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Filtered MAIN - TEMP" sheetId="2" r:id="rId6"/>
    <sheet state="visible" name="TEST" sheetId="3" r:id="rId7"/>
    <sheet state="visible" name="Order Edits" sheetId="4" r:id="rId8"/>
    <sheet state="hidden" name="Kit Delivery Status" sheetId="5" r:id="rId9"/>
    <sheet state="visible" name="Rentals" sheetId="6" r:id="rId10"/>
    <sheet state="hidden" name="Delivered Rentals" sheetId="7" r:id="rId11"/>
    <sheet state="hidden" name="Delivered NSTS" sheetId="8" r:id="rId12"/>
    <sheet state="hidden" name="Delivered TSA" sheetId="9" r:id="rId13"/>
    <sheet state="visible" name="SIR" sheetId="10" r:id="rId14"/>
    <sheet state="hidden" name="Delivered SIR" sheetId="11" r:id="rId15"/>
    <sheet state="visible" name="NSTS" sheetId="12" r:id="rId16"/>
    <sheet state="visible" name="TSA" sheetId="13" r:id="rId17"/>
    <sheet state="visible" name="Rental Returns" sheetId="14" r:id="rId18"/>
    <sheet state="visible" name="Home Shipping" sheetId="15" r:id="rId19"/>
    <sheet state="visible" name="Summer Storage" sheetId="16" r:id="rId20"/>
    <sheet state="visible" name="Study Abroad Storage" sheetId="17" r:id="rId21"/>
    <sheet state="visible" name="Leave of Absence Storage" sheetId="18" r:id="rId22"/>
    <sheet state="visible" name="General Moving Service" sheetId="19" r:id="rId23"/>
    <sheet state="visible" name="Spec Ops" sheetId="20" r:id="rId24"/>
    <sheet state="visible" name="Calculator" sheetId="21" r:id="rId25"/>
    <sheet state="hidden" name="Calc Backup" sheetId="22" r:id="rId26"/>
    <sheet state="hidden" name="RentalCalc" sheetId="23" r:id="rId27"/>
    <sheet state="hidden" name="SOCalc" sheetId="24" r:id="rId28"/>
    <sheet state="hidden" name="GMSCalc" sheetId="25" r:id="rId29"/>
    <sheet state="hidden" name="SSCalc" sheetId="26" r:id="rId30"/>
    <sheet state="hidden" name="SASCalc" sheetId="27" r:id="rId31"/>
    <sheet state="hidden" name="LASCalc" sheetId="28" r:id="rId32"/>
    <sheet state="hidden" name="SIRCalc" sheetId="29" r:id="rId33"/>
    <sheet state="hidden" name="NSTSCalc" sheetId="30" r:id="rId34"/>
    <sheet state="hidden" name="TSACalc" sheetId="31" r:id="rId35"/>
    <sheet state="hidden" name="RRCalc" sheetId="32" r:id="rId36"/>
    <sheet state="hidden" name="HSCalc" sheetId="33" r:id="rId37"/>
    <sheet state="visible" name="Missing order number checker" sheetId="34" r:id="rId38"/>
    <sheet state="visible" name="Order Checker Updated" sheetId="35" r:id="rId39"/>
    <sheet state="visible" name="calm apple" sheetId="36" r:id="rId40"/>
    <sheet state="visible" name="problems with frat house change" sheetId="37" r:id="rId41"/>
  </sheets>
  <definedNames>
    <definedName hidden="1" localSheetId="1" name="_xlnm._FilterDatabase">'Filtered MAIN - TEMP'!$A$1:$AH$1127</definedName>
    <definedName hidden="1" localSheetId="5" name="_xlnm._FilterDatabase">Rentals!$A$1:$M$41</definedName>
    <definedName hidden="1" localSheetId="9" name="_xlnm._FilterDatabase">SIR!$A$1:$N$999</definedName>
    <definedName hidden="1" localSheetId="11" name="_xlnm._FilterDatabase">NSTS!$A$1:$O$999</definedName>
    <definedName hidden="1" localSheetId="12" name="_xlnm._FilterDatabase">TSA!$A$1:$P$999</definedName>
    <definedName hidden="1" localSheetId="13" name="_xlnm._FilterDatabase">'Rental Returns'!$A$1:$L$999</definedName>
    <definedName hidden="1" localSheetId="14" name="_xlnm._FilterDatabase">'Home Shipping'!$A$1:$L$999</definedName>
    <definedName hidden="1" localSheetId="15" name="_xlnm._FilterDatabase">'Summer Storage'!$A$1:$L$999</definedName>
    <definedName hidden="1" localSheetId="16" name="_xlnm._FilterDatabase">'Study Abroad Storage'!$A$1:$L$999</definedName>
    <definedName hidden="1" localSheetId="17" name="_xlnm._FilterDatabase">'Leave of Absence Storage'!$A$1:$L$999</definedName>
    <definedName hidden="1" localSheetId="18" name="_xlnm._FilterDatabase">'General Moving Service'!$A$1:$L$999</definedName>
    <definedName hidden="1" localSheetId="19" name="_xlnm._FilterDatabase">'Spec Ops'!$A$1:$N$999</definedName>
    <definedName hidden="1" localSheetId="20" name="_xlnm._FilterDatabase">Calculator!$A$1:$B$2</definedName>
  </definedNames>
  <calcPr/>
</workbook>
</file>

<file path=xl/sharedStrings.xml><?xml version="1.0" encoding="utf-8"?>
<sst xmlns="http://schemas.openxmlformats.org/spreadsheetml/2006/main" count="72992" uniqueCount="15301">
  <si>
    <t>Link</t>
  </si>
  <si>
    <t>Order Name</t>
  </si>
  <si>
    <t>Email</t>
  </si>
  <si>
    <t>Phone</t>
  </si>
  <si>
    <t>Shipping Name</t>
  </si>
  <si>
    <t>Address</t>
  </si>
  <si>
    <t>City</t>
  </si>
  <si>
    <t>State/Province</t>
  </si>
  <si>
    <t>Zip/Postal Code</t>
  </si>
  <si>
    <t>Country</t>
  </si>
  <si>
    <t>Product Name</t>
  </si>
  <si>
    <t>Product SKU</t>
  </si>
  <si>
    <t>Product Price</t>
  </si>
  <si>
    <t>Delivery Location</t>
  </si>
  <si>
    <t>Room Number</t>
  </si>
  <si>
    <t>Delivery Date</t>
  </si>
  <si>
    <t>Delivery Time</t>
  </si>
  <si>
    <t>Non-University Housing Address</t>
  </si>
  <si>
    <t>Location Type</t>
  </si>
  <si>
    <t>Delivery Location 2</t>
  </si>
  <si>
    <t>Building</t>
  </si>
  <si>
    <t>Room Number 2</t>
  </si>
  <si>
    <t>Address 2</t>
  </si>
  <si>
    <t>Delivery Date 2</t>
  </si>
  <si>
    <t>Delivery Time 2</t>
  </si>
  <si>
    <t>Insurance</t>
  </si>
  <si>
    <t>Non-University Housing Address 2</t>
  </si>
  <si>
    <t>Location Type 2</t>
  </si>
  <si>
    <t>Ship From Address</t>
  </si>
  <si>
    <t>Pickup Address</t>
  </si>
  <si>
    <t>Pickup Date</t>
  </si>
  <si>
    <t>Pickup Time</t>
  </si>
  <si>
    <t>Pickup Location</t>
  </si>
  <si>
    <t>Ship To Address</t>
  </si>
  <si>
    <t>Notes</t>
  </si>
  <si>
    <t>Student Name</t>
  </si>
  <si>
    <t>Customer Name</t>
  </si>
  <si>
    <t>Kit delivery status</t>
  </si>
  <si>
    <t>Student/Customer Phone number NEW</t>
  </si>
  <si>
    <t>#13851</t>
  </si>
  <si>
    <t>a.dalen@wustl.edu</t>
  </si>
  <si>
    <t>Dalen Ainsworth</t>
  </si>
  <si>
    <t>Summer Storage</t>
  </si>
  <si>
    <t>1 [Included with Registration]</t>
  </si>
  <si>
    <t>09:00 AM to 11:00 AM</t>
  </si>
  <si>
    <t>Eliot A</t>
  </si>
  <si>
    <t>Included Insurance</t>
  </si>
  <si>
    <t>#14045</t>
  </si>
  <si>
    <t>helenmives@gmail.com</t>
  </si>
  <si>
    <t>857-218-8168</t>
  </si>
  <si>
    <t>Helen Ives</t>
  </si>
  <si>
    <t>Storage Item Return</t>
  </si>
  <si>
    <t>University Housing</t>
  </si>
  <si>
    <t>Apartment 324-B</t>
  </si>
  <si>
    <t>09:00 AM - 11:00 AM</t>
  </si>
  <si>
    <t>Greenway Apartments</t>
  </si>
  <si>
    <t>The address on my boxes is no longer accurate, and the address I have put here (for WashU housing) is the one that should be used for all of my boxes. Many thanks!</t>
  </si>
  <si>
    <t>#14075</t>
  </si>
  <si>
    <t>cclee@wustl.edu</t>
  </si>
  <si>
    <t>Chelsea Lee</t>
  </si>
  <si>
    <t>03:00 PM - 05:00 PM</t>
  </si>
  <si>
    <t>Nemerov</t>
  </si>
  <si>
    <t>It would be appreciated if my stuff can be delivered to my room, but if not possible, leaving it in the common room of 4050 is good as well.</t>
  </si>
  <si>
    <t>#14116</t>
  </si>
  <si>
    <t>benschwed9876@wustl.edu</t>
  </si>
  <si>
    <t>Benjamin Schwed</t>
  </si>
  <si>
    <t>Appliance Rental</t>
  </si>
  <si>
    <t>Standard Mini Fridge + Microwave</t>
  </si>
  <si>
    <t>Danforth</t>
  </si>
  <si>
    <t>delivery-08/13/2025
pick up-05/06/2026</t>
  </si>
  <si>
    <t>https://admin.shopify.com/store/utrucking/orders/5794999468220?link_source=search</t>
  </si>
  <si>
    <t>#14171</t>
  </si>
  <si>
    <t>Marlowe@wustl.edu</t>
  </si>
  <si>
    <t>914-646-4187</t>
  </si>
  <si>
    <t>Taylor Marlowe</t>
  </si>
  <si>
    <t>Tri-State Area Home Pickups</t>
  </si>
  <si>
    <t>$100 per item [Included]</t>
  </si>
  <si>
    <t>3331</t>
  </si>
  <si>
    <t>Lien</t>
  </si>
  <si>
    <t>#14191</t>
  </si>
  <si>
    <t>jessicajlee@wustl.edu</t>
  </si>
  <si>
    <t>Jessica Lee</t>
  </si>
  <si>
    <t>#14194</t>
  </si>
  <si>
    <t>cindyhellman1204@gmail.com</t>
  </si>
  <si>
    <t>(516) 508-8030</t>
  </si>
  <si>
    <t>cindy hellman</t>
  </si>
  <si>
    <t>the everly 6105 delmar blvd st louis mo 63112 apt 1321</t>
  </si>
  <si>
    <t>Apartment Moves</t>
  </si>
  <si>
    <t>10:00 AM - 12:00 PM</t>
  </si>
  <si>
    <t>moving to  citizens park 4643 lindell blvd st louis mo 63108  apt 1110   ***    CAN YOU PLEASE DROP OFF the BOXES ON MONDAY APRIL 28th *** contact phone 516-508-8030 MARISA BENJAMIN****</t>
  </si>
  <si>
    <t>#13918</t>
  </si>
  <si>
    <t>garelick@wustl.edu</t>
  </si>
  <si>
    <t>(201) 400-7616</t>
  </si>
  <si>
    <t>Jared Garelick</t>
  </si>
  <si>
    <t>407 Thornden Street</t>
  </si>
  <si>
    <t>Nationwide Ship to School</t>
  </si>
  <si>
    <t>12:00 PM - 02:00 PM</t>
  </si>
  <si>
    <t>#14224</t>
  </si>
  <si>
    <t>m.bell@wustl.edu</t>
  </si>
  <si>
    <t>(312) 344-0050</t>
  </si>
  <si>
    <t>Chanel Bell</t>
  </si>
  <si>
    <t>705 McCardle Drive</t>
  </si>
  <si>
    <t>DON'T KNOW YET (put 'XXX' for room #)</t>
  </si>
  <si>
    <t>XXX</t>
  </si>
  <si>
    <t>#14409</t>
  </si>
  <si>
    <t>m.b.szwartz@wustl.edu</t>
  </si>
  <si>
    <t>(1215) 432-7954</t>
  </si>
  <si>
    <t>Lynda Szwartz</t>
  </si>
  <si>
    <t>605 Zollinger Way</t>
  </si>
  <si>
    <t>Umrath</t>
  </si>
  <si>
    <t>3301</t>
  </si>
  <si>
    <t>#14473</t>
  </si>
  <si>
    <t>j.jaffe@wustl.edu</t>
  </si>
  <si>
    <t>(315) 382-7241</t>
  </si>
  <si>
    <t>Jonah Jaffe</t>
  </si>
  <si>
    <t>4852 Carey Drive</t>
  </si>
  <si>
    <t>Koenig</t>
  </si>
  <si>
    <t>2212</t>
  </si>
  <si>
    <t>https://admin.shopify.com/store/utrucking/orders/5811833962684?link_source=search</t>
  </si>
  <si>
    <t>#14478</t>
  </si>
  <si>
    <t>hermione@wustl.edu</t>
  </si>
  <si>
    <t>314-745-7657</t>
  </si>
  <si>
    <t>Yutong Xie</t>
  </si>
  <si>
    <t>6515 Wydown Boulevard</t>
  </si>
  <si>
    <t>Non-University Housing</t>
  </si>
  <si>
    <t>02:00 PM - 04:00 PM</t>
  </si>
  <si>
    <t>6105 Delmar BIvd. Apt 515</t>
  </si>
  <si>
    <t>#14528</t>
  </si>
  <si>
    <t>qiumin@wustl.edu</t>
  </si>
  <si>
    <t>(571) 275-5119</t>
  </si>
  <si>
    <t>Michelle Zhang</t>
  </si>
  <si>
    <t>1200 N Quaker Ln</t>
  </si>
  <si>
    <t>Lee</t>
  </si>
  <si>
    <t>313</t>
  </si>
  <si>
    <t>#14587</t>
  </si>
  <si>
    <t>allen.r.g@wustl.edu</t>
  </si>
  <si>
    <t>(713) 898-3521</t>
  </si>
  <si>
    <t>Ryan Allen</t>
  </si>
  <si>
    <t>3614 Durness Way</t>
  </si>
  <si>
    <t>2237</t>
  </si>
  <si>
    <t>#14755</t>
  </si>
  <si>
    <t>c.a.warren@wustl.edu</t>
  </si>
  <si>
    <t>(713) 206-1500</t>
  </si>
  <si>
    <t>Morgan Warren</t>
  </si>
  <si>
    <t>6711 Stella Link Road</t>
  </si>
  <si>
    <t>9:00 AM - 11:00 AM</t>
  </si>
  <si>
    <t>Dauten</t>
  </si>
  <si>
    <t>432</t>
  </si>
  <si>
    <t>#14825</t>
  </si>
  <si>
    <t>b.welford@wustl.edu</t>
  </si>
  <si>
    <t>(1949) 500-1022</t>
  </si>
  <si>
    <t>Benjamin Welford</t>
  </si>
  <si>
    <t>39 Blue Heron</t>
  </si>
  <si>
    <t>Park</t>
  </si>
  <si>
    <t>280</t>
  </si>
  <si>
    <t>#14979</t>
  </si>
  <si>
    <t>joyce.zhao@wustl.edu</t>
  </si>
  <si>
    <t>(840) 205-6469</t>
  </si>
  <si>
    <t>Joyce Zhao</t>
  </si>
  <si>
    <t>1175 W Baseline Rd</t>
  </si>
  <si>
    <t>11:00 AM - 01:00 PM</t>
  </si>
  <si>
    <t>Shanedling</t>
  </si>
  <si>
    <t>333</t>
  </si>
  <si>
    <t>#14984</t>
  </si>
  <si>
    <t>samanthar@wustl.edu</t>
  </si>
  <si>
    <t>(312) 351-0710</t>
  </si>
  <si>
    <t>Samantha Rosenberg</t>
  </si>
  <si>
    <t>256 Moraine Road</t>
  </si>
  <si>
    <t>3321</t>
  </si>
  <si>
    <t>#14988</t>
  </si>
  <si>
    <t>eruth@wustl.edu</t>
  </si>
  <si>
    <t>(917) 767-3188</t>
  </si>
  <si>
    <t>Lexie Ruth</t>
  </si>
  <si>
    <t>3212 Gulfstream Road</t>
  </si>
  <si>
    <t>1117</t>
  </si>
  <si>
    <t>#14989</t>
  </si>
  <si>
    <t>h.thun@wustl.edu</t>
  </si>
  <si>
    <t>Jola Thun</t>
  </si>
  <si>
    <t>500 El Medio Avenue</t>
  </si>
  <si>
    <t>Mudd</t>
  </si>
  <si>
    <t>271</t>
  </si>
  <si>
    <t>#14994</t>
  </si>
  <si>
    <t>b.k.wagner@wustl.edu</t>
  </si>
  <si>
    <t>(678) 830-6322</t>
  </si>
  <si>
    <t>Blair (Student) Wagner</t>
  </si>
  <si>
    <t>7242 Sweetwater Valley</t>
  </si>
  <si>
    <t>Dardick</t>
  </si>
  <si>
    <t>1109-a</t>
  </si>
  <si>
    <t>https://admin.shopify.com/store/utrucking/orders/5837335822524?link_source=search</t>
  </si>
  <si>
    <t>#14996</t>
  </si>
  <si>
    <t>540-207-8205</t>
  </si>
  <si>
    <t>9700 Renfield Ct</t>
  </si>
  <si>
    <t>Double Door mini fridge</t>
  </si>
  <si>
    <t>#15020</t>
  </si>
  <si>
    <t>m.k.tan@wustl.edu</t>
  </si>
  <si>
    <t>(310) 808-3281</t>
  </si>
  <si>
    <t>Marisa Tan</t>
  </si>
  <si>
    <t>18 Misty Acres Rd</t>
  </si>
  <si>
    <t>2208</t>
  </si>
  <si>
    <t>#15032</t>
  </si>
  <si>
    <t>j.t.lee@wustl.edu</t>
  </si>
  <si>
    <t>(415) 770-3664</t>
  </si>
  <si>
    <t>Jacob Lee</t>
  </si>
  <si>
    <t>630 11th Avenue</t>
  </si>
  <si>
    <t>4407</t>
  </si>
  <si>
    <t>#15036</t>
  </si>
  <si>
    <t>a.covello@wustl.edu</t>
  </si>
  <si>
    <t>(973) 440-7049</t>
  </si>
  <si>
    <t>Andrew Covello</t>
  </si>
  <si>
    <t>7 Loantaka Lane N</t>
  </si>
  <si>
    <t>#15039</t>
  </si>
  <si>
    <t>a.plaxe@wustl.edu</t>
  </si>
  <si>
    <t>(917) 455-1134</t>
  </si>
  <si>
    <t>Amanda Plaxe</t>
  </si>
  <si>
    <t>214 West 85th St</t>
  </si>
  <si>
    <t>Eliot B</t>
  </si>
  <si>
    <t>2103</t>
  </si>
  <si>
    <t>#15055</t>
  </si>
  <si>
    <t>anna.j.schwartz@wustl.edu</t>
  </si>
  <si>
    <t>(404) 345-7378</t>
  </si>
  <si>
    <t>Anna Schwartz</t>
  </si>
  <si>
    <t>4416 Saint Andrews Drive Northwest</t>
  </si>
  <si>
    <t>Village House</t>
  </si>
  <si>
    <t>4071-a</t>
  </si>
  <si>
    <t>#15080</t>
  </si>
  <si>
    <t>megcheung2016@gmail.com</t>
  </si>
  <si>
    <t>(914) 255-7538</t>
  </si>
  <si>
    <t>Sohta Cheung-Naito</t>
  </si>
  <si>
    <t>175 Underhill Rd</t>
  </si>
  <si>
    <t>#15081</t>
  </si>
  <si>
    <t>(1214) 336-9342</t>
  </si>
  <si>
    <t>julie liberman</t>
  </si>
  <si>
    <t>2404 WING POINT LN</t>
  </si>
  <si>
    <t>3322</t>
  </si>
  <si>
    <t>#15082</t>
  </si>
  <si>
    <t>edwardcartonz@gmail.com</t>
  </si>
  <si>
    <t>(805) 637-5739</t>
  </si>
  <si>
    <t>Maohua Zhang</t>
  </si>
  <si>
    <t>775 Camino Del Sur</t>
  </si>
  <si>
    <t>01:00 PM - 03:00 PM</t>
  </si>
  <si>
    <t>#15103</t>
  </si>
  <si>
    <t>faier@wustl.edu</t>
  </si>
  <si>
    <t>(224) 578-2645</t>
  </si>
  <si>
    <t>Sharon Faier</t>
  </si>
  <si>
    <t>8182 South Saint Paul Way</t>
  </si>
  <si>
    <t>Myers</t>
  </si>
  <si>
    <t>413</t>
  </si>
  <si>
    <t>#15104</t>
  </si>
  <si>
    <t>l.d.young@wustl.edu</t>
  </si>
  <si>
    <t>(949) 254-8160</t>
  </si>
  <si>
    <t>Sandra Young</t>
  </si>
  <si>
    <t>72 Cunningham</t>
  </si>
  <si>
    <t>I don't know yet</t>
  </si>
  <si>
    <t>#15128</t>
  </si>
  <si>
    <t>bosques@wustl.edu</t>
  </si>
  <si>
    <t>(617) 999-8561</t>
  </si>
  <si>
    <t>Gustavo Bosques</t>
  </si>
  <si>
    <t>198 Overlook Rd</t>
  </si>
  <si>
    <t>xxx</t>
  </si>
  <si>
    <t>#15129</t>
  </si>
  <si>
    <t>dina.bean@verizon.net</t>
  </si>
  <si>
    <t>(1917) 821-5981</t>
  </si>
  <si>
    <t>Dina Bean</t>
  </si>
  <si>
    <t>8 East 83rd Street</t>
  </si>
  <si>
    <t>2210</t>
  </si>
  <si>
    <t>#15134</t>
  </si>
  <si>
    <t>r.l.shames@wustl.edu</t>
  </si>
  <si>
    <t>(1917) 603-4125</t>
  </si>
  <si>
    <t>Rachel Shames</t>
  </si>
  <si>
    <t>500 W End Ave</t>
  </si>
  <si>
    <t>4402</t>
  </si>
  <si>
    <t>#15137</t>
  </si>
  <si>
    <t>b.cayden@wustl.edu</t>
  </si>
  <si>
    <t>(973) 715-4139</t>
  </si>
  <si>
    <t>Sondra Barrison</t>
  </si>
  <si>
    <t>115 Scott Drive</t>
  </si>
  <si>
    <t>6645 University Drive</t>
  </si>
  <si>
    <t>1E-A</t>
  </si>
  <si>
    <t>#15144</t>
  </si>
  <si>
    <t>Maryraue@gmail.com</t>
  </si>
  <si>
    <t>(1703) 307-8619</t>
  </si>
  <si>
    <t>Mary Raue</t>
  </si>
  <si>
    <t>5810 Beech Ave</t>
  </si>
  <si>
    <t>#15148</t>
  </si>
  <si>
    <t>(1202) 494-5966</t>
  </si>
  <si>
    <t>Hillary Davidson</t>
  </si>
  <si>
    <t>9513 Brooke Dr</t>
  </si>
  <si>
    <t>3323</t>
  </si>
  <si>
    <t>#15150</t>
  </si>
  <si>
    <t>taliawest7@gmail.com</t>
  </si>
  <si>
    <t>(458) 256-5639</t>
  </si>
  <si>
    <t>Talia West</t>
  </si>
  <si>
    <t>4020 94th Ave NE</t>
  </si>
  <si>
    <t>4428</t>
  </si>
  <si>
    <t>#15151</t>
  </si>
  <si>
    <t>biancah@wustl.edu</t>
  </si>
  <si>
    <t>(310) 963-6636</t>
  </si>
  <si>
    <t>Bianca Hayutin</t>
  </si>
  <si>
    <t>2212 Ashland Avenue</t>
  </si>
  <si>
    <t>Rutledge</t>
  </si>
  <si>
    <t>432-B</t>
  </si>
  <si>
    <t>#15158</t>
  </si>
  <si>
    <t>jadon.s@wustl.edu</t>
  </si>
  <si>
    <t>(1917) 612-7037</t>
  </si>
  <si>
    <t>Jadon Schwartz</t>
  </si>
  <si>
    <t>10 Pecan Valley Drive</t>
  </si>
  <si>
    <t>#15163</t>
  </si>
  <si>
    <t>rebeccaburack@gmail.com</t>
  </si>
  <si>
    <t>(617) 899-6835</t>
  </si>
  <si>
    <t>Ethan Burack</t>
  </si>
  <si>
    <t>76 Bellevue Street</t>
  </si>
  <si>
    <t>4408</t>
  </si>
  <si>
    <t>#15167</t>
  </si>
  <si>
    <t>shahlasi@yahoo.com</t>
  </si>
  <si>
    <t>(781) 742-4837</t>
  </si>
  <si>
    <t>Altan Marvi</t>
  </si>
  <si>
    <t>200 Stoney Lea Rd</t>
  </si>
  <si>
    <t>440</t>
  </si>
  <si>
    <t>#15168</t>
  </si>
  <si>
    <t>lily.comander@gmail.com</t>
  </si>
  <si>
    <t>(1617) 454-7962</t>
  </si>
  <si>
    <t>Lily Comander</t>
  </si>
  <si>
    <t>11 Hollywood Dr</t>
  </si>
  <si>
    <t>3305</t>
  </si>
  <si>
    <t>#15169</t>
  </si>
  <si>
    <t>chung.j.d@wustl.edu</t>
  </si>
  <si>
    <t>(1781) 777-3568</t>
  </si>
  <si>
    <t>Joshua chung</t>
  </si>
  <si>
    <t>10 Burroughs Rd.</t>
  </si>
  <si>
    <t>11:00 AM to 01:00 PM</t>
  </si>
  <si>
    <t>3319-b</t>
  </si>
  <si>
    <t>#15170</t>
  </si>
  <si>
    <t>awmogul@gmail.com</t>
  </si>
  <si>
    <t>(415) 794-6556</t>
  </si>
  <si>
    <t>Alexis Mogul</t>
  </si>
  <si>
    <t>1719 Park Avenue</t>
  </si>
  <si>
    <t>3072A</t>
  </si>
  <si>
    <t>#15173</t>
  </si>
  <si>
    <t>auster@wustl.edu</t>
  </si>
  <si>
    <t>(954) 702-9230</t>
  </si>
  <si>
    <t>Samuel Auster</t>
  </si>
  <si>
    <t>6820 Yellowstone Lane</t>
  </si>
  <si>
    <t>#15179</t>
  </si>
  <si>
    <t>dianagaffin@gmail.com</t>
  </si>
  <si>
    <t>(617) 285-5518</t>
  </si>
  <si>
    <t>Eli Gaffin</t>
  </si>
  <si>
    <t>51 Aldridge Rd</t>
  </si>
  <si>
    <t>1105-b</t>
  </si>
  <si>
    <t>#15180</t>
  </si>
  <si>
    <t>j.b.tajkef@wustl.edu</t>
  </si>
  <si>
    <t>(1818) 314-0867</t>
  </si>
  <si>
    <t>Jack Tajkef</t>
  </si>
  <si>
    <t>4434 Woodley Ave</t>
  </si>
  <si>
    <t>2222</t>
  </si>
  <si>
    <t>#15183</t>
  </si>
  <si>
    <t>catherinegluckstein@gmail.com</t>
  </si>
  <si>
    <t>(206) 335-4627</t>
  </si>
  <si>
    <t>Catherine Edwards</t>
  </si>
  <si>
    <t>3221 E Morley Way</t>
  </si>
  <si>
    <t>234A</t>
  </si>
  <si>
    <t>#15185</t>
  </si>
  <si>
    <t>e.e.may@wustl.edu</t>
  </si>
  <si>
    <t>(602) 690-2075</t>
  </si>
  <si>
    <t>Mary May</t>
  </si>
  <si>
    <t>317 Oak Pointe Lane</t>
  </si>
  <si>
    <t>3316</t>
  </si>
  <si>
    <t>#15187</t>
  </si>
  <si>
    <t>CCHAZDAY@GMAIL.COM</t>
  </si>
  <si>
    <t>(973) 734-1536</t>
  </si>
  <si>
    <t>Cooper Hazday</t>
  </si>
  <si>
    <t>932 Pine Tree Lane</t>
  </si>
  <si>
    <t>423-A</t>
  </si>
  <si>
    <t>#15188</t>
  </si>
  <si>
    <t>a.merlain-moffatt@wustl.edu</t>
  </si>
  <si>
    <t>(772) 224-9328</t>
  </si>
  <si>
    <t>Nethanya Merlain-Moffatt</t>
  </si>
  <si>
    <t>15548 Orchard Drive</t>
  </si>
  <si>
    <t>Loop Loft 6200</t>
  </si>
  <si>
    <t>214</t>
  </si>
  <si>
    <t>#15193</t>
  </si>
  <si>
    <t>b.maryashley@wustl.edu</t>
  </si>
  <si>
    <t>(512) 565-7558</t>
  </si>
  <si>
    <t>Mary Ashley Barredo</t>
  </si>
  <si>
    <t>486 Martha Drive</t>
  </si>
  <si>
    <t>2224</t>
  </si>
  <si>
    <t>#15195</t>
  </si>
  <si>
    <t>25nikhilc@gmail.com</t>
  </si>
  <si>
    <t>(1628) 219-8206</t>
  </si>
  <si>
    <t>Nikhil Chadha</t>
  </si>
  <si>
    <t>19995 Douglass Lane</t>
  </si>
  <si>
    <t>3121-a</t>
  </si>
  <si>
    <t>#15206</t>
  </si>
  <si>
    <t>rogers.z@wustl.edu</t>
  </si>
  <si>
    <t>(410) 484-1841</t>
  </si>
  <si>
    <t>Zachary Rogers</t>
  </si>
  <si>
    <t>3524 Barton Oaks Road</t>
  </si>
  <si>
    <t>301 - b</t>
  </si>
  <si>
    <t>#15207</t>
  </si>
  <si>
    <t>pmstobaugh@gmail.com</t>
  </si>
  <si>
    <t>(1812) 449-0494</t>
  </si>
  <si>
    <t>Jenna Stobaugh</t>
  </si>
  <si>
    <t>4333 Wynbrooke Dr</t>
  </si>
  <si>
    <t>#15214</t>
  </si>
  <si>
    <t>sobaqueen@hotmail.com</t>
  </si>
  <si>
    <t>(1502) 708-0350</t>
  </si>
  <si>
    <t>Shannon Pankonin</t>
  </si>
  <si>
    <t>6413 Regency Ln</t>
  </si>
  <si>
    <t>116</t>
  </si>
  <si>
    <t>#14711</t>
  </si>
  <si>
    <t>shrier@wustl.edu</t>
  </si>
  <si>
    <t>(917) 558-3799</t>
  </si>
  <si>
    <t>Sienna Shrier</t>
  </si>
  <si>
    <t>42 Danebury Downs</t>
  </si>
  <si>
    <t>#14341</t>
  </si>
  <si>
    <t>a.rome@wustl.edu</t>
  </si>
  <si>
    <t>(1917) 828-0684</t>
  </si>
  <si>
    <t>Isabella AVA Rome</t>
  </si>
  <si>
    <t>63 Lilline Lane</t>
  </si>
  <si>
    <t>3302</t>
  </si>
  <si>
    <t>#14098</t>
  </si>
  <si>
    <t>(1516) 998-5553</t>
  </si>
  <si>
    <t>2806 Harbor Rd</t>
  </si>
  <si>
    <t>3304</t>
  </si>
  <si>
    <t>#14346</t>
  </si>
  <si>
    <t>prenner.s@wustl.edu</t>
  </si>
  <si>
    <t>(609) 240-6425</t>
  </si>
  <si>
    <t>Rebecca Baumgold</t>
  </si>
  <si>
    <t>61 Littlebrook Rd</t>
  </si>
  <si>
    <t>6115 Waterman Street, St. Louis, MO</t>
  </si>
  <si>
    <t>#14567</t>
  </si>
  <si>
    <t>e.r.schulman@wustl.edu</t>
  </si>
  <si>
    <t>(516) 606-3860</t>
  </si>
  <si>
    <t>Eliza Schulman</t>
  </si>
  <si>
    <t>4 Stonehenge Road</t>
  </si>
  <si>
    <t>121</t>
  </si>
  <si>
    <t>#14593</t>
  </si>
  <si>
    <t>blanco.j@wustl.edu</t>
  </si>
  <si>
    <t>(917) 806-7198</t>
  </si>
  <si>
    <t>James Blanco</t>
  </si>
  <si>
    <t>22 St. Johns Place</t>
  </si>
  <si>
    <t>2215</t>
  </si>
  <si>
    <t>#14853</t>
  </si>
  <si>
    <t>g.juliette@wustl.edu</t>
  </si>
  <si>
    <t>(1917) 685-6265</t>
  </si>
  <si>
    <t>Juliette Goodstein</t>
  </si>
  <si>
    <t>160 E 65th St</t>
  </si>
  <si>
    <t>372</t>
  </si>
  <si>
    <t>#15002</t>
  </si>
  <si>
    <t>ljansveld9876@wustl.edu</t>
  </si>
  <si>
    <t>(1908) 502-1523</t>
  </si>
  <si>
    <t>Luka Jansveld</t>
  </si>
  <si>
    <t>411 Harrison Avenue</t>
  </si>
  <si>
    <t>Xxx</t>
  </si>
  <si>
    <t>#15005</t>
  </si>
  <si>
    <t>h.shaye@email.wustl.edu</t>
  </si>
  <si>
    <t>(201) 264-8488</t>
  </si>
  <si>
    <t>Lauri Herman</t>
  </si>
  <si>
    <t>72 Essex Street</t>
  </si>
  <si>
    <t>Millbrook Bldg. 4</t>
  </si>
  <si>
    <t>B-3C-A</t>
  </si>
  <si>
    <t>#15011</t>
  </si>
  <si>
    <t>hametz@wustl.edu</t>
  </si>
  <si>
    <t>(914) 849-8141</t>
  </si>
  <si>
    <t>Emily Hametz</t>
  </si>
  <si>
    <t>41 Indian Hill Road</t>
  </si>
  <si>
    <t>#15028</t>
  </si>
  <si>
    <t>k.m.ziwot@wustl.edu</t>
  </si>
  <si>
    <t>(908) 698-9314</t>
  </si>
  <si>
    <t>Katherine Ziwot</t>
  </si>
  <si>
    <t>21 Pickle Brook Road</t>
  </si>
  <si>
    <t>#15029</t>
  </si>
  <si>
    <t>k.i.rodriguez@wustl.edu</t>
  </si>
  <si>
    <t>(203) 571-8398</t>
  </si>
  <si>
    <t>Kate Rodriguez</t>
  </si>
  <si>
    <t>4 Concord Lane</t>
  </si>
  <si>
    <t>4410</t>
  </si>
  <si>
    <t>#15040</t>
  </si>
  <si>
    <t>modlinger.z@email.wustl.edu</t>
  </si>
  <si>
    <t>(917) 612-3196</t>
  </si>
  <si>
    <t>Zachary Modlinger</t>
  </si>
  <si>
    <t>1263 Sussex Road</t>
  </si>
  <si>
    <t>#15073</t>
  </si>
  <si>
    <t>amiller@milbank.com</t>
  </si>
  <si>
    <t>(1646) 334-9279</t>
  </si>
  <si>
    <t>Atara miller</t>
  </si>
  <si>
    <t>45 Longvue Avenue</t>
  </si>
  <si>
    <t>45 Longvue Ave, New Rochelle, NY 10804</t>
  </si>
  <si>
    <t>#15074</t>
  </si>
  <si>
    <t>n.samson@wustl.edu</t>
  </si>
  <si>
    <t>(917) 605-2406</t>
  </si>
  <si>
    <t>Samson Nwobi</t>
  </si>
  <si>
    <t>347 Hawthorne Avenue</t>
  </si>
  <si>
    <t>#15079</t>
  </si>
  <si>
    <t>marnie0609@yahoo.com</t>
  </si>
  <si>
    <t>(1917) 612-9737</t>
  </si>
  <si>
    <t>Marnie Rukin</t>
  </si>
  <si>
    <t>10 Rockledge Rd</t>
  </si>
  <si>
    <t>2240</t>
  </si>
  <si>
    <t>#15094</t>
  </si>
  <si>
    <t>l.maddy@wustl.edu</t>
  </si>
  <si>
    <t>(203) 554-1142</t>
  </si>
  <si>
    <t>Maddy Lee</t>
  </si>
  <si>
    <t>36 Andrews Farm Road</t>
  </si>
  <si>
    <t>4060</t>
  </si>
  <si>
    <t>#15097</t>
  </si>
  <si>
    <t>blumi@wustl.edu</t>
  </si>
  <si>
    <t>(516) 376-8942</t>
  </si>
  <si>
    <t>Benjamin Lumi</t>
  </si>
  <si>
    <t>48 Edgewood Road</t>
  </si>
  <si>
    <t>#15098</t>
  </si>
  <si>
    <t>k.sammy@wustl.edu</t>
  </si>
  <si>
    <t>(973) 985-5672</t>
  </si>
  <si>
    <t>Karin Kelner</t>
  </si>
  <si>
    <t>9 Sailers Way</t>
  </si>
  <si>
    <t>Loop Loft 6255</t>
  </si>
  <si>
    <t>Apartment 411C</t>
  </si>
  <si>
    <t>#14588</t>
  </si>
  <si>
    <t>j.rangaraj@wustl.edu</t>
  </si>
  <si>
    <t>(914) 400-5464</t>
  </si>
  <si>
    <t>Jayant Rangaraj</t>
  </si>
  <si>
    <t>I don't know</t>
  </si>
  <si>
    <t>14 Ridgecrest E, Scarsdale, NY 10583</t>
  </si>
  <si>
    <t>4419</t>
  </si>
  <si>
    <t>#14849</t>
  </si>
  <si>
    <t>c.a.mallah@wustl.edu</t>
  </si>
  <si>
    <t>(917) 921-7228</t>
  </si>
  <si>
    <t>Lloyd Mallah</t>
  </si>
  <si>
    <t>17 Birch Lane</t>
  </si>
  <si>
    <t>3:00 PM - 5:00 PM</t>
  </si>
  <si>
    <t>6843 Kingsbury Blvd, University City, MO 63130 Apartment 1E</t>
  </si>
  <si>
    <t>#15111</t>
  </si>
  <si>
    <t>alexsaltzman@hotmail.com</t>
  </si>
  <si>
    <t>(646) 245-8563</t>
  </si>
  <si>
    <t>Sophie Saltzman</t>
  </si>
  <si>
    <t>212 Legend Drive</t>
  </si>
  <si>
    <t>#15114</t>
  </si>
  <si>
    <t>glassj@washu.edu</t>
  </si>
  <si>
    <t>(914) 432-6482</t>
  </si>
  <si>
    <t>Jonah Glass</t>
  </si>
  <si>
    <t>29 Guion Street</t>
  </si>
  <si>
    <t>242-b</t>
  </si>
  <si>
    <t>#15116</t>
  </si>
  <si>
    <t>amiyahl@wustl.edu</t>
  </si>
  <si>
    <t>(1347) 557-6359</t>
  </si>
  <si>
    <t>Claudia Louis</t>
  </si>
  <si>
    <t>1325 Jerome Ave</t>
  </si>
  <si>
    <t>#15118</t>
  </si>
  <si>
    <t>kelly.s.g@wustl.edu</t>
  </si>
  <si>
    <t>(908) 514-9191</t>
  </si>
  <si>
    <t>Sarah Kelly</t>
  </si>
  <si>
    <t>19 Rotary Lane</t>
  </si>
  <si>
    <t>Zetcher</t>
  </si>
  <si>
    <t>2214-a</t>
  </si>
  <si>
    <t>#15124</t>
  </si>
  <si>
    <t>j.g.kershner@wustl.edu</t>
  </si>
  <si>
    <t>(917) 566-0907</t>
  </si>
  <si>
    <t>Jackie Kershner</t>
  </si>
  <si>
    <t>12 Elm Road</t>
  </si>
  <si>
    <t>#15139</t>
  </si>
  <si>
    <t>slovinlauren@gmail.com</t>
  </si>
  <si>
    <t>(1203) 913-6275</t>
  </si>
  <si>
    <t>Lauren Slovin</t>
  </si>
  <si>
    <t>21 Midwood Dr</t>
  </si>
  <si>
    <t>3310</t>
  </si>
  <si>
    <t>#15141</t>
  </si>
  <si>
    <t>hplattus@gmail.com</t>
  </si>
  <si>
    <t>(917) 664-5613</t>
  </si>
  <si>
    <t>Hilary Plattus</t>
  </si>
  <si>
    <t>111 Inverness Rd</t>
  </si>
  <si>
    <t>House 4 (Theta Xi)</t>
  </si>
  <si>
    <t>Second floor</t>
  </si>
  <si>
    <t>#15161</t>
  </si>
  <si>
    <t>h.linsky@wustl.edu</t>
  </si>
  <si>
    <t>(917) 214-1935</t>
  </si>
  <si>
    <t>Hayden Linsky</t>
  </si>
  <si>
    <t>68 Severn Street</t>
  </si>
  <si>
    <t>3320</t>
  </si>
  <si>
    <t>#15162</t>
  </si>
  <si>
    <t>i.linsky@wustl.edu</t>
  </si>
  <si>
    <t>hilary linsky</t>
  </si>
  <si>
    <t>6 kenwood drive</t>
  </si>
  <si>
    <t>#15165</t>
  </si>
  <si>
    <t>lisamichelekern@gmail.com</t>
  </si>
  <si>
    <t>(917) 696-8178</t>
  </si>
  <si>
    <t>Lisa Kern</t>
  </si>
  <si>
    <t>11 Country Club Drive</t>
  </si>
  <si>
    <t>#15138</t>
  </si>
  <si>
    <t>elianasalzberg@gmail.com</t>
  </si>
  <si>
    <t>(917) 733-0027</t>
  </si>
  <si>
    <t>Ellie Salzberg</t>
  </si>
  <si>
    <t>University Housing(TBD)</t>
  </si>
  <si>
    <t>422</t>
  </si>
  <si>
    <t>#15181</t>
  </si>
  <si>
    <t>ladden@wustl.edu</t>
  </si>
  <si>
    <t>(917) 273-2413</t>
  </si>
  <si>
    <t>Matthew Ladden</t>
  </si>
  <si>
    <t>1033</t>
  </si>
  <si>
    <t>#15191</t>
  </si>
  <si>
    <t>cynthiamillinger@gmail.com</t>
  </si>
  <si>
    <t>(609) 647-3833</t>
  </si>
  <si>
    <t>Cynthia Millinger</t>
  </si>
  <si>
    <t>11 Wilson Way S</t>
  </si>
  <si>
    <t>House 5 (Hamsini)</t>
  </si>
  <si>
    <t>302-a</t>
  </si>
  <si>
    <t>#15192</t>
  </si>
  <si>
    <t>q.sam@wustl.edu</t>
  </si>
  <si>
    <t>Sandy Quentzel</t>
  </si>
  <si>
    <t>379 Throop Avenue</t>
  </si>
  <si>
    <t>2218</t>
  </si>
  <si>
    <t>#15198</t>
  </si>
  <si>
    <t>r.mia@wustl.edu</t>
  </si>
  <si>
    <t>(914) 610-8725</t>
  </si>
  <si>
    <t>Mia Reisman</t>
  </si>
  <si>
    <t>329 Stanley Avenue</t>
  </si>
  <si>
    <t>4422 - b</t>
  </si>
  <si>
    <t>#15200</t>
  </si>
  <si>
    <t>j.g.sebag@wustl.edu</t>
  </si>
  <si>
    <t>(1917) 373-1714</t>
  </si>
  <si>
    <t>jordan sebag</t>
  </si>
  <si>
    <t>1700 Bay Boulevard</t>
  </si>
  <si>
    <t>Village East</t>
  </si>
  <si>
    <t>1111</t>
  </si>
  <si>
    <t>#15212</t>
  </si>
  <si>
    <t>leia.karczmer@gmail.com</t>
  </si>
  <si>
    <t>(646) 745-6120</t>
  </si>
  <si>
    <t>Leia Karczmer</t>
  </si>
  <si>
    <t>200 East End Ave, Apt 15J</t>
  </si>
  <si>
    <t>2221</t>
  </si>
  <si>
    <t>#15213</t>
  </si>
  <si>
    <t>addison.j.steinberg@wustl.edu</t>
  </si>
  <si>
    <t>(1917) 828-0780</t>
  </si>
  <si>
    <t>Addison Steinberg</t>
  </si>
  <si>
    <t>1045 Park Avenue</t>
  </si>
  <si>
    <t>Millbrook Bldg. 3</t>
  </si>
  <si>
    <t>303A-a</t>
  </si>
  <si>
    <t>#14235</t>
  </si>
  <si>
    <t>s.venkat@wustl.edu</t>
  </si>
  <si>
    <t>Sairisheeth Venkat</t>
  </si>
  <si>
    <t>2021-a</t>
  </si>
  <si>
    <t>Shepley</t>
  </si>
  <si>
    <t>Microwave Rental,Chef's Fridge Rental</t>
  </si>
  <si>
    <t>#14296</t>
  </si>
  <si>
    <t>h.violet@wustl.edu</t>
  </si>
  <si>
    <t>Violet Holah</t>
  </si>
  <si>
    <t>Chef's Fridge Rental</t>
  </si>
  <si>
    <t>201G - a</t>
  </si>
  <si>
    <t>#14342</t>
  </si>
  <si>
    <t>Isabella (Ava) Rome</t>
  </si>
  <si>
    <t>Double-Door Mini Fridge</t>
  </si>
  <si>
    <t>#14366</t>
  </si>
  <si>
    <t>k.swathi@wustl.edu</t>
  </si>
  <si>
    <t>Swathi Kannan</t>
  </si>
  <si>
    <t>Double-Door Mini Fridge + Microwave</t>
  </si>
  <si>
    <t>Wheeler</t>
  </si>
  <si>
    <t>Please make sure microwave and fridge are cleaned!</t>
  </si>
  <si>
    <t>#14589</t>
  </si>
  <si>
    <t>c.a.rosariocalderon@wustl.edu</t>
  </si>
  <si>
    <t>Camila Rosario</t>
  </si>
  <si>
    <t>Elliot B Suite #1060
Room Assigned #1062</t>
  </si>
  <si>
    <t>#14652</t>
  </si>
  <si>
    <t>I am moving back in on May 11th to another dorm on WashU campus because I will be serving as a summer Conference Assistant.</t>
  </si>
  <si>
    <t>#14667</t>
  </si>
  <si>
    <t>k.youbo@wustl.edu</t>
  </si>
  <si>
    <t>Alan Kong</t>
  </si>
  <si>
    <t>#14740</t>
  </si>
  <si>
    <t>s.g.wollitzer@wustl.edu</t>
  </si>
  <si>
    <t>Sophie Wollitzer</t>
  </si>
  <si>
    <t>#14803</t>
  </si>
  <si>
    <t>kimmel@wustl.edu</t>
  </si>
  <si>
    <t>Mark Kimmel</t>
  </si>
  <si>
    <t>Four boxes. I move in August 9th.</t>
  </si>
  <si>
    <t>#14927</t>
  </si>
  <si>
    <t>n.b.reichert@wustl.edu</t>
  </si>
  <si>
    <t>Nora Reichert</t>
  </si>
  <si>
    <t>01:00 PM to 03:00 PM</t>
  </si>
  <si>
    <t>Hurd</t>
  </si>
  <si>
    <t>#14938</t>
  </si>
  <si>
    <t>jordyn.m.white@wustl.edu</t>
  </si>
  <si>
    <t>Jordyn White</t>
  </si>
  <si>
    <t>3091A</t>
  </si>
  <si>
    <t>Lopata</t>
  </si>
  <si>
    <t>#14958</t>
  </si>
  <si>
    <t>berkowitz.r@wustl.edu</t>
  </si>
  <si>
    <t>(917) 921-9329</t>
  </si>
  <si>
    <t>Ryan Berkowitz</t>
  </si>
  <si>
    <t>#14960</t>
  </si>
  <si>
    <t>(857) 218-8168</t>
  </si>
  <si>
    <t>#14978</t>
  </si>
  <si>
    <t>b.b.rickert@wustl.edu</t>
  </si>
  <si>
    <t>Ben Rickert</t>
  </si>
  <si>
    <t>4081 - a</t>
  </si>
  <si>
    <t>https://admin.shopify.com/store/utrucking/orders/5835948851388?link_source=search</t>
  </si>
  <si>
    <t>#14983</t>
  </si>
  <si>
    <t>dbialick9876@wustl.edu</t>
  </si>
  <si>
    <t>201-274-4645</t>
  </si>
  <si>
    <t>Darcy Bialick</t>
  </si>
  <si>
    <t>4427</t>
  </si>
  <si>
    <t>Blair Wagner</t>
  </si>
  <si>
    <t>Freshman move in date is either the Aug 15th or 16th. Date not confirmed as of 5-13-25.</t>
  </si>
  <si>
    <t>#14999</t>
  </si>
  <si>
    <t>#15009</t>
  </si>
  <si>
    <t>d.echo@wustl.edu</t>
  </si>
  <si>
    <t>Echo Dong</t>
  </si>
  <si>
    <t>early access delivery</t>
  </si>
  <si>
    <t>#15016</t>
  </si>
  <si>
    <t>parkerdayan@gmail.com</t>
  </si>
  <si>
    <t>(917) 687-6428</t>
  </si>
  <si>
    <t>Dayan Parker</t>
  </si>
  <si>
    <t>6250 Clemens Ave, St. Louis MO 63130, Apartment 3W</t>
  </si>
  <si>
    <t>I am driving in on the 20th so closer to 4-5 would be better for me. Thanks!</t>
  </si>
  <si>
    <t>#15023</t>
  </si>
  <si>
    <t>mason.m@wustl.edu</t>
  </si>
  <si>
    <t>Mason Miller</t>
  </si>
  <si>
    <t>#15025</t>
  </si>
  <si>
    <t>k.s.tanguturi@wustl.edu</t>
  </si>
  <si>
    <t>Kashyap Tanguturi</t>
  </si>
  <si>
    <t>2182 - a</t>
  </si>
  <si>
    <t>#15030</t>
  </si>
  <si>
    <t>a.s.park@wustl.edu</t>
  </si>
  <si>
    <t>Alexander Park</t>
  </si>
  <si>
    <t>Standard Mini Fridge</t>
  </si>
  <si>
    <t>4031 - a</t>
  </si>
  <si>
    <t>#15037</t>
  </si>
  <si>
    <t>charged card used in registration for tsa home pickup -Joseph</t>
  </si>
  <si>
    <t>#15041</t>
  </si>
  <si>
    <t>cohen.h.a@wustl.edu</t>
  </si>
  <si>
    <t>Harper Cohen</t>
  </si>
  <si>
    <t>Chef's Fridge Rental,Microwave Rental</t>
  </si>
  <si>
    <t>10:00 AM to 12:00 PM</t>
  </si>
  <si>
    <t>#15054</t>
  </si>
  <si>
    <t>bess.h@wustl.edu</t>
  </si>
  <si>
    <t>Hannah Bess</t>
  </si>
  <si>
    <t>Arriving on August</t>
  </si>
  <si>
    <t>#15060</t>
  </si>
  <si>
    <t>p.tamia@wustl.edu</t>
  </si>
  <si>
    <t>Tamia Prioleau</t>
  </si>
  <si>
    <t>3422 - a</t>
  </si>
  <si>
    <t>Liggett</t>
  </si>
  <si>
    <t>https://admin.shopify.com/store/utrucking/orders/5865974038716?link_source=search</t>
  </si>
  <si>
    <t>#15064</t>
  </si>
  <si>
    <t>847-834-5775</t>
  </si>
  <si>
    <t>Asha Cobb</t>
  </si>
  <si>
    <t>3062</t>
  </si>
  <si>
    <t>Gregg</t>
  </si>
  <si>
    <t>https://admin.shopify.com/store/utrucking/orders/5867662409916?link_source=search</t>
  </si>
  <si>
    <t>#15071</t>
  </si>
  <si>
    <t>c.winfrey@wustl.edu</t>
  </si>
  <si>
    <t>813-451-6644</t>
  </si>
  <si>
    <t>Camila Winfrey</t>
  </si>
  <si>
    <t>12 Brittany Close</t>
  </si>
  <si>
    <t xml:space="preserve">Scarsdale </t>
  </si>
  <si>
    <t>New York</t>
  </si>
  <si>
    <t>United States</t>
  </si>
  <si>
    <t>3309</t>
  </si>
  <si>
    <t>#15075</t>
  </si>
  <si>
    <t>jdana0228@gmail.com</t>
  </si>
  <si>
    <t>Jocelyn Hannah</t>
  </si>
  <si>
    <t>605 Leland Avenue, Apt. 306, St. Louis, MO 63130</t>
  </si>
  <si>
    <t>Text with any questions 214-336-9342. Billed 105 on authnet</t>
  </si>
  <si>
    <t>#15084</t>
  </si>
  <si>
    <t>andrew.choi@wustl.edu</t>
  </si>
  <si>
    <t>Andrew Choi</t>
  </si>
  <si>
    <t>#15085</t>
  </si>
  <si>
    <t>#15092</t>
  </si>
  <si>
    <t>e.medvedsek@wustl.edu</t>
  </si>
  <si>
    <t>Emma Medvedsek</t>
  </si>
  <si>
    <t>Beaumont</t>
  </si>
  <si>
    <t>#15093</t>
  </si>
  <si>
    <t>m.miriam@wustl.edu</t>
  </si>
  <si>
    <t>Miriam Moyes</t>
  </si>
  <si>
    <t>#15095</t>
  </si>
  <si>
    <t>g.gavin@wustl.edu</t>
  </si>
  <si>
    <t>gavin goldsmith</t>
  </si>
  <si>
    <t>Microwave Only</t>
  </si>
  <si>
    <t>207C</t>
  </si>
  <si>
    <t>Millbrook Bldg. 1</t>
  </si>
  <si>
    <t>#15096</t>
  </si>
  <si>
    <t>(310) 980-8519</t>
  </si>
  <si>
    <t>#15101</t>
  </si>
  <si>
    <t>a.l.wu@wustl.edu</t>
  </si>
  <si>
    <t>Avery Wu</t>
  </si>
  <si>
    <t>#15109</t>
  </si>
  <si>
    <t>Alexandra Pantano</t>
  </si>
  <si>
    <t>#15110</t>
  </si>
  <si>
    <t>c.d.williams@wustl.edu</t>
  </si>
  <si>
    <t>Caitlin Williams</t>
  </si>
  <si>
    <t>201F</t>
  </si>
  <si>
    <t>#15119</t>
  </si>
  <si>
    <t>c.rena@wustl.edu</t>
  </si>
  <si>
    <t>812-558-8554</t>
  </si>
  <si>
    <t>Rena Cohen</t>
  </si>
  <si>
    <t>Microwave Rental,Double-Door Mini Fridge Rental</t>
  </si>
  <si>
    <t>3131A</t>
  </si>
  <si>
    <t>#15120</t>
  </si>
  <si>
    <t>mayaslevine@gmail.com</t>
  </si>
  <si>
    <t>Alyse Levine</t>
  </si>
  <si>
    <t>Village - 3132 - a</t>
  </si>
  <si>
    <t>#15121</t>
  </si>
  <si>
    <t>a.g.swietlikowski@wustl.edu</t>
  </si>
  <si>
    <t>Ava Swietlikowski</t>
  </si>
  <si>
    <t>We do not know our room number yet we just know we are living in Koenig</t>
  </si>
  <si>
    <t>#15122</t>
  </si>
  <si>
    <t>m.tomar@wustl.edu</t>
  </si>
  <si>
    <t>Medha Tomar</t>
  </si>
  <si>
    <t>605 Leland Ave., Apt. 608, University City, MO 63130</t>
  </si>
  <si>
    <t>#15123</t>
  </si>
  <si>
    <t>jojones320@gmail.com</t>
  </si>
  <si>
    <t>Joanna Jones</t>
  </si>
  <si>
    <t xml:space="preserve">$100 per item [Included]  </t>
  </si>
  <si>
    <t>244</t>
  </si>
  <si>
    <t>FOR ZACHARY BECKETT JONES.</t>
  </si>
  <si>
    <t>781-493-2262</t>
  </si>
  <si>
    <t>#15130</t>
  </si>
  <si>
    <t>edelstein.j@wustl.edu</t>
  </si>
  <si>
    <t>(561) 704-4339</t>
  </si>
  <si>
    <t>Jack Edelstein</t>
  </si>
  <si>
    <t>House 22</t>
  </si>
  <si>
    <t>#15132</t>
  </si>
  <si>
    <t>Sam Quentzel</t>
  </si>
  <si>
    <t>#15133</t>
  </si>
  <si>
    <t>Allison Howard</t>
  </si>
  <si>
    <t>L-237</t>
  </si>
  <si>
    <t>#15135</t>
  </si>
  <si>
    <t>r.m.sanchez@wustl.edu</t>
  </si>
  <si>
    <t>Romina Sanchez</t>
  </si>
  <si>
    <t>My daughter's move in date is August 9th.</t>
  </si>
  <si>
    <t>#15136</t>
  </si>
  <si>
    <t>b.a.villa@wustl.edu</t>
  </si>
  <si>
    <t>Isabella Villa</t>
  </si>
  <si>
    <t>Cayden Barrison</t>
  </si>
  <si>
    <t>#15140</t>
  </si>
  <si>
    <t>mcguire.n@wustl.edu</t>
  </si>
  <si>
    <t>Nicole McGuire</t>
  </si>
  <si>
    <t>McGuire room</t>
  </si>
  <si>
    <t>#15142</t>
  </si>
  <si>
    <t>okoben@wustl.edu</t>
  </si>
  <si>
    <t>Thomas Okoben</t>
  </si>
  <si>
    <t>1222-a</t>
  </si>
  <si>
    <t>#15143</t>
  </si>
  <si>
    <t>s.m.sidhu@wustl.edu</t>
  </si>
  <si>
    <t>Sophia Sidhu</t>
  </si>
  <si>
    <t>3053 suite</t>
  </si>
  <si>
    <t>moving in august 9th</t>
  </si>
  <si>
    <t>#15145</t>
  </si>
  <si>
    <t>b.broker@wustl.edu</t>
  </si>
  <si>
    <t>Ben Broker</t>
  </si>
  <si>
    <t>House 6 (Sigma Alpha Epsilon)</t>
  </si>
  <si>
    <t>Please also deliver my storage boxes and WashUWash stuff at the same time. Thanks</t>
  </si>
  <si>
    <t>#15146</t>
  </si>
  <si>
    <t>Moving in on August 19. Please deliver storage, WashUWash and appliances together. Thanks.</t>
  </si>
  <si>
    <t>#15147</t>
  </si>
  <si>
    <t>gloriadotori18@gmail.com</t>
  </si>
  <si>
    <t>Gloria Lee</t>
  </si>
  <si>
    <t>202B - A</t>
  </si>
  <si>
    <t>#15157</t>
  </si>
  <si>
    <t>jayrifkin@yahoo.com</t>
  </si>
  <si>
    <t>Jay Rifkin</t>
  </si>
  <si>
    <t>#15159</t>
  </si>
  <si>
    <t>Adam Schwartz</t>
  </si>
  <si>
    <t>1109-A</t>
  </si>
  <si>
    <t>#15160</t>
  </si>
  <si>
    <t>Anshula Greene</t>
  </si>
  <si>
    <t>Roshan Greene - 2029</t>
  </si>
  <si>
    <t>#15164</t>
  </si>
  <si>
    <t>Stephen Hall</t>
  </si>
  <si>
    <t>#15166</t>
  </si>
  <si>
    <t>Shannon Bell</t>
  </si>
  <si>
    <t>Not sure yet</t>
  </si>
  <si>
    <t>Ashton Bell freshman
Thank you!</t>
  </si>
  <si>
    <t>#15171</t>
  </si>
  <si>
    <t>jacktajkef@outlook.com</t>
  </si>
  <si>
    <t>#15172</t>
  </si>
  <si>
    <t>acosta.v@wustl.edu</t>
  </si>
  <si>
    <t>(787) 548-0701</t>
  </si>
  <si>
    <t>Veronica Acosta</t>
  </si>
  <si>
    <t>729 Westgate Ave 1S</t>
  </si>
  <si>
    <t>#15175</t>
  </si>
  <si>
    <t>Tammy Stevenson</t>
  </si>
  <si>
    <t>272-b</t>
  </si>
  <si>
    <t>#15177</t>
  </si>
  <si>
    <t>parker.s.j@wustl.edu</t>
  </si>
  <si>
    <t>Stella Parker</t>
  </si>
  <si>
    <t>4627 McPherson Ave Apt 2R, Saint Louis MO 63108</t>
  </si>
  <si>
    <t>0 / Included Insurance</t>
  </si>
  <si>
    <t>I will not be there but someone else will be to meet you. Please text her at (310) 806 1505 with any updates/questions. Thank you!</t>
  </si>
  <si>
    <t>#15178</t>
  </si>
  <si>
    <t>Lance Young</t>
  </si>
  <si>
    <t>#15182</t>
  </si>
  <si>
    <t>#15184</t>
  </si>
  <si>
    <t>a.surav@wustl.edu</t>
  </si>
  <si>
    <t>Surav Amin</t>
  </si>
  <si>
    <t>6105 Delmar Boulevard, Apt. 1121</t>
  </si>
  <si>
    <t>Home Shipping</t>
  </si>
  <si>
    <t>#15186</t>
  </si>
  <si>
    <t>ahelms123@me.com</t>
  </si>
  <si>
    <t>Andrea Helms</t>
  </si>
  <si>
    <t>#15189</t>
  </si>
  <si>
    <t>jocelyntanaka@gmail.com</t>
  </si>
  <si>
    <t>Jocelyn Tanaka</t>
  </si>
  <si>
    <t>Thank you!</t>
  </si>
  <si>
    <t>#15190</t>
  </si>
  <si>
    <t>#15196</t>
  </si>
  <si>
    <t>n.naveen@wustl.edu</t>
  </si>
  <si>
    <t>Niyati Naveen</t>
  </si>
  <si>
    <t>Please place inside room.</t>
  </si>
  <si>
    <t>#15197</t>
  </si>
  <si>
    <t>jsobel@wustl.edu</t>
  </si>
  <si>
    <t>Julia Sobel</t>
  </si>
  <si>
    <t>2206-b</t>
  </si>
  <si>
    <t>switched to home pickup</t>
  </si>
  <si>
    <t>1 (914) 610-8725</t>
  </si>
  <si>
    <t>#15199</t>
  </si>
  <si>
    <t>d.e.shin@wustl.edu</t>
  </si>
  <si>
    <t>Daniel Shin</t>
  </si>
  <si>
    <t>Single Door Fridge Rental</t>
  </si>
  <si>
    <t>Hurd-411-a</t>
  </si>
  <si>
    <t>#15201</t>
  </si>
  <si>
    <t>glassj@wustl.edu</t>
  </si>
  <si>
    <t>#15203</t>
  </si>
  <si>
    <t>gjvitolo@gmail.com</t>
  </si>
  <si>
    <t>Elizabeth Ryu</t>
  </si>
  <si>
    <t>233-a</t>
  </si>
  <si>
    <t>Hitzeman</t>
  </si>
  <si>
    <t>#15205</t>
  </si>
  <si>
    <t>bjosephine@wustl.edu</t>
  </si>
  <si>
    <t>Josephine Bruno</t>
  </si>
  <si>
    <t>Double-Door Mini Fridge + Microwave,Tri-State Area Home Pickups</t>
  </si>
  <si>
    <t>#15209</t>
  </si>
  <si>
    <t>Caroline Goldstein</t>
  </si>
  <si>
    <t>Double-Door Mini Fridge Rental</t>
  </si>
  <si>
    <t>#15210</t>
  </si>
  <si>
    <t>rdesai0609@gmail.com</t>
  </si>
  <si>
    <t>Roma Desai</t>
  </si>
  <si>
    <t>6669 Washington Avenue, Apartment 203</t>
  </si>
  <si>
    <t>if you need the access code or phone number of tenant that will be there to coordinate drop off send me email!</t>
  </si>
  <si>
    <t>#15215</t>
  </si>
  <si>
    <t>310-743-6249</t>
  </si>
  <si>
    <t>Hampton Thun</t>
  </si>
  <si>
    <t>Tau Kappa Epsilon</t>
  </si>
  <si>
    <t>As of now, I don't know the room.  Will let you know as soon as I do.</t>
  </si>
  <si>
    <t>https://utrucking.com/admin/orders/5897677144252</t>
  </si>
  <si>
    <t>#15216</t>
  </si>
  <si>
    <t>emeralda@wustl.edu</t>
  </si>
  <si>
    <t>Emeralda Jin</t>
  </si>
  <si>
    <t>12110 Cameron Drive Duluth United States</t>
  </si>
  <si>
    <t>Duluth</t>
  </si>
  <si>
    <t>Georgia</t>
  </si>
  <si>
    <t>141</t>
  </si>
  <si>
    <t xml:space="preserve">Mudd  </t>
  </si>
  <si>
    <t>https://utrucking.com/admin/orders/5897705062588</t>
  </si>
  <si>
    <t>#15217</t>
  </si>
  <si>
    <t>a.hermann@wustl.edu</t>
  </si>
  <si>
    <t>Andrew Hermann</t>
  </si>
  <si>
    <t>1070 Park Avenue Apt. 4B New York United States</t>
  </si>
  <si>
    <t>10128-1000</t>
  </si>
  <si>
    <t>2210-A</t>
  </si>
  <si>
    <t xml:space="preserve">Dardick  </t>
  </si>
  <si>
    <t>https://admin.shopify.com/store/utrucking/orders/5897718857916?link_source=search</t>
  </si>
  <si>
    <t>#15218</t>
  </si>
  <si>
    <t>cecijohnson4@gmail.com</t>
  </si>
  <si>
    <t>404-374-5992</t>
  </si>
  <si>
    <t>Caroline Johnson</t>
  </si>
  <si>
    <t>4715 Paran Valley Northwest</t>
  </si>
  <si>
    <t xml:space="preserve">Atlanta </t>
  </si>
  <si>
    <t>442</t>
  </si>
  <si>
    <t>https://admin.shopify.com/store/utrucking/orders/5897753166012?link_source=search</t>
  </si>
  <si>
    <t>#15219</t>
  </si>
  <si>
    <t>danailyse@gmail.com</t>
  </si>
  <si>
    <t>917-847-8276</t>
  </si>
  <si>
    <t>Dana Rochester</t>
  </si>
  <si>
    <t>10 Monfort Road</t>
  </si>
  <si>
    <t>Port Washington</t>
  </si>
  <si>
    <t>3330</t>
  </si>
  <si>
    <t>https://admin.shopify.com/store/utrucking/orders/5897860251836?link_source=search</t>
  </si>
  <si>
    <t>#15220</t>
  </si>
  <si>
    <t>baerwald.d@wustl.edu</t>
  </si>
  <si>
    <t>206-850-3099</t>
  </si>
  <si>
    <t>Jeannette Baerwald</t>
  </si>
  <si>
    <t>8928 NE 176th St</t>
  </si>
  <si>
    <t xml:space="preserve">Bothell </t>
  </si>
  <si>
    <t>Washington</t>
  </si>
  <si>
    <t>140</t>
  </si>
  <si>
    <t xml:space="preserve">Park  </t>
  </si>
  <si>
    <t>https://utrucking.com/admin/orders/5897863135420</t>
  </si>
  <si>
    <t>#15221</t>
  </si>
  <si>
    <t>aiaccino29@yahoo.com</t>
  </si>
  <si>
    <t>Lauren Iaccino</t>
  </si>
  <si>
    <t>6252 Penfield Avenue Woodland Hills United States</t>
  </si>
  <si>
    <t>Woodland Hills</t>
  </si>
  <si>
    <t>California</t>
  </si>
  <si>
    <t>312-a</t>
  </si>
  <si>
    <t>https://admin.shopify.com/store/utrucking/orders/5898022682812?link_source=search</t>
  </si>
  <si>
    <t>#15222</t>
  </si>
  <si>
    <t>alinoles@yahoo.com</t>
  </si>
  <si>
    <t>678-469-1975</t>
  </si>
  <si>
    <t>Ali Maher</t>
  </si>
  <si>
    <t>5380 Harrowood Lane Northwest</t>
  </si>
  <si>
    <t>412</t>
  </si>
  <si>
    <t>https://admin.shopify.com/store/utrucking/orders/5898082549948?link_source=search</t>
  </si>
  <si>
    <t>#15223</t>
  </si>
  <si>
    <t>g.gordon@wustl.edu</t>
  </si>
  <si>
    <t>240-620-1906</t>
  </si>
  <si>
    <t>Gil Gordon</t>
  </si>
  <si>
    <t>10007 Kensington Parkway</t>
  </si>
  <si>
    <t xml:space="preserve">Kensington </t>
  </si>
  <si>
    <t>Maryland</t>
  </si>
  <si>
    <t>https://admin.shopify.com/store/utrucking/orders/5898180362428?link_source=search</t>
  </si>
  <si>
    <t>#15224</t>
  </si>
  <si>
    <t>310-418-2714</t>
  </si>
  <si>
    <t>Stacey Levy</t>
  </si>
  <si>
    <t>15709 Milbank Street</t>
  </si>
  <si>
    <t xml:space="preserve">Encino </t>
  </si>
  <si>
    <t>4421</t>
  </si>
  <si>
    <t>https://utrucking.com/admin/orders/5898283614396</t>
  </si>
  <si>
    <t>#15225</t>
  </si>
  <si>
    <t>eiram777@comcast.net</t>
  </si>
  <si>
    <t>Marie Skwirblies</t>
  </si>
  <si>
    <t>428 Fairway Dr Bartlett United States</t>
  </si>
  <si>
    <t>Bartlett</t>
  </si>
  <si>
    <t>Illinois</t>
  </si>
  <si>
    <t>3134</t>
  </si>
  <si>
    <t xml:space="preserve">Village House  </t>
  </si>
  <si>
    <t>https://utrucking.com/admin/orders/5898324410556</t>
  </si>
  <si>
    <t>#15226</t>
  </si>
  <si>
    <t>g.r.garcia@wustl.edu</t>
  </si>
  <si>
    <t>Gabriella Garcia</t>
  </si>
  <si>
    <t>1426 Canyon Rim Dr NE Albuquerque United States</t>
  </si>
  <si>
    <t>Albuquerque</t>
  </si>
  <si>
    <t>New Mexico</t>
  </si>
  <si>
    <t>203</t>
  </si>
  <si>
    <t xml:space="preserve">09:00 AM to 11:00 AM  </t>
  </si>
  <si>
    <t xml:space="preserve">Eliot A  </t>
  </si>
  <si>
    <t>https://utrucking.com/admin/orders/5898432577724</t>
  </si>
  <si>
    <t>#15227</t>
  </si>
  <si>
    <t>ecarrott@hotmail.com</t>
  </si>
  <si>
    <t>Elizabeth Minnigh</t>
  </si>
  <si>
    <t>3854 N Upland St Arlington United States</t>
  </si>
  <si>
    <t>Arlington</t>
  </si>
  <si>
    <t>Virginia</t>
  </si>
  <si>
    <t xml:space="preserve">Danforth  </t>
  </si>
  <si>
    <t>https://utrucking.com/admin/orders/5898465345724</t>
  </si>
  <si>
    <t>#15228</t>
  </si>
  <si>
    <t>cyung@wustl.edu</t>
  </si>
  <si>
    <t>Casey Yung</t>
  </si>
  <si>
    <t>18 Warford Terrace Orinda United States</t>
  </si>
  <si>
    <t>Orinda</t>
  </si>
  <si>
    <t>441</t>
  </si>
  <si>
    <t>https://utrucking.com/admin/orders/5898488905916</t>
  </si>
  <si>
    <t>#15229</t>
  </si>
  <si>
    <t>acaitlin@wustl.edu</t>
  </si>
  <si>
    <t>Caitlin Alfaro</t>
  </si>
  <si>
    <t>28 Black Pine Lane Lumberton United States</t>
  </si>
  <si>
    <t>Lumberton</t>
  </si>
  <si>
    <t>New Jersey</t>
  </si>
  <si>
    <t>104C-b</t>
  </si>
  <si>
    <t xml:space="preserve">Millbrook Bldg. 2  </t>
  </si>
  <si>
    <t>https://utrucking.com/admin/orders/5898491166908</t>
  </si>
  <si>
    <t>#15230</t>
  </si>
  <si>
    <t>https://utrucking.com/admin/orders/5898525311164</t>
  </si>
  <si>
    <t>#15232</t>
  </si>
  <si>
    <t>m.h.ryu@wustl.edu</t>
  </si>
  <si>
    <t>Maya Ryu</t>
  </si>
  <si>
    <t>4914 41st Street Northwest Washington United States</t>
  </si>
  <si>
    <t>District of Columbia</t>
  </si>
  <si>
    <t>201A - a</t>
  </si>
  <si>
    <t xml:space="preserve">Millbrook Bldg. 3  </t>
  </si>
  <si>
    <t>https://admin.shopify.com/store/utrucking/orders/5898534977724?link_source=search</t>
  </si>
  <si>
    <t>#15233</t>
  </si>
  <si>
    <t>oliviacq@icloud.com</t>
  </si>
  <si>
    <t>872-230-1759</t>
  </si>
  <si>
    <t>Olivia Quinn</t>
  </si>
  <si>
    <t>1242 N Lake Shore Dr</t>
  </si>
  <si>
    <t>Chicago</t>
  </si>
  <si>
    <t>https://utrucking.com/admin/orders/5898994155708</t>
  </si>
  <si>
    <t>#15236</t>
  </si>
  <si>
    <t>a.kalbag@wustl.edu</t>
  </si>
  <si>
    <t>Arjun Kalbag</t>
  </si>
  <si>
    <t>152 East 87th Street New York United States</t>
  </si>
  <si>
    <t>Connecticut</t>
  </si>
  <si>
    <t>3341</t>
  </si>
  <si>
    <t xml:space="preserve">Umrath  </t>
  </si>
  <si>
    <t>https://utrucking.com/admin/orders/5899120771260</t>
  </si>
  <si>
    <t>#15237</t>
  </si>
  <si>
    <t>Olivia Vanlandingham</t>
  </si>
  <si>
    <t>309 Le Jeune Way Birmingham United States</t>
  </si>
  <si>
    <t>Birmingham</t>
  </si>
  <si>
    <t>Alabama</t>
  </si>
  <si>
    <t>380</t>
  </si>
  <si>
    <t>https://utrucking.com/admin/orders/5899149574332</t>
  </si>
  <si>
    <t>#15239</t>
  </si>
  <si>
    <t>f.perez@wustl.edu</t>
  </si>
  <si>
    <t>Francisco Perez</t>
  </si>
  <si>
    <t>4747 N Kenneth Ave Apt 3 Chicago United States</t>
  </si>
  <si>
    <t>110</t>
  </si>
  <si>
    <t xml:space="preserve">House 5 (Hamsini)  </t>
  </si>
  <si>
    <t>https://admin.shopify.com/store/utrucking/orders/5899173920956?link_source=search</t>
  </si>
  <si>
    <t>#15240</t>
  </si>
  <si>
    <t>lesliedschwartz@gmail.com</t>
  </si>
  <si>
    <t>914-325-2266</t>
  </si>
  <si>
    <t>Leslie Schwartz</t>
  </si>
  <si>
    <t>7 Milford Dr</t>
  </si>
  <si>
    <t>White Plains</t>
  </si>
  <si>
    <t>4409-A</t>
  </si>
  <si>
    <t xml:space="preserve">12:00 PM to 02:00 PM  </t>
  </si>
  <si>
    <t>https://admin.shopify.com/store/utrucking/orders/5899236901052?link_source=search</t>
  </si>
  <si>
    <t>#15241</t>
  </si>
  <si>
    <t>Topangachan@gmail.com</t>
  </si>
  <si>
    <t>415-649-9362</t>
  </si>
  <si>
    <t>sam williams</t>
  </si>
  <si>
    <t>1405 serrano PI Apt B</t>
  </si>
  <si>
    <t>Redding</t>
  </si>
  <si>
    <t>Microwave Rental Return</t>
  </si>
  <si>
    <t>https://utrucking.com/admin/orders/5899278713020</t>
  </si>
  <si>
    <t>#15242</t>
  </si>
  <si>
    <t xml:space="preserve">Jonathan  Rosenberg </t>
  </si>
  <si>
    <t>Highland Park</t>
  </si>
  <si>
    <t>https://utrucking.com/admin/orders/5899279007932</t>
  </si>
  <si>
    <t>#15243</t>
  </si>
  <si>
    <t>washko@wustl.edu</t>
  </si>
  <si>
    <t xml:space="preserve">William  Washko </t>
  </si>
  <si>
    <t>West Roxbury</t>
  </si>
  <si>
    <t>Massachusetts</t>
  </si>
  <si>
    <t>1084 - a</t>
  </si>
  <si>
    <t>https://utrucking.com/admin/orders/5899315642556</t>
  </si>
  <si>
    <t>#15244</t>
  </si>
  <si>
    <t xml:space="preserve">Emily  Kobelski </t>
  </si>
  <si>
    <t>Andover</t>
  </si>
  <si>
    <t>4160</t>
  </si>
  <si>
    <t>https://utrucking.com/admin/orders/5899375313084</t>
  </si>
  <si>
    <t>#15245</t>
  </si>
  <si>
    <t xml:space="preserve">jackie  shurslep </t>
  </si>
  <si>
    <t>Larchmont</t>
  </si>
  <si>
    <t>1116</t>
  </si>
  <si>
    <t xml:space="preserve">Lien  </t>
  </si>
  <si>
    <t>https://utrucking.com/admin/orders/5899380981948</t>
  </si>
  <si>
    <t>#15246</t>
  </si>
  <si>
    <t>h.serene@wustl.edu</t>
  </si>
  <si>
    <t xml:space="preserve">Erica  Harris </t>
  </si>
  <si>
    <t>Lawrenceville</t>
  </si>
  <si>
    <t>210</t>
  </si>
  <si>
    <t xml:space="preserve">House 1 (Alpha Delta Phi)  </t>
  </si>
  <si>
    <t>https://utrucking.com/admin/orders/5899398512828</t>
  </si>
  <si>
    <t>#15247</t>
  </si>
  <si>
    <t>atticks@wustl.edu</t>
  </si>
  <si>
    <t xml:space="preserve">Andrea  Atticks </t>
  </si>
  <si>
    <t>Cockeysville</t>
  </si>
  <si>
    <t>21030-1724</t>
  </si>
  <si>
    <t>1112</t>
  </si>
  <si>
    <t xml:space="preserve">Koenig  </t>
  </si>
  <si>
    <t>https://utrucking.com/admin/orders/5899539480764</t>
  </si>
  <si>
    <t>#15248</t>
  </si>
  <si>
    <t>marci_sherman@hotmail.com</t>
  </si>
  <si>
    <t xml:space="preserve"> </t>
  </si>
  <si>
    <t xml:space="preserve">Marci  Rosenblatt </t>
  </si>
  <si>
    <t>Lafayette</t>
  </si>
  <si>
    <t>Missouri</t>
  </si>
  <si>
    <t>441b</t>
  </si>
  <si>
    <t>https://utrucking.com/admin/orders/5899755684028</t>
  </si>
  <si>
    <t>#15250</t>
  </si>
  <si>
    <t>mhwtan@gmail.com</t>
  </si>
  <si>
    <t xml:space="preserve">Tan  18 Misty Acres Rd </t>
  </si>
  <si>
    <t>https://utrucking.com/admin/orders/5899777736892</t>
  </si>
  <si>
    <t>#15251</t>
  </si>
  <si>
    <t>g.lanzillo@wustl.edu</t>
  </si>
  <si>
    <t xml:space="preserve">Gemma  Lanzillo </t>
  </si>
  <si>
    <t>Stafford</t>
  </si>
  <si>
    <t>2052-a</t>
  </si>
  <si>
    <t xml:space="preserve">Shepley  </t>
  </si>
  <si>
    <t>https://utrucking.com/admin/orders/5899791564988</t>
  </si>
  <si>
    <t>#15252</t>
  </si>
  <si>
    <t>fike@wustl.edu</t>
  </si>
  <si>
    <t xml:space="preserve">Lisa  Fike </t>
  </si>
  <si>
    <t>Plainfield</t>
  </si>
  <si>
    <t>4032</t>
  </si>
  <si>
    <t xml:space="preserve">Wheeler  </t>
  </si>
  <si>
    <t>https://utrucking.com/admin/orders/5899837145276</t>
  </si>
  <si>
    <t>#15253</t>
  </si>
  <si>
    <t>lisapetlak@hotmail.com</t>
  </si>
  <si>
    <t xml:space="preserve">Lisa  Petlak </t>
  </si>
  <si>
    <t>Los Angeles</t>
  </si>
  <si>
    <t>90035-3218</t>
  </si>
  <si>
    <t>https://utrucking.com/admin/orders/5900006424764</t>
  </si>
  <si>
    <t>#15254</t>
  </si>
  <si>
    <t xml:space="preserve">Emily  Pocrass </t>
  </si>
  <si>
    <t>1870 Patrick Henry Drive</t>
  </si>
  <si>
    <t>232</t>
  </si>
  <si>
    <t>https://utrucking.com/admin/orders/5900080283836</t>
  </si>
  <si>
    <t>#15255</t>
  </si>
  <si>
    <t>lorieclassner@gmail.com</t>
  </si>
  <si>
    <t xml:space="preserve">Ethan  Lassner </t>
  </si>
  <si>
    <t>13548 Valley Vista Boulevard</t>
  </si>
  <si>
    <t>Sherman Oaks</t>
  </si>
  <si>
    <t>1082-a</t>
  </si>
  <si>
    <t>13548 Valley Vista Blvd. Sherman Oaks, CA 91423</t>
  </si>
  <si>
    <t>https://utrucking.com/admin/orders/5900083265724</t>
  </si>
  <si>
    <t>#15256</t>
  </si>
  <si>
    <t>b.e.veiel@wustl.edu</t>
  </si>
  <si>
    <t xml:space="preserve">Lori  Veiel </t>
  </si>
  <si>
    <t>448 Arundel Beach Road</t>
  </si>
  <si>
    <t>Severna Park</t>
  </si>
  <si>
    <t>3373-a</t>
  </si>
  <si>
    <t xml:space="preserve">Liggett  </t>
  </si>
  <si>
    <t>https://utrucking.com/admin/orders/5900089852092</t>
  </si>
  <si>
    <t>#15257</t>
  </si>
  <si>
    <t>hgrossman05@gmail.com</t>
  </si>
  <si>
    <t xml:space="preserve">Harrison  Grossman </t>
  </si>
  <si>
    <t>17019 Brookwood Dr</t>
  </si>
  <si>
    <t>Boca Raton</t>
  </si>
  <si>
    <t>Florida</t>
  </si>
  <si>
    <t>100 N Kingshighway Blvd St Louis MO 63108</t>
  </si>
  <si>
    <t>https://utrucking.com/admin/orders/5900123701436</t>
  </si>
  <si>
    <t>#15259</t>
  </si>
  <si>
    <t>katiemeggers@gmail.com</t>
  </si>
  <si>
    <t xml:space="preserve">Julie  Meggers </t>
  </si>
  <si>
    <t>1815 Port Ashley Place</t>
  </si>
  <si>
    <t>Newport Beach</t>
  </si>
  <si>
    <t>92660-5337</t>
  </si>
  <si>
    <t>L230-a</t>
  </si>
  <si>
    <t>1815 Port Ashley Place, 92660 Newport Beach, CA</t>
  </si>
  <si>
    <t>https://utrucking.com/admin/orders/5900123734204</t>
  </si>
  <si>
    <t>#15260</t>
  </si>
  <si>
    <t>j.todfield118@gmail.com</t>
  </si>
  <si>
    <t xml:space="preserve">Jamie  pastrano </t>
  </si>
  <si>
    <t>70 Little West StApt 24F</t>
  </si>
  <si>
    <t>3309-a</t>
  </si>
  <si>
    <t>70 little west street, Apt 24 f
New York ,NY 10004</t>
  </si>
  <si>
    <t>https://admin.shopify.com/store/utrucking/orders/5900167545020?link_source=search</t>
  </si>
  <si>
    <t>#15261</t>
  </si>
  <si>
    <t>raynathakkar25@gmail.com</t>
  </si>
  <si>
    <t>412-495-7562</t>
  </si>
  <si>
    <t>Shyam Thakkar</t>
  </si>
  <si>
    <t>1124 Castletown Ct</t>
  </si>
  <si>
    <t xml:space="preserve">Sewickley </t>
  </si>
  <si>
    <t>Pennsylvania</t>
  </si>
  <si>
    <t>https://admin.shopify.com/store/utrucking/orders/5900177113276?link_source=search</t>
  </si>
  <si>
    <t>#15262</t>
  </si>
  <si>
    <t>ngoldstone130@yahoo.com</t>
  </si>
  <si>
    <t>508-314-5411</t>
  </si>
  <si>
    <t>Nancy Goldstone</t>
  </si>
  <si>
    <t>13 Pinewood Drive</t>
  </si>
  <si>
    <t xml:space="preserve">Framingham </t>
  </si>
  <si>
    <t>PO 01701</t>
  </si>
  <si>
    <t>https://utrucking.com/admin/orders/5900186910908</t>
  </si>
  <si>
    <t>#15263</t>
  </si>
  <si>
    <t>allisonstern@hotmail.com</t>
  </si>
  <si>
    <t xml:space="preserve">Allison  Samek </t>
  </si>
  <si>
    <t>498 South Spalding Drive</t>
  </si>
  <si>
    <t>Beverly Hills</t>
  </si>
  <si>
    <t>219A</t>
  </si>
  <si>
    <t xml:space="preserve">Lee  </t>
  </si>
  <si>
    <t>https://utrucking.com/admin/orders/5900228886716</t>
  </si>
  <si>
    <t>#15264</t>
  </si>
  <si>
    <t>chanel7557@yahoo.com</t>
  </si>
  <si>
    <t xml:space="preserve">Chanel  Bell </t>
  </si>
  <si>
    <t>West Chester</t>
  </si>
  <si>
    <t>2220</t>
  </si>
  <si>
    <t>https://utrucking.com/admin/orders/5900252807356</t>
  </si>
  <si>
    <t>#15265</t>
  </si>
  <si>
    <t>walkerfamilycinco@yahoo.com</t>
  </si>
  <si>
    <t xml:space="preserve">Layla  Walker </t>
  </si>
  <si>
    <t>1900 Fieldstone Way</t>
  </si>
  <si>
    <t>Frederick</t>
  </si>
  <si>
    <t>491A</t>
  </si>
  <si>
    <t>1900 Fieldstone Way, Frederick, MD 21702</t>
  </si>
  <si>
    <t>https://utrucking.com/admin/orders/5900316573884</t>
  </si>
  <si>
    <t>#15266</t>
  </si>
  <si>
    <t>p.rex@wustl.edu</t>
  </si>
  <si>
    <t xml:space="preserve">Rex  Paster </t>
  </si>
  <si>
    <t>305 Grove Street</t>
  </si>
  <si>
    <t>Glencoe</t>
  </si>
  <si>
    <t>3339</t>
  </si>
  <si>
    <t>https://utrucking.com/admin/orders/5900318474428</t>
  </si>
  <si>
    <t>#15267</t>
  </si>
  <si>
    <t xml:space="preserve">stacey  zoland </t>
  </si>
  <si>
    <t>9 foxhall place</t>
  </si>
  <si>
    <t>scarsdale</t>
  </si>
  <si>
    <t>133-a</t>
  </si>
  <si>
    <t xml:space="preserve">Dauten  </t>
  </si>
  <si>
    <t>https://utrucking.com/admin/orders/5900342067388</t>
  </si>
  <si>
    <t>#15268</t>
  </si>
  <si>
    <t>d.mingyue@wustl.edu</t>
  </si>
  <si>
    <t xml:space="preserve">Mingyue  Ding </t>
  </si>
  <si>
    <t>6985 Snow Way Drive</t>
  </si>
  <si>
    <t>St. Louis</t>
  </si>
  <si>
    <t>209 - a</t>
  </si>
  <si>
    <t>House 1</t>
  </si>
  <si>
    <t>https://utrucking.com/admin/orders/5900610175164</t>
  </si>
  <si>
    <t>#15269</t>
  </si>
  <si>
    <t>sophia.hasan@icloud.com</t>
  </si>
  <si>
    <t xml:space="preserve">Sophia  Hasan </t>
  </si>
  <si>
    <t>111 Singletree Road</t>
  </si>
  <si>
    <t>Orland Park</t>
  </si>
  <si>
    <t>309</t>
  </si>
  <si>
    <t>111 Singletree Road, Orland Park, Illinois, 60467</t>
  </si>
  <si>
    <t>https://utrucking.com/admin/orders/5900653166780</t>
  </si>
  <si>
    <t>#15270</t>
  </si>
  <si>
    <t>rwsolovy@yahoo.com</t>
  </si>
  <si>
    <t xml:space="preserve">Rebecca  Solovy </t>
  </si>
  <si>
    <t>4504 Windsor Lane</t>
  </si>
  <si>
    <t>Bethesda</t>
  </si>
  <si>
    <t>1236-b</t>
  </si>
  <si>
    <t>https://utrucking.com/admin/orders/5900679708860</t>
  </si>
  <si>
    <t>#15271</t>
  </si>
  <si>
    <t xml:space="preserve">Jara  Shapiro </t>
  </si>
  <si>
    <t>6322 Alcott Road</t>
  </si>
  <si>
    <t>7024 Forsyth Blvd, Apt 1E- Back room</t>
  </si>
  <si>
    <t>6322 Alcott Road, Bethesda, MD 20817</t>
  </si>
  <si>
    <t>https://utrucking.com/admin/orders/5900705693884</t>
  </si>
  <si>
    <t>#15272</t>
  </si>
  <si>
    <t xml:space="preserve">Emily  Perlis </t>
  </si>
  <si>
    <t>609 Braeburn Ln</t>
  </si>
  <si>
    <t>Penn Valley</t>
  </si>
  <si>
    <t>414</t>
  </si>
  <si>
    <t>https://utrucking.com/admin/orders/5900706185404</t>
  </si>
  <si>
    <t>#15273</t>
  </si>
  <si>
    <t xml:space="preserve">Natalie  Glassie </t>
  </si>
  <si>
    <t>6235 Southwood Avenue</t>
  </si>
  <si>
    <t>316 West 104 Street; 4A
New York, NY 10025</t>
  </si>
  <si>
    <t>https://utrucking.com/admin/orders/5900738887868</t>
  </si>
  <si>
    <t>#15274</t>
  </si>
  <si>
    <t xml:space="preserve">Samantha  Jacknis </t>
  </si>
  <si>
    <t>79 High Street</t>
  </si>
  <si>
    <t>East Williston County</t>
  </si>
  <si>
    <t>232A</t>
  </si>
  <si>
    <t xml:space="preserve">Hitzeman  </t>
  </si>
  <si>
    <t>79 High Street
East Williston, NY 11596</t>
  </si>
  <si>
    <t>https://utrucking.com/admin/orders/5900755337404</t>
  </si>
  <si>
    <t>#15275</t>
  </si>
  <si>
    <t>orbucho2006@gmail.com</t>
  </si>
  <si>
    <t>Olivia Orbuch</t>
  </si>
  <si>
    <t>1723 s corning street</t>
  </si>
  <si>
    <t>Los Angles</t>
  </si>
  <si>
    <t>﻿﻿ Non-University Housing</t>
  </si>
  <si>
    <t>7036 Forsyth Blvd</t>
  </si>
  <si>
    <t>https://utrucking.com/admin/orders/5900791414972</t>
  </si>
  <si>
    <t>#15276</t>
  </si>
  <si>
    <t>g.kogan@wustl.edu</t>
  </si>
  <si>
    <t>Gabrielle Kogan</t>
  </si>
  <si>
    <t>39 Orchard Hill Rd</t>
  </si>
  <si>
    <t>Katonah</t>
  </si>
  <si>
    <t xml:space="preserve"> Double-Door Mini Fridge + Microwave</t>
  </si>
  <si>
    <t xml:space="preserve">﻿﻿ </t>
  </si>
  <si>
    <t>321</t>
  </si>
  <si>
    <t xml:space="preserve">Beaumont  </t>
  </si>
  <si>
    <t>﻿﻿ University Housing</t>
  </si>
  <si>
    <t>https://utrucking.com/admin/orders/5900814680252</t>
  </si>
  <si>
    <t>#15277</t>
  </si>
  <si>
    <t>lloyd mallah</t>
  </si>
  <si>
    <t>Rye Brook</t>
  </si>
  <si>
    <t>03:00 PM to 05:00 PM</t>
  </si>
  <si>
    <t>6843 Kingsbury Blvd
Apartment 1E
St. Louis, MO 63130</t>
  </si>
  <si>
    <t>https://utrucking.com/admin/orders/5900867436732</t>
  </si>
  <si>
    <t>#15278</t>
  </si>
  <si>
    <t>Rebecca Burack</t>
  </si>
  <si>
    <t>Newton</t>
  </si>
  <si>
    <t xml:space="preserve"> Double-Door Mini Fridge</t>
  </si>
  <si>
    <t>https://utrucking.com/admin/orders/5900873597116</t>
  </si>
  <si>
    <t>#15279</t>
  </si>
  <si>
    <t>Lindsay Fauntleroy</t>
  </si>
  <si>
    <t>423 River Mews Ln</t>
  </si>
  <si>
    <t>Edgewater</t>
  </si>
  <si>
    <t xml:space="preserve">Nationwide Ship to School </t>
  </si>
  <si>
    <t>306</t>
  </si>
  <si>
    <t>423 river mews lane
Edgewater, NJ 07020</t>
  </si>
  <si>
    <t>https://utrucking.com/admin/orders/5900916162748</t>
  </si>
  <si>
    <t>#15280</t>
  </si>
  <si>
    <t>Daria Reznikova</t>
  </si>
  <si>
    <t>35 West 71st Street</t>
  </si>
  <si>
    <t>222A</t>
  </si>
  <si>
    <t>35 W 71st, apt 2, New York NY 10023</t>
  </si>
  <si>
    <t>https://utrucking.com/admin/orders/5900932972732</t>
  </si>
  <si>
    <t>#15281</t>
  </si>
  <si>
    <t>Abigail Carlo</t>
  </si>
  <si>
    <t>27 Salisbury Drive</t>
  </si>
  <si>
    <t>Westwood</t>
  </si>
  <si>
    <t>424B</t>
  </si>
  <si>
    <t xml:space="preserve">Hurd  </t>
  </si>
  <si>
    <t>Abigail Carlo, 27 Salisbury Drive, Westwood, MA 02090</t>
  </si>
  <si>
    <t>https://utrucking.com/admin/orders/5900954435772</t>
  </si>
  <si>
    <t>#15282</t>
  </si>
  <si>
    <t>Leah Shandler</t>
  </si>
  <si>
    <t>271 Fox Meadow Rd</t>
  </si>
  <si>
    <t>Scarsdale</t>
  </si>
  <si>
    <t>232-b</t>
  </si>
  <si>
    <t>271 Fox Meadow Road, Scarsdale, New York 10583</t>
  </si>
  <si>
    <t>https://utrucking.com/admin/orders/5900996706492</t>
  </si>
  <si>
    <t>#15283</t>
  </si>
  <si>
    <t>susanschober@comcast.net</t>
  </si>
  <si>
    <t>Susan Schober</t>
  </si>
  <si>
    <t>1714 Asbury Avenue</t>
  </si>
  <si>
    <t>Evanston</t>
  </si>
  <si>
    <t>2234</t>
  </si>
  <si>
    <t>https://utrucking.com/admin/orders/5901001392316</t>
  </si>
  <si>
    <t>#15284</t>
  </si>
  <si>
    <t>talykaplan@gmail.com</t>
  </si>
  <si>
    <t>Taly Kaplan</t>
  </si>
  <si>
    <t>18 Rene Drive</t>
  </si>
  <si>
    <t>Marlboro</t>
  </si>
  <si>
    <t>3081</t>
  </si>
  <si>
    <t xml:space="preserve">House 21 (Alpha Epsilon Pi)  </t>
  </si>
  <si>
    <t>https://utrucking.com/admin/orders/5901019447484</t>
  </si>
  <si>
    <t>#15285</t>
  </si>
  <si>
    <t>phweinberg@yahoo.com</t>
  </si>
  <si>
    <t>Philip Weinberg</t>
  </si>
  <si>
    <t>12 Annette Way Jericho, NY</t>
  </si>
  <si>
    <t>Jericho</t>
  </si>
  <si>
    <t>3160 A</t>
  </si>
  <si>
    <t xml:space="preserve">Zetcher  </t>
  </si>
  <si>
    <t>12 Annette Way
Jericho, NY 11753</t>
  </si>
  <si>
    <t>https://utrucking.com/admin/orders/5901064863932</t>
  </si>
  <si>
    <t>#15286</t>
  </si>
  <si>
    <t>freedman.g@wustl.edu</t>
  </si>
  <si>
    <t>Gabriel Freedman</t>
  </si>
  <si>
    <t>526 North Saltair Avenue</t>
  </si>
  <si>
    <t>305</t>
  </si>
  <si>
    <t xml:space="preserve">House 6 (Sigma Alpha Epsilon)  </t>
  </si>
  <si>
    <t>https://utrucking.com/admin/orders/5901173391548</t>
  </si>
  <si>
    <t>#15287</t>
  </si>
  <si>
    <t>gabiphillips06@gmail.com</t>
  </si>
  <si>
    <t>Elizabeth Phillips</t>
  </si>
  <si>
    <t>6136 SW Luradel St</t>
  </si>
  <si>
    <t>Portland</t>
  </si>
  <si>
    <t>Oregon</t>
  </si>
  <si>
    <t>142</t>
  </si>
  <si>
    <t>https://utrucking.com/admin/orders/5901478101180</t>
  </si>
  <si>
    <t>#15288</t>
  </si>
  <si>
    <t>Sophia Hasan</t>
  </si>
  <si>
    <t>https://utrucking.com/admin/orders/5901515456700</t>
  </si>
  <si>
    <t>#15289</t>
  </si>
  <si>
    <t>Arthur Nwobi</t>
  </si>
  <si>
    <t>Newark</t>
  </si>
  <si>
    <t xml:space="preserve"> Standard Mini Fridge</t>
  </si>
  <si>
    <t>111</t>
  </si>
  <si>
    <t>https://utrucking.com/admin/orders/5901577748668</t>
  </si>
  <si>
    <t>#15290</t>
  </si>
  <si>
    <t>Cherie Sidhu</t>
  </si>
  <si>
    <t>1420 Stone Gate Dr</t>
  </si>
  <si>
    <t>Shelby</t>
  </si>
  <si>
    <t>North Carolina</t>
  </si>
  <si>
    <t>3053</t>
  </si>
  <si>
    <t xml:space="preserve">01:00 PM to 03:00 PM  </t>
  </si>
  <si>
    <t xml:space="preserve">Nemerov  </t>
  </si>
  <si>
    <t>https://utrucking.com/admin/orders/5901603799228</t>
  </si>
  <si>
    <t>#15291</t>
  </si>
  <si>
    <t>https://utrucking.com/admin/orders/5901666615484</t>
  </si>
  <si>
    <t>#15292</t>
  </si>
  <si>
    <t>Barbara Hirsch</t>
  </si>
  <si>
    <t>12 Hamilton Rd</t>
  </si>
  <si>
    <t>Wellesley</t>
  </si>
  <si>
    <t xml:space="preserve"> Standard Mini Fridge + Microwave</t>
  </si>
  <si>
    <t>2207</t>
  </si>
  <si>
    <t>https://utrucking.com/admin/orders/5901762691260</t>
  </si>
  <si>
    <t>#15293</t>
  </si>
  <si>
    <t>Ian Shurslep</t>
  </si>
  <si>
    <t>304C (Moving in on 17th)</t>
  </si>
  <si>
    <t xml:space="preserve">11:00 AM to 01:00 PM  </t>
  </si>
  <si>
    <t xml:space="preserve">Millbrook Bldg. 4  </t>
  </si>
  <si>
    <t>https://utrucking.com/admin/orders/5901819445436</t>
  </si>
  <si>
    <t>#15294</t>
  </si>
  <si>
    <t>jamesopollack@gmail.com</t>
  </si>
  <si>
    <t>James Pollack</t>
  </si>
  <si>
    <t>3104</t>
  </si>
  <si>
    <t>210 W. 101st Street, Apt. 15L
New York, NY 10025</t>
  </si>
  <si>
    <t>https://utrucking.com/admin/orders/5901823344828</t>
  </si>
  <si>
    <t>#15295</t>
  </si>
  <si>
    <t>abergel@wustl.edu</t>
  </si>
  <si>
    <t>Noa Abergel</t>
  </si>
  <si>
    <t>Livingston</t>
  </si>
  <si>
    <t>4427-b</t>
  </si>
  <si>
    <t>8 Grasmere Court, Livingston, NJ, 07039</t>
  </si>
  <si>
    <t>https://utrucking.com/admin/orders/5902055866556</t>
  </si>
  <si>
    <t>#15296</t>
  </si>
  <si>
    <t>jungmin.yu@gmail.com</t>
  </si>
  <si>
    <t>Jungmin Yu</t>
  </si>
  <si>
    <t>Los Altos</t>
  </si>
  <si>
    <t>4405-a</t>
  </si>
  <si>
    <t>https://utrucking.com/admin/orders/5902234190012</t>
  </si>
  <si>
    <t>#15297</t>
  </si>
  <si>
    <t>ethannus07@gmail.com</t>
  </si>
  <si>
    <t>Ethan Nus</t>
  </si>
  <si>
    <t>Hewlett</t>
  </si>
  <si>
    <t>9 Dune rd
Hewlett, NY 11557</t>
  </si>
  <si>
    <t>https://utrucking.com/admin/orders/5902261616828</t>
  </si>
  <si>
    <t>#15298</t>
  </si>
  <si>
    <t>Sydney Starkey</t>
  </si>
  <si>
    <t>Sleepy Hollow</t>
  </si>
  <si>
    <t>124 B</t>
  </si>
  <si>
    <t xml:space="preserve">Rutledge  </t>
  </si>
  <si>
    <t>199 Webber Avenue
Sleepy Hollow, NY 10591</t>
  </si>
  <si>
    <t>https://utrucking.com/admin/orders/5902266269884</t>
  </si>
  <si>
    <t>#15299</t>
  </si>
  <si>
    <t>Michael Menis</t>
  </si>
  <si>
    <t>Dunwody</t>
  </si>
  <si>
    <t>2204</t>
  </si>
  <si>
    <t>5267 Lakesprings Dr
Dunwoody GA, 30338</t>
  </si>
  <si>
    <t>https://utrucking.com/admin/orders/5902278230204</t>
  </si>
  <si>
    <t>#15300</t>
  </si>
  <si>
    <t>tylero87@icloud.com</t>
  </si>
  <si>
    <t>Tyler Osit</t>
  </si>
  <si>
    <t>Roslyn</t>
  </si>
  <si>
    <t>241 a</t>
  </si>
  <si>
    <t>46 Flamingo Road Roslyn New York</t>
  </si>
  <si>
    <t>https://utrucking.com/admin/orders/5902403600572</t>
  </si>
  <si>
    <t>#15302</t>
  </si>
  <si>
    <t>jenrussellpdx@gmail.com</t>
  </si>
  <si>
    <t>Jen Russell</t>
  </si>
  <si>
    <t>4239 NW Twilight Terrace</t>
  </si>
  <si>
    <t>4239 NW Twilight Terrace 
Portland OR 97229</t>
  </si>
  <si>
    <t>https://utrucking.com/admin/orders/5902510555324</t>
  </si>
  <si>
    <t>#15303</t>
  </si>
  <si>
    <t>jshurslep@gmail.com</t>
  </si>
  <si>
    <t>jackie Shurslep</t>
  </si>
  <si>
    <t>34 Beach Ave</t>
  </si>
  <si>
    <t>10538-4002</t>
  </si>
  <si>
    <t>34 beach avenue 
larchmont, ny 10538</t>
  </si>
  <si>
    <t>https://utrucking.com/admin/orders/5902522712252</t>
  </si>
  <si>
    <t>#15304</t>
  </si>
  <si>
    <t>brigidomatt@gmail.com</t>
  </si>
  <si>
    <t>Matthew Brigido</t>
  </si>
  <si>
    <t>1059 Reed Avenue</t>
  </si>
  <si>
    <t>Sunnyvale</t>
  </si>
  <si>
    <t xml:space="preserve">306C </t>
  </si>
  <si>
    <t xml:space="preserve">Loop Loft 6263  </t>
  </si>
  <si>
    <t>1059 Reed Ave. Apt. 18, Sunnyvale, CA, 94086</t>
  </si>
  <si>
    <t>https://utrucking.com/admin/orders/5902640742588</t>
  </si>
  <si>
    <t>#15307</t>
  </si>
  <si>
    <t>rubinshulie@gmail.com</t>
  </si>
  <si>
    <t>Shulie Hochstadt</t>
  </si>
  <si>
    <t>Englewood</t>
  </si>
  <si>
    <t>127 Walnut Street Englewood NJ 07631</t>
  </si>
  <si>
    <t>https://utrucking.com/admin/orders/5902691008700</t>
  </si>
  <si>
    <t>#15308</t>
  </si>
  <si>
    <t>rickyudell@wustl.edu</t>
  </si>
  <si>
    <t>Michael Yudell</t>
  </si>
  <si>
    <t>Scottsdale</t>
  </si>
  <si>
    <t>Arizona</t>
  </si>
  <si>
    <t>331</t>
  </si>
  <si>
    <t xml:space="preserve">Myers  </t>
  </si>
  <si>
    <t>https://utrucking.com/admin/orders/5902695235772</t>
  </si>
  <si>
    <t>#15309</t>
  </si>
  <si>
    <t>ndecherney@gmail.com</t>
  </si>
  <si>
    <t>Natalie DeCherney</t>
  </si>
  <si>
    <t>Portola Valley</t>
  </si>
  <si>
    <t>1239</t>
  </si>
  <si>
    <t>https://utrucking.com/admin/orders/5902760837308</t>
  </si>
  <si>
    <t>#15310</t>
  </si>
  <si>
    <t>savannahmck06@gmail.com</t>
  </si>
  <si>
    <t>savannah mckay</t>
  </si>
  <si>
    <t>Devils Lake</t>
  </si>
  <si>
    <t>North Dakota</t>
  </si>
  <si>
    <t>1238a</t>
  </si>
  <si>
    <t>407 Walford Avenue
Devils Lake ND 58301</t>
  </si>
  <si>
    <t>https://utrucking.com/admin/orders/5902817329340</t>
  </si>
  <si>
    <t>#15311</t>
  </si>
  <si>
    <t>navelisingh123@gmail.com</t>
  </si>
  <si>
    <t>Naveli Singh</t>
  </si>
  <si>
    <t>Los Altos Hills</t>
  </si>
  <si>
    <t>481</t>
  </si>
  <si>
    <t>https://utrucking.com/admin/orders/5902876213436</t>
  </si>
  <si>
    <t>#15312</t>
  </si>
  <si>
    <t>ricardo_balazs@hotmail.com</t>
  </si>
  <si>
    <t>Zak Balazs</t>
  </si>
  <si>
    <t>San Francisco</t>
  </si>
  <si>
    <t>3304-A</t>
  </si>
  <si>
    <t>4660 19th Street
San Francisco, CA 94114</t>
  </si>
  <si>
    <t>https://utrucking.com/admin/orders/5903142879420</t>
  </si>
  <si>
    <t>#15313</t>
  </si>
  <si>
    <t>a.gittleman@icloud.com</t>
  </si>
  <si>
    <t>Reese Gittleman</t>
  </si>
  <si>
    <t>Lafayette HIll</t>
  </si>
  <si>
    <t>112-b</t>
  </si>
  <si>
    <t>682 Cherrydale Drive, Lafayette Hill, PA 19444</t>
  </si>
  <si>
    <t>https://utrucking.com/admin/orders/5903255830716</t>
  </si>
  <si>
    <t>#15314</t>
  </si>
  <si>
    <t>suri@kasirer.nyc</t>
  </si>
  <si>
    <t>Suri Kasirer</t>
  </si>
  <si>
    <t>Lee-212-b</t>
  </si>
  <si>
    <t>150 Columbus Ave, NY, NY 10023</t>
  </si>
  <si>
    <t>https://utrucking.com/admin/orders/5903311896764</t>
  </si>
  <si>
    <t>#15315</t>
  </si>
  <si>
    <t>shan.knisely@gmail.com</t>
  </si>
  <si>
    <t>Ashton Knisely</t>
  </si>
  <si>
    <t>Austin</t>
  </si>
  <si>
    <t>Texas</t>
  </si>
  <si>
    <t>314 -B</t>
  </si>
  <si>
    <t>7801 Heathercrest Circle
Austin, Tx. 78731</t>
  </si>
  <si>
    <t>https://utrucking.com/admin/orders/5903455486140</t>
  </si>
  <si>
    <t>#15316</t>
  </si>
  <si>
    <t>Jksand2025@gmail.com</t>
  </si>
  <si>
    <t>Jaden Sanders</t>
  </si>
  <si>
    <t>Wendell</t>
  </si>
  <si>
    <t>4423 - a</t>
  </si>
  <si>
    <t>1737 Iron Mill Dr.
Wendell, NC 27591</t>
  </si>
  <si>
    <t>https://utrucking.com/admin/orders/5903479177404</t>
  </si>
  <si>
    <t>#15317</t>
  </si>
  <si>
    <t>rpallera@comcast.net</t>
  </si>
  <si>
    <t>Robyn Pallera</t>
  </si>
  <si>
    <t>collierville</t>
  </si>
  <si>
    <t>Tennessee</t>
  </si>
  <si>
    <t>38017-4136</t>
  </si>
  <si>
    <t>413-B</t>
  </si>
  <si>
    <t>Campbell Pallera 
140 JAMERSON FARM RD
Collierville, TN 38017</t>
  </si>
  <si>
    <t>https://utrucking.com/admin/orders/5903657599164</t>
  </si>
  <si>
    <t>#15318</t>
  </si>
  <si>
    <t>Westport</t>
  </si>
  <si>
    <t>https://utrucking.com/admin/orders/5903703638204</t>
  </si>
  <si>
    <t>#15319</t>
  </si>
  <si>
    <t>joline@wustl.edu</t>
  </si>
  <si>
    <t>Joline Sun</t>
  </si>
  <si>
    <t>Houston</t>
  </si>
  <si>
    <t>2053-a</t>
  </si>
  <si>
    <t>https://utrucking.com/admin/orders/5903737815228</t>
  </si>
  <si>
    <t>#15320</t>
  </si>
  <si>
    <t>embrownlawprof@gmail.com</t>
  </si>
  <si>
    <t>Eleanor Browm</t>
  </si>
  <si>
    <t>Enfield</t>
  </si>
  <si>
    <t>New Hampshire</t>
  </si>
  <si>
    <t>72 Barlow Street
Canaan CT 06018</t>
  </si>
  <si>
    <t>https://utrucking.com/admin/orders/5903766323388</t>
  </si>
  <si>
    <t>#15321</t>
  </si>
  <si>
    <t>MANIKA BATRA</t>
  </si>
  <si>
    <t>ROCKVILLE</t>
  </si>
  <si>
    <t>20853-3234</t>
  </si>
  <si>
    <t>431-a</t>
  </si>
  <si>
    <t>4001 Thistlebridge Way
Rockville, MD 20853</t>
  </si>
  <si>
    <t>https://utrucking.com/admin/orders/5903767109820</t>
  </si>
  <si>
    <t>#15322</t>
  </si>
  <si>
    <t>k.nayeon@wustl.edu</t>
  </si>
  <si>
    <t>Nayeon Kim</t>
  </si>
  <si>
    <t>3154</t>
  </si>
  <si>
    <t xml:space="preserve">10:00 AM to 12:00 PM  </t>
  </si>
  <si>
    <t>https://utrucking.com/admin/orders/5903780315324</t>
  </si>
  <si>
    <t>#15323</t>
  </si>
  <si>
    <t>Karen Ebroon</t>
  </si>
  <si>
    <t>Deerfield</t>
  </si>
  <si>
    <t>3329</t>
  </si>
  <si>
    <t>https://utrucking.com/admin/orders/5903819833532</t>
  </si>
  <si>
    <t>#15324</t>
  </si>
  <si>
    <t>mabeleonurrutia@gmail.com</t>
  </si>
  <si>
    <t>Maria Leon</t>
  </si>
  <si>
    <t>Suwanee</t>
  </si>
  <si>
    <t xml:space="preserve"> 1054-A</t>
  </si>
  <si>
    <t xml:space="preserve">Eliot B  </t>
  </si>
  <si>
    <t>https://utrucking.com/admin/orders/5903890022588</t>
  </si>
  <si>
    <t>#15325</t>
  </si>
  <si>
    <t>katiefung11@gmail.com</t>
  </si>
  <si>
    <t>Katie Fung</t>
  </si>
  <si>
    <t>Redwood City</t>
  </si>
  <si>
    <t>392</t>
  </si>
  <si>
    <t>https://utrucking.com/admin/orders/5903995863228</t>
  </si>
  <si>
    <t>#15326</t>
  </si>
  <si>
    <t>f.lucy@wustl.edu</t>
  </si>
  <si>
    <t>Lucy Forman</t>
  </si>
  <si>
    <t>Walpole</t>
  </si>
  <si>
    <t>3328</t>
  </si>
  <si>
    <t>16 Starlight Dr
Walpole, MA 02081</t>
  </si>
  <si>
    <t>https://utrucking.com/admin/orders/5904080044220</t>
  </si>
  <si>
    <t>#15327</t>
  </si>
  <si>
    <t>Emma Lichtman</t>
  </si>
  <si>
    <t>6643 Kingsbury Blvd
University City, MO
63130 
Apt. 3E</t>
  </si>
  <si>
    <t>New Rochelle</t>
  </si>
  <si>
    <t>80 Pryer Terrace
New Rochelle, NY
10804</t>
  </si>
  <si>
    <t>https://utrucking.com/admin/orders/5904128082108</t>
  </si>
  <si>
    <t>#15328</t>
  </si>
  <si>
    <t>jrlassman@yahoo.com</t>
  </si>
  <si>
    <t>Jessica Lassman</t>
  </si>
  <si>
    <t>3 Addee Circle
Larchmont, New York 10538</t>
  </si>
  <si>
    <t>https://utrucking.com/admin/orders/5904210755772</t>
  </si>
  <si>
    <t>#15329</t>
  </si>
  <si>
    <t>Leia.karczmer@gmail.com</t>
  </si>
  <si>
    <t>https://utrucking.com/admin/orders/5904293560508</t>
  </si>
  <si>
    <t>#15330</t>
  </si>
  <si>
    <t>dolan.dana@gmail.com</t>
  </si>
  <si>
    <t>Dana Dolan</t>
  </si>
  <si>
    <t>Flossmoor</t>
  </si>
  <si>
    <t>4423</t>
  </si>
  <si>
    <t>https://utrucking.com/admin/orders/5904294478012</t>
  </si>
  <si>
    <t>#15331</t>
  </si>
  <si>
    <t>abigail.j@wustl.edu</t>
  </si>
  <si>
    <t>abigail johnson</t>
  </si>
  <si>
    <t>atlanta</t>
  </si>
  <si>
    <t>https://utrucking.com/admin/orders/5904395010236</t>
  </si>
  <si>
    <t>#15332</t>
  </si>
  <si>
    <t>Ava Malick</t>
  </si>
  <si>
    <t>Brooklyn</t>
  </si>
  <si>
    <t>2235</t>
  </si>
  <si>
    <t>289 Clermont Ave, Brooklyn, NY 11205</t>
  </si>
  <si>
    <t>https://utrucking.com/admin/orders/5904407462076</t>
  </si>
  <si>
    <t>#15333</t>
  </si>
  <si>
    <t>bowermanjill@gmail.com</t>
  </si>
  <si>
    <t>Jill Bowerman</t>
  </si>
  <si>
    <t>Michigan</t>
  </si>
  <si>
    <t>4418 a</t>
  </si>
  <si>
    <t>https://utrucking.com/admin/orders/5904418308284</t>
  </si>
  <si>
    <t>#15334</t>
  </si>
  <si>
    <t>Ejbloom54@gmail.com</t>
  </si>
  <si>
    <t>Ronda Bloom</t>
  </si>
  <si>
    <t>Great Neck</t>
  </si>
  <si>
    <t>308</t>
  </si>
  <si>
    <t xml:space="preserve">House 2 (Sigma Nu)  </t>
  </si>
  <si>
    <t>https://utrucking.com/admin/orders/5904420372668</t>
  </si>
  <si>
    <t>#15335</t>
  </si>
  <si>
    <t>Cynthia Carlo</t>
  </si>
  <si>
    <t>424</t>
  </si>
  <si>
    <t>https://utrucking.com/admin/orders/5904426336444</t>
  </si>
  <si>
    <t>#15336</t>
  </si>
  <si>
    <t>maygolss@sbcglobal.net</t>
  </si>
  <si>
    <t>Madeleine Sapra</t>
  </si>
  <si>
    <t>Dana Point</t>
  </si>
  <si>
    <t>2012</t>
  </si>
  <si>
    <t xml:space="preserve">Village East  </t>
  </si>
  <si>
    <t>150 Monarch Bay Drive
Dana Point, CA 92629</t>
  </si>
  <si>
    <t>https://utrucking.com/admin/orders/5904467624124</t>
  </si>
  <si>
    <t>#15337</t>
  </si>
  <si>
    <t>c.l.rodriguez@wustl.edu</t>
  </si>
  <si>
    <t>Cooper Rodriguez</t>
  </si>
  <si>
    <t>1104</t>
  </si>
  <si>
    <t>321 River Mews Ln
Edgewater, NJ 07020</t>
  </si>
  <si>
    <t>https://utrucking.com/admin/orders/5904534667452</t>
  </si>
  <si>
    <t>#15338</t>
  </si>
  <si>
    <t>Cori Galpern</t>
  </si>
  <si>
    <t>L239-c</t>
  </si>
  <si>
    <t>https://utrucking.com/admin/orders/5904547086524</t>
  </si>
  <si>
    <t>#15339</t>
  </si>
  <si>
    <t>mitch.luke74@gmail.com</t>
  </si>
  <si>
    <t>Luke Mitchell</t>
  </si>
  <si>
    <t>Irvington</t>
  </si>
  <si>
    <t>4437</t>
  </si>
  <si>
    <t>https://utrucking.com/admin/orders/5904587292860</t>
  </si>
  <si>
    <t>#15340</t>
  </si>
  <si>
    <t>Allison Isgar</t>
  </si>
  <si>
    <t>3131</t>
  </si>
  <si>
    <t>https://utrucking.com/admin/orders/5904591716540</t>
  </si>
  <si>
    <t>#15341</t>
  </si>
  <si>
    <t>r.l.wei@wustl.edu</t>
  </si>
  <si>
    <t>Ronnie Wei</t>
  </si>
  <si>
    <t>0012 a</t>
  </si>
  <si>
    <t>https://utrucking.com/admin/orders/5904831086780</t>
  </si>
  <si>
    <t>#15342</t>
  </si>
  <si>
    <t>uslan@wustl.edu</t>
  </si>
  <si>
    <t>Jessica Uslan</t>
  </si>
  <si>
    <t>2211</t>
  </si>
  <si>
    <t>9832 Vicar St
Los Angeles, CA 90034</t>
  </si>
  <si>
    <t>https://utrucking.com/admin/orders/5904984113340</t>
  </si>
  <si>
    <t>#15343</t>
  </si>
  <si>
    <t>adttheceo@gmail.com</t>
  </si>
  <si>
    <t>Andersen Thompson</t>
  </si>
  <si>
    <t>Dumont</t>
  </si>
  <si>
    <t>321-a</t>
  </si>
  <si>
    <t xml:space="preserve">Shanedling  </t>
  </si>
  <si>
    <t>108 Wyandotte Avenue, Dumont NJ 07628</t>
  </si>
  <si>
    <t>https://utrucking.com/admin/orders/5904985784508</t>
  </si>
  <si>
    <t>#15344</t>
  </si>
  <si>
    <t>j.r.roubitchek@wustl.edu</t>
  </si>
  <si>
    <t>Josephine Roubitchek</t>
  </si>
  <si>
    <t>Elmhurst</t>
  </si>
  <si>
    <t>https://utrucking.com/admin/orders/5904987586748</t>
  </si>
  <si>
    <t>#15345</t>
  </si>
  <si>
    <t>lyp_James@163.com</t>
  </si>
  <si>
    <t>Yupeng Luo</t>
  </si>
  <si>
    <t>St.Louis</t>
  </si>
  <si>
    <t>332-b</t>
  </si>
  <si>
    <t>https://utrucking.com/admin/orders/5905003708604</t>
  </si>
  <si>
    <t>#15346</t>
  </si>
  <si>
    <t>mtettamanzi@gmail.com</t>
  </si>
  <si>
    <t>Monica Tettamanzi</t>
  </si>
  <si>
    <t>Greenwich</t>
  </si>
  <si>
    <t>3312</t>
  </si>
  <si>
    <t>19 Brookridge Drive
Greenwich, CT 06830</t>
  </si>
  <si>
    <t>https://utrucking.com/admin/orders/5905010557116</t>
  </si>
  <si>
    <t>#15347</t>
  </si>
  <si>
    <t>sc.college2029@gmail.com</t>
  </si>
  <si>
    <t>Ernesto Cazares</t>
  </si>
  <si>
    <t>313 - A (Sheelsie Cazares MSC 97862)</t>
  </si>
  <si>
    <t>https://utrucking.com/admin/orders/5905014063292</t>
  </si>
  <si>
    <t>#15348</t>
  </si>
  <si>
    <t>Sheelsie Cazares</t>
  </si>
  <si>
    <t>313-A (Sheelsie Cazares)</t>
  </si>
  <si>
    <t>9514 Homeland Dr. Houston TX 77083</t>
  </si>
  <si>
    <t>https://utrucking.com/admin/orders/5905039294652</t>
  </si>
  <si>
    <t>#15349</t>
  </si>
  <si>
    <t>Mia Fox</t>
  </si>
  <si>
    <t>https://utrucking.com/admin/orders/5905059741884</t>
  </si>
  <si>
    <t>#15350</t>
  </si>
  <si>
    <t>krpjosephson@hotmail.com</t>
  </si>
  <si>
    <t>Kathy Josephson</t>
  </si>
  <si>
    <t>CHICAGO</t>
  </si>
  <si>
    <t>1330 West Newport Avenue
CHICAGO, IL 60657</t>
  </si>
  <si>
    <t>https://utrucking.com/admin/orders/5905179443388</t>
  </si>
  <si>
    <t>#15351</t>
  </si>
  <si>
    <t>kailabrooks11@gmail.com</t>
  </si>
  <si>
    <t>Kaila Brooks</t>
  </si>
  <si>
    <t>Hoboken</t>
  </si>
  <si>
    <t>3102</t>
  </si>
  <si>
    <t xml:space="preserve">Gregg  </t>
  </si>
  <si>
    <t>https://utrucking.com/admin/orders/5905193992380</t>
  </si>
  <si>
    <t>#15352</t>
  </si>
  <si>
    <t>natalya.michaels@gmail.com</t>
  </si>
  <si>
    <t>Natalya Michaels</t>
  </si>
  <si>
    <t>TENAFLY</t>
  </si>
  <si>
    <t>223</t>
  </si>
  <si>
    <t>https://utrucking.com/admin/orders/5905232101564</t>
  </si>
  <si>
    <t>#15353</t>
  </si>
  <si>
    <t>Cleo Gauthier</t>
  </si>
  <si>
    <t>Nashville</t>
  </si>
  <si>
    <t>2100</t>
  </si>
  <si>
    <t>2102</t>
  </si>
  <si>
    <t>https://utrucking.com/admin/orders/5905254318268</t>
  </si>
  <si>
    <t>#15354</t>
  </si>
  <si>
    <t>Mariel Amador</t>
  </si>
  <si>
    <t>South Orange</t>
  </si>
  <si>
    <t>3074-a</t>
  </si>
  <si>
    <t xml:space="preserve">Lopata  </t>
  </si>
  <si>
    <t>https://utrucking.com/admin/orders/5905274142908</t>
  </si>
  <si>
    <t>#15355</t>
  </si>
  <si>
    <t>tianajlee@gmail.com</t>
  </si>
  <si>
    <t>Tiana Lee</t>
  </si>
  <si>
    <t>Brentwood</t>
  </si>
  <si>
    <t>2053</t>
  </si>
  <si>
    <t>https://utrucking.com/admin/orders/5905275650236</t>
  </si>
  <si>
    <t>#15356</t>
  </si>
  <si>
    <t>acharlotte@wustl.edu</t>
  </si>
  <si>
    <t>Nicole Allinson</t>
  </si>
  <si>
    <t>3024</t>
  </si>
  <si>
    <t>https://utrucking.com/admin/orders/5905277124796</t>
  </si>
  <si>
    <t>#15357</t>
  </si>
  <si>
    <t>Lisa Sreter</t>
  </si>
  <si>
    <t>210C</t>
  </si>
  <si>
    <t xml:space="preserve">Loop Loft 6255  </t>
  </si>
  <si>
    <t>https://utrucking.com/admin/orders/5905348264124</t>
  </si>
  <si>
    <t>#15358</t>
  </si>
  <si>
    <t>Jared Buckman</t>
  </si>
  <si>
    <t>3311</t>
  </si>
  <si>
    <t>12 Bermuda Road
Westport, CT 06880</t>
  </si>
  <si>
    <t>https://utrucking.com/admin/orders/5905367040188</t>
  </si>
  <si>
    <t>#15359</t>
  </si>
  <si>
    <t>amanda.k.lee@wustl.edu</t>
  </si>
  <si>
    <t>Audrey Lee</t>
  </si>
  <si>
    <t>Glenview</t>
  </si>
  <si>
    <t>3141</t>
  </si>
  <si>
    <t>https://utrucking.com/admin/orders/5905421828284</t>
  </si>
  <si>
    <t>#15360</t>
  </si>
  <si>
    <t>Mambarambath Jaleel</t>
  </si>
  <si>
    <t>Irving</t>
  </si>
  <si>
    <t>3303</t>
  </si>
  <si>
    <t>https://utrucking.com/admin/orders/5905502994620</t>
  </si>
  <si>
    <t>#15361</t>
  </si>
  <si>
    <t>Leah Menashe</t>
  </si>
  <si>
    <t>Seattle</t>
  </si>
  <si>
    <t>2223</t>
  </si>
  <si>
    <t>https://utrucking.com/admin/orders/5905503715516</t>
  </si>
  <si>
    <t>#15362</t>
  </si>
  <si>
    <t>j.s.todes@wustl.edu</t>
  </si>
  <si>
    <t>Josh Todes</t>
  </si>
  <si>
    <t>2324</t>
  </si>
  <si>
    <t>https://utrucking.com/admin/orders/5905513021628</t>
  </si>
  <si>
    <t>#15363</t>
  </si>
  <si>
    <t>Colby Smith</t>
  </si>
  <si>
    <t>Winnetka</t>
  </si>
  <si>
    <t>2238</t>
  </si>
  <si>
    <t>631 Garland Ave, Winnetka, IL 60093</t>
  </si>
  <si>
    <t>https://utrucking.com/admin/orders/5905513906364</t>
  </si>
  <si>
    <t>#15364</t>
  </si>
  <si>
    <t>e.i.solomon@wustl.edu</t>
  </si>
  <si>
    <t>Ellie Solomon</t>
  </si>
  <si>
    <t>Short Hills</t>
  </si>
  <si>
    <t xml:space="preserve"> 3329 - a</t>
  </si>
  <si>
    <t>26 Keats Road
Short Hills, NJ 07078</t>
  </si>
  <si>
    <t>https://utrucking.com/admin/orders/5905565909180</t>
  </si>
  <si>
    <t>#15365</t>
  </si>
  <si>
    <t>Yian Sun</t>
  </si>
  <si>
    <t>Residential Home</t>
  </si>
  <si>
    <t>6144 Waterman Blvd</t>
  </si>
  <si>
    <t>6618 Shepley Dr (Zetcher 3rd Floor)</t>
  </si>
  <si>
    <t>https://utrucking.com/admin/orders/5905908891836</t>
  </si>
  <si>
    <t>#15367</t>
  </si>
  <si>
    <t>Betsy Slover</t>
  </si>
  <si>
    <t>4814 City Park Road
Austin, Texas 78730</t>
  </si>
  <si>
    <t>https://utrucking.com/admin/orders/5905936351420</t>
  </si>
  <si>
    <t>#15368</t>
  </si>
  <si>
    <t>Gideon Grinberg</t>
  </si>
  <si>
    <t>423</t>
  </si>
  <si>
    <t>1165 Park Avenue, New York, NY 10128</t>
  </si>
  <si>
    <t>https://utrucking.com/admin/orders/5905941233852</t>
  </si>
  <si>
    <t>#15369</t>
  </si>
  <si>
    <t>Bridget Couture</t>
  </si>
  <si>
    <t>Kansas City</t>
  </si>
  <si>
    <t>https://utrucking.com/admin/orders/5905948704956</t>
  </si>
  <si>
    <t>#15370</t>
  </si>
  <si>
    <t>Chandler Davey</t>
  </si>
  <si>
    <t>Thornton</t>
  </si>
  <si>
    <t>Colorado</t>
  </si>
  <si>
    <t>14319 Fillmore Street
Thornton, CO
80602</t>
  </si>
  <si>
    <t>https://utrucking.com/admin/orders/5905989796028</t>
  </si>
  <si>
    <t>#15371</t>
  </si>
  <si>
    <t>douglil@aol.com</t>
  </si>
  <si>
    <t>Douglas Lilly</t>
  </si>
  <si>
    <t>Cheshire</t>
  </si>
  <si>
    <t>2221B</t>
  </si>
  <si>
    <t>125 Hitchcock Court, Cheshire, CT 06410</t>
  </si>
  <si>
    <t>https://utrucking.com/admin/orders/5906011127996</t>
  </si>
  <si>
    <t>#15372</t>
  </si>
  <si>
    <t>a.l.halbert@wustl.edu</t>
  </si>
  <si>
    <t>Ala Halbert</t>
  </si>
  <si>
    <t>1163</t>
  </si>
  <si>
    <t>https://utrucking.com/admin/orders/5906066178236</t>
  </si>
  <si>
    <t>#15373</t>
  </si>
  <si>
    <t>Jenn.e.caplan@gmail.com</t>
  </si>
  <si>
    <t>Jennifer Caplan</t>
  </si>
  <si>
    <t>Raleigh</t>
  </si>
  <si>
    <t>370</t>
  </si>
  <si>
    <t>5320 Indigo Moon Way
Raleigh, NC 27613</t>
  </si>
  <si>
    <t>https://utrucking.com/admin/orders/5906081415356</t>
  </si>
  <si>
    <t>#15374</t>
  </si>
  <si>
    <t>elizaschulman@gmail.com</t>
  </si>
  <si>
    <t>121 a</t>
  </si>
  <si>
    <t>https://utrucking.com/admin/orders/5906274451644</t>
  </si>
  <si>
    <t>#15375</t>
  </si>
  <si>
    <t>swirtschafter@mac.com</t>
  </si>
  <si>
    <t>Shoshana Wirtschafter</t>
  </si>
  <si>
    <t>201H-A</t>
  </si>
  <si>
    <t>https://utrucking.com/admin/orders/5907253657788</t>
  </si>
  <si>
    <t>#15376</t>
  </si>
  <si>
    <t>catherinegluckstein@me.com</t>
  </si>
  <si>
    <t>234</t>
  </si>
  <si>
    <t xml:space="preserve">  </t>
  </si>
  <si>
    <t>https://utrucking.com/admin/orders/5907264864444</t>
  </si>
  <si>
    <t>#15377</t>
  </si>
  <si>
    <t>Douglas Ominsky</t>
  </si>
  <si>
    <t>Gladwyne</t>
  </si>
  <si>
    <t>1114</t>
  </si>
  <si>
    <t>https://utrucking.com/admin/orders/5907370311868</t>
  </si>
  <si>
    <t>#15378</t>
  </si>
  <si>
    <t>annikadivan@gmail.com</t>
  </si>
  <si>
    <t>Vamil Divan</t>
  </si>
  <si>
    <t>308B</t>
  </si>
  <si>
    <t xml:space="preserve">Loop Loft 6200  </t>
  </si>
  <si>
    <t>https://utrucking.com/admin/orders/5907449315516</t>
  </si>
  <si>
    <t>#15379</t>
  </si>
  <si>
    <t>bellatrank81@gmail.com</t>
  </si>
  <si>
    <t>Isabella Trankler</t>
  </si>
  <si>
    <t>Defiance</t>
  </si>
  <si>
    <t>3132</t>
  </si>
  <si>
    <t>https://utrucking.com/admin/orders/5907449217212</t>
  </si>
  <si>
    <t>#15380</t>
  </si>
  <si>
    <t>n.siri@wustl.edu</t>
  </si>
  <si>
    <t>Poornima Nayakanti</t>
  </si>
  <si>
    <t>Aurora</t>
  </si>
  <si>
    <t>3133-a</t>
  </si>
  <si>
    <t>https://utrucking.com/admin/orders/5907799376060</t>
  </si>
  <si>
    <t>#15381</t>
  </si>
  <si>
    <t>Amy Buckman</t>
  </si>
  <si>
    <t>https://utrucking.com/admin/orders/5907835093180</t>
  </si>
  <si>
    <t>#15382</t>
  </si>
  <si>
    <t>shamalieg@gmail.com</t>
  </si>
  <si>
    <t>Shamalie Goonewardene</t>
  </si>
  <si>
    <t>La Cañada Flintridge</t>
  </si>
  <si>
    <t>2214-b</t>
  </si>
  <si>
    <t xml:space="preserve">5221 Crown Avenue, La Canada, CA 91011  </t>
  </si>
  <si>
    <t>https://utrucking.com/admin/orders/5908046151868</t>
  </si>
  <si>
    <t>#15383</t>
  </si>
  <si>
    <t>kwangyoonyoo@gmail.com</t>
  </si>
  <si>
    <t>Kwangyoon Yoo</t>
  </si>
  <si>
    <t>서울특별시</t>
  </si>
  <si>
    <t>Seoul</t>
  </si>
  <si>
    <t>South Korea</t>
  </si>
  <si>
    <t>413-a</t>
  </si>
  <si>
    <t>https://utrucking.com/admin/orders/5908109590716</t>
  </si>
  <si>
    <t>#15384</t>
  </si>
  <si>
    <t>https://utrucking.com/admin/orders/5908173914300</t>
  </si>
  <si>
    <t>#15385</t>
  </si>
  <si>
    <t>Eunice Kim</t>
  </si>
  <si>
    <t>4415</t>
  </si>
  <si>
    <t>https://utrucking.com/admin/orders/5908286275772</t>
  </si>
  <si>
    <t>#15386</t>
  </si>
  <si>
    <t>Lynette Hopkinson</t>
  </si>
  <si>
    <t>Winchester</t>
  </si>
  <si>
    <t>4401A</t>
  </si>
  <si>
    <t xml:space="preserve">8 Aristotle Drive Winchester MA 01890  </t>
  </si>
  <si>
    <t>https://utrucking.com/admin/orders/5908287520956</t>
  </si>
  <si>
    <t>#15387</t>
  </si>
  <si>
    <t>sonireneis@gmail.com</t>
  </si>
  <si>
    <t>Irene Son</t>
  </si>
  <si>
    <t>Irvine</t>
  </si>
  <si>
    <t xml:space="preserve">133 Okra, Irvine, CA, 92618  </t>
  </si>
  <si>
    <t>https://utrucking.com/admin/orders/5908329562300</t>
  </si>
  <si>
    <t>#15388</t>
  </si>
  <si>
    <t>Kasey Schwartz</t>
  </si>
  <si>
    <t>Lake Success</t>
  </si>
  <si>
    <t>111-a</t>
  </si>
  <si>
    <t>6 Paddock Ln, Great Neck NY, 11020</t>
  </si>
  <si>
    <t>https://utrucking.com/admin/orders/5908437074108</t>
  </si>
  <si>
    <t>#15389</t>
  </si>
  <si>
    <t>c.davey@wustl.edu</t>
  </si>
  <si>
    <t>Leah Davey</t>
  </si>
  <si>
    <t>https://utrucking.com/admin/orders/5908458406076</t>
  </si>
  <si>
    <t>#15390</t>
  </si>
  <si>
    <t>ellazhu1223@gmail.com</t>
  </si>
  <si>
    <t>Ella Zhu</t>
  </si>
  <si>
    <t>45 Westfair Drive, Westport, CT 06880</t>
  </si>
  <si>
    <t>https://utrucking.com/admin/orders/5908460110012</t>
  </si>
  <si>
    <t>#15391</t>
  </si>
  <si>
    <t>Mari Philipsborn</t>
  </si>
  <si>
    <t>132A</t>
  </si>
  <si>
    <t>https://utrucking.com/admin/orders/5908546420924</t>
  </si>
  <si>
    <t>#15392</t>
  </si>
  <si>
    <t>Rain Cao</t>
  </si>
  <si>
    <t xml:space="preserve"> 0 / Included Insurance</t>
  </si>
  <si>
    <t>2010</t>
  </si>
  <si>
    <t>https://utrucking.com/admin/orders/5908555563196</t>
  </si>
  <si>
    <t>#15393</t>
  </si>
  <si>
    <t>Marci Carabet</t>
  </si>
  <si>
    <t>Agoura Hills</t>
  </si>
  <si>
    <t>3043</t>
  </si>
  <si>
    <t xml:space="preserve">House 22  </t>
  </si>
  <si>
    <t>https://utrucking.com/admin/orders/5908610252988</t>
  </si>
  <si>
    <t>#15394</t>
  </si>
  <si>
    <t>andres_lozada@yahoo.com</t>
  </si>
  <si>
    <t>JUAN LOZADA</t>
  </si>
  <si>
    <t>Klein</t>
  </si>
  <si>
    <t>1102</t>
  </si>
  <si>
    <t xml:space="preserve">9923 Friesian Estates Dr
Klein, TX 77379  </t>
  </si>
  <si>
    <t>https://utrucking.com/admin/orders/5908672839868</t>
  </si>
  <si>
    <t>#15395</t>
  </si>
  <si>
    <t>William Washko</t>
  </si>
  <si>
    <t xml:space="preserve">324 Park Street
West Roxbury, MA 02132  </t>
  </si>
  <si>
    <t>https://utrucking.com/admin/orders/5908794409148</t>
  </si>
  <si>
    <t>#15396</t>
  </si>
  <si>
    <t>j.e.lari@wustl.edu</t>
  </si>
  <si>
    <t>Jordan Lari</t>
  </si>
  <si>
    <t xml:space="preserve"> 4101 - a</t>
  </si>
  <si>
    <t xml:space="preserve">10635 Taranto Way
Los Angeles, California 90077-1920  </t>
  </si>
  <si>
    <t>https://utrucking.com/admin/orders/5908809744572</t>
  </si>
  <si>
    <t>#15397</t>
  </si>
  <si>
    <t>Teresa Witte</t>
  </si>
  <si>
    <t>2203</t>
  </si>
  <si>
    <t>https://utrucking.com/admin/orders/5908931346620</t>
  </si>
  <si>
    <t>#15398</t>
  </si>
  <si>
    <t>rsullivan0226@gmail.com</t>
  </si>
  <si>
    <t>Reid Sullivan</t>
  </si>
  <si>
    <t>Weston</t>
  </si>
  <si>
    <t>https://utrucking.com/admin/orders/5908934557884</t>
  </si>
  <si>
    <t>#15399</t>
  </si>
  <si>
    <t>g.giselle@wustl.edu</t>
  </si>
  <si>
    <t>Giselle Groff</t>
  </si>
  <si>
    <t>6105 Delmar Blvd, Apt 523  
St. Louis, MO 63112</t>
  </si>
  <si>
    <t>Waccabuc</t>
  </si>
  <si>
    <t>https://utrucking.com/admin/orders/5908998258876</t>
  </si>
  <si>
    <t>#15400</t>
  </si>
  <si>
    <t>parul_gandhi@hotmail.com</t>
  </si>
  <si>
    <t>Parul Kalbag</t>
  </si>
  <si>
    <t>152 East 87th Street, #14C
New York, NY 10128</t>
  </si>
  <si>
    <t>https://utrucking.com/admin/orders/5909034172604</t>
  </si>
  <si>
    <t>#15401</t>
  </si>
  <si>
    <t>blucelee1975@gmail.com</t>
  </si>
  <si>
    <t>Jerry Li</t>
  </si>
  <si>
    <t>Lexington</t>
  </si>
  <si>
    <t>3313-a</t>
  </si>
  <si>
    <t xml:space="preserve">136 Cedar St，Lexington MA 02421  </t>
  </si>
  <si>
    <t>https://utrucking.com/admin/orders/5909061697724</t>
  </si>
  <si>
    <t>#15402</t>
  </si>
  <si>
    <t>b.giles@wustl.edu</t>
  </si>
  <si>
    <t>Bailey Giles</t>
  </si>
  <si>
    <t>Naples</t>
  </si>
  <si>
    <t>2063</t>
  </si>
  <si>
    <t>https://utrucking.com/admin/orders/5909102887100</t>
  </si>
  <si>
    <t>#15403</t>
  </si>
  <si>
    <t>Melissa Burton</t>
  </si>
  <si>
    <t>Gulfport</t>
  </si>
  <si>
    <t>Mississippi</t>
  </si>
  <si>
    <t>https://utrucking.com/admin/orders/5909107703996</t>
  </si>
  <si>
    <t>#15404</t>
  </si>
  <si>
    <t>Allyce Wilmot</t>
  </si>
  <si>
    <t>732 Westgate Ave APT 1S St. Louis, MO 63130</t>
  </si>
  <si>
    <t>Palm Beach Gardens</t>
  </si>
  <si>
    <t>https://utrucking.com/admin/orders/5909126480060</t>
  </si>
  <si>
    <t>#15405</t>
  </si>
  <si>
    <t>peter.jay.chen@gmail.com</t>
  </si>
  <si>
    <t>Peter Chen</t>
  </si>
  <si>
    <t>Cupertino</t>
  </si>
  <si>
    <t>112 A</t>
  </si>
  <si>
    <t xml:space="preserve">1119 Hollyhead Lane  </t>
  </si>
  <si>
    <t>https://utrucking.com/admin/orders/5909378695356</t>
  </si>
  <si>
    <t>#15406</t>
  </si>
  <si>
    <t>alefkowitz1@gmail.com</t>
  </si>
  <si>
    <t>Tamar Lefkowitz</t>
  </si>
  <si>
    <t>2207-b</t>
  </si>
  <si>
    <t>17 Brewster Terrace
New Rochelle, NY 10804</t>
  </si>
  <si>
    <t>https://utrucking.com/admin/orders/5909475197116</t>
  </si>
  <si>
    <t>#15407</t>
  </si>
  <si>
    <t>beckyaustin@gmail.com</t>
  </si>
  <si>
    <t>Beatrix Austin</t>
  </si>
  <si>
    <t>ST LOUIS</t>
  </si>
  <si>
    <t>342</t>
  </si>
  <si>
    <t>29 Karge Street
Bay Head, NJ. 08742</t>
  </si>
  <si>
    <t>https://utrucking.com/admin/orders/5909518745788</t>
  </si>
  <si>
    <t>#15408</t>
  </si>
  <si>
    <t>lfdibble@gmail.com</t>
  </si>
  <si>
    <t>Laura Dibble</t>
  </si>
  <si>
    <t>Montclair Apts - Unit 10N
18 S Kingshighway Blvd
St Louis MO 
63108</t>
  </si>
  <si>
    <t>Jenkintown</t>
  </si>
  <si>
    <t xml:space="preserve">Laura Dibble (267-568-5157)
260 Mather Road
Jenkintown, PA
19046  </t>
  </si>
  <si>
    <t>https://utrucking.com/admin/orders/5909536637116</t>
  </si>
  <si>
    <t>#15409</t>
  </si>
  <si>
    <t>gangopadhyaysana@gmail.com</t>
  </si>
  <si>
    <t>Abhijit Gangopadhyay</t>
  </si>
  <si>
    <t>https://utrucking.com/admin/orders/5909561475260</t>
  </si>
  <si>
    <t>#15410</t>
  </si>
  <si>
    <t>Laura Alfonso</t>
  </si>
  <si>
    <t>Miami</t>
  </si>
  <si>
    <t>2063 A</t>
  </si>
  <si>
    <t xml:space="preserve">6301 SW 110 Street Miami, FL 33156  </t>
  </si>
  <si>
    <t>https://utrucking.com/admin/orders/5909563867324</t>
  </si>
  <si>
    <t>#15411</t>
  </si>
  <si>
    <t>b.mcinturff@wustl.edu</t>
  </si>
  <si>
    <t>Christy Mcinturff</t>
  </si>
  <si>
    <t>Nolensville</t>
  </si>
  <si>
    <t>2064</t>
  </si>
  <si>
    <t>https://utrucking.com/admin/orders/5909566521532</t>
  </si>
  <si>
    <t>#15412</t>
  </si>
  <si>
    <t>Annabella Miki</t>
  </si>
  <si>
    <t xml:space="preserve">6301 SW 110 Street, Miami, FL 33156  </t>
  </si>
  <si>
    <t>https://utrucking.com/admin/orders/5909572583612</t>
  </si>
  <si>
    <t>#15413</t>
  </si>
  <si>
    <t>https://utrucking.com/admin/orders/5909573337276</t>
  </si>
  <si>
    <t>#15414</t>
  </si>
  <si>
    <t>Sophia Frist</t>
  </si>
  <si>
    <t>6006 Washington Boulevard</t>
  </si>
  <si>
    <t>https://utrucking.com/admin/orders/5909580415164</t>
  </si>
  <si>
    <t>#15415</t>
  </si>
  <si>
    <t>Spotsylvania</t>
  </si>
  <si>
    <t>Appliance Rental Return</t>
  </si>
  <si>
    <t>3061</t>
  </si>
  <si>
    <t>https://utrucking.com/admin/orders/5909841117372</t>
  </si>
  <si>
    <t>#15416</t>
  </si>
  <si>
    <t>Adam Mofid</t>
  </si>
  <si>
    <t>Richmond Heights</t>
  </si>
  <si>
    <t>https://utrucking.com/admin/orders/5909911666876</t>
  </si>
  <si>
    <t>#15417</t>
  </si>
  <si>
    <t>nisha_lee@icloud.com</t>
  </si>
  <si>
    <t>Shruti Trivedi</t>
  </si>
  <si>
    <t>4414</t>
  </si>
  <si>
    <t>https://utrucking.com/admin/orders/5909917827260</t>
  </si>
  <si>
    <t>#15418</t>
  </si>
  <si>
    <t>jefflynas@gmail.com</t>
  </si>
  <si>
    <t>Jeffrey Lynas</t>
  </si>
  <si>
    <t>1107</t>
  </si>
  <si>
    <t>https://utrucking.com/admin/orders/5909926314172</t>
  </si>
  <si>
    <t>#15419</t>
  </si>
  <si>
    <t>Kat Ziwot</t>
  </si>
  <si>
    <t>Bernardsville</t>
  </si>
  <si>
    <t>07924-1909</t>
  </si>
  <si>
    <t>https://utrucking.com/admin/orders/5910052044988</t>
  </si>
  <si>
    <t>#15420</t>
  </si>
  <si>
    <t>randilward@gmail.com</t>
  </si>
  <si>
    <t>Emma Ward</t>
  </si>
  <si>
    <t>6605 Kingsbury Blvd. 
Apt. 2E
St. Louis, MO 63130</t>
  </si>
  <si>
    <t>East Rockaway</t>
  </si>
  <si>
    <t>11518-1630</t>
  </si>
  <si>
    <t xml:space="preserve"> $500 of Additional Coverage</t>
  </si>
  <si>
    <t>64 Judith Court
East Rockaway, NY 11518</t>
  </si>
  <si>
    <t>https://utrucking.com/admin/orders/5910118170812</t>
  </si>
  <si>
    <t>#15421</t>
  </si>
  <si>
    <t>Chaim.jaffe@yahoo.com</t>
  </si>
  <si>
    <t>Chaim Jaffe</t>
  </si>
  <si>
    <t>Manlius</t>
  </si>
  <si>
    <t>2212-b</t>
  </si>
  <si>
    <t>https://utrucking.com/admin/orders/5910192029884</t>
  </si>
  <si>
    <t>#15422</t>
  </si>
  <si>
    <t>Andrew Espenshade</t>
  </si>
  <si>
    <t>Mason</t>
  </si>
  <si>
    <t>Ohio</t>
  </si>
  <si>
    <t>https://utrucking.com/admin/orders/5910227452092</t>
  </si>
  <si>
    <t>#15423</t>
  </si>
  <si>
    <t>Flower Mound</t>
  </si>
  <si>
    <t>https://utrucking.com/admin/orders/5910527967420</t>
  </si>
  <si>
    <t>#15424</t>
  </si>
  <si>
    <t>kmicah@wustl.edu</t>
  </si>
  <si>
    <t>Micah Kopelman</t>
  </si>
  <si>
    <t>Atlanta</t>
  </si>
  <si>
    <t>3308</t>
  </si>
  <si>
    <t>https://utrucking.com/admin/orders/5910561423548</t>
  </si>
  <si>
    <t>#15425</t>
  </si>
  <si>
    <t>arushig@wustl.edu</t>
  </si>
  <si>
    <t>Arushi Goyal</t>
  </si>
  <si>
    <t>Bangalore</t>
  </si>
  <si>
    <t>Karnataka</t>
  </si>
  <si>
    <t>India</t>
  </si>
  <si>
    <t>171</t>
  </si>
  <si>
    <t>https://utrucking.com/admin/orders/5910613754044</t>
  </si>
  <si>
    <t>#15426</t>
  </si>
  <si>
    <t>Tara Boonstra</t>
  </si>
  <si>
    <t>Gainesville</t>
  </si>
  <si>
    <t>431</t>
  </si>
  <si>
    <t>https://utrucking.com/admin/orders/5910653239484</t>
  </si>
  <si>
    <t>#15427</t>
  </si>
  <si>
    <t xml:space="preserve">3152 Curts Ave
Los Angeles, CA 90034  </t>
  </si>
  <si>
    <t>https://utrucking.com/admin/orders/5910630498492</t>
  </si>
  <si>
    <t>#15428</t>
  </si>
  <si>
    <t>Sonia Gaur</t>
  </si>
  <si>
    <t>3318</t>
  </si>
  <si>
    <t xml:space="preserve">12169 Hilltop drive, Los Altos hills CA 94024  </t>
  </si>
  <si>
    <t>https://utrucking.com/admin/orders/5910681026748</t>
  </si>
  <si>
    <t>#15429</t>
  </si>
  <si>
    <t>bella.d@wustl.edu</t>
  </si>
  <si>
    <t>Bella Dai</t>
  </si>
  <si>
    <t>1003</t>
  </si>
  <si>
    <t>https://utrucking.com/admin/orders/5910763307196</t>
  </si>
  <si>
    <t>#15431</t>
  </si>
  <si>
    <t>murphyis@aol.com</t>
  </si>
  <si>
    <t>Margaret Murphy</t>
  </si>
  <si>
    <t>Glenside</t>
  </si>
  <si>
    <t xml:space="preserve">Nationwide Ship to School  </t>
  </si>
  <si>
    <t>4415-B</t>
  </si>
  <si>
    <t xml:space="preserve">8635 Montgomery Ave 
Glenside PA 19038  </t>
  </si>
  <si>
    <t>https://utrucking.com/admin/orders/5910789816508</t>
  </si>
  <si>
    <t>#15432</t>
  </si>
  <si>
    <t>zeller@writeme.com</t>
  </si>
  <si>
    <t>Matthias Zeller</t>
  </si>
  <si>
    <t>Palo Alto</t>
  </si>
  <si>
    <t>343-A</t>
  </si>
  <si>
    <t xml:space="preserve">4137 Donald Dr
Palo Alto, CA 94306  </t>
  </si>
  <si>
    <t>https://utrucking.com/admin/orders/5910825861308</t>
  </si>
  <si>
    <t>#15434</t>
  </si>
  <si>
    <t>n.sofia@wustl.edu</t>
  </si>
  <si>
    <t>Clinton Nossel</t>
  </si>
  <si>
    <t>New</t>
  </si>
  <si>
    <t xml:space="preserve"> Double-Door Mini Fridge </t>
  </si>
  <si>
    <t>3133 - A</t>
  </si>
  <si>
    <t>https://utrucking.com/admin/orders/5910867214524</t>
  </si>
  <si>
    <t>#15435</t>
  </si>
  <si>
    <t>d.r.wendler@wustl.edu</t>
  </si>
  <si>
    <t>Angela Wendler</t>
  </si>
  <si>
    <t>Cypress</t>
  </si>
  <si>
    <t xml:space="preserve"> Standard Mini Fridge </t>
  </si>
  <si>
    <t>206</t>
  </si>
  <si>
    <t xml:space="preserve">House 4 (Theta Xi)  </t>
  </si>
  <si>
    <t>https://utrucking.com/admin/orders/5910883696828</t>
  </si>
  <si>
    <t>#15436</t>
  </si>
  <si>
    <t>e.eckerle@wustl.edu</t>
  </si>
  <si>
    <t>Kim Eckerle</t>
  </si>
  <si>
    <t>Indianapolis</t>
  </si>
  <si>
    <t>Indiana</t>
  </si>
  <si>
    <t xml:space="preserve"> Double-Door Mini Fridge + Microwave </t>
  </si>
  <si>
    <t>Room 2111</t>
  </si>
  <si>
    <t>https://utrucking.com/admin/orders/5910966698172</t>
  </si>
  <si>
    <t>#15437</t>
  </si>
  <si>
    <t>bart@sokols.net</t>
  </si>
  <si>
    <t>Noah Sokol</t>
  </si>
  <si>
    <t>Armonk</t>
  </si>
  <si>
    <t xml:space="preserve"> Included Insurance </t>
  </si>
  <si>
    <t>3311 A</t>
  </si>
  <si>
    <t>6 Windmill Place
Armonk, NY 10504</t>
  </si>
  <si>
    <t>https://utrucking.com/admin/orders/5910979575996</t>
  </si>
  <si>
    <t>#15438</t>
  </si>
  <si>
    <t>Amy Balding</t>
  </si>
  <si>
    <t>Carmi</t>
  </si>
  <si>
    <t>216-A</t>
  </si>
  <si>
    <t>https://utrucking.com/admin/orders/5910996910268</t>
  </si>
  <si>
    <t>#15439</t>
  </si>
  <si>
    <t>cox.k.j@wustl.edu</t>
  </si>
  <si>
    <t>Christopher Cox</t>
  </si>
  <si>
    <t>3143</t>
  </si>
  <si>
    <t>https://utrucking.com/admin/orders/5912099455164</t>
  </si>
  <si>
    <t>#15440</t>
  </si>
  <si>
    <t>444</t>
  </si>
  <si>
    <t>https://utrucking.com/admin/orders/5912113217724</t>
  </si>
  <si>
    <t>#15441</t>
  </si>
  <si>
    <t>davidg795@gmail.com</t>
  </si>
  <si>
    <t>davidtest</t>
  </si>
  <si>
    <t>https://utrucking.com/admin/orders/5912128585916</t>
  </si>
  <si>
    <t>#15442</t>
  </si>
  <si>
    <t>somya.dave@icloud.com</t>
  </si>
  <si>
    <t>Somya Dave</t>
  </si>
  <si>
    <t>1001</t>
  </si>
  <si>
    <t>5 Forest Dr, Short Hills, NJ 07078</t>
  </si>
  <si>
    <t>https://utrucking.com/admin/orders/5912134189244</t>
  </si>
  <si>
    <t>#15443</t>
  </si>
  <si>
    <t>https://utrucking.com/admin/orders/5912136777916</t>
  </si>
  <si>
    <t>#15444</t>
  </si>
  <si>
    <t xml:space="preserve">3854 N Upland St
Arlington VA 22207  </t>
  </si>
  <si>
    <t>https://utrucking.com/admin/orders/5912154210492</t>
  </si>
  <si>
    <t>#15445</t>
  </si>
  <si>
    <t>lindsayfauntleroy@gmail.com</t>
  </si>
  <si>
    <t>306-A</t>
  </si>
  <si>
    <t>https://utrucking.com/admin/orders/5912162304188</t>
  </si>
  <si>
    <t>#15446</t>
  </si>
  <si>
    <t>angeliehuynh20065@gmail.com</t>
  </si>
  <si>
    <t>Angelie Huynh</t>
  </si>
  <si>
    <t>El Mirage</t>
  </si>
  <si>
    <t xml:space="preserve">12734 W Ash Street, El Mirage, AZ 85335  </t>
  </si>
  <si>
    <t>https://utrucking.com/admin/orders/5912196874428</t>
  </si>
  <si>
    <t>#15447</t>
  </si>
  <si>
    <t>barbosa@wustl.edu</t>
  </si>
  <si>
    <t>David Barbosa</t>
  </si>
  <si>
    <t>Lowell</t>
  </si>
  <si>
    <t xml:space="preserve">16 Elm St Apt 6. Lowell, MA  </t>
  </si>
  <si>
    <t>https://utrucking.com/admin/orders/5912198021308</t>
  </si>
  <si>
    <t>#15448</t>
  </si>
  <si>
    <t>lakshmi1110@gmail.com</t>
  </si>
  <si>
    <t>Jayadev Gopinath</t>
  </si>
  <si>
    <t>Southlake</t>
  </si>
  <si>
    <t>2061</t>
  </si>
  <si>
    <t>https://utrucking.com/admin/orders/5912200741052</t>
  </si>
  <si>
    <t>#15449</t>
  </si>
  <si>
    <t>rgoldberg576@gmail.com</t>
  </si>
  <si>
    <t>Rebecca Goldberg</t>
  </si>
  <si>
    <t>Bryn Mawr</t>
  </si>
  <si>
    <t xml:space="preserve"> Microwave Only </t>
  </si>
  <si>
    <t>4425</t>
  </si>
  <si>
    <t>https://utrucking.com/admin/orders/5912204935356</t>
  </si>
  <si>
    <t>#15450</t>
  </si>
  <si>
    <t>Nathan Blum</t>
  </si>
  <si>
    <t>B-2F</t>
  </si>
  <si>
    <t xml:space="preserve">3353 12th Ave
Brooklyn, NY 11218  </t>
  </si>
  <si>
    <t>https://utrucking.com/admin/orders/5912250613948</t>
  </si>
  <si>
    <t>#15451</t>
  </si>
  <si>
    <t>Rory O'Shea</t>
  </si>
  <si>
    <t>Sag Harbor</t>
  </si>
  <si>
    <t>11963-3928</t>
  </si>
  <si>
    <t>4012</t>
  </si>
  <si>
    <t>https://utrucking.com/admin/orders/5912254415036</t>
  </si>
  <si>
    <t>#15452</t>
  </si>
  <si>
    <t>taytaypeng@gmail.com</t>
  </si>
  <si>
    <t>Taylor Peng</t>
  </si>
  <si>
    <t>Culver City</t>
  </si>
  <si>
    <t>90230-4295</t>
  </si>
  <si>
    <t>1103</t>
  </si>
  <si>
    <t>https://utrucking.com/admin/orders/5912289312956</t>
  </si>
  <si>
    <t>#15453</t>
  </si>
  <si>
    <t>ellafessler@gmail.com</t>
  </si>
  <si>
    <t>Ella Fessler</t>
  </si>
  <si>
    <t>https://utrucking.com/admin/orders/5912404099260</t>
  </si>
  <si>
    <t>#15454</t>
  </si>
  <si>
    <t xml:space="preserve">11653 Dawson Drive, Los Altos Hills, CA, 94024  </t>
  </si>
  <si>
    <t>https://utrucking.com/admin/orders/5912420647100</t>
  </si>
  <si>
    <t>#15455</t>
  </si>
  <si>
    <t>k.o.smith@wustl.edu</t>
  </si>
  <si>
    <t>Kyle Smith</t>
  </si>
  <si>
    <t>Marionville</t>
  </si>
  <si>
    <t>3308b</t>
  </si>
  <si>
    <t xml:space="preserve">602B S College Ave, Marionville, MO 65705  </t>
  </si>
  <si>
    <t>https://utrucking.com/admin/orders/5912530682044</t>
  </si>
  <si>
    <t>#15456</t>
  </si>
  <si>
    <t>Russell Flicker</t>
  </si>
  <si>
    <t>6683 Washington Avenue, Apt 3E</t>
  </si>
  <si>
    <t>https://utrucking.com/admin/orders/5912574361788</t>
  </si>
  <si>
    <t>#15457</t>
  </si>
  <si>
    <t>minjunsohn@gmail.com</t>
  </si>
  <si>
    <t>Minjun Sohn</t>
  </si>
  <si>
    <t>Saint Louis</t>
  </si>
  <si>
    <t>3121</t>
  </si>
  <si>
    <t>https://utrucking.com/admin/orders/5912574951612</t>
  </si>
  <si>
    <t>#15458</t>
  </si>
  <si>
    <t>renacohen46@gmail.com</t>
  </si>
  <si>
    <t>Bloomington</t>
  </si>
  <si>
    <t>3131-a</t>
  </si>
  <si>
    <t>https://utrucking.com/admin/orders/5912600936636</t>
  </si>
  <si>
    <t>#15459</t>
  </si>
  <si>
    <t>tnix410@gmail.com</t>
  </si>
  <si>
    <t>tracy Nix</t>
  </si>
  <si>
    <t>Glen Ridge</t>
  </si>
  <si>
    <t>4104 - a</t>
  </si>
  <si>
    <t>https://utrucking.com/admin/orders/5912616108220</t>
  </si>
  <si>
    <t>#15460</t>
  </si>
  <si>
    <t>neilgarethmurphy@gmail.com</t>
  </si>
  <si>
    <t>Neil Murphy</t>
  </si>
  <si>
    <t>Ellicott City</t>
  </si>
  <si>
    <t>219</t>
  </si>
  <si>
    <t>https://utrucking.com/admin/orders/5912619909308</t>
  </si>
  <si>
    <t>#15461</t>
  </si>
  <si>
    <t>jaberger530@gmail.com</t>
  </si>
  <si>
    <t>Jared Berger</t>
  </si>
  <si>
    <t>Pittsford</t>
  </si>
  <si>
    <t xml:space="preserve">309C </t>
  </si>
  <si>
    <t>https://utrucking.com/admin/orders/5912642551996</t>
  </si>
  <si>
    <t>#15462</t>
  </si>
  <si>
    <t>alpatriceitoka@gmail.com</t>
  </si>
  <si>
    <t>Alpatrice Itoka</t>
  </si>
  <si>
    <t>St. Charles</t>
  </si>
  <si>
    <t>120</t>
  </si>
  <si>
    <t xml:space="preserve">1000 Parkcrest Dr St. Charles Mo, 63301  </t>
  </si>
  <si>
    <t>https://utrucking.com/admin/orders/5912660672700</t>
  </si>
  <si>
    <t>#15463</t>
  </si>
  <si>
    <t>Danbee You</t>
  </si>
  <si>
    <t>Closter</t>
  </si>
  <si>
    <t>482-b</t>
  </si>
  <si>
    <t>https://utrucking.com/admin/orders/5912662212796</t>
  </si>
  <si>
    <t>#15464</t>
  </si>
  <si>
    <t>j.m.waldo@wustl.edu</t>
  </si>
  <si>
    <t>Elizabeth Waldo</t>
  </si>
  <si>
    <t>Hinsdale</t>
  </si>
  <si>
    <t>3013a</t>
  </si>
  <si>
    <t>https://utrucking.com/admin/orders/5912683774140</t>
  </si>
  <si>
    <t>#15465</t>
  </si>
  <si>
    <t>alexlee0407@gmail.com</t>
  </si>
  <si>
    <t>Alexander Lee</t>
  </si>
  <si>
    <t>Brea</t>
  </si>
  <si>
    <t>https://utrucking.com/admin/orders/5912693866684</t>
  </si>
  <si>
    <t>#15466</t>
  </si>
  <si>
    <t>s.r.walden@wustl.edu</t>
  </si>
  <si>
    <t>Stella Walden</t>
  </si>
  <si>
    <t>102F</t>
  </si>
  <si>
    <t>https://utrucking.com/admin/orders/5912697471164</t>
  </si>
  <si>
    <t>#15467</t>
  </si>
  <si>
    <t>sasideva@gmail.com</t>
  </si>
  <si>
    <t>Kathir Sasikumar</t>
  </si>
  <si>
    <t>Swink</t>
  </si>
  <si>
    <t>Myers - 311 - a</t>
  </si>
  <si>
    <t xml:space="preserve">Kathir Sasikumar
MSC 96269
6515 Wydown Blvd.
St. Louis, MO 63105  </t>
  </si>
  <si>
    <t>https://utrucking.com/admin/orders/5912701665468</t>
  </si>
  <si>
    <t>#15468</t>
  </si>
  <si>
    <t>102f</t>
  </si>
  <si>
    <t>https://utrucking.com/admin/orders/5912710250684</t>
  </si>
  <si>
    <t>#15469</t>
  </si>
  <si>
    <t>k.d.roy@wustl.edu</t>
  </si>
  <si>
    <t>Renata Roy</t>
  </si>
  <si>
    <t>San Diego</t>
  </si>
  <si>
    <t>1032</t>
  </si>
  <si>
    <t>https://utrucking.com/admin/orders/5912751374524</t>
  </si>
  <si>
    <t>#15470</t>
  </si>
  <si>
    <t>Heidi Karon</t>
  </si>
  <si>
    <t>Columbia</t>
  </si>
  <si>
    <t>3090</t>
  </si>
  <si>
    <t>https://utrucking.com/admin/orders/5912769855676</t>
  </si>
  <si>
    <t>#15471</t>
  </si>
  <si>
    <t>djwadecoolswag@icloud.com</t>
  </si>
  <si>
    <t>Lauren Enoch</t>
  </si>
  <si>
    <t>Bronx</t>
  </si>
  <si>
    <t>205A</t>
  </si>
  <si>
    <t xml:space="preserve">Millbrook Bldg. 1  </t>
  </si>
  <si>
    <t>https://utrucking.com/admin/orders/5912777785532</t>
  </si>
  <si>
    <t>#15472</t>
  </si>
  <si>
    <t>akjubes@gmail.com</t>
  </si>
  <si>
    <t>Allison Jubelirer</t>
  </si>
  <si>
    <t>Chappaqua</t>
  </si>
  <si>
    <t>204</t>
  </si>
  <si>
    <t>House 3 (Alpha Delta Phi)</t>
  </si>
  <si>
    <t>https://utrucking.com/admin/orders/5912781619388</t>
  </si>
  <si>
    <t>#15473</t>
  </si>
  <si>
    <t>j29opal@gmail.com</t>
  </si>
  <si>
    <t>Vivian Sobel</t>
  </si>
  <si>
    <t>2206</t>
  </si>
  <si>
    <t>https://utrucking.com/admin/orders/5912781684924</t>
  </si>
  <si>
    <t>#15474</t>
  </si>
  <si>
    <t>edenlevi613@gmail.com</t>
  </si>
  <si>
    <t>eden levi</t>
  </si>
  <si>
    <t>Aliso Viejo</t>
  </si>
  <si>
    <t>https://utrucking.com/admin/orders/5912785354940</t>
  </si>
  <si>
    <t>#15475</t>
  </si>
  <si>
    <t>mdourney@me.com</t>
  </si>
  <si>
    <t>Michael Dourney</t>
  </si>
  <si>
    <t>Tampa</t>
  </si>
  <si>
    <t>222-B</t>
  </si>
  <si>
    <t xml:space="preserve">Lillian Dourney
11947 Royce Waterford Cir
Tampa, FL 33626  </t>
  </si>
  <si>
    <t>https://utrucking.com/admin/orders/5912840241340</t>
  </si>
  <si>
    <t>#15476</t>
  </si>
  <si>
    <t>p.taya@wustl.edu</t>
  </si>
  <si>
    <t>Taya Puner</t>
  </si>
  <si>
    <t>Milton</t>
  </si>
  <si>
    <t xml:space="preserve">    </t>
  </si>
  <si>
    <t xml:space="preserve">University Housing </t>
  </si>
  <si>
    <t>3010</t>
  </si>
  <si>
    <t xml:space="preserve">09:00 AM to 11:00 AM   </t>
  </si>
  <si>
    <t xml:space="preserve"> Microwave Only   </t>
  </si>
  <si>
    <t>https://utrucking.com/admin/orders/5912846434492</t>
  </si>
  <si>
    <t>#15477</t>
  </si>
  <si>
    <t>milliewolff8@gmail.com</t>
  </si>
  <si>
    <t>Richard Wolff</t>
  </si>
  <si>
    <t>Twinsburg</t>
  </si>
  <si>
    <t xml:space="preserve"> Double-Door Mini Fridge + Microwave   </t>
  </si>
  <si>
    <t>L226</t>
  </si>
  <si>
    <t>https://utrucking.com/admin/orders/5912857051324</t>
  </si>
  <si>
    <t>#15478</t>
  </si>
  <si>
    <t>adammdowney@gmail.com</t>
  </si>
  <si>
    <t>Adam Downey</t>
  </si>
  <si>
    <t>411-a</t>
  </si>
  <si>
    <t xml:space="preserve"> Included Insurance   </t>
  </si>
  <si>
    <t>Don’t know yet</t>
  </si>
  <si>
    <t>200 East 57th Street Apt 10B
New York NY 10022</t>
  </si>
  <si>
    <t>https://utrucking.com/admin/orders/5912857182396</t>
  </si>
  <si>
    <t>#15479</t>
  </si>
  <si>
    <t>caitkyuen@gmail.com</t>
  </si>
  <si>
    <t>Caitlin Yuen</t>
  </si>
  <si>
    <t>665 S Skinker Blvd. St. Louis, MO 63105
APT 05D</t>
  </si>
  <si>
    <t>Honolulu</t>
  </si>
  <si>
    <t>Hawaii</t>
  </si>
  <si>
    <t xml:space="preserve">Non-University Housing </t>
  </si>
  <si>
    <t>https://utrucking.com/admin/orders/5912870813884</t>
  </si>
  <si>
    <t>#15480</t>
  </si>
  <si>
    <t>n.schwartz@wustl.edu</t>
  </si>
  <si>
    <t>Claudia Schwartz</t>
  </si>
  <si>
    <t>4124</t>
  </si>
  <si>
    <t>https://utrucking.com/admin/orders/5912872681660</t>
  </si>
  <si>
    <t>#15481</t>
  </si>
  <si>
    <t xml:space="preserve"> Double-Door Mini Fridge   </t>
  </si>
  <si>
    <t>https://utrucking.com/admin/orders/5912878842044</t>
  </si>
  <si>
    <t>#15482</t>
  </si>
  <si>
    <t>bride.bratty.1u@icloud.com</t>
  </si>
  <si>
    <t>James Edwardsen</t>
  </si>
  <si>
    <t>608 Kingsland Avenue
St. Louis, MO 63130
Unit 2K-1</t>
  </si>
  <si>
    <t>Westlake Village</t>
  </si>
  <si>
    <t xml:space="preserve">10:00 AM to 12:00 PM   </t>
  </si>
  <si>
    <t>6603 University Drive</t>
  </si>
  <si>
    <t>https://utrucking.com/admin/orders/5912909283516</t>
  </si>
  <si>
    <t>#15483</t>
  </si>
  <si>
    <t>chendexter123@gmail.com</t>
  </si>
  <si>
    <t>Dexter Chen</t>
  </si>
  <si>
    <t>Plano</t>
  </si>
  <si>
    <t>313B</t>
  </si>
  <si>
    <t xml:space="preserve">Greenway Apartments  </t>
  </si>
  <si>
    <t>https://utrucking.com/admin/orders/5912909938876</t>
  </si>
  <si>
    <t>#15484</t>
  </si>
  <si>
    <t>julie@meggers.com</t>
  </si>
  <si>
    <t>Brianna Shute</t>
  </si>
  <si>
    <t>0230</t>
  </si>
  <si>
    <t>https://utrucking.com/admin/orders/5912915706044</t>
  </si>
  <si>
    <t>#15485</t>
  </si>
  <si>
    <t>jessicamakana@gmail.com</t>
  </si>
  <si>
    <t>Jessica Erwin</t>
  </si>
  <si>
    <t>Aiea</t>
  </si>
  <si>
    <t>4043</t>
  </si>
  <si>
    <t>https://utrucking.com/admin/orders/5912928977084</t>
  </si>
  <si>
    <t>#15486</t>
  </si>
  <si>
    <t>elfrantz12@gmail.com</t>
  </si>
  <si>
    <t>Ella Frantz</t>
  </si>
  <si>
    <t>Ponte Vedra Beach</t>
  </si>
  <si>
    <t>4044</t>
  </si>
  <si>
    <t>https://utrucking.com/admin/orders/5912971149500</t>
  </si>
  <si>
    <t>#15487</t>
  </si>
  <si>
    <t>Teresa Reed</t>
  </si>
  <si>
    <t>https://utrucking.com/admin/orders/5913003589820</t>
  </si>
  <si>
    <t>#15488</t>
  </si>
  <si>
    <t>sarahhussain@me.com</t>
  </si>
  <si>
    <t>Sarah Hussain</t>
  </si>
  <si>
    <t>L225-b</t>
  </si>
  <si>
    <t>https://utrucking.com/admin/orders/5913034653884</t>
  </si>
  <si>
    <t>#15489</t>
  </si>
  <si>
    <t>17mnguy@gmail.com</t>
  </si>
  <si>
    <t>Minh Nguyen</t>
  </si>
  <si>
    <t>309 a</t>
  </si>
  <si>
    <t>https://utrucking.com/admin/orders/5913046876348</t>
  </si>
  <si>
    <t>#15490</t>
  </si>
  <si>
    <t>Bin Li</t>
  </si>
  <si>
    <t>Morganville</t>
  </si>
  <si>
    <t>4413</t>
  </si>
  <si>
    <t>https://utrucking.com/admin/orders/5913049956540</t>
  </si>
  <si>
    <t>#15491</t>
  </si>
  <si>
    <t>farisahmed0007@gmail.com</t>
  </si>
  <si>
    <t>Faris Ahmed</t>
  </si>
  <si>
    <t>4406</t>
  </si>
  <si>
    <t>https://utrucking.com/admin/orders/5913060278460</t>
  </si>
  <si>
    <t>#15492</t>
  </si>
  <si>
    <t>s.sylvester@wustl.edu</t>
  </si>
  <si>
    <t>Samantha Sylvester</t>
  </si>
  <si>
    <t>https://utrucking.com/admin/orders/5913061261500</t>
  </si>
  <si>
    <t>#15493</t>
  </si>
  <si>
    <t>Uma Simhan</t>
  </si>
  <si>
    <t>PITTSBURGH</t>
  </si>
  <si>
    <t>124 C A</t>
  </si>
  <si>
    <t>https://utrucking.com/admin/orders/5913061425340</t>
  </si>
  <si>
    <t>#15494</t>
  </si>
  <si>
    <t>jsimhan16@gmail.com</t>
  </si>
  <si>
    <t>Jayanthi Simhan</t>
  </si>
  <si>
    <t>Pittsburgh</t>
  </si>
  <si>
    <t>124Aa</t>
  </si>
  <si>
    <t>https://utrucking.com/admin/orders/5913070108860</t>
  </si>
  <si>
    <t>#15495</t>
  </si>
  <si>
    <t>lhgvmd@msn.com</t>
  </si>
  <si>
    <t>Lisa Goldman</t>
  </si>
  <si>
    <t>Sudbury</t>
  </si>
  <si>
    <t xml:space="preserve">Nationwide Ship to School    </t>
  </si>
  <si>
    <t>340a</t>
  </si>
  <si>
    <t xml:space="preserve">6 Checkerberry Circle, Sudbury Ma 01776
SUDBURY, MA 01776  </t>
  </si>
  <si>
    <t>https://utrucking.com/admin/orders/5913073057980</t>
  </si>
  <si>
    <t>#15496</t>
  </si>
  <si>
    <t>david@utrucking.com</t>
  </si>
  <si>
    <t>Spec Ops</t>
  </si>
  <si>
    <t xml:space="preserve"> General Moving Services - University</t>
  </si>
  <si>
    <t xml:space="preserve"> University Housing</t>
  </si>
  <si>
    <t>FL3 &amp; FL4</t>
  </si>
  <si>
    <t xml:space="preserve"> 1:45 - 3:19</t>
  </si>
  <si>
    <t>7/10/25: 1:45p-3:19p Mark and Max resumed moving furniture from middle of the rooms in Wheeler for Kelsey. This time it was FL3 &amp; FL4</t>
  </si>
  <si>
    <t>RLC</t>
  </si>
  <si>
    <t xml:space="preserve"> 1:25p - 1:40p</t>
  </si>
  <si>
    <t>7/10/25:  1:25p - 1:40p - David, Max, &amp; Mark moved 10 boxes, mini fridge, misc. from Zetcher RLC office to Umrath TLR office. Super easy - Good will</t>
  </si>
  <si>
    <t>FL1 &amp; FL2</t>
  </si>
  <si>
    <t xml:space="preserve"> 9:45a - 12:15p</t>
  </si>
  <si>
    <t>7/10/25 - 9:45am - 12:15pm - 2 movers (Max, Mark) moved furniture from the middle of rooms (painters needed to paint the walls) to the correct spots in Wheeler FL1 &amp; FL2</t>
  </si>
  <si>
    <t>Facilities</t>
  </si>
  <si>
    <t xml:space="preserve"> N/A</t>
  </si>
  <si>
    <t>7/9/25 - David&amp;Jerrod dropped off medium fridge to MB facilities building for Kelsey (Good will)</t>
  </si>
  <si>
    <t>Bears Den</t>
  </si>
  <si>
    <t xml:space="preserve"> 10:05a - 10:33a</t>
  </si>
  <si>
    <t>7/8/25 Britne - David and Jerrod moved tables in Bears Den to their corresponding spots based on a diagram. Started 10:05 and finished at 10:33</t>
  </si>
  <si>
    <t>N/A</t>
  </si>
  <si>
    <t xml:space="preserve"> 8:30a - 1:00p</t>
  </si>
  <si>
    <t>7/7/25 - 8:30 - 1pm (finished moving furniture from Beau to Lee, Umrath, Dardick) 4 guys</t>
  </si>
  <si>
    <t xml:space="preserve"> 7:55a-12:00p</t>
  </si>
  <si>
    <t>7/4/25 Kelsey - moving furniture from Beau to Lee - 3 movers 7:55am - 12:00pm</t>
  </si>
  <si>
    <t xml:space="preserve"> 8:00a-5:30p</t>
  </si>
  <si>
    <t>7/3/25 - We moved the rest of the bedroom sets from Beaumont over to Lee and started bringing them up to their corresponding rooms, what we didn't finish we staged in the common area and there are guys coming in tomorrow to finish up.</t>
  </si>
  <si>
    <t>Lounges</t>
  </si>
  <si>
    <t xml:space="preserve"> 12:22p-1:45p</t>
  </si>
  <si>
    <t>7/18/25 - Moved ~100 chairs from BD to lounges of Umrath &amp; Zetcher for Britne
4 movers</t>
  </si>
  <si>
    <t>https://utrucking.com/admin/orders/5913080987836</t>
  </si>
  <si>
    <t>#15497</t>
  </si>
  <si>
    <t>gracetodd0613@gmail.com</t>
  </si>
  <si>
    <t>Grace Todd</t>
  </si>
  <si>
    <t>Denver</t>
  </si>
  <si>
    <t>4063</t>
  </si>
  <si>
    <t>https://utrucking.com/admin/orders/5913106383036</t>
  </si>
  <si>
    <t>#15498</t>
  </si>
  <si>
    <t>marni74@att.net</t>
  </si>
  <si>
    <t>Marni Nichols</t>
  </si>
  <si>
    <t>Vernon Hills</t>
  </si>
  <si>
    <t>4431</t>
  </si>
  <si>
    <t>https://utrucking.com/admin/orders/5913136070844</t>
  </si>
  <si>
    <t>#15499</t>
  </si>
  <si>
    <t>Cailynbaer22@gmail.com</t>
  </si>
  <si>
    <t>Sarah Walters</t>
  </si>
  <si>
    <t>Hastings-on-Hudson</t>
  </si>
  <si>
    <t>2219</t>
  </si>
  <si>
    <t>https://utrucking.com/admin/orders/5913136726204</t>
  </si>
  <si>
    <t>#15500</t>
  </si>
  <si>
    <t>Needham</t>
  </si>
  <si>
    <t xml:space="preserve">51 Aldridge Rd.
Needham, MA 02492  </t>
  </si>
  <si>
    <t>https://utrucking.com/admin/orders/5913136890044</t>
  </si>
  <si>
    <t>#15501</t>
  </si>
  <si>
    <t>Atinuke Ademola</t>
  </si>
  <si>
    <t>Richmond</t>
  </si>
  <si>
    <t>1230</t>
  </si>
  <si>
    <t xml:space="preserve">19902 Candle Point Lane Richmond, Texas 77407  </t>
  </si>
  <si>
    <t>https://utrucking.com/admin/orders/5913140789436</t>
  </si>
  <si>
    <t>#15502</t>
  </si>
  <si>
    <t>moon_keepers5d@icloud.com</t>
  </si>
  <si>
    <t>Alexander Chen</t>
  </si>
  <si>
    <t xml:space="preserve"> 1 [Included with Registration] / Included Insurance   </t>
  </si>
  <si>
    <t>https://utrucking.com/admin/orders/5913185059004</t>
  </si>
  <si>
    <t>#15503</t>
  </si>
  <si>
    <t>lynettehopkinson8@comcast.net</t>
  </si>
  <si>
    <t xml:space="preserve"> Standard Mini Fridge + Microwave   </t>
  </si>
  <si>
    <t>https://utrucking.com/admin/orders/5913196331196</t>
  </si>
  <si>
    <t>#15504</t>
  </si>
  <si>
    <t>seschoen@me.com</t>
  </si>
  <si>
    <t>Sarah Schoen</t>
  </si>
  <si>
    <t>1104B</t>
  </si>
  <si>
    <t xml:space="preserve">366 12th St Apt 1
Brooklyn, NY 11215  </t>
  </si>
  <si>
    <t>https://utrucking.com/admin/orders/5913198919868</t>
  </si>
  <si>
    <t>#15505</t>
  </si>
  <si>
    <t>sadiemgoldman@gmail.com</t>
  </si>
  <si>
    <t>Sadie Goldman</t>
  </si>
  <si>
    <t>340-a</t>
  </si>
  <si>
    <t>https://utrucking.com/admin/orders/5913199378620</t>
  </si>
  <si>
    <t>#15506</t>
  </si>
  <si>
    <t>https://utrucking.com/admin/orders/5913213173948</t>
  </si>
  <si>
    <t>#15507</t>
  </si>
  <si>
    <t>w158675239@163.com</t>
  </si>
  <si>
    <t>Xiao Wu</t>
  </si>
  <si>
    <t>https://utrucking.com/admin/orders/5913232769212</t>
  </si>
  <si>
    <t>#15508</t>
  </si>
  <si>
    <t>jolathun@gmail.com</t>
  </si>
  <si>
    <t xml:space="preserve">Hampton Thun
3152 Curts Ave
Los Angeles, CA 90034 </t>
  </si>
  <si>
    <t>https://utrucking.com/admin/orders/5913234997436</t>
  </si>
  <si>
    <t>#15509</t>
  </si>
  <si>
    <t>Lara Philip</t>
  </si>
  <si>
    <t>Darien</t>
  </si>
  <si>
    <t>https://utrucking.com/admin/orders/5913239617724</t>
  </si>
  <si>
    <t>#15510</t>
  </si>
  <si>
    <t>https://utrucking.com/admin/orders/5913290670268</t>
  </si>
  <si>
    <t>#15511</t>
  </si>
  <si>
    <t>gkaleb@wustl.edu</t>
  </si>
  <si>
    <t>Kaleb Gebresillasie</t>
  </si>
  <si>
    <t>Phoenix</t>
  </si>
  <si>
    <t>4408 - a</t>
  </si>
  <si>
    <t xml:space="preserve">4127 E Indian School Rd Apt 39, Phoenix, AZ 85018  </t>
  </si>
  <si>
    <t>https://utrucking.com/admin/orders/5913445892284</t>
  </si>
  <si>
    <t>#15512</t>
  </si>
  <si>
    <t>Cheetahsprint83264@gmail.com</t>
  </si>
  <si>
    <t>Sarah Baek</t>
  </si>
  <si>
    <t>Johns Creek</t>
  </si>
  <si>
    <t>2051 a</t>
  </si>
  <si>
    <t>https://utrucking.com/admin/orders/5913464275132</t>
  </si>
  <si>
    <t>#15513</t>
  </si>
  <si>
    <t>debbierothschild@yahoo.com</t>
  </si>
  <si>
    <t>Debra Rothschild</t>
  </si>
  <si>
    <t>172</t>
  </si>
  <si>
    <t>https://admin.shopify.com/store/utrucking/orders/5913466306748?link_source=search</t>
  </si>
  <si>
    <t>#15514</t>
  </si>
  <si>
    <t>erleabi@icloud.com</t>
  </si>
  <si>
    <t>Tamy Erle</t>
  </si>
  <si>
    <t>5484 Harvest Run Dr</t>
  </si>
  <si>
    <t>1051</t>
  </si>
  <si>
    <t>https://utrucking.com/admin/orders/5913480036540</t>
  </si>
  <si>
    <t>#15515</t>
  </si>
  <si>
    <t>Joanna Rogers</t>
  </si>
  <si>
    <t>Pikesville</t>
  </si>
  <si>
    <t>301</t>
  </si>
  <si>
    <t>https://utrucking.com/admin/orders/5913481904316</t>
  </si>
  <si>
    <t>#15516</t>
  </si>
  <si>
    <t>Catepink435@gmail.com</t>
  </si>
  <si>
    <t>Cate Godwin</t>
  </si>
  <si>
    <t>https://utrucking.com/admin/orders/5913490489532</t>
  </si>
  <si>
    <t>#15517</t>
  </si>
  <si>
    <t>jsebag1@gmail.com</t>
  </si>
  <si>
    <t>Jordan Sebag</t>
  </si>
  <si>
    <t>Atlantic Beach</t>
  </si>
  <si>
    <t>https://utrucking.com/admin/orders/5913500876988</t>
  </si>
  <si>
    <t>#15518</t>
  </si>
  <si>
    <t>Meredith Berkowitz</t>
  </si>
  <si>
    <t>202</t>
  </si>
  <si>
    <t>https://utrucking.com/admin/orders/5913501892796</t>
  </si>
  <si>
    <t>#15519</t>
  </si>
  <si>
    <t>ellielaird@icloud.com</t>
  </si>
  <si>
    <t>Ellie Laird</t>
  </si>
  <si>
    <t>Dallas</t>
  </si>
  <si>
    <t>102</t>
  </si>
  <si>
    <t>https://utrucking.com/admin/orders/5913503269052</t>
  </si>
  <si>
    <t>#15520</t>
  </si>
  <si>
    <t>e.f.lopez@wustl.edu</t>
  </si>
  <si>
    <t>Emily Lopez</t>
  </si>
  <si>
    <t>2021</t>
  </si>
  <si>
    <t>https://utrucking.com/admin/orders/5913504612540</t>
  </si>
  <si>
    <t>#15521</t>
  </si>
  <si>
    <t>Yuan Wang</t>
  </si>
  <si>
    <t>7256 Pershing Avenue - A
University City, MO 63130
United States</t>
  </si>
  <si>
    <t>https://utrucking.com/admin/orders/5913505366204</t>
  </si>
  <si>
    <t>#15522</t>
  </si>
  <si>
    <t>jencanter@gmail.com</t>
  </si>
  <si>
    <t>Jennifer Canter</t>
  </si>
  <si>
    <t xml:space="preserve">6105 Delmar Blvd
Apt. 508
St. Louis MO 63112
CONTACT PHONE 914-772-4856 (Jennifer Canter - mother) </t>
  </si>
  <si>
    <t xml:space="preserve">03:00 PM to 05:00 PM </t>
  </si>
  <si>
    <t>https://utrucking.com/admin/orders/5913519849660</t>
  </si>
  <si>
    <t>#15523</t>
  </si>
  <si>
    <t>long.m.o@wustl.edu</t>
  </si>
  <si>
    <t>Martin Long</t>
  </si>
  <si>
    <t>Towson</t>
  </si>
  <si>
    <t xml:space="preserve">311 Davage Lane
Towson, MD
21044  </t>
  </si>
  <si>
    <t>https://utrucking.com/admin/orders/5913520472252</t>
  </si>
  <si>
    <t>#15524</t>
  </si>
  <si>
    <t>ego.oyler@icloud.com</t>
  </si>
  <si>
    <t>Randall Oyler</t>
  </si>
  <si>
    <t>Nemerov - 1011 - a</t>
  </si>
  <si>
    <t>https://utrucking.com/admin/orders/5913535086780</t>
  </si>
  <si>
    <t>#15525</t>
  </si>
  <si>
    <t>isabelalanfranchi@gmail.com</t>
  </si>
  <si>
    <t>Isabela S Lanfranchi</t>
  </si>
  <si>
    <t>1053-a</t>
  </si>
  <si>
    <t>https://utrucking.com/admin/orders/5913535152316</t>
  </si>
  <si>
    <t>#15526</t>
  </si>
  <si>
    <t>2207 - b</t>
  </si>
  <si>
    <t>https://utrucking.com/admin/orders/5913552388284</t>
  </si>
  <si>
    <t>#15527</t>
  </si>
  <si>
    <t>k.j.krauss@wustl.edu</t>
  </si>
  <si>
    <t>1 (917) 873-8450</t>
  </si>
  <si>
    <t>Heidi Krauss</t>
  </si>
  <si>
    <t>301B-a</t>
  </si>
  <si>
    <t>https://utrucking.com/admin/orders/5913559400636</t>
  </si>
  <si>
    <t>#15528</t>
  </si>
  <si>
    <t>anniechenchen948@gmail.com</t>
  </si>
  <si>
    <t>Annie Chen</t>
  </si>
  <si>
    <t>Florence</t>
  </si>
  <si>
    <t>South Carolina</t>
  </si>
  <si>
    <t>3319</t>
  </si>
  <si>
    <t xml:space="preserve">753 Aster Drive
Florence, SC 29501  </t>
  </si>
  <si>
    <t>https://utrucking.com/admin/orders/5913568346300</t>
  </si>
  <si>
    <t>#15529</t>
  </si>
  <si>
    <t>olaganiu@hotmail.com</t>
  </si>
  <si>
    <t>AYISAT AYISAT</t>
  </si>
  <si>
    <t>Miramar</t>
  </si>
  <si>
    <t xml:space="preserve">13841 sw 52nd st   </t>
  </si>
  <si>
    <t>https://utrucking.com/admin/orders/5913577259196</t>
  </si>
  <si>
    <t>#15530</t>
  </si>
  <si>
    <t>g.jager@wustl.edu</t>
  </si>
  <si>
    <t>(909) 289-0030</t>
  </si>
  <si>
    <t>Gabriella Jager</t>
  </si>
  <si>
    <t>Yucaipa</t>
  </si>
  <si>
    <t>143</t>
  </si>
  <si>
    <t>https://utrucking.com/admin/orders/5913582665916</t>
  </si>
  <si>
    <t>#15531</t>
  </si>
  <si>
    <t>jensilbert1@gmail.com</t>
  </si>
  <si>
    <t>Jennifer Silbert</t>
  </si>
  <si>
    <t>3052-a</t>
  </si>
  <si>
    <t>https://utrucking.com/admin/orders/5913604882620</t>
  </si>
  <si>
    <t>#15532</t>
  </si>
  <si>
    <t>clr19594@gmail.com</t>
  </si>
  <si>
    <t>1104-a</t>
  </si>
  <si>
    <t>https://utrucking.com/admin/orders/5913656131772</t>
  </si>
  <si>
    <t>#15533</t>
  </si>
  <si>
    <t>b.knadjian@wustl.edu</t>
  </si>
  <si>
    <t>Bella Knadjian</t>
  </si>
  <si>
    <t>Santa Monica</t>
  </si>
  <si>
    <t>2123 - a</t>
  </si>
  <si>
    <t>https://utrucking.com/admin/orders/5913659113660</t>
  </si>
  <si>
    <t>#15534</t>
  </si>
  <si>
    <t>a.cherish@wustl.edu</t>
  </si>
  <si>
    <t>Cherish Amby-Okolo</t>
  </si>
  <si>
    <t>Amarillo</t>
  </si>
  <si>
    <t>1031</t>
  </si>
  <si>
    <t>https://utrucking.com/admin/orders/5913664520380</t>
  </si>
  <si>
    <t>#15535</t>
  </si>
  <si>
    <t>m.toledo@wustl.edu</t>
  </si>
  <si>
    <t>Melyssah Melyssah</t>
  </si>
  <si>
    <t>Johnson city</t>
  </si>
  <si>
    <t>324</t>
  </si>
  <si>
    <t>https://utrucking.com/admin/orders/5913676447932</t>
  </si>
  <si>
    <t>#15536</t>
  </si>
  <si>
    <t>jnewmanny@gmail.com</t>
  </si>
  <si>
    <t>Jennifer Newman</t>
  </si>
  <si>
    <t xml:space="preserve">165 Griffen Avenue
Scarsdale, NY 10583  </t>
  </si>
  <si>
    <t>https://utrucking.com/admin/orders/5913682542780</t>
  </si>
  <si>
    <t>#15537</t>
  </si>
  <si>
    <t>raeruthkaplan@gmail.com</t>
  </si>
  <si>
    <t>Jessica Kaplan</t>
  </si>
  <si>
    <t>104B</t>
  </si>
  <si>
    <t>https://utrucking.com/admin/orders/5913694732476</t>
  </si>
  <si>
    <t>#15538</t>
  </si>
  <si>
    <t>mayatylis@icloud.com</t>
  </si>
  <si>
    <t>Maya Tylis</t>
  </si>
  <si>
    <t>NY</t>
  </si>
  <si>
    <t>2273</t>
  </si>
  <si>
    <t>https://utrucking.com/admin/orders/5913699188924</t>
  </si>
  <si>
    <t>#15539</t>
  </si>
  <si>
    <t>Ariella Kleinhaus</t>
  </si>
  <si>
    <t>201 Dorchester Road
Scarsdale, NY 10583</t>
  </si>
  <si>
    <t>https://utrucking.com/admin/orders/5913703743676</t>
  </si>
  <si>
    <t>#15540</t>
  </si>
  <si>
    <t>jaewonkim000@gmail.com</t>
  </si>
  <si>
    <t>Sage Park</t>
  </si>
  <si>
    <t xml:space="preserve"> Standard Mini Fridge   </t>
  </si>
  <si>
    <t>2214</t>
  </si>
  <si>
    <t>https://utrucking.com/admin/orders/5913703874748</t>
  </si>
  <si>
    <t>#15541</t>
  </si>
  <si>
    <t>c.maurer@wustl.edu</t>
  </si>
  <si>
    <t>Clare Maurer</t>
  </si>
  <si>
    <t>South Pasadena</t>
  </si>
  <si>
    <t>https://utrucking.com/admin/orders/5913743425724</t>
  </si>
  <si>
    <t>#15542</t>
  </si>
  <si>
    <t>elisa.considine@gmail.com</t>
  </si>
  <si>
    <t>Elisa Considine</t>
  </si>
  <si>
    <t>307B- Room A</t>
  </si>
  <si>
    <t>https://utrucking.com/admin/orders/5913743884476</t>
  </si>
  <si>
    <t>#15543</t>
  </si>
  <si>
    <t>a.y.xu@wustl.edu</t>
  </si>
  <si>
    <t>Alice Xu</t>
  </si>
  <si>
    <t>Woodbridge</t>
  </si>
  <si>
    <t>3142</t>
  </si>
  <si>
    <t>https://utrucking.com/admin/orders/5913744801980</t>
  </si>
  <si>
    <t>#15544</t>
  </si>
  <si>
    <t>ashah22@wustl.edu</t>
  </si>
  <si>
    <t>Ayaan Shah</t>
  </si>
  <si>
    <t>362</t>
  </si>
  <si>
    <t xml:space="preserve">01:00 PM to 03:00 PM   </t>
  </si>
  <si>
    <t>https://utrucking.com/admin/orders/5913759187132</t>
  </si>
  <si>
    <t>#15545</t>
  </si>
  <si>
    <t>b.vidushi@wustl.edu</t>
  </si>
  <si>
    <t>Vidushi Binani</t>
  </si>
  <si>
    <t>St Louis</t>
  </si>
  <si>
    <t>3410</t>
  </si>
  <si>
    <t>https://utrucking.com/admin/orders/5913769410748</t>
  </si>
  <si>
    <t>#15546</t>
  </si>
  <si>
    <t>masonsmiller108@gmail.com</t>
  </si>
  <si>
    <t>Lutherville</t>
  </si>
  <si>
    <t>3092-a</t>
  </si>
  <si>
    <t>https://utrucking.com/admin/orders/5913773834428</t>
  </si>
  <si>
    <t>#15547</t>
  </si>
  <si>
    <t>trevorkrejdovsky@gmail.com</t>
  </si>
  <si>
    <t>Melissa Krejdovsky</t>
  </si>
  <si>
    <t>Novato</t>
  </si>
  <si>
    <t>144</t>
  </si>
  <si>
    <t>https://utrucking.com/admin/orders/5913784549564</t>
  </si>
  <si>
    <t>#15548</t>
  </si>
  <si>
    <t>l.a.marlowe@wustl.edu</t>
  </si>
  <si>
    <t>Staci Marlowe</t>
  </si>
  <si>
    <t>https://utrucking.com/admin/orders/5913802866876</t>
  </si>
  <si>
    <t>#15549</t>
  </si>
  <si>
    <t>grainne.deburca@nyu.edu</t>
  </si>
  <si>
    <t>Grainne de Burca</t>
  </si>
  <si>
    <t>3022-a</t>
  </si>
  <si>
    <t>https://utrucking.com/admin/orders/5913804701884</t>
  </si>
  <si>
    <t>#15550</t>
  </si>
  <si>
    <t>noasobel19@gmail.com</t>
  </si>
  <si>
    <t>Karen Sobel</t>
  </si>
  <si>
    <t>Haddonfield</t>
  </si>
  <si>
    <t>https://utrucking.com/admin/orders/5913805488316</t>
  </si>
  <si>
    <t>#15551</t>
  </si>
  <si>
    <t>l.speier@wustl.edu</t>
  </si>
  <si>
    <t>Lucas Speier</t>
  </si>
  <si>
    <t>Berkeley</t>
  </si>
  <si>
    <t>4093</t>
  </si>
  <si>
    <t>https://utrucking.com/admin/orders/5913809060028</t>
  </si>
  <si>
    <t>#15552</t>
  </si>
  <si>
    <t>jfussell123@icloud.com</t>
  </si>
  <si>
    <t>Jenise Fussell</t>
  </si>
  <si>
    <t>North Baldwin</t>
  </si>
  <si>
    <t>4490</t>
  </si>
  <si>
    <t>https://utrucking.com/admin/orders/5913811288252</t>
  </si>
  <si>
    <t>#15553</t>
  </si>
  <si>
    <t>sofia.greenberg@icloud.com</t>
  </si>
  <si>
    <t>Ana Greenberg</t>
  </si>
  <si>
    <t>https://utrucking.com/admin/orders/5913815810236</t>
  </si>
  <si>
    <t>#15554</t>
  </si>
  <si>
    <t>cbellejohnson@gmail.com</t>
  </si>
  <si>
    <t>Camille Johnson</t>
  </si>
  <si>
    <t>San Anselmo</t>
  </si>
  <si>
    <t>4033</t>
  </si>
  <si>
    <t>https://utrucking.com/admin/orders/5913829441724</t>
  </si>
  <si>
    <t>#15555</t>
  </si>
  <si>
    <t>Andrew Smersfelt</t>
  </si>
  <si>
    <t>La Canada</t>
  </si>
  <si>
    <t>3112</t>
  </si>
  <si>
    <t>https://utrucking.com/admin/orders/5913838387388</t>
  </si>
  <si>
    <t>#15556</t>
  </si>
  <si>
    <t>Jacquelyn Stern</t>
  </si>
  <si>
    <t>Annapolis</t>
  </si>
  <si>
    <t>3000</t>
  </si>
  <si>
    <t>https://utrucking.com/admin/orders/5913843302588</t>
  </si>
  <si>
    <t>#15557</t>
  </si>
  <si>
    <t>Benjaminkotch@icloud.com</t>
  </si>
  <si>
    <t>Benjamin Kotch</t>
  </si>
  <si>
    <t>Cornwall</t>
  </si>
  <si>
    <t>301B-A</t>
  </si>
  <si>
    <t>https://utrucking.com/admin/orders/5913853329596</t>
  </si>
  <si>
    <t>#15558</t>
  </si>
  <si>
    <t>d.tea@wustl.edu</t>
  </si>
  <si>
    <t>Téa Delic</t>
  </si>
  <si>
    <t>Coconut Grove</t>
  </si>
  <si>
    <t>3001</t>
  </si>
  <si>
    <t>https://utrucking.com/admin/orders/5913856016572</t>
  </si>
  <si>
    <t>#15559</t>
  </si>
  <si>
    <t>ssheena@aol.com</t>
  </si>
  <si>
    <t>Shannon Sheena</t>
  </si>
  <si>
    <t>Bellaire</t>
  </si>
  <si>
    <t>1236-a</t>
  </si>
  <si>
    <t xml:space="preserve">4612 Oleander Street 
Bellaire TX 77401  </t>
  </si>
  <si>
    <t>https://utrucking.com/admin/orders/5913857589436</t>
  </si>
  <si>
    <t>#15560</t>
  </si>
  <si>
    <t>camille@mcschwab.com</t>
  </si>
  <si>
    <t>Camille Schwab</t>
  </si>
  <si>
    <t>213C-a</t>
  </si>
  <si>
    <t xml:space="preserve">Loop Loft 6300  </t>
  </si>
  <si>
    <t>https://utrucking.com/admin/orders/5913861816508</t>
  </si>
  <si>
    <t>#15561</t>
  </si>
  <si>
    <t>sachin.blake@gmail.com</t>
  </si>
  <si>
    <t>Sachin Blake</t>
  </si>
  <si>
    <t>Berwyn</t>
  </si>
  <si>
    <t>209</t>
  </si>
  <si>
    <t>https://utrucking.com/admin/orders/5913866764476</t>
  </si>
  <si>
    <t>#15562</t>
  </si>
  <si>
    <t>sbryn20@icloud.com</t>
  </si>
  <si>
    <t>Rumson</t>
  </si>
  <si>
    <t>411C</t>
  </si>
  <si>
    <t>https://utrucking.com/admin/orders/5913884852412</t>
  </si>
  <si>
    <t>#15563</t>
  </si>
  <si>
    <t>Maria Veronica Llerena</t>
  </si>
  <si>
    <t>60634-2640</t>
  </si>
  <si>
    <t>2W-a</t>
  </si>
  <si>
    <t xml:space="preserve">6633 University Drive  </t>
  </si>
  <si>
    <t>https://utrucking.com/admin/orders/5913893208252</t>
  </si>
  <si>
    <t>#15564</t>
  </si>
  <si>
    <t>Marci Rosenblatt</t>
  </si>
  <si>
    <t>https://utrucking.com/admin/orders/5913895862460</t>
  </si>
  <si>
    <t>#15565</t>
  </si>
  <si>
    <t>l.mazeeva@wustl.edu</t>
  </si>
  <si>
    <t>Lydia Mazeeva</t>
  </si>
  <si>
    <t>Bellevue</t>
  </si>
  <si>
    <t>U Drive (6633) - 2W-C - a</t>
  </si>
  <si>
    <t>https://utrucking.com/admin/orders/5913895895228</t>
  </si>
  <si>
    <t>#15566</t>
  </si>
  <si>
    <t>Merion Station</t>
  </si>
  <si>
    <t>19066-1424</t>
  </si>
  <si>
    <t>https://utrucking.com/admin/orders/5913901465788</t>
  </si>
  <si>
    <t>#15567</t>
  </si>
  <si>
    <t>davidwvox@gmail.com</t>
  </si>
  <si>
    <t>Cara O'Shaughnessy</t>
  </si>
  <si>
    <t>705 Interdrive 
Apt. 1S
University City, MO 63130</t>
  </si>
  <si>
    <t>https://utrucking.com/admin/orders/5913903038652</t>
  </si>
  <si>
    <t>#15568</t>
  </si>
  <si>
    <t>m.g.milord@wustl.edu</t>
  </si>
  <si>
    <t>Midgee Milord</t>
  </si>
  <si>
    <t>Hillside</t>
  </si>
  <si>
    <t>3042</t>
  </si>
  <si>
    <t>https://utrucking.com/admin/orders/5913909362876</t>
  </si>
  <si>
    <t>#15569</t>
  </si>
  <si>
    <t>caballero@wustl.edu</t>
  </si>
  <si>
    <t>Elena Caballero</t>
  </si>
  <si>
    <t>Silver Spring</t>
  </si>
  <si>
    <t>403A</t>
  </si>
  <si>
    <t>https://utrucking.com/admin/orders/5913911689404</t>
  </si>
  <si>
    <t>#15570</t>
  </si>
  <si>
    <t>coco.z@wustl.edu</t>
  </si>
  <si>
    <t>Yue Zhan</t>
  </si>
  <si>
    <t>StLouis</t>
  </si>
  <si>
    <t>3062-a</t>
  </si>
  <si>
    <t>https://utrucking.com/admin/orders/5913917391036</t>
  </si>
  <si>
    <t>#15571</t>
  </si>
  <si>
    <t>kgablewis@gmail.com</t>
  </si>
  <si>
    <t>Kendra Lewi</t>
  </si>
  <si>
    <t>Minneapolis</t>
  </si>
  <si>
    <t>Minnesota</t>
  </si>
  <si>
    <t>55409-1420</t>
  </si>
  <si>
    <t>https://utrucking.com/admin/orders/5913918668988</t>
  </si>
  <si>
    <t>#15572</t>
  </si>
  <si>
    <t>michelleaandjeff@gmail.com</t>
  </si>
  <si>
    <t>Michelle Morrow</t>
  </si>
  <si>
    <t>la</t>
  </si>
  <si>
    <t>room # 207C-a</t>
  </si>
  <si>
    <t>https://utrucking.com/admin/orders/5913919226044</t>
  </si>
  <si>
    <t>#15573</t>
  </si>
  <si>
    <t>violetholah@gmail.com</t>
  </si>
  <si>
    <t>97232-2656</t>
  </si>
  <si>
    <t>201-G</t>
  </si>
  <si>
    <t>https://utrucking.com/admin/orders/5913919389884</t>
  </si>
  <si>
    <t>#15574</t>
  </si>
  <si>
    <t>adam@utrucking.com</t>
  </si>
  <si>
    <t>Britne Office</t>
  </si>
  <si>
    <t xml:space="preserve"> 10:00 AM (hard start)</t>
  </si>
  <si>
    <t>*Job is for Tues, 7/22.
Meet at Britne office in Umrath to discuss job. 
Contact Britne when 15 min away:
office: 314-935-7106
cell:     630-473-5274</t>
  </si>
  <si>
    <t>https://utrucking.com/admin/orders/5913921028284</t>
  </si>
  <si>
    <t>#15575</t>
  </si>
  <si>
    <t>aung.c@wustl.edu</t>
  </si>
  <si>
    <t>Christopher Aung</t>
  </si>
  <si>
    <t>3012-a</t>
  </si>
  <si>
    <t>https://utrucking.com/admin/orders/5913928171708</t>
  </si>
  <si>
    <t>#15576</t>
  </si>
  <si>
    <t>sadieforman@gmail.com</t>
  </si>
  <si>
    <t>Sadie Forman</t>
  </si>
  <si>
    <t>philadelphia</t>
  </si>
  <si>
    <t>https://utrucking.com/admin/orders/5913935577276</t>
  </si>
  <si>
    <t>#15577</t>
  </si>
  <si>
    <t>j.h.sun@wustl.edu</t>
  </si>
  <si>
    <t>Jasmine Sun</t>
  </si>
  <si>
    <t>3064</t>
  </si>
  <si>
    <t>https://utrucking.com/admin/orders/5913947734204</t>
  </si>
  <si>
    <t>#15578</t>
  </si>
  <si>
    <t>nicolebackals@gmail.com</t>
  </si>
  <si>
    <t>Nicole Backal</t>
  </si>
  <si>
    <t>hallandale beach</t>
  </si>
  <si>
    <t>309A</t>
  </si>
  <si>
    <t>https://utrucking.com/admin/orders/5913955238076</t>
  </si>
  <si>
    <t>#15579</t>
  </si>
  <si>
    <t>Wilmette</t>
  </si>
  <si>
    <t>2083</t>
  </si>
  <si>
    <t>https://utrucking.com/admin/orders/5913963430076</t>
  </si>
  <si>
    <t>#15580</t>
  </si>
  <si>
    <t>Makayli Anochie</t>
  </si>
  <si>
    <t>2043-a</t>
  </si>
  <si>
    <t xml:space="preserve">545 BELADA BLVD
ATLANTA, GA 30342  </t>
  </si>
  <si>
    <t>https://utrucking.com/admin/orders/5913969230012</t>
  </si>
  <si>
    <t>#15581</t>
  </si>
  <si>
    <t>diaz-mira@wustl.edu</t>
  </si>
  <si>
    <t>Isabella Diaz-Mira</t>
  </si>
  <si>
    <t>605 Leland Ave., Apt. 200
University City, MO 63130</t>
  </si>
  <si>
    <t>https://utrucking.com/admin/orders/5913972080828</t>
  </si>
  <si>
    <t>#15582</t>
  </si>
  <si>
    <t>Jordan Kim</t>
  </si>
  <si>
    <t>5959 McPherson Ave, Floor G
St Louis, Missouri 63112</t>
  </si>
  <si>
    <t xml:space="preserve">10:00 AM to 11:00 AM </t>
  </si>
  <si>
    <t>https://utrucking.com/admin/orders/5913988530364</t>
  </si>
  <si>
    <t>#15583</t>
  </si>
  <si>
    <t>a.hockstein@wustl.edu</t>
  </si>
  <si>
    <t>Aaron Hockstein</t>
  </si>
  <si>
    <t>Greenville</t>
  </si>
  <si>
    <t>Delaware</t>
  </si>
  <si>
    <t>4073</t>
  </si>
  <si>
    <t xml:space="preserve">09:00 AM to 11:00 AM   09:00 AM to 11:00 AM  </t>
  </si>
  <si>
    <t>https://utrucking.com/admin/orders/5913989972156</t>
  </si>
  <si>
    <t>#15584</t>
  </si>
  <si>
    <t>sia.bansal123@gmail.com</t>
  </si>
  <si>
    <t>Sia Bansal</t>
  </si>
  <si>
    <t>1032 - a</t>
  </si>
  <si>
    <t>https://utrucking.com/admin/orders/5914000130236</t>
  </si>
  <si>
    <t>#15585</t>
  </si>
  <si>
    <t>g.ross@wustl.edu</t>
  </si>
  <si>
    <t>Ross Goldberg</t>
  </si>
  <si>
    <t>2022</t>
  </si>
  <si>
    <t>https://utrucking.com/admin/orders/5914002882748</t>
  </si>
  <si>
    <t>#15586</t>
  </si>
  <si>
    <t>Hannah Brickman</t>
  </si>
  <si>
    <t>340</t>
  </si>
  <si>
    <t>https://utrucking.com/admin/orders/5914007077052</t>
  </si>
  <si>
    <t>#15587</t>
  </si>
  <si>
    <t>aidanraghu@gmail.com</t>
  </si>
  <si>
    <t>Raghu Loganathan</t>
  </si>
  <si>
    <t>Tenafly</t>
  </si>
  <si>
    <t>2121</t>
  </si>
  <si>
    <t>https://utrucking.com/admin/orders/5914008092860</t>
  </si>
  <si>
    <t>#15588</t>
  </si>
  <si>
    <t>kornhaberluke@gmail.com</t>
  </si>
  <si>
    <t>1 862-221-7772</t>
  </si>
  <si>
    <t>Luke Kornhaber</t>
  </si>
  <si>
    <t>Wayne</t>
  </si>
  <si>
    <t>207</t>
  </si>
  <si>
    <t>https://utrucking.com/admin/orders/5914010321084</t>
  </si>
  <si>
    <t>#15589</t>
  </si>
  <si>
    <t>Lisa.srwtwr@gmail.com</t>
  </si>
  <si>
    <t>https://utrucking.com/admin/orders/5914012221628</t>
  </si>
  <si>
    <t>#15590</t>
  </si>
  <si>
    <t>jboxwach@icloud.com</t>
  </si>
  <si>
    <t>Jordanna Boxer Wachler</t>
  </si>
  <si>
    <t>2032-A</t>
  </si>
  <si>
    <t>https://utrucking.com/admin/orders/5914018316476</t>
  </si>
  <si>
    <t>#15591</t>
  </si>
  <si>
    <t>joycel@wustl.edu</t>
  </si>
  <si>
    <t>Tsu-Yu Lin</t>
  </si>
  <si>
    <t>1004</t>
  </si>
  <si>
    <t>https://utrucking.com/admin/orders/5914028507324</t>
  </si>
  <si>
    <t>#15592</t>
  </si>
  <si>
    <t>s.c.yang@wustl.edu</t>
  </si>
  <si>
    <t>Seoin Yang</t>
  </si>
  <si>
    <t>1034-a</t>
  </si>
  <si>
    <t>https://utrucking.com/admin/orders/5914030506172</t>
  </si>
  <si>
    <t>#15593</t>
  </si>
  <si>
    <t>Noah Fresko</t>
  </si>
  <si>
    <t>761 Syracuse Ave, University City, MO 63130</t>
  </si>
  <si>
    <t>https://utrucking.com/admin/orders/5914056556732</t>
  </si>
  <si>
    <t>#15594</t>
  </si>
  <si>
    <t>e.t.kim@wustl.edu</t>
  </si>
  <si>
    <t>Ethan Kim</t>
  </si>
  <si>
    <t>Pasadena</t>
  </si>
  <si>
    <t>208</t>
  </si>
  <si>
    <t>https://utrucking.com/admin/orders/5914057769148</t>
  </si>
  <si>
    <t>#15595</t>
  </si>
  <si>
    <t>weilfamily3@gmail.com</t>
  </si>
  <si>
    <t>Joseph Weil</t>
  </si>
  <si>
    <t>san francisco</t>
  </si>
  <si>
    <t>304 E A</t>
  </si>
  <si>
    <t xml:space="preserve">100 buena vista terrace, San francisco, ca 94117  </t>
  </si>
  <si>
    <t>https://utrucking.com/admin/orders/5914061701308</t>
  </si>
  <si>
    <t>#15596</t>
  </si>
  <si>
    <t>h.r.raab@wustl.edu</t>
  </si>
  <si>
    <t>Hannah Raab</t>
  </si>
  <si>
    <t>Hartsdale</t>
  </si>
  <si>
    <t>2091</t>
  </si>
  <si>
    <t>https://utrucking.com/admin/orders/5914063438012</t>
  </si>
  <si>
    <t>#15597</t>
  </si>
  <si>
    <t>efbroad@gmail.com</t>
  </si>
  <si>
    <t>Elaine Broad</t>
  </si>
  <si>
    <t xml:space="preserve">2330 Lincoln ave  </t>
  </si>
  <si>
    <t>https://utrucking.com/admin/orders/5914063798460</t>
  </si>
  <si>
    <t>#15598</t>
  </si>
  <si>
    <t>Julian Nguyen</t>
  </si>
  <si>
    <t>4464</t>
  </si>
  <si>
    <t>https://utrucking.com/admin/orders/5914064027836</t>
  </si>
  <si>
    <t>#15599</t>
  </si>
  <si>
    <t>l.tyler@wustl.edu</t>
  </si>
  <si>
    <t>Tyler Leiderman</t>
  </si>
  <si>
    <t>202C</t>
  </si>
  <si>
    <t>https://utrucking.com/admin/orders/5914079002812</t>
  </si>
  <si>
    <t>#15600</t>
  </si>
  <si>
    <t>c.t.nelson@wustl.edu</t>
  </si>
  <si>
    <t>Cole Nelsin</t>
  </si>
  <si>
    <t>Putney</t>
  </si>
  <si>
    <t>Vermont</t>
  </si>
  <si>
    <t>311</t>
  </si>
  <si>
    <t>https://utrucking.com/admin/orders/5914108362940</t>
  </si>
  <si>
    <t>#15601</t>
  </si>
  <si>
    <t>Keshav Vasanth</t>
  </si>
  <si>
    <t>RICHARDSON</t>
  </si>
  <si>
    <t>352</t>
  </si>
  <si>
    <t>https://utrucking.com/admin/orders/5914111443132</t>
  </si>
  <si>
    <t>#15602</t>
  </si>
  <si>
    <t>https://utrucking.com/admin/orders/5914113376444</t>
  </si>
  <si>
    <t>#15603</t>
  </si>
  <si>
    <t>caitlindwilliams@icloud.com</t>
  </si>
  <si>
    <t>Westfield</t>
  </si>
  <si>
    <t>201</t>
  </si>
  <si>
    <t>https://utrucking.com/admin/orders/5914173800636</t>
  </si>
  <si>
    <t>#15604</t>
  </si>
  <si>
    <t>sp.g672@gmail.com</t>
  </si>
  <si>
    <t>Spencer Gary</t>
  </si>
  <si>
    <t>Chestnut Hill</t>
  </si>
  <si>
    <t>433 - a</t>
  </si>
  <si>
    <t xml:space="preserve">81 Old Orchard Road, Chestnut Hill, MA 02467  </t>
  </si>
  <si>
    <t>https://utrucking.com/admin/orders/5914175570108</t>
  </si>
  <si>
    <t>#15605</t>
  </si>
  <si>
    <t>o.m.sohn@wustl.edu</t>
  </si>
  <si>
    <t>Olivia Sohn</t>
  </si>
  <si>
    <t>Beaumont - 206 - b</t>
  </si>
  <si>
    <t>https://utrucking.com/admin/orders/5914184810684</t>
  </si>
  <si>
    <t>#15606</t>
  </si>
  <si>
    <t>mnzouenkeu@gmail.com</t>
  </si>
  <si>
    <t>Jason-Franck Nzouenkeu</t>
  </si>
  <si>
    <t>Plattsburgh</t>
  </si>
  <si>
    <t>1022 - a</t>
  </si>
  <si>
    <t xml:space="preserve">02:00 PM to 04:00 PM </t>
  </si>
  <si>
    <t>02:00 PM to 04:00 PM</t>
  </si>
  <si>
    <t>https://utrucking.com/admin/orders/5914193658044</t>
  </si>
  <si>
    <t>#15607</t>
  </si>
  <si>
    <t>rappoportm@yahoo.com</t>
  </si>
  <si>
    <t>Michelle Rappoport</t>
  </si>
  <si>
    <t>Manhattan Beach</t>
  </si>
  <si>
    <t>L236-B</t>
  </si>
  <si>
    <t>https://utrucking.com/admin/orders/5914194510012</t>
  </si>
  <si>
    <t>#15608</t>
  </si>
  <si>
    <t>harperhorn@icloud.com</t>
  </si>
  <si>
    <t>Keren Horn</t>
  </si>
  <si>
    <t xml:space="preserve">1641 W Wabansia Ave, Chicago, IL, 60622  </t>
  </si>
  <si>
    <t>https://utrucking.com/admin/orders/5914197295292</t>
  </si>
  <si>
    <t>#15609</t>
  </si>
  <si>
    <t>mellissa.ym.liu@gmail.com</t>
  </si>
  <si>
    <t>Melly liu</t>
  </si>
  <si>
    <t xml:space="preserve">1815 Port Ashley Place
Newport Beach, CA 92660  </t>
  </si>
  <si>
    <t>https://utrucking.com/admin/orders/5914230358204</t>
  </si>
  <si>
    <t>#15610</t>
  </si>
  <si>
    <t>ella.j@wustl.edu</t>
  </si>
  <si>
    <t>Min Seo Jang</t>
  </si>
  <si>
    <t>Gangnam-gu</t>
  </si>
  <si>
    <t>2074 - a</t>
  </si>
  <si>
    <t>https://utrucking.com/admin/orders/5914257260732</t>
  </si>
  <si>
    <t>#15611</t>
  </si>
  <si>
    <t>hbyzhang17@gmail.com</t>
  </si>
  <si>
    <t>ZHANG BOYUAN</t>
  </si>
  <si>
    <t>5800 Highlands Plaza Dr Apt 452</t>
  </si>
  <si>
    <t>https://utrucking.com/admin/orders/5914270269628</t>
  </si>
  <si>
    <t>#15612</t>
  </si>
  <si>
    <t>e.h.kang@wustl.edu</t>
  </si>
  <si>
    <t>Hun Sok Kang</t>
  </si>
  <si>
    <t>105 a</t>
  </si>
  <si>
    <t xml:space="preserve">11:00 AM to 01:00 PM   </t>
  </si>
  <si>
    <t>https://utrucking.com/admin/orders/5914395574460</t>
  </si>
  <si>
    <t>#15613</t>
  </si>
  <si>
    <t>michelemusicsteele@gmail.com</t>
  </si>
  <si>
    <t>Michele Steele</t>
  </si>
  <si>
    <t>E Cleveland</t>
  </si>
  <si>
    <t>village east 0063</t>
  </si>
  <si>
    <t>https://utrucking.com/admin/orders/5914411958460</t>
  </si>
  <si>
    <t>#15614</t>
  </si>
  <si>
    <t>melpollack@yahoo.com</t>
  </si>
  <si>
    <t>Melissa Pollack</t>
  </si>
  <si>
    <t>NEW YORK</t>
  </si>
  <si>
    <t>https://utrucking.com/admin/orders/5914416939196</t>
  </si>
  <si>
    <t>#15615</t>
  </si>
  <si>
    <t>j.tali@wustl.edu</t>
  </si>
  <si>
    <t>Tali Jarmond</t>
  </si>
  <si>
    <t>https://utrucking.com/admin/orders/5914453803196</t>
  </si>
  <si>
    <t>#15616</t>
  </si>
  <si>
    <t>kleinstephen88@gmail.com</t>
  </si>
  <si>
    <t>Kenneth Klein</t>
  </si>
  <si>
    <t>2030</t>
  </si>
  <si>
    <t>https://utrucking.com/admin/orders/5914454687932</t>
  </si>
  <si>
    <t>#15617</t>
  </si>
  <si>
    <t>Sienna Mora</t>
  </si>
  <si>
    <t>Loveladies</t>
  </si>
  <si>
    <t>234 B</t>
  </si>
  <si>
    <t xml:space="preserve">30 Long Beach Boulevard
Loveladies, NJ 08008  </t>
  </si>
  <si>
    <t>https://utrucking.com/admin/orders/5914463731900</t>
  </si>
  <si>
    <t>#15618</t>
  </si>
  <si>
    <t>mwstike21@gmail.com</t>
  </si>
  <si>
    <t>Madison Stikeleather</t>
  </si>
  <si>
    <t>Medfield</t>
  </si>
  <si>
    <t>3082</t>
  </si>
  <si>
    <t>https://utrucking.com/admin/orders/5914471465148</t>
  </si>
  <si>
    <t>#15619</t>
  </si>
  <si>
    <t>b.seoyoung@wustl.edu</t>
  </si>
  <si>
    <t>Seoyoung Bae</t>
  </si>
  <si>
    <t>211B</t>
  </si>
  <si>
    <t>https://utrucking.com/admin/orders/5914475495612</t>
  </si>
  <si>
    <t>#15620</t>
  </si>
  <si>
    <t>e.a.mccullough@wustl.edu</t>
  </si>
  <si>
    <t>Ella McCullough</t>
  </si>
  <si>
    <t>303C - a</t>
  </si>
  <si>
    <t>https://utrucking.com/admin/orders/5914495058108</t>
  </si>
  <si>
    <t>#15621</t>
  </si>
  <si>
    <t>p.sanjna@wustl.edu</t>
  </si>
  <si>
    <t>Rahul Pandit</t>
  </si>
  <si>
    <t>214a</t>
  </si>
  <si>
    <t>https://utrucking.com/admin/orders/5914515112124</t>
  </si>
  <si>
    <t>#15622</t>
  </si>
  <si>
    <t>a.lior@wustl.edu</t>
  </si>
  <si>
    <t>Lior Alon</t>
  </si>
  <si>
    <t>4004</t>
  </si>
  <si>
    <t>08/20/2025 08/20/2025</t>
  </si>
  <si>
    <t>https://utrucking.com/admin/orders/5914540441788</t>
  </si>
  <si>
    <t>#15623</t>
  </si>
  <si>
    <t>maraperry63@gmail.com</t>
  </si>
  <si>
    <t>Mara Perry</t>
  </si>
  <si>
    <t>203A</t>
  </si>
  <si>
    <t>https://utrucking.com/admin/orders/5914581336252</t>
  </si>
  <si>
    <t>#15624</t>
  </si>
  <si>
    <t>e.j.skolnick@wustl.edu</t>
  </si>
  <si>
    <t>Ethan Skolnick</t>
  </si>
  <si>
    <t>Louisville</t>
  </si>
  <si>
    <t>Kentucky</t>
  </si>
  <si>
    <t xml:space="preserve">     </t>
  </si>
  <si>
    <t>https://utrucking.com/admin/orders/5914593067196</t>
  </si>
  <si>
    <t>#15625</t>
  </si>
  <si>
    <t>c.k.ryan@wustl.edu</t>
  </si>
  <si>
    <t>Caroline S Ryan</t>
  </si>
  <si>
    <t>https://utrucking.com/admin/orders/5914665517244</t>
  </si>
  <si>
    <t>#15626</t>
  </si>
  <si>
    <t>noa.shiloach@gmail.com</t>
  </si>
  <si>
    <t>Noa Shiloach</t>
  </si>
  <si>
    <t xml:space="preserve">    -  - </t>
  </si>
  <si>
    <t>003-A</t>
  </si>
  <si>
    <t>https://utrucking.com/admin/orders/5914677379260</t>
  </si>
  <si>
    <t>#15627</t>
  </si>
  <si>
    <t>c.m.eddings@wustl.edu</t>
  </si>
  <si>
    <t>Denea Eddings</t>
  </si>
  <si>
    <t>Hyattsville</t>
  </si>
  <si>
    <t>3012</t>
  </si>
  <si>
    <t>https://utrucking.com/admin/orders/5914694090940</t>
  </si>
  <si>
    <t>#15628</t>
  </si>
  <si>
    <t>l.pino-sanchez@wustl.edu</t>
  </si>
  <si>
    <t>Leany Pino Sánchez</t>
  </si>
  <si>
    <t>Guaynabo</t>
  </si>
  <si>
    <t>Puerto Rico</t>
  </si>
  <si>
    <t>https://utrucking.com/admin/orders/5914728300732</t>
  </si>
  <si>
    <t>#15629</t>
  </si>
  <si>
    <t>jackedelstein@icloud.com</t>
  </si>
  <si>
    <t>Ocean Ridge</t>
  </si>
  <si>
    <t>1021</t>
  </si>
  <si>
    <t>https://utrucking.com/admin/orders/5914735149244</t>
  </si>
  <si>
    <t>#15630</t>
  </si>
  <si>
    <t>zzx20031225@gmail.com</t>
  </si>
  <si>
    <t>Zhixu Zhang</t>
  </si>
  <si>
    <t>6105 Delmar Blvd, Everly on the loop, #Unit610 - B</t>
  </si>
  <si>
    <t>https://utrucking.com/admin/orders/5914749075644</t>
  </si>
  <si>
    <t>#15631</t>
  </si>
  <si>
    <t>Colesmith@wustl.edu</t>
  </si>
  <si>
    <t>Bryan Smith</t>
  </si>
  <si>
    <t xml:space="preserve"> Double-Door Mini Fridge + Microwave   -  - </t>
  </si>
  <si>
    <t>https://utrucking.com/admin/orders/5914749599932</t>
  </si>
  <si>
    <t>#15632</t>
  </si>
  <si>
    <t>Stella Mekhanik</t>
  </si>
  <si>
    <t>Queen Creek</t>
  </si>
  <si>
    <t>113</t>
  </si>
  <si>
    <t xml:space="preserve">Nationwide Ship to School    -  - </t>
  </si>
  <si>
    <t xml:space="preserve">7480 S Loback Ct Queen Creek AZ 85142  </t>
  </si>
  <si>
    <t>https://utrucking.com/admin/orders/5914808189116</t>
  </si>
  <si>
    <t>#15633</t>
  </si>
  <si>
    <t>alliromano@gmail.com</t>
  </si>
  <si>
    <t>Alli Romano</t>
  </si>
  <si>
    <t xml:space="preserve">1916 Fairfax St
Denver, CO 80220  </t>
  </si>
  <si>
    <t>https://utrucking.com/admin/orders/5914819657916</t>
  </si>
  <si>
    <t>#15634</t>
  </si>
  <si>
    <t>becky.l@wustl.edu</t>
  </si>
  <si>
    <t>Becky Liu</t>
  </si>
  <si>
    <t>Yorba Linda</t>
  </si>
  <si>
    <t xml:space="preserve">4031a </t>
  </si>
  <si>
    <t>https://utrucking.com/admin/orders/5914836926652</t>
  </si>
  <si>
    <t>#15635</t>
  </si>
  <si>
    <t>aespurple@icloud.com</t>
  </si>
  <si>
    <t>Abbie Sapira</t>
  </si>
  <si>
    <t>Scotch plains</t>
  </si>
  <si>
    <t>07076-2917</t>
  </si>
  <si>
    <t>304C</t>
  </si>
  <si>
    <t>https://utrucking.com/admin/orders/5914838499516</t>
  </si>
  <si>
    <t>#15636</t>
  </si>
  <si>
    <t>Paula Crymes</t>
  </si>
  <si>
    <t xml:space="preserve"> Double-Door Mini Fridge   -  - </t>
  </si>
  <si>
    <t>250A</t>
  </si>
  <si>
    <t>https://utrucking.com/admin/orders/5914861142204</t>
  </si>
  <si>
    <t>#15637</t>
  </si>
  <si>
    <t>Amy Goebel</t>
  </si>
  <si>
    <t>Gilford</t>
  </si>
  <si>
    <t>https://utrucking.com/admin/orders/5914905772220</t>
  </si>
  <si>
    <t>#15638</t>
  </si>
  <si>
    <t>Eleanor Archer</t>
  </si>
  <si>
    <t>6105 Delmar Blvd. Apt 714-A
St. Louis, MO 63112
United States</t>
  </si>
  <si>
    <t>https://utrucking.com/admin/orders/5914907672764</t>
  </si>
  <si>
    <t>#15639</t>
  </si>
  <si>
    <t>k.lindsay@wustl.edu</t>
  </si>
  <si>
    <t>Lindsay Kweit</t>
  </si>
  <si>
    <t xml:space="preserve"> Standard Mini Fridge   -  - </t>
  </si>
  <si>
    <t>3073</t>
  </si>
  <si>
    <t xml:space="preserve">4 Niagara Drive Jericho NY 11753  </t>
  </si>
  <si>
    <t>https://utrucking.com/admin/orders/5914930806972</t>
  </si>
  <si>
    <t>#15640</t>
  </si>
  <si>
    <t>intuitiveen@gmail.com</t>
  </si>
  <si>
    <t>Ethan A Ng</t>
  </si>
  <si>
    <t>GLEN HEAD</t>
  </si>
  <si>
    <t>312A</t>
  </si>
  <si>
    <t>https://utrucking.com/admin/orders/5914937557180</t>
  </si>
  <si>
    <t>#15641</t>
  </si>
  <si>
    <t>amilia.hinck@gmail.com</t>
  </si>
  <si>
    <t>Amilia Hinck</t>
  </si>
  <si>
    <t>Deephaven</t>
  </si>
  <si>
    <t>https://utrucking.com/admin/orders/5914951811260</t>
  </si>
  <si>
    <t>#15642</t>
  </si>
  <si>
    <t>a.raizner@wustl.edu</t>
  </si>
  <si>
    <t>Alex Raizner</t>
  </si>
  <si>
    <t>3103</t>
  </si>
  <si>
    <t>https://utrucking.com/admin/orders/5914966720700</t>
  </si>
  <si>
    <t>#15643</t>
  </si>
  <si>
    <t>lorie.bishop@outlook.com</t>
  </si>
  <si>
    <t>Lorie Bishop</t>
  </si>
  <si>
    <t>317</t>
  </si>
  <si>
    <t>https://utrucking.com/admin/orders/5914996474044</t>
  </si>
  <si>
    <t>#15644</t>
  </si>
  <si>
    <t>amyhwang33@gmail.com</t>
  </si>
  <si>
    <t>Amy Hwang</t>
  </si>
  <si>
    <t>2044</t>
  </si>
  <si>
    <t>https://utrucking.com/admin/orders/5914999521468</t>
  </si>
  <si>
    <t>#15645</t>
  </si>
  <si>
    <t>l.a.volkova@wustl.edu</t>
  </si>
  <si>
    <t>Lidiia Volkova</t>
  </si>
  <si>
    <t>Little Elm</t>
  </si>
  <si>
    <t>4024-a</t>
  </si>
  <si>
    <t>https://utrucking.com/admin/orders/5915017707708</t>
  </si>
  <si>
    <t>#15646</t>
  </si>
  <si>
    <t>j.p.lynch@wustl.edu</t>
  </si>
  <si>
    <t>Joseph Lynch</t>
  </si>
  <si>
    <t>Swarthmore</t>
  </si>
  <si>
    <t>3073 - a</t>
  </si>
  <si>
    <t>https://utrucking.com/admin/orders/5915044053180</t>
  </si>
  <si>
    <t>#15647</t>
  </si>
  <si>
    <t>jeeho@wustl.edu</t>
  </si>
  <si>
    <t>Jeeho Kang</t>
  </si>
  <si>
    <t>206C-a</t>
  </si>
  <si>
    <t>https://utrucking.com/admin/orders/5915044413628</t>
  </si>
  <si>
    <t>#15648</t>
  </si>
  <si>
    <t>galiasheinberg@hotmail.com</t>
  </si>
  <si>
    <t>Galia Sheinberg</t>
  </si>
  <si>
    <t>Cuajimalpa de Morelos</t>
  </si>
  <si>
    <t>Ciudad de México</t>
  </si>
  <si>
    <t>Mexico</t>
  </si>
  <si>
    <t>03031</t>
  </si>
  <si>
    <t xml:space="preserve">12:00 PM to 02:00 PM   </t>
  </si>
  <si>
    <t>https://utrucking.com/admin/orders/5915109163196</t>
  </si>
  <si>
    <t>#15649</t>
  </si>
  <si>
    <t>zechatwustl@gmail.com</t>
  </si>
  <si>
    <t>Linda Pressnell</t>
  </si>
  <si>
    <t>Beaverton</t>
  </si>
  <si>
    <t>3003</t>
  </si>
  <si>
    <t>https://utrucking.com/admin/orders/5915164934332</t>
  </si>
  <si>
    <t>#15650</t>
  </si>
  <si>
    <t>ivy.kang@wustl.edu</t>
  </si>
  <si>
    <t>Ivy Kang</t>
  </si>
  <si>
    <t>311 DeBaliviere Ave, N420, St. Louis, Mo, 63112 (North Building)</t>
  </si>
  <si>
    <t>https://utrucking.com/admin/orders/5915173224636</t>
  </si>
  <si>
    <t>#15651</t>
  </si>
  <si>
    <t>jacksonstrauss@gmail.com</t>
  </si>
  <si>
    <t>Jackson Strauss</t>
  </si>
  <si>
    <t>302A</t>
  </si>
  <si>
    <t>https://utrucking.com/admin/orders/5915235254460</t>
  </si>
  <si>
    <t>#15652</t>
  </si>
  <si>
    <t>a.l.yoon@wustl.edu</t>
  </si>
  <si>
    <t>Ashley Yoon</t>
  </si>
  <si>
    <t>3073-a</t>
  </si>
  <si>
    <t>https://utrucking.com/admin/orders/5915367145660</t>
  </si>
  <si>
    <t>#15653</t>
  </si>
  <si>
    <t>kharris21@iCloud.com</t>
  </si>
  <si>
    <t>Kristy Harris</t>
  </si>
  <si>
    <t xml:space="preserve">320 West 76th Street 
Apartment 9G
New York, NY 10023  </t>
  </si>
  <si>
    <t>https://utrucking.com/admin/orders/5915374059708</t>
  </si>
  <si>
    <t>#15654</t>
  </si>
  <si>
    <t>dwyer.h@wustl.edu</t>
  </si>
  <si>
    <t>Hannah Dwyer</t>
  </si>
  <si>
    <t>Norwalk</t>
  </si>
  <si>
    <t>3083</t>
  </si>
  <si>
    <t>https://utrucking.com/admin/orders/5915394441404</t>
  </si>
  <si>
    <t>#15655</t>
  </si>
  <si>
    <t>Laureline Troin</t>
  </si>
  <si>
    <t>Mountain View</t>
  </si>
  <si>
    <t>3054</t>
  </si>
  <si>
    <t>https://utrucking.com/admin/orders/5915401093308</t>
  </si>
  <si>
    <t>#15656</t>
  </si>
  <si>
    <t>Benjamin Thompson</t>
  </si>
  <si>
    <t>https://utrucking.com/admin/orders/5915411120316</t>
  </si>
  <si>
    <t>#15657</t>
  </si>
  <si>
    <t>Bradley Broker</t>
  </si>
  <si>
    <t>Ambler</t>
  </si>
  <si>
    <t>https://utrucking.com/admin/orders/5915436875964</t>
  </si>
  <si>
    <t>#15658</t>
  </si>
  <si>
    <t>Ava Feldman</t>
  </si>
  <si>
    <t>232-B</t>
  </si>
  <si>
    <t xml:space="preserve">276 Fox Meadow Rd, Scarsdale, NY 10583  </t>
  </si>
  <si>
    <t>https://utrucking.com/admin/orders/5915445690556</t>
  </si>
  <si>
    <t>#15659</t>
  </si>
  <si>
    <t>hmcwhan@icloud.com</t>
  </si>
  <si>
    <t>Hannah McWhan</t>
  </si>
  <si>
    <t>01890-2125</t>
  </si>
  <si>
    <t>3024-a</t>
  </si>
  <si>
    <t>https://utrucking.com/admin/orders/5915470430396</t>
  </si>
  <si>
    <t>#15660</t>
  </si>
  <si>
    <t>Andrea Loigman</t>
  </si>
  <si>
    <t>3030</t>
  </si>
  <si>
    <t>https://utrucking.com/admin/orders/5915474591932</t>
  </si>
  <si>
    <t>#15661</t>
  </si>
  <si>
    <t>Anna Bulkovshteyn</t>
  </si>
  <si>
    <t>4420</t>
  </si>
  <si>
    <t>https://utrucking.com/admin/orders/5915484422332</t>
  </si>
  <si>
    <t>#15662</t>
  </si>
  <si>
    <t>mink7950@gmail.com</t>
  </si>
  <si>
    <t>Ein Gi Kim</t>
  </si>
  <si>
    <t xml:space="preserve">2321-A </t>
  </si>
  <si>
    <t>https://utrucking.com/admin/orders/5915491205308</t>
  </si>
  <si>
    <t>#15663</t>
  </si>
  <si>
    <t>christabodin@yahoo.com</t>
  </si>
  <si>
    <t>Tristan Frey</t>
  </si>
  <si>
    <t xml:space="preserve">Tristan Frey
415 Washington Street #4C
New York, NY 10013  </t>
  </si>
  <si>
    <t>https://utrucking.com/admin/orders/5915512635580</t>
  </si>
  <si>
    <t>#15664</t>
  </si>
  <si>
    <t>doyoon.k@wustl.edu</t>
  </si>
  <si>
    <t>Ja Eun Park</t>
  </si>
  <si>
    <t>https://utrucking.com/admin/orders/5915529838780</t>
  </si>
  <si>
    <t>#15665</t>
  </si>
  <si>
    <t>a.l.soderberg@wustl.edu</t>
  </si>
  <si>
    <t>Alyssa Soderberg</t>
  </si>
  <si>
    <t>Lakewood Ranch</t>
  </si>
  <si>
    <t>303B</t>
  </si>
  <si>
    <t>https://utrucking.com/admin/orders/5915607466172</t>
  </si>
  <si>
    <t>#15666</t>
  </si>
  <si>
    <t>jacquelyn weil</t>
  </si>
  <si>
    <t>https://utrucking.com/admin/orders/5915629420732</t>
  </si>
  <si>
    <t>#15667</t>
  </si>
  <si>
    <t>bethany_klynn@yahoo.com</t>
  </si>
  <si>
    <t>Bethany Klynn</t>
  </si>
  <si>
    <t>New Albany</t>
  </si>
  <si>
    <t>231</t>
  </si>
  <si>
    <t xml:space="preserve">4123 Sudbrook Sq E
New Albany, OH 43054  </t>
  </si>
  <si>
    <t>https://utrucking.com/admin/orders/5915668775100</t>
  </si>
  <si>
    <t>#15668</t>
  </si>
  <si>
    <t>allison_meltz@me.com</t>
  </si>
  <si>
    <t>Riley Meltz</t>
  </si>
  <si>
    <t xml:space="preserve">2 Mohican Trail, Scarsdale, NY, 10583  </t>
  </si>
  <si>
    <t>https://utrucking.com/admin/orders/5915720319164</t>
  </si>
  <si>
    <t>#15669</t>
  </si>
  <si>
    <t>gmb.baker@gmail.com</t>
  </si>
  <si>
    <t>Sydney Baker</t>
  </si>
  <si>
    <t>Brookville</t>
  </si>
  <si>
    <t xml:space="preserve">24 Wenwood Drive
Brookville, NY 11545  </t>
  </si>
  <si>
    <t>https://utrucking.com/admin/orders/5915764818108</t>
  </si>
  <si>
    <t>#15670</t>
  </si>
  <si>
    <t>wakefield@wustl.edu</t>
  </si>
  <si>
    <t>James Wakefield</t>
  </si>
  <si>
    <t>740 Westgate Ave, University City, MO 63130</t>
  </si>
  <si>
    <t>Grasonville</t>
  </si>
  <si>
    <t>740 Westgate Ave #3N, University City, MO 63130</t>
  </si>
  <si>
    <t xml:space="preserve">416 Timber Ln, Grasonville, MD 21638  </t>
  </si>
  <si>
    <t>https://utrucking.com/admin/orders/5915795718332</t>
  </si>
  <si>
    <t>#15671</t>
  </si>
  <si>
    <t xml:space="preserve"> 0  General Moving Services - University - Britne Amick</t>
  </si>
  <si>
    <t xml:space="preserve"> 9:00 AM — HARD START</t>
  </si>
  <si>
    <t>From Britne in 7/23 email
"I want to make sure they can come on Monday morning as early as they can, the 28th and tear everything down they set up, and while they are here, we will have them re-set the Bears Den back to its original set."</t>
  </si>
  <si>
    <t>https://utrucking.com/admin/orders/5915819737276</t>
  </si>
  <si>
    <t>#15672</t>
  </si>
  <si>
    <t>Adi Garg</t>
  </si>
  <si>
    <t>761 Syracuse Avenue Apt 2</t>
  </si>
  <si>
    <t>WESTON</t>
  </si>
  <si>
    <t>06883-2405</t>
  </si>
  <si>
    <t xml:space="preserve"> 1 [Included with Registration] / Included Insurance   -  - </t>
  </si>
  <si>
    <t>https://utrucking.com/admin/orders/5915879538876</t>
  </si>
  <si>
    <t>#15673</t>
  </si>
  <si>
    <t>d.d.khen@wustl.edu</t>
  </si>
  <si>
    <t>Daniel Khen</t>
  </si>
  <si>
    <t>6148 Pershing Ave
St. Louis, MO 63112</t>
  </si>
  <si>
    <t>https://utrucking.com/admin/orders/5915888156860</t>
  </si>
  <si>
    <t>#15674</t>
  </si>
  <si>
    <t>5919 McPherson Ave 3rd Floor</t>
  </si>
  <si>
    <t>Menlo Park</t>
  </si>
  <si>
    <t>https://utrucking.com/admin/orders/5915898904764</t>
  </si>
  <si>
    <t>#15675</t>
  </si>
  <si>
    <t>ray.bodnar@tprest.com</t>
  </si>
  <si>
    <t>Ray Bodnar</t>
  </si>
  <si>
    <t>Farmers Branch</t>
  </si>
  <si>
    <t>2205 - b</t>
  </si>
  <si>
    <t xml:space="preserve">4060 Spring Valley Road #202
Farmers Branch, TX 75244  </t>
  </si>
  <si>
    <t>https://utrucking.com/admin/orders/5915905884348</t>
  </si>
  <si>
    <t>#15676</t>
  </si>
  <si>
    <t>kaittan20@gmail.com</t>
  </si>
  <si>
    <t>Kaitlyn Tan</t>
  </si>
  <si>
    <t>Lincoln</t>
  </si>
  <si>
    <t>3091 - a</t>
  </si>
  <si>
    <t>https://utrucking.com/admin/orders/5915941929148</t>
  </si>
  <si>
    <t>#15677</t>
  </si>
  <si>
    <t>Julia Tyler</t>
  </si>
  <si>
    <t>112</t>
  </si>
  <si>
    <t xml:space="preserve">9285 Scenic Bluff Drive
Austin, Texas 78733  </t>
  </si>
  <si>
    <t>https://utrucking.com/admin/orders/5915948744892</t>
  </si>
  <si>
    <t>#15678</t>
  </si>
  <si>
    <t>d.a.restrebada@wustl.edu</t>
  </si>
  <si>
    <t>Daniel Restrebada</t>
  </si>
  <si>
    <t>3110</t>
  </si>
  <si>
    <t>https://utrucking.com/admin/orders/5915952251068</t>
  </si>
  <si>
    <t>#15679</t>
  </si>
  <si>
    <t>twang4276@gmail.com</t>
  </si>
  <si>
    <t>Liling Yang</t>
  </si>
  <si>
    <t>Oakville</t>
  </si>
  <si>
    <t>Ontario</t>
  </si>
  <si>
    <t>L6M 3W4</t>
  </si>
  <si>
    <t>Canada</t>
  </si>
  <si>
    <t>https://utrucking.com/admin/orders/5915976532156</t>
  </si>
  <si>
    <t>#15680</t>
  </si>
  <si>
    <t>Teresa Covello</t>
  </si>
  <si>
    <t>Morristown</t>
  </si>
  <si>
    <t>3101</t>
  </si>
  <si>
    <t>https://utrucking.com/admin/orders/5915981709500</t>
  </si>
  <si>
    <t>#15681</t>
  </si>
  <si>
    <t>chloe.liu0308@gmail.com</t>
  </si>
  <si>
    <t>Yiqing Ling</t>
  </si>
  <si>
    <t>San Ramon</t>
  </si>
  <si>
    <t>https://utrucking.com/admin/orders/5916015460540</t>
  </si>
  <si>
    <t>#15682</t>
  </si>
  <si>
    <t>astanley@bassberry.com</t>
  </si>
  <si>
    <t>Amanda Stanley</t>
  </si>
  <si>
    <t>2225</t>
  </si>
  <si>
    <t>https://utrucking.com/admin/orders/5916035580092</t>
  </si>
  <si>
    <t>#15683</t>
  </si>
  <si>
    <t>stevekimmd@gmail.com</t>
  </si>
  <si>
    <t>Sydney Kim</t>
  </si>
  <si>
    <t>Tucson</t>
  </si>
  <si>
    <t>316C</t>
  </si>
  <si>
    <t>https://utrucking.com/admin/orders/5916042395836</t>
  </si>
  <si>
    <t>#15684</t>
  </si>
  <si>
    <t>k.yerin@wustl.edu</t>
  </si>
  <si>
    <t>Yerin Kang</t>
  </si>
  <si>
    <t xml:space="preserve">
6105 Delmar Blvd. Apt 203
ST. LOUIS, MISSOURI 63112
United States</t>
  </si>
  <si>
    <t>https://utrucking.com/admin/orders/5916061761724</t>
  </si>
  <si>
    <t>#15685</t>
  </si>
  <si>
    <t>skboudi@gmail.com</t>
  </si>
  <si>
    <t>Simone Kboudi</t>
  </si>
  <si>
    <t>4412</t>
  </si>
  <si>
    <t xml:space="preserve">1445 Edris Drive, Los Angeles, CA 90035  </t>
  </si>
  <si>
    <t>https://utrucking.com/admin/orders/5916074311868</t>
  </si>
  <si>
    <t>#15686</t>
  </si>
  <si>
    <t>Charley Farr</t>
  </si>
  <si>
    <t>87122-4326</t>
  </si>
  <si>
    <t>423-a</t>
  </si>
  <si>
    <t xml:space="preserve">12408 Scarlet Gem Ct NE
Albuquerque, New Mexico 87122-4326  </t>
  </si>
  <si>
    <t>https://utrucking.com/admin/orders/5916107636924</t>
  </si>
  <si>
    <t>#15687</t>
  </si>
  <si>
    <t>g.nomin@wustl.edu</t>
  </si>
  <si>
    <t>Nomin Ganbold</t>
  </si>
  <si>
    <t>https://utrucking.com/admin/orders/5916144337084</t>
  </si>
  <si>
    <t>#15688</t>
  </si>
  <si>
    <t>Lisa Petlak</t>
  </si>
  <si>
    <t xml:space="preserve">1508 S. Canfield Ave.
Los Angeles, CA 90035  </t>
  </si>
  <si>
    <t>https://utrucking.com/admin/orders/5916184903868</t>
  </si>
  <si>
    <t>#15689</t>
  </si>
  <si>
    <t>bani@wustl.edu</t>
  </si>
  <si>
    <t>Bani Chandra</t>
  </si>
  <si>
    <t>https://utrucking.com/admin/orders/5916229828796</t>
  </si>
  <si>
    <t>#15690</t>
  </si>
  <si>
    <t>charliedoehring@icloud.com</t>
  </si>
  <si>
    <t>Charlie Doehring</t>
  </si>
  <si>
    <t xml:space="preserve">3725 Madison Street Oak Brook, IL  </t>
  </si>
  <si>
    <t>https://utrucking.com/admin/orders/5916234842300</t>
  </si>
  <si>
    <t>#15691</t>
  </si>
  <si>
    <t>marasilverstein@gmail.com</t>
  </si>
  <si>
    <t>Mara Silverstein</t>
  </si>
  <si>
    <t>5942 McPherson Ave 
63112
Inch up n</t>
  </si>
  <si>
    <t>https://utrucking.com/admin/orders/5916273868988</t>
  </si>
  <si>
    <t>#15692</t>
  </si>
  <si>
    <t>Carbunaru@wustl.edu</t>
  </si>
  <si>
    <t>Natalie carbunaru</t>
  </si>
  <si>
    <t>Valley Village</t>
  </si>
  <si>
    <t>Suite 4080/4082</t>
  </si>
  <si>
    <t>https://utrucking.com/admin/orders/5916316729532</t>
  </si>
  <si>
    <t>#15693</t>
  </si>
  <si>
    <t>Stephen Baecker</t>
  </si>
  <si>
    <t>E Sandwich</t>
  </si>
  <si>
    <t>1118</t>
  </si>
  <si>
    <t xml:space="preserve">2 Atwood Stroll
East Sandwich, MA 02537  </t>
  </si>
  <si>
    <t>https://utrucking.com/admin/orders/5916401598652</t>
  </si>
  <si>
    <t>#15695</t>
  </si>
  <si>
    <t>4061</t>
  </si>
  <si>
    <t>https://utrucking.com/admin/orders/5916444852412</t>
  </si>
  <si>
    <t>#15696</t>
  </si>
  <si>
    <t>clarahart29@icloud.com</t>
  </si>
  <si>
    <t>clara hart</t>
  </si>
  <si>
    <t>Glen Rock</t>
  </si>
  <si>
    <t>3073-A</t>
  </si>
  <si>
    <t>https://utrucking.com/admin/orders/5916444885180</t>
  </si>
  <si>
    <t>#15697</t>
  </si>
  <si>
    <t>f.adam@wustl.edu</t>
  </si>
  <si>
    <t>Adam Fleischman</t>
  </si>
  <si>
    <t>Milford</t>
  </si>
  <si>
    <t>4422b</t>
  </si>
  <si>
    <t xml:space="preserve">20 Fairwood Ave, Milford CT 06460  </t>
  </si>
  <si>
    <t>https://utrucking.com/admin/orders/5916470149308</t>
  </si>
  <si>
    <t>#15698</t>
  </si>
  <si>
    <t>rachelmori@icloud.com</t>
  </si>
  <si>
    <t>Rachel Mori</t>
  </si>
  <si>
    <t xml:space="preserve"> Microwave Only   -  - </t>
  </si>
  <si>
    <t>https://utrucking.com/admin/orders/5916494397628</t>
  </si>
  <si>
    <t>#15699</t>
  </si>
  <si>
    <t>Saratoga</t>
  </si>
  <si>
    <t>https://utrucking.com/admin/orders/5916500328636</t>
  </si>
  <si>
    <t>#15700</t>
  </si>
  <si>
    <t>kbwilson24@comcast.net</t>
  </si>
  <si>
    <t>Kevin Wilson</t>
  </si>
  <si>
    <t>Long Grove</t>
  </si>
  <si>
    <t>222</t>
  </si>
  <si>
    <t>https://utrucking.com/admin/orders/5916524052668</t>
  </si>
  <si>
    <t>#15701</t>
  </si>
  <si>
    <t>Derek Yung</t>
  </si>
  <si>
    <t>https://utrucking.com/admin/orders/5916565930172</t>
  </si>
  <si>
    <t>#15702</t>
  </si>
  <si>
    <t>https://utrucking.com/admin/orders/5916575039676</t>
  </si>
  <si>
    <t>#15703</t>
  </si>
  <si>
    <t>e.c.ellison@wustl.edu</t>
  </si>
  <si>
    <t>Emily Ellison</t>
  </si>
  <si>
    <t>307-A</t>
  </si>
  <si>
    <t>https://utrucking.com/admin/orders/5916577005756</t>
  </si>
  <si>
    <t>#15704</t>
  </si>
  <si>
    <t>mharry174@gmail.com</t>
  </si>
  <si>
    <t>Harrison Arons</t>
  </si>
  <si>
    <t>742 Kingsland Ave #3
Saint Louis, MO 63130</t>
  </si>
  <si>
    <t xml:space="preserve">12 Narrow Brook Road
Weston, CT 06883  </t>
  </si>
  <si>
    <t>https://utrucking.com/admin/orders/5916581986492</t>
  </si>
  <si>
    <t>#15705</t>
  </si>
  <si>
    <t>g.scarlett@wustl.edu</t>
  </si>
  <si>
    <t>Scarlett Gerber</t>
  </si>
  <si>
    <t>304</t>
  </si>
  <si>
    <t>https://utrucking.com/admin/orders/5916582215868</t>
  </si>
  <si>
    <t>#15706</t>
  </si>
  <si>
    <t>boyd.j.r@wustl.edu</t>
  </si>
  <si>
    <t>Jackson Boyd</t>
  </si>
  <si>
    <t>Falmouth</t>
  </si>
  <si>
    <t>Maine</t>
  </si>
  <si>
    <t>2043</t>
  </si>
  <si>
    <t>House 22 (Beta Theta Pi)</t>
  </si>
  <si>
    <t>https://utrucking.com/admin/orders/5916587229372</t>
  </si>
  <si>
    <t>#15707</t>
  </si>
  <si>
    <t>a.l.oates@wustl.edu</t>
  </si>
  <si>
    <t>alisa oates</t>
  </si>
  <si>
    <t>Amoret</t>
  </si>
  <si>
    <t>492</t>
  </si>
  <si>
    <t>https://utrucking.com/admin/orders/5916587851964</t>
  </si>
  <si>
    <t>#15708</t>
  </si>
  <si>
    <t>s.l.schneider@wustl.edu</t>
  </si>
  <si>
    <t>Sydney Schneider</t>
  </si>
  <si>
    <t>7209 Lindell Blvd
St. Louis, MO 63130</t>
  </si>
  <si>
    <t>https://utrucking.com/admin/orders/5916599779516</t>
  </si>
  <si>
    <t>#15709</t>
  </si>
  <si>
    <t>a.e.kingsnorth@wustl.edu</t>
  </si>
  <si>
    <t>Andrew Kingsnorth</t>
  </si>
  <si>
    <t>Montclair</t>
  </si>
  <si>
    <t>102-b</t>
  </si>
  <si>
    <t>https://utrucking.com/admin/orders/5916606103740</t>
  </si>
  <si>
    <t>#15710</t>
  </si>
  <si>
    <t>c.tollefson@wustl.edu</t>
  </si>
  <si>
    <t>Isaac Tollefson</t>
  </si>
  <si>
    <t>New Market</t>
  </si>
  <si>
    <t>005-A</t>
  </si>
  <si>
    <t>https://utrucking.com/admin/orders/5916625076412</t>
  </si>
  <si>
    <t>#15712</t>
  </si>
  <si>
    <t>siennayazdi@gmail.com</t>
  </si>
  <si>
    <t>Sienna Yazdi</t>
  </si>
  <si>
    <t>University City</t>
  </si>
  <si>
    <t>4412 - a</t>
  </si>
  <si>
    <t xml:space="preserve">7916 Stanford Avenue, St. Louis, MO 63130  </t>
  </si>
  <si>
    <t>https://utrucking.com/admin/orders/5916626878652</t>
  </si>
  <si>
    <t>#15713</t>
  </si>
  <si>
    <t>rondabloom@gmail.com</t>
  </si>
  <si>
    <t>https://utrucking.com/admin/orders/5916632252604</t>
  </si>
  <si>
    <t>#15714</t>
  </si>
  <si>
    <t>maddiebschneider@gmail.com</t>
  </si>
  <si>
    <t>Maddie Schneider</t>
  </si>
  <si>
    <t>4072-a</t>
  </si>
  <si>
    <t>https://utrucking.com/admin/orders/5916647817404</t>
  </si>
  <si>
    <t>#15715</t>
  </si>
  <si>
    <t>l.e.rand@wustl.edu</t>
  </si>
  <si>
    <t>Anne Rand</t>
  </si>
  <si>
    <t xml:space="preserve">House 3 (Alpha Delta Phi)  </t>
  </si>
  <si>
    <t>https://utrucking.com/admin/orders/5916675342524</t>
  </si>
  <si>
    <t>#15716</t>
  </si>
  <si>
    <t>elieshapiro@icloud.com</t>
  </si>
  <si>
    <t>Elie Shapiro</t>
  </si>
  <si>
    <t>General Moving Service</t>
  </si>
  <si>
    <t xml:space="preserve"> 1 Residential Apartment  -  - </t>
  </si>
  <si>
    <t xml:space="preserve">  6043 Clemens Ave, 2W, St. Louis MO 63112</t>
  </si>
  <si>
    <t xml:space="preserve"> 7334 Forsyth Ave, 102, St. Louis Mo 63105</t>
  </si>
  <si>
    <t xml:space="preserve">With stop at 7073 Forsyth blvd (down the street from location I’m moving to) to drop off the washer and dryer machines </t>
  </si>
  <si>
    <t>https://utrucking.com/admin/orders/5916678652092</t>
  </si>
  <si>
    <t>#15717</t>
  </si>
  <si>
    <t>Yinghui Huo</t>
  </si>
  <si>
    <t>Sugar Land</t>
  </si>
  <si>
    <t>317A</t>
  </si>
  <si>
    <t>https://utrucking.com/admin/orders/5916693823676</t>
  </si>
  <si>
    <t>#15718</t>
  </si>
  <si>
    <t>rsosland@gmail.com</t>
  </si>
  <si>
    <t>Rachel Sosland</t>
  </si>
  <si>
    <t>Leawood</t>
  </si>
  <si>
    <t>Kansas</t>
  </si>
  <si>
    <t>https://utrucking.com/admin/orders/5916698509500</t>
  </si>
  <si>
    <t>#15719</t>
  </si>
  <si>
    <t>anv1@cornell.edu</t>
  </si>
  <si>
    <t>Amy Garcia</t>
  </si>
  <si>
    <t>Syosset</t>
  </si>
  <si>
    <t>2061-a</t>
  </si>
  <si>
    <t>https://utrucking.com/admin/orders/5916698706108</t>
  </si>
  <si>
    <t>#15720</t>
  </si>
  <si>
    <t>Lori Veiel</t>
  </si>
  <si>
    <t>https://utrucking.com/admin/orders/5916703719612</t>
  </si>
  <si>
    <t>#15721</t>
  </si>
  <si>
    <t>jakebarberine1@gmail.com</t>
  </si>
  <si>
    <t>Jake Barberine</t>
  </si>
  <si>
    <t>New York City</t>
  </si>
  <si>
    <t>203B</t>
  </si>
  <si>
    <t>https://utrucking.com/admin/orders/5916718334140</t>
  </si>
  <si>
    <t>#15722</t>
  </si>
  <si>
    <t>c.verman@wustl.edu</t>
  </si>
  <si>
    <t>Verman Cuello</t>
  </si>
  <si>
    <t>4404</t>
  </si>
  <si>
    <t xml:space="preserve">946 Anderson Ave Apt 5C  </t>
  </si>
  <si>
    <t>https://utrucking.com/admin/orders/5916781838524</t>
  </si>
  <si>
    <t>#15723</t>
  </si>
  <si>
    <t>Leslie Benjamin</t>
  </si>
  <si>
    <t xml:space="preserve">414-a </t>
  </si>
  <si>
    <t xml:space="preserve">20 Canterbury Road Apt 3G
Great Neck, NY 11021  </t>
  </si>
  <si>
    <t>https://utrucking.com/admin/orders/5916822667452</t>
  </si>
  <si>
    <t>#15724</t>
  </si>
  <si>
    <t>connie.okeefe@yahoo.com</t>
  </si>
  <si>
    <t>Connie OKeefe</t>
  </si>
  <si>
    <t>4084-a</t>
  </si>
  <si>
    <t xml:space="preserve">196 Park Street, montclair NJ 07042  </t>
  </si>
  <si>
    <t>https://utrucking.com/admin/orders/5916825682108</t>
  </si>
  <si>
    <t>#15725</t>
  </si>
  <si>
    <t>Bo Kyung Shin</t>
  </si>
  <si>
    <t>https://utrucking.com/admin/orders/5916870148284</t>
  </si>
  <si>
    <t>#15726</t>
  </si>
  <si>
    <t>lucindalaughlin@icloud.com</t>
  </si>
  <si>
    <t>Lucinda Laughlin</t>
  </si>
  <si>
    <t>https://utrucking.com/admin/orders/5916872278204</t>
  </si>
  <si>
    <t>#15727</t>
  </si>
  <si>
    <t>tong.s@wustl.edu</t>
  </si>
  <si>
    <t>Hui Tong</t>
  </si>
  <si>
    <t>Plainsboro Township</t>
  </si>
  <si>
    <t>https://utrucking.com/admin/orders/5916882927804</t>
  </si>
  <si>
    <t>#15728</t>
  </si>
  <si>
    <t>keirar@wustl.edu</t>
  </si>
  <si>
    <t>Keira Reddington</t>
  </si>
  <si>
    <t xml:space="preserve">583 West 215th Street New York, NY 10034 Apt C5  </t>
  </si>
  <si>
    <t>https://utrucking.com/admin/orders/5916919627964</t>
  </si>
  <si>
    <t>#15729</t>
  </si>
  <si>
    <t>devin.w@wustl.edu</t>
  </si>
  <si>
    <t>Devin Wallace</t>
  </si>
  <si>
    <t>Wilmington</t>
  </si>
  <si>
    <t>4023</t>
  </si>
  <si>
    <t>https://utrucking.com/admin/orders/5916921823420</t>
  </si>
  <si>
    <t>#15730</t>
  </si>
  <si>
    <t>arushi.gupta@outlook.com</t>
  </si>
  <si>
    <t>Arushi Gupta</t>
  </si>
  <si>
    <t>Branchburg</t>
  </si>
  <si>
    <t>2094-a</t>
  </si>
  <si>
    <t>https://utrucking.com/admin/orders/5916935258300</t>
  </si>
  <si>
    <t>#15731</t>
  </si>
  <si>
    <t>Lance Lourie</t>
  </si>
  <si>
    <t>6006 Washington Blvd, Floor 2</t>
  </si>
  <si>
    <t>Sandy Springs</t>
  </si>
  <si>
    <t>https://utrucking.com/admin/orders/5916939747516</t>
  </si>
  <si>
    <t>#15732</t>
  </si>
  <si>
    <t>Charles Donner</t>
  </si>
  <si>
    <t>Gig Harbor</t>
  </si>
  <si>
    <t xml:space="preserve">8922 Warren Dr NW
Gig Harbor, Wa 98335  </t>
  </si>
  <si>
    <t>https://utrucking.com/admin/orders/5916943188156</t>
  </si>
  <si>
    <t>#15733</t>
  </si>
  <si>
    <t>l.zhanning@wustl.edu</t>
  </si>
  <si>
    <t>Maggie Lin</t>
  </si>
  <si>
    <t>3093 - a</t>
  </si>
  <si>
    <t>https://utrucking.com/admin/orders/5916952133820</t>
  </si>
  <si>
    <t>#15734</t>
  </si>
  <si>
    <t>j.g.miller@wustl.edu</t>
  </si>
  <si>
    <t>Joshua Miller</t>
  </si>
  <si>
    <t>2094</t>
  </si>
  <si>
    <t xml:space="preserve">Joshua Miller put 4 UTs &amp; 1 L Plastic back into storage until January </t>
  </si>
  <si>
    <t>https://utrucking.com/admin/orders/5916965535932</t>
  </si>
  <si>
    <t>#15735</t>
  </si>
  <si>
    <t>k.n.sharifi@wustl.edu</t>
  </si>
  <si>
    <t>Kian Sharifi</t>
  </si>
  <si>
    <t>https://utrucking.com/admin/orders/5916966125756</t>
  </si>
  <si>
    <t>#15736</t>
  </si>
  <si>
    <t>Clayton Berger</t>
  </si>
  <si>
    <t>Coconut Creek</t>
  </si>
  <si>
    <t>4081</t>
  </si>
  <si>
    <t>https://utrucking.com/admin/orders/5916979757244</t>
  </si>
  <si>
    <t>#15737</t>
  </si>
  <si>
    <t>jackiez@wustl.edu</t>
  </si>
  <si>
    <t>Jackie Zhang</t>
  </si>
  <si>
    <t>3063</t>
  </si>
  <si>
    <t>https://utrucking.com/admin/orders/5916994044092</t>
  </si>
  <si>
    <t>#15738</t>
  </si>
  <si>
    <t>Brian Hau</t>
  </si>
  <si>
    <t>6665 Washington Ave, #1E</t>
  </si>
  <si>
    <t>05.00 PM</t>
  </si>
  <si>
    <t>flight landing at 5, please leave outside building if we can't delay the delivery until 6 or so</t>
  </si>
  <si>
    <t>https://utrucking.com/admin/orders/5916998828220</t>
  </si>
  <si>
    <t>#15739</t>
  </si>
  <si>
    <t>2232lealu@gmail.com</t>
  </si>
  <si>
    <t>YI CHING LU</t>
  </si>
  <si>
    <t>Zhubei City</t>
  </si>
  <si>
    <t>Taiwan</t>
  </si>
  <si>
    <t xml:space="preserve"> Standard Mini Fridge + Microwave   -  - </t>
  </si>
  <si>
    <t xml:space="preserve"> 113 - A</t>
  </si>
  <si>
    <t>https://utrucking.com/admin/orders/5917017964732</t>
  </si>
  <si>
    <t>#15740</t>
  </si>
  <si>
    <t>c.r.rinke@wustl.edu</t>
  </si>
  <si>
    <t>Coby Rinke</t>
  </si>
  <si>
    <t>Briarcliff Manor</t>
  </si>
  <si>
    <t>3101 - a</t>
  </si>
  <si>
    <t>https://utrucking.com/admin/orders/5917070524604</t>
  </si>
  <si>
    <t>#15741</t>
  </si>
  <si>
    <t>ashleypease16@gmail.com</t>
  </si>
  <si>
    <t>Ashley Pease</t>
  </si>
  <si>
    <t>Tarzana</t>
  </si>
  <si>
    <t>2023-A</t>
  </si>
  <si>
    <t>https://utrucking.com/admin/orders/5917073572028</t>
  </si>
  <si>
    <t>#15742</t>
  </si>
  <si>
    <t>esterly@wustl.edu</t>
  </si>
  <si>
    <t>Isabel Esterly</t>
  </si>
  <si>
    <t>https://utrucking.com/admin/orders/5917080387772</t>
  </si>
  <si>
    <t>#15743</t>
  </si>
  <si>
    <t>rachely2005@gmail.com</t>
  </si>
  <si>
    <t>Rachel Park</t>
  </si>
  <si>
    <t>3072</t>
  </si>
  <si>
    <t>https://utrucking.com/admin/orders/5917088547004</t>
  </si>
  <si>
    <t>#15744</t>
  </si>
  <si>
    <t>c.kaiting@wustl.edu</t>
  </si>
  <si>
    <t>Justin Chen</t>
  </si>
  <si>
    <t>https://utrucking.com/admin/orders/5917106700476</t>
  </si>
  <si>
    <t>#15745</t>
  </si>
  <si>
    <t>a.meidjina@wustl.edu</t>
  </si>
  <si>
    <t>Meidjina Adonis</t>
  </si>
  <si>
    <t>3040 - a</t>
  </si>
  <si>
    <t>https://utrucking.com/admin/orders/5917160112316</t>
  </si>
  <si>
    <t>#15746</t>
  </si>
  <si>
    <t>dilitar@wustl.edu</t>
  </si>
  <si>
    <t>yuxiao zhao</t>
  </si>
  <si>
    <t>1023-a</t>
  </si>
  <si>
    <t>https://utrucking.com/admin/orders/5917268050108</t>
  </si>
  <si>
    <t>#15747</t>
  </si>
  <si>
    <t>Ella Rodriguez</t>
  </si>
  <si>
    <t>6643 Kingsbury Boulevard
Unit 3E
University City, MO 63130</t>
  </si>
  <si>
    <t xml:space="preserve">14 Soundview Avenue #57
White Plains, NY 10606  </t>
  </si>
  <si>
    <t>https://utrucking.com/admin/orders/5917271326908</t>
  </si>
  <si>
    <t>#15748</t>
  </si>
  <si>
    <t>c.newhouse@wustl.edu</t>
  </si>
  <si>
    <t>Charlotte Newhouse</t>
  </si>
  <si>
    <t>Suite 303- room d</t>
  </si>
  <si>
    <t>https://utrucking.com/admin/orders/5917335093436</t>
  </si>
  <si>
    <t>#15749</t>
  </si>
  <si>
    <t>info@utrucking.com</t>
  </si>
  <si>
    <t>Joseph Hettinger</t>
  </si>
  <si>
    <t>Town and Country</t>
  </si>
  <si>
    <t xml:space="preserve"> 0  General Moving Services - Other (Specify in Notes) - #14424 Arushi Gupta</t>
  </si>
  <si>
    <t>414b</t>
  </si>
  <si>
    <t xml:space="preserve"> Late access</t>
  </si>
  <si>
    <t>pickup and re-deliver to village east 2094 fall housing after she leaves summer program august 8th</t>
  </si>
  <si>
    <t>https://utrucking.com/admin/orders/5917346595004</t>
  </si>
  <si>
    <t>#15750</t>
  </si>
  <si>
    <t xml:space="preserve"> 0  General Moving Services - Other (Specify in Notes) - #14529 Jack Farah</t>
  </si>
  <si>
    <t>2W-A</t>
  </si>
  <si>
    <t xml:space="preserve"> Late Acess</t>
  </si>
  <si>
    <t xml:space="preserve">6639 University Drive  </t>
  </si>
  <si>
    <t>2nd summer storage pickup to be delivered to fall housing a week later</t>
  </si>
  <si>
    <t>https://utrucking.com/admin/orders/5917350133948</t>
  </si>
  <si>
    <t>#15751</t>
  </si>
  <si>
    <t>vogelw@wustl.edu</t>
  </si>
  <si>
    <t>Candice Vogel</t>
  </si>
  <si>
    <t>Sandy</t>
  </si>
  <si>
    <t>Utah</t>
  </si>
  <si>
    <t>341</t>
  </si>
  <si>
    <t>https://utrucking.com/admin/orders/5917351641276</t>
  </si>
  <si>
    <t>#15752</t>
  </si>
  <si>
    <t xml:space="preserve"> 0  General Moving Services - University - #14280 Junyoung Park</t>
  </si>
  <si>
    <t>401A</t>
  </si>
  <si>
    <t xml:space="preserve"> Late Access</t>
  </si>
  <si>
    <t>2nd summer storage pickup to be redelivered to fall housing</t>
  </si>
  <si>
    <t>https://utrucking.com/admin/orders/5917362815164</t>
  </si>
  <si>
    <t>#15753</t>
  </si>
  <si>
    <t>junyoung.p@wustl.edu</t>
  </si>
  <si>
    <t>Junyoung Park</t>
  </si>
  <si>
    <t>Spokane</t>
  </si>
  <si>
    <t>202A</t>
  </si>
  <si>
    <t>https://utrucking.com/admin/orders/5917515088060</t>
  </si>
  <si>
    <t>#15754</t>
  </si>
  <si>
    <t xml:space="preserve"> 0  General Moving Services - University - Britne</t>
  </si>
  <si>
    <t>Lounge</t>
  </si>
  <si>
    <t xml:space="preserve"> 10:15 - 12:15</t>
  </si>
  <si>
    <t>7/22/25
Moved 30 chairs to Gregg lounge for a presentation, moved tables from Umrath conference room to Gregg lounge for presentation. 
3 movers</t>
  </si>
  <si>
    <t>https://utrucking.com/admin/orders/5917518659772</t>
  </si>
  <si>
    <t>#15755</t>
  </si>
  <si>
    <t>ellisternk@gmail.com</t>
  </si>
  <si>
    <t>Elli Stern</t>
  </si>
  <si>
    <t>208B</t>
  </si>
  <si>
    <t>https://utrucking.com/admin/orders/5917521510588</t>
  </si>
  <si>
    <t>#15756</t>
  </si>
  <si>
    <t>David George</t>
  </si>
  <si>
    <t>Belleville</t>
  </si>
  <si>
    <t xml:space="preserve"> 0  General Moving Services - University - Kelsey</t>
  </si>
  <si>
    <t>Chapter Room</t>
  </si>
  <si>
    <t xml:space="preserve"> 12:30- 1:15</t>
  </si>
  <si>
    <t xml:space="preserve">7/22/25
Kelsey
moved furniture from Chapter rm to middle of living room in House 2.
3 movers </t>
  </si>
  <si>
    <t>https://utrucking.com/admin/orders/5917524099260</t>
  </si>
  <si>
    <t>#15757</t>
  </si>
  <si>
    <t>LL Seminar</t>
  </si>
  <si>
    <t xml:space="preserve"> 5:15p-6:00p</t>
  </si>
  <si>
    <t>7/22/25
moved rack of chairs from Mudd MPR to Liggett LL Seminar room and arranged the room to fit 45 people. 
2 movers</t>
  </si>
  <si>
    <t>https://utrucking.com/admin/orders/5917526327484</t>
  </si>
  <si>
    <t>#15758</t>
  </si>
  <si>
    <t xml:space="preserve"> 5:00p - 6:00p</t>
  </si>
  <si>
    <t>7/23/25
Moved rack of chairs back to Mudd MPR and rearranged the room to how it was before
2 movers</t>
  </si>
  <si>
    <t>https://utrucking.com/admin/orders/5917531046076</t>
  </si>
  <si>
    <t>#15759</t>
  </si>
  <si>
    <t>10024-6119</t>
  </si>
  <si>
    <t>Room 244 for Zachary Beckett Jones (MSC 97543)</t>
  </si>
  <si>
    <t>https://utrucking.com/admin/orders/5917544874172</t>
  </si>
  <si>
    <t>#15760</t>
  </si>
  <si>
    <t>Matt Bacinski</t>
  </si>
  <si>
    <t>Flemington</t>
  </si>
  <si>
    <t>322-A</t>
  </si>
  <si>
    <t xml:space="preserve">7 Sheppard Dr, Flemington, NJ 08822  </t>
  </si>
  <si>
    <t>https://utrucking.com/admin/orders/5917557293244</t>
  </si>
  <si>
    <t>#15761</t>
  </si>
  <si>
    <t>https://utrucking.com/admin/orders/5917576167612</t>
  </si>
  <si>
    <t>#15762</t>
  </si>
  <si>
    <t>Charlie Knowles</t>
  </si>
  <si>
    <t>6186 Waterman Blvd Apt 2
St Louis, MO 63112</t>
  </si>
  <si>
    <t xml:space="preserve">6304 Avalon Drive
Bethesda, MD 20816  </t>
  </si>
  <si>
    <t>https://utrucking.com/admin/orders/5917598613692</t>
  </si>
  <si>
    <t>#15763</t>
  </si>
  <si>
    <t>Kendall Bell</t>
  </si>
  <si>
    <t>Flanders</t>
  </si>
  <si>
    <t xml:space="preserve">20 Kern Drive
Flanders, NJ  </t>
  </si>
  <si>
    <t>https://utrucking.com/admin/orders/5917658054844</t>
  </si>
  <si>
    <t>#15764</t>
  </si>
  <si>
    <t>Christopher Munson</t>
  </si>
  <si>
    <t>Pullman</t>
  </si>
  <si>
    <t xml:space="preserve">1825 SW Casey Ct.
Pullman, WA 99163  </t>
  </si>
  <si>
    <t>https://utrucking.com/admin/orders/5917734895804</t>
  </si>
  <si>
    <t>#15765</t>
  </si>
  <si>
    <t>alexmarthasvineyard@gmail.com</t>
  </si>
  <si>
    <t>Megan Weeks</t>
  </si>
  <si>
    <t>Boston</t>
  </si>
  <si>
    <t>3051</t>
  </si>
  <si>
    <t>https://utrucking.com/admin/orders/5917753540796</t>
  </si>
  <si>
    <t>#15766</t>
  </si>
  <si>
    <t>eddiezhao21@gmail.com</t>
  </si>
  <si>
    <t>Eddie Zhao</t>
  </si>
  <si>
    <t>Boxborough</t>
  </si>
  <si>
    <t>4140</t>
  </si>
  <si>
    <t>https://utrucking.com/admin/orders/5917758521532</t>
  </si>
  <si>
    <t>#15767</t>
  </si>
  <si>
    <t>alecataboy@outlook.com</t>
  </si>
  <si>
    <t>Alexander Anderson</t>
  </si>
  <si>
    <t>6157 Waterman Blvd Apt 3W</t>
  </si>
  <si>
    <t>London</t>
  </si>
  <si>
    <t>England</t>
  </si>
  <si>
    <t>NW3 7RP</t>
  </si>
  <si>
    <t>United Kingdom</t>
  </si>
  <si>
    <t>https://utrucking.com/admin/orders/5917806035132</t>
  </si>
  <si>
    <t>#15768</t>
  </si>
  <si>
    <t>Abby Wang</t>
  </si>
  <si>
    <t>Yarrow Point</t>
  </si>
  <si>
    <t xml:space="preserve">3462 92nd Ave NE Yarrow Point 98004 WA  </t>
  </si>
  <si>
    <t>https://utrucking.com/admin/orders/5917847158972</t>
  </si>
  <si>
    <t>#15769</t>
  </si>
  <si>
    <t>jennrb01@gmail.com</t>
  </si>
  <si>
    <t>Jenna Bartlett</t>
  </si>
  <si>
    <t>Fairfield</t>
  </si>
  <si>
    <t>3132-a</t>
  </si>
  <si>
    <t xml:space="preserve">66 White Birch Rd
Weston, CT, CT 06883-3025  </t>
  </si>
  <si>
    <t>https://utrucking.com/admin/orders/5917899358396</t>
  </si>
  <si>
    <t>#15770</t>
  </si>
  <si>
    <t>Harrison</t>
  </si>
  <si>
    <t>https://utrucking.com/admin/orders/5917923442876</t>
  </si>
  <si>
    <t>#15771</t>
  </si>
  <si>
    <t>Tremain Prioleau</t>
  </si>
  <si>
    <t>Moncks Corner</t>
  </si>
  <si>
    <t>3422-a</t>
  </si>
  <si>
    <t>https://utrucking.com/admin/orders/5917935337660</t>
  </si>
  <si>
    <t>#15772</t>
  </si>
  <si>
    <t>kevinkan2015@gmail.com</t>
  </si>
  <si>
    <t>Kevin Kan</t>
  </si>
  <si>
    <t>406C</t>
  </si>
  <si>
    <t>https://utrucking.com/admin/orders/5917957750972</t>
  </si>
  <si>
    <t>#15773</t>
  </si>
  <si>
    <t>a.k.jones@wustl.edu</t>
  </si>
  <si>
    <t>Anastasia Jones</t>
  </si>
  <si>
    <t>Springfield</t>
  </si>
  <si>
    <t>2224-a</t>
  </si>
  <si>
    <t>https://utrucking.com/admin/orders/5918009131196</t>
  </si>
  <si>
    <t>#15774</t>
  </si>
  <si>
    <t>Lynette Kangaru</t>
  </si>
  <si>
    <t>Worcester</t>
  </si>
  <si>
    <t>315</t>
  </si>
  <si>
    <t xml:space="preserve">7 Jonathan Circle, Worcester, Massachusetts, 01604  </t>
  </si>
  <si>
    <t>https://utrucking.com/admin/orders/5918308204732</t>
  </si>
  <si>
    <t>#15775</t>
  </si>
  <si>
    <t>Delaney Das</t>
  </si>
  <si>
    <t>218C</t>
  </si>
  <si>
    <t>https://utrucking.com/admin/orders/5918383702204</t>
  </si>
  <si>
    <t>#15776</t>
  </si>
  <si>
    <t>Anisa Basler</t>
  </si>
  <si>
    <t>2041</t>
  </si>
  <si>
    <t>https://utrucking.com/admin/orders/5918506254524</t>
  </si>
  <si>
    <t>#15777</t>
  </si>
  <si>
    <t>lizsglaser@aol.com</t>
  </si>
  <si>
    <t>Liz Glaser</t>
  </si>
  <si>
    <t>Sharon</t>
  </si>
  <si>
    <t>3021-A</t>
  </si>
  <si>
    <t xml:space="preserve">6 Inca trail
Sharon, MA 02067  </t>
  </si>
  <si>
    <t>https://utrucking.com/admin/orders/5918525653180</t>
  </si>
  <si>
    <t>#15778</t>
  </si>
  <si>
    <t>l.c.wasserstein@wustl.edu</t>
  </si>
  <si>
    <t>Leah Wasserstein</t>
  </si>
  <si>
    <t>Middlebury</t>
  </si>
  <si>
    <t>373</t>
  </si>
  <si>
    <t>https://utrucking.com/admin/orders/5918543937724</t>
  </si>
  <si>
    <t>#15779</t>
  </si>
  <si>
    <t>a.eadala@wustl.edu</t>
  </si>
  <si>
    <t>Adhista Eadala</t>
  </si>
  <si>
    <t>Colorado Springs</t>
  </si>
  <si>
    <t>https://utrucking.com/admin/orders/5918668325052</t>
  </si>
  <si>
    <t>#15780</t>
  </si>
  <si>
    <t>mmq771@msn.com</t>
  </si>
  <si>
    <t>Maritza Tuohy</t>
  </si>
  <si>
    <t>Seaford</t>
  </si>
  <si>
    <t>2171</t>
  </si>
  <si>
    <t>https://utrucking.com/admin/orders/5918679498940</t>
  </si>
  <si>
    <t>#15781</t>
  </si>
  <si>
    <t>cargomez@sbcglobal.net</t>
  </si>
  <si>
    <t>Carmen Gomez</t>
  </si>
  <si>
    <t>2002</t>
  </si>
  <si>
    <t>https://utrucking.com/admin/orders/5918707220668</t>
  </si>
  <si>
    <t>#15782</t>
  </si>
  <si>
    <t>andreleger25@gmail.com</t>
  </si>
  <si>
    <t>Andre Leger</t>
  </si>
  <si>
    <t>6022 Mcpherson Ave</t>
  </si>
  <si>
    <t>https://utrucking.com/admin/orders/5918726389948</t>
  </si>
  <si>
    <t>#15783</t>
  </si>
  <si>
    <t>Evan Guyer</t>
  </si>
  <si>
    <t>2041-a</t>
  </si>
  <si>
    <t xml:space="preserve">1633 Las Lunas St. Pasadena, CA  </t>
  </si>
  <si>
    <t>https://utrucking.com/admin/orders/5918746542268</t>
  </si>
  <si>
    <t>#15784</t>
  </si>
  <si>
    <t>jay.lyon@comcast.net</t>
  </si>
  <si>
    <t>Natalie Lyon</t>
  </si>
  <si>
    <t>South Burlington</t>
  </si>
  <si>
    <t xml:space="preserve">8 Pheasant Way
South Burlington, VT 05403  </t>
  </si>
  <si>
    <t>https://utrucking.com/admin/orders/5918775017660</t>
  </si>
  <si>
    <t>#15785</t>
  </si>
  <si>
    <t>h.sylver@wustl.edu</t>
  </si>
  <si>
    <t>Sylver Violette Hart</t>
  </si>
  <si>
    <t>Olympia</t>
  </si>
  <si>
    <t xml:space="preserve">302A-a </t>
  </si>
  <si>
    <t>https://utrucking.com/admin/orders/5918800675004</t>
  </si>
  <si>
    <t>#15786</t>
  </si>
  <si>
    <t>Stacey Titens</t>
  </si>
  <si>
    <t>X</t>
  </si>
  <si>
    <t>https://utrucking.com/admin/orders/5918907564220</t>
  </si>
  <si>
    <t>#15787</t>
  </si>
  <si>
    <t>tarynsager@gmail.com</t>
  </si>
  <si>
    <t>Taryn Sager</t>
  </si>
  <si>
    <t>Goleta</t>
  </si>
  <si>
    <t>Apt 2E, Room A</t>
  </si>
  <si>
    <t>6811 University Drive</t>
  </si>
  <si>
    <t>https://utrucking.com/admin/orders/5918979522748</t>
  </si>
  <si>
    <t>#15788</t>
  </si>
  <si>
    <t>a.k.mehta@wustl.edu</t>
  </si>
  <si>
    <t>Arya Mehta</t>
  </si>
  <si>
    <t>Wayland</t>
  </si>
  <si>
    <t>https://utrucking.com/admin/orders/5919018909884</t>
  </si>
  <si>
    <t>#15789</t>
  </si>
  <si>
    <t>Kararcarundel@gmail.com</t>
  </si>
  <si>
    <t>Kara Arundel</t>
  </si>
  <si>
    <t>203B - a</t>
  </si>
  <si>
    <t>https://utrucking.com/admin/orders/5919028281532</t>
  </si>
  <si>
    <t>#15790</t>
  </si>
  <si>
    <t>Jeff Kennedy</t>
  </si>
  <si>
    <t>Lawrence</t>
  </si>
  <si>
    <t>2227</t>
  </si>
  <si>
    <t>https://utrucking.com/admin/orders/5919031820476</t>
  </si>
  <si>
    <t>#15791</t>
  </si>
  <si>
    <t>Mcvey.r@wustl.org</t>
  </si>
  <si>
    <t>Reid Mcvey</t>
  </si>
  <si>
    <t>2163</t>
  </si>
  <si>
    <t>https://utrucking.com/admin/orders/5919171346620</t>
  </si>
  <si>
    <t>#15792</t>
  </si>
  <si>
    <t>k.youboalan@gmail.com</t>
  </si>
  <si>
    <t>4104-a</t>
  </si>
  <si>
    <t>https://utrucking.com/admin/orders/5919285477564</t>
  </si>
  <si>
    <t>#15793</t>
  </si>
  <si>
    <t>danacohn8@gmail.com</t>
  </si>
  <si>
    <t>Amanda Cohn</t>
  </si>
  <si>
    <t>3021-a</t>
  </si>
  <si>
    <t xml:space="preserve">Lopata Hall 3021-a </t>
  </si>
  <si>
    <t>https://utrucking.com/admin/orders/5919321030844</t>
  </si>
  <si>
    <t>#15794</t>
  </si>
  <si>
    <t>moret@wustl.edu</t>
  </si>
  <si>
    <t>Scott Levine</t>
  </si>
  <si>
    <t>3020</t>
  </si>
  <si>
    <t>https://utrucking.com/admin/orders/5919325487292</t>
  </si>
  <si>
    <t>#15795</t>
  </si>
  <si>
    <t>guthrie.s@wustl.edu</t>
  </si>
  <si>
    <t>Sydney Guthrie</t>
  </si>
  <si>
    <t>VIENNA</t>
  </si>
  <si>
    <t>3021</t>
  </si>
  <si>
    <t>https://utrucking.com/admin/orders/5919334006972</t>
  </si>
  <si>
    <t>#15796</t>
  </si>
  <si>
    <t>coyier@wustl.edu</t>
  </si>
  <si>
    <t>Angie Coyier</t>
  </si>
  <si>
    <t>Clive</t>
  </si>
  <si>
    <t>Iowa</t>
  </si>
  <si>
    <t>https://utrucking.com/admin/orders/5919373918396</t>
  </si>
  <si>
    <t>#15797</t>
  </si>
  <si>
    <t>shikhasundaram@gmail.com</t>
  </si>
  <si>
    <t>Shikha Sundaram</t>
  </si>
  <si>
    <t xml:space="preserve">6113 S Moline Way
Englewood, CO 80111  </t>
  </si>
  <si>
    <t>https://utrucking.com/admin/orders/5919400132796</t>
  </si>
  <si>
    <t>#15798</t>
  </si>
  <si>
    <t>a.l.tafesse@wustl.edu</t>
  </si>
  <si>
    <t>Andre Morgan</t>
  </si>
  <si>
    <t>Trenton</t>
  </si>
  <si>
    <t>222-a</t>
  </si>
  <si>
    <t>https://utrucking.com/admin/orders/5919444533436</t>
  </si>
  <si>
    <t>#15799</t>
  </si>
  <si>
    <t>amy_b_ross@hotmail.com</t>
  </si>
  <si>
    <t>Amy Ross</t>
  </si>
  <si>
    <t>https://utrucking.com/admin/orders/5919454396604</t>
  </si>
  <si>
    <t>#15800</t>
  </si>
  <si>
    <t>Daniela Peneva</t>
  </si>
  <si>
    <t>https://utrucking.com/admin/orders/5919521308860</t>
  </si>
  <si>
    <t>#15801</t>
  </si>
  <si>
    <t>f.sylvia@wustl.edu</t>
  </si>
  <si>
    <t>Sylvia Foster-Rice</t>
  </si>
  <si>
    <t xml:space="preserve">223 </t>
  </si>
  <si>
    <t>https://utrucking.com/admin/orders/5919623676092</t>
  </si>
  <si>
    <t>#15802</t>
  </si>
  <si>
    <t>laceyshin12@gmail.com</t>
  </si>
  <si>
    <t>Kyunga Shin</t>
  </si>
  <si>
    <t>Cresskill</t>
  </si>
  <si>
    <t>https://utrucking.com/admin/orders/5919628984508</t>
  </si>
  <si>
    <t>#15803</t>
  </si>
  <si>
    <t>Jose Vazquez</t>
  </si>
  <si>
    <t>Cayey</t>
  </si>
  <si>
    <t xml:space="preserve"> 0 Residential Apartment  -  - </t>
  </si>
  <si>
    <t xml:space="preserve">  6105 Delmar Blvd, St. Louis, MO 63112</t>
  </si>
  <si>
    <t xml:space="preserve"> 11 N Vandeventer Ave St Louis, MO 63108</t>
  </si>
  <si>
    <t>I will be moving my items from my apartment to a nearby storage unit</t>
  </si>
  <si>
    <t>https://utrucking.com/admin/orders/5919659983036</t>
  </si>
  <si>
    <t>#15804</t>
  </si>
  <si>
    <t>gmadeleine@wustl.edu</t>
  </si>
  <si>
    <t>Madeleine Godfrey</t>
  </si>
  <si>
    <t>Marblehead</t>
  </si>
  <si>
    <t>01945-3804</t>
  </si>
  <si>
    <t>4211-a</t>
  </si>
  <si>
    <t xml:space="preserve">6 Abbot View Ln
Marblehead, MA 01945  </t>
  </si>
  <si>
    <t>https://utrucking.com/admin/orders/5919661588668</t>
  </si>
  <si>
    <t>#15805</t>
  </si>
  <si>
    <t>Yunaima.Hernandez@gmail.com</t>
  </si>
  <si>
    <t>Yunaima Hernandez</t>
  </si>
  <si>
    <t>Upper Saddle River</t>
  </si>
  <si>
    <t>122-B</t>
  </si>
  <si>
    <t>https://utrucking.com/admin/orders/5919673581756</t>
  </si>
  <si>
    <t>#15806</t>
  </si>
  <si>
    <t>pnesterovsky@gmail.com</t>
  </si>
  <si>
    <t>Paul Nesterovsky</t>
  </si>
  <si>
    <t>Reisterstown</t>
  </si>
  <si>
    <t>2216-A</t>
  </si>
  <si>
    <t>https://utrucking.com/admin/orders/5919686623420</t>
  </si>
  <si>
    <t>#15807</t>
  </si>
  <si>
    <t>jbelcolore2@icloud.com</t>
  </si>
  <si>
    <t>Jennifer Belcolore-Arguello</t>
  </si>
  <si>
    <t>Sandy Hook</t>
  </si>
  <si>
    <t>118A</t>
  </si>
  <si>
    <t>https://utrucking.com/admin/orders/5919689801916</t>
  </si>
  <si>
    <t>#15808</t>
  </si>
  <si>
    <t>21136-5513</t>
  </si>
  <si>
    <t>2216-a</t>
  </si>
  <si>
    <t xml:space="preserve">2613 Chestnut Woods Ct
Reisterstown, Maryland 21136  </t>
  </si>
  <si>
    <t>https://utrucking.com/admin/orders/5919741542588</t>
  </si>
  <si>
    <t>#15809</t>
  </si>
  <si>
    <t>Elana Ben-Tor</t>
  </si>
  <si>
    <t>University Heights</t>
  </si>
  <si>
    <t>https://utrucking.com/admin/orders/5919784960188</t>
  </si>
  <si>
    <t>#15810</t>
  </si>
  <si>
    <t>Lee Saltzman</t>
  </si>
  <si>
    <t>10591-3498</t>
  </si>
  <si>
    <t>https://utrucking.com/admin/orders/5919797117116</t>
  </si>
  <si>
    <t>#15811</t>
  </si>
  <si>
    <t>erikhaggstrom123@gmail.com</t>
  </si>
  <si>
    <t>Anita Haggstrom</t>
  </si>
  <si>
    <t>Zetcher House - 2032 - a</t>
  </si>
  <si>
    <t>https://utrucking.com/admin/orders/5919813697724</t>
  </si>
  <si>
    <t>#15812</t>
  </si>
  <si>
    <t>s.e.weiss@wustl.edu</t>
  </si>
  <si>
    <t>Sophie Weiss</t>
  </si>
  <si>
    <t>6660 Washington Ave, University City, 
APT. 3E
MO 63130</t>
  </si>
  <si>
    <t>Calabasas</t>
  </si>
  <si>
    <t>https://utrucking.com/admin/orders/5919823036604</t>
  </si>
  <si>
    <t>#15813</t>
  </si>
  <si>
    <t>carlpayne15@hotmail.com</t>
  </si>
  <si>
    <t>Carl Payne</t>
  </si>
  <si>
    <t>Waldwick</t>
  </si>
  <si>
    <t>205</t>
  </si>
  <si>
    <t xml:space="preserve">28 Derby Lane
Waldwick, NJ 07463  </t>
  </si>
  <si>
    <t>https://utrucking.com/admin/orders/5919827067068</t>
  </si>
  <si>
    <t>#15814</t>
  </si>
  <si>
    <t>olgaflomin@yahoo.com</t>
  </si>
  <si>
    <t>olga swason</t>
  </si>
  <si>
    <t>213-a</t>
  </si>
  <si>
    <t>https://utrucking.com/admin/orders/5919846531260</t>
  </si>
  <si>
    <t>#15815</t>
  </si>
  <si>
    <t>m.d.porter@wustl.edu</t>
  </si>
  <si>
    <t>Mikayla Porter</t>
  </si>
  <si>
    <t>Yonkers</t>
  </si>
  <si>
    <t>2264</t>
  </si>
  <si>
    <t>https://utrucking.com/admin/orders/5919858819260</t>
  </si>
  <si>
    <t>#15816</t>
  </si>
  <si>
    <t>morganicsj@gmail.com</t>
  </si>
  <si>
    <t>Morgan Mueller</t>
  </si>
  <si>
    <t>4411</t>
  </si>
  <si>
    <t>https://utrucking.com/admin/orders/5919870714044</t>
  </si>
  <si>
    <t>#15817</t>
  </si>
  <si>
    <t>kang.minju@wustl.edu</t>
  </si>
  <si>
    <t>Minju Kang</t>
  </si>
  <si>
    <t>3094</t>
  </si>
  <si>
    <t>https://utrucking.com/admin/orders/5919915475132</t>
  </si>
  <si>
    <t>#15818</t>
  </si>
  <si>
    <t>f.harari@wustl.edu</t>
  </si>
  <si>
    <t>Kornelia Harari</t>
  </si>
  <si>
    <t>https://utrucking.com/admin/orders/5919937953980</t>
  </si>
  <si>
    <t>#15819</t>
  </si>
  <si>
    <t>mrfernon@gmail.com</t>
  </si>
  <si>
    <t>Clark Fernon</t>
  </si>
  <si>
    <t>1034 a</t>
  </si>
  <si>
    <t>https://utrucking.com/admin/orders/5919977734332</t>
  </si>
  <si>
    <t>#15820</t>
  </si>
  <si>
    <t>coltea@wustl.edu</t>
  </si>
  <si>
    <t>Libby Coltea</t>
  </si>
  <si>
    <t>3327</t>
  </si>
  <si>
    <t>https://utrucking.com/admin/orders/5920083116220</t>
  </si>
  <si>
    <t>#15821</t>
  </si>
  <si>
    <t>masstheo@icloud.com</t>
  </si>
  <si>
    <t>Theo Mass</t>
  </si>
  <si>
    <t>6105 Delmar Blvd</t>
  </si>
  <si>
    <t>Pacific Palisades</t>
  </si>
  <si>
    <t>https://utrucking.com/admin/orders/5920110543036</t>
  </si>
  <si>
    <t>#15822</t>
  </si>
  <si>
    <t>a.k.schuster@wustl.edu</t>
  </si>
  <si>
    <t>Annalise Schuster</t>
  </si>
  <si>
    <t>New York, NY</t>
  </si>
  <si>
    <t>302F - room a</t>
  </si>
  <si>
    <t xml:space="preserve">180 Riverside Drive, apt 6D
New York, NY
10024  </t>
  </si>
  <si>
    <t>https://utrucking.com/admin/orders/5920121061564</t>
  </si>
  <si>
    <t>#15823</t>
  </si>
  <si>
    <t>schiang@hammertech.us</t>
  </si>
  <si>
    <t>steven chiang</t>
  </si>
  <si>
    <t>323-A</t>
  </si>
  <si>
    <t>https://utrucking.com/admin/orders/5920223396028</t>
  </si>
  <si>
    <t>#15824</t>
  </si>
  <si>
    <t>mehtasoha181206@gmail.com</t>
  </si>
  <si>
    <t>Sara Mehta</t>
  </si>
  <si>
    <t>462</t>
  </si>
  <si>
    <t>https://utrucking.com/admin/orders/5920250233020</t>
  </si>
  <si>
    <t>#15825</t>
  </si>
  <si>
    <t>wekslergabriel2005@gmail.com</t>
  </si>
  <si>
    <t>Gabriel Weksler</t>
  </si>
  <si>
    <t>Boulder</t>
  </si>
  <si>
    <t>203F-a</t>
  </si>
  <si>
    <t>https://utrucking.com/admin/orders/5920260948156</t>
  </si>
  <si>
    <t>#15826</t>
  </si>
  <si>
    <t>Yael Fischman</t>
  </si>
  <si>
    <t>3033</t>
  </si>
  <si>
    <t>https://utrucking.com/admin/orders/5920303775932</t>
  </si>
  <si>
    <t>#15827</t>
  </si>
  <si>
    <t>Yolanda Zhanh</t>
  </si>
  <si>
    <t>The Residences at Delmar DivINe
5535 Delmar Blvd, #322, St Louis,MO 63112</t>
  </si>
  <si>
    <t>https://utrucking.com/admin/orders/5920319340732</t>
  </si>
  <si>
    <t>#15828</t>
  </si>
  <si>
    <t>b.keela@wustl.edu</t>
  </si>
  <si>
    <t>Keela Bond</t>
  </si>
  <si>
    <t>2082-a</t>
  </si>
  <si>
    <t>https://utrucking.com/admin/orders/5920336150716</t>
  </si>
  <si>
    <t>#15829</t>
  </si>
  <si>
    <t>Melanie Feles</t>
  </si>
  <si>
    <t>birmingham</t>
  </si>
  <si>
    <t>4403</t>
  </si>
  <si>
    <t>https://utrucking.com/admin/orders/5920355352764</t>
  </si>
  <si>
    <t>#15830</t>
  </si>
  <si>
    <t>monicafarr@gmail.com</t>
  </si>
  <si>
    <t>Monica Farr</t>
  </si>
  <si>
    <t>ALBUQUERQUE</t>
  </si>
  <si>
    <t>https://utrucking.com/admin/orders/5920368033980</t>
  </si>
  <si>
    <t>#15831</t>
  </si>
  <si>
    <t>anderson.g.d@wustl.edu</t>
  </si>
  <si>
    <t>Grant Anderson</t>
  </si>
  <si>
    <t>Edina</t>
  </si>
  <si>
    <t>04021</t>
  </si>
  <si>
    <t>https://utrucking.com/admin/orders/5920376291516</t>
  </si>
  <si>
    <t>#15832</t>
  </si>
  <si>
    <t>f.margaret@wustl.edu</t>
  </si>
  <si>
    <t>Margaret Foley</t>
  </si>
  <si>
    <t>https://utrucking.com/admin/orders/5920379306172</t>
  </si>
  <si>
    <t>#15833</t>
  </si>
  <si>
    <t>a.c.nadritch@wustl.edu</t>
  </si>
  <si>
    <t>Alexandra Nadritch</t>
  </si>
  <si>
    <t>2331- a</t>
  </si>
  <si>
    <t>2331-a</t>
  </si>
  <si>
    <t>https://utrucking.com/admin/orders/5920383205564</t>
  </si>
  <si>
    <t>#15834</t>
  </si>
  <si>
    <t>gabe.herzlinger@gmail.com</t>
  </si>
  <si>
    <t>Ronald Herzlinger</t>
  </si>
  <si>
    <t>1051 a</t>
  </si>
  <si>
    <t>https://utrucking.com/admin/orders/5920386941116</t>
  </si>
  <si>
    <t>#15835</t>
  </si>
  <si>
    <t>Cayleigh O’Hare</t>
  </si>
  <si>
    <t>Burr Ridge</t>
  </si>
  <si>
    <t>https://utrucking.com/admin/orders/5920389333180</t>
  </si>
  <si>
    <t>#15836</t>
  </si>
  <si>
    <t>lyndongt@aol.com</t>
  </si>
  <si>
    <t>Lyndon Tilson</t>
  </si>
  <si>
    <t>212</t>
  </si>
  <si>
    <t>https://utrucking.com/admin/orders/5920397787324</t>
  </si>
  <si>
    <t>#15837</t>
  </si>
  <si>
    <t>https://utrucking.com/admin/orders/5920399458492</t>
  </si>
  <si>
    <t>#15838</t>
  </si>
  <si>
    <t>s.f.syed@wustl.edu</t>
  </si>
  <si>
    <t>Shawn Syed</t>
  </si>
  <si>
    <t>Champaign</t>
  </si>
  <si>
    <t>https://utrucking.com/admin/orders/5920399720636</t>
  </si>
  <si>
    <t>#15839</t>
  </si>
  <si>
    <t>Melissa Pashigian</t>
  </si>
  <si>
    <t>1042 - a</t>
  </si>
  <si>
    <t>1042-a</t>
  </si>
  <si>
    <t xml:space="preserve">277 N Bowman Ave
Merion Station, PA 19066  </t>
  </si>
  <si>
    <t>https://utrucking.com/admin/orders/5920409256124</t>
  </si>
  <si>
    <t>#15840</t>
  </si>
  <si>
    <t>amiller1@wustl.edu</t>
  </si>
  <si>
    <t>Anna Miller</t>
  </si>
  <si>
    <t>Jupiter</t>
  </si>
  <si>
    <t>https://utrucking.com/admin/orders/5920410370236</t>
  </si>
  <si>
    <t>#15841</t>
  </si>
  <si>
    <t>connorvanh@gmail.com</t>
  </si>
  <si>
    <t>Anna Lin</t>
  </si>
  <si>
    <t>103B</t>
  </si>
  <si>
    <t>https://utrucking.com/admin/orders/5920420397244</t>
  </si>
  <si>
    <t>#15842</t>
  </si>
  <si>
    <t>Olivia Siegel</t>
  </si>
  <si>
    <t>202B</t>
  </si>
  <si>
    <t>https://utrucking.com/admin/orders/5920441368764</t>
  </si>
  <si>
    <t>#15843</t>
  </si>
  <si>
    <t>geniacjefferson@gmail.com</t>
  </si>
  <si>
    <t>Genia Jefferson</t>
  </si>
  <si>
    <t>4010 B</t>
  </si>
  <si>
    <t>https://utrucking.com/admin/orders/5920461422780</t>
  </si>
  <si>
    <t>#15844</t>
  </si>
  <si>
    <t>mmuller2@yahoo.com</t>
  </si>
  <si>
    <t>Michelle Zellner</t>
  </si>
  <si>
    <t>4411 B</t>
  </si>
  <si>
    <t>https://utrucking.com/admin/orders/5920466632892</t>
  </si>
  <si>
    <t>#15845</t>
  </si>
  <si>
    <t>Catherine Willcock</t>
  </si>
  <si>
    <t>New Berlin</t>
  </si>
  <si>
    <t>Wisconsin</t>
  </si>
  <si>
    <t>53151-7410</t>
  </si>
  <si>
    <t>L227 - B</t>
  </si>
  <si>
    <t>https://utrucking.com/admin/orders/5920467321020</t>
  </si>
  <si>
    <t>#15846</t>
  </si>
  <si>
    <t>Randi Raizner</t>
  </si>
  <si>
    <t>https://utrucking.com/admin/orders/5920469123260</t>
  </si>
  <si>
    <t>#15847</t>
  </si>
  <si>
    <t>https://utrucking.com/admin/orders/5920471974076</t>
  </si>
  <si>
    <t>#15848</t>
  </si>
  <si>
    <t>m.stikeleather@wustl.edu</t>
  </si>
  <si>
    <t>Julia Stikeleather</t>
  </si>
  <si>
    <t>https://utrucking.com/admin/orders/5920476496060</t>
  </si>
  <si>
    <t>#15849</t>
  </si>
  <si>
    <t>jimmelindawarren@msn.com</t>
  </si>
  <si>
    <t>Melinda Warren</t>
  </si>
  <si>
    <t>Claremont</t>
  </si>
  <si>
    <t>https://utrucking.com/admin/orders/5920519520444</t>
  </si>
  <si>
    <t>#15850</t>
  </si>
  <si>
    <t>rforman@marathon-co.com</t>
  </si>
  <si>
    <t>https://utrucking.com/admin/orders/5920521322684</t>
  </si>
  <si>
    <t>#15851</t>
  </si>
  <si>
    <t>nataliebeldnercollege@gmail.com</t>
  </si>
  <si>
    <t>Natalie Beldner</t>
  </si>
  <si>
    <t>Hawthorne</t>
  </si>
  <si>
    <t>https://utrucking.com/admin/orders/5920539017404</t>
  </si>
  <si>
    <t>#15852</t>
  </si>
  <si>
    <t>Cecilia Idinopulos</t>
  </si>
  <si>
    <t>6006 Washington Boulevard, Floor 1
St Louis, Missouri 63112</t>
  </si>
  <si>
    <t>Philadelphia</t>
  </si>
  <si>
    <t>https://utrucking.com/admin/orders/5920544981180</t>
  </si>
  <si>
    <t>#15853</t>
  </si>
  <si>
    <t>katya@khesin.com</t>
  </si>
  <si>
    <t>Katya Khesin</t>
  </si>
  <si>
    <t>3123</t>
  </si>
  <si>
    <t>https://utrucking.com/admin/orders/5920583844028</t>
  </si>
  <si>
    <t>#15854</t>
  </si>
  <si>
    <t>Nicole Yablans</t>
  </si>
  <si>
    <t>Glen Head</t>
  </si>
  <si>
    <t>2215 A</t>
  </si>
  <si>
    <t>https://utrucking.com/admin/orders/5920599048380</t>
  </si>
  <si>
    <t>#15855</t>
  </si>
  <si>
    <t>bardiya.niknam@icloud.com</t>
  </si>
  <si>
    <t>Bardiya Niknam</t>
  </si>
  <si>
    <t>3314-a</t>
  </si>
  <si>
    <t>https://utrucking.com/admin/orders/5920619561148</t>
  </si>
  <si>
    <t>#15856</t>
  </si>
  <si>
    <t>Lila Promisel</t>
  </si>
  <si>
    <t>6805-1E Washington Avenue, Saint Louis, MO 63130</t>
  </si>
  <si>
    <t>Maplewood</t>
  </si>
  <si>
    <t>https://utrucking.com/admin/orders/5920622969020</t>
  </si>
  <si>
    <t>#15857</t>
  </si>
  <si>
    <t>Anya Mathur</t>
  </si>
  <si>
    <t>Broadview heights</t>
  </si>
  <si>
    <t>4110</t>
  </si>
  <si>
    <t>https://utrucking.com/admin/orders/5920702791868</t>
  </si>
  <si>
    <t>#15858</t>
  </si>
  <si>
    <t>jennifersrice@me.com</t>
  </si>
  <si>
    <t>Jennifer Rice</t>
  </si>
  <si>
    <t>2104 A</t>
  </si>
  <si>
    <t xml:space="preserve">2531 S 18th St.
Philadelphia, PA 19145  </t>
  </si>
  <si>
    <t>https://utrucking.com/admin/orders/5920708657340</t>
  </si>
  <si>
    <t>#15859</t>
  </si>
  <si>
    <t>https://utrucking.com/admin/orders/5920720814268</t>
  </si>
  <si>
    <t>#15860</t>
  </si>
  <si>
    <t>lucindalaughlin05@gmail.com</t>
  </si>
  <si>
    <t>https://utrucking.com/admin/orders/5920740737212</t>
  </si>
  <si>
    <t>#15861</t>
  </si>
  <si>
    <t>elisabethpease@icloud.com</t>
  </si>
  <si>
    <t>2023 - a</t>
  </si>
  <si>
    <t>https://utrucking.com/admin/orders/5920746143932</t>
  </si>
  <si>
    <t>#15862</t>
  </si>
  <si>
    <t>abigailsmiles321@gmail.com</t>
  </si>
  <si>
    <t>Abby Krause</t>
  </si>
  <si>
    <t>Alamo</t>
  </si>
  <si>
    <t xml:space="preserve">294 Barrington Lane  </t>
  </si>
  <si>
    <t>https://utrucking.com/admin/orders/5920756236476</t>
  </si>
  <si>
    <t>#15863</t>
  </si>
  <si>
    <t>Nancy Katz</t>
  </si>
  <si>
    <t>?</t>
  </si>
  <si>
    <t>https://utrucking.com/admin/orders/5920756564156</t>
  </si>
  <si>
    <t>#15864</t>
  </si>
  <si>
    <t>b.grunzweig@wustl.edu</t>
  </si>
  <si>
    <t>Bernard Grunzweig</t>
  </si>
  <si>
    <t>Solvang</t>
  </si>
  <si>
    <t>https://utrucking.com/admin/orders/5920791560380</t>
  </si>
  <si>
    <t>#15865</t>
  </si>
  <si>
    <t>bae.k@wustl.edu</t>
  </si>
  <si>
    <t>Chul Bae</t>
  </si>
  <si>
    <t>Jacksonville</t>
  </si>
  <si>
    <t>163</t>
  </si>
  <si>
    <t>https://utrucking.com/admin/orders/5920815612092</t>
  </si>
  <si>
    <t>#15866</t>
  </si>
  <si>
    <t>chiu.d@wustl.edu</t>
  </si>
  <si>
    <t>Julie Chiu</t>
  </si>
  <si>
    <t>1043 - a</t>
  </si>
  <si>
    <t>https://utrucking.com/admin/orders/5920836026556</t>
  </si>
  <si>
    <t>#15867</t>
  </si>
  <si>
    <t>sagejones@gmail.com</t>
  </si>
  <si>
    <t>Sage Jones</t>
  </si>
  <si>
    <t>Franklin Park</t>
  </si>
  <si>
    <t>224</t>
  </si>
  <si>
    <t>https://utrucking.com/admin/orders/5920853000380</t>
  </si>
  <si>
    <t>#15868</t>
  </si>
  <si>
    <t>avivakleinhaus59@gmail.com</t>
  </si>
  <si>
    <t>Aviva Kleinhaus</t>
  </si>
  <si>
    <t>https://utrucking.com/admin/orders/5920861094076</t>
  </si>
  <si>
    <t>#15869</t>
  </si>
  <si>
    <t>selinalin0608@gmail.com</t>
  </si>
  <si>
    <t>Selina Lin</t>
  </si>
  <si>
    <t>Vancouver</t>
  </si>
  <si>
    <t>British Columbia</t>
  </si>
  <si>
    <t>V6S 1B1</t>
  </si>
  <si>
    <t>https://utrucking.com/admin/orders/5920881705148</t>
  </si>
  <si>
    <t>#15870</t>
  </si>
  <si>
    <t>brsbruins@gmail.com</t>
  </si>
  <si>
    <t>Benjamin Santaella</t>
  </si>
  <si>
    <t>Greenway - 138-C - a</t>
  </si>
  <si>
    <t>https://utrucking.com/admin/orders/5920887079100</t>
  </si>
  <si>
    <t>#15871</t>
  </si>
  <si>
    <t>Staci James</t>
  </si>
  <si>
    <t>https://utrucking.com/admin/orders/5920888357052</t>
  </si>
  <si>
    <t>#15872</t>
  </si>
  <si>
    <t>Sela Rosen</t>
  </si>
  <si>
    <t>Palm City</t>
  </si>
  <si>
    <t>113A</t>
  </si>
  <si>
    <t>https://utrucking.com/admin/orders/5920933347516</t>
  </si>
  <si>
    <t>#15873</t>
  </si>
  <si>
    <t>bgeneva@wustl.edu</t>
  </si>
  <si>
    <t>Geneva Burkitt</t>
  </si>
  <si>
    <t>Belmont</t>
  </si>
  <si>
    <t>3153</t>
  </si>
  <si>
    <t>https://utrucking.com/admin/orders/5921014251708</t>
  </si>
  <si>
    <t>#15874</t>
  </si>
  <si>
    <t>https://utrucking.com/admin/orders/5921016545468</t>
  </si>
  <si>
    <t>#15875</t>
  </si>
  <si>
    <t>cmaggie@wustl.edu</t>
  </si>
  <si>
    <t>Margaret Crimmins</t>
  </si>
  <si>
    <t xml:space="preserve">6801 University Drive  </t>
  </si>
  <si>
    <t>https://utrucking.com/admin/orders/5921109868732</t>
  </si>
  <si>
    <t>#15876</t>
  </si>
  <si>
    <t>juliebf@gmail.com</t>
  </si>
  <si>
    <t>Julie Fajgenbaum</t>
  </si>
  <si>
    <t>442-B</t>
  </si>
  <si>
    <t xml:space="preserve">124 W 16th Street 
NEW YORK, NY 10011  </t>
  </si>
  <si>
    <t>https://utrucking.com/admin/orders/5921125728444</t>
  </si>
  <si>
    <t>#15877</t>
  </si>
  <si>
    <t>viviennechung13@gmail.com</t>
  </si>
  <si>
    <t>Vivienne Chung</t>
  </si>
  <si>
    <t>2073</t>
  </si>
  <si>
    <t>https://utrucking.com/admin/orders/5921157152956</t>
  </si>
  <si>
    <t>#15878</t>
  </si>
  <si>
    <t>lexirl12@icloud.com</t>
  </si>
  <si>
    <t>Lexi Lawsky</t>
  </si>
  <si>
    <t>4426</t>
  </si>
  <si>
    <t>https://utrucking.com/admin/orders/5921188348092</t>
  </si>
  <si>
    <t>#15879</t>
  </si>
  <si>
    <t>ahmed@utrucking.com</t>
  </si>
  <si>
    <t>Ahmed Muhamed</t>
  </si>
  <si>
    <t>7250 Pershing Ave</t>
  </si>
  <si>
    <t xml:space="preserve"> 0  Maintenance - Other (Specify in Notes) - Kira (7250 Pershing Tenant)</t>
  </si>
  <si>
    <t xml:space="preserve"> Non-University Housing</t>
  </si>
  <si>
    <t xml:space="preserve"> Flexible</t>
  </si>
  <si>
    <t>Date: 7/29/2025
Issue: Kira said that the fire alarm went off, and it was saying fire, then stopped. But still flashing red and orange.
She also mentioned that it went off about a month ago as well.
Her phone no. is: 636-751-1120</t>
  </si>
  <si>
    <t>https://utrucking.com/admin/orders/5921302380732</t>
  </si>
  <si>
    <t>#15880</t>
  </si>
  <si>
    <t>e.leckerman@wustl.edu</t>
  </si>
  <si>
    <t>Elijah Leckerman</t>
  </si>
  <si>
    <t>2174</t>
  </si>
  <si>
    <t>https://utrucking.com/admin/orders/5921302610108</t>
  </si>
  <si>
    <t>#15881</t>
  </si>
  <si>
    <t>c.b.merce@wustl.edu</t>
  </si>
  <si>
    <t>Coleman Merce</t>
  </si>
  <si>
    <t>2034 - a</t>
  </si>
  <si>
    <t>https://utrucking.com/admin/orders/5921335640252</t>
  </si>
  <si>
    <t>#15882</t>
  </si>
  <si>
    <t>i.jaegy@wustl.edu</t>
  </si>
  <si>
    <t>Ina Jaegy</t>
  </si>
  <si>
    <t>104E</t>
  </si>
  <si>
    <t>https://utrucking.com/admin/orders/5921359364284</t>
  </si>
  <si>
    <t>#15883</t>
  </si>
  <si>
    <t>n.paris@wustl.edu</t>
  </si>
  <si>
    <t>Selina Howard</t>
  </si>
  <si>
    <t>Fort Lee</t>
  </si>
  <si>
    <t>4040 - b</t>
  </si>
  <si>
    <t>https://utrucking.com/admin/orders/5921371193532</t>
  </si>
  <si>
    <t>#15884</t>
  </si>
  <si>
    <t>lounges</t>
  </si>
  <si>
    <t xml:space="preserve"> 10:38a - 12:30p</t>
  </si>
  <si>
    <t>General</t>
  </si>
  <si>
    <t>7/28/25
2 movers
Moved chairs/tables from Zetcher, Umrath, Gregg back to Bears Den.</t>
  </si>
  <si>
    <t>https://utrucking.com/admin/orders/5921377026236</t>
  </si>
  <si>
    <t>#15885</t>
  </si>
  <si>
    <t>Kerry Frey</t>
  </si>
  <si>
    <t>Brookline</t>
  </si>
  <si>
    <t xml:space="preserve">79 Buckminster Rd
Brookline
MA 02445  </t>
  </si>
  <si>
    <t>https://utrucking.com/admin/orders/5921388822716</t>
  </si>
  <si>
    <t>#15886</t>
  </si>
  <si>
    <t>cradgerson@gmail.com</t>
  </si>
  <si>
    <t>Conrad Gerson</t>
  </si>
  <si>
    <t>https://utrucking.com/admin/orders/5921420542140</t>
  </si>
  <si>
    <t>#15887</t>
  </si>
  <si>
    <t>liam.elliott.457@gmail.com</t>
  </si>
  <si>
    <t>Liam Elliott</t>
  </si>
  <si>
    <t>Madison</t>
  </si>
  <si>
    <t>4133</t>
  </si>
  <si>
    <t xml:space="preserve">50 Beechwood Drive
Madison, CT 06443  </t>
  </si>
  <si>
    <t>https://utrucking.com/admin/orders/5921422409916</t>
  </si>
  <si>
    <t>#15888</t>
  </si>
  <si>
    <t>k.margot@wustl.edu</t>
  </si>
  <si>
    <t>Margot Kades</t>
  </si>
  <si>
    <t>Apartment 112-A</t>
  </si>
  <si>
    <t>https://utrucking.com/admin/orders/5921484669116</t>
  </si>
  <si>
    <t>#15889</t>
  </si>
  <si>
    <t>ryantchao@yahoo.com</t>
  </si>
  <si>
    <t>Lynne Lee</t>
  </si>
  <si>
    <t>152A</t>
  </si>
  <si>
    <t>https://utrucking.com/admin/orders/5921487814844</t>
  </si>
  <si>
    <t>#15890</t>
  </si>
  <si>
    <t>mayajones954@gmail.com</t>
  </si>
  <si>
    <t>Maya Jones</t>
  </si>
  <si>
    <t>Chevy Chase</t>
  </si>
  <si>
    <t>3332-a</t>
  </si>
  <si>
    <t xml:space="preserve">3809 Montrose Drive, Chevy Chase MD 20815  </t>
  </si>
  <si>
    <t>https://utrucking.com/admin/orders/5921493942460</t>
  </si>
  <si>
    <t>#15891</t>
  </si>
  <si>
    <t>anniehlavka@gmail.com</t>
  </si>
  <si>
    <t>Anne Hlavka</t>
  </si>
  <si>
    <t>https://utrucking.com/admin/orders/5921536868540</t>
  </si>
  <si>
    <t>#15892</t>
  </si>
  <si>
    <t>costanza.cocilovo@inova.org</t>
  </si>
  <si>
    <t>costanza cocilovo</t>
  </si>
  <si>
    <t xml:space="preserve">6101 31st street north 
Arlington, VA 22207  </t>
  </si>
  <si>
    <t>https://utrucking.com/admin/orders/5921546830012</t>
  </si>
  <si>
    <t>#15893</t>
  </si>
  <si>
    <t>Julia Markowitz</t>
  </si>
  <si>
    <t>https://utrucking.com/admin/orders/5921555054780</t>
  </si>
  <si>
    <t>#15894</t>
  </si>
  <si>
    <t>hera@wustl.edu</t>
  </si>
  <si>
    <t>Hera Kim</t>
  </si>
  <si>
    <t>Fairfax</t>
  </si>
  <si>
    <t>3032a</t>
  </si>
  <si>
    <t>https://utrucking.com/admin/orders/5921576976572</t>
  </si>
  <si>
    <t>#15895</t>
  </si>
  <si>
    <t>maxselver8@gmail.com</t>
  </si>
  <si>
    <t>Maxwell Selver</t>
  </si>
  <si>
    <t>6669 Washington Avenue, Apartment 101 (Front door code: 13579# ; Apartment key lockbox code #7503)</t>
  </si>
  <si>
    <t>(Front door code: 13579# ; Apartment key lockbox code #7503)</t>
  </si>
  <si>
    <t>https://utrucking.com/admin/orders/5921608007868</t>
  </si>
  <si>
    <t>#15896</t>
  </si>
  <si>
    <t>seanandleslie@comcast.net</t>
  </si>
  <si>
    <t>Sean Smith</t>
  </si>
  <si>
    <t>Huntley</t>
  </si>
  <si>
    <t>4190</t>
  </si>
  <si>
    <t>https://utrucking.com/admin/orders/5921682751676</t>
  </si>
  <si>
    <t>#15897</t>
  </si>
  <si>
    <t>heidibaltimore@gmail.com</t>
  </si>
  <si>
    <t>Heidi Baltimore</t>
  </si>
  <si>
    <t>Upper Arlington</t>
  </si>
  <si>
    <t>3222</t>
  </si>
  <si>
    <t>https://utrucking.com/admin/orders/5921705951420</t>
  </si>
  <si>
    <t>#15898</t>
  </si>
  <si>
    <t>g.a.gonzalez@wustl.edu</t>
  </si>
  <si>
    <t>Gabriel González</t>
  </si>
  <si>
    <t>738 Interdrive, University City, MO 63130</t>
  </si>
  <si>
    <t>Bend</t>
  </si>
  <si>
    <t>https://utrucking.com/admin/orders/5921707589820</t>
  </si>
  <si>
    <t>#15899</t>
  </si>
  <si>
    <t>Selena Bahl</t>
  </si>
  <si>
    <t>Chatham Township</t>
  </si>
  <si>
    <t>3412-A</t>
  </si>
  <si>
    <t xml:space="preserve">9 Crestwood Drive
Chatham, New Jersey 07928  </t>
  </si>
  <si>
    <t>https://utrucking.com/admin/orders/5921713914044</t>
  </si>
  <si>
    <t>#15900</t>
  </si>
  <si>
    <t>nicorose885@gmail.com</t>
  </si>
  <si>
    <t>Nico Rose</t>
  </si>
  <si>
    <t>University Place</t>
  </si>
  <si>
    <t>4014a</t>
  </si>
  <si>
    <t>https://utrucking.com/admin/orders/5921775517884</t>
  </si>
  <si>
    <t>#15901</t>
  </si>
  <si>
    <t>https://utrucking.com/admin/orders/5921855406268</t>
  </si>
  <si>
    <t>#15902</t>
  </si>
  <si>
    <t>jace329612@gmail.com</t>
  </si>
  <si>
    <t>Jungyeon Park</t>
  </si>
  <si>
    <t>725 Interdrive Street, St. Louis, MO 63130</t>
  </si>
  <si>
    <t>https://utrucking.com/admin/orders/5921863958716</t>
  </si>
  <si>
    <t>#15903</t>
  </si>
  <si>
    <t>erichan4191@gmail.com</t>
  </si>
  <si>
    <t>Eric Han</t>
  </si>
  <si>
    <t>Fremont</t>
  </si>
  <si>
    <t>4429</t>
  </si>
  <si>
    <t xml:space="preserve">4247 Ogden Drive
Fremont, CA 94538  </t>
  </si>
  <si>
    <t>https://utrucking.com/admin/orders/5921909014716</t>
  </si>
  <si>
    <t>#15904</t>
  </si>
  <si>
    <t>ybookim@gmail.com</t>
  </si>
  <si>
    <t>YOUNG BOO 김영부</t>
  </si>
  <si>
    <t>Prosper</t>
  </si>
  <si>
    <t>3002a</t>
  </si>
  <si>
    <t>https://utrucking.com/admin/orders/5921912357052</t>
  </si>
  <si>
    <t>#15905</t>
  </si>
  <si>
    <t>gracemchung@gmail.com</t>
  </si>
  <si>
    <t>Maryellen McQuade</t>
  </si>
  <si>
    <t>Princeton</t>
  </si>
  <si>
    <t>201C-a</t>
  </si>
  <si>
    <t>https://utrucking.com/admin/orders/5922052047036</t>
  </si>
  <si>
    <t>#15906</t>
  </si>
  <si>
    <t>TRI TRAN</t>
  </si>
  <si>
    <t>Lopata - 2004 - a</t>
  </si>
  <si>
    <t>https://utrucking.com/admin/orders/5922066071740</t>
  </si>
  <si>
    <t>#15907</t>
  </si>
  <si>
    <t>Cecelia Reali</t>
  </si>
  <si>
    <t>Chatham</t>
  </si>
  <si>
    <t>2W-C - a</t>
  </si>
  <si>
    <t>https://utrucking.com/admin/orders/5922373697724</t>
  </si>
  <si>
    <t>#15908</t>
  </si>
  <si>
    <t>huang.v.s@wustl.edu</t>
  </si>
  <si>
    <t>Victor Huang</t>
  </si>
  <si>
    <t>Idaho Falls</t>
  </si>
  <si>
    <t>Idaho</t>
  </si>
  <si>
    <t>https://utrucking.com/admin/orders/5922526003388</t>
  </si>
  <si>
    <t>#15909</t>
  </si>
  <si>
    <t>l.lumi@wustl.edu</t>
  </si>
  <si>
    <t>Hayan Kim</t>
  </si>
  <si>
    <t>1011</t>
  </si>
  <si>
    <t>https://utrucking.com/admin/orders/5922846277820</t>
  </si>
  <si>
    <t>#15910</t>
  </si>
  <si>
    <t>Eleanor Palmer</t>
  </si>
  <si>
    <t>Cambridge</t>
  </si>
  <si>
    <t>2081 - A</t>
  </si>
  <si>
    <t>https://utrucking.com/admin/orders/5922875408572</t>
  </si>
  <si>
    <t>#15911</t>
  </si>
  <si>
    <t>c.deisi@wustl.edu</t>
  </si>
  <si>
    <t>Deisi Contreras</t>
  </si>
  <si>
    <t>3002 - a</t>
  </si>
  <si>
    <t>https://utrucking.com/admin/orders/5922891595964</t>
  </si>
  <si>
    <t>#15912</t>
  </si>
  <si>
    <t>Leena Ray</t>
  </si>
  <si>
    <t>Moraga</t>
  </si>
  <si>
    <t>https://utrucking.com/admin/orders/5922991374524</t>
  </si>
  <si>
    <t>#15913</t>
  </si>
  <si>
    <t>j.wolff-merovick@wustl.edu</t>
  </si>
  <si>
    <t>Jules Wolff-Merovick</t>
  </si>
  <si>
    <t>https://utrucking.com/admin/orders/5923050455228</t>
  </si>
  <si>
    <t>#15914</t>
  </si>
  <si>
    <t>rbaum7@gmail.com</t>
  </si>
  <si>
    <t>Rebecca Baum</t>
  </si>
  <si>
    <t>Trinity 1st Floor
510 Trinity St. Louis,
MO 63130</t>
  </si>
  <si>
    <t xml:space="preserve">50 east 89th Street
Apt 12AG
NYC, any 10128  </t>
  </si>
  <si>
    <t>https://utrucking.com/admin/orders/5923098689724</t>
  </si>
  <si>
    <t>#15915</t>
  </si>
  <si>
    <t>jeremy@budinfamily.com</t>
  </si>
  <si>
    <t>Jeremy Budin</t>
  </si>
  <si>
    <t>2323a</t>
  </si>
  <si>
    <t>https://utrucking.com/admin/orders/5923113631932</t>
  </si>
  <si>
    <t>#15916</t>
  </si>
  <si>
    <t>jaydenoh2025@gmail.com</t>
  </si>
  <si>
    <t>Kuni Oh</t>
  </si>
  <si>
    <t>Piedmont</t>
  </si>
  <si>
    <t>361b</t>
  </si>
  <si>
    <t>https://utrucking.com/admin/orders/5923127066812</t>
  </si>
  <si>
    <t>#15917</t>
  </si>
  <si>
    <t>Kana Byrd</t>
  </si>
  <si>
    <t>101</t>
  </si>
  <si>
    <t>https://utrucking.com/admin/orders/5923197550780</t>
  </si>
  <si>
    <t>#15918</t>
  </si>
  <si>
    <t>Paige Acquistapace</t>
  </si>
  <si>
    <t>410</t>
  </si>
  <si>
    <t>https://utrucking.com/admin/orders/5923338420412</t>
  </si>
  <si>
    <t>#15919</t>
  </si>
  <si>
    <t>rohankmoorthi@gmail.com</t>
  </si>
  <si>
    <t>Rohan Krishnamoorthi</t>
  </si>
  <si>
    <t>Dublin</t>
  </si>
  <si>
    <t>009-A</t>
  </si>
  <si>
    <t>https://utrucking.com/admin/orders/5923400777916</t>
  </si>
  <si>
    <t>#15920</t>
  </si>
  <si>
    <t>Pamela Weinberg</t>
  </si>
  <si>
    <t>Demarest</t>
  </si>
  <si>
    <t>2074-A</t>
  </si>
  <si>
    <t xml:space="preserve">11 Blanche Ave, Unit A, Demarest, NJ 07627  </t>
  </si>
  <si>
    <t>https://utrucking.com/admin/orders/5923413983420</t>
  </si>
  <si>
    <t>#15921</t>
  </si>
  <si>
    <t>a.ciara@wustl.edu</t>
  </si>
  <si>
    <t>Ciara Avelar</t>
  </si>
  <si>
    <t>315B</t>
  </si>
  <si>
    <t>https://utrucking.com/admin/orders/5923437117628</t>
  </si>
  <si>
    <t>#15922</t>
  </si>
  <si>
    <t>knikita@wustl.edu</t>
  </si>
  <si>
    <t>Nikita Kostromins</t>
  </si>
  <si>
    <t>https://utrucking.com/admin/orders/5923484860604</t>
  </si>
  <si>
    <t>#15923</t>
  </si>
  <si>
    <t>kuwama@optonline.net</t>
  </si>
  <si>
    <t>Chika Kuwama</t>
  </si>
  <si>
    <t>2121-B</t>
  </si>
  <si>
    <t xml:space="preserve">45 Devon Road
Tenafly, NJ 07670  </t>
  </si>
  <si>
    <t>https://utrucking.com/admin/orders/5923500523708</t>
  </si>
  <si>
    <t>#15924</t>
  </si>
  <si>
    <t>Sadie Bloom</t>
  </si>
  <si>
    <t>141-A</t>
  </si>
  <si>
    <t>https://utrucking.com/admin/orders/5923507994812</t>
  </si>
  <si>
    <t>#15925</t>
  </si>
  <si>
    <t>fardosaa123@icloud.com</t>
  </si>
  <si>
    <t>Fardosa Ahmed</t>
  </si>
  <si>
    <t>Saint Paul</t>
  </si>
  <si>
    <t>https://utrucking.com/admin/orders/5923591585980</t>
  </si>
  <si>
    <t>#15926</t>
  </si>
  <si>
    <t>nataliegornstein@gmail.com</t>
  </si>
  <si>
    <t>Eric Gornstein</t>
  </si>
  <si>
    <t>103</t>
  </si>
  <si>
    <t>https://utrucking.com/admin/orders/5923603218620</t>
  </si>
  <si>
    <t>#15927</t>
  </si>
  <si>
    <t>mariana.gonzalezpina18@gmail.com</t>
  </si>
  <si>
    <t>Mariana Mariana</t>
  </si>
  <si>
    <t>Hazelwood</t>
  </si>
  <si>
    <t>3335b</t>
  </si>
  <si>
    <t>https://utrucking.com/admin/orders/5923692740796</t>
  </si>
  <si>
    <t>#15928</t>
  </si>
  <si>
    <t>jessica.zmood@gmail.com</t>
  </si>
  <si>
    <t>Dov Zmood</t>
  </si>
  <si>
    <t>303-D</t>
  </si>
  <si>
    <t>https://utrucking.com/admin/orders/5923716300988</t>
  </si>
  <si>
    <t>#15929</t>
  </si>
  <si>
    <t>a.eidelhoch@wustl.edu</t>
  </si>
  <si>
    <t>Sarah Eidelhoch</t>
  </si>
  <si>
    <t>4021</t>
  </si>
  <si>
    <t>https://utrucking.com/admin/orders/5923753394364</t>
  </si>
  <si>
    <t>#15930</t>
  </si>
  <si>
    <t>https://utrucking.com/admin/orders/5923984507068</t>
  </si>
  <si>
    <t>#15931</t>
  </si>
  <si>
    <t>chengwei.s@wustl.edu</t>
  </si>
  <si>
    <t>Chengwei Shang</t>
  </si>
  <si>
    <t>202-a</t>
  </si>
  <si>
    <t>House 5</t>
  </si>
  <si>
    <t>https://utrucking.com/admin/orders/5924131242172</t>
  </si>
  <si>
    <t>#15932</t>
  </si>
  <si>
    <t>h.a.john@wustl.edu</t>
  </si>
  <si>
    <t>Harrison John</t>
  </si>
  <si>
    <t>https://utrucking.com/admin/orders/5924189438140</t>
  </si>
  <si>
    <t>#15933</t>
  </si>
  <si>
    <t>2836531271@qq.com</t>
  </si>
  <si>
    <t>Andrea Liang</t>
  </si>
  <si>
    <t>1002</t>
  </si>
  <si>
    <t>https://utrucking.com/admin/orders/5924249075900</t>
  </si>
  <si>
    <t>#15934</t>
  </si>
  <si>
    <t>rileymeltz@icloud.com</t>
  </si>
  <si>
    <t>https://utrucking.com/admin/orders/5924255039676</t>
  </si>
  <si>
    <t>#15935</t>
  </si>
  <si>
    <t>c.langrui@wustl.edu</t>
  </si>
  <si>
    <t>3032</t>
  </si>
  <si>
    <t>https://utrucking.com/admin/orders/5924302618812</t>
  </si>
  <si>
    <t>#15936</t>
  </si>
  <si>
    <t>https://utrucking.com/admin/orders/5924362223804</t>
  </si>
  <si>
    <t>#15937</t>
  </si>
  <si>
    <t>cielastillings@gmail.com</t>
  </si>
  <si>
    <t>Ciela Stillings</t>
  </si>
  <si>
    <t>Santa Fe</t>
  </si>
  <si>
    <t>https://utrucking.com/admin/orders/5924397056188</t>
  </si>
  <si>
    <t>#15938</t>
  </si>
  <si>
    <t>melinagarren@gmail.com</t>
  </si>
  <si>
    <t>Melina Garren</t>
  </si>
  <si>
    <t>Carmel-by-the-Sea</t>
  </si>
  <si>
    <t>201A</t>
  </si>
  <si>
    <t>https://utrucking.com/admin/orders/5924401152188</t>
  </si>
  <si>
    <t>#15939</t>
  </si>
  <si>
    <t>https://utrucking.com/admin/orders/5924426580156</t>
  </si>
  <si>
    <t>#15940</t>
  </si>
  <si>
    <t>Elizabeth Slover</t>
  </si>
  <si>
    <t xml:space="preserve">4814 City Park Road 
Austin, Texas 78730  </t>
  </si>
  <si>
    <t>https://utrucking.com/admin/orders/5924440637628</t>
  </si>
  <si>
    <t>#15941</t>
  </si>
  <si>
    <t>b.moses@wustl.edu</t>
  </si>
  <si>
    <t>Moses Bank</t>
  </si>
  <si>
    <t>1044 - a</t>
  </si>
  <si>
    <t>https://utrucking.com/admin/orders/5924522262716</t>
  </si>
  <si>
    <t>#15942</t>
  </si>
  <si>
    <t>cristakim8@gmail.com</t>
  </si>
  <si>
    <t>crista kim</t>
  </si>
  <si>
    <t>los angeles</t>
  </si>
  <si>
    <t xml:space="preserve">702 S Serrano Ave #505  </t>
  </si>
  <si>
    <t>https://utrucking.com/admin/orders/5924627382460</t>
  </si>
  <si>
    <t>#15943</t>
  </si>
  <si>
    <t>beth.kamp@gmail.com</t>
  </si>
  <si>
    <t>Beth Kamp</t>
  </si>
  <si>
    <t>Newtown</t>
  </si>
  <si>
    <t>4414-a</t>
  </si>
  <si>
    <t xml:space="preserve">109 Jericho Valley Drive Newtown, PA 18940  </t>
  </si>
  <si>
    <t>https://utrucking.com/admin/orders/5924641571004</t>
  </si>
  <si>
    <t>#15944</t>
  </si>
  <si>
    <t>tgmendel@hotmail.com</t>
  </si>
  <si>
    <t>sacha mendelson</t>
  </si>
  <si>
    <t>344</t>
  </si>
  <si>
    <t xml:space="preserve">501 east 79 street
apartment 4b
NYc, NY 10075  </t>
  </si>
  <si>
    <t>https://utrucking.com/admin/orders/5924651368636</t>
  </si>
  <si>
    <t>#15945</t>
  </si>
  <si>
    <t>Pamela Stephenson</t>
  </si>
  <si>
    <t>https://utrucking.com/admin/orders/5924652581052</t>
  </si>
  <si>
    <t>#15946</t>
  </si>
  <si>
    <t xml:space="preserve"> 0  General Moving Services - Other (Specify in Notes) - #14465 Samyukta Kaushik</t>
  </si>
  <si>
    <t>Moving from VEast 2073 to Shepley 3011 all at once on 8/9. included in the SS service they already paid for. samyukta's #: 425-624-9191</t>
  </si>
  <si>
    <t>https://utrucking.com/admin/orders/5924654219452</t>
  </si>
  <si>
    <t>#15947</t>
  </si>
  <si>
    <t>4040-b</t>
  </si>
  <si>
    <t>https://utrucking.com/admin/orders/5924658938044</t>
  </si>
  <si>
    <t>#15948</t>
  </si>
  <si>
    <t>n.s.staes@wustl.edu</t>
  </si>
  <si>
    <t>Nyja Staes</t>
  </si>
  <si>
    <t>Pearland</t>
  </si>
  <si>
    <t xml:space="preserve">403 a </t>
  </si>
  <si>
    <t>https://utrucking.com/admin/orders/5924665393340</t>
  </si>
  <si>
    <t>#15949</t>
  </si>
  <si>
    <t>Megan Phillips</t>
  </si>
  <si>
    <t>3011</t>
  </si>
  <si>
    <t xml:space="preserve">House 11 (Sigma Phi Epsilon)  </t>
  </si>
  <si>
    <t>https://utrucking.com/admin/orders/5924670570684</t>
  </si>
  <si>
    <t>#15950</t>
  </si>
  <si>
    <t>sofiayoungblut@gmail.com</t>
  </si>
  <si>
    <t>Sofia Youngblut</t>
  </si>
  <si>
    <t>4003</t>
  </si>
  <si>
    <t>https://utrucking.com/admin/orders/5924671979708</t>
  </si>
  <si>
    <t>#15951</t>
  </si>
  <si>
    <t>alisonflamenbaum@gmail.com</t>
  </si>
  <si>
    <t>Paisley Flamenbaum</t>
  </si>
  <si>
    <t>3051A</t>
  </si>
  <si>
    <t xml:space="preserve">Paisley Flamenbaum
30 Kilmer Rd
Larchmont NY 10538  </t>
  </si>
  <si>
    <t>3051-A</t>
  </si>
  <si>
    <t>https://utrucking.com/admin/orders/5924685316284</t>
  </si>
  <si>
    <t>#15952</t>
  </si>
  <si>
    <t>charlotte allinson</t>
  </si>
  <si>
    <t>new york</t>
  </si>
  <si>
    <t xml:space="preserve">322 Central Park West Apt. 5A  </t>
  </si>
  <si>
    <t>https://utrucking.com/admin/orders/5924695048380</t>
  </si>
  <si>
    <t>#15953</t>
  </si>
  <si>
    <t>cecemilde@icloud.com</t>
  </si>
  <si>
    <t>Cece Milde</t>
  </si>
  <si>
    <t>103E</t>
  </si>
  <si>
    <t>https://utrucking.com/admin/orders/5924695441596</t>
  </si>
  <si>
    <t>#15954</t>
  </si>
  <si>
    <t>Gary Evans</t>
  </si>
  <si>
    <t>421</t>
  </si>
  <si>
    <t xml:space="preserve">4413 W University Blvd  </t>
  </si>
  <si>
    <t>https://utrucking.com/admin/orders/5924752031932</t>
  </si>
  <si>
    <t>#15955</t>
  </si>
  <si>
    <t>Mack La Rosa</t>
  </si>
  <si>
    <t>6632 Washington Ave, Apt 3N, St. Louis MO</t>
  </si>
  <si>
    <t>https://utrucking.com/admin/orders/5924767858876</t>
  </si>
  <si>
    <t>#15956</t>
  </si>
  <si>
    <t>crwetzler@yahoo.com</t>
  </si>
  <si>
    <t>Carmen Menocal</t>
  </si>
  <si>
    <t>161A</t>
  </si>
  <si>
    <t>https://admin.shopify.com/store/utrucking/orders/5924774183100?link_source=search</t>
  </si>
  <si>
    <t>#15957</t>
  </si>
  <si>
    <t>dfandrey@deloitte.com</t>
  </si>
  <si>
    <t>617-694-4757</t>
  </si>
  <si>
    <t>Danielle Fandrey</t>
  </si>
  <si>
    <t>307 Lexington Street</t>
  </si>
  <si>
    <t>02466</t>
  </si>
  <si>
    <t>1173</t>
  </si>
  <si>
    <t>https://utrucking.com/admin/orders/5924814192828</t>
  </si>
  <si>
    <t>#15958</t>
  </si>
  <si>
    <t>Andy Du</t>
  </si>
  <si>
    <t>6515 Delmar Blvd, St. Louis MO 63112
(Everly On The Loop)</t>
  </si>
  <si>
    <t>6105 Delmar Blvd, Apt 523, St. Louis MO 63112 (Everly On The Loop)</t>
  </si>
  <si>
    <t>https://utrucking.com/admin/orders/5924815110332</t>
  </si>
  <si>
    <t>#15959</t>
  </si>
  <si>
    <t>mssjd2002@gmail.com</t>
  </si>
  <si>
    <t>Michelle Silverman Dultz</t>
  </si>
  <si>
    <t>Unknown</t>
  </si>
  <si>
    <t xml:space="preserve">243 Russell Road
Princeton NJ 08540   </t>
  </si>
  <si>
    <t>https://utrucking.com/admin/orders/5924830019772</t>
  </si>
  <si>
    <t>#15960</t>
  </si>
  <si>
    <t>shanelle cameus</t>
  </si>
  <si>
    <t xml:space="preserve">2824 mount mckinley way  </t>
  </si>
  <si>
    <t>https://utrucking.com/admin/orders/5924833132732</t>
  </si>
  <si>
    <t>#15961</t>
  </si>
  <si>
    <t xml:space="preserve">6105 Delmar Blvd, Apt 523, St. Louis MO 63112 (Everly On The Loop)
</t>
  </si>
  <si>
    <t>https://utrucking.com/admin/orders/5924836573372</t>
  </si>
  <si>
    <t>#15962</t>
  </si>
  <si>
    <t xml:space="preserve">45 West 10 Street Apt. 2F
New York, NY 10011  </t>
  </si>
  <si>
    <t>https://utrucking.com/admin/orders/5924843126972</t>
  </si>
  <si>
    <t>#15963</t>
  </si>
  <si>
    <t>i.a.wong@wustl.edu</t>
  </si>
  <si>
    <t>Ingrid Wong</t>
  </si>
  <si>
    <t>Allen</t>
  </si>
  <si>
    <t xml:space="preserve">4002 </t>
  </si>
  <si>
    <t>https://utrucking.com/admin/orders/5924847517884</t>
  </si>
  <si>
    <t>#15964</t>
  </si>
  <si>
    <t>cannistraro@comcast.net</t>
  </si>
  <si>
    <t>Joseph Cannistraro</t>
  </si>
  <si>
    <t>3071-a</t>
  </si>
  <si>
    <t>https://utrucking.com/admin/orders/5924847550652</t>
  </si>
  <si>
    <t>#15965</t>
  </si>
  <si>
    <t>sophiewhang28@gmail.com</t>
  </si>
  <si>
    <t>sophie whang</t>
  </si>
  <si>
    <t>6105 Delmar Blvd, St. Louis, MO 63112</t>
  </si>
  <si>
    <t>Oakton</t>
  </si>
  <si>
    <t>https://utrucking.com/admin/orders/5924876058812</t>
  </si>
  <si>
    <t>#15966</t>
  </si>
  <si>
    <t>Lylah Ross</t>
  </si>
  <si>
    <t>Watertown</t>
  </si>
  <si>
    <t>324 - a</t>
  </si>
  <si>
    <t xml:space="preserve">101 Rutland Street
Watertown, MA 02472  </t>
  </si>
  <si>
    <t>https://utrucking.com/admin/orders/5924892475580</t>
  </si>
  <si>
    <t>#15967</t>
  </si>
  <si>
    <t>Noa Levy</t>
  </si>
  <si>
    <t>Encino</t>
  </si>
  <si>
    <t xml:space="preserve">15709 Milbank St Encino CA 91436  </t>
  </si>
  <si>
    <t>https://utrucking.com/admin/orders/5924949393596</t>
  </si>
  <si>
    <t>#15968</t>
  </si>
  <si>
    <t>s.sienna@wustl.edu</t>
  </si>
  <si>
    <t>Sangeeta Prakash</t>
  </si>
  <si>
    <t>Shaker Heights</t>
  </si>
  <si>
    <t>303b</t>
  </si>
  <si>
    <t>https://utrucking.com/admin/orders/5924987863228</t>
  </si>
  <si>
    <t>#15969</t>
  </si>
  <si>
    <t>Aileen Iaccino</t>
  </si>
  <si>
    <t>312</t>
  </si>
  <si>
    <t>https://utrucking.com/admin/orders/5924992647356</t>
  </si>
  <si>
    <t>#15970</t>
  </si>
  <si>
    <t>dawmnlwin@gmail.com</t>
  </si>
  <si>
    <t>Daw Lwin</t>
  </si>
  <si>
    <t>1115-b</t>
  </si>
  <si>
    <t xml:space="preserve">10 Cherry Ln, Scarsdale, NY 10583  </t>
  </si>
  <si>
    <t>https://utrucking.com/admin/orders/5925023613116</t>
  </si>
  <si>
    <t>#15971</t>
  </si>
  <si>
    <t>Omotunde Oyende</t>
  </si>
  <si>
    <t>Lansing</t>
  </si>
  <si>
    <t>https://utrucking.com/admin/orders/5925047107772</t>
  </si>
  <si>
    <t>#15972</t>
  </si>
  <si>
    <t>Xinzhi Zhang</t>
  </si>
  <si>
    <t>5539 Pershing Ave, Apt 313, Saint Louis, MO 63112</t>
  </si>
  <si>
    <t>https://utrucking.com/admin/orders/5925051433148</t>
  </si>
  <si>
    <t>#15973</t>
  </si>
  <si>
    <t>ayam102ayam@gmail.com</t>
  </si>
  <si>
    <t>Maya Miller</t>
  </si>
  <si>
    <t>Fort Lauderdale</t>
  </si>
  <si>
    <t>1072</t>
  </si>
  <si>
    <t xml:space="preserve">3348 SW 49th Street, Fort Lauderdale, Florida, 33312  </t>
  </si>
  <si>
    <t>https://utrucking.com/admin/orders/5925054742716</t>
  </si>
  <si>
    <t>#15974</t>
  </si>
  <si>
    <t>aedanvirgulto@gmail.com</t>
  </si>
  <si>
    <t>Aedan Virgulto</t>
  </si>
  <si>
    <t xml:space="preserve">30 Pond View Lane
Madison, CT 06443  </t>
  </si>
  <si>
    <t>https://utrucking.com/admin/orders/5925068570812</t>
  </si>
  <si>
    <t>#15975</t>
  </si>
  <si>
    <t>jeanlopezuzho@gmail.com</t>
  </si>
  <si>
    <t>Jean Lopez</t>
  </si>
  <si>
    <t>Jamaica</t>
  </si>
  <si>
    <t xml:space="preserve">9045 144th Place
Jamaica, NY 11435  </t>
  </si>
  <si>
    <t>https://utrucking.com/admin/orders/5925081645244</t>
  </si>
  <si>
    <t>#15976</t>
  </si>
  <si>
    <t>ilankliman@gmail.com</t>
  </si>
  <si>
    <t>Ilan Kliman</t>
  </si>
  <si>
    <t>2226</t>
  </si>
  <si>
    <t>https://utrucking.com/admin/orders/5925100847292</t>
  </si>
  <si>
    <t>#15977</t>
  </si>
  <si>
    <t>e.y.shin@wustl.edu</t>
  </si>
  <si>
    <t>Emily Shin</t>
  </si>
  <si>
    <t>Lubbock</t>
  </si>
  <si>
    <t>https://utrucking.com/admin/orders/5925124243644</t>
  </si>
  <si>
    <t>#15978</t>
  </si>
  <si>
    <t>Lumi Lee</t>
  </si>
  <si>
    <t xml:space="preserve">4460 Wilshire Blvd apt 701 Los Angeles CA 90010  </t>
  </si>
  <si>
    <t>https://utrucking.com/admin/orders/5925165138108</t>
  </si>
  <si>
    <t>#15979</t>
  </si>
  <si>
    <t>jamie4169@icloud.com</t>
  </si>
  <si>
    <t>Jamie Greenberg</t>
  </si>
  <si>
    <t>Hidden Hills</t>
  </si>
  <si>
    <t>404c</t>
  </si>
  <si>
    <t xml:space="preserve">24520 Wingfield Rd  </t>
  </si>
  <si>
    <t>https://utrucking.com/admin/orders/5925328519356</t>
  </si>
  <si>
    <t>#15980</t>
  </si>
  <si>
    <t>kennsha06@gmail.com</t>
  </si>
  <si>
    <t>Kenn’Sha Ward</t>
  </si>
  <si>
    <t>Cleveland</t>
  </si>
  <si>
    <t xml:space="preserve">7022 Kinsman Road 44104 Cleveland Ohio  </t>
  </si>
  <si>
    <t>https://utrucking.com/admin/orders/5925408899260</t>
  </si>
  <si>
    <t>#15981</t>
  </si>
  <si>
    <t>tnfink@comcast.net</t>
  </si>
  <si>
    <t>nicole fink</t>
  </si>
  <si>
    <t>608 Kingsland Ave</t>
  </si>
  <si>
    <t>6666 Washington Ave, Univeristy City, MO</t>
  </si>
  <si>
    <t>https://utrucking.com/admin/orders/5925443272892</t>
  </si>
  <si>
    <t>#15982</t>
  </si>
  <si>
    <t>c.i.godwin@wustl.edu</t>
  </si>
  <si>
    <t>https://utrucking.com/admin/orders/5925454807228</t>
  </si>
  <si>
    <t>#15983</t>
  </si>
  <si>
    <t>lisabutler4267@gmail.com</t>
  </si>
  <si>
    <t>Lisa Butler</t>
  </si>
  <si>
    <t>Summit</t>
  </si>
  <si>
    <t xml:space="preserve">50 Parmley Place 101
Summit, NJ 07901  </t>
  </si>
  <si>
    <t>https://utrucking.com/products/storage-item-return</t>
  </si>
  <si>
    <t>#15984</t>
  </si>
  <si>
    <t>jennifermaxell@gmail.com</t>
  </si>
  <si>
    <t>Jennifer Maxell</t>
  </si>
  <si>
    <t>Smyrna</t>
  </si>
  <si>
    <t xml:space="preserve">5025 Duxford Drive, Smyrna, GA 30082  </t>
  </si>
  <si>
    <t>https://utrucking.com/admin/orders/5925515985084</t>
  </si>
  <si>
    <t>#15985</t>
  </si>
  <si>
    <t>malayahill30@gmail.com</t>
  </si>
  <si>
    <t>Malaya Hill</t>
  </si>
  <si>
    <t>5920 McPherson Ave, 1st Floor, St. Louis, MO 63112</t>
  </si>
  <si>
    <t>Las Vegas</t>
  </si>
  <si>
    <t>Nevada</t>
  </si>
  <si>
    <t>https://utrucking.com/admin/orders/5925521850556</t>
  </si>
  <si>
    <t>#15986</t>
  </si>
  <si>
    <t>iserlohn802@gmail.com</t>
  </si>
  <si>
    <t>yuehan hu</t>
  </si>
  <si>
    <t>St. Loyis</t>
  </si>
  <si>
    <t>Nemerov - 3061 - a</t>
  </si>
  <si>
    <t xml:space="preserve">John Hu
MSC 85191
6515 Wydown Blvd.
St. Louis, MO 63105  </t>
  </si>
  <si>
    <t>https://utrucking.com/admin/orders/5925525323964</t>
  </si>
  <si>
    <t>#15987</t>
  </si>
  <si>
    <t>jsvinick@verizon.net</t>
  </si>
  <si>
    <t>Jackie Vinick</t>
  </si>
  <si>
    <t>Germantown</t>
  </si>
  <si>
    <t>Apt 102, room A</t>
  </si>
  <si>
    <t>https://utrucking.com/admin/orders/5925604294844</t>
  </si>
  <si>
    <t>#15988</t>
  </si>
  <si>
    <t>asatyr1@comcast.net</t>
  </si>
  <si>
    <t>Allison Satyr</t>
  </si>
  <si>
    <t>3093a</t>
  </si>
  <si>
    <t xml:space="preserve">665 Brierhill Road
Deerfield, IL  60015  </t>
  </si>
  <si>
    <t>Cara Satyr - sophomore</t>
  </si>
  <si>
    <t>https://utrucking.com/admin/orders/5925619433660</t>
  </si>
  <si>
    <t>#15989</t>
  </si>
  <si>
    <t>6148 Pershing Avenue
St. Louis, MO  63112</t>
  </si>
  <si>
    <t>Jonah Satyr - senior</t>
  </si>
  <si>
    <t>https://utrucking.com/admin/orders/5925693718716</t>
  </si>
  <si>
    <t>#15990</t>
  </si>
  <si>
    <t>Tenzing Dekyong</t>
  </si>
  <si>
    <t>Flushing</t>
  </si>
  <si>
    <t xml:space="preserve">202A - a </t>
  </si>
  <si>
    <t>https://utrucking.com/admin/orders/5925707579580</t>
  </si>
  <si>
    <t>#15991</t>
  </si>
  <si>
    <t>m.h.mesnick@wustl.edu</t>
  </si>
  <si>
    <t>Michelle Mesnick</t>
  </si>
  <si>
    <t>807 Westgate Ave
Apt 2</t>
  </si>
  <si>
    <t>https://utrucking.com/admin/orders/5925711642812</t>
  </si>
  <si>
    <t>#15992</t>
  </si>
  <si>
    <t>Jaci@wustl.edu</t>
  </si>
  <si>
    <t>Terry Lee</t>
  </si>
  <si>
    <t>https://utrucking.com/admin/orders/5925714428092</t>
  </si>
  <si>
    <t>#15993</t>
  </si>
  <si>
    <t>https://utrucking.com/admin/orders/5925724717244</t>
  </si>
  <si>
    <t>#15994</t>
  </si>
  <si>
    <t>wekslerdanielle@gmail.com</t>
  </si>
  <si>
    <t>Danielle Weksler</t>
  </si>
  <si>
    <t>203F</t>
  </si>
  <si>
    <t>https://utrucking.com/admin/orders/5925727240380</t>
  </si>
  <si>
    <t>#15995</t>
  </si>
  <si>
    <t>Tejal Patel</t>
  </si>
  <si>
    <t>202 b-a</t>
  </si>
  <si>
    <t>https://utrucking.com/admin/orders/5925801590972</t>
  </si>
  <si>
    <t>#15996</t>
  </si>
  <si>
    <t>Kennylovefabrizio@gmail.com</t>
  </si>
  <si>
    <t>Kenneth Love-Fabrizio</t>
  </si>
  <si>
    <t>2010a</t>
  </si>
  <si>
    <t>https://utrucking.com/admin/orders/5925828395196</t>
  </si>
  <si>
    <t>#15997</t>
  </si>
  <si>
    <t>allisonjkhani@gmail.com</t>
  </si>
  <si>
    <t>Allison Khani</t>
  </si>
  <si>
    <t>https://utrucking.com/admin/orders/5925890654396</t>
  </si>
  <si>
    <t>#15998</t>
  </si>
  <si>
    <t>Jacobj.tulch17@gmail.com</t>
  </si>
  <si>
    <t>Peter Tulchinsky</t>
  </si>
  <si>
    <t>Oxford</t>
  </si>
  <si>
    <t>https://utrucking.com/admin/orders/5925898715324</t>
  </si>
  <si>
    <t>#15999</t>
  </si>
  <si>
    <t>cdlpj@me.com</t>
  </si>
  <si>
    <t>Cristina Jaggers</t>
  </si>
  <si>
    <t>212-a</t>
  </si>
  <si>
    <t>https://utrucking.com/admin/orders/5925955043516</t>
  </si>
  <si>
    <t>#16000</t>
  </si>
  <si>
    <t>j.e.najari@wustl.edu</t>
  </si>
  <si>
    <t>Jasmine Najari</t>
  </si>
  <si>
    <t>5510 Pershing Ave
Unit #314
St. Louis, MO 63112</t>
  </si>
  <si>
    <t>Frisco</t>
  </si>
  <si>
    <t>https://utrucking.com/admin/orders/5926035947708</t>
  </si>
  <si>
    <t>#16001</t>
  </si>
  <si>
    <t>b.cugno@wustl.edu</t>
  </si>
  <si>
    <t>Benjamin Cugno</t>
  </si>
  <si>
    <t>211</t>
  </si>
  <si>
    <t>https://utrucking.com/admin/orders/5926054822076</t>
  </si>
  <si>
    <t>#16002</t>
  </si>
  <si>
    <t>joseph.hett@gmail.com</t>
  </si>
  <si>
    <t xml:space="preserve"> 0  General Moving Services - Other (Specify in Notes) - #14389 Joshua Freeman putting items back into storage</t>
  </si>
  <si>
    <t>3093</t>
  </si>
  <si>
    <t xml:space="preserve"> afternoon</t>
  </si>
  <si>
    <t>#14389 Joshua Freeman, Late Access, put back into storage</t>
  </si>
  <si>
    <t>https://utrucking.com/admin/orders/5926063407292</t>
  </si>
  <si>
    <t>#16003</t>
  </si>
  <si>
    <t>ehkim524@gmail.com</t>
  </si>
  <si>
    <t>Eleanor Kim</t>
  </si>
  <si>
    <t>https://utrucking.com/admin/orders/5926104137916</t>
  </si>
  <si>
    <t>#16004</t>
  </si>
  <si>
    <t>raine94@me.com</t>
  </si>
  <si>
    <t>Michael Borys</t>
  </si>
  <si>
    <t>2233A</t>
  </si>
  <si>
    <t>https://utrucking.com/admin/orders/5926179307708</t>
  </si>
  <si>
    <t>#16005</t>
  </si>
  <si>
    <t>Alex Tak</t>
  </si>
  <si>
    <t>3063-a</t>
  </si>
  <si>
    <t>https://utrucking.com/admin/orders/5926257426620</t>
  </si>
  <si>
    <t>#16006</t>
  </si>
  <si>
    <t>Zachary Dang</t>
  </si>
  <si>
    <t>Blaine</t>
  </si>
  <si>
    <t>https://utrucking.com/admin/orders/5926260441276</t>
  </si>
  <si>
    <t>#16007</t>
  </si>
  <si>
    <t>jennifereliu@gmail.com</t>
  </si>
  <si>
    <t>Jennifer Liu</t>
  </si>
  <si>
    <t>2202</t>
  </si>
  <si>
    <t>https://utrucking.com/admin/orders/5926262669500</t>
  </si>
  <si>
    <t>#16008</t>
  </si>
  <si>
    <t>laura.ripin@gmail.com</t>
  </si>
  <si>
    <t>Laura Ripin</t>
  </si>
  <si>
    <t>https://utrucking.com/admin/orders/5926336561340</t>
  </si>
  <si>
    <t>#16009</t>
  </si>
  <si>
    <t>mepspinner@aol.com</t>
  </si>
  <si>
    <t>Sarah Bahr</t>
  </si>
  <si>
    <t>Mequon</t>
  </si>
  <si>
    <t>https://utrucking.com/admin/orders/5926353207484</t>
  </si>
  <si>
    <t>#16010</t>
  </si>
  <si>
    <t>ruby.koo@wustl.edu</t>
  </si>
  <si>
    <t>Naeun Koo</t>
  </si>
  <si>
    <t>Woburn</t>
  </si>
  <si>
    <t>104A</t>
  </si>
  <si>
    <t>https://utrucking.com/admin/orders/5926378242236</t>
  </si>
  <si>
    <t>#16011</t>
  </si>
  <si>
    <t>Eric Tian</t>
  </si>
  <si>
    <t>213 a</t>
  </si>
  <si>
    <t>https://admin.shopify.com/store/utrucking/orders/5926471401660?link_source=search</t>
  </si>
  <si>
    <t>#16012</t>
  </si>
  <si>
    <t>917-693-1389</t>
  </si>
  <si>
    <t>442b</t>
  </si>
  <si>
    <t>124 West 16th St, 9
New York NY 10011</t>
  </si>
  <si>
    <t>https://utrucking.com/admin/orders/5926606045372</t>
  </si>
  <si>
    <t>#16013</t>
  </si>
  <si>
    <t>Geneane Bloomfield-Baker</t>
  </si>
  <si>
    <t>https://utrucking.com/admin/orders/5926639993020</t>
  </si>
  <si>
    <t>#16014</t>
  </si>
  <si>
    <t>brittanychang1@gmail.com</t>
  </si>
  <si>
    <t>brittany Chang</t>
  </si>
  <si>
    <t>471</t>
  </si>
  <si>
    <t>https://utrucking.com/admin/orders/5926645399740</t>
  </si>
  <si>
    <t>#16015</t>
  </si>
  <si>
    <t>Brian Kahn</t>
  </si>
  <si>
    <t>Carmel</t>
  </si>
  <si>
    <t>121A</t>
  </si>
  <si>
    <t>https://utrucking.com/admin/orders/5926732005564</t>
  </si>
  <si>
    <t>#16016</t>
  </si>
  <si>
    <t>p.sebastian@wustl.edu</t>
  </si>
  <si>
    <t>Sebastian Pujet</t>
  </si>
  <si>
    <t>https://utrucking.com/admin/orders/5926740918460</t>
  </si>
  <si>
    <t>#16017</t>
  </si>
  <si>
    <t>underwood.ht@gmail.com</t>
  </si>
  <si>
    <t>Hugo Underwood</t>
  </si>
  <si>
    <t>413A - a</t>
  </si>
  <si>
    <t>https://utrucking.com/admin/orders/5926790135996</t>
  </si>
  <si>
    <t>#16018</t>
  </si>
  <si>
    <t>https://utrucking.com/admin/orders/5926800982204</t>
  </si>
  <si>
    <t>#16019</t>
  </si>
  <si>
    <t xml:space="preserve">41 Stewart Road
Needham, MA 02492  </t>
  </si>
  <si>
    <t>https://utrucking.com/admin/orders/5926827786428</t>
  </si>
  <si>
    <t>#16020</t>
  </si>
  <si>
    <t>jmcota@ontica.org</t>
  </si>
  <si>
    <t>Jose M Cota Valdivia</t>
  </si>
  <si>
    <t>Lithia</t>
  </si>
  <si>
    <t>Leave of Absence Storage</t>
  </si>
  <si>
    <t xml:space="preserve"> 0 / Included Insurance   -  - </t>
  </si>
  <si>
    <t>750 Kingsland Ave Apt 2S, University City, MO 63130</t>
  </si>
  <si>
    <t>https://utrucking.com/admin/orders/5926845219004</t>
  </si>
  <si>
    <t>#16021</t>
  </si>
  <si>
    <t>Meghan Slover</t>
  </si>
  <si>
    <t>https://utrucking.com/admin/orders/5927006044348</t>
  </si>
  <si>
    <t>#16022</t>
  </si>
  <si>
    <t>m.a.torky@wustl.edu</t>
  </si>
  <si>
    <t>Maya Torky</t>
  </si>
  <si>
    <t>Mercer Island</t>
  </si>
  <si>
    <t>1164A</t>
  </si>
  <si>
    <t>https://utrucking.com/admin/orders/5927023411388</t>
  </si>
  <si>
    <t>#16023</t>
  </si>
  <si>
    <t>cristina_hazday@hotmail.com</t>
  </si>
  <si>
    <t>Hazday Home</t>
  </si>
  <si>
    <t>https://utrucking.com/admin/orders/5927064076476</t>
  </si>
  <si>
    <t>#16024</t>
  </si>
  <si>
    <t>ayeni@wustl.edu</t>
  </si>
  <si>
    <t>Adijat Ayeni</t>
  </si>
  <si>
    <t xml:space="preserve">2209 </t>
  </si>
  <si>
    <t>https://utrucking.com/admin/orders/5927125319868</t>
  </si>
  <si>
    <t>#16025</t>
  </si>
  <si>
    <t>https://utrucking.com/admin/orders/5927135379644</t>
  </si>
  <si>
    <t>#16026</t>
  </si>
  <si>
    <t>Zoya Khan</t>
  </si>
  <si>
    <t>4053 - a</t>
  </si>
  <si>
    <t>https://utrucking.com/admin/orders/5927141769404</t>
  </si>
  <si>
    <t>#16027</t>
  </si>
  <si>
    <t>Joshua Freeman</t>
  </si>
  <si>
    <t>Hatfield</t>
  </si>
  <si>
    <t>1041 - a</t>
  </si>
  <si>
    <t>https://utrucking.com/admin/orders/5927144587452</t>
  </si>
  <si>
    <t>#16028</t>
  </si>
  <si>
    <t>https://utrucking.com/admin/orders/5927150616764</t>
  </si>
  <si>
    <t>#16029</t>
  </si>
  <si>
    <t>fjoshua@wustl.edu</t>
  </si>
  <si>
    <t xml:space="preserve">1041 a </t>
  </si>
  <si>
    <t>https://utrucking.com/admin/orders/5927151698108</t>
  </si>
  <si>
    <t>#16030</t>
  </si>
  <si>
    <t>hilary.linsky@gmail.com</t>
  </si>
  <si>
    <t>Hilary Linsky</t>
  </si>
  <si>
    <t>https://utrucking.com/admin/orders/5927169622204</t>
  </si>
  <si>
    <t>#16031</t>
  </si>
  <si>
    <t xml:space="preserve"> 1:10pm-6:00pm</t>
  </si>
  <si>
    <t>8/1/25
3 movers
Moved fridges, microwaves and couches to various locations and moved furniture in Beaumont</t>
  </si>
  <si>
    <t>https://utrucking.com/admin/orders/5927186104508</t>
  </si>
  <si>
    <t>#16032</t>
  </si>
  <si>
    <t>Suzanne Kohl</t>
  </si>
  <si>
    <t>6659 Kingsbury Boulevard, St. Louis, MO 63130 Apartment 1W</t>
  </si>
  <si>
    <t>roslyn</t>
  </si>
  <si>
    <t>https://utrucking.com/admin/orders/5927203733692</t>
  </si>
  <si>
    <t>#16033</t>
  </si>
  <si>
    <t>Selena Zou</t>
  </si>
  <si>
    <t>Nashua</t>
  </si>
  <si>
    <t>https://utrucking.com/admin/orders/5927205044412</t>
  </si>
  <si>
    <t>#16034</t>
  </si>
  <si>
    <t>r.sulur@wustl.edu</t>
  </si>
  <si>
    <t>Riya Sulur</t>
  </si>
  <si>
    <t>Hopkinton</t>
  </si>
  <si>
    <t>124B</t>
  </si>
  <si>
    <t>https://utrucking.com/admin/orders/5927224901820</t>
  </si>
  <si>
    <t>#16035</t>
  </si>
  <si>
    <t>samsegal123@aol.com</t>
  </si>
  <si>
    <t>Sam Segal</t>
  </si>
  <si>
    <t>Winfield</t>
  </si>
  <si>
    <t>West Virginia</t>
  </si>
  <si>
    <t>B-2A-a</t>
  </si>
  <si>
    <t>https://utrucking.com/admin/orders/5927269367996</t>
  </si>
  <si>
    <t>#16036</t>
  </si>
  <si>
    <t>b.j.rubel@wustl.edu</t>
  </si>
  <si>
    <t>Sarah Rubel</t>
  </si>
  <si>
    <t>2W-B</t>
  </si>
  <si>
    <t xml:space="preserve">138 Sunset Rd.
Arlington, MA 02474  </t>
  </si>
  <si>
    <t>https://utrucking.com/admin/orders/5927275364540</t>
  </si>
  <si>
    <t>#16037</t>
  </si>
  <si>
    <t>https://utrucking.com/admin/orders/5927344570556</t>
  </si>
  <si>
    <t>#16038</t>
  </si>
  <si>
    <t>e.lou@wustl.edu</t>
  </si>
  <si>
    <t>Weijia Lou</t>
  </si>
  <si>
    <t>6105 Delmar Blvd. Apt 402-C
ST. LOUIS, MISSOURI 63112
United States</t>
  </si>
  <si>
    <t>https://utrucking.com/admin/orders/5927358857404</t>
  </si>
  <si>
    <t>#16039</t>
  </si>
  <si>
    <t>f.yige@wustl.edu</t>
  </si>
  <si>
    <t>Yige Feng</t>
  </si>
  <si>
    <t>6105 Delmar Blvd.  Apt 402-A
ST. LOUIS, MISSOURI 63112
United States</t>
  </si>
  <si>
    <t>https://utrucking.com/admin/orders/5927371178172</t>
  </si>
  <si>
    <t>#16040</t>
  </si>
  <si>
    <t>carterjamesdavidson@gmail.com</t>
  </si>
  <si>
    <t>Carter Davidson</t>
  </si>
  <si>
    <t>Wellesley Hills</t>
  </si>
  <si>
    <t>3315b</t>
  </si>
  <si>
    <t>https://utrucking.com/admin/orders/5927404667068</t>
  </si>
  <si>
    <t>#16041</t>
  </si>
  <si>
    <t>liangyan0122@hotmail.com</t>
  </si>
  <si>
    <t>Liang Yan</t>
  </si>
  <si>
    <t>1231</t>
  </si>
  <si>
    <t>https://utrucking.com/admin/orders/5927430127804</t>
  </si>
  <si>
    <t>#16042</t>
  </si>
  <si>
    <t>m.saanya@wustl.edu</t>
  </si>
  <si>
    <t>Saanya Manoj</t>
  </si>
  <si>
    <t>University Housing University Housing</t>
  </si>
  <si>
    <t>105A</t>
  </si>
  <si>
    <t>https://utrucking.com/admin/orders/5927563722940</t>
  </si>
  <si>
    <t>#16043</t>
  </si>
  <si>
    <t>bi.s@wustl.edu</t>
  </si>
  <si>
    <t>Siyuan Bi</t>
  </si>
  <si>
    <t>3033-A</t>
  </si>
  <si>
    <t>https://utrucking.com/admin/orders/5927710228668</t>
  </si>
  <si>
    <t>#16044</t>
  </si>
  <si>
    <t>jennigaines@yahoo.com</t>
  </si>
  <si>
    <t>Jennifer Gaines</t>
  </si>
  <si>
    <t>412B</t>
  </si>
  <si>
    <t>https://utrucking.com/admin/orders/5927748403388</t>
  </si>
  <si>
    <t>#16045</t>
  </si>
  <si>
    <t>samgoldstein20@gmail.com</t>
  </si>
  <si>
    <t>Sam Goldstein</t>
  </si>
  <si>
    <t>Potomac</t>
  </si>
  <si>
    <t>122</t>
  </si>
  <si>
    <t>https://utrucking.com/admin/orders/5927778386108</t>
  </si>
  <si>
    <t>#16046</t>
  </si>
  <si>
    <t>sarchan@yahoo.com</t>
  </si>
  <si>
    <t>Saritha Mathew</t>
  </si>
  <si>
    <t>Belle Mead</t>
  </si>
  <si>
    <t>4424</t>
  </si>
  <si>
    <t>https://utrucking.com/admin/orders/5927793033404</t>
  </si>
  <si>
    <t>#16047</t>
  </si>
  <si>
    <t>a.l.spencer@wustl.edu</t>
  </si>
  <si>
    <t>Amelia Spencer</t>
  </si>
  <si>
    <t>4103</t>
  </si>
  <si>
    <t>https://utrucking.com/admin/orders/5927860764860</t>
  </si>
  <si>
    <t>#16048</t>
  </si>
  <si>
    <t>julia061507@gmail.com</t>
  </si>
  <si>
    <t>Julia Franklin</t>
  </si>
  <si>
    <t>Matteson</t>
  </si>
  <si>
    <t>2205</t>
  </si>
  <si>
    <t>https://utrucking.com/admin/orders/5927898382524</t>
  </si>
  <si>
    <t>#16049</t>
  </si>
  <si>
    <t>Adrian Pop</t>
  </si>
  <si>
    <t>Hawthorn Woods</t>
  </si>
  <si>
    <t>3164-a</t>
  </si>
  <si>
    <t>https://utrucking.com/admin/orders/5927919517884</t>
  </si>
  <si>
    <t>#16050</t>
  </si>
  <si>
    <t>Lmpandit@gmail.com</t>
  </si>
  <si>
    <t>Lavannya Pandit</t>
  </si>
  <si>
    <t>214A</t>
  </si>
  <si>
    <t>https://utrucking.com/admin/orders/5927972012220</t>
  </si>
  <si>
    <t>#16051</t>
  </si>
  <si>
    <t>3132 - a</t>
  </si>
  <si>
    <t>https://utrucking.com/admin/orders/5927975256252</t>
  </si>
  <si>
    <t>#16052</t>
  </si>
  <si>
    <t>l.tahlia@wustl.edu</t>
  </si>
  <si>
    <t>Tahlia Lamour</t>
  </si>
  <si>
    <t>Boynton Beach</t>
  </si>
  <si>
    <t>317-B</t>
  </si>
  <si>
    <t>https://utrucking.com/admin/orders/5927984038076</t>
  </si>
  <si>
    <t>#16053</t>
  </si>
  <si>
    <t>shaydengarber@gmail.com</t>
  </si>
  <si>
    <t>Shayden Garber</t>
  </si>
  <si>
    <t>https://utrucking.com/admin/orders/5928023064764</t>
  </si>
  <si>
    <t>#16054</t>
  </si>
  <si>
    <t>alexkennlee@gmail.com</t>
  </si>
  <si>
    <t>Alex Lee</t>
  </si>
  <si>
    <t xml:space="preserve">6665 Washington Ave, Saint Louis, MO 63130, Apt. 1E </t>
  </si>
  <si>
    <t>Alhambra</t>
  </si>
  <si>
    <t xml:space="preserve">04:00 PM to 05:00 PM </t>
  </si>
  <si>
    <t>https://utrucking.com/admin/orders/5928059437244</t>
  </si>
  <si>
    <t>#16055</t>
  </si>
  <si>
    <t>almathisson@gmail.com</t>
  </si>
  <si>
    <t>Alyssa Mathisson</t>
  </si>
  <si>
    <t>Millwood</t>
  </si>
  <si>
    <t>482</t>
  </si>
  <si>
    <t>https://utrucking.com/admin/orders/5928079851708</t>
  </si>
  <si>
    <t>#16056</t>
  </si>
  <si>
    <t>basab_mukherjee@hotmail.com</t>
  </si>
  <si>
    <t>Basab Mukherjee</t>
  </si>
  <si>
    <t>1044A</t>
  </si>
  <si>
    <t>https://utrucking.com/admin/orders/5928084832444</t>
  </si>
  <si>
    <t>#16057</t>
  </si>
  <si>
    <t>1044-A</t>
  </si>
  <si>
    <t>https://utrucking.com/admin/orders/5928086175932</t>
  </si>
  <si>
    <t>#16058</t>
  </si>
  <si>
    <t>Olivia Lynas</t>
  </si>
  <si>
    <t xml:space="preserve">3064 Manning Avenue, Los Angeles CA 90064  </t>
  </si>
  <si>
    <t>https://utrucking.com/admin/orders/5928140341436</t>
  </si>
  <si>
    <t>#16059</t>
  </si>
  <si>
    <t>lauramarks@gmail.com</t>
  </si>
  <si>
    <t>Laura Marks</t>
  </si>
  <si>
    <t>https://utrucking.com/admin/orders/5928183267516</t>
  </si>
  <si>
    <t>#16060</t>
  </si>
  <si>
    <t>katedieff06@gmail.com</t>
  </si>
  <si>
    <t>Kate Dieffenbacher</t>
  </si>
  <si>
    <t xml:space="preserve">House 7 </t>
  </si>
  <si>
    <t>https://utrucking.com/admin/orders/5928277082300</t>
  </si>
  <si>
    <t>#16061</t>
  </si>
  <si>
    <t>Hugo Parrales</t>
  </si>
  <si>
    <t>3317</t>
  </si>
  <si>
    <t>https://utrucking.com/admin/orders/5928315584700</t>
  </si>
  <si>
    <t>#16062</t>
  </si>
  <si>
    <t>camilainsunza@icloud.com</t>
  </si>
  <si>
    <t>Camila Insunza</t>
  </si>
  <si>
    <t>Rio Rico</t>
  </si>
  <si>
    <t>4405</t>
  </si>
  <si>
    <t>https://utrucking.com/admin/orders/5928373027004</t>
  </si>
  <si>
    <t>#16063</t>
  </si>
  <si>
    <t>l.naomi@wustl.edu</t>
  </si>
  <si>
    <t>Kam Hing Liang Lee</t>
  </si>
  <si>
    <t>3023</t>
  </si>
  <si>
    <t>https://utrucking.com/admin/orders/5928518975676</t>
  </si>
  <si>
    <t>#16064</t>
  </si>
  <si>
    <t>siyukim26@gmail.com</t>
  </si>
  <si>
    <t>Hannah Kim</t>
  </si>
  <si>
    <t>Novi</t>
  </si>
  <si>
    <t>https://utrucking.com/admin/orders/5928523301052</t>
  </si>
  <si>
    <t>#16065</t>
  </si>
  <si>
    <t>vivianrobles2019@gmail.com</t>
  </si>
  <si>
    <t>Vivian robles pinos</t>
  </si>
  <si>
    <t>2161a</t>
  </si>
  <si>
    <t xml:space="preserve">111 Lincoln Ave Apt 4C
Newark, NJ 07104  </t>
  </si>
  <si>
    <t>https://utrucking.com/admin/orders/5928536899772</t>
  </si>
  <si>
    <t>#16066</t>
  </si>
  <si>
    <t>audra_collins@yahoo.com</t>
  </si>
  <si>
    <t>Audra Collins</t>
  </si>
  <si>
    <t>Lawrence Township</t>
  </si>
  <si>
    <t>312B</t>
  </si>
  <si>
    <t>https://utrucking.com/admin/orders/5928543322300</t>
  </si>
  <si>
    <t>#16067</t>
  </si>
  <si>
    <t>Jihyun Park</t>
  </si>
  <si>
    <t>206A</t>
  </si>
  <si>
    <t>https://utrucking.com/admin/orders/5928560263356</t>
  </si>
  <si>
    <t>#16068</t>
  </si>
  <si>
    <t>Allyson Weseley</t>
  </si>
  <si>
    <t>Sea Cliff</t>
  </si>
  <si>
    <t>https://utrucking.com/admin/orders/5928585363644</t>
  </si>
  <si>
    <t>#16069</t>
  </si>
  <si>
    <t>biyu@wustl.edu</t>
  </si>
  <si>
    <t>Liu Ying</t>
  </si>
  <si>
    <t>北京</t>
  </si>
  <si>
    <t>Beijing</t>
  </si>
  <si>
    <t>China</t>
  </si>
  <si>
    <t>423 - a</t>
  </si>
  <si>
    <t>https://utrucking.com/admin/orders/5928616755388</t>
  </si>
  <si>
    <t>#16070</t>
  </si>
  <si>
    <t>sarah_smalik@yahoo.com</t>
  </si>
  <si>
    <t>Sarah Suleman</t>
  </si>
  <si>
    <t>209C</t>
  </si>
  <si>
    <t>https://utrucking.com/admin/orders/5928622096572</t>
  </si>
  <si>
    <t>#16071</t>
  </si>
  <si>
    <t>Veronica Turner</t>
  </si>
  <si>
    <t>Captiva</t>
  </si>
  <si>
    <t>2173</t>
  </si>
  <si>
    <t>https://utrucking.com/admin/orders/5928624488636</t>
  </si>
  <si>
    <t>#16072</t>
  </si>
  <si>
    <t>Carolyn Hockstein</t>
  </si>
  <si>
    <t>https://utrucking.com/admin/orders/5928668070076</t>
  </si>
  <si>
    <t>#16073</t>
  </si>
  <si>
    <t>hkramm@yahoo.com</t>
  </si>
  <si>
    <t>Heather Kramm</t>
  </si>
  <si>
    <t>https://utrucking.com/admin/orders/5928670920892</t>
  </si>
  <si>
    <t>#16074</t>
  </si>
  <si>
    <t>zacharyd.lew@gmail.com</t>
  </si>
  <si>
    <t>Zachary Lew</t>
  </si>
  <si>
    <t>Stamford</t>
  </si>
  <si>
    <t>https://utrucking.com/admin/orders/5928678195388</t>
  </si>
  <si>
    <t>#16075</t>
  </si>
  <si>
    <t>revhamenon@gmail.com</t>
  </si>
  <si>
    <t>Revha Menon</t>
  </si>
  <si>
    <t>208 a</t>
  </si>
  <si>
    <t xml:space="preserve">not necessary  </t>
  </si>
  <si>
    <t>https://utrucking.com/admin/orders/5928681504956</t>
  </si>
  <si>
    <t>#16076</t>
  </si>
  <si>
    <t>kim.m1@wustl.edu</t>
  </si>
  <si>
    <t>JungAh Kim</t>
  </si>
  <si>
    <t>Alpharetta</t>
  </si>
  <si>
    <t>3092</t>
  </si>
  <si>
    <t>https://utrucking.com/admin/orders/5928692809916</t>
  </si>
  <si>
    <t>#16077</t>
  </si>
  <si>
    <t>Lori Houck</t>
  </si>
  <si>
    <t>BOERNE</t>
  </si>
  <si>
    <t>78015-5153</t>
  </si>
  <si>
    <t>2244-b</t>
  </si>
  <si>
    <t>https://utrucking.com/admin/orders/5928853864636</t>
  </si>
  <si>
    <t>#16078</t>
  </si>
  <si>
    <t>kaminemehta@yahoo.com</t>
  </si>
  <si>
    <t>Kamine Mehta</t>
  </si>
  <si>
    <t xml:space="preserve">58 Old Connecticut Path
Wayland, MA 01778  </t>
  </si>
  <si>
    <t>https://utrucking.com/admin/orders/5928894595260</t>
  </si>
  <si>
    <t>#16079</t>
  </si>
  <si>
    <t>dyson.i@wustl.edu</t>
  </si>
  <si>
    <t>Lawrence Dyson</t>
  </si>
  <si>
    <t>Webster Groves</t>
  </si>
  <si>
    <t>https://utrucking.com/admin/orders/5928909177020</t>
  </si>
  <si>
    <t>#16080</t>
  </si>
  <si>
    <t>efgabbay@gmail.com</t>
  </si>
  <si>
    <t>Felix Otto</t>
  </si>
  <si>
    <t>334B</t>
  </si>
  <si>
    <t xml:space="preserve">3720 Mountain View Ave.
LA, CA 90066  </t>
  </si>
  <si>
    <t>https://utrucking.com/admin/orders/5928921628860</t>
  </si>
  <si>
    <t>#16081</t>
  </si>
  <si>
    <t>edna.zheng@icloud.com</t>
  </si>
  <si>
    <t>Edna Zheng</t>
  </si>
  <si>
    <t>Fresh Meadows</t>
  </si>
  <si>
    <t>4102 - a</t>
  </si>
  <si>
    <t>https://utrucking.com/admin/orders/5928970944700</t>
  </si>
  <si>
    <t>#16082</t>
  </si>
  <si>
    <t>Samuel Panoff</t>
  </si>
  <si>
    <t>Suffern</t>
  </si>
  <si>
    <t>https://utrucking.com/admin/orders/5928978088124</t>
  </si>
  <si>
    <t>#16083</t>
  </si>
  <si>
    <t>Jared Morton</t>
  </si>
  <si>
    <t>Kensington</t>
  </si>
  <si>
    <t>https://utrucking.com/admin/orders/5929051029692</t>
  </si>
  <si>
    <t>#16084</t>
  </si>
  <si>
    <t>Kate Delia</t>
  </si>
  <si>
    <t>Lake Forest</t>
  </si>
  <si>
    <t>1119</t>
  </si>
  <si>
    <t>https://utrucking.com/admin/orders/5929128624316</t>
  </si>
  <si>
    <t>#16085</t>
  </si>
  <si>
    <t>August.y.moon@gmail.com</t>
  </si>
  <si>
    <t>August Moon</t>
  </si>
  <si>
    <t>Alexandria</t>
  </si>
  <si>
    <t>3052</t>
  </si>
  <si>
    <t xml:space="preserve">806 St Stephens Rd, Alexandria, VA 22304  </t>
  </si>
  <si>
    <t>https://utrucking.com/admin/orders/5929131540668</t>
  </si>
  <si>
    <t>#16086</t>
  </si>
  <si>
    <t>bejm28@gmail.com</t>
  </si>
  <si>
    <t>BEENA MATHEW</t>
  </si>
  <si>
    <t>Northbrook</t>
  </si>
  <si>
    <t>280-b</t>
  </si>
  <si>
    <t>https://utrucking.com/admin/orders/5929152905404</t>
  </si>
  <si>
    <t>#16087</t>
  </si>
  <si>
    <t>gdogarcia14@gmail.com</t>
  </si>
  <si>
    <t>Gerardo Garcia Rodriguez</t>
  </si>
  <si>
    <t>805 Westgate Ave, Saint Louis, MO 63130</t>
  </si>
  <si>
    <t xml:space="preserve">498 Polo Run
West Chester, PA 19380  </t>
  </si>
  <si>
    <t>https://utrucking.com/admin/orders/5929221882044</t>
  </si>
  <si>
    <t>#16088</t>
  </si>
  <si>
    <t>jackson.p.williams@wustl.edu</t>
  </si>
  <si>
    <t>Jackson Williams</t>
  </si>
  <si>
    <t>Colleyville</t>
  </si>
  <si>
    <t>https://utrucking.com/admin/orders/5929229418684</t>
  </si>
  <si>
    <t>#16089</t>
  </si>
  <si>
    <t>asherraboy@gmail.com</t>
  </si>
  <si>
    <t>Asher Raboy</t>
  </si>
  <si>
    <t>2001</t>
  </si>
  <si>
    <t>https://utrucking.com/admin/orders/5929268904124</t>
  </si>
  <si>
    <t>#16090</t>
  </si>
  <si>
    <t>4020</t>
  </si>
  <si>
    <t>https://utrucking.com/admin/orders/5929312321724</t>
  </si>
  <si>
    <t>#16091</t>
  </si>
  <si>
    <t>o.m.sadik@wustl.edu</t>
  </si>
  <si>
    <t>Olaolu Sadik</t>
  </si>
  <si>
    <t>4142</t>
  </si>
  <si>
    <t xml:space="preserve">201 N Garland Ct., Unit 1605, Chicago, IL 60601  </t>
  </si>
  <si>
    <t>https://utrucking.com/admin/orders/5929322447036</t>
  </si>
  <si>
    <t>#16092</t>
  </si>
  <si>
    <t>iris.z@wustl.edu</t>
  </si>
  <si>
    <t>Ziwen Zhang</t>
  </si>
  <si>
    <t>Basking Ridge</t>
  </si>
  <si>
    <t>https://utrucking.com/admin/orders/5929458270396</t>
  </si>
  <si>
    <t>#16093</t>
  </si>
  <si>
    <t>Yuet Mui Kong</t>
  </si>
  <si>
    <t>726 Eastgate Avenue, Saint Louis, MO 63130</t>
  </si>
  <si>
    <t>Waianae</t>
  </si>
  <si>
    <t>https://utrucking.com/admin/orders/5929684992188</t>
  </si>
  <si>
    <t>#16094</t>
  </si>
  <si>
    <t>Ruby Short</t>
  </si>
  <si>
    <t>Brighton</t>
  </si>
  <si>
    <t>3002-a</t>
  </si>
  <si>
    <t>https://utrucking.com/admin/orders/5929714090172</t>
  </si>
  <si>
    <t>#16095</t>
  </si>
  <si>
    <t>jennyharris26@gmail.com</t>
  </si>
  <si>
    <t>jenny Harris</t>
  </si>
  <si>
    <t xml:space="preserve">161 West 86th street
NYC NY 10024  </t>
  </si>
  <si>
    <t>https://utrucking.com/admin/orders/5929729097916</t>
  </si>
  <si>
    <t>#16096</t>
  </si>
  <si>
    <t>jacquelinec@wustl.edu</t>
  </si>
  <si>
    <t>Jacqueline Clay</t>
  </si>
  <si>
    <t>Westford</t>
  </si>
  <si>
    <t>334</t>
  </si>
  <si>
    <t>https://utrucking.com/admin/orders/5929736962236</t>
  </si>
  <si>
    <t>#16097</t>
  </si>
  <si>
    <t>m.mariana2005@outlook.com</t>
  </si>
  <si>
    <t>Yihan Ma</t>
  </si>
  <si>
    <t>224D GANEDAGO HALL, ITHACA NY 14853</t>
  </si>
  <si>
    <t>clayton</t>
  </si>
  <si>
    <t>https://utrucking.com/admin/orders/5929770909884</t>
  </si>
  <si>
    <t>#16098</t>
  </si>
  <si>
    <t xml:space="preserve">House 8 (Tau Kappa Epsilon)  </t>
  </si>
  <si>
    <t>https://utrucking.com/admin/orders/5929774907580</t>
  </si>
  <si>
    <t>#16099</t>
  </si>
  <si>
    <t>https://utrucking.com/admin/orders/5929782116540</t>
  </si>
  <si>
    <t>#16100</t>
  </si>
  <si>
    <t>Wendy Bonilla Posas</t>
  </si>
  <si>
    <t>215</t>
  </si>
  <si>
    <t>https://utrucking.com/admin/orders/5929812492476</t>
  </si>
  <si>
    <t>#16101</t>
  </si>
  <si>
    <t>raumac01@gmail.com</t>
  </si>
  <si>
    <t>Mackenzie Raue</t>
  </si>
  <si>
    <t>2080</t>
  </si>
  <si>
    <t>https://utrucking.com/admin/orders/5929817997500</t>
  </si>
  <si>
    <t>#16102</t>
  </si>
  <si>
    <t>414-A</t>
  </si>
  <si>
    <t>https://utrucking.com/admin/orders/5929843032252</t>
  </si>
  <si>
    <t>#16103</t>
  </si>
  <si>
    <t>Carol Burton</t>
  </si>
  <si>
    <t>6127 Waterman Boulevard, 3rd floor
st louis, MO 63112</t>
  </si>
  <si>
    <t>Oakland</t>
  </si>
  <si>
    <t xml:space="preserve">    - </t>
  </si>
  <si>
    <t>https://utrucking.com/admin/orders/5929847324860</t>
  </si>
  <si>
    <t>#16104</t>
  </si>
  <si>
    <t>aben@wustl.edu</t>
  </si>
  <si>
    <t>Benjamin Appelbaum</t>
  </si>
  <si>
    <t>202 D</t>
  </si>
  <si>
    <t>https://utrucking.com/admin/orders/5929875177660</t>
  </si>
  <si>
    <t>#16105</t>
  </si>
  <si>
    <t>Stella Ohazurume</t>
  </si>
  <si>
    <t>726 Eastgate Avenue, 2nd
Floor, Saint Louis, MO 63130</t>
  </si>
  <si>
    <t>Westchester</t>
  </si>
  <si>
    <t>https://utrucking.com/admin/orders/5929886941372</t>
  </si>
  <si>
    <t>#16106</t>
  </si>
  <si>
    <t>anniec@wustl.edu</t>
  </si>
  <si>
    <t xml:space="preserve"> Standard Mini Fridge   - </t>
  </si>
  <si>
    <t>3319a</t>
  </si>
  <si>
    <t>https://utrucking.com/admin/orders/5929907880124</t>
  </si>
  <si>
    <t>#16107</t>
  </si>
  <si>
    <t>deannaskiles@yahoo.com</t>
  </si>
  <si>
    <t>seth skiles</t>
  </si>
  <si>
    <t>Seth Skiles</t>
  </si>
  <si>
    <t>https://utrucking.com/admin/orders/5930162094268</t>
  </si>
  <si>
    <t>#16108</t>
  </si>
  <si>
    <t>e.a.himmelstein@wustl.edu</t>
  </si>
  <si>
    <t>Emily Himmelstein</t>
  </si>
  <si>
    <t>Mission Hills</t>
  </si>
  <si>
    <t>https://utrucking.com/admin/orders/5930439868604</t>
  </si>
  <si>
    <t>#16109</t>
  </si>
  <si>
    <t>b.miriam@wustl.edu</t>
  </si>
  <si>
    <t>Miriam Bash</t>
  </si>
  <si>
    <t>208A-a</t>
  </si>
  <si>
    <t>https://utrucking.com/admin/orders/5930480959676</t>
  </si>
  <si>
    <t>#16110</t>
  </si>
  <si>
    <t xml:space="preserve"> 0  General Moving Services - Other (Specify in Notes)</t>
  </si>
  <si>
    <t>EA</t>
  </si>
  <si>
    <t>make sure Hampton Thun's second batch of items were delivered because it will show delivered because we already delivered 3 UTs but then did a second pickup</t>
  </si>
  <si>
    <t xml:space="preserve">Hampton Thun </t>
  </si>
  <si>
    <t>https://utrucking.com/admin/orders/5930540400828</t>
  </si>
  <si>
    <t>#16111</t>
  </si>
  <si>
    <t>Elizabeth Zheng</t>
  </si>
  <si>
    <t>Plandome</t>
  </si>
  <si>
    <t xml:space="preserve">3003 </t>
  </si>
  <si>
    <t>https://utrucking.com/admin/orders/5930598465724</t>
  </si>
  <si>
    <t>#16112</t>
  </si>
  <si>
    <t>Luke Goldberg</t>
  </si>
  <si>
    <t xml:space="preserve"> Double-Door Mini Fridge + Microwave   - </t>
  </si>
  <si>
    <t>https://utrucking.com/admin/orders/5930720231612</t>
  </si>
  <si>
    <t>#16113</t>
  </si>
  <si>
    <t>alrightkid54@yahoo.com</t>
  </si>
  <si>
    <t>Larry Young</t>
  </si>
  <si>
    <t>Michigan City</t>
  </si>
  <si>
    <t>304 A</t>
  </si>
  <si>
    <t>Yasmir Young</t>
  </si>
  <si>
    <t>https://utrucking.com/admin/orders/5930847273148</t>
  </si>
  <si>
    <t>#16114</t>
  </si>
  <si>
    <t>e.d.froehlich@wustl.edu</t>
  </si>
  <si>
    <t>Amy Froehlich</t>
  </si>
  <si>
    <t>252</t>
  </si>
  <si>
    <t>https://utrucking.com/admin/orders/5930894950588</t>
  </si>
  <si>
    <t>#16115</t>
  </si>
  <si>
    <t>Heewon Han</t>
  </si>
  <si>
    <t>444b</t>
  </si>
  <si>
    <t>Dale Son</t>
  </si>
  <si>
    <t>https://utrucking.com/admin/orders/5930949607612</t>
  </si>
  <si>
    <t>#16116</t>
  </si>
  <si>
    <t>e.georgia@wustl.edu</t>
  </si>
  <si>
    <t>Georgia Elis</t>
  </si>
  <si>
    <t>6633 Kingsbury Blvd 3E</t>
  </si>
  <si>
    <t>https://utrucking.com/admin/orders/5930966024380</t>
  </si>
  <si>
    <t>#16117</t>
  </si>
  <si>
    <t>joshuawarren585@gmail.com</t>
  </si>
  <si>
    <t>Jennifer Warren</t>
  </si>
  <si>
    <t xml:space="preserve">1104 </t>
  </si>
  <si>
    <t>Joshua Warren</t>
  </si>
  <si>
    <t>https://utrucking.com/admin/orders/5931101978812</t>
  </si>
  <si>
    <t>#16118</t>
  </si>
  <si>
    <t>nartey.n120@gmail.com</t>
  </si>
  <si>
    <t>Nicole Nartey</t>
  </si>
  <si>
    <t>6317 Southwood Ave, Apt 2W, Clayton, Missouri 63105</t>
  </si>
  <si>
    <t>Aldie</t>
  </si>
  <si>
    <t>https://utrucking.com/admin/orders/5931570364604</t>
  </si>
  <si>
    <t>#16119</t>
  </si>
  <si>
    <t>ntutunjian@aol.com</t>
  </si>
  <si>
    <t>Noelle Tutunjian</t>
  </si>
  <si>
    <t>162A</t>
  </si>
  <si>
    <t>https://utrucking.com/admin/orders/5931579244732</t>
  </si>
  <si>
    <t>#16120</t>
  </si>
  <si>
    <t>l.moutvic@wustl.edu</t>
  </si>
  <si>
    <t>Lauren Moutvic</t>
  </si>
  <si>
    <t xml:space="preserve"> Double-Door Mini Fridge   - </t>
  </si>
  <si>
    <t>Lauren</t>
  </si>
  <si>
    <t>https://utrucking.com/admin/orders/5931584422076</t>
  </si>
  <si>
    <t>#16121</t>
  </si>
  <si>
    <t>715 Limit Ave #2S
University City, MO
63130</t>
  </si>
  <si>
    <t>https://utrucking.com/admin/orders/5931594875068</t>
  </si>
  <si>
    <t>#16122</t>
  </si>
  <si>
    <t>ahp924@gmail.com</t>
  </si>
  <si>
    <t>Andrew Press</t>
  </si>
  <si>
    <t xml:space="preserve">Nationwide Ship to School    - </t>
  </si>
  <si>
    <t>3362</t>
  </si>
  <si>
    <t xml:space="preserve">82 Edgemont Road
Montclair NJ
07043  </t>
  </si>
  <si>
    <t>https://utrucking.com/admin/orders/5931665621180</t>
  </si>
  <si>
    <t>#16123</t>
  </si>
  <si>
    <t>tamarlehon@gmail.com</t>
  </si>
  <si>
    <t>Tamar Lehon</t>
  </si>
  <si>
    <t>3100</t>
  </si>
  <si>
    <t>https://utrucking.com/admin/orders/5931720245436</t>
  </si>
  <si>
    <t>#16124</t>
  </si>
  <si>
    <t>lindajchuang@yahoo.com</t>
  </si>
  <si>
    <t>Linda Chuang</t>
  </si>
  <si>
    <t>Cary</t>
  </si>
  <si>
    <t xml:space="preserve"> Microwave Only   - </t>
  </si>
  <si>
    <t>3312-B</t>
  </si>
  <si>
    <t xml:space="preserve">Connor Chuang </t>
  </si>
  <si>
    <t>https://utrucking.com/admin/orders/5931724341436</t>
  </si>
  <si>
    <t>#16125</t>
  </si>
  <si>
    <t>calvin.chao17@gmail.com</t>
  </si>
  <si>
    <t>Tzu-Hsun Chao</t>
  </si>
  <si>
    <t>100 N Kingshighway Blvd, #3009
St Louis, Mo 63108</t>
  </si>
  <si>
    <t>Clayton</t>
  </si>
  <si>
    <t>Calvin Chao</t>
  </si>
  <si>
    <t>https://utrucking.com/admin/orders/5931730305212</t>
  </si>
  <si>
    <t>#16126</t>
  </si>
  <si>
    <t>xinmiao.y@wustl.edu</t>
  </si>
  <si>
    <t>Victoria Yu</t>
  </si>
  <si>
    <t>100 N Kingshighway Blvd, #3009, St. Louis, Mo 63108</t>
  </si>
  <si>
    <t>12:00 PM to 02:00 PM</t>
  </si>
  <si>
    <t>https://utrucking.com/admin/orders/5931808751804</t>
  </si>
  <si>
    <t>#16127</t>
  </si>
  <si>
    <t>donnermd@hotmail.com</t>
  </si>
  <si>
    <t>109</t>
  </si>
  <si>
    <t>Daniel Donner</t>
  </si>
  <si>
    <t>https://utrucking.com/admin/orders/5931833458876</t>
  </si>
  <si>
    <t>#16128</t>
  </si>
  <si>
    <t>Jennifer Guion</t>
  </si>
  <si>
    <t>2041 a</t>
  </si>
  <si>
    <t>Cosmo Guion</t>
  </si>
  <si>
    <t>https://utrucking.com/admin/orders/5931926061244</t>
  </si>
  <si>
    <t>#16130</t>
  </si>
  <si>
    <t>Blew8006@gmail.com</t>
  </si>
  <si>
    <t>Brayden Lewis</t>
  </si>
  <si>
    <t>https://utrucking.com/admin/orders/5931950768316</t>
  </si>
  <si>
    <t>#16131</t>
  </si>
  <si>
    <t>Julie Loo</t>
  </si>
  <si>
    <t>5539 Pershing Ave Unit 204 Saint Louis, MO 63112 (The Chelsea)</t>
  </si>
  <si>
    <t>Dawson Loo</t>
  </si>
  <si>
    <t>https://utrucking.com/admin/orders/5932023480508</t>
  </si>
  <si>
    <t>#16132</t>
  </si>
  <si>
    <t>ssophiecantu@gmail.com</t>
  </si>
  <si>
    <t>Sophie Cantu</t>
  </si>
  <si>
    <t>6300 Cabanne Ave St. Louis MO 63130</t>
  </si>
  <si>
    <t>Ardmore</t>
  </si>
  <si>
    <t>https://utrucking.com/admin/orders/5932105040060</t>
  </si>
  <si>
    <t>#16133</t>
  </si>
  <si>
    <t>Ella Buchsbayew</t>
  </si>
  <si>
    <t>Teaneck</t>
  </si>
  <si>
    <t>208C</t>
  </si>
  <si>
    <t>3-5 pm</t>
  </si>
  <si>
    <t>https://utrucking.com/admin/orders/5932164251836</t>
  </si>
  <si>
    <t>#16134</t>
  </si>
  <si>
    <t xml:space="preserve"> 0  General Moving Services - University</t>
  </si>
  <si>
    <t>LL</t>
  </si>
  <si>
    <t>3pm-5:30pm</t>
  </si>
  <si>
    <t xml:space="preserve">8/6/25-
1 team lead (David) &amp; 1 mover
Moved in new furniture to MB3 LL to and from storage
</t>
  </si>
  <si>
    <t xml:space="preserve">Kelsey </t>
  </si>
  <si>
    <t>7am - 10:30am</t>
  </si>
  <si>
    <t>8/6/25- 3 guys Re arranged furniture in Gregg, the painters moved furniture to the middle of the rooms and we moved it back to the correct spots.</t>
  </si>
  <si>
    <t>9am- 630pm</t>
  </si>
  <si>
    <t xml:space="preserve">8/6/25- 
5 guys 
Moved furniture from rooms in Greenway and Millbrook 1-3 to Millbrook 1 storage room.
</t>
  </si>
  <si>
    <t>https://utrucking.com/admin/orders/5932198625468</t>
  </si>
  <si>
    <t>#16135</t>
  </si>
  <si>
    <t>dvloreno@gmail.com</t>
  </si>
  <si>
    <t>Desiree Loreno</t>
  </si>
  <si>
    <t>Lake Bluff</t>
  </si>
  <si>
    <t>Grace Grieme</t>
  </si>
  <si>
    <t>https://utrucking.com/admin/orders/5932301123772</t>
  </si>
  <si>
    <t>#16136</t>
  </si>
  <si>
    <t>ari.blumenthal@icloud.com</t>
  </si>
  <si>
    <t>Ari Blumenthal</t>
  </si>
  <si>
    <t>1041</t>
  </si>
  <si>
    <t>https://utrucking.com/admin/orders/5932394905788</t>
  </si>
  <si>
    <t>#16137</t>
  </si>
  <si>
    <t>matt34nats@icloud.com</t>
  </si>
  <si>
    <t>Matthew Steindecker</t>
  </si>
  <si>
    <t>7024 Forsyth BLVD, Saint Louis, MO, 63105</t>
  </si>
  <si>
    <t>https://utrucking.com/admin/orders/5932673138876</t>
  </si>
  <si>
    <t>#16138</t>
  </si>
  <si>
    <t>jason.ribatt@icloud.com</t>
  </si>
  <si>
    <t>Jason Ribatt</t>
  </si>
  <si>
    <t>218 a</t>
  </si>
  <si>
    <t>https://utrucking.com/admin/orders/5932711477436</t>
  </si>
  <si>
    <t>#16139</t>
  </si>
  <si>
    <t>jiwoo@wustl.edu</t>
  </si>
  <si>
    <t>Jiwoo Park</t>
  </si>
  <si>
    <t>https://utrucking.com/admin/orders/5932721176764</t>
  </si>
  <si>
    <t>#16140</t>
  </si>
  <si>
    <t>chenfei.x@wustl.edu</t>
  </si>
  <si>
    <t>Chenfei Xu</t>
  </si>
  <si>
    <t>2121-A</t>
  </si>
  <si>
    <t>https://utrucking.com/admin/orders/5932735135932</t>
  </si>
  <si>
    <t>#16141</t>
  </si>
  <si>
    <t>3091 -a</t>
  </si>
  <si>
    <t>https://utrucking.com/admin/orders/5932749160636</t>
  </si>
  <si>
    <t>#16142</t>
  </si>
  <si>
    <t>n.k.rosell@wustl.edu</t>
  </si>
  <si>
    <t>Sarah Rosell</t>
  </si>
  <si>
    <t>Cos Cob</t>
  </si>
  <si>
    <t>302C - a</t>
  </si>
  <si>
    <t>Nina Rosell</t>
  </si>
  <si>
    <t>https://utrucking.com/admin/orders/5932751061180</t>
  </si>
  <si>
    <t>#16143</t>
  </si>
  <si>
    <t>palomo.daniel@icloud.com</t>
  </si>
  <si>
    <t>Daniel Palomo</t>
  </si>
  <si>
    <t>Spring</t>
  </si>
  <si>
    <t>77382-1100</t>
  </si>
  <si>
    <t>4030</t>
  </si>
  <si>
    <t>https://utrucking.com/admin/orders/5932772950204</t>
  </si>
  <si>
    <t>#16144</t>
  </si>
  <si>
    <t>celineci1479@gmail.com</t>
  </si>
  <si>
    <t>Hongjoong Lee</t>
  </si>
  <si>
    <t>Lee - 311 - a</t>
  </si>
  <si>
    <t>Seoyeong Lee</t>
  </si>
  <si>
    <t>https://utrucking.com/admin/orders/5932828229820</t>
  </si>
  <si>
    <t>#16145</t>
  </si>
  <si>
    <t>Shannon Knisely</t>
  </si>
  <si>
    <t>314-b</t>
  </si>
  <si>
    <t>https://utrucking.com/admin/orders/5932833833148</t>
  </si>
  <si>
    <t>#16146</t>
  </si>
  <si>
    <t>jaroog05@icloud.com</t>
  </si>
  <si>
    <t>5956 De Giverville Ave</t>
  </si>
  <si>
    <t>https://utrucking.com/admin/orders/5932867485884</t>
  </si>
  <si>
    <t>#16147</t>
  </si>
  <si>
    <t>a.h.rosenberg@wustl.edu</t>
  </si>
  <si>
    <t>Drew Rosenberg</t>
  </si>
  <si>
    <t>012-C-a</t>
  </si>
  <si>
    <t>https://utrucking.com/admin/orders/5932882493628</t>
  </si>
  <si>
    <t>#16148</t>
  </si>
  <si>
    <t>skasirerteitelbaum@gmail.com</t>
  </si>
  <si>
    <t>Sarah Kasirer</t>
  </si>
  <si>
    <t>Lee-212-a</t>
  </si>
  <si>
    <t>Sophia Kasirer Teitelbaum</t>
  </si>
  <si>
    <t>https://utrucking.com/admin/orders/5933127631036</t>
  </si>
  <si>
    <t>#16150</t>
  </si>
  <si>
    <t>anderson.p@wustl.edu</t>
  </si>
  <si>
    <t>Anderson Preston</t>
  </si>
  <si>
    <t>Jackson</t>
  </si>
  <si>
    <t>2161 - a</t>
  </si>
  <si>
    <t>https://utrucking.com/admin/orders/5933134774460</t>
  </si>
  <si>
    <t>#16151</t>
  </si>
  <si>
    <t>dunnmattye@gmail.com</t>
  </si>
  <si>
    <t>Matthew Dunn</t>
  </si>
  <si>
    <t>3347-1</t>
  </si>
  <si>
    <t>https://utrucking.com/admin/orders/5933181108412</t>
  </si>
  <si>
    <t>#16152</t>
  </si>
  <si>
    <t>anyaa@wustl.edu</t>
  </si>
  <si>
    <t>Ritu Bhatt</t>
  </si>
  <si>
    <t>Anya Agrawal</t>
  </si>
  <si>
    <t>https://utrucking.com/admin/orders/5933205815484</t>
  </si>
  <si>
    <t>#16153</t>
  </si>
  <si>
    <t>Emma Dram</t>
  </si>
  <si>
    <t>Naperville</t>
  </si>
  <si>
    <t>3306 - b</t>
  </si>
  <si>
    <t>https://utrucking.com/admin/orders/5933232881852</t>
  </si>
  <si>
    <t>#16154</t>
  </si>
  <si>
    <t>mayauz@yahoo.com</t>
  </si>
  <si>
    <t>Mayalen Uribe</t>
  </si>
  <si>
    <t>3071</t>
  </si>
  <si>
    <t>Ander Pineda</t>
  </si>
  <si>
    <t>https://utrucking.com/admin/orders/5933319225532</t>
  </si>
  <si>
    <t>#16155</t>
  </si>
  <si>
    <t>cecilia.hsiao.anderson@gmail.com</t>
  </si>
  <si>
    <t>Tina Hsiao</t>
  </si>
  <si>
    <t>124</t>
  </si>
  <si>
    <t>https://utrucking.com/admin/orders/5933364543676</t>
  </si>
  <si>
    <t>#16156</t>
  </si>
  <si>
    <t>l.xingchen@wustl.edu</t>
  </si>
  <si>
    <t>Xingchen Li</t>
  </si>
  <si>
    <t>7000 Lindell Blvd, St Louis, MO, 63130</t>
  </si>
  <si>
    <t>https://utrucking.com/admin/orders/5933390725308</t>
  </si>
  <si>
    <t>#16157</t>
  </si>
  <si>
    <t>matthewsunglee@gmail.com</t>
  </si>
  <si>
    <t>Matthew Lee</t>
  </si>
  <si>
    <t>https://utrucking.com/admin/orders/5933465174204</t>
  </si>
  <si>
    <t>#16158</t>
  </si>
  <si>
    <t>alexbrla728@gmail.com</t>
  </si>
  <si>
    <t>1 615-561-8686</t>
  </si>
  <si>
    <t>Alexander Lara</t>
  </si>
  <si>
    <t>https://utrucking.com/admin/orders/5933467107516</t>
  </si>
  <si>
    <t>#16159</t>
  </si>
  <si>
    <t>juliahnnn@gmail.com</t>
  </si>
  <si>
    <t>John Hannon</t>
  </si>
  <si>
    <t>Gilbert</t>
  </si>
  <si>
    <t>Julia Hannon</t>
  </si>
  <si>
    <t>https://utrucking.com/admin/orders/5933475922108</t>
  </si>
  <si>
    <t>#16160</t>
  </si>
  <si>
    <t>s.g.youngblut@wustl.edu</t>
  </si>
  <si>
    <t>Eric Youngblut</t>
  </si>
  <si>
    <t>https://utrucking.com/admin/orders/5933493256380</t>
  </si>
  <si>
    <t>#16161</t>
  </si>
  <si>
    <t>l.olive@wustl.edu</t>
  </si>
  <si>
    <t>(314) 320-6420</t>
  </si>
  <si>
    <t>Olive Li</t>
  </si>
  <si>
    <t>6031 Waterman Blvd. Unit E</t>
  </si>
  <si>
    <t>https://utrucking.com/admin/orders/5933526843580</t>
  </si>
  <si>
    <t>#16162</t>
  </si>
  <si>
    <t>Everlly
6105 Delmar Blvd
Apt. 508
St. Louis  MO 63112
United States</t>
  </si>
  <si>
    <t xml:space="preserve">Lucas Canter </t>
  </si>
  <si>
    <t>https://utrucking.com/admin/orders/5933547487420</t>
  </si>
  <si>
    <t>#16163</t>
  </si>
  <si>
    <t>jkbaerwald@gmail.com</t>
  </si>
  <si>
    <t>Bothell</t>
  </si>
  <si>
    <t>Dan Baerwald</t>
  </si>
  <si>
    <t>https://utrucking.com/admin/orders/5933656670396</t>
  </si>
  <si>
    <t>#16164</t>
  </si>
  <si>
    <t>Yvette Guilford-Perkins</t>
  </si>
  <si>
    <t>San Antonio</t>
  </si>
  <si>
    <t>314-B</t>
  </si>
  <si>
    <t>Lauren Perkins</t>
  </si>
  <si>
    <t>https://utrucking.com/admin/orders/5933699039420</t>
  </si>
  <si>
    <t>#16165</t>
  </si>
  <si>
    <t>Ryan Eom</t>
  </si>
  <si>
    <t>Katy</t>
  </si>
  <si>
    <t>4430</t>
  </si>
  <si>
    <t>https://utrucking.com/admin/orders/5933868679356</t>
  </si>
  <si>
    <t>#16166</t>
  </si>
  <si>
    <t>c.vidushi@wustl.edu</t>
  </si>
  <si>
    <t>Souri Challa</t>
  </si>
  <si>
    <t>Hyderabad</t>
  </si>
  <si>
    <t>Telangana</t>
  </si>
  <si>
    <t>2000</t>
  </si>
  <si>
    <t>12th</t>
  </si>
  <si>
    <t>Eliot A (Thomas Eliot)</t>
  </si>
  <si>
    <t>Vidushi Challa</t>
  </si>
  <si>
    <t>https://utrucking.com/admin/orders/5933871005884</t>
  </si>
  <si>
    <t>#16167</t>
  </si>
  <si>
    <t>John Jannotta</t>
  </si>
  <si>
    <t>https://utrucking.com/admin/orders/5933872939196</t>
  </si>
  <si>
    <t>#16168</t>
  </si>
  <si>
    <t>e.hait@wustl.edu</t>
  </si>
  <si>
    <t>Emma Hait</t>
  </si>
  <si>
    <t>Easton</t>
  </si>
  <si>
    <t>4083-a</t>
  </si>
  <si>
    <t>https://utrucking.com/admin/orders/5933897056444</t>
  </si>
  <si>
    <t>#16169</t>
  </si>
  <si>
    <t>a.chen1@wustl.edu</t>
  </si>
  <si>
    <t>Song Chen</t>
  </si>
  <si>
    <t>Cordova</t>
  </si>
  <si>
    <t>Angela chen</t>
  </si>
  <si>
    <t>https://utrucking.com/admin/orders/5933913145532</t>
  </si>
  <si>
    <t>#16170</t>
  </si>
  <si>
    <t>a.r.victor@wustl.edu</t>
  </si>
  <si>
    <t>Adin Victor</t>
  </si>
  <si>
    <t>https://utrucking.com/admin/orders/5933926809788</t>
  </si>
  <si>
    <t>#16171</t>
  </si>
  <si>
    <t>Grazia Violone</t>
  </si>
  <si>
    <t>3160 b</t>
  </si>
  <si>
    <t>Luca Violone</t>
  </si>
  <si>
    <t>https://utrucking.com/admin/orders/5933989232828</t>
  </si>
  <si>
    <t>#16172</t>
  </si>
  <si>
    <t>jeffrey.innocentlucifer@gmail.com</t>
  </si>
  <si>
    <t>1 314-740-7363</t>
  </si>
  <si>
    <t>RUIFU CHEN</t>
  </si>
  <si>
    <t>25 North Central Ave #413 Clayton MO 63105</t>
  </si>
  <si>
    <t>Jeffrey Chen</t>
  </si>
  <si>
    <t>https://utrucking.com/admin/orders/5934026588348</t>
  </si>
  <si>
    <t>#16173</t>
  </si>
  <si>
    <t>10:25a - 5:00pm</t>
  </si>
  <si>
    <t xml:space="preserve">8/7/25
10:25a - 5:00p
2 movers
Rearranged furniture in House 2 common room
Rearranged lobbies/lounges in Lee &amp; Beaumont
Rearranged furniture in Greenway
Moved furniture to and from MB1 storage
</t>
  </si>
  <si>
    <t>https://admin.shopify.com/store/utrucking/orders/5934055063740</t>
  </si>
  <si>
    <t>#16174</t>
  </si>
  <si>
    <t>a.m.herrera@wustl.edu</t>
  </si>
  <si>
    <t>Annaliese Herrera</t>
  </si>
  <si>
    <t xml:space="preserve">Double-Door Mini Fridge - 
</t>
  </si>
  <si>
    <t>https://utrucking.com/admin/orders/5934104281276</t>
  </si>
  <si>
    <t>#16175</t>
  </si>
  <si>
    <t>Sweetlougq@gmail.com</t>
  </si>
  <si>
    <t>1 201-600-9548</t>
  </si>
  <si>
    <t>Louis Quartararo</t>
  </si>
  <si>
    <t>Wyckoff</t>
  </si>
  <si>
    <t>124a</t>
  </si>
  <si>
    <t xml:space="preserve">513 Clinton Ave, Wyckoff NJ 07481  </t>
  </si>
  <si>
    <t>https://utrucking.com/admin/orders/5934197375164</t>
  </si>
  <si>
    <t>#16176</t>
  </si>
  <si>
    <t>page.s@wustl.edu</t>
  </si>
  <si>
    <t>Scarlett Page</t>
  </si>
  <si>
    <t xml:space="preserve"> Standard Mini Fridge + Microwave   - </t>
  </si>
  <si>
    <t>https://utrucking.com/admin/orders/5934199701692</t>
  </si>
  <si>
    <t>#16177</t>
  </si>
  <si>
    <t>Corina Jones</t>
  </si>
  <si>
    <t>Coco Jones</t>
  </si>
  <si>
    <t>https://utrucking.com/admin/orders/5934204846268</t>
  </si>
  <si>
    <t>#16178</t>
  </si>
  <si>
    <t>Nikki Ma</t>
  </si>
  <si>
    <t>472</t>
  </si>
  <si>
    <t>https://utrucking.com/admin/orders/5934209695932</t>
  </si>
  <si>
    <t>#16179</t>
  </si>
  <si>
    <t>Sam Modlinger</t>
  </si>
  <si>
    <t>6127 Waterman Boulevard</t>
  </si>
  <si>
    <t>https://utrucking.com/admin/orders/5934212251836</t>
  </si>
  <si>
    <t>#16180</t>
  </si>
  <si>
    <t>fosterrice.sylvia@gmail.com</t>
  </si>
  <si>
    <t>https://utrucking.com/admin/orders/5934227357884</t>
  </si>
  <si>
    <t>#16181</t>
  </si>
  <si>
    <t>a.e.ramos@wustl.edu</t>
  </si>
  <si>
    <t>Anaelda Ramos</t>
  </si>
  <si>
    <t>Pharr</t>
  </si>
  <si>
    <t>78577-6627</t>
  </si>
  <si>
    <t>117-B</t>
  </si>
  <si>
    <t>https://utrucking.com/admin/orders/5934235648188</t>
  </si>
  <si>
    <t>#16182</t>
  </si>
  <si>
    <t>collin.k@wustl.edu</t>
  </si>
  <si>
    <t>Collin Kim</t>
  </si>
  <si>
    <t>605 Leland Ave Apt. 401, St. Louis, MO 63130</t>
  </si>
  <si>
    <t>La Crescenta-Montrose</t>
  </si>
  <si>
    <t>https://utrucking.com/admin/orders/5934423867580</t>
  </si>
  <si>
    <t>#16183</t>
  </si>
  <si>
    <t>Keith Damiani</t>
  </si>
  <si>
    <t>Charlottesville</t>
  </si>
  <si>
    <t>421 b</t>
  </si>
  <si>
    <t xml:space="preserve">Gabriel Damiani </t>
  </si>
  <si>
    <t>https://utrucking.com/admin/orders/5934435631292</t>
  </si>
  <si>
    <t>#16184</t>
  </si>
  <si>
    <t>Shannon Quisenberry</t>
  </si>
  <si>
    <t>3064 a</t>
  </si>
  <si>
    <t>Juliet Quisenberry</t>
  </si>
  <si>
    <t>https://utrucking.com/admin/orders/5934480752828</t>
  </si>
  <si>
    <t>#16185</t>
  </si>
  <si>
    <t>lilybrecknock23@gmail.com</t>
  </si>
  <si>
    <t>Lily Brecknock</t>
  </si>
  <si>
    <t>Oak Park</t>
  </si>
  <si>
    <t>3324</t>
  </si>
  <si>
    <t>https://utrucking.com/admin/orders/5934483144892</t>
  </si>
  <si>
    <t>#16186</t>
  </si>
  <si>
    <t>Lauren Klein</t>
  </si>
  <si>
    <t>Baltimore</t>
  </si>
  <si>
    <t>1E-B</t>
  </si>
  <si>
    <t xml:space="preserve">6645 University Drive  </t>
  </si>
  <si>
    <t xml:space="preserve">David Klein </t>
  </si>
  <si>
    <t>https://utrucking.com/admin/orders/5934502903996</t>
  </si>
  <si>
    <t>#16187</t>
  </si>
  <si>
    <t>o.a.yeaman@wustl.edu</t>
  </si>
  <si>
    <t>Oliver Yeaman</t>
  </si>
  <si>
    <t>3371a</t>
  </si>
  <si>
    <t>https://utrucking.com/admin/orders/5934532264124</t>
  </si>
  <si>
    <t>#16188</t>
  </si>
  <si>
    <t>h.c.mcallister@wustl.edu</t>
  </si>
  <si>
    <t>Hayden McAllister</t>
  </si>
  <si>
    <t>Bedford</t>
  </si>
  <si>
    <t>1153</t>
  </si>
  <si>
    <t>https://utrucking.com/admin/orders/5934540587196</t>
  </si>
  <si>
    <t>#16189</t>
  </si>
  <si>
    <t>Tayo Lovick</t>
  </si>
  <si>
    <t>3325</t>
  </si>
  <si>
    <t>https://utrucking.com/admin/orders/5934581383356</t>
  </si>
  <si>
    <t>#16190</t>
  </si>
  <si>
    <t>f.yangtong@wustl.edu</t>
  </si>
  <si>
    <t>Yangtong Feng</t>
  </si>
  <si>
    <t>3034</t>
  </si>
  <si>
    <t>https://utrucking.com/admin/orders/5934640791740</t>
  </si>
  <si>
    <t>#16191</t>
  </si>
  <si>
    <t>Justin Kim</t>
  </si>
  <si>
    <t>3124</t>
  </si>
  <si>
    <t>https://utrucking.com/admin/orders/5934669234364</t>
  </si>
  <si>
    <t>#16192</t>
  </si>
  <si>
    <t>Sojin Lee</t>
  </si>
  <si>
    <t>3318-a</t>
  </si>
  <si>
    <t>Jacqueline Lee</t>
  </si>
  <si>
    <t>https://utrucking.com/admin/orders/5934716485820</t>
  </si>
  <si>
    <t>#16193</t>
  </si>
  <si>
    <t>a.ratchakorn@wustl.edu</t>
  </si>
  <si>
    <t>Ratchakorn Anuvattanaphorn</t>
  </si>
  <si>
    <t>San Rafael</t>
  </si>
  <si>
    <t>Ratchakorn Matthew Anuvattanaphorn</t>
  </si>
  <si>
    <t>https://utrucking.com/admin/orders/5934839955644</t>
  </si>
  <si>
    <t>#16194</t>
  </si>
  <si>
    <t>heidiburak@gmail.com</t>
  </si>
  <si>
    <t>Heidi Burakiewicz</t>
  </si>
  <si>
    <t>303A</t>
  </si>
  <si>
    <t>Addison Burakiewicz</t>
  </si>
  <si>
    <t>https://utrucking.com/admin/orders/5934869610684</t>
  </si>
  <si>
    <t>#16195</t>
  </si>
  <si>
    <t>YE LI</t>
  </si>
  <si>
    <t>https://utrucking.com/admin/orders/5934940291260</t>
  </si>
  <si>
    <t>#16196</t>
  </si>
  <si>
    <t>c.zion@wustl.edu</t>
  </si>
  <si>
    <t>Zion Curb</t>
  </si>
  <si>
    <t>Fort Worth</t>
  </si>
  <si>
    <t>3423 A</t>
  </si>
  <si>
    <t>https://utrucking.com/admin/orders/5935070380220</t>
  </si>
  <si>
    <t>#16197</t>
  </si>
  <si>
    <t>Caleb You</t>
  </si>
  <si>
    <t>https://utrucking.com/admin/orders/5935094005948</t>
  </si>
  <si>
    <t>#16198</t>
  </si>
  <si>
    <t>b.riddhishrree@wustl.edu</t>
  </si>
  <si>
    <t>Riddhishrree Badhan</t>
  </si>
  <si>
    <t>Hillsborough Township</t>
  </si>
  <si>
    <t>https://utrucking.com/admin/orders/5935096594620</t>
  </si>
  <si>
    <t>#16199</t>
  </si>
  <si>
    <t>davidkraut@msn.com</t>
  </si>
  <si>
    <t>David Kraut</t>
  </si>
  <si>
    <t>Montville</t>
  </si>
  <si>
    <t>434-A</t>
  </si>
  <si>
    <t>Matthew Kraut</t>
  </si>
  <si>
    <t>https://utrucking.com/admin/orders/5935181201596</t>
  </si>
  <si>
    <t>#16200</t>
  </si>
  <si>
    <t>sophia.peyser@gmail.com</t>
  </si>
  <si>
    <t>1 305-458-9502</t>
  </si>
  <si>
    <t>Sophia Prada Peyser</t>
  </si>
  <si>
    <t>314 - a</t>
  </si>
  <si>
    <t>https://utrucking.com/admin/orders/5935223636156</t>
  </si>
  <si>
    <t>#16201</t>
  </si>
  <si>
    <t>Jenny Harris</t>
  </si>
  <si>
    <t>Emily faber</t>
  </si>
  <si>
    <t>https://utrucking.com/admin/orders/5935261745340</t>
  </si>
  <si>
    <t>#16202</t>
  </si>
  <si>
    <t>c.mauli@wustl.edu</t>
  </si>
  <si>
    <t>Mauli Chawla</t>
  </si>
  <si>
    <t>https://utrucking.com/admin/orders/5935290876092</t>
  </si>
  <si>
    <t>#16203</t>
  </si>
  <si>
    <t>Mariel Scher</t>
  </si>
  <si>
    <t>Everly on the Loop 
6105 Delmar Blvd, St. Louis, MO 63112</t>
  </si>
  <si>
    <t>https://utrucking.com/admin/orders/5935301329084</t>
  </si>
  <si>
    <t>#16204</t>
  </si>
  <si>
    <t>sean.rule0129@gmail.com</t>
  </si>
  <si>
    <t>Sean Rule</t>
  </si>
  <si>
    <t>New Orleans</t>
  </si>
  <si>
    <t>Louisiana</t>
  </si>
  <si>
    <t>https://utrucking.com/admin/orders/5935330656444</t>
  </si>
  <si>
    <t>#16205</t>
  </si>
  <si>
    <t>michelle draznin</t>
  </si>
  <si>
    <t>Greenwood Village</t>
  </si>
  <si>
    <t>3332</t>
  </si>
  <si>
    <t>Sophia Eison</t>
  </si>
  <si>
    <t>https://utrucking.com/admin/orders/5935387017404</t>
  </si>
  <si>
    <t>#16206</t>
  </si>
  <si>
    <t>Jessica Newman</t>
  </si>
  <si>
    <t>Emi Newman</t>
  </si>
  <si>
    <t>https://utrucking.com/admin/orders/5935402188988</t>
  </si>
  <si>
    <t>#16207</t>
  </si>
  <si>
    <t>macmotz@gmail.com</t>
  </si>
  <si>
    <t>Mac Motz</t>
  </si>
  <si>
    <t>261</t>
  </si>
  <si>
    <t>https://utrucking.com/admin/orders/5935449637052</t>
  </si>
  <si>
    <t>#16208</t>
  </si>
  <si>
    <t>Annie Hlavka</t>
  </si>
  <si>
    <t>https://utrucking.com/admin/orders/5935471034556</t>
  </si>
  <si>
    <t>#16209</t>
  </si>
  <si>
    <t>Helen Tieh</t>
  </si>
  <si>
    <t>1234</t>
  </si>
  <si>
    <t>R. Dehao Tieh</t>
  </si>
  <si>
    <t>https://utrucking.com/admin/orders/5935491973308</t>
  </si>
  <si>
    <t>#16210</t>
  </si>
  <si>
    <t>Kylie Orlando</t>
  </si>
  <si>
    <t>Sitka</t>
  </si>
  <si>
    <t>Alaska</t>
  </si>
  <si>
    <t>1024</t>
  </si>
  <si>
    <t>https://utrucking.com/admin/orders/5935514484924</t>
  </si>
  <si>
    <t>#16211</t>
  </si>
  <si>
    <t>hahaeun.nam@gmail.com</t>
  </si>
  <si>
    <t>Haeun Nam</t>
  </si>
  <si>
    <t>San Jose</t>
  </si>
  <si>
    <t>2209</t>
  </si>
  <si>
    <t>https://utrucking.com/admin/orders/5935543419068</t>
  </si>
  <si>
    <t>#16212</t>
  </si>
  <si>
    <t>b.roshan@wustl.edu</t>
  </si>
  <si>
    <t>Roshan Belani</t>
  </si>
  <si>
    <t>1228-a</t>
  </si>
  <si>
    <t>https://utrucking.com/admin/orders/5935561605308</t>
  </si>
  <si>
    <t>#16213</t>
  </si>
  <si>
    <t>Aaron Reed</t>
  </si>
  <si>
    <t>Hollywood</t>
  </si>
  <si>
    <t>Jocelyn Reed</t>
  </si>
  <si>
    <t>https://utrucking.com/admin/orders/5935615180988</t>
  </si>
  <si>
    <t>#16214</t>
  </si>
  <si>
    <t>https://utrucking.com/admin/orders/5935620423868</t>
  </si>
  <si>
    <t>#16215</t>
  </si>
  <si>
    <t>raul.leal.070805@gmail.com</t>
  </si>
  <si>
    <t>Raul Leal</t>
  </si>
  <si>
    <t>Stanton</t>
  </si>
  <si>
    <t>Village East - 2033 - a</t>
  </si>
  <si>
    <t>https://utrucking.com/admin/orders/5935644246204</t>
  </si>
  <si>
    <t>#16216</t>
  </si>
  <si>
    <t>Balachandra Gaddam</t>
  </si>
  <si>
    <t>Charlotte</t>
  </si>
  <si>
    <t>227</t>
  </si>
  <si>
    <t>Nishanth Gaddam</t>
  </si>
  <si>
    <t>https://utrucking.com/admin/orders/5935684354236</t>
  </si>
  <si>
    <t>#16217</t>
  </si>
  <si>
    <t>ncguyer@gmail.com</t>
  </si>
  <si>
    <t>Nancy Guyer</t>
  </si>
  <si>
    <t>https://utrucking.com/admin/orders/5935686910140</t>
  </si>
  <si>
    <t>#16218</t>
  </si>
  <si>
    <t>Rainer Sieben</t>
  </si>
  <si>
    <t>San Marino</t>
  </si>
  <si>
    <t>4412 -a</t>
  </si>
  <si>
    <t>Jeremy Sieben</t>
  </si>
  <si>
    <t>https://utrucking.com/admin/orders/5935700115644</t>
  </si>
  <si>
    <t>#16219</t>
  </si>
  <si>
    <t>Samia AbouAkar</t>
  </si>
  <si>
    <t>Baton Rouge</t>
  </si>
  <si>
    <t>3315-A</t>
  </si>
  <si>
    <t>https://utrucking.com/admin/orders/5935792816316</t>
  </si>
  <si>
    <t>#16220</t>
  </si>
  <si>
    <t>Zihan Zhou</t>
  </si>
  <si>
    <t>121a</t>
  </si>
  <si>
    <t>https://utrucking.com/admin/orders/5935831187644</t>
  </si>
  <si>
    <t>#16221</t>
  </si>
  <si>
    <t>jmp2012@mac.com</t>
  </si>
  <si>
    <t>Mikell Parsch</t>
  </si>
  <si>
    <t>Crownsville</t>
  </si>
  <si>
    <t>344a</t>
  </si>
  <si>
    <t>Thomas Parsch</t>
  </si>
  <si>
    <t>https://utrucking.com/admin/orders/5935838036156</t>
  </si>
  <si>
    <t>#16222</t>
  </si>
  <si>
    <t>3052a</t>
  </si>
  <si>
    <t>Sabrina Silbert</t>
  </si>
  <si>
    <t>https://utrucking.com/admin/orders/5935886303420</t>
  </si>
  <si>
    <t>#16223</t>
  </si>
  <si>
    <t>burns.k.t@wustl.edu</t>
  </si>
  <si>
    <t>Katherine Burns</t>
  </si>
  <si>
    <t>151</t>
  </si>
  <si>
    <t>https://utrucking.com/admin/orders/5935926214844</t>
  </si>
  <si>
    <t>#16224</t>
  </si>
  <si>
    <t>carrington.s@wustl.edu</t>
  </si>
  <si>
    <t>Taylor Carrington</t>
  </si>
  <si>
    <t>Sally Carrington</t>
  </si>
  <si>
    <t>https://utrucking.com/admin/orders/5935940632764</t>
  </si>
  <si>
    <t>#16225</t>
  </si>
  <si>
    <t>reina1776@gmail.com</t>
  </si>
  <si>
    <t>Julie Hack</t>
  </si>
  <si>
    <t>Plantation</t>
  </si>
  <si>
    <t>3070</t>
  </si>
  <si>
    <t>Kennedy Hack-Juman</t>
  </si>
  <si>
    <t>https://utrucking.com/admin/orders/5935941812412</t>
  </si>
  <si>
    <t>#16226</t>
  </si>
  <si>
    <t>10011-3251</t>
  </si>
  <si>
    <t>https://utrucking.com/admin/orders/5935992766652</t>
  </si>
  <si>
    <t>#16227</t>
  </si>
  <si>
    <t>l.runfeng@wustl.edu</t>
  </si>
  <si>
    <t>Runfeng Liu</t>
  </si>
  <si>
    <t>4033-a</t>
  </si>
  <si>
    <t>Alvin(Runfeng) Liu</t>
  </si>
  <si>
    <t>https://utrucking.com/admin/orders/5936009740476</t>
  </si>
  <si>
    <t>#16228</t>
  </si>
  <si>
    <t>b.j.pennington@wustl.edu</t>
  </si>
  <si>
    <t>Brent Pennington</t>
  </si>
  <si>
    <t>https://utrucking.com/admin/orders/5936037888188</t>
  </si>
  <si>
    <t>#16229</t>
  </si>
  <si>
    <t>Rebecca Shalam</t>
  </si>
  <si>
    <t>3314 b</t>
  </si>
  <si>
    <t>Nathaniel Shalam</t>
  </si>
  <si>
    <t>https://utrucking.com/admin/orders/5936041918652</t>
  </si>
  <si>
    <t>#16230</t>
  </si>
  <si>
    <t>Joshua Warner</t>
  </si>
  <si>
    <t>6309 S Rosebury Ave, Apt 1E, Clayton, MO, 63105</t>
  </si>
  <si>
    <t>https://utrucking.com/admin/orders/5936131178684</t>
  </si>
  <si>
    <t>#16231</t>
  </si>
  <si>
    <t>Emmett Fajgenbaum</t>
  </si>
  <si>
    <t>https://utrucking.com/admin/orders/5936134127804</t>
  </si>
  <si>
    <t>#16232</t>
  </si>
  <si>
    <t>Quentin Wallace</t>
  </si>
  <si>
    <t>Davis</t>
  </si>
  <si>
    <t>https://utrucking.com/admin/orders/5936149266620</t>
  </si>
  <si>
    <t>#16233</t>
  </si>
  <si>
    <t>2233</t>
  </si>
  <si>
    <t>Miles Newman</t>
  </si>
  <si>
    <t>https://utrucking.com/admin/orders/5936179675324</t>
  </si>
  <si>
    <t>#16234</t>
  </si>
  <si>
    <t>9:30am-6:30pm</t>
  </si>
  <si>
    <t>8/8/25
2 movers
moved various items for Kelsey - check email</t>
  </si>
  <si>
    <t>https://utrucking.com/admin/orders/5936184230076</t>
  </si>
  <si>
    <t>#16235</t>
  </si>
  <si>
    <t>9:00am - 3:50pm</t>
  </si>
  <si>
    <t>8/9/25
2 movers
moved various items for Kelsey - check email</t>
  </si>
  <si>
    <t>https://utrucking.com/admin/orders/5936310681788</t>
  </si>
  <si>
    <t>#16236</t>
  </si>
  <si>
    <t>chloenoordehn@gmail.com</t>
  </si>
  <si>
    <t>Chloe dehn</t>
  </si>
  <si>
    <t>Vienna</t>
  </si>
  <si>
    <t>22180-6843</t>
  </si>
  <si>
    <t>3326-a</t>
  </si>
  <si>
    <t>Chloe Dehn</t>
  </si>
  <si>
    <t>https://utrucking.com/admin/orders/5936324182204</t>
  </si>
  <si>
    <t>#16237</t>
  </si>
  <si>
    <t>John Meer</t>
  </si>
  <si>
    <t>012-B</t>
  </si>
  <si>
    <t>Avery Meer</t>
  </si>
  <si>
    <t>https://utrucking.com/admin/orders/5936342335676</t>
  </si>
  <si>
    <t>#16238</t>
  </si>
  <si>
    <t>k.namhun@wustl.edu</t>
  </si>
  <si>
    <t>Namhun Kim</t>
  </si>
  <si>
    <t>6669 Washington Avenue
Apartment 103
St. Louis, MO 63130</t>
  </si>
  <si>
    <t>https://utrucking.com/admin/orders/5936381690044</t>
  </si>
  <si>
    <t>#16239</t>
  </si>
  <si>
    <t>a.g.jacob@wustl.edu</t>
  </si>
  <si>
    <t>Ania Jacob</t>
  </si>
  <si>
    <t>119A</t>
  </si>
  <si>
    <t>https://utrucking.com/admin/orders/5936390176956</t>
  </si>
  <si>
    <t>#16240</t>
  </si>
  <si>
    <t>h.kopel@wustl.edu</t>
  </si>
  <si>
    <t>Hallie Kopel</t>
  </si>
  <si>
    <t>104</t>
  </si>
  <si>
    <t>https://utrucking.com/admin/orders/5936404299964</t>
  </si>
  <si>
    <t>#16241</t>
  </si>
  <si>
    <t>Jaime Ortiz</t>
  </si>
  <si>
    <t>Diego</t>
  </si>
  <si>
    <t>https://utrucking.com/admin/orders/5936419799228</t>
  </si>
  <si>
    <t>#16242</t>
  </si>
  <si>
    <t>chiu.t@wustl.edu</t>
  </si>
  <si>
    <t>Patricia Choi</t>
  </si>
  <si>
    <t>Old Tappan</t>
  </si>
  <si>
    <t>Tyler Chiu</t>
  </si>
  <si>
    <t>https://utrucking.com/admin/orders/5936446734524</t>
  </si>
  <si>
    <t>#16243</t>
  </si>
  <si>
    <t>cp8586@gmail.com</t>
  </si>
  <si>
    <t>Catherine Watkins</t>
  </si>
  <si>
    <t>Gates Mills</t>
  </si>
  <si>
    <t>Peter Watkins</t>
  </si>
  <si>
    <t>https://utrucking.com/admin/orders/5936474652860</t>
  </si>
  <si>
    <t>#16244</t>
  </si>
  <si>
    <t>Kiran Banoor</t>
  </si>
  <si>
    <t>FRISCO</t>
  </si>
  <si>
    <t>0700</t>
  </si>
  <si>
    <t>Aarush Banoor</t>
  </si>
  <si>
    <t>https://utrucking.com/admin/orders/5936521773244</t>
  </si>
  <si>
    <t>#16245</t>
  </si>
  <si>
    <t>Ellen Goldsmith-Vein</t>
  </si>
  <si>
    <t>Rancho Palos Verdes</t>
  </si>
  <si>
    <t>6669 Washington Avenue</t>
  </si>
  <si>
    <t>Jack Vein</t>
  </si>
  <si>
    <t>https://utrucking.com/admin/orders/5936527048892</t>
  </si>
  <si>
    <t>#16246</t>
  </si>
  <si>
    <t>Karen Wilson</t>
  </si>
  <si>
    <t>Grant Wilson</t>
  </si>
  <si>
    <t>https://utrucking.com/admin/orders/5936542810300</t>
  </si>
  <si>
    <t>#16247</t>
  </si>
  <si>
    <t>ETHAN CHUNG</t>
  </si>
  <si>
    <t>Chesterbrook</t>
  </si>
  <si>
    <t>Ethan Chung</t>
  </si>
  <si>
    <t>https://utrucking.com/admin/orders/5936660709564</t>
  </si>
  <si>
    <t>#16248</t>
  </si>
  <si>
    <t>kdhhafs@gmail.com</t>
  </si>
  <si>
    <t>Jaewon Lee</t>
  </si>
  <si>
    <t>https://utrucking.com/admin/orders/5936860954812</t>
  </si>
  <si>
    <t>#16249</t>
  </si>
  <si>
    <t xml:space="preserve">5942 McPherson Avenue </t>
  </si>
  <si>
    <t>Ava Silverstein</t>
  </si>
  <si>
    <t>5942 McPherson Ave</t>
  </si>
  <si>
    <t xml:space="preserve">32 Forest Drive, 
Port Washington, NY 11050  </t>
  </si>
  <si>
    <t>https://utrucking.com/admin/orders/5936930881724</t>
  </si>
  <si>
    <t>#16250</t>
  </si>
  <si>
    <t>Kendra Close</t>
  </si>
  <si>
    <t>745 Westgate Ave</t>
  </si>
  <si>
    <t>Hyde Park</t>
  </si>
  <si>
    <t>Quinn Close</t>
  </si>
  <si>
    <t>https://utrucking.com/admin/orders/5936968138940</t>
  </si>
  <si>
    <t>#16251</t>
  </si>
  <si>
    <t>Charles Maxell III</t>
  </si>
  <si>
    <t>https://utrucking.com/admin/orders/5936996188348</t>
  </si>
  <si>
    <t>#16252</t>
  </si>
  <si>
    <t>debbiekahn23@gmail.com</t>
  </si>
  <si>
    <t>Debra Kahn</t>
  </si>
  <si>
    <t>Julia Kahn</t>
  </si>
  <si>
    <t>https://utrucking.com/admin/orders/5937012441276</t>
  </si>
  <si>
    <t>#16253</t>
  </si>
  <si>
    <t>ygaguirre13@gmail.com</t>
  </si>
  <si>
    <t>Yesenia Aguirre</t>
  </si>
  <si>
    <t>4003-a</t>
  </si>
  <si>
    <t>https://utrucking.com/admin/orders/5937032855740</t>
  </si>
  <si>
    <t>#16254</t>
  </si>
  <si>
    <t>howard.y@wustl.edu</t>
  </si>
  <si>
    <t>Howard Yu</t>
  </si>
  <si>
    <t>1012-a</t>
  </si>
  <si>
    <t>https://utrucking.com/admin/orders/5937034625212</t>
  </si>
  <si>
    <t>#16255</t>
  </si>
  <si>
    <t>Chesterfield</t>
  </si>
  <si>
    <t>16712 Chesterfield Farms Drive, Chesterfield MO 63005</t>
  </si>
  <si>
    <t xml:space="preserve">Labor only job. Bring ratchet straps and moving blankets. Customer has a 26' enterprise truck. They will drive the truck out of state and return the straps and moving blankets to warehouse. Track time on move and how many guys. Adam will bill with Ahmed. </t>
  </si>
  <si>
    <t xml:space="preserve">Adam Mofid </t>
  </si>
  <si>
    <t>https://utrucking.com/admin/orders/5937056448700</t>
  </si>
  <si>
    <t>#16256</t>
  </si>
  <si>
    <t>cheng.li1@wustl.edu</t>
  </si>
  <si>
    <t>Cheng Li</t>
  </si>
  <si>
    <t>6652 Washington, Apt. A6</t>
  </si>
  <si>
    <t xml:space="preserve">Cheng Li </t>
  </si>
  <si>
    <t>https://utrucking.com/admin/orders/5937078862012</t>
  </si>
  <si>
    <t>#16257</t>
  </si>
  <si>
    <t>Cordell Eddings</t>
  </si>
  <si>
    <t>https://utrucking.com/admin/orders/5937123786940</t>
  </si>
  <si>
    <t>#16258</t>
  </si>
  <si>
    <t>c.a.pavlides@wustl.edu</t>
  </si>
  <si>
    <t>Claire Pavlides</t>
  </si>
  <si>
    <t>Jackson Heights</t>
  </si>
  <si>
    <t>General Moving Services</t>
  </si>
  <si>
    <t xml:space="preserve"> 0 Residential Apartment  - </t>
  </si>
  <si>
    <t xml:space="preserve">  6805 Washington Avenue, #1E University City MO 63130</t>
  </si>
  <si>
    <t xml:space="preserve"> 730 Heman Avenue, #2N University City MO 63130 </t>
  </si>
  <si>
    <t>I only need to move a few pieces of furniture: one full bed, one dresser, one desk, one wooden chair, one nightstand, and a two-cushion couch. I’m currently out of town, so a friend will let the movers into my current place, and my subletter will meet them at the new place. I can provide their contact information if needed. Please note that they will only be available starting at 4:00 PM.</t>
  </si>
  <si>
    <t xml:space="preserve"> Claire Pavlides</t>
  </si>
  <si>
    <t>https://utrucking.com/admin/orders/5937162289340</t>
  </si>
  <si>
    <t>#16259</t>
  </si>
  <si>
    <t>josh todes</t>
  </si>
  <si>
    <t>https://utrucking.com/admin/orders/5937169629372</t>
  </si>
  <si>
    <t>#16260</t>
  </si>
  <si>
    <t>mcmurtrie@wustl.edu</t>
  </si>
  <si>
    <t>Leah Mahan</t>
  </si>
  <si>
    <t>Albany</t>
  </si>
  <si>
    <t>Lee - 121 - b</t>
  </si>
  <si>
    <t>Owen McMurtrie</t>
  </si>
  <si>
    <t>https://utrucking.com/admin/orders/5937174577340</t>
  </si>
  <si>
    <t>#16261</t>
  </si>
  <si>
    <t>m.e.raue@wustl.edu</t>
  </si>
  <si>
    <t>https://utrucking.com/admin/orders/5937175625916</t>
  </si>
  <si>
    <t>#16262</t>
  </si>
  <si>
    <t>beaulieu@wustl.edu</t>
  </si>
  <si>
    <t>Noel Beaulieu</t>
  </si>
  <si>
    <t>138-A-a</t>
  </si>
  <si>
    <t>https://utrucking.com/admin/orders/5937197908156</t>
  </si>
  <si>
    <t>#16263</t>
  </si>
  <si>
    <t>s.n.witt@wustl.edu</t>
  </si>
  <si>
    <t>Samantha Witt</t>
  </si>
  <si>
    <t>723 Interdrive, Apartment #2, University City, MO 63130</t>
  </si>
  <si>
    <t>Bedminster</t>
  </si>
  <si>
    <t>https://utrucking.com/admin/orders/5937224188092</t>
  </si>
  <si>
    <t>#16264</t>
  </si>
  <si>
    <t>fionamadeleinebell@gmail.com</t>
  </si>
  <si>
    <t>Fiona Bell</t>
  </si>
  <si>
    <t>ST. LOUIS</t>
  </si>
  <si>
    <t>206 B</t>
  </si>
  <si>
    <t>https://utrucking.com/admin/orders/5937274355900</t>
  </si>
  <si>
    <t>#16265</t>
  </si>
  <si>
    <t>Raj Sugavanam</t>
  </si>
  <si>
    <t>114</t>
  </si>
  <si>
    <t xml:space="preserve">7777 Starlight Drive
La Jolla, CA, 92037  </t>
  </si>
  <si>
    <t>https://utrucking.com/admin/orders/5937344872636</t>
  </si>
  <si>
    <t>#16266</t>
  </si>
  <si>
    <t>brian6.h.sung@gmail.com</t>
  </si>
  <si>
    <t>Suyeon Choi</t>
  </si>
  <si>
    <t>2092 a</t>
  </si>
  <si>
    <t>Hojoon Sung</t>
  </si>
  <si>
    <t>https://utrucking.com/admin/orders/5937456087228</t>
  </si>
  <si>
    <t>#16267</t>
  </si>
  <si>
    <t>Christine Sterne</t>
  </si>
  <si>
    <t>Decatur</t>
  </si>
  <si>
    <t>242a</t>
  </si>
  <si>
    <t>Eleanor Sterne</t>
  </si>
  <si>
    <t>https://utrucking.com/admin/orders/5937583227068</t>
  </si>
  <si>
    <t>#16268</t>
  </si>
  <si>
    <t>willrothstein@gmail.com</t>
  </si>
  <si>
    <t>1 310-415-0928</t>
  </si>
  <si>
    <t>Alain Rothstein</t>
  </si>
  <si>
    <t>Kentfield</t>
  </si>
  <si>
    <t>3302 - a</t>
  </si>
  <si>
    <t>Will Rothstein</t>
  </si>
  <si>
    <t>https://admin.shopify.com/store/utrucking/orders/5937637720252?link_source=search</t>
  </si>
  <si>
    <t>#16269</t>
  </si>
  <si>
    <t>b.zia@wustl.edu</t>
  </si>
  <si>
    <t>86 135 0717 2225</t>
  </si>
  <si>
    <t>Zia Barfuss--Liao</t>
  </si>
  <si>
    <t>Linjiangdadao No.68</t>
  </si>
  <si>
    <t>Wuhan</t>
  </si>
  <si>
    <t>Hubei</t>
  </si>
  <si>
    <t>1033 - a</t>
  </si>
  <si>
    <t>https://utrucking.com/admin/orders/5937638473916</t>
  </si>
  <si>
    <t>#16270</t>
  </si>
  <si>
    <t>andreaelisagabriel@gmail.com</t>
  </si>
  <si>
    <t>Ryan Gabriel</t>
  </si>
  <si>
    <t>390</t>
  </si>
  <si>
    <t>Andrea Gabriel</t>
  </si>
  <si>
    <t>https://utrucking.com/admin/orders/5937666851004</t>
  </si>
  <si>
    <t>#16271</t>
  </si>
  <si>
    <t>kirabjoe@gmail.com</t>
  </si>
  <si>
    <t>Kira Joe</t>
  </si>
  <si>
    <t>6105 Delmar Blvd — Apartment 710</t>
  </si>
  <si>
    <t>https://utrucking.com/admin/orders/5937673568444</t>
  </si>
  <si>
    <t>#16272</t>
  </si>
  <si>
    <t>c.coffey@wustl.edu</t>
  </si>
  <si>
    <t>Caroline Coffey</t>
  </si>
  <si>
    <t xml:space="preserve">6607 University Drive  </t>
  </si>
  <si>
    <t>https://utrucking.com/admin/orders/5937684480188</t>
  </si>
  <si>
    <t>#16273</t>
  </si>
  <si>
    <t>cslee62567@gmail.com</t>
  </si>
  <si>
    <t>1 770-990-5513</t>
  </si>
  <si>
    <t>Bennett Lee</t>
  </si>
  <si>
    <t>Soeun Lee</t>
  </si>
  <si>
    <t>https://utrucking.com/admin/orders/5937711972540</t>
  </si>
  <si>
    <t>#16274</t>
  </si>
  <si>
    <t>8:30am - 5:45pm</t>
  </si>
  <si>
    <t>8/11/25
3 movers from 8:30a - 4pm
2 movers from 4pm - 5:45pm
Various items for Kelsey - check email</t>
  </si>
  <si>
    <t>https://utrucking.com/admin/orders/5937713512636</t>
  </si>
  <si>
    <t>#16275</t>
  </si>
  <si>
    <t>f.e.schneider@wustl.edu</t>
  </si>
  <si>
    <t>Fay Schneider</t>
  </si>
  <si>
    <t>1112-a</t>
  </si>
  <si>
    <t>https://utrucking.com/admin/orders/5937749033148</t>
  </si>
  <si>
    <t>#16276</t>
  </si>
  <si>
    <t>yingjia@wustl.edu</t>
  </si>
  <si>
    <t>Yingjia Wang</t>
  </si>
  <si>
    <t>Linda Wang</t>
  </si>
  <si>
    <t>https://utrucking.com/admin/orders/5937827315900</t>
  </si>
  <si>
    <t>#16277</t>
  </si>
  <si>
    <t>Jongho Kim</t>
  </si>
  <si>
    <t>Stevenson Ranch</t>
  </si>
  <si>
    <t>Sarah Kim</t>
  </si>
  <si>
    <t>https://utrucking.com/admin/orders/5937918083260</t>
  </si>
  <si>
    <t>#16278</t>
  </si>
  <si>
    <t xml:space="preserve"> 3   - University</t>
  </si>
  <si>
    <t>Flexible</t>
  </si>
  <si>
    <t>Please deliver 3 kits to Kamara Sakho. University paying—requested by Britne who Kelsey referred us to.</t>
  </si>
  <si>
    <t xml:space="preserve">Britne Amick </t>
  </si>
  <si>
    <t>https://utrucking.com/admin/orders/5937929552060</t>
  </si>
  <si>
    <t>#16279</t>
  </si>
  <si>
    <t>lin.yujie@wustl.edu</t>
  </si>
  <si>
    <t>Yujie Lin</t>
  </si>
  <si>
    <t>1316 McCausland Avenue St Louis 63117</t>
  </si>
  <si>
    <t>Contact: Mark Bethel | (312) 952-3233</t>
  </si>
  <si>
    <t>https://utrucking.com/admin/orders/5938082152636</t>
  </si>
  <si>
    <t>#16280</t>
  </si>
  <si>
    <t>maame12darkwah12@gmail.com</t>
  </si>
  <si>
    <t>Maame Akua Abire Darkwah</t>
  </si>
  <si>
    <t>1N-A</t>
  </si>
  <si>
    <t>6057 Waterman Ave</t>
  </si>
  <si>
    <t>https://utrucking.com/admin/orders/5938211193020</t>
  </si>
  <si>
    <t>#16281</t>
  </si>
  <si>
    <t>cheong.d@wustl.edu</t>
  </si>
  <si>
    <t>Danielle Cheong</t>
  </si>
  <si>
    <t>McLean</t>
  </si>
  <si>
    <t>3021 - a</t>
  </si>
  <si>
    <t xml:space="preserve">Danielle Cheong </t>
  </si>
  <si>
    <t>https://utrucking.com/admin/orders/5938214764732</t>
  </si>
  <si>
    <t>#16282</t>
  </si>
  <si>
    <t>ajohnson987634@wustl.edu</t>
  </si>
  <si>
    <t>Amar Johnson</t>
  </si>
  <si>
    <t>Washington D.C.</t>
  </si>
  <si>
    <t>https://utrucking.com/admin/orders/5938365890748</t>
  </si>
  <si>
    <t>#16283</t>
  </si>
  <si>
    <t>awesomeandepictom9872@gmail.com</t>
  </si>
  <si>
    <t>Youngtak 서영탁</t>
  </si>
  <si>
    <t>West Bloomfield</t>
  </si>
  <si>
    <t>Youngtak Seo</t>
  </si>
  <si>
    <t>https://utrucking.com/admin/orders/5938380734652</t>
  </si>
  <si>
    <t>#16284</t>
  </si>
  <si>
    <t>julieanneweiss@me.com</t>
  </si>
  <si>
    <t>Julie Weiss</t>
  </si>
  <si>
    <t xml:space="preserve">203B - a </t>
  </si>
  <si>
    <t xml:space="preserve">Ella Weiss </t>
  </si>
  <si>
    <t>https://utrucking.com/admin/orders/5938539004092</t>
  </si>
  <si>
    <t>#16285</t>
  </si>
  <si>
    <t>kelly@diattorney.com</t>
  </si>
  <si>
    <t>Kelly Dell</t>
  </si>
  <si>
    <t>160a</t>
  </si>
  <si>
    <t>https://utrucking.com/admin/orders/5938793775292</t>
  </si>
  <si>
    <t>#16286</t>
  </si>
  <si>
    <t>hudsonlee2024@gmail.com</t>
  </si>
  <si>
    <t>Jiyun Kim</t>
  </si>
  <si>
    <t>282B</t>
  </si>
  <si>
    <t>Hudson Lee</t>
  </si>
  <si>
    <t>https://utrucking.com/admin/orders/5938848202940</t>
  </si>
  <si>
    <t>#16287</t>
  </si>
  <si>
    <t>3:00 PM</t>
  </si>
  <si>
    <t>Delivering Kamara Sakho's boxes from his dorm room in Gregg (3020) to 5118 Waterman BIvd,
Second Floor, Apt.200 on the right</t>
  </si>
  <si>
    <t>https://utrucking.com/admin/orders/5938879332540</t>
  </si>
  <si>
    <t>#16288</t>
  </si>
  <si>
    <t>e.j.zimmerman@wustl.edu</t>
  </si>
  <si>
    <t>Eric Zimmerman</t>
  </si>
  <si>
    <t>101C</t>
  </si>
  <si>
    <t>https://utrucking.com/admin/orders/5938976719036</t>
  </si>
  <si>
    <t>#16289</t>
  </si>
  <si>
    <t>ngreen0708@gmail.com</t>
  </si>
  <si>
    <t>Natalie Green</t>
  </si>
  <si>
    <t>Fanwood</t>
  </si>
  <si>
    <t>116B-a</t>
  </si>
  <si>
    <t>https://utrucking.com/admin/orders/5939001032892</t>
  </si>
  <si>
    <t>#16290</t>
  </si>
  <si>
    <t>Marcy Cheifetz</t>
  </si>
  <si>
    <t>116A</t>
  </si>
  <si>
    <t>Daniel Cheifetz</t>
  </si>
  <si>
    <t>https://utrucking.com/admin/orders/5939044024508</t>
  </si>
  <si>
    <t>#16291</t>
  </si>
  <si>
    <t>g.tobey@wustl.edu</t>
  </si>
  <si>
    <t>Tobey Giat</t>
  </si>
  <si>
    <t>East Hanover</t>
  </si>
  <si>
    <t>1014</t>
  </si>
  <si>
    <t>https://utrucking.com/admin/orders/5939046154428</t>
  </si>
  <si>
    <t>#16292</t>
  </si>
  <si>
    <t>kaiskaz@sbcglobal.net</t>
  </si>
  <si>
    <t>Monica Kazmier</t>
  </si>
  <si>
    <t>303</t>
  </si>
  <si>
    <t>Leo Kazmier Kaiser</t>
  </si>
  <si>
    <t>https://utrucking.com/admin/orders/5939049627836</t>
  </si>
  <si>
    <t>#16293</t>
  </si>
  <si>
    <t>kjjs777@gmail.com</t>
  </si>
  <si>
    <t>Keyin Choi</t>
  </si>
  <si>
    <t>Manhasset</t>
  </si>
  <si>
    <t>4422</t>
  </si>
  <si>
    <t>Jonas Kim</t>
  </si>
  <si>
    <t>https://utrucking.com/admin/orders/5939119227068</t>
  </si>
  <si>
    <t>#16294</t>
  </si>
  <si>
    <t>ingrid.nixon@gmail.com</t>
  </si>
  <si>
    <t>Ingrid Nixon</t>
  </si>
  <si>
    <t>2033</t>
  </si>
  <si>
    <t>Gianna Nixon</t>
  </si>
  <si>
    <t>https://utrucking.com/admin/orders/5939136954556</t>
  </si>
  <si>
    <t>#16295</t>
  </si>
  <si>
    <t>Karla Tiscareno</t>
  </si>
  <si>
    <t>Santa Ana</t>
  </si>
  <si>
    <t>2122</t>
  </si>
  <si>
    <t>https://utrucking.com/admin/orders/5939157532860</t>
  </si>
  <si>
    <t>#16296</t>
  </si>
  <si>
    <t>Kristen Santos</t>
  </si>
  <si>
    <t>Turlock</t>
  </si>
  <si>
    <t>0304</t>
  </si>
  <si>
    <t>Theodore Santos</t>
  </si>
  <si>
    <t>https://utrucking.com/admin/orders/5939183681724</t>
  </si>
  <si>
    <t>#16297</t>
  </si>
  <si>
    <t>megkholling@gmail.com</t>
  </si>
  <si>
    <t>Laura Hollingsworth</t>
  </si>
  <si>
    <t>B - 2C - a</t>
  </si>
  <si>
    <t>Jack Hollingsworth</t>
  </si>
  <si>
    <t>https://utrucking.com/admin/orders/5939197280444</t>
  </si>
  <si>
    <t>#16298</t>
  </si>
  <si>
    <t>khy06541@gmail.com</t>
  </si>
  <si>
    <t>Hayoon Kim</t>
  </si>
  <si>
    <t>Ithaca</t>
  </si>
  <si>
    <t>2090</t>
  </si>
  <si>
    <t xml:space="preserve">Hayoon Kim </t>
  </si>
  <si>
    <t>https://utrucking.com/admin/orders/5939245416636</t>
  </si>
  <si>
    <t>#16299</t>
  </si>
  <si>
    <t>a.blen@wustl.edu</t>
  </si>
  <si>
    <t>Blen Abebe</t>
  </si>
  <si>
    <t>221 - a</t>
  </si>
  <si>
    <t xml:space="preserve">6310 Dumfries Drive Apt 241, Houston Texas, 77096  </t>
  </si>
  <si>
    <t>https://utrucking.com/admin/orders/5939254984892</t>
  </si>
  <si>
    <t>#16300</t>
  </si>
  <si>
    <t>amygoebel@yahoo.com</t>
  </si>
  <si>
    <t>Caroline Goebel</t>
  </si>
  <si>
    <t>https://utrucking.com/admin/orders/5939314753724</t>
  </si>
  <si>
    <t>#16301</t>
  </si>
  <si>
    <t>j.d.vein@wustl.edu</t>
  </si>
  <si>
    <t>6669 Washington Avenue
Apartment 102</t>
  </si>
  <si>
    <t>https://utrucking.com/admin/orders/5939324813500</t>
  </si>
  <si>
    <t>#16302</t>
  </si>
  <si>
    <t>cecilia.c.heath@gmail.com</t>
  </si>
  <si>
    <t>Marian Heath</t>
  </si>
  <si>
    <t>Ceci Heath</t>
  </si>
  <si>
    <t>https://utrucking.com/admin/orders/5939433603260</t>
  </si>
  <si>
    <t>#16303</t>
  </si>
  <si>
    <t>tigastyle1928@gmail.com</t>
  </si>
  <si>
    <t>Tiger Lu</t>
  </si>
  <si>
    <t>726 Westgate Ave, APT 1N</t>
  </si>
  <si>
    <t>Tiger J W Lu</t>
  </si>
  <si>
    <t>https://utrucking.com/admin/orders/5939552714940</t>
  </si>
  <si>
    <t>#16304</t>
  </si>
  <si>
    <t>hanwen.zhao@wustl.edu</t>
  </si>
  <si>
    <t>Richard Zhao</t>
  </si>
  <si>
    <t>115-a</t>
  </si>
  <si>
    <t>https://utrucking.com/admin/orders/5939678576828</t>
  </si>
  <si>
    <t>#16305</t>
  </si>
  <si>
    <t>Hoda Ibrahim</t>
  </si>
  <si>
    <t>Sunny Isles Beach</t>
  </si>
  <si>
    <t>Nour Abou Shousha</t>
  </si>
  <si>
    <t>https://utrucking.com/admin/orders/5939690111164</t>
  </si>
  <si>
    <t>#16306</t>
  </si>
  <si>
    <t>Suxin Chen</t>
  </si>
  <si>
    <t>Pak Seng Li</t>
  </si>
  <si>
    <t>https://utrucking.com/admin/orders/5939734184124</t>
  </si>
  <si>
    <t>#16307</t>
  </si>
  <si>
    <t>m.sohn@wustl.edu</t>
  </si>
  <si>
    <t>https://utrucking.com/admin/orders/5939742015676</t>
  </si>
  <si>
    <t>#16308</t>
  </si>
  <si>
    <t>ohhnahyun@gmail.com</t>
  </si>
  <si>
    <t>Sophia Park</t>
  </si>
  <si>
    <t>https://utrucking.com/admin/orders/5939801751740</t>
  </si>
  <si>
    <t>#16309</t>
  </si>
  <si>
    <t>Qihan Wang</t>
  </si>
  <si>
    <t>313-A</t>
  </si>
  <si>
    <t>https://utrucking.com/admin/orders/5939995934908</t>
  </si>
  <si>
    <t>#16310</t>
  </si>
  <si>
    <t>kennedyb@wustl.edu</t>
  </si>
  <si>
    <t>Eleanor Brown</t>
  </si>
  <si>
    <t>Kennedy Brown</t>
  </si>
  <si>
    <t>https://utrucking.com/admin/orders/5940076052668</t>
  </si>
  <si>
    <t>#16311</t>
  </si>
  <si>
    <t>Charlottejordangreen@gmail.com</t>
  </si>
  <si>
    <t>Charlotte Green</t>
  </si>
  <si>
    <t>3112a</t>
  </si>
  <si>
    <t>https://utrucking.com/admin/orders/5940142702780</t>
  </si>
  <si>
    <t>#16312</t>
  </si>
  <si>
    <t>poeschels@comcast.net</t>
  </si>
  <si>
    <t>Linda Poeschel</t>
  </si>
  <si>
    <t>Downers Grove</t>
  </si>
  <si>
    <t>2290-a</t>
  </si>
  <si>
    <t>Josh Poeschel</t>
  </si>
  <si>
    <t>https://utrucking.com/admin/orders/5940161183932</t>
  </si>
  <si>
    <t>#16313</t>
  </si>
  <si>
    <t>hu.w.b@wustl.edu</t>
  </si>
  <si>
    <t>William Hu</t>
  </si>
  <si>
    <t xml:space="preserve"> 1 [Included with Registration] / Included Insurance   - </t>
  </si>
  <si>
    <t>274</t>
  </si>
  <si>
    <t>https://utrucking.com/admin/orders/5940171505852</t>
  </si>
  <si>
    <t>#16314</t>
  </si>
  <si>
    <t>salehsa329@gmail.com</t>
  </si>
  <si>
    <t>Samira Saleh</t>
  </si>
  <si>
    <t>https://utrucking.com/admin/orders/5940189429948</t>
  </si>
  <si>
    <t>#16315</t>
  </si>
  <si>
    <t>Tessa Siminou</t>
  </si>
  <si>
    <t>299 DeBaliviere Ave
Apt #S322
St. Louis, MO 63112</t>
  </si>
  <si>
    <t>https://utrucking.com/admin/orders/5940192870588</t>
  </si>
  <si>
    <t>#16316</t>
  </si>
  <si>
    <t>o.omotunde@wustl.edu</t>
  </si>
  <si>
    <t>Precious Oyende</t>
  </si>
  <si>
    <t>https://utrucking.com/admin/orders/5940231864508</t>
  </si>
  <si>
    <t>#16317</t>
  </si>
  <si>
    <t>Kimberly Haley-Coleman</t>
  </si>
  <si>
    <t>DALLAS</t>
  </si>
  <si>
    <t>2nd floor not sure room#</t>
  </si>
  <si>
    <t>Margaret May Coleman</t>
  </si>
  <si>
    <t>https://utrucking.com/admin/orders/5940265189564</t>
  </si>
  <si>
    <t>#16318</t>
  </si>
  <si>
    <t>ismichaelx@outlook.com</t>
  </si>
  <si>
    <t>Jinde Xi</t>
  </si>
  <si>
    <t>2043/2040</t>
  </si>
  <si>
    <t>https://utrucking.com/admin/orders/5940357497020</t>
  </si>
  <si>
    <t>#16319</t>
  </si>
  <si>
    <t>Sathish Venkatachalem</t>
  </si>
  <si>
    <t>Warr Acres</t>
  </si>
  <si>
    <t>Oklahoma</t>
  </si>
  <si>
    <t>2229</t>
  </si>
  <si>
    <t>Mithul Sathish</t>
  </si>
  <si>
    <t>https://utrucking.com/admin/orders/5940378173628</t>
  </si>
  <si>
    <t>#16320</t>
  </si>
  <si>
    <t>janine.p@wustl.edu</t>
  </si>
  <si>
    <t>Janine Park</t>
  </si>
  <si>
    <t>Auburn</t>
  </si>
  <si>
    <t>320A</t>
  </si>
  <si>
    <t>https://utrucking.com/admin/orders/5940395671740</t>
  </si>
  <si>
    <t>#16321</t>
  </si>
  <si>
    <t>avis10.sa@gmail.com</t>
  </si>
  <si>
    <t>Shirley Ann Alexander</t>
  </si>
  <si>
    <t>Bloomfield</t>
  </si>
  <si>
    <t>118</t>
  </si>
  <si>
    <t>Safiya Alexander</t>
  </si>
  <si>
    <t>https://utrucking.com/admin/orders/5940455440572</t>
  </si>
  <si>
    <t>#16322</t>
  </si>
  <si>
    <t>nadiatanojo31@gmail.com</t>
  </si>
  <si>
    <t>Jongky Tanojo</t>
  </si>
  <si>
    <t>Forest Hills</t>
  </si>
  <si>
    <t>4409b</t>
  </si>
  <si>
    <t>Nadia Tanojo</t>
  </si>
  <si>
    <t>https://utrucking.com/admin/orders/5940496859324</t>
  </si>
  <si>
    <t>#16323</t>
  </si>
  <si>
    <t>christianyeramkim@gmail.com</t>
  </si>
  <si>
    <t>Daniel Kim</t>
  </si>
  <si>
    <t>Christian Kim</t>
  </si>
  <si>
    <t>https://utrucking.com/admin/orders/5940552728764</t>
  </si>
  <si>
    <t>#16324</t>
  </si>
  <si>
    <t>Evelyn Frohsin</t>
  </si>
  <si>
    <t>Mountain Brook</t>
  </si>
  <si>
    <t>4420 - b</t>
  </si>
  <si>
    <t>https://utrucking.com/admin/orders/5940559970492</t>
  </si>
  <si>
    <t>#16325</t>
  </si>
  <si>
    <t>Adam Berkowitz</t>
  </si>
  <si>
    <t>5 South Big Bend Blvd St Louis MO 63105 apt 1C</t>
  </si>
  <si>
    <t>https://utrucking.com/admin/orders/5940849639612</t>
  </si>
  <si>
    <t>#16326</t>
  </si>
  <si>
    <t>darrenwong886@gmail.com</t>
  </si>
  <si>
    <t>Darren Wong</t>
  </si>
  <si>
    <t>251-b</t>
  </si>
  <si>
    <t>https://utrucking.com/admin/orders/5940993065148</t>
  </si>
  <si>
    <t>#16327</t>
  </si>
  <si>
    <t>farah.j@wustl.edu</t>
  </si>
  <si>
    <t>Jack Farah</t>
  </si>
  <si>
    <t>Newmarket</t>
  </si>
  <si>
    <t>4522</t>
  </si>
  <si>
    <t>https://utrucking.com/admin/orders/5941011316924</t>
  </si>
  <si>
    <t>#16328</t>
  </si>
  <si>
    <t>Sihan Zhao</t>
  </si>
  <si>
    <t>https://utrucking.com/admin/orders/5941125841084</t>
  </si>
  <si>
    <t>#16329</t>
  </si>
  <si>
    <t>Coleen Schrepfer</t>
  </si>
  <si>
    <t>Brody Schrepfer</t>
  </si>
  <si>
    <t>https://utrucking.com/admin/orders/5941208318140</t>
  </si>
  <si>
    <t>#16330</t>
  </si>
  <si>
    <t>Bobby Kaplan</t>
  </si>
  <si>
    <t>101A</t>
  </si>
  <si>
    <t>Robert Kaplan</t>
  </si>
  <si>
    <t>https://utrucking.com/admin/orders/5941285421244</t>
  </si>
  <si>
    <t>#16331</t>
  </si>
  <si>
    <t>haynesong@gmail.com</t>
  </si>
  <si>
    <t>Hayne Song</t>
  </si>
  <si>
    <t>https://utrucking.com/admin/orders/5941318222012</t>
  </si>
  <si>
    <t>#16332</t>
  </si>
  <si>
    <t>d.romen@wustl.edu</t>
  </si>
  <si>
    <t>Romen Der Manuelian</t>
  </si>
  <si>
    <t>010B</t>
  </si>
  <si>
    <t>https://utrucking.com/admin/orders/5941364195516</t>
  </si>
  <si>
    <t>#16333</t>
  </si>
  <si>
    <t>smallingwilliam3@gmail.com</t>
  </si>
  <si>
    <t>William Smalling</t>
  </si>
  <si>
    <t>111 B</t>
  </si>
  <si>
    <t xml:space="preserve">118 Levison Way
Lafayette, LA 70508  </t>
  </si>
  <si>
    <t>Chelsea Smalling</t>
  </si>
  <si>
    <t>https://utrucking.com/admin/orders/5941420687548</t>
  </si>
  <si>
    <t>#16334</t>
  </si>
  <si>
    <t>Elena Capobianco</t>
  </si>
  <si>
    <t>105A - a</t>
  </si>
  <si>
    <t>Ellie Capobianco</t>
  </si>
  <si>
    <t>https://utrucking.com/admin/orders/5941497069756</t>
  </si>
  <si>
    <t>#16335</t>
  </si>
  <si>
    <t>jason.ye@wustl.edu</t>
  </si>
  <si>
    <t>Jason Ye</t>
  </si>
  <si>
    <t>4071 - a</t>
  </si>
  <si>
    <t>https://utrucking.com/admin/orders/5941498478780</t>
  </si>
  <si>
    <t>#16336</t>
  </si>
  <si>
    <t>Maya Rodriguez-Clark</t>
  </si>
  <si>
    <t>6615 Kingsbury boulevard, apartment 3E, University City MO 63130</t>
  </si>
  <si>
    <t>Contact: Allison Loudenback 636-856-7785</t>
  </si>
  <si>
    <t>https://utrucking.com/admin/orders/5941663137980</t>
  </si>
  <si>
    <t>#16337</t>
  </si>
  <si>
    <t>Alejandro Bribriesco</t>
  </si>
  <si>
    <t>310</t>
  </si>
  <si>
    <t>Ava Bribriesco</t>
  </si>
  <si>
    <t>https://utrucking.com/admin/orders/5941711700156</t>
  </si>
  <si>
    <t>#16338</t>
  </si>
  <si>
    <t xml:space="preserve"> 0   - </t>
  </si>
  <si>
    <t>410 B</t>
  </si>
  <si>
    <t xml:space="preserve">5025 Duxford Drive SE </t>
  </si>
  <si>
    <t>https://utrucking.com/admin/orders/5941713567932</t>
  </si>
  <si>
    <t>#16339</t>
  </si>
  <si>
    <t>suzanne.wiebke@gmail.com</t>
  </si>
  <si>
    <t>Suzanne Wiebke</t>
  </si>
  <si>
    <t>Lee's Summit</t>
  </si>
  <si>
    <t>Nathan Wiebke</t>
  </si>
  <si>
    <t>https://utrucking.com/admin/orders/5941736145084</t>
  </si>
  <si>
    <t>#16340</t>
  </si>
  <si>
    <t>2081</t>
  </si>
  <si>
    <t>https://utrucking.com/admin/orders/5942038528188</t>
  </si>
  <si>
    <t>#16341</t>
  </si>
  <si>
    <t>evelyn zhao</t>
  </si>
  <si>
    <t>https://utrucking.com/admin/orders/5942097969340</t>
  </si>
  <si>
    <t>#16342</t>
  </si>
  <si>
    <t>c.susie@wustl.edu</t>
  </si>
  <si>
    <t>Susie Choi</t>
  </si>
  <si>
    <t>La Mirada</t>
  </si>
  <si>
    <t>3N-B</t>
  </si>
  <si>
    <t>6057 Waterman Blvd</t>
  </si>
  <si>
    <t>https://utrucking.com/admin/orders/5942123102396</t>
  </si>
  <si>
    <t>#16343</t>
  </si>
  <si>
    <t>Peter Adams-Agresti</t>
  </si>
  <si>
    <t>7012 Forsyth Apt 2E, St Louis, Mo 6310</t>
  </si>
  <si>
    <t>https://utrucking.com/admin/orders/5942128050364</t>
  </si>
  <si>
    <t>#16344</t>
  </si>
  <si>
    <t>203C</t>
  </si>
  <si>
    <t>https://utrucking.com/admin/orders/5942173204668</t>
  </si>
  <si>
    <t>#16345</t>
  </si>
  <si>
    <t>libbyhurwitz@gmail.com</t>
  </si>
  <si>
    <t>Libby Hurwitz</t>
  </si>
  <si>
    <t>2272 a</t>
  </si>
  <si>
    <t>https://utrucking.com/admin/orders/5942311715004</t>
  </si>
  <si>
    <t>#16346</t>
  </si>
  <si>
    <t>i.louise@wustl.edu</t>
  </si>
  <si>
    <t>Louise Ingham</t>
  </si>
  <si>
    <t>6615 Kingsbury Blvd, Apt 2W
University City, MO 63130</t>
  </si>
  <si>
    <t>https://utrucking.com/admin/orders/5942375809212</t>
  </si>
  <si>
    <t>#16347</t>
  </si>
  <si>
    <t>n.m.umana-ramos@wustl.edu</t>
  </si>
  <si>
    <t>Esmeralda Ramos</t>
  </si>
  <si>
    <t>Sedalia</t>
  </si>
  <si>
    <t>401C</t>
  </si>
  <si>
    <t>Noe Umana-Ramos</t>
  </si>
  <si>
    <t>https://utrucking.com/admin/orders/5942379806908</t>
  </si>
  <si>
    <t>#16348</t>
  </si>
  <si>
    <t>Jameyer@wustl.edu</t>
  </si>
  <si>
    <t>Jonathan Meyer</t>
  </si>
  <si>
    <t>San Carlos</t>
  </si>
  <si>
    <t>3361</t>
  </si>
  <si>
    <t>Jack Meyer</t>
  </si>
  <si>
    <t>https://utrucking.com/admin/orders/5942574219452</t>
  </si>
  <si>
    <t>#16349</t>
  </si>
  <si>
    <t>aubreytalles@gmail.com</t>
  </si>
  <si>
    <t>Aubrey Talles</t>
  </si>
  <si>
    <t>Sienna Talles</t>
  </si>
  <si>
    <t>https://utrucking.com/admin/orders/5942594011324</t>
  </si>
  <si>
    <t>#16350</t>
  </si>
  <si>
    <t>6669 Washington Avenue #202</t>
  </si>
  <si>
    <t>Charlie Goebel</t>
  </si>
  <si>
    <t>https://utrucking.com/admin/orders/5942613475516</t>
  </si>
  <si>
    <t>#16351</t>
  </si>
  <si>
    <t>l.lynch@wustl.edu</t>
  </si>
  <si>
    <t>Lauren Lynch</t>
  </si>
  <si>
    <t>Lofts (6200) - 101C - a</t>
  </si>
  <si>
    <t>https://utrucking.com/admin/orders/5942640214204</t>
  </si>
  <si>
    <t>#16352</t>
  </si>
  <si>
    <t>luistrimino8478@gmail.com</t>
  </si>
  <si>
    <t>Luis Trimino</t>
  </si>
  <si>
    <t>https://utrucking.com/admin/orders/5942662398140</t>
  </si>
  <si>
    <t>#16353</t>
  </si>
  <si>
    <t>k.m.rambod-sarrieu@wustl.edu</t>
  </si>
  <si>
    <t>Kayla Rambod-Sarrieu</t>
  </si>
  <si>
    <t>https://utrucking.com/admin/orders/5942858154172</t>
  </si>
  <si>
    <t>#16354</t>
  </si>
  <si>
    <t>Kwangil Kim</t>
  </si>
  <si>
    <t>Seocho</t>
  </si>
  <si>
    <t>2201</t>
  </si>
  <si>
    <t>Doyoon Kim</t>
  </si>
  <si>
    <t>https://utrucking.com/admin/orders/5943095820476</t>
  </si>
  <si>
    <t>#16355</t>
  </si>
  <si>
    <t>drwat0928@aol.com</t>
  </si>
  <si>
    <t>Nicole Watkins</t>
  </si>
  <si>
    <t>Wake Forest</t>
  </si>
  <si>
    <t>304C-a</t>
  </si>
  <si>
    <t>Nena Tesinsky</t>
  </si>
  <si>
    <t>https://utrucking.com/admin/orders/5943317528764</t>
  </si>
  <si>
    <t>#16357</t>
  </si>
  <si>
    <t>esperance050505@gmail.com</t>
  </si>
  <si>
    <t>Esperance Bukenya</t>
  </si>
  <si>
    <t>2112</t>
  </si>
  <si>
    <t>https://utrucking.com/admin/orders/5943322575036</t>
  </si>
  <si>
    <t>#16358</t>
  </si>
  <si>
    <t>b.dou@wustl.edu</t>
  </si>
  <si>
    <t>Brian Dou</t>
  </si>
  <si>
    <t>2123-a</t>
  </si>
  <si>
    <t>https://utrucking.com/admin/orders/5943494312124</t>
  </si>
  <si>
    <t>#16359</t>
  </si>
  <si>
    <t>Marshall Fisher</t>
  </si>
  <si>
    <t>3194</t>
  </si>
  <si>
    <t>https://utrucking.com/admin/orders/5943544316092</t>
  </si>
  <si>
    <t>#16360</t>
  </si>
  <si>
    <t>eliza.podvalny@gmail.com</t>
  </si>
  <si>
    <t>Eliza Podvalny</t>
  </si>
  <si>
    <t>Cortlandt Manor</t>
  </si>
  <si>
    <t>4123</t>
  </si>
  <si>
    <t>https://utrucking.com/admin/orders/5943549788348</t>
  </si>
  <si>
    <t>#16361</t>
  </si>
  <si>
    <t>o.j.obalua@wustl.edu</t>
  </si>
  <si>
    <t>Olutobi Obalua</t>
  </si>
  <si>
    <t>6186 Waterman Boulevard, St. Louis, MO, 63112 (second floor)</t>
  </si>
  <si>
    <t>Gaithersburg</t>
  </si>
  <si>
    <t>https://utrucking.com/admin/orders/5943636754620</t>
  </si>
  <si>
    <t>#16362</t>
  </si>
  <si>
    <t>Jackson Dickie</t>
  </si>
  <si>
    <t>https://utrucking.com/admin/orders/5943651532988</t>
  </si>
  <si>
    <t>#16363</t>
  </si>
  <si>
    <t>talibenyehuda13@gmail.com</t>
  </si>
  <si>
    <t>Tali Ben-Yehuda</t>
  </si>
  <si>
    <t>https://utrucking.com/admin/orders/5943655923900</t>
  </si>
  <si>
    <t>#16364</t>
  </si>
  <si>
    <t>oschoellschafer@gmail.com</t>
  </si>
  <si>
    <t>Matthew Schafer</t>
  </si>
  <si>
    <t>Omaha</t>
  </si>
  <si>
    <t>Nebraska</t>
  </si>
  <si>
    <t>Orion Schoell-Schafer</t>
  </si>
  <si>
    <t>https://utrucking.com/admin/orders/5943720804540</t>
  </si>
  <si>
    <t>#16365</t>
  </si>
  <si>
    <t>bblackford2006@gmail.com</t>
  </si>
  <si>
    <t>Benjamin Blackford</t>
  </si>
  <si>
    <t>https://utrucking.com/admin/orders/5943778967740</t>
  </si>
  <si>
    <t>#16366</t>
  </si>
  <si>
    <t>11:00am - 5:30pm</t>
  </si>
  <si>
    <t xml:space="preserve">8/12/25
3 movers
moved bed frame and desk from Beau to MB1 storage, assembled bed in Beau 304.
Moved pallets from various locations
Moved 5 stands from LK to RLC
Moved patio furniture to upper row </t>
  </si>
  <si>
    <t>https://utrucking.com/admin/orders/5943885365436</t>
  </si>
  <si>
    <t>#16367</t>
  </si>
  <si>
    <t>a.cunado@wustl.edu</t>
  </si>
  <si>
    <t>Alicia Cunado</t>
  </si>
  <si>
    <t>Calistoga</t>
  </si>
  <si>
    <t>Apartment 1W room B</t>
  </si>
  <si>
    <t xml:space="preserve">6649 University Drive  </t>
  </si>
  <si>
    <t>https://utrucking.com/admin/orders/5943938056380</t>
  </si>
  <si>
    <t>#16368</t>
  </si>
  <si>
    <t>Spencer Yamamoto</t>
  </si>
  <si>
    <t xml:space="preserve">Spencer Yamamoto </t>
  </si>
  <si>
    <t>https://utrucking.com/admin/orders/5943958143164</t>
  </si>
  <si>
    <t>#16369</t>
  </si>
  <si>
    <t>doq@wustl.edu</t>
  </si>
  <si>
    <t>Quan Do</t>
  </si>
  <si>
    <t>https://utrucking.com/admin/orders/5943969939644</t>
  </si>
  <si>
    <t>#16370</t>
  </si>
  <si>
    <t>e.newman@wustl.edu</t>
  </si>
  <si>
    <t>https://utrucking.com/admin/orders/5943982522556</t>
  </si>
  <si>
    <t>#16371</t>
  </si>
  <si>
    <t>villanielio96@gmail.com</t>
  </si>
  <si>
    <t>Gina Valeri</t>
  </si>
  <si>
    <t xml:space="preserve">Elio Villani </t>
  </si>
  <si>
    <t>https://utrucking.com/admin/orders/5944030232764</t>
  </si>
  <si>
    <t>#16372</t>
  </si>
  <si>
    <t>https://utrucking.com/admin/orders/5944049926332</t>
  </si>
  <si>
    <t>#16373</t>
  </si>
  <si>
    <t>neiltbreslich@gmail.com</t>
  </si>
  <si>
    <t>Neil Breslich</t>
  </si>
  <si>
    <t>738 Interdrive, University City,  MO 63130</t>
  </si>
  <si>
    <t>https://utrucking.com/admin/orders/5944116183228</t>
  </si>
  <si>
    <t>#16374</t>
  </si>
  <si>
    <t>percyjackshua@gmail.com</t>
  </si>
  <si>
    <t>Joshua Han</t>
  </si>
  <si>
    <t>https://utrucking.com/admin/orders/5944123195580</t>
  </si>
  <si>
    <t>#16375</t>
  </si>
  <si>
    <t>124, 126, 327</t>
  </si>
  <si>
    <t>3pm - 4pm</t>
  </si>
  <si>
    <t xml:space="preserve">8/12/25
2 movers
re arranged greenway 124, 126, 327 </t>
  </si>
  <si>
    <t>https://utrucking.com/admin/orders/5944136532156</t>
  </si>
  <si>
    <t>#16377</t>
  </si>
  <si>
    <t>9:00a - 5p</t>
  </si>
  <si>
    <t>8/14
9am - 5pm
2 movers
moved various summer items from Umrath to MB1 storage
raised/ lowered various beds</t>
  </si>
  <si>
    <t>https://utrucking.com/admin/orders/5944138039484</t>
  </si>
  <si>
    <t>#16378</t>
  </si>
  <si>
    <t>10a - 12p</t>
  </si>
  <si>
    <t>8/15/25
Joseph and Michio 
moved/raised bed for student</t>
  </si>
  <si>
    <t>https://utrucking.com/admin/orders/5944144330940</t>
  </si>
  <si>
    <t>#16379</t>
  </si>
  <si>
    <t>4pm - 6pm</t>
  </si>
  <si>
    <t>8/13
4pm - 6pm
3 movers + truck
moved approx. 50 boxes of WashU branded build a bears from LK storage to CDI conference room</t>
  </si>
  <si>
    <t>https://utrucking.com/admin/orders/5944157110460</t>
  </si>
  <si>
    <t>#16380</t>
  </si>
  <si>
    <t>carolinesnell13@icloud.com</t>
  </si>
  <si>
    <t>Caroline Snell</t>
  </si>
  <si>
    <t>Rye</t>
  </si>
  <si>
    <t>4212</t>
  </si>
  <si>
    <t>https://utrucking.com/admin/orders/5944167596220</t>
  </si>
  <si>
    <t>#16381</t>
  </si>
  <si>
    <t>yonjaekim06@gmail.com</t>
  </si>
  <si>
    <t>https://utrucking.com/admin/orders/5944233296060</t>
  </si>
  <si>
    <t>#16382</t>
  </si>
  <si>
    <t>yas.ibrhm23@gmail.com</t>
  </si>
  <si>
    <t>Yasmeen Ibrahim</t>
  </si>
  <si>
    <t xml:space="preserve">7036 Forsyth Blvd
Apartment #1E
</t>
  </si>
  <si>
    <t>https://utrucking.com/admin/orders/5944271863996</t>
  </si>
  <si>
    <t>#16383</t>
  </si>
  <si>
    <t>redcedariver@hotmail.com</t>
  </si>
  <si>
    <t>Zhikun Li</t>
  </si>
  <si>
    <t>308-a</t>
  </si>
  <si>
    <t>Yike Li (Grace)</t>
  </si>
  <si>
    <t>https://utrucking.com/admin/orders/5944282415292</t>
  </si>
  <si>
    <t>#16384</t>
  </si>
  <si>
    <t>Adam Zwaanstra</t>
  </si>
  <si>
    <t>6808 Washington Ave Apt 3W, University City, MO 63130</t>
  </si>
  <si>
    <t>Woodside</t>
  </si>
  <si>
    <t>https://utrucking.com/admin/orders/5944305090748</t>
  </si>
  <si>
    <t>#16385</t>
  </si>
  <si>
    <t>liu.jason@wustl.edu</t>
  </si>
  <si>
    <t>Yujie Liu</t>
  </si>
  <si>
    <t>1419-A, everly on the loop, 6105 Delmar Blvd, MO 63112</t>
  </si>
  <si>
    <t>Jason Liu</t>
  </si>
  <si>
    <t>https://utrucking.com/admin/orders/5944313381052</t>
  </si>
  <si>
    <t>#16386</t>
  </si>
  <si>
    <t>keumriley@gmail.com</t>
  </si>
  <si>
    <t>Jimin Nam</t>
  </si>
  <si>
    <t>La Crescenta</t>
  </si>
  <si>
    <t>2034-a</t>
  </si>
  <si>
    <t>Riley Keum</t>
  </si>
  <si>
    <t>https://utrucking.com/admin/orders/5944439210172</t>
  </si>
  <si>
    <t>#16387</t>
  </si>
  <si>
    <t>Anuj Chandra</t>
  </si>
  <si>
    <t>New Delhi</t>
  </si>
  <si>
    <t>Delhi</t>
  </si>
  <si>
    <t>Bani chandra</t>
  </si>
  <si>
    <t>https://utrucking.com/admin/orders/5944488853692</t>
  </si>
  <si>
    <t>#16388</t>
  </si>
  <si>
    <t>Mumbai</t>
  </si>
  <si>
    <t>Maharashtra</t>
  </si>
  <si>
    <t>362a</t>
  </si>
  <si>
    <t>https://utrucking.com/admin/orders/5944604229820</t>
  </si>
  <si>
    <t>#16389</t>
  </si>
  <si>
    <t>m.g.somosi@wustl.edu</t>
  </si>
  <si>
    <t>Andrew Somosi</t>
  </si>
  <si>
    <t>301A</t>
  </si>
  <si>
    <t xml:space="preserve">Monica Somosi </t>
  </si>
  <si>
    <t>https://utrucking.com/admin/orders/5944681758908</t>
  </si>
  <si>
    <t>#16390</t>
  </si>
  <si>
    <t>arorainara@gmail.com</t>
  </si>
  <si>
    <t>1 314-818-4005</t>
  </si>
  <si>
    <t>Inara Arora</t>
  </si>
  <si>
    <t>418B</t>
  </si>
  <si>
    <t>https://utrucking.com/admin/orders/5944683004092</t>
  </si>
  <si>
    <t>#16391</t>
  </si>
  <si>
    <t>Erika Lytle</t>
  </si>
  <si>
    <t>Wheaton</t>
  </si>
  <si>
    <t>2217</t>
  </si>
  <si>
    <t>Charlie Lytle</t>
  </si>
  <si>
    <t>https://utrucking.com/admin/orders/5944838488252</t>
  </si>
  <si>
    <t>#16392</t>
  </si>
  <si>
    <t>Melanie Rodriguez</t>
  </si>
  <si>
    <t xml:space="preserve">2227 </t>
  </si>
  <si>
    <t>https://utrucking.com/admin/orders/5944857329852</t>
  </si>
  <si>
    <t>#16393</t>
  </si>
  <si>
    <t>Jane Spiro</t>
  </si>
  <si>
    <t>301C-a</t>
  </si>
  <si>
    <t>https://utrucking.com/admin/orders/5945036210364</t>
  </si>
  <si>
    <t>#16394</t>
  </si>
  <si>
    <t xml:space="preserve">Quincy schwartz </t>
  </si>
  <si>
    <t>https://utrucking.com/admin/orders/5945072124092</t>
  </si>
  <si>
    <t>#16395</t>
  </si>
  <si>
    <t>hluz@wustl.edu</t>
  </si>
  <si>
    <t>Jasmine Hluz</t>
  </si>
  <si>
    <t>https://utrucking.com/admin/orders/5945272172732</t>
  </si>
  <si>
    <t>#16396</t>
  </si>
  <si>
    <t>Emily Poltorak</t>
  </si>
  <si>
    <t>2084</t>
  </si>
  <si>
    <t>https://utrucking.com/admin/orders/5945294913724</t>
  </si>
  <si>
    <t>#16397</t>
  </si>
  <si>
    <t>mikhail.s@wustl.edu</t>
  </si>
  <si>
    <t>Sophia Mikhail</t>
  </si>
  <si>
    <t>Sunset Hills</t>
  </si>
  <si>
    <t>213</t>
  </si>
  <si>
    <t>https://utrucking.com/admin/orders/5945338003644</t>
  </si>
  <si>
    <t>#16398</t>
  </si>
  <si>
    <t>ulricapeng3420@outlook.com</t>
  </si>
  <si>
    <t>Ulrica Yingying Peng</t>
  </si>
  <si>
    <t>Lewis Collaborative #125, 725 Kingsland Ave, St. Louis, MO 63130</t>
  </si>
  <si>
    <t>https://utrucking.com/admin/orders/5945389842620</t>
  </si>
  <si>
    <t>#16399</t>
  </si>
  <si>
    <t>Samer Elhoushy</t>
  </si>
  <si>
    <t>2113 SW Olympic Club Terrace</t>
  </si>
  <si>
    <t>https://utrucking.com/admin/orders/5945397313724</t>
  </si>
  <si>
    <t>#16400</t>
  </si>
  <si>
    <t>brouilletmatthew@gmail.com</t>
  </si>
  <si>
    <t>Matthew Brouillet</t>
  </si>
  <si>
    <t>6665 Washington Ave. 
Apartment #3W</t>
  </si>
  <si>
    <t>South Barre</t>
  </si>
  <si>
    <t>https://utrucking.com/admin/orders/5945528189116</t>
  </si>
  <si>
    <t>#16401</t>
  </si>
  <si>
    <t>g.madeleine@wustl.edu</t>
  </si>
  <si>
    <t>Maddie Gomez</t>
  </si>
  <si>
    <t>121-C</t>
  </si>
  <si>
    <t>https://utrucking.com/admin/orders/5945591791804</t>
  </si>
  <si>
    <t>#16402</t>
  </si>
  <si>
    <t>abby.z@wustl.edu</t>
  </si>
  <si>
    <t>5539 Pershing Ave, Apt. 313, St. Louis, MO, 63112</t>
  </si>
  <si>
    <t>Abby Zhang</t>
  </si>
  <si>
    <t>https://utrucking.com/admin/orders/5945651298492</t>
  </si>
  <si>
    <t>#16403</t>
  </si>
  <si>
    <t>Sean Kim</t>
  </si>
  <si>
    <t>307A</t>
  </si>
  <si>
    <t>https://utrucking.com/admin/orders/5945651921084</t>
  </si>
  <si>
    <t>#16404</t>
  </si>
  <si>
    <t>Young Hwan Choi</t>
  </si>
  <si>
    <t>605 Leland Ave., Apt. 203, University City, MO 63130</t>
  </si>
  <si>
    <t>https://utrucking.com/admin/orders/5945695731900</t>
  </si>
  <si>
    <t>#16405</t>
  </si>
  <si>
    <t>Liam Deighton</t>
  </si>
  <si>
    <t>2042</t>
  </si>
  <si>
    <t>https://utrucking.com/admin/orders/5945713000636</t>
  </si>
  <si>
    <t>#16406</t>
  </si>
  <si>
    <t>talexathomas@gmail.com</t>
  </si>
  <si>
    <t>Tracey Thomas</t>
  </si>
  <si>
    <t>York</t>
  </si>
  <si>
    <t>Taylor Thomas</t>
  </si>
  <si>
    <t>https://utrucking.com/admin/orders/5945768247484</t>
  </si>
  <si>
    <t>#16407</t>
  </si>
  <si>
    <t>joshuaberner5@gmail.com</t>
  </si>
  <si>
    <t>Joshua Berner</t>
  </si>
  <si>
    <t>LONDON</t>
  </si>
  <si>
    <t>NW6 3LS</t>
  </si>
  <si>
    <t>309C</t>
  </si>
  <si>
    <t>https://utrucking.com/admin/orders/5945784008892</t>
  </si>
  <si>
    <t>#16408</t>
  </si>
  <si>
    <t>m.n.stonov@wustl.edu</t>
  </si>
  <si>
    <t>Mia Stonov</t>
  </si>
  <si>
    <t>3024a</t>
  </si>
  <si>
    <t>https://utrucking.com/admin/orders/5945846300860</t>
  </si>
  <si>
    <t>#16409</t>
  </si>
  <si>
    <t>alikhan.j@wustl.edu</t>
  </si>
  <si>
    <t>Zahra Nurmohamed</t>
  </si>
  <si>
    <t>Toronto</t>
  </si>
  <si>
    <t>M5P 2J2</t>
  </si>
  <si>
    <t>2071</t>
  </si>
  <si>
    <t>Jordan Ali Khan</t>
  </si>
  <si>
    <t>https://utrucking.com/admin/orders/5945857081532</t>
  </si>
  <si>
    <t>#16410</t>
  </si>
  <si>
    <t>stealyrfac@aol.com</t>
  </si>
  <si>
    <t>Shayne Taranto</t>
  </si>
  <si>
    <t>6105 Delmar Blvd. Apt 716</t>
  </si>
  <si>
    <t>https://utrucking.com/admin/orders/5945868550332</t>
  </si>
  <si>
    <t>#16411</t>
  </si>
  <si>
    <t>Ryan Kravitz</t>
  </si>
  <si>
    <t>Millbrook 4 - 301F - a</t>
  </si>
  <si>
    <t>https://utrucking.com/admin/orders/5945960661180</t>
  </si>
  <si>
    <t>#16412</t>
  </si>
  <si>
    <t>shaadkhalil621@gmail.com</t>
  </si>
  <si>
    <t>Shaad Khalil</t>
  </si>
  <si>
    <t>Everly on the Loop, 6105 Delmar Blvd, St. Louis, MO 63112</t>
  </si>
  <si>
    <t>Oak Brook</t>
  </si>
  <si>
    <t>https://utrucking.com/admin/orders/5946011648188</t>
  </si>
  <si>
    <t>#16413</t>
  </si>
  <si>
    <t>charlotteg8ch@gmail.com</t>
  </si>
  <si>
    <t>Charlotte Goetsch</t>
  </si>
  <si>
    <t>Ann Arbor</t>
  </si>
  <si>
    <t>2051</t>
  </si>
  <si>
    <t>https://utrucking.com/admin/orders/5946068369596</t>
  </si>
  <si>
    <t>#16414</t>
  </si>
  <si>
    <t>Titilope Omole</t>
  </si>
  <si>
    <t>4094</t>
  </si>
  <si>
    <t>https://utrucking.com/admin/orders/5946243645628</t>
  </si>
  <si>
    <t>#16415</t>
  </si>
  <si>
    <t>matthewgrossman24@gmail.com</t>
  </si>
  <si>
    <t>Matthew Grossman</t>
  </si>
  <si>
    <t>6808 Washington Avenue</t>
  </si>
  <si>
    <t>https://utrucking.com/admin/orders/5946246398140</t>
  </si>
  <si>
    <t>#16416</t>
  </si>
  <si>
    <t>marian.kwon@gmail.com</t>
  </si>
  <si>
    <t>Marian Kwon</t>
  </si>
  <si>
    <t>Mill Valley</t>
  </si>
  <si>
    <t>Sophia Weinberg</t>
  </si>
  <si>
    <t>https://utrucking.com/admin/orders/5946279067836</t>
  </si>
  <si>
    <t>#16417</t>
  </si>
  <si>
    <t>a.mikheil@wustl.edu</t>
  </si>
  <si>
    <t>MIkheil Avaliani</t>
  </si>
  <si>
    <t>6188 Mcpherson Avenue, Unit #605</t>
  </si>
  <si>
    <t>Mikheil Avaliani</t>
  </si>
  <si>
    <t>https://utrucking.com/admin/orders/5946286047420</t>
  </si>
  <si>
    <t>#16418</t>
  </si>
  <si>
    <t>paulinasteinman@gmail.com</t>
  </si>
  <si>
    <t>Hilary Steinman</t>
  </si>
  <si>
    <t>2040</t>
  </si>
  <si>
    <t>Paulina Steinman</t>
  </si>
  <si>
    <t>https://utrucking.com/admin/orders/5946293944508</t>
  </si>
  <si>
    <t>#16419</t>
  </si>
  <si>
    <t>Steven Kamp</t>
  </si>
  <si>
    <t>116-C</t>
  </si>
  <si>
    <t xml:space="preserve">15319 Bent Twig Way
Cypress, TX 77433  </t>
  </si>
  <si>
    <t>Jamie Kamp</t>
  </si>
  <si>
    <t>https://utrucking.com/admin/orders/5946371801276</t>
  </si>
  <si>
    <t>#16420</t>
  </si>
  <si>
    <t>arielljordanhaims@gmail.com</t>
  </si>
  <si>
    <t>Ariell Haims</t>
  </si>
  <si>
    <t>108C - a</t>
  </si>
  <si>
    <t>https://utrucking.com/admin/orders/5946452443324</t>
  </si>
  <si>
    <t>#16421</t>
  </si>
  <si>
    <t>jleo@wustl.edu</t>
  </si>
  <si>
    <t>Leo Joffe</t>
  </si>
  <si>
    <t>Cincinnati</t>
  </si>
  <si>
    <t>https://utrucking.com/admin/orders/5946459914428</t>
  </si>
  <si>
    <t>#16422</t>
  </si>
  <si>
    <t>https://utrucking.com/admin/orders/5946522009788</t>
  </si>
  <si>
    <t>#16423</t>
  </si>
  <si>
    <t>lewmadeleine@gmail.com</t>
  </si>
  <si>
    <t>Madeline Lew</t>
  </si>
  <si>
    <t xml:space="preserve">605 Leland Ave, Apt. 308, University City, MO 63130 </t>
  </si>
  <si>
    <t>Madeleine Lew</t>
  </si>
  <si>
    <t>https://utrucking.com/admin/orders/5946678608060</t>
  </si>
  <si>
    <t>#16424</t>
  </si>
  <si>
    <t>amy.gao@wustl.edu</t>
  </si>
  <si>
    <t>Amy Gao</t>
  </si>
  <si>
    <t>6609 Kingsbury blvd Apt 1W</t>
  </si>
  <si>
    <t>https://utrucking.com/admin/orders/5946683588796</t>
  </si>
  <si>
    <t>#16425</t>
  </si>
  <si>
    <t>Caleb Ruff</t>
  </si>
  <si>
    <t>Cheyenne</t>
  </si>
  <si>
    <t>Wyoming</t>
  </si>
  <si>
    <t>4082-a</t>
  </si>
  <si>
    <t>https://utrucking.com/admin/orders/5946719830204</t>
  </si>
  <si>
    <t>#16426</t>
  </si>
  <si>
    <t>guoliang@wustl.edu</t>
  </si>
  <si>
    <t>Guoliang Wu</t>
  </si>
  <si>
    <t>6701 San Bonita Ave, Saint Louis, MO 63105, Apt 3S</t>
  </si>
  <si>
    <t>Thomas Wu</t>
  </si>
  <si>
    <t>https://utrucking.com/admin/orders/5946779697340</t>
  </si>
  <si>
    <t>#16427</t>
  </si>
  <si>
    <t>rbqls1013@gmail.com</t>
  </si>
  <si>
    <t>Kyubin Kim</t>
  </si>
  <si>
    <t>Izzy Kim</t>
  </si>
  <si>
    <t>https://utrucking.com/admin/orders/5946855620796</t>
  </si>
  <si>
    <t>#16428</t>
  </si>
  <si>
    <t>Rachel Solomon</t>
  </si>
  <si>
    <t xml:space="preserve">5931 Kingsbury Ave St Louis MO apartment 2E </t>
  </si>
  <si>
    <t>https://utrucking.com/admin/orders/5946886160572</t>
  </si>
  <si>
    <t>#16429</t>
  </si>
  <si>
    <t>a.iyanu@wustl.edu</t>
  </si>
  <si>
    <t>Iyanuoluwa Akinyemi</t>
  </si>
  <si>
    <t>735 Westgate Ave. Unit #1S, St. Louis, MO 63130</t>
  </si>
  <si>
    <t>Chantilly</t>
  </si>
  <si>
    <t>https://utrucking.com/admin/orders/5946903724220</t>
  </si>
  <si>
    <t>#16430</t>
  </si>
  <si>
    <t>j.m.mccabe@wustl.edu</t>
  </si>
  <si>
    <t>Jjohn McCabe</t>
  </si>
  <si>
    <t>302</t>
  </si>
  <si>
    <t>Jack McCabe</t>
  </si>
  <si>
    <t>https://utrucking.com/admin/orders/5946929774780</t>
  </si>
  <si>
    <t>#16431</t>
  </si>
  <si>
    <t>j.sofia@wustl.edu</t>
  </si>
  <si>
    <t>Monique Jalenak</t>
  </si>
  <si>
    <t>Memphis</t>
  </si>
  <si>
    <t>3032 - a</t>
  </si>
  <si>
    <t>Sofia Jalenak</t>
  </si>
  <si>
    <t>https://utrucking.com/admin/orders/5946982170812</t>
  </si>
  <si>
    <t>#16432</t>
  </si>
  <si>
    <t>Rowan Mahler</t>
  </si>
  <si>
    <t>5539 Pershing Ave, St. Louis, MO 63112
Appt 513</t>
  </si>
  <si>
    <t>https://utrucking.com/admin/orders/5947030143164</t>
  </si>
  <si>
    <t>#16433</t>
  </si>
  <si>
    <t>itaikomoroff@gmail.com</t>
  </si>
  <si>
    <t>Itai Komoroff</t>
  </si>
  <si>
    <t>Water mill south Hampton</t>
  </si>
  <si>
    <t xml:space="preserve">Itai Komoroff </t>
  </si>
  <si>
    <t>https://utrucking.com/admin/orders/5947036401852</t>
  </si>
  <si>
    <t>#16434</t>
  </si>
  <si>
    <t>paisleyflamenbaum@gmail.com</t>
  </si>
  <si>
    <t>Paisley Emma Flamenbaum</t>
  </si>
  <si>
    <t>10538-2636</t>
  </si>
  <si>
    <t>3051- a</t>
  </si>
  <si>
    <t>https://utrucking.com/admin/orders/5947407630524</t>
  </si>
  <si>
    <t>#16435</t>
  </si>
  <si>
    <t>1117-b</t>
  </si>
  <si>
    <t>https://utrucking.com/admin/orders/5947420803260</t>
  </si>
  <si>
    <t>#16436</t>
  </si>
  <si>
    <t>j.m.quisenberry@wustl.edu</t>
  </si>
  <si>
    <t>3060</t>
  </si>
  <si>
    <t>https://utrucking.com/admin/orders/5947457667260</t>
  </si>
  <si>
    <t>#16437</t>
  </si>
  <si>
    <t>kc.danzansky@gmail.com</t>
  </si>
  <si>
    <t>Scott Danzansky</t>
  </si>
  <si>
    <t>Drew Dillon</t>
  </si>
  <si>
    <t>https://utrucking.com/admin/orders/5947516813500</t>
  </si>
  <si>
    <t>#16438</t>
  </si>
  <si>
    <t>hegmelich@icloud.com</t>
  </si>
  <si>
    <t>Holly Gmelich</t>
  </si>
  <si>
    <t>7116 Forsyth Blvd. Unit 2W 63105</t>
  </si>
  <si>
    <t xml:space="preserve">Holly Gmelich </t>
  </si>
  <si>
    <t>https://utrucking.com/admin/orders/5947523334332</t>
  </si>
  <si>
    <t>#16439</t>
  </si>
  <si>
    <t>peixinyu0209@gmail.com</t>
  </si>
  <si>
    <t>JACK YU</t>
  </si>
  <si>
    <t>3191</t>
  </si>
  <si>
    <t>Jack Yu</t>
  </si>
  <si>
    <t>https://utrucking.com/admin/orders/5947531002044</t>
  </si>
  <si>
    <t>#16440</t>
  </si>
  <si>
    <t>Erin Amankwaah</t>
  </si>
  <si>
    <t>5510 Pershing Ave
Saint Louis, MO  63112
United States</t>
  </si>
  <si>
    <t>https://utrucking.com/admin/orders/5947617116348</t>
  </si>
  <si>
    <t>#16441</t>
  </si>
  <si>
    <t>https://utrucking.com/admin/orders/5947689926844</t>
  </si>
  <si>
    <t>#16442</t>
  </si>
  <si>
    <t>Noah Calabrese</t>
  </si>
  <si>
    <t>https://utrucking.com/admin/orders/5947696709820</t>
  </si>
  <si>
    <t>#16443</t>
  </si>
  <si>
    <t>tchukudebelu@gmail.com</t>
  </si>
  <si>
    <t>Tobe Chukudebelu</t>
  </si>
  <si>
    <t>3364</t>
  </si>
  <si>
    <t>https://utrucking.com/admin/orders/5947748352188</t>
  </si>
  <si>
    <t>#16444</t>
  </si>
  <si>
    <t>jamiesurnamer@gmail.com</t>
  </si>
  <si>
    <t>James Surnamer</t>
  </si>
  <si>
    <t>7019 Northmoor Dr, University City, MO 63105</t>
  </si>
  <si>
    <t>Studio City</t>
  </si>
  <si>
    <t>https://utrucking.com/admin/orders/5948039332028</t>
  </si>
  <si>
    <t>#16445</t>
  </si>
  <si>
    <t>Jamie Corsair</t>
  </si>
  <si>
    <t xml:space="preserve">6127 waterman blvd </t>
  </si>
  <si>
    <t xml:space="preserve">Dillon Corsair </t>
  </si>
  <si>
    <t>https://utrucking.com/admin/orders/5948045164732</t>
  </si>
  <si>
    <t>#16446</t>
  </si>
  <si>
    <t>Kayla Nafso</t>
  </si>
  <si>
    <t>Bloomfield Hills</t>
  </si>
  <si>
    <t>3124-a</t>
  </si>
  <si>
    <t>https://utrucking.com/admin/orders/5948082061500</t>
  </si>
  <si>
    <t>#16447</t>
  </si>
  <si>
    <t>Gustavo Martinez</t>
  </si>
  <si>
    <t>West New York</t>
  </si>
  <si>
    <t>106C - a</t>
  </si>
  <si>
    <t xml:space="preserve">Gustavo Martinez </t>
  </si>
  <si>
    <t>https://utrucking.com/admin/orders/5948096184508</t>
  </si>
  <si>
    <t>#16448</t>
  </si>
  <si>
    <t>shibani.sain@gmail.com</t>
  </si>
  <si>
    <t>Shibani Sain Rao</t>
  </si>
  <si>
    <t>7116 Forsyth blvd, unit 2W</t>
  </si>
  <si>
    <t xml:space="preserve">Anya rao </t>
  </si>
  <si>
    <t>https://utrucking.com/admin/orders/5948118597820</t>
  </si>
  <si>
    <t>#16449</t>
  </si>
  <si>
    <t>Raymond Hsin</t>
  </si>
  <si>
    <t>1E-B - a</t>
  </si>
  <si>
    <t xml:space="preserve">6627 University Drive  </t>
  </si>
  <si>
    <t>https://utrucking.com/admin/orders/5948122661052</t>
  </si>
  <si>
    <t>#16450</t>
  </si>
  <si>
    <t>davidwkritzer@gmail.com</t>
  </si>
  <si>
    <t>David Kritzer</t>
  </si>
  <si>
    <t>7019 Northmoor Dr
Saint Louis, MO  63105
United States</t>
  </si>
  <si>
    <t xml:space="preserve">David kritzer </t>
  </si>
  <si>
    <t>https://utrucking.com/admin/orders/5948124856508</t>
  </si>
  <si>
    <t>#16451</t>
  </si>
  <si>
    <t>s.m.schaefer@wustl.edu</t>
  </si>
  <si>
    <t>Christopher Schaefer</t>
  </si>
  <si>
    <t>611 Westgate ave., #E, St. Louis, MO, 63130</t>
  </si>
  <si>
    <t>Sean Schaefer</t>
  </si>
  <si>
    <t>https://utrucking.com/admin/orders/5948136816828</t>
  </si>
  <si>
    <t>#16452</t>
  </si>
  <si>
    <t>esti.6@me.com</t>
  </si>
  <si>
    <t>Robyn Morgenatern</t>
  </si>
  <si>
    <t>3022</t>
  </si>
  <si>
    <t>Estelle Rosenblatt</t>
  </si>
  <si>
    <t>https://utrucking.com/admin/orders/5948208054460</t>
  </si>
  <si>
    <t>#16453</t>
  </si>
  <si>
    <t>jin288706@gmail.com</t>
  </si>
  <si>
    <t>Jinzhang Song</t>
  </si>
  <si>
    <t>Hacienda Heights</t>
  </si>
  <si>
    <t>1140 - a</t>
  </si>
  <si>
    <t>https://utrucking.com/admin/orders/5948214640828</t>
  </si>
  <si>
    <t>#16454</t>
  </si>
  <si>
    <t>Adriana Sanchez</t>
  </si>
  <si>
    <t>Carolina</t>
  </si>
  <si>
    <t>303-A</t>
  </si>
  <si>
    <t>https://utrucking.com/admin/orders/5948228436156</t>
  </si>
  <si>
    <t>#16455</t>
  </si>
  <si>
    <t xml:space="preserve">Darlene Nguyen </t>
  </si>
  <si>
    <t>https://utrucking.com/admin/orders/5948361834684</t>
  </si>
  <si>
    <t>#16456</t>
  </si>
  <si>
    <t>k.i.pyasik@wustl.edu</t>
  </si>
  <si>
    <t>Katherine Pyasik</t>
  </si>
  <si>
    <t>Lake Zurich</t>
  </si>
  <si>
    <t>4031</t>
  </si>
  <si>
    <t>https://utrucking.com/admin/orders/5948455092412</t>
  </si>
  <si>
    <t>#16457</t>
  </si>
  <si>
    <t>a.endale@wustl.edu</t>
  </si>
  <si>
    <t>Abigail Endale</t>
  </si>
  <si>
    <t>Burke</t>
  </si>
  <si>
    <t>Abby Endale</t>
  </si>
  <si>
    <t>https://utrucking.com/admin/orders/5948480880828</t>
  </si>
  <si>
    <t>#16458</t>
  </si>
  <si>
    <t>asher.l@wustl.edu</t>
  </si>
  <si>
    <t>Juneseo Lee</t>
  </si>
  <si>
    <t>Collegeville</t>
  </si>
  <si>
    <t>Rosedale (346) - 2N-B - a</t>
  </si>
  <si>
    <t>346 Rosedale Ave</t>
  </si>
  <si>
    <t>Asher Lee</t>
  </si>
  <si>
    <t>https://utrucking.com/admin/orders/5948494315708</t>
  </si>
  <si>
    <t>#16459</t>
  </si>
  <si>
    <t>665 S Skinker Blvd, Saint Louis, MO 63105
APT 05D</t>
  </si>
  <si>
    <t>https://utrucking.com/admin/orders/5948521283772</t>
  </si>
  <si>
    <t>#16460</t>
  </si>
  <si>
    <t>roxana.4518@gmail.com</t>
  </si>
  <si>
    <t>Roxana Portillo</t>
  </si>
  <si>
    <t>Chelsea</t>
  </si>
  <si>
    <t>https://utrucking.com/admin/orders/5948585738428</t>
  </si>
  <si>
    <t>#16461</t>
  </si>
  <si>
    <t>Eli Jubelirer</t>
  </si>
  <si>
    <t>https://utrucking.com/admin/orders/5948586066108</t>
  </si>
  <si>
    <t>#16462</t>
  </si>
  <si>
    <t>m.sabatine@wustl.edu</t>
  </si>
  <si>
    <t>Matteo Sabatine</t>
  </si>
  <si>
    <t>https://utrucking.com/admin/orders/5948593995964</t>
  </si>
  <si>
    <t>#16463</t>
  </si>
  <si>
    <t>https://utrucking.com/admin/orders/5948603334844</t>
  </si>
  <si>
    <t>#16464</t>
  </si>
  <si>
    <t>yaelmargolis@outlook.com</t>
  </si>
  <si>
    <t>Yael Margolis</t>
  </si>
  <si>
    <t>2111</t>
  </si>
  <si>
    <t>https://utrucking.com/admin/orders/5948618080444</t>
  </si>
  <si>
    <t>#16465</t>
  </si>
  <si>
    <t>emloma29@gmail.com</t>
  </si>
  <si>
    <t>Norma Loma</t>
  </si>
  <si>
    <t>4111b</t>
  </si>
  <si>
    <t>Emily Loma</t>
  </si>
  <si>
    <t>https://utrucking.com/admin/orders/5948771958972</t>
  </si>
  <si>
    <t>#16466</t>
  </si>
  <si>
    <t>laskyds@gmail.com</t>
  </si>
  <si>
    <t>David Lasky</t>
  </si>
  <si>
    <t>91403-3827</t>
  </si>
  <si>
    <t>2031 - a</t>
  </si>
  <si>
    <t>https://utrucking.com/admin/orders/5949031841980</t>
  </si>
  <si>
    <t>#16467</t>
  </si>
  <si>
    <t xml:space="preserve"> 4053 - a</t>
  </si>
  <si>
    <t>https://utrucking.com/admin/orders/5949053370556</t>
  </si>
  <si>
    <t>#16468</t>
  </si>
  <si>
    <t>https://utrucking.com/admin/orders/5949060546748</t>
  </si>
  <si>
    <t>#16469</t>
  </si>
  <si>
    <t>chaehyun@wustl.edu</t>
  </si>
  <si>
    <t>Chaehyun Park</t>
  </si>
  <si>
    <t>Seocho-gu</t>
  </si>
  <si>
    <t>09:00 AM Sharp (Class at 10 AM)</t>
  </si>
  <si>
    <t>https://utrucking.com/admin/orders/5949179527356</t>
  </si>
  <si>
    <t>#16470</t>
  </si>
  <si>
    <t>valeriyamesquita12@gmail.com</t>
  </si>
  <si>
    <t>6615 Kingsbury blvd apt 3E, University City MO, 63130</t>
  </si>
  <si>
    <t>Valeriya Mesquita</t>
  </si>
  <si>
    <t>https://utrucking.com/admin/orders/5949197811900</t>
  </si>
  <si>
    <t>#16471</t>
  </si>
  <si>
    <t>Kaifeng Hu</t>
  </si>
  <si>
    <t>Apartment 2E-A</t>
  </si>
  <si>
    <t>https://utrucking.com/admin/orders/5949246472380</t>
  </si>
  <si>
    <t>#16472</t>
  </si>
  <si>
    <t>Veeral Bhoot</t>
  </si>
  <si>
    <t>Overland Park</t>
  </si>
  <si>
    <t>3400</t>
  </si>
  <si>
    <t>Uma Bhoot</t>
  </si>
  <si>
    <t>https://utrucking.com/admin/orders/5949254402236</t>
  </si>
  <si>
    <t>#16473</t>
  </si>
  <si>
    <t>w.xinyang@wustl.edu</t>
  </si>
  <si>
    <t>Xinyang Wu</t>
  </si>
  <si>
    <t>Room 1N-A, 340 Rosedale Ave., St. Louis, 63112</t>
  </si>
  <si>
    <t>https://utrucking.com/admin/orders/5949362012348</t>
  </si>
  <si>
    <t>#16474</t>
  </si>
  <si>
    <t>Kamila Price</t>
  </si>
  <si>
    <t>1013a</t>
  </si>
  <si>
    <t>Eliska Price</t>
  </si>
  <si>
    <t>https://utrucking.com/admin/orders/5949366927548</t>
  </si>
  <si>
    <t>#16475</t>
  </si>
  <si>
    <t>kaseylschwartz@icloud.com</t>
  </si>
  <si>
    <t>https://utrucking.com/admin/orders/5949408084156</t>
  </si>
  <si>
    <t>#16476</t>
  </si>
  <si>
    <t>junyangtan2021@outlook.com</t>
  </si>
  <si>
    <t>junyang tan</t>
  </si>
  <si>
    <t>6105 delmar blvd</t>
  </si>
  <si>
    <t>https://utrucking.com/admin/orders/5949423059132</t>
  </si>
  <si>
    <t>#16477</t>
  </si>
  <si>
    <t>a.lugosaavedra@wustl.edu</t>
  </si>
  <si>
    <t>Alejandro Saavedra</t>
  </si>
  <si>
    <t>Greenway - 311-A - a</t>
  </si>
  <si>
    <t>Alejandro Lugo Saavedra</t>
  </si>
  <si>
    <t>https://utrucking.com/admin/orders/5949928505532</t>
  </si>
  <si>
    <t>#16478</t>
  </si>
  <si>
    <t>victorbaek13@gmail.com</t>
  </si>
  <si>
    <t>Victor Baek</t>
  </si>
  <si>
    <t>202C a</t>
  </si>
  <si>
    <t>https://utrucking.com/admin/orders/5949998661820</t>
  </si>
  <si>
    <t>#16479</t>
  </si>
  <si>
    <t xml:space="preserve">Arya Mehta </t>
  </si>
  <si>
    <t>https://utrucking.com/admin/orders/5950144774332</t>
  </si>
  <si>
    <t>#16480</t>
  </si>
  <si>
    <t>carlson.m.l@wustl.edu</t>
  </si>
  <si>
    <t>Madeline Carlson</t>
  </si>
  <si>
    <t xml:space="preserve">6659 Kingsbury Boulevard
St. Louis MO, </t>
  </si>
  <si>
    <t>Palm Beach</t>
  </si>
  <si>
    <t>2-4pm</t>
  </si>
  <si>
    <t>https://utrucking.com/admin/orders/5950184227004</t>
  </si>
  <si>
    <t>#16481</t>
  </si>
  <si>
    <t>Aavik Wadivkar</t>
  </si>
  <si>
    <t>https://utrucking.com/admin/orders/5950185439420</t>
  </si>
  <si>
    <t>#16482</t>
  </si>
  <si>
    <t>m.teodor@wustl.edu</t>
  </si>
  <si>
    <t>Teodor Mali</t>
  </si>
  <si>
    <t>4002 - a</t>
  </si>
  <si>
    <t>https://utrucking.com/admin/orders/5950229512380</t>
  </si>
  <si>
    <t>#16483</t>
  </si>
  <si>
    <t>djosh@wustl.edu</t>
  </si>
  <si>
    <t>Joshua Donoho</t>
  </si>
  <si>
    <t>CHAPPAQUA</t>
  </si>
  <si>
    <t>Josh Donoho</t>
  </si>
  <si>
    <t>https://utrucking.com/admin/orders/5950249926844</t>
  </si>
  <si>
    <t>#16484</t>
  </si>
  <si>
    <t>Christopher Chung</t>
  </si>
  <si>
    <t>6669 Washington Avenue #103</t>
  </si>
  <si>
    <t xml:space="preserve">Christopher Chung </t>
  </si>
  <si>
    <t>https://utrucking.com/admin/orders/5950276075708</t>
  </si>
  <si>
    <t>#16485</t>
  </si>
  <si>
    <t>yeonsiyaro@gmail.com</t>
  </si>
  <si>
    <t>Yeonseo Shin</t>
  </si>
  <si>
    <t>214C-a</t>
  </si>
  <si>
    <t>Chloe Shin</t>
  </si>
  <si>
    <t>https://utrucking.com/admin/orders/5950282924220</t>
  </si>
  <si>
    <t>#16486</t>
  </si>
  <si>
    <t>s.zahra@wustl.edu</t>
  </si>
  <si>
    <t>Felicia Sarwono</t>
  </si>
  <si>
    <t>ZAHRA SARWONO</t>
  </si>
  <si>
    <t>https://utrucking.com/admin/orders/5950289608892</t>
  </si>
  <si>
    <t>#16487</t>
  </si>
  <si>
    <t>s.xiaxi@wustl.edu</t>
  </si>
  <si>
    <t>Emily Shi</t>
  </si>
  <si>
    <t>212 S. Meramec Ave. #710, Clayton, MO 63105</t>
  </si>
  <si>
    <t>SAINT LOUIS</t>
  </si>
  <si>
    <t>Xiaxi Shi/Emily Shi</t>
  </si>
  <si>
    <t>https://utrucking.com/admin/orders/5950299472060</t>
  </si>
  <si>
    <t>#16488</t>
  </si>
  <si>
    <t>g.a.zubler@wustl.edu</t>
  </si>
  <si>
    <t>Gregory Zubler</t>
  </si>
  <si>
    <t>205b</t>
  </si>
  <si>
    <t>GREGORY Zubler</t>
  </si>
  <si>
    <t>https://utrucking.com/admin/orders/5950466359484</t>
  </si>
  <si>
    <t>#16489</t>
  </si>
  <si>
    <t>Emerson Stein</t>
  </si>
  <si>
    <t>121-A</t>
  </si>
  <si>
    <t>https://utrucking.com/admin/orders/5950597005500</t>
  </si>
  <si>
    <t>#16490</t>
  </si>
  <si>
    <t>Nancy Kashanek</t>
  </si>
  <si>
    <t>Danny Alepa</t>
  </si>
  <si>
    <t>https://utrucking.com/admin/orders/5950614601916</t>
  </si>
  <si>
    <t>#16491</t>
  </si>
  <si>
    <t>1043</t>
  </si>
  <si>
    <t>https://utrucking.com/admin/orders/5950631248060</t>
  </si>
  <si>
    <t>#16492</t>
  </si>
  <si>
    <t>Lauren Poprik</t>
  </si>
  <si>
    <t>Robbinsville</t>
  </si>
  <si>
    <t>https://utrucking.com/admin/orders/5950803312828</t>
  </si>
  <si>
    <t>#16493</t>
  </si>
  <si>
    <t>aswhan66@gmail.com</t>
  </si>
  <si>
    <t>Amy Hanning</t>
  </si>
  <si>
    <t>605 Leland Avenue, Apt. #609
University City, MO 63130</t>
  </si>
  <si>
    <t>pacific palisades</t>
  </si>
  <si>
    <t>Evan Hanning</t>
  </si>
  <si>
    <t>https://utrucking.com/admin/orders/5950967939260</t>
  </si>
  <si>
    <t>#16494</t>
  </si>
  <si>
    <t>John Link</t>
  </si>
  <si>
    <t>4141</t>
  </si>
  <si>
    <t>https://utrucking.com/admin/orders/5951042879676</t>
  </si>
  <si>
    <t>#16495</t>
  </si>
  <si>
    <t>sarasteinmetz2016@gmail.com</t>
  </si>
  <si>
    <t>Sara Steinmetz</t>
  </si>
  <si>
    <t>3084</t>
  </si>
  <si>
    <t>https://utrucking.com/admin/orders/5951084560572</t>
  </si>
  <si>
    <t>#16496</t>
  </si>
  <si>
    <t>g.herzlinger@wustl.edu</t>
  </si>
  <si>
    <t>Ronald HERZLINGER</t>
  </si>
  <si>
    <t>1050</t>
  </si>
  <si>
    <t>Gabriel herzlinger</t>
  </si>
  <si>
    <t>https://utrucking.com/admin/orders/5951168544956</t>
  </si>
  <si>
    <t>#16497</t>
  </si>
  <si>
    <t>Elizabeth Mohanty</t>
  </si>
  <si>
    <t>Maya Mohanty</t>
  </si>
  <si>
    <t>https://utrucking.com/admin/orders/5951213797564</t>
  </si>
  <si>
    <t>#16498</t>
  </si>
  <si>
    <t>Ava Russell</t>
  </si>
  <si>
    <t>https://utrucking.com/admin/orders/5951342411964</t>
  </si>
  <si>
    <t>#16499</t>
  </si>
  <si>
    <t>christiancheng333@gmail.com</t>
  </si>
  <si>
    <t>Christian Cheng</t>
  </si>
  <si>
    <t>217-a</t>
  </si>
  <si>
    <t>https://utrucking.com/admin/orders/5951343886524</t>
  </si>
  <si>
    <t>#16500</t>
  </si>
  <si>
    <t>Lisa Carnes</t>
  </si>
  <si>
    <t>Libertyville</t>
  </si>
  <si>
    <t>David Carnes</t>
  </si>
  <si>
    <t>https://utrucking.com/admin/orders/5951402508476</t>
  </si>
  <si>
    <t>#16501</t>
  </si>
  <si>
    <t>Lucas Olmeta</t>
  </si>
  <si>
    <t>Peterborough</t>
  </si>
  <si>
    <t>2283</t>
  </si>
  <si>
    <t>https://utrucking.com/admin/orders/5951412732092</t>
  </si>
  <si>
    <t>#16502</t>
  </si>
  <si>
    <t>tarun.eswar15@gmail.com</t>
  </si>
  <si>
    <t>Eswar Subramanian</t>
  </si>
  <si>
    <t>CHELMSFORD</t>
  </si>
  <si>
    <t>4200</t>
  </si>
  <si>
    <t>Tarun Eswar</t>
  </si>
  <si>
    <t>https://utrucking.com/admin/orders/5951421710524</t>
  </si>
  <si>
    <t>#16503</t>
  </si>
  <si>
    <t>j.t.yu@wustl.edu</t>
  </si>
  <si>
    <t>Justin Yu</t>
  </si>
  <si>
    <t>SANTA MONICA</t>
  </si>
  <si>
    <t>106B</t>
  </si>
  <si>
    <t>https://utrucking.com/admin/orders/5951450644668</t>
  </si>
  <si>
    <t>#16504</t>
  </si>
  <si>
    <t>Olaolu M Sadik</t>
  </si>
  <si>
    <t>https://utrucking.com/admin/orders/5951471485116</t>
  </si>
  <si>
    <t>#16505</t>
  </si>
  <si>
    <t>l.taeeun@wustl.edu</t>
  </si>
  <si>
    <t>Jiyoung Kim</t>
  </si>
  <si>
    <t>206B</t>
  </si>
  <si>
    <t>Taeeun Lim</t>
  </si>
  <si>
    <t>https://utrucking.com/admin/orders/5951709642940</t>
  </si>
  <si>
    <t>#16506</t>
  </si>
  <si>
    <t>bobby@darin.net</t>
  </si>
  <si>
    <t>https://utrucking.com/admin/orders/5951761481916</t>
  </si>
  <si>
    <t>#16507</t>
  </si>
  <si>
    <t>en@wustl.edu</t>
  </si>
  <si>
    <t>En Wei</t>
  </si>
  <si>
    <t>7256 Pershing Ave</t>
  </si>
  <si>
    <t>https://utrucking.com/admin/orders/5951779602620</t>
  </si>
  <si>
    <t>#16508</t>
  </si>
  <si>
    <t>Daniel Oliva</t>
  </si>
  <si>
    <t>Rialto</t>
  </si>
  <si>
    <t>Daniel O.</t>
  </si>
  <si>
    <t>https://utrucking.com/admin/orders/5951794020540</t>
  </si>
  <si>
    <t>#16509</t>
  </si>
  <si>
    <t xml:space="preserve"> 9:30 - 5pm</t>
  </si>
  <si>
    <t>8/17/25
9:30a - 5:00p
3 movers
raised/lowered multiple beds
completed student move for Kamara</t>
  </si>
  <si>
    <t>https://utrucking.com/admin/orders/5951806668988</t>
  </si>
  <si>
    <t>#16510</t>
  </si>
  <si>
    <t xml:space="preserve"> 12:00p - 3pm</t>
  </si>
  <si>
    <t>8/20
12pm - 3pm
2 movers
replaced dresser and desk in House 5 207
re-lowered Dardick 4409 bed
raised/lowered beds</t>
  </si>
  <si>
    <t>https://utrucking.com/admin/orders/5951811813564</t>
  </si>
  <si>
    <t>#16511</t>
  </si>
  <si>
    <t xml:space="preserve"> 10am - 7pm</t>
  </si>
  <si>
    <t>8/21/25
10am-7pm
2 movers
raised/lowered beds
replaced various furniture</t>
  </si>
  <si>
    <t>https://utrucking.com/admin/orders/5951817416892</t>
  </si>
  <si>
    <t>#16512</t>
  </si>
  <si>
    <t>a.m.raboy@wustl.edu</t>
  </si>
  <si>
    <t>Douglas Raboy</t>
  </si>
  <si>
    <t>https://utrucking.com/admin/orders/5951823544508</t>
  </si>
  <si>
    <t>#16513</t>
  </si>
  <si>
    <t>chao.n.m@wustl.edu</t>
  </si>
  <si>
    <t>152-a</t>
  </si>
  <si>
    <t>Naomi Chao</t>
  </si>
  <si>
    <t>https://utrucking.com/admin/orders/5951824068796</t>
  </si>
  <si>
    <t>#16514</t>
  </si>
  <si>
    <t>Wyatt Ogle</t>
  </si>
  <si>
    <t>https://utrucking.com/admin/orders/5951841042620</t>
  </si>
  <si>
    <t>#16515</t>
  </si>
  <si>
    <t>shannon2corey@yahoo.com</t>
  </si>
  <si>
    <t>Shannon Corey</t>
  </si>
  <si>
    <t>Los Alamos</t>
  </si>
  <si>
    <t>Ian Corey</t>
  </si>
  <si>
    <t>https://utrucking.com/admin/orders/5951904415932</t>
  </si>
  <si>
    <t>#16516</t>
  </si>
  <si>
    <t>kevin.tong@wustl.edu</t>
  </si>
  <si>
    <t>Kevin Tong</t>
  </si>
  <si>
    <t>8400 Delmar Blvd, St. Louis, MO 63124
Apartment 222</t>
  </si>
  <si>
    <t>https://utrucking.com/admin/orders/5952293568700</t>
  </si>
  <si>
    <t>#16517</t>
  </si>
  <si>
    <t>bueno@wustl.edu</t>
  </si>
  <si>
    <t>Timothy Bueno</t>
  </si>
  <si>
    <t>2082</t>
  </si>
  <si>
    <t>https://utrucking.com/admin/orders/5952309231804</t>
  </si>
  <si>
    <t>#16518</t>
  </si>
  <si>
    <t>James West</t>
  </si>
  <si>
    <t>2E-A - a</t>
  </si>
  <si>
    <t>https://utrucking.com/admin/orders/5952490012860</t>
  </si>
  <si>
    <t>#16519</t>
  </si>
  <si>
    <t>Shravan Sen</t>
  </si>
  <si>
    <t>Paterson</t>
  </si>
  <si>
    <t>115</t>
  </si>
  <si>
    <t>https://utrucking.com/admin/orders/5952766345404</t>
  </si>
  <si>
    <t>#16520</t>
  </si>
  <si>
    <t>e.s.palmer@wustl.edu</t>
  </si>
  <si>
    <t>Samuel Palmer</t>
  </si>
  <si>
    <t>2081 - a</t>
  </si>
  <si>
    <t>https://utrucking.com/admin/orders/5952777158844</t>
  </si>
  <si>
    <t>#16521</t>
  </si>
  <si>
    <t>gibsonwerner@icloud.com</t>
  </si>
  <si>
    <t>Gibson Werner</t>
  </si>
  <si>
    <t>2022a</t>
  </si>
  <si>
    <t>https://utrucking.com/admin/orders/5952877330620</t>
  </si>
  <si>
    <t>#16522</t>
  </si>
  <si>
    <t xml:space="preserve"> 5:45p - 8:45p</t>
  </si>
  <si>
    <t xml:space="preserve">8/23/25 
1 guy
village east 1080, replaced bed frame
village 4083, lowered bed
Zetcher 2213, attempted to replace bed frame but student didn't like alternatives we brought so TBD
</t>
  </si>
  <si>
    <t>https://utrucking.com/admin/orders/5953279983804</t>
  </si>
  <si>
    <t>#16523</t>
  </si>
  <si>
    <t>zalbukerk@gmail.com</t>
  </si>
  <si>
    <t>Zoe Albukerk</t>
  </si>
  <si>
    <t>2034</t>
  </si>
  <si>
    <t>https://utrucking.com/admin/orders/5953513586876</t>
  </si>
  <si>
    <t>#16524</t>
  </si>
  <si>
    <t>Alisa Oates</t>
  </si>
  <si>
    <t>Amerot</t>
  </si>
  <si>
    <t>https://utrucking.com/admin/orders/5953717108924</t>
  </si>
  <si>
    <t>#16525</t>
  </si>
  <si>
    <t>kristinliu25@gmail.com</t>
  </si>
  <si>
    <t>Kristin Liu</t>
  </si>
  <si>
    <t>314</t>
  </si>
  <si>
    <t>https://utrucking.com/admin/orders/5953987641532</t>
  </si>
  <si>
    <t>#16526</t>
  </si>
  <si>
    <t>Robert Gabel</t>
  </si>
  <si>
    <t>444-b</t>
  </si>
  <si>
    <t>https://utrucking.com/admin/orders/5954030043324</t>
  </si>
  <si>
    <t>#16527</t>
  </si>
  <si>
    <t xml:space="preserve"> 2 / Included Insurance   - </t>
  </si>
  <si>
    <t>0301</t>
  </si>
  <si>
    <t>Nick Olsson</t>
  </si>
  <si>
    <t>https://utrucking.com/admin/orders/5954178121916</t>
  </si>
  <si>
    <t>#16528</t>
  </si>
  <si>
    <t>haow1@wustl.edu</t>
  </si>
  <si>
    <t>Hao Wang</t>
  </si>
  <si>
    <t>117</t>
  </si>
  <si>
    <t>https://utrucking.com/admin/orders/5955519512764</t>
  </si>
  <si>
    <t>#16529</t>
  </si>
  <si>
    <t>Jack Link</t>
  </si>
  <si>
    <t>https://utrucking.com/admin/orders/5955613491388</t>
  </si>
  <si>
    <t>#16530</t>
  </si>
  <si>
    <t>Nikki Zheng</t>
  </si>
  <si>
    <t>Unit 5031, 5700 Highland Plaza Dr, Saint Louis, MO 63110</t>
  </si>
  <si>
    <t>https://utrucking.com/admin/orders/5955662872764</t>
  </si>
  <si>
    <t>#16531</t>
  </si>
  <si>
    <t xml:space="preserve"> 12:30pm - 5:45pm</t>
  </si>
  <si>
    <t>8/24/25
2 guys + truck
12:30pm - 5:45pm
various tasks from Kelsey list, check 8/26 email update</t>
  </si>
  <si>
    <t>https://utrucking.com/admin/orders/5955695378620</t>
  </si>
  <si>
    <t>#16532</t>
  </si>
  <si>
    <t xml:space="preserve"> 10am - 4pm</t>
  </si>
  <si>
    <t xml:space="preserve">8/19/25
2 movers + truck
moved various items
lowered/ raised beds
check 8/19 daily ops tab &amp; email
</t>
  </si>
  <si>
    <t>https://utrucking.com/admin/orders/5955708977340</t>
  </si>
  <si>
    <t>#16533</t>
  </si>
  <si>
    <t xml:space="preserve"> 3:30p - 4:30p</t>
  </si>
  <si>
    <t>8/26/25
3:30pm - 4:00pm
2 movers + truck
Mudd 214, raised bed one level
Zetcher 3061, raised bed
Liggett 3362, raised bed 
Liggett 2300, added desk hutch
Liggett 2264, added desk hutch</t>
  </si>
  <si>
    <t>https://utrucking.com/admin/orders/5955718545596</t>
  </si>
  <si>
    <t>#16534</t>
  </si>
  <si>
    <t>Hajin Ruy</t>
  </si>
  <si>
    <t>https://utrucking.com/admin/orders/5955853615292</t>
  </si>
  <si>
    <t>#16535</t>
  </si>
  <si>
    <t>poonn2347@gmail.com</t>
  </si>
  <si>
    <t>Natalie Poon</t>
  </si>
  <si>
    <t>https://utrucking.com/admin/orders/5956746772668</t>
  </si>
  <si>
    <t>#16536</t>
  </si>
  <si>
    <t>annabel.l@wustl.edu</t>
  </si>
  <si>
    <t>Annabel Lee</t>
  </si>
  <si>
    <t xml:space="preserve">1015 Westbriar Dr NE
Vienna, VA 22180  </t>
  </si>
  <si>
    <t>https://utrucking.com/admin/orders/5956828725436</t>
  </si>
  <si>
    <t>#16537</t>
  </si>
  <si>
    <t>brecknock@wustl.edu</t>
  </si>
  <si>
    <t>https://utrucking.com/admin/orders/5956999479484</t>
  </si>
  <si>
    <t>#16538</t>
  </si>
  <si>
    <t>Zitian Barfuss Liao</t>
  </si>
  <si>
    <t>1030</t>
  </si>
  <si>
    <t>Eliot B (Sophomore Dorm)</t>
  </si>
  <si>
    <t>Zia Bärfuss—Liao</t>
  </si>
  <si>
    <t>https://utrucking.com/admin/orders/5960894939324</t>
  </si>
  <si>
    <t>#16539</t>
  </si>
  <si>
    <t>familyfaison@gmail.com</t>
  </si>
  <si>
    <t>Brooke Faison</t>
  </si>
  <si>
    <t>WASHINGTON</t>
  </si>
  <si>
    <t>B-2</t>
  </si>
  <si>
    <t xml:space="preserve">32 Revere Road, Washington CT 06793  </t>
  </si>
  <si>
    <t>Kip Faison</t>
  </si>
  <si>
    <t>https://utrucking.com/admin/orders/5961025716412</t>
  </si>
  <si>
    <t>#16540</t>
  </si>
  <si>
    <t>Abigail Lee</t>
  </si>
  <si>
    <t>(Abigail) Meena Lee</t>
  </si>
  <si>
    <t>https://utrucking.com/admin/orders/5963718066364</t>
  </si>
  <si>
    <t>#16541</t>
  </si>
  <si>
    <t>c.g.junco@wustl.edu</t>
  </si>
  <si>
    <t>Carlos Junco</t>
  </si>
  <si>
    <t xml:space="preserve">The Core Apartments, 718 South Euclid Ave, Unit#02-C201, St Louis </t>
  </si>
  <si>
    <t>https://utrucking.com/admin/orders/5963881414844</t>
  </si>
  <si>
    <t>#16542</t>
  </si>
  <si>
    <t>Tami Bruskotter</t>
  </si>
  <si>
    <t>307</t>
  </si>
  <si>
    <t xml:space="preserve">Reiland Bruskotter </t>
  </si>
  <si>
    <t>https://utrucking.com/admin/orders/5963923849404</t>
  </si>
  <si>
    <t>#16543</t>
  </si>
  <si>
    <t>Jenny Short</t>
  </si>
  <si>
    <t>Castle Rock</t>
  </si>
  <si>
    <t xml:space="preserve">3000 - 3002 specifically </t>
  </si>
  <si>
    <t>https://utrucking.com/admin/orders/5963953832124</t>
  </si>
  <si>
    <t>#16544</t>
  </si>
  <si>
    <t>yingluo@wustl.edu</t>
  </si>
  <si>
    <t>Claire Jin</t>
  </si>
  <si>
    <t>411</t>
  </si>
  <si>
    <t>https://utrucking.com/admin/orders/5965337362620</t>
  </si>
  <si>
    <t>#16545</t>
  </si>
  <si>
    <t>5715 Enright Ave, St. Louis, MO 63112</t>
  </si>
  <si>
    <t xml:space="preserve"> 4  General Moving Services - Internal</t>
  </si>
  <si>
    <t>David—can you please deliver 4 kits to 5715 Enright and text Eliana a photo at (626) 379-7884 from UTrucking number?</t>
  </si>
  <si>
    <t xml:space="preserve">Adam </t>
  </si>
  <si>
    <t>https://utrucking.com/admin/orders/5971564363964</t>
  </si>
  <si>
    <t>#16546</t>
  </si>
  <si>
    <t>Andrea.Glenn.Loigman@gmail.com</t>
  </si>
  <si>
    <t xml:space="preserve">Georgia Loigman </t>
  </si>
  <si>
    <t>https://utrucking.com/admin/orders/5971743342780</t>
  </si>
  <si>
    <t>#16547</t>
  </si>
  <si>
    <t xml:space="preserve"> 11am - 6pm</t>
  </si>
  <si>
    <t xml:space="preserve">8/27/25 
11am - 6pm
2 movers
box truck
raised/lowered various beds
completed various tasks from Reslife list. </t>
  </si>
  <si>
    <t>https://utrucking.com/admin/orders/5979480195260</t>
  </si>
  <si>
    <t>#16548</t>
  </si>
  <si>
    <t xml:space="preserve"> 1  General Moving Services - University</t>
  </si>
  <si>
    <t xml:space="preserve"> 3:30pm - 5pm</t>
  </si>
  <si>
    <t>9/11/25
1 team lead
personnel van
1 kit
1.5 hours
packed up Cacelie Gooden's items into 5 Utrucking boxes and shipped to her home in CT</t>
  </si>
  <si>
    <t>https://utrucking.com/admin/orders/5983353372860</t>
  </si>
  <si>
    <t>#16549</t>
  </si>
  <si>
    <t>e.d.salzberg@wustl.edu</t>
  </si>
  <si>
    <t>ellie salzberg</t>
  </si>
  <si>
    <t>https://utrucking.com/admin/orders/5994182082748</t>
  </si>
  <si>
    <t>#16552</t>
  </si>
  <si>
    <t>Jessica Myers</t>
  </si>
  <si>
    <t>weston</t>
  </si>
  <si>
    <t>2020</t>
  </si>
  <si>
    <t>Sam Myers</t>
  </si>
  <si>
    <t>https://utrucking.com/admin/orders/6004570783932</t>
  </si>
  <si>
    <t>#16553</t>
  </si>
  <si>
    <t>elee987628@wustl.edu</t>
  </si>
  <si>
    <t>Seunghan Lee</t>
  </si>
  <si>
    <t>Alicia Lee</t>
  </si>
  <si>
    <t>https://utrucking.com/admin/orders/6015786975420</t>
  </si>
  <si>
    <t>#16554</t>
  </si>
  <si>
    <t>m.j.sreter@wustl.edu</t>
  </si>
  <si>
    <t>lisa sreter</t>
  </si>
  <si>
    <t>Study Abroad Storage</t>
  </si>
  <si>
    <t>Madison Sreter</t>
  </si>
  <si>
    <t>https://utrucking.com/admin/orders/6020527259836</t>
  </si>
  <si>
    <t>#16555</t>
  </si>
  <si>
    <t>jy4000546@gmail.com</t>
  </si>
  <si>
    <t>Jean Yoo</t>
  </si>
  <si>
    <t>Seongnam-si</t>
  </si>
  <si>
    <t>Gyeonggi</t>
  </si>
  <si>
    <t>https://utrucking.com/admin/orders/6026654580924</t>
  </si>
  <si>
    <t>#16573</t>
  </si>
  <si>
    <t>xxxx</t>
  </si>
  <si>
    <t>Test</t>
  </si>
  <si>
    <t>https://utrucking.com/admin/orders/6033940971708</t>
  </si>
  <si>
    <t>#16601</t>
  </si>
  <si>
    <t>Yasenia Johnson</t>
  </si>
  <si>
    <t>4467 Castleman Ave. 3W, St. louis, MO 63110</t>
  </si>
  <si>
    <t>https://utrucking.com/admin/orders/6060083675324</t>
  </si>
  <si>
    <t>#16628</t>
  </si>
  <si>
    <t>seirertenley@gmail.com</t>
  </si>
  <si>
    <t>Dominique Schulte</t>
  </si>
  <si>
    <t>434</t>
  </si>
  <si>
    <t>Katherine Seirer</t>
  </si>
  <si>
    <t>https://utrucking.com/admin/orders/6064957882556</t>
  </si>
  <si>
    <t>#16629</t>
  </si>
  <si>
    <t>5956 De Giverville Ave
St. Louis</t>
  </si>
  <si>
    <t xml:space="preserve"> 1 [Included with Registration]   - </t>
  </si>
  <si>
    <t xml:space="preserve">407 Thornden St
South Orange, NJ 07079 </t>
  </si>
  <si>
    <t>https://utrucking.com/admin/orders/6068272136380</t>
  </si>
  <si>
    <t>#16630</t>
  </si>
  <si>
    <t>Watchung</t>
  </si>
  <si>
    <t xml:space="preserve">115 Scott Drive
Watchung, NJ 07069 </t>
  </si>
  <si>
    <t>https://utrucking.com/admin/orders/6105079611580</t>
  </si>
  <si>
    <t>#16631</t>
  </si>
  <si>
    <t>EmilyKobelski88@gmail.com</t>
  </si>
  <si>
    <t>Emily Kobelski</t>
  </si>
  <si>
    <t>4160 - a</t>
  </si>
  <si>
    <t>https://utrucking.com/admin/orders/6107310948540</t>
  </si>
  <si>
    <t>#16632</t>
  </si>
  <si>
    <t>Marianna Steele</t>
  </si>
  <si>
    <t>63</t>
  </si>
  <si>
    <t>https://utrucking.com/admin/orders/6108229959868</t>
  </si>
  <si>
    <t>#16633</t>
  </si>
  <si>
    <t>Joe Lynch</t>
  </si>
  <si>
    <t>https://utrucking.com/admin/orders/6108968091836</t>
  </si>
  <si>
    <t>#16634</t>
  </si>
  <si>
    <t>j.p.weil@wustl.edu</t>
  </si>
  <si>
    <t>City and County of San Francisco</t>
  </si>
  <si>
    <t>94117-4113</t>
  </si>
  <si>
    <t>304-E</t>
  </si>
  <si>
    <t>https://utrucking.com/admin/orders/6108968911036</t>
  </si>
  <si>
    <t>#16635</t>
  </si>
  <si>
    <t>https://utrucking.com/admin/orders/6109667492028</t>
  </si>
  <si>
    <t>#16636</t>
  </si>
  <si>
    <t>e.d.stulman@wustl.edu</t>
  </si>
  <si>
    <t>Stacy Bolton</t>
  </si>
  <si>
    <t>309b</t>
  </si>
  <si>
    <t xml:space="preserve">Eliza Stulman </t>
  </si>
  <si>
    <t>https://utrucking.com/admin/orders/6111546212540</t>
  </si>
  <si>
    <t>#16637</t>
  </si>
  <si>
    <t>Emily Schechter</t>
  </si>
  <si>
    <t>https://utrucking.com/admin/orders/6111799607484</t>
  </si>
  <si>
    <t>#16638</t>
  </si>
  <si>
    <t>c.ohare@wustl.edu</t>
  </si>
  <si>
    <t>Cayleigh O'Hare</t>
  </si>
  <si>
    <t>Durham</t>
  </si>
  <si>
    <t>https://utrucking.com/admin/orders/6111854690492</t>
  </si>
  <si>
    <t>#16639</t>
  </si>
  <si>
    <t>Loren Altshuler</t>
  </si>
  <si>
    <t>Randolph</t>
  </si>
  <si>
    <t>https://utrucking.com/admin/orders/6117020795068</t>
  </si>
  <si>
    <t>#16641</t>
  </si>
  <si>
    <t>https://utrucking.com/admin/orders/6135959552188</t>
  </si>
  <si>
    <t>#16643</t>
  </si>
  <si>
    <t>brian.l@wustl.edu</t>
  </si>
  <si>
    <t>Brian Liu</t>
  </si>
  <si>
    <t>63130-4761</t>
  </si>
  <si>
    <t>217A</t>
  </si>
  <si>
    <t>https://utrucking.com/admin/orders/6137330925756</t>
  </si>
  <si>
    <t>#16644</t>
  </si>
  <si>
    <t>c.t.chen@wustl.edu</t>
  </si>
  <si>
    <t>Clara Chen</t>
  </si>
  <si>
    <t>South Lebanon</t>
  </si>
  <si>
    <t>0060/0061</t>
  </si>
  <si>
    <t>https://utrucking.com/admin/orders/6140451520700</t>
  </si>
  <si>
    <t>#16645</t>
  </si>
  <si>
    <t>tktyranski@aol.com</t>
  </si>
  <si>
    <t>Lara Tyranski</t>
  </si>
  <si>
    <t xml:space="preserve">Everyl on The Loop 
6105 Delmar Blvd.
Apartment 617A
</t>
  </si>
  <si>
    <t xml:space="preserve">5927 Bayview Circle S
Gulfport, FL 33707 </t>
  </si>
  <si>
    <t>https://utrucking.com/admin/orders/6147540549820</t>
  </si>
  <si>
    <t>#16646</t>
  </si>
  <si>
    <t>Maya Faier</t>
  </si>
  <si>
    <t>Centennial</t>
  </si>
  <si>
    <t>413 (suite 41)</t>
  </si>
  <si>
    <t>https://utrucking.com/admin/orders/6149526880444</t>
  </si>
  <si>
    <t>#16647</t>
  </si>
  <si>
    <t>Sara Godwin</t>
  </si>
  <si>
    <t>1110</t>
  </si>
  <si>
    <t>https://utrucking.com/admin/orders/6152740012220</t>
  </si>
  <si>
    <t>#16648</t>
  </si>
  <si>
    <t>Ella Jang</t>
  </si>
  <si>
    <t>2074</t>
  </si>
  <si>
    <t>https://utrucking.com/admin/orders/6157326188732</t>
  </si>
  <si>
    <t>#16649</t>
  </si>
  <si>
    <t>Joshua Bank</t>
  </si>
  <si>
    <t>10065-6566</t>
  </si>
  <si>
    <t>1044</t>
  </si>
  <si>
    <t>https://utrucking.com/admin/orders/6157672317116</t>
  </si>
  <si>
    <t>#16650</t>
  </si>
  <si>
    <t>utrucking.facebook878@passmail.net</t>
  </si>
  <si>
    <t>David Park</t>
  </si>
  <si>
    <t>Cerritos</t>
  </si>
  <si>
    <t>308A</t>
  </si>
  <si>
    <t xml:space="preserve">17502 Vierra Ave, Cerritos CA 90703 </t>
  </si>
  <si>
    <t>https://utrucking.com/admin/orders/6159423766716</t>
  </si>
  <si>
    <t>#16651</t>
  </si>
  <si>
    <t>Megan Davis</t>
  </si>
  <si>
    <t xml:space="preserve">3228 Park Ave Richmond VA 23221 </t>
  </si>
  <si>
    <t>https://utrucking.com/admin/orders/6160228352188</t>
  </si>
  <si>
    <t>#16652</t>
  </si>
  <si>
    <t>mbreth@larryharmonpictures.com</t>
  </si>
  <si>
    <t>Griffen Carabet</t>
  </si>
  <si>
    <t>https://utrucking.com/admin/orders/6160320331964</t>
  </si>
  <si>
    <t>#16653</t>
  </si>
  <si>
    <t xml:space="preserve">30024 Trail Creek Drive
Agoura Hills, CA 91301 </t>
  </si>
  <si>
    <t>https://utrucking.com/admin/orders/6160620486844</t>
  </si>
  <si>
    <t>#16654</t>
  </si>
  <si>
    <t>Violetta Lacey</t>
  </si>
  <si>
    <t>203D</t>
  </si>
  <si>
    <t>https://utrucking.com/admin/orders/6165644214460</t>
  </si>
  <si>
    <t>#16679</t>
  </si>
  <si>
    <t>104C</t>
  </si>
  <si>
    <t>https://utrucking.com/admin/orders/6166263038140</t>
  </si>
  <si>
    <t>#16680</t>
  </si>
  <si>
    <t>lilymbrant@gmail.com</t>
  </si>
  <si>
    <t>Stephanie Brant</t>
  </si>
  <si>
    <t>Lily</t>
  </si>
  <si>
    <t>https://utrucking.com/admin/orders/6169413550268</t>
  </si>
  <si>
    <t>#16681</t>
  </si>
  <si>
    <t>d.tyler1@wustl.edu</t>
  </si>
  <si>
    <t>Tyler Hanson Mathur</t>
  </si>
  <si>
    <t xml:space="preserve">Loop Loft 6255 Apt 410 </t>
  </si>
  <si>
    <t>https://utrucking.com/admin/orders/6169603834044</t>
  </si>
  <si>
    <t>#16682</t>
  </si>
  <si>
    <t>raphaelmittererclaudet@gmail.com</t>
  </si>
  <si>
    <t>Michael Mitterer</t>
  </si>
  <si>
    <t>3041</t>
  </si>
  <si>
    <t xml:space="preserve">6115 Alpha Road Dallas, TX </t>
  </si>
  <si>
    <t>Rapha Mitterer-Claudet</t>
  </si>
  <si>
    <t>https://utrucking.com/admin/orders/6170793017532</t>
  </si>
  <si>
    <t>#16683</t>
  </si>
  <si>
    <t>dana.toussieh@gmail.com</t>
  </si>
  <si>
    <t>Dana Toussieh</t>
  </si>
  <si>
    <t xml:space="preserve"> 2   - </t>
  </si>
  <si>
    <t>1052</t>
  </si>
  <si>
    <t xml:space="preserve">598 LOMA VERDE AVENUE, PALO ALTO, CALIFORNIA 94306 </t>
  </si>
  <si>
    <t>https://utrucking.com/admin/orders/6171806400700</t>
  </si>
  <si>
    <t>#16684</t>
  </si>
  <si>
    <t>rebjb74@hotmail.com</t>
  </si>
  <si>
    <t>Rebecca Alkon</t>
  </si>
  <si>
    <t xml:space="preserve">1084 A east village </t>
  </si>
  <si>
    <t xml:space="preserve">Jake alkon </t>
  </si>
  <si>
    <t>https://utrucking.com/admin/orders/6171882848444</t>
  </si>
  <si>
    <t>#16685</t>
  </si>
  <si>
    <t>gjamie@wustl.edu</t>
  </si>
  <si>
    <t>https://utrucking.com/admin/orders/6172223635644</t>
  </si>
  <si>
    <t>#16686</t>
  </si>
  <si>
    <t>boyer.j.l@wustl.edu</t>
  </si>
  <si>
    <t>Laure Boyer</t>
  </si>
  <si>
    <t>Santa Clara</t>
  </si>
  <si>
    <t>210A</t>
  </si>
  <si>
    <t>Julie Boyer</t>
  </si>
  <si>
    <t>https://utrucking.com/admin/orders/6172887253180</t>
  </si>
  <si>
    <t>#16688</t>
  </si>
  <si>
    <t>cyoonjk@gmail.com</t>
  </si>
  <si>
    <t>kara yoon</t>
  </si>
  <si>
    <t xml:space="preserve">1514 Sorrento drive, Pacific palisades, CA. 90272 </t>
  </si>
  <si>
    <t>https://utrucking.com/admin/orders/6173728407740</t>
  </si>
  <si>
    <t>#16689</t>
  </si>
  <si>
    <t>https://utrucking.com/admin/orders/6176983351484</t>
  </si>
  <si>
    <t>#16690</t>
  </si>
  <si>
    <t>lucaminnich@gmail.com</t>
  </si>
  <si>
    <t>Luca Minnich</t>
  </si>
  <si>
    <t xml:space="preserve">19 Brookridge Drive, Greenwich CT, 06830 </t>
  </si>
  <si>
    <t>https://utrucking.com/admin/orders/6178358952124</t>
  </si>
  <si>
    <t>#16691</t>
  </si>
  <si>
    <t>josephlimbo65@gmail.com</t>
  </si>
  <si>
    <t>Joseph Lim</t>
  </si>
  <si>
    <t>605 Leland Ave Apt 401</t>
  </si>
  <si>
    <t>Santa Clarita</t>
  </si>
  <si>
    <t xml:space="preserve">41-42 24th St., Apt. 729, Long Island City, NY 11101 </t>
  </si>
  <si>
    <t>https://utrucking.com/admin/orders/6178377957564</t>
  </si>
  <si>
    <t>#16692</t>
  </si>
  <si>
    <t>c.j.schwab@wustl.edu</t>
  </si>
  <si>
    <t>213B</t>
  </si>
  <si>
    <t>https://utrucking.com/admin/orders/6179775054012</t>
  </si>
  <si>
    <t>#16693</t>
  </si>
  <si>
    <t>jackie.h.wang@wustl.edu</t>
  </si>
  <si>
    <t>Jackie Wang</t>
  </si>
  <si>
    <t>https://utrucking.com/admin/orders/6180185407676</t>
  </si>
  <si>
    <t>#16694</t>
  </si>
  <si>
    <t>sarah.m.suleman@gmail.com</t>
  </si>
  <si>
    <t>Myra Malik</t>
  </si>
  <si>
    <t>https://utrucking.com/admin/orders/6180202610876</t>
  </si>
  <si>
    <t>#16695</t>
  </si>
  <si>
    <t>e.l.weiss@wustl.edu</t>
  </si>
  <si>
    <t>(310) 429-1277</t>
  </si>
  <si>
    <t>https://utrucking.com/admin/orders/6180214669500</t>
  </si>
  <si>
    <t>#16696</t>
  </si>
  <si>
    <t>stellawal44@gmail.com</t>
  </si>
  <si>
    <t>https://utrucking.com/admin/orders/6181233623228</t>
  </si>
  <si>
    <t>#16697</t>
  </si>
  <si>
    <t>howell.w@wustl.edu</t>
  </si>
  <si>
    <t>William Howell</t>
  </si>
  <si>
    <t>304-B</t>
  </si>
  <si>
    <t xml:space="preserve">99 81st St </t>
  </si>
  <si>
    <t>https://utrucking.com/admin/orders/6182720307388</t>
  </si>
  <si>
    <t>#16698</t>
  </si>
  <si>
    <t>cowanrb@gmail.com</t>
  </si>
  <si>
    <t>Rick Cowan</t>
  </si>
  <si>
    <t xml:space="preserve">3602 44th Ave SW
Seattle, WA 98116 </t>
  </si>
  <si>
    <t>Katherine Cowan</t>
  </si>
  <si>
    <t>https://utrucking.com/admin/orders/6182799900860</t>
  </si>
  <si>
    <t>#16699</t>
  </si>
  <si>
    <t>201a</t>
  </si>
  <si>
    <t>https://utrucking.com/admin/orders/6182906101948</t>
  </si>
  <si>
    <t>#16700</t>
  </si>
  <si>
    <t xml:space="preserve">1015 Westbriar Dr NE, Vienna, VA 22180 </t>
  </si>
  <si>
    <t>https://utrucking.com/admin/orders/6182911115452</t>
  </si>
  <si>
    <t>#16701</t>
  </si>
  <si>
    <t>Elizabeth Holah</t>
  </si>
  <si>
    <t>201G</t>
  </si>
  <si>
    <t>https://utrucking.com/admin/orders/6183013155004</t>
  </si>
  <si>
    <t>#16702</t>
  </si>
  <si>
    <t xml:space="preserve"> 1 WashU Housing  - </t>
  </si>
  <si>
    <t xml:space="preserve">   Beaumont - 206</t>
  </si>
  <si>
    <t xml:space="preserve"> Millbrook 3 - 101G - a and Millbrook 3 - 101F - a</t>
  </si>
  <si>
    <t xml:space="preserve">The boxes/stuff will be labelled and moved from one room to two different rooms in the same apartment. </t>
  </si>
  <si>
    <t xml:space="preserve"> Fiona Bell</t>
  </si>
  <si>
    <t>https://utrucking.com/admin/orders/6184870576316</t>
  </si>
  <si>
    <t>#16703</t>
  </si>
  <si>
    <t>annamiller2905@gmail.com</t>
  </si>
  <si>
    <t xml:space="preserve"> 0 WashU Housing  - </t>
  </si>
  <si>
    <t xml:space="preserve">  Beaumont House 204</t>
  </si>
  <si>
    <t xml:space="preserve"> Millbrook 3 101 C and D </t>
  </si>
  <si>
    <t>We will not be in town at the time of this move! Please let me know if this will be an issue. Additionally, items moved will be split between Millbrook 101 C and D - items will be labeled. Thank you!</t>
  </si>
  <si>
    <t xml:space="preserve"> Anna Miller</t>
  </si>
  <si>
    <t>https://utrucking.com/admin/orders/6186025353404</t>
  </si>
  <si>
    <t>#16704</t>
  </si>
  <si>
    <t>Isaac Fenster</t>
  </si>
  <si>
    <t>413b</t>
  </si>
  <si>
    <t>https://utrucking.com/admin/orders/6187090739388</t>
  </si>
  <si>
    <t>#16705</t>
  </si>
  <si>
    <t>aschlanger42@gmail.com</t>
  </si>
  <si>
    <t>Ari Schlanger</t>
  </si>
  <si>
    <t>6643 Kingsbury Blvd</t>
  </si>
  <si>
    <t>https://utrucking.com/admin/orders/6187554046140</t>
  </si>
  <si>
    <t>#16706</t>
  </si>
  <si>
    <t>Lalita Rahman</t>
  </si>
  <si>
    <t xml:space="preserve">2E-B </t>
  </si>
  <si>
    <t xml:space="preserve">Faheem Rahman </t>
  </si>
  <si>
    <t>https://utrucking.com/admin/orders/6188259475644</t>
  </si>
  <si>
    <t>#16707</t>
  </si>
  <si>
    <t>joshwiniarsky100@gmail.com</t>
  </si>
  <si>
    <t>Raz Winiarski</t>
  </si>
  <si>
    <t>301C</t>
  </si>
  <si>
    <t>Joshua Winiarsky</t>
  </si>
  <si>
    <t>https://utrucking.com/admin/orders/6188487868604</t>
  </si>
  <si>
    <t>#16708</t>
  </si>
  <si>
    <t>a.bonhamwalsh@wustl.edu</t>
  </si>
  <si>
    <t>Alex Bonham Walsh</t>
  </si>
  <si>
    <t xml:space="preserve">40 Salmon Kill Rd, Lakeville, CT 06039 </t>
  </si>
  <si>
    <t>https://utrucking.com/admin/orders/6188803424444</t>
  </si>
  <si>
    <t>#16709</t>
  </si>
  <si>
    <t xml:space="preserve">28 Black Pine Lane, Lumberton NJ 08048 </t>
  </si>
  <si>
    <t>https://utrucking.com/admin/orders/6189286195388</t>
  </si>
  <si>
    <t>#16710</t>
  </si>
  <si>
    <t>Elizabeth Hlavka</t>
  </si>
  <si>
    <t xml:space="preserve">  Beaumont 205</t>
  </si>
  <si>
    <t xml:space="preserve"> Millbrook 3, Room 101A</t>
  </si>
  <si>
    <t>About 10 boxes, microwave, refrigerator, 2 under bed storage containers</t>
  </si>
  <si>
    <t xml:space="preserve"> Annie Hlavka</t>
  </si>
  <si>
    <t>https://utrucking.com/admin/orders/6189656539324</t>
  </si>
  <si>
    <t>#16711</t>
  </si>
  <si>
    <t xml:space="preserve">2439 Funston Ave
San Francisco, CA  94116
United States </t>
  </si>
  <si>
    <t>https://utrucking.com/admin/orders/6190100283580</t>
  </si>
  <si>
    <t>#16712</t>
  </si>
  <si>
    <t>Maxwell Spinner</t>
  </si>
  <si>
    <t>Rochester</t>
  </si>
  <si>
    <t>1013-a</t>
  </si>
  <si>
    <t>https://utrucking.com/admin/orders/6190139998396</t>
  </si>
  <si>
    <t>#16713</t>
  </si>
  <si>
    <t>https://utrucking.com/admin/orders/6191849242812</t>
  </si>
  <si>
    <t>#16714</t>
  </si>
  <si>
    <t>l.a.raimondi@wustl.edu</t>
  </si>
  <si>
    <t>(516) 241-7683</t>
  </si>
  <si>
    <t>Liora Raimondi</t>
  </si>
  <si>
    <t>Oceanside</t>
  </si>
  <si>
    <t>https://utrucking.com/admin/orders/6192321396924</t>
  </si>
  <si>
    <t>#16715</t>
  </si>
  <si>
    <t>https://utrucking.com/admin/orders/6192601006268</t>
  </si>
  <si>
    <t>#16716</t>
  </si>
  <si>
    <t>North York</t>
  </si>
  <si>
    <t>M3B 1T7</t>
  </si>
  <si>
    <t>https://utrucking.com/admin/orders/6193754505404</t>
  </si>
  <si>
    <t>#16717</t>
  </si>
  <si>
    <t>Sherry Edelstein</t>
  </si>
  <si>
    <t>https://utrucking.com/admin/orders/6195387302076</t>
  </si>
  <si>
    <t>#16718</t>
  </si>
  <si>
    <t>kelizabethstubbs@gmail.com</t>
  </si>
  <si>
    <t>Katherine Stubbs</t>
  </si>
  <si>
    <t>6105 Delmar blvd Apt 1203 stl</t>
  </si>
  <si>
    <t xml:space="preserve">2900 Nancy creek red Atlanta ga 30327 </t>
  </si>
  <si>
    <t>Katie Stubbs</t>
  </si>
  <si>
    <t>https://utrucking.com/admin/orders/6200830492860</t>
  </si>
  <si>
    <t>#16719</t>
  </si>
  <si>
    <t>j.twolf@wustl.edu</t>
  </si>
  <si>
    <t>Jordan Wolf</t>
  </si>
  <si>
    <t>Lloyd Harbor</t>
  </si>
  <si>
    <t>302F-A</t>
  </si>
  <si>
    <t>https://utrucking.com/admin/orders/6203181301948</t>
  </si>
  <si>
    <t>#16722</t>
  </si>
  <si>
    <t>3031</t>
  </si>
  <si>
    <t>Georgie Loigman</t>
  </si>
  <si>
    <t>https://utrucking.com/admin/orders/6208359563452</t>
  </si>
  <si>
    <t>#16747</t>
  </si>
  <si>
    <t xml:space="preserve">19 Brookridge Dr, Greenwich, CT  </t>
  </si>
  <si>
    <t>https://utrucking.com/admin/orders/6208824672444</t>
  </si>
  <si>
    <t>#16754</t>
  </si>
  <si>
    <t>b.t.lee@wustl.edu</t>
  </si>
  <si>
    <t>Brian Lee</t>
  </si>
  <si>
    <t>905 Eastgate Ave, University City, MO, 63130, 1N</t>
  </si>
  <si>
    <t>https://utrucking.com/admin/orders/6209501855932</t>
  </si>
  <si>
    <t>#16755</t>
  </si>
  <si>
    <t>ratnajag@gmail.com</t>
  </si>
  <si>
    <t>720-221-4486</t>
  </si>
  <si>
    <t>Ratna Contractor Gupta</t>
  </si>
  <si>
    <t>Lakewood</t>
  </si>
  <si>
    <t xml:space="preserve">420 </t>
  </si>
  <si>
    <t>Diya Gupta</t>
  </si>
  <si>
    <t>https://utrucking.com/admin/orders/6211627679932</t>
  </si>
  <si>
    <t>#16756</t>
  </si>
  <si>
    <t>a.m.nochez@wustl.edu</t>
  </si>
  <si>
    <t>Ariel Nochez</t>
  </si>
  <si>
    <t>https://utrucking.com/admin/orders/6213459378364</t>
  </si>
  <si>
    <t>#16757</t>
  </si>
  <si>
    <t>https://utrucking.com/admin/orders/6215750615228</t>
  </si>
  <si>
    <t>#16764</t>
  </si>
  <si>
    <t>Peter Gong</t>
  </si>
  <si>
    <t>311-a</t>
  </si>
  <si>
    <t>https://utrucking.com/admin/orders/6216625782972</t>
  </si>
  <si>
    <t>#16765</t>
  </si>
  <si>
    <t>Emily Kaiser</t>
  </si>
  <si>
    <t>Lucille Kaiser</t>
  </si>
  <si>
    <t>https://utrucking.com/admin/orders/6221120471228</t>
  </si>
  <si>
    <t>#16768</t>
  </si>
  <si>
    <t>michaeladamaghi@gmail.com</t>
  </si>
  <si>
    <t>Michaela Damaghi</t>
  </si>
  <si>
    <t>Kings Point</t>
  </si>
  <si>
    <t>0044 - a</t>
  </si>
  <si>
    <t>https://utrucking.com/admin/orders/6221444546748</t>
  </si>
  <si>
    <t>#16769</t>
  </si>
  <si>
    <t>Andrew Shane</t>
  </si>
  <si>
    <t>3101 a</t>
  </si>
  <si>
    <t>https://utrucking.com/admin/orders/6223099920572</t>
  </si>
  <si>
    <t>#16770</t>
  </si>
  <si>
    <t>Colin Falvey</t>
  </si>
  <si>
    <t>6105 Delmar Blvd. St. Louis MO 63112 Apartment 710</t>
  </si>
  <si>
    <t xml:space="preserve">Colin Falvey </t>
  </si>
  <si>
    <t>https://utrucking.com/admin/orders/6226190926012</t>
  </si>
  <si>
    <t>#16771</t>
  </si>
  <si>
    <t>vanournyjack@gmail.com</t>
  </si>
  <si>
    <t>Jack Vanourny</t>
  </si>
  <si>
    <t>8025 Bonhomme Ave, Apt #0711, Clayton MO</t>
  </si>
  <si>
    <t>https://utrucking.com/admin/orders/6227419758780</t>
  </si>
  <si>
    <t>#16772</t>
  </si>
  <si>
    <t>priyankasomaiya974@gmail.com</t>
  </si>
  <si>
    <t>Priyanka Somaiya</t>
  </si>
  <si>
    <t>Chatham, NJ</t>
  </si>
  <si>
    <t>https://utrucking.com/admin/orders/6227897221308</t>
  </si>
  <si>
    <t>#16773</t>
  </si>
  <si>
    <t>Paris Navas</t>
  </si>
  <si>
    <t>4040</t>
  </si>
  <si>
    <t xml:space="preserve">1275 15th Street, Apt. 4C, Fort Lee, NJ 07024 </t>
  </si>
  <si>
    <t xml:space="preserve"> 0 / Included Insurance   - </t>
  </si>
  <si>
    <t>https://utrucking.com/admin/orders/6228069417148</t>
  </si>
  <si>
    <t>#16774</t>
  </si>
  <si>
    <t>https://utrucking.com/admin/orders/6228124401852</t>
  </si>
  <si>
    <t>#16775</t>
  </si>
  <si>
    <t>cmaxwellfalvey@gmail.com</t>
  </si>
  <si>
    <t>6105 Delmar Blvd. Saint Louis, MO 63112 Apt. 710</t>
  </si>
  <si>
    <t>https://utrucking.com/admin/orders/6228440350908</t>
  </si>
  <si>
    <t>#16776</t>
  </si>
  <si>
    <t>Amira Thadani</t>
  </si>
  <si>
    <t>4011 - a</t>
  </si>
  <si>
    <t>https://utrucking.com/admin/orders/6228539932860</t>
  </si>
  <si>
    <t>#16777</t>
  </si>
  <si>
    <t>Tiffany Johnson</t>
  </si>
  <si>
    <t>East Point</t>
  </si>
  <si>
    <t xml:space="preserve">Kaylie Stephens </t>
  </si>
  <si>
    <t>https://utrucking.com/admin/orders/6230137438396</t>
  </si>
  <si>
    <t>#16778</t>
  </si>
  <si>
    <t>Sara Schutzman</t>
  </si>
  <si>
    <t>https://utrucking.com/admin/orders/6235116306620</t>
  </si>
  <si>
    <t>#16779</t>
  </si>
  <si>
    <t>https://utrucking.com/admin/orders/6266325303484</t>
  </si>
  <si>
    <t>#16780</t>
  </si>
  <si>
    <t>0044</t>
  </si>
  <si>
    <t>https://utrucking.com/admin/orders/6273753710780</t>
  </si>
  <si>
    <t>#16781</t>
  </si>
  <si>
    <t>andrea@veritasleadershipllc.com</t>
  </si>
  <si>
    <t>Andrea Miller</t>
  </si>
  <si>
    <t xml:space="preserve"> 3 / Included Insurance   - </t>
  </si>
  <si>
    <t>3122</t>
  </si>
  <si>
    <t>Sophie Miller</t>
  </si>
  <si>
    <t>https://utrucking.com/admin/orders/6274244214972</t>
  </si>
  <si>
    <t>#16782</t>
  </si>
  <si>
    <t>Serene Harris</t>
  </si>
  <si>
    <t>https://utrucking.com/admin/orders/6274557509820</t>
  </si>
  <si>
    <t>#16783</t>
  </si>
  <si>
    <t>justinchoi6769@gmail.com</t>
  </si>
  <si>
    <t>Justin Choi</t>
  </si>
  <si>
    <t xml:space="preserve">605 Leland Avenue, St. Louis MO 63130, APT 203 </t>
  </si>
  <si>
    <t xml:space="preserve">TBD  </t>
  </si>
  <si>
    <t>https://utrucking.com/admin/orders/6276103536828</t>
  </si>
  <si>
    <t>#16784</t>
  </si>
  <si>
    <t>Anya Weinberg</t>
  </si>
  <si>
    <t>3160</t>
  </si>
  <si>
    <t xml:space="preserve">12 Annette Way, Jericho, NY 11753  </t>
  </si>
  <si>
    <t xml:space="preserve">Holden Weinberg </t>
  </si>
  <si>
    <t>https://utrucking.com/admin/orders/6280053817532</t>
  </si>
  <si>
    <t>#16785</t>
  </si>
  <si>
    <t>https://utrucking.com/admin/orders/6280636432572</t>
  </si>
  <si>
    <t>#16786</t>
  </si>
  <si>
    <t>RebeccaBurack@gmail.com</t>
  </si>
  <si>
    <t>https://utrucking.com/admin/orders/6284701139132</t>
  </si>
  <si>
    <t>#16787</t>
  </si>
  <si>
    <t xml:space="preserve">30 Walworth Avenue, Scarsdale, NY 10583 </t>
  </si>
  <si>
    <t>https://utrucking.com/admin/orders/6288844193980</t>
  </si>
  <si>
    <t>#16807</t>
  </si>
  <si>
    <t>lilycfiala@gmail.com</t>
  </si>
  <si>
    <t>Lily. Fialas</t>
  </si>
  <si>
    <t xml:space="preserve">  7238 Pershing ave 63130 and 16 waverton drive 63124</t>
  </si>
  <si>
    <t xml:space="preserve"> 150 N Brentwood apt E</t>
  </si>
  <si>
    <t>I have a few things in storage at my parents house that we will need to pick up as well</t>
  </si>
  <si>
    <t xml:space="preserve"> Lily fiala</t>
  </si>
  <si>
    <t>https://utrucking.com/admin/orders/6291749961916</t>
  </si>
  <si>
    <t>#16808</t>
  </si>
  <si>
    <t>hampton.thun@gmail.com</t>
  </si>
  <si>
    <t xml:space="preserve">3152 Curts Ave,
LA, CA
90034 </t>
  </si>
  <si>
    <t>https://utrucking.com/admin/orders/6293902917820</t>
  </si>
  <si>
    <t>#16809</t>
  </si>
  <si>
    <t>https://utrucking.com/admin/orders/6293951611068</t>
  </si>
  <si>
    <t>#16810</t>
  </si>
  <si>
    <t>4427A</t>
  </si>
  <si>
    <t xml:space="preserve">4 Rainbow Ridge Dr
Livingston, NJ 07039 </t>
  </si>
  <si>
    <t>https://utrucking.com/admin/orders/6294642622652</t>
  </si>
  <si>
    <t>#16811</t>
  </si>
  <si>
    <t>https://utrucking.com/admin/orders/6300483223740</t>
  </si>
  <si>
    <t>#16812</t>
  </si>
  <si>
    <t>https://utrucking.com/admin/orders/6303486509244</t>
  </si>
  <si>
    <t>#16814</t>
  </si>
  <si>
    <t>https://utrucking.com/admin/orders/6303486542012</t>
  </si>
  <si>
    <t>#16815</t>
  </si>
  <si>
    <t>c.a.goebel@wustl.edu</t>
  </si>
  <si>
    <t>https://utrucking.com/admin/orders/6303485657276</t>
  </si>
  <si>
    <t>#16813</t>
  </si>
  <si>
    <t>jackie.kershner@icloud.com</t>
  </si>
  <si>
    <t>https://utrucking.com/admin/orders/6303509315772</t>
  </si>
  <si>
    <t>#16816</t>
  </si>
  <si>
    <t>NYC</t>
  </si>
  <si>
    <t>https://utrucking.com/admin/orders/6303615418556</t>
  </si>
  <si>
    <t>#16817</t>
  </si>
  <si>
    <t>kennedyskylarhj@gmail.com</t>
  </si>
  <si>
    <t>https://utrucking.com/admin/orders/6303682363580</t>
  </si>
  <si>
    <t>#16818</t>
  </si>
  <si>
    <t>Brittany Chang</t>
  </si>
  <si>
    <t>4071</t>
  </si>
  <si>
    <t>Brandon Chang</t>
  </si>
  <si>
    <t>https://utrucking.com/admin/orders/6303731777724</t>
  </si>
  <si>
    <t>#16819</t>
  </si>
  <si>
    <t>elhaik@wustl.edu</t>
  </si>
  <si>
    <t>Vincent Elhaik</t>
  </si>
  <si>
    <t>Madison Elhaik</t>
  </si>
  <si>
    <t>https://utrucking.com/admin/orders/6303768772796</t>
  </si>
  <si>
    <t>#16820</t>
  </si>
  <si>
    <t>alex.j.lee@wustl.edu</t>
  </si>
  <si>
    <t>https://utrucking.com/admin/orders/6303890407612</t>
  </si>
  <si>
    <t>#16821</t>
  </si>
  <si>
    <t>soeinj908@gmail.com</t>
  </si>
  <si>
    <t>Samantha Oei</t>
  </si>
  <si>
    <t>https://utrucking.com/admin/orders/6304565952700</t>
  </si>
  <si>
    <t>#16822</t>
  </si>
  <si>
    <t>sarahcase@yahoo.com</t>
  </si>
  <si>
    <t>2014</t>
  </si>
  <si>
    <t>https://utrucking.com/admin/orders/6304756203708</t>
  </si>
  <si>
    <t>#16823</t>
  </si>
  <si>
    <t>https://utrucking.com/admin/orders/6304836583612</t>
  </si>
  <si>
    <t>#16824</t>
  </si>
  <si>
    <t>nr06880@gmail.com</t>
  </si>
  <si>
    <t>Noah Robins</t>
  </si>
  <si>
    <t xml:space="preserve"> 0 Other  - </t>
  </si>
  <si>
    <t xml:space="preserve">  Southwest</t>
  </si>
  <si>
    <t xml:space="preserve"> 7358 Pershing Ave</t>
  </si>
  <si>
    <t>Move Noah's furniture with pink postits + paintings</t>
  </si>
  <si>
    <t xml:space="preserve"> Noah Robins</t>
  </si>
  <si>
    <t>https://utrucking.com/admin/orders/6306018361532</t>
  </si>
  <si>
    <t>#16825</t>
  </si>
  <si>
    <t>Ann Soo</t>
  </si>
  <si>
    <t>https://utrucking.com/admin/orders/6307034923196</t>
  </si>
  <si>
    <t>#16826</t>
  </si>
  <si>
    <t>d.a.klein@wustl.edu</t>
  </si>
  <si>
    <t>(410) 382-2747</t>
  </si>
  <si>
    <t>1EB</t>
  </si>
  <si>
    <t>David Klein</t>
  </si>
  <si>
    <t>https://utrucking.com/admin/orders/6307433218236</t>
  </si>
  <si>
    <t>#16827</t>
  </si>
  <si>
    <t>Yuwei Zhang</t>
  </si>
  <si>
    <t>Will Zhang</t>
  </si>
  <si>
    <t>https://utrucking.com/admin/orders/6308447191228</t>
  </si>
  <si>
    <t>#16828</t>
  </si>
  <si>
    <t>j.m.west@wustl.edu</t>
  </si>
  <si>
    <t xml:space="preserve"> 1 [Included with Registration] / $500 of Additional Coverage   - </t>
  </si>
  <si>
    <t>2E-C</t>
  </si>
  <si>
    <t>James Wesf</t>
  </si>
  <si>
    <t>https://utrucking.com/admin/orders/6308640260284</t>
  </si>
  <si>
    <t>#16829</t>
  </si>
  <si>
    <t>William Yan</t>
  </si>
  <si>
    <t>Carrollton</t>
  </si>
  <si>
    <t>75010-4976</t>
  </si>
  <si>
    <t>Sarah Yan</t>
  </si>
  <si>
    <t>https://utrucking.com/admin/orders/6309456445628</t>
  </si>
  <si>
    <t>#16830</t>
  </si>
  <si>
    <t>avaswietgirl@gmail.com</t>
  </si>
  <si>
    <t>63105-2215</t>
  </si>
  <si>
    <t>https://utrucking.com/admin/orders/6310771261628</t>
  </si>
  <si>
    <t>#16831</t>
  </si>
  <si>
    <t>yuwei.zhang@wustl.edu</t>
  </si>
  <si>
    <t>https://utrucking.com/admin/orders/6310827294908</t>
  </si>
  <si>
    <t>#16832</t>
  </si>
  <si>
    <t>a.g.meer@wustl.edu</t>
  </si>
  <si>
    <t>012</t>
  </si>
  <si>
    <t>https://utrucking.com/admin/orders/6311947239612</t>
  </si>
  <si>
    <t>#16834</t>
  </si>
  <si>
    <t>g.yihan@wustl.edu</t>
  </si>
  <si>
    <t>https://utrucking.com/admin/orders/6311961952444</t>
  </si>
  <si>
    <t>#16835</t>
  </si>
  <si>
    <t>gornstein.s@wustl.edu</t>
  </si>
  <si>
    <t>Natalie Gornstein</t>
  </si>
  <si>
    <t>103b</t>
  </si>
  <si>
    <t>Sam Gornstein</t>
  </si>
  <si>
    <t>https://utrucking.com/admin/orders/6311990100156</t>
  </si>
  <si>
    <t>#16836</t>
  </si>
  <si>
    <t>bergman.s@wustl.edu</t>
  </si>
  <si>
    <t>Stephanie Bergman</t>
  </si>
  <si>
    <t>Atlanta`</t>
  </si>
  <si>
    <t>301-E</t>
  </si>
  <si>
    <t>https://utrucking.com/admin/orders/6312790032572</t>
  </si>
  <si>
    <t>#16838</t>
  </si>
  <si>
    <t>hernj72@gmail.com</t>
  </si>
  <si>
    <t>Jon Hernandez</t>
  </si>
  <si>
    <t xml:space="preserve">Lena Hernandez </t>
  </si>
  <si>
    <t>https://utrucking.com/admin/orders/6313196224700</t>
  </si>
  <si>
    <t>#16841</t>
  </si>
  <si>
    <t>Willow Vogel</t>
  </si>
  <si>
    <t>https://utrucking.com/admin/orders/6313291219132</t>
  </si>
  <si>
    <t>#16842</t>
  </si>
  <si>
    <t>chaeyoung@wustl.edu</t>
  </si>
  <si>
    <t>Alicia Kim</t>
  </si>
  <si>
    <t>332</t>
  </si>
  <si>
    <t>https://utrucking.com/admin/orders/6321384358076</t>
  </si>
  <si>
    <t>#16872</t>
  </si>
  <si>
    <t>https://utrucking.com/admin/orders/6321768333500</t>
  </si>
  <si>
    <t>#16874</t>
  </si>
  <si>
    <t>g.d.michaels@wustl.edu</t>
  </si>
  <si>
    <t>07670-1206</t>
  </si>
  <si>
    <t>Gregory Michaels</t>
  </si>
  <si>
    <t>https://utrucking.com/admin/orders/6323846774972</t>
  </si>
  <si>
    <t>#16879</t>
  </si>
  <si>
    <t>g.natasha@wustl.edu</t>
  </si>
  <si>
    <t>Michelle Caez Rosario</t>
  </si>
  <si>
    <t>Kissimmee</t>
  </si>
  <si>
    <t>Suite 11, Room 112</t>
  </si>
  <si>
    <t>Natasha M Gonzalez</t>
  </si>
  <si>
    <t>https://utrucking.com/admin/orders/6324112523452</t>
  </si>
  <si>
    <t>#16945</t>
  </si>
  <si>
    <t>chuyan.w@wustl.edu</t>
  </si>
  <si>
    <t>Yachun Wen</t>
  </si>
  <si>
    <t>Hebe Wen</t>
  </si>
  <si>
    <t>https://utrucking.com/admin/orders/6324159414460</t>
  </si>
  <si>
    <t>#16989</t>
  </si>
  <si>
    <t>https://utrucking.com/admin/orders/6325497626812</t>
  </si>
  <si>
    <t>#17042</t>
  </si>
  <si>
    <t>zachmodlinger@gmail.com</t>
  </si>
  <si>
    <t>Zach Modlinger</t>
  </si>
  <si>
    <t>https://utrucking.com/admin/orders/6325523972284</t>
  </si>
  <si>
    <t>#17043</t>
  </si>
  <si>
    <t>dainchang0207@gmail.com</t>
  </si>
  <si>
    <t>Dain Chang</t>
  </si>
  <si>
    <t>Kyle Chang</t>
  </si>
  <si>
    <t>https://utrucking.com/admin/orders/6325525971132</t>
  </si>
  <si>
    <t>#17044</t>
  </si>
  <si>
    <t>cohenrebecca@gmail.com</t>
  </si>
  <si>
    <t>Rebecca Cohen</t>
  </si>
  <si>
    <t xml:space="preserve">Rena Cohen </t>
  </si>
  <si>
    <t>https://utrucking.com/admin/orders/6325529182396</t>
  </si>
  <si>
    <t>#17046</t>
  </si>
  <si>
    <t xml:space="preserve">James Rukin </t>
  </si>
  <si>
    <t>https://utrucking.com/admin/orders/6325548417212</t>
  </si>
  <si>
    <t>#17048</t>
  </si>
  <si>
    <t>Gemma Lanzillo</t>
  </si>
  <si>
    <t>2052</t>
  </si>
  <si>
    <t>https://utrucking.com/admin/orders/6325552873660</t>
  </si>
  <si>
    <t>#17049</t>
  </si>
  <si>
    <t>dhorlasy@gmail.com</t>
  </si>
  <si>
    <t>Horlasy Demakpor</t>
  </si>
  <si>
    <t>https://utrucking.com/admin/orders/6325567946940</t>
  </si>
  <si>
    <t>#17050</t>
  </si>
  <si>
    <t>harley.w@wustl.edu</t>
  </si>
  <si>
    <t>Harley Wang</t>
  </si>
  <si>
    <t>10</t>
  </si>
  <si>
    <t>https://utrucking.com/admin/orders/6325643182268</t>
  </si>
  <si>
    <t>#17051</t>
  </si>
  <si>
    <t>SEVERNA PARK</t>
  </si>
  <si>
    <t>3373</t>
  </si>
  <si>
    <t>Ben Veiel</t>
  </si>
  <si>
    <t>https://utrucking.com/admin/orders/6325705244860</t>
  </si>
  <si>
    <t>#17052</t>
  </si>
  <si>
    <t>3321-b</t>
  </si>
  <si>
    <t>https://utrucking.com/admin/orders/6325764784316</t>
  </si>
  <si>
    <t>#17053</t>
  </si>
  <si>
    <t>j.d.warren@wustl.edu</t>
  </si>
  <si>
    <t>4064</t>
  </si>
  <si>
    <t>Jack Warren</t>
  </si>
  <si>
    <t>https://utrucking.com/admin/orders/6325886746812</t>
  </si>
  <si>
    <t>#17054</t>
  </si>
  <si>
    <t>cgoldstein2007@gmail.com</t>
  </si>
  <si>
    <t>https://utrucking.com/admin/orders/6325941960892</t>
  </si>
  <si>
    <t>#17055</t>
  </si>
  <si>
    <t>ericjiang623@gmail.com</t>
  </si>
  <si>
    <t>Eric Jiang</t>
  </si>
  <si>
    <t>https://utrucking.com/admin/orders/6325973549244</t>
  </si>
  <si>
    <t>#17056</t>
  </si>
  <si>
    <t>dangzachary6@gmail.com</t>
  </si>
  <si>
    <t>https://utrucking.com/admin/orders/6326294118588</t>
  </si>
  <si>
    <t>#17060</t>
  </si>
  <si>
    <t>e.d.nus@wustl.edu</t>
  </si>
  <si>
    <t>Deanna Nus</t>
  </si>
  <si>
    <t>https://utrucking.com/admin/orders/6326637756604</t>
  </si>
  <si>
    <t>#17061</t>
  </si>
  <si>
    <t>sophia.s@wustl.edu</t>
  </si>
  <si>
    <t>Xin Sun</t>
  </si>
  <si>
    <t>Sophia Su</t>
  </si>
  <si>
    <t>https://utrucking.com/admin/orders/6326756769980</t>
  </si>
  <si>
    <t>#17062</t>
  </si>
  <si>
    <t xml:space="preserve">Grace Harris </t>
  </si>
  <si>
    <t>https://utrucking.com/admin/orders/6327187177660</t>
  </si>
  <si>
    <t>#17063</t>
  </si>
  <si>
    <t>l.jean@wustl.edu</t>
  </si>
  <si>
    <t>Jean Lopez Uzho</t>
  </si>
  <si>
    <t>https://utrucking.com/admin/orders/6327510401212</t>
  </si>
  <si>
    <t>#17064</t>
  </si>
  <si>
    <t>Kaia Roy</t>
  </si>
  <si>
    <t>https://utrucking.com/admin/orders/6327585636540</t>
  </si>
  <si>
    <t>#17065</t>
  </si>
  <si>
    <t>hojoon@wustl.edu</t>
  </si>
  <si>
    <t>2092</t>
  </si>
  <si>
    <t>https://utrucking.com/admin/orders/6327694852284</t>
  </si>
  <si>
    <t>#17066</t>
  </si>
  <si>
    <t>goto@wustl.edu</t>
  </si>
  <si>
    <t>Kishiro Goto</t>
  </si>
  <si>
    <t>3s-b</t>
  </si>
  <si>
    <t xml:space="preserve">Kishiro Goto </t>
  </si>
  <si>
    <t>https://utrucking.com/admin/orders/6328783143100</t>
  </si>
  <si>
    <t>#17067</t>
  </si>
  <si>
    <t>avaf@wustl.edu</t>
  </si>
  <si>
    <t>23-B</t>
  </si>
  <si>
    <t>https://utrucking.com/admin/orders/6330396377276</t>
  </si>
  <si>
    <t>#17068</t>
  </si>
  <si>
    <t>SLSkelding@yahoo.com</t>
  </si>
  <si>
    <t>Shawna Roubitchek</t>
  </si>
  <si>
    <t>https://utrucking.com/admin/orders/6334006755516</t>
  </si>
  <si>
    <t>#17069</t>
  </si>
  <si>
    <t>202-C</t>
  </si>
  <si>
    <t>https://utrucking.com/admin/orders/6334045913276</t>
  </si>
  <si>
    <t>#17070</t>
  </si>
  <si>
    <t>jordan.kim@wustl.edu</t>
  </si>
  <si>
    <t>JORDAN KIM</t>
  </si>
  <si>
    <t>5959 McPherson Avenue, Floor G</t>
  </si>
  <si>
    <t>63112-1505</t>
  </si>
  <si>
    <t>https://utrucking.com/admin/orders/6335103664316</t>
  </si>
  <si>
    <t>#17071</t>
  </si>
  <si>
    <t>meredithlchrist@gmail.com</t>
  </si>
  <si>
    <t>meredith christ</t>
  </si>
  <si>
    <t>brookline</t>
  </si>
  <si>
    <t>Meredith Christ</t>
  </si>
  <si>
    <t>https://utrucking.com/admin/orders/6335936495804</t>
  </si>
  <si>
    <t>#17072</t>
  </si>
  <si>
    <t>k.serena@wustl.edu</t>
  </si>
  <si>
    <t>Serena Kuo</t>
  </si>
  <si>
    <t>https://utrucking.com/admin/orders/6337363574972</t>
  </si>
  <si>
    <t>#17073</t>
  </si>
  <si>
    <t>Georgia Loigman</t>
  </si>
  <si>
    <t>https://utrucking.com/admin/orders/6338698870972</t>
  </si>
  <si>
    <t>#17074</t>
  </si>
  <si>
    <t>allisonlpearl@gmail.com</t>
  </si>
  <si>
    <t>Allison Pearl</t>
  </si>
  <si>
    <t>East Grand Rapids</t>
  </si>
  <si>
    <t>https://utrucking.com/admin/orders/6340057465020</t>
  </si>
  <si>
    <t>#17075</t>
  </si>
  <si>
    <t>benschwed123@gmail.com</t>
  </si>
  <si>
    <t>Lauren schwed</t>
  </si>
  <si>
    <t>Merrick</t>
  </si>
  <si>
    <t>11566-4608</t>
  </si>
  <si>
    <t xml:space="preserve">3304 </t>
  </si>
  <si>
    <t>https://utrucking.com/admin/orders/6343968784572</t>
  </si>
  <si>
    <t>#17081</t>
  </si>
  <si>
    <t>r.sela@wustl.edu</t>
  </si>
  <si>
    <t>Kimberly Rosen</t>
  </si>
  <si>
    <t>https://utrucking.com/admin/orders/6346053550268</t>
  </si>
  <si>
    <t>#17082</t>
  </si>
  <si>
    <t>Christina Welford</t>
  </si>
  <si>
    <t xml:space="preserve"> 3 / $1000 of Additional Coverage   - </t>
  </si>
  <si>
    <t>https://utrucking.com/admin/orders/6346789552316</t>
  </si>
  <si>
    <t>#17083</t>
  </si>
  <si>
    <t>Oyster bay</t>
  </si>
  <si>
    <t>Ryan Garcia</t>
  </si>
  <si>
    <t>https://utrucking.com/admin/orders/6347034034364</t>
  </si>
  <si>
    <t>#17084</t>
  </si>
  <si>
    <t>liu.v.j@wustl.edu</t>
  </si>
  <si>
    <t>Victoria Liu</t>
  </si>
  <si>
    <t>https://utrucking.com/admin/orders/6347141087420</t>
  </si>
  <si>
    <t>#17085</t>
  </si>
  <si>
    <t>Madeline Schneider</t>
  </si>
  <si>
    <t xml:space="preserve"> 2 / $1000 of Additional Coverage   - </t>
  </si>
  <si>
    <t>4072</t>
  </si>
  <si>
    <t>https://utrucking.com/admin/orders/6347989745852</t>
  </si>
  <si>
    <t>#17086</t>
  </si>
  <si>
    <t>Krishbatra45@gmail.com</t>
  </si>
  <si>
    <t>Manika Batra</t>
  </si>
  <si>
    <t>Rockville</t>
  </si>
  <si>
    <t>Krish Batra</t>
  </si>
  <si>
    <t>https://utrucking.com/admin/orders/6348748914876</t>
  </si>
  <si>
    <t>#17087</t>
  </si>
  <si>
    <t>b.a.harwayne@wustl.edu</t>
  </si>
  <si>
    <t>Ben Harwayne</t>
  </si>
  <si>
    <t xml:space="preserve">277 W End Ave, Apt 7A
New York, NY 10023 </t>
  </si>
  <si>
    <t>https://utrucking.com/admin/orders/6348828803260</t>
  </si>
  <si>
    <t>#17088</t>
  </si>
  <si>
    <t>danielle_rosenberg@yahoo.com</t>
  </si>
  <si>
    <t>Danielle Rosenberg</t>
  </si>
  <si>
    <t>Franklin Lakes</t>
  </si>
  <si>
    <t xml:space="preserve"> Included Insurance   - </t>
  </si>
  <si>
    <t>966 Lily Pond Lane
Franklin Lakes, NJ  07417</t>
  </si>
  <si>
    <t>Lucas Rosenberg</t>
  </si>
  <si>
    <t>https://utrucking.com/admin/orders/6348959678652</t>
  </si>
  <si>
    <t>#17089</t>
  </si>
  <si>
    <t>Matthew Kades</t>
  </si>
  <si>
    <t>112a</t>
  </si>
  <si>
    <t>https://utrucking.com/admin/orders/6348960661692</t>
  </si>
  <si>
    <t>#17090</t>
  </si>
  <si>
    <t>Susan Ziwot</t>
  </si>
  <si>
    <t>https://utrucking.com/admin/orders/6349062537404</t>
  </si>
  <si>
    <t>#17091</t>
  </si>
  <si>
    <t>Randy0915@yahoo.com</t>
  </si>
  <si>
    <t>randy berger</t>
  </si>
  <si>
    <t>Coconut creek</t>
  </si>
  <si>
    <t>Hailey Berger</t>
  </si>
  <si>
    <t>https://utrucking.com/admin/orders/6350201389244</t>
  </si>
  <si>
    <t>#17092</t>
  </si>
  <si>
    <t>Rebecca Levy</t>
  </si>
  <si>
    <t>Woodcliff Lake</t>
  </si>
  <si>
    <t>57 Old Farms Road, Woodcliff Lake, NJ 07677</t>
  </si>
  <si>
    <t>Shane Levy</t>
  </si>
  <si>
    <t>https://utrucking.com/admin/orders/6350272200892</t>
  </si>
  <si>
    <t>#17093</t>
  </si>
  <si>
    <t>jaci@wustl.edu</t>
  </si>
  <si>
    <t>Jaclynn Lee</t>
  </si>
  <si>
    <t>https://utrucking.com/admin/orders/6351876686012</t>
  </si>
  <si>
    <t>#17094</t>
  </si>
  <si>
    <t>MOLLY STARK</t>
  </si>
  <si>
    <t>CORONA DEL MAR</t>
  </si>
  <si>
    <t xml:space="preserve">2274 (Drom Room) (There will be 2 tables in 2270 Common Area) </t>
  </si>
  <si>
    <t>Sophie Schwartz</t>
  </si>
  <si>
    <t xml:space="preserve">2274  (There will be 2 tables in 2270 Common Area) </t>
  </si>
  <si>
    <t>https://utrucking.com/admin/orders/6352104915132</t>
  </si>
  <si>
    <t>#17095</t>
  </si>
  <si>
    <t>3422</t>
  </si>
  <si>
    <t xml:space="preserve">Tamia Prioleau </t>
  </si>
  <si>
    <t>https://utrucking.com/admin/orders/6353026023612</t>
  </si>
  <si>
    <t>#17096</t>
  </si>
  <si>
    <t>Thomas Moutes</t>
  </si>
  <si>
    <t>Burbank</t>
  </si>
  <si>
    <t>L230</t>
  </si>
  <si>
    <t>Jenna Moutes</t>
  </si>
  <si>
    <t>https://utrucking.com/admin/orders/6353079697596</t>
  </si>
  <si>
    <t>#17097</t>
  </si>
  <si>
    <t>Sydney Caplan</t>
  </si>
  <si>
    <t>https://utrucking.com/admin/orders/6354055954620</t>
  </si>
  <si>
    <t>#17098</t>
  </si>
  <si>
    <t>laurenfsinger@gmail.com</t>
  </si>
  <si>
    <t>Lauren Singer</t>
  </si>
  <si>
    <t>06880-2556</t>
  </si>
  <si>
    <t xml:space="preserve"> 2 / $500 of Additional Coverage   - </t>
  </si>
  <si>
    <t>2215b</t>
  </si>
  <si>
    <t>https://utrucking.com/admin/orders/6354147442876</t>
  </si>
  <si>
    <t>#17099</t>
  </si>
  <si>
    <t>jacqueline shurslep</t>
  </si>
  <si>
    <t>Eve Shurslep</t>
  </si>
  <si>
    <t>https://utrucking.com/admin/orders/6354151407804</t>
  </si>
  <si>
    <t>#17100</t>
  </si>
  <si>
    <t>ian shurslep</t>
  </si>
  <si>
    <t>https://utrucking.com/admin/orders/6354608062652</t>
  </si>
  <si>
    <t>#17101</t>
  </si>
  <si>
    <t>324B</t>
  </si>
  <si>
    <t xml:space="preserve">23 Monmouth Street
Brookline, Massachusetts 02446 </t>
  </si>
  <si>
    <t>https://utrucking.com/admin/orders/6357131460796</t>
  </si>
  <si>
    <t>#17102</t>
  </si>
  <si>
    <t>kmohindra@ifc.org</t>
  </si>
  <si>
    <t>Komal Mohindra</t>
  </si>
  <si>
    <t>Falls Church</t>
  </si>
  <si>
    <t>MARISA UTTAMCHANDANI</t>
  </si>
  <si>
    <t>https://utrucking.com/admin/orders/6357148139708</t>
  </si>
  <si>
    <t>#17103</t>
  </si>
  <si>
    <t>jennah2006@gmail.com</t>
  </si>
  <si>
    <t>Wendi Halberg</t>
  </si>
  <si>
    <t>SW Ranches</t>
  </si>
  <si>
    <t>2101</t>
  </si>
  <si>
    <t>Jenna Halberg</t>
  </si>
  <si>
    <t>https://utrucking.com/admin/orders/6357266956476</t>
  </si>
  <si>
    <t>#17104</t>
  </si>
  <si>
    <t>rangarajveena@gmail.com</t>
  </si>
  <si>
    <t>Veena Rangaraj</t>
  </si>
  <si>
    <t>Exton</t>
  </si>
  <si>
    <t>4419-A</t>
  </si>
  <si>
    <t>Jayant</t>
  </si>
  <si>
    <t>https://utrucking.com/admin/orders/6357635793084</t>
  </si>
  <si>
    <t>#17105</t>
  </si>
  <si>
    <t>jinde.x@wustl.edu</t>
  </si>
  <si>
    <t>https://utrucking.com/admin/orders/6358311534780</t>
  </si>
  <si>
    <t>#17106</t>
  </si>
  <si>
    <t>Frenchtown</t>
  </si>
  <si>
    <t>https://utrucking.com/admin/orders/6359629955260</t>
  </si>
  <si>
    <t>#17107</t>
  </si>
  <si>
    <t>https://utrucking.com/admin/orders/6363069907132</t>
  </si>
  <si>
    <t>#17108</t>
  </si>
  <si>
    <t>Christopher Watkins</t>
  </si>
  <si>
    <t>413a</t>
  </si>
  <si>
    <t>https://utrucking.com/admin/orders/6363636236476</t>
  </si>
  <si>
    <t>#17109</t>
  </si>
  <si>
    <t>HEATHER KRAMM</t>
  </si>
  <si>
    <t>mercer island</t>
  </si>
  <si>
    <t>quincy schwartz</t>
  </si>
  <si>
    <t>https://utrucking.com/admin/orders/6364722299068</t>
  </si>
  <si>
    <t>#17110</t>
  </si>
  <si>
    <t>lioraanne2@gmail.com</t>
  </si>
  <si>
    <t>2W B</t>
  </si>
  <si>
    <t>https://utrucking.com/admin/orders/6365316087996</t>
  </si>
  <si>
    <t>#17111</t>
  </si>
  <si>
    <t>villegasalan606@gmail.com</t>
  </si>
  <si>
    <t>Alan Villegas</t>
  </si>
  <si>
    <t>Sylmar</t>
  </si>
  <si>
    <t>Alan Yael Villegas</t>
  </si>
  <si>
    <t>https://utrucking.com/admin/orders/6365395386556</t>
  </si>
  <si>
    <t>#17112</t>
  </si>
  <si>
    <t>https://utrucking.com/admin/orders/6365794369724</t>
  </si>
  <si>
    <t>#17113</t>
  </si>
  <si>
    <t>romeroandre379@gmail.com</t>
  </si>
  <si>
    <t>Elizabeth Romero</t>
  </si>
  <si>
    <t>87111-9238</t>
  </si>
  <si>
    <t>3314</t>
  </si>
  <si>
    <t>Andre Romero-Carey</t>
  </si>
  <si>
    <t>https://utrucking.com/admin/orders/6365832904892</t>
  </si>
  <si>
    <t>#17114</t>
  </si>
  <si>
    <t>Alisa Rulnick</t>
  </si>
  <si>
    <t xml:space="preserve">409 Left side </t>
  </si>
  <si>
    <t>Lily Rulnick</t>
  </si>
  <si>
    <t>https://utrucking.com/admin/orders/6366108516540</t>
  </si>
  <si>
    <t>#17115</t>
  </si>
  <si>
    <t>baek.s.s@wustl.edu</t>
  </si>
  <si>
    <t>https://utrucking.com/admin/orders/6366392516796</t>
  </si>
  <si>
    <t>#17116</t>
  </si>
  <si>
    <t>https://utrucking.com/admin/orders/6367030247612</t>
  </si>
  <si>
    <t>#17117</t>
  </si>
  <si>
    <t>j.f.markowitz@wustl.edu</t>
  </si>
  <si>
    <t>arlington</t>
  </si>
  <si>
    <t>https://utrucking.com/admin/orders/6367048630460</t>
  </si>
  <si>
    <t>#17118</t>
  </si>
  <si>
    <t>237</t>
  </si>
  <si>
    <t>Simone Howard</t>
  </si>
  <si>
    <t>https://utrucking.com/admin/orders/6367086444732</t>
  </si>
  <si>
    <t>#17119</t>
  </si>
  <si>
    <t>https://utrucking.com/admin/orders/6367191924924</t>
  </si>
  <si>
    <t>#17120</t>
  </si>
  <si>
    <t>Savyon Amit</t>
  </si>
  <si>
    <t>Ella Amit</t>
  </si>
  <si>
    <t>https://utrucking.com/admin/orders/6367304646844</t>
  </si>
  <si>
    <t>#17121</t>
  </si>
  <si>
    <t>jocelynreed66@gmail.com</t>
  </si>
  <si>
    <t>101B</t>
  </si>
  <si>
    <t>https://utrucking.com/admin/orders/6367304810684</t>
  </si>
  <si>
    <t>#17122</t>
  </si>
  <si>
    <t>H.SHAYE@WUSTL.EDU</t>
  </si>
  <si>
    <t>Lodi</t>
  </si>
  <si>
    <t xml:space="preserve">59 Fox Hunt Road
New Vernon, NJ 07976 </t>
  </si>
  <si>
    <t>Shaye Herman</t>
  </si>
  <si>
    <t>https://utrucking.com/admin/orders/6367347212476</t>
  </si>
  <si>
    <t>#17123</t>
  </si>
  <si>
    <t>Gabrielle Kogam</t>
  </si>
  <si>
    <t>https://utrucking.com/admin/orders/6367435980988</t>
  </si>
  <si>
    <t>#17124</t>
  </si>
  <si>
    <t>bloom.e.j@wustl.edu</t>
  </si>
  <si>
    <t>Ethan Bloom</t>
  </si>
  <si>
    <t>https://utrucking.com/admin/orders/6368358695100</t>
  </si>
  <si>
    <t>#17125</t>
  </si>
  <si>
    <t>Julie Meggers</t>
  </si>
  <si>
    <t xml:space="preserve"> 3 WashU Housing  - </t>
  </si>
  <si>
    <t xml:space="preserve">  Umrath L230</t>
  </si>
  <si>
    <t xml:space="preserve"> 333A Dauten</t>
  </si>
  <si>
    <t>Would it be possible to have boxes dropped off at Umrath by 12pm on 3/13?</t>
  </si>
  <si>
    <t xml:space="preserve"> Julie Meggers</t>
  </si>
  <si>
    <t>333-a</t>
  </si>
  <si>
    <t xml:space="preserve">1815 Port Ashley Place
Newport Beach, CA 92660 </t>
  </si>
  <si>
    <t>Katie Meggers</t>
  </si>
  <si>
    <t>https://utrucking.com/admin/orders/6368566345916</t>
  </si>
  <si>
    <t>#17126</t>
  </si>
  <si>
    <t>Shari Jacknis</t>
  </si>
  <si>
    <t>East Williston</t>
  </si>
  <si>
    <t>Sammi Jacknis</t>
  </si>
  <si>
    <t>https://utrucking.com/admin/orders/6368705642684</t>
  </si>
  <si>
    <t>#17127</t>
  </si>
  <si>
    <t>Shruti Monga</t>
  </si>
  <si>
    <t>3121 B</t>
  </si>
  <si>
    <t>Ishaan Saran</t>
  </si>
  <si>
    <t>https://utrucking.com/admin/orders/6368879542460</t>
  </si>
  <si>
    <t>#17128</t>
  </si>
  <si>
    <t>amalu@wustl.edu</t>
  </si>
  <si>
    <t>Emmanuel Amalu</t>
  </si>
  <si>
    <t>https://utrucking.com/admin/orders/6369708605628</t>
  </si>
  <si>
    <t>#17129</t>
  </si>
  <si>
    <t xml:space="preserve">03:00 PM to 05:00 PM  </t>
  </si>
  <si>
    <t xml:space="preserve">29 Bank Street New York, New York 10014 </t>
  </si>
  <si>
    <t>Tenley Seirer</t>
  </si>
  <si>
    <t>https://utrucking.com/admin/orders/6370629976252</t>
  </si>
  <si>
    <t>#17130</t>
  </si>
  <si>
    <t>e.kao@wustl.edu</t>
  </si>
  <si>
    <t>(425) 289-8403</t>
  </si>
  <si>
    <t>Emily Kao</t>
  </si>
  <si>
    <t xml:space="preserve">Don't know yet, will follow up once I know address. Ask David for more info about this arrangement. </t>
  </si>
  <si>
    <t>https://utrucking.com/admin/orders/6371260104892</t>
  </si>
  <si>
    <t>#17131</t>
  </si>
  <si>
    <t>10025-5041</t>
  </si>
  <si>
    <t>https://utrucking.com/admin/orders/6371285532860</t>
  </si>
  <si>
    <t>#17132</t>
  </si>
  <si>
    <t>Qiumin Zhang</t>
  </si>
  <si>
    <t>https://utrucking.com/admin/orders/6371354050748</t>
  </si>
  <si>
    <t>#17133</t>
  </si>
  <si>
    <t>sophies@wustl.edu</t>
  </si>
  <si>
    <t>https://utrucking.com/admin/orders/6371826598076</t>
  </si>
  <si>
    <t>#17135</t>
  </si>
  <si>
    <t>4418</t>
  </si>
  <si>
    <t>John Connors</t>
  </si>
  <si>
    <t>https://utrucking.com/admin/orders/6371912712380</t>
  </si>
  <si>
    <t>#17136</t>
  </si>
  <si>
    <t>Noelle Thompson</t>
  </si>
  <si>
    <t xml:space="preserve">Noelle Thompson </t>
  </si>
  <si>
    <t>https://utrucking.com/admin/orders/6371957342396</t>
  </si>
  <si>
    <t>#17137</t>
  </si>
  <si>
    <t>c.gauthier@wustl.edu</t>
  </si>
  <si>
    <t>Cléo Gauthier</t>
  </si>
  <si>
    <t>https://utrucking.com/admin/orders/6372003184828</t>
  </si>
  <si>
    <t>#17138</t>
  </si>
  <si>
    <t>4082</t>
  </si>
  <si>
    <t>Hannah Carbunaru</t>
  </si>
  <si>
    <t>https://utrucking.com/admin/orders/6372051812540</t>
  </si>
  <si>
    <t>#17139</t>
  </si>
  <si>
    <t>d.yujia@wustl.edu</t>
  </si>
  <si>
    <t>yujia Deng</t>
  </si>
  <si>
    <t>Clayton st.Louis</t>
  </si>
  <si>
    <t>320</t>
  </si>
  <si>
    <t>YujiaDeng</t>
  </si>
  <si>
    <t>https://utrucking.com/admin/orders/6372544020668</t>
  </si>
  <si>
    <t>#17140</t>
  </si>
  <si>
    <t>jennitrost@gmail.com</t>
  </si>
  <si>
    <t>Jennifer Trost</t>
  </si>
  <si>
    <t>718 Limit Avenue, Apt 3S, St. Louis MO 63130</t>
  </si>
  <si>
    <t>Clarksville</t>
  </si>
  <si>
    <t xml:space="preserve">5817 White Pebble Path, Clarksville, MD 21029 </t>
  </si>
  <si>
    <t>Julia Trost</t>
  </si>
  <si>
    <t>https://utrucking.com/admin/orders/6372649599164</t>
  </si>
  <si>
    <t>#17141</t>
  </si>
  <si>
    <t>https://utrucking.com/admin/orders/6373204328636</t>
  </si>
  <si>
    <t>#17143</t>
  </si>
  <si>
    <t>jatinfurgeson24@gmail.com</t>
  </si>
  <si>
    <t>Jatin Furgeson</t>
  </si>
  <si>
    <t>https://utrucking.com/admin/orders/6373458542780</t>
  </si>
  <si>
    <t>#17144</t>
  </si>
  <si>
    <t>harpercohen2007@gmail.com</t>
  </si>
  <si>
    <t>https://utrucking.com/admin/orders/6373588861116</t>
  </si>
  <si>
    <t>#17146</t>
  </si>
  <si>
    <t>l.pollack@wustl.edu</t>
  </si>
  <si>
    <t>Laura Pollack</t>
  </si>
  <si>
    <t>Lillian Pollack</t>
  </si>
  <si>
    <t>https://utrucking.com/admin/orders/6373637095612</t>
  </si>
  <si>
    <t>#17147</t>
  </si>
  <si>
    <t>yang.d@wustl.edu</t>
  </si>
  <si>
    <t>YANG DONG</t>
  </si>
  <si>
    <t>Lower Level 0403</t>
  </si>
  <si>
    <t>Belinda Dong</t>
  </si>
  <si>
    <t>https://utrucking.com/admin/orders/6374028935356</t>
  </si>
  <si>
    <t>#17148</t>
  </si>
  <si>
    <t>Sanibel</t>
  </si>
  <si>
    <t>Jack Powers</t>
  </si>
  <si>
    <t>https://utrucking.com/admin/orders/6374307365052</t>
  </si>
  <si>
    <t>#17149</t>
  </si>
  <si>
    <t>kkliu20060720@gmail.com</t>
  </si>
  <si>
    <t>Crystal Liu</t>
  </si>
  <si>
    <t>Ground Floor 006</t>
  </si>
  <si>
    <t>https://utrucking.com/admin/orders/6374331318460</t>
  </si>
  <si>
    <t>#17150</t>
  </si>
  <si>
    <t>deladden@icloud.com</t>
  </si>
  <si>
    <t>Dana Ladden</t>
  </si>
  <si>
    <t>10023-7010</t>
  </si>
  <si>
    <t>https://utrucking.com/admin/orders/6374516785340</t>
  </si>
  <si>
    <t>#17151</t>
  </si>
  <si>
    <t xml:space="preserve">125 Hitchcock Court, Cheshire, CT 06410 </t>
  </si>
  <si>
    <t>Emerson Lilly</t>
  </si>
  <si>
    <t>https://utrucking.com/admin/orders/6374652641468</t>
  </si>
  <si>
    <t>#17152</t>
  </si>
  <si>
    <t>Lisa Moccio</t>
  </si>
  <si>
    <t>Mamaroneck</t>
  </si>
  <si>
    <t xml:space="preserve">Mia Reisman </t>
  </si>
  <si>
    <t>https://utrucking.com/admin/orders/6374725845180</t>
  </si>
  <si>
    <t>#17153</t>
  </si>
  <si>
    <t>Nina Todreas</t>
  </si>
  <si>
    <t>302C</t>
  </si>
  <si>
    <t xml:space="preserve">16 Chenery Terrace
Belmont, MA 02478 </t>
  </si>
  <si>
    <t>https://utrucking.com/admin/orders/6374760317116</t>
  </si>
  <si>
    <t>#17154</t>
  </si>
  <si>
    <t>https://utrucking.com/admin/orders/6374889095356</t>
  </si>
  <si>
    <t>#17155</t>
  </si>
  <si>
    <t>robin.hong3811@gmail.com</t>
  </si>
  <si>
    <t>Pureum Kim</t>
  </si>
  <si>
    <t>Robin Hong</t>
  </si>
  <si>
    <t>https://utrucking.com/admin/orders/6374962593980</t>
  </si>
  <si>
    <t>#17156</t>
  </si>
  <si>
    <t>91436-3458</t>
  </si>
  <si>
    <t>https://utrucking.com/admin/orders/6374964232380</t>
  </si>
  <si>
    <t>#17157</t>
  </si>
  <si>
    <t>https://utrucking.com/admin/orders/6374971965628</t>
  </si>
  <si>
    <t>#17158</t>
  </si>
  <si>
    <t>https://utrucking.com/admin/orders/6375066763452</t>
  </si>
  <si>
    <t>#17159</t>
  </si>
  <si>
    <t xml:space="preserve">2400 Oliver Ave S 
Minneapolis, MN
55045 </t>
  </si>
  <si>
    <t>https://utrucking.com/admin/orders/6375079116988</t>
  </si>
  <si>
    <t>#17160</t>
  </si>
  <si>
    <t>Rachel Golderg</t>
  </si>
  <si>
    <t>https://utrucking.com/admin/orders/6376567898300</t>
  </si>
  <si>
    <t>#17162</t>
  </si>
  <si>
    <t>Suite 220, Room 223</t>
  </si>
  <si>
    <t>https://utrucking.com/admin/orders/6376608891068</t>
  </si>
  <si>
    <t>#17163</t>
  </si>
  <si>
    <t>aburnsworth@sbcglobal.net</t>
  </si>
  <si>
    <t>Anastasia Kowal</t>
  </si>
  <si>
    <t>Wilton</t>
  </si>
  <si>
    <t>Laura Kowal</t>
  </si>
  <si>
    <t>https://utrucking.com/admin/orders/6376629731516</t>
  </si>
  <si>
    <t>#17164</t>
  </si>
  <si>
    <t>https://utrucking.com/admin/orders/6376742715580</t>
  </si>
  <si>
    <t>#17165</t>
  </si>
  <si>
    <t>https://utrucking.com/admin/orders/6376849309884</t>
  </si>
  <si>
    <t>#17166</t>
  </si>
  <si>
    <t>sguthrie211@gmail.com</t>
  </si>
  <si>
    <t>Keira Guthrie</t>
  </si>
  <si>
    <t>https://utrucking.com/admin/orders/6376884502716</t>
  </si>
  <si>
    <t>#17167</t>
  </si>
  <si>
    <t>6843 Kingsbury Blvd, St. Louis, MO 63130.  Apartment 1E</t>
  </si>
  <si>
    <t xml:space="preserve">17 Birch Lane, Rye Brook, NY 10573 </t>
  </si>
  <si>
    <t>Carly Mallah</t>
  </si>
  <si>
    <t>https://utrucking.com/admin/orders/6376915534012</t>
  </si>
  <si>
    <t>#17168</t>
  </si>
  <si>
    <t>pangolin4264@icloud.com</t>
  </si>
  <si>
    <t>2231</t>
  </si>
  <si>
    <t>https://utrucking.com/admin/orders/6377173909692</t>
  </si>
  <si>
    <t>#17169</t>
  </si>
  <si>
    <t>Andrew Park</t>
  </si>
  <si>
    <t>Norwood</t>
  </si>
  <si>
    <t>3002</t>
  </si>
  <si>
    <t>House 22  (Beta Theta Pi)</t>
  </si>
  <si>
    <t>https://utrucking.com/admin/orders/6377421897916</t>
  </si>
  <si>
    <t>#17170</t>
  </si>
  <si>
    <t>zihandong2004@gmail.com</t>
  </si>
  <si>
    <t>Zihan Dong</t>
  </si>
  <si>
    <t>Singapore</t>
  </si>
  <si>
    <t>https://utrucking.com/admin/orders/6377480782012</t>
  </si>
  <si>
    <t>#17171</t>
  </si>
  <si>
    <t>Eleanor Hsueh</t>
  </si>
  <si>
    <t>142-C</t>
  </si>
  <si>
    <t xml:space="preserve">Eleanor Hsueh </t>
  </si>
  <si>
    <t>https://utrucking.com/admin/orders/6378451894460</t>
  </si>
  <si>
    <t>#17172</t>
  </si>
  <si>
    <t>gze1024@gmail.com</t>
  </si>
  <si>
    <t>Zhuoer Gu</t>
  </si>
  <si>
    <t>3337</t>
  </si>
  <si>
    <t>https://utrucking.com/admin/orders/6378654499004</t>
  </si>
  <si>
    <t>#17173</t>
  </si>
  <si>
    <t>https://utrucking.com/admin/orders/6378758013116</t>
  </si>
  <si>
    <t>#17174</t>
  </si>
  <si>
    <t>https://utrucking.com/admin/orders/6380153635004</t>
  </si>
  <si>
    <t>#17175</t>
  </si>
  <si>
    <t xml:space="preserve">Charlotte Minnigh </t>
  </si>
  <si>
    <t xml:space="preserve"> 1 [Included with Registration] / $1000 of Additional Coverage   - </t>
  </si>
  <si>
    <t xml:space="preserve">Eloise Minnigh </t>
  </si>
  <si>
    <t>https://utrucking.com/admin/orders/6380400869564</t>
  </si>
  <si>
    <t>#17176</t>
  </si>
  <si>
    <t>averyt@wustl.edu</t>
  </si>
  <si>
    <t>Avery Tanaka</t>
  </si>
  <si>
    <t>Mililani</t>
  </si>
  <si>
    <t>4434</t>
  </si>
  <si>
    <t>https://utrucking.com/admin/orders/6380567134396</t>
  </si>
  <si>
    <t>#17177</t>
  </si>
  <si>
    <t>1040</t>
  </si>
  <si>
    <t>David Chiu</t>
  </si>
  <si>
    <t>https://utrucking.com/admin/orders/6382215594172</t>
  </si>
  <si>
    <t>#17178</t>
  </si>
  <si>
    <t>simonjpark@icloud.com</t>
  </si>
  <si>
    <t>Simon Park</t>
  </si>
  <si>
    <t>https://utrucking.com/admin/orders/6382862762172</t>
  </si>
  <si>
    <t>#17180</t>
  </si>
  <si>
    <t>https://utrucking.com/admin/orders/6382872494268</t>
  </si>
  <si>
    <t>#17181</t>
  </si>
  <si>
    <t>06831-4412</t>
  </si>
  <si>
    <t>Lauren Lee Slovin</t>
  </si>
  <si>
    <t>https://utrucking.com/admin/orders/6383567798460</t>
  </si>
  <si>
    <t>#17183</t>
  </si>
  <si>
    <t>DARIA_REZNIKOVA@YAHOO.COM</t>
  </si>
  <si>
    <t>Paulina Reznikova</t>
  </si>
  <si>
    <t>https://utrucking.com/admin/orders/6383732719804</t>
  </si>
  <si>
    <t>#17184</t>
  </si>
  <si>
    <t>krishnamoorthi@wustl.edu</t>
  </si>
  <si>
    <t>Apartment 009-A</t>
  </si>
  <si>
    <t>https://utrucking.com/admin/orders/6384040542396</t>
  </si>
  <si>
    <t>#17185</t>
  </si>
  <si>
    <t>rtrabulsi2020@yahoo.com</t>
  </si>
  <si>
    <t>Reem Parseghian</t>
  </si>
  <si>
    <t>3321 A</t>
  </si>
  <si>
    <t xml:space="preserve">Aara Parseghian </t>
  </si>
  <si>
    <t>https://utrucking.com/admin/orders/6384968401084</t>
  </si>
  <si>
    <t>#17186</t>
  </si>
  <si>
    <t>b.sachin@wustl.edu</t>
  </si>
  <si>
    <t>https://utrucking.com/admin/orders/6385287037116</t>
  </si>
  <si>
    <t>#17187</t>
  </si>
  <si>
    <t>6105 Delmar Blvd
St. Louis, MO 63112
Apt 714a</t>
  </si>
  <si>
    <t>https://utrucking.com/admin/orders/6385392746684</t>
  </si>
  <si>
    <t>#17188</t>
  </si>
  <si>
    <t>https://utrucking.com/admin/orders/6385663082684</t>
  </si>
  <si>
    <t>#17189</t>
  </si>
  <si>
    <t>Zaneta Alexander</t>
  </si>
  <si>
    <t>2131</t>
  </si>
  <si>
    <t>Portia Francois</t>
  </si>
  <si>
    <t>https://utrucking.com/admin/orders/6385891737788</t>
  </si>
  <si>
    <t>#17190</t>
  </si>
  <si>
    <t>lu.f@wustl.edu</t>
  </si>
  <si>
    <t>Feike Lu</t>
  </si>
  <si>
    <t>323</t>
  </si>
  <si>
    <t>Flora Lu</t>
  </si>
  <si>
    <t>https://utrucking.com/admin/orders/6385928339644</t>
  </si>
  <si>
    <t>#17191</t>
  </si>
  <si>
    <t>minh.n@wustl.edu</t>
  </si>
  <si>
    <t>Minh Duc Nguyen</t>
  </si>
  <si>
    <t>https://utrucking.com/admin/orders/6386395381948</t>
  </si>
  <si>
    <t>#17192</t>
  </si>
  <si>
    <t>Sana Gangopadhyay</t>
  </si>
  <si>
    <t>https://utrucking.com/admin/orders/6386396102844</t>
  </si>
  <si>
    <t>#17193</t>
  </si>
  <si>
    <t>Cameron Brooks</t>
  </si>
  <si>
    <t>https://utrucking.com/admin/orders/6386438799548</t>
  </si>
  <si>
    <t>#17194</t>
  </si>
  <si>
    <t>james.luo@wustl.edu</t>
  </si>
  <si>
    <t>James Luo</t>
  </si>
  <si>
    <t>https://utrucking.com/admin/orders/6386471141564</t>
  </si>
  <si>
    <t>#17195</t>
  </si>
  <si>
    <t>kahnjulia1213@gmail.com</t>
  </si>
  <si>
    <t>https://utrucking.com/admin/orders/6386495291580</t>
  </si>
  <si>
    <t>#17196</t>
  </si>
  <si>
    <t>Rachel Isgar</t>
  </si>
  <si>
    <t>Ally Isgar</t>
  </si>
  <si>
    <t>https://utrucking.com/admin/orders/6386766708924</t>
  </si>
  <si>
    <t>#17197</t>
  </si>
  <si>
    <t>bethsabramowitz@gmail.com</t>
  </si>
  <si>
    <t>Beth Abramowitz</t>
  </si>
  <si>
    <t>10583-3310</t>
  </si>
  <si>
    <t>2 Chedworth Road, Scarsdale NY 10583</t>
  </si>
  <si>
    <t>Olivia Abramowitz</t>
  </si>
  <si>
    <t>https://utrucking.com/admin/orders/6386879955132</t>
  </si>
  <si>
    <t>#17199</t>
  </si>
  <si>
    <t>Katie Schober</t>
  </si>
  <si>
    <t>https://utrucking.com/admin/orders/6387464175804</t>
  </si>
  <si>
    <t>#17200</t>
  </si>
  <si>
    <t>blairkennedywagner@gmail.com</t>
  </si>
  <si>
    <t>Stone Mountain</t>
  </si>
  <si>
    <t>https://utrucking.com/admin/orders/6387818004668</t>
  </si>
  <si>
    <t>#17201</t>
  </si>
  <si>
    <t>keshavvasanth2004@gmail.com</t>
  </si>
  <si>
    <t>(972) 898-0140</t>
  </si>
  <si>
    <t>Vidya Krishnan</t>
  </si>
  <si>
    <t>75082-3862</t>
  </si>
  <si>
    <t xml:space="preserve">Using Summer Storage, then ship from storage to arrive only on August 1st, at:
3601 Market Street
Apt #1710
Philadelphia, PA 19104 </t>
  </si>
  <si>
    <t>https://utrucking.com/admin/orders/6388005765308</t>
  </si>
  <si>
    <t>#17202</t>
  </si>
  <si>
    <t>cchazday@gmail.com</t>
  </si>
  <si>
    <t>Cristina Hazday</t>
  </si>
  <si>
    <t xml:space="preserve">423 </t>
  </si>
  <si>
    <t>423 - b</t>
  </si>
  <si>
    <t>https://utrucking.com/admin/orders/6388235141308</t>
  </si>
  <si>
    <t>#17203</t>
  </si>
  <si>
    <t>janaecrespo@gmail.com</t>
  </si>
  <si>
    <t>Janae Crespo</t>
  </si>
  <si>
    <t>MIAMI</t>
  </si>
  <si>
    <t>https://utrucking.com/admin/orders/6388761755836</t>
  </si>
  <si>
    <t>#17204</t>
  </si>
  <si>
    <t>mwmoyes@gmail.com</t>
  </si>
  <si>
    <t>2312</t>
  </si>
  <si>
    <t>https://utrucking.com/admin/orders/6388800225468</t>
  </si>
  <si>
    <t>#17205</t>
  </si>
  <si>
    <t>avarome18@gmail.com</t>
  </si>
  <si>
    <t>Ava Rome</t>
  </si>
  <si>
    <t>https://utrucking.com/admin/orders/6388814348476</t>
  </si>
  <si>
    <t>#17206</t>
  </si>
  <si>
    <t>nicolexinyu@wustl.edu</t>
  </si>
  <si>
    <t>Nicole Yang</t>
  </si>
  <si>
    <t>242</t>
  </si>
  <si>
    <t>https://utrucking.com/admin/orders/6388831387836</t>
  </si>
  <si>
    <t>#17207</t>
  </si>
  <si>
    <t>Ashlyn Thitibordin</t>
  </si>
  <si>
    <t>https://utrucking.com/admin/orders/6388844331196</t>
  </si>
  <si>
    <t>#17208</t>
  </si>
  <si>
    <t>343</t>
  </si>
  <si>
    <t>Max Zeller</t>
  </si>
  <si>
    <t>https://utrucking.com/admin/orders/6388901118140</t>
  </si>
  <si>
    <t>#17209</t>
  </si>
  <si>
    <t>Alex Domb</t>
  </si>
  <si>
    <t>1930 Lowell Ln, Merrick NY 11566</t>
  </si>
  <si>
    <t>https://utrucking.com/admin/orders/6389046935740</t>
  </si>
  <si>
    <t>#17210</t>
  </si>
  <si>
    <t>isabelsonneborn@gmail.com</t>
  </si>
  <si>
    <t>Jon Sonneborn</t>
  </si>
  <si>
    <t>Isabel Sonneborn</t>
  </si>
  <si>
    <t>https://utrucking.com/admin/orders/6389117878460</t>
  </si>
  <si>
    <t>#17211</t>
  </si>
  <si>
    <t xml:space="preserve">10 Monfort Rd
Port Washington, NY 11050 </t>
  </si>
  <si>
    <t>Zoe Rochester</t>
  </si>
  <si>
    <t>https://utrucking.com/admin/orders/6389318975676</t>
  </si>
  <si>
    <t>#17212</t>
  </si>
  <si>
    <t>202B - Room A</t>
  </si>
  <si>
    <t>Hahyun (Gloria) Lee</t>
  </si>
  <si>
    <t>https://utrucking.com/admin/orders/6389835268284</t>
  </si>
  <si>
    <t>#17214</t>
  </si>
  <si>
    <t>evan.k@wustl.edu</t>
  </si>
  <si>
    <t>(469) 820-2045</t>
  </si>
  <si>
    <t>YOUNG BOO Kim</t>
  </si>
  <si>
    <t>307b</t>
  </si>
  <si>
    <t>Evan JInu Kim</t>
  </si>
  <si>
    <t>https://utrucking.com/admin/orders/6389835235516</t>
  </si>
  <si>
    <t>#17213</t>
  </si>
  <si>
    <t>tsl0925@aol.com</t>
  </si>
  <si>
    <t>Tammy Szerencsy</t>
  </si>
  <si>
    <t xml:space="preserve">29 Beechwood Road , Roslyn NY 11576  </t>
  </si>
  <si>
    <t xml:space="preserve">zachary szerencsy </t>
  </si>
  <si>
    <t>https://utrucking.com/admin/orders/6389954052284</t>
  </si>
  <si>
    <t>#17215</t>
  </si>
  <si>
    <t>Fia Lin</t>
  </si>
  <si>
    <t>San Dimas</t>
  </si>
  <si>
    <t>https://utrucking.com/admin/orders/6390009954492</t>
  </si>
  <si>
    <t>#17216</t>
  </si>
  <si>
    <t>42</t>
  </si>
  <si>
    <t>Eliana Salzberg</t>
  </si>
  <si>
    <t>https://utrucking.com/admin/orders/6390094561468</t>
  </si>
  <si>
    <t>#17217</t>
  </si>
  <si>
    <t>halliekopel@gmail.com</t>
  </si>
  <si>
    <t>104D</t>
  </si>
  <si>
    <t>https://utrucking.com/admin/orders/6390151676092</t>
  </si>
  <si>
    <t>#17218</t>
  </si>
  <si>
    <t>https://utrucking.com/admin/orders/6390232613052</t>
  </si>
  <si>
    <t>#17219</t>
  </si>
  <si>
    <t>https://utrucking.com/admin/orders/6390290874556</t>
  </si>
  <si>
    <t>#17220</t>
  </si>
  <si>
    <t>Ayisat Jimoh</t>
  </si>
  <si>
    <t>https://utrucking.com/admin/orders/6390772400316</t>
  </si>
  <si>
    <t>#17223</t>
  </si>
  <si>
    <t>ksissoko2006@gmail.com</t>
  </si>
  <si>
    <t>Khadija Sissoko</t>
  </si>
  <si>
    <t>Virginia Beach, VA</t>
  </si>
  <si>
    <t>https://utrucking.com/admin/orders/6390835183804</t>
  </si>
  <si>
    <t>#17224</t>
  </si>
  <si>
    <t>02467-3071</t>
  </si>
  <si>
    <t>https://utrucking.com/admin/orders/6390865068220</t>
  </si>
  <si>
    <t>#17225</t>
  </si>
  <si>
    <t>rothstein@wustl.edu</t>
  </si>
  <si>
    <t>William Rothstein</t>
  </si>
  <si>
    <t>https://utrucking.com/admin/orders/6391600644284</t>
  </si>
  <si>
    <t>#17226</t>
  </si>
  <si>
    <t>Casey Manno</t>
  </si>
  <si>
    <t>https://utrucking.com/admin/orders/6391810097340</t>
  </si>
  <si>
    <t>#17227</t>
  </si>
  <si>
    <t>c.e.pastrano@wustl.edu</t>
  </si>
  <si>
    <t>Cami Pastrano</t>
  </si>
  <si>
    <t>https://utrucking.com/admin/orders/6392064377020</t>
  </si>
  <si>
    <t>#17228</t>
  </si>
  <si>
    <t xml:space="preserve">329 Stanley Ave Mamaroneck NY 10543 </t>
  </si>
  <si>
    <t>https://utrucking.com/admin/orders/6392737267900</t>
  </si>
  <si>
    <t>#17229</t>
  </si>
  <si>
    <t>92886-7965</t>
  </si>
  <si>
    <t>https://utrucking.com/admin/orders/6392770199740</t>
  </si>
  <si>
    <t>#17230</t>
  </si>
  <si>
    <t>svpandit6@gmail.com</t>
  </si>
  <si>
    <t>Sanjna Pandit</t>
  </si>
  <si>
    <t>https://utrucking.com/admin/orders/6392789139644</t>
  </si>
  <si>
    <t>#17231</t>
  </si>
  <si>
    <t>726 Westgate Ave, APT 1N
University City, MO
63130</t>
  </si>
  <si>
    <t xml:space="preserve">1811 38th St, 
Bellingham, WA
98229 </t>
  </si>
  <si>
    <t>https://utrucking.com/admin/orders/6392909463740</t>
  </si>
  <si>
    <t>#17232</t>
  </si>
  <si>
    <t>Kelly.s.g@wustl.edu</t>
  </si>
  <si>
    <t xml:space="preserve">19 Rotary Lane Summit, NJ 07901 </t>
  </si>
  <si>
    <t>https://admin.shopify.com/store/utrucking/orders/6392928469180?link_source=search</t>
  </si>
  <si>
    <t>#17233</t>
  </si>
  <si>
    <t>s.m.schwartz@wustl.edu</t>
  </si>
  <si>
    <t>(949)230-0616</t>
  </si>
  <si>
    <t>1816 MARAPATA DR</t>
  </si>
  <si>
    <t>1 [Included with Registration] / Included Insurance</t>
  </si>
  <si>
    <t>2274A</t>
  </si>
  <si>
    <t>https://utrucking.com/admin/orders/6393041289404</t>
  </si>
  <si>
    <t>#17234</t>
  </si>
  <si>
    <t>https://utrucking.com/admin/orders/6393163710652</t>
  </si>
  <si>
    <t>#17235</t>
  </si>
  <si>
    <t>Mia Bell</t>
  </si>
  <si>
    <t>https://utrucking.com/admin/orders/6393200017596</t>
  </si>
  <si>
    <t>#17236</t>
  </si>
  <si>
    <t>Jessica Ebroon</t>
  </si>
  <si>
    <t>https://utrucking.com/admin/orders/6393380602044</t>
  </si>
  <si>
    <t>#17237</t>
  </si>
  <si>
    <t>slandon@wustl.edu</t>
  </si>
  <si>
    <t>Landon Sanchez</t>
  </si>
  <si>
    <t>https://utrucking.com/admin/orders/6393545556156</t>
  </si>
  <si>
    <t>#17238</t>
  </si>
  <si>
    <t>aiperez@wustl.edu</t>
  </si>
  <si>
    <t>Jessica Figueroa</t>
  </si>
  <si>
    <t>Orlando</t>
  </si>
  <si>
    <t>Amanda Perez</t>
  </si>
  <si>
    <t>https://utrucking.com/admin/orders/6393994182844</t>
  </si>
  <si>
    <t>#17239</t>
  </si>
  <si>
    <t>rosie.swidler@gmail.com</t>
  </si>
  <si>
    <t>Rosie Swidler</t>
  </si>
  <si>
    <t>6655 Washington Avenue Apt 2W 63130</t>
  </si>
  <si>
    <t xml:space="preserve"> 3   - </t>
  </si>
  <si>
    <t xml:space="preserve">301 East 50th Street Apt 21A, New York, NY 10022 </t>
  </si>
  <si>
    <t>Rosalynde Swidler</t>
  </si>
  <si>
    <t>https://utrucking.com/admin/orders/6394111656124</t>
  </si>
  <si>
    <t>#17240</t>
  </si>
  <si>
    <t>singhsca@gmail.com</t>
  </si>
  <si>
    <t>Monisha Singh</t>
  </si>
  <si>
    <t>94024-5128</t>
  </si>
  <si>
    <t>https://utrucking.com/admin/orders/6394218152124</t>
  </si>
  <si>
    <t>#17241</t>
  </si>
  <si>
    <t>sandy_lee715@yahoo.com</t>
  </si>
  <si>
    <t>https://utrucking.com/admin/orders/6396555886780</t>
  </si>
  <si>
    <t>#17242</t>
  </si>
  <si>
    <t>andersongrant100@gmail.com</t>
  </si>
  <si>
    <t>Myndee Anderson</t>
  </si>
  <si>
    <t>https://utrucking.com/admin/orders/6396567552188</t>
  </si>
  <si>
    <t>#17243</t>
  </si>
  <si>
    <t>Soha Mehta</t>
  </si>
  <si>
    <t>462-b</t>
  </si>
  <si>
    <t>https://utrucking.com/admin/orders/6396641935548</t>
  </si>
  <si>
    <t>#17244</t>
  </si>
  <si>
    <t>Addis Tafesse</t>
  </si>
  <si>
    <t>https://utrucking.com/admin/orders/6396671066300</t>
  </si>
  <si>
    <t>#17245</t>
  </si>
  <si>
    <t>Mark Tan</t>
  </si>
  <si>
    <t>Rolling Hills Estates</t>
  </si>
  <si>
    <t>2208-a</t>
  </si>
  <si>
    <t>https://utrucking.com/admin/orders/6396831989948</t>
  </si>
  <si>
    <t>#17246</t>
  </si>
  <si>
    <t>emhametz@icloud.com</t>
  </si>
  <si>
    <t>Mount Kisco</t>
  </si>
  <si>
    <t>https://utrucking.com/admin/orders/6397158162620</t>
  </si>
  <si>
    <t>#17247</t>
  </si>
  <si>
    <t xml:space="preserve">3462 92nd Ave NE Yarrow Point WA 98004 </t>
  </si>
  <si>
    <t>https://utrucking.com/admin/orders/6397195387068</t>
  </si>
  <si>
    <t>#17248</t>
  </si>
  <si>
    <t>Liggett 2290</t>
  </si>
  <si>
    <t>Kate Roddriguez</t>
  </si>
  <si>
    <t>https://utrucking.com/admin/orders/6397553115324</t>
  </si>
  <si>
    <t>#17249</t>
  </si>
  <si>
    <t>e.gaffin@wustl.edu</t>
  </si>
  <si>
    <t>Diana Gaffin</t>
  </si>
  <si>
    <t>1105b</t>
  </si>
  <si>
    <t>https://utrucking.com/admin/orders/6397854449852</t>
  </si>
  <si>
    <t>#17250</t>
  </si>
  <si>
    <t>https://utrucking.com/admin/orders/6398057087164</t>
  </si>
  <si>
    <t>#17251</t>
  </si>
  <si>
    <t>feldman.m@wustl.edu</t>
  </si>
  <si>
    <t>Andrea Feldman</t>
  </si>
  <si>
    <t>Maya Feldman</t>
  </si>
  <si>
    <t>https://utrucking.com/admin/orders/6398106337468</t>
  </si>
  <si>
    <t>#17252</t>
  </si>
  <si>
    <t>hson987623@wustl.edu</t>
  </si>
  <si>
    <t>Hyeonseung Son</t>
  </si>
  <si>
    <t>Kirkland</t>
  </si>
  <si>
    <t>Michael Son</t>
  </si>
  <si>
    <t>https://utrucking.com/admin/orders/6398131372220</t>
  </si>
  <si>
    <t>#17253</t>
  </si>
  <si>
    <t>ngolovcsenko@icloud.com</t>
  </si>
  <si>
    <t>Nathan Golovcsenko</t>
  </si>
  <si>
    <t>605 Leland Avenue
Apartment 704
University City, MO 63130</t>
  </si>
  <si>
    <t xml:space="preserve">22 Peach Tree Lane
Briarcliff Manor, NY 10510 </t>
  </si>
  <si>
    <t>https://utrucking.com/admin/orders/6398188093628</t>
  </si>
  <si>
    <t>#17254</t>
  </si>
  <si>
    <t>rachelding@wustl.edu</t>
  </si>
  <si>
    <t>Xiao Rui Ding</t>
  </si>
  <si>
    <t xml:space="preserve">  7012 Forsyth Blvd 
Apt 2W
St. Louis, MO 63105</t>
  </si>
  <si>
    <t xml:space="preserve"> 2311 Swenson Lane
St. Peters, MO 63376</t>
  </si>
  <si>
    <t>Residential move: moving drawer, office desk, TV, office chair, computer monitor, small neon sign, side table. Prefer a morning slot</t>
  </si>
  <si>
    <t xml:space="preserve"> Rachel Ding </t>
  </si>
  <si>
    <t>https://utrucking.com/admin/orders/6398258512060</t>
  </si>
  <si>
    <t>#17255</t>
  </si>
  <si>
    <t>dehn@wustl.edu</t>
  </si>
  <si>
    <t>James Dehn</t>
  </si>
  <si>
    <t>3326</t>
  </si>
  <si>
    <t>https://utrucking.com/admin/orders/6398298095804</t>
  </si>
  <si>
    <t>#17256</t>
  </si>
  <si>
    <t>Nathaniel Arundel</t>
  </si>
  <si>
    <t>203-B</t>
  </si>
  <si>
    <t xml:space="preserve">4510 Q Place NW
Washington, D.C. 20007 </t>
  </si>
  <si>
    <t>https://utrucking.com/admin/orders/6398379163836</t>
  </si>
  <si>
    <t>#17257</t>
  </si>
  <si>
    <t>m.revha@wustl.edu</t>
  </si>
  <si>
    <t>Rajesh Menoon</t>
  </si>
  <si>
    <t>101d</t>
  </si>
  <si>
    <t xml:space="preserve">Revha Menon </t>
  </si>
  <si>
    <t>https://utrucking.com/admin/orders/6398515675324</t>
  </si>
  <si>
    <t>#17258</t>
  </si>
  <si>
    <t>Levi Cutler</t>
  </si>
  <si>
    <t>90046-2607</t>
  </si>
  <si>
    <t>https://utrucking.com/admin/orders/6398749180092</t>
  </si>
  <si>
    <t>#17259</t>
  </si>
  <si>
    <t>Andrew Lassman</t>
  </si>
  <si>
    <t>Emma Lassman</t>
  </si>
  <si>
    <t>https://utrucking.com/admin/orders/6399209472188</t>
  </si>
  <si>
    <t>#17261</t>
  </si>
  <si>
    <t>42festin42@comcast.net</t>
  </si>
  <si>
    <t>Bernadette Coden-Festin</t>
  </si>
  <si>
    <t>605 Leland Avenue, Apt 206, Universal City, MO 63103</t>
  </si>
  <si>
    <t>Plymourh</t>
  </si>
  <si>
    <t>16677 47th Pl N, Minneapolis MN 55446</t>
  </si>
  <si>
    <t>pickup - 605 Leland Avenue, Apt 206, Universal City, MO 63103</t>
  </si>
  <si>
    <t>Christopher Festin</t>
  </si>
  <si>
    <t>https://utrucking.com/admin/orders/6399297224892</t>
  </si>
  <si>
    <t>#17263</t>
  </si>
  <si>
    <t xml:space="preserve">I will get room, 2nd floor </t>
  </si>
  <si>
    <t>Shaine Greenwald</t>
  </si>
  <si>
    <t>https://utrucking.com/admin/orders/6399569297596</t>
  </si>
  <si>
    <t>#17264</t>
  </si>
  <si>
    <t>plt9@hotmail.com</t>
  </si>
  <si>
    <t>Patricia Toro</t>
  </si>
  <si>
    <t>3024-A</t>
  </si>
  <si>
    <t>https://utrucking.com/admin/orders/6399607668924</t>
  </si>
  <si>
    <t>#17265</t>
  </si>
  <si>
    <t>p.j.tuohy@wustl.edu</t>
  </si>
  <si>
    <t>Patrick Tuohy</t>
  </si>
  <si>
    <t>Patrick  Tuohy</t>
  </si>
  <si>
    <t>https://utrucking.com/admin/orders/6399773573308</t>
  </si>
  <si>
    <t>#17266</t>
  </si>
  <si>
    <t>Julie Liberman</t>
  </si>
  <si>
    <t>PLANO</t>
  </si>
  <si>
    <t>Need box kit delivered by April 10, thank you! Boxes, plastic storage container, and bookshelf can be picked up when you do Umrath. She is leaving before her roommate leaves. I spoke with Carlos who told me date I put doesn't matter. Please call or text with any questions anytime. Thanks!</t>
  </si>
  <si>
    <t>Sally Liberman</t>
  </si>
  <si>
    <t>https://utrucking.com/admin/orders/6399785730236</t>
  </si>
  <si>
    <t>#17267</t>
  </si>
  <si>
    <t>Valencia</t>
  </si>
  <si>
    <t>2E-B</t>
  </si>
  <si>
    <t>https://utrucking.com/admin/orders/6400250085564</t>
  </si>
  <si>
    <t>#17268</t>
  </si>
  <si>
    <t>animalfarm@earthlink.net</t>
  </si>
  <si>
    <t>https://utrucking.com/admin/orders/6400504266940</t>
  </si>
  <si>
    <t>#17269</t>
  </si>
  <si>
    <t xml:space="preserve">214 West 85th St Apt 4E, 10024, NY New York </t>
  </si>
  <si>
    <t>https://utrucking.com/admin/orders/6401139605692</t>
  </si>
  <si>
    <t>#17270</t>
  </si>
  <si>
    <t>Ilana Vainstein</t>
  </si>
  <si>
    <t>1000</t>
  </si>
  <si>
    <t>https://utrucking.com/admin/orders/6401215398076</t>
  </si>
  <si>
    <t>#17271</t>
  </si>
  <si>
    <t>ally.l@wustl.edu</t>
  </si>
  <si>
    <t>Ally Lin</t>
  </si>
  <si>
    <t>204 D</t>
  </si>
  <si>
    <t>https://utrucking.com/admin/orders/6401274740924</t>
  </si>
  <si>
    <t>#17272</t>
  </si>
  <si>
    <t>b.yunan@wustl.edu</t>
  </si>
  <si>
    <t>Yunan Bai</t>
  </si>
  <si>
    <t>Nancy Bai</t>
  </si>
  <si>
    <t>https://utrucking.com/admin/orders/6401370194108</t>
  </si>
  <si>
    <t>#17273</t>
  </si>
  <si>
    <t>Chaeyoun Myoung</t>
  </si>
  <si>
    <t>6188 Mcpherson Ave, Apartment 209</t>
  </si>
  <si>
    <t>Jesse Myoung</t>
  </si>
  <si>
    <t>https://utrucking.com/admin/orders/6402041512124</t>
  </si>
  <si>
    <t>#17277</t>
  </si>
  <si>
    <t>mulan.zhang007@gmail.com</t>
  </si>
  <si>
    <t>Mulan Zhang</t>
  </si>
  <si>
    <t>https://utrucking.com/admin/orders/6402083324092</t>
  </si>
  <si>
    <t>#17278</t>
  </si>
  <si>
    <t>tritranchanda@yahoo.com</t>
  </si>
  <si>
    <t>Tri Tran</t>
  </si>
  <si>
    <t>Lopata-2004-A</t>
  </si>
  <si>
    <t>Customer discovered WASHU10 discount code after purchase was finalized. They would like to apply this discount to future payments.</t>
  </si>
  <si>
    <t>Phi Chanda</t>
  </si>
  <si>
    <t>https://utrucking.com/admin/orders/6402085191868</t>
  </si>
  <si>
    <t>#17279</t>
  </si>
  <si>
    <t>Samantha Kelner</t>
  </si>
  <si>
    <t xml:space="preserve"> 2 [Included with Registration] / Included Insurance   - </t>
  </si>
  <si>
    <t>Sammy Kelner</t>
  </si>
  <si>
    <t xml:space="preserve">9 Sailors Way
Rumson, NJ 07760 </t>
  </si>
  <si>
    <t>https://utrucking.com/admin/orders/6402100101308</t>
  </si>
  <si>
    <t>#17280</t>
  </si>
  <si>
    <t>crwpurchases@yahoo.com</t>
  </si>
  <si>
    <t>161</t>
  </si>
  <si>
    <t>Alexander Wetzler</t>
  </si>
  <si>
    <t>https://utrucking.com/admin/orders/6402102755516</t>
  </si>
  <si>
    <t>#17281</t>
  </si>
  <si>
    <t>arjunkalbag07@gmail.com</t>
  </si>
  <si>
    <t>Arjun</t>
  </si>
  <si>
    <t>https://utrucking.com/admin/orders/6402194374844</t>
  </si>
  <si>
    <t>#17282</t>
  </si>
  <si>
    <t>Elissa Germaine</t>
  </si>
  <si>
    <t>Pleasantville</t>
  </si>
  <si>
    <t>Am I able to request just a roll of tape? I do not need any boxes but I would like the tape from the included package.</t>
  </si>
  <si>
    <t>https://utrucking.com/admin/orders/6402302148796</t>
  </si>
  <si>
    <t>#17283</t>
  </si>
  <si>
    <t>Lorie Lassner</t>
  </si>
  <si>
    <t>1082 -a</t>
  </si>
  <si>
    <t xml:space="preserve">Ethan Lassner </t>
  </si>
  <si>
    <t>https://utrucking.com/admin/orders/6402558623932</t>
  </si>
  <si>
    <t>#17286</t>
  </si>
  <si>
    <t>k.a.thaler@wustl.edu</t>
  </si>
  <si>
    <t>Kate Thaler</t>
  </si>
  <si>
    <t>https://utrucking.com/admin/orders/6403075211452</t>
  </si>
  <si>
    <t>#17288</t>
  </si>
  <si>
    <t>https://utrucking.com/admin/orders/6403087892668</t>
  </si>
  <si>
    <t>#17289</t>
  </si>
  <si>
    <t>a.kleinhaus@wustl.edu</t>
  </si>
  <si>
    <t>https://utrucking.com/admin/orders/6403150184636</t>
  </si>
  <si>
    <t>#17290</t>
  </si>
  <si>
    <t>One kit</t>
  </si>
  <si>
    <t>https://utrucking.com/admin/orders/6403156050108</t>
  </si>
  <si>
    <t>#17291</t>
  </si>
  <si>
    <t>agrdorey@gmail.com</t>
  </si>
  <si>
    <t>Avery Reed</t>
  </si>
  <si>
    <t>https://utrucking.com/admin/orders/6403189244092</t>
  </si>
  <si>
    <t>#17292</t>
  </si>
  <si>
    <t>kmjju05@gmail.com</t>
  </si>
  <si>
    <t>https://utrucking.com/admin/orders/6403194224828</t>
  </si>
  <si>
    <t>#17293</t>
  </si>
  <si>
    <t>ningurbana@hotmail.com</t>
  </si>
  <si>
    <t>Ning Zhang</t>
  </si>
  <si>
    <t>David Bai</t>
  </si>
  <si>
    <t>https://utrucking.com/admin/orders/6403204350140</t>
  </si>
  <si>
    <t>#17294</t>
  </si>
  <si>
    <t>paigeqian2@gmail.com</t>
  </si>
  <si>
    <t>paige Qian</t>
  </si>
  <si>
    <t>212S Meramec Ave. 2406</t>
  </si>
  <si>
    <t>212 S Meramec Ave Apt 2406, Clayton, MO 63105</t>
  </si>
  <si>
    <t>Peiyu</t>
  </si>
  <si>
    <t>https://utrucking.com/admin/orders/6403313991868</t>
  </si>
  <si>
    <t>#17295</t>
  </si>
  <si>
    <t>meltz.r@wustl.edu</t>
  </si>
  <si>
    <t>Allison Meltz</t>
  </si>
  <si>
    <t>RILEY MELTZ</t>
  </si>
  <si>
    <t>https://utrucking.com/admin/orders/6403328475324</t>
  </si>
  <si>
    <t>#17296</t>
  </si>
  <si>
    <t>https://utrucking.com/admin/orders/6403443491004</t>
  </si>
  <si>
    <t>#17297</t>
  </si>
  <si>
    <t>andrewlin49@gmail.com</t>
  </si>
  <si>
    <t>Shu Lin</t>
  </si>
  <si>
    <t>Clovis</t>
  </si>
  <si>
    <t>Andrew Lin</t>
  </si>
  <si>
    <t>https://utrucking.com/admin/orders/6403463217340</t>
  </si>
  <si>
    <t>#17298</t>
  </si>
  <si>
    <t>Lilian Israel</t>
  </si>
  <si>
    <t>aventura</t>
  </si>
  <si>
    <t>Eliana Moronta</t>
  </si>
  <si>
    <t>https://utrucking.com/admin/orders/6403546546364</t>
  </si>
  <si>
    <t>#17299</t>
  </si>
  <si>
    <t>abethany@wustl.edu</t>
  </si>
  <si>
    <t>Bethany Anderson</t>
  </si>
  <si>
    <t>192</t>
  </si>
  <si>
    <t>https://utrucking.com/admin/orders/6403636101308</t>
  </si>
  <si>
    <t>#17300</t>
  </si>
  <si>
    <t>Susan Talbert</t>
  </si>
  <si>
    <t>Kate Talbert</t>
  </si>
  <si>
    <t>https://utrucking.com/admin/orders/6403653370044</t>
  </si>
  <si>
    <t>#17301</t>
  </si>
  <si>
    <t xml:space="preserve">310 West 79th Street
Apt 1W
New York, NY. 10024 </t>
  </si>
  <si>
    <t>Beckett Jones</t>
  </si>
  <si>
    <t>https://utrucking.com/admin/orders/6403681255612</t>
  </si>
  <si>
    <t>#17302</t>
  </si>
  <si>
    <t>gaylanoon@aol.com</t>
  </si>
  <si>
    <t>Gayla Aspinall</t>
  </si>
  <si>
    <t>103A</t>
  </si>
  <si>
    <t>https://utrucking.com/admin/orders/6403694723260</t>
  </si>
  <si>
    <t>#17303</t>
  </si>
  <si>
    <t>grace.li@wustl.edu</t>
  </si>
  <si>
    <t>https://utrucking.com/admin/orders/6403733749948</t>
  </si>
  <si>
    <t>#17304</t>
  </si>
  <si>
    <t>Uma Sharma</t>
  </si>
  <si>
    <t>49 Taylor Road, Mount Kisco NY 10549</t>
  </si>
  <si>
    <t>https://utrucking.com/admin/orders/6404262330556</t>
  </si>
  <si>
    <t>#17305</t>
  </si>
  <si>
    <t>daham@wustl.edu</t>
  </si>
  <si>
    <t>Sama Daham</t>
  </si>
  <si>
    <t>Franklin</t>
  </si>
  <si>
    <t>L239</t>
  </si>
  <si>
    <t>https://utrucking.com/admin/orders/6404338483388</t>
  </si>
  <si>
    <t>#17307</t>
  </si>
  <si>
    <t>kvanourny@comcast.net</t>
  </si>
  <si>
    <t>Krista Vanourny</t>
  </si>
  <si>
    <t>8025 Bonhomme Ave, Apt 711, Clayton, MO 63105</t>
  </si>
  <si>
    <t>He will also be storing a TV for the summer and a tv stand. He has a box for the TV. Does that work?</t>
  </si>
  <si>
    <t>https://utrucking.com/admin/orders/6404355096764</t>
  </si>
  <si>
    <t>#17308</t>
  </si>
  <si>
    <t>https://utrucking.com/admin/orders/6404380164284</t>
  </si>
  <si>
    <t>#17309</t>
  </si>
  <si>
    <t>The mini fridge will be located in the common area, outside of room 3141-a</t>
  </si>
  <si>
    <t>Amanda Lee</t>
  </si>
  <si>
    <t>https://utrucking.com/admin/orders/6404392190140</t>
  </si>
  <si>
    <t>#17310</t>
  </si>
  <si>
    <t>Jaye Weisbrod</t>
  </si>
  <si>
    <t>3 White Birch Lane Scarsdale NY 10583</t>
  </si>
  <si>
    <t>Sophie Weisbrod</t>
  </si>
  <si>
    <t>https://utrucking.com/admin/orders/6404424466620</t>
  </si>
  <si>
    <t>#17311</t>
  </si>
  <si>
    <t>b.j.trankler@wustl.edu</t>
  </si>
  <si>
    <t>https://utrucking.com/admin/orders/6404436459708</t>
  </si>
  <si>
    <t>#17312</t>
  </si>
  <si>
    <t>MARIA MCEVOY</t>
  </si>
  <si>
    <t>740 LELAND AVE, APT 2F ST LOUIS, MO 63130</t>
  </si>
  <si>
    <t xml:space="preserve">28 LAIGHT ST, APT5A NEW YORK NY 10013 </t>
  </si>
  <si>
    <t>Nico McEvoy</t>
  </si>
  <si>
    <t>https://utrucking.com/admin/orders/6404492099772</t>
  </si>
  <si>
    <t>#17313</t>
  </si>
  <si>
    <t>Samiya Menon</t>
  </si>
  <si>
    <t>Sami Menon</t>
  </si>
  <si>
    <t>https://utrucking.com/admin/orders/6404565008572</t>
  </si>
  <si>
    <t>#17314</t>
  </si>
  <si>
    <t>jnottolane@gmail.com</t>
  </si>
  <si>
    <t>Darlene Nguyen</t>
  </si>
  <si>
    <t>https://utrucking.com/admin/orders/6404606951612</t>
  </si>
  <si>
    <t>#17315</t>
  </si>
  <si>
    <t>Teri Covello</t>
  </si>
  <si>
    <t>https://utrucking.com/admin/orders/6404702830780</t>
  </si>
  <si>
    <t>#17317</t>
  </si>
  <si>
    <t>Nicole Fink</t>
  </si>
  <si>
    <t>608 Kingsfield Ste 3K</t>
  </si>
  <si>
    <t>I was unable to enter April 4, as we had discussed</t>
  </si>
  <si>
    <t>Andrew Fink</t>
  </si>
  <si>
    <t>https://utrucking.com/admin/orders/6404811456700</t>
  </si>
  <si>
    <t>#17318</t>
  </si>
  <si>
    <t>nat_prins@yahoo.com</t>
  </si>
  <si>
    <t>Natalie Prins</t>
  </si>
  <si>
    <t>Salem</t>
  </si>
  <si>
    <t>1181</t>
  </si>
  <si>
    <t>Amelia Prins</t>
  </si>
  <si>
    <t>https://utrucking.com/admin/orders/6404945182908</t>
  </si>
  <si>
    <t>#17320</t>
  </si>
  <si>
    <t>Connor Chuang</t>
  </si>
  <si>
    <t>27511-6410</t>
  </si>
  <si>
    <t>https://utrucking.com/admin/orders/6405422350524</t>
  </si>
  <si>
    <t>#17323</t>
  </si>
  <si>
    <t>brickman@wustl.edu</t>
  </si>
  <si>
    <t>https://utrucking.com/admin/orders/6405455544508</t>
  </si>
  <si>
    <t>#17324</t>
  </si>
  <si>
    <t>Carrie Panoff</t>
  </si>
  <si>
    <t>Elie Panoff</t>
  </si>
  <si>
    <t>https://utrucking.com/admin/orders/6405510529212</t>
  </si>
  <si>
    <t>#17325</t>
  </si>
  <si>
    <t>https://utrucking.com/admin/orders/6405576982716</t>
  </si>
  <si>
    <t>#17326</t>
  </si>
  <si>
    <t>k.r.vongermeten@wustl.edu</t>
  </si>
  <si>
    <t>Katherine von Germeten</t>
  </si>
  <si>
    <t>1182 - a</t>
  </si>
  <si>
    <t>Katie</t>
  </si>
  <si>
    <t>https://utrucking.com/admin/orders/6405870911676</t>
  </si>
  <si>
    <t>#17327</t>
  </si>
  <si>
    <t>Jessica Lewin-Zmood</t>
  </si>
  <si>
    <t>Plus two plastic crates</t>
  </si>
  <si>
    <t>Ella Zmood</t>
  </si>
  <si>
    <t>https://utrucking.com/admin/orders/6405957812412</t>
  </si>
  <si>
    <t>#17329</t>
  </si>
  <si>
    <t>JEANNETTE BAERWALD</t>
  </si>
  <si>
    <t>BOTHELL</t>
  </si>
  <si>
    <t>https://utrucking.com/admin/orders/6406129647804</t>
  </si>
  <si>
    <t>#17330</t>
  </si>
  <si>
    <t>Justin Rosenblatt</t>
  </si>
  <si>
    <t>https://utrucking.com/admin/orders/6406829998268</t>
  </si>
  <si>
    <t>#17331</t>
  </si>
  <si>
    <t>k.rae@wustl.edu</t>
  </si>
  <si>
    <t>Rae Kaplan</t>
  </si>
  <si>
    <t>https://utrucking.com/admin/orders/6406881116348</t>
  </si>
  <si>
    <t>#17332</t>
  </si>
  <si>
    <t>Julianne Miller</t>
  </si>
  <si>
    <t>Canandaigua</t>
  </si>
  <si>
    <t>Aaron Miller</t>
  </si>
  <si>
    <t>https://utrucking.com/admin/orders/6407028244668</t>
  </si>
  <si>
    <t>#17333</t>
  </si>
  <si>
    <t>https://utrucking.com/admin/orders/6407057539260</t>
  </si>
  <si>
    <t>#17334</t>
  </si>
  <si>
    <t>l.seoyeong@wustl.edu</t>
  </si>
  <si>
    <t>https://utrucking.com/admin/orders/6407075528892</t>
  </si>
  <si>
    <t>#17335</t>
  </si>
  <si>
    <t>dulcecastillopb@gmail.com</t>
  </si>
  <si>
    <t>Dulce Castillo</t>
  </si>
  <si>
    <t>3315</t>
  </si>
  <si>
    <t>Ruby Castillo</t>
  </si>
  <si>
    <t>https://utrucking.com/admin/orders/6407094993084</t>
  </si>
  <si>
    <t>#17336</t>
  </si>
  <si>
    <t>https://utrucking.com/admin/orders/6407106363580</t>
  </si>
  <si>
    <t>#17337</t>
  </si>
  <si>
    <t>anushkas@wustl.edu</t>
  </si>
  <si>
    <t>Ashni Sonawala</t>
  </si>
  <si>
    <t>Anushka Sonawala</t>
  </si>
  <si>
    <t>https://utrucking.com/admin/orders/6407184711868</t>
  </si>
  <si>
    <t>#17338</t>
  </si>
  <si>
    <t>kay.z@wustl.edu</t>
  </si>
  <si>
    <t>Kay Zachary</t>
  </si>
  <si>
    <t>https://utrucking.com/admin/orders/6407207125180</t>
  </si>
  <si>
    <t>#17339</t>
  </si>
  <si>
    <t>Broadview Heights</t>
  </si>
  <si>
    <t>https://utrucking.com/admin/orders/6407268106428</t>
  </si>
  <si>
    <t>#17340</t>
  </si>
  <si>
    <t>https://utrucking.com/admin/orders/6407268335804</t>
  </si>
  <si>
    <t>#17341</t>
  </si>
  <si>
    <t>jackieisaacson@icloud.com</t>
  </si>
  <si>
    <t>Benjamin Isaacson</t>
  </si>
  <si>
    <t>Jacqueline Isaacson</t>
  </si>
  <si>
    <t>https://utrucking.com/admin/orders/6407337148604</t>
  </si>
  <si>
    <t>#17342</t>
  </si>
  <si>
    <t xml:space="preserve">Arushi </t>
  </si>
  <si>
    <t>https://utrucking.com/admin/orders/6407339540668</t>
  </si>
  <si>
    <t>#17343</t>
  </si>
  <si>
    <t>Arushi</t>
  </si>
  <si>
    <t>https://utrucking.com/admin/orders/6407361233084</t>
  </si>
  <si>
    <t>#17344</t>
  </si>
  <si>
    <t>https://utrucking.com/admin/orders/6407473758396</t>
  </si>
  <si>
    <t>#17345</t>
  </si>
  <si>
    <t>dtolaw@yahoo.com</t>
  </si>
  <si>
    <t>Douglas T. Ominsky</t>
  </si>
  <si>
    <t>Avery Ominsky</t>
  </si>
  <si>
    <t>https://utrucking.com/admin/orders/6407566164156</t>
  </si>
  <si>
    <t>#17346</t>
  </si>
  <si>
    <t>Emiruthnewman@gmail.com</t>
  </si>
  <si>
    <t>https://utrucking.com/admin/orders/6407685603516</t>
  </si>
  <si>
    <t>#17347</t>
  </si>
  <si>
    <t>baek.k@wustl.edu</t>
  </si>
  <si>
    <t>Kaylee Baek</t>
  </si>
  <si>
    <t>I would need it moved into Village East by May 17th. I would need it moved out of Village East on July 25th. I would need it moved into Danforth House by August 2nd.</t>
  </si>
  <si>
    <t>https://utrucking.com/admin/orders/6407810941116</t>
  </si>
  <si>
    <t>#17348</t>
  </si>
  <si>
    <t>ellaocto@icloud.com</t>
  </si>
  <si>
    <t>Francesca Garcia</t>
  </si>
  <si>
    <t>0203 - a</t>
  </si>
  <si>
    <t>https://utrucking.com/admin/orders/6407873986748</t>
  </si>
  <si>
    <t>#17349</t>
  </si>
  <si>
    <t xml:space="preserve">2330 Lincoln Ave. Miami, Florida 33133 </t>
  </si>
  <si>
    <t xml:space="preserve">Casey Manno </t>
  </si>
  <si>
    <t>https://utrucking.com/admin/orders/6407891026108</t>
  </si>
  <si>
    <t>#17350</t>
  </si>
  <si>
    <t>https://utrucking.com/admin/orders/6407919468732</t>
  </si>
  <si>
    <t>#17351</t>
  </si>
  <si>
    <t>c.sohta@wustl.edu</t>
  </si>
  <si>
    <t>https://utrucking.com/admin/orders/6407924908220</t>
  </si>
  <si>
    <t>#17352</t>
  </si>
  <si>
    <t>genebelly19@gmail.com</t>
  </si>
  <si>
    <t>Genebelle Mynn</t>
  </si>
  <si>
    <t>1115b</t>
  </si>
  <si>
    <t>https://utrucking.com/admin/orders/6408000078012</t>
  </si>
  <si>
    <t>#17353</t>
  </si>
  <si>
    <t>Caitlin Bui</t>
  </si>
  <si>
    <t>Bayside</t>
  </si>
  <si>
    <t>232b</t>
  </si>
  <si>
    <t>https://utrucking.com/admin/orders/6408074526908</t>
  </si>
  <si>
    <t>#17354</t>
  </si>
  <si>
    <t>c.myles@wustl.edu</t>
  </si>
  <si>
    <t>Angela Cobb</t>
  </si>
  <si>
    <t>4074-A</t>
  </si>
  <si>
    <t>Myles</t>
  </si>
  <si>
    <t>https://utrucking.com/admin/orders/6408115093692</t>
  </si>
  <si>
    <t>#17355</t>
  </si>
  <si>
    <t>Charlotte Allinson</t>
  </si>
  <si>
    <t>https://utrucking.com/admin/orders/6408141242556</t>
  </si>
  <si>
    <t>#17356</t>
  </si>
  <si>
    <t>dbean8711@gmail.com</t>
  </si>
  <si>
    <t>Daniel Bean</t>
  </si>
  <si>
    <t>https://utrucking.com/admin/orders/6408181285052</t>
  </si>
  <si>
    <t>#17357</t>
  </si>
  <si>
    <t>a.s.woo@wustl.edu</t>
  </si>
  <si>
    <t>Alexa Woo</t>
  </si>
  <si>
    <t>3133</t>
  </si>
  <si>
    <t>https://utrucking.com/admin/orders/6408274608316</t>
  </si>
  <si>
    <t>#17358</t>
  </si>
  <si>
    <t>Julia Josephson</t>
  </si>
  <si>
    <t>https://utrucking.com/admin/orders/6408296890556</t>
  </si>
  <si>
    <t>#17359</t>
  </si>
  <si>
    <t>leah.hayem@gmail.com</t>
  </si>
  <si>
    <t>Leah Hayem</t>
  </si>
  <si>
    <t>https://utrucking.com/admin/orders/6408388149436</t>
  </si>
  <si>
    <t>#17360</t>
  </si>
  <si>
    <t>22</t>
  </si>
  <si>
    <t>https://utrucking.com/admin/orders/6408395587772</t>
  </si>
  <si>
    <t>#17361</t>
  </si>
  <si>
    <t>Pamela Potter-Osit</t>
  </si>
  <si>
    <t>241</t>
  </si>
  <si>
    <t>https://utrucking.com/admin/orders/6408443429052</t>
  </si>
  <si>
    <t>#17362</t>
  </si>
  <si>
    <t>https://utrucking.com/admin/orders/6408500543676</t>
  </si>
  <si>
    <t>#17363</t>
  </si>
  <si>
    <t>https://utrucking.com/admin/orders/6408536948924</t>
  </si>
  <si>
    <t>#17364</t>
  </si>
  <si>
    <t>Ava Ayad</t>
  </si>
  <si>
    <t>Westlake</t>
  </si>
  <si>
    <t>Will not be in the dorm during pickup time but everything will be packed and ready.</t>
  </si>
  <si>
    <t>https://utrucking.com/admin/orders/6408671101116</t>
  </si>
  <si>
    <t>#17365</t>
  </si>
  <si>
    <t>Philip Alston</t>
  </si>
  <si>
    <t>10012-1312</t>
  </si>
  <si>
    <t>3022a</t>
  </si>
  <si>
    <t>Ross de Burca</t>
  </si>
  <si>
    <t>https://utrucking.com/admin/orders/6408735817916</t>
  </si>
  <si>
    <t>#17366</t>
  </si>
  <si>
    <t>Charlie Emanuel</t>
  </si>
  <si>
    <t>Everly on the Loop
6105 Delmar Blvd
Apartment 815 B
St. Louis</t>
  </si>
  <si>
    <t xml:space="preserve">Charlie Emanuel
12 Kittle Road
Chappaqua, NY 10514 </t>
  </si>
  <si>
    <t>https://utrucking.com/admin/orders/6408743190716</t>
  </si>
  <si>
    <t>#17367</t>
  </si>
  <si>
    <t>delilah@wustl.edu</t>
  </si>
  <si>
    <t>Steven Spector</t>
  </si>
  <si>
    <t>Delilah Spector</t>
  </si>
  <si>
    <t>https://utrucking.com/admin/orders/6408869576892</t>
  </si>
  <si>
    <t>#17368</t>
  </si>
  <si>
    <t>a.makayli@wustl.edu</t>
  </si>
  <si>
    <t>30342-2058</t>
  </si>
  <si>
    <t xml:space="preserve">545 Belada Blvd
Atlanta, GA 30342 </t>
  </si>
  <si>
    <t>https://utrucking.com/admin/orders/6408914960572</t>
  </si>
  <si>
    <t>#17369</t>
  </si>
  <si>
    <t>lyon.n@wustl.edu</t>
  </si>
  <si>
    <t>https://utrucking.com/admin/orders/6408996290748</t>
  </si>
  <si>
    <t>#17370</t>
  </si>
  <si>
    <t>maddiepira@gmail.com</t>
  </si>
  <si>
    <t>Madeleine Pira</t>
  </si>
  <si>
    <t>729 Westgate Avenue Apt. 3N, Saint Louis, MO 63130</t>
  </si>
  <si>
    <t xml:space="preserve">20659 Lugano Way, Porter Ranch, CA 91326 </t>
  </si>
  <si>
    <t>Apt code for kit: 1596</t>
  </si>
  <si>
    <t>https://utrucking.com/admin/orders/6409035907260</t>
  </si>
  <si>
    <t>#17371</t>
  </si>
  <si>
    <t>New City</t>
  </si>
  <si>
    <t>We will also be storing some plastic drawers. We will pack and tape those shut and leave them in the room with the boxes we will be packing/using.</t>
  </si>
  <si>
    <t>https://utrucking.com/admin/orders/6409136177340</t>
  </si>
  <si>
    <t>#17372</t>
  </si>
  <si>
    <t>Noah Hunt</t>
  </si>
  <si>
    <t>https://utrucking.com/admin/orders/6409248866492</t>
  </si>
  <si>
    <t>#17373</t>
  </si>
  <si>
    <t>https://utrucking.com/admin/orders/6409279865020</t>
  </si>
  <si>
    <t>#17374</t>
  </si>
  <si>
    <t>Nitesh Fernando</t>
  </si>
  <si>
    <t>https://utrucking.com/admin/orders/6409294479548</t>
  </si>
  <si>
    <t>#17375</t>
  </si>
  <si>
    <t>a.v.malhotra@wustl.edu</t>
  </si>
  <si>
    <t>Aaliya Malhotra</t>
  </si>
  <si>
    <t>https://utrucking.com/admin/orders/6409309257916</t>
  </si>
  <si>
    <t>#17376</t>
  </si>
  <si>
    <t>gerber.scarlett@gmail.com</t>
  </si>
  <si>
    <t>https://utrucking.com/admin/orders/6409328459964</t>
  </si>
  <si>
    <t>#17377</t>
  </si>
  <si>
    <t>annejoyce33@mac.com</t>
  </si>
  <si>
    <t>virginia a joyce</t>
  </si>
  <si>
    <t>There will also be a mini fridge</t>
  </si>
  <si>
    <t>Nia Lawrence</t>
  </si>
  <si>
    <t>https://utrucking.com/admin/orders/6409466970300</t>
  </si>
  <si>
    <t>#17378</t>
  </si>
  <si>
    <t>williamatticks@gmail.com</t>
  </si>
  <si>
    <t>William Atticks</t>
  </si>
  <si>
    <t xml:space="preserve">819 west padonia rd </t>
  </si>
  <si>
    <t>https://utrucking.com/admin/orders/6410098770108</t>
  </si>
  <si>
    <t>#17379</t>
  </si>
  <si>
    <t>Rebecca Solovy</t>
  </si>
  <si>
    <t>1236</t>
  </si>
  <si>
    <t>Hanna Solovy</t>
  </si>
  <si>
    <t>https://utrucking.com/admin/orders/6410101489852</t>
  </si>
  <si>
    <t>#17380</t>
  </si>
  <si>
    <t>Vivian Goodstein</t>
  </si>
  <si>
    <t>372a</t>
  </si>
  <si>
    <t>fall 2026 housing Zetcher house 2101a</t>
  </si>
  <si>
    <t>https://utrucking.com/admin/orders/6410102079676</t>
  </si>
  <si>
    <t>#17381</t>
  </si>
  <si>
    <t>https://utrucking.com/admin/orders/6410104340668</t>
  </si>
  <si>
    <t>#17382</t>
  </si>
  <si>
    <t>Hannah White</t>
  </si>
  <si>
    <t>3091</t>
  </si>
  <si>
    <t>https://utrucking.com/admin/orders/6410116595900</t>
  </si>
  <si>
    <t>#17383</t>
  </si>
  <si>
    <t>Alison Flamenbaum</t>
  </si>
  <si>
    <t>Suite3050RoomA</t>
  </si>
  <si>
    <t xml:space="preserve">Paisley Flamenbaum
30 Kilmer Rd
Larchmont, NY 10538 </t>
  </si>
  <si>
    <t>Hello, for Paisley Flamenbaum summer storage, Pickup Location is Lopata House Suite 3050 Room A, and Delivery location for Fall 2026 is Greenway Apartments 316-B, 6600 Washington Ave. She will also have some boxes for Home Shipping, I will register separately as per conversation with Carlos. She will also have a refrigerator return. Thank you, Alison Flamenbaum 914-525-9746 alisonflamenbaum@gmail.com</t>
  </si>
  <si>
    <t>https://utrucking.com/admin/orders/6410492969148</t>
  </si>
  <si>
    <t>#17384</t>
  </si>
  <si>
    <t>nathanrblum@gmail.com</t>
  </si>
  <si>
    <t>Barbara Spindel</t>
  </si>
  <si>
    <t>https://utrucking.com/admin/orders/6410499129532</t>
  </si>
  <si>
    <t>#17385</t>
  </si>
  <si>
    <t>ljiaying@wustl.edu</t>
  </si>
  <si>
    <t>Evelyn Lu</t>
  </si>
  <si>
    <t>https://utrucking.com/admin/orders/6410507583676</t>
  </si>
  <si>
    <t>#17386</t>
  </si>
  <si>
    <t>Jo Da Silva Carvalho</t>
  </si>
  <si>
    <t>https://utrucking.com/admin/orders/6410546839740</t>
  </si>
  <si>
    <t>#17387</t>
  </si>
  <si>
    <t>Jennifer Shrier</t>
  </si>
  <si>
    <t>U Saddle Riv</t>
  </si>
  <si>
    <t xml:space="preserve">Sienna Shrier </t>
  </si>
  <si>
    <t>https://utrucking.com/admin/orders/6410917314748</t>
  </si>
  <si>
    <t>#17388</t>
  </si>
  <si>
    <t>doyoonnkim00@gmail.com</t>
  </si>
  <si>
    <t>https://utrucking.com/admin/orders/6410927112380</t>
  </si>
  <si>
    <t>#17389</t>
  </si>
  <si>
    <t>https://utrucking.com/admin/orders/6410981540028</t>
  </si>
  <si>
    <t>#17390</t>
  </si>
  <si>
    <t>Toby Xu</t>
  </si>
  <si>
    <t>https://utrucking.com/admin/orders/6411010375868</t>
  </si>
  <si>
    <t>#17391</t>
  </si>
  <si>
    <t>alexadh30@gmail.com</t>
  </si>
  <si>
    <t>Daniel Hernandez</t>
  </si>
  <si>
    <t>Garland</t>
  </si>
  <si>
    <t xml:space="preserve">Alexa Hernandez </t>
  </si>
  <si>
    <t>https://utrucking.com/admin/orders/6411086069948</t>
  </si>
  <si>
    <t>#17392</t>
  </si>
  <si>
    <t>Abby Kohn</t>
  </si>
  <si>
    <t>Phoebe Linn</t>
  </si>
  <si>
    <t>https://utrucking.com/admin/orders/6411271110844</t>
  </si>
  <si>
    <t>#17393</t>
  </si>
  <si>
    <t>fieldsjodi@yahoo.com</t>
  </si>
  <si>
    <t>Jodi Fields</t>
  </si>
  <si>
    <t>7218 Forsyth Blvd 1W
 St Louis, Mo 63105</t>
  </si>
  <si>
    <t xml:space="preserve">8104 River Falls Dr
Potomac, Md 20854 </t>
  </si>
  <si>
    <t>Jenna Fields</t>
  </si>
  <si>
    <t>https://utrucking.com/admin/orders/6411327832252</t>
  </si>
  <si>
    <t>#17394</t>
  </si>
  <si>
    <t>Charlotte Golderos</t>
  </si>
  <si>
    <t>Trujillo Alto</t>
  </si>
  <si>
    <t xml:space="preserve">Diego Ortiz Golderos </t>
  </si>
  <si>
    <t>https://utrucking.com/admin/orders/6411363221692</t>
  </si>
  <si>
    <t>#17395</t>
  </si>
  <si>
    <t>flicker@wustl.edu</t>
  </si>
  <si>
    <t>608 Kingsland Avenue, Apartment 404</t>
  </si>
  <si>
    <t xml:space="preserve">70 Greendale Road, Scarsdale, NY 10583 </t>
  </si>
  <si>
    <t>Molly Flicker</t>
  </si>
  <si>
    <t>https://utrucking.com/admin/orders/6411520049340</t>
  </si>
  <si>
    <t>#17396</t>
  </si>
  <si>
    <t>placer1hugo@gmail.com</t>
  </si>
  <si>
    <t>Hugo Placer-Sanchez</t>
  </si>
  <si>
    <t>Celebration</t>
  </si>
  <si>
    <t>Village - 2132 - a</t>
  </si>
  <si>
    <t>Hugo Placer</t>
  </si>
  <si>
    <t>https://utrucking.com/admin/orders/6411592794300</t>
  </si>
  <si>
    <t>#17397</t>
  </si>
  <si>
    <t>ejz2004@icloud.com</t>
  </si>
  <si>
    <t>416A</t>
  </si>
  <si>
    <t>https://utrucking.com/admin/orders/6411649876156</t>
  </si>
  <si>
    <t>#17398</t>
  </si>
  <si>
    <t>Jessica Wang</t>
  </si>
  <si>
    <t>https://utrucking.com/admin/orders/6411676745916</t>
  </si>
  <si>
    <t>#17399</t>
  </si>
  <si>
    <t>miperlmutter12@gmail.com</t>
  </si>
  <si>
    <t>John Perlmutter</t>
  </si>
  <si>
    <t>Michael Perlmutter</t>
  </si>
  <si>
    <t>https://utrucking.com/admin/orders/6411694801084</t>
  </si>
  <si>
    <t>#17400</t>
  </si>
  <si>
    <t>amiki@wustl.edu</t>
  </si>
  <si>
    <t>Pinecrest</t>
  </si>
  <si>
    <t>https://utrucking.com/admin/orders/6413603406012</t>
  </si>
  <si>
    <t>#17401</t>
  </si>
  <si>
    <t>leahanva@gmail.com</t>
  </si>
  <si>
    <t>Leah Golub</t>
  </si>
  <si>
    <t>Beachwood</t>
  </si>
  <si>
    <t>44122-4026</t>
  </si>
  <si>
    <t>Eva Golub</t>
  </si>
  <si>
    <t>https://utrucking.com/admin/orders/6413747519676</t>
  </si>
  <si>
    <t>#17402</t>
  </si>
  <si>
    <t>Griffin Nichols</t>
  </si>
  <si>
    <t>https://utrucking.com/admin/orders/6413878067388</t>
  </si>
  <si>
    <t>#17403</t>
  </si>
  <si>
    <t>Nicole Tyler</t>
  </si>
  <si>
    <t>https://utrucking.com/admin/orders/6414129692860</t>
  </si>
  <si>
    <t>#17404</t>
  </si>
  <si>
    <t>Michael Mathew</t>
  </si>
  <si>
    <t>https://utrucking.com/admin/orders/6414270955708</t>
  </si>
  <si>
    <t>#17405</t>
  </si>
  <si>
    <t>cmai@wustl.edu</t>
  </si>
  <si>
    <t>Mai Chen</t>
  </si>
  <si>
    <t>https://utrucking.com/admin/orders/6414323187900</t>
  </si>
  <si>
    <t>#17406</t>
  </si>
  <si>
    <t>Evan Froehlich</t>
  </si>
  <si>
    <t>https://utrucking.com/admin/orders/6414747795644</t>
  </si>
  <si>
    <t>#17407</t>
  </si>
  <si>
    <t>6665 Washington Ave., University City, 
Apartment 3W</t>
  </si>
  <si>
    <t>https://utrucking.com/admin/orders/6414797242556</t>
  </si>
  <si>
    <t>#17408</t>
  </si>
  <si>
    <t>chelsea.smalling@wustl.edu</t>
  </si>
  <si>
    <t>111B</t>
  </si>
  <si>
    <t>https://utrucking.com/admin/orders/6414880669884</t>
  </si>
  <si>
    <t>#17409</t>
  </si>
  <si>
    <t>Iris Zhang</t>
  </si>
  <si>
    <t>https://utrucking.com/admin/orders/6415024849084</t>
  </si>
  <si>
    <t>#17410</t>
  </si>
  <si>
    <t>wu.xiao@wustl.edu</t>
  </si>
  <si>
    <t>https://utrucking.com/admin/orders/6415841296572</t>
  </si>
  <si>
    <t>#17412</t>
  </si>
  <si>
    <t>Christopher Davidson</t>
  </si>
  <si>
    <t>https://utrucking.com/admin/orders/6415968534716</t>
  </si>
  <si>
    <t>#17413</t>
  </si>
  <si>
    <t>coleesmith12@gmail.com</t>
  </si>
  <si>
    <t>Cole Smith</t>
  </si>
  <si>
    <t>3313</t>
  </si>
  <si>
    <t>https://utrucking.com/admin/orders/6416074670268</t>
  </si>
  <si>
    <t>#17415</t>
  </si>
  <si>
    <t>303C</t>
  </si>
  <si>
    <t>https://utrucking.com/admin/orders/6416309223612</t>
  </si>
  <si>
    <t>#17417</t>
  </si>
  <si>
    <t>bergman.z@wustl.edu</t>
  </si>
  <si>
    <t>Zachary Bergman</t>
  </si>
  <si>
    <t>Marietta</t>
  </si>
  <si>
    <t>433</t>
  </si>
  <si>
    <t>https://utrucking.com/admin/orders/6416362406076</t>
  </si>
  <si>
    <t>#17418</t>
  </si>
  <si>
    <t>noellehornback@gmail.com</t>
  </si>
  <si>
    <t>Jayne Hornback</t>
  </si>
  <si>
    <t>2093</t>
  </si>
  <si>
    <t>Noelle Hornback</t>
  </si>
  <si>
    <t>https://utrucking.com/admin/orders/6416376922300</t>
  </si>
  <si>
    <t>#17419</t>
  </si>
  <si>
    <t>94941-1807</t>
  </si>
  <si>
    <t>103H</t>
  </si>
  <si>
    <t>Will also have WashU Wash items for pick-up + refrigerator rental return.</t>
  </si>
  <si>
    <t>https://utrucking.com/admin/orders/6416398418108</t>
  </si>
  <si>
    <t>#17420</t>
  </si>
  <si>
    <t>omichael@wustl.edu</t>
  </si>
  <si>
    <t>Michael Orciuoli</t>
  </si>
  <si>
    <t>Atherton</t>
  </si>
  <si>
    <t>https://utrucking.com/admin/orders/6416482238652</t>
  </si>
  <si>
    <t>#17421</t>
  </si>
  <si>
    <t>c.munson@wustl.edu</t>
  </si>
  <si>
    <t>CHARLES MUNSON</t>
  </si>
  <si>
    <t>123</t>
  </si>
  <si>
    <t>https://utrucking.com/admin/orders/6416514252988</t>
  </si>
  <si>
    <t>#17422</t>
  </si>
  <si>
    <t>Bethany Siegel</t>
  </si>
  <si>
    <t>Warsaw</t>
  </si>
  <si>
    <t>Anna Siegel</t>
  </si>
  <si>
    <t>https://utrucking.com/admin/orders/6416670818492</t>
  </si>
  <si>
    <t>#17423</t>
  </si>
  <si>
    <t>Patricia Mekhanik</t>
  </si>
  <si>
    <t>https://utrucking.com/admin/orders/6416725672124</t>
  </si>
  <si>
    <t>#17424</t>
  </si>
  <si>
    <t>tyuen@wustl.edu</t>
  </si>
  <si>
    <t>Tristan Yuen</t>
  </si>
  <si>
    <t>https://utrucking.com/admin/orders/6416991322300</t>
  </si>
  <si>
    <t>#17425</t>
  </si>
  <si>
    <t>Grace Sacks</t>
  </si>
  <si>
    <t>43 Overlook Rd, Livingston, NJ 07039</t>
  </si>
  <si>
    <t>https://utrucking.com/admin/orders/6417183572156</t>
  </si>
  <si>
    <t>#17426</t>
  </si>
  <si>
    <t>Shaojun Chen</t>
  </si>
  <si>
    <t>West Vancouver</t>
  </si>
  <si>
    <t>V7V 2A8</t>
  </si>
  <si>
    <t>Jin Chen</t>
  </si>
  <si>
    <t>https://utrucking.com/admin/orders/6417220436156</t>
  </si>
  <si>
    <t>#17427</t>
  </si>
  <si>
    <t>Ben Blackford</t>
  </si>
  <si>
    <t>https://utrucking.com/admin/orders/6417274798268</t>
  </si>
  <si>
    <t>#17428</t>
  </si>
  <si>
    <t>Patricia Stobaugh</t>
  </si>
  <si>
    <t>Newburgh</t>
  </si>
  <si>
    <t>0201</t>
  </si>
  <si>
    <t xml:space="preserve"> In addition to the boxes, we also plan to store a 2-door mini refrigerator, an ottoman, and 2 plastic storage containers with drawers. Thank you</t>
  </si>
  <si>
    <t>https://utrucking.com/admin/orders/6417369432252</t>
  </si>
  <si>
    <t>#17429</t>
  </si>
  <si>
    <t>Nancy Hait</t>
  </si>
  <si>
    <t>https://utrucking.com/admin/orders/6417402200252</t>
  </si>
  <si>
    <t>#17430</t>
  </si>
  <si>
    <t>Maya Graña</t>
  </si>
  <si>
    <t>https://utrucking.com/admin/orders/6417525768380</t>
  </si>
  <si>
    <t>#17431</t>
  </si>
  <si>
    <t>Sienna Sindwani</t>
  </si>
  <si>
    <t>https://utrucking.com/admin/orders/6417583014076</t>
  </si>
  <si>
    <t>#17432</t>
  </si>
  <si>
    <t>moshu@wustl.edu</t>
  </si>
  <si>
    <t>Moshu Yuan</t>
  </si>
  <si>
    <t>https://utrucking.com/admin/orders/6417625940156</t>
  </si>
  <si>
    <t>#17433</t>
  </si>
  <si>
    <t>kaiwenkailee@gmail.com</t>
  </si>
  <si>
    <t>Kai Lee</t>
  </si>
  <si>
    <t>https://utrucking.com/admin/orders/6417643831484</t>
  </si>
  <si>
    <t>#17434</t>
  </si>
  <si>
    <t>cochranevan1@gmail.com</t>
  </si>
  <si>
    <t>Kristine Cochran</t>
  </si>
  <si>
    <t>Evan Cochran</t>
  </si>
  <si>
    <t>https://utrucking.com/admin/orders/6417644945596</t>
  </si>
  <si>
    <t>#17435</t>
  </si>
  <si>
    <t>a.a.conner@wustl.edu</t>
  </si>
  <si>
    <t>Alison Conner</t>
  </si>
  <si>
    <t>2310</t>
  </si>
  <si>
    <t>https://utrucking.com/admin/orders/6417670537404</t>
  </si>
  <si>
    <t>#17436</t>
  </si>
  <si>
    <t>Ami Striker</t>
  </si>
  <si>
    <t xml:space="preserve">Sofia striker </t>
  </si>
  <si>
    <t>https://utrucking.com/admin/orders/6417779916988</t>
  </si>
  <si>
    <t>#17437</t>
  </si>
  <si>
    <t>3235778971@qq.com</t>
  </si>
  <si>
    <t>Hailey Yang</t>
  </si>
  <si>
    <t>3112 - b</t>
  </si>
  <si>
    <t xml:space="preserve"> I'm going to store an electric guitar with my stuff, please please be extra careful with the guitar, it's expensive and fragile. </t>
  </si>
  <si>
    <t>https://utrucking.com/admin/orders/6417871143100</t>
  </si>
  <si>
    <t>#17438</t>
  </si>
  <si>
    <t>grinberg1165@gmail.com</t>
  </si>
  <si>
    <t xml:space="preserve">1165 Park Ave #4B
New York, NY 10128 </t>
  </si>
  <si>
    <t>https://utrucking.com/admin/orders/6417945755836</t>
  </si>
  <si>
    <t>#17439</t>
  </si>
  <si>
    <t>Eunice eunice</t>
  </si>
  <si>
    <t xml:space="preserve"> Delivery Address: Village - 2122 - a</t>
  </si>
  <si>
    <t>Eunice</t>
  </si>
  <si>
    <t>https://utrucking.com/admin/orders/6418097143996</t>
  </si>
  <si>
    <t>#17440</t>
  </si>
  <si>
    <t>https://utrucking.com/admin/orders/6418309906620</t>
  </si>
  <si>
    <t>#17441</t>
  </si>
  <si>
    <t>4402-A</t>
  </si>
  <si>
    <t>Amiyah Louis</t>
  </si>
  <si>
    <t>https://utrucking.com/admin/orders/6418613862588</t>
  </si>
  <si>
    <t>#17442</t>
  </si>
  <si>
    <t>alisonpion@yahoo.com</t>
  </si>
  <si>
    <t>Alison Pion</t>
  </si>
  <si>
    <t>6040 Westminster Place, Floor 2, St. Louis MO 63112</t>
  </si>
  <si>
    <t>Hermosa Beach</t>
  </si>
  <si>
    <t xml:space="preserve">33 4th Court, Hermosa Beach CA 90254 </t>
  </si>
  <si>
    <t>Ella Majd</t>
  </si>
  <si>
    <t>https://utrucking.com/admin/orders/6418625593532</t>
  </si>
  <si>
    <t>#17443</t>
  </si>
  <si>
    <t>keely.w@wustl.edu</t>
  </si>
  <si>
    <t>Keely Wu</t>
  </si>
  <si>
    <t xml:space="preserve"> We would like the boxes delivered by Friday April 17th. </t>
  </si>
  <si>
    <t>https://utrucking.com/admin/orders/6418645450940</t>
  </si>
  <si>
    <t>#17444</t>
  </si>
  <si>
    <t>c.jaquez@wustl.edu</t>
  </si>
  <si>
    <t>ciara jaquez</t>
  </si>
  <si>
    <t>2213</t>
  </si>
  <si>
    <t>Ciara  Jaquez</t>
  </si>
  <si>
    <t>https://utrucking.com/admin/orders/6418648858812</t>
  </si>
  <si>
    <t>#17445</t>
  </si>
  <si>
    <t>Cheong.d@wustl.edu</t>
  </si>
  <si>
    <t>https://utrucking.com/admin/orders/6418680971452</t>
  </si>
  <si>
    <t>#17446</t>
  </si>
  <si>
    <t>kaplan.m.j@wustl.edu</t>
  </si>
  <si>
    <t>Myles Kaplan</t>
  </si>
  <si>
    <t>MARLBORO</t>
  </si>
  <si>
    <t xml:space="preserve"> In early August we will contact you with what room number Myles is moving back into, in House 21. </t>
  </si>
  <si>
    <t>https://utrucking.com/admin/orders/6418712199356</t>
  </si>
  <si>
    <t>#17447</t>
  </si>
  <si>
    <t>jrweinberg@yahoo.com</t>
  </si>
  <si>
    <t>Jonathan Weinberg</t>
  </si>
  <si>
    <t xml:space="preserve"> Can you send information on arranging shipping home for some boxes?
Thanks</t>
  </si>
  <si>
    <t>Bennett Weinberg</t>
  </si>
  <si>
    <t>https://utrucking.com/admin/orders/6418746278076</t>
  </si>
  <si>
    <t>#17448</t>
  </si>
  <si>
    <t xml:space="preserve">Tea Delic </t>
  </si>
  <si>
    <t>https://utrucking.com/admin/orders/6418746802364</t>
  </si>
  <si>
    <t>#17449</t>
  </si>
  <si>
    <t>caileileirenee2025@163.com</t>
  </si>
  <si>
    <t>Leilei Cai</t>
  </si>
  <si>
    <t>Guangzhou</t>
  </si>
  <si>
    <t>Guangdong</t>
  </si>
  <si>
    <t>1108</t>
  </si>
  <si>
    <t>https://utrucking.com/admin/orders/6418806603964</t>
  </si>
  <si>
    <t>#17450</t>
  </si>
  <si>
    <t>benganz719@gmail.com</t>
  </si>
  <si>
    <t>Jodi Ganz</t>
  </si>
  <si>
    <t xml:space="preserve"> The earlier the better!</t>
  </si>
  <si>
    <t>Benjamin Ganz</t>
  </si>
  <si>
    <t>https://utrucking.com/admin/orders/6418850054332</t>
  </si>
  <si>
    <t>#17451</t>
  </si>
  <si>
    <t>3013 a</t>
  </si>
  <si>
    <t xml:space="preserve"> Will vacate room on 5/6; will not be present for pickup.</t>
  </si>
  <si>
    <t>John Waldo</t>
  </si>
  <si>
    <t>https://utrucking.com/admin/orders/6418880463036</t>
  </si>
  <si>
    <t>#17452</t>
  </si>
  <si>
    <t>https://utrucking.com/admin/orders/6418904449212</t>
  </si>
  <si>
    <t>#17453</t>
  </si>
  <si>
    <t>https://utrucking.com/admin/orders/6418984435900</t>
  </si>
  <si>
    <t>#17454</t>
  </si>
  <si>
    <t>oliviapetlak@gmail.com</t>
  </si>
  <si>
    <t>Olivia Petlak</t>
  </si>
  <si>
    <t>https://utrucking.com/admin/orders/6419011174588</t>
  </si>
  <si>
    <t>#17455</t>
  </si>
  <si>
    <t>alexrc1004@gmail.com</t>
  </si>
  <si>
    <t>Sonia Catota</t>
  </si>
  <si>
    <t>217</t>
  </si>
  <si>
    <t>Alexander Ramirez Catota</t>
  </si>
  <si>
    <t>https://utrucking.com/admin/orders/6419037880508</t>
  </si>
  <si>
    <t>#17456</t>
  </si>
  <si>
    <t>neekolefrance@gmail.com</t>
  </si>
  <si>
    <t>Neekole Glaspie</t>
  </si>
  <si>
    <t>Ste. 240 - Room 242</t>
  </si>
  <si>
    <t>Breylin France</t>
  </si>
  <si>
    <t>https://utrucking.com/admin/orders/6419041255612</t>
  </si>
  <si>
    <t>#17457</t>
  </si>
  <si>
    <t>101G-a</t>
  </si>
  <si>
    <t>https://utrucking.com/admin/orders/6419054624956</t>
  </si>
  <si>
    <t>#17458</t>
  </si>
  <si>
    <t>peralta.anthony@outlook.com</t>
  </si>
  <si>
    <t>Anthony Peralta</t>
  </si>
  <si>
    <t>Apt. 203 Room B</t>
  </si>
  <si>
    <t>https://utrucking.com/admin/orders/6419068944572</t>
  </si>
  <si>
    <t>#17459</t>
  </si>
  <si>
    <t>Geneane Baker</t>
  </si>
  <si>
    <t xml:space="preserve">24 Wenwood Drive
Glen Head, NY 11545 </t>
  </si>
  <si>
    <t>https://utrucking.com/admin/orders/6419083788476</t>
  </si>
  <si>
    <t>#17460</t>
  </si>
  <si>
    <t>j.t.wolf@wustl.edu</t>
  </si>
  <si>
    <t>Huntington</t>
  </si>
  <si>
    <t>302F</t>
  </si>
  <si>
    <t>Jordan</t>
  </si>
  <si>
    <t>https://utrucking.com/admin/orders/6419091423420</t>
  </si>
  <si>
    <t>#17461</t>
  </si>
  <si>
    <t>B1 - Room B</t>
  </si>
  <si>
    <t>https://utrucking.com/admin/orders/6419121602748</t>
  </si>
  <si>
    <t>#17462</t>
  </si>
  <si>
    <t>Venice</t>
  </si>
  <si>
    <t>2082 - a</t>
  </si>
  <si>
    <t>https://utrucking.com/admin/orders/6419138281660</t>
  </si>
  <si>
    <t>#17463</t>
  </si>
  <si>
    <t>Noe Schwartz</t>
  </si>
  <si>
    <t>https://utrucking.com/admin/orders/6419220758716</t>
  </si>
  <si>
    <t>#17464</t>
  </si>
  <si>
    <t>Caroline Ryan</t>
  </si>
  <si>
    <t>New London</t>
  </si>
  <si>
    <t>House 21 - 2063 - a</t>
  </si>
  <si>
    <t>Chris Ryan</t>
  </si>
  <si>
    <t>https://utrucking.com/admin/orders/6419228491964</t>
  </si>
  <si>
    <t>#17465</t>
  </si>
  <si>
    <t>60523-2757</t>
  </si>
  <si>
    <t>https://utrucking.com/admin/orders/6419268272316</t>
  </si>
  <si>
    <t>#17466</t>
  </si>
  <si>
    <t>c.kux@wustl.edu</t>
  </si>
  <si>
    <t>Kimberly Bayard</t>
  </si>
  <si>
    <t>Cecelia Kux</t>
  </si>
  <si>
    <t>https://utrucking.com/admin/orders/6419272532156</t>
  </si>
  <si>
    <t>#17467</t>
  </si>
  <si>
    <t>e.jubelirer@wustl.edu</t>
  </si>
  <si>
    <t>https://utrucking.com/admin/orders/6419310313660</t>
  </si>
  <si>
    <t>#17468</t>
  </si>
  <si>
    <t>https://utrucking.com/admin/orders/6419329319100</t>
  </si>
  <si>
    <t>#17469</t>
  </si>
  <si>
    <t>Loxahatchee</t>
  </si>
  <si>
    <t xml:space="preserve">15548 Orchard Drive, Westlake FL, 33470 </t>
  </si>
  <si>
    <t>https://utrucking.com/admin/orders/6419359072444</t>
  </si>
  <si>
    <t>#17470</t>
  </si>
  <si>
    <t>adnarepalem@icloud.com</t>
  </si>
  <si>
    <t>Narendra Narepalem</t>
  </si>
  <si>
    <t xml:space="preserve"> 3 / $500 of Additional Coverage   - </t>
  </si>
  <si>
    <t>3342</t>
  </si>
  <si>
    <t>Avinash Narepalem</t>
  </si>
  <si>
    <t>https://utrucking.com/admin/orders/6419407110332</t>
  </si>
  <si>
    <t>#17471</t>
  </si>
  <si>
    <t>Michael Ference</t>
  </si>
  <si>
    <t>162</t>
  </si>
  <si>
    <t>Casey Ference</t>
  </si>
  <si>
    <t>https://utrucking.com/admin/orders/6419648118972</t>
  </si>
  <si>
    <t>#17472</t>
  </si>
  <si>
    <t>marcuschao11@gmail.com</t>
  </si>
  <si>
    <t>Marcus Chao</t>
  </si>
  <si>
    <t>https://utrucking.com/admin/orders/6419816710332</t>
  </si>
  <si>
    <t>#17473</t>
  </si>
  <si>
    <t>corimgalpern@gmail.com</t>
  </si>
  <si>
    <t xml:space="preserve">Mia Galpern </t>
  </si>
  <si>
    <t>https://utrucking.com/admin/orders/6419875692732</t>
  </si>
  <si>
    <t>#17474</t>
  </si>
  <si>
    <t>jieun.p@wustl.edu</t>
  </si>
  <si>
    <t>Kate Park</t>
  </si>
  <si>
    <t>190a</t>
  </si>
  <si>
    <t>https://utrucking.com/admin/orders/6419879297212</t>
  </si>
  <si>
    <t>#17475</t>
  </si>
  <si>
    <t>https://utrucking.com/admin/orders/6419930972348</t>
  </si>
  <si>
    <t>#17478</t>
  </si>
  <si>
    <t>Leo Lin</t>
  </si>
  <si>
    <t>https://utrucking.com/admin/orders/6419934118076</t>
  </si>
  <si>
    <t>#17479</t>
  </si>
  <si>
    <t>h.jeongyoon@wustl.edu</t>
  </si>
  <si>
    <t>Jenny Han</t>
  </si>
  <si>
    <t>3074</t>
  </si>
  <si>
    <t>https://utrucking.com/admin/orders/6419942965436</t>
  </si>
  <si>
    <t>#17480</t>
  </si>
  <si>
    <t>jpearlw29@gmail.com</t>
  </si>
  <si>
    <t>Jessica Weiss</t>
  </si>
  <si>
    <t>665 S. Skinker Boulevard Apt. 06B St Louis MO 63105</t>
  </si>
  <si>
    <t xml:space="preserve">85 Van Blarcom Lane Wyckoff NJ 07481 </t>
  </si>
  <si>
    <t>https://utrucking.com/admin/orders/6419943522492</t>
  </si>
  <si>
    <t>#17481</t>
  </si>
  <si>
    <t>elizabethciment@icloud.com</t>
  </si>
  <si>
    <t>Elizabeth Ciment</t>
  </si>
  <si>
    <t>https://utrucking.com/admin/orders/6419947356348</t>
  </si>
  <si>
    <t>#17482</t>
  </si>
  <si>
    <t>r.sean@wustl.edu</t>
  </si>
  <si>
    <t>https://utrucking.com/admin/orders/6419982483644</t>
  </si>
  <si>
    <t>#17483</t>
  </si>
  <si>
    <t>sophie.tian@wustl.edu</t>
  </si>
  <si>
    <t>Sophie Tian</t>
  </si>
  <si>
    <t>https://utrucking.com/admin/orders/6420013056188</t>
  </si>
  <si>
    <t>#17484</t>
  </si>
  <si>
    <t>lilachra7@gmail.com</t>
  </si>
  <si>
    <t>Lilach Abergel</t>
  </si>
  <si>
    <t xml:space="preserve"> Please deliver today and text me the time before or call at 6469570605. Thank you. </t>
  </si>
  <si>
    <t xml:space="preserve">Noa Abergel </t>
  </si>
  <si>
    <t>https://utrucking.com/admin/orders/6420039565500</t>
  </si>
  <si>
    <t>#17485</t>
  </si>
  <si>
    <t xml:space="preserve"> Ligget Room 2324 is in suite 2320</t>
  </si>
  <si>
    <t>https://utrucking.com/admin/orders/6420065222844</t>
  </si>
  <si>
    <t>#17486</t>
  </si>
  <si>
    <t>freedman@westlahand.com</t>
  </si>
  <si>
    <t>Douglas Freedman</t>
  </si>
  <si>
    <t xml:space="preserve"> Return in Fall will be to same house (House 6 SAE) but to a different as yet unassigned room.</t>
  </si>
  <si>
    <t>https://utrucking.com/admin/orders/6420079313084</t>
  </si>
  <si>
    <t>#17487</t>
  </si>
  <si>
    <t>https://utrucking.com/admin/orders/6420108509372</t>
  </si>
  <si>
    <t>#17488</t>
  </si>
  <si>
    <t>230</t>
  </si>
  <si>
    <t xml:space="preserve">Sienna Mora </t>
  </si>
  <si>
    <t>https://utrucking.com/admin/orders/6420205437116</t>
  </si>
  <si>
    <t>#17489</t>
  </si>
  <si>
    <t>matthew@hayutineducation.com</t>
  </si>
  <si>
    <t>Matthew Hayutin</t>
  </si>
  <si>
    <t>432 - B</t>
  </si>
  <si>
    <t xml:space="preserve"> If possible, please deliver the storage kit boxes as early as Monday, 4/27 and no later than 5/1.  The earlier the better, please.  Thank you!</t>
  </si>
  <si>
    <t>3151 - A</t>
  </si>
  <si>
    <t>https://utrucking.com/admin/orders/6420215562428</t>
  </si>
  <si>
    <t>#17490</t>
  </si>
  <si>
    <t>Alma Bendavid</t>
  </si>
  <si>
    <t>Stanford</t>
  </si>
  <si>
    <t>https://utrucking.com/admin/orders/6420225392828</t>
  </si>
  <si>
    <t>#17491</t>
  </si>
  <si>
    <t>Robin Koehler</t>
  </si>
  <si>
    <t>https://utrucking.com/admin/orders/6420263436476</t>
  </si>
  <si>
    <t>#17492</t>
  </si>
  <si>
    <t>242A</t>
  </si>
  <si>
    <t xml:space="preserve"> Summer storage</t>
  </si>
  <si>
    <t>David Kern</t>
  </si>
  <si>
    <t>https://utrucking.com/admin/orders/6420271923388</t>
  </si>
  <si>
    <t>#17493</t>
  </si>
  <si>
    <t xml:space="preserve">4137 Donald Dr
Palo Alto, CA 94306 </t>
  </si>
  <si>
    <t xml:space="preserve"> Student phone number: 650-441-2955</t>
  </si>
  <si>
    <t>https://utrucking.com/admin/orders/6420307411132</t>
  </si>
  <si>
    <t>#17494</t>
  </si>
  <si>
    <t>6148 Pershing Ave
St Louis, MO 63112-1108</t>
  </si>
  <si>
    <t xml:space="preserve">151 W 21st St
Apt 10B 
NY, NY 10011-3251 </t>
  </si>
  <si>
    <t>Riley Hack-Juman</t>
  </si>
  <si>
    <t>https://utrucking.com/admin/orders/6420369211580</t>
  </si>
  <si>
    <t>#17495</t>
  </si>
  <si>
    <t>evannayao@gmail.com</t>
  </si>
  <si>
    <t>Yanyu Yao</t>
  </si>
  <si>
    <t>191</t>
  </si>
  <si>
    <t>https://utrucking.com/admin/orders/6416182804668</t>
  </si>
  <si>
    <t>#17496</t>
  </si>
  <si>
    <t>saronbekele61@gmail.com</t>
  </si>
  <si>
    <t>Saron Bekele</t>
  </si>
  <si>
    <t>st. louis</t>
  </si>
  <si>
    <t>https://utrucking.com/admin/orders/6420605632700</t>
  </si>
  <si>
    <t>#17497</t>
  </si>
  <si>
    <t>d.r.edwards@wustl.edu</t>
  </si>
  <si>
    <t>Rodney Edwards</t>
  </si>
  <si>
    <t>23</t>
  </si>
  <si>
    <t>Darcey Edwards</t>
  </si>
  <si>
    <t>https://utrucking.com/admin/orders/6420619264188</t>
  </si>
  <si>
    <t>#17498</t>
  </si>
  <si>
    <t>Christopher Walker</t>
  </si>
  <si>
    <t>491</t>
  </si>
  <si>
    <t>Layla Walker</t>
  </si>
  <si>
    <t>https://utrucking.com/admin/orders/6420689420476</t>
  </si>
  <si>
    <t>#17499</t>
  </si>
  <si>
    <t>xwu@bhhscal.com</t>
  </si>
  <si>
    <t>Xiaosong Wu</t>
  </si>
  <si>
    <t>Khai Ha</t>
  </si>
  <si>
    <t>https://utrucking.com/admin/orders/6420925055164</t>
  </si>
  <si>
    <t>#17500</t>
  </si>
  <si>
    <t>5959 McPherson Avenue
Floor G</t>
  </si>
  <si>
    <t>https://utrucking.com/admin/orders/6421201420476</t>
  </si>
  <si>
    <t>#17501</t>
  </si>
  <si>
    <t>nksantoli@hotmail.com</t>
  </si>
  <si>
    <t>Joanna Santoli</t>
  </si>
  <si>
    <t>Kate Santoli</t>
  </si>
  <si>
    <t>https://utrucking.com/admin/orders/6421280850108</t>
  </si>
  <si>
    <t>#17502</t>
  </si>
  <si>
    <t>Bernie Grunzweig</t>
  </si>
  <si>
    <t>https://utrucking.com/admin/orders/6421292286140</t>
  </si>
  <si>
    <t>#17503</t>
  </si>
  <si>
    <t>Wanxuan Xu</t>
  </si>
  <si>
    <t>322</t>
  </si>
  <si>
    <t>Whitney Xu</t>
  </si>
  <si>
    <t>https://utrucking.com/admin/orders/6421458976956</t>
  </si>
  <si>
    <t>#17504</t>
  </si>
  <si>
    <t>https://utrucking.com/admin/orders/6421465071804</t>
  </si>
  <si>
    <t>#17505</t>
  </si>
  <si>
    <t>Eliza Stulman</t>
  </si>
  <si>
    <t>6108 Waterman Blvd.
first floor
St. Louis, MO 63112</t>
  </si>
  <si>
    <t xml:space="preserve"> Please deliver it as late in the day as possible so my roommates can provide access to the basement via the back entrance. Thanks so much. </t>
  </si>
  <si>
    <t>https://utrucking.com/admin/orders/6421504983228</t>
  </si>
  <si>
    <t>#17506</t>
  </si>
  <si>
    <t>carak3nny@hotmail.com</t>
  </si>
  <si>
    <t>Kenny Ji</t>
  </si>
  <si>
    <t>https://utrucking.com/admin/orders/6421544730812</t>
  </si>
  <si>
    <t>#17507</t>
  </si>
  <si>
    <t>r.vivian@wustl.edu</t>
  </si>
  <si>
    <t>Vivian Robles Pinos</t>
  </si>
  <si>
    <t xml:space="preserve">  Lopata 2161a</t>
  </si>
  <si>
    <t xml:space="preserve"> 6041 Waterman Blvd 3E St. Louis, MO 63112</t>
  </si>
  <si>
    <t xml:space="preserve"> Vivian Robles Pinos</t>
  </si>
  <si>
    <t>https://utrucking.com/admin/orders/6421556592828</t>
  </si>
  <si>
    <t>#17508</t>
  </si>
  <si>
    <t>avavirmani@icloud.com</t>
  </si>
  <si>
    <t>Ava Virmani</t>
  </si>
  <si>
    <t>Clarendon Hills</t>
  </si>
  <si>
    <t>60514-1108</t>
  </si>
  <si>
    <t>https://utrucking.com/admin/orders/6421666889916</t>
  </si>
  <si>
    <t>#17509</t>
  </si>
  <si>
    <t>davidzhangrui9@gmail.com</t>
  </si>
  <si>
    <t>David Zhang</t>
  </si>
  <si>
    <t>243</t>
  </si>
  <si>
    <t>https://utrucking.com/admin/orders/6421730033852</t>
  </si>
  <si>
    <t>#17510</t>
  </si>
  <si>
    <t>Emmy May</t>
  </si>
  <si>
    <t>https://utrucking.com/admin/orders/6421819818172</t>
  </si>
  <si>
    <t>#17511</t>
  </si>
  <si>
    <t>noawc1@gmail.com</t>
  </si>
  <si>
    <t>Noa Wofsey-Carter</t>
  </si>
  <si>
    <t>https://utrucking.com/admin/orders/6421839839420</t>
  </si>
  <si>
    <t>#17512</t>
  </si>
  <si>
    <t>3091 A</t>
  </si>
  <si>
    <t xml:space="preserve"> Will update/contact you guys on the official housing location before school starts. </t>
  </si>
  <si>
    <t>https://utrucking.com/admin/orders/6421888696508</t>
  </si>
  <si>
    <t>#17513</t>
  </si>
  <si>
    <t>jimmy.sha.1218@outlook.com</t>
  </si>
  <si>
    <t>Jimmy Sha</t>
  </si>
  <si>
    <t>https://utrucking.com/admin/orders/6422400860348</t>
  </si>
  <si>
    <t>#17514</t>
  </si>
  <si>
    <t>c.c.milde@wustl.edu</t>
  </si>
  <si>
    <t>https://utrucking.com/admin/orders/6422441361596</t>
  </si>
  <si>
    <t>#17515</t>
  </si>
  <si>
    <t>a.mogul@wustl.edu</t>
  </si>
  <si>
    <t>Amelia Mogul</t>
  </si>
  <si>
    <t>https://utrucking.com/admin/orders/6422479012028</t>
  </si>
  <si>
    <t>#17516</t>
  </si>
  <si>
    <t>Cazenovia</t>
  </si>
  <si>
    <t>https://utrucking.com/admin/orders/6422556180668</t>
  </si>
  <si>
    <t>#17517</t>
  </si>
  <si>
    <t>h.e.sheena@wustl.edu</t>
  </si>
  <si>
    <t>Hailey Sheena</t>
  </si>
  <si>
    <t xml:space="preserve">4612 Oleander Street Bellaire, TX 77401 </t>
  </si>
  <si>
    <t>https://utrucking.com/admin/orders/6422565159100</t>
  </si>
  <si>
    <t>#17518</t>
  </si>
  <si>
    <t>allisonlea@gmail.com</t>
  </si>
  <si>
    <t>Allison Wuliger</t>
  </si>
  <si>
    <t>Chagrin Falls</t>
  </si>
  <si>
    <t xml:space="preserve">38075 Fairmount Blvd, Hunting Valley, OH 44022  </t>
  </si>
  <si>
    <t xml:space="preserve"> She will be a freshman so not sure if she is moving in 8/15 or 8/16. </t>
  </si>
  <si>
    <t>Naomi Wuliger</t>
  </si>
  <si>
    <t>https://utrucking.com/admin/orders/6422602514620</t>
  </si>
  <si>
    <t>#17519</t>
  </si>
  <si>
    <t>Sophie Whang</t>
  </si>
  <si>
    <t>6105 Delmar Blvd Apt. 816</t>
  </si>
  <si>
    <t>https://utrucking.com/admin/orders/6422663790780</t>
  </si>
  <si>
    <t>#17520</t>
  </si>
  <si>
    <t>b.raine@wustl.edu</t>
  </si>
  <si>
    <t>2233-A</t>
  </si>
  <si>
    <t xml:space="preserve"> Will be moving back to oncampus housing in late May</t>
  </si>
  <si>
    <t>Raine Borys</t>
  </si>
  <si>
    <t>https://utrucking.com/admin/orders/6422679650492</t>
  </si>
  <si>
    <t>#17521</t>
  </si>
  <si>
    <t>esmetublin@icloud.com</t>
  </si>
  <si>
    <t>Esme Tublin</t>
  </si>
  <si>
    <t xml:space="preserve"> I'm going to have some things that won't fit in boxed like some dressers and a guitar. </t>
  </si>
  <si>
    <t xml:space="preserve">Esme Tublin </t>
  </si>
  <si>
    <t>https://utrucking.com/admin/orders/6422688792764</t>
  </si>
  <si>
    <t>#17522</t>
  </si>
  <si>
    <t>zj24119@gmail.com</t>
  </si>
  <si>
    <t>https://utrucking.com/admin/orders/6422694265020</t>
  </si>
  <si>
    <t>#17523</t>
  </si>
  <si>
    <t>https://utrucking.com/admin/orders/6422695051452</t>
  </si>
  <si>
    <t>#17524</t>
  </si>
  <si>
    <t>jerryli0706@gmail.com</t>
  </si>
  <si>
    <t>https://utrucking.com/admin/orders/6422699835580</t>
  </si>
  <si>
    <t>#17525</t>
  </si>
  <si>
    <t>martin.long@live.com</t>
  </si>
  <si>
    <t xml:space="preserve"> I am heading home on the May 6, so I put down May 7 for pickup - but if you want to do it later, that is fine.  In addition to a 2 to 4 boxes, you will find a 3.2 cubic foot mini-fridge and a futon/sofa.   There MAY also be a small coffee table, but once I pack, I may find that it fits into one of the boxes.</t>
  </si>
  <si>
    <t>Megan Long</t>
  </si>
  <si>
    <t>https://utrucking.com/admin/orders/6422704128188</t>
  </si>
  <si>
    <t>#17526</t>
  </si>
  <si>
    <t>hanxuan.w@wustl.edu</t>
  </si>
  <si>
    <t>Helen Wang</t>
  </si>
  <si>
    <t>https://utrucking.com/admin/orders/6422990913724</t>
  </si>
  <si>
    <t>#17527</t>
  </si>
  <si>
    <t>psbassin@yahoo.com</t>
  </si>
  <si>
    <t xml:space="preserve">11 Blanche Ave, Unit A
Demarest, NJ 07627 </t>
  </si>
  <si>
    <t>Bennett</t>
  </si>
  <si>
    <t>https://utrucking.com/admin/orders/6423010246844</t>
  </si>
  <si>
    <t>#17528</t>
  </si>
  <si>
    <t>Jennyharris26@gmail.com</t>
  </si>
  <si>
    <t xml:space="preserve"> Some stuff will be shipped home and some will go to storage. thanks! </t>
  </si>
  <si>
    <t>Emily Faber</t>
  </si>
  <si>
    <t xml:space="preserve">161 west 86th street, Apt 12B, NYC, NY 10024 </t>
  </si>
  <si>
    <t>https://utrucking.com/admin/orders/6423021682876</t>
  </si>
  <si>
    <t>#17529</t>
  </si>
  <si>
    <t>orthovann@yahoo.com</t>
  </si>
  <si>
    <t>Mark Vann</t>
  </si>
  <si>
    <t>https://utrucking.com/admin/orders/6423088595132</t>
  </si>
  <si>
    <t>#17530</t>
  </si>
  <si>
    <t>n.k.sobel@wustl.edu</t>
  </si>
  <si>
    <t>Noa Sobel</t>
  </si>
  <si>
    <t>https://utrucking.com/admin/orders/6423108288700</t>
  </si>
  <si>
    <t>#17531</t>
  </si>
  <si>
    <t>Jennifer Feller</t>
  </si>
  <si>
    <t>2081-a</t>
  </si>
  <si>
    <t>https://utrucking.com/admin/orders/6423131488444</t>
  </si>
  <si>
    <t>#17532</t>
  </si>
  <si>
    <t>tskb2006@gmail.com</t>
  </si>
  <si>
    <t>Talia Kohn-Blank</t>
  </si>
  <si>
    <t>https://utrucking.com/admin/orders/6423134765244</t>
  </si>
  <si>
    <t>#17533</t>
  </si>
  <si>
    <t>brendan.rubel@gmail.com</t>
  </si>
  <si>
    <t>Brendan Rubel</t>
  </si>
  <si>
    <t xml:space="preserve">138 Sunset Rd.
Arlington, MA 02474 </t>
  </si>
  <si>
    <t>https://utrucking.com/admin/orders/6423134863548</t>
  </si>
  <si>
    <t>#17534</t>
  </si>
  <si>
    <t>arushi.g@wustl.edu</t>
  </si>
  <si>
    <t>https://utrucking.com/admin/orders/6423156064444</t>
  </si>
  <si>
    <t>#17535</t>
  </si>
  <si>
    <t>a.a.leiser@wustl.edu</t>
  </si>
  <si>
    <t>Alexandra Leiser</t>
  </si>
  <si>
    <t>https://utrucking.com/admin/orders/6423176609980</t>
  </si>
  <si>
    <t>#17536</t>
  </si>
  <si>
    <t>clairemurphyrigdon@icloud.com</t>
  </si>
  <si>
    <t>Claire Rigdon</t>
  </si>
  <si>
    <t>https://utrucking.com/admin/orders/6423221829820</t>
  </si>
  <si>
    <t>#17537</t>
  </si>
  <si>
    <t>ella.eckerle@yahoo.com</t>
  </si>
  <si>
    <t>Ella Eckerle</t>
  </si>
  <si>
    <t>Josie Skemp</t>
  </si>
  <si>
    <t>https://utrucking.com/admin/orders/6423244079292</t>
  </si>
  <si>
    <t>#17538</t>
  </si>
  <si>
    <t>helencheng0918@gmail.com</t>
  </si>
  <si>
    <t>Helen Cheng</t>
  </si>
  <si>
    <t xml:space="preserve"> will move into Gregg 1011a in early August</t>
  </si>
  <si>
    <t>https://utrucking.com/admin/orders/6423247749308</t>
  </si>
  <si>
    <t>#17539</t>
  </si>
  <si>
    <t>macklarosa7@gmail.com</t>
  </si>
  <si>
    <t>608 Kingsland Ave, St. Louis, MO, 63130, Apt 301</t>
  </si>
  <si>
    <t xml:space="preserve">33 Hemlock Hills, Chappaqua, NY, 10514 </t>
  </si>
  <si>
    <t>https://utrucking.com/admin/orders/6423412146364</t>
  </si>
  <si>
    <t>#17540</t>
  </si>
  <si>
    <t>jiayangx@wustl.edu</t>
  </si>
  <si>
    <t>Jiayang Xu</t>
  </si>
  <si>
    <t>https://utrucking.com/admin/orders/6423443439804</t>
  </si>
  <si>
    <t>#17541</t>
  </si>
  <si>
    <t>chandaspringer@gmail.com</t>
  </si>
  <si>
    <t>Chanda Springer</t>
  </si>
  <si>
    <t>Montvale</t>
  </si>
  <si>
    <t>Giovanna Springer</t>
  </si>
  <si>
    <t>https://utrucking.com/admin/orders/6423660331196</t>
  </si>
  <si>
    <t>#17542</t>
  </si>
  <si>
    <t>chrismaher03@gmail.com</t>
  </si>
  <si>
    <t>Chris Maher</t>
  </si>
  <si>
    <t>Collin Maher</t>
  </si>
  <si>
    <t>https://utrucking.com/admin/orders/6423688970428</t>
  </si>
  <si>
    <t>#17543</t>
  </si>
  <si>
    <t>minjae@wustl.edu</t>
  </si>
  <si>
    <t>Minjae Kim</t>
  </si>
  <si>
    <t>https://utrucking.com/admin/orders/6423839572156</t>
  </si>
  <si>
    <t>#17544</t>
  </si>
  <si>
    <t xml:space="preserve">19 Brookridge Drive, Greenwich, CT, 06830 </t>
  </si>
  <si>
    <t>https://utrucking.com/admin/orders/6423882399932</t>
  </si>
  <si>
    <t>#17545</t>
  </si>
  <si>
    <t>rylandstrelow@gmail.com</t>
  </si>
  <si>
    <t>Ryland Strelow</t>
  </si>
  <si>
    <t>Riley Strelow</t>
  </si>
  <si>
    <t>https://utrucking.com/admin/orders/6423999873212</t>
  </si>
  <si>
    <t>#17546</t>
  </si>
  <si>
    <t>k.katya@wustl.edu</t>
  </si>
  <si>
    <t>3123 a</t>
  </si>
  <si>
    <t>https://utrucking.com/admin/orders/6424063639740</t>
  </si>
  <si>
    <t>#17547</t>
  </si>
  <si>
    <t>c.s.satyr@wustl.edu</t>
  </si>
  <si>
    <t>Cara Satyr</t>
  </si>
  <si>
    <t>https://utrucking.com/admin/orders/6424073207996</t>
  </si>
  <si>
    <t>#17548</t>
  </si>
  <si>
    <t>chen.m.b@wustl.edu</t>
  </si>
  <si>
    <t>Monica Chen</t>
  </si>
  <si>
    <t>725 Interdrive, Apt 1</t>
  </si>
  <si>
    <t>https://utrucking.com/admin/orders/6424076878012</t>
  </si>
  <si>
    <t>#17549</t>
  </si>
  <si>
    <t>214 a</t>
  </si>
  <si>
    <t>https://utrucking.com/admin/orders/6424163352764</t>
  </si>
  <si>
    <t>#17550</t>
  </si>
  <si>
    <t>dcarnes0721@gmail.com</t>
  </si>
  <si>
    <t>https://utrucking.com/admin/orders/6424205918396</t>
  </si>
  <si>
    <t>#17551</t>
  </si>
  <si>
    <t>f.jenise@wustl.edu</t>
  </si>
  <si>
    <t>Baldwin</t>
  </si>
  <si>
    <t>https://utrucking.com/admin/orders/6424217419964</t>
  </si>
  <si>
    <t>#17552</t>
  </si>
  <si>
    <t>kalimian@wustl.edu</t>
  </si>
  <si>
    <t>Sophia Kalimian</t>
  </si>
  <si>
    <t>https://utrucking.com/admin/orders/6424222564540</t>
  </si>
  <si>
    <t>#17553</t>
  </si>
  <si>
    <t xml:space="preserve">4719 Stonehearth Place, Dallas, Texas, 75287 </t>
  </si>
  <si>
    <t>https://utrucking.com/admin/orders/6424241373372</t>
  </si>
  <si>
    <t>#17554</t>
  </si>
  <si>
    <t>c.h.leonardi@wustl.edu</t>
  </si>
  <si>
    <t>Carmen Leonardi</t>
  </si>
  <si>
    <t>2011</t>
  </si>
  <si>
    <t xml:space="preserve"> Will have other items not in boxes</t>
  </si>
  <si>
    <t>https://utrucking.com/admin/orders/6424275779772</t>
  </si>
  <si>
    <t>#17555</t>
  </si>
  <si>
    <t>New York, United States</t>
  </si>
  <si>
    <t>https://utrucking.com/admin/orders/6424277287100</t>
  </si>
  <si>
    <t>#17556</t>
  </si>
  <si>
    <t>e.galanin@wustl.edu</t>
  </si>
  <si>
    <t>Ekaterina Galanin</t>
  </si>
  <si>
    <t>Katya Galanin</t>
  </si>
  <si>
    <t>https://utrucking.com/admin/orders/6424281743548</t>
  </si>
  <si>
    <t>#17557</t>
  </si>
  <si>
    <t>ultima1269@gmail.com</t>
  </si>
  <si>
    <t>Aiden Wang</t>
  </si>
  <si>
    <t>https://utrucking.com/admin/orders/6424308383932</t>
  </si>
  <si>
    <t>#17558</t>
  </si>
  <si>
    <t>https://utrucking.com/admin/orders/6424314773692</t>
  </si>
  <si>
    <t>#17559</t>
  </si>
  <si>
    <t>https://utrucking.com/admin/orders/6424387715260</t>
  </si>
  <si>
    <t>#17560</t>
  </si>
  <si>
    <t>siana@wustl.edu</t>
  </si>
  <si>
    <t>Siana Kapoor</t>
  </si>
  <si>
    <t>https://utrucking.com/admin/orders/6424388042940</t>
  </si>
  <si>
    <t>#17561</t>
  </si>
  <si>
    <t>s.susie@wustl.edu</t>
  </si>
  <si>
    <t xml:space="preserve"> Need to deliver back to off-campus housing:)</t>
  </si>
  <si>
    <t>Susie Sun</t>
  </si>
  <si>
    <t>https://utrucking.com/admin/orders/6424538644668</t>
  </si>
  <si>
    <t>#17562</t>
  </si>
  <si>
    <t>MEQUON</t>
  </si>
  <si>
    <t>Evan Bahr</t>
  </si>
  <si>
    <t>https://utrucking.com/admin/orders/6424563056828</t>
  </si>
  <si>
    <t>#17563</t>
  </si>
  <si>
    <t>nbbenjamin07@gmail.com</t>
  </si>
  <si>
    <t>Brian Benjamin</t>
  </si>
  <si>
    <t>Natasha Benjamin</t>
  </si>
  <si>
    <t>https://utrucking.com/admin/orders/6424602116284</t>
  </si>
  <si>
    <t>#17564</t>
  </si>
  <si>
    <t>opraise@wustl.edu</t>
  </si>
  <si>
    <t>John Osarenren</t>
  </si>
  <si>
    <t>4433</t>
  </si>
  <si>
    <t>Praise Osarenren</t>
  </si>
  <si>
    <t>https://utrucking.com/admin/orders/6424629084348</t>
  </si>
  <si>
    <t>#17565</t>
  </si>
  <si>
    <t>Julianas@wustl.edu</t>
  </si>
  <si>
    <t>Juliana Shi</t>
  </si>
  <si>
    <t>https://utrucking.com/admin/orders/6424716673212</t>
  </si>
  <si>
    <t>#17566</t>
  </si>
  <si>
    <t>yuqiancheng2006@outllok.com</t>
  </si>
  <si>
    <t>Johnny Yu</t>
  </si>
  <si>
    <t>https://utrucking.com/admin/orders/6424785682620</t>
  </si>
  <si>
    <t>#17567</t>
  </si>
  <si>
    <t>Yonjae Kim</t>
  </si>
  <si>
    <t>BEVERLY HILLS</t>
  </si>
  <si>
    <t>https://utrucking.com/admin/orders/6424931303612</t>
  </si>
  <si>
    <t>#17568</t>
  </si>
  <si>
    <t>austendowney@icloud.com</t>
  </si>
  <si>
    <t>10022-2866</t>
  </si>
  <si>
    <t>411-A</t>
  </si>
  <si>
    <t>Austen Downey</t>
  </si>
  <si>
    <t>https://utrucking.com/admin/orders/6424989368508</t>
  </si>
  <si>
    <t>#17569</t>
  </si>
  <si>
    <t>hjake@wustl.edu</t>
  </si>
  <si>
    <t>Jacob Hoffman</t>
  </si>
  <si>
    <t>739 Leland Ave Apt #1
St. Louis, MO 63130</t>
  </si>
  <si>
    <t>MANHASSET</t>
  </si>
  <si>
    <t xml:space="preserve">116 Eagles Crescent
Manhasset, NY 11030 </t>
  </si>
  <si>
    <t xml:space="preserve"> Student is leaving St. Louis by plane on pick up day.  He needs to leave for the airport at 12:00.  Please make sure his boxes are picked up in the delivery time frame or contact him to make arrangements.</t>
  </si>
  <si>
    <t>https://utrucking.com/admin/orders/6424994152636</t>
  </si>
  <si>
    <t>#17570</t>
  </si>
  <si>
    <t>kate.wyss@yahoo.com</t>
  </si>
  <si>
    <t>Kathleen Wyss</t>
  </si>
  <si>
    <t>14</t>
  </si>
  <si>
    <t xml:space="preserve"> maisy’s room is the single across from the bathroom. </t>
  </si>
  <si>
    <t>Maisy Wyss</t>
  </si>
  <si>
    <t>https://utrucking.com/admin/orders/6425289228476</t>
  </si>
  <si>
    <t>#17571</t>
  </si>
  <si>
    <t>JACKPWILLIAMS2006@GMAIL.COM</t>
  </si>
  <si>
    <t>STEPHANIE WILLIAMS</t>
  </si>
  <si>
    <t>https://utrucking.com/admin/orders/6425622347964</t>
  </si>
  <si>
    <t>#17572</t>
  </si>
  <si>
    <t>modlinger@wustl.edu</t>
  </si>
  <si>
    <t>6127 waterman blvd</t>
  </si>
  <si>
    <t xml:space="preserve">1263 Sussex road, Teaneck NJ 07666 </t>
  </si>
  <si>
    <t>https://utrucking.com/admin/orders/6425629786300</t>
  </si>
  <si>
    <t>#17573</t>
  </si>
  <si>
    <t>alexissrooks@gmail.com</t>
  </si>
  <si>
    <t>Lexie Rooks</t>
  </si>
  <si>
    <t>Alexis Rooks</t>
  </si>
  <si>
    <t>https://utrucking.com/admin/orders/6425673597116</t>
  </si>
  <si>
    <t>#17574</t>
  </si>
  <si>
    <t>jenny.shaojun@gmail.com</t>
  </si>
  <si>
    <t>https://utrucking.com/admin/orders/6425891930300</t>
  </si>
  <si>
    <t>#17576</t>
  </si>
  <si>
    <t>sarahkim0003@gmail.com</t>
  </si>
  <si>
    <t>https://utrucking.com/admin/orders/6426169606332</t>
  </si>
  <si>
    <t>#17577</t>
  </si>
  <si>
    <t>jiayi1211moon@gmail.com</t>
  </si>
  <si>
    <t>Joyce Chen</t>
  </si>
  <si>
    <t>https://utrucking.com/admin/orders/6426171277500</t>
  </si>
  <si>
    <t>#17578</t>
  </si>
  <si>
    <t>zou_selena01@yahoo.com</t>
  </si>
  <si>
    <t>https://utrucking.com/admin/orders/6426224361660</t>
  </si>
  <si>
    <t>#17579</t>
  </si>
  <si>
    <t>mamadito@wustl.edu</t>
  </si>
  <si>
    <t>Mamadito Chipfunde-Nong</t>
  </si>
  <si>
    <t>Dito Chipfunde-Nong</t>
  </si>
  <si>
    <t>https://utrucking.com/admin/orders/6426729873596</t>
  </si>
  <si>
    <t>#17580</t>
  </si>
  <si>
    <t>mdshandler@gmail.com</t>
  </si>
  <si>
    <t>Chad Shandler</t>
  </si>
  <si>
    <t>232 bags may be in common room</t>
  </si>
  <si>
    <t xml:space="preserve"> Bags/Boxes may be organized in the common room.</t>
  </si>
  <si>
    <t>Marin Shandler</t>
  </si>
  <si>
    <t>https://utrucking.com/admin/orders/6426907508924</t>
  </si>
  <si>
    <t>#17581</t>
  </si>
  <si>
    <t>dkylejones753@gmail.com</t>
  </si>
  <si>
    <t>Dkyle Jones</t>
  </si>
  <si>
    <t>https://utrucking.com/admin/orders/6426945749180</t>
  </si>
  <si>
    <t>#17582</t>
  </si>
  <si>
    <t>plutok45@gmail.com</t>
  </si>
  <si>
    <t>LOS ALTOS HILLS</t>
  </si>
  <si>
    <t>Ria Kohli</t>
  </si>
  <si>
    <t>https://utrucking.com/admin/orders/6426992345276</t>
  </si>
  <si>
    <t>#17583</t>
  </si>
  <si>
    <t>miranda.m@wustl.edu</t>
  </si>
  <si>
    <t>Eliana Urias</t>
  </si>
  <si>
    <t>Miranda Moreno Urias</t>
  </si>
  <si>
    <t>https://utrucking.com/admin/orders/6427103166652</t>
  </si>
  <si>
    <t>#17584</t>
  </si>
  <si>
    <t>joshuachung0906@gmail.com</t>
  </si>
  <si>
    <t>Joshua Chung</t>
  </si>
  <si>
    <t>https://utrucking.com/admin/orders/6427188232380</t>
  </si>
  <si>
    <t>#17585</t>
  </si>
  <si>
    <t>https://utrucking.com/admin/orders/6427309867196</t>
  </si>
  <si>
    <t>#17586</t>
  </si>
  <si>
    <t>mimirose.kocay@gmail.com</t>
  </si>
  <si>
    <t>Deborah Birnbaum</t>
  </si>
  <si>
    <t>Bellport</t>
  </si>
  <si>
    <t>201B</t>
  </si>
  <si>
    <t>Amelia Kocay</t>
  </si>
  <si>
    <t>https://utrucking.com/admin/orders/6427347419324</t>
  </si>
  <si>
    <t>#17587</t>
  </si>
  <si>
    <t>k.love-fabrizio@wustl.edu</t>
  </si>
  <si>
    <t>https://utrucking.com/admin/orders/6427371864252</t>
  </si>
  <si>
    <t>#17588</t>
  </si>
  <si>
    <t>e.a.feles@wustl.edu</t>
  </si>
  <si>
    <t>Eve Feles</t>
  </si>
  <si>
    <t>https://utrucking.com/admin/orders/6427375861948</t>
  </si>
  <si>
    <t>#17589</t>
  </si>
  <si>
    <t>rewang991@gmail.com</t>
  </si>
  <si>
    <t>W Wang</t>
  </si>
  <si>
    <t>Plainsboro</t>
  </si>
  <si>
    <t>Sarah Tong</t>
  </si>
  <si>
    <t>https://utrucking.com/admin/orders/6427519975612</t>
  </si>
  <si>
    <t>#17590</t>
  </si>
  <si>
    <t>kareenasundaram@gmail.com</t>
  </si>
  <si>
    <t>Kareena Sundaram</t>
  </si>
  <si>
    <t>https://utrucking.com/admin/orders/6427541962940</t>
  </si>
  <si>
    <t>#17591</t>
  </si>
  <si>
    <t>tom.wang@wustl.edu</t>
  </si>
  <si>
    <t>Tom Wang</t>
  </si>
  <si>
    <t>https://utrucking.com/admin/orders/6427688173756</t>
  </si>
  <si>
    <t>#17592</t>
  </si>
  <si>
    <t>Sripriya Srinivasan</t>
  </si>
  <si>
    <t>2021 - a</t>
  </si>
  <si>
    <t>https://utrucking.com/admin/orders/6427703836860</t>
  </si>
  <si>
    <t>#17593</t>
  </si>
  <si>
    <t>Jksand2007@gmail.com</t>
  </si>
  <si>
    <t xml:space="preserve">Jaden Sanders </t>
  </si>
  <si>
    <t>https://utrucking.com/admin/orders/6428070019260</t>
  </si>
  <si>
    <t>#17594</t>
  </si>
  <si>
    <t>https://utrucking.com/admin/orders/6428130148540</t>
  </si>
  <si>
    <t>#17595</t>
  </si>
  <si>
    <t>https://utrucking.com/admin/orders/6428158066876</t>
  </si>
  <si>
    <t>#17596</t>
  </si>
  <si>
    <t>gav.wang7@gmail.com</t>
  </si>
  <si>
    <t>Gavin Wang</t>
  </si>
  <si>
    <t>Matthews</t>
  </si>
  <si>
    <t>https://utrucking.com/admin/orders/6428163866812</t>
  </si>
  <si>
    <t>#17597</t>
  </si>
  <si>
    <t>gambitnfl@gmail.com</t>
  </si>
  <si>
    <t>Gamble Lehmann-Karp</t>
  </si>
  <si>
    <t>Hastings on Hudson</t>
  </si>
  <si>
    <t>https://utrucking.com/admin/orders/6428176187580</t>
  </si>
  <si>
    <t>#17598</t>
  </si>
  <si>
    <t>talen.frett@gmail.com</t>
  </si>
  <si>
    <t>Talen Frett</t>
  </si>
  <si>
    <t>https://utrucking.com/admin/orders/6428188672188</t>
  </si>
  <si>
    <t>#17599</t>
  </si>
  <si>
    <t>charfoos@wustl.edu</t>
  </si>
  <si>
    <t>Jack Charfoos</t>
  </si>
  <si>
    <t>608 Kingsland Ave, 63130, Apt 303</t>
  </si>
  <si>
    <t>https://utrucking.com/admin/orders/6428242706620</t>
  </si>
  <si>
    <t>#17600</t>
  </si>
  <si>
    <t>mpp560@gmail.com</t>
  </si>
  <si>
    <t>1042a</t>
  </si>
  <si>
    <t>Chiara Del Testa</t>
  </si>
  <si>
    <t>https://utrucking.com/admin/orders/6428285632700</t>
  </si>
  <si>
    <t>#17601</t>
  </si>
  <si>
    <t>Jodi fields</t>
  </si>
  <si>
    <t>7218 Forsyth Blvd 1W
St. Louis, MO 63105</t>
  </si>
  <si>
    <t>Potomac, MD</t>
  </si>
  <si>
    <t>20854-3838</t>
  </si>
  <si>
    <t xml:space="preserve">8104 River Falls Dr
Potomac,Md 20854 </t>
  </si>
  <si>
    <t>https://utrucking.com/admin/orders/6428326297788</t>
  </si>
  <si>
    <t>#17602</t>
  </si>
  <si>
    <t>nikhilchadha6@gmail.com</t>
  </si>
  <si>
    <t>https://utrucking.com/admin/orders/6428345008316</t>
  </si>
  <si>
    <t>#17603</t>
  </si>
  <si>
    <t>b.selena@wustl.edu</t>
  </si>
  <si>
    <t>3412</t>
  </si>
  <si>
    <t xml:space="preserve">9 Crestwood Drive Chatham NJ 07928 </t>
  </si>
  <si>
    <t>https://utrucking.com/admin/orders/6428438921404</t>
  </si>
  <si>
    <t>#17604</t>
  </si>
  <si>
    <t>d.l.trieu@wustl.edu</t>
  </si>
  <si>
    <t>Donovan Trieu</t>
  </si>
  <si>
    <t>Ewa Beach</t>
  </si>
  <si>
    <t>4034</t>
  </si>
  <si>
    <t>https://utrucking.com/admin/orders/6428445507772</t>
  </si>
  <si>
    <t>#17605</t>
  </si>
  <si>
    <t>https://utrucking.com/admin/orders/6428449603772</t>
  </si>
  <si>
    <t>#17606</t>
  </si>
  <si>
    <t>https://utrucking.com/admin/orders/6428508946620</t>
  </si>
  <si>
    <t>#17607</t>
  </si>
  <si>
    <t>Jackie Clay</t>
  </si>
  <si>
    <t>https://utrucking.com/admin/orders/6428540993724</t>
  </si>
  <si>
    <t>#17608</t>
  </si>
  <si>
    <t>2216</t>
  </si>
  <si>
    <t>Andrew Nesterovsky</t>
  </si>
  <si>
    <t>https://utrucking.com/admin/orders/6428573237436</t>
  </si>
  <si>
    <t>#17610</t>
  </si>
  <si>
    <t xml:space="preserve">1633 Las Lunas St.
Pasadena, CA 91106 </t>
  </si>
  <si>
    <t>https://utrucking.com/admin/orders/6428610691260</t>
  </si>
  <si>
    <t>#17611</t>
  </si>
  <si>
    <t>tlim2023@gmail.com</t>
  </si>
  <si>
    <t>https://utrucking.com/admin/orders/6428618850492</t>
  </si>
  <si>
    <t>#17612</t>
  </si>
  <si>
    <t>sydneylim0712@gmail.com</t>
  </si>
  <si>
    <t>Sydney Lim</t>
  </si>
  <si>
    <t>https://utrucking.com/admin/orders/6428634939580</t>
  </si>
  <si>
    <t>#17613</t>
  </si>
  <si>
    <t>g.nevins-saunders@wustl.edu</t>
  </si>
  <si>
    <t>Gillian Nevins-Saunders</t>
  </si>
  <si>
    <t>1013</t>
  </si>
  <si>
    <t>https://utrucking.com/admin/orders/6428639297724</t>
  </si>
  <si>
    <t>#17614</t>
  </si>
  <si>
    <t>Diana Gallagher</t>
  </si>
  <si>
    <t>Will Washko</t>
  </si>
  <si>
    <t>https://utrucking.com/admin/orders/6428642738364</t>
  </si>
  <si>
    <t>#17615</t>
  </si>
  <si>
    <t>https://utrucking.com/admin/orders/6428694577340</t>
  </si>
  <si>
    <t>#17616</t>
  </si>
  <si>
    <t>reesegittleman@gmail.com</t>
  </si>
  <si>
    <t>Lafayette Hill</t>
  </si>
  <si>
    <t>https://utrucking.com/admin/orders/6428793307324</t>
  </si>
  <si>
    <t>#17617</t>
  </si>
  <si>
    <t>r.s.short@wustl.edu</t>
  </si>
  <si>
    <t>3000-(3002)</t>
  </si>
  <si>
    <t>https://utrucking.com/admin/orders/6428834169020</t>
  </si>
  <si>
    <t>#17618</t>
  </si>
  <si>
    <t>https://utrucking.com/admin/orders/6428856811708</t>
  </si>
  <si>
    <t>#17619</t>
  </si>
  <si>
    <t>https://utrucking.com/admin/orders/6428894757052</t>
  </si>
  <si>
    <t>#17620</t>
  </si>
  <si>
    <t>Ola Sadik</t>
  </si>
  <si>
    <t>https://utrucking.com/admin/orders/6428919365820</t>
  </si>
  <si>
    <t>#17621</t>
  </si>
  <si>
    <t>i.kim@wustl.edu</t>
  </si>
  <si>
    <t>https://utrucking.com/admin/orders/6429305045180</t>
  </si>
  <si>
    <t>#17622</t>
  </si>
  <si>
    <t xml:space="preserve">50 Parmley Place, 101
Summit, NJ 07901 </t>
  </si>
  <si>
    <t>Miles Kelly</t>
  </si>
  <si>
    <t>https://utrucking.com/admin/orders/6429309272252</t>
  </si>
  <si>
    <t>#17623</t>
  </si>
  <si>
    <t xml:space="preserve"> Will be storing a large TV</t>
  </si>
  <si>
    <t>https://utrucking.com/admin/orders/6429334339772</t>
  </si>
  <si>
    <t>#17624</t>
  </si>
  <si>
    <t xml:space="preserve">18 Warford Ter, Orinda, CA 94563 </t>
  </si>
  <si>
    <t xml:space="preserve"> I already received a kit for summer storage but need some shipping labels for shipping 1-2 boxes home</t>
  </si>
  <si>
    <t>https://utrucking.com/admin/orders/6429360685244</t>
  </si>
  <si>
    <t>#17625</t>
  </si>
  <si>
    <t>c.brian@wustl.edu</t>
  </si>
  <si>
    <t>Brian Chang</t>
  </si>
  <si>
    <t>2072</t>
  </si>
  <si>
    <t>https://utrucking.com/admin/orders/6429371498684</t>
  </si>
  <si>
    <t>#17626</t>
  </si>
  <si>
    <t xml:space="preserve">14895 E Security Way, Aurora, CO 80011 </t>
  </si>
  <si>
    <t>https://utrucking.com/admin/orders/6429382574268</t>
  </si>
  <si>
    <t>#17627</t>
  </si>
  <si>
    <t>lebh23@juniata.edu</t>
  </si>
  <si>
    <t>Bach Le</t>
  </si>
  <si>
    <t>Huntingdon</t>
  </si>
  <si>
    <t xml:space="preserve">Juniata College, 1700 Moore St, Huntingdob, PA 16652  </t>
  </si>
  <si>
    <t xml:space="preserve"> I am dual degree student who gonna </t>
  </si>
  <si>
    <t>https://utrucking.com/admin/orders/6429392208060</t>
  </si>
  <si>
    <t>#17628</t>
  </si>
  <si>
    <t>Elizabeth Glaser</t>
  </si>
  <si>
    <t xml:space="preserve">Ava Glaser </t>
  </si>
  <si>
    <t>https://utrucking.com/admin/orders/6429397975228</t>
  </si>
  <si>
    <t>#17629</t>
  </si>
  <si>
    <t>289ana@gmail.com</t>
  </si>
  <si>
    <t>anita malick</t>
  </si>
  <si>
    <t>Ava A. Malick</t>
  </si>
  <si>
    <t>https://utrucking.com/admin/orders/6429493657788</t>
  </si>
  <si>
    <t>#17630</t>
  </si>
  <si>
    <t>jasonmorrissf2025@gmail.com</t>
  </si>
  <si>
    <t>Jason Morris</t>
  </si>
  <si>
    <t>https://utrucking.com/admin/orders/6429517840572</t>
  </si>
  <si>
    <t>#17631</t>
  </si>
  <si>
    <t>Jennfier Newman</t>
  </si>
  <si>
    <t>https://utrucking.com/admin/orders/6429543366844</t>
  </si>
  <si>
    <t>#17632</t>
  </si>
  <si>
    <t>2272</t>
  </si>
  <si>
    <t>https://utrucking.com/admin/orders/6429561847996</t>
  </si>
  <si>
    <t>#17633</t>
  </si>
  <si>
    <t>Maddy Stikeleather</t>
  </si>
  <si>
    <t>https://utrucking.com/admin/orders/6429569220796</t>
  </si>
  <si>
    <t>#17634</t>
  </si>
  <si>
    <t>Felix Harari</t>
  </si>
  <si>
    <t>https://utrucking.com/admin/orders/6429572759740</t>
  </si>
  <si>
    <t>#17635</t>
  </si>
  <si>
    <t xml:space="preserve">4b1 </t>
  </si>
  <si>
    <t>https://utrucking.com/admin/orders/6429606510780</t>
  </si>
  <si>
    <t>#17637</t>
  </si>
  <si>
    <t>mariargomez@yahoo.com</t>
  </si>
  <si>
    <t>Maria Gomez</t>
  </si>
  <si>
    <t>729 Westgate Ave Apt 1S St Louis MO 63130-3838</t>
  </si>
  <si>
    <t>Pennington</t>
  </si>
  <si>
    <t xml:space="preserve">13 Chadwell Ct. Pennington NJ 08534 </t>
  </si>
  <si>
    <t>Bella Gomez</t>
  </si>
  <si>
    <t>https://utrucking.com/admin/orders/6429647765692</t>
  </si>
  <si>
    <t>#17638</t>
  </si>
  <si>
    <t>G. Tilson</t>
  </si>
  <si>
    <t>B1</t>
  </si>
  <si>
    <t>Sawyer Tilson</t>
  </si>
  <si>
    <t>https://utrucking.com/admin/orders/6429668343996</t>
  </si>
  <si>
    <t>#17639</t>
  </si>
  <si>
    <t>kyash@wustl.edu</t>
  </si>
  <si>
    <t>Yash Karki</t>
  </si>
  <si>
    <t>https://utrucking.com/admin/orders/6429669064892</t>
  </si>
  <si>
    <t>#17640</t>
  </si>
  <si>
    <t>l.e.olmeta@wustl.edu</t>
  </si>
  <si>
    <t>https://utrucking.com/admin/orders/6429672898748</t>
  </si>
  <si>
    <t>#17641</t>
  </si>
  <si>
    <t>https://utrucking.com/admin/orders/6429717070012</t>
  </si>
  <si>
    <t>#17642</t>
  </si>
  <si>
    <t xml:space="preserve">186 W 80th St PH1 New York, NY 10024 </t>
  </si>
  <si>
    <t>https://utrucking.com/admin/orders/6429719494844</t>
  </si>
  <si>
    <t>#17643</t>
  </si>
  <si>
    <t>florazhou2005@gmail.com</t>
  </si>
  <si>
    <t>Lei Gu</t>
  </si>
  <si>
    <t>Flora Zhou</t>
  </si>
  <si>
    <t>https://utrucking.com/admin/orders/6429738565820</t>
  </si>
  <si>
    <t>#17644</t>
  </si>
  <si>
    <t>i.x.li@wustl.edu</t>
  </si>
  <si>
    <t>Isabella Li</t>
  </si>
  <si>
    <t>2210A</t>
  </si>
  <si>
    <t>Isabella Xingyi li</t>
  </si>
  <si>
    <t>https://utrucking.com/admin/orders/6429796270268</t>
  </si>
  <si>
    <t>#17645</t>
  </si>
  <si>
    <t>alefkowitz@wustl.edu</t>
  </si>
  <si>
    <t>Vicki Lefkowitz</t>
  </si>
  <si>
    <t>1109</t>
  </si>
  <si>
    <t>Alexander Lefkowitz</t>
  </si>
  <si>
    <t>https://utrucking.com/admin/orders/6429832151228</t>
  </si>
  <si>
    <t>#17646</t>
  </si>
  <si>
    <t>b.devorah@wustl.edu</t>
  </si>
  <si>
    <t>Ronald Benveniste</t>
  </si>
  <si>
    <t>Surfside</t>
  </si>
  <si>
    <t>460</t>
  </si>
  <si>
    <t>Devorah Benveniste</t>
  </si>
  <si>
    <t>https://utrucking.com/admin/orders/6429850468540</t>
  </si>
  <si>
    <t>#17647</t>
  </si>
  <si>
    <t>Short Hills, NJ</t>
  </si>
  <si>
    <t>https://utrucking.com/admin/orders/6429925671100</t>
  </si>
  <si>
    <t>#17648</t>
  </si>
  <si>
    <t>bella.lin@wustl.edu</t>
  </si>
  <si>
    <t>Bella Lin</t>
  </si>
  <si>
    <t>https://utrucking.com/admin/orders/6429931634876</t>
  </si>
  <si>
    <t>#17649</t>
  </si>
  <si>
    <t>anikaitbh@gmail.com</t>
  </si>
  <si>
    <t>Anikait Bharadwaj</t>
  </si>
  <si>
    <t>https://utrucking.com/admin/orders/6430024466620</t>
  </si>
  <si>
    <t>#17650</t>
  </si>
  <si>
    <t>jimmy.z@wustl.edu</t>
  </si>
  <si>
    <t>Jimmy Zheng</t>
  </si>
  <si>
    <t>6136 Delmar Blvd, Apt 302, Saint Louis, MO  63112</t>
  </si>
  <si>
    <t xml:space="preserve">1200 Crystal Drive Unit 1613, Arlington, VA 22202 </t>
  </si>
  <si>
    <t>Yi Zheng</t>
  </si>
  <si>
    <t>https://admin.shopify.com/store/utrucking/orders/6430037246140?link_source=search</t>
  </si>
  <si>
    <t>#17651</t>
  </si>
  <si>
    <t>sdlaz@me.com</t>
  </si>
  <si>
    <t>917-232-0427</t>
  </si>
  <si>
    <t>marissa lazarus</t>
  </si>
  <si>
    <t>721 Interdrive apartment 2</t>
  </si>
  <si>
    <t>721 Interdrive apartment 2, St Louis MO 63130</t>
  </si>
  <si>
    <t>357 Jersey Street, Denver, CO 80220</t>
  </si>
  <si>
    <t>Marissa Lazarus</t>
  </si>
  <si>
    <t>https://utrucking.com/admin/orders/6430090559676</t>
  </si>
  <si>
    <t>#17652</t>
  </si>
  <si>
    <t>https://utrucking.com/admin/orders/6430137417916</t>
  </si>
  <si>
    <t>#17653</t>
  </si>
  <si>
    <t>Giulia Vitolo</t>
  </si>
  <si>
    <t>https://utrucking.com/admin/orders/6430152196284</t>
  </si>
  <si>
    <t>#17654</t>
  </si>
  <si>
    <t>g.e.samek@wustl.edu</t>
  </si>
  <si>
    <t>Allison Samek</t>
  </si>
  <si>
    <t>Gabe</t>
  </si>
  <si>
    <t>https://utrucking.com/admin/orders/6430176149692</t>
  </si>
  <si>
    <t>#17655</t>
  </si>
  <si>
    <t>e.d.linden@wustl.edu</t>
  </si>
  <si>
    <t>Emmanuelle Linden</t>
  </si>
  <si>
    <t>2031</t>
  </si>
  <si>
    <t>https://utrucking.com/admin/orders/6430213865660</t>
  </si>
  <si>
    <t>#17656</t>
  </si>
  <si>
    <t>j.remache@wustl.edu</t>
  </si>
  <si>
    <t>Carlos Remache</t>
  </si>
  <si>
    <t>Corona</t>
  </si>
  <si>
    <t>Julie Remache</t>
  </si>
  <si>
    <t>https://utrucking.com/admin/orders/6430292934844</t>
  </si>
  <si>
    <t>#17657</t>
  </si>
  <si>
    <t>https://utrucking.com/admin/orders/6430398251196</t>
  </si>
  <si>
    <t>#17658</t>
  </si>
  <si>
    <t>yanjyunh@gmail.com</t>
  </si>
  <si>
    <t>Brian Huang</t>
  </si>
  <si>
    <t>https://utrucking.com/admin/orders/6430773608636</t>
  </si>
  <si>
    <t>#17660</t>
  </si>
  <si>
    <t>Jackcarr113@gmail.com</t>
  </si>
  <si>
    <t>Jacob Carr</t>
  </si>
  <si>
    <t>Reno</t>
  </si>
  <si>
    <t>Jack Carr</t>
  </si>
  <si>
    <t>https://utrucking.com/admin/orders/6430805622972</t>
  </si>
  <si>
    <t>#17661</t>
  </si>
  <si>
    <t>maryraue@gmail.com</t>
  </si>
  <si>
    <t>Megan Raue</t>
  </si>
  <si>
    <t>https://utrucking.com/admin/orders/6432009486524</t>
  </si>
  <si>
    <t>#17662</t>
  </si>
  <si>
    <t>fay.w@wustl.edu</t>
  </si>
  <si>
    <t>Ki Fei Wong</t>
  </si>
  <si>
    <t>Fay Wong</t>
  </si>
  <si>
    <t>https://utrucking.com/admin/orders/6432065388732</t>
  </si>
  <si>
    <t>#17663</t>
  </si>
  <si>
    <t>a.a.jaleel@wustl.edu</t>
  </si>
  <si>
    <t>Aman Jaleel</t>
  </si>
  <si>
    <t>https://utrucking.com/admin/orders/6432190726332</t>
  </si>
  <si>
    <t>#17664</t>
  </si>
  <si>
    <t>slover@wustl.edu</t>
  </si>
  <si>
    <t xml:space="preserve"> 2 [Included with Registration]   - </t>
  </si>
  <si>
    <t xml:space="preserve">4814 City park Road, Austin Texas 78730 </t>
  </si>
  <si>
    <t>https://utrucking.com/admin/orders/6432195903676</t>
  </si>
  <si>
    <t>#17665</t>
  </si>
  <si>
    <t>d.saidie@wustl.edu</t>
  </si>
  <si>
    <t>Saidie Dolman</t>
  </si>
  <si>
    <t>6666 Washington Ave apt 3E</t>
  </si>
  <si>
    <t xml:space="preserve">1111 Park Ave apt 10D </t>
  </si>
  <si>
    <t>https://utrucking.com/admin/orders/6432335659196</t>
  </si>
  <si>
    <t>#17666</t>
  </si>
  <si>
    <t>yhliu0925@gmail.com</t>
  </si>
  <si>
    <t>Yu-Hsi Liu</t>
  </si>
  <si>
    <t>Sigrid Liu</t>
  </si>
  <si>
    <t>https://utrucking.com/admin/orders/6432402997436</t>
  </si>
  <si>
    <t>#17668</t>
  </si>
  <si>
    <t>b.e.miller@wustl.edu</t>
  </si>
  <si>
    <t>Beckett Miller</t>
  </si>
  <si>
    <t>Burlingame</t>
  </si>
  <si>
    <t>https://utrucking.com/admin/orders/6432416858300</t>
  </si>
  <si>
    <t>#17669</t>
  </si>
  <si>
    <t>emilypoltorak@gmail.com</t>
  </si>
  <si>
    <t>LOS ANGELES</t>
  </si>
  <si>
    <t>https://utrucking.com/admin/orders/6432441860284</t>
  </si>
  <si>
    <t>#17670</t>
  </si>
  <si>
    <t>301-b</t>
  </si>
  <si>
    <t>https://utrucking.com/admin/orders/6432452870332</t>
  </si>
  <si>
    <t>#17671</t>
  </si>
  <si>
    <t>ahuebner@wustl.edu</t>
  </si>
  <si>
    <t>Ashlynn Huebner</t>
  </si>
  <si>
    <t>Redondo Beach</t>
  </si>
  <si>
    <t>https://utrucking.com/admin/orders/6432456016060</t>
  </si>
  <si>
    <t>#17672</t>
  </si>
  <si>
    <t>Jeff Lynas</t>
  </si>
  <si>
    <t xml:space="preserve"> 1.  Please drop off the packing material May 5 or no earlier than May 4.
2.  Olivia rented a 2 door fridge and Microwave that can be picked up and returned to you May 7
3.  Olivia must be out of her room by 1pm May 7, so pickup any time after that is good.
4.  We may decided to store 1-2 boxes over the summer with you and will let you know in advance of pickup</t>
  </si>
  <si>
    <t>https://utrucking.com/admin/orders/6432495993020</t>
  </si>
  <si>
    <t>#17673</t>
  </si>
  <si>
    <t>m.montana@wustl.edu</t>
  </si>
  <si>
    <t>Montana Montayre</t>
  </si>
  <si>
    <t>New Port Richey</t>
  </si>
  <si>
    <t>3335</t>
  </si>
  <si>
    <t>https://utrucking.com/admin/orders/6432531022012</t>
  </si>
  <si>
    <t>#17674</t>
  </si>
  <si>
    <t>k.stephen@wustl.edu</t>
  </si>
  <si>
    <t>Jennie Klein</t>
  </si>
  <si>
    <t>94563-1307</t>
  </si>
  <si>
    <t xml:space="preserve">  6515 Wydown Blvd (Clock Tower), St. Louis, MO 63105</t>
  </si>
  <si>
    <t xml:space="preserve"> 725 Westgate Ave, St. Louis, MO 63105</t>
  </si>
  <si>
    <t xml:space="preserve">This move is from WashU housing to a nearby apartment.  We would like to request for an afternoon move time.  Thank you. </t>
  </si>
  <si>
    <t xml:space="preserve"> Stephen Klein</t>
  </si>
  <si>
    <t>https://utrucking.com/admin/orders/6432568574140</t>
  </si>
  <si>
    <t>#17675</t>
  </si>
  <si>
    <t>elliot.perlis@gmail.com</t>
  </si>
  <si>
    <t>Elliot Perlis</t>
  </si>
  <si>
    <t>41B</t>
  </si>
  <si>
    <t xml:space="preserve">609 Braeburn Ln
Penn Valley, PA
19072 </t>
  </si>
  <si>
    <t>https://utrucking.com/admin/orders/6432606421180</t>
  </si>
  <si>
    <t>#17676</t>
  </si>
  <si>
    <t>giselerogers@hotmail.com</t>
  </si>
  <si>
    <t>Gisele Rogers</t>
  </si>
  <si>
    <t>Aiden Rogers</t>
  </si>
  <si>
    <t>https://utrucking.com/admin/orders/6432834355388</t>
  </si>
  <si>
    <t>#17677</t>
  </si>
  <si>
    <t>louquart1@gmail.com</t>
  </si>
  <si>
    <t>https://utrucking.com/admin/orders/6432858964156</t>
  </si>
  <si>
    <t>#17678</t>
  </si>
  <si>
    <t>jane.spiro@wustl.edu</t>
  </si>
  <si>
    <t>https://utrucking.com/admin/orders/6432887079100</t>
  </si>
  <si>
    <t>#17679</t>
  </si>
  <si>
    <t>h.henryrui@wustl.edu</t>
  </si>
  <si>
    <t>Henry Rui He</t>
  </si>
  <si>
    <t>https://utrucking.com/admin/orders/6432947634364</t>
  </si>
  <si>
    <t>#17680</t>
  </si>
  <si>
    <t>abraham.l@wustl.edu</t>
  </si>
  <si>
    <t>Abraham Lu</t>
  </si>
  <si>
    <t>https://utrucking.com/admin/orders/6433211941052</t>
  </si>
  <si>
    <t>#17681</t>
  </si>
  <si>
    <t>kailings@gmail.com</t>
  </si>
  <si>
    <t>Kailing Wu</t>
  </si>
  <si>
    <t>1032A</t>
  </si>
  <si>
    <t xml:space="preserve"> Pick up date may need to be adjusted.</t>
  </si>
  <si>
    <t>Ethan Y. Wu</t>
  </si>
  <si>
    <t>https://utrucking.com/admin/orders/6433302216892</t>
  </si>
  <si>
    <t>#17682</t>
  </si>
  <si>
    <t>jaraslade@gmail.com</t>
  </si>
  <si>
    <t>Jara Shapiro</t>
  </si>
  <si>
    <t xml:space="preserve">6322 Alcott Road , Bethesda, MD 20817  </t>
  </si>
  <si>
    <t>Will</t>
  </si>
  <si>
    <t>https://utrucking.com/admin/orders/6433303724220</t>
  </si>
  <si>
    <t>#17683</t>
  </si>
  <si>
    <t xml:space="preserve">6322 Alcott Road Bethesda, MD 20817  </t>
  </si>
  <si>
    <t xml:space="preserve">Will Shapiro </t>
  </si>
  <si>
    <t>https://utrucking.com/admin/orders/6433335017660</t>
  </si>
  <si>
    <t>#17684</t>
  </si>
  <si>
    <t>c.knowles@wustl.edu</t>
  </si>
  <si>
    <t>6186 Waterman Blvd
Apt 2
St Louis, MO 63112</t>
  </si>
  <si>
    <t xml:space="preserve">6304 Avalon Dr
Bethesda, MD 20816 </t>
  </si>
  <si>
    <t xml:space="preserve"> Please deliver packing supplies to Waterman Blvd Address week of 5/4.  Contact number 202 577 5830 with questions/delivery info.
Many thanks</t>
  </si>
  <si>
    <t>https://utrucking.com/admin/orders/6433347403964</t>
  </si>
  <si>
    <t>#17685</t>
  </si>
  <si>
    <t>kelly.z25006@gmail.com</t>
  </si>
  <si>
    <t>Kelly Zhang</t>
  </si>
  <si>
    <t>https://utrucking.com/admin/orders/6433411596476</t>
  </si>
  <si>
    <t>#17686</t>
  </si>
  <si>
    <t>mishaeis@yahoo.com</t>
  </si>
  <si>
    <t xml:space="preserve"> We will be there waiting for you. Thank you.</t>
  </si>
  <si>
    <t>https://utrucking.com/admin/orders/6433413562556</t>
  </si>
  <si>
    <t>#17687</t>
  </si>
  <si>
    <t>perkashmaya@gmail.com</t>
  </si>
  <si>
    <t>Maya Perkash</t>
  </si>
  <si>
    <t>https://utrucking.com/admin/orders/6433606992060</t>
  </si>
  <si>
    <t>#17688</t>
  </si>
  <si>
    <t>daniabackal@gmail.com</t>
  </si>
  <si>
    <t>Dania Backal</t>
  </si>
  <si>
    <t>https://utrucking.com/admin/orders/6433663713468</t>
  </si>
  <si>
    <t>#17689</t>
  </si>
  <si>
    <t>lbkatriel@yahoo.com</t>
  </si>
  <si>
    <t>Lisa Katriel</t>
  </si>
  <si>
    <t>Del Mar</t>
  </si>
  <si>
    <t>House 7</t>
  </si>
  <si>
    <t xml:space="preserve"> Levi is leaving on the 5th early in the am, so will not be there during pick up. Is that ok? My understanding is boxes may be picked up after students leave? Please confirm. Thank you, Lisa</t>
  </si>
  <si>
    <t>Levi</t>
  </si>
  <si>
    <t>https://utrucking.com/admin/orders/6433680851132</t>
  </si>
  <si>
    <t>#17690</t>
  </si>
  <si>
    <t>p.sihyun@wustl.edu</t>
  </si>
  <si>
    <t>https://utrucking.com/admin/orders/6433732919484</t>
  </si>
  <si>
    <t>#17691</t>
  </si>
  <si>
    <t>d.somya@wustl.edu</t>
  </si>
  <si>
    <t xml:space="preserve">5 Forest Drive, Short Hills Nj, 07078 </t>
  </si>
  <si>
    <t>https://utrucking.com/admin/orders/6433735606460</t>
  </si>
  <si>
    <t>#17692</t>
  </si>
  <si>
    <t>3133A</t>
  </si>
  <si>
    <t>Sofia Nossel</t>
  </si>
  <si>
    <t>https://utrucking.com/admin/orders/6433749663932</t>
  </si>
  <si>
    <t>#17693</t>
  </si>
  <si>
    <t>d.gassenheimer@wustl.edu</t>
  </si>
  <si>
    <t>daniel gassenheimer</t>
  </si>
  <si>
    <t>739 Leland Ave, #1, St. Louis, MO, 63130</t>
  </si>
  <si>
    <t xml:space="preserve">105 foxwood drive
jericho, NY 11753 </t>
  </si>
  <si>
    <t>https://utrucking.com/admin/orders/6433755889852</t>
  </si>
  <si>
    <t>#17694</t>
  </si>
  <si>
    <t>thehermanns@gmail.com</t>
  </si>
  <si>
    <t>Erica Hermann</t>
  </si>
  <si>
    <t xml:space="preserve">1070 Park Avenue
Apt 4B
NY,NY 10128 </t>
  </si>
  <si>
    <t>https://utrucking.com/admin/orders/6433772568764</t>
  </si>
  <si>
    <t>#17695</t>
  </si>
  <si>
    <t>c.skatrud@wustl.edu</t>
  </si>
  <si>
    <t>Michael Skatrud</t>
  </si>
  <si>
    <t>Claire Skatrud</t>
  </si>
  <si>
    <t>https://utrucking.com/admin/orders/6433840922812</t>
  </si>
  <si>
    <t>#17697</t>
  </si>
  <si>
    <t>https://utrucking.com/admin/orders/6433858126012</t>
  </si>
  <si>
    <t>#17698</t>
  </si>
  <si>
    <t>https://utrucking.com/admin/orders/6433941061820</t>
  </si>
  <si>
    <t>#17700</t>
  </si>
  <si>
    <t>claire.li@wustl.edu</t>
  </si>
  <si>
    <t>卓远 李</t>
  </si>
  <si>
    <t>西城区</t>
  </si>
  <si>
    <t>Claire Li</t>
  </si>
  <si>
    <t>https://utrucking.com/admin/orders/6433947222204</t>
  </si>
  <si>
    <t>#17701</t>
  </si>
  <si>
    <t>candace.rabinowitz@hotmail.com</t>
  </si>
  <si>
    <t>Jeffrey Rabinowitz</t>
  </si>
  <si>
    <t>Brooke Rabinowitz</t>
  </si>
  <si>
    <t>https://utrucking.com/admin/orders/6434071478460</t>
  </si>
  <si>
    <t>#17702</t>
  </si>
  <si>
    <t>carolinegcoffey@icloud.com</t>
  </si>
  <si>
    <t>2WA</t>
  </si>
  <si>
    <t xml:space="preserve">2 Hillyfield Lane </t>
  </si>
  <si>
    <t>https://utrucking.com/admin/orders/6434107359420</t>
  </si>
  <si>
    <t>#17703</t>
  </si>
  <si>
    <t>a.aram@wustl.edu</t>
  </si>
  <si>
    <t>Aram Ashrafzadeh</t>
  </si>
  <si>
    <t>Modesto</t>
  </si>
  <si>
    <t>Apt 2S Room A</t>
  </si>
  <si>
    <t>https://utrucking.com/admin/orders/6434109194428</t>
  </si>
  <si>
    <t>#17704</t>
  </si>
  <si>
    <t>https://utrucking.com/admin/orders/6434124726460</t>
  </si>
  <si>
    <t>#17705</t>
  </si>
  <si>
    <t>he.yining@wustl.edu</t>
  </si>
  <si>
    <t>Yining He</t>
  </si>
  <si>
    <t>2054</t>
  </si>
  <si>
    <t xml:space="preserve">Yining He </t>
  </si>
  <si>
    <t>https://utrucking.com/admin/orders/6434176237756</t>
  </si>
  <si>
    <t>#17706</t>
  </si>
  <si>
    <t>huili.jin200@gmail.com</t>
  </si>
  <si>
    <t>Huili Jin</t>
  </si>
  <si>
    <t>https://utrucking.com/admin/orders/6434235056316</t>
  </si>
  <si>
    <t>#17707</t>
  </si>
  <si>
    <t>emi@wustl.edu</t>
  </si>
  <si>
    <t>Emi Harstad</t>
  </si>
  <si>
    <t>https://utrucking.com/admin/orders/6434240037052</t>
  </si>
  <si>
    <t>#17708</t>
  </si>
  <si>
    <t>l.mittal@wustl.edu</t>
  </si>
  <si>
    <t>Lakshya Mittal</t>
  </si>
  <si>
    <t>Jaipur</t>
  </si>
  <si>
    <t>Rajasthan</t>
  </si>
  <si>
    <t>3005</t>
  </si>
  <si>
    <t>https://utrucking.com/admin/orders/6434316681404</t>
  </si>
  <si>
    <t>#17709</t>
  </si>
  <si>
    <t>jevin@wustl.edu</t>
  </si>
  <si>
    <t>Jevin Lin</t>
  </si>
  <si>
    <t>2024</t>
  </si>
  <si>
    <t>https://utrucking.com/admin/orders/6434516369596</t>
  </si>
  <si>
    <t>#17710</t>
  </si>
  <si>
    <t>g.krishna@wustl.edu</t>
  </si>
  <si>
    <t>Hetalben Gandhi</t>
  </si>
  <si>
    <t>Niles</t>
  </si>
  <si>
    <t>Krishna Gandhi</t>
  </si>
  <si>
    <t>https://utrucking.com/admin/orders/6434696855740</t>
  </si>
  <si>
    <t>#17711</t>
  </si>
  <si>
    <t>f.j.poon@wustl.edu</t>
  </si>
  <si>
    <t>Flannery Poon</t>
  </si>
  <si>
    <t>Roslindale</t>
  </si>
  <si>
    <t>https://utrucking.com/admin/orders/6434697838780</t>
  </si>
  <si>
    <t>#17712</t>
  </si>
  <si>
    <t>katecat13707@gmail.com</t>
  </si>
  <si>
    <t>Kate Hussa</t>
  </si>
  <si>
    <t>https://utrucking.com/admin/orders/6434774253756</t>
  </si>
  <si>
    <t>#17713</t>
  </si>
  <si>
    <t>i.komoroff@wustl.edu</t>
  </si>
  <si>
    <t>Water mill</t>
  </si>
  <si>
    <t>https://utrucking.com/admin/orders/6434839691452</t>
  </si>
  <si>
    <t>#17714</t>
  </si>
  <si>
    <t>effrohsin@gmail.com</t>
  </si>
  <si>
    <t>Elise Frohsin</t>
  </si>
  <si>
    <t>Mountain Brk</t>
  </si>
  <si>
    <t>Evie Frohsin</t>
  </si>
  <si>
    <t>https://utrucking.com/admin/orders/6434943860924</t>
  </si>
  <si>
    <t>#17715</t>
  </si>
  <si>
    <t>jayden.c@wustl.edu</t>
  </si>
  <si>
    <t>Jayden Campbell</t>
  </si>
  <si>
    <t>https://utrucking.com/admin/orders/6434974957756</t>
  </si>
  <si>
    <t>#17716</t>
  </si>
  <si>
    <t>jordanalikhan78@gmail.com</t>
  </si>
  <si>
    <t>https://utrucking.com/admin/orders/6434980921532</t>
  </si>
  <si>
    <t>#17717</t>
  </si>
  <si>
    <t>LEXINGTON</t>
  </si>
  <si>
    <t>https://utrucking.com/admin/orders/6435152265404</t>
  </si>
  <si>
    <t>#17718</t>
  </si>
  <si>
    <t>michele.gershwin@gmail.com</t>
  </si>
  <si>
    <t>Todd Gershwin</t>
  </si>
  <si>
    <t>x</t>
  </si>
  <si>
    <t xml:space="preserve">4 Keane Court
Rye, NY 10580  </t>
  </si>
  <si>
    <t>Elana Gershwin</t>
  </si>
  <si>
    <t>https://utrucking.com/admin/orders/6435152462012</t>
  </si>
  <si>
    <t>#17719</t>
  </si>
  <si>
    <t>92618-0875</t>
  </si>
  <si>
    <t>https://utrucking.com/admin/orders/6435179724988</t>
  </si>
  <si>
    <t>#17720</t>
  </si>
  <si>
    <t>kofiayartel@gmail.com</t>
  </si>
  <si>
    <t>Abako Yartel</t>
  </si>
  <si>
    <t>Lilburn</t>
  </si>
  <si>
    <t>30047-4186</t>
  </si>
  <si>
    <t>https://utrucking.com/admin/orders/6435194503356</t>
  </si>
  <si>
    <t>#17721</t>
  </si>
  <si>
    <t>cdaniela@wustl.edu</t>
  </si>
  <si>
    <t>Daniela Corona Shturman</t>
  </si>
  <si>
    <t xml:space="preserve">Daniela  Corona Shturman </t>
  </si>
  <si>
    <t>https://utrucking.com/admin/orders/6435216588988</t>
  </si>
  <si>
    <t>#17722</t>
  </si>
  <si>
    <t xml:space="preserve"> You are also picking up his fridge from this semester</t>
  </si>
  <si>
    <t>Drew wendler</t>
  </si>
  <si>
    <t>https://utrucking.com/admin/orders/6435278454972</t>
  </si>
  <si>
    <t>#17723</t>
  </si>
  <si>
    <t>kimtaehoon291@gmail.com</t>
  </si>
  <si>
    <t>Taehoon Kim</t>
  </si>
  <si>
    <t>Terry Kim</t>
  </si>
  <si>
    <t>https://utrucking.com/admin/orders/6435301458108</t>
  </si>
  <si>
    <t>#17724</t>
  </si>
  <si>
    <t>a.i.pineda@wustl.edu</t>
  </si>
  <si>
    <t>Mayalen Uribe Zubiaga</t>
  </si>
  <si>
    <t xml:space="preserve"> suite 1040</t>
  </si>
  <si>
    <t>https://utrucking.com/admin/orders/6435331244220</t>
  </si>
  <si>
    <t>#17725</t>
  </si>
  <si>
    <t>petereiswert@gmail.com</t>
  </si>
  <si>
    <t>Peter Eiswert</t>
  </si>
  <si>
    <t>https://utrucking.com/admin/orders/6435351756988</t>
  </si>
  <si>
    <t>#17726</t>
  </si>
  <si>
    <t>wallacede24@gmail.com</t>
  </si>
  <si>
    <t>https://utrucking.com/admin/orders/6435451044028</t>
  </si>
  <si>
    <t>#17727</t>
  </si>
  <si>
    <t>v.f.walsh@wustl.edu</t>
  </si>
  <si>
    <t>Abbe Creaney</t>
  </si>
  <si>
    <t>Violet Walsh</t>
  </si>
  <si>
    <t>https://utrucking.com/admin/orders/6435467722940</t>
  </si>
  <si>
    <t>#17728</t>
  </si>
  <si>
    <t>Christa Frey</t>
  </si>
  <si>
    <t xml:space="preserve"> Hello - For the summer storage order, can we store a small fridge and vacuum? They won't fit into the boxes. How do you handle these types of items? Thank you!</t>
  </si>
  <si>
    <t xml:space="preserve">415 Washington Street #4C
New York, New York 10013 </t>
  </si>
  <si>
    <t>https://utrucking.com/admin/orders/6435523559612</t>
  </si>
  <si>
    <t>#17729</t>
  </si>
  <si>
    <t>atrulnick@gmail.com</t>
  </si>
  <si>
    <t>ALISA RULNICK</t>
  </si>
  <si>
    <t>374-A</t>
  </si>
  <si>
    <t>LILY RULNICK</t>
  </si>
  <si>
    <t>https://utrucking.com/admin/orders/6435617013948</t>
  </si>
  <si>
    <t>#17730</t>
  </si>
  <si>
    <t>avielleshiller@gmail.com</t>
  </si>
  <si>
    <t>Avielle Shiller</t>
  </si>
  <si>
    <t>https://utrucking.com/admin/orders/6435670982844</t>
  </si>
  <si>
    <t>#17731</t>
  </si>
  <si>
    <t>sagespark19@gmail.com</t>
  </si>
  <si>
    <t>https://utrucking.com/admin/orders/6436113350844</t>
  </si>
  <si>
    <t>#17732</t>
  </si>
  <si>
    <t>ggenerett@gmail.com</t>
  </si>
  <si>
    <t>Gretchen Generett</t>
  </si>
  <si>
    <t>3303-A</t>
  </si>
  <si>
    <t>Gabrielle Generett</t>
  </si>
  <si>
    <t>https://utrucking.com/admin/orders/6436189569212</t>
  </si>
  <si>
    <t>#17733</t>
  </si>
  <si>
    <t>skasey@wustl.edu</t>
  </si>
  <si>
    <t>kasey Schwartz</t>
  </si>
  <si>
    <t xml:space="preserve">Kasey Schwartz </t>
  </si>
  <si>
    <t>https://utrucking.com/admin/orders/6436190716092</t>
  </si>
  <si>
    <t>#17734</t>
  </si>
  <si>
    <t>https://utrucking.com/admin/orders/6436191568060</t>
  </si>
  <si>
    <t>#17735</t>
  </si>
  <si>
    <t>44</t>
  </si>
  <si>
    <t xml:space="preserve"> Lucy's last day on campus is Sunday, May 3rd.</t>
  </si>
  <si>
    <t>Lucy Johnson</t>
  </si>
  <si>
    <t>https://utrucking.com/admin/orders/6436619354300</t>
  </si>
  <si>
    <t>#17736</t>
  </si>
  <si>
    <t>roshea363@gmail.com</t>
  </si>
  <si>
    <t xml:space="preserve"> I will be moving into Village East the night of May 22 (apartment number TBD), so I would need temporary storage from May 7-22. I will move out of Village East on Aug 2, so I would also need boxes to be transported from Village East to my Fall semester housing (location TBD). I will move into my Fall semester housing the night of Aug 3 (early move in). </t>
  </si>
  <si>
    <t>https://utrucking.com/admin/orders/6437606424764</t>
  </si>
  <si>
    <t>#17737</t>
  </si>
  <si>
    <t>a.srishreya@wustl.edu</t>
  </si>
  <si>
    <t>Srishreya Arunsaravanakumar</t>
  </si>
  <si>
    <t>Tracy</t>
  </si>
  <si>
    <t>2232</t>
  </si>
  <si>
    <t>https://utrucking.com/admin/orders/6437694439612</t>
  </si>
  <si>
    <t>#17738</t>
  </si>
  <si>
    <t>h.jei@wustl.edu</t>
  </si>
  <si>
    <t>Jei Han Hall</t>
  </si>
  <si>
    <t>Kingston</t>
  </si>
  <si>
    <t>https://utrucking.com/admin/orders/6438022119612</t>
  </si>
  <si>
    <t>#17739</t>
  </si>
  <si>
    <t>jroth1@yu.edu</t>
  </si>
  <si>
    <t>Jessica Roth</t>
  </si>
  <si>
    <t xml:space="preserve"> I will also be shipping some boxes with U trucking.</t>
  </si>
  <si>
    <t>https://utrucking.com/admin/orders/6438061342908</t>
  </si>
  <si>
    <t>#17740</t>
  </si>
  <si>
    <t xml:space="preserve">45 West 10 Street Apt. 2F
New York, NY 10011 </t>
  </si>
  <si>
    <t xml:space="preserve"> I am also storing some boxes and items with you.</t>
  </si>
  <si>
    <t>https://utrucking.com/admin/orders/6438407307452</t>
  </si>
  <si>
    <t>#17741</t>
  </si>
  <si>
    <t>bkavya@wustl.edu</t>
  </si>
  <si>
    <t>Kamal Bhatia</t>
  </si>
  <si>
    <t>Riverhead</t>
  </si>
  <si>
    <t>Kavya Bhatia</t>
  </si>
  <si>
    <t>https://utrucking.com/admin/orders/6438459310268</t>
  </si>
  <si>
    <t>#17742</t>
  </si>
  <si>
    <t>ctbucks@yahoo.com</t>
  </si>
  <si>
    <t>WESTPORT</t>
  </si>
  <si>
    <t xml:space="preserve">12 Bermuda Road
Westport, CT 06880 </t>
  </si>
  <si>
    <t>https://utrucking.com/admin/orders/6438912164028</t>
  </si>
  <si>
    <t>#17743</t>
  </si>
  <si>
    <t>cristian.perez.student@gmail.com</t>
  </si>
  <si>
    <t>C Cristian Perez</t>
  </si>
  <si>
    <t>Cristian Perez</t>
  </si>
  <si>
    <t>https://utrucking.com/admin/orders/6439247970492</t>
  </si>
  <si>
    <t>#17744</t>
  </si>
  <si>
    <t>brad.s.daisy123@gmail.com</t>
  </si>
  <si>
    <t>Drew Shearer</t>
  </si>
  <si>
    <t>Brad  Shearer</t>
  </si>
  <si>
    <t>https://utrucking.com/admin/orders/6439383367868</t>
  </si>
  <si>
    <t>#17745</t>
  </si>
  <si>
    <t xml:space="preserve"> Do you store small furniture - i.e. night tables ?</t>
  </si>
  <si>
    <t>https://utrucking.com/admin/orders/6440849604796</t>
  </si>
  <si>
    <t>#17746</t>
  </si>
  <si>
    <t>benjaminb@wustl.edu</t>
  </si>
  <si>
    <t>https://utrucking.com/admin/orders/6442028662972</t>
  </si>
  <si>
    <t>#17747</t>
  </si>
  <si>
    <t>gloria.z@wustl.edu</t>
  </si>
  <si>
    <t>Gloria Zhang</t>
  </si>
  <si>
    <t>https://utrucking.com/admin/orders/6442940825788</t>
  </si>
  <si>
    <t>#17748</t>
  </si>
  <si>
    <t>c.minseok@wustl.edu</t>
  </si>
  <si>
    <t>Matt Choi</t>
  </si>
  <si>
    <t>https://utrucking.com/admin/orders/6442947838140</t>
  </si>
  <si>
    <t>#17749</t>
  </si>
  <si>
    <t>117B</t>
  </si>
  <si>
    <t xml:space="preserve">1408 West Sevilla St., Pharr, TX 78577 </t>
  </si>
  <si>
    <t>https://utrucking.com/admin/orders/6442972348604</t>
  </si>
  <si>
    <t>#17750</t>
  </si>
  <si>
    <t>j.m.ross@wustl.edu</t>
  </si>
  <si>
    <t>Amy B. Ross</t>
  </si>
  <si>
    <t>3rd floor</t>
  </si>
  <si>
    <t xml:space="preserve"> When will the boxes be dropped off?</t>
  </si>
  <si>
    <t>Jonathan Ross</t>
  </si>
  <si>
    <t>https://utrucking.com/admin/orders/6443137564860</t>
  </si>
  <si>
    <t>#17751</t>
  </si>
  <si>
    <t>mayatylis05@gmail.com</t>
  </si>
  <si>
    <t>6105 Waterman Blvd</t>
  </si>
  <si>
    <t>https://utrucking.com/admin/orders/6443207590076</t>
  </si>
  <si>
    <t>#17752</t>
  </si>
  <si>
    <t>Natalia.galicot18@gmail.com</t>
  </si>
  <si>
    <t>Natalia Galicot</t>
  </si>
  <si>
    <t>La Jolla</t>
  </si>
  <si>
    <t>1061</t>
  </si>
  <si>
    <t>https://utrucking.com/admin/orders/6443212767420</t>
  </si>
  <si>
    <t>#17753</t>
  </si>
  <si>
    <t>i.r.sonneborn@wustl.edu</t>
  </si>
  <si>
    <t>3070-3072</t>
  </si>
  <si>
    <t xml:space="preserve">41‬57474619  </t>
  </si>
  <si>
    <t>https://utrucking.com/admin/orders/6443226235068</t>
  </si>
  <si>
    <t>#17754</t>
  </si>
  <si>
    <t>aimirsky@yahoo.com</t>
  </si>
  <si>
    <t>DECATUR</t>
  </si>
  <si>
    <t xml:space="preserve">404-216-3687  </t>
  </si>
  <si>
    <t>https://utrucking.com/admin/orders/6443226267836</t>
  </si>
  <si>
    <t>#17755</t>
  </si>
  <si>
    <t>https://utrucking.com/admin/orders/6443229315260</t>
  </si>
  <si>
    <t>#17756</t>
  </si>
  <si>
    <t>Andrew Rosenberg</t>
  </si>
  <si>
    <t>012-C</t>
  </si>
  <si>
    <t xml:space="preserve"> Please deliver the kits by Thursday, May 1st</t>
  </si>
  <si>
    <t>https://utrucking.com/admin/orders/6443250090172</t>
  </si>
  <si>
    <t>#17757</t>
  </si>
  <si>
    <t>https://utrucking.com/admin/orders/6443363205308</t>
  </si>
  <si>
    <t>#17758</t>
  </si>
  <si>
    <t>schulted@mac.com</t>
  </si>
  <si>
    <t xml:space="preserve">917-710-0102  </t>
  </si>
  <si>
    <t>https://utrucking.com/admin/orders/6443417796796</t>
  </si>
  <si>
    <t>#17759</t>
  </si>
  <si>
    <t>avni.kajaria29@gmail.com</t>
  </si>
  <si>
    <t>Avni Kajaria</t>
  </si>
  <si>
    <t>https://utrucking.com/admin/orders/6443545952444</t>
  </si>
  <si>
    <t>#17760</t>
  </si>
  <si>
    <t>zihanz@wustl.edu</t>
  </si>
  <si>
    <t>Rita Zhou</t>
  </si>
  <si>
    <t>3333</t>
  </si>
  <si>
    <t>https://utrucking.com/admin/orders/6443617714364</t>
  </si>
  <si>
    <t>#17761</t>
  </si>
  <si>
    <t>dianazeldin@gmail.com</t>
  </si>
  <si>
    <t>Diana Zeldin</t>
  </si>
  <si>
    <t>Arianna Zeldin</t>
  </si>
  <si>
    <t>https://utrucking.com/admin/orders/6443659493564</t>
  </si>
  <si>
    <t>#17762</t>
  </si>
  <si>
    <t>303 A</t>
  </si>
  <si>
    <t xml:space="preserve">1045 Park Ave Apt 2AB
New York, NY 10028 </t>
  </si>
  <si>
    <t>https://utrucking.com/admin/orders/6443724636348</t>
  </si>
  <si>
    <t>#17763</t>
  </si>
  <si>
    <t>ilanroi2618@gmail.com</t>
  </si>
  <si>
    <t>Alan Roisenfeld</t>
  </si>
  <si>
    <t>Davie</t>
  </si>
  <si>
    <t xml:space="preserve">Ilan Roisenfeld </t>
  </si>
  <si>
    <t>https://utrucking.com/admin/orders/6443859607740</t>
  </si>
  <si>
    <t>#17764</t>
  </si>
  <si>
    <t>h.yujin@wustl.edu</t>
  </si>
  <si>
    <t>Zerui Wang</t>
  </si>
  <si>
    <t>605 Leland Ave, University City, MO, 63130; University Squares Apartment</t>
  </si>
  <si>
    <t>Yujin He</t>
  </si>
  <si>
    <t>https://utrucking.com/admin/orders/6443889033404</t>
  </si>
  <si>
    <t>#17765</t>
  </si>
  <si>
    <t>caseyference7@gmail.com</t>
  </si>
  <si>
    <t xml:space="preserve">8 John Street
Demarest, NJ 07627 </t>
  </si>
  <si>
    <t xml:space="preserve">(917) 733-1526  </t>
  </si>
  <si>
    <t>https://utrucking.com/admin/orders/6443924619452</t>
  </si>
  <si>
    <t>#17766</t>
  </si>
  <si>
    <t>adrianryanpayne@gmail.com</t>
  </si>
  <si>
    <t>Adrian Payne</t>
  </si>
  <si>
    <t>205-a</t>
  </si>
  <si>
    <t>https://utrucking.com/admin/orders/6443952308412</t>
  </si>
  <si>
    <t>#17767</t>
  </si>
  <si>
    <t xml:space="preserve">66 Leonard street 9b
New York, NY 10013 </t>
  </si>
  <si>
    <t>Mia Galpern</t>
  </si>
  <si>
    <t>https://utrucking.com/admin/orders/6444060049596</t>
  </si>
  <si>
    <t>#17768</t>
  </si>
  <si>
    <t>rebeccagodoy802@gmail.com</t>
  </si>
  <si>
    <t>Rebecca Godoy</t>
  </si>
  <si>
    <t>Hermiston</t>
  </si>
  <si>
    <t>97838-9460</t>
  </si>
  <si>
    <t>https://utrucking.com/admin/orders/6444082790588</t>
  </si>
  <si>
    <t>#17769</t>
  </si>
  <si>
    <t>k.lucia@wustl.edu</t>
  </si>
  <si>
    <t>Julia Rodriguez</t>
  </si>
  <si>
    <t>351</t>
  </si>
  <si>
    <t>Lucia Kreimont</t>
  </si>
  <si>
    <t>https://utrucking.com/admin/orders/6444089376956</t>
  </si>
  <si>
    <t>#17770</t>
  </si>
  <si>
    <t>mxiaoyang@wustl.edu</t>
  </si>
  <si>
    <t>Xiaoyang Mao</t>
  </si>
  <si>
    <t>3N-A</t>
  </si>
  <si>
    <t>6053 Waterman Blvd</t>
  </si>
  <si>
    <t>Mark Mao</t>
  </si>
  <si>
    <t>https://utrucking.com/admin/orders/6444142985404</t>
  </si>
  <si>
    <t>#17771</t>
  </si>
  <si>
    <t>garciay@wustl.edu</t>
  </si>
  <si>
    <t>Yuridia Garcia</t>
  </si>
  <si>
    <t>El Paso</t>
  </si>
  <si>
    <t>https://utrucking.com/admin/orders/6444145770684</t>
  </si>
  <si>
    <t>#17772</t>
  </si>
  <si>
    <t>ashayna@wustl.edu</t>
  </si>
  <si>
    <t>Shayna Aidasani</t>
  </si>
  <si>
    <t xml:space="preserve">832-520-4933  </t>
  </si>
  <si>
    <t>https://utrucking.com/admin/orders/6444179914940</t>
  </si>
  <si>
    <t>#17773</t>
  </si>
  <si>
    <t>c.taina@wustl.edu</t>
  </si>
  <si>
    <t>Taina Cepeda</t>
  </si>
  <si>
    <t>https://utrucking.com/admin/orders/6444433408188</t>
  </si>
  <si>
    <t>#17774</t>
  </si>
  <si>
    <t>Yeniley Winfrey</t>
  </si>
  <si>
    <t>https://utrucking.com/admin/orders/6444639748284</t>
  </si>
  <si>
    <t>#17775</t>
  </si>
  <si>
    <t>a.f.adams@wustl.edu</t>
  </si>
  <si>
    <t>Alexandra Adams</t>
  </si>
  <si>
    <t>3050</t>
  </si>
  <si>
    <t>Alexandra (Alex) Adams</t>
  </si>
  <si>
    <t>https://utrucking.com/admin/orders/6444735168700</t>
  </si>
  <si>
    <t>#17776</t>
  </si>
  <si>
    <t>a.burakiewicz@wustl.edu</t>
  </si>
  <si>
    <t>https://utrucking.com/admin/orders/6444743983292</t>
  </si>
  <si>
    <t>#17777</t>
  </si>
  <si>
    <t>a.c.hansen@wustl.edu</t>
  </si>
  <si>
    <t>Andie Hansen</t>
  </si>
  <si>
    <t>3080</t>
  </si>
  <si>
    <t>https://admin.shopify.com/store/utrucking/orders/6444753060028?link_source=search</t>
  </si>
  <si>
    <t>#17778</t>
  </si>
  <si>
    <t>coco.zhang@wustl.edu</t>
  </si>
  <si>
    <t>314-240-0505</t>
  </si>
  <si>
    <t>Coco Zhang</t>
  </si>
  <si>
    <t>https://utrucking.com/admin/orders/6444773867708</t>
  </si>
  <si>
    <t>#17779</t>
  </si>
  <si>
    <t>2W-C</t>
  </si>
  <si>
    <t>https://utrucking.com/admin/orders/6444810141884</t>
  </si>
  <si>
    <t>#17780</t>
  </si>
  <si>
    <t>charlesmaxelliii2025@gmail.com</t>
  </si>
  <si>
    <t>https://utrucking.com/admin/orders/6444839895228</t>
  </si>
  <si>
    <t>#17781</t>
  </si>
  <si>
    <t>Naveli Sigh</t>
  </si>
  <si>
    <t>https://utrucking.com/admin/orders/6444848513212</t>
  </si>
  <si>
    <t>#17782</t>
  </si>
  <si>
    <t>sophiebongiorno@gmail.com</t>
  </si>
  <si>
    <t>Kelly Stiles</t>
  </si>
  <si>
    <t>Sophie Bongiorno</t>
  </si>
  <si>
    <t>https://utrucking.com/admin/orders/6444879413436</t>
  </si>
  <si>
    <t>#17783</t>
  </si>
  <si>
    <t>https://utrucking.com/admin/orders/6444906971324</t>
  </si>
  <si>
    <t>#17784</t>
  </si>
  <si>
    <t>arynnseo123@gmail.com</t>
  </si>
  <si>
    <t>Arynn Seo</t>
  </si>
  <si>
    <t xml:space="preserve"> Drop off at Everly on the Loop</t>
  </si>
  <si>
    <t>https://utrucking.com/admin/orders/6444914573500</t>
  </si>
  <si>
    <t>#17785</t>
  </si>
  <si>
    <t>e.a.pease@wustl.edu</t>
  </si>
  <si>
    <t>Scott Pease</t>
  </si>
  <si>
    <t>2023</t>
  </si>
  <si>
    <t>Elisabeth Pease</t>
  </si>
  <si>
    <t>https://utrucking.com/admin/orders/6444917129404</t>
  </si>
  <si>
    <t>#17786</t>
  </si>
  <si>
    <t>o.g.stokely@wustl.edu</t>
  </si>
  <si>
    <t>Olivia Stokely</t>
  </si>
  <si>
    <t>Hertfordshire</t>
  </si>
  <si>
    <t>SG10 6EB</t>
  </si>
  <si>
    <t>https://utrucking.com/admin/orders/6444917620924</t>
  </si>
  <si>
    <t>#17787</t>
  </si>
  <si>
    <t>hannah.seo@wustl.edu</t>
  </si>
  <si>
    <t>Hannah Seo</t>
  </si>
  <si>
    <t>326</t>
  </si>
  <si>
    <t>https://utrucking.com/admin/orders/6444939378876</t>
  </si>
  <si>
    <t>#17788</t>
  </si>
  <si>
    <t>https://utrucking.com/admin/orders/6444973260988</t>
  </si>
  <si>
    <t>#17789</t>
  </si>
  <si>
    <t>ainlee330@gmail.com</t>
  </si>
  <si>
    <t>Evelyn Lee</t>
  </si>
  <si>
    <t>https://utrucking.com/admin/orders/6445014941884</t>
  </si>
  <si>
    <t>#17790</t>
  </si>
  <si>
    <t>saydee.star@gmail.com</t>
  </si>
  <si>
    <t>Saydee Star</t>
  </si>
  <si>
    <t>010</t>
  </si>
  <si>
    <t xml:space="preserve">457 Old Sleepy Hollow Rd
Pleasantville, NY 10570 </t>
  </si>
  <si>
    <t>https://utrucking.com/admin/orders/6445020709052</t>
  </si>
  <si>
    <t>#17791</t>
  </si>
  <si>
    <t>r.d.rivera@wustl.edu</t>
  </si>
  <si>
    <t>Ruel Ryan Rivera</t>
  </si>
  <si>
    <t>https://utrucking.com/admin/orders/6445042663612</t>
  </si>
  <si>
    <t>#17792</t>
  </si>
  <si>
    <t>https://utrucking.com/admin/orders/6445102858428</t>
  </si>
  <si>
    <t>#17793</t>
  </si>
  <si>
    <t>leehyunseo0224@gmail.com</t>
  </si>
  <si>
    <t>Aileen Lee</t>
  </si>
  <si>
    <t>https://utrucking.com/admin/orders/6445168918716</t>
  </si>
  <si>
    <t>#17795</t>
  </si>
  <si>
    <t>chwang1007@gmail.com</t>
  </si>
  <si>
    <t>Chloe Hwang</t>
  </si>
  <si>
    <t>https://utrucking.com/admin/orders/6445197459644</t>
  </si>
  <si>
    <t>#17796</t>
  </si>
  <si>
    <t xml:space="preserve"> 2 Residential Apartment  - </t>
  </si>
  <si>
    <t xml:space="preserve">  Nemerov 10004</t>
  </si>
  <si>
    <t xml:space="preserve"> 6105 Delmar Blvd. Apt 1008, Saint Louis, MO 63112</t>
  </si>
  <si>
    <t xml:space="preserve">The apartment unit is the 10th floor.  </t>
  </si>
  <si>
    <t xml:space="preserve"> Joyce Lin</t>
  </si>
  <si>
    <t>https://utrucking.com/admin/orders/6445338919100</t>
  </si>
  <si>
    <t>#17797</t>
  </si>
  <si>
    <t xml:space="preserve">7019 Northmoor drive </t>
  </si>
  <si>
    <t>https://utrucking.com/admin/orders/6445352222908</t>
  </si>
  <si>
    <t>#17798</t>
  </si>
  <si>
    <t>michael.tianyue.zhang@gmail.com</t>
  </si>
  <si>
    <t>MIchael Zhang</t>
  </si>
  <si>
    <t>Shanghai</t>
  </si>
  <si>
    <t xml:space="preserve"> Shepley - 3034 - a   is the dorm I live for the fall semester. Please deliver to that dorm.</t>
  </si>
  <si>
    <t>Michael Zhang</t>
  </si>
  <si>
    <t>https://utrucking.com/admin/orders/6445425131708</t>
  </si>
  <si>
    <t>#17799</t>
  </si>
  <si>
    <t>Ali Sharifi</t>
  </si>
  <si>
    <t>https://utrucking.com/admin/orders/6445473464508</t>
  </si>
  <si>
    <t>#17800</t>
  </si>
  <si>
    <t>heberrr.moralesss@gmail.com</t>
  </si>
  <si>
    <t>Heber Morales</t>
  </si>
  <si>
    <t>Oklahoma City</t>
  </si>
  <si>
    <t>4524</t>
  </si>
  <si>
    <t>Antonio Morales</t>
  </si>
  <si>
    <t>https://utrucking.com/admin/orders/6445803700412</t>
  </si>
  <si>
    <t>#17801</t>
  </si>
  <si>
    <t>https://utrucking.com/admin/orders/6445814481084</t>
  </si>
  <si>
    <t>#17802</t>
  </si>
  <si>
    <t xml:space="preserve">Hayden and Izzy Linsky </t>
  </si>
  <si>
    <t>https://utrucking.com/admin/orders/6445826638012</t>
  </si>
  <si>
    <t>#17803</t>
  </si>
  <si>
    <t>https://utrucking.com/admin/orders/6445837975740</t>
  </si>
  <si>
    <t>#17804</t>
  </si>
  <si>
    <t>Lewis Rand</t>
  </si>
  <si>
    <t>https://utrucking.com/admin/orders/6445838074044</t>
  </si>
  <si>
    <t>#17805</t>
  </si>
  <si>
    <t>https://utrucking.com/admin/orders/6445838991548</t>
  </si>
  <si>
    <t>#17806</t>
  </si>
  <si>
    <t>parschmikell@gmail.com</t>
  </si>
  <si>
    <t>Mikell Rigg Parsch</t>
  </si>
  <si>
    <t>Clearwater Beach</t>
  </si>
  <si>
    <t>344A</t>
  </si>
  <si>
    <t xml:space="preserve">443-223-7545  </t>
  </si>
  <si>
    <t>https://utrucking.com/admin/orders/6445839417532</t>
  </si>
  <si>
    <t>#17807</t>
  </si>
  <si>
    <t>Gretchen McCarey</t>
  </si>
  <si>
    <t>Geneva</t>
  </si>
  <si>
    <t>https://utrucking.com/admin/orders/6445840957628</t>
  </si>
  <si>
    <t>#17808</t>
  </si>
  <si>
    <t>Seal Beach</t>
  </si>
  <si>
    <t>https://utrucking.com/admin/orders/6445841875132</t>
  </si>
  <si>
    <t>#17809</t>
  </si>
  <si>
    <t>https://utrucking.com/admin/orders/6445844562108</t>
  </si>
  <si>
    <t>#17810</t>
  </si>
  <si>
    <t>Jacqueline Kershner</t>
  </si>
  <si>
    <t>https://utrucking.com/admin/orders/6445847806140</t>
  </si>
  <si>
    <t>#17811</t>
  </si>
  <si>
    <t>https://utrucking.com/admin/orders/6445855342780</t>
  </si>
  <si>
    <t>#17812</t>
  </si>
  <si>
    <t>https://utrucking.com/admin/orders/6445855768764</t>
  </si>
  <si>
    <t>#17813</t>
  </si>
  <si>
    <t>e.podvalny@wustl.edu</t>
  </si>
  <si>
    <t>4120 Suite (Room 4123)</t>
  </si>
  <si>
    <t>https://utrucking.com/admin/orders/6445860487356</t>
  </si>
  <si>
    <t>#17814</t>
  </si>
  <si>
    <t>https://utrucking.com/admin/orders/6445863108796</t>
  </si>
  <si>
    <t>#17815</t>
  </si>
  <si>
    <t>https://utrucking.com/admin/orders/6445865631932</t>
  </si>
  <si>
    <t>#17816</t>
  </si>
  <si>
    <t>Jack Stanley</t>
  </si>
  <si>
    <t>https://utrucking.com/admin/orders/6445866975420</t>
  </si>
  <si>
    <t>#17817</t>
  </si>
  <si>
    <t>shunny06@naver.com</t>
  </si>
  <si>
    <t>Eunho Lee</t>
  </si>
  <si>
    <t xml:space="preserve">(314)599-7738  </t>
  </si>
  <si>
    <t>https://utrucking.com/admin/orders/6445872709820</t>
  </si>
  <si>
    <t>#17818</t>
  </si>
  <si>
    <t>https://utrucking.com/admin/orders/6445873823932</t>
  </si>
  <si>
    <t>#17819</t>
  </si>
  <si>
    <t>https://utrucking.com/admin/orders/6445876904124</t>
  </si>
  <si>
    <t>#17820</t>
  </si>
  <si>
    <t>ettalapatra@gmail.com</t>
  </si>
  <si>
    <t>Sunit Talapatra</t>
  </si>
  <si>
    <t>Ethan Talapatra</t>
  </si>
  <si>
    <t>https://utrucking.com/admin/orders/6445877264572</t>
  </si>
  <si>
    <t>#17821</t>
  </si>
  <si>
    <t>ciela@wustl.edu</t>
  </si>
  <si>
    <t xml:space="preserve">Ciela Stillings </t>
  </si>
  <si>
    <t>https://utrucking.com/admin/orders/6445879034044</t>
  </si>
  <si>
    <t>#17822</t>
  </si>
  <si>
    <t>https://utrucking.com/admin/orders/6445885948092</t>
  </si>
  <si>
    <t>#17823</t>
  </si>
  <si>
    <t>https://utrucking.com/admin/orders/6445888438460</t>
  </si>
  <si>
    <t>#17824</t>
  </si>
  <si>
    <t>https://utrucking.com/admin/orders/6445890928828</t>
  </si>
  <si>
    <t>#17825</t>
  </si>
  <si>
    <t xml:space="preserve">Suite 220 </t>
  </si>
  <si>
    <t xml:space="preserve">312-834-1503  </t>
  </si>
  <si>
    <t>https://utrucking.com/admin/orders/6445898727612</t>
  </si>
  <si>
    <t>#17826</t>
  </si>
  <si>
    <t>maulichawla.08@gmail.com</t>
  </si>
  <si>
    <t>SUGAR LAND</t>
  </si>
  <si>
    <t>https://utrucking.com/admin/orders/6445912228028</t>
  </si>
  <si>
    <t>#17827</t>
  </si>
  <si>
    <t>anastasia.k.jones01@gmail.com</t>
  </si>
  <si>
    <t>https://utrucking.com/admin/orders/6445919469756</t>
  </si>
  <si>
    <t>#17828</t>
  </si>
  <si>
    <t>cohn.d@wustl.edu</t>
  </si>
  <si>
    <t>Dana Cohn</t>
  </si>
  <si>
    <t>https://utrucking.com/admin/orders/6445928612028</t>
  </si>
  <si>
    <t>#17829</t>
  </si>
  <si>
    <t>https://utrucking.com/admin/orders/6445929988284</t>
  </si>
  <si>
    <t>#17830</t>
  </si>
  <si>
    <t>Bennett Shin</t>
  </si>
  <si>
    <t>https://utrucking.com/admin/orders/6445942538428</t>
  </si>
  <si>
    <t>#17831</t>
  </si>
  <si>
    <t>https://utrucking.com/admin/orders/6445951058108</t>
  </si>
  <si>
    <t>#17832</t>
  </si>
  <si>
    <t>zoerochester1@gmail.com</t>
  </si>
  <si>
    <t>https://utrucking.com/admin/orders/6445951647932</t>
  </si>
  <si>
    <t>#17833</t>
  </si>
  <si>
    <t>https://utrucking.com/admin/orders/6445965410492</t>
  </si>
  <si>
    <t>#17834</t>
  </si>
  <si>
    <t>150</t>
  </si>
  <si>
    <t>Kate Burns</t>
  </si>
  <si>
    <t>https://utrucking.com/admin/orders/6445969244348</t>
  </si>
  <si>
    <t>#17835</t>
  </si>
  <si>
    <t>l.e.lewis@wustl.edu</t>
  </si>
  <si>
    <t>Willow Sanchez</t>
  </si>
  <si>
    <t>2013</t>
  </si>
  <si>
    <t>Lana Lewis</t>
  </si>
  <si>
    <t>https://utrucking.com/admin/orders/6445976584380</t>
  </si>
  <si>
    <t>#17836</t>
  </si>
  <si>
    <t xml:space="preserve">646-832-8376  </t>
  </si>
  <si>
    <t>https://utrucking.com/admin/orders/6445987201212</t>
  </si>
  <si>
    <t>#17837</t>
  </si>
  <si>
    <t>sophia_acker@icloud.com</t>
  </si>
  <si>
    <t>Christy Castro</t>
  </si>
  <si>
    <t>Belvedere</t>
  </si>
  <si>
    <t>Sophia Acker</t>
  </si>
  <si>
    <t>https://utrucking.com/admin/orders/6446019150012</t>
  </si>
  <si>
    <t>#17838</t>
  </si>
  <si>
    <t>https://utrucking.com/admin/orders/6446035468476</t>
  </si>
  <si>
    <t>#17839</t>
  </si>
  <si>
    <t>https://utrucking.com/admin/orders/6446046740668</t>
  </si>
  <si>
    <t>#17840</t>
  </si>
  <si>
    <t>https://utrucking.com/admin/orders/6446072725692</t>
  </si>
  <si>
    <t>#17841</t>
  </si>
  <si>
    <t>Erik Haggstrom</t>
  </si>
  <si>
    <t>2032</t>
  </si>
  <si>
    <t>https://utrucking.com/admin/orders/6446156513468</t>
  </si>
  <si>
    <t>#17842</t>
  </si>
  <si>
    <t>Park 231</t>
  </si>
  <si>
    <t xml:space="preserve">4123 Sudbrook Sq East
New Albany, OH 43054 </t>
  </si>
  <si>
    <t xml:space="preserve"> You are welcome to come pick them up when you're ready. We are moving him out on May 6th. </t>
  </si>
  <si>
    <t>Isaac Payne</t>
  </si>
  <si>
    <t>https://utrucking.com/admin/orders/6446158381244</t>
  </si>
  <si>
    <t>#17843</t>
  </si>
  <si>
    <t>https://utrucking.com/admin/orders/6446162870460</t>
  </si>
  <si>
    <t>#17844</t>
  </si>
  <si>
    <t>1010</t>
  </si>
  <si>
    <t>https://utrucking.com/admin/orders/6446174372028</t>
  </si>
  <si>
    <t>#17845</t>
  </si>
  <si>
    <t>https://utrucking.com/admin/orders/6446175846588</t>
  </si>
  <si>
    <t>#17846</t>
  </si>
  <si>
    <t>https://utrucking.com/admin/orders/6446188626108</t>
  </si>
  <si>
    <t>#17847</t>
  </si>
  <si>
    <t>Charles</t>
  </si>
  <si>
    <t>https://utrucking.com/admin/orders/6446196785340</t>
  </si>
  <si>
    <t>#17848</t>
  </si>
  <si>
    <t>cmbaltimore@icloud.com</t>
  </si>
  <si>
    <t>Cooper Baltimore</t>
  </si>
  <si>
    <t>Columbus</t>
  </si>
  <si>
    <t>Cooper</t>
  </si>
  <si>
    <t>https://utrucking.com/admin/orders/6446197276860</t>
  </si>
  <si>
    <t>#17849</t>
  </si>
  <si>
    <t>24diyam@gmail.com</t>
  </si>
  <si>
    <t>Diya Mukherjee</t>
  </si>
  <si>
    <t>https://utrucking.com/admin/orders/6446211367100</t>
  </si>
  <si>
    <t>#17850</t>
  </si>
  <si>
    <t>jackvein@icloud.com</t>
  </si>
  <si>
    <t>6669 Washington Avenue Apartment 102
St. Louis, MO 63130</t>
  </si>
  <si>
    <t xml:space="preserve">101 North Las Palmas Ave
Los Angeles, CA 90004 </t>
  </si>
  <si>
    <t>https://utrucking.com/admin/orders/6446218346684</t>
  </si>
  <si>
    <t>#17851</t>
  </si>
  <si>
    <t>sarahjrosen@hotmail.com</t>
  </si>
  <si>
    <t>Sarah Kukafka</t>
  </si>
  <si>
    <t>Cherry Hill</t>
  </si>
  <si>
    <t xml:space="preserve"> $500 of Additional Coverage   - </t>
  </si>
  <si>
    <t>10 Carrington Court
Woodcliff Lake, NJ 07677</t>
  </si>
  <si>
    <t xml:space="preserve"> Please mail U Trucking kit (the boxes etc) to the following address, not the pick-up address:
8 Thoreau Court
Cherry Hill, NJ 08003
Thanks!  </t>
  </si>
  <si>
    <t>Max Kukafka</t>
  </si>
  <si>
    <t>https://utrucking.com/admin/orders/6446238204092</t>
  </si>
  <si>
    <t>#17852</t>
  </si>
  <si>
    <t>282</t>
  </si>
  <si>
    <t>https://utrucking.com/admin/orders/6446262091964</t>
  </si>
  <si>
    <t>#17853</t>
  </si>
  <si>
    <t xml:space="preserve">Eli Jubelirer </t>
  </si>
  <si>
    <t>https://utrucking.com/admin/orders/6446266777788</t>
  </si>
  <si>
    <t>#17854</t>
  </si>
  <si>
    <t>j.i.meyer@wustl.edu</t>
  </si>
  <si>
    <t>Liggett 3361</t>
  </si>
  <si>
    <t>https://utrucking.com/admin/orders/6446266941628</t>
  </si>
  <si>
    <t>#17855</t>
  </si>
  <si>
    <t>Jennifer Russell</t>
  </si>
  <si>
    <t>97229-2650</t>
  </si>
  <si>
    <t>https://utrucking.com/admin/orders/6446270021820</t>
  </si>
  <si>
    <t>#17856</t>
  </si>
  <si>
    <t>j.h.rifkin@wustl.edu</t>
  </si>
  <si>
    <t>Joshua Rifkin</t>
  </si>
  <si>
    <t>1105</t>
  </si>
  <si>
    <t>https://utrucking.com/admin/orders/6446270218428</t>
  </si>
  <si>
    <t>#17857</t>
  </si>
  <si>
    <t>Kannan Kathiresan</t>
  </si>
  <si>
    <t>Shrewsbury</t>
  </si>
  <si>
    <t>3023-a</t>
  </si>
  <si>
    <t>https://utrucking.com/admin/orders/6446271987900</t>
  </si>
  <si>
    <t>#17858</t>
  </si>
  <si>
    <t>jonathan.m.ross2024@gmail.com</t>
  </si>
  <si>
    <t>https://utrucking.com/admin/orders/6446289682620</t>
  </si>
  <si>
    <t>#17859</t>
  </si>
  <si>
    <t xml:space="preserve">Riley Keum </t>
  </si>
  <si>
    <t>https://utrucking.com/admin/orders/6446295122108</t>
  </si>
  <si>
    <t>#17860</t>
  </si>
  <si>
    <t>darcey.edwards77@icloud.com</t>
  </si>
  <si>
    <t>https://utrucking.com/admin/orders/6446301348028</t>
  </si>
  <si>
    <t>#17861</t>
  </si>
  <si>
    <t>bronwynh@wustl.edu</t>
  </si>
  <si>
    <t xml:space="preserve">4413 W University Blvd, Dallas, TX 75209 </t>
  </si>
  <si>
    <t>Bronwyn Hamilton-Evans</t>
  </si>
  <si>
    <t>https://utrucking.com/admin/orders/6446301380796</t>
  </si>
  <si>
    <t>#17862</t>
  </si>
  <si>
    <t>tamarlefko@gmail.com</t>
  </si>
  <si>
    <t xml:space="preserve">914-980-4204  </t>
  </si>
  <si>
    <t>https://utrucking.com/admin/orders/6446308851900</t>
  </si>
  <si>
    <t>#17863</t>
  </si>
  <si>
    <t>https://utrucking.com/admin/orders/6446309408956</t>
  </si>
  <si>
    <t>#17864</t>
  </si>
  <si>
    <t>(561) 843-4709</t>
  </si>
  <si>
    <t>Ana Villa</t>
  </si>
  <si>
    <t>Boynton beach</t>
  </si>
  <si>
    <t>https://utrucking.com/admin/orders/6446311538876</t>
  </si>
  <si>
    <t>#17865</t>
  </si>
  <si>
    <t>murphy.n@wustl.edu</t>
  </si>
  <si>
    <t>https://utrucking.com/admin/orders/6446318977212</t>
  </si>
  <si>
    <t>#17866</t>
  </si>
  <si>
    <t>cao.kevin@wustl.edu</t>
  </si>
  <si>
    <t>Kevin Cao</t>
  </si>
  <si>
    <t>33</t>
  </si>
  <si>
    <t>https://utrucking.com/admin/orders/6446328283324</t>
  </si>
  <si>
    <t>#17867</t>
  </si>
  <si>
    <t>Tea Delic</t>
  </si>
  <si>
    <t>https://utrucking.com/admin/orders/6446337458364</t>
  </si>
  <si>
    <t>#17868</t>
  </si>
  <si>
    <t>80220-5986</t>
  </si>
  <si>
    <t>https://utrucking.com/admin/orders/6446347026620</t>
  </si>
  <si>
    <t>#17869</t>
  </si>
  <si>
    <t xml:space="preserve">2331 </t>
  </si>
  <si>
    <t>https://utrucking.com/admin/orders/6446354563260</t>
  </si>
  <si>
    <t>#17870</t>
  </si>
  <si>
    <t>michelleherzlinger@gmail.com</t>
  </si>
  <si>
    <t>michelle herzlinger</t>
  </si>
  <si>
    <t>Gabriel Herzlinger</t>
  </si>
  <si>
    <t>https://utrucking.com/admin/orders/6446359740604</t>
  </si>
  <si>
    <t>#17871</t>
  </si>
  <si>
    <t>Michelle HERZLINGER</t>
  </si>
  <si>
    <t>Gabriel Isaac Herzlinger</t>
  </si>
  <si>
    <t xml:space="preserve">917-859-0611  </t>
  </si>
  <si>
    <t>https://utrucking.com/admin/orders/6446360821948</t>
  </si>
  <si>
    <t>#17872</t>
  </si>
  <si>
    <t xml:space="preserve">Bani Chandra </t>
  </si>
  <si>
    <t>https://utrucking.com/admin/orders/6446361542844</t>
  </si>
  <si>
    <t>#17873</t>
  </si>
  <si>
    <t>pshivam@wustl.edu</t>
  </si>
  <si>
    <t>Shivam Purohit</t>
  </si>
  <si>
    <t>4200 (my room is 4201)</t>
  </si>
  <si>
    <t>https://utrucking.com/admin/orders/6446362525884</t>
  </si>
  <si>
    <t>#17874</t>
  </si>
  <si>
    <t>jeremy.friedman.wellisch@gmail.com</t>
  </si>
  <si>
    <t>Jeremy Friedman-Wellisch</t>
  </si>
  <si>
    <t>https://utrucking.com/admin/orders/6446365016252</t>
  </si>
  <si>
    <t>#17875</t>
  </si>
  <si>
    <t>l.soeun@wustl.edu</t>
  </si>
  <si>
    <t>SANDY SPRINGS</t>
  </si>
  <si>
    <t>https://utrucking.com/admin/orders/6446368653500</t>
  </si>
  <si>
    <t>#17876</t>
  </si>
  <si>
    <t>julietquisenberry@icloud.com</t>
  </si>
  <si>
    <t>https://utrucking.com/admin/orders/6446387724476</t>
  </si>
  <si>
    <t>#17877</t>
  </si>
  <si>
    <t>justin.k@wustl.edu</t>
  </si>
  <si>
    <t>3120</t>
  </si>
  <si>
    <t>https://utrucking.com/admin/orders/6446397620412</t>
  </si>
  <si>
    <t>#17878</t>
  </si>
  <si>
    <t>https://utrucking.com/admin/orders/6446432125116</t>
  </si>
  <si>
    <t>#17879</t>
  </si>
  <si>
    <t>https://utrucking.com/admin/orders/6446432583868</t>
  </si>
  <si>
    <t>#17880</t>
  </si>
  <si>
    <t>a.basler@wustl.edu</t>
  </si>
  <si>
    <t>https://utrucking.com/admin/orders/6446433435836</t>
  </si>
  <si>
    <t>#17881</t>
  </si>
  <si>
    <t xml:space="preserve">914 826 0095  </t>
  </si>
  <si>
    <t>https://utrucking.com/admin/orders/6446433861820</t>
  </si>
  <si>
    <t>#17882</t>
  </si>
  <si>
    <t>pop.s@wustl.edu</t>
  </si>
  <si>
    <t>Sebastian Pop</t>
  </si>
  <si>
    <t>Hawthorn Wds</t>
  </si>
  <si>
    <t>3164</t>
  </si>
  <si>
    <t>https://utrucking.com/admin/orders/6446434287804</t>
  </si>
  <si>
    <t>#17883</t>
  </si>
  <si>
    <t>jacksonrdickie@gmail.com</t>
  </si>
  <si>
    <t>https://utrucking.com/admin/orders/6446434418876</t>
  </si>
  <si>
    <t>#17884</t>
  </si>
  <si>
    <t>jessicaebroon@gmail.com</t>
  </si>
  <si>
    <t>https://utrucking.com/admin/orders/6446435041468</t>
  </si>
  <si>
    <t>#17885</t>
  </si>
  <si>
    <t>https://utrucking.com/admin/orders/6446435303612</t>
  </si>
  <si>
    <t>#17886</t>
  </si>
  <si>
    <t>Michelle Draznin</t>
  </si>
  <si>
    <t xml:space="preserve">Sophia Eison </t>
  </si>
  <si>
    <t>https://utrucking.com/admin/orders/6446435434684</t>
  </si>
  <si>
    <t>#17887</t>
  </si>
  <si>
    <t>https://utrucking.com/admin/orders/6446435729596</t>
  </si>
  <si>
    <t>#17888</t>
  </si>
  <si>
    <t>https://utrucking.com/admin/orders/6446436253884</t>
  </si>
  <si>
    <t>#17889</t>
  </si>
  <si>
    <t>eveangelinef@icloud.com</t>
  </si>
  <si>
    <t>https://utrucking.com/admin/orders/6446436319420</t>
  </si>
  <si>
    <t>#17890</t>
  </si>
  <si>
    <t>https://utrucking.com/admin/orders/6446436581564</t>
  </si>
  <si>
    <t>#17891</t>
  </si>
  <si>
    <t>https://utrucking.com/admin/orders/6446439596220</t>
  </si>
  <si>
    <t>#17892</t>
  </si>
  <si>
    <t>https://utrucking.com/admin/orders/6446441070780</t>
  </si>
  <si>
    <t>#17893</t>
  </si>
  <si>
    <t>jacqueline.l@wustl.edu</t>
  </si>
  <si>
    <t>https://utrucking.com/admin/orders/6446446608572</t>
  </si>
  <si>
    <t>#17894</t>
  </si>
  <si>
    <t>https://utrucking.com/admin/orders/6446450933948</t>
  </si>
  <si>
    <t>#17895</t>
  </si>
  <si>
    <t>https://utrucking.com/admin/orders/6446458798268</t>
  </si>
  <si>
    <t>#17896</t>
  </si>
  <si>
    <t>roshan.greene@gmail.com</t>
  </si>
  <si>
    <t>Roshan Greene</t>
  </si>
  <si>
    <t>2228</t>
  </si>
  <si>
    <t>https://utrucking.com/admin/orders/6446460502204</t>
  </si>
  <si>
    <t>#17897</t>
  </si>
  <si>
    <t>scmyers6@gmail.com</t>
  </si>
  <si>
    <t xml:space="preserve">617-595-7928  </t>
  </si>
  <si>
    <t>https://utrucking.com/admin/orders/6446484095164</t>
  </si>
  <si>
    <t>#17898</t>
  </si>
  <si>
    <t>russ_flicker@yahoo.com</t>
  </si>
  <si>
    <t>Benjamin Flicker</t>
  </si>
  <si>
    <t xml:space="preserve">914 584 1003  </t>
  </si>
  <si>
    <t>https://utrucking.com/admin/orders/6446485209276</t>
  </si>
  <si>
    <t>#17899</t>
  </si>
  <si>
    <t>nourshousha@gmail.com</t>
  </si>
  <si>
    <t>https://utrucking.com/admin/orders/6446488518844</t>
  </si>
  <si>
    <t>#17900</t>
  </si>
  <si>
    <t xml:space="preserve">(502) 888-5987  </t>
  </si>
  <si>
    <t>https://utrucking.com/admin/orders/6446491599036</t>
  </si>
  <si>
    <t>#17901</t>
  </si>
  <si>
    <t>portola valley</t>
  </si>
  <si>
    <t>https://utrucking.com/admin/orders/6446494384316</t>
  </si>
  <si>
    <t>#17902</t>
  </si>
  <si>
    <t>Zia Barfuss—Liao</t>
  </si>
  <si>
    <t>https://utrucking.com/admin/orders/6446497956028</t>
  </si>
  <si>
    <t>#17903</t>
  </si>
  <si>
    <t>Gabe Samek</t>
  </si>
  <si>
    <t>https://utrucking.com/admin/orders/6446499856572</t>
  </si>
  <si>
    <t>#17904</t>
  </si>
  <si>
    <t>https://utrucking.com/admin/orders/6446502346940</t>
  </si>
  <si>
    <t>#17905</t>
  </si>
  <si>
    <t>https://utrucking.com/admin/orders/6446502969532</t>
  </si>
  <si>
    <t>#17906</t>
  </si>
  <si>
    <t>cleo.gauthier@icloud.com</t>
  </si>
  <si>
    <t>https://utrucking.com/admin/orders/6446504083644</t>
  </si>
  <si>
    <t>#17907</t>
  </si>
  <si>
    <t>graa@wustl.edu</t>
  </si>
  <si>
    <t>https://utrucking.com/admin/orders/6446535573692</t>
  </si>
  <si>
    <t>#17908</t>
  </si>
  <si>
    <t>juleswm17@gmail.com</t>
  </si>
  <si>
    <t>https://utrucking.com/admin/orders/6446539276476</t>
  </si>
  <si>
    <t>#17909</t>
  </si>
  <si>
    <t>damaghi@wustl.edu</t>
  </si>
  <si>
    <t>0040</t>
  </si>
  <si>
    <t>https://utrucking.com/admin/orders/6446541013180</t>
  </si>
  <si>
    <t>#17910</t>
  </si>
  <si>
    <t>anya2mathur@gmail.com</t>
  </si>
  <si>
    <t>https://utrucking.com/admin/orders/6446549860540</t>
  </si>
  <si>
    <t>#17911</t>
  </si>
  <si>
    <t>tiffanie.nielsen@gmail.com</t>
  </si>
  <si>
    <t>Tiffanie West</t>
  </si>
  <si>
    <t xml:space="preserve">458-256-5639  </t>
  </si>
  <si>
    <t>https://utrucking.com/admin/orders/6446568865980</t>
  </si>
  <si>
    <t>#17912</t>
  </si>
  <si>
    <t>j.kat@wustl.edu</t>
  </si>
  <si>
    <t>Katherine James</t>
  </si>
  <si>
    <t>Kat James</t>
  </si>
  <si>
    <t>https://utrucking.com/admin/orders/6446573224124</t>
  </si>
  <si>
    <t>#17913</t>
  </si>
  <si>
    <t>diana.x@wustl.edu</t>
  </si>
  <si>
    <t>Diana Xiao</t>
  </si>
  <si>
    <t>https://utrucking.com/admin/orders/6446577483964</t>
  </si>
  <si>
    <t>#17914</t>
  </si>
  <si>
    <t>4th floor</t>
  </si>
  <si>
    <t>https://utrucking.com/admin/orders/6446583349436</t>
  </si>
  <si>
    <t>#17915</t>
  </si>
  <si>
    <t>ejbloom54@gmail.com</t>
  </si>
  <si>
    <t xml:space="preserve">Ethan Bloom </t>
  </si>
  <si>
    <t xml:space="preserve">917-935-5698  </t>
  </si>
  <si>
    <t>https://utrucking.com/admin/orders/6446603894972</t>
  </si>
  <si>
    <t>#17916</t>
  </si>
  <si>
    <t>p.song@wustl.edu</t>
  </si>
  <si>
    <t>Foliage Song</t>
  </si>
  <si>
    <t>https://utrucking.com/admin/orders/6446604517564</t>
  </si>
  <si>
    <t>#17917</t>
  </si>
  <si>
    <t>https://utrucking.com/admin/orders/6446609170620</t>
  </si>
  <si>
    <t>#17918</t>
  </si>
  <si>
    <t>https://utrucking.com/admin/orders/6446610448572</t>
  </si>
  <si>
    <t>#17919</t>
  </si>
  <si>
    <t xml:space="preserve">(808)492-0384  </t>
  </si>
  <si>
    <t>https://utrucking.com/admin/orders/6446614905020</t>
  </si>
  <si>
    <t>#17920</t>
  </si>
  <si>
    <t>https://utrucking.com/admin/orders/6446617133244</t>
  </si>
  <si>
    <t>#17921</t>
  </si>
  <si>
    <t>jasrd@verizon.net</t>
  </si>
  <si>
    <t>Natalie Stern</t>
  </si>
  <si>
    <t>Lena Stern</t>
  </si>
  <si>
    <t>https://utrucking.com/admin/orders/6446617952444</t>
  </si>
  <si>
    <t>#17922</t>
  </si>
  <si>
    <t>https://utrucking.com/admin/orders/6446618968252</t>
  </si>
  <si>
    <t>#17923</t>
  </si>
  <si>
    <t>https://utrucking.com/admin/orders/6446622474428</t>
  </si>
  <si>
    <t>#17924</t>
  </si>
  <si>
    <t xml:space="preserve"> Lucy is moving out on 5/3 but we will leave the fridge until exams are over (5/6) for her roommate to use.</t>
  </si>
  <si>
    <t xml:space="preserve">404-702-8088  </t>
  </si>
  <si>
    <t>https://utrucking.com/admin/orders/6446671626428</t>
  </si>
  <si>
    <t>#17925</t>
  </si>
  <si>
    <t>Maygol Sapra</t>
  </si>
  <si>
    <t xml:space="preserve">  Village East 2012A</t>
  </si>
  <si>
    <t xml:space="preserve"> 6843 Kingsbury Blvd</t>
  </si>
  <si>
    <t>Items being stored in basement of new apartment building.  Move to take place 4/28 at 2:30 pm</t>
  </si>
  <si>
    <t xml:space="preserve"> May Sapra </t>
  </si>
  <si>
    <t>https://utrucking.com/admin/orders/6446678278332</t>
  </si>
  <si>
    <t>#17926</t>
  </si>
  <si>
    <t>rowantieh@gmail.com</t>
  </si>
  <si>
    <t>Dante Corricello</t>
  </si>
  <si>
    <t xml:space="preserve">(408) 647-0869  </t>
  </si>
  <si>
    <t>https://utrucking.com/admin/orders/6446692335804</t>
  </si>
  <si>
    <t>#17927</t>
  </si>
  <si>
    <t>naomika.raveendran16@gmail.com</t>
  </si>
  <si>
    <t>Naomika Raveendran</t>
  </si>
  <si>
    <t xml:space="preserve"> I don't know where I'll be living next semester yet, but I will know my specific address by July at the latest. I will contact UTrucking with the address for the boxes to be delivered to as soon as I get this information.</t>
  </si>
  <si>
    <t xml:space="preserve">858-866-6205  </t>
  </si>
  <si>
    <t>https://utrucking.com/admin/orders/6446700101820</t>
  </si>
  <si>
    <t>#17928</t>
  </si>
  <si>
    <t xml:space="preserve">322 Central Park West
New York, NY 10025 </t>
  </si>
  <si>
    <t>https://utrucking.com/admin/orders/6446702231740</t>
  </si>
  <si>
    <t>#17929</t>
  </si>
  <si>
    <t>r.n.sugavanam@wustl.edu</t>
  </si>
  <si>
    <t>LA JOLLA</t>
  </si>
  <si>
    <t xml:space="preserve">7777 Starlight Drive, La Jolla, CA </t>
  </si>
  <si>
    <t>https://utrucking.com/admin/orders/6446726873276</t>
  </si>
  <si>
    <t>#17930</t>
  </si>
  <si>
    <t>m.nikki@wustl.edu</t>
  </si>
  <si>
    <t>https://utrucking.com/admin/orders/6446827831484</t>
  </si>
  <si>
    <t>#17932</t>
  </si>
  <si>
    <t>Songpa-gu</t>
  </si>
  <si>
    <t>https://utrucking.com/admin/orders/6446828224700</t>
  </si>
  <si>
    <t>#17933</t>
  </si>
  <si>
    <t>j.man@wustl.edu</t>
  </si>
  <si>
    <t>Man Ju</t>
  </si>
  <si>
    <t>Temple City</t>
  </si>
  <si>
    <t>Mandy Ju</t>
  </si>
  <si>
    <t>https://utrucking.com/admin/orders/6446857126076</t>
  </si>
  <si>
    <t>#17934</t>
  </si>
  <si>
    <t>tjwls3291224@gmail.com</t>
  </si>
  <si>
    <t>Seojin Kim</t>
  </si>
  <si>
    <t>Kemi Kim</t>
  </si>
  <si>
    <t>https://utrucking.com/admin/orders/6446867120316</t>
  </si>
  <si>
    <t>#17935</t>
  </si>
  <si>
    <t>c.yehyeon@wustl.edu</t>
  </si>
  <si>
    <t>ye hyeon chung</t>
  </si>
  <si>
    <t>190</t>
  </si>
  <si>
    <t xml:space="preserve">ye hyeon </t>
  </si>
  <si>
    <t>https://utrucking.com/admin/orders/6447035875516</t>
  </si>
  <si>
    <t>#17936</t>
  </si>
  <si>
    <t>bkahn@irvinkahn.com</t>
  </si>
  <si>
    <t>Noah Kahn</t>
  </si>
  <si>
    <t>https://utrucking.com/admin/orders/6447041675452</t>
  </si>
  <si>
    <t>#17937</t>
  </si>
  <si>
    <t>d.gabe@wustl.edu</t>
  </si>
  <si>
    <t>Gabriel Damiani</t>
  </si>
  <si>
    <t>Gabe Damiani</t>
  </si>
  <si>
    <t>https://utrucking.com/admin/orders/6447057338556</t>
  </si>
  <si>
    <t>#17938</t>
  </si>
  <si>
    <t>https://utrucking.com/admin/orders/6447059402940</t>
  </si>
  <si>
    <t>#17939</t>
  </si>
  <si>
    <t>jenn.e.caplan@gmail.com</t>
  </si>
  <si>
    <t>Sydney</t>
  </si>
  <si>
    <t xml:space="preserve">Caplan  </t>
  </si>
  <si>
    <t>https://utrucking.com/admin/orders/6447103115452</t>
  </si>
  <si>
    <t>#17940</t>
  </si>
  <si>
    <t>63105-2298</t>
  </si>
  <si>
    <t>https://utrucking.com/admin/orders/6447131033788</t>
  </si>
  <si>
    <t>#17943</t>
  </si>
  <si>
    <t>Rex Paster</t>
  </si>
  <si>
    <t>https://utrucking.com/admin/orders/6447142338748</t>
  </si>
  <si>
    <t>#17947</t>
  </si>
  <si>
    <t>Beth Mueller</t>
  </si>
  <si>
    <t xml:space="preserve">312-607-9817  </t>
  </si>
  <si>
    <t>https://utrucking.com/admin/orders/6447140339900</t>
  </si>
  <si>
    <t>#17946</t>
  </si>
  <si>
    <t>https://utrucking.com/admin/orders/6447130575036</t>
  </si>
  <si>
    <t>#17942</t>
  </si>
  <si>
    <t>98125-6217</t>
  </si>
  <si>
    <t>4000</t>
  </si>
  <si>
    <t>https://utrucking.com/admin/orders/6447117664444</t>
  </si>
  <si>
    <t>#17941</t>
  </si>
  <si>
    <t>noeschwartz@gmail.com</t>
  </si>
  <si>
    <t>4120</t>
  </si>
  <si>
    <t>https://utrucking.com/admin/orders/6447145582780</t>
  </si>
  <si>
    <t>#17948</t>
  </si>
  <si>
    <t>tillie141620@gmail.com</t>
  </si>
  <si>
    <t>Matilda Szwartz</t>
  </si>
  <si>
    <t xml:space="preserve">(215) 407-2456‬  </t>
  </si>
  <si>
    <t>https://utrucking.com/admin/orders/6447161114812</t>
  </si>
  <si>
    <t>#17949</t>
  </si>
  <si>
    <t>https://utrucking.com/admin/orders/6447168389308</t>
  </si>
  <si>
    <t>#17950</t>
  </si>
  <si>
    <t xml:space="preserve"> Move out day is not confirmed. Would I be able to change it?</t>
  </si>
  <si>
    <t xml:space="preserve">224-427-0022  </t>
  </si>
  <si>
    <t>https://utrucking.com/admin/orders/6447135686844</t>
  </si>
  <si>
    <t>#17944</t>
  </si>
  <si>
    <t xml:space="preserve">(917) 864-4551  </t>
  </si>
  <si>
    <t>https://utrucking.com/admin/orders/6447196242108</t>
  </si>
  <si>
    <t>#17951</t>
  </si>
  <si>
    <t>10025-5628</t>
  </si>
  <si>
    <t>https://utrucking.com/admin/orders/6447138144444</t>
  </si>
  <si>
    <t>#17945</t>
  </si>
  <si>
    <t xml:space="preserve">301-651-0637  </t>
  </si>
  <si>
    <t>https://utrucking.com/admin/orders/6447233958076</t>
  </si>
  <si>
    <t>#17952</t>
  </si>
  <si>
    <t>https://utrucking.com/admin/orders/6447274328252</t>
  </si>
  <si>
    <t>#17953</t>
  </si>
  <si>
    <t>e.b.lassner@wustl.edu</t>
  </si>
  <si>
    <t>Ethan Lassner</t>
  </si>
  <si>
    <t>1082</t>
  </si>
  <si>
    <t xml:space="preserve"> Pick up anytime after 12</t>
  </si>
  <si>
    <t>https://utrucking.com/admin/orders/6447280226492</t>
  </si>
  <si>
    <t>#17954</t>
  </si>
  <si>
    <t>Mariana Gonzalez Pina</t>
  </si>
  <si>
    <t>https://utrucking.com/admin/orders/6447301460156</t>
  </si>
  <si>
    <t>#17955</t>
  </si>
  <si>
    <t>https://utrucking.com/admin/orders/6447307751612</t>
  </si>
  <si>
    <t>#17956</t>
  </si>
  <si>
    <t>2290</t>
  </si>
  <si>
    <t>https://utrucking.com/admin/orders/6447309815996</t>
  </si>
  <si>
    <t>#17957</t>
  </si>
  <si>
    <t>d.lasky@wustl.edu</t>
  </si>
  <si>
    <t>https://utrucking.com/admin/orders/6447340650684</t>
  </si>
  <si>
    <t>#17958</t>
  </si>
  <si>
    <t>Maya Levine</t>
  </si>
  <si>
    <t>Chapel Hill</t>
  </si>
  <si>
    <t>https://utrucking.com/admin/orders/6447367717052</t>
  </si>
  <si>
    <t>#17959</t>
  </si>
  <si>
    <t>Cameron Hopkinson</t>
  </si>
  <si>
    <t xml:space="preserve">781 460 4648  </t>
  </si>
  <si>
    <t>https://utrucking.com/admin/orders/6447376466108</t>
  </si>
  <si>
    <t>#17961</t>
  </si>
  <si>
    <t>alexpantano2@gmail.com</t>
  </si>
  <si>
    <t>Shelby Township</t>
  </si>
  <si>
    <t>https://utrucking.com/admin/orders/6447372304572</t>
  </si>
  <si>
    <t>#17960</t>
  </si>
  <si>
    <t>goldberg.l@wustl.edu</t>
  </si>
  <si>
    <t>https://utrucking.com/admin/orders/6447381577916</t>
  </si>
  <si>
    <t>#17962</t>
  </si>
  <si>
    <t>emmettfajgenbaum@gmail.com</t>
  </si>
  <si>
    <t>https://utrucking.com/admin/orders/6447451013308</t>
  </si>
  <si>
    <t>#17967</t>
  </si>
  <si>
    <t>Maggie Helms</t>
  </si>
  <si>
    <t xml:space="preserve">312-330-8323  </t>
  </si>
  <si>
    <t>https://utrucking.com/admin/orders/6447399731388</t>
  </si>
  <si>
    <t>#17963</t>
  </si>
  <si>
    <t>Lakshmi Jayadev</t>
  </si>
  <si>
    <t>https://utrucking.com/admin/orders/6447486304444</t>
  </si>
  <si>
    <t>#17968</t>
  </si>
  <si>
    <t>Ada Karczmer</t>
  </si>
  <si>
    <t>https://utrucking.com/admin/orders/6447406088380</t>
  </si>
  <si>
    <t>#17964</t>
  </si>
  <si>
    <t>https://utrucking.com/admin/orders/6447536013500</t>
  </si>
  <si>
    <t>#17970</t>
  </si>
  <si>
    <t xml:space="preserve">415-384-1559  </t>
  </si>
  <si>
    <t>https://utrucking.com/admin/orders/6447439249596</t>
  </si>
  <si>
    <t>#17965</t>
  </si>
  <si>
    <t>L236B</t>
  </si>
  <si>
    <t>Gray A Rappoport</t>
  </si>
  <si>
    <t xml:space="preserve">310-221-1061  </t>
  </si>
  <si>
    <t>https://utrucking.com/admin/orders/6447442297020</t>
  </si>
  <si>
    <t>#17966</t>
  </si>
  <si>
    <t xml:space="preserve">XXX </t>
  </si>
  <si>
    <t>29 Beechwood Rd., Roslyn NY 11576</t>
  </si>
  <si>
    <t xml:space="preserve">Zachary Szerencsy </t>
  </si>
  <si>
    <t>https://utrucking.com/admin/orders/6447550070972</t>
  </si>
  <si>
    <t>#17971</t>
  </si>
  <si>
    <t>Tan 18 Misty Acres Rd</t>
  </si>
  <si>
    <t>2208a</t>
  </si>
  <si>
    <t>https://utrucking.com/admin/orders/6447522873532</t>
  </si>
  <si>
    <t>#17969</t>
  </si>
  <si>
    <t>2060</t>
  </si>
  <si>
    <t>https://utrucking.com/admin/orders/6447582576828</t>
  </si>
  <si>
    <t>#17973</t>
  </si>
  <si>
    <t>https://utrucking.com/admin/orders/6447587754172</t>
  </si>
  <si>
    <t>#17974</t>
  </si>
  <si>
    <t>2004-a</t>
  </si>
  <si>
    <t xml:space="preserve">(510) 304-3719  </t>
  </si>
  <si>
    <t>https://utrucking.com/admin/orders/6447580479676</t>
  </si>
  <si>
    <t>#17972</t>
  </si>
  <si>
    <t>SAN FRANCISCO</t>
  </si>
  <si>
    <t xml:space="preserve">415-819-9354  </t>
  </si>
  <si>
    <t>https://utrucking.com/admin/orders/6447613771964</t>
  </si>
  <si>
    <t>#17975</t>
  </si>
  <si>
    <t>melanie.r@wustl.edu</t>
  </si>
  <si>
    <t xml:space="preserve">Melanie Rodriguez </t>
  </si>
  <si>
    <t>https://utrucking.com/admin/orders/6447749071036</t>
  </si>
  <si>
    <t>#17977</t>
  </si>
  <si>
    <t>Biyu Sun</t>
  </si>
  <si>
    <t>Ava Sun</t>
  </si>
  <si>
    <t>https://utrucking.com/admin/orders/6447697854652</t>
  </si>
  <si>
    <t>#17976</t>
  </si>
  <si>
    <t xml:space="preserve">Talia Rothschild </t>
  </si>
  <si>
    <t>https://utrucking.com/admin/orders/6447750447292</t>
  </si>
  <si>
    <t>#17978</t>
  </si>
  <si>
    <t>River Forest</t>
  </si>
  <si>
    <t xml:space="preserve">708-639-3381  </t>
  </si>
  <si>
    <t>https://utrucking.com/admin/orders/6447771418812</t>
  </si>
  <si>
    <t>#17979</t>
  </si>
  <si>
    <t>https://utrucking.com/admin/orders/6447793602748</t>
  </si>
  <si>
    <t>#17980</t>
  </si>
  <si>
    <t>charlie.r.zellner@gmail.com</t>
  </si>
  <si>
    <t>Charlie Zellner</t>
  </si>
  <si>
    <t>10804-3712</t>
  </si>
  <si>
    <t>https://utrucking.com/admin/orders/6447800680636</t>
  </si>
  <si>
    <t>#17981</t>
  </si>
  <si>
    <t>https://admin.shopify.com/store/utrucking/orders/6447803990204?link_source=search</t>
  </si>
  <si>
    <t>#17982</t>
  </si>
  <si>
    <t>lesliebenjamin435@gmail.com</t>
  </si>
  <si>
    <t>1 646-418-6635</t>
  </si>
  <si>
    <t>414-a</t>
  </si>
  <si>
    <t>William Benjamin</t>
  </si>
  <si>
    <t>516-660-4456</t>
  </si>
  <si>
    <t>https://utrucking.com/admin/orders/6447817556156</t>
  </si>
  <si>
    <t>#17983</t>
  </si>
  <si>
    <t>s.k.steinmetz@wustl.edu</t>
  </si>
  <si>
    <t>Lees Summit</t>
  </si>
  <si>
    <t>https://utrucking.com/admin/orders/6447823225020</t>
  </si>
  <si>
    <t>#17984</t>
  </si>
  <si>
    <t>cslee0213@icloud.com</t>
  </si>
  <si>
    <t>https://utrucking.com/admin/orders/6447825420476</t>
  </si>
  <si>
    <t>#17985</t>
  </si>
  <si>
    <t>ariellakapla@gmail.com</t>
  </si>
  <si>
    <t>Ariella Kaplan</t>
  </si>
  <si>
    <t>1113</t>
  </si>
  <si>
    <t>https://utrucking.com/admin/orders/6447859171516</t>
  </si>
  <si>
    <t>#17986</t>
  </si>
  <si>
    <t>amking@hawaii.rr.com</t>
  </si>
  <si>
    <t>Monica King</t>
  </si>
  <si>
    <t>736 Westgate Ave., Unit 3S</t>
  </si>
  <si>
    <t>Kalaheo</t>
  </si>
  <si>
    <t>Max King</t>
  </si>
  <si>
    <t>https://utrucking.com/admin/orders/6447866708156</t>
  </si>
  <si>
    <t>#17987</t>
  </si>
  <si>
    <t>https://utrucking.com/admin/orders/6447872245948</t>
  </si>
  <si>
    <t>#17988</t>
  </si>
  <si>
    <t>eliana.g@wustl.edu</t>
  </si>
  <si>
    <t>Eliana Green</t>
  </si>
  <si>
    <t xml:space="preserve">240-703-4219  </t>
  </si>
  <si>
    <t>https://utrucking.com/admin/orders/6447882993852</t>
  </si>
  <si>
    <t>#17989</t>
  </si>
  <si>
    <t>https://utrucking.com/admin/orders/6447886139580</t>
  </si>
  <si>
    <t>#17990</t>
  </si>
  <si>
    <t>https://utrucking.com/admin/orders/6447904227516</t>
  </si>
  <si>
    <t>#17991</t>
  </si>
  <si>
    <t>sanayahkmf@gmail.com</t>
  </si>
  <si>
    <t>Sanayah Mulla-Feroze</t>
  </si>
  <si>
    <t>https://utrucking.com/admin/orders/6447914188988</t>
  </si>
  <si>
    <t>#17992</t>
  </si>
  <si>
    <t>a.r.thompson@wustl.edu</t>
  </si>
  <si>
    <t>Aliana Thompson</t>
  </si>
  <si>
    <t>https://utrucking.com/admin/orders/6447937814716</t>
  </si>
  <si>
    <t>#17993</t>
  </si>
  <si>
    <t>abigail.lee@wustl.edu</t>
  </si>
  <si>
    <t>Abigail Meena Lee</t>
  </si>
  <si>
    <t>https://utrucking.com/admin/orders/6447942795452</t>
  </si>
  <si>
    <t>#17994</t>
  </si>
  <si>
    <t>liebermana@wustl.edu</t>
  </si>
  <si>
    <t>Anna Lieberman</t>
  </si>
  <si>
    <t>https://utrucking.com/admin/orders/6447968420028</t>
  </si>
  <si>
    <t>#17995</t>
  </si>
  <si>
    <t>Chelmsford</t>
  </si>
  <si>
    <t>https://utrucking.com/admin/orders/6447975432380</t>
  </si>
  <si>
    <t>#17996</t>
  </si>
  <si>
    <t>alexander.silverman@wustl.edu</t>
  </si>
  <si>
    <t>Zander Silverman</t>
  </si>
  <si>
    <t>3171</t>
  </si>
  <si>
    <t xml:space="preserve">243 Russell Rd, Princeton, NJ, 08540 </t>
  </si>
  <si>
    <t>https://utrucking.com/admin/orders/6447996895420</t>
  </si>
  <si>
    <t>#17997</t>
  </si>
  <si>
    <t>77044-5614</t>
  </si>
  <si>
    <t>https://utrucking.com/admin/orders/6447998927036</t>
  </si>
  <si>
    <t>#17998</t>
  </si>
  <si>
    <t>moriarty123@comcast.net</t>
  </si>
  <si>
    <t>Erin Moriarty</t>
  </si>
  <si>
    <t>740 West gate ave at louis S1</t>
  </si>
  <si>
    <t>Kittery</t>
  </si>
  <si>
    <t xml:space="preserve"> looking to store till the end of August iam very confused on the pricing and if offer boxes and if tv needs to be wrapped. Thank yiy</t>
  </si>
  <si>
    <t xml:space="preserve">David Moriarty </t>
  </si>
  <si>
    <t>https://utrucking.com/admin/orders/6448002171068</t>
  </si>
  <si>
    <t>#17999</t>
  </si>
  <si>
    <t>Carmen Menocal Wetzler</t>
  </si>
  <si>
    <t xml:space="preserve">214-674-1134  </t>
  </si>
  <si>
    <t>https://utrucking.com/admin/orders/6448005087420</t>
  </si>
  <si>
    <t>#18000</t>
  </si>
  <si>
    <t>gaines.r@wustl.edu</t>
  </si>
  <si>
    <t>Robert Gaines</t>
  </si>
  <si>
    <t>https://utrucking.com/admin/orders/6448007348412</t>
  </si>
  <si>
    <t>#18001</t>
  </si>
  <si>
    <t>kashyap.tanguturi@gmail.com</t>
  </si>
  <si>
    <t>Royal Palm Beach</t>
  </si>
  <si>
    <t>2182</t>
  </si>
  <si>
    <t>https://utrucking.com/admin/orders/6448016523452</t>
  </si>
  <si>
    <t>#18002</t>
  </si>
  <si>
    <t>beepboop136@gmail.com</t>
  </si>
  <si>
    <t>PHOENIX</t>
  </si>
  <si>
    <t>https://utrucking.com/admin/orders/6448048439484</t>
  </si>
  <si>
    <t>#18003</t>
  </si>
  <si>
    <t>andrew.shane04@gmail.com</t>
  </si>
  <si>
    <t>https://utrucking.com/admin/orders/6448054993084</t>
  </si>
  <si>
    <t>#18004</t>
  </si>
  <si>
    <t>shalam@wustl.edu</t>
  </si>
  <si>
    <t>https://utrucking.com/admin/orders/6448055812284</t>
  </si>
  <si>
    <t>#18005</t>
  </si>
  <si>
    <t>clararr934@gmail.com</t>
  </si>
  <si>
    <t>Clara Ripin</t>
  </si>
  <si>
    <t>https://utrucking.com/admin/orders/6448057974972</t>
  </si>
  <si>
    <t>#18006</t>
  </si>
  <si>
    <t>Elsa Saleh</t>
  </si>
  <si>
    <t xml:space="preserve">133 Crescent Place 2nd FL
Yonkers, NY 10704 </t>
  </si>
  <si>
    <t>https://utrucking.com/admin/orders/6448060367036</t>
  </si>
  <si>
    <t>#18007</t>
  </si>
  <si>
    <t>Mimi</t>
  </si>
  <si>
    <t>https://utrucking.com/admin/orders/6448061087932</t>
  </si>
  <si>
    <t>#18008</t>
  </si>
  <si>
    <t>Nathaniel SHALAM</t>
  </si>
  <si>
    <t>https://utrucking.com/admin/orders/6448063840444</t>
  </si>
  <si>
    <t>#18009</t>
  </si>
  <si>
    <t>Byron Hill</t>
  </si>
  <si>
    <t>5920 McPherson Ave</t>
  </si>
  <si>
    <t>N. Las Vegas</t>
  </si>
  <si>
    <t>Malaya hill</t>
  </si>
  <si>
    <t>https://utrucking.com/admin/orders/6448075374780</t>
  </si>
  <si>
    <t>#18010</t>
  </si>
  <si>
    <t>jenna.petty145@gmail.com</t>
  </si>
  <si>
    <t>Jenna Petty</t>
  </si>
  <si>
    <t>https://utrucking.com/admin/orders/6448102211772</t>
  </si>
  <si>
    <t>#18011</t>
  </si>
  <si>
    <t>hanjoshua@wustl.edu</t>
  </si>
  <si>
    <t>valley village</t>
  </si>
  <si>
    <t>https://utrucking.com/admin/orders/6448111943868</t>
  </si>
  <si>
    <t>#18012</t>
  </si>
  <si>
    <t xml:space="preserve">4520 Pennsylvania Ave Apt 140 La Crescenta, California 91214 </t>
  </si>
  <si>
    <t>https://utrucking.com/admin/orders/6448112959676</t>
  </si>
  <si>
    <t>#18013</t>
  </si>
  <si>
    <t>https://utrucking.com/admin/orders/6448121708732</t>
  </si>
  <si>
    <t>#18014</t>
  </si>
  <si>
    <t xml:space="preserve">49 west 75th street, apt 3 New York, ny 10023 </t>
  </si>
  <si>
    <t xml:space="preserve"> My flight is on the 6th if I have left for the airport before you come to pick up boxes doors will be left taped/unlocked. </t>
  </si>
  <si>
    <t>Emma Linden</t>
  </si>
  <si>
    <t>https://utrucking.com/admin/orders/6448129212604</t>
  </si>
  <si>
    <t>#18015</t>
  </si>
  <si>
    <t>https://utrucking.com/admin/orders/6448167256252</t>
  </si>
  <si>
    <t>#18016</t>
  </si>
  <si>
    <t>Evan</t>
  </si>
  <si>
    <t xml:space="preserve">Bahr  </t>
  </si>
  <si>
    <t>https://utrucking.com/admin/orders/6448181870780</t>
  </si>
  <si>
    <t>#18017</t>
  </si>
  <si>
    <t>https://utrucking.com/admin/orders/6448184328380</t>
  </si>
  <si>
    <t>#18018</t>
  </si>
  <si>
    <t>alyssabaick07@gmail.com</t>
  </si>
  <si>
    <t>Alyssa Yim</t>
  </si>
  <si>
    <t>1090</t>
  </si>
  <si>
    <t>https://utrucking.com/admin/orders/6448187539644</t>
  </si>
  <si>
    <t>#18019</t>
  </si>
  <si>
    <t>g.grieme@wustl.edu</t>
  </si>
  <si>
    <t>https://utrucking.com/admin/orders/6448199925948</t>
  </si>
  <si>
    <t>#18020</t>
  </si>
  <si>
    <t>yining he</t>
  </si>
  <si>
    <t xml:space="preserve">314-296-0885  </t>
  </si>
  <si>
    <t>https://utrucking.com/admin/orders/6448201892028</t>
  </si>
  <si>
    <t>#18021</t>
  </si>
  <si>
    <t>jackhhollings@gmail.com</t>
  </si>
  <si>
    <t>B2 C</t>
  </si>
  <si>
    <t>https://utrucking.com/admin/orders/6448214638780</t>
  </si>
  <si>
    <t>#18022</t>
  </si>
  <si>
    <t>andrewpark2004@gmail.com</t>
  </si>
  <si>
    <t>07648-1235</t>
  </si>
  <si>
    <t>https://utrucking.com/admin/orders/6448224174268</t>
  </si>
  <si>
    <t>#18023</t>
  </si>
  <si>
    <t>Zoe Moret</t>
  </si>
  <si>
    <t>https://utrucking.com/admin/orders/6448228630716</t>
  </si>
  <si>
    <t>#18024</t>
  </si>
  <si>
    <t>byrahul@gmail.com</t>
  </si>
  <si>
    <t>Rahul Tyagi</t>
  </si>
  <si>
    <t>4070</t>
  </si>
  <si>
    <t xml:space="preserve"> I have two box for storage.</t>
  </si>
  <si>
    <t>Aadi Tyagi</t>
  </si>
  <si>
    <t>https://utrucking.com/admin/orders/6448231612604</t>
  </si>
  <si>
    <t>#18025</t>
  </si>
  <si>
    <t>syd.elizb@gmail.com</t>
  </si>
  <si>
    <t>https://utrucking.com/admin/orders/6448232399036</t>
  </si>
  <si>
    <t>#18026</t>
  </si>
  <si>
    <t>https://utrucking.com/admin/orders/6448237215932</t>
  </si>
  <si>
    <t>#18027</t>
  </si>
  <si>
    <t>Nisha Lee</t>
  </si>
  <si>
    <t>https://utrucking.com/admin/orders/6448253206716</t>
  </si>
  <si>
    <t>#18028</t>
  </si>
  <si>
    <t>daya13villa@gmail.com</t>
  </si>
  <si>
    <t>Dayana Villasano</t>
  </si>
  <si>
    <t>77086-1149</t>
  </si>
  <si>
    <t>https://utrucking.com/admin/orders/6448275849404</t>
  </si>
  <si>
    <t>#18029</t>
  </si>
  <si>
    <t>34</t>
  </si>
  <si>
    <t>https://utrucking.com/admin/orders/6448279093436</t>
  </si>
  <si>
    <t>#18030</t>
  </si>
  <si>
    <t>https://utrucking.com/admin/orders/6448289087676</t>
  </si>
  <si>
    <t>#18031</t>
  </si>
  <si>
    <t>4101</t>
  </si>
  <si>
    <t>https://utrucking.com/admin/orders/6448312025276</t>
  </si>
  <si>
    <t>#18032</t>
  </si>
  <si>
    <t>https://utrucking.com/admin/orders/6448325984444</t>
  </si>
  <si>
    <t>#18033</t>
  </si>
  <si>
    <t>b.uma@wustl.edu</t>
  </si>
  <si>
    <t>https://utrucking.com/admin/orders/6448415801532</t>
  </si>
  <si>
    <t>#18034</t>
  </si>
  <si>
    <t>kriand600@gmail.com</t>
  </si>
  <si>
    <t>Krisney Andre</t>
  </si>
  <si>
    <t>https://utrucking.com/admin/orders/6448512401596</t>
  </si>
  <si>
    <t>#18035</t>
  </si>
  <si>
    <t xml:space="preserve">718-747-4256  </t>
  </si>
  <si>
    <t>https://utrucking.com/admin/orders/6448566337724</t>
  </si>
  <si>
    <t>#18036</t>
  </si>
  <si>
    <t>Merikessa Kinsey</t>
  </si>
  <si>
    <t xml:space="preserve">917-640-1225  </t>
  </si>
  <si>
    <t>https://utrucking.com/admin/orders/6448702161084</t>
  </si>
  <si>
    <t>#18037</t>
  </si>
  <si>
    <t>e.gloria@wustl.edu</t>
  </si>
  <si>
    <t>Gloria Eah</t>
  </si>
  <si>
    <t>https://utrucking.com/admin/orders/6448761503932</t>
  </si>
  <si>
    <t>#18038</t>
  </si>
  <si>
    <t xml:space="preserve">176 West 87th Street 
Apt 7b
New York, NY 10024 </t>
  </si>
  <si>
    <t>https://utrucking.com/admin/orders/6448791453884</t>
  </si>
  <si>
    <t>#18039</t>
  </si>
  <si>
    <t>Min Kim</t>
  </si>
  <si>
    <t>2321</t>
  </si>
  <si>
    <t>https://utrucking.com/admin/orders/6448818684092</t>
  </si>
  <si>
    <t>#18040</t>
  </si>
  <si>
    <t>160</t>
  </si>
  <si>
    <t>Shane dell</t>
  </si>
  <si>
    <t>https://utrucking.com/admin/orders/6448847454396</t>
  </si>
  <si>
    <t>#18041</t>
  </si>
  <si>
    <t xml:space="preserve">978-505-4923  </t>
  </si>
  <si>
    <t>https://utrucking.com/admin/orders/6448850632892</t>
  </si>
  <si>
    <t>#18042</t>
  </si>
  <si>
    <t>sissoko@wustl.edu</t>
  </si>
  <si>
    <t>Dara Seybold</t>
  </si>
  <si>
    <t>Virginia Beach</t>
  </si>
  <si>
    <t>3032-a</t>
  </si>
  <si>
    <t xml:space="preserve"> The earliest possible time on the 8th would be greatly appreciated, as I will be moving in early for WUSA and need to move in during the morning. Thank you so much; I really appreciate it!</t>
  </si>
  <si>
    <t>https://utrucking.com/admin/orders/6448853909692</t>
  </si>
  <si>
    <t>#18043</t>
  </si>
  <si>
    <t>jiayizhao0406@gmail.com</t>
  </si>
  <si>
    <t>Jiayi Zhao</t>
  </si>
  <si>
    <t>https://utrucking.com/admin/orders/6448854368444</t>
  </si>
  <si>
    <t>#18044</t>
  </si>
  <si>
    <t>Caleb Collins</t>
  </si>
  <si>
    <t>https://utrucking.com/admin/orders/6448872292540</t>
  </si>
  <si>
    <t>#18045</t>
  </si>
  <si>
    <t>goldberg.r.e@wustl.edu</t>
  </si>
  <si>
    <t xml:space="preserve">484-832-2036  </t>
  </si>
  <si>
    <t>https://utrucking.com/admin/orders/6448882221244</t>
  </si>
  <si>
    <t>#18046</t>
  </si>
  <si>
    <t>kimberly_haleycoleman@yahoo.com</t>
  </si>
  <si>
    <t>Kimberly Haleycoleman</t>
  </si>
  <si>
    <t>2070</t>
  </si>
  <si>
    <t>Margaret Coleman</t>
  </si>
  <si>
    <t xml:space="preserve">214-449-4891  </t>
  </si>
  <si>
    <t>https://utrucking.com/admin/orders/6448911876284</t>
  </si>
  <si>
    <t>#18047</t>
  </si>
  <si>
    <t>jacobj.tulch17@gmail.com</t>
  </si>
  <si>
    <t>Jacob Tulchinsky</t>
  </si>
  <si>
    <t>1053</t>
  </si>
  <si>
    <t>https://utrucking.com/admin/orders/6448918921404</t>
  </si>
  <si>
    <t>#18048</t>
  </si>
  <si>
    <t>bcouture1227@gmail.com</t>
  </si>
  <si>
    <t>https://utrucking.com/admin/orders/6448922165436</t>
  </si>
  <si>
    <t>#18049</t>
  </si>
  <si>
    <t xml:space="preserve">Isabella Ava </t>
  </si>
  <si>
    <t>https://utrucking.com/admin/orders/6448941465788</t>
  </si>
  <si>
    <t>#18050</t>
  </si>
  <si>
    <t>aimeemairs@comcast.net</t>
  </si>
  <si>
    <t>Aimee Mairs</t>
  </si>
  <si>
    <t>138-B</t>
  </si>
  <si>
    <t>William</t>
  </si>
  <si>
    <t xml:space="preserve">Mairs  </t>
  </si>
  <si>
    <t>https://utrucking.com/admin/orders/6448944414908</t>
  </si>
  <si>
    <t>#18051</t>
  </si>
  <si>
    <t>danielkochen02@gmail.com</t>
  </si>
  <si>
    <t>Arlet Gamboa</t>
  </si>
  <si>
    <t>Barcelona</t>
  </si>
  <si>
    <t>Spain</t>
  </si>
  <si>
    <t>1106</t>
  </si>
  <si>
    <t>Daniel Kochen</t>
  </si>
  <si>
    <t>https://utrucking.com/admin/orders/6448949297340</t>
  </si>
  <si>
    <t>#18052</t>
  </si>
  <si>
    <t>https://utrucking.com/admin/orders/6448949657788</t>
  </si>
  <si>
    <t>#18053</t>
  </si>
  <si>
    <t>menasheleah67@gmail.com</t>
  </si>
  <si>
    <t xml:space="preserve">Leah Menashe </t>
  </si>
  <si>
    <t>https://utrucking.com/admin/orders/6448959750332</t>
  </si>
  <si>
    <t>#18054</t>
  </si>
  <si>
    <t>noriha772004@gmail.com</t>
  </si>
  <si>
    <t>Norah Alhusayni</t>
  </si>
  <si>
    <t>https://utrucking.com/admin/orders/6448968433852</t>
  </si>
  <si>
    <t>#18055</t>
  </si>
  <si>
    <t>https://utrucking.com/admin/orders/6448993894588</t>
  </si>
  <si>
    <t>#18057</t>
  </si>
  <si>
    <t>p.b.watkins@wustl.edu</t>
  </si>
  <si>
    <t>41</t>
  </si>
  <si>
    <t xml:space="preserve">440-514-9740  </t>
  </si>
  <si>
    <t>https://utrucking.com/admin/orders/6449000546492</t>
  </si>
  <si>
    <t>#18058</t>
  </si>
  <si>
    <t>e.j.tirschwell@wustl.edu</t>
  </si>
  <si>
    <t>Eleanor Tirschwell</t>
  </si>
  <si>
    <t>6843 Kingsbury Blvd, University City, MO 63130 2W</t>
  </si>
  <si>
    <t xml:space="preserve">125 East 84th Street
New York, NY 10028 </t>
  </si>
  <si>
    <t>Ellie Tirschwell</t>
  </si>
  <si>
    <t>https://utrucking.com/admin/orders/6449008181436</t>
  </si>
  <si>
    <t>#18059</t>
  </si>
  <si>
    <t>Hera</t>
  </si>
  <si>
    <t>https://utrucking.com/admin/orders/6449023779004</t>
  </si>
  <si>
    <t>#18060</t>
  </si>
  <si>
    <t>https://utrucking.com/admin/orders/6449077387452</t>
  </si>
  <si>
    <t>#18061</t>
  </si>
  <si>
    <t>hanallen1592@gmail.com</t>
  </si>
  <si>
    <t>Minhyuk Han</t>
  </si>
  <si>
    <t>Songdo</t>
  </si>
  <si>
    <t>Incheon</t>
  </si>
  <si>
    <t>262</t>
  </si>
  <si>
    <t>Allen Han</t>
  </si>
  <si>
    <t>https://utrucking.com/admin/orders/6449127129276</t>
  </si>
  <si>
    <t>#18062</t>
  </si>
  <si>
    <t>https://utrucking.com/admin/orders/6449143218364</t>
  </si>
  <si>
    <t>#18063</t>
  </si>
  <si>
    <t>reinstein@wustl.edu</t>
  </si>
  <si>
    <t>Todd Reinstein</t>
  </si>
  <si>
    <t>20854-2365</t>
  </si>
  <si>
    <t xml:space="preserve">  I have one door fridge, rolling cart, headboard, and plastic tower.</t>
  </si>
  <si>
    <t>Rachel Reinstein</t>
  </si>
  <si>
    <t>https://utrucking.com/admin/orders/6449159438524</t>
  </si>
  <si>
    <t>#18064</t>
  </si>
  <si>
    <t>willowavogel@gmail.com</t>
  </si>
  <si>
    <t>https://utrucking.com/admin/orders/6449176641724</t>
  </si>
  <si>
    <t>#18065</t>
  </si>
  <si>
    <t>kraut@wustl.edu</t>
  </si>
  <si>
    <t xml:space="preserve">973-830-6679  </t>
  </si>
  <si>
    <t>https://utrucking.com/admin/orders/6449205018812</t>
  </si>
  <si>
    <t>#18066</t>
  </si>
  <si>
    <t>Anya</t>
  </si>
  <si>
    <t>https://utrucking.com/admin/orders/6449240309948</t>
  </si>
  <si>
    <t>#18067</t>
  </si>
  <si>
    <t>Grace Harris</t>
  </si>
  <si>
    <t xml:space="preserve">646-341-1761  </t>
  </si>
  <si>
    <t>https://utrucking.com/admin/orders/6449241948348</t>
  </si>
  <si>
    <t>#18068</t>
  </si>
  <si>
    <t xml:space="preserve"> The fridge will be in the common room of the suite</t>
  </si>
  <si>
    <t>https://utrucking.com/admin/orders/6449276879036</t>
  </si>
  <si>
    <t>#18069</t>
  </si>
  <si>
    <t>4062 - a</t>
  </si>
  <si>
    <t>https://utrucking.com/admin/orders/6449340317884</t>
  </si>
  <si>
    <t>#18070</t>
  </si>
  <si>
    <t>https://utrucking.com/admin/orders/6449340743868</t>
  </si>
  <si>
    <t>#18071</t>
  </si>
  <si>
    <t>Sylver Hart</t>
  </si>
  <si>
    <t xml:space="preserve">302A </t>
  </si>
  <si>
    <t xml:space="preserve">Sylver Hart </t>
  </si>
  <si>
    <t>https://utrucking.com/admin/orders/6449359487164</t>
  </si>
  <si>
    <t>#18072</t>
  </si>
  <si>
    <t>https://utrucking.com/admin/orders/6449372135612</t>
  </si>
  <si>
    <t>#18073</t>
  </si>
  <si>
    <t>n.r.shakir@wustl.edu</t>
  </si>
  <si>
    <t>Najee Shakir</t>
  </si>
  <si>
    <t>2141</t>
  </si>
  <si>
    <t xml:space="preserve">2916 Philip Avenue
New York, NY 10465 </t>
  </si>
  <si>
    <t>https://utrucking.com/admin/orders/6449388028092</t>
  </si>
  <si>
    <t>#18074</t>
  </si>
  <si>
    <t>burack.e@wustl.edu</t>
  </si>
  <si>
    <t>https://utrucking.com/admin/orders/6449425678524</t>
  </si>
  <si>
    <t>#18075</t>
  </si>
  <si>
    <t>a.carlo@wustl.edu</t>
  </si>
  <si>
    <t>Abby Carlo</t>
  </si>
  <si>
    <t xml:space="preserve">781-708-6694  </t>
  </si>
  <si>
    <t>https://utrucking.com/admin/orders/6449431609532</t>
  </si>
  <si>
    <t>#18076</t>
  </si>
  <si>
    <t xml:space="preserve">224-216-3959  </t>
  </si>
  <si>
    <t>https://utrucking.com/admin/orders/6449453727932</t>
  </si>
  <si>
    <t>#18077</t>
  </si>
  <si>
    <t>mianj222@gmail.com</t>
  </si>
  <si>
    <t xml:space="preserve">Mariel Amador </t>
  </si>
  <si>
    <t>https://utrucking.com/admin/orders/6449540235452</t>
  </si>
  <si>
    <t>#18078</t>
  </si>
  <si>
    <t>https://utrucking.com/admin/orders/6449636081852</t>
  </si>
  <si>
    <t>#18079</t>
  </si>
  <si>
    <t>https://utrucking.com/admin/orders/6449700274364</t>
  </si>
  <si>
    <t>#18080</t>
  </si>
  <si>
    <t>j.pichardorico@wustl.edu</t>
  </si>
  <si>
    <t>Araceli Rico</t>
  </si>
  <si>
    <t>Fresno</t>
  </si>
  <si>
    <t>Jaqueline Pichardo Rico</t>
  </si>
  <si>
    <t>https://utrucking.com/admin/orders/6449700864188</t>
  </si>
  <si>
    <t>#18081</t>
  </si>
  <si>
    <t xml:space="preserve">661-505-3724  </t>
  </si>
  <si>
    <t>https://utrucking.com/admin/orders/6449715708092</t>
  </si>
  <si>
    <t>#18082</t>
  </si>
  <si>
    <t>parolk06@gmail.com</t>
  </si>
  <si>
    <t>Yaroslav Parashchiy</t>
  </si>
  <si>
    <t>Kyiv</t>
  </si>
  <si>
    <t>Ukraine</t>
  </si>
  <si>
    <t>https://utrucking.com/admin/orders/6449775182012</t>
  </si>
  <si>
    <t>#18083</t>
  </si>
  <si>
    <t>jeremysiebenlcp@gmail.com</t>
  </si>
  <si>
    <t>jeremy sieben</t>
  </si>
  <si>
    <t>https://utrucking.com/admin/orders/6449814995132</t>
  </si>
  <si>
    <t>#18084</t>
  </si>
  <si>
    <t>Chloe Liu</t>
  </si>
  <si>
    <t>https://utrucking.com/admin/orders/6449898422460</t>
  </si>
  <si>
    <t>#18085</t>
  </si>
  <si>
    <t>605 Leland Ave Saint Louis, MO 63130</t>
  </si>
  <si>
    <t xml:space="preserve">622 4th Ave, San Francisco, CA 94118  </t>
  </si>
  <si>
    <t>https://utrucking.com/admin/orders/6450073272508</t>
  </si>
  <si>
    <t>#18086</t>
  </si>
  <si>
    <t>libi@wustl.edu</t>
  </si>
  <si>
    <t>Libi Horn</t>
  </si>
  <si>
    <t>https://utrucking.com/admin/orders/6450231181500</t>
  </si>
  <si>
    <t>#18087</t>
  </si>
  <si>
    <t>ian.k@wustl.edu</t>
  </si>
  <si>
    <t>Ian Kim</t>
  </si>
  <si>
    <t xml:space="preserve">413A </t>
  </si>
  <si>
    <t>https://utrucking.com/admin/orders/6450241503420</t>
  </si>
  <si>
    <t>#18088</t>
  </si>
  <si>
    <t>alexandra.zelman@gmail.com</t>
  </si>
  <si>
    <t>(914) 414-5648</t>
  </si>
  <si>
    <t>Alexandra Zelman</t>
  </si>
  <si>
    <t>6843 Kingsbury Blvd Apartment 1W</t>
  </si>
  <si>
    <t xml:space="preserve">4 Hotel Drive White Plains NY 10605 </t>
  </si>
  <si>
    <t>https://admin.shopify.com/store/utrucking/orders/6450311594172?link_source=search</t>
  </si>
  <si>
    <t>#18089</t>
  </si>
  <si>
    <t>917-900-5487</t>
  </si>
  <si>
    <t>7024 Forsyth Blvd</t>
  </si>
  <si>
    <t>7024 Forsyth Blvd, Apt 1E</t>
  </si>
  <si>
    <t>Charlotte Shapiro 6322 Alcott Road, Bethesda, MD 20817</t>
  </si>
  <si>
    <t>Charlotte Shapiro</t>
  </si>
  <si>
    <t>917 900 5487</t>
  </si>
  <si>
    <t>https://utrucking.com/admin/orders/6450346655932</t>
  </si>
  <si>
    <t>#18090</t>
  </si>
  <si>
    <t xml:space="preserve">2248 Egandale Rd </t>
  </si>
  <si>
    <t>https://utrucking.com/admin/orders/6450382176444</t>
  </si>
  <si>
    <t>#18091</t>
  </si>
  <si>
    <t xml:space="preserve">516-606-3860  </t>
  </si>
  <si>
    <t>https://utrucking.com/admin/orders/6450412617916</t>
  </si>
  <si>
    <t>#18092</t>
  </si>
  <si>
    <t>dangz@wustl.edu</t>
  </si>
  <si>
    <t>55434-2900</t>
  </si>
  <si>
    <t>https://utrucking.com/admin/orders/6450423464124</t>
  </si>
  <si>
    <t>#18093</t>
  </si>
  <si>
    <t>p.a.radke@email.wustl.edu</t>
  </si>
  <si>
    <t>Anne Radke</t>
  </si>
  <si>
    <t xml:space="preserve">6145 Pershing Ave </t>
  </si>
  <si>
    <t xml:space="preserve">1177 Warburton Ave Yonkers NY, 10701 </t>
  </si>
  <si>
    <t>Phoebe Radke</t>
  </si>
  <si>
    <t>https://utrucking.com/admin/orders/6450450989244</t>
  </si>
  <si>
    <t>#18094</t>
  </si>
  <si>
    <t>Gabrielle Phillips</t>
  </si>
  <si>
    <t>Gabi Phillips</t>
  </si>
  <si>
    <t>https://utrucking.com/admin/orders/6450536775868</t>
  </si>
  <si>
    <t>#18095</t>
  </si>
  <si>
    <t>m.d.pineda@wustl.edu</t>
  </si>
  <si>
    <t>Miranda Pineda</t>
  </si>
  <si>
    <t>Pottstown</t>
  </si>
  <si>
    <t xml:space="preserve"> double door mini fridge</t>
  </si>
  <si>
    <t>https://utrucking.com/admin/orders/6450713821372</t>
  </si>
  <si>
    <t>#18096</t>
  </si>
  <si>
    <t>https://utrucking.com/admin/orders/6450891751612</t>
  </si>
  <si>
    <t>#18097</t>
  </si>
  <si>
    <t>nataliebeldner@gmail.com</t>
  </si>
  <si>
    <t>https://utrucking.com/admin/orders/6450917834940</t>
  </si>
  <si>
    <t>#18098</t>
  </si>
  <si>
    <t>gnico@wustl.edu</t>
  </si>
  <si>
    <t>Nico Gomez</t>
  </si>
  <si>
    <t xml:space="preserve">281-831-4814  </t>
  </si>
  <si>
    <t>https://utrucking.com/admin/orders/6450923798716</t>
  </si>
  <si>
    <t>#18099</t>
  </si>
  <si>
    <t>https://utrucking.com/admin/orders/6450934841532</t>
  </si>
  <si>
    <t>#18100</t>
  </si>
  <si>
    <t>https://utrucking.com/admin/orders/6450944966844</t>
  </si>
  <si>
    <t>#18101</t>
  </si>
  <si>
    <t>shannonkay@usa.net</t>
  </si>
  <si>
    <t xml:space="preserve">Juliet Quisenberry </t>
  </si>
  <si>
    <t>https://utrucking.com/admin/orders/6450951585980</t>
  </si>
  <si>
    <t>#18102</t>
  </si>
  <si>
    <t>t.lovick@wustl.edu</t>
  </si>
  <si>
    <t>Azania Lovick</t>
  </si>
  <si>
    <t>3225</t>
  </si>
  <si>
    <t>https://utrucking.com/admin/orders/6450986188988</t>
  </si>
  <si>
    <t>#18103</t>
  </si>
  <si>
    <t>s.taryn@wustl.edu</t>
  </si>
  <si>
    <t>2E, Room A</t>
  </si>
  <si>
    <t>https://utrucking.com/admin/orders/6451007226044</t>
  </si>
  <si>
    <t>#18104</t>
  </si>
  <si>
    <t>Robert Juman</t>
  </si>
  <si>
    <t xml:space="preserve"> 1. I think this what we ordered!
2. Boxes will also be in room for summer storage.</t>
  </si>
  <si>
    <t>https://utrucking.com/admin/orders/6451026165948</t>
  </si>
  <si>
    <t>#18105</t>
  </si>
  <si>
    <t>tziporarebeccaguttman@gmail.com</t>
  </si>
  <si>
    <t>Tzipora Guttman</t>
  </si>
  <si>
    <t>Staten Island</t>
  </si>
  <si>
    <t>https://utrucking.com/admin/orders/6451080233148</t>
  </si>
  <si>
    <t>#18106</t>
  </si>
  <si>
    <t>ding.m.m@wustl.edu</t>
  </si>
  <si>
    <t>Max Ding</t>
  </si>
  <si>
    <t>https://utrucking.com/admin/orders/6451110576316</t>
  </si>
  <si>
    <t>#18107</t>
  </si>
  <si>
    <t>h.nam@wustl.edu</t>
  </si>
  <si>
    <t>https://utrucking.com/admin/orders/6451128893628</t>
  </si>
  <si>
    <t>#18108</t>
  </si>
  <si>
    <t>Apt 203
6105 Delmar Blvd
Saint Louis, MO 63112</t>
  </si>
  <si>
    <t xml:space="preserve">Haven't decided yet (I’m planning to use summer storage until mid-August and have my belongings shipped to my new apartment in New York. I’ll update the shipping address once it’s finalized.) </t>
  </si>
  <si>
    <t xml:space="preserve"> I’m planning to use summer storage until mid-August and have my belongings shipped to my new apartment in New York. I’ll update the shipping address once it’s finalized.</t>
  </si>
  <si>
    <t>https://utrucking.com/admin/orders/6451131318460</t>
  </si>
  <si>
    <t>#18109</t>
  </si>
  <si>
    <t>https://utrucking.com/admin/orders/6451175391420</t>
  </si>
  <si>
    <t>#18110</t>
  </si>
  <si>
    <t>sarajacob53@gmail.com</t>
  </si>
  <si>
    <t>p p</t>
  </si>
  <si>
    <t>ohio</t>
  </si>
  <si>
    <t>G.Philip</t>
  </si>
  <si>
    <t>https://utrucking.com/admin/orders/6451199180988</t>
  </si>
  <si>
    <t>#18111</t>
  </si>
  <si>
    <t>https://utrucking.com/admin/orders/6451222151356</t>
  </si>
  <si>
    <t>#18112</t>
  </si>
  <si>
    <t>amirathadani@gmail.com</t>
  </si>
  <si>
    <t>4011</t>
  </si>
  <si>
    <t>https://utrucking.com/admin/orders/6451268911292</t>
  </si>
  <si>
    <t>#18113</t>
  </si>
  <si>
    <t>c.sheelsie@wustl.edu</t>
  </si>
  <si>
    <t>https://utrucking.com/admin/orders/6451279265980</t>
  </si>
  <si>
    <t>#18114</t>
  </si>
  <si>
    <t>Alex Park</t>
  </si>
  <si>
    <t>https://utrucking.com/admin/orders/6451302006972</t>
  </si>
  <si>
    <t>#18115</t>
  </si>
  <si>
    <t>https://utrucking.com/admin/orders/6451304235196</t>
  </si>
  <si>
    <t>#18116</t>
  </si>
  <si>
    <t>minkyutak29@gmail.com</t>
  </si>
  <si>
    <t>Minkyu Tak</t>
  </si>
  <si>
    <t>https://utrucking.com/admin/orders/6451312689340</t>
  </si>
  <si>
    <t>#18117</t>
  </si>
  <si>
    <t>a.samia@wustl.edu</t>
  </si>
  <si>
    <t>https://utrucking.com/admin/orders/6451322552508</t>
  </si>
  <si>
    <t>#18118</t>
  </si>
  <si>
    <t>chocori77@gmail.com</t>
  </si>
  <si>
    <t>https://utrucking.com/admin/orders/6451351126204</t>
  </si>
  <si>
    <t>#18119</t>
  </si>
  <si>
    <t>irenesok.418@gmail.com</t>
  </si>
  <si>
    <t>Irene Sok</t>
  </si>
  <si>
    <t>https://utrucking.com/admin/orders/6451352567996</t>
  </si>
  <si>
    <t>#18120</t>
  </si>
  <si>
    <t>n.e.reyes@wustl.edu</t>
  </si>
  <si>
    <t>Nathan Reyes</t>
  </si>
  <si>
    <t>746 Kingsland Avenue
Saint Louis, Missouri 63130</t>
  </si>
  <si>
    <t xml:space="preserve">1225 Frolic Way
San Jose, California 95129 </t>
  </si>
  <si>
    <t>https://utrucking.com/admin/orders/6451368427708</t>
  </si>
  <si>
    <t>#18121</t>
  </si>
  <si>
    <t>calabrese.n@wustl.edu</t>
  </si>
  <si>
    <t>11215-6006</t>
  </si>
  <si>
    <t>https://utrucking.com/admin/orders/6451396247740</t>
  </si>
  <si>
    <t>#18122</t>
  </si>
  <si>
    <t>Ke Wang</t>
  </si>
  <si>
    <t>Hao</t>
  </si>
  <si>
    <t xml:space="preserve">Wang  </t>
  </si>
  <si>
    <t>https://utrucking.com/admin/orders/6451447464124</t>
  </si>
  <si>
    <t>#18123</t>
  </si>
  <si>
    <t>a.cobb@wustl.edu</t>
  </si>
  <si>
    <t>Schaumburg</t>
  </si>
  <si>
    <t>https://utrucking.com/admin/orders/6451448873148</t>
  </si>
  <si>
    <t>#18124</t>
  </si>
  <si>
    <t>alexis.oloyede@gmail.com</t>
  </si>
  <si>
    <t>Opeoluwa Oloyede</t>
  </si>
  <si>
    <t>Humble</t>
  </si>
  <si>
    <t>330</t>
  </si>
  <si>
    <t>Lolu Oloyede</t>
  </si>
  <si>
    <t>https://utrucking.com/admin/orders/6451480068284</t>
  </si>
  <si>
    <t>#18125</t>
  </si>
  <si>
    <t>https://utrucking.com/admin/orders/6451712295100</t>
  </si>
  <si>
    <t>#18126</t>
  </si>
  <si>
    <t xml:space="preserve">646-939-2603  </t>
  </si>
  <si>
    <t>https://utrucking.com/admin/orders/6451933413564</t>
  </si>
  <si>
    <t>#18127</t>
  </si>
  <si>
    <t>g.shayden@wustl.edu</t>
  </si>
  <si>
    <t>420</t>
  </si>
  <si>
    <t>Shayden R Garber</t>
  </si>
  <si>
    <t>https://utrucking.com/admin/orders/6451979452604</t>
  </si>
  <si>
    <t>#18128</t>
  </si>
  <si>
    <t xml:space="preserve">6 Windmill Place
Armonk, NY 10504 </t>
  </si>
  <si>
    <t>https://utrucking.com/admin/orders/6452062585020</t>
  </si>
  <si>
    <t>#18129</t>
  </si>
  <si>
    <t>Isabella Dyson</t>
  </si>
  <si>
    <t>https://utrucking.com/admin/orders/6452182057148</t>
  </si>
  <si>
    <t>#18130</t>
  </si>
  <si>
    <t>vihaanbharwani12@gmail.com</t>
  </si>
  <si>
    <t>Vihaan Bharwani</t>
  </si>
  <si>
    <t>https://utrucking.com/admin/orders/6452208009404</t>
  </si>
  <si>
    <t>#18131</t>
  </si>
  <si>
    <t>brandon.n.partridge@gmail.com</t>
  </si>
  <si>
    <t>Brandon Partridge</t>
  </si>
  <si>
    <t>20008-4215</t>
  </si>
  <si>
    <t>Polly Partridge</t>
  </si>
  <si>
    <t>https://utrucking.com/admin/orders/6452241399996</t>
  </si>
  <si>
    <t>#18132</t>
  </si>
  <si>
    <t>diegoo@wustl.edu</t>
  </si>
  <si>
    <t>Diego A Ortiz Golderos</t>
  </si>
  <si>
    <t>https://utrucking.com/admin/orders/6452277477564</t>
  </si>
  <si>
    <t>#18133</t>
  </si>
  <si>
    <t xml:space="preserve">986-219-6068  </t>
  </si>
  <si>
    <t>https://utrucking.com/admin/orders/6452277641404</t>
  </si>
  <si>
    <t>#18134</t>
  </si>
  <si>
    <t>charlie.q@wustl.edu</t>
  </si>
  <si>
    <t>Charlie Qian</t>
  </si>
  <si>
    <t xml:space="preserve"> 2 suitcases + 2 boxes in total</t>
  </si>
  <si>
    <t>https://utrucking.com/admin/orders/6452335673532</t>
  </si>
  <si>
    <t>#18135</t>
  </si>
  <si>
    <t>sharonsotelolee@gmail.com</t>
  </si>
  <si>
    <t>Sharon Sotelo-Lee</t>
  </si>
  <si>
    <t xml:space="preserve"> Please deliver in August to Village House 2052 A (sophomore dorm housing)
Pick up of 5 boxes including: 
2 Elfa Wire Underbed Drawers
1 Headboard
Steel Fridge Cabinet
Floor Lamp
Black Tall Narrow Drawer Chest 
3 Tier Black Rolling Cart
Beanbag
Orange Traffic Cone
Foldable Hanging Dryer Rack
Rolling Hamper
Shoe Rack
Duvet Insert
Euro/Square Pillow Insert
Long Rectangle Pillow Insert
Mattress Topper
Collapsible Laundry Baskets
Bins (Pantry)
Collapsibe Overdoor Organizer
Bins (Closet)
</t>
  </si>
  <si>
    <t>Jacob (Jake) Lee</t>
  </si>
  <si>
    <t>https://utrucking.com/admin/orders/6452426440892</t>
  </si>
  <si>
    <t>#18136</t>
  </si>
  <si>
    <t>SCHWARTZ.PAMMY@GMAIL.COM</t>
  </si>
  <si>
    <t>pamelynn esperanza</t>
  </si>
  <si>
    <t xml:space="preserve">  Nemrov</t>
  </si>
  <si>
    <t xml:space="preserve"> 7100 Forsyth</t>
  </si>
  <si>
    <t xml:space="preserve">moving from dorm to house upper unit. Samantha 646-799-8253. Call Pam/Mom 773771-2860 as samantha is in finals </t>
  </si>
  <si>
    <t xml:space="preserve"> Samantha</t>
  </si>
  <si>
    <t>https://utrucking.com/admin/orders/6452440236220</t>
  </si>
  <si>
    <t>#18137</t>
  </si>
  <si>
    <t>andycovello9@gmail.com</t>
  </si>
  <si>
    <t>Andy Covello</t>
  </si>
  <si>
    <t>https://utrucking.com/admin/orders/6452443742396</t>
  </si>
  <si>
    <t>#18138</t>
  </si>
  <si>
    <t>https://utrucking.com/admin/orders/6452492304572</t>
  </si>
  <si>
    <t>#18139</t>
  </si>
  <si>
    <t>https://utrucking.com/admin/orders/6452496302268</t>
  </si>
  <si>
    <t>#18140</t>
  </si>
  <si>
    <t>lucasmls1460@gmail.com</t>
  </si>
  <si>
    <t>https://utrucking.com/admin/orders/6452506951868</t>
  </si>
  <si>
    <t>#18141</t>
  </si>
  <si>
    <t>haleysh10@gmail.com</t>
  </si>
  <si>
    <t>Haley Hirsch</t>
  </si>
  <si>
    <t>https://utrucking.com/admin/orders/6452545323196</t>
  </si>
  <si>
    <t>#18142</t>
  </si>
  <si>
    <t>utruckinga@jodam.net</t>
  </si>
  <si>
    <t>Adam Daniel</t>
  </si>
  <si>
    <t>Jonah Daniel</t>
  </si>
  <si>
    <t xml:space="preserve">(301) 395-8586  </t>
  </si>
  <si>
    <t>https://utrucking.com/admin/orders/6452561576124</t>
  </si>
  <si>
    <t>#18143</t>
  </si>
  <si>
    <t>l.phillips-breton@wustl.edu</t>
  </si>
  <si>
    <t>Leo Breton</t>
  </si>
  <si>
    <t xml:space="preserve">314-797-9495  </t>
  </si>
  <si>
    <t>https://utrucking.com/admin/orders/6452562591932</t>
  </si>
  <si>
    <t>#18144</t>
  </si>
  <si>
    <t>willakmarks@gmail.com</t>
  </si>
  <si>
    <t>Willa Marks</t>
  </si>
  <si>
    <t>https://utrucking.com/admin/orders/6452575994044</t>
  </si>
  <si>
    <t>#18145</t>
  </si>
  <si>
    <t>Ross</t>
  </si>
  <si>
    <t>https://utrucking.com/admin/orders/6452580286652</t>
  </si>
  <si>
    <t>#18146</t>
  </si>
  <si>
    <t>swaggysloth98@gmail.com</t>
  </si>
  <si>
    <t>Cristian Guaman</t>
  </si>
  <si>
    <t>Cristian</t>
  </si>
  <si>
    <t>https://utrucking.com/admin/orders/6452596146364</t>
  </si>
  <si>
    <t>#18147</t>
  </si>
  <si>
    <t>ianmheft@gmail.com</t>
  </si>
  <si>
    <t>Heather Heft</t>
  </si>
  <si>
    <t>7323 Forsyth Blvd</t>
  </si>
  <si>
    <t xml:space="preserve">515 East 79th St
Apartment 4D </t>
  </si>
  <si>
    <t>Ian Heft</t>
  </si>
  <si>
    <t>https://utrucking.com/admin/orders/6452630519996</t>
  </si>
  <si>
    <t>#18148</t>
  </si>
  <si>
    <t>https://utrucking.com/admin/orders/6452651098300</t>
  </si>
  <si>
    <t>#18149</t>
  </si>
  <si>
    <t xml:space="preserve">212 Legend Drive
Sleepy Hollow, NY 10591 </t>
  </si>
  <si>
    <t>https://utrucking.com/admin/orders/6452687241404</t>
  </si>
  <si>
    <t>#18150</t>
  </si>
  <si>
    <t>fmoa0214@gmail.com</t>
  </si>
  <si>
    <t>Fallon Anderson</t>
  </si>
  <si>
    <t xml:space="preserve"> leaving on the 3rd, would like to have the boxes by the 2nd!!</t>
  </si>
  <si>
    <t>https://utrucking.com/admin/orders/6452692091068</t>
  </si>
  <si>
    <t>#18151</t>
  </si>
  <si>
    <t>Siri Nayakanti</t>
  </si>
  <si>
    <t>https://utrucking.com/admin/orders/6452712997052</t>
  </si>
  <si>
    <t>#18152</t>
  </si>
  <si>
    <t>elanamiriam@gmail.com</t>
  </si>
  <si>
    <t>Devora Ben-Tor</t>
  </si>
  <si>
    <t>https://utrucking.com/admin/orders/6452723777724</t>
  </si>
  <si>
    <t>#18153</t>
  </si>
  <si>
    <t>feliciaskwirblies@gmail.com</t>
  </si>
  <si>
    <t>Felicia Skwirblies</t>
  </si>
  <si>
    <t>https://utrucking.com/admin/orders/6452731248828</t>
  </si>
  <si>
    <t>#18154</t>
  </si>
  <si>
    <t>catepferreira@gmail.com</t>
  </si>
  <si>
    <t>Alison Smith</t>
  </si>
  <si>
    <t>Cate Ferreira</t>
  </si>
  <si>
    <t>https://utrucking.com/admin/orders/6452798259388</t>
  </si>
  <si>
    <t>#18155</t>
  </si>
  <si>
    <t>m.m.suarez@wustl.edu</t>
  </si>
  <si>
    <t>Megan Suarez</t>
  </si>
  <si>
    <t>605 Leland Ave Apt 405, University City, MO 63130</t>
  </si>
  <si>
    <t xml:space="preserve">6912 220th St. SW, #100, Mountlake Terrace, WA 98043 </t>
  </si>
  <si>
    <t>https://utrucking.com/admin/orders/6452827455676</t>
  </si>
  <si>
    <t>#18156</t>
  </si>
  <si>
    <t>priyanka_kirubakaran@hotmail.com</t>
  </si>
  <si>
    <t>Priyanka Kirubakaran</t>
  </si>
  <si>
    <t xml:space="preserve">Dont know </t>
  </si>
  <si>
    <t>Sahana</t>
  </si>
  <si>
    <t>https://utrucking.com/admin/orders/6452843282620</t>
  </si>
  <si>
    <t>#18157</t>
  </si>
  <si>
    <t>donnad1604@gmail.com</t>
  </si>
  <si>
    <t>Donna Do</t>
  </si>
  <si>
    <t>Evans</t>
  </si>
  <si>
    <t>https://utrucking.com/admin/orders/6452946698428</t>
  </si>
  <si>
    <t>#18158</t>
  </si>
  <si>
    <t>https://utrucking.com/admin/orders/6452972519612</t>
  </si>
  <si>
    <t>#18159</t>
  </si>
  <si>
    <t>Newton Highlands</t>
  </si>
  <si>
    <t xml:space="preserve">311 Upland Ave
Newton Highlands, Massachusetts 02461 </t>
  </si>
  <si>
    <t>https://utrucking.com/admin/orders/6452994736316</t>
  </si>
  <si>
    <t>#18160</t>
  </si>
  <si>
    <t>shaoruohan2007@outlook.com</t>
  </si>
  <si>
    <t>Ruohan Shao</t>
  </si>
  <si>
    <t>https://utrucking.com/admin/orders/6453001519292</t>
  </si>
  <si>
    <t>#18161</t>
  </si>
  <si>
    <t>abalding@gmail.com</t>
  </si>
  <si>
    <t>216-B</t>
  </si>
  <si>
    <t>Sadie Balding</t>
  </si>
  <si>
    <t>https://utrucking.com/admin/orders/6453015937212</t>
  </si>
  <si>
    <t>#18162</t>
  </si>
  <si>
    <t>npoon@wustl.edu</t>
  </si>
  <si>
    <t>https://utrucking.com/admin/orders/6453032321212</t>
  </si>
  <si>
    <t>#18163</t>
  </si>
  <si>
    <t xml:space="preserve">Justin Rosenblatt </t>
  </si>
  <si>
    <t>https://utrucking.com/admin/orders/6453058994364</t>
  </si>
  <si>
    <t>#18164</t>
  </si>
  <si>
    <t>e.e.garciabonilla@wustl.edu</t>
  </si>
  <si>
    <t>Emyli Garcia Bonilla</t>
  </si>
  <si>
    <t>https://utrucking.com/admin/orders/6453068759228</t>
  </si>
  <si>
    <t>#18165</t>
  </si>
  <si>
    <t>a.c.oliver@wustl.edu</t>
  </si>
  <si>
    <t>Archer Oliver</t>
  </si>
  <si>
    <t>4417</t>
  </si>
  <si>
    <t>Archer Campbell Oliver</t>
  </si>
  <si>
    <t>https://utrucking.com/admin/orders/6453386641596</t>
  </si>
  <si>
    <t>#18166</t>
  </si>
  <si>
    <t>gavinrcohen@gmail.com</t>
  </si>
  <si>
    <t>Gavin Cohen</t>
  </si>
  <si>
    <t>6146 Waterman Blvd, Apt. B
Saint Louis, MO 63112</t>
  </si>
  <si>
    <t>Providence</t>
  </si>
  <si>
    <t>Rhode Island</t>
  </si>
  <si>
    <t xml:space="preserve">238 Arlington Avenue
Providence, RI 02906 </t>
  </si>
  <si>
    <t xml:space="preserve"> Call when dropping off boxes.</t>
  </si>
  <si>
    <t>https://utrucking.com/admin/orders/6453493104828</t>
  </si>
  <si>
    <t>#18167</t>
  </si>
  <si>
    <t>https://utrucking.com/admin/orders/6453504966844</t>
  </si>
  <si>
    <t>#18168</t>
  </si>
  <si>
    <t>mlhaider2007@icloud.com</t>
  </si>
  <si>
    <t>Tariq Haider</t>
  </si>
  <si>
    <t>Piermont</t>
  </si>
  <si>
    <t>Miles</t>
  </si>
  <si>
    <t xml:space="preserve">Haider  </t>
  </si>
  <si>
    <t>https://utrucking.com/admin/orders/6453553955004</t>
  </si>
  <si>
    <t>#18169</t>
  </si>
  <si>
    <t xml:space="preserve">Sabrina Silbert 
200 West End Ave Apt 9G
New York NY 
10023 </t>
  </si>
  <si>
    <t xml:space="preserve"> Leaving for airport on 5/6 at 12 I have an order for both storage and ship</t>
  </si>
  <si>
    <t xml:space="preserve">646 939 2603  </t>
  </si>
  <si>
    <t>https://utrucking.com/admin/orders/6453607465148</t>
  </si>
  <si>
    <t>#18170</t>
  </si>
  <si>
    <t>https://utrucking.com/admin/orders/6453630468284</t>
  </si>
  <si>
    <t>#18171</t>
  </si>
  <si>
    <t>m.yuhua@wustl.edu</t>
  </si>
  <si>
    <t>Lavender Miao</t>
  </si>
  <si>
    <t xml:space="preserve">5535 delmar blvd，apt322, 63112 </t>
  </si>
  <si>
    <t>https://utrucking.com/admin/orders/6453657698492</t>
  </si>
  <si>
    <t>#18172</t>
  </si>
  <si>
    <t>vincenzo.theobald@gmail.com</t>
  </si>
  <si>
    <t>Vincenzo Theobald</t>
  </si>
  <si>
    <t>22207-1158</t>
  </si>
  <si>
    <t>https://utrucking.com/admin/orders/6453730934972</t>
  </si>
  <si>
    <t>#18173</t>
  </si>
  <si>
    <t>Robert Steinman</t>
  </si>
  <si>
    <t xml:space="preserve"> I also have a table, lamp and some beanbag chairs. </t>
  </si>
  <si>
    <t>https://utrucking.com/admin/orders/6453786804412</t>
  </si>
  <si>
    <t>#18174</t>
  </si>
  <si>
    <t>https://utrucking.com/admin/orders/6453795979452</t>
  </si>
  <si>
    <t>#18175</t>
  </si>
  <si>
    <t xml:space="preserve"> I also have additional items that won’t fit in the boxes, so I’ll label/tag them separately to be included in storage. They will also be in the room. </t>
  </si>
  <si>
    <t>https://utrucking.com/admin/orders/6453824848060</t>
  </si>
  <si>
    <t>#18176</t>
  </si>
  <si>
    <t>mia@touchetlaw.com</t>
  </si>
  <si>
    <t>Maria Touchet</t>
  </si>
  <si>
    <t>Sam Shiller</t>
  </si>
  <si>
    <t>https://utrucking.com/admin/orders/6453907751100</t>
  </si>
  <si>
    <t>#18177</t>
  </si>
  <si>
    <t>jean061206@gmail.com</t>
  </si>
  <si>
    <t>Jean Kim</t>
  </si>
  <si>
    <t>131</t>
  </si>
  <si>
    <t>https://utrucking.com/admin/orders/6453997961404</t>
  </si>
  <si>
    <t>#18178</t>
  </si>
  <si>
    <t>a.goodwin-maturino@wustl.edu</t>
  </si>
  <si>
    <t>Alston Goodwin</t>
  </si>
  <si>
    <t>Alston</t>
  </si>
  <si>
    <t>https://utrucking.com/admin/orders/6454044459196</t>
  </si>
  <si>
    <t>#18179</t>
  </si>
  <si>
    <t>joshpoeschel@gmail.com</t>
  </si>
  <si>
    <t>Joshua Poeschel</t>
  </si>
  <si>
    <t>https://utrucking.com/admin/orders/6454049046716</t>
  </si>
  <si>
    <t>#18180</t>
  </si>
  <si>
    <t>utrucking.aversion405@passinbox.com</t>
  </si>
  <si>
    <t>Monica Zubler</t>
  </si>
  <si>
    <t>https://utrucking.com/admin/orders/6454126477500</t>
  </si>
  <si>
    <t>#18181</t>
  </si>
  <si>
    <t>starkey@wustl.edu</t>
  </si>
  <si>
    <t>12</t>
  </si>
  <si>
    <t xml:space="preserve">199 Webber Ave, Sleepy Hollow, NY 10591 </t>
  </si>
  <si>
    <t>https://utrucking.com/admin/orders/6454127820988</t>
  </si>
  <si>
    <t>#18182</t>
  </si>
  <si>
    <t>Ellis Coyier</t>
  </si>
  <si>
    <t>https://utrucking.com/admin/orders/6454168813756</t>
  </si>
  <si>
    <t>#18183</t>
  </si>
  <si>
    <t>xyuxuan@wustl.edu</t>
  </si>
  <si>
    <t>Min Zhang</t>
  </si>
  <si>
    <t>10025-2033</t>
  </si>
  <si>
    <t>Yuxuan Xu</t>
  </si>
  <si>
    <t>https://utrucking.com/admin/orders/6454172745916</t>
  </si>
  <si>
    <t>#18184</t>
  </si>
  <si>
    <t>pearlescentsakura@gmail.com</t>
  </si>
  <si>
    <t>Jin Zuo</t>
  </si>
  <si>
    <t>Hillsborough</t>
  </si>
  <si>
    <t>Cindy Wu</t>
  </si>
  <si>
    <t>https://utrucking.com/admin/orders/6454212853948</t>
  </si>
  <si>
    <t>#18185</t>
  </si>
  <si>
    <t>gustavo.m@wustl.edu</t>
  </si>
  <si>
    <t>106C</t>
  </si>
  <si>
    <t>https://utrucking.com/admin/orders/6454305980604</t>
  </si>
  <si>
    <t>#18186</t>
  </si>
  <si>
    <t>MoisesAbautista@gmail.com</t>
  </si>
  <si>
    <t>Moises Bautista</t>
  </si>
  <si>
    <t>Moises Bautista Alvarado</t>
  </si>
  <si>
    <t>https://utrucking.com/admin/orders/6454367355068</t>
  </si>
  <si>
    <t>#18187</t>
  </si>
  <si>
    <t>https://utrucking.com/admin/orders/6454379249852</t>
  </si>
  <si>
    <t>#18188</t>
  </si>
  <si>
    <t>https://utrucking.com/admin/orders/6454380888252</t>
  </si>
  <si>
    <t>#18189</t>
  </si>
  <si>
    <t>https://utrucking.com/admin/orders/6454382788796</t>
  </si>
  <si>
    <t>#18190</t>
  </si>
  <si>
    <t>https://utrucking.com/admin/orders/6454407725244</t>
  </si>
  <si>
    <t>#18191</t>
  </si>
  <si>
    <t>https://utrucking.com/admin/orders/6454463955132</t>
  </si>
  <si>
    <t>#18192</t>
  </si>
  <si>
    <t>sara.a@wustl.edu</t>
  </si>
  <si>
    <t>Sara Alfarhan</t>
  </si>
  <si>
    <t xml:space="preserve"> do fridges fit in the boxes ?</t>
  </si>
  <si>
    <t>https://utrucking.com/admin/orders/6454497968316</t>
  </si>
  <si>
    <t>#18193</t>
  </si>
  <si>
    <t>evelyn.bekker@gmail.com</t>
  </si>
  <si>
    <t>Evelyn Bekker</t>
  </si>
  <si>
    <t>https://utrucking.com/admin/orders/6454624551100</t>
  </si>
  <si>
    <t>#18194</t>
  </si>
  <si>
    <t>nicolebriceno@outlook.com</t>
  </si>
  <si>
    <t>(407) 860-9158</t>
  </si>
  <si>
    <t>Carol Diaz</t>
  </si>
  <si>
    <t>3111-A</t>
  </si>
  <si>
    <t xml:space="preserve">9612 Piccadilly Sky Way. Orlando FL 32827 </t>
  </si>
  <si>
    <t>Nicole Briceno</t>
  </si>
  <si>
    <t>https://utrucking.com/admin/orders/6454741696700</t>
  </si>
  <si>
    <t>#18195</t>
  </si>
  <si>
    <t>6031-2 Westminster</t>
  </si>
  <si>
    <t>https://utrucking.com/admin/orders/6454795108540</t>
  </si>
  <si>
    <t>#18196</t>
  </si>
  <si>
    <t>emmaxli.2005@gmail.com</t>
  </si>
  <si>
    <t>Emma Li</t>
  </si>
  <si>
    <t>https://utrucking.com/admin/orders/6454860447932</t>
  </si>
  <si>
    <t>#18197</t>
  </si>
  <si>
    <t>https://utrucking.com/admin/orders/6454872277180</t>
  </si>
  <si>
    <t>#18198</t>
  </si>
  <si>
    <t>a.djalal@wustl.edu</t>
  </si>
  <si>
    <t>Alexa Djalal</t>
  </si>
  <si>
    <t>1012</t>
  </si>
  <si>
    <t>https://utrucking.com/admin/orders/6454977855676</t>
  </si>
  <si>
    <t>#18199</t>
  </si>
  <si>
    <t>namyagupta07@gmail.com</t>
  </si>
  <si>
    <t>Namya Gupta</t>
  </si>
  <si>
    <t>32</t>
  </si>
  <si>
    <t>https://utrucking.com/admin/orders/6454978805948</t>
  </si>
  <si>
    <t>#18200</t>
  </si>
  <si>
    <t>swansonm@wustl.edu</t>
  </si>
  <si>
    <t>Max Swanson</t>
  </si>
  <si>
    <t xml:space="preserve"> Will be left in front of the door with note for verification</t>
  </si>
  <si>
    <t>https://utrucking.com/admin/orders/6455055712444</t>
  </si>
  <si>
    <t>#18201</t>
  </si>
  <si>
    <t>rebeccabialick@gmail.com</t>
  </si>
  <si>
    <t>Rebecca Bialick</t>
  </si>
  <si>
    <t xml:space="preserve">973-936-2855  </t>
  </si>
  <si>
    <t>https://utrucking.com/admin/orders/6455093919932</t>
  </si>
  <si>
    <t>#18202</t>
  </si>
  <si>
    <t>433a</t>
  </si>
  <si>
    <t>https://utrucking.com/admin/orders/6455160504508</t>
  </si>
  <si>
    <t>#18203</t>
  </si>
  <si>
    <t>d.graziano@wustl.edu</t>
  </si>
  <si>
    <t>Andrea Graziano</t>
  </si>
  <si>
    <t>Southport</t>
  </si>
  <si>
    <t>204B</t>
  </si>
  <si>
    <t xml:space="preserve"> Will be in non university housing next year, still confirming address </t>
  </si>
  <si>
    <t xml:space="preserve">Danny Graziano </t>
  </si>
  <si>
    <t>https://utrucking.com/admin/orders/6455176036540</t>
  </si>
  <si>
    <t>#18204</t>
  </si>
  <si>
    <t>taylormarlowe@gmail.com</t>
  </si>
  <si>
    <t>https://utrucking.com/admin/orders/6455207264444</t>
  </si>
  <si>
    <t>#18205</t>
  </si>
  <si>
    <t>Spencerlincolnmd@gmail.com</t>
  </si>
  <si>
    <t>Spencer Morse-deBrier</t>
  </si>
  <si>
    <t>1228</t>
  </si>
  <si>
    <t xml:space="preserve">1881 Carmelita Dr. San Carlos CA.  </t>
  </si>
  <si>
    <t>https://utrucking.com/admin/orders/6455208149180</t>
  </si>
  <si>
    <t>#18206</t>
  </si>
  <si>
    <t>a.sedeen@wustl.edu</t>
  </si>
  <si>
    <t>Sedeen Alfityani</t>
  </si>
  <si>
    <t>Rancho Cucamonga</t>
  </si>
  <si>
    <t>107</t>
  </si>
  <si>
    <t xml:space="preserve">Sedeen Alfityani </t>
  </si>
  <si>
    <t>https://utrucking.com/admin/orders/6455226106044</t>
  </si>
  <si>
    <t>#18207</t>
  </si>
  <si>
    <t>m.e.mohanty@wustl.edu</t>
  </si>
  <si>
    <t>https://utrucking.com/admin/orders/6455232495804</t>
  </si>
  <si>
    <t>#18208</t>
  </si>
  <si>
    <t>https://utrucking.com/admin/orders/6455235248316</t>
  </si>
  <si>
    <t>#18209</t>
  </si>
  <si>
    <t>henson.l@wustl.edu</t>
  </si>
  <si>
    <t>Liam Henson</t>
  </si>
  <si>
    <t>Smithtown</t>
  </si>
  <si>
    <t>https://utrucking.com/admin/orders/6455270277308</t>
  </si>
  <si>
    <t>#18210</t>
  </si>
  <si>
    <t>Fridge is already in lobby of building</t>
  </si>
  <si>
    <t xml:space="preserve">224-999-2298  </t>
  </si>
  <si>
    <t>https://utrucking.com/admin/orders/6455272603836</t>
  </si>
  <si>
    <t>#18211</t>
  </si>
  <si>
    <t>oliviavanlandingham@gmail.com</t>
  </si>
  <si>
    <t>https://utrucking.com/admin/orders/6455345381564</t>
  </si>
  <si>
    <t>#18212</t>
  </si>
  <si>
    <t>michaeljmathew420@gmail.com</t>
  </si>
  <si>
    <t>https://utrucking.com/admin/orders/6455389028540</t>
  </si>
  <si>
    <t>#18213</t>
  </si>
  <si>
    <t>e.samer@wustl.edu</t>
  </si>
  <si>
    <t>https://utrucking.com/admin/orders/6455406330044</t>
  </si>
  <si>
    <t>#18214</t>
  </si>
  <si>
    <t>anashannon@gmail.com</t>
  </si>
  <si>
    <t>Ana Shannon</t>
  </si>
  <si>
    <t>419 Donaldson Street
Highland Park, NJ  08904</t>
  </si>
  <si>
    <t>Emma Shannon</t>
  </si>
  <si>
    <t xml:space="preserve">908-630-7950  </t>
  </si>
  <si>
    <t>https://utrucking.com/admin/orders/6455492870332</t>
  </si>
  <si>
    <t>#18215</t>
  </si>
  <si>
    <t>a.a.vaidya@wustl.edu</t>
  </si>
  <si>
    <t>Aarav Vaidya</t>
  </si>
  <si>
    <t>4010</t>
  </si>
  <si>
    <t>https://utrucking.com/admin/orders/6455507091644</t>
  </si>
  <si>
    <t>#18216</t>
  </si>
  <si>
    <t xml:space="preserve"> 101F </t>
  </si>
  <si>
    <t>https://utrucking.com/admin/orders/6455511515324</t>
  </si>
  <si>
    <t>#18217</t>
  </si>
  <si>
    <t>https://utrucking.com/admin/orders/6455539400892</t>
  </si>
  <si>
    <t>#18218</t>
  </si>
  <si>
    <t xml:space="preserve">36 Andrews Farm Road, Greenwich, CT 06831 </t>
  </si>
  <si>
    <t>https://utrucking.com/admin/orders/6455608967356</t>
  </si>
  <si>
    <t>#18219</t>
  </si>
  <si>
    <t>https://utrucking.com/admin/orders/6455630495932</t>
  </si>
  <si>
    <t>#18220</t>
  </si>
  <si>
    <t>pdriles@gmail.com</t>
  </si>
  <si>
    <t>Patrick Riley</t>
  </si>
  <si>
    <t>6105 Delmar Boulevard, Apartment 1417</t>
  </si>
  <si>
    <t xml:space="preserve"> I live in Everly on the Loop</t>
  </si>
  <si>
    <t>https://utrucking.com/admin/orders/6455631446204</t>
  </si>
  <si>
    <t>#18221</t>
  </si>
  <si>
    <t>Andrea Elisa Gabriel</t>
  </si>
  <si>
    <t>https://utrucking.com/admin/orders/6455639933116</t>
  </si>
  <si>
    <t>#18222</t>
  </si>
  <si>
    <t>alex.pang@wustl.edu</t>
  </si>
  <si>
    <t>Alex Pang</t>
  </si>
  <si>
    <t>https://utrucking.com/admin/orders/6455760158908</t>
  </si>
  <si>
    <t>#18223</t>
  </si>
  <si>
    <t>yishenz@wustl.edu</t>
  </si>
  <si>
    <t>Eason Zhao</t>
  </si>
  <si>
    <t>https://utrucking.com/admin/orders/6455780442300</t>
  </si>
  <si>
    <t>#18224</t>
  </si>
  <si>
    <t>1-N-A</t>
  </si>
  <si>
    <t>340 Rosedale Ave</t>
  </si>
  <si>
    <t xml:space="preserve">(641)-501-8333  </t>
  </si>
  <si>
    <t>https://utrucking.com/admin/orders/6455825596604</t>
  </si>
  <si>
    <t>#18225</t>
  </si>
  <si>
    <t>ytseo2020@gmail.com</t>
  </si>
  <si>
    <t>6669 Washington Ave Apt 103
Saint Louis MO 63130</t>
  </si>
  <si>
    <t xml:space="preserve"> Please call when you arrive at the apartment. Also, there will be my PC and Monitor which are extremely fragile in one of the boxes I will mark as fragile, so please handle it with care. If possible, additional bubble wrap will be greatly appreciated.</t>
  </si>
  <si>
    <t>https://utrucking.com/admin/orders/6455838671036</t>
  </si>
  <si>
    <t>#18226</t>
  </si>
  <si>
    <t>esme@wustl.edu</t>
  </si>
  <si>
    <t xml:space="preserve">917-576-3017  </t>
  </si>
  <si>
    <t>https://utrucking.com/admin/orders/6455865999548</t>
  </si>
  <si>
    <t>#18227</t>
  </si>
  <si>
    <t>b.cailyn@wustl.edu</t>
  </si>
  <si>
    <t>Cailyn Baer</t>
  </si>
  <si>
    <t>Hastings On Hudson, NY</t>
  </si>
  <si>
    <t>https://utrucking.com/admin/orders/6456004772028</t>
  </si>
  <si>
    <t>#18228</t>
  </si>
  <si>
    <t>https://utrucking.com/admin/orders/6456013848764</t>
  </si>
  <si>
    <t>#18229</t>
  </si>
  <si>
    <t>nmcguire1127@gmail.com</t>
  </si>
  <si>
    <t>Bloomingdale</t>
  </si>
  <si>
    <t>4100</t>
  </si>
  <si>
    <t>https://utrucking.com/admin/orders/6456025743548</t>
  </si>
  <si>
    <t>#18230</t>
  </si>
  <si>
    <t>j.j.sieben@wustl.edu</t>
  </si>
  <si>
    <t>https://utrucking.com/admin/orders/6456031740092</t>
  </si>
  <si>
    <t>#18231</t>
  </si>
  <si>
    <t>Trevor Krejdovsky</t>
  </si>
  <si>
    <t>https://utrucking.com/admin/orders/6456044880060</t>
  </si>
  <si>
    <t>#18232</t>
  </si>
  <si>
    <t>https://utrucking.com/admin/orders/6456113627324</t>
  </si>
  <si>
    <t>#18233</t>
  </si>
  <si>
    <t>5933 Kingsbury Ave, Apt 3E</t>
  </si>
  <si>
    <t>https://utrucking.com/admin/orders/6456148033724</t>
  </si>
  <si>
    <t>#18234</t>
  </si>
  <si>
    <t>kdiemtins218@gmail.com</t>
  </si>
  <si>
    <t>Kyla Tinsley</t>
  </si>
  <si>
    <t>Rock Hill</t>
  </si>
  <si>
    <t>https://utrucking.com/admin/orders/6456156258492</t>
  </si>
  <si>
    <t>#18235</t>
  </si>
  <si>
    <t>danishipon@gmail.com</t>
  </si>
  <si>
    <t>Dani Shipon</t>
  </si>
  <si>
    <t>7035 waterman ave. 
St Louis, MO 63130</t>
  </si>
  <si>
    <t xml:space="preserve">237 south 18th street apt 15d 
philadelphia PA 19103 </t>
  </si>
  <si>
    <t>https://utrucking.com/admin/orders/6456161829052</t>
  </si>
  <si>
    <t>#18236</t>
  </si>
  <si>
    <t>lea.l@wustl.edu</t>
  </si>
  <si>
    <t>Lea Lu</t>
  </si>
  <si>
    <t>https://utrucking.com/admin/orders/6456215011516</t>
  </si>
  <si>
    <t>#18237</t>
  </si>
  <si>
    <t>Rachel Fike</t>
  </si>
  <si>
    <t>https://utrucking.com/admin/orders/6456239390908</t>
  </si>
  <si>
    <t>#18238</t>
  </si>
  <si>
    <t>danielhrmz88@gmail.com</t>
  </si>
  <si>
    <t xml:space="preserve">5129 Vera Cruz Dr, Garland, Texas, 75043 </t>
  </si>
  <si>
    <t>https://utrucking.com/admin/orders/6456245059772</t>
  </si>
  <si>
    <t>#18239</t>
  </si>
  <si>
    <t>blew8006@gmail.com</t>
  </si>
  <si>
    <t>https://utrucking.com/admin/orders/6456277205180</t>
  </si>
  <si>
    <t>#18240</t>
  </si>
  <si>
    <t>becca_karon@verizon.net</t>
  </si>
  <si>
    <t>Becca Karon</t>
  </si>
  <si>
    <t>https://utrucking.com/admin/orders/6456323178684</t>
  </si>
  <si>
    <t>#18241</t>
  </si>
  <si>
    <t>winklerr@wustl.edu</t>
  </si>
  <si>
    <t>Rebecca Winkler</t>
  </si>
  <si>
    <t>https://utrucking.com/admin/orders/6456346181820</t>
  </si>
  <si>
    <t>#18242</t>
  </si>
  <si>
    <t>spencereyamamoto@gmail.com</t>
  </si>
  <si>
    <t>https://utrucking.com/admin/orders/6456358305980</t>
  </si>
  <si>
    <t>#18243</t>
  </si>
  <si>
    <t>Amy John</t>
  </si>
  <si>
    <t>Wolfeboro</t>
  </si>
  <si>
    <t>https://utrucking.com/admin/orders/6456432033980</t>
  </si>
  <si>
    <t>#18244</t>
  </si>
  <si>
    <t>korlando7225@gmail.com</t>
  </si>
  <si>
    <t>https://utrucking.com/admin/orders/6456457199804</t>
  </si>
  <si>
    <t>#18245</t>
  </si>
  <si>
    <t>Jaci Lee</t>
  </si>
  <si>
    <t>2050</t>
  </si>
  <si>
    <t>https://utrucking.com/admin/orders/6456488558780</t>
  </si>
  <si>
    <t>#18246</t>
  </si>
  <si>
    <t>dnoelle@wustl.edu</t>
  </si>
  <si>
    <t>Noelle Dolan</t>
  </si>
  <si>
    <t>https://utrucking.com/admin/orders/6456501239996</t>
  </si>
  <si>
    <t>#18247</t>
  </si>
  <si>
    <t>charlie.l.why@gmail.com</t>
  </si>
  <si>
    <t>https://utrucking.com/admin/orders/6456539775164</t>
  </si>
  <si>
    <t>#18248</t>
  </si>
  <si>
    <t>saint louis</t>
  </si>
  <si>
    <t>https://utrucking.com/admin/orders/6456585388220</t>
  </si>
  <si>
    <t>#18249</t>
  </si>
  <si>
    <t xml:space="preserve">505-297-9003  </t>
  </si>
  <si>
    <t>https://utrucking.com/admin/orders/6456587813052</t>
  </si>
  <si>
    <t>#18250</t>
  </si>
  <si>
    <t>tammystevenson1@gmail.com</t>
  </si>
  <si>
    <t>272</t>
  </si>
  <si>
    <t>Maya Stevenson</t>
  </si>
  <si>
    <t>https://utrucking.com/admin/orders/6456602263740</t>
  </si>
  <si>
    <t>#18251</t>
  </si>
  <si>
    <t>emhorvath15@gmail.com</t>
  </si>
  <si>
    <t>Erica Fite</t>
  </si>
  <si>
    <t>6805 Washington Avenue Apartment 2W
University City, MO 63130</t>
  </si>
  <si>
    <t>10012-5608</t>
  </si>
  <si>
    <t xml:space="preserve">116 Sullivan Street New York, NY 10012 </t>
  </si>
  <si>
    <t>Eva Horvath</t>
  </si>
  <si>
    <t>https://utrucking.com/admin/orders/6456633819324</t>
  </si>
  <si>
    <t>#18252</t>
  </si>
  <si>
    <t>e.kelsey@wustl.edu</t>
  </si>
  <si>
    <t>Kelsey Espenshade</t>
  </si>
  <si>
    <t>https://utrucking.com/admin/orders/6456642601148</t>
  </si>
  <si>
    <t>#18253</t>
  </si>
  <si>
    <t>amanaj26@icloud.com</t>
  </si>
  <si>
    <t>https://utrucking.com/admin/orders/6456655675580</t>
  </si>
  <si>
    <t>#18254</t>
  </si>
  <si>
    <t>Alberto Herrera</t>
  </si>
  <si>
    <t>https://utrucking.com/admin/orders/6456658854076</t>
  </si>
  <si>
    <t>#18255</t>
  </si>
  <si>
    <t>dram@wustl.edu</t>
  </si>
  <si>
    <t>3306</t>
  </si>
  <si>
    <t>https://utrucking.com/admin/orders/6456702828732</t>
  </si>
  <si>
    <t>#18256</t>
  </si>
  <si>
    <t>John Warren</t>
  </si>
  <si>
    <t>https://utrucking.com/admin/orders/6456738709692</t>
  </si>
  <si>
    <t>#18257</t>
  </si>
  <si>
    <t>aarush.banoor@gmail.com</t>
  </si>
  <si>
    <t xml:space="preserve">0700 </t>
  </si>
  <si>
    <t>Aarush</t>
  </si>
  <si>
    <t>https://utrucking.com/admin/orders/6456755093692</t>
  </si>
  <si>
    <t>#18258</t>
  </si>
  <si>
    <t>a.thadani@wustl.edu</t>
  </si>
  <si>
    <t>https://utrucking.com/admin/orders/6456824955068</t>
  </si>
  <si>
    <t>#18259</t>
  </si>
  <si>
    <t>abribriesco06@gmail.com</t>
  </si>
  <si>
    <t>https://utrucking.com/admin/orders/6456869519548</t>
  </si>
  <si>
    <t>#18260</t>
  </si>
  <si>
    <t>tianruiyang123@gmail.com</t>
  </si>
  <si>
    <t>Tianrui Yang</t>
  </si>
  <si>
    <t>Aria Yang</t>
  </si>
  <si>
    <t>https://utrucking.com/admin/orders/6456881119420</t>
  </si>
  <si>
    <t>#18261</t>
  </si>
  <si>
    <t>yunaima.hernandez@gmail.com</t>
  </si>
  <si>
    <t>Yunaima Rodriguez</t>
  </si>
  <si>
    <t>Hillsboro Bch</t>
  </si>
  <si>
    <t>Sebastian Rodriguez</t>
  </si>
  <si>
    <t xml:space="preserve">201-962-5659  </t>
  </si>
  <si>
    <t>https://utrucking.com/admin/orders/6456885018812</t>
  </si>
  <si>
    <t>#18262</t>
  </si>
  <si>
    <t>lperki2020@gmail.com</t>
  </si>
  <si>
    <t>Y Perkins</t>
  </si>
  <si>
    <t xml:space="preserve">225-380-7795  </t>
  </si>
  <si>
    <t>https://utrucking.com/admin/orders/6456940265660</t>
  </si>
  <si>
    <t>#18263</t>
  </si>
  <si>
    <t>gaddamn@wustl.edu</t>
  </si>
  <si>
    <t>LL227</t>
  </si>
  <si>
    <t>https://utrucking.com/admin/orders/6457002655932</t>
  </si>
  <si>
    <t>#18264</t>
  </si>
  <si>
    <t>jaredmorton809@gmail.com</t>
  </si>
  <si>
    <t xml:space="preserve">301-275-0327  </t>
  </si>
  <si>
    <t>https://utrucking.com/admin/orders/6457108594876</t>
  </si>
  <si>
    <t>#18265</t>
  </si>
  <si>
    <t>https://utrucking.com/admin/orders/6457493160124</t>
  </si>
  <si>
    <t>#18266</t>
  </si>
  <si>
    <t xml:space="preserve">  Umrath 2233A</t>
  </si>
  <si>
    <t xml:space="preserve"> Elliott B</t>
  </si>
  <si>
    <t xml:space="preserve">Housing has approved extension, moving from Umrath to Elliott B for the summer </t>
  </si>
  <si>
    <t xml:space="preserve"> Emma Borys</t>
  </si>
  <si>
    <t>https://utrucking.com/admin/orders/6457602506940</t>
  </si>
  <si>
    <t>#18267</t>
  </si>
  <si>
    <t>june061206@gmail.com</t>
  </si>
  <si>
    <t>June Kim</t>
  </si>
  <si>
    <t>https://utrucking.com/admin/orders/6457644810428</t>
  </si>
  <si>
    <t>#18268</t>
  </si>
  <si>
    <t xml:space="preserve">414-931-9292  </t>
  </si>
  <si>
    <t>https://utrucking.com/admin/orders/6457659523260</t>
  </si>
  <si>
    <t>#18269</t>
  </si>
  <si>
    <t>tjchiu1018@gmail.com</t>
  </si>
  <si>
    <t xml:space="preserve">551-222-1882  </t>
  </si>
  <si>
    <t>https://utrucking.com/admin/orders/6457704612028</t>
  </si>
  <si>
    <t>#18270</t>
  </si>
  <si>
    <t>https://utrucking.com/admin/orders/6457707954364</t>
  </si>
  <si>
    <t>#18271</t>
  </si>
  <si>
    <t>sohamehta11@gmail.com</t>
  </si>
  <si>
    <t>https://utrucking.com/admin/orders/6457711263932</t>
  </si>
  <si>
    <t>#18272</t>
  </si>
  <si>
    <t>Ella Mettke</t>
  </si>
  <si>
    <t xml:space="preserve">917-882-1963  </t>
  </si>
  <si>
    <t>https://utrucking.com/admin/orders/6457716768956</t>
  </si>
  <si>
    <t>#18273</t>
  </si>
  <si>
    <t>igoogl924@gmail.com</t>
  </si>
  <si>
    <t>Sampath Pippala</t>
  </si>
  <si>
    <t>O'Fallon</t>
  </si>
  <si>
    <t>Nithya Pippala</t>
  </si>
  <si>
    <t xml:space="preserve">636-439-3586   </t>
  </si>
  <si>
    <t>https://utrucking.com/admin/orders/6457767395516</t>
  </si>
  <si>
    <t>#18274</t>
  </si>
  <si>
    <t>julia.f.markowitz@icloud.com</t>
  </si>
  <si>
    <t>https://utrucking.com/admin/orders/6457773392060</t>
  </si>
  <si>
    <t>#18275</t>
  </si>
  <si>
    <t>https://utrucking.com/admin/orders/6457847677116</t>
  </si>
  <si>
    <t>#18276</t>
  </si>
  <si>
    <t>heathc@wustl.edu</t>
  </si>
  <si>
    <t>Cecilia Heath</t>
  </si>
  <si>
    <t xml:space="preserve">415-999-6664  </t>
  </si>
  <si>
    <t>https://utrucking.com/admin/orders/6457935954108</t>
  </si>
  <si>
    <t>#18277</t>
  </si>
  <si>
    <t xml:space="preserve">3090 </t>
  </si>
  <si>
    <t>https://utrucking.com/admin/orders/6457942278332</t>
  </si>
  <si>
    <t>#18278</t>
  </si>
  <si>
    <t>calebyou26@gmail.com</t>
  </si>
  <si>
    <t>https://utrucking.com/admin/orders/6457953616060</t>
  </si>
  <si>
    <t>#18279</t>
  </si>
  <si>
    <t xml:space="preserve">201 Dorchester Road Scarsdale NY 10583 </t>
  </si>
  <si>
    <t>https://utrucking.com/admin/orders/6457966854332</t>
  </si>
  <si>
    <t>#18280</t>
  </si>
  <si>
    <t>y.tan@wustl.edu</t>
  </si>
  <si>
    <t>Thomas Tan</t>
  </si>
  <si>
    <t>Yuyang Tan</t>
  </si>
  <si>
    <t>https://utrucking.com/admin/orders/6457968263356</t>
  </si>
  <si>
    <t>#18281</t>
  </si>
  <si>
    <t>marshallfisher423@gmail.com</t>
  </si>
  <si>
    <t>https://utrucking.com/admin/orders/6457968394428</t>
  </si>
  <si>
    <t>#18282</t>
  </si>
  <si>
    <t>csnossel@gmail.com</t>
  </si>
  <si>
    <t>3133-A</t>
  </si>
  <si>
    <t xml:space="preserve">917-588-6662  </t>
  </si>
  <si>
    <t>https://utrucking.com/admin/orders/6457979240636</t>
  </si>
  <si>
    <t>#18283</t>
  </si>
  <si>
    <t>Cecilia Anderson</t>
  </si>
  <si>
    <t>https://utrucking.com/admin/orders/6458021904572</t>
  </si>
  <si>
    <t>#18284</t>
  </si>
  <si>
    <t>dickie@wustl.edu</t>
  </si>
  <si>
    <t>https://utrucking.com/admin/orders/6458029965500</t>
  </si>
  <si>
    <t>#18285</t>
  </si>
  <si>
    <t>https://utrucking.com/admin/orders/6458101235900</t>
  </si>
  <si>
    <t>#18286</t>
  </si>
  <si>
    <t>3093-A</t>
  </si>
  <si>
    <t xml:space="preserve"> Hi there! I’m moving in early (move in on the 19th), I indicated for the move-in date to be the 18th, but just wanted to leave a note as well :)</t>
  </si>
  <si>
    <t>https://utrucking.com/admin/orders/6458146685116</t>
  </si>
  <si>
    <t>#18287</t>
  </si>
  <si>
    <t>https://utrucking.com/admin/orders/6458203537596</t>
  </si>
  <si>
    <t>#18288</t>
  </si>
  <si>
    <t>jackl803@comcast.net</t>
  </si>
  <si>
    <t xml:space="preserve">John Link </t>
  </si>
  <si>
    <t>https://utrucking.com/admin/orders/6458276151484</t>
  </si>
  <si>
    <t>#18289</t>
  </si>
  <si>
    <t>crystal_s_bell@yahoo.com</t>
  </si>
  <si>
    <t>Crystal Bell</t>
  </si>
  <si>
    <t>https://utrucking.com/admin/orders/6458303840444</t>
  </si>
  <si>
    <t>#18290</t>
  </si>
  <si>
    <t>mari@philipsborn.net</t>
  </si>
  <si>
    <t>132</t>
  </si>
  <si>
    <t>Eli Terman/Ellis Brown</t>
  </si>
  <si>
    <t xml:space="preserve">(773) 712-9525/(773) 998-9040  </t>
  </si>
  <si>
    <t>https://utrucking.com/admin/orders/6458308165820</t>
  </si>
  <si>
    <t>#18291</t>
  </si>
  <si>
    <t>k.l.meyer@wustl.edu</t>
  </si>
  <si>
    <t>Kyra Meyer</t>
  </si>
  <si>
    <t xml:space="preserve">  4959 Manchester Ave St. Louis, MO 63110</t>
  </si>
  <si>
    <t xml:space="preserve"> 608 Kingsland Avenue, Suite 403, St. Louis, MO 63130</t>
  </si>
  <si>
    <t>I would like to start between 9-1pm but we can discuss closer to June 4th what works best! I would ideally like to start around 9-1pm, but we can discuss more closer to June 4th!</t>
  </si>
  <si>
    <t xml:space="preserve"> Kyra Meyer</t>
  </si>
  <si>
    <t>https://utrucking.com/admin/orders/6458331136188</t>
  </si>
  <si>
    <t>#18292</t>
  </si>
  <si>
    <t>https://utrucking.com/admin/orders/6458384449724</t>
  </si>
  <si>
    <t>#18293</t>
  </si>
  <si>
    <t>yangchloelee@gmail.com</t>
  </si>
  <si>
    <t>Chloe Yang</t>
  </si>
  <si>
    <t>1034</t>
  </si>
  <si>
    <t>https://utrucking.com/admin/orders/6458694893756</t>
  </si>
  <si>
    <t>#18294</t>
  </si>
  <si>
    <t>Owen M McMurtrie</t>
  </si>
  <si>
    <t>https://utrucking.com/admin/orders/6458766065852</t>
  </si>
  <si>
    <t>#18295</t>
  </si>
  <si>
    <t>cdillon@wustl.edu</t>
  </si>
  <si>
    <t>Dillon Corsair</t>
  </si>
  <si>
    <t>6127 Waterman BLVD St Louis</t>
  </si>
  <si>
    <t xml:space="preserve">92 Woodland Street Tenafly NJ 07670 </t>
  </si>
  <si>
    <t>https://utrucking.com/admin/orders/6458774782140</t>
  </si>
  <si>
    <t>#18296</t>
  </si>
  <si>
    <t>dalehson@gmail.com</t>
  </si>
  <si>
    <t>https://utrucking.com/admin/orders/6458819313852</t>
  </si>
  <si>
    <t>#18297</t>
  </si>
  <si>
    <t>itsmeabbie100@gmail.com</t>
  </si>
  <si>
    <t>Abigail Schiff</t>
  </si>
  <si>
    <t>West Hartford</t>
  </si>
  <si>
    <t>https://utrucking.com/admin/orders/6458898317500</t>
  </si>
  <si>
    <t>#18298</t>
  </si>
  <si>
    <t>acbell1045@gmail.com</t>
  </si>
  <si>
    <t>Ashton Bell</t>
  </si>
  <si>
    <t>https://utrucking.com/admin/orders/6458910736572</t>
  </si>
  <si>
    <t>#18299</t>
  </si>
  <si>
    <t>gloigman@gmail.com</t>
  </si>
  <si>
    <t xml:space="preserve">44 Stuyvesant Avenue Larchmont NY 10538 </t>
  </si>
  <si>
    <t>https://utrucking.com/admin/orders/6458921943228</t>
  </si>
  <si>
    <t>#18300</t>
  </si>
  <si>
    <t>https://utrucking.com/admin/orders/6458943832252</t>
  </si>
  <si>
    <t>#18301</t>
  </si>
  <si>
    <t>maohua@wustl.edu</t>
  </si>
  <si>
    <t>https://utrucking.com/admin/orders/6458970112188</t>
  </si>
  <si>
    <t>#18302</t>
  </si>
  <si>
    <t>a.r.baum@wustl.edu</t>
  </si>
  <si>
    <t>(917) 374-1988</t>
  </si>
  <si>
    <t>Anabelle Baum</t>
  </si>
  <si>
    <t>510 Trinity Avenue
St. Louis, MO 63130</t>
  </si>
  <si>
    <t xml:space="preserve">59 East 89th Street 12AG
NYC,ny 10128 </t>
  </si>
  <si>
    <t>https://utrucking.com/admin/orders/6458979451068</t>
  </si>
  <si>
    <t>#18303</t>
  </si>
  <si>
    <t>sophiamsidhu24@gmail.com</t>
  </si>
  <si>
    <t>3050-3053</t>
  </si>
  <si>
    <t xml:space="preserve">704-692-0035  </t>
  </si>
  <si>
    <t>https://utrucking.com/admin/orders/6458988593340</t>
  </si>
  <si>
    <t>#18304</t>
  </si>
  <si>
    <t>West Newton</t>
  </si>
  <si>
    <t xml:space="preserve">617-893-2403  </t>
  </si>
  <si>
    <t>https://utrucking.com/admin/orders/6459009794236</t>
  </si>
  <si>
    <t>#18305</t>
  </si>
  <si>
    <t>h.ruy@wustl.edu</t>
  </si>
  <si>
    <t>3390</t>
  </si>
  <si>
    <t>https://utrucking.com/admin/orders/6459016872124</t>
  </si>
  <si>
    <t>#18306</t>
  </si>
  <si>
    <t>d.mukherjee@wustl.edu</t>
  </si>
  <si>
    <t>https://utrucking.com/admin/orders/6459033682108</t>
  </si>
  <si>
    <t>#18307</t>
  </si>
  <si>
    <t>elise.l.taylor@wustl.edu</t>
  </si>
  <si>
    <t>Kevin Taylor</t>
  </si>
  <si>
    <t>Waterbury</t>
  </si>
  <si>
    <t>3140</t>
  </si>
  <si>
    <t>Elise Taylor</t>
  </si>
  <si>
    <t xml:space="preserve">609.202.7230  </t>
  </si>
  <si>
    <t>https://utrucking.com/admin/orders/6459054293180</t>
  </si>
  <si>
    <t>#18308</t>
  </si>
  <si>
    <t>denozachary@gmail.com</t>
  </si>
  <si>
    <t>Deno Zachary</t>
  </si>
  <si>
    <t>1022</t>
  </si>
  <si>
    <t>201 E 69th St, Apt. 5o, New York, NY</t>
  </si>
  <si>
    <t>https://utrucking.com/admin/orders/6459085455548</t>
  </si>
  <si>
    <t>#18309</t>
  </si>
  <si>
    <t>https://utrucking.com/admin/orders/6459092304060</t>
  </si>
  <si>
    <t>#18310</t>
  </si>
  <si>
    <t>https://utrucking.com/admin/orders/6459105083580</t>
  </si>
  <si>
    <t>#18311</t>
  </si>
  <si>
    <t>a.eleanor@wustl.edu</t>
  </si>
  <si>
    <t>6105 Delmar Blvd
St. Louis, MO 63112
Apt 714a</t>
  </si>
  <si>
    <t>https://utrucking.com/admin/orders/6459106820284</t>
  </si>
  <si>
    <t>#18312</t>
  </si>
  <si>
    <t>3N-B-a</t>
  </si>
  <si>
    <t>https://utrucking.com/admin/orders/6459109834940</t>
  </si>
  <si>
    <t>#18313</t>
  </si>
  <si>
    <t>3N-A-a</t>
  </si>
  <si>
    <t>https://utrucking.com/admin/orders/6459139850428</t>
  </si>
  <si>
    <t>#18314</t>
  </si>
  <si>
    <t>eliskaprice@icloud.com</t>
  </si>
  <si>
    <t xml:space="preserve"> The fridge is in the suite common room. Thank you.</t>
  </si>
  <si>
    <t>https://utrucking.com/admin/orders/6459150303420</t>
  </si>
  <si>
    <t>#18315</t>
  </si>
  <si>
    <t>camilainsunza127@gmail.com</t>
  </si>
  <si>
    <t>https://utrucking.com/admin/orders/6459205550268</t>
  </si>
  <si>
    <t>#18316</t>
  </si>
  <si>
    <t>betsyslover@icloud.com</t>
  </si>
  <si>
    <t>https://utrucking.com/admin/orders/6459217019068</t>
  </si>
  <si>
    <t>#18317</t>
  </si>
  <si>
    <t>dwendler093@gmail.com</t>
  </si>
  <si>
    <t>Drew Wendler</t>
  </si>
  <si>
    <t xml:space="preserve">832-764-6569  </t>
  </si>
  <si>
    <t>https://utrucking.com/admin/orders/6459223277756</t>
  </si>
  <si>
    <t>#18318</t>
  </si>
  <si>
    <t>KarlaT5427@gmail.com</t>
  </si>
  <si>
    <t>Jesus Flores</t>
  </si>
  <si>
    <t>Karla Yadira Tiscareno</t>
  </si>
  <si>
    <t>https://utrucking.com/admin/orders/6459236679868</t>
  </si>
  <si>
    <t>#18319</t>
  </si>
  <si>
    <t>namiadenle345@gmail.com</t>
  </si>
  <si>
    <t>Edward Shen</t>
  </si>
  <si>
    <t>Floral Park</t>
  </si>
  <si>
    <t>Nami Adenle</t>
  </si>
  <si>
    <t>https://utrucking.com/admin/orders/6459275477180</t>
  </si>
  <si>
    <t>#18320</t>
  </si>
  <si>
    <t>https://utrucking.com/admin/orders/6459359756476</t>
  </si>
  <si>
    <t>#18321</t>
  </si>
  <si>
    <t xml:space="preserve">133 Okra, Irvine, CA, 92618 </t>
  </si>
  <si>
    <t>https://utrucking.com/admin/orders/6459389247676</t>
  </si>
  <si>
    <t>#18322</t>
  </si>
  <si>
    <t>quoyaschnell@icloud.com</t>
  </si>
  <si>
    <t>Quoya Schnell</t>
  </si>
  <si>
    <t>Pound Ridge</t>
  </si>
  <si>
    <t>10576-2127</t>
  </si>
  <si>
    <t>Quoya Dory Schnell</t>
  </si>
  <si>
    <t>https://utrucking.com/admin/orders/6459400290492</t>
  </si>
  <si>
    <t>#18323</t>
  </si>
  <si>
    <t>https://utrucking.com/admin/orders/6459435253948</t>
  </si>
  <si>
    <t>#18324</t>
  </si>
  <si>
    <t>lsackey@wightfoundation.com</t>
  </si>
  <si>
    <t>Leslie Sackey</t>
  </si>
  <si>
    <t>Union</t>
  </si>
  <si>
    <t>07083-4725</t>
  </si>
  <si>
    <t xml:space="preserve">1535 Rose Terrace
Union Township, NJ 07083 </t>
  </si>
  <si>
    <t>https://utrucking.com/admin/orders/6459464614076</t>
  </si>
  <si>
    <t>#18325</t>
  </si>
  <si>
    <t>https://utrucking.com/admin/orders/6459498725564</t>
  </si>
  <si>
    <t>#18326</t>
  </si>
  <si>
    <t>https://utrucking.com/admin/orders/6459545747644</t>
  </si>
  <si>
    <t>#18327</t>
  </si>
  <si>
    <t>bloom.s@wustl.edu</t>
  </si>
  <si>
    <t>https://utrucking.com/admin/orders/6459567898812</t>
  </si>
  <si>
    <t>#18328</t>
  </si>
  <si>
    <t>Aidan Raghu</t>
  </si>
  <si>
    <t>tenafly</t>
  </si>
  <si>
    <t>2120-A</t>
  </si>
  <si>
    <t>https://utrucking.com/admin/orders/6459581333692</t>
  </si>
  <si>
    <t>#18329</t>
  </si>
  <si>
    <t>https://utrucking.com/admin/orders/6459609186492</t>
  </si>
  <si>
    <t>#18330</t>
  </si>
  <si>
    <t>j.b.warren@wustl.edu</t>
  </si>
  <si>
    <t>Josh Warren</t>
  </si>
  <si>
    <t>https://utrucking.com/admin/orders/6459649097916</t>
  </si>
  <si>
    <t>#18331</t>
  </si>
  <si>
    <t>c.b.lee@wustl.edu</t>
  </si>
  <si>
    <t>Clara Beth Lee</t>
  </si>
  <si>
    <t>https://utrucking.com/admin/orders/6459721941180</t>
  </si>
  <si>
    <t>#18332</t>
  </si>
  <si>
    <t>Naomi Liang</t>
  </si>
  <si>
    <t>https://utrucking.com/admin/orders/6459739308220</t>
  </si>
  <si>
    <t>#18333</t>
  </si>
  <si>
    <t>aggarwal.i@wustl.edu</t>
  </si>
  <si>
    <t>Ishita Aggarwal</t>
  </si>
  <si>
    <t>Pleasanton</t>
  </si>
  <si>
    <t>https://utrucking.com/admin/orders/6459828502716</t>
  </si>
  <si>
    <t>#18334</t>
  </si>
  <si>
    <t>Minseok Choi</t>
  </si>
  <si>
    <t>63130-4400</t>
  </si>
  <si>
    <t>3113</t>
  </si>
  <si>
    <t xml:space="preserve">314-659-0578  </t>
  </si>
  <si>
    <t>https://utrucking.com/admin/orders/6459988836540</t>
  </si>
  <si>
    <t>#18335</t>
  </si>
  <si>
    <t>tranngocbaotran1417@gmail.com</t>
  </si>
  <si>
    <t>Van Tran</t>
  </si>
  <si>
    <t>Ngoc Tran</t>
  </si>
  <si>
    <t>https://utrucking.com/admin/orders/6460036153532</t>
  </si>
  <si>
    <t>#18336</t>
  </si>
  <si>
    <t>Stephanie May</t>
  </si>
  <si>
    <t>https://utrucking.com/admin/orders/6460072165564</t>
  </si>
  <si>
    <t>#18337</t>
  </si>
  <si>
    <t>byron.l@wustl.edu</t>
  </si>
  <si>
    <t>Peixuan Li</t>
  </si>
  <si>
    <t>Byron Li</t>
  </si>
  <si>
    <t xml:space="preserve">314 896 5537  </t>
  </si>
  <si>
    <t>https://utrucking.com/admin/orders/6460198912188</t>
  </si>
  <si>
    <t>#18338</t>
  </si>
  <si>
    <t>kipfaison6@gmail.com</t>
  </si>
  <si>
    <t>B-2G</t>
  </si>
  <si>
    <t xml:space="preserve">32 Revere Road
Washington, CT 06793 </t>
  </si>
  <si>
    <t xml:space="preserve">Kip Faison </t>
  </si>
  <si>
    <t>https://utrucking.com/admin/orders/6460203237564</t>
  </si>
  <si>
    <t>#18339</t>
  </si>
  <si>
    <t>a.h.berman@wustl.edu</t>
  </si>
  <si>
    <t>Allison Berman</t>
  </si>
  <si>
    <t>6186 Waterman Blvd.</t>
  </si>
  <si>
    <t>https://utrucking.com/admin/orders/6460223783100</t>
  </si>
  <si>
    <t>#18340</t>
  </si>
  <si>
    <t>eom.r@wustl.edu</t>
  </si>
  <si>
    <t>https://utrucking.com/admin/orders/6460246917308</t>
  </si>
  <si>
    <t>#18341</t>
  </si>
  <si>
    <t>kcarrasq@gmail.com</t>
  </si>
  <si>
    <t>Karen Carrasquillo</t>
  </si>
  <si>
    <t>0303</t>
  </si>
  <si>
    <t xml:space="preserve">617-515-4430  </t>
  </si>
  <si>
    <t>https://utrucking.com/admin/orders/6460252061884</t>
  </si>
  <si>
    <t>#18342</t>
  </si>
  <si>
    <t>4409</t>
  </si>
  <si>
    <t>https://utrucking.com/admin/orders/6460263727292</t>
  </si>
  <si>
    <t>#18343</t>
  </si>
  <si>
    <t>i.vainstein@wustl.edu</t>
  </si>
  <si>
    <t>https://utrucking.com/admin/orders/6460279488700</t>
  </si>
  <si>
    <t>#18344</t>
  </si>
  <si>
    <t>aejaggr@gmail.com</t>
  </si>
  <si>
    <t>Aaron Jaggers</t>
  </si>
  <si>
    <t>21</t>
  </si>
  <si>
    <t>https://utrucking.com/admin/orders/6460401877180</t>
  </si>
  <si>
    <t>#18345</t>
  </si>
  <si>
    <t>kim.luteshaider@gmail.com</t>
  </si>
  <si>
    <t>Miles haider</t>
  </si>
  <si>
    <t xml:space="preserve">845372 3177  </t>
  </si>
  <si>
    <t>https://utrucking.com/admin/orders/6460440772796</t>
  </si>
  <si>
    <t>#18346</t>
  </si>
  <si>
    <t>l.minh@wustl.edu</t>
  </si>
  <si>
    <t>Minh La</t>
  </si>
  <si>
    <t>720 Interdrive</t>
  </si>
  <si>
    <t>https://utrucking.com/admin/orders/6460491563196</t>
  </si>
  <si>
    <t>#18347</t>
  </si>
  <si>
    <t xml:space="preserve"> Double-Door Mini Fridge + Microwave / Academic Year (Aug–May)   - </t>
  </si>
  <si>
    <t>2003A</t>
  </si>
  <si>
    <t xml:space="preserve">209-202-7394  </t>
  </si>
  <si>
    <t>https://utrucking.com/admin/orders/6460561817788</t>
  </si>
  <si>
    <t>#18348</t>
  </si>
  <si>
    <t>tina@industryfilms.com</t>
  </si>
  <si>
    <t>Tina Petridis-Gerling</t>
  </si>
  <si>
    <t>ALEXANDRA GERLING</t>
  </si>
  <si>
    <t xml:space="preserve">929-262-2484  </t>
  </si>
  <si>
    <t>50 BRIDGE PARK DRIVE PH2A, BROOKLYN, NY 11201</t>
  </si>
  <si>
    <t>Alexandra Gerling</t>
  </si>
  <si>
    <t>https://utrucking.com/admin/orders/6460611920060</t>
  </si>
  <si>
    <t>#18349</t>
  </si>
  <si>
    <t xml:space="preserve">3064 Manning Avenue, Los Angeles CA 90064 </t>
  </si>
  <si>
    <t xml:space="preserve"> I have already registered for storage and appliance pickup/return.  Pickup can be anytime from May 7 12pm and later.</t>
  </si>
  <si>
    <t>https://utrucking.com/admin/orders/6460752560316</t>
  </si>
  <si>
    <t>#18350</t>
  </si>
  <si>
    <t>s.brody@wustl.edu</t>
  </si>
  <si>
    <t>https://utrucking.com/admin/orders/6460774678716</t>
  </si>
  <si>
    <t>#18351</t>
  </si>
  <si>
    <t>f.lucky@wustl.edu</t>
  </si>
  <si>
    <t>Lucky Fei</t>
  </si>
  <si>
    <t>3162</t>
  </si>
  <si>
    <t xml:space="preserve"> I already have 3 utrucking boxes. I just need you to help me store these old boxes.</t>
  </si>
  <si>
    <t xml:space="preserve">314-516-3543  </t>
  </si>
  <si>
    <t>https://utrucking.com/admin/orders/6460928032956</t>
  </si>
  <si>
    <t>#18352</t>
  </si>
  <si>
    <t>lucydemsky@gmail.com</t>
  </si>
  <si>
    <t>Lucy Demsky</t>
  </si>
  <si>
    <t xml:space="preserve">  725 Kingsland Ave</t>
  </si>
  <si>
    <t xml:space="preserve"> 1600 Woodson Rd, St. Louis, MO 63114</t>
  </si>
  <si>
    <t xml:space="preserve"> Lucy Demsky</t>
  </si>
  <si>
    <t>https://utrucking.com/admin/orders/6460959686844</t>
  </si>
  <si>
    <t>#18353</t>
  </si>
  <si>
    <t>https://utrucking.com/admin/orders/6460996747452</t>
  </si>
  <si>
    <t>#18354</t>
  </si>
  <si>
    <t>hall.s.r@wustl.edu</t>
  </si>
  <si>
    <t>Massillon</t>
  </si>
  <si>
    <t>3307</t>
  </si>
  <si>
    <t>https://utrucking.com/admin/orders/6461099344060</t>
  </si>
  <si>
    <t>#18355</t>
  </si>
  <si>
    <t>laura@bitethismedia.com</t>
  </si>
  <si>
    <t>Laura Yee</t>
  </si>
  <si>
    <t>207A</t>
  </si>
  <si>
    <t xml:space="preserve">5916 North Talman Avenue
CHICAGO, IL 60659 </t>
  </si>
  <si>
    <t>Ella Tsonton</t>
  </si>
  <si>
    <t>https://utrucking.com/admin/orders/6461164978364</t>
  </si>
  <si>
    <t>#18356</t>
  </si>
  <si>
    <t>https://utrucking.com/admin/orders/6461300113596</t>
  </si>
  <si>
    <t>#18357</t>
  </si>
  <si>
    <t>kayla rambod-sarrieu</t>
  </si>
  <si>
    <t xml:space="preserve">480-600-7592  </t>
  </si>
  <si>
    <t>https://utrucking.com/admin/orders/6461303259324</t>
  </si>
  <si>
    <t>#18358</t>
  </si>
  <si>
    <t>https://utrucking.com/admin/orders/6461467656380</t>
  </si>
  <si>
    <t>#18359</t>
  </si>
  <si>
    <t>kenongnithiwat@gmail.com</t>
  </si>
  <si>
    <t>Teichin Ongnithiwat</t>
  </si>
  <si>
    <t>Samut Prakarn</t>
  </si>
  <si>
    <t>Samut Prakan</t>
  </si>
  <si>
    <t>Thailand</t>
  </si>
  <si>
    <t xml:space="preserve"> can i get the boxes earlier?
i have two fridges</t>
  </si>
  <si>
    <t>Ken Ongnithiwat</t>
  </si>
  <si>
    <t>https://utrucking.com/admin/orders/6461913628860</t>
  </si>
  <si>
    <t>#18360</t>
  </si>
  <si>
    <t>drewdillon876@gmail.com</t>
  </si>
  <si>
    <t>120 A</t>
  </si>
  <si>
    <t xml:space="preserve">Drew dillon </t>
  </si>
  <si>
    <t>https://utrucking.com/admin/orders/6461917888700</t>
  </si>
  <si>
    <t>#18361</t>
  </si>
  <si>
    <t>raymondhsin@gmail.com</t>
  </si>
  <si>
    <t>Apt 1E Room B</t>
  </si>
  <si>
    <t xml:space="preserve">1438 3rd Ave, Apt 21C
New York, NY 10028 </t>
  </si>
  <si>
    <t>https://utrucking.com/admin/orders/6461958914236</t>
  </si>
  <si>
    <t>#18362</t>
  </si>
  <si>
    <t>6659 Kingsbury Blvd, Apt. 2W, University City, MO</t>
  </si>
  <si>
    <t xml:space="preserve">617-301-2612  </t>
  </si>
  <si>
    <t>https://utrucking.com/admin/orders/6462268670140</t>
  </si>
  <si>
    <t>#18363</t>
  </si>
  <si>
    <t>bruce.s@wustl.edu</t>
  </si>
  <si>
    <t>Bruce Shen</t>
  </si>
  <si>
    <t>725 Kingsland Ave Apt 317</t>
  </si>
  <si>
    <t xml:space="preserve">Some place at Princeton, NJ </t>
  </si>
  <si>
    <t xml:space="preserve"> The "Ship To Address" is not determined yet. It will be determined over the summer and I will update the address. It is roughly near Princeton University, NJ</t>
  </si>
  <si>
    <t>https://utrucking.com/admin/orders/6462309957820</t>
  </si>
  <si>
    <t>#18364</t>
  </si>
  <si>
    <t>aspektor4@gmail.com</t>
  </si>
  <si>
    <t>Aaron Spektor</t>
  </si>
  <si>
    <t>6031 Westminster Pl Saint Louis, MO 63112
United States</t>
  </si>
  <si>
    <t xml:space="preserve">17 Evans Ln Lawrence Township, NJ  08648 United States </t>
  </si>
  <si>
    <t>https://utrucking.com/admin/orders/6462344102076</t>
  </si>
  <si>
    <t>#18365</t>
  </si>
  <si>
    <t>clairejoy333@gmail.com</t>
  </si>
  <si>
    <t>Claire Yang</t>
  </si>
  <si>
    <t>316A</t>
  </si>
  <si>
    <t>https://utrucking.com/admin/orders/6462425661628</t>
  </si>
  <si>
    <t>#18366</t>
  </si>
  <si>
    <t>3370-A</t>
  </si>
  <si>
    <t>Oliver Alex Yeaman</t>
  </si>
  <si>
    <t>https://utrucking.com/admin/orders/6462540349628</t>
  </si>
  <si>
    <t>#18367</t>
  </si>
  <si>
    <t>averyominsky@gmail.com</t>
  </si>
  <si>
    <t>https://utrucking.com/admin/orders/6462632951996</t>
  </si>
  <si>
    <t>#18368</t>
  </si>
  <si>
    <t>Rob Hanning</t>
  </si>
  <si>
    <t>605 S Leland Avenue #609</t>
  </si>
  <si>
    <t>santa monica</t>
  </si>
  <si>
    <t xml:space="preserve">310-995-6594  </t>
  </si>
  <si>
    <t>https://utrucking.com/admin/orders/6462854627516</t>
  </si>
  <si>
    <t>#18369</t>
  </si>
  <si>
    <t xml:space="preserve">650-309-2445  </t>
  </si>
  <si>
    <t>https://utrucking.com/admin/orders/6463669534908</t>
  </si>
  <si>
    <t>#18370</t>
  </si>
  <si>
    <t>jonahsatyr17@gmail.com</t>
  </si>
  <si>
    <t>Jonah Satyr</t>
  </si>
  <si>
    <t>6148 Pershing Avenue
St. Louis, MO, 63312</t>
  </si>
  <si>
    <t xml:space="preserve">665 Brierhill Road
Deerfield, IL 60015 </t>
  </si>
  <si>
    <t>Jonah</t>
  </si>
  <si>
    <t>https://utrucking.com/admin/orders/6463846318268</t>
  </si>
  <si>
    <t>#18371</t>
  </si>
  <si>
    <t xml:space="preserve"> Double-Door Mini Fridge / Academic Year (Aug–May)   - </t>
  </si>
  <si>
    <t>Ava</t>
  </si>
  <si>
    <t>https://utrucking.com/admin/orders/6463880069308</t>
  </si>
  <si>
    <t>#18372</t>
  </si>
  <si>
    <t>https://utrucking.com/admin/orders/6464038830268</t>
  </si>
  <si>
    <t>#18373</t>
  </si>
  <si>
    <t>lizyarroyo123@gmail.com</t>
  </si>
  <si>
    <t>Lizette Arroyo</t>
  </si>
  <si>
    <t xml:space="preserve">2744 Bent Creek Dr. NW, Kennesaw, GA 30152 </t>
  </si>
  <si>
    <t>https://utrucking.com/admin/orders/6464345309372</t>
  </si>
  <si>
    <t>#18374</t>
  </si>
  <si>
    <t>jenn.nosenchuk@gmail.com</t>
  </si>
  <si>
    <t>Jennifer Nosenchuk</t>
  </si>
  <si>
    <t>Charlotte Nosenchuk</t>
  </si>
  <si>
    <t xml:space="preserve"> $1000 of Additional Coverage   - </t>
  </si>
  <si>
    <t>15 West 72nd Street #28A
New York, NY 10023</t>
  </si>
  <si>
    <t>https://utrucking.com/admin/orders/6464412090556</t>
  </si>
  <si>
    <t>#18375</t>
  </si>
  <si>
    <t>Kayla Tinsley</t>
  </si>
  <si>
    <t>https://utrucking.com/admin/orders/6464553353404</t>
  </si>
  <si>
    <t>#18376</t>
  </si>
  <si>
    <t>joychiani@gmail.com</t>
  </si>
  <si>
    <t>Joy Ani</t>
  </si>
  <si>
    <t xml:space="preserve">482 Tallwood Drive, Stone Mountain, GA 30083 </t>
  </si>
  <si>
    <t>https://utrucking.com/admin/orders/6464716079292</t>
  </si>
  <si>
    <t>#18377</t>
  </si>
  <si>
    <t>bangoura@wustl.edu</t>
  </si>
  <si>
    <t>(704) 340-2845</t>
  </si>
  <si>
    <t>Gabriel Bangoura</t>
  </si>
  <si>
    <t xml:space="preserve">Gabriel Bangoura </t>
  </si>
  <si>
    <t>https://utrucking.com/admin/orders/6464796590268</t>
  </si>
  <si>
    <t>#18378</t>
  </si>
  <si>
    <t>edward.hao4f@gmail.com</t>
  </si>
  <si>
    <t>Edward Hao</t>
  </si>
  <si>
    <t>714 Leland Avenue, St. Louis, MO, 63130</t>
  </si>
  <si>
    <t xml:space="preserve">11301 Pebble Garden Lane, Austin, TX, 78739 </t>
  </si>
  <si>
    <t>Edward</t>
  </si>
  <si>
    <t xml:space="preserve">Hao  </t>
  </si>
  <si>
    <t>https://utrucking.com/admin/orders/6465141899452</t>
  </si>
  <si>
    <t>#18379</t>
  </si>
  <si>
    <t>302B</t>
  </si>
  <si>
    <t xml:space="preserve">925-549-9908  </t>
  </si>
  <si>
    <t>https://utrucking.com/admin/orders/6465667956924</t>
  </si>
  <si>
    <t>#18380</t>
  </si>
  <si>
    <t>fayschneider212@icloud.com</t>
  </si>
  <si>
    <t>https://utrucking.com/admin/orders/6465943699644</t>
  </si>
  <si>
    <t>#18381</t>
  </si>
  <si>
    <t>ustefy506@gmail.com</t>
  </si>
  <si>
    <t>Estefania Campos</t>
  </si>
  <si>
    <t>Key Biscayne</t>
  </si>
  <si>
    <t xml:space="preserve">250 Island Drive, Key Biscayne, FL  </t>
  </si>
  <si>
    <t>Stefy Campos</t>
  </si>
  <si>
    <t>https://admin.shopify.com/store/utrucking/orders/6465949499580?link_source=search</t>
  </si>
  <si>
    <t>#18382</t>
  </si>
  <si>
    <t>610-220-5349</t>
  </si>
  <si>
    <t>6300 Cabanne Ave, University City, MO 63130</t>
  </si>
  <si>
    <t>5 pm (or latest possible time on 5/16)</t>
  </si>
  <si>
    <t>186 Lakeside Road, Ardmore, PA 19003</t>
  </si>
  <si>
    <t>https://utrucking.com/admin/orders/6466003632316</t>
  </si>
  <si>
    <t>#18383</t>
  </si>
  <si>
    <t xml:space="preserve">665 Brierhill Road, Deerfield, Illinois, 60015 </t>
  </si>
  <si>
    <t>https://utrucking.com/admin/orders/6466973630652</t>
  </si>
  <si>
    <t>#18384</t>
  </si>
  <si>
    <t>u.wakako@wustl.edu</t>
  </si>
  <si>
    <t>Wakako Ueshima</t>
  </si>
  <si>
    <t xml:space="preserve">6655 Washington Avenue </t>
  </si>
  <si>
    <t xml:space="preserve">1 West 81st Street apt 11D </t>
  </si>
  <si>
    <t>https://utrucking.com/admin/orders/6467066953916</t>
  </si>
  <si>
    <t>#18385</t>
  </si>
  <si>
    <t>https://utrucking.com/admin/orders/6467778511036</t>
  </si>
  <si>
    <t>#18386</t>
  </si>
  <si>
    <t>a.ninah@wustl.edu</t>
  </si>
  <si>
    <t>(347) 680-6894</t>
  </si>
  <si>
    <t>john ninah</t>
  </si>
  <si>
    <t>5936 McPherson Ave Apt 2</t>
  </si>
  <si>
    <t>orlando</t>
  </si>
  <si>
    <t xml:space="preserve">8749 Hildreth Ave, Orlando FL, 32832 </t>
  </si>
  <si>
    <t>Amaris Ninah</t>
  </si>
  <si>
    <t>https://utrucking.com/admin/orders/6467801120956</t>
  </si>
  <si>
    <t>#18387</t>
  </si>
  <si>
    <t>rhersh22@aol.com</t>
  </si>
  <si>
    <t>rachel hershenhorn</t>
  </si>
  <si>
    <t>6186 Waterman Boulevard, Floor 3 
St. Louis MO 63112</t>
  </si>
  <si>
    <t xml:space="preserve">2 Clover Drive
Great Neck, NY 11021 </t>
  </si>
  <si>
    <t>Sarah Hershenhorn</t>
  </si>
  <si>
    <t>https://utrucking.com/admin/orders/6468811423932</t>
  </si>
  <si>
    <t>#18388</t>
  </si>
  <si>
    <t>stellamekhanik@gmail.com</t>
  </si>
  <si>
    <t>https://utrucking.com/admin/orders/6469191991484</t>
  </si>
  <si>
    <t>#18389</t>
  </si>
  <si>
    <t>rockinglakshmi8@gmail.com</t>
  </si>
  <si>
    <t>Lakshmi Mulgund</t>
  </si>
  <si>
    <t>6006 Washington Blvd</t>
  </si>
  <si>
    <t>Monte Sereno</t>
  </si>
  <si>
    <t xml:space="preserve">n/a </t>
  </si>
  <si>
    <t>https://utrucking.com/admin/orders/6469214142652</t>
  </si>
  <si>
    <t>#18390</t>
  </si>
  <si>
    <t>Khalid Ayeni</t>
  </si>
  <si>
    <t>https://utrucking.com/admin/orders/6469237473468</t>
  </si>
  <si>
    <t>#18391</t>
  </si>
  <si>
    <t>qiaochuhan1@gmail.com</t>
  </si>
  <si>
    <t>chuhan qiao</t>
  </si>
  <si>
    <t>Melrose</t>
  </si>
  <si>
    <t>340-1N-B</t>
  </si>
  <si>
    <t>Chuhan Qiao</t>
  </si>
  <si>
    <t>https://utrucking.com/admin/orders/6469852823740</t>
  </si>
  <si>
    <t>#18392</t>
  </si>
  <si>
    <t>Rachel Hershenhorn</t>
  </si>
  <si>
    <t>6186 waterman blvd. 
St. Louis MO 63112</t>
  </si>
  <si>
    <t xml:space="preserve">2 Clover Dr. 
great neck NY 11021 </t>
  </si>
  <si>
    <t xml:space="preserve">Sarah Hershenhorn </t>
  </si>
  <si>
    <t>https://utrucking.com/admin/orders/6470231621820</t>
  </si>
  <si>
    <t>#18393</t>
  </si>
  <si>
    <t>garyblum@yahoo.com</t>
  </si>
  <si>
    <t>Gary Blum</t>
  </si>
  <si>
    <t>718 limit Avenue, apt 2n
St. Louis, MO 63130</t>
  </si>
  <si>
    <t xml:space="preserve">31 Mayberry Road
Chappaqua NY 10514 </t>
  </si>
  <si>
    <t>Beck Blum</t>
  </si>
  <si>
    <t xml:space="preserve">914-200-9295  </t>
  </si>
  <si>
    <t>https://utrucking.com/admin/orders/6470502187196</t>
  </si>
  <si>
    <t>#18394</t>
  </si>
  <si>
    <t>6027 Kingsbury Ave</t>
  </si>
  <si>
    <t>https://utrucking.com/admin/orders/6470568804540</t>
  </si>
  <si>
    <t>#18395</t>
  </si>
  <si>
    <t>https://utrucking.com/admin/orders/6470985875644</t>
  </si>
  <si>
    <t>#18396</t>
  </si>
  <si>
    <t>zhihong.ding1008@gmail.com</t>
  </si>
  <si>
    <t>zhihong ding</t>
  </si>
  <si>
    <t>two twelve Clayton</t>
  </si>
  <si>
    <t>Binghamton</t>
  </si>
  <si>
    <t xml:space="preserve">45washington street  </t>
  </si>
  <si>
    <t>https://utrucking.com/admin/orders/6471112261820</t>
  </si>
  <si>
    <t>#18397</t>
  </si>
  <si>
    <t>jason@herringpanzer.com</t>
  </si>
  <si>
    <t>Megan Panzer</t>
  </si>
  <si>
    <t xml:space="preserve">4206 Tallowood Dr., Austin, TX 78731  </t>
  </si>
  <si>
    <t>https://utrucking.com/admin/orders/6471430308028</t>
  </si>
  <si>
    <t>#18398</t>
  </si>
  <si>
    <t>l.noa@wustl.edu</t>
  </si>
  <si>
    <t xml:space="preserve">1 (818) 606-3268  </t>
  </si>
  <si>
    <t>https://utrucking.com/admin/orders/6472126791868</t>
  </si>
  <si>
    <t>#18399</t>
  </si>
  <si>
    <t>achilkowitz@gmail.com</t>
  </si>
  <si>
    <t>Alex Chilkowitz</t>
  </si>
  <si>
    <t xml:space="preserve">101 West End Avenue
Apt 23D
New York NY 10023 </t>
  </si>
  <si>
    <t xml:space="preserve">Alex Chilkowitz </t>
  </si>
  <si>
    <t>https://utrucking.com/admin/orders/6473811132604</t>
  </si>
  <si>
    <t>#18400</t>
  </si>
  <si>
    <t>https://utrucking.com/admin/orders/6473822306492</t>
  </si>
  <si>
    <t>#18401</t>
  </si>
  <si>
    <t xml:space="preserve">605 Leland Ave, Apt 503, University City, MO, 63130 </t>
  </si>
  <si>
    <t>93117-1807</t>
  </si>
  <si>
    <t xml:space="preserve"> Is it possible for you to deliver my items into my room? We will let you into the building if need be.</t>
  </si>
  <si>
    <t>Order URL</t>
  </si>
  <si>
    <t>MSC96297</t>
  </si>
  <si>
    <t>Zip</t>
  </si>
  <si>
    <t xml:space="preserve">Product Name
</t>
  </si>
  <si>
    <t>Off-Campus Address</t>
  </si>
  <si>
    <t>Move Date</t>
  </si>
  <si>
    <t>Move Type</t>
  </si>
  <si>
    <t>Moving from address or location_copy</t>
  </si>
  <si>
    <t>Moving to address or location</t>
  </si>
  <si>
    <t>Note</t>
  </si>
  <si>
    <t>Order #</t>
  </si>
  <si>
    <t>Change Type</t>
  </si>
  <si>
    <t>New Date</t>
  </si>
  <si>
    <t>New Time</t>
  </si>
  <si>
    <t>New Room</t>
  </si>
  <si>
    <t>New Building</t>
  </si>
  <si>
    <t>New Off-Campus Adress</t>
  </si>
  <si>
    <t>Edited on MAIN?</t>
  </si>
  <si>
    <t>Edited Shopify Note?</t>
  </si>
  <si>
    <t>Reported On</t>
  </si>
  <si>
    <t>Edited on</t>
  </si>
  <si>
    <t>Edited By</t>
  </si>
  <si>
    <t>Date, Room, Building</t>
  </si>
  <si>
    <t>Ahmed</t>
  </si>
  <si>
    <t>Room, Building</t>
  </si>
  <si>
    <t>Date</t>
  </si>
  <si>
    <t>Date, Time</t>
  </si>
  <si>
    <t>wants delivery on August 19th, 9-11am</t>
  </si>
  <si>
    <t>Service-Note</t>
  </si>
  <si>
    <t>switched from tsa to nsts</t>
  </si>
  <si>
    <t>removed nsts from order, using tsa (although tsa never showed up on this sheet)</t>
  </si>
  <si>
    <t>#15433</t>
  </si>
  <si>
    <t>Cancelled</t>
  </si>
  <si>
    <t>canceled their order</t>
  </si>
  <si>
    <t>Date, Room, Building, Product</t>
  </si>
  <si>
    <t>not on main, add to main, SWITCH TO CHEF SIZE FRIDGE</t>
  </si>
  <si>
    <t>date, time</t>
  </si>
  <si>
    <t>date</t>
  </si>
  <si>
    <t>Switch spec ops to 7/22 since calendar wouldn't let me select earlier than 7/23</t>
  </si>
  <si>
    <t>room, building</t>
  </si>
  <si>
    <t>service note</t>
  </si>
  <si>
    <t>switch to tri-state home pickup</t>
  </si>
  <si>
    <t>#15711</t>
  </si>
  <si>
    <t>cancelled</t>
  </si>
  <si>
    <t>re-add and edit housing</t>
  </si>
  <si>
    <t>Double Door mini fridge (order was fulfilled after summer delivery, need to make sure it is re-added and housing is changed to koenig)</t>
  </si>
  <si>
    <t xml:space="preserve">cancel microwave, keep fridge </t>
  </si>
  <si>
    <t>date, room, building</t>
  </si>
  <si>
    <t>building</t>
  </si>
  <si>
    <t>off campus address, date, time</t>
  </si>
  <si>
    <t>740 Westgate #3N</t>
  </si>
  <si>
    <t>add to MAIN, SIR, room, building, date, time</t>
  </si>
  <si>
    <t>add storage item return order to main,make sure it shows up on SIR</t>
  </si>
  <si>
    <t>432-b</t>
  </si>
  <si>
    <t>date, time, note</t>
  </si>
  <si>
    <t>room</t>
  </si>
  <si>
    <t>3-4p</t>
  </si>
  <si>
    <t>323-a</t>
  </si>
  <si>
    <t>service</t>
  </si>
  <si>
    <t>switch to double door mini-fridge+micro</t>
  </si>
  <si>
    <t>413-b</t>
  </si>
  <si>
    <t>time</t>
  </si>
  <si>
    <t>322A</t>
  </si>
  <si>
    <t>off campus address</t>
  </si>
  <si>
    <t>notes</t>
  </si>
  <si>
    <t>10am-12pm</t>
  </si>
  <si>
    <t>12-2pm</t>
  </si>
  <si>
    <t>service - needs summer storage</t>
  </si>
  <si>
    <t>needs summer storage</t>
  </si>
  <si>
    <t>9-11am</t>
  </si>
  <si>
    <t>date, time, off campus address</t>
  </si>
  <si>
    <t>10-12pm</t>
  </si>
  <si>
    <t>add exact address</t>
  </si>
  <si>
    <t>3-5pm</t>
  </si>
  <si>
    <t>1-3pm</t>
  </si>
  <si>
    <t>same address, just unit 605 and not 611</t>
  </si>
  <si>
    <t>11-1pm</t>
  </si>
  <si>
    <t>4-5pm</t>
  </si>
  <si>
    <t>9am sharp (class at 10am)</t>
  </si>
  <si>
    <t>date, time, notes</t>
  </si>
  <si>
    <t>servuce</t>
  </si>
  <si>
    <t>Study Abroad Storage instead of SS</t>
  </si>
  <si>
    <t>#16657</t>
  </si>
  <si>
    <t>Order Canceled</t>
  </si>
  <si>
    <t>#16656</t>
  </si>
  <si>
    <t>wants one day sooner for pickup</t>
  </si>
  <si>
    <t>#17059</t>
  </si>
  <si>
    <t>add the order to the Master</t>
  </si>
  <si>
    <t>Missing Info</t>
  </si>
  <si>
    <t>#16866</t>
  </si>
  <si>
    <t>cancel</t>
  </si>
  <si>
    <t>order date</t>
  </si>
  <si>
    <t>customer requested to change</t>
  </si>
  <si>
    <t>#17045</t>
  </si>
  <si>
    <t xml:space="preserve">pickup date </t>
  </si>
  <si>
    <t>pickup date</t>
  </si>
  <si>
    <t>customer made mistake</t>
  </si>
  <si>
    <t xml:space="preserve">Customer requested to change date </t>
  </si>
  <si>
    <t>#17198</t>
  </si>
  <si>
    <t xml:space="preserve">payment </t>
  </si>
  <si>
    <t>customer asked to change payment information; already asked to fill out SIR</t>
  </si>
  <si>
    <t>NA</t>
  </si>
  <si>
    <t>student name, building, room</t>
  </si>
  <si>
    <t>customer didn't get dorm info prompt - Sophie Schwartz</t>
  </si>
  <si>
    <t xml:space="preserve">customer accidently purchased product twice </t>
  </si>
  <si>
    <t>#17142</t>
  </si>
  <si>
    <t xml:space="preserve">cancel order </t>
  </si>
  <si>
    <t>order product changed</t>
  </si>
  <si>
    <t>Pickup date</t>
  </si>
  <si>
    <t>9-11:00 AM</t>
  </si>
  <si>
    <t>Customer requested a pickup date change</t>
  </si>
  <si>
    <t>#17306</t>
  </si>
  <si>
    <t>Canceled order</t>
  </si>
  <si>
    <t>Pickup date? Messaged the customer [Ahmed]</t>
  </si>
  <si>
    <t>#17411</t>
  </si>
  <si>
    <t>Room number</t>
  </si>
  <si>
    <t>customer requested a pickup change</t>
  </si>
  <si>
    <t>#17416</t>
  </si>
  <si>
    <t>Add the order to the Master</t>
  </si>
  <si>
    <t>—</t>
  </si>
  <si>
    <t>Pickup time</t>
  </si>
  <si>
    <t>9AM—11AM</t>
  </si>
  <si>
    <t>Bulidng, room</t>
  </si>
  <si>
    <t>Room</t>
  </si>
  <si>
    <t>Off campus address</t>
  </si>
  <si>
    <t>her off campus addressv didnt track to SAS, can manually add and fix in the code later</t>
  </si>
  <si>
    <t>Pickup address</t>
  </si>
  <si>
    <t>#17667</t>
  </si>
  <si>
    <t xml:space="preserve">date </t>
  </si>
  <si>
    <t xml:space="preserve">customer requested pickup change </t>
  </si>
  <si>
    <t>#17609</t>
  </si>
  <si>
    <t>Cancel the order!</t>
  </si>
  <si>
    <t>Add one kit</t>
  </si>
  <si>
    <t>#17414</t>
  </si>
  <si>
    <t>#17058</t>
  </si>
  <si>
    <t>#17696</t>
  </si>
  <si>
    <t>says she found a cheaper service, doubt it</t>
  </si>
  <si>
    <t>#17575</t>
  </si>
  <si>
    <t>#16833</t>
  </si>
  <si>
    <t>cancel (no refund—charge $50/$75 for keeping the kit)</t>
  </si>
  <si>
    <t xml:space="preserve">Remove 1 kit </t>
  </si>
  <si>
    <t>Note, date and time</t>
  </si>
  <si>
    <t>Cancel the order</t>
  </si>
  <si>
    <t>Change pickup date</t>
  </si>
  <si>
    <t>#17699</t>
  </si>
  <si>
    <t xml:space="preserve">#17548 </t>
  </si>
  <si>
    <t>#17636</t>
  </si>
  <si>
    <t>Change room number on ss sheet</t>
  </si>
  <si>
    <t>#17659</t>
  </si>
  <si>
    <t>#16837</t>
  </si>
  <si>
    <t>Additional kit</t>
  </si>
  <si>
    <t>extra kit</t>
  </si>
  <si>
    <t>#17794</t>
  </si>
  <si>
    <t>returning kit</t>
  </si>
  <si>
    <t>customer requested pickup date change</t>
  </si>
  <si>
    <t>#17476</t>
  </si>
  <si>
    <t xml:space="preserve">returning kit </t>
  </si>
  <si>
    <t>#17161</t>
  </si>
  <si>
    <t xml:space="preserve"> date and time</t>
  </si>
  <si>
    <t>#17047</t>
  </si>
  <si>
    <t>charge for kit</t>
  </si>
  <si>
    <t>Room number and product</t>
  </si>
  <si>
    <t>room change</t>
  </si>
  <si>
    <t>Merge email to account</t>
  </si>
  <si>
    <t>jtyler@austin.rr.com</t>
  </si>
  <si>
    <t xml:space="preserve">change phone number on account </t>
  </si>
  <si>
    <t>720-648-8173</t>
  </si>
  <si>
    <t>location</t>
  </si>
  <si>
    <t>#17041</t>
  </si>
  <si>
    <t>#18056</t>
  </si>
  <si>
    <t xml:space="preserve">Cancel order </t>
  </si>
  <si>
    <t>#17931</t>
  </si>
  <si>
    <t>Order Number</t>
  </si>
  <si>
    <t>Client Name</t>
  </si>
  <si>
    <t>Product SKU/Variant</t>
  </si>
  <si>
    <t>Event Date</t>
  </si>
  <si>
    <t>Delivered</t>
  </si>
  <si>
    <t>Time</t>
  </si>
  <si>
    <t>Last item added manually, all below is zapier</t>
  </si>
  <si>
    <t>Building - Room</t>
  </si>
  <si>
    <t>Myers 413</t>
  </si>
  <si>
    <t>Myers - 423 - a</t>
  </si>
  <si>
    <t>Dauten - 432 - b</t>
  </si>
  <si>
    <t>Shanedling 313</t>
  </si>
  <si>
    <t>Shanedling 333</t>
  </si>
  <si>
    <t>Lee 116</t>
  </si>
  <si>
    <t>Umrath 2237</t>
  </si>
  <si>
    <t>Umrath L-230</t>
  </si>
  <si>
    <t>Umrath 3322</t>
  </si>
  <si>
    <t>Umrath 3323</t>
  </si>
  <si>
    <t>Koenig 2212</t>
  </si>
  <si>
    <t>Koenig 4401</t>
  </si>
  <si>
    <t>Lien - 1117 - a</t>
  </si>
  <si>
    <t>Lien - 2220 - b</t>
  </si>
  <si>
    <t>6200 Lofts 214</t>
  </si>
  <si>
    <t>House 7 - 202 - a</t>
  </si>
  <si>
    <t>Village House 4071</t>
  </si>
  <si>
    <t>18 S KINGS UNIT 10N</t>
  </si>
  <si>
    <t>Danforth 3321</t>
  </si>
  <si>
    <t>Lopata 3092</t>
  </si>
  <si>
    <t>Hurd 322</t>
  </si>
  <si>
    <t>Hurd 424</t>
  </si>
  <si>
    <t>Hurd 423</t>
  </si>
  <si>
    <t>Hitzeman 112</t>
  </si>
  <si>
    <t>Eliot A L-0201</t>
  </si>
  <si>
    <t>Eliot A 1082</t>
  </si>
  <si>
    <t>Eliot A 3101</t>
  </si>
  <si>
    <t>Eliot B 1104</t>
  </si>
  <si>
    <t>Danforth 2222</t>
  </si>
  <si>
    <t>Dardick 1105B</t>
  </si>
  <si>
    <t>Dardick - 4423</t>
  </si>
  <si>
    <t>Dardick 3319</t>
  </si>
  <si>
    <t>Dardick - 1109</t>
  </si>
  <si>
    <t>Dauten 431</t>
  </si>
  <si>
    <t>Lee 313</t>
  </si>
  <si>
    <t>Lee 309</t>
  </si>
  <si>
    <t>Lee 307</t>
  </si>
  <si>
    <t>Umrath 1236</t>
  </si>
  <si>
    <t>Umrath 4423</t>
  </si>
  <si>
    <t>Umrath 2224</t>
  </si>
  <si>
    <t>Koenig 1109</t>
  </si>
  <si>
    <t>Koenig 3308</t>
  </si>
  <si>
    <t>Koenig 2204</t>
  </si>
  <si>
    <t>Lien 1104</t>
  </si>
  <si>
    <t>Lien 1115</t>
  </si>
  <si>
    <t>Lien 2224</t>
  </si>
  <si>
    <t>Danforth 4402</t>
  </si>
  <si>
    <t>Danforth 4415b</t>
  </si>
  <si>
    <t>Danforth 4411</t>
  </si>
  <si>
    <t>Danforth - 3322 - a</t>
  </si>
  <si>
    <t>Park - 481 - a</t>
  </si>
  <si>
    <t>Park 340a</t>
  </si>
  <si>
    <t>Park 370</t>
  </si>
  <si>
    <t>Park - 441 - b</t>
  </si>
  <si>
    <t>Park - 441 - a</t>
  </si>
  <si>
    <t>Park 140</t>
  </si>
  <si>
    <t>Park 112</t>
  </si>
  <si>
    <t>Park - 440 - b</t>
  </si>
  <si>
    <t>Park 280</t>
  </si>
  <si>
    <t>Park - 491 - a</t>
  </si>
  <si>
    <t>Park 312a</t>
  </si>
  <si>
    <t>Dardick - 2208 - a</t>
  </si>
  <si>
    <t>Dardick 2214b</t>
  </si>
  <si>
    <t>Dardick - 2204 - b</t>
  </si>
  <si>
    <t>Dardick - 2211 - a</t>
  </si>
  <si>
    <t>Dardick - 2222 - a</t>
  </si>
  <si>
    <t>Dardick - 3305 - a</t>
  </si>
  <si>
    <t>Dardick - 4402 - a</t>
  </si>
  <si>
    <t>Dardick - 4408 - b</t>
  </si>
  <si>
    <t>Lee - 301 - b</t>
  </si>
  <si>
    <t>Lee 315</t>
  </si>
  <si>
    <t>Eliot A, 2063</t>
  </si>
  <si>
    <t>Eliot A (Thomas Eliot) - 3121 - a</t>
  </si>
  <si>
    <t>Eliot A - L0303 - a</t>
  </si>
  <si>
    <t>Eliot A - 2121</t>
  </si>
  <si>
    <t>Dauten 442</t>
  </si>
  <si>
    <t>Dauten 232</t>
  </si>
  <si>
    <t>Dauten - 234 - a</t>
  </si>
  <si>
    <t>Dauten - 222 - b</t>
  </si>
  <si>
    <t>Rutledge - 314 - b</t>
  </si>
  <si>
    <t>Rutledge 324</t>
  </si>
  <si>
    <t>Rutledge - 432 - b</t>
  </si>
  <si>
    <t>Rutledge 414</t>
  </si>
  <si>
    <t>Shanedling 422</t>
  </si>
  <si>
    <t>Shanedling - 341 - a</t>
  </si>
  <si>
    <t>Koenig - 3316 - b</t>
  </si>
  <si>
    <t>Koenig - 4407 - b</t>
  </si>
  <si>
    <t>Koenig - 4407 - a</t>
  </si>
  <si>
    <t>Koenig 1117</t>
  </si>
  <si>
    <t>Umrath - 1238 - b</t>
  </si>
  <si>
    <t>Umrath - 3301 - a</t>
  </si>
  <si>
    <t>Umrath - 4402 - a</t>
  </si>
  <si>
    <t>Umrath - 1230 - a</t>
  </si>
  <si>
    <t>Dardick 4421</t>
  </si>
  <si>
    <t>Lien - 2233 - a</t>
  </si>
  <si>
    <t>Eliot A - 1084 - a</t>
  </si>
  <si>
    <t>Lien - 3330</t>
  </si>
  <si>
    <t>Lien 1116</t>
  </si>
  <si>
    <t>Lien - 2224 - b</t>
  </si>
  <si>
    <t>Myers - 343</t>
  </si>
  <si>
    <t>House 7 - 301</t>
  </si>
  <si>
    <t>Dardick 4425</t>
  </si>
  <si>
    <t>Dardick - 2210 - b</t>
  </si>
  <si>
    <t>Umrath - 4421 - b</t>
  </si>
  <si>
    <t>Hurd 334</t>
  </si>
  <si>
    <t>Eliot A L-0203</t>
  </si>
  <si>
    <t>Eliot A - 3121 - a</t>
  </si>
  <si>
    <t>Eliot A - 3072 - a</t>
  </si>
  <si>
    <t>Eliot B - 2103 - a</t>
  </si>
  <si>
    <t>Umrath - 3319 - a</t>
  </si>
  <si>
    <t>Danforth - 2222 - b</t>
  </si>
  <si>
    <t>Danforth - 3304 - a</t>
  </si>
  <si>
    <t>Danforth 3314</t>
  </si>
  <si>
    <t>Danforth - 4404 - a</t>
  </si>
  <si>
    <t>Danforth - 3332 - a</t>
  </si>
  <si>
    <t>Danforth - 4426 - a</t>
  </si>
  <si>
    <t>Danforth 4412</t>
  </si>
  <si>
    <t>Dauten 433</t>
  </si>
  <si>
    <t>Shanedling - 431 - a</t>
  </si>
  <si>
    <t>Lee 205</t>
  </si>
  <si>
    <t>Koenig - 2216 - a</t>
  </si>
  <si>
    <t>Lien - 3328 - a</t>
  </si>
  <si>
    <t>Rutledge 241</t>
  </si>
  <si>
    <t>Rutledge 224</t>
  </si>
  <si>
    <t>Rutledge 242</t>
  </si>
  <si>
    <t>Shanedling - 113 - a</t>
  </si>
  <si>
    <t>Dauten 422</t>
  </si>
  <si>
    <t>Rutledge 124</t>
  </si>
  <si>
    <t>Rutledge 121</t>
  </si>
  <si>
    <t>Dauten 423</t>
  </si>
  <si>
    <t>Eliot A - 1042</t>
  </si>
  <si>
    <t>Eliot A 1033</t>
  </si>
  <si>
    <t>Rutledge 244</t>
  </si>
  <si>
    <t>Eliot A 1001</t>
  </si>
  <si>
    <t>Eliot A - 2102</t>
  </si>
  <si>
    <t>Dauten 242</t>
  </si>
  <si>
    <t>Koenig 4402</t>
  </si>
  <si>
    <t>Koenig 3304</t>
  </si>
  <si>
    <t>Koenig 2207</t>
  </si>
  <si>
    <t>Koenig - 2204 - b</t>
  </si>
  <si>
    <t>Umrath 3309</t>
  </si>
  <si>
    <t>Myers 423</t>
  </si>
  <si>
    <t>Dardick 2222</t>
  </si>
  <si>
    <t>Umrath - 2203 - b</t>
  </si>
  <si>
    <t>Umrath - L239 - c</t>
  </si>
  <si>
    <t>Hitzeman 222</t>
  </si>
  <si>
    <t>Danforth - 4428 - a</t>
  </si>
  <si>
    <t>Hitzeman 232</t>
  </si>
  <si>
    <t>Umrath 2235</t>
  </si>
  <si>
    <t>Umrath 2215</t>
  </si>
  <si>
    <t>Umrath 3302</t>
  </si>
  <si>
    <t>Hurd - 111 - a</t>
  </si>
  <si>
    <t>Umrath 2221</t>
  </si>
  <si>
    <t>Danforth 4419</t>
  </si>
  <si>
    <t>Danforth 4427</t>
  </si>
  <si>
    <t>Danforth 3319</t>
  </si>
  <si>
    <t>Danforth 2212</t>
  </si>
  <si>
    <t>Umrath 4418</t>
  </si>
  <si>
    <t>Umrath 4428</t>
  </si>
  <si>
    <t>Umrath 2240</t>
  </si>
  <si>
    <t>Danforth 3311</t>
  </si>
  <si>
    <t>Umrath 3341</t>
  </si>
  <si>
    <t>Danforth 3304</t>
  </si>
  <si>
    <t>Danforth 2229</t>
  </si>
  <si>
    <t>Danforth 4422</t>
  </si>
  <si>
    <t>Danforth 2221</t>
  </si>
  <si>
    <t>Nemerov 4060</t>
  </si>
  <si>
    <t>Dardick 4402</t>
  </si>
  <si>
    <t>Danforth 2231</t>
  </si>
  <si>
    <t>Park 372</t>
  </si>
  <si>
    <t>Dardick 2218</t>
  </si>
  <si>
    <t>Dardick - 2210 - a</t>
  </si>
  <si>
    <t>Dardick 2202</t>
  </si>
  <si>
    <t>Rutledge 344</t>
  </si>
  <si>
    <t>Dauten 411</t>
  </si>
  <si>
    <t>Shanedling 321</t>
  </si>
  <si>
    <t>Lien 1117</t>
  </si>
  <si>
    <t>Dardick 3305</t>
  </si>
  <si>
    <t>Lee 212</t>
  </si>
  <si>
    <t>Wheeler 3104</t>
  </si>
  <si>
    <t>Lien 3329</t>
  </si>
  <si>
    <t>Lien 3312</t>
  </si>
  <si>
    <t>Lien 3310</t>
  </si>
  <si>
    <t>Lien 3330</t>
  </si>
  <si>
    <t>Lien 3331</t>
  </si>
  <si>
    <t>Gregg 3171</t>
  </si>
  <si>
    <t>Zetcher 3160</t>
  </si>
  <si>
    <t>Zetcher 2214</t>
  </si>
  <si>
    <t>Koenig 4410</t>
  </si>
  <si>
    <t>Eliot A 1072</t>
  </si>
  <si>
    <t>Hurd 421</t>
  </si>
  <si>
    <t>Danforth 3320</t>
  </si>
  <si>
    <t>Danforth - 4404</t>
  </si>
  <si>
    <t>Park 460</t>
  </si>
  <si>
    <t>Dauten 244</t>
  </si>
  <si>
    <t>Park 442</t>
  </si>
  <si>
    <t>Shepley 4084</t>
  </si>
  <si>
    <t>Rutledge 342</t>
  </si>
  <si>
    <t>Lee 306a</t>
  </si>
  <si>
    <t>Dardick - 3309</t>
  </si>
  <si>
    <t>Zetcher House - 2043</t>
  </si>
  <si>
    <t>Umrath 4422</t>
  </si>
  <si>
    <t>Koenig - 1107</t>
  </si>
  <si>
    <t>Koenig 2206</t>
  </si>
  <si>
    <t>Koenig 3318</t>
  </si>
  <si>
    <t>Koenig 1118</t>
  </si>
  <si>
    <t>Koenig - 1102</t>
  </si>
  <si>
    <t>Liggett 3362</t>
  </si>
  <si>
    <t>Lopata 3073</t>
  </si>
  <si>
    <t>Lopata 3051</t>
  </si>
  <si>
    <t>Village House 3021</t>
  </si>
  <si>
    <t>Village East 2104</t>
  </si>
  <si>
    <t>Village East 1111</t>
  </si>
  <si>
    <t>Village East - 2012</t>
  </si>
  <si>
    <t>Millbrook 3, 303A</t>
  </si>
  <si>
    <t>Millbrook 3 - B-2F</t>
  </si>
  <si>
    <t>Millbrook 4 - 304E</t>
  </si>
  <si>
    <t>Millbrook 2, 104 C</t>
  </si>
  <si>
    <t>House 5 - 302</t>
  </si>
  <si>
    <t>House 4 - 302</t>
  </si>
  <si>
    <t>6263 Lofts 306C</t>
  </si>
  <si>
    <t>Umrath 4414</t>
  </si>
  <si>
    <t>Hurd - 142</t>
  </si>
  <si>
    <t>Beaumont - 208</t>
  </si>
  <si>
    <t>Lee 111</t>
  </si>
  <si>
    <t>Umrath - 4408</t>
  </si>
  <si>
    <t>House 4 (Theta Xi) 306</t>
  </si>
  <si>
    <t>Dardick - 2211</t>
  </si>
  <si>
    <t>Gregg 3010</t>
  </si>
  <si>
    <t>Millbrook 4, 302F</t>
  </si>
  <si>
    <t>Wheeler 1011</t>
  </si>
  <si>
    <t>Shepley 2041</t>
  </si>
  <si>
    <t>Gregg 2074</t>
  </si>
  <si>
    <t>Beaumont 109</t>
  </si>
  <si>
    <t>Delivery TIme</t>
  </si>
  <si>
    <t>Name</t>
  </si>
  <si>
    <t>Greenway - 003-A - a</t>
  </si>
  <si>
    <t>Greenway - 112-A - a</t>
  </si>
  <si>
    <t>Greenway - 110-A - a</t>
  </si>
  <si>
    <t>Greenway - 104-A - a</t>
  </si>
  <si>
    <t>Greenway - 118-A - a</t>
  </si>
  <si>
    <t>Greenway - 104-C - a</t>
  </si>
  <si>
    <t>Ellue Bernstein</t>
  </si>
  <si>
    <t>Greenway - 005-A - a</t>
  </si>
  <si>
    <t>Abby McRae</t>
  </si>
  <si>
    <t>Greenway - 113-A - a</t>
  </si>
  <si>
    <t>Greenway - 117-B - a</t>
  </si>
  <si>
    <t>Greenway - 124-A - a</t>
  </si>
  <si>
    <t>Greenway - 124-C - a</t>
  </si>
  <si>
    <t>Greenway - 124-B - a</t>
  </si>
  <si>
    <t>Greenway - 010-B - a</t>
  </si>
  <si>
    <t>Greenway - 012-B - a</t>
  </si>
  <si>
    <t>Greenway - 313-A - a</t>
  </si>
  <si>
    <t>Greenway - 012-C - a</t>
  </si>
  <si>
    <t>Greenway - 313-B - a</t>
  </si>
  <si>
    <t>Benjamin Veiel</t>
  </si>
  <si>
    <t>Greenway - 307-A - a</t>
  </si>
  <si>
    <t>Greenway - 121-A - a</t>
  </si>
  <si>
    <t>Mawin Suphanthapreecha</t>
  </si>
  <si>
    <t>Greenway - 138-A - a</t>
  </si>
  <si>
    <t>Greenway - 314-B - a</t>
  </si>
  <si>
    <t>Minerva Castro</t>
  </si>
  <si>
    <t>Greenway - 115-B - a</t>
  </si>
  <si>
    <t>Greenway - 304-A - a</t>
  </si>
  <si>
    <t>Melina Fernon</t>
  </si>
  <si>
    <t>Greenway - 301-A - a</t>
  </si>
  <si>
    <t>Greenway - 121-B - a</t>
  </si>
  <si>
    <t>Greenway - 207-A - a</t>
  </si>
  <si>
    <t>Greenway - 303-A - a</t>
  </si>
  <si>
    <t>Madison Due</t>
  </si>
  <si>
    <t>Greenway - 009-A - a</t>
  </si>
  <si>
    <t>Greenway - 009-C - a</t>
  </si>
  <si>
    <t>Greenway - 118-B - a</t>
  </si>
  <si>
    <t>Maria Leon Urrutia</t>
  </si>
  <si>
    <t>Greenway - 121-C - a</t>
  </si>
  <si>
    <t>Drew Koval</t>
  </si>
  <si>
    <t>Greenway - 324-B - a</t>
  </si>
  <si>
    <t>Greenway - 317-B - a</t>
  </si>
  <si>
    <t>Andrew Eidelhoch</t>
  </si>
  <si>
    <t>Greenway - 303-B - a</t>
  </si>
  <si>
    <t>Greenway - 202-C - a</t>
  </si>
  <si>
    <t>Liggett - 3361 - a</t>
  </si>
  <si>
    <t>Liggett - 2312 - a</t>
  </si>
  <si>
    <t>Liggett - 2324 - a</t>
  </si>
  <si>
    <t>Liggett - 2321 - a</t>
  </si>
  <si>
    <t>Liggett - 1164 - a</t>
  </si>
  <si>
    <t>Liggett - 2323 - a</t>
  </si>
  <si>
    <t>Sofia Greenberg</t>
  </si>
  <si>
    <t>Liggett - 2271 - a</t>
  </si>
  <si>
    <t>Liggett - 2314 - a</t>
  </si>
  <si>
    <t>Liggett - 2273 - a</t>
  </si>
  <si>
    <t>Liggett - 2272 - a</t>
  </si>
  <si>
    <t>Liggett - 2264 - a</t>
  </si>
  <si>
    <t>Liggett - 2274 - a</t>
  </si>
  <si>
    <t>Liggett - 4464 - a</t>
  </si>
  <si>
    <t>Liggett - 4490 - b</t>
  </si>
  <si>
    <t>Gavin Goldsmith</t>
  </si>
  <si>
    <t>Liggett - 3423 - a</t>
  </si>
  <si>
    <t>Liggett - 3414 - a</t>
  </si>
  <si>
    <t>Liggett - 3372 - a</t>
  </si>
  <si>
    <t>Liggett - 3371 - a</t>
  </si>
  <si>
    <t>Liggett - 3373 - a</t>
  </si>
  <si>
    <t>Ella Weiss</t>
  </si>
  <si>
    <t>Liggett - 3364 - a</t>
  </si>
  <si>
    <t>Liggett - 3383 - a</t>
  </si>
  <si>
    <t>Liggett - 3422 - a</t>
  </si>
  <si>
    <t>Thomas Eliot B - 1104 - a</t>
  </si>
  <si>
    <t>Thomas Eliot B - 1003 - a</t>
  </si>
  <si>
    <t>Carolyn Orenstein</t>
  </si>
  <si>
    <t>Thomas Eliot B - 2064 - a</t>
  </si>
  <si>
    <t>Thomas Eliot B - 1034 - a</t>
  </si>
  <si>
    <t>Thomas Eliot B - 2053 - a</t>
  </si>
  <si>
    <t>Thomas Eliot B - 2094 - a</t>
  </si>
  <si>
    <t>Thomas Eliot B - 2103 - a</t>
  </si>
  <si>
    <t>Estelle Rosenblatg</t>
  </si>
  <si>
    <t>Thomas Eliot B - 2104 - a</t>
  </si>
  <si>
    <t>Bela Stocco Lanfranchi</t>
  </si>
  <si>
    <t>Thomas Eliot B - 1033 - a</t>
  </si>
  <si>
    <t>Thomas Eliot B - 1031 - a</t>
  </si>
  <si>
    <t>Thomas Eliot B - 1054 - a</t>
  </si>
  <si>
    <t>Thomas Eliot B - 1032 - a</t>
  </si>
  <si>
    <t>Thomas Eliot B - 2032 - a</t>
  </si>
  <si>
    <t>Janeisha Allison</t>
  </si>
  <si>
    <t>Thomas Eliot B - 3064 - a</t>
  </si>
  <si>
    <t>Ben Nikpour</t>
  </si>
  <si>
    <t>Thomas Eliot B - 4022 - a</t>
  </si>
  <si>
    <t>Gabriella Arguello</t>
  </si>
  <si>
    <t>Thomas Eliot B - 4034 - a</t>
  </si>
  <si>
    <t>Karthika Siva</t>
  </si>
  <si>
    <t>Thomas Eliot B - 4023 - a</t>
  </si>
  <si>
    <t>Cameron Tollefson</t>
  </si>
  <si>
    <t>Thomas Eliot B - 4002 - a</t>
  </si>
  <si>
    <t>Thomas Eliot B - 4053 - a</t>
  </si>
  <si>
    <t>Thomas Eliot B - 3061 - a</t>
  </si>
  <si>
    <t>Thomas Eliot B - 4093 - a</t>
  </si>
  <si>
    <t>Thomas Eliot B - 4021 - a</t>
  </si>
  <si>
    <t>Thomas Eliot B - 3062 - a</t>
  </si>
  <si>
    <t>Thomas Eliot B - 3040 - a</t>
  </si>
  <si>
    <t>Thomas Eliot B - 3003 - a</t>
  </si>
  <si>
    <t>Thomas Eliot B - 3033 - a</t>
  </si>
  <si>
    <t>Thomas Eliot B - 4040 - b</t>
  </si>
  <si>
    <t>Thomas Eliot B - 3031 - a</t>
  </si>
  <si>
    <t>Thomas Eliot B - 2034 - a</t>
  </si>
  <si>
    <t>Millbrook 1 - 207C - a</t>
  </si>
  <si>
    <t>Millbrook 1 - 203D - a</t>
  </si>
  <si>
    <t>Millbrook 1 - 202B - a</t>
  </si>
  <si>
    <t>Ben Santaella</t>
  </si>
  <si>
    <t>Millbrook 1 - 203A - a</t>
  </si>
  <si>
    <t>Millbrook 1 - 205A - a</t>
  </si>
  <si>
    <t>Millbrook 1 - 203B - a</t>
  </si>
  <si>
    <t>Van Cardenas Garcia</t>
  </si>
  <si>
    <t>Millbrook 1 - 104B - a</t>
  </si>
  <si>
    <t>Emily Updike</t>
  </si>
  <si>
    <t>Millbrook 1 - 108C - a</t>
  </si>
  <si>
    <t>Maame Abire Darkwah</t>
  </si>
  <si>
    <t>Millbrook 1 - 104D - b</t>
  </si>
  <si>
    <t>Millbrook 1 - 101C - a</t>
  </si>
  <si>
    <t>Millbrook 1 - 205B - a</t>
  </si>
  <si>
    <t>Nessim Yohros</t>
  </si>
  <si>
    <t>Millbrook 1 - 105A - a</t>
  </si>
  <si>
    <t>Sydney Regan</t>
  </si>
  <si>
    <t>Lopata - 2033 - a</t>
  </si>
  <si>
    <t>Lopata - 2032 - a</t>
  </si>
  <si>
    <t>Lopata - 3022 - a</t>
  </si>
  <si>
    <t>Lopata - 1053 - a</t>
  </si>
  <si>
    <t>Lopata - 3023 - a</t>
  </si>
  <si>
    <t>Lopata - 1114 - a</t>
  </si>
  <si>
    <t>Lopata - 1022 - a</t>
  </si>
  <si>
    <t>Lopata - 1113 - a</t>
  </si>
  <si>
    <t>Lopata - 2031 - a</t>
  </si>
  <si>
    <t>Lopata - 1163 - a</t>
  </si>
  <si>
    <t>Lopata - 2034 - a</t>
  </si>
  <si>
    <t>Lopata - 3002 - a</t>
  </si>
  <si>
    <t>Lopata - 2161 - a</t>
  </si>
  <si>
    <t>Lopata - 3061 - a</t>
  </si>
  <si>
    <t>Kevin Ramirez</t>
  </si>
  <si>
    <t>Lopata - 3112 - a</t>
  </si>
  <si>
    <t>Lopata - 3124 - a</t>
  </si>
  <si>
    <t>Abi Erle</t>
  </si>
  <si>
    <t>Lopata - 1051 - a</t>
  </si>
  <si>
    <t>Lopata - 3052 - a</t>
  </si>
  <si>
    <t>Lopata - 3033 - a</t>
  </si>
  <si>
    <t>Lopata - 1140 - a</t>
  </si>
  <si>
    <t>Lopata - 3142 - a</t>
  </si>
  <si>
    <t>Lopata - 1111 - a</t>
  </si>
  <si>
    <t>Lopata - 1052 - a</t>
  </si>
  <si>
    <t>Lopata - 2021 - a</t>
  </si>
  <si>
    <t>Lopata - 3131 - a</t>
  </si>
  <si>
    <t>Lopata - 3093 - a</t>
  </si>
  <si>
    <t>Lopata - 3024 - a</t>
  </si>
  <si>
    <t>Lopata - 3094 - a</t>
  </si>
  <si>
    <t>Lopata - 3092 - a</t>
  </si>
  <si>
    <t>Lopata - 3091 - a</t>
  </si>
  <si>
    <t>Lopata - 3032 - a</t>
  </si>
  <si>
    <t>Lopata - 3123 - a</t>
  </si>
  <si>
    <t>Lopata - 3071 - a</t>
  </si>
  <si>
    <t>Lopata - 3034 - a</t>
  </si>
  <si>
    <t>Lopata - 3051 - a</t>
  </si>
  <si>
    <t>Village House - 3032 - a</t>
  </si>
  <si>
    <t>Ava Glaser</t>
  </si>
  <si>
    <t>Village House - 3021 - a</t>
  </si>
  <si>
    <t>Village House - 3013 - a</t>
  </si>
  <si>
    <t>Village House - 3012 - a</t>
  </si>
  <si>
    <t>Jinu Kim</t>
  </si>
  <si>
    <t>Village House - 3002 - a</t>
  </si>
  <si>
    <t>Village House - 2103 - a</t>
  </si>
  <si>
    <t>Village House - 2141 - a</t>
  </si>
  <si>
    <t>Village House - 2122 - a</t>
  </si>
  <si>
    <t>Village House - 2132 - a</t>
  </si>
  <si>
    <t>Village House - 4012 - a</t>
  </si>
  <si>
    <t>Village House - 4072 - a</t>
  </si>
  <si>
    <t>Village House - 4014 - a</t>
  </si>
  <si>
    <t>Rebecca Liu</t>
  </si>
  <si>
    <t>Village House - 4031 - a</t>
  </si>
  <si>
    <t>Village House - 3033 - a</t>
  </si>
  <si>
    <t>Vanessa Fang</t>
  </si>
  <si>
    <t>Village House - 4032 - a</t>
  </si>
  <si>
    <t>Village House - 3064 - a</t>
  </si>
  <si>
    <t>Village House - 4002 - a</t>
  </si>
  <si>
    <t>Village House - 3091 - a</t>
  </si>
  <si>
    <t>Village House - 4102 - a</t>
  </si>
  <si>
    <t>Naomi Daneshgar</t>
  </si>
  <si>
    <t>Village House - 4131 - a</t>
  </si>
  <si>
    <t>Justin Ockun</t>
  </si>
  <si>
    <t>Village House - 3103 - a</t>
  </si>
  <si>
    <t>Rylal Koroma</t>
  </si>
  <si>
    <t>Village House - 2013 - a</t>
  </si>
  <si>
    <t>Village House - 2051 - a</t>
  </si>
  <si>
    <t>Village House - 4160 - a</t>
  </si>
  <si>
    <t>Village House - 3034 - a</t>
  </si>
  <si>
    <t>Village House - 3101 - a</t>
  </si>
  <si>
    <t>Village House - 3061 - a</t>
  </si>
  <si>
    <t>Village House - 3122 - a</t>
  </si>
  <si>
    <t>Village House - 3131 - a</t>
  </si>
  <si>
    <t>Village House - 2082 - a</t>
  </si>
  <si>
    <t>Village House - 2081 - a</t>
  </si>
  <si>
    <t>Gabriella Fusco</t>
  </si>
  <si>
    <t>Village House - 4132 - a</t>
  </si>
  <si>
    <t>Village House - 4094 - a</t>
  </si>
  <si>
    <t>Village House - 4142 - a</t>
  </si>
  <si>
    <t>Wheeler - 4033 - a</t>
  </si>
  <si>
    <t>Wheeler - 4011 - a</t>
  </si>
  <si>
    <t>Zechariah Pressnell</t>
  </si>
  <si>
    <t>Wheeler - 3003 - a</t>
  </si>
  <si>
    <t>Wheeler - 3103 - a</t>
  </si>
  <si>
    <t>Wheeler - 2044 - a</t>
  </si>
  <si>
    <t>Wheeler - 3023 - a</t>
  </si>
  <si>
    <t>Wheeler - 1013 - a</t>
  </si>
  <si>
    <t>Wheeler - 3112 - b</t>
  </si>
  <si>
    <t>Wheeler - 3102 - a</t>
  </si>
  <si>
    <t>David Perez</t>
  </si>
  <si>
    <t>Wheeler - 2071 - a</t>
  </si>
  <si>
    <t>Wheeler - 2083 - a</t>
  </si>
  <si>
    <t>Wheeler - 3104 - a</t>
  </si>
  <si>
    <t>Wheeler - 1051 - a</t>
  </si>
  <si>
    <t>Wheeler - 4111 - b</t>
  </si>
  <si>
    <t>Wheeler - 2090 - b</t>
  </si>
  <si>
    <t>Wheeler - 4064 - a</t>
  </si>
  <si>
    <t>Shepley - 2053 - a</t>
  </si>
  <si>
    <t>Shepley - 2021 - a</t>
  </si>
  <si>
    <t>Abhinav Potluri</t>
  </si>
  <si>
    <t>Shepley - 1041 - a</t>
  </si>
  <si>
    <t>Shepley - 1050 - b</t>
  </si>
  <si>
    <t>Yuxiao Zhao</t>
  </si>
  <si>
    <t>Shepley - 1023 - a</t>
  </si>
  <si>
    <t>Shepley - 2052 - a</t>
  </si>
  <si>
    <t>Shepley - 1034 - a</t>
  </si>
  <si>
    <t>Shepley - 3001 - a</t>
  </si>
  <si>
    <t>Shepley - 4033 - a</t>
  </si>
  <si>
    <t>Shepley - 3071 - a</t>
  </si>
  <si>
    <t>Shepley - 4004 - a</t>
  </si>
  <si>
    <t>Shepley - 4003 - a</t>
  </si>
  <si>
    <t>Noelle Lawson</t>
  </si>
  <si>
    <t>Shepley - 4023 - a</t>
  </si>
  <si>
    <t>Shepley - 3021 - a</t>
  </si>
  <si>
    <t>Shepley - 4031 - a</t>
  </si>
  <si>
    <t>Shepley - 3081 - a</t>
  </si>
  <si>
    <t>Shepley - 3002 - a</t>
  </si>
  <si>
    <t>William Deighton</t>
  </si>
  <si>
    <t>Shepley - 2042 - a</t>
  </si>
  <si>
    <t>Matthew Kim</t>
  </si>
  <si>
    <t>Shepley - 3092 - a</t>
  </si>
  <si>
    <t>Nemerov - 2063 - a</t>
  </si>
  <si>
    <t>Nemerov - 2092 - a</t>
  </si>
  <si>
    <t>Nemerov - 2010 - a</t>
  </si>
  <si>
    <t>Nemerov - 2083 - a</t>
  </si>
  <si>
    <t>Samantha Schwartz</t>
  </si>
  <si>
    <t>Nemerov - 2044 - a</t>
  </si>
  <si>
    <t>Becca Hackel</t>
  </si>
  <si>
    <t>Nemerov - 1014 - a</t>
  </si>
  <si>
    <t>Nemerov - 3021 - a</t>
  </si>
  <si>
    <t>Elizabeth Oyler</t>
  </si>
  <si>
    <t>Village House - 3121 - a</t>
  </si>
  <si>
    <t>Grant Humphrey</t>
  </si>
  <si>
    <t>Village House - 2142 - a</t>
  </si>
  <si>
    <t>Baylor Mcinturff</t>
  </si>
  <si>
    <t>Nemerov - 2064 - a</t>
  </si>
  <si>
    <t>Nemerov - 4000 - a</t>
  </si>
  <si>
    <t>Nemerov - 2084 - a</t>
  </si>
  <si>
    <t>Nemerov - 3024 - a</t>
  </si>
  <si>
    <t>Joyce Lin</t>
  </si>
  <si>
    <t>Nemerov - 1004 - a</t>
  </si>
  <si>
    <t>Nemerov - 3082 - a</t>
  </si>
  <si>
    <t>Nemerov - 3032 - a</t>
  </si>
  <si>
    <t>Nemerov - 3063 - a</t>
  </si>
  <si>
    <t>Yuehan Hu</t>
  </si>
  <si>
    <t>Nemerov - 3110 - b</t>
  </si>
  <si>
    <t>Nemerov - 3053 - a</t>
  </si>
  <si>
    <t>Nemerov - 2043 - a</t>
  </si>
  <si>
    <t>Nemerov - 4110 - b</t>
  </si>
  <si>
    <t>Nemerov - 4063 - a</t>
  </si>
  <si>
    <t>Nemerov - 4071 - a</t>
  </si>
  <si>
    <t>Lopata - 3031 - a</t>
  </si>
  <si>
    <t>Nemerov - 4043 - a</t>
  </si>
  <si>
    <t>Nemerov - 4073 - a</t>
  </si>
  <si>
    <t>Nemerov - 4083 - a</t>
  </si>
  <si>
    <t>Nemerov - 3073 - a</t>
  </si>
  <si>
    <t>Nemerov - 4110 - a</t>
  </si>
  <si>
    <t>Harper Nix</t>
  </si>
  <si>
    <t>Nemerov - 4104 - a</t>
  </si>
  <si>
    <t>Nemerov - 4052 - a</t>
  </si>
  <si>
    <t>Madeline Lee</t>
  </si>
  <si>
    <t>Nemerov - 4061 - a</t>
  </si>
  <si>
    <t>Nemerov - 4010 - b</t>
  </si>
  <si>
    <t>Nemerov - 3081 - a</t>
  </si>
  <si>
    <t>Nemerov - 4081 - a</t>
  </si>
  <si>
    <t>Nemerov - 4082 - a</t>
  </si>
  <si>
    <t>Nemerov - 3041 - a</t>
  </si>
  <si>
    <t>Nemerov - 4081</t>
  </si>
  <si>
    <t>Mimi Milord</t>
  </si>
  <si>
    <t>Nemerov - 3042 - a</t>
  </si>
  <si>
    <t>Thomas Cannistraro</t>
  </si>
  <si>
    <t>Nemerov - 3071 - a</t>
  </si>
  <si>
    <t>Nemerov - 1001 - a</t>
  </si>
  <si>
    <t>House 22 - 1021 - a</t>
  </si>
  <si>
    <t>Peter Kong</t>
  </si>
  <si>
    <t>House 21 - 3091 - a</t>
  </si>
  <si>
    <t>Lucas Hunter</t>
  </si>
  <si>
    <t>House 21 - 2093 - a</t>
  </si>
  <si>
    <t>House 21 - 3062 - a</t>
  </si>
  <si>
    <t>House 21 - 3071 - b</t>
  </si>
  <si>
    <t>House 21 - 3081 - a</t>
  </si>
  <si>
    <t>House 21 - 2071 - a</t>
  </si>
  <si>
    <t>House 21 - 2061 - a</t>
  </si>
  <si>
    <t>House 11 - 2011 - a</t>
  </si>
  <si>
    <t>House 11 - 1014 - a</t>
  </si>
  <si>
    <t>House 21 - 1041 - a</t>
  </si>
  <si>
    <t>House 22 - 3042 - a</t>
  </si>
  <si>
    <t>Michael Greco</t>
  </si>
  <si>
    <t>House 22 - 3031 - a</t>
  </si>
  <si>
    <t>Julian Naiman</t>
  </si>
  <si>
    <t>House 22 - 3021 - a</t>
  </si>
  <si>
    <t>House 22 - 3043 - a</t>
  </si>
  <si>
    <t>House 22 - 2002 - a</t>
  </si>
  <si>
    <t>House 22 - 2043 - a</t>
  </si>
  <si>
    <t>House 22 - 3041 - a</t>
  </si>
  <si>
    <t>House 22 - 3011 - a</t>
  </si>
  <si>
    <t>Josh Titens</t>
  </si>
  <si>
    <t>House 22 - 3012 - a</t>
  </si>
  <si>
    <t>House 22 - 2001 - a</t>
  </si>
  <si>
    <t>Blake Feinman</t>
  </si>
  <si>
    <t>House 11 - 1011 - a</t>
  </si>
  <si>
    <t>House 3 - 204 - b</t>
  </si>
  <si>
    <t>House 2 - 203 - b</t>
  </si>
  <si>
    <t>House 3 - 205 - a</t>
  </si>
  <si>
    <t>House 2 - 208 - a</t>
  </si>
  <si>
    <t>House 1 - 210 - a</t>
  </si>
  <si>
    <t>House 2 - 203 - a</t>
  </si>
  <si>
    <t>House 2 - 308 - b</t>
  </si>
  <si>
    <t>Cole Nelson</t>
  </si>
  <si>
    <t>House 1 - 311 - a</t>
  </si>
  <si>
    <t>House 2 - 209 - b</t>
  </si>
  <si>
    <t>Paul Julmice</t>
  </si>
  <si>
    <t>House 1 - 312 - a</t>
  </si>
  <si>
    <t>House 1 - 115 - a</t>
  </si>
  <si>
    <t>House 3 - 205 - b</t>
  </si>
  <si>
    <t>Mingyue Ding</t>
  </si>
  <si>
    <t>House 1 - 209 - a</t>
  </si>
  <si>
    <t>Ethan Sosland</t>
  </si>
  <si>
    <t>House 3 - 206 - a</t>
  </si>
  <si>
    <t>House 3 - 207 - b</t>
  </si>
  <si>
    <t>Yike Li</t>
  </si>
  <si>
    <t>House 5 - 308 - a</t>
  </si>
  <si>
    <t>House 4 - 201 - a</t>
  </si>
  <si>
    <t>House 5 - 110 - b</t>
  </si>
  <si>
    <t>House 4 - 304 - b</t>
  </si>
  <si>
    <t>Charlie Shang</t>
  </si>
  <si>
    <t>House 5 - 202 - a</t>
  </si>
  <si>
    <t>House 4 - 207 - a</t>
  </si>
  <si>
    <t>House 4 - 305 - a</t>
  </si>
  <si>
    <t>House 6 - 206 - a</t>
  </si>
  <si>
    <t>House 4 - 209 - a</t>
  </si>
  <si>
    <t>House 6 - 208 - a</t>
  </si>
  <si>
    <t>Quincy Schwartz</t>
  </si>
  <si>
    <t>House 6 - 202 - b</t>
  </si>
  <si>
    <t>House 6 - 305 - a</t>
  </si>
  <si>
    <t>House 6 - 206 - b</t>
  </si>
  <si>
    <t>House 6 - 301 - a</t>
  </si>
  <si>
    <t>Justin Song</t>
  </si>
  <si>
    <t>House 6 - 103 - a</t>
  </si>
  <si>
    <t>House 6 - 103</t>
  </si>
  <si>
    <t>Samuel Gornstein</t>
  </si>
  <si>
    <t>House 6 - 103 - b</t>
  </si>
  <si>
    <t>House 6 - 304 - a</t>
  </si>
  <si>
    <t>Teddy Greensfelder</t>
  </si>
  <si>
    <t>House 2 - 102 - a</t>
  </si>
  <si>
    <t>Annika Divan</t>
  </si>
  <si>
    <t>Lofts (6200) - 308B - a</t>
  </si>
  <si>
    <t>Lofts (6200) - 218C - a</t>
  </si>
  <si>
    <t>Lofts (6200) - 401A - a</t>
  </si>
  <si>
    <t>Connor Van Huijgevoort</t>
  </si>
  <si>
    <t>Lofts (6200) - 103B - a</t>
  </si>
  <si>
    <t>Oluwasubomi Adedeji</t>
  </si>
  <si>
    <t>Lofts (6200) - 219A - a</t>
  </si>
  <si>
    <t>Rebecca Alter</t>
  </si>
  <si>
    <t>Lofts (6200) - 116A - a</t>
  </si>
  <si>
    <t>Lofts (6200) - 309C - a</t>
  </si>
  <si>
    <t>Anna Gardiner</t>
  </si>
  <si>
    <t>Lofts (6200) - 308C - a</t>
  </si>
  <si>
    <t>Lofts 6200 - 308-C</t>
  </si>
  <si>
    <t>Lofts (6200) - 309B - a</t>
  </si>
  <si>
    <t>Lofts (6200) - 315B - a</t>
  </si>
  <si>
    <t>Lofts (6200) - 309A - a</t>
  </si>
  <si>
    <t>Lofts 6200 - 308</t>
  </si>
  <si>
    <t>Lofts (6200) - 406C - a</t>
  </si>
  <si>
    <t>Lofts (6200) - 313 - a</t>
  </si>
  <si>
    <t>Rosedale (340) - 1N-B - a</t>
  </si>
  <si>
    <t>Rosedale (340) - 1N-A - a</t>
  </si>
  <si>
    <t>House 8 - 3052 - a</t>
  </si>
  <si>
    <t>Owen Kim</t>
  </si>
  <si>
    <t>House 11 - 3033 - a</t>
  </si>
  <si>
    <t>Poppy Beiser</t>
  </si>
  <si>
    <t>Gregg - 1011 - a</t>
  </si>
  <si>
    <t>Gregg - 1013 - a</t>
  </si>
  <si>
    <t>Gregg - 2021 - b</t>
  </si>
  <si>
    <t>G Philip</t>
  </si>
  <si>
    <t>Gregg - 2043 - a</t>
  </si>
  <si>
    <t>Gregg - 2074 - a</t>
  </si>
  <si>
    <t>Gregg - 2080 - a</t>
  </si>
  <si>
    <t>Gregg - 1043 - a</t>
  </si>
  <si>
    <t>Gregg - 2010 - a</t>
  </si>
  <si>
    <t>Gregg - 3010 - a</t>
  </si>
  <si>
    <t>Gregg - 2171 - a</t>
  </si>
  <si>
    <t>Gregg - 3010 - b</t>
  </si>
  <si>
    <t>John Powers</t>
  </si>
  <si>
    <t>Gregg - 2173 - a</t>
  </si>
  <si>
    <t>Kristen Cox</t>
  </si>
  <si>
    <t>Gregg - 3143 - a</t>
  </si>
  <si>
    <t>Gregg - 3160 - a</t>
  </si>
  <si>
    <t>Gregg - 3160 - b</t>
  </si>
  <si>
    <t>Gregg - 3061 - a</t>
  </si>
  <si>
    <t>Gregg - 3133 - a</t>
  </si>
  <si>
    <t>Gregg - 3141 - a</t>
  </si>
  <si>
    <t>Gregg - 3031 - a</t>
  </si>
  <si>
    <t>Lea Troin</t>
  </si>
  <si>
    <t>Gregg - 3054 - a</t>
  </si>
  <si>
    <t>Gregg - 3132 - a</t>
  </si>
  <si>
    <t>Gregg - 3102 - a</t>
  </si>
  <si>
    <t>Gregg - 3073 - a</t>
  </si>
  <si>
    <t>Gregg - 3072 - a</t>
  </si>
  <si>
    <t>Gregg - 3074 - a</t>
  </si>
  <si>
    <t>Gregg - 3022 - a</t>
  </si>
  <si>
    <t>Anna Grace Im</t>
  </si>
  <si>
    <t>Zetcher House - 2094 - a</t>
  </si>
  <si>
    <t>Zetcher House - 2121 - a</t>
  </si>
  <si>
    <t>Ryan Freitas</t>
  </si>
  <si>
    <t>Zetcher House - 2033 - a</t>
  </si>
  <si>
    <t>Zetcher House - 2102 - a</t>
  </si>
  <si>
    <t>Zetcher House - 2022 - a</t>
  </si>
  <si>
    <t>Daegan Pasqualetto</t>
  </si>
  <si>
    <t>Zetcher House - 2062 - a</t>
  </si>
  <si>
    <t>Zetcher House - 2092 - a</t>
  </si>
  <si>
    <t>Zetcher House - 2044 - a</t>
  </si>
  <si>
    <t>Zetcher House - 2041 - a</t>
  </si>
  <si>
    <t>Stephen Klein</t>
  </si>
  <si>
    <t>Zetcher House - 2034 - a</t>
  </si>
  <si>
    <t>Claire Park</t>
  </si>
  <si>
    <t>Zetcher House - 2091 - a</t>
  </si>
  <si>
    <t>Ben O'Sullivan</t>
  </si>
  <si>
    <t>Zetcher House - 2031 - a</t>
  </si>
  <si>
    <t>Zetcher House - 3000 - b</t>
  </si>
  <si>
    <t>Zetcher House - 3072 - a</t>
  </si>
  <si>
    <t>Zetcher House - 3062 - a</t>
  </si>
  <si>
    <t>Hyunwoo Tak</t>
  </si>
  <si>
    <t>Zetcher House - 3063 - a</t>
  </si>
  <si>
    <t>Zetcher House - 2223 - a</t>
  </si>
  <si>
    <t>Zetcher House - 3042 - a</t>
  </si>
  <si>
    <t>Zetcher House - 2123 - a</t>
  </si>
  <si>
    <t>Zetcher House - 3091 - a</t>
  </si>
  <si>
    <t>Reid McVey</t>
  </si>
  <si>
    <t>Zetcher House - 2163 - a</t>
  </si>
  <si>
    <t>Zetcher House - 3073 - a</t>
  </si>
  <si>
    <t>CJ Eddings</t>
  </si>
  <si>
    <t>Zetcher House - 3012 - a</t>
  </si>
  <si>
    <t>Lance Cumberland</t>
  </si>
  <si>
    <t>Zetcher House - 4121 - a</t>
  </si>
  <si>
    <t>Zetcher House - 4043 - a</t>
  </si>
  <si>
    <t>Zetcher House - 3153 - a</t>
  </si>
  <si>
    <t>Zhanning (Maggie) Lin</t>
  </si>
  <si>
    <t>Zetcher House - 3093 - a</t>
  </si>
  <si>
    <t>Zetcher House - 3191 - a</t>
  </si>
  <si>
    <t>Zetcher House - 3154 - a</t>
  </si>
  <si>
    <t>Zetcher House - 3134 - a</t>
  </si>
  <si>
    <t>Zetcher House - 3194 - a</t>
  </si>
  <si>
    <t>Alice Smagorinsky</t>
  </si>
  <si>
    <t>Zetcher House - 3143 - a</t>
  </si>
  <si>
    <t>Zetcher House - 4104 - a</t>
  </si>
  <si>
    <t>Zetcher House - 4131 - a</t>
  </si>
  <si>
    <t>Zetcher House - 4181 - a</t>
  </si>
  <si>
    <t>Zetcher House - 4133 - a</t>
  </si>
  <si>
    <t>Zetcher House - 4140 - b</t>
  </si>
  <si>
    <t>Zetcher House - 4024 - a</t>
  </si>
  <si>
    <t>Zetcher House - 3221 - a</t>
  </si>
  <si>
    <t>Zetcher House - 4124 - a</t>
  </si>
  <si>
    <t>Zetcher House - 3024 - a</t>
  </si>
  <si>
    <t>Beamont - 321</t>
  </si>
  <si>
    <t>Umrath - 4410</t>
  </si>
  <si>
    <t>Park - 352</t>
  </si>
  <si>
    <t>Angela Chen</t>
  </si>
  <si>
    <t>Mudd - 481</t>
  </si>
  <si>
    <t>Mudd - 102</t>
  </si>
  <si>
    <t>Tamrin Darbakov</t>
  </si>
  <si>
    <t>Beaumont - 310 - a</t>
  </si>
  <si>
    <t>Beaumont - 313 - a</t>
  </si>
  <si>
    <t>Beaumont - 309 - a</t>
  </si>
  <si>
    <t>Beaumont - 306 - a</t>
  </si>
  <si>
    <t>Beaumont - 304 - a</t>
  </si>
  <si>
    <t>Beaumont - 218 - a</t>
  </si>
  <si>
    <t>Beaumont - 219 - a</t>
  </si>
  <si>
    <t>Beaumont - 205 - a</t>
  </si>
  <si>
    <t>Beaumont - 205 - b</t>
  </si>
  <si>
    <t>Beaumont - 206 - a</t>
  </si>
  <si>
    <t>Beaumont - 208 - a</t>
  </si>
  <si>
    <t>Beaumont - 105 - b</t>
  </si>
  <si>
    <t>Erica Kang</t>
  </si>
  <si>
    <t>Beaumont - 105 - a</t>
  </si>
  <si>
    <t>Anatupenda Daphrose</t>
  </si>
  <si>
    <t>Shepley - 3062 - a</t>
  </si>
  <si>
    <t>Adrian Lutgen</t>
  </si>
  <si>
    <t>Wheeler - 4012 - a</t>
  </si>
  <si>
    <t>Sophia Ray</t>
  </si>
  <si>
    <t>Wheeler - 3021 - a</t>
  </si>
  <si>
    <t>Wheeler - 1044 - a</t>
  </si>
  <si>
    <t>Nemerov - 1002 - a</t>
  </si>
  <si>
    <t>Alexis Luna</t>
  </si>
  <si>
    <t>Gregg - 2160 - b</t>
  </si>
  <si>
    <t>Gregg - 2053 - a</t>
  </si>
  <si>
    <t>Lopata - 1041 - a</t>
  </si>
  <si>
    <t>Lopata - 3021 - a</t>
  </si>
  <si>
    <t>Lopata - 3122 - a</t>
  </si>
  <si>
    <t>Kara Yoon</t>
  </si>
  <si>
    <t>Millbrook 1 - 203B - b</t>
  </si>
  <si>
    <t>Aidan Johnson</t>
  </si>
  <si>
    <t>House 22 - 2042 - a</t>
  </si>
  <si>
    <t>Village House - 3094 - a</t>
  </si>
  <si>
    <t>Village House - 3001 - a</t>
  </si>
  <si>
    <t>Campbell Tucker-Hill</t>
  </si>
  <si>
    <t>Village House - 4011 - a</t>
  </si>
  <si>
    <t>Village House - 4082 - a</t>
  </si>
  <si>
    <t>Village East - 2011 - a</t>
  </si>
  <si>
    <t>Ella Gutman</t>
  </si>
  <si>
    <t>Village East - 1112 - a</t>
  </si>
  <si>
    <t>Jake Alkon</t>
  </si>
  <si>
    <t>Village East - 1084 - a</t>
  </si>
  <si>
    <t>Village East - 0063 - a</t>
  </si>
  <si>
    <t>Village East - 1032 - a</t>
  </si>
  <si>
    <t>Village East - 1012 - a</t>
  </si>
  <si>
    <t>Village East - 1024 - a</t>
  </si>
  <si>
    <t>Village East - 1044 - a</t>
  </si>
  <si>
    <t>Amanda Zhong</t>
  </si>
  <si>
    <t>Village East - 1031 - a</t>
  </si>
  <si>
    <t>Anara Pollak</t>
  </si>
  <si>
    <t>Village East - 1033 - a</t>
  </si>
  <si>
    <t>Mudd - 352 - a</t>
  </si>
  <si>
    <t>Kaushik Rathuryan</t>
  </si>
  <si>
    <t>Village East - 1082 - a</t>
  </si>
  <si>
    <t>Mudd - 372 - a</t>
  </si>
  <si>
    <t>Village East - 1111 - a</t>
  </si>
  <si>
    <t>Roy Yang</t>
  </si>
  <si>
    <t>Mudd - 463 - a</t>
  </si>
  <si>
    <t>Teagan Takahashi</t>
  </si>
  <si>
    <t>Mudd - 461 - a</t>
  </si>
  <si>
    <t>Village East - 0012 - a</t>
  </si>
  <si>
    <t>Alexandra Negri</t>
  </si>
  <si>
    <t>Village East - 0023 - a</t>
  </si>
  <si>
    <t>Madison Stern</t>
  </si>
  <si>
    <t>Village East - 1113 - a</t>
  </si>
  <si>
    <t>Mudd - 214 - a</t>
  </si>
  <si>
    <t>Deborah Bryant</t>
  </si>
  <si>
    <t>Mudd - 371 - a</t>
  </si>
  <si>
    <t>Mudd - 373 - a</t>
  </si>
  <si>
    <t>Mudd - 152 - a</t>
  </si>
  <si>
    <t>Mudd - 331 - a</t>
  </si>
  <si>
    <t>Eden Levi</t>
  </si>
  <si>
    <t>Mudd - 432 - b</t>
  </si>
  <si>
    <t>Mudd - 212 - a</t>
  </si>
  <si>
    <t>Mudd - 252 - b</t>
  </si>
  <si>
    <t>Mudd - 223</t>
  </si>
  <si>
    <t>Mudd - 224</t>
  </si>
  <si>
    <t>Mudd - 482-b</t>
  </si>
  <si>
    <t>(Coco) Yue Zhan</t>
  </si>
  <si>
    <t>Lopata - 3062-a</t>
  </si>
  <si>
    <t>Millbrook Bldg. 3 - 202</t>
  </si>
  <si>
    <t>(Ellie Laird) Ellie Laurd</t>
  </si>
  <si>
    <t>Millbrook Bldg. 3 - 102</t>
  </si>
  <si>
    <t>Millbrook Bldg. 4 - 304</t>
  </si>
  <si>
    <t>Millbrook Bldg. 4 - 102F</t>
  </si>
  <si>
    <t>Millbrook Bldg. 2 - 203A</t>
  </si>
  <si>
    <t>Millbrook Bldg. 2 - 104C-b</t>
  </si>
  <si>
    <t>Loop Loft 6255 - 210C</t>
  </si>
  <si>
    <t>Millbrook Bldg. 4 - 201H-A</t>
  </si>
  <si>
    <t>Loop Loft 6255 - 411C</t>
  </si>
  <si>
    <t>Loop Loft 6300 - 213C-a</t>
  </si>
  <si>
    <t>Greenway Apartments - 119A</t>
  </si>
  <si>
    <t>6057 Waterman Ave - 1N-A</t>
  </si>
  <si>
    <t xml:space="preserve">Ana Grace im </t>
  </si>
  <si>
    <t>Zetcher - 2094</t>
  </si>
  <si>
    <t xml:space="preserve">Chris Munson </t>
  </si>
  <si>
    <t>Lee - 123</t>
  </si>
  <si>
    <t>Lee - 111</t>
  </si>
  <si>
    <t>Mudd - 274</t>
  </si>
  <si>
    <t>Ruby Koo</t>
  </si>
  <si>
    <t>Millbrook 3 - 104A</t>
  </si>
  <si>
    <t>Elle Bekhor</t>
  </si>
  <si>
    <t>Village East - 3071 - a</t>
  </si>
  <si>
    <t>Sara Moss</t>
  </si>
  <si>
    <t>Village East - 3072 - a</t>
  </si>
  <si>
    <t>Satvik Gupta</t>
  </si>
  <si>
    <t>Village East - 3092 - a</t>
  </si>
  <si>
    <t>Village East - 2093 - a</t>
  </si>
  <si>
    <t>Village East - 3121 - a</t>
  </si>
  <si>
    <t>Village East - 3032 - a</t>
  </si>
  <si>
    <t>Josephine Blough</t>
  </si>
  <si>
    <t>Village East - 2122 - a</t>
  </si>
  <si>
    <t>Isabella Knadjian</t>
  </si>
  <si>
    <t>Village East - 2123 - a</t>
  </si>
  <si>
    <t>Ben Stull</t>
  </si>
  <si>
    <t>Village East - 3123 - a</t>
  </si>
  <si>
    <t>Amanda Miller</t>
  </si>
  <si>
    <t>Village East - 3031 - a</t>
  </si>
  <si>
    <t>Maya Ringold</t>
  </si>
  <si>
    <t>Village East - 3122 - a</t>
  </si>
  <si>
    <t>Erin Wadsworth</t>
  </si>
  <si>
    <t>Village East - 2013 - a</t>
  </si>
  <si>
    <t>Village East - 2044 - a</t>
  </si>
  <si>
    <t>Milbrook 3 - 303A</t>
  </si>
  <si>
    <t>Clara Hart</t>
  </si>
  <si>
    <t>Village East - 3073 - a</t>
  </si>
  <si>
    <t>Village East - 2092 - a</t>
  </si>
  <si>
    <t>Melyssah Toledo</t>
  </si>
  <si>
    <t>Mudd - 324</t>
  </si>
  <si>
    <t>Village East - 2112 - a</t>
  </si>
  <si>
    <t>Village East - 2094 - a</t>
  </si>
  <si>
    <t>Village East - 2091 - a</t>
  </si>
  <si>
    <t>Mudd - 251</t>
  </si>
  <si>
    <t>Village East - 2074 - a</t>
  </si>
  <si>
    <t>Village East - 2073 - a</t>
  </si>
  <si>
    <t>Vivian Zweig</t>
  </si>
  <si>
    <t>Village East - 3024 - a</t>
  </si>
  <si>
    <t>Village East - 1114 - a</t>
  </si>
  <si>
    <t>Maddie Sapra</t>
  </si>
  <si>
    <t>Village East - 2012 - a</t>
  </si>
  <si>
    <t>Lofts 6255 - 401C</t>
  </si>
  <si>
    <t>Lofts 6263 - 207C</t>
  </si>
  <si>
    <t xml:space="preserve">Safiya Alexander </t>
  </si>
  <si>
    <t>Lofts 6300 - 118</t>
  </si>
  <si>
    <t>Millbrook 4 - 103G - a</t>
  </si>
  <si>
    <t>Dalia Hochstein</t>
  </si>
  <si>
    <t>Millbrook 4 - B-1B - a</t>
  </si>
  <si>
    <t>Millbrook 4 - 104E - a</t>
  </si>
  <si>
    <t>Eric Yarmolinsky</t>
  </si>
  <si>
    <t>Millbrook 4 - B-4D - a</t>
  </si>
  <si>
    <t>Caden Coleman</t>
  </si>
  <si>
    <t>Millbrook 4 - 203D - a</t>
  </si>
  <si>
    <t>Nate Morrison</t>
  </si>
  <si>
    <t>Millbrook 4 - 201G - a</t>
  </si>
  <si>
    <t>Lily Brant</t>
  </si>
  <si>
    <t>Millbrook 4 - 302A - a</t>
  </si>
  <si>
    <t>Sofie Vinick</t>
  </si>
  <si>
    <t>Millbrook 4 - 102A - a</t>
  </si>
  <si>
    <t>Nathan Arundel</t>
  </si>
  <si>
    <t>Millbrook 4 - 203B - a</t>
  </si>
  <si>
    <t>Millbrook 4 - 202C - a</t>
  </si>
  <si>
    <t>Millbrook 4 - 303A - a</t>
  </si>
  <si>
    <t>Millbrook 4 - 304B - a</t>
  </si>
  <si>
    <t>Jasper Kunz</t>
  </si>
  <si>
    <t>Millbrook 4 - 304D - a</t>
  </si>
  <si>
    <t>Millbrook 4 - 304E - a</t>
  </si>
  <si>
    <t>Millbrook 4 - 302C - a</t>
  </si>
  <si>
    <t>Millbrook 4 - 302D - a</t>
  </si>
  <si>
    <t>Ben Appelbaum</t>
  </si>
  <si>
    <t>Millbrook 4 - 202D - a</t>
  </si>
  <si>
    <t>Millbrook 4 - 203F - a</t>
  </si>
  <si>
    <t>Millbrook 2 - 201A - a</t>
  </si>
  <si>
    <t>Alexandre Neptune</t>
  </si>
  <si>
    <t>Millbrook 2 - 206B - a</t>
  </si>
  <si>
    <t>Millbrook 2 - 201B - a</t>
  </si>
  <si>
    <t>Rohan Patel</t>
  </si>
  <si>
    <t>Millbrook 2 - 202B - a</t>
  </si>
  <si>
    <t>Grace Chung</t>
  </si>
  <si>
    <t>Millbrook 2 - 201C - a</t>
  </si>
  <si>
    <t>Zix Chen</t>
  </si>
  <si>
    <t>Millbrook 2 - 101C - a</t>
  </si>
  <si>
    <t>Millbrook 2 - 104C - b</t>
  </si>
  <si>
    <t>Roman Pati</t>
  </si>
  <si>
    <t>Millbrook 2 - 105C - a</t>
  </si>
  <si>
    <t>Jialing sun</t>
  </si>
  <si>
    <t>6300 lofts - 317A</t>
  </si>
  <si>
    <t>Lofts (6255) - 316C - a</t>
  </si>
  <si>
    <t>Lofts (6255) - 302A - a</t>
  </si>
  <si>
    <t>Harlem Taylor</t>
  </si>
  <si>
    <t>Lofts (6255) - 312B - a</t>
  </si>
  <si>
    <t>Ethan Ng</t>
  </si>
  <si>
    <t>Lofts (6255) - 312A - a</t>
  </si>
  <si>
    <t>Wesley Beamer</t>
  </si>
  <si>
    <t>Lofts (6255) - 315 - a</t>
  </si>
  <si>
    <t>Lofts (6255) - 210A - a</t>
  </si>
  <si>
    <t>Daniel Graziano</t>
  </si>
  <si>
    <t>Lofts (6255) - 204B - a</t>
  </si>
  <si>
    <t>Lofts (6300) - 320A - a</t>
  </si>
  <si>
    <t>Lofts (6300) - 414C - a</t>
  </si>
  <si>
    <t>Lofts (6300) - 404C - a</t>
  </si>
  <si>
    <t>Nyla Staes</t>
  </si>
  <si>
    <t>Lofts (6300) - 403 - a</t>
  </si>
  <si>
    <t>Lofts (6255) - 413B - a</t>
  </si>
  <si>
    <t>Lily Park</t>
  </si>
  <si>
    <t>Lofts (6300) - 206A - a</t>
  </si>
  <si>
    <t>Lofts (6300) - 206C - a</t>
  </si>
  <si>
    <t>Lofts (6255) - 413A - a</t>
  </si>
  <si>
    <t>Lofts (6300) - 206B - a</t>
  </si>
  <si>
    <t>Lofts (6255) - 418B - a</t>
  </si>
  <si>
    <t>Lofts (6263) - 208B - a</t>
  </si>
  <si>
    <t>Lofts (6263) - 309C - a</t>
  </si>
  <si>
    <t>Jasmin Wu</t>
  </si>
  <si>
    <t>Lofts (6263) - 209A - a</t>
  </si>
  <si>
    <t>Emily Considine</t>
  </si>
  <si>
    <t>Lofts (6263) - 307B - a</t>
  </si>
  <si>
    <t>Lofts (6255) - 304C - a</t>
  </si>
  <si>
    <t>Lofts (6255) - 303B - a</t>
  </si>
  <si>
    <t>Lofts (6255) - 309 - a</t>
  </si>
  <si>
    <t>Lofts (6255) - 403A - a</t>
  </si>
  <si>
    <t>Lofts (6300) - 211B - a</t>
  </si>
  <si>
    <t>(Justin)Junyoung Park</t>
  </si>
  <si>
    <t>Lofts (6300) - 202A - a</t>
  </si>
  <si>
    <t>Lofts (6300) - 304C - a</t>
  </si>
  <si>
    <t>Lofts (6300) - 302A - a</t>
  </si>
  <si>
    <t>Josh Winiarsky</t>
  </si>
  <si>
    <t>Lofts (6300) - 301C - a</t>
  </si>
  <si>
    <t>Lofts (6300) - 217A - a</t>
  </si>
  <si>
    <t>Luca Pryor</t>
  </si>
  <si>
    <t>Lofts (6300) - 302C - a</t>
  </si>
  <si>
    <t>Monica Somosi</t>
  </si>
  <si>
    <t>Millbrook 3 - 301A - a</t>
  </si>
  <si>
    <t>Millbrook 3 - 201F - a</t>
  </si>
  <si>
    <t>Aryana Shamlou</t>
  </si>
  <si>
    <t>Millbrook 3 - 101D - a</t>
  </si>
  <si>
    <t>Millbrook 3 - 202B - a</t>
  </si>
  <si>
    <t>Millbrook 3 - 201G - a</t>
  </si>
  <si>
    <t>Millbrook 3 - 201A - a</t>
  </si>
  <si>
    <t>Millbrook 3 - 103D - a</t>
  </si>
  <si>
    <t>Millbrook 3 - 101E - a</t>
  </si>
  <si>
    <t>Millbrook 3 - 104C - b</t>
  </si>
  <si>
    <t>Millbrook 3 - 203B - a</t>
  </si>
  <si>
    <t>Emilio Pellegrini</t>
  </si>
  <si>
    <t>Millbrook 3 - B-1C - a</t>
  </si>
  <si>
    <t>Millbrook 3 - B-2A - a</t>
  </si>
  <si>
    <t>Millbrook 3 - 301C - a</t>
  </si>
  <si>
    <t>Ella English</t>
  </si>
  <si>
    <t>Millbrook 3 - 301E - a</t>
  </si>
  <si>
    <t>Kendall Krauss</t>
  </si>
  <si>
    <t>Millbrook 3 - 301B - a</t>
  </si>
  <si>
    <t>Millbrook 3 - 303D - a</t>
  </si>
  <si>
    <t>Millbrook 3 - 303D - b</t>
  </si>
  <si>
    <t>U Drive (6607) - 2E-A - a</t>
  </si>
  <si>
    <t>U Drive (6607) - 2W-A - a</t>
  </si>
  <si>
    <t>U Drive (6633) - 2W-A - a</t>
  </si>
  <si>
    <t>Ava Ludewig</t>
  </si>
  <si>
    <t>U Drive (6607) - 2W-B - a</t>
  </si>
  <si>
    <t>U Drive (6811) - 2W-C - a</t>
  </si>
  <si>
    <t>U Drive (6811) - 2E-A - a</t>
  </si>
  <si>
    <t>U Drive (6811) - 2E-B - a</t>
  </si>
  <si>
    <t>U Drive (6645) - 1E-B - a</t>
  </si>
  <si>
    <t>U Drive (6639) - 2E-B - a</t>
  </si>
  <si>
    <t>U Drive (6639) - 2W-A - a</t>
  </si>
  <si>
    <t>Maggie Crimmins</t>
  </si>
  <si>
    <t>U Drive (6801) - 2W-A - a</t>
  </si>
  <si>
    <t>Cece Reali</t>
  </si>
  <si>
    <t>U Drive (6801) - 2W-C - a</t>
  </si>
  <si>
    <t>U Drive (6627) - 1E-B - a</t>
  </si>
  <si>
    <t>Off Campus Address</t>
  </si>
  <si>
    <t>OLD Insurance (mapped with app not variants)</t>
  </si>
  <si>
    <t>Kits</t>
  </si>
  <si>
    <t>Non-University housing address</t>
  </si>
  <si>
    <t>Move type</t>
  </si>
  <si>
    <t>Job type - Service For</t>
  </si>
  <si>
    <t>Requested by</t>
  </si>
  <si>
    <t>Location</t>
  </si>
  <si>
    <t>Off Campus address</t>
  </si>
  <si>
    <t>Date search calculator</t>
  </si>
  <si>
    <t>Enter Date:</t>
  </si>
  <si>
    <t>Event Date = Delivery/Pickup Date</t>
  </si>
  <si>
    <t>Other data</t>
  </si>
  <si>
    <t>Other data 2</t>
  </si>
  <si>
    <t>Other data 3</t>
  </si>
  <si>
    <t>Formula in A5</t>
  </si>
  <si>
    <t>Reflects Date in main calc sheet and uses hidden sheets</t>
  </si>
  <si>
    <t>Status Check</t>
  </si>
  <si>
    <t>Status Update</t>
  </si>
  <si>
    <t>Last Order</t>
  </si>
  <si>
    <t>Alaa Mohamed test order</t>
  </si>
  <si>
    <t>rental return</t>
  </si>
  <si>
    <t>SIR</t>
  </si>
  <si>
    <t>Test Order</t>
  </si>
  <si>
    <t>Was able to place without product options loading</t>
  </si>
  <si>
    <t>Adam Pickleball tourney product</t>
  </si>
  <si>
    <t>deleted - test order</t>
  </si>
  <si>
    <t>deleted - wrong spec ops - created new one</t>
  </si>
  <si>
    <t>Bot order!</t>
  </si>
  <si>
    <t>St. Louis Pickleball Invitational – Saturday, October 25</t>
  </si>
  <si>
    <t>Canceled order.</t>
  </si>
  <si>
    <t>Campus Creamery X UTrucking Ice Cream - Limit 1 Per Customer</t>
  </si>
  <si>
    <t>St. Louis Pickleball Invitational – Saturday, April 4, 2026</t>
  </si>
  <si>
    <t>This order was just to have the customer's card ending 7522 on file for future billing</t>
  </si>
  <si>
    <t>Order canceled.</t>
  </si>
  <si>
    <t>Canceled order!</t>
  </si>
  <si>
    <t>Rental Return</t>
  </si>
  <si>
    <t>Summer Storage - 0 / Included Insurance</t>
  </si>
  <si>
    <t>Summer Storage - 1 [Included with Registration] / Included Insurance</t>
  </si>
  <si>
    <t>Leave of Absence Storage - 0 / Included Insurance</t>
  </si>
  <si>
    <t>Home Shipping - 2</t>
  </si>
  <si>
    <t>Summer Storage - 2 / Included Insurance</t>
  </si>
  <si>
    <t>Apartment Moves - 1 [Included with Registration]</t>
  </si>
  <si>
    <t>Home Shipping - 1 [Included with Registration]</t>
  </si>
  <si>
    <t>Summer Storage - 3 / Included Insurance</t>
  </si>
  <si>
    <t>Summer Storage - 1 [Included with Registration] / $500 of Additional Coverage</t>
  </si>
  <si>
    <t>Summer Storage - 2 / $1000 of Additional Coverage</t>
  </si>
  <si>
    <t>Storage Item Return - On-Campus</t>
  </si>
  <si>
    <t>Home Shipping - 3</t>
  </si>
  <si>
    <t>Medium Fridge Rental Return</t>
  </si>
  <si>
    <t>Large Fridge Rental Return</t>
  </si>
  <si>
    <t>Medium Fridge Rental</t>
  </si>
  <si>
    <t>Study Abroad Storage - 2 / Included Insurance</t>
  </si>
  <si>
    <t>Storage Item Return - Off-Campus</t>
  </si>
  <si>
    <t>Apartment Moves - 2</t>
  </si>
  <si>
    <t>Summer Storage - 1 [Included with Registration] / $1000 of Additional Coverage</t>
  </si>
  <si>
    <t>Small Fridge Rental Return</t>
  </si>
  <si>
    <t>Chef's Fridge Rental Return</t>
  </si>
  <si>
    <t>Leave of Absence Storage - 1 [Included with Registration] / Included Insurance</t>
  </si>
  <si>
    <t>Home Shipping - 0</t>
  </si>
  <si>
    <t>Study Abroad Storage - 1 [Included with Registration] / Included Insurance</t>
  </si>
  <si>
    <t>Apartment Moves - 0</t>
  </si>
  <si>
    <t>Microwave Rental</t>
  </si>
  <si>
    <t>Summer Storage - 2 / $500 of Additional Coverage</t>
  </si>
  <si>
    <t>Summer Storage - 0 / $500 of Additional Coverage</t>
  </si>
  <si>
    <t>Large Fridge Rental</t>
  </si>
  <si>
    <t>Tri-State Area Home Pickups - $100 per item [Included]</t>
  </si>
  <si>
    <t>Kyleâ€™s Juneteenth Dink For Da Bag Showdown @Lifetime Creve Coeur â€“ Saturday, June 21</t>
  </si>
  <si>
    <t>Kyleâ€™s Juneteenth Dink For Da Bag Showdown â€“ Saturday, June 21</t>
  </si>
  <si>
    <t>St. Louis Pickleball Invitational â€“ Saturday, October 25</t>
  </si>
  <si>
    <t>TV Rental Return</t>
  </si>
  <si>
    <t>Customer Email</t>
  </si>
  <si>
    <t>Cell Phone</t>
  </si>
  <si>
    <t>Service Date</t>
  </si>
  <si>
    <t>Pickup Time Slot</t>
  </si>
  <si>
    <t>#15202</t>
  </si>
  <si>
    <t>alaa@utrucking.com</t>
  </si>
  <si>
    <t>Alaa Mohamed</t>
  </si>
  <si>
    <t>As of now, I don't know.  Will let you know as soon as I do.</t>
  </si>
  <si>
    <t>Order No.</t>
  </si>
  <si>
    <t>Phone Number</t>
  </si>
  <si>
    <t>Customer's Name</t>
  </si>
  <si>
    <t>Order House Name</t>
  </si>
  <si>
    <t>Email Sent?</t>
  </si>
  <si>
    <t>Reply Received?</t>
  </si>
  <si>
    <t>Acutal House Name</t>
  </si>
  <si>
    <t>Added to order edits</t>
  </si>
  <si>
    <t>checked housing sheet and she is house 1</t>
  </si>
  <si>
    <t>replied house 1, did not update main</t>
  </si>
  <si>
    <t>Added to order edits [Ahmed]</t>
  </si>
  <si>
    <t>replied and said yes house 1, did not update main -JOSEPh</t>
  </si>
  <si>
    <t xml:space="preserve">House 3 (Sigma Chi)  </t>
  </si>
  <si>
    <t>did not update main -Joseph</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</si>
</sst>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quot;###&quot;-&quot;####"/>
    <numFmt numFmtId="165" formatCode="mm/dd/yyyy"/>
    <numFmt numFmtId="166" formatCode="mm-dd-yy"/>
    <numFmt numFmtId="167" formatCode="h:mm am/pm"/>
    <numFmt numFmtId="168" formatCode="m/d/yyyy"/>
    <numFmt numFmtId="169" formatCode="mmmm d, yyyy"/>
    <numFmt numFmtId="170" formatCode="mmmm d"/>
    <numFmt numFmtId="171" formatCode="M/d/yyyy"/>
    <numFmt numFmtId="172" formatCode="m-d"/>
    <numFmt numFmtId="173" formatCode="m/d/yyyy, h:mm:ss am/pm"/>
    <numFmt numFmtId="174" formatCode="mm&quot;/&quot;dd&quot;/&quot;yyyy"/>
    <numFmt numFmtId="175" formatCode="m/d"/>
  </numFmts>
  <fonts count="19">
    <font>
      <sz val="10.0"/>
      <color rgb="FF000000"/>
      <name val="Arial"/>
      <scheme val="minor"/>
    </font>
    <font>
      <color theme="1"/>
      <name val="Arial"/>
      <scheme val="minor"/>
    </font>
    <font>
      <u/>
      <color rgb="FF0000FF"/>
    </font>
    <font>
      <color theme="1"/>
      <name val="Arial"/>
    </font>
    <font>
      <u/>
      <color rgb="FF0000FF"/>
    </font>
    <font>
      <u/>
      <color rgb="FF0000FF"/>
    </font>
    <font>
      <color rgb="FF303030"/>
      <name val="Inter"/>
    </font>
    <font>
      <u/>
      <color rgb="FF0000FF"/>
    </font>
    <font>
      <u/>
      <color rgb="FF0000FF"/>
    </font>
    <font>
      <b/>
      <color theme="1"/>
      <name val="Arial"/>
      <scheme val="minor"/>
    </font>
    <font>
      <color rgb="FF222222"/>
      <name val="Arial"/>
    </font>
    <font>
      <sz val="10.0"/>
      <color rgb="FF1F1F1F"/>
      <name val="&quot;Google Sans&quot;"/>
    </font>
    <font>
      <sz val="9.0"/>
      <color rgb="FF303030"/>
      <name val="Inter"/>
    </font>
    <font>
      <u/>
      <color rgb="FF0000FF"/>
    </font>
    <font>
      <u/>
      <color rgb="FF0000FF"/>
    </font>
    <font>
      <b/>
      <color theme="1"/>
      <name val="Arial"/>
    </font>
    <font>
      <u/>
      <color rgb="FF0000FF"/>
      <name val="Arial"/>
    </font>
    <font>
      <u/>
      <color rgb="FF0000FF"/>
    </font>
    <font>
      <u/>
      <color rgb="FF0000FF"/>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
      <patternFill patternType="solid">
        <fgColor rgb="FF666666"/>
        <bgColor rgb="FF666666"/>
      </patternFill>
    </fill>
    <fill>
      <patternFill patternType="solid">
        <fgColor rgb="FF00FF00"/>
        <bgColor rgb="FF00FF00"/>
      </patternFill>
    </fill>
    <fill>
      <patternFill patternType="solid">
        <fgColor rgb="FFEFEFEF"/>
        <bgColor rgb="FFEFEFEF"/>
      </patternFill>
    </fill>
  </fills>
  <borders count="1">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49" xfId="0" applyAlignment="1" applyFont="1" applyNumberFormat="1">
      <alignment horizontal="left" readingOrder="0"/>
    </xf>
    <xf borderId="0" fillId="0" fontId="1" numFmtId="49" xfId="0" applyAlignment="1" applyFont="1" applyNumberFormat="1">
      <alignment readingOrder="0"/>
    </xf>
    <xf borderId="0" fillId="0" fontId="2" numFmtId="0" xfId="0" applyAlignment="1" applyFont="1">
      <alignment readingOrder="0"/>
    </xf>
    <xf borderId="0" fillId="0" fontId="3" numFmtId="0" xfId="0" applyAlignment="1" applyFont="1">
      <alignment vertical="bottom"/>
    </xf>
    <xf borderId="0" fillId="0" fontId="3" numFmtId="164" xfId="0" applyAlignment="1" applyFont="1" applyNumberFormat="1">
      <alignment horizontal="right" vertical="bottom"/>
    </xf>
    <xf borderId="0" fillId="0" fontId="3" numFmtId="49" xfId="0" applyAlignment="1" applyFont="1" applyNumberFormat="1">
      <alignment horizontal="right" vertical="bottom"/>
    </xf>
    <xf borderId="0" fillId="0" fontId="3" numFmtId="165" xfId="0" applyAlignment="1" applyFont="1" applyNumberFormat="1">
      <alignment horizontal="right" vertical="bottom"/>
    </xf>
    <xf borderId="0" fillId="0" fontId="3" numFmtId="164" xfId="0" applyAlignment="1" applyFont="1" applyNumberFormat="1">
      <alignment vertical="bottom"/>
    </xf>
    <xf borderId="0" fillId="0" fontId="3" numFmtId="49" xfId="0" applyAlignment="1" applyFont="1" applyNumberFormat="1">
      <alignment vertical="bottom"/>
    </xf>
    <xf borderId="0" fillId="0" fontId="3" numFmtId="0" xfId="0" applyAlignment="1" applyFont="1">
      <alignment readingOrder="0" vertical="bottom"/>
    </xf>
    <xf borderId="0" fillId="0" fontId="3" numFmtId="164" xfId="0" applyAlignment="1" applyFont="1" applyNumberFormat="1">
      <alignment horizontal="right" readingOrder="0" vertical="bottom"/>
    </xf>
    <xf borderId="0" fillId="0" fontId="3" numFmtId="49" xfId="0" applyAlignment="1" applyFont="1" applyNumberFormat="1">
      <alignment horizontal="right" readingOrder="0" vertical="bottom"/>
    </xf>
    <xf borderId="0" fillId="0" fontId="3" numFmtId="165" xfId="0" applyAlignment="1" applyFont="1" applyNumberFormat="1">
      <alignment horizontal="right" readingOrder="0" vertical="bottom"/>
    </xf>
    <xf borderId="0" fillId="0" fontId="1" numFmtId="166" xfId="0" applyAlignment="1" applyFont="1" applyNumberFormat="1">
      <alignment readingOrder="0"/>
    </xf>
    <xf borderId="0" fillId="0" fontId="3" numFmtId="49" xfId="0" applyAlignment="1" applyFont="1" applyNumberFormat="1">
      <alignment readingOrder="0" vertical="bottom"/>
    </xf>
    <xf borderId="0" fillId="0" fontId="1" numFmtId="165" xfId="0" applyAlignment="1" applyFont="1" applyNumberFormat="1">
      <alignment readingOrder="0"/>
    </xf>
    <xf borderId="0" fillId="0" fontId="1" numFmtId="0" xfId="0" applyFont="1"/>
    <xf borderId="0" fillId="2" fontId="3" numFmtId="0" xfId="0" applyAlignment="1" applyFill="1" applyFont="1">
      <alignment vertical="bottom"/>
    </xf>
    <xf borderId="0" fillId="2" fontId="3" numFmtId="164" xfId="0" applyAlignment="1" applyFont="1" applyNumberFormat="1">
      <alignment horizontal="right" vertical="bottom"/>
    </xf>
    <xf borderId="0" fillId="2" fontId="1" numFmtId="0" xfId="0" applyAlignment="1" applyFont="1">
      <alignment readingOrder="0"/>
    </xf>
    <xf borderId="0" fillId="2" fontId="3" numFmtId="49" xfId="0" applyAlignment="1" applyFont="1" applyNumberFormat="1">
      <alignment vertical="bottom"/>
    </xf>
    <xf borderId="0" fillId="2" fontId="3" numFmtId="165" xfId="0" applyAlignment="1" applyFont="1" applyNumberFormat="1">
      <alignment vertical="bottom"/>
    </xf>
    <xf borderId="0" fillId="2" fontId="3" numFmtId="165" xfId="0" applyAlignment="1" applyFont="1" applyNumberFormat="1">
      <alignment horizontal="right" vertical="bottom"/>
    </xf>
    <xf borderId="0" fillId="2" fontId="3" numFmtId="49" xfId="0" applyAlignment="1" applyFont="1" applyNumberFormat="1">
      <alignment horizontal="right" vertical="bottom"/>
    </xf>
    <xf borderId="0" fillId="2" fontId="3" numFmtId="49" xfId="0" applyAlignment="1" applyFont="1" applyNumberFormat="1">
      <alignment readingOrder="0" vertical="bottom"/>
    </xf>
    <xf borderId="0" fillId="2" fontId="3" numFmtId="0" xfId="0" applyAlignment="1" applyFont="1">
      <alignment readingOrder="0" vertical="bottom"/>
    </xf>
    <xf borderId="0" fillId="2" fontId="4" numFmtId="0" xfId="0" applyAlignment="1" applyFont="1">
      <alignment readingOrder="0"/>
    </xf>
    <xf borderId="0" fillId="2" fontId="3" numFmtId="164" xfId="0" applyAlignment="1" applyFont="1" applyNumberFormat="1">
      <alignment horizontal="right" readingOrder="0" vertical="bottom"/>
    </xf>
    <xf borderId="0" fillId="2" fontId="3" numFmtId="165" xfId="0" applyAlignment="1" applyFont="1" applyNumberFormat="1">
      <alignment horizontal="right" readingOrder="0" vertical="bottom"/>
    </xf>
    <xf borderId="0" fillId="2" fontId="3" numFmtId="164" xfId="0" applyAlignment="1" applyFont="1" applyNumberFormat="1">
      <alignment vertical="bottom"/>
    </xf>
    <xf borderId="0" fillId="0" fontId="3" numFmtId="0" xfId="0" applyAlignment="1" applyFont="1">
      <alignment horizontal="right" vertical="bottom"/>
    </xf>
    <xf borderId="0" fillId="0" fontId="5" numFmtId="0" xfId="0" applyAlignment="1" applyFon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3" fontId="6" numFmtId="0" xfId="0" applyAlignment="1" applyFill="1" applyFont="1">
      <alignment readingOrder="0"/>
    </xf>
    <xf quotePrefix="1" borderId="0" fillId="0" fontId="1" numFmtId="0" xfId="0" applyAlignment="1" applyFon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3" fontId="6" numFmtId="0" xfId="0" applyAlignment="1" applyFont="1">
      <alignment readingOrder="0"/>
    </xf>
    <xf borderId="0" fillId="0" fontId="1" numFmtId="164" xfId="0" applyFont="1" applyNumberFormat="1"/>
    <xf borderId="0" fillId="0" fontId="1" numFmtId="49" xfId="0" applyAlignment="1" applyFont="1" applyNumberFormat="1">
      <alignment horizontal="left"/>
    </xf>
    <xf borderId="0" fillId="0" fontId="1" numFmtId="49" xfId="0" applyFont="1" applyNumberFormat="1"/>
    <xf borderId="0" fillId="4" fontId="1" numFmtId="0" xfId="0" applyAlignment="1" applyFill="1" applyFont="1">
      <alignment readingOrder="0"/>
    </xf>
    <xf borderId="0" fillId="4" fontId="1" numFmtId="164" xfId="0" applyAlignment="1" applyFont="1" applyNumberFormat="1">
      <alignment readingOrder="0"/>
    </xf>
    <xf borderId="0" fillId="4" fontId="1" numFmtId="49" xfId="0" applyAlignment="1" applyFont="1" applyNumberFormat="1">
      <alignment horizontal="left" readingOrder="0"/>
    </xf>
    <xf borderId="0" fillId="4" fontId="1" numFmtId="49" xfId="0" applyAlignment="1" applyFont="1" applyNumberFormat="1">
      <alignment readingOrder="0"/>
    </xf>
    <xf borderId="0" fillId="3" fontId="7" numFmtId="0" xfId="0" applyAlignment="1" applyFont="1">
      <alignment readingOrder="0"/>
    </xf>
    <xf borderId="0" fillId="3" fontId="1" numFmtId="0" xfId="0" applyAlignment="1" applyFont="1">
      <alignment readingOrder="0"/>
    </xf>
    <xf borderId="0" fillId="3" fontId="1" numFmtId="164" xfId="0" applyAlignment="1" applyFont="1" applyNumberFormat="1">
      <alignment readingOrder="0"/>
    </xf>
    <xf borderId="0" fillId="3" fontId="1" numFmtId="49" xfId="0" applyAlignment="1" applyFont="1" applyNumberFormat="1">
      <alignment horizontal="left" readingOrder="0"/>
    </xf>
    <xf borderId="0" fillId="3" fontId="1" numFmtId="165" xfId="0" applyAlignment="1" applyFont="1" applyNumberFormat="1">
      <alignment readingOrder="0"/>
    </xf>
    <xf borderId="0" fillId="3" fontId="1" numFmtId="49" xfId="0" applyAlignment="1" applyFont="1" applyNumberFormat="1">
      <alignment readingOrder="0"/>
    </xf>
    <xf borderId="0" fillId="5" fontId="8" numFmtId="0" xfId="0" applyAlignment="1" applyFill="1" applyFont="1">
      <alignment readingOrder="0"/>
    </xf>
    <xf borderId="0" fillId="5" fontId="1" numFmtId="0" xfId="0" applyAlignment="1" applyFont="1">
      <alignment readingOrder="0"/>
    </xf>
    <xf borderId="0" fillId="5" fontId="1" numFmtId="164" xfId="0" applyAlignment="1" applyFont="1" applyNumberFormat="1">
      <alignment readingOrder="0"/>
    </xf>
    <xf borderId="0" fillId="5" fontId="1" numFmtId="49" xfId="0" applyAlignment="1" applyFont="1" applyNumberFormat="1">
      <alignment horizontal="left" readingOrder="0"/>
    </xf>
    <xf borderId="0" fillId="5" fontId="1" numFmtId="165" xfId="0" applyAlignment="1" applyFont="1" applyNumberFormat="1">
      <alignment readingOrder="0"/>
    </xf>
    <xf borderId="0" fillId="5" fontId="1" numFmtId="49" xfId="0" applyAlignment="1" applyFont="1" applyNumberFormat="1">
      <alignment readingOrder="0"/>
    </xf>
    <xf borderId="0" fillId="3" fontId="1" numFmtId="0" xfId="0" applyFont="1"/>
    <xf borderId="0" fillId="3" fontId="1" numFmtId="164" xfId="0" applyFont="1" applyNumberFormat="1"/>
    <xf borderId="0" fillId="3" fontId="1" numFmtId="49" xfId="0" applyAlignment="1" applyFont="1" applyNumberFormat="1">
      <alignment horizontal="left"/>
    </xf>
    <xf borderId="0" fillId="3" fontId="1" numFmtId="49" xfId="0" applyFont="1" applyNumberFormat="1"/>
    <xf borderId="0" fillId="5" fontId="1" numFmtId="0" xfId="0" applyFont="1"/>
    <xf borderId="0" fillId="5" fontId="1" numFmtId="164" xfId="0" applyFont="1" applyNumberFormat="1"/>
    <xf borderId="0" fillId="5" fontId="1" numFmtId="49" xfId="0" applyAlignment="1" applyFont="1" applyNumberFormat="1">
      <alignment horizontal="left"/>
    </xf>
    <xf borderId="0" fillId="5" fontId="1" numFmtId="49" xfId="0" applyFont="1" applyNumberFormat="1"/>
    <xf borderId="0" fillId="0" fontId="1" numFmtId="0" xfId="0" applyAlignment="1" applyFont="1">
      <alignment horizontal="left" readingOrder="0"/>
    </xf>
    <xf borderId="0" fillId="0" fontId="9" numFmtId="0" xfId="0" applyAlignment="1" applyFont="1">
      <alignment readingOrder="0"/>
    </xf>
    <xf borderId="0" fillId="0" fontId="9" numFmtId="171" xfId="0" applyAlignment="1" applyFont="1" applyNumberFormat="1">
      <alignment readingOrder="0"/>
    </xf>
    <xf borderId="0" fillId="0" fontId="1" numFmtId="168" xfId="0" applyAlignment="1" applyFont="1" applyNumberFormat="1">
      <alignment horizontal="left" readingOrder="0"/>
    </xf>
    <xf borderId="0" fillId="0" fontId="1" numFmtId="14" xfId="0" applyAlignment="1" applyFont="1" applyNumberFormat="1">
      <alignment horizontal="left" readingOrder="0"/>
    </xf>
    <xf borderId="0" fillId="0" fontId="9" numFmtId="0" xfId="0" applyAlignment="1" applyFont="1">
      <alignment horizontal="left" readingOrder="0"/>
    </xf>
    <xf borderId="0" fillId="0" fontId="1" numFmtId="171" xfId="0" applyAlignment="1" applyFont="1" applyNumberFormat="1">
      <alignment readingOrder="0"/>
    </xf>
    <xf borderId="0" fillId="0" fontId="1" numFmtId="171" xfId="0" applyFont="1" applyNumberFormat="1"/>
    <xf borderId="0" fillId="0" fontId="1" numFmtId="172" xfId="0" applyAlignment="1" applyFont="1" applyNumberFormat="1">
      <alignment readingOrder="0"/>
    </xf>
    <xf borderId="0" fillId="0" fontId="1" numFmtId="0" xfId="0" applyAlignment="1" applyFont="1">
      <alignment horizontal="left"/>
    </xf>
    <xf borderId="0" fillId="0" fontId="1" numFmtId="0" xfId="0" applyFont="1"/>
    <xf borderId="0" fillId="0" fontId="3" numFmtId="0" xfId="0" applyAlignment="1" applyFont="1">
      <alignment vertical="bottom"/>
    </xf>
    <xf borderId="0" fillId="0" fontId="3" numFmtId="171" xfId="0" applyAlignment="1" applyFont="1" applyNumberFormat="1">
      <alignment readingOrder="0" vertical="bottom"/>
    </xf>
    <xf borderId="0" fillId="0" fontId="3" numFmtId="0" xfId="0" applyAlignment="1" applyFont="1">
      <alignment horizontal="right" readingOrder="0" vertical="bottom"/>
    </xf>
    <xf borderId="0" fillId="0" fontId="3" numFmtId="168" xfId="0" applyAlignment="1" applyFont="1" applyNumberFormat="1">
      <alignment vertical="bottom"/>
    </xf>
    <xf borderId="0" fillId="0" fontId="1" numFmtId="0" xfId="0" applyAlignment="1" applyFont="1">
      <alignment readingOrder="0"/>
    </xf>
    <xf borderId="0" fillId="0" fontId="3" numFmtId="171" xfId="0" applyAlignment="1" applyFont="1" applyNumberFormat="1">
      <alignment vertical="bottom"/>
    </xf>
    <xf borderId="0" fillId="0" fontId="3" numFmtId="0" xfId="0" applyAlignment="1" applyFont="1">
      <alignment horizontal="right" vertical="bottom"/>
    </xf>
    <xf borderId="0" fillId="3" fontId="10" numFmtId="0" xfId="0" applyAlignment="1" applyFont="1">
      <alignment readingOrder="0"/>
    </xf>
    <xf borderId="0" fillId="0" fontId="1" numFmtId="168" xfId="0" applyAlignment="1" applyFont="1" applyNumberFormat="1">
      <alignment readingOrder="0"/>
    </xf>
    <xf borderId="0" fillId="0" fontId="1" numFmtId="0" xfId="0" applyAlignment="1" applyFont="1">
      <alignment horizontal="center" readingOrder="0"/>
    </xf>
    <xf borderId="0" fillId="0" fontId="1" numFmtId="14" xfId="0" applyAlignment="1" applyFont="1" applyNumberFormat="1">
      <alignment readingOrder="0"/>
    </xf>
    <xf borderId="0" fillId="3" fontId="11" numFmtId="0" xfId="0" applyAlignment="1" applyFont="1">
      <alignment readingOrder="0"/>
    </xf>
    <xf borderId="0" fillId="3" fontId="12" numFmtId="0" xfId="0" applyAlignment="1" applyFont="1">
      <alignment readingOrder="0"/>
    </xf>
    <xf borderId="0" fillId="0" fontId="1" numFmtId="0" xfId="0" applyFont="1"/>
    <xf borderId="0" fillId="0" fontId="1" numFmtId="14" xfId="0" applyFont="1" applyNumberFormat="1"/>
    <xf borderId="0" fillId="0" fontId="1" numFmtId="173" xfId="0" applyFont="1" applyNumberFormat="1"/>
    <xf borderId="0" fillId="0" fontId="1" numFmtId="168" xfId="0" applyFont="1" applyNumberFormat="1"/>
    <xf borderId="0" fillId="4" fontId="9" numFmtId="0" xfId="0" applyAlignment="1" applyFont="1">
      <alignment readingOrder="0"/>
    </xf>
    <xf borderId="0" fillId="4" fontId="9" numFmtId="0" xfId="0" applyAlignment="1" applyFont="1">
      <alignment readingOrder="0" shrinkToFit="0" wrapText="0"/>
    </xf>
    <xf borderId="0" fillId="3" fontId="13" numFmtId="0" xfId="0" applyFont="1"/>
    <xf borderId="0" fillId="3" fontId="1" numFmtId="171" xfId="0" applyFont="1" applyNumberFormat="1"/>
    <xf borderId="0" fillId="3" fontId="1" numFmtId="0" xfId="0" applyAlignment="1" applyFont="1">
      <alignment shrinkToFit="0" wrapText="0"/>
    </xf>
    <xf borderId="0" fillId="5" fontId="14" numFmtId="0" xfId="0" applyFont="1"/>
    <xf borderId="0" fillId="5" fontId="1" numFmtId="171" xfId="0" applyFont="1" applyNumberFormat="1"/>
    <xf borderId="0" fillId="5" fontId="1" numFmtId="0" xfId="0" applyAlignment="1" applyFont="1">
      <alignment shrinkToFit="0" wrapText="0"/>
    </xf>
    <xf borderId="0" fillId="3" fontId="1" numFmtId="49" xfId="0" applyAlignment="1" applyFont="1" applyNumberFormat="1">
      <alignment shrinkToFit="0" wrapText="0"/>
    </xf>
    <xf borderId="0" fillId="6" fontId="1" numFmtId="0" xfId="0" applyFill="1" applyFont="1"/>
    <xf borderId="0" fillId="3" fontId="1" numFmtId="174" xfId="0" applyFont="1" applyNumberFormat="1"/>
    <xf borderId="0" fillId="5" fontId="1" numFmtId="174" xfId="0" applyFont="1" applyNumberFormat="1"/>
    <xf borderId="0" fillId="4" fontId="1" numFmtId="0" xfId="0" applyAlignment="1" applyFont="1">
      <alignment horizontal="left" readingOrder="0"/>
    </xf>
    <xf borderId="0" fillId="3" fontId="1" numFmtId="0" xfId="0" applyAlignment="1" applyFont="1">
      <alignment horizontal="left"/>
    </xf>
    <xf borderId="0" fillId="5" fontId="1" numFmtId="0" xfId="0" applyAlignment="1" applyFont="1">
      <alignment horizontal="left"/>
    </xf>
    <xf borderId="0" fillId="3" fontId="1" numFmtId="0" xfId="0" applyAlignment="1" applyFont="1">
      <alignment shrinkToFit="0" wrapText="0"/>
    </xf>
    <xf borderId="0" fillId="0" fontId="1" numFmtId="171" xfId="0" applyFont="1" applyNumberFormat="1"/>
    <xf borderId="0" fillId="2" fontId="1" numFmtId="14" xfId="0" applyAlignment="1" applyFont="1" applyNumberFormat="1">
      <alignment readingOrder="0"/>
    </xf>
    <xf borderId="0" fillId="0" fontId="1" numFmtId="171" xfId="0" applyAlignment="1" applyFont="1" applyNumberFormat="1">
      <alignment readingOrder="0"/>
    </xf>
    <xf borderId="0" fillId="4" fontId="15" numFmtId="0" xfId="0" applyAlignment="1" applyFont="1">
      <alignment vertical="bottom"/>
    </xf>
    <xf borderId="0" fillId="0" fontId="9" numFmtId="0" xfId="0" applyAlignment="1" applyFont="1">
      <alignment readingOrder="0"/>
    </xf>
    <xf borderId="0" fillId="4" fontId="15" numFmtId="171" xfId="0" applyAlignment="1" applyFont="1" applyNumberFormat="1">
      <alignment readingOrder="0" vertical="bottom"/>
    </xf>
    <xf borderId="0" fillId="4" fontId="15" numFmtId="0" xfId="0" applyAlignment="1" applyFont="1">
      <alignment readingOrder="0" vertical="bottom"/>
    </xf>
    <xf borderId="0" fillId="0" fontId="16" numFmtId="0" xfId="0" applyAlignment="1" applyFont="1">
      <alignment vertical="bottom"/>
    </xf>
    <xf borderId="0" fillId="0" fontId="17" numFmtId="0" xfId="0" applyFont="1"/>
    <xf borderId="0" fillId="2" fontId="1" numFmtId="171" xfId="0" applyAlignment="1" applyFont="1" applyNumberFormat="1">
      <alignment readingOrder="0"/>
    </xf>
    <xf borderId="0" fillId="4" fontId="3" numFmtId="0" xfId="0" applyAlignment="1" applyFont="1">
      <alignment vertical="bottom"/>
    </xf>
    <xf borderId="0" fillId="4" fontId="3" numFmtId="171" xfId="0" applyAlignment="1" applyFont="1" applyNumberFormat="1">
      <alignment vertical="bottom"/>
    </xf>
    <xf borderId="0" fillId="2" fontId="1" numFmtId="0" xfId="0" applyAlignment="1" applyFont="1">
      <alignment readingOrder="0" shrinkToFit="0" wrapText="1"/>
    </xf>
    <xf borderId="0" fillId="0" fontId="1" numFmtId="49" xfId="0" applyFont="1" applyNumberFormat="1"/>
    <xf borderId="0" fillId="4" fontId="15" numFmtId="0" xfId="0" applyAlignment="1" applyFont="1">
      <alignment readingOrder="0" vertical="bottom"/>
    </xf>
    <xf borderId="0" fillId="0" fontId="1" numFmtId="0" xfId="0" applyAlignment="1" applyFont="1">
      <alignment shrinkToFit="0" wrapText="0"/>
    </xf>
    <xf borderId="0" fillId="7" fontId="1" numFmtId="0" xfId="0" applyAlignment="1" applyFill="1" applyFont="1">
      <alignment readingOrder="0"/>
    </xf>
    <xf borderId="0" fillId="7" fontId="1" numFmtId="0" xfId="0" applyFont="1"/>
    <xf borderId="0" fillId="0" fontId="18" numFmtId="0" xfId="0" applyAlignment="1" applyFont="1">
      <alignment shrinkToFit="0" wrapText="0"/>
    </xf>
    <xf borderId="0" fillId="0" fontId="1" numFmtId="175" xfId="0" applyAlignment="1" applyFont="1" applyNumberFormat="1">
      <alignment readingOrder="0"/>
    </xf>
    <xf borderId="0" fillId="0" fontId="1" numFmtId="0" xfId="0" applyAlignment="1" applyFont="1">
      <alignment readingOrder="0" shrinkToFit="0" wrapText="0"/>
    </xf>
    <xf borderId="0" fillId="0" fontId="1" numFmtId="165" xfId="0" applyAlignment="1" applyFont="1" applyNumberFormat="1">
      <alignment readingOrder="0"/>
    </xf>
    <xf borderId="0" fillId="2" fontId="1" numFmtId="0" xfId="0" applyFont="1"/>
    <xf borderId="0" fillId="2" fontId="1" numFmtId="165" xfId="0" applyAlignment="1" applyFont="1" applyNumberFormat="1">
      <alignment readingOrder="0"/>
    </xf>
    <xf borderId="0" fillId="8" fontId="9" numFmtId="0" xfId="0" applyAlignment="1" applyFill="1" applyFont="1">
      <alignment horizontal="center" readingOrder="0"/>
    </xf>
    <xf borderId="0" fillId="0" fontId="9" numFmtId="0" xfId="0" applyAlignment="1" applyFont="1">
      <alignment horizontal="center"/>
    </xf>
    <xf borderId="0" fillId="0" fontId="1" numFmtId="164" xfId="0" applyAlignment="1" applyFont="1" applyNumberFormat="1">
      <alignment readingOrder="0"/>
    </xf>
    <xf borderId="0" fillId="0" fontId="1" numFmtId="0" xfId="0" applyAlignment="1" applyFont="1">
      <alignment horizontal="center" readingOrder="0"/>
    </xf>
  </cellXfs>
  <cellStyles count="1">
    <cellStyle xfId="0" name="Normal" builtinId="0"/>
  </cellStyles>
  <dxfs count="9">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00FF00"/>
          <bgColor rgb="FF00FF00"/>
        </patternFill>
      </fill>
      <border/>
    </dxf>
    <dxf>
      <font/>
      <fill>
        <patternFill patternType="solid">
          <fgColor rgb="FFFF9900"/>
          <bgColor rgb="FFFF9900"/>
        </patternFill>
      </fill>
      <border/>
    </dxf>
    <dxf>
      <font>
        <b/>
      </font>
      <fill>
        <patternFill patternType="solid">
          <fgColor rgb="FFFF9900"/>
          <bgColor rgb="FFFF9900"/>
        </patternFill>
      </fill>
      <border/>
    </dxf>
    <dxf>
      <font/>
      <fill>
        <patternFill patternType="solid">
          <fgColor rgb="FFB7E1CD"/>
          <bgColor rgb="FFB7E1CD"/>
        </patternFill>
      </fill>
      <border/>
    </dxf>
    <dxf>
      <font>
        <b/>
      </font>
      <fill>
        <patternFill patternType="solid">
          <fgColor rgb="FFE69138"/>
          <bgColor rgb="FFE69138"/>
        </patternFill>
      </fill>
      <border/>
    </dxf>
  </dxfs>
  <tableStyles count="6">
    <tableStyle count="3" pivot="0" name="MAIN-style">
      <tableStyleElement dxfId="1" type="headerRow"/>
      <tableStyleElement dxfId="2" type="firstRowStripe"/>
      <tableStyleElement dxfId="3" type="secondRowStripe"/>
    </tableStyle>
    <tableStyle count="3" pivot="0" name="TEST-style">
      <tableStyleElement dxfId="1" type="headerRow"/>
      <tableStyleElement dxfId="2" type="firstRowStripe"/>
      <tableStyleElement dxfId="3" type="secondRowStripe"/>
    </tableStyle>
    <tableStyle count="3" pivot="0" name="Order Edits-style">
      <tableStyleElement dxfId="1" type="headerRow"/>
      <tableStyleElement dxfId="2" type="firstRowStripe"/>
      <tableStyleElement dxfId="3" type="secondRowStripe"/>
    </tableStyle>
    <tableStyle count="3" pivot="0" name="Calculator-style">
      <tableStyleElement dxfId="1" type="headerRow"/>
      <tableStyleElement dxfId="2" type="firstRowStripe"/>
      <tableStyleElement dxfId="3" type="secondRowStripe"/>
    </tableStyle>
    <tableStyle count="3" pivot="0" name="Calc Backup-style">
      <tableStyleElement dxfId="1" type="headerRow"/>
      <tableStyleElement dxfId="2" type="firstRowStripe"/>
      <tableStyleElement dxfId="3" type="secondRowStripe"/>
    </tableStyle>
    <tableStyle count="2" pivot="0" name="problems with frat house change-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1" Type="http://schemas.openxmlformats.org/officeDocument/2006/relationships/worksheet" Target="worksheets/sheet37.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M4161" displayName="Table_1" name="Table_1" id="1">
  <tableColumns count="39">
    <tableColumn name="Link" id="1"/>
    <tableColumn name="Order Name" id="2"/>
    <tableColumn name="Email" id="3"/>
    <tableColumn name="Phone" id="4"/>
    <tableColumn name="Shipping Name" id="5"/>
    <tableColumn name="Address" id="6"/>
    <tableColumn name="City" id="7"/>
    <tableColumn name="State/Province" id="8"/>
    <tableColumn name="Zip/Postal Code" id="9"/>
    <tableColumn name="Country" id="10"/>
    <tableColumn name="Product Name" id="11"/>
    <tableColumn name="Product SKU" id="12"/>
    <tableColumn name="Product Price" id="13"/>
    <tableColumn name="Delivery Location" id="14"/>
    <tableColumn name="Room Number" id="15"/>
    <tableColumn name="Delivery Date" id="16"/>
    <tableColumn name="Delivery Time" id="17"/>
    <tableColumn name="Non-University Housing Address" id="18"/>
    <tableColumn name="Location Type" id="19"/>
    <tableColumn name="Delivery Location 2" id="20"/>
    <tableColumn name="Building" id="21"/>
    <tableColumn name="Room Number 2" id="22"/>
    <tableColumn name="Address 2" id="23"/>
    <tableColumn name="Delivery Date 2" id="24"/>
    <tableColumn name="Delivery Time 2" id="25"/>
    <tableColumn name="Insurance" id="26"/>
    <tableColumn name="Non-University Housing Address 2" id="27"/>
    <tableColumn name="Location Type 2" id="28"/>
    <tableColumn name="Ship From Address" id="29"/>
    <tableColumn name="Pickup Address" id="30"/>
    <tableColumn name="Pickup Date" id="31"/>
    <tableColumn name="Pickup Time" id="32"/>
    <tableColumn name="Pickup Location" id="33"/>
    <tableColumn name="Ship To Address" id="34"/>
    <tableColumn name="Notes" id="35"/>
    <tableColumn name="Student Name" id="36"/>
    <tableColumn name="Customer Name" id="37"/>
    <tableColumn name="Kit delivery status" id="38"/>
    <tableColumn name="Student/Customer Phone number NEW" id="39"/>
  </tableColumns>
  <tableStyleInfo name="MAIN-style" showColumnStripes="0" showFirstColumn="1" showLastColumn="1" showRowStripes="1"/>
</table>
</file>

<file path=xl/tables/table2.xml><?xml version="1.0" encoding="utf-8"?>
<table xmlns="http://schemas.openxmlformats.org/spreadsheetml/2006/main" ref="A1:AE3" displayName="Table_2" name="Table_2" id="2">
  <tableColumns count="31">
    <tableColumn name="Order URL" id="1"/>
    <tableColumn name="Order Name" id="2"/>
    <tableColumn name="Email" id="3"/>
    <tableColumn name="Shipping Name" id="4"/>
    <tableColumn name="Address" id="5"/>
    <tableColumn name="City" id="6"/>
    <tableColumn name="State/Province" id="7"/>
    <tableColumn name="Zip" id="8"/>
    <tableColumn name="Country" id="9"/>
    <tableColumn name="Product Name " id="10"/>
    <tableColumn name="Product SKU" id="11"/>
    <tableColumn name="Product Price" id="12"/>
    <tableColumn name="Pickup Date" id="13"/>
    <tableColumn name="Pickup Time" id="14"/>
    <tableColumn name="Pickup Location" id="15"/>
    <tableColumn name="Building" id="16"/>
    <tableColumn name="Room Number" id="17"/>
    <tableColumn name="Off-Campus Address" id="18"/>
    <tableColumn name="Delivery Location" id="19"/>
    <tableColumn name="Delivery Date" id="20"/>
    <tableColumn name="Delivery Time" id="21"/>
    <tableColumn name="Ship From Address" id="22"/>
    <tableColumn name="Move Date" id="23"/>
    <tableColumn name="Move Type" id="24"/>
    <tableColumn name="Moving from address or location_copy" id="25"/>
    <tableColumn name="Moving to address or location" id="26"/>
    <tableColumn name="Note" id="27"/>
    <tableColumn name="Insurance" id="28"/>
    <tableColumn name="Pickup Address" id="29"/>
    <tableColumn name="Location Type" id="30"/>
    <tableColumn name="Non-University Housing Address" id="31"/>
  </tableColumns>
  <tableStyleInfo name="TEST-style" showColumnStripes="0" showFirstColumn="1" showLastColumn="1" showRowStripes="1"/>
</table>
</file>

<file path=xl/tables/table3.xml><?xml version="1.0" encoding="utf-8"?>
<table xmlns="http://schemas.openxmlformats.org/spreadsheetml/2006/main" ref="A1:M999" displayName="Table_3" name="Table_3" id="3">
  <tableColumns count="13">
    <tableColumn name="Order #" id="1"/>
    <tableColumn name="Change Type" id="2"/>
    <tableColumn name="New Date" id="3"/>
    <tableColumn name="New Time" id="4"/>
    <tableColumn name="New Room" id="5"/>
    <tableColumn name="New Building" id="6"/>
    <tableColumn name="New Off-Campus Adress" id="7"/>
    <tableColumn name="Notes" id="8"/>
    <tableColumn name="Edited on MAIN?" id="9"/>
    <tableColumn name="Edited Shopify Note?" id="10"/>
    <tableColumn name="Reported On" id="11"/>
    <tableColumn name="Edited on" id="12"/>
    <tableColumn name="Edited By" id="13"/>
  </tableColumns>
  <tableStyleInfo name="Order Edits-style" showColumnStripes="0" showFirstColumn="1" showLastColumn="1" showRowStripes="1"/>
</table>
</file>

<file path=xl/tables/table4.xml><?xml version="1.0" encoding="utf-8"?>
<table xmlns="http://schemas.openxmlformats.org/spreadsheetml/2006/main" ref="A4:Q5" displayName="Table_4" name="Table_4" id="4">
  <tableColumns count="17">
    <tableColumn name="Order URL" id="1"/>
    <tableColumn name="Order Number" id="2"/>
    <tableColumn name="Email" id="3"/>
    <tableColumn name="Phone" id="4"/>
    <tableColumn name="Client Name" id="5"/>
    <tableColumn name="Student Name" id="6"/>
    <tableColumn name="Address" id="7"/>
    <tableColumn name="Product Name" id="8"/>
    <tableColumn name="Product SKU/Variant" id="9"/>
    <tableColumn name="Product Price" id="10"/>
    <tableColumn name="Event Date" id="11"/>
    <tableColumn name="Building" id="12"/>
    <tableColumn name="Room Number" id="13"/>
    <tableColumn name="Notes" id="14"/>
    <tableColumn name="Other data" id="15"/>
    <tableColumn name="Other data 2" id="16"/>
    <tableColumn name="Other data 3" id="17"/>
  </tableColumns>
  <tableStyleInfo name="Calculator-style" showColumnStripes="0" showFirstColumn="1" showLastColumn="1" showRowStripes="1"/>
</table>
</file>

<file path=xl/tables/table5.xml><?xml version="1.0" encoding="utf-8"?>
<table xmlns="http://schemas.openxmlformats.org/spreadsheetml/2006/main" ref="A4:L5" displayName="Table_5" name="Table_5" id="5">
  <tableColumns count="12">
    <tableColumn name="Order URL" id="1"/>
    <tableColumn name="Order Number" id="2"/>
    <tableColumn name="Email" id="3"/>
    <tableColumn name="Phone" id="4"/>
    <tableColumn name="Client Name" id="5"/>
    <tableColumn name="Address" id="6"/>
    <tableColumn name="Product Name" id="7"/>
    <tableColumn name="Product SKU/Variant" id="8"/>
    <tableColumn name="Product Price" id="9"/>
    <tableColumn name="Event Date" id="10"/>
    <tableColumn name="Building" id="11"/>
    <tableColumn name="Room Number" id="12"/>
  </tableColumns>
  <tableStyleInfo name="Calc Backup-style" showColumnStripes="0" showFirstColumn="1" showLastColumn="1" showRowStripes="1"/>
</table>
</file>

<file path=xl/tables/table6.xml><?xml version="1.0" encoding="utf-8"?>
<table xmlns="http://schemas.openxmlformats.org/spreadsheetml/2006/main" headerRowCount="0" ref="A2:K6" displayName="Table_6" name="Table_6"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roblems with frat house chan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utrucking.com/admin/orders/5914000130236" TargetMode="External"/><Relationship Id="rId391" Type="http://schemas.openxmlformats.org/officeDocument/2006/relationships/hyperlink" Target="https://utrucking.com/admin/orders/5913989972156" TargetMode="External"/><Relationship Id="rId390" Type="http://schemas.openxmlformats.org/officeDocument/2006/relationships/hyperlink" Target="https://utrucking.com/admin/orders/5913988530364" TargetMode="External"/><Relationship Id="rId1" Type="http://schemas.openxmlformats.org/officeDocument/2006/relationships/hyperlink" Target="https://admin.shopify.com/store/utrucking/orders/5794999468220?link_source=search" TargetMode="External"/><Relationship Id="rId2" Type="http://schemas.openxmlformats.org/officeDocument/2006/relationships/hyperlink" Target="https://admin.shopify.com/store/utrucking/orders/5811833962684?link_source=search" TargetMode="External"/><Relationship Id="rId3" Type="http://schemas.openxmlformats.org/officeDocument/2006/relationships/hyperlink" Target="https://admin.shopify.com/store/utrucking/orders/5837335822524?link_source=search" TargetMode="External"/><Relationship Id="rId4" Type="http://schemas.openxmlformats.org/officeDocument/2006/relationships/hyperlink" Target="https://admin.shopify.com/store/utrucking/orders/5835948851388?link_source=search" TargetMode="External"/><Relationship Id="rId2180" Type="http://schemas.openxmlformats.org/officeDocument/2006/relationships/hyperlink" Target="https://utrucking.com/admin/orders/6434176237756" TargetMode="External"/><Relationship Id="rId2181" Type="http://schemas.openxmlformats.org/officeDocument/2006/relationships/hyperlink" Target="https://utrucking.com/admin/orders/6434235056316" TargetMode="External"/><Relationship Id="rId2182" Type="http://schemas.openxmlformats.org/officeDocument/2006/relationships/hyperlink" Target="https://utrucking.com/admin/orders/6434240037052" TargetMode="External"/><Relationship Id="rId2183" Type="http://schemas.openxmlformats.org/officeDocument/2006/relationships/hyperlink" Target="https://utrucking.com/admin/orders/6434316681404" TargetMode="External"/><Relationship Id="rId9" Type="http://schemas.openxmlformats.org/officeDocument/2006/relationships/hyperlink" Target="https://utrucking.com/admin/orders/5897705062588" TargetMode="External"/><Relationship Id="rId385" Type="http://schemas.openxmlformats.org/officeDocument/2006/relationships/hyperlink" Target="https://utrucking.com/admin/orders/5913955238076" TargetMode="External"/><Relationship Id="rId2184" Type="http://schemas.openxmlformats.org/officeDocument/2006/relationships/hyperlink" Target="https://utrucking.com/admin/orders/6434516369596" TargetMode="External"/><Relationship Id="rId384" Type="http://schemas.openxmlformats.org/officeDocument/2006/relationships/hyperlink" Target="https://utrucking.com/admin/orders/5913947734204" TargetMode="External"/><Relationship Id="rId2185" Type="http://schemas.openxmlformats.org/officeDocument/2006/relationships/hyperlink" Target="https://utrucking.com/admin/orders/6434696855740" TargetMode="External"/><Relationship Id="rId383" Type="http://schemas.openxmlformats.org/officeDocument/2006/relationships/hyperlink" Target="https://utrucking.com/admin/orders/5913935577276" TargetMode="External"/><Relationship Id="rId2186" Type="http://schemas.openxmlformats.org/officeDocument/2006/relationships/hyperlink" Target="https://utrucking.com/admin/orders/6434697838780" TargetMode="External"/><Relationship Id="rId382" Type="http://schemas.openxmlformats.org/officeDocument/2006/relationships/hyperlink" Target="https://utrucking.com/admin/orders/5913928171708" TargetMode="External"/><Relationship Id="rId2187" Type="http://schemas.openxmlformats.org/officeDocument/2006/relationships/hyperlink" Target="https://utrucking.com/admin/orders/6434774253756" TargetMode="External"/><Relationship Id="rId5" Type="http://schemas.openxmlformats.org/officeDocument/2006/relationships/hyperlink" Target="https://admin.shopify.com/store/utrucking/orders/5865974038716?link_source=search" TargetMode="External"/><Relationship Id="rId389" Type="http://schemas.openxmlformats.org/officeDocument/2006/relationships/hyperlink" Target="https://utrucking.com/admin/orders/5913972080828" TargetMode="External"/><Relationship Id="rId2188" Type="http://schemas.openxmlformats.org/officeDocument/2006/relationships/hyperlink" Target="https://utrucking.com/admin/orders/6434839691452" TargetMode="External"/><Relationship Id="rId6" Type="http://schemas.openxmlformats.org/officeDocument/2006/relationships/hyperlink" Target="https://admin.shopify.com/store/utrucking/orders/5867662409916?link_source=search" TargetMode="External"/><Relationship Id="rId388" Type="http://schemas.openxmlformats.org/officeDocument/2006/relationships/hyperlink" Target="https://utrucking.com/admin/orders/5913969230012" TargetMode="External"/><Relationship Id="rId2189" Type="http://schemas.openxmlformats.org/officeDocument/2006/relationships/hyperlink" Target="https://utrucking.com/admin/orders/6434943860924" TargetMode="External"/><Relationship Id="rId7" Type="http://schemas.openxmlformats.org/officeDocument/2006/relationships/hyperlink" Target="https://utrucking.com/admin/orders/5897677144252" TargetMode="External"/><Relationship Id="rId387" Type="http://schemas.openxmlformats.org/officeDocument/2006/relationships/hyperlink" Target="https://utrucking.com/admin/orders/5913963430076" TargetMode="External"/><Relationship Id="rId8" Type="http://schemas.openxmlformats.org/officeDocument/2006/relationships/hyperlink" Target="https://utrucking.com/admin/orders/5897705062588" TargetMode="External"/><Relationship Id="rId386" Type="http://schemas.openxmlformats.org/officeDocument/2006/relationships/hyperlink" Target="https://utrucking.com/admin/orders/5913963430076" TargetMode="External"/><Relationship Id="rId381" Type="http://schemas.openxmlformats.org/officeDocument/2006/relationships/hyperlink" Target="https://utrucking.com/admin/orders/5913921028284" TargetMode="External"/><Relationship Id="rId380" Type="http://schemas.openxmlformats.org/officeDocument/2006/relationships/hyperlink" Target="https://utrucking.com/admin/orders/5913919389884" TargetMode="External"/><Relationship Id="rId379" Type="http://schemas.openxmlformats.org/officeDocument/2006/relationships/hyperlink" Target="https://utrucking.com/admin/orders/5913919226044" TargetMode="External"/><Relationship Id="rId2170" Type="http://schemas.openxmlformats.org/officeDocument/2006/relationships/hyperlink" Target="https://utrucking.com/admin/orders/6433755889852" TargetMode="External"/><Relationship Id="rId2171" Type="http://schemas.openxmlformats.org/officeDocument/2006/relationships/hyperlink" Target="https://utrucking.com/admin/orders/6433772568764" TargetMode="External"/><Relationship Id="rId2172" Type="http://schemas.openxmlformats.org/officeDocument/2006/relationships/hyperlink" Target="https://utrucking.com/admin/orders/6433840922812" TargetMode="External"/><Relationship Id="rId374" Type="http://schemas.openxmlformats.org/officeDocument/2006/relationships/hyperlink" Target="https://utrucking.com/admin/orders/5913903038652" TargetMode="External"/><Relationship Id="rId2173" Type="http://schemas.openxmlformats.org/officeDocument/2006/relationships/hyperlink" Target="https://utrucking.com/admin/orders/6433858126012" TargetMode="External"/><Relationship Id="rId373" Type="http://schemas.openxmlformats.org/officeDocument/2006/relationships/hyperlink" Target="https://utrucking.com/admin/orders/5913901465788" TargetMode="External"/><Relationship Id="rId2174" Type="http://schemas.openxmlformats.org/officeDocument/2006/relationships/hyperlink" Target="https://utrucking.com/admin/orders/6433941061820" TargetMode="External"/><Relationship Id="rId372" Type="http://schemas.openxmlformats.org/officeDocument/2006/relationships/hyperlink" Target="https://utrucking.com/admin/orders/5913895895228" TargetMode="External"/><Relationship Id="rId2175" Type="http://schemas.openxmlformats.org/officeDocument/2006/relationships/hyperlink" Target="https://utrucking.com/admin/orders/6433947222204" TargetMode="External"/><Relationship Id="rId371" Type="http://schemas.openxmlformats.org/officeDocument/2006/relationships/hyperlink" Target="https://utrucking.com/admin/orders/5913895862460" TargetMode="External"/><Relationship Id="rId2176" Type="http://schemas.openxmlformats.org/officeDocument/2006/relationships/hyperlink" Target="https://utrucking.com/admin/orders/6434071478460" TargetMode="External"/><Relationship Id="rId378" Type="http://schemas.openxmlformats.org/officeDocument/2006/relationships/hyperlink" Target="https://utrucking.com/admin/orders/5913918668988" TargetMode="External"/><Relationship Id="rId2177" Type="http://schemas.openxmlformats.org/officeDocument/2006/relationships/hyperlink" Target="https://utrucking.com/admin/orders/6434107359420" TargetMode="External"/><Relationship Id="rId377" Type="http://schemas.openxmlformats.org/officeDocument/2006/relationships/hyperlink" Target="https://utrucking.com/admin/orders/5913917391036" TargetMode="External"/><Relationship Id="rId2178" Type="http://schemas.openxmlformats.org/officeDocument/2006/relationships/hyperlink" Target="https://utrucking.com/admin/orders/6434109194428" TargetMode="External"/><Relationship Id="rId376" Type="http://schemas.openxmlformats.org/officeDocument/2006/relationships/hyperlink" Target="https://utrucking.com/admin/orders/5913911689404" TargetMode="External"/><Relationship Id="rId2179" Type="http://schemas.openxmlformats.org/officeDocument/2006/relationships/hyperlink" Target="https://utrucking.com/admin/orders/6434124726460" TargetMode="External"/><Relationship Id="rId375" Type="http://schemas.openxmlformats.org/officeDocument/2006/relationships/hyperlink" Target="https://utrucking.com/admin/orders/5913909362876" TargetMode="External"/><Relationship Id="rId2190" Type="http://schemas.openxmlformats.org/officeDocument/2006/relationships/hyperlink" Target="https://utrucking.com/admin/orders/6434974957756" TargetMode="External"/><Relationship Id="rId2191" Type="http://schemas.openxmlformats.org/officeDocument/2006/relationships/hyperlink" Target="https://utrucking.com/admin/orders/6434980921532" TargetMode="External"/><Relationship Id="rId2192" Type="http://schemas.openxmlformats.org/officeDocument/2006/relationships/hyperlink" Target="https://utrucking.com/admin/orders/6435152265404" TargetMode="External"/><Relationship Id="rId2193" Type="http://schemas.openxmlformats.org/officeDocument/2006/relationships/hyperlink" Target="https://utrucking.com/admin/orders/6435152462012" TargetMode="External"/><Relationship Id="rId2194" Type="http://schemas.openxmlformats.org/officeDocument/2006/relationships/hyperlink" Target="https://utrucking.com/admin/orders/6435179724988" TargetMode="External"/><Relationship Id="rId396" Type="http://schemas.openxmlformats.org/officeDocument/2006/relationships/hyperlink" Target="https://utrucking.com/admin/orders/5914010321084" TargetMode="External"/><Relationship Id="rId2195" Type="http://schemas.openxmlformats.org/officeDocument/2006/relationships/hyperlink" Target="https://utrucking.com/admin/orders/6435194503356" TargetMode="External"/><Relationship Id="rId395" Type="http://schemas.openxmlformats.org/officeDocument/2006/relationships/hyperlink" Target="https://utrucking.com/admin/orders/5914008092860" TargetMode="External"/><Relationship Id="rId2196" Type="http://schemas.openxmlformats.org/officeDocument/2006/relationships/hyperlink" Target="https://utrucking.com/admin/orders/6435216588988" TargetMode="External"/><Relationship Id="rId394" Type="http://schemas.openxmlformats.org/officeDocument/2006/relationships/hyperlink" Target="https://utrucking.com/admin/orders/5914007077052" TargetMode="External"/><Relationship Id="rId2197" Type="http://schemas.openxmlformats.org/officeDocument/2006/relationships/hyperlink" Target="https://utrucking.com/admin/orders/6435278454972" TargetMode="External"/><Relationship Id="rId393" Type="http://schemas.openxmlformats.org/officeDocument/2006/relationships/hyperlink" Target="https://utrucking.com/admin/orders/5914002882748" TargetMode="External"/><Relationship Id="rId2198" Type="http://schemas.openxmlformats.org/officeDocument/2006/relationships/hyperlink" Target="https://utrucking.com/admin/orders/6435301458108" TargetMode="External"/><Relationship Id="rId2199" Type="http://schemas.openxmlformats.org/officeDocument/2006/relationships/hyperlink" Target="https://utrucking.com/admin/orders/6435331244220" TargetMode="External"/><Relationship Id="rId399" Type="http://schemas.openxmlformats.org/officeDocument/2006/relationships/hyperlink" Target="https://utrucking.com/admin/orders/5914028507324" TargetMode="External"/><Relationship Id="rId398" Type="http://schemas.openxmlformats.org/officeDocument/2006/relationships/hyperlink" Target="https://utrucking.com/admin/orders/5914018316476" TargetMode="External"/><Relationship Id="rId397" Type="http://schemas.openxmlformats.org/officeDocument/2006/relationships/hyperlink" Target="https://utrucking.com/admin/orders/5914012221628" TargetMode="External"/><Relationship Id="rId1730" Type="http://schemas.openxmlformats.org/officeDocument/2006/relationships/hyperlink" Target="https://utrucking.com/admin/orders/6398106337468" TargetMode="External"/><Relationship Id="rId1731" Type="http://schemas.openxmlformats.org/officeDocument/2006/relationships/hyperlink" Target="https://utrucking.com/admin/orders/6398131372220" TargetMode="External"/><Relationship Id="rId1732" Type="http://schemas.openxmlformats.org/officeDocument/2006/relationships/hyperlink" Target="https://utrucking.com/admin/orders/6398188093628" TargetMode="External"/><Relationship Id="rId1733" Type="http://schemas.openxmlformats.org/officeDocument/2006/relationships/hyperlink" Target="https://utrucking.com/admin/orders/6398258512060" TargetMode="External"/><Relationship Id="rId1734" Type="http://schemas.openxmlformats.org/officeDocument/2006/relationships/hyperlink" Target="https://utrucking.com/admin/orders/6398258512060" TargetMode="External"/><Relationship Id="rId1735" Type="http://schemas.openxmlformats.org/officeDocument/2006/relationships/hyperlink" Target="https://utrucking.com/admin/orders/6398298095804" TargetMode="External"/><Relationship Id="rId1736" Type="http://schemas.openxmlformats.org/officeDocument/2006/relationships/hyperlink" Target="https://utrucking.com/admin/orders/6398298095804" TargetMode="External"/><Relationship Id="rId1737" Type="http://schemas.openxmlformats.org/officeDocument/2006/relationships/hyperlink" Target="https://utrucking.com/admin/orders/6398379163836" TargetMode="External"/><Relationship Id="rId1738" Type="http://schemas.openxmlformats.org/officeDocument/2006/relationships/hyperlink" Target="https://utrucking.com/admin/orders/6398515675324" TargetMode="External"/><Relationship Id="rId1739" Type="http://schemas.openxmlformats.org/officeDocument/2006/relationships/hyperlink" Target="https://utrucking.com/admin/orders/6398749180092" TargetMode="External"/><Relationship Id="rId1720" Type="http://schemas.openxmlformats.org/officeDocument/2006/relationships/hyperlink" Target="https://utrucking.com/admin/orders/6396567552188" TargetMode="External"/><Relationship Id="rId1721" Type="http://schemas.openxmlformats.org/officeDocument/2006/relationships/hyperlink" Target="https://utrucking.com/admin/orders/6396641935548" TargetMode="External"/><Relationship Id="rId1722" Type="http://schemas.openxmlformats.org/officeDocument/2006/relationships/hyperlink" Target="https://utrucking.com/admin/orders/6396671066300" TargetMode="External"/><Relationship Id="rId1723" Type="http://schemas.openxmlformats.org/officeDocument/2006/relationships/hyperlink" Target="https://utrucking.com/admin/orders/6396831989948" TargetMode="External"/><Relationship Id="rId1724" Type="http://schemas.openxmlformats.org/officeDocument/2006/relationships/hyperlink" Target="https://utrucking.com/admin/orders/6397158162620" TargetMode="External"/><Relationship Id="rId1725" Type="http://schemas.openxmlformats.org/officeDocument/2006/relationships/hyperlink" Target="https://utrucking.com/admin/orders/6397158162620" TargetMode="External"/><Relationship Id="rId1726" Type="http://schemas.openxmlformats.org/officeDocument/2006/relationships/hyperlink" Target="https://utrucking.com/admin/orders/6397195387068" TargetMode="External"/><Relationship Id="rId1727" Type="http://schemas.openxmlformats.org/officeDocument/2006/relationships/hyperlink" Target="https://utrucking.com/admin/orders/6397553115324" TargetMode="External"/><Relationship Id="rId1728" Type="http://schemas.openxmlformats.org/officeDocument/2006/relationships/hyperlink" Target="https://utrucking.com/admin/orders/6397854449852" TargetMode="External"/><Relationship Id="rId1729" Type="http://schemas.openxmlformats.org/officeDocument/2006/relationships/hyperlink" Target="https://utrucking.com/admin/orders/6398057087164" TargetMode="External"/><Relationship Id="rId1752" Type="http://schemas.openxmlformats.org/officeDocument/2006/relationships/hyperlink" Target="https://utrucking.com/admin/orders/6401370194108" TargetMode="External"/><Relationship Id="rId1753" Type="http://schemas.openxmlformats.org/officeDocument/2006/relationships/hyperlink" Target="https://utrucking.com/admin/orders/6402041512124" TargetMode="External"/><Relationship Id="rId2600" Type="http://schemas.openxmlformats.org/officeDocument/2006/relationships/hyperlink" Target="https://utrucking.com/admin/orders/6451322552508" TargetMode="External"/><Relationship Id="rId1754" Type="http://schemas.openxmlformats.org/officeDocument/2006/relationships/hyperlink" Target="https://utrucking.com/admin/orders/6402083324092" TargetMode="External"/><Relationship Id="rId2601" Type="http://schemas.openxmlformats.org/officeDocument/2006/relationships/hyperlink" Target="https://utrucking.com/admin/orders/6451351126204" TargetMode="External"/><Relationship Id="rId1755" Type="http://schemas.openxmlformats.org/officeDocument/2006/relationships/hyperlink" Target="https://utrucking.com/admin/orders/6402085191868" TargetMode="External"/><Relationship Id="rId2602" Type="http://schemas.openxmlformats.org/officeDocument/2006/relationships/hyperlink" Target="https://utrucking.com/admin/orders/6451352567996" TargetMode="External"/><Relationship Id="rId1756" Type="http://schemas.openxmlformats.org/officeDocument/2006/relationships/hyperlink" Target="https://utrucking.com/admin/orders/6402085191868" TargetMode="External"/><Relationship Id="rId2603" Type="http://schemas.openxmlformats.org/officeDocument/2006/relationships/hyperlink" Target="https://utrucking.com/admin/orders/6451368427708" TargetMode="External"/><Relationship Id="rId1757" Type="http://schemas.openxmlformats.org/officeDocument/2006/relationships/hyperlink" Target="https://utrucking.com/admin/orders/6402100101308" TargetMode="External"/><Relationship Id="rId2604" Type="http://schemas.openxmlformats.org/officeDocument/2006/relationships/hyperlink" Target="https://utrucking.com/admin/orders/6451396247740" TargetMode="External"/><Relationship Id="rId1758" Type="http://schemas.openxmlformats.org/officeDocument/2006/relationships/hyperlink" Target="https://utrucking.com/admin/orders/6402102755516" TargetMode="External"/><Relationship Id="rId2605" Type="http://schemas.openxmlformats.org/officeDocument/2006/relationships/hyperlink" Target="https://utrucking.com/admin/orders/6451447464124" TargetMode="External"/><Relationship Id="rId1759" Type="http://schemas.openxmlformats.org/officeDocument/2006/relationships/hyperlink" Target="https://utrucking.com/admin/orders/6402194374844" TargetMode="External"/><Relationship Id="rId2606" Type="http://schemas.openxmlformats.org/officeDocument/2006/relationships/hyperlink" Target="https://utrucking.com/admin/orders/6451448873148" TargetMode="External"/><Relationship Id="rId808" Type="http://schemas.openxmlformats.org/officeDocument/2006/relationships/hyperlink" Target="https://utrucking.com/admin/orders/5925525323964" TargetMode="External"/><Relationship Id="rId2607" Type="http://schemas.openxmlformats.org/officeDocument/2006/relationships/hyperlink" Target="https://utrucking.com/admin/orders/6451480068284" TargetMode="External"/><Relationship Id="rId807" Type="http://schemas.openxmlformats.org/officeDocument/2006/relationships/hyperlink" Target="https://utrucking.com/admin/orders/5925521850556" TargetMode="External"/><Relationship Id="rId2608" Type="http://schemas.openxmlformats.org/officeDocument/2006/relationships/hyperlink" Target="https://utrucking.com/admin/orders/6451712295100" TargetMode="External"/><Relationship Id="rId806" Type="http://schemas.openxmlformats.org/officeDocument/2006/relationships/hyperlink" Target="https://utrucking.com/admin/orders/5925515985084" TargetMode="External"/><Relationship Id="rId2609" Type="http://schemas.openxmlformats.org/officeDocument/2006/relationships/hyperlink" Target="https://utrucking.com/admin/orders/6451933413564" TargetMode="External"/><Relationship Id="rId805" Type="http://schemas.openxmlformats.org/officeDocument/2006/relationships/hyperlink" Target="https://utrucking.com/products/storage-item-return" TargetMode="External"/><Relationship Id="rId809" Type="http://schemas.openxmlformats.org/officeDocument/2006/relationships/hyperlink" Target="https://utrucking.com/admin/orders/5925604294844" TargetMode="External"/><Relationship Id="rId800" Type="http://schemas.openxmlformats.org/officeDocument/2006/relationships/hyperlink" Target="https://utrucking.com/admin/orders/5925165138108" TargetMode="External"/><Relationship Id="rId804" Type="http://schemas.openxmlformats.org/officeDocument/2006/relationships/hyperlink" Target="https://utrucking.com/admin/orders/5925454807228" TargetMode="External"/><Relationship Id="rId803" Type="http://schemas.openxmlformats.org/officeDocument/2006/relationships/hyperlink" Target="https://utrucking.com/admin/orders/5925443272892" TargetMode="External"/><Relationship Id="rId802" Type="http://schemas.openxmlformats.org/officeDocument/2006/relationships/hyperlink" Target="https://utrucking.com/admin/orders/5925408899260" TargetMode="External"/><Relationship Id="rId801" Type="http://schemas.openxmlformats.org/officeDocument/2006/relationships/hyperlink" Target="https://utrucking.com/admin/orders/5925328519356" TargetMode="External"/><Relationship Id="rId1750" Type="http://schemas.openxmlformats.org/officeDocument/2006/relationships/hyperlink" Target="https://utrucking.com/admin/orders/6401215398076" TargetMode="External"/><Relationship Id="rId1751" Type="http://schemas.openxmlformats.org/officeDocument/2006/relationships/hyperlink" Target="https://utrucking.com/admin/orders/6401274740924" TargetMode="External"/><Relationship Id="rId1741" Type="http://schemas.openxmlformats.org/officeDocument/2006/relationships/hyperlink" Target="https://utrucking.com/admin/orders/6399297224892" TargetMode="External"/><Relationship Id="rId1742" Type="http://schemas.openxmlformats.org/officeDocument/2006/relationships/hyperlink" Target="https://utrucking.com/admin/orders/6399569297596" TargetMode="External"/><Relationship Id="rId1743" Type="http://schemas.openxmlformats.org/officeDocument/2006/relationships/hyperlink" Target="https://utrucking.com/admin/orders/6399607668924" TargetMode="External"/><Relationship Id="rId1744" Type="http://schemas.openxmlformats.org/officeDocument/2006/relationships/hyperlink" Target="https://utrucking.com/admin/orders/6399773573308" TargetMode="External"/><Relationship Id="rId1745" Type="http://schemas.openxmlformats.org/officeDocument/2006/relationships/hyperlink" Target="https://utrucking.com/admin/orders/6399785730236" TargetMode="External"/><Relationship Id="rId1746" Type="http://schemas.openxmlformats.org/officeDocument/2006/relationships/hyperlink" Target="https://utrucking.com/admin/orders/6400250085564" TargetMode="External"/><Relationship Id="rId1747" Type="http://schemas.openxmlformats.org/officeDocument/2006/relationships/hyperlink" Target="https://utrucking.com/admin/orders/6400504266940" TargetMode="External"/><Relationship Id="rId1748" Type="http://schemas.openxmlformats.org/officeDocument/2006/relationships/hyperlink" Target="https://utrucking.com/admin/orders/6400504266940" TargetMode="External"/><Relationship Id="rId1749" Type="http://schemas.openxmlformats.org/officeDocument/2006/relationships/hyperlink" Target="https://utrucking.com/admin/orders/6401139605692" TargetMode="External"/><Relationship Id="rId1740" Type="http://schemas.openxmlformats.org/officeDocument/2006/relationships/hyperlink" Target="https://utrucking.com/admin/orders/6399209472188" TargetMode="External"/><Relationship Id="rId1710" Type="http://schemas.openxmlformats.org/officeDocument/2006/relationships/hyperlink" Target="https://utrucking.com/admin/orders/6393041289404" TargetMode="External"/><Relationship Id="rId1711" Type="http://schemas.openxmlformats.org/officeDocument/2006/relationships/hyperlink" Target="https://utrucking.com/admin/orders/6393163710652" TargetMode="External"/><Relationship Id="rId1712" Type="http://schemas.openxmlformats.org/officeDocument/2006/relationships/hyperlink" Target="https://utrucking.com/admin/orders/6393200017596" TargetMode="External"/><Relationship Id="rId1713" Type="http://schemas.openxmlformats.org/officeDocument/2006/relationships/hyperlink" Target="https://utrucking.com/admin/orders/6393380602044" TargetMode="External"/><Relationship Id="rId1714" Type="http://schemas.openxmlformats.org/officeDocument/2006/relationships/hyperlink" Target="https://utrucking.com/admin/orders/6393545556156" TargetMode="External"/><Relationship Id="rId1715" Type="http://schemas.openxmlformats.org/officeDocument/2006/relationships/hyperlink" Target="https://utrucking.com/admin/orders/6393994182844" TargetMode="External"/><Relationship Id="rId1716" Type="http://schemas.openxmlformats.org/officeDocument/2006/relationships/hyperlink" Target="https://utrucking.com/admin/orders/6394111656124" TargetMode="External"/><Relationship Id="rId1717" Type="http://schemas.openxmlformats.org/officeDocument/2006/relationships/hyperlink" Target="https://utrucking.com/admin/orders/6394218152124" TargetMode="External"/><Relationship Id="rId1718" Type="http://schemas.openxmlformats.org/officeDocument/2006/relationships/hyperlink" Target="https://utrucking.com/admin/orders/6394218152124" TargetMode="External"/><Relationship Id="rId1719" Type="http://schemas.openxmlformats.org/officeDocument/2006/relationships/hyperlink" Target="https://utrucking.com/admin/orders/6396555886780" TargetMode="External"/><Relationship Id="rId1700" Type="http://schemas.openxmlformats.org/officeDocument/2006/relationships/hyperlink" Target="https://utrucking.com/admin/orders/6391600644284" TargetMode="External"/><Relationship Id="rId1701" Type="http://schemas.openxmlformats.org/officeDocument/2006/relationships/hyperlink" Target="https://utrucking.com/admin/orders/6391810097340" TargetMode="External"/><Relationship Id="rId1702" Type="http://schemas.openxmlformats.org/officeDocument/2006/relationships/hyperlink" Target="https://utrucking.com/admin/orders/6392064377020" TargetMode="External"/><Relationship Id="rId1703" Type="http://schemas.openxmlformats.org/officeDocument/2006/relationships/hyperlink" Target="https://utrucking.com/admin/orders/6392737267900" TargetMode="External"/><Relationship Id="rId1704" Type="http://schemas.openxmlformats.org/officeDocument/2006/relationships/hyperlink" Target="https://utrucking.com/admin/orders/6392770199740" TargetMode="External"/><Relationship Id="rId1705" Type="http://schemas.openxmlformats.org/officeDocument/2006/relationships/hyperlink" Target="https://utrucking.com/admin/orders/6392770199740" TargetMode="External"/><Relationship Id="rId1706" Type="http://schemas.openxmlformats.org/officeDocument/2006/relationships/hyperlink" Target="https://utrucking.com/admin/orders/6392789139644" TargetMode="External"/><Relationship Id="rId1707" Type="http://schemas.openxmlformats.org/officeDocument/2006/relationships/hyperlink" Target="https://utrucking.com/admin/orders/6392909463740" TargetMode="External"/><Relationship Id="rId1708" Type="http://schemas.openxmlformats.org/officeDocument/2006/relationships/hyperlink" Target="https://admin.shopify.com/store/utrucking/orders/6392928469180?link_source=search" TargetMode="External"/><Relationship Id="rId1709" Type="http://schemas.openxmlformats.org/officeDocument/2006/relationships/hyperlink" Target="https://utrucking.com/admin/orders/6393041289404" TargetMode="External"/><Relationship Id="rId40" Type="http://schemas.openxmlformats.org/officeDocument/2006/relationships/hyperlink" Target="https://utrucking.com/admin/orders/5899791564988" TargetMode="External"/><Relationship Id="rId1334" Type="http://schemas.openxmlformats.org/officeDocument/2006/relationships/hyperlink" Target="https://utrucking.com/admin/orders/5951709642940" TargetMode="External"/><Relationship Id="rId2665" Type="http://schemas.openxmlformats.org/officeDocument/2006/relationships/hyperlink" Target="https://utrucking.com/admin/orders/6454127820988" TargetMode="External"/><Relationship Id="rId1335" Type="http://schemas.openxmlformats.org/officeDocument/2006/relationships/hyperlink" Target="https://utrucking.com/admin/orders/5951761481916" TargetMode="External"/><Relationship Id="rId2666" Type="http://schemas.openxmlformats.org/officeDocument/2006/relationships/hyperlink" Target="https://utrucking.com/admin/orders/6454168813756" TargetMode="External"/><Relationship Id="rId42" Type="http://schemas.openxmlformats.org/officeDocument/2006/relationships/hyperlink" Target="https://utrucking.com/admin/orders/5900006424764" TargetMode="External"/><Relationship Id="rId1336" Type="http://schemas.openxmlformats.org/officeDocument/2006/relationships/hyperlink" Target="https://utrucking.com/admin/orders/5951779602620" TargetMode="External"/><Relationship Id="rId2667" Type="http://schemas.openxmlformats.org/officeDocument/2006/relationships/hyperlink" Target="https://utrucking.com/admin/orders/6454172745916" TargetMode="External"/><Relationship Id="rId41" Type="http://schemas.openxmlformats.org/officeDocument/2006/relationships/hyperlink" Target="https://utrucking.com/admin/orders/5899837145276" TargetMode="External"/><Relationship Id="rId1337" Type="http://schemas.openxmlformats.org/officeDocument/2006/relationships/hyperlink" Target="https://utrucking.com/admin/orders/5951794020540" TargetMode="External"/><Relationship Id="rId2668" Type="http://schemas.openxmlformats.org/officeDocument/2006/relationships/hyperlink" Target="https://utrucking.com/admin/orders/6454212853948" TargetMode="External"/><Relationship Id="rId44" Type="http://schemas.openxmlformats.org/officeDocument/2006/relationships/hyperlink" Target="https://utrucking.com/admin/orders/5900080283836" TargetMode="External"/><Relationship Id="rId1338" Type="http://schemas.openxmlformats.org/officeDocument/2006/relationships/hyperlink" Target="https://utrucking.com/admin/orders/5951806668988" TargetMode="External"/><Relationship Id="rId2669" Type="http://schemas.openxmlformats.org/officeDocument/2006/relationships/hyperlink" Target="https://utrucking.com/admin/orders/6454305980604" TargetMode="External"/><Relationship Id="rId43" Type="http://schemas.openxmlformats.org/officeDocument/2006/relationships/hyperlink" Target="https://utrucking.com/admin/orders/5900080283836" TargetMode="External"/><Relationship Id="rId1339" Type="http://schemas.openxmlformats.org/officeDocument/2006/relationships/hyperlink" Target="https://utrucking.com/admin/orders/5951811813564" TargetMode="External"/><Relationship Id="rId46" Type="http://schemas.openxmlformats.org/officeDocument/2006/relationships/hyperlink" Target="https://utrucking.com/admin/orders/5900089852092" TargetMode="External"/><Relationship Id="rId45" Type="http://schemas.openxmlformats.org/officeDocument/2006/relationships/hyperlink" Target="https://utrucking.com/admin/orders/5900083265724" TargetMode="External"/><Relationship Id="rId745" Type="http://schemas.openxmlformats.org/officeDocument/2006/relationships/hyperlink" Target="https://utrucking.com/admin/orders/5923507994812" TargetMode="External"/><Relationship Id="rId744" Type="http://schemas.openxmlformats.org/officeDocument/2006/relationships/hyperlink" Target="https://utrucking.com/admin/orders/5923500523708" TargetMode="External"/><Relationship Id="rId743" Type="http://schemas.openxmlformats.org/officeDocument/2006/relationships/hyperlink" Target="https://utrucking.com/admin/orders/5923484860604" TargetMode="External"/><Relationship Id="rId742" Type="http://schemas.openxmlformats.org/officeDocument/2006/relationships/hyperlink" Target="https://utrucking.com/admin/orders/5923437117628" TargetMode="External"/><Relationship Id="rId749" Type="http://schemas.openxmlformats.org/officeDocument/2006/relationships/hyperlink" Target="https://utrucking.com/admin/orders/5923716300988" TargetMode="External"/><Relationship Id="rId748" Type="http://schemas.openxmlformats.org/officeDocument/2006/relationships/hyperlink" Target="https://utrucking.com/admin/orders/5923692740796" TargetMode="External"/><Relationship Id="rId747" Type="http://schemas.openxmlformats.org/officeDocument/2006/relationships/hyperlink" Target="https://utrucking.com/admin/orders/5923603218620" TargetMode="External"/><Relationship Id="rId746" Type="http://schemas.openxmlformats.org/officeDocument/2006/relationships/hyperlink" Target="https://utrucking.com/admin/orders/5923591585980" TargetMode="External"/><Relationship Id="rId48" Type="http://schemas.openxmlformats.org/officeDocument/2006/relationships/hyperlink" Target="https://utrucking.com/admin/orders/5900123734204" TargetMode="External"/><Relationship Id="rId47" Type="http://schemas.openxmlformats.org/officeDocument/2006/relationships/hyperlink" Target="https://utrucking.com/admin/orders/5900123701436" TargetMode="External"/><Relationship Id="rId49" Type="http://schemas.openxmlformats.org/officeDocument/2006/relationships/hyperlink" Target="https://admin.shopify.com/store/utrucking/orders/5900167545020?link_source=search" TargetMode="External"/><Relationship Id="rId2660" Type="http://schemas.openxmlformats.org/officeDocument/2006/relationships/hyperlink" Target="https://utrucking.com/admin/orders/6453907751100" TargetMode="External"/><Relationship Id="rId741" Type="http://schemas.openxmlformats.org/officeDocument/2006/relationships/hyperlink" Target="https://utrucking.com/admin/orders/5923413983420" TargetMode="External"/><Relationship Id="rId1330" Type="http://schemas.openxmlformats.org/officeDocument/2006/relationships/hyperlink" Target="https://utrucking.com/admin/orders/5951412732092" TargetMode="External"/><Relationship Id="rId2661" Type="http://schemas.openxmlformats.org/officeDocument/2006/relationships/hyperlink" Target="https://utrucking.com/admin/orders/6453997961404" TargetMode="External"/><Relationship Id="rId740" Type="http://schemas.openxmlformats.org/officeDocument/2006/relationships/hyperlink" Target="https://utrucking.com/admin/orders/5923400777916" TargetMode="External"/><Relationship Id="rId1331" Type="http://schemas.openxmlformats.org/officeDocument/2006/relationships/hyperlink" Target="https://utrucking.com/admin/orders/5951421710524" TargetMode="External"/><Relationship Id="rId2662" Type="http://schemas.openxmlformats.org/officeDocument/2006/relationships/hyperlink" Target="https://utrucking.com/admin/orders/6454044459196" TargetMode="External"/><Relationship Id="rId1332" Type="http://schemas.openxmlformats.org/officeDocument/2006/relationships/hyperlink" Target="https://utrucking.com/admin/orders/5951450644668" TargetMode="External"/><Relationship Id="rId2663" Type="http://schemas.openxmlformats.org/officeDocument/2006/relationships/hyperlink" Target="https://utrucking.com/admin/orders/6454049046716" TargetMode="External"/><Relationship Id="rId1333" Type="http://schemas.openxmlformats.org/officeDocument/2006/relationships/hyperlink" Target="https://utrucking.com/admin/orders/5951471485116" TargetMode="External"/><Relationship Id="rId2664" Type="http://schemas.openxmlformats.org/officeDocument/2006/relationships/hyperlink" Target="https://utrucking.com/admin/orders/6454126477500" TargetMode="External"/><Relationship Id="rId1323" Type="http://schemas.openxmlformats.org/officeDocument/2006/relationships/hyperlink" Target="https://utrucking.com/admin/orders/5951042879676" TargetMode="External"/><Relationship Id="rId2654" Type="http://schemas.openxmlformats.org/officeDocument/2006/relationships/hyperlink" Target="https://utrucking.com/admin/orders/6453630468284" TargetMode="External"/><Relationship Id="rId1324" Type="http://schemas.openxmlformats.org/officeDocument/2006/relationships/hyperlink" Target="https://utrucking.com/admin/orders/5951084560572" TargetMode="External"/><Relationship Id="rId2655" Type="http://schemas.openxmlformats.org/officeDocument/2006/relationships/hyperlink" Target="https://utrucking.com/admin/orders/6453657698492" TargetMode="External"/><Relationship Id="rId31" Type="http://schemas.openxmlformats.org/officeDocument/2006/relationships/hyperlink" Target="https://utrucking.com/admin/orders/5899279007932" TargetMode="External"/><Relationship Id="rId1325" Type="http://schemas.openxmlformats.org/officeDocument/2006/relationships/hyperlink" Target="https://utrucking.com/admin/orders/5951168544956" TargetMode="External"/><Relationship Id="rId2656" Type="http://schemas.openxmlformats.org/officeDocument/2006/relationships/hyperlink" Target="https://utrucking.com/admin/orders/6453730934972" TargetMode="External"/><Relationship Id="rId30" Type="http://schemas.openxmlformats.org/officeDocument/2006/relationships/hyperlink" Target="https://utrucking.com/admin/orders/5899278713020" TargetMode="External"/><Relationship Id="rId1326" Type="http://schemas.openxmlformats.org/officeDocument/2006/relationships/hyperlink" Target="https://utrucking.com/admin/orders/5951213797564" TargetMode="External"/><Relationship Id="rId2657" Type="http://schemas.openxmlformats.org/officeDocument/2006/relationships/hyperlink" Target="https://utrucking.com/admin/orders/6453786804412" TargetMode="External"/><Relationship Id="rId33" Type="http://schemas.openxmlformats.org/officeDocument/2006/relationships/hyperlink" Target="https://utrucking.com/admin/orders/5899375313084" TargetMode="External"/><Relationship Id="rId1327" Type="http://schemas.openxmlformats.org/officeDocument/2006/relationships/hyperlink" Target="https://utrucking.com/admin/orders/5951342411964" TargetMode="External"/><Relationship Id="rId2658" Type="http://schemas.openxmlformats.org/officeDocument/2006/relationships/hyperlink" Target="https://utrucking.com/admin/orders/6453795979452" TargetMode="External"/><Relationship Id="rId32" Type="http://schemas.openxmlformats.org/officeDocument/2006/relationships/hyperlink" Target="https://utrucking.com/admin/orders/5899315642556" TargetMode="External"/><Relationship Id="rId1328" Type="http://schemas.openxmlformats.org/officeDocument/2006/relationships/hyperlink" Target="https://utrucking.com/admin/orders/5951343886524" TargetMode="External"/><Relationship Id="rId2659" Type="http://schemas.openxmlformats.org/officeDocument/2006/relationships/hyperlink" Target="https://utrucking.com/admin/orders/6453824848060" TargetMode="External"/><Relationship Id="rId35" Type="http://schemas.openxmlformats.org/officeDocument/2006/relationships/hyperlink" Target="https://utrucking.com/admin/orders/5899380981948" TargetMode="External"/><Relationship Id="rId1329" Type="http://schemas.openxmlformats.org/officeDocument/2006/relationships/hyperlink" Target="https://utrucking.com/admin/orders/5951402508476" TargetMode="External"/><Relationship Id="rId34" Type="http://schemas.openxmlformats.org/officeDocument/2006/relationships/hyperlink" Target="https://utrucking.com/admin/orders/5899380981948" TargetMode="External"/><Relationship Id="rId739" Type="http://schemas.openxmlformats.org/officeDocument/2006/relationships/hyperlink" Target="https://utrucking.com/admin/orders/5923338420412" TargetMode="External"/><Relationship Id="rId734" Type="http://schemas.openxmlformats.org/officeDocument/2006/relationships/hyperlink" Target="https://utrucking.com/admin/orders/5923050455228" TargetMode="External"/><Relationship Id="rId733" Type="http://schemas.openxmlformats.org/officeDocument/2006/relationships/hyperlink" Target="https://utrucking.com/admin/orders/5922991374524" TargetMode="External"/><Relationship Id="rId732" Type="http://schemas.openxmlformats.org/officeDocument/2006/relationships/hyperlink" Target="https://utrucking.com/admin/orders/5922891595964" TargetMode="External"/><Relationship Id="rId731" Type="http://schemas.openxmlformats.org/officeDocument/2006/relationships/hyperlink" Target="https://utrucking.com/admin/orders/5922875408572" TargetMode="External"/><Relationship Id="rId738" Type="http://schemas.openxmlformats.org/officeDocument/2006/relationships/hyperlink" Target="https://utrucking.com/admin/orders/5923197550780" TargetMode="External"/><Relationship Id="rId737" Type="http://schemas.openxmlformats.org/officeDocument/2006/relationships/hyperlink" Target="https://utrucking.com/admin/orders/5923127066812" TargetMode="External"/><Relationship Id="rId736" Type="http://schemas.openxmlformats.org/officeDocument/2006/relationships/hyperlink" Target="https://utrucking.com/admin/orders/5923113631932" TargetMode="External"/><Relationship Id="rId735" Type="http://schemas.openxmlformats.org/officeDocument/2006/relationships/hyperlink" Target="https://utrucking.com/admin/orders/5923098689724" TargetMode="External"/><Relationship Id="rId37" Type="http://schemas.openxmlformats.org/officeDocument/2006/relationships/hyperlink" Target="https://utrucking.com/admin/orders/5899539480764" TargetMode="External"/><Relationship Id="rId36" Type="http://schemas.openxmlformats.org/officeDocument/2006/relationships/hyperlink" Target="https://utrucking.com/admin/orders/5899398512828" TargetMode="External"/><Relationship Id="rId39" Type="http://schemas.openxmlformats.org/officeDocument/2006/relationships/hyperlink" Target="https://utrucking.com/admin/orders/5899777736892" TargetMode="External"/><Relationship Id="rId38" Type="http://schemas.openxmlformats.org/officeDocument/2006/relationships/hyperlink" Target="https://utrucking.com/admin/orders/5899755684028" TargetMode="External"/><Relationship Id="rId730" Type="http://schemas.openxmlformats.org/officeDocument/2006/relationships/hyperlink" Target="https://utrucking.com/admin/orders/5922846277820" TargetMode="External"/><Relationship Id="rId2650" Type="http://schemas.openxmlformats.org/officeDocument/2006/relationships/hyperlink" Target="https://utrucking.com/admin/orders/6453493104828" TargetMode="External"/><Relationship Id="rId1320" Type="http://schemas.openxmlformats.org/officeDocument/2006/relationships/hyperlink" Target="https://utrucking.com/admin/orders/5950631248060" TargetMode="External"/><Relationship Id="rId2651" Type="http://schemas.openxmlformats.org/officeDocument/2006/relationships/hyperlink" Target="https://utrucking.com/admin/orders/6453504966844" TargetMode="External"/><Relationship Id="rId1321" Type="http://schemas.openxmlformats.org/officeDocument/2006/relationships/hyperlink" Target="https://utrucking.com/admin/orders/5950803312828" TargetMode="External"/><Relationship Id="rId2652" Type="http://schemas.openxmlformats.org/officeDocument/2006/relationships/hyperlink" Target="https://utrucking.com/admin/orders/6453553955004" TargetMode="External"/><Relationship Id="rId1322" Type="http://schemas.openxmlformats.org/officeDocument/2006/relationships/hyperlink" Target="https://utrucking.com/admin/orders/5950967939260" TargetMode="External"/><Relationship Id="rId2653" Type="http://schemas.openxmlformats.org/officeDocument/2006/relationships/hyperlink" Target="https://utrucking.com/admin/orders/6453607465148" TargetMode="External"/><Relationship Id="rId1356" Type="http://schemas.openxmlformats.org/officeDocument/2006/relationships/hyperlink" Target="https://utrucking.com/admin/orders/5954178121916" TargetMode="External"/><Relationship Id="rId2203" Type="http://schemas.openxmlformats.org/officeDocument/2006/relationships/hyperlink" Target="https://utrucking.com/admin/orders/6435467722940" TargetMode="External"/><Relationship Id="rId2687" Type="http://schemas.openxmlformats.org/officeDocument/2006/relationships/hyperlink" Target="https://utrucking.com/admin/orders/6455160504508" TargetMode="External"/><Relationship Id="rId1357" Type="http://schemas.openxmlformats.org/officeDocument/2006/relationships/hyperlink" Target="https://utrucking.com/admin/orders/5955519512764" TargetMode="External"/><Relationship Id="rId2204" Type="http://schemas.openxmlformats.org/officeDocument/2006/relationships/hyperlink" Target="https://utrucking.com/admin/orders/6435523559612" TargetMode="External"/><Relationship Id="rId2688" Type="http://schemas.openxmlformats.org/officeDocument/2006/relationships/hyperlink" Target="https://utrucking.com/admin/orders/6455176036540" TargetMode="External"/><Relationship Id="rId20" Type="http://schemas.openxmlformats.org/officeDocument/2006/relationships/hyperlink" Target="https://utrucking.com/admin/orders/5898465345724" TargetMode="External"/><Relationship Id="rId1358" Type="http://schemas.openxmlformats.org/officeDocument/2006/relationships/hyperlink" Target="https://utrucking.com/admin/orders/5955613491388" TargetMode="External"/><Relationship Id="rId2205" Type="http://schemas.openxmlformats.org/officeDocument/2006/relationships/hyperlink" Target="https://utrucking.com/admin/orders/6435617013948" TargetMode="External"/><Relationship Id="rId2689" Type="http://schemas.openxmlformats.org/officeDocument/2006/relationships/hyperlink" Target="https://utrucking.com/admin/orders/6455207264444" TargetMode="External"/><Relationship Id="rId1359" Type="http://schemas.openxmlformats.org/officeDocument/2006/relationships/hyperlink" Target="https://utrucking.com/admin/orders/5955662872764" TargetMode="External"/><Relationship Id="rId2206" Type="http://schemas.openxmlformats.org/officeDocument/2006/relationships/hyperlink" Target="https://utrucking.com/admin/orders/6435670982844" TargetMode="External"/><Relationship Id="rId22" Type="http://schemas.openxmlformats.org/officeDocument/2006/relationships/hyperlink" Target="https://utrucking.com/admin/orders/5898491166908" TargetMode="External"/><Relationship Id="rId2207" Type="http://schemas.openxmlformats.org/officeDocument/2006/relationships/hyperlink" Target="https://utrucking.com/admin/orders/6436113350844" TargetMode="External"/><Relationship Id="rId21" Type="http://schemas.openxmlformats.org/officeDocument/2006/relationships/hyperlink" Target="https://utrucking.com/admin/orders/5898488905916" TargetMode="External"/><Relationship Id="rId2208" Type="http://schemas.openxmlformats.org/officeDocument/2006/relationships/hyperlink" Target="https://utrucking.com/admin/orders/6436189569212" TargetMode="External"/><Relationship Id="rId24" Type="http://schemas.openxmlformats.org/officeDocument/2006/relationships/hyperlink" Target="https://admin.shopify.com/store/utrucking/orders/5898534977724?link_source=search" TargetMode="External"/><Relationship Id="rId2209" Type="http://schemas.openxmlformats.org/officeDocument/2006/relationships/hyperlink" Target="https://utrucking.com/admin/orders/6436190716092" TargetMode="External"/><Relationship Id="rId23" Type="http://schemas.openxmlformats.org/officeDocument/2006/relationships/hyperlink" Target="https://utrucking.com/admin/orders/5898525311164" TargetMode="External"/><Relationship Id="rId767" Type="http://schemas.openxmlformats.org/officeDocument/2006/relationships/hyperlink" Target="https://utrucking.com/admin/orders/5924654219452" TargetMode="External"/><Relationship Id="rId766" Type="http://schemas.openxmlformats.org/officeDocument/2006/relationships/hyperlink" Target="https://utrucking.com/admin/orders/5924652581052" TargetMode="External"/><Relationship Id="rId765" Type="http://schemas.openxmlformats.org/officeDocument/2006/relationships/hyperlink" Target="https://utrucking.com/admin/orders/5924651368636" TargetMode="External"/><Relationship Id="rId764" Type="http://schemas.openxmlformats.org/officeDocument/2006/relationships/hyperlink" Target="https://utrucking.com/admin/orders/5924641571004" TargetMode="External"/><Relationship Id="rId769" Type="http://schemas.openxmlformats.org/officeDocument/2006/relationships/hyperlink" Target="https://utrucking.com/admin/orders/5924665393340" TargetMode="External"/><Relationship Id="rId768" Type="http://schemas.openxmlformats.org/officeDocument/2006/relationships/hyperlink" Target="https://utrucking.com/admin/orders/5924658938044" TargetMode="External"/><Relationship Id="rId26" Type="http://schemas.openxmlformats.org/officeDocument/2006/relationships/hyperlink" Target="https://utrucking.com/admin/orders/5899120771260" TargetMode="External"/><Relationship Id="rId25" Type="http://schemas.openxmlformats.org/officeDocument/2006/relationships/hyperlink" Target="https://utrucking.com/admin/orders/5898994155708" TargetMode="External"/><Relationship Id="rId2680" Type="http://schemas.openxmlformats.org/officeDocument/2006/relationships/hyperlink" Target="https://utrucking.com/admin/orders/6454795108540" TargetMode="External"/><Relationship Id="rId28" Type="http://schemas.openxmlformats.org/officeDocument/2006/relationships/hyperlink" Target="https://admin.shopify.com/store/utrucking/orders/5899173920956?link_source=search" TargetMode="External"/><Relationship Id="rId1350" Type="http://schemas.openxmlformats.org/officeDocument/2006/relationships/hyperlink" Target="https://utrucking.com/admin/orders/5952877330620" TargetMode="External"/><Relationship Id="rId2681" Type="http://schemas.openxmlformats.org/officeDocument/2006/relationships/hyperlink" Target="https://utrucking.com/admin/orders/6454860447932" TargetMode="External"/><Relationship Id="rId27" Type="http://schemas.openxmlformats.org/officeDocument/2006/relationships/hyperlink" Target="https://utrucking.com/admin/orders/5899149574332" TargetMode="External"/><Relationship Id="rId1351" Type="http://schemas.openxmlformats.org/officeDocument/2006/relationships/hyperlink" Target="https://utrucking.com/admin/orders/5953279983804" TargetMode="External"/><Relationship Id="rId2682" Type="http://schemas.openxmlformats.org/officeDocument/2006/relationships/hyperlink" Target="https://utrucking.com/admin/orders/6454872277180" TargetMode="External"/><Relationship Id="rId763" Type="http://schemas.openxmlformats.org/officeDocument/2006/relationships/hyperlink" Target="https://utrucking.com/admin/orders/5924627382460" TargetMode="External"/><Relationship Id="rId1352" Type="http://schemas.openxmlformats.org/officeDocument/2006/relationships/hyperlink" Target="https://utrucking.com/admin/orders/5953513586876" TargetMode="External"/><Relationship Id="rId2683" Type="http://schemas.openxmlformats.org/officeDocument/2006/relationships/hyperlink" Target="https://utrucking.com/admin/orders/6454977855676" TargetMode="External"/><Relationship Id="rId29" Type="http://schemas.openxmlformats.org/officeDocument/2006/relationships/hyperlink" Target="https://admin.shopify.com/store/utrucking/orders/5899236901052?link_source=search" TargetMode="External"/><Relationship Id="rId762" Type="http://schemas.openxmlformats.org/officeDocument/2006/relationships/hyperlink" Target="https://utrucking.com/admin/orders/5924522262716" TargetMode="External"/><Relationship Id="rId1353" Type="http://schemas.openxmlformats.org/officeDocument/2006/relationships/hyperlink" Target="https://utrucking.com/admin/orders/5953717108924" TargetMode="External"/><Relationship Id="rId2200" Type="http://schemas.openxmlformats.org/officeDocument/2006/relationships/hyperlink" Target="https://utrucking.com/admin/orders/6435351756988" TargetMode="External"/><Relationship Id="rId2684" Type="http://schemas.openxmlformats.org/officeDocument/2006/relationships/hyperlink" Target="https://utrucking.com/admin/orders/6454978805948" TargetMode="External"/><Relationship Id="rId761" Type="http://schemas.openxmlformats.org/officeDocument/2006/relationships/hyperlink" Target="https://utrucking.com/admin/orders/5924440637628" TargetMode="External"/><Relationship Id="rId1354" Type="http://schemas.openxmlformats.org/officeDocument/2006/relationships/hyperlink" Target="https://utrucking.com/admin/orders/5953987641532" TargetMode="External"/><Relationship Id="rId2201" Type="http://schemas.openxmlformats.org/officeDocument/2006/relationships/hyperlink" Target="https://utrucking.com/admin/orders/6435451044028" TargetMode="External"/><Relationship Id="rId2685" Type="http://schemas.openxmlformats.org/officeDocument/2006/relationships/hyperlink" Target="https://utrucking.com/admin/orders/6455055712444" TargetMode="External"/><Relationship Id="rId760" Type="http://schemas.openxmlformats.org/officeDocument/2006/relationships/hyperlink" Target="https://utrucking.com/admin/orders/5924426580156" TargetMode="External"/><Relationship Id="rId1355" Type="http://schemas.openxmlformats.org/officeDocument/2006/relationships/hyperlink" Target="https://utrucking.com/admin/orders/5954030043324" TargetMode="External"/><Relationship Id="rId2202" Type="http://schemas.openxmlformats.org/officeDocument/2006/relationships/hyperlink" Target="https://utrucking.com/admin/orders/6435467722940" TargetMode="External"/><Relationship Id="rId2686" Type="http://schemas.openxmlformats.org/officeDocument/2006/relationships/hyperlink" Target="https://utrucking.com/admin/orders/6455093919932" TargetMode="External"/><Relationship Id="rId1345" Type="http://schemas.openxmlformats.org/officeDocument/2006/relationships/hyperlink" Target="https://utrucking.com/admin/orders/5952293568700" TargetMode="External"/><Relationship Id="rId2676" Type="http://schemas.openxmlformats.org/officeDocument/2006/relationships/hyperlink" Target="https://utrucking.com/admin/orders/6454497968316" TargetMode="External"/><Relationship Id="rId1346" Type="http://schemas.openxmlformats.org/officeDocument/2006/relationships/hyperlink" Target="https://utrucking.com/admin/orders/5952309231804" TargetMode="External"/><Relationship Id="rId2677" Type="http://schemas.openxmlformats.org/officeDocument/2006/relationships/hyperlink" Target="https://utrucking.com/admin/orders/6454624551100" TargetMode="External"/><Relationship Id="rId1347" Type="http://schemas.openxmlformats.org/officeDocument/2006/relationships/hyperlink" Target="https://utrucking.com/admin/orders/5952490012860" TargetMode="External"/><Relationship Id="rId2678" Type="http://schemas.openxmlformats.org/officeDocument/2006/relationships/hyperlink" Target="https://utrucking.com/admin/orders/6454741696700" TargetMode="External"/><Relationship Id="rId1348" Type="http://schemas.openxmlformats.org/officeDocument/2006/relationships/hyperlink" Target="https://utrucking.com/admin/orders/5952766345404" TargetMode="External"/><Relationship Id="rId2679" Type="http://schemas.openxmlformats.org/officeDocument/2006/relationships/hyperlink" Target="https://utrucking.com/admin/orders/6454741696700" TargetMode="External"/><Relationship Id="rId11" Type="http://schemas.openxmlformats.org/officeDocument/2006/relationships/hyperlink" Target="https://admin.shopify.com/store/utrucking/orders/5897753166012?link_source=search" TargetMode="External"/><Relationship Id="rId1349" Type="http://schemas.openxmlformats.org/officeDocument/2006/relationships/hyperlink" Target="https://utrucking.com/admin/orders/5952777158844" TargetMode="External"/><Relationship Id="rId10" Type="http://schemas.openxmlformats.org/officeDocument/2006/relationships/hyperlink" Target="https://admin.shopify.com/store/utrucking/orders/5897718857916?link_source=search" TargetMode="External"/><Relationship Id="rId13" Type="http://schemas.openxmlformats.org/officeDocument/2006/relationships/hyperlink" Target="https://utrucking.com/admin/orders/5897863135420" TargetMode="External"/><Relationship Id="rId12" Type="http://schemas.openxmlformats.org/officeDocument/2006/relationships/hyperlink" Target="https://admin.shopify.com/store/utrucking/orders/5897860251836?link_source=search" TargetMode="External"/><Relationship Id="rId756" Type="http://schemas.openxmlformats.org/officeDocument/2006/relationships/hyperlink" Target="https://utrucking.com/admin/orders/5924302618812" TargetMode="External"/><Relationship Id="rId755" Type="http://schemas.openxmlformats.org/officeDocument/2006/relationships/hyperlink" Target="https://utrucking.com/admin/orders/5924255039676" TargetMode="External"/><Relationship Id="rId754" Type="http://schemas.openxmlformats.org/officeDocument/2006/relationships/hyperlink" Target="https://utrucking.com/admin/orders/5924249075900" TargetMode="External"/><Relationship Id="rId753" Type="http://schemas.openxmlformats.org/officeDocument/2006/relationships/hyperlink" Target="https://utrucking.com/admin/orders/5924189438140" TargetMode="External"/><Relationship Id="rId759" Type="http://schemas.openxmlformats.org/officeDocument/2006/relationships/hyperlink" Target="https://utrucking.com/admin/orders/5924401152188" TargetMode="External"/><Relationship Id="rId758" Type="http://schemas.openxmlformats.org/officeDocument/2006/relationships/hyperlink" Target="https://utrucking.com/admin/orders/5924397056188" TargetMode="External"/><Relationship Id="rId757" Type="http://schemas.openxmlformats.org/officeDocument/2006/relationships/hyperlink" Target="https://utrucking.com/admin/orders/5924362223804" TargetMode="External"/><Relationship Id="rId15" Type="http://schemas.openxmlformats.org/officeDocument/2006/relationships/hyperlink" Target="https://admin.shopify.com/store/utrucking/orders/5898082549948?link_source=search" TargetMode="External"/><Relationship Id="rId14" Type="http://schemas.openxmlformats.org/officeDocument/2006/relationships/hyperlink" Target="https://admin.shopify.com/store/utrucking/orders/5898022682812?link_source=search" TargetMode="External"/><Relationship Id="rId17" Type="http://schemas.openxmlformats.org/officeDocument/2006/relationships/hyperlink" Target="https://utrucking.com/admin/orders/5898283614396" TargetMode="External"/><Relationship Id="rId2670" Type="http://schemas.openxmlformats.org/officeDocument/2006/relationships/hyperlink" Target="https://utrucking.com/admin/orders/6454367355068" TargetMode="External"/><Relationship Id="rId16" Type="http://schemas.openxmlformats.org/officeDocument/2006/relationships/hyperlink" Target="https://admin.shopify.com/store/utrucking/orders/5898180362428?link_source=search" TargetMode="External"/><Relationship Id="rId1340" Type="http://schemas.openxmlformats.org/officeDocument/2006/relationships/hyperlink" Target="https://utrucking.com/admin/orders/5951817416892" TargetMode="External"/><Relationship Id="rId2671" Type="http://schemas.openxmlformats.org/officeDocument/2006/relationships/hyperlink" Target="https://utrucking.com/admin/orders/6454379249852" TargetMode="External"/><Relationship Id="rId19" Type="http://schemas.openxmlformats.org/officeDocument/2006/relationships/hyperlink" Target="https://utrucking.com/admin/orders/5898432577724" TargetMode="External"/><Relationship Id="rId752" Type="http://schemas.openxmlformats.org/officeDocument/2006/relationships/hyperlink" Target="https://utrucking.com/admin/orders/5924131242172" TargetMode="External"/><Relationship Id="rId1341" Type="http://schemas.openxmlformats.org/officeDocument/2006/relationships/hyperlink" Target="https://utrucking.com/admin/orders/5951823544508" TargetMode="External"/><Relationship Id="rId2672" Type="http://schemas.openxmlformats.org/officeDocument/2006/relationships/hyperlink" Target="https://utrucking.com/admin/orders/6454380888252" TargetMode="External"/><Relationship Id="rId18" Type="http://schemas.openxmlformats.org/officeDocument/2006/relationships/hyperlink" Target="https://utrucking.com/admin/orders/5898324410556" TargetMode="External"/><Relationship Id="rId751" Type="http://schemas.openxmlformats.org/officeDocument/2006/relationships/hyperlink" Target="https://utrucking.com/admin/orders/5923984507068" TargetMode="External"/><Relationship Id="rId1342" Type="http://schemas.openxmlformats.org/officeDocument/2006/relationships/hyperlink" Target="https://utrucking.com/admin/orders/5951824068796" TargetMode="External"/><Relationship Id="rId2673" Type="http://schemas.openxmlformats.org/officeDocument/2006/relationships/hyperlink" Target="https://utrucking.com/admin/orders/6454382788796" TargetMode="External"/><Relationship Id="rId750" Type="http://schemas.openxmlformats.org/officeDocument/2006/relationships/hyperlink" Target="https://utrucking.com/admin/orders/5923753394364" TargetMode="External"/><Relationship Id="rId1343" Type="http://schemas.openxmlformats.org/officeDocument/2006/relationships/hyperlink" Target="https://utrucking.com/admin/orders/5951841042620" TargetMode="External"/><Relationship Id="rId2674" Type="http://schemas.openxmlformats.org/officeDocument/2006/relationships/hyperlink" Target="https://utrucking.com/admin/orders/6454407725244" TargetMode="External"/><Relationship Id="rId1344" Type="http://schemas.openxmlformats.org/officeDocument/2006/relationships/hyperlink" Target="https://utrucking.com/admin/orders/5951904415932" TargetMode="External"/><Relationship Id="rId2675" Type="http://schemas.openxmlformats.org/officeDocument/2006/relationships/hyperlink" Target="https://utrucking.com/admin/orders/6454463955132" TargetMode="External"/><Relationship Id="rId84" Type="http://schemas.openxmlformats.org/officeDocument/2006/relationships/hyperlink" Target="https://utrucking.com/admin/orders/5901819445436" TargetMode="External"/><Relationship Id="rId1774" Type="http://schemas.openxmlformats.org/officeDocument/2006/relationships/hyperlink" Target="https://utrucking.com/admin/orders/6403636101308" TargetMode="External"/><Relationship Id="rId2621" Type="http://schemas.openxmlformats.org/officeDocument/2006/relationships/hyperlink" Target="https://utrucking.com/admin/orders/6452443742396" TargetMode="External"/><Relationship Id="rId83" Type="http://schemas.openxmlformats.org/officeDocument/2006/relationships/hyperlink" Target="https://utrucking.com/admin/orders/5901762691260" TargetMode="External"/><Relationship Id="rId1775" Type="http://schemas.openxmlformats.org/officeDocument/2006/relationships/hyperlink" Target="https://utrucking.com/admin/orders/6403653370044" TargetMode="External"/><Relationship Id="rId2622" Type="http://schemas.openxmlformats.org/officeDocument/2006/relationships/hyperlink" Target="https://utrucking.com/admin/orders/6452492304572" TargetMode="External"/><Relationship Id="rId86" Type="http://schemas.openxmlformats.org/officeDocument/2006/relationships/hyperlink" Target="https://utrucking.com/admin/orders/5901823344828" TargetMode="External"/><Relationship Id="rId1776" Type="http://schemas.openxmlformats.org/officeDocument/2006/relationships/hyperlink" Target="https://utrucking.com/admin/orders/6403653370044" TargetMode="External"/><Relationship Id="rId2623" Type="http://schemas.openxmlformats.org/officeDocument/2006/relationships/hyperlink" Target="https://utrucking.com/admin/orders/6452496302268" TargetMode="External"/><Relationship Id="rId85" Type="http://schemas.openxmlformats.org/officeDocument/2006/relationships/hyperlink" Target="https://utrucking.com/admin/orders/5901819445436" TargetMode="External"/><Relationship Id="rId1777" Type="http://schemas.openxmlformats.org/officeDocument/2006/relationships/hyperlink" Target="https://utrucking.com/admin/orders/6403681255612" TargetMode="External"/><Relationship Id="rId2624" Type="http://schemas.openxmlformats.org/officeDocument/2006/relationships/hyperlink" Target="https://utrucking.com/admin/orders/6452506951868" TargetMode="External"/><Relationship Id="rId88" Type="http://schemas.openxmlformats.org/officeDocument/2006/relationships/hyperlink" Target="https://utrucking.com/admin/orders/5902234190012" TargetMode="External"/><Relationship Id="rId1778" Type="http://schemas.openxmlformats.org/officeDocument/2006/relationships/hyperlink" Target="https://utrucking.com/admin/orders/6403694723260" TargetMode="External"/><Relationship Id="rId2625" Type="http://schemas.openxmlformats.org/officeDocument/2006/relationships/hyperlink" Target="https://utrucking.com/admin/orders/6452545323196" TargetMode="External"/><Relationship Id="rId87" Type="http://schemas.openxmlformats.org/officeDocument/2006/relationships/hyperlink" Target="https://utrucking.com/admin/orders/5902055866556" TargetMode="External"/><Relationship Id="rId1779" Type="http://schemas.openxmlformats.org/officeDocument/2006/relationships/hyperlink" Target="https://utrucking.com/admin/orders/6403733749948" TargetMode="External"/><Relationship Id="rId2626" Type="http://schemas.openxmlformats.org/officeDocument/2006/relationships/hyperlink" Target="https://utrucking.com/admin/orders/6452561576124" TargetMode="External"/><Relationship Id="rId2627" Type="http://schemas.openxmlformats.org/officeDocument/2006/relationships/hyperlink" Target="https://utrucking.com/admin/orders/6452562591932" TargetMode="External"/><Relationship Id="rId89" Type="http://schemas.openxmlformats.org/officeDocument/2006/relationships/hyperlink" Target="https://utrucking.com/admin/orders/5902261616828" TargetMode="External"/><Relationship Id="rId2628" Type="http://schemas.openxmlformats.org/officeDocument/2006/relationships/hyperlink" Target="https://utrucking.com/admin/orders/6452575994044" TargetMode="External"/><Relationship Id="rId709" Type="http://schemas.openxmlformats.org/officeDocument/2006/relationships/hyperlink" Target="https://utrucking.com/admin/orders/5921536868540" TargetMode="External"/><Relationship Id="rId2629" Type="http://schemas.openxmlformats.org/officeDocument/2006/relationships/hyperlink" Target="https://utrucking.com/admin/orders/6452580286652" TargetMode="External"/><Relationship Id="rId708" Type="http://schemas.openxmlformats.org/officeDocument/2006/relationships/hyperlink" Target="https://utrucking.com/admin/orders/5921493942460" TargetMode="External"/><Relationship Id="rId707" Type="http://schemas.openxmlformats.org/officeDocument/2006/relationships/hyperlink" Target="https://utrucking.com/admin/orders/5921487814844" TargetMode="External"/><Relationship Id="rId706" Type="http://schemas.openxmlformats.org/officeDocument/2006/relationships/hyperlink" Target="https://utrucking.com/admin/orders/5921484669116" TargetMode="External"/><Relationship Id="rId80" Type="http://schemas.openxmlformats.org/officeDocument/2006/relationships/hyperlink" Target="https://utrucking.com/admin/orders/5901577748668" TargetMode="External"/><Relationship Id="rId82" Type="http://schemas.openxmlformats.org/officeDocument/2006/relationships/hyperlink" Target="https://utrucking.com/admin/orders/5901666615484" TargetMode="External"/><Relationship Id="rId81" Type="http://schemas.openxmlformats.org/officeDocument/2006/relationships/hyperlink" Target="https://utrucking.com/admin/orders/5901603799228" TargetMode="External"/><Relationship Id="rId701" Type="http://schemas.openxmlformats.org/officeDocument/2006/relationships/hyperlink" Target="https://utrucking.com/admin/orders/5921371193532" TargetMode="External"/><Relationship Id="rId700" Type="http://schemas.openxmlformats.org/officeDocument/2006/relationships/hyperlink" Target="https://utrucking.com/admin/orders/5921359364284" TargetMode="External"/><Relationship Id="rId705" Type="http://schemas.openxmlformats.org/officeDocument/2006/relationships/hyperlink" Target="https://utrucking.com/admin/orders/5921422409916" TargetMode="External"/><Relationship Id="rId704" Type="http://schemas.openxmlformats.org/officeDocument/2006/relationships/hyperlink" Target="https://utrucking.com/admin/orders/5921420542140" TargetMode="External"/><Relationship Id="rId703" Type="http://schemas.openxmlformats.org/officeDocument/2006/relationships/hyperlink" Target="https://utrucking.com/admin/orders/5921388822716" TargetMode="External"/><Relationship Id="rId702" Type="http://schemas.openxmlformats.org/officeDocument/2006/relationships/hyperlink" Target="https://utrucking.com/admin/orders/5921377026236" TargetMode="External"/><Relationship Id="rId1770" Type="http://schemas.openxmlformats.org/officeDocument/2006/relationships/hyperlink" Target="https://utrucking.com/admin/orders/6403328475324" TargetMode="External"/><Relationship Id="rId1771" Type="http://schemas.openxmlformats.org/officeDocument/2006/relationships/hyperlink" Target="https://utrucking.com/admin/orders/6403443491004" TargetMode="External"/><Relationship Id="rId1772" Type="http://schemas.openxmlformats.org/officeDocument/2006/relationships/hyperlink" Target="https://utrucking.com/admin/orders/6403463217340" TargetMode="External"/><Relationship Id="rId1773" Type="http://schemas.openxmlformats.org/officeDocument/2006/relationships/hyperlink" Target="https://utrucking.com/admin/orders/6403546546364" TargetMode="External"/><Relationship Id="rId2620" Type="http://schemas.openxmlformats.org/officeDocument/2006/relationships/hyperlink" Target="https://utrucking.com/admin/orders/6452440236220" TargetMode="External"/><Relationship Id="rId73" Type="http://schemas.openxmlformats.org/officeDocument/2006/relationships/hyperlink" Target="https://utrucking.com/admin/orders/5900996706492" TargetMode="External"/><Relationship Id="rId1763" Type="http://schemas.openxmlformats.org/officeDocument/2006/relationships/hyperlink" Target="https://utrucking.com/admin/orders/6403087892668" TargetMode="External"/><Relationship Id="rId2610" Type="http://schemas.openxmlformats.org/officeDocument/2006/relationships/hyperlink" Target="https://utrucking.com/admin/orders/6451979452604" TargetMode="External"/><Relationship Id="rId72" Type="http://schemas.openxmlformats.org/officeDocument/2006/relationships/hyperlink" Target="https://utrucking.com/admin/orders/5900954435772" TargetMode="External"/><Relationship Id="rId1764" Type="http://schemas.openxmlformats.org/officeDocument/2006/relationships/hyperlink" Target="https://utrucking.com/admin/orders/6403150184636" TargetMode="External"/><Relationship Id="rId2611" Type="http://schemas.openxmlformats.org/officeDocument/2006/relationships/hyperlink" Target="https://utrucking.com/admin/orders/6451979452604" TargetMode="External"/><Relationship Id="rId75" Type="http://schemas.openxmlformats.org/officeDocument/2006/relationships/hyperlink" Target="https://utrucking.com/admin/orders/5901019447484" TargetMode="External"/><Relationship Id="rId1765" Type="http://schemas.openxmlformats.org/officeDocument/2006/relationships/hyperlink" Target="https://utrucking.com/admin/orders/6403156050108" TargetMode="External"/><Relationship Id="rId2612" Type="http://schemas.openxmlformats.org/officeDocument/2006/relationships/hyperlink" Target="https://utrucking.com/admin/orders/6452062585020" TargetMode="External"/><Relationship Id="rId74" Type="http://schemas.openxmlformats.org/officeDocument/2006/relationships/hyperlink" Target="https://utrucking.com/admin/orders/5901001392316" TargetMode="External"/><Relationship Id="rId1766" Type="http://schemas.openxmlformats.org/officeDocument/2006/relationships/hyperlink" Target="https://utrucking.com/admin/orders/6403189244092" TargetMode="External"/><Relationship Id="rId2613" Type="http://schemas.openxmlformats.org/officeDocument/2006/relationships/hyperlink" Target="https://utrucking.com/admin/orders/6452182057148" TargetMode="External"/><Relationship Id="rId77" Type="http://schemas.openxmlformats.org/officeDocument/2006/relationships/hyperlink" Target="https://utrucking.com/admin/orders/5901173391548" TargetMode="External"/><Relationship Id="rId1767" Type="http://schemas.openxmlformats.org/officeDocument/2006/relationships/hyperlink" Target="https://utrucking.com/admin/orders/6403194224828" TargetMode="External"/><Relationship Id="rId2614" Type="http://schemas.openxmlformats.org/officeDocument/2006/relationships/hyperlink" Target="https://utrucking.com/admin/orders/6452208009404" TargetMode="External"/><Relationship Id="rId76" Type="http://schemas.openxmlformats.org/officeDocument/2006/relationships/hyperlink" Target="https://utrucking.com/admin/orders/5901064863932" TargetMode="External"/><Relationship Id="rId1768" Type="http://schemas.openxmlformats.org/officeDocument/2006/relationships/hyperlink" Target="https://utrucking.com/admin/orders/6403204350140" TargetMode="External"/><Relationship Id="rId2615" Type="http://schemas.openxmlformats.org/officeDocument/2006/relationships/hyperlink" Target="https://utrucking.com/admin/orders/6452241399996" TargetMode="External"/><Relationship Id="rId79" Type="http://schemas.openxmlformats.org/officeDocument/2006/relationships/hyperlink" Target="https://utrucking.com/admin/orders/5901515456700" TargetMode="External"/><Relationship Id="rId1769" Type="http://schemas.openxmlformats.org/officeDocument/2006/relationships/hyperlink" Target="https://utrucking.com/admin/orders/6403313991868" TargetMode="External"/><Relationship Id="rId2616" Type="http://schemas.openxmlformats.org/officeDocument/2006/relationships/hyperlink" Target="https://utrucking.com/admin/orders/6452277477564" TargetMode="External"/><Relationship Id="rId78" Type="http://schemas.openxmlformats.org/officeDocument/2006/relationships/hyperlink" Target="https://utrucking.com/admin/orders/5901478101180" TargetMode="External"/><Relationship Id="rId2617" Type="http://schemas.openxmlformats.org/officeDocument/2006/relationships/hyperlink" Target="https://utrucking.com/admin/orders/6452277641404" TargetMode="External"/><Relationship Id="rId2618" Type="http://schemas.openxmlformats.org/officeDocument/2006/relationships/hyperlink" Target="https://utrucking.com/admin/orders/6452335673532" TargetMode="External"/><Relationship Id="rId2619" Type="http://schemas.openxmlformats.org/officeDocument/2006/relationships/hyperlink" Target="https://utrucking.com/admin/orders/6452426440892" TargetMode="External"/><Relationship Id="rId71" Type="http://schemas.openxmlformats.org/officeDocument/2006/relationships/hyperlink" Target="https://utrucking.com/admin/orders/5900954435772" TargetMode="External"/><Relationship Id="rId70" Type="http://schemas.openxmlformats.org/officeDocument/2006/relationships/hyperlink" Target="https://utrucking.com/admin/orders/5900932972732" TargetMode="External"/><Relationship Id="rId1760" Type="http://schemas.openxmlformats.org/officeDocument/2006/relationships/hyperlink" Target="https://utrucking.com/admin/orders/6402302148796" TargetMode="External"/><Relationship Id="rId1761" Type="http://schemas.openxmlformats.org/officeDocument/2006/relationships/hyperlink" Target="https://utrucking.com/admin/orders/6402558623932" TargetMode="External"/><Relationship Id="rId1762" Type="http://schemas.openxmlformats.org/officeDocument/2006/relationships/hyperlink" Target="https://utrucking.com/admin/orders/6403075211452" TargetMode="External"/><Relationship Id="rId62" Type="http://schemas.openxmlformats.org/officeDocument/2006/relationships/hyperlink" Target="https://utrucking.com/admin/orders/5900738887868" TargetMode="External"/><Relationship Id="rId1312" Type="http://schemas.openxmlformats.org/officeDocument/2006/relationships/hyperlink" Target="https://utrucking.com/admin/orders/5950249926844" TargetMode="External"/><Relationship Id="rId1796" Type="http://schemas.openxmlformats.org/officeDocument/2006/relationships/hyperlink" Target="https://utrucking.com/admin/orders/6405576982716" TargetMode="External"/><Relationship Id="rId2643" Type="http://schemas.openxmlformats.org/officeDocument/2006/relationships/hyperlink" Target="https://utrucking.com/admin/orders/6452994736316" TargetMode="External"/><Relationship Id="rId61" Type="http://schemas.openxmlformats.org/officeDocument/2006/relationships/hyperlink" Target="https://utrucking.com/admin/orders/5900706185404" TargetMode="External"/><Relationship Id="rId1313" Type="http://schemas.openxmlformats.org/officeDocument/2006/relationships/hyperlink" Target="https://utrucking.com/admin/orders/5950276075708" TargetMode="External"/><Relationship Id="rId1797" Type="http://schemas.openxmlformats.org/officeDocument/2006/relationships/hyperlink" Target="https://utrucking.com/admin/orders/6405870911676" TargetMode="External"/><Relationship Id="rId2644" Type="http://schemas.openxmlformats.org/officeDocument/2006/relationships/hyperlink" Target="https://utrucking.com/admin/orders/6453001519292" TargetMode="External"/><Relationship Id="rId64" Type="http://schemas.openxmlformats.org/officeDocument/2006/relationships/hyperlink" Target="https://utrucking.com/admin/orders/5900791414972" TargetMode="External"/><Relationship Id="rId1314" Type="http://schemas.openxmlformats.org/officeDocument/2006/relationships/hyperlink" Target="https://utrucking.com/admin/orders/5950282924220" TargetMode="External"/><Relationship Id="rId1798" Type="http://schemas.openxmlformats.org/officeDocument/2006/relationships/hyperlink" Target="https://utrucking.com/admin/orders/6405957812412" TargetMode="External"/><Relationship Id="rId2645" Type="http://schemas.openxmlformats.org/officeDocument/2006/relationships/hyperlink" Target="https://utrucking.com/admin/orders/6453015937212" TargetMode="External"/><Relationship Id="rId63" Type="http://schemas.openxmlformats.org/officeDocument/2006/relationships/hyperlink" Target="https://utrucking.com/admin/orders/5900755337404" TargetMode="External"/><Relationship Id="rId1315" Type="http://schemas.openxmlformats.org/officeDocument/2006/relationships/hyperlink" Target="https://utrucking.com/admin/orders/5950289608892" TargetMode="External"/><Relationship Id="rId1799" Type="http://schemas.openxmlformats.org/officeDocument/2006/relationships/hyperlink" Target="https://utrucking.com/admin/orders/6406129647804" TargetMode="External"/><Relationship Id="rId2646" Type="http://schemas.openxmlformats.org/officeDocument/2006/relationships/hyperlink" Target="https://utrucking.com/admin/orders/6453032321212" TargetMode="External"/><Relationship Id="rId66" Type="http://schemas.openxmlformats.org/officeDocument/2006/relationships/hyperlink" Target="https://utrucking.com/admin/orders/5900814680252" TargetMode="External"/><Relationship Id="rId1316" Type="http://schemas.openxmlformats.org/officeDocument/2006/relationships/hyperlink" Target="https://utrucking.com/admin/orders/5950299472060" TargetMode="External"/><Relationship Id="rId2647" Type="http://schemas.openxmlformats.org/officeDocument/2006/relationships/hyperlink" Target="https://utrucking.com/admin/orders/6453058994364" TargetMode="External"/><Relationship Id="rId65" Type="http://schemas.openxmlformats.org/officeDocument/2006/relationships/hyperlink" Target="https://utrucking.com/admin/orders/5900791414972" TargetMode="External"/><Relationship Id="rId1317" Type="http://schemas.openxmlformats.org/officeDocument/2006/relationships/hyperlink" Target="https://utrucking.com/admin/orders/5950466359484" TargetMode="External"/><Relationship Id="rId2648" Type="http://schemas.openxmlformats.org/officeDocument/2006/relationships/hyperlink" Target="https://utrucking.com/admin/orders/6453068759228" TargetMode="External"/><Relationship Id="rId68" Type="http://schemas.openxmlformats.org/officeDocument/2006/relationships/hyperlink" Target="https://utrucking.com/admin/orders/5900873597116" TargetMode="External"/><Relationship Id="rId1318" Type="http://schemas.openxmlformats.org/officeDocument/2006/relationships/hyperlink" Target="https://utrucking.com/admin/orders/5950597005500" TargetMode="External"/><Relationship Id="rId2649" Type="http://schemas.openxmlformats.org/officeDocument/2006/relationships/hyperlink" Target="https://utrucking.com/admin/orders/6453386641596" TargetMode="External"/><Relationship Id="rId67" Type="http://schemas.openxmlformats.org/officeDocument/2006/relationships/hyperlink" Target="https://utrucking.com/admin/orders/5900867436732" TargetMode="External"/><Relationship Id="rId1319" Type="http://schemas.openxmlformats.org/officeDocument/2006/relationships/hyperlink" Target="https://utrucking.com/admin/orders/5950614601916" TargetMode="External"/><Relationship Id="rId729" Type="http://schemas.openxmlformats.org/officeDocument/2006/relationships/hyperlink" Target="https://utrucking.com/admin/orders/5922526003388" TargetMode="External"/><Relationship Id="rId728" Type="http://schemas.openxmlformats.org/officeDocument/2006/relationships/hyperlink" Target="https://utrucking.com/admin/orders/5922526003388" TargetMode="External"/><Relationship Id="rId60" Type="http://schemas.openxmlformats.org/officeDocument/2006/relationships/hyperlink" Target="https://utrucking.com/admin/orders/5900705693884" TargetMode="External"/><Relationship Id="rId723" Type="http://schemas.openxmlformats.org/officeDocument/2006/relationships/hyperlink" Target="https://utrucking.com/admin/orders/5921909014716" TargetMode="External"/><Relationship Id="rId722" Type="http://schemas.openxmlformats.org/officeDocument/2006/relationships/hyperlink" Target="https://utrucking.com/admin/orders/5921909014716" TargetMode="External"/><Relationship Id="rId721" Type="http://schemas.openxmlformats.org/officeDocument/2006/relationships/hyperlink" Target="https://utrucking.com/admin/orders/5921863958716" TargetMode="External"/><Relationship Id="rId720" Type="http://schemas.openxmlformats.org/officeDocument/2006/relationships/hyperlink" Target="https://utrucking.com/admin/orders/5921863958716" TargetMode="External"/><Relationship Id="rId727" Type="http://schemas.openxmlformats.org/officeDocument/2006/relationships/hyperlink" Target="https://utrucking.com/admin/orders/5922373697724" TargetMode="External"/><Relationship Id="rId726" Type="http://schemas.openxmlformats.org/officeDocument/2006/relationships/hyperlink" Target="https://utrucking.com/admin/orders/5922066071740" TargetMode="External"/><Relationship Id="rId725" Type="http://schemas.openxmlformats.org/officeDocument/2006/relationships/hyperlink" Target="https://utrucking.com/admin/orders/5922052047036" TargetMode="External"/><Relationship Id="rId724" Type="http://schemas.openxmlformats.org/officeDocument/2006/relationships/hyperlink" Target="https://utrucking.com/admin/orders/5921912357052" TargetMode="External"/><Relationship Id="rId69" Type="http://schemas.openxmlformats.org/officeDocument/2006/relationships/hyperlink" Target="https://utrucking.com/admin/orders/5900916162748" TargetMode="External"/><Relationship Id="rId1790" Type="http://schemas.openxmlformats.org/officeDocument/2006/relationships/hyperlink" Target="https://utrucking.com/admin/orders/6404702830780" TargetMode="External"/><Relationship Id="rId1791" Type="http://schemas.openxmlformats.org/officeDocument/2006/relationships/hyperlink" Target="https://utrucking.com/admin/orders/6404811456700" TargetMode="External"/><Relationship Id="rId1792" Type="http://schemas.openxmlformats.org/officeDocument/2006/relationships/hyperlink" Target="https://utrucking.com/admin/orders/6404945182908" TargetMode="External"/><Relationship Id="rId1793" Type="http://schemas.openxmlformats.org/officeDocument/2006/relationships/hyperlink" Target="https://utrucking.com/admin/orders/6405422350524" TargetMode="External"/><Relationship Id="rId2640" Type="http://schemas.openxmlformats.org/officeDocument/2006/relationships/hyperlink" Target="https://utrucking.com/admin/orders/6452843282620" TargetMode="External"/><Relationship Id="rId1310" Type="http://schemas.openxmlformats.org/officeDocument/2006/relationships/hyperlink" Target="https://utrucking.com/admin/orders/5950185439420" TargetMode="External"/><Relationship Id="rId1794" Type="http://schemas.openxmlformats.org/officeDocument/2006/relationships/hyperlink" Target="https://utrucking.com/admin/orders/6405455544508" TargetMode="External"/><Relationship Id="rId2641" Type="http://schemas.openxmlformats.org/officeDocument/2006/relationships/hyperlink" Target="https://utrucking.com/admin/orders/6452946698428" TargetMode="External"/><Relationship Id="rId1311" Type="http://schemas.openxmlformats.org/officeDocument/2006/relationships/hyperlink" Target="https://utrucking.com/admin/orders/5950229512380" TargetMode="External"/><Relationship Id="rId1795" Type="http://schemas.openxmlformats.org/officeDocument/2006/relationships/hyperlink" Target="https://utrucking.com/admin/orders/6405510529212" TargetMode="External"/><Relationship Id="rId2642" Type="http://schemas.openxmlformats.org/officeDocument/2006/relationships/hyperlink" Target="https://utrucking.com/admin/orders/6452972519612" TargetMode="External"/><Relationship Id="rId51" Type="http://schemas.openxmlformats.org/officeDocument/2006/relationships/hyperlink" Target="https://utrucking.com/admin/orders/5900186910908" TargetMode="External"/><Relationship Id="rId1301" Type="http://schemas.openxmlformats.org/officeDocument/2006/relationships/hyperlink" Target="https://utrucking.com/admin/orders/5949254402236" TargetMode="External"/><Relationship Id="rId1785" Type="http://schemas.openxmlformats.org/officeDocument/2006/relationships/hyperlink" Target="https://utrucking.com/admin/orders/6404424466620" TargetMode="External"/><Relationship Id="rId2632" Type="http://schemas.openxmlformats.org/officeDocument/2006/relationships/hyperlink" Target="https://utrucking.com/admin/orders/6452651098300" TargetMode="External"/><Relationship Id="rId50" Type="http://schemas.openxmlformats.org/officeDocument/2006/relationships/hyperlink" Target="https://admin.shopify.com/store/utrucking/orders/5900177113276?link_source=search" TargetMode="External"/><Relationship Id="rId1302" Type="http://schemas.openxmlformats.org/officeDocument/2006/relationships/hyperlink" Target="https://utrucking.com/admin/orders/5949362012348" TargetMode="External"/><Relationship Id="rId1786" Type="http://schemas.openxmlformats.org/officeDocument/2006/relationships/hyperlink" Target="https://utrucking.com/admin/orders/6404436459708" TargetMode="External"/><Relationship Id="rId2633" Type="http://schemas.openxmlformats.org/officeDocument/2006/relationships/hyperlink" Target="https://utrucking.com/admin/orders/6452687241404" TargetMode="External"/><Relationship Id="rId53" Type="http://schemas.openxmlformats.org/officeDocument/2006/relationships/hyperlink" Target="https://utrucking.com/admin/orders/5900252807356" TargetMode="External"/><Relationship Id="rId1303" Type="http://schemas.openxmlformats.org/officeDocument/2006/relationships/hyperlink" Target="https://utrucking.com/admin/orders/5949366927548" TargetMode="External"/><Relationship Id="rId1787" Type="http://schemas.openxmlformats.org/officeDocument/2006/relationships/hyperlink" Target="https://utrucking.com/admin/orders/6404492099772" TargetMode="External"/><Relationship Id="rId2634" Type="http://schemas.openxmlformats.org/officeDocument/2006/relationships/hyperlink" Target="https://utrucking.com/admin/orders/6452692091068" TargetMode="External"/><Relationship Id="rId52" Type="http://schemas.openxmlformats.org/officeDocument/2006/relationships/hyperlink" Target="https://utrucking.com/admin/orders/5900228886716" TargetMode="External"/><Relationship Id="rId1304" Type="http://schemas.openxmlformats.org/officeDocument/2006/relationships/hyperlink" Target="https://utrucking.com/admin/orders/5949408084156" TargetMode="External"/><Relationship Id="rId1788" Type="http://schemas.openxmlformats.org/officeDocument/2006/relationships/hyperlink" Target="https://utrucking.com/admin/orders/6404565008572" TargetMode="External"/><Relationship Id="rId2635" Type="http://schemas.openxmlformats.org/officeDocument/2006/relationships/hyperlink" Target="https://utrucking.com/admin/orders/6452712997052" TargetMode="External"/><Relationship Id="rId55" Type="http://schemas.openxmlformats.org/officeDocument/2006/relationships/hyperlink" Target="https://utrucking.com/admin/orders/5900318474428" TargetMode="External"/><Relationship Id="rId1305" Type="http://schemas.openxmlformats.org/officeDocument/2006/relationships/hyperlink" Target="https://utrucking.com/admin/orders/5949423059132" TargetMode="External"/><Relationship Id="rId1789" Type="http://schemas.openxmlformats.org/officeDocument/2006/relationships/hyperlink" Target="https://utrucking.com/admin/orders/6404606951612" TargetMode="External"/><Relationship Id="rId2636" Type="http://schemas.openxmlformats.org/officeDocument/2006/relationships/hyperlink" Target="https://utrucking.com/admin/orders/6452723777724" TargetMode="External"/><Relationship Id="rId54" Type="http://schemas.openxmlformats.org/officeDocument/2006/relationships/hyperlink" Target="https://utrucking.com/admin/orders/5900316573884" TargetMode="External"/><Relationship Id="rId1306" Type="http://schemas.openxmlformats.org/officeDocument/2006/relationships/hyperlink" Target="https://utrucking.com/admin/orders/5949928505532" TargetMode="External"/><Relationship Id="rId2637" Type="http://schemas.openxmlformats.org/officeDocument/2006/relationships/hyperlink" Target="https://utrucking.com/admin/orders/6452731248828" TargetMode="External"/><Relationship Id="rId57" Type="http://schemas.openxmlformats.org/officeDocument/2006/relationships/hyperlink" Target="https://utrucking.com/admin/orders/5900610175164" TargetMode="External"/><Relationship Id="rId1307" Type="http://schemas.openxmlformats.org/officeDocument/2006/relationships/hyperlink" Target="https://utrucking.com/admin/orders/5949998661820" TargetMode="External"/><Relationship Id="rId2638" Type="http://schemas.openxmlformats.org/officeDocument/2006/relationships/hyperlink" Target="https://utrucking.com/admin/orders/6452798259388" TargetMode="External"/><Relationship Id="rId56" Type="http://schemas.openxmlformats.org/officeDocument/2006/relationships/hyperlink" Target="https://utrucking.com/admin/orders/5900342067388" TargetMode="External"/><Relationship Id="rId1308" Type="http://schemas.openxmlformats.org/officeDocument/2006/relationships/hyperlink" Target="https://utrucking.com/admin/orders/5950144774332" TargetMode="External"/><Relationship Id="rId2639" Type="http://schemas.openxmlformats.org/officeDocument/2006/relationships/hyperlink" Target="https://utrucking.com/admin/orders/6452827455676" TargetMode="External"/><Relationship Id="rId1309" Type="http://schemas.openxmlformats.org/officeDocument/2006/relationships/hyperlink" Target="https://utrucking.com/admin/orders/5950184227004" TargetMode="External"/><Relationship Id="rId719" Type="http://schemas.openxmlformats.org/officeDocument/2006/relationships/hyperlink" Target="https://utrucking.com/admin/orders/5921855406268" TargetMode="External"/><Relationship Id="rId718" Type="http://schemas.openxmlformats.org/officeDocument/2006/relationships/hyperlink" Target="https://utrucking.com/admin/orders/5921775517884" TargetMode="External"/><Relationship Id="rId717" Type="http://schemas.openxmlformats.org/officeDocument/2006/relationships/hyperlink" Target="https://utrucking.com/admin/orders/5921713914044" TargetMode="External"/><Relationship Id="rId712" Type="http://schemas.openxmlformats.org/officeDocument/2006/relationships/hyperlink" Target="https://utrucking.com/admin/orders/5921576976572" TargetMode="External"/><Relationship Id="rId711" Type="http://schemas.openxmlformats.org/officeDocument/2006/relationships/hyperlink" Target="https://utrucking.com/admin/orders/5921555054780" TargetMode="External"/><Relationship Id="rId710" Type="http://schemas.openxmlformats.org/officeDocument/2006/relationships/hyperlink" Target="https://utrucking.com/admin/orders/5921546830012" TargetMode="External"/><Relationship Id="rId716" Type="http://schemas.openxmlformats.org/officeDocument/2006/relationships/hyperlink" Target="https://utrucking.com/admin/orders/5921707589820" TargetMode="External"/><Relationship Id="rId715" Type="http://schemas.openxmlformats.org/officeDocument/2006/relationships/hyperlink" Target="https://utrucking.com/admin/orders/5921705951420" TargetMode="External"/><Relationship Id="rId714" Type="http://schemas.openxmlformats.org/officeDocument/2006/relationships/hyperlink" Target="https://utrucking.com/admin/orders/5921682751676" TargetMode="External"/><Relationship Id="rId713" Type="http://schemas.openxmlformats.org/officeDocument/2006/relationships/hyperlink" Target="https://utrucking.com/admin/orders/5921608007868" TargetMode="External"/><Relationship Id="rId59" Type="http://schemas.openxmlformats.org/officeDocument/2006/relationships/hyperlink" Target="https://utrucking.com/admin/orders/5900679708860" TargetMode="External"/><Relationship Id="rId58" Type="http://schemas.openxmlformats.org/officeDocument/2006/relationships/hyperlink" Target="https://utrucking.com/admin/orders/5900653166780" TargetMode="External"/><Relationship Id="rId1780" Type="http://schemas.openxmlformats.org/officeDocument/2006/relationships/hyperlink" Target="https://utrucking.com/admin/orders/6404262330556" TargetMode="External"/><Relationship Id="rId1781" Type="http://schemas.openxmlformats.org/officeDocument/2006/relationships/hyperlink" Target="https://utrucking.com/admin/orders/6404338483388" TargetMode="External"/><Relationship Id="rId1782" Type="http://schemas.openxmlformats.org/officeDocument/2006/relationships/hyperlink" Target="https://utrucking.com/admin/orders/6404355096764" TargetMode="External"/><Relationship Id="rId1783" Type="http://schemas.openxmlformats.org/officeDocument/2006/relationships/hyperlink" Target="https://utrucking.com/admin/orders/6404380164284" TargetMode="External"/><Relationship Id="rId2630" Type="http://schemas.openxmlformats.org/officeDocument/2006/relationships/hyperlink" Target="https://utrucking.com/admin/orders/6452596146364" TargetMode="External"/><Relationship Id="rId1300" Type="http://schemas.openxmlformats.org/officeDocument/2006/relationships/hyperlink" Target="https://utrucking.com/admin/orders/5949246472380" TargetMode="External"/><Relationship Id="rId1784" Type="http://schemas.openxmlformats.org/officeDocument/2006/relationships/hyperlink" Target="https://utrucking.com/admin/orders/6404392190140" TargetMode="External"/><Relationship Id="rId2631" Type="http://schemas.openxmlformats.org/officeDocument/2006/relationships/hyperlink" Target="https://utrucking.com/admin/orders/6452630519996" TargetMode="External"/><Relationship Id="rId2269" Type="http://schemas.openxmlformats.org/officeDocument/2006/relationships/hyperlink" Target="https://utrucking.com/admin/orders/6445168918716" TargetMode="External"/><Relationship Id="rId349" Type="http://schemas.openxmlformats.org/officeDocument/2006/relationships/hyperlink" Target="https://utrucking.com/admin/orders/5913743884476" TargetMode="External"/><Relationship Id="rId348" Type="http://schemas.openxmlformats.org/officeDocument/2006/relationships/hyperlink" Target="https://utrucking.com/admin/orders/5913743425724" TargetMode="External"/><Relationship Id="rId347" Type="http://schemas.openxmlformats.org/officeDocument/2006/relationships/hyperlink" Target="https://utrucking.com/admin/orders/5913703874748" TargetMode="External"/><Relationship Id="rId346" Type="http://schemas.openxmlformats.org/officeDocument/2006/relationships/hyperlink" Target="https://utrucking.com/admin/orders/5913703743676" TargetMode="External"/><Relationship Id="rId2260" Type="http://schemas.openxmlformats.org/officeDocument/2006/relationships/hyperlink" Target="https://utrucking.com/admin/orders/6444914573500" TargetMode="External"/><Relationship Id="rId341" Type="http://schemas.openxmlformats.org/officeDocument/2006/relationships/hyperlink" Target="https://utrucking.com/admin/orders/5913664520380" TargetMode="External"/><Relationship Id="rId2261" Type="http://schemas.openxmlformats.org/officeDocument/2006/relationships/hyperlink" Target="https://utrucking.com/admin/orders/6444917129404" TargetMode="External"/><Relationship Id="rId340" Type="http://schemas.openxmlformats.org/officeDocument/2006/relationships/hyperlink" Target="https://utrucking.com/admin/orders/5913659113660" TargetMode="External"/><Relationship Id="rId2262" Type="http://schemas.openxmlformats.org/officeDocument/2006/relationships/hyperlink" Target="https://utrucking.com/admin/orders/6444917620924" TargetMode="External"/><Relationship Id="rId2263" Type="http://schemas.openxmlformats.org/officeDocument/2006/relationships/hyperlink" Target="https://utrucking.com/admin/orders/6444939378876" TargetMode="External"/><Relationship Id="rId2264" Type="http://schemas.openxmlformats.org/officeDocument/2006/relationships/hyperlink" Target="https://utrucking.com/admin/orders/6444973260988" TargetMode="External"/><Relationship Id="rId345" Type="http://schemas.openxmlformats.org/officeDocument/2006/relationships/hyperlink" Target="https://utrucking.com/admin/orders/5913699188924" TargetMode="External"/><Relationship Id="rId2265" Type="http://schemas.openxmlformats.org/officeDocument/2006/relationships/hyperlink" Target="https://utrucking.com/admin/orders/6445014941884" TargetMode="External"/><Relationship Id="rId344" Type="http://schemas.openxmlformats.org/officeDocument/2006/relationships/hyperlink" Target="https://utrucking.com/admin/orders/5913694732476" TargetMode="External"/><Relationship Id="rId2266" Type="http://schemas.openxmlformats.org/officeDocument/2006/relationships/hyperlink" Target="https://utrucking.com/admin/orders/6445020709052" TargetMode="External"/><Relationship Id="rId343" Type="http://schemas.openxmlformats.org/officeDocument/2006/relationships/hyperlink" Target="https://utrucking.com/admin/orders/5913682542780" TargetMode="External"/><Relationship Id="rId2267" Type="http://schemas.openxmlformats.org/officeDocument/2006/relationships/hyperlink" Target="https://utrucking.com/admin/orders/6445042663612" TargetMode="External"/><Relationship Id="rId342" Type="http://schemas.openxmlformats.org/officeDocument/2006/relationships/hyperlink" Target="https://utrucking.com/admin/orders/5913676447932" TargetMode="External"/><Relationship Id="rId2268" Type="http://schemas.openxmlformats.org/officeDocument/2006/relationships/hyperlink" Target="https://utrucking.com/admin/orders/6445102858428" TargetMode="External"/><Relationship Id="rId2258" Type="http://schemas.openxmlformats.org/officeDocument/2006/relationships/hyperlink" Target="https://utrucking.com/admin/orders/6444879413436" TargetMode="External"/><Relationship Id="rId2259" Type="http://schemas.openxmlformats.org/officeDocument/2006/relationships/hyperlink" Target="https://utrucking.com/admin/orders/6444906971324" TargetMode="External"/><Relationship Id="rId338" Type="http://schemas.openxmlformats.org/officeDocument/2006/relationships/hyperlink" Target="https://utrucking.com/admin/orders/5913604882620" TargetMode="External"/><Relationship Id="rId337" Type="http://schemas.openxmlformats.org/officeDocument/2006/relationships/hyperlink" Target="https://utrucking.com/admin/orders/5913582665916" TargetMode="External"/><Relationship Id="rId336" Type="http://schemas.openxmlformats.org/officeDocument/2006/relationships/hyperlink" Target="https://utrucking.com/admin/orders/5913577259196" TargetMode="External"/><Relationship Id="rId335" Type="http://schemas.openxmlformats.org/officeDocument/2006/relationships/hyperlink" Target="https://utrucking.com/admin/orders/5913568346300" TargetMode="External"/><Relationship Id="rId339" Type="http://schemas.openxmlformats.org/officeDocument/2006/relationships/hyperlink" Target="https://utrucking.com/admin/orders/5913656131772" TargetMode="External"/><Relationship Id="rId330" Type="http://schemas.openxmlformats.org/officeDocument/2006/relationships/hyperlink" Target="https://utrucking.com/admin/orders/5913520472252" TargetMode="External"/><Relationship Id="rId2250" Type="http://schemas.openxmlformats.org/officeDocument/2006/relationships/hyperlink" Target="https://utrucking.com/admin/orders/6444639748284" TargetMode="External"/><Relationship Id="rId2251" Type="http://schemas.openxmlformats.org/officeDocument/2006/relationships/hyperlink" Target="https://utrucking.com/admin/orders/6444735168700" TargetMode="External"/><Relationship Id="rId2252" Type="http://schemas.openxmlformats.org/officeDocument/2006/relationships/hyperlink" Target="https://utrucking.com/admin/orders/6444743983292" TargetMode="External"/><Relationship Id="rId2253" Type="http://schemas.openxmlformats.org/officeDocument/2006/relationships/hyperlink" Target="https://admin.shopify.com/store/utrucking/orders/6444753060028?link_source=search" TargetMode="External"/><Relationship Id="rId334" Type="http://schemas.openxmlformats.org/officeDocument/2006/relationships/hyperlink" Target="https://utrucking.com/admin/orders/5913559400636" TargetMode="External"/><Relationship Id="rId2254" Type="http://schemas.openxmlformats.org/officeDocument/2006/relationships/hyperlink" Target="https://utrucking.com/admin/orders/6444773867708" TargetMode="External"/><Relationship Id="rId333" Type="http://schemas.openxmlformats.org/officeDocument/2006/relationships/hyperlink" Target="https://utrucking.com/admin/orders/5913552388284" TargetMode="External"/><Relationship Id="rId2255" Type="http://schemas.openxmlformats.org/officeDocument/2006/relationships/hyperlink" Target="https://utrucking.com/admin/orders/6444810141884" TargetMode="External"/><Relationship Id="rId332" Type="http://schemas.openxmlformats.org/officeDocument/2006/relationships/hyperlink" Target="https://utrucking.com/admin/orders/5913535152316" TargetMode="External"/><Relationship Id="rId2256" Type="http://schemas.openxmlformats.org/officeDocument/2006/relationships/hyperlink" Target="https://utrucking.com/admin/orders/6444839895228" TargetMode="External"/><Relationship Id="rId331" Type="http://schemas.openxmlformats.org/officeDocument/2006/relationships/hyperlink" Target="https://utrucking.com/admin/orders/5913535086780" TargetMode="External"/><Relationship Id="rId2257" Type="http://schemas.openxmlformats.org/officeDocument/2006/relationships/hyperlink" Target="https://utrucking.com/admin/orders/6444848513212" TargetMode="External"/><Relationship Id="rId370" Type="http://schemas.openxmlformats.org/officeDocument/2006/relationships/hyperlink" Target="https://utrucking.com/admin/orders/5913893208252" TargetMode="External"/><Relationship Id="rId369" Type="http://schemas.openxmlformats.org/officeDocument/2006/relationships/hyperlink" Target="https://utrucking.com/admin/orders/5913884852412" TargetMode="External"/><Relationship Id="rId368" Type="http://schemas.openxmlformats.org/officeDocument/2006/relationships/hyperlink" Target="https://utrucking.com/admin/orders/5913866764476" TargetMode="External"/><Relationship Id="rId2280" Type="http://schemas.openxmlformats.org/officeDocument/2006/relationships/hyperlink" Target="https://utrucking.com/admin/orders/6445838991548" TargetMode="External"/><Relationship Id="rId2281" Type="http://schemas.openxmlformats.org/officeDocument/2006/relationships/hyperlink" Target="https://utrucking.com/admin/orders/6445839417532" TargetMode="External"/><Relationship Id="rId2282" Type="http://schemas.openxmlformats.org/officeDocument/2006/relationships/hyperlink" Target="https://utrucking.com/admin/orders/6445840957628" TargetMode="External"/><Relationship Id="rId363" Type="http://schemas.openxmlformats.org/officeDocument/2006/relationships/hyperlink" Target="https://utrucking.com/admin/orders/5913843302588" TargetMode="External"/><Relationship Id="rId2283" Type="http://schemas.openxmlformats.org/officeDocument/2006/relationships/hyperlink" Target="https://utrucking.com/admin/orders/6445841875132" TargetMode="External"/><Relationship Id="rId362" Type="http://schemas.openxmlformats.org/officeDocument/2006/relationships/hyperlink" Target="https://utrucking.com/admin/orders/5913838387388" TargetMode="External"/><Relationship Id="rId2284" Type="http://schemas.openxmlformats.org/officeDocument/2006/relationships/hyperlink" Target="https://utrucking.com/admin/orders/6445844562108" TargetMode="External"/><Relationship Id="rId361" Type="http://schemas.openxmlformats.org/officeDocument/2006/relationships/hyperlink" Target="https://utrucking.com/admin/orders/5913829441724" TargetMode="External"/><Relationship Id="rId2285" Type="http://schemas.openxmlformats.org/officeDocument/2006/relationships/hyperlink" Target="https://utrucking.com/admin/orders/6445847806140" TargetMode="External"/><Relationship Id="rId360" Type="http://schemas.openxmlformats.org/officeDocument/2006/relationships/hyperlink" Target="https://utrucking.com/admin/orders/5913815810236" TargetMode="External"/><Relationship Id="rId2286" Type="http://schemas.openxmlformats.org/officeDocument/2006/relationships/hyperlink" Target="https://utrucking.com/admin/orders/6445855342780" TargetMode="External"/><Relationship Id="rId367" Type="http://schemas.openxmlformats.org/officeDocument/2006/relationships/hyperlink" Target="https://utrucking.com/admin/orders/5913861816508" TargetMode="External"/><Relationship Id="rId2287" Type="http://schemas.openxmlformats.org/officeDocument/2006/relationships/hyperlink" Target="https://utrucking.com/admin/orders/6445855768764" TargetMode="External"/><Relationship Id="rId366" Type="http://schemas.openxmlformats.org/officeDocument/2006/relationships/hyperlink" Target="https://utrucking.com/admin/orders/5913857589436" TargetMode="External"/><Relationship Id="rId2288" Type="http://schemas.openxmlformats.org/officeDocument/2006/relationships/hyperlink" Target="https://utrucking.com/admin/orders/6445860487356" TargetMode="External"/><Relationship Id="rId365" Type="http://schemas.openxmlformats.org/officeDocument/2006/relationships/hyperlink" Target="https://utrucking.com/admin/orders/5913856016572" TargetMode="External"/><Relationship Id="rId2289" Type="http://schemas.openxmlformats.org/officeDocument/2006/relationships/hyperlink" Target="https://utrucking.com/admin/orders/6445863108796" TargetMode="External"/><Relationship Id="rId364" Type="http://schemas.openxmlformats.org/officeDocument/2006/relationships/hyperlink" Target="https://utrucking.com/admin/orders/5913853329596" TargetMode="External"/><Relationship Id="rId95" Type="http://schemas.openxmlformats.org/officeDocument/2006/relationships/hyperlink" Target="https://utrucking.com/admin/orders/5902522712252" TargetMode="External"/><Relationship Id="rId94" Type="http://schemas.openxmlformats.org/officeDocument/2006/relationships/hyperlink" Target="https://utrucking.com/admin/orders/5902510555324" TargetMode="External"/><Relationship Id="rId97" Type="http://schemas.openxmlformats.org/officeDocument/2006/relationships/hyperlink" Target="https://utrucking.com/admin/orders/5902691008700" TargetMode="External"/><Relationship Id="rId96" Type="http://schemas.openxmlformats.org/officeDocument/2006/relationships/hyperlink" Target="https://utrucking.com/admin/orders/5902640742588" TargetMode="External"/><Relationship Id="rId99" Type="http://schemas.openxmlformats.org/officeDocument/2006/relationships/hyperlink" Target="https://utrucking.com/admin/orders/5902760837308" TargetMode="External"/><Relationship Id="rId98" Type="http://schemas.openxmlformats.org/officeDocument/2006/relationships/hyperlink" Target="https://utrucking.com/admin/orders/5902695235772" TargetMode="External"/><Relationship Id="rId91" Type="http://schemas.openxmlformats.org/officeDocument/2006/relationships/hyperlink" Target="https://utrucking.com/admin/orders/5902278230204" TargetMode="External"/><Relationship Id="rId90" Type="http://schemas.openxmlformats.org/officeDocument/2006/relationships/hyperlink" Target="https://utrucking.com/admin/orders/5902266269884" TargetMode="External"/><Relationship Id="rId93" Type="http://schemas.openxmlformats.org/officeDocument/2006/relationships/hyperlink" Target="https://utrucking.com/admin/orders/5902403600572" TargetMode="External"/><Relationship Id="rId92" Type="http://schemas.openxmlformats.org/officeDocument/2006/relationships/hyperlink" Target="https://utrucking.com/admin/orders/5902278230204" TargetMode="External"/><Relationship Id="rId359" Type="http://schemas.openxmlformats.org/officeDocument/2006/relationships/hyperlink" Target="https://utrucking.com/admin/orders/5913811288252" TargetMode="External"/><Relationship Id="rId358" Type="http://schemas.openxmlformats.org/officeDocument/2006/relationships/hyperlink" Target="https://utrucking.com/admin/orders/5913809060028" TargetMode="External"/><Relationship Id="rId357" Type="http://schemas.openxmlformats.org/officeDocument/2006/relationships/hyperlink" Target="https://utrucking.com/admin/orders/5913805488316" TargetMode="External"/><Relationship Id="rId2270" Type="http://schemas.openxmlformats.org/officeDocument/2006/relationships/hyperlink" Target="https://utrucking.com/admin/orders/6445197459644" TargetMode="External"/><Relationship Id="rId2271" Type="http://schemas.openxmlformats.org/officeDocument/2006/relationships/hyperlink" Target="https://utrucking.com/admin/orders/6445338919100" TargetMode="External"/><Relationship Id="rId352" Type="http://schemas.openxmlformats.org/officeDocument/2006/relationships/hyperlink" Target="https://utrucking.com/admin/orders/5913769410748" TargetMode="External"/><Relationship Id="rId2272" Type="http://schemas.openxmlformats.org/officeDocument/2006/relationships/hyperlink" Target="https://utrucking.com/admin/orders/6445352222908" TargetMode="External"/><Relationship Id="rId351" Type="http://schemas.openxmlformats.org/officeDocument/2006/relationships/hyperlink" Target="https://utrucking.com/admin/orders/5913759187132" TargetMode="External"/><Relationship Id="rId2273" Type="http://schemas.openxmlformats.org/officeDocument/2006/relationships/hyperlink" Target="https://utrucking.com/admin/orders/6445425131708" TargetMode="External"/><Relationship Id="rId350" Type="http://schemas.openxmlformats.org/officeDocument/2006/relationships/hyperlink" Target="https://utrucking.com/admin/orders/5913744801980" TargetMode="External"/><Relationship Id="rId2274" Type="http://schemas.openxmlformats.org/officeDocument/2006/relationships/hyperlink" Target="https://utrucking.com/admin/orders/6445473464508" TargetMode="External"/><Relationship Id="rId2275" Type="http://schemas.openxmlformats.org/officeDocument/2006/relationships/hyperlink" Target="https://utrucking.com/admin/orders/6445803700412" TargetMode="External"/><Relationship Id="rId356" Type="http://schemas.openxmlformats.org/officeDocument/2006/relationships/hyperlink" Target="https://utrucking.com/admin/orders/5913804701884" TargetMode="External"/><Relationship Id="rId2276" Type="http://schemas.openxmlformats.org/officeDocument/2006/relationships/hyperlink" Target="https://utrucking.com/admin/orders/6445814481084" TargetMode="External"/><Relationship Id="rId355" Type="http://schemas.openxmlformats.org/officeDocument/2006/relationships/hyperlink" Target="https://utrucking.com/admin/orders/5913802866876" TargetMode="External"/><Relationship Id="rId2277" Type="http://schemas.openxmlformats.org/officeDocument/2006/relationships/hyperlink" Target="https://utrucking.com/admin/orders/6445826638012" TargetMode="External"/><Relationship Id="rId354" Type="http://schemas.openxmlformats.org/officeDocument/2006/relationships/hyperlink" Target="https://utrucking.com/admin/orders/5913784549564" TargetMode="External"/><Relationship Id="rId2278" Type="http://schemas.openxmlformats.org/officeDocument/2006/relationships/hyperlink" Target="https://utrucking.com/admin/orders/6445837975740" TargetMode="External"/><Relationship Id="rId353" Type="http://schemas.openxmlformats.org/officeDocument/2006/relationships/hyperlink" Target="https://utrucking.com/admin/orders/5913773834428" TargetMode="External"/><Relationship Id="rId2279" Type="http://schemas.openxmlformats.org/officeDocument/2006/relationships/hyperlink" Target="https://utrucking.com/admin/orders/6445838074044" TargetMode="External"/><Relationship Id="rId1378" Type="http://schemas.openxmlformats.org/officeDocument/2006/relationships/hyperlink" Target="https://utrucking.com/admin/orders/5994182082748" TargetMode="External"/><Relationship Id="rId2225" Type="http://schemas.openxmlformats.org/officeDocument/2006/relationships/hyperlink" Target="https://utrucking.com/admin/orders/6442972348604" TargetMode="External"/><Relationship Id="rId1379" Type="http://schemas.openxmlformats.org/officeDocument/2006/relationships/hyperlink" Target="https://utrucking.com/admin/orders/6004570783932" TargetMode="External"/><Relationship Id="rId2226" Type="http://schemas.openxmlformats.org/officeDocument/2006/relationships/hyperlink" Target="https://utrucking.com/admin/orders/6443137564860" TargetMode="External"/><Relationship Id="rId2227" Type="http://schemas.openxmlformats.org/officeDocument/2006/relationships/hyperlink" Target="https://utrucking.com/admin/orders/6443207590076" TargetMode="External"/><Relationship Id="rId2228" Type="http://schemas.openxmlformats.org/officeDocument/2006/relationships/hyperlink" Target="https://utrucking.com/admin/orders/6443212767420" TargetMode="External"/><Relationship Id="rId2229" Type="http://schemas.openxmlformats.org/officeDocument/2006/relationships/hyperlink" Target="https://utrucking.com/admin/orders/6443226235068" TargetMode="External"/><Relationship Id="rId305" Type="http://schemas.openxmlformats.org/officeDocument/2006/relationships/hyperlink" Target="https://utrucking.com/admin/orders/5913136070844" TargetMode="External"/><Relationship Id="rId789" Type="http://schemas.openxmlformats.org/officeDocument/2006/relationships/hyperlink" Target="https://utrucking.com/admin/orders/5924949393596" TargetMode="External"/><Relationship Id="rId304" Type="http://schemas.openxmlformats.org/officeDocument/2006/relationships/hyperlink" Target="https://utrucking.com/admin/orders/5913106383036" TargetMode="External"/><Relationship Id="rId788" Type="http://schemas.openxmlformats.org/officeDocument/2006/relationships/hyperlink" Target="https://utrucking.com/admin/orders/5924892475580" TargetMode="External"/><Relationship Id="rId303" Type="http://schemas.openxmlformats.org/officeDocument/2006/relationships/hyperlink" Target="https://utrucking.com/admin/orders/5913080987836" TargetMode="External"/><Relationship Id="rId787" Type="http://schemas.openxmlformats.org/officeDocument/2006/relationships/hyperlink" Target="https://utrucking.com/admin/orders/5924876058812" TargetMode="External"/><Relationship Id="rId302" Type="http://schemas.openxmlformats.org/officeDocument/2006/relationships/hyperlink" Target="https://utrucking.com/admin/orders/5913073057980" TargetMode="External"/><Relationship Id="rId786" Type="http://schemas.openxmlformats.org/officeDocument/2006/relationships/hyperlink" Target="https://utrucking.com/admin/orders/5924847550652" TargetMode="External"/><Relationship Id="rId309" Type="http://schemas.openxmlformats.org/officeDocument/2006/relationships/hyperlink" Target="https://utrucking.com/admin/orders/5913185059004" TargetMode="External"/><Relationship Id="rId308" Type="http://schemas.openxmlformats.org/officeDocument/2006/relationships/hyperlink" Target="https://utrucking.com/admin/orders/5913140789436" TargetMode="External"/><Relationship Id="rId307" Type="http://schemas.openxmlformats.org/officeDocument/2006/relationships/hyperlink" Target="https://utrucking.com/admin/orders/5913136890044" TargetMode="External"/><Relationship Id="rId306" Type="http://schemas.openxmlformats.org/officeDocument/2006/relationships/hyperlink" Target="https://utrucking.com/admin/orders/5913136726204" TargetMode="External"/><Relationship Id="rId781" Type="http://schemas.openxmlformats.org/officeDocument/2006/relationships/hyperlink" Target="https://utrucking.com/admin/orders/5924830019772" TargetMode="External"/><Relationship Id="rId1370" Type="http://schemas.openxmlformats.org/officeDocument/2006/relationships/hyperlink" Target="https://utrucking.com/admin/orders/5963881414844" TargetMode="External"/><Relationship Id="rId780" Type="http://schemas.openxmlformats.org/officeDocument/2006/relationships/hyperlink" Target="https://utrucking.com/admin/orders/5924815110332" TargetMode="External"/><Relationship Id="rId1371" Type="http://schemas.openxmlformats.org/officeDocument/2006/relationships/hyperlink" Target="https://utrucking.com/admin/orders/5963923849404" TargetMode="External"/><Relationship Id="rId1372" Type="http://schemas.openxmlformats.org/officeDocument/2006/relationships/hyperlink" Target="https://utrucking.com/admin/orders/5963953832124" TargetMode="External"/><Relationship Id="rId1373" Type="http://schemas.openxmlformats.org/officeDocument/2006/relationships/hyperlink" Target="https://utrucking.com/admin/orders/5965337362620" TargetMode="External"/><Relationship Id="rId2220" Type="http://schemas.openxmlformats.org/officeDocument/2006/relationships/hyperlink" Target="https://utrucking.com/admin/orders/6439383367868" TargetMode="External"/><Relationship Id="rId301" Type="http://schemas.openxmlformats.org/officeDocument/2006/relationships/hyperlink" Target="https://utrucking.com/admin/orders/5913073057980" TargetMode="External"/><Relationship Id="rId785" Type="http://schemas.openxmlformats.org/officeDocument/2006/relationships/hyperlink" Target="https://utrucking.com/admin/orders/5924847517884" TargetMode="External"/><Relationship Id="rId1374" Type="http://schemas.openxmlformats.org/officeDocument/2006/relationships/hyperlink" Target="https://utrucking.com/admin/orders/5971564363964" TargetMode="External"/><Relationship Id="rId2221" Type="http://schemas.openxmlformats.org/officeDocument/2006/relationships/hyperlink" Target="https://utrucking.com/admin/orders/6440849604796" TargetMode="External"/><Relationship Id="rId300" Type="http://schemas.openxmlformats.org/officeDocument/2006/relationships/hyperlink" Target="https://utrucking.com/admin/orders/5913073057980" TargetMode="External"/><Relationship Id="rId784" Type="http://schemas.openxmlformats.org/officeDocument/2006/relationships/hyperlink" Target="https://utrucking.com/admin/orders/5924843126972" TargetMode="External"/><Relationship Id="rId1375" Type="http://schemas.openxmlformats.org/officeDocument/2006/relationships/hyperlink" Target="https://utrucking.com/admin/orders/5971743342780" TargetMode="External"/><Relationship Id="rId2222" Type="http://schemas.openxmlformats.org/officeDocument/2006/relationships/hyperlink" Target="https://utrucking.com/admin/orders/6442028662972" TargetMode="External"/><Relationship Id="rId783" Type="http://schemas.openxmlformats.org/officeDocument/2006/relationships/hyperlink" Target="https://utrucking.com/admin/orders/5924836573372" TargetMode="External"/><Relationship Id="rId1376" Type="http://schemas.openxmlformats.org/officeDocument/2006/relationships/hyperlink" Target="https://utrucking.com/admin/orders/5979480195260" TargetMode="External"/><Relationship Id="rId2223" Type="http://schemas.openxmlformats.org/officeDocument/2006/relationships/hyperlink" Target="https://utrucking.com/admin/orders/6442940825788" TargetMode="External"/><Relationship Id="rId782" Type="http://schemas.openxmlformats.org/officeDocument/2006/relationships/hyperlink" Target="https://utrucking.com/admin/orders/5924833132732" TargetMode="External"/><Relationship Id="rId1377" Type="http://schemas.openxmlformats.org/officeDocument/2006/relationships/hyperlink" Target="https://utrucking.com/admin/orders/5983353372860" TargetMode="External"/><Relationship Id="rId2224" Type="http://schemas.openxmlformats.org/officeDocument/2006/relationships/hyperlink" Target="https://utrucking.com/admin/orders/6442947838140" TargetMode="External"/><Relationship Id="rId1367" Type="http://schemas.openxmlformats.org/officeDocument/2006/relationships/hyperlink" Target="https://utrucking.com/admin/orders/5960894939324" TargetMode="External"/><Relationship Id="rId2214" Type="http://schemas.openxmlformats.org/officeDocument/2006/relationships/hyperlink" Target="https://utrucking.com/admin/orders/6438022119612" TargetMode="External"/><Relationship Id="rId2698" Type="http://schemas.openxmlformats.org/officeDocument/2006/relationships/hyperlink" Target="https://utrucking.com/admin/orders/6455389028540" TargetMode="External"/><Relationship Id="rId1368" Type="http://schemas.openxmlformats.org/officeDocument/2006/relationships/hyperlink" Target="https://utrucking.com/admin/orders/5961025716412" TargetMode="External"/><Relationship Id="rId2215" Type="http://schemas.openxmlformats.org/officeDocument/2006/relationships/hyperlink" Target="https://utrucking.com/admin/orders/6438061342908" TargetMode="External"/><Relationship Id="rId2699" Type="http://schemas.openxmlformats.org/officeDocument/2006/relationships/hyperlink" Target="https://utrucking.com/admin/orders/6455406330044" TargetMode="External"/><Relationship Id="rId1369" Type="http://schemas.openxmlformats.org/officeDocument/2006/relationships/hyperlink" Target="https://utrucking.com/admin/orders/5963718066364" TargetMode="External"/><Relationship Id="rId2216" Type="http://schemas.openxmlformats.org/officeDocument/2006/relationships/hyperlink" Target="https://utrucking.com/admin/orders/6438407307452" TargetMode="External"/><Relationship Id="rId2217" Type="http://schemas.openxmlformats.org/officeDocument/2006/relationships/hyperlink" Target="https://utrucking.com/admin/orders/6438459310268" TargetMode="External"/><Relationship Id="rId2218" Type="http://schemas.openxmlformats.org/officeDocument/2006/relationships/hyperlink" Target="https://utrucking.com/admin/orders/6438912164028" TargetMode="External"/><Relationship Id="rId2219" Type="http://schemas.openxmlformats.org/officeDocument/2006/relationships/hyperlink" Target="https://utrucking.com/admin/orders/6439247970492" TargetMode="External"/><Relationship Id="rId778" Type="http://schemas.openxmlformats.org/officeDocument/2006/relationships/hyperlink" Target="https://admin.shopify.com/store/utrucking/orders/5924774183100?link_source=search" TargetMode="External"/><Relationship Id="rId777" Type="http://schemas.openxmlformats.org/officeDocument/2006/relationships/hyperlink" Target="https://utrucking.com/admin/orders/5924767858876" TargetMode="External"/><Relationship Id="rId776" Type="http://schemas.openxmlformats.org/officeDocument/2006/relationships/hyperlink" Target="https://utrucking.com/admin/orders/5924752031932" TargetMode="External"/><Relationship Id="rId775" Type="http://schemas.openxmlformats.org/officeDocument/2006/relationships/hyperlink" Target="https://utrucking.com/admin/orders/5924695441596" TargetMode="External"/><Relationship Id="rId779" Type="http://schemas.openxmlformats.org/officeDocument/2006/relationships/hyperlink" Target="https://utrucking.com/admin/orders/5924814192828" TargetMode="External"/><Relationship Id="rId770" Type="http://schemas.openxmlformats.org/officeDocument/2006/relationships/hyperlink" Target="https://utrucking.com/admin/orders/5924670570684" TargetMode="External"/><Relationship Id="rId2690" Type="http://schemas.openxmlformats.org/officeDocument/2006/relationships/hyperlink" Target="https://utrucking.com/admin/orders/6455207264444" TargetMode="External"/><Relationship Id="rId1360" Type="http://schemas.openxmlformats.org/officeDocument/2006/relationships/hyperlink" Target="https://utrucking.com/admin/orders/5955695378620" TargetMode="External"/><Relationship Id="rId2691" Type="http://schemas.openxmlformats.org/officeDocument/2006/relationships/hyperlink" Target="https://utrucking.com/admin/orders/6455208149180" TargetMode="External"/><Relationship Id="rId1361" Type="http://schemas.openxmlformats.org/officeDocument/2006/relationships/hyperlink" Target="https://utrucking.com/admin/orders/5955708977340" TargetMode="External"/><Relationship Id="rId2692" Type="http://schemas.openxmlformats.org/officeDocument/2006/relationships/hyperlink" Target="https://utrucking.com/admin/orders/6455226106044" TargetMode="External"/><Relationship Id="rId1362" Type="http://schemas.openxmlformats.org/officeDocument/2006/relationships/hyperlink" Target="https://utrucking.com/admin/orders/5955718545596" TargetMode="External"/><Relationship Id="rId2693" Type="http://schemas.openxmlformats.org/officeDocument/2006/relationships/hyperlink" Target="https://utrucking.com/admin/orders/6455232495804" TargetMode="External"/><Relationship Id="rId774" Type="http://schemas.openxmlformats.org/officeDocument/2006/relationships/hyperlink" Target="https://utrucking.com/admin/orders/5924695048380" TargetMode="External"/><Relationship Id="rId1363" Type="http://schemas.openxmlformats.org/officeDocument/2006/relationships/hyperlink" Target="https://utrucking.com/admin/orders/5955853615292" TargetMode="External"/><Relationship Id="rId2210" Type="http://schemas.openxmlformats.org/officeDocument/2006/relationships/hyperlink" Target="https://utrucking.com/admin/orders/6436191568060" TargetMode="External"/><Relationship Id="rId2694" Type="http://schemas.openxmlformats.org/officeDocument/2006/relationships/hyperlink" Target="https://utrucking.com/admin/orders/6455235248316" TargetMode="External"/><Relationship Id="rId773" Type="http://schemas.openxmlformats.org/officeDocument/2006/relationships/hyperlink" Target="https://utrucking.com/admin/orders/5924685316284" TargetMode="External"/><Relationship Id="rId1364" Type="http://schemas.openxmlformats.org/officeDocument/2006/relationships/hyperlink" Target="https://utrucking.com/admin/orders/5956746772668" TargetMode="External"/><Relationship Id="rId2211" Type="http://schemas.openxmlformats.org/officeDocument/2006/relationships/hyperlink" Target="https://utrucking.com/admin/orders/6436619354300" TargetMode="External"/><Relationship Id="rId2695" Type="http://schemas.openxmlformats.org/officeDocument/2006/relationships/hyperlink" Target="https://utrucking.com/admin/orders/6455270277308" TargetMode="External"/><Relationship Id="rId772" Type="http://schemas.openxmlformats.org/officeDocument/2006/relationships/hyperlink" Target="https://utrucking.com/admin/orders/5924671979708" TargetMode="External"/><Relationship Id="rId1365" Type="http://schemas.openxmlformats.org/officeDocument/2006/relationships/hyperlink" Target="https://utrucking.com/admin/orders/5956828725436" TargetMode="External"/><Relationship Id="rId2212" Type="http://schemas.openxmlformats.org/officeDocument/2006/relationships/hyperlink" Target="https://utrucking.com/admin/orders/6437606424764" TargetMode="External"/><Relationship Id="rId2696" Type="http://schemas.openxmlformats.org/officeDocument/2006/relationships/hyperlink" Target="https://utrucking.com/admin/orders/6455272603836" TargetMode="External"/><Relationship Id="rId771" Type="http://schemas.openxmlformats.org/officeDocument/2006/relationships/hyperlink" Target="https://utrucking.com/admin/orders/5924671979708" TargetMode="External"/><Relationship Id="rId1366" Type="http://schemas.openxmlformats.org/officeDocument/2006/relationships/hyperlink" Target="https://utrucking.com/admin/orders/5956999479484" TargetMode="External"/><Relationship Id="rId2213" Type="http://schemas.openxmlformats.org/officeDocument/2006/relationships/hyperlink" Target="https://utrucking.com/admin/orders/6437694439612" TargetMode="External"/><Relationship Id="rId2697" Type="http://schemas.openxmlformats.org/officeDocument/2006/relationships/hyperlink" Target="https://utrucking.com/admin/orders/6455345381564" TargetMode="External"/><Relationship Id="rId2247" Type="http://schemas.openxmlformats.org/officeDocument/2006/relationships/hyperlink" Target="https://utrucking.com/admin/orders/6444145770684" TargetMode="External"/><Relationship Id="rId2248" Type="http://schemas.openxmlformats.org/officeDocument/2006/relationships/hyperlink" Target="https://utrucking.com/admin/orders/6444179914940" TargetMode="External"/><Relationship Id="rId2249" Type="http://schemas.openxmlformats.org/officeDocument/2006/relationships/hyperlink" Target="https://utrucking.com/admin/orders/6444433408188" TargetMode="External"/><Relationship Id="rId327" Type="http://schemas.openxmlformats.org/officeDocument/2006/relationships/hyperlink" Target="https://utrucking.com/admin/orders/5913504612540" TargetMode="External"/><Relationship Id="rId326" Type="http://schemas.openxmlformats.org/officeDocument/2006/relationships/hyperlink" Target="https://utrucking.com/admin/orders/5913503269052" TargetMode="External"/><Relationship Id="rId325" Type="http://schemas.openxmlformats.org/officeDocument/2006/relationships/hyperlink" Target="https://utrucking.com/admin/orders/5913501892796" TargetMode="External"/><Relationship Id="rId324" Type="http://schemas.openxmlformats.org/officeDocument/2006/relationships/hyperlink" Target="https://utrucking.com/admin/orders/5913500876988" TargetMode="External"/><Relationship Id="rId329" Type="http://schemas.openxmlformats.org/officeDocument/2006/relationships/hyperlink" Target="https://utrucking.com/admin/orders/5913519849660" TargetMode="External"/><Relationship Id="rId1390" Type="http://schemas.openxmlformats.org/officeDocument/2006/relationships/hyperlink" Target="https://utrucking.com/admin/orders/6108968091836" TargetMode="External"/><Relationship Id="rId328" Type="http://schemas.openxmlformats.org/officeDocument/2006/relationships/hyperlink" Target="https://utrucking.com/admin/orders/5913505366204" TargetMode="External"/><Relationship Id="rId1391" Type="http://schemas.openxmlformats.org/officeDocument/2006/relationships/hyperlink" Target="https://utrucking.com/admin/orders/6108968911036" TargetMode="External"/><Relationship Id="rId1392" Type="http://schemas.openxmlformats.org/officeDocument/2006/relationships/hyperlink" Target="https://utrucking.com/admin/orders/6109667492028" TargetMode="External"/><Relationship Id="rId1393" Type="http://schemas.openxmlformats.org/officeDocument/2006/relationships/hyperlink" Target="https://utrucking.com/admin/orders/6111546212540" TargetMode="External"/><Relationship Id="rId2240" Type="http://schemas.openxmlformats.org/officeDocument/2006/relationships/hyperlink" Target="https://utrucking.com/admin/orders/6443889033404" TargetMode="External"/><Relationship Id="rId1394" Type="http://schemas.openxmlformats.org/officeDocument/2006/relationships/hyperlink" Target="https://utrucking.com/admin/orders/6111799607484" TargetMode="External"/><Relationship Id="rId2241" Type="http://schemas.openxmlformats.org/officeDocument/2006/relationships/hyperlink" Target="https://utrucking.com/admin/orders/6443924619452" TargetMode="External"/><Relationship Id="rId1395" Type="http://schemas.openxmlformats.org/officeDocument/2006/relationships/hyperlink" Target="https://utrucking.com/admin/orders/6111854690492" TargetMode="External"/><Relationship Id="rId2242" Type="http://schemas.openxmlformats.org/officeDocument/2006/relationships/hyperlink" Target="https://utrucking.com/admin/orders/6443952308412" TargetMode="External"/><Relationship Id="rId323" Type="http://schemas.openxmlformats.org/officeDocument/2006/relationships/hyperlink" Target="https://utrucking.com/admin/orders/5913490489532" TargetMode="External"/><Relationship Id="rId1396" Type="http://schemas.openxmlformats.org/officeDocument/2006/relationships/hyperlink" Target="https://utrucking.com/admin/orders/6117020795068" TargetMode="External"/><Relationship Id="rId2243" Type="http://schemas.openxmlformats.org/officeDocument/2006/relationships/hyperlink" Target="https://utrucking.com/admin/orders/6444060049596" TargetMode="External"/><Relationship Id="rId322" Type="http://schemas.openxmlformats.org/officeDocument/2006/relationships/hyperlink" Target="https://utrucking.com/admin/orders/5913481904316" TargetMode="External"/><Relationship Id="rId1397" Type="http://schemas.openxmlformats.org/officeDocument/2006/relationships/hyperlink" Target="https://utrucking.com/admin/orders/6135959552188" TargetMode="External"/><Relationship Id="rId2244" Type="http://schemas.openxmlformats.org/officeDocument/2006/relationships/hyperlink" Target="https://utrucking.com/admin/orders/6444082790588" TargetMode="External"/><Relationship Id="rId321" Type="http://schemas.openxmlformats.org/officeDocument/2006/relationships/hyperlink" Target="https://utrucking.com/admin/orders/5913480036540" TargetMode="External"/><Relationship Id="rId1398" Type="http://schemas.openxmlformats.org/officeDocument/2006/relationships/hyperlink" Target="https://utrucking.com/admin/orders/6137330925756" TargetMode="External"/><Relationship Id="rId2245" Type="http://schemas.openxmlformats.org/officeDocument/2006/relationships/hyperlink" Target="https://utrucking.com/admin/orders/6444089376956" TargetMode="External"/><Relationship Id="rId320" Type="http://schemas.openxmlformats.org/officeDocument/2006/relationships/hyperlink" Target="https://admin.shopify.com/store/utrucking/orders/5913466306748?link_source=search" TargetMode="External"/><Relationship Id="rId1399" Type="http://schemas.openxmlformats.org/officeDocument/2006/relationships/hyperlink" Target="https://utrucking.com/admin/orders/6140451520700" TargetMode="External"/><Relationship Id="rId2246" Type="http://schemas.openxmlformats.org/officeDocument/2006/relationships/hyperlink" Target="https://utrucking.com/admin/orders/6444142985404" TargetMode="External"/><Relationship Id="rId1389" Type="http://schemas.openxmlformats.org/officeDocument/2006/relationships/hyperlink" Target="https://utrucking.com/admin/orders/6108229959868" TargetMode="External"/><Relationship Id="rId2236" Type="http://schemas.openxmlformats.org/officeDocument/2006/relationships/hyperlink" Target="https://utrucking.com/admin/orders/6443617714364" TargetMode="External"/><Relationship Id="rId2237" Type="http://schemas.openxmlformats.org/officeDocument/2006/relationships/hyperlink" Target="https://utrucking.com/admin/orders/6443659493564" TargetMode="External"/><Relationship Id="rId2238" Type="http://schemas.openxmlformats.org/officeDocument/2006/relationships/hyperlink" Target="https://utrucking.com/admin/orders/6443724636348" TargetMode="External"/><Relationship Id="rId2239" Type="http://schemas.openxmlformats.org/officeDocument/2006/relationships/hyperlink" Target="https://utrucking.com/admin/orders/6443859607740" TargetMode="External"/><Relationship Id="rId316" Type="http://schemas.openxmlformats.org/officeDocument/2006/relationships/hyperlink" Target="https://utrucking.com/admin/orders/5913239617724" TargetMode="External"/><Relationship Id="rId315" Type="http://schemas.openxmlformats.org/officeDocument/2006/relationships/hyperlink" Target="https://utrucking.com/admin/orders/5913234997436" TargetMode="External"/><Relationship Id="rId799" Type="http://schemas.openxmlformats.org/officeDocument/2006/relationships/hyperlink" Target="https://utrucking.com/admin/orders/5925124243644" TargetMode="External"/><Relationship Id="rId314" Type="http://schemas.openxmlformats.org/officeDocument/2006/relationships/hyperlink" Target="https://utrucking.com/admin/orders/5913232769212" TargetMode="External"/><Relationship Id="rId798" Type="http://schemas.openxmlformats.org/officeDocument/2006/relationships/hyperlink" Target="https://utrucking.com/admin/orders/5925100847292" TargetMode="External"/><Relationship Id="rId313" Type="http://schemas.openxmlformats.org/officeDocument/2006/relationships/hyperlink" Target="https://utrucking.com/admin/orders/5913213173948" TargetMode="External"/><Relationship Id="rId797" Type="http://schemas.openxmlformats.org/officeDocument/2006/relationships/hyperlink" Target="https://utrucking.com/admin/orders/5925081645244" TargetMode="External"/><Relationship Id="rId319" Type="http://schemas.openxmlformats.org/officeDocument/2006/relationships/hyperlink" Target="https://utrucking.com/admin/orders/5913464275132" TargetMode="External"/><Relationship Id="rId318" Type="http://schemas.openxmlformats.org/officeDocument/2006/relationships/hyperlink" Target="https://utrucking.com/admin/orders/5913445892284" TargetMode="External"/><Relationship Id="rId317" Type="http://schemas.openxmlformats.org/officeDocument/2006/relationships/hyperlink" Target="https://utrucking.com/admin/orders/5913290670268" TargetMode="External"/><Relationship Id="rId1380" Type="http://schemas.openxmlformats.org/officeDocument/2006/relationships/hyperlink" Target="https://utrucking.com/admin/orders/6015786975420" TargetMode="External"/><Relationship Id="rId792" Type="http://schemas.openxmlformats.org/officeDocument/2006/relationships/hyperlink" Target="https://utrucking.com/admin/orders/5925023613116" TargetMode="External"/><Relationship Id="rId1381" Type="http://schemas.openxmlformats.org/officeDocument/2006/relationships/hyperlink" Target="https://utrucking.com/admin/orders/6020527259836" TargetMode="External"/><Relationship Id="rId791" Type="http://schemas.openxmlformats.org/officeDocument/2006/relationships/hyperlink" Target="https://utrucking.com/admin/orders/5924992647356" TargetMode="External"/><Relationship Id="rId1382" Type="http://schemas.openxmlformats.org/officeDocument/2006/relationships/hyperlink" Target="https://utrucking.com/admin/orders/6026654580924" TargetMode="External"/><Relationship Id="rId790" Type="http://schemas.openxmlformats.org/officeDocument/2006/relationships/hyperlink" Target="https://utrucking.com/admin/orders/5924987863228" TargetMode="External"/><Relationship Id="rId1383" Type="http://schemas.openxmlformats.org/officeDocument/2006/relationships/hyperlink" Target="https://utrucking.com/admin/orders/6033940971708" TargetMode="External"/><Relationship Id="rId2230" Type="http://schemas.openxmlformats.org/officeDocument/2006/relationships/hyperlink" Target="https://utrucking.com/admin/orders/6443226267836" TargetMode="External"/><Relationship Id="rId1384" Type="http://schemas.openxmlformats.org/officeDocument/2006/relationships/hyperlink" Target="https://utrucking.com/admin/orders/6060083675324" TargetMode="External"/><Relationship Id="rId2231" Type="http://schemas.openxmlformats.org/officeDocument/2006/relationships/hyperlink" Target="https://utrucking.com/admin/orders/6443229315260" TargetMode="External"/><Relationship Id="rId312" Type="http://schemas.openxmlformats.org/officeDocument/2006/relationships/hyperlink" Target="https://utrucking.com/admin/orders/5913199378620" TargetMode="External"/><Relationship Id="rId796" Type="http://schemas.openxmlformats.org/officeDocument/2006/relationships/hyperlink" Target="https://utrucking.com/admin/orders/5925068570812" TargetMode="External"/><Relationship Id="rId1385" Type="http://schemas.openxmlformats.org/officeDocument/2006/relationships/hyperlink" Target="https://utrucking.com/admin/orders/6064957882556" TargetMode="External"/><Relationship Id="rId2232" Type="http://schemas.openxmlformats.org/officeDocument/2006/relationships/hyperlink" Target="https://utrucking.com/admin/orders/6443250090172" TargetMode="External"/><Relationship Id="rId311" Type="http://schemas.openxmlformats.org/officeDocument/2006/relationships/hyperlink" Target="https://utrucking.com/admin/orders/5913198919868" TargetMode="External"/><Relationship Id="rId795" Type="http://schemas.openxmlformats.org/officeDocument/2006/relationships/hyperlink" Target="https://utrucking.com/admin/orders/5925054742716" TargetMode="External"/><Relationship Id="rId1386" Type="http://schemas.openxmlformats.org/officeDocument/2006/relationships/hyperlink" Target="https://utrucking.com/admin/orders/6068272136380" TargetMode="External"/><Relationship Id="rId2233" Type="http://schemas.openxmlformats.org/officeDocument/2006/relationships/hyperlink" Target="https://utrucking.com/admin/orders/6443363205308" TargetMode="External"/><Relationship Id="rId310" Type="http://schemas.openxmlformats.org/officeDocument/2006/relationships/hyperlink" Target="https://utrucking.com/admin/orders/5913196331196" TargetMode="External"/><Relationship Id="rId794" Type="http://schemas.openxmlformats.org/officeDocument/2006/relationships/hyperlink" Target="https://utrucking.com/admin/orders/5925051433148" TargetMode="External"/><Relationship Id="rId1387" Type="http://schemas.openxmlformats.org/officeDocument/2006/relationships/hyperlink" Target="https://utrucking.com/admin/orders/6105079611580" TargetMode="External"/><Relationship Id="rId2234" Type="http://schemas.openxmlformats.org/officeDocument/2006/relationships/hyperlink" Target="https://utrucking.com/admin/orders/6443417796796" TargetMode="External"/><Relationship Id="rId793" Type="http://schemas.openxmlformats.org/officeDocument/2006/relationships/hyperlink" Target="https://utrucking.com/admin/orders/5925047107772" TargetMode="External"/><Relationship Id="rId1388" Type="http://schemas.openxmlformats.org/officeDocument/2006/relationships/hyperlink" Target="https://utrucking.com/admin/orders/6107310948540" TargetMode="External"/><Relationship Id="rId2235" Type="http://schemas.openxmlformats.org/officeDocument/2006/relationships/hyperlink" Target="https://utrucking.com/admin/orders/6443545952444" TargetMode="External"/><Relationship Id="rId297" Type="http://schemas.openxmlformats.org/officeDocument/2006/relationships/hyperlink" Target="https://utrucking.com/admin/orders/5913073057980" TargetMode="External"/><Relationship Id="rId296" Type="http://schemas.openxmlformats.org/officeDocument/2006/relationships/hyperlink" Target="https://utrucking.com/admin/orders/5913073057980" TargetMode="External"/><Relationship Id="rId295" Type="http://schemas.openxmlformats.org/officeDocument/2006/relationships/hyperlink" Target="https://utrucking.com/admin/orders/5913073057980" TargetMode="External"/><Relationship Id="rId294" Type="http://schemas.openxmlformats.org/officeDocument/2006/relationships/hyperlink" Target="https://utrucking.com/admin/orders/5913073057980" TargetMode="External"/><Relationship Id="rId299" Type="http://schemas.openxmlformats.org/officeDocument/2006/relationships/hyperlink" Target="https://utrucking.com/admin/orders/5913073057980" TargetMode="External"/><Relationship Id="rId298" Type="http://schemas.openxmlformats.org/officeDocument/2006/relationships/hyperlink" Target="https://utrucking.com/admin/orders/5913073057980" TargetMode="External"/><Relationship Id="rId271" Type="http://schemas.openxmlformats.org/officeDocument/2006/relationships/hyperlink" Target="https://utrucking.com/admin/orders/5912785354940" TargetMode="External"/><Relationship Id="rId270" Type="http://schemas.openxmlformats.org/officeDocument/2006/relationships/hyperlink" Target="https://utrucking.com/admin/orders/5912781684924" TargetMode="External"/><Relationship Id="rId269" Type="http://schemas.openxmlformats.org/officeDocument/2006/relationships/hyperlink" Target="https://utrucking.com/admin/orders/5912781619388" TargetMode="External"/><Relationship Id="rId264" Type="http://schemas.openxmlformats.org/officeDocument/2006/relationships/hyperlink" Target="https://utrucking.com/admin/orders/5912701665468" TargetMode="External"/><Relationship Id="rId263" Type="http://schemas.openxmlformats.org/officeDocument/2006/relationships/hyperlink" Target="https://utrucking.com/admin/orders/5912697471164" TargetMode="External"/><Relationship Id="rId262" Type="http://schemas.openxmlformats.org/officeDocument/2006/relationships/hyperlink" Target="https://utrucking.com/admin/orders/5912693866684" TargetMode="External"/><Relationship Id="rId261" Type="http://schemas.openxmlformats.org/officeDocument/2006/relationships/hyperlink" Target="https://utrucking.com/admin/orders/5912683774140" TargetMode="External"/><Relationship Id="rId268" Type="http://schemas.openxmlformats.org/officeDocument/2006/relationships/hyperlink" Target="https://utrucking.com/admin/orders/5912777785532" TargetMode="External"/><Relationship Id="rId267" Type="http://schemas.openxmlformats.org/officeDocument/2006/relationships/hyperlink" Target="https://utrucking.com/admin/orders/5912769855676" TargetMode="External"/><Relationship Id="rId266" Type="http://schemas.openxmlformats.org/officeDocument/2006/relationships/hyperlink" Target="https://utrucking.com/admin/orders/5912751374524" TargetMode="External"/><Relationship Id="rId265" Type="http://schemas.openxmlformats.org/officeDocument/2006/relationships/hyperlink" Target="https://utrucking.com/admin/orders/5912710250684" TargetMode="External"/><Relationship Id="rId260" Type="http://schemas.openxmlformats.org/officeDocument/2006/relationships/hyperlink" Target="https://utrucking.com/admin/orders/5912662212796" TargetMode="External"/><Relationship Id="rId259" Type="http://schemas.openxmlformats.org/officeDocument/2006/relationships/hyperlink" Target="https://utrucking.com/admin/orders/5912660672700" TargetMode="External"/><Relationship Id="rId258" Type="http://schemas.openxmlformats.org/officeDocument/2006/relationships/hyperlink" Target="https://utrucking.com/admin/orders/5912642551996" TargetMode="External"/><Relationship Id="rId2290" Type="http://schemas.openxmlformats.org/officeDocument/2006/relationships/hyperlink" Target="https://utrucking.com/admin/orders/6445865631932" TargetMode="External"/><Relationship Id="rId2291" Type="http://schemas.openxmlformats.org/officeDocument/2006/relationships/hyperlink" Target="https://utrucking.com/admin/orders/6445866975420" TargetMode="External"/><Relationship Id="rId2292" Type="http://schemas.openxmlformats.org/officeDocument/2006/relationships/hyperlink" Target="https://utrucking.com/admin/orders/6445872709820" TargetMode="External"/><Relationship Id="rId2293" Type="http://schemas.openxmlformats.org/officeDocument/2006/relationships/hyperlink" Target="https://utrucking.com/admin/orders/6445873823932" TargetMode="External"/><Relationship Id="rId253" Type="http://schemas.openxmlformats.org/officeDocument/2006/relationships/hyperlink" Target="https://utrucking.com/admin/orders/5912574361788" TargetMode="External"/><Relationship Id="rId2294" Type="http://schemas.openxmlformats.org/officeDocument/2006/relationships/hyperlink" Target="https://utrucking.com/admin/orders/6445876904124" TargetMode="External"/><Relationship Id="rId252" Type="http://schemas.openxmlformats.org/officeDocument/2006/relationships/hyperlink" Target="https://utrucking.com/admin/orders/5912530682044" TargetMode="External"/><Relationship Id="rId2295" Type="http://schemas.openxmlformats.org/officeDocument/2006/relationships/hyperlink" Target="https://utrucking.com/admin/orders/6445877264572" TargetMode="External"/><Relationship Id="rId251" Type="http://schemas.openxmlformats.org/officeDocument/2006/relationships/hyperlink" Target="https://utrucking.com/admin/orders/5912420647100" TargetMode="External"/><Relationship Id="rId2296" Type="http://schemas.openxmlformats.org/officeDocument/2006/relationships/hyperlink" Target="https://utrucking.com/admin/orders/6445879034044" TargetMode="External"/><Relationship Id="rId250" Type="http://schemas.openxmlformats.org/officeDocument/2006/relationships/hyperlink" Target="https://utrucking.com/admin/orders/5912404099260" TargetMode="External"/><Relationship Id="rId2297" Type="http://schemas.openxmlformats.org/officeDocument/2006/relationships/hyperlink" Target="https://utrucking.com/admin/orders/6445885948092" TargetMode="External"/><Relationship Id="rId257" Type="http://schemas.openxmlformats.org/officeDocument/2006/relationships/hyperlink" Target="https://utrucking.com/admin/orders/5912619909308" TargetMode="External"/><Relationship Id="rId2298" Type="http://schemas.openxmlformats.org/officeDocument/2006/relationships/hyperlink" Target="https://utrucking.com/admin/orders/6445888438460" TargetMode="External"/><Relationship Id="rId256" Type="http://schemas.openxmlformats.org/officeDocument/2006/relationships/hyperlink" Target="https://utrucking.com/admin/orders/5912616108220" TargetMode="External"/><Relationship Id="rId2299" Type="http://schemas.openxmlformats.org/officeDocument/2006/relationships/hyperlink" Target="https://utrucking.com/admin/orders/6445890928828" TargetMode="External"/><Relationship Id="rId255" Type="http://schemas.openxmlformats.org/officeDocument/2006/relationships/hyperlink" Target="https://utrucking.com/admin/orders/5912600936636" TargetMode="External"/><Relationship Id="rId254" Type="http://schemas.openxmlformats.org/officeDocument/2006/relationships/hyperlink" Target="https://utrucking.com/admin/orders/5912574951612" TargetMode="External"/><Relationship Id="rId293" Type="http://schemas.openxmlformats.org/officeDocument/2006/relationships/hyperlink" Target="https://utrucking.com/admin/orders/5913070108860" TargetMode="External"/><Relationship Id="rId292" Type="http://schemas.openxmlformats.org/officeDocument/2006/relationships/hyperlink" Target="https://utrucking.com/admin/orders/5913061425340" TargetMode="External"/><Relationship Id="rId291" Type="http://schemas.openxmlformats.org/officeDocument/2006/relationships/hyperlink" Target="https://utrucking.com/admin/orders/5913061261500" TargetMode="External"/><Relationship Id="rId290" Type="http://schemas.openxmlformats.org/officeDocument/2006/relationships/hyperlink" Target="https://utrucking.com/admin/orders/5913060278460" TargetMode="External"/><Relationship Id="rId286" Type="http://schemas.openxmlformats.org/officeDocument/2006/relationships/hyperlink" Target="https://utrucking.com/admin/orders/5913003589820" TargetMode="External"/><Relationship Id="rId285" Type="http://schemas.openxmlformats.org/officeDocument/2006/relationships/hyperlink" Target="https://utrucking.com/admin/orders/5912971149500" TargetMode="External"/><Relationship Id="rId284" Type="http://schemas.openxmlformats.org/officeDocument/2006/relationships/hyperlink" Target="https://utrucking.com/admin/orders/5912928977084" TargetMode="External"/><Relationship Id="rId283" Type="http://schemas.openxmlformats.org/officeDocument/2006/relationships/hyperlink" Target="https://utrucking.com/admin/orders/5912915706044" TargetMode="External"/><Relationship Id="rId289" Type="http://schemas.openxmlformats.org/officeDocument/2006/relationships/hyperlink" Target="https://utrucking.com/admin/orders/5913049956540" TargetMode="External"/><Relationship Id="rId288" Type="http://schemas.openxmlformats.org/officeDocument/2006/relationships/hyperlink" Target="https://utrucking.com/admin/orders/5913046876348" TargetMode="External"/><Relationship Id="rId287" Type="http://schemas.openxmlformats.org/officeDocument/2006/relationships/hyperlink" Target="https://utrucking.com/admin/orders/5913034653884" TargetMode="External"/><Relationship Id="rId282" Type="http://schemas.openxmlformats.org/officeDocument/2006/relationships/hyperlink" Target="https://utrucking.com/admin/orders/5912909938876" TargetMode="External"/><Relationship Id="rId281" Type="http://schemas.openxmlformats.org/officeDocument/2006/relationships/hyperlink" Target="https://utrucking.com/admin/orders/5912909283516" TargetMode="External"/><Relationship Id="rId280" Type="http://schemas.openxmlformats.org/officeDocument/2006/relationships/hyperlink" Target="https://utrucking.com/admin/orders/5912878842044" TargetMode="External"/><Relationship Id="rId275" Type="http://schemas.openxmlformats.org/officeDocument/2006/relationships/hyperlink" Target="https://utrucking.com/admin/orders/5912857051324" TargetMode="External"/><Relationship Id="rId274" Type="http://schemas.openxmlformats.org/officeDocument/2006/relationships/hyperlink" Target="https://utrucking.com/admin/orders/5912846434492" TargetMode="External"/><Relationship Id="rId273" Type="http://schemas.openxmlformats.org/officeDocument/2006/relationships/hyperlink" Target="https://utrucking.com/admin/orders/5912840241340" TargetMode="External"/><Relationship Id="rId272" Type="http://schemas.openxmlformats.org/officeDocument/2006/relationships/hyperlink" Target="https://utrucking.com/admin/orders/5912840241340" TargetMode="External"/><Relationship Id="rId279" Type="http://schemas.openxmlformats.org/officeDocument/2006/relationships/hyperlink" Target="https://utrucking.com/admin/orders/5912872681660" TargetMode="External"/><Relationship Id="rId278" Type="http://schemas.openxmlformats.org/officeDocument/2006/relationships/hyperlink" Target="https://utrucking.com/admin/orders/5912870813884" TargetMode="External"/><Relationship Id="rId277" Type="http://schemas.openxmlformats.org/officeDocument/2006/relationships/hyperlink" Target="https://utrucking.com/admin/orders/5912857182396" TargetMode="External"/><Relationship Id="rId276" Type="http://schemas.openxmlformats.org/officeDocument/2006/relationships/hyperlink" Target="https://utrucking.com/admin/orders/5912857051324" TargetMode="External"/><Relationship Id="rId1851" Type="http://schemas.openxmlformats.org/officeDocument/2006/relationships/hyperlink" Target="https://utrucking.com/admin/orders/6409328459964" TargetMode="External"/><Relationship Id="rId1852" Type="http://schemas.openxmlformats.org/officeDocument/2006/relationships/hyperlink" Target="https://utrucking.com/admin/orders/6409466970300" TargetMode="External"/><Relationship Id="rId1853" Type="http://schemas.openxmlformats.org/officeDocument/2006/relationships/hyperlink" Target="https://utrucking.com/admin/orders/6409466970300" TargetMode="External"/><Relationship Id="rId2700" Type="http://schemas.openxmlformats.org/officeDocument/2006/relationships/hyperlink" Target="https://utrucking.com/admin/orders/6455492870332" TargetMode="External"/><Relationship Id="rId1854" Type="http://schemas.openxmlformats.org/officeDocument/2006/relationships/hyperlink" Target="https://utrucking.com/admin/orders/6410098770108" TargetMode="External"/><Relationship Id="rId2701" Type="http://schemas.openxmlformats.org/officeDocument/2006/relationships/hyperlink" Target="https://utrucking.com/admin/orders/6455507091644" TargetMode="External"/><Relationship Id="rId1855" Type="http://schemas.openxmlformats.org/officeDocument/2006/relationships/hyperlink" Target="https://utrucking.com/admin/orders/6410101489852" TargetMode="External"/><Relationship Id="rId2702" Type="http://schemas.openxmlformats.org/officeDocument/2006/relationships/hyperlink" Target="https://utrucking.com/admin/orders/6455511515324" TargetMode="External"/><Relationship Id="rId1856" Type="http://schemas.openxmlformats.org/officeDocument/2006/relationships/hyperlink" Target="https://utrucking.com/admin/orders/6410102079676" TargetMode="External"/><Relationship Id="rId2703" Type="http://schemas.openxmlformats.org/officeDocument/2006/relationships/hyperlink" Target="https://utrucking.com/admin/orders/6455539400892" TargetMode="External"/><Relationship Id="rId1857" Type="http://schemas.openxmlformats.org/officeDocument/2006/relationships/hyperlink" Target="https://utrucking.com/admin/orders/6410104340668" TargetMode="External"/><Relationship Id="rId2704" Type="http://schemas.openxmlformats.org/officeDocument/2006/relationships/hyperlink" Target="https://utrucking.com/admin/orders/6455608967356" TargetMode="External"/><Relationship Id="rId1858" Type="http://schemas.openxmlformats.org/officeDocument/2006/relationships/hyperlink" Target="https://utrucking.com/admin/orders/6410116595900" TargetMode="External"/><Relationship Id="rId2705" Type="http://schemas.openxmlformats.org/officeDocument/2006/relationships/hyperlink" Target="https://utrucking.com/admin/orders/6455630495932" TargetMode="External"/><Relationship Id="rId1859" Type="http://schemas.openxmlformats.org/officeDocument/2006/relationships/hyperlink" Target="https://utrucking.com/admin/orders/6410116595900" TargetMode="External"/><Relationship Id="rId2706" Type="http://schemas.openxmlformats.org/officeDocument/2006/relationships/hyperlink" Target="https://utrucking.com/admin/orders/6455631446204" TargetMode="External"/><Relationship Id="rId2707" Type="http://schemas.openxmlformats.org/officeDocument/2006/relationships/hyperlink" Target="https://utrucking.com/admin/orders/6455639933116" TargetMode="External"/><Relationship Id="rId2708" Type="http://schemas.openxmlformats.org/officeDocument/2006/relationships/hyperlink" Target="https://utrucking.com/admin/orders/6455760158908" TargetMode="External"/><Relationship Id="rId2709" Type="http://schemas.openxmlformats.org/officeDocument/2006/relationships/hyperlink" Target="https://utrucking.com/admin/orders/6455780442300" TargetMode="External"/><Relationship Id="rId1850" Type="http://schemas.openxmlformats.org/officeDocument/2006/relationships/hyperlink" Target="https://utrucking.com/admin/orders/6409309257916" TargetMode="External"/><Relationship Id="rId1840" Type="http://schemas.openxmlformats.org/officeDocument/2006/relationships/hyperlink" Target="https://utrucking.com/admin/orders/6408743190716" TargetMode="External"/><Relationship Id="rId1841" Type="http://schemas.openxmlformats.org/officeDocument/2006/relationships/hyperlink" Target="https://utrucking.com/admin/orders/6408869576892" TargetMode="External"/><Relationship Id="rId1842" Type="http://schemas.openxmlformats.org/officeDocument/2006/relationships/hyperlink" Target="https://utrucking.com/admin/orders/6408869576892" TargetMode="External"/><Relationship Id="rId1843" Type="http://schemas.openxmlformats.org/officeDocument/2006/relationships/hyperlink" Target="https://utrucking.com/admin/orders/6408914960572" TargetMode="External"/><Relationship Id="rId1844" Type="http://schemas.openxmlformats.org/officeDocument/2006/relationships/hyperlink" Target="https://utrucking.com/admin/orders/6408996290748" TargetMode="External"/><Relationship Id="rId1845" Type="http://schemas.openxmlformats.org/officeDocument/2006/relationships/hyperlink" Target="https://utrucking.com/admin/orders/6409035907260" TargetMode="External"/><Relationship Id="rId1846" Type="http://schemas.openxmlformats.org/officeDocument/2006/relationships/hyperlink" Target="https://utrucking.com/admin/orders/6409136177340" TargetMode="External"/><Relationship Id="rId1847" Type="http://schemas.openxmlformats.org/officeDocument/2006/relationships/hyperlink" Target="https://utrucking.com/admin/orders/6409248866492" TargetMode="External"/><Relationship Id="rId1848" Type="http://schemas.openxmlformats.org/officeDocument/2006/relationships/hyperlink" Target="https://utrucking.com/admin/orders/6409279865020" TargetMode="External"/><Relationship Id="rId1849" Type="http://schemas.openxmlformats.org/officeDocument/2006/relationships/hyperlink" Target="https://utrucking.com/admin/orders/6409294479548" TargetMode="External"/><Relationship Id="rId1873" Type="http://schemas.openxmlformats.org/officeDocument/2006/relationships/hyperlink" Target="https://utrucking.com/admin/orders/6411520049340" TargetMode="External"/><Relationship Id="rId2720" Type="http://schemas.openxmlformats.org/officeDocument/2006/relationships/hyperlink" Target="https://utrucking.com/admin/orders/6456156258492" TargetMode="External"/><Relationship Id="rId1874" Type="http://schemas.openxmlformats.org/officeDocument/2006/relationships/hyperlink" Target="https://utrucking.com/admin/orders/6411592794300" TargetMode="External"/><Relationship Id="rId2721" Type="http://schemas.openxmlformats.org/officeDocument/2006/relationships/hyperlink" Target="https://utrucking.com/admin/orders/6456161829052" TargetMode="External"/><Relationship Id="rId1875" Type="http://schemas.openxmlformats.org/officeDocument/2006/relationships/hyperlink" Target="https://utrucking.com/admin/orders/6411649876156" TargetMode="External"/><Relationship Id="rId2722" Type="http://schemas.openxmlformats.org/officeDocument/2006/relationships/hyperlink" Target="https://utrucking.com/admin/orders/6456215011516" TargetMode="External"/><Relationship Id="rId1876" Type="http://schemas.openxmlformats.org/officeDocument/2006/relationships/hyperlink" Target="https://utrucking.com/admin/orders/6411676745916" TargetMode="External"/><Relationship Id="rId2723" Type="http://schemas.openxmlformats.org/officeDocument/2006/relationships/hyperlink" Target="https://utrucking.com/admin/orders/6456239390908" TargetMode="External"/><Relationship Id="rId1877" Type="http://schemas.openxmlformats.org/officeDocument/2006/relationships/hyperlink" Target="https://utrucking.com/admin/orders/6411694801084" TargetMode="External"/><Relationship Id="rId2724" Type="http://schemas.openxmlformats.org/officeDocument/2006/relationships/hyperlink" Target="https://utrucking.com/admin/orders/6456245059772" TargetMode="External"/><Relationship Id="rId1878" Type="http://schemas.openxmlformats.org/officeDocument/2006/relationships/hyperlink" Target="https://utrucking.com/admin/orders/6413603406012" TargetMode="External"/><Relationship Id="rId2725" Type="http://schemas.openxmlformats.org/officeDocument/2006/relationships/hyperlink" Target="https://utrucking.com/admin/orders/6456277205180" TargetMode="External"/><Relationship Id="rId1879" Type="http://schemas.openxmlformats.org/officeDocument/2006/relationships/hyperlink" Target="https://utrucking.com/admin/orders/6413747519676" TargetMode="External"/><Relationship Id="rId2726" Type="http://schemas.openxmlformats.org/officeDocument/2006/relationships/hyperlink" Target="https://utrucking.com/admin/orders/6456323178684" TargetMode="External"/><Relationship Id="rId2727" Type="http://schemas.openxmlformats.org/officeDocument/2006/relationships/hyperlink" Target="https://utrucking.com/admin/orders/6456346181820" TargetMode="External"/><Relationship Id="rId2728" Type="http://schemas.openxmlformats.org/officeDocument/2006/relationships/hyperlink" Target="https://utrucking.com/admin/orders/6456358305980" TargetMode="External"/><Relationship Id="rId2729" Type="http://schemas.openxmlformats.org/officeDocument/2006/relationships/hyperlink" Target="https://utrucking.com/admin/orders/6456432033980" TargetMode="External"/><Relationship Id="rId1870" Type="http://schemas.openxmlformats.org/officeDocument/2006/relationships/hyperlink" Target="https://utrucking.com/admin/orders/6411271110844" TargetMode="External"/><Relationship Id="rId1871" Type="http://schemas.openxmlformats.org/officeDocument/2006/relationships/hyperlink" Target="https://utrucking.com/admin/orders/6411327832252" TargetMode="External"/><Relationship Id="rId1872" Type="http://schemas.openxmlformats.org/officeDocument/2006/relationships/hyperlink" Target="https://utrucking.com/admin/orders/6411363221692" TargetMode="External"/><Relationship Id="rId1862" Type="http://schemas.openxmlformats.org/officeDocument/2006/relationships/hyperlink" Target="https://utrucking.com/admin/orders/6410499129532" TargetMode="External"/><Relationship Id="rId1863" Type="http://schemas.openxmlformats.org/officeDocument/2006/relationships/hyperlink" Target="https://utrucking.com/admin/orders/6410507583676" TargetMode="External"/><Relationship Id="rId2710" Type="http://schemas.openxmlformats.org/officeDocument/2006/relationships/hyperlink" Target="https://utrucking.com/admin/orders/6455825596604" TargetMode="External"/><Relationship Id="rId1864" Type="http://schemas.openxmlformats.org/officeDocument/2006/relationships/hyperlink" Target="https://utrucking.com/admin/orders/6410546839740" TargetMode="External"/><Relationship Id="rId2711" Type="http://schemas.openxmlformats.org/officeDocument/2006/relationships/hyperlink" Target="https://utrucking.com/admin/orders/6455838671036" TargetMode="External"/><Relationship Id="rId1865" Type="http://schemas.openxmlformats.org/officeDocument/2006/relationships/hyperlink" Target="https://utrucking.com/admin/orders/6410917314748" TargetMode="External"/><Relationship Id="rId2712" Type="http://schemas.openxmlformats.org/officeDocument/2006/relationships/hyperlink" Target="https://utrucking.com/admin/orders/6455865999548" TargetMode="External"/><Relationship Id="rId1866" Type="http://schemas.openxmlformats.org/officeDocument/2006/relationships/hyperlink" Target="https://utrucking.com/admin/orders/6410927112380" TargetMode="External"/><Relationship Id="rId2713" Type="http://schemas.openxmlformats.org/officeDocument/2006/relationships/hyperlink" Target="https://utrucking.com/admin/orders/6456004772028" TargetMode="External"/><Relationship Id="rId1867" Type="http://schemas.openxmlformats.org/officeDocument/2006/relationships/hyperlink" Target="https://utrucking.com/admin/orders/6410981540028" TargetMode="External"/><Relationship Id="rId2714" Type="http://schemas.openxmlformats.org/officeDocument/2006/relationships/hyperlink" Target="https://utrucking.com/admin/orders/6456013848764" TargetMode="External"/><Relationship Id="rId1868" Type="http://schemas.openxmlformats.org/officeDocument/2006/relationships/hyperlink" Target="https://utrucking.com/admin/orders/6411010375868" TargetMode="External"/><Relationship Id="rId2715" Type="http://schemas.openxmlformats.org/officeDocument/2006/relationships/hyperlink" Target="https://utrucking.com/admin/orders/6456025743548" TargetMode="External"/><Relationship Id="rId1869" Type="http://schemas.openxmlformats.org/officeDocument/2006/relationships/hyperlink" Target="https://utrucking.com/admin/orders/6411086069948" TargetMode="External"/><Relationship Id="rId2716" Type="http://schemas.openxmlformats.org/officeDocument/2006/relationships/hyperlink" Target="https://utrucking.com/admin/orders/6456031740092" TargetMode="External"/><Relationship Id="rId2717" Type="http://schemas.openxmlformats.org/officeDocument/2006/relationships/hyperlink" Target="https://utrucking.com/admin/orders/6456044880060" TargetMode="External"/><Relationship Id="rId2718" Type="http://schemas.openxmlformats.org/officeDocument/2006/relationships/hyperlink" Target="https://utrucking.com/admin/orders/6456113627324" TargetMode="External"/><Relationship Id="rId2719" Type="http://schemas.openxmlformats.org/officeDocument/2006/relationships/hyperlink" Target="https://utrucking.com/admin/orders/6456148033724" TargetMode="External"/><Relationship Id="rId1860" Type="http://schemas.openxmlformats.org/officeDocument/2006/relationships/hyperlink" Target="https://utrucking.com/admin/orders/6410116595900" TargetMode="External"/><Relationship Id="rId1861" Type="http://schemas.openxmlformats.org/officeDocument/2006/relationships/hyperlink" Target="https://utrucking.com/admin/orders/6410492969148" TargetMode="External"/><Relationship Id="rId1810" Type="http://schemas.openxmlformats.org/officeDocument/2006/relationships/hyperlink" Target="https://utrucking.com/admin/orders/6407268106428" TargetMode="External"/><Relationship Id="rId1811" Type="http://schemas.openxmlformats.org/officeDocument/2006/relationships/hyperlink" Target="https://utrucking.com/admin/orders/6407268335804" TargetMode="External"/><Relationship Id="rId1812" Type="http://schemas.openxmlformats.org/officeDocument/2006/relationships/hyperlink" Target="https://utrucking.com/admin/orders/6407337148604" TargetMode="External"/><Relationship Id="rId1813" Type="http://schemas.openxmlformats.org/officeDocument/2006/relationships/hyperlink" Target="https://utrucking.com/admin/orders/6407339540668" TargetMode="External"/><Relationship Id="rId1814" Type="http://schemas.openxmlformats.org/officeDocument/2006/relationships/hyperlink" Target="https://utrucking.com/admin/orders/6407361233084" TargetMode="External"/><Relationship Id="rId1815" Type="http://schemas.openxmlformats.org/officeDocument/2006/relationships/hyperlink" Target="https://utrucking.com/admin/orders/6407473758396" TargetMode="External"/><Relationship Id="rId1816" Type="http://schemas.openxmlformats.org/officeDocument/2006/relationships/hyperlink" Target="https://utrucking.com/admin/orders/6407566164156" TargetMode="External"/><Relationship Id="rId1817" Type="http://schemas.openxmlformats.org/officeDocument/2006/relationships/hyperlink" Target="https://utrucking.com/admin/orders/6407685603516" TargetMode="External"/><Relationship Id="rId1818" Type="http://schemas.openxmlformats.org/officeDocument/2006/relationships/hyperlink" Target="https://utrucking.com/admin/orders/6407810941116" TargetMode="External"/><Relationship Id="rId1819" Type="http://schemas.openxmlformats.org/officeDocument/2006/relationships/hyperlink" Target="https://utrucking.com/admin/orders/6407873986748" TargetMode="External"/><Relationship Id="rId1800" Type="http://schemas.openxmlformats.org/officeDocument/2006/relationships/hyperlink" Target="https://utrucking.com/admin/orders/6406829998268" TargetMode="External"/><Relationship Id="rId1801" Type="http://schemas.openxmlformats.org/officeDocument/2006/relationships/hyperlink" Target="https://utrucking.com/admin/orders/6406881116348" TargetMode="External"/><Relationship Id="rId1802" Type="http://schemas.openxmlformats.org/officeDocument/2006/relationships/hyperlink" Target="https://utrucking.com/admin/orders/6407028244668" TargetMode="External"/><Relationship Id="rId1803" Type="http://schemas.openxmlformats.org/officeDocument/2006/relationships/hyperlink" Target="https://utrucking.com/admin/orders/6407057539260" TargetMode="External"/><Relationship Id="rId1804" Type="http://schemas.openxmlformats.org/officeDocument/2006/relationships/hyperlink" Target="https://utrucking.com/admin/orders/6407057539260" TargetMode="External"/><Relationship Id="rId1805" Type="http://schemas.openxmlformats.org/officeDocument/2006/relationships/hyperlink" Target="https://utrucking.com/admin/orders/6407075528892" TargetMode="External"/><Relationship Id="rId1806" Type="http://schemas.openxmlformats.org/officeDocument/2006/relationships/hyperlink" Target="https://utrucking.com/admin/orders/6407094993084" TargetMode="External"/><Relationship Id="rId1807" Type="http://schemas.openxmlformats.org/officeDocument/2006/relationships/hyperlink" Target="https://utrucking.com/admin/orders/6407106363580" TargetMode="External"/><Relationship Id="rId1808" Type="http://schemas.openxmlformats.org/officeDocument/2006/relationships/hyperlink" Target="https://utrucking.com/admin/orders/6407184711868" TargetMode="External"/><Relationship Id="rId1809" Type="http://schemas.openxmlformats.org/officeDocument/2006/relationships/hyperlink" Target="https://utrucking.com/admin/orders/6407207125180" TargetMode="External"/><Relationship Id="rId1830" Type="http://schemas.openxmlformats.org/officeDocument/2006/relationships/hyperlink" Target="https://utrucking.com/admin/orders/6408296890556" TargetMode="External"/><Relationship Id="rId1831" Type="http://schemas.openxmlformats.org/officeDocument/2006/relationships/hyperlink" Target="https://utrucking.com/admin/orders/6408388149436" TargetMode="External"/><Relationship Id="rId1832" Type="http://schemas.openxmlformats.org/officeDocument/2006/relationships/hyperlink" Target="https://utrucking.com/admin/orders/6408395587772" TargetMode="External"/><Relationship Id="rId1833" Type="http://schemas.openxmlformats.org/officeDocument/2006/relationships/hyperlink" Target="https://utrucking.com/admin/orders/6408395587772" TargetMode="External"/><Relationship Id="rId1834" Type="http://schemas.openxmlformats.org/officeDocument/2006/relationships/hyperlink" Target="https://utrucking.com/admin/orders/6408443429052" TargetMode="External"/><Relationship Id="rId1835" Type="http://schemas.openxmlformats.org/officeDocument/2006/relationships/hyperlink" Target="https://utrucking.com/admin/orders/6408500543676" TargetMode="External"/><Relationship Id="rId1836" Type="http://schemas.openxmlformats.org/officeDocument/2006/relationships/hyperlink" Target="https://utrucking.com/admin/orders/6408536948924" TargetMode="External"/><Relationship Id="rId1837" Type="http://schemas.openxmlformats.org/officeDocument/2006/relationships/hyperlink" Target="https://utrucking.com/admin/orders/6408671101116" TargetMode="External"/><Relationship Id="rId1838" Type="http://schemas.openxmlformats.org/officeDocument/2006/relationships/hyperlink" Target="https://utrucking.com/admin/orders/6408671101116" TargetMode="External"/><Relationship Id="rId1839" Type="http://schemas.openxmlformats.org/officeDocument/2006/relationships/hyperlink" Target="https://utrucking.com/admin/orders/6408735817916" TargetMode="External"/><Relationship Id="rId1820" Type="http://schemas.openxmlformats.org/officeDocument/2006/relationships/hyperlink" Target="https://utrucking.com/admin/orders/6407873986748" TargetMode="External"/><Relationship Id="rId1821" Type="http://schemas.openxmlformats.org/officeDocument/2006/relationships/hyperlink" Target="https://utrucking.com/admin/orders/6407891026108" TargetMode="External"/><Relationship Id="rId1822" Type="http://schemas.openxmlformats.org/officeDocument/2006/relationships/hyperlink" Target="https://utrucking.com/admin/orders/6407919468732" TargetMode="External"/><Relationship Id="rId1823" Type="http://schemas.openxmlformats.org/officeDocument/2006/relationships/hyperlink" Target="https://utrucking.com/admin/orders/6407924908220" TargetMode="External"/><Relationship Id="rId1824" Type="http://schemas.openxmlformats.org/officeDocument/2006/relationships/hyperlink" Target="https://utrucking.com/admin/orders/6408000078012" TargetMode="External"/><Relationship Id="rId1825" Type="http://schemas.openxmlformats.org/officeDocument/2006/relationships/hyperlink" Target="https://utrucking.com/admin/orders/6408074526908" TargetMode="External"/><Relationship Id="rId1826" Type="http://schemas.openxmlformats.org/officeDocument/2006/relationships/hyperlink" Target="https://utrucking.com/admin/orders/6408115093692" TargetMode="External"/><Relationship Id="rId1827" Type="http://schemas.openxmlformats.org/officeDocument/2006/relationships/hyperlink" Target="https://utrucking.com/admin/orders/6408141242556" TargetMode="External"/><Relationship Id="rId1828" Type="http://schemas.openxmlformats.org/officeDocument/2006/relationships/hyperlink" Target="https://utrucking.com/admin/orders/6408181285052" TargetMode="External"/><Relationship Id="rId1829" Type="http://schemas.openxmlformats.org/officeDocument/2006/relationships/hyperlink" Target="https://utrucking.com/admin/orders/6408274608316" TargetMode="External"/><Relationship Id="rId1455" Type="http://schemas.openxmlformats.org/officeDocument/2006/relationships/hyperlink" Target="https://utrucking.com/admin/orders/6215750615228" TargetMode="External"/><Relationship Id="rId2302" Type="http://schemas.openxmlformats.org/officeDocument/2006/relationships/hyperlink" Target="https://utrucking.com/admin/orders/6445919469756" TargetMode="External"/><Relationship Id="rId2786" Type="http://schemas.openxmlformats.org/officeDocument/2006/relationships/hyperlink" Target="https://utrucking.com/admin/orders/6458921943228" TargetMode="External"/><Relationship Id="rId1456" Type="http://schemas.openxmlformats.org/officeDocument/2006/relationships/hyperlink" Target="https://utrucking.com/admin/orders/6216625782972" TargetMode="External"/><Relationship Id="rId2303" Type="http://schemas.openxmlformats.org/officeDocument/2006/relationships/hyperlink" Target="https://utrucking.com/admin/orders/6445928612028" TargetMode="External"/><Relationship Id="rId2787" Type="http://schemas.openxmlformats.org/officeDocument/2006/relationships/hyperlink" Target="https://utrucking.com/admin/orders/6458943832252" TargetMode="External"/><Relationship Id="rId1457" Type="http://schemas.openxmlformats.org/officeDocument/2006/relationships/hyperlink" Target="https://utrucking.com/admin/orders/6221120471228" TargetMode="External"/><Relationship Id="rId2304" Type="http://schemas.openxmlformats.org/officeDocument/2006/relationships/hyperlink" Target="https://utrucking.com/admin/orders/6445929988284" TargetMode="External"/><Relationship Id="rId2788" Type="http://schemas.openxmlformats.org/officeDocument/2006/relationships/hyperlink" Target="https://utrucking.com/admin/orders/6458970112188" TargetMode="External"/><Relationship Id="rId1458" Type="http://schemas.openxmlformats.org/officeDocument/2006/relationships/hyperlink" Target="https://utrucking.com/admin/orders/6221444546748" TargetMode="External"/><Relationship Id="rId2305" Type="http://schemas.openxmlformats.org/officeDocument/2006/relationships/hyperlink" Target="https://utrucking.com/admin/orders/6445942538428" TargetMode="External"/><Relationship Id="rId2789" Type="http://schemas.openxmlformats.org/officeDocument/2006/relationships/hyperlink" Target="https://utrucking.com/admin/orders/6458979451068" TargetMode="External"/><Relationship Id="rId1459" Type="http://schemas.openxmlformats.org/officeDocument/2006/relationships/hyperlink" Target="https://utrucking.com/admin/orders/6223099920572" TargetMode="External"/><Relationship Id="rId2306" Type="http://schemas.openxmlformats.org/officeDocument/2006/relationships/hyperlink" Target="https://utrucking.com/admin/orders/6445951058108" TargetMode="External"/><Relationship Id="rId2307" Type="http://schemas.openxmlformats.org/officeDocument/2006/relationships/hyperlink" Target="https://utrucking.com/admin/orders/6445951647932" TargetMode="External"/><Relationship Id="rId2308" Type="http://schemas.openxmlformats.org/officeDocument/2006/relationships/hyperlink" Target="https://utrucking.com/admin/orders/6445965410492" TargetMode="External"/><Relationship Id="rId2309" Type="http://schemas.openxmlformats.org/officeDocument/2006/relationships/hyperlink" Target="https://utrucking.com/admin/orders/6445969244348" TargetMode="External"/><Relationship Id="rId629" Type="http://schemas.openxmlformats.org/officeDocument/2006/relationships/hyperlink" Target="https://utrucking.com/admin/orders/5919846531260" TargetMode="External"/><Relationship Id="rId624" Type="http://schemas.openxmlformats.org/officeDocument/2006/relationships/hyperlink" Target="https://utrucking.com/admin/orders/5919784960188" TargetMode="External"/><Relationship Id="rId623" Type="http://schemas.openxmlformats.org/officeDocument/2006/relationships/hyperlink" Target="https://utrucking.com/admin/orders/5919741542588" TargetMode="External"/><Relationship Id="rId622" Type="http://schemas.openxmlformats.org/officeDocument/2006/relationships/hyperlink" Target="https://utrucking.com/admin/orders/5919689801916" TargetMode="External"/><Relationship Id="rId621" Type="http://schemas.openxmlformats.org/officeDocument/2006/relationships/hyperlink" Target="https://utrucking.com/admin/orders/5919686623420" TargetMode="External"/><Relationship Id="rId628" Type="http://schemas.openxmlformats.org/officeDocument/2006/relationships/hyperlink" Target="https://utrucking.com/admin/orders/5919827067068" TargetMode="External"/><Relationship Id="rId627" Type="http://schemas.openxmlformats.org/officeDocument/2006/relationships/hyperlink" Target="https://utrucking.com/admin/orders/5919823036604" TargetMode="External"/><Relationship Id="rId626" Type="http://schemas.openxmlformats.org/officeDocument/2006/relationships/hyperlink" Target="https://utrucking.com/admin/orders/5919813697724" TargetMode="External"/><Relationship Id="rId625" Type="http://schemas.openxmlformats.org/officeDocument/2006/relationships/hyperlink" Target="https://utrucking.com/admin/orders/5919797117116" TargetMode="External"/><Relationship Id="rId2780" Type="http://schemas.openxmlformats.org/officeDocument/2006/relationships/hyperlink" Target="https://utrucking.com/admin/orders/6458694893756" TargetMode="External"/><Relationship Id="rId1450" Type="http://schemas.openxmlformats.org/officeDocument/2006/relationships/hyperlink" Target="https://utrucking.com/admin/orders/6208359563452" TargetMode="External"/><Relationship Id="rId2781" Type="http://schemas.openxmlformats.org/officeDocument/2006/relationships/hyperlink" Target="https://utrucking.com/admin/orders/6458766065852" TargetMode="External"/><Relationship Id="rId620" Type="http://schemas.openxmlformats.org/officeDocument/2006/relationships/hyperlink" Target="https://utrucking.com/admin/orders/5919673581756" TargetMode="External"/><Relationship Id="rId1451" Type="http://schemas.openxmlformats.org/officeDocument/2006/relationships/hyperlink" Target="https://utrucking.com/admin/orders/6208824672444" TargetMode="External"/><Relationship Id="rId2782" Type="http://schemas.openxmlformats.org/officeDocument/2006/relationships/hyperlink" Target="https://utrucking.com/admin/orders/6458774782140" TargetMode="External"/><Relationship Id="rId1452" Type="http://schemas.openxmlformats.org/officeDocument/2006/relationships/hyperlink" Target="https://utrucking.com/admin/orders/6209501855932" TargetMode="External"/><Relationship Id="rId2783" Type="http://schemas.openxmlformats.org/officeDocument/2006/relationships/hyperlink" Target="https://utrucking.com/admin/orders/6458819313852" TargetMode="External"/><Relationship Id="rId1453" Type="http://schemas.openxmlformats.org/officeDocument/2006/relationships/hyperlink" Target="https://utrucking.com/admin/orders/6211627679932" TargetMode="External"/><Relationship Id="rId2300" Type="http://schemas.openxmlformats.org/officeDocument/2006/relationships/hyperlink" Target="https://utrucking.com/admin/orders/6445898727612" TargetMode="External"/><Relationship Id="rId2784" Type="http://schemas.openxmlformats.org/officeDocument/2006/relationships/hyperlink" Target="https://utrucking.com/admin/orders/6458898317500" TargetMode="External"/><Relationship Id="rId1454" Type="http://schemas.openxmlformats.org/officeDocument/2006/relationships/hyperlink" Target="https://utrucking.com/admin/orders/6213459378364" TargetMode="External"/><Relationship Id="rId2301" Type="http://schemas.openxmlformats.org/officeDocument/2006/relationships/hyperlink" Target="https://utrucking.com/admin/orders/6445912228028" TargetMode="External"/><Relationship Id="rId2785" Type="http://schemas.openxmlformats.org/officeDocument/2006/relationships/hyperlink" Target="https://utrucking.com/admin/orders/6458910736572" TargetMode="External"/><Relationship Id="rId1444" Type="http://schemas.openxmlformats.org/officeDocument/2006/relationships/hyperlink" Target="https://utrucking.com/admin/orders/6192321396924" TargetMode="External"/><Relationship Id="rId2775" Type="http://schemas.openxmlformats.org/officeDocument/2006/relationships/hyperlink" Target="https://utrucking.com/admin/orders/6458276151484" TargetMode="External"/><Relationship Id="rId1445" Type="http://schemas.openxmlformats.org/officeDocument/2006/relationships/hyperlink" Target="https://utrucking.com/admin/orders/6192601006268" TargetMode="External"/><Relationship Id="rId2776" Type="http://schemas.openxmlformats.org/officeDocument/2006/relationships/hyperlink" Target="https://utrucking.com/admin/orders/6458303840444" TargetMode="External"/><Relationship Id="rId1446" Type="http://schemas.openxmlformats.org/officeDocument/2006/relationships/hyperlink" Target="https://utrucking.com/admin/orders/6193754505404" TargetMode="External"/><Relationship Id="rId2777" Type="http://schemas.openxmlformats.org/officeDocument/2006/relationships/hyperlink" Target="https://utrucking.com/admin/orders/6458308165820" TargetMode="External"/><Relationship Id="rId1447" Type="http://schemas.openxmlformats.org/officeDocument/2006/relationships/hyperlink" Target="https://utrucking.com/admin/orders/6195387302076" TargetMode="External"/><Relationship Id="rId2778" Type="http://schemas.openxmlformats.org/officeDocument/2006/relationships/hyperlink" Target="https://utrucking.com/admin/orders/6458331136188" TargetMode="External"/><Relationship Id="rId1448" Type="http://schemas.openxmlformats.org/officeDocument/2006/relationships/hyperlink" Target="https://utrucking.com/admin/orders/6200830492860" TargetMode="External"/><Relationship Id="rId2779" Type="http://schemas.openxmlformats.org/officeDocument/2006/relationships/hyperlink" Target="https://utrucking.com/admin/orders/6458384449724" TargetMode="External"/><Relationship Id="rId1449" Type="http://schemas.openxmlformats.org/officeDocument/2006/relationships/hyperlink" Target="https://utrucking.com/admin/orders/6203181301948" TargetMode="External"/><Relationship Id="rId619" Type="http://schemas.openxmlformats.org/officeDocument/2006/relationships/hyperlink" Target="https://utrucking.com/admin/orders/5919661588668" TargetMode="External"/><Relationship Id="rId618" Type="http://schemas.openxmlformats.org/officeDocument/2006/relationships/hyperlink" Target="https://utrucking.com/admin/orders/5919659983036" TargetMode="External"/><Relationship Id="rId613" Type="http://schemas.openxmlformats.org/officeDocument/2006/relationships/hyperlink" Target="https://utrucking.com/admin/orders/5919444533436" TargetMode="External"/><Relationship Id="rId612" Type="http://schemas.openxmlformats.org/officeDocument/2006/relationships/hyperlink" Target="https://utrucking.com/admin/orders/5919444533436" TargetMode="External"/><Relationship Id="rId611" Type="http://schemas.openxmlformats.org/officeDocument/2006/relationships/hyperlink" Target="https://utrucking.com/admin/orders/5919400132796" TargetMode="External"/><Relationship Id="rId610" Type="http://schemas.openxmlformats.org/officeDocument/2006/relationships/hyperlink" Target="https://utrucking.com/admin/orders/5919373918396" TargetMode="External"/><Relationship Id="rId617" Type="http://schemas.openxmlformats.org/officeDocument/2006/relationships/hyperlink" Target="https://utrucking.com/admin/orders/5919628984508" TargetMode="External"/><Relationship Id="rId616" Type="http://schemas.openxmlformats.org/officeDocument/2006/relationships/hyperlink" Target="https://utrucking.com/admin/orders/5919623676092" TargetMode="External"/><Relationship Id="rId615" Type="http://schemas.openxmlformats.org/officeDocument/2006/relationships/hyperlink" Target="https://utrucking.com/admin/orders/5919521308860" TargetMode="External"/><Relationship Id="rId614" Type="http://schemas.openxmlformats.org/officeDocument/2006/relationships/hyperlink" Target="https://utrucking.com/admin/orders/5919454396604" TargetMode="External"/><Relationship Id="rId2770" Type="http://schemas.openxmlformats.org/officeDocument/2006/relationships/hyperlink" Target="https://utrucking.com/admin/orders/6458029965500" TargetMode="External"/><Relationship Id="rId1440" Type="http://schemas.openxmlformats.org/officeDocument/2006/relationships/hyperlink" Target="https://utrucking.com/admin/orders/6189656539324" TargetMode="External"/><Relationship Id="rId2771" Type="http://schemas.openxmlformats.org/officeDocument/2006/relationships/hyperlink" Target="https://utrucking.com/admin/orders/6458101235900" TargetMode="External"/><Relationship Id="rId1441" Type="http://schemas.openxmlformats.org/officeDocument/2006/relationships/hyperlink" Target="https://utrucking.com/admin/orders/6190100283580" TargetMode="External"/><Relationship Id="rId2772" Type="http://schemas.openxmlformats.org/officeDocument/2006/relationships/hyperlink" Target="https://utrucking.com/admin/orders/6458146685116" TargetMode="External"/><Relationship Id="rId1442" Type="http://schemas.openxmlformats.org/officeDocument/2006/relationships/hyperlink" Target="https://utrucking.com/admin/orders/6190139998396" TargetMode="External"/><Relationship Id="rId2773" Type="http://schemas.openxmlformats.org/officeDocument/2006/relationships/hyperlink" Target="https://utrucking.com/admin/orders/6458203537596" TargetMode="External"/><Relationship Id="rId1443" Type="http://schemas.openxmlformats.org/officeDocument/2006/relationships/hyperlink" Target="https://utrucking.com/admin/orders/6191849242812" TargetMode="External"/><Relationship Id="rId2774" Type="http://schemas.openxmlformats.org/officeDocument/2006/relationships/hyperlink" Target="https://utrucking.com/admin/orders/6458203537596" TargetMode="External"/><Relationship Id="rId1477" Type="http://schemas.openxmlformats.org/officeDocument/2006/relationships/hyperlink" Target="https://utrucking.com/admin/orders/6280636432572" TargetMode="External"/><Relationship Id="rId2324" Type="http://schemas.openxmlformats.org/officeDocument/2006/relationships/hyperlink" Target="https://utrucking.com/admin/orders/6446211367100" TargetMode="External"/><Relationship Id="rId1478" Type="http://schemas.openxmlformats.org/officeDocument/2006/relationships/hyperlink" Target="https://utrucking.com/admin/orders/6284701139132" TargetMode="External"/><Relationship Id="rId2325" Type="http://schemas.openxmlformats.org/officeDocument/2006/relationships/hyperlink" Target="https://utrucking.com/admin/orders/6446218346684" TargetMode="External"/><Relationship Id="rId1479" Type="http://schemas.openxmlformats.org/officeDocument/2006/relationships/hyperlink" Target="https://utrucking.com/admin/orders/6288844193980" TargetMode="External"/><Relationship Id="rId2326" Type="http://schemas.openxmlformats.org/officeDocument/2006/relationships/hyperlink" Target="https://utrucking.com/admin/orders/6446238204092" TargetMode="External"/><Relationship Id="rId2327" Type="http://schemas.openxmlformats.org/officeDocument/2006/relationships/hyperlink" Target="https://utrucking.com/admin/orders/6446262091964" TargetMode="External"/><Relationship Id="rId2328" Type="http://schemas.openxmlformats.org/officeDocument/2006/relationships/hyperlink" Target="https://utrucking.com/admin/orders/6446266777788" TargetMode="External"/><Relationship Id="rId2329" Type="http://schemas.openxmlformats.org/officeDocument/2006/relationships/hyperlink" Target="https://utrucking.com/admin/orders/6446266941628" TargetMode="External"/><Relationship Id="rId646" Type="http://schemas.openxmlformats.org/officeDocument/2006/relationships/hyperlink" Target="https://utrucking.com/admin/orders/5920376291516" TargetMode="External"/><Relationship Id="rId645" Type="http://schemas.openxmlformats.org/officeDocument/2006/relationships/hyperlink" Target="https://utrucking.com/admin/orders/5920368033980" TargetMode="External"/><Relationship Id="rId644" Type="http://schemas.openxmlformats.org/officeDocument/2006/relationships/hyperlink" Target="https://utrucking.com/admin/orders/5920355352764" TargetMode="External"/><Relationship Id="rId643" Type="http://schemas.openxmlformats.org/officeDocument/2006/relationships/hyperlink" Target="https://utrucking.com/admin/orders/5920336150716" TargetMode="External"/><Relationship Id="rId649" Type="http://schemas.openxmlformats.org/officeDocument/2006/relationships/hyperlink" Target="https://utrucking.com/admin/orders/5920383205564" TargetMode="External"/><Relationship Id="rId648" Type="http://schemas.openxmlformats.org/officeDocument/2006/relationships/hyperlink" Target="https://utrucking.com/admin/orders/5920379306172" TargetMode="External"/><Relationship Id="rId647" Type="http://schemas.openxmlformats.org/officeDocument/2006/relationships/hyperlink" Target="https://utrucking.com/admin/orders/5920379306172" TargetMode="External"/><Relationship Id="rId1470" Type="http://schemas.openxmlformats.org/officeDocument/2006/relationships/hyperlink" Target="https://utrucking.com/admin/orders/6266325303484" TargetMode="External"/><Relationship Id="rId1471" Type="http://schemas.openxmlformats.org/officeDocument/2006/relationships/hyperlink" Target="https://utrucking.com/admin/orders/6273753710780" TargetMode="External"/><Relationship Id="rId1472" Type="http://schemas.openxmlformats.org/officeDocument/2006/relationships/hyperlink" Target="https://utrucking.com/admin/orders/6274244214972" TargetMode="External"/><Relationship Id="rId642" Type="http://schemas.openxmlformats.org/officeDocument/2006/relationships/hyperlink" Target="https://utrucking.com/admin/orders/5920319340732" TargetMode="External"/><Relationship Id="rId1473" Type="http://schemas.openxmlformats.org/officeDocument/2006/relationships/hyperlink" Target="https://utrucking.com/admin/orders/6274557509820" TargetMode="External"/><Relationship Id="rId2320" Type="http://schemas.openxmlformats.org/officeDocument/2006/relationships/hyperlink" Target="https://utrucking.com/admin/orders/6446175846588" TargetMode="External"/><Relationship Id="rId641" Type="http://schemas.openxmlformats.org/officeDocument/2006/relationships/hyperlink" Target="https://utrucking.com/admin/orders/5920303775932" TargetMode="External"/><Relationship Id="rId1474" Type="http://schemas.openxmlformats.org/officeDocument/2006/relationships/hyperlink" Target="https://utrucking.com/admin/orders/6276103536828" TargetMode="External"/><Relationship Id="rId2321" Type="http://schemas.openxmlformats.org/officeDocument/2006/relationships/hyperlink" Target="https://utrucking.com/admin/orders/6446188626108" TargetMode="External"/><Relationship Id="rId640" Type="http://schemas.openxmlformats.org/officeDocument/2006/relationships/hyperlink" Target="https://utrucking.com/admin/orders/5920260948156" TargetMode="External"/><Relationship Id="rId1475" Type="http://schemas.openxmlformats.org/officeDocument/2006/relationships/hyperlink" Target="https://utrucking.com/admin/orders/6280053817532" TargetMode="External"/><Relationship Id="rId2322" Type="http://schemas.openxmlformats.org/officeDocument/2006/relationships/hyperlink" Target="https://utrucking.com/admin/orders/6446196785340" TargetMode="External"/><Relationship Id="rId1476" Type="http://schemas.openxmlformats.org/officeDocument/2006/relationships/hyperlink" Target="https://utrucking.com/admin/orders/6280053817532" TargetMode="External"/><Relationship Id="rId2323" Type="http://schemas.openxmlformats.org/officeDocument/2006/relationships/hyperlink" Target="https://utrucking.com/admin/orders/6446197276860" TargetMode="External"/><Relationship Id="rId1466" Type="http://schemas.openxmlformats.org/officeDocument/2006/relationships/hyperlink" Target="https://utrucking.com/admin/orders/6228440350908" TargetMode="External"/><Relationship Id="rId2313" Type="http://schemas.openxmlformats.org/officeDocument/2006/relationships/hyperlink" Target="https://utrucking.com/admin/orders/6446035468476" TargetMode="External"/><Relationship Id="rId2797" Type="http://schemas.openxmlformats.org/officeDocument/2006/relationships/hyperlink" Target="https://utrucking.com/admin/orders/6459105083580" TargetMode="External"/><Relationship Id="rId1467" Type="http://schemas.openxmlformats.org/officeDocument/2006/relationships/hyperlink" Target="https://utrucking.com/admin/orders/6228539932860" TargetMode="External"/><Relationship Id="rId2314" Type="http://schemas.openxmlformats.org/officeDocument/2006/relationships/hyperlink" Target="https://utrucking.com/admin/orders/6446046740668" TargetMode="External"/><Relationship Id="rId2798" Type="http://schemas.openxmlformats.org/officeDocument/2006/relationships/hyperlink" Target="https://utrucking.com/admin/orders/6459106820284" TargetMode="External"/><Relationship Id="rId1468" Type="http://schemas.openxmlformats.org/officeDocument/2006/relationships/hyperlink" Target="https://utrucking.com/admin/orders/6230137438396" TargetMode="External"/><Relationship Id="rId2315" Type="http://schemas.openxmlformats.org/officeDocument/2006/relationships/hyperlink" Target="https://utrucking.com/admin/orders/6446072725692" TargetMode="External"/><Relationship Id="rId2799" Type="http://schemas.openxmlformats.org/officeDocument/2006/relationships/hyperlink" Target="https://utrucking.com/admin/orders/6459109834940" TargetMode="External"/><Relationship Id="rId1469" Type="http://schemas.openxmlformats.org/officeDocument/2006/relationships/hyperlink" Target="https://utrucking.com/admin/orders/6235116306620" TargetMode="External"/><Relationship Id="rId2316" Type="http://schemas.openxmlformats.org/officeDocument/2006/relationships/hyperlink" Target="https://utrucking.com/admin/orders/6446156513468" TargetMode="External"/><Relationship Id="rId2317" Type="http://schemas.openxmlformats.org/officeDocument/2006/relationships/hyperlink" Target="https://utrucking.com/admin/orders/6446158381244" TargetMode="External"/><Relationship Id="rId2318" Type="http://schemas.openxmlformats.org/officeDocument/2006/relationships/hyperlink" Target="https://utrucking.com/admin/orders/6446162870460" TargetMode="External"/><Relationship Id="rId2319" Type="http://schemas.openxmlformats.org/officeDocument/2006/relationships/hyperlink" Target="https://utrucking.com/admin/orders/6446174372028" TargetMode="External"/><Relationship Id="rId635" Type="http://schemas.openxmlformats.org/officeDocument/2006/relationships/hyperlink" Target="https://utrucking.com/admin/orders/5920083116220" TargetMode="External"/><Relationship Id="rId634" Type="http://schemas.openxmlformats.org/officeDocument/2006/relationships/hyperlink" Target="https://utrucking.com/admin/orders/5919977734332" TargetMode="External"/><Relationship Id="rId633" Type="http://schemas.openxmlformats.org/officeDocument/2006/relationships/hyperlink" Target="https://utrucking.com/admin/orders/5919937953980" TargetMode="External"/><Relationship Id="rId632" Type="http://schemas.openxmlformats.org/officeDocument/2006/relationships/hyperlink" Target="https://utrucking.com/admin/orders/5919915475132" TargetMode="External"/><Relationship Id="rId639" Type="http://schemas.openxmlformats.org/officeDocument/2006/relationships/hyperlink" Target="https://utrucking.com/admin/orders/5920250233020" TargetMode="External"/><Relationship Id="rId638" Type="http://schemas.openxmlformats.org/officeDocument/2006/relationships/hyperlink" Target="https://utrucking.com/admin/orders/5920223396028" TargetMode="External"/><Relationship Id="rId637" Type="http://schemas.openxmlformats.org/officeDocument/2006/relationships/hyperlink" Target="https://utrucking.com/admin/orders/5920121061564" TargetMode="External"/><Relationship Id="rId636" Type="http://schemas.openxmlformats.org/officeDocument/2006/relationships/hyperlink" Target="https://utrucking.com/admin/orders/5920110543036" TargetMode="External"/><Relationship Id="rId2790" Type="http://schemas.openxmlformats.org/officeDocument/2006/relationships/hyperlink" Target="https://utrucking.com/admin/orders/6458988593340" TargetMode="External"/><Relationship Id="rId1460" Type="http://schemas.openxmlformats.org/officeDocument/2006/relationships/hyperlink" Target="https://utrucking.com/admin/orders/6226190926012" TargetMode="External"/><Relationship Id="rId2791" Type="http://schemas.openxmlformats.org/officeDocument/2006/relationships/hyperlink" Target="https://utrucking.com/admin/orders/6459009794236" TargetMode="External"/><Relationship Id="rId1461" Type="http://schemas.openxmlformats.org/officeDocument/2006/relationships/hyperlink" Target="https://utrucking.com/admin/orders/6227419758780" TargetMode="External"/><Relationship Id="rId2792" Type="http://schemas.openxmlformats.org/officeDocument/2006/relationships/hyperlink" Target="https://utrucking.com/admin/orders/6459016872124" TargetMode="External"/><Relationship Id="rId631" Type="http://schemas.openxmlformats.org/officeDocument/2006/relationships/hyperlink" Target="https://utrucking.com/admin/orders/5919870714044" TargetMode="External"/><Relationship Id="rId1462" Type="http://schemas.openxmlformats.org/officeDocument/2006/relationships/hyperlink" Target="https://utrucking.com/admin/orders/6227897221308" TargetMode="External"/><Relationship Id="rId2793" Type="http://schemas.openxmlformats.org/officeDocument/2006/relationships/hyperlink" Target="https://utrucking.com/admin/orders/6459033682108" TargetMode="External"/><Relationship Id="rId630" Type="http://schemas.openxmlformats.org/officeDocument/2006/relationships/hyperlink" Target="https://utrucking.com/admin/orders/5919858819260" TargetMode="External"/><Relationship Id="rId1463" Type="http://schemas.openxmlformats.org/officeDocument/2006/relationships/hyperlink" Target="https://utrucking.com/admin/orders/6227897221308" TargetMode="External"/><Relationship Id="rId2310" Type="http://schemas.openxmlformats.org/officeDocument/2006/relationships/hyperlink" Target="https://utrucking.com/admin/orders/6445976584380" TargetMode="External"/><Relationship Id="rId2794" Type="http://schemas.openxmlformats.org/officeDocument/2006/relationships/hyperlink" Target="https://utrucking.com/admin/orders/6459054293180" TargetMode="External"/><Relationship Id="rId1464" Type="http://schemas.openxmlformats.org/officeDocument/2006/relationships/hyperlink" Target="https://utrucking.com/admin/orders/6228069417148" TargetMode="External"/><Relationship Id="rId2311" Type="http://schemas.openxmlformats.org/officeDocument/2006/relationships/hyperlink" Target="https://utrucking.com/admin/orders/6445987201212" TargetMode="External"/><Relationship Id="rId2795" Type="http://schemas.openxmlformats.org/officeDocument/2006/relationships/hyperlink" Target="https://utrucking.com/admin/orders/6459085455548" TargetMode="External"/><Relationship Id="rId1465" Type="http://schemas.openxmlformats.org/officeDocument/2006/relationships/hyperlink" Target="https://utrucking.com/admin/orders/6228124401852" TargetMode="External"/><Relationship Id="rId2312" Type="http://schemas.openxmlformats.org/officeDocument/2006/relationships/hyperlink" Target="https://utrucking.com/admin/orders/6446019150012" TargetMode="External"/><Relationship Id="rId2796" Type="http://schemas.openxmlformats.org/officeDocument/2006/relationships/hyperlink" Target="https://utrucking.com/admin/orders/6459092304060" TargetMode="External"/><Relationship Id="rId1411" Type="http://schemas.openxmlformats.org/officeDocument/2006/relationships/hyperlink" Target="https://utrucking.com/admin/orders/6169413550268" TargetMode="External"/><Relationship Id="rId1895" Type="http://schemas.openxmlformats.org/officeDocument/2006/relationships/hyperlink" Target="https://utrucking.com/admin/orders/6416482238652" TargetMode="External"/><Relationship Id="rId2742" Type="http://schemas.openxmlformats.org/officeDocument/2006/relationships/hyperlink" Target="https://utrucking.com/admin/orders/6456738709692" TargetMode="External"/><Relationship Id="rId1412" Type="http://schemas.openxmlformats.org/officeDocument/2006/relationships/hyperlink" Target="https://utrucking.com/admin/orders/6169603834044" TargetMode="External"/><Relationship Id="rId1896" Type="http://schemas.openxmlformats.org/officeDocument/2006/relationships/hyperlink" Target="https://utrucking.com/admin/orders/6416514252988" TargetMode="External"/><Relationship Id="rId2743" Type="http://schemas.openxmlformats.org/officeDocument/2006/relationships/hyperlink" Target="https://utrucking.com/admin/orders/6456755093692" TargetMode="External"/><Relationship Id="rId1413" Type="http://schemas.openxmlformats.org/officeDocument/2006/relationships/hyperlink" Target="https://utrucking.com/admin/orders/6170793017532" TargetMode="External"/><Relationship Id="rId1897" Type="http://schemas.openxmlformats.org/officeDocument/2006/relationships/hyperlink" Target="https://utrucking.com/admin/orders/6416670818492" TargetMode="External"/><Relationship Id="rId2744" Type="http://schemas.openxmlformats.org/officeDocument/2006/relationships/hyperlink" Target="https://utrucking.com/admin/orders/6456824955068" TargetMode="External"/><Relationship Id="rId1414" Type="http://schemas.openxmlformats.org/officeDocument/2006/relationships/hyperlink" Target="https://utrucking.com/admin/orders/6171806400700" TargetMode="External"/><Relationship Id="rId1898" Type="http://schemas.openxmlformats.org/officeDocument/2006/relationships/hyperlink" Target="https://utrucking.com/admin/orders/6416725672124" TargetMode="External"/><Relationship Id="rId2745" Type="http://schemas.openxmlformats.org/officeDocument/2006/relationships/hyperlink" Target="https://utrucking.com/admin/orders/6456869519548" TargetMode="External"/><Relationship Id="rId1415" Type="http://schemas.openxmlformats.org/officeDocument/2006/relationships/hyperlink" Target="https://utrucking.com/admin/orders/6171882848444" TargetMode="External"/><Relationship Id="rId1899" Type="http://schemas.openxmlformats.org/officeDocument/2006/relationships/hyperlink" Target="https://utrucking.com/admin/orders/6416991322300" TargetMode="External"/><Relationship Id="rId2746" Type="http://schemas.openxmlformats.org/officeDocument/2006/relationships/hyperlink" Target="https://utrucking.com/admin/orders/6456881119420" TargetMode="External"/><Relationship Id="rId1416" Type="http://schemas.openxmlformats.org/officeDocument/2006/relationships/hyperlink" Target="https://utrucking.com/admin/orders/6172223635644" TargetMode="External"/><Relationship Id="rId2747" Type="http://schemas.openxmlformats.org/officeDocument/2006/relationships/hyperlink" Target="https://utrucking.com/admin/orders/6456885018812" TargetMode="External"/><Relationship Id="rId1417" Type="http://schemas.openxmlformats.org/officeDocument/2006/relationships/hyperlink" Target="https://utrucking.com/admin/orders/6172887253180" TargetMode="External"/><Relationship Id="rId2748" Type="http://schemas.openxmlformats.org/officeDocument/2006/relationships/hyperlink" Target="https://utrucking.com/admin/orders/6456940265660" TargetMode="External"/><Relationship Id="rId1418" Type="http://schemas.openxmlformats.org/officeDocument/2006/relationships/hyperlink" Target="https://utrucking.com/admin/orders/6173728407740" TargetMode="External"/><Relationship Id="rId2749" Type="http://schemas.openxmlformats.org/officeDocument/2006/relationships/hyperlink" Target="https://utrucking.com/admin/orders/6457002655932" TargetMode="External"/><Relationship Id="rId1419" Type="http://schemas.openxmlformats.org/officeDocument/2006/relationships/hyperlink" Target="https://utrucking.com/admin/orders/6176983351484" TargetMode="External"/><Relationship Id="rId1890" Type="http://schemas.openxmlformats.org/officeDocument/2006/relationships/hyperlink" Target="https://utrucking.com/admin/orders/6416074670268" TargetMode="External"/><Relationship Id="rId1891" Type="http://schemas.openxmlformats.org/officeDocument/2006/relationships/hyperlink" Target="https://utrucking.com/admin/orders/6416309223612" TargetMode="External"/><Relationship Id="rId1892" Type="http://schemas.openxmlformats.org/officeDocument/2006/relationships/hyperlink" Target="https://utrucking.com/admin/orders/6416362406076" TargetMode="External"/><Relationship Id="rId1893" Type="http://schemas.openxmlformats.org/officeDocument/2006/relationships/hyperlink" Target="https://utrucking.com/admin/orders/6416376922300" TargetMode="External"/><Relationship Id="rId2740" Type="http://schemas.openxmlformats.org/officeDocument/2006/relationships/hyperlink" Target="https://utrucking.com/admin/orders/6456658854076" TargetMode="External"/><Relationship Id="rId1410" Type="http://schemas.openxmlformats.org/officeDocument/2006/relationships/hyperlink" Target="https://utrucking.com/admin/orders/6166263038140" TargetMode="External"/><Relationship Id="rId1894" Type="http://schemas.openxmlformats.org/officeDocument/2006/relationships/hyperlink" Target="https://utrucking.com/admin/orders/6416398418108" TargetMode="External"/><Relationship Id="rId2741" Type="http://schemas.openxmlformats.org/officeDocument/2006/relationships/hyperlink" Target="https://utrucking.com/admin/orders/6456702828732" TargetMode="External"/><Relationship Id="rId1400" Type="http://schemas.openxmlformats.org/officeDocument/2006/relationships/hyperlink" Target="https://utrucking.com/admin/orders/6147540549820" TargetMode="External"/><Relationship Id="rId1884" Type="http://schemas.openxmlformats.org/officeDocument/2006/relationships/hyperlink" Target="https://utrucking.com/admin/orders/6414747795644" TargetMode="External"/><Relationship Id="rId2731" Type="http://schemas.openxmlformats.org/officeDocument/2006/relationships/hyperlink" Target="https://utrucking.com/admin/orders/6456488558780" TargetMode="External"/><Relationship Id="rId1401" Type="http://schemas.openxmlformats.org/officeDocument/2006/relationships/hyperlink" Target="https://utrucking.com/admin/orders/6149526880444" TargetMode="External"/><Relationship Id="rId1885" Type="http://schemas.openxmlformats.org/officeDocument/2006/relationships/hyperlink" Target="https://utrucking.com/admin/orders/6414797242556" TargetMode="External"/><Relationship Id="rId2732" Type="http://schemas.openxmlformats.org/officeDocument/2006/relationships/hyperlink" Target="https://utrucking.com/admin/orders/6456501239996" TargetMode="External"/><Relationship Id="rId1402" Type="http://schemas.openxmlformats.org/officeDocument/2006/relationships/hyperlink" Target="https://utrucking.com/admin/orders/6152740012220" TargetMode="External"/><Relationship Id="rId1886" Type="http://schemas.openxmlformats.org/officeDocument/2006/relationships/hyperlink" Target="https://utrucking.com/admin/orders/6414880669884" TargetMode="External"/><Relationship Id="rId2733" Type="http://schemas.openxmlformats.org/officeDocument/2006/relationships/hyperlink" Target="https://utrucking.com/admin/orders/6456539775164" TargetMode="External"/><Relationship Id="rId1403" Type="http://schemas.openxmlformats.org/officeDocument/2006/relationships/hyperlink" Target="https://utrucking.com/admin/orders/6157326188732" TargetMode="External"/><Relationship Id="rId1887" Type="http://schemas.openxmlformats.org/officeDocument/2006/relationships/hyperlink" Target="https://utrucking.com/admin/orders/6415024849084" TargetMode="External"/><Relationship Id="rId2734" Type="http://schemas.openxmlformats.org/officeDocument/2006/relationships/hyperlink" Target="https://utrucking.com/admin/orders/6456585388220" TargetMode="External"/><Relationship Id="rId1404" Type="http://schemas.openxmlformats.org/officeDocument/2006/relationships/hyperlink" Target="https://utrucking.com/admin/orders/6157672317116" TargetMode="External"/><Relationship Id="rId1888" Type="http://schemas.openxmlformats.org/officeDocument/2006/relationships/hyperlink" Target="https://utrucking.com/admin/orders/6415841296572" TargetMode="External"/><Relationship Id="rId2735" Type="http://schemas.openxmlformats.org/officeDocument/2006/relationships/hyperlink" Target="https://utrucking.com/admin/orders/6456587813052" TargetMode="External"/><Relationship Id="rId1405" Type="http://schemas.openxmlformats.org/officeDocument/2006/relationships/hyperlink" Target="https://utrucking.com/admin/orders/6159423766716" TargetMode="External"/><Relationship Id="rId1889" Type="http://schemas.openxmlformats.org/officeDocument/2006/relationships/hyperlink" Target="https://utrucking.com/admin/orders/6415968534716" TargetMode="External"/><Relationship Id="rId2736" Type="http://schemas.openxmlformats.org/officeDocument/2006/relationships/hyperlink" Target="https://utrucking.com/admin/orders/6456602263740" TargetMode="External"/><Relationship Id="rId1406" Type="http://schemas.openxmlformats.org/officeDocument/2006/relationships/hyperlink" Target="https://utrucking.com/admin/orders/6160228352188" TargetMode="External"/><Relationship Id="rId2737" Type="http://schemas.openxmlformats.org/officeDocument/2006/relationships/hyperlink" Target="https://utrucking.com/admin/orders/6456633819324" TargetMode="External"/><Relationship Id="rId1407" Type="http://schemas.openxmlformats.org/officeDocument/2006/relationships/hyperlink" Target="https://utrucking.com/admin/orders/6160320331964" TargetMode="External"/><Relationship Id="rId2738" Type="http://schemas.openxmlformats.org/officeDocument/2006/relationships/hyperlink" Target="https://utrucking.com/admin/orders/6456642601148" TargetMode="External"/><Relationship Id="rId1408" Type="http://schemas.openxmlformats.org/officeDocument/2006/relationships/hyperlink" Target="https://utrucking.com/admin/orders/6160620486844" TargetMode="External"/><Relationship Id="rId2739" Type="http://schemas.openxmlformats.org/officeDocument/2006/relationships/hyperlink" Target="https://utrucking.com/admin/orders/6456655675580" TargetMode="External"/><Relationship Id="rId1409" Type="http://schemas.openxmlformats.org/officeDocument/2006/relationships/hyperlink" Target="https://utrucking.com/admin/orders/6165644214460" TargetMode="External"/><Relationship Id="rId1880" Type="http://schemas.openxmlformats.org/officeDocument/2006/relationships/hyperlink" Target="https://utrucking.com/admin/orders/6413878067388" TargetMode="External"/><Relationship Id="rId1881" Type="http://schemas.openxmlformats.org/officeDocument/2006/relationships/hyperlink" Target="https://utrucking.com/admin/orders/6414129692860" TargetMode="External"/><Relationship Id="rId1882" Type="http://schemas.openxmlformats.org/officeDocument/2006/relationships/hyperlink" Target="https://utrucking.com/admin/orders/6414270955708" TargetMode="External"/><Relationship Id="rId1883" Type="http://schemas.openxmlformats.org/officeDocument/2006/relationships/hyperlink" Target="https://utrucking.com/admin/orders/6414323187900" TargetMode="External"/><Relationship Id="rId2730" Type="http://schemas.openxmlformats.org/officeDocument/2006/relationships/hyperlink" Target="https://utrucking.com/admin/orders/6456457199804" TargetMode="External"/><Relationship Id="rId1433" Type="http://schemas.openxmlformats.org/officeDocument/2006/relationships/hyperlink" Target="https://utrucking.com/admin/orders/6186025353404" TargetMode="External"/><Relationship Id="rId2764" Type="http://schemas.openxmlformats.org/officeDocument/2006/relationships/hyperlink" Target="https://utrucking.com/admin/orders/6457953616060" TargetMode="External"/><Relationship Id="rId1434" Type="http://schemas.openxmlformats.org/officeDocument/2006/relationships/hyperlink" Target="https://utrucking.com/admin/orders/6187090739388" TargetMode="External"/><Relationship Id="rId2765" Type="http://schemas.openxmlformats.org/officeDocument/2006/relationships/hyperlink" Target="https://utrucking.com/admin/orders/6457966854332" TargetMode="External"/><Relationship Id="rId1435" Type="http://schemas.openxmlformats.org/officeDocument/2006/relationships/hyperlink" Target="https://utrucking.com/admin/orders/6187554046140" TargetMode="External"/><Relationship Id="rId2766" Type="http://schemas.openxmlformats.org/officeDocument/2006/relationships/hyperlink" Target="https://utrucking.com/admin/orders/6457968263356" TargetMode="External"/><Relationship Id="rId1436" Type="http://schemas.openxmlformats.org/officeDocument/2006/relationships/hyperlink" Target="https://utrucking.com/admin/orders/6188259475644" TargetMode="External"/><Relationship Id="rId2767" Type="http://schemas.openxmlformats.org/officeDocument/2006/relationships/hyperlink" Target="https://utrucking.com/admin/orders/6457968394428" TargetMode="External"/><Relationship Id="rId1437" Type="http://schemas.openxmlformats.org/officeDocument/2006/relationships/hyperlink" Target="https://utrucking.com/admin/orders/6188487868604" TargetMode="External"/><Relationship Id="rId2768" Type="http://schemas.openxmlformats.org/officeDocument/2006/relationships/hyperlink" Target="https://utrucking.com/admin/orders/6457979240636" TargetMode="External"/><Relationship Id="rId1438" Type="http://schemas.openxmlformats.org/officeDocument/2006/relationships/hyperlink" Target="https://utrucking.com/admin/orders/6188803424444" TargetMode="External"/><Relationship Id="rId2769" Type="http://schemas.openxmlformats.org/officeDocument/2006/relationships/hyperlink" Target="https://utrucking.com/admin/orders/6458021904572" TargetMode="External"/><Relationship Id="rId1439" Type="http://schemas.openxmlformats.org/officeDocument/2006/relationships/hyperlink" Target="https://utrucking.com/admin/orders/6189286195388" TargetMode="External"/><Relationship Id="rId609" Type="http://schemas.openxmlformats.org/officeDocument/2006/relationships/hyperlink" Target="https://utrucking.com/admin/orders/5919334006972" TargetMode="External"/><Relationship Id="rId608" Type="http://schemas.openxmlformats.org/officeDocument/2006/relationships/hyperlink" Target="https://utrucking.com/admin/orders/5919325487292" TargetMode="External"/><Relationship Id="rId607" Type="http://schemas.openxmlformats.org/officeDocument/2006/relationships/hyperlink" Target="https://utrucking.com/admin/orders/5919321030844" TargetMode="External"/><Relationship Id="rId602" Type="http://schemas.openxmlformats.org/officeDocument/2006/relationships/hyperlink" Target="https://utrucking.com/admin/orders/5919028281532" TargetMode="External"/><Relationship Id="rId601" Type="http://schemas.openxmlformats.org/officeDocument/2006/relationships/hyperlink" Target="https://utrucking.com/admin/orders/5919018909884" TargetMode="External"/><Relationship Id="rId600" Type="http://schemas.openxmlformats.org/officeDocument/2006/relationships/hyperlink" Target="https://utrucking.com/admin/orders/5918979522748" TargetMode="External"/><Relationship Id="rId606" Type="http://schemas.openxmlformats.org/officeDocument/2006/relationships/hyperlink" Target="https://utrucking.com/admin/orders/5919285477564" TargetMode="External"/><Relationship Id="rId605" Type="http://schemas.openxmlformats.org/officeDocument/2006/relationships/hyperlink" Target="https://utrucking.com/admin/orders/5919285477564" TargetMode="External"/><Relationship Id="rId604" Type="http://schemas.openxmlformats.org/officeDocument/2006/relationships/hyperlink" Target="https://utrucking.com/admin/orders/5919171346620" TargetMode="External"/><Relationship Id="rId603" Type="http://schemas.openxmlformats.org/officeDocument/2006/relationships/hyperlink" Target="https://utrucking.com/admin/orders/5919031820476" TargetMode="External"/><Relationship Id="rId2760" Type="http://schemas.openxmlformats.org/officeDocument/2006/relationships/hyperlink" Target="https://utrucking.com/admin/orders/6457773392060" TargetMode="External"/><Relationship Id="rId1430" Type="http://schemas.openxmlformats.org/officeDocument/2006/relationships/hyperlink" Target="https://utrucking.com/admin/orders/6182911115452" TargetMode="External"/><Relationship Id="rId2761" Type="http://schemas.openxmlformats.org/officeDocument/2006/relationships/hyperlink" Target="https://utrucking.com/admin/orders/6457847677116" TargetMode="External"/><Relationship Id="rId1431" Type="http://schemas.openxmlformats.org/officeDocument/2006/relationships/hyperlink" Target="https://utrucking.com/admin/orders/6183013155004" TargetMode="External"/><Relationship Id="rId2762" Type="http://schemas.openxmlformats.org/officeDocument/2006/relationships/hyperlink" Target="https://utrucking.com/admin/orders/6457935954108" TargetMode="External"/><Relationship Id="rId1432" Type="http://schemas.openxmlformats.org/officeDocument/2006/relationships/hyperlink" Target="https://utrucking.com/admin/orders/6184870576316" TargetMode="External"/><Relationship Id="rId2763" Type="http://schemas.openxmlformats.org/officeDocument/2006/relationships/hyperlink" Target="https://utrucking.com/admin/orders/6457942278332" TargetMode="External"/><Relationship Id="rId1422" Type="http://schemas.openxmlformats.org/officeDocument/2006/relationships/hyperlink" Target="https://utrucking.com/admin/orders/6179775054012" TargetMode="External"/><Relationship Id="rId2753" Type="http://schemas.openxmlformats.org/officeDocument/2006/relationships/hyperlink" Target="https://utrucking.com/admin/orders/6457644810428" TargetMode="External"/><Relationship Id="rId1423" Type="http://schemas.openxmlformats.org/officeDocument/2006/relationships/hyperlink" Target="https://utrucking.com/admin/orders/6180185407676" TargetMode="External"/><Relationship Id="rId2754" Type="http://schemas.openxmlformats.org/officeDocument/2006/relationships/hyperlink" Target="https://utrucking.com/admin/orders/6457659523260" TargetMode="External"/><Relationship Id="rId1424" Type="http://schemas.openxmlformats.org/officeDocument/2006/relationships/hyperlink" Target="https://utrucking.com/admin/orders/6180202610876" TargetMode="External"/><Relationship Id="rId2755" Type="http://schemas.openxmlformats.org/officeDocument/2006/relationships/hyperlink" Target="https://utrucking.com/admin/orders/6457704612028" TargetMode="External"/><Relationship Id="rId1425" Type="http://schemas.openxmlformats.org/officeDocument/2006/relationships/hyperlink" Target="https://utrucking.com/admin/orders/6180214669500" TargetMode="External"/><Relationship Id="rId2756" Type="http://schemas.openxmlformats.org/officeDocument/2006/relationships/hyperlink" Target="https://utrucking.com/admin/orders/6457707954364" TargetMode="External"/><Relationship Id="rId1426" Type="http://schemas.openxmlformats.org/officeDocument/2006/relationships/hyperlink" Target="https://utrucking.com/admin/orders/6181233623228" TargetMode="External"/><Relationship Id="rId2757" Type="http://schemas.openxmlformats.org/officeDocument/2006/relationships/hyperlink" Target="https://utrucking.com/admin/orders/6457711263932" TargetMode="External"/><Relationship Id="rId1427" Type="http://schemas.openxmlformats.org/officeDocument/2006/relationships/hyperlink" Target="https://utrucking.com/admin/orders/6182720307388" TargetMode="External"/><Relationship Id="rId2758" Type="http://schemas.openxmlformats.org/officeDocument/2006/relationships/hyperlink" Target="https://utrucking.com/admin/orders/6457716768956" TargetMode="External"/><Relationship Id="rId1428" Type="http://schemas.openxmlformats.org/officeDocument/2006/relationships/hyperlink" Target="https://utrucking.com/admin/orders/6182799900860" TargetMode="External"/><Relationship Id="rId2759" Type="http://schemas.openxmlformats.org/officeDocument/2006/relationships/hyperlink" Target="https://utrucking.com/admin/orders/6457767395516" TargetMode="External"/><Relationship Id="rId1429" Type="http://schemas.openxmlformats.org/officeDocument/2006/relationships/hyperlink" Target="https://utrucking.com/admin/orders/6182906101948" TargetMode="External"/><Relationship Id="rId2750" Type="http://schemas.openxmlformats.org/officeDocument/2006/relationships/hyperlink" Target="https://utrucking.com/admin/orders/6457108594876" TargetMode="External"/><Relationship Id="rId1420" Type="http://schemas.openxmlformats.org/officeDocument/2006/relationships/hyperlink" Target="https://utrucking.com/admin/orders/6178358952124" TargetMode="External"/><Relationship Id="rId2751" Type="http://schemas.openxmlformats.org/officeDocument/2006/relationships/hyperlink" Target="https://utrucking.com/admin/orders/6457493160124" TargetMode="External"/><Relationship Id="rId1421" Type="http://schemas.openxmlformats.org/officeDocument/2006/relationships/hyperlink" Target="https://utrucking.com/admin/orders/6178377957564" TargetMode="External"/><Relationship Id="rId2752" Type="http://schemas.openxmlformats.org/officeDocument/2006/relationships/hyperlink" Target="https://utrucking.com/admin/orders/6457602506940" TargetMode="External"/><Relationship Id="rId1059" Type="http://schemas.openxmlformats.org/officeDocument/2006/relationships/hyperlink" Target="https://utrucking.com/admin/orders/5936131178684" TargetMode="External"/><Relationship Id="rId228" Type="http://schemas.openxmlformats.org/officeDocument/2006/relationships/hyperlink" Target="https://utrucking.com/admin/orders/5910825861308" TargetMode="External"/><Relationship Id="rId227" Type="http://schemas.openxmlformats.org/officeDocument/2006/relationships/hyperlink" Target="https://utrucking.com/admin/orders/5910789816508" TargetMode="External"/><Relationship Id="rId226" Type="http://schemas.openxmlformats.org/officeDocument/2006/relationships/hyperlink" Target="https://utrucking.com/admin/orders/5910763307196" TargetMode="External"/><Relationship Id="rId225" Type="http://schemas.openxmlformats.org/officeDocument/2006/relationships/hyperlink" Target="https://utrucking.com/admin/orders/5910681026748" TargetMode="External"/><Relationship Id="rId2380" Type="http://schemas.openxmlformats.org/officeDocument/2006/relationships/hyperlink" Target="https://utrucking.com/admin/orders/6446502969532" TargetMode="External"/><Relationship Id="rId229" Type="http://schemas.openxmlformats.org/officeDocument/2006/relationships/hyperlink" Target="https://utrucking.com/admin/orders/5910825861308" TargetMode="External"/><Relationship Id="rId1050" Type="http://schemas.openxmlformats.org/officeDocument/2006/relationships/hyperlink" Target="https://utrucking.com/admin/orders/5935838036156" TargetMode="External"/><Relationship Id="rId2381" Type="http://schemas.openxmlformats.org/officeDocument/2006/relationships/hyperlink" Target="https://utrucking.com/admin/orders/6446504083644" TargetMode="External"/><Relationship Id="rId220" Type="http://schemas.openxmlformats.org/officeDocument/2006/relationships/hyperlink" Target="https://utrucking.com/admin/orders/5910527967420" TargetMode="External"/><Relationship Id="rId1051" Type="http://schemas.openxmlformats.org/officeDocument/2006/relationships/hyperlink" Target="https://utrucking.com/admin/orders/5935886303420" TargetMode="External"/><Relationship Id="rId2382" Type="http://schemas.openxmlformats.org/officeDocument/2006/relationships/hyperlink" Target="https://utrucking.com/admin/orders/6446535573692" TargetMode="External"/><Relationship Id="rId1052" Type="http://schemas.openxmlformats.org/officeDocument/2006/relationships/hyperlink" Target="https://utrucking.com/admin/orders/5935926214844" TargetMode="External"/><Relationship Id="rId2383" Type="http://schemas.openxmlformats.org/officeDocument/2006/relationships/hyperlink" Target="https://utrucking.com/admin/orders/6446539276476" TargetMode="External"/><Relationship Id="rId1053" Type="http://schemas.openxmlformats.org/officeDocument/2006/relationships/hyperlink" Target="https://utrucking.com/admin/orders/5935940632764" TargetMode="External"/><Relationship Id="rId2384" Type="http://schemas.openxmlformats.org/officeDocument/2006/relationships/hyperlink" Target="https://utrucking.com/admin/orders/6446541013180" TargetMode="External"/><Relationship Id="rId1054" Type="http://schemas.openxmlformats.org/officeDocument/2006/relationships/hyperlink" Target="https://utrucking.com/admin/orders/5935941812412" TargetMode="External"/><Relationship Id="rId2385" Type="http://schemas.openxmlformats.org/officeDocument/2006/relationships/hyperlink" Target="https://utrucking.com/admin/orders/6446549860540" TargetMode="External"/><Relationship Id="rId224" Type="http://schemas.openxmlformats.org/officeDocument/2006/relationships/hyperlink" Target="https://utrucking.com/admin/orders/5910630498492" TargetMode="External"/><Relationship Id="rId1055" Type="http://schemas.openxmlformats.org/officeDocument/2006/relationships/hyperlink" Target="https://utrucking.com/admin/orders/5935992766652" TargetMode="External"/><Relationship Id="rId2386" Type="http://schemas.openxmlformats.org/officeDocument/2006/relationships/hyperlink" Target="https://utrucking.com/admin/orders/6446568865980" TargetMode="External"/><Relationship Id="rId223" Type="http://schemas.openxmlformats.org/officeDocument/2006/relationships/hyperlink" Target="https://utrucking.com/admin/orders/5910653239484" TargetMode="External"/><Relationship Id="rId1056" Type="http://schemas.openxmlformats.org/officeDocument/2006/relationships/hyperlink" Target="https://utrucking.com/admin/orders/5936009740476" TargetMode="External"/><Relationship Id="rId2387" Type="http://schemas.openxmlformats.org/officeDocument/2006/relationships/hyperlink" Target="https://utrucking.com/admin/orders/6446573224124" TargetMode="External"/><Relationship Id="rId222" Type="http://schemas.openxmlformats.org/officeDocument/2006/relationships/hyperlink" Target="https://utrucking.com/admin/orders/5910613754044" TargetMode="External"/><Relationship Id="rId1057" Type="http://schemas.openxmlformats.org/officeDocument/2006/relationships/hyperlink" Target="https://utrucking.com/admin/orders/5936037888188" TargetMode="External"/><Relationship Id="rId2388" Type="http://schemas.openxmlformats.org/officeDocument/2006/relationships/hyperlink" Target="https://utrucking.com/admin/orders/6446577483964" TargetMode="External"/><Relationship Id="rId221" Type="http://schemas.openxmlformats.org/officeDocument/2006/relationships/hyperlink" Target="https://utrucking.com/admin/orders/5910561423548" TargetMode="External"/><Relationship Id="rId1058" Type="http://schemas.openxmlformats.org/officeDocument/2006/relationships/hyperlink" Target="https://utrucking.com/admin/orders/5936041918652" TargetMode="External"/><Relationship Id="rId2389" Type="http://schemas.openxmlformats.org/officeDocument/2006/relationships/hyperlink" Target="https://utrucking.com/admin/orders/6446583349436" TargetMode="External"/><Relationship Id="rId1048" Type="http://schemas.openxmlformats.org/officeDocument/2006/relationships/hyperlink" Target="https://utrucking.com/admin/orders/5935792816316" TargetMode="External"/><Relationship Id="rId2379" Type="http://schemas.openxmlformats.org/officeDocument/2006/relationships/hyperlink" Target="https://utrucking.com/admin/orders/6446502346940" TargetMode="External"/><Relationship Id="rId1049" Type="http://schemas.openxmlformats.org/officeDocument/2006/relationships/hyperlink" Target="https://utrucking.com/admin/orders/5935831187644" TargetMode="External"/><Relationship Id="rId217" Type="http://schemas.openxmlformats.org/officeDocument/2006/relationships/hyperlink" Target="https://utrucking.com/admin/orders/5910118170812" TargetMode="External"/><Relationship Id="rId216" Type="http://schemas.openxmlformats.org/officeDocument/2006/relationships/hyperlink" Target="https://utrucking.com/admin/orders/5910052044988" TargetMode="External"/><Relationship Id="rId215" Type="http://schemas.openxmlformats.org/officeDocument/2006/relationships/hyperlink" Target="https://utrucking.com/admin/orders/5909926314172" TargetMode="External"/><Relationship Id="rId699" Type="http://schemas.openxmlformats.org/officeDocument/2006/relationships/hyperlink" Target="https://utrucking.com/admin/orders/5921335640252" TargetMode="External"/><Relationship Id="rId214" Type="http://schemas.openxmlformats.org/officeDocument/2006/relationships/hyperlink" Target="https://utrucking.com/admin/orders/5909917827260" TargetMode="External"/><Relationship Id="rId698" Type="http://schemas.openxmlformats.org/officeDocument/2006/relationships/hyperlink" Target="https://utrucking.com/admin/orders/5921302610108" TargetMode="External"/><Relationship Id="rId219" Type="http://schemas.openxmlformats.org/officeDocument/2006/relationships/hyperlink" Target="https://utrucking.com/admin/orders/5910227452092" TargetMode="External"/><Relationship Id="rId218" Type="http://schemas.openxmlformats.org/officeDocument/2006/relationships/hyperlink" Target="https://utrucking.com/admin/orders/5910192029884" TargetMode="External"/><Relationship Id="rId2370" Type="http://schemas.openxmlformats.org/officeDocument/2006/relationships/hyperlink" Target="https://utrucking.com/admin/orders/6446458798268" TargetMode="External"/><Relationship Id="rId693" Type="http://schemas.openxmlformats.org/officeDocument/2006/relationships/hyperlink" Target="https://utrucking.com/admin/orders/5921109868732" TargetMode="External"/><Relationship Id="rId1040" Type="http://schemas.openxmlformats.org/officeDocument/2006/relationships/hyperlink" Target="https://utrucking.com/admin/orders/5935543419068" TargetMode="External"/><Relationship Id="rId2371" Type="http://schemas.openxmlformats.org/officeDocument/2006/relationships/hyperlink" Target="https://utrucking.com/admin/orders/6446460502204" TargetMode="External"/><Relationship Id="rId692" Type="http://schemas.openxmlformats.org/officeDocument/2006/relationships/hyperlink" Target="https://utrucking.com/admin/orders/5921016545468" TargetMode="External"/><Relationship Id="rId1041" Type="http://schemas.openxmlformats.org/officeDocument/2006/relationships/hyperlink" Target="https://utrucking.com/admin/orders/5935561605308" TargetMode="External"/><Relationship Id="rId2372" Type="http://schemas.openxmlformats.org/officeDocument/2006/relationships/hyperlink" Target="https://utrucking.com/admin/orders/6446484095164" TargetMode="External"/><Relationship Id="rId691" Type="http://schemas.openxmlformats.org/officeDocument/2006/relationships/hyperlink" Target="https://utrucking.com/admin/orders/5921014251708" TargetMode="External"/><Relationship Id="rId1042" Type="http://schemas.openxmlformats.org/officeDocument/2006/relationships/hyperlink" Target="https://utrucking.com/admin/orders/5935615180988" TargetMode="External"/><Relationship Id="rId2373" Type="http://schemas.openxmlformats.org/officeDocument/2006/relationships/hyperlink" Target="https://utrucking.com/admin/orders/6446485209276" TargetMode="External"/><Relationship Id="rId690" Type="http://schemas.openxmlformats.org/officeDocument/2006/relationships/hyperlink" Target="https://utrucking.com/admin/orders/5920933347516" TargetMode="External"/><Relationship Id="rId1043" Type="http://schemas.openxmlformats.org/officeDocument/2006/relationships/hyperlink" Target="https://utrucking.com/admin/orders/5935620423868" TargetMode="External"/><Relationship Id="rId2374" Type="http://schemas.openxmlformats.org/officeDocument/2006/relationships/hyperlink" Target="https://utrucking.com/admin/orders/6446488518844" TargetMode="External"/><Relationship Id="rId213" Type="http://schemas.openxmlformats.org/officeDocument/2006/relationships/hyperlink" Target="https://utrucking.com/admin/orders/5909911666876" TargetMode="External"/><Relationship Id="rId697" Type="http://schemas.openxmlformats.org/officeDocument/2006/relationships/hyperlink" Target="https://utrucking.com/admin/orders/5921302380732" TargetMode="External"/><Relationship Id="rId1044" Type="http://schemas.openxmlformats.org/officeDocument/2006/relationships/hyperlink" Target="https://utrucking.com/admin/orders/5935644246204" TargetMode="External"/><Relationship Id="rId2375" Type="http://schemas.openxmlformats.org/officeDocument/2006/relationships/hyperlink" Target="https://utrucking.com/admin/orders/6446491599036" TargetMode="External"/><Relationship Id="rId212" Type="http://schemas.openxmlformats.org/officeDocument/2006/relationships/hyperlink" Target="https://utrucking.com/admin/orders/5909841117372" TargetMode="External"/><Relationship Id="rId696" Type="http://schemas.openxmlformats.org/officeDocument/2006/relationships/hyperlink" Target="https://utrucking.com/admin/orders/5921188348092" TargetMode="External"/><Relationship Id="rId1045" Type="http://schemas.openxmlformats.org/officeDocument/2006/relationships/hyperlink" Target="https://utrucking.com/admin/orders/5935684354236" TargetMode="External"/><Relationship Id="rId2376" Type="http://schemas.openxmlformats.org/officeDocument/2006/relationships/hyperlink" Target="https://utrucking.com/admin/orders/6446494384316" TargetMode="External"/><Relationship Id="rId211" Type="http://schemas.openxmlformats.org/officeDocument/2006/relationships/hyperlink" Target="https://utrucking.com/admin/orders/5909580415164" TargetMode="External"/><Relationship Id="rId695" Type="http://schemas.openxmlformats.org/officeDocument/2006/relationships/hyperlink" Target="https://utrucking.com/admin/orders/5921157152956" TargetMode="External"/><Relationship Id="rId1046" Type="http://schemas.openxmlformats.org/officeDocument/2006/relationships/hyperlink" Target="https://utrucking.com/admin/orders/5935686910140" TargetMode="External"/><Relationship Id="rId2377" Type="http://schemas.openxmlformats.org/officeDocument/2006/relationships/hyperlink" Target="https://utrucking.com/admin/orders/6446497956028" TargetMode="External"/><Relationship Id="rId210" Type="http://schemas.openxmlformats.org/officeDocument/2006/relationships/hyperlink" Target="https://utrucking.com/admin/orders/5909573337276" TargetMode="External"/><Relationship Id="rId694" Type="http://schemas.openxmlformats.org/officeDocument/2006/relationships/hyperlink" Target="https://utrucking.com/admin/orders/5921125728444" TargetMode="External"/><Relationship Id="rId1047" Type="http://schemas.openxmlformats.org/officeDocument/2006/relationships/hyperlink" Target="https://utrucking.com/admin/orders/5935700115644" TargetMode="External"/><Relationship Id="rId2378" Type="http://schemas.openxmlformats.org/officeDocument/2006/relationships/hyperlink" Target="https://utrucking.com/admin/orders/6446499856572" TargetMode="External"/><Relationship Id="rId249" Type="http://schemas.openxmlformats.org/officeDocument/2006/relationships/hyperlink" Target="https://utrucking.com/admin/orders/5912289312956" TargetMode="External"/><Relationship Id="rId248" Type="http://schemas.openxmlformats.org/officeDocument/2006/relationships/hyperlink" Target="https://utrucking.com/admin/orders/5912254415036" TargetMode="External"/><Relationship Id="rId247" Type="http://schemas.openxmlformats.org/officeDocument/2006/relationships/hyperlink" Target="https://utrucking.com/admin/orders/5912250613948" TargetMode="External"/><Relationship Id="rId1070" Type="http://schemas.openxmlformats.org/officeDocument/2006/relationships/hyperlink" Target="https://utrucking.com/admin/orders/5936419799228" TargetMode="External"/><Relationship Id="rId1071" Type="http://schemas.openxmlformats.org/officeDocument/2006/relationships/hyperlink" Target="https://utrucking.com/admin/orders/5936419799228" TargetMode="External"/><Relationship Id="rId1072" Type="http://schemas.openxmlformats.org/officeDocument/2006/relationships/hyperlink" Target="https://utrucking.com/admin/orders/5936446734524" TargetMode="External"/><Relationship Id="rId242" Type="http://schemas.openxmlformats.org/officeDocument/2006/relationships/hyperlink" Target="https://utrucking.com/admin/orders/5912162304188" TargetMode="External"/><Relationship Id="rId1073" Type="http://schemas.openxmlformats.org/officeDocument/2006/relationships/hyperlink" Target="https://utrucking.com/admin/orders/5936474652860" TargetMode="External"/><Relationship Id="rId241" Type="http://schemas.openxmlformats.org/officeDocument/2006/relationships/hyperlink" Target="https://utrucking.com/admin/orders/5912154210492" TargetMode="External"/><Relationship Id="rId1074" Type="http://schemas.openxmlformats.org/officeDocument/2006/relationships/hyperlink" Target="https://utrucking.com/admin/orders/5936521773244" TargetMode="External"/><Relationship Id="rId240" Type="http://schemas.openxmlformats.org/officeDocument/2006/relationships/hyperlink" Target="https://utrucking.com/admin/orders/5912136777916" TargetMode="External"/><Relationship Id="rId1075" Type="http://schemas.openxmlformats.org/officeDocument/2006/relationships/hyperlink" Target="https://utrucking.com/admin/orders/5936527048892" TargetMode="External"/><Relationship Id="rId1076" Type="http://schemas.openxmlformats.org/officeDocument/2006/relationships/hyperlink" Target="https://utrucking.com/admin/orders/5936542810300" TargetMode="External"/><Relationship Id="rId246" Type="http://schemas.openxmlformats.org/officeDocument/2006/relationships/hyperlink" Target="https://utrucking.com/admin/orders/5912204935356" TargetMode="External"/><Relationship Id="rId1077" Type="http://schemas.openxmlformats.org/officeDocument/2006/relationships/hyperlink" Target="https://utrucking.com/admin/orders/5936660709564" TargetMode="External"/><Relationship Id="rId245" Type="http://schemas.openxmlformats.org/officeDocument/2006/relationships/hyperlink" Target="https://utrucking.com/admin/orders/5912200741052" TargetMode="External"/><Relationship Id="rId1078" Type="http://schemas.openxmlformats.org/officeDocument/2006/relationships/hyperlink" Target="https://utrucking.com/admin/orders/5936860954812" TargetMode="External"/><Relationship Id="rId244" Type="http://schemas.openxmlformats.org/officeDocument/2006/relationships/hyperlink" Target="https://utrucking.com/admin/orders/5912198021308" TargetMode="External"/><Relationship Id="rId1079" Type="http://schemas.openxmlformats.org/officeDocument/2006/relationships/hyperlink" Target="https://utrucking.com/admin/orders/5936860954812" TargetMode="External"/><Relationship Id="rId243" Type="http://schemas.openxmlformats.org/officeDocument/2006/relationships/hyperlink" Target="https://utrucking.com/admin/orders/5912196874428" TargetMode="External"/><Relationship Id="rId239" Type="http://schemas.openxmlformats.org/officeDocument/2006/relationships/hyperlink" Target="https://utrucking.com/admin/orders/5912134189244" TargetMode="External"/><Relationship Id="rId238" Type="http://schemas.openxmlformats.org/officeDocument/2006/relationships/hyperlink" Target="https://utrucking.com/admin/orders/5912128585916" TargetMode="External"/><Relationship Id="rId237" Type="http://schemas.openxmlformats.org/officeDocument/2006/relationships/hyperlink" Target="https://utrucking.com/admin/orders/5912113217724" TargetMode="External"/><Relationship Id="rId236" Type="http://schemas.openxmlformats.org/officeDocument/2006/relationships/hyperlink" Target="https://utrucking.com/admin/orders/5912099455164" TargetMode="External"/><Relationship Id="rId2390" Type="http://schemas.openxmlformats.org/officeDocument/2006/relationships/hyperlink" Target="https://utrucking.com/admin/orders/6446603894972" TargetMode="External"/><Relationship Id="rId1060" Type="http://schemas.openxmlformats.org/officeDocument/2006/relationships/hyperlink" Target="https://utrucking.com/admin/orders/5936134127804" TargetMode="External"/><Relationship Id="rId2391" Type="http://schemas.openxmlformats.org/officeDocument/2006/relationships/hyperlink" Target="https://utrucking.com/admin/orders/6446604517564" TargetMode="External"/><Relationship Id="rId1061" Type="http://schemas.openxmlformats.org/officeDocument/2006/relationships/hyperlink" Target="https://utrucking.com/admin/orders/5936149266620" TargetMode="External"/><Relationship Id="rId2392" Type="http://schemas.openxmlformats.org/officeDocument/2006/relationships/hyperlink" Target="https://utrucking.com/admin/orders/6446609170620" TargetMode="External"/><Relationship Id="rId231" Type="http://schemas.openxmlformats.org/officeDocument/2006/relationships/hyperlink" Target="https://utrucking.com/admin/orders/5910867214524" TargetMode="External"/><Relationship Id="rId1062" Type="http://schemas.openxmlformats.org/officeDocument/2006/relationships/hyperlink" Target="https://utrucking.com/admin/orders/5936179675324" TargetMode="External"/><Relationship Id="rId2393" Type="http://schemas.openxmlformats.org/officeDocument/2006/relationships/hyperlink" Target="https://utrucking.com/admin/orders/6446610448572" TargetMode="External"/><Relationship Id="rId230" Type="http://schemas.openxmlformats.org/officeDocument/2006/relationships/hyperlink" Target="https://utrucking.com/admin/orders/5910867214524" TargetMode="External"/><Relationship Id="rId1063" Type="http://schemas.openxmlformats.org/officeDocument/2006/relationships/hyperlink" Target="https://utrucking.com/admin/orders/5936184230076" TargetMode="External"/><Relationship Id="rId2394" Type="http://schemas.openxmlformats.org/officeDocument/2006/relationships/hyperlink" Target="https://utrucking.com/admin/orders/6446614905020" TargetMode="External"/><Relationship Id="rId1064" Type="http://schemas.openxmlformats.org/officeDocument/2006/relationships/hyperlink" Target="https://utrucking.com/admin/orders/5936310681788" TargetMode="External"/><Relationship Id="rId2395" Type="http://schemas.openxmlformats.org/officeDocument/2006/relationships/hyperlink" Target="https://utrucking.com/admin/orders/6446617133244" TargetMode="External"/><Relationship Id="rId1065" Type="http://schemas.openxmlformats.org/officeDocument/2006/relationships/hyperlink" Target="https://utrucking.com/admin/orders/5936324182204" TargetMode="External"/><Relationship Id="rId2396" Type="http://schemas.openxmlformats.org/officeDocument/2006/relationships/hyperlink" Target="https://utrucking.com/admin/orders/6446617952444" TargetMode="External"/><Relationship Id="rId235" Type="http://schemas.openxmlformats.org/officeDocument/2006/relationships/hyperlink" Target="https://utrucking.com/admin/orders/5910996910268" TargetMode="External"/><Relationship Id="rId1066" Type="http://schemas.openxmlformats.org/officeDocument/2006/relationships/hyperlink" Target="https://utrucking.com/admin/orders/5936342335676" TargetMode="External"/><Relationship Id="rId2397" Type="http://schemas.openxmlformats.org/officeDocument/2006/relationships/hyperlink" Target="https://utrucking.com/admin/orders/6446618968252" TargetMode="External"/><Relationship Id="rId234" Type="http://schemas.openxmlformats.org/officeDocument/2006/relationships/hyperlink" Target="https://utrucking.com/admin/orders/5910979575996" TargetMode="External"/><Relationship Id="rId1067" Type="http://schemas.openxmlformats.org/officeDocument/2006/relationships/hyperlink" Target="https://utrucking.com/admin/orders/5936381690044" TargetMode="External"/><Relationship Id="rId2398" Type="http://schemas.openxmlformats.org/officeDocument/2006/relationships/hyperlink" Target="https://utrucking.com/admin/orders/6446622474428" TargetMode="External"/><Relationship Id="rId233" Type="http://schemas.openxmlformats.org/officeDocument/2006/relationships/hyperlink" Target="https://utrucking.com/admin/orders/5910966698172" TargetMode="External"/><Relationship Id="rId1068" Type="http://schemas.openxmlformats.org/officeDocument/2006/relationships/hyperlink" Target="https://utrucking.com/admin/orders/5936390176956" TargetMode="External"/><Relationship Id="rId2399" Type="http://schemas.openxmlformats.org/officeDocument/2006/relationships/hyperlink" Target="https://utrucking.com/admin/orders/6446671626428" TargetMode="External"/><Relationship Id="rId232" Type="http://schemas.openxmlformats.org/officeDocument/2006/relationships/hyperlink" Target="https://utrucking.com/admin/orders/5910883696828" TargetMode="External"/><Relationship Id="rId1069" Type="http://schemas.openxmlformats.org/officeDocument/2006/relationships/hyperlink" Target="https://utrucking.com/admin/orders/5936404299964" TargetMode="External"/><Relationship Id="rId1015" Type="http://schemas.openxmlformats.org/officeDocument/2006/relationships/hyperlink" Target="https://utrucking.com/admin/orders/5934532264124" TargetMode="External"/><Relationship Id="rId1499" Type="http://schemas.openxmlformats.org/officeDocument/2006/relationships/hyperlink" Target="https://utrucking.com/admin/orders/6306018361532" TargetMode="External"/><Relationship Id="rId2346" Type="http://schemas.openxmlformats.org/officeDocument/2006/relationships/hyperlink" Target="https://utrucking.com/admin/orders/6446360821948" TargetMode="External"/><Relationship Id="rId1016" Type="http://schemas.openxmlformats.org/officeDocument/2006/relationships/hyperlink" Target="https://utrucking.com/admin/orders/5934540587196" TargetMode="External"/><Relationship Id="rId2347" Type="http://schemas.openxmlformats.org/officeDocument/2006/relationships/hyperlink" Target="https://utrucking.com/admin/orders/6446361542844" TargetMode="External"/><Relationship Id="rId1017" Type="http://schemas.openxmlformats.org/officeDocument/2006/relationships/hyperlink" Target="https://utrucking.com/admin/orders/5934581383356" TargetMode="External"/><Relationship Id="rId2348" Type="http://schemas.openxmlformats.org/officeDocument/2006/relationships/hyperlink" Target="https://utrucking.com/admin/orders/6446362525884" TargetMode="External"/><Relationship Id="rId1018" Type="http://schemas.openxmlformats.org/officeDocument/2006/relationships/hyperlink" Target="https://utrucking.com/admin/orders/5934640791740" TargetMode="External"/><Relationship Id="rId2349" Type="http://schemas.openxmlformats.org/officeDocument/2006/relationships/hyperlink" Target="https://utrucking.com/admin/orders/6446365016252" TargetMode="External"/><Relationship Id="rId1019" Type="http://schemas.openxmlformats.org/officeDocument/2006/relationships/hyperlink" Target="https://utrucking.com/admin/orders/5934640791740" TargetMode="External"/><Relationship Id="rId668" Type="http://schemas.openxmlformats.org/officeDocument/2006/relationships/hyperlink" Target="https://utrucking.com/admin/orders/5920539017404" TargetMode="External"/><Relationship Id="rId667" Type="http://schemas.openxmlformats.org/officeDocument/2006/relationships/hyperlink" Target="https://utrucking.com/admin/orders/5920521322684" TargetMode="External"/><Relationship Id="rId666" Type="http://schemas.openxmlformats.org/officeDocument/2006/relationships/hyperlink" Target="https://utrucking.com/admin/orders/5920519520444" TargetMode="External"/><Relationship Id="rId665" Type="http://schemas.openxmlformats.org/officeDocument/2006/relationships/hyperlink" Target="https://utrucking.com/admin/orders/5920476496060" TargetMode="External"/><Relationship Id="rId669" Type="http://schemas.openxmlformats.org/officeDocument/2006/relationships/hyperlink" Target="https://utrucking.com/admin/orders/5920544981180" TargetMode="External"/><Relationship Id="rId1490" Type="http://schemas.openxmlformats.org/officeDocument/2006/relationships/hyperlink" Target="https://utrucking.com/admin/orders/6303615418556" TargetMode="External"/><Relationship Id="rId660" Type="http://schemas.openxmlformats.org/officeDocument/2006/relationships/hyperlink" Target="https://utrucking.com/admin/orders/5920461422780" TargetMode="External"/><Relationship Id="rId1491" Type="http://schemas.openxmlformats.org/officeDocument/2006/relationships/hyperlink" Target="https://utrucking.com/admin/orders/6303682363580" TargetMode="External"/><Relationship Id="rId1492" Type="http://schemas.openxmlformats.org/officeDocument/2006/relationships/hyperlink" Target="https://utrucking.com/admin/orders/6303731777724" TargetMode="External"/><Relationship Id="rId1493" Type="http://schemas.openxmlformats.org/officeDocument/2006/relationships/hyperlink" Target="https://utrucking.com/admin/orders/6303768772796" TargetMode="External"/><Relationship Id="rId2340" Type="http://schemas.openxmlformats.org/officeDocument/2006/relationships/hyperlink" Target="https://utrucking.com/admin/orders/6446318977212" TargetMode="External"/><Relationship Id="rId1010" Type="http://schemas.openxmlformats.org/officeDocument/2006/relationships/hyperlink" Target="https://utrucking.com/admin/orders/5934423867580" TargetMode="External"/><Relationship Id="rId1494" Type="http://schemas.openxmlformats.org/officeDocument/2006/relationships/hyperlink" Target="https://utrucking.com/admin/orders/6303890407612" TargetMode="External"/><Relationship Id="rId2341" Type="http://schemas.openxmlformats.org/officeDocument/2006/relationships/hyperlink" Target="https://utrucking.com/admin/orders/6446328283324" TargetMode="External"/><Relationship Id="rId664" Type="http://schemas.openxmlformats.org/officeDocument/2006/relationships/hyperlink" Target="https://utrucking.com/admin/orders/5920471974076" TargetMode="External"/><Relationship Id="rId1011" Type="http://schemas.openxmlformats.org/officeDocument/2006/relationships/hyperlink" Target="https://utrucking.com/admin/orders/5934435631292" TargetMode="External"/><Relationship Id="rId1495" Type="http://schemas.openxmlformats.org/officeDocument/2006/relationships/hyperlink" Target="https://utrucking.com/admin/orders/6303890407612" TargetMode="External"/><Relationship Id="rId2342" Type="http://schemas.openxmlformats.org/officeDocument/2006/relationships/hyperlink" Target="https://utrucking.com/admin/orders/6446337458364" TargetMode="External"/><Relationship Id="rId663" Type="http://schemas.openxmlformats.org/officeDocument/2006/relationships/hyperlink" Target="https://utrucking.com/admin/orders/5920469123260" TargetMode="External"/><Relationship Id="rId1012" Type="http://schemas.openxmlformats.org/officeDocument/2006/relationships/hyperlink" Target="https://utrucking.com/admin/orders/5934480752828" TargetMode="External"/><Relationship Id="rId1496" Type="http://schemas.openxmlformats.org/officeDocument/2006/relationships/hyperlink" Target="https://utrucking.com/admin/orders/6304565952700" TargetMode="External"/><Relationship Id="rId2343" Type="http://schemas.openxmlformats.org/officeDocument/2006/relationships/hyperlink" Target="https://utrucking.com/admin/orders/6446347026620" TargetMode="External"/><Relationship Id="rId662" Type="http://schemas.openxmlformats.org/officeDocument/2006/relationships/hyperlink" Target="https://utrucking.com/admin/orders/5920467321020" TargetMode="External"/><Relationship Id="rId1013" Type="http://schemas.openxmlformats.org/officeDocument/2006/relationships/hyperlink" Target="https://utrucking.com/admin/orders/5934483144892" TargetMode="External"/><Relationship Id="rId1497" Type="http://schemas.openxmlformats.org/officeDocument/2006/relationships/hyperlink" Target="https://utrucking.com/admin/orders/6304756203708" TargetMode="External"/><Relationship Id="rId2344" Type="http://schemas.openxmlformats.org/officeDocument/2006/relationships/hyperlink" Target="https://utrucking.com/admin/orders/6446354563260" TargetMode="External"/><Relationship Id="rId661" Type="http://schemas.openxmlformats.org/officeDocument/2006/relationships/hyperlink" Target="https://utrucking.com/admin/orders/5920466632892" TargetMode="External"/><Relationship Id="rId1014" Type="http://schemas.openxmlformats.org/officeDocument/2006/relationships/hyperlink" Target="https://utrucking.com/admin/orders/5934502903996" TargetMode="External"/><Relationship Id="rId1498" Type="http://schemas.openxmlformats.org/officeDocument/2006/relationships/hyperlink" Target="https://utrucking.com/admin/orders/6304836583612" TargetMode="External"/><Relationship Id="rId2345" Type="http://schemas.openxmlformats.org/officeDocument/2006/relationships/hyperlink" Target="https://utrucking.com/admin/orders/6446359740604" TargetMode="External"/><Relationship Id="rId1004" Type="http://schemas.openxmlformats.org/officeDocument/2006/relationships/hyperlink" Target="https://utrucking.com/admin/orders/5934199701692" TargetMode="External"/><Relationship Id="rId1488" Type="http://schemas.openxmlformats.org/officeDocument/2006/relationships/hyperlink" Target="https://utrucking.com/admin/orders/6303485657276" TargetMode="External"/><Relationship Id="rId2335" Type="http://schemas.openxmlformats.org/officeDocument/2006/relationships/hyperlink" Target="https://utrucking.com/admin/orders/6446301348028" TargetMode="External"/><Relationship Id="rId1005" Type="http://schemas.openxmlformats.org/officeDocument/2006/relationships/hyperlink" Target="https://utrucking.com/admin/orders/5934204846268" TargetMode="External"/><Relationship Id="rId1489" Type="http://schemas.openxmlformats.org/officeDocument/2006/relationships/hyperlink" Target="https://utrucking.com/admin/orders/6303509315772" TargetMode="External"/><Relationship Id="rId2336" Type="http://schemas.openxmlformats.org/officeDocument/2006/relationships/hyperlink" Target="https://utrucking.com/admin/orders/6446301380796" TargetMode="External"/><Relationship Id="rId1006" Type="http://schemas.openxmlformats.org/officeDocument/2006/relationships/hyperlink" Target="https://utrucking.com/admin/orders/5934209695932" TargetMode="External"/><Relationship Id="rId2337" Type="http://schemas.openxmlformats.org/officeDocument/2006/relationships/hyperlink" Target="https://utrucking.com/admin/orders/6446308851900" TargetMode="External"/><Relationship Id="rId1007" Type="http://schemas.openxmlformats.org/officeDocument/2006/relationships/hyperlink" Target="https://utrucking.com/admin/orders/5934212251836" TargetMode="External"/><Relationship Id="rId2338" Type="http://schemas.openxmlformats.org/officeDocument/2006/relationships/hyperlink" Target="https://utrucking.com/admin/orders/6446309408956" TargetMode="External"/><Relationship Id="rId1008" Type="http://schemas.openxmlformats.org/officeDocument/2006/relationships/hyperlink" Target="https://utrucking.com/admin/orders/5934227357884" TargetMode="External"/><Relationship Id="rId2339" Type="http://schemas.openxmlformats.org/officeDocument/2006/relationships/hyperlink" Target="https://utrucking.com/admin/orders/6446311538876" TargetMode="External"/><Relationship Id="rId1009" Type="http://schemas.openxmlformats.org/officeDocument/2006/relationships/hyperlink" Target="https://utrucking.com/admin/orders/5934235648188" TargetMode="External"/><Relationship Id="rId657" Type="http://schemas.openxmlformats.org/officeDocument/2006/relationships/hyperlink" Target="https://utrucking.com/admin/orders/5920410370236" TargetMode="External"/><Relationship Id="rId656" Type="http://schemas.openxmlformats.org/officeDocument/2006/relationships/hyperlink" Target="https://utrucking.com/admin/orders/5920409256124" TargetMode="External"/><Relationship Id="rId655" Type="http://schemas.openxmlformats.org/officeDocument/2006/relationships/hyperlink" Target="https://utrucking.com/admin/orders/5920399720636" TargetMode="External"/><Relationship Id="rId654" Type="http://schemas.openxmlformats.org/officeDocument/2006/relationships/hyperlink" Target="https://utrucking.com/admin/orders/5920399720636" TargetMode="External"/><Relationship Id="rId659" Type="http://schemas.openxmlformats.org/officeDocument/2006/relationships/hyperlink" Target="https://utrucking.com/admin/orders/5920441368764" TargetMode="External"/><Relationship Id="rId658" Type="http://schemas.openxmlformats.org/officeDocument/2006/relationships/hyperlink" Target="https://utrucking.com/admin/orders/5920420397244" TargetMode="External"/><Relationship Id="rId1480" Type="http://schemas.openxmlformats.org/officeDocument/2006/relationships/hyperlink" Target="https://utrucking.com/admin/orders/6291749961916" TargetMode="External"/><Relationship Id="rId1481" Type="http://schemas.openxmlformats.org/officeDocument/2006/relationships/hyperlink" Target="https://utrucking.com/admin/orders/6293902917820" TargetMode="External"/><Relationship Id="rId1482" Type="http://schemas.openxmlformats.org/officeDocument/2006/relationships/hyperlink" Target="https://utrucking.com/admin/orders/6293951611068" TargetMode="External"/><Relationship Id="rId1483" Type="http://schemas.openxmlformats.org/officeDocument/2006/relationships/hyperlink" Target="https://utrucking.com/admin/orders/6293951611068" TargetMode="External"/><Relationship Id="rId2330" Type="http://schemas.openxmlformats.org/officeDocument/2006/relationships/hyperlink" Target="https://utrucking.com/admin/orders/6446270021820" TargetMode="External"/><Relationship Id="rId653" Type="http://schemas.openxmlformats.org/officeDocument/2006/relationships/hyperlink" Target="https://utrucking.com/admin/orders/5920399458492" TargetMode="External"/><Relationship Id="rId1000" Type="http://schemas.openxmlformats.org/officeDocument/2006/relationships/hyperlink" Target="https://utrucking.com/admin/orders/5934026588348" TargetMode="External"/><Relationship Id="rId1484" Type="http://schemas.openxmlformats.org/officeDocument/2006/relationships/hyperlink" Target="https://utrucking.com/admin/orders/6294642622652" TargetMode="External"/><Relationship Id="rId2331" Type="http://schemas.openxmlformats.org/officeDocument/2006/relationships/hyperlink" Target="https://utrucking.com/admin/orders/6446270218428" TargetMode="External"/><Relationship Id="rId652" Type="http://schemas.openxmlformats.org/officeDocument/2006/relationships/hyperlink" Target="https://utrucking.com/admin/orders/5920397787324" TargetMode="External"/><Relationship Id="rId1001" Type="http://schemas.openxmlformats.org/officeDocument/2006/relationships/hyperlink" Target="https://admin.shopify.com/store/utrucking/orders/5934055063740" TargetMode="External"/><Relationship Id="rId1485" Type="http://schemas.openxmlformats.org/officeDocument/2006/relationships/hyperlink" Target="https://utrucking.com/admin/orders/6300483223740" TargetMode="External"/><Relationship Id="rId2332" Type="http://schemas.openxmlformats.org/officeDocument/2006/relationships/hyperlink" Target="https://utrucking.com/admin/orders/6446271987900" TargetMode="External"/><Relationship Id="rId651" Type="http://schemas.openxmlformats.org/officeDocument/2006/relationships/hyperlink" Target="https://utrucking.com/admin/orders/5920389333180" TargetMode="External"/><Relationship Id="rId1002" Type="http://schemas.openxmlformats.org/officeDocument/2006/relationships/hyperlink" Target="https://utrucking.com/admin/orders/5934104281276" TargetMode="External"/><Relationship Id="rId1486" Type="http://schemas.openxmlformats.org/officeDocument/2006/relationships/hyperlink" Target="https://utrucking.com/admin/orders/6303486509244" TargetMode="External"/><Relationship Id="rId2333" Type="http://schemas.openxmlformats.org/officeDocument/2006/relationships/hyperlink" Target="https://utrucking.com/admin/orders/6446289682620" TargetMode="External"/><Relationship Id="rId650" Type="http://schemas.openxmlformats.org/officeDocument/2006/relationships/hyperlink" Target="https://utrucking.com/admin/orders/5920386941116" TargetMode="External"/><Relationship Id="rId1003" Type="http://schemas.openxmlformats.org/officeDocument/2006/relationships/hyperlink" Target="https://utrucking.com/admin/orders/5934197375164" TargetMode="External"/><Relationship Id="rId1487" Type="http://schemas.openxmlformats.org/officeDocument/2006/relationships/hyperlink" Target="https://utrucking.com/admin/orders/6303486542012" TargetMode="External"/><Relationship Id="rId2334" Type="http://schemas.openxmlformats.org/officeDocument/2006/relationships/hyperlink" Target="https://utrucking.com/admin/orders/6446295122108" TargetMode="External"/><Relationship Id="rId1037" Type="http://schemas.openxmlformats.org/officeDocument/2006/relationships/hyperlink" Target="https://utrucking.com/admin/orders/5935471034556" TargetMode="External"/><Relationship Id="rId2368" Type="http://schemas.openxmlformats.org/officeDocument/2006/relationships/hyperlink" Target="https://utrucking.com/admin/orders/6446446608572" TargetMode="External"/><Relationship Id="rId1038" Type="http://schemas.openxmlformats.org/officeDocument/2006/relationships/hyperlink" Target="https://utrucking.com/admin/orders/5935491973308" TargetMode="External"/><Relationship Id="rId2369" Type="http://schemas.openxmlformats.org/officeDocument/2006/relationships/hyperlink" Target="https://utrucking.com/admin/orders/6446450933948" TargetMode="External"/><Relationship Id="rId1039" Type="http://schemas.openxmlformats.org/officeDocument/2006/relationships/hyperlink" Target="https://utrucking.com/admin/orders/5935514484924" TargetMode="External"/><Relationship Id="rId206" Type="http://schemas.openxmlformats.org/officeDocument/2006/relationships/hyperlink" Target="https://utrucking.com/admin/orders/5909561475260" TargetMode="External"/><Relationship Id="rId205" Type="http://schemas.openxmlformats.org/officeDocument/2006/relationships/hyperlink" Target="https://utrucking.com/admin/orders/5909536637116" TargetMode="External"/><Relationship Id="rId689" Type="http://schemas.openxmlformats.org/officeDocument/2006/relationships/hyperlink" Target="https://utrucking.com/admin/orders/5920933347516" TargetMode="External"/><Relationship Id="rId204" Type="http://schemas.openxmlformats.org/officeDocument/2006/relationships/hyperlink" Target="https://utrucking.com/admin/orders/5909518745788" TargetMode="External"/><Relationship Id="rId688" Type="http://schemas.openxmlformats.org/officeDocument/2006/relationships/hyperlink" Target="https://utrucking.com/admin/orders/5920888357052" TargetMode="External"/><Relationship Id="rId203" Type="http://schemas.openxmlformats.org/officeDocument/2006/relationships/hyperlink" Target="https://utrucking.com/admin/orders/5909475197116" TargetMode="External"/><Relationship Id="rId687" Type="http://schemas.openxmlformats.org/officeDocument/2006/relationships/hyperlink" Target="https://utrucking.com/admin/orders/5920887079100" TargetMode="External"/><Relationship Id="rId209" Type="http://schemas.openxmlformats.org/officeDocument/2006/relationships/hyperlink" Target="https://utrucking.com/admin/orders/5909572583612" TargetMode="External"/><Relationship Id="rId208" Type="http://schemas.openxmlformats.org/officeDocument/2006/relationships/hyperlink" Target="https://utrucking.com/admin/orders/5909566521532" TargetMode="External"/><Relationship Id="rId207" Type="http://schemas.openxmlformats.org/officeDocument/2006/relationships/hyperlink" Target="https://utrucking.com/admin/orders/5909563867324" TargetMode="External"/><Relationship Id="rId682" Type="http://schemas.openxmlformats.org/officeDocument/2006/relationships/hyperlink" Target="https://utrucking.com/admin/orders/5920815612092" TargetMode="External"/><Relationship Id="rId2360" Type="http://schemas.openxmlformats.org/officeDocument/2006/relationships/hyperlink" Target="https://utrucking.com/admin/orders/6446435303612" TargetMode="External"/><Relationship Id="rId681" Type="http://schemas.openxmlformats.org/officeDocument/2006/relationships/hyperlink" Target="https://utrucking.com/admin/orders/5920791560380" TargetMode="External"/><Relationship Id="rId1030" Type="http://schemas.openxmlformats.org/officeDocument/2006/relationships/hyperlink" Target="https://utrucking.com/admin/orders/5935261745340" TargetMode="External"/><Relationship Id="rId2361" Type="http://schemas.openxmlformats.org/officeDocument/2006/relationships/hyperlink" Target="https://utrucking.com/admin/orders/6446435434684" TargetMode="External"/><Relationship Id="rId680" Type="http://schemas.openxmlformats.org/officeDocument/2006/relationships/hyperlink" Target="https://utrucking.com/admin/orders/5920756564156" TargetMode="External"/><Relationship Id="rId1031" Type="http://schemas.openxmlformats.org/officeDocument/2006/relationships/hyperlink" Target="https://utrucking.com/admin/orders/5935290876092" TargetMode="External"/><Relationship Id="rId2362" Type="http://schemas.openxmlformats.org/officeDocument/2006/relationships/hyperlink" Target="https://utrucking.com/admin/orders/6446435729596" TargetMode="External"/><Relationship Id="rId1032" Type="http://schemas.openxmlformats.org/officeDocument/2006/relationships/hyperlink" Target="https://utrucking.com/admin/orders/5935301329084" TargetMode="External"/><Relationship Id="rId2363" Type="http://schemas.openxmlformats.org/officeDocument/2006/relationships/hyperlink" Target="https://utrucking.com/admin/orders/6446436253884" TargetMode="External"/><Relationship Id="rId202" Type="http://schemas.openxmlformats.org/officeDocument/2006/relationships/hyperlink" Target="https://utrucking.com/admin/orders/5909378695356" TargetMode="External"/><Relationship Id="rId686" Type="http://schemas.openxmlformats.org/officeDocument/2006/relationships/hyperlink" Target="https://utrucking.com/admin/orders/5920881705148" TargetMode="External"/><Relationship Id="rId1033" Type="http://schemas.openxmlformats.org/officeDocument/2006/relationships/hyperlink" Target="https://utrucking.com/admin/orders/5935330656444" TargetMode="External"/><Relationship Id="rId2364" Type="http://schemas.openxmlformats.org/officeDocument/2006/relationships/hyperlink" Target="https://utrucking.com/admin/orders/6446436319420" TargetMode="External"/><Relationship Id="rId201" Type="http://schemas.openxmlformats.org/officeDocument/2006/relationships/hyperlink" Target="https://utrucking.com/admin/orders/5909126480060" TargetMode="External"/><Relationship Id="rId685" Type="http://schemas.openxmlformats.org/officeDocument/2006/relationships/hyperlink" Target="https://utrucking.com/admin/orders/5920861094076" TargetMode="External"/><Relationship Id="rId1034" Type="http://schemas.openxmlformats.org/officeDocument/2006/relationships/hyperlink" Target="https://utrucking.com/admin/orders/5935387017404" TargetMode="External"/><Relationship Id="rId2365" Type="http://schemas.openxmlformats.org/officeDocument/2006/relationships/hyperlink" Target="https://utrucking.com/admin/orders/6446436581564" TargetMode="External"/><Relationship Id="rId200" Type="http://schemas.openxmlformats.org/officeDocument/2006/relationships/hyperlink" Target="https://utrucking.com/admin/orders/5909107703996" TargetMode="External"/><Relationship Id="rId684" Type="http://schemas.openxmlformats.org/officeDocument/2006/relationships/hyperlink" Target="https://utrucking.com/admin/orders/5920853000380" TargetMode="External"/><Relationship Id="rId1035" Type="http://schemas.openxmlformats.org/officeDocument/2006/relationships/hyperlink" Target="https://utrucking.com/admin/orders/5935402188988" TargetMode="External"/><Relationship Id="rId2366" Type="http://schemas.openxmlformats.org/officeDocument/2006/relationships/hyperlink" Target="https://utrucking.com/admin/orders/6446439596220" TargetMode="External"/><Relationship Id="rId683" Type="http://schemas.openxmlformats.org/officeDocument/2006/relationships/hyperlink" Target="https://utrucking.com/admin/orders/5920836026556" TargetMode="External"/><Relationship Id="rId1036" Type="http://schemas.openxmlformats.org/officeDocument/2006/relationships/hyperlink" Target="https://utrucking.com/admin/orders/5935449637052" TargetMode="External"/><Relationship Id="rId2367" Type="http://schemas.openxmlformats.org/officeDocument/2006/relationships/hyperlink" Target="https://utrucking.com/admin/orders/6446441070780" TargetMode="External"/><Relationship Id="rId1026" Type="http://schemas.openxmlformats.org/officeDocument/2006/relationships/hyperlink" Target="https://utrucking.com/admin/orders/5935094005948" TargetMode="External"/><Relationship Id="rId2357" Type="http://schemas.openxmlformats.org/officeDocument/2006/relationships/hyperlink" Target="https://utrucking.com/admin/orders/6446434287804" TargetMode="External"/><Relationship Id="rId1027" Type="http://schemas.openxmlformats.org/officeDocument/2006/relationships/hyperlink" Target="https://utrucking.com/admin/orders/5935096594620" TargetMode="External"/><Relationship Id="rId2358" Type="http://schemas.openxmlformats.org/officeDocument/2006/relationships/hyperlink" Target="https://utrucking.com/admin/orders/6446434418876" TargetMode="External"/><Relationship Id="rId1028" Type="http://schemas.openxmlformats.org/officeDocument/2006/relationships/hyperlink" Target="https://utrucking.com/admin/orders/5935181201596" TargetMode="External"/><Relationship Id="rId2359" Type="http://schemas.openxmlformats.org/officeDocument/2006/relationships/hyperlink" Target="https://utrucking.com/admin/orders/6446435041468" TargetMode="External"/><Relationship Id="rId1029" Type="http://schemas.openxmlformats.org/officeDocument/2006/relationships/hyperlink" Target="https://utrucking.com/admin/orders/5935223636156" TargetMode="External"/><Relationship Id="rId679" Type="http://schemas.openxmlformats.org/officeDocument/2006/relationships/hyperlink" Target="https://utrucking.com/admin/orders/5920756236476" TargetMode="External"/><Relationship Id="rId678" Type="http://schemas.openxmlformats.org/officeDocument/2006/relationships/hyperlink" Target="https://utrucking.com/admin/orders/5920746143932" TargetMode="External"/><Relationship Id="rId677" Type="http://schemas.openxmlformats.org/officeDocument/2006/relationships/hyperlink" Target="https://utrucking.com/admin/orders/5920740737212" TargetMode="External"/><Relationship Id="rId676" Type="http://schemas.openxmlformats.org/officeDocument/2006/relationships/hyperlink" Target="https://utrucking.com/admin/orders/5920720814268" TargetMode="External"/><Relationship Id="rId671" Type="http://schemas.openxmlformats.org/officeDocument/2006/relationships/hyperlink" Target="https://utrucking.com/admin/orders/5920599048380" TargetMode="External"/><Relationship Id="rId670" Type="http://schemas.openxmlformats.org/officeDocument/2006/relationships/hyperlink" Target="https://utrucking.com/admin/orders/5920583844028" TargetMode="External"/><Relationship Id="rId2350" Type="http://schemas.openxmlformats.org/officeDocument/2006/relationships/hyperlink" Target="https://utrucking.com/admin/orders/6446368653500" TargetMode="External"/><Relationship Id="rId1020" Type="http://schemas.openxmlformats.org/officeDocument/2006/relationships/hyperlink" Target="https://utrucking.com/admin/orders/5934669234364" TargetMode="External"/><Relationship Id="rId2351" Type="http://schemas.openxmlformats.org/officeDocument/2006/relationships/hyperlink" Target="https://utrucking.com/admin/orders/6446387724476" TargetMode="External"/><Relationship Id="rId1021" Type="http://schemas.openxmlformats.org/officeDocument/2006/relationships/hyperlink" Target="https://utrucking.com/admin/orders/5934716485820" TargetMode="External"/><Relationship Id="rId2352" Type="http://schemas.openxmlformats.org/officeDocument/2006/relationships/hyperlink" Target="https://utrucking.com/admin/orders/6446397620412" TargetMode="External"/><Relationship Id="rId675" Type="http://schemas.openxmlformats.org/officeDocument/2006/relationships/hyperlink" Target="https://utrucking.com/admin/orders/5920708657340" TargetMode="External"/><Relationship Id="rId1022" Type="http://schemas.openxmlformats.org/officeDocument/2006/relationships/hyperlink" Target="https://utrucking.com/admin/orders/5934839955644" TargetMode="External"/><Relationship Id="rId2353" Type="http://schemas.openxmlformats.org/officeDocument/2006/relationships/hyperlink" Target="https://utrucking.com/admin/orders/6446432125116" TargetMode="External"/><Relationship Id="rId674" Type="http://schemas.openxmlformats.org/officeDocument/2006/relationships/hyperlink" Target="https://utrucking.com/admin/orders/5920702791868" TargetMode="External"/><Relationship Id="rId1023" Type="http://schemas.openxmlformats.org/officeDocument/2006/relationships/hyperlink" Target="https://utrucking.com/admin/orders/5934869610684" TargetMode="External"/><Relationship Id="rId2354" Type="http://schemas.openxmlformats.org/officeDocument/2006/relationships/hyperlink" Target="https://utrucking.com/admin/orders/6446432583868" TargetMode="External"/><Relationship Id="rId673" Type="http://schemas.openxmlformats.org/officeDocument/2006/relationships/hyperlink" Target="https://utrucking.com/admin/orders/5920622969020" TargetMode="External"/><Relationship Id="rId1024" Type="http://schemas.openxmlformats.org/officeDocument/2006/relationships/hyperlink" Target="https://utrucking.com/admin/orders/5934940291260" TargetMode="External"/><Relationship Id="rId2355" Type="http://schemas.openxmlformats.org/officeDocument/2006/relationships/hyperlink" Target="https://utrucking.com/admin/orders/6446433435836" TargetMode="External"/><Relationship Id="rId672" Type="http://schemas.openxmlformats.org/officeDocument/2006/relationships/hyperlink" Target="https://utrucking.com/admin/orders/5920619561148" TargetMode="External"/><Relationship Id="rId1025" Type="http://schemas.openxmlformats.org/officeDocument/2006/relationships/hyperlink" Target="https://utrucking.com/admin/orders/5935070380220" TargetMode="External"/><Relationship Id="rId2356" Type="http://schemas.openxmlformats.org/officeDocument/2006/relationships/hyperlink" Target="https://utrucking.com/admin/orders/6446433861820" TargetMode="External"/><Relationship Id="rId190" Type="http://schemas.openxmlformats.org/officeDocument/2006/relationships/hyperlink" Target="https://utrucking.com/admin/orders/5908610252988" TargetMode="External"/><Relationship Id="rId194" Type="http://schemas.openxmlformats.org/officeDocument/2006/relationships/hyperlink" Target="https://utrucking.com/admin/orders/5908931346620" TargetMode="External"/><Relationship Id="rId193" Type="http://schemas.openxmlformats.org/officeDocument/2006/relationships/hyperlink" Target="https://utrucking.com/admin/orders/5908809744572" TargetMode="External"/><Relationship Id="rId192" Type="http://schemas.openxmlformats.org/officeDocument/2006/relationships/hyperlink" Target="https://utrucking.com/admin/orders/5908794409148" TargetMode="External"/><Relationship Id="rId191" Type="http://schemas.openxmlformats.org/officeDocument/2006/relationships/hyperlink" Target="https://utrucking.com/admin/orders/5908672839868" TargetMode="External"/><Relationship Id="rId187" Type="http://schemas.openxmlformats.org/officeDocument/2006/relationships/hyperlink" Target="https://utrucking.com/admin/orders/5908546420924" TargetMode="External"/><Relationship Id="rId186" Type="http://schemas.openxmlformats.org/officeDocument/2006/relationships/hyperlink" Target="https://utrucking.com/admin/orders/5908460110012" TargetMode="External"/><Relationship Id="rId185" Type="http://schemas.openxmlformats.org/officeDocument/2006/relationships/hyperlink" Target="https://utrucking.com/admin/orders/5908458406076" TargetMode="External"/><Relationship Id="rId184" Type="http://schemas.openxmlformats.org/officeDocument/2006/relationships/hyperlink" Target="https://utrucking.com/admin/orders/5908437074108" TargetMode="External"/><Relationship Id="rId189" Type="http://schemas.openxmlformats.org/officeDocument/2006/relationships/hyperlink" Target="https://utrucking.com/admin/orders/5908555563196" TargetMode="External"/><Relationship Id="rId188" Type="http://schemas.openxmlformats.org/officeDocument/2006/relationships/hyperlink" Target="https://utrucking.com/admin/orders/5908555563196" TargetMode="External"/><Relationship Id="rId183" Type="http://schemas.openxmlformats.org/officeDocument/2006/relationships/hyperlink" Target="https://utrucking.com/admin/orders/5908329562300" TargetMode="External"/><Relationship Id="rId182" Type="http://schemas.openxmlformats.org/officeDocument/2006/relationships/hyperlink" Target="https://utrucking.com/admin/orders/5908329562300" TargetMode="External"/><Relationship Id="rId181" Type="http://schemas.openxmlformats.org/officeDocument/2006/relationships/hyperlink" Target="https://utrucking.com/admin/orders/5908287520956" TargetMode="External"/><Relationship Id="rId180" Type="http://schemas.openxmlformats.org/officeDocument/2006/relationships/hyperlink" Target="https://utrucking.com/admin/orders/5908287520956" TargetMode="External"/><Relationship Id="rId176" Type="http://schemas.openxmlformats.org/officeDocument/2006/relationships/hyperlink" Target="https://utrucking.com/admin/orders/5908046151868" TargetMode="External"/><Relationship Id="rId175" Type="http://schemas.openxmlformats.org/officeDocument/2006/relationships/hyperlink" Target="https://utrucking.com/admin/orders/5907835093180" TargetMode="External"/><Relationship Id="rId174" Type="http://schemas.openxmlformats.org/officeDocument/2006/relationships/hyperlink" Target="https://utrucking.com/admin/orders/5907799376060" TargetMode="External"/><Relationship Id="rId173" Type="http://schemas.openxmlformats.org/officeDocument/2006/relationships/hyperlink" Target="https://utrucking.com/admin/orders/5907449217212" TargetMode="External"/><Relationship Id="rId179" Type="http://schemas.openxmlformats.org/officeDocument/2006/relationships/hyperlink" Target="https://utrucking.com/admin/orders/5908286275772" TargetMode="External"/><Relationship Id="rId178" Type="http://schemas.openxmlformats.org/officeDocument/2006/relationships/hyperlink" Target="https://utrucking.com/admin/orders/5908173914300" TargetMode="External"/><Relationship Id="rId177" Type="http://schemas.openxmlformats.org/officeDocument/2006/relationships/hyperlink" Target="https://utrucking.com/admin/orders/5908109590716" TargetMode="External"/><Relationship Id="rId1910" Type="http://schemas.openxmlformats.org/officeDocument/2006/relationships/hyperlink" Target="https://utrucking.com/admin/orders/6417670537404" TargetMode="External"/><Relationship Id="rId1911" Type="http://schemas.openxmlformats.org/officeDocument/2006/relationships/hyperlink" Target="https://utrucking.com/admin/orders/6417779916988" TargetMode="External"/><Relationship Id="rId1912" Type="http://schemas.openxmlformats.org/officeDocument/2006/relationships/hyperlink" Target="https://utrucking.com/admin/orders/6417871143100" TargetMode="External"/><Relationship Id="rId1913" Type="http://schemas.openxmlformats.org/officeDocument/2006/relationships/hyperlink" Target="https://utrucking.com/admin/orders/6417945755836" TargetMode="External"/><Relationship Id="rId1914" Type="http://schemas.openxmlformats.org/officeDocument/2006/relationships/hyperlink" Target="https://utrucking.com/admin/orders/6418097143996" TargetMode="External"/><Relationship Id="rId1915" Type="http://schemas.openxmlformats.org/officeDocument/2006/relationships/hyperlink" Target="https://utrucking.com/admin/orders/6418309906620" TargetMode="External"/><Relationship Id="rId1916" Type="http://schemas.openxmlformats.org/officeDocument/2006/relationships/hyperlink" Target="https://utrucking.com/admin/orders/6418613862588" TargetMode="External"/><Relationship Id="rId1917" Type="http://schemas.openxmlformats.org/officeDocument/2006/relationships/hyperlink" Target="https://utrucking.com/admin/orders/6418625593532" TargetMode="External"/><Relationship Id="rId1918" Type="http://schemas.openxmlformats.org/officeDocument/2006/relationships/hyperlink" Target="https://utrucking.com/admin/orders/6418645450940" TargetMode="External"/><Relationship Id="rId1919" Type="http://schemas.openxmlformats.org/officeDocument/2006/relationships/hyperlink" Target="https://utrucking.com/admin/orders/6418648858812" TargetMode="External"/><Relationship Id="rId1900" Type="http://schemas.openxmlformats.org/officeDocument/2006/relationships/hyperlink" Target="https://utrucking.com/admin/orders/6417183572156" TargetMode="External"/><Relationship Id="rId1901" Type="http://schemas.openxmlformats.org/officeDocument/2006/relationships/hyperlink" Target="https://utrucking.com/admin/orders/6417220436156" TargetMode="External"/><Relationship Id="rId1902" Type="http://schemas.openxmlformats.org/officeDocument/2006/relationships/hyperlink" Target="https://utrucking.com/admin/orders/6417274798268" TargetMode="External"/><Relationship Id="rId1903" Type="http://schemas.openxmlformats.org/officeDocument/2006/relationships/hyperlink" Target="https://utrucking.com/admin/orders/6417369432252" TargetMode="External"/><Relationship Id="rId1904" Type="http://schemas.openxmlformats.org/officeDocument/2006/relationships/hyperlink" Target="https://utrucking.com/admin/orders/6417402200252" TargetMode="External"/><Relationship Id="rId1905" Type="http://schemas.openxmlformats.org/officeDocument/2006/relationships/hyperlink" Target="https://utrucking.com/admin/orders/6417525768380" TargetMode="External"/><Relationship Id="rId1906" Type="http://schemas.openxmlformats.org/officeDocument/2006/relationships/hyperlink" Target="https://utrucking.com/admin/orders/6417583014076" TargetMode="External"/><Relationship Id="rId1907" Type="http://schemas.openxmlformats.org/officeDocument/2006/relationships/hyperlink" Target="https://utrucking.com/admin/orders/6417625940156" TargetMode="External"/><Relationship Id="rId1908" Type="http://schemas.openxmlformats.org/officeDocument/2006/relationships/hyperlink" Target="https://utrucking.com/admin/orders/6417643831484" TargetMode="External"/><Relationship Id="rId1909" Type="http://schemas.openxmlformats.org/officeDocument/2006/relationships/hyperlink" Target="https://utrucking.com/admin/orders/6417644945596" TargetMode="External"/><Relationship Id="rId198" Type="http://schemas.openxmlformats.org/officeDocument/2006/relationships/hyperlink" Target="https://utrucking.com/admin/orders/5909061697724" TargetMode="External"/><Relationship Id="rId197" Type="http://schemas.openxmlformats.org/officeDocument/2006/relationships/hyperlink" Target="https://utrucking.com/admin/orders/5909034172604" TargetMode="External"/><Relationship Id="rId196" Type="http://schemas.openxmlformats.org/officeDocument/2006/relationships/hyperlink" Target="https://utrucking.com/admin/orders/5908998258876" TargetMode="External"/><Relationship Id="rId195" Type="http://schemas.openxmlformats.org/officeDocument/2006/relationships/hyperlink" Target="https://utrucking.com/admin/orders/5908934557884" TargetMode="External"/><Relationship Id="rId199" Type="http://schemas.openxmlformats.org/officeDocument/2006/relationships/hyperlink" Target="https://utrucking.com/admin/orders/5909102887100" TargetMode="External"/><Relationship Id="rId150" Type="http://schemas.openxmlformats.org/officeDocument/2006/relationships/hyperlink" Target="https://utrucking.com/admin/orders/5905277124796" TargetMode="External"/><Relationship Id="rId149" Type="http://schemas.openxmlformats.org/officeDocument/2006/relationships/hyperlink" Target="https://utrucking.com/admin/orders/5905275650236" TargetMode="External"/><Relationship Id="rId148" Type="http://schemas.openxmlformats.org/officeDocument/2006/relationships/hyperlink" Target="https://utrucking.com/admin/orders/5905274142908" TargetMode="External"/><Relationship Id="rId1090" Type="http://schemas.openxmlformats.org/officeDocument/2006/relationships/hyperlink" Target="https://utrucking.com/admin/orders/5937169629372" TargetMode="External"/><Relationship Id="rId1091" Type="http://schemas.openxmlformats.org/officeDocument/2006/relationships/hyperlink" Target="https://utrucking.com/admin/orders/5937174577340" TargetMode="External"/><Relationship Id="rId1092" Type="http://schemas.openxmlformats.org/officeDocument/2006/relationships/hyperlink" Target="https://utrucking.com/admin/orders/5937175625916" TargetMode="External"/><Relationship Id="rId1093" Type="http://schemas.openxmlformats.org/officeDocument/2006/relationships/hyperlink" Target="https://utrucking.com/admin/orders/5937197908156" TargetMode="External"/><Relationship Id="rId1094" Type="http://schemas.openxmlformats.org/officeDocument/2006/relationships/hyperlink" Target="https://utrucking.com/admin/orders/5937224188092" TargetMode="External"/><Relationship Id="rId143" Type="http://schemas.openxmlformats.org/officeDocument/2006/relationships/hyperlink" Target="https://utrucking.com/admin/orders/5905179443388" TargetMode="External"/><Relationship Id="rId1095" Type="http://schemas.openxmlformats.org/officeDocument/2006/relationships/hyperlink" Target="https://utrucking.com/admin/orders/5937274355900" TargetMode="External"/><Relationship Id="rId142" Type="http://schemas.openxmlformats.org/officeDocument/2006/relationships/hyperlink" Target="https://utrucking.com/admin/orders/5905059741884" TargetMode="External"/><Relationship Id="rId1096" Type="http://schemas.openxmlformats.org/officeDocument/2006/relationships/hyperlink" Target="https://utrucking.com/admin/orders/5937344872636" TargetMode="External"/><Relationship Id="rId141" Type="http://schemas.openxmlformats.org/officeDocument/2006/relationships/hyperlink" Target="https://utrucking.com/admin/orders/5905039294652" TargetMode="External"/><Relationship Id="rId1097" Type="http://schemas.openxmlformats.org/officeDocument/2006/relationships/hyperlink" Target="https://utrucking.com/admin/orders/5937456087228" TargetMode="External"/><Relationship Id="rId140" Type="http://schemas.openxmlformats.org/officeDocument/2006/relationships/hyperlink" Target="https://utrucking.com/admin/orders/5905014063292" TargetMode="External"/><Relationship Id="rId1098" Type="http://schemas.openxmlformats.org/officeDocument/2006/relationships/hyperlink" Target="https://utrucking.com/admin/orders/5937583227068" TargetMode="External"/><Relationship Id="rId147" Type="http://schemas.openxmlformats.org/officeDocument/2006/relationships/hyperlink" Target="https://utrucking.com/admin/orders/5905254318268" TargetMode="External"/><Relationship Id="rId1099" Type="http://schemas.openxmlformats.org/officeDocument/2006/relationships/hyperlink" Target="https://admin.shopify.com/store/utrucking/orders/5937637720252?link_source=search" TargetMode="External"/><Relationship Id="rId146" Type="http://schemas.openxmlformats.org/officeDocument/2006/relationships/hyperlink" Target="https://utrucking.com/admin/orders/5905232101564" TargetMode="External"/><Relationship Id="rId145" Type="http://schemas.openxmlformats.org/officeDocument/2006/relationships/hyperlink" Target="https://utrucking.com/admin/orders/5905232101564" TargetMode="External"/><Relationship Id="rId144" Type="http://schemas.openxmlformats.org/officeDocument/2006/relationships/hyperlink" Target="https://utrucking.com/admin/orders/5905193992380" TargetMode="External"/><Relationship Id="rId139" Type="http://schemas.openxmlformats.org/officeDocument/2006/relationships/hyperlink" Target="https://utrucking.com/admin/orders/5905010557116" TargetMode="External"/><Relationship Id="rId138" Type="http://schemas.openxmlformats.org/officeDocument/2006/relationships/hyperlink" Target="https://utrucking.com/admin/orders/5905003708604" TargetMode="External"/><Relationship Id="rId137" Type="http://schemas.openxmlformats.org/officeDocument/2006/relationships/hyperlink" Target="https://utrucking.com/admin/orders/5904987586748" TargetMode="External"/><Relationship Id="rId1080" Type="http://schemas.openxmlformats.org/officeDocument/2006/relationships/hyperlink" Target="https://utrucking.com/admin/orders/5936930881724" TargetMode="External"/><Relationship Id="rId1081" Type="http://schemas.openxmlformats.org/officeDocument/2006/relationships/hyperlink" Target="https://utrucking.com/admin/orders/5936968138940" TargetMode="External"/><Relationship Id="rId1082" Type="http://schemas.openxmlformats.org/officeDocument/2006/relationships/hyperlink" Target="https://utrucking.com/admin/orders/5936996188348" TargetMode="External"/><Relationship Id="rId1083" Type="http://schemas.openxmlformats.org/officeDocument/2006/relationships/hyperlink" Target="https://utrucking.com/admin/orders/5937012441276" TargetMode="External"/><Relationship Id="rId132" Type="http://schemas.openxmlformats.org/officeDocument/2006/relationships/hyperlink" Target="https://utrucking.com/admin/orders/5904587292860" TargetMode="External"/><Relationship Id="rId1084" Type="http://schemas.openxmlformats.org/officeDocument/2006/relationships/hyperlink" Target="https://utrucking.com/admin/orders/5937032855740" TargetMode="External"/><Relationship Id="rId131" Type="http://schemas.openxmlformats.org/officeDocument/2006/relationships/hyperlink" Target="https://utrucking.com/admin/orders/5904547086524" TargetMode="External"/><Relationship Id="rId1085" Type="http://schemas.openxmlformats.org/officeDocument/2006/relationships/hyperlink" Target="https://utrucking.com/admin/orders/5937034625212" TargetMode="External"/><Relationship Id="rId130" Type="http://schemas.openxmlformats.org/officeDocument/2006/relationships/hyperlink" Target="https://utrucking.com/admin/orders/5904534667452" TargetMode="External"/><Relationship Id="rId1086" Type="http://schemas.openxmlformats.org/officeDocument/2006/relationships/hyperlink" Target="https://utrucking.com/admin/orders/5937056448700" TargetMode="External"/><Relationship Id="rId1087" Type="http://schemas.openxmlformats.org/officeDocument/2006/relationships/hyperlink" Target="https://utrucking.com/admin/orders/5937078862012" TargetMode="External"/><Relationship Id="rId136" Type="http://schemas.openxmlformats.org/officeDocument/2006/relationships/hyperlink" Target="https://utrucking.com/admin/orders/5904985784508" TargetMode="External"/><Relationship Id="rId1088" Type="http://schemas.openxmlformats.org/officeDocument/2006/relationships/hyperlink" Target="https://utrucking.com/admin/orders/5937123786940" TargetMode="External"/><Relationship Id="rId135" Type="http://schemas.openxmlformats.org/officeDocument/2006/relationships/hyperlink" Target="https://utrucking.com/admin/orders/5904984113340" TargetMode="External"/><Relationship Id="rId1089" Type="http://schemas.openxmlformats.org/officeDocument/2006/relationships/hyperlink" Target="https://utrucking.com/admin/orders/5937162289340" TargetMode="External"/><Relationship Id="rId134" Type="http://schemas.openxmlformats.org/officeDocument/2006/relationships/hyperlink" Target="https://utrucking.com/admin/orders/5904831086780" TargetMode="External"/><Relationship Id="rId133" Type="http://schemas.openxmlformats.org/officeDocument/2006/relationships/hyperlink" Target="https://utrucking.com/admin/orders/5904591716540" TargetMode="External"/><Relationship Id="rId172" Type="http://schemas.openxmlformats.org/officeDocument/2006/relationships/hyperlink" Target="https://utrucking.com/admin/orders/5907449315516" TargetMode="External"/><Relationship Id="rId171" Type="http://schemas.openxmlformats.org/officeDocument/2006/relationships/hyperlink" Target="https://utrucking.com/admin/orders/5907370311868" TargetMode="External"/><Relationship Id="rId170" Type="http://schemas.openxmlformats.org/officeDocument/2006/relationships/hyperlink" Target="https://utrucking.com/admin/orders/5907264864444" TargetMode="External"/><Relationship Id="rId165" Type="http://schemas.openxmlformats.org/officeDocument/2006/relationships/hyperlink" Target="https://utrucking.com/admin/orders/5906011127996" TargetMode="External"/><Relationship Id="rId164" Type="http://schemas.openxmlformats.org/officeDocument/2006/relationships/hyperlink" Target="https://utrucking.com/admin/orders/5905989796028" TargetMode="External"/><Relationship Id="rId163" Type="http://schemas.openxmlformats.org/officeDocument/2006/relationships/hyperlink" Target="https://utrucking.com/admin/orders/5905948704956" TargetMode="External"/><Relationship Id="rId162" Type="http://schemas.openxmlformats.org/officeDocument/2006/relationships/hyperlink" Target="https://utrucking.com/admin/orders/5905941233852" TargetMode="External"/><Relationship Id="rId169" Type="http://schemas.openxmlformats.org/officeDocument/2006/relationships/hyperlink" Target="https://utrucking.com/admin/orders/5907253657788" TargetMode="External"/><Relationship Id="rId168" Type="http://schemas.openxmlformats.org/officeDocument/2006/relationships/hyperlink" Target="https://utrucking.com/admin/orders/5906274451644" TargetMode="External"/><Relationship Id="rId167" Type="http://schemas.openxmlformats.org/officeDocument/2006/relationships/hyperlink" Target="https://utrucking.com/admin/orders/5906081415356" TargetMode="External"/><Relationship Id="rId166" Type="http://schemas.openxmlformats.org/officeDocument/2006/relationships/hyperlink" Target="https://utrucking.com/admin/orders/5906066178236" TargetMode="External"/><Relationship Id="rId161" Type="http://schemas.openxmlformats.org/officeDocument/2006/relationships/hyperlink" Target="https://utrucking.com/admin/orders/5905936351420" TargetMode="External"/><Relationship Id="rId160" Type="http://schemas.openxmlformats.org/officeDocument/2006/relationships/hyperlink" Target="https://utrucking.com/admin/orders/5905908891836" TargetMode="External"/><Relationship Id="rId159" Type="http://schemas.openxmlformats.org/officeDocument/2006/relationships/hyperlink" Target="https://utrucking.com/admin/orders/5905565909180" TargetMode="External"/><Relationship Id="rId154" Type="http://schemas.openxmlformats.org/officeDocument/2006/relationships/hyperlink" Target="https://utrucking.com/admin/orders/5905502994620" TargetMode="External"/><Relationship Id="rId153" Type="http://schemas.openxmlformats.org/officeDocument/2006/relationships/hyperlink" Target="https://utrucking.com/admin/orders/5905421828284" TargetMode="External"/><Relationship Id="rId152" Type="http://schemas.openxmlformats.org/officeDocument/2006/relationships/hyperlink" Target="https://utrucking.com/admin/orders/5905367040188" TargetMode="External"/><Relationship Id="rId151" Type="http://schemas.openxmlformats.org/officeDocument/2006/relationships/hyperlink" Target="https://utrucking.com/admin/orders/5905348264124" TargetMode="External"/><Relationship Id="rId158" Type="http://schemas.openxmlformats.org/officeDocument/2006/relationships/hyperlink" Target="https://utrucking.com/admin/orders/5905513906364" TargetMode="External"/><Relationship Id="rId157" Type="http://schemas.openxmlformats.org/officeDocument/2006/relationships/hyperlink" Target="https://utrucking.com/admin/orders/5905513021628" TargetMode="External"/><Relationship Id="rId156" Type="http://schemas.openxmlformats.org/officeDocument/2006/relationships/hyperlink" Target="https://utrucking.com/admin/orders/5905513021628" TargetMode="External"/><Relationship Id="rId155" Type="http://schemas.openxmlformats.org/officeDocument/2006/relationships/hyperlink" Target="https://utrucking.com/admin/orders/5905503715516" TargetMode="External"/><Relationship Id="rId1972" Type="http://schemas.openxmlformats.org/officeDocument/2006/relationships/hyperlink" Target="https://utrucking.com/admin/orders/6420619264188" TargetMode="External"/><Relationship Id="rId1973" Type="http://schemas.openxmlformats.org/officeDocument/2006/relationships/hyperlink" Target="https://utrucking.com/admin/orders/6420689420476" TargetMode="External"/><Relationship Id="rId2820" Type="http://schemas.openxmlformats.org/officeDocument/2006/relationships/hyperlink" Target="https://utrucking.com/admin/orders/6459828502716" TargetMode="External"/><Relationship Id="rId1974" Type="http://schemas.openxmlformats.org/officeDocument/2006/relationships/hyperlink" Target="https://utrucking.com/admin/orders/6420925055164" TargetMode="External"/><Relationship Id="rId2821" Type="http://schemas.openxmlformats.org/officeDocument/2006/relationships/hyperlink" Target="https://utrucking.com/admin/orders/6459988836540" TargetMode="External"/><Relationship Id="rId1975" Type="http://schemas.openxmlformats.org/officeDocument/2006/relationships/hyperlink" Target="https://utrucking.com/admin/orders/6421201420476" TargetMode="External"/><Relationship Id="rId2822" Type="http://schemas.openxmlformats.org/officeDocument/2006/relationships/hyperlink" Target="https://utrucking.com/admin/orders/6460036153532" TargetMode="External"/><Relationship Id="rId1976" Type="http://schemas.openxmlformats.org/officeDocument/2006/relationships/hyperlink" Target="https://utrucking.com/admin/orders/6421280850108" TargetMode="External"/><Relationship Id="rId2823" Type="http://schemas.openxmlformats.org/officeDocument/2006/relationships/hyperlink" Target="https://utrucking.com/admin/orders/6460072165564" TargetMode="External"/><Relationship Id="rId1977" Type="http://schemas.openxmlformats.org/officeDocument/2006/relationships/hyperlink" Target="https://utrucking.com/admin/orders/6421292286140" TargetMode="External"/><Relationship Id="rId2824" Type="http://schemas.openxmlformats.org/officeDocument/2006/relationships/hyperlink" Target="https://utrucking.com/admin/orders/6460198912188" TargetMode="External"/><Relationship Id="rId1978" Type="http://schemas.openxmlformats.org/officeDocument/2006/relationships/hyperlink" Target="https://utrucking.com/admin/orders/6421458976956" TargetMode="External"/><Relationship Id="rId2825" Type="http://schemas.openxmlformats.org/officeDocument/2006/relationships/hyperlink" Target="https://utrucking.com/admin/orders/6460198912188" TargetMode="External"/><Relationship Id="rId1979" Type="http://schemas.openxmlformats.org/officeDocument/2006/relationships/hyperlink" Target="https://utrucking.com/admin/orders/6421465071804" TargetMode="External"/><Relationship Id="rId2826" Type="http://schemas.openxmlformats.org/officeDocument/2006/relationships/hyperlink" Target="https://utrucking.com/admin/orders/6460203237564" TargetMode="External"/><Relationship Id="rId2827" Type="http://schemas.openxmlformats.org/officeDocument/2006/relationships/hyperlink" Target="https://utrucking.com/admin/orders/6460223783100" TargetMode="External"/><Relationship Id="rId2828" Type="http://schemas.openxmlformats.org/officeDocument/2006/relationships/hyperlink" Target="https://utrucking.com/admin/orders/6460246917308" TargetMode="External"/><Relationship Id="rId2829" Type="http://schemas.openxmlformats.org/officeDocument/2006/relationships/hyperlink" Target="https://utrucking.com/admin/orders/6460252061884" TargetMode="External"/><Relationship Id="rId1970" Type="http://schemas.openxmlformats.org/officeDocument/2006/relationships/hyperlink" Target="https://utrucking.com/admin/orders/6416182804668" TargetMode="External"/><Relationship Id="rId1971" Type="http://schemas.openxmlformats.org/officeDocument/2006/relationships/hyperlink" Target="https://utrucking.com/admin/orders/6420605632700" TargetMode="External"/><Relationship Id="rId1961" Type="http://schemas.openxmlformats.org/officeDocument/2006/relationships/hyperlink" Target="https://utrucking.com/admin/orders/6420108509372" TargetMode="External"/><Relationship Id="rId1962" Type="http://schemas.openxmlformats.org/officeDocument/2006/relationships/hyperlink" Target="https://utrucking.com/admin/orders/6420205437116" TargetMode="External"/><Relationship Id="rId1963" Type="http://schemas.openxmlformats.org/officeDocument/2006/relationships/hyperlink" Target="https://utrucking.com/admin/orders/6420205437116" TargetMode="External"/><Relationship Id="rId2810" Type="http://schemas.openxmlformats.org/officeDocument/2006/relationships/hyperlink" Target="https://utrucking.com/admin/orders/6459435253948" TargetMode="External"/><Relationship Id="rId1964" Type="http://schemas.openxmlformats.org/officeDocument/2006/relationships/hyperlink" Target="https://utrucking.com/admin/orders/6420215562428" TargetMode="External"/><Relationship Id="rId2811" Type="http://schemas.openxmlformats.org/officeDocument/2006/relationships/hyperlink" Target="https://utrucking.com/admin/orders/6459464614076" TargetMode="External"/><Relationship Id="rId1965" Type="http://schemas.openxmlformats.org/officeDocument/2006/relationships/hyperlink" Target="https://utrucking.com/admin/orders/6420225392828" TargetMode="External"/><Relationship Id="rId2812" Type="http://schemas.openxmlformats.org/officeDocument/2006/relationships/hyperlink" Target="https://utrucking.com/admin/orders/6459498725564" TargetMode="External"/><Relationship Id="rId1966" Type="http://schemas.openxmlformats.org/officeDocument/2006/relationships/hyperlink" Target="https://utrucking.com/admin/orders/6420263436476" TargetMode="External"/><Relationship Id="rId2813" Type="http://schemas.openxmlformats.org/officeDocument/2006/relationships/hyperlink" Target="https://utrucking.com/admin/orders/6459545747644" TargetMode="External"/><Relationship Id="rId1967" Type="http://schemas.openxmlformats.org/officeDocument/2006/relationships/hyperlink" Target="https://utrucking.com/admin/orders/6420271923388" TargetMode="External"/><Relationship Id="rId2814" Type="http://schemas.openxmlformats.org/officeDocument/2006/relationships/hyperlink" Target="https://utrucking.com/admin/orders/6459567898812" TargetMode="External"/><Relationship Id="rId1968" Type="http://schemas.openxmlformats.org/officeDocument/2006/relationships/hyperlink" Target="https://utrucking.com/admin/orders/6420307411132" TargetMode="External"/><Relationship Id="rId2815" Type="http://schemas.openxmlformats.org/officeDocument/2006/relationships/hyperlink" Target="https://utrucking.com/admin/orders/6459581333692" TargetMode="External"/><Relationship Id="rId1969" Type="http://schemas.openxmlformats.org/officeDocument/2006/relationships/hyperlink" Target="https://utrucking.com/admin/orders/6420369211580" TargetMode="External"/><Relationship Id="rId2816" Type="http://schemas.openxmlformats.org/officeDocument/2006/relationships/hyperlink" Target="https://utrucking.com/admin/orders/6459609186492" TargetMode="External"/><Relationship Id="rId2817" Type="http://schemas.openxmlformats.org/officeDocument/2006/relationships/hyperlink" Target="https://utrucking.com/admin/orders/6459649097916" TargetMode="External"/><Relationship Id="rId2818" Type="http://schemas.openxmlformats.org/officeDocument/2006/relationships/hyperlink" Target="https://utrucking.com/admin/orders/6459721941180" TargetMode="External"/><Relationship Id="rId2819" Type="http://schemas.openxmlformats.org/officeDocument/2006/relationships/hyperlink" Target="https://utrucking.com/admin/orders/6459739308220" TargetMode="External"/><Relationship Id="rId1960" Type="http://schemas.openxmlformats.org/officeDocument/2006/relationships/hyperlink" Target="https://utrucking.com/admin/orders/6420079313084" TargetMode="External"/><Relationship Id="rId1510" Type="http://schemas.openxmlformats.org/officeDocument/2006/relationships/hyperlink" Target="https://utrucking.com/admin/orders/6312790032572" TargetMode="External"/><Relationship Id="rId1994" Type="http://schemas.openxmlformats.org/officeDocument/2006/relationships/hyperlink" Target="https://utrucking.com/admin/orders/6422565159100" TargetMode="External"/><Relationship Id="rId2841" Type="http://schemas.openxmlformats.org/officeDocument/2006/relationships/hyperlink" Target="https://utrucking.com/admin/orders/6460959686844" TargetMode="External"/><Relationship Id="rId1511" Type="http://schemas.openxmlformats.org/officeDocument/2006/relationships/hyperlink" Target="https://utrucking.com/admin/orders/6313196224700" TargetMode="External"/><Relationship Id="rId1995" Type="http://schemas.openxmlformats.org/officeDocument/2006/relationships/hyperlink" Target="https://utrucking.com/admin/orders/6422602514620" TargetMode="External"/><Relationship Id="rId2842" Type="http://schemas.openxmlformats.org/officeDocument/2006/relationships/hyperlink" Target="https://utrucking.com/admin/orders/6460996747452" TargetMode="External"/><Relationship Id="rId1512" Type="http://schemas.openxmlformats.org/officeDocument/2006/relationships/hyperlink" Target="https://utrucking.com/admin/orders/6313291219132" TargetMode="External"/><Relationship Id="rId1996" Type="http://schemas.openxmlformats.org/officeDocument/2006/relationships/hyperlink" Target="https://utrucking.com/admin/orders/6422663790780" TargetMode="External"/><Relationship Id="rId2843" Type="http://schemas.openxmlformats.org/officeDocument/2006/relationships/hyperlink" Target="https://utrucking.com/admin/orders/6461099344060" TargetMode="External"/><Relationship Id="rId1513" Type="http://schemas.openxmlformats.org/officeDocument/2006/relationships/hyperlink" Target="https://utrucking.com/admin/orders/6321384358076" TargetMode="External"/><Relationship Id="rId1997" Type="http://schemas.openxmlformats.org/officeDocument/2006/relationships/hyperlink" Target="https://utrucking.com/admin/orders/6422663790780" TargetMode="External"/><Relationship Id="rId2844" Type="http://schemas.openxmlformats.org/officeDocument/2006/relationships/hyperlink" Target="https://utrucking.com/admin/orders/6461164978364" TargetMode="External"/><Relationship Id="rId1514" Type="http://schemas.openxmlformats.org/officeDocument/2006/relationships/hyperlink" Target="https://utrucking.com/admin/orders/6321768333500" TargetMode="External"/><Relationship Id="rId1998" Type="http://schemas.openxmlformats.org/officeDocument/2006/relationships/hyperlink" Target="https://utrucking.com/admin/orders/6422679650492" TargetMode="External"/><Relationship Id="rId2845" Type="http://schemas.openxmlformats.org/officeDocument/2006/relationships/hyperlink" Target="https://utrucking.com/admin/orders/6461300113596" TargetMode="External"/><Relationship Id="rId1515" Type="http://schemas.openxmlformats.org/officeDocument/2006/relationships/hyperlink" Target="https://utrucking.com/admin/orders/6323846774972" TargetMode="External"/><Relationship Id="rId1999" Type="http://schemas.openxmlformats.org/officeDocument/2006/relationships/hyperlink" Target="https://utrucking.com/admin/orders/6422688792764" TargetMode="External"/><Relationship Id="rId2846" Type="http://schemas.openxmlformats.org/officeDocument/2006/relationships/hyperlink" Target="https://utrucking.com/admin/orders/6461303259324" TargetMode="External"/><Relationship Id="rId1516" Type="http://schemas.openxmlformats.org/officeDocument/2006/relationships/hyperlink" Target="https://utrucking.com/admin/orders/6324112523452" TargetMode="External"/><Relationship Id="rId2847" Type="http://schemas.openxmlformats.org/officeDocument/2006/relationships/hyperlink" Target="https://utrucking.com/admin/orders/6461467656380" TargetMode="External"/><Relationship Id="rId1517" Type="http://schemas.openxmlformats.org/officeDocument/2006/relationships/hyperlink" Target="https://utrucking.com/admin/orders/6324159414460" TargetMode="External"/><Relationship Id="rId2848" Type="http://schemas.openxmlformats.org/officeDocument/2006/relationships/hyperlink" Target="https://utrucking.com/admin/orders/6461913628860" TargetMode="External"/><Relationship Id="rId1518" Type="http://schemas.openxmlformats.org/officeDocument/2006/relationships/hyperlink" Target="https://utrucking.com/admin/orders/6325497626812" TargetMode="External"/><Relationship Id="rId2849" Type="http://schemas.openxmlformats.org/officeDocument/2006/relationships/hyperlink" Target="https://utrucking.com/admin/orders/6461917888700" TargetMode="External"/><Relationship Id="rId1519" Type="http://schemas.openxmlformats.org/officeDocument/2006/relationships/hyperlink" Target="https://utrucking.com/admin/orders/6325523972284" TargetMode="External"/><Relationship Id="rId1990" Type="http://schemas.openxmlformats.org/officeDocument/2006/relationships/hyperlink" Target="https://utrucking.com/admin/orders/6422479012028" TargetMode="External"/><Relationship Id="rId1991" Type="http://schemas.openxmlformats.org/officeDocument/2006/relationships/hyperlink" Target="https://utrucking.com/admin/orders/6422479012028" TargetMode="External"/><Relationship Id="rId1992" Type="http://schemas.openxmlformats.org/officeDocument/2006/relationships/hyperlink" Target="https://utrucking.com/admin/orders/6422556180668" TargetMode="External"/><Relationship Id="rId1993" Type="http://schemas.openxmlformats.org/officeDocument/2006/relationships/hyperlink" Target="https://utrucking.com/admin/orders/6422556180668" TargetMode="External"/><Relationship Id="rId2840" Type="http://schemas.openxmlformats.org/officeDocument/2006/relationships/hyperlink" Target="https://utrucking.com/admin/orders/6460928032956" TargetMode="External"/><Relationship Id="rId1983" Type="http://schemas.openxmlformats.org/officeDocument/2006/relationships/hyperlink" Target="https://utrucking.com/admin/orders/6421666889916" TargetMode="External"/><Relationship Id="rId2830" Type="http://schemas.openxmlformats.org/officeDocument/2006/relationships/hyperlink" Target="https://utrucking.com/admin/orders/6460263727292" TargetMode="External"/><Relationship Id="rId1500" Type="http://schemas.openxmlformats.org/officeDocument/2006/relationships/hyperlink" Target="https://utrucking.com/admin/orders/6307034923196" TargetMode="External"/><Relationship Id="rId1984" Type="http://schemas.openxmlformats.org/officeDocument/2006/relationships/hyperlink" Target="https://utrucking.com/admin/orders/6421730033852" TargetMode="External"/><Relationship Id="rId2831" Type="http://schemas.openxmlformats.org/officeDocument/2006/relationships/hyperlink" Target="https://utrucking.com/admin/orders/6460279488700" TargetMode="External"/><Relationship Id="rId1501" Type="http://schemas.openxmlformats.org/officeDocument/2006/relationships/hyperlink" Target="https://utrucking.com/admin/orders/6307433218236" TargetMode="External"/><Relationship Id="rId1985" Type="http://schemas.openxmlformats.org/officeDocument/2006/relationships/hyperlink" Target="https://utrucking.com/admin/orders/6421819818172" TargetMode="External"/><Relationship Id="rId2832" Type="http://schemas.openxmlformats.org/officeDocument/2006/relationships/hyperlink" Target="https://utrucking.com/admin/orders/6460401877180" TargetMode="External"/><Relationship Id="rId1502" Type="http://schemas.openxmlformats.org/officeDocument/2006/relationships/hyperlink" Target="https://utrucking.com/admin/orders/6308447191228" TargetMode="External"/><Relationship Id="rId1986" Type="http://schemas.openxmlformats.org/officeDocument/2006/relationships/hyperlink" Target="https://utrucking.com/admin/orders/6421839839420" TargetMode="External"/><Relationship Id="rId2833" Type="http://schemas.openxmlformats.org/officeDocument/2006/relationships/hyperlink" Target="https://utrucking.com/admin/orders/6460440772796" TargetMode="External"/><Relationship Id="rId1503" Type="http://schemas.openxmlformats.org/officeDocument/2006/relationships/hyperlink" Target="https://utrucking.com/admin/orders/6308640260284" TargetMode="External"/><Relationship Id="rId1987" Type="http://schemas.openxmlformats.org/officeDocument/2006/relationships/hyperlink" Target="https://utrucking.com/admin/orders/6421888696508" TargetMode="External"/><Relationship Id="rId2834" Type="http://schemas.openxmlformats.org/officeDocument/2006/relationships/hyperlink" Target="https://utrucking.com/admin/orders/6460491563196" TargetMode="External"/><Relationship Id="rId1504" Type="http://schemas.openxmlformats.org/officeDocument/2006/relationships/hyperlink" Target="https://utrucking.com/admin/orders/6309456445628" TargetMode="External"/><Relationship Id="rId1988" Type="http://schemas.openxmlformats.org/officeDocument/2006/relationships/hyperlink" Target="https://utrucking.com/admin/orders/6422400860348" TargetMode="External"/><Relationship Id="rId2835" Type="http://schemas.openxmlformats.org/officeDocument/2006/relationships/hyperlink" Target="https://utrucking.com/admin/orders/6460561817788" TargetMode="External"/><Relationship Id="rId1505" Type="http://schemas.openxmlformats.org/officeDocument/2006/relationships/hyperlink" Target="https://utrucking.com/admin/orders/6310771261628" TargetMode="External"/><Relationship Id="rId1989" Type="http://schemas.openxmlformats.org/officeDocument/2006/relationships/hyperlink" Target="https://utrucking.com/admin/orders/6422441361596" TargetMode="External"/><Relationship Id="rId2836" Type="http://schemas.openxmlformats.org/officeDocument/2006/relationships/hyperlink" Target="https://utrucking.com/admin/orders/6460561817788" TargetMode="External"/><Relationship Id="rId1506" Type="http://schemas.openxmlformats.org/officeDocument/2006/relationships/hyperlink" Target="https://utrucking.com/admin/orders/6310827294908" TargetMode="External"/><Relationship Id="rId2837" Type="http://schemas.openxmlformats.org/officeDocument/2006/relationships/hyperlink" Target="https://utrucking.com/admin/orders/6460611920060" TargetMode="External"/><Relationship Id="rId1507" Type="http://schemas.openxmlformats.org/officeDocument/2006/relationships/hyperlink" Target="https://utrucking.com/admin/orders/6311947239612" TargetMode="External"/><Relationship Id="rId2838" Type="http://schemas.openxmlformats.org/officeDocument/2006/relationships/hyperlink" Target="https://utrucking.com/admin/orders/6460752560316" TargetMode="External"/><Relationship Id="rId1508" Type="http://schemas.openxmlformats.org/officeDocument/2006/relationships/hyperlink" Target="https://utrucking.com/admin/orders/6311961952444" TargetMode="External"/><Relationship Id="rId2839" Type="http://schemas.openxmlformats.org/officeDocument/2006/relationships/hyperlink" Target="https://utrucking.com/admin/orders/6460774678716" TargetMode="External"/><Relationship Id="rId1509" Type="http://schemas.openxmlformats.org/officeDocument/2006/relationships/hyperlink" Target="https://utrucking.com/admin/orders/6311990100156" TargetMode="External"/><Relationship Id="rId1980" Type="http://schemas.openxmlformats.org/officeDocument/2006/relationships/hyperlink" Target="https://utrucking.com/admin/orders/6421504983228" TargetMode="External"/><Relationship Id="rId1981" Type="http://schemas.openxmlformats.org/officeDocument/2006/relationships/hyperlink" Target="https://utrucking.com/admin/orders/6421544730812" TargetMode="External"/><Relationship Id="rId1982" Type="http://schemas.openxmlformats.org/officeDocument/2006/relationships/hyperlink" Target="https://utrucking.com/admin/orders/6421556592828" TargetMode="External"/><Relationship Id="rId1930" Type="http://schemas.openxmlformats.org/officeDocument/2006/relationships/hyperlink" Target="https://utrucking.com/admin/orders/6419037880508" TargetMode="External"/><Relationship Id="rId1931" Type="http://schemas.openxmlformats.org/officeDocument/2006/relationships/hyperlink" Target="https://utrucking.com/admin/orders/6419041255612" TargetMode="External"/><Relationship Id="rId1932" Type="http://schemas.openxmlformats.org/officeDocument/2006/relationships/hyperlink" Target="https://utrucking.com/admin/orders/6419054624956" TargetMode="External"/><Relationship Id="rId1933" Type="http://schemas.openxmlformats.org/officeDocument/2006/relationships/hyperlink" Target="https://utrucking.com/admin/orders/6419068944572" TargetMode="External"/><Relationship Id="rId1934" Type="http://schemas.openxmlformats.org/officeDocument/2006/relationships/hyperlink" Target="https://utrucking.com/admin/orders/6419068944572" TargetMode="External"/><Relationship Id="rId1935" Type="http://schemas.openxmlformats.org/officeDocument/2006/relationships/hyperlink" Target="https://utrucking.com/admin/orders/6419083788476" TargetMode="External"/><Relationship Id="rId1936" Type="http://schemas.openxmlformats.org/officeDocument/2006/relationships/hyperlink" Target="https://utrucking.com/admin/orders/6419091423420" TargetMode="External"/><Relationship Id="rId1937" Type="http://schemas.openxmlformats.org/officeDocument/2006/relationships/hyperlink" Target="https://utrucking.com/admin/orders/6419121602748" TargetMode="External"/><Relationship Id="rId1938" Type="http://schemas.openxmlformats.org/officeDocument/2006/relationships/hyperlink" Target="https://utrucking.com/admin/orders/6419138281660" TargetMode="External"/><Relationship Id="rId1939" Type="http://schemas.openxmlformats.org/officeDocument/2006/relationships/hyperlink" Target="https://utrucking.com/admin/orders/6419220758716" TargetMode="External"/><Relationship Id="rId1920" Type="http://schemas.openxmlformats.org/officeDocument/2006/relationships/hyperlink" Target="https://utrucking.com/admin/orders/6418680971452" TargetMode="External"/><Relationship Id="rId1921" Type="http://schemas.openxmlformats.org/officeDocument/2006/relationships/hyperlink" Target="https://utrucking.com/admin/orders/6418712199356" TargetMode="External"/><Relationship Id="rId1922" Type="http://schemas.openxmlformats.org/officeDocument/2006/relationships/hyperlink" Target="https://utrucking.com/admin/orders/6418746278076" TargetMode="External"/><Relationship Id="rId1923" Type="http://schemas.openxmlformats.org/officeDocument/2006/relationships/hyperlink" Target="https://utrucking.com/admin/orders/6418746802364" TargetMode="External"/><Relationship Id="rId1924" Type="http://schemas.openxmlformats.org/officeDocument/2006/relationships/hyperlink" Target="https://utrucking.com/admin/orders/6418806603964" TargetMode="External"/><Relationship Id="rId1925" Type="http://schemas.openxmlformats.org/officeDocument/2006/relationships/hyperlink" Target="https://utrucking.com/admin/orders/6418850054332" TargetMode="External"/><Relationship Id="rId1926" Type="http://schemas.openxmlformats.org/officeDocument/2006/relationships/hyperlink" Target="https://utrucking.com/admin/orders/6418880463036" TargetMode="External"/><Relationship Id="rId1927" Type="http://schemas.openxmlformats.org/officeDocument/2006/relationships/hyperlink" Target="https://utrucking.com/admin/orders/6418904449212" TargetMode="External"/><Relationship Id="rId1928" Type="http://schemas.openxmlformats.org/officeDocument/2006/relationships/hyperlink" Target="https://utrucking.com/admin/orders/6418984435900" TargetMode="External"/><Relationship Id="rId1929" Type="http://schemas.openxmlformats.org/officeDocument/2006/relationships/hyperlink" Target="https://utrucking.com/admin/orders/6419011174588" TargetMode="External"/><Relationship Id="rId1950" Type="http://schemas.openxmlformats.org/officeDocument/2006/relationships/hyperlink" Target="https://utrucking.com/admin/orders/6419879297212" TargetMode="External"/><Relationship Id="rId1951" Type="http://schemas.openxmlformats.org/officeDocument/2006/relationships/hyperlink" Target="https://utrucking.com/admin/orders/6419930972348" TargetMode="External"/><Relationship Id="rId1952" Type="http://schemas.openxmlformats.org/officeDocument/2006/relationships/hyperlink" Target="https://utrucking.com/admin/orders/6419934118076" TargetMode="External"/><Relationship Id="rId1953" Type="http://schemas.openxmlformats.org/officeDocument/2006/relationships/hyperlink" Target="https://utrucking.com/admin/orders/6419942965436" TargetMode="External"/><Relationship Id="rId2800" Type="http://schemas.openxmlformats.org/officeDocument/2006/relationships/hyperlink" Target="https://utrucking.com/admin/orders/6459139850428" TargetMode="External"/><Relationship Id="rId1954" Type="http://schemas.openxmlformats.org/officeDocument/2006/relationships/hyperlink" Target="https://utrucking.com/admin/orders/6419943522492" TargetMode="External"/><Relationship Id="rId2801" Type="http://schemas.openxmlformats.org/officeDocument/2006/relationships/hyperlink" Target="https://utrucking.com/admin/orders/6459150303420" TargetMode="External"/><Relationship Id="rId1955" Type="http://schemas.openxmlformats.org/officeDocument/2006/relationships/hyperlink" Target="https://utrucking.com/admin/orders/6419947356348" TargetMode="External"/><Relationship Id="rId2802" Type="http://schemas.openxmlformats.org/officeDocument/2006/relationships/hyperlink" Target="https://utrucking.com/admin/orders/6459205550268" TargetMode="External"/><Relationship Id="rId1956" Type="http://schemas.openxmlformats.org/officeDocument/2006/relationships/hyperlink" Target="https://utrucking.com/admin/orders/6419982483644" TargetMode="External"/><Relationship Id="rId2803" Type="http://schemas.openxmlformats.org/officeDocument/2006/relationships/hyperlink" Target="https://utrucking.com/admin/orders/6459217019068" TargetMode="External"/><Relationship Id="rId1957" Type="http://schemas.openxmlformats.org/officeDocument/2006/relationships/hyperlink" Target="https://utrucking.com/admin/orders/6420013056188" TargetMode="External"/><Relationship Id="rId2804" Type="http://schemas.openxmlformats.org/officeDocument/2006/relationships/hyperlink" Target="https://utrucking.com/admin/orders/6459223277756" TargetMode="External"/><Relationship Id="rId1958" Type="http://schemas.openxmlformats.org/officeDocument/2006/relationships/hyperlink" Target="https://utrucking.com/admin/orders/6420039565500" TargetMode="External"/><Relationship Id="rId2805" Type="http://schemas.openxmlformats.org/officeDocument/2006/relationships/hyperlink" Target="https://utrucking.com/admin/orders/6459236679868" TargetMode="External"/><Relationship Id="rId1959" Type="http://schemas.openxmlformats.org/officeDocument/2006/relationships/hyperlink" Target="https://utrucking.com/admin/orders/6420065222844" TargetMode="External"/><Relationship Id="rId2806" Type="http://schemas.openxmlformats.org/officeDocument/2006/relationships/hyperlink" Target="https://utrucking.com/admin/orders/6459275477180" TargetMode="External"/><Relationship Id="rId2807" Type="http://schemas.openxmlformats.org/officeDocument/2006/relationships/hyperlink" Target="https://utrucking.com/admin/orders/6459359756476" TargetMode="External"/><Relationship Id="rId2808" Type="http://schemas.openxmlformats.org/officeDocument/2006/relationships/hyperlink" Target="https://utrucking.com/admin/orders/6459389247676" TargetMode="External"/><Relationship Id="rId2809" Type="http://schemas.openxmlformats.org/officeDocument/2006/relationships/hyperlink" Target="https://utrucking.com/admin/orders/6459400290492" TargetMode="External"/><Relationship Id="rId1940" Type="http://schemas.openxmlformats.org/officeDocument/2006/relationships/hyperlink" Target="https://utrucking.com/admin/orders/6419228491964" TargetMode="External"/><Relationship Id="rId1941" Type="http://schemas.openxmlformats.org/officeDocument/2006/relationships/hyperlink" Target="https://utrucking.com/admin/orders/6419268272316" TargetMode="External"/><Relationship Id="rId1942" Type="http://schemas.openxmlformats.org/officeDocument/2006/relationships/hyperlink" Target="https://utrucking.com/admin/orders/6419272532156" TargetMode="External"/><Relationship Id="rId1943" Type="http://schemas.openxmlformats.org/officeDocument/2006/relationships/hyperlink" Target="https://utrucking.com/admin/orders/6419310313660" TargetMode="External"/><Relationship Id="rId1944" Type="http://schemas.openxmlformats.org/officeDocument/2006/relationships/hyperlink" Target="https://utrucking.com/admin/orders/6419329319100" TargetMode="External"/><Relationship Id="rId1945" Type="http://schemas.openxmlformats.org/officeDocument/2006/relationships/hyperlink" Target="https://utrucking.com/admin/orders/6419359072444" TargetMode="External"/><Relationship Id="rId1946" Type="http://schemas.openxmlformats.org/officeDocument/2006/relationships/hyperlink" Target="https://utrucking.com/admin/orders/6419407110332" TargetMode="External"/><Relationship Id="rId1947" Type="http://schemas.openxmlformats.org/officeDocument/2006/relationships/hyperlink" Target="https://utrucking.com/admin/orders/6419648118972" TargetMode="External"/><Relationship Id="rId1948" Type="http://schemas.openxmlformats.org/officeDocument/2006/relationships/hyperlink" Target="https://utrucking.com/admin/orders/6419816710332" TargetMode="External"/><Relationship Id="rId1949" Type="http://schemas.openxmlformats.org/officeDocument/2006/relationships/hyperlink" Target="https://utrucking.com/admin/orders/6419875692732" TargetMode="External"/><Relationship Id="rId1576" Type="http://schemas.openxmlformats.org/officeDocument/2006/relationships/hyperlink" Target="https://utrucking.com/admin/orders/6358311534780" TargetMode="External"/><Relationship Id="rId2423" Type="http://schemas.openxmlformats.org/officeDocument/2006/relationships/hyperlink" Target="https://utrucking.com/admin/orders/6447168389308" TargetMode="External"/><Relationship Id="rId1577" Type="http://schemas.openxmlformats.org/officeDocument/2006/relationships/hyperlink" Target="https://utrucking.com/admin/orders/6358311534780" TargetMode="External"/><Relationship Id="rId2424" Type="http://schemas.openxmlformats.org/officeDocument/2006/relationships/hyperlink" Target="https://utrucking.com/admin/orders/6447168389308" TargetMode="External"/><Relationship Id="rId1578" Type="http://schemas.openxmlformats.org/officeDocument/2006/relationships/hyperlink" Target="https://utrucking.com/admin/orders/6359629955260" TargetMode="External"/><Relationship Id="rId2425" Type="http://schemas.openxmlformats.org/officeDocument/2006/relationships/hyperlink" Target="https://utrucking.com/admin/orders/6447168389308" TargetMode="External"/><Relationship Id="rId1579" Type="http://schemas.openxmlformats.org/officeDocument/2006/relationships/hyperlink" Target="https://utrucking.com/admin/orders/6363069907132" TargetMode="External"/><Relationship Id="rId2426" Type="http://schemas.openxmlformats.org/officeDocument/2006/relationships/hyperlink" Target="https://utrucking.com/admin/orders/6447135686844" TargetMode="External"/><Relationship Id="rId2427" Type="http://schemas.openxmlformats.org/officeDocument/2006/relationships/hyperlink" Target="https://utrucking.com/admin/orders/6447196242108" TargetMode="External"/><Relationship Id="rId2428" Type="http://schemas.openxmlformats.org/officeDocument/2006/relationships/hyperlink" Target="https://utrucking.com/admin/orders/6447138144444" TargetMode="External"/><Relationship Id="rId2429" Type="http://schemas.openxmlformats.org/officeDocument/2006/relationships/hyperlink" Target="https://utrucking.com/admin/orders/6447233958076" TargetMode="External"/><Relationship Id="rId509" Type="http://schemas.openxmlformats.org/officeDocument/2006/relationships/hyperlink" Target="https://utrucking.com/admin/orders/5916470149308" TargetMode="External"/><Relationship Id="rId508" Type="http://schemas.openxmlformats.org/officeDocument/2006/relationships/hyperlink" Target="https://utrucking.com/admin/orders/5916444885180" TargetMode="External"/><Relationship Id="rId503" Type="http://schemas.openxmlformats.org/officeDocument/2006/relationships/hyperlink" Target="https://utrucking.com/admin/orders/5916234842300" TargetMode="External"/><Relationship Id="rId987" Type="http://schemas.openxmlformats.org/officeDocument/2006/relationships/hyperlink" Target="https://utrucking.com/admin/orders/5933493256380" TargetMode="External"/><Relationship Id="rId502" Type="http://schemas.openxmlformats.org/officeDocument/2006/relationships/hyperlink" Target="https://utrucking.com/admin/orders/5916229828796" TargetMode="External"/><Relationship Id="rId986" Type="http://schemas.openxmlformats.org/officeDocument/2006/relationships/hyperlink" Target="https://utrucking.com/admin/orders/5933475922108" TargetMode="External"/><Relationship Id="rId501" Type="http://schemas.openxmlformats.org/officeDocument/2006/relationships/hyperlink" Target="https://utrucking.com/admin/orders/5916229828796" TargetMode="External"/><Relationship Id="rId985" Type="http://schemas.openxmlformats.org/officeDocument/2006/relationships/hyperlink" Target="https://utrucking.com/admin/orders/5933467107516" TargetMode="External"/><Relationship Id="rId500" Type="http://schemas.openxmlformats.org/officeDocument/2006/relationships/hyperlink" Target="https://utrucking.com/admin/orders/5916184903868" TargetMode="External"/><Relationship Id="rId984" Type="http://schemas.openxmlformats.org/officeDocument/2006/relationships/hyperlink" Target="https://utrucking.com/admin/orders/5933465174204" TargetMode="External"/><Relationship Id="rId507" Type="http://schemas.openxmlformats.org/officeDocument/2006/relationships/hyperlink" Target="https://utrucking.com/admin/orders/5916444852412" TargetMode="External"/><Relationship Id="rId506" Type="http://schemas.openxmlformats.org/officeDocument/2006/relationships/hyperlink" Target="https://utrucking.com/admin/orders/5916401598652" TargetMode="External"/><Relationship Id="rId505" Type="http://schemas.openxmlformats.org/officeDocument/2006/relationships/hyperlink" Target="https://utrucking.com/admin/orders/5916316729532" TargetMode="External"/><Relationship Id="rId989" Type="http://schemas.openxmlformats.org/officeDocument/2006/relationships/hyperlink" Target="https://utrucking.com/admin/orders/5933547487420" TargetMode="External"/><Relationship Id="rId504" Type="http://schemas.openxmlformats.org/officeDocument/2006/relationships/hyperlink" Target="https://utrucking.com/admin/orders/5916273868988" TargetMode="External"/><Relationship Id="rId988" Type="http://schemas.openxmlformats.org/officeDocument/2006/relationships/hyperlink" Target="https://utrucking.com/admin/orders/5933526843580" TargetMode="External"/><Relationship Id="rId1570" Type="http://schemas.openxmlformats.org/officeDocument/2006/relationships/hyperlink" Target="https://utrucking.com/admin/orders/6354608062652" TargetMode="External"/><Relationship Id="rId1571" Type="http://schemas.openxmlformats.org/officeDocument/2006/relationships/hyperlink" Target="https://utrucking.com/admin/orders/6357131460796" TargetMode="External"/><Relationship Id="rId983" Type="http://schemas.openxmlformats.org/officeDocument/2006/relationships/hyperlink" Target="https://utrucking.com/admin/orders/5933390725308" TargetMode="External"/><Relationship Id="rId1572" Type="http://schemas.openxmlformats.org/officeDocument/2006/relationships/hyperlink" Target="https://utrucking.com/admin/orders/6357131460796" TargetMode="External"/><Relationship Id="rId982" Type="http://schemas.openxmlformats.org/officeDocument/2006/relationships/hyperlink" Target="https://utrucking.com/admin/orders/5933364543676" TargetMode="External"/><Relationship Id="rId1573" Type="http://schemas.openxmlformats.org/officeDocument/2006/relationships/hyperlink" Target="https://utrucking.com/admin/orders/6357148139708" TargetMode="External"/><Relationship Id="rId2420" Type="http://schemas.openxmlformats.org/officeDocument/2006/relationships/hyperlink" Target="https://utrucking.com/admin/orders/6447117664444" TargetMode="External"/><Relationship Id="rId981" Type="http://schemas.openxmlformats.org/officeDocument/2006/relationships/hyperlink" Target="https://utrucking.com/admin/orders/5933319225532" TargetMode="External"/><Relationship Id="rId1574" Type="http://schemas.openxmlformats.org/officeDocument/2006/relationships/hyperlink" Target="https://utrucking.com/admin/orders/6357266956476" TargetMode="External"/><Relationship Id="rId2421" Type="http://schemas.openxmlformats.org/officeDocument/2006/relationships/hyperlink" Target="https://utrucking.com/admin/orders/6447145582780" TargetMode="External"/><Relationship Id="rId980" Type="http://schemas.openxmlformats.org/officeDocument/2006/relationships/hyperlink" Target="https://utrucking.com/admin/orders/5933232881852" TargetMode="External"/><Relationship Id="rId1575" Type="http://schemas.openxmlformats.org/officeDocument/2006/relationships/hyperlink" Target="https://utrucking.com/admin/orders/6357635793084" TargetMode="External"/><Relationship Id="rId2422" Type="http://schemas.openxmlformats.org/officeDocument/2006/relationships/hyperlink" Target="https://utrucking.com/admin/orders/6447161114812" TargetMode="External"/><Relationship Id="rId1565" Type="http://schemas.openxmlformats.org/officeDocument/2006/relationships/hyperlink" Target="https://utrucking.com/admin/orders/6353079697596" TargetMode="External"/><Relationship Id="rId2412" Type="http://schemas.openxmlformats.org/officeDocument/2006/relationships/hyperlink" Target="https://utrucking.com/admin/orders/6447041675452" TargetMode="External"/><Relationship Id="rId1566" Type="http://schemas.openxmlformats.org/officeDocument/2006/relationships/hyperlink" Target="https://utrucking.com/admin/orders/6354055954620" TargetMode="External"/><Relationship Id="rId2413" Type="http://schemas.openxmlformats.org/officeDocument/2006/relationships/hyperlink" Target="https://utrucking.com/admin/orders/6447057338556" TargetMode="External"/><Relationship Id="rId1567" Type="http://schemas.openxmlformats.org/officeDocument/2006/relationships/hyperlink" Target="https://utrucking.com/admin/orders/6354055954620" TargetMode="External"/><Relationship Id="rId2414" Type="http://schemas.openxmlformats.org/officeDocument/2006/relationships/hyperlink" Target="https://utrucking.com/admin/orders/6447059402940" TargetMode="External"/><Relationship Id="rId1568" Type="http://schemas.openxmlformats.org/officeDocument/2006/relationships/hyperlink" Target="https://utrucking.com/admin/orders/6354147442876" TargetMode="External"/><Relationship Id="rId2415" Type="http://schemas.openxmlformats.org/officeDocument/2006/relationships/hyperlink" Target="https://utrucking.com/admin/orders/6447103115452" TargetMode="External"/><Relationship Id="rId1569" Type="http://schemas.openxmlformats.org/officeDocument/2006/relationships/hyperlink" Target="https://utrucking.com/admin/orders/6354151407804" TargetMode="External"/><Relationship Id="rId2416" Type="http://schemas.openxmlformats.org/officeDocument/2006/relationships/hyperlink" Target="https://utrucking.com/admin/orders/6447131033788" TargetMode="External"/><Relationship Id="rId2417" Type="http://schemas.openxmlformats.org/officeDocument/2006/relationships/hyperlink" Target="https://utrucking.com/admin/orders/6447142338748" TargetMode="External"/><Relationship Id="rId2418" Type="http://schemas.openxmlformats.org/officeDocument/2006/relationships/hyperlink" Target="https://utrucking.com/admin/orders/6447140339900" TargetMode="External"/><Relationship Id="rId2419" Type="http://schemas.openxmlformats.org/officeDocument/2006/relationships/hyperlink" Target="https://utrucking.com/admin/orders/6447130575036" TargetMode="External"/><Relationship Id="rId976" Type="http://schemas.openxmlformats.org/officeDocument/2006/relationships/hyperlink" Target="https://utrucking.com/admin/orders/5933127631036" TargetMode="External"/><Relationship Id="rId975" Type="http://schemas.openxmlformats.org/officeDocument/2006/relationships/hyperlink" Target="https://utrucking.com/admin/orders/5932882493628" TargetMode="External"/><Relationship Id="rId974" Type="http://schemas.openxmlformats.org/officeDocument/2006/relationships/hyperlink" Target="https://utrucking.com/admin/orders/5932867485884" TargetMode="External"/><Relationship Id="rId973" Type="http://schemas.openxmlformats.org/officeDocument/2006/relationships/hyperlink" Target="https://utrucking.com/admin/orders/5932833833148" TargetMode="External"/><Relationship Id="rId979" Type="http://schemas.openxmlformats.org/officeDocument/2006/relationships/hyperlink" Target="https://utrucking.com/admin/orders/5933205815484" TargetMode="External"/><Relationship Id="rId978" Type="http://schemas.openxmlformats.org/officeDocument/2006/relationships/hyperlink" Target="https://utrucking.com/admin/orders/5933181108412" TargetMode="External"/><Relationship Id="rId977" Type="http://schemas.openxmlformats.org/officeDocument/2006/relationships/hyperlink" Target="https://utrucking.com/admin/orders/5933134774460" TargetMode="External"/><Relationship Id="rId2890" Type="http://schemas.openxmlformats.org/officeDocument/2006/relationships/hyperlink" Target="https://utrucking.com/admin/orders/6473822306492" TargetMode="External"/><Relationship Id="rId1560" Type="http://schemas.openxmlformats.org/officeDocument/2006/relationships/hyperlink" Target="https://utrucking.com/admin/orders/6351876686012" TargetMode="External"/><Relationship Id="rId2891" Type="http://schemas.openxmlformats.org/officeDocument/2006/relationships/drawing" Target="../drawings/drawing1.xml"/><Relationship Id="rId972" Type="http://schemas.openxmlformats.org/officeDocument/2006/relationships/hyperlink" Target="https://utrucking.com/admin/orders/5932828229820" TargetMode="External"/><Relationship Id="rId1561" Type="http://schemas.openxmlformats.org/officeDocument/2006/relationships/hyperlink" Target="https://utrucking.com/admin/orders/6351876686012" TargetMode="External"/><Relationship Id="rId971" Type="http://schemas.openxmlformats.org/officeDocument/2006/relationships/hyperlink" Target="https://utrucking.com/admin/orders/5932772950204" TargetMode="External"/><Relationship Id="rId1562" Type="http://schemas.openxmlformats.org/officeDocument/2006/relationships/hyperlink" Target="https://utrucking.com/admin/orders/6352104915132" TargetMode="External"/><Relationship Id="rId2893" Type="http://schemas.openxmlformats.org/officeDocument/2006/relationships/table" Target="../tables/table1.xml"/><Relationship Id="rId970" Type="http://schemas.openxmlformats.org/officeDocument/2006/relationships/hyperlink" Target="https://utrucking.com/admin/orders/5932751061180" TargetMode="External"/><Relationship Id="rId1563" Type="http://schemas.openxmlformats.org/officeDocument/2006/relationships/hyperlink" Target="https://utrucking.com/admin/orders/6352104915132" TargetMode="External"/><Relationship Id="rId2410" Type="http://schemas.openxmlformats.org/officeDocument/2006/relationships/hyperlink" Target="https://utrucking.com/admin/orders/6447035875516" TargetMode="External"/><Relationship Id="rId1564" Type="http://schemas.openxmlformats.org/officeDocument/2006/relationships/hyperlink" Target="https://utrucking.com/admin/orders/6353026023612" TargetMode="External"/><Relationship Id="rId2411" Type="http://schemas.openxmlformats.org/officeDocument/2006/relationships/hyperlink" Target="https://utrucking.com/admin/orders/6447041675452" TargetMode="External"/><Relationship Id="rId1114" Type="http://schemas.openxmlformats.org/officeDocument/2006/relationships/hyperlink" Target="https://utrucking.com/admin/orders/5938380734652" TargetMode="External"/><Relationship Id="rId1598" Type="http://schemas.openxmlformats.org/officeDocument/2006/relationships/hyperlink" Target="https://utrucking.com/admin/orders/6368358695100" TargetMode="External"/><Relationship Id="rId2445" Type="http://schemas.openxmlformats.org/officeDocument/2006/relationships/hyperlink" Target="https://utrucking.com/admin/orders/6447439249596" TargetMode="External"/><Relationship Id="rId1115" Type="http://schemas.openxmlformats.org/officeDocument/2006/relationships/hyperlink" Target="https://utrucking.com/admin/orders/5938539004092" TargetMode="External"/><Relationship Id="rId1599" Type="http://schemas.openxmlformats.org/officeDocument/2006/relationships/hyperlink" Target="https://utrucking.com/admin/orders/6368566345916" TargetMode="External"/><Relationship Id="rId2446" Type="http://schemas.openxmlformats.org/officeDocument/2006/relationships/hyperlink" Target="https://utrucking.com/admin/orders/6447442297020" TargetMode="External"/><Relationship Id="rId1116" Type="http://schemas.openxmlformats.org/officeDocument/2006/relationships/hyperlink" Target="https://utrucking.com/admin/orders/5938793775292" TargetMode="External"/><Relationship Id="rId2447" Type="http://schemas.openxmlformats.org/officeDocument/2006/relationships/hyperlink" Target="https://utrucking.com/admin/orders/6447550070972" TargetMode="External"/><Relationship Id="rId1117" Type="http://schemas.openxmlformats.org/officeDocument/2006/relationships/hyperlink" Target="https://utrucking.com/admin/orders/5938848202940" TargetMode="External"/><Relationship Id="rId2448" Type="http://schemas.openxmlformats.org/officeDocument/2006/relationships/hyperlink" Target="https://utrucking.com/admin/orders/6447522873532" TargetMode="External"/><Relationship Id="rId1118" Type="http://schemas.openxmlformats.org/officeDocument/2006/relationships/hyperlink" Target="https://utrucking.com/admin/orders/5938879332540" TargetMode="External"/><Relationship Id="rId2449" Type="http://schemas.openxmlformats.org/officeDocument/2006/relationships/hyperlink" Target="https://utrucking.com/admin/orders/6447582576828" TargetMode="External"/><Relationship Id="rId1119" Type="http://schemas.openxmlformats.org/officeDocument/2006/relationships/hyperlink" Target="https://utrucking.com/admin/orders/5938976719036" TargetMode="External"/><Relationship Id="rId525" Type="http://schemas.openxmlformats.org/officeDocument/2006/relationships/hyperlink" Target="https://utrucking.com/admin/orders/5916647817404" TargetMode="External"/><Relationship Id="rId524" Type="http://schemas.openxmlformats.org/officeDocument/2006/relationships/hyperlink" Target="https://utrucking.com/admin/orders/5916632252604" TargetMode="External"/><Relationship Id="rId523" Type="http://schemas.openxmlformats.org/officeDocument/2006/relationships/hyperlink" Target="https://utrucking.com/admin/orders/5916626878652" TargetMode="External"/><Relationship Id="rId522" Type="http://schemas.openxmlformats.org/officeDocument/2006/relationships/hyperlink" Target="https://utrucking.com/admin/orders/5916625076412" TargetMode="External"/><Relationship Id="rId529" Type="http://schemas.openxmlformats.org/officeDocument/2006/relationships/hyperlink" Target="https://utrucking.com/admin/orders/5916698509500" TargetMode="External"/><Relationship Id="rId528" Type="http://schemas.openxmlformats.org/officeDocument/2006/relationships/hyperlink" Target="https://utrucking.com/admin/orders/5916693823676" TargetMode="External"/><Relationship Id="rId527" Type="http://schemas.openxmlformats.org/officeDocument/2006/relationships/hyperlink" Target="https://utrucking.com/admin/orders/5916678652092" TargetMode="External"/><Relationship Id="rId526" Type="http://schemas.openxmlformats.org/officeDocument/2006/relationships/hyperlink" Target="https://utrucking.com/admin/orders/5916675342524" TargetMode="External"/><Relationship Id="rId1590" Type="http://schemas.openxmlformats.org/officeDocument/2006/relationships/hyperlink" Target="https://utrucking.com/admin/orders/6367086444732" TargetMode="External"/><Relationship Id="rId1591" Type="http://schemas.openxmlformats.org/officeDocument/2006/relationships/hyperlink" Target="https://utrucking.com/admin/orders/6367191924924" TargetMode="External"/><Relationship Id="rId1592" Type="http://schemas.openxmlformats.org/officeDocument/2006/relationships/hyperlink" Target="https://utrucking.com/admin/orders/6367304646844" TargetMode="External"/><Relationship Id="rId1593" Type="http://schemas.openxmlformats.org/officeDocument/2006/relationships/hyperlink" Target="https://utrucking.com/admin/orders/6367304810684" TargetMode="External"/><Relationship Id="rId2440" Type="http://schemas.openxmlformats.org/officeDocument/2006/relationships/hyperlink" Target="https://utrucking.com/admin/orders/6447451013308" TargetMode="External"/><Relationship Id="rId521" Type="http://schemas.openxmlformats.org/officeDocument/2006/relationships/hyperlink" Target="https://utrucking.com/admin/orders/5916606103740" TargetMode="External"/><Relationship Id="rId1110" Type="http://schemas.openxmlformats.org/officeDocument/2006/relationships/hyperlink" Target="https://utrucking.com/admin/orders/5938082152636" TargetMode="External"/><Relationship Id="rId1594" Type="http://schemas.openxmlformats.org/officeDocument/2006/relationships/hyperlink" Target="https://utrucking.com/admin/orders/6367347212476" TargetMode="External"/><Relationship Id="rId2441" Type="http://schemas.openxmlformats.org/officeDocument/2006/relationships/hyperlink" Target="https://utrucking.com/admin/orders/6447399731388" TargetMode="External"/><Relationship Id="rId520" Type="http://schemas.openxmlformats.org/officeDocument/2006/relationships/hyperlink" Target="https://utrucking.com/admin/orders/5916599779516" TargetMode="External"/><Relationship Id="rId1111" Type="http://schemas.openxmlformats.org/officeDocument/2006/relationships/hyperlink" Target="https://utrucking.com/admin/orders/5938211193020" TargetMode="External"/><Relationship Id="rId1595" Type="http://schemas.openxmlformats.org/officeDocument/2006/relationships/hyperlink" Target="https://utrucking.com/admin/orders/6367435980988" TargetMode="External"/><Relationship Id="rId2442" Type="http://schemas.openxmlformats.org/officeDocument/2006/relationships/hyperlink" Target="https://utrucking.com/admin/orders/6447486304444" TargetMode="External"/><Relationship Id="rId1112" Type="http://schemas.openxmlformats.org/officeDocument/2006/relationships/hyperlink" Target="https://utrucking.com/admin/orders/5938214764732" TargetMode="External"/><Relationship Id="rId1596" Type="http://schemas.openxmlformats.org/officeDocument/2006/relationships/hyperlink" Target="https://utrucking.com/admin/orders/6368358695100" TargetMode="External"/><Relationship Id="rId2443" Type="http://schemas.openxmlformats.org/officeDocument/2006/relationships/hyperlink" Target="https://utrucking.com/admin/orders/6447406088380" TargetMode="External"/><Relationship Id="rId1113" Type="http://schemas.openxmlformats.org/officeDocument/2006/relationships/hyperlink" Target="https://utrucking.com/admin/orders/5938365890748" TargetMode="External"/><Relationship Id="rId1597" Type="http://schemas.openxmlformats.org/officeDocument/2006/relationships/hyperlink" Target="https://utrucking.com/admin/orders/6368358695100" TargetMode="External"/><Relationship Id="rId2444" Type="http://schemas.openxmlformats.org/officeDocument/2006/relationships/hyperlink" Target="https://utrucking.com/admin/orders/6447536013500" TargetMode="External"/><Relationship Id="rId1103" Type="http://schemas.openxmlformats.org/officeDocument/2006/relationships/hyperlink" Target="https://utrucking.com/admin/orders/5937684480188" TargetMode="External"/><Relationship Id="rId1587" Type="http://schemas.openxmlformats.org/officeDocument/2006/relationships/hyperlink" Target="https://utrucking.com/admin/orders/6366392516796" TargetMode="External"/><Relationship Id="rId2434" Type="http://schemas.openxmlformats.org/officeDocument/2006/relationships/hyperlink" Target="https://utrucking.com/admin/orders/6447309815996" TargetMode="External"/><Relationship Id="rId1104" Type="http://schemas.openxmlformats.org/officeDocument/2006/relationships/hyperlink" Target="https://utrucking.com/admin/orders/5937711972540" TargetMode="External"/><Relationship Id="rId1588" Type="http://schemas.openxmlformats.org/officeDocument/2006/relationships/hyperlink" Target="https://utrucking.com/admin/orders/6367030247612" TargetMode="External"/><Relationship Id="rId2435" Type="http://schemas.openxmlformats.org/officeDocument/2006/relationships/hyperlink" Target="https://utrucking.com/admin/orders/6447340650684" TargetMode="External"/><Relationship Id="rId1105" Type="http://schemas.openxmlformats.org/officeDocument/2006/relationships/hyperlink" Target="https://utrucking.com/admin/orders/5937713512636" TargetMode="External"/><Relationship Id="rId1589" Type="http://schemas.openxmlformats.org/officeDocument/2006/relationships/hyperlink" Target="https://utrucking.com/admin/orders/6367048630460" TargetMode="External"/><Relationship Id="rId2436" Type="http://schemas.openxmlformats.org/officeDocument/2006/relationships/hyperlink" Target="https://utrucking.com/admin/orders/6447367717052" TargetMode="External"/><Relationship Id="rId1106" Type="http://schemas.openxmlformats.org/officeDocument/2006/relationships/hyperlink" Target="https://utrucking.com/admin/orders/5937749033148" TargetMode="External"/><Relationship Id="rId2437" Type="http://schemas.openxmlformats.org/officeDocument/2006/relationships/hyperlink" Target="https://utrucking.com/admin/orders/6447376466108" TargetMode="External"/><Relationship Id="rId1107" Type="http://schemas.openxmlformats.org/officeDocument/2006/relationships/hyperlink" Target="https://utrucking.com/admin/orders/5937827315900" TargetMode="External"/><Relationship Id="rId2438" Type="http://schemas.openxmlformats.org/officeDocument/2006/relationships/hyperlink" Target="https://utrucking.com/admin/orders/6447372304572" TargetMode="External"/><Relationship Id="rId1108" Type="http://schemas.openxmlformats.org/officeDocument/2006/relationships/hyperlink" Target="https://utrucking.com/admin/orders/5937918083260" TargetMode="External"/><Relationship Id="rId2439" Type="http://schemas.openxmlformats.org/officeDocument/2006/relationships/hyperlink" Target="https://utrucking.com/admin/orders/6447381577916" TargetMode="External"/><Relationship Id="rId1109" Type="http://schemas.openxmlformats.org/officeDocument/2006/relationships/hyperlink" Target="https://utrucking.com/admin/orders/5937929552060" TargetMode="External"/><Relationship Id="rId519" Type="http://schemas.openxmlformats.org/officeDocument/2006/relationships/hyperlink" Target="https://utrucking.com/admin/orders/5916587851964" TargetMode="External"/><Relationship Id="rId514" Type="http://schemas.openxmlformats.org/officeDocument/2006/relationships/hyperlink" Target="https://utrucking.com/admin/orders/5916575039676" TargetMode="External"/><Relationship Id="rId998" Type="http://schemas.openxmlformats.org/officeDocument/2006/relationships/hyperlink" Target="https://utrucking.com/admin/orders/5933926809788" TargetMode="External"/><Relationship Id="rId513" Type="http://schemas.openxmlformats.org/officeDocument/2006/relationships/hyperlink" Target="https://utrucking.com/admin/orders/5916565930172" TargetMode="External"/><Relationship Id="rId997" Type="http://schemas.openxmlformats.org/officeDocument/2006/relationships/hyperlink" Target="https://utrucking.com/admin/orders/5933913145532" TargetMode="External"/><Relationship Id="rId512" Type="http://schemas.openxmlformats.org/officeDocument/2006/relationships/hyperlink" Target="https://utrucking.com/admin/orders/5916524052668" TargetMode="External"/><Relationship Id="rId996" Type="http://schemas.openxmlformats.org/officeDocument/2006/relationships/hyperlink" Target="https://utrucking.com/admin/orders/5933913145532" TargetMode="External"/><Relationship Id="rId511" Type="http://schemas.openxmlformats.org/officeDocument/2006/relationships/hyperlink" Target="https://utrucking.com/admin/orders/5916500328636" TargetMode="External"/><Relationship Id="rId995" Type="http://schemas.openxmlformats.org/officeDocument/2006/relationships/hyperlink" Target="https://utrucking.com/admin/orders/5933897056444" TargetMode="External"/><Relationship Id="rId518" Type="http://schemas.openxmlformats.org/officeDocument/2006/relationships/hyperlink" Target="https://utrucking.com/admin/orders/5916587229372" TargetMode="External"/><Relationship Id="rId517" Type="http://schemas.openxmlformats.org/officeDocument/2006/relationships/hyperlink" Target="https://utrucking.com/admin/orders/5916582215868" TargetMode="External"/><Relationship Id="rId516" Type="http://schemas.openxmlformats.org/officeDocument/2006/relationships/hyperlink" Target="https://utrucking.com/admin/orders/5916581986492" TargetMode="External"/><Relationship Id="rId515" Type="http://schemas.openxmlformats.org/officeDocument/2006/relationships/hyperlink" Target="https://utrucking.com/admin/orders/5916577005756" TargetMode="External"/><Relationship Id="rId999" Type="http://schemas.openxmlformats.org/officeDocument/2006/relationships/hyperlink" Target="https://utrucking.com/admin/orders/5933989232828" TargetMode="External"/><Relationship Id="rId990" Type="http://schemas.openxmlformats.org/officeDocument/2006/relationships/hyperlink" Target="https://utrucking.com/admin/orders/5933656670396" TargetMode="External"/><Relationship Id="rId1580" Type="http://schemas.openxmlformats.org/officeDocument/2006/relationships/hyperlink" Target="https://utrucking.com/admin/orders/6363636236476" TargetMode="External"/><Relationship Id="rId1581" Type="http://schemas.openxmlformats.org/officeDocument/2006/relationships/hyperlink" Target="https://utrucking.com/admin/orders/6364722299068" TargetMode="External"/><Relationship Id="rId1582" Type="http://schemas.openxmlformats.org/officeDocument/2006/relationships/hyperlink" Target="https://utrucking.com/admin/orders/6365316087996" TargetMode="External"/><Relationship Id="rId510" Type="http://schemas.openxmlformats.org/officeDocument/2006/relationships/hyperlink" Target="https://utrucking.com/admin/orders/5916494397628" TargetMode="External"/><Relationship Id="rId994" Type="http://schemas.openxmlformats.org/officeDocument/2006/relationships/hyperlink" Target="https://utrucking.com/admin/orders/5933872939196" TargetMode="External"/><Relationship Id="rId1583" Type="http://schemas.openxmlformats.org/officeDocument/2006/relationships/hyperlink" Target="https://utrucking.com/admin/orders/6365395386556" TargetMode="External"/><Relationship Id="rId2430" Type="http://schemas.openxmlformats.org/officeDocument/2006/relationships/hyperlink" Target="https://utrucking.com/admin/orders/6447274328252" TargetMode="External"/><Relationship Id="rId993" Type="http://schemas.openxmlformats.org/officeDocument/2006/relationships/hyperlink" Target="https://utrucking.com/admin/orders/5933871005884" TargetMode="External"/><Relationship Id="rId1100" Type="http://schemas.openxmlformats.org/officeDocument/2006/relationships/hyperlink" Target="https://utrucking.com/admin/orders/5937638473916" TargetMode="External"/><Relationship Id="rId1584" Type="http://schemas.openxmlformats.org/officeDocument/2006/relationships/hyperlink" Target="https://utrucking.com/admin/orders/6365794369724" TargetMode="External"/><Relationship Id="rId2431" Type="http://schemas.openxmlformats.org/officeDocument/2006/relationships/hyperlink" Target="https://utrucking.com/admin/orders/6447280226492" TargetMode="External"/><Relationship Id="rId992" Type="http://schemas.openxmlformats.org/officeDocument/2006/relationships/hyperlink" Target="https://utrucking.com/admin/orders/5933868679356" TargetMode="External"/><Relationship Id="rId1101" Type="http://schemas.openxmlformats.org/officeDocument/2006/relationships/hyperlink" Target="https://utrucking.com/admin/orders/5937666851004" TargetMode="External"/><Relationship Id="rId1585" Type="http://schemas.openxmlformats.org/officeDocument/2006/relationships/hyperlink" Target="https://utrucking.com/admin/orders/6365832904892" TargetMode="External"/><Relationship Id="rId2432" Type="http://schemas.openxmlformats.org/officeDocument/2006/relationships/hyperlink" Target="https://utrucking.com/admin/orders/6447301460156" TargetMode="External"/><Relationship Id="rId991" Type="http://schemas.openxmlformats.org/officeDocument/2006/relationships/hyperlink" Target="https://utrucking.com/admin/orders/5933699039420" TargetMode="External"/><Relationship Id="rId1102" Type="http://schemas.openxmlformats.org/officeDocument/2006/relationships/hyperlink" Target="https://utrucking.com/admin/orders/5937673568444" TargetMode="External"/><Relationship Id="rId1586" Type="http://schemas.openxmlformats.org/officeDocument/2006/relationships/hyperlink" Target="https://utrucking.com/admin/orders/6366108516540" TargetMode="External"/><Relationship Id="rId2433" Type="http://schemas.openxmlformats.org/officeDocument/2006/relationships/hyperlink" Target="https://utrucking.com/admin/orders/6447307751612" TargetMode="External"/><Relationship Id="rId1532" Type="http://schemas.openxmlformats.org/officeDocument/2006/relationships/hyperlink" Target="https://utrucking.com/admin/orders/6326637756604" TargetMode="External"/><Relationship Id="rId2863" Type="http://schemas.openxmlformats.org/officeDocument/2006/relationships/hyperlink" Target="https://utrucking.com/admin/orders/6464345309372" TargetMode="External"/><Relationship Id="rId1533" Type="http://schemas.openxmlformats.org/officeDocument/2006/relationships/hyperlink" Target="https://utrucking.com/admin/orders/6326756769980" TargetMode="External"/><Relationship Id="rId2864" Type="http://schemas.openxmlformats.org/officeDocument/2006/relationships/hyperlink" Target="https://utrucking.com/admin/orders/6464412090556" TargetMode="External"/><Relationship Id="rId1534" Type="http://schemas.openxmlformats.org/officeDocument/2006/relationships/hyperlink" Target="https://utrucking.com/admin/orders/6327187177660" TargetMode="External"/><Relationship Id="rId2865" Type="http://schemas.openxmlformats.org/officeDocument/2006/relationships/hyperlink" Target="https://utrucking.com/admin/orders/6464553353404" TargetMode="External"/><Relationship Id="rId1535" Type="http://schemas.openxmlformats.org/officeDocument/2006/relationships/hyperlink" Target="https://utrucking.com/admin/orders/6327510401212" TargetMode="External"/><Relationship Id="rId2866" Type="http://schemas.openxmlformats.org/officeDocument/2006/relationships/hyperlink" Target="https://utrucking.com/admin/orders/6464716079292" TargetMode="External"/><Relationship Id="rId1536" Type="http://schemas.openxmlformats.org/officeDocument/2006/relationships/hyperlink" Target="https://utrucking.com/admin/orders/6327585636540" TargetMode="External"/><Relationship Id="rId2867" Type="http://schemas.openxmlformats.org/officeDocument/2006/relationships/hyperlink" Target="https://utrucking.com/admin/orders/6464796590268" TargetMode="External"/><Relationship Id="rId1537" Type="http://schemas.openxmlformats.org/officeDocument/2006/relationships/hyperlink" Target="https://utrucking.com/admin/orders/6327694852284" TargetMode="External"/><Relationship Id="rId2868" Type="http://schemas.openxmlformats.org/officeDocument/2006/relationships/hyperlink" Target="https://utrucking.com/admin/orders/6465141899452" TargetMode="External"/><Relationship Id="rId1538" Type="http://schemas.openxmlformats.org/officeDocument/2006/relationships/hyperlink" Target="https://utrucking.com/admin/orders/6328783143100" TargetMode="External"/><Relationship Id="rId2869" Type="http://schemas.openxmlformats.org/officeDocument/2006/relationships/hyperlink" Target="https://utrucking.com/admin/orders/6465667956924" TargetMode="External"/><Relationship Id="rId1539" Type="http://schemas.openxmlformats.org/officeDocument/2006/relationships/hyperlink" Target="https://utrucking.com/admin/orders/6330396377276" TargetMode="External"/><Relationship Id="rId949" Type="http://schemas.openxmlformats.org/officeDocument/2006/relationships/hyperlink" Target="https://utrucking.com/admin/orders/5931665621180" TargetMode="External"/><Relationship Id="rId948" Type="http://schemas.openxmlformats.org/officeDocument/2006/relationships/hyperlink" Target="https://utrucking.com/admin/orders/5931594875068" TargetMode="External"/><Relationship Id="rId943" Type="http://schemas.openxmlformats.org/officeDocument/2006/relationships/hyperlink" Target="https://utrucking.com/admin/orders/5930966024380" TargetMode="External"/><Relationship Id="rId942" Type="http://schemas.openxmlformats.org/officeDocument/2006/relationships/hyperlink" Target="https://utrucking.com/admin/orders/5930949607612" TargetMode="External"/><Relationship Id="rId941" Type="http://schemas.openxmlformats.org/officeDocument/2006/relationships/hyperlink" Target="https://utrucking.com/admin/orders/5930894950588" TargetMode="External"/><Relationship Id="rId940" Type="http://schemas.openxmlformats.org/officeDocument/2006/relationships/hyperlink" Target="https://utrucking.com/admin/orders/5930847273148" TargetMode="External"/><Relationship Id="rId947" Type="http://schemas.openxmlformats.org/officeDocument/2006/relationships/hyperlink" Target="https://utrucking.com/admin/orders/5931584422076" TargetMode="External"/><Relationship Id="rId946" Type="http://schemas.openxmlformats.org/officeDocument/2006/relationships/hyperlink" Target="https://utrucking.com/admin/orders/5931579244732" TargetMode="External"/><Relationship Id="rId945" Type="http://schemas.openxmlformats.org/officeDocument/2006/relationships/hyperlink" Target="https://utrucking.com/admin/orders/5931570364604" TargetMode="External"/><Relationship Id="rId944" Type="http://schemas.openxmlformats.org/officeDocument/2006/relationships/hyperlink" Target="https://utrucking.com/admin/orders/5931101978812" TargetMode="External"/><Relationship Id="rId2860" Type="http://schemas.openxmlformats.org/officeDocument/2006/relationships/hyperlink" Target="https://utrucking.com/admin/orders/6463880069308" TargetMode="External"/><Relationship Id="rId1530" Type="http://schemas.openxmlformats.org/officeDocument/2006/relationships/hyperlink" Target="https://utrucking.com/admin/orders/6325973549244" TargetMode="External"/><Relationship Id="rId2861" Type="http://schemas.openxmlformats.org/officeDocument/2006/relationships/hyperlink" Target="https://utrucking.com/admin/orders/6464038830268" TargetMode="External"/><Relationship Id="rId1531" Type="http://schemas.openxmlformats.org/officeDocument/2006/relationships/hyperlink" Target="https://utrucking.com/admin/orders/6326294118588" TargetMode="External"/><Relationship Id="rId2862" Type="http://schemas.openxmlformats.org/officeDocument/2006/relationships/hyperlink" Target="https://utrucking.com/admin/orders/6464345309372" TargetMode="External"/><Relationship Id="rId1521" Type="http://schemas.openxmlformats.org/officeDocument/2006/relationships/hyperlink" Target="https://utrucking.com/admin/orders/6325529182396" TargetMode="External"/><Relationship Id="rId2852" Type="http://schemas.openxmlformats.org/officeDocument/2006/relationships/hyperlink" Target="https://utrucking.com/admin/orders/6462309957820" TargetMode="External"/><Relationship Id="rId1522" Type="http://schemas.openxmlformats.org/officeDocument/2006/relationships/hyperlink" Target="https://utrucking.com/admin/orders/6325548417212" TargetMode="External"/><Relationship Id="rId2853" Type="http://schemas.openxmlformats.org/officeDocument/2006/relationships/hyperlink" Target="https://utrucking.com/admin/orders/6462344102076" TargetMode="External"/><Relationship Id="rId1523" Type="http://schemas.openxmlformats.org/officeDocument/2006/relationships/hyperlink" Target="https://utrucking.com/admin/orders/6325552873660" TargetMode="External"/><Relationship Id="rId2854" Type="http://schemas.openxmlformats.org/officeDocument/2006/relationships/hyperlink" Target="https://utrucking.com/admin/orders/6462425661628" TargetMode="External"/><Relationship Id="rId1524" Type="http://schemas.openxmlformats.org/officeDocument/2006/relationships/hyperlink" Target="https://utrucking.com/admin/orders/6325567946940" TargetMode="External"/><Relationship Id="rId2855" Type="http://schemas.openxmlformats.org/officeDocument/2006/relationships/hyperlink" Target="https://utrucking.com/admin/orders/6462540349628" TargetMode="External"/><Relationship Id="rId1525" Type="http://schemas.openxmlformats.org/officeDocument/2006/relationships/hyperlink" Target="https://utrucking.com/admin/orders/6325643182268" TargetMode="External"/><Relationship Id="rId2856" Type="http://schemas.openxmlformats.org/officeDocument/2006/relationships/hyperlink" Target="https://utrucking.com/admin/orders/6462632951996" TargetMode="External"/><Relationship Id="rId1526" Type="http://schemas.openxmlformats.org/officeDocument/2006/relationships/hyperlink" Target="https://utrucking.com/admin/orders/6325705244860" TargetMode="External"/><Relationship Id="rId2857" Type="http://schemas.openxmlformats.org/officeDocument/2006/relationships/hyperlink" Target="https://utrucking.com/admin/orders/6462854627516" TargetMode="External"/><Relationship Id="rId1527" Type="http://schemas.openxmlformats.org/officeDocument/2006/relationships/hyperlink" Target="https://utrucking.com/admin/orders/6325764784316" TargetMode="External"/><Relationship Id="rId2858" Type="http://schemas.openxmlformats.org/officeDocument/2006/relationships/hyperlink" Target="https://utrucking.com/admin/orders/6463669534908" TargetMode="External"/><Relationship Id="rId1528" Type="http://schemas.openxmlformats.org/officeDocument/2006/relationships/hyperlink" Target="https://utrucking.com/admin/orders/6325886746812" TargetMode="External"/><Relationship Id="rId2859" Type="http://schemas.openxmlformats.org/officeDocument/2006/relationships/hyperlink" Target="https://utrucking.com/admin/orders/6463846318268" TargetMode="External"/><Relationship Id="rId1529" Type="http://schemas.openxmlformats.org/officeDocument/2006/relationships/hyperlink" Target="https://utrucking.com/admin/orders/6325941960892" TargetMode="External"/><Relationship Id="rId939" Type="http://schemas.openxmlformats.org/officeDocument/2006/relationships/hyperlink" Target="https://utrucking.com/admin/orders/5930720231612" TargetMode="External"/><Relationship Id="rId938" Type="http://schemas.openxmlformats.org/officeDocument/2006/relationships/hyperlink" Target="https://utrucking.com/admin/orders/5930598465724" TargetMode="External"/><Relationship Id="rId937" Type="http://schemas.openxmlformats.org/officeDocument/2006/relationships/hyperlink" Target="https://utrucking.com/admin/orders/5930540400828" TargetMode="External"/><Relationship Id="rId932" Type="http://schemas.openxmlformats.org/officeDocument/2006/relationships/hyperlink" Target="https://utrucking.com/admin/orders/5929886941372" TargetMode="External"/><Relationship Id="rId931" Type="http://schemas.openxmlformats.org/officeDocument/2006/relationships/hyperlink" Target="https://utrucking.com/admin/orders/5929875177660" TargetMode="External"/><Relationship Id="rId930" Type="http://schemas.openxmlformats.org/officeDocument/2006/relationships/hyperlink" Target="https://utrucking.com/admin/orders/5929847324860" TargetMode="External"/><Relationship Id="rId936" Type="http://schemas.openxmlformats.org/officeDocument/2006/relationships/hyperlink" Target="https://utrucking.com/admin/orders/5930480959676" TargetMode="External"/><Relationship Id="rId935" Type="http://schemas.openxmlformats.org/officeDocument/2006/relationships/hyperlink" Target="https://utrucking.com/admin/orders/5930439868604" TargetMode="External"/><Relationship Id="rId934" Type="http://schemas.openxmlformats.org/officeDocument/2006/relationships/hyperlink" Target="https://utrucking.com/admin/orders/5930162094268" TargetMode="External"/><Relationship Id="rId933" Type="http://schemas.openxmlformats.org/officeDocument/2006/relationships/hyperlink" Target="https://utrucking.com/admin/orders/5929907880124" TargetMode="External"/><Relationship Id="rId2850" Type="http://schemas.openxmlformats.org/officeDocument/2006/relationships/hyperlink" Target="https://utrucking.com/admin/orders/6461958914236" TargetMode="External"/><Relationship Id="rId1520" Type="http://schemas.openxmlformats.org/officeDocument/2006/relationships/hyperlink" Target="https://utrucking.com/admin/orders/6325525971132" TargetMode="External"/><Relationship Id="rId2851" Type="http://schemas.openxmlformats.org/officeDocument/2006/relationships/hyperlink" Target="https://utrucking.com/admin/orders/6462268670140" TargetMode="External"/><Relationship Id="rId1554" Type="http://schemas.openxmlformats.org/officeDocument/2006/relationships/hyperlink" Target="https://utrucking.com/admin/orders/6348828803260" TargetMode="External"/><Relationship Id="rId2401" Type="http://schemas.openxmlformats.org/officeDocument/2006/relationships/hyperlink" Target="https://utrucking.com/admin/orders/6446692335804" TargetMode="External"/><Relationship Id="rId2885" Type="http://schemas.openxmlformats.org/officeDocument/2006/relationships/hyperlink" Target="https://utrucking.com/admin/orders/6470985875644" TargetMode="External"/><Relationship Id="rId1555" Type="http://schemas.openxmlformats.org/officeDocument/2006/relationships/hyperlink" Target="https://utrucking.com/admin/orders/6348959678652" TargetMode="External"/><Relationship Id="rId2402" Type="http://schemas.openxmlformats.org/officeDocument/2006/relationships/hyperlink" Target="https://utrucking.com/admin/orders/6446700101820" TargetMode="External"/><Relationship Id="rId2886" Type="http://schemas.openxmlformats.org/officeDocument/2006/relationships/hyperlink" Target="https://utrucking.com/admin/orders/6471112261820" TargetMode="External"/><Relationship Id="rId1556" Type="http://schemas.openxmlformats.org/officeDocument/2006/relationships/hyperlink" Target="https://utrucking.com/admin/orders/6348960661692" TargetMode="External"/><Relationship Id="rId2403" Type="http://schemas.openxmlformats.org/officeDocument/2006/relationships/hyperlink" Target="https://utrucking.com/admin/orders/6446700101820" TargetMode="External"/><Relationship Id="rId2887" Type="http://schemas.openxmlformats.org/officeDocument/2006/relationships/hyperlink" Target="https://utrucking.com/admin/orders/6471430308028" TargetMode="External"/><Relationship Id="rId1557" Type="http://schemas.openxmlformats.org/officeDocument/2006/relationships/hyperlink" Target="https://utrucking.com/admin/orders/6349062537404" TargetMode="External"/><Relationship Id="rId2404" Type="http://schemas.openxmlformats.org/officeDocument/2006/relationships/hyperlink" Target="https://utrucking.com/admin/orders/6446702231740" TargetMode="External"/><Relationship Id="rId2888" Type="http://schemas.openxmlformats.org/officeDocument/2006/relationships/hyperlink" Target="https://utrucking.com/admin/orders/6472126791868" TargetMode="External"/><Relationship Id="rId1558" Type="http://schemas.openxmlformats.org/officeDocument/2006/relationships/hyperlink" Target="https://utrucking.com/admin/orders/6350201389244" TargetMode="External"/><Relationship Id="rId2405" Type="http://schemas.openxmlformats.org/officeDocument/2006/relationships/hyperlink" Target="https://utrucking.com/admin/orders/6446726873276" TargetMode="External"/><Relationship Id="rId2889" Type="http://schemas.openxmlformats.org/officeDocument/2006/relationships/hyperlink" Target="https://utrucking.com/admin/orders/6473811132604" TargetMode="External"/><Relationship Id="rId1559" Type="http://schemas.openxmlformats.org/officeDocument/2006/relationships/hyperlink" Target="https://utrucking.com/admin/orders/6350272200892" TargetMode="External"/><Relationship Id="rId2406" Type="http://schemas.openxmlformats.org/officeDocument/2006/relationships/hyperlink" Target="https://utrucking.com/admin/orders/6446827831484" TargetMode="External"/><Relationship Id="rId2407" Type="http://schemas.openxmlformats.org/officeDocument/2006/relationships/hyperlink" Target="https://utrucking.com/admin/orders/6446828224700" TargetMode="External"/><Relationship Id="rId2408" Type="http://schemas.openxmlformats.org/officeDocument/2006/relationships/hyperlink" Target="https://utrucking.com/admin/orders/6446857126076" TargetMode="External"/><Relationship Id="rId2409" Type="http://schemas.openxmlformats.org/officeDocument/2006/relationships/hyperlink" Target="https://utrucking.com/admin/orders/6446867120316" TargetMode="External"/><Relationship Id="rId965" Type="http://schemas.openxmlformats.org/officeDocument/2006/relationships/hyperlink" Target="https://utrucking.com/admin/orders/5932673138876" TargetMode="External"/><Relationship Id="rId964" Type="http://schemas.openxmlformats.org/officeDocument/2006/relationships/hyperlink" Target="https://utrucking.com/admin/orders/5932394905788" TargetMode="External"/><Relationship Id="rId963" Type="http://schemas.openxmlformats.org/officeDocument/2006/relationships/hyperlink" Target="https://utrucking.com/admin/orders/5932301123772" TargetMode="External"/><Relationship Id="rId962" Type="http://schemas.openxmlformats.org/officeDocument/2006/relationships/hyperlink" Target="https://utrucking.com/admin/orders/5932198625468" TargetMode="External"/><Relationship Id="rId969" Type="http://schemas.openxmlformats.org/officeDocument/2006/relationships/hyperlink" Target="https://utrucking.com/admin/orders/5932749160636" TargetMode="External"/><Relationship Id="rId968" Type="http://schemas.openxmlformats.org/officeDocument/2006/relationships/hyperlink" Target="https://utrucking.com/admin/orders/5932735135932" TargetMode="External"/><Relationship Id="rId967" Type="http://schemas.openxmlformats.org/officeDocument/2006/relationships/hyperlink" Target="https://utrucking.com/admin/orders/5932721176764" TargetMode="External"/><Relationship Id="rId966" Type="http://schemas.openxmlformats.org/officeDocument/2006/relationships/hyperlink" Target="https://utrucking.com/admin/orders/5932711477436" TargetMode="External"/><Relationship Id="rId2880" Type="http://schemas.openxmlformats.org/officeDocument/2006/relationships/hyperlink" Target="https://utrucking.com/admin/orders/6469237473468" TargetMode="External"/><Relationship Id="rId961" Type="http://schemas.openxmlformats.org/officeDocument/2006/relationships/hyperlink" Target="https://utrucking.com/admin/orders/5932164251836" TargetMode="External"/><Relationship Id="rId1550" Type="http://schemas.openxmlformats.org/officeDocument/2006/relationships/hyperlink" Target="https://utrucking.com/admin/orders/6347034034364" TargetMode="External"/><Relationship Id="rId2881" Type="http://schemas.openxmlformats.org/officeDocument/2006/relationships/hyperlink" Target="https://utrucking.com/admin/orders/6469852823740" TargetMode="External"/><Relationship Id="rId960" Type="http://schemas.openxmlformats.org/officeDocument/2006/relationships/hyperlink" Target="https://utrucking.com/admin/orders/5932164251836" TargetMode="External"/><Relationship Id="rId1551" Type="http://schemas.openxmlformats.org/officeDocument/2006/relationships/hyperlink" Target="https://utrucking.com/admin/orders/6347141087420" TargetMode="External"/><Relationship Id="rId2882" Type="http://schemas.openxmlformats.org/officeDocument/2006/relationships/hyperlink" Target="https://utrucking.com/admin/orders/6470231621820" TargetMode="External"/><Relationship Id="rId1552" Type="http://schemas.openxmlformats.org/officeDocument/2006/relationships/hyperlink" Target="https://utrucking.com/admin/orders/6347989745852" TargetMode="External"/><Relationship Id="rId2883" Type="http://schemas.openxmlformats.org/officeDocument/2006/relationships/hyperlink" Target="https://utrucking.com/admin/orders/6470502187196" TargetMode="External"/><Relationship Id="rId1553" Type="http://schemas.openxmlformats.org/officeDocument/2006/relationships/hyperlink" Target="https://utrucking.com/admin/orders/6348748914876" TargetMode="External"/><Relationship Id="rId2400" Type="http://schemas.openxmlformats.org/officeDocument/2006/relationships/hyperlink" Target="https://utrucking.com/admin/orders/6446678278332" TargetMode="External"/><Relationship Id="rId2884" Type="http://schemas.openxmlformats.org/officeDocument/2006/relationships/hyperlink" Target="https://utrucking.com/admin/orders/6470568804540" TargetMode="External"/><Relationship Id="rId1543" Type="http://schemas.openxmlformats.org/officeDocument/2006/relationships/hyperlink" Target="https://utrucking.com/admin/orders/6335936495804" TargetMode="External"/><Relationship Id="rId2874" Type="http://schemas.openxmlformats.org/officeDocument/2006/relationships/hyperlink" Target="https://utrucking.com/admin/orders/6467066953916" TargetMode="External"/><Relationship Id="rId1544" Type="http://schemas.openxmlformats.org/officeDocument/2006/relationships/hyperlink" Target="https://utrucking.com/admin/orders/6337363574972" TargetMode="External"/><Relationship Id="rId2875" Type="http://schemas.openxmlformats.org/officeDocument/2006/relationships/hyperlink" Target="https://utrucking.com/admin/orders/6467778511036" TargetMode="External"/><Relationship Id="rId1545" Type="http://schemas.openxmlformats.org/officeDocument/2006/relationships/hyperlink" Target="https://utrucking.com/admin/orders/6338698870972" TargetMode="External"/><Relationship Id="rId2876" Type="http://schemas.openxmlformats.org/officeDocument/2006/relationships/hyperlink" Target="https://utrucking.com/admin/orders/6467801120956" TargetMode="External"/><Relationship Id="rId1546" Type="http://schemas.openxmlformats.org/officeDocument/2006/relationships/hyperlink" Target="https://utrucking.com/admin/orders/6340057465020" TargetMode="External"/><Relationship Id="rId2877" Type="http://schemas.openxmlformats.org/officeDocument/2006/relationships/hyperlink" Target="https://utrucking.com/admin/orders/6468811423932" TargetMode="External"/><Relationship Id="rId1547" Type="http://schemas.openxmlformats.org/officeDocument/2006/relationships/hyperlink" Target="https://utrucking.com/admin/orders/6343968784572" TargetMode="External"/><Relationship Id="rId2878" Type="http://schemas.openxmlformats.org/officeDocument/2006/relationships/hyperlink" Target="https://utrucking.com/admin/orders/6469191991484" TargetMode="External"/><Relationship Id="rId1548" Type="http://schemas.openxmlformats.org/officeDocument/2006/relationships/hyperlink" Target="https://utrucking.com/admin/orders/6346053550268" TargetMode="External"/><Relationship Id="rId2879" Type="http://schemas.openxmlformats.org/officeDocument/2006/relationships/hyperlink" Target="https://utrucking.com/admin/orders/6469214142652" TargetMode="External"/><Relationship Id="rId1549" Type="http://schemas.openxmlformats.org/officeDocument/2006/relationships/hyperlink" Target="https://utrucking.com/admin/orders/6346789552316" TargetMode="External"/><Relationship Id="rId959" Type="http://schemas.openxmlformats.org/officeDocument/2006/relationships/hyperlink" Target="https://utrucking.com/admin/orders/5932164251836" TargetMode="External"/><Relationship Id="rId954" Type="http://schemas.openxmlformats.org/officeDocument/2006/relationships/hyperlink" Target="https://utrucking.com/admin/orders/5931833458876" TargetMode="External"/><Relationship Id="rId953" Type="http://schemas.openxmlformats.org/officeDocument/2006/relationships/hyperlink" Target="https://utrucking.com/admin/orders/5931808751804" TargetMode="External"/><Relationship Id="rId952" Type="http://schemas.openxmlformats.org/officeDocument/2006/relationships/hyperlink" Target="https://utrucking.com/admin/orders/5931730305212" TargetMode="External"/><Relationship Id="rId951" Type="http://schemas.openxmlformats.org/officeDocument/2006/relationships/hyperlink" Target="https://utrucking.com/admin/orders/5931724341436" TargetMode="External"/><Relationship Id="rId958" Type="http://schemas.openxmlformats.org/officeDocument/2006/relationships/hyperlink" Target="https://utrucking.com/admin/orders/5932105040060" TargetMode="External"/><Relationship Id="rId957" Type="http://schemas.openxmlformats.org/officeDocument/2006/relationships/hyperlink" Target="https://utrucking.com/admin/orders/5932023480508" TargetMode="External"/><Relationship Id="rId956" Type="http://schemas.openxmlformats.org/officeDocument/2006/relationships/hyperlink" Target="https://utrucking.com/admin/orders/5931950768316" TargetMode="External"/><Relationship Id="rId955" Type="http://schemas.openxmlformats.org/officeDocument/2006/relationships/hyperlink" Target="https://utrucking.com/admin/orders/5931926061244" TargetMode="External"/><Relationship Id="rId950" Type="http://schemas.openxmlformats.org/officeDocument/2006/relationships/hyperlink" Target="https://utrucking.com/admin/orders/5931720245436" TargetMode="External"/><Relationship Id="rId2870" Type="http://schemas.openxmlformats.org/officeDocument/2006/relationships/hyperlink" Target="https://utrucking.com/admin/orders/6465943699644" TargetMode="External"/><Relationship Id="rId1540" Type="http://schemas.openxmlformats.org/officeDocument/2006/relationships/hyperlink" Target="https://utrucking.com/admin/orders/6334006755516" TargetMode="External"/><Relationship Id="rId2871" Type="http://schemas.openxmlformats.org/officeDocument/2006/relationships/hyperlink" Target="https://admin.shopify.com/store/utrucking/orders/6465949499580?link_source=search" TargetMode="External"/><Relationship Id="rId1541" Type="http://schemas.openxmlformats.org/officeDocument/2006/relationships/hyperlink" Target="https://utrucking.com/admin/orders/6334045913276" TargetMode="External"/><Relationship Id="rId2872" Type="http://schemas.openxmlformats.org/officeDocument/2006/relationships/hyperlink" Target="https://utrucking.com/admin/orders/6466003632316" TargetMode="External"/><Relationship Id="rId1542" Type="http://schemas.openxmlformats.org/officeDocument/2006/relationships/hyperlink" Target="https://utrucking.com/admin/orders/6335103664316" TargetMode="External"/><Relationship Id="rId2873" Type="http://schemas.openxmlformats.org/officeDocument/2006/relationships/hyperlink" Target="https://utrucking.com/admin/orders/6466973630652" TargetMode="External"/><Relationship Id="rId2027" Type="http://schemas.openxmlformats.org/officeDocument/2006/relationships/hyperlink" Target="https://utrucking.com/admin/orders/6424073207996" TargetMode="External"/><Relationship Id="rId2028" Type="http://schemas.openxmlformats.org/officeDocument/2006/relationships/hyperlink" Target="https://utrucking.com/admin/orders/6424076878012" TargetMode="External"/><Relationship Id="rId2029" Type="http://schemas.openxmlformats.org/officeDocument/2006/relationships/hyperlink" Target="https://utrucking.com/admin/orders/6424163352764" TargetMode="External"/><Relationship Id="rId590" Type="http://schemas.openxmlformats.org/officeDocument/2006/relationships/hyperlink" Target="https://utrucking.com/admin/orders/5918543937724" TargetMode="External"/><Relationship Id="rId107" Type="http://schemas.openxmlformats.org/officeDocument/2006/relationships/hyperlink" Target="https://utrucking.com/admin/orders/5903479177404" TargetMode="External"/><Relationship Id="rId106" Type="http://schemas.openxmlformats.org/officeDocument/2006/relationships/hyperlink" Target="https://utrucking.com/admin/orders/5903479177404" TargetMode="External"/><Relationship Id="rId105" Type="http://schemas.openxmlformats.org/officeDocument/2006/relationships/hyperlink" Target="https://utrucking.com/admin/orders/5903455486140" TargetMode="External"/><Relationship Id="rId589" Type="http://schemas.openxmlformats.org/officeDocument/2006/relationships/hyperlink" Target="https://utrucking.com/admin/orders/5918525653180" TargetMode="External"/><Relationship Id="rId104" Type="http://schemas.openxmlformats.org/officeDocument/2006/relationships/hyperlink" Target="https://utrucking.com/admin/orders/5903311896764" TargetMode="External"/><Relationship Id="rId588" Type="http://schemas.openxmlformats.org/officeDocument/2006/relationships/hyperlink" Target="https://utrucking.com/admin/orders/5918506254524" TargetMode="External"/><Relationship Id="rId109" Type="http://schemas.openxmlformats.org/officeDocument/2006/relationships/hyperlink" Target="https://utrucking.com/admin/orders/5903703638204" TargetMode="External"/><Relationship Id="rId1170" Type="http://schemas.openxmlformats.org/officeDocument/2006/relationships/hyperlink" Target="https://utrucking.com/admin/orders/5941736145084" TargetMode="External"/><Relationship Id="rId108" Type="http://schemas.openxmlformats.org/officeDocument/2006/relationships/hyperlink" Target="https://utrucking.com/admin/orders/5903657599164" TargetMode="External"/><Relationship Id="rId1171" Type="http://schemas.openxmlformats.org/officeDocument/2006/relationships/hyperlink" Target="https://utrucking.com/admin/orders/5942038528188" TargetMode="External"/><Relationship Id="rId583" Type="http://schemas.openxmlformats.org/officeDocument/2006/relationships/hyperlink" Target="https://utrucking.com/admin/orders/5917935337660" TargetMode="External"/><Relationship Id="rId1172" Type="http://schemas.openxmlformats.org/officeDocument/2006/relationships/hyperlink" Target="https://utrucking.com/admin/orders/5942097969340" TargetMode="External"/><Relationship Id="rId582" Type="http://schemas.openxmlformats.org/officeDocument/2006/relationships/hyperlink" Target="https://utrucking.com/admin/orders/5917923442876" TargetMode="External"/><Relationship Id="rId1173" Type="http://schemas.openxmlformats.org/officeDocument/2006/relationships/hyperlink" Target="https://utrucking.com/admin/orders/5942123102396" TargetMode="External"/><Relationship Id="rId2020" Type="http://schemas.openxmlformats.org/officeDocument/2006/relationships/hyperlink" Target="https://utrucking.com/admin/orders/6423443439804" TargetMode="External"/><Relationship Id="rId581" Type="http://schemas.openxmlformats.org/officeDocument/2006/relationships/hyperlink" Target="https://utrucking.com/admin/orders/5917899358396" TargetMode="External"/><Relationship Id="rId1174" Type="http://schemas.openxmlformats.org/officeDocument/2006/relationships/hyperlink" Target="https://utrucking.com/admin/orders/5942128050364" TargetMode="External"/><Relationship Id="rId2021" Type="http://schemas.openxmlformats.org/officeDocument/2006/relationships/hyperlink" Target="https://utrucking.com/admin/orders/6423660331196" TargetMode="External"/><Relationship Id="rId580" Type="http://schemas.openxmlformats.org/officeDocument/2006/relationships/hyperlink" Target="https://utrucking.com/admin/orders/5917847158972" TargetMode="External"/><Relationship Id="rId1175" Type="http://schemas.openxmlformats.org/officeDocument/2006/relationships/hyperlink" Target="https://utrucking.com/admin/orders/5942173204668" TargetMode="External"/><Relationship Id="rId2022" Type="http://schemas.openxmlformats.org/officeDocument/2006/relationships/hyperlink" Target="https://utrucking.com/admin/orders/6423688970428" TargetMode="External"/><Relationship Id="rId103" Type="http://schemas.openxmlformats.org/officeDocument/2006/relationships/hyperlink" Target="https://utrucking.com/admin/orders/5903255830716" TargetMode="External"/><Relationship Id="rId587" Type="http://schemas.openxmlformats.org/officeDocument/2006/relationships/hyperlink" Target="https://utrucking.com/admin/orders/5918383702204" TargetMode="External"/><Relationship Id="rId1176" Type="http://schemas.openxmlformats.org/officeDocument/2006/relationships/hyperlink" Target="https://utrucking.com/admin/orders/5942311715004" TargetMode="External"/><Relationship Id="rId2023" Type="http://schemas.openxmlformats.org/officeDocument/2006/relationships/hyperlink" Target="https://utrucking.com/admin/orders/6423839572156" TargetMode="External"/><Relationship Id="rId102" Type="http://schemas.openxmlformats.org/officeDocument/2006/relationships/hyperlink" Target="https://utrucking.com/admin/orders/5903142879420" TargetMode="External"/><Relationship Id="rId586" Type="http://schemas.openxmlformats.org/officeDocument/2006/relationships/hyperlink" Target="https://utrucking.com/admin/orders/5918308204732" TargetMode="External"/><Relationship Id="rId1177" Type="http://schemas.openxmlformats.org/officeDocument/2006/relationships/hyperlink" Target="https://utrucking.com/admin/orders/5942375809212" TargetMode="External"/><Relationship Id="rId2024" Type="http://schemas.openxmlformats.org/officeDocument/2006/relationships/hyperlink" Target="https://utrucking.com/admin/orders/6423882399932" TargetMode="External"/><Relationship Id="rId101" Type="http://schemas.openxmlformats.org/officeDocument/2006/relationships/hyperlink" Target="https://utrucking.com/admin/orders/5902876213436" TargetMode="External"/><Relationship Id="rId585" Type="http://schemas.openxmlformats.org/officeDocument/2006/relationships/hyperlink" Target="https://utrucking.com/admin/orders/5918009131196" TargetMode="External"/><Relationship Id="rId1178" Type="http://schemas.openxmlformats.org/officeDocument/2006/relationships/hyperlink" Target="https://utrucking.com/admin/orders/5942379806908" TargetMode="External"/><Relationship Id="rId2025" Type="http://schemas.openxmlformats.org/officeDocument/2006/relationships/hyperlink" Target="https://utrucking.com/admin/orders/6423999873212" TargetMode="External"/><Relationship Id="rId100" Type="http://schemas.openxmlformats.org/officeDocument/2006/relationships/hyperlink" Target="https://utrucking.com/admin/orders/5902817329340" TargetMode="External"/><Relationship Id="rId584" Type="http://schemas.openxmlformats.org/officeDocument/2006/relationships/hyperlink" Target="https://utrucking.com/admin/orders/5917957750972" TargetMode="External"/><Relationship Id="rId1179" Type="http://schemas.openxmlformats.org/officeDocument/2006/relationships/hyperlink" Target="https://utrucking.com/admin/orders/5942574219452" TargetMode="External"/><Relationship Id="rId2026" Type="http://schemas.openxmlformats.org/officeDocument/2006/relationships/hyperlink" Target="https://utrucking.com/admin/orders/6424063639740" TargetMode="External"/><Relationship Id="rId1169" Type="http://schemas.openxmlformats.org/officeDocument/2006/relationships/hyperlink" Target="https://utrucking.com/admin/orders/5941713567932" TargetMode="External"/><Relationship Id="rId2016" Type="http://schemas.openxmlformats.org/officeDocument/2006/relationships/hyperlink" Target="https://utrucking.com/admin/orders/6423221829820" TargetMode="External"/><Relationship Id="rId2017" Type="http://schemas.openxmlformats.org/officeDocument/2006/relationships/hyperlink" Target="https://utrucking.com/admin/orders/6423244079292" TargetMode="External"/><Relationship Id="rId2018" Type="http://schemas.openxmlformats.org/officeDocument/2006/relationships/hyperlink" Target="https://utrucking.com/admin/orders/6423247749308" TargetMode="External"/><Relationship Id="rId2019" Type="http://schemas.openxmlformats.org/officeDocument/2006/relationships/hyperlink" Target="https://utrucking.com/admin/orders/6423412146364" TargetMode="External"/><Relationship Id="rId579" Type="http://schemas.openxmlformats.org/officeDocument/2006/relationships/hyperlink" Target="https://utrucking.com/admin/orders/5917847158972" TargetMode="External"/><Relationship Id="rId578" Type="http://schemas.openxmlformats.org/officeDocument/2006/relationships/hyperlink" Target="https://utrucking.com/admin/orders/5917806035132" TargetMode="External"/><Relationship Id="rId577" Type="http://schemas.openxmlformats.org/officeDocument/2006/relationships/hyperlink" Target="https://utrucking.com/admin/orders/5917758521532" TargetMode="External"/><Relationship Id="rId2490" Type="http://schemas.openxmlformats.org/officeDocument/2006/relationships/hyperlink" Target="https://utrucking.com/admin/orders/6448111943868" TargetMode="External"/><Relationship Id="rId1160" Type="http://schemas.openxmlformats.org/officeDocument/2006/relationships/hyperlink" Target="https://utrucking.com/admin/orders/5941208318140" TargetMode="External"/><Relationship Id="rId2491" Type="http://schemas.openxmlformats.org/officeDocument/2006/relationships/hyperlink" Target="https://utrucking.com/admin/orders/6448112959676" TargetMode="External"/><Relationship Id="rId572" Type="http://schemas.openxmlformats.org/officeDocument/2006/relationships/hyperlink" Target="https://utrucking.com/admin/orders/5917576167612" TargetMode="External"/><Relationship Id="rId1161" Type="http://schemas.openxmlformats.org/officeDocument/2006/relationships/hyperlink" Target="https://utrucking.com/admin/orders/5941285421244" TargetMode="External"/><Relationship Id="rId2492" Type="http://schemas.openxmlformats.org/officeDocument/2006/relationships/hyperlink" Target="https://utrucking.com/admin/orders/6448121708732" TargetMode="External"/><Relationship Id="rId571" Type="http://schemas.openxmlformats.org/officeDocument/2006/relationships/hyperlink" Target="https://utrucking.com/admin/orders/5917557293244" TargetMode="External"/><Relationship Id="rId1162" Type="http://schemas.openxmlformats.org/officeDocument/2006/relationships/hyperlink" Target="https://utrucking.com/admin/orders/5941318222012" TargetMode="External"/><Relationship Id="rId2493" Type="http://schemas.openxmlformats.org/officeDocument/2006/relationships/hyperlink" Target="https://utrucking.com/admin/orders/6448129212604" TargetMode="External"/><Relationship Id="rId570" Type="http://schemas.openxmlformats.org/officeDocument/2006/relationships/hyperlink" Target="https://utrucking.com/admin/orders/5917544874172" TargetMode="External"/><Relationship Id="rId1163" Type="http://schemas.openxmlformats.org/officeDocument/2006/relationships/hyperlink" Target="https://utrucking.com/admin/orders/5941364195516" TargetMode="External"/><Relationship Id="rId2010" Type="http://schemas.openxmlformats.org/officeDocument/2006/relationships/hyperlink" Target="https://utrucking.com/admin/orders/6423131488444" TargetMode="External"/><Relationship Id="rId2494" Type="http://schemas.openxmlformats.org/officeDocument/2006/relationships/hyperlink" Target="https://utrucking.com/admin/orders/6448167256252" TargetMode="External"/><Relationship Id="rId1164" Type="http://schemas.openxmlformats.org/officeDocument/2006/relationships/hyperlink" Target="https://utrucking.com/admin/orders/5941420687548" TargetMode="External"/><Relationship Id="rId2011" Type="http://schemas.openxmlformats.org/officeDocument/2006/relationships/hyperlink" Target="https://utrucking.com/admin/orders/6423134765244" TargetMode="External"/><Relationship Id="rId2495" Type="http://schemas.openxmlformats.org/officeDocument/2006/relationships/hyperlink" Target="https://utrucking.com/admin/orders/6448181870780" TargetMode="External"/><Relationship Id="rId576" Type="http://schemas.openxmlformats.org/officeDocument/2006/relationships/hyperlink" Target="https://utrucking.com/admin/orders/5917753540796" TargetMode="External"/><Relationship Id="rId1165" Type="http://schemas.openxmlformats.org/officeDocument/2006/relationships/hyperlink" Target="https://utrucking.com/admin/orders/5941497069756" TargetMode="External"/><Relationship Id="rId2012" Type="http://schemas.openxmlformats.org/officeDocument/2006/relationships/hyperlink" Target="https://utrucking.com/admin/orders/6423134765244" TargetMode="External"/><Relationship Id="rId2496" Type="http://schemas.openxmlformats.org/officeDocument/2006/relationships/hyperlink" Target="https://utrucking.com/admin/orders/6448184328380" TargetMode="External"/><Relationship Id="rId575" Type="http://schemas.openxmlformats.org/officeDocument/2006/relationships/hyperlink" Target="https://utrucking.com/admin/orders/5917734895804" TargetMode="External"/><Relationship Id="rId1166" Type="http://schemas.openxmlformats.org/officeDocument/2006/relationships/hyperlink" Target="https://utrucking.com/admin/orders/5941498478780" TargetMode="External"/><Relationship Id="rId2013" Type="http://schemas.openxmlformats.org/officeDocument/2006/relationships/hyperlink" Target="https://utrucking.com/admin/orders/6423134863548" TargetMode="External"/><Relationship Id="rId2497" Type="http://schemas.openxmlformats.org/officeDocument/2006/relationships/hyperlink" Target="https://utrucking.com/admin/orders/6448187539644" TargetMode="External"/><Relationship Id="rId574" Type="http://schemas.openxmlformats.org/officeDocument/2006/relationships/hyperlink" Target="https://utrucking.com/admin/orders/5917658054844" TargetMode="External"/><Relationship Id="rId1167" Type="http://schemas.openxmlformats.org/officeDocument/2006/relationships/hyperlink" Target="https://utrucking.com/admin/orders/5941663137980" TargetMode="External"/><Relationship Id="rId2014" Type="http://schemas.openxmlformats.org/officeDocument/2006/relationships/hyperlink" Target="https://utrucking.com/admin/orders/6423156064444" TargetMode="External"/><Relationship Id="rId2498" Type="http://schemas.openxmlformats.org/officeDocument/2006/relationships/hyperlink" Target="https://utrucking.com/admin/orders/6448199925948" TargetMode="External"/><Relationship Id="rId573" Type="http://schemas.openxmlformats.org/officeDocument/2006/relationships/hyperlink" Target="https://utrucking.com/admin/orders/5917598613692" TargetMode="External"/><Relationship Id="rId1168" Type="http://schemas.openxmlformats.org/officeDocument/2006/relationships/hyperlink" Target="https://utrucking.com/admin/orders/5941711700156" TargetMode="External"/><Relationship Id="rId2015" Type="http://schemas.openxmlformats.org/officeDocument/2006/relationships/hyperlink" Target="https://utrucking.com/admin/orders/6423176609980" TargetMode="External"/><Relationship Id="rId2499" Type="http://schemas.openxmlformats.org/officeDocument/2006/relationships/hyperlink" Target="https://utrucking.com/admin/orders/6448201892028" TargetMode="External"/><Relationship Id="rId2049" Type="http://schemas.openxmlformats.org/officeDocument/2006/relationships/hyperlink" Target="https://utrucking.com/admin/orders/6424994152636" TargetMode="External"/><Relationship Id="rId129" Type="http://schemas.openxmlformats.org/officeDocument/2006/relationships/hyperlink" Target="https://utrucking.com/admin/orders/5904534667452" TargetMode="External"/><Relationship Id="rId128" Type="http://schemas.openxmlformats.org/officeDocument/2006/relationships/hyperlink" Target="https://utrucking.com/admin/orders/5904467624124" TargetMode="External"/><Relationship Id="rId127" Type="http://schemas.openxmlformats.org/officeDocument/2006/relationships/hyperlink" Target="https://utrucking.com/admin/orders/5904426336444" TargetMode="External"/><Relationship Id="rId126" Type="http://schemas.openxmlformats.org/officeDocument/2006/relationships/hyperlink" Target="https://utrucking.com/admin/orders/5904420372668" TargetMode="External"/><Relationship Id="rId1190" Type="http://schemas.openxmlformats.org/officeDocument/2006/relationships/hyperlink" Target="https://utrucking.com/admin/orders/5943549788348" TargetMode="External"/><Relationship Id="rId1191" Type="http://schemas.openxmlformats.org/officeDocument/2006/relationships/hyperlink" Target="https://utrucking.com/admin/orders/5943636754620" TargetMode="External"/><Relationship Id="rId1192" Type="http://schemas.openxmlformats.org/officeDocument/2006/relationships/hyperlink" Target="https://utrucking.com/admin/orders/5943651532988" TargetMode="External"/><Relationship Id="rId1193" Type="http://schemas.openxmlformats.org/officeDocument/2006/relationships/hyperlink" Target="https://utrucking.com/admin/orders/5943655923900" TargetMode="External"/><Relationship Id="rId2040" Type="http://schemas.openxmlformats.org/officeDocument/2006/relationships/hyperlink" Target="https://utrucking.com/admin/orders/6424388042940" TargetMode="External"/><Relationship Id="rId121" Type="http://schemas.openxmlformats.org/officeDocument/2006/relationships/hyperlink" Target="https://utrucking.com/admin/orders/5904294478012" TargetMode="External"/><Relationship Id="rId1194" Type="http://schemas.openxmlformats.org/officeDocument/2006/relationships/hyperlink" Target="https://utrucking.com/admin/orders/5943720804540" TargetMode="External"/><Relationship Id="rId2041" Type="http://schemas.openxmlformats.org/officeDocument/2006/relationships/hyperlink" Target="https://utrucking.com/admin/orders/6424538644668" TargetMode="External"/><Relationship Id="rId120" Type="http://schemas.openxmlformats.org/officeDocument/2006/relationships/hyperlink" Target="https://utrucking.com/admin/orders/5904293560508" TargetMode="External"/><Relationship Id="rId1195" Type="http://schemas.openxmlformats.org/officeDocument/2006/relationships/hyperlink" Target="https://utrucking.com/admin/orders/5943778967740" TargetMode="External"/><Relationship Id="rId2042" Type="http://schemas.openxmlformats.org/officeDocument/2006/relationships/hyperlink" Target="https://utrucking.com/admin/orders/6424563056828" TargetMode="External"/><Relationship Id="rId1196" Type="http://schemas.openxmlformats.org/officeDocument/2006/relationships/hyperlink" Target="https://utrucking.com/admin/orders/5943885365436" TargetMode="External"/><Relationship Id="rId2043" Type="http://schemas.openxmlformats.org/officeDocument/2006/relationships/hyperlink" Target="https://utrucking.com/admin/orders/6424602116284" TargetMode="External"/><Relationship Id="rId1197" Type="http://schemas.openxmlformats.org/officeDocument/2006/relationships/hyperlink" Target="https://utrucking.com/admin/orders/5943938056380" TargetMode="External"/><Relationship Id="rId2044" Type="http://schemas.openxmlformats.org/officeDocument/2006/relationships/hyperlink" Target="https://utrucking.com/admin/orders/6424629084348" TargetMode="External"/><Relationship Id="rId125" Type="http://schemas.openxmlformats.org/officeDocument/2006/relationships/hyperlink" Target="https://utrucking.com/admin/orders/5904418308284" TargetMode="External"/><Relationship Id="rId1198" Type="http://schemas.openxmlformats.org/officeDocument/2006/relationships/hyperlink" Target="https://utrucking.com/admin/orders/5943958143164" TargetMode="External"/><Relationship Id="rId2045" Type="http://schemas.openxmlformats.org/officeDocument/2006/relationships/hyperlink" Target="https://utrucking.com/admin/orders/6424716673212" TargetMode="External"/><Relationship Id="rId124" Type="http://schemas.openxmlformats.org/officeDocument/2006/relationships/hyperlink" Target="https://utrucking.com/admin/orders/5904418308284" TargetMode="External"/><Relationship Id="rId1199" Type="http://schemas.openxmlformats.org/officeDocument/2006/relationships/hyperlink" Target="https://utrucking.com/admin/orders/5943969939644" TargetMode="External"/><Relationship Id="rId2046" Type="http://schemas.openxmlformats.org/officeDocument/2006/relationships/hyperlink" Target="https://utrucking.com/admin/orders/6424785682620" TargetMode="External"/><Relationship Id="rId123" Type="http://schemas.openxmlformats.org/officeDocument/2006/relationships/hyperlink" Target="https://utrucking.com/admin/orders/5904407462076" TargetMode="External"/><Relationship Id="rId2047" Type="http://schemas.openxmlformats.org/officeDocument/2006/relationships/hyperlink" Target="https://utrucking.com/admin/orders/6424931303612" TargetMode="External"/><Relationship Id="rId122" Type="http://schemas.openxmlformats.org/officeDocument/2006/relationships/hyperlink" Target="https://utrucking.com/admin/orders/5904395010236" TargetMode="External"/><Relationship Id="rId2048" Type="http://schemas.openxmlformats.org/officeDocument/2006/relationships/hyperlink" Target="https://utrucking.com/admin/orders/6424989368508" TargetMode="External"/><Relationship Id="rId2038" Type="http://schemas.openxmlformats.org/officeDocument/2006/relationships/hyperlink" Target="https://utrucking.com/admin/orders/6424314773692" TargetMode="External"/><Relationship Id="rId2039" Type="http://schemas.openxmlformats.org/officeDocument/2006/relationships/hyperlink" Target="https://utrucking.com/admin/orders/6424387715260" TargetMode="External"/><Relationship Id="rId118" Type="http://schemas.openxmlformats.org/officeDocument/2006/relationships/hyperlink" Target="https://utrucking.com/admin/orders/5904128082108" TargetMode="External"/><Relationship Id="rId117" Type="http://schemas.openxmlformats.org/officeDocument/2006/relationships/hyperlink" Target="https://utrucking.com/admin/orders/5904080044220" TargetMode="External"/><Relationship Id="rId116" Type="http://schemas.openxmlformats.org/officeDocument/2006/relationships/hyperlink" Target="https://utrucking.com/admin/orders/5903995863228" TargetMode="External"/><Relationship Id="rId115" Type="http://schemas.openxmlformats.org/officeDocument/2006/relationships/hyperlink" Target="https://utrucking.com/admin/orders/5903890022588" TargetMode="External"/><Relationship Id="rId599" Type="http://schemas.openxmlformats.org/officeDocument/2006/relationships/hyperlink" Target="https://utrucking.com/admin/orders/5918907564220" TargetMode="External"/><Relationship Id="rId1180" Type="http://schemas.openxmlformats.org/officeDocument/2006/relationships/hyperlink" Target="https://utrucking.com/admin/orders/5942594011324" TargetMode="External"/><Relationship Id="rId1181" Type="http://schemas.openxmlformats.org/officeDocument/2006/relationships/hyperlink" Target="https://utrucking.com/admin/orders/5942613475516" TargetMode="External"/><Relationship Id="rId119" Type="http://schemas.openxmlformats.org/officeDocument/2006/relationships/hyperlink" Target="https://utrucking.com/admin/orders/5904210755772" TargetMode="External"/><Relationship Id="rId1182" Type="http://schemas.openxmlformats.org/officeDocument/2006/relationships/hyperlink" Target="https://utrucking.com/admin/orders/5942640214204" TargetMode="External"/><Relationship Id="rId110" Type="http://schemas.openxmlformats.org/officeDocument/2006/relationships/hyperlink" Target="https://utrucking.com/admin/orders/5903737815228" TargetMode="External"/><Relationship Id="rId594" Type="http://schemas.openxmlformats.org/officeDocument/2006/relationships/hyperlink" Target="https://utrucking.com/admin/orders/5918707220668" TargetMode="External"/><Relationship Id="rId1183" Type="http://schemas.openxmlformats.org/officeDocument/2006/relationships/hyperlink" Target="https://utrucking.com/admin/orders/5942662398140" TargetMode="External"/><Relationship Id="rId2030" Type="http://schemas.openxmlformats.org/officeDocument/2006/relationships/hyperlink" Target="https://utrucking.com/admin/orders/6424205918396" TargetMode="External"/><Relationship Id="rId593" Type="http://schemas.openxmlformats.org/officeDocument/2006/relationships/hyperlink" Target="https://utrucking.com/admin/orders/5918679498940" TargetMode="External"/><Relationship Id="rId1184" Type="http://schemas.openxmlformats.org/officeDocument/2006/relationships/hyperlink" Target="https://utrucking.com/admin/orders/5942858154172" TargetMode="External"/><Relationship Id="rId2031" Type="http://schemas.openxmlformats.org/officeDocument/2006/relationships/hyperlink" Target="https://utrucking.com/admin/orders/6424217419964" TargetMode="External"/><Relationship Id="rId592" Type="http://schemas.openxmlformats.org/officeDocument/2006/relationships/hyperlink" Target="https://utrucking.com/admin/orders/5918668325052" TargetMode="External"/><Relationship Id="rId1185" Type="http://schemas.openxmlformats.org/officeDocument/2006/relationships/hyperlink" Target="https://utrucking.com/admin/orders/5943095820476" TargetMode="External"/><Relationship Id="rId2032" Type="http://schemas.openxmlformats.org/officeDocument/2006/relationships/hyperlink" Target="https://utrucking.com/admin/orders/6424222564540" TargetMode="External"/><Relationship Id="rId591" Type="http://schemas.openxmlformats.org/officeDocument/2006/relationships/hyperlink" Target="https://utrucking.com/admin/orders/5918668325052" TargetMode="External"/><Relationship Id="rId1186" Type="http://schemas.openxmlformats.org/officeDocument/2006/relationships/hyperlink" Target="https://utrucking.com/admin/orders/5943317528764" TargetMode="External"/><Relationship Id="rId2033" Type="http://schemas.openxmlformats.org/officeDocument/2006/relationships/hyperlink" Target="https://utrucking.com/admin/orders/6424241373372" TargetMode="External"/><Relationship Id="rId114" Type="http://schemas.openxmlformats.org/officeDocument/2006/relationships/hyperlink" Target="https://utrucking.com/admin/orders/5903819833532" TargetMode="External"/><Relationship Id="rId598" Type="http://schemas.openxmlformats.org/officeDocument/2006/relationships/hyperlink" Target="https://utrucking.com/admin/orders/5918800675004" TargetMode="External"/><Relationship Id="rId1187" Type="http://schemas.openxmlformats.org/officeDocument/2006/relationships/hyperlink" Target="https://utrucking.com/admin/orders/5943322575036" TargetMode="External"/><Relationship Id="rId2034" Type="http://schemas.openxmlformats.org/officeDocument/2006/relationships/hyperlink" Target="https://utrucking.com/admin/orders/6424275779772" TargetMode="External"/><Relationship Id="rId113" Type="http://schemas.openxmlformats.org/officeDocument/2006/relationships/hyperlink" Target="https://utrucking.com/admin/orders/5903780315324" TargetMode="External"/><Relationship Id="rId597" Type="http://schemas.openxmlformats.org/officeDocument/2006/relationships/hyperlink" Target="https://utrucking.com/admin/orders/5918775017660" TargetMode="External"/><Relationship Id="rId1188" Type="http://schemas.openxmlformats.org/officeDocument/2006/relationships/hyperlink" Target="https://utrucking.com/admin/orders/5943494312124" TargetMode="External"/><Relationship Id="rId2035" Type="http://schemas.openxmlformats.org/officeDocument/2006/relationships/hyperlink" Target="https://utrucking.com/admin/orders/6424277287100" TargetMode="External"/><Relationship Id="rId112" Type="http://schemas.openxmlformats.org/officeDocument/2006/relationships/hyperlink" Target="https://utrucking.com/admin/orders/5903767109820" TargetMode="External"/><Relationship Id="rId596" Type="http://schemas.openxmlformats.org/officeDocument/2006/relationships/hyperlink" Target="https://utrucking.com/admin/orders/5918746542268" TargetMode="External"/><Relationship Id="rId1189" Type="http://schemas.openxmlformats.org/officeDocument/2006/relationships/hyperlink" Target="https://utrucking.com/admin/orders/5943544316092" TargetMode="External"/><Relationship Id="rId2036" Type="http://schemas.openxmlformats.org/officeDocument/2006/relationships/hyperlink" Target="https://utrucking.com/admin/orders/6424281743548" TargetMode="External"/><Relationship Id="rId111" Type="http://schemas.openxmlformats.org/officeDocument/2006/relationships/hyperlink" Target="https://utrucking.com/admin/orders/5903766323388" TargetMode="External"/><Relationship Id="rId595" Type="http://schemas.openxmlformats.org/officeDocument/2006/relationships/hyperlink" Target="https://utrucking.com/admin/orders/5918726389948" TargetMode="External"/><Relationship Id="rId2037" Type="http://schemas.openxmlformats.org/officeDocument/2006/relationships/hyperlink" Target="https://utrucking.com/admin/orders/6424308383932" TargetMode="External"/><Relationship Id="rId1136" Type="http://schemas.openxmlformats.org/officeDocument/2006/relationships/hyperlink" Target="https://utrucking.com/admin/orders/5939690111164" TargetMode="External"/><Relationship Id="rId2467" Type="http://schemas.openxmlformats.org/officeDocument/2006/relationships/hyperlink" Target="https://utrucking.com/admin/orders/6447886139580" TargetMode="External"/><Relationship Id="rId1137" Type="http://schemas.openxmlformats.org/officeDocument/2006/relationships/hyperlink" Target="https://utrucking.com/admin/orders/5939734184124" TargetMode="External"/><Relationship Id="rId2468" Type="http://schemas.openxmlformats.org/officeDocument/2006/relationships/hyperlink" Target="https://utrucking.com/admin/orders/6447904227516" TargetMode="External"/><Relationship Id="rId1138" Type="http://schemas.openxmlformats.org/officeDocument/2006/relationships/hyperlink" Target="https://utrucking.com/admin/orders/5939742015676" TargetMode="External"/><Relationship Id="rId2469" Type="http://schemas.openxmlformats.org/officeDocument/2006/relationships/hyperlink" Target="https://utrucking.com/admin/orders/6447914188988" TargetMode="External"/><Relationship Id="rId1139" Type="http://schemas.openxmlformats.org/officeDocument/2006/relationships/hyperlink" Target="https://utrucking.com/admin/orders/5939801751740" TargetMode="External"/><Relationship Id="rId547" Type="http://schemas.openxmlformats.org/officeDocument/2006/relationships/hyperlink" Target="https://utrucking.com/admin/orders/5916979757244" TargetMode="External"/><Relationship Id="rId546" Type="http://schemas.openxmlformats.org/officeDocument/2006/relationships/hyperlink" Target="https://utrucking.com/admin/orders/5916966125756" TargetMode="External"/><Relationship Id="rId545" Type="http://schemas.openxmlformats.org/officeDocument/2006/relationships/hyperlink" Target="https://utrucking.com/admin/orders/5916965535932" TargetMode="External"/><Relationship Id="rId544" Type="http://schemas.openxmlformats.org/officeDocument/2006/relationships/hyperlink" Target="https://utrucking.com/admin/orders/5916952133820" TargetMode="External"/><Relationship Id="rId549" Type="http://schemas.openxmlformats.org/officeDocument/2006/relationships/hyperlink" Target="https://utrucking.com/admin/orders/5916998828220" TargetMode="External"/><Relationship Id="rId548" Type="http://schemas.openxmlformats.org/officeDocument/2006/relationships/hyperlink" Target="https://utrucking.com/admin/orders/5916994044092" TargetMode="External"/><Relationship Id="rId2460" Type="http://schemas.openxmlformats.org/officeDocument/2006/relationships/hyperlink" Target="https://utrucking.com/admin/orders/6447817556156" TargetMode="External"/><Relationship Id="rId1130" Type="http://schemas.openxmlformats.org/officeDocument/2006/relationships/hyperlink" Target="https://utrucking.com/admin/orders/5939254984892" TargetMode="External"/><Relationship Id="rId2461" Type="http://schemas.openxmlformats.org/officeDocument/2006/relationships/hyperlink" Target="https://utrucking.com/admin/orders/6447823225020" TargetMode="External"/><Relationship Id="rId1131" Type="http://schemas.openxmlformats.org/officeDocument/2006/relationships/hyperlink" Target="https://utrucking.com/admin/orders/5939314753724" TargetMode="External"/><Relationship Id="rId2462" Type="http://schemas.openxmlformats.org/officeDocument/2006/relationships/hyperlink" Target="https://utrucking.com/admin/orders/6447825420476" TargetMode="External"/><Relationship Id="rId543" Type="http://schemas.openxmlformats.org/officeDocument/2006/relationships/hyperlink" Target="https://utrucking.com/admin/orders/5916943188156" TargetMode="External"/><Relationship Id="rId1132" Type="http://schemas.openxmlformats.org/officeDocument/2006/relationships/hyperlink" Target="https://utrucking.com/admin/orders/5939324813500" TargetMode="External"/><Relationship Id="rId2463" Type="http://schemas.openxmlformats.org/officeDocument/2006/relationships/hyperlink" Target="https://utrucking.com/admin/orders/6447859171516" TargetMode="External"/><Relationship Id="rId542" Type="http://schemas.openxmlformats.org/officeDocument/2006/relationships/hyperlink" Target="https://utrucking.com/admin/orders/5916939747516" TargetMode="External"/><Relationship Id="rId1133" Type="http://schemas.openxmlformats.org/officeDocument/2006/relationships/hyperlink" Target="https://utrucking.com/admin/orders/5939433603260" TargetMode="External"/><Relationship Id="rId2464" Type="http://schemas.openxmlformats.org/officeDocument/2006/relationships/hyperlink" Target="https://utrucking.com/admin/orders/6447866708156" TargetMode="External"/><Relationship Id="rId541" Type="http://schemas.openxmlformats.org/officeDocument/2006/relationships/hyperlink" Target="https://utrucking.com/admin/orders/5916935258300" TargetMode="External"/><Relationship Id="rId1134" Type="http://schemas.openxmlformats.org/officeDocument/2006/relationships/hyperlink" Target="https://utrucking.com/admin/orders/5939552714940" TargetMode="External"/><Relationship Id="rId2465" Type="http://schemas.openxmlformats.org/officeDocument/2006/relationships/hyperlink" Target="https://utrucking.com/admin/orders/6447872245948" TargetMode="External"/><Relationship Id="rId540" Type="http://schemas.openxmlformats.org/officeDocument/2006/relationships/hyperlink" Target="https://utrucking.com/admin/orders/5916921823420" TargetMode="External"/><Relationship Id="rId1135" Type="http://schemas.openxmlformats.org/officeDocument/2006/relationships/hyperlink" Target="https://utrucking.com/admin/orders/5939678576828" TargetMode="External"/><Relationship Id="rId2466" Type="http://schemas.openxmlformats.org/officeDocument/2006/relationships/hyperlink" Target="https://utrucking.com/admin/orders/6447882993852" TargetMode="External"/><Relationship Id="rId1125" Type="http://schemas.openxmlformats.org/officeDocument/2006/relationships/hyperlink" Target="https://utrucking.com/admin/orders/5939136954556" TargetMode="External"/><Relationship Id="rId2456" Type="http://schemas.openxmlformats.org/officeDocument/2006/relationships/hyperlink" Target="https://utrucking.com/admin/orders/6447771418812" TargetMode="External"/><Relationship Id="rId1126" Type="http://schemas.openxmlformats.org/officeDocument/2006/relationships/hyperlink" Target="https://utrucking.com/admin/orders/5939157532860" TargetMode="External"/><Relationship Id="rId2457" Type="http://schemas.openxmlformats.org/officeDocument/2006/relationships/hyperlink" Target="https://utrucking.com/admin/orders/6447793602748" TargetMode="External"/><Relationship Id="rId1127" Type="http://schemas.openxmlformats.org/officeDocument/2006/relationships/hyperlink" Target="https://utrucking.com/admin/orders/5939183681724" TargetMode="External"/><Relationship Id="rId2458" Type="http://schemas.openxmlformats.org/officeDocument/2006/relationships/hyperlink" Target="https://utrucking.com/admin/orders/6447800680636" TargetMode="External"/><Relationship Id="rId1128" Type="http://schemas.openxmlformats.org/officeDocument/2006/relationships/hyperlink" Target="https://utrucking.com/admin/orders/5939197280444" TargetMode="External"/><Relationship Id="rId2459" Type="http://schemas.openxmlformats.org/officeDocument/2006/relationships/hyperlink" Target="https://admin.shopify.com/store/utrucking/orders/6447803990204?link_source=search" TargetMode="External"/><Relationship Id="rId1129" Type="http://schemas.openxmlformats.org/officeDocument/2006/relationships/hyperlink" Target="https://utrucking.com/admin/orders/5939245416636" TargetMode="External"/><Relationship Id="rId536" Type="http://schemas.openxmlformats.org/officeDocument/2006/relationships/hyperlink" Target="https://utrucking.com/admin/orders/5916870148284" TargetMode="External"/><Relationship Id="rId535" Type="http://schemas.openxmlformats.org/officeDocument/2006/relationships/hyperlink" Target="https://utrucking.com/admin/orders/5916825682108" TargetMode="External"/><Relationship Id="rId534" Type="http://schemas.openxmlformats.org/officeDocument/2006/relationships/hyperlink" Target="https://utrucking.com/admin/orders/5916822667452" TargetMode="External"/><Relationship Id="rId533" Type="http://schemas.openxmlformats.org/officeDocument/2006/relationships/hyperlink" Target="https://utrucking.com/admin/orders/5916781838524" TargetMode="External"/><Relationship Id="rId539" Type="http://schemas.openxmlformats.org/officeDocument/2006/relationships/hyperlink" Target="https://utrucking.com/admin/orders/5916919627964" TargetMode="External"/><Relationship Id="rId538" Type="http://schemas.openxmlformats.org/officeDocument/2006/relationships/hyperlink" Target="https://utrucking.com/admin/orders/5916882927804" TargetMode="External"/><Relationship Id="rId537" Type="http://schemas.openxmlformats.org/officeDocument/2006/relationships/hyperlink" Target="https://utrucking.com/admin/orders/5916872278204" TargetMode="External"/><Relationship Id="rId2450" Type="http://schemas.openxmlformats.org/officeDocument/2006/relationships/hyperlink" Target="https://utrucking.com/admin/orders/6447587754172" TargetMode="External"/><Relationship Id="rId1120" Type="http://schemas.openxmlformats.org/officeDocument/2006/relationships/hyperlink" Target="https://utrucking.com/admin/orders/5939001032892" TargetMode="External"/><Relationship Id="rId2451" Type="http://schemas.openxmlformats.org/officeDocument/2006/relationships/hyperlink" Target="https://utrucking.com/admin/orders/6447580479676" TargetMode="External"/><Relationship Id="rId532" Type="http://schemas.openxmlformats.org/officeDocument/2006/relationships/hyperlink" Target="https://utrucking.com/admin/orders/5916718334140" TargetMode="External"/><Relationship Id="rId1121" Type="http://schemas.openxmlformats.org/officeDocument/2006/relationships/hyperlink" Target="https://utrucking.com/admin/orders/5939044024508" TargetMode="External"/><Relationship Id="rId2452" Type="http://schemas.openxmlformats.org/officeDocument/2006/relationships/hyperlink" Target="https://utrucking.com/admin/orders/6447613771964" TargetMode="External"/><Relationship Id="rId531" Type="http://schemas.openxmlformats.org/officeDocument/2006/relationships/hyperlink" Target="https://utrucking.com/admin/orders/5916703719612" TargetMode="External"/><Relationship Id="rId1122" Type="http://schemas.openxmlformats.org/officeDocument/2006/relationships/hyperlink" Target="https://utrucking.com/admin/orders/5939046154428" TargetMode="External"/><Relationship Id="rId2453" Type="http://schemas.openxmlformats.org/officeDocument/2006/relationships/hyperlink" Target="https://utrucking.com/admin/orders/6447749071036" TargetMode="External"/><Relationship Id="rId530" Type="http://schemas.openxmlformats.org/officeDocument/2006/relationships/hyperlink" Target="https://utrucking.com/admin/orders/5916698706108" TargetMode="External"/><Relationship Id="rId1123" Type="http://schemas.openxmlformats.org/officeDocument/2006/relationships/hyperlink" Target="https://utrucking.com/admin/orders/5939049627836" TargetMode="External"/><Relationship Id="rId2454" Type="http://schemas.openxmlformats.org/officeDocument/2006/relationships/hyperlink" Target="https://utrucking.com/admin/orders/6447697854652" TargetMode="External"/><Relationship Id="rId1124" Type="http://schemas.openxmlformats.org/officeDocument/2006/relationships/hyperlink" Target="https://utrucking.com/admin/orders/5939119227068" TargetMode="External"/><Relationship Id="rId2455" Type="http://schemas.openxmlformats.org/officeDocument/2006/relationships/hyperlink" Target="https://utrucking.com/admin/orders/6447750447292" TargetMode="External"/><Relationship Id="rId1158" Type="http://schemas.openxmlformats.org/officeDocument/2006/relationships/hyperlink" Target="https://utrucking.com/admin/orders/5941011316924" TargetMode="External"/><Relationship Id="rId2005" Type="http://schemas.openxmlformats.org/officeDocument/2006/relationships/hyperlink" Target="https://utrucking.com/admin/orders/6423010246844" TargetMode="External"/><Relationship Id="rId2489" Type="http://schemas.openxmlformats.org/officeDocument/2006/relationships/hyperlink" Target="https://utrucking.com/admin/orders/6448102211772" TargetMode="External"/><Relationship Id="rId1159" Type="http://schemas.openxmlformats.org/officeDocument/2006/relationships/hyperlink" Target="https://utrucking.com/admin/orders/5941125841084" TargetMode="External"/><Relationship Id="rId2006" Type="http://schemas.openxmlformats.org/officeDocument/2006/relationships/hyperlink" Target="https://utrucking.com/admin/orders/6423010246844" TargetMode="External"/><Relationship Id="rId2007" Type="http://schemas.openxmlformats.org/officeDocument/2006/relationships/hyperlink" Target="https://utrucking.com/admin/orders/6423021682876" TargetMode="External"/><Relationship Id="rId2008" Type="http://schemas.openxmlformats.org/officeDocument/2006/relationships/hyperlink" Target="https://utrucking.com/admin/orders/6423088595132" TargetMode="External"/><Relationship Id="rId2009" Type="http://schemas.openxmlformats.org/officeDocument/2006/relationships/hyperlink" Target="https://utrucking.com/admin/orders/6423108288700" TargetMode="External"/><Relationship Id="rId569" Type="http://schemas.openxmlformats.org/officeDocument/2006/relationships/hyperlink" Target="https://utrucking.com/admin/orders/5917531046076" TargetMode="External"/><Relationship Id="rId568" Type="http://schemas.openxmlformats.org/officeDocument/2006/relationships/hyperlink" Target="https://utrucking.com/admin/orders/5917526327484" TargetMode="External"/><Relationship Id="rId567" Type="http://schemas.openxmlformats.org/officeDocument/2006/relationships/hyperlink" Target="https://utrucking.com/admin/orders/5917524099260" TargetMode="External"/><Relationship Id="rId566" Type="http://schemas.openxmlformats.org/officeDocument/2006/relationships/hyperlink" Target="https://utrucking.com/admin/orders/5917521510588" TargetMode="External"/><Relationship Id="rId2480" Type="http://schemas.openxmlformats.org/officeDocument/2006/relationships/hyperlink" Target="https://utrucking.com/admin/orders/6448016523452" TargetMode="External"/><Relationship Id="rId561" Type="http://schemas.openxmlformats.org/officeDocument/2006/relationships/hyperlink" Target="https://utrucking.com/admin/orders/5917350133948" TargetMode="External"/><Relationship Id="rId1150" Type="http://schemas.openxmlformats.org/officeDocument/2006/relationships/hyperlink" Target="https://utrucking.com/admin/orders/5940378173628" TargetMode="External"/><Relationship Id="rId2481" Type="http://schemas.openxmlformats.org/officeDocument/2006/relationships/hyperlink" Target="https://utrucking.com/admin/orders/6448048439484" TargetMode="External"/><Relationship Id="rId560" Type="http://schemas.openxmlformats.org/officeDocument/2006/relationships/hyperlink" Target="https://utrucking.com/admin/orders/5917346595004" TargetMode="External"/><Relationship Id="rId1151" Type="http://schemas.openxmlformats.org/officeDocument/2006/relationships/hyperlink" Target="https://utrucking.com/admin/orders/5940395671740" TargetMode="External"/><Relationship Id="rId2482" Type="http://schemas.openxmlformats.org/officeDocument/2006/relationships/hyperlink" Target="https://utrucking.com/admin/orders/6448054993084" TargetMode="External"/><Relationship Id="rId1152" Type="http://schemas.openxmlformats.org/officeDocument/2006/relationships/hyperlink" Target="https://utrucking.com/admin/orders/5940455440572" TargetMode="External"/><Relationship Id="rId2483" Type="http://schemas.openxmlformats.org/officeDocument/2006/relationships/hyperlink" Target="https://utrucking.com/admin/orders/6448055812284" TargetMode="External"/><Relationship Id="rId1153" Type="http://schemas.openxmlformats.org/officeDocument/2006/relationships/hyperlink" Target="https://utrucking.com/admin/orders/5940496859324" TargetMode="External"/><Relationship Id="rId2000" Type="http://schemas.openxmlformats.org/officeDocument/2006/relationships/hyperlink" Target="https://utrucking.com/admin/orders/6422694265020" TargetMode="External"/><Relationship Id="rId2484" Type="http://schemas.openxmlformats.org/officeDocument/2006/relationships/hyperlink" Target="https://utrucking.com/admin/orders/6448057974972" TargetMode="External"/><Relationship Id="rId565" Type="http://schemas.openxmlformats.org/officeDocument/2006/relationships/hyperlink" Target="https://utrucking.com/admin/orders/5917518659772" TargetMode="External"/><Relationship Id="rId1154" Type="http://schemas.openxmlformats.org/officeDocument/2006/relationships/hyperlink" Target="https://utrucking.com/admin/orders/5940552728764" TargetMode="External"/><Relationship Id="rId2001" Type="http://schemas.openxmlformats.org/officeDocument/2006/relationships/hyperlink" Target="https://utrucking.com/admin/orders/6422695051452" TargetMode="External"/><Relationship Id="rId2485" Type="http://schemas.openxmlformats.org/officeDocument/2006/relationships/hyperlink" Target="https://utrucking.com/admin/orders/6448060367036" TargetMode="External"/><Relationship Id="rId564" Type="http://schemas.openxmlformats.org/officeDocument/2006/relationships/hyperlink" Target="https://utrucking.com/admin/orders/5917515088060" TargetMode="External"/><Relationship Id="rId1155" Type="http://schemas.openxmlformats.org/officeDocument/2006/relationships/hyperlink" Target="https://utrucking.com/admin/orders/5940559970492" TargetMode="External"/><Relationship Id="rId2002" Type="http://schemas.openxmlformats.org/officeDocument/2006/relationships/hyperlink" Target="https://utrucking.com/admin/orders/6422699835580" TargetMode="External"/><Relationship Id="rId2486" Type="http://schemas.openxmlformats.org/officeDocument/2006/relationships/hyperlink" Target="https://utrucking.com/admin/orders/6448061087932" TargetMode="External"/><Relationship Id="rId563" Type="http://schemas.openxmlformats.org/officeDocument/2006/relationships/hyperlink" Target="https://utrucking.com/admin/orders/5917362815164" TargetMode="External"/><Relationship Id="rId1156" Type="http://schemas.openxmlformats.org/officeDocument/2006/relationships/hyperlink" Target="https://utrucking.com/admin/orders/5940849639612" TargetMode="External"/><Relationship Id="rId2003" Type="http://schemas.openxmlformats.org/officeDocument/2006/relationships/hyperlink" Target="https://utrucking.com/admin/orders/6422704128188" TargetMode="External"/><Relationship Id="rId2487" Type="http://schemas.openxmlformats.org/officeDocument/2006/relationships/hyperlink" Target="https://utrucking.com/admin/orders/6448063840444" TargetMode="External"/><Relationship Id="rId562" Type="http://schemas.openxmlformats.org/officeDocument/2006/relationships/hyperlink" Target="https://utrucking.com/admin/orders/5917351641276" TargetMode="External"/><Relationship Id="rId1157" Type="http://schemas.openxmlformats.org/officeDocument/2006/relationships/hyperlink" Target="https://utrucking.com/admin/orders/5940993065148" TargetMode="External"/><Relationship Id="rId2004" Type="http://schemas.openxmlformats.org/officeDocument/2006/relationships/hyperlink" Target="https://utrucking.com/admin/orders/6422990913724" TargetMode="External"/><Relationship Id="rId2488" Type="http://schemas.openxmlformats.org/officeDocument/2006/relationships/hyperlink" Target="https://utrucking.com/admin/orders/6448075374780" TargetMode="External"/><Relationship Id="rId1147" Type="http://schemas.openxmlformats.org/officeDocument/2006/relationships/hyperlink" Target="https://utrucking.com/admin/orders/5940231864508" TargetMode="External"/><Relationship Id="rId2478" Type="http://schemas.openxmlformats.org/officeDocument/2006/relationships/hyperlink" Target="https://utrucking.com/admin/orders/6448007348412" TargetMode="External"/><Relationship Id="rId1148" Type="http://schemas.openxmlformats.org/officeDocument/2006/relationships/hyperlink" Target="https://utrucking.com/admin/orders/5940265189564" TargetMode="External"/><Relationship Id="rId2479" Type="http://schemas.openxmlformats.org/officeDocument/2006/relationships/hyperlink" Target="https://utrucking.com/admin/orders/6448007348412" TargetMode="External"/><Relationship Id="rId1149" Type="http://schemas.openxmlformats.org/officeDocument/2006/relationships/hyperlink" Target="https://utrucking.com/admin/orders/5940357497020" TargetMode="External"/><Relationship Id="rId558" Type="http://schemas.openxmlformats.org/officeDocument/2006/relationships/hyperlink" Target="https://utrucking.com/admin/orders/5917271326908" TargetMode="External"/><Relationship Id="rId557" Type="http://schemas.openxmlformats.org/officeDocument/2006/relationships/hyperlink" Target="https://utrucking.com/admin/orders/5917268050108" TargetMode="External"/><Relationship Id="rId556" Type="http://schemas.openxmlformats.org/officeDocument/2006/relationships/hyperlink" Target="https://utrucking.com/admin/orders/5917160112316" TargetMode="External"/><Relationship Id="rId555" Type="http://schemas.openxmlformats.org/officeDocument/2006/relationships/hyperlink" Target="https://utrucking.com/admin/orders/5917106700476" TargetMode="External"/><Relationship Id="rId559" Type="http://schemas.openxmlformats.org/officeDocument/2006/relationships/hyperlink" Target="https://utrucking.com/admin/orders/5917335093436" TargetMode="External"/><Relationship Id="rId550" Type="http://schemas.openxmlformats.org/officeDocument/2006/relationships/hyperlink" Target="https://utrucking.com/admin/orders/5917017964732" TargetMode="External"/><Relationship Id="rId2470" Type="http://schemas.openxmlformats.org/officeDocument/2006/relationships/hyperlink" Target="https://utrucking.com/admin/orders/6447937814716" TargetMode="External"/><Relationship Id="rId1140" Type="http://schemas.openxmlformats.org/officeDocument/2006/relationships/hyperlink" Target="https://utrucking.com/admin/orders/5939995934908" TargetMode="External"/><Relationship Id="rId2471" Type="http://schemas.openxmlformats.org/officeDocument/2006/relationships/hyperlink" Target="https://utrucking.com/admin/orders/6447942795452" TargetMode="External"/><Relationship Id="rId1141" Type="http://schemas.openxmlformats.org/officeDocument/2006/relationships/hyperlink" Target="https://utrucking.com/admin/orders/5940076052668" TargetMode="External"/><Relationship Id="rId2472" Type="http://schemas.openxmlformats.org/officeDocument/2006/relationships/hyperlink" Target="https://utrucking.com/admin/orders/6447968420028" TargetMode="External"/><Relationship Id="rId1142" Type="http://schemas.openxmlformats.org/officeDocument/2006/relationships/hyperlink" Target="https://utrucking.com/admin/orders/5940142702780" TargetMode="External"/><Relationship Id="rId2473" Type="http://schemas.openxmlformats.org/officeDocument/2006/relationships/hyperlink" Target="https://utrucking.com/admin/orders/6447975432380" TargetMode="External"/><Relationship Id="rId554" Type="http://schemas.openxmlformats.org/officeDocument/2006/relationships/hyperlink" Target="https://utrucking.com/admin/orders/5917088547004" TargetMode="External"/><Relationship Id="rId1143" Type="http://schemas.openxmlformats.org/officeDocument/2006/relationships/hyperlink" Target="https://utrucking.com/admin/orders/5940161183932" TargetMode="External"/><Relationship Id="rId2474" Type="http://schemas.openxmlformats.org/officeDocument/2006/relationships/hyperlink" Target="https://utrucking.com/admin/orders/6447996895420" TargetMode="External"/><Relationship Id="rId553" Type="http://schemas.openxmlformats.org/officeDocument/2006/relationships/hyperlink" Target="https://utrucking.com/admin/orders/5917080387772" TargetMode="External"/><Relationship Id="rId1144" Type="http://schemas.openxmlformats.org/officeDocument/2006/relationships/hyperlink" Target="https://utrucking.com/admin/orders/5940171505852" TargetMode="External"/><Relationship Id="rId2475" Type="http://schemas.openxmlformats.org/officeDocument/2006/relationships/hyperlink" Target="https://utrucking.com/admin/orders/6447998927036" TargetMode="External"/><Relationship Id="rId552" Type="http://schemas.openxmlformats.org/officeDocument/2006/relationships/hyperlink" Target="https://utrucking.com/admin/orders/5917073572028" TargetMode="External"/><Relationship Id="rId1145" Type="http://schemas.openxmlformats.org/officeDocument/2006/relationships/hyperlink" Target="https://utrucking.com/admin/orders/5940189429948" TargetMode="External"/><Relationship Id="rId2476" Type="http://schemas.openxmlformats.org/officeDocument/2006/relationships/hyperlink" Target="https://utrucking.com/admin/orders/6448002171068" TargetMode="External"/><Relationship Id="rId551" Type="http://schemas.openxmlformats.org/officeDocument/2006/relationships/hyperlink" Target="https://utrucking.com/admin/orders/5917070524604" TargetMode="External"/><Relationship Id="rId1146" Type="http://schemas.openxmlformats.org/officeDocument/2006/relationships/hyperlink" Target="https://utrucking.com/admin/orders/5940192870588" TargetMode="External"/><Relationship Id="rId2477" Type="http://schemas.openxmlformats.org/officeDocument/2006/relationships/hyperlink" Target="https://utrucking.com/admin/orders/6448005087420" TargetMode="External"/><Relationship Id="rId2090" Type="http://schemas.openxmlformats.org/officeDocument/2006/relationships/hyperlink" Target="https://utrucking.com/admin/orders/6428618850492" TargetMode="External"/><Relationship Id="rId2091" Type="http://schemas.openxmlformats.org/officeDocument/2006/relationships/hyperlink" Target="https://utrucking.com/admin/orders/6428634939580" TargetMode="External"/><Relationship Id="rId2092" Type="http://schemas.openxmlformats.org/officeDocument/2006/relationships/hyperlink" Target="https://utrucking.com/admin/orders/6428639297724" TargetMode="External"/><Relationship Id="rId2093" Type="http://schemas.openxmlformats.org/officeDocument/2006/relationships/hyperlink" Target="https://utrucking.com/admin/orders/6428642738364" TargetMode="External"/><Relationship Id="rId2094" Type="http://schemas.openxmlformats.org/officeDocument/2006/relationships/hyperlink" Target="https://utrucking.com/admin/orders/6428694577340" TargetMode="External"/><Relationship Id="rId2095" Type="http://schemas.openxmlformats.org/officeDocument/2006/relationships/hyperlink" Target="https://utrucking.com/admin/orders/6428793307324" TargetMode="External"/><Relationship Id="rId2096" Type="http://schemas.openxmlformats.org/officeDocument/2006/relationships/hyperlink" Target="https://utrucking.com/admin/orders/6428834169020" TargetMode="External"/><Relationship Id="rId2097" Type="http://schemas.openxmlformats.org/officeDocument/2006/relationships/hyperlink" Target="https://utrucking.com/admin/orders/6428856811708" TargetMode="External"/><Relationship Id="rId2098" Type="http://schemas.openxmlformats.org/officeDocument/2006/relationships/hyperlink" Target="https://utrucking.com/admin/orders/6428894757052" TargetMode="External"/><Relationship Id="rId2099" Type="http://schemas.openxmlformats.org/officeDocument/2006/relationships/hyperlink" Target="https://utrucking.com/admin/orders/6428919365820" TargetMode="External"/><Relationship Id="rId2060" Type="http://schemas.openxmlformats.org/officeDocument/2006/relationships/hyperlink" Target="https://utrucking.com/admin/orders/6426945749180" TargetMode="External"/><Relationship Id="rId2061" Type="http://schemas.openxmlformats.org/officeDocument/2006/relationships/hyperlink" Target="https://utrucking.com/admin/orders/6426992345276" TargetMode="External"/><Relationship Id="rId2062" Type="http://schemas.openxmlformats.org/officeDocument/2006/relationships/hyperlink" Target="https://utrucking.com/admin/orders/6427103166652" TargetMode="External"/><Relationship Id="rId2063" Type="http://schemas.openxmlformats.org/officeDocument/2006/relationships/hyperlink" Target="https://utrucking.com/admin/orders/6427188232380" TargetMode="External"/><Relationship Id="rId2064" Type="http://schemas.openxmlformats.org/officeDocument/2006/relationships/hyperlink" Target="https://utrucking.com/admin/orders/6427309867196" TargetMode="External"/><Relationship Id="rId2065" Type="http://schemas.openxmlformats.org/officeDocument/2006/relationships/hyperlink" Target="https://utrucking.com/admin/orders/6427347419324" TargetMode="External"/><Relationship Id="rId2066" Type="http://schemas.openxmlformats.org/officeDocument/2006/relationships/hyperlink" Target="https://utrucking.com/admin/orders/6427371864252" TargetMode="External"/><Relationship Id="rId2067" Type="http://schemas.openxmlformats.org/officeDocument/2006/relationships/hyperlink" Target="https://utrucking.com/admin/orders/6427375861948" TargetMode="External"/><Relationship Id="rId2068" Type="http://schemas.openxmlformats.org/officeDocument/2006/relationships/hyperlink" Target="https://utrucking.com/admin/orders/6427519975612" TargetMode="External"/><Relationship Id="rId2069" Type="http://schemas.openxmlformats.org/officeDocument/2006/relationships/hyperlink" Target="https://utrucking.com/admin/orders/6427541962940" TargetMode="External"/><Relationship Id="rId2050" Type="http://schemas.openxmlformats.org/officeDocument/2006/relationships/hyperlink" Target="https://utrucking.com/admin/orders/6425289228476" TargetMode="External"/><Relationship Id="rId2051" Type="http://schemas.openxmlformats.org/officeDocument/2006/relationships/hyperlink" Target="https://utrucking.com/admin/orders/6425622347964" TargetMode="External"/><Relationship Id="rId495" Type="http://schemas.openxmlformats.org/officeDocument/2006/relationships/hyperlink" Target="https://utrucking.com/admin/orders/5916042395836" TargetMode="External"/><Relationship Id="rId2052" Type="http://schemas.openxmlformats.org/officeDocument/2006/relationships/hyperlink" Target="https://utrucking.com/admin/orders/6425629786300" TargetMode="External"/><Relationship Id="rId494" Type="http://schemas.openxmlformats.org/officeDocument/2006/relationships/hyperlink" Target="https://utrucking.com/admin/orders/5916035580092" TargetMode="External"/><Relationship Id="rId2053" Type="http://schemas.openxmlformats.org/officeDocument/2006/relationships/hyperlink" Target="https://utrucking.com/admin/orders/6425673597116" TargetMode="External"/><Relationship Id="rId493" Type="http://schemas.openxmlformats.org/officeDocument/2006/relationships/hyperlink" Target="https://utrucking.com/admin/orders/5916015460540" TargetMode="External"/><Relationship Id="rId2054" Type="http://schemas.openxmlformats.org/officeDocument/2006/relationships/hyperlink" Target="https://utrucking.com/admin/orders/6425891930300" TargetMode="External"/><Relationship Id="rId492" Type="http://schemas.openxmlformats.org/officeDocument/2006/relationships/hyperlink" Target="https://utrucking.com/admin/orders/5915981709500" TargetMode="External"/><Relationship Id="rId2055" Type="http://schemas.openxmlformats.org/officeDocument/2006/relationships/hyperlink" Target="https://utrucking.com/admin/orders/6426169606332" TargetMode="External"/><Relationship Id="rId499" Type="http://schemas.openxmlformats.org/officeDocument/2006/relationships/hyperlink" Target="https://utrucking.com/admin/orders/5916144337084" TargetMode="External"/><Relationship Id="rId2056" Type="http://schemas.openxmlformats.org/officeDocument/2006/relationships/hyperlink" Target="https://utrucking.com/admin/orders/6426171277500" TargetMode="External"/><Relationship Id="rId498" Type="http://schemas.openxmlformats.org/officeDocument/2006/relationships/hyperlink" Target="https://utrucking.com/admin/orders/5916107636924" TargetMode="External"/><Relationship Id="rId2057" Type="http://schemas.openxmlformats.org/officeDocument/2006/relationships/hyperlink" Target="https://utrucking.com/admin/orders/6426224361660" TargetMode="External"/><Relationship Id="rId497" Type="http://schemas.openxmlformats.org/officeDocument/2006/relationships/hyperlink" Target="https://utrucking.com/admin/orders/5916074311868" TargetMode="External"/><Relationship Id="rId2058" Type="http://schemas.openxmlformats.org/officeDocument/2006/relationships/hyperlink" Target="https://utrucking.com/admin/orders/6426729873596" TargetMode="External"/><Relationship Id="rId496" Type="http://schemas.openxmlformats.org/officeDocument/2006/relationships/hyperlink" Target="https://utrucking.com/admin/orders/5916061761724" TargetMode="External"/><Relationship Id="rId2059" Type="http://schemas.openxmlformats.org/officeDocument/2006/relationships/hyperlink" Target="https://utrucking.com/admin/orders/6426907508924" TargetMode="External"/><Relationship Id="rId2080" Type="http://schemas.openxmlformats.org/officeDocument/2006/relationships/hyperlink" Target="https://utrucking.com/admin/orders/6428285632700" TargetMode="External"/><Relationship Id="rId2081" Type="http://schemas.openxmlformats.org/officeDocument/2006/relationships/hyperlink" Target="https://utrucking.com/admin/orders/6428326297788" TargetMode="External"/><Relationship Id="rId2082" Type="http://schemas.openxmlformats.org/officeDocument/2006/relationships/hyperlink" Target="https://utrucking.com/admin/orders/6428345008316" TargetMode="External"/><Relationship Id="rId2083" Type="http://schemas.openxmlformats.org/officeDocument/2006/relationships/hyperlink" Target="https://utrucking.com/admin/orders/6428438921404" TargetMode="External"/><Relationship Id="rId2084" Type="http://schemas.openxmlformats.org/officeDocument/2006/relationships/hyperlink" Target="https://utrucking.com/admin/orders/6428445507772" TargetMode="External"/><Relationship Id="rId2085" Type="http://schemas.openxmlformats.org/officeDocument/2006/relationships/hyperlink" Target="https://utrucking.com/admin/orders/6428449603772" TargetMode="External"/><Relationship Id="rId2086" Type="http://schemas.openxmlformats.org/officeDocument/2006/relationships/hyperlink" Target="https://utrucking.com/admin/orders/6428508946620" TargetMode="External"/><Relationship Id="rId2087" Type="http://schemas.openxmlformats.org/officeDocument/2006/relationships/hyperlink" Target="https://utrucking.com/admin/orders/6428540993724" TargetMode="External"/><Relationship Id="rId2088" Type="http://schemas.openxmlformats.org/officeDocument/2006/relationships/hyperlink" Target="https://utrucking.com/admin/orders/6428573237436" TargetMode="External"/><Relationship Id="rId2089" Type="http://schemas.openxmlformats.org/officeDocument/2006/relationships/hyperlink" Target="https://utrucking.com/admin/orders/6428610691260" TargetMode="External"/><Relationship Id="rId2070" Type="http://schemas.openxmlformats.org/officeDocument/2006/relationships/hyperlink" Target="https://utrucking.com/admin/orders/6427688173756" TargetMode="External"/><Relationship Id="rId2071" Type="http://schemas.openxmlformats.org/officeDocument/2006/relationships/hyperlink" Target="https://utrucking.com/admin/orders/6427688173756" TargetMode="External"/><Relationship Id="rId2072" Type="http://schemas.openxmlformats.org/officeDocument/2006/relationships/hyperlink" Target="https://utrucking.com/admin/orders/6427703836860" TargetMode="External"/><Relationship Id="rId2073" Type="http://schemas.openxmlformats.org/officeDocument/2006/relationships/hyperlink" Target="https://utrucking.com/admin/orders/6428070019260" TargetMode="External"/><Relationship Id="rId2074" Type="http://schemas.openxmlformats.org/officeDocument/2006/relationships/hyperlink" Target="https://utrucking.com/admin/orders/6428130148540" TargetMode="External"/><Relationship Id="rId2075" Type="http://schemas.openxmlformats.org/officeDocument/2006/relationships/hyperlink" Target="https://utrucking.com/admin/orders/6428158066876" TargetMode="External"/><Relationship Id="rId2076" Type="http://schemas.openxmlformats.org/officeDocument/2006/relationships/hyperlink" Target="https://utrucking.com/admin/orders/6428163866812" TargetMode="External"/><Relationship Id="rId2077" Type="http://schemas.openxmlformats.org/officeDocument/2006/relationships/hyperlink" Target="https://utrucking.com/admin/orders/6428176187580" TargetMode="External"/><Relationship Id="rId2078" Type="http://schemas.openxmlformats.org/officeDocument/2006/relationships/hyperlink" Target="https://utrucking.com/admin/orders/6428188672188" TargetMode="External"/><Relationship Id="rId2079" Type="http://schemas.openxmlformats.org/officeDocument/2006/relationships/hyperlink" Target="https://utrucking.com/admin/orders/6428242706620" TargetMode="External"/><Relationship Id="rId1610" Type="http://schemas.openxmlformats.org/officeDocument/2006/relationships/hyperlink" Target="https://utrucking.com/admin/orders/6371957342396" TargetMode="External"/><Relationship Id="rId1611" Type="http://schemas.openxmlformats.org/officeDocument/2006/relationships/hyperlink" Target="https://utrucking.com/admin/orders/6372003184828" TargetMode="External"/><Relationship Id="rId1612" Type="http://schemas.openxmlformats.org/officeDocument/2006/relationships/hyperlink" Target="https://utrucking.com/admin/orders/6372051812540" TargetMode="External"/><Relationship Id="rId1613" Type="http://schemas.openxmlformats.org/officeDocument/2006/relationships/hyperlink" Target="https://utrucking.com/admin/orders/6372544020668" TargetMode="External"/><Relationship Id="rId1614" Type="http://schemas.openxmlformats.org/officeDocument/2006/relationships/hyperlink" Target="https://utrucking.com/admin/orders/6372649599164" TargetMode="External"/><Relationship Id="rId1615" Type="http://schemas.openxmlformats.org/officeDocument/2006/relationships/hyperlink" Target="https://utrucking.com/admin/orders/6373204328636" TargetMode="External"/><Relationship Id="rId1616" Type="http://schemas.openxmlformats.org/officeDocument/2006/relationships/hyperlink" Target="https://utrucking.com/admin/orders/6373458542780" TargetMode="External"/><Relationship Id="rId907" Type="http://schemas.openxmlformats.org/officeDocument/2006/relationships/hyperlink" Target="https://utrucking.com/admin/orders/5928978088124" TargetMode="External"/><Relationship Id="rId1617" Type="http://schemas.openxmlformats.org/officeDocument/2006/relationships/hyperlink" Target="https://utrucking.com/admin/orders/6373588861116" TargetMode="External"/><Relationship Id="rId906" Type="http://schemas.openxmlformats.org/officeDocument/2006/relationships/hyperlink" Target="https://utrucking.com/admin/orders/5928970944700" TargetMode="External"/><Relationship Id="rId1618" Type="http://schemas.openxmlformats.org/officeDocument/2006/relationships/hyperlink" Target="https://utrucking.com/admin/orders/6373637095612" TargetMode="External"/><Relationship Id="rId905" Type="http://schemas.openxmlformats.org/officeDocument/2006/relationships/hyperlink" Target="https://utrucking.com/admin/orders/5928921628860" TargetMode="External"/><Relationship Id="rId1619" Type="http://schemas.openxmlformats.org/officeDocument/2006/relationships/hyperlink" Target="https://utrucking.com/admin/orders/6374028935356" TargetMode="External"/><Relationship Id="rId904" Type="http://schemas.openxmlformats.org/officeDocument/2006/relationships/hyperlink" Target="https://utrucking.com/admin/orders/5928909177020" TargetMode="External"/><Relationship Id="rId909" Type="http://schemas.openxmlformats.org/officeDocument/2006/relationships/hyperlink" Target="https://utrucking.com/admin/orders/5929128624316" TargetMode="External"/><Relationship Id="rId908" Type="http://schemas.openxmlformats.org/officeDocument/2006/relationships/hyperlink" Target="https://utrucking.com/admin/orders/5929051029692" TargetMode="External"/><Relationship Id="rId903" Type="http://schemas.openxmlformats.org/officeDocument/2006/relationships/hyperlink" Target="https://utrucking.com/admin/orders/5928894595260" TargetMode="External"/><Relationship Id="rId902" Type="http://schemas.openxmlformats.org/officeDocument/2006/relationships/hyperlink" Target="https://utrucking.com/admin/orders/5928853864636" TargetMode="External"/><Relationship Id="rId901" Type="http://schemas.openxmlformats.org/officeDocument/2006/relationships/hyperlink" Target="https://utrucking.com/admin/orders/5928692809916" TargetMode="External"/><Relationship Id="rId900" Type="http://schemas.openxmlformats.org/officeDocument/2006/relationships/hyperlink" Target="https://utrucking.com/admin/orders/5928681504956" TargetMode="External"/><Relationship Id="rId1600" Type="http://schemas.openxmlformats.org/officeDocument/2006/relationships/hyperlink" Target="https://utrucking.com/admin/orders/6368705642684" TargetMode="External"/><Relationship Id="rId1601" Type="http://schemas.openxmlformats.org/officeDocument/2006/relationships/hyperlink" Target="https://utrucking.com/admin/orders/6368879542460" TargetMode="External"/><Relationship Id="rId1602" Type="http://schemas.openxmlformats.org/officeDocument/2006/relationships/hyperlink" Target="https://utrucking.com/admin/orders/6369708605628" TargetMode="External"/><Relationship Id="rId1603" Type="http://schemas.openxmlformats.org/officeDocument/2006/relationships/hyperlink" Target="https://utrucking.com/admin/orders/6370629976252" TargetMode="External"/><Relationship Id="rId1604" Type="http://schemas.openxmlformats.org/officeDocument/2006/relationships/hyperlink" Target="https://utrucking.com/admin/orders/6371260104892" TargetMode="External"/><Relationship Id="rId1605" Type="http://schemas.openxmlformats.org/officeDocument/2006/relationships/hyperlink" Target="https://utrucking.com/admin/orders/6371260104892" TargetMode="External"/><Relationship Id="rId1606" Type="http://schemas.openxmlformats.org/officeDocument/2006/relationships/hyperlink" Target="https://utrucking.com/admin/orders/6371285532860" TargetMode="External"/><Relationship Id="rId1607" Type="http://schemas.openxmlformats.org/officeDocument/2006/relationships/hyperlink" Target="https://utrucking.com/admin/orders/6371354050748" TargetMode="External"/><Relationship Id="rId1608" Type="http://schemas.openxmlformats.org/officeDocument/2006/relationships/hyperlink" Target="https://utrucking.com/admin/orders/6371826598076" TargetMode="External"/><Relationship Id="rId1609" Type="http://schemas.openxmlformats.org/officeDocument/2006/relationships/hyperlink" Target="https://utrucking.com/admin/orders/6371912712380" TargetMode="External"/><Relationship Id="rId1631" Type="http://schemas.openxmlformats.org/officeDocument/2006/relationships/hyperlink" Target="https://utrucking.com/admin/orders/6375066763452" TargetMode="External"/><Relationship Id="rId1632" Type="http://schemas.openxmlformats.org/officeDocument/2006/relationships/hyperlink" Target="https://utrucking.com/admin/orders/6375066763452" TargetMode="External"/><Relationship Id="rId1633" Type="http://schemas.openxmlformats.org/officeDocument/2006/relationships/hyperlink" Target="https://utrucking.com/admin/orders/6375079116988" TargetMode="External"/><Relationship Id="rId1634" Type="http://schemas.openxmlformats.org/officeDocument/2006/relationships/hyperlink" Target="https://utrucking.com/admin/orders/6376567898300" TargetMode="External"/><Relationship Id="rId1635" Type="http://schemas.openxmlformats.org/officeDocument/2006/relationships/hyperlink" Target="https://utrucking.com/admin/orders/6376608891068" TargetMode="External"/><Relationship Id="rId1636" Type="http://schemas.openxmlformats.org/officeDocument/2006/relationships/hyperlink" Target="https://utrucking.com/admin/orders/6376629731516" TargetMode="External"/><Relationship Id="rId1637" Type="http://schemas.openxmlformats.org/officeDocument/2006/relationships/hyperlink" Target="https://utrucking.com/admin/orders/6376742715580" TargetMode="External"/><Relationship Id="rId1638" Type="http://schemas.openxmlformats.org/officeDocument/2006/relationships/hyperlink" Target="https://utrucking.com/admin/orders/6376849309884" TargetMode="External"/><Relationship Id="rId929" Type="http://schemas.openxmlformats.org/officeDocument/2006/relationships/hyperlink" Target="https://utrucking.com/admin/orders/5929843032252" TargetMode="External"/><Relationship Id="rId1639" Type="http://schemas.openxmlformats.org/officeDocument/2006/relationships/hyperlink" Target="https://utrucking.com/admin/orders/6376884502716" TargetMode="External"/><Relationship Id="rId928" Type="http://schemas.openxmlformats.org/officeDocument/2006/relationships/hyperlink" Target="https://utrucking.com/admin/orders/5929817997500" TargetMode="External"/><Relationship Id="rId927" Type="http://schemas.openxmlformats.org/officeDocument/2006/relationships/hyperlink" Target="https://utrucking.com/admin/orders/5929812492476" TargetMode="External"/><Relationship Id="rId926" Type="http://schemas.openxmlformats.org/officeDocument/2006/relationships/hyperlink" Target="https://utrucking.com/admin/orders/5929782116540" TargetMode="External"/><Relationship Id="rId921" Type="http://schemas.openxmlformats.org/officeDocument/2006/relationships/hyperlink" Target="https://utrucking.com/admin/orders/5929714090172" TargetMode="External"/><Relationship Id="rId920" Type="http://schemas.openxmlformats.org/officeDocument/2006/relationships/hyperlink" Target="https://utrucking.com/admin/orders/5929684992188" TargetMode="External"/><Relationship Id="rId925" Type="http://schemas.openxmlformats.org/officeDocument/2006/relationships/hyperlink" Target="https://utrucking.com/admin/orders/5929774907580" TargetMode="External"/><Relationship Id="rId924" Type="http://schemas.openxmlformats.org/officeDocument/2006/relationships/hyperlink" Target="https://utrucking.com/admin/orders/5929770909884" TargetMode="External"/><Relationship Id="rId923" Type="http://schemas.openxmlformats.org/officeDocument/2006/relationships/hyperlink" Target="https://utrucking.com/admin/orders/5929736962236" TargetMode="External"/><Relationship Id="rId922" Type="http://schemas.openxmlformats.org/officeDocument/2006/relationships/hyperlink" Target="https://utrucking.com/admin/orders/5929729097916" TargetMode="External"/><Relationship Id="rId1630" Type="http://schemas.openxmlformats.org/officeDocument/2006/relationships/hyperlink" Target="https://utrucking.com/admin/orders/6374971965628" TargetMode="External"/><Relationship Id="rId1620" Type="http://schemas.openxmlformats.org/officeDocument/2006/relationships/hyperlink" Target="https://utrucking.com/admin/orders/6374028935356" TargetMode="External"/><Relationship Id="rId1621" Type="http://schemas.openxmlformats.org/officeDocument/2006/relationships/hyperlink" Target="https://utrucking.com/admin/orders/6374307365052" TargetMode="External"/><Relationship Id="rId1622" Type="http://schemas.openxmlformats.org/officeDocument/2006/relationships/hyperlink" Target="https://utrucking.com/admin/orders/6374331318460" TargetMode="External"/><Relationship Id="rId1623" Type="http://schemas.openxmlformats.org/officeDocument/2006/relationships/hyperlink" Target="https://utrucking.com/admin/orders/6374516785340" TargetMode="External"/><Relationship Id="rId1624" Type="http://schemas.openxmlformats.org/officeDocument/2006/relationships/hyperlink" Target="https://utrucking.com/admin/orders/6374652641468" TargetMode="External"/><Relationship Id="rId1625" Type="http://schemas.openxmlformats.org/officeDocument/2006/relationships/hyperlink" Target="https://utrucking.com/admin/orders/6374725845180" TargetMode="External"/><Relationship Id="rId1626" Type="http://schemas.openxmlformats.org/officeDocument/2006/relationships/hyperlink" Target="https://utrucking.com/admin/orders/6374760317116" TargetMode="External"/><Relationship Id="rId1627" Type="http://schemas.openxmlformats.org/officeDocument/2006/relationships/hyperlink" Target="https://utrucking.com/admin/orders/6374889095356" TargetMode="External"/><Relationship Id="rId918" Type="http://schemas.openxmlformats.org/officeDocument/2006/relationships/hyperlink" Target="https://utrucking.com/admin/orders/5929322447036" TargetMode="External"/><Relationship Id="rId1628" Type="http://schemas.openxmlformats.org/officeDocument/2006/relationships/hyperlink" Target="https://utrucking.com/admin/orders/6374962593980" TargetMode="External"/><Relationship Id="rId917" Type="http://schemas.openxmlformats.org/officeDocument/2006/relationships/hyperlink" Target="https://utrucking.com/admin/orders/5929312321724" TargetMode="External"/><Relationship Id="rId1629" Type="http://schemas.openxmlformats.org/officeDocument/2006/relationships/hyperlink" Target="https://utrucking.com/admin/orders/6374964232380" TargetMode="External"/><Relationship Id="rId916" Type="http://schemas.openxmlformats.org/officeDocument/2006/relationships/hyperlink" Target="https://utrucking.com/admin/orders/5929268904124" TargetMode="External"/><Relationship Id="rId915" Type="http://schemas.openxmlformats.org/officeDocument/2006/relationships/hyperlink" Target="https://utrucking.com/admin/orders/5929229418684" TargetMode="External"/><Relationship Id="rId919" Type="http://schemas.openxmlformats.org/officeDocument/2006/relationships/hyperlink" Target="https://utrucking.com/admin/orders/5929458270396" TargetMode="External"/><Relationship Id="rId910" Type="http://schemas.openxmlformats.org/officeDocument/2006/relationships/hyperlink" Target="https://utrucking.com/admin/orders/5929128624316" TargetMode="External"/><Relationship Id="rId914" Type="http://schemas.openxmlformats.org/officeDocument/2006/relationships/hyperlink" Target="https://utrucking.com/admin/orders/5929221882044" TargetMode="External"/><Relationship Id="rId913" Type="http://schemas.openxmlformats.org/officeDocument/2006/relationships/hyperlink" Target="https://utrucking.com/admin/orders/5929152905404" TargetMode="External"/><Relationship Id="rId912" Type="http://schemas.openxmlformats.org/officeDocument/2006/relationships/hyperlink" Target="https://utrucking.com/admin/orders/5929152905404" TargetMode="External"/><Relationship Id="rId911" Type="http://schemas.openxmlformats.org/officeDocument/2006/relationships/hyperlink" Target="https://utrucking.com/admin/orders/5929131540668" TargetMode="External"/><Relationship Id="rId1213" Type="http://schemas.openxmlformats.org/officeDocument/2006/relationships/hyperlink" Target="https://utrucking.com/admin/orders/5944305090748" TargetMode="External"/><Relationship Id="rId1697" Type="http://schemas.openxmlformats.org/officeDocument/2006/relationships/hyperlink" Target="https://utrucking.com/admin/orders/6390835183804" TargetMode="External"/><Relationship Id="rId2544" Type="http://schemas.openxmlformats.org/officeDocument/2006/relationships/hyperlink" Target="https://utrucking.com/admin/orders/6449176641724" TargetMode="External"/><Relationship Id="rId1214" Type="http://schemas.openxmlformats.org/officeDocument/2006/relationships/hyperlink" Target="https://utrucking.com/admin/orders/5944313381052" TargetMode="External"/><Relationship Id="rId1698" Type="http://schemas.openxmlformats.org/officeDocument/2006/relationships/hyperlink" Target="https://utrucking.com/admin/orders/6390865068220" TargetMode="External"/><Relationship Id="rId2545" Type="http://schemas.openxmlformats.org/officeDocument/2006/relationships/hyperlink" Target="https://utrucking.com/admin/orders/6449205018812" TargetMode="External"/><Relationship Id="rId1215" Type="http://schemas.openxmlformats.org/officeDocument/2006/relationships/hyperlink" Target="https://utrucking.com/admin/orders/5944439210172" TargetMode="External"/><Relationship Id="rId1699" Type="http://schemas.openxmlformats.org/officeDocument/2006/relationships/hyperlink" Target="https://utrucking.com/admin/orders/6390865068220" TargetMode="External"/><Relationship Id="rId2546" Type="http://schemas.openxmlformats.org/officeDocument/2006/relationships/hyperlink" Target="https://utrucking.com/admin/orders/6449240309948" TargetMode="External"/><Relationship Id="rId1216" Type="http://schemas.openxmlformats.org/officeDocument/2006/relationships/hyperlink" Target="https://utrucking.com/admin/orders/5944488853692" TargetMode="External"/><Relationship Id="rId2547" Type="http://schemas.openxmlformats.org/officeDocument/2006/relationships/hyperlink" Target="https://utrucking.com/admin/orders/6449241948348" TargetMode="External"/><Relationship Id="rId1217" Type="http://schemas.openxmlformats.org/officeDocument/2006/relationships/hyperlink" Target="https://utrucking.com/admin/orders/5944604229820" TargetMode="External"/><Relationship Id="rId2548" Type="http://schemas.openxmlformats.org/officeDocument/2006/relationships/hyperlink" Target="https://utrucking.com/admin/orders/6449276879036" TargetMode="External"/><Relationship Id="rId1218" Type="http://schemas.openxmlformats.org/officeDocument/2006/relationships/hyperlink" Target="https://utrucking.com/admin/orders/5944681758908" TargetMode="External"/><Relationship Id="rId2549" Type="http://schemas.openxmlformats.org/officeDocument/2006/relationships/hyperlink" Target="https://utrucking.com/admin/orders/6449340317884" TargetMode="External"/><Relationship Id="rId1219" Type="http://schemas.openxmlformats.org/officeDocument/2006/relationships/hyperlink" Target="https://utrucking.com/admin/orders/5944683004092" TargetMode="External"/><Relationship Id="rId866" Type="http://schemas.openxmlformats.org/officeDocument/2006/relationships/hyperlink" Target="https://utrucking.com/admin/orders/5927710228668" TargetMode="External"/><Relationship Id="rId865" Type="http://schemas.openxmlformats.org/officeDocument/2006/relationships/hyperlink" Target="https://utrucking.com/admin/orders/5927563722940" TargetMode="External"/><Relationship Id="rId864" Type="http://schemas.openxmlformats.org/officeDocument/2006/relationships/hyperlink" Target="https://utrucking.com/admin/orders/5927430127804" TargetMode="External"/><Relationship Id="rId863" Type="http://schemas.openxmlformats.org/officeDocument/2006/relationships/hyperlink" Target="https://utrucking.com/admin/orders/5927404667068" TargetMode="External"/><Relationship Id="rId869" Type="http://schemas.openxmlformats.org/officeDocument/2006/relationships/hyperlink" Target="https://utrucking.com/admin/orders/5927793033404" TargetMode="External"/><Relationship Id="rId868" Type="http://schemas.openxmlformats.org/officeDocument/2006/relationships/hyperlink" Target="https://utrucking.com/admin/orders/5927778386108" TargetMode="External"/><Relationship Id="rId867" Type="http://schemas.openxmlformats.org/officeDocument/2006/relationships/hyperlink" Target="https://utrucking.com/admin/orders/5927748403388" TargetMode="External"/><Relationship Id="rId1690" Type="http://schemas.openxmlformats.org/officeDocument/2006/relationships/hyperlink" Target="https://utrucking.com/admin/orders/6389954052284" TargetMode="External"/><Relationship Id="rId1691" Type="http://schemas.openxmlformats.org/officeDocument/2006/relationships/hyperlink" Target="https://utrucking.com/admin/orders/6390009954492" TargetMode="External"/><Relationship Id="rId1692" Type="http://schemas.openxmlformats.org/officeDocument/2006/relationships/hyperlink" Target="https://utrucking.com/admin/orders/6390094561468" TargetMode="External"/><Relationship Id="rId862" Type="http://schemas.openxmlformats.org/officeDocument/2006/relationships/hyperlink" Target="https://utrucking.com/admin/orders/5927371178172" TargetMode="External"/><Relationship Id="rId1693" Type="http://schemas.openxmlformats.org/officeDocument/2006/relationships/hyperlink" Target="https://utrucking.com/admin/orders/6390151676092" TargetMode="External"/><Relationship Id="rId2540" Type="http://schemas.openxmlformats.org/officeDocument/2006/relationships/hyperlink" Target="https://utrucking.com/admin/orders/6449077387452" TargetMode="External"/><Relationship Id="rId861" Type="http://schemas.openxmlformats.org/officeDocument/2006/relationships/hyperlink" Target="https://utrucking.com/admin/orders/5927358857404" TargetMode="External"/><Relationship Id="rId1210" Type="http://schemas.openxmlformats.org/officeDocument/2006/relationships/hyperlink" Target="https://utrucking.com/admin/orders/5944233296060" TargetMode="External"/><Relationship Id="rId1694" Type="http://schemas.openxmlformats.org/officeDocument/2006/relationships/hyperlink" Target="https://utrucking.com/admin/orders/6390232613052" TargetMode="External"/><Relationship Id="rId2541" Type="http://schemas.openxmlformats.org/officeDocument/2006/relationships/hyperlink" Target="https://utrucking.com/admin/orders/6449127129276" TargetMode="External"/><Relationship Id="rId860" Type="http://schemas.openxmlformats.org/officeDocument/2006/relationships/hyperlink" Target="https://utrucking.com/admin/orders/5927344570556" TargetMode="External"/><Relationship Id="rId1211" Type="http://schemas.openxmlformats.org/officeDocument/2006/relationships/hyperlink" Target="https://utrucking.com/admin/orders/5944271863996" TargetMode="External"/><Relationship Id="rId1695" Type="http://schemas.openxmlformats.org/officeDocument/2006/relationships/hyperlink" Target="https://utrucking.com/admin/orders/6390290874556" TargetMode="External"/><Relationship Id="rId2542" Type="http://schemas.openxmlformats.org/officeDocument/2006/relationships/hyperlink" Target="https://utrucking.com/admin/orders/6449143218364" TargetMode="External"/><Relationship Id="rId1212" Type="http://schemas.openxmlformats.org/officeDocument/2006/relationships/hyperlink" Target="https://utrucking.com/admin/orders/5944282415292" TargetMode="External"/><Relationship Id="rId1696" Type="http://schemas.openxmlformats.org/officeDocument/2006/relationships/hyperlink" Target="https://utrucking.com/admin/orders/6390772400316" TargetMode="External"/><Relationship Id="rId2543" Type="http://schemas.openxmlformats.org/officeDocument/2006/relationships/hyperlink" Target="https://utrucking.com/admin/orders/6449159438524" TargetMode="External"/><Relationship Id="rId1202" Type="http://schemas.openxmlformats.org/officeDocument/2006/relationships/hyperlink" Target="https://utrucking.com/admin/orders/5944049926332" TargetMode="External"/><Relationship Id="rId1686" Type="http://schemas.openxmlformats.org/officeDocument/2006/relationships/hyperlink" Target="https://utrucking.com/admin/orders/6389117878460" TargetMode="External"/><Relationship Id="rId2533" Type="http://schemas.openxmlformats.org/officeDocument/2006/relationships/hyperlink" Target="https://utrucking.com/admin/orders/6448949657788" TargetMode="External"/><Relationship Id="rId1203" Type="http://schemas.openxmlformats.org/officeDocument/2006/relationships/hyperlink" Target="https://utrucking.com/admin/orders/5944116183228" TargetMode="External"/><Relationship Id="rId1687" Type="http://schemas.openxmlformats.org/officeDocument/2006/relationships/hyperlink" Target="https://utrucking.com/admin/orders/6389318975676" TargetMode="External"/><Relationship Id="rId2534" Type="http://schemas.openxmlformats.org/officeDocument/2006/relationships/hyperlink" Target="https://utrucking.com/admin/orders/6448959750332" TargetMode="External"/><Relationship Id="rId1204" Type="http://schemas.openxmlformats.org/officeDocument/2006/relationships/hyperlink" Target="https://utrucking.com/admin/orders/5944123195580" TargetMode="External"/><Relationship Id="rId1688" Type="http://schemas.openxmlformats.org/officeDocument/2006/relationships/hyperlink" Target="https://utrucking.com/admin/orders/6389835268284" TargetMode="External"/><Relationship Id="rId2535" Type="http://schemas.openxmlformats.org/officeDocument/2006/relationships/hyperlink" Target="https://utrucking.com/admin/orders/6448968433852" TargetMode="External"/><Relationship Id="rId1205" Type="http://schemas.openxmlformats.org/officeDocument/2006/relationships/hyperlink" Target="https://utrucking.com/admin/orders/5944136532156" TargetMode="External"/><Relationship Id="rId1689" Type="http://schemas.openxmlformats.org/officeDocument/2006/relationships/hyperlink" Target="https://utrucking.com/admin/orders/6389835235516" TargetMode="External"/><Relationship Id="rId2536" Type="http://schemas.openxmlformats.org/officeDocument/2006/relationships/hyperlink" Target="https://utrucking.com/admin/orders/6448993894588" TargetMode="External"/><Relationship Id="rId1206" Type="http://schemas.openxmlformats.org/officeDocument/2006/relationships/hyperlink" Target="https://utrucking.com/admin/orders/5944138039484" TargetMode="External"/><Relationship Id="rId2537" Type="http://schemas.openxmlformats.org/officeDocument/2006/relationships/hyperlink" Target="https://utrucking.com/admin/orders/6449000546492" TargetMode="External"/><Relationship Id="rId1207" Type="http://schemas.openxmlformats.org/officeDocument/2006/relationships/hyperlink" Target="https://utrucking.com/admin/orders/5944144330940" TargetMode="External"/><Relationship Id="rId2538" Type="http://schemas.openxmlformats.org/officeDocument/2006/relationships/hyperlink" Target="https://utrucking.com/admin/orders/6449008181436" TargetMode="External"/><Relationship Id="rId1208" Type="http://schemas.openxmlformats.org/officeDocument/2006/relationships/hyperlink" Target="https://utrucking.com/admin/orders/5944157110460" TargetMode="External"/><Relationship Id="rId2539" Type="http://schemas.openxmlformats.org/officeDocument/2006/relationships/hyperlink" Target="https://utrucking.com/admin/orders/6449023779004" TargetMode="External"/><Relationship Id="rId1209" Type="http://schemas.openxmlformats.org/officeDocument/2006/relationships/hyperlink" Target="https://utrucking.com/admin/orders/5944167596220" TargetMode="External"/><Relationship Id="rId855" Type="http://schemas.openxmlformats.org/officeDocument/2006/relationships/hyperlink" Target="https://utrucking.com/admin/orders/5927203733692" TargetMode="External"/><Relationship Id="rId854" Type="http://schemas.openxmlformats.org/officeDocument/2006/relationships/hyperlink" Target="https://utrucking.com/admin/orders/5927186104508" TargetMode="External"/><Relationship Id="rId853" Type="http://schemas.openxmlformats.org/officeDocument/2006/relationships/hyperlink" Target="https://utrucking.com/admin/orders/5927169622204" TargetMode="External"/><Relationship Id="rId852" Type="http://schemas.openxmlformats.org/officeDocument/2006/relationships/hyperlink" Target="https://utrucking.com/admin/orders/5927151698108" TargetMode="External"/><Relationship Id="rId859" Type="http://schemas.openxmlformats.org/officeDocument/2006/relationships/hyperlink" Target="https://utrucking.com/admin/orders/5927275364540" TargetMode="External"/><Relationship Id="rId858" Type="http://schemas.openxmlformats.org/officeDocument/2006/relationships/hyperlink" Target="https://utrucking.com/admin/orders/5927269367996" TargetMode="External"/><Relationship Id="rId857" Type="http://schemas.openxmlformats.org/officeDocument/2006/relationships/hyperlink" Target="https://utrucking.com/admin/orders/5927224901820" TargetMode="External"/><Relationship Id="rId856" Type="http://schemas.openxmlformats.org/officeDocument/2006/relationships/hyperlink" Target="https://utrucking.com/admin/orders/5927205044412" TargetMode="External"/><Relationship Id="rId1680" Type="http://schemas.openxmlformats.org/officeDocument/2006/relationships/hyperlink" Target="https://utrucking.com/admin/orders/6388814348476" TargetMode="External"/><Relationship Id="rId1681" Type="http://schemas.openxmlformats.org/officeDocument/2006/relationships/hyperlink" Target="https://utrucking.com/admin/orders/6388831387836" TargetMode="External"/><Relationship Id="rId851" Type="http://schemas.openxmlformats.org/officeDocument/2006/relationships/hyperlink" Target="https://utrucking.com/admin/orders/5927150616764" TargetMode="External"/><Relationship Id="rId1682" Type="http://schemas.openxmlformats.org/officeDocument/2006/relationships/hyperlink" Target="https://utrucking.com/admin/orders/6388844331196" TargetMode="External"/><Relationship Id="rId850" Type="http://schemas.openxmlformats.org/officeDocument/2006/relationships/hyperlink" Target="https://utrucking.com/admin/orders/5927144587452" TargetMode="External"/><Relationship Id="rId1683" Type="http://schemas.openxmlformats.org/officeDocument/2006/relationships/hyperlink" Target="https://utrucking.com/admin/orders/6388901118140" TargetMode="External"/><Relationship Id="rId2530" Type="http://schemas.openxmlformats.org/officeDocument/2006/relationships/hyperlink" Target="https://utrucking.com/admin/orders/6448941465788" TargetMode="External"/><Relationship Id="rId1200" Type="http://schemas.openxmlformats.org/officeDocument/2006/relationships/hyperlink" Target="https://utrucking.com/admin/orders/5943982522556" TargetMode="External"/><Relationship Id="rId1684" Type="http://schemas.openxmlformats.org/officeDocument/2006/relationships/hyperlink" Target="https://utrucking.com/admin/orders/6389046935740" TargetMode="External"/><Relationship Id="rId2531" Type="http://schemas.openxmlformats.org/officeDocument/2006/relationships/hyperlink" Target="https://utrucking.com/admin/orders/6448944414908" TargetMode="External"/><Relationship Id="rId1201" Type="http://schemas.openxmlformats.org/officeDocument/2006/relationships/hyperlink" Target="https://utrucking.com/admin/orders/5944030232764" TargetMode="External"/><Relationship Id="rId1685" Type="http://schemas.openxmlformats.org/officeDocument/2006/relationships/hyperlink" Target="https://utrucking.com/admin/orders/6389117878460" TargetMode="External"/><Relationship Id="rId2532" Type="http://schemas.openxmlformats.org/officeDocument/2006/relationships/hyperlink" Target="https://utrucking.com/admin/orders/6448949297340" TargetMode="External"/><Relationship Id="rId1235" Type="http://schemas.openxmlformats.org/officeDocument/2006/relationships/hyperlink" Target="https://utrucking.com/admin/orders/5945768247484" TargetMode="External"/><Relationship Id="rId2566" Type="http://schemas.openxmlformats.org/officeDocument/2006/relationships/hyperlink" Target="https://utrucking.com/admin/orders/6450231181500" TargetMode="External"/><Relationship Id="rId1236" Type="http://schemas.openxmlformats.org/officeDocument/2006/relationships/hyperlink" Target="https://utrucking.com/admin/orders/5945784008892" TargetMode="External"/><Relationship Id="rId2567" Type="http://schemas.openxmlformats.org/officeDocument/2006/relationships/hyperlink" Target="https://utrucking.com/admin/orders/6450241503420" TargetMode="External"/><Relationship Id="rId1237" Type="http://schemas.openxmlformats.org/officeDocument/2006/relationships/hyperlink" Target="https://utrucking.com/admin/orders/5945846300860" TargetMode="External"/><Relationship Id="rId2568" Type="http://schemas.openxmlformats.org/officeDocument/2006/relationships/hyperlink" Target="https://admin.shopify.com/store/utrucking/orders/6450311594172?link_source=search" TargetMode="External"/><Relationship Id="rId1238" Type="http://schemas.openxmlformats.org/officeDocument/2006/relationships/hyperlink" Target="https://utrucking.com/admin/orders/5945857081532" TargetMode="External"/><Relationship Id="rId2569" Type="http://schemas.openxmlformats.org/officeDocument/2006/relationships/hyperlink" Target="https://utrucking.com/admin/orders/6450346655932" TargetMode="External"/><Relationship Id="rId1239" Type="http://schemas.openxmlformats.org/officeDocument/2006/relationships/hyperlink" Target="https://utrucking.com/admin/orders/5945868550332" TargetMode="External"/><Relationship Id="rId409" Type="http://schemas.openxmlformats.org/officeDocument/2006/relationships/hyperlink" Target="https://utrucking.com/admin/orders/5914111443132" TargetMode="External"/><Relationship Id="rId404" Type="http://schemas.openxmlformats.org/officeDocument/2006/relationships/hyperlink" Target="https://utrucking.com/admin/orders/5914063438012" TargetMode="External"/><Relationship Id="rId888" Type="http://schemas.openxmlformats.org/officeDocument/2006/relationships/hyperlink" Target="https://utrucking.com/admin/orders/5928536899772" TargetMode="External"/><Relationship Id="rId403" Type="http://schemas.openxmlformats.org/officeDocument/2006/relationships/hyperlink" Target="https://utrucking.com/admin/orders/5914061701308" TargetMode="External"/><Relationship Id="rId887" Type="http://schemas.openxmlformats.org/officeDocument/2006/relationships/hyperlink" Target="https://utrucking.com/admin/orders/5928523301052" TargetMode="External"/><Relationship Id="rId402" Type="http://schemas.openxmlformats.org/officeDocument/2006/relationships/hyperlink" Target="https://utrucking.com/admin/orders/5914057769148" TargetMode="External"/><Relationship Id="rId886" Type="http://schemas.openxmlformats.org/officeDocument/2006/relationships/hyperlink" Target="https://utrucking.com/admin/orders/5928518975676" TargetMode="External"/><Relationship Id="rId401" Type="http://schemas.openxmlformats.org/officeDocument/2006/relationships/hyperlink" Target="https://utrucking.com/admin/orders/5914056556732" TargetMode="External"/><Relationship Id="rId885" Type="http://schemas.openxmlformats.org/officeDocument/2006/relationships/hyperlink" Target="https://utrucking.com/admin/orders/5928373027004" TargetMode="External"/><Relationship Id="rId408" Type="http://schemas.openxmlformats.org/officeDocument/2006/relationships/hyperlink" Target="https://utrucking.com/admin/orders/5914108362940" TargetMode="External"/><Relationship Id="rId407" Type="http://schemas.openxmlformats.org/officeDocument/2006/relationships/hyperlink" Target="https://utrucking.com/admin/orders/5914079002812" TargetMode="External"/><Relationship Id="rId406" Type="http://schemas.openxmlformats.org/officeDocument/2006/relationships/hyperlink" Target="https://utrucking.com/admin/orders/5914064027836" TargetMode="External"/><Relationship Id="rId405" Type="http://schemas.openxmlformats.org/officeDocument/2006/relationships/hyperlink" Target="https://utrucking.com/admin/orders/5914063798460" TargetMode="External"/><Relationship Id="rId889" Type="http://schemas.openxmlformats.org/officeDocument/2006/relationships/hyperlink" Target="https://utrucking.com/admin/orders/5928543322300" TargetMode="External"/><Relationship Id="rId880" Type="http://schemas.openxmlformats.org/officeDocument/2006/relationships/hyperlink" Target="https://utrucking.com/admin/orders/5928086175932" TargetMode="External"/><Relationship Id="rId2560" Type="http://schemas.openxmlformats.org/officeDocument/2006/relationships/hyperlink" Target="https://utrucking.com/admin/orders/6449700864188" TargetMode="External"/><Relationship Id="rId1230" Type="http://schemas.openxmlformats.org/officeDocument/2006/relationships/hyperlink" Target="https://utrucking.com/admin/orders/5945591791804" TargetMode="External"/><Relationship Id="rId2561" Type="http://schemas.openxmlformats.org/officeDocument/2006/relationships/hyperlink" Target="https://utrucking.com/admin/orders/6449715708092" TargetMode="External"/><Relationship Id="rId400" Type="http://schemas.openxmlformats.org/officeDocument/2006/relationships/hyperlink" Target="https://utrucking.com/admin/orders/5914030506172" TargetMode="External"/><Relationship Id="rId884" Type="http://schemas.openxmlformats.org/officeDocument/2006/relationships/hyperlink" Target="https://utrucking.com/admin/orders/5928315584700" TargetMode="External"/><Relationship Id="rId1231" Type="http://schemas.openxmlformats.org/officeDocument/2006/relationships/hyperlink" Target="https://utrucking.com/admin/orders/5945651298492" TargetMode="External"/><Relationship Id="rId2562" Type="http://schemas.openxmlformats.org/officeDocument/2006/relationships/hyperlink" Target="https://utrucking.com/admin/orders/6449775182012" TargetMode="External"/><Relationship Id="rId883" Type="http://schemas.openxmlformats.org/officeDocument/2006/relationships/hyperlink" Target="https://utrucking.com/admin/orders/5928277082300" TargetMode="External"/><Relationship Id="rId1232" Type="http://schemas.openxmlformats.org/officeDocument/2006/relationships/hyperlink" Target="https://utrucking.com/admin/orders/5945651921084" TargetMode="External"/><Relationship Id="rId2563" Type="http://schemas.openxmlformats.org/officeDocument/2006/relationships/hyperlink" Target="https://utrucking.com/admin/orders/6449814995132" TargetMode="External"/><Relationship Id="rId882" Type="http://schemas.openxmlformats.org/officeDocument/2006/relationships/hyperlink" Target="https://utrucking.com/admin/orders/5928183267516" TargetMode="External"/><Relationship Id="rId1233" Type="http://schemas.openxmlformats.org/officeDocument/2006/relationships/hyperlink" Target="https://utrucking.com/admin/orders/5945695731900" TargetMode="External"/><Relationship Id="rId2564" Type="http://schemas.openxmlformats.org/officeDocument/2006/relationships/hyperlink" Target="https://utrucking.com/admin/orders/6449898422460" TargetMode="External"/><Relationship Id="rId881" Type="http://schemas.openxmlformats.org/officeDocument/2006/relationships/hyperlink" Target="https://utrucking.com/admin/orders/5928140341436" TargetMode="External"/><Relationship Id="rId1234" Type="http://schemas.openxmlformats.org/officeDocument/2006/relationships/hyperlink" Target="https://utrucking.com/admin/orders/5945713000636" TargetMode="External"/><Relationship Id="rId2565" Type="http://schemas.openxmlformats.org/officeDocument/2006/relationships/hyperlink" Target="https://utrucking.com/admin/orders/6450073272508" TargetMode="External"/><Relationship Id="rId1224" Type="http://schemas.openxmlformats.org/officeDocument/2006/relationships/hyperlink" Target="https://utrucking.com/admin/orders/5945272172732" TargetMode="External"/><Relationship Id="rId2555" Type="http://schemas.openxmlformats.org/officeDocument/2006/relationships/hyperlink" Target="https://utrucking.com/admin/orders/6449431609532" TargetMode="External"/><Relationship Id="rId1225" Type="http://schemas.openxmlformats.org/officeDocument/2006/relationships/hyperlink" Target="https://utrucking.com/admin/orders/5945294913724" TargetMode="External"/><Relationship Id="rId2556" Type="http://schemas.openxmlformats.org/officeDocument/2006/relationships/hyperlink" Target="https://utrucking.com/admin/orders/6449453727932" TargetMode="External"/><Relationship Id="rId1226" Type="http://schemas.openxmlformats.org/officeDocument/2006/relationships/hyperlink" Target="https://utrucking.com/admin/orders/5945338003644" TargetMode="External"/><Relationship Id="rId2557" Type="http://schemas.openxmlformats.org/officeDocument/2006/relationships/hyperlink" Target="https://utrucking.com/admin/orders/6449540235452" TargetMode="External"/><Relationship Id="rId1227" Type="http://schemas.openxmlformats.org/officeDocument/2006/relationships/hyperlink" Target="https://utrucking.com/admin/orders/5945389842620" TargetMode="External"/><Relationship Id="rId2558" Type="http://schemas.openxmlformats.org/officeDocument/2006/relationships/hyperlink" Target="https://utrucking.com/admin/orders/6449636081852" TargetMode="External"/><Relationship Id="rId1228" Type="http://schemas.openxmlformats.org/officeDocument/2006/relationships/hyperlink" Target="https://utrucking.com/admin/orders/5945397313724" TargetMode="External"/><Relationship Id="rId2559" Type="http://schemas.openxmlformats.org/officeDocument/2006/relationships/hyperlink" Target="https://utrucking.com/admin/orders/6449700274364" TargetMode="External"/><Relationship Id="rId1229" Type="http://schemas.openxmlformats.org/officeDocument/2006/relationships/hyperlink" Target="https://utrucking.com/admin/orders/5945528189116" TargetMode="External"/><Relationship Id="rId877" Type="http://schemas.openxmlformats.org/officeDocument/2006/relationships/hyperlink" Target="https://utrucking.com/admin/orders/5928059437244" TargetMode="External"/><Relationship Id="rId876" Type="http://schemas.openxmlformats.org/officeDocument/2006/relationships/hyperlink" Target="https://utrucking.com/admin/orders/5928023064764" TargetMode="External"/><Relationship Id="rId875" Type="http://schemas.openxmlformats.org/officeDocument/2006/relationships/hyperlink" Target="https://utrucking.com/admin/orders/5927984038076" TargetMode="External"/><Relationship Id="rId874" Type="http://schemas.openxmlformats.org/officeDocument/2006/relationships/hyperlink" Target="https://utrucking.com/admin/orders/5927975256252" TargetMode="External"/><Relationship Id="rId879" Type="http://schemas.openxmlformats.org/officeDocument/2006/relationships/hyperlink" Target="https://utrucking.com/admin/orders/5928084832444" TargetMode="External"/><Relationship Id="rId878" Type="http://schemas.openxmlformats.org/officeDocument/2006/relationships/hyperlink" Target="https://utrucking.com/admin/orders/5928079851708" TargetMode="External"/><Relationship Id="rId2550" Type="http://schemas.openxmlformats.org/officeDocument/2006/relationships/hyperlink" Target="https://utrucking.com/admin/orders/6449340743868" TargetMode="External"/><Relationship Id="rId873" Type="http://schemas.openxmlformats.org/officeDocument/2006/relationships/hyperlink" Target="https://utrucking.com/admin/orders/5927972012220" TargetMode="External"/><Relationship Id="rId1220" Type="http://schemas.openxmlformats.org/officeDocument/2006/relationships/hyperlink" Target="https://utrucking.com/admin/orders/5944838488252" TargetMode="External"/><Relationship Id="rId2551" Type="http://schemas.openxmlformats.org/officeDocument/2006/relationships/hyperlink" Target="https://utrucking.com/admin/orders/6449359487164" TargetMode="External"/><Relationship Id="rId872" Type="http://schemas.openxmlformats.org/officeDocument/2006/relationships/hyperlink" Target="https://utrucking.com/admin/orders/5927919517884" TargetMode="External"/><Relationship Id="rId1221" Type="http://schemas.openxmlformats.org/officeDocument/2006/relationships/hyperlink" Target="https://utrucking.com/admin/orders/5944857329852" TargetMode="External"/><Relationship Id="rId2552" Type="http://schemas.openxmlformats.org/officeDocument/2006/relationships/hyperlink" Target="https://utrucking.com/admin/orders/6449372135612" TargetMode="External"/><Relationship Id="rId871" Type="http://schemas.openxmlformats.org/officeDocument/2006/relationships/hyperlink" Target="https://utrucking.com/admin/orders/5927898382524" TargetMode="External"/><Relationship Id="rId1222" Type="http://schemas.openxmlformats.org/officeDocument/2006/relationships/hyperlink" Target="https://utrucking.com/admin/orders/5945036210364" TargetMode="External"/><Relationship Id="rId2553" Type="http://schemas.openxmlformats.org/officeDocument/2006/relationships/hyperlink" Target="https://utrucking.com/admin/orders/6449388028092" TargetMode="External"/><Relationship Id="rId870" Type="http://schemas.openxmlformats.org/officeDocument/2006/relationships/hyperlink" Target="https://utrucking.com/admin/orders/5927860764860" TargetMode="External"/><Relationship Id="rId1223" Type="http://schemas.openxmlformats.org/officeDocument/2006/relationships/hyperlink" Target="https://utrucking.com/admin/orders/5945072124092" TargetMode="External"/><Relationship Id="rId2554" Type="http://schemas.openxmlformats.org/officeDocument/2006/relationships/hyperlink" Target="https://utrucking.com/admin/orders/6449425678524" TargetMode="External"/><Relationship Id="rId1653" Type="http://schemas.openxmlformats.org/officeDocument/2006/relationships/hyperlink" Target="https://utrucking.com/admin/orders/6382862762172" TargetMode="External"/><Relationship Id="rId2500" Type="http://schemas.openxmlformats.org/officeDocument/2006/relationships/hyperlink" Target="https://utrucking.com/admin/orders/6448214638780" TargetMode="External"/><Relationship Id="rId1654" Type="http://schemas.openxmlformats.org/officeDocument/2006/relationships/hyperlink" Target="https://utrucking.com/admin/orders/6382872494268" TargetMode="External"/><Relationship Id="rId2501" Type="http://schemas.openxmlformats.org/officeDocument/2006/relationships/hyperlink" Target="https://utrucking.com/admin/orders/6448224174268" TargetMode="External"/><Relationship Id="rId1655" Type="http://schemas.openxmlformats.org/officeDocument/2006/relationships/hyperlink" Target="https://utrucking.com/admin/orders/6383567798460" TargetMode="External"/><Relationship Id="rId2502" Type="http://schemas.openxmlformats.org/officeDocument/2006/relationships/hyperlink" Target="https://utrucking.com/admin/orders/6448228630716" TargetMode="External"/><Relationship Id="rId1656" Type="http://schemas.openxmlformats.org/officeDocument/2006/relationships/hyperlink" Target="https://utrucking.com/admin/orders/6383732719804" TargetMode="External"/><Relationship Id="rId2503" Type="http://schemas.openxmlformats.org/officeDocument/2006/relationships/hyperlink" Target="https://utrucking.com/admin/orders/6448231612604" TargetMode="External"/><Relationship Id="rId1657" Type="http://schemas.openxmlformats.org/officeDocument/2006/relationships/hyperlink" Target="https://utrucking.com/admin/orders/6384040542396" TargetMode="External"/><Relationship Id="rId2504" Type="http://schemas.openxmlformats.org/officeDocument/2006/relationships/hyperlink" Target="https://utrucking.com/admin/orders/6448232399036" TargetMode="External"/><Relationship Id="rId1658" Type="http://schemas.openxmlformats.org/officeDocument/2006/relationships/hyperlink" Target="https://utrucking.com/admin/orders/6384968401084" TargetMode="External"/><Relationship Id="rId2505" Type="http://schemas.openxmlformats.org/officeDocument/2006/relationships/hyperlink" Target="https://utrucking.com/admin/orders/6448237215932" TargetMode="External"/><Relationship Id="rId1659" Type="http://schemas.openxmlformats.org/officeDocument/2006/relationships/hyperlink" Target="https://utrucking.com/admin/orders/6385287037116" TargetMode="External"/><Relationship Id="rId2506" Type="http://schemas.openxmlformats.org/officeDocument/2006/relationships/hyperlink" Target="https://utrucking.com/admin/orders/6448253206716" TargetMode="External"/><Relationship Id="rId2507" Type="http://schemas.openxmlformats.org/officeDocument/2006/relationships/hyperlink" Target="https://utrucking.com/admin/orders/6448275849404" TargetMode="External"/><Relationship Id="rId2508" Type="http://schemas.openxmlformats.org/officeDocument/2006/relationships/hyperlink" Target="https://utrucking.com/admin/orders/6448279093436" TargetMode="External"/><Relationship Id="rId829" Type="http://schemas.openxmlformats.org/officeDocument/2006/relationships/hyperlink" Target="https://utrucking.com/admin/orders/5926262669500" TargetMode="External"/><Relationship Id="rId2509" Type="http://schemas.openxmlformats.org/officeDocument/2006/relationships/hyperlink" Target="https://utrucking.com/admin/orders/6448289087676" TargetMode="External"/><Relationship Id="rId828" Type="http://schemas.openxmlformats.org/officeDocument/2006/relationships/hyperlink" Target="https://utrucking.com/admin/orders/5926260441276" TargetMode="External"/><Relationship Id="rId827" Type="http://schemas.openxmlformats.org/officeDocument/2006/relationships/hyperlink" Target="https://utrucking.com/admin/orders/5926257426620" TargetMode="External"/><Relationship Id="rId822" Type="http://schemas.openxmlformats.org/officeDocument/2006/relationships/hyperlink" Target="https://utrucking.com/admin/orders/5926035947708" TargetMode="External"/><Relationship Id="rId821" Type="http://schemas.openxmlformats.org/officeDocument/2006/relationships/hyperlink" Target="https://utrucking.com/admin/orders/5925955043516" TargetMode="External"/><Relationship Id="rId820" Type="http://schemas.openxmlformats.org/officeDocument/2006/relationships/hyperlink" Target="https://utrucking.com/admin/orders/5925898715324" TargetMode="External"/><Relationship Id="rId826" Type="http://schemas.openxmlformats.org/officeDocument/2006/relationships/hyperlink" Target="https://utrucking.com/admin/orders/5926179307708" TargetMode="External"/><Relationship Id="rId825" Type="http://schemas.openxmlformats.org/officeDocument/2006/relationships/hyperlink" Target="https://utrucking.com/admin/orders/5926104137916" TargetMode="External"/><Relationship Id="rId824" Type="http://schemas.openxmlformats.org/officeDocument/2006/relationships/hyperlink" Target="https://utrucking.com/admin/orders/5926063407292" TargetMode="External"/><Relationship Id="rId823" Type="http://schemas.openxmlformats.org/officeDocument/2006/relationships/hyperlink" Target="https://utrucking.com/admin/orders/5926054822076" TargetMode="External"/><Relationship Id="rId1650" Type="http://schemas.openxmlformats.org/officeDocument/2006/relationships/hyperlink" Target="https://utrucking.com/admin/orders/6380400869564" TargetMode="External"/><Relationship Id="rId1651" Type="http://schemas.openxmlformats.org/officeDocument/2006/relationships/hyperlink" Target="https://utrucking.com/admin/orders/6380567134396" TargetMode="External"/><Relationship Id="rId1652" Type="http://schemas.openxmlformats.org/officeDocument/2006/relationships/hyperlink" Target="https://utrucking.com/admin/orders/6382215594172" TargetMode="External"/><Relationship Id="rId1642" Type="http://schemas.openxmlformats.org/officeDocument/2006/relationships/hyperlink" Target="https://utrucking.com/admin/orders/6377421897916" TargetMode="External"/><Relationship Id="rId1643" Type="http://schemas.openxmlformats.org/officeDocument/2006/relationships/hyperlink" Target="https://utrucking.com/admin/orders/6377480782012" TargetMode="External"/><Relationship Id="rId1644" Type="http://schemas.openxmlformats.org/officeDocument/2006/relationships/hyperlink" Target="https://utrucking.com/admin/orders/6377480782012" TargetMode="External"/><Relationship Id="rId1645" Type="http://schemas.openxmlformats.org/officeDocument/2006/relationships/hyperlink" Target="https://utrucking.com/admin/orders/6378451894460" TargetMode="External"/><Relationship Id="rId1646" Type="http://schemas.openxmlformats.org/officeDocument/2006/relationships/hyperlink" Target="https://utrucking.com/admin/orders/6378654499004" TargetMode="External"/><Relationship Id="rId1647" Type="http://schemas.openxmlformats.org/officeDocument/2006/relationships/hyperlink" Target="https://utrucking.com/admin/orders/6378758013116" TargetMode="External"/><Relationship Id="rId1648" Type="http://schemas.openxmlformats.org/officeDocument/2006/relationships/hyperlink" Target="https://utrucking.com/admin/orders/6380153635004" TargetMode="External"/><Relationship Id="rId1649" Type="http://schemas.openxmlformats.org/officeDocument/2006/relationships/hyperlink" Target="https://utrucking.com/admin/orders/6380153635004" TargetMode="External"/><Relationship Id="rId819" Type="http://schemas.openxmlformats.org/officeDocument/2006/relationships/hyperlink" Target="https://utrucking.com/admin/orders/5925890654396" TargetMode="External"/><Relationship Id="rId818" Type="http://schemas.openxmlformats.org/officeDocument/2006/relationships/hyperlink" Target="https://utrucking.com/admin/orders/5925828395196" TargetMode="External"/><Relationship Id="rId817" Type="http://schemas.openxmlformats.org/officeDocument/2006/relationships/hyperlink" Target="https://utrucking.com/admin/orders/5925801590972" TargetMode="External"/><Relationship Id="rId816" Type="http://schemas.openxmlformats.org/officeDocument/2006/relationships/hyperlink" Target="https://utrucking.com/admin/orders/5925727240380" TargetMode="External"/><Relationship Id="rId811" Type="http://schemas.openxmlformats.org/officeDocument/2006/relationships/hyperlink" Target="https://utrucking.com/admin/orders/5925693718716" TargetMode="External"/><Relationship Id="rId810" Type="http://schemas.openxmlformats.org/officeDocument/2006/relationships/hyperlink" Target="https://utrucking.com/admin/orders/5925619433660" TargetMode="External"/><Relationship Id="rId815" Type="http://schemas.openxmlformats.org/officeDocument/2006/relationships/hyperlink" Target="https://utrucking.com/admin/orders/5925724717244" TargetMode="External"/><Relationship Id="rId814" Type="http://schemas.openxmlformats.org/officeDocument/2006/relationships/hyperlink" Target="https://utrucking.com/admin/orders/5925714428092" TargetMode="External"/><Relationship Id="rId813" Type="http://schemas.openxmlformats.org/officeDocument/2006/relationships/hyperlink" Target="https://utrucking.com/admin/orders/5925711642812" TargetMode="External"/><Relationship Id="rId812" Type="http://schemas.openxmlformats.org/officeDocument/2006/relationships/hyperlink" Target="https://utrucking.com/admin/orders/5925707579580" TargetMode="External"/><Relationship Id="rId1640" Type="http://schemas.openxmlformats.org/officeDocument/2006/relationships/hyperlink" Target="https://utrucking.com/admin/orders/6376915534012" TargetMode="External"/><Relationship Id="rId1641" Type="http://schemas.openxmlformats.org/officeDocument/2006/relationships/hyperlink" Target="https://utrucking.com/admin/orders/6377173909692" TargetMode="External"/><Relationship Id="rId1675" Type="http://schemas.openxmlformats.org/officeDocument/2006/relationships/hyperlink" Target="https://utrucking.com/admin/orders/6388005765308" TargetMode="External"/><Relationship Id="rId2522" Type="http://schemas.openxmlformats.org/officeDocument/2006/relationships/hyperlink" Target="https://utrucking.com/admin/orders/6448850632892" TargetMode="External"/><Relationship Id="rId1676" Type="http://schemas.openxmlformats.org/officeDocument/2006/relationships/hyperlink" Target="https://utrucking.com/admin/orders/6388005765308" TargetMode="External"/><Relationship Id="rId2523" Type="http://schemas.openxmlformats.org/officeDocument/2006/relationships/hyperlink" Target="https://utrucking.com/admin/orders/6448853909692" TargetMode="External"/><Relationship Id="rId1677" Type="http://schemas.openxmlformats.org/officeDocument/2006/relationships/hyperlink" Target="https://utrucking.com/admin/orders/6388235141308" TargetMode="External"/><Relationship Id="rId2524" Type="http://schemas.openxmlformats.org/officeDocument/2006/relationships/hyperlink" Target="https://utrucking.com/admin/orders/6448854368444" TargetMode="External"/><Relationship Id="rId1678" Type="http://schemas.openxmlformats.org/officeDocument/2006/relationships/hyperlink" Target="https://utrucking.com/admin/orders/6388761755836" TargetMode="External"/><Relationship Id="rId2525" Type="http://schemas.openxmlformats.org/officeDocument/2006/relationships/hyperlink" Target="https://utrucking.com/admin/orders/6448872292540" TargetMode="External"/><Relationship Id="rId1679" Type="http://schemas.openxmlformats.org/officeDocument/2006/relationships/hyperlink" Target="https://utrucking.com/admin/orders/6388800225468" TargetMode="External"/><Relationship Id="rId2526" Type="http://schemas.openxmlformats.org/officeDocument/2006/relationships/hyperlink" Target="https://utrucking.com/admin/orders/6448882221244" TargetMode="External"/><Relationship Id="rId2527" Type="http://schemas.openxmlformats.org/officeDocument/2006/relationships/hyperlink" Target="https://utrucking.com/admin/orders/6448911876284" TargetMode="External"/><Relationship Id="rId2528" Type="http://schemas.openxmlformats.org/officeDocument/2006/relationships/hyperlink" Target="https://utrucking.com/admin/orders/6448918921404" TargetMode="External"/><Relationship Id="rId2529" Type="http://schemas.openxmlformats.org/officeDocument/2006/relationships/hyperlink" Target="https://utrucking.com/admin/orders/6448922165436" TargetMode="External"/><Relationship Id="rId849" Type="http://schemas.openxmlformats.org/officeDocument/2006/relationships/hyperlink" Target="https://utrucking.com/admin/orders/5927141769404" TargetMode="External"/><Relationship Id="rId844" Type="http://schemas.openxmlformats.org/officeDocument/2006/relationships/hyperlink" Target="https://utrucking.com/admin/orders/5927006044348" TargetMode="External"/><Relationship Id="rId843" Type="http://schemas.openxmlformats.org/officeDocument/2006/relationships/hyperlink" Target="https://utrucking.com/admin/orders/5926845219004" TargetMode="External"/><Relationship Id="rId842" Type="http://schemas.openxmlformats.org/officeDocument/2006/relationships/hyperlink" Target="https://utrucking.com/admin/orders/5926827786428" TargetMode="External"/><Relationship Id="rId841" Type="http://schemas.openxmlformats.org/officeDocument/2006/relationships/hyperlink" Target="https://utrucking.com/admin/orders/5926800982204" TargetMode="External"/><Relationship Id="rId848" Type="http://schemas.openxmlformats.org/officeDocument/2006/relationships/hyperlink" Target="https://utrucking.com/admin/orders/5927135379644" TargetMode="External"/><Relationship Id="rId847" Type="http://schemas.openxmlformats.org/officeDocument/2006/relationships/hyperlink" Target="https://utrucking.com/admin/orders/5927125319868" TargetMode="External"/><Relationship Id="rId846" Type="http://schemas.openxmlformats.org/officeDocument/2006/relationships/hyperlink" Target="https://utrucking.com/admin/orders/5927064076476" TargetMode="External"/><Relationship Id="rId845" Type="http://schemas.openxmlformats.org/officeDocument/2006/relationships/hyperlink" Target="https://utrucking.com/admin/orders/5927023411388" TargetMode="External"/><Relationship Id="rId1670" Type="http://schemas.openxmlformats.org/officeDocument/2006/relationships/hyperlink" Target="https://utrucking.com/admin/orders/6386879955132" TargetMode="External"/><Relationship Id="rId840" Type="http://schemas.openxmlformats.org/officeDocument/2006/relationships/hyperlink" Target="https://utrucking.com/admin/orders/5926800982204" TargetMode="External"/><Relationship Id="rId1671" Type="http://schemas.openxmlformats.org/officeDocument/2006/relationships/hyperlink" Target="https://utrucking.com/admin/orders/6386879955132" TargetMode="External"/><Relationship Id="rId1672" Type="http://schemas.openxmlformats.org/officeDocument/2006/relationships/hyperlink" Target="https://utrucking.com/admin/orders/6387464175804" TargetMode="External"/><Relationship Id="rId1673" Type="http://schemas.openxmlformats.org/officeDocument/2006/relationships/hyperlink" Target="https://utrucking.com/admin/orders/6387818004668" TargetMode="External"/><Relationship Id="rId2520" Type="http://schemas.openxmlformats.org/officeDocument/2006/relationships/hyperlink" Target="https://utrucking.com/admin/orders/6448818684092" TargetMode="External"/><Relationship Id="rId1674" Type="http://schemas.openxmlformats.org/officeDocument/2006/relationships/hyperlink" Target="https://utrucking.com/admin/orders/6387818004668" TargetMode="External"/><Relationship Id="rId2521" Type="http://schemas.openxmlformats.org/officeDocument/2006/relationships/hyperlink" Target="https://utrucking.com/admin/orders/6448847454396" TargetMode="External"/><Relationship Id="rId1664" Type="http://schemas.openxmlformats.org/officeDocument/2006/relationships/hyperlink" Target="https://utrucking.com/admin/orders/6386395381948" TargetMode="External"/><Relationship Id="rId2511" Type="http://schemas.openxmlformats.org/officeDocument/2006/relationships/hyperlink" Target="https://utrucking.com/admin/orders/6448312025276" TargetMode="External"/><Relationship Id="rId1665" Type="http://schemas.openxmlformats.org/officeDocument/2006/relationships/hyperlink" Target="https://utrucking.com/admin/orders/6386396102844" TargetMode="External"/><Relationship Id="rId2512" Type="http://schemas.openxmlformats.org/officeDocument/2006/relationships/hyperlink" Target="https://utrucking.com/admin/orders/6448325984444" TargetMode="External"/><Relationship Id="rId1666" Type="http://schemas.openxmlformats.org/officeDocument/2006/relationships/hyperlink" Target="https://utrucking.com/admin/orders/6386438799548" TargetMode="External"/><Relationship Id="rId2513" Type="http://schemas.openxmlformats.org/officeDocument/2006/relationships/hyperlink" Target="https://utrucking.com/admin/orders/6448415801532" TargetMode="External"/><Relationship Id="rId1667" Type="http://schemas.openxmlformats.org/officeDocument/2006/relationships/hyperlink" Target="https://utrucking.com/admin/orders/6386471141564" TargetMode="External"/><Relationship Id="rId2514" Type="http://schemas.openxmlformats.org/officeDocument/2006/relationships/hyperlink" Target="https://utrucking.com/admin/orders/6448512401596" TargetMode="External"/><Relationship Id="rId1668" Type="http://schemas.openxmlformats.org/officeDocument/2006/relationships/hyperlink" Target="https://utrucking.com/admin/orders/6386495291580" TargetMode="External"/><Relationship Id="rId2515" Type="http://schemas.openxmlformats.org/officeDocument/2006/relationships/hyperlink" Target="https://utrucking.com/admin/orders/6448566337724" TargetMode="External"/><Relationship Id="rId1669" Type="http://schemas.openxmlformats.org/officeDocument/2006/relationships/hyperlink" Target="https://utrucking.com/admin/orders/6386766708924" TargetMode="External"/><Relationship Id="rId2516" Type="http://schemas.openxmlformats.org/officeDocument/2006/relationships/hyperlink" Target="https://utrucking.com/admin/orders/6448702161084" TargetMode="External"/><Relationship Id="rId2517" Type="http://schemas.openxmlformats.org/officeDocument/2006/relationships/hyperlink" Target="https://utrucking.com/admin/orders/6448761503932" TargetMode="External"/><Relationship Id="rId2518" Type="http://schemas.openxmlformats.org/officeDocument/2006/relationships/hyperlink" Target="https://utrucking.com/admin/orders/6448791453884" TargetMode="External"/><Relationship Id="rId2519" Type="http://schemas.openxmlformats.org/officeDocument/2006/relationships/hyperlink" Target="https://utrucking.com/admin/orders/6448818684092" TargetMode="External"/><Relationship Id="rId839" Type="http://schemas.openxmlformats.org/officeDocument/2006/relationships/hyperlink" Target="https://utrucking.com/admin/orders/5926790135996" TargetMode="External"/><Relationship Id="rId838" Type="http://schemas.openxmlformats.org/officeDocument/2006/relationships/hyperlink" Target="https://utrucking.com/admin/orders/5926740918460" TargetMode="External"/><Relationship Id="rId833" Type="http://schemas.openxmlformats.org/officeDocument/2006/relationships/hyperlink" Target="https://admin.shopify.com/store/utrucking/orders/5926471401660?link_source=search" TargetMode="External"/><Relationship Id="rId832" Type="http://schemas.openxmlformats.org/officeDocument/2006/relationships/hyperlink" Target="https://utrucking.com/admin/orders/5926378242236" TargetMode="External"/><Relationship Id="rId831" Type="http://schemas.openxmlformats.org/officeDocument/2006/relationships/hyperlink" Target="https://utrucking.com/admin/orders/5926353207484" TargetMode="External"/><Relationship Id="rId830" Type="http://schemas.openxmlformats.org/officeDocument/2006/relationships/hyperlink" Target="https://utrucking.com/admin/orders/5926336561340" TargetMode="External"/><Relationship Id="rId837" Type="http://schemas.openxmlformats.org/officeDocument/2006/relationships/hyperlink" Target="https://utrucking.com/admin/orders/5926732005564" TargetMode="External"/><Relationship Id="rId836" Type="http://schemas.openxmlformats.org/officeDocument/2006/relationships/hyperlink" Target="https://utrucking.com/admin/orders/5926645399740" TargetMode="External"/><Relationship Id="rId835" Type="http://schemas.openxmlformats.org/officeDocument/2006/relationships/hyperlink" Target="https://utrucking.com/admin/orders/5926639993020" TargetMode="External"/><Relationship Id="rId834" Type="http://schemas.openxmlformats.org/officeDocument/2006/relationships/hyperlink" Target="https://utrucking.com/admin/orders/5926606045372" TargetMode="External"/><Relationship Id="rId1660" Type="http://schemas.openxmlformats.org/officeDocument/2006/relationships/hyperlink" Target="https://utrucking.com/admin/orders/6385392746684" TargetMode="External"/><Relationship Id="rId1661" Type="http://schemas.openxmlformats.org/officeDocument/2006/relationships/hyperlink" Target="https://utrucking.com/admin/orders/6385663082684" TargetMode="External"/><Relationship Id="rId1662" Type="http://schemas.openxmlformats.org/officeDocument/2006/relationships/hyperlink" Target="https://utrucking.com/admin/orders/6385891737788" TargetMode="External"/><Relationship Id="rId1663" Type="http://schemas.openxmlformats.org/officeDocument/2006/relationships/hyperlink" Target="https://utrucking.com/admin/orders/6385928339644" TargetMode="External"/><Relationship Id="rId2510" Type="http://schemas.openxmlformats.org/officeDocument/2006/relationships/hyperlink" Target="https://utrucking.com/admin/orders/6448312025276" TargetMode="External"/><Relationship Id="rId2148" Type="http://schemas.openxmlformats.org/officeDocument/2006/relationships/hyperlink" Target="https://utrucking.com/admin/orders/6432495993020" TargetMode="External"/><Relationship Id="rId2149" Type="http://schemas.openxmlformats.org/officeDocument/2006/relationships/hyperlink" Target="https://utrucking.com/admin/orders/6432531022012" TargetMode="External"/><Relationship Id="rId469" Type="http://schemas.openxmlformats.org/officeDocument/2006/relationships/hyperlink" Target="https://utrucking.com/admin/orders/5915445690556" TargetMode="External"/><Relationship Id="rId468" Type="http://schemas.openxmlformats.org/officeDocument/2006/relationships/hyperlink" Target="https://utrucking.com/admin/orders/5915436875964" TargetMode="External"/><Relationship Id="rId467" Type="http://schemas.openxmlformats.org/officeDocument/2006/relationships/hyperlink" Target="https://utrucking.com/admin/orders/5915411120316" TargetMode="External"/><Relationship Id="rId1290" Type="http://schemas.openxmlformats.org/officeDocument/2006/relationships/hyperlink" Target="https://utrucking.com/admin/orders/5948586066108" TargetMode="External"/><Relationship Id="rId1291" Type="http://schemas.openxmlformats.org/officeDocument/2006/relationships/hyperlink" Target="https://utrucking.com/admin/orders/5948593995964" TargetMode="External"/><Relationship Id="rId1292" Type="http://schemas.openxmlformats.org/officeDocument/2006/relationships/hyperlink" Target="https://utrucking.com/admin/orders/5948603334844" TargetMode="External"/><Relationship Id="rId462" Type="http://schemas.openxmlformats.org/officeDocument/2006/relationships/hyperlink" Target="https://utrucking.com/admin/orders/5915235254460" TargetMode="External"/><Relationship Id="rId1293" Type="http://schemas.openxmlformats.org/officeDocument/2006/relationships/hyperlink" Target="https://utrucking.com/admin/orders/5948618080444" TargetMode="External"/><Relationship Id="rId2140" Type="http://schemas.openxmlformats.org/officeDocument/2006/relationships/hyperlink" Target="https://utrucking.com/admin/orders/6432190726332" TargetMode="External"/><Relationship Id="rId461" Type="http://schemas.openxmlformats.org/officeDocument/2006/relationships/hyperlink" Target="https://utrucking.com/admin/orders/5915173224636" TargetMode="External"/><Relationship Id="rId1294" Type="http://schemas.openxmlformats.org/officeDocument/2006/relationships/hyperlink" Target="https://utrucking.com/admin/orders/5948771958972" TargetMode="External"/><Relationship Id="rId2141" Type="http://schemas.openxmlformats.org/officeDocument/2006/relationships/hyperlink" Target="https://utrucking.com/admin/orders/6432195903676" TargetMode="External"/><Relationship Id="rId460" Type="http://schemas.openxmlformats.org/officeDocument/2006/relationships/hyperlink" Target="https://utrucking.com/admin/orders/5915164934332" TargetMode="External"/><Relationship Id="rId1295" Type="http://schemas.openxmlformats.org/officeDocument/2006/relationships/hyperlink" Target="https://utrucking.com/admin/orders/5949031841980" TargetMode="External"/><Relationship Id="rId2142" Type="http://schemas.openxmlformats.org/officeDocument/2006/relationships/hyperlink" Target="https://utrucking.com/admin/orders/6432335659196" TargetMode="External"/><Relationship Id="rId1296" Type="http://schemas.openxmlformats.org/officeDocument/2006/relationships/hyperlink" Target="https://utrucking.com/admin/orders/5949053370556" TargetMode="External"/><Relationship Id="rId2143" Type="http://schemas.openxmlformats.org/officeDocument/2006/relationships/hyperlink" Target="https://utrucking.com/admin/orders/6432402997436" TargetMode="External"/><Relationship Id="rId466" Type="http://schemas.openxmlformats.org/officeDocument/2006/relationships/hyperlink" Target="https://utrucking.com/admin/orders/5915401093308" TargetMode="External"/><Relationship Id="rId1297" Type="http://schemas.openxmlformats.org/officeDocument/2006/relationships/hyperlink" Target="https://utrucking.com/admin/orders/5949060546748" TargetMode="External"/><Relationship Id="rId2144" Type="http://schemas.openxmlformats.org/officeDocument/2006/relationships/hyperlink" Target="https://utrucking.com/admin/orders/6432416858300" TargetMode="External"/><Relationship Id="rId465" Type="http://schemas.openxmlformats.org/officeDocument/2006/relationships/hyperlink" Target="https://utrucking.com/admin/orders/5915394441404" TargetMode="External"/><Relationship Id="rId1298" Type="http://schemas.openxmlformats.org/officeDocument/2006/relationships/hyperlink" Target="https://utrucking.com/admin/orders/5949179527356" TargetMode="External"/><Relationship Id="rId2145" Type="http://schemas.openxmlformats.org/officeDocument/2006/relationships/hyperlink" Target="https://utrucking.com/admin/orders/6432441860284" TargetMode="External"/><Relationship Id="rId464" Type="http://schemas.openxmlformats.org/officeDocument/2006/relationships/hyperlink" Target="https://utrucking.com/admin/orders/5915374059708" TargetMode="External"/><Relationship Id="rId1299" Type="http://schemas.openxmlformats.org/officeDocument/2006/relationships/hyperlink" Target="https://utrucking.com/admin/orders/5949197811900" TargetMode="External"/><Relationship Id="rId2146" Type="http://schemas.openxmlformats.org/officeDocument/2006/relationships/hyperlink" Target="https://utrucking.com/admin/orders/6432452870332" TargetMode="External"/><Relationship Id="rId463" Type="http://schemas.openxmlformats.org/officeDocument/2006/relationships/hyperlink" Target="https://utrucking.com/admin/orders/5915367145660" TargetMode="External"/><Relationship Id="rId2147" Type="http://schemas.openxmlformats.org/officeDocument/2006/relationships/hyperlink" Target="https://utrucking.com/admin/orders/6432456016060" TargetMode="External"/><Relationship Id="rId2137" Type="http://schemas.openxmlformats.org/officeDocument/2006/relationships/hyperlink" Target="https://utrucking.com/admin/orders/6430805622972" TargetMode="External"/><Relationship Id="rId2138" Type="http://schemas.openxmlformats.org/officeDocument/2006/relationships/hyperlink" Target="https://utrucking.com/admin/orders/6432009486524" TargetMode="External"/><Relationship Id="rId2139" Type="http://schemas.openxmlformats.org/officeDocument/2006/relationships/hyperlink" Target="https://utrucking.com/admin/orders/6432065388732" TargetMode="External"/><Relationship Id="rId459" Type="http://schemas.openxmlformats.org/officeDocument/2006/relationships/hyperlink" Target="https://utrucking.com/admin/orders/5915109163196" TargetMode="External"/><Relationship Id="rId458" Type="http://schemas.openxmlformats.org/officeDocument/2006/relationships/hyperlink" Target="https://utrucking.com/admin/orders/5915044413628" TargetMode="External"/><Relationship Id="rId457" Type="http://schemas.openxmlformats.org/officeDocument/2006/relationships/hyperlink" Target="https://utrucking.com/admin/orders/5915044053180" TargetMode="External"/><Relationship Id="rId456" Type="http://schemas.openxmlformats.org/officeDocument/2006/relationships/hyperlink" Target="https://utrucking.com/admin/orders/5915017707708" TargetMode="External"/><Relationship Id="rId1280" Type="http://schemas.openxmlformats.org/officeDocument/2006/relationships/hyperlink" Target="https://utrucking.com/admin/orders/5948136816828" TargetMode="External"/><Relationship Id="rId1281" Type="http://schemas.openxmlformats.org/officeDocument/2006/relationships/hyperlink" Target="https://utrucking.com/admin/orders/5948208054460" TargetMode="External"/><Relationship Id="rId451" Type="http://schemas.openxmlformats.org/officeDocument/2006/relationships/hyperlink" Target="https://utrucking.com/admin/orders/5914937557180" TargetMode="External"/><Relationship Id="rId1282" Type="http://schemas.openxmlformats.org/officeDocument/2006/relationships/hyperlink" Target="https://utrucking.com/admin/orders/5948214640828" TargetMode="External"/><Relationship Id="rId450" Type="http://schemas.openxmlformats.org/officeDocument/2006/relationships/hyperlink" Target="https://utrucking.com/admin/orders/5914930806972" TargetMode="External"/><Relationship Id="rId1283" Type="http://schemas.openxmlformats.org/officeDocument/2006/relationships/hyperlink" Target="https://utrucking.com/admin/orders/5948228436156" TargetMode="External"/><Relationship Id="rId2130" Type="http://schemas.openxmlformats.org/officeDocument/2006/relationships/hyperlink" Target="https://utrucking.com/admin/orders/6430137417916" TargetMode="External"/><Relationship Id="rId1284" Type="http://schemas.openxmlformats.org/officeDocument/2006/relationships/hyperlink" Target="https://utrucking.com/admin/orders/5948361834684" TargetMode="External"/><Relationship Id="rId2131" Type="http://schemas.openxmlformats.org/officeDocument/2006/relationships/hyperlink" Target="https://utrucking.com/admin/orders/6430152196284" TargetMode="External"/><Relationship Id="rId1285" Type="http://schemas.openxmlformats.org/officeDocument/2006/relationships/hyperlink" Target="https://utrucking.com/admin/orders/5948455092412" TargetMode="External"/><Relationship Id="rId2132" Type="http://schemas.openxmlformats.org/officeDocument/2006/relationships/hyperlink" Target="https://utrucking.com/admin/orders/6430176149692" TargetMode="External"/><Relationship Id="rId455" Type="http://schemas.openxmlformats.org/officeDocument/2006/relationships/hyperlink" Target="https://utrucking.com/admin/orders/5914999521468" TargetMode="External"/><Relationship Id="rId1286" Type="http://schemas.openxmlformats.org/officeDocument/2006/relationships/hyperlink" Target="https://utrucking.com/admin/orders/5948480880828" TargetMode="External"/><Relationship Id="rId2133" Type="http://schemas.openxmlformats.org/officeDocument/2006/relationships/hyperlink" Target="https://utrucking.com/admin/orders/6430213865660" TargetMode="External"/><Relationship Id="rId454" Type="http://schemas.openxmlformats.org/officeDocument/2006/relationships/hyperlink" Target="https://utrucking.com/admin/orders/5914996474044" TargetMode="External"/><Relationship Id="rId1287" Type="http://schemas.openxmlformats.org/officeDocument/2006/relationships/hyperlink" Target="https://utrucking.com/admin/orders/5948494315708" TargetMode="External"/><Relationship Id="rId2134" Type="http://schemas.openxmlformats.org/officeDocument/2006/relationships/hyperlink" Target="https://utrucking.com/admin/orders/6430292934844" TargetMode="External"/><Relationship Id="rId453" Type="http://schemas.openxmlformats.org/officeDocument/2006/relationships/hyperlink" Target="https://utrucking.com/admin/orders/5914966720700" TargetMode="External"/><Relationship Id="rId1288" Type="http://schemas.openxmlformats.org/officeDocument/2006/relationships/hyperlink" Target="https://utrucking.com/admin/orders/5948521283772" TargetMode="External"/><Relationship Id="rId2135" Type="http://schemas.openxmlformats.org/officeDocument/2006/relationships/hyperlink" Target="https://utrucking.com/admin/orders/6430398251196" TargetMode="External"/><Relationship Id="rId452" Type="http://schemas.openxmlformats.org/officeDocument/2006/relationships/hyperlink" Target="https://utrucking.com/admin/orders/5914951811260" TargetMode="External"/><Relationship Id="rId1289" Type="http://schemas.openxmlformats.org/officeDocument/2006/relationships/hyperlink" Target="https://utrucking.com/admin/orders/5948585738428" TargetMode="External"/><Relationship Id="rId2136" Type="http://schemas.openxmlformats.org/officeDocument/2006/relationships/hyperlink" Target="https://utrucking.com/admin/orders/6430773608636" TargetMode="External"/><Relationship Id="rId491" Type="http://schemas.openxmlformats.org/officeDocument/2006/relationships/hyperlink" Target="https://utrucking.com/admin/orders/5915976532156" TargetMode="External"/><Relationship Id="rId490" Type="http://schemas.openxmlformats.org/officeDocument/2006/relationships/hyperlink" Target="https://utrucking.com/admin/orders/5915952251068" TargetMode="External"/><Relationship Id="rId489" Type="http://schemas.openxmlformats.org/officeDocument/2006/relationships/hyperlink" Target="https://utrucking.com/admin/orders/5915948744892" TargetMode="External"/><Relationship Id="rId2160" Type="http://schemas.openxmlformats.org/officeDocument/2006/relationships/hyperlink" Target="https://utrucking.com/admin/orders/6433347403964" TargetMode="External"/><Relationship Id="rId2161" Type="http://schemas.openxmlformats.org/officeDocument/2006/relationships/hyperlink" Target="https://utrucking.com/admin/orders/6433411596476" TargetMode="External"/><Relationship Id="rId484" Type="http://schemas.openxmlformats.org/officeDocument/2006/relationships/hyperlink" Target="https://utrucking.com/admin/orders/5915879538876" TargetMode="External"/><Relationship Id="rId2162" Type="http://schemas.openxmlformats.org/officeDocument/2006/relationships/hyperlink" Target="https://utrucking.com/admin/orders/6433413562556" TargetMode="External"/><Relationship Id="rId483" Type="http://schemas.openxmlformats.org/officeDocument/2006/relationships/hyperlink" Target="https://utrucking.com/admin/orders/5915819737276" TargetMode="External"/><Relationship Id="rId2163" Type="http://schemas.openxmlformats.org/officeDocument/2006/relationships/hyperlink" Target="https://utrucking.com/admin/orders/6433606992060" TargetMode="External"/><Relationship Id="rId482" Type="http://schemas.openxmlformats.org/officeDocument/2006/relationships/hyperlink" Target="https://utrucking.com/admin/orders/5915795718332" TargetMode="External"/><Relationship Id="rId2164" Type="http://schemas.openxmlformats.org/officeDocument/2006/relationships/hyperlink" Target="https://utrucking.com/admin/orders/6433663713468" TargetMode="External"/><Relationship Id="rId481" Type="http://schemas.openxmlformats.org/officeDocument/2006/relationships/hyperlink" Target="https://utrucking.com/admin/orders/5915764818108" TargetMode="External"/><Relationship Id="rId2165" Type="http://schemas.openxmlformats.org/officeDocument/2006/relationships/hyperlink" Target="https://utrucking.com/admin/orders/6433680851132" TargetMode="External"/><Relationship Id="rId488" Type="http://schemas.openxmlformats.org/officeDocument/2006/relationships/hyperlink" Target="https://utrucking.com/admin/orders/5915941929148" TargetMode="External"/><Relationship Id="rId2166" Type="http://schemas.openxmlformats.org/officeDocument/2006/relationships/hyperlink" Target="https://utrucking.com/admin/orders/6433732919484" TargetMode="External"/><Relationship Id="rId487" Type="http://schemas.openxmlformats.org/officeDocument/2006/relationships/hyperlink" Target="https://utrucking.com/admin/orders/5915905884348" TargetMode="External"/><Relationship Id="rId2167" Type="http://schemas.openxmlformats.org/officeDocument/2006/relationships/hyperlink" Target="https://utrucking.com/admin/orders/6433735606460" TargetMode="External"/><Relationship Id="rId486" Type="http://schemas.openxmlformats.org/officeDocument/2006/relationships/hyperlink" Target="https://utrucking.com/admin/orders/5915898904764" TargetMode="External"/><Relationship Id="rId2168" Type="http://schemas.openxmlformats.org/officeDocument/2006/relationships/hyperlink" Target="https://utrucking.com/admin/orders/6433749663932" TargetMode="External"/><Relationship Id="rId485" Type="http://schemas.openxmlformats.org/officeDocument/2006/relationships/hyperlink" Target="https://utrucking.com/admin/orders/5915888156860" TargetMode="External"/><Relationship Id="rId2169" Type="http://schemas.openxmlformats.org/officeDocument/2006/relationships/hyperlink" Target="https://utrucking.com/admin/orders/6433755889852" TargetMode="External"/><Relationship Id="rId2159" Type="http://schemas.openxmlformats.org/officeDocument/2006/relationships/hyperlink" Target="https://utrucking.com/admin/orders/6433335017660" TargetMode="External"/><Relationship Id="rId480" Type="http://schemas.openxmlformats.org/officeDocument/2006/relationships/hyperlink" Target="https://utrucking.com/admin/orders/5915720319164" TargetMode="External"/><Relationship Id="rId479" Type="http://schemas.openxmlformats.org/officeDocument/2006/relationships/hyperlink" Target="https://utrucking.com/admin/orders/5915668775100" TargetMode="External"/><Relationship Id="rId478" Type="http://schemas.openxmlformats.org/officeDocument/2006/relationships/hyperlink" Target="https://utrucking.com/admin/orders/5915629420732" TargetMode="External"/><Relationship Id="rId2150" Type="http://schemas.openxmlformats.org/officeDocument/2006/relationships/hyperlink" Target="https://utrucking.com/admin/orders/6432568574140" TargetMode="External"/><Relationship Id="rId473" Type="http://schemas.openxmlformats.org/officeDocument/2006/relationships/hyperlink" Target="https://utrucking.com/admin/orders/5915491205308" TargetMode="External"/><Relationship Id="rId2151" Type="http://schemas.openxmlformats.org/officeDocument/2006/relationships/hyperlink" Target="https://utrucking.com/admin/orders/6432606421180" TargetMode="External"/><Relationship Id="rId472" Type="http://schemas.openxmlformats.org/officeDocument/2006/relationships/hyperlink" Target="https://utrucking.com/admin/orders/5915484422332" TargetMode="External"/><Relationship Id="rId2152" Type="http://schemas.openxmlformats.org/officeDocument/2006/relationships/hyperlink" Target="https://utrucking.com/admin/orders/6432834355388" TargetMode="External"/><Relationship Id="rId471" Type="http://schemas.openxmlformats.org/officeDocument/2006/relationships/hyperlink" Target="https://utrucking.com/admin/orders/5915474591932" TargetMode="External"/><Relationship Id="rId2153" Type="http://schemas.openxmlformats.org/officeDocument/2006/relationships/hyperlink" Target="https://utrucking.com/admin/orders/6432858964156" TargetMode="External"/><Relationship Id="rId470" Type="http://schemas.openxmlformats.org/officeDocument/2006/relationships/hyperlink" Target="https://utrucking.com/admin/orders/5915470430396" TargetMode="External"/><Relationship Id="rId2154" Type="http://schemas.openxmlformats.org/officeDocument/2006/relationships/hyperlink" Target="https://utrucking.com/admin/orders/6432887079100" TargetMode="External"/><Relationship Id="rId477" Type="http://schemas.openxmlformats.org/officeDocument/2006/relationships/hyperlink" Target="https://utrucking.com/admin/orders/5915629420732" TargetMode="External"/><Relationship Id="rId2155" Type="http://schemas.openxmlformats.org/officeDocument/2006/relationships/hyperlink" Target="https://utrucking.com/admin/orders/6432947634364" TargetMode="External"/><Relationship Id="rId476" Type="http://schemas.openxmlformats.org/officeDocument/2006/relationships/hyperlink" Target="https://utrucking.com/admin/orders/5915607466172" TargetMode="External"/><Relationship Id="rId2156" Type="http://schemas.openxmlformats.org/officeDocument/2006/relationships/hyperlink" Target="https://utrucking.com/admin/orders/6433211941052" TargetMode="External"/><Relationship Id="rId475" Type="http://schemas.openxmlformats.org/officeDocument/2006/relationships/hyperlink" Target="https://utrucking.com/admin/orders/5915529838780" TargetMode="External"/><Relationship Id="rId2157" Type="http://schemas.openxmlformats.org/officeDocument/2006/relationships/hyperlink" Target="https://utrucking.com/admin/orders/6433302216892" TargetMode="External"/><Relationship Id="rId474" Type="http://schemas.openxmlformats.org/officeDocument/2006/relationships/hyperlink" Target="https://utrucking.com/admin/orders/5915512635580" TargetMode="External"/><Relationship Id="rId2158" Type="http://schemas.openxmlformats.org/officeDocument/2006/relationships/hyperlink" Target="https://utrucking.com/admin/orders/6433303724220" TargetMode="External"/><Relationship Id="rId1257" Type="http://schemas.openxmlformats.org/officeDocument/2006/relationships/hyperlink" Target="https://utrucking.com/admin/orders/5946886160572" TargetMode="External"/><Relationship Id="rId2104" Type="http://schemas.openxmlformats.org/officeDocument/2006/relationships/hyperlink" Target="https://utrucking.com/admin/orders/6429371498684" TargetMode="External"/><Relationship Id="rId2588" Type="http://schemas.openxmlformats.org/officeDocument/2006/relationships/hyperlink" Target="https://utrucking.com/admin/orders/6451110576316" TargetMode="External"/><Relationship Id="rId1258" Type="http://schemas.openxmlformats.org/officeDocument/2006/relationships/hyperlink" Target="https://utrucking.com/admin/orders/5946903724220" TargetMode="External"/><Relationship Id="rId2105" Type="http://schemas.openxmlformats.org/officeDocument/2006/relationships/hyperlink" Target="https://utrucking.com/admin/orders/6429382574268" TargetMode="External"/><Relationship Id="rId2589" Type="http://schemas.openxmlformats.org/officeDocument/2006/relationships/hyperlink" Target="https://utrucking.com/admin/orders/6451128893628" TargetMode="External"/><Relationship Id="rId1259" Type="http://schemas.openxmlformats.org/officeDocument/2006/relationships/hyperlink" Target="https://utrucking.com/admin/orders/5946929774780" TargetMode="External"/><Relationship Id="rId2106" Type="http://schemas.openxmlformats.org/officeDocument/2006/relationships/hyperlink" Target="https://utrucking.com/admin/orders/6429392208060" TargetMode="External"/><Relationship Id="rId2107" Type="http://schemas.openxmlformats.org/officeDocument/2006/relationships/hyperlink" Target="https://utrucking.com/admin/orders/6429397975228" TargetMode="External"/><Relationship Id="rId2108" Type="http://schemas.openxmlformats.org/officeDocument/2006/relationships/hyperlink" Target="https://utrucking.com/admin/orders/6429493657788" TargetMode="External"/><Relationship Id="rId2109" Type="http://schemas.openxmlformats.org/officeDocument/2006/relationships/hyperlink" Target="https://utrucking.com/admin/orders/6429517840572" TargetMode="External"/><Relationship Id="rId426" Type="http://schemas.openxmlformats.org/officeDocument/2006/relationships/hyperlink" Target="https://utrucking.com/admin/orders/5914471465148" TargetMode="External"/><Relationship Id="rId425" Type="http://schemas.openxmlformats.org/officeDocument/2006/relationships/hyperlink" Target="https://utrucking.com/admin/orders/5914463731900" TargetMode="External"/><Relationship Id="rId424" Type="http://schemas.openxmlformats.org/officeDocument/2006/relationships/hyperlink" Target="https://utrucking.com/admin/orders/5914454687932" TargetMode="External"/><Relationship Id="rId423" Type="http://schemas.openxmlformats.org/officeDocument/2006/relationships/hyperlink" Target="https://utrucking.com/admin/orders/5914453803196" TargetMode="External"/><Relationship Id="rId429" Type="http://schemas.openxmlformats.org/officeDocument/2006/relationships/hyperlink" Target="https://utrucking.com/admin/orders/5914515112124" TargetMode="External"/><Relationship Id="rId428" Type="http://schemas.openxmlformats.org/officeDocument/2006/relationships/hyperlink" Target="https://utrucking.com/admin/orders/5914495058108" TargetMode="External"/><Relationship Id="rId427" Type="http://schemas.openxmlformats.org/officeDocument/2006/relationships/hyperlink" Target="https://utrucking.com/admin/orders/5914475495612" TargetMode="External"/><Relationship Id="rId2580" Type="http://schemas.openxmlformats.org/officeDocument/2006/relationships/hyperlink" Target="https://utrucking.com/admin/orders/6450934841532" TargetMode="External"/><Relationship Id="rId1250" Type="http://schemas.openxmlformats.org/officeDocument/2006/relationships/hyperlink" Target="https://utrucking.com/admin/orders/5946459914428" TargetMode="External"/><Relationship Id="rId2581" Type="http://schemas.openxmlformats.org/officeDocument/2006/relationships/hyperlink" Target="https://utrucking.com/admin/orders/6450944966844" TargetMode="External"/><Relationship Id="rId1251" Type="http://schemas.openxmlformats.org/officeDocument/2006/relationships/hyperlink" Target="https://utrucking.com/admin/orders/5946522009788" TargetMode="External"/><Relationship Id="rId2582" Type="http://schemas.openxmlformats.org/officeDocument/2006/relationships/hyperlink" Target="https://utrucking.com/admin/orders/6450951585980" TargetMode="External"/><Relationship Id="rId1252" Type="http://schemas.openxmlformats.org/officeDocument/2006/relationships/hyperlink" Target="https://utrucking.com/admin/orders/5946678608060" TargetMode="External"/><Relationship Id="rId2583" Type="http://schemas.openxmlformats.org/officeDocument/2006/relationships/hyperlink" Target="https://utrucking.com/admin/orders/6450986188988" TargetMode="External"/><Relationship Id="rId422" Type="http://schemas.openxmlformats.org/officeDocument/2006/relationships/hyperlink" Target="https://utrucking.com/admin/orders/5914416939196" TargetMode="External"/><Relationship Id="rId1253" Type="http://schemas.openxmlformats.org/officeDocument/2006/relationships/hyperlink" Target="https://utrucking.com/admin/orders/5946683588796" TargetMode="External"/><Relationship Id="rId2100" Type="http://schemas.openxmlformats.org/officeDocument/2006/relationships/hyperlink" Target="https://utrucking.com/admin/orders/6429305045180" TargetMode="External"/><Relationship Id="rId2584" Type="http://schemas.openxmlformats.org/officeDocument/2006/relationships/hyperlink" Target="https://utrucking.com/admin/orders/6451007226044" TargetMode="External"/><Relationship Id="rId421" Type="http://schemas.openxmlformats.org/officeDocument/2006/relationships/hyperlink" Target="https://utrucking.com/admin/orders/5914411958460" TargetMode="External"/><Relationship Id="rId1254" Type="http://schemas.openxmlformats.org/officeDocument/2006/relationships/hyperlink" Target="https://utrucking.com/admin/orders/5946719830204" TargetMode="External"/><Relationship Id="rId2101" Type="http://schemas.openxmlformats.org/officeDocument/2006/relationships/hyperlink" Target="https://utrucking.com/admin/orders/6429309272252" TargetMode="External"/><Relationship Id="rId2585" Type="http://schemas.openxmlformats.org/officeDocument/2006/relationships/hyperlink" Target="https://utrucking.com/admin/orders/6451026165948" TargetMode="External"/><Relationship Id="rId420" Type="http://schemas.openxmlformats.org/officeDocument/2006/relationships/hyperlink" Target="https://utrucking.com/admin/orders/5914395574460" TargetMode="External"/><Relationship Id="rId1255" Type="http://schemas.openxmlformats.org/officeDocument/2006/relationships/hyperlink" Target="https://utrucking.com/admin/orders/5946779697340" TargetMode="External"/><Relationship Id="rId2102" Type="http://schemas.openxmlformats.org/officeDocument/2006/relationships/hyperlink" Target="https://utrucking.com/admin/orders/6429334339772" TargetMode="External"/><Relationship Id="rId2586" Type="http://schemas.openxmlformats.org/officeDocument/2006/relationships/hyperlink" Target="https://utrucking.com/admin/orders/6451080233148" TargetMode="External"/><Relationship Id="rId1256" Type="http://schemas.openxmlformats.org/officeDocument/2006/relationships/hyperlink" Target="https://utrucking.com/admin/orders/5946855620796" TargetMode="External"/><Relationship Id="rId2103" Type="http://schemas.openxmlformats.org/officeDocument/2006/relationships/hyperlink" Target="https://utrucking.com/admin/orders/6429360685244" TargetMode="External"/><Relationship Id="rId2587" Type="http://schemas.openxmlformats.org/officeDocument/2006/relationships/hyperlink" Target="https://utrucking.com/admin/orders/6451110576316" TargetMode="External"/><Relationship Id="rId1246" Type="http://schemas.openxmlformats.org/officeDocument/2006/relationships/hyperlink" Target="https://utrucking.com/admin/orders/5946286047420" TargetMode="External"/><Relationship Id="rId2577" Type="http://schemas.openxmlformats.org/officeDocument/2006/relationships/hyperlink" Target="https://utrucking.com/admin/orders/6450891751612" TargetMode="External"/><Relationship Id="rId1247" Type="http://schemas.openxmlformats.org/officeDocument/2006/relationships/hyperlink" Target="https://utrucking.com/admin/orders/5946293944508" TargetMode="External"/><Relationship Id="rId2578" Type="http://schemas.openxmlformats.org/officeDocument/2006/relationships/hyperlink" Target="https://utrucking.com/admin/orders/6450917834940" TargetMode="External"/><Relationship Id="rId1248" Type="http://schemas.openxmlformats.org/officeDocument/2006/relationships/hyperlink" Target="https://utrucking.com/admin/orders/5946371801276" TargetMode="External"/><Relationship Id="rId2579" Type="http://schemas.openxmlformats.org/officeDocument/2006/relationships/hyperlink" Target="https://utrucking.com/admin/orders/6450923798716" TargetMode="External"/><Relationship Id="rId1249" Type="http://schemas.openxmlformats.org/officeDocument/2006/relationships/hyperlink" Target="https://utrucking.com/admin/orders/5946452443324" TargetMode="External"/><Relationship Id="rId415" Type="http://schemas.openxmlformats.org/officeDocument/2006/relationships/hyperlink" Target="https://utrucking.com/admin/orders/5914194510012" TargetMode="External"/><Relationship Id="rId899" Type="http://schemas.openxmlformats.org/officeDocument/2006/relationships/hyperlink" Target="https://utrucking.com/admin/orders/5928678195388" TargetMode="External"/><Relationship Id="rId414" Type="http://schemas.openxmlformats.org/officeDocument/2006/relationships/hyperlink" Target="https://utrucking.com/admin/orders/5914193658044" TargetMode="External"/><Relationship Id="rId898" Type="http://schemas.openxmlformats.org/officeDocument/2006/relationships/hyperlink" Target="https://utrucking.com/admin/orders/5928678195388" TargetMode="External"/><Relationship Id="rId413" Type="http://schemas.openxmlformats.org/officeDocument/2006/relationships/hyperlink" Target="https://utrucking.com/admin/orders/5914184810684" TargetMode="External"/><Relationship Id="rId897" Type="http://schemas.openxmlformats.org/officeDocument/2006/relationships/hyperlink" Target="https://utrucking.com/admin/orders/5928678195388" TargetMode="External"/><Relationship Id="rId412" Type="http://schemas.openxmlformats.org/officeDocument/2006/relationships/hyperlink" Target="https://utrucking.com/admin/orders/5914175570108" TargetMode="External"/><Relationship Id="rId896" Type="http://schemas.openxmlformats.org/officeDocument/2006/relationships/hyperlink" Target="https://utrucking.com/admin/orders/5928670920892" TargetMode="External"/><Relationship Id="rId419" Type="http://schemas.openxmlformats.org/officeDocument/2006/relationships/hyperlink" Target="https://utrucking.com/admin/orders/5914270269628" TargetMode="External"/><Relationship Id="rId418" Type="http://schemas.openxmlformats.org/officeDocument/2006/relationships/hyperlink" Target="https://utrucking.com/admin/orders/5914257260732" TargetMode="External"/><Relationship Id="rId417" Type="http://schemas.openxmlformats.org/officeDocument/2006/relationships/hyperlink" Target="https://utrucking.com/admin/orders/5914230358204" TargetMode="External"/><Relationship Id="rId416" Type="http://schemas.openxmlformats.org/officeDocument/2006/relationships/hyperlink" Target="https://utrucking.com/admin/orders/5914197295292" TargetMode="External"/><Relationship Id="rId891" Type="http://schemas.openxmlformats.org/officeDocument/2006/relationships/hyperlink" Target="https://utrucking.com/admin/orders/5928585363644" TargetMode="External"/><Relationship Id="rId890" Type="http://schemas.openxmlformats.org/officeDocument/2006/relationships/hyperlink" Target="https://utrucking.com/admin/orders/5928560263356" TargetMode="External"/><Relationship Id="rId2570" Type="http://schemas.openxmlformats.org/officeDocument/2006/relationships/hyperlink" Target="https://utrucking.com/admin/orders/6450346655932" TargetMode="External"/><Relationship Id="rId1240" Type="http://schemas.openxmlformats.org/officeDocument/2006/relationships/hyperlink" Target="https://utrucking.com/admin/orders/5945960661180" TargetMode="External"/><Relationship Id="rId2571" Type="http://schemas.openxmlformats.org/officeDocument/2006/relationships/hyperlink" Target="https://utrucking.com/admin/orders/6450382176444" TargetMode="External"/><Relationship Id="rId1241" Type="http://schemas.openxmlformats.org/officeDocument/2006/relationships/hyperlink" Target="https://utrucking.com/admin/orders/5946011648188" TargetMode="External"/><Relationship Id="rId2572" Type="http://schemas.openxmlformats.org/officeDocument/2006/relationships/hyperlink" Target="https://utrucking.com/admin/orders/6450412617916" TargetMode="External"/><Relationship Id="rId411" Type="http://schemas.openxmlformats.org/officeDocument/2006/relationships/hyperlink" Target="https://utrucking.com/admin/orders/5914173800636" TargetMode="External"/><Relationship Id="rId895" Type="http://schemas.openxmlformats.org/officeDocument/2006/relationships/hyperlink" Target="https://utrucking.com/admin/orders/5928668070076" TargetMode="External"/><Relationship Id="rId1242" Type="http://schemas.openxmlformats.org/officeDocument/2006/relationships/hyperlink" Target="https://utrucking.com/admin/orders/5946068369596" TargetMode="External"/><Relationship Id="rId2573" Type="http://schemas.openxmlformats.org/officeDocument/2006/relationships/hyperlink" Target="https://utrucking.com/admin/orders/6450423464124" TargetMode="External"/><Relationship Id="rId410" Type="http://schemas.openxmlformats.org/officeDocument/2006/relationships/hyperlink" Target="https://utrucking.com/admin/orders/5914113376444" TargetMode="External"/><Relationship Id="rId894" Type="http://schemas.openxmlformats.org/officeDocument/2006/relationships/hyperlink" Target="https://utrucking.com/admin/orders/5928624488636" TargetMode="External"/><Relationship Id="rId1243" Type="http://schemas.openxmlformats.org/officeDocument/2006/relationships/hyperlink" Target="https://utrucking.com/admin/orders/5946243645628" TargetMode="External"/><Relationship Id="rId2574" Type="http://schemas.openxmlformats.org/officeDocument/2006/relationships/hyperlink" Target="https://utrucking.com/admin/orders/6450450989244" TargetMode="External"/><Relationship Id="rId893" Type="http://schemas.openxmlformats.org/officeDocument/2006/relationships/hyperlink" Target="https://utrucking.com/admin/orders/5928622096572" TargetMode="External"/><Relationship Id="rId1244" Type="http://schemas.openxmlformats.org/officeDocument/2006/relationships/hyperlink" Target="https://utrucking.com/admin/orders/5946246398140" TargetMode="External"/><Relationship Id="rId2575" Type="http://schemas.openxmlformats.org/officeDocument/2006/relationships/hyperlink" Target="https://utrucking.com/admin/orders/6450536775868" TargetMode="External"/><Relationship Id="rId892" Type="http://schemas.openxmlformats.org/officeDocument/2006/relationships/hyperlink" Target="https://utrucking.com/admin/orders/5928616755388" TargetMode="External"/><Relationship Id="rId1245" Type="http://schemas.openxmlformats.org/officeDocument/2006/relationships/hyperlink" Target="https://utrucking.com/admin/orders/5946279067836" TargetMode="External"/><Relationship Id="rId2576" Type="http://schemas.openxmlformats.org/officeDocument/2006/relationships/hyperlink" Target="https://utrucking.com/admin/orders/6450713821372" TargetMode="External"/><Relationship Id="rId1279" Type="http://schemas.openxmlformats.org/officeDocument/2006/relationships/hyperlink" Target="https://utrucking.com/admin/orders/5948124856508" TargetMode="External"/><Relationship Id="rId2126" Type="http://schemas.openxmlformats.org/officeDocument/2006/relationships/hyperlink" Target="https://utrucking.com/admin/orders/6429931634876" TargetMode="External"/><Relationship Id="rId2127" Type="http://schemas.openxmlformats.org/officeDocument/2006/relationships/hyperlink" Target="https://utrucking.com/admin/orders/6430024466620" TargetMode="External"/><Relationship Id="rId2128" Type="http://schemas.openxmlformats.org/officeDocument/2006/relationships/hyperlink" Target="https://admin.shopify.com/store/utrucking/orders/6430037246140?link_source=search" TargetMode="External"/><Relationship Id="rId2129" Type="http://schemas.openxmlformats.org/officeDocument/2006/relationships/hyperlink" Target="https://utrucking.com/admin/orders/6430090559676" TargetMode="External"/><Relationship Id="rId448" Type="http://schemas.openxmlformats.org/officeDocument/2006/relationships/hyperlink" Target="https://utrucking.com/admin/orders/5914907672764" TargetMode="External"/><Relationship Id="rId447" Type="http://schemas.openxmlformats.org/officeDocument/2006/relationships/hyperlink" Target="https://utrucking.com/admin/orders/5914905772220" TargetMode="External"/><Relationship Id="rId446" Type="http://schemas.openxmlformats.org/officeDocument/2006/relationships/hyperlink" Target="https://utrucking.com/admin/orders/5914861142204" TargetMode="External"/><Relationship Id="rId445" Type="http://schemas.openxmlformats.org/officeDocument/2006/relationships/hyperlink" Target="https://utrucking.com/admin/orders/5914838499516" TargetMode="External"/><Relationship Id="rId449" Type="http://schemas.openxmlformats.org/officeDocument/2006/relationships/hyperlink" Target="https://utrucking.com/admin/orders/5914907672764" TargetMode="External"/><Relationship Id="rId1270" Type="http://schemas.openxmlformats.org/officeDocument/2006/relationships/hyperlink" Target="https://utrucking.com/admin/orders/5947689926844" TargetMode="External"/><Relationship Id="rId440" Type="http://schemas.openxmlformats.org/officeDocument/2006/relationships/hyperlink" Target="https://utrucking.com/admin/orders/5914749599932" TargetMode="External"/><Relationship Id="rId1271" Type="http://schemas.openxmlformats.org/officeDocument/2006/relationships/hyperlink" Target="https://utrucking.com/admin/orders/5947696709820" TargetMode="External"/><Relationship Id="rId1272" Type="http://schemas.openxmlformats.org/officeDocument/2006/relationships/hyperlink" Target="https://utrucking.com/admin/orders/5947748352188" TargetMode="External"/><Relationship Id="rId1273" Type="http://schemas.openxmlformats.org/officeDocument/2006/relationships/hyperlink" Target="https://utrucking.com/admin/orders/5948039332028" TargetMode="External"/><Relationship Id="rId2120" Type="http://schemas.openxmlformats.org/officeDocument/2006/relationships/hyperlink" Target="https://utrucking.com/admin/orders/6429719494844" TargetMode="External"/><Relationship Id="rId1274" Type="http://schemas.openxmlformats.org/officeDocument/2006/relationships/hyperlink" Target="https://utrucking.com/admin/orders/5948045164732" TargetMode="External"/><Relationship Id="rId2121" Type="http://schemas.openxmlformats.org/officeDocument/2006/relationships/hyperlink" Target="https://utrucking.com/admin/orders/6429738565820" TargetMode="External"/><Relationship Id="rId444" Type="http://schemas.openxmlformats.org/officeDocument/2006/relationships/hyperlink" Target="https://utrucking.com/admin/orders/5914836926652" TargetMode="External"/><Relationship Id="rId1275" Type="http://schemas.openxmlformats.org/officeDocument/2006/relationships/hyperlink" Target="https://utrucking.com/admin/orders/5948082061500" TargetMode="External"/><Relationship Id="rId2122" Type="http://schemas.openxmlformats.org/officeDocument/2006/relationships/hyperlink" Target="https://utrucking.com/admin/orders/6429796270268" TargetMode="External"/><Relationship Id="rId443" Type="http://schemas.openxmlformats.org/officeDocument/2006/relationships/hyperlink" Target="https://utrucking.com/admin/orders/5914819657916" TargetMode="External"/><Relationship Id="rId1276" Type="http://schemas.openxmlformats.org/officeDocument/2006/relationships/hyperlink" Target="https://utrucking.com/admin/orders/5948096184508" TargetMode="External"/><Relationship Id="rId2123" Type="http://schemas.openxmlformats.org/officeDocument/2006/relationships/hyperlink" Target="https://utrucking.com/admin/orders/6429832151228" TargetMode="External"/><Relationship Id="rId442" Type="http://schemas.openxmlformats.org/officeDocument/2006/relationships/hyperlink" Target="https://utrucking.com/admin/orders/5914808189116" TargetMode="External"/><Relationship Id="rId1277" Type="http://schemas.openxmlformats.org/officeDocument/2006/relationships/hyperlink" Target="https://utrucking.com/admin/orders/5948118597820" TargetMode="External"/><Relationship Id="rId2124" Type="http://schemas.openxmlformats.org/officeDocument/2006/relationships/hyperlink" Target="https://utrucking.com/admin/orders/6429850468540" TargetMode="External"/><Relationship Id="rId441" Type="http://schemas.openxmlformats.org/officeDocument/2006/relationships/hyperlink" Target="https://utrucking.com/admin/orders/5914749599932" TargetMode="External"/><Relationship Id="rId1278" Type="http://schemas.openxmlformats.org/officeDocument/2006/relationships/hyperlink" Target="https://utrucking.com/admin/orders/5948122661052" TargetMode="External"/><Relationship Id="rId2125" Type="http://schemas.openxmlformats.org/officeDocument/2006/relationships/hyperlink" Target="https://utrucking.com/admin/orders/6429925671100" TargetMode="External"/><Relationship Id="rId1268" Type="http://schemas.openxmlformats.org/officeDocument/2006/relationships/hyperlink" Target="https://utrucking.com/admin/orders/5947531002044" TargetMode="External"/><Relationship Id="rId2115" Type="http://schemas.openxmlformats.org/officeDocument/2006/relationships/hyperlink" Target="https://utrucking.com/admin/orders/6429647765692" TargetMode="External"/><Relationship Id="rId2599" Type="http://schemas.openxmlformats.org/officeDocument/2006/relationships/hyperlink" Target="https://utrucking.com/admin/orders/6451312689340" TargetMode="External"/><Relationship Id="rId1269" Type="http://schemas.openxmlformats.org/officeDocument/2006/relationships/hyperlink" Target="https://utrucking.com/admin/orders/5947617116348" TargetMode="External"/><Relationship Id="rId2116" Type="http://schemas.openxmlformats.org/officeDocument/2006/relationships/hyperlink" Target="https://utrucking.com/admin/orders/6429668343996" TargetMode="External"/><Relationship Id="rId2117" Type="http://schemas.openxmlformats.org/officeDocument/2006/relationships/hyperlink" Target="https://utrucking.com/admin/orders/6429669064892" TargetMode="External"/><Relationship Id="rId2118" Type="http://schemas.openxmlformats.org/officeDocument/2006/relationships/hyperlink" Target="https://utrucking.com/admin/orders/6429672898748" TargetMode="External"/><Relationship Id="rId2119" Type="http://schemas.openxmlformats.org/officeDocument/2006/relationships/hyperlink" Target="https://utrucking.com/admin/orders/6429717070012" TargetMode="External"/><Relationship Id="rId437" Type="http://schemas.openxmlformats.org/officeDocument/2006/relationships/hyperlink" Target="https://utrucking.com/admin/orders/5914728300732" TargetMode="External"/><Relationship Id="rId436" Type="http://schemas.openxmlformats.org/officeDocument/2006/relationships/hyperlink" Target="https://utrucking.com/admin/orders/5914728300732" TargetMode="External"/><Relationship Id="rId435" Type="http://schemas.openxmlformats.org/officeDocument/2006/relationships/hyperlink" Target="https://utrucking.com/admin/orders/5914694090940" TargetMode="External"/><Relationship Id="rId434" Type="http://schemas.openxmlformats.org/officeDocument/2006/relationships/hyperlink" Target="https://utrucking.com/admin/orders/5914677379260" TargetMode="External"/><Relationship Id="rId439" Type="http://schemas.openxmlformats.org/officeDocument/2006/relationships/hyperlink" Target="https://utrucking.com/admin/orders/5914749075644" TargetMode="External"/><Relationship Id="rId438" Type="http://schemas.openxmlformats.org/officeDocument/2006/relationships/hyperlink" Target="https://utrucking.com/admin/orders/5914735149244" TargetMode="External"/><Relationship Id="rId2590" Type="http://schemas.openxmlformats.org/officeDocument/2006/relationships/hyperlink" Target="https://utrucking.com/admin/orders/6451128893628" TargetMode="External"/><Relationship Id="rId1260" Type="http://schemas.openxmlformats.org/officeDocument/2006/relationships/hyperlink" Target="https://utrucking.com/admin/orders/5946982170812" TargetMode="External"/><Relationship Id="rId2591" Type="http://schemas.openxmlformats.org/officeDocument/2006/relationships/hyperlink" Target="https://utrucking.com/admin/orders/6451131318460" TargetMode="External"/><Relationship Id="rId1261" Type="http://schemas.openxmlformats.org/officeDocument/2006/relationships/hyperlink" Target="https://utrucking.com/admin/orders/5947030143164" TargetMode="External"/><Relationship Id="rId2592" Type="http://schemas.openxmlformats.org/officeDocument/2006/relationships/hyperlink" Target="https://utrucking.com/admin/orders/6451175391420" TargetMode="External"/><Relationship Id="rId1262" Type="http://schemas.openxmlformats.org/officeDocument/2006/relationships/hyperlink" Target="https://utrucking.com/admin/orders/5947036401852" TargetMode="External"/><Relationship Id="rId2593" Type="http://schemas.openxmlformats.org/officeDocument/2006/relationships/hyperlink" Target="https://utrucking.com/admin/orders/6451199180988" TargetMode="External"/><Relationship Id="rId1263" Type="http://schemas.openxmlformats.org/officeDocument/2006/relationships/hyperlink" Target="https://utrucking.com/admin/orders/5947407630524" TargetMode="External"/><Relationship Id="rId2110" Type="http://schemas.openxmlformats.org/officeDocument/2006/relationships/hyperlink" Target="https://utrucking.com/admin/orders/6429543366844" TargetMode="External"/><Relationship Id="rId2594" Type="http://schemas.openxmlformats.org/officeDocument/2006/relationships/hyperlink" Target="https://utrucking.com/admin/orders/6451222151356" TargetMode="External"/><Relationship Id="rId433" Type="http://schemas.openxmlformats.org/officeDocument/2006/relationships/hyperlink" Target="https://utrucking.com/admin/orders/5914665517244" TargetMode="External"/><Relationship Id="rId1264" Type="http://schemas.openxmlformats.org/officeDocument/2006/relationships/hyperlink" Target="https://utrucking.com/admin/orders/5947420803260" TargetMode="External"/><Relationship Id="rId2111" Type="http://schemas.openxmlformats.org/officeDocument/2006/relationships/hyperlink" Target="https://utrucking.com/admin/orders/6429561847996" TargetMode="External"/><Relationship Id="rId2595" Type="http://schemas.openxmlformats.org/officeDocument/2006/relationships/hyperlink" Target="https://utrucking.com/admin/orders/6451268911292" TargetMode="External"/><Relationship Id="rId432" Type="http://schemas.openxmlformats.org/officeDocument/2006/relationships/hyperlink" Target="https://utrucking.com/admin/orders/5914593067196" TargetMode="External"/><Relationship Id="rId1265" Type="http://schemas.openxmlformats.org/officeDocument/2006/relationships/hyperlink" Target="https://utrucking.com/admin/orders/5947457667260" TargetMode="External"/><Relationship Id="rId2112" Type="http://schemas.openxmlformats.org/officeDocument/2006/relationships/hyperlink" Target="https://utrucking.com/admin/orders/6429569220796" TargetMode="External"/><Relationship Id="rId2596" Type="http://schemas.openxmlformats.org/officeDocument/2006/relationships/hyperlink" Target="https://utrucking.com/admin/orders/6451279265980" TargetMode="External"/><Relationship Id="rId431" Type="http://schemas.openxmlformats.org/officeDocument/2006/relationships/hyperlink" Target="https://utrucking.com/admin/orders/5914581336252" TargetMode="External"/><Relationship Id="rId1266" Type="http://schemas.openxmlformats.org/officeDocument/2006/relationships/hyperlink" Target="https://utrucking.com/admin/orders/5947516813500" TargetMode="External"/><Relationship Id="rId2113" Type="http://schemas.openxmlformats.org/officeDocument/2006/relationships/hyperlink" Target="https://utrucking.com/admin/orders/6429572759740" TargetMode="External"/><Relationship Id="rId2597" Type="http://schemas.openxmlformats.org/officeDocument/2006/relationships/hyperlink" Target="https://utrucking.com/admin/orders/6451302006972" TargetMode="External"/><Relationship Id="rId430" Type="http://schemas.openxmlformats.org/officeDocument/2006/relationships/hyperlink" Target="https://utrucking.com/admin/orders/5914540441788" TargetMode="External"/><Relationship Id="rId1267" Type="http://schemas.openxmlformats.org/officeDocument/2006/relationships/hyperlink" Target="https://utrucking.com/admin/orders/5947523334332" TargetMode="External"/><Relationship Id="rId2114" Type="http://schemas.openxmlformats.org/officeDocument/2006/relationships/hyperlink" Target="https://utrucking.com/admin/orders/6429606510780" TargetMode="External"/><Relationship Id="rId2598" Type="http://schemas.openxmlformats.org/officeDocument/2006/relationships/hyperlink" Target="https://utrucking.com/admin/orders/645130423519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utrucking.com/admin/orders/5897677144252" TargetMode="External"/><Relationship Id="rId2" Type="http://schemas.openxmlformats.org/officeDocument/2006/relationships/hyperlink" Target="https://utrucking.com/admin/orders/5897705062588" TargetMode="External"/><Relationship Id="rId3" Type="http://schemas.openxmlformats.org/officeDocument/2006/relationships/hyperlink" Target="https://utrucking.com/admin/orders/5897863135420" TargetMode="External"/><Relationship Id="rId4" Type="http://schemas.openxmlformats.org/officeDocument/2006/relationships/hyperlink" Target="https://utrucking.com/admin/orders/5898283614396" TargetMode="External"/><Relationship Id="rId9" Type="http://schemas.openxmlformats.org/officeDocument/2006/relationships/hyperlink" Target="https://utrucking.com/admin/orders/5898491166908" TargetMode="External"/><Relationship Id="rId5" Type="http://schemas.openxmlformats.org/officeDocument/2006/relationships/hyperlink" Target="https://utrucking.com/admin/orders/5898324410556" TargetMode="External"/><Relationship Id="rId6" Type="http://schemas.openxmlformats.org/officeDocument/2006/relationships/hyperlink" Target="https://utrucking.com/admin/orders/5898432577724" TargetMode="External"/><Relationship Id="rId7" Type="http://schemas.openxmlformats.org/officeDocument/2006/relationships/hyperlink" Target="https://utrucking.com/admin/orders/5898465345724" TargetMode="External"/><Relationship Id="rId8" Type="http://schemas.openxmlformats.org/officeDocument/2006/relationships/hyperlink" Target="https://utrucking.com/admin/orders/5898488905916" TargetMode="External"/><Relationship Id="rId40" Type="http://schemas.openxmlformats.org/officeDocument/2006/relationships/hyperlink" Target="https://utrucking.com/admin/orders/5900653166780" TargetMode="External"/><Relationship Id="rId42" Type="http://schemas.openxmlformats.org/officeDocument/2006/relationships/hyperlink" Target="https://utrucking.com/admin/orders/5900705693884" TargetMode="External"/><Relationship Id="rId41" Type="http://schemas.openxmlformats.org/officeDocument/2006/relationships/hyperlink" Target="https://utrucking.com/admin/orders/5900679708860" TargetMode="External"/><Relationship Id="rId44" Type="http://schemas.openxmlformats.org/officeDocument/2006/relationships/hyperlink" Target="https://utrucking.com/admin/orders/5900738887868" TargetMode="External"/><Relationship Id="rId43" Type="http://schemas.openxmlformats.org/officeDocument/2006/relationships/hyperlink" Target="https://utrucking.com/admin/orders/5900706185404" TargetMode="External"/><Relationship Id="rId46" Type="http://schemas.openxmlformats.org/officeDocument/2006/relationships/hyperlink" Target="https://utrucking.com/admin/orders/5900791414972" TargetMode="External"/><Relationship Id="rId45" Type="http://schemas.openxmlformats.org/officeDocument/2006/relationships/hyperlink" Target="https://utrucking.com/admin/orders/5900755337404" TargetMode="External"/><Relationship Id="rId48" Type="http://schemas.openxmlformats.org/officeDocument/2006/relationships/hyperlink" Target="https://utrucking.com/admin/orders/5900814680252" TargetMode="External"/><Relationship Id="rId47" Type="http://schemas.openxmlformats.org/officeDocument/2006/relationships/hyperlink" Target="https://utrucking.com/admin/orders/5900791414972" TargetMode="External"/><Relationship Id="rId49" Type="http://schemas.openxmlformats.org/officeDocument/2006/relationships/hyperlink" Target="https://utrucking.com/admin/orders/5900867436732" TargetMode="External"/><Relationship Id="rId31" Type="http://schemas.openxmlformats.org/officeDocument/2006/relationships/hyperlink" Target="https://utrucking.com/admin/orders/5900123701436" TargetMode="External"/><Relationship Id="rId30" Type="http://schemas.openxmlformats.org/officeDocument/2006/relationships/hyperlink" Target="https://utrucking.com/admin/orders/5900089852092" TargetMode="External"/><Relationship Id="rId33" Type="http://schemas.openxmlformats.org/officeDocument/2006/relationships/hyperlink" Target="https://utrucking.com/admin/orders/5900186910908" TargetMode="External"/><Relationship Id="rId32" Type="http://schemas.openxmlformats.org/officeDocument/2006/relationships/hyperlink" Target="https://utrucking.com/admin/orders/5900123734204" TargetMode="External"/><Relationship Id="rId35" Type="http://schemas.openxmlformats.org/officeDocument/2006/relationships/hyperlink" Target="https://utrucking.com/admin/orders/5900252807356" TargetMode="External"/><Relationship Id="rId34" Type="http://schemas.openxmlformats.org/officeDocument/2006/relationships/hyperlink" Target="https://utrucking.com/admin/orders/5900228886716" TargetMode="External"/><Relationship Id="rId37" Type="http://schemas.openxmlformats.org/officeDocument/2006/relationships/hyperlink" Target="https://utrucking.com/admin/orders/5900318474428" TargetMode="External"/><Relationship Id="rId36" Type="http://schemas.openxmlformats.org/officeDocument/2006/relationships/hyperlink" Target="https://utrucking.com/admin/orders/5900316573884" TargetMode="External"/><Relationship Id="rId39" Type="http://schemas.openxmlformats.org/officeDocument/2006/relationships/hyperlink" Target="https://utrucking.com/admin/orders/5900610175164" TargetMode="External"/><Relationship Id="rId38" Type="http://schemas.openxmlformats.org/officeDocument/2006/relationships/hyperlink" Target="https://utrucking.com/admin/orders/5900342067388" TargetMode="External"/><Relationship Id="rId20" Type="http://schemas.openxmlformats.org/officeDocument/2006/relationships/hyperlink" Target="https://utrucking.com/admin/orders/5899398512828" TargetMode="External"/><Relationship Id="rId22" Type="http://schemas.openxmlformats.org/officeDocument/2006/relationships/hyperlink" Target="https://utrucking.com/admin/orders/5899755684028" TargetMode="External"/><Relationship Id="rId21" Type="http://schemas.openxmlformats.org/officeDocument/2006/relationships/hyperlink" Target="https://utrucking.com/admin/orders/5899539480764" TargetMode="External"/><Relationship Id="rId24" Type="http://schemas.openxmlformats.org/officeDocument/2006/relationships/hyperlink" Target="https://utrucking.com/admin/orders/5899791564988" TargetMode="External"/><Relationship Id="rId23" Type="http://schemas.openxmlformats.org/officeDocument/2006/relationships/hyperlink" Target="https://utrucking.com/admin/orders/5899777736892" TargetMode="External"/><Relationship Id="rId26" Type="http://schemas.openxmlformats.org/officeDocument/2006/relationships/hyperlink" Target="https://utrucking.com/admin/orders/5900006424764" TargetMode="External"/><Relationship Id="rId25" Type="http://schemas.openxmlformats.org/officeDocument/2006/relationships/hyperlink" Target="https://utrucking.com/admin/orders/5899837145276" TargetMode="External"/><Relationship Id="rId28" Type="http://schemas.openxmlformats.org/officeDocument/2006/relationships/hyperlink" Target="https://utrucking.com/admin/orders/5900080283836" TargetMode="External"/><Relationship Id="rId27" Type="http://schemas.openxmlformats.org/officeDocument/2006/relationships/hyperlink" Target="https://utrucking.com/admin/orders/5900080283836" TargetMode="External"/><Relationship Id="rId29" Type="http://schemas.openxmlformats.org/officeDocument/2006/relationships/hyperlink" Target="https://utrucking.com/admin/orders/5900083265724" TargetMode="External"/><Relationship Id="rId11" Type="http://schemas.openxmlformats.org/officeDocument/2006/relationships/hyperlink" Target="https://utrucking.com/admin/orders/5898994155708" TargetMode="External"/><Relationship Id="rId10" Type="http://schemas.openxmlformats.org/officeDocument/2006/relationships/hyperlink" Target="https://utrucking.com/admin/orders/5898525311164" TargetMode="External"/><Relationship Id="rId13" Type="http://schemas.openxmlformats.org/officeDocument/2006/relationships/hyperlink" Target="https://utrucking.com/admin/orders/5899149574332" TargetMode="External"/><Relationship Id="rId12" Type="http://schemas.openxmlformats.org/officeDocument/2006/relationships/hyperlink" Target="https://utrucking.com/admin/orders/5899120771260" TargetMode="External"/><Relationship Id="rId15" Type="http://schemas.openxmlformats.org/officeDocument/2006/relationships/hyperlink" Target="https://utrucking.com/admin/orders/5899279007932" TargetMode="External"/><Relationship Id="rId14" Type="http://schemas.openxmlformats.org/officeDocument/2006/relationships/hyperlink" Target="https://utrucking.com/admin/orders/5899278713020" TargetMode="External"/><Relationship Id="rId17" Type="http://schemas.openxmlformats.org/officeDocument/2006/relationships/hyperlink" Target="https://utrucking.com/admin/orders/5899375313084" TargetMode="External"/><Relationship Id="rId16" Type="http://schemas.openxmlformats.org/officeDocument/2006/relationships/hyperlink" Target="https://utrucking.com/admin/orders/5899315642556" TargetMode="External"/><Relationship Id="rId19" Type="http://schemas.openxmlformats.org/officeDocument/2006/relationships/hyperlink" Target="https://utrucking.com/admin/orders/5899380981948" TargetMode="External"/><Relationship Id="rId18" Type="http://schemas.openxmlformats.org/officeDocument/2006/relationships/hyperlink" Target="https://utrucking.com/admin/orders/5899380981948" TargetMode="External"/><Relationship Id="rId84" Type="http://schemas.openxmlformats.org/officeDocument/2006/relationships/hyperlink" Target="https://utrucking.com/admin/orders/5903142879420" TargetMode="External"/><Relationship Id="rId83" Type="http://schemas.openxmlformats.org/officeDocument/2006/relationships/hyperlink" Target="https://utrucking.com/admin/orders/5902876213436" TargetMode="External"/><Relationship Id="rId86" Type="http://schemas.openxmlformats.org/officeDocument/2006/relationships/hyperlink" Target="https://utrucking.com/admin/orders/5903311896764" TargetMode="External"/><Relationship Id="rId85" Type="http://schemas.openxmlformats.org/officeDocument/2006/relationships/hyperlink" Target="https://utrucking.com/admin/orders/5903255830716" TargetMode="External"/><Relationship Id="rId88" Type="http://schemas.openxmlformats.org/officeDocument/2006/relationships/hyperlink" Target="https://utrucking.com/admin/orders/5903479177404" TargetMode="External"/><Relationship Id="rId87" Type="http://schemas.openxmlformats.org/officeDocument/2006/relationships/hyperlink" Target="https://utrucking.com/admin/orders/5903455486140" TargetMode="External"/><Relationship Id="rId89" Type="http://schemas.openxmlformats.org/officeDocument/2006/relationships/hyperlink" Target="https://utrucking.com/admin/orders/5903479177404" TargetMode="External"/><Relationship Id="rId80" Type="http://schemas.openxmlformats.org/officeDocument/2006/relationships/hyperlink" Target="https://utrucking.com/admin/orders/5902695235772" TargetMode="External"/><Relationship Id="rId82" Type="http://schemas.openxmlformats.org/officeDocument/2006/relationships/hyperlink" Target="https://utrucking.com/admin/orders/5902817329340" TargetMode="External"/><Relationship Id="rId81" Type="http://schemas.openxmlformats.org/officeDocument/2006/relationships/hyperlink" Target="https://utrucking.com/admin/orders/5902760837308" TargetMode="External"/><Relationship Id="rId73" Type="http://schemas.openxmlformats.org/officeDocument/2006/relationships/hyperlink" Target="https://utrucking.com/admin/orders/5902278230204" TargetMode="External"/><Relationship Id="rId72" Type="http://schemas.openxmlformats.org/officeDocument/2006/relationships/hyperlink" Target="https://utrucking.com/admin/orders/5902266269884" TargetMode="External"/><Relationship Id="rId75" Type="http://schemas.openxmlformats.org/officeDocument/2006/relationships/hyperlink" Target="https://utrucking.com/admin/orders/5902403600572" TargetMode="External"/><Relationship Id="rId74" Type="http://schemas.openxmlformats.org/officeDocument/2006/relationships/hyperlink" Target="https://utrucking.com/admin/orders/5902278230204" TargetMode="External"/><Relationship Id="rId77" Type="http://schemas.openxmlformats.org/officeDocument/2006/relationships/hyperlink" Target="https://utrucking.com/admin/orders/5902522712252" TargetMode="External"/><Relationship Id="rId76" Type="http://schemas.openxmlformats.org/officeDocument/2006/relationships/hyperlink" Target="https://utrucking.com/admin/orders/5902510555324" TargetMode="External"/><Relationship Id="rId79" Type="http://schemas.openxmlformats.org/officeDocument/2006/relationships/hyperlink" Target="https://utrucking.com/admin/orders/5902691008700" TargetMode="External"/><Relationship Id="rId78" Type="http://schemas.openxmlformats.org/officeDocument/2006/relationships/hyperlink" Target="https://utrucking.com/admin/orders/5902640742588" TargetMode="External"/><Relationship Id="rId71" Type="http://schemas.openxmlformats.org/officeDocument/2006/relationships/hyperlink" Target="https://utrucking.com/admin/orders/5902261616828" TargetMode="External"/><Relationship Id="rId70" Type="http://schemas.openxmlformats.org/officeDocument/2006/relationships/hyperlink" Target="https://utrucking.com/admin/orders/5902234190012" TargetMode="External"/><Relationship Id="rId62" Type="http://schemas.openxmlformats.org/officeDocument/2006/relationships/hyperlink" Target="https://utrucking.com/admin/orders/5901577748668" TargetMode="External"/><Relationship Id="rId61" Type="http://schemas.openxmlformats.org/officeDocument/2006/relationships/hyperlink" Target="https://utrucking.com/admin/orders/5901515456700" TargetMode="External"/><Relationship Id="rId64" Type="http://schemas.openxmlformats.org/officeDocument/2006/relationships/hyperlink" Target="https://utrucking.com/admin/orders/5901666615484" TargetMode="External"/><Relationship Id="rId63" Type="http://schemas.openxmlformats.org/officeDocument/2006/relationships/hyperlink" Target="https://utrucking.com/admin/orders/5901603799228" TargetMode="External"/><Relationship Id="rId66" Type="http://schemas.openxmlformats.org/officeDocument/2006/relationships/hyperlink" Target="https://utrucking.com/admin/orders/5901819445436" TargetMode="External"/><Relationship Id="rId65" Type="http://schemas.openxmlformats.org/officeDocument/2006/relationships/hyperlink" Target="https://utrucking.com/admin/orders/5901762691260" TargetMode="External"/><Relationship Id="rId68" Type="http://schemas.openxmlformats.org/officeDocument/2006/relationships/hyperlink" Target="https://utrucking.com/admin/orders/5901823344828" TargetMode="External"/><Relationship Id="rId67" Type="http://schemas.openxmlformats.org/officeDocument/2006/relationships/hyperlink" Target="https://utrucking.com/admin/orders/5901819445436" TargetMode="External"/><Relationship Id="rId60" Type="http://schemas.openxmlformats.org/officeDocument/2006/relationships/hyperlink" Target="https://utrucking.com/admin/orders/5901478101180" TargetMode="External"/><Relationship Id="rId69" Type="http://schemas.openxmlformats.org/officeDocument/2006/relationships/hyperlink" Target="https://utrucking.com/admin/orders/5902055866556" TargetMode="External"/><Relationship Id="rId51" Type="http://schemas.openxmlformats.org/officeDocument/2006/relationships/hyperlink" Target="https://utrucking.com/admin/orders/5900916162748" TargetMode="External"/><Relationship Id="rId50" Type="http://schemas.openxmlformats.org/officeDocument/2006/relationships/hyperlink" Target="https://utrucking.com/admin/orders/5900873597116" TargetMode="External"/><Relationship Id="rId53" Type="http://schemas.openxmlformats.org/officeDocument/2006/relationships/hyperlink" Target="https://utrucking.com/admin/orders/5900954435772" TargetMode="External"/><Relationship Id="rId52" Type="http://schemas.openxmlformats.org/officeDocument/2006/relationships/hyperlink" Target="https://utrucking.com/admin/orders/5900932972732" TargetMode="External"/><Relationship Id="rId55" Type="http://schemas.openxmlformats.org/officeDocument/2006/relationships/hyperlink" Target="https://utrucking.com/admin/orders/5900996706492" TargetMode="External"/><Relationship Id="rId54" Type="http://schemas.openxmlformats.org/officeDocument/2006/relationships/hyperlink" Target="https://utrucking.com/admin/orders/5900954435772" TargetMode="External"/><Relationship Id="rId57" Type="http://schemas.openxmlformats.org/officeDocument/2006/relationships/hyperlink" Target="https://utrucking.com/admin/orders/5901019447484" TargetMode="External"/><Relationship Id="rId56" Type="http://schemas.openxmlformats.org/officeDocument/2006/relationships/hyperlink" Target="https://utrucking.com/admin/orders/5901001392316" TargetMode="External"/><Relationship Id="rId59" Type="http://schemas.openxmlformats.org/officeDocument/2006/relationships/hyperlink" Target="https://utrucking.com/admin/orders/5901173391548" TargetMode="External"/><Relationship Id="rId58" Type="http://schemas.openxmlformats.org/officeDocument/2006/relationships/hyperlink" Target="https://utrucking.com/admin/orders/5901064863932" TargetMode="External"/><Relationship Id="rId95" Type="http://schemas.openxmlformats.org/officeDocument/2006/relationships/hyperlink" Target="https://utrucking.com/admin/orders/5903780315324" TargetMode="External"/><Relationship Id="rId94" Type="http://schemas.openxmlformats.org/officeDocument/2006/relationships/hyperlink" Target="https://utrucking.com/admin/orders/5903767109820" TargetMode="External"/><Relationship Id="rId97" Type="http://schemas.openxmlformats.org/officeDocument/2006/relationships/hyperlink" Target="https://utrucking.com/admin/orders/5903890022588" TargetMode="External"/><Relationship Id="rId96" Type="http://schemas.openxmlformats.org/officeDocument/2006/relationships/hyperlink" Target="https://utrucking.com/admin/orders/5903819833532" TargetMode="External"/><Relationship Id="rId99" Type="http://schemas.openxmlformats.org/officeDocument/2006/relationships/hyperlink" Target="https://utrucking.com/admin/orders/5904080044220" TargetMode="External"/><Relationship Id="rId98" Type="http://schemas.openxmlformats.org/officeDocument/2006/relationships/hyperlink" Target="https://utrucking.com/admin/orders/5903995863228" TargetMode="External"/><Relationship Id="rId91" Type="http://schemas.openxmlformats.org/officeDocument/2006/relationships/hyperlink" Target="https://utrucking.com/admin/orders/5903703638204" TargetMode="External"/><Relationship Id="rId90" Type="http://schemas.openxmlformats.org/officeDocument/2006/relationships/hyperlink" Target="https://utrucking.com/admin/orders/5903657599164" TargetMode="External"/><Relationship Id="rId93" Type="http://schemas.openxmlformats.org/officeDocument/2006/relationships/hyperlink" Target="https://utrucking.com/admin/orders/5903766323388" TargetMode="External"/><Relationship Id="rId92" Type="http://schemas.openxmlformats.org/officeDocument/2006/relationships/hyperlink" Target="https://utrucking.com/admin/orders/5903737815228" TargetMode="External"/><Relationship Id="rId107" Type="http://schemas.openxmlformats.org/officeDocument/2006/relationships/hyperlink" Target="https://utrucking.com/admin/orders/5904418308284" TargetMode="External"/><Relationship Id="rId106" Type="http://schemas.openxmlformats.org/officeDocument/2006/relationships/hyperlink" Target="https://utrucking.com/admin/orders/5904418308284" TargetMode="External"/><Relationship Id="rId105" Type="http://schemas.openxmlformats.org/officeDocument/2006/relationships/hyperlink" Target="https://utrucking.com/admin/orders/5904407462076" TargetMode="External"/><Relationship Id="rId104" Type="http://schemas.openxmlformats.org/officeDocument/2006/relationships/hyperlink" Target="https://utrucking.com/admin/orders/5904395010236" TargetMode="External"/><Relationship Id="rId109" Type="http://schemas.openxmlformats.org/officeDocument/2006/relationships/hyperlink" Target="https://utrucking.com/admin/orders/5904426336444" TargetMode="External"/><Relationship Id="rId108" Type="http://schemas.openxmlformats.org/officeDocument/2006/relationships/hyperlink" Target="https://utrucking.com/admin/orders/5904420372668" TargetMode="External"/><Relationship Id="rId103" Type="http://schemas.openxmlformats.org/officeDocument/2006/relationships/hyperlink" Target="https://utrucking.com/admin/orders/5904294478012" TargetMode="External"/><Relationship Id="rId102" Type="http://schemas.openxmlformats.org/officeDocument/2006/relationships/hyperlink" Target="https://utrucking.com/admin/orders/5904293560508" TargetMode="External"/><Relationship Id="rId101" Type="http://schemas.openxmlformats.org/officeDocument/2006/relationships/hyperlink" Target="https://utrucking.com/admin/orders/5904210755772" TargetMode="External"/><Relationship Id="rId100" Type="http://schemas.openxmlformats.org/officeDocument/2006/relationships/hyperlink" Target="https://utrucking.com/admin/orders/5904128082108" TargetMode="External"/><Relationship Id="rId129" Type="http://schemas.openxmlformats.org/officeDocument/2006/relationships/drawing" Target="../drawings/drawing2.xml"/><Relationship Id="rId128" Type="http://schemas.openxmlformats.org/officeDocument/2006/relationships/hyperlink" Target="https://utrucking.com/admin/orders/5905232101564" TargetMode="External"/><Relationship Id="rId127" Type="http://schemas.openxmlformats.org/officeDocument/2006/relationships/hyperlink" Target="https://utrucking.com/admin/orders/5905232101564" TargetMode="External"/><Relationship Id="rId126" Type="http://schemas.openxmlformats.org/officeDocument/2006/relationships/hyperlink" Target="https://utrucking.com/admin/orders/5905193992380" TargetMode="External"/><Relationship Id="rId121" Type="http://schemas.openxmlformats.org/officeDocument/2006/relationships/hyperlink" Target="https://utrucking.com/admin/orders/5905010557116" TargetMode="External"/><Relationship Id="rId120" Type="http://schemas.openxmlformats.org/officeDocument/2006/relationships/hyperlink" Target="https://utrucking.com/admin/orders/5905003708604" TargetMode="External"/><Relationship Id="rId125" Type="http://schemas.openxmlformats.org/officeDocument/2006/relationships/hyperlink" Target="https://utrucking.com/admin/orders/5905179443388" TargetMode="External"/><Relationship Id="rId124" Type="http://schemas.openxmlformats.org/officeDocument/2006/relationships/hyperlink" Target="https://utrucking.com/admin/orders/5905059741884" TargetMode="External"/><Relationship Id="rId123" Type="http://schemas.openxmlformats.org/officeDocument/2006/relationships/hyperlink" Target="https://utrucking.com/admin/orders/5905039294652" TargetMode="External"/><Relationship Id="rId122" Type="http://schemas.openxmlformats.org/officeDocument/2006/relationships/hyperlink" Target="https://utrucking.com/admin/orders/5905014063292" TargetMode="External"/><Relationship Id="rId118" Type="http://schemas.openxmlformats.org/officeDocument/2006/relationships/hyperlink" Target="https://utrucking.com/admin/orders/5904985784508" TargetMode="External"/><Relationship Id="rId117" Type="http://schemas.openxmlformats.org/officeDocument/2006/relationships/hyperlink" Target="https://utrucking.com/admin/orders/5904984113340" TargetMode="External"/><Relationship Id="rId116" Type="http://schemas.openxmlformats.org/officeDocument/2006/relationships/hyperlink" Target="https://utrucking.com/admin/orders/5904831086780" TargetMode="External"/><Relationship Id="rId115" Type="http://schemas.openxmlformats.org/officeDocument/2006/relationships/hyperlink" Target="https://utrucking.com/admin/orders/5904591716540" TargetMode="External"/><Relationship Id="rId119" Type="http://schemas.openxmlformats.org/officeDocument/2006/relationships/hyperlink" Target="https://utrucking.com/admin/orders/5904987586748" TargetMode="External"/><Relationship Id="rId110" Type="http://schemas.openxmlformats.org/officeDocument/2006/relationships/hyperlink" Target="https://utrucking.com/admin/orders/5904467624124" TargetMode="External"/><Relationship Id="rId114" Type="http://schemas.openxmlformats.org/officeDocument/2006/relationships/hyperlink" Target="https://utrucking.com/admin/orders/5904587292860" TargetMode="External"/><Relationship Id="rId113" Type="http://schemas.openxmlformats.org/officeDocument/2006/relationships/hyperlink" Target="https://utrucking.com/admin/orders/5904547086524" TargetMode="External"/><Relationship Id="rId112" Type="http://schemas.openxmlformats.org/officeDocument/2006/relationships/hyperlink" Target="https://utrucking.com/admin/orders/5904534667452" TargetMode="External"/><Relationship Id="rId111" Type="http://schemas.openxmlformats.org/officeDocument/2006/relationships/hyperlink" Target="https://utrucking.com/admin/orders/590453466745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utrucking.com/admin/orders/5900755337404" TargetMode="External"/><Relationship Id="rId2" Type="http://schemas.openxmlformats.org/officeDocument/2006/relationships/hyperlink" Target="https://utrucking.com/admin/orders/5900755337404" TargetMode="External"/><Relationship Id="rId3" Type="http://schemas.openxmlformats.org/officeDocument/2006/relationships/drawing" Target="../drawings/drawing3.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s://admin.shopify.com/store/utrucking/orders/5934055063740" TargetMode="External"/><Relationship Id="rId391" Type="http://schemas.openxmlformats.org/officeDocument/2006/relationships/hyperlink" Target="https://utrucking.com/admin/orders/5933913145532" TargetMode="External"/><Relationship Id="rId390" Type="http://schemas.openxmlformats.org/officeDocument/2006/relationships/hyperlink" Target="https://utrucking.com/admin/orders/5933871005884" TargetMode="External"/><Relationship Id="rId1" Type="http://schemas.openxmlformats.org/officeDocument/2006/relationships/hyperlink" Target="https://admin.shopify.com/store/utrucking/orders/5837335822524?link_source=search" TargetMode="External"/><Relationship Id="rId2" Type="http://schemas.openxmlformats.org/officeDocument/2006/relationships/hyperlink" Target="https://utrucking.myshopify.com/admin/orders?query=14235" TargetMode="External"/><Relationship Id="rId3" Type="http://schemas.openxmlformats.org/officeDocument/2006/relationships/hyperlink" Target="https://utrucking.myshopify.com/admin/orders?query=14296" TargetMode="External"/><Relationship Id="rId4" Type="http://schemas.openxmlformats.org/officeDocument/2006/relationships/hyperlink" Target="https://utrucking.myshopify.com/admin/orders?query=14342" TargetMode="External"/><Relationship Id="rId9" Type="http://schemas.openxmlformats.org/officeDocument/2006/relationships/hyperlink" Target="https://utrucking.myshopify.com/admin/orders?query=14938" TargetMode="External"/><Relationship Id="rId385" Type="http://schemas.openxmlformats.org/officeDocument/2006/relationships/hyperlink" Target="https://utrucking.com/admin/orders/5933467107516" TargetMode="External"/><Relationship Id="rId384" Type="http://schemas.openxmlformats.org/officeDocument/2006/relationships/hyperlink" Target="https://utrucking.com/admin/orders/5933465174204" TargetMode="External"/><Relationship Id="rId383" Type="http://schemas.openxmlformats.org/officeDocument/2006/relationships/hyperlink" Target="https://utrucking.com/admin/orders/5933390725308" TargetMode="External"/><Relationship Id="rId382" Type="http://schemas.openxmlformats.org/officeDocument/2006/relationships/hyperlink" Target="https://utrucking.com/admin/orders/5933319225532" TargetMode="External"/><Relationship Id="rId5" Type="http://schemas.openxmlformats.org/officeDocument/2006/relationships/hyperlink" Target="https://utrucking.myshopify.com/admin/orders?query=14366" TargetMode="External"/><Relationship Id="rId389" Type="http://schemas.openxmlformats.org/officeDocument/2006/relationships/hyperlink" Target="https://utrucking.com/admin/orders/5933868679356" TargetMode="External"/><Relationship Id="rId6" Type="http://schemas.openxmlformats.org/officeDocument/2006/relationships/hyperlink" Target="https://utrucking.myshopify.com/admin/orders?query=14589" TargetMode="External"/><Relationship Id="rId388" Type="http://schemas.openxmlformats.org/officeDocument/2006/relationships/hyperlink" Target="https://utrucking.com/admin/orders/5933699039420" TargetMode="External"/><Relationship Id="rId7" Type="http://schemas.openxmlformats.org/officeDocument/2006/relationships/hyperlink" Target="https://utrucking.myshopify.com/admin/orders?query=14740" TargetMode="External"/><Relationship Id="rId387" Type="http://schemas.openxmlformats.org/officeDocument/2006/relationships/hyperlink" Target="https://utrucking.com/admin/orders/5933547487420" TargetMode="External"/><Relationship Id="rId8" Type="http://schemas.openxmlformats.org/officeDocument/2006/relationships/hyperlink" Target="https://utrucking.myshopify.com/admin/orders?query=14927" TargetMode="External"/><Relationship Id="rId386" Type="http://schemas.openxmlformats.org/officeDocument/2006/relationships/hyperlink" Target="https://utrucking.com/admin/orders/5933475922108" TargetMode="External"/><Relationship Id="rId381" Type="http://schemas.openxmlformats.org/officeDocument/2006/relationships/hyperlink" Target="https://utrucking.com/admin/orders/5933205815484" TargetMode="External"/><Relationship Id="rId380" Type="http://schemas.openxmlformats.org/officeDocument/2006/relationships/hyperlink" Target="https://utrucking.com/admin/orders/5933181108412" TargetMode="External"/><Relationship Id="rId379" Type="http://schemas.openxmlformats.org/officeDocument/2006/relationships/hyperlink" Target="https://utrucking.com/admin/orders/5933127631036" TargetMode="External"/><Relationship Id="rId374" Type="http://schemas.openxmlformats.org/officeDocument/2006/relationships/hyperlink" Target="https://utrucking.com/admin/orders/5931926061244" TargetMode="External"/><Relationship Id="rId373" Type="http://schemas.openxmlformats.org/officeDocument/2006/relationships/hyperlink" Target="https://utrucking.com/admin/orders/5931833458876" TargetMode="External"/><Relationship Id="rId372" Type="http://schemas.openxmlformats.org/officeDocument/2006/relationships/hyperlink" Target="https://utrucking.com/admin/orders/5931808751804" TargetMode="External"/><Relationship Id="rId371" Type="http://schemas.openxmlformats.org/officeDocument/2006/relationships/hyperlink" Target="https://utrucking.com/admin/orders/5931720245436" TargetMode="External"/><Relationship Id="rId378" Type="http://schemas.openxmlformats.org/officeDocument/2006/relationships/hyperlink" Target="https://utrucking.com/admin/orders/5932882493628" TargetMode="External"/><Relationship Id="rId377" Type="http://schemas.openxmlformats.org/officeDocument/2006/relationships/hyperlink" Target="https://utrucking.com/admin/orders/5932828229820" TargetMode="External"/><Relationship Id="rId376" Type="http://schemas.openxmlformats.org/officeDocument/2006/relationships/hyperlink" Target="https://utrucking.com/admin/orders/5932772950204" TargetMode="External"/><Relationship Id="rId375" Type="http://schemas.openxmlformats.org/officeDocument/2006/relationships/hyperlink" Target="https://utrucking.com/admin/orders/5932198625468" TargetMode="External"/><Relationship Id="rId396" Type="http://schemas.openxmlformats.org/officeDocument/2006/relationships/hyperlink" Target="https://utrucking.com/admin/orders/5934423867580" TargetMode="External"/><Relationship Id="rId395" Type="http://schemas.openxmlformats.org/officeDocument/2006/relationships/hyperlink" Target="https://utrucking.com/admin/orders/5934212251836" TargetMode="External"/><Relationship Id="rId394" Type="http://schemas.openxmlformats.org/officeDocument/2006/relationships/hyperlink" Target="https://utrucking.com/admin/orders/5934204846268" TargetMode="External"/><Relationship Id="rId393" Type="http://schemas.openxmlformats.org/officeDocument/2006/relationships/hyperlink" Target="https://utrucking.com/admin/orders/5934197375164" TargetMode="External"/><Relationship Id="rId399" Type="http://schemas.openxmlformats.org/officeDocument/2006/relationships/hyperlink" Target="https://utrucking.com/admin/orders/5934532264124" TargetMode="External"/><Relationship Id="rId398" Type="http://schemas.openxmlformats.org/officeDocument/2006/relationships/hyperlink" Target="https://utrucking.com/admin/orders/5934502903996" TargetMode="External"/><Relationship Id="rId397" Type="http://schemas.openxmlformats.org/officeDocument/2006/relationships/hyperlink" Target="https://utrucking.com/admin/orders/5934480752828" TargetMode="External"/><Relationship Id="rId40" Type="http://schemas.openxmlformats.org/officeDocument/2006/relationships/hyperlink" Target="https://utrucking.myshopify.com/admin/orders?query=15138" TargetMode="External"/><Relationship Id="rId42" Type="http://schemas.openxmlformats.org/officeDocument/2006/relationships/hyperlink" Target="https://utrucking.myshopify.com/admin/orders?query=15140" TargetMode="External"/><Relationship Id="rId41" Type="http://schemas.openxmlformats.org/officeDocument/2006/relationships/hyperlink" Target="https://utrucking.myshopify.com/admin/orders?query=15139" TargetMode="External"/><Relationship Id="rId44" Type="http://schemas.openxmlformats.org/officeDocument/2006/relationships/hyperlink" Target="https://utrucking.myshopify.com/admin/orders?query=15143" TargetMode="External"/><Relationship Id="rId43" Type="http://schemas.openxmlformats.org/officeDocument/2006/relationships/hyperlink" Target="https://utrucking.myshopify.com/admin/orders?query=15142" TargetMode="External"/><Relationship Id="rId46" Type="http://schemas.openxmlformats.org/officeDocument/2006/relationships/hyperlink" Target="https://utrucking.myshopify.com/admin/orders?query=15157" TargetMode="External"/><Relationship Id="rId45" Type="http://schemas.openxmlformats.org/officeDocument/2006/relationships/hyperlink" Target="https://utrucking.myshopify.com/admin/orders?query=15145" TargetMode="External"/><Relationship Id="rId48" Type="http://schemas.openxmlformats.org/officeDocument/2006/relationships/hyperlink" Target="https://utrucking.myshopify.com/admin/orders?query=15160" TargetMode="External"/><Relationship Id="rId47" Type="http://schemas.openxmlformats.org/officeDocument/2006/relationships/hyperlink" Target="https://utrucking.myshopify.com/admin/orders?query=15159" TargetMode="External"/><Relationship Id="rId49" Type="http://schemas.openxmlformats.org/officeDocument/2006/relationships/hyperlink" Target="https://utrucking.myshopify.com/admin/orders?query=15164" TargetMode="External"/><Relationship Id="rId31" Type="http://schemas.openxmlformats.org/officeDocument/2006/relationships/hyperlink" Target="https://utrucking.myshopify.com/admin/orders?query=15120" TargetMode="External"/><Relationship Id="rId30" Type="http://schemas.openxmlformats.org/officeDocument/2006/relationships/hyperlink" Target="https://utrucking.myshopify.com/admin/orders?query=15119" TargetMode="External"/><Relationship Id="rId33" Type="http://schemas.openxmlformats.org/officeDocument/2006/relationships/hyperlink" Target="https://utrucking.myshopify.com/admin/orders?query=15124" TargetMode="External"/><Relationship Id="rId32" Type="http://schemas.openxmlformats.org/officeDocument/2006/relationships/hyperlink" Target="https://utrucking.myshopify.com/admin/orders?query=15121" TargetMode="External"/><Relationship Id="rId35" Type="http://schemas.openxmlformats.org/officeDocument/2006/relationships/hyperlink" Target="https://utrucking.myshopify.com/admin/orders?query=15130" TargetMode="External"/><Relationship Id="rId34" Type="http://schemas.openxmlformats.org/officeDocument/2006/relationships/hyperlink" Target="https://utrucking.myshopify.com/admin/orders?query=15128" TargetMode="External"/><Relationship Id="rId37" Type="http://schemas.openxmlformats.org/officeDocument/2006/relationships/hyperlink" Target="https://utrucking.myshopify.com/admin/orders?query=15133" TargetMode="External"/><Relationship Id="rId36" Type="http://schemas.openxmlformats.org/officeDocument/2006/relationships/hyperlink" Target="https://utrucking.myshopify.com/admin/orders?query=15132" TargetMode="External"/><Relationship Id="rId39" Type="http://schemas.openxmlformats.org/officeDocument/2006/relationships/hyperlink" Target="https://utrucking.myshopify.com/admin/orders?query=15136" TargetMode="External"/><Relationship Id="rId38" Type="http://schemas.openxmlformats.org/officeDocument/2006/relationships/hyperlink" Target="https://utrucking.myshopify.com/admin/orders?query=15135" TargetMode="External"/><Relationship Id="rId20" Type="http://schemas.openxmlformats.org/officeDocument/2006/relationships/hyperlink" Target="https://utrucking.myshopify.com/admin/orders?query=15060" TargetMode="External"/><Relationship Id="rId22" Type="http://schemas.openxmlformats.org/officeDocument/2006/relationships/hyperlink" Target="https://utrucking.myshopify.com/admin/orders?query=15081" TargetMode="External"/><Relationship Id="rId21" Type="http://schemas.openxmlformats.org/officeDocument/2006/relationships/hyperlink" Target="https://admin.shopify.com/store/utrucking/orders/5865974038716?link_source=search" TargetMode="External"/><Relationship Id="rId24" Type="http://schemas.openxmlformats.org/officeDocument/2006/relationships/hyperlink" Target="https://utrucking.myshopify.com/admin/orders?query=15085" TargetMode="External"/><Relationship Id="rId23" Type="http://schemas.openxmlformats.org/officeDocument/2006/relationships/hyperlink" Target="https://utrucking.myshopify.com/admin/orders?query=15084" TargetMode="External"/><Relationship Id="rId26" Type="http://schemas.openxmlformats.org/officeDocument/2006/relationships/hyperlink" Target="https://utrucking.myshopify.com/admin/orders?query=15095" TargetMode="External"/><Relationship Id="rId25" Type="http://schemas.openxmlformats.org/officeDocument/2006/relationships/hyperlink" Target="https://utrucking.myshopify.com/admin/orders?query=15092" TargetMode="External"/><Relationship Id="rId28" Type="http://schemas.openxmlformats.org/officeDocument/2006/relationships/hyperlink" Target="https://utrucking.myshopify.com/admin/orders?query=15109" TargetMode="External"/><Relationship Id="rId27" Type="http://schemas.openxmlformats.org/officeDocument/2006/relationships/hyperlink" Target="https://utrucking.myshopify.com/admin/orders?query=15101" TargetMode="External"/><Relationship Id="rId29" Type="http://schemas.openxmlformats.org/officeDocument/2006/relationships/hyperlink" Target="https://utrucking.myshopify.com/admin/orders?query=15110" TargetMode="External"/><Relationship Id="rId11" Type="http://schemas.openxmlformats.org/officeDocument/2006/relationships/hyperlink" Target="https://utrucking.myshopify.com/admin/orders?query=14994" TargetMode="External"/><Relationship Id="rId10" Type="http://schemas.openxmlformats.org/officeDocument/2006/relationships/hyperlink" Target="https://utrucking.myshopify.com/admin/orders?query=14978" TargetMode="External"/><Relationship Id="rId13" Type="http://schemas.openxmlformats.org/officeDocument/2006/relationships/hyperlink" Target="https://utrucking.myshopify.com/admin/orders?query=15023" TargetMode="External"/><Relationship Id="rId12" Type="http://schemas.openxmlformats.org/officeDocument/2006/relationships/hyperlink" Target="https://utrucking.myshopify.com/admin/orders?query=14999" TargetMode="External"/><Relationship Id="rId15" Type="http://schemas.openxmlformats.org/officeDocument/2006/relationships/hyperlink" Target="https://utrucking.myshopify.com/admin/orders?query=15030" TargetMode="External"/><Relationship Id="rId14" Type="http://schemas.openxmlformats.org/officeDocument/2006/relationships/hyperlink" Target="https://utrucking.myshopify.com/admin/orders?query=15025" TargetMode="External"/><Relationship Id="rId17" Type="http://schemas.openxmlformats.org/officeDocument/2006/relationships/hyperlink" Target="https://utrucking.myshopify.com/admin/orders?query=15041" TargetMode="External"/><Relationship Id="rId16" Type="http://schemas.openxmlformats.org/officeDocument/2006/relationships/hyperlink" Target="https://utrucking.myshopify.com/admin/orders?query=15037" TargetMode="External"/><Relationship Id="rId19" Type="http://schemas.openxmlformats.org/officeDocument/2006/relationships/hyperlink" Target="https://utrucking.myshopify.com/admin/orders?query=15055" TargetMode="External"/><Relationship Id="rId18" Type="http://schemas.openxmlformats.org/officeDocument/2006/relationships/hyperlink" Target="https://utrucking.myshopify.com/admin/orders?query=15054" TargetMode="External"/><Relationship Id="rId84" Type="http://schemas.openxmlformats.org/officeDocument/2006/relationships/hyperlink" Target="https://utrucking.com/admin/orders/5900006424764" TargetMode="External"/><Relationship Id="rId83" Type="http://schemas.openxmlformats.org/officeDocument/2006/relationships/hyperlink" Target="https://utrucking.com/admin/orders/5899837145276" TargetMode="External"/><Relationship Id="rId86" Type="http://schemas.openxmlformats.org/officeDocument/2006/relationships/hyperlink" Target="https://utrucking.com/admin/orders/5900083265724" TargetMode="External"/><Relationship Id="rId85" Type="http://schemas.openxmlformats.org/officeDocument/2006/relationships/hyperlink" Target="https://utrucking.com/admin/orders/5900080283836" TargetMode="External"/><Relationship Id="rId88" Type="http://schemas.openxmlformats.org/officeDocument/2006/relationships/hyperlink" Target="https://utrucking.com/admin/orders/5900186910908" TargetMode="External"/><Relationship Id="rId87" Type="http://schemas.openxmlformats.org/officeDocument/2006/relationships/hyperlink" Target="https://admin.shopify.com/store/utrucking/orders/5900167545020?link_source=search" TargetMode="External"/><Relationship Id="rId89" Type="http://schemas.openxmlformats.org/officeDocument/2006/relationships/hyperlink" Target="https://utrucking.com/admin/orders/5900228886716" TargetMode="External"/><Relationship Id="rId80" Type="http://schemas.openxmlformats.org/officeDocument/2006/relationships/hyperlink" Target="https://utrucking.com/admin/orders/5899398512828" TargetMode="External"/><Relationship Id="rId82" Type="http://schemas.openxmlformats.org/officeDocument/2006/relationships/hyperlink" Target="https://utrucking.com/admin/orders/5899791564988" TargetMode="External"/><Relationship Id="rId81" Type="http://schemas.openxmlformats.org/officeDocument/2006/relationships/hyperlink" Target="https://utrucking.com/admin/orders/5899755684028" TargetMode="External"/><Relationship Id="rId73" Type="http://schemas.openxmlformats.org/officeDocument/2006/relationships/hyperlink" Target="https://utrucking.com/admin/orders/5898525311164" TargetMode="External"/><Relationship Id="rId72" Type="http://schemas.openxmlformats.org/officeDocument/2006/relationships/hyperlink" Target="https://utrucking.com/admin/orders/5898283614396" TargetMode="External"/><Relationship Id="rId75" Type="http://schemas.openxmlformats.org/officeDocument/2006/relationships/hyperlink" Target="https://utrucking.com/admin/orders/5899120771260" TargetMode="External"/><Relationship Id="rId74" Type="http://schemas.openxmlformats.org/officeDocument/2006/relationships/hyperlink" Target="https://utrucking.com/admin/orders/5898994155708" TargetMode="External"/><Relationship Id="rId77" Type="http://schemas.openxmlformats.org/officeDocument/2006/relationships/hyperlink" Target="https://utrucking.com/admin/orders/5899278713020" TargetMode="External"/><Relationship Id="rId76" Type="http://schemas.openxmlformats.org/officeDocument/2006/relationships/hyperlink" Target="https://admin.shopify.com/store/utrucking/orders/5899173920956?link_source=search" TargetMode="External"/><Relationship Id="rId79" Type="http://schemas.openxmlformats.org/officeDocument/2006/relationships/hyperlink" Target="https://utrucking.com/admin/orders/5899380981948" TargetMode="External"/><Relationship Id="rId78" Type="http://schemas.openxmlformats.org/officeDocument/2006/relationships/hyperlink" Target="https://utrucking.com/admin/orders/5899375313084" TargetMode="External"/><Relationship Id="rId71" Type="http://schemas.openxmlformats.org/officeDocument/2006/relationships/hyperlink" Target="https://admin.shopify.com/store/utrucking/orders/5898180362428?link_source=search" TargetMode="External"/><Relationship Id="rId70" Type="http://schemas.openxmlformats.org/officeDocument/2006/relationships/hyperlink" Target="https://admin.shopify.com/store/utrucking/orders/5898082549948?link_source=search" TargetMode="External"/><Relationship Id="rId62" Type="http://schemas.openxmlformats.org/officeDocument/2006/relationships/hyperlink" Target="https://utrucking.myshopify.com/admin/orders?query=15201" TargetMode="External"/><Relationship Id="rId61" Type="http://schemas.openxmlformats.org/officeDocument/2006/relationships/hyperlink" Target="https://utrucking.myshopify.com/admin/orders?query=15199" TargetMode="External"/><Relationship Id="rId64" Type="http://schemas.openxmlformats.org/officeDocument/2006/relationships/hyperlink" Target="https://utrucking.myshopify.com/admin/orders?query=15205" TargetMode="External"/><Relationship Id="rId63" Type="http://schemas.openxmlformats.org/officeDocument/2006/relationships/hyperlink" Target="https://utrucking.myshopify.com/admin/orders?query=15203" TargetMode="External"/><Relationship Id="rId66" Type="http://schemas.openxmlformats.org/officeDocument/2006/relationships/hyperlink" Target="https://utrucking.myshopify.com/admin/orders?query=15215" TargetMode="External"/><Relationship Id="rId65" Type="http://schemas.openxmlformats.org/officeDocument/2006/relationships/hyperlink" Target="https://utrucking.myshopify.com/admin/orders?query=15209" TargetMode="External"/><Relationship Id="rId68" Type="http://schemas.openxmlformats.org/officeDocument/2006/relationships/hyperlink" Target="https://admin.shopify.com/store/utrucking/orders/5897718857916?link_source=search" TargetMode="External"/><Relationship Id="rId67" Type="http://schemas.openxmlformats.org/officeDocument/2006/relationships/hyperlink" Target="https://utrucking.com/admin/orders/5897705062588" TargetMode="External"/><Relationship Id="rId60" Type="http://schemas.openxmlformats.org/officeDocument/2006/relationships/hyperlink" Target="https://utrucking.myshopify.com/admin/orders?query=15198" TargetMode="External"/><Relationship Id="rId69" Type="http://schemas.openxmlformats.org/officeDocument/2006/relationships/hyperlink" Target="https://admin.shopify.com/store/utrucking/orders/5898022682812?link_source=search" TargetMode="External"/><Relationship Id="rId51" Type="http://schemas.openxmlformats.org/officeDocument/2006/relationships/hyperlink" Target="https://utrucking.myshopify.com/admin/orders?query=15171" TargetMode="External"/><Relationship Id="rId50" Type="http://schemas.openxmlformats.org/officeDocument/2006/relationships/hyperlink" Target="https://utrucking.myshopify.com/admin/orders?query=15166" TargetMode="External"/><Relationship Id="rId53" Type="http://schemas.openxmlformats.org/officeDocument/2006/relationships/hyperlink" Target="https://utrucking.myshopify.com/admin/orders?query=15178" TargetMode="External"/><Relationship Id="rId52" Type="http://schemas.openxmlformats.org/officeDocument/2006/relationships/hyperlink" Target="https://utrucking.myshopify.com/admin/orders?query=15175" TargetMode="External"/><Relationship Id="rId55" Type="http://schemas.openxmlformats.org/officeDocument/2006/relationships/hyperlink" Target="https://utrucking.myshopify.com/admin/orders?query=15185" TargetMode="External"/><Relationship Id="rId54" Type="http://schemas.openxmlformats.org/officeDocument/2006/relationships/hyperlink" Target="https://utrucking.myshopify.com/admin/orders?query=15182" TargetMode="External"/><Relationship Id="rId57" Type="http://schemas.openxmlformats.org/officeDocument/2006/relationships/hyperlink" Target="https://utrucking.myshopify.com/admin/orders?query=15189" TargetMode="External"/><Relationship Id="rId56" Type="http://schemas.openxmlformats.org/officeDocument/2006/relationships/hyperlink" Target="https://utrucking.myshopify.com/admin/orders?query=15186" TargetMode="External"/><Relationship Id="rId59" Type="http://schemas.openxmlformats.org/officeDocument/2006/relationships/hyperlink" Target="https://utrucking.myshopify.com/admin/orders?query=15196" TargetMode="External"/><Relationship Id="rId58" Type="http://schemas.openxmlformats.org/officeDocument/2006/relationships/hyperlink" Target="https://utrucking.myshopify.com/admin/orders?query=15190" TargetMode="External"/><Relationship Id="rId349" Type="http://schemas.openxmlformats.org/officeDocument/2006/relationships/hyperlink" Target="https://utrucking.com/admin/orders/5928624488636" TargetMode="External"/><Relationship Id="rId348" Type="http://schemas.openxmlformats.org/officeDocument/2006/relationships/hyperlink" Target="https://utrucking.com/admin/orders/5928622096572" TargetMode="External"/><Relationship Id="rId347" Type="http://schemas.openxmlformats.org/officeDocument/2006/relationships/hyperlink" Target="https://utrucking.com/admin/orders/5928585363644" TargetMode="External"/><Relationship Id="rId346" Type="http://schemas.openxmlformats.org/officeDocument/2006/relationships/hyperlink" Target="https://utrucking.com/admin/orders/5928560263356" TargetMode="External"/><Relationship Id="rId341" Type="http://schemas.openxmlformats.org/officeDocument/2006/relationships/hyperlink" Target="https://utrucking.com/admin/orders/5928277082300" TargetMode="External"/><Relationship Id="rId340" Type="http://schemas.openxmlformats.org/officeDocument/2006/relationships/hyperlink" Target="https://utrucking.com/admin/orders/5928183267516" TargetMode="External"/><Relationship Id="rId345" Type="http://schemas.openxmlformats.org/officeDocument/2006/relationships/hyperlink" Target="https://utrucking.com/admin/orders/5928536899772" TargetMode="External"/><Relationship Id="rId344" Type="http://schemas.openxmlformats.org/officeDocument/2006/relationships/hyperlink" Target="https://utrucking.com/admin/orders/5928518975676" TargetMode="External"/><Relationship Id="rId343" Type="http://schemas.openxmlformats.org/officeDocument/2006/relationships/hyperlink" Target="https://utrucking.com/admin/orders/5928373027004" TargetMode="External"/><Relationship Id="rId342" Type="http://schemas.openxmlformats.org/officeDocument/2006/relationships/hyperlink" Target="https://utrucking.com/admin/orders/5928315584700" TargetMode="External"/><Relationship Id="rId338" Type="http://schemas.openxmlformats.org/officeDocument/2006/relationships/hyperlink" Target="https://utrucking.com/admin/orders/5928079851708" TargetMode="External"/><Relationship Id="rId337" Type="http://schemas.openxmlformats.org/officeDocument/2006/relationships/hyperlink" Target="https://utrucking.com/admin/orders/5927984038076" TargetMode="External"/><Relationship Id="rId336" Type="http://schemas.openxmlformats.org/officeDocument/2006/relationships/hyperlink" Target="https://utrucking.com/admin/orders/5927972012220" TargetMode="External"/><Relationship Id="rId335" Type="http://schemas.openxmlformats.org/officeDocument/2006/relationships/hyperlink" Target="https://utrucking.com/admin/orders/5927919517884" TargetMode="External"/><Relationship Id="rId339" Type="http://schemas.openxmlformats.org/officeDocument/2006/relationships/hyperlink" Target="https://utrucking.com/admin/orders/5928140341436" TargetMode="External"/><Relationship Id="rId330" Type="http://schemas.openxmlformats.org/officeDocument/2006/relationships/hyperlink" Target="https://utrucking.com/admin/orders/5927748403388" TargetMode="External"/><Relationship Id="rId334" Type="http://schemas.openxmlformats.org/officeDocument/2006/relationships/hyperlink" Target="https://utrucking.com/admin/orders/5927898382524" TargetMode="External"/><Relationship Id="rId333" Type="http://schemas.openxmlformats.org/officeDocument/2006/relationships/hyperlink" Target="https://utrucking.com/admin/orders/5927860764860" TargetMode="External"/><Relationship Id="rId332" Type="http://schemas.openxmlformats.org/officeDocument/2006/relationships/hyperlink" Target="https://utrucking.com/admin/orders/5927793033404" TargetMode="External"/><Relationship Id="rId331" Type="http://schemas.openxmlformats.org/officeDocument/2006/relationships/hyperlink" Target="https://utrucking.com/admin/orders/5927778386108" TargetMode="External"/><Relationship Id="rId370" Type="http://schemas.openxmlformats.org/officeDocument/2006/relationships/hyperlink" Target="https://utrucking.com/admin/orders/5931665621180" TargetMode="External"/><Relationship Id="rId369" Type="http://schemas.openxmlformats.org/officeDocument/2006/relationships/hyperlink" Target="https://utrucking.com/admin/orders/5931579244732" TargetMode="External"/><Relationship Id="rId368" Type="http://schemas.openxmlformats.org/officeDocument/2006/relationships/hyperlink" Target="https://utrucking.com/admin/orders/5931570364604" TargetMode="External"/><Relationship Id="rId363" Type="http://schemas.openxmlformats.org/officeDocument/2006/relationships/hyperlink" Target="https://utrucking.com/admin/orders/5929817997500" TargetMode="External"/><Relationship Id="rId362" Type="http://schemas.openxmlformats.org/officeDocument/2006/relationships/hyperlink" Target="https://utrucking.com/admin/orders/5929782116540" TargetMode="External"/><Relationship Id="rId361" Type="http://schemas.openxmlformats.org/officeDocument/2006/relationships/hyperlink" Target="https://utrucking.com/admin/orders/5929729097916" TargetMode="External"/><Relationship Id="rId360" Type="http://schemas.openxmlformats.org/officeDocument/2006/relationships/hyperlink" Target="https://utrucking.com/admin/orders/5929268904124" TargetMode="External"/><Relationship Id="rId367" Type="http://schemas.openxmlformats.org/officeDocument/2006/relationships/hyperlink" Target="https://utrucking.com/admin/orders/5930966024380" TargetMode="External"/><Relationship Id="rId366" Type="http://schemas.openxmlformats.org/officeDocument/2006/relationships/hyperlink" Target="https://utrucking.com/admin/orders/5930894950588" TargetMode="External"/><Relationship Id="rId365" Type="http://schemas.openxmlformats.org/officeDocument/2006/relationships/hyperlink" Target="https://utrucking.com/admin/orders/5930598465724" TargetMode="External"/><Relationship Id="rId364" Type="http://schemas.openxmlformats.org/officeDocument/2006/relationships/hyperlink" Target="https://utrucking.com/admin/orders/5929886941372" TargetMode="External"/><Relationship Id="rId95" Type="http://schemas.openxmlformats.org/officeDocument/2006/relationships/hyperlink" Target="https://utrucking.com/admin/orders/5900867436732" TargetMode="External"/><Relationship Id="rId94" Type="http://schemas.openxmlformats.org/officeDocument/2006/relationships/hyperlink" Target="https://utrucking.com/admin/orders/5900791414972" TargetMode="External"/><Relationship Id="rId97" Type="http://schemas.openxmlformats.org/officeDocument/2006/relationships/hyperlink" Target="https://utrucking.com/admin/orders/5900996706492" TargetMode="External"/><Relationship Id="rId96" Type="http://schemas.openxmlformats.org/officeDocument/2006/relationships/hyperlink" Target="https://utrucking.com/admin/orders/5900954435772" TargetMode="External"/><Relationship Id="rId99" Type="http://schemas.openxmlformats.org/officeDocument/2006/relationships/hyperlink" Target="https://utrucking.com/admin/orders/5901173391548" TargetMode="External"/><Relationship Id="rId98" Type="http://schemas.openxmlformats.org/officeDocument/2006/relationships/hyperlink" Target="https://utrucking.com/admin/orders/5901001392316" TargetMode="External"/><Relationship Id="rId91" Type="http://schemas.openxmlformats.org/officeDocument/2006/relationships/hyperlink" Target="https://utrucking.com/admin/orders/5900318474428" TargetMode="External"/><Relationship Id="rId90" Type="http://schemas.openxmlformats.org/officeDocument/2006/relationships/hyperlink" Target="https://utrucking.com/admin/orders/5900316573884" TargetMode="External"/><Relationship Id="rId93" Type="http://schemas.openxmlformats.org/officeDocument/2006/relationships/hyperlink" Target="https://utrucking.com/admin/orders/5900705693884" TargetMode="External"/><Relationship Id="rId92" Type="http://schemas.openxmlformats.org/officeDocument/2006/relationships/hyperlink" Target="https://utrucking.com/admin/orders/5900653166780" TargetMode="External"/><Relationship Id="rId359" Type="http://schemas.openxmlformats.org/officeDocument/2006/relationships/hyperlink" Target="https://utrucking.com/admin/orders/5929221882044" TargetMode="External"/><Relationship Id="rId358" Type="http://schemas.openxmlformats.org/officeDocument/2006/relationships/hyperlink" Target="https://utrucking.com/admin/orders/5929131540668" TargetMode="External"/><Relationship Id="rId357" Type="http://schemas.openxmlformats.org/officeDocument/2006/relationships/hyperlink" Target="https://utrucking.com/admin/orders/5929128624316" TargetMode="External"/><Relationship Id="rId352" Type="http://schemas.openxmlformats.org/officeDocument/2006/relationships/hyperlink" Target="https://utrucking.com/admin/orders/5928692809916" TargetMode="External"/><Relationship Id="rId351" Type="http://schemas.openxmlformats.org/officeDocument/2006/relationships/hyperlink" Target="https://utrucking.com/admin/orders/5928678195388" TargetMode="External"/><Relationship Id="rId350" Type="http://schemas.openxmlformats.org/officeDocument/2006/relationships/hyperlink" Target="https://utrucking.com/admin/orders/5928670920892" TargetMode="External"/><Relationship Id="rId356" Type="http://schemas.openxmlformats.org/officeDocument/2006/relationships/hyperlink" Target="https://utrucking.com/admin/orders/5929051029692" TargetMode="External"/><Relationship Id="rId355" Type="http://schemas.openxmlformats.org/officeDocument/2006/relationships/hyperlink" Target="https://utrucking.com/admin/orders/5928978088124" TargetMode="External"/><Relationship Id="rId354" Type="http://schemas.openxmlformats.org/officeDocument/2006/relationships/hyperlink" Target="https://utrucking.com/admin/orders/5928970944700" TargetMode="External"/><Relationship Id="rId353" Type="http://schemas.openxmlformats.org/officeDocument/2006/relationships/hyperlink" Target="https://utrucking.com/admin/orders/5928894595260" TargetMode="External"/><Relationship Id="rId305" Type="http://schemas.openxmlformats.org/officeDocument/2006/relationships/hyperlink" Target="https://utrucking.com/admin/orders/5924987863228" TargetMode="External"/><Relationship Id="rId304" Type="http://schemas.openxmlformats.org/officeDocument/2006/relationships/hyperlink" Target="https://admin.shopify.com/store/utrucking/orders/5924774183100?link_source=search" TargetMode="External"/><Relationship Id="rId303" Type="http://schemas.openxmlformats.org/officeDocument/2006/relationships/hyperlink" Target="https://utrucking.com/admin/orders/5924767858876" TargetMode="External"/><Relationship Id="rId302" Type="http://schemas.openxmlformats.org/officeDocument/2006/relationships/hyperlink" Target="https://utrucking.com/admin/orders/5924665393340" TargetMode="External"/><Relationship Id="rId309" Type="http://schemas.openxmlformats.org/officeDocument/2006/relationships/hyperlink" Target="https://utrucking.com/admin/orders/5925828395196" TargetMode="External"/><Relationship Id="rId308" Type="http://schemas.openxmlformats.org/officeDocument/2006/relationships/hyperlink" Target="https://utrucking.com/admin/orders/5925714428092" TargetMode="External"/><Relationship Id="rId307" Type="http://schemas.openxmlformats.org/officeDocument/2006/relationships/hyperlink" Target="https://utrucking.com/admin/orders/5925443272892" TargetMode="External"/><Relationship Id="rId306" Type="http://schemas.openxmlformats.org/officeDocument/2006/relationships/hyperlink" Target="https://utrucking.com/admin/orders/5925081645244" TargetMode="External"/><Relationship Id="rId301" Type="http://schemas.openxmlformats.org/officeDocument/2006/relationships/hyperlink" Target="https://utrucking.com/admin/orders/5924654219452" TargetMode="External"/><Relationship Id="rId300" Type="http://schemas.openxmlformats.org/officeDocument/2006/relationships/hyperlink" Target="https://utrucking.com/admin/orders/5924651368636" TargetMode="External"/><Relationship Id="rId327" Type="http://schemas.openxmlformats.org/officeDocument/2006/relationships/hyperlink" Target="https://utrucking.com/admin/orders/5927371178172" TargetMode="External"/><Relationship Id="rId326" Type="http://schemas.openxmlformats.org/officeDocument/2006/relationships/hyperlink" Target="https://utrucking.com/admin/orders/5927275364540" TargetMode="External"/><Relationship Id="rId325" Type="http://schemas.openxmlformats.org/officeDocument/2006/relationships/hyperlink" Target="https://utrucking.com/admin/orders/5927203733692" TargetMode="External"/><Relationship Id="rId324" Type="http://schemas.openxmlformats.org/officeDocument/2006/relationships/hyperlink" Target="https://utrucking.com/admin/orders/5927151698108" TargetMode="External"/><Relationship Id="rId329" Type="http://schemas.openxmlformats.org/officeDocument/2006/relationships/hyperlink" Target="https://utrucking.com/admin/orders/5927710228668" TargetMode="External"/><Relationship Id="rId328" Type="http://schemas.openxmlformats.org/officeDocument/2006/relationships/hyperlink" Target="https://utrucking.com/admin/orders/5927404667068" TargetMode="External"/><Relationship Id="rId323" Type="http://schemas.openxmlformats.org/officeDocument/2006/relationships/hyperlink" Target="https://utrucking.com/admin/orders/5927064076476" TargetMode="External"/><Relationship Id="rId322" Type="http://schemas.openxmlformats.org/officeDocument/2006/relationships/hyperlink" Target="https://utrucking.com/admin/orders/5927023411388" TargetMode="External"/><Relationship Id="rId321" Type="http://schemas.openxmlformats.org/officeDocument/2006/relationships/hyperlink" Target="https://utrucking.com/admin/orders/5926845219004" TargetMode="External"/><Relationship Id="rId320" Type="http://schemas.openxmlformats.org/officeDocument/2006/relationships/hyperlink" Target="https://utrucking.com/admin/orders/5926790135996" TargetMode="External"/><Relationship Id="rId316" Type="http://schemas.openxmlformats.org/officeDocument/2006/relationships/hyperlink" Target="https://utrucking.com/admin/orders/5926336561340" TargetMode="External"/><Relationship Id="rId315" Type="http://schemas.openxmlformats.org/officeDocument/2006/relationships/hyperlink" Target="https://utrucking.com/admin/orders/5926262669500" TargetMode="External"/><Relationship Id="rId314" Type="http://schemas.openxmlformats.org/officeDocument/2006/relationships/hyperlink" Target="https://utrucking.com/admin/orders/5926260441276" TargetMode="External"/><Relationship Id="rId313" Type="http://schemas.openxmlformats.org/officeDocument/2006/relationships/hyperlink" Target="https://utrucking.com/admin/orders/5926257426620" TargetMode="External"/><Relationship Id="rId319" Type="http://schemas.openxmlformats.org/officeDocument/2006/relationships/hyperlink" Target="https://utrucking.com/admin/orders/5926645399740" TargetMode="External"/><Relationship Id="rId318" Type="http://schemas.openxmlformats.org/officeDocument/2006/relationships/hyperlink" Target="https://utrucking.com/admin/orders/5926606045372" TargetMode="External"/><Relationship Id="rId317" Type="http://schemas.openxmlformats.org/officeDocument/2006/relationships/hyperlink" Target="https://utrucking.com/admin/orders/5926378242236" TargetMode="External"/><Relationship Id="rId312" Type="http://schemas.openxmlformats.org/officeDocument/2006/relationships/hyperlink" Target="https://utrucking.com/admin/orders/5926104137916" TargetMode="External"/><Relationship Id="rId311" Type="http://schemas.openxmlformats.org/officeDocument/2006/relationships/hyperlink" Target="https://utrucking.com/admin/orders/5925898715324" TargetMode="External"/><Relationship Id="rId310" Type="http://schemas.openxmlformats.org/officeDocument/2006/relationships/hyperlink" Target="https://utrucking.com/admin/orders/5925890654396" TargetMode="External"/><Relationship Id="rId297" Type="http://schemas.openxmlformats.org/officeDocument/2006/relationships/hyperlink" Target="https://utrucking.com/admin/orders/5924249075900" TargetMode="External"/><Relationship Id="rId296" Type="http://schemas.openxmlformats.org/officeDocument/2006/relationships/hyperlink" Target="https://utrucking.com/admin/orders/5923753394364" TargetMode="External"/><Relationship Id="rId295" Type="http://schemas.openxmlformats.org/officeDocument/2006/relationships/hyperlink" Target="https://utrucking.com/admin/orders/5923603218620" TargetMode="External"/><Relationship Id="rId294" Type="http://schemas.openxmlformats.org/officeDocument/2006/relationships/hyperlink" Target="https://utrucking.com/admin/orders/5923507994812" TargetMode="External"/><Relationship Id="rId299" Type="http://schemas.openxmlformats.org/officeDocument/2006/relationships/hyperlink" Target="https://utrucking.com/admin/orders/5924362223804" TargetMode="External"/><Relationship Id="rId298" Type="http://schemas.openxmlformats.org/officeDocument/2006/relationships/hyperlink" Target="https://utrucking.com/admin/orders/5924302618812" TargetMode="External"/><Relationship Id="rId271" Type="http://schemas.openxmlformats.org/officeDocument/2006/relationships/hyperlink" Target="https://utrucking.com/admin/orders/5920599048380" TargetMode="External"/><Relationship Id="rId270" Type="http://schemas.openxmlformats.org/officeDocument/2006/relationships/hyperlink" Target="https://utrucking.com/admin/orders/5920583844028" TargetMode="External"/><Relationship Id="rId269" Type="http://schemas.openxmlformats.org/officeDocument/2006/relationships/hyperlink" Target="https://utrucking.com/admin/orders/5920521322684" TargetMode="External"/><Relationship Id="rId264" Type="http://schemas.openxmlformats.org/officeDocument/2006/relationships/hyperlink" Target="https://utrucking.com/admin/orders/5920466632892" TargetMode="External"/><Relationship Id="rId263" Type="http://schemas.openxmlformats.org/officeDocument/2006/relationships/hyperlink" Target="https://utrucking.com/admin/orders/5920461422780" TargetMode="External"/><Relationship Id="rId262" Type="http://schemas.openxmlformats.org/officeDocument/2006/relationships/hyperlink" Target="https://utrucking.com/admin/orders/5920409256124" TargetMode="External"/><Relationship Id="rId261" Type="http://schemas.openxmlformats.org/officeDocument/2006/relationships/hyperlink" Target="https://utrucking.com/admin/orders/5920399720636" TargetMode="External"/><Relationship Id="rId268" Type="http://schemas.openxmlformats.org/officeDocument/2006/relationships/hyperlink" Target="https://utrucking.com/admin/orders/5920519520444" TargetMode="External"/><Relationship Id="rId267" Type="http://schemas.openxmlformats.org/officeDocument/2006/relationships/hyperlink" Target="https://utrucking.com/admin/orders/5920476496060" TargetMode="External"/><Relationship Id="rId266" Type="http://schemas.openxmlformats.org/officeDocument/2006/relationships/hyperlink" Target="https://utrucking.com/admin/orders/5920471974076" TargetMode="External"/><Relationship Id="rId265" Type="http://schemas.openxmlformats.org/officeDocument/2006/relationships/hyperlink" Target="https://utrucking.com/admin/orders/5920467321020" TargetMode="External"/><Relationship Id="rId260" Type="http://schemas.openxmlformats.org/officeDocument/2006/relationships/hyperlink" Target="https://utrucking.com/admin/orders/5920399458492" TargetMode="External"/><Relationship Id="rId259" Type="http://schemas.openxmlformats.org/officeDocument/2006/relationships/hyperlink" Target="https://utrucking.com/admin/orders/5920397787324" TargetMode="External"/><Relationship Id="rId258" Type="http://schemas.openxmlformats.org/officeDocument/2006/relationships/hyperlink" Target="https://utrucking.com/admin/orders/5920389333180" TargetMode="External"/><Relationship Id="rId253" Type="http://schemas.openxmlformats.org/officeDocument/2006/relationships/hyperlink" Target="https://utrucking.com/admin/orders/5920121061564" TargetMode="External"/><Relationship Id="rId252" Type="http://schemas.openxmlformats.org/officeDocument/2006/relationships/hyperlink" Target="https://utrucking.com/admin/orders/5919977734332" TargetMode="External"/><Relationship Id="rId251" Type="http://schemas.openxmlformats.org/officeDocument/2006/relationships/hyperlink" Target="https://utrucking.com/admin/orders/5919858819260" TargetMode="External"/><Relationship Id="rId250" Type="http://schemas.openxmlformats.org/officeDocument/2006/relationships/hyperlink" Target="https://utrucking.com/admin/orders/5919827067068" TargetMode="External"/><Relationship Id="rId257" Type="http://schemas.openxmlformats.org/officeDocument/2006/relationships/hyperlink" Target="https://utrucking.com/admin/orders/5920379306172" TargetMode="External"/><Relationship Id="rId256" Type="http://schemas.openxmlformats.org/officeDocument/2006/relationships/hyperlink" Target="https://utrucking.com/admin/orders/5920355352764" TargetMode="External"/><Relationship Id="rId255" Type="http://schemas.openxmlformats.org/officeDocument/2006/relationships/hyperlink" Target="https://utrucking.com/admin/orders/5920336150716" TargetMode="External"/><Relationship Id="rId254" Type="http://schemas.openxmlformats.org/officeDocument/2006/relationships/hyperlink" Target="https://utrucking.com/admin/orders/5920223396028" TargetMode="External"/><Relationship Id="rId293" Type="http://schemas.openxmlformats.org/officeDocument/2006/relationships/hyperlink" Target="https://utrucking.com/admin/orders/5923500523708" TargetMode="External"/><Relationship Id="rId292" Type="http://schemas.openxmlformats.org/officeDocument/2006/relationships/hyperlink" Target="https://utrucking.com/admin/orders/5923113631932" TargetMode="External"/><Relationship Id="rId291" Type="http://schemas.openxmlformats.org/officeDocument/2006/relationships/hyperlink" Target="https://utrucking.com/admin/orders/5922991374524" TargetMode="External"/><Relationship Id="rId290" Type="http://schemas.openxmlformats.org/officeDocument/2006/relationships/hyperlink" Target="https://utrucking.com/admin/orders/5922526003388" TargetMode="External"/><Relationship Id="rId286" Type="http://schemas.openxmlformats.org/officeDocument/2006/relationships/hyperlink" Target="https://utrucking.com/admin/orders/5921775517884" TargetMode="External"/><Relationship Id="rId285" Type="http://schemas.openxmlformats.org/officeDocument/2006/relationships/hyperlink" Target="https://utrucking.com/admin/orders/5921682751676" TargetMode="External"/><Relationship Id="rId284" Type="http://schemas.openxmlformats.org/officeDocument/2006/relationships/hyperlink" Target="https://utrucking.com/admin/orders/5921608007868" TargetMode="External"/><Relationship Id="rId283" Type="http://schemas.openxmlformats.org/officeDocument/2006/relationships/hyperlink" Target="https://utrucking.com/admin/orders/5921546830012" TargetMode="External"/><Relationship Id="rId289" Type="http://schemas.openxmlformats.org/officeDocument/2006/relationships/hyperlink" Target="https://utrucking.com/admin/orders/5922052047036" TargetMode="External"/><Relationship Id="rId288" Type="http://schemas.openxmlformats.org/officeDocument/2006/relationships/hyperlink" Target="https://utrucking.com/admin/orders/5921909014716" TargetMode="External"/><Relationship Id="rId287" Type="http://schemas.openxmlformats.org/officeDocument/2006/relationships/hyperlink" Target="https://utrucking.com/admin/orders/5921863958716" TargetMode="External"/><Relationship Id="rId282" Type="http://schemas.openxmlformats.org/officeDocument/2006/relationships/hyperlink" Target="https://utrucking.com/admin/orders/5921302380732" TargetMode="External"/><Relationship Id="rId281" Type="http://schemas.openxmlformats.org/officeDocument/2006/relationships/hyperlink" Target="https://utrucking.com/admin/orders/5921157152956" TargetMode="External"/><Relationship Id="rId280" Type="http://schemas.openxmlformats.org/officeDocument/2006/relationships/hyperlink" Target="https://utrucking.com/admin/orders/5921014251708" TargetMode="External"/><Relationship Id="rId275" Type="http://schemas.openxmlformats.org/officeDocument/2006/relationships/hyperlink" Target="https://utrucking.com/admin/orders/5920740737212" TargetMode="External"/><Relationship Id="rId274" Type="http://schemas.openxmlformats.org/officeDocument/2006/relationships/hyperlink" Target="https://utrucking.com/admin/orders/5920720814268" TargetMode="External"/><Relationship Id="rId273" Type="http://schemas.openxmlformats.org/officeDocument/2006/relationships/hyperlink" Target="https://utrucking.com/admin/orders/5920708657340" TargetMode="External"/><Relationship Id="rId272" Type="http://schemas.openxmlformats.org/officeDocument/2006/relationships/hyperlink" Target="https://utrucking.com/admin/orders/5920622969020" TargetMode="External"/><Relationship Id="rId279" Type="http://schemas.openxmlformats.org/officeDocument/2006/relationships/hyperlink" Target="https://utrucking.com/admin/orders/5920933347516" TargetMode="External"/><Relationship Id="rId278" Type="http://schemas.openxmlformats.org/officeDocument/2006/relationships/hyperlink" Target="https://utrucking.com/admin/orders/5920887079100" TargetMode="External"/><Relationship Id="rId277" Type="http://schemas.openxmlformats.org/officeDocument/2006/relationships/hyperlink" Target="https://utrucking.com/admin/orders/5920861094076" TargetMode="External"/><Relationship Id="rId276" Type="http://schemas.openxmlformats.org/officeDocument/2006/relationships/hyperlink" Target="https://utrucking.com/admin/orders/5920853000380" TargetMode="External"/><Relationship Id="rId228" Type="http://schemas.openxmlformats.org/officeDocument/2006/relationships/hyperlink" Target="https://utrucking.com/admin/orders/5916872278204" TargetMode="External"/><Relationship Id="rId227" Type="http://schemas.openxmlformats.org/officeDocument/2006/relationships/hyperlink" Target="https://utrucking.com/admin/orders/5916825682108" TargetMode="External"/><Relationship Id="rId226" Type="http://schemas.openxmlformats.org/officeDocument/2006/relationships/hyperlink" Target="https://utrucking.com/admin/orders/5916647817404" TargetMode="External"/><Relationship Id="rId225" Type="http://schemas.openxmlformats.org/officeDocument/2006/relationships/hyperlink" Target="https://utrucking.com/admin/orders/5916524052668" TargetMode="External"/><Relationship Id="rId229" Type="http://schemas.openxmlformats.org/officeDocument/2006/relationships/hyperlink" Target="https://utrucking.com/admin/orders/5916998828220" TargetMode="External"/><Relationship Id="rId220" Type="http://schemas.openxmlformats.org/officeDocument/2006/relationships/hyperlink" Target="https://utrucking.com/admin/orders/5916015460540" TargetMode="External"/><Relationship Id="rId224" Type="http://schemas.openxmlformats.org/officeDocument/2006/relationships/hyperlink" Target="https://utrucking.com/admin/orders/5916500328636" TargetMode="External"/><Relationship Id="rId223" Type="http://schemas.openxmlformats.org/officeDocument/2006/relationships/hyperlink" Target="https://utrucking.com/admin/orders/5916494397628" TargetMode="External"/><Relationship Id="rId222" Type="http://schemas.openxmlformats.org/officeDocument/2006/relationships/hyperlink" Target="https://utrucking.com/admin/orders/5916470149308" TargetMode="External"/><Relationship Id="rId221" Type="http://schemas.openxmlformats.org/officeDocument/2006/relationships/hyperlink" Target="https://utrucking.com/admin/orders/5916229828796" TargetMode="External"/><Relationship Id="rId217" Type="http://schemas.openxmlformats.org/officeDocument/2006/relationships/hyperlink" Target="https://utrucking.com/admin/orders/5915952251068" TargetMode="External"/><Relationship Id="rId216" Type="http://schemas.openxmlformats.org/officeDocument/2006/relationships/hyperlink" Target="https://utrucking.com/admin/orders/5915629420732" TargetMode="External"/><Relationship Id="rId215" Type="http://schemas.openxmlformats.org/officeDocument/2006/relationships/hyperlink" Target="https://utrucking.com/admin/orders/5915607466172" TargetMode="External"/><Relationship Id="rId214" Type="http://schemas.openxmlformats.org/officeDocument/2006/relationships/hyperlink" Target="https://utrucking.com/admin/orders/5915474591932" TargetMode="External"/><Relationship Id="rId219" Type="http://schemas.openxmlformats.org/officeDocument/2006/relationships/hyperlink" Target="https://utrucking.com/admin/orders/5915981709500" TargetMode="External"/><Relationship Id="rId218" Type="http://schemas.openxmlformats.org/officeDocument/2006/relationships/hyperlink" Target="https://utrucking.com/admin/orders/5915976532156" TargetMode="External"/><Relationship Id="rId213" Type="http://schemas.openxmlformats.org/officeDocument/2006/relationships/hyperlink" Target="https://utrucking.com/admin/orders/5915401093308" TargetMode="External"/><Relationship Id="rId212" Type="http://schemas.openxmlformats.org/officeDocument/2006/relationships/hyperlink" Target="https://utrucking.com/admin/orders/5915374059708" TargetMode="External"/><Relationship Id="rId211" Type="http://schemas.openxmlformats.org/officeDocument/2006/relationships/hyperlink" Target="https://utrucking.com/admin/orders/5914966720700" TargetMode="External"/><Relationship Id="rId210" Type="http://schemas.openxmlformats.org/officeDocument/2006/relationships/hyperlink" Target="https://utrucking.com/admin/orders/5914937557180" TargetMode="External"/><Relationship Id="rId249" Type="http://schemas.openxmlformats.org/officeDocument/2006/relationships/hyperlink" Target="https://utrucking.com/admin/orders/5919797117116" TargetMode="External"/><Relationship Id="rId248" Type="http://schemas.openxmlformats.org/officeDocument/2006/relationships/hyperlink" Target="https://utrucking.com/admin/orders/5919784960188" TargetMode="External"/><Relationship Id="rId247" Type="http://schemas.openxmlformats.org/officeDocument/2006/relationships/hyperlink" Target="https://utrucking.com/admin/orders/5919741542588" TargetMode="External"/><Relationship Id="rId242" Type="http://schemas.openxmlformats.org/officeDocument/2006/relationships/hyperlink" Target="https://utrucking.com/admin/orders/5919334006972" TargetMode="External"/><Relationship Id="rId241" Type="http://schemas.openxmlformats.org/officeDocument/2006/relationships/hyperlink" Target="https://utrucking.com/admin/orders/5919321030844" TargetMode="External"/><Relationship Id="rId240" Type="http://schemas.openxmlformats.org/officeDocument/2006/relationships/hyperlink" Target="https://utrucking.com/admin/orders/5919285477564" TargetMode="External"/><Relationship Id="rId246" Type="http://schemas.openxmlformats.org/officeDocument/2006/relationships/hyperlink" Target="https://utrucking.com/admin/orders/5919673581756" TargetMode="External"/><Relationship Id="rId245" Type="http://schemas.openxmlformats.org/officeDocument/2006/relationships/hyperlink" Target="https://utrucking.com/admin/orders/5919661588668" TargetMode="External"/><Relationship Id="rId244" Type="http://schemas.openxmlformats.org/officeDocument/2006/relationships/hyperlink" Target="https://utrucking.com/admin/orders/5919454396604" TargetMode="External"/><Relationship Id="rId243" Type="http://schemas.openxmlformats.org/officeDocument/2006/relationships/hyperlink" Target="https://utrucking.com/admin/orders/5919444533436" TargetMode="External"/><Relationship Id="rId239" Type="http://schemas.openxmlformats.org/officeDocument/2006/relationships/hyperlink" Target="https://utrucking.com/admin/orders/5919028281532" TargetMode="External"/><Relationship Id="rId238" Type="http://schemas.openxmlformats.org/officeDocument/2006/relationships/hyperlink" Target="https://utrucking.com/admin/orders/5918668325052" TargetMode="External"/><Relationship Id="rId237" Type="http://schemas.openxmlformats.org/officeDocument/2006/relationships/hyperlink" Target="https://utrucking.com/admin/orders/5918543937724" TargetMode="External"/><Relationship Id="rId236" Type="http://schemas.openxmlformats.org/officeDocument/2006/relationships/hyperlink" Target="https://utrucking.com/admin/orders/5918383702204" TargetMode="External"/><Relationship Id="rId231" Type="http://schemas.openxmlformats.org/officeDocument/2006/relationships/hyperlink" Target="https://utrucking.com/admin/orders/5917531046076" TargetMode="External"/><Relationship Id="rId230" Type="http://schemas.openxmlformats.org/officeDocument/2006/relationships/hyperlink" Target="https://utrucking.com/admin/orders/5917350133948" TargetMode="External"/><Relationship Id="rId235" Type="http://schemas.openxmlformats.org/officeDocument/2006/relationships/hyperlink" Target="https://utrucking.com/admin/orders/5917957750972" TargetMode="External"/><Relationship Id="rId234" Type="http://schemas.openxmlformats.org/officeDocument/2006/relationships/hyperlink" Target="https://utrucking.com/admin/orders/5917899358396" TargetMode="External"/><Relationship Id="rId233" Type="http://schemas.openxmlformats.org/officeDocument/2006/relationships/hyperlink" Target="https://utrucking.com/admin/orders/5917734895804" TargetMode="External"/><Relationship Id="rId232" Type="http://schemas.openxmlformats.org/officeDocument/2006/relationships/hyperlink" Target="https://utrucking.com/admin/orders/5917557293244" TargetMode="External"/><Relationship Id="rId206" Type="http://schemas.openxmlformats.org/officeDocument/2006/relationships/hyperlink" Target="https://utrucking.com/admin/orders/5914749075644" TargetMode="External"/><Relationship Id="rId205" Type="http://schemas.openxmlformats.org/officeDocument/2006/relationships/hyperlink" Target="https://utrucking.com/admin/orders/5914193658044" TargetMode="External"/><Relationship Id="rId204" Type="http://schemas.openxmlformats.org/officeDocument/2006/relationships/hyperlink" Target="https://utrucking.com/admin/orders/5914111443132" TargetMode="External"/><Relationship Id="rId203" Type="http://schemas.openxmlformats.org/officeDocument/2006/relationships/hyperlink" Target="https://utrucking.com/admin/orders/5914007077052" TargetMode="External"/><Relationship Id="rId209" Type="http://schemas.openxmlformats.org/officeDocument/2006/relationships/hyperlink" Target="https://utrucking.com/admin/orders/5914907672764" TargetMode="External"/><Relationship Id="rId208" Type="http://schemas.openxmlformats.org/officeDocument/2006/relationships/hyperlink" Target="https://utrucking.com/admin/orders/5914838499516" TargetMode="External"/><Relationship Id="rId207" Type="http://schemas.openxmlformats.org/officeDocument/2006/relationships/hyperlink" Target="https://utrucking.com/admin/orders/5914749599932" TargetMode="External"/><Relationship Id="rId202" Type="http://schemas.openxmlformats.org/officeDocument/2006/relationships/hyperlink" Target="https://utrucking.com/admin/orders/5914002882748" TargetMode="External"/><Relationship Id="rId201" Type="http://schemas.openxmlformats.org/officeDocument/2006/relationships/hyperlink" Target="https://utrucking.com/admin/orders/5913963430076" TargetMode="External"/><Relationship Id="rId200" Type="http://schemas.openxmlformats.org/officeDocument/2006/relationships/hyperlink" Target="https://utrucking.com/admin/orders/5913895895228" TargetMode="External"/><Relationship Id="rId190" Type="http://schemas.openxmlformats.org/officeDocument/2006/relationships/hyperlink" Target="https://utrucking.com/admin/orders/5913199378620" TargetMode="External"/><Relationship Id="rId194" Type="http://schemas.openxmlformats.org/officeDocument/2006/relationships/hyperlink" Target="https://utrucking.com/admin/orders/5913480036540" TargetMode="External"/><Relationship Id="rId193" Type="http://schemas.openxmlformats.org/officeDocument/2006/relationships/hyperlink" Target="https://utrucking.com/admin/orders/5913464275132" TargetMode="External"/><Relationship Id="rId192" Type="http://schemas.openxmlformats.org/officeDocument/2006/relationships/hyperlink" Target="https://utrucking.com/admin/orders/5913239617724" TargetMode="External"/><Relationship Id="rId191" Type="http://schemas.openxmlformats.org/officeDocument/2006/relationships/hyperlink" Target="https://utrucking.com/admin/orders/5913234997436" TargetMode="External"/><Relationship Id="rId187" Type="http://schemas.openxmlformats.org/officeDocument/2006/relationships/hyperlink" Target="https://utrucking.com/admin/orders/5913136070844" TargetMode="External"/><Relationship Id="rId186" Type="http://schemas.openxmlformats.org/officeDocument/2006/relationships/hyperlink" Target="https://utrucking.com/admin/orders/5913106383036" TargetMode="External"/><Relationship Id="rId185" Type="http://schemas.openxmlformats.org/officeDocument/2006/relationships/hyperlink" Target="https://utrucking.com/admin/orders/5913060278460" TargetMode="External"/><Relationship Id="rId184" Type="http://schemas.openxmlformats.org/officeDocument/2006/relationships/hyperlink" Target="https://utrucking.com/admin/orders/5913049956540" TargetMode="External"/><Relationship Id="rId189" Type="http://schemas.openxmlformats.org/officeDocument/2006/relationships/hyperlink" Target="https://utrucking.com/admin/orders/5913198919868" TargetMode="External"/><Relationship Id="rId188" Type="http://schemas.openxmlformats.org/officeDocument/2006/relationships/hyperlink" Target="https://utrucking.com/admin/orders/5913185059004" TargetMode="External"/><Relationship Id="rId183" Type="http://schemas.openxmlformats.org/officeDocument/2006/relationships/hyperlink" Target="https://utrucking.com/admin/orders/5913046876348" TargetMode="External"/><Relationship Id="rId182" Type="http://schemas.openxmlformats.org/officeDocument/2006/relationships/hyperlink" Target="https://utrucking.com/admin/orders/5913003589820" TargetMode="External"/><Relationship Id="rId181" Type="http://schemas.openxmlformats.org/officeDocument/2006/relationships/hyperlink" Target="https://utrucking.com/admin/orders/5912971149500" TargetMode="External"/><Relationship Id="rId180" Type="http://schemas.openxmlformats.org/officeDocument/2006/relationships/hyperlink" Target="https://utrucking.com/admin/orders/5912928977084" TargetMode="External"/><Relationship Id="rId176" Type="http://schemas.openxmlformats.org/officeDocument/2006/relationships/hyperlink" Target="https://utrucking.com/admin/orders/5912846434492" TargetMode="External"/><Relationship Id="rId175" Type="http://schemas.openxmlformats.org/officeDocument/2006/relationships/hyperlink" Target="https://utrucking.com/admin/orders/5912840241340" TargetMode="External"/><Relationship Id="rId174" Type="http://schemas.openxmlformats.org/officeDocument/2006/relationships/hyperlink" Target="https://utrucking.com/admin/orders/5912781619388" TargetMode="External"/><Relationship Id="rId173" Type="http://schemas.openxmlformats.org/officeDocument/2006/relationships/hyperlink" Target="https://utrucking.com/admin/orders/5912751374524" TargetMode="External"/><Relationship Id="rId179" Type="http://schemas.openxmlformats.org/officeDocument/2006/relationships/hyperlink" Target="https://utrucking.com/admin/orders/5912909938876" TargetMode="External"/><Relationship Id="rId178" Type="http://schemas.openxmlformats.org/officeDocument/2006/relationships/hyperlink" Target="https://utrucking.com/admin/orders/5912872681660" TargetMode="External"/><Relationship Id="rId177" Type="http://schemas.openxmlformats.org/officeDocument/2006/relationships/hyperlink" Target="https://utrucking.com/admin/orders/5912857051324" TargetMode="External"/><Relationship Id="rId198" Type="http://schemas.openxmlformats.org/officeDocument/2006/relationships/hyperlink" Target="https://utrucking.com/admin/orders/5913773834428" TargetMode="External"/><Relationship Id="rId197" Type="http://schemas.openxmlformats.org/officeDocument/2006/relationships/hyperlink" Target="https://utrucking.com/admin/orders/5913703874748" TargetMode="External"/><Relationship Id="rId196" Type="http://schemas.openxmlformats.org/officeDocument/2006/relationships/hyperlink" Target="https://utrucking.com/admin/orders/5913703743676" TargetMode="External"/><Relationship Id="rId195" Type="http://schemas.openxmlformats.org/officeDocument/2006/relationships/hyperlink" Target="https://utrucking.com/admin/orders/5913535152316" TargetMode="External"/><Relationship Id="rId199" Type="http://schemas.openxmlformats.org/officeDocument/2006/relationships/hyperlink" Target="https://utrucking.com/admin/orders/5913893208252" TargetMode="External"/><Relationship Id="rId150" Type="http://schemas.openxmlformats.org/officeDocument/2006/relationships/hyperlink" Target="https://utrucking.com/admin/orders/5908809744572" TargetMode="External"/><Relationship Id="rId149" Type="http://schemas.openxmlformats.org/officeDocument/2006/relationships/hyperlink" Target="https://utrucking.com/admin/orders/5908555563196" TargetMode="External"/><Relationship Id="rId148" Type="http://schemas.openxmlformats.org/officeDocument/2006/relationships/hyperlink" Target="https://utrucking.com/admin/orders/5908460110012" TargetMode="External"/><Relationship Id="rId143" Type="http://schemas.openxmlformats.org/officeDocument/2006/relationships/hyperlink" Target="https://utrucking.com/admin/orders/5908109590716" TargetMode="External"/><Relationship Id="rId142" Type="http://schemas.openxmlformats.org/officeDocument/2006/relationships/hyperlink" Target="https://utrucking.com/admin/orders/5908046151868" TargetMode="External"/><Relationship Id="rId141" Type="http://schemas.openxmlformats.org/officeDocument/2006/relationships/hyperlink" Target="https://utrucking.com/admin/orders/5907799376060" TargetMode="External"/><Relationship Id="rId140" Type="http://schemas.openxmlformats.org/officeDocument/2006/relationships/hyperlink" Target="https://utrucking.com/admin/orders/5907449217212" TargetMode="External"/><Relationship Id="rId147" Type="http://schemas.openxmlformats.org/officeDocument/2006/relationships/hyperlink" Target="https://utrucking.com/admin/orders/5908437074108" TargetMode="External"/><Relationship Id="rId146" Type="http://schemas.openxmlformats.org/officeDocument/2006/relationships/hyperlink" Target="https://utrucking.com/admin/orders/5908329562300" TargetMode="External"/><Relationship Id="rId145" Type="http://schemas.openxmlformats.org/officeDocument/2006/relationships/hyperlink" Target="https://utrucking.com/admin/orders/5908287520956" TargetMode="External"/><Relationship Id="rId144" Type="http://schemas.openxmlformats.org/officeDocument/2006/relationships/hyperlink" Target="https://utrucking.com/admin/orders/5908173914300" TargetMode="External"/><Relationship Id="rId139" Type="http://schemas.openxmlformats.org/officeDocument/2006/relationships/hyperlink" Target="https://utrucking.com/admin/orders/5907449315516" TargetMode="External"/><Relationship Id="rId138" Type="http://schemas.openxmlformats.org/officeDocument/2006/relationships/hyperlink" Target="https://utrucking.com/admin/orders/5907264864444" TargetMode="External"/><Relationship Id="rId137" Type="http://schemas.openxmlformats.org/officeDocument/2006/relationships/hyperlink" Target="https://utrucking.com/admin/orders/5907253657788" TargetMode="External"/><Relationship Id="rId132" Type="http://schemas.openxmlformats.org/officeDocument/2006/relationships/hyperlink" Target="https://utrucking.com/admin/orders/5905421828284" TargetMode="External"/><Relationship Id="rId131" Type="http://schemas.openxmlformats.org/officeDocument/2006/relationships/hyperlink" Target="https://utrucking.com/admin/orders/5905367040188" TargetMode="External"/><Relationship Id="rId130" Type="http://schemas.openxmlformats.org/officeDocument/2006/relationships/hyperlink" Target="https://utrucking.com/admin/orders/5905275650236" TargetMode="External"/><Relationship Id="rId136" Type="http://schemas.openxmlformats.org/officeDocument/2006/relationships/hyperlink" Target="https://utrucking.com/admin/orders/5906081415356" TargetMode="External"/><Relationship Id="rId135" Type="http://schemas.openxmlformats.org/officeDocument/2006/relationships/hyperlink" Target="https://utrucking.com/admin/orders/5905941233852" TargetMode="External"/><Relationship Id="rId134" Type="http://schemas.openxmlformats.org/officeDocument/2006/relationships/hyperlink" Target="https://utrucking.com/admin/orders/5905513021628" TargetMode="External"/><Relationship Id="rId133" Type="http://schemas.openxmlformats.org/officeDocument/2006/relationships/hyperlink" Target="https://utrucking.com/admin/orders/5905502994620" TargetMode="External"/><Relationship Id="rId172" Type="http://schemas.openxmlformats.org/officeDocument/2006/relationships/hyperlink" Target="https://utrucking.com/admin/orders/5912701665468" TargetMode="External"/><Relationship Id="rId171" Type="http://schemas.openxmlformats.org/officeDocument/2006/relationships/hyperlink" Target="https://utrucking.com/admin/orders/5912289312956" TargetMode="External"/><Relationship Id="rId170" Type="http://schemas.openxmlformats.org/officeDocument/2006/relationships/hyperlink" Target="https://utrucking.com/admin/orders/5912254415036" TargetMode="External"/><Relationship Id="rId165" Type="http://schemas.openxmlformats.org/officeDocument/2006/relationships/hyperlink" Target="https://utrucking.com/admin/orders/5910979575996" TargetMode="External"/><Relationship Id="rId164" Type="http://schemas.openxmlformats.org/officeDocument/2006/relationships/hyperlink" Target="https://utrucking.com/admin/orders/5910883696828" TargetMode="External"/><Relationship Id="rId163" Type="http://schemas.openxmlformats.org/officeDocument/2006/relationships/hyperlink" Target="https://utrucking.com/admin/orders/5910867214524" TargetMode="External"/><Relationship Id="rId162" Type="http://schemas.openxmlformats.org/officeDocument/2006/relationships/hyperlink" Target="https://utrucking.com/admin/orders/5910825861308" TargetMode="External"/><Relationship Id="rId169" Type="http://schemas.openxmlformats.org/officeDocument/2006/relationships/hyperlink" Target="https://utrucking.com/admin/orders/5912200741052" TargetMode="External"/><Relationship Id="rId168" Type="http://schemas.openxmlformats.org/officeDocument/2006/relationships/hyperlink" Target="https://utrucking.com/admin/orders/5912198021308" TargetMode="External"/><Relationship Id="rId167" Type="http://schemas.openxmlformats.org/officeDocument/2006/relationships/hyperlink" Target="https://utrucking.com/admin/orders/5912154210492" TargetMode="External"/><Relationship Id="rId166" Type="http://schemas.openxmlformats.org/officeDocument/2006/relationships/hyperlink" Target="https://utrucking.com/admin/orders/5912113217724" TargetMode="External"/><Relationship Id="rId161" Type="http://schemas.openxmlformats.org/officeDocument/2006/relationships/hyperlink" Target="https://utrucking.com/admin/orders/5910613754044" TargetMode="External"/><Relationship Id="rId160" Type="http://schemas.openxmlformats.org/officeDocument/2006/relationships/hyperlink" Target="https://utrucking.com/admin/orders/5910561423548" TargetMode="External"/><Relationship Id="rId159" Type="http://schemas.openxmlformats.org/officeDocument/2006/relationships/hyperlink" Target="https://utrucking.com/admin/orders/5910527967420" TargetMode="External"/><Relationship Id="rId154" Type="http://schemas.openxmlformats.org/officeDocument/2006/relationships/hyperlink" Target="https://utrucking.com/admin/orders/5909911666876" TargetMode="External"/><Relationship Id="rId153" Type="http://schemas.openxmlformats.org/officeDocument/2006/relationships/hyperlink" Target="https://utrucking.com/admin/orders/5909536637116" TargetMode="External"/><Relationship Id="rId152" Type="http://schemas.openxmlformats.org/officeDocument/2006/relationships/hyperlink" Target="https://utrucking.com/admin/orders/5909102887100" TargetMode="External"/><Relationship Id="rId151" Type="http://schemas.openxmlformats.org/officeDocument/2006/relationships/hyperlink" Target="https://utrucking.com/admin/orders/5909061697724" TargetMode="External"/><Relationship Id="rId158" Type="http://schemas.openxmlformats.org/officeDocument/2006/relationships/hyperlink" Target="https://utrucking.com/admin/orders/5910192029884" TargetMode="External"/><Relationship Id="rId157" Type="http://schemas.openxmlformats.org/officeDocument/2006/relationships/hyperlink" Target="https://utrucking.com/admin/orders/5910118170812" TargetMode="External"/><Relationship Id="rId156" Type="http://schemas.openxmlformats.org/officeDocument/2006/relationships/hyperlink" Target="https://utrucking.com/admin/orders/5909926314172" TargetMode="External"/><Relationship Id="rId155" Type="http://schemas.openxmlformats.org/officeDocument/2006/relationships/hyperlink" Target="https://utrucking.com/admin/orders/5909917827260" TargetMode="External"/><Relationship Id="rId509" Type="http://schemas.openxmlformats.org/officeDocument/2006/relationships/hyperlink" Target="https://utrucking.com/admin/orders/5945294913724" TargetMode="External"/><Relationship Id="rId508" Type="http://schemas.openxmlformats.org/officeDocument/2006/relationships/hyperlink" Target="https://utrucking.com/admin/orders/5945036210364" TargetMode="External"/><Relationship Id="rId503" Type="http://schemas.openxmlformats.org/officeDocument/2006/relationships/hyperlink" Target="https://utrucking.com/admin/orders/5944167596220" TargetMode="External"/><Relationship Id="rId502" Type="http://schemas.openxmlformats.org/officeDocument/2006/relationships/hyperlink" Target="https://utrucking.com/admin/orders/5944157110460" TargetMode="External"/><Relationship Id="rId501" Type="http://schemas.openxmlformats.org/officeDocument/2006/relationships/hyperlink" Target="https://utrucking.com/admin/orders/5944116183228" TargetMode="External"/><Relationship Id="rId500" Type="http://schemas.openxmlformats.org/officeDocument/2006/relationships/hyperlink" Target="https://utrucking.com/admin/orders/5944030232764" TargetMode="External"/><Relationship Id="rId507" Type="http://schemas.openxmlformats.org/officeDocument/2006/relationships/hyperlink" Target="https://utrucking.com/admin/orders/5944838488252" TargetMode="External"/><Relationship Id="rId506" Type="http://schemas.openxmlformats.org/officeDocument/2006/relationships/hyperlink" Target="https://utrucking.com/admin/orders/5944683004092" TargetMode="External"/><Relationship Id="rId505" Type="http://schemas.openxmlformats.org/officeDocument/2006/relationships/hyperlink" Target="https://utrucking.com/admin/orders/5944488853692" TargetMode="External"/><Relationship Id="rId504" Type="http://schemas.openxmlformats.org/officeDocument/2006/relationships/hyperlink" Target="https://utrucking.com/admin/orders/5944439210172" TargetMode="External"/><Relationship Id="rId525" Type="http://schemas.openxmlformats.org/officeDocument/2006/relationships/hyperlink" Target="https://utrucking.com/admin/orders/5948455092412" TargetMode="External"/><Relationship Id="rId524" Type="http://schemas.openxmlformats.org/officeDocument/2006/relationships/hyperlink" Target="https://utrucking.com/admin/orders/5948361834684" TargetMode="External"/><Relationship Id="rId523" Type="http://schemas.openxmlformats.org/officeDocument/2006/relationships/hyperlink" Target="https://utrucking.com/admin/orders/5948136816828" TargetMode="External"/><Relationship Id="rId522" Type="http://schemas.openxmlformats.org/officeDocument/2006/relationships/hyperlink" Target="https://utrucking.com/admin/orders/5947689926844" TargetMode="External"/><Relationship Id="rId529" Type="http://schemas.openxmlformats.org/officeDocument/2006/relationships/hyperlink" Target="https://utrucking.com/admin/orders/5949053370556" TargetMode="External"/><Relationship Id="rId528" Type="http://schemas.openxmlformats.org/officeDocument/2006/relationships/hyperlink" Target="https://utrucking.com/admin/orders/5949031841980" TargetMode="External"/><Relationship Id="rId527" Type="http://schemas.openxmlformats.org/officeDocument/2006/relationships/hyperlink" Target="https://utrucking.com/admin/orders/5948771958972" TargetMode="External"/><Relationship Id="rId526" Type="http://schemas.openxmlformats.org/officeDocument/2006/relationships/hyperlink" Target="https://utrucking.com/admin/orders/5948585738428" TargetMode="External"/><Relationship Id="rId521" Type="http://schemas.openxmlformats.org/officeDocument/2006/relationships/hyperlink" Target="https://utrucking.com/admin/orders/5947617116348" TargetMode="External"/><Relationship Id="rId520" Type="http://schemas.openxmlformats.org/officeDocument/2006/relationships/hyperlink" Target="https://utrucking.com/admin/orders/5947457667260" TargetMode="External"/><Relationship Id="rId519" Type="http://schemas.openxmlformats.org/officeDocument/2006/relationships/hyperlink" Target="https://utrucking.com/admin/orders/5947420803260" TargetMode="External"/><Relationship Id="rId514" Type="http://schemas.openxmlformats.org/officeDocument/2006/relationships/hyperlink" Target="https://utrucking.com/admin/orders/5946246398140" TargetMode="External"/><Relationship Id="rId513" Type="http://schemas.openxmlformats.org/officeDocument/2006/relationships/hyperlink" Target="https://utrucking.com/admin/orders/5946011648188" TargetMode="External"/><Relationship Id="rId512" Type="http://schemas.openxmlformats.org/officeDocument/2006/relationships/hyperlink" Target="https://utrucking.com/admin/orders/5945868550332" TargetMode="External"/><Relationship Id="rId511" Type="http://schemas.openxmlformats.org/officeDocument/2006/relationships/hyperlink" Target="https://utrucking.com/admin/orders/5945846300860" TargetMode="External"/><Relationship Id="rId518" Type="http://schemas.openxmlformats.org/officeDocument/2006/relationships/hyperlink" Target="https://utrucking.com/admin/orders/5947407630524" TargetMode="External"/><Relationship Id="rId517" Type="http://schemas.openxmlformats.org/officeDocument/2006/relationships/hyperlink" Target="https://utrucking.com/admin/orders/5947036401852" TargetMode="External"/><Relationship Id="rId516" Type="http://schemas.openxmlformats.org/officeDocument/2006/relationships/hyperlink" Target="https://utrucking.com/admin/orders/5946459914428" TargetMode="External"/><Relationship Id="rId515" Type="http://schemas.openxmlformats.org/officeDocument/2006/relationships/hyperlink" Target="https://utrucking.com/admin/orders/5946286047420" TargetMode="External"/><Relationship Id="rId510" Type="http://schemas.openxmlformats.org/officeDocument/2006/relationships/hyperlink" Target="https://utrucking.com/admin/orders/5945713000636" TargetMode="External"/><Relationship Id="rId107" Type="http://schemas.openxmlformats.org/officeDocument/2006/relationships/hyperlink" Target="https://utrucking.com/admin/orders/5902695235772" TargetMode="External"/><Relationship Id="rId106" Type="http://schemas.openxmlformats.org/officeDocument/2006/relationships/hyperlink" Target="https://utrucking.com/admin/orders/5902691008700" TargetMode="External"/><Relationship Id="rId105" Type="http://schemas.openxmlformats.org/officeDocument/2006/relationships/hyperlink" Target="https://utrucking.com/admin/orders/5902278230204" TargetMode="External"/><Relationship Id="rId104" Type="http://schemas.openxmlformats.org/officeDocument/2006/relationships/hyperlink" Target="https://utrucking.com/admin/orders/5902055866556" TargetMode="External"/><Relationship Id="rId109" Type="http://schemas.openxmlformats.org/officeDocument/2006/relationships/hyperlink" Target="https://utrucking.com/admin/orders/5903479177404" TargetMode="External"/><Relationship Id="rId108" Type="http://schemas.openxmlformats.org/officeDocument/2006/relationships/hyperlink" Target="https://utrucking.com/admin/orders/5902817329340" TargetMode="External"/><Relationship Id="rId581" Type="http://schemas.openxmlformats.org/officeDocument/2006/relationships/drawing" Target="../drawings/drawing6.xml"/><Relationship Id="rId580" Type="http://schemas.openxmlformats.org/officeDocument/2006/relationships/hyperlink" Target="https://utrucking.com/admin/orders/6471430308028" TargetMode="External"/><Relationship Id="rId103" Type="http://schemas.openxmlformats.org/officeDocument/2006/relationships/hyperlink" Target="https://utrucking.com/admin/orders/5901819445436" TargetMode="External"/><Relationship Id="rId102" Type="http://schemas.openxmlformats.org/officeDocument/2006/relationships/hyperlink" Target="https://utrucking.com/admin/orders/5901666615484" TargetMode="External"/><Relationship Id="rId101" Type="http://schemas.openxmlformats.org/officeDocument/2006/relationships/hyperlink" Target="https://utrucking.com/admin/orders/5901515456700" TargetMode="External"/><Relationship Id="rId100" Type="http://schemas.openxmlformats.org/officeDocument/2006/relationships/hyperlink" Target="https://utrucking.com/admin/orders/5901478101180" TargetMode="External"/><Relationship Id="rId579" Type="http://schemas.openxmlformats.org/officeDocument/2006/relationships/hyperlink" Target="https://utrucking.com/admin/orders/6464345309372" TargetMode="External"/><Relationship Id="rId578" Type="http://schemas.openxmlformats.org/officeDocument/2006/relationships/hyperlink" Target="https://utrucking.com/admin/orders/6463846318268" TargetMode="External"/><Relationship Id="rId577" Type="http://schemas.openxmlformats.org/officeDocument/2006/relationships/hyperlink" Target="https://utrucking.com/admin/orders/6460561817788" TargetMode="External"/><Relationship Id="rId572" Type="http://schemas.openxmlformats.org/officeDocument/2006/relationships/hyperlink" Target="https://utrucking.com/admin/orders/6353026023612" TargetMode="External"/><Relationship Id="rId571" Type="http://schemas.openxmlformats.org/officeDocument/2006/relationships/hyperlink" Target="https://utrucking.com/admin/orders/6266325303484" TargetMode="External"/><Relationship Id="rId570" Type="http://schemas.openxmlformats.org/officeDocument/2006/relationships/hyperlink" Target="https://utrucking.com/admin/orders/6228440350908" TargetMode="External"/><Relationship Id="rId576" Type="http://schemas.openxmlformats.org/officeDocument/2006/relationships/hyperlink" Target="https://utrucking.com/admin/orders/6460491563196" TargetMode="External"/><Relationship Id="rId575" Type="http://schemas.openxmlformats.org/officeDocument/2006/relationships/hyperlink" Target="https://utrucking.com/admin/orders/6452827455676" TargetMode="External"/><Relationship Id="rId574" Type="http://schemas.openxmlformats.org/officeDocument/2006/relationships/hyperlink" Target="https://utrucking.com/admin/orders/6443226235068" TargetMode="External"/><Relationship Id="rId573" Type="http://schemas.openxmlformats.org/officeDocument/2006/relationships/hyperlink" Target="https://utrucking.com/admin/orders/6413603406012" TargetMode="External"/><Relationship Id="rId129" Type="http://schemas.openxmlformats.org/officeDocument/2006/relationships/hyperlink" Target="https://utrucking.com/admin/orders/5905274142908" TargetMode="External"/><Relationship Id="rId128" Type="http://schemas.openxmlformats.org/officeDocument/2006/relationships/hyperlink" Target="https://utrucking.com/admin/orders/5905254318268" TargetMode="External"/><Relationship Id="rId127" Type="http://schemas.openxmlformats.org/officeDocument/2006/relationships/hyperlink" Target="https://utrucking.com/admin/orders/5905232101564" TargetMode="External"/><Relationship Id="rId126" Type="http://schemas.openxmlformats.org/officeDocument/2006/relationships/hyperlink" Target="https://utrucking.com/admin/orders/5905193992380" TargetMode="External"/><Relationship Id="rId121" Type="http://schemas.openxmlformats.org/officeDocument/2006/relationships/hyperlink" Target="https://utrucking.com/admin/orders/5904587292860" TargetMode="External"/><Relationship Id="rId120" Type="http://schemas.openxmlformats.org/officeDocument/2006/relationships/hyperlink" Target="https://utrucking.com/admin/orders/5904547086524" TargetMode="External"/><Relationship Id="rId125" Type="http://schemas.openxmlformats.org/officeDocument/2006/relationships/hyperlink" Target="https://utrucking.com/admin/orders/5905039294652" TargetMode="External"/><Relationship Id="rId124" Type="http://schemas.openxmlformats.org/officeDocument/2006/relationships/hyperlink" Target="https://utrucking.com/admin/orders/5905010557116" TargetMode="External"/><Relationship Id="rId123" Type="http://schemas.openxmlformats.org/officeDocument/2006/relationships/hyperlink" Target="https://utrucking.com/admin/orders/5904987586748" TargetMode="External"/><Relationship Id="rId122" Type="http://schemas.openxmlformats.org/officeDocument/2006/relationships/hyperlink" Target="https://utrucking.com/admin/orders/5904985784508" TargetMode="External"/><Relationship Id="rId118" Type="http://schemas.openxmlformats.org/officeDocument/2006/relationships/hyperlink" Target="https://utrucking.com/admin/orders/5904420372668" TargetMode="External"/><Relationship Id="rId117" Type="http://schemas.openxmlformats.org/officeDocument/2006/relationships/hyperlink" Target="https://utrucking.com/admin/orders/5904418308284" TargetMode="External"/><Relationship Id="rId116" Type="http://schemas.openxmlformats.org/officeDocument/2006/relationships/hyperlink" Target="https://utrucking.com/admin/orders/5904407462076" TargetMode="External"/><Relationship Id="rId115" Type="http://schemas.openxmlformats.org/officeDocument/2006/relationships/hyperlink" Target="https://utrucking.com/admin/orders/5904294478012" TargetMode="External"/><Relationship Id="rId119" Type="http://schemas.openxmlformats.org/officeDocument/2006/relationships/hyperlink" Target="https://utrucking.com/admin/orders/5904534667452" TargetMode="External"/><Relationship Id="rId110" Type="http://schemas.openxmlformats.org/officeDocument/2006/relationships/hyperlink" Target="https://utrucking.com/admin/orders/5903657599164" TargetMode="External"/><Relationship Id="rId114" Type="http://schemas.openxmlformats.org/officeDocument/2006/relationships/hyperlink" Target="https://utrucking.com/admin/orders/5904293560508" TargetMode="External"/><Relationship Id="rId113" Type="http://schemas.openxmlformats.org/officeDocument/2006/relationships/hyperlink" Target="https://utrucking.com/admin/orders/5904210755772" TargetMode="External"/><Relationship Id="rId112" Type="http://schemas.openxmlformats.org/officeDocument/2006/relationships/hyperlink" Target="https://utrucking.com/admin/orders/5903890022588" TargetMode="External"/><Relationship Id="rId111" Type="http://schemas.openxmlformats.org/officeDocument/2006/relationships/hyperlink" Target="https://utrucking.com/admin/orders/5903780315324" TargetMode="External"/><Relationship Id="rId547" Type="http://schemas.openxmlformats.org/officeDocument/2006/relationships/hyperlink" Target="https://utrucking.com/admin/orders/5951824068796" TargetMode="External"/><Relationship Id="rId546" Type="http://schemas.openxmlformats.org/officeDocument/2006/relationships/hyperlink" Target="https://utrucking.com/admin/orders/5951823544508" TargetMode="External"/><Relationship Id="rId545" Type="http://schemas.openxmlformats.org/officeDocument/2006/relationships/hyperlink" Target="https://utrucking.com/admin/orders/5951817416892" TargetMode="External"/><Relationship Id="rId544" Type="http://schemas.openxmlformats.org/officeDocument/2006/relationships/hyperlink" Target="https://utrucking.com/admin/orders/5951412732092" TargetMode="External"/><Relationship Id="rId549" Type="http://schemas.openxmlformats.org/officeDocument/2006/relationships/hyperlink" Target="https://utrucking.com/admin/orders/5952766345404" TargetMode="External"/><Relationship Id="rId548" Type="http://schemas.openxmlformats.org/officeDocument/2006/relationships/hyperlink" Target="https://utrucking.com/admin/orders/5951841042620" TargetMode="External"/><Relationship Id="rId543" Type="http://schemas.openxmlformats.org/officeDocument/2006/relationships/hyperlink" Target="https://utrucking.com/admin/orders/5951402508476" TargetMode="External"/><Relationship Id="rId542" Type="http://schemas.openxmlformats.org/officeDocument/2006/relationships/hyperlink" Target="https://utrucking.com/admin/orders/5951343886524" TargetMode="External"/><Relationship Id="rId541" Type="http://schemas.openxmlformats.org/officeDocument/2006/relationships/hyperlink" Target="https://utrucking.com/admin/orders/5951213797564" TargetMode="External"/><Relationship Id="rId540" Type="http://schemas.openxmlformats.org/officeDocument/2006/relationships/hyperlink" Target="https://utrucking.com/admin/orders/5951168544956" TargetMode="External"/><Relationship Id="rId536" Type="http://schemas.openxmlformats.org/officeDocument/2006/relationships/hyperlink" Target="https://utrucking.com/admin/orders/5950614601916" TargetMode="External"/><Relationship Id="rId535" Type="http://schemas.openxmlformats.org/officeDocument/2006/relationships/hyperlink" Target="https://utrucking.com/admin/orders/5950597005500" TargetMode="External"/><Relationship Id="rId534" Type="http://schemas.openxmlformats.org/officeDocument/2006/relationships/hyperlink" Target="https://utrucking.com/admin/orders/5950229512380" TargetMode="External"/><Relationship Id="rId533" Type="http://schemas.openxmlformats.org/officeDocument/2006/relationships/hyperlink" Target="https://utrucking.com/admin/orders/5949998661820" TargetMode="External"/><Relationship Id="rId539" Type="http://schemas.openxmlformats.org/officeDocument/2006/relationships/hyperlink" Target="https://utrucking.com/admin/orders/5951084560572" TargetMode="External"/><Relationship Id="rId538" Type="http://schemas.openxmlformats.org/officeDocument/2006/relationships/hyperlink" Target="https://utrucking.com/admin/orders/5951042879676" TargetMode="External"/><Relationship Id="rId537" Type="http://schemas.openxmlformats.org/officeDocument/2006/relationships/hyperlink" Target="https://utrucking.com/admin/orders/5950631248060" TargetMode="External"/><Relationship Id="rId532" Type="http://schemas.openxmlformats.org/officeDocument/2006/relationships/hyperlink" Target="https://utrucking.com/admin/orders/5949366927548" TargetMode="External"/><Relationship Id="rId531" Type="http://schemas.openxmlformats.org/officeDocument/2006/relationships/hyperlink" Target="https://utrucking.com/admin/orders/5949362012348" TargetMode="External"/><Relationship Id="rId530" Type="http://schemas.openxmlformats.org/officeDocument/2006/relationships/hyperlink" Target="https://utrucking.com/admin/orders/5949246472380" TargetMode="External"/><Relationship Id="rId569" Type="http://schemas.openxmlformats.org/officeDocument/2006/relationships/hyperlink" Target="https://utrucking.com/admin/orders/6227419758780" TargetMode="External"/><Relationship Id="rId568" Type="http://schemas.openxmlformats.org/officeDocument/2006/relationships/hyperlink" Target="https://utrucking.com/admin/orders/6216625782972" TargetMode="External"/><Relationship Id="rId567" Type="http://schemas.openxmlformats.org/officeDocument/2006/relationships/hyperlink" Target="https://utrucking.com/admin/orders/6147540549820" TargetMode="External"/><Relationship Id="rId566" Type="http://schemas.openxmlformats.org/officeDocument/2006/relationships/hyperlink" Target="https://utrucking.com/admin/orders/6060083675324" TargetMode="External"/><Relationship Id="rId561" Type="http://schemas.openxmlformats.org/officeDocument/2006/relationships/hyperlink" Target="https://utrucking.com/admin/orders/5963923849404" TargetMode="External"/><Relationship Id="rId560" Type="http://schemas.openxmlformats.org/officeDocument/2006/relationships/hyperlink" Target="https://utrucking.com/admin/orders/5963881414844" TargetMode="External"/><Relationship Id="rId565" Type="http://schemas.openxmlformats.org/officeDocument/2006/relationships/hyperlink" Target="https://utrucking.com/admin/orders/6004570783932" TargetMode="External"/><Relationship Id="rId564" Type="http://schemas.openxmlformats.org/officeDocument/2006/relationships/hyperlink" Target="https://utrucking.com/admin/orders/5994182082748" TargetMode="External"/><Relationship Id="rId563" Type="http://schemas.openxmlformats.org/officeDocument/2006/relationships/hyperlink" Target="https://utrucking.com/admin/orders/5983353372860" TargetMode="External"/><Relationship Id="rId562" Type="http://schemas.openxmlformats.org/officeDocument/2006/relationships/hyperlink" Target="https://utrucking.com/admin/orders/5963953832124" TargetMode="External"/><Relationship Id="rId558" Type="http://schemas.openxmlformats.org/officeDocument/2006/relationships/hyperlink" Target="https://utrucking.com/admin/orders/5956999479484" TargetMode="External"/><Relationship Id="rId557" Type="http://schemas.openxmlformats.org/officeDocument/2006/relationships/hyperlink" Target="https://utrucking.com/admin/orders/5956828725436" TargetMode="External"/><Relationship Id="rId556" Type="http://schemas.openxmlformats.org/officeDocument/2006/relationships/hyperlink" Target="https://utrucking.com/admin/orders/5955853615292" TargetMode="External"/><Relationship Id="rId555" Type="http://schemas.openxmlformats.org/officeDocument/2006/relationships/hyperlink" Target="https://utrucking.com/admin/orders/5955718545596" TargetMode="External"/><Relationship Id="rId559" Type="http://schemas.openxmlformats.org/officeDocument/2006/relationships/hyperlink" Target="https://utrucking.com/admin/orders/5961025716412" TargetMode="External"/><Relationship Id="rId550" Type="http://schemas.openxmlformats.org/officeDocument/2006/relationships/hyperlink" Target="https://utrucking.com/admin/orders/5952777158844" TargetMode="External"/><Relationship Id="rId554" Type="http://schemas.openxmlformats.org/officeDocument/2006/relationships/hyperlink" Target="https://utrucking.com/admin/orders/5955519512764" TargetMode="External"/><Relationship Id="rId553" Type="http://schemas.openxmlformats.org/officeDocument/2006/relationships/hyperlink" Target="https://utrucking.com/admin/orders/5953987641532" TargetMode="External"/><Relationship Id="rId552" Type="http://schemas.openxmlformats.org/officeDocument/2006/relationships/hyperlink" Target="https://utrucking.com/admin/orders/5953717108924" TargetMode="External"/><Relationship Id="rId551" Type="http://schemas.openxmlformats.org/officeDocument/2006/relationships/hyperlink" Target="https://utrucking.com/admin/orders/5953279983804" TargetMode="External"/><Relationship Id="rId495" Type="http://schemas.openxmlformats.org/officeDocument/2006/relationships/hyperlink" Target="https://utrucking.com/admin/orders/5943720804540" TargetMode="External"/><Relationship Id="rId494" Type="http://schemas.openxmlformats.org/officeDocument/2006/relationships/hyperlink" Target="https://utrucking.com/admin/orders/5943655923900" TargetMode="External"/><Relationship Id="rId493" Type="http://schemas.openxmlformats.org/officeDocument/2006/relationships/hyperlink" Target="https://utrucking.com/admin/orders/5943651532988" TargetMode="External"/><Relationship Id="rId492" Type="http://schemas.openxmlformats.org/officeDocument/2006/relationships/hyperlink" Target="https://utrucking.com/admin/orders/5943636754620" TargetMode="External"/><Relationship Id="rId499" Type="http://schemas.openxmlformats.org/officeDocument/2006/relationships/hyperlink" Target="https://utrucking.com/admin/orders/5943982522556" TargetMode="External"/><Relationship Id="rId498" Type="http://schemas.openxmlformats.org/officeDocument/2006/relationships/hyperlink" Target="https://utrucking.com/admin/orders/5943969939644" TargetMode="External"/><Relationship Id="rId497" Type="http://schemas.openxmlformats.org/officeDocument/2006/relationships/hyperlink" Target="https://utrucking.com/admin/orders/5943958143164" TargetMode="External"/><Relationship Id="rId496" Type="http://schemas.openxmlformats.org/officeDocument/2006/relationships/hyperlink" Target="https://utrucking.com/admin/orders/5943938056380" TargetMode="External"/><Relationship Id="rId409" Type="http://schemas.openxmlformats.org/officeDocument/2006/relationships/hyperlink" Target="https://utrucking.com/admin/orders/5935261745340" TargetMode="External"/><Relationship Id="rId404" Type="http://schemas.openxmlformats.org/officeDocument/2006/relationships/hyperlink" Target="https://utrucking.com/admin/orders/5934869610684" TargetMode="External"/><Relationship Id="rId403" Type="http://schemas.openxmlformats.org/officeDocument/2006/relationships/hyperlink" Target="https://utrucking.com/admin/orders/5934839955644" TargetMode="External"/><Relationship Id="rId402" Type="http://schemas.openxmlformats.org/officeDocument/2006/relationships/hyperlink" Target="https://utrucking.com/admin/orders/5934669234364" TargetMode="External"/><Relationship Id="rId401" Type="http://schemas.openxmlformats.org/officeDocument/2006/relationships/hyperlink" Target="https://utrucking.com/admin/orders/5934640791740" TargetMode="External"/><Relationship Id="rId408" Type="http://schemas.openxmlformats.org/officeDocument/2006/relationships/hyperlink" Target="https://utrucking.com/admin/orders/5935223636156" TargetMode="External"/><Relationship Id="rId407" Type="http://schemas.openxmlformats.org/officeDocument/2006/relationships/hyperlink" Target="https://utrucking.com/admin/orders/5935181201596" TargetMode="External"/><Relationship Id="rId406" Type="http://schemas.openxmlformats.org/officeDocument/2006/relationships/hyperlink" Target="https://utrucking.com/admin/orders/5935096594620" TargetMode="External"/><Relationship Id="rId405" Type="http://schemas.openxmlformats.org/officeDocument/2006/relationships/hyperlink" Target="https://utrucking.com/admin/orders/5935070380220" TargetMode="External"/><Relationship Id="rId400" Type="http://schemas.openxmlformats.org/officeDocument/2006/relationships/hyperlink" Target="https://utrucking.com/admin/orders/5934540587196" TargetMode="External"/><Relationship Id="rId469" Type="http://schemas.openxmlformats.org/officeDocument/2006/relationships/hyperlink" Target="https://utrucking.com/admin/orders/5939742015676" TargetMode="External"/><Relationship Id="rId468" Type="http://schemas.openxmlformats.org/officeDocument/2006/relationships/hyperlink" Target="https://utrucking.com/admin/orders/5939734184124" TargetMode="External"/><Relationship Id="rId467" Type="http://schemas.openxmlformats.org/officeDocument/2006/relationships/hyperlink" Target="https://utrucking.com/admin/orders/5939690111164" TargetMode="External"/><Relationship Id="rId462" Type="http://schemas.openxmlformats.org/officeDocument/2006/relationships/hyperlink" Target="https://utrucking.com/admin/orders/5939157532860" TargetMode="External"/><Relationship Id="rId461" Type="http://schemas.openxmlformats.org/officeDocument/2006/relationships/hyperlink" Target="https://utrucking.com/admin/orders/5939049627836" TargetMode="External"/><Relationship Id="rId460" Type="http://schemas.openxmlformats.org/officeDocument/2006/relationships/hyperlink" Target="https://utrucking.com/admin/orders/5939046154428" TargetMode="External"/><Relationship Id="rId466" Type="http://schemas.openxmlformats.org/officeDocument/2006/relationships/hyperlink" Target="https://utrucking.com/admin/orders/5939678576828" TargetMode="External"/><Relationship Id="rId465" Type="http://schemas.openxmlformats.org/officeDocument/2006/relationships/hyperlink" Target="https://utrucking.com/admin/orders/5939324813500" TargetMode="External"/><Relationship Id="rId464" Type="http://schemas.openxmlformats.org/officeDocument/2006/relationships/hyperlink" Target="https://utrucking.com/admin/orders/5939254984892" TargetMode="External"/><Relationship Id="rId463" Type="http://schemas.openxmlformats.org/officeDocument/2006/relationships/hyperlink" Target="https://utrucking.com/admin/orders/5939183681724" TargetMode="External"/><Relationship Id="rId459" Type="http://schemas.openxmlformats.org/officeDocument/2006/relationships/hyperlink" Target="https://utrucking.com/admin/orders/5939001032892" TargetMode="External"/><Relationship Id="rId458" Type="http://schemas.openxmlformats.org/officeDocument/2006/relationships/hyperlink" Target="https://utrucking.com/admin/orders/5938879332540" TargetMode="External"/><Relationship Id="rId457" Type="http://schemas.openxmlformats.org/officeDocument/2006/relationships/hyperlink" Target="https://utrucking.com/admin/orders/5938793775292" TargetMode="External"/><Relationship Id="rId456" Type="http://schemas.openxmlformats.org/officeDocument/2006/relationships/hyperlink" Target="https://utrucking.com/admin/orders/5938539004092" TargetMode="External"/><Relationship Id="rId451" Type="http://schemas.openxmlformats.org/officeDocument/2006/relationships/hyperlink" Target="https://utrucking.com/admin/orders/5937684480188" TargetMode="External"/><Relationship Id="rId450" Type="http://schemas.openxmlformats.org/officeDocument/2006/relationships/hyperlink" Target="https://utrucking.com/admin/orders/5937638473916" TargetMode="External"/><Relationship Id="rId455" Type="http://schemas.openxmlformats.org/officeDocument/2006/relationships/hyperlink" Target="https://utrucking.com/admin/orders/5938214764732" TargetMode="External"/><Relationship Id="rId454" Type="http://schemas.openxmlformats.org/officeDocument/2006/relationships/hyperlink" Target="https://utrucking.com/admin/orders/5937827315900" TargetMode="External"/><Relationship Id="rId453" Type="http://schemas.openxmlformats.org/officeDocument/2006/relationships/hyperlink" Target="https://utrucking.com/admin/orders/5937749033148" TargetMode="External"/><Relationship Id="rId452" Type="http://schemas.openxmlformats.org/officeDocument/2006/relationships/hyperlink" Target="https://utrucking.com/admin/orders/5937713512636" TargetMode="External"/><Relationship Id="rId491" Type="http://schemas.openxmlformats.org/officeDocument/2006/relationships/hyperlink" Target="https://utrucking.com/admin/orders/5943544316092" TargetMode="External"/><Relationship Id="rId490" Type="http://schemas.openxmlformats.org/officeDocument/2006/relationships/hyperlink" Target="https://utrucking.com/admin/orders/5943494312124" TargetMode="External"/><Relationship Id="rId489" Type="http://schemas.openxmlformats.org/officeDocument/2006/relationships/hyperlink" Target="https://utrucking.com/admin/orders/5943317528764" TargetMode="External"/><Relationship Id="rId484" Type="http://schemas.openxmlformats.org/officeDocument/2006/relationships/hyperlink" Target="https://utrucking.com/admin/orders/5941713567932" TargetMode="External"/><Relationship Id="rId483" Type="http://schemas.openxmlformats.org/officeDocument/2006/relationships/hyperlink" Target="https://utrucking.com/admin/orders/5941663137980" TargetMode="External"/><Relationship Id="rId482" Type="http://schemas.openxmlformats.org/officeDocument/2006/relationships/hyperlink" Target="https://utrucking.com/admin/orders/5941497069756" TargetMode="External"/><Relationship Id="rId481" Type="http://schemas.openxmlformats.org/officeDocument/2006/relationships/hyperlink" Target="https://utrucking.com/admin/orders/5941125841084" TargetMode="External"/><Relationship Id="rId488" Type="http://schemas.openxmlformats.org/officeDocument/2006/relationships/hyperlink" Target="https://utrucking.com/admin/orders/5942858154172" TargetMode="External"/><Relationship Id="rId487" Type="http://schemas.openxmlformats.org/officeDocument/2006/relationships/hyperlink" Target="https://utrucking.com/admin/orders/5942662398140" TargetMode="External"/><Relationship Id="rId486" Type="http://schemas.openxmlformats.org/officeDocument/2006/relationships/hyperlink" Target="https://utrucking.com/admin/orders/5942640214204" TargetMode="External"/><Relationship Id="rId485" Type="http://schemas.openxmlformats.org/officeDocument/2006/relationships/hyperlink" Target="https://utrucking.com/admin/orders/5942038528188" TargetMode="External"/><Relationship Id="rId480" Type="http://schemas.openxmlformats.org/officeDocument/2006/relationships/hyperlink" Target="https://utrucking.com/admin/orders/5941011316924" TargetMode="External"/><Relationship Id="rId479" Type="http://schemas.openxmlformats.org/officeDocument/2006/relationships/hyperlink" Target="https://utrucking.com/admin/orders/5940993065148" TargetMode="External"/><Relationship Id="rId478" Type="http://schemas.openxmlformats.org/officeDocument/2006/relationships/hyperlink" Target="https://utrucking.com/admin/orders/5940552728764" TargetMode="External"/><Relationship Id="rId473" Type="http://schemas.openxmlformats.org/officeDocument/2006/relationships/hyperlink" Target="https://utrucking.com/admin/orders/5940231864508" TargetMode="External"/><Relationship Id="rId472" Type="http://schemas.openxmlformats.org/officeDocument/2006/relationships/hyperlink" Target="https://utrucking.com/admin/orders/5940142702780" TargetMode="External"/><Relationship Id="rId471" Type="http://schemas.openxmlformats.org/officeDocument/2006/relationships/hyperlink" Target="https://utrucking.com/admin/orders/5940076052668" TargetMode="External"/><Relationship Id="rId470" Type="http://schemas.openxmlformats.org/officeDocument/2006/relationships/hyperlink" Target="https://utrucking.com/admin/orders/5939995934908" TargetMode="External"/><Relationship Id="rId477" Type="http://schemas.openxmlformats.org/officeDocument/2006/relationships/hyperlink" Target="https://utrucking.com/admin/orders/5940496859324" TargetMode="External"/><Relationship Id="rId476" Type="http://schemas.openxmlformats.org/officeDocument/2006/relationships/hyperlink" Target="https://utrucking.com/admin/orders/5940455440572" TargetMode="External"/><Relationship Id="rId475" Type="http://schemas.openxmlformats.org/officeDocument/2006/relationships/hyperlink" Target="https://utrucking.com/admin/orders/5940357497020" TargetMode="External"/><Relationship Id="rId474" Type="http://schemas.openxmlformats.org/officeDocument/2006/relationships/hyperlink" Target="https://utrucking.com/admin/orders/5940265189564" TargetMode="External"/><Relationship Id="rId426" Type="http://schemas.openxmlformats.org/officeDocument/2006/relationships/hyperlink" Target="https://utrucking.com/admin/orders/5935838036156" TargetMode="External"/><Relationship Id="rId425" Type="http://schemas.openxmlformats.org/officeDocument/2006/relationships/hyperlink" Target="https://utrucking.com/admin/orders/5935831187644" TargetMode="External"/><Relationship Id="rId424" Type="http://schemas.openxmlformats.org/officeDocument/2006/relationships/hyperlink" Target="https://utrucking.com/admin/orders/5935792816316" TargetMode="External"/><Relationship Id="rId423" Type="http://schemas.openxmlformats.org/officeDocument/2006/relationships/hyperlink" Target="https://utrucking.com/admin/orders/5935700115644" TargetMode="External"/><Relationship Id="rId429" Type="http://schemas.openxmlformats.org/officeDocument/2006/relationships/hyperlink" Target="https://utrucking.com/admin/orders/5935941812412" TargetMode="External"/><Relationship Id="rId428" Type="http://schemas.openxmlformats.org/officeDocument/2006/relationships/hyperlink" Target="https://utrucking.com/admin/orders/5935926214844" TargetMode="External"/><Relationship Id="rId427" Type="http://schemas.openxmlformats.org/officeDocument/2006/relationships/hyperlink" Target="https://utrucking.com/admin/orders/5935886303420" TargetMode="External"/><Relationship Id="rId422" Type="http://schemas.openxmlformats.org/officeDocument/2006/relationships/hyperlink" Target="https://utrucking.com/admin/orders/5935686910140" TargetMode="External"/><Relationship Id="rId421" Type="http://schemas.openxmlformats.org/officeDocument/2006/relationships/hyperlink" Target="https://utrucking.com/admin/orders/5935684354236" TargetMode="External"/><Relationship Id="rId420" Type="http://schemas.openxmlformats.org/officeDocument/2006/relationships/hyperlink" Target="https://utrucking.com/admin/orders/5935644246204" TargetMode="External"/><Relationship Id="rId415" Type="http://schemas.openxmlformats.org/officeDocument/2006/relationships/hyperlink" Target="https://utrucking.com/admin/orders/5935491973308" TargetMode="External"/><Relationship Id="rId414" Type="http://schemas.openxmlformats.org/officeDocument/2006/relationships/hyperlink" Target="https://utrucking.com/admin/orders/5935471034556" TargetMode="External"/><Relationship Id="rId413" Type="http://schemas.openxmlformats.org/officeDocument/2006/relationships/hyperlink" Target="https://utrucking.com/admin/orders/5935449637052" TargetMode="External"/><Relationship Id="rId412" Type="http://schemas.openxmlformats.org/officeDocument/2006/relationships/hyperlink" Target="https://utrucking.com/admin/orders/5935402188988" TargetMode="External"/><Relationship Id="rId419" Type="http://schemas.openxmlformats.org/officeDocument/2006/relationships/hyperlink" Target="https://utrucking.com/admin/orders/5935620423868" TargetMode="External"/><Relationship Id="rId418" Type="http://schemas.openxmlformats.org/officeDocument/2006/relationships/hyperlink" Target="https://utrucking.com/admin/orders/5935561605308" TargetMode="External"/><Relationship Id="rId417" Type="http://schemas.openxmlformats.org/officeDocument/2006/relationships/hyperlink" Target="https://utrucking.com/admin/orders/5935543419068" TargetMode="External"/><Relationship Id="rId416" Type="http://schemas.openxmlformats.org/officeDocument/2006/relationships/hyperlink" Target="https://utrucking.com/admin/orders/5935514484924" TargetMode="External"/><Relationship Id="rId411" Type="http://schemas.openxmlformats.org/officeDocument/2006/relationships/hyperlink" Target="https://utrucking.com/admin/orders/5935330656444" TargetMode="External"/><Relationship Id="rId410" Type="http://schemas.openxmlformats.org/officeDocument/2006/relationships/hyperlink" Target="https://utrucking.com/admin/orders/5935301329084" TargetMode="External"/><Relationship Id="rId448" Type="http://schemas.openxmlformats.org/officeDocument/2006/relationships/hyperlink" Target="https://utrucking.com/admin/orders/5937456087228" TargetMode="External"/><Relationship Id="rId447" Type="http://schemas.openxmlformats.org/officeDocument/2006/relationships/hyperlink" Target="https://utrucking.com/admin/orders/5937174577340" TargetMode="External"/><Relationship Id="rId446" Type="http://schemas.openxmlformats.org/officeDocument/2006/relationships/hyperlink" Target="https://utrucking.com/admin/orders/5937169629372" TargetMode="External"/><Relationship Id="rId445" Type="http://schemas.openxmlformats.org/officeDocument/2006/relationships/hyperlink" Target="https://utrucking.com/admin/orders/5937162289340" TargetMode="External"/><Relationship Id="rId449" Type="http://schemas.openxmlformats.org/officeDocument/2006/relationships/hyperlink" Target="https://utrucking.com/admin/orders/5937583227068" TargetMode="External"/><Relationship Id="rId440" Type="http://schemas.openxmlformats.org/officeDocument/2006/relationships/hyperlink" Target="https://utrucking.com/admin/orders/5936660709564" TargetMode="External"/><Relationship Id="rId444" Type="http://schemas.openxmlformats.org/officeDocument/2006/relationships/hyperlink" Target="https://utrucking.com/admin/orders/5937078862012" TargetMode="External"/><Relationship Id="rId443" Type="http://schemas.openxmlformats.org/officeDocument/2006/relationships/hyperlink" Target="https://utrucking.com/admin/orders/5937012441276" TargetMode="External"/><Relationship Id="rId442" Type="http://schemas.openxmlformats.org/officeDocument/2006/relationships/hyperlink" Target="https://utrucking.com/admin/orders/5936996188348" TargetMode="External"/><Relationship Id="rId441" Type="http://schemas.openxmlformats.org/officeDocument/2006/relationships/hyperlink" Target="https://utrucking.com/admin/orders/5936968138940" TargetMode="External"/><Relationship Id="rId437" Type="http://schemas.openxmlformats.org/officeDocument/2006/relationships/hyperlink" Target="https://utrucking.com/admin/orders/5936474652860" TargetMode="External"/><Relationship Id="rId436" Type="http://schemas.openxmlformats.org/officeDocument/2006/relationships/hyperlink" Target="https://utrucking.com/admin/orders/5936446734524" TargetMode="External"/><Relationship Id="rId435" Type="http://schemas.openxmlformats.org/officeDocument/2006/relationships/hyperlink" Target="https://utrucking.com/admin/orders/5936419799228" TargetMode="External"/><Relationship Id="rId434" Type="http://schemas.openxmlformats.org/officeDocument/2006/relationships/hyperlink" Target="https://utrucking.com/admin/orders/5936404299964" TargetMode="External"/><Relationship Id="rId439" Type="http://schemas.openxmlformats.org/officeDocument/2006/relationships/hyperlink" Target="https://utrucking.com/admin/orders/5936527048892" TargetMode="External"/><Relationship Id="rId438" Type="http://schemas.openxmlformats.org/officeDocument/2006/relationships/hyperlink" Target="https://utrucking.com/admin/orders/5936521773244" TargetMode="External"/><Relationship Id="rId433" Type="http://schemas.openxmlformats.org/officeDocument/2006/relationships/hyperlink" Target="https://utrucking.com/admin/orders/5936310681788" TargetMode="External"/><Relationship Id="rId432" Type="http://schemas.openxmlformats.org/officeDocument/2006/relationships/hyperlink" Target="https://utrucking.com/admin/orders/5936149266620" TargetMode="External"/><Relationship Id="rId431" Type="http://schemas.openxmlformats.org/officeDocument/2006/relationships/hyperlink" Target="https://utrucking.com/admin/orders/5936131178684" TargetMode="External"/><Relationship Id="rId430" Type="http://schemas.openxmlformats.org/officeDocument/2006/relationships/hyperlink" Target="https://utrucking.com/admin/orders/593603788818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92" Type="http://schemas.openxmlformats.org/officeDocument/2006/relationships/hyperlink" Target="https://utrucking.com/admin/orders/5928678195388" TargetMode="External"/><Relationship Id="rId391" Type="http://schemas.openxmlformats.org/officeDocument/2006/relationships/hyperlink" Target="https://utrucking.com/admin/orders/5928668070076" TargetMode="External"/><Relationship Id="rId390" Type="http://schemas.openxmlformats.org/officeDocument/2006/relationships/hyperlink" Target="https://utrucking.com/admin/orders/5928616755388" TargetMode="External"/><Relationship Id="rId1" Type="http://schemas.openxmlformats.org/officeDocument/2006/relationships/hyperlink" Target="https://utrucking.myshopify.com/admin/orders?query=14075" TargetMode="External"/><Relationship Id="rId2" Type="http://schemas.openxmlformats.org/officeDocument/2006/relationships/hyperlink" Target="https://utrucking.myshopify.com/admin/orders?query=14191" TargetMode="External"/><Relationship Id="rId3" Type="http://schemas.openxmlformats.org/officeDocument/2006/relationships/hyperlink" Target="https://admin.shopify.com/store/utrucking/orders/5811833962684?link_source=search" TargetMode="External"/><Relationship Id="rId4" Type="http://schemas.openxmlformats.org/officeDocument/2006/relationships/hyperlink" Target="https://utrucking.myshopify.com/admin/orders?query=14235" TargetMode="External"/><Relationship Id="rId9" Type="http://schemas.openxmlformats.org/officeDocument/2006/relationships/hyperlink" Target="https://utrucking.myshopify.com/admin/orders?query=14960" TargetMode="External"/><Relationship Id="rId385" Type="http://schemas.openxmlformats.org/officeDocument/2006/relationships/hyperlink" Target="https://utrucking.com/admin/orders/5927975256252" TargetMode="External"/><Relationship Id="rId384" Type="http://schemas.openxmlformats.org/officeDocument/2006/relationships/hyperlink" Target="https://utrucking.com/admin/orders/5927563722940" TargetMode="External"/><Relationship Id="rId383" Type="http://schemas.openxmlformats.org/officeDocument/2006/relationships/hyperlink" Target="https://utrucking.com/admin/orders/5927430127804" TargetMode="External"/><Relationship Id="rId382" Type="http://schemas.openxmlformats.org/officeDocument/2006/relationships/hyperlink" Target="https://utrucking.com/admin/orders/5927358857404" TargetMode="External"/><Relationship Id="rId5" Type="http://schemas.openxmlformats.org/officeDocument/2006/relationships/hyperlink" Target="https://utrucking.myshopify.com/admin/orders?query=14652" TargetMode="External"/><Relationship Id="rId389" Type="http://schemas.openxmlformats.org/officeDocument/2006/relationships/hyperlink" Target="https://utrucking.com/admin/orders/5928543322300" TargetMode="External"/><Relationship Id="rId6" Type="http://schemas.openxmlformats.org/officeDocument/2006/relationships/hyperlink" Target="https://utrucking.myshopify.com/admin/orders?query=14667" TargetMode="External"/><Relationship Id="rId388" Type="http://schemas.openxmlformats.org/officeDocument/2006/relationships/hyperlink" Target="https://utrucking.com/admin/orders/5928084832444" TargetMode="External"/><Relationship Id="rId7" Type="http://schemas.openxmlformats.org/officeDocument/2006/relationships/hyperlink" Target="https://utrucking.myshopify.com/admin/orders?query=14803" TargetMode="External"/><Relationship Id="rId387" Type="http://schemas.openxmlformats.org/officeDocument/2006/relationships/hyperlink" Target="https://utrucking.com/admin/orders/5928059437244" TargetMode="External"/><Relationship Id="rId8" Type="http://schemas.openxmlformats.org/officeDocument/2006/relationships/hyperlink" Target="https://utrucking.myshopify.com/admin/orders?query=14958" TargetMode="External"/><Relationship Id="rId386" Type="http://schemas.openxmlformats.org/officeDocument/2006/relationships/hyperlink" Target="https://utrucking.com/admin/orders/5928023064764" TargetMode="External"/><Relationship Id="rId381" Type="http://schemas.openxmlformats.org/officeDocument/2006/relationships/hyperlink" Target="https://utrucking.com/admin/orders/5927344570556" TargetMode="External"/><Relationship Id="rId380" Type="http://schemas.openxmlformats.org/officeDocument/2006/relationships/hyperlink" Target="https://utrucking.com/admin/orders/5927224901820" TargetMode="External"/><Relationship Id="rId379" Type="http://schemas.openxmlformats.org/officeDocument/2006/relationships/hyperlink" Target="https://utrucking.com/admin/orders/5927205044412" TargetMode="External"/><Relationship Id="rId374" Type="http://schemas.openxmlformats.org/officeDocument/2006/relationships/hyperlink" Target="https://utrucking.com/admin/orders/5927125319868" TargetMode="External"/><Relationship Id="rId373" Type="http://schemas.openxmlformats.org/officeDocument/2006/relationships/hyperlink" Target="https://utrucking.com/admin/orders/5927006044348" TargetMode="External"/><Relationship Id="rId372" Type="http://schemas.openxmlformats.org/officeDocument/2006/relationships/hyperlink" Target="https://utrucking.com/admin/orders/5926800982204" TargetMode="External"/><Relationship Id="rId371" Type="http://schemas.openxmlformats.org/officeDocument/2006/relationships/hyperlink" Target="https://utrucking.com/admin/orders/5926740918460" TargetMode="External"/><Relationship Id="rId378" Type="http://schemas.openxmlformats.org/officeDocument/2006/relationships/hyperlink" Target="https://utrucking.com/admin/orders/5927186104508" TargetMode="External"/><Relationship Id="rId377" Type="http://schemas.openxmlformats.org/officeDocument/2006/relationships/hyperlink" Target="https://utrucking.com/admin/orders/5927150616764" TargetMode="External"/><Relationship Id="rId376" Type="http://schemas.openxmlformats.org/officeDocument/2006/relationships/hyperlink" Target="https://utrucking.com/admin/orders/5927141769404" TargetMode="External"/><Relationship Id="rId375" Type="http://schemas.openxmlformats.org/officeDocument/2006/relationships/hyperlink" Target="https://utrucking.com/admin/orders/5927135379644" TargetMode="External"/><Relationship Id="rId396" Type="http://schemas.openxmlformats.org/officeDocument/2006/relationships/hyperlink" Target="https://utrucking.com/admin/orders/5929229418684" TargetMode="External"/><Relationship Id="rId395" Type="http://schemas.openxmlformats.org/officeDocument/2006/relationships/hyperlink" Target="https://utrucking.com/admin/orders/5929152905404" TargetMode="External"/><Relationship Id="rId394" Type="http://schemas.openxmlformats.org/officeDocument/2006/relationships/hyperlink" Target="https://utrucking.com/admin/orders/5928921628860" TargetMode="External"/><Relationship Id="rId393" Type="http://schemas.openxmlformats.org/officeDocument/2006/relationships/hyperlink" Target="https://utrucking.com/admin/orders/5928681504956" TargetMode="External"/><Relationship Id="rId399" Type="http://schemas.openxmlformats.org/officeDocument/2006/relationships/hyperlink" Target="https://utrucking.com/admin/orders/5929684992188" TargetMode="External"/><Relationship Id="rId398" Type="http://schemas.openxmlformats.org/officeDocument/2006/relationships/hyperlink" Target="https://utrucking.com/admin/orders/5929458270396" TargetMode="External"/><Relationship Id="rId397" Type="http://schemas.openxmlformats.org/officeDocument/2006/relationships/hyperlink" Target="https://utrucking.com/admin/orders/5929322447036" TargetMode="External"/><Relationship Id="rId40" Type="http://schemas.openxmlformats.org/officeDocument/2006/relationships/hyperlink" Target="https://utrucking.com/admin/orders/5904591716540" TargetMode="External"/><Relationship Id="rId42" Type="http://schemas.openxmlformats.org/officeDocument/2006/relationships/hyperlink" Target="https://utrucking.com/admin/orders/5905232101564" TargetMode="External"/><Relationship Id="rId41" Type="http://schemas.openxmlformats.org/officeDocument/2006/relationships/hyperlink" Target="https://utrucking.com/admin/orders/5905179443388" TargetMode="External"/><Relationship Id="rId44" Type="http://schemas.openxmlformats.org/officeDocument/2006/relationships/hyperlink" Target="https://utrucking.com/admin/orders/5905503715516" TargetMode="External"/><Relationship Id="rId43" Type="http://schemas.openxmlformats.org/officeDocument/2006/relationships/hyperlink" Target="https://utrucking.com/admin/orders/5905277124796" TargetMode="External"/><Relationship Id="rId46" Type="http://schemas.openxmlformats.org/officeDocument/2006/relationships/hyperlink" Target="https://utrucking.com/admin/orders/5906274451644" TargetMode="External"/><Relationship Id="rId45" Type="http://schemas.openxmlformats.org/officeDocument/2006/relationships/hyperlink" Target="https://utrucking.com/admin/orders/5906011127996" TargetMode="External"/><Relationship Id="rId48" Type="http://schemas.openxmlformats.org/officeDocument/2006/relationships/hyperlink" Target="https://utrucking.com/admin/orders/5908555563196" TargetMode="External"/><Relationship Id="rId47" Type="http://schemas.openxmlformats.org/officeDocument/2006/relationships/hyperlink" Target="https://utrucking.com/admin/orders/5907370311868" TargetMode="External"/><Relationship Id="rId49" Type="http://schemas.openxmlformats.org/officeDocument/2006/relationships/hyperlink" Target="https://utrucking.com/admin/orders/5908931346620" TargetMode="External"/><Relationship Id="rId31" Type="http://schemas.openxmlformats.org/officeDocument/2006/relationships/hyperlink" Target="https://utrucking.com/admin/orders/5900814680252" TargetMode="External"/><Relationship Id="rId30" Type="http://schemas.openxmlformats.org/officeDocument/2006/relationships/hyperlink" Target="https://utrucking.com/admin/orders/5900791414972" TargetMode="External"/><Relationship Id="rId33" Type="http://schemas.openxmlformats.org/officeDocument/2006/relationships/hyperlink" Target="https://utrucking.com/admin/orders/5901577748668" TargetMode="External"/><Relationship Id="rId32" Type="http://schemas.openxmlformats.org/officeDocument/2006/relationships/hyperlink" Target="https://utrucking.com/admin/orders/5901064863932" TargetMode="External"/><Relationship Id="rId35" Type="http://schemas.openxmlformats.org/officeDocument/2006/relationships/hyperlink" Target="https://utrucking.com/admin/orders/5901762691260" TargetMode="External"/><Relationship Id="rId34" Type="http://schemas.openxmlformats.org/officeDocument/2006/relationships/hyperlink" Target="https://utrucking.com/admin/orders/5901603799228" TargetMode="External"/><Relationship Id="rId37" Type="http://schemas.openxmlformats.org/officeDocument/2006/relationships/hyperlink" Target="https://utrucking.com/admin/orders/5903767109820" TargetMode="External"/><Relationship Id="rId36" Type="http://schemas.openxmlformats.org/officeDocument/2006/relationships/hyperlink" Target="https://utrucking.com/admin/orders/5903703638204" TargetMode="External"/><Relationship Id="rId39" Type="http://schemas.openxmlformats.org/officeDocument/2006/relationships/hyperlink" Target="https://utrucking.com/admin/orders/5904418308284" TargetMode="External"/><Relationship Id="rId38" Type="http://schemas.openxmlformats.org/officeDocument/2006/relationships/hyperlink" Target="https://utrucking.com/admin/orders/5903819833532" TargetMode="External"/><Relationship Id="rId20" Type="http://schemas.openxmlformats.org/officeDocument/2006/relationships/hyperlink" Target="https://utrucking.myshopify.com/admin/orders?query=15210" TargetMode="External"/><Relationship Id="rId22" Type="http://schemas.openxmlformats.org/officeDocument/2006/relationships/hyperlink" Target="https://utrucking.com/admin/orders/5898491166908" TargetMode="External"/><Relationship Id="rId21" Type="http://schemas.openxmlformats.org/officeDocument/2006/relationships/hyperlink" Target="https://utrucking.com/admin/orders/5897677144252" TargetMode="External"/><Relationship Id="rId24" Type="http://schemas.openxmlformats.org/officeDocument/2006/relationships/hyperlink" Target="https://utrucking.com/admin/orders/5899315642556" TargetMode="External"/><Relationship Id="rId23" Type="http://schemas.openxmlformats.org/officeDocument/2006/relationships/hyperlink" Target="https://utrucking.com/admin/orders/5899149574332" TargetMode="External"/><Relationship Id="rId26" Type="http://schemas.openxmlformats.org/officeDocument/2006/relationships/hyperlink" Target="https://utrucking.com/admin/orders/5899777736892" TargetMode="External"/><Relationship Id="rId25" Type="http://schemas.openxmlformats.org/officeDocument/2006/relationships/hyperlink" Target="https://utrucking.com/admin/orders/5899380981948" TargetMode="External"/><Relationship Id="rId28" Type="http://schemas.openxmlformats.org/officeDocument/2006/relationships/hyperlink" Target="https://utrucking.com/admin/orders/5900342067388" TargetMode="External"/><Relationship Id="rId27" Type="http://schemas.openxmlformats.org/officeDocument/2006/relationships/hyperlink" Target="https://utrucking.com/admin/orders/5900089852092" TargetMode="External"/><Relationship Id="rId29" Type="http://schemas.openxmlformats.org/officeDocument/2006/relationships/hyperlink" Target="https://utrucking.com/admin/orders/5900755337404" TargetMode="External"/><Relationship Id="rId11" Type="http://schemas.openxmlformats.org/officeDocument/2006/relationships/hyperlink" Target="https://utrucking.myshopify.com/admin/orders?query=15016" TargetMode="External"/><Relationship Id="rId10" Type="http://schemas.openxmlformats.org/officeDocument/2006/relationships/hyperlink" Target="https://utrucking.myshopify.com/admin/orders?query=15009" TargetMode="External"/><Relationship Id="rId13" Type="http://schemas.openxmlformats.org/officeDocument/2006/relationships/hyperlink" Target="https://utrucking.myshopify.com/admin/orders?query=15093" TargetMode="External"/><Relationship Id="rId12" Type="http://schemas.openxmlformats.org/officeDocument/2006/relationships/hyperlink" Target="https://utrucking.myshopify.com/admin/orders?query=15075" TargetMode="External"/><Relationship Id="rId15" Type="http://schemas.openxmlformats.org/officeDocument/2006/relationships/hyperlink" Target="https://utrucking.myshopify.com/admin/orders?query=15122" TargetMode="External"/><Relationship Id="rId14" Type="http://schemas.openxmlformats.org/officeDocument/2006/relationships/hyperlink" Target="https://utrucking.myshopify.com/admin/orders?query=15096" TargetMode="External"/><Relationship Id="rId17" Type="http://schemas.openxmlformats.org/officeDocument/2006/relationships/hyperlink" Target="https://utrucking.myshopify.com/admin/orders?query=15146" TargetMode="External"/><Relationship Id="rId16" Type="http://schemas.openxmlformats.org/officeDocument/2006/relationships/hyperlink" Target="https://utrucking.myshopify.com/admin/orders?query=15137" TargetMode="External"/><Relationship Id="rId19" Type="http://schemas.openxmlformats.org/officeDocument/2006/relationships/hyperlink" Target="https://utrucking.myshopify.com/admin/orders?query=15172" TargetMode="External"/><Relationship Id="rId18" Type="http://schemas.openxmlformats.org/officeDocument/2006/relationships/hyperlink" Target="https://utrucking.myshopify.com/admin/orders?query=15147" TargetMode="External"/><Relationship Id="rId84" Type="http://schemas.openxmlformats.org/officeDocument/2006/relationships/hyperlink" Target="https://utrucking.com/admin/orders/5913061261500" TargetMode="External"/><Relationship Id="rId83" Type="http://schemas.openxmlformats.org/officeDocument/2006/relationships/hyperlink" Target="https://utrucking.com/admin/orders/5913034653884" TargetMode="External"/><Relationship Id="rId86" Type="http://schemas.openxmlformats.org/officeDocument/2006/relationships/hyperlink" Target="https://utrucking.com/admin/orders/5913080987836" TargetMode="External"/><Relationship Id="rId85" Type="http://schemas.openxmlformats.org/officeDocument/2006/relationships/hyperlink" Target="https://utrucking.com/admin/orders/5913061425340" TargetMode="External"/><Relationship Id="rId88" Type="http://schemas.openxmlformats.org/officeDocument/2006/relationships/hyperlink" Target="https://utrucking.com/admin/orders/5913445892284" TargetMode="External"/><Relationship Id="rId87" Type="http://schemas.openxmlformats.org/officeDocument/2006/relationships/hyperlink" Target="https://utrucking.com/admin/orders/5913213173948" TargetMode="External"/><Relationship Id="rId89" Type="http://schemas.openxmlformats.org/officeDocument/2006/relationships/hyperlink" Target="https://admin.shopify.com/store/utrucking/orders/5913466306748?link_source=search" TargetMode="External"/><Relationship Id="rId80" Type="http://schemas.openxmlformats.org/officeDocument/2006/relationships/hyperlink" Target="https://utrucking.com/admin/orders/5912878842044" TargetMode="External"/><Relationship Id="rId82" Type="http://schemas.openxmlformats.org/officeDocument/2006/relationships/hyperlink" Target="https://utrucking.com/admin/orders/5912915706044" TargetMode="External"/><Relationship Id="rId81" Type="http://schemas.openxmlformats.org/officeDocument/2006/relationships/hyperlink" Target="https://utrucking.com/admin/orders/5912909283516" TargetMode="External"/><Relationship Id="rId73" Type="http://schemas.openxmlformats.org/officeDocument/2006/relationships/hyperlink" Target="https://utrucking.com/admin/orders/5912710250684" TargetMode="External"/><Relationship Id="rId72" Type="http://schemas.openxmlformats.org/officeDocument/2006/relationships/hyperlink" Target="https://utrucking.com/admin/orders/5912693866684" TargetMode="External"/><Relationship Id="rId75" Type="http://schemas.openxmlformats.org/officeDocument/2006/relationships/hyperlink" Target="https://utrucking.com/admin/orders/5912777785532" TargetMode="External"/><Relationship Id="rId74" Type="http://schemas.openxmlformats.org/officeDocument/2006/relationships/hyperlink" Target="https://utrucking.com/admin/orders/5912769855676" TargetMode="External"/><Relationship Id="rId77" Type="http://schemas.openxmlformats.org/officeDocument/2006/relationships/hyperlink" Target="https://utrucking.com/admin/orders/5912840241340" TargetMode="External"/><Relationship Id="rId76" Type="http://schemas.openxmlformats.org/officeDocument/2006/relationships/hyperlink" Target="https://utrucking.com/admin/orders/5912781684924" TargetMode="External"/><Relationship Id="rId79" Type="http://schemas.openxmlformats.org/officeDocument/2006/relationships/hyperlink" Target="https://utrucking.com/admin/orders/5912870813884" TargetMode="External"/><Relationship Id="rId78" Type="http://schemas.openxmlformats.org/officeDocument/2006/relationships/hyperlink" Target="https://utrucking.com/admin/orders/5912857182396" TargetMode="External"/><Relationship Id="rId71" Type="http://schemas.openxmlformats.org/officeDocument/2006/relationships/hyperlink" Target="https://utrucking.com/admin/orders/5912683774140" TargetMode="External"/><Relationship Id="rId70" Type="http://schemas.openxmlformats.org/officeDocument/2006/relationships/hyperlink" Target="https://utrucking.com/admin/orders/5912662212796" TargetMode="External"/><Relationship Id="rId62" Type="http://schemas.openxmlformats.org/officeDocument/2006/relationships/hyperlink" Target="https://utrucking.com/admin/orders/5912250613948" TargetMode="External"/><Relationship Id="rId61" Type="http://schemas.openxmlformats.org/officeDocument/2006/relationships/hyperlink" Target="https://utrucking.com/admin/orders/5912134189244" TargetMode="External"/><Relationship Id="rId64" Type="http://schemas.openxmlformats.org/officeDocument/2006/relationships/hyperlink" Target="https://utrucking.com/admin/orders/5912574361788" TargetMode="External"/><Relationship Id="rId63" Type="http://schemas.openxmlformats.org/officeDocument/2006/relationships/hyperlink" Target="https://utrucking.com/admin/orders/5912530682044" TargetMode="External"/><Relationship Id="rId66" Type="http://schemas.openxmlformats.org/officeDocument/2006/relationships/hyperlink" Target="https://utrucking.com/admin/orders/5912600936636" TargetMode="External"/><Relationship Id="rId65" Type="http://schemas.openxmlformats.org/officeDocument/2006/relationships/hyperlink" Target="https://utrucking.com/admin/orders/5912574951612" TargetMode="External"/><Relationship Id="rId68" Type="http://schemas.openxmlformats.org/officeDocument/2006/relationships/hyperlink" Target="https://utrucking.com/admin/orders/5912619909308" TargetMode="External"/><Relationship Id="rId67" Type="http://schemas.openxmlformats.org/officeDocument/2006/relationships/hyperlink" Target="https://utrucking.com/admin/orders/5912616108220" TargetMode="External"/><Relationship Id="rId60" Type="http://schemas.openxmlformats.org/officeDocument/2006/relationships/hyperlink" Target="https://utrucking.com/admin/orders/5910996910268" TargetMode="External"/><Relationship Id="rId69" Type="http://schemas.openxmlformats.org/officeDocument/2006/relationships/hyperlink" Target="https://utrucking.com/admin/orders/5912660672700" TargetMode="External"/><Relationship Id="rId51" Type="http://schemas.openxmlformats.org/officeDocument/2006/relationships/hyperlink" Target="https://utrucking.com/admin/orders/5909107703996" TargetMode="External"/><Relationship Id="rId50" Type="http://schemas.openxmlformats.org/officeDocument/2006/relationships/hyperlink" Target="https://utrucking.com/admin/orders/5908934557884" TargetMode="External"/><Relationship Id="rId53" Type="http://schemas.openxmlformats.org/officeDocument/2006/relationships/hyperlink" Target="https://utrucking.com/admin/orders/5909572583612" TargetMode="External"/><Relationship Id="rId52" Type="http://schemas.openxmlformats.org/officeDocument/2006/relationships/hyperlink" Target="https://utrucking.com/admin/orders/5909563867324" TargetMode="External"/><Relationship Id="rId55" Type="http://schemas.openxmlformats.org/officeDocument/2006/relationships/hyperlink" Target="https://utrucking.com/admin/orders/5909841117372" TargetMode="External"/><Relationship Id="rId54" Type="http://schemas.openxmlformats.org/officeDocument/2006/relationships/hyperlink" Target="https://utrucking.com/admin/orders/5909573337276" TargetMode="External"/><Relationship Id="rId57" Type="http://schemas.openxmlformats.org/officeDocument/2006/relationships/hyperlink" Target="https://utrucking.com/admin/orders/5910681026748" TargetMode="External"/><Relationship Id="rId56" Type="http://schemas.openxmlformats.org/officeDocument/2006/relationships/hyperlink" Target="https://utrucking.com/admin/orders/5910227452092" TargetMode="External"/><Relationship Id="rId59" Type="http://schemas.openxmlformats.org/officeDocument/2006/relationships/hyperlink" Target="https://utrucking.com/admin/orders/5910867214524" TargetMode="External"/><Relationship Id="rId58" Type="http://schemas.openxmlformats.org/officeDocument/2006/relationships/hyperlink" Target="https://utrucking.com/admin/orders/5910825861308" TargetMode="External"/><Relationship Id="rId349" Type="http://schemas.openxmlformats.org/officeDocument/2006/relationships/hyperlink" Target="https://utrucking.com/admin/orders/5924847517884" TargetMode="External"/><Relationship Id="rId348" Type="http://schemas.openxmlformats.org/officeDocument/2006/relationships/hyperlink" Target="https://utrucking.com/admin/orders/5924843126972" TargetMode="External"/><Relationship Id="rId347" Type="http://schemas.openxmlformats.org/officeDocument/2006/relationships/hyperlink" Target="https://utrucking.com/admin/orders/5924833132732" TargetMode="External"/><Relationship Id="rId346" Type="http://schemas.openxmlformats.org/officeDocument/2006/relationships/hyperlink" Target="https://utrucking.com/admin/orders/5924814192828" TargetMode="External"/><Relationship Id="rId341" Type="http://schemas.openxmlformats.org/officeDocument/2006/relationships/hyperlink" Target="https://utrucking.com/admin/orders/5924658938044" TargetMode="External"/><Relationship Id="rId340" Type="http://schemas.openxmlformats.org/officeDocument/2006/relationships/hyperlink" Target="https://utrucking.com/admin/orders/5924440637628" TargetMode="External"/><Relationship Id="rId345" Type="http://schemas.openxmlformats.org/officeDocument/2006/relationships/hyperlink" Target="https://utrucking.com/admin/orders/5924752031932" TargetMode="External"/><Relationship Id="rId344" Type="http://schemas.openxmlformats.org/officeDocument/2006/relationships/hyperlink" Target="https://utrucking.com/admin/orders/5924695048380" TargetMode="External"/><Relationship Id="rId343" Type="http://schemas.openxmlformats.org/officeDocument/2006/relationships/hyperlink" Target="https://utrucking.com/admin/orders/5924671979708" TargetMode="External"/><Relationship Id="rId342" Type="http://schemas.openxmlformats.org/officeDocument/2006/relationships/hyperlink" Target="https://utrucking.com/admin/orders/5924670570684" TargetMode="External"/><Relationship Id="rId338" Type="http://schemas.openxmlformats.org/officeDocument/2006/relationships/hyperlink" Target="https://utrucking.com/admin/orders/5924397056188" TargetMode="External"/><Relationship Id="rId337" Type="http://schemas.openxmlformats.org/officeDocument/2006/relationships/hyperlink" Target="https://utrucking.com/admin/orders/5924255039676" TargetMode="External"/><Relationship Id="rId336" Type="http://schemas.openxmlformats.org/officeDocument/2006/relationships/hyperlink" Target="https://utrucking.com/admin/orders/5924189438140" TargetMode="External"/><Relationship Id="rId335" Type="http://schemas.openxmlformats.org/officeDocument/2006/relationships/hyperlink" Target="https://utrucking.com/admin/orders/5924131242172" TargetMode="External"/><Relationship Id="rId339" Type="http://schemas.openxmlformats.org/officeDocument/2006/relationships/hyperlink" Target="https://utrucking.com/admin/orders/5924401152188" TargetMode="External"/><Relationship Id="rId330" Type="http://schemas.openxmlformats.org/officeDocument/2006/relationships/hyperlink" Target="https://utrucking.com/admin/orders/5923437117628" TargetMode="External"/><Relationship Id="rId334" Type="http://schemas.openxmlformats.org/officeDocument/2006/relationships/hyperlink" Target="https://utrucking.com/admin/orders/5923984507068" TargetMode="External"/><Relationship Id="rId333" Type="http://schemas.openxmlformats.org/officeDocument/2006/relationships/hyperlink" Target="https://utrucking.com/admin/orders/5923716300988" TargetMode="External"/><Relationship Id="rId332" Type="http://schemas.openxmlformats.org/officeDocument/2006/relationships/hyperlink" Target="https://utrucking.com/admin/orders/5923692740796" TargetMode="External"/><Relationship Id="rId331" Type="http://schemas.openxmlformats.org/officeDocument/2006/relationships/hyperlink" Target="https://utrucking.com/admin/orders/5923591585980" TargetMode="External"/><Relationship Id="rId370" Type="http://schemas.openxmlformats.org/officeDocument/2006/relationships/hyperlink" Target="https://utrucking.com/admin/orders/5926732005564" TargetMode="External"/><Relationship Id="rId369" Type="http://schemas.openxmlformats.org/officeDocument/2006/relationships/hyperlink" Target="https://utrucking.com/admin/orders/5926639993020" TargetMode="External"/><Relationship Id="rId368" Type="http://schemas.openxmlformats.org/officeDocument/2006/relationships/hyperlink" Target="https://utrucking.com/admin/orders/5926353207484" TargetMode="External"/><Relationship Id="rId363" Type="http://schemas.openxmlformats.org/officeDocument/2006/relationships/hyperlink" Target="https://utrucking.com/admin/orders/5925801590972" TargetMode="External"/><Relationship Id="rId362" Type="http://schemas.openxmlformats.org/officeDocument/2006/relationships/hyperlink" Target="https://utrucking.com/admin/orders/5925727240380" TargetMode="External"/><Relationship Id="rId361" Type="http://schemas.openxmlformats.org/officeDocument/2006/relationships/hyperlink" Target="https://utrucking.com/admin/orders/5925724717244" TargetMode="External"/><Relationship Id="rId360" Type="http://schemas.openxmlformats.org/officeDocument/2006/relationships/hyperlink" Target="https://utrucking.com/admin/orders/5925711642812" TargetMode="External"/><Relationship Id="rId367" Type="http://schemas.openxmlformats.org/officeDocument/2006/relationships/hyperlink" Target="https://utrucking.com/admin/orders/5926179307708" TargetMode="External"/><Relationship Id="rId366" Type="http://schemas.openxmlformats.org/officeDocument/2006/relationships/hyperlink" Target="https://utrucking.com/admin/orders/5926063407292" TargetMode="External"/><Relationship Id="rId365" Type="http://schemas.openxmlformats.org/officeDocument/2006/relationships/hyperlink" Target="https://utrucking.com/admin/orders/5926035947708" TargetMode="External"/><Relationship Id="rId364" Type="http://schemas.openxmlformats.org/officeDocument/2006/relationships/hyperlink" Target="https://utrucking.com/admin/orders/5925955043516" TargetMode="External"/><Relationship Id="rId95" Type="http://schemas.openxmlformats.org/officeDocument/2006/relationships/hyperlink" Target="https://utrucking.com/admin/orders/5913504612540" TargetMode="External"/><Relationship Id="rId94" Type="http://schemas.openxmlformats.org/officeDocument/2006/relationships/hyperlink" Target="https://utrucking.com/admin/orders/5913503269052" TargetMode="External"/><Relationship Id="rId97" Type="http://schemas.openxmlformats.org/officeDocument/2006/relationships/hyperlink" Target="https://utrucking.com/admin/orders/5913520472252" TargetMode="External"/><Relationship Id="rId96" Type="http://schemas.openxmlformats.org/officeDocument/2006/relationships/hyperlink" Target="https://utrucking.com/admin/orders/5913505366204" TargetMode="External"/><Relationship Id="rId99" Type="http://schemas.openxmlformats.org/officeDocument/2006/relationships/hyperlink" Target="https://utrucking.com/admin/orders/5913552388284" TargetMode="External"/><Relationship Id="rId98" Type="http://schemas.openxmlformats.org/officeDocument/2006/relationships/hyperlink" Target="https://utrucking.com/admin/orders/5913535086780" TargetMode="External"/><Relationship Id="rId91" Type="http://schemas.openxmlformats.org/officeDocument/2006/relationships/hyperlink" Target="https://utrucking.com/admin/orders/5913490489532" TargetMode="External"/><Relationship Id="rId90" Type="http://schemas.openxmlformats.org/officeDocument/2006/relationships/hyperlink" Target="https://utrucking.com/admin/orders/5913481904316" TargetMode="External"/><Relationship Id="rId93" Type="http://schemas.openxmlformats.org/officeDocument/2006/relationships/hyperlink" Target="https://utrucking.com/admin/orders/5913501892796" TargetMode="External"/><Relationship Id="rId92" Type="http://schemas.openxmlformats.org/officeDocument/2006/relationships/hyperlink" Target="https://utrucking.com/admin/orders/5913500876988" TargetMode="External"/><Relationship Id="rId359" Type="http://schemas.openxmlformats.org/officeDocument/2006/relationships/hyperlink" Target="https://utrucking.com/admin/orders/5925707579580" TargetMode="External"/><Relationship Id="rId358" Type="http://schemas.openxmlformats.org/officeDocument/2006/relationships/hyperlink" Target="https://utrucking.com/admin/orders/5925693718716" TargetMode="External"/><Relationship Id="rId357" Type="http://schemas.openxmlformats.org/officeDocument/2006/relationships/hyperlink" Target="https://utrucking.com/admin/orders/5925525323964" TargetMode="External"/><Relationship Id="rId352" Type="http://schemas.openxmlformats.org/officeDocument/2006/relationships/hyperlink" Target="https://utrucking.com/admin/orders/5925023613116" TargetMode="External"/><Relationship Id="rId351" Type="http://schemas.openxmlformats.org/officeDocument/2006/relationships/hyperlink" Target="https://utrucking.com/admin/orders/5924949393596" TargetMode="External"/><Relationship Id="rId350" Type="http://schemas.openxmlformats.org/officeDocument/2006/relationships/hyperlink" Target="https://utrucking.com/admin/orders/5924847550652" TargetMode="External"/><Relationship Id="rId356" Type="http://schemas.openxmlformats.org/officeDocument/2006/relationships/hyperlink" Target="https://utrucking.com/admin/orders/5925515985084" TargetMode="External"/><Relationship Id="rId355" Type="http://schemas.openxmlformats.org/officeDocument/2006/relationships/hyperlink" Target="https://utrucking.com/admin/orders/5925408899260" TargetMode="External"/><Relationship Id="rId354" Type="http://schemas.openxmlformats.org/officeDocument/2006/relationships/hyperlink" Target="https://utrucking.com/admin/orders/5925100847292" TargetMode="External"/><Relationship Id="rId353" Type="http://schemas.openxmlformats.org/officeDocument/2006/relationships/hyperlink" Target="https://utrucking.com/admin/orders/5925047107772" TargetMode="External"/><Relationship Id="rId305" Type="http://schemas.openxmlformats.org/officeDocument/2006/relationships/hyperlink" Target="https://utrucking.com/admin/orders/5921125728444" TargetMode="External"/><Relationship Id="rId304" Type="http://schemas.openxmlformats.org/officeDocument/2006/relationships/hyperlink" Target="https://utrucking.com/admin/orders/5921016545468" TargetMode="External"/><Relationship Id="rId303" Type="http://schemas.openxmlformats.org/officeDocument/2006/relationships/hyperlink" Target="https://utrucking.com/admin/orders/5920933347516" TargetMode="External"/><Relationship Id="rId302" Type="http://schemas.openxmlformats.org/officeDocument/2006/relationships/hyperlink" Target="https://utrucking.com/admin/orders/5920888357052" TargetMode="External"/><Relationship Id="rId309" Type="http://schemas.openxmlformats.org/officeDocument/2006/relationships/hyperlink" Target="https://utrucking.com/admin/orders/5921388822716" TargetMode="External"/><Relationship Id="rId308" Type="http://schemas.openxmlformats.org/officeDocument/2006/relationships/hyperlink" Target="https://utrucking.com/admin/orders/5921359364284" TargetMode="External"/><Relationship Id="rId307" Type="http://schemas.openxmlformats.org/officeDocument/2006/relationships/hyperlink" Target="https://utrucking.com/admin/orders/5921335640252" TargetMode="External"/><Relationship Id="rId306" Type="http://schemas.openxmlformats.org/officeDocument/2006/relationships/hyperlink" Target="https://utrucking.com/admin/orders/5921302610108" TargetMode="External"/><Relationship Id="rId301" Type="http://schemas.openxmlformats.org/officeDocument/2006/relationships/hyperlink" Target="https://utrucking.com/admin/orders/5920881705148" TargetMode="External"/><Relationship Id="rId300" Type="http://schemas.openxmlformats.org/officeDocument/2006/relationships/hyperlink" Target="https://utrucking.com/admin/orders/5920836026556" TargetMode="External"/><Relationship Id="rId327" Type="http://schemas.openxmlformats.org/officeDocument/2006/relationships/hyperlink" Target="https://utrucking.com/admin/orders/5923197550780" TargetMode="External"/><Relationship Id="rId326" Type="http://schemas.openxmlformats.org/officeDocument/2006/relationships/hyperlink" Target="https://utrucking.com/admin/orders/5923127066812" TargetMode="External"/><Relationship Id="rId325" Type="http://schemas.openxmlformats.org/officeDocument/2006/relationships/hyperlink" Target="https://utrucking.com/admin/orders/5923098689724" TargetMode="External"/><Relationship Id="rId324" Type="http://schemas.openxmlformats.org/officeDocument/2006/relationships/hyperlink" Target="https://utrucking.com/admin/orders/5922891595964" TargetMode="External"/><Relationship Id="rId329" Type="http://schemas.openxmlformats.org/officeDocument/2006/relationships/hyperlink" Target="https://utrucking.com/admin/orders/5923413983420" TargetMode="External"/><Relationship Id="rId328" Type="http://schemas.openxmlformats.org/officeDocument/2006/relationships/hyperlink" Target="https://utrucking.com/admin/orders/5923338420412" TargetMode="External"/><Relationship Id="rId323" Type="http://schemas.openxmlformats.org/officeDocument/2006/relationships/hyperlink" Target="https://utrucking.com/admin/orders/5922875408572" TargetMode="External"/><Relationship Id="rId322" Type="http://schemas.openxmlformats.org/officeDocument/2006/relationships/hyperlink" Target="https://utrucking.com/admin/orders/5922846277820" TargetMode="External"/><Relationship Id="rId321" Type="http://schemas.openxmlformats.org/officeDocument/2006/relationships/hyperlink" Target="https://utrucking.com/admin/orders/5922526003388" TargetMode="External"/><Relationship Id="rId320" Type="http://schemas.openxmlformats.org/officeDocument/2006/relationships/hyperlink" Target="https://utrucking.com/admin/orders/5922066071740" TargetMode="External"/><Relationship Id="rId316" Type="http://schemas.openxmlformats.org/officeDocument/2006/relationships/hyperlink" Target="https://utrucking.com/admin/orders/5921713914044" TargetMode="External"/><Relationship Id="rId315" Type="http://schemas.openxmlformats.org/officeDocument/2006/relationships/hyperlink" Target="https://utrucking.com/admin/orders/5921705951420" TargetMode="External"/><Relationship Id="rId314" Type="http://schemas.openxmlformats.org/officeDocument/2006/relationships/hyperlink" Target="https://utrucking.com/admin/orders/5921576976572" TargetMode="External"/><Relationship Id="rId313" Type="http://schemas.openxmlformats.org/officeDocument/2006/relationships/hyperlink" Target="https://utrucking.com/admin/orders/5921555054780" TargetMode="External"/><Relationship Id="rId319" Type="http://schemas.openxmlformats.org/officeDocument/2006/relationships/hyperlink" Target="https://utrucking.com/admin/orders/5921912357052" TargetMode="External"/><Relationship Id="rId318" Type="http://schemas.openxmlformats.org/officeDocument/2006/relationships/hyperlink" Target="https://utrucking.com/admin/orders/5921909014716" TargetMode="External"/><Relationship Id="rId317" Type="http://schemas.openxmlformats.org/officeDocument/2006/relationships/hyperlink" Target="https://utrucking.com/admin/orders/5921855406268" TargetMode="External"/><Relationship Id="rId312" Type="http://schemas.openxmlformats.org/officeDocument/2006/relationships/hyperlink" Target="https://utrucking.com/admin/orders/5921493942460" TargetMode="External"/><Relationship Id="rId311" Type="http://schemas.openxmlformats.org/officeDocument/2006/relationships/hyperlink" Target="https://utrucking.com/admin/orders/5921484669116" TargetMode="External"/><Relationship Id="rId310" Type="http://schemas.openxmlformats.org/officeDocument/2006/relationships/hyperlink" Target="https://utrucking.com/admin/orders/5921422409916" TargetMode="External"/><Relationship Id="rId297" Type="http://schemas.openxmlformats.org/officeDocument/2006/relationships/hyperlink" Target="https://utrucking.com/admin/orders/5920756564156" TargetMode="External"/><Relationship Id="rId296" Type="http://schemas.openxmlformats.org/officeDocument/2006/relationships/hyperlink" Target="https://utrucking.com/admin/orders/5920756236476" TargetMode="External"/><Relationship Id="rId295" Type="http://schemas.openxmlformats.org/officeDocument/2006/relationships/hyperlink" Target="https://utrucking.com/admin/orders/5920619561148" TargetMode="External"/><Relationship Id="rId294" Type="http://schemas.openxmlformats.org/officeDocument/2006/relationships/hyperlink" Target="https://utrucking.com/admin/orders/5920544981180" TargetMode="External"/><Relationship Id="rId299" Type="http://schemas.openxmlformats.org/officeDocument/2006/relationships/hyperlink" Target="https://utrucking.com/admin/orders/5920815612092" TargetMode="External"/><Relationship Id="rId298" Type="http://schemas.openxmlformats.org/officeDocument/2006/relationships/hyperlink" Target="https://utrucking.com/admin/orders/5920791560380" TargetMode="External"/><Relationship Id="rId271" Type="http://schemas.openxmlformats.org/officeDocument/2006/relationships/hyperlink" Target="https://utrucking.com/admin/orders/5919521308860" TargetMode="External"/><Relationship Id="rId270" Type="http://schemas.openxmlformats.org/officeDocument/2006/relationships/hyperlink" Target="https://utrucking.com/admin/orders/5919444533436" TargetMode="External"/><Relationship Id="rId269" Type="http://schemas.openxmlformats.org/officeDocument/2006/relationships/hyperlink" Target="https://utrucking.com/admin/orders/5919400132796" TargetMode="External"/><Relationship Id="rId264" Type="http://schemas.openxmlformats.org/officeDocument/2006/relationships/hyperlink" Target="https://utrucking.com/admin/orders/5919018909884" TargetMode="External"/><Relationship Id="rId263" Type="http://schemas.openxmlformats.org/officeDocument/2006/relationships/hyperlink" Target="https://utrucking.com/admin/orders/5918979522748" TargetMode="External"/><Relationship Id="rId262" Type="http://schemas.openxmlformats.org/officeDocument/2006/relationships/hyperlink" Target="https://utrucking.com/admin/orders/5918907564220" TargetMode="External"/><Relationship Id="rId261" Type="http://schemas.openxmlformats.org/officeDocument/2006/relationships/hyperlink" Target="https://utrucking.com/admin/orders/5918800675004" TargetMode="External"/><Relationship Id="rId268" Type="http://schemas.openxmlformats.org/officeDocument/2006/relationships/hyperlink" Target="https://utrucking.com/admin/orders/5919325487292" TargetMode="External"/><Relationship Id="rId267" Type="http://schemas.openxmlformats.org/officeDocument/2006/relationships/hyperlink" Target="https://utrucking.com/admin/orders/5919285477564" TargetMode="External"/><Relationship Id="rId266" Type="http://schemas.openxmlformats.org/officeDocument/2006/relationships/hyperlink" Target="https://utrucking.com/admin/orders/5919171346620" TargetMode="External"/><Relationship Id="rId265" Type="http://schemas.openxmlformats.org/officeDocument/2006/relationships/hyperlink" Target="https://utrucking.com/admin/orders/5919031820476" TargetMode="External"/><Relationship Id="rId260" Type="http://schemas.openxmlformats.org/officeDocument/2006/relationships/hyperlink" Target="https://utrucking.com/admin/orders/5918775017660" TargetMode="External"/><Relationship Id="rId259" Type="http://schemas.openxmlformats.org/officeDocument/2006/relationships/hyperlink" Target="https://utrucking.com/admin/orders/5918707220668" TargetMode="External"/><Relationship Id="rId258" Type="http://schemas.openxmlformats.org/officeDocument/2006/relationships/hyperlink" Target="https://utrucking.com/admin/orders/5918679498940" TargetMode="External"/><Relationship Id="rId253" Type="http://schemas.openxmlformats.org/officeDocument/2006/relationships/hyperlink" Target="https://utrucking.com/admin/orders/5917923442876" TargetMode="External"/><Relationship Id="rId252" Type="http://schemas.openxmlformats.org/officeDocument/2006/relationships/hyperlink" Target="https://utrucking.com/admin/orders/5917847158972" TargetMode="External"/><Relationship Id="rId251" Type="http://schemas.openxmlformats.org/officeDocument/2006/relationships/hyperlink" Target="https://utrucking.com/admin/orders/5917758521532" TargetMode="External"/><Relationship Id="rId250" Type="http://schemas.openxmlformats.org/officeDocument/2006/relationships/hyperlink" Target="https://utrucking.com/admin/orders/5917753540796" TargetMode="External"/><Relationship Id="rId257" Type="http://schemas.openxmlformats.org/officeDocument/2006/relationships/hyperlink" Target="https://utrucking.com/admin/orders/5918668325052" TargetMode="External"/><Relationship Id="rId256" Type="http://schemas.openxmlformats.org/officeDocument/2006/relationships/hyperlink" Target="https://utrucking.com/admin/orders/5918525653180" TargetMode="External"/><Relationship Id="rId255" Type="http://schemas.openxmlformats.org/officeDocument/2006/relationships/hyperlink" Target="https://utrucking.com/admin/orders/5918308204732" TargetMode="External"/><Relationship Id="rId254" Type="http://schemas.openxmlformats.org/officeDocument/2006/relationships/hyperlink" Target="https://utrucking.com/admin/orders/5917935337660" TargetMode="External"/><Relationship Id="rId293" Type="http://schemas.openxmlformats.org/officeDocument/2006/relationships/hyperlink" Target="https://utrucking.com/admin/orders/5920539017404" TargetMode="External"/><Relationship Id="rId292" Type="http://schemas.openxmlformats.org/officeDocument/2006/relationships/hyperlink" Target="https://utrucking.com/admin/orders/5920469123260" TargetMode="External"/><Relationship Id="rId291" Type="http://schemas.openxmlformats.org/officeDocument/2006/relationships/hyperlink" Target="https://utrucking.com/admin/orders/5920441368764" TargetMode="External"/><Relationship Id="rId290" Type="http://schemas.openxmlformats.org/officeDocument/2006/relationships/hyperlink" Target="https://utrucking.com/admin/orders/5920420397244" TargetMode="External"/><Relationship Id="rId286" Type="http://schemas.openxmlformats.org/officeDocument/2006/relationships/hyperlink" Target="https://utrucking.com/admin/orders/5920379306172" TargetMode="External"/><Relationship Id="rId285" Type="http://schemas.openxmlformats.org/officeDocument/2006/relationships/hyperlink" Target="https://utrucking.com/admin/orders/5920376291516" TargetMode="External"/><Relationship Id="rId284" Type="http://schemas.openxmlformats.org/officeDocument/2006/relationships/hyperlink" Target="https://utrucking.com/admin/orders/5920368033980" TargetMode="External"/><Relationship Id="rId283" Type="http://schemas.openxmlformats.org/officeDocument/2006/relationships/hyperlink" Target="https://utrucking.com/admin/orders/5920319340732" TargetMode="External"/><Relationship Id="rId289" Type="http://schemas.openxmlformats.org/officeDocument/2006/relationships/hyperlink" Target="https://utrucking.com/admin/orders/5920410370236" TargetMode="External"/><Relationship Id="rId288" Type="http://schemas.openxmlformats.org/officeDocument/2006/relationships/hyperlink" Target="https://utrucking.com/admin/orders/5920386941116" TargetMode="External"/><Relationship Id="rId287" Type="http://schemas.openxmlformats.org/officeDocument/2006/relationships/hyperlink" Target="https://utrucking.com/admin/orders/5920383205564" TargetMode="External"/><Relationship Id="rId282" Type="http://schemas.openxmlformats.org/officeDocument/2006/relationships/hyperlink" Target="https://utrucking.com/admin/orders/5920303775932" TargetMode="External"/><Relationship Id="rId281" Type="http://schemas.openxmlformats.org/officeDocument/2006/relationships/hyperlink" Target="https://utrucking.com/admin/orders/5920260948156" TargetMode="External"/><Relationship Id="rId280" Type="http://schemas.openxmlformats.org/officeDocument/2006/relationships/hyperlink" Target="https://utrucking.com/admin/orders/5920250233020" TargetMode="External"/><Relationship Id="rId275" Type="http://schemas.openxmlformats.org/officeDocument/2006/relationships/hyperlink" Target="https://utrucking.com/admin/orders/5919846531260" TargetMode="External"/><Relationship Id="rId274" Type="http://schemas.openxmlformats.org/officeDocument/2006/relationships/hyperlink" Target="https://utrucking.com/admin/orders/5919813697724" TargetMode="External"/><Relationship Id="rId273" Type="http://schemas.openxmlformats.org/officeDocument/2006/relationships/hyperlink" Target="https://utrucking.com/admin/orders/5919686623420" TargetMode="External"/><Relationship Id="rId272" Type="http://schemas.openxmlformats.org/officeDocument/2006/relationships/hyperlink" Target="https://utrucking.com/admin/orders/5919623676092" TargetMode="External"/><Relationship Id="rId279" Type="http://schemas.openxmlformats.org/officeDocument/2006/relationships/hyperlink" Target="https://utrucking.com/admin/orders/5920083116220" TargetMode="External"/><Relationship Id="rId278" Type="http://schemas.openxmlformats.org/officeDocument/2006/relationships/hyperlink" Target="https://utrucking.com/admin/orders/5919937953980" TargetMode="External"/><Relationship Id="rId277" Type="http://schemas.openxmlformats.org/officeDocument/2006/relationships/hyperlink" Target="https://utrucking.com/admin/orders/5919915475132" TargetMode="External"/><Relationship Id="rId276" Type="http://schemas.openxmlformats.org/officeDocument/2006/relationships/hyperlink" Target="https://utrucking.com/admin/orders/5919870714044" TargetMode="External"/><Relationship Id="rId629" Type="http://schemas.openxmlformats.org/officeDocument/2006/relationships/hyperlink" Target="https://utrucking.com/admin/orders/6420925055164" TargetMode="External"/><Relationship Id="rId624" Type="http://schemas.openxmlformats.org/officeDocument/2006/relationships/hyperlink" Target="https://utrucking.com/admin/orders/6223099920572" TargetMode="External"/><Relationship Id="rId623" Type="http://schemas.openxmlformats.org/officeDocument/2006/relationships/hyperlink" Target="https://utrucking.com/admin/orders/6221444546748" TargetMode="External"/><Relationship Id="rId622" Type="http://schemas.openxmlformats.org/officeDocument/2006/relationships/hyperlink" Target="https://utrucking.com/admin/orders/6221120471228" TargetMode="External"/><Relationship Id="rId621" Type="http://schemas.openxmlformats.org/officeDocument/2006/relationships/hyperlink" Target="https://utrucking.com/admin/orders/6215750615228" TargetMode="External"/><Relationship Id="rId628" Type="http://schemas.openxmlformats.org/officeDocument/2006/relationships/hyperlink" Target="https://utrucking.com/admin/orders/6420205437116" TargetMode="External"/><Relationship Id="rId627" Type="http://schemas.openxmlformats.org/officeDocument/2006/relationships/hyperlink" Target="https://utrucking.com/admin/orders/6377480782012" TargetMode="External"/><Relationship Id="rId626" Type="http://schemas.openxmlformats.org/officeDocument/2006/relationships/hyperlink" Target="https://utrucking.com/admin/orders/6228124401852" TargetMode="External"/><Relationship Id="rId625" Type="http://schemas.openxmlformats.org/officeDocument/2006/relationships/hyperlink" Target="https://utrucking.com/admin/orders/6226190926012" TargetMode="External"/><Relationship Id="rId620" Type="http://schemas.openxmlformats.org/officeDocument/2006/relationships/hyperlink" Target="https://utrucking.com/admin/orders/6213459378364" TargetMode="External"/><Relationship Id="rId619" Type="http://schemas.openxmlformats.org/officeDocument/2006/relationships/hyperlink" Target="https://utrucking.com/admin/orders/6211627679932" TargetMode="External"/><Relationship Id="rId618" Type="http://schemas.openxmlformats.org/officeDocument/2006/relationships/hyperlink" Target="https://utrucking.com/admin/orders/6208824672444" TargetMode="External"/><Relationship Id="rId613" Type="http://schemas.openxmlformats.org/officeDocument/2006/relationships/hyperlink" Target="https://utrucking.com/admin/orders/6187554046140" TargetMode="External"/><Relationship Id="rId612" Type="http://schemas.openxmlformats.org/officeDocument/2006/relationships/hyperlink" Target="https://utrucking.com/admin/orders/6033940971708" TargetMode="External"/><Relationship Id="rId611" Type="http://schemas.openxmlformats.org/officeDocument/2006/relationships/hyperlink" Target="https://utrucking.com/admin/orders/5963718066364" TargetMode="External"/><Relationship Id="rId610" Type="http://schemas.openxmlformats.org/officeDocument/2006/relationships/hyperlink" Target="https://utrucking.com/admin/orders/5955613491388" TargetMode="External"/><Relationship Id="rId617" Type="http://schemas.openxmlformats.org/officeDocument/2006/relationships/hyperlink" Target="https://utrucking.com/admin/orders/6203181301948" TargetMode="External"/><Relationship Id="rId616" Type="http://schemas.openxmlformats.org/officeDocument/2006/relationships/hyperlink" Target="https://utrucking.com/admin/orders/6200830492860" TargetMode="External"/><Relationship Id="rId615" Type="http://schemas.openxmlformats.org/officeDocument/2006/relationships/hyperlink" Target="https://utrucking.com/admin/orders/6191849242812" TargetMode="External"/><Relationship Id="rId614" Type="http://schemas.openxmlformats.org/officeDocument/2006/relationships/hyperlink" Target="https://utrucking.com/admin/orders/6190100283580" TargetMode="External"/><Relationship Id="rId646" Type="http://schemas.openxmlformats.org/officeDocument/2006/relationships/hyperlink" Target="https://utrucking.com/admin/orders/6462854627516" TargetMode="External"/><Relationship Id="rId645" Type="http://schemas.openxmlformats.org/officeDocument/2006/relationships/hyperlink" Target="https://utrucking.com/admin/orders/6461958914236" TargetMode="External"/><Relationship Id="rId644" Type="http://schemas.openxmlformats.org/officeDocument/2006/relationships/hyperlink" Target="https://utrucking.com/admin/orders/6460263727292" TargetMode="External"/><Relationship Id="rId643" Type="http://schemas.openxmlformats.org/officeDocument/2006/relationships/hyperlink" Target="https://utrucking.com/admin/orders/6459828502716" TargetMode="External"/><Relationship Id="rId649" Type="http://schemas.openxmlformats.org/officeDocument/2006/relationships/hyperlink" Target="https://utrucking.com/admin/orders/6470502187196" TargetMode="External"/><Relationship Id="rId648" Type="http://schemas.openxmlformats.org/officeDocument/2006/relationships/hyperlink" Target="https://utrucking.com/admin/orders/6465141899452" TargetMode="External"/><Relationship Id="rId647" Type="http://schemas.openxmlformats.org/officeDocument/2006/relationships/hyperlink" Target="https://utrucking.com/admin/orders/6464412090556" TargetMode="External"/><Relationship Id="rId642" Type="http://schemas.openxmlformats.org/officeDocument/2006/relationships/hyperlink" Target="https://utrucking.com/admin/orders/6459109834940" TargetMode="External"/><Relationship Id="rId641" Type="http://schemas.openxmlformats.org/officeDocument/2006/relationships/hyperlink" Target="https://utrucking.com/admin/orders/6459106820284" TargetMode="External"/><Relationship Id="rId640" Type="http://schemas.openxmlformats.org/officeDocument/2006/relationships/hyperlink" Target="https://utrucking.com/admin/orders/6458331136188" TargetMode="External"/><Relationship Id="rId635" Type="http://schemas.openxmlformats.org/officeDocument/2006/relationships/hyperlink" Target="https://utrucking.com/admin/orders/6449276879036" TargetMode="External"/><Relationship Id="rId634" Type="http://schemas.openxmlformats.org/officeDocument/2006/relationships/hyperlink" Target="https://utrucking.com/admin/orders/6448850632892" TargetMode="External"/><Relationship Id="rId633" Type="http://schemas.openxmlformats.org/officeDocument/2006/relationships/hyperlink" Target="https://utrucking.com/admin/orders/6448232399036" TargetMode="External"/><Relationship Id="rId632" Type="http://schemas.openxmlformats.org/officeDocument/2006/relationships/hyperlink" Target="https://utrucking.com/admin/orders/6435523559612" TargetMode="External"/><Relationship Id="rId639" Type="http://schemas.openxmlformats.org/officeDocument/2006/relationships/hyperlink" Target="https://utrucking.com/admin/orders/6458101235900" TargetMode="External"/><Relationship Id="rId638" Type="http://schemas.openxmlformats.org/officeDocument/2006/relationships/hyperlink" Target="https://utrucking.com/admin/orders/6457644810428" TargetMode="External"/><Relationship Id="rId637" Type="http://schemas.openxmlformats.org/officeDocument/2006/relationships/hyperlink" Target="https://utrucking.com/admin/orders/6456113627324" TargetMode="External"/><Relationship Id="rId636" Type="http://schemas.openxmlformats.org/officeDocument/2006/relationships/hyperlink" Target="https://utrucking.com/admin/orders/6450382176444" TargetMode="External"/><Relationship Id="rId631" Type="http://schemas.openxmlformats.org/officeDocument/2006/relationships/hyperlink" Target="https://utrucking.com/admin/orders/6424076878012" TargetMode="External"/><Relationship Id="rId630" Type="http://schemas.openxmlformats.org/officeDocument/2006/relationships/hyperlink" Target="https://utrucking.com/admin/orders/6421465071804" TargetMode="External"/><Relationship Id="rId609" Type="http://schemas.openxmlformats.org/officeDocument/2006/relationships/hyperlink" Target="https://utrucking.com/admin/orders/5954178121916" TargetMode="External"/><Relationship Id="rId608" Type="http://schemas.openxmlformats.org/officeDocument/2006/relationships/hyperlink" Target="https://utrucking.com/admin/orders/5953513586876" TargetMode="External"/><Relationship Id="rId607" Type="http://schemas.openxmlformats.org/officeDocument/2006/relationships/hyperlink" Target="https://utrucking.com/admin/orders/5952490012860" TargetMode="External"/><Relationship Id="rId602" Type="http://schemas.openxmlformats.org/officeDocument/2006/relationships/hyperlink" Target="https://utrucking.com/admin/orders/5951761481916" TargetMode="External"/><Relationship Id="rId601" Type="http://schemas.openxmlformats.org/officeDocument/2006/relationships/hyperlink" Target="https://utrucking.com/admin/orders/5951709642940" TargetMode="External"/><Relationship Id="rId600" Type="http://schemas.openxmlformats.org/officeDocument/2006/relationships/hyperlink" Target="https://utrucking.com/admin/orders/5951471485116" TargetMode="External"/><Relationship Id="rId606" Type="http://schemas.openxmlformats.org/officeDocument/2006/relationships/hyperlink" Target="https://utrucking.com/admin/orders/5952309231804" TargetMode="External"/><Relationship Id="rId605" Type="http://schemas.openxmlformats.org/officeDocument/2006/relationships/hyperlink" Target="https://utrucking.com/admin/orders/5952293568700" TargetMode="External"/><Relationship Id="rId604" Type="http://schemas.openxmlformats.org/officeDocument/2006/relationships/hyperlink" Target="https://utrucking.com/admin/orders/5951904415932" TargetMode="External"/><Relationship Id="rId603" Type="http://schemas.openxmlformats.org/officeDocument/2006/relationships/hyperlink" Target="https://utrucking.com/admin/orders/5951779602620" TargetMode="External"/><Relationship Id="rId228" Type="http://schemas.openxmlformats.org/officeDocument/2006/relationships/hyperlink" Target="https://utrucking.com/admin/orders/5916698706108" TargetMode="External"/><Relationship Id="rId227" Type="http://schemas.openxmlformats.org/officeDocument/2006/relationships/hyperlink" Target="https://utrucking.com/admin/orders/5916698509500" TargetMode="External"/><Relationship Id="rId226" Type="http://schemas.openxmlformats.org/officeDocument/2006/relationships/hyperlink" Target="https://utrucking.com/admin/orders/5916693823676" TargetMode="External"/><Relationship Id="rId225" Type="http://schemas.openxmlformats.org/officeDocument/2006/relationships/hyperlink" Target="https://utrucking.com/admin/orders/5916678652092" TargetMode="External"/><Relationship Id="rId229" Type="http://schemas.openxmlformats.org/officeDocument/2006/relationships/hyperlink" Target="https://utrucking.com/admin/orders/5916703719612" TargetMode="External"/><Relationship Id="rId220" Type="http://schemas.openxmlformats.org/officeDocument/2006/relationships/hyperlink" Target="https://utrucking.com/admin/orders/5916587851964" TargetMode="External"/><Relationship Id="rId224" Type="http://schemas.openxmlformats.org/officeDocument/2006/relationships/hyperlink" Target="https://utrucking.com/admin/orders/5916632252604" TargetMode="External"/><Relationship Id="rId223" Type="http://schemas.openxmlformats.org/officeDocument/2006/relationships/hyperlink" Target="https://utrucking.com/admin/orders/5916626878652" TargetMode="External"/><Relationship Id="rId222" Type="http://schemas.openxmlformats.org/officeDocument/2006/relationships/hyperlink" Target="https://utrucking.com/admin/orders/5916606103740" TargetMode="External"/><Relationship Id="rId221" Type="http://schemas.openxmlformats.org/officeDocument/2006/relationships/hyperlink" Target="https://utrucking.com/admin/orders/5916599779516" TargetMode="External"/><Relationship Id="rId217" Type="http://schemas.openxmlformats.org/officeDocument/2006/relationships/hyperlink" Target="https://utrucking.com/admin/orders/5916581986492" TargetMode="External"/><Relationship Id="rId216" Type="http://schemas.openxmlformats.org/officeDocument/2006/relationships/hyperlink" Target="https://utrucking.com/admin/orders/5916575039676" TargetMode="External"/><Relationship Id="rId215" Type="http://schemas.openxmlformats.org/officeDocument/2006/relationships/hyperlink" Target="https://utrucking.com/admin/orders/5916565930172" TargetMode="External"/><Relationship Id="rId214" Type="http://schemas.openxmlformats.org/officeDocument/2006/relationships/hyperlink" Target="https://utrucking.com/admin/orders/5916444852412" TargetMode="External"/><Relationship Id="rId219" Type="http://schemas.openxmlformats.org/officeDocument/2006/relationships/hyperlink" Target="https://utrucking.com/admin/orders/5916587229372" TargetMode="External"/><Relationship Id="rId218" Type="http://schemas.openxmlformats.org/officeDocument/2006/relationships/hyperlink" Target="https://utrucking.com/admin/orders/5916582215868" TargetMode="External"/><Relationship Id="rId213" Type="http://schemas.openxmlformats.org/officeDocument/2006/relationships/hyperlink" Target="https://utrucking.com/admin/orders/5916401598652" TargetMode="External"/><Relationship Id="rId212" Type="http://schemas.openxmlformats.org/officeDocument/2006/relationships/hyperlink" Target="https://utrucking.com/admin/orders/5916273868988" TargetMode="External"/><Relationship Id="rId211" Type="http://schemas.openxmlformats.org/officeDocument/2006/relationships/hyperlink" Target="https://utrucking.com/admin/orders/5916234842300" TargetMode="External"/><Relationship Id="rId210" Type="http://schemas.openxmlformats.org/officeDocument/2006/relationships/hyperlink" Target="https://utrucking.com/admin/orders/5916184903868" TargetMode="External"/><Relationship Id="rId249" Type="http://schemas.openxmlformats.org/officeDocument/2006/relationships/hyperlink" Target="https://utrucking.com/admin/orders/5917518659772" TargetMode="External"/><Relationship Id="rId248" Type="http://schemas.openxmlformats.org/officeDocument/2006/relationships/hyperlink" Target="https://utrucking.com/admin/orders/5917362815164" TargetMode="External"/><Relationship Id="rId247" Type="http://schemas.openxmlformats.org/officeDocument/2006/relationships/hyperlink" Target="https://utrucking.com/admin/orders/5917271326908" TargetMode="External"/><Relationship Id="rId242" Type="http://schemas.openxmlformats.org/officeDocument/2006/relationships/hyperlink" Target="https://utrucking.com/admin/orders/5917073572028" TargetMode="External"/><Relationship Id="rId241" Type="http://schemas.openxmlformats.org/officeDocument/2006/relationships/hyperlink" Target="https://utrucking.com/admin/orders/5917070524604" TargetMode="External"/><Relationship Id="rId240" Type="http://schemas.openxmlformats.org/officeDocument/2006/relationships/hyperlink" Target="https://utrucking.com/admin/orders/5917017964732" TargetMode="External"/><Relationship Id="rId246" Type="http://schemas.openxmlformats.org/officeDocument/2006/relationships/hyperlink" Target="https://utrucking.com/admin/orders/5917160112316" TargetMode="External"/><Relationship Id="rId245" Type="http://schemas.openxmlformats.org/officeDocument/2006/relationships/hyperlink" Target="https://utrucking.com/admin/orders/5917106700476" TargetMode="External"/><Relationship Id="rId244" Type="http://schemas.openxmlformats.org/officeDocument/2006/relationships/hyperlink" Target="https://utrucking.com/admin/orders/5917088547004" TargetMode="External"/><Relationship Id="rId243" Type="http://schemas.openxmlformats.org/officeDocument/2006/relationships/hyperlink" Target="https://utrucking.com/admin/orders/5917080387772" TargetMode="External"/><Relationship Id="rId239" Type="http://schemas.openxmlformats.org/officeDocument/2006/relationships/hyperlink" Target="https://utrucking.com/admin/orders/5916994044092" TargetMode="External"/><Relationship Id="rId238" Type="http://schemas.openxmlformats.org/officeDocument/2006/relationships/hyperlink" Target="https://utrucking.com/admin/orders/5916979757244" TargetMode="External"/><Relationship Id="rId237" Type="http://schemas.openxmlformats.org/officeDocument/2006/relationships/hyperlink" Target="https://utrucking.com/admin/orders/5916966125756" TargetMode="External"/><Relationship Id="rId236" Type="http://schemas.openxmlformats.org/officeDocument/2006/relationships/hyperlink" Target="https://utrucking.com/admin/orders/5916965535932" TargetMode="External"/><Relationship Id="rId231" Type="http://schemas.openxmlformats.org/officeDocument/2006/relationships/hyperlink" Target="https://utrucking.com/admin/orders/5916919627964" TargetMode="External"/><Relationship Id="rId230" Type="http://schemas.openxmlformats.org/officeDocument/2006/relationships/hyperlink" Target="https://utrucking.com/admin/orders/5916870148284" TargetMode="External"/><Relationship Id="rId235" Type="http://schemas.openxmlformats.org/officeDocument/2006/relationships/hyperlink" Target="https://utrucking.com/admin/orders/5916952133820" TargetMode="External"/><Relationship Id="rId234" Type="http://schemas.openxmlformats.org/officeDocument/2006/relationships/hyperlink" Target="https://utrucking.com/admin/orders/5916943188156" TargetMode="External"/><Relationship Id="rId233" Type="http://schemas.openxmlformats.org/officeDocument/2006/relationships/hyperlink" Target="https://utrucking.com/admin/orders/5916935258300" TargetMode="External"/><Relationship Id="rId232" Type="http://schemas.openxmlformats.org/officeDocument/2006/relationships/hyperlink" Target="https://utrucking.com/admin/orders/5916921823420" TargetMode="External"/><Relationship Id="rId651" Type="http://schemas.openxmlformats.org/officeDocument/2006/relationships/drawing" Target="../drawings/drawing10.xml"/><Relationship Id="rId650" Type="http://schemas.openxmlformats.org/officeDocument/2006/relationships/hyperlink" Target="https://utrucking.com/admin/orders/6473822306492" TargetMode="External"/><Relationship Id="rId206" Type="http://schemas.openxmlformats.org/officeDocument/2006/relationships/hyperlink" Target="https://utrucking.com/admin/orders/5915948744892" TargetMode="External"/><Relationship Id="rId205" Type="http://schemas.openxmlformats.org/officeDocument/2006/relationships/hyperlink" Target="https://utrucking.com/admin/orders/5915905884348" TargetMode="External"/><Relationship Id="rId204" Type="http://schemas.openxmlformats.org/officeDocument/2006/relationships/hyperlink" Target="https://utrucking.com/admin/orders/5915888156860" TargetMode="External"/><Relationship Id="rId203" Type="http://schemas.openxmlformats.org/officeDocument/2006/relationships/hyperlink" Target="https://utrucking.com/admin/orders/5915879538876" TargetMode="External"/><Relationship Id="rId209" Type="http://schemas.openxmlformats.org/officeDocument/2006/relationships/hyperlink" Target="https://utrucking.com/admin/orders/5916107636924" TargetMode="External"/><Relationship Id="rId208" Type="http://schemas.openxmlformats.org/officeDocument/2006/relationships/hyperlink" Target="https://utrucking.com/admin/orders/5916042395836" TargetMode="External"/><Relationship Id="rId207" Type="http://schemas.openxmlformats.org/officeDocument/2006/relationships/hyperlink" Target="https://utrucking.com/admin/orders/5916035580092" TargetMode="External"/><Relationship Id="rId202" Type="http://schemas.openxmlformats.org/officeDocument/2006/relationships/hyperlink" Target="https://utrucking.com/admin/orders/5915529838780" TargetMode="External"/><Relationship Id="rId201" Type="http://schemas.openxmlformats.org/officeDocument/2006/relationships/hyperlink" Target="https://utrucking.com/admin/orders/5915512635580" TargetMode="External"/><Relationship Id="rId200" Type="http://schemas.openxmlformats.org/officeDocument/2006/relationships/hyperlink" Target="https://utrucking.com/admin/orders/5915484422332" TargetMode="External"/><Relationship Id="rId190" Type="http://schemas.openxmlformats.org/officeDocument/2006/relationships/hyperlink" Target="https://utrucking.com/admin/orders/5915044053180" TargetMode="External"/><Relationship Id="rId194" Type="http://schemas.openxmlformats.org/officeDocument/2006/relationships/hyperlink" Target="https://utrucking.com/admin/orders/5915173224636" TargetMode="External"/><Relationship Id="rId193" Type="http://schemas.openxmlformats.org/officeDocument/2006/relationships/hyperlink" Target="https://utrucking.com/admin/orders/5915164934332" TargetMode="External"/><Relationship Id="rId192" Type="http://schemas.openxmlformats.org/officeDocument/2006/relationships/hyperlink" Target="https://utrucking.com/admin/orders/5915109163196" TargetMode="External"/><Relationship Id="rId191" Type="http://schemas.openxmlformats.org/officeDocument/2006/relationships/hyperlink" Target="https://utrucking.com/admin/orders/5915044413628" TargetMode="External"/><Relationship Id="rId187" Type="http://schemas.openxmlformats.org/officeDocument/2006/relationships/hyperlink" Target="https://utrucking.com/admin/orders/5914996474044" TargetMode="External"/><Relationship Id="rId186" Type="http://schemas.openxmlformats.org/officeDocument/2006/relationships/hyperlink" Target="https://utrucking.com/admin/orders/5914951811260" TargetMode="External"/><Relationship Id="rId185" Type="http://schemas.openxmlformats.org/officeDocument/2006/relationships/hyperlink" Target="https://utrucking.com/admin/orders/5914930806972" TargetMode="External"/><Relationship Id="rId184" Type="http://schemas.openxmlformats.org/officeDocument/2006/relationships/hyperlink" Target="https://utrucking.com/admin/orders/5914905772220" TargetMode="External"/><Relationship Id="rId189" Type="http://schemas.openxmlformats.org/officeDocument/2006/relationships/hyperlink" Target="https://utrucking.com/admin/orders/5915017707708" TargetMode="External"/><Relationship Id="rId188" Type="http://schemas.openxmlformats.org/officeDocument/2006/relationships/hyperlink" Target="https://utrucking.com/admin/orders/5914999521468" TargetMode="External"/><Relationship Id="rId183" Type="http://schemas.openxmlformats.org/officeDocument/2006/relationships/hyperlink" Target="https://utrucking.com/admin/orders/5914861142204" TargetMode="External"/><Relationship Id="rId182" Type="http://schemas.openxmlformats.org/officeDocument/2006/relationships/hyperlink" Target="https://utrucking.com/admin/orders/5914836926652" TargetMode="External"/><Relationship Id="rId181" Type="http://schemas.openxmlformats.org/officeDocument/2006/relationships/hyperlink" Target="https://utrucking.com/admin/orders/5914819657916" TargetMode="External"/><Relationship Id="rId180" Type="http://schemas.openxmlformats.org/officeDocument/2006/relationships/hyperlink" Target="https://utrucking.com/admin/orders/5914735149244" TargetMode="External"/><Relationship Id="rId176" Type="http://schemas.openxmlformats.org/officeDocument/2006/relationships/hyperlink" Target="https://utrucking.com/admin/orders/5914677379260" TargetMode="External"/><Relationship Id="rId175" Type="http://schemas.openxmlformats.org/officeDocument/2006/relationships/hyperlink" Target="https://utrucking.com/admin/orders/5914665517244" TargetMode="External"/><Relationship Id="rId174" Type="http://schemas.openxmlformats.org/officeDocument/2006/relationships/hyperlink" Target="https://utrucking.com/admin/orders/5914593067196" TargetMode="External"/><Relationship Id="rId173" Type="http://schemas.openxmlformats.org/officeDocument/2006/relationships/hyperlink" Target="https://utrucking.com/admin/orders/5914581336252" TargetMode="External"/><Relationship Id="rId179" Type="http://schemas.openxmlformats.org/officeDocument/2006/relationships/hyperlink" Target="https://utrucking.com/admin/orders/5914728300732" TargetMode="External"/><Relationship Id="rId178" Type="http://schemas.openxmlformats.org/officeDocument/2006/relationships/hyperlink" Target="https://utrucking.com/admin/orders/5914728300732" TargetMode="External"/><Relationship Id="rId177" Type="http://schemas.openxmlformats.org/officeDocument/2006/relationships/hyperlink" Target="https://utrucking.com/admin/orders/5914694090940" TargetMode="External"/><Relationship Id="rId198" Type="http://schemas.openxmlformats.org/officeDocument/2006/relationships/hyperlink" Target="https://utrucking.com/admin/orders/5915445690556" TargetMode="External"/><Relationship Id="rId197" Type="http://schemas.openxmlformats.org/officeDocument/2006/relationships/hyperlink" Target="https://utrucking.com/admin/orders/5915411120316" TargetMode="External"/><Relationship Id="rId196" Type="http://schemas.openxmlformats.org/officeDocument/2006/relationships/hyperlink" Target="https://utrucking.com/admin/orders/5915394441404" TargetMode="External"/><Relationship Id="rId195" Type="http://schemas.openxmlformats.org/officeDocument/2006/relationships/hyperlink" Target="https://utrucking.com/admin/orders/5915235254460" TargetMode="External"/><Relationship Id="rId199" Type="http://schemas.openxmlformats.org/officeDocument/2006/relationships/hyperlink" Target="https://utrucking.com/admin/orders/5915470430396" TargetMode="External"/><Relationship Id="rId150" Type="http://schemas.openxmlformats.org/officeDocument/2006/relationships/hyperlink" Target="https://utrucking.com/admin/orders/5914028507324" TargetMode="External"/><Relationship Id="rId149" Type="http://schemas.openxmlformats.org/officeDocument/2006/relationships/hyperlink" Target="https://utrucking.com/admin/orders/5914018316476" TargetMode="External"/><Relationship Id="rId148" Type="http://schemas.openxmlformats.org/officeDocument/2006/relationships/hyperlink" Target="https://utrucking.com/admin/orders/5914012221628" TargetMode="External"/><Relationship Id="rId143" Type="http://schemas.openxmlformats.org/officeDocument/2006/relationships/hyperlink" Target="https://utrucking.com/admin/orders/5913988530364" TargetMode="External"/><Relationship Id="rId142" Type="http://schemas.openxmlformats.org/officeDocument/2006/relationships/hyperlink" Target="https://utrucking.com/admin/orders/5913972080828" TargetMode="External"/><Relationship Id="rId141" Type="http://schemas.openxmlformats.org/officeDocument/2006/relationships/hyperlink" Target="https://utrucking.com/admin/orders/5913969230012" TargetMode="External"/><Relationship Id="rId140" Type="http://schemas.openxmlformats.org/officeDocument/2006/relationships/hyperlink" Target="https://utrucking.com/admin/orders/5913955238076" TargetMode="External"/><Relationship Id="rId147" Type="http://schemas.openxmlformats.org/officeDocument/2006/relationships/hyperlink" Target="https://utrucking.com/admin/orders/5914010321084" TargetMode="External"/><Relationship Id="rId146" Type="http://schemas.openxmlformats.org/officeDocument/2006/relationships/hyperlink" Target="https://utrucking.com/admin/orders/5914008092860" TargetMode="External"/><Relationship Id="rId145" Type="http://schemas.openxmlformats.org/officeDocument/2006/relationships/hyperlink" Target="https://utrucking.com/admin/orders/5914000130236" TargetMode="External"/><Relationship Id="rId144" Type="http://schemas.openxmlformats.org/officeDocument/2006/relationships/hyperlink" Target="https://utrucking.com/admin/orders/5913989972156" TargetMode="External"/><Relationship Id="rId139" Type="http://schemas.openxmlformats.org/officeDocument/2006/relationships/hyperlink" Target="https://utrucking.com/admin/orders/5913947734204" TargetMode="External"/><Relationship Id="rId138" Type="http://schemas.openxmlformats.org/officeDocument/2006/relationships/hyperlink" Target="https://utrucking.com/admin/orders/5913935577276" TargetMode="External"/><Relationship Id="rId137" Type="http://schemas.openxmlformats.org/officeDocument/2006/relationships/hyperlink" Target="https://utrucking.com/admin/orders/5913928171708" TargetMode="External"/><Relationship Id="rId132" Type="http://schemas.openxmlformats.org/officeDocument/2006/relationships/hyperlink" Target="https://utrucking.com/admin/orders/5913911689404" TargetMode="External"/><Relationship Id="rId131" Type="http://schemas.openxmlformats.org/officeDocument/2006/relationships/hyperlink" Target="https://utrucking.com/admin/orders/5913909362876" TargetMode="External"/><Relationship Id="rId130" Type="http://schemas.openxmlformats.org/officeDocument/2006/relationships/hyperlink" Target="https://utrucking.com/admin/orders/5913903038652" TargetMode="External"/><Relationship Id="rId136" Type="http://schemas.openxmlformats.org/officeDocument/2006/relationships/hyperlink" Target="https://utrucking.com/admin/orders/5913921028284" TargetMode="External"/><Relationship Id="rId135" Type="http://schemas.openxmlformats.org/officeDocument/2006/relationships/hyperlink" Target="https://utrucking.com/admin/orders/5913919226044" TargetMode="External"/><Relationship Id="rId134" Type="http://schemas.openxmlformats.org/officeDocument/2006/relationships/hyperlink" Target="https://utrucking.com/admin/orders/5913918668988" TargetMode="External"/><Relationship Id="rId133" Type="http://schemas.openxmlformats.org/officeDocument/2006/relationships/hyperlink" Target="https://utrucking.com/admin/orders/5913917391036" TargetMode="External"/><Relationship Id="rId172" Type="http://schemas.openxmlformats.org/officeDocument/2006/relationships/hyperlink" Target="https://utrucking.com/admin/orders/5914540441788" TargetMode="External"/><Relationship Id="rId171" Type="http://schemas.openxmlformats.org/officeDocument/2006/relationships/hyperlink" Target="https://utrucking.com/admin/orders/5914515112124" TargetMode="External"/><Relationship Id="rId170" Type="http://schemas.openxmlformats.org/officeDocument/2006/relationships/hyperlink" Target="https://utrucking.com/admin/orders/5914495058108" TargetMode="External"/><Relationship Id="rId165" Type="http://schemas.openxmlformats.org/officeDocument/2006/relationships/hyperlink" Target="https://utrucking.com/admin/orders/5914416939196" TargetMode="External"/><Relationship Id="rId164" Type="http://schemas.openxmlformats.org/officeDocument/2006/relationships/hyperlink" Target="https://utrucking.com/admin/orders/5914411958460" TargetMode="External"/><Relationship Id="rId163" Type="http://schemas.openxmlformats.org/officeDocument/2006/relationships/hyperlink" Target="https://utrucking.com/admin/orders/5914395574460" TargetMode="External"/><Relationship Id="rId162" Type="http://schemas.openxmlformats.org/officeDocument/2006/relationships/hyperlink" Target="https://utrucking.com/admin/orders/5914270269628" TargetMode="External"/><Relationship Id="rId169" Type="http://schemas.openxmlformats.org/officeDocument/2006/relationships/hyperlink" Target="https://utrucking.com/admin/orders/5914475495612" TargetMode="External"/><Relationship Id="rId168" Type="http://schemas.openxmlformats.org/officeDocument/2006/relationships/hyperlink" Target="https://utrucking.com/admin/orders/5914471465148" TargetMode="External"/><Relationship Id="rId167" Type="http://schemas.openxmlformats.org/officeDocument/2006/relationships/hyperlink" Target="https://utrucking.com/admin/orders/5914463731900" TargetMode="External"/><Relationship Id="rId166" Type="http://schemas.openxmlformats.org/officeDocument/2006/relationships/hyperlink" Target="https://utrucking.com/admin/orders/5914453803196" TargetMode="External"/><Relationship Id="rId161" Type="http://schemas.openxmlformats.org/officeDocument/2006/relationships/hyperlink" Target="https://utrucking.com/admin/orders/5914257260732" TargetMode="External"/><Relationship Id="rId160" Type="http://schemas.openxmlformats.org/officeDocument/2006/relationships/hyperlink" Target="https://utrucking.com/admin/orders/5914230358204" TargetMode="External"/><Relationship Id="rId159" Type="http://schemas.openxmlformats.org/officeDocument/2006/relationships/hyperlink" Target="https://utrucking.com/admin/orders/5914184810684" TargetMode="External"/><Relationship Id="rId154" Type="http://schemas.openxmlformats.org/officeDocument/2006/relationships/hyperlink" Target="https://utrucking.com/admin/orders/5914064027836" TargetMode="External"/><Relationship Id="rId153" Type="http://schemas.openxmlformats.org/officeDocument/2006/relationships/hyperlink" Target="https://utrucking.com/admin/orders/5914063798460" TargetMode="External"/><Relationship Id="rId152" Type="http://schemas.openxmlformats.org/officeDocument/2006/relationships/hyperlink" Target="https://utrucking.com/admin/orders/5914061701308" TargetMode="External"/><Relationship Id="rId151" Type="http://schemas.openxmlformats.org/officeDocument/2006/relationships/hyperlink" Target="https://utrucking.com/admin/orders/5914056556732" TargetMode="External"/><Relationship Id="rId158" Type="http://schemas.openxmlformats.org/officeDocument/2006/relationships/hyperlink" Target="https://utrucking.com/admin/orders/5914175570108" TargetMode="External"/><Relationship Id="rId157" Type="http://schemas.openxmlformats.org/officeDocument/2006/relationships/hyperlink" Target="https://utrucking.com/admin/orders/5914113376444" TargetMode="External"/><Relationship Id="rId156" Type="http://schemas.openxmlformats.org/officeDocument/2006/relationships/hyperlink" Target="https://utrucking.com/admin/orders/5914108362940" TargetMode="External"/><Relationship Id="rId155" Type="http://schemas.openxmlformats.org/officeDocument/2006/relationships/hyperlink" Target="https://utrucking.com/admin/orders/5914079002812" TargetMode="External"/><Relationship Id="rId509" Type="http://schemas.openxmlformats.org/officeDocument/2006/relationships/hyperlink" Target="https://utrucking.com/admin/orders/5942375809212" TargetMode="External"/><Relationship Id="rId508" Type="http://schemas.openxmlformats.org/officeDocument/2006/relationships/hyperlink" Target="https://utrucking.com/admin/orders/5942311715004" TargetMode="External"/><Relationship Id="rId503" Type="http://schemas.openxmlformats.org/officeDocument/2006/relationships/hyperlink" Target="https://utrucking.com/admin/orders/5941736145084" TargetMode="External"/><Relationship Id="rId502" Type="http://schemas.openxmlformats.org/officeDocument/2006/relationships/hyperlink" Target="https://utrucking.com/admin/orders/5941498478780" TargetMode="External"/><Relationship Id="rId501" Type="http://schemas.openxmlformats.org/officeDocument/2006/relationships/hyperlink" Target="https://utrucking.com/admin/orders/5941420687548" TargetMode="External"/><Relationship Id="rId500" Type="http://schemas.openxmlformats.org/officeDocument/2006/relationships/hyperlink" Target="https://utrucking.com/admin/orders/5941318222012" TargetMode="External"/><Relationship Id="rId507" Type="http://schemas.openxmlformats.org/officeDocument/2006/relationships/hyperlink" Target="https://utrucking.com/admin/orders/5942173204668" TargetMode="External"/><Relationship Id="rId506" Type="http://schemas.openxmlformats.org/officeDocument/2006/relationships/hyperlink" Target="https://utrucking.com/admin/orders/5942128050364" TargetMode="External"/><Relationship Id="rId505" Type="http://schemas.openxmlformats.org/officeDocument/2006/relationships/hyperlink" Target="https://utrucking.com/admin/orders/5942123102396" TargetMode="External"/><Relationship Id="rId504" Type="http://schemas.openxmlformats.org/officeDocument/2006/relationships/hyperlink" Target="https://utrucking.com/admin/orders/5942097969340" TargetMode="External"/><Relationship Id="rId525" Type="http://schemas.openxmlformats.org/officeDocument/2006/relationships/hyperlink" Target="https://utrucking.com/admin/orders/5944681758908" TargetMode="External"/><Relationship Id="rId524" Type="http://schemas.openxmlformats.org/officeDocument/2006/relationships/hyperlink" Target="https://utrucking.com/admin/orders/5944604229820" TargetMode="External"/><Relationship Id="rId523" Type="http://schemas.openxmlformats.org/officeDocument/2006/relationships/hyperlink" Target="https://utrucking.com/admin/orders/5944313381052" TargetMode="External"/><Relationship Id="rId522" Type="http://schemas.openxmlformats.org/officeDocument/2006/relationships/hyperlink" Target="https://utrucking.com/admin/orders/5944305090748" TargetMode="External"/><Relationship Id="rId529" Type="http://schemas.openxmlformats.org/officeDocument/2006/relationships/hyperlink" Target="https://utrucking.com/admin/orders/5945338003644" TargetMode="External"/><Relationship Id="rId528" Type="http://schemas.openxmlformats.org/officeDocument/2006/relationships/hyperlink" Target="https://utrucking.com/admin/orders/5945272172732" TargetMode="External"/><Relationship Id="rId527" Type="http://schemas.openxmlformats.org/officeDocument/2006/relationships/hyperlink" Target="https://utrucking.com/admin/orders/5945072124092" TargetMode="External"/><Relationship Id="rId526" Type="http://schemas.openxmlformats.org/officeDocument/2006/relationships/hyperlink" Target="https://utrucking.com/admin/orders/5944857329852" TargetMode="External"/><Relationship Id="rId521" Type="http://schemas.openxmlformats.org/officeDocument/2006/relationships/hyperlink" Target="https://utrucking.com/admin/orders/5944282415292" TargetMode="External"/><Relationship Id="rId520" Type="http://schemas.openxmlformats.org/officeDocument/2006/relationships/hyperlink" Target="https://utrucking.com/admin/orders/5944271863996" TargetMode="External"/><Relationship Id="rId519" Type="http://schemas.openxmlformats.org/officeDocument/2006/relationships/hyperlink" Target="https://utrucking.com/admin/orders/5944233296060" TargetMode="External"/><Relationship Id="rId514" Type="http://schemas.openxmlformats.org/officeDocument/2006/relationships/hyperlink" Target="https://utrucking.com/admin/orders/5943095820476" TargetMode="External"/><Relationship Id="rId513" Type="http://schemas.openxmlformats.org/officeDocument/2006/relationships/hyperlink" Target="https://utrucking.com/admin/orders/5942613475516" TargetMode="External"/><Relationship Id="rId512" Type="http://schemas.openxmlformats.org/officeDocument/2006/relationships/hyperlink" Target="https://utrucking.com/admin/orders/5942594011324" TargetMode="External"/><Relationship Id="rId511" Type="http://schemas.openxmlformats.org/officeDocument/2006/relationships/hyperlink" Target="https://utrucking.com/admin/orders/5942574219452" TargetMode="External"/><Relationship Id="rId518" Type="http://schemas.openxmlformats.org/officeDocument/2006/relationships/hyperlink" Target="https://utrucking.com/admin/orders/5944049926332" TargetMode="External"/><Relationship Id="rId517" Type="http://schemas.openxmlformats.org/officeDocument/2006/relationships/hyperlink" Target="https://utrucking.com/admin/orders/5943885365436" TargetMode="External"/><Relationship Id="rId516" Type="http://schemas.openxmlformats.org/officeDocument/2006/relationships/hyperlink" Target="https://utrucking.com/admin/orders/5943549788348" TargetMode="External"/><Relationship Id="rId515" Type="http://schemas.openxmlformats.org/officeDocument/2006/relationships/hyperlink" Target="https://utrucking.com/admin/orders/5943322575036" TargetMode="External"/><Relationship Id="rId510" Type="http://schemas.openxmlformats.org/officeDocument/2006/relationships/hyperlink" Target="https://utrucking.com/admin/orders/5942379806908" TargetMode="External"/><Relationship Id="rId590" Type="http://schemas.openxmlformats.org/officeDocument/2006/relationships/hyperlink" Target="https://utrucking.com/admin/orders/5950276075708" TargetMode="External"/><Relationship Id="rId107" Type="http://schemas.openxmlformats.org/officeDocument/2006/relationships/hyperlink" Target="https://utrucking.com/admin/orders/5913694732476" TargetMode="External"/><Relationship Id="rId106" Type="http://schemas.openxmlformats.org/officeDocument/2006/relationships/hyperlink" Target="https://utrucking.com/admin/orders/5913682542780" TargetMode="External"/><Relationship Id="rId105" Type="http://schemas.openxmlformats.org/officeDocument/2006/relationships/hyperlink" Target="https://utrucking.com/admin/orders/5913664520380" TargetMode="External"/><Relationship Id="rId589" Type="http://schemas.openxmlformats.org/officeDocument/2006/relationships/hyperlink" Target="https://utrucking.com/admin/orders/5950249926844" TargetMode="External"/><Relationship Id="rId104" Type="http://schemas.openxmlformats.org/officeDocument/2006/relationships/hyperlink" Target="https://utrucking.com/admin/orders/5913659113660" TargetMode="External"/><Relationship Id="rId588" Type="http://schemas.openxmlformats.org/officeDocument/2006/relationships/hyperlink" Target="https://utrucking.com/admin/orders/5950185439420" TargetMode="External"/><Relationship Id="rId109" Type="http://schemas.openxmlformats.org/officeDocument/2006/relationships/hyperlink" Target="https://utrucking.com/admin/orders/5913743884476" TargetMode="External"/><Relationship Id="rId108" Type="http://schemas.openxmlformats.org/officeDocument/2006/relationships/hyperlink" Target="https://utrucking.com/admin/orders/5913743425724" TargetMode="External"/><Relationship Id="rId583" Type="http://schemas.openxmlformats.org/officeDocument/2006/relationships/hyperlink" Target="https://utrucking.com/admin/orders/5949408084156" TargetMode="External"/><Relationship Id="rId582" Type="http://schemas.openxmlformats.org/officeDocument/2006/relationships/hyperlink" Target="https://utrucking.com/admin/orders/5949254402236" TargetMode="External"/><Relationship Id="rId581" Type="http://schemas.openxmlformats.org/officeDocument/2006/relationships/hyperlink" Target="https://utrucking.com/admin/orders/5949197811900" TargetMode="External"/><Relationship Id="rId580" Type="http://schemas.openxmlformats.org/officeDocument/2006/relationships/hyperlink" Target="https://utrucking.com/admin/orders/5949179527356" TargetMode="External"/><Relationship Id="rId103" Type="http://schemas.openxmlformats.org/officeDocument/2006/relationships/hyperlink" Target="https://utrucking.com/admin/orders/5913656131772" TargetMode="External"/><Relationship Id="rId587" Type="http://schemas.openxmlformats.org/officeDocument/2006/relationships/hyperlink" Target="https://utrucking.com/admin/orders/5950184227004" TargetMode="External"/><Relationship Id="rId102" Type="http://schemas.openxmlformats.org/officeDocument/2006/relationships/hyperlink" Target="https://utrucking.com/admin/orders/5913604882620" TargetMode="External"/><Relationship Id="rId586" Type="http://schemas.openxmlformats.org/officeDocument/2006/relationships/hyperlink" Target="https://utrucking.com/admin/orders/5950144774332" TargetMode="External"/><Relationship Id="rId101" Type="http://schemas.openxmlformats.org/officeDocument/2006/relationships/hyperlink" Target="https://utrucking.com/admin/orders/5913582665916" TargetMode="External"/><Relationship Id="rId585" Type="http://schemas.openxmlformats.org/officeDocument/2006/relationships/hyperlink" Target="https://utrucking.com/admin/orders/5949928505532" TargetMode="External"/><Relationship Id="rId100" Type="http://schemas.openxmlformats.org/officeDocument/2006/relationships/hyperlink" Target="https://utrucking.com/admin/orders/5913577259196" TargetMode="External"/><Relationship Id="rId584" Type="http://schemas.openxmlformats.org/officeDocument/2006/relationships/hyperlink" Target="https://utrucking.com/admin/orders/5949423059132" TargetMode="External"/><Relationship Id="rId579" Type="http://schemas.openxmlformats.org/officeDocument/2006/relationships/hyperlink" Target="https://utrucking.com/admin/orders/5949060546748" TargetMode="External"/><Relationship Id="rId578" Type="http://schemas.openxmlformats.org/officeDocument/2006/relationships/hyperlink" Target="https://utrucking.com/admin/orders/5948618080444" TargetMode="External"/><Relationship Id="rId577" Type="http://schemas.openxmlformats.org/officeDocument/2006/relationships/hyperlink" Target="https://utrucking.com/admin/orders/5948603334844" TargetMode="External"/><Relationship Id="rId572" Type="http://schemas.openxmlformats.org/officeDocument/2006/relationships/hyperlink" Target="https://utrucking.com/admin/orders/5948480880828" TargetMode="External"/><Relationship Id="rId571" Type="http://schemas.openxmlformats.org/officeDocument/2006/relationships/hyperlink" Target="https://utrucking.com/admin/orders/5948228436156" TargetMode="External"/><Relationship Id="rId570" Type="http://schemas.openxmlformats.org/officeDocument/2006/relationships/hyperlink" Target="https://utrucking.com/admin/orders/5948214640828" TargetMode="External"/><Relationship Id="rId576" Type="http://schemas.openxmlformats.org/officeDocument/2006/relationships/hyperlink" Target="https://utrucking.com/admin/orders/5948593995964" TargetMode="External"/><Relationship Id="rId575" Type="http://schemas.openxmlformats.org/officeDocument/2006/relationships/hyperlink" Target="https://utrucking.com/admin/orders/5948586066108" TargetMode="External"/><Relationship Id="rId574" Type="http://schemas.openxmlformats.org/officeDocument/2006/relationships/hyperlink" Target="https://utrucking.com/admin/orders/5948521283772" TargetMode="External"/><Relationship Id="rId573" Type="http://schemas.openxmlformats.org/officeDocument/2006/relationships/hyperlink" Target="https://utrucking.com/admin/orders/5948494315708" TargetMode="External"/><Relationship Id="rId129" Type="http://schemas.openxmlformats.org/officeDocument/2006/relationships/hyperlink" Target="https://utrucking.com/admin/orders/5913901465788" TargetMode="External"/><Relationship Id="rId128" Type="http://schemas.openxmlformats.org/officeDocument/2006/relationships/hyperlink" Target="https://utrucking.com/admin/orders/5913895862460" TargetMode="External"/><Relationship Id="rId127" Type="http://schemas.openxmlformats.org/officeDocument/2006/relationships/hyperlink" Target="https://utrucking.com/admin/orders/5913884852412" TargetMode="External"/><Relationship Id="rId126" Type="http://schemas.openxmlformats.org/officeDocument/2006/relationships/hyperlink" Target="https://utrucking.com/admin/orders/5913866764476" TargetMode="External"/><Relationship Id="rId121" Type="http://schemas.openxmlformats.org/officeDocument/2006/relationships/hyperlink" Target="https://utrucking.com/admin/orders/5913838387388" TargetMode="External"/><Relationship Id="rId120" Type="http://schemas.openxmlformats.org/officeDocument/2006/relationships/hyperlink" Target="https://utrucking.com/admin/orders/5913829441724" TargetMode="External"/><Relationship Id="rId125" Type="http://schemas.openxmlformats.org/officeDocument/2006/relationships/hyperlink" Target="https://utrucking.com/admin/orders/5913861816508" TargetMode="External"/><Relationship Id="rId124" Type="http://schemas.openxmlformats.org/officeDocument/2006/relationships/hyperlink" Target="https://utrucking.com/admin/orders/5913857589436" TargetMode="External"/><Relationship Id="rId123" Type="http://schemas.openxmlformats.org/officeDocument/2006/relationships/hyperlink" Target="https://utrucking.com/admin/orders/5913853329596" TargetMode="External"/><Relationship Id="rId122" Type="http://schemas.openxmlformats.org/officeDocument/2006/relationships/hyperlink" Target="https://utrucking.com/admin/orders/5913843302588" TargetMode="External"/><Relationship Id="rId118" Type="http://schemas.openxmlformats.org/officeDocument/2006/relationships/hyperlink" Target="https://utrucking.com/admin/orders/5913811288252" TargetMode="External"/><Relationship Id="rId117" Type="http://schemas.openxmlformats.org/officeDocument/2006/relationships/hyperlink" Target="https://utrucking.com/admin/orders/5913809060028" TargetMode="External"/><Relationship Id="rId116" Type="http://schemas.openxmlformats.org/officeDocument/2006/relationships/hyperlink" Target="https://utrucking.com/admin/orders/5913805488316" TargetMode="External"/><Relationship Id="rId115" Type="http://schemas.openxmlformats.org/officeDocument/2006/relationships/hyperlink" Target="https://utrucking.com/admin/orders/5913804701884" TargetMode="External"/><Relationship Id="rId599" Type="http://schemas.openxmlformats.org/officeDocument/2006/relationships/hyperlink" Target="https://utrucking.com/admin/orders/5951450644668" TargetMode="External"/><Relationship Id="rId119" Type="http://schemas.openxmlformats.org/officeDocument/2006/relationships/hyperlink" Target="https://utrucking.com/admin/orders/5913815810236" TargetMode="External"/><Relationship Id="rId110" Type="http://schemas.openxmlformats.org/officeDocument/2006/relationships/hyperlink" Target="https://utrucking.com/admin/orders/5913744801980" TargetMode="External"/><Relationship Id="rId594" Type="http://schemas.openxmlformats.org/officeDocument/2006/relationships/hyperlink" Target="https://utrucking.com/admin/orders/5950466359484" TargetMode="External"/><Relationship Id="rId593" Type="http://schemas.openxmlformats.org/officeDocument/2006/relationships/hyperlink" Target="https://utrucking.com/admin/orders/5950299472060" TargetMode="External"/><Relationship Id="rId592" Type="http://schemas.openxmlformats.org/officeDocument/2006/relationships/hyperlink" Target="https://utrucking.com/admin/orders/5950289608892" TargetMode="External"/><Relationship Id="rId591" Type="http://schemas.openxmlformats.org/officeDocument/2006/relationships/hyperlink" Target="https://utrucking.com/admin/orders/5950282924220" TargetMode="External"/><Relationship Id="rId114" Type="http://schemas.openxmlformats.org/officeDocument/2006/relationships/hyperlink" Target="https://utrucking.com/admin/orders/5913802866876" TargetMode="External"/><Relationship Id="rId598" Type="http://schemas.openxmlformats.org/officeDocument/2006/relationships/hyperlink" Target="https://utrucking.com/admin/orders/5951421710524" TargetMode="External"/><Relationship Id="rId113" Type="http://schemas.openxmlformats.org/officeDocument/2006/relationships/hyperlink" Target="https://utrucking.com/admin/orders/5913784549564" TargetMode="External"/><Relationship Id="rId597" Type="http://schemas.openxmlformats.org/officeDocument/2006/relationships/hyperlink" Target="https://utrucking.com/admin/orders/5951342411964" TargetMode="External"/><Relationship Id="rId112" Type="http://schemas.openxmlformats.org/officeDocument/2006/relationships/hyperlink" Target="https://utrucking.com/admin/orders/5913769410748" TargetMode="External"/><Relationship Id="rId596" Type="http://schemas.openxmlformats.org/officeDocument/2006/relationships/hyperlink" Target="https://utrucking.com/admin/orders/5950967939260" TargetMode="External"/><Relationship Id="rId111" Type="http://schemas.openxmlformats.org/officeDocument/2006/relationships/hyperlink" Target="https://utrucking.com/admin/orders/5913759187132" TargetMode="External"/><Relationship Id="rId595" Type="http://schemas.openxmlformats.org/officeDocument/2006/relationships/hyperlink" Target="https://utrucking.com/admin/orders/5950803312828" TargetMode="External"/><Relationship Id="rId547" Type="http://schemas.openxmlformats.org/officeDocument/2006/relationships/hyperlink" Target="https://utrucking.com/admin/orders/5946678608060" TargetMode="External"/><Relationship Id="rId546" Type="http://schemas.openxmlformats.org/officeDocument/2006/relationships/hyperlink" Target="https://utrucking.com/admin/orders/5946522009788" TargetMode="External"/><Relationship Id="rId545" Type="http://schemas.openxmlformats.org/officeDocument/2006/relationships/hyperlink" Target="https://utrucking.com/admin/orders/5946452443324" TargetMode="External"/><Relationship Id="rId544" Type="http://schemas.openxmlformats.org/officeDocument/2006/relationships/hyperlink" Target="https://utrucking.com/admin/orders/5946371801276" TargetMode="External"/><Relationship Id="rId549" Type="http://schemas.openxmlformats.org/officeDocument/2006/relationships/hyperlink" Target="https://utrucking.com/admin/orders/5946719830204" TargetMode="External"/><Relationship Id="rId548" Type="http://schemas.openxmlformats.org/officeDocument/2006/relationships/hyperlink" Target="https://utrucking.com/admin/orders/5946683588796" TargetMode="External"/><Relationship Id="rId543" Type="http://schemas.openxmlformats.org/officeDocument/2006/relationships/hyperlink" Target="https://utrucking.com/admin/orders/5946279067836" TargetMode="External"/><Relationship Id="rId542" Type="http://schemas.openxmlformats.org/officeDocument/2006/relationships/hyperlink" Target="https://utrucking.com/admin/orders/5946243645628" TargetMode="External"/><Relationship Id="rId541" Type="http://schemas.openxmlformats.org/officeDocument/2006/relationships/hyperlink" Target="https://utrucking.com/admin/orders/5946068369596" TargetMode="External"/><Relationship Id="rId540" Type="http://schemas.openxmlformats.org/officeDocument/2006/relationships/hyperlink" Target="https://utrucking.com/admin/orders/5945960661180" TargetMode="External"/><Relationship Id="rId536" Type="http://schemas.openxmlformats.org/officeDocument/2006/relationships/hyperlink" Target="https://utrucking.com/admin/orders/5945695731900" TargetMode="External"/><Relationship Id="rId535" Type="http://schemas.openxmlformats.org/officeDocument/2006/relationships/hyperlink" Target="https://utrucking.com/admin/orders/5945651921084" TargetMode="External"/><Relationship Id="rId534" Type="http://schemas.openxmlformats.org/officeDocument/2006/relationships/hyperlink" Target="https://utrucking.com/admin/orders/5945651298492" TargetMode="External"/><Relationship Id="rId533" Type="http://schemas.openxmlformats.org/officeDocument/2006/relationships/hyperlink" Target="https://utrucking.com/admin/orders/5945591791804" TargetMode="External"/><Relationship Id="rId539" Type="http://schemas.openxmlformats.org/officeDocument/2006/relationships/hyperlink" Target="https://utrucking.com/admin/orders/5945857081532" TargetMode="External"/><Relationship Id="rId538" Type="http://schemas.openxmlformats.org/officeDocument/2006/relationships/hyperlink" Target="https://utrucking.com/admin/orders/5945784008892" TargetMode="External"/><Relationship Id="rId537" Type="http://schemas.openxmlformats.org/officeDocument/2006/relationships/hyperlink" Target="https://utrucking.com/admin/orders/5945768247484" TargetMode="External"/><Relationship Id="rId532" Type="http://schemas.openxmlformats.org/officeDocument/2006/relationships/hyperlink" Target="https://utrucking.com/admin/orders/5945528189116" TargetMode="External"/><Relationship Id="rId531" Type="http://schemas.openxmlformats.org/officeDocument/2006/relationships/hyperlink" Target="https://utrucking.com/admin/orders/5945397313724" TargetMode="External"/><Relationship Id="rId530" Type="http://schemas.openxmlformats.org/officeDocument/2006/relationships/hyperlink" Target="https://utrucking.com/admin/orders/5945389842620" TargetMode="External"/><Relationship Id="rId569" Type="http://schemas.openxmlformats.org/officeDocument/2006/relationships/hyperlink" Target="https://utrucking.com/admin/orders/5948208054460" TargetMode="External"/><Relationship Id="rId568" Type="http://schemas.openxmlformats.org/officeDocument/2006/relationships/hyperlink" Target="https://utrucking.com/admin/orders/5948124856508" TargetMode="External"/><Relationship Id="rId567" Type="http://schemas.openxmlformats.org/officeDocument/2006/relationships/hyperlink" Target="https://utrucking.com/admin/orders/5948122661052" TargetMode="External"/><Relationship Id="rId566" Type="http://schemas.openxmlformats.org/officeDocument/2006/relationships/hyperlink" Target="https://utrucking.com/admin/orders/5948118597820" TargetMode="External"/><Relationship Id="rId561" Type="http://schemas.openxmlformats.org/officeDocument/2006/relationships/hyperlink" Target="https://utrucking.com/admin/orders/5947748352188" TargetMode="External"/><Relationship Id="rId560" Type="http://schemas.openxmlformats.org/officeDocument/2006/relationships/hyperlink" Target="https://utrucking.com/admin/orders/5947696709820" TargetMode="External"/><Relationship Id="rId565" Type="http://schemas.openxmlformats.org/officeDocument/2006/relationships/hyperlink" Target="https://utrucking.com/admin/orders/5948096184508" TargetMode="External"/><Relationship Id="rId564" Type="http://schemas.openxmlformats.org/officeDocument/2006/relationships/hyperlink" Target="https://utrucking.com/admin/orders/5948082061500" TargetMode="External"/><Relationship Id="rId563" Type="http://schemas.openxmlformats.org/officeDocument/2006/relationships/hyperlink" Target="https://utrucking.com/admin/orders/5948045164732" TargetMode="External"/><Relationship Id="rId562" Type="http://schemas.openxmlformats.org/officeDocument/2006/relationships/hyperlink" Target="https://utrucking.com/admin/orders/5948039332028" TargetMode="External"/><Relationship Id="rId558" Type="http://schemas.openxmlformats.org/officeDocument/2006/relationships/hyperlink" Target="https://utrucking.com/admin/orders/5947523334332" TargetMode="External"/><Relationship Id="rId557" Type="http://schemas.openxmlformats.org/officeDocument/2006/relationships/hyperlink" Target="https://utrucking.com/admin/orders/5947516813500" TargetMode="External"/><Relationship Id="rId556" Type="http://schemas.openxmlformats.org/officeDocument/2006/relationships/hyperlink" Target="https://utrucking.com/admin/orders/5947030143164" TargetMode="External"/><Relationship Id="rId555" Type="http://schemas.openxmlformats.org/officeDocument/2006/relationships/hyperlink" Target="https://utrucking.com/admin/orders/5946982170812" TargetMode="External"/><Relationship Id="rId559" Type="http://schemas.openxmlformats.org/officeDocument/2006/relationships/hyperlink" Target="https://utrucking.com/admin/orders/5947531002044" TargetMode="External"/><Relationship Id="rId550" Type="http://schemas.openxmlformats.org/officeDocument/2006/relationships/hyperlink" Target="https://utrucking.com/admin/orders/5946779697340" TargetMode="External"/><Relationship Id="rId554" Type="http://schemas.openxmlformats.org/officeDocument/2006/relationships/hyperlink" Target="https://utrucking.com/admin/orders/5946929774780" TargetMode="External"/><Relationship Id="rId553" Type="http://schemas.openxmlformats.org/officeDocument/2006/relationships/hyperlink" Target="https://utrucking.com/admin/orders/5946903724220" TargetMode="External"/><Relationship Id="rId552" Type="http://schemas.openxmlformats.org/officeDocument/2006/relationships/hyperlink" Target="https://utrucking.com/admin/orders/5946886160572" TargetMode="External"/><Relationship Id="rId551" Type="http://schemas.openxmlformats.org/officeDocument/2006/relationships/hyperlink" Target="https://utrucking.com/admin/orders/5946855620796" TargetMode="External"/><Relationship Id="rId495" Type="http://schemas.openxmlformats.org/officeDocument/2006/relationships/hyperlink" Target="https://utrucking.com/admin/orders/5940395671740" TargetMode="External"/><Relationship Id="rId494" Type="http://schemas.openxmlformats.org/officeDocument/2006/relationships/hyperlink" Target="https://utrucking.com/admin/orders/5940378173628" TargetMode="External"/><Relationship Id="rId493" Type="http://schemas.openxmlformats.org/officeDocument/2006/relationships/hyperlink" Target="https://utrucking.com/admin/orders/5940192870588" TargetMode="External"/><Relationship Id="rId492" Type="http://schemas.openxmlformats.org/officeDocument/2006/relationships/hyperlink" Target="https://utrucking.com/admin/orders/5940189429948" TargetMode="External"/><Relationship Id="rId499" Type="http://schemas.openxmlformats.org/officeDocument/2006/relationships/hyperlink" Target="https://utrucking.com/admin/orders/5941285421244" TargetMode="External"/><Relationship Id="rId498" Type="http://schemas.openxmlformats.org/officeDocument/2006/relationships/hyperlink" Target="https://utrucking.com/admin/orders/5941208318140" TargetMode="External"/><Relationship Id="rId497" Type="http://schemas.openxmlformats.org/officeDocument/2006/relationships/hyperlink" Target="https://utrucking.com/admin/orders/5940849639612" TargetMode="External"/><Relationship Id="rId496" Type="http://schemas.openxmlformats.org/officeDocument/2006/relationships/hyperlink" Target="https://utrucking.com/admin/orders/5940559970492" TargetMode="External"/><Relationship Id="rId409" Type="http://schemas.openxmlformats.org/officeDocument/2006/relationships/hyperlink" Target="https://utrucking.com/admin/orders/5930540400828" TargetMode="External"/><Relationship Id="rId404" Type="http://schemas.openxmlformats.org/officeDocument/2006/relationships/hyperlink" Target="https://utrucking.com/admin/orders/5929847324860" TargetMode="External"/><Relationship Id="rId403" Type="http://schemas.openxmlformats.org/officeDocument/2006/relationships/hyperlink" Target="https://utrucking.com/admin/orders/5929843032252" TargetMode="External"/><Relationship Id="rId402" Type="http://schemas.openxmlformats.org/officeDocument/2006/relationships/hyperlink" Target="https://utrucking.com/admin/orders/5929812492476" TargetMode="External"/><Relationship Id="rId401" Type="http://schemas.openxmlformats.org/officeDocument/2006/relationships/hyperlink" Target="https://utrucking.com/admin/orders/5929770909884" TargetMode="External"/><Relationship Id="rId408" Type="http://schemas.openxmlformats.org/officeDocument/2006/relationships/hyperlink" Target="https://utrucking.com/admin/orders/5930439868604" TargetMode="External"/><Relationship Id="rId407" Type="http://schemas.openxmlformats.org/officeDocument/2006/relationships/hyperlink" Target="https://utrucking.com/admin/orders/5930162094268" TargetMode="External"/><Relationship Id="rId406" Type="http://schemas.openxmlformats.org/officeDocument/2006/relationships/hyperlink" Target="https://utrucking.com/admin/orders/5929907880124" TargetMode="External"/><Relationship Id="rId405" Type="http://schemas.openxmlformats.org/officeDocument/2006/relationships/hyperlink" Target="https://utrucking.com/admin/orders/5929875177660" TargetMode="External"/><Relationship Id="rId400" Type="http://schemas.openxmlformats.org/officeDocument/2006/relationships/hyperlink" Target="https://utrucking.com/admin/orders/5929736962236" TargetMode="External"/><Relationship Id="rId469" Type="http://schemas.openxmlformats.org/officeDocument/2006/relationships/hyperlink" Target="https://utrucking.com/admin/orders/5937056448700" TargetMode="External"/><Relationship Id="rId468" Type="http://schemas.openxmlformats.org/officeDocument/2006/relationships/hyperlink" Target="https://utrucking.com/admin/orders/5937032855740" TargetMode="External"/><Relationship Id="rId467" Type="http://schemas.openxmlformats.org/officeDocument/2006/relationships/hyperlink" Target="https://utrucking.com/admin/orders/5936930881724" TargetMode="External"/><Relationship Id="rId462" Type="http://schemas.openxmlformats.org/officeDocument/2006/relationships/hyperlink" Target="https://utrucking.com/admin/orders/5936381690044" TargetMode="External"/><Relationship Id="rId461" Type="http://schemas.openxmlformats.org/officeDocument/2006/relationships/hyperlink" Target="https://utrucking.com/admin/orders/5936342335676" TargetMode="External"/><Relationship Id="rId460" Type="http://schemas.openxmlformats.org/officeDocument/2006/relationships/hyperlink" Target="https://utrucking.com/admin/orders/5936324182204" TargetMode="External"/><Relationship Id="rId466" Type="http://schemas.openxmlformats.org/officeDocument/2006/relationships/hyperlink" Target="https://utrucking.com/admin/orders/5936860954812" TargetMode="External"/><Relationship Id="rId465" Type="http://schemas.openxmlformats.org/officeDocument/2006/relationships/hyperlink" Target="https://utrucking.com/admin/orders/5936542810300" TargetMode="External"/><Relationship Id="rId464" Type="http://schemas.openxmlformats.org/officeDocument/2006/relationships/hyperlink" Target="https://utrucking.com/admin/orders/5936419799228" TargetMode="External"/><Relationship Id="rId463" Type="http://schemas.openxmlformats.org/officeDocument/2006/relationships/hyperlink" Target="https://utrucking.com/admin/orders/5936390176956" TargetMode="External"/><Relationship Id="rId459" Type="http://schemas.openxmlformats.org/officeDocument/2006/relationships/hyperlink" Target="https://utrucking.com/admin/orders/5936134127804" TargetMode="External"/><Relationship Id="rId458" Type="http://schemas.openxmlformats.org/officeDocument/2006/relationships/hyperlink" Target="https://utrucking.com/admin/orders/5936041918652" TargetMode="External"/><Relationship Id="rId457" Type="http://schemas.openxmlformats.org/officeDocument/2006/relationships/hyperlink" Target="https://utrucking.com/admin/orders/5936009740476" TargetMode="External"/><Relationship Id="rId456" Type="http://schemas.openxmlformats.org/officeDocument/2006/relationships/hyperlink" Target="https://utrucking.com/admin/orders/5935992766652" TargetMode="External"/><Relationship Id="rId451" Type="http://schemas.openxmlformats.org/officeDocument/2006/relationships/hyperlink" Target="https://utrucking.com/admin/orders/5935094005948" TargetMode="External"/><Relationship Id="rId450" Type="http://schemas.openxmlformats.org/officeDocument/2006/relationships/hyperlink" Target="https://utrucking.com/admin/orders/5934940291260" TargetMode="External"/><Relationship Id="rId455" Type="http://schemas.openxmlformats.org/officeDocument/2006/relationships/hyperlink" Target="https://utrucking.com/admin/orders/5935940632764" TargetMode="External"/><Relationship Id="rId454" Type="http://schemas.openxmlformats.org/officeDocument/2006/relationships/hyperlink" Target="https://utrucking.com/admin/orders/5935615180988" TargetMode="External"/><Relationship Id="rId453" Type="http://schemas.openxmlformats.org/officeDocument/2006/relationships/hyperlink" Target="https://utrucking.com/admin/orders/5935387017404" TargetMode="External"/><Relationship Id="rId452" Type="http://schemas.openxmlformats.org/officeDocument/2006/relationships/hyperlink" Target="https://utrucking.com/admin/orders/5935290876092" TargetMode="External"/><Relationship Id="rId491" Type="http://schemas.openxmlformats.org/officeDocument/2006/relationships/hyperlink" Target="https://utrucking.com/admin/orders/5940171505852" TargetMode="External"/><Relationship Id="rId490" Type="http://schemas.openxmlformats.org/officeDocument/2006/relationships/hyperlink" Target="https://utrucking.com/admin/orders/5939801751740" TargetMode="External"/><Relationship Id="rId489" Type="http://schemas.openxmlformats.org/officeDocument/2006/relationships/hyperlink" Target="https://utrucking.com/admin/orders/5939552714940" TargetMode="External"/><Relationship Id="rId484" Type="http://schemas.openxmlformats.org/officeDocument/2006/relationships/hyperlink" Target="https://utrucking.com/admin/orders/5939119227068" TargetMode="External"/><Relationship Id="rId483" Type="http://schemas.openxmlformats.org/officeDocument/2006/relationships/hyperlink" Target="https://utrucking.com/admin/orders/5939044024508" TargetMode="External"/><Relationship Id="rId482" Type="http://schemas.openxmlformats.org/officeDocument/2006/relationships/hyperlink" Target="https://utrucking.com/admin/orders/5938976719036" TargetMode="External"/><Relationship Id="rId481" Type="http://schemas.openxmlformats.org/officeDocument/2006/relationships/hyperlink" Target="https://utrucking.com/admin/orders/5938380734652" TargetMode="External"/><Relationship Id="rId488" Type="http://schemas.openxmlformats.org/officeDocument/2006/relationships/hyperlink" Target="https://utrucking.com/admin/orders/5939433603260" TargetMode="External"/><Relationship Id="rId487" Type="http://schemas.openxmlformats.org/officeDocument/2006/relationships/hyperlink" Target="https://utrucking.com/admin/orders/5939314753724" TargetMode="External"/><Relationship Id="rId486" Type="http://schemas.openxmlformats.org/officeDocument/2006/relationships/hyperlink" Target="https://utrucking.com/admin/orders/5939197280444" TargetMode="External"/><Relationship Id="rId485" Type="http://schemas.openxmlformats.org/officeDocument/2006/relationships/hyperlink" Target="https://utrucking.com/admin/orders/5939136954556" TargetMode="External"/><Relationship Id="rId480" Type="http://schemas.openxmlformats.org/officeDocument/2006/relationships/hyperlink" Target="https://utrucking.com/admin/orders/5938365890748" TargetMode="External"/><Relationship Id="rId479" Type="http://schemas.openxmlformats.org/officeDocument/2006/relationships/hyperlink" Target="https://utrucking.com/admin/orders/5938211193020" TargetMode="External"/><Relationship Id="rId478" Type="http://schemas.openxmlformats.org/officeDocument/2006/relationships/hyperlink" Target="https://utrucking.com/admin/orders/5938082152636" TargetMode="External"/><Relationship Id="rId473" Type="http://schemas.openxmlformats.org/officeDocument/2006/relationships/hyperlink" Target="https://utrucking.com/admin/orders/5937344872636" TargetMode="External"/><Relationship Id="rId472" Type="http://schemas.openxmlformats.org/officeDocument/2006/relationships/hyperlink" Target="https://utrucking.com/admin/orders/5937224188092" TargetMode="External"/><Relationship Id="rId471" Type="http://schemas.openxmlformats.org/officeDocument/2006/relationships/hyperlink" Target="https://utrucking.com/admin/orders/5937197908156" TargetMode="External"/><Relationship Id="rId470" Type="http://schemas.openxmlformats.org/officeDocument/2006/relationships/hyperlink" Target="https://utrucking.com/admin/orders/5937175625916" TargetMode="External"/><Relationship Id="rId477" Type="http://schemas.openxmlformats.org/officeDocument/2006/relationships/hyperlink" Target="https://utrucking.com/admin/orders/5937929552060" TargetMode="External"/><Relationship Id="rId476" Type="http://schemas.openxmlformats.org/officeDocument/2006/relationships/hyperlink" Target="https://utrucking.com/admin/orders/5937673568444" TargetMode="External"/><Relationship Id="rId475" Type="http://schemas.openxmlformats.org/officeDocument/2006/relationships/hyperlink" Target="https://utrucking.com/admin/orders/5937666851004" TargetMode="External"/><Relationship Id="rId474" Type="http://schemas.openxmlformats.org/officeDocument/2006/relationships/hyperlink" Target="https://admin.shopify.com/store/utrucking/orders/5937637720252?link_source=search" TargetMode="External"/><Relationship Id="rId426" Type="http://schemas.openxmlformats.org/officeDocument/2006/relationships/hyperlink" Target="https://utrucking.com/admin/orders/5932749160636" TargetMode="External"/><Relationship Id="rId425" Type="http://schemas.openxmlformats.org/officeDocument/2006/relationships/hyperlink" Target="https://utrucking.com/admin/orders/5932735135932" TargetMode="External"/><Relationship Id="rId424" Type="http://schemas.openxmlformats.org/officeDocument/2006/relationships/hyperlink" Target="https://utrucking.com/admin/orders/5932721176764" TargetMode="External"/><Relationship Id="rId423" Type="http://schemas.openxmlformats.org/officeDocument/2006/relationships/hyperlink" Target="https://utrucking.com/admin/orders/5932711477436" TargetMode="External"/><Relationship Id="rId429" Type="http://schemas.openxmlformats.org/officeDocument/2006/relationships/hyperlink" Target="https://utrucking.com/admin/orders/5932867485884" TargetMode="External"/><Relationship Id="rId428" Type="http://schemas.openxmlformats.org/officeDocument/2006/relationships/hyperlink" Target="https://utrucking.com/admin/orders/5932833833148" TargetMode="External"/><Relationship Id="rId427" Type="http://schemas.openxmlformats.org/officeDocument/2006/relationships/hyperlink" Target="https://utrucking.com/admin/orders/5932751061180" TargetMode="External"/><Relationship Id="rId422" Type="http://schemas.openxmlformats.org/officeDocument/2006/relationships/hyperlink" Target="https://utrucking.com/admin/orders/5932673138876" TargetMode="External"/><Relationship Id="rId421" Type="http://schemas.openxmlformats.org/officeDocument/2006/relationships/hyperlink" Target="https://utrucking.com/admin/orders/5932394905788" TargetMode="External"/><Relationship Id="rId420" Type="http://schemas.openxmlformats.org/officeDocument/2006/relationships/hyperlink" Target="https://utrucking.com/admin/orders/5932301123772" TargetMode="External"/><Relationship Id="rId415" Type="http://schemas.openxmlformats.org/officeDocument/2006/relationships/hyperlink" Target="https://utrucking.com/admin/orders/5931724341436" TargetMode="External"/><Relationship Id="rId414" Type="http://schemas.openxmlformats.org/officeDocument/2006/relationships/hyperlink" Target="https://utrucking.com/admin/orders/5931584422076" TargetMode="External"/><Relationship Id="rId413" Type="http://schemas.openxmlformats.org/officeDocument/2006/relationships/hyperlink" Target="https://utrucking.com/admin/orders/5931101978812" TargetMode="External"/><Relationship Id="rId412" Type="http://schemas.openxmlformats.org/officeDocument/2006/relationships/hyperlink" Target="https://utrucking.com/admin/orders/5930949607612" TargetMode="External"/><Relationship Id="rId419" Type="http://schemas.openxmlformats.org/officeDocument/2006/relationships/hyperlink" Target="https://utrucking.com/admin/orders/5932105040060" TargetMode="External"/><Relationship Id="rId418" Type="http://schemas.openxmlformats.org/officeDocument/2006/relationships/hyperlink" Target="https://utrucking.com/admin/orders/5932023480508" TargetMode="External"/><Relationship Id="rId417" Type="http://schemas.openxmlformats.org/officeDocument/2006/relationships/hyperlink" Target="https://utrucking.com/admin/orders/5931950768316" TargetMode="External"/><Relationship Id="rId416" Type="http://schemas.openxmlformats.org/officeDocument/2006/relationships/hyperlink" Target="https://utrucking.com/admin/orders/5931730305212" TargetMode="External"/><Relationship Id="rId411" Type="http://schemas.openxmlformats.org/officeDocument/2006/relationships/hyperlink" Target="https://utrucking.com/admin/orders/5930847273148" TargetMode="External"/><Relationship Id="rId410" Type="http://schemas.openxmlformats.org/officeDocument/2006/relationships/hyperlink" Target="https://utrucking.com/admin/orders/5930720231612" TargetMode="External"/><Relationship Id="rId448" Type="http://schemas.openxmlformats.org/officeDocument/2006/relationships/hyperlink" Target="https://utrucking.com/admin/orders/5934640791740" TargetMode="External"/><Relationship Id="rId447" Type="http://schemas.openxmlformats.org/officeDocument/2006/relationships/hyperlink" Target="https://utrucking.com/admin/orders/5934581383356" TargetMode="External"/><Relationship Id="rId446" Type="http://schemas.openxmlformats.org/officeDocument/2006/relationships/hyperlink" Target="https://utrucking.com/admin/orders/5934483144892" TargetMode="External"/><Relationship Id="rId445" Type="http://schemas.openxmlformats.org/officeDocument/2006/relationships/hyperlink" Target="https://utrucking.com/admin/orders/5934435631292" TargetMode="External"/><Relationship Id="rId449" Type="http://schemas.openxmlformats.org/officeDocument/2006/relationships/hyperlink" Target="https://utrucking.com/admin/orders/5934716485820" TargetMode="External"/><Relationship Id="rId440" Type="http://schemas.openxmlformats.org/officeDocument/2006/relationships/hyperlink" Target="https://utrucking.com/admin/orders/5933989232828" TargetMode="External"/><Relationship Id="rId444" Type="http://schemas.openxmlformats.org/officeDocument/2006/relationships/hyperlink" Target="https://utrucking.com/admin/orders/5934235648188" TargetMode="External"/><Relationship Id="rId443" Type="http://schemas.openxmlformats.org/officeDocument/2006/relationships/hyperlink" Target="https://utrucking.com/admin/orders/5934227357884" TargetMode="External"/><Relationship Id="rId442" Type="http://schemas.openxmlformats.org/officeDocument/2006/relationships/hyperlink" Target="https://utrucking.com/admin/orders/5934209695932" TargetMode="External"/><Relationship Id="rId441" Type="http://schemas.openxmlformats.org/officeDocument/2006/relationships/hyperlink" Target="https://utrucking.com/admin/orders/5934199701692" TargetMode="External"/><Relationship Id="rId437" Type="http://schemas.openxmlformats.org/officeDocument/2006/relationships/hyperlink" Target="https://utrucking.com/admin/orders/5933897056444" TargetMode="External"/><Relationship Id="rId436" Type="http://schemas.openxmlformats.org/officeDocument/2006/relationships/hyperlink" Target="https://utrucking.com/admin/orders/5933872939196" TargetMode="External"/><Relationship Id="rId435" Type="http://schemas.openxmlformats.org/officeDocument/2006/relationships/hyperlink" Target="https://utrucking.com/admin/orders/5933656670396" TargetMode="External"/><Relationship Id="rId434" Type="http://schemas.openxmlformats.org/officeDocument/2006/relationships/hyperlink" Target="https://utrucking.com/admin/orders/5933526843580" TargetMode="External"/><Relationship Id="rId439" Type="http://schemas.openxmlformats.org/officeDocument/2006/relationships/hyperlink" Target="https://utrucking.com/admin/orders/5933926809788" TargetMode="External"/><Relationship Id="rId438" Type="http://schemas.openxmlformats.org/officeDocument/2006/relationships/hyperlink" Target="https://utrucking.com/admin/orders/5933913145532" TargetMode="External"/><Relationship Id="rId433" Type="http://schemas.openxmlformats.org/officeDocument/2006/relationships/hyperlink" Target="https://utrucking.com/admin/orders/5933493256380" TargetMode="External"/><Relationship Id="rId432" Type="http://schemas.openxmlformats.org/officeDocument/2006/relationships/hyperlink" Target="https://utrucking.com/admin/orders/5933364543676" TargetMode="External"/><Relationship Id="rId431" Type="http://schemas.openxmlformats.org/officeDocument/2006/relationships/hyperlink" Target="https://utrucking.com/admin/orders/5933232881852" TargetMode="External"/><Relationship Id="rId430" Type="http://schemas.openxmlformats.org/officeDocument/2006/relationships/hyperlink" Target="https://utrucking.com/admin/orders/5933134774460"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utrucking.myshopify.com/admin/orders?query=14224" TargetMode="External"/><Relationship Id="rId2" Type="http://schemas.openxmlformats.org/officeDocument/2006/relationships/hyperlink" Target="https://utrucking.myshopify.com/admin/orders?query=14409" TargetMode="External"/><Relationship Id="rId3" Type="http://schemas.openxmlformats.org/officeDocument/2006/relationships/hyperlink" Target="https://utrucking.myshopify.com/admin/orders?query=14473" TargetMode="External"/><Relationship Id="rId4" Type="http://schemas.openxmlformats.org/officeDocument/2006/relationships/hyperlink" Target="https://utrucking.myshopify.com/admin/orders?query=14528" TargetMode="External"/><Relationship Id="rId9" Type="http://schemas.openxmlformats.org/officeDocument/2006/relationships/hyperlink" Target="https://utrucking.myshopify.com/admin/orders?query=14984" TargetMode="External"/><Relationship Id="rId5" Type="http://schemas.openxmlformats.org/officeDocument/2006/relationships/hyperlink" Target="https://utrucking.myshopify.com/admin/orders?query=14587" TargetMode="External"/><Relationship Id="rId6" Type="http://schemas.openxmlformats.org/officeDocument/2006/relationships/hyperlink" Target="https://utrucking.myshopify.com/admin/orders?query=14755" TargetMode="External"/><Relationship Id="rId7" Type="http://schemas.openxmlformats.org/officeDocument/2006/relationships/hyperlink" Target="https://utrucking.myshopify.com/admin/orders?query=14825" TargetMode="External"/><Relationship Id="rId8" Type="http://schemas.openxmlformats.org/officeDocument/2006/relationships/hyperlink" Target="https://utrucking.myshopify.com/admin/orders?query=14979" TargetMode="External"/><Relationship Id="rId40" Type="http://schemas.openxmlformats.org/officeDocument/2006/relationships/hyperlink" Target="https://utrucking.myshopify.com/admin/orders?query=15183" TargetMode="External"/><Relationship Id="rId42" Type="http://schemas.openxmlformats.org/officeDocument/2006/relationships/hyperlink" Target="https://utrucking.myshopify.com/admin/orders?query=15187" TargetMode="External"/><Relationship Id="rId41" Type="http://schemas.openxmlformats.org/officeDocument/2006/relationships/hyperlink" Target="https://utrucking.myshopify.com/admin/orders?query=15185" TargetMode="External"/><Relationship Id="rId44" Type="http://schemas.openxmlformats.org/officeDocument/2006/relationships/hyperlink" Target="https://utrucking.myshopify.com/admin/orders?query=15193" TargetMode="External"/><Relationship Id="rId43" Type="http://schemas.openxmlformats.org/officeDocument/2006/relationships/hyperlink" Target="https://utrucking.myshopify.com/admin/orders?query=15188" TargetMode="External"/><Relationship Id="rId46" Type="http://schemas.openxmlformats.org/officeDocument/2006/relationships/hyperlink" Target="https://utrucking.myshopify.com/admin/orders?query=15206" TargetMode="External"/><Relationship Id="rId45" Type="http://schemas.openxmlformats.org/officeDocument/2006/relationships/hyperlink" Target="https://utrucking.myshopify.com/admin/orders?query=15195" TargetMode="External"/><Relationship Id="rId48" Type="http://schemas.openxmlformats.org/officeDocument/2006/relationships/hyperlink" Target="https://utrucking.myshopify.com/admin/orders?query=15214" TargetMode="External"/><Relationship Id="rId47" Type="http://schemas.openxmlformats.org/officeDocument/2006/relationships/hyperlink" Target="https://utrucking.myshopify.com/admin/orders?query=15207" TargetMode="External"/><Relationship Id="rId49" Type="http://schemas.openxmlformats.org/officeDocument/2006/relationships/hyperlink" Target="https://admin.shopify.com/store/utrucking/orders/5897860251836?link_source=search" TargetMode="External"/><Relationship Id="rId31" Type="http://schemas.openxmlformats.org/officeDocument/2006/relationships/hyperlink" Target="https://utrucking.myshopify.com/admin/orders?query=15158" TargetMode="External"/><Relationship Id="rId30" Type="http://schemas.openxmlformats.org/officeDocument/2006/relationships/hyperlink" Target="https://utrucking.myshopify.com/admin/orders?query=15151" TargetMode="External"/><Relationship Id="rId33" Type="http://schemas.openxmlformats.org/officeDocument/2006/relationships/hyperlink" Target="https://utrucking.myshopify.com/admin/orders?query=15167" TargetMode="External"/><Relationship Id="rId32" Type="http://schemas.openxmlformats.org/officeDocument/2006/relationships/hyperlink" Target="https://utrucking.myshopify.com/admin/orders?query=15163" TargetMode="External"/><Relationship Id="rId35" Type="http://schemas.openxmlformats.org/officeDocument/2006/relationships/hyperlink" Target="https://utrucking.myshopify.com/admin/orders?query=15169" TargetMode="External"/><Relationship Id="rId34" Type="http://schemas.openxmlformats.org/officeDocument/2006/relationships/hyperlink" Target="https://utrucking.myshopify.com/admin/orders?query=15168" TargetMode="External"/><Relationship Id="rId37" Type="http://schemas.openxmlformats.org/officeDocument/2006/relationships/hyperlink" Target="https://utrucking.myshopify.com/admin/orders?query=15173" TargetMode="External"/><Relationship Id="rId36" Type="http://schemas.openxmlformats.org/officeDocument/2006/relationships/hyperlink" Target="https://utrucking.myshopify.com/admin/orders?query=15170" TargetMode="External"/><Relationship Id="rId39" Type="http://schemas.openxmlformats.org/officeDocument/2006/relationships/hyperlink" Target="https://utrucking.myshopify.com/admin/orders?query=15180" TargetMode="External"/><Relationship Id="rId38" Type="http://schemas.openxmlformats.org/officeDocument/2006/relationships/hyperlink" Target="https://utrucking.myshopify.com/admin/orders?query=15179" TargetMode="External"/><Relationship Id="rId20" Type="http://schemas.openxmlformats.org/officeDocument/2006/relationships/hyperlink" Target="https://utrucking.myshopify.com/admin/orders?query=15082" TargetMode="External"/><Relationship Id="rId22" Type="http://schemas.openxmlformats.org/officeDocument/2006/relationships/hyperlink" Target="https://utrucking.myshopify.com/admin/orders?query=15104" TargetMode="External"/><Relationship Id="rId21" Type="http://schemas.openxmlformats.org/officeDocument/2006/relationships/hyperlink" Target="https://utrucking.myshopify.com/admin/orders?query=15103" TargetMode="External"/><Relationship Id="rId24" Type="http://schemas.openxmlformats.org/officeDocument/2006/relationships/hyperlink" Target="https://utrucking.myshopify.com/admin/orders?query=15129" TargetMode="External"/><Relationship Id="rId23" Type="http://schemas.openxmlformats.org/officeDocument/2006/relationships/hyperlink" Target="https://utrucking.myshopify.com/admin/orders?query=15128" TargetMode="External"/><Relationship Id="rId26" Type="http://schemas.openxmlformats.org/officeDocument/2006/relationships/hyperlink" Target="https://utrucking.myshopify.com/admin/orders?query=15137" TargetMode="External"/><Relationship Id="rId25" Type="http://schemas.openxmlformats.org/officeDocument/2006/relationships/hyperlink" Target="https://utrucking.myshopify.com/admin/orders?query=15134" TargetMode="External"/><Relationship Id="rId28" Type="http://schemas.openxmlformats.org/officeDocument/2006/relationships/hyperlink" Target="https://utrucking.myshopify.com/admin/orders?query=15148" TargetMode="External"/><Relationship Id="rId27" Type="http://schemas.openxmlformats.org/officeDocument/2006/relationships/hyperlink" Target="https://utrucking.myshopify.com/admin/orders?query=15144" TargetMode="External"/><Relationship Id="rId29" Type="http://schemas.openxmlformats.org/officeDocument/2006/relationships/hyperlink" Target="https://utrucking.myshopify.com/admin/orders?query=15150" TargetMode="External"/><Relationship Id="rId11" Type="http://schemas.openxmlformats.org/officeDocument/2006/relationships/hyperlink" Target="https://utrucking.myshopify.com/admin/orders?query=14989" TargetMode="External"/><Relationship Id="rId10" Type="http://schemas.openxmlformats.org/officeDocument/2006/relationships/hyperlink" Target="https://utrucking.myshopify.com/admin/orders?query=14988" TargetMode="External"/><Relationship Id="rId13" Type="http://schemas.openxmlformats.org/officeDocument/2006/relationships/hyperlink" Target="https://utrucking.myshopify.com/admin/orders?query=15020" TargetMode="External"/><Relationship Id="rId12" Type="http://schemas.openxmlformats.org/officeDocument/2006/relationships/hyperlink" Target="https://utrucking.myshopify.com/admin/orders?query=14994" TargetMode="External"/><Relationship Id="rId15" Type="http://schemas.openxmlformats.org/officeDocument/2006/relationships/hyperlink" Target="https://utrucking.myshopify.com/admin/orders?query=15036" TargetMode="External"/><Relationship Id="rId14" Type="http://schemas.openxmlformats.org/officeDocument/2006/relationships/hyperlink" Target="https://utrucking.myshopify.com/admin/orders?query=15032" TargetMode="External"/><Relationship Id="rId17" Type="http://schemas.openxmlformats.org/officeDocument/2006/relationships/hyperlink" Target="https://utrucking.myshopify.com/admin/orders?query=15055" TargetMode="External"/><Relationship Id="rId16" Type="http://schemas.openxmlformats.org/officeDocument/2006/relationships/hyperlink" Target="https://utrucking.myshopify.com/admin/orders?query=15039" TargetMode="External"/><Relationship Id="rId19" Type="http://schemas.openxmlformats.org/officeDocument/2006/relationships/hyperlink" Target="https://utrucking.myshopify.com/admin/orders?query=15081" TargetMode="External"/><Relationship Id="rId18" Type="http://schemas.openxmlformats.org/officeDocument/2006/relationships/hyperlink" Target="https://utrucking.myshopify.com/admin/orders?query=15080" TargetMode="External"/><Relationship Id="rId84" Type="http://schemas.openxmlformats.org/officeDocument/2006/relationships/hyperlink" Target="https://utrucking.com/admin/orders/5905948704956" TargetMode="External"/><Relationship Id="rId83" Type="http://schemas.openxmlformats.org/officeDocument/2006/relationships/hyperlink" Target="https://utrucking.com/admin/orders/5905908891836" TargetMode="External"/><Relationship Id="rId86" Type="http://schemas.openxmlformats.org/officeDocument/2006/relationships/hyperlink" Target="https://utrucking.com/admin/orders/5907835093180" TargetMode="External"/><Relationship Id="rId85" Type="http://schemas.openxmlformats.org/officeDocument/2006/relationships/hyperlink" Target="https://utrucking.com/admin/orders/5906066178236" TargetMode="External"/><Relationship Id="rId88" Type="http://schemas.openxmlformats.org/officeDocument/2006/relationships/hyperlink" Target="https://utrucking.com/admin/orders/5908287520956" TargetMode="External"/><Relationship Id="rId87" Type="http://schemas.openxmlformats.org/officeDocument/2006/relationships/hyperlink" Target="https://utrucking.com/admin/orders/5908286275772" TargetMode="External"/><Relationship Id="rId89" Type="http://schemas.openxmlformats.org/officeDocument/2006/relationships/hyperlink" Target="https://utrucking.com/admin/orders/5908610252988" TargetMode="External"/><Relationship Id="rId80" Type="http://schemas.openxmlformats.org/officeDocument/2006/relationships/hyperlink" Target="https://utrucking.com/admin/orders/5905014063292" TargetMode="External"/><Relationship Id="rId82" Type="http://schemas.openxmlformats.org/officeDocument/2006/relationships/hyperlink" Target="https://utrucking.com/admin/orders/5905513021628" TargetMode="External"/><Relationship Id="rId81" Type="http://schemas.openxmlformats.org/officeDocument/2006/relationships/hyperlink" Target="https://utrucking.com/admin/orders/5905059741884" TargetMode="External"/><Relationship Id="rId73" Type="http://schemas.openxmlformats.org/officeDocument/2006/relationships/hyperlink" Target="https://utrucking.com/admin/orders/5903479177404" TargetMode="External"/><Relationship Id="rId72" Type="http://schemas.openxmlformats.org/officeDocument/2006/relationships/hyperlink" Target="https://utrucking.com/admin/orders/5903455486140" TargetMode="External"/><Relationship Id="rId75" Type="http://schemas.openxmlformats.org/officeDocument/2006/relationships/hyperlink" Target="https://utrucking.com/admin/orders/5903995863228" TargetMode="External"/><Relationship Id="rId74" Type="http://schemas.openxmlformats.org/officeDocument/2006/relationships/hyperlink" Target="https://utrucking.com/admin/orders/5903766323388" TargetMode="External"/><Relationship Id="rId77" Type="http://schemas.openxmlformats.org/officeDocument/2006/relationships/hyperlink" Target="https://utrucking.com/admin/orders/5904426336444" TargetMode="External"/><Relationship Id="rId76" Type="http://schemas.openxmlformats.org/officeDocument/2006/relationships/hyperlink" Target="https://utrucking.com/admin/orders/5904128082108" TargetMode="External"/><Relationship Id="rId79" Type="http://schemas.openxmlformats.org/officeDocument/2006/relationships/hyperlink" Target="https://utrucking.com/admin/orders/5904831086780" TargetMode="External"/><Relationship Id="rId78" Type="http://schemas.openxmlformats.org/officeDocument/2006/relationships/hyperlink" Target="https://utrucking.com/admin/orders/5904467624124" TargetMode="External"/><Relationship Id="rId71" Type="http://schemas.openxmlformats.org/officeDocument/2006/relationships/hyperlink" Target="https://utrucking.com/admin/orders/5903311896764" TargetMode="External"/><Relationship Id="rId70" Type="http://schemas.openxmlformats.org/officeDocument/2006/relationships/hyperlink" Target="https://utrucking.com/admin/orders/5903142879420" TargetMode="External"/><Relationship Id="rId62" Type="http://schemas.openxmlformats.org/officeDocument/2006/relationships/hyperlink" Target="https://utrucking.com/admin/orders/5900679708860" TargetMode="External"/><Relationship Id="rId61" Type="http://schemas.openxmlformats.org/officeDocument/2006/relationships/hyperlink" Target="https://utrucking.com/admin/orders/5900610175164" TargetMode="External"/><Relationship Id="rId64" Type="http://schemas.openxmlformats.org/officeDocument/2006/relationships/hyperlink" Target="https://utrucking.com/admin/orders/5900932972732" TargetMode="External"/><Relationship Id="rId63" Type="http://schemas.openxmlformats.org/officeDocument/2006/relationships/hyperlink" Target="https://utrucking.com/admin/orders/5900873597116" TargetMode="External"/><Relationship Id="rId66" Type="http://schemas.openxmlformats.org/officeDocument/2006/relationships/hyperlink" Target="https://utrucking.com/admin/orders/5902403600572" TargetMode="External"/><Relationship Id="rId65" Type="http://schemas.openxmlformats.org/officeDocument/2006/relationships/hyperlink" Target="https://utrucking.com/admin/orders/5902266269884" TargetMode="External"/><Relationship Id="rId68" Type="http://schemas.openxmlformats.org/officeDocument/2006/relationships/hyperlink" Target="https://utrucking.com/admin/orders/5902760837308" TargetMode="External"/><Relationship Id="rId67" Type="http://schemas.openxmlformats.org/officeDocument/2006/relationships/hyperlink" Target="https://utrucking.com/admin/orders/5902522712252" TargetMode="External"/><Relationship Id="rId60" Type="http://schemas.openxmlformats.org/officeDocument/2006/relationships/hyperlink" Target="https://utrucking.com/admin/orders/5900252807356" TargetMode="External"/><Relationship Id="rId69" Type="http://schemas.openxmlformats.org/officeDocument/2006/relationships/hyperlink" Target="https://utrucking.com/admin/orders/5902876213436" TargetMode="External"/><Relationship Id="rId51" Type="http://schemas.openxmlformats.org/officeDocument/2006/relationships/hyperlink" Target="https://utrucking.com/admin/orders/5898324410556" TargetMode="External"/><Relationship Id="rId50" Type="http://schemas.openxmlformats.org/officeDocument/2006/relationships/hyperlink" Target="https://utrucking.com/admin/orders/5897863135420" TargetMode="External"/><Relationship Id="rId53" Type="http://schemas.openxmlformats.org/officeDocument/2006/relationships/hyperlink" Target="https://utrucking.com/admin/orders/5898465345724" TargetMode="External"/><Relationship Id="rId52" Type="http://schemas.openxmlformats.org/officeDocument/2006/relationships/hyperlink" Target="https://utrucking.com/admin/orders/5898432577724" TargetMode="External"/><Relationship Id="rId55" Type="http://schemas.openxmlformats.org/officeDocument/2006/relationships/hyperlink" Target="https://utrucking.com/admin/orders/5899279007932" TargetMode="External"/><Relationship Id="rId54" Type="http://schemas.openxmlformats.org/officeDocument/2006/relationships/hyperlink" Target="https://utrucking.com/admin/orders/5898488905916" TargetMode="External"/><Relationship Id="rId57" Type="http://schemas.openxmlformats.org/officeDocument/2006/relationships/hyperlink" Target="https://utrucking.com/admin/orders/5900080283836" TargetMode="External"/><Relationship Id="rId56" Type="http://schemas.openxmlformats.org/officeDocument/2006/relationships/hyperlink" Target="https://utrucking.com/admin/orders/5899539480764" TargetMode="External"/><Relationship Id="rId59" Type="http://schemas.openxmlformats.org/officeDocument/2006/relationships/hyperlink" Target="https://admin.shopify.com/store/utrucking/orders/5900177113276?link_source=search" TargetMode="External"/><Relationship Id="rId58" Type="http://schemas.openxmlformats.org/officeDocument/2006/relationships/hyperlink" Target="https://utrucking.com/admin/orders/5900123701436" TargetMode="External"/><Relationship Id="rId95" Type="http://schemas.openxmlformats.org/officeDocument/2006/relationships/hyperlink" Target="https://utrucking.com/admin/orders/5909561475260" TargetMode="External"/><Relationship Id="rId94" Type="http://schemas.openxmlformats.org/officeDocument/2006/relationships/hyperlink" Target="https://utrucking.com/admin/orders/5909518745788" TargetMode="External"/><Relationship Id="rId97" Type="http://schemas.openxmlformats.org/officeDocument/2006/relationships/hyperlink" Target="https://utrucking.com/admin/orders/5910653239484" TargetMode="External"/><Relationship Id="rId96" Type="http://schemas.openxmlformats.org/officeDocument/2006/relationships/hyperlink" Target="https://utrucking.com/admin/orders/5909566521532" TargetMode="External"/><Relationship Id="rId99" Type="http://schemas.openxmlformats.org/officeDocument/2006/relationships/hyperlink" Target="https://utrucking.com/admin/orders/5910763307196" TargetMode="External"/><Relationship Id="rId98" Type="http://schemas.openxmlformats.org/officeDocument/2006/relationships/hyperlink" Target="https://utrucking.com/admin/orders/5910630498492" TargetMode="External"/><Relationship Id="rId91" Type="http://schemas.openxmlformats.org/officeDocument/2006/relationships/hyperlink" Target="https://utrucking.com/admin/orders/5908794409148" TargetMode="External"/><Relationship Id="rId90" Type="http://schemas.openxmlformats.org/officeDocument/2006/relationships/hyperlink" Target="https://utrucking.com/admin/orders/5908672839868" TargetMode="External"/><Relationship Id="rId93" Type="http://schemas.openxmlformats.org/officeDocument/2006/relationships/hyperlink" Target="https://utrucking.com/admin/orders/5909126480060" TargetMode="External"/><Relationship Id="rId92" Type="http://schemas.openxmlformats.org/officeDocument/2006/relationships/hyperlink" Target="https://utrucking.com/admin/orders/5909034172604" TargetMode="External"/><Relationship Id="rId228" Type="http://schemas.openxmlformats.org/officeDocument/2006/relationships/hyperlink" Target="https://utrucking.com/admin/orders/6429382574268" TargetMode="External"/><Relationship Id="rId227" Type="http://schemas.openxmlformats.org/officeDocument/2006/relationships/hyperlink" Target="https://utrucking.com/admin/orders/6422565159100" TargetMode="External"/><Relationship Id="rId226" Type="http://schemas.openxmlformats.org/officeDocument/2006/relationships/hyperlink" Target="https://utrucking.com/admin/orders/6389835235516" TargetMode="External"/><Relationship Id="rId225" Type="http://schemas.openxmlformats.org/officeDocument/2006/relationships/hyperlink" Target="https://utrucking.com/admin/orders/6208359563452" TargetMode="External"/><Relationship Id="rId229" Type="http://schemas.openxmlformats.org/officeDocument/2006/relationships/hyperlink" Target="https://utrucking.com/admin/orders/6433302216892" TargetMode="External"/><Relationship Id="rId220" Type="http://schemas.openxmlformats.org/officeDocument/2006/relationships/hyperlink" Target="https://utrucking.com/admin/orders/5939245416636" TargetMode="External"/><Relationship Id="rId224" Type="http://schemas.openxmlformats.org/officeDocument/2006/relationships/hyperlink" Target="https://utrucking.com/admin/orders/5960894939324" TargetMode="External"/><Relationship Id="rId223" Type="http://schemas.openxmlformats.org/officeDocument/2006/relationships/hyperlink" Target="https://utrucking.com/admin/orders/5956746772668" TargetMode="External"/><Relationship Id="rId222" Type="http://schemas.openxmlformats.org/officeDocument/2006/relationships/hyperlink" Target="https://utrucking.com/admin/orders/5946293944508" TargetMode="External"/><Relationship Id="rId221" Type="http://schemas.openxmlformats.org/officeDocument/2006/relationships/hyperlink" Target="https://utrucking.com/admin/orders/5941364195516" TargetMode="External"/><Relationship Id="rId217" Type="http://schemas.openxmlformats.org/officeDocument/2006/relationships/hyperlink" Target="https://utrucking.com/admin/orders/5934104281276" TargetMode="External"/><Relationship Id="rId216" Type="http://schemas.openxmlformats.org/officeDocument/2006/relationships/hyperlink" Target="https://utrucking.com/admin/orders/5931594875068" TargetMode="External"/><Relationship Id="rId215" Type="http://schemas.openxmlformats.org/officeDocument/2006/relationships/hyperlink" Target="https://utrucking.com/admin/orders/5929714090172" TargetMode="External"/><Relationship Id="rId214" Type="http://schemas.openxmlformats.org/officeDocument/2006/relationships/hyperlink" Target="https://utrucking.com/admin/orders/5929312321724" TargetMode="External"/><Relationship Id="rId219" Type="http://schemas.openxmlformats.org/officeDocument/2006/relationships/hyperlink" Target="https://utrucking.com/admin/orders/5937274355900" TargetMode="External"/><Relationship Id="rId218" Type="http://schemas.openxmlformats.org/officeDocument/2006/relationships/hyperlink" Target="https://utrucking.com/admin/orders/5936860954812" TargetMode="External"/><Relationship Id="rId213" Type="http://schemas.openxmlformats.org/officeDocument/2006/relationships/hyperlink" Target="https://utrucking.com/admin/orders/5929152905404" TargetMode="External"/><Relationship Id="rId212" Type="http://schemas.openxmlformats.org/officeDocument/2006/relationships/hyperlink" Target="https://utrucking.com/admin/orders/5929128624316" TargetMode="External"/><Relationship Id="rId211" Type="http://schemas.openxmlformats.org/officeDocument/2006/relationships/hyperlink" Target="https://utrucking.com/admin/orders/5928909177020" TargetMode="External"/><Relationship Id="rId210" Type="http://schemas.openxmlformats.org/officeDocument/2006/relationships/hyperlink" Target="https://utrucking.com/admin/orders/5928853864636" TargetMode="External"/><Relationship Id="rId231" Type="http://schemas.openxmlformats.org/officeDocument/2006/relationships/hyperlink" Target="https://utrucking.com/admin/orders/6435152265404" TargetMode="External"/><Relationship Id="rId230" Type="http://schemas.openxmlformats.org/officeDocument/2006/relationships/hyperlink" Target="https://utrucking.com/admin/orders/6433303724220" TargetMode="External"/><Relationship Id="rId234" Type="http://schemas.openxmlformats.org/officeDocument/2006/relationships/drawing" Target="../drawings/drawing12.xml"/><Relationship Id="rId233" Type="http://schemas.openxmlformats.org/officeDocument/2006/relationships/hyperlink" Target="https://utrucking.com/admin/orders/6471112261820" TargetMode="External"/><Relationship Id="rId232" Type="http://schemas.openxmlformats.org/officeDocument/2006/relationships/hyperlink" Target="https://utrucking.com/admin/orders/6470985875644" TargetMode="External"/><Relationship Id="rId206" Type="http://schemas.openxmlformats.org/officeDocument/2006/relationships/hyperlink" Target="https://utrucking.com/admin/orders/5927269367996" TargetMode="External"/><Relationship Id="rId205" Type="http://schemas.openxmlformats.org/officeDocument/2006/relationships/hyperlink" Target="https://utrucking.com/admin/orders/5926800982204" TargetMode="External"/><Relationship Id="rId204" Type="http://schemas.openxmlformats.org/officeDocument/2006/relationships/hyperlink" Target="https://admin.shopify.com/store/utrucking/orders/5926471401660?link_source=search" TargetMode="External"/><Relationship Id="rId203" Type="http://schemas.openxmlformats.org/officeDocument/2006/relationships/hyperlink" Target="https://utrucking.com/admin/orders/5925619433660" TargetMode="External"/><Relationship Id="rId209" Type="http://schemas.openxmlformats.org/officeDocument/2006/relationships/hyperlink" Target="https://utrucking.com/admin/orders/5928678195388" TargetMode="External"/><Relationship Id="rId208" Type="http://schemas.openxmlformats.org/officeDocument/2006/relationships/hyperlink" Target="https://utrucking.com/admin/orders/5928523301052" TargetMode="External"/><Relationship Id="rId207" Type="http://schemas.openxmlformats.org/officeDocument/2006/relationships/hyperlink" Target="https://utrucking.com/admin/orders/5928086175932" TargetMode="External"/><Relationship Id="rId202" Type="http://schemas.openxmlformats.org/officeDocument/2006/relationships/hyperlink" Target="https://utrucking.com/admin/orders/5925604294844" TargetMode="External"/><Relationship Id="rId201" Type="http://schemas.openxmlformats.org/officeDocument/2006/relationships/hyperlink" Target="https://utrucking.com/admin/orders/5925521850556" TargetMode="External"/><Relationship Id="rId200" Type="http://schemas.openxmlformats.org/officeDocument/2006/relationships/hyperlink" Target="https://utrucking.com/products/storage-item-return" TargetMode="External"/><Relationship Id="rId190" Type="http://schemas.openxmlformats.org/officeDocument/2006/relationships/hyperlink" Target="https://utrucking.com/admin/orders/5924876058812" TargetMode="External"/><Relationship Id="rId194" Type="http://schemas.openxmlformats.org/officeDocument/2006/relationships/hyperlink" Target="https://utrucking.com/admin/orders/5925054742716" TargetMode="External"/><Relationship Id="rId193" Type="http://schemas.openxmlformats.org/officeDocument/2006/relationships/hyperlink" Target="https://utrucking.com/admin/orders/5925051433148" TargetMode="External"/><Relationship Id="rId192" Type="http://schemas.openxmlformats.org/officeDocument/2006/relationships/hyperlink" Target="https://utrucking.com/admin/orders/5924992647356" TargetMode="External"/><Relationship Id="rId191" Type="http://schemas.openxmlformats.org/officeDocument/2006/relationships/hyperlink" Target="https://utrucking.com/admin/orders/5924892475580" TargetMode="External"/><Relationship Id="rId187" Type="http://schemas.openxmlformats.org/officeDocument/2006/relationships/hyperlink" Target="https://utrucking.com/admin/orders/5924815110332" TargetMode="External"/><Relationship Id="rId186" Type="http://schemas.openxmlformats.org/officeDocument/2006/relationships/hyperlink" Target="https://utrucking.com/admin/orders/5924695441596" TargetMode="External"/><Relationship Id="rId185" Type="http://schemas.openxmlformats.org/officeDocument/2006/relationships/hyperlink" Target="https://utrucking.com/admin/orders/5924685316284" TargetMode="External"/><Relationship Id="rId184" Type="http://schemas.openxmlformats.org/officeDocument/2006/relationships/hyperlink" Target="https://utrucking.com/admin/orders/5924671979708" TargetMode="External"/><Relationship Id="rId189" Type="http://schemas.openxmlformats.org/officeDocument/2006/relationships/hyperlink" Target="https://utrucking.com/admin/orders/5924836573372" TargetMode="External"/><Relationship Id="rId188" Type="http://schemas.openxmlformats.org/officeDocument/2006/relationships/hyperlink" Target="https://utrucking.com/admin/orders/5924830019772" TargetMode="External"/><Relationship Id="rId183" Type="http://schemas.openxmlformats.org/officeDocument/2006/relationships/hyperlink" Target="https://utrucking.com/admin/orders/5924641571004" TargetMode="External"/><Relationship Id="rId182" Type="http://schemas.openxmlformats.org/officeDocument/2006/relationships/hyperlink" Target="https://utrucking.com/admin/orders/5924627382460" TargetMode="External"/><Relationship Id="rId181" Type="http://schemas.openxmlformats.org/officeDocument/2006/relationships/hyperlink" Target="https://utrucking.com/admin/orders/5924522262716" TargetMode="External"/><Relationship Id="rId180" Type="http://schemas.openxmlformats.org/officeDocument/2006/relationships/hyperlink" Target="https://utrucking.com/admin/orders/5924426580156" TargetMode="External"/><Relationship Id="rId176" Type="http://schemas.openxmlformats.org/officeDocument/2006/relationships/hyperlink" Target="https://utrucking.com/admin/orders/5921863958716" TargetMode="External"/><Relationship Id="rId175" Type="http://schemas.openxmlformats.org/officeDocument/2006/relationships/hyperlink" Target="https://utrucking.com/admin/orders/5921707589820" TargetMode="External"/><Relationship Id="rId174" Type="http://schemas.openxmlformats.org/officeDocument/2006/relationships/hyperlink" Target="https://utrucking.com/admin/orders/5921536868540" TargetMode="External"/><Relationship Id="rId173" Type="http://schemas.openxmlformats.org/officeDocument/2006/relationships/hyperlink" Target="https://utrucking.com/admin/orders/5921487814844" TargetMode="External"/><Relationship Id="rId179" Type="http://schemas.openxmlformats.org/officeDocument/2006/relationships/hyperlink" Target="https://utrucking.com/admin/orders/5923484860604" TargetMode="External"/><Relationship Id="rId178" Type="http://schemas.openxmlformats.org/officeDocument/2006/relationships/hyperlink" Target="https://utrucking.com/admin/orders/5923400777916" TargetMode="External"/><Relationship Id="rId177" Type="http://schemas.openxmlformats.org/officeDocument/2006/relationships/hyperlink" Target="https://utrucking.com/admin/orders/5923050455228" TargetMode="External"/><Relationship Id="rId198" Type="http://schemas.openxmlformats.org/officeDocument/2006/relationships/hyperlink" Target="https://utrucking.com/admin/orders/5925328519356" TargetMode="External"/><Relationship Id="rId197" Type="http://schemas.openxmlformats.org/officeDocument/2006/relationships/hyperlink" Target="https://utrucking.com/admin/orders/5925165138108" TargetMode="External"/><Relationship Id="rId196" Type="http://schemas.openxmlformats.org/officeDocument/2006/relationships/hyperlink" Target="https://utrucking.com/admin/orders/5925124243644" TargetMode="External"/><Relationship Id="rId195" Type="http://schemas.openxmlformats.org/officeDocument/2006/relationships/hyperlink" Target="https://utrucking.com/admin/orders/5925068570812" TargetMode="External"/><Relationship Id="rId199" Type="http://schemas.openxmlformats.org/officeDocument/2006/relationships/hyperlink" Target="https://utrucking.com/admin/orders/5925454807228" TargetMode="External"/><Relationship Id="rId150" Type="http://schemas.openxmlformats.org/officeDocument/2006/relationships/hyperlink" Target="https://utrucking.com/admin/orders/5916939747516" TargetMode="External"/><Relationship Id="rId149" Type="http://schemas.openxmlformats.org/officeDocument/2006/relationships/hyperlink" Target="https://utrucking.com/admin/orders/5916882927804" TargetMode="External"/><Relationship Id="rId148" Type="http://schemas.openxmlformats.org/officeDocument/2006/relationships/hyperlink" Target="https://utrucking.com/admin/orders/5916822667452" TargetMode="External"/><Relationship Id="rId143" Type="http://schemas.openxmlformats.org/officeDocument/2006/relationships/hyperlink" Target="https://utrucking.com/admin/orders/5916316729532" TargetMode="External"/><Relationship Id="rId142" Type="http://schemas.openxmlformats.org/officeDocument/2006/relationships/hyperlink" Target="https://utrucking.com/admin/orders/5916229828796" TargetMode="External"/><Relationship Id="rId141" Type="http://schemas.openxmlformats.org/officeDocument/2006/relationships/hyperlink" Target="https://utrucking.com/admin/orders/5916144337084" TargetMode="External"/><Relationship Id="rId140" Type="http://schemas.openxmlformats.org/officeDocument/2006/relationships/hyperlink" Target="https://utrucking.com/admin/orders/5916074311868" TargetMode="External"/><Relationship Id="rId147" Type="http://schemas.openxmlformats.org/officeDocument/2006/relationships/hyperlink" Target="https://utrucking.com/admin/orders/5916781838524" TargetMode="External"/><Relationship Id="rId146" Type="http://schemas.openxmlformats.org/officeDocument/2006/relationships/hyperlink" Target="https://utrucking.com/admin/orders/5916718334140" TargetMode="External"/><Relationship Id="rId145" Type="http://schemas.openxmlformats.org/officeDocument/2006/relationships/hyperlink" Target="https://utrucking.com/admin/orders/5916625076412" TargetMode="External"/><Relationship Id="rId144" Type="http://schemas.openxmlformats.org/officeDocument/2006/relationships/hyperlink" Target="https://utrucking.com/admin/orders/5916444885180" TargetMode="External"/><Relationship Id="rId139" Type="http://schemas.openxmlformats.org/officeDocument/2006/relationships/hyperlink" Target="https://utrucking.com/admin/orders/5916061761724" TargetMode="External"/><Relationship Id="rId138" Type="http://schemas.openxmlformats.org/officeDocument/2006/relationships/hyperlink" Target="https://utrucking.com/admin/orders/5915941929148" TargetMode="External"/><Relationship Id="rId137" Type="http://schemas.openxmlformats.org/officeDocument/2006/relationships/hyperlink" Target="https://utrucking.com/admin/orders/5915898904764" TargetMode="External"/><Relationship Id="rId132" Type="http://schemas.openxmlformats.org/officeDocument/2006/relationships/hyperlink" Target="https://utrucking.com/admin/orders/5915491205308" TargetMode="External"/><Relationship Id="rId131" Type="http://schemas.openxmlformats.org/officeDocument/2006/relationships/hyperlink" Target="https://utrucking.com/admin/orders/5915436875964" TargetMode="External"/><Relationship Id="rId130" Type="http://schemas.openxmlformats.org/officeDocument/2006/relationships/hyperlink" Target="https://utrucking.com/admin/orders/5915367145660" TargetMode="External"/><Relationship Id="rId136" Type="http://schemas.openxmlformats.org/officeDocument/2006/relationships/hyperlink" Target="https://utrucking.com/admin/orders/5915764818108" TargetMode="External"/><Relationship Id="rId135" Type="http://schemas.openxmlformats.org/officeDocument/2006/relationships/hyperlink" Target="https://utrucking.com/admin/orders/5915720319164" TargetMode="External"/><Relationship Id="rId134" Type="http://schemas.openxmlformats.org/officeDocument/2006/relationships/hyperlink" Target="https://utrucking.com/admin/orders/5915668775100" TargetMode="External"/><Relationship Id="rId133" Type="http://schemas.openxmlformats.org/officeDocument/2006/relationships/hyperlink" Target="https://utrucking.com/admin/orders/5915629420732" TargetMode="External"/><Relationship Id="rId172" Type="http://schemas.openxmlformats.org/officeDocument/2006/relationships/hyperlink" Target="https://utrucking.com/admin/orders/5921420542140" TargetMode="External"/><Relationship Id="rId171" Type="http://schemas.openxmlformats.org/officeDocument/2006/relationships/hyperlink" Target="https://utrucking.com/admin/orders/5921377026236" TargetMode="External"/><Relationship Id="rId170" Type="http://schemas.openxmlformats.org/officeDocument/2006/relationships/hyperlink" Target="https://utrucking.com/admin/orders/5921109868732" TargetMode="External"/><Relationship Id="rId165" Type="http://schemas.openxmlformats.org/officeDocument/2006/relationships/hyperlink" Target="https://utrucking.com/admin/orders/5919823036604" TargetMode="External"/><Relationship Id="rId164" Type="http://schemas.openxmlformats.org/officeDocument/2006/relationships/hyperlink" Target="https://utrucking.com/admin/orders/5919689801916" TargetMode="External"/><Relationship Id="rId163" Type="http://schemas.openxmlformats.org/officeDocument/2006/relationships/hyperlink" Target="https://utrucking.com/admin/orders/5919659983036" TargetMode="External"/><Relationship Id="rId162" Type="http://schemas.openxmlformats.org/officeDocument/2006/relationships/hyperlink" Target="https://utrucking.com/admin/orders/5919373918396" TargetMode="External"/><Relationship Id="rId169" Type="http://schemas.openxmlformats.org/officeDocument/2006/relationships/hyperlink" Target="https://utrucking.com/admin/orders/5920746143932" TargetMode="External"/><Relationship Id="rId168" Type="http://schemas.openxmlformats.org/officeDocument/2006/relationships/hyperlink" Target="https://utrucking.com/admin/orders/5920702791868" TargetMode="External"/><Relationship Id="rId167" Type="http://schemas.openxmlformats.org/officeDocument/2006/relationships/hyperlink" Target="https://utrucking.com/admin/orders/5920399720636" TargetMode="External"/><Relationship Id="rId166" Type="http://schemas.openxmlformats.org/officeDocument/2006/relationships/hyperlink" Target="https://utrucking.com/admin/orders/5920110543036" TargetMode="External"/><Relationship Id="rId161" Type="http://schemas.openxmlformats.org/officeDocument/2006/relationships/hyperlink" Target="https://utrucking.com/admin/orders/5918746542268" TargetMode="External"/><Relationship Id="rId160" Type="http://schemas.openxmlformats.org/officeDocument/2006/relationships/hyperlink" Target="https://utrucking.com/admin/orders/5918726389948" TargetMode="External"/><Relationship Id="rId159" Type="http://schemas.openxmlformats.org/officeDocument/2006/relationships/hyperlink" Target="https://utrucking.com/admin/orders/5918506254524" TargetMode="External"/><Relationship Id="rId154" Type="http://schemas.openxmlformats.org/officeDocument/2006/relationships/hyperlink" Target="https://utrucking.com/admin/orders/5917598613692" TargetMode="External"/><Relationship Id="rId153" Type="http://schemas.openxmlformats.org/officeDocument/2006/relationships/hyperlink" Target="https://utrucking.com/admin/orders/5917576167612" TargetMode="External"/><Relationship Id="rId152" Type="http://schemas.openxmlformats.org/officeDocument/2006/relationships/hyperlink" Target="https://utrucking.com/admin/orders/5917544874172" TargetMode="External"/><Relationship Id="rId151" Type="http://schemas.openxmlformats.org/officeDocument/2006/relationships/hyperlink" Target="https://utrucking.com/admin/orders/5917268050108" TargetMode="External"/><Relationship Id="rId158" Type="http://schemas.openxmlformats.org/officeDocument/2006/relationships/hyperlink" Target="https://utrucking.com/admin/orders/5918009131196" TargetMode="External"/><Relationship Id="rId157" Type="http://schemas.openxmlformats.org/officeDocument/2006/relationships/hyperlink" Target="https://utrucking.com/admin/orders/5917847158972" TargetMode="External"/><Relationship Id="rId156" Type="http://schemas.openxmlformats.org/officeDocument/2006/relationships/hyperlink" Target="https://utrucking.com/admin/orders/5917806035132" TargetMode="External"/><Relationship Id="rId155" Type="http://schemas.openxmlformats.org/officeDocument/2006/relationships/hyperlink" Target="https://utrucking.com/admin/orders/5917658054844" TargetMode="External"/><Relationship Id="rId107" Type="http://schemas.openxmlformats.org/officeDocument/2006/relationships/hyperlink" Target="https://utrucking.com/admin/orders/5912642551996" TargetMode="External"/><Relationship Id="rId106" Type="http://schemas.openxmlformats.org/officeDocument/2006/relationships/hyperlink" Target="https://utrucking.com/admin/orders/5912420647100" TargetMode="External"/><Relationship Id="rId105" Type="http://schemas.openxmlformats.org/officeDocument/2006/relationships/hyperlink" Target="https://utrucking.com/admin/orders/5912404099260" TargetMode="External"/><Relationship Id="rId104" Type="http://schemas.openxmlformats.org/officeDocument/2006/relationships/hyperlink" Target="https://utrucking.com/admin/orders/5912204935356" TargetMode="External"/><Relationship Id="rId109" Type="http://schemas.openxmlformats.org/officeDocument/2006/relationships/hyperlink" Target="https://utrucking.com/admin/orders/5912785354940" TargetMode="External"/><Relationship Id="rId108" Type="http://schemas.openxmlformats.org/officeDocument/2006/relationships/hyperlink" Target="https://utrucking.com/admin/orders/5912697471164" TargetMode="External"/><Relationship Id="rId103" Type="http://schemas.openxmlformats.org/officeDocument/2006/relationships/hyperlink" Target="https://utrucking.com/admin/orders/5912196874428" TargetMode="External"/><Relationship Id="rId102" Type="http://schemas.openxmlformats.org/officeDocument/2006/relationships/hyperlink" Target="https://utrucking.com/admin/orders/5912162304188" TargetMode="External"/><Relationship Id="rId101" Type="http://schemas.openxmlformats.org/officeDocument/2006/relationships/hyperlink" Target="https://utrucking.com/admin/orders/5912136777916" TargetMode="External"/><Relationship Id="rId100" Type="http://schemas.openxmlformats.org/officeDocument/2006/relationships/hyperlink" Target="https://utrucking.com/admin/orders/5910789816508" TargetMode="External"/><Relationship Id="rId129" Type="http://schemas.openxmlformats.org/officeDocument/2006/relationships/hyperlink" Target="https://utrucking.com/admin/orders/5914907672764" TargetMode="External"/><Relationship Id="rId128" Type="http://schemas.openxmlformats.org/officeDocument/2006/relationships/hyperlink" Target="https://utrucking.com/admin/orders/5914808189116" TargetMode="External"/><Relationship Id="rId127" Type="http://schemas.openxmlformats.org/officeDocument/2006/relationships/hyperlink" Target="https://utrucking.com/admin/orders/5914749599932" TargetMode="External"/><Relationship Id="rId126" Type="http://schemas.openxmlformats.org/officeDocument/2006/relationships/hyperlink" Target="https://utrucking.com/admin/orders/5914454687932" TargetMode="External"/><Relationship Id="rId121" Type="http://schemas.openxmlformats.org/officeDocument/2006/relationships/hyperlink" Target="https://utrucking.com/admin/orders/5914057769148" TargetMode="External"/><Relationship Id="rId120" Type="http://schemas.openxmlformats.org/officeDocument/2006/relationships/hyperlink" Target="https://utrucking.com/admin/orders/5913963430076" TargetMode="External"/><Relationship Id="rId125" Type="http://schemas.openxmlformats.org/officeDocument/2006/relationships/hyperlink" Target="https://utrucking.com/admin/orders/5914197295292" TargetMode="External"/><Relationship Id="rId124" Type="http://schemas.openxmlformats.org/officeDocument/2006/relationships/hyperlink" Target="https://utrucking.com/admin/orders/5914194510012" TargetMode="External"/><Relationship Id="rId123" Type="http://schemas.openxmlformats.org/officeDocument/2006/relationships/hyperlink" Target="https://utrucking.com/admin/orders/5914173800636" TargetMode="External"/><Relationship Id="rId122" Type="http://schemas.openxmlformats.org/officeDocument/2006/relationships/hyperlink" Target="https://utrucking.com/admin/orders/5914063438012" TargetMode="External"/><Relationship Id="rId118" Type="http://schemas.openxmlformats.org/officeDocument/2006/relationships/hyperlink" Target="https://utrucking.com/admin/orders/5913676447932" TargetMode="External"/><Relationship Id="rId117" Type="http://schemas.openxmlformats.org/officeDocument/2006/relationships/hyperlink" Target="https://utrucking.com/admin/orders/5913568346300" TargetMode="External"/><Relationship Id="rId116" Type="http://schemas.openxmlformats.org/officeDocument/2006/relationships/hyperlink" Target="https://utrucking.com/admin/orders/5913559400636" TargetMode="External"/><Relationship Id="rId115" Type="http://schemas.openxmlformats.org/officeDocument/2006/relationships/hyperlink" Target="https://utrucking.com/admin/orders/5913519849660" TargetMode="External"/><Relationship Id="rId119" Type="http://schemas.openxmlformats.org/officeDocument/2006/relationships/hyperlink" Target="https://utrucking.com/admin/orders/5913856016572" TargetMode="External"/><Relationship Id="rId110" Type="http://schemas.openxmlformats.org/officeDocument/2006/relationships/hyperlink" Target="https://utrucking.com/admin/orders/5913070108860" TargetMode="External"/><Relationship Id="rId114" Type="http://schemas.openxmlformats.org/officeDocument/2006/relationships/hyperlink" Target="https://utrucking.com/admin/orders/5913290670268" TargetMode="External"/><Relationship Id="rId113" Type="http://schemas.openxmlformats.org/officeDocument/2006/relationships/hyperlink" Target="https://utrucking.com/admin/orders/5913196331196" TargetMode="External"/><Relationship Id="rId112" Type="http://schemas.openxmlformats.org/officeDocument/2006/relationships/hyperlink" Target="https://utrucking.com/admin/orders/5913136890044" TargetMode="External"/><Relationship Id="rId111" Type="http://schemas.openxmlformats.org/officeDocument/2006/relationships/hyperlink" Target="https://utrucking.com/admin/orders/5913136726204"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trucking.myshopify.com/admin/orders?query=14711" TargetMode="External"/><Relationship Id="rId2" Type="http://schemas.openxmlformats.org/officeDocument/2006/relationships/hyperlink" Target="https://utrucking.myshopify.com/admin/orders?query=14341" TargetMode="External"/><Relationship Id="rId3" Type="http://schemas.openxmlformats.org/officeDocument/2006/relationships/hyperlink" Target="https://utrucking.myshopify.com/admin/orders?query=14098" TargetMode="External"/><Relationship Id="rId4" Type="http://schemas.openxmlformats.org/officeDocument/2006/relationships/hyperlink" Target="https://utrucking.myshopify.com/admin/orders?query=14346" TargetMode="External"/><Relationship Id="rId9" Type="http://schemas.openxmlformats.org/officeDocument/2006/relationships/hyperlink" Target="https://utrucking.myshopify.com/admin/orders?query=15005" TargetMode="External"/><Relationship Id="rId5" Type="http://schemas.openxmlformats.org/officeDocument/2006/relationships/hyperlink" Target="https://utrucking.myshopify.com/admin/orders?query=14567" TargetMode="External"/><Relationship Id="rId6" Type="http://schemas.openxmlformats.org/officeDocument/2006/relationships/hyperlink" Target="https://utrucking.myshopify.com/admin/orders?query=14593" TargetMode="External"/><Relationship Id="rId7" Type="http://schemas.openxmlformats.org/officeDocument/2006/relationships/hyperlink" Target="https://utrucking.myshopify.com/admin/orders?query=14853" TargetMode="External"/><Relationship Id="rId8" Type="http://schemas.openxmlformats.org/officeDocument/2006/relationships/hyperlink" Target="https://utrucking.myshopify.com/admin/orders?query=15002" TargetMode="External"/><Relationship Id="rId40" Type="http://schemas.openxmlformats.org/officeDocument/2006/relationships/hyperlink" Target="https://admin.shopify.com/store/utrucking/orders/5835948851388?link_source=search" TargetMode="External"/><Relationship Id="rId42" Type="http://schemas.openxmlformats.org/officeDocument/2006/relationships/hyperlink" Target="https://utrucking.myshopify.com/admin/orders?query=15123" TargetMode="External"/><Relationship Id="rId41" Type="http://schemas.openxmlformats.org/officeDocument/2006/relationships/hyperlink" Target="https://admin.shopify.com/store/utrucking/orders/5867662409916?link_source=search" TargetMode="External"/><Relationship Id="rId44" Type="http://schemas.openxmlformats.org/officeDocument/2006/relationships/hyperlink" Target="https://utrucking.myshopify.com/admin/orders?query=15205" TargetMode="External"/><Relationship Id="rId43" Type="http://schemas.openxmlformats.org/officeDocument/2006/relationships/hyperlink" Target="https://utrucking.myshopify.com/admin/orders?query=15197" TargetMode="External"/><Relationship Id="rId46" Type="http://schemas.openxmlformats.org/officeDocument/2006/relationships/hyperlink" Target="https://admin.shopify.com/store/utrucking/orders/5897753166012?link_source=search" TargetMode="External"/><Relationship Id="rId45" Type="http://schemas.openxmlformats.org/officeDocument/2006/relationships/hyperlink" Target="https://utrucking.com/admin/orders/5897705062588" TargetMode="External"/><Relationship Id="rId48" Type="http://schemas.openxmlformats.org/officeDocument/2006/relationships/hyperlink" Target="https://utrucking.com/admin/orders/5900706185404" TargetMode="External"/><Relationship Id="rId47" Type="http://schemas.openxmlformats.org/officeDocument/2006/relationships/hyperlink" Target="https://utrucking.com/admin/orders/5900123734204" TargetMode="External"/><Relationship Id="rId49" Type="http://schemas.openxmlformats.org/officeDocument/2006/relationships/hyperlink" Target="https://utrucking.com/admin/orders/5900738887868" TargetMode="External"/><Relationship Id="rId31" Type="http://schemas.openxmlformats.org/officeDocument/2006/relationships/hyperlink" Target="https://utrucking.myshopify.com/admin/orders?query=15165" TargetMode="External"/><Relationship Id="rId30" Type="http://schemas.openxmlformats.org/officeDocument/2006/relationships/hyperlink" Target="https://utrucking.myshopify.com/admin/orders?query=15162" TargetMode="External"/><Relationship Id="rId33" Type="http://schemas.openxmlformats.org/officeDocument/2006/relationships/hyperlink" Target="https://utrucking.myshopify.com/admin/orders?query=15181" TargetMode="External"/><Relationship Id="rId32" Type="http://schemas.openxmlformats.org/officeDocument/2006/relationships/hyperlink" Target="https://utrucking.myshopify.com/admin/orders?query=15138" TargetMode="External"/><Relationship Id="rId35" Type="http://schemas.openxmlformats.org/officeDocument/2006/relationships/hyperlink" Target="https://utrucking.myshopify.com/admin/orders?query=15192" TargetMode="External"/><Relationship Id="rId34" Type="http://schemas.openxmlformats.org/officeDocument/2006/relationships/hyperlink" Target="https://utrucking.myshopify.com/admin/orders?query=15191" TargetMode="External"/><Relationship Id="rId37" Type="http://schemas.openxmlformats.org/officeDocument/2006/relationships/hyperlink" Target="https://utrucking.myshopify.com/admin/orders?query=15200" TargetMode="External"/><Relationship Id="rId36" Type="http://schemas.openxmlformats.org/officeDocument/2006/relationships/hyperlink" Target="https://utrucking.myshopify.com/admin/orders?query=15198" TargetMode="External"/><Relationship Id="rId39" Type="http://schemas.openxmlformats.org/officeDocument/2006/relationships/hyperlink" Target="https://utrucking.myshopify.com/admin/orders?query=15213" TargetMode="External"/><Relationship Id="rId38" Type="http://schemas.openxmlformats.org/officeDocument/2006/relationships/hyperlink" Target="https://utrucking.myshopify.com/admin/orders?query=15212" TargetMode="External"/><Relationship Id="rId20" Type="http://schemas.openxmlformats.org/officeDocument/2006/relationships/hyperlink" Target="https://utrucking.myshopify.com/admin/orders?query=14588" TargetMode="External"/><Relationship Id="rId22" Type="http://schemas.openxmlformats.org/officeDocument/2006/relationships/hyperlink" Target="https://utrucking.myshopify.com/admin/orders?query=15111" TargetMode="External"/><Relationship Id="rId21" Type="http://schemas.openxmlformats.org/officeDocument/2006/relationships/hyperlink" Target="https://utrucking.myshopify.com/admin/orders?query=14849" TargetMode="External"/><Relationship Id="rId24" Type="http://schemas.openxmlformats.org/officeDocument/2006/relationships/hyperlink" Target="https://utrucking.myshopify.com/admin/orders?query=15116" TargetMode="External"/><Relationship Id="rId23" Type="http://schemas.openxmlformats.org/officeDocument/2006/relationships/hyperlink" Target="https://utrucking.myshopify.com/admin/orders?query=15114" TargetMode="External"/><Relationship Id="rId26" Type="http://schemas.openxmlformats.org/officeDocument/2006/relationships/hyperlink" Target="https://utrucking.myshopify.com/admin/orders?query=15124" TargetMode="External"/><Relationship Id="rId25" Type="http://schemas.openxmlformats.org/officeDocument/2006/relationships/hyperlink" Target="https://utrucking.myshopify.com/admin/orders?query=15118" TargetMode="External"/><Relationship Id="rId28" Type="http://schemas.openxmlformats.org/officeDocument/2006/relationships/hyperlink" Target="https://utrucking.myshopify.com/admin/orders?query=15141" TargetMode="External"/><Relationship Id="rId27" Type="http://schemas.openxmlformats.org/officeDocument/2006/relationships/hyperlink" Target="https://utrucking.myshopify.com/admin/orders?query=15139" TargetMode="External"/><Relationship Id="rId29" Type="http://schemas.openxmlformats.org/officeDocument/2006/relationships/hyperlink" Target="https://utrucking.myshopify.com/admin/orders?query=15161" TargetMode="External"/><Relationship Id="rId11" Type="http://schemas.openxmlformats.org/officeDocument/2006/relationships/hyperlink" Target="https://utrucking.myshopify.com/admin/orders?query=15028" TargetMode="External"/><Relationship Id="rId10" Type="http://schemas.openxmlformats.org/officeDocument/2006/relationships/hyperlink" Target="https://utrucking.myshopify.com/admin/orders?query=15011" TargetMode="External"/><Relationship Id="rId13" Type="http://schemas.openxmlformats.org/officeDocument/2006/relationships/hyperlink" Target="https://utrucking.myshopify.com/admin/orders?query=15040" TargetMode="External"/><Relationship Id="rId12" Type="http://schemas.openxmlformats.org/officeDocument/2006/relationships/hyperlink" Target="https://utrucking.myshopify.com/admin/orders?query=15029" TargetMode="External"/><Relationship Id="rId15" Type="http://schemas.openxmlformats.org/officeDocument/2006/relationships/hyperlink" Target="https://utrucking.myshopify.com/admin/orders?query=15074" TargetMode="External"/><Relationship Id="rId14" Type="http://schemas.openxmlformats.org/officeDocument/2006/relationships/hyperlink" Target="https://utrucking.myshopify.com/admin/orders?query=15073" TargetMode="External"/><Relationship Id="rId17" Type="http://schemas.openxmlformats.org/officeDocument/2006/relationships/hyperlink" Target="https://utrucking.myshopify.com/admin/orders?query=15094" TargetMode="External"/><Relationship Id="rId16" Type="http://schemas.openxmlformats.org/officeDocument/2006/relationships/hyperlink" Target="https://utrucking.myshopify.com/admin/orders?query=15079" TargetMode="External"/><Relationship Id="rId19" Type="http://schemas.openxmlformats.org/officeDocument/2006/relationships/hyperlink" Target="https://utrucking.myshopify.com/admin/orders?query=15098" TargetMode="External"/><Relationship Id="rId18" Type="http://schemas.openxmlformats.org/officeDocument/2006/relationships/hyperlink" Target="https://utrucking.myshopify.com/admin/orders?query=15097" TargetMode="External"/><Relationship Id="rId84" Type="http://schemas.openxmlformats.org/officeDocument/2006/relationships/hyperlink" Target="https://utrucking.com/admin/orders/6386766708924" TargetMode="External"/><Relationship Id="rId83" Type="http://schemas.openxmlformats.org/officeDocument/2006/relationships/hyperlink" Target="https://utrucking.com/admin/orders/6350201389244" TargetMode="External"/><Relationship Id="rId86" Type="http://schemas.openxmlformats.org/officeDocument/2006/relationships/hyperlink" Target="https://utrucking.com/admin/orders/6403733749948" TargetMode="External"/><Relationship Id="rId85" Type="http://schemas.openxmlformats.org/officeDocument/2006/relationships/hyperlink" Target="https://utrucking.com/admin/orders/6388901118140" TargetMode="External"/><Relationship Id="rId88" Type="http://schemas.openxmlformats.org/officeDocument/2006/relationships/hyperlink" Target="https://utrucking.com/admin/orders/6416991322300" TargetMode="External"/><Relationship Id="rId87" Type="http://schemas.openxmlformats.org/officeDocument/2006/relationships/hyperlink" Target="https://utrucking.com/admin/orders/6404392190140" TargetMode="External"/><Relationship Id="rId89" Type="http://schemas.openxmlformats.org/officeDocument/2006/relationships/hyperlink" Target="https://utrucking.com/admin/orders/6446218346684" TargetMode="External"/><Relationship Id="rId80" Type="http://schemas.openxmlformats.org/officeDocument/2006/relationships/hyperlink" Target="https://utrucking.com/admin/orders/5913699188924" TargetMode="External"/><Relationship Id="rId82" Type="http://schemas.openxmlformats.org/officeDocument/2006/relationships/hyperlink" Target="https://utrucking.com/admin/orders/6348828803260" TargetMode="External"/><Relationship Id="rId81" Type="http://schemas.openxmlformats.org/officeDocument/2006/relationships/hyperlink" Target="https://utrucking.com/admin/orders/5916577005756" TargetMode="External"/><Relationship Id="rId73" Type="http://schemas.openxmlformats.org/officeDocument/2006/relationships/hyperlink" Target="https://utrucking.com/admin/orders/5908998258876" TargetMode="External"/><Relationship Id="rId72" Type="http://schemas.openxmlformats.org/officeDocument/2006/relationships/hyperlink" Target="https://utrucking.com/admin/orders/5908458406076" TargetMode="External"/><Relationship Id="rId75" Type="http://schemas.openxmlformats.org/officeDocument/2006/relationships/hyperlink" Target="https://utrucking.com/admin/orders/5909475197116" TargetMode="External"/><Relationship Id="rId74" Type="http://schemas.openxmlformats.org/officeDocument/2006/relationships/hyperlink" Target="https://utrucking.com/admin/orders/5909378695356" TargetMode="External"/><Relationship Id="rId77" Type="http://schemas.openxmlformats.org/officeDocument/2006/relationships/hyperlink" Target="https://utrucking.com/admin/orders/5910966698172" TargetMode="External"/><Relationship Id="rId76" Type="http://schemas.openxmlformats.org/officeDocument/2006/relationships/hyperlink" Target="https://utrucking.com/admin/orders/5910052044988" TargetMode="External"/><Relationship Id="rId79" Type="http://schemas.openxmlformats.org/officeDocument/2006/relationships/hyperlink" Target="https://utrucking.com/admin/orders/5912857051324" TargetMode="External"/><Relationship Id="rId78" Type="http://schemas.openxmlformats.org/officeDocument/2006/relationships/hyperlink" Target="https://utrucking.com/admin/orders/5912128585916" TargetMode="External"/><Relationship Id="rId71" Type="http://schemas.openxmlformats.org/officeDocument/2006/relationships/hyperlink" Target="https://utrucking.com/admin/orders/5908329562300" TargetMode="External"/><Relationship Id="rId70" Type="http://schemas.openxmlformats.org/officeDocument/2006/relationships/hyperlink" Target="https://utrucking.com/admin/orders/5905989796028" TargetMode="External"/><Relationship Id="rId62" Type="http://schemas.openxmlformats.org/officeDocument/2006/relationships/hyperlink" Target="https://utrucking.com/admin/orders/5904080044220" TargetMode="External"/><Relationship Id="rId61" Type="http://schemas.openxmlformats.org/officeDocument/2006/relationships/hyperlink" Target="https://utrucking.com/admin/orders/5903737815228" TargetMode="External"/><Relationship Id="rId64" Type="http://schemas.openxmlformats.org/officeDocument/2006/relationships/hyperlink" Target="https://utrucking.com/admin/orders/5904534667452" TargetMode="External"/><Relationship Id="rId63" Type="http://schemas.openxmlformats.org/officeDocument/2006/relationships/hyperlink" Target="https://utrucking.com/admin/orders/5904395010236" TargetMode="External"/><Relationship Id="rId66" Type="http://schemas.openxmlformats.org/officeDocument/2006/relationships/hyperlink" Target="https://utrucking.com/admin/orders/5905003708604" TargetMode="External"/><Relationship Id="rId65" Type="http://schemas.openxmlformats.org/officeDocument/2006/relationships/hyperlink" Target="https://utrucking.com/admin/orders/5904984113340" TargetMode="External"/><Relationship Id="rId68" Type="http://schemas.openxmlformats.org/officeDocument/2006/relationships/hyperlink" Target="https://utrucking.com/admin/orders/5905513906364" TargetMode="External"/><Relationship Id="rId67" Type="http://schemas.openxmlformats.org/officeDocument/2006/relationships/hyperlink" Target="https://utrucking.com/admin/orders/5905348264124" TargetMode="External"/><Relationship Id="rId60" Type="http://schemas.openxmlformats.org/officeDocument/2006/relationships/hyperlink" Target="https://utrucking.com/admin/orders/5903255830716" TargetMode="External"/><Relationship Id="rId69" Type="http://schemas.openxmlformats.org/officeDocument/2006/relationships/hyperlink" Target="https://utrucking.com/admin/orders/5905936351420" TargetMode="External"/><Relationship Id="rId51" Type="http://schemas.openxmlformats.org/officeDocument/2006/relationships/hyperlink" Target="https://utrucking.com/admin/orders/5900954435772" TargetMode="External"/><Relationship Id="rId50" Type="http://schemas.openxmlformats.org/officeDocument/2006/relationships/hyperlink" Target="https://utrucking.com/admin/orders/5900916162748" TargetMode="External"/><Relationship Id="rId53" Type="http://schemas.openxmlformats.org/officeDocument/2006/relationships/hyperlink" Target="https://utrucking.com/admin/orders/5901819445436" TargetMode="External"/><Relationship Id="rId52" Type="http://schemas.openxmlformats.org/officeDocument/2006/relationships/hyperlink" Target="https://utrucking.com/admin/orders/5901019447484" TargetMode="External"/><Relationship Id="rId55" Type="http://schemas.openxmlformats.org/officeDocument/2006/relationships/hyperlink" Target="https://utrucking.com/admin/orders/5902234190012" TargetMode="External"/><Relationship Id="rId54" Type="http://schemas.openxmlformats.org/officeDocument/2006/relationships/hyperlink" Target="https://utrucking.com/admin/orders/5901823344828" TargetMode="External"/><Relationship Id="rId57" Type="http://schemas.openxmlformats.org/officeDocument/2006/relationships/hyperlink" Target="https://utrucking.com/admin/orders/5902278230204" TargetMode="External"/><Relationship Id="rId56" Type="http://schemas.openxmlformats.org/officeDocument/2006/relationships/hyperlink" Target="https://utrucking.com/admin/orders/5902261616828" TargetMode="External"/><Relationship Id="rId59" Type="http://schemas.openxmlformats.org/officeDocument/2006/relationships/hyperlink" Target="https://utrucking.com/admin/orders/5902640742588" TargetMode="External"/><Relationship Id="rId58" Type="http://schemas.openxmlformats.org/officeDocument/2006/relationships/hyperlink" Target="https://utrucking.com/admin/orders/5902510555324" TargetMode="External"/><Relationship Id="rId95" Type="http://schemas.openxmlformats.org/officeDocument/2006/relationships/drawing" Target="../drawings/drawing13.xml"/><Relationship Id="rId94" Type="http://schemas.openxmlformats.org/officeDocument/2006/relationships/hyperlink" Target="https://utrucking.com/admin/orders/6464345309372" TargetMode="External"/><Relationship Id="rId91" Type="http://schemas.openxmlformats.org/officeDocument/2006/relationships/hyperlink" Target="https://utrucking.com/admin/orders/6455406330044" TargetMode="External"/><Relationship Id="rId90" Type="http://schemas.openxmlformats.org/officeDocument/2006/relationships/hyperlink" Target="https://utrucking.com/admin/orders/6447442297020" TargetMode="External"/><Relationship Id="rId93" Type="http://schemas.openxmlformats.org/officeDocument/2006/relationships/hyperlink" Target="https://utrucking.com/admin/orders/6460561817788" TargetMode="External"/><Relationship Id="rId92" Type="http://schemas.openxmlformats.org/officeDocument/2006/relationships/hyperlink" Target="https://utrucking.com/admin/orders/6459054293180" TargetMode="External"/></Relationships>
</file>

<file path=xl/worksheets/_rels/sheet14.xml.rels><?xml version="1.0" encoding="UTF-8" standalone="yes"?><Relationships xmlns="http://schemas.openxmlformats.org/package/2006/relationships"><Relationship Id="rId392" Type="http://schemas.openxmlformats.org/officeDocument/2006/relationships/hyperlink" Target="https://utrucking.com/admin/orders/6459205550268" TargetMode="External"/><Relationship Id="rId391" Type="http://schemas.openxmlformats.org/officeDocument/2006/relationships/hyperlink" Target="https://utrucking.com/admin/orders/6459150303420" TargetMode="External"/><Relationship Id="rId390" Type="http://schemas.openxmlformats.org/officeDocument/2006/relationships/hyperlink" Target="https://utrucking.com/admin/orders/6459139850428" TargetMode="External"/><Relationship Id="rId1" Type="http://schemas.openxmlformats.org/officeDocument/2006/relationships/hyperlink" Target="https://utrucking.com/admin/orders/5912099455164" TargetMode="External"/><Relationship Id="rId2" Type="http://schemas.openxmlformats.org/officeDocument/2006/relationships/hyperlink" Target="https://utrucking.com/admin/orders/5929774907580" TargetMode="External"/><Relationship Id="rId3" Type="http://schemas.openxmlformats.org/officeDocument/2006/relationships/hyperlink" Target="https://utrucking.com/admin/orders/6026654580924" TargetMode="External"/><Relationship Id="rId4" Type="http://schemas.openxmlformats.org/officeDocument/2006/relationships/hyperlink" Target="https://utrucking.com/admin/orders/6108968911036" TargetMode="External"/><Relationship Id="rId9" Type="http://schemas.openxmlformats.org/officeDocument/2006/relationships/hyperlink" Target="https://utrucking.com/admin/orders/6190139998396" TargetMode="External"/><Relationship Id="rId385" Type="http://schemas.openxmlformats.org/officeDocument/2006/relationships/hyperlink" Target="https://utrucking.com/admin/orders/6458988593340" TargetMode="External"/><Relationship Id="rId384" Type="http://schemas.openxmlformats.org/officeDocument/2006/relationships/hyperlink" Target="https://utrucking.com/admin/orders/6458979451068" TargetMode="External"/><Relationship Id="rId383" Type="http://schemas.openxmlformats.org/officeDocument/2006/relationships/hyperlink" Target="https://utrucking.com/admin/orders/6458921943228" TargetMode="External"/><Relationship Id="rId382" Type="http://schemas.openxmlformats.org/officeDocument/2006/relationships/hyperlink" Target="https://utrucking.com/admin/orders/6458898317500" TargetMode="External"/><Relationship Id="rId5" Type="http://schemas.openxmlformats.org/officeDocument/2006/relationships/hyperlink" Target="https://utrucking.com/admin/orders/6160228352188" TargetMode="External"/><Relationship Id="rId389" Type="http://schemas.openxmlformats.org/officeDocument/2006/relationships/hyperlink" Target="https://utrucking.com/admin/orders/6459092304060" TargetMode="External"/><Relationship Id="rId6" Type="http://schemas.openxmlformats.org/officeDocument/2006/relationships/hyperlink" Target="https://utrucking.com/admin/orders/6180214669500" TargetMode="External"/><Relationship Id="rId388" Type="http://schemas.openxmlformats.org/officeDocument/2006/relationships/hyperlink" Target="https://utrucking.com/admin/orders/6459085455548" TargetMode="External"/><Relationship Id="rId7" Type="http://schemas.openxmlformats.org/officeDocument/2006/relationships/hyperlink" Target="https://utrucking.com/admin/orders/6182799900860" TargetMode="External"/><Relationship Id="rId387" Type="http://schemas.openxmlformats.org/officeDocument/2006/relationships/hyperlink" Target="https://utrucking.com/admin/orders/6459016872124" TargetMode="External"/><Relationship Id="rId8" Type="http://schemas.openxmlformats.org/officeDocument/2006/relationships/hyperlink" Target="https://utrucking.com/admin/orders/6182911115452" TargetMode="External"/><Relationship Id="rId386" Type="http://schemas.openxmlformats.org/officeDocument/2006/relationships/hyperlink" Target="https://utrucking.com/admin/orders/6459009794236" TargetMode="External"/><Relationship Id="rId381" Type="http://schemas.openxmlformats.org/officeDocument/2006/relationships/hyperlink" Target="https://utrucking.com/admin/orders/6458819313852" TargetMode="External"/><Relationship Id="rId380" Type="http://schemas.openxmlformats.org/officeDocument/2006/relationships/hyperlink" Target="https://utrucking.com/admin/orders/6458774782140" TargetMode="External"/><Relationship Id="rId379" Type="http://schemas.openxmlformats.org/officeDocument/2006/relationships/hyperlink" Target="https://utrucking.com/admin/orders/6458694893756" TargetMode="External"/><Relationship Id="rId374" Type="http://schemas.openxmlformats.org/officeDocument/2006/relationships/hyperlink" Target="https://utrucking.com/admin/orders/6458021904572" TargetMode="External"/><Relationship Id="rId373" Type="http://schemas.openxmlformats.org/officeDocument/2006/relationships/hyperlink" Target="https://utrucking.com/admin/orders/6457979240636" TargetMode="External"/><Relationship Id="rId372" Type="http://schemas.openxmlformats.org/officeDocument/2006/relationships/hyperlink" Target="https://utrucking.com/admin/orders/6457968394428" TargetMode="External"/><Relationship Id="rId371" Type="http://schemas.openxmlformats.org/officeDocument/2006/relationships/hyperlink" Target="https://utrucking.com/admin/orders/6457968263356" TargetMode="External"/><Relationship Id="rId378" Type="http://schemas.openxmlformats.org/officeDocument/2006/relationships/hyperlink" Target="https://utrucking.com/admin/orders/6458303840444" TargetMode="External"/><Relationship Id="rId377" Type="http://schemas.openxmlformats.org/officeDocument/2006/relationships/hyperlink" Target="https://utrucking.com/admin/orders/6458203537596" TargetMode="External"/><Relationship Id="rId376" Type="http://schemas.openxmlformats.org/officeDocument/2006/relationships/hyperlink" Target="https://utrucking.com/admin/orders/6458146685116" TargetMode="External"/><Relationship Id="rId375" Type="http://schemas.openxmlformats.org/officeDocument/2006/relationships/hyperlink" Target="https://utrucking.com/admin/orders/6458029965500" TargetMode="External"/><Relationship Id="rId396" Type="http://schemas.openxmlformats.org/officeDocument/2006/relationships/hyperlink" Target="https://utrucking.com/admin/orders/6459464614076" TargetMode="External"/><Relationship Id="rId395" Type="http://schemas.openxmlformats.org/officeDocument/2006/relationships/hyperlink" Target="https://utrucking.com/admin/orders/6459400290492" TargetMode="External"/><Relationship Id="rId394" Type="http://schemas.openxmlformats.org/officeDocument/2006/relationships/hyperlink" Target="https://utrucking.com/admin/orders/6459275477180" TargetMode="External"/><Relationship Id="rId393" Type="http://schemas.openxmlformats.org/officeDocument/2006/relationships/hyperlink" Target="https://utrucking.com/admin/orders/6459217019068" TargetMode="External"/><Relationship Id="rId399" Type="http://schemas.openxmlformats.org/officeDocument/2006/relationships/hyperlink" Target="https://utrucking.com/admin/orders/6459581333692" TargetMode="External"/><Relationship Id="rId398" Type="http://schemas.openxmlformats.org/officeDocument/2006/relationships/hyperlink" Target="https://utrucking.com/admin/orders/6459567898812" TargetMode="External"/><Relationship Id="rId397" Type="http://schemas.openxmlformats.org/officeDocument/2006/relationships/hyperlink" Target="https://utrucking.com/admin/orders/6459545747644" TargetMode="External"/><Relationship Id="rId40" Type="http://schemas.openxmlformats.org/officeDocument/2006/relationships/hyperlink" Target="https://utrucking.com/admin/orders/6410102079676" TargetMode="External"/><Relationship Id="rId42" Type="http://schemas.openxmlformats.org/officeDocument/2006/relationships/hyperlink" Target="https://utrucking.com/admin/orders/6410917314748" TargetMode="External"/><Relationship Id="rId41" Type="http://schemas.openxmlformats.org/officeDocument/2006/relationships/hyperlink" Target="https://utrucking.com/admin/orders/6410116595900" TargetMode="External"/><Relationship Id="rId44" Type="http://schemas.openxmlformats.org/officeDocument/2006/relationships/hyperlink" Target="https://utrucking.com/admin/orders/6422479012028" TargetMode="External"/><Relationship Id="rId43" Type="http://schemas.openxmlformats.org/officeDocument/2006/relationships/hyperlink" Target="https://utrucking.com/admin/orders/6419947356348" TargetMode="External"/><Relationship Id="rId46" Type="http://schemas.openxmlformats.org/officeDocument/2006/relationships/hyperlink" Target="https://utrucking.com/admin/orders/6422694265020" TargetMode="External"/><Relationship Id="rId45" Type="http://schemas.openxmlformats.org/officeDocument/2006/relationships/hyperlink" Target="https://utrucking.com/admin/orders/6422663790780" TargetMode="External"/><Relationship Id="rId48" Type="http://schemas.openxmlformats.org/officeDocument/2006/relationships/hyperlink" Target="https://utrucking.com/admin/orders/6426171277500" TargetMode="External"/><Relationship Id="rId47" Type="http://schemas.openxmlformats.org/officeDocument/2006/relationships/hyperlink" Target="https://utrucking.com/admin/orders/6423221829820" TargetMode="External"/><Relationship Id="rId49" Type="http://schemas.openxmlformats.org/officeDocument/2006/relationships/hyperlink" Target="https://utrucking.com/admin/orders/6427103166652" TargetMode="External"/><Relationship Id="rId31" Type="http://schemas.openxmlformats.org/officeDocument/2006/relationships/hyperlink" Target="https://utrucking.com/admin/orders/6398258512060" TargetMode="External"/><Relationship Id="rId30" Type="http://schemas.openxmlformats.org/officeDocument/2006/relationships/hyperlink" Target="https://utrucking.com/admin/orders/6394218152124" TargetMode="External"/><Relationship Id="rId33" Type="http://schemas.openxmlformats.org/officeDocument/2006/relationships/hyperlink" Target="https://utrucking.com/admin/orders/6404424466620" TargetMode="External"/><Relationship Id="rId32" Type="http://schemas.openxmlformats.org/officeDocument/2006/relationships/hyperlink" Target="https://utrucking.com/admin/orders/6404380164284" TargetMode="External"/><Relationship Id="rId35" Type="http://schemas.openxmlformats.org/officeDocument/2006/relationships/hyperlink" Target="https://utrucking.com/admin/orders/6407339540668" TargetMode="External"/><Relationship Id="rId34" Type="http://schemas.openxmlformats.org/officeDocument/2006/relationships/hyperlink" Target="https://utrucking.com/admin/orders/6407057539260" TargetMode="External"/><Relationship Id="rId37" Type="http://schemas.openxmlformats.org/officeDocument/2006/relationships/hyperlink" Target="https://utrucking.com/admin/orders/6408395587772" TargetMode="External"/><Relationship Id="rId36" Type="http://schemas.openxmlformats.org/officeDocument/2006/relationships/hyperlink" Target="https://utrucking.com/admin/orders/6407361233084" TargetMode="External"/><Relationship Id="rId39" Type="http://schemas.openxmlformats.org/officeDocument/2006/relationships/hyperlink" Target="https://utrucking.com/admin/orders/6409466970300" TargetMode="External"/><Relationship Id="rId38" Type="http://schemas.openxmlformats.org/officeDocument/2006/relationships/hyperlink" Target="https://utrucking.com/admin/orders/6408869576892" TargetMode="External"/><Relationship Id="rId20" Type="http://schemas.openxmlformats.org/officeDocument/2006/relationships/hyperlink" Target="https://utrucking.com/admin/orders/6358311534780" TargetMode="External"/><Relationship Id="rId22" Type="http://schemas.openxmlformats.org/officeDocument/2006/relationships/hyperlink" Target="https://utrucking.com/admin/orders/6374964232380" TargetMode="External"/><Relationship Id="rId21" Type="http://schemas.openxmlformats.org/officeDocument/2006/relationships/hyperlink" Target="https://utrucking.com/admin/orders/6371260104892" TargetMode="External"/><Relationship Id="rId24" Type="http://schemas.openxmlformats.org/officeDocument/2006/relationships/hyperlink" Target="https://utrucking.com/admin/orders/6386879955132" TargetMode="External"/><Relationship Id="rId23" Type="http://schemas.openxmlformats.org/officeDocument/2006/relationships/hyperlink" Target="https://utrucking.com/admin/orders/6386395381948" TargetMode="External"/><Relationship Id="rId26" Type="http://schemas.openxmlformats.org/officeDocument/2006/relationships/hyperlink" Target="https://utrucking.com/admin/orders/6390232613052" TargetMode="External"/><Relationship Id="rId25" Type="http://schemas.openxmlformats.org/officeDocument/2006/relationships/hyperlink" Target="https://utrucking.com/admin/orders/6388005765308" TargetMode="External"/><Relationship Id="rId28" Type="http://schemas.openxmlformats.org/officeDocument/2006/relationships/hyperlink" Target="https://utrucking.com/admin/orders/6392770199740" TargetMode="External"/><Relationship Id="rId27" Type="http://schemas.openxmlformats.org/officeDocument/2006/relationships/hyperlink" Target="https://utrucking.com/admin/orders/6390865068220" TargetMode="External"/><Relationship Id="rId29" Type="http://schemas.openxmlformats.org/officeDocument/2006/relationships/hyperlink" Target="https://utrucking.com/admin/orders/6393041289404" TargetMode="External"/><Relationship Id="rId11" Type="http://schemas.openxmlformats.org/officeDocument/2006/relationships/hyperlink" Target="https://utrucking.com/admin/orders/6193754505404" TargetMode="External"/><Relationship Id="rId10" Type="http://schemas.openxmlformats.org/officeDocument/2006/relationships/hyperlink" Target="https://utrucking.com/admin/orders/6192321396924" TargetMode="External"/><Relationship Id="rId13" Type="http://schemas.openxmlformats.org/officeDocument/2006/relationships/hyperlink" Target="https://utrucking.com/admin/orders/6235116306620" TargetMode="External"/><Relationship Id="rId12" Type="http://schemas.openxmlformats.org/officeDocument/2006/relationships/hyperlink" Target="https://utrucking.com/admin/orders/6228069417148" TargetMode="External"/><Relationship Id="rId15" Type="http://schemas.openxmlformats.org/officeDocument/2006/relationships/hyperlink" Target="https://utrucking.com/admin/orders/6280053817532" TargetMode="External"/><Relationship Id="rId14" Type="http://schemas.openxmlformats.org/officeDocument/2006/relationships/hyperlink" Target="https://utrucking.com/admin/orders/6274244214972" TargetMode="External"/><Relationship Id="rId17" Type="http://schemas.openxmlformats.org/officeDocument/2006/relationships/hyperlink" Target="https://utrucking.com/admin/orders/6300483223740" TargetMode="External"/><Relationship Id="rId16" Type="http://schemas.openxmlformats.org/officeDocument/2006/relationships/hyperlink" Target="https://utrucking.com/admin/orders/6294642622652" TargetMode="External"/><Relationship Id="rId19" Type="http://schemas.openxmlformats.org/officeDocument/2006/relationships/hyperlink" Target="https://utrucking.com/admin/orders/6357131460796" TargetMode="External"/><Relationship Id="rId18" Type="http://schemas.openxmlformats.org/officeDocument/2006/relationships/hyperlink" Target="https://utrucking.com/admin/orders/6352104915132" TargetMode="External"/><Relationship Id="rId84" Type="http://schemas.openxmlformats.org/officeDocument/2006/relationships/hyperlink" Target="https://utrucking.com/admin/orders/6445879034044" TargetMode="External"/><Relationship Id="rId83" Type="http://schemas.openxmlformats.org/officeDocument/2006/relationships/hyperlink" Target="https://utrucking.com/admin/orders/6445877264572" TargetMode="External"/><Relationship Id="rId86" Type="http://schemas.openxmlformats.org/officeDocument/2006/relationships/hyperlink" Target="https://utrucking.com/admin/orders/6445888438460" TargetMode="External"/><Relationship Id="rId85" Type="http://schemas.openxmlformats.org/officeDocument/2006/relationships/hyperlink" Target="https://utrucking.com/admin/orders/6445885948092" TargetMode="External"/><Relationship Id="rId88" Type="http://schemas.openxmlformats.org/officeDocument/2006/relationships/hyperlink" Target="https://utrucking.com/admin/orders/6445898727612" TargetMode="External"/><Relationship Id="rId87" Type="http://schemas.openxmlformats.org/officeDocument/2006/relationships/hyperlink" Target="https://utrucking.com/admin/orders/6445890928828" TargetMode="External"/><Relationship Id="rId89" Type="http://schemas.openxmlformats.org/officeDocument/2006/relationships/hyperlink" Target="https://utrucking.com/admin/orders/6445912228028" TargetMode="External"/><Relationship Id="rId80" Type="http://schemas.openxmlformats.org/officeDocument/2006/relationships/hyperlink" Target="https://utrucking.com/admin/orders/6445866975420" TargetMode="External"/><Relationship Id="rId82" Type="http://schemas.openxmlformats.org/officeDocument/2006/relationships/hyperlink" Target="https://utrucking.com/admin/orders/6445873823932" TargetMode="External"/><Relationship Id="rId81" Type="http://schemas.openxmlformats.org/officeDocument/2006/relationships/hyperlink" Target="https://utrucking.com/admin/orders/6445872709820" TargetMode="External"/><Relationship Id="rId73" Type="http://schemas.openxmlformats.org/officeDocument/2006/relationships/hyperlink" Target="https://utrucking.com/admin/orders/6445844562108" TargetMode="External"/><Relationship Id="rId72" Type="http://schemas.openxmlformats.org/officeDocument/2006/relationships/hyperlink" Target="https://utrucking.com/admin/orders/6445841875132" TargetMode="External"/><Relationship Id="rId75" Type="http://schemas.openxmlformats.org/officeDocument/2006/relationships/hyperlink" Target="https://utrucking.com/admin/orders/6445855342780" TargetMode="External"/><Relationship Id="rId74" Type="http://schemas.openxmlformats.org/officeDocument/2006/relationships/hyperlink" Target="https://utrucking.com/admin/orders/6445847806140" TargetMode="External"/><Relationship Id="rId77" Type="http://schemas.openxmlformats.org/officeDocument/2006/relationships/hyperlink" Target="https://utrucking.com/admin/orders/6445860487356" TargetMode="External"/><Relationship Id="rId76" Type="http://schemas.openxmlformats.org/officeDocument/2006/relationships/hyperlink" Target="https://utrucking.com/admin/orders/6445855768764" TargetMode="External"/><Relationship Id="rId79" Type="http://schemas.openxmlformats.org/officeDocument/2006/relationships/hyperlink" Target="https://utrucking.com/admin/orders/6445865631932" TargetMode="External"/><Relationship Id="rId78" Type="http://schemas.openxmlformats.org/officeDocument/2006/relationships/hyperlink" Target="https://utrucking.com/admin/orders/6445863108796" TargetMode="External"/><Relationship Id="rId71" Type="http://schemas.openxmlformats.org/officeDocument/2006/relationships/hyperlink" Target="https://utrucking.com/admin/orders/6445840957628" TargetMode="External"/><Relationship Id="rId70" Type="http://schemas.openxmlformats.org/officeDocument/2006/relationships/hyperlink" Target="https://utrucking.com/admin/orders/6445838991548" TargetMode="External"/><Relationship Id="rId62" Type="http://schemas.openxmlformats.org/officeDocument/2006/relationships/hyperlink" Target="https://utrucking.com/admin/orders/6444639748284" TargetMode="External"/><Relationship Id="rId61" Type="http://schemas.openxmlformats.org/officeDocument/2006/relationships/hyperlink" Target="https://utrucking.com/admin/orders/6443363205308" TargetMode="External"/><Relationship Id="rId64" Type="http://schemas.openxmlformats.org/officeDocument/2006/relationships/hyperlink" Target="https://utrucking.com/admin/orders/6444914573500" TargetMode="External"/><Relationship Id="rId63" Type="http://schemas.openxmlformats.org/officeDocument/2006/relationships/hyperlink" Target="https://utrucking.com/admin/orders/6444839895228" TargetMode="External"/><Relationship Id="rId66" Type="http://schemas.openxmlformats.org/officeDocument/2006/relationships/hyperlink" Target="https://utrucking.com/admin/orders/6445814481084" TargetMode="External"/><Relationship Id="rId65" Type="http://schemas.openxmlformats.org/officeDocument/2006/relationships/hyperlink" Target="https://utrucking.com/admin/orders/6445803700412" TargetMode="External"/><Relationship Id="rId68" Type="http://schemas.openxmlformats.org/officeDocument/2006/relationships/hyperlink" Target="https://utrucking.com/admin/orders/6445837975740" TargetMode="External"/><Relationship Id="rId67" Type="http://schemas.openxmlformats.org/officeDocument/2006/relationships/hyperlink" Target="https://utrucking.com/admin/orders/6445826638012" TargetMode="External"/><Relationship Id="rId60" Type="http://schemas.openxmlformats.org/officeDocument/2006/relationships/hyperlink" Target="https://utrucking.com/admin/orders/6440849604796" TargetMode="External"/><Relationship Id="rId69" Type="http://schemas.openxmlformats.org/officeDocument/2006/relationships/hyperlink" Target="https://utrucking.com/admin/orders/6445838074044" TargetMode="External"/><Relationship Id="rId51" Type="http://schemas.openxmlformats.org/officeDocument/2006/relationships/hyperlink" Target="https://utrucking.com/admin/orders/6427688173756" TargetMode="External"/><Relationship Id="rId50" Type="http://schemas.openxmlformats.org/officeDocument/2006/relationships/hyperlink" Target="https://utrucking.com/admin/orders/6427188232380" TargetMode="External"/><Relationship Id="rId53" Type="http://schemas.openxmlformats.org/officeDocument/2006/relationships/hyperlink" Target="https://utrucking.com/admin/orders/6428834169020" TargetMode="External"/><Relationship Id="rId52" Type="http://schemas.openxmlformats.org/officeDocument/2006/relationships/hyperlink" Target="https://utrucking.com/admin/orders/6428445507772" TargetMode="External"/><Relationship Id="rId55" Type="http://schemas.openxmlformats.org/officeDocument/2006/relationships/hyperlink" Target="https://utrucking.com/admin/orders/6430090559676" TargetMode="External"/><Relationship Id="rId54" Type="http://schemas.openxmlformats.org/officeDocument/2006/relationships/hyperlink" Target="https://utrucking.com/admin/orders/6429647765692" TargetMode="External"/><Relationship Id="rId57" Type="http://schemas.openxmlformats.org/officeDocument/2006/relationships/hyperlink" Target="https://utrucking.com/admin/orders/6434109194428" TargetMode="External"/><Relationship Id="rId56" Type="http://schemas.openxmlformats.org/officeDocument/2006/relationships/hyperlink" Target="https://utrucking.com/admin/orders/6433755889852" TargetMode="External"/><Relationship Id="rId59" Type="http://schemas.openxmlformats.org/officeDocument/2006/relationships/hyperlink" Target="https://utrucking.com/admin/orders/6436189569212" TargetMode="External"/><Relationship Id="rId58" Type="http://schemas.openxmlformats.org/officeDocument/2006/relationships/hyperlink" Target="https://utrucking.com/admin/orders/6434980921532" TargetMode="External"/><Relationship Id="rId349" Type="http://schemas.openxmlformats.org/officeDocument/2006/relationships/hyperlink" Target="https://utrucking.com/admin/orders/6456539775164" TargetMode="External"/><Relationship Id="rId348" Type="http://schemas.openxmlformats.org/officeDocument/2006/relationships/hyperlink" Target="https://utrucking.com/admin/orders/6456501239996" TargetMode="External"/><Relationship Id="rId347" Type="http://schemas.openxmlformats.org/officeDocument/2006/relationships/hyperlink" Target="https://utrucking.com/admin/orders/6456488558780" TargetMode="External"/><Relationship Id="rId346" Type="http://schemas.openxmlformats.org/officeDocument/2006/relationships/hyperlink" Target="https://utrucking.com/admin/orders/6456457199804" TargetMode="External"/><Relationship Id="rId341" Type="http://schemas.openxmlformats.org/officeDocument/2006/relationships/hyperlink" Target="https://utrucking.com/admin/orders/6456161829052" TargetMode="External"/><Relationship Id="rId340" Type="http://schemas.openxmlformats.org/officeDocument/2006/relationships/hyperlink" Target="https://utrucking.com/admin/orders/6456044880060" TargetMode="External"/><Relationship Id="rId345" Type="http://schemas.openxmlformats.org/officeDocument/2006/relationships/hyperlink" Target="https://utrucking.com/admin/orders/6456432033980" TargetMode="External"/><Relationship Id="rId344" Type="http://schemas.openxmlformats.org/officeDocument/2006/relationships/hyperlink" Target="https://utrucking.com/admin/orders/6456277205180" TargetMode="External"/><Relationship Id="rId343" Type="http://schemas.openxmlformats.org/officeDocument/2006/relationships/hyperlink" Target="https://utrucking.com/admin/orders/6456245059772" TargetMode="External"/><Relationship Id="rId342" Type="http://schemas.openxmlformats.org/officeDocument/2006/relationships/hyperlink" Target="https://utrucking.com/admin/orders/6456215011516" TargetMode="External"/><Relationship Id="rId338" Type="http://schemas.openxmlformats.org/officeDocument/2006/relationships/hyperlink" Target="https://utrucking.com/admin/orders/6456013848764" TargetMode="External"/><Relationship Id="rId337" Type="http://schemas.openxmlformats.org/officeDocument/2006/relationships/hyperlink" Target="https://utrucking.com/admin/orders/6456004772028" TargetMode="External"/><Relationship Id="rId336" Type="http://schemas.openxmlformats.org/officeDocument/2006/relationships/hyperlink" Target="https://utrucking.com/admin/orders/6455865999548" TargetMode="External"/><Relationship Id="rId335" Type="http://schemas.openxmlformats.org/officeDocument/2006/relationships/hyperlink" Target="https://utrucking.com/admin/orders/6455838671036" TargetMode="External"/><Relationship Id="rId339" Type="http://schemas.openxmlformats.org/officeDocument/2006/relationships/hyperlink" Target="https://utrucking.com/admin/orders/6456031740092" TargetMode="External"/><Relationship Id="rId330" Type="http://schemas.openxmlformats.org/officeDocument/2006/relationships/hyperlink" Target="https://utrucking.com/admin/orders/6455345381564" TargetMode="External"/><Relationship Id="rId334" Type="http://schemas.openxmlformats.org/officeDocument/2006/relationships/hyperlink" Target="https://utrucking.com/admin/orders/6455631446204" TargetMode="External"/><Relationship Id="rId333" Type="http://schemas.openxmlformats.org/officeDocument/2006/relationships/hyperlink" Target="https://utrucking.com/admin/orders/6455608967356" TargetMode="External"/><Relationship Id="rId332" Type="http://schemas.openxmlformats.org/officeDocument/2006/relationships/hyperlink" Target="https://utrucking.com/admin/orders/6455511515324" TargetMode="External"/><Relationship Id="rId331" Type="http://schemas.openxmlformats.org/officeDocument/2006/relationships/hyperlink" Target="https://utrucking.com/admin/orders/6455507091644" TargetMode="External"/><Relationship Id="rId370" Type="http://schemas.openxmlformats.org/officeDocument/2006/relationships/hyperlink" Target="https://utrucking.com/admin/orders/6457942278332" TargetMode="External"/><Relationship Id="rId369" Type="http://schemas.openxmlformats.org/officeDocument/2006/relationships/hyperlink" Target="https://utrucking.com/admin/orders/6457935954108" TargetMode="External"/><Relationship Id="rId368" Type="http://schemas.openxmlformats.org/officeDocument/2006/relationships/hyperlink" Target="https://utrucking.com/admin/orders/6457847677116" TargetMode="External"/><Relationship Id="rId363" Type="http://schemas.openxmlformats.org/officeDocument/2006/relationships/hyperlink" Target="https://utrucking.com/admin/orders/6457704612028" TargetMode="External"/><Relationship Id="rId362" Type="http://schemas.openxmlformats.org/officeDocument/2006/relationships/hyperlink" Target="https://utrucking.com/admin/orders/6457659523260" TargetMode="External"/><Relationship Id="rId361" Type="http://schemas.openxmlformats.org/officeDocument/2006/relationships/hyperlink" Target="https://utrucking.com/admin/orders/6457108594876" TargetMode="External"/><Relationship Id="rId360" Type="http://schemas.openxmlformats.org/officeDocument/2006/relationships/hyperlink" Target="https://utrucking.com/admin/orders/6457002655932" TargetMode="External"/><Relationship Id="rId367" Type="http://schemas.openxmlformats.org/officeDocument/2006/relationships/hyperlink" Target="https://utrucking.com/admin/orders/6457773392060" TargetMode="External"/><Relationship Id="rId366" Type="http://schemas.openxmlformats.org/officeDocument/2006/relationships/hyperlink" Target="https://utrucking.com/admin/orders/6457767395516" TargetMode="External"/><Relationship Id="rId365" Type="http://schemas.openxmlformats.org/officeDocument/2006/relationships/hyperlink" Target="https://utrucking.com/admin/orders/6457711263932" TargetMode="External"/><Relationship Id="rId364" Type="http://schemas.openxmlformats.org/officeDocument/2006/relationships/hyperlink" Target="https://utrucking.com/admin/orders/6457707954364" TargetMode="External"/><Relationship Id="rId95" Type="http://schemas.openxmlformats.org/officeDocument/2006/relationships/hyperlink" Target="https://utrucking.com/admin/orders/6445951647932" TargetMode="External"/><Relationship Id="rId94" Type="http://schemas.openxmlformats.org/officeDocument/2006/relationships/hyperlink" Target="https://utrucking.com/admin/orders/6445951058108" TargetMode="External"/><Relationship Id="rId97" Type="http://schemas.openxmlformats.org/officeDocument/2006/relationships/hyperlink" Target="https://utrucking.com/admin/orders/6445976584380" TargetMode="External"/><Relationship Id="rId96" Type="http://schemas.openxmlformats.org/officeDocument/2006/relationships/hyperlink" Target="https://utrucking.com/admin/orders/6445965410492" TargetMode="External"/><Relationship Id="rId99" Type="http://schemas.openxmlformats.org/officeDocument/2006/relationships/hyperlink" Target="https://utrucking.com/admin/orders/6446035468476" TargetMode="External"/><Relationship Id="rId98" Type="http://schemas.openxmlformats.org/officeDocument/2006/relationships/hyperlink" Target="https://utrucking.com/admin/orders/6446019150012" TargetMode="External"/><Relationship Id="rId91" Type="http://schemas.openxmlformats.org/officeDocument/2006/relationships/hyperlink" Target="https://utrucking.com/admin/orders/6445928612028" TargetMode="External"/><Relationship Id="rId90" Type="http://schemas.openxmlformats.org/officeDocument/2006/relationships/hyperlink" Target="https://utrucking.com/admin/orders/6445919469756" TargetMode="External"/><Relationship Id="rId93" Type="http://schemas.openxmlformats.org/officeDocument/2006/relationships/hyperlink" Target="https://utrucking.com/admin/orders/6445942538428" TargetMode="External"/><Relationship Id="rId92" Type="http://schemas.openxmlformats.org/officeDocument/2006/relationships/hyperlink" Target="https://utrucking.com/admin/orders/6445929988284" TargetMode="External"/><Relationship Id="rId359" Type="http://schemas.openxmlformats.org/officeDocument/2006/relationships/hyperlink" Target="https://utrucking.com/admin/orders/6456940265660" TargetMode="External"/><Relationship Id="rId358" Type="http://schemas.openxmlformats.org/officeDocument/2006/relationships/hyperlink" Target="https://utrucking.com/admin/orders/6456881119420" TargetMode="External"/><Relationship Id="rId357" Type="http://schemas.openxmlformats.org/officeDocument/2006/relationships/hyperlink" Target="https://utrucking.com/admin/orders/6456824955068" TargetMode="External"/><Relationship Id="rId352" Type="http://schemas.openxmlformats.org/officeDocument/2006/relationships/hyperlink" Target="https://utrucking.com/admin/orders/6456642601148" TargetMode="External"/><Relationship Id="rId351" Type="http://schemas.openxmlformats.org/officeDocument/2006/relationships/hyperlink" Target="https://utrucking.com/admin/orders/6456633819324" TargetMode="External"/><Relationship Id="rId350" Type="http://schemas.openxmlformats.org/officeDocument/2006/relationships/hyperlink" Target="https://utrucking.com/admin/orders/6456587813052" TargetMode="External"/><Relationship Id="rId356" Type="http://schemas.openxmlformats.org/officeDocument/2006/relationships/hyperlink" Target="https://utrucking.com/admin/orders/6456738709692" TargetMode="External"/><Relationship Id="rId355" Type="http://schemas.openxmlformats.org/officeDocument/2006/relationships/hyperlink" Target="https://utrucking.com/admin/orders/6456702828732" TargetMode="External"/><Relationship Id="rId354" Type="http://schemas.openxmlformats.org/officeDocument/2006/relationships/hyperlink" Target="https://utrucking.com/admin/orders/6456658854076" TargetMode="External"/><Relationship Id="rId353" Type="http://schemas.openxmlformats.org/officeDocument/2006/relationships/hyperlink" Target="https://utrucking.com/admin/orders/6456655675580" TargetMode="External"/><Relationship Id="rId305" Type="http://schemas.openxmlformats.org/officeDocument/2006/relationships/hyperlink" Target="https://utrucking.com/admin/orders/6452630519996" TargetMode="External"/><Relationship Id="rId304" Type="http://schemas.openxmlformats.org/officeDocument/2006/relationships/hyperlink" Target="https://utrucking.com/admin/orders/6452562591932" TargetMode="External"/><Relationship Id="rId303" Type="http://schemas.openxmlformats.org/officeDocument/2006/relationships/hyperlink" Target="https://utrucking.com/admin/orders/6452561576124" TargetMode="External"/><Relationship Id="rId302" Type="http://schemas.openxmlformats.org/officeDocument/2006/relationships/hyperlink" Target="https://utrucking.com/admin/orders/6452506951868" TargetMode="External"/><Relationship Id="rId309" Type="http://schemas.openxmlformats.org/officeDocument/2006/relationships/hyperlink" Target="https://utrucking.com/admin/orders/6453001519292" TargetMode="External"/><Relationship Id="rId308" Type="http://schemas.openxmlformats.org/officeDocument/2006/relationships/hyperlink" Target="https://utrucking.com/admin/orders/6452723777724" TargetMode="External"/><Relationship Id="rId307" Type="http://schemas.openxmlformats.org/officeDocument/2006/relationships/hyperlink" Target="https://utrucking.com/admin/orders/6452712997052" TargetMode="External"/><Relationship Id="rId306" Type="http://schemas.openxmlformats.org/officeDocument/2006/relationships/hyperlink" Target="https://utrucking.com/admin/orders/6452692091068" TargetMode="External"/><Relationship Id="rId301" Type="http://schemas.openxmlformats.org/officeDocument/2006/relationships/hyperlink" Target="https://utrucking.com/admin/orders/6452492304572" TargetMode="External"/><Relationship Id="rId300" Type="http://schemas.openxmlformats.org/officeDocument/2006/relationships/hyperlink" Target="https://utrucking.com/admin/orders/6452443742396" TargetMode="External"/><Relationship Id="rId327" Type="http://schemas.openxmlformats.org/officeDocument/2006/relationships/hyperlink" Target="https://utrucking.com/admin/orders/6455232495804" TargetMode="External"/><Relationship Id="rId326" Type="http://schemas.openxmlformats.org/officeDocument/2006/relationships/hyperlink" Target="https://utrucking.com/admin/orders/6455176036540" TargetMode="External"/><Relationship Id="rId325" Type="http://schemas.openxmlformats.org/officeDocument/2006/relationships/hyperlink" Target="https://utrucking.com/admin/orders/6455093919932" TargetMode="External"/><Relationship Id="rId324" Type="http://schemas.openxmlformats.org/officeDocument/2006/relationships/hyperlink" Target="https://utrucking.com/admin/orders/6455055712444" TargetMode="External"/><Relationship Id="rId329" Type="http://schemas.openxmlformats.org/officeDocument/2006/relationships/hyperlink" Target="https://utrucking.com/admin/orders/6455272603836" TargetMode="External"/><Relationship Id="rId328" Type="http://schemas.openxmlformats.org/officeDocument/2006/relationships/hyperlink" Target="https://utrucking.com/admin/orders/6455270277308" TargetMode="External"/><Relationship Id="rId323" Type="http://schemas.openxmlformats.org/officeDocument/2006/relationships/hyperlink" Target="https://utrucking.com/admin/orders/6454978805948" TargetMode="External"/><Relationship Id="rId322" Type="http://schemas.openxmlformats.org/officeDocument/2006/relationships/hyperlink" Target="https://utrucking.com/admin/orders/6454741696700" TargetMode="External"/><Relationship Id="rId321" Type="http://schemas.openxmlformats.org/officeDocument/2006/relationships/hyperlink" Target="https://utrucking.com/admin/orders/6454407725244" TargetMode="External"/><Relationship Id="rId320" Type="http://schemas.openxmlformats.org/officeDocument/2006/relationships/hyperlink" Target="https://utrucking.com/admin/orders/6454382788796" TargetMode="External"/><Relationship Id="rId316" Type="http://schemas.openxmlformats.org/officeDocument/2006/relationships/hyperlink" Target="https://utrucking.com/admin/orders/6454127820988" TargetMode="External"/><Relationship Id="rId315" Type="http://schemas.openxmlformats.org/officeDocument/2006/relationships/hyperlink" Target="https://utrucking.com/admin/orders/6454044459196" TargetMode="External"/><Relationship Id="rId314" Type="http://schemas.openxmlformats.org/officeDocument/2006/relationships/hyperlink" Target="https://utrucking.com/admin/orders/6453786804412" TargetMode="External"/><Relationship Id="rId313" Type="http://schemas.openxmlformats.org/officeDocument/2006/relationships/hyperlink" Target="https://utrucking.com/admin/orders/6453493104828" TargetMode="External"/><Relationship Id="rId319" Type="http://schemas.openxmlformats.org/officeDocument/2006/relationships/hyperlink" Target="https://utrucking.com/admin/orders/6454380888252" TargetMode="External"/><Relationship Id="rId318" Type="http://schemas.openxmlformats.org/officeDocument/2006/relationships/hyperlink" Target="https://utrucking.com/admin/orders/6454379249852" TargetMode="External"/><Relationship Id="rId317" Type="http://schemas.openxmlformats.org/officeDocument/2006/relationships/hyperlink" Target="https://utrucking.com/admin/orders/6454367355068" TargetMode="External"/><Relationship Id="rId312" Type="http://schemas.openxmlformats.org/officeDocument/2006/relationships/hyperlink" Target="https://utrucking.com/admin/orders/6453058994364" TargetMode="External"/><Relationship Id="rId311" Type="http://schemas.openxmlformats.org/officeDocument/2006/relationships/hyperlink" Target="https://utrucking.com/admin/orders/6453032321212" TargetMode="External"/><Relationship Id="rId310" Type="http://schemas.openxmlformats.org/officeDocument/2006/relationships/hyperlink" Target="https://utrucking.com/admin/orders/6453015937212" TargetMode="External"/><Relationship Id="rId297" Type="http://schemas.openxmlformats.org/officeDocument/2006/relationships/hyperlink" Target="https://utrucking.com/admin/orders/6452062585020" TargetMode="External"/><Relationship Id="rId296" Type="http://schemas.openxmlformats.org/officeDocument/2006/relationships/hyperlink" Target="https://utrucking.com/admin/orders/6451933413564" TargetMode="External"/><Relationship Id="rId295" Type="http://schemas.openxmlformats.org/officeDocument/2006/relationships/hyperlink" Target="https://utrucking.com/admin/orders/6451712295100" TargetMode="External"/><Relationship Id="rId294" Type="http://schemas.openxmlformats.org/officeDocument/2006/relationships/hyperlink" Target="https://utrucking.com/admin/orders/6451480068284" TargetMode="External"/><Relationship Id="rId299" Type="http://schemas.openxmlformats.org/officeDocument/2006/relationships/hyperlink" Target="https://utrucking.com/admin/orders/6452440236220" TargetMode="External"/><Relationship Id="rId298" Type="http://schemas.openxmlformats.org/officeDocument/2006/relationships/hyperlink" Target="https://utrucking.com/admin/orders/6452241399996" TargetMode="External"/><Relationship Id="rId271" Type="http://schemas.openxmlformats.org/officeDocument/2006/relationships/hyperlink" Target="https://utrucking.com/admin/orders/6449814995132" TargetMode="External"/><Relationship Id="rId270" Type="http://schemas.openxmlformats.org/officeDocument/2006/relationships/hyperlink" Target="https://utrucking.com/admin/orders/6449775182012" TargetMode="External"/><Relationship Id="rId269" Type="http://schemas.openxmlformats.org/officeDocument/2006/relationships/hyperlink" Target="https://utrucking.com/admin/orders/6449700864188" TargetMode="External"/><Relationship Id="rId264" Type="http://schemas.openxmlformats.org/officeDocument/2006/relationships/hyperlink" Target="https://utrucking.com/admin/orders/6449388028092" TargetMode="External"/><Relationship Id="rId263" Type="http://schemas.openxmlformats.org/officeDocument/2006/relationships/hyperlink" Target="https://utrucking.com/admin/orders/6449359487164" TargetMode="External"/><Relationship Id="rId262" Type="http://schemas.openxmlformats.org/officeDocument/2006/relationships/hyperlink" Target="https://utrucking.com/admin/orders/6449340317884" TargetMode="External"/><Relationship Id="rId261" Type="http://schemas.openxmlformats.org/officeDocument/2006/relationships/hyperlink" Target="https://utrucking.com/admin/orders/6449241948348" TargetMode="External"/><Relationship Id="rId268" Type="http://schemas.openxmlformats.org/officeDocument/2006/relationships/hyperlink" Target="https://utrucking.com/admin/orders/6449540235452" TargetMode="External"/><Relationship Id="rId267" Type="http://schemas.openxmlformats.org/officeDocument/2006/relationships/hyperlink" Target="https://utrucking.com/admin/orders/6449453727932" TargetMode="External"/><Relationship Id="rId266" Type="http://schemas.openxmlformats.org/officeDocument/2006/relationships/hyperlink" Target="https://utrucking.com/admin/orders/6449431609532" TargetMode="External"/><Relationship Id="rId265" Type="http://schemas.openxmlformats.org/officeDocument/2006/relationships/hyperlink" Target="https://utrucking.com/admin/orders/6449425678524" TargetMode="External"/><Relationship Id="rId260" Type="http://schemas.openxmlformats.org/officeDocument/2006/relationships/hyperlink" Target="https://utrucking.com/admin/orders/6449240309948" TargetMode="External"/><Relationship Id="rId259" Type="http://schemas.openxmlformats.org/officeDocument/2006/relationships/hyperlink" Target="https://utrucking.com/admin/orders/6449205018812" TargetMode="External"/><Relationship Id="rId258" Type="http://schemas.openxmlformats.org/officeDocument/2006/relationships/hyperlink" Target="https://utrucking.com/admin/orders/6449176641724" TargetMode="External"/><Relationship Id="rId253" Type="http://schemas.openxmlformats.org/officeDocument/2006/relationships/hyperlink" Target="https://utrucking.com/admin/orders/6448949657788" TargetMode="External"/><Relationship Id="rId252" Type="http://schemas.openxmlformats.org/officeDocument/2006/relationships/hyperlink" Target="https://utrucking.com/admin/orders/6448922165436" TargetMode="External"/><Relationship Id="rId251" Type="http://schemas.openxmlformats.org/officeDocument/2006/relationships/hyperlink" Target="https://utrucking.com/admin/orders/6448918921404" TargetMode="External"/><Relationship Id="rId250" Type="http://schemas.openxmlformats.org/officeDocument/2006/relationships/hyperlink" Target="https://utrucking.com/admin/orders/6448911876284" TargetMode="External"/><Relationship Id="rId257" Type="http://schemas.openxmlformats.org/officeDocument/2006/relationships/hyperlink" Target="https://utrucking.com/admin/orders/6449159438524" TargetMode="External"/><Relationship Id="rId256" Type="http://schemas.openxmlformats.org/officeDocument/2006/relationships/hyperlink" Target="https://utrucking.com/admin/orders/6449023779004" TargetMode="External"/><Relationship Id="rId255" Type="http://schemas.openxmlformats.org/officeDocument/2006/relationships/hyperlink" Target="https://utrucking.com/admin/orders/6448993894588" TargetMode="External"/><Relationship Id="rId254" Type="http://schemas.openxmlformats.org/officeDocument/2006/relationships/hyperlink" Target="https://utrucking.com/admin/orders/6448968433852" TargetMode="External"/><Relationship Id="rId293" Type="http://schemas.openxmlformats.org/officeDocument/2006/relationships/hyperlink" Target="https://utrucking.com/admin/orders/6451447464124" TargetMode="External"/><Relationship Id="rId292" Type="http://schemas.openxmlformats.org/officeDocument/2006/relationships/hyperlink" Target="https://utrucking.com/admin/orders/6451368427708" TargetMode="External"/><Relationship Id="rId291" Type="http://schemas.openxmlformats.org/officeDocument/2006/relationships/hyperlink" Target="https://utrucking.com/admin/orders/6451322552508" TargetMode="External"/><Relationship Id="rId290" Type="http://schemas.openxmlformats.org/officeDocument/2006/relationships/hyperlink" Target="https://utrucking.com/admin/orders/6451312689340" TargetMode="External"/><Relationship Id="rId286" Type="http://schemas.openxmlformats.org/officeDocument/2006/relationships/hyperlink" Target="https://utrucking.com/admin/orders/6451222151356" TargetMode="External"/><Relationship Id="rId285" Type="http://schemas.openxmlformats.org/officeDocument/2006/relationships/hyperlink" Target="https://utrucking.com/admin/orders/6451199180988" TargetMode="External"/><Relationship Id="rId284" Type="http://schemas.openxmlformats.org/officeDocument/2006/relationships/hyperlink" Target="https://utrucking.com/admin/orders/6451131318460" TargetMode="External"/><Relationship Id="rId283" Type="http://schemas.openxmlformats.org/officeDocument/2006/relationships/hyperlink" Target="https://utrucking.com/admin/orders/6451110576316" TargetMode="External"/><Relationship Id="rId289" Type="http://schemas.openxmlformats.org/officeDocument/2006/relationships/hyperlink" Target="https://utrucking.com/admin/orders/6451302006972" TargetMode="External"/><Relationship Id="rId288" Type="http://schemas.openxmlformats.org/officeDocument/2006/relationships/hyperlink" Target="https://utrucking.com/admin/orders/6451279265980" TargetMode="External"/><Relationship Id="rId287" Type="http://schemas.openxmlformats.org/officeDocument/2006/relationships/hyperlink" Target="https://utrucking.com/admin/orders/6451268911292" TargetMode="External"/><Relationship Id="rId282" Type="http://schemas.openxmlformats.org/officeDocument/2006/relationships/hyperlink" Target="https://utrucking.com/admin/orders/6451007226044" TargetMode="External"/><Relationship Id="rId281" Type="http://schemas.openxmlformats.org/officeDocument/2006/relationships/hyperlink" Target="https://utrucking.com/admin/orders/6450951585980" TargetMode="External"/><Relationship Id="rId280" Type="http://schemas.openxmlformats.org/officeDocument/2006/relationships/hyperlink" Target="https://utrucking.com/admin/orders/6450934841532" TargetMode="External"/><Relationship Id="rId275" Type="http://schemas.openxmlformats.org/officeDocument/2006/relationships/hyperlink" Target="https://utrucking.com/admin/orders/6450450989244" TargetMode="External"/><Relationship Id="rId274" Type="http://schemas.openxmlformats.org/officeDocument/2006/relationships/hyperlink" Target="https://utrucking.com/admin/orders/6450412617916" TargetMode="External"/><Relationship Id="rId273" Type="http://schemas.openxmlformats.org/officeDocument/2006/relationships/hyperlink" Target="https://utrucking.com/admin/orders/6450346655932" TargetMode="External"/><Relationship Id="rId272" Type="http://schemas.openxmlformats.org/officeDocument/2006/relationships/hyperlink" Target="https://utrucking.com/admin/orders/6450231181500" TargetMode="External"/><Relationship Id="rId279" Type="http://schemas.openxmlformats.org/officeDocument/2006/relationships/hyperlink" Target="https://utrucking.com/admin/orders/6450923798716" TargetMode="External"/><Relationship Id="rId278" Type="http://schemas.openxmlformats.org/officeDocument/2006/relationships/hyperlink" Target="https://utrucking.com/admin/orders/6450917834940" TargetMode="External"/><Relationship Id="rId277" Type="http://schemas.openxmlformats.org/officeDocument/2006/relationships/hyperlink" Target="https://utrucking.com/admin/orders/6450891751612" TargetMode="External"/><Relationship Id="rId276" Type="http://schemas.openxmlformats.org/officeDocument/2006/relationships/hyperlink" Target="https://utrucking.com/admin/orders/6450713821372" TargetMode="External"/><Relationship Id="rId228" Type="http://schemas.openxmlformats.org/officeDocument/2006/relationships/hyperlink" Target="https://utrucking.com/admin/orders/6448055812284" TargetMode="External"/><Relationship Id="rId227" Type="http://schemas.openxmlformats.org/officeDocument/2006/relationships/hyperlink" Target="https://utrucking.com/admin/orders/6448016523452" TargetMode="External"/><Relationship Id="rId226" Type="http://schemas.openxmlformats.org/officeDocument/2006/relationships/hyperlink" Target="https://utrucking.com/admin/orders/6448007348412" TargetMode="External"/><Relationship Id="rId225" Type="http://schemas.openxmlformats.org/officeDocument/2006/relationships/hyperlink" Target="https://utrucking.com/admin/orders/6448007348412" TargetMode="External"/><Relationship Id="rId229" Type="http://schemas.openxmlformats.org/officeDocument/2006/relationships/hyperlink" Target="https://utrucking.com/admin/orders/6448061087932" TargetMode="External"/><Relationship Id="rId220" Type="http://schemas.openxmlformats.org/officeDocument/2006/relationships/hyperlink" Target="https://utrucking.com/admin/orders/6447937814716" TargetMode="External"/><Relationship Id="rId224" Type="http://schemas.openxmlformats.org/officeDocument/2006/relationships/hyperlink" Target="https://utrucking.com/admin/orders/6448005087420" TargetMode="External"/><Relationship Id="rId223" Type="http://schemas.openxmlformats.org/officeDocument/2006/relationships/hyperlink" Target="https://utrucking.com/admin/orders/6448002171068" TargetMode="External"/><Relationship Id="rId222" Type="http://schemas.openxmlformats.org/officeDocument/2006/relationships/hyperlink" Target="https://utrucking.com/admin/orders/6447996895420" TargetMode="External"/><Relationship Id="rId221" Type="http://schemas.openxmlformats.org/officeDocument/2006/relationships/hyperlink" Target="https://utrucking.com/admin/orders/6447968420028" TargetMode="External"/><Relationship Id="rId217" Type="http://schemas.openxmlformats.org/officeDocument/2006/relationships/hyperlink" Target="https://utrucking.com/admin/orders/6447882993852" TargetMode="External"/><Relationship Id="rId216" Type="http://schemas.openxmlformats.org/officeDocument/2006/relationships/hyperlink" Target="https://utrucking.com/admin/orders/6447866708156" TargetMode="External"/><Relationship Id="rId215" Type="http://schemas.openxmlformats.org/officeDocument/2006/relationships/hyperlink" Target="https://utrucking.com/admin/orders/6447817556156" TargetMode="External"/><Relationship Id="rId214" Type="http://schemas.openxmlformats.org/officeDocument/2006/relationships/hyperlink" Target="https://admin.shopify.com/store/utrucking/orders/6447803990204?link_source=search" TargetMode="External"/><Relationship Id="rId219" Type="http://schemas.openxmlformats.org/officeDocument/2006/relationships/hyperlink" Target="https://utrucking.com/admin/orders/6447914188988" TargetMode="External"/><Relationship Id="rId218" Type="http://schemas.openxmlformats.org/officeDocument/2006/relationships/hyperlink" Target="https://utrucking.com/admin/orders/6447886139580" TargetMode="External"/><Relationship Id="rId213" Type="http://schemas.openxmlformats.org/officeDocument/2006/relationships/hyperlink" Target="https://utrucking.com/admin/orders/6447800680636" TargetMode="External"/><Relationship Id="rId212" Type="http://schemas.openxmlformats.org/officeDocument/2006/relationships/hyperlink" Target="https://utrucking.com/admin/orders/6447793602748" TargetMode="External"/><Relationship Id="rId211" Type="http://schemas.openxmlformats.org/officeDocument/2006/relationships/hyperlink" Target="https://utrucking.com/admin/orders/6447771418812" TargetMode="External"/><Relationship Id="rId210" Type="http://schemas.openxmlformats.org/officeDocument/2006/relationships/hyperlink" Target="https://utrucking.com/admin/orders/6447697854652" TargetMode="External"/><Relationship Id="rId249" Type="http://schemas.openxmlformats.org/officeDocument/2006/relationships/hyperlink" Target="https://utrucking.com/admin/orders/6448882221244" TargetMode="External"/><Relationship Id="rId248" Type="http://schemas.openxmlformats.org/officeDocument/2006/relationships/hyperlink" Target="https://utrucking.com/admin/orders/6448872292540" TargetMode="External"/><Relationship Id="rId247" Type="http://schemas.openxmlformats.org/officeDocument/2006/relationships/hyperlink" Target="https://utrucking.com/admin/orders/6448854368444" TargetMode="External"/><Relationship Id="rId242" Type="http://schemas.openxmlformats.org/officeDocument/2006/relationships/hyperlink" Target="https://utrucking.com/admin/orders/6448312025276" TargetMode="External"/><Relationship Id="rId241" Type="http://schemas.openxmlformats.org/officeDocument/2006/relationships/hyperlink" Target="https://utrucking.com/admin/orders/6448275849404" TargetMode="External"/><Relationship Id="rId240" Type="http://schemas.openxmlformats.org/officeDocument/2006/relationships/hyperlink" Target="https://utrucking.com/admin/orders/6448237215932" TargetMode="External"/><Relationship Id="rId246" Type="http://schemas.openxmlformats.org/officeDocument/2006/relationships/hyperlink" Target="https://utrucking.com/admin/orders/6448847454396" TargetMode="External"/><Relationship Id="rId245" Type="http://schemas.openxmlformats.org/officeDocument/2006/relationships/hyperlink" Target="https://utrucking.com/admin/orders/6448818684092" TargetMode="External"/><Relationship Id="rId244" Type="http://schemas.openxmlformats.org/officeDocument/2006/relationships/hyperlink" Target="https://utrucking.com/admin/orders/6448512401596" TargetMode="External"/><Relationship Id="rId243" Type="http://schemas.openxmlformats.org/officeDocument/2006/relationships/hyperlink" Target="https://utrucking.com/admin/orders/6448325984444" TargetMode="External"/><Relationship Id="rId239" Type="http://schemas.openxmlformats.org/officeDocument/2006/relationships/hyperlink" Target="https://utrucking.com/admin/orders/6448231612604" TargetMode="External"/><Relationship Id="rId238" Type="http://schemas.openxmlformats.org/officeDocument/2006/relationships/hyperlink" Target="https://utrucking.com/admin/orders/6448224174268" TargetMode="External"/><Relationship Id="rId237" Type="http://schemas.openxmlformats.org/officeDocument/2006/relationships/hyperlink" Target="https://utrucking.com/admin/orders/6448201892028" TargetMode="External"/><Relationship Id="rId236" Type="http://schemas.openxmlformats.org/officeDocument/2006/relationships/hyperlink" Target="https://utrucking.com/admin/orders/6448187539644" TargetMode="External"/><Relationship Id="rId231" Type="http://schemas.openxmlformats.org/officeDocument/2006/relationships/hyperlink" Target="https://utrucking.com/admin/orders/6448102211772" TargetMode="External"/><Relationship Id="rId230" Type="http://schemas.openxmlformats.org/officeDocument/2006/relationships/hyperlink" Target="https://utrucking.com/admin/orders/6448075374780" TargetMode="External"/><Relationship Id="rId235" Type="http://schemas.openxmlformats.org/officeDocument/2006/relationships/hyperlink" Target="https://utrucking.com/admin/orders/6448181870780" TargetMode="External"/><Relationship Id="rId234" Type="http://schemas.openxmlformats.org/officeDocument/2006/relationships/hyperlink" Target="https://utrucking.com/admin/orders/6448167256252" TargetMode="External"/><Relationship Id="rId233" Type="http://schemas.openxmlformats.org/officeDocument/2006/relationships/hyperlink" Target="https://utrucking.com/admin/orders/6448129212604" TargetMode="External"/><Relationship Id="rId232" Type="http://schemas.openxmlformats.org/officeDocument/2006/relationships/hyperlink" Target="https://utrucking.com/admin/orders/6448112959676" TargetMode="External"/><Relationship Id="rId206" Type="http://schemas.openxmlformats.org/officeDocument/2006/relationships/hyperlink" Target="https://utrucking.com/admin/orders/6447587754172" TargetMode="External"/><Relationship Id="rId205" Type="http://schemas.openxmlformats.org/officeDocument/2006/relationships/hyperlink" Target="https://utrucking.com/admin/orders/6447582576828" TargetMode="External"/><Relationship Id="rId204" Type="http://schemas.openxmlformats.org/officeDocument/2006/relationships/hyperlink" Target="https://utrucking.com/admin/orders/6447522873532" TargetMode="External"/><Relationship Id="rId203" Type="http://schemas.openxmlformats.org/officeDocument/2006/relationships/hyperlink" Target="https://utrucking.com/admin/orders/6447550070972" TargetMode="External"/><Relationship Id="rId209" Type="http://schemas.openxmlformats.org/officeDocument/2006/relationships/hyperlink" Target="https://utrucking.com/admin/orders/6447749071036" TargetMode="External"/><Relationship Id="rId208" Type="http://schemas.openxmlformats.org/officeDocument/2006/relationships/hyperlink" Target="https://utrucking.com/admin/orders/6447613771964" TargetMode="External"/><Relationship Id="rId207" Type="http://schemas.openxmlformats.org/officeDocument/2006/relationships/hyperlink" Target="https://utrucking.com/admin/orders/6447580479676" TargetMode="External"/><Relationship Id="rId202" Type="http://schemas.openxmlformats.org/officeDocument/2006/relationships/hyperlink" Target="https://utrucking.com/admin/orders/6447439249596" TargetMode="External"/><Relationship Id="rId201" Type="http://schemas.openxmlformats.org/officeDocument/2006/relationships/hyperlink" Target="https://utrucking.com/admin/orders/6447536013500" TargetMode="External"/><Relationship Id="rId200" Type="http://schemas.openxmlformats.org/officeDocument/2006/relationships/hyperlink" Target="https://utrucking.com/admin/orders/6447406088380" TargetMode="External"/><Relationship Id="rId190" Type="http://schemas.openxmlformats.org/officeDocument/2006/relationships/hyperlink" Target="https://utrucking.com/admin/orders/6447307751612" TargetMode="External"/><Relationship Id="rId194" Type="http://schemas.openxmlformats.org/officeDocument/2006/relationships/hyperlink" Target="https://utrucking.com/admin/orders/6447376466108" TargetMode="External"/><Relationship Id="rId193" Type="http://schemas.openxmlformats.org/officeDocument/2006/relationships/hyperlink" Target="https://utrucking.com/admin/orders/6447367717052" TargetMode="External"/><Relationship Id="rId192" Type="http://schemas.openxmlformats.org/officeDocument/2006/relationships/hyperlink" Target="https://utrucking.com/admin/orders/6447340650684" TargetMode="External"/><Relationship Id="rId191" Type="http://schemas.openxmlformats.org/officeDocument/2006/relationships/hyperlink" Target="https://utrucking.com/admin/orders/6447309815996" TargetMode="External"/><Relationship Id="rId187" Type="http://schemas.openxmlformats.org/officeDocument/2006/relationships/hyperlink" Target="https://utrucking.com/admin/orders/6447274328252" TargetMode="External"/><Relationship Id="rId186" Type="http://schemas.openxmlformats.org/officeDocument/2006/relationships/hyperlink" Target="https://utrucking.com/admin/orders/6447233958076" TargetMode="External"/><Relationship Id="rId185" Type="http://schemas.openxmlformats.org/officeDocument/2006/relationships/hyperlink" Target="https://utrucking.com/admin/orders/6447138144444" TargetMode="External"/><Relationship Id="rId184" Type="http://schemas.openxmlformats.org/officeDocument/2006/relationships/hyperlink" Target="https://utrucking.com/admin/orders/6447196242108" TargetMode="External"/><Relationship Id="rId189" Type="http://schemas.openxmlformats.org/officeDocument/2006/relationships/hyperlink" Target="https://utrucking.com/admin/orders/6447301460156" TargetMode="External"/><Relationship Id="rId188" Type="http://schemas.openxmlformats.org/officeDocument/2006/relationships/hyperlink" Target="https://utrucking.com/admin/orders/6447280226492" TargetMode="External"/><Relationship Id="rId183" Type="http://schemas.openxmlformats.org/officeDocument/2006/relationships/hyperlink" Target="https://utrucking.com/admin/orders/6447135686844" TargetMode="External"/><Relationship Id="rId182" Type="http://schemas.openxmlformats.org/officeDocument/2006/relationships/hyperlink" Target="https://utrucking.com/admin/orders/6447168389308" TargetMode="External"/><Relationship Id="rId181" Type="http://schemas.openxmlformats.org/officeDocument/2006/relationships/hyperlink" Target="https://utrucking.com/admin/orders/6447168389308" TargetMode="External"/><Relationship Id="rId180" Type="http://schemas.openxmlformats.org/officeDocument/2006/relationships/hyperlink" Target="https://utrucking.com/admin/orders/6447168389308" TargetMode="External"/><Relationship Id="rId176" Type="http://schemas.openxmlformats.org/officeDocument/2006/relationships/hyperlink" Target="https://utrucking.com/admin/orders/6447130575036" TargetMode="External"/><Relationship Id="rId175" Type="http://schemas.openxmlformats.org/officeDocument/2006/relationships/hyperlink" Target="https://utrucking.com/admin/orders/6447140339900" TargetMode="External"/><Relationship Id="rId174" Type="http://schemas.openxmlformats.org/officeDocument/2006/relationships/hyperlink" Target="https://utrucking.com/admin/orders/6447142338748" TargetMode="External"/><Relationship Id="rId173" Type="http://schemas.openxmlformats.org/officeDocument/2006/relationships/hyperlink" Target="https://utrucking.com/admin/orders/6447131033788" TargetMode="External"/><Relationship Id="rId179" Type="http://schemas.openxmlformats.org/officeDocument/2006/relationships/hyperlink" Target="https://utrucking.com/admin/orders/6447161114812" TargetMode="External"/><Relationship Id="rId178" Type="http://schemas.openxmlformats.org/officeDocument/2006/relationships/hyperlink" Target="https://utrucking.com/admin/orders/6447145582780" TargetMode="External"/><Relationship Id="rId177" Type="http://schemas.openxmlformats.org/officeDocument/2006/relationships/hyperlink" Target="https://utrucking.com/admin/orders/6447117664444" TargetMode="External"/><Relationship Id="rId198" Type="http://schemas.openxmlformats.org/officeDocument/2006/relationships/hyperlink" Target="https://utrucking.com/admin/orders/6447399731388" TargetMode="External"/><Relationship Id="rId197" Type="http://schemas.openxmlformats.org/officeDocument/2006/relationships/hyperlink" Target="https://utrucking.com/admin/orders/6447451013308" TargetMode="External"/><Relationship Id="rId196" Type="http://schemas.openxmlformats.org/officeDocument/2006/relationships/hyperlink" Target="https://utrucking.com/admin/orders/6447381577916" TargetMode="External"/><Relationship Id="rId195" Type="http://schemas.openxmlformats.org/officeDocument/2006/relationships/hyperlink" Target="https://utrucking.com/admin/orders/6447372304572" TargetMode="External"/><Relationship Id="rId199" Type="http://schemas.openxmlformats.org/officeDocument/2006/relationships/hyperlink" Target="https://utrucking.com/admin/orders/6447486304444" TargetMode="External"/><Relationship Id="rId150" Type="http://schemas.openxmlformats.org/officeDocument/2006/relationships/hyperlink" Target="https://utrucking.com/admin/orders/6446535573692" TargetMode="External"/><Relationship Id="rId149" Type="http://schemas.openxmlformats.org/officeDocument/2006/relationships/hyperlink" Target="https://utrucking.com/admin/orders/6446504083644" TargetMode="External"/><Relationship Id="rId148" Type="http://schemas.openxmlformats.org/officeDocument/2006/relationships/hyperlink" Target="https://utrucking.com/admin/orders/6446502969532" TargetMode="External"/><Relationship Id="rId143" Type="http://schemas.openxmlformats.org/officeDocument/2006/relationships/hyperlink" Target="https://utrucking.com/admin/orders/6446460502204" TargetMode="External"/><Relationship Id="rId142" Type="http://schemas.openxmlformats.org/officeDocument/2006/relationships/hyperlink" Target="https://utrucking.com/admin/orders/6446458798268" TargetMode="External"/><Relationship Id="rId141" Type="http://schemas.openxmlformats.org/officeDocument/2006/relationships/hyperlink" Target="https://utrucking.com/admin/orders/6446446608572" TargetMode="External"/><Relationship Id="rId140" Type="http://schemas.openxmlformats.org/officeDocument/2006/relationships/hyperlink" Target="https://utrucking.com/admin/orders/6446441070780" TargetMode="External"/><Relationship Id="rId147" Type="http://schemas.openxmlformats.org/officeDocument/2006/relationships/hyperlink" Target="https://utrucking.com/admin/orders/6446499856572" TargetMode="External"/><Relationship Id="rId146" Type="http://schemas.openxmlformats.org/officeDocument/2006/relationships/hyperlink" Target="https://utrucking.com/admin/orders/6446497956028" TargetMode="External"/><Relationship Id="rId145" Type="http://schemas.openxmlformats.org/officeDocument/2006/relationships/hyperlink" Target="https://utrucking.com/admin/orders/6446494384316" TargetMode="External"/><Relationship Id="rId144" Type="http://schemas.openxmlformats.org/officeDocument/2006/relationships/hyperlink" Target="https://utrucking.com/admin/orders/6446485209276" TargetMode="External"/><Relationship Id="rId139" Type="http://schemas.openxmlformats.org/officeDocument/2006/relationships/hyperlink" Target="https://utrucking.com/admin/orders/6446439596220" TargetMode="External"/><Relationship Id="rId138" Type="http://schemas.openxmlformats.org/officeDocument/2006/relationships/hyperlink" Target="https://utrucking.com/admin/orders/6446436581564" TargetMode="External"/><Relationship Id="rId137" Type="http://schemas.openxmlformats.org/officeDocument/2006/relationships/hyperlink" Target="https://utrucking.com/admin/orders/6446436319420" TargetMode="External"/><Relationship Id="rId132" Type="http://schemas.openxmlformats.org/officeDocument/2006/relationships/hyperlink" Target="https://utrucking.com/admin/orders/6446435041468" TargetMode="External"/><Relationship Id="rId131" Type="http://schemas.openxmlformats.org/officeDocument/2006/relationships/hyperlink" Target="https://utrucking.com/admin/orders/6446434418876" TargetMode="External"/><Relationship Id="rId130" Type="http://schemas.openxmlformats.org/officeDocument/2006/relationships/hyperlink" Target="https://utrucking.com/admin/orders/6446434287804" TargetMode="External"/><Relationship Id="rId136" Type="http://schemas.openxmlformats.org/officeDocument/2006/relationships/hyperlink" Target="https://utrucking.com/admin/orders/6446436253884" TargetMode="External"/><Relationship Id="rId135" Type="http://schemas.openxmlformats.org/officeDocument/2006/relationships/hyperlink" Target="https://utrucking.com/admin/orders/6446435729596" TargetMode="External"/><Relationship Id="rId134" Type="http://schemas.openxmlformats.org/officeDocument/2006/relationships/hyperlink" Target="https://utrucking.com/admin/orders/6446435434684" TargetMode="External"/><Relationship Id="rId133" Type="http://schemas.openxmlformats.org/officeDocument/2006/relationships/hyperlink" Target="https://utrucking.com/admin/orders/6446435303612" TargetMode="External"/><Relationship Id="rId172" Type="http://schemas.openxmlformats.org/officeDocument/2006/relationships/hyperlink" Target="https://utrucking.com/admin/orders/6447103115452" TargetMode="External"/><Relationship Id="rId171" Type="http://schemas.openxmlformats.org/officeDocument/2006/relationships/hyperlink" Target="https://utrucking.com/admin/orders/6447059402940" TargetMode="External"/><Relationship Id="rId170" Type="http://schemas.openxmlformats.org/officeDocument/2006/relationships/hyperlink" Target="https://utrucking.com/admin/orders/6447057338556" TargetMode="External"/><Relationship Id="rId165" Type="http://schemas.openxmlformats.org/officeDocument/2006/relationships/hyperlink" Target="https://utrucking.com/admin/orders/6446700101820" TargetMode="External"/><Relationship Id="rId164" Type="http://schemas.openxmlformats.org/officeDocument/2006/relationships/hyperlink" Target="https://utrucking.com/admin/orders/6446678278332" TargetMode="External"/><Relationship Id="rId163" Type="http://schemas.openxmlformats.org/officeDocument/2006/relationships/hyperlink" Target="https://utrucking.com/admin/orders/6446622474428" TargetMode="External"/><Relationship Id="rId162" Type="http://schemas.openxmlformats.org/officeDocument/2006/relationships/hyperlink" Target="https://utrucking.com/admin/orders/6446618968252" TargetMode="External"/><Relationship Id="rId169" Type="http://schemas.openxmlformats.org/officeDocument/2006/relationships/hyperlink" Target="https://utrucking.com/admin/orders/6447041675452" TargetMode="External"/><Relationship Id="rId168" Type="http://schemas.openxmlformats.org/officeDocument/2006/relationships/hyperlink" Target="https://utrucking.com/admin/orders/6447041675452" TargetMode="External"/><Relationship Id="rId167" Type="http://schemas.openxmlformats.org/officeDocument/2006/relationships/hyperlink" Target="https://utrucking.com/admin/orders/6447035875516" TargetMode="External"/><Relationship Id="rId166" Type="http://schemas.openxmlformats.org/officeDocument/2006/relationships/hyperlink" Target="https://utrucking.com/admin/orders/6446726873276" TargetMode="External"/><Relationship Id="rId161" Type="http://schemas.openxmlformats.org/officeDocument/2006/relationships/hyperlink" Target="https://utrucking.com/admin/orders/6446617952444" TargetMode="External"/><Relationship Id="rId160" Type="http://schemas.openxmlformats.org/officeDocument/2006/relationships/hyperlink" Target="https://utrucking.com/admin/orders/6446614905020" TargetMode="External"/><Relationship Id="rId159" Type="http://schemas.openxmlformats.org/officeDocument/2006/relationships/hyperlink" Target="https://utrucking.com/admin/orders/6446610448572" TargetMode="External"/><Relationship Id="rId154" Type="http://schemas.openxmlformats.org/officeDocument/2006/relationships/hyperlink" Target="https://utrucking.com/admin/orders/6446573224124" TargetMode="External"/><Relationship Id="rId153" Type="http://schemas.openxmlformats.org/officeDocument/2006/relationships/hyperlink" Target="https://utrucking.com/admin/orders/6446568865980" TargetMode="External"/><Relationship Id="rId152" Type="http://schemas.openxmlformats.org/officeDocument/2006/relationships/hyperlink" Target="https://utrucking.com/admin/orders/6446541013180" TargetMode="External"/><Relationship Id="rId151" Type="http://schemas.openxmlformats.org/officeDocument/2006/relationships/hyperlink" Target="https://utrucking.com/admin/orders/6446539276476" TargetMode="External"/><Relationship Id="rId158" Type="http://schemas.openxmlformats.org/officeDocument/2006/relationships/hyperlink" Target="https://utrucking.com/admin/orders/6446609170620" TargetMode="External"/><Relationship Id="rId157" Type="http://schemas.openxmlformats.org/officeDocument/2006/relationships/hyperlink" Target="https://utrucking.com/admin/orders/6446604517564" TargetMode="External"/><Relationship Id="rId156" Type="http://schemas.openxmlformats.org/officeDocument/2006/relationships/hyperlink" Target="https://utrucking.com/admin/orders/6446583349436" TargetMode="External"/><Relationship Id="rId155" Type="http://schemas.openxmlformats.org/officeDocument/2006/relationships/hyperlink" Target="https://utrucking.com/admin/orders/6446577483964" TargetMode="External"/><Relationship Id="rId107" Type="http://schemas.openxmlformats.org/officeDocument/2006/relationships/hyperlink" Target="https://utrucking.com/admin/orders/6446196785340" TargetMode="External"/><Relationship Id="rId106" Type="http://schemas.openxmlformats.org/officeDocument/2006/relationships/hyperlink" Target="https://utrucking.com/admin/orders/6446188626108" TargetMode="External"/><Relationship Id="rId105" Type="http://schemas.openxmlformats.org/officeDocument/2006/relationships/hyperlink" Target="https://utrucking.com/admin/orders/6446175846588" TargetMode="External"/><Relationship Id="rId104" Type="http://schemas.openxmlformats.org/officeDocument/2006/relationships/hyperlink" Target="https://utrucking.com/admin/orders/6446174372028" TargetMode="External"/><Relationship Id="rId109" Type="http://schemas.openxmlformats.org/officeDocument/2006/relationships/hyperlink" Target="https://utrucking.com/admin/orders/6446262091964" TargetMode="External"/><Relationship Id="rId108" Type="http://schemas.openxmlformats.org/officeDocument/2006/relationships/hyperlink" Target="https://utrucking.com/admin/orders/6446238204092" TargetMode="External"/><Relationship Id="rId103" Type="http://schemas.openxmlformats.org/officeDocument/2006/relationships/hyperlink" Target="https://utrucking.com/admin/orders/6446162870460" TargetMode="External"/><Relationship Id="rId102" Type="http://schemas.openxmlformats.org/officeDocument/2006/relationships/hyperlink" Target="https://utrucking.com/admin/orders/6446158381244" TargetMode="External"/><Relationship Id="rId101" Type="http://schemas.openxmlformats.org/officeDocument/2006/relationships/hyperlink" Target="https://utrucking.com/admin/orders/6446072725692" TargetMode="External"/><Relationship Id="rId100" Type="http://schemas.openxmlformats.org/officeDocument/2006/relationships/hyperlink" Target="https://utrucking.com/admin/orders/6446046740668" TargetMode="External"/><Relationship Id="rId129" Type="http://schemas.openxmlformats.org/officeDocument/2006/relationships/hyperlink" Target="https://utrucking.com/admin/orders/6446433861820" TargetMode="External"/><Relationship Id="rId128" Type="http://schemas.openxmlformats.org/officeDocument/2006/relationships/hyperlink" Target="https://utrucking.com/admin/orders/6446433435836" TargetMode="External"/><Relationship Id="rId127" Type="http://schemas.openxmlformats.org/officeDocument/2006/relationships/hyperlink" Target="https://utrucking.com/admin/orders/6446432583868" TargetMode="External"/><Relationship Id="rId126" Type="http://schemas.openxmlformats.org/officeDocument/2006/relationships/hyperlink" Target="https://utrucking.com/admin/orders/6446432125116" TargetMode="External"/><Relationship Id="rId121" Type="http://schemas.openxmlformats.org/officeDocument/2006/relationships/hyperlink" Target="https://utrucking.com/admin/orders/6446359740604" TargetMode="External"/><Relationship Id="rId120" Type="http://schemas.openxmlformats.org/officeDocument/2006/relationships/hyperlink" Target="https://utrucking.com/admin/orders/6446347026620" TargetMode="External"/><Relationship Id="rId125" Type="http://schemas.openxmlformats.org/officeDocument/2006/relationships/hyperlink" Target="https://utrucking.com/admin/orders/6446397620412" TargetMode="External"/><Relationship Id="rId124" Type="http://schemas.openxmlformats.org/officeDocument/2006/relationships/hyperlink" Target="https://utrucking.com/admin/orders/6446387724476" TargetMode="External"/><Relationship Id="rId123" Type="http://schemas.openxmlformats.org/officeDocument/2006/relationships/hyperlink" Target="https://utrucking.com/admin/orders/6446368653500" TargetMode="External"/><Relationship Id="rId122" Type="http://schemas.openxmlformats.org/officeDocument/2006/relationships/hyperlink" Target="https://utrucking.com/admin/orders/6446365016252" TargetMode="External"/><Relationship Id="rId118" Type="http://schemas.openxmlformats.org/officeDocument/2006/relationships/hyperlink" Target="https://utrucking.com/admin/orders/6446328283324" TargetMode="External"/><Relationship Id="rId117" Type="http://schemas.openxmlformats.org/officeDocument/2006/relationships/hyperlink" Target="https://utrucking.com/admin/orders/6446309408956" TargetMode="External"/><Relationship Id="rId116" Type="http://schemas.openxmlformats.org/officeDocument/2006/relationships/hyperlink" Target="https://utrucking.com/admin/orders/6446308851900" TargetMode="External"/><Relationship Id="rId115" Type="http://schemas.openxmlformats.org/officeDocument/2006/relationships/hyperlink" Target="https://utrucking.com/admin/orders/6446301380796" TargetMode="External"/><Relationship Id="rId119" Type="http://schemas.openxmlformats.org/officeDocument/2006/relationships/hyperlink" Target="https://utrucking.com/admin/orders/6446337458364" TargetMode="External"/><Relationship Id="rId110" Type="http://schemas.openxmlformats.org/officeDocument/2006/relationships/hyperlink" Target="https://utrucking.com/admin/orders/6446266941628" TargetMode="External"/><Relationship Id="rId114" Type="http://schemas.openxmlformats.org/officeDocument/2006/relationships/hyperlink" Target="https://utrucking.com/admin/orders/6446295122108" TargetMode="External"/><Relationship Id="rId113" Type="http://schemas.openxmlformats.org/officeDocument/2006/relationships/hyperlink" Target="https://utrucking.com/admin/orders/6446271987900" TargetMode="External"/><Relationship Id="rId112" Type="http://schemas.openxmlformats.org/officeDocument/2006/relationships/hyperlink" Target="https://utrucking.com/admin/orders/6446270218428" TargetMode="External"/><Relationship Id="rId111" Type="http://schemas.openxmlformats.org/officeDocument/2006/relationships/hyperlink" Target="https://utrucking.com/admin/orders/6446270021820" TargetMode="External"/><Relationship Id="rId409" Type="http://schemas.openxmlformats.org/officeDocument/2006/relationships/hyperlink" Target="https://utrucking.com/admin/orders/6460401877180" TargetMode="External"/><Relationship Id="rId404" Type="http://schemas.openxmlformats.org/officeDocument/2006/relationships/hyperlink" Target="https://utrucking.com/admin/orders/6460036153532" TargetMode="External"/><Relationship Id="rId403" Type="http://schemas.openxmlformats.org/officeDocument/2006/relationships/hyperlink" Target="https://utrucking.com/admin/orders/6459988836540" TargetMode="External"/><Relationship Id="rId402" Type="http://schemas.openxmlformats.org/officeDocument/2006/relationships/hyperlink" Target="https://utrucking.com/admin/orders/6459721941180" TargetMode="External"/><Relationship Id="rId401" Type="http://schemas.openxmlformats.org/officeDocument/2006/relationships/hyperlink" Target="https://utrucking.com/admin/orders/6459649097916" TargetMode="External"/><Relationship Id="rId408" Type="http://schemas.openxmlformats.org/officeDocument/2006/relationships/hyperlink" Target="https://utrucking.com/admin/orders/6460279488700" TargetMode="External"/><Relationship Id="rId407" Type="http://schemas.openxmlformats.org/officeDocument/2006/relationships/hyperlink" Target="https://utrucking.com/admin/orders/6460252061884" TargetMode="External"/><Relationship Id="rId406" Type="http://schemas.openxmlformats.org/officeDocument/2006/relationships/hyperlink" Target="https://utrucking.com/admin/orders/6460246917308" TargetMode="External"/><Relationship Id="rId405" Type="http://schemas.openxmlformats.org/officeDocument/2006/relationships/hyperlink" Target="https://utrucking.com/admin/orders/6460223783100" TargetMode="External"/><Relationship Id="rId400" Type="http://schemas.openxmlformats.org/officeDocument/2006/relationships/hyperlink" Target="https://utrucking.com/admin/orders/6459609186492" TargetMode="External"/><Relationship Id="rId426" Type="http://schemas.openxmlformats.org/officeDocument/2006/relationships/drawing" Target="../drawings/drawing14.xml"/><Relationship Id="rId425" Type="http://schemas.openxmlformats.org/officeDocument/2006/relationships/hyperlink" Target="https://utrucking.com/admin/orders/6473811132604" TargetMode="External"/><Relationship Id="rId424" Type="http://schemas.openxmlformats.org/officeDocument/2006/relationships/hyperlink" Target="https://utrucking.com/admin/orders/6470568804540" TargetMode="External"/><Relationship Id="rId423" Type="http://schemas.openxmlformats.org/officeDocument/2006/relationships/hyperlink" Target="https://utrucking.com/admin/orders/6469214142652" TargetMode="External"/><Relationship Id="rId422" Type="http://schemas.openxmlformats.org/officeDocument/2006/relationships/hyperlink" Target="https://utrucking.com/admin/orders/6468811423932" TargetMode="External"/><Relationship Id="rId421" Type="http://schemas.openxmlformats.org/officeDocument/2006/relationships/hyperlink" Target="https://utrucking.com/admin/orders/6467066953916" TargetMode="External"/><Relationship Id="rId420" Type="http://schemas.openxmlformats.org/officeDocument/2006/relationships/hyperlink" Target="https://utrucking.com/admin/orders/6465667956924" TargetMode="External"/><Relationship Id="rId415" Type="http://schemas.openxmlformats.org/officeDocument/2006/relationships/hyperlink" Target="https://utrucking.com/admin/orders/6461303259324" TargetMode="External"/><Relationship Id="rId414" Type="http://schemas.openxmlformats.org/officeDocument/2006/relationships/hyperlink" Target="https://utrucking.com/admin/orders/6461300113596" TargetMode="External"/><Relationship Id="rId413" Type="http://schemas.openxmlformats.org/officeDocument/2006/relationships/hyperlink" Target="https://utrucking.com/admin/orders/6461164978364" TargetMode="External"/><Relationship Id="rId412" Type="http://schemas.openxmlformats.org/officeDocument/2006/relationships/hyperlink" Target="https://utrucking.com/admin/orders/6460996747452" TargetMode="External"/><Relationship Id="rId419" Type="http://schemas.openxmlformats.org/officeDocument/2006/relationships/hyperlink" Target="https://utrucking.com/admin/orders/6463880069308" TargetMode="External"/><Relationship Id="rId418" Type="http://schemas.openxmlformats.org/officeDocument/2006/relationships/hyperlink" Target="https://utrucking.com/admin/orders/6462540349628" TargetMode="External"/><Relationship Id="rId417" Type="http://schemas.openxmlformats.org/officeDocument/2006/relationships/hyperlink" Target="https://utrucking.com/admin/orders/6462425661628" TargetMode="External"/><Relationship Id="rId416" Type="http://schemas.openxmlformats.org/officeDocument/2006/relationships/hyperlink" Target="https://utrucking.com/admin/orders/6461913628860" TargetMode="External"/><Relationship Id="rId411" Type="http://schemas.openxmlformats.org/officeDocument/2006/relationships/hyperlink" Target="https://utrucking.com/admin/orders/6460959686844" TargetMode="External"/><Relationship Id="rId410" Type="http://schemas.openxmlformats.org/officeDocument/2006/relationships/hyperlink" Target="https://utrucking.com/admin/orders/646075256031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utrucking.com/admin/orders/5913232769212" TargetMode="External"/><Relationship Id="rId2" Type="http://schemas.openxmlformats.org/officeDocument/2006/relationships/hyperlink" Target="https://utrucking.com/admin/orders/5941711700156" TargetMode="External"/><Relationship Id="rId3" Type="http://schemas.openxmlformats.org/officeDocument/2006/relationships/hyperlink" Target="https://utrucking.com/admin/orders/6064957882556" TargetMode="External"/><Relationship Id="rId4" Type="http://schemas.openxmlformats.org/officeDocument/2006/relationships/hyperlink" Target="https://utrucking.com/admin/orders/6068272136380" TargetMode="External"/><Relationship Id="rId9" Type="http://schemas.openxmlformats.org/officeDocument/2006/relationships/hyperlink" Target="https://utrucking.com/admin/orders/6169413550268" TargetMode="External"/><Relationship Id="rId5" Type="http://schemas.openxmlformats.org/officeDocument/2006/relationships/hyperlink" Target="https://utrucking.com/admin/orders/6140451520700" TargetMode="External"/><Relationship Id="rId6" Type="http://schemas.openxmlformats.org/officeDocument/2006/relationships/hyperlink" Target="https://utrucking.com/admin/orders/6157672317116" TargetMode="External"/><Relationship Id="rId7" Type="http://schemas.openxmlformats.org/officeDocument/2006/relationships/hyperlink" Target="https://utrucking.com/admin/orders/6159423766716" TargetMode="External"/><Relationship Id="rId8" Type="http://schemas.openxmlformats.org/officeDocument/2006/relationships/hyperlink" Target="https://utrucking.com/admin/orders/6160320331964" TargetMode="External"/><Relationship Id="rId40" Type="http://schemas.openxmlformats.org/officeDocument/2006/relationships/hyperlink" Target="https://utrucking.com/admin/orders/6389117878460" TargetMode="External"/><Relationship Id="rId42" Type="http://schemas.openxmlformats.org/officeDocument/2006/relationships/hyperlink" Target="https://utrucking.com/admin/orders/6392789139644" TargetMode="External"/><Relationship Id="rId41" Type="http://schemas.openxmlformats.org/officeDocument/2006/relationships/hyperlink" Target="https://utrucking.com/admin/orders/6392064377020" TargetMode="External"/><Relationship Id="rId44" Type="http://schemas.openxmlformats.org/officeDocument/2006/relationships/hyperlink" Target="https://utrucking.com/admin/orders/6393994182844" TargetMode="External"/><Relationship Id="rId43" Type="http://schemas.openxmlformats.org/officeDocument/2006/relationships/hyperlink" Target="https://utrucking.com/admin/orders/6392909463740" TargetMode="External"/><Relationship Id="rId46" Type="http://schemas.openxmlformats.org/officeDocument/2006/relationships/hyperlink" Target="https://utrucking.com/admin/orders/6398131372220" TargetMode="External"/><Relationship Id="rId45" Type="http://schemas.openxmlformats.org/officeDocument/2006/relationships/hyperlink" Target="https://utrucking.com/admin/orders/6397158162620" TargetMode="External"/><Relationship Id="rId48" Type="http://schemas.openxmlformats.org/officeDocument/2006/relationships/hyperlink" Target="https://utrucking.com/admin/orders/6399209472188" TargetMode="External"/><Relationship Id="rId47" Type="http://schemas.openxmlformats.org/officeDocument/2006/relationships/hyperlink" Target="https://utrucking.com/admin/orders/6398298095804" TargetMode="External"/><Relationship Id="rId49" Type="http://schemas.openxmlformats.org/officeDocument/2006/relationships/hyperlink" Target="https://utrucking.com/admin/orders/6400504266940" TargetMode="External"/><Relationship Id="rId31" Type="http://schemas.openxmlformats.org/officeDocument/2006/relationships/hyperlink" Target="https://utrucking.com/admin/orders/6368358695100" TargetMode="External"/><Relationship Id="rId30" Type="http://schemas.openxmlformats.org/officeDocument/2006/relationships/hyperlink" Target="https://utrucking.com/admin/orders/6367304810684" TargetMode="External"/><Relationship Id="rId33" Type="http://schemas.openxmlformats.org/officeDocument/2006/relationships/hyperlink" Target="https://utrucking.com/admin/orders/6370629976252" TargetMode="External"/><Relationship Id="rId32" Type="http://schemas.openxmlformats.org/officeDocument/2006/relationships/hyperlink" Target="https://utrucking.com/admin/orders/6369708605628" TargetMode="External"/><Relationship Id="rId35" Type="http://schemas.openxmlformats.org/officeDocument/2006/relationships/hyperlink" Target="https://utrucking.com/admin/orders/6374516785340" TargetMode="External"/><Relationship Id="rId34" Type="http://schemas.openxmlformats.org/officeDocument/2006/relationships/hyperlink" Target="https://utrucking.com/admin/orders/6372544020668" TargetMode="External"/><Relationship Id="rId37" Type="http://schemas.openxmlformats.org/officeDocument/2006/relationships/hyperlink" Target="https://utrucking.com/admin/orders/6375066763452" TargetMode="External"/><Relationship Id="rId36" Type="http://schemas.openxmlformats.org/officeDocument/2006/relationships/hyperlink" Target="https://utrucking.com/admin/orders/6374725845180" TargetMode="External"/><Relationship Id="rId39" Type="http://schemas.openxmlformats.org/officeDocument/2006/relationships/hyperlink" Target="https://utrucking.com/admin/orders/6387818004668" TargetMode="External"/><Relationship Id="rId38" Type="http://schemas.openxmlformats.org/officeDocument/2006/relationships/hyperlink" Target="https://utrucking.com/admin/orders/6376884502716" TargetMode="External"/><Relationship Id="rId20" Type="http://schemas.openxmlformats.org/officeDocument/2006/relationships/hyperlink" Target="https://utrucking.com/admin/orders/6189656539324" TargetMode="External"/><Relationship Id="rId22" Type="http://schemas.openxmlformats.org/officeDocument/2006/relationships/hyperlink" Target="https://utrucking.com/admin/orders/6227897221308" TargetMode="External"/><Relationship Id="rId21" Type="http://schemas.openxmlformats.org/officeDocument/2006/relationships/hyperlink" Target="https://utrucking.com/admin/orders/6195387302076" TargetMode="External"/><Relationship Id="rId24" Type="http://schemas.openxmlformats.org/officeDocument/2006/relationships/hyperlink" Target="https://utrucking.com/admin/orders/6276103536828" TargetMode="External"/><Relationship Id="rId23" Type="http://schemas.openxmlformats.org/officeDocument/2006/relationships/hyperlink" Target="https://utrucking.com/admin/orders/6274557509820" TargetMode="External"/><Relationship Id="rId26" Type="http://schemas.openxmlformats.org/officeDocument/2006/relationships/hyperlink" Target="https://utrucking.com/admin/orders/6291749961916" TargetMode="External"/><Relationship Id="rId25" Type="http://schemas.openxmlformats.org/officeDocument/2006/relationships/hyperlink" Target="https://utrucking.com/admin/orders/6284701139132" TargetMode="External"/><Relationship Id="rId28" Type="http://schemas.openxmlformats.org/officeDocument/2006/relationships/hyperlink" Target="https://utrucking.com/admin/orders/6348748914876" TargetMode="External"/><Relationship Id="rId27" Type="http://schemas.openxmlformats.org/officeDocument/2006/relationships/hyperlink" Target="https://utrucking.com/admin/orders/6293951611068" TargetMode="External"/><Relationship Id="rId29" Type="http://schemas.openxmlformats.org/officeDocument/2006/relationships/hyperlink" Target="https://utrucking.com/admin/orders/6354608062652" TargetMode="External"/><Relationship Id="rId11" Type="http://schemas.openxmlformats.org/officeDocument/2006/relationships/hyperlink" Target="https://utrucking.com/admin/orders/6170793017532" TargetMode="External"/><Relationship Id="rId10" Type="http://schemas.openxmlformats.org/officeDocument/2006/relationships/hyperlink" Target="https://utrucking.com/admin/orders/6169603834044" TargetMode="External"/><Relationship Id="rId13" Type="http://schemas.openxmlformats.org/officeDocument/2006/relationships/hyperlink" Target="https://utrucking.com/admin/orders/6176983351484" TargetMode="External"/><Relationship Id="rId12" Type="http://schemas.openxmlformats.org/officeDocument/2006/relationships/hyperlink" Target="https://utrucking.com/admin/orders/6172887253180" TargetMode="External"/><Relationship Id="rId15" Type="http://schemas.openxmlformats.org/officeDocument/2006/relationships/hyperlink" Target="https://utrucking.com/admin/orders/6181233623228" TargetMode="External"/><Relationship Id="rId14" Type="http://schemas.openxmlformats.org/officeDocument/2006/relationships/hyperlink" Target="https://utrucking.com/admin/orders/6178358952124" TargetMode="External"/><Relationship Id="rId17" Type="http://schemas.openxmlformats.org/officeDocument/2006/relationships/hyperlink" Target="https://utrucking.com/admin/orders/6182906101948" TargetMode="External"/><Relationship Id="rId16" Type="http://schemas.openxmlformats.org/officeDocument/2006/relationships/hyperlink" Target="https://utrucking.com/admin/orders/6182720307388" TargetMode="External"/><Relationship Id="rId19" Type="http://schemas.openxmlformats.org/officeDocument/2006/relationships/hyperlink" Target="https://utrucking.com/admin/orders/6188803424444" TargetMode="External"/><Relationship Id="rId18" Type="http://schemas.openxmlformats.org/officeDocument/2006/relationships/hyperlink" Target="https://utrucking.com/admin/orders/6188487868604" TargetMode="External"/><Relationship Id="rId84" Type="http://schemas.openxmlformats.org/officeDocument/2006/relationships/hyperlink" Target="https://utrucking.com/admin/orders/6429717070012" TargetMode="External"/><Relationship Id="rId83" Type="http://schemas.openxmlformats.org/officeDocument/2006/relationships/hyperlink" Target="https://utrucking.com/admin/orders/6429606510780" TargetMode="External"/><Relationship Id="rId86" Type="http://schemas.openxmlformats.org/officeDocument/2006/relationships/hyperlink" Target="https://admin.shopify.com/store/utrucking/orders/6430037246140?link_source=search" TargetMode="External"/><Relationship Id="rId85" Type="http://schemas.openxmlformats.org/officeDocument/2006/relationships/hyperlink" Target="https://utrucking.com/admin/orders/6430024466620" TargetMode="External"/><Relationship Id="rId88" Type="http://schemas.openxmlformats.org/officeDocument/2006/relationships/hyperlink" Target="https://utrucking.com/admin/orders/6432195903676" TargetMode="External"/><Relationship Id="rId87" Type="http://schemas.openxmlformats.org/officeDocument/2006/relationships/hyperlink" Target="https://utrucking.com/admin/orders/6432190726332" TargetMode="External"/><Relationship Id="rId89" Type="http://schemas.openxmlformats.org/officeDocument/2006/relationships/hyperlink" Target="https://utrucking.com/admin/orders/6432568574140" TargetMode="External"/><Relationship Id="rId80" Type="http://schemas.openxmlformats.org/officeDocument/2006/relationships/hyperlink" Target="https://utrucking.com/admin/orders/6429305045180" TargetMode="External"/><Relationship Id="rId82" Type="http://schemas.openxmlformats.org/officeDocument/2006/relationships/hyperlink" Target="https://utrucking.com/admin/orders/6429371498684" TargetMode="External"/><Relationship Id="rId81" Type="http://schemas.openxmlformats.org/officeDocument/2006/relationships/hyperlink" Target="https://utrucking.com/admin/orders/6429334339772" TargetMode="External"/><Relationship Id="rId73" Type="http://schemas.openxmlformats.org/officeDocument/2006/relationships/hyperlink" Target="https://utrucking.com/admin/orders/6423839572156" TargetMode="External"/><Relationship Id="rId72" Type="http://schemas.openxmlformats.org/officeDocument/2006/relationships/hyperlink" Target="https://utrucking.com/admin/orders/6423247749308" TargetMode="External"/><Relationship Id="rId75" Type="http://schemas.openxmlformats.org/officeDocument/2006/relationships/hyperlink" Target="https://utrucking.com/admin/orders/6424989368508" TargetMode="External"/><Relationship Id="rId74" Type="http://schemas.openxmlformats.org/officeDocument/2006/relationships/hyperlink" Target="https://utrucking.com/admin/orders/6424222564540" TargetMode="External"/><Relationship Id="rId77" Type="http://schemas.openxmlformats.org/officeDocument/2006/relationships/hyperlink" Target="https://utrucking.com/admin/orders/6428285632700" TargetMode="External"/><Relationship Id="rId76" Type="http://schemas.openxmlformats.org/officeDocument/2006/relationships/hyperlink" Target="https://utrucking.com/admin/orders/6425622347964" TargetMode="External"/><Relationship Id="rId79" Type="http://schemas.openxmlformats.org/officeDocument/2006/relationships/hyperlink" Target="https://utrucking.com/admin/orders/6428573237436" TargetMode="External"/><Relationship Id="rId78" Type="http://schemas.openxmlformats.org/officeDocument/2006/relationships/hyperlink" Target="https://utrucking.com/admin/orders/6428345008316" TargetMode="External"/><Relationship Id="rId71" Type="http://schemas.openxmlformats.org/officeDocument/2006/relationships/hyperlink" Target="https://utrucking.com/admin/orders/6423134765244" TargetMode="External"/><Relationship Id="rId70" Type="http://schemas.openxmlformats.org/officeDocument/2006/relationships/hyperlink" Target="https://utrucking.com/admin/orders/6423010246844" TargetMode="External"/><Relationship Id="rId62" Type="http://schemas.openxmlformats.org/officeDocument/2006/relationships/hyperlink" Target="https://utrucking.com/admin/orders/6418613862588" TargetMode="External"/><Relationship Id="rId61" Type="http://schemas.openxmlformats.org/officeDocument/2006/relationships/hyperlink" Target="https://utrucking.com/admin/orders/6417871143100" TargetMode="External"/><Relationship Id="rId64" Type="http://schemas.openxmlformats.org/officeDocument/2006/relationships/hyperlink" Target="https://utrucking.com/admin/orders/6419329319100" TargetMode="External"/><Relationship Id="rId63" Type="http://schemas.openxmlformats.org/officeDocument/2006/relationships/hyperlink" Target="https://utrucking.com/admin/orders/6419068944572" TargetMode="External"/><Relationship Id="rId66" Type="http://schemas.openxmlformats.org/officeDocument/2006/relationships/hyperlink" Target="https://utrucking.com/admin/orders/6420271923388" TargetMode="External"/><Relationship Id="rId65" Type="http://schemas.openxmlformats.org/officeDocument/2006/relationships/hyperlink" Target="https://utrucking.com/admin/orders/6419942965436" TargetMode="External"/><Relationship Id="rId68" Type="http://schemas.openxmlformats.org/officeDocument/2006/relationships/hyperlink" Target="https://utrucking.com/admin/orders/6422556180668" TargetMode="External"/><Relationship Id="rId67" Type="http://schemas.openxmlformats.org/officeDocument/2006/relationships/hyperlink" Target="https://utrucking.com/admin/orders/6420307411132" TargetMode="External"/><Relationship Id="rId60" Type="http://schemas.openxmlformats.org/officeDocument/2006/relationships/hyperlink" Target="https://utrucking.com/admin/orders/6411363221692" TargetMode="External"/><Relationship Id="rId69" Type="http://schemas.openxmlformats.org/officeDocument/2006/relationships/hyperlink" Target="https://utrucking.com/admin/orders/6422990913724" TargetMode="External"/><Relationship Id="rId51" Type="http://schemas.openxmlformats.org/officeDocument/2006/relationships/hyperlink" Target="https://utrucking.com/admin/orders/6403653370044" TargetMode="External"/><Relationship Id="rId50" Type="http://schemas.openxmlformats.org/officeDocument/2006/relationships/hyperlink" Target="https://utrucking.com/admin/orders/6402085191868" TargetMode="External"/><Relationship Id="rId53" Type="http://schemas.openxmlformats.org/officeDocument/2006/relationships/hyperlink" Target="https://utrucking.com/admin/orders/6407873986748" TargetMode="External"/><Relationship Id="rId52" Type="http://schemas.openxmlformats.org/officeDocument/2006/relationships/hyperlink" Target="https://utrucking.com/admin/orders/6404436459708" TargetMode="External"/><Relationship Id="rId55" Type="http://schemas.openxmlformats.org/officeDocument/2006/relationships/hyperlink" Target="https://utrucking.com/admin/orders/6408869576892" TargetMode="External"/><Relationship Id="rId54" Type="http://schemas.openxmlformats.org/officeDocument/2006/relationships/hyperlink" Target="https://utrucking.com/admin/orders/6408735817916" TargetMode="External"/><Relationship Id="rId57" Type="http://schemas.openxmlformats.org/officeDocument/2006/relationships/hyperlink" Target="https://utrucking.com/admin/orders/6409466970300" TargetMode="External"/><Relationship Id="rId56" Type="http://schemas.openxmlformats.org/officeDocument/2006/relationships/hyperlink" Target="https://utrucking.com/admin/orders/6408996290748" TargetMode="External"/><Relationship Id="rId59" Type="http://schemas.openxmlformats.org/officeDocument/2006/relationships/hyperlink" Target="https://utrucking.com/admin/orders/6411271110844" TargetMode="External"/><Relationship Id="rId58" Type="http://schemas.openxmlformats.org/officeDocument/2006/relationships/hyperlink" Target="https://utrucking.com/admin/orders/6410116595900" TargetMode="External"/><Relationship Id="rId95" Type="http://schemas.openxmlformats.org/officeDocument/2006/relationships/hyperlink" Target="https://utrucking.com/admin/orders/6435467722940" TargetMode="External"/><Relationship Id="rId94" Type="http://schemas.openxmlformats.org/officeDocument/2006/relationships/hyperlink" Target="https://utrucking.com/admin/orders/6434071478460" TargetMode="External"/><Relationship Id="rId97" Type="http://schemas.openxmlformats.org/officeDocument/2006/relationships/hyperlink" Target="https://utrucking.com/admin/orders/6438459310268" TargetMode="External"/><Relationship Id="rId96" Type="http://schemas.openxmlformats.org/officeDocument/2006/relationships/hyperlink" Target="https://utrucking.com/admin/orders/6438061342908" TargetMode="External"/><Relationship Id="rId99" Type="http://schemas.openxmlformats.org/officeDocument/2006/relationships/hyperlink" Target="https://utrucking.com/admin/orders/6443659493564" TargetMode="External"/><Relationship Id="rId98" Type="http://schemas.openxmlformats.org/officeDocument/2006/relationships/hyperlink" Target="https://utrucking.com/admin/orders/6442947838140" TargetMode="External"/><Relationship Id="rId91" Type="http://schemas.openxmlformats.org/officeDocument/2006/relationships/hyperlink" Target="https://utrucking.com/admin/orders/6433732919484" TargetMode="External"/><Relationship Id="rId90" Type="http://schemas.openxmlformats.org/officeDocument/2006/relationships/hyperlink" Target="https://utrucking.com/admin/orders/6433335017660" TargetMode="External"/><Relationship Id="rId93" Type="http://schemas.openxmlformats.org/officeDocument/2006/relationships/hyperlink" Target="https://utrucking.com/admin/orders/6433755889852" TargetMode="External"/><Relationship Id="rId92" Type="http://schemas.openxmlformats.org/officeDocument/2006/relationships/hyperlink" Target="https://utrucking.com/admin/orders/6433749663932" TargetMode="External"/><Relationship Id="rId150" Type="http://schemas.openxmlformats.org/officeDocument/2006/relationships/hyperlink" Target="https://utrucking.com/admin/orders/6463669534908" TargetMode="External"/><Relationship Id="rId149" Type="http://schemas.openxmlformats.org/officeDocument/2006/relationships/hyperlink" Target="https://utrucking.com/admin/orders/6462309957820" TargetMode="External"/><Relationship Id="rId148" Type="http://schemas.openxmlformats.org/officeDocument/2006/relationships/hyperlink" Target="https://utrucking.com/admin/orders/6462268670140" TargetMode="External"/><Relationship Id="rId143" Type="http://schemas.openxmlformats.org/officeDocument/2006/relationships/hyperlink" Target="https://utrucking.com/admin/orders/6459435253948" TargetMode="External"/><Relationship Id="rId142" Type="http://schemas.openxmlformats.org/officeDocument/2006/relationships/hyperlink" Target="https://utrucking.com/admin/orders/6459359756476" TargetMode="External"/><Relationship Id="rId141" Type="http://schemas.openxmlformats.org/officeDocument/2006/relationships/hyperlink" Target="https://utrucking.com/admin/orders/6458970112188" TargetMode="External"/><Relationship Id="rId140" Type="http://schemas.openxmlformats.org/officeDocument/2006/relationships/hyperlink" Target="https://utrucking.com/admin/orders/6458910736572" TargetMode="External"/><Relationship Id="rId147" Type="http://schemas.openxmlformats.org/officeDocument/2006/relationships/hyperlink" Target="https://utrucking.com/admin/orders/6461917888700" TargetMode="External"/><Relationship Id="rId146" Type="http://schemas.openxmlformats.org/officeDocument/2006/relationships/hyperlink" Target="https://utrucking.com/admin/orders/6461099344060" TargetMode="External"/><Relationship Id="rId145" Type="http://schemas.openxmlformats.org/officeDocument/2006/relationships/hyperlink" Target="https://utrucking.com/admin/orders/6460611920060" TargetMode="External"/><Relationship Id="rId144" Type="http://schemas.openxmlformats.org/officeDocument/2006/relationships/hyperlink" Target="https://utrucking.com/admin/orders/6460198912188" TargetMode="External"/><Relationship Id="rId139" Type="http://schemas.openxmlformats.org/officeDocument/2006/relationships/hyperlink" Target="https://utrucking.com/admin/orders/6458766065852" TargetMode="External"/><Relationship Id="rId138" Type="http://schemas.openxmlformats.org/officeDocument/2006/relationships/hyperlink" Target="https://utrucking.com/admin/orders/6457953616060" TargetMode="External"/><Relationship Id="rId137" Type="http://schemas.openxmlformats.org/officeDocument/2006/relationships/hyperlink" Target="https://utrucking.com/admin/orders/6456602263740" TargetMode="External"/><Relationship Id="rId132" Type="http://schemas.openxmlformats.org/officeDocument/2006/relationships/hyperlink" Target="https://utrucking.com/admin/orders/6454624551100" TargetMode="External"/><Relationship Id="rId131" Type="http://schemas.openxmlformats.org/officeDocument/2006/relationships/hyperlink" Target="https://utrucking.com/admin/orders/6454126477500" TargetMode="External"/><Relationship Id="rId130" Type="http://schemas.openxmlformats.org/officeDocument/2006/relationships/hyperlink" Target="https://utrucking.com/admin/orders/6453630468284" TargetMode="External"/><Relationship Id="rId136" Type="http://schemas.openxmlformats.org/officeDocument/2006/relationships/hyperlink" Target="https://utrucking.com/admin/orders/6456239390908" TargetMode="External"/><Relationship Id="rId135" Type="http://schemas.openxmlformats.org/officeDocument/2006/relationships/hyperlink" Target="https://utrucking.com/admin/orders/6456156258492" TargetMode="External"/><Relationship Id="rId134" Type="http://schemas.openxmlformats.org/officeDocument/2006/relationships/hyperlink" Target="https://utrucking.com/admin/orders/6455539400892" TargetMode="External"/><Relationship Id="rId133" Type="http://schemas.openxmlformats.org/officeDocument/2006/relationships/hyperlink" Target="https://utrucking.com/admin/orders/6455207264444" TargetMode="External"/><Relationship Id="rId163" Type="http://schemas.openxmlformats.org/officeDocument/2006/relationships/drawing" Target="../drawings/drawing15.xml"/><Relationship Id="rId162" Type="http://schemas.openxmlformats.org/officeDocument/2006/relationships/hyperlink" Target="https://utrucking.com/admin/orders/6472126791868" TargetMode="External"/><Relationship Id="rId161" Type="http://schemas.openxmlformats.org/officeDocument/2006/relationships/hyperlink" Target="https://utrucking.com/admin/orders/6470231621820" TargetMode="External"/><Relationship Id="rId160" Type="http://schemas.openxmlformats.org/officeDocument/2006/relationships/hyperlink" Target="https://utrucking.com/admin/orders/6469852823740" TargetMode="External"/><Relationship Id="rId159" Type="http://schemas.openxmlformats.org/officeDocument/2006/relationships/hyperlink" Target="https://utrucking.com/admin/orders/6467801120956" TargetMode="External"/><Relationship Id="rId154" Type="http://schemas.openxmlformats.org/officeDocument/2006/relationships/hyperlink" Target="https://utrucking.com/admin/orders/6465943699644" TargetMode="External"/><Relationship Id="rId153" Type="http://schemas.openxmlformats.org/officeDocument/2006/relationships/hyperlink" Target="https://utrucking.com/admin/orders/6464796590268" TargetMode="External"/><Relationship Id="rId152" Type="http://schemas.openxmlformats.org/officeDocument/2006/relationships/hyperlink" Target="https://utrucking.com/admin/orders/6464553353404" TargetMode="External"/><Relationship Id="rId151" Type="http://schemas.openxmlformats.org/officeDocument/2006/relationships/hyperlink" Target="https://utrucking.com/admin/orders/6464038830268" TargetMode="External"/><Relationship Id="rId158" Type="http://schemas.openxmlformats.org/officeDocument/2006/relationships/hyperlink" Target="https://utrucking.com/admin/orders/6467778511036" TargetMode="External"/><Relationship Id="rId157" Type="http://schemas.openxmlformats.org/officeDocument/2006/relationships/hyperlink" Target="https://utrucking.com/admin/orders/6466973630652" TargetMode="External"/><Relationship Id="rId156" Type="http://schemas.openxmlformats.org/officeDocument/2006/relationships/hyperlink" Target="https://utrucking.com/admin/orders/6466003632316" TargetMode="External"/><Relationship Id="rId155" Type="http://schemas.openxmlformats.org/officeDocument/2006/relationships/hyperlink" Target="https://admin.shopify.com/store/utrucking/orders/6465949499580?link_source=search" TargetMode="External"/><Relationship Id="rId107" Type="http://schemas.openxmlformats.org/officeDocument/2006/relationships/hyperlink" Target="https://utrucking.com/admin/orders/6446700101820" TargetMode="External"/><Relationship Id="rId106" Type="http://schemas.openxmlformats.org/officeDocument/2006/relationships/hyperlink" Target="https://utrucking.com/admin/orders/6446301348028" TargetMode="External"/><Relationship Id="rId105" Type="http://schemas.openxmlformats.org/officeDocument/2006/relationships/hyperlink" Target="https://utrucking.com/admin/orders/6446211367100" TargetMode="External"/><Relationship Id="rId104" Type="http://schemas.openxmlformats.org/officeDocument/2006/relationships/hyperlink" Target="https://utrucking.com/admin/orders/6446156513468" TargetMode="External"/><Relationship Id="rId109" Type="http://schemas.openxmlformats.org/officeDocument/2006/relationships/hyperlink" Target="https://utrucking.com/admin/orders/6447975432380" TargetMode="External"/><Relationship Id="rId108" Type="http://schemas.openxmlformats.org/officeDocument/2006/relationships/hyperlink" Target="https://utrucking.com/admin/orders/6446702231740" TargetMode="External"/><Relationship Id="rId103" Type="http://schemas.openxmlformats.org/officeDocument/2006/relationships/hyperlink" Target="https://utrucking.com/admin/orders/6445014941884" TargetMode="External"/><Relationship Id="rId102" Type="http://schemas.openxmlformats.org/officeDocument/2006/relationships/hyperlink" Target="https://utrucking.com/admin/orders/6444810141884" TargetMode="External"/><Relationship Id="rId101" Type="http://schemas.openxmlformats.org/officeDocument/2006/relationships/hyperlink" Target="https://utrucking.com/admin/orders/6443952308412" TargetMode="External"/><Relationship Id="rId100" Type="http://schemas.openxmlformats.org/officeDocument/2006/relationships/hyperlink" Target="https://utrucking.com/admin/orders/6443889033404" TargetMode="External"/><Relationship Id="rId129" Type="http://schemas.openxmlformats.org/officeDocument/2006/relationships/hyperlink" Target="https://utrucking.com/admin/orders/6453553955004" TargetMode="External"/><Relationship Id="rId128" Type="http://schemas.openxmlformats.org/officeDocument/2006/relationships/hyperlink" Target="https://utrucking.com/admin/orders/6453386641596" TargetMode="External"/><Relationship Id="rId127" Type="http://schemas.openxmlformats.org/officeDocument/2006/relationships/hyperlink" Target="https://utrucking.com/admin/orders/6452972519612" TargetMode="External"/><Relationship Id="rId126" Type="http://schemas.openxmlformats.org/officeDocument/2006/relationships/hyperlink" Target="https://utrucking.com/admin/orders/6452798259388" TargetMode="External"/><Relationship Id="rId121" Type="http://schemas.openxmlformats.org/officeDocument/2006/relationships/hyperlink" Target="https://utrucking.com/admin/orders/6451128893628" TargetMode="External"/><Relationship Id="rId120" Type="http://schemas.openxmlformats.org/officeDocument/2006/relationships/hyperlink" Target="https://utrucking.com/admin/orders/6450423464124" TargetMode="External"/><Relationship Id="rId125" Type="http://schemas.openxmlformats.org/officeDocument/2006/relationships/hyperlink" Target="https://utrucking.com/admin/orders/6452651098300" TargetMode="External"/><Relationship Id="rId124" Type="http://schemas.openxmlformats.org/officeDocument/2006/relationships/hyperlink" Target="https://utrucking.com/admin/orders/6452596146364" TargetMode="External"/><Relationship Id="rId123" Type="http://schemas.openxmlformats.org/officeDocument/2006/relationships/hyperlink" Target="https://utrucking.com/admin/orders/6451979452604" TargetMode="External"/><Relationship Id="rId122" Type="http://schemas.openxmlformats.org/officeDocument/2006/relationships/hyperlink" Target="https://utrucking.com/admin/orders/6451352567996" TargetMode="External"/><Relationship Id="rId118" Type="http://schemas.openxmlformats.org/officeDocument/2006/relationships/hyperlink" Target="https://admin.shopify.com/store/utrucking/orders/6450311594172?link_source=search" TargetMode="External"/><Relationship Id="rId117" Type="http://schemas.openxmlformats.org/officeDocument/2006/relationships/hyperlink" Target="https://utrucking.com/admin/orders/6450241503420" TargetMode="External"/><Relationship Id="rId116" Type="http://schemas.openxmlformats.org/officeDocument/2006/relationships/hyperlink" Target="https://utrucking.com/admin/orders/6449898422460" TargetMode="External"/><Relationship Id="rId115" Type="http://schemas.openxmlformats.org/officeDocument/2006/relationships/hyperlink" Target="https://utrucking.com/admin/orders/6449372135612" TargetMode="External"/><Relationship Id="rId119" Type="http://schemas.openxmlformats.org/officeDocument/2006/relationships/hyperlink" Target="https://utrucking.com/admin/orders/6450346655932" TargetMode="External"/><Relationship Id="rId110" Type="http://schemas.openxmlformats.org/officeDocument/2006/relationships/hyperlink" Target="https://utrucking.com/admin/orders/6448057974972" TargetMode="External"/><Relationship Id="rId114" Type="http://schemas.openxmlformats.org/officeDocument/2006/relationships/hyperlink" Target="https://utrucking.com/admin/orders/6449000546492" TargetMode="External"/><Relationship Id="rId113" Type="http://schemas.openxmlformats.org/officeDocument/2006/relationships/hyperlink" Target="https://utrucking.com/admin/orders/6448761503932" TargetMode="External"/><Relationship Id="rId112" Type="http://schemas.openxmlformats.org/officeDocument/2006/relationships/hyperlink" Target="https://utrucking.com/admin/orders/6448121708732" TargetMode="External"/><Relationship Id="rId111" Type="http://schemas.openxmlformats.org/officeDocument/2006/relationships/hyperlink" Target="https://utrucking.com/admin/orders/6448111943868" TargetMode="External"/></Relationships>
</file>

<file path=xl/worksheets/_rels/sheet16.xml.rels><?xml version="1.0" encoding="UTF-8" standalone="yes"?><Relationships xmlns="http://schemas.openxmlformats.org/package/2006/relationships"><Relationship Id="rId392" Type="http://schemas.openxmlformats.org/officeDocument/2006/relationships/hyperlink" Target="https://utrucking.com/admin/orders/6419138281660" TargetMode="External"/><Relationship Id="rId391" Type="http://schemas.openxmlformats.org/officeDocument/2006/relationships/hyperlink" Target="https://utrucking.com/admin/orders/6419121602748" TargetMode="External"/><Relationship Id="rId390" Type="http://schemas.openxmlformats.org/officeDocument/2006/relationships/hyperlink" Target="https://utrucking.com/admin/orders/6419091423420" TargetMode="External"/><Relationship Id="rId1" Type="http://schemas.openxmlformats.org/officeDocument/2006/relationships/hyperlink" Target="https://utrucking.myshopify.com/admin/orders?query=15177" TargetMode="External"/><Relationship Id="rId2" Type="http://schemas.openxmlformats.org/officeDocument/2006/relationships/hyperlink" Target="https://utrucking.com/admin/orders/5908546420924" TargetMode="External"/><Relationship Id="rId3" Type="http://schemas.openxmlformats.org/officeDocument/2006/relationships/hyperlink" Target="https://utrucking.com/admin/orders/5913140789436" TargetMode="External"/><Relationship Id="rId4" Type="http://schemas.openxmlformats.org/officeDocument/2006/relationships/hyperlink" Target="https://utrucking.com/admin/orders/5914030506172" TargetMode="External"/><Relationship Id="rId9" Type="http://schemas.openxmlformats.org/officeDocument/2006/relationships/hyperlink" Target="https://utrucking.com/admin/orders/5954030043324" TargetMode="External"/><Relationship Id="rId385" Type="http://schemas.openxmlformats.org/officeDocument/2006/relationships/hyperlink" Target="https://utrucking.com/admin/orders/6419037880508" TargetMode="External"/><Relationship Id="rId384" Type="http://schemas.openxmlformats.org/officeDocument/2006/relationships/hyperlink" Target="https://utrucking.com/admin/orders/6419011174588" TargetMode="External"/><Relationship Id="rId383" Type="http://schemas.openxmlformats.org/officeDocument/2006/relationships/hyperlink" Target="https://utrucking.com/admin/orders/6418984435900" TargetMode="External"/><Relationship Id="rId382" Type="http://schemas.openxmlformats.org/officeDocument/2006/relationships/hyperlink" Target="https://utrucking.com/admin/orders/6418904449212" TargetMode="External"/><Relationship Id="rId5" Type="http://schemas.openxmlformats.org/officeDocument/2006/relationships/hyperlink" Target="https://utrucking.com/admin/orders/5915819737276" TargetMode="External"/><Relationship Id="rId389" Type="http://schemas.openxmlformats.org/officeDocument/2006/relationships/hyperlink" Target="https://utrucking.com/admin/orders/6419083788476" TargetMode="External"/><Relationship Id="rId6" Type="http://schemas.openxmlformats.org/officeDocument/2006/relationships/hyperlink" Target="https://utrucking.com/admin/orders/5922373697724" TargetMode="External"/><Relationship Id="rId388" Type="http://schemas.openxmlformats.org/officeDocument/2006/relationships/hyperlink" Target="https://utrucking.com/admin/orders/6419068944572" TargetMode="External"/><Relationship Id="rId7" Type="http://schemas.openxmlformats.org/officeDocument/2006/relationships/hyperlink" Target="https://utrucking.com/admin/orders/5927144587452" TargetMode="External"/><Relationship Id="rId387" Type="http://schemas.openxmlformats.org/officeDocument/2006/relationships/hyperlink" Target="https://utrucking.com/admin/orders/6419054624956" TargetMode="External"/><Relationship Id="rId8" Type="http://schemas.openxmlformats.org/officeDocument/2006/relationships/hyperlink" Target="https://utrucking.com/admin/orders/5940161183932" TargetMode="External"/><Relationship Id="rId386" Type="http://schemas.openxmlformats.org/officeDocument/2006/relationships/hyperlink" Target="https://utrucking.com/admin/orders/6419041255612" TargetMode="External"/><Relationship Id="rId381" Type="http://schemas.openxmlformats.org/officeDocument/2006/relationships/hyperlink" Target="https://utrucking.com/admin/orders/6418880463036" TargetMode="External"/><Relationship Id="rId380" Type="http://schemas.openxmlformats.org/officeDocument/2006/relationships/hyperlink" Target="https://utrucking.com/admin/orders/6418850054332" TargetMode="External"/><Relationship Id="rId379" Type="http://schemas.openxmlformats.org/officeDocument/2006/relationships/hyperlink" Target="https://utrucking.com/admin/orders/6418806603964" TargetMode="External"/><Relationship Id="rId374" Type="http://schemas.openxmlformats.org/officeDocument/2006/relationships/hyperlink" Target="https://utrucking.com/admin/orders/6418648858812" TargetMode="External"/><Relationship Id="rId373" Type="http://schemas.openxmlformats.org/officeDocument/2006/relationships/hyperlink" Target="https://utrucking.com/admin/orders/6418645450940" TargetMode="External"/><Relationship Id="rId372" Type="http://schemas.openxmlformats.org/officeDocument/2006/relationships/hyperlink" Target="https://utrucking.com/admin/orders/6418625593532" TargetMode="External"/><Relationship Id="rId371" Type="http://schemas.openxmlformats.org/officeDocument/2006/relationships/hyperlink" Target="https://utrucking.com/admin/orders/6418309906620" TargetMode="External"/><Relationship Id="rId378" Type="http://schemas.openxmlformats.org/officeDocument/2006/relationships/hyperlink" Target="https://utrucking.com/admin/orders/6418746802364" TargetMode="External"/><Relationship Id="rId377" Type="http://schemas.openxmlformats.org/officeDocument/2006/relationships/hyperlink" Target="https://utrucking.com/admin/orders/6418746278076" TargetMode="External"/><Relationship Id="rId376" Type="http://schemas.openxmlformats.org/officeDocument/2006/relationships/hyperlink" Target="https://utrucking.com/admin/orders/6418712199356" TargetMode="External"/><Relationship Id="rId375" Type="http://schemas.openxmlformats.org/officeDocument/2006/relationships/hyperlink" Target="https://utrucking.com/admin/orders/6418680971452" TargetMode="External"/><Relationship Id="rId396" Type="http://schemas.openxmlformats.org/officeDocument/2006/relationships/hyperlink" Target="https://utrucking.com/admin/orders/6419272532156" TargetMode="External"/><Relationship Id="rId395" Type="http://schemas.openxmlformats.org/officeDocument/2006/relationships/hyperlink" Target="https://utrucking.com/admin/orders/6419268272316" TargetMode="External"/><Relationship Id="rId394" Type="http://schemas.openxmlformats.org/officeDocument/2006/relationships/hyperlink" Target="https://utrucking.com/admin/orders/6419228491964" TargetMode="External"/><Relationship Id="rId393" Type="http://schemas.openxmlformats.org/officeDocument/2006/relationships/hyperlink" Target="https://utrucking.com/admin/orders/6419220758716" TargetMode="External"/><Relationship Id="rId399" Type="http://schemas.openxmlformats.org/officeDocument/2006/relationships/hyperlink" Target="https://utrucking.com/admin/orders/6419407110332" TargetMode="External"/><Relationship Id="rId398" Type="http://schemas.openxmlformats.org/officeDocument/2006/relationships/hyperlink" Target="https://utrucking.com/admin/orders/6419359072444" TargetMode="External"/><Relationship Id="rId397" Type="http://schemas.openxmlformats.org/officeDocument/2006/relationships/hyperlink" Target="https://utrucking.com/admin/orders/6419310313660" TargetMode="External"/><Relationship Id="rId806" Type="http://schemas.openxmlformats.org/officeDocument/2006/relationships/drawing" Target="../drawings/drawing16.xml"/><Relationship Id="rId805" Type="http://schemas.openxmlformats.org/officeDocument/2006/relationships/hyperlink" Target="https://utrucking.com/admin/orders/6469191991484" TargetMode="External"/><Relationship Id="rId800" Type="http://schemas.openxmlformats.org/officeDocument/2006/relationships/hyperlink" Target="https://utrucking.com/admin/orders/6460774678716" TargetMode="External"/><Relationship Id="rId804" Type="http://schemas.openxmlformats.org/officeDocument/2006/relationships/hyperlink" Target="https://utrucking.com/admin/orders/6464716079292" TargetMode="External"/><Relationship Id="rId803" Type="http://schemas.openxmlformats.org/officeDocument/2006/relationships/hyperlink" Target="https://utrucking.com/admin/orders/6462632951996" TargetMode="External"/><Relationship Id="rId802" Type="http://schemas.openxmlformats.org/officeDocument/2006/relationships/hyperlink" Target="https://utrucking.com/admin/orders/6462344102076" TargetMode="External"/><Relationship Id="rId801" Type="http://schemas.openxmlformats.org/officeDocument/2006/relationships/hyperlink" Target="https://utrucking.com/admin/orders/6461467656380" TargetMode="External"/><Relationship Id="rId40" Type="http://schemas.openxmlformats.org/officeDocument/2006/relationships/hyperlink" Target="https://utrucking.com/admin/orders/6312790032572" TargetMode="External"/><Relationship Id="rId42" Type="http://schemas.openxmlformats.org/officeDocument/2006/relationships/hyperlink" Target="https://utrucking.com/admin/orders/6313291219132" TargetMode="External"/><Relationship Id="rId41" Type="http://schemas.openxmlformats.org/officeDocument/2006/relationships/hyperlink" Target="https://utrucking.com/admin/orders/6313196224700" TargetMode="External"/><Relationship Id="rId44" Type="http://schemas.openxmlformats.org/officeDocument/2006/relationships/hyperlink" Target="https://utrucking.com/admin/orders/6321768333500" TargetMode="External"/><Relationship Id="rId43" Type="http://schemas.openxmlformats.org/officeDocument/2006/relationships/hyperlink" Target="https://utrucking.com/admin/orders/6321384358076" TargetMode="External"/><Relationship Id="rId46" Type="http://schemas.openxmlformats.org/officeDocument/2006/relationships/hyperlink" Target="https://utrucking.com/admin/orders/6324112523452" TargetMode="External"/><Relationship Id="rId45" Type="http://schemas.openxmlformats.org/officeDocument/2006/relationships/hyperlink" Target="https://utrucking.com/admin/orders/6323846774972" TargetMode="External"/><Relationship Id="rId745" Type="http://schemas.openxmlformats.org/officeDocument/2006/relationships/hyperlink" Target="https://utrucking.com/admin/orders/6453730934972" TargetMode="External"/><Relationship Id="rId744" Type="http://schemas.openxmlformats.org/officeDocument/2006/relationships/hyperlink" Target="https://utrucking.com/admin/orders/6453657698492" TargetMode="External"/><Relationship Id="rId743" Type="http://schemas.openxmlformats.org/officeDocument/2006/relationships/hyperlink" Target="https://utrucking.com/admin/orders/6453607465148" TargetMode="External"/><Relationship Id="rId742" Type="http://schemas.openxmlformats.org/officeDocument/2006/relationships/hyperlink" Target="https://utrucking.com/admin/orders/6453504966844" TargetMode="External"/><Relationship Id="rId749" Type="http://schemas.openxmlformats.org/officeDocument/2006/relationships/hyperlink" Target="https://utrucking.com/admin/orders/6453997961404" TargetMode="External"/><Relationship Id="rId748" Type="http://schemas.openxmlformats.org/officeDocument/2006/relationships/hyperlink" Target="https://utrucking.com/admin/orders/6453907751100" TargetMode="External"/><Relationship Id="rId747" Type="http://schemas.openxmlformats.org/officeDocument/2006/relationships/hyperlink" Target="https://utrucking.com/admin/orders/6453824848060" TargetMode="External"/><Relationship Id="rId746" Type="http://schemas.openxmlformats.org/officeDocument/2006/relationships/hyperlink" Target="https://utrucking.com/admin/orders/6453795979452" TargetMode="External"/><Relationship Id="rId48" Type="http://schemas.openxmlformats.org/officeDocument/2006/relationships/hyperlink" Target="https://utrucking.com/admin/orders/6325497626812" TargetMode="External"/><Relationship Id="rId47" Type="http://schemas.openxmlformats.org/officeDocument/2006/relationships/hyperlink" Target="https://utrucking.com/admin/orders/6324159414460" TargetMode="External"/><Relationship Id="rId49" Type="http://schemas.openxmlformats.org/officeDocument/2006/relationships/hyperlink" Target="https://utrucking.com/admin/orders/6325523972284" TargetMode="External"/><Relationship Id="rId741" Type="http://schemas.openxmlformats.org/officeDocument/2006/relationships/hyperlink" Target="https://utrucking.com/admin/orders/6453068759228" TargetMode="External"/><Relationship Id="rId740" Type="http://schemas.openxmlformats.org/officeDocument/2006/relationships/hyperlink" Target="https://utrucking.com/admin/orders/6452994736316" TargetMode="External"/><Relationship Id="rId31" Type="http://schemas.openxmlformats.org/officeDocument/2006/relationships/hyperlink" Target="https://utrucking.com/admin/orders/6307034923196" TargetMode="External"/><Relationship Id="rId30" Type="http://schemas.openxmlformats.org/officeDocument/2006/relationships/hyperlink" Target="https://utrucking.com/admin/orders/6306018361532" TargetMode="External"/><Relationship Id="rId33" Type="http://schemas.openxmlformats.org/officeDocument/2006/relationships/hyperlink" Target="https://utrucking.com/admin/orders/6308640260284" TargetMode="External"/><Relationship Id="rId32" Type="http://schemas.openxmlformats.org/officeDocument/2006/relationships/hyperlink" Target="https://utrucking.com/admin/orders/6307433218236" TargetMode="External"/><Relationship Id="rId35" Type="http://schemas.openxmlformats.org/officeDocument/2006/relationships/hyperlink" Target="https://utrucking.com/admin/orders/6310771261628" TargetMode="External"/><Relationship Id="rId34" Type="http://schemas.openxmlformats.org/officeDocument/2006/relationships/hyperlink" Target="https://utrucking.com/admin/orders/6309456445628" TargetMode="External"/><Relationship Id="rId739" Type="http://schemas.openxmlformats.org/officeDocument/2006/relationships/hyperlink" Target="https://utrucking.com/admin/orders/6452946698428" TargetMode="External"/><Relationship Id="rId734" Type="http://schemas.openxmlformats.org/officeDocument/2006/relationships/hyperlink" Target="https://utrucking.com/admin/orders/6452575994044" TargetMode="External"/><Relationship Id="rId733" Type="http://schemas.openxmlformats.org/officeDocument/2006/relationships/hyperlink" Target="https://utrucking.com/admin/orders/6452545323196" TargetMode="External"/><Relationship Id="rId732" Type="http://schemas.openxmlformats.org/officeDocument/2006/relationships/hyperlink" Target="https://utrucking.com/admin/orders/6452496302268" TargetMode="External"/><Relationship Id="rId731" Type="http://schemas.openxmlformats.org/officeDocument/2006/relationships/hyperlink" Target="https://utrucking.com/admin/orders/6452335673532" TargetMode="External"/><Relationship Id="rId738" Type="http://schemas.openxmlformats.org/officeDocument/2006/relationships/hyperlink" Target="https://utrucking.com/admin/orders/6452843282620" TargetMode="External"/><Relationship Id="rId737" Type="http://schemas.openxmlformats.org/officeDocument/2006/relationships/hyperlink" Target="https://utrucking.com/admin/orders/6452731248828" TargetMode="External"/><Relationship Id="rId736" Type="http://schemas.openxmlformats.org/officeDocument/2006/relationships/hyperlink" Target="https://utrucking.com/admin/orders/6452687241404" TargetMode="External"/><Relationship Id="rId735" Type="http://schemas.openxmlformats.org/officeDocument/2006/relationships/hyperlink" Target="https://utrucking.com/admin/orders/6452580286652" TargetMode="External"/><Relationship Id="rId37" Type="http://schemas.openxmlformats.org/officeDocument/2006/relationships/hyperlink" Target="https://utrucking.com/admin/orders/6311947239612" TargetMode="External"/><Relationship Id="rId36" Type="http://schemas.openxmlformats.org/officeDocument/2006/relationships/hyperlink" Target="https://utrucking.com/admin/orders/6310827294908" TargetMode="External"/><Relationship Id="rId39" Type="http://schemas.openxmlformats.org/officeDocument/2006/relationships/hyperlink" Target="https://utrucking.com/admin/orders/6311990100156" TargetMode="External"/><Relationship Id="rId38" Type="http://schemas.openxmlformats.org/officeDocument/2006/relationships/hyperlink" Target="https://utrucking.com/admin/orders/6311961952444" TargetMode="External"/><Relationship Id="rId730" Type="http://schemas.openxmlformats.org/officeDocument/2006/relationships/hyperlink" Target="https://utrucking.com/admin/orders/6452277641404" TargetMode="External"/><Relationship Id="rId20" Type="http://schemas.openxmlformats.org/officeDocument/2006/relationships/hyperlink" Target="https://utrucking.com/admin/orders/6303485657276" TargetMode="External"/><Relationship Id="rId22" Type="http://schemas.openxmlformats.org/officeDocument/2006/relationships/hyperlink" Target="https://utrucking.com/admin/orders/6303615418556" TargetMode="External"/><Relationship Id="rId21" Type="http://schemas.openxmlformats.org/officeDocument/2006/relationships/hyperlink" Target="https://utrucking.com/admin/orders/6303509315772" TargetMode="External"/><Relationship Id="rId24" Type="http://schemas.openxmlformats.org/officeDocument/2006/relationships/hyperlink" Target="https://utrucking.com/admin/orders/6303731777724" TargetMode="External"/><Relationship Id="rId23" Type="http://schemas.openxmlformats.org/officeDocument/2006/relationships/hyperlink" Target="https://utrucking.com/admin/orders/6303682363580" TargetMode="External"/><Relationship Id="rId767" Type="http://schemas.openxmlformats.org/officeDocument/2006/relationships/hyperlink" Target="https://utrucking.com/admin/orders/6455389028540" TargetMode="External"/><Relationship Id="rId766" Type="http://schemas.openxmlformats.org/officeDocument/2006/relationships/hyperlink" Target="https://utrucking.com/admin/orders/6455235248316" TargetMode="External"/><Relationship Id="rId765" Type="http://schemas.openxmlformats.org/officeDocument/2006/relationships/hyperlink" Target="https://utrucking.com/admin/orders/6455226106044" TargetMode="External"/><Relationship Id="rId764" Type="http://schemas.openxmlformats.org/officeDocument/2006/relationships/hyperlink" Target="https://utrucking.com/admin/orders/6455208149180" TargetMode="External"/><Relationship Id="rId769" Type="http://schemas.openxmlformats.org/officeDocument/2006/relationships/hyperlink" Target="https://utrucking.com/admin/orders/6455630495932" TargetMode="External"/><Relationship Id="rId768" Type="http://schemas.openxmlformats.org/officeDocument/2006/relationships/hyperlink" Target="https://utrucking.com/admin/orders/6455492870332" TargetMode="External"/><Relationship Id="rId26" Type="http://schemas.openxmlformats.org/officeDocument/2006/relationships/hyperlink" Target="https://utrucking.com/admin/orders/6303890407612" TargetMode="External"/><Relationship Id="rId25" Type="http://schemas.openxmlformats.org/officeDocument/2006/relationships/hyperlink" Target="https://utrucking.com/admin/orders/6303768772796" TargetMode="External"/><Relationship Id="rId28" Type="http://schemas.openxmlformats.org/officeDocument/2006/relationships/hyperlink" Target="https://utrucking.com/admin/orders/6304565952700" TargetMode="External"/><Relationship Id="rId27" Type="http://schemas.openxmlformats.org/officeDocument/2006/relationships/hyperlink" Target="https://utrucking.com/admin/orders/6303890407612" TargetMode="External"/><Relationship Id="rId763" Type="http://schemas.openxmlformats.org/officeDocument/2006/relationships/hyperlink" Target="https://utrucking.com/admin/orders/6455207264444" TargetMode="External"/><Relationship Id="rId29" Type="http://schemas.openxmlformats.org/officeDocument/2006/relationships/hyperlink" Target="https://utrucking.com/admin/orders/6304756203708" TargetMode="External"/><Relationship Id="rId762" Type="http://schemas.openxmlformats.org/officeDocument/2006/relationships/hyperlink" Target="https://utrucking.com/admin/orders/6455160504508" TargetMode="External"/><Relationship Id="rId761" Type="http://schemas.openxmlformats.org/officeDocument/2006/relationships/hyperlink" Target="https://utrucking.com/admin/orders/6454977855676" TargetMode="External"/><Relationship Id="rId760" Type="http://schemas.openxmlformats.org/officeDocument/2006/relationships/hyperlink" Target="https://utrucking.com/admin/orders/6454872277180" TargetMode="External"/><Relationship Id="rId11" Type="http://schemas.openxmlformats.org/officeDocument/2006/relationships/hyperlink" Target="https://utrucking.com/admin/orders/6192601006268" TargetMode="External"/><Relationship Id="rId10" Type="http://schemas.openxmlformats.org/officeDocument/2006/relationships/hyperlink" Target="https://utrucking.com/admin/orders/6179775054012" TargetMode="External"/><Relationship Id="rId13" Type="http://schemas.openxmlformats.org/officeDocument/2006/relationships/hyperlink" Target="https://utrucking.com/admin/orders/6228539932860" TargetMode="External"/><Relationship Id="rId12" Type="http://schemas.openxmlformats.org/officeDocument/2006/relationships/hyperlink" Target="https://utrucking.com/admin/orders/6209501855932" TargetMode="External"/><Relationship Id="rId756" Type="http://schemas.openxmlformats.org/officeDocument/2006/relationships/hyperlink" Target="https://utrucking.com/admin/orders/6454497968316" TargetMode="External"/><Relationship Id="rId755" Type="http://schemas.openxmlformats.org/officeDocument/2006/relationships/hyperlink" Target="https://utrucking.com/admin/orders/6454463955132" TargetMode="External"/><Relationship Id="rId754" Type="http://schemas.openxmlformats.org/officeDocument/2006/relationships/hyperlink" Target="https://utrucking.com/admin/orders/6454305980604" TargetMode="External"/><Relationship Id="rId753" Type="http://schemas.openxmlformats.org/officeDocument/2006/relationships/hyperlink" Target="https://utrucking.com/admin/orders/6454212853948" TargetMode="External"/><Relationship Id="rId759" Type="http://schemas.openxmlformats.org/officeDocument/2006/relationships/hyperlink" Target="https://utrucking.com/admin/orders/6454860447932" TargetMode="External"/><Relationship Id="rId758" Type="http://schemas.openxmlformats.org/officeDocument/2006/relationships/hyperlink" Target="https://utrucking.com/admin/orders/6454795108540" TargetMode="External"/><Relationship Id="rId757" Type="http://schemas.openxmlformats.org/officeDocument/2006/relationships/hyperlink" Target="https://utrucking.com/admin/orders/6454741696700" TargetMode="External"/><Relationship Id="rId15" Type="http://schemas.openxmlformats.org/officeDocument/2006/relationships/hyperlink" Target="https://utrucking.com/admin/orders/6280636432572" TargetMode="External"/><Relationship Id="rId14" Type="http://schemas.openxmlformats.org/officeDocument/2006/relationships/hyperlink" Target="https://utrucking.com/admin/orders/6280053817532" TargetMode="External"/><Relationship Id="rId17" Type="http://schemas.openxmlformats.org/officeDocument/2006/relationships/hyperlink" Target="https://utrucking.com/admin/orders/6293951611068" TargetMode="External"/><Relationship Id="rId16" Type="http://schemas.openxmlformats.org/officeDocument/2006/relationships/hyperlink" Target="https://utrucking.com/admin/orders/6293902917820" TargetMode="External"/><Relationship Id="rId19" Type="http://schemas.openxmlformats.org/officeDocument/2006/relationships/hyperlink" Target="https://utrucking.com/admin/orders/6303486542012" TargetMode="External"/><Relationship Id="rId752" Type="http://schemas.openxmlformats.org/officeDocument/2006/relationships/hyperlink" Target="https://utrucking.com/admin/orders/6454172745916" TargetMode="External"/><Relationship Id="rId18" Type="http://schemas.openxmlformats.org/officeDocument/2006/relationships/hyperlink" Target="https://utrucking.com/admin/orders/6303486509244" TargetMode="External"/><Relationship Id="rId751" Type="http://schemas.openxmlformats.org/officeDocument/2006/relationships/hyperlink" Target="https://utrucking.com/admin/orders/6454168813756" TargetMode="External"/><Relationship Id="rId750" Type="http://schemas.openxmlformats.org/officeDocument/2006/relationships/hyperlink" Target="https://utrucking.com/admin/orders/6454049046716" TargetMode="External"/><Relationship Id="rId84" Type="http://schemas.openxmlformats.org/officeDocument/2006/relationships/hyperlink" Target="https://utrucking.com/admin/orders/6348960661692" TargetMode="External"/><Relationship Id="rId83" Type="http://schemas.openxmlformats.org/officeDocument/2006/relationships/hyperlink" Target="https://utrucking.com/admin/orders/6348959678652" TargetMode="External"/><Relationship Id="rId86" Type="http://schemas.openxmlformats.org/officeDocument/2006/relationships/hyperlink" Target="https://utrucking.com/admin/orders/6350272200892" TargetMode="External"/><Relationship Id="rId85" Type="http://schemas.openxmlformats.org/officeDocument/2006/relationships/hyperlink" Target="https://utrucking.com/admin/orders/6349062537404" TargetMode="External"/><Relationship Id="rId88" Type="http://schemas.openxmlformats.org/officeDocument/2006/relationships/hyperlink" Target="https://utrucking.com/admin/orders/6351876686012" TargetMode="External"/><Relationship Id="rId87" Type="http://schemas.openxmlformats.org/officeDocument/2006/relationships/hyperlink" Target="https://utrucking.com/admin/orders/6351876686012" TargetMode="External"/><Relationship Id="rId89" Type="http://schemas.openxmlformats.org/officeDocument/2006/relationships/hyperlink" Target="https://utrucking.com/admin/orders/6352104915132" TargetMode="External"/><Relationship Id="rId709" Type="http://schemas.openxmlformats.org/officeDocument/2006/relationships/hyperlink" Target="https://utrucking.com/admin/orders/6449143218364" TargetMode="External"/><Relationship Id="rId708" Type="http://schemas.openxmlformats.org/officeDocument/2006/relationships/hyperlink" Target="https://utrucking.com/admin/orders/6449127129276" TargetMode="External"/><Relationship Id="rId707" Type="http://schemas.openxmlformats.org/officeDocument/2006/relationships/hyperlink" Target="https://utrucking.com/admin/orders/6449077387452" TargetMode="External"/><Relationship Id="rId706" Type="http://schemas.openxmlformats.org/officeDocument/2006/relationships/hyperlink" Target="https://utrucking.com/admin/orders/6449008181436" TargetMode="External"/><Relationship Id="rId80" Type="http://schemas.openxmlformats.org/officeDocument/2006/relationships/hyperlink" Target="https://utrucking.com/admin/orders/6347034034364" TargetMode="External"/><Relationship Id="rId82" Type="http://schemas.openxmlformats.org/officeDocument/2006/relationships/hyperlink" Target="https://utrucking.com/admin/orders/6347989745852" TargetMode="External"/><Relationship Id="rId81" Type="http://schemas.openxmlformats.org/officeDocument/2006/relationships/hyperlink" Target="https://utrucking.com/admin/orders/6347141087420" TargetMode="External"/><Relationship Id="rId701" Type="http://schemas.openxmlformats.org/officeDocument/2006/relationships/hyperlink" Target="https://utrucking.com/admin/orders/6448853909692" TargetMode="External"/><Relationship Id="rId700" Type="http://schemas.openxmlformats.org/officeDocument/2006/relationships/hyperlink" Target="https://utrucking.com/admin/orders/6448818684092" TargetMode="External"/><Relationship Id="rId705" Type="http://schemas.openxmlformats.org/officeDocument/2006/relationships/hyperlink" Target="https://utrucking.com/admin/orders/6448959750332" TargetMode="External"/><Relationship Id="rId704" Type="http://schemas.openxmlformats.org/officeDocument/2006/relationships/hyperlink" Target="https://utrucking.com/admin/orders/6448949297340" TargetMode="External"/><Relationship Id="rId703" Type="http://schemas.openxmlformats.org/officeDocument/2006/relationships/hyperlink" Target="https://utrucking.com/admin/orders/6448944414908" TargetMode="External"/><Relationship Id="rId702" Type="http://schemas.openxmlformats.org/officeDocument/2006/relationships/hyperlink" Target="https://utrucking.com/admin/orders/6448941465788" TargetMode="External"/><Relationship Id="rId73" Type="http://schemas.openxmlformats.org/officeDocument/2006/relationships/hyperlink" Target="https://utrucking.com/admin/orders/6335936495804" TargetMode="External"/><Relationship Id="rId72" Type="http://schemas.openxmlformats.org/officeDocument/2006/relationships/hyperlink" Target="https://utrucking.com/admin/orders/6335103664316" TargetMode="External"/><Relationship Id="rId75" Type="http://schemas.openxmlformats.org/officeDocument/2006/relationships/hyperlink" Target="https://utrucking.com/admin/orders/6338698870972" TargetMode="External"/><Relationship Id="rId74" Type="http://schemas.openxmlformats.org/officeDocument/2006/relationships/hyperlink" Target="https://utrucking.com/admin/orders/6337363574972" TargetMode="External"/><Relationship Id="rId77" Type="http://schemas.openxmlformats.org/officeDocument/2006/relationships/hyperlink" Target="https://utrucking.com/admin/orders/6343968784572" TargetMode="External"/><Relationship Id="rId76" Type="http://schemas.openxmlformats.org/officeDocument/2006/relationships/hyperlink" Target="https://utrucking.com/admin/orders/6340057465020" TargetMode="External"/><Relationship Id="rId79" Type="http://schemas.openxmlformats.org/officeDocument/2006/relationships/hyperlink" Target="https://utrucking.com/admin/orders/6346789552316" TargetMode="External"/><Relationship Id="rId78" Type="http://schemas.openxmlformats.org/officeDocument/2006/relationships/hyperlink" Target="https://utrucking.com/admin/orders/6346053550268" TargetMode="External"/><Relationship Id="rId71" Type="http://schemas.openxmlformats.org/officeDocument/2006/relationships/hyperlink" Target="https://utrucking.com/admin/orders/6334045913276" TargetMode="External"/><Relationship Id="rId70" Type="http://schemas.openxmlformats.org/officeDocument/2006/relationships/hyperlink" Target="https://utrucking.com/admin/orders/6334006755516" TargetMode="External"/><Relationship Id="rId62" Type="http://schemas.openxmlformats.org/officeDocument/2006/relationships/hyperlink" Target="https://utrucking.com/admin/orders/6326637756604" TargetMode="External"/><Relationship Id="rId61" Type="http://schemas.openxmlformats.org/officeDocument/2006/relationships/hyperlink" Target="https://utrucking.com/admin/orders/6326294118588" TargetMode="External"/><Relationship Id="rId64" Type="http://schemas.openxmlformats.org/officeDocument/2006/relationships/hyperlink" Target="https://utrucking.com/admin/orders/6327187177660" TargetMode="External"/><Relationship Id="rId63" Type="http://schemas.openxmlformats.org/officeDocument/2006/relationships/hyperlink" Target="https://utrucking.com/admin/orders/6326756769980" TargetMode="External"/><Relationship Id="rId66" Type="http://schemas.openxmlformats.org/officeDocument/2006/relationships/hyperlink" Target="https://utrucking.com/admin/orders/6327585636540" TargetMode="External"/><Relationship Id="rId65" Type="http://schemas.openxmlformats.org/officeDocument/2006/relationships/hyperlink" Target="https://utrucking.com/admin/orders/6327510401212" TargetMode="External"/><Relationship Id="rId68" Type="http://schemas.openxmlformats.org/officeDocument/2006/relationships/hyperlink" Target="https://utrucking.com/admin/orders/6328783143100" TargetMode="External"/><Relationship Id="rId67" Type="http://schemas.openxmlformats.org/officeDocument/2006/relationships/hyperlink" Target="https://utrucking.com/admin/orders/6327694852284" TargetMode="External"/><Relationship Id="rId729" Type="http://schemas.openxmlformats.org/officeDocument/2006/relationships/hyperlink" Target="https://utrucking.com/admin/orders/6452277477564" TargetMode="External"/><Relationship Id="rId728" Type="http://schemas.openxmlformats.org/officeDocument/2006/relationships/hyperlink" Target="https://utrucking.com/admin/orders/6452208009404" TargetMode="External"/><Relationship Id="rId60" Type="http://schemas.openxmlformats.org/officeDocument/2006/relationships/hyperlink" Target="https://utrucking.com/admin/orders/6325973549244" TargetMode="External"/><Relationship Id="rId723" Type="http://schemas.openxmlformats.org/officeDocument/2006/relationships/hyperlink" Target="https://utrucking.com/admin/orders/6451351126204" TargetMode="External"/><Relationship Id="rId722" Type="http://schemas.openxmlformats.org/officeDocument/2006/relationships/hyperlink" Target="https://utrucking.com/admin/orders/6451304235196" TargetMode="External"/><Relationship Id="rId721" Type="http://schemas.openxmlformats.org/officeDocument/2006/relationships/hyperlink" Target="https://utrucking.com/admin/orders/6451175391420" TargetMode="External"/><Relationship Id="rId720" Type="http://schemas.openxmlformats.org/officeDocument/2006/relationships/hyperlink" Target="https://utrucking.com/admin/orders/6451128893628" TargetMode="External"/><Relationship Id="rId727" Type="http://schemas.openxmlformats.org/officeDocument/2006/relationships/hyperlink" Target="https://utrucking.com/admin/orders/6452182057148" TargetMode="External"/><Relationship Id="rId726" Type="http://schemas.openxmlformats.org/officeDocument/2006/relationships/hyperlink" Target="https://utrucking.com/admin/orders/6451979452604" TargetMode="External"/><Relationship Id="rId725" Type="http://schemas.openxmlformats.org/officeDocument/2006/relationships/hyperlink" Target="https://utrucking.com/admin/orders/6451448873148" TargetMode="External"/><Relationship Id="rId724" Type="http://schemas.openxmlformats.org/officeDocument/2006/relationships/hyperlink" Target="https://utrucking.com/admin/orders/6451396247740" TargetMode="External"/><Relationship Id="rId69" Type="http://schemas.openxmlformats.org/officeDocument/2006/relationships/hyperlink" Target="https://utrucking.com/admin/orders/6330396377276" TargetMode="External"/><Relationship Id="rId51" Type="http://schemas.openxmlformats.org/officeDocument/2006/relationships/hyperlink" Target="https://utrucking.com/admin/orders/6325529182396" TargetMode="External"/><Relationship Id="rId50" Type="http://schemas.openxmlformats.org/officeDocument/2006/relationships/hyperlink" Target="https://utrucking.com/admin/orders/6325525971132" TargetMode="External"/><Relationship Id="rId53" Type="http://schemas.openxmlformats.org/officeDocument/2006/relationships/hyperlink" Target="https://utrucking.com/admin/orders/6325552873660" TargetMode="External"/><Relationship Id="rId52" Type="http://schemas.openxmlformats.org/officeDocument/2006/relationships/hyperlink" Target="https://utrucking.com/admin/orders/6325548417212" TargetMode="External"/><Relationship Id="rId55" Type="http://schemas.openxmlformats.org/officeDocument/2006/relationships/hyperlink" Target="https://utrucking.com/admin/orders/6325643182268" TargetMode="External"/><Relationship Id="rId54" Type="http://schemas.openxmlformats.org/officeDocument/2006/relationships/hyperlink" Target="https://utrucking.com/admin/orders/6325567946940" TargetMode="External"/><Relationship Id="rId57" Type="http://schemas.openxmlformats.org/officeDocument/2006/relationships/hyperlink" Target="https://utrucking.com/admin/orders/6325764784316" TargetMode="External"/><Relationship Id="rId56" Type="http://schemas.openxmlformats.org/officeDocument/2006/relationships/hyperlink" Target="https://utrucking.com/admin/orders/6325705244860" TargetMode="External"/><Relationship Id="rId719" Type="http://schemas.openxmlformats.org/officeDocument/2006/relationships/hyperlink" Target="https://utrucking.com/admin/orders/6451110576316" TargetMode="External"/><Relationship Id="rId718" Type="http://schemas.openxmlformats.org/officeDocument/2006/relationships/hyperlink" Target="https://utrucking.com/admin/orders/6451080233148" TargetMode="External"/><Relationship Id="rId717" Type="http://schemas.openxmlformats.org/officeDocument/2006/relationships/hyperlink" Target="https://utrucking.com/admin/orders/6451026165948" TargetMode="External"/><Relationship Id="rId712" Type="http://schemas.openxmlformats.org/officeDocument/2006/relationships/hyperlink" Target="https://utrucking.com/admin/orders/6449715708092" TargetMode="External"/><Relationship Id="rId711" Type="http://schemas.openxmlformats.org/officeDocument/2006/relationships/hyperlink" Target="https://utrucking.com/admin/orders/6449700274364" TargetMode="External"/><Relationship Id="rId710" Type="http://schemas.openxmlformats.org/officeDocument/2006/relationships/hyperlink" Target="https://utrucking.com/admin/orders/6449636081852" TargetMode="External"/><Relationship Id="rId716" Type="http://schemas.openxmlformats.org/officeDocument/2006/relationships/hyperlink" Target="https://utrucking.com/admin/orders/6450986188988" TargetMode="External"/><Relationship Id="rId715" Type="http://schemas.openxmlformats.org/officeDocument/2006/relationships/hyperlink" Target="https://utrucking.com/admin/orders/6450944966844" TargetMode="External"/><Relationship Id="rId714" Type="http://schemas.openxmlformats.org/officeDocument/2006/relationships/hyperlink" Target="https://utrucking.com/admin/orders/6450536775868" TargetMode="External"/><Relationship Id="rId713" Type="http://schemas.openxmlformats.org/officeDocument/2006/relationships/hyperlink" Target="https://utrucking.com/admin/orders/6450073272508" TargetMode="External"/><Relationship Id="rId59" Type="http://schemas.openxmlformats.org/officeDocument/2006/relationships/hyperlink" Target="https://utrucking.com/admin/orders/6325941960892" TargetMode="External"/><Relationship Id="rId58" Type="http://schemas.openxmlformats.org/officeDocument/2006/relationships/hyperlink" Target="https://utrucking.com/admin/orders/6325886746812" TargetMode="External"/><Relationship Id="rId349" Type="http://schemas.openxmlformats.org/officeDocument/2006/relationships/hyperlink" Target="https://utrucking.com/admin/orders/6416309223612" TargetMode="External"/><Relationship Id="rId348" Type="http://schemas.openxmlformats.org/officeDocument/2006/relationships/hyperlink" Target="https://utrucking.com/admin/orders/6416074670268" TargetMode="External"/><Relationship Id="rId347" Type="http://schemas.openxmlformats.org/officeDocument/2006/relationships/hyperlink" Target="https://utrucking.com/admin/orders/6415968534716" TargetMode="External"/><Relationship Id="rId346" Type="http://schemas.openxmlformats.org/officeDocument/2006/relationships/hyperlink" Target="https://utrucking.com/admin/orders/6415841296572" TargetMode="External"/><Relationship Id="rId341" Type="http://schemas.openxmlformats.org/officeDocument/2006/relationships/hyperlink" Target="https://utrucking.com/admin/orders/6414323187900" TargetMode="External"/><Relationship Id="rId340" Type="http://schemas.openxmlformats.org/officeDocument/2006/relationships/hyperlink" Target="https://utrucking.com/admin/orders/6414270955708" TargetMode="External"/><Relationship Id="rId345" Type="http://schemas.openxmlformats.org/officeDocument/2006/relationships/hyperlink" Target="https://utrucking.com/admin/orders/6415024849084" TargetMode="External"/><Relationship Id="rId344" Type="http://schemas.openxmlformats.org/officeDocument/2006/relationships/hyperlink" Target="https://utrucking.com/admin/orders/6414880669884" TargetMode="External"/><Relationship Id="rId343" Type="http://schemas.openxmlformats.org/officeDocument/2006/relationships/hyperlink" Target="https://utrucking.com/admin/orders/6414797242556" TargetMode="External"/><Relationship Id="rId342" Type="http://schemas.openxmlformats.org/officeDocument/2006/relationships/hyperlink" Target="https://utrucking.com/admin/orders/6414747795644" TargetMode="External"/><Relationship Id="rId338" Type="http://schemas.openxmlformats.org/officeDocument/2006/relationships/hyperlink" Target="https://utrucking.com/admin/orders/6413878067388" TargetMode="External"/><Relationship Id="rId337" Type="http://schemas.openxmlformats.org/officeDocument/2006/relationships/hyperlink" Target="https://utrucking.com/admin/orders/6413747519676" TargetMode="External"/><Relationship Id="rId336" Type="http://schemas.openxmlformats.org/officeDocument/2006/relationships/hyperlink" Target="https://utrucking.com/admin/orders/6411694801084" TargetMode="External"/><Relationship Id="rId335" Type="http://schemas.openxmlformats.org/officeDocument/2006/relationships/hyperlink" Target="https://utrucking.com/admin/orders/6411676745916" TargetMode="External"/><Relationship Id="rId339" Type="http://schemas.openxmlformats.org/officeDocument/2006/relationships/hyperlink" Target="https://utrucking.com/admin/orders/6414129692860" TargetMode="External"/><Relationship Id="rId330" Type="http://schemas.openxmlformats.org/officeDocument/2006/relationships/hyperlink" Target="https://utrucking.com/admin/orders/6411086069948" TargetMode="External"/><Relationship Id="rId334" Type="http://schemas.openxmlformats.org/officeDocument/2006/relationships/hyperlink" Target="https://utrucking.com/admin/orders/6411649876156" TargetMode="External"/><Relationship Id="rId333" Type="http://schemas.openxmlformats.org/officeDocument/2006/relationships/hyperlink" Target="https://utrucking.com/admin/orders/6411592794300" TargetMode="External"/><Relationship Id="rId332" Type="http://schemas.openxmlformats.org/officeDocument/2006/relationships/hyperlink" Target="https://utrucking.com/admin/orders/6411520049340" TargetMode="External"/><Relationship Id="rId331" Type="http://schemas.openxmlformats.org/officeDocument/2006/relationships/hyperlink" Target="https://utrucking.com/admin/orders/6411327832252" TargetMode="External"/><Relationship Id="rId370" Type="http://schemas.openxmlformats.org/officeDocument/2006/relationships/hyperlink" Target="https://utrucking.com/admin/orders/6418097143996" TargetMode="External"/><Relationship Id="rId369" Type="http://schemas.openxmlformats.org/officeDocument/2006/relationships/hyperlink" Target="https://utrucking.com/admin/orders/6417945755836" TargetMode="External"/><Relationship Id="rId368" Type="http://schemas.openxmlformats.org/officeDocument/2006/relationships/hyperlink" Target="https://utrucking.com/admin/orders/6417779916988" TargetMode="External"/><Relationship Id="rId363" Type="http://schemas.openxmlformats.org/officeDocument/2006/relationships/hyperlink" Target="https://utrucking.com/admin/orders/6417583014076" TargetMode="External"/><Relationship Id="rId362" Type="http://schemas.openxmlformats.org/officeDocument/2006/relationships/hyperlink" Target="https://utrucking.com/admin/orders/6417525768380" TargetMode="External"/><Relationship Id="rId361" Type="http://schemas.openxmlformats.org/officeDocument/2006/relationships/hyperlink" Target="https://utrucking.com/admin/orders/6417402200252" TargetMode="External"/><Relationship Id="rId360" Type="http://schemas.openxmlformats.org/officeDocument/2006/relationships/hyperlink" Target="https://utrucking.com/admin/orders/6417369432252" TargetMode="External"/><Relationship Id="rId367" Type="http://schemas.openxmlformats.org/officeDocument/2006/relationships/hyperlink" Target="https://utrucking.com/admin/orders/6417670537404" TargetMode="External"/><Relationship Id="rId366" Type="http://schemas.openxmlformats.org/officeDocument/2006/relationships/hyperlink" Target="https://utrucking.com/admin/orders/6417644945596" TargetMode="External"/><Relationship Id="rId365" Type="http://schemas.openxmlformats.org/officeDocument/2006/relationships/hyperlink" Target="https://utrucking.com/admin/orders/6417643831484" TargetMode="External"/><Relationship Id="rId364" Type="http://schemas.openxmlformats.org/officeDocument/2006/relationships/hyperlink" Target="https://utrucking.com/admin/orders/6417625940156" TargetMode="External"/><Relationship Id="rId95" Type="http://schemas.openxmlformats.org/officeDocument/2006/relationships/hyperlink" Target="https://utrucking.com/admin/orders/6357131460796" TargetMode="External"/><Relationship Id="rId94" Type="http://schemas.openxmlformats.org/officeDocument/2006/relationships/hyperlink" Target="https://utrucking.com/admin/orders/6354151407804" TargetMode="External"/><Relationship Id="rId97" Type="http://schemas.openxmlformats.org/officeDocument/2006/relationships/hyperlink" Target="https://utrucking.com/admin/orders/6357266956476" TargetMode="External"/><Relationship Id="rId96" Type="http://schemas.openxmlformats.org/officeDocument/2006/relationships/hyperlink" Target="https://utrucking.com/admin/orders/6357148139708" TargetMode="External"/><Relationship Id="rId99" Type="http://schemas.openxmlformats.org/officeDocument/2006/relationships/hyperlink" Target="https://utrucking.com/admin/orders/6358311534780" TargetMode="External"/><Relationship Id="rId98" Type="http://schemas.openxmlformats.org/officeDocument/2006/relationships/hyperlink" Target="https://utrucking.com/admin/orders/6357635793084" TargetMode="External"/><Relationship Id="rId91" Type="http://schemas.openxmlformats.org/officeDocument/2006/relationships/hyperlink" Target="https://utrucking.com/admin/orders/6354055954620" TargetMode="External"/><Relationship Id="rId90" Type="http://schemas.openxmlformats.org/officeDocument/2006/relationships/hyperlink" Target="https://utrucking.com/admin/orders/6353079697596" TargetMode="External"/><Relationship Id="rId93" Type="http://schemas.openxmlformats.org/officeDocument/2006/relationships/hyperlink" Target="https://utrucking.com/admin/orders/6354147442876" TargetMode="External"/><Relationship Id="rId92" Type="http://schemas.openxmlformats.org/officeDocument/2006/relationships/hyperlink" Target="https://utrucking.com/admin/orders/6354055954620" TargetMode="External"/><Relationship Id="rId359" Type="http://schemas.openxmlformats.org/officeDocument/2006/relationships/hyperlink" Target="https://utrucking.com/admin/orders/6417274798268" TargetMode="External"/><Relationship Id="rId358" Type="http://schemas.openxmlformats.org/officeDocument/2006/relationships/hyperlink" Target="https://utrucking.com/admin/orders/6417220436156" TargetMode="External"/><Relationship Id="rId357" Type="http://schemas.openxmlformats.org/officeDocument/2006/relationships/hyperlink" Target="https://utrucking.com/admin/orders/6417183572156" TargetMode="External"/><Relationship Id="rId352" Type="http://schemas.openxmlformats.org/officeDocument/2006/relationships/hyperlink" Target="https://utrucking.com/admin/orders/6416398418108" TargetMode="External"/><Relationship Id="rId351" Type="http://schemas.openxmlformats.org/officeDocument/2006/relationships/hyperlink" Target="https://utrucking.com/admin/orders/6416376922300" TargetMode="External"/><Relationship Id="rId350" Type="http://schemas.openxmlformats.org/officeDocument/2006/relationships/hyperlink" Target="https://utrucking.com/admin/orders/6416362406076" TargetMode="External"/><Relationship Id="rId356" Type="http://schemas.openxmlformats.org/officeDocument/2006/relationships/hyperlink" Target="https://utrucking.com/admin/orders/6416725672124" TargetMode="External"/><Relationship Id="rId355" Type="http://schemas.openxmlformats.org/officeDocument/2006/relationships/hyperlink" Target="https://utrucking.com/admin/orders/6416670818492" TargetMode="External"/><Relationship Id="rId354" Type="http://schemas.openxmlformats.org/officeDocument/2006/relationships/hyperlink" Target="https://utrucking.com/admin/orders/6416514252988" TargetMode="External"/><Relationship Id="rId353" Type="http://schemas.openxmlformats.org/officeDocument/2006/relationships/hyperlink" Target="https://utrucking.com/admin/orders/6416482238652" TargetMode="External"/><Relationship Id="rId305" Type="http://schemas.openxmlformats.org/officeDocument/2006/relationships/hyperlink" Target="https://utrucking.com/admin/orders/6408443429052" TargetMode="External"/><Relationship Id="rId789" Type="http://schemas.openxmlformats.org/officeDocument/2006/relationships/hyperlink" Target="https://utrucking.com/admin/orders/6458943832252" TargetMode="External"/><Relationship Id="rId304" Type="http://schemas.openxmlformats.org/officeDocument/2006/relationships/hyperlink" Target="https://utrucking.com/admin/orders/6408395587772" TargetMode="External"/><Relationship Id="rId788" Type="http://schemas.openxmlformats.org/officeDocument/2006/relationships/hyperlink" Target="https://utrucking.com/admin/orders/6458384449724" TargetMode="External"/><Relationship Id="rId303" Type="http://schemas.openxmlformats.org/officeDocument/2006/relationships/hyperlink" Target="https://utrucking.com/admin/orders/6408388149436" TargetMode="External"/><Relationship Id="rId787" Type="http://schemas.openxmlformats.org/officeDocument/2006/relationships/hyperlink" Target="https://utrucking.com/admin/orders/6458276151484" TargetMode="External"/><Relationship Id="rId302" Type="http://schemas.openxmlformats.org/officeDocument/2006/relationships/hyperlink" Target="https://utrucking.com/admin/orders/6408296890556" TargetMode="External"/><Relationship Id="rId786" Type="http://schemas.openxmlformats.org/officeDocument/2006/relationships/hyperlink" Target="https://utrucking.com/admin/orders/6458203537596" TargetMode="External"/><Relationship Id="rId309" Type="http://schemas.openxmlformats.org/officeDocument/2006/relationships/hyperlink" Target="https://utrucking.com/admin/orders/6408671101116" TargetMode="External"/><Relationship Id="rId308" Type="http://schemas.openxmlformats.org/officeDocument/2006/relationships/hyperlink" Target="https://utrucking.com/admin/orders/6408671101116" TargetMode="External"/><Relationship Id="rId307" Type="http://schemas.openxmlformats.org/officeDocument/2006/relationships/hyperlink" Target="https://utrucking.com/admin/orders/6408536948924" TargetMode="External"/><Relationship Id="rId306" Type="http://schemas.openxmlformats.org/officeDocument/2006/relationships/hyperlink" Target="https://utrucking.com/admin/orders/6408500543676" TargetMode="External"/><Relationship Id="rId781" Type="http://schemas.openxmlformats.org/officeDocument/2006/relationships/hyperlink" Target="https://utrucking.com/admin/orders/6456869519548" TargetMode="External"/><Relationship Id="rId780" Type="http://schemas.openxmlformats.org/officeDocument/2006/relationships/hyperlink" Target="https://utrucking.com/admin/orders/6456755093692" TargetMode="External"/><Relationship Id="rId301" Type="http://schemas.openxmlformats.org/officeDocument/2006/relationships/hyperlink" Target="https://utrucking.com/admin/orders/6408274608316" TargetMode="External"/><Relationship Id="rId785" Type="http://schemas.openxmlformats.org/officeDocument/2006/relationships/hyperlink" Target="https://utrucking.com/admin/orders/6457966854332" TargetMode="External"/><Relationship Id="rId300" Type="http://schemas.openxmlformats.org/officeDocument/2006/relationships/hyperlink" Target="https://utrucking.com/admin/orders/6408181285052" TargetMode="External"/><Relationship Id="rId784" Type="http://schemas.openxmlformats.org/officeDocument/2006/relationships/hyperlink" Target="https://utrucking.com/admin/orders/6457716768956" TargetMode="External"/><Relationship Id="rId783" Type="http://schemas.openxmlformats.org/officeDocument/2006/relationships/hyperlink" Target="https://utrucking.com/admin/orders/6457602506940" TargetMode="External"/><Relationship Id="rId782" Type="http://schemas.openxmlformats.org/officeDocument/2006/relationships/hyperlink" Target="https://utrucking.com/admin/orders/6456885018812" TargetMode="External"/><Relationship Id="rId778" Type="http://schemas.openxmlformats.org/officeDocument/2006/relationships/hyperlink" Target="https://utrucking.com/admin/orders/6456358305980" TargetMode="External"/><Relationship Id="rId777" Type="http://schemas.openxmlformats.org/officeDocument/2006/relationships/hyperlink" Target="https://utrucking.com/admin/orders/6456346181820" TargetMode="External"/><Relationship Id="rId776" Type="http://schemas.openxmlformats.org/officeDocument/2006/relationships/hyperlink" Target="https://utrucking.com/admin/orders/6456323178684" TargetMode="External"/><Relationship Id="rId775" Type="http://schemas.openxmlformats.org/officeDocument/2006/relationships/hyperlink" Target="https://utrucking.com/admin/orders/6456148033724" TargetMode="External"/><Relationship Id="rId779" Type="http://schemas.openxmlformats.org/officeDocument/2006/relationships/hyperlink" Target="https://utrucking.com/admin/orders/6456585388220" TargetMode="External"/><Relationship Id="rId770" Type="http://schemas.openxmlformats.org/officeDocument/2006/relationships/hyperlink" Target="https://utrucking.com/admin/orders/6455639933116" TargetMode="External"/><Relationship Id="rId774" Type="http://schemas.openxmlformats.org/officeDocument/2006/relationships/hyperlink" Target="https://utrucking.com/admin/orders/6456025743548" TargetMode="External"/><Relationship Id="rId773" Type="http://schemas.openxmlformats.org/officeDocument/2006/relationships/hyperlink" Target="https://utrucking.com/admin/orders/6455825596604" TargetMode="External"/><Relationship Id="rId772" Type="http://schemas.openxmlformats.org/officeDocument/2006/relationships/hyperlink" Target="https://utrucking.com/admin/orders/6455780442300" TargetMode="External"/><Relationship Id="rId771" Type="http://schemas.openxmlformats.org/officeDocument/2006/relationships/hyperlink" Target="https://utrucking.com/admin/orders/6455760158908" TargetMode="External"/><Relationship Id="rId327" Type="http://schemas.openxmlformats.org/officeDocument/2006/relationships/hyperlink" Target="https://utrucking.com/admin/orders/6410927112380" TargetMode="External"/><Relationship Id="rId326" Type="http://schemas.openxmlformats.org/officeDocument/2006/relationships/hyperlink" Target="https://utrucking.com/admin/orders/6410546839740" TargetMode="External"/><Relationship Id="rId325" Type="http://schemas.openxmlformats.org/officeDocument/2006/relationships/hyperlink" Target="https://utrucking.com/admin/orders/6410507583676" TargetMode="External"/><Relationship Id="rId324" Type="http://schemas.openxmlformats.org/officeDocument/2006/relationships/hyperlink" Target="https://utrucking.com/admin/orders/6410499129532" TargetMode="External"/><Relationship Id="rId329" Type="http://schemas.openxmlformats.org/officeDocument/2006/relationships/hyperlink" Target="https://utrucking.com/admin/orders/6411010375868" TargetMode="External"/><Relationship Id="rId328" Type="http://schemas.openxmlformats.org/officeDocument/2006/relationships/hyperlink" Target="https://utrucking.com/admin/orders/6410981540028" TargetMode="External"/><Relationship Id="rId323" Type="http://schemas.openxmlformats.org/officeDocument/2006/relationships/hyperlink" Target="https://utrucking.com/admin/orders/6410492969148" TargetMode="External"/><Relationship Id="rId322" Type="http://schemas.openxmlformats.org/officeDocument/2006/relationships/hyperlink" Target="https://utrucking.com/admin/orders/6410116595900" TargetMode="External"/><Relationship Id="rId321" Type="http://schemas.openxmlformats.org/officeDocument/2006/relationships/hyperlink" Target="https://utrucking.com/admin/orders/6410104340668" TargetMode="External"/><Relationship Id="rId320" Type="http://schemas.openxmlformats.org/officeDocument/2006/relationships/hyperlink" Target="https://utrucking.com/admin/orders/6410101489852" TargetMode="External"/><Relationship Id="rId316" Type="http://schemas.openxmlformats.org/officeDocument/2006/relationships/hyperlink" Target="https://utrucking.com/admin/orders/6409294479548" TargetMode="External"/><Relationship Id="rId315" Type="http://schemas.openxmlformats.org/officeDocument/2006/relationships/hyperlink" Target="https://utrucking.com/admin/orders/6409279865020" TargetMode="External"/><Relationship Id="rId799" Type="http://schemas.openxmlformats.org/officeDocument/2006/relationships/hyperlink" Target="https://utrucking.com/admin/orders/6460440772796" TargetMode="External"/><Relationship Id="rId314" Type="http://schemas.openxmlformats.org/officeDocument/2006/relationships/hyperlink" Target="https://utrucking.com/admin/orders/6409248866492" TargetMode="External"/><Relationship Id="rId798" Type="http://schemas.openxmlformats.org/officeDocument/2006/relationships/hyperlink" Target="https://utrucking.com/admin/orders/6460203237564" TargetMode="External"/><Relationship Id="rId313" Type="http://schemas.openxmlformats.org/officeDocument/2006/relationships/hyperlink" Target="https://utrucking.com/admin/orders/6409136177340" TargetMode="External"/><Relationship Id="rId797" Type="http://schemas.openxmlformats.org/officeDocument/2006/relationships/hyperlink" Target="https://utrucking.com/admin/orders/6460198912188" TargetMode="External"/><Relationship Id="rId319" Type="http://schemas.openxmlformats.org/officeDocument/2006/relationships/hyperlink" Target="https://utrucking.com/admin/orders/6410098770108" TargetMode="External"/><Relationship Id="rId318" Type="http://schemas.openxmlformats.org/officeDocument/2006/relationships/hyperlink" Target="https://utrucking.com/admin/orders/6409328459964" TargetMode="External"/><Relationship Id="rId317" Type="http://schemas.openxmlformats.org/officeDocument/2006/relationships/hyperlink" Target="https://utrucking.com/admin/orders/6409309257916" TargetMode="External"/><Relationship Id="rId792" Type="http://schemas.openxmlformats.org/officeDocument/2006/relationships/hyperlink" Target="https://utrucking.com/admin/orders/6459223277756" TargetMode="External"/><Relationship Id="rId791" Type="http://schemas.openxmlformats.org/officeDocument/2006/relationships/hyperlink" Target="https://utrucking.com/admin/orders/6459105083580" TargetMode="External"/><Relationship Id="rId790" Type="http://schemas.openxmlformats.org/officeDocument/2006/relationships/hyperlink" Target="https://utrucking.com/admin/orders/6459033682108" TargetMode="External"/><Relationship Id="rId312" Type="http://schemas.openxmlformats.org/officeDocument/2006/relationships/hyperlink" Target="https://utrucking.com/admin/orders/6409035907260" TargetMode="External"/><Relationship Id="rId796" Type="http://schemas.openxmlformats.org/officeDocument/2006/relationships/hyperlink" Target="https://utrucking.com/admin/orders/6460072165564" TargetMode="External"/><Relationship Id="rId311" Type="http://schemas.openxmlformats.org/officeDocument/2006/relationships/hyperlink" Target="https://utrucking.com/admin/orders/6408914960572" TargetMode="External"/><Relationship Id="rId795" Type="http://schemas.openxmlformats.org/officeDocument/2006/relationships/hyperlink" Target="https://utrucking.com/admin/orders/6459739308220" TargetMode="External"/><Relationship Id="rId310" Type="http://schemas.openxmlformats.org/officeDocument/2006/relationships/hyperlink" Target="https://utrucking.com/admin/orders/6408743190716" TargetMode="External"/><Relationship Id="rId794" Type="http://schemas.openxmlformats.org/officeDocument/2006/relationships/hyperlink" Target="https://utrucking.com/admin/orders/6459498725564" TargetMode="External"/><Relationship Id="rId793" Type="http://schemas.openxmlformats.org/officeDocument/2006/relationships/hyperlink" Target="https://utrucking.com/admin/orders/6459236679868" TargetMode="External"/><Relationship Id="rId297" Type="http://schemas.openxmlformats.org/officeDocument/2006/relationships/hyperlink" Target="https://utrucking.com/admin/orders/6408074526908" TargetMode="External"/><Relationship Id="rId296" Type="http://schemas.openxmlformats.org/officeDocument/2006/relationships/hyperlink" Target="https://utrucking.com/admin/orders/6408000078012" TargetMode="External"/><Relationship Id="rId295" Type="http://schemas.openxmlformats.org/officeDocument/2006/relationships/hyperlink" Target="https://utrucking.com/admin/orders/6407924908220" TargetMode="External"/><Relationship Id="rId294" Type="http://schemas.openxmlformats.org/officeDocument/2006/relationships/hyperlink" Target="https://utrucking.com/admin/orders/6407919468732" TargetMode="External"/><Relationship Id="rId299" Type="http://schemas.openxmlformats.org/officeDocument/2006/relationships/hyperlink" Target="https://utrucking.com/admin/orders/6408141242556" TargetMode="External"/><Relationship Id="rId298" Type="http://schemas.openxmlformats.org/officeDocument/2006/relationships/hyperlink" Target="https://utrucking.com/admin/orders/6408115093692" TargetMode="External"/><Relationship Id="rId271" Type="http://schemas.openxmlformats.org/officeDocument/2006/relationships/hyperlink" Target="https://utrucking.com/admin/orders/6405510529212" TargetMode="External"/><Relationship Id="rId270" Type="http://schemas.openxmlformats.org/officeDocument/2006/relationships/hyperlink" Target="https://utrucking.com/admin/orders/6405455544508" TargetMode="External"/><Relationship Id="rId269" Type="http://schemas.openxmlformats.org/officeDocument/2006/relationships/hyperlink" Target="https://utrucking.com/admin/orders/6405422350524" TargetMode="External"/><Relationship Id="rId264" Type="http://schemas.openxmlformats.org/officeDocument/2006/relationships/hyperlink" Target="https://utrucking.com/admin/orders/6404565008572" TargetMode="External"/><Relationship Id="rId263" Type="http://schemas.openxmlformats.org/officeDocument/2006/relationships/hyperlink" Target="https://utrucking.com/admin/orders/6404492099772" TargetMode="External"/><Relationship Id="rId262" Type="http://schemas.openxmlformats.org/officeDocument/2006/relationships/hyperlink" Target="https://utrucking.com/admin/orders/6404355096764" TargetMode="External"/><Relationship Id="rId261" Type="http://schemas.openxmlformats.org/officeDocument/2006/relationships/hyperlink" Target="https://utrucking.com/admin/orders/6404338483388" TargetMode="External"/><Relationship Id="rId268" Type="http://schemas.openxmlformats.org/officeDocument/2006/relationships/hyperlink" Target="https://utrucking.com/admin/orders/6404945182908" TargetMode="External"/><Relationship Id="rId267" Type="http://schemas.openxmlformats.org/officeDocument/2006/relationships/hyperlink" Target="https://utrucking.com/admin/orders/6404811456700" TargetMode="External"/><Relationship Id="rId266" Type="http://schemas.openxmlformats.org/officeDocument/2006/relationships/hyperlink" Target="https://utrucking.com/admin/orders/6404702830780" TargetMode="External"/><Relationship Id="rId265" Type="http://schemas.openxmlformats.org/officeDocument/2006/relationships/hyperlink" Target="https://utrucking.com/admin/orders/6404606951612" TargetMode="External"/><Relationship Id="rId260" Type="http://schemas.openxmlformats.org/officeDocument/2006/relationships/hyperlink" Target="https://utrucking.com/admin/orders/6404262330556" TargetMode="External"/><Relationship Id="rId259" Type="http://schemas.openxmlformats.org/officeDocument/2006/relationships/hyperlink" Target="https://utrucking.com/admin/orders/6403694723260" TargetMode="External"/><Relationship Id="rId258" Type="http://schemas.openxmlformats.org/officeDocument/2006/relationships/hyperlink" Target="https://utrucking.com/admin/orders/6403681255612" TargetMode="External"/><Relationship Id="rId253" Type="http://schemas.openxmlformats.org/officeDocument/2006/relationships/hyperlink" Target="https://utrucking.com/admin/orders/6403443491004" TargetMode="External"/><Relationship Id="rId252" Type="http://schemas.openxmlformats.org/officeDocument/2006/relationships/hyperlink" Target="https://utrucking.com/admin/orders/6403328475324" TargetMode="External"/><Relationship Id="rId251" Type="http://schemas.openxmlformats.org/officeDocument/2006/relationships/hyperlink" Target="https://utrucking.com/admin/orders/6403313991868" TargetMode="External"/><Relationship Id="rId250" Type="http://schemas.openxmlformats.org/officeDocument/2006/relationships/hyperlink" Target="https://utrucking.com/admin/orders/6403194224828" TargetMode="External"/><Relationship Id="rId257" Type="http://schemas.openxmlformats.org/officeDocument/2006/relationships/hyperlink" Target="https://utrucking.com/admin/orders/6403653370044" TargetMode="External"/><Relationship Id="rId256" Type="http://schemas.openxmlformats.org/officeDocument/2006/relationships/hyperlink" Target="https://utrucking.com/admin/orders/6403636101308" TargetMode="External"/><Relationship Id="rId255" Type="http://schemas.openxmlformats.org/officeDocument/2006/relationships/hyperlink" Target="https://utrucking.com/admin/orders/6403546546364" TargetMode="External"/><Relationship Id="rId254" Type="http://schemas.openxmlformats.org/officeDocument/2006/relationships/hyperlink" Target="https://utrucking.com/admin/orders/6403463217340" TargetMode="External"/><Relationship Id="rId293" Type="http://schemas.openxmlformats.org/officeDocument/2006/relationships/hyperlink" Target="https://utrucking.com/admin/orders/6407891026108" TargetMode="External"/><Relationship Id="rId292" Type="http://schemas.openxmlformats.org/officeDocument/2006/relationships/hyperlink" Target="https://utrucking.com/admin/orders/6407873986748" TargetMode="External"/><Relationship Id="rId291" Type="http://schemas.openxmlformats.org/officeDocument/2006/relationships/hyperlink" Target="https://utrucking.com/admin/orders/6407810941116" TargetMode="External"/><Relationship Id="rId290" Type="http://schemas.openxmlformats.org/officeDocument/2006/relationships/hyperlink" Target="https://utrucking.com/admin/orders/6407685603516" TargetMode="External"/><Relationship Id="rId286" Type="http://schemas.openxmlformats.org/officeDocument/2006/relationships/hyperlink" Target="https://utrucking.com/admin/orders/6407268335804" TargetMode="External"/><Relationship Id="rId285" Type="http://schemas.openxmlformats.org/officeDocument/2006/relationships/hyperlink" Target="https://utrucking.com/admin/orders/6407268106428" TargetMode="External"/><Relationship Id="rId284" Type="http://schemas.openxmlformats.org/officeDocument/2006/relationships/hyperlink" Target="https://utrucking.com/admin/orders/6407207125180" TargetMode="External"/><Relationship Id="rId283" Type="http://schemas.openxmlformats.org/officeDocument/2006/relationships/hyperlink" Target="https://utrucking.com/admin/orders/6407184711868" TargetMode="External"/><Relationship Id="rId289" Type="http://schemas.openxmlformats.org/officeDocument/2006/relationships/hyperlink" Target="https://utrucking.com/admin/orders/6407566164156" TargetMode="External"/><Relationship Id="rId288" Type="http://schemas.openxmlformats.org/officeDocument/2006/relationships/hyperlink" Target="https://utrucking.com/admin/orders/6407473758396" TargetMode="External"/><Relationship Id="rId287" Type="http://schemas.openxmlformats.org/officeDocument/2006/relationships/hyperlink" Target="https://utrucking.com/admin/orders/6407337148604" TargetMode="External"/><Relationship Id="rId282" Type="http://schemas.openxmlformats.org/officeDocument/2006/relationships/hyperlink" Target="https://utrucking.com/admin/orders/6407106363580" TargetMode="External"/><Relationship Id="rId281" Type="http://schemas.openxmlformats.org/officeDocument/2006/relationships/hyperlink" Target="https://utrucking.com/admin/orders/6407094993084" TargetMode="External"/><Relationship Id="rId280" Type="http://schemas.openxmlformats.org/officeDocument/2006/relationships/hyperlink" Target="https://utrucking.com/admin/orders/6407075528892" TargetMode="External"/><Relationship Id="rId275" Type="http://schemas.openxmlformats.org/officeDocument/2006/relationships/hyperlink" Target="https://utrucking.com/admin/orders/6406129647804" TargetMode="External"/><Relationship Id="rId274" Type="http://schemas.openxmlformats.org/officeDocument/2006/relationships/hyperlink" Target="https://utrucking.com/admin/orders/6405957812412" TargetMode="External"/><Relationship Id="rId273" Type="http://schemas.openxmlformats.org/officeDocument/2006/relationships/hyperlink" Target="https://utrucking.com/admin/orders/6405870911676" TargetMode="External"/><Relationship Id="rId272" Type="http://schemas.openxmlformats.org/officeDocument/2006/relationships/hyperlink" Target="https://utrucking.com/admin/orders/6405576982716" TargetMode="External"/><Relationship Id="rId279" Type="http://schemas.openxmlformats.org/officeDocument/2006/relationships/hyperlink" Target="https://utrucking.com/admin/orders/6407057539260" TargetMode="External"/><Relationship Id="rId278" Type="http://schemas.openxmlformats.org/officeDocument/2006/relationships/hyperlink" Target="https://utrucking.com/admin/orders/6407028244668" TargetMode="External"/><Relationship Id="rId277" Type="http://schemas.openxmlformats.org/officeDocument/2006/relationships/hyperlink" Target="https://utrucking.com/admin/orders/6406881116348" TargetMode="External"/><Relationship Id="rId276" Type="http://schemas.openxmlformats.org/officeDocument/2006/relationships/hyperlink" Target="https://utrucking.com/admin/orders/6406829998268" TargetMode="External"/><Relationship Id="rId629" Type="http://schemas.openxmlformats.org/officeDocument/2006/relationships/hyperlink" Target="https://utrucking.com/admin/orders/6444089376956" TargetMode="External"/><Relationship Id="rId624" Type="http://schemas.openxmlformats.org/officeDocument/2006/relationships/hyperlink" Target="https://utrucking.com/admin/orders/6443724636348" TargetMode="External"/><Relationship Id="rId623" Type="http://schemas.openxmlformats.org/officeDocument/2006/relationships/hyperlink" Target="https://utrucking.com/admin/orders/6443617714364" TargetMode="External"/><Relationship Id="rId622" Type="http://schemas.openxmlformats.org/officeDocument/2006/relationships/hyperlink" Target="https://utrucking.com/admin/orders/6443545952444" TargetMode="External"/><Relationship Id="rId621" Type="http://schemas.openxmlformats.org/officeDocument/2006/relationships/hyperlink" Target="https://utrucking.com/admin/orders/6443417796796" TargetMode="External"/><Relationship Id="rId628" Type="http://schemas.openxmlformats.org/officeDocument/2006/relationships/hyperlink" Target="https://utrucking.com/admin/orders/6444082790588" TargetMode="External"/><Relationship Id="rId627" Type="http://schemas.openxmlformats.org/officeDocument/2006/relationships/hyperlink" Target="https://utrucking.com/admin/orders/6444060049596" TargetMode="External"/><Relationship Id="rId626" Type="http://schemas.openxmlformats.org/officeDocument/2006/relationships/hyperlink" Target="https://utrucking.com/admin/orders/6443924619452" TargetMode="External"/><Relationship Id="rId625" Type="http://schemas.openxmlformats.org/officeDocument/2006/relationships/hyperlink" Target="https://utrucking.com/admin/orders/6443859607740" TargetMode="External"/><Relationship Id="rId620" Type="http://schemas.openxmlformats.org/officeDocument/2006/relationships/hyperlink" Target="https://utrucking.com/admin/orders/6443250090172" TargetMode="External"/><Relationship Id="rId619" Type="http://schemas.openxmlformats.org/officeDocument/2006/relationships/hyperlink" Target="https://utrucking.com/admin/orders/6443229315260" TargetMode="External"/><Relationship Id="rId618" Type="http://schemas.openxmlformats.org/officeDocument/2006/relationships/hyperlink" Target="https://utrucking.com/admin/orders/6443226267836" TargetMode="External"/><Relationship Id="rId613" Type="http://schemas.openxmlformats.org/officeDocument/2006/relationships/hyperlink" Target="https://utrucking.com/admin/orders/6442940825788" TargetMode="External"/><Relationship Id="rId612" Type="http://schemas.openxmlformats.org/officeDocument/2006/relationships/hyperlink" Target="https://utrucking.com/admin/orders/6442028662972" TargetMode="External"/><Relationship Id="rId611" Type="http://schemas.openxmlformats.org/officeDocument/2006/relationships/hyperlink" Target="https://utrucking.com/admin/orders/6439383367868" TargetMode="External"/><Relationship Id="rId610" Type="http://schemas.openxmlformats.org/officeDocument/2006/relationships/hyperlink" Target="https://utrucking.com/admin/orders/6439247970492" TargetMode="External"/><Relationship Id="rId617" Type="http://schemas.openxmlformats.org/officeDocument/2006/relationships/hyperlink" Target="https://utrucking.com/admin/orders/6443212767420" TargetMode="External"/><Relationship Id="rId616" Type="http://schemas.openxmlformats.org/officeDocument/2006/relationships/hyperlink" Target="https://utrucking.com/admin/orders/6443207590076" TargetMode="External"/><Relationship Id="rId615" Type="http://schemas.openxmlformats.org/officeDocument/2006/relationships/hyperlink" Target="https://utrucking.com/admin/orders/6443137564860" TargetMode="External"/><Relationship Id="rId614" Type="http://schemas.openxmlformats.org/officeDocument/2006/relationships/hyperlink" Target="https://utrucking.com/admin/orders/6442972348604" TargetMode="External"/><Relationship Id="rId646" Type="http://schemas.openxmlformats.org/officeDocument/2006/relationships/hyperlink" Target="https://utrucking.com/admin/orders/6445102858428" TargetMode="External"/><Relationship Id="rId645" Type="http://schemas.openxmlformats.org/officeDocument/2006/relationships/hyperlink" Target="https://utrucking.com/admin/orders/6445042663612" TargetMode="External"/><Relationship Id="rId644" Type="http://schemas.openxmlformats.org/officeDocument/2006/relationships/hyperlink" Target="https://utrucking.com/admin/orders/6445020709052" TargetMode="External"/><Relationship Id="rId643" Type="http://schemas.openxmlformats.org/officeDocument/2006/relationships/hyperlink" Target="https://utrucking.com/admin/orders/6444973260988" TargetMode="External"/><Relationship Id="rId649" Type="http://schemas.openxmlformats.org/officeDocument/2006/relationships/hyperlink" Target="https://utrucking.com/admin/orders/6445352222908" TargetMode="External"/><Relationship Id="rId648" Type="http://schemas.openxmlformats.org/officeDocument/2006/relationships/hyperlink" Target="https://utrucking.com/admin/orders/6445338919100" TargetMode="External"/><Relationship Id="rId647" Type="http://schemas.openxmlformats.org/officeDocument/2006/relationships/hyperlink" Target="https://utrucking.com/admin/orders/6445168918716" TargetMode="External"/><Relationship Id="rId642" Type="http://schemas.openxmlformats.org/officeDocument/2006/relationships/hyperlink" Target="https://utrucking.com/admin/orders/6444939378876" TargetMode="External"/><Relationship Id="rId641" Type="http://schemas.openxmlformats.org/officeDocument/2006/relationships/hyperlink" Target="https://utrucking.com/admin/orders/6444917620924" TargetMode="External"/><Relationship Id="rId640" Type="http://schemas.openxmlformats.org/officeDocument/2006/relationships/hyperlink" Target="https://utrucking.com/admin/orders/6444917129404" TargetMode="External"/><Relationship Id="rId635" Type="http://schemas.openxmlformats.org/officeDocument/2006/relationships/hyperlink" Target="https://admin.shopify.com/store/utrucking/orders/6444753060028?link_source=search" TargetMode="External"/><Relationship Id="rId634" Type="http://schemas.openxmlformats.org/officeDocument/2006/relationships/hyperlink" Target="https://utrucking.com/admin/orders/6444743983292" TargetMode="External"/><Relationship Id="rId633" Type="http://schemas.openxmlformats.org/officeDocument/2006/relationships/hyperlink" Target="https://utrucking.com/admin/orders/6444735168700" TargetMode="External"/><Relationship Id="rId632" Type="http://schemas.openxmlformats.org/officeDocument/2006/relationships/hyperlink" Target="https://utrucking.com/admin/orders/6444433408188" TargetMode="External"/><Relationship Id="rId639" Type="http://schemas.openxmlformats.org/officeDocument/2006/relationships/hyperlink" Target="https://utrucking.com/admin/orders/6444906971324" TargetMode="External"/><Relationship Id="rId638" Type="http://schemas.openxmlformats.org/officeDocument/2006/relationships/hyperlink" Target="https://utrucking.com/admin/orders/6444879413436" TargetMode="External"/><Relationship Id="rId637" Type="http://schemas.openxmlformats.org/officeDocument/2006/relationships/hyperlink" Target="https://utrucking.com/admin/orders/6444848513212" TargetMode="External"/><Relationship Id="rId636" Type="http://schemas.openxmlformats.org/officeDocument/2006/relationships/hyperlink" Target="https://utrucking.com/admin/orders/6444773867708" TargetMode="External"/><Relationship Id="rId631" Type="http://schemas.openxmlformats.org/officeDocument/2006/relationships/hyperlink" Target="https://utrucking.com/admin/orders/6444145770684" TargetMode="External"/><Relationship Id="rId630" Type="http://schemas.openxmlformats.org/officeDocument/2006/relationships/hyperlink" Target="https://utrucking.com/admin/orders/6444142985404" TargetMode="External"/><Relationship Id="rId609" Type="http://schemas.openxmlformats.org/officeDocument/2006/relationships/hyperlink" Target="https://utrucking.com/admin/orders/6438912164028" TargetMode="External"/><Relationship Id="rId608" Type="http://schemas.openxmlformats.org/officeDocument/2006/relationships/hyperlink" Target="https://utrucking.com/admin/orders/6438407307452" TargetMode="External"/><Relationship Id="rId607" Type="http://schemas.openxmlformats.org/officeDocument/2006/relationships/hyperlink" Target="https://utrucking.com/admin/orders/6438022119612" TargetMode="External"/><Relationship Id="rId602" Type="http://schemas.openxmlformats.org/officeDocument/2006/relationships/hyperlink" Target="https://utrucking.com/admin/orders/6436190716092" TargetMode="External"/><Relationship Id="rId601" Type="http://schemas.openxmlformats.org/officeDocument/2006/relationships/hyperlink" Target="https://utrucking.com/admin/orders/6436113350844" TargetMode="External"/><Relationship Id="rId600" Type="http://schemas.openxmlformats.org/officeDocument/2006/relationships/hyperlink" Target="https://utrucking.com/admin/orders/6435670982844" TargetMode="External"/><Relationship Id="rId606" Type="http://schemas.openxmlformats.org/officeDocument/2006/relationships/hyperlink" Target="https://utrucking.com/admin/orders/6437694439612" TargetMode="External"/><Relationship Id="rId605" Type="http://schemas.openxmlformats.org/officeDocument/2006/relationships/hyperlink" Target="https://utrucking.com/admin/orders/6437606424764" TargetMode="External"/><Relationship Id="rId604" Type="http://schemas.openxmlformats.org/officeDocument/2006/relationships/hyperlink" Target="https://utrucking.com/admin/orders/6436619354300" TargetMode="External"/><Relationship Id="rId603" Type="http://schemas.openxmlformats.org/officeDocument/2006/relationships/hyperlink" Target="https://utrucking.com/admin/orders/6436191568060" TargetMode="External"/><Relationship Id="rId228" Type="http://schemas.openxmlformats.org/officeDocument/2006/relationships/hyperlink" Target="https://utrucking.com/admin/orders/6399607668924" TargetMode="External"/><Relationship Id="rId227" Type="http://schemas.openxmlformats.org/officeDocument/2006/relationships/hyperlink" Target="https://utrucking.com/admin/orders/6399569297596" TargetMode="External"/><Relationship Id="rId226" Type="http://schemas.openxmlformats.org/officeDocument/2006/relationships/hyperlink" Target="https://utrucking.com/admin/orders/6399297224892" TargetMode="External"/><Relationship Id="rId225" Type="http://schemas.openxmlformats.org/officeDocument/2006/relationships/hyperlink" Target="https://utrucking.com/admin/orders/6398749180092" TargetMode="External"/><Relationship Id="rId229" Type="http://schemas.openxmlformats.org/officeDocument/2006/relationships/hyperlink" Target="https://utrucking.com/admin/orders/6399773573308" TargetMode="External"/><Relationship Id="rId220" Type="http://schemas.openxmlformats.org/officeDocument/2006/relationships/hyperlink" Target="https://utrucking.com/admin/orders/6398057087164" TargetMode="External"/><Relationship Id="rId224" Type="http://schemas.openxmlformats.org/officeDocument/2006/relationships/hyperlink" Target="https://utrucking.com/admin/orders/6398515675324" TargetMode="External"/><Relationship Id="rId223" Type="http://schemas.openxmlformats.org/officeDocument/2006/relationships/hyperlink" Target="https://utrucking.com/admin/orders/6398379163836" TargetMode="External"/><Relationship Id="rId222" Type="http://schemas.openxmlformats.org/officeDocument/2006/relationships/hyperlink" Target="https://utrucking.com/admin/orders/6398258512060" TargetMode="External"/><Relationship Id="rId221" Type="http://schemas.openxmlformats.org/officeDocument/2006/relationships/hyperlink" Target="https://utrucking.com/admin/orders/6398106337468" TargetMode="External"/><Relationship Id="rId217" Type="http://schemas.openxmlformats.org/officeDocument/2006/relationships/hyperlink" Target="https://utrucking.com/admin/orders/6397195387068" TargetMode="External"/><Relationship Id="rId216" Type="http://schemas.openxmlformats.org/officeDocument/2006/relationships/hyperlink" Target="https://utrucking.com/admin/orders/6397158162620" TargetMode="External"/><Relationship Id="rId215" Type="http://schemas.openxmlformats.org/officeDocument/2006/relationships/hyperlink" Target="https://utrucking.com/admin/orders/6396831989948" TargetMode="External"/><Relationship Id="rId699" Type="http://schemas.openxmlformats.org/officeDocument/2006/relationships/hyperlink" Target="https://utrucking.com/admin/orders/6448791453884" TargetMode="External"/><Relationship Id="rId214" Type="http://schemas.openxmlformats.org/officeDocument/2006/relationships/hyperlink" Target="https://utrucking.com/admin/orders/6396671066300" TargetMode="External"/><Relationship Id="rId698" Type="http://schemas.openxmlformats.org/officeDocument/2006/relationships/hyperlink" Target="https://utrucking.com/admin/orders/6448702161084" TargetMode="External"/><Relationship Id="rId219" Type="http://schemas.openxmlformats.org/officeDocument/2006/relationships/hyperlink" Target="https://utrucking.com/admin/orders/6397854449852" TargetMode="External"/><Relationship Id="rId218" Type="http://schemas.openxmlformats.org/officeDocument/2006/relationships/hyperlink" Target="https://utrucking.com/admin/orders/6397553115324" TargetMode="External"/><Relationship Id="rId693" Type="http://schemas.openxmlformats.org/officeDocument/2006/relationships/hyperlink" Target="https://utrucking.com/admin/orders/6448279093436" TargetMode="External"/><Relationship Id="rId692" Type="http://schemas.openxmlformats.org/officeDocument/2006/relationships/hyperlink" Target="https://utrucking.com/admin/orders/6448228630716" TargetMode="External"/><Relationship Id="rId691" Type="http://schemas.openxmlformats.org/officeDocument/2006/relationships/hyperlink" Target="https://utrucking.com/admin/orders/6448214638780" TargetMode="External"/><Relationship Id="rId690" Type="http://schemas.openxmlformats.org/officeDocument/2006/relationships/hyperlink" Target="https://utrucking.com/admin/orders/6448199925948" TargetMode="External"/><Relationship Id="rId213" Type="http://schemas.openxmlformats.org/officeDocument/2006/relationships/hyperlink" Target="https://utrucking.com/admin/orders/6396641935548" TargetMode="External"/><Relationship Id="rId697" Type="http://schemas.openxmlformats.org/officeDocument/2006/relationships/hyperlink" Target="https://utrucking.com/admin/orders/6448566337724" TargetMode="External"/><Relationship Id="rId212" Type="http://schemas.openxmlformats.org/officeDocument/2006/relationships/hyperlink" Target="https://utrucking.com/admin/orders/6396567552188" TargetMode="External"/><Relationship Id="rId696" Type="http://schemas.openxmlformats.org/officeDocument/2006/relationships/hyperlink" Target="https://utrucking.com/admin/orders/6448415801532" TargetMode="External"/><Relationship Id="rId211" Type="http://schemas.openxmlformats.org/officeDocument/2006/relationships/hyperlink" Target="https://utrucking.com/admin/orders/6396555886780" TargetMode="External"/><Relationship Id="rId695" Type="http://schemas.openxmlformats.org/officeDocument/2006/relationships/hyperlink" Target="https://utrucking.com/admin/orders/6448312025276" TargetMode="External"/><Relationship Id="rId210" Type="http://schemas.openxmlformats.org/officeDocument/2006/relationships/hyperlink" Target="https://utrucking.com/admin/orders/6394218152124" TargetMode="External"/><Relationship Id="rId694" Type="http://schemas.openxmlformats.org/officeDocument/2006/relationships/hyperlink" Target="https://utrucking.com/admin/orders/6448289087676" TargetMode="External"/><Relationship Id="rId249" Type="http://schemas.openxmlformats.org/officeDocument/2006/relationships/hyperlink" Target="https://utrucking.com/admin/orders/6403189244092" TargetMode="External"/><Relationship Id="rId248" Type="http://schemas.openxmlformats.org/officeDocument/2006/relationships/hyperlink" Target="https://utrucking.com/admin/orders/6403156050108" TargetMode="External"/><Relationship Id="rId247" Type="http://schemas.openxmlformats.org/officeDocument/2006/relationships/hyperlink" Target="https://utrucking.com/admin/orders/6403150184636" TargetMode="External"/><Relationship Id="rId242" Type="http://schemas.openxmlformats.org/officeDocument/2006/relationships/hyperlink" Target="https://utrucking.com/admin/orders/6402194374844" TargetMode="External"/><Relationship Id="rId241" Type="http://schemas.openxmlformats.org/officeDocument/2006/relationships/hyperlink" Target="https://utrucking.com/admin/orders/6402102755516" TargetMode="External"/><Relationship Id="rId240" Type="http://schemas.openxmlformats.org/officeDocument/2006/relationships/hyperlink" Target="https://utrucking.com/admin/orders/6402100101308" TargetMode="External"/><Relationship Id="rId246" Type="http://schemas.openxmlformats.org/officeDocument/2006/relationships/hyperlink" Target="https://utrucking.com/admin/orders/6403087892668" TargetMode="External"/><Relationship Id="rId245" Type="http://schemas.openxmlformats.org/officeDocument/2006/relationships/hyperlink" Target="https://utrucking.com/admin/orders/6403075211452" TargetMode="External"/><Relationship Id="rId244" Type="http://schemas.openxmlformats.org/officeDocument/2006/relationships/hyperlink" Target="https://utrucking.com/admin/orders/6402558623932" TargetMode="External"/><Relationship Id="rId243" Type="http://schemas.openxmlformats.org/officeDocument/2006/relationships/hyperlink" Target="https://utrucking.com/admin/orders/6402302148796" TargetMode="External"/><Relationship Id="rId239" Type="http://schemas.openxmlformats.org/officeDocument/2006/relationships/hyperlink" Target="https://utrucking.com/admin/orders/6402085191868" TargetMode="External"/><Relationship Id="rId238" Type="http://schemas.openxmlformats.org/officeDocument/2006/relationships/hyperlink" Target="https://utrucking.com/admin/orders/6402083324092" TargetMode="External"/><Relationship Id="rId237" Type="http://schemas.openxmlformats.org/officeDocument/2006/relationships/hyperlink" Target="https://utrucking.com/admin/orders/6402041512124" TargetMode="External"/><Relationship Id="rId236" Type="http://schemas.openxmlformats.org/officeDocument/2006/relationships/hyperlink" Target="https://utrucking.com/admin/orders/6401370194108" TargetMode="External"/><Relationship Id="rId231" Type="http://schemas.openxmlformats.org/officeDocument/2006/relationships/hyperlink" Target="https://utrucking.com/admin/orders/6400250085564" TargetMode="External"/><Relationship Id="rId230" Type="http://schemas.openxmlformats.org/officeDocument/2006/relationships/hyperlink" Target="https://utrucking.com/admin/orders/6399785730236" TargetMode="External"/><Relationship Id="rId235" Type="http://schemas.openxmlformats.org/officeDocument/2006/relationships/hyperlink" Target="https://utrucking.com/admin/orders/6401274740924" TargetMode="External"/><Relationship Id="rId234" Type="http://schemas.openxmlformats.org/officeDocument/2006/relationships/hyperlink" Target="https://utrucking.com/admin/orders/6401215398076" TargetMode="External"/><Relationship Id="rId233" Type="http://schemas.openxmlformats.org/officeDocument/2006/relationships/hyperlink" Target="https://utrucking.com/admin/orders/6401139605692" TargetMode="External"/><Relationship Id="rId232" Type="http://schemas.openxmlformats.org/officeDocument/2006/relationships/hyperlink" Target="https://utrucking.com/admin/orders/6400504266940" TargetMode="External"/><Relationship Id="rId668" Type="http://schemas.openxmlformats.org/officeDocument/2006/relationships/hyperlink" Target="https://utrucking.com/admin/orders/6446502346940" TargetMode="External"/><Relationship Id="rId667" Type="http://schemas.openxmlformats.org/officeDocument/2006/relationships/hyperlink" Target="https://utrucking.com/admin/orders/6446491599036" TargetMode="External"/><Relationship Id="rId666" Type="http://schemas.openxmlformats.org/officeDocument/2006/relationships/hyperlink" Target="https://utrucking.com/admin/orders/6446484095164" TargetMode="External"/><Relationship Id="rId665" Type="http://schemas.openxmlformats.org/officeDocument/2006/relationships/hyperlink" Target="https://utrucking.com/admin/orders/6446450933948" TargetMode="External"/><Relationship Id="rId669" Type="http://schemas.openxmlformats.org/officeDocument/2006/relationships/hyperlink" Target="https://utrucking.com/admin/orders/6446549860540" TargetMode="External"/><Relationship Id="rId660" Type="http://schemas.openxmlformats.org/officeDocument/2006/relationships/hyperlink" Target="https://utrucking.com/admin/orders/6446318977212" TargetMode="External"/><Relationship Id="rId664" Type="http://schemas.openxmlformats.org/officeDocument/2006/relationships/hyperlink" Target="https://utrucking.com/admin/orders/6446362525884" TargetMode="External"/><Relationship Id="rId663" Type="http://schemas.openxmlformats.org/officeDocument/2006/relationships/hyperlink" Target="https://utrucking.com/admin/orders/6446361542844" TargetMode="External"/><Relationship Id="rId662" Type="http://schemas.openxmlformats.org/officeDocument/2006/relationships/hyperlink" Target="https://utrucking.com/admin/orders/6446360821948" TargetMode="External"/><Relationship Id="rId661" Type="http://schemas.openxmlformats.org/officeDocument/2006/relationships/hyperlink" Target="https://utrucking.com/admin/orders/6446354563260" TargetMode="External"/><Relationship Id="rId657" Type="http://schemas.openxmlformats.org/officeDocument/2006/relationships/hyperlink" Target="https://utrucking.com/admin/orders/6446266777788" TargetMode="External"/><Relationship Id="rId656" Type="http://schemas.openxmlformats.org/officeDocument/2006/relationships/hyperlink" Target="https://utrucking.com/admin/orders/6446197276860" TargetMode="External"/><Relationship Id="rId655" Type="http://schemas.openxmlformats.org/officeDocument/2006/relationships/hyperlink" Target="https://utrucking.com/admin/orders/6445987201212" TargetMode="External"/><Relationship Id="rId654" Type="http://schemas.openxmlformats.org/officeDocument/2006/relationships/hyperlink" Target="https://utrucking.com/admin/orders/6445969244348" TargetMode="External"/><Relationship Id="rId659" Type="http://schemas.openxmlformats.org/officeDocument/2006/relationships/hyperlink" Target="https://utrucking.com/admin/orders/6446311538876" TargetMode="External"/><Relationship Id="rId658" Type="http://schemas.openxmlformats.org/officeDocument/2006/relationships/hyperlink" Target="https://utrucking.com/admin/orders/6446289682620" TargetMode="External"/><Relationship Id="rId653" Type="http://schemas.openxmlformats.org/officeDocument/2006/relationships/hyperlink" Target="https://utrucking.com/admin/orders/6445876904124" TargetMode="External"/><Relationship Id="rId652" Type="http://schemas.openxmlformats.org/officeDocument/2006/relationships/hyperlink" Target="https://utrucking.com/admin/orders/6445839417532" TargetMode="External"/><Relationship Id="rId651" Type="http://schemas.openxmlformats.org/officeDocument/2006/relationships/hyperlink" Target="https://utrucking.com/admin/orders/6445473464508" TargetMode="External"/><Relationship Id="rId650" Type="http://schemas.openxmlformats.org/officeDocument/2006/relationships/hyperlink" Target="https://utrucking.com/admin/orders/6445425131708" TargetMode="External"/><Relationship Id="rId206" Type="http://schemas.openxmlformats.org/officeDocument/2006/relationships/hyperlink" Target="https://utrucking.com/admin/orders/6393200017596" TargetMode="External"/><Relationship Id="rId205" Type="http://schemas.openxmlformats.org/officeDocument/2006/relationships/hyperlink" Target="https://utrucking.com/admin/orders/6393163710652" TargetMode="External"/><Relationship Id="rId689" Type="http://schemas.openxmlformats.org/officeDocument/2006/relationships/hyperlink" Target="https://utrucking.com/admin/orders/6448184328380" TargetMode="External"/><Relationship Id="rId204" Type="http://schemas.openxmlformats.org/officeDocument/2006/relationships/hyperlink" Target="https://utrucking.com/admin/orders/6393041289404" TargetMode="External"/><Relationship Id="rId688" Type="http://schemas.openxmlformats.org/officeDocument/2006/relationships/hyperlink" Target="https://utrucking.com/admin/orders/6448063840444" TargetMode="External"/><Relationship Id="rId203" Type="http://schemas.openxmlformats.org/officeDocument/2006/relationships/hyperlink" Target="https://admin.shopify.com/store/utrucking/orders/6392928469180?link_source=search" TargetMode="External"/><Relationship Id="rId687" Type="http://schemas.openxmlformats.org/officeDocument/2006/relationships/hyperlink" Target="https://utrucking.com/admin/orders/6448060367036" TargetMode="External"/><Relationship Id="rId209" Type="http://schemas.openxmlformats.org/officeDocument/2006/relationships/hyperlink" Target="https://utrucking.com/admin/orders/6394111656124" TargetMode="External"/><Relationship Id="rId208" Type="http://schemas.openxmlformats.org/officeDocument/2006/relationships/hyperlink" Target="https://utrucking.com/admin/orders/6393545556156" TargetMode="External"/><Relationship Id="rId207" Type="http://schemas.openxmlformats.org/officeDocument/2006/relationships/hyperlink" Target="https://utrucking.com/admin/orders/6393380602044" TargetMode="External"/><Relationship Id="rId682" Type="http://schemas.openxmlformats.org/officeDocument/2006/relationships/hyperlink" Target="https://utrucking.com/admin/orders/6447904227516" TargetMode="External"/><Relationship Id="rId681" Type="http://schemas.openxmlformats.org/officeDocument/2006/relationships/hyperlink" Target="https://utrucking.com/admin/orders/6447872245948" TargetMode="External"/><Relationship Id="rId680" Type="http://schemas.openxmlformats.org/officeDocument/2006/relationships/hyperlink" Target="https://utrucking.com/admin/orders/6447859171516" TargetMode="External"/><Relationship Id="rId202" Type="http://schemas.openxmlformats.org/officeDocument/2006/relationships/hyperlink" Target="https://utrucking.com/admin/orders/6392770199740" TargetMode="External"/><Relationship Id="rId686" Type="http://schemas.openxmlformats.org/officeDocument/2006/relationships/hyperlink" Target="https://utrucking.com/admin/orders/6448054993084" TargetMode="External"/><Relationship Id="rId201" Type="http://schemas.openxmlformats.org/officeDocument/2006/relationships/hyperlink" Target="https://utrucking.com/admin/orders/6392737267900" TargetMode="External"/><Relationship Id="rId685" Type="http://schemas.openxmlformats.org/officeDocument/2006/relationships/hyperlink" Target="https://utrucking.com/admin/orders/6448048439484" TargetMode="External"/><Relationship Id="rId200" Type="http://schemas.openxmlformats.org/officeDocument/2006/relationships/hyperlink" Target="https://utrucking.com/admin/orders/6391810097340" TargetMode="External"/><Relationship Id="rId684" Type="http://schemas.openxmlformats.org/officeDocument/2006/relationships/hyperlink" Target="https://utrucking.com/admin/orders/6447998927036" TargetMode="External"/><Relationship Id="rId683" Type="http://schemas.openxmlformats.org/officeDocument/2006/relationships/hyperlink" Target="https://utrucking.com/admin/orders/6447942795452" TargetMode="External"/><Relationship Id="rId679" Type="http://schemas.openxmlformats.org/officeDocument/2006/relationships/hyperlink" Target="https://utrucking.com/admin/orders/6447825420476" TargetMode="External"/><Relationship Id="rId678" Type="http://schemas.openxmlformats.org/officeDocument/2006/relationships/hyperlink" Target="https://utrucking.com/admin/orders/6447823225020" TargetMode="External"/><Relationship Id="rId677" Type="http://schemas.openxmlformats.org/officeDocument/2006/relationships/hyperlink" Target="https://utrucking.com/admin/orders/6447750447292" TargetMode="External"/><Relationship Id="rId676" Type="http://schemas.openxmlformats.org/officeDocument/2006/relationships/hyperlink" Target="https://utrucking.com/admin/orders/6446867120316" TargetMode="External"/><Relationship Id="rId671" Type="http://schemas.openxmlformats.org/officeDocument/2006/relationships/hyperlink" Target="https://utrucking.com/admin/orders/6446617133244" TargetMode="External"/><Relationship Id="rId670" Type="http://schemas.openxmlformats.org/officeDocument/2006/relationships/hyperlink" Target="https://utrucking.com/admin/orders/6446603894972" TargetMode="External"/><Relationship Id="rId675" Type="http://schemas.openxmlformats.org/officeDocument/2006/relationships/hyperlink" Target="https://utrucking.com/admin/orders/6446857126076" TargetMode="External"/><Relationship Id="rId674" Type="http://schemas.openxmlformats.org/officeDocument/2006/relationships/hyperlink" Target="https://utrucking.com/admin/orders/6446828224700" TargetMode="External"/><Relationship Id="rId673" Type="http://schemas.openxmlformats.org/officeDocument/2006/relationships/hyperlink" Target="https://utrucking.com/admin/orders/6446827831484" TargetMode="External"/><Relationship Id="rId672" Type="http://schemas.openxmlformats.org/officeDocument/2006/relationships/hyperlink" Target="https://utrucking.com/admin/orders/6446692335804" TargetMode="External"/><Relationship Id="rId190" Type="http://schemas.openxmlformats.org/officeDocument/2006/relationships/hyperlink" Target="https://utrucking.com/admin/orders/6389835268284" TargetMode="External"/><Relationship Id="rId194" Type="http://schemas.openxmlformats.org/officeDocument/2006/relationships/hyperlink" Target="https://utrucking.com/admin/orders/6390151676092" TargetMode="External"/><Relationship Id="rId193" Type="http://schemas.openxmlformats.org/officeDocument/2006/relationships/hyperlink" Target="https://utrucking.com/admin/orders/6390094561468" TargetMode="External"/><Relationship Id="rId192" Type="http://schemas.openxmlformats.org/officeDocument/2006/relationships/hyperlink" Target="https://utrucking.com/admin/orders/6390009954492" TargetMode="External"/><Relationship Id="rId191" Type="http://schemas.openxmlformats.org/officeDocument/2006/relationships/hyperlink" Target="https://utrucking.com/admin/orders/6389954052284" TargetMode="External"/><Relationship Id="rId187" Type="http://schemas.openxmlformats.org/officeDocument/2006/relationships/hyperlink" Target="https://utrucking.com/admin/orders/6389046935740" TargetMode="External"/><Relationship Id="rId186" Type="http://schemas.openxmlformats.org/officeDocument/2006/relationships/hyperlink" Target="https://utrucking.com/admin/orders/6388844331196" TargetMode="External"/><Relationship Id="rId185" Type="http://schemas.openxmlformats.org/officeDocument/2006/relationships/hyperlink" Target="https://utrucking.com/admin/orders/6388831387836" TargetMode="External"/><Relationship Id="rId184" Type="http://schemas.openxmlformats.org/officeDocument/2006/relationships/hyperlink" Target="https://utrucking.com/admin/orders/6388814348476" TargetMode="External"/><Relationship Id="rId189" Type="http://schemas.openxmlformats.org/officeDocument/2006/relationships/hyperlink" Target="https://utrucking.com/admin/orders/6389318975676" TargetMode="External"/><Relationship Id="rId188" Type="http://schemas.openxmlformats.org/officeDocument/2006/relationships/hyperlink" Target="https://utrucking.com/admin/orders/6389117878460" TargetMode="External"/><Relationship Id="rId183" Type="http://schemas.openxmlformats.org/officeDocument/2006/relationships/hyperlink" Target="https://utrucking.com/admin/orders/6388800225468" TargetMode="External"/><Relationship Id="rId182" Type="http://schemas.openxmlformats.org/officeDocument/2006/relationships/hyperlink" Target="https://utrucking.com/admin/orders/6388761755836" TargetMode="External"/><Relationship Id="rId181" Type="http://schemas.openxmlformats.org/officeDocument/2006/relationships/hyperlink" Target="https://utrucking.com/admin/orders/6388235141308" TargetMode="External"/><Relationship Id="rId180" Type="http://schemas.openxmlformats.org/officeDocument/2006/relationships/hyperlink" Target="https://utrucking.com/admin/orders/6388005765308" TargetMode="External"/><Relationship Id="rId176" Type="http://schemas.openxmlformats.org/officeDocument/2006/relationships/hyperlink" Target="https://utrucking.com/admin/orders/6386495291580" TargetMode="External"/><Relationship Id="rId175" Type="http://schemas.openxmlformats.org/officeDocument/2006/relationships/hyperlink" Target="https://utrucking.com/admin/orders/6386471141564" TargetMode="External"/><Relationship Id="rId174" Type="http://schemas.openxmlformats.org/officeDocument/2006/relationships/hyperlink" Target="https://utrucking.com/admin/orders/6386438799548" TargetMode="External"/><Relationship Id="rId173" Type="http://schemas.openxmlformats.org/officeDocument/2006/relationships/hyperlink" Target="https://utrucking.com/admin/orders/6386396102844" TargetMode="External"/><Relationship Id="rId179" Type="http://schemas.openxmlformats.org/officeDocument/2006/relationships/hyperlink" Target="https://utrucking.com/admin/orders/6387818004668" TargetMode="External"/><Relationship Id="rId178" Type="http://schemas.openxmlformats.org/officeDocument/2006/relationships/hyperlink" Target="https://utrucking.com/admin/orders/6387464175804" TargetMode="External"/><Relationship Id="rId177" Type="http://schemas.openxmlformats.org/officeDocument/2006/relationships/hyperlink" Target="https://utrucking.com/admin/orders/6386879955132" TargetMode="External"/><Relationship Id="rId198" Type="http://schemas.openxmlformats.org/officeDocument/2006/relationships/hyperlink" Target="https://utrucking.com/admin/orders/6390865068220" TargetMode="External"/><Relationship Id="rId197" Type="http://schemas.openxmlformats.org/officeDocument/2006/relationships/hyperlink" Target="https://utrucking.com/admin/orders/6390835183804" TargetMode="External"/><Relationship Id="rId196" Type="http://schemas.openxmlformats.org/officeDocument/2006/relationships/hyperlink" Target="https://utrucking.com/admin/orders/6390772400316" TargetMode="External"/><Relationship Id="rId195" Type="http://schemas.openxmlformats.org/officeDocument/2006/relationships/hyperlink" Target="https://utrucking.com/admin/orders/6390290874556" TargetMode="External"/><Relationship Id="rId199" Type="http://schemas.openxmlformats.org/officeDocument/2006/relationships/hyperlink" Target="https://utrucking.com/admin/orders/6391600644284" TargetMode="External"/><Relationship Id="rId150" Type="http://schemas.openxmlformats.org/officeDocument/2006/relationships/hyperlink" Target="https://utrucking.com/admin/orders/6376915534012" TargetMode="External"/><Relationship Id="rId149" Type="http://schemas.openxmlformats.org/officeDocument/2006/relationships/hyperlink" Target="https://utrucking.com/admin/orders/6376849309884" TargetMode="External"/><Relationship Id="rId148" Type="http://schemas.openxmlformats.org/officeDocument/2006/relationships/hyperlink" Target="https://utrucking.com/admin/orders/6376742715580" TargetMode="External"/><Relationship Id="rId143" Type="http://schemas.openxmlformats.org/officeDocument/2006/relationships/hyperlink" Target="https://utrucking.com/admin/orders/6375066763452" TargetMode="External"/><Relationship Id="rId142" Type="http://schemas.openxmlformats.org/officeDocument/2006/relationships/hyperlink" Target="https://utrucking.com/admin/orders/6374971965628" TargetMode="External"/><Relationship Id="rId141" Type="http://schemas.openxmlformats.org/officeDocument/2006/relationships/hyperlink" Target="https://utrucking.com/admin/orders/6374962593980" TargetMode="External"/><Relationship Id="rId140" Type="http://schemas.openxmlformats.org/officeDocument/2006/relationships/hyperlink" Target="https://utrucking.com/admin/orders/6374889095356" TargetMode="External"/><Relationship Id="rId147" Type="http://schemas.openxmlformats.org/officeDocument/2006/relationships/hyperlink" Target="https://utrucking.com/admin/orders/6376629731516" TargetMode="External"/><Relationship Id="rId146" Type="http://schemas.openxmlformats.org/officeDocument/2006/relationships/hyperlink" Target="https://utrucking.com/admin/orders/6376608891068" TargetMode="External"/><Relationship Id="rId145" Type="http://schemas.openxmlformats.org/officeDocument/2006/relationships/hyperlink" Target="https://utrucking.com/admin/orders/6376567898300" TargetMode="External"/><Relationship Id="rId144" Type="http://schemas.openxmlformats.org/officeDocument/2006/relationships/hyperlink" Target="https://utrucking.com/admin/orders/6375079116988" TargetMode="External"/><Relationship Id="rId139" Type="http://schemas.openxmlformats.org/officeDocument/2006/relationships/hyperlink" Target="https://utrucking.com/admin/orders/6374760317116" TargetMode="External"/><Relationship Id="rId138" Type="http://schemas.openxmlformats.org/officeDocument/2006/relationships/hyperlink" Target="https://utrucking.com/admin/orders/6374652641468" TargetMode="External"/><Relationship Id="rId137" Type="http://schemas.openxmlformats.org/officeDocument/2006/relationships/hyperlink" Target="https://utrucking.com/admin/orders/6374331318460" TargetMode="External"/><Relationship Id="rId132" Type="http://schemas.openxmlformats.org/officeDocument/2006/relationships/hyperlink" Target="https://utrucking.com/admin/orders/6373588861116" TargetMode="External"/><Relationship Id="rId131" Type="http://schemas.openxmlformats.org/officeDocument/2006/relationships/hyperlink" Target="https://utrucking.com/admin/orders/6373458542780" TargetMode="External"/><Relationship Id="rId130" Type="http://schemas.openxmlformats.org/officeDocument/2006/relationships/hyperlink" Target="https://utrucking.com/admin/orders/6373204328636" TargetMode="External"/><Relationship Id="rId136" Type="http://schemas.openxmlformats.org/officeDocument/2006/relationships/hyperlink" Target="https://utrucking.com/admin/orders/6374307365052" TargetMode="External"/><Relationship Id="rId135" Type="http://schemas.openxmlformats.org/officeDocument/2006/relationships/hyperlink" Target="https://utrucking.com/admin/orders/6374028935356" TargetMode="External"/><Relationship Id="rId134" Type="http://schemas.openxmlformats.org/officeDocument/2006/relationships/hyperlink" Target="https://utrucking.com/admin/orders/6374028935356" TargetMode="External"/><Relationship Id="rId133" Type="http://schemas.openxmlformats.org/officeDocument/2006/relationships/hyperlink" Target="https://utrucking.com/admin/orders/6373637095612" TargetMode="External"/><Relationship Id="rId172" Type="http://schemas.openxmlformats.org/officeDocument/2006/relationships/hyperlink" Target="https://utrucking.com/admin/orders/6385928339644" TargetMode="External"/><Relationship Id="rId171" Type="http://schemas.openxmlformats.org/officeDocument/2006/relationships/hyperlink" Target="https://utrucking.com/admin/orders/6385891737788" TargetMode="External"/><Relationship Id="rId170" Type="http://schemas.openxmlformats.org/officeDocument/2006/relationships/hyperlink" Target="https://utrucking.com/admin/orders/6385663082684" TargetMode="External"/><Relationship Id="rId165" Type="http://schemas.openxmlformats.org/officeDocument/2006/relationships/hyperlink" Target="https://utrucking.com/admin/orders/6383732719804" TargetMode="External"/><Relationship Id="rId164" Type="http://schemas.openxmlformats.org/officeDocument/2006/relationships/hyperlink" Target="https://utrucking.com/admin/orders/6383567798460" TargetMode="External"/><Relationship Id="rId163" Type="http://schemas.openxmlformats.org/officeDocument/2006/relationships/hyperlink" Target="https://utrucking.com/admin/orders/6382872494268" TargetMode="External"/><Relationship Id="rId162" Type="http://schemas.openxmlformats.org/officeDocument/2006/relationships/hyperlink" Target="https://utrucking.com/admin/orders/6382862762172" TargetMode="External"/><Relationship Id="rId169" Type="http://schemas.openxmlformats.org/officeDocument/2006/relationships/hyperlink" Target="https://utrucking.com/admin/orders/6385392746684" TargetMode="External"/><Relationship Id="rId168" Type="http://schemas.openxmlformats.org/officeDocument/2006/relationships/hyperlink" Target="https://utrucking.com/admin/orders/6385287037116" TargetMode="External"/><Relationship Id="rId167" Type="http://schemas.openxmlformats.org/officeDocument/2006/relationships/hyperlink" Target="https://utrucking.com/admin/orders/6384968401084" TargetMode="External"/><Relationship Id="rId166" Type="http://schemas.openxmlformats.org/officeDocument/2006/relationships/hyperlink" Target="https://utrucking.com/admin/orders/6384040542396" TargetMode="External"/><Relationship Id="rId161" Type="http://schemas.openxmlformats.org/officeDocument/2006/relationships/hyperlink" Target="https://utrucking.com/admin/orders/6382215594172" TargetMode="External"/><Relationship Id="rId160" Type="http://schemas.openxmlformats.org/officeDocument/2006/relationships/hyperlink" Target="https://utrucking.com/admin/orders/6380567134396" TargetMode="External"/><Relationship Id="rId159" Type="http://schemas.openxmlformats.org/officeDocument/2006/relationships/hyperlink" Target="https://utrucking.com/admin/orders/6380400869564" TargetMode="External"/><Relationship Id="rId154" Type="http://schemas.openxmlformats.org/officeDocument/2006/relationships/hyperlink" Target="https://utrucking.com/admin/orders/6378451894460" TargetMode="External"/><Relationship Id="rId153" Type="http://schemas.openxmlformats.org/officeDocument/2006/relationships/hyperlink" Target="https://utrucking.com/admin/orders/6377480782012" TargetMode="External"/><Relationship Id="rId152" Type="http://schemas.openxmlformats.org/officeDocument/2006/relationships/hyperlink" Target="https://utrucking.com/admin/orders/6377421897916" TargetMode="External"/><Relationship Id="rId151" Type="http://schemas.openxmlformats.org/officeDocument/2006/relationships/hyperlink" Target="https://utrucking.com/admin/orders/6377173909692" TargetMode="External"/><Relationship Id="rId158" Type="http://schemas.openxmlformats.org/officeDocument/2006/relationships/hyperlink" Target="https://utrucking.com/admin/orders/6380153635004" TargetMode="External"/><Relationship Id="rId157" Type="http://schemas.openxmlformats.org/officeDocument/2006/relationships/hyperlink" Target="https://utrucking.com/admin/orders/6380153635004" TargetMode="External"/><Relationship Id="rId156" Type="http://schemas.openxmlformats.org/officeDocument/2006/relationships/hyperlink" Target="https://utrucking.com/admin/orders/6378758013116" TargetMode="External"/><Relationship Id="rId155" Type="http://schemas.openxmlformats.org/officeDocument/2006/relationships/hyperlink" Target="https://utrucking.com/admin/orders/6378654499004" TargetMode="External"/><Relationship Id="rId509" Type="http://schemas.openxmlformats.org/officeDocument/2006/relationships/hyperlink" Target="https://utrucking.com/admin/orders/6428508946620" TargetMode="External"/><Relationship Id="rId508" Type="http://schemas.openxmlformats.org/officeDocument/2006/relationships/hyperlink" Target="https://utrucking.com/admin/orders/6428449603772" TargetMode="External"/><Relationship Id="rId503" Type="http://schemas.openxmlformats.org/officeDocument/2006/relationships/hyperlink" Target="https://utrucking.com/admin/orders/6428176187580" TargetMode="External"/><Relationship Id="rId502" Type="http://schemas.openxmlformats.org/officeDocument/2006/relationships/hyperlink" Target="https://utrucking.com/admin/orders/6428163866812" TargetMode="External"/><Relationship Id="rId501" Type="http://schemas.openxmlformats.org/officeDocument/2006/relationships/hyperlink" Target="https://utrucking.com/admin/orders/6428158066876" TargetMode="External"/><Relationship Id="rId500" Type="http://schemas.openxmlformats.org/officeDocument/2006/relationships/hyperlink" Target="https://utrucking.com/admin/orders/6428130148540" TargetMode="External"/><Relationship Id="rId507" Type="http://schemas.openxmlformats.org/officeDocument/2006/relationships/hyperlink" Target="https://utrucking.com/admin/orders/6428438921404" TargetMode="External"/><Relationship Id="rId506" Type="http://schemas.openxmlformats.org/officeDocument/2006/relationships/hyperlink" Target="https://utrucking.com/admin/orders/6428326297788" TargetMode="External"/><Relationship Id="rId505" Type="http://schemas.openxmlformats.org/officeDocument/2006/relationships/hyperlink" Target="https://utrucking.com/admin/orders/6428242706620" TargetMode="External"/><Relationship Id="rId504" Type="http://schemas.openxmlformats.org/officeDocument/2006/relationships/hyperlink" Target="https://utrucking.com/admin/orders/6428188672188" TargetMode="External"/><Relationship Id="rId525" Type="http://schemas.openxmlformats.org/officeDocument/2006/relationships/hyperlink" Target="https://utrucking.com/admin/orders/6429493657788" TargetMode="External"/><Relationship Id="rId524" Type="http://schemas.openxmlformats.org/officeDocument/2006/relationships/hyperlink" Target="https://utrucking.com/admin/orders/6429397975228" TargetMode="External"/><Relationship Id="rId523" Type="http://schemas.openxmlformats.org/officeDocument/2006/relationships/hyperlink" Target="https://utrucking.com/admin/orders/6429392208060" TargetMode="External"/><Relationship Id="rId522" Type="http://schemas.openxmlformats.org/officeDocument/2006/relationships/hyperlink" Target="https://utrucking.com/admin/orders/6429360685244" TargetMode="External"/><Relationship Id="rId529" Type="http://schemas.openxmlformats.org/officeDocument/2006/relationships/hyperlink" Target="https://utrucking.com/admin/orders/6429569220796" TargetMode="External"/><Relationship Id="rId528" Type="http://schemas.openxmlformats.org/officeDocument/2006/relationships/hyperlink" Target="https://utrucking.com/admin/orders/6429561847996" TargetMode="External"/><Relationship Id="rId527" Type="http://schemas.openxmlformats.org/officeDocument/2006/relationships/hyperlink" Target="https://utrucking.com/admin/orders/6429543366844" TargetMode="External"/><Relationship Id="rId526" Type="http://schemas.openxmlformats.org/officeDocument/2006/relationships/hyperlink" Target="https://utrucking.com/admin/orders/6429517840572" TargetMode="External"/><Relationship Id="rId521" Type="http://schemas.openxmlformats.org/officeDocument/2006/relationships/hyperlink" Target="https://utrucking.com/admin/orders/6429309272252" TargetMode="External"/><Relationship Id="rId520" Type="http://schemas.openxmlformats.org/officeDocument/2006/relationships/hyperlink" Target="https://utrucking.com/admin/orders/6428919365820" TargetMode="External"/><Relationship Id="rId519" Type="http://schemas.openxmlformats.org/officeDocument/2006/relationships/hyperlink" Target="https://utrucking.com/admin/orders/6428894757052" TargetMode="External"/><Relationship Id="rId514" Type="http://schemas.openxmlformats.org/officeDocument/2006/relationships/hyperlink" Target="https://utrucking.com/admin/orders/6428639297724" TargetMode="External"/><Relationship Id="rId513" Type="http://schemas.openxmlformats.org/officeDocument/2006/relationships/hyperlink" Target="https://utrucking.com/admin/orders/6428634939580" TargetMode="External"/><Relationship Id="rId512" Type="http://schemas.openxmlformats.org/officeDocument/2006/relationships/hyperlink" Target="https://utrucking.com/admin/orders/6428618850492" TargetMode="External"/><Relationship Id="rId511" Type="http://schemas.openxmlformats.org/officeDocument/2006/relationships/hyperlink" Target="https://utrucking.com/admin/orders/6428610691260" TargetMode="External"/><Relationship Id="rId518" Type="http://schemas.openxmlformats.org/officeDocument/2006/relationships/hyperlink" Target="https://utrucking.com/admin/orders/6428856811708" TargetMode="External"/><Relationship Id="rId517" Type="http://schemas.openxmlformats.org/officeDocument/2006/relationships/hyperlink" Target="https://utrucking.com/admin/orders/6428793307324" TargetMode="External"/><Relationship Id="rId516" Type="http://schemas.openxmlformats.org/officeDocument/2006/relationships/hyperlink" Target="https://utrucking.com/admin/orders/6428694577340" TargetMode="External"/><Relationship Id="rId515" Type="http://schemas.openxmlformats.org/officeDocument/2006/relationships/hyperlink" Target="https://utrucking.com/admin/orders/6428642738364" TargetMode="External"/><Relationship Id="rId510" Type="http://schemas.openxmlformats.org/officeDocument/2006/relationships/hyperlink" Target="https://utrucking.com/admin/orders/6428540993724" TargetMode="External"/><Relationship Id="rId590" Type="http://schemas.openxmlformats.org/officeDocument/2006/relationships/hyperlink" Target="https://utrucking.com/admin/orders/6435179724988" TargetMode="External"/><Relationship Id="rId107" Type="http://schemas.openxmlformats.org/officeDocument/2006/relationships/hyperlink" Target="https://utrucking.com/admin/orders/6365832904892" TargetMode="External"/><Relationship Id="rId106" Type="http://schemas.openxmlformats.org/officeDocument/2006/relationships/hyperlink" Target="https://utrucking.com/admin/orders/6365794369724" TargetMode="External"/><Relationship Id="rId105" Type="http://schemas.openxmlformats.org/officeDocument/2006/relationships/hyperlink" Target="https://utrucking.com/admin/orders/6365395386556" TargetMode="External"/><Relationship Id="rId589" Type="http://schemas.openxmlformats.org/officeDocument/2006/relationships/hyperlink" Target="https://utrucking.com/admin/orders/6435152462012" TargetMode="External"/><Relationship Id="rId104" Type="http://schemas.openxmlformats.org/officeDocument/2006/relationships/hyperlink" Target="https://utrucking.com/admin/orders/6365316087996" TargetMode="External"/><Relationship Id="rId588" Type="http://schemas.openxmlformats.org/officeDocument/2006/relationships/hyperlink" Target="https://utrucking.com/admin/orders/6434974957756" TargetMode="External"/><Relationship Id="rId109" Type="http://schemas.openxmlformats.org/officeDocument/2006/relationships/hyperlink" Target="https://utrucking.com/admin/orders/6366392516796" TargetMode="External"/><Relationship Id="rId108" Type="http://schemas.openxmlformats.org/officeDocument/2006/relationships/hyperlink" Target="https://utrucking.com/admin/orders/6366108516540" TargetMode="External"/><Relationship Id="rId583" Type="http://schemas.openxmlformats.org/officeDocument/2006/relationships/hyperlink" Target="https://utrucking.com/admin/orders/6434696855740" TargetMode="External"/><Relationship Id="rId582" Type="http://schemas.openxmlformats.org/officeDocument/2006/relationships/hyperlink" Target="https://utrucking.com/admin/orders/6434516369596" TargetMode="External"/><Relationship Id="rId581" Type="http://schemas.openxmlformats.org/officeDocument/2006/relationships/hyperlink" Target="https://utrucking.com/admin/orders/6434316681404" TargetMode="External"/><Relationship Id="rId580" Type="http://schemas.openxmlformats.org/officeDocument/2006/relationships/hyperlink" Target="https://utrucking.com/admin/orders/6434240037052" TargetMode="External"/><Relationship Id="rId103" Type="http://schemas.openxmlformats.org/officeDocument/2006/relationships/hyperlink" Target="https://utrucking.com/admin/orders/6364722299068" TargetMode="External"/><Relationship Id="rId587" Type="http://schemas.openxmlformats.org/officeDocument/2006/relationships/hyperlink" Target="https://utrucking.com/admin/orders/6434943860924" TargetMode="External"/><Relationship Id="rId102" Type="http://schemas.openxmlformats.org/officeDocument/2006/relationships/hyperlink" Target="https://utrucking.com/admin/orders/6363636236476" TargetMode="External"/><Relationship Id="rId586" Type="http://schemas.openxmlformats.org/officeDocument/2006/relationships/hyperlink" Target="https://utrucking.com/admin/orders/6434839691452" TargetMode="External"/><Relationship Id="rId101" Type="http://schemas.openxmlformats.org/officeDocument/2006/relationships/hyperlink" Target="https://utrucking.com/admin/orders/6363069907132" TargetMode="External"/><Relationship Id="rId585" Type="http://schemas.openxmlformats.org/officeDocument/2006/relationships/hyperlink" Target="https://utrucking.com/admin/orders/6434774253756" TargetMode="External"/><Relationship Id="rId100" Type="http://schemas.openxmlformats.org/officeDocument/2006/relationships/hyperlink" Target="https://utrucking.com/admin/orders/6359629955260" TargetMode="External"/><Relationship Id="rId584" Type="http://schemas.openxmlformats.org/officeDocument/2006/relationships/hyperlink" Target="https://utrucking.com/admin/orders/6434697838780" TargetMode="External"/><Relationship Id="rId579" Type="http://schemas.openxmlformats.org/officeDocument/2006/relationships/hyperlink" Target="https://utrucking.com/admin/orders/6434235056316" TargetMode="External"/><Relationship Id="rId578" Type="http://schemas.openxmlformats.org/officeDocument/2006/relationships/hyperlink" Target="https://utrucking.com/admin/orders/6434176237756" TargetMode="External"/><Relationship Id="rId577" Type="http://schemas.openxmlformats.org/officeDocument/2006/relationships/hyperlink" Target="https://utrucking.com/admin/orders/6434124726460" TargetMode="External"/><Relationship Id="rId572" Type="http://schemas.openxmlformats.org/officeDocument/2006/relationships/hyperlink" Target="https://utrucking.com/admin/orders/6433840922812" TargetMode="External"/><Relationship Id="rId571" Type="http://schemas.openxmlformats.org/officeDocument/2006/relationships/hyperlink" Target="https://utrucking.com/admin/orders/6433772568764" TargetMode="External"/><Relationship Id="rId570" Type="http://schemas.openxmlformats.org/officeDocument/2006/relationships/hyperlink" Target="https://utrucking.com/admin/orders/6433735606460" TargetMode="External"/><Relationship Id="rId576" Type="http://schemas.openxmlformats.org/officeDocument/2006/relationships/hyperlink" Target="https://utrucking.com/admin/orders/6434107359420" TargetMode="External"/><Relationship Id="rId575" Type="http://schemas.openxmlformats.org/officeDocument/2006/relationships/hyperlink" Target="https://utrucking.com/admin/orders/6433947222204" TargetMode="External"/><Relationship Id="rId574" Type="http://schemas.openxmlformats.org/officeDocument/2006/relationships/hyperlink" Target="https://utrucking.com/admin/orders/6433941061820" TargetMode="External"/><Relationship Id="rId573" Type="http://schemas.openxmlformats.org/officeDocument/2006/relationships/hyperlink" Target="https://utrucking.com/admin/orders/6433858126012" TargetMode="External"/><Relationship Id="rId129" Type="http://schemas.openxmlformats.org/officeDocument/2006/relationships/hyperlink" Target="https://utrucking.com/admin/orders/6372649599164" TargetMode="External"/><Relationship Id="rId128" Type="http://schemas.openxmlformats.org/officeDocument/2006/relationships/hyperlink" Target="https://utrucking.com/admin/orders/6372051812540" TargetMode="External"/><Relationship Id="rId127" Type="http://schemas.openxmlformats.org/officeDocument/2006/relationships/hyperlink" Target="https://utrucking.com/admin/orders/6372003184828" TargetMode="External"/><Relationship Id="rId126" Type="http://schemas.openxmlformats.org/officeDocument/2006/relationships/hyperlink" Target="https://utrucking.com/admin/orders/6371957342396" TargetMode="External"/><Relationship Id="rId121" Type="http://schemas.openxmlformats.org/officeDocument/2006/relationships/hyperlink" Target="https://utrucking.com/admin/orders/6371260104892" TargetMode="External"/><Relationship Id="rId120" Type="http://schemas.openxmlformats.org/officeDocument/2006/relationships/hyperlink" Target="https://utrucking.com/admin/orders/6368879542460" TargetMode="External"/><Relationship Id="rId125" Type="http://schemas.openxmlformats.org/officeDocument/2006/relationships/hyperlink" Target="https://utrucking.com/admin/orders/6371912712380" TargetMode="External"/><Relationship Id="rId124" Type="http://schemas.openxmlformats.org/officeDocument/2006/relationships/hyperlink" Target="https://utrucking.com/admin/orders/6371826598076" TargetMode="External"/><Relationship Id="rId123" Type="http://schemas.openxmlformats.org/officeDocument/2006/relationships/hyperlink" Target="https://utrucking.com/admin/orders/6371354050748" TargetMode="External"/><Relationship Id="rId122" Type="http://schemas.openxmlformats.org/officeDocument/2006/relationships/hyperlink" Target="https://utrucking.com/admin/orders/6371285532860" TargetMode="External"/><Relationship Id="rId118" Type="http://schemas.openxmlformats.org/officeDocument/2006/relationships/hyperlink" Target="https://utrucking.com/admin/orders/6368566345916" TargetMode="External"/><Relationship Id="rId117" Type="http://schemas.openxmlformats.org/officeDocument/2006/relationships/hyperlink" Target="https://utrucking.com/admin/orders/6368358695100" TargetMode="External"/><Relationship Id="rId116" Type="http://schemas.openxmlformats.org/officeDocument/2006/relationships/hyperlink" Target="https://utrucking.com/admin/orders/6367435980988" TargetMode="External"/><Relationship Id="rId115" Type="http://schemas.openxmlformats.org/officeDocument/2006/relationships/hyperlink" Target="https://utrucking.com/admin/orders/6367347212476" TargetMode="External"/><Relationship Id="rId599" Type="http://schemas.openxmlformats.org/officeDocument/2006/relationships/hyperlink" Target="https://utrucking.com/admin/orders/6435617013948" TargetMode="External"/><Relationship Id="rId119" Type="http://schemas.openxmlformats.org/officeDocument/2006/relationships/hyperlink" Target="https://utrucking.com/admin/orders/6368705642684" TargetMode="External"/><Relationship Id="rId110" Type="http://schemas.openxmlformats.org/officeDocument/2006/relationships/hyperlink" Target="https://utrucking.com/admin/orders/6367030247612" TargetMode="External"/><Relationship Id="rId594" Type="http://schemas.openxmlformats.org/officeDocument/2006/relationships/hyperlink" Target="https://utrucking.com/admin/orders/6435301458108" TargetMode="External"/><Relationship Id="rId593" Type="http://schemas.openxmlformats.org/officeDocument/2006/relationships/hyperlink" Target="https://utrucking.com/admin/orders/6435278454972" TargetMode="External"/><Relationship Id="rId592" Type="http://schemas.openxmlformats.org/officeDocument/2006/relationships/hyperlink" Target="https://utrucking.com/admin/orders/6435216588988" TargetMode="External"/><Relationship Id="rId591" Type="http://schemas.openxmlformats.org/officeDocument/2006/relationships/hyperlink" Target="https://utrucking.com/admin/orders/6435194503356" TargetMode="External"/><Relationship Id="rId114" Type="http://schemas.openxmlformats.org/officeDocument/2006/relationships/hyperlink" Target="https://utrucking.com/admin/orders/6367304646844" TargetMode="External"/><Relationship Id="rId598" Type="http://schemas.openxmlformats.org/officeDocument/2006/relationships/hyperlink" Target="https://utrucking.com/admin/orders/6435467722940" TargetMode="External"/><Relationship Id="rId113" Type="http://schemas.openxmlformats.org/officeDocument/2006/relationships/hyperlink" Target="https://utrucking.com/admin/orders/6367191924924" TargetMode="External"/><Relationship Id="rId597" Type="http://schemas.openxmlformats.org/officeDocument/2006/relationships/hyperlink" Target="https://utrucking.com/admin/orders/6435451044028" TargetMode="External"/><Relationship Id="rId112" Type="http://schemas.openxmlformats.org/officeDocument/2006/relationships/hyperlink" Target="https://utrucking.com/admin/orders/6367086444732" TargetMode="External"/><Relationship Id="rId596" Type="http://schemas.openxmlformats.org/officeDocument/2006/relationships/hyperlink" Target="https://utrucking.com/admin/orders/6435351756988" TargetMode="External"/><Relationship Id="rId111" Type="http://schemas.openxmlformats.org/officeDocument/2006/relationships/hyperlink" Target="https://utrucking.com/admin/orders/6367048630460" TargetMode="External"/><Relationship Id="rId595" Type="http://schemas.openxmlformats.org/officeDocument/2006/relationships/hyperlink" Target="https://utrucking.com/admin/orders/6435331244220" TargetMode="External"/><Relationship Id="rId547" Type="http://schemas.openxmlformats.org/officeDocument/2006/relationships/hyperlink" Target="https://utrucking.com/admin/orders/6430773608636" TargetMode="External"/><Relationship Id="rId546" Type="http://schemas.openxmlformats.org/officeDocument/2006/relationships/hyperlink" Target="https://utrucking.com/admin/orders/6430398251196" TargetMode="External"/><Relationship Id="rId545" Type="http://schemas.openxmlformats.org/officeDocument/2006/relationships/hyperlink" Target="https://utrucking.com/admin/orders/6430292934844" TargetMode="External"/><Relationship Id="rId544" Type="http://schemas.openxmlformats.org/officeDocument/2006/relationships/hyperlink" Target="https://utrucking.com/admin/orders/6430213865660" TargetMode="External"/><Relationship Id="rId549" Type="http://schemas.openxmlformats.org/officeDocument/2006/relationships/hyperlink" Target="https://utrucking.com/admin/orders/6432009486524" TargetMode="External"/><Relationship Id="rId548" Type="http://schemas.openxmlformats.org/officeDocument/2006/relationships/hyperlink" Target="https://utrucking.com/admin/orders/6430805622972" TargetMode="External"/><Relationship Id="rId543" Type="http://schemas.openxmlformats.org/officeDocument/2006/relationships/hyperlink" Target="https://utrucking.com/admin/orders/6430176149692" TargetMode="External"/><Relationship Id="rId542" Type="http://schemas.openxmlformats.org/officeDocument/2006/relationships/hyperlink" Target="https://utrucking.com/admin/orders/6430152196284" TargetMode="External"/><Relationship Id="rId541" Type="http://schemas.openxmlformats.org/officeDocument/2006/relationships/hyperlink" Target="https://utrucking.com/admin/orders/6430137417916" TargetMode="External"/><Relationship Id="rId540" Type="http://schemas.openxmlformats.org/officeDocument/2006/relationships/hyperlink" Target="https://utrucking.com/admin/orders/6429931634876" TargetMode="External"/><Relationship Id="rId536" Type="http://schemas.openxmlformats.org/officeDocument/2006/relationships/hyperlink" Target="https://utrucking.com/admin/orders/6429796270268" TargetMode="External"/><Relationship Id="rId535" Type="http://schemas.openxmlformats.org/officeDocument/2006/relationships/hyperlink" Target="https://utrucking.com/admin/orders/6429738565820" TargetMode="External"/><Relationship Id="rId534" Type="http://schemas.openxmlformats.org/officeDocument/2006/relationships/hyperlink" Target="https://utrucking.com/admin/orders/6429719494844" TargetMode="External"/><Relationship Id="rId533" Type="http://schemas.openxmlformats.org/officeDocument/2006/relationships/hyperlink" Target="https://utrucking.com/admin/orders/6429672898748" TargetMode="External"/><Relationship Id="rId539" Type="http://schemas.openxmlformats.org/officeDocument/2006/relationships/hyperlink" Target="https://utrucking.com/admin/orders/6429925671100" TargetMode="External"/><Relationship Id="rId538" Type="http://schemas.openxmlformats.org/officeDocument/2006/relationships/hyperlink" Target="https://utrucking.com/admin/orders/6429850468540" TargetMode="External"/><Relationship Id="rId537" Type="http://schemas.openxmlformats.org/officeDocument/2006/relationships/hyperlink" Target="https://utrucking.com/admin/orders/6429832151228" TargetMode="External"/><Relationship Id="rId532" Type="http://schemas.openxmlformats.org/officeDocument/2006/relationships/hyperlink" Target="https://utrucking.com/admin/orders/6429669064892" TargetMode="External"/><Relationship Id="rId531" Type="http://schemas.openxmlformats.org/officeDocument/2006/relationships/hyperlink" Target="https://utrucking.com/admin/orders/6429668343996" TargetMode="External"/><Relationship Id="rId530" Type="http://schemas.openxmlformats.org/officeDocument/2006/relationships/hyperlink" Target="https://utrucking.com/admin/orders/6429572759740" TargetMode="External"/><Relationship Id="rId569" Type="http://schemas.openxmlformats.org/officeDocument/2006/relationships/hyperlink" Target="https://utrucking.com/admin/orders/6433680851132" TargetMode="External"/><Relationship Id="rId568" Type="http://schemas.openxmlformats.org/officeDocument/2006/relationships/hyperlink" Target="https://utrucking.com/admin/orders/6433663713468" TargetMode="External"/><Relationship Id="rId567" Type="http://schemas.openxmlformats.org/officeDocument/2006/relationships/hyperlink" Target="https://utrucking.com/admin/orders/6433606992060" TargetMode="External"/><Relationship Id="rId566" Type="http://schemas.openxmlformats.org/officeDocument/2006/relationships/hyperlink" Target="https://utrucking.com/admin/orders/6433413562556" TargetMode="External"/><Relationship Id="rId561" Type="http://schemas.openxmlformats.org/officeDocument/2006/relationships/hyperlink" Target="https://utrucking.com/admin/orders/6432887079100" TargetMode="External"/><Relationship Id="rId560" Type="http://schemas.openxmlformats.org/officeDocument/2006/relationships/hyperlink" Target="https://utrucking.com/admin/orders/6432858964156" TargetMode="External"/><Relationship Id="rId565" Type="http://schemas.openxmlformats.org/officeDocument/2006/relationships/hyperlink" Target="https://utrucking.com/admin/orders/6433411596476" TargetMode="External"/><Relationship Id="rId564" Type="http://schemas.openxmlformats.org/officeDocument/2006/relationships/hyperlink" Target="https://utrucking.com/admin/orders/6433347403964" TargetMode="External"/><Relationship Id="rId563" Type="http://schemas.openxmlformats.org/officeDocument/2006/relationships/hyperlink" Target="https://utrucking.com/admin/orders/6433211941052" TargetMode="External"/><Relationship Id="rId562" Type="http://schemas.openxmlformats.org/officeDocument/2006/relationships/hyperlink" Target="https://utrucking.com/admin/orders/6432947634364" TargetMode="External"/><Relationship Id="rId558" Type="http://schemas.openxmlformats.org/officeDocument/2006/relationships/hyperlink" Target="https://utrucking.com/admin/orders/6432606421180" TargetMode="External"/><Relationship Id="rId557" Type="http://schemas.openxmlformats.org/officeDocument/2006/relationships/hyperlink" Target="https://utrucking.com/admin/orders/6432495993020" TargetMode="External"/><Relationship Id="rId556" Type="http://schemas.openxmlformats.org/officeDocument/2006/relationships/hyperlink" Target="https://utrucking.com/admin/orders/6432456016060" TargetMode="External"/><Relationship Id="rId555" Type="http://schemas.openxmlformats.org/officeDocument/2006/relationships/hyperlink" Target="https://utrucking.com/admin/orders/6432452870332" TargetMode="External"/><Relationship Id="rId559" Type="http://schemas.openxmlformats.org/officeDocument/2006/relationships/hyperlink" Target="https://utrucking.com/admin/orders/6432834355388" TargetMode="External"/><Relationship Id="rId550" Type="http://schemas.openxmlformats.org/officeDocument/2006/relationships/hyperlink" Target="https://utrucking.com/admin/orders/6432065388732" TargetMode="External"/><Relationship Id="rId554" Type="http://schemas.openxmlformats.org/officeDocument/2006/relationships/hyperlink" Target="https://utrucking.com/admin/orders/6432441860284" TargetMode="External"/><Relationship Id="rId553" Type="http://schemas.openxmlformats.org/officeDocument/2006/relationships/hyperlink" Target="https://utrucking.com/admin/orders/6432416858300" TargetMode="External"/><Relationship Id="rId552" Type="http://schemas.openxmlformats.org/officeDocument/2006/relationships/hyperlink" Target="https://utrucking.com/admin/orders/6432402997436" TargetMode="External"/><Relationship Id="rId551" Type="http://schemas.openxmlformats.org/officeDocument/2006/relationships/hyperlink" Target="https://utrucking.com/admin/orders/6432335659196" TargetMode="External"/><Relationship Id="rId495" Type="http://schemas.openxmlformats.org/officeDocument/2006/relationships/hyperlink" Target="https://utrucking.com/admin/orders/6427519975612" TargetMode="External"/><Relationship Id="rId494" Type="http://schemas.openxmlformats.org/officeDocument/2006/relationships/hyperlink" Target="https://utrucking.com/admin/orders/6427375861948" TargetMode="External"/><Relationship Id="rId493" Type="http://schemas.openxmlformats.org/officeDocument/2006/relationships/hyperlink" Target="https://utrucking.com/admin/orders/6427371864252" TargetMode="External"/><Relationship Id="rId492" Type="http://schemas.openxmlformats.org/officeDocument/2006/relationships/hyperlink" Target="https://utrucking.com/admin/orders/6427347419324" TargetMode="External"/><Relationship Id="rId499" Type="http://schemas.openxmlformats.org/officeDocument/2006/relationships/hyperlink" Target="https://utrucking.com/admin/orders/6428070019260" TargetMode="External"/><Relationship Id="rId498" Type="http://schemas.openxmlformats.org/officeDocument/2006/relationships/hyperlink" Target="https://utrucking.com/admin/orders/6427703836860" TargetMode="External"/><Relationship Id="rId497" Type="http://schemas.openxmlformats.org/officeDocument/2006/relationships/hyperlink" Target="https://utrucking.com/admin/orders/6427688173756" TargetMode="External"/><Relationship Id="rId496" Type="http://schemas.openxmlformats.org/officeDocument/2006/relationships/hyperlink" Target="https://utrucking.com/admin/orders/6427541962940" TargetMode="External"/><Relationship Id="rId409" Type="http://schemas.openxmlformats.org/officeDocument/2006/relationships/hyperlink" Target="https://utrucking.com/admin/orders/6420039565500" TargetMode="External"/><Relationship Id="rId404" Type="http://schemas.openxmlformats.org/officeDocument/2006/relationships/hyperlink" Target="https://utrucking.com/admin/orders/6419930972348" TargetMode="External"/><Relationship Id="rId403" Type="http://schemas.openxmlformats.org/officeDocument/2006/relationships/hyperlink" Target="https://utrucking.com/admin/orders/6419879297212" TargetMode="External"/><Relationship Id="rId402" Type="http://schemas.openxmlformats.org/officeDocument/2006/relationships/hyperlink" Target="https://utrucking.com/admin/orders/6419875692732" TargetMode="External"/><Relationship Id="rId401" Type="http://schemas.openxmlformats.org/officeDocument/2006/relationships/hyperlink" Target="https://utrucking.com/admin/orders/6419816710332" TargetMode="External"/><Relationship Id="rId408" Type="http://schemas.openxmlformats.org/officeDocument/2006/relationships/hyperlink" Target="https://utrucking.com/admin/orders/6420013056188" TargetMode="External"/><Relationship Id="rId407" Type="http://schemas.openxmlformats.org/officeDocument/2006/relationships/hyperlink" Target="https://utrucking.com/admin/orders/6419982483644" TargetMode="External"/><Relationship Id="rId406" Type="http://schemas.openxmlformats.org/officeDocument/2006/relationships/hyperlink" Target="https://utrucking.com/admin/orders/6419943522492" TargetMode="External"/><Relationship Id="rId405" Type="http://schemas.openxmlformats.org/officeDocument/2006/relationships/hyperlink" Target="https://utrucking.com/admin/orders/6419934118076" TargetMode="External"/><Relationship Id="rId400" Type="http://schemas.openxmlformats.org/officeDocument/2006/relationships/hyperlink" Target="https://utrucking.com/admin/orders/6419648118972" TargetMode="External"/><Relationship Id="rId469" Type="http://schemas.openxmlformats.org/officeDocument/2006/relationships/hyperlink" Target="https://utrucking.com/admin/orders/6424308383932" TargetMode="External"/><Relationship Id="rId468" Type="http://schemas.openxmlformats.org/officeDocument/2006/relationships/hyperlink" Target="https://utrucking.com/admin/orders/6424281743548" TargetMode="External"/><Relationship Id="rId467" Type="http://schemas.openxmlformats.org/officeDocument/2006/relationships/hyperlink" Target="https://utrucking.com/admin/orders/6424277287100" TargetMode="External"/><Relationship Id="rId462" Type="http://schemas.openxmlformats.org/officeDocument/2006/relationships/hyperlink" Target="https://utrucking.com/admin/orders/6424163352764" TargetMode="External"/><Relationship Id="rId461" Type="http://schemas.openxmlformats.org/officeDocument/2006/relationships/hyperlink" Target="https://utrucking.com/admin/orders/6424073207996" TargetMode="External"/><Relationship Id="rId460" Type="http://schemas.openxmlformats.org/officeDocument/2006/relationships/hyperlink" Target="https://utrucking.com/admin/orders/6424063639740" TargetMode="External"/><Relationship Id="rId466" Type="http://schemas.openxmlformats.org/officeDocument/2006/relationships/hyperlink" Target="https://utrucking.com/admin/orders/6424275779772" TargetMode="External"/><Relationship Id="rId465" Type="http://schemas.openxmlformats.org/officeDocument/2006/relationships/hyperlink" Target="https://utrucking.com/admin/orders/6424241373372" TargetMode="External"/><Relationship Id="rId464" Type="http://schemas.openxmlformats.org/officeDocument/2006/relationships/hyperlink" Target="https://utrucking.com/admin/orders/6424217419964" TargetMode="External"/><Relationship Id="rId463" Type="http://schemas.openxmlformats.org/officeDocument/2006/relationships/hyperlink" Target="https://utrucking.com/admin/orders/6424205918396" TargetMode="External"/><Relationship Id="rId459" Type="http://schemas.openxmlformats.org/officeDocument/2006/relationships/hyperlink" Target="https://utrucking.com/admin/orders/6423999873212" TargetMode="External"/><Relationship Id="rId458" Type="http://schemas.openxmlformats.org/officeDocument/2006/relationships/hyperlink" Target="https://utrucking.com/admin/orders/6423882399932" TargetMode="External"/><Relationship Id="rId457" Type="http://schemas.openxmlformats.org/officeDocument/2006/relationships/hyperlink" Target="https://utrucking.com/admin/orders/6423688970428" TargetMode="External"/><Relationship Id="rId456" Type="http://schemas.openxmlformats.org/officeDocument/2006/relationships/hyperlink" Target="https://utrucking.com/admin/orders/6423660331196" TargetMode="External"/><Relationship Id="rId451" Type="http://schemas.openxmlformats.org/officeDocument/2006/relationships/hyperlink" Target="https://utrucking.com/admin/orders/6423156064444" TargetMode="External"/><Relationship Id="rId450" Type="http://schemas.openxmlformats.org/officeDocument/2006/relationships/hyperlink" Target="https://utrucking.com/admin/orders/6423134863548" TargetMode="External"/><Relationship Id="rId455" Type="http://schemas.openxmlformats.org/officeDocument/2006/relationships/hyperlink" Target="https://utrucking.com/admin/orders/6423443439804" TargetMode="External"/><Relationship Id="rId454" Type="http://schemas.openxmlformats.org/officeDocument/2006/relationships/hyperlink" Target="https://utrucking.com/admin/orders/6423412146364" TargetMode="External"/><Relationship Id="rId453" Type="http://schemas.openxmlformats.org/officeDocument/2006/relationships/hyperlink" Target="https://utrucking.com/admin/orders/6423244079292" TargetMode="External"/><Relationship Id="rId452" Type="http://schemas.openxmlformats.org/officeDocument/2006/relationships/hyperlink" Target="https://utrucking.com/admin/orders/6423176609980" TargetMode="External"/><Relationship Id="rId491" Type="http://schemas.openxmlformats.org/officeDocument/2006/relationships/hyperlink" Target="https://utrucking.com/admin/orders/6427309867196" TargetMode="External"/><Relationship Id="rId490" Type="http://schemas.openxmlformats.org/officeDocument/2006/relationships/hyperlink" Target="https://utrucking.com/admin/orders/6426992345276" TargetMode="External"/><Relationship Id="rId489" Type="http://schemas.openxmlformats.org/officeDocument/2006/relationships/hyperlink" Target="https://utrucking.com/admin/orders/6426945749180" TargetMode="External"/><Relationship Id="rId484" Type="http://schemas.openxmlformats.org/officeDocument/2006/relationships/hyperlink" Target="https://utrucking.com/admin/orders/6425891930300" TargetMode="External"/><Relationship Id="rId483" Type="http://schemas.openxmlformats.org/officeDocument/2006/relationships/hyperlink" Target="https://utrucking.com/admin/orders/6425673597116" TargetMode="External"/><Relationship Id="rId482" Type="http://schemas.openxmlformats.org/officeDocument/2006/relationships/hyperlink" Target="https://utrucking.com/admin/orders/6425629786300" TargetMode="External"/><Relationship Id="rId481" Type="http://schemas.openxmlformats.org/officeDocument/2006/relationships/hyperlink" Target="https://utrucking.com/admin/orders/6425289228476" TargetMode="External"/><Relationship Id="rId488" Type="http://schemas.openxmlformats.org/officeDocument/2006/relationships/hyperlink" Target="https://utrucking.com/admin/orders/6426907508924" TargetMode="External"/><Relationship Id="rId487" Type="http://schemas.openxmlformats.org/officeDocument/2006/relationships/hyperlink" Target="https://utrucking.com/admin/orders/6426729873596" TargetMode="External"/><Relationship Id="rId486" Type="http://schemas.openxmlformats.org/officeDocument/2006/relationships/hyperlink" Target="https://utrucking.com/admin/orders/6426224361660" TargetMode="External"/><Relationship Id="rId485" Type="http://schemas.openxmlformats.org/officeDocument/2006/relationships/hyperlink" Target="https://utrucking.com/admin/orders/6426169606332" TargetMode="External"/><Relationship Id="rId480" Type="http://schemas.openxmlformats.org/officeDocument/2006/relationships/hyperlink" Target="https://utrucking.com/admin/orders/6424994152636" TargetMode="External"/><Relationship Id="rId479" Type="http://schemas.openxmlformats.org/officeDocument/2006/relationships/hyperlink" Target="https://utrucking.com/admin/orders/6424931303612" TargetMode="External"/><Relationship Id="rId478" Type="http://schemas.openxmlformats.org/officeDocument/2006/relationships/hyperlink" Target="https://utrucking.com/admin/orders/6424785682620" TargetMode="External"/><Relationship Id="rId473" Type="http://schemas.openxmlformats.org/officeDocument/2006/relationships/hyperlink" Target="https://utrucking.com/admin/orders/6424538644668" TargetMode="External"/><Relationship Id="rId472" Type="http://schemas.openxmlformats.org/officeDocument/2006/relationships/hyperlink" Target="https://utrucking.com/admin/orders/6424388042940" TargetMode="External"/><Relationship Id="rId471" Type="http://schemas.openxmlformats.org/officeDocument/2006/relationships/hyperlink" Target="https://utrucking.com/admin/orders/6424387715260" TargetMode="External"/><Relationship Id="rId470" Type="http://schemas.openxmlformats.org/officeDocument/2006/relationships/hyperlink" Target="https://utrucking.com/admin/orders/6424314773692" TargetMode="External"/><Relationship Id="rId477" Type="http://schemas.openxmlformats.org/officeDocument/2006/relationships/hyperlink" Target="https://utrucking.com/admin/orders/6424716673212" TargetMode="External"/><Relationship Id="rId476" Type="http://schemas.openxmlformats.org/officeDocument/2006/relationships/hyperlink" Target="https://utrucking.com/admin/orders/6424629084348" TargetMode="External"/><Relationship Id="rId475" Type="http://schemas.openxmlformats.org/officeDocument/2006/relationships/hyperlink" Target="https://utrucking.com/admin/orders/6424602116284" TargetMode="External"/><Relationship Id="rId474" Type="http://schemas.openxmlformats.org/officeDocument/2006/relationships/hyperlink" Target="https://utrucking.com/admin/orders/6424563056828" TargetMode="External"/><Relationship Id="rId426" Type="http://schemas.openxmlformats.org/officeDocument/2006/relationships/hyperlink" Target="https://utrucking.com/admin/orders/6421504983228" TargetMode="External"/><Relationship Id="rId425" Type="http://schemas.openxmlformats.org/officeDocument/2006/relationships/hyperlink" Target="https://utrucking.com/admin/orders/6421458976956" TargetMode="External"/><Relationship Id="rId424" Type="http://schemas.openxmlformats.org/officeDocument/2006/relationships/hyperlink" Target="https://utrucking.com/admin/orders/6421292286140" TargetMode="External"/><Relationship Id="rId423" Type="http://schemas.openxmlformats.org/officeDocument/2006/relationships/hyperlink" Target="https://utrucking.com/admin/orders/6421280850108" TargetMode="External"/><Relationship Id="rId429" Type="http://schemas.openxmlformats.org/officeDocument/2006/relationships/hyperlink" Target="https://utrucking.com/admin/orders/6421730033852" TargetMode="External"/><Relationship Id="rId428" Type="http://schemas.openxmlformats.org/officeDocument/2006/relationships/hyperlink" Target="https://utrucking.com/admin/orders/6421666889916" TargetMode="External"/><Relationship Id="rId427" Type="http://schemas.openxmlformats.org/officeDocument/2006/relationships/hyperlink" Target="https://utrucking.com/admin/orders/6421556592828" TargetMode="External"/><Relationship Id="rId422" Type="http://schemas.openxmlformats.org/officeDocument/2006/relationships/hyperlink" Target="https://utrucking.com/admin/orders/6421201420476" TargetMode="External"/><Relationship Id="rId421" Type="http://schemas.openxmlformats.org/officeDocument/2006/relationships/hyperlink" Target="https://utrucking.com/admin/orders/6420689420476" TargetMode="External"/><Relationship Id="rId420" Type="http://schemas.openxmlformats.org/officeDocument/2006/relationships/hyperlink" Target="https://utrucking.com/admin/orders/6420619264188" TargetMode="External"/><Relationship Id="rId415" Type="http://schemas.openxmlformats.org/officeDocument/2006/relationships/hyperlink" Target="https://utrucking.com/admin/orders/6420225392828" TargetMode="External"/><Relationship Id="rId414" Type="http://schemas.openxmlformats.org/officeDocument/2006/relationships/hyperlink" Target="https://utrucking.com/admin/orders/6420215562428" TargetMode="External"/><Relationship Id="rId413" Type="http://schemas.openxmlformats.org/officeDocument/2006/relationships/hyperlink" Target="https://utrucking.com/admin/orders/6420205437116" TargetMode="External"/><Relationship Id="rId412" Type="http://schemas.openxmlformats.org/officeDocument/2006/relationships/hyperlink" Target="https://utrucking.com/admin/orders/6420108509372" TargetMode="External"/><Relationship Id="rId419" Type="http://schemas.openxmlformats.org/officeDocument/2006/relationships/hyperlink" Target="https://utrucking.com/admin/orders/6420605632700" TargetMode="External"/><Relationship Id="rId418" Type="http://schemas.openxmlformats.org/officeDocument/2006/relationships/hyperlink" Target="https://utrucking.com/admin/orders/6416182804668" TargetMode="External"/><Relationship Id="rId417" Type="http://schemas.openxmlformats.org/officeDocument/2006/relationships/hyperlink" Target="https://utrucking.com/admin/orders/6420369211580" TargetMode="External"/><Relationship Id="rId416" Type="http://schemas.openxmlformats.org/officeDocument/2006/relationships/hyperlink" Target="https://utrucking.com/admin/orders/6420263436476" TargetMode="External"/><Relationship Id="rId411" Type="http://schemas.openxmlformats.org/officeDocument/2006/relationships/hyperlink" Target="https://utrucking.com/admin/orders/6420079313084" TargetMode="External"/><Relationship Id="rId410" Type="http://schemas.openxmlformats.org/officeDocument/2006/relationships/hyperlink" Target="https://utrucking.com/admin/orders/6420065222844" TargetMode="External"/><Relationship Id="rId448" Type="http://schemas.openxmlformats.org/officeDocument/2006/relationships/hyperlink" Target="https://utrucking.com/admin/orders/6423131488444" TargetMode="External"/><Relationship Id="rId447" Type="http://schemas.openxmlformats.org/officeDocument/2006/relationships/hyperlink" Target="https://utrucking.com/admin/orders/6423108288700" TargetMode="External"/><Relationship Id="rId446" Type="http://schemas.openxmlformats.org/officeDocument/2006/relationships/hyperlink" Target="https://utrucking.com/admin/orders/6423088595132" TargetMode="External"/><Relationship Id="rId445" Type="http://schemas.openxmlformats.org/officeDocument/2006/relationships/hyperlink" Target="https://utrucking.com/admin/orders/6423021682876" TargetMode="External"/><Relationship Id="rId449" Type="http://schemas.openxmlformats.org/officeDocument/2006/relationships/hyperlink" Target="https://utrucking.com/admin/orders/6423134765244" TargetMode="External"/><Relationship Id="rId440" Type="http://schemas.openxmlformats.org/officeDocument/2006/relationships/hyperlink" Target="https://utrucking.com/admin/orders/6422688792764" TargetMode="External"/><Relationship Id="rId444" Type="http://schemas.openxmlformats.org/officeDocument/2006/relationships/hyperlink" Target="https://utrucking.com/admin/orders/6423010246844" TargetMode="External"/><Relationship Id="rId443" Type="http://schemas.openxmlformats.org/officeDocument/2006/relationships/hyperlink" Target="https://utrucking.com/admin/orders/6422704128188" TargetMode="External"/><Relationship Id="rId442" Type="http://schemas.openxmlformats.org/officeDocument/2006/relationships/hyperlink" Target="https://utrucking.com/admin/orders/6422699835580" TargetMode="External"/><Relationship Id="rId441" Type="http://schemas.openxmlformats.org/officeDocument/2006/relationships/hyperlink" Target="https://utrucking.com/admin/orders/6422695051452" TargetMode="External"/><Relationship Id="rId437" Type="http://schemas.openxmlformats.org/officeDocument/2006/relationships/hyperlink" Target="https://utrucking.com/admin/orders/6422602514620" TargetMode="External"/><Relationship Id="rId436" Type="http://schemas.openxmlformats.org/officeDocument/2006/relationships/hyperlink" Target="https://utrucking.com/admin/orders/6422556180668" TargetMode="External"/><Relationship Id="rId435" Type="http://schemas.openxmlformats.org/officeDocument/2006/relationships/hyperlink" Target="https://utrucking.com/admin/orders/6422479012028" TargetMode="External"/><Relationship Id="rId434" Type="http://schemas.openxmlformats.org/officeDocument/2006/relationships/hyperlink" Target="https://utrucking.com/admin/orders/6422441361596" TargetMode="External"/><Relationship Id="rId439" Type="http://schemas.openxmlformats.org/officeDocument/2006/relationships/hyperlink" Target="https://utrucking.com/admin/orders/6422679650492" TargetMode="External"/><Relationship Id="rId438" Type="http://schemas.openxmlformats.org/officeDocument/2006/relationships/hyperlink" Target="https://utrucking.com/admin/orders/6422663790780" TargetMode="External"/><Relationship Id="rId433" Type="http://schemas.openxmlformats.org/officeDocument/2006/relationships/hyperlink" Target="https://utrucking.com/admin/orders/6422400860348" TargetMode="External"/><Relationship Id="rId432" Type="http://schemas.openxmlformats.org/officeDocument/2006/relationships/hyperlink" Target="https://utrucking.com/admin/orders/6421888696508" TargetMode="External"/><Relationship Id="rId431" Type="http://schemas.openxmlformats.org/officeDocument/2006/relationships/hyperlink" Target="https://utrucking.com/admin/orders/6421839839420" TargetMode="External"/><Relationship Id="rId430" Type="http://schemas.openxmlformats.org/officeDocument/2006/relationships/hyperlink" Target="https://utrucking.com/admin/orders/6421819818172"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utrucking.com/admin/orders/6020527259836" TargetMode="External"/><Relationship Id="rId2" Type="http://schemas.openxmlformats.org/officeDocument/2006/relationships/hyperlink" Target="https://utrucking.com/admin/orders/6105079611580" TargetMode="External"/><Relationship Id="rId3" Type="http://schemas.openxmlformats.org/officeDocument/2006/relationships/hyperlink" Target="https://utrucking.com/admin/orders/6107310948540" TargetMode="External"/><Relationship Id="rId4" Type="http://schemas.openxmlformats.org/officeDocument/2006/relationships/hyperlink" Target="https://utrucking.com/admin/orders/6108229959868" TargetMode="External"/><Relationship Id="rId9" Type="http://schemas.openxmlformats.org/officeDocument/2006/relationships/hyperlink" Target="https://utrucking.com/admin/orders/6111854690492" TargetMode="External"/><Relationship Id="rId5" Type="http://schemas.openxmlformats.org/officeDocument/2006/relationships/hyperlink" Target="https://utrucking.com/admin/orders/6108968091836" TargetMode="External"/><Relationship Id="rId6" Type="http://schemas.openxmlformats.org/officeDocument/2006/relationships/hyperlink" Target="https://utrucking.com/admin/orders/6109667492028" TargetMode="External"/><Relationship Id="rId7" Type="http://schemas.openxmlformats.org/officeDocument/2006/relationships/hyperlink" Target="https://utrucking.com/admin/orders/6111546212540" TargetMode="External"/><Relationship Id="rId8" Type="http://schemas.openxmlformats.org/officeDocument/2006/relationships/hyperlink" Target="https://utrucking.com/admin/orders/6111799607484" TargetMode="External"/><Relationship Id="rId31" Type="http://schemas.openxmlformats.org/officeDocument/2006/relationships/hyperlink" Target="https://utrucking.com/admin/orders/6446488518844" TargetMode="External"/><Relationship Id="rId30" Type="http://schemas.openxmlformats.org/officeDocument/2006/relationships/hyperlink" Target="https://utrucking.com/admin/orders/6444179914940" TargetMode="External"/><Relationship Id="rId33" Type="http://schemas.openxmlformats.org/officeDocument/2006/relationships/hyperlink" Target="https://utrucking.com/admin/orders/6449340743868" TargetMode="External"/><Relationship Id="rId32" Type="http://schemas.openxmlformats.org/officeDocument/2006/relationships/hyperlink" Target="https://utrucking.com/admin/orders/6448253206716" TargetMode="External"/><Relationship Id="rId35" Type="http://schemas.openxmlformats.org/officeDocument/2006/relationships/drawing" Target="../drawings/drawing17.xml"/><Relationship Id="rId34" Type="http://schemas.openxmlformats.org/officeDocument/2006/relationships/hyperlink" Target="https://utrucking.com/admin/orders/6459389247676" TargetMode="External"/><Relationship Id="rId20" Type="http://schemas.openxmlformats.org/officeDocument/2006/relationships/hyperlink" Target="https://utrucking.com/admin/orders/6172223635644" TargetMode="External"/><Relationship Id="rId22" Type="http://schemas.openxmlformats.org/officeDocument/2006/relationships/hyperlink" Target="https://utrucking.com/admin/orders/6178377957564" TargetMode="External"/><Relationship Id="rId21" Type="http://schemas.openxmlformats.org/officeDocument/2006/relationships/hyperlink" Target="https://utrucking.com/admin/orders/6173728407740" TargetMode="External"/><Relationship Id="rId24" Type="http://schemas.openxmlformats.org/officeDocument/2006/relationships/hyperlink" Target="https://utrucking.com/admin/orders/6180202610876" TargetMode="External"/><Relationship Id="rId23" Type="http://schemas.openxmlformats.org/officeDocument/2006/relationships/hyperlink" Target="https://utrucking.com/admin/orders/6180185407676" TargetMode="External"/><Relationship Id="rId26" Type="http://schemas.openxmlformats.org/officeDocument/2006/relationships/hyperlink" Target="https://utrucking.com/admin/orders/6187090739388" TargetMode="External"/><Relationship Id="rId25" Type="http://schemas.openxmlformats.org/officeDocument/2006/relationships/hyperlink" Target="https://utrucking.com/admin/orders/6186025353404" TargetMode="External"/><Relationship Id="rId28" Type="http://schemas.openxmlformats.org/officeDocument/2006/relationships/hyperlink" Target="https://utrucking.com/admin/orders/6398298095804" TargetMode="External"/><Relationship Id="rId27" Type="http://schemas.openxmlformats.org/officeDocument/2006/relationships/hyperlink" Target="https://utrucking.com/admin/orders/6188259475644" TargetMode="External"/><Relationship Id="rId29" Type="http://schemas.openxmlformats.org/officeDocument/2006/relationships/hyperlink" Target="https://utrucking.com/admin/orders/6403204350140" TargetMode="External"/><Relationship Id="rId11" Type="http://schemas.openxmlformats.org/officeDocument/2006/relationships/hyperlink" Target="https://utrucking.com/admin/orders/6135959552188" TargetMode="External"/><Relationship Id="rId10" Type="http://schemas.openxmlformats.org/officeDocument/2006/relationships/hyperlink" Target="https://utrucking.com/admin/orders/6117020795068" TargetMode="External"/><Relationship Id="rId13" Type="http://schemas.openxmlformats.org/officeDocument/2006/relationships/hyperlink" Target="https://utrucking.com/admin/orders/6149526880444" TargetMode="External"/><Relationship Id="rId12" Type="http://schemas.openxmlformats.org/officeDocument/2006/relationships/hyperlink" Target="https://utrucking.com/admin/orders/6137330925756" TargetMode="External"/><Relationship Id="rId15" Type="http://schemas.openxmlformats.org/officeDocument/2006/relationships/hyperlink" Target="https://utrucking.com/admin/orders/6160620486844" TargetMode="External"/><Relationship Id="rId14" Type="http://schemas.openxmlformats.org/officeDocument/2006/relationships/hyperlink" Target="https://utrucking.com/admin/orders/6157326188732" TargetMode="External"/><Relationship Id="rId17" Type="http://schemas.openxmlformats.org/officeDocument/2006/relationships/hyperlink" Target="https://utrucking.com/admin/orders/6166263038140" TargetMode="External"/><Relationship Id="rId16" Type="http://schemas.openxmlformats.org/officeDocument/2006/relationships/hyperlink" Target="https://utrucking.com/admin/orders/6165644214460" TargetMode="External"/><Relationship Id="rId19" Type="http://schemas.openxmlformats.org/officeDocument/2006/relationships/hyperlink" Target="https://utrucking.com/admin/orders/6171882848444" TargetMode="External"/><Relationship Id="rId18" Type="http://schemas.openxmlformats.org/officeDocument/2006/relationships/hyperlink" Target="https://utrucking.com/admin/orders/6171806400700"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utrucking.com/admin/orders/5971564363964" TargetMode="External"/><Relationship Id="rId2" Type="http://schemas.openxmlformats.org/officeDocument/2006/relationships/hyperlink" Target="https://utrucking.com/admin/orders/6152740012220" TargetMode="External"/><Relationship Id="rId3" Type="http://schemas.openxmlformats.org/officeDocument/2006/relationships/hyperlink" Target="https://utrucking.com/admin/orders/6227897221308" TargetMode="External"/><Relationship Id="rId4" Type="http://schemas.openxmlformats.org/officeDocument/2006/relationships/hyperlink" Target="https://utrucking.com/admin/orders/6230137438396" TargetMode="External"/><Relationship Id="rId5" Type="http://schemas.openxmlformats.org/officeDocument/2006/relationships/hyperlink" Target="https://utrucking.com/admin/orders/6273753710780" TargetMode="External"/><Relationship Id="rId6" Type="http://schemas.openxmlformats.org/officeDocument/2006/relationships/hyperlink" Target="https://utrucking.com/admin/orders/6308447191228" TargetMode="External"/><Relationship Id="rId7" Type="http://schemas.openxmlformats.org/officeDocument/2006/relationships/hyperlink" Target="https://utrucking.com/admin/orders/6469237473468"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dmin.shopify.com/store/utrucking/orders/5898534977724?link_source=search" TargetMode="External"/><Relationship Id="rId2" Type="http://schemas.openxmlformats.org/officeDocument/2006/relationships/hyperlink" Target="https://utrucking.com/admin/orders/5905565909180" TargetMode="External"/><Relationship Id="rId3" Type="http://schemas.openxmlformats.org/officeDocument/2006/relationships/hyperlink" Target="https://utrucking.com/admin/orders/5916675342524" TargetMode="External"/><Relationship Id="rId4" Type="http://schemas.openxmlformats.org/officeDocument/2006/relationships/hyperlink" Target="https://utrucking.com/admin/orders/5919628984508" TargetMode="External"/><Relationship Id="rId9" Type="http://schemas.openxmlformats.org/officeDocument/2006/relationships/hyperlink" Target="https://utrucking.com/admin/orders/6288844193980" TargetMode="External"/><Relationship Id="rId5" Type="http://schemas.openxmlformats.org/officeDocument/2006/relationships/hyperlink" Target="https://utrucking.com/admin/orders/5937123786940" TargetMode="External"/><Relationship Id="rId6" Type="http://schemas.openxmlformats.org/officeDocument/2006/relationships/hyperlink" Target="https://utrucking.com/admin/orders/6183013155004" TargetMode="External"/><Relationship Id="rId7" Type="http://schemas.openxmlformats.org/officeDocument/2006/relationships/hyperlink" Target="https://utrucking.com/admin/orders/6184870576316" TargetMode="External"/><Relationship Id="rId8" Type="http://schemas.openxmlformats.org/officeDocument/2006/relationships/hyperlink" Target="https://utrucking.com/admin/orders/6189286195388" TargetMode="External"/><Relationship Id="rId20" Type="http://schemas.openxmlformats.org/officeDocument/2006/relationships/hyperlink" Target="https://utrucking.com/admin/orders/6460928032956" TargetMode="External"/><Relationship Id="rId21" Type="http://schemas.openxmlformats.org/officeDocument/2006/relationships/drawing" Target="../drawings/drawing19.xml"/><Relationship Id="rId11" Type="http://schemas.openxmlformats.org/officeDocument/2006/relationships/hyperlink" Target="https://utrucking.com/admin/orders/6368358695100" TargetMode="External"/><Relationship Id="rId10" Type="http://schemas.openxmlformats.org/officeDocument/2006/relationships/hyperlink" Target="https://utrucking.com/admin/orders/6304836583612" TargetMode="External"/><Relationship Id="rId13" Type="http://schemas.openxmlformats.org/officeDocument/2006/relationships/hyperlink" Target="https://utrucking.com/admin/orders/6421544730812" TargetMode="External"/><Relationship Id="rId12" Type="http://schemas.openxmlformats.org/officeDocument/2006/relationships/hyperlink" Target="https://utrucking.com/admin/orders/6398188093628" TargetMode="External"/><Relationship Id="rId15" Type="http://schemas.openxmlformats.org/officeDocument/2006/relationships/hyperlink" Target="https://utrucking.com/admin/orders/6445197459644" TargetMode="External"/><Relationship Id="rId14" Type="http://schemas.openxmlformats.org/officeDocument/2006/relationships/hyperlink" Target="https://utrucking.com/admin/orders/6432531022012" TargetMode="External"/><Relationship Id="rId17" Type="http://schemas.openxmlformats.org/officeDocument/2006/relationships/hyperlink" Target="https://utrucking.com/admin/orders/6452426440892" TargetMode="External"/><Relationship Id="rId16" Type="http://schemas.openxmlformats.org/officeDocument/2006/relationships/hyperlink" Target="https://utrucking.com/admin/orders/6446671626428" TargetMode="External"/><Relationship Id="rId19" Type="http://schemas.openxmlformats.org/officeDocument/2006/relationships/hyperlink" Target="https://utrucking.com/admin/orders/6458308165820" TargetMode="External"/><Relationship Id="rId18" Type="http://schemas.openxmlformats.org/officeDocument/2006/relationships/hyperlink" Target="https://utrucking.com/admin/orders/6457493160124"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utrucking.com/admin/orders/5913073057980" TargetMode="External"/><Relationship Id="rId2" Type="http://schemas.openxmlformats.org/officeDocument/2006/relationships/hyperlink" Target="https://utrucking.com/admin/orders/5913073057980" TargetMode="External"/><Relationship Id="rId3" Type="http://schemas.openxmlformats.org/officeDocument/2006/relationships/hyperlink" Target="https://utrucking.com/admin/orders/5913073057980" TargetMode="External"/><Relationship Id="rId4" Type="http://schemas.openxmlformats.org/officeDocument/2006/relationships/hyperlink" Target="https://utrucking.com/admin/orders/5913073057980" TargetMode="External"/><Relationship Id="rId9" Type="http://schemas.openxmlformats.org/officeDocument/2006/relationships/hyperlink" Target="https://utrucking.com/admin/orders/5913919389884" TargetMode="External"/><Relationship Id="rId5" Type="http://schemas.openxmlformats.org/officeDocument/2006/relationships/hyperlink" Target="https://utrucking.com/admin/orders/5913073057980" TargetMode="External"/><Relationship Id="rId6" Type="http://schemas.openxmlformats.org/officeDocument/2006/relationships/hyperlink" Target="https://utrucking.com/admin/orders/5913073057980" TargetMode="External"/><Relationship Id="rId7" Type="http://schemas.openxmlformats.org/officeDocument/2006/relationships/hyperlink" Target="https://utrucking.com/admin/orders/5913073057980" TargetMode="External"/><Relationship Id="rId8" Type="http://schemas.openxmlformats.org/officeDocument/2006/relationships/hyperlink" Target="https://utrucking.com/admin/orders/5913073057980" TargetMode="External"/><Relationship Id="rId40" Type="http://schemas.openxmlformats.org/officeDocument/2006/relationships/hyperlink" Target="https://utrucking.com/admin/orders/5951806668988" TargetMode="External"/><Relationship Id="rId42" Type="http://schemas.openxmlformats.org/officeDocument/2006/relationships/hyperlink" Target="https://utrucking.com/admin/orders/5952877330620" TargetMode="External"/><Relationship Id="rId41" Type="http://schemas.openxmlformats.org/officeDocument/2006/relationships/hyperlink" Target="https://utrucking.com/admin/orders/5951811813564" TargetMode="External"/><Relationship Id="rId44" Type="http://schemas.openxmlformats.org/officeDocument/2006/relationships/hyperlink" Target="https://utrucking.com/admin/orders/5955695378620" TargetMode="External"/><Relationship Id="rId43" Type="http://schemas.openxmlformats.org/officeDocument/2006/relationships/hyperlink" Target="https://utrucking.com/admin/orders/5955662872764" TargetMode="External"/><Relationship Id="rId46" Type="http://schemas.openxmlformats.org/officeDocument/2006/relationships/hyperlink" Target="https://utrucking.com/admin/orders/5965337362620" TargetMode="External"/><Relationship Id="rId45" Type="http://schemas.openxmlformats.org/officeDocument/2006/relationships/hyperlink" Target="https://utrucking.com/admin/orders/5955708977340" TargetMode="External"/><Relationship Id="rId48" Type="http://schemas.openxmlformats.org/officeDocument/2006/relationships/hyperlink" Target="https://utrucking.com/admin/orders/5979480195260" TargetMode="External"/><Relationship Id="rId47" Type="http://schemas.openxmlformats.org/officeDocument/2006/relationships/hyperlink" Target="https://utrucking.com/admin/orders/5971743342780" TargetMode="External"/><Relationship Id="rId49" Type="http://schemas.openxmlformats.org/officeDocument/2006/relationships/drawing" Target="../drawings/drawing20.xml"/><Relationship Id="rId31" Type="http://schemas.openxmlformats.org/officeDocument/2006/relationships/hyperlink" Target="https://utrucking.com/admin/orders/5937711972540" TargetMode="External"/><Relationship Id="rId30" Type="http://schemas.openxmlformats.org/officeDocument/2006/relationships/hyperlink" Target="https://utrucking.com/admin/orders/5937034625212" TargetMode="External"/><Relationship Id="rId33" Type="http://schemas.openxmlformats.org/officeDocument/2006/relationships/hyperlink" Target="https://utrucking.com/admin/orders/5938848202940" TargetMode="External"/><Relationship Id="rId32" Type="http://schemas.openxmlformats.org/officeDocument/2006/relationships/hyperlink" Target="https://utrucking.com/admin/orders/5937918083260" TargetMode="External"/><Relationship Id="rId35" Type="http://schemas.openxmlformats.org/officeDocument/2006/relationships/hyperlink" Target="https://utrucking.com/admin/orders/5944123195580" TargetMode="External"/><Relationship Id="rId34" Type="http://schemas.openxmlformats.org/officeDocument/2006/relationships/hyperlink" Target="https://utrucking.com/admin/orders/5943778967740" TargetMode="External"/><Relationship Id="rId37" Type="http://schemas.openxmlformats.org/officeDocument/2006/relationships/hyperlink" Target="https://utrucking.com/admin/orders/5944138039484" TargetMode="External"/><Relationship Id="rId36" Type="http://schemas.openxmlformats.org/officeDocument/2006/relationships/hyperlink" Target="https://utrucking.com/admin/orders/5944136532156" TargetMode="External"/><Relationship Id="rId39" Type="http://schemas.openxmlformats.org/officeDocument/2006/relationships/hyperlink" Target="https://utrucking.com/admin/orders/5951794020540" TargetMode="External"/><Relationship Id="rId38" Type="http://schemas.openxmlformats.org/officeDocument/2006/relationships/hyperlink" Target="https://utrucking.com/admin/orders/5944144330940" TargetMode="External"/><Relationship Id="rId20" Type="http://schemas.openxmlformats.org/officeDocument/2006/relationships/hyperlink" Target="https://utrucking.com/admin/orders/5924652581052" TargetMode="External"/><Relationship Id="rId22" Type="http://schemas.openxmlformats.org/officeDocument/2006/relationships/hyperlink" Target="https://utrucking.com/admin/orders/5927169622204" TargetMode="External"/><Relationship Id="rId21" Type="http://schemas.openxmlformats.org/officeDocument/2006/relationships/hyperlink" Target="https://utrucking.com/admin/orders/5926054822076" TargetMode="External"/><Relationship Id="rId24" Type="http://schemas.openxmlformats.org/officeDocument/2006/relationships/hyperlink" Target="https://utrucking.com/admin/orders/5932164251836" TargetMode="External"/><Relationship Id="rId23" Type="http://schemas.openxmlformats.org/officeDocument/2006/relationships/hyperlink" Target="https://utrucking.com/admin/orders/5930480959676" TargetMode="External"/><Relationship Id="rId26" Type="http://schemas.openxmlformats.org/officeDocument/2006/relationships/hyperlink" Target="https://utrucking.com/admin/orders/5932164251836" TargetMode="External"/><Relationship Id="rId25" Type="http://schemas.openxmlformats.org/officeDocument/2006/relationships/hyperlink" Target="https://utrucking.com/admin/orders/5932164251836" TargetMode="External"/><Relationship Id="rId28" Type="http://schemas.openxmlformats.org/officeDocument/2006/relationships/hyperlink" Target="https://utrucking.com/admin/orders/5936179675324" TargetMode="External"/><Relationship Id="rId27" Type="http://schemas.openxmlformats.org/officeDocument/2006/relationships/hyperlink" Target="https://utrucking.com/admin/orders/5934026588348" TargetMode="External"/><Relationship Id="rId29" Type="http://schemas.openxmlformats.org/officeDocument/2006/relationships/hyperlink" Target="https://utrucking.com/admin/orders/5936184230076" TargetMode="External"/><Relationship Id="rId11" Type="http://schemas.openxmlformats.org/officeDocument/2006/relationships/hyperlink" Target="https://utrucking.com/admin/orders/5917335093436" TargetMode="External"/><Relationship Id="rId10" Type="http://schemas.openxmlformats.org/officeDocument/2006/relationships/hyperlink" Target="https://utrucking.com/admin/orders/5915795718332" TargetMode="External"/><Relationship Id="rId13" Type="http://schemas.openxmlformats.org/officeDocument/2006/relationships/hyperlink" Target="https://utrucking.com/admin/orders/5917351641276" TargetMode="External"/><Relationship Id="rId12" Type="http://schemas.openxmlformats.org/officeDocument/2006/relationships/hyperlink" Target="https://utrucking.com/admin/orders/5917346595004" TargetMode="External"/><Relationship Id="rId15" Type="http://schemas.openxmlformats.org/officeDocument/2006/relationships/hyperlink" Target="https://utrucking.com/admin/orders/5917521510588" TargetMode="External"/><Relationship Id="rId14" Type="http://schemas.openxmlformats.org/officeDocument/2006/relationships/hyperlink" Target="https://utrucking.com/admin/orders/5917515088060" TargetMode="External"/><Relationship Id="rId17" Type="http://schemas.openxmlformats.org/officeDocument/2006/relationships/hyperlink" Target="https://utrucking.com/admin/orders/5917526327484" TargetMode="External"/><Relationship Id="rId16" Type="http://schemas.openxmlformats.org/officeDocument/2006/relationships/hyperlink" Target="https://utrucking.com/admin/orders/5917524099260" TargetMode="External"/><Relationship Id="rId19" Type="http://schemas.openxmlformats.org/officeDocument/2006/relationships/hyperlink" Target="https://utrucking.com/admin/orders/5921371193532" TargetMode="External"/><Relationship Id="rId18" Type="http://schemas.openxmlformats.org/officeDocument/2006/relationships/hyperlink" Target="https://utrucking.com/admin/orders/5921188348092"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utrucking.myshopify.com/admin/orders?query=15175" TargetMode="External"/><Relationship Id="rId2" Type="http://schemas.openxmlformats.org/officeDocument/2006/relationships/hyperlink" Target="https://admin.shopify.com/store/utrucking/orders/5897718857916?link_source=search" TargetMode="External"/><Relationship Id="rId3" Type="http://schemas.openxmlformats.org/officeDocument/2006/relationships/hyperlink" Target="https://utrucking.com/admin/orders/5908173914300" TargetMode="External"/><Relationship Id="rId4" Type="http://schemas.openxmlformats.org/officeDocument/2006/relationships/hyperlink" Target="https://utrucking.com/admin/orders/5910561423548" TargetMode="External"/><Relationship Id="rId9" Type="http://schemas.openxmlformats.org/officeDocument/2006/relationships/hyperlink" Target="https://utrucking.com/admin/orders/5924987863228" TargetMode="External"/><Relationship Id="rId5" Type="http://schemas.openxmlformats.org/officeDocument/2006/relationships/hyperlink" Target="https://utrucking.com/admin/orders/5910979575996" TargetMode="External"/><Relationship Id="rId6" Type="http://schemas.openxmlformats.org/officeDocument/2006/relationships/hyperlink" Target="https://utrucking.com/admin/orders/5915952251068" TargetMode="External"/><Relationship Id="rId7" Type="http://schemas.openxmlformats.org/officeDocument/2006/relationships/hyperlink" Target="https://utrucking.com/admin/orders/5920223396028" TargetMode="External"/><Relationship Id="rId8" Type="http://schemas.openxmlformats.org/officeDocument/2006/relationships/hyperlink" Target="https://utrucking.com/admin/orders/5921546830012" TargetMode="External"/><Relationship Id="rId31" Type="http://schemas.openxmlformats.org/officeDocument/2006/relationships/table" Target="../tables/table4.xml"/><Relationship Id="rId20" Type="http://schemas.openxmlformats.org/officeDocument/2006/relationships/hyperlink" Target="https://utrucking.myshopify.com/admin/orders?query=15036" TargetMode="External"/><Relationship Id="rId22" Type="http://schemas.openxmlformats.org/officeDocument/2006/relationships/hyperlink" Target="https://utrucking.myshopify.com/admin/orders?query=15187" TargetMode="External"/><Relationship Id="rId21" Type="http://schemas.openxmlformats.org/officeDocument/2006/relationships/hyperlink" Target="https://utrucking.myshopify.com/admin/orders?query=15144" TargetMode="External"/><Relationship Id="rId24" Type="http://schemas.openxmlformats.org/officeDocument/2006/relationships/hyperlink" Target="https://utrucking.com/admin/orders/5936179675324" TargetMode="External"/><Relationship Id="rId23" Type="http://schemas.openxmlformats.org/officeDocument/2006/relationships/hyperlink" Target="https://utrucking.com/products/storage-item-return" TargetMode="External"/><Relationship Id="rId26" Type="http://schemas.openxmlformats.org/officeDocument/2006/relationships/hyperlink" Target="https://utrucking.com/admin/orders/5937918083260" TargetMode="External"/><Relationship Id="rId25" Type="http://schemas.openxmlformats.org/officeDocument/2006/relationships/hyperlink" Target="https://utrucking.com/admin/orders/5936184230076" TargetMode="External"/><Relationship Id="rId28" Type="http://schemas.openxmlformats.org/officeDocument/2006/relationships/hyperlink" Target="https://utrucking.com/admin/orders/5944123195580" TargetMode="External"/><Relationship Id="rId27" Type="http://schemas.openxmlformats.org/officeDocument/2006/relationships/hyperlink" Target="https://utrucking.com/admin/orders/5943778967740" TargetMode="External"/><Relationship Id="rId29" Type="http://schemas.openxmlformats.org/officeDocument/2006/relationships/drawing" Target="../drawings/drawing21.xml"/><Relationship Id="rId11" Type="http://schemas.openxmlformats.org/officeDocument/2006/relationships/hyperlink" Target="https://utrucking.com/admin/orders/5931833458876" TargetMode="External"/><Relationship Id="rId10" Type="http://schemas.openxmlformats.org/officeDocument/2006/relationships/hyperlink" Target="https://utrucking.com/admin/orders/5925081645244" TargetMode="External"/><Relationship Id="rId13" Type="http://schemas.openxmlformats.org/officeDocument/2006/relationships/hyperlink" Target="https://utrucking.com/admin/orders/5913520472252" TargetMode="External"/><Relationship Id="rId12" Type="http://schemas.openxmlformats.org/officeDocument/2006/relationships/hyperlink" Target="https://utrucking.com/admin/orders/5913501892796" TargetMode="External"/><Relationship Id="rId15" Type="http://schemas.openxmlformats.org/officeDocument/2006/relationships/hyperlink" Target="https://utrucking.com/admin/orders/5913805488316" TargetMode="External"/><Relationship Id="rId14" Type="http://schemas.openxmlformats.org/officeDocument/2006/relationships/hyperlink" Target="https://utrucking.com/admin/orders/5913784549564" TargetMode="External"/><Relationship Id="rId17" Type="http://schemas.openxmlformats.org/officeDocument/2006/relationships/hyperlink" Target="https://utrucking.com/admin/orders/5929736962236" TargetMode="External"/><Relationship Id="rId16" Type="http://schemas.openxmlformats.org/officeDocument/2006/relationships/hyperlink" Target="https://utrucking.com/admin/orders/5921422409916" TargetMode="External"/><Relationship Id="rId19" Type="http://schemas.openxmlformats.org/officeDocument/2006/relationships/hyperlink" Target="https://utrucking.myshopify.com/admin/orders?query=14988" TargetMode="External"/><Relationship Id="rId18" Type="http://schemas.openxmlformats.org/officeDocument/2006/relationships/hyperlink" Target="https://utrucking.com/admin/orders/5931101978812"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hyperlink" Target="https://utrucking.myshopify.com/admin/orders?query=15175" TargetMode="External"/><Relationship Id="rId2" Type="http://schemas.openxmlformats.org/officeDocument/2006/relationships/hyperlink" Target="https://admin.shopify.com/store/utrucking/orders/5897718857916?link_source=search" TargetMode="External"/><Relationship Id="rId3" Type="http://schemas.openxmlformats.org/officeDocument/2006/relationships/hyperlink" Target="https://utrucking.com/admin/orders/5908173914300" TargetMode="External"/><Relationship Id="rId4" Type="http://schemas.openxmlformats.org/officeDocument/2006/relationships/hyperlink" Target="https://utrucking.com/admin/orders/5910561423548" TargetMode="External"/><Relationship Id="rId9" Type="http://schemas.openxmlformats.org/officeDocument/2006/relationships/hyperlink" Target="https://utrucking.com/admin/orders/5924987863228" TargetMode="External"/><Relationship Id="rId5" Type="http://schemas.openxmlformats.org/officeDocument/2006/relationships/hyperlink" Target="https://utrucking.com/admin/orders/5910979575996" TargetMode="External"/><Relationship Id="rId6" Type="http://schemas.openxmlformats.org/officeDocument/2006/relationships/hyperlink" Target="https://utrucking.com/admin/orders/5915952251068" TargetMode="External"/><Relationship Id="rId7" Type="http://schemas.openxmlformats.org/officeDocument/2006/relationships/hyperlink" Target="https://utrucking.com/admin/orders/5920223396028" TargetMode="External"/><Relationship Id="rId8" Type="http://schemas.openxmlformats.org/officeDocument/2006/relationships/hyperlink" Target="https://utrucking.com/admin/orders/5921546830012" TargetMode="External"/><Relationship Id="rId11" Type="http://schemas.openxmlformats.org/officeDocument/2006/relationships/hyperlink" Target="https://utrucking.com/admin/orders/5931833458876" TargetMode="External"/><Relationship Id="rId10" Type="http://schemas.openxmlformats.org/officeDocument/2006/relationships/hyperlink" Target="https://utrucking.com/admin/orders/5925081645244" TargetMode="External"/><Relationship Id="rId1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utrucking.com/admin/orders/5936184230076" TargetMode="External"/><Relationship Id="rId2" Type="http://schemas.openxmlformats.org/officeDocument/2006/relationships/hyperlink" Target="https://utrucking.com/admin/orders/5937918083260" TargetMode="External"/><Relationship Id="rId3" Type="http://schemas.openxmlformats.org/officeDocument/2006/relationships/hyperlink" Target="https://utrucking.com/admin/orders/5943778967740" TargetMode="External"/><Relationship Id="rId4" Type="http://schemas.openxmlformats.org/officeDocument/2006/relationships/hyperlink" Target="https://utrucking.com/admin/orders/5944123195580"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utrucking.com/admin/orders/5913520472252" TargetMode="External"/><Relationship Id="rId2" Type="http://schemas.openxmlformats.org/officeDocument/2006/relationships/hyperlink" Target="https://utrucking.com/admin/orders/5913784549564" TargetMode="External"/><Relationship Id="rId3" Type="http://schemas.openxmlformats.org/officeDocument/2006/relationships/hyperlink" Target="https://utrucking.com/admin/orders/5913805488316" TargetMode="External"/><Relationship Id="rId4" Type="http://schemas.openxmlformats.org/officeDocument/2006/relationships/hyperlink" Target="https://utrucking.com/admin/orders/5921422409916" TargetMode="External"/><Relationship Id="rId5" Type="http://schemas.openxmlformats.org/officeDocument/2006/relationships/hyperlink" Target="https://utrucking.com/admin/orders/5929736962236" TargetMode="External"/><Relationship Id="rId6" Type="http://schemas.openxmlformats.org/officeDocument/2006/relationships/hyperlink" Target="https://utrucking.com/admin/orders/5931101978812" TargetMode="External"/><Relationship Id="rId7"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utrucking.myshopify.com/admin/orders?query=15036" TargetMode="External"/><Relationship Id="rId2" Type="http://schemas.openxmlformats.org/officeDocument/2006/relationships/hyperlink" Target="https://utrucking.myshopify.com/admin/orders?query=15144" TargetMode="External"/><Relationship Id="rId3" Type="http://schemas.openxmlformats.org/officeDocument/2006/relationships/hyperlink" Target="https://utrucking.myshopify.com/admin/orders?query=15187" TargetMode="External"/><Relationship Id="rId4" Type="http://schemas.openxmlformats.org/officeDocument/2006/relationships/hyperlink" Target="https://utrucking.com/products/storage-item-return"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3" max="3" width="19.25"/>
    <col customWidth="1" min="4" max="4" width="15.25"/>
    <col customWidth="1" min="5" max="5" width="21.88"/>
    <col customWidth="1" min="6" max="6" width="20.0"/>
    <col customWidth="1" min="11" max="12" width="60.0"/>
    <col customWidth="1" min="14" max="14" width="27.0"/>
    <col customWidth="1" min="15" max="15" width="11.88"/>
    <col customWidth="1" min="16" max="16" width="11.0"/>
    <col customWidth="1" min="17" max="17" width="18.38"/>
    <col customWidth="1" min="18" max="18" width="25.13"/>
    <col customWidth="1" min="20" max="20" width="14.88"/>
    <col customWidth="1" min="21" max="21" width="15.75"/>
    <col customWidth="1" min="23" max="23" width="7.13"/>
    <col customWidth="1" min="24" max="24" width="11.0"/>
    <col customWidth="1" min="25" max="25" width="18.38"/>
    <col customWidth="1" min="26" max="26" width="19.75"/>
    <col customWidth="1" min="27" max="27" width="34.63"/>
    <col customWidth="1" min="28" max="28" width="18.5"/>
    <col customWidth="1" min="29" max="29" width="36.13"/>
    <col customWidth="1" min="30" max="30" width="27.75"/>
    <col customWidth="1" min="31" max="31" width="10.0"/>
    <col customWidth="1" min="32" max="32" width="10.13"/>
    <col customWidth="1" min="33" max="33" width="12.75"/>
    <col customWidth="1" min="34" max="34" width="13.13"/>
    <col customWidth="1" min="35" max="39" width="91.0"/>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1" t="s">
        <v>19</v>
      </c>
      <c r="U1" s="1" t="s">
        <v>20</v>
      </c>
      <c r="V1" s="4"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5" t="str">
        <f t="shared" ref="A2:A5" si="1">HYPERLINK("https://utrucking.myshopify.com/admin/orders?query="&amp;RIGHT(B2,LEN(B2)-1))</f>
        <v>https://utrucking.myshopify.com/admin/orders?query=13851</v>
      </c>
      <c r="B2" s="6" t="s">
        <v>39</v>
      </c>
      <c r="C2" s="6" t="s">
        <v>40</v>
      </c>
      <c r="D2" s="7">
        <v>5.402078205E9</v>
      </c>
      <c r="E2" s="6" t="s">
        <v>41</v>
      </c>
      <c r="F2" s="6"/>
      <c r="G2" s="1"/>
      <c r="H2" s="1"/>
      <c r="I2" s="1"/>
      <c r="J2" s="1"/>
      <c r="K2" s="6" t="s">
        <v>42</v>
      </c>
      <c r="L2" s="6" t="s">
        <v>43</v>
      </c>
      <c r="M2" s="1"/>
      <c r="N2" s="6"/>
      <c r="O2" s="8">
        <v>3091.0</v>
      </c>
      <c r="P2" s="9">
        <v>45877.0</v>
      </c>
      <c r="Q2" s="6" t="s">
        <v>44</v>
      </c>
      <c r="R2" s="1"/>
      <c r="S2" s="1"/>
      <c r="T2" s="1"/>
      <c r="U2" s="6" t="s">
        <v>45</v>
      </c>
      <c r="V2" s="8">
        <v>3091.0</v>
      </c>
      <c r="W2" s="1"/>
      <c r="X2" s="9">
        <v>45877.0</v>
      </c>
      <c r="Y2" s="6" t="s">
        <v>44</v>
      </c>
      <c r="Z2" s="1" t="s">
        <v>46</v>
      </c>
      <c r="AA2" s="1"/>
      <c r="AB2" s="1"/>
      <c r="AC2" s="1"/>
      <c r="AD2" s="1"/>
      <c r="AE2" s="1"/>
      <c r="AF2" s="1"/>
      <c r="AG2" s="1"/>
      <c r="AH2" s="1"/>
      <c r="AI2" s="6"/>
      <c r="AJ2" s="6"/>
      <c r="AK2" s="6"/>
      <c r="AL2" s="6" t="str">
        <f t="array" ref="AL2">IFERROR(IFS(XLOOKUP(B2, 'Kit Delivery Status'!$U:$U, 'Kit Delivery Status'!$K:$K) = "Complete", "DELIVERED", XLOOKUP(B2, 'Kit Delivery Status'!$U:$U, 'Kit Delivery Status'!$K:$K) = "Issue", "ISSUE"), "")</f>
        <v/>
      </c>
      <c r="AM2" s="6"/>
    </row>
    <row r="3">
      <c r="A3" s="5" t="str">
        <f t="shared" si="1"/>
        <v>https://utrucking.myshopify.com/admin/orders?query=14045</v>
      </c>
      <c r="B3" s="6" t="s">
        <v>47</v>
      </c>
      <c r="C3" s="6" t="s">
        <v>48</v>
      </c>
      <c r="D3" s="10" t="s">
        <v>49</v>
      </c>
      <c r="E3" s="6" t="s">
        <v>50</v>
      </c>
      <c r="F3" s="6"/>
      <c r="G3" s="1"/>
      <c r="H3" s="1"/>
      <c r="I3" s="1"/>
      <c r="J3" s="1"/>
      <c r="K3" s="6" t="s">
        <v>51</v>
      </c>
      <c r="L3" s="6"/>
      <c r="M3" s="1"/>
      <c r="N3" s="6" t="s">
        <v>52</v>
      </c>
      <c r="O3" s="11" t="s">
        <v>53</v>
      </c>
      <c r="P3" s="9">
        <v>45890.0</v>
      </c>
      <c r="Q3" s="6" t="s">
        <v>54</v>
      </c>
      <c r="R3" s="1"/>
      <c r="S3" s="1"/>
      <c r="T3" s="1"/>
      <c r="U3" s="6" t="s">
        <v>55</v>
      </c>
      <c r="V3" s="11" t="s">
        <v>53</v>
      </c>
      <c r="W3" s="1"/>
      <c r="X3" s="9">
        <v>45890.0</v>
      </c>
      <c r="Y3" s="6" t="s">
        <v>54</v>
      </c>
      <c r="Z3" s="1"/>
      <c r="AA3" s="1"/>
      <c r="AB3" s="1"/>
      <c r="AC3" s="1"/>
      <c r="AD3" s="1"/>
      <c r="AE3" s="1"/>
      <c r="AF3" s="1"/>
      <c r="AG3" s="1"/>
      <c r="AH3" s="1"/>
      <c r="AI3" s="6" t="s">
        <v>56</v>
      </c>
      <c r="AJ3" s="6"/>
      <c r="AK3" s="6"/>
      <c r="AL3" s="6" t="str">
        <f t="array" ref="AL3">IFERROR(IFS(XLOOKUP(B3, 'Kit Delivery Status'!$U:$U, 'Kit Delivery Status'!$K:$K) = "Complete", "DELIVERED", XLOOKUP(B3, 'Kit Delivery Status'!$U:$U, 'Kit Delivery Status'!$K:$K) = "Issue", "ISSUE"), "")</f>
        <v/>
      </c>
      <c r="AM3" s="6"/>
    </row>
    <row r="4">
      <c r="A4" s="5" t="str">
        <f t="shared" si="1"/>
        <v>https://utrucking.myshopify.com/admin/orders?query=14075</v>
      </c>
      <c r="B4" s="6" t="s">
        <v>57</v>
      </c>
      <c r="C4" s="6" t="s">
        <v>58</v>
      </c>
      <c r="D4" s="7">
        <v>9.495312E9</v>
      </c>
      <c r="E4" s="6" t="s">
        <v>59</v>
      </c>
      <c r="F4" s="6"/>
      <c r="G4" s="1"/>
      <c r="H4" s="1"/>
      <c r="I4" s="1"/>
      <c r="J4" s="1"/>
      <c r="K4" s="6" t="s">
        <v>51</v>
      </c>
      <c r="L4" s="6"/>
      <c r="M4" s="1"/>
      <c r="N4" s="6" t="s">
        <v>52</v>
      </c>
      <c r="O4" s="8">
        <v>4052.0</v>
      </c>
      <c r="P4" s="9">
        <v>45891.0</v>
      </c>
      <c r="Q4" s="6" t="s">
        <v>60</v>
      </c>
      <c r="R4" s="1"/>
      <c r="S4" s="1"/>
      <c r="T4" s="1"/>
      <c r="U4" s="6" t="s">
        <v>61</v>
      </c>
      <c r="V4" s="8">
        <v>4052.0</v>
      </c>
      <c r="W4" s="1"/>
      <c r="X4" s="9">
        <v>45891.0</v>
      </c>
      <c r="Y4" s="6" t="s">
        <v>60</v>
      </c>
      <c r="Z4" s="1"/>
      <c r="AA4" s="1"/>
      <c r="AB4" s="1"/>
      <c r="AC4" s="1"/>
      <c r="AD4" s="1"/>
      <c r="AE4" s="1"/>
      <c r="AF4" s="1"/>
      <c r="AG4" s="1"/>
      <c r="AH4" s="1"/>
      <c r="AI4" s="6" t="s">
        <v>62</v>
      </c>
      <c r="AJ4" s="6"/>
      <c r="AK4" s="6"/>
      <c r="AL4" s="6" t="str">
        <f t="array" ref="AL4">IFERROR(IFS(XLOOKUP(B4, 'Kit Delivery Status'!$U:$U, 'Kit Delivery Status'!$K:$K) = "Complete", "DELIVERED", XLOOKUP(B4, 'Kit Delivery Status'!$U:$U, 'Kit Delivery Status'!$K:$K) = "Issue", "ISSUE"), "")</f>
        <v/>
      </c>
      <c r="AM4" s="6"/>
    </row>
    <row r="5">
      <c r="A5" s="5" t="str">
        <f t="shared" si="1"/>
        <v>https://utrucking.myshopify.com/admin/orders?query=14116</v>
      </c>
      <c r="B5" s="6" t="s">
        <v>63</v>
      </c>
      <c r="C5" s="6" t="s">
        <v>64</v>
      </c>
      <c r="D5" s="7">
        <v>5.169985553E9</v>
      </c>
      <c r="E5" s="6" t="s">
        <v>65</v>
      </c>
      <c r="F5" s="6"/>
      <c r="G5" s="1"/>
      <c r="H5" s="1"/>
      <c r="I5" s="1"/>
      <c r="J5" s="1"/>
      <c r="K5" s="6" t="s">
        <v>66</v>
      </c>
      <c r="L5" s="6" t="s">
        <v>67</v>
      </c>
      <c r="M5" s="1"/>
      <c r="N5" s="6" t="s">
        <v>52</v>
      </c>
      <c r="O5" s="8">
        <v>3304.0</v>
      </c>
      <c r="P5" s="9">
        <v>45883.0</v>
      </c>
      <c r="Q5" s="6" t="s">
        <v>54</v>
      </c>
      <c r="R5" s="1"/>
      <c r="S5" s="1"/>
      <c r="T5" s="1"/>
      <c r="U5" s="6" t="s">
        <v>68</v>
      </c>
      <c r="V5" s="8">
        <v>3304.0</v>
      </c>
      <c r="W5" s="1"/>
      <c r="X5" s="9">
        <v>45883.0</v>
      </c>
      <c r="Y5" s="6" t="s">
        <v>54</v>
      </c>
      <c r="Z5" s="1"/>
      <c r="AA5" s="1"/>
      <c r="AB5" s="1"/>
      <c r="AC5" s="1"/>
      <c r="AD5" s="1"/>
      <c r="AE5" s="1"/>
      <c r="AF5" s="1"/>
      <c r="AG5" s="1"/>
      <c r="AH5" s="1"/>
      <c r="AI5" s="6" t="s">
        <v>69</v>
      </c>
      <c r="AJ5" s="6"/>
      <c r="AK5" s="6"/>
      <c r="AL5" s="6" t="str">
        <f t="array" ref="AL5">IFERROR(IFS(XLOOKUP(B5, 'Kit Delivery Status'!$U:$U, 'Kit Delivery Status'!$K:$K) = "Complete", "DELIVERED", XLOOKUP(B5, 'Kit Delivery Status'!$U:$U, 'Kit Delivery Status'!$K:$K) = "Issue", "ISSUE"), "")</f>
        <v/>
      </c>
      <c r="AM5" s="6"/>
    </row>
    <row r="6">
      <c r="A6" s="5" t="s">
        <v>70</v>
      </c>
      <c r="B6" s="12" t="s">
        <v>71</v>
      </c>
      <c r="C6" s="12" t="s">
        <v>72</v>
      </c>
      <c r="D6" s="13" t="s">
        <v>73</v>
      </c>
      <c r="E6" s="12" t="s">
        <v>74</v>
      </c>
      <c r="F6" s="6"/>
      <c r="G6" s="1"/>
      <c r="H6" s="1"/>
      <c r="I6" s="1"/>
      <c r="J6" s="1"/>
      <c r="K6" s="12" t="s">
        <v>75</v>
      </c>
      <c r="L6" s="12" t="s">
        <v>76</v>
      </c>
      <c r="M6" s="1"/>
      <c r="N6" s="12" t="s">
        <v>52</v>
      </c>
      <c r="O6" s="14" t="s">
        <v>77</v>
      </c>
      <c r="P6" s="15">
        <v>45877.0</v>
      </c>
      <c r="Q6" s="6" t="s">
        <v>54</v>
      </c>
      <c r="R6" s="1"/>
      <c r="S6" s="1"/>
      <c r="T6" s="1"/>
      <c r="U6" s="12" t="s">
        <v>78</v>
      </c>
      <c r="V6" s="14" t="s">
        <v>77</v>
      </c>
      <c r="W6" s="1"/>
      <c r="X6" s="15">
        <v>45877.0</v>
      </c>
      <c r="Y6" s="6" t="s">
        <v>54</v>
      </c>
      <c r="Z6" s="1"/>
      <c r="AA6" s="1"/>
      <c r="AB6" s="1"/>
      <c r="AC6" s="1"/>
      <c r="AD6" s="1"/>
      <c r="AE6" s="1"/>
      <c r="AF6" s="1"/>
      <c r="AG6" s="1"/>
      <c r="AH6" s="1"/>
      <c r="AI6" s="6"/>
      <c r="AJ6" s="6"/>
      <c r="AK6" s="6"/>
      <c r="AL6" s="6" t="str">
        <f t="array" ref="AL6">IFERROR(IFS(XLOOKUP(B6, 'Kit Delivery Status'!$U:$U, 'Kit Delivery Status'!$K:$K) = "Complete", "DELIVERED", XLOOKUP(B6, 'Kit Delivery Status'!$U:$U, 'Kit Delivery Status'!$K:$K) = "Issue", "ISSUE"), "")</f>
        <v/>
      </c>
      <c r="AM6" s="6"/>
    </row>
    <row r="7">
      <c r="A7" s="5" t="str">
        <f t="shared" ref="A7:A12" si="2">HYPERLINK("https://utrucking.myshopify.com/admin/orders?query="&amp;RIGHT(B7,LEN(B7)-1))</f>
        <v>https://utrucking.myshopify.com/admin/orders?query=14191</v>
      </c>
      <c r="B7" s="6" t="s">
        <v>79</v>
      </c>
      <c r="C7" s="6" t="s">
        <v>80</v>
      </c>
      <c r="D7" s="7">
        <v>7.087372613E9</v>
      </c>
      <c r="E7" s="6" t="s">
        <v>81</v>
      </c>
      <c r="F7" s="6"/>
      <c r="G7" s="1"/>
      <c r="H7" s="1"/>
      <c r="I7" s="1"/>
      <c r="J7" s="1"/>
      <c r="K7" s="6" t="s">
        <v>51</v>
      </c>
      <c r="L7" s="6"/>
      <c r="M7" s="1"/>
      <c r="N7" s="6" t="s">
        <v>52</v>
      </c>
      <c r="O7" s="8">
        <v>4000.0</v>
      </c>
      <c r="P7" s="9">
        <v>45876.0</v>
      </c>
      <c r="Q7" s="6" t="s">
        <v>54</v>
      </c>
      <c r="R7" s="1"/>
      <c r="S7" s="1"/>
      <c r="T7" s="1"/>
      <c r="U7" s="6" t="s">
        <v>61</v>
      </c>
      <c r="V7" s="8">
        <v>4000.0</v>
      </c>
      <c r="W7" s="1"/>
      <c r="X7" s="9">
        <v>45876.0</v>
      </c>
      <c r="Y7" s="6" t="s">
        <v>54</v>
      </c>
      <c r="Z7" s="1"/>
      <c r="AA7" s="1"/>
      <c r="AB7" s="1"/>
      <c r="AC7" s="1"/>
      <c r="AD7" s="1"/>
      <c r="AE7" s="1"/>
      <c r="AF7" s="1"/>
      <c r="AG7" s="1"/>
      <c r="AH7" s="1"/>
      <c r="AI7" s="6"/>
      <c r="AJ7" s="6"/>
      <c r="AK7" s="6"/>
      <c r="AL7" s="6" t="str">
        <f t="array" ref="AL7">IFERROR(IFS(XLOOKUP(B7, 'Kit Delivery Status'!$U:$U, 'Kit Delivery Status'!$K:$K) = "Complete", "DELIVERED", XLOOKUP(B7, 'Kit Delivery Status'!$U:$U, 'Kit Delivery Status'!$K:$K) = "Issue", "ISSUE"), "")</f>
        <v/>
      </c>
      <c r="AM7" s="6"/>
    </row>
    <row r="8">
      <c r="A8" s="5" t="str">
        <f t="shared" si="2"/>
        <v>https://utrucking.myshopify.com/admin/orders?query=14194</v>
      </c>
      <c r="B8" s="6" t="s">
        <v>82</v>
      </c>
      <c r="C8" s="6" t="s">
        <v>83</v>
      </c>
      <c r="D8" s="10" t="s">
        <v>84</v>
      </c>
      <c r="E8" s="6" t="s">
        <v>85</v>
      </c>
      <c r="F8" s="6" t="s">
        <v>86</v>
      </c>
      <c r="G8" s="1"/>
      <c r="H8" s="1"/>
      <c r="I8" s="1"/>
      <c r="J8" s="1"/>
      <c r="K8" s="6" t="s">
        <v>87</v>
      </c>
      <c r="L8" s="6" t="s">
        <v>43</v>
      </c>
      <c r="M8" s="1"/>
      <c r="N8" s="6"/>
      <c r="O8" s="11"/>
      <c r="P8" s="9">
        <v>45857.0</v>
      </c>
      <c r="Q8" s="6" t="s">
        <v>88</v>
      </c>
      <c r="R8" s="1"/>
      <c r="S8" s="1"/>
      <c r="T8" s="1"/>
      <c r="U8" s="6"/>
      <c r="V8" s="11"/>
      <c r="W8" s="1"/>
      <c r="X8" s="15">
        <v>45857.0</v>
      </c>
      <c r="Y8" s="6" t="s">
        <v>88</v>
      </c>
      <c r="Z8" s="1"/>
      <c r="AA8" s="1"/>
      <c r="AB8" s="1"/>
      <c r="AC8" s="6" t="s">
        <v>86</v>
      </c>
      <c r="AD8" s="1"/>
      <c r="AE8" s="9">
        <v>45857.0</v>
      </c>
      <c r="AF8" s="1"/>
      <c r="AG8" s="1"/>
      <c r="AH8" s="1"/>
      <c r="AI8" s="6" t="s">
        <v>89</v>
      </c>
      <c r="AJ8" s="6"/>
      <c r="AK8" s="6"/>
      <c r="AL8" s="6" t="str">
        <f t="array" ref="AL8">IFERROR(IFS(XLOOKUP(B8, 'Kit Delivery Status'!$U:$U, 'Kit Delivery Status'!$K:$K) = "Complete", "DELIVERED", XLOOKUP(B8, 'Kit Delivery Status'!$U:$U, 'Kit Delivery Status'!$K:$K) = "Issue", "ISSUE"), "")</f>
        <v/>
      </c>
      <c r="AM8" s="6"/>
    </row>
    <row r="9">
      <c r="A9" s="5" t="str">
        <f t="shared" si="2"/>
        <v>https://utrucking.myshopify.com/admin/orders?query=13918</v>
      </c>
      <c r="B9" s="6" t="s">
        <v>90</v>
      </c>
      <c r="C9" s="12" t="s">
        <v>91</v>
      </c>
      <c r="D9" s="13" t="s">
        <v>92</v>
      </c>
      <c r="E9" s="12" t="s">
        <v>93</v>
      </c>
      <c r="F9" s="12" t="s">
        <v>94</v>
      </c>
      <c r="G9" s="1"/>
      <c r="H9" s="1"/>
      <c r="I9" s="1"/>
      <c r="J9" s="1"/>
      <c r="K9" s="1" t="s">
        <v>95</v>
      </c>
      <c r="L9" s="6"/>
      <c r="M9" s="1"/>
      <c r="N9" s="6"/>
      <c r="O9" s="11"/>
      <c r="P9" s="15">
        <v>45889.0</v>
      </c>
      <c r="Q9" s="12" t="s">
        <v>96</v>
      </c>
      <c r="R9" s="1"/>
      <c r="S9" s="1"/>
      <c r="T9" s="1"/>
      <c r="U9" s="6"/>
      <c r="V9" s="11"/>
      <c r="W9" s="1"/>
      <c r="X9" s="15">
        <v>45889.0</v>
      </c>
      <c r="Y9" s="12" t="s">
        <v>96</v>
      </c>
      <c r="Z9" s="1"/>
      <c r="AA9" s="1"/>
      <c r="AB9" s="1"/>
      <c r="AC9" s="1"/>
      <c r="AD9" s="1"/>
      <c r="AE9" s="16">
        <v>45889.0</v>
      </c>
      <c r="AF9" s="1"/>
      <c r="AG9" s="1"/>
      <c r="AH9" s="1"/>
      <c r="AI9" s="6"/>
      <c r="AJ9" s="6"/>
      <c r="AK9" s="6"/>
      <c r="AL9" s="6" t="str">
        <f t="array" ref="AL9">IFERROR(IFS(XLOOKUP(B9, 'Kit Delivery Status'!$U:$U, 'Kit Delivery Status'!$K:$K) = "Complete", "DELIVERED", XLOOKUP(B9, 'Kit Delivery Status'!$U:$U, 'Kit Delivery Status'!$K:$K) = "Issue", "ISSUE"), "")</f>
        <v/>
      </c>
      <c r="AM9" s="6"/>
    </row>
    <row r="10">
      <c r="A10" s="5" t="str">
        <f t="shared" si="2"/>
        <v>https://utrucking.myshopify.com/admin/orders?query=14224</v>
      </c>
      <c r="B10" s="6" t="s">
        <v>97</v>
      </c>
      <c r="C10" s="12" t="s">
        <v>98</v>
      </c>
      <c r="D10" s="13" t="s">
        <v>99</v>
      </c>
      <c r="E10" s="12" t="s">
        <v>100</v>
      </c>
      <c r="F10" s="12" t="s">
        <v>101</v>
      </c>
      <c r="G10" s="1"/>
      <c r="H10" s="1"/>
      <c r="I10" s="1"/>
      <c r="J10" s="1"/>
      <c r="K10" s="1" t="s">
        <v>95</v>
      </c>
      <c r="L10" s="6"/>
      <c r="M10" s="1"/>
      <c r="N10" s="12" t="s">
        <v>52</v>
      </c>
      <c r="O10" s="11"/>
      <c r="P10" s="15">
        <v>45870.0</v>
      </c>
      <c r="Q10" s="12" t="s">
        <v>54</v>
      </c>
      <c r="R10" s="1"/>
      <c r="S10" s="1"/>
      <c r="T10" s="1"/>
      <c r="U10" s="12" t="s">
        <v>102</v>
      </c>
      <c r="V10" s="17" t="s">
        <v>103</v>
      </c>
      <c r="W10" s="1"/>
      <c r="X10" s="15">
        <v>45870.0</v>
      </c>
      <c r="Y10" s="12" t="s">
        <v>54</v>
      </c>
      <c r="Z10" s="1"/>
      <c r="AA10" s="1"/>
      <c r="AB10" s="1"/>
      <c r="AC10" s="1"/>
      <c r="AD10" s="1"/>
      <c r="AE10" s="16">
        <v>45870.0</v>
      </c>
      <c r="AF10" s="1"/>
      <c r="AG10" s="1"/>
      <c r="AH10" s="1"/>
      <c r="AI10" s="6"/>
      <c r="AJ10" s="6"/>
      <c r="AK10" s="6"/>
      <c r="AL10" s="6" t="str">
        <f t="array" ref="AL10">IFERROR(IFS(XLOOKUP(B10, 'Kit Delivery Status'!$U:$U, 'Kit Delivery Status'!$K:$K) = "Complete", "DELIVERED", XLOOKUP(B10, 'Kit Delivery Status'!$U:$U, 'Kit Delivery Status'!$K:$K) = "Issue", "ISSUE"), "")</f>
        <v/>
      </c>
      <c r="AM10" s="6"/>
    </row>
    <row r="11">
      <c r="A11" s="5" t="str">
        <f t="shared" si="2"/>
        <v>https://utrucking.myshopify.com/admin/orders?query=14409</v>
      </c>
      <c r="B11" s="6" t="s">
        <v>104</v>
      </c>
      <c r="C11" s="12" t="s">
        <v>105</v>
      </c>
      <c r="D11" s="13" t="s">
        <v>106</v>
      </c>
      <c r="E11" s="12" t="s">
        <v>107</v>
      </c>
      <c r="F11" s="12" t="s">
        <v>108</v>
      </c>
      <c r="G11" s="1"/>
      <c r="H11" s="1"/>
      <c r="I11" s="1"/>
      <c r="J11" s="1"/>
      <c r="K11" s="1" t="s">
        <v>95</v>
      </c>
      <c r="L11" s="6"/>
      <c r="M11" s="1"/>
      <c r="N11" s="12" t="s">
        <v>52</v>
      </c>
      <c r="O11" s="11"/>
      <c r="P11" s="15">
        <v>45884.0</v>
      </c>
      <c r="Q11" s="12" t="s">
        <v>44</v>
      </c>
      <c r="R11" s="1"/>
      <c r="S11" s="1"/>
      <c r="T11" s="1"/>
      <c r="U11" s="12" t="s">
        <v>109</v>
      </c>
      <c r="V11" s="17" t="s">
        <v>110</v>
      </c>
      <c r="W11" s="1"/>
      <c r="X11" s="15">
        <v>45884.0</v>
      </c>
      <c r="Y11" s="12" t="s">
        <v>44</v>
      </c>
      <c r="Z11" s="1"/>
      <c r="AA11" s="1"/>
      <c r="AB11" s="1"/>
      <c r="AC11" s="1"/>
      <c r="AD11" s="1"/>
      <c r="AE11" s="18">
        <v>45884.0</v>
      </c>
      <c r="AF11" s="1"/>
      <c r="AG11" s="1"/>
      <c r="AH11" s="1"/>
      <c r="AI11" s="6"/>
      <c r="AJ11" s="6"/>
      <c r="AK11" s="6"/>
      <c r="AL11" s="6" t="str">
        <f t="array" ref="AL11">IFERROR(IFS(XLOOKUP(B11, 'Kit Delivery Status'!$U:$U, 'Kit Delivery Status'!$K:$K) = "Complete", "DELIVERED", XLOOKUP(B11, 'Kit Delivery Status'!$U:$U, 'Kit Delivery Status'!$K:$K) = "Issue", "ISSUE"), "")</f>
        <v/>
      </c>
      <c r="AM11" s="6"/>
    </row>
    <row r="12">
      <c r="A12" s="5" t="str">
        <f t="shared" si="2"/>
        <v>https://utrucking.myshopify.com/admin/orders?query=14473</v>
      </c>
      <c r="B12" s="6" t="s">
        <v>111</v>
      </c>
      <c r="C12" s="12" t="s">
        <v>112</v>
      </c>
      <c r="D12" s="13" t="s">
        <v>113</v>
      </c>
      <c r="E12" s="12" t="s">
        <v>114</v>
      </c>
      <c r="F12" s="12" t="s">
        <v>115</v>
      </c>
      <c r="G12" s="1"/>
      <c r="H12" s="1"/>
      <c r="I12" s="1"/>
      <c r="J12" s="1"/>
      <c r="K12" s="1" t="s">
        <v>95</v>
      </c>
      <c r="L12" s="6"/>
      <c r="M12" s="1"/>
      <c r="N12" s="12" t="s">
        <v>52</v>
      </c>
      <c r="O12" s="11"/>
      <c r="P12" s="15">
        <v>45883.0</v>
      </c>
      <c r="Q12" s="12" t="s">
        <v>88</v>
      </c>
      <c r="R12" s="1"/>
      <c r="S12" s="1"/>
      <c r="T12" s="1"/>
      <c r="U12" s="12" t="s">
        <v>116</v>
      </c>
      <c r="V12" s="17" t="s">
        <v>117</v>
      </c>
      <c r="W12" s="1"/>
      <c r="X12" s="15">
        <v>45883.0</v>
      </c>
      <c r="Y12" s="12" t="s">
        <v>88</v>
      </c>
      <c r="Z12" s="1"/>
      <c r="AA12" s="1"/>
      <c r="AB12" s="1"/>
      <c r="AC12" s="1"/>
      <c r="AD12" s="1"/>
      <c r="AE12" s="18">
        <v>45883.0</v>
      </c>
      <c r="AF12" s="1"/>
      <c r="AG12" s="1"/>
      <c r="AH12" s="1"/>
      <c r="AI12" s="6"/>
      <c r="AJ12" s="6"/>
      <c r="AK12" s="6"/>
      <c r="AL12" s="6" t="str">
        <f t="array" ref="AL12">IFERROR(IFS(XLOOKUP(B12, 'Kit Delivery Status'!$U:$U, 'Kit Delivery Status'!$K:$K) = "Complete", "DELIVERED", XLOOKUP(B12, 'Kit Delivery Status'!$U:$U, 'Kit Delivery Status'!$K:$K) = "Issue", "ISSUE"), "")</f>
        <v/>
      </c>
      <c r="AM12" s="6"/>
    </row>
    <row r="13">
      <c r="A13" s="5" t="s">
        <v>118</v>
      </c>
      <c r="B13" s="12" t="s">
        <v>119</v>
      </c>
      <c r="C13" s="12" t="s">
        <v>120</v>
      </c>
      <c r="D13" s="13" t="s">
        <v>121</v>
      </c>
      <c r="E13" s="12" t="s">
        <v>122</v>
      </c>
      <c r="F13" s="12" t="s">
        <v>123</v>
      </c>
      <c r="G13" s="1"/>
      <c r="H13" s="1"/>
      <c r="I13" s="1"/>
      <c r="J13" s="1"/>
      <c r="K13" s="1" t="s">
        <v>51</v>
      </c>
      <c r="L13" s="6"/>
      <c r="M13" s="1"/>
      <c r="N13" s="12" t="s">
        <v>124</v>
      </c>
      <c r="O13" s="11"/>
      <c r="P13" s="15">
        <v>45893.0</v>
      </c>
      <c r="Q13" s="12" t="s">
        <v>125</v>
      </c>
      <c r="R13" s="1" t="s">
        <v>126</v>
      </c>
      <c r="S13" s="1"/>
      <c r="T13" s="1"/>
      <c r="U13" s="12"/>
      <c r="V13" s="17"/>
      <c r="W13" s="1"/>
      <c r="X13" s="15">
        <v>45893.0</v>
      </c>
      <c r="Y13" s="12" t="s">
        <v>125</v>
      </c>
      <c r="Z13" s="1"/>
      <c r="AA13" s="1"/>
      <c r="AB13" s="1"/>
      <c r="AC13" s="1"/>
      <c r="AD13" s="1"/>
      <c r="AE13" s="18">
        <v>45893.0</v>
      </c>
      <c r="AF13" s="1"/>
      <c r="AG13" s="1"/>
      <c r="AH13" s="1"/>
      <c r="AI13" s="6"/>
      <c r="AJ13" s="6"/>
      <c r="AK13" s="6"/>
      <c r="AL13" s="6" t="str">
        <f t="array" ref="AL13">IFERROR(IFS(XLOOKUP(B13, 'Kit Delivery Status'!$U:$U, 'Kit Delivery Status'!$K:$K) = "Complete", "DELIVERED", XLOOKUP(B13, 'Kit Delivery Status'!$U:$U, 'Kit Delivery Status'!$K:$K) = "Issue", "ISSUE"), "")</f>
        <v/>
      </c>
      <c r="AM13" s="6"/>
    </row>
    <row r="14">
      <c r="A14" s="5" t="str">
        <f t="shared" ref="A14:A22" si="3">HYPERLINK("https://utrucking.myshopify.com/admin/orders?query="&amp;RIGHT(B14,LEN(B14)-1))</f>
        <v>https://utrucking.myshopify.com/admin/orders?query=14528</v>
      </c>
      <c r="B14" s="6" t="s">
        <v>127</v>
      </c>
      <c r="C14" s="12" t="s">
        <v>128</v>
      </c>
      <c r="D14" s="13" t="s">
        <v>129</v>
      </c>
      <c r="E14" s="12" t="s">
        <v>130</v>
      </c>
      <c r="F14" s="12" t="s">
        <v>131</v>
      </c>
      <c r="G14" s="1"/>
      <c r="H14" s="1"/>
      <c r="I14" s="1"/>
      <c r="J14" s="1"/>
      <c r="K14" s="1" t="s">
        <v>95</v>
      </c>
      <c r="L14" s="6"/>
      <c r="M14" s="1"/>
      <c r="N14" s="12" t="s">
        <v>52</v>
      </c>
      <c r="O14" s="11"/>
      <c r="P14" s="15">
        <v>45883.0</v>
      </c>
      <c r="Q14" s="12" t="s">
        <v>60</v>
      </c>
      <c r="R14" s="1"/>
      <c r="S14" s="1"/>
      <c r="T14" s="1"/>
      <c r="U14" s="12" t="s">
        <v>132</v>
      </c>
      <c r="V14" s="17" t="s">
        <v>133</v>
      </c>
      <c r="W14" s="1"/>
      <c r="X14" s="15">
        <v>45883.0</v>
      </c>
      <c r="Y14" s="12" t="s">
        <v>60</v>
      </c>
      <c r="Z14" s="1"/>
      <c r="AA14" s="1"/>
      <c r="AB14" s="1"/>
      <c r="AC14" s="1"/>
      <c r="AD14" s="1"/>
      <c r="AE14" s="18">
        <v>45883.0</v>
      </c>
      <c r="AF14" s="1"/>
      <c r="AG14" s="1"/>
      <c r="AH14" s="1"/>
      <c r="AI14" s="6"/>
      <c r="AJ14" s="6"/>
      <c r="AK14" s="6"/>
      <c r="AL14" s="6" t="str">
        <f t="array" ref="AL14">IFERROR(IFS(XLOOKUP(B14, 'Kit Delivery Status'!$U:$U, 'Kit Delivery Status'!$K:$K) = "Complete", "DELIVERED", XLOOKUP(B14, 'Kit Delivery Status'!$U:$U, 'Kit Delivery Status'!$K:$K) = "Issue", "ISSUE"), "")</f>
        <v/>
      </c>
      <c r="AM14" s="6"/>
    </row>
    <row r="15">
      <c r="A15" s="5" t="str">
        <f t="shared" si="3"/>
        <v>https://utrucking.myshopify.com/admin/orders?query=14587</v>
      </c>
      <c r="B15" s="6" t="s">
        <v>134</v>
      </c>
      <c r="C15" s="12" t="s">
        <v>135</v>
      </c>
      <c r="D15" s="13" t="s">
        <v>136</v>
      </c>
      <c r="E15" s="12" t="s">
        <v>137</v>
      </c>
      <c r="F15" s="12" t="s">
        <v>138</v>
      </c>
      <c r="G15" s="1"/>
      <c r="H15" s="1"/>
      <c r="I15" s="1"/>
      <c r="J15" s="1"/>
      <c r="K15" s="1" t="s">
        <v>95</v>
      </c>
      <c r="L15" s="6"/>
      <c r="M15" s="1"/>
      <c r="N15" s="12" t="s">
        <v>52</v>
      </c>
      <c r="O15" s="11"/>
      <c r="P15" s="15">
        <v>45784.0</v>
      </c>
      <c r="Q15" s="12" t="s">
        <v>125</v>
      </c>
      <c r="R15" s="1"/>
      <c r="S15" s="1"/>
      <c r="T15" s="1"/>
      <c r="U15" s="12" t="s">
        <v>109</v>
      </c>
      <c r="V15" s="17" t="s">
        <v>139</v>
      </c>
      <c r="W15" s="1"/>
      <c r="X15" s="15">
        <v>45784.0</v>
      </c>
      <c r="Y15" s="12" t="s">
        <v>125</v>
      </c>
      <c r="Z15" s="1"/>
      <c r="AA15" s="1"/>
      <c r="AB15" s="1"/>
      <c r="AC15" s="1"/>
      <c r="AD15" s="1"/>
      <c r="AE15" s="16">
        <v>45784.0</v>
      </c>
      <c r="AF15" s="1"/>
      <c r="AG15" s="1"/>
      <c r="AH15" s="1"/>
      <c r="AI15" s="6"/>
      <c r="AJ15" s="6"/>
      <c r="AK15" s="6"/>
      <c r="AL15" s="6" t="str">
        <f t="array" ref="AL15">IFERROR(IFS(XLOOKUP(B15, 'Kit Delivery Status'!$U:$U, 'Kit Delivery Status'!$K:$K) = "Complete", "DELIVERED", XLOOKUP(B15, 'Kit Delivery Status'!$U:$U, 'Kit Delivery Status'!$K:$K) = "Issue", "ISSUE"), "")</f>
        <v/>
      </c>
      <c r="AM15" s="6"/>
    </row>
    <row r="16">
      <c r="A16" s="5" t="str">
        <f t="shared" si="3"/>
        <v>https://utrucking.myshopify.com/admin/orders?query=14755</v>
      </c>
      <c r="B16" s="6" t="s">
        <v>140</v>
      </c>
      <c r="C16" s="12" t="s">
        <v>141</v>
      </c>
      <c r="D16" s="13" t="s">
        <v>142</v>
      </c>
      <c r="E16" s="12" t="s">
        <v>143</v>
      </c>
      <c r="F16" s="12" t="s">
        <v>144</v>
      </c>
      <c r="G16" s="1"/>
      <c r="H16" s="1"/>
      <c r="I16" s="1"/>
      <c r="J16" s="1"/>
      <c r="K16" s="1" t="s">
        <v>95</v>
      </c>
      <c r="L16" s="6"/>
      <c r="M16" s="1"/>
      <c r="N16" s="12" t="s">
        <v>52</v>
      </c>
      <c r="O16" s="11"/>
      <c r="P16" s="15">
        <v>45883.0</v>
      </c>
      <c r="Q16" s="12" t="s">
        <v>145</v>
      </c>
      <c r="R16" s="1"/>
      <c r="S16" s="1"/>
      <c r="T16" s="1"/>
      <c r="U16" s="12" t="s">
        <v>146</v>
      </c>
      <c r="V16" s="17" t="s">
        <v>147</v>
      </c>
      <c r="W16" s="1"/>
      <c r="X16" s="15">
        <v>45883.0</v>
      </c>
      <c r="Y16" s="12" t="s">
        <v>145</v>
      </c>
      <c r="Z16" s="1"/>
      <c r="AA16" s="1"/>
      <c r="AB16" s="1"/>
      <c r="AC16" s="1"/>
      <c r="AD16" s="1"/>
      <c r="AE16" s="18">
        <v>45883.0</v>
      </c>
      <c r="AF16" s="1"/>
      <c r="AG16" s="1"/>
      <c r="AH16" s="1"/>
      <c r="AI16" s="6"/>
      <c r="AJ16" s="6"/>
      <c r="AK16" s="6"/>
      <c r="AL16" s="6" t="str">
        <f t="array" ref="AL16">IFERROR(IFS(XLOOKUP(B16, 'Kit Delivery Status'!$U:$U, 'Kit Delivery Status'!$K:$K) = "Complete", "DELIVERED", XLOOKUP(B16, 'Kit Delivery Status'!$U:$U, 'Kit Delivery Status'!$K:$K) = "Issue", "ISSUE"), "")</f>
        <v/>
      </c>
      <c r="AM16" s="6"/>
    </row>
    <row r="17">
      <c r="A17" s="5" t="str">
        <f t="shared" si="3"/>
        <v>https://utrucking.myshopify.com/admin/orders?query=14825</v>
      </c>
      <c r="B17" s="6" t="s">
        <v>148</v>
      </c>
      <c r="C17" s="12" t="s">
        <v>149</v>
      </c>
      <c r="D17" s="13" t="s">
        <v>150</v>
      </c>
      <c r="E17" s="12" t="s">
        <v>151</v>
      </c>
      <c r="F17" s="12" t="s">
        <v>152</v>
      </c>
      <c r="G17" s="1"/>
      <c r="H17" s="1"/>
      <c r="I17" s="1"/>
      <c r="J17" s="1"/>
      <c r="K17" s="1" t="s">
        <v>95</v>
      </c>
      <c r="L17" s="6"/>
      <c r="M17" s="1"/>
      <c r="N17" s="12" t="s">
        <v>52</v>
      </c>
      <c r="O17" s="11"/>
      <c r="P17" s="15">
        <v>45883.0</v>
      </c>
      <c r="Q17" s="12" t="s">
        <v>54</v>
      </c>
      <c r="R17" s="1"/>
      <c r="S17" s="1"/>
      <c r="T17" s="1"/>
      <c r="U17" s="12" t="s">
        <v>153</v>
      </c>
      <c r="V17" s="17" t="s">
        <v>154</v>
      </c>
      <c r="W17" s="1"/>
      <c r="X17" s="15">
        <v>45883.0</v>
      </c>
      <c r="Y17" s="12" t="s">
        <v>54</v>
      </c>
      <c r="Z17" s="1"/>
      <c r="AA17" s="1"/>
      <c r="AB17" s="1"/>
      <c r="AC17" s="1"/>
      <c r="AD17" s="1"/>
      <c r="AE17" s="18">
        <v>45883.0</v>
      </c>
      <c r="AF17" s="1"/>
      <c r="AG17" s="1"/>
      <c r="AH17" s="1"/>
      <c r="AI17" s="6"/>
      <c r="AJ17" s="6"/>
      <c r="AK17" s="6"/>
      <c r="AL17" s="6" t="str">
        <f t="array" ref="AL17">IFERROR(IFS(XLOOKUP(B17, 'Kit Delivery Status'!$U:$U, 'Kit Delivery Status'!$K:$K) = "Complete", "DELIVERED", XLOOKUP(B17, 'Kit Delivery Status'!$U:$U, 'Kit Delivery Status'!$K:$K) = "Issue", "ISSUE"), "")</f>
        <v/>
      </c>
      <c r="AM17" s="6"/>
    </row>
    <row r="18">
      <c r="A18" s="5" t="str">
        <f t="shared" si="3"/>
        <v>https://utrucking.myshopify.com/admin/orders?query=14979</v>
      </c>
      <c r="B18" s="6" t="s">
        <v>155</v>
      </c>
      <c r="C18" s="12" t="s">
        <v>156</v>
      </c>
      <c r="D18" s="13" t="s">
        <v>157</v>
      </c>
      <c r="E18" s="12" t="s">
        <v>158</v>
      </c>
      <c r="F18" s="12" t="s">
        <v>159</v>
      </c>
      <c r="G18" s="1"/>
      <c r="H18" s="1"/>
      <c r="I18" s="1"/>
      <c r="J18" s="1"/>
      <c r="K18" s="1" t="s">
        <v>95</v>
      </c>
      <c r="L18" s="6"/>
      <c r="M18" s="1"/>
      <c r="N18" s="12" t="s">
        <v>52</v>
      </c>
      <c r="O18" s="11"/>
      <c r="P18" s="15">
        <v>45883.0</v>
      </c>
      <c r="Q18" s="12" t="s">
        <v>160</v>
      </c>
      <c r="R18" s="1"/>
      <c r="S18" s="1"/>
      <c r="T18" s="1"/>
      <c r="U18" s="12" t="s">
        <v>161</v>
      </c>
      <c r="V18" s="17" t="s">
        <v>162</v>
      </c>
      <c r="W18" s="1"/>
      <c r="X18" s="15">
        <v>45883.0</v>
      </c>
      <c r="Y18" s="12" t="s">
        <v>160</v>
      </c>
      <c r="Z18" s="1"/>
      <c r="AA18" s="1"/>
      <c r="AB18" s="1"/>
      <c r="AC18" s="1"/>
      <c r="AD18" s="1"/>
      <c r="AE18" s="18">
        <v>45883.0</v>
      </c>
      <c r="AF18" s="1"/>
      <c r="AG18" s="1"/>
      <c r="AH18" s="1"/>
      <c r="AI18" s="6"/>
      <c r="AJ18" s="6"/>
      <c r="AK18" s="6"/>
      <c r="AL18" s="6" t="str">
        <f t="array" ref="AL18">IFERROR(IFS(XLOOKUP(B18, 'Kit Delivery Status'!$U:$U, 'Kit Delivery Status'!$K:$K) = "Complete", "DELIVERED", XLOOKUP(B18, 'Kit Delivery Status'!$U:$U, 'Kit Delivery Status'!$K:$K) = "Issue", "ISSUE"), "")</f>
        <v/>
      </c>
      <c r="AM18" s="6"/>
    </row>
    <row r="19">
      <c r="A19" s="5" t="str">
        <f t="shared" si="3"/>
        <v>https://utrucking.myshopify.com/admin/orders?query=14984</v>
      </c>
      <c r="B19" s="6" t="s">
        <v>163</v>
      </c>
      <c r="C19" s="12" t="s">
        <v>164</v>
      </c>
      <c r="D19" s="13" t="s">
        <v>165</v>
      </c>
      <c r="E19" s="12" t="s">
        <v>166</v>
      </c>
      <c r="F19" s="12" t="s">
        <v>167</v>
      </c>
      <c r="G19" s="1"/>
      <c r="H19" s="1"/>
      <c r="I19" s="1"/>
      <c r="J19" s="1"/>
      <c r="K19" s="1" t="s">
        <v>95</v>
      </c>
      <c r="L19" s="6"/>
      <c r="M19" s="1"/>
      <c r="N19" s="12" t="s">
        <v>52</v>
      </c>
      <c r="O19" s="11"/>
      <c r="P19" s="15">
        <v>45883.0</v>
      </c>
      <c r="Q19" s="12" t="s">
        <v>54</v>
      </c>
      <c r="R19" s="1"/>
      <c r="S19" s="1"/>
      <c r="T19" s="1"/>
      <c r="U19" s="12" t="s">
        <v>68</v>
      </c>
      <c r="V19" s="17" t="s">
        <v>168</v>
      </c>
      <c r="W19" s="1"/>
      <c r="X19" s="15">
        <v>45883.0</v>
      </c>
      <c r="Y19" s="12" t="s">
        <v>54</v>
      </c>
      <c r="Z19" s="1"/>
      <c r="AA19" s="1"/>
      <c r="AB19" s="1"/>
      <c r="AC19" s="1"/>
      <c r="AD19" s="1"/>
      <c r="AE19" s="18">
        <v>45883.0</v>
      </c>
      <c r="AF19" s="1"/>
      <c r="AG19" s="1"/>
      <c r="AH19" s="1"/>
      <c r="AI19" s="6"/>
      <c r="AJ19" s="6"/>
      <c r="AK19" s="6"/>
      <c r="AL19" s="6" t="str">
        <f t="array" ref="AL19">IFERROR(IFS(XLOOKUP(B19, 'Kit Delivery Status'!$U:$U, 'Kit Delivery Status'!$K:$K) = "Complete", "DELIVERED", XLOOKUP(B19, 'Kit Delivery Status'!$U:$U, 'Kit Delivery Status'!$K:$K) = "Issue", "ISSUE"), "")</f>
        <v/>
      </c>
      <c r="AM19" s="6"/>
    </row>
    <row r="20">
      <c r="A20" s="5" t="str">
        <f t="shared" si="3"/>
        <v>https://utrucking.myshopify.com/admin/orders?query=14988</v>
      </c>
      <c r="B20" s="6" t="s">
        <v>169</v>
      </c>
      <c r="C20" s="12" t="s">
        <v>170</v>
      </c>
      <c r="D20" s="13" t="s">
        <v>171</v>
      </c>
      <c r="E20" s="12" t="s">
        <v>172</v>
      </c>
      <c r="F20" s="12" t="s">
        <v>173</v>
      </c>
      <c r="G20" s="1"/>
      <c r="H20" s="1"/>
      <c r="I20" s="1"/>
      <c r="J20" s="1"/>
      <c r="K20" s="1" t="s">
        <v>95</v>
      </c>
      <c r="L20" s="6"/>
      <c r="M20" s="1"/>
      <c r="N20" s="12" t="s">
        <v>52</v>
      </c>
      <c r="O20" s="11"/>
      <c r="P20" s="15">
        <v>45881.0</v>
      </c>
      <c r="Q20" s="12" t="s">
        <v>54</v>
      </c>
      <c r="R20" s="1"/>
      <c r="S20" s="1"/>
      <c r="T20" s="1"/>
      <c r="U20" s="12" t="s">
        <v>78</v>
      </c>
      <c r="V20" s="17" t="s">
        <v>174</v>
      </c>
      <c r="W20" s="1"/>
      <c r="X20" s="15">
        <v>45881.0</v>
      </c>
      <c r="Y20" s="12" t="s">
        <v>54</v>
      </c>
      <c r="Z20" s="1"/>
      <c r="AA20" s="1"/>
      <c r="AB20" s="1"/>
      <c r="AC20" s="1"/>
      <c r="AD20" s="1"/>
      <c r="AE20" s="16">
        <v>45881.0</v>
      </c>
      <c r="AF20" s="1"/>
      <c r="AG20" s="1"/>
      <c r="AH20" s="1"/>
      <c r="AI20" s="6"/>
      <c r="AJ20" s="6"/>
      <c r="AK20" s="6"/>
      <c r="AL20" s="6" t="str">
        <f t="array" ref="AL20">IFERROR(IFS(XLOOKUP(B20, 'Kit Delivery Status'!$U:$U, 'Kit Delivery Status'!$K:$K) = "Complete", "DELIVERED", XLOOKUP(B20, 'Kit Delivery Status'!$U:$U, 'Kit Delivery Status'!$K:$K) = "Issue", "ISSUE"), "")</f>
        <v/>
      </c>
      <c r="AM20" s="6"/>
    </row>
    <row r="21">
      <c r="A21" s="5" t="str">
        <f t="shared" si="3"/>
        <v>https://utrucking.myshopify.com/admin/orders?query=14989</v>
      </c>
      <c r="B21" s="6" t="s">
        <v>175</v>
      </c>
      <c r="C21" s="12" t="s">
        <v>176</v>
      </c>
      <c r="D21" s="13"/>
      <c r="E21" s="12" t="s">
        <v>177</v>
      </c>
      <c r="F21" s="12" t="s">
        <v>178</v>
      </c>
      <c r="G21" s="1"/>
      <c r="H21" s="1"/>
      <c r="I21" s="1"/>
      <c r="J21" s="1"/>
      <c r="K21" s="1" t="s">
        <v>95</v>
      </c>
      <c r="L21" s="6"/>
      <c r="M21" s="1"/>
      <c r="N21" s="12" t="s">
        <v>52</v>
      </c>
      <c r="O21" s="11"/>
      <c r="P21" s="15">
        <v>45805.0</v>
      </c>
      <c r="Q21" s="12" t="s">
        <v>54</v>
      </c>
      <c r="R21" s="1"/>
      <c r="S21" s="1"/>
      <c r="T21" s="1"/>
      <c r="U21" s="12" t="s">
        <v>179</v>
      </c>
      <c r="V21" s="17" t="s">
        <v>180</v>
      </c>
      <c r="W21" s="1"/>
      <c r="X21" s="15">
        <v>45805.0</v>
      </c>
      <c r="Y21" s="12" t="s">
        <v>54</v>
      </c>
      <c r="Z21" s="1"/>
      <c r="AA21" s="1"/>
      <c r="AB21" s="1"/>
      <c r="AC21" s="1"/>
      <c r="AD21" s="1"/>
      <c r="AE21" s="18">
        <v>45805.0</v>
      </c>
      <c r="AF21" s="1"/>
      <c r="AG21" s="1"/>
      <c r="AH21" s="1"/>
      <c r="AI21" s="6"/>
      <c r="AJ21" s="6"/>
      <c r="AK21" s="6"/>
      <c r="AL21" s="6" t="str">
        <f t="array" ref="AL21">IFERROR(IFS(XLOOKUP(B21, 'Kit Delivery Status'!$U:$U, 'Kit Delivery Status'!$K:$K) = "Complete", "DELIVERED", XLOOKUP(B21, 'Kit Delivery Status'!$U:$U, 'Kit Delivery Status'!$K:$K) = "Issue", "ISSUE"), "")</f>
        <v/>
      </c>
      <c r="AM21" s="6"/>
    </row>
    <row r="22">
      <c r="A22" s="5" t="str">
        <f t="shared" si="3"/>
        <v>https://utrucking.myshopify.com/admin/orders?query=14994</v>
      </c>
      <c r="B22" s="6" t="s">
        <v>181</v>
      </c>
      <c r="C22" s="12" t="s">
        <v>182</v>
      </c>
      <c r="D22" s="13" t="s">
        <v>183</v>
      </c>
      <c r="E22" s="12" t="s">
        <v>184</v>
      </c>
      <c r="F22" s="12" t="s">
        <v>185</v>
      </c>
      <c r="G22" s="1"/>
      <c r="H22" s="1"/>
      <c r="I22" s="1"/>
      <c r="J22" s="1"/>
      <c r="K22" s="1" t="s">
        <v>95</v>
      </c>
      <c r="L22" s="6"/>
      <c r="M22" s="1"/>
      <c r="N22" s="12" t="s">
        <v>52</v>
      </c>
      <c r="O22" s="11"/>
      <c r="P22" s="15">
        <v>45870.0</v>
      </c>
      <c r="Q22" s="12" t="s">
        <v>54</v>
      </c>
      <c r="R22" s="1"/>
      <c r="S22" s="1"/>
      <c r="T22" s="1"/>
      <c r="U22" s="12" t="s">
        <v>186</v>
      </c>
      <c r="V22" s="17" t="s">
        <v>187</v>
      </c>
      <c r="W22" s="1"/>
      <c r="X22" s="15">
        <v>45870.0</v>
      </c>
      <c r="Y22" s="12" t="s">
        <v>54</v>
      </c>
      <c r="Z22" s="1"/>
      <c r="AA22" s="1"/>
      <c r="AB22" s="1"/>
      <c r="AC22" s="1"/>
      <c r="AD22" s="1"/>
      <c r="AE22" s="16">
        <v>45870.0</v>
      </c>
      <c r="AF22" s="1"/>
      <c r="AG22" s="1"/>
      <c r="AH22" s="1"/>
      <c r="AI22" s="6"/>
      <c r="AJ22" s="6"/>
      <c r="AK22" s="6"/>
      <c r="AL22" s="6" t="str">
        <f t="array" ref="AL22">IFERROR(IFS(XLOOKUP(B22, 'Kit Delivery Status'!$U:$U, 'Kit Delivery Status'!$K:$K) = "Complete", "DELIVERED", XLOOKUP(B22, 'Kit Delivery Status'!$U:$U, 'Kit Delivery Status'!$K:$K) = "Issue", "ISSUE"), "")</f>
        <v/>
      </c>
      <c r="AM22" s="6"/>
    </row>
    <row r="23">
      <c r="A23" s="5" t="s">
        <v>188</v>
      </c>
      <c r="B23" s="12" t="s">
        <v>189</v>
      </c>
      <c r="C23" s="12" t="s">
        <v>40</v>
      </c>
      <c r="D23" s="13" t="s">
        <v>190</v>
      </c>
      <c r="E23" s="12" t="s">
        <v>41</v>
      </c>
      <c r="F23" s="12" t="s">
        <v>191</v>
      </c>
      <c r="G23" s="1"/>
      <c r="H23" s="1"/>
      <c r="I23" s="1"/>
      <c r="J23" s="1"/>
      <c r="K23" s="1" t="s">
        <v>66</v>
      </c>
      <c r="L23" s="12" t="s">
        <v>192</v>
      </c>
      <c r="M23" s="1">
        <v>145.0</v>
      </c>
      <c r="N23" s="12" t="s">
        <v>52</v>
      </c>
      <c r="O23" s="17" t="s">
        <v>110</v>
      </c>
      <c r="P23" s="15">
        <v>45792.0</v>
      </c>
      <c r="Q23" s="12" t="s">
        <v>54</v>
      </c>
      <c r="R23" s="1"/>
      <c r="S23" s="1"/>
      <c r="T23" s="1"/>
      <c r="U23" s="12" t="s">
        <v>116</v>
      </c>
      <c r="V23" s="17" t="s">
        <v>110</v>
      </c>
      <c r="W23" s="1"/>
      <c r="X23" s="15">
        <v>45792.0</v>
      </c>
      <c r="Y23" s="12" t="s">
        <v>54</v>
      </c>
      <c r="Z23" s="1"/>
      <c r="AA23" s="1"/>
      <c r="AB23" s="1"/>
      <c r="AC23" s="1"/>
      <c r="AD23" s="1"/>
      <c r="AE23" s="18"/>
      <c r="AF23" s="1"/>
      <c r="AG23" s="1"/>
      <c r="AH23" s="1"/>
      <c r="AI23" s="6"/>
      <c r="AJ23" s="6"/>
      <c r="AK23" s="6"/>
      <c r="AL23" s="6" t="str">
        <f t="array" ref="AL23">IFERROR(IFS(XLOOKUP(B23, 'Kit Delivery Status'!$U:$U, 'Kit Delivery Status'!$K:$K) = "Complete", "DELIVERED", XLOOKUP(B23, 'Kit Delivery Status'!$U:$U, 'Kit Delivery Status'!$K:$K) = "Issue", "ISSUE"), "")</f>
        <v/>
      </c>
      <c r="AM23" s="6"/>
    </row>
    <row r="24">
      <c r="A24" s="5" t="str">
        <f t="shared" ref="A24:A113" si="4">HYPERLINK("https://utrucking.myshopify.com/admin/orders?query="&amp;RIGHT(B24,LEN(B24)-1))</f>
        <v>https://utrucking.myshopify.com/admin/orders?query=15020</v>
      </c>
      <c r="B24" s="6" t="s">
        <v>193</v>
      </c>
      <c r="C24" s="12" t="s">
        <v>194</v>
      </c>
      <c r="D24" s="13" t="s">
        <v>195</v>
      </c>
      <c r="E24" s="12" t="s">
        <v>196</v>
      </c>
      <c r="F24" s="12" t="s">
        <v>197</v>
      </c>
      <c r="G24" s="1"/>
      <c r="H24" s="1"/>
      <c r="I24" s="1"/>
      <c r="J24" s="1"/>
      <c r="K24" s="1" t="s">
        <v>95</v>
      </c>
      <c r="L24" s="6"/>
      <c r="M24" s="1"/>
      <c r="N24" s="12" t="s">
        <v>52</v>
      </c>
      <c r="O24" s="11"/>
      <c r="P24" s="15">
        <v>45883.0</v>
      </c>
      <c r="Q24" s="12" t="s">
        <v>44</v>
      </c>
      <c r="R24" s="1"/>
      <c r="S24" s="1"/>
      <c r="T24" s="1"/>
      <c r="U24" s="12" t="s">
        <v>186</v>
      </c>
      <c r="V24" s="17" t="s">
        <v>198</v>
      </c>
      <c r="W24" s="1"/>
      <c r="X24" s="15">
        <v>45883.0</v>
      </c>
      <c r="Y24" s="12" t="s">
        <v>44</v>
      </c>
      <c r="Z24" s="1"/>
      <c r="AA24" s="1"/>
      <c r="AB24" s="1"/>
      <c r="AC24" s="1"/>
      <c r="AD24" s="1"/>
      <c r="AE24" s="18">
        <v>45883.0</v>
      </c>
      <c r="AF24" s="1"/>
      <c r="AG24" s="1"/>
      <c r="AH24" s="1"/>
      <c r="AI24" s="6"/>
      <c r="AJ24" s="6"/>
      <c r="AK24" s="6"/>
      <c r="AL24" s="6" t="str">
        <f t="array" ref="AL24">IFERROR(IFS(XLOOKUP(B24, 'Kit Delivery Status'!$U:$U, 'Kit Delivery Status'!$K:$K) = "Complete", "DELIVERED", XLOOKUP(B24, 'Kit Delivery Status'!$U:$U, 'Kit Delivery Status'!$K:$K) = "Issue", "ISSUE"), "")</f>
        <v/>
      </c>
      <c r="AM24" s="6"/>
    </row>
    <row r="25">
      <c r="A25" s="5" t="str">
        <f t="shared" si="4"/>
        <v>https://utrucking.myshopify.com/admin/orders?query=15032</v>
      </c>
      <c r="B25" s="6" t="s">
        <v>199</v>
      </c>
      <c r="C25" s="12" t="s">
        <v>200</v>
      </c>
      <c r="D25" s="13" t="s">
        <v>201</v>
      </c>
      <c r="E25" s="12" t="s">
        <v>202</v>
      </c>
      <c r="F25" s="12" t="s">
        <v>203</v>
      </c>
      <c r="G25" s="1"/>
      <c r="H25" s="1"/>
      <c r="I25" s="1"/>
      <c r="J25" s="1"/>
      <c r="K25" s="1" t="s">
        <v>95</v>
      </c>
      <c r="L25" s="6"/>
      <c r="M25" s="1"/>
      <c r="N25" s="12" t="s">
        <v>52</v>
      </c>
      <c r="O25" s="11"/>
      <c r="P25" s="15">
        <v>45883.0</v>
      </c>
      <c r="Q25" s="12" t="s">
        <v>54</v>
      </c>
      <c r="R25" s="1"/>
      <c r="S25" s="1"/>
      <c r="T25" s="1"/>
      <c r="U25" s="12" t="s">
        <v>116</v>
      </c>
      <c r="V25" s="17" t="s">
        <v>204</v>
      </c>
      <c r="W25" s="1"/>
      <c r="X25" s="15">
        <v>45883.0</v>
      </c>
      <c r="Y25" s="12" t="s">
        <v>54</v>
      </c>
      <c r="Z25" s="1"/>
      <c r="AA25" s="1"/>
      <c r="AB25" s="1"/>
      <c r="AC25" s="1"/>
      <c r="AD25" s="1"/>
      <c r="AE25" s="18">
        <v>45883.0</v>
      </c>
      <c r="AF25" s="1"/>
      <c r="AG25" s="1"/>
      <c r="AH25" s="1"/>
      <c r="AI25" s="6"/>
      <c r="AJ25" s="6"/>
      <c r="AK25" s="6"/>
      <c r="AL25" s="6" t="str">
        <f t="array" ref="AL25">IFERROR(IFS(XLOOKUP(B25, 'Kit Delivery Status'!$U:$U, 'Kit Delivery Status'!$K:$K) = "Complete", "DELIVERED", XLOOKUP(B25, 'Kit Delivery Status'!$U:$U, 'Kit Delivery Status'!$K:$K) = "Issue", "ISSUE"), "")</f>
        <v/>
      </c>
      <c r="AM25" s="6"/>
    </row>
    <row r="26">
      <c r="A26" s="5" t="str">
        <f t="shared" si="4"/>
        <v>https://utrucking.myshopify.com/admin/orders?query=15036</v>
      </c>
      <c r="B26" s="6" t="s">
        <v>205</v>
      </c>
      <c r="C26" s="12" t="s">
        <v>206</v>
      </c>
      <c r="D26" s="13" t="s">
        <v>207</v>
      </c>
      <c r="E26" s="12" t="s">
        <v>208</v>
      </c>
      <c r="F26" s="12" t="s">
        <v>209</v>
      </c>
      <c r="G26" s="1"/>
      <c r="H26" s="1"/>
      <c r="I26" s="1"/>
      <c r="J26" s="1"/>
      <c r="K26" s="1" t="s">
        <v>95</v>
      </c>
      <c r="L26" s="6"/>
      <c r="M26" s="1"/>
      <c r="N26" s="12" t="s">
        <v>52</v>
      </c>
      <c r="O26" s="11"/>
      <c r="P26" s="15">
        <v>45881.0</v>
      </c>
      <c r="Q26" s="12" t="s">
        <v>54</v>
      </c>
      <c r="R26" s="1"/>
      <c r="S26" s="1"/>
      <c r="T26" s="1"/>
      <c r="U26" s="12" t="s">
        <v>102</v>
      </c>
      <c r="V26" s="17" t="s">
        <v>103</v>
      </c>
      <c r="W26" s="1"/>
      <c r="X26" s="15">
        <v>45881.0</v>
      </c>
      <c r="Y26" s="12" t="s">
        <v>54</v>
      </c>
      <c r="Z26" s="1"/>
      <c r="AA26" s="1"/>
      <c r="AB26" s="1"/>
      <c r="AC26" s="1"/>
      <c r="AD26" s="1"/>
      <c r="AE26" s="16">
        <v>45881.0</v>
      </c>
      <c r="AF26" s="1"/>
      <c r="AG26" s="1"/>
      <c r="AH26" s="1"/>
      <c r="AI26" s="6"/>
      <c r="AJ26" s="6"/>
      <c r="AK26" s="6"/>
      <c r="AL26" s="6" t="str">
        <f t="array" ref="AL26">IFERROR(IFS(XLOOKUP(B26, 'Kit Delivery Status'!$U:$U, 'Kit Delivery Status'!$K:$K) = "Complete", "DELIVERED", XLOOKUP(B26, 'Kit Delivery Status'!$U:$U, 'Kit Delivery Status'!$K:$K) = "Issue", "ISSUE"), "")</f>
        <v/>
      </c>
      <c r="AM26" s="6"/>
    </row>
    <row r="27">
      <c r="A27" s="5" t="str">
        <f t="shared" si="4"/>
        <v>https://utrucking.myshopify.com/admin/orders?query=15039</v>
      </c>
      <c r="B27" s="6" t="s">
        <v>210</v>
      </c>
      <c r="C27" s="12" t="s">
        <v>211</v>
      </c>
      <c r="D27" s="13" t="s">
        <v>212</v>
      </c>
      <c r="E27" s="12" t="s">
        <v>213</v>
      </c>
      <c r="F27" s="12" t="s">
        <v>214</v>
      </c>
      <c r="G27" s="1"/>
      <c r="H27" s="1"/>
      <c r="I27" s="1"/>
      <c r="J27" s="1"/>
      <c r="K27" s="1" t="s">
        <v>95</v>
      </c>
      <c r="L27" s="6"/>
      <c r="M27" s="1"/>
      <c r="N27" s="12" t="s">
        <v>52</v>
      </c>
      <c r="O27" s="11"/>
      <c r="P27" s="15">
        <v>45889.0</v>
      </c>
      <c r="Q27" s="12" t="s">
        <v>54</v>
      </c>
      <c r="R27" s="1"/>
      <c r="S27" s="1"/>
      <c r="T27" s="1"/>
      <c r="U27" s="12" t="s">
        <v>215</v>
      </c>
      <c r="V27" s="17" t="s">
        <v>216</v>
      </c>
      <c r="W27" s="1"/>
      <c r="X27" s="15">
        <v>45889.0</v>
      </c>
      <c r="Y27" s="12" t="s">
        <v>54</v>
      </c>
      <c r="Z27" s="1"/>
      <c r="AA27" s="1"/>
      <c r="AB27" s="1"/>
      <c r="AC27" s="1"/>
      <c r="AD27" s="1"/>
      <c r="AE27" s="18">
        <v>45889.0</v>
      </c>
      <c r="AF27" s="1"/>
      <c r="AG27" s="1"/>
      <c r="AH27" s="1"/>
      <c r="AI27" s="6"/>
      <c r="AJ27" s="6"/>
      <c r="AK27" s="6"/>
      <c r="AL27" s="6" t="str">
        <f t="array" ref="AL27">IFERROR(IFS(XLOOKUP(B27, 'Kit Delivery Status'!$U:$U, 'Kit Delivery Status'!$K:$K) = "Complete", "DELIVERED", XLOOKUP(B27, 'Kit Delivery Status'!$U:$U, 'Kit Delivery Status'!$K:$K) = "Issue", "ISSUE"), "")</f>
        <v/>
      </c>
      <c r="AM27" s="6"/>
    </row>
    <row r="28">
      <c r="A28" s="5" t="str">
        <f t="shared" si="4"/>
        <v>https://utrucking.myshopify.com/admin/orders?query=15055</v>
      </c>
      <c r="B28" s="6" t="s">
        <v>217</v>
      </c>
      <c r="C28" s="12" t="s">
        <v>218</v>
      </c>
      <c r="D28" s="13" t="s">
        <v>219</v>
      </c>
      <c r="E28" s="12" t="s">
        <v>220</v>
      </c>
      <c r="F28" s="12" t="s">
        <v>221</v>
      </c>
      <c r="G28" s="1"/>
      <c r="H28" s="1"/>
      <c r="I28" s="1"/>
      <c r="J28" s="1"/>
      <c r="K28" s="1" t="s">
        <v>95</v>
      </c>
      <c r="L28" s="6"/>
      <c r="M28" s="1"/>
      <c r="N28" s="12" t="s">
        <v>52</v>
      </c>
      <c r="O28" s="11"/>
      <c r="P28" s="15">
        <v>45878.0</v>
      </c>
      <c r="Q28" s="12" t="s">
        <v>44</v>
      </c>
      <c r="R28" s="1"/>
      <c r="S28" s="1"/>
      <c r="T28" s="1"/>
      <c r="U28" s="12" t="s">
        <v>222</v>
      </c>
      <c r="V28" s="17" t="s">
        <v>223</v>
      </c>
      <c r="W28" s="1"/>
      <c r="X28" s="15">
        <v>45878.0</v>
      </c>
      <c r="Y28" s="12" t="s">
        <v>44</v>
      </c>
      <c r="Z28" s="1"/>
      <c r="AA28" s="1"/>
      <c r="AB28" s="1"/>
      <c r="AC28" s="1"/>
      <c r="AD28" s="1"/>
      <c r="AE28" s="16">
        <v>45878.0</v>
      </c>
      <c r="AF28" s="1"/>
      <c r="AG28" s="1"/>
      <c r="AH28" s="1"/>
      <c r="AI28" s="6"/>
      <c r="AJ28" s="6"/>
      <c r="AK28" s="6"/>
      <c r="AL28" s="6" t="str">
        <f t="array" ref="AL28">IFERROR(IFS(XLOOKUP(B28, 'Kit Delivery Status'!$U:$U, 'Kit Delivery Status'!$K:$K) = "Complete", "DELIVERED", XLOOKUP(B28, 'Kit Delivery Status'!$U:$U, 'Kit Delivery Status'!$K:$K) = "Issue", "ISSUE"), "")</f>
        <v/>
      </c>
      <c r="AM28" s="6"/>
    </row>
    <row r="29">
      <c r="A29" s="5" t="str">
        <f t="shared" si="4"/>
        <v>https://utrucking.myshopify.com/admin/orders?query=15080</v>
      </c>
      <c r="B29" s="6" t="s">
        <v>224</v>
      </c>
      <c r="C29" s="12" t="s">
        <v>225</v>
      </c>
      <c r="D29" s="13" t="s">
        <v>226</v>
      </c>
      <c r="E29" s="12" t="s">
        <v>227</v>
      </c>
      <c r="F29" s="12" t="s">
        <v>228</v>
      </c>
      <c r="G29" s="1"/>
      <c r="H29" s="1"/>
      <c r="I29" s="1"/>
      <c r="J29" s="1"/>
      <c r="K29" s="1" t="s">
        <v>95</v>
      </c>
      <c r="L29" s="6"/>
      <c r="M29" s="1"/>
      <c r="N29" s="12" t="s">
        <v>52</v>
      </c>
      <c r="O29" s="11"/>
      <c r="P29" s="15">
        <v>45883.0</v>
      </c>
      <c r="Q29" s="12" t="s">
        <v>88</v>
      </c>
      <c r="R29" s="1"/>
      <c r="S29" s="1"/>
      <c r="T29" s="1"/>
      <c r="U29" s="12" t="s">
        <v>116</v>
      </c>
      <c r="V29" s="17" t="s">
        <v>174</v>
      </c>
      <c r="W29" s="1"/>
      <c r="X29" s="15">
        <v>45883.0</v>
      </c>
      <c r="Y29" s="12" t="s">
        <v>88</v>
      </c>
      <c r="Z29" s="1"/>
      <c r="AA29" s="1"/>
      <c r="AB29" s="1"/>
      <c r="AC29" s="1"/>
      <c r="AD29" s="1"/>
      <c r="AE29" s="18">
        <v>45883.0</v>
      </c>
      <c r="AF29" s="1"/>
      <c r="AG29" s="1"/>
      <c r="AH29" s="1"/>
      <c r="AI29" s="6"/>
      <c r="AJ29" s="6"/>
      <c r="AK29" s="6"/>
      <c r="AL29" s="6" t="str">
        <f t="array" ref="AL29">IFERROR(IFS(XLOOKUP(B29, 'Kit Delivery Status'!$U:$U, 'Kit Delivery Status'!$K:$K) = "Complete", "DELIVERED", XLOOKUP(B29, 'Kit Delivery Status'!$U:$U, 'Kit Delivery Status'!$K:$K) = "Issue", "ISSUE"), "")</f>
        <v/>
      </c>
      <c r="AM29" s="6"/>
    </row>
    <row r="30">
      <c r="A30" s="5" t="str">
        <f t="shared" si="4"/>
        <v>https://utrucking.myshopify.com/admin/orders?query=15081</v>
      </c>
      <c r="B30" s="6" t="s">
        <v>229</v>
      </c>
      <c r="C30" s="12">
        <v>0.0</v>
      </c>
      <c r="D30" s="13" t="s">
        <v>230</v>
      </c>
      <c r="E30" s="12" t="s">
        <v>231</v>
      </c>
      <c r="F30" s="12" t="s">
        <v>232</v>
      </c>
      <c r="G30" s="1"/>
      <c r="H30" s="1"/>
      <c r="I30" s="1"/>
      <c r="J30" s="1"/>
      <c r="K30" s="1" t="s">
        <v>95</v>
      </c>
      <c r="L30" s="6"/>
      <c r="M30" s="1"/>
      <c r="N30" s="12" t="s">
        <v>52</v>
      </c>
      <c r="O30" s="11"/>
      <c r="P30" s="15">
        <v>45883.0</v>
      </c>
      <c r="Q30" s="12" t="s">
        <v>54</v>
      </c>
      <c r="R30" s="1"/>
      <c r="S30" s="1"/>
      <c r="T30" s="1"/>
      <c r="U30" s="12" t="s">
        <v>109</v>
      </c>
      <c r="V30" s="17" t="s">
        <v>233</v>
      </c>
      <c r="W30" s="1"/>
      <c r="X30" s="15">
        <v>45883.0</v>
      </c>
      <c r="Y30" s="12" t="s">
        <v>54</v>
      </c>
      <c r="Z30" s="1"/>
      <c r="AA30" s="1"/>
      <c r="AB30" s="1"/>
      <c r="AC30" s="1"/>
      <c r="AD30" s="1"/>
      <c r="AE30" s="18">
        <v>45883.0</v>
      </c>
      <c r="AF30" s="1"/>
      <c r="AG30" s="1"/>
      <c r="AH30" s="1"/>
      <c r="AI30" s="6"/>
      <c r="AJ30" s="6"/>
      <c r="AK30" s="6"/>
      <c r="AL30" s="6" t="str">
        <f t="array" ref="AL30">IFERROR(IFS(XLOOKUP(B30, 'Kit Delivery Status'!$U:$U, 'Kit Delivery Status'!$K:$K) = "Complete", "DELIVERED", XLOOKUP(B30, 'Kit Delivery Status'!$U:$U, 'Kit Delivery Status'!$K:$K) = "Issue", "ISSUE"), "")</f>
        <v/>
      </c>
      <c r="AM30" s="6"/>
    </row>
    <row r="31">
      <c r="A31" s="5" t="str">
        <f t="shared" si="4"/>
        <v>https://utrucking.myshopify.com/admin/orders?query=15082</v>
      </c>
      <c r="B31" s="6" t="s">
        <v>234</v>
      </c>
      <c r="C31" s="12" t="s">
        <v>235</v>
      </c>
      <c r="D31" s="13" t="s">
        <v>236</v>
      </c>
      <c r="E31" s="12" t="s">
        <v>237</v>
      </c>
      <c r="F31" s="12" t="s">
        <v>238</v>
      </c>
      <c r="G31" s="1"/>
      <c r="H31" s="1"/>
      <c r="I31" s="1"/>
      <c r="J31" s="1"/>
      <c r="K31" s="1" t="s">
        <v>95</v>
      </c>
      <c r="L31" s="6"/>
      <c r="M31" s="1"/>
      <c r="N31" s="12" t="s">
        <v>124</v>
      </c>
      <c r="O31" s="11"/>
      <c r="P31" s="15">
        <v>45822.0</v>
      </c>
      <c r="Q31" s="12" t="s">
        <v>239</v>
      </c>
      <c r="R31" s="1"/>
      <c r="S31" s="1"/>
      <c r="T31" s="1"/>
      <c r="U31" s="6"/>
      <c r="V31" s="11"/>
      <c r="W31" s="1"/>
      <c r="X31" s="15">
        <v>45822.0</v>
      </c>
      <c r="Y31" s="12" t="s">
        <v>239</v>
      </c>
      <c r="Z31" s="1"/>
      <c r="AA31" s="1"/>
      <c r="AB31" s="1"/>
      <c r="AC31" s="1"/>
      <c r="AD31" s="1"/>
      <c r="AE31" s="18">
        <v>45822.0</v>
      </c>
      <c r="AF31" s="1"/>
      <c r="AG31" s="1"/>
      <c r="AH31" s="1"/>
      <c r="AI31" s="6"/>
      <c r="AJ31" s="6"/>
      <c r="AK31" s="6"/>
      <c r="AL31" s="6" t="str">
        <f t="array" ref="AL31">IFERROR(IFS(XLOOKUP(B31, 'Kit Delivery Status'!$U:$U, 'Kit Delivery Status'!$K:$K) = "Complete", "DELIVERED", XLOOKUP(B31, 'Kit Delivery Status'!$U:$U, 'Kit Delivery Status'!$K:$K) = "Issue", "ISSUE"), "")</f>
        <v/>
      </c>
      <c r="AM31" s="6"/>
    </row>
    <row r="32">
      <c r="A32" s="5" t="str">
        <f t="shared" si="4"/>
        <v>https://utrucking.myshopify.com/admin/orders?query=15103</v>
      </c>
      <c r="B32" s="6" t="s">
        <v>240</v>
      </c>
      <c r="C32" s="12" t="s">
        <v>241</v>
      </c>
      <c r="D32" s="13" t="s">
        <v>242</v>
      </c>
      <c r="E32" s="12" t="s">
        <v>243</v>
      </c>
      <c r="F32" s="12" t="s">
        <v>244</v>
      </c>
      <c r="G32" s="1"/>
      <c r="H32" s="1"/>
      <c r="I32" s="1"/>
      <c r="J32" s="1"/>
      <c r="K32" s="1" t="s">
        <v>95</v>
      </c>
      <c r="L32" s="6"/>
      <c r="M32" s="1"/>
      <c r="N32" s="12" t="s">
        <v>52</v>
      </c>
      <c r="O32" s="11"/>
      <c r="P32" s="15">
        <v>45883.0</v>
      </c>
      <c r="Q32" s="12" t="s">
        <v>54</v>
      </c>
      <c r="R32" s="1"/>
      <c r="S32" s="1"/>
      <c r="T32" s="1"/>
      <c r="U32" s="12" t="s">
        <v>245</v>
      </c>
      <c r="V32" s="17" t="s">
        <v>246</v>
      </c>
      <c r="W32" s="1"/>
      <c r="X32" s="15">
        <v>45883.0</v>
      </c>
      <c r="Y32" s="12" t="s">
        <v>54</v>
      </c>
      <c r="Z32" s="1"/>
      <c r="AA32" s="1"/>
      <c r="AB32" s="1"/>
      <c r="AC32" s="1"/>
      <c r="AD32" s="1"/>
      <c r="AE32" s="18">
        <v>45883.0</v>
      </c>
      <c r="AF32" s="1"/>
      <c r="AG32" s="1"/>
      <c r="AH32" s="1"/>
      <c r="AI32" s="6"/>
      <c r="AJ32" s="6"/>
      <c r="AK32" s="6"/>
      <c r="AL32" s="6" t="str">
        <f t="array" ref="AL32">IFERROR(IFS(XLOOKUP(B32, 'Kit Delivery Status'!$U:$U, 'Kit Delivery Status'!$K:$K) = "Complete", "DELIVERED", XLOOKUP(B32, 'Kit Delivery Status'!$U:$U, 'Kit Delivery Status'!$K:$K) = "Issue", "ISSUE"), "")</f>
        <v/>
      </c>
      <c r="AM32" s="6"/>
    </row>
    <row r="33">
      <c r="A33" s="5" t="str">
        <f t="shared" si="4"/>
        <v>https://utrucking.myshopify.com/admin/orders?query=15104</v>
      </c>
      <c r="B33" s="6" t="s">
        <v>247</v>
      </c>
      <c r="C33" s="12" t="s">
        <v>248</v>
      </c>
      <c r="D33" s="13" t="s">
        <v>249</v>
      </c>
      <c r="E33" s="12" t="s">
        <v>250</v>
      </c>
      <c r="F33" s="12" t="s">
        <v>251</v>
      </c>
      <c r="G33" s="1"/>
      <c r="H33" s="1"/>
      <c r="I33" s="1"/>
      <c r="J33" s="1"/>
      <c r="K33" s="1" t="s">
        <v>95</v>
      </c>
      <c r="L33" s="6"/>
      <c r="M33" s="1"/>
      <c r="N33" s="12" t="s">
        <v>52</v>
      </c>
      <c r="O33" s="11"/>
      <c r="P33" s="15">
        <v>45883.0</v>
      </c>
      <c r="Q33" s="12" t="s">
        <v>54</v>
      </c>
      <c r="R33" s="1"/>
      <c r="S33" s="1"/>
      <c r="T33" s="1"/>
      <c r="U33" s="12" t="s">
        <v>116</v>
      </c>
      <c r="V33" s="17" t="s">
        <v>252</v>
      </c>
      <c r="W33" s="1"/>
      <c r="X33" s="15">
        <v>45883.0</v>
      </c>
      <c r="Y33" s="12" t="s">
        <v>54</v>
      </c>
      <c r="Z33" s="1"/>
      <c r="AA33" s="1"/>
      <c r="AB33" s="1"/>
      <c r="AC33" s="1"/>
      <c r="AD33" s="1"/>
      <c r="AE33" s="18">
        <v>45883.0</v>
      </c>
      <c r="AF33" s="1"/>
      <c r="AG33" s="1"/>
      <c r="AH33" s="1"/>
      <c r="AI33" s="6"/>
      <c r="AJ33" s="6"/>
      <c r="AK33" s="6"/>
      <c r="AL33" s="6" t="str">
        <f t="array" ref="AL33">IFERROR(IFS(XLOOKUP(B33, 'Kit Delivery Status'!$U:$U, 'Kit Delivery Status'!$K:$K) = "Complete", "DELIVERED", XLOOKUP(B33, 'Kit Delivery Status'!$U:$U, 'Kit Delivery Status'!$K:$K) = "Issue", "ISSUE"), "")</f>
        <v/>
      </c>
      <c r="AM33" s="6"/>
    </row>
    <row r="34">
      <c r="A34" s="5" t="str">
        <f t="shared" si="4"/>
        <v>https://utrucking.myshopify.com/admin/orders?query=15128</v>
      </c>
      <c r="B34" s="6" t="s">
        <v>253</v>
      </c>
      <c r="C34" s="12" t="s">
        <v>254</v>
      </c>
      <c r="D34" s="13" t="s">
        <v>255</v>
      </c>
      <c r="E34" s="12" t="s">
        <v>256</v>
      </c>
      <c r="F34" s="12" t="s">
        <v>257</v>
      </c>
      <c r="G34" s="1"/>
      <c r="H34" s="1"/>
      <c r="I34" s="1"/>
      <c r="J34" s="1"/>
      <c r="K34" s="1" t="s">
        <v>95</v>
      </c>
      <c r="L34" s="6"/>
      <c r="M34" s="1"/>
      <c r="N34" s="12" t="s">
        <v>52</v>
      </c>
      <c r="O34" s="11"/>
      <c r="P34" s="15">
        <v>45882.0</v>
      </c>
      <c r="Q34" s="12" t="s">
        <v>60</v>
      </c>
      <c r="R34" s="1"/>
      <c r="S34" s="1"/>
      <c r="T34" s="1"/>
      <c r="U34" s="12" t="s">
        <v>102</v>
      </c>
      <c r="V34" s="17" t="s">
        <v>258</v>
      </c>
      <c r="W34" s="1"/>
      <c r="X34" s="15">
        <v>45882.0</v>
      </c>
      <c r="Y34" s="12" t="s">
        <v>60</v>
      </c>
      <c r="Z34" s="1"/>
      <c r="AA34" s="1"/>
      <c r="AB34" s="1"/>
      <c r="AC34" s="1"/>
      <c r="AD34" s="1"/>
      <c r="AE34" s="18">
        <v>45882.0</v>
      </c>
      <c r="AF34" s="1"/>
      <c r="AG34" s="1"/>
      <c r="AH34" s="1"/>
      <c r="AI34" s="6"/>
      <c r="AJ34" s="6"/>
      <c r="AK34" s="6"/>
      <c r="AL34" s="6" t="str">
        <f t="array" ref="AL34">IFERROR(IFS(XLOOKUP(B34, 'Kit Delivery Status'!$U:$U, 'Kit Delivery Status'!$K:$K) = "Complete", "DELIVERED", XLOOKUP(B34, 'Kit Delivery Status'!$U:$U, 'Kit Delivery Status'!$K:$K) = "Issue", "ISSUE"), "")</f>
        <v/>
      </c>
      <c r="AM34" s="6"/>
    </row>
    <row r="35">
      <c r="A35" s="5" t="str">
        <f t="shared" si="4"/>
        <v>https://utrucking.myshopify.com/admin/orders?query=15129</v>
      </c>
      <c r="B35" s="6" t="s">
        <v>259</v>
      </c>
      <c r="C35" s="12" t="s">
        <v>260</v>
      </c>
      <c r="D35" s="13" t="s">
        <v>261</v>
      </c>
      <c r="E35" s="12" t="s">
        <v>262</v>
      </c>
      <c r="F35" s="12" t="s">
        <v>263</v>
      </c>
      <c r="G35" s="1"/>
      <c r="H35" s="1"/>
      <c r="I35" s="1"/>
      <c r="J35" s="1"/>
      <c r="K35" s="1" t="s">
        <v>95</v>
      </c>
      <c r="L35" s="6"/>
      <c r="M35" s="1"/>
      <c r="N35" s="12" t="s">
        <v>52</v>
      </c>
      <c r="O35" s="11"/>
      <c r="P35" s="15">
        <v>45882.0</v>
      </c>
      <c r="Q35" s="12" t="s">
        <v>88</v>
      </c>
      <c r="R35" s="1"/>
      <c r="S35" s="1"/>
      <c r="T35" s="1"/>
      <c r="U35" s="12" t="s">
        <v>186</v>
      </c>
      <c r="V35" s="17" t="s">
        <v>264</v>
      </c>
      <c r="W35" s="1"/>
      <c r="X35" s="15">
        <v>45882.0</v>
      </c>
      <c r="Y35" s="12" t="s">
        <v>88</v>
      </c>
      <c r="Z35" s="1"/>
      <c r="AA35" s="1"/>
      <c r="AB35" s="1"/>
      <c r="AC35" s="1"/>
      <c r="AD35" s="1"/>
      <c r="AE35" s="18">
        <v>45882.0</v>
      </c>
      <c r="AF35" s="1"/>
      <c r="AG35" s="1"/>
      <c r="AH35" s="1"/>
      <c r="AI35" s="6"/>
      <c r="AJ35" s="6"/>
      <c r="AK35" s="6"/>
      <c r="AL35" s="6" t="str">
        <f t="array" ref="AL35">IFERROR(IFS(XLOOKUP(B35, 'Kit Delivery Status'!$U:$U, 'Kit Delivery Status'!$K:$K) = "Complete", "DELIVERED", XLOOKUP(B35, 'Kit Delivery Status'!$U:$U, 'Kit Delivery Status'!$K:$K) = "Issue", "ISSUE"), "")</f>
        <v/>
      </c>
      <c r="AM35" s="6"/>
    </row>
    <row r="36">
      <c r="A36" s="5" t="str">
        <f t="shared" si="4"/>
        <v>https://utrucking.myshopify.com/admin/orders?query=15134</v>
      </c>
      <c r="B36" s="6" t="s">
        <v>265</v>
      </c>
      <c r="C36" s="12" t="s">
        <v>266</v>
      </c>
      <c r="D36" s="13" t="s">
        <v>267</v>
      </c>
      <c r="E36" s="12" t="s">
        <v>268</v>
      </c>
      <c r="F36" s="12" t="s">
        <v>269</v>
      </c>
      <c r="G36" s="1"/>
      <c r="H36" s="1"/>
      <c r="I36" s="1"/>
      <c r="J36" s="1"/>
      <c r="K36" s="1" t="s">
        <v>95</v>
      </c>
      <c r="L36" s="6"/>
      <c r="M36" s="1"/>
      <c r="N36" s="12" t="s">
        <v>52</v>
      </c>
      <c r="O36" s="11"/>
      <c r="P36" s="15">
        <v>45882.0</v>
      </c>
      <c r="Q36" s="12" t="s">
        <v>160</v>
      </c>
      <c r="R36" s="1"/>
      <c r="S36" s="1"/>
      <c r="T36" s="1"/>
      <c r="U36" s="12" t="s">
        <v>186</v>
      </c>
      <c r="V36" s="17" t="s">
        <v>270</v>
      </c>
      <c r="W36" s="1"/>
      <c r="X36" s="15">
        <v>45882.0</v>
      </c>
      <c r="Y36" s="12" t="s">
        <v>160</v>
      </c>
      <c r="Z36" s="1"/>
      <c r="AA36" s="1"/>
      <c r="AB36" s="1"/>
      <c r="AC36" s="1"/>
      <c r="AD36" s="1"/>
      <c r="AE36" s="18">
        <v>45882.0</v>
      </c>
      <c r="AF36" s="1"/>
      <c r="AG36" s="1"/>
      <c r="AH36" s="1"/>
      <c r="AI36" s="6"/>
      <c r="AJ36" s="6"/>
      <c r="AK36" s="6"/>
      <c r="AL36" s="6" t="str">
        <f t="array" ref="AL36">IFERROR(IFS(XLOOKUP(B36, 'Kit Delivery Status'!$U:$U, 'Kit Delivery Status'!$K:$K) = "Complete", "DELIVERED", XLOOKUP(B36, 'Kit Delivery Status'!$U:$U, 'Kit Delivery Status'!$K:$K) = "Issue", "ISSUE"), "")</f>
        <v/>
      </c>
      <c r="AM36" s="6"/>
    </row>
    <row r="37">
      <c r="A37" s="5" t="str">
        <f t="shared" si="4"/>
        <v>https://utrucking.myshopify.com/admin/orders?query=15137</v>
      </c>
      <c r="B37" s="6" t="s">
        <v>271</v>
      </c>
      <c r="C37" s="12" t="s">
        <v>272</v>
      </c>
      <c r="D37" s="13" t="s">
        <v>273</v>
      </c>
      <c r="E37" s="12" t="s">
        <v>274</v>
      </c>
      <c r="F37" s="12" t="s">
        <v>275</v>
      </c>
      <c r="G37" s="1"/>
      <c r="H37" s="1"/>
      <c r="I37" s="1"/>
      <c r="J37" s="1"/>
      <c r="K37" s="1" t="s">
        <v>95</v>
      </c>
      <c r="L37" s="6"/>
      <c r="M37" s="1"/>
      <c r="N37" s="12" t="s">
        <v>52</v>
      </c>
      <c r="O37" s="11"/>
      <c r="P37" s="15">
        <v>45889.0</v>
      </c>
      <c r="Q37" s="12" t="s">
        <v>96</v>
      </c>
      <c r="R37" s="1"/>
      <c r="S37" s="1"/>
      <c r="T37" s="1"/>
      <c r="U37" s="12" t="s">
        <v>276</v>
      </c>
      <c r="V37" s="17" t="s">
        <v>277</v>
      </c>
      <c r="W37" s="1"/>
      <c r="X37" s="15">
        <v>45889.0</v>
      </c>
      <c r="Y37" s="12" t="s">
        <v>96</v>
      </c>
      <c r="Z37" s="1"/>
      <c r="AA37" s="1"/>
      <c r="AB37" s="1"/>
      <c r="AC37" s="1"/>
      <c r="AD37" s="1"/>
      <c r="AE37" s="18">
        <v>45889.0</v>
      </c>
      <c r="AF37" s="1"/>
      <c r="AG37" s="1"/>
      <c r="AH37" s="1"/>
      <c r="AI37" s="6"/>
      <c r="AJ37" s="6"/>
      <c r="AK37" s="6"/>
      <c r="AL37" s="6" t="str">
        <f t="array" ref="AL37">IFERROR(IFS(XLOOKUP(B37, 'Kit Delivery Status'!$U:$U, 'Kit Delivery Status'!$K:$K) = "Complete", "DELIVERED", XLOOKUP(B37, 'Kit Delivery Status'!$U:$U, 'Kit Delivery Status'!$K:$K) = "Issue", "ISSUE"), "")</f>
        <v/>
      </c>
      <c r="AM37" s="6"/>
    </row>
    <row r="38">
      <c r="A38" s="5" t="str">
        <f t="shared" si="4"/>
        <v>https://utrucking.myshopify.com/admin/orders?query=15144</v>
      </c>
      <c r="B38" s="6" t="s">
        <v>278</v>
      </c>
      <c r="C38" s="12" t="s">
        <v>279</v>
      </c>
      <c r="D38" s="13" t="s">
        <v>280</v>
      </c>
      <c r="E38" s="12" t="s">
        <v>281</v>
      </c>
      <c r="F38" s="12" t="s">
        <v>282</v>
      </c>
      <c r="G38" s="1"/>
      <c r="H38" s="1"/>
      <c r="I38" s="1"/>
      <c r="J38" s="1"/>
      <c r="K38" s="1" t="s">
        <v>95</v>
      </c>
      <c r="L38" s="6"/>
      <c r="M38" s="1"/>
      <c r="N38" s="12" t="s">
        <v>52</v>
      </c>
      <c r="O38" s="11"/>
      <c r="P38" s="15">
        <v>45881.0</v>
      </c>
      <c r="Q38" s="12" t="s">
        <v>54</v>
      </c>
      <c r="R38" s="1"/>
      <c r="S38" s="1"/>
      <c r="T38" s="1"/>
      <c r="U38" s="12" t="s">
        <v>102</v>
      </c>
      <c r="V38" s="17" t="s">
        <v>103</v>
      </c>
      <c r="W38" s="1"/>
      <c r="X38" s="15">
        <v>45881.0</v>
      </c>
      <c r="Y38" s="12" t="s">
        <v>54</v>
      </c>
      <c r="Z38" s="1"/>
      <c r="AA38" s="1"/>
      <c r="AB38" s="1"/>
      <c r="AC38" s="1"/>
      <c r="AD38" s="1"/>
      <c r="AE38" s="16">
        <v>45881.0</v>
      </c>
      <c r="AF38" s="1"/>
      <c r="AG38" s="1"/>
      <c r="AH38" s="1"/>
      <c r="AI38" s="6"/>
      <c r="AJ38" s="6"/>
      <c r="AK38" s="6"/>
      <c r="AL38" s="6" t="str">
        <f t="array" ref="AL38">IFERROR(IFS(XLOOKUP(B38, 'Kit Delivery Status'!$U:$U, 'Kit Delivery Status'!$K:$K) = "Complete", "DELIVERED", XLOOKUP(B38, 'Kit Delivery Status'!$U:$U, 'Kit Delivery Status'!$K:$K) = "Issue", "ISSUE"), "")</f>
        <v/>
      </c>
      <c r="AM38" s="6"/>
    </row>
    <row r="39">
      <c r="A39" s="5" t="str">
        <f t="shared" si="4"/>
        <v>https://utrucking.myshopify.com/admin/orders?query=15148</v>
      </c>
      <c r="B39" s="6" t="s">
        <v>283</v>
      </c>
      <c r="C39" s="12">
        <v>0.0</v>
      </c>
      <c r="D39" s="13" t="s">
        <v>284</v>
      </c>
      <c r="E39" s="12" t="s">
        <v>285</v>
      </c>
      <c r="F39" s="12" t="s">
        <v>286</v>
      </c>
      <c r="G39" s="1"/>
      <c r="H39" s="1"/>
      <c r="I39" s="1"/>
      <c r="J39" s="1"/>
      <c r="K39" s="1" t="s">
        <v>95</v>
      </c>
      <c r="L39" s="6"/>
      <c r="M39" s="1"/>
      <c r="N39" s="12" t="s">
        <v>52</v>
      </c>
      <c r="O39" s="17" t="s">
        <v>287</v>
      </c>
      <c r="P39" s="15">
        <v>45882.0</v>
      </c>
      <c r="Q39" s="12" t="s">
        <v>160</v>
      </c>
      <c r="R39" s="1"/>
      <c r="S39" s="1"/>
      <c r="T39" s="1"/>
      <c r="U39" s="12" t="s">
        <v>109</v>
      </c>
      <c r="V39" s="17" t="s">
        <v>287</v>
      </c>
      <c r="W39" s="1"/>
      <c r="X39" s="15">
        <v>45882.0</v>
      </c>
      <c r="Y39" s="12" t="s">
        <v>160</v>
      </c>
      <c r="Z39" s="1"/>
      <c r="AA39" s="1"/>
      <c r="AB39" s="1"/>
      <c r="AC39" s="1"/>
      <c r="AD39" s="1"/>
      <c r="AE39" s="18">
        <v>45882.0</v>
      </c>
      <c r="AF39" s="1"/>
      <c r="AG39" s="1"/>
      <c r="AH39" s="1"/>
      <c r="AI39" s="6"/>
      <c r="AJ39" s="6"/>
      <c r="AK39" s="6"/>
      <c r="AL39" s="6" t="str">
        <f t="array" ref="AL39">IFERROR(IFS(XLOOKUP(B39, 'Kit Delivery Status'!$U:$U, 'Kit Delivery Status'!$K:$K) = "Complete", "DELIVERED", XLOOKUP(B39, 'Kit Delivery Status'!$U:$U, 'Kit Delivery Status'!$K:$K) = "Issue", "ISSUE"), "")</f>
        <v/>
      </c>
      <c r="AM39" s="6"/>
    </row>
    <row r="40">
      <c r="A40" s="5" t="str">
        <f t="shared" si="4"/>
        <v>https://utrucking.myshopify.com/admin/orders?query=15150</v>
      </c>
      <c r="B40" s="6" t="s">
        <v>288</v>
      </c>
      <c r="C40" s="12" t="s">
        <v>289</v>
      </c>
      <c r="D40" s="13" t="s">
        <v>290</v>
      </c>
      <c r="E40" s="12" t="s">
        <v>291</v>
      </c>
      <c r="F40" s="12" t="s">
        <v>292</v>
      </c>
      <c r="G40" s="1"/>
      <c r="H40" s="1"/>
      <c r="I40" s="1"/>
      <c r="J40" s="1"/>
      <c r="K40" s="1" t="s">
        <v>95</v>
      </c>
      <c r="L40" s="6"/>
      <c r="M40" s="1"/>
      <c r="N40" s="12" t="s">
        <v>52</v>
      </c>
      <c r="O40" s="11"/>
      <c r="P40" s="15">
        <v>45880.0</v>
      </c>
      <c r="Q40" s="12" t="s">
        <v>54</v>
      </c>
      <c r="R40" s="1"/>
      <c r="S40" s="1"/>
      <c r="T40" s="1"/>
      <c r="U40" s="12" t="s">
        <v>68</v>
      </c>
      <c r="V40" s="17" t="s">
        <v>293</v>
      </c>
      <c r="W40" s="1"/>
      <c r="X40" s="15">
        <v>45880.0</v>
      </c>
      <c r="Y40" s="12" t="s">
        <v>54</v>
      </c>
      <c r="Z40" s="1"/>
      <c r="AA40" s="1"/>
      <c r="AB40" s="1"/>
      <c r="AC40" s="1"/>
      <c r="AD40" s="1"/>
      <c r="AE40" s="16">
        <v>45880.0</v>
      </c>
      <c r="AF40" s="1"/>
      <c r="AG40" s="1"/>
      <c r="AH40" s="1"/>
      <c r="AI40" s="6"/>
      <c r="AJ40" s="6"/>
      <c r="AK40" s="6"/>
      <c r="AL40" s="6" t="str">
        <f t="array" ref="AL40">IFERROR(IFS(XLOOKUP(B40, 'Kit Delivery Status'!$U:$U, 'Kit Delivery Status'!$K:$K) = "Complete", "DELIVERED", XLOOKUP(B40, 'Kit Delivery Status'!$U:$U, 'Kit Delivery Status'!$K:$K) = "Issue", "ISSUE"), "")</f>
        <v/>
      </c>
      <c r="AM40" s="6"/>
    </row>
    <row r="41">
      <c r="A41" s="5" t="str">
        <f t="shared" si="4"/>
        <v>https://utrucking.myshopify.com/admin/orders?query=15151</v>
      </c>
      <c r="B41" s="6" t="s">
        <v>294</v>
      </c>
      <c r="C41" s="12" t="s">
        <v>295</v>
      </c>
      <c r="D41" s="13" t="s">
        <v>296</v>
      </c>
      <c r="E41" s="12" t="s">
        <v>297</v>
      </c>
      <c r="F41" s="12" t="s">
        <v>298</v>
      </c>
      <c r="G41" s="1"/>
      <c r="H41" s="1"/>
      <c r="I41" s="1"/>
      <c r="J41" s="1"/>
      <c r="K41" s="1" t="s">
        <v>95</v>
      </c>
      <c r="L41" s="6"/>
      <c r="M41" s="1"/>
      <c r="N41" s="12" t="s">
        <v>52</v>
      </c>
      <c r="O41" s="11"/>
      <c r="P41" s="15">
        <v>45882.0</v>
      </c>
      <c r="Q41" s="12" t="s">
        <v>54</v>
      </c>
      <c r="R41" s="1"/>
      <c r="S41" s="1"/>
      <c r="T41" s="1"/>
      <c r="U41" s="12" t="s">
        <v>299</v>
      </c>
      <c r="V41" s="17" t="s">
        <v>300</v>
      </c>
      <c r="W41" s="1"/>
      <c r="X41" s="15">
        <v>45882.0</v>
      </c>
      <c r="Y41" s="12" t="s">
        <v>54</v>
      </c>
      <c r="Z41" s="1"/>
      <c r="AA41" s="1"/>
      <c r="AB41" s="1"/>
      <c r="AC41" s="1"/>
      <c r="AD41" s="1"/>
      <c r="AE41" s="18">
        <v>45882.0</v>
      </c>
      <c r="AF41" s="1"/>
      <c r="AG41" s="1"/>
      <c r="AH41" s="1"/>
      <c r="AI41" s="6"/>
      <c r="AJ41" s="6"/>
      <c r="AK41" s="6"/>
      <c r="AL41" s="6" t="str">
        <f t="array" ref="AL41">IFERROR(IFS(XLOOKUP(B41, 'Kit Delivery Status'!$U:$U, 'Kit Delivery Status'!$K:$K) = "Complete", "DELIVERED", XLOOKUP(B41, 'Kit Delivery Status'!$U:$U, 'Kit Delivery Status'!$K:$K) = "Issue", "ISSUE"), "")</f>
        <v/>
      </c>
      <c r="AM41" s="6"/>
    </row>
    <row r="42">
      <c r="A42" s="5" t="str">
        <f t="shared" si="4"/>
        <v>https://utrucking.myshopify.com/admin/orders?query=15158</v>
      </c>
      <c r="B42" s="6" t="s">
        <v>301</v>
      </c>
      <c r="C42" s="12" t="s">
        <v>302</v>
      </c>
      <c r="D42" s="13" t="s">
        <v>303</v>
      </c>
      <c r="E42" s="12" t="s">
        <v>304</v>
      </c>
      <c r="F42" s="12" t="s">
        <v>305</v>
      </c>
      <c r="G42" s="1"/>
      <c r="H42" s="1"/>
      <c r="I42" s="1"/>
      <c r="J42" s="1"/>
      <c r="K42" s="1" t="s">
        <v>95</v>
      </c>
      <c r="L42" s="6"/>
      <c r="M42" s="1"/>
      <c r="N42" s="12" t="s">
        <v>52</v>
      </c>
      <c r="O42" s="11"/>
      <c r="P42" s="15">
        <v>45882.0</v>
      </c>
      <c r="Q42" s="12" t="s">
        <v>239</v>
      </c>
      <c r="R42" s="1"/>
      <c r="S42" s="1"/>
      <c r="T42" s="1"/>
      <c r="U42" s="12" t="s">
        <v>102</v>
      </c>
      <c r="V42" s="17" t="s">
        <v>103</v>
      </c>
      <c r="W42" s="1"/>
      <c r="X42" s="15">
        <v>45882.0</v>
      </c>
      <c r="Y42" s="12" t="s">
        <v>239</v>
      </c>
      <c r="Z42" s="1"/>
      <c r="AA42" s="1"/>
      <c r="AB42" s="1"/>
      <c r="AC42" s="1"/>
      <c r="AD42" s="1"/>
      <c r="AE42" s="18">
        <v>45882.0</v>
      </c>
      <c r="AF42" s="1"/>
      <c r="AG42" s="1"/>
      <c r="AH42" s="1"/>
      <c r="AI42" s="6"/>
      <c r="AJ42" s="6"/>
      <c r="AK42" s="6"/>
      <c r="AL42" s="6" t="str">
        <f t="array" ref="AL42">IFERROR(IFS(XLOOKUP(B42, 'Kit Delivery Status'!$U:$U, 'Kit Delivery Status'!$K:$K) = "Complete", "DELIVERED", XLOOKUP(B42, 'Kit Delivery Status'!$U:$U, 'Kit Delivery Status'!$K:$K) = "Issue", "ISSUE"), "")</f>
        <v/>
      </c>
      <c r="AM42" s="6"/>
    </row>
    <row r="43">
      <c r="A43" s="5" t="str">
        <f t="shared" si="4"/>
        <v>https://utrucking.myshopify.com/admin/orders?query=15163</v>
      </c>
      <c r="B43" s="6" t="s">
        <v>306</v>
      </c>
      <c r="C43" s="12" t="s">
        <v>307</v>
      </c>
      <c r="D43" s="13" t="s">
        <v>308</v>
      </c>
      <c r="E43" s="12" t="s">
        <v>309</v>
      </c>
      <c r="F43" s="12" t="s">
        <v>310</v>
      </c>
      <c r="G43" s="1"/>
      <c r="H43" s="1"/>
      <c r="I43" s="1"/>
      <c r="J43" s="1"/>
      <c r="K43" s="1" t="s">
        <v>95</v>
      </c>
      <c r="L43" s="6"/>
      <c r="M43" s="1"/>
      <c r="N43" s="12" t="s">
        <v>52</v>
      </c>
      <c r="O43" s="11"/>
      <c r="P43" s="15">
        <v>45882.0</v>
      </c>
      <c r="Q43" s="12" t="s">
        <v>160</v>
      </c>
      <c r="R43" s="1"/>
      <c r="S43" s="1"/>
      <c r="T43" s="1"/>
      <c r="U43" s="12" t="s">
        <v>186</v>
      </c>
      <c r="V43" s="17" t="s">
        <v>311</v>
      </c>
      <c r="W43" s="1"/>
      <c r="X43" s="15">
        <v>45882.0</v>
      </c>
      <c r="Y43" s="12" t="s">
        <v>160</v>
      </c>
      <c r="Z43" s="1"/>
      <c r="AA43" s="1"/>
      <c r="AB43" s="1"/>
      <c r="AC43" s="1"/>
      <c r="AD43" s="1"/>
      <c r="AE43" s="18">
        <v>45882.0</v>
      </c>
      <c r="AF43" s="1"/>
      <c r="AG43" s="1"/>
      <c r="AH43" s="1"/>
      <c r="AI43" s="6"/>
      <c r="AJ43" s="6"/>
      <c r="AK43" s="6"/>
      <c r="AL43" s="6" t="str">
        <f t="array" ref="AL43">IFERROR(IFS(XLOOKUP(B43, 'Kit Delivery Status'!$U:$U, 'Kit Delivery Status'!$K:$K) = "Complete", "DELIVERED", XLOOKUP(B43, 'Kit Delivery Status'!$U:$U, 'Kit Delivery Status'!$K:$K) = "Issue", "ISSUE"), "")</f>
        <v/>
      </c>
      <c r="AM43" s="6"/>
    </row>
    <row r="44">
      <c r="A44" s="5" t="str">
        <f t="shared" si="4"/>
        <v>https://utrucking.myshopify.com/admin/orders?query=15167</v>
      </c>
      <c r="B44" s="6" t="s">
        <v>312</v>
      </c>
      <c r="C44" s="12" t="s">
        <v>313</v>
      </c>
      <c r="D44" s="13" t="s">
        <v>314</v>
      </c>
      <c r="E44" s="12" t="s">
        <v>315</v>
      </c>
      <c r="F44" s="12" t="s">
        <v>316</v>
      </c>
      <c r="G44" s="1"/>
      <c r="H44" s="1"/>
      <c r="I44" s="1"/>
      <c r="J44" s="1"/>
      <c r="K44" s="1" t="s">
        <v>95</v>
      </c>
      <c r="L44" s="6"/>
      <c r="M44" s="1"/>
      <c r="N44" s="12" t="s">
        <v>52</v>
      </c>
      <c r="O44" s="11"/>
      <c r="P44" s="15">
        <v>45883.0</v>
      </c>
      <c r="Q44" s="12" t="s">
        <v>88</v>
      </c>
      <c r="R44" s="1"/>
      <c r="S44" s="1"/>
      <c r="T44" s="1"/>
      <c r="U44" s="12" t="s">
        <v>153</v>
      </c>
      <c r="V44" s="17" t="s">
        <v>317</v>
      </c>
      <c r="W44" s="1"/>
      <c r="X44" s="15">
        <v>45883.0</v>
      </c>
      <c r="Y44" s="12" t="s">
        <v>88</v>
      </c>
      <c r="Z44" s="1"/>
      <c r="AA44" s="1"/>
      <c r="AB44" s="1"/>
      <c r="AC44" s="1"/>
      <c r="AD44" s="1"/>
      <c r="AE44" s="18">
        <v>45883.0</v>
      </c>
      <c r="AF44" s="1"/>
      <c r="AG44" s="1"/>
      <c r="AH44" s="1"/>
      <c r="AI44" s="6"/>
      <c r="AJ44" s="6"/>
      <c r="AK44" s="6"/>
      <c r="AL44" s="6" t="str">
        <f t="array" ref="AL44">IFERROR(IFS(XLOOKUP(B44, 'Kit Delivery Status'!$U:$U, 'Kit Delivery Status'!$K:$K) = "Complete", "DELIVERED", XLOOKUP(B44, 'Kit Delivery Status'!$U:$U, 'Kit Delivery Status'!$K:$K) = "Issue", "ISSUE"), "")</f>
        <v/>
      </c>
      <c r="AM44" s="6"/>
    </row>
    <row r="45">
      <c r="A45" s="5" t="str">
        <f t="shared" si="4"/>
        <v>https://utrucking.myshopify.com/admin/orders?query=15168</v>
      </c>
      <c r="B45" s="6" t="s">
        <v>318</v>
      </c>
      <c r="C45" s="12" t="s">
        <v>319</v>
      </c>
      <c r="D45" s="13" t="s">
        <v>320</v>
      </c>
      <c r="E45" s="12" t="s">
        <v>321</v>
      </c>
      <c r="F45" s="12" t="s">
        <v>322</v>
      </c>
      <c r="G45" s="1"/>
      <c r="H45" s="1"/>
      <c r="I45" s="1"/>
      <c r="J45" s="1"/>
      <c r="K45" s="1" t="s">
        <v>95</v>
      </c>
      <c r="L45" s="6"/>
      <c r="M45" s="1"/>
      <c r="N45" s="12" t="s">
        <v>52</v>
      </c>
      <c r="O45" s="11"/>
      <c r="P45" s="15">
        <v>45883.0</v>
      </c>
      <c r="Q45" s="12" t="s">
        <v>44</v>
      </c>
      <c r="R45" s="1"/>
      <c r="S45" s="1"/>
      <c r="T45" s="1"/>
      <c r="U45" s="12" t="s">
        <v>186</v>
      </c>
      <c r="V45" s="17" t="s">
        <v>323</v>
      </c>
      <c r="W45" s="1"/>
      <c r="X45" s="15">
        <v>45883.0</v>
      </c>
      <c r="Y45" s="12" t="s">
        <v>44</v>
      </c>
      <c r="Z45" s="1"/>
      <c r="AA45" s="1"/>
      <c r="AB45" s="1"/>
      <c r="AC45" s="1"/>
      <c r="AD45" s="1"/>
      <c r="AE45" s="18">
        <v>45883.0</v>
      </c>
      <c r="AF45" s="1"/>
      <c r="AG45" s="1"/>
      <c r="AH45" s="1"/>
      <c r="AI45" s="6"/>
      <c r="AJ45" s="6"/>
      <c r="AK45" s="6"/>
      <c r="AL45" s="6" t="str">
        <f t="array" ref="AL45">IFERROR(IFS(XLOOKUP(B45, 'Kit Delivery Status'!$U:$U, 'Kit Delivery Status'!$K:$K) = "Complete", "DELIVERED", XLOOKUP(B45, 'Kit Delivery Status'!$U:$U, 'Kit Delivery Status'!$K:$K) = "Issue", "ISSUE"), "")</f>
        <v/>
      </c>
      <c r="AM45" s="6"/>
    </row>
    <row r="46">
      <c r="A46" s="5" t="str">
        <f t="shared" si="4"/>
        <v>https://utrucking.myshopify.com/admin/orders?query=15169</v>
      </c>
      <c r="B46" s="6" t="s">
        <v>324</v>
      </c>
      <c r="C46" s="12" t="s">
        <v>325</v>
      </c>
      <c r="D46" s="13" t="s">
        <v>326</v>
      </c>
      <c r="E46" s="12" t="s">
        <v>327</v>
      </c>
      <c r="F46" s="12" t="s">
        <v>328</v>
      </c>
      <c r="G46" s="1"/>
      <c r="H46" s="1"/>
      <c r="I46" s="1"/>
      <c r="J46" s="1"/>
      <c r="K46" s="1" t="s">
        <v>95</v>
      </c>
      <c r="L46" s="6"/>
      <c r="M46" s="1"/>
      <c r="N46" s="12" t="s">
        <v>52</v>
      </c>
      <c r="O46" s="11"/>
      <c r="P46" s="15">
        <v>45882.0</v>
      </c>
      <c r="Q46" s="12" t="s">
        <v>329</v>
      </c>
      <c r="R46" s="1"/>
      <c r="S46" s="1"/>
      <c r="T46" s="1"/>
      <c r="U46" s="12" t="s">
        <v>186</v>
      </c>
      <c r="V46" s="17" t="s">
        <v>330</v>
      </c>
      <c r="W46" s="1"/>
      <c r="X46" s="15">
        <v>45882.0</v>
      </c>
      <c r="Y46" s="12" t="s">
        <v>329</v>
      </c>
      <c r="Z46" s="1"/>
      <c r="AA46" s="1"/>
      <c r="AB46" s="1"/>
      <c r="AC46" s="1"/>
      <c r="AD46" s="1"/>
      <c r="AE46" s="18">
        <v>45882.0</v>
      </c>
      <c r="AF46" s="1"/>
      <c r="AG46" s="1"/>
      <c r="AH46" s="1"/>
      <c r="AI46" s="6"/>
      <c r="AJ46" s="6"/>
      <c r="AK46" s="6"/>
      <c r="AL46" s="6" t="str">
        <f t="array" ref="AL46">IFERROR(IFS(XLOOKUP(B46, 'Kit Delivery Status'!$U:$U, 'Kit Delivery Status'!$K:$K) = "Complete", "DELIVERED", XLOOKUP(B46, 'Kit Delivery Status'!$U:$U, 'Kit Delivery Status'!$K:$K) = "Issue", "ISSUE"), "")</f>
        <v/>
      </c>
      <c r="AM46" s="6"/>
    </row>
    <row r="47">
      <c r="A47" s="5" t="str">
        <f t="shared" si="4"/>
        <v>https://utrucking.myshopify.com/admin/orders?query=15170</v>
      </c>
      <c r="B47" s="6" t="s">
        <v>331</v>
      </c>
      <c r="C47" s="12" t="s">
        <v>332</v>
      </c>
      <c r="D47" s="13" t="s">
        <v>333</v>
      </c>
      <c r="E47" s="12" t="s">
        <v>334</v>
      </c>
      <c r="F47" s="12" t="s">
        <v>335</v>
      </c>
      <c r="G47" s="1"/>
      <c r="H47" s="1"/>
      <c r="I47" s="1"/>
      <c r="J47" s="1"/>
      <c r="K47" s="1" t="s">
        <v>95</v>
      </c>
      <c r="L47" s="6"/>
      <c r="M47" s="1"/>
      <c r="N47" s="12" t="s">
        <v>52</v>
      </c>
      <c r="O47" s="11"/>
      <c r="P47" s="15">
        <v>45882.0</v>
      </c>
      <c r="Q47" s="12" t="s">
        <v>54</v>
      </c>
      <c r="R47" s="1"/>
      <c r="S47" s="1"/>
      <c r="T47" s="1"/>
      <c r="U47" s="12" t="s">
        <v>45</v>
      </c>
      <c r="V47" s="17" t="s">
        <v>336</v>
      </c>
      <c r="W47" s="1"/>
      <c r="X47" s="15">
        <v>45882.0</v>
      </c>
      <c r="Y47" s="12" t="s">
        <v>54</v>
      </c>
      <c r="Z47" s="1"/>
      <c r="AA47" s="1"/>
      <c r="AB47" s="1"/>
      <c r="AC47" s="1"/>
      <c r="AD47" s="1"/>
      <c r="AE47" s="18">
        <v>45882.0</v>
      </c>
      <c r="AF47" s="1"/>
      <c r="AG47" s="1"/>
      <c r="AH47" s="1"/>
      <c r="AI47" s="6"/>
      <c r="AJ47" s="6"/>
      <c r="AK47" s="6"/>
      <c r="AL47" s="6" t="str">
        <f t="array" ref="AL47">IFERROR(IFS(XLOOKUP(B47, 'Kit Delivery Status'!$U:$U, 'Kit Delivery Status'!$K:$K) = "Complete", "DELIVERED", XLOOKUP(B47, 'Kit Delivery Status'!$U:$U, 'Kit Delivery Status'!$K:$K) = "Issue", "ISSUE"), "")</f>
        <v/>
      </c>
      <c r="AM47" s="6"/>
    </row>
    <row r="48">
      <c r="A48" s="5" t="str">
        <f t="shared" si="4"/>
        <v>https://utrucking.myshopify.com/admin/orders?query=15173</v>
      </c>
      <c r="B48" s="6" t="s">
        <v>337</v>
      </c>
      <c r="C48" s="12" t="s">
        <v>338</v>
      </c>
      <c r="D48" s="13" t="s">
        <v>339</v>
      </c>
      <c r="E48" s="12" t="s">
        <v>340</v>
      </c>
      <c r="F48" s="12" t="s">
        <v>341</v>
      </c>
      <c r="G48" s="1"/>
      <c r="H48" s="1"/>
      <c r="I48" s="1"/>
      <c r="J48" s="1"/>
      <c r="K48" s="1" t="s">
        <v>95</v>
      </c>
      <c r="L48" s="6"/>
      <c r="M48" s="1"/>
      <c r="N48" s="12" t="s">
        <v>52</v>
      </c>
      <c r="O48" s="11"/>
      <c r="P48" s="15">
        <v>45882.0</v>
      </c>
      <c r="Q48" s="12" t="s">
        <v>96</v>
      </c>
      <c r="R48" s="1"/>
      <c r="S48" s="1"/>
      <c r="T48" s="1"/>
      <c r="U48" s="12" t="s">
        <v>102</v>
      </c>
      <c r="V48" s="17" t="s">
        <v>258</v>
      </c>
      <c r="W48" s="1"/>
      <c r="X48" s="15">
        <v>45882.0</v>
      </c>
      <c r="Y48" s="12" t="s">
        <v>96</v>
      </c>
      <c r="Z48" s="1"/>
      <c r="AA48" s="1"/>
      <c r="AB48" s="1"/>
      <c r="AC48" s="1"/>
      <c r="AD48" s="1"/>
      <c r="AE48" s="18">
        <v>45882.0</v>
      </c>
      <c r="AF48" s="1"/>
      <c r="AG48" s="1"/>
      <c r="AH48" s="1"/>
      <c r="AI48" s="6"/>
      <c r="AJ48" s="6"/>
      <c r="AK48" s="6"/>
      <c r="AL48" s="6" t="str">
        <f t="array" ref="AL48">IFERROR(IFS(XLOOKUP(B48, 'Kit Delivery Status'!$U:$U, 'Kit Delivery Status'!$K:$K) = "Complete", "DELIVERED", XLOOKUP(B48, 'Kit Delivery Status'!$U:$U, 'Kit Delivery Status'!$K:$K) = "Issue", "ISSUE"), "")</f>
        <v/>
      </c>
      <c r="AM48" s="6"/>
    </row>
    <row r="49">
      <c r="A49" s="5" t="str">
        <f t="shared" si="4"/>
        <v>https://utrucking.myshopify.com/admin/orders?query=15179</v>
      </c>
      <c r="B49" s="6" t="s">
        <v>342</v>
      </c>
      <c r="C49" s="12" t="s">
        <v>343</v>
      </c>
      <c r="D49" s="13" t="s">
        <v>344</v>
      </c>
      <c r="E49" s="12" t="s">
        <v>345</v>
      </c>
      <c r="F49" s="12" t="s">
        <v>346</v>
      </c>
      <c r="G49" s="1"/>
      <c r="H49" s="1"/>
      <c r="I49" s="1"/>
      <c r="J49" s="1"/>
      <c r="K49" s="1" t="s">
        <v>95</v>
      </c>
      <c r="L49" s="6"/>
      <c r="M49" s="1"/>
      <c r="N49" s="12" t="s">
        <v>52</v>
      </c>
      <c r="O49" s="11"/>
      <c r="P49" s="15">
        <v>45882.0</v>
      </c>
      <c r="Q49" s="12" t="s">
        <v>96</v>
      </c>
      <c r="R49" s="1"/>
      <c r="S49" s="1"/>
      <c r="T49" s="1"/>
      <c r="U49" s="12" t="s">
        <v>186</v>
      </c>
      <c r="V49" s="17" t="s">
        <v>347</v>
      </c>
      <c r="W49" s="1"/>
      <c r="X49" s="15">
        <v>45882.0</v>
      </c>
      <c r="Y49" s="12" t="s">
        <v>96</v>
      </c>
      <c r="Z49" s="1"/>
      <c r="AA49" s="1"/>
      <c r="AB49" s="1"/>
      <c r="AC49" s="1"/>
      <c r="AD49" s="1"/>
      <c r="AE49" s="18">
        <v>45882.0</v>
      </c>
      <c r="AF49" s="1"/>
      <c r="AG49" s="1"/>
      <c r="AH49" s="1"/>
      <c r="AI49" s="6"/>
      <c r="AJ49" s="6"/>
      <c r="AK49" s="6"/>
      <c r="AL49" s="6" t="str">
        <f t="array" ref="AL49">IFERROR(IFS(XLOOKUP(B49, 'Kit Delivery Status'!$U:$U, 'Kit Delivery Status'!$K:$K) = "Complete", "DELIVERED", XLOOKUP(B49, 'Kit Delivery Status'!$U:$U, 'Kit Delivery Status'!$K:$K) = "Issue", "ISSUE"), "")</f>
        <v/>
      </c>
      <c r="AM49" s="6"/>
    </row>
    <row r="50">
      <c r="A50" s="5" t="str">
        <f t="shared" si="4"/>
        <v>https://utrucking.myshopify.com/admin/orders?query=15180</v>
      </c>
      <c r="B50" s="6" t="s">
        <v>348</v>
      </c>
      <c r="C50" s="12" t="s">
        <v>349</v>
      </c>
      <c r="D50" s="13" t="s">
        <v>350</v>
      </c>
      <c r="E50" s="12" t="s">
        <v>351</v>
      </c>
      <c r="F50" s="12" t="s">
        <v>352</v>
      </c>
      <c r="G50" s="1"/>
      <c r="H50" s="1"/>
      <c r="I50" s="1"/>
      <c r="J50" s="1"/>
      <c r="K50" s="1" t="s">
        <v>95</v>
      </c>
      <c r="L50" s="6"/>
      <c r="M50" s="1"/>
      <c r="N50" s="12" t="s">
        <v>52</v>
      </c>
      <c r="O50" s="11"/>
      <c r="P50" s="15">
        <v>45882.0</v>
      </c>
      <c r="Q50" s="12" t="s">
        <v>96</v>
      </c>
      <c r="R50" s="1"/>
      <c r="S50" s="1"/>
      <c r="T50" s="1"/>
      <c r="U50" s="12" t="s">
        <v>186</v>
      </c>
      <c r="V50" s="17" t="s">
        <v>353</v>
      </c>
      <c r="W50" s="1"/>
      <c r="X50" s="15">
        <v>45882.0</v>
      </c>
      <c r="Y50" s="12" t="s">
        <v>96</v>
      </c>
      <c r="Z50" s="1"/>
      <c r="AA50" s="1"/>
      <c r="AB50" s="1"/>
      <c r="AC50" s="1"/>
      <c r="AD50" s="1"/>
      <c r="AE50" s="18">
        <v>45882.0</v>
      </c>
      <c r="AF50" s="1"/>
      <c r="AG50" s="1"/>
      <c r="AH50" s="1"/>
      <c r="AI50" s="6"/>
      <c r="AJ50" s="6"/>
      <c r="AK50" s="6"/>
      <c r="AL50" s="6" t="str">
        <f t="array" ref="AL50">IFERROR(IFS(XLOOKUP(B50, 'Kit Delivery Status'!$U:$U, 'Kit Delivery Status'!$K:$K) = "Complete", "DELIVERED", XLOOKUP(B50, 'Kit Delivery Status'!$U:$U, 'Kit Delivery Status'!$K:$K) = "Issue", "ISSUE"), "")</f>
        <v/>
      </c>
      <c r="AM50" s="6"/>
    </row>
    <row r="51">
      <c r="A51" s="5" t="str">
        <f t="shared" si="4"/>
        <v>https://utrucking.myshopify.com/admin/orders?query=15183</v>
      </c>
      <c r="B51" s="6" t="s">
        <v>354</v>
      </c>
      <c r="C51" s="12" t="s">
        <v>355</v>
      </c>
      <c r="D51" s="13" t="s">
        <v>356</v>
      </c>
      <c r="E51" s="12" t="s">
        <v>357</v>
      </c>
      <c r="F51" s="12" t="s">
        <v>358</v>
      </c>
      <c r="G51" s="1"/>
      <c r="H51" s="1"/>
      <c r="I51" s="1"/>
      <c r="J51" s="1"/>
      <c r="K51" s="1" t="s">
        <v>95</v>
      </c>
      <c r="L51" s="6"/>
      <c r="M51" s="1"/>
      <c r="N51" s="12" t="s">
        <v>52</v>
      </c>
      <c r="O51" s="11"/>
      <c r="P51" s="15">
        <v>45869.0</v>
      </c>
      <c r="Q51" s="12" t="s">
        <v>88</v>
      </c>
      <c r="R51" s="1"/>
      <c r="S51" s="1"/>
      <c r="T51" s="1"/>
      <c r="U51" s="12" t="s">
        <v>146</v>
      </c>
      <c r="V51" s="17" t="s">
        <v>359</v>
      </c>
      <c r="W51" s="1"/>
      <c r="X51" s="15">
        <v>45869.0</v>
      </c>
      <c r="Y51" s="12" t="s">
        <v>88</v>
      </c>
      <c r="Z51" s="1"/>
      <c r="AA51" s="1"/>
      <c r="AB51" s="1"/>
      <c r="AC51" s="1"/>
      <c r="AD51" s="1"/>
      <c r="AE51" s="18">
        <v>45869.0</v>
      </c>
      <c r="AF51" s="1"/>
      <c r="AG51" s="1"/>
      <c r="AH51" s="1"/>
      <c r="AI51" s="6"/>
      <c r="AJ51" s="6"/>
      <c r="AK51" s="6"/>
      <c r="AL51" s="6" t="str">
        <f t="array" ref="AL51">IFERROR(IFS(XLOOKUP(B51, 'Kit Delivery Status'!$U:$U, 'Kit Delivery Status'!$K:$K) = "Complete", "DELIVERED", XLOOKUP(B51, 'Kit Delivery Status'!$U:$U, 'Kit Delivery Status'!$K:$K) = "Issue", "ISSUE"), "")</f>
        <v/>
      </c>
      <c r="AM51" s="6"/>
    </row>
    <row r="52">
      <c r="A52" s="5" t="str">
        <f t="shared" si="4"/>
        <v>https://utrucking.myshopify.com/admin/orders?query=15185</v>
      </c>
      <c r="B52" s="6" t="s">
        <v>360</v>
      </c>
      <c r="C52" s="12" t="s">
        <v>361</v>
      </c>
      <c r="D52" s="13" t="s">
        <v>362</v>
      </c>
      <c r="E52" s="12" t="s">
        <v>363</v>
      </c>
      <c r="F52" s="12" t="s">
        <v>364</v>
      </c>
      <c r="G52" s="1"/>
      <c r="H52" s="1"/>
      <c r="I52" s="1"/>
      <c r="J52" s="1"/>
      <c r="K52" s="1" t="s">
        <v>95</v>
      </c>
      <c r="L52" s="6"/>
      <c r="M52" s="1"/>
      <c r="N52" s="12" t="s">
        <v>52</v>
      </c>
      <c r="O52" s="11"/>
      <c r="P52" s="15">
        <v>45882.0</v>
      </c>
      <c r="Q52" s="12" t="s">
        <v>54</v>
      </c>
      <c r="R52" s="1"/>
      <c r="S52" s="1"/>
      <c r="T52" s="1"/>
      <c r="U52" s="12" t="s">
        <v>116</v>
      </c>
      <c r="V52" s="17" t="s">
        <v>365</v>
      </c>
      <c r="W52" s="1"/>
      <c r="X52" s="15">
        <v>45882.0</v>
      </c>
      <c r="Y52" s="12" t="s">
        <v>54</v>
      </c>
      <c r="Z52" s="1"/>
      <c r="AA52" s="1"/>
      <c r="AB52" s="1"/>
      <c r="AC52" s="1"/>
      <c r="AD52" s="1"/>
      <c r="AE52" s="18">
        <v>45882.0</v>
      </c>
      <c r="AF52" s="1"/>
      <c r="AG52" s="1"/>
      <c r="AH52" s="1"/>
      <c r="AI52" s="6"/>
      <c r="AJ52" s="6"/>
      <c r="AK52" s="6"/>
      <c r="AL52" s="6" t="str">
        <f t="array" ref="AL52">IFERROR(IFS(XLOOKUP(B52, 'Kit Delivery Status'!$U:$U, 'Kit Delivery Status'!$K:$K) = "Complete", "DELIVERED", XLOOKUP(B52, 'Kit Delivery Status'!$U:$U, 'Kit Delivery Status'!$K:$K) = "Issue", "ISSUE"), "")</f>
        <v/>
      </c>
      <c r="AM52" s="6"/>
    </row>
    <row r="53">
      <c r="A53" s="5" t="str">
        <f t="shared" si="4"/>
        <v>https://utrucking.myshopify.com/admin/orders?query=15187</v>
      </c>
      <c r="B53" s="6" t="s">
        <v>366</v>
      </c>
      <c r="C53" s="12" t="s">
        <v>367</v>
      </c>
      <c r="D53" s="13" t="s">
        <v>368</v>
      </c>
      <c r="E53" s="12" t="s">
        <v>369</v>
      </c>
      <c r="F53" s="12" t="s">
        <v>370</v>
      </c>
      <c r="G53" s="1"/>
      <c r="H53" s="1"/>
      <c r="I53" s="1"/>
      <c r="J53" s="1"/>
      <c r="K53" s="1" t="s">
        <v>95</v>
      </c>
      <c r="L53" s="6"/>
      <c r="M53" s="1"/>
      <c r="N53" s="12" t="s">
        <v>52</v>
      </c>
      <c r="O53" s="11"/>
      <c r="P53" s="15">
        <v>45881.0</v>
      </c>
      <c r="Q53" s="12" t="s">
        <v>160</v>
      </c>
      <c r="R53" s="1"/>
      <c r="S53" s="1"/>
      <c r="T53" s="1"/>
      <c r="U53" s="12" t="s">
        <v>245</v>
      </c>
      <c r="V53" s="17" t="s">
        <v>371</v>
      </c>
      <c r="W53" s="1"/>
      <c r="X53" s="15">
        <v>45881.0</v>
      </c>
      <c r="Y53" s="12" t="s">
        <v>160</v>
      </c>
      <c r="Z53" s="1"/>
      <c r="AA53" s="1"/>
      <c r="AB53" s="1"/>
      <c r="AC53" s="1"/>
      <c r="AD53" s="1"/>
      <c r="AE53" s="16">
        <v>45881.0</v>
      </c>
      <c r="AF53" s="1"/>
      <c r="AG53" s="1"/>
      <c r="AH53" s="1"/>
      <c r="AI53" s="6"/>
      <c r="AJ53" s="6"/>
      <c r="AK53" s="6"/>
      <c r="AL53" s="6" t="str">
        <f t="array" ref="AL53">IFERROR(IFS(XLOOKUP(B53, 'Kit Delivery Status'!$U:$U, 'Kit Delivery Status'!$K:$K) = "Complete", "DELIVERED", XLOOKUP(B53, 'Kit Delivery Status'!$U:$U, 'Kit Delivery Status'!$K:$K) = "Issue", "ISSUE"), "")</f>
        <v/>
      </c>
      <c r="AM53" s="6"/>
    </row>
    <row r="54">
      <c r="A54" s="5" t="str">
        <f t="shared" si="4"/>
        <v>https://utrucking.myshopify.com/admin/orders?query=15188</v>
      </c>
      <c r="B54" s="6" t="s">
        <v>372</v>
      </c>
      <c r="C54" s="12" t="s">
        <v>373</v>
      </c>
      <c r="D54" s="13" t="s">
        <v>374</v>
      </c>
      <c r="E54" s="12" t="s">
        <v>375</v>
      </c>
      <c r="F54" s="12" t="s">
        <v>376</v>
      </c>
      <c r="G54" s="1"/>
      <c r="H54" s="1"/>
      <c r="I54" s="1"/>
      <c r="J54" s="1"/>
      <c r="K54" s="1" t="s">
        <v>95</v>
      </c>
      <c r="L54" s="6"/>
      <c r="M54" s="1"/>
      <c r="N54" s="12" t="s">
        <v>52</v>
      </c>
      <c r="O54" s="11"/>
      <c r="P54" s="15">
        <v>45889.0</v>
      </c>
      <c r="Q54" s="12" t="s">
        <v>54</v>
      </c>
      <c r="R54" s="1"/>
      <c r="S54" s="1"/>
      <c r="T54" s="1"/>
      <c r="U54" s="12" t="s">
        <v>377</v>
      </c>
      <c r="V54" s="17" t="s">
        <v>378</v>
      </c>
      <c r="W54" s="1"/>
      <c r="X54" s="15">
        <v>45889.0</v>
      </c>
      <c r="Y54" s="12" t="s">
        <v>54</v>
      </c>
      <c r="Z54" s="1"/>
      <c r="AA54" s="1"/>
      <c r="AB54" s="1"/>
      <c r="AC54" s="1"/>
      <c r="AD54" s="1"/>
      <c r="AE54" s="18">
        <v>45889.0</v>
      </c>
      <c r="AF54" s="1"/>
      <c r="AG54" s="1"/>
      <c r="AH54" s="1"/>
      <c r="AI54" s="6"/>
      <c r="AJ54" s="6"/>
      <c r="AK54" s="6"/>
      <c r="AL54" s="6" t="str">
        <f t="array" ref="AL54">IFERROR(IFS(XLOOKUP(B54, 'Kit Delivery Status'!$U:$U, 'Kit Delivery Status'!$K:$K) = "Complete", "DELIVERED", XLOOKUP(B54, 'Kit Delivery Status'!$U:$U, 'Kit Delivery Status'!$K:$K) = "Issue", "ISSUE"), "")</f>
        <v/>
      </c>
      <c r="AM54" s="6"/>
    </row>
    <row r="55">
      <c r="A55" s="5" t="str">
        <f t="shared" si="4"/>
        <v>https://utrucking.myshopify.com/admin/orders?query=15193</v>
      </c>
      <c r="B55" s="6" t="s">
        <v>379</v>
      </c>
      <c r="C55" s="12" t="s">
        <v>380</v>
      </c>
      <c r="D55" s="13" t="s">
        <v>381</v>
      </c>
      <c r="E55" s="12" t="s">
        <v>382</v>
      </c>
      <c r="F55" s="12" t="s">
        <v>383</v>
      </c>
      <c r="G55" s="1"/>
      <c r="H55" s="1"/>
      <c r="I55" s="1"/>
      <c r="J55" s="1"/>
      <c r="K55" s="1" t="s">
        <v>95</v>
      </c>
      <c r="L55" s="6"/>
      <c r="M55" s="1"/>
      <c r="N55" s="12" t="s">
        <v>52</v>
      </c>
      <c r="O55" s="11"/>
      <c r="P55" s="15">
        <v>45882.0</v>
      </c>
      <c r="Q55" s="12" t="s">
        <v>54</v>
      </c>
      <c r="R55" s="1"/>
      <c r="S55" s="1"/>
      <c r="T55" s="1"/>
      <c r="U55" s="12" t="s">
        <v>109</v>
      </c>
      <c r="V55" s="17" t="s">
        <v>384</v>
      </c>
      <c r="W55" s="1"/>
      <c r="X55" s="15">
        <v>45882.0</v>
      </c>
      <c r="Y55" s="12" t="s">
        <v>54</v>
      </c>
      <c r="Z55" s="1"/>
      <c r="AA55" s="1"/>
      <c r="AB55" s="1"/>
      <c r="AC55" s="1"/>
      <c r="AD55" s="1"/>
      <c r="AE55" s="18">
        <v>45882.0</v>
      </c>
      <c r="AF55" s="1"/>
      <c r="AG55" s="1"/>
      <c r="AH55" s="1"/>
      <c r="AI55" s="6"/>
      <c r="AJ55" s="6"/>
      <c r="AK55" s="6"/>
      <c r="AL55" s="6" t="str">
        <f t="array" ref="AL55">IFERROR(IFS(XLOOKUP(B55, 'Kit Delivery Status'!$U:$U, 'Kit Delivery Status'!$K:$K) = "Complete", "DELIVERED", XLOOKUP(B55, 'Kit Delivery Status'!$U:$U, 'Kit Delivery Status'!$K:$K) = "Issue", "ISSUE"), "")</f>
        <v/>
      </c>
      <c r="AM55" s="6"/>
    </row>
    <row r="56">
      <c r="A56" s="5" t="str">
        <f t="shared" si="4"/>
        <v>https://utrucking.myshopify.com/admin/orders?query=15195</v>
      </c>
      <c r="B56" s="6" t="s">
        <v>385</v>
      </c>
      <c r="C56" s="12" t="s">
        <v>386</v>
      </c>
      <c r="D56" s="13" t="s">
        <v>387</v>
      </c>
      <c r="E56" s="12" t="s">
        <v>388</v>
      </c>
      <c r="F56" s="12" t="s">
        <v>389</v>
      </c>
      <c r="G56" s="1"/>
      <c r="H56" s="1"/>
      <c r="I56" s="1"/>
      <c r="J56" s="1"/>
      <c r="K56" s="1" t="s">
        <v>95</v>
      </c>
      <c r="L56" s="6"/>
      <c r="M56" s="1"/>
      <c r="N56" s="12" t="s">
        <v>52</v>
      </c>
      <c r="O56" s="11"/>
      <c r="P56" s="15">
        <v>45883.0</v>
      </c>
      <c r="Q56" s="12" t="s">
        <v>160</v>
      </c>
      <c r="R56" s="1"/>
      <c r="S56" s="1"/>
      <c r="T56" s="1"/>
      <c r="U56" s="12" t="s">
        <v>45</v>
      </c>
      <c r="V56" s="17" t="s">
        <v>390</v>
      </c>
      <c r="W56" s="1"/>
      <c r="X56" s="15">
        <v>45883.0</v>
      </c>
      <c r="Y56" s="12" t="s">
        <v>160</v>
      </c>
      <c r="Z56" s="1"/>
      <c r="AA56" s="1"/>
      <c r="AB56" s="1"/>
      <c r="AC56" s="1"/>
      <c r="AD56" s="1"/>
      <c r="AE56" s="18">
        <v>45883.0</v>
      </c>
      <c r="AF56" s="1"/>
      <c r="AG56" s="1"/>
      <c r="AH56" s="1"/>
      <c r="AI56" s="6"/>
      <c r="AJ56" s="6"/>
      <c r="AK56" s="6"/>
      <c r="AL56" s="6" t="str">
        <f t="array" ref="AL56">IFERROR(IFS(XLOOKUP(B56, 'Kit Delivery Status'!$U:$U, 'Kit Delivery Status'!$K:$K) = "Complete", "DELIVERED", XLOOKUP(B56, 'Kit Delivery Status'!$U:$U, 'Kit Delivery Status'!$K:$K) = "Issue", "ISSUE"), "")</f>
        <v/>
      </c>
      <c r="AM56" s="6"/>
    </row>
    <row r="57">
      <c r="A57" s="5" t="str">
        <f t="shared" si="4"/>
        <v>https://utrucking.myshopify.com/admin/orders?query=15206</v>
      </c>
      <c r="B57" s="6" t="s">
        <v>391</v>
      </c>
      <c r="C57" s="12" t="s">
        <v>392</v>
      </c>
      <c r="D57" s="13" t="s">
        <v>393</v>
      </c>
      <c r="E57" s="12" t="s">
        <v>394</v>
      </c>
      <c r="F57" s="12" t="s">
        <v>395</v>
      </c>
      <c r="G57" s="1"/>
      <c r="H57" s="1"/>
      <c r="I57" s="1"/>
      <c r="J57" s="1"/>
      <c r="K57" s="1" t="s">
        <v>95</v>
      </c>
      <c r="L57" s="6"/>
      <c r="M57" s="1"/>
      <c r="N57" s="12" t="s">
        <v>52</v>
      </c>
      <c r="O57" s="11"/>
      <c r="P57" s="15">
        <v>45882.0</v>
      </c>
      <c r="Q57" s="12" t="s">
        <v>96</v>
      </c>
      <c r="R57" s="1"/>
      <c r="S57" s="1"/>
      <c r="T57" s="1"/>
      <c r="U57" s="12" t="s">
        <v>132</v>
      </c>
      <c r="V57" s="17" t="s">
        <v>396</v>
      </c>
      <c r="W57" s="1"/>
      <c r="X57" s="15">
        <v>45882.0</v>
      </c>
      <c r="Y57" s="12" t="s">
        <v>96</v>
      </c>
      <c r="Z57" s="1"/>
      <c r="AA57" s="1"/>
      <c r="AB57" s="1"/>
      <c r="AC57" s="1"/>
      <c r="AD57" s="1"/>
      <c r="AE57" s="18">
        <v>45882.0</v>
      </c>
      <c r="AF57" s="1"/>
      <c r="AG57" s="1"/>
      <c r="AH57" s="1"/>
      <c r="AI57" s="6"/>
      <c r="AJ57" s="6"/>
      <c r="AK57" s="6"/>
      <c r="AL57" s="6" t="str">
        <f t="array" ref="AL57">IFERROR(IFS(XLOOKUP(B57, 'Kit Delivery Status'!$U:$U, 'Kit Delivery Status'!$K:$K) = "Complete", "DELIVERED", XLOOKUP(B57, 'Kit Delivery Status'!$U:$U, 'Kit Delivery Status'!$K:$K) = "Issue", "ISSUE"), "")</f>
        <v/>
      </c>
      <c r="AM57" s="6"/>
    </row>
    <row r="58">
      <c r="A58" s="5" t="str">
        <f t="shared" si="4"/>
        <v>https://utrucking.myshopify.com/admin/orders?query=15207</v>
      </c>
      <c r="B58" s="6" t="s">
        <v>397</v>
      </c>
      <c r="C58" s="12" t="s">
        <v>398</v>
      </c>
      <c r="D58" s="13" t="s">
        <v>399</v>
      </c>
      <c r="E58" s="12" t="s">
        <v>400</v>
      </c>
      <c r="F58" s="12" t="s">
        <v>401</v>
      </c>
      <c r="G58" s="1"/>
      <c r="H58" s="1"/>
      <c r="I58" s="1"/>
      <c r="J58" s="1"/>
      <c r="K58" s="1" t="s">
        <v>95</v>
      </c>
      <c r="L58" s="6"/>
      <c r="M58" s="1"/>
      <c r="N58" s="6"/>
      <c r="O58" s="11"/>
      <c r="P58" s="15">
        <v>45882.0</v>
      </c>
      <c r="Q58" s="12" t="s">
        <v>54</v>
      </c>
      <c r="R58" s="1"/>
      <c r="S58" s="1"/>
      <c r="T58" s="1"/>
      <c r="U58" s="6"/>
      <c r="V58" s="11"/>
      <c r="W58" s="1"/>
      <c r="X58" s="15">
        <v>45882.0</v>
      </c>
      <c r="Y58" s="12" t="s">
        <v>54</v>
      </c>
      <c r="Z58" s="1"/>
      <c r="AA58" s="1"/>
      <c r="AB58" s="1"/>
      <c r="AC58" s="1"/>
      <c r="AD58" s="1"/>
      <c r="AE58" s="18">
        <v>45882.0</v>
      </c>
      <c r="AF58" s="1"/>
      <c r="AG58" s="1"/>
      <c r="AH58" s="1"/>
      <c r="AI58" s="6"/>
      <c r="AJ58" s="6"/>
      <c r="AK58" s="6"/>
      <c r="AL58" s="6" t="str">
        <f t="array" ref="AL58">IFERROR(IFS(XLOOKUP(B58, 'Kit Delivery Status'!$U:$U, 'Kit Delivery Status'!$K:$K) = "Complete", "DELIVERED", XLOOKUP(B58, 'Kit Delivery Status'!$U:$U, 'Kit Delivery Status'!$K:$K) = "Issue", "ISSUE"), "")</f>
        <v/>
      </c>
      <c r="AM58" s="6"/>
    </row>
    <row r="59">
      <c r="A59" s="5" t="str">
        <f t="shared" si="4"/>
        <v>https://utrucking.myshopify.com/admin/orders?query=15214</v>
      </c>
      <c r="B59" s="6" t="s">
        <v>402</v>
      </c>
      <c r="C59" s="12" t="s">
        <v>403</v>
      </c>
      <c r="D59" s="13" t="s">
        <v>404</v>
      </c>
      <c r="E59" s="12" t="s">
        <v>405</v>
      </c>
      <c r="F59" s="12" t="s">
        <v>406</v>
      </c>
      <c r="G59" s="1"/>
      <c r="H59" s="1"/>
      <c r="I59" s="1"/>
      <c r="J59" s="1"/>
      <c r="K59" s="1" t="s">
        <v>95</v>
      </c>
      <c r="L59" s="6"/>
      <c r="M59" s="1"/>
      <c r="N59" s="12" t="s">
        <v>52</v>
      </c>
      <c r="O59" s="11"/>
      <c r="P59" s="15">
        <v>45877.0</v>
      </c>
      <c r="Q59" s="12" t="s">
        <v>54</v>
      </c>
      <c r="R59" s="1"/>
      <c r="S59" s="1"/>
      <c r="T59" s="1"/>
      <c r="U59" s="12" t="s">
        <v>132</v>
      </c>
      <c r="V59" s="17" t="s">
        <v>407</v>
      </c>
      <c r="W59" s="1"/>
      <c r="X59" s="15">
        <v>45877.0</v>
      </c>
      <c r="Y59" s="12" t="s">
        <v>54</v>
      </c>
      <c r="Z59" s="1"/>
      <c r="AA59" s="1"/>
      <c r="AB59" s="1"/>
      <c r="AC59" s="1"/>
      <c r="AD59" s="1"/>
      <c r="AE59" s="16">
        <v>45877.0</v>
      </c>
      <c r="AF59" s="1"/>
      <c r="AG59" s="1"/>
      <c r="AH59" s="1"/>
      <c r="AI59" s="6"/>
      <c r="AJ59" s="6"/>
      <c r="AK59" s="6"/>
      <c r="AL59" s="6" t="str">
        <f t="array" ref="AL59">IFERROR(IFS(XLOOKUP(B59, 'Kit Delivery Status'!$U:$U, 'Kit Delivery Status'!$K:$K) = "Complete", "DELIVERED", XLOOKUP(B59, 'Kit Delivery Status'!$U:$U, 'Kit Delivery Status'!$K:$K) = "Issue", "ISSUE"), "")</f>
        <v/>
      </c>
      <c r="AM59" s="6"/>
    </row>
    <row r="60">
      <c r="A60" s="5" t="str">
        <f t="shared" si="4"/>
        <v>https://utrucking.myshopify.com/admin/orders?query=14711</v>
      </c>
      <c r="B60" s="6" t="s">
        <v>408</v>
      </c>
      <c r="C60" s="12" t="s">
        <v>409</v>
      </c>
      <c r="D60" s="13" t="s">
        <v>410</v>
      </c>
      <c r="E60" s="12" t="s">
        <v>411</v>
      </c>
      <c r="F60" s="12" t="s">
        <v>412</v>
      </c>
      <c r="G60" s="1"/>
      <c r="H60" s="1"/>
      <c r="I60" s="1"/>
      <c r="J60" s="1"/>
      <c r="K60" s="19" t="s">
        <v>75</v>
      </c>
      <c r="L60" s="6"/>
      <c r="M60" s="1"/>
      <c r="N60" s="12" t="s">
        <v>52</v>
      </c>
      <c r="O60" s="11"/>
      <c r="P60" s="15">
        <v>45878.0</v>
      </c>
      <c r="Q60" s="12" t="s">
        <v>60</v>
      </c>
      <c r="R60" s="1"/>
      <c r="S60" s="1"/>
      <c r="T60" s="1"/>
      <c r="U60" s="12" t="s">
        <v>102</v>
      </c>
      <c r="V60" s="17" t="s">
        <v>103</v>
      </c>
      <c r="W60" s="1"/>
      <c r="X60" s="15">
        <v>45878.0</v>
      </c>
      <c r="Y60" s="12" t="s">
        <v>60</v>
      </c>
      <c r="Z60" s="1"/>
      <c r="AA60" s="1"/>
      <c r="AB60" s="1"/>
      <c r="AC60" s="1"/>
      <c r="AD60" s="1"/>
      <c r="AE60" s="16">
        <v>45878.0</v>
      </c>
      <c r="AF60" s="1"/>
      <c r="AG60" s="1"/>
      <c r="AH60" s="1"/>
      <c r="AI60" s="6"/>
      <c r="AJ60" s="6"/>
      <c r="AK60" s="6"/>
      <c r="AL60" s="6" t="str">
        <f t="array" ref="AL60">IFERROR(IFS(XLOOKUP(B60, 'Kit Delivery Status'!$U:$U, 'Kit Delivery Status'!$K:$K) = "Complete", "DELIVERED", XLOOKUP(B60, 'Kit Delivery Status'!$U:$U, 'Kit Delivery Status'!$K:$K) = "Issue", "ISSUE"), "")</f>
        <v/>
      </c>
      <c r="AM60" s="6"/>
    </row>
    <row r="61">
      <c r="A61" s="5" t="str">
        <f t="shared" si="4"/>
        <v>https://utrucking.myshopify.com/admin/orders?query=14341</v>
      </c>
      <c r="B61" s="6" t="s">
        <v>413</v>
      </c>
      <c r="C61" s="12" t="s">
        <v>414</v>
      </c>
      <c r="D61" s="13" t="s">
        <v>415</v>
      </c>
      <c r="E61" s="12" t="s">
        <v>416</v>
      </c>
      <c r="F61" s="12" t="s">
        <v>417</v>
      </c>
      <c r="G61" s="1"/>
      <c r="H61" s="1"/>
      <c r="I61" s="1"/>
      <c r="J61" s="1"/>
      <c r="K61" s="19" t="s">
        <v>75</v>
      </c>
      <c r="L61" s="6"/>
      <c r="M61" s="1"/>
      <c r="N61" s="12" t="s">
        <v>52</v>
      </c>
      <c r="O61" s="17" t="s">
        <v>418</v>
      </c>
      <c r="P61" s="15">
        <v>45878.0</v>
      </c>
      <c r="Q61" s="12" t="s">
        <v>54</v>
      </c>
      <c r="R61" s="1"/>
      <c r="S61" s="1"/>
      <c r="T61" s="1"/>
      <c r="U61" s="12" t="s">
        <v>109</v>
      </c>
      <c r="V61" s="17" t="s">
        <v>418</v>
      </c>
      <c r="W61" s="1"/>
      <c r="X61" s="15">
        <v>45878.0</v>
      </c>
      <c r="Y61" s="12" t="s">
        <v>54</v>
      </c>
      <c r="Z61" s="1"/>
      <c r="AA61" s="1"/>
      <c r="AB61" s="1"/>
      <c r="AC61" s="1"/>
      <c r="AD61" s="1"/>
      <c r="AE61" s="16">
        <v>45878.0</v>
      </c>
      <c r="AF61" s="1"/>
      <c r="AG61" s="1"/>
      <c r="AH61" s="1"/>
      <c r="AI61" s="6"/>
      <c r="AJ61" s="6"/>
      <c r="AK61" s="6"/>
      <c r="AL61" s="6" t="str">
        <f t="array" ref="AL61">IFERROR(IFS(XLOOKUP(B61, 'Kit Delivery Status'!$U:$U, 'Kit Delivery Status'!$K:$K) = "Complete", "DELIVERED", XLOOKUP(B61, 'Kit Delivery Status'!$U:$U, 'Kit Delivery Status'!$K:$K) = "Issue", "ISSUE"), "")</f>
        <v/>
      </c>
      <c r="AM61" s="6"/>
    </row>
    <row r="62">
      <c r="A62" s="5" t="str">
        <f t="shared" si="4"/>
        <v>https://utrucking.myshopify.com/admin/orders?query=14098</v>
      </c>
      <c r="B62" s="6" t="s">
        <v>419</v>
      </c>
      <c r="C62" s="12" t="s">
        <v>64</v>
      </c>
      <c r="D62" s="13" t="s">
        <v>420</v>
      </c>
      <c r="E62" s="12" t="s">
        <v>65</v>
      </c>
      <c r="F62" s="12" t="s">
        <v>421</v>
      </c>
      <c r="G62" s="1"/>
      <c r="H62" s="1"/>
      <c r="I62" s="1"/>
      <c r="J62" s="1"/>
      <c r="K62" s="19" t="s">
        <v>75</v>
      </c>
      <c r="L62" s="6"/>
      <c r="M62" s="1"/>
      <c r="N62" s="12" t="s">
        <v>52</v>
      </c>
      <c r="O62" s="11"/>
      <c r="P62" s="15">
        <v>45883.0</v>
      </c>
      <c r="Q62" s="12" t="s">
        <v>54</v>
      </c>
      <c r="R62" s="1"/>
      <c r="S62" s="1"/>
      <c r="T62" s="1"/>
      <c r="U62" s="12" t="s">
        <v>68</v>
      </c>
      <c r="V62" s="17" t="s">
        <v>422</v>
      </c>
      <c r="W62" s="1"/>
      <c r="X62" s="15">
        <v>45883.0</v>
      </c>
      <c r="Y62" s="12" t="s">
        <v>54</v>
      </c>
      <c r="Z62" s="1"/>
      <c r="AA62" s="1"/>
      <c r="AB62" s="1"/>
      <c r="AC62" s="1"/>
      <c r="AD62" s="1"/>
      <c r="AE62" s="18">
        <v>45883.0</v>
      </c>
      <c r="AF62" s="1"/>
      <c r="AG62" s="1"/>
      <c r="AH62" s="1"/>
      <c r="AI62" s="6"/>
      <c r="AJ62" s="6"/>
      <c r="AK62" s="6"/>
      <c r="AL62" s="6" t="str">
        <f t="array" ref="AL62">IFERROR(IFS(XLOOKUP(B62, 'Kit Delivery Status'!$U:$U, 'Kit Delivery Status'!$K:$K) = "Complete", "DELIVERED", XLOOKUP(B62, 'Kit Delivery Status'!$U:$U, 'Kit Delivery Status'!$K:$K) = "Issue", "ISSUE"), "")</f>
        <v/>
      </c>
      <c r="AM62" s="6"/>
    </row>
    <row r="63">
      <c r="A63" s="5" t="str">
        <f t="shared" si="4"/>
        <v>https://utrucking.myshopify.com/admin/orders?query=14346</v>
      </c>
      <c r="B63" s="6" t="s">
        <v>423</v>
      </c>
      <c r="C63" s="12" t="s">
        <v>424</v>
      </c>
      <c r="D63" s="13" t="s">
        <v>425</v>
      </c>
      <c r="E63" s="12" t="s">
        <v>426</v>
      </c>
      <c r="F63" s="12" t="s">
        <v>427</v>
      </c>
      <c r="G63" s="1"/>
      <c r="H63" s="1"/>
      <c r="I63" s="1"/>
      <c r="J63" s="1"/>
      <c r="K63" s="19" t="s">
        <v>75</v>
      </c>
      <c r="L63" s="6"/>
      <c r="M63" s="1"/>
      <c r="N63" s="12" t="s">
        <v>124</v>
      </c>
      <c r="O63" s="11"/>
      <c r="P63" s="15">
        <v>45892.0</v>
      </c>
      <c r="Q63" s="12" t="s">
        <v>54</v>
      </c>
      <c r="R63" s="1" t="s">
        <v>428</v>
      </c>
      <c r="S63" s="1"/>
      <c r="T63" s="1"/>
      <c r="U63" s="6"/>
      <c r="V63" s="11"/>
      <c r="W63" s="1"/>
      <c r="X63" s="15">
        <v>45892.0</v>
      </c>
      <c r="Y63" s="12" t="s">
        <v>54</v>
      </c>
      <c r="Z63" s="1"/>
      <c r="AA63" s="1" t="s">
        <v>428</v>
      </c>
      <c r="AB63" s="1"/>
      <c r="AC63" s="1"/>
      <c r="AD63" s="1"/>
      <c r="AE63" s="18">
        <v>45892.0</v>
      </c>
      <c r="AF63" s="1"/>
      <c r="AG63" s="1"/>
      <c r="AH63" s="1"/>
      <c r="AI63" s="6"/>
      <c r="AJ63" s="6"/>
      <c r="AK63" s="6"/>
      <c r="AL63" s="6" t="str">
        <f t="array" ref="AL63">IFERROR(IFS(XLOOKUP(B63, 'Kit Delivery Status'!$U:$U, 'Kit Delivery Status'!$K:$K) = "Complete", "DELIVERED", XLOOKUP(B63, 'Kit Delivery Status'!$U:$U, 'Kit Delivery Status'!$K:$K) = "Issue", "ISSUE"), "")</f>
        <v/>
      </c>
      <c r="AM63" s="6"/>
    </row>
    <row r="64">
      <c r="A64" s="5" t="str">
        <f t="shared" si="4"/>
        <v>https://utrucking.myshopify.com/admin/orders?query=14567</v>
      </c>
      <c r="B64" s="6" t="s">
        <v>429</v>
      </c>
      <c r="C64" s="12" t="s">
        <v>430</v>
      </c>
      <c r="D64" s="13" t="s">
        <v>431</v>
      </c>
      <c r="E64" s="12" t="s">
        <v>432</v>
      </c>
      <c r="F64" s="12" t="s">
        <v>433</v>
      </c>
      <c r="G64" s="1"/>
      <c r="H64" s="1"/>
      <c r="I64" s="1"/>
      <c r="J64" s="1"/>
      <c r="K64" s="19" t="s">
        <v>75</v>
      </c>
      <c r="L64" s="6"/>
      <c r="M64" s="1"/>
      <c r="N64" s="12" t="s">
        <v>52</v>
      </c>
      <c r="O64" s="11"/>
      <c r="P64" s="15">
        <v>45883.0</v>
      </c>
      <c r="Q64" s="12" t="s">
        <v>60</v>
      </c>
      <c r="R64" s="1"/>
      <c r="S64" s="1"/>
      <c r="T64" s="1"/>
      <c r="U64" s="12" t="s">
        <v>299</v>
      </c>
      <c r="V64" s="17" t="s">
        <v>434</v>
      </c>
      <c r="W64" s="1"/>
      <c r="X64" s="15">
        <v>45883.0</v>
      </c>
      <c r="Y64" s="12" t="s">
        <v>60</v>
      </c>
      <c r="Z64" s="1"/>
      <c r="AA64" s="1"/>
      <c r="AB64" s="1"/>
      <c r="AC64" s="1"/>
      <c r="AD64" s="1"/>
      <c r="AE64" s="18">
        <v>45883.0</v>
      </c>
      <c r="AF64" s="1"/>
      <c r="AG64" s="1"/>
      <c r="AH64" s="1"/>
      <c r="AI64" s="6"/>
      <c r="AJ64" s="6"/>
      <c r="AK64" s="6"/>
      <c r="AL64" s="6" t="str">
        <f t="array" ref="AL64">IFERROR(IFS(XLOOKUP(B64, 'Kit Delivery Status'!$U:$U, 'Kit Delivery Status'!$K:$K) = "Complete", "DELIVERED", XLOOKUP(B64, 'Kit Delivery Status'!$U:$U, 'Kit Delivery Status'!$K:$K) = "Issue", "ISSUE"), "")</f>
        <v/>
      </c>
      <c r="AM64" s="6"/>
    </row>
    <row r="65">
      <c r="A65" s="5" t="str">
        <f t="shared" si="4"/>
        <v>https://utrucking.myshopify.com/admin/orders?query=14593</v>
      </c>
      <c r="B65" s="6" t="s">
        <v>435</v>
      </c>
      <c r="C65" s="12" t="s">
        <v>436</v>
      </c>
      <c r="D65" s="13" t="s">
        <v>437</v>
      </c>
      <c r="E65" s="12" t="s">
        <v>438</v>
      </c>
      <c r="F65" s="12" t="s">
        <v>439</v>
      </c>
      <c r="G65" s="1"/>
      <c r="H65" s="1"/>
      <c r="I65" s="1"/>
      <c r="J65" s="1"/>
      <c r="K65" s="19" t="s">
        <v>75</v>
      </c>
      <c r="L65" s="6"/>
      <c r="M65" s="1"/>
      <c r="N65" s="12" t="s">
        <v>52</v>
      </c>
      <c r="O65" s="11"/>
      <c r="P65" s="15">
        <v>45877.0</v>
      </c>
      <c r="Q65" s="12" t="s">
        <v>44</v>
      </c>
      <c r="R65" s="1"/>
      <c r="S65" s="1"/>
      <c r="T65" s="1"/>
      <c r="U65" s="12" t="s">
        <v>109</v>
      </c>
      <c r="V65" s="17" t="s">
        <v>440</v>
      </c>
      <c r="W65" s="1"/>
      <c r="X65" s="15">
        <v>45877.0</v>
      </c>
      <c r="Y65" s="12" t="s">
        <v>44</v>
      </c>
      <c r="Z65" s="1"/>
      <c r="AA65" s="1"/>
      <c r="AB65" s="1"/>
      <c r="AC65" s="1"/>
      <c r="AD65" s="1"/>
      <c r="AE65" s="16">
        <v>45877.0</v>
      </c>
      <c r="AF65" s="1"/>
      <c r="AG65" s="1"/>
      <c r="AH65" s="1"/>
      <c r="AI65" s="6"/>
      <c r="AJ65" s="6"/>
      <c r="AK65" s="6"/>
      <c r="AL65" s="6" t="str">
        <f t="array" ref="AL65">IFERROR(IFS(XLOOKUP(B65, 'Kit Delivery Status'!$U:$U, 'Kit Delivery Status'!$K:$K) = "Complete", "DELIVERED", XLOOKUP(B65, 'Kit Delivery Status'!$U:$U, 'Kit Delivery Status'!$K:$K) = "Issue", "ISSUE"), "")</f>
        <v/>
      </c>
      <c r="AM65" s="6"/>
    </row>
    <row r="66">
      <c r="A66" s="5" t="str">
        <f t="shared" si="4"/>
        <v>https://utrucking.myshopify.com/admin/orders?query=14853</v>
      </c>
      <c r="B66" s="6" t="s">
        <v>441</v>
      </c>
      <c r="C66" s="12" t="s">
        <v>442</v>
      </c>
      <c r="D66" s="13" t="s">
        <v>443</v>
      </c>
      <c r="E66" s="12" t="s">
        <v>444</v>
      </c>
      <c r="F66" s="12" t="s">
        <v>445</v>
      </c>
      <c r="G66" s="1"/>
      <c r="H66" s="1"/>
      <c r="I66" s="1"/>
      <c r="J66" s="1"/>
      <c r="K66" s="19" t="s">
        <v>75</v>
      </c>
      <c r="L66" s="6"/>
      <c r="M66" s="1"/>
      <c r="N66" s="12" t="s">
        <v>52</v>
      </c>
      <c r="O66" s="11"/>
      <c r="P66" s="15">
        <v>45878.0</v>
      </c>
      <c r="Q66" s="12" t="s">
        <v>96</v>
      </c>
      <c r="R66" s="1"/>
      <c r="S66" s="1"/>
      <c r="T66" s="1"/>
      <c r="U66" s="12" t="s">
        <v>153</v>
      </c>
      <c r="V66" s="17" t="s">
        <v>446</v>
      </c>
      <c r="W66" s="1"/>
      <c r="X66" s="15">
        <v>45878.0</v>
      </c>
      <c r="Y66" s="12" t="s">
        <v>96</v>
      </c>
      <c r="Z66" s="1"/>
      <c r="AA66" s="1"/>
      <c r="AB66" s="1"/>
      <c r="AC66" s="1"/>
      <c r="AD66" s="1"/>
      <c r="AE66" s="16">
        <v>45878.0</v>
      </c>
      <c r="AF66" s="1"/>
      <c r="AG66" s="1"/>
      <c r="AH66" s="1"/>
      <c r="AI66" s="6"/>
      <c r="AJ66" s="6"/>
      <c r="AK66" s="6"/>
      <c r="AL66" s="6" t="str">
        <f t="array" ref="AL66">IFERROR(IFS(XLOOKUP(B66, 'Kit Delivery Status'!$U:$U, 'Kit Delivery Status'!$K:$K) = "Complete", "DELIVERED", XLOOKUP(B66, 'Kit Delivery Status'!$U:$U, 'Kit Delivery Status'!$K:$K) = "Issue", "ISSUE"), "")</f>
        <v/>
      </c>
      <c r="AM66" s="6"/>
    </row>
    <row r="67">
      <c r="A67" s="5" t="str">
        <f t="shared" si="4"/>
        <v>https://utrucking.myshopify.com/admin/orders?query=15002</v>
      </c>
      <c r="B67" s="6" t="s">
        <v>447</v>
      </c>
      <c r="C67" s="12" t="s">
        <v>448</v>
      </c>
      <c r="D67" s="13" t="s">
        <v>449</v>
      </c>
      <c r="E67" s="12" t="s">
        <v>450</v>
      </c>
      <c r="F67" s="12" t="s">
        <v>451</v>
      </c>
      <c r="G67" s="1"/>
      <c r="H67" s="1"/>
      <c r="I67" s="1"/>
      <c r="J67" s="1"/>
      <c r="K67" s="19" t="s">
        <v>75</v>
      </c>
      <c r="L67" s="6"/>
      <c r="M67" s="1"/>
      <c r="N67" s="12" t="s">
        <v>52</v>
      </c>
      <c r="O67" s="11"/>
      <c r="P67" s="15">
        <v>45878.0</v>
      </c>
      <c r="Q67" s="12" t="s">
        <v>160</v>
      </c>
      <c r="R67" s="1"/>
      <c r="S67" s="1"/>
      <c r="T67" s="1"/>
      <c r="U67" s="12" t="s">
        <v>102</v>
      </c>
      <c r="V67" s="17" t="s">
        <v>452</v>
      </c>
      <c r="W67" s="1"/>
      <c r="X67" s="15">
        <v>45878.0</v>
      </c>
      <c r="Y67" s="12" t="s">
        <v>160</v>
      </c>
      <c r="Z67" s="1"/>
      <c r="AA67" s="1"/>
      <c r="AB67" s="1"/>
      <c r="AC67" s="1"/>
      <c r="AD67" s="1"/>
      <c r="AE67" s="16">
        <v>45878.0</v>
      </c>
      <c r="AF67" s="1"/>
      <c r="AG67" s="1"/>
      <c r="AH67" s="1"/>
      <c r="AI67" s="6"/>
      <c r="AJ67" s="6"/>
      <c r="AK67" s="6"/>
      <c r="AL67" s="6" t="str">
        <f t="array" ref="AL67">IFERROR(IFS(XLOOKUP(B67, 'Kit Delivery Status'!$U:$U, 'Kit Delivery Status'!$K:$K) = "Complete", "DELIVERED", XLOOKUP(B67, 'Kit Delivery Status'!$U:$U, 'Kit Delivery Status'!$K:$K) = "Issue", "ISSUE"), "")</f>
        <v/>
      </c>
      <c r="AM67" s="6"/>
    </row>
    <row r="68">
      <c r="A68" s="5" t="str">
        <f t="shared" si="4"/>
        <v>https://utrucking.myshopify.com/admin/orders?query=15005</v>
      </c>
      <c r="B68" s="6" t="s">
        <v>453</v>
      </c>
      <c r="C68" s="12" t="s">
        <v>454</v>
      </c>
      <c r="D68" s="13" t="s">
        <v>455</v>
      </c>
      <c r="E68" s="12" t="s">
        <v>456</v>
      </c>
      <c r="F68" s="12" t="s">
        <v>457</v>
      </c>
      <c r="G68" s="1"/>
      <c r="H68" s="1"/>
      <c r="I68" s="1"/>
      <c r="J68" s="1"/>
      <c r="K68" s="19" t="s">
        <v>75</v>
      </c>
      <c r="L68" s="6"/>
      <c r="M68" s="1"/>
      <c r="N68" s="12" t="s">
        <v>52</v>
      </c>
      <c r="O68" s="11"/>
      <c r="P68" s="15">
        <v>45878.0</v>
      </c>
      <c r="Q68" s="12" t="s">
        <v>54</v>
      </c>
      <c r="R68" s="1"/>
      <c r="S68" s="1"/>
      <c r="T68" s="1"/>
      <c r="U68" s="12" t="s">
        <v>458</v>
      </c>
      <c r="V68" s="17" t="s">
        <v>459</v>
      </c>
      <c r="W68" s="1"/>
      <c r="X68" s="15">
        <v>45878.0</v>
      </c>
      <c r="Y68" s="12" t="s">
        <v>54</v>
      </c>
      <c r="Z68" s="1"/>
      <c r="AA68" s="1"/>
      <c r="AB68" s="1"/>
      <c r="AC68" s="1"/>
      <c r="AD68" s="1"/>
      <c r="AE68" s="16">
        <v>45878.0</v>
      </c>
      <c r="AF68" s="1"/>
      <c r="AG68" s="1"/>
      <c r="AH68" s="1"/>
      <c r="AI68" s="6"/>
      <c r="AJ68" s="6"/>
      <c r="AK68" s="6"/>
      <c r="AL68" s="6" t="str">
        <f t="array" ref="AL68">IFERROR(IFS(XLOOKUP(B68, 'Kit Delivery Status'!$U:$U, 'Kit Delivery Status'!$K:$K) = "Complete", "DELIVERED", XLOOKUP(B68, 'Kit Delivery Status'!$U:$U, 'Kit Delivery Status'!$K:$K) = "Issue", "ISSUE"), "")</f>
        <v/>
      </c>
      <c r="AM68" s="6"/>
    </row>
    <row r="69">
      <c r="A69" s="5" t="str">
        <f t="shared" si="4"/>
        <v>https://utrucking.myshopify.com/admin/orders?query=15011</v>
      </c>
      <c r="B69" s="6" t="s">
        <v>460</v>
      </c>
      <c r="C69" s="12" t="s">
        <v>461</v>
      </c>
      <c r="D69" s="13" t="s">
        <v>462</v>
      </c>
      <c r="E69" s="12" t="s">
        <v>463</v>
      </c>
      <c r="F69" s="12" t="s">
        <v>464</v>
      </c>
      <c r="G69" s="1"/>
      <c r="H69" s="1"/>
      <c r="I69" s="1"/>
      <c r="J69" s="1"/>
      <c r="K69" s="19" t="s">
        <v>75</v>
      </c>
      <c r="L69" s="6"/>
      <c r="M69" s="1"/>
      <c r="N69" s="12" t="s">
        <v>52</v>
      </c>
      <c r="O69" s="11"/>
      <c r="P69" s="15">
        <v>45877.0</v>
      </c>
      <c r="Q69" s="12" t="s">
        <v>160</v>
      </c>
      <c r="R69" s="1"/>
      <c r="S69" s="1"/>
      <c r="T69" s="1"/>
      <c r="U69" s="12" t="s">
        <v>102</v>
      </c>
      <c r="V69" s="17" t="s">
        <v>103</v>
      </c>
      <c r="W69" s="1"/>
      <c r="X69" s="15">
        <v>45877.0</v>
      </c>
      <c r="Y69" s="12" t="s">
        <v>160</v>
      </c>
      <c r="Z69" s="1"/>
      <c r="AA69" s="1"/>
      <c r="AB69" s="1"/>
      <c r="AC69" s="1"/>
      <c r="AD69" s="1"/>
      <c r="AE69" s="16">
        <v>45877.0</v>
      </c>
      <c r="AF69" s="1"/>
      <c r="AG69" s="1"/>
      <c r="AH69" s="1"/>
      <c r="AI69" s="6"/>
      <c r="AJ69" s="6"/>
      <c r="AK69" s="6"/>
      <c r="AL69" s="6" t="str">
        <f t="array" ref="AL69">IFERROR(IFS(XLOOKUP(B69, 'Kit Delivery Status'!$U:$U, 'Kit Delivery Status'!$K:$K) = "Complete", "DELIVERED", XLOOKUP(B69, 'Kit Delivery Status'!$U:$U, 'Kit Delivery Status'!$K:$K) = "Issue", "ISSUE"), "")</f>
        <v/>
      </c>
      <c r="AM69" s="6"/>
    </row>
    <row r="70">
      <c r="A70" s="5" t="str">
        <f t="shared" si="4"/>
        <v>https://utrucking.myshopify.com/admin/orders?query=15028</v>
      </c>
      <c r="B70" s="6" t="s">
        <v>465</v>
      </c>
      <c r="C70" s="12" t="s">
        <v>466</v>
      </c>
      <c r="D70" s="13" t="s">
        <v>467</v>
      </c>
      <c r="E70" s="12" t="s">
        <v>468</v>
      </c>
      <c r="F70" s="12" t="s">
        <v>469</v>
      </c>
      <c r="G70" s="1"/>
      <c r="H70" s="1"/>
      <c r="I70" s="1"/>
      <c r="J70" s="1"/>
      <c r="K70" s="19" t="s">
        <v>75</v>
      </c>
      <c r="L70" s="6"/>
      <c r="M70" s="1"/>
      <c r="N70" s="12" t="s">
        <v>52</v>
      </c>
      <c r="O70" s="11"/>
      <c r="P70" s="15">
        <v>45877.0</v>
      </c>
      <c r="Q70" s="12" t="s">
        <v>96</v>
      </c>
      <c r="R70" s="1"/>
      <c r="S70" s="1"/>
      <c r="T70" s="1"/>
      <c r="U70" s="12" t="s">
        <v>68</v>
      </c>
      <c r="V70" s="17" t="s">
        <v>117</v>
      </c>
      <c r="W70" s="1"/>
      <c r="X70" s="15">
        <v>45877.0</v>
      </c>
      <c r="Y70" s="12" t="s">
        <v>96</v>
      </c>
      <c r="Z70" s="1"/>
      <c r="AA70" s="1"/>
      <c r="AB70" s="1"/>
      <c r="AC70" s="1"/>
      <c r="AD70" s="1"/>
      <c r="AE70" s="16">
        <v>45877.0</v>
      </c>
      <c r="AF70" s="1"/>
      <c r="AG70" s="1"/>
      <c r="AH70" s="1"/>
      <c r="AI70" s="6"/>
      <c r="AJ70" s="6"/>
      <c r="AK70" s="6"/>
      <c r="AL70" s="6" t="str">
        <f t="array" ref="AL70">IFERROR(IFS(XLOOKUP(B70, 'Kit Delivery Status'!$U:$U, 'Kit Delivery Status'!$K:$K) = "Complete", "DELIVERED", XLOOKUP(B70, 'Kit Delivery Status'!$U:$U, 'Kit Delivery Status'!$K:$K) = "Issue", "ISSUE"), "")</f>
        <v/>
      </c>
      <c r="AM70" s="6"/>
    </row>
    <row r="71">
      <c r="A71" s="5" t="str">
        <f t="shared" si="4"/>
        <v>https://utrucking.myshopify.com/admin/orders?query=15029</v>
      </c>
      <c r="B71" s="6" t="s">
        <v>470</v>
      </c>
      <c r="C71" s="12" t="s">
        <v>471</v>
      </c>
      <c r="D71" s="13" t="s">
        <v>472</v>
      </c>
      <c r="E71" s="12" t="s">
        <v>473</v>
      </c>
      <c r="F71" s="12" t="s">
        <v>474</v>
      </c>
      <c r="G71" s="1"/>
      <c r="H71" s="1"/>
      <c r="I71" s="1"/>
      <c r="J71" s="1"/>
      <c r="K71" s="19" t="s">
        <v>75</v>
      </c>
      <c r="L71" s="6"/>
      <c r="M71" s="1"/>
      <c r="N71" s="12" t="s">
        <v>52</v>
      </c>
      <c r="O71" s="11"/>
      <c r="P71" s="15">
        <v>45877.0</v>
      </c>
      <c r="Q71" s="12" t="s">
        <v>44</v>
      </c>
      <c r="R71" s="1"/>
      <c r="S71" s="1"/>
      <c r="T71" s="1"/>
      <c r="U71" s="12" t="s">
        <v>116</v>
      </c>
      <c r="V71" s="17" t="s">
        <v>475</v>
      </c>
      <c r="W71" s="1"/>
      <c r="X71" s="15">
        <v>45877.0</v>
      </c>
      <c r="Y71" s="12" t="s">
        <v>44</v>
      </c>
      <c r="Z71" s="1"/>
      <c r="AA71" s="1"/>
      <c r="AB71" s="1"/>
      <c r="AC71" s="1"/>
      <c r="AD71" s="1"/>
      <c r="AE71" s="16">
        <v>45877.0</v>
      </c>
      <c r="AF71" s="1"/>
      <c r="AG71" s="1"/>
      <c r="AH71" s="1"/>
      <c r="AI71" s="6"/>
      <c r="AJ71" s="6"/>
      <c r="AK71" s="6"/>
      <c r="AL71" s="6" t="str">
        <f t="array" ref="AL71">IFERROR(IFS(XLOOKUP(B71, 'Kit Delivery Status'!$U:$U, 'Kit Delivery Status'!$K:$K) = "Complete", "DELIVERED", XLOOKUP(B71, 'Kit Delivery Status'!$U:$U, 'Kit Delivery Status'!$K:$K) = "Issue", "ISSUE"), "")</f>
        <v/>
      </c>
      <c r="AM71" s="6"/>
    </row>
    <row r="72">
      <c r="A72" s="5" t="str">
        <f t="shared" si="4"/>
        <v>https://utrucking.myshopify.com/admin/orders?query=15040</v>
      </c>
      <c r="B72" s="6" t="s">
        <v>476</v>
      </c>
      <c r="C72" s="12" t="s">
        <v>477</v>
      </c>
      <c r="D72" s="13" t="s">
        <v>478</v>
      </c>
      <c r="E72" s="12" t="s">
        <v>479</v>
      </c>
      <c r="F72" s="12" t="s">
        <v>480</v>
      </c>
      <c r="G72" s="1"/>
      <c r="H72" s="1"/>
      <c r="I72" s="1"/>
      <c r="J72" s="1"/>
      <c r="K72" s="19" t="s">
        <v>75</v>
      </c>
      <c r="L72" s="6"/>
      <c r="M72" s="1"/>
      <c r="N72" s="12" t="s">
        <v>52</v>
      </c>
      <c r="O72" s="11"/>
      <c r="P72" s="15">
        <v>45883.0</v>
      </c>
      <c r="Q72" s="12" t="s">
        <v>88</v>
      </c>
      <c r="R72" s="1"/>
      <c r="S72" s="1"/>
      <c r="T72" s="1"/>
      <c r="U72" s="12" t="s">
        <v>116</v>
      </c>
      <c r="V72" s="17" t="s">
        <v>422</v>
      </c>
      <c r="W72" s="1"/>
      <c r="X72" s="15">
        <v>45883.0</v>
      </c>
      <c r="Y72" s="12" t="s">
        <v>88</v>
      </c>
      <c r="Z72" s="1"/>
      <c r="AA72" s="1"/>
      <c r="AB72" s="1"/>
      <c r="AC72" s="1"/>
      <c r="AD72" s="1"/>
      <c r="AE72" s="18">
        <v>45883.0</v>
      </c>
      <c r="AF72" s="1"/>
      <c r="AG72" s="1"/>
      <c r="AH72" s="1"/>
      <c r="AI72" s="6"/>
      <c r="AJ72" s="6"/>
      <c r="AK72" s="6"/>
      <c r="AL72" s="6" t="str">
        <f t="array" ref="AL72">IFERROR(IFS(XLOOKUP(B72, 'Kit Delivery Status'!$U:$U, 'Kit Delivery Status'!$K:$K) = "Complete", "DELIVERED", XLOOKUP(B72, 'Kit Delivery Status'!$U:$U, 'Kit Delivery Status'!$K:$K) = "Issue", "ISSUE"), "")</f>
        <v/>
      </c>
      <c r="AM72" s="6"/>
    </row>
    <row r="73">
      <c r="A73" s="5" t="str">
        <f t="shared" si="4"/>
        <v>https://utrucking.myshopify.com/admin/orders?query=15073</v>
      </c>
      <c r="B73" s="6" t="s">
        <v>481</v>
      </c>
      <c r="C73" s="12" t="s">
        <v>482</v>
      </c>
      <c r="D73" s="13" t="s">
        <v>483</v>
      </c>
      <c r="E73" s="12" t="s">
        <v>484</v>
      </c>
      <c r="F73" s="12" t="s">
        <v>485</v>
      </c>
      <c r="G73" s="1"/>
      <c r="H73" s="1"/>
      <c r="I73" s="1"/>
      <c r="J73" s="1"/>
      <c r="K73" s="19" t="s">
        <v>75</v>
      </c>
      <c r="L73" s="6"/>
      <c r="M73" s="1"/>
      <c r="N73" s="12" t="s">
        <v>124</v>
      </c>
      <c r="O73" s="11"/>
      <c r="P73" s="15">
        <v>45877.0</v>
      </c>
      <c r="Q73" s="12" t="s">
        <v>60</v>
      </c>
      <c r="R73" s="1" t="s">
        <v>486</v>
      </c>
      <c r="S73" s="1"/>
      <c r="T73" s="1"/>
      <c r="U73" s="6"/>
      <c r="V73" s="11"/>
      <c r="W73" s="1"/>
      <c r="X73" s="15">
        <v>45877.0</v>
      </c>
      <c r="Y73" s="12" t="s">
        <v>60</v>
      </c>
      <c r="Z73" s="1"/>
      <c r="AA73" s="1" t="s">
        <v>486</v>
      </c>
      <c r="AB73" s="1"/>
      <c r="AC73" s="1"/>
      <c r="AD73" s="1"/>
      <c r="AE73" s="16">
        <v>45877.0</v>
      </c>
      <c r="AF73" s="1"/>
      <c r="AG73" s="1"/>
      <c r="AH73" s="1"/>
      <c r="AI73" s="6"/>
      <c r="AJ73" s="6"/>
      <c r="AK73" s="6"/>
      <c r="AL73" s="6" t="str">
        <f t="array" ref="AL73">IFERROR(IFS(XLOOKUP(B73, 'Kit Delivery Status'!$U:$U, 'Kit Delivery Status'!$K:$K) = "Complete", "DELIVERED", XLOOKUP(B73, 'Kit Delivery Status'!$U:$U, 'Kit Delivery Status'!$K:$K) = "Issue", "ISSUE"), "")</f>
        <v/>
      </c>
      <c r="AM73" s="6"/>
    </row>
    <row r="74">
      <c r="A74" s="5" t="str">
        <f t="shared" si="4"/>
        <v>https://utrucking.myshopify.com/admin/orders?query=15074</v>
      </c>
      <c r="B74" s="6" t="s">
        <v>487</v>
      </c>
      <c r="C74" s="12" t="s">
        <v>488</v>
      </c>
      <c r="D74" s="13" t="s">
        <v>489</v>
      </c>
      <c r="E74" s="12" t="s">
        <v>490</v>
      </c>
      <c r="F74" s="12" t="s">
        <v>491</v>
      </c>
      <c r="G74" s="1"/>
      <c r="H74" s="1"/>
      <c r="I74" s="1"/>
      <c r="J74" s="1"/>
      <c r="K74" s="19" t="s">
        <v>75</v>
      </c>
      <c r="L74" s="6"/>
      <c r="M74" s="1"/>
      <c r="N74" s="12" t="s">
        <v>52</v>
      </c>
      <c r="O74" s="11"/>
      <c r="P74" s="15">
        <v>45874.0</v>
      </c>
      <c r="Q74" s="12" t="s">
        <v>329</v>
      </c>
      <c r="R74" s="1"/>
      <c r="S74" s="1"/>
      <c r="T74" s="1"/>
      <c r="U74" s="12" t="s">
        <v>102</v>
      </c>
      <c r="V74" s="17" t="s">
        <v>103</v>
      </c>
      <c r="W74" s="1"/>
      <c r="X74" s="15">
        <v>45874.0</v>
      </c>
      <c r="Y74" s="12" t="s">
        <v>329</v>
      </c>
      <c r="Z74" s="1"/>
      <c r="AA74" s="1"/>
      <c r="AB74" s="1"/>
      <c r="AC74" s="1"/>
      <c r="AD74" s="1"/>
      <c r="AE74" s="16">
        <v>45874.0</v>
      </c>
      <c r="AF74" s="1"/>
      <c r="AG74" s="1"/>
      <c r="AH74" s="1"/>
      <c r="AI74" s="6"/>
      <c r="AJ74" s="6"/>
      <c r="AK74" s="6"/>
      <c r="AL74" s="6" t="str">
        <f t="array" ref="AL74">IFERROR(IFS(XLOOKUP(B74, 'Kit Delivery Status'!$U:$U, 'Kit Delivery Status'!$K:$K) = "Complete", "DELIVERED", XLOOKUP(B74, 'Kit Delivery Status'!$U:$U, 'Kit Delivery Status'!$K:$K) = "Issue", "ISSUE"), "")</f>
        <v/>
      </c>
      <c r="AM74" s="6"/>
    </row>
    <row r="75">
      <c r="A75" s="5" t="str">
        <f t="shared" si="4"/>
        <v>https://utrucking.myshopify.com/admin/orders?query=15079</v>
      </c>
      <c r="B75" s="6" t="s">
        <v>492</v>
      </c>
      <c r="C75" s="12" t="s">
        <v>493</v>
      </c>
      <c r="D75" s="13" t="s">
        <v>494</v>
      </c>
      <c r="E75" s="12" t="s">
        <v>495</v>
      </c>
      <c r="F75" s="12" t="s">
        <v>496</v>
      </c>
      <c r="G75" s="1"/>
      <c r="H75" s="1"/>
      <c r="I75" s="1"/>
      <c r="J75" s="1"/>
      <c r="K75" s="19" t="s">
        <v>75</v>
      </c>
      <c r="L75" s="6"/>
      <c r="M75" s="1"/>
      <c r="N75" s="12" t="s">
        <v>52</v>
      </c>
      <c r="O75" s="17" t="s">
        <v>497</v>
      </c>
      <c r="P75" s="15">
        <v>45877.0</v>
      </c>
      <c r="Q75" s="12" t="s">
        <v>160</v>
      </c>
      <c r="R75" s="1"/>
      <c r="S75" s="1"/>
      <c r="T75" s="1"/>
      <c r="U75" s="12" t="s">
        <v>109</v>
      </c>
      <c r="V75" s="17" t="s">
        <v>497</v>
      </c>
      <c r="W75" s="1"/>
      <c r="X75" s="15">
        <v>45877.0</v>
      </c>
      <c r="Y75" s="12" t="s">
        <v>160</v>
      </c>
      <c r="Z75" s="1"/>
      <c r="AA75" s="1"/>
      <c r="AB75" s="1"/>
      <c r="AC75" s="1"/>
      <c r="AD75" s="1"/>
      <c r="AE75" s="16">
        <v>45877.0</v>
      </c>
      <c r="AF75" s="1"/>
      <c r="AG75" s="1"/>
      <c r="AH75" s="1"/>
      <c r="AI75" s="6"/>
      <c r="AJ75" s="6"/>
      <c r="AK75" s="6"/>
      <c r="AL75" s="6" t="str">
        <f t="array" ref="AL75">IFERROR(IFS(XLOOKUP(B75, 'Kit Delivery Status'!$U:$U, 'Kit Delivery Status'!$K:$K) = "Complete", "DELIVERED", XLOOKUP(B75, 'Kit Delivery Status'!$U:$U, 'Kit Delivery Status'!$K:$K) = "Issue", "ISSUE"), "")</f>
        <v/>
      </c>
      <c r="AM75" s="6"/>
    </row>
    <row r="76">
      <c r="A76" s="5" t="str">
        <f t="shared" si="4"/>
        <v>https://utrucking.myshopify.com/admin/orders?query=15094</v>
      </c>
      <c r="B76" s="6" t="s">
        <v>498</v>
      </c>
      <c r="C76" s="12" t="s">
        <v>499</v>
      </c>
      <c r="D76" s="13" t="s">
        <v>500</v>
      </c>
      <c r="E76" s="12" t="s">
        <v>501</v>
      </c>
      <c r="F76" s="12" t="s">
        <v>502</v>
      </c>
      <c r="G76" s="1"/>
      <c r="H76" s="1"/>
      <c r="I76" s="1"/>
      <c r="J76" s="1"/>
      <c r="K76" s="19" t="s">
        <v>75</v>
      </c>
      <c r="L76" s="6"/>
      <c r="M76" s="1"/>
      <c r="N76" s="12" t="s">
        <v>52</v>
      </c>
      <c r="O76" s="11"/>
      <c r="P76" s="15">
        <v>45877.0</v>
      </c>
      <c r="Q76" s="12" t="s">
        <v>160</v>
      </c>
      <c r="R76" s="1"/>
      <c r="S76" s="1"/>
      <c r="T76" s="1"/>
      <c r="U76" s="12" t="s">
        <v>61</v>
      </c>
      <c r="V76" s="17" t="s">
        <v>503</v>
      </c>
      <c r="W76" s="1"/>
      <c r="X76" s="15">
        <v>45877.0</v>
      </c>
      <c r="Y76" s="12" t="s">
        <v>160</v>
      </c>
      <c r="Z76" s="1"/>
      <c r="AA76" s="1"/>
      <c r="AB76" s="1"/>
      <c r="AC76" s="1"/>
      <c r="AD76" s="1"/>
      <c r="AE76" s="16">
        <v>45877.0</v>
      </c>
      <c r="AF76" s="1"/>
      <c r="AG76" s="1"/>
      <c r="AH76" s="1"/>
      <c r="AI76" s="6"/>
      <c r="AJ76" s="6"/>
      <c r="AK76" s="6"/>
      <c r="AL76" s="6" t="str">
        <f t="array" ref="AL76">IFERROR(IFS(XLOOKUP(B76, 'Kit Delivery Status'!$U:$U, 'Kit Delivery Status'!$K:$K) = "Complete", "DELIVERED", XLOOKUP(B76, 'Kit Delivery Status'!$U:$U, 'Kit Delivery Status'!$K:$K) = "Issue", "ISSUE"), "")</f>
        <v/>
      </c>
      <c r="AM76" s="6"/>
    </row>
    <row r="77">
      <c r="A77" s="5" t="str">
        <f t="shared" si="4"/>
        <v>https://utrucking.myshopify.com/admin/orders?query=15097</v>
      </c>
      <c r="B77" s="6" t="s">
        <v>504</v>
      </c>
      <c r="C77" s="12" t="s">
        <v>505</v>
      </c>
      <c r="D77" s="13" t="s">
        <v>506</v>
      </c>
      <c r="E77" s="12" t="s">
        <v>507</v>
      </c>
      <c r="F77" s="12" t="s">
        <v>508</v>
      </c>
      <c r="G77" s="1"/>
      <c r="H77" s="1"/>
      <c r="I77" s="1"/>
      <c r="J77" s="1"/>
      <c r="K77" s="19" t="s">
        <v>75</v>
      </c>
      <c r="L77" s="6"/>
      <c r="M77" s="1"/>
      <c r="N77" s="12" t="s">
        <v>52</v>
      </c>
      <c r="O77" s="11"/>
      <c r="P77" s="15">
        <v>45878.0</v>
      </c>
      <c r="Q77" s="12" t="s">
        <v>54</v>
      </c>
      <c r="R77" s="1"/>
      <c r="S77" s="1"/>
      <c r="T77" s="1"/>
      <c r="U77" s="12" t="s">
        <v>102</v>
      </c>
      <c r="V77" s="17" t="s">
        <v>103</v>
      </c>
      <c r="W77" s="1"/>
      <c r="X77" s="15">
        <v>45878.0</v>
      </c>
      <c r="Y77" s="12" t="s">
        <v>54</v>
      </c>
      <c r="Z77" s="1"/>
      <c r="AA77" s="1"/>
      <c r="AB77" s="1"/>
      <c r="AC77" s="1"/>
      <c r="AD77" s="1"/>
      <c r="AE77" s="16">
        <v>45878.0</v>
      </c>
      <c r="AF77" s="1"/>
      <c r="AG77" s="1"/>
      <c r="AH77" s="1"/>
      <c r="AI77" s="6"/>
      <c r="AJ77" s="6"/>
      <c r="AK77" s="6"/>
      <c r="AL77" s="6" t="str">
        <f t="array" ref="AL77">IFERROR(IFS(XLOOKUP(B77, 'Kit Delivery Status'!$U:$U, 'Kit Delivery Status'!$K:$K) = "Complete", "DELIVERED", XLOOKUP(B77, 'Kit Delivery Status'!$U:$U, 'Kit Delivery Status'!$K:$K) = "Issue", "ISSUE"), "")</f>
        <v/>
      </c>
      <c r="AM77" s="6"/>
    </row>
    <row r="78">
      <c r="A78" s="5" t="str">
        <f t="shared" si="4"/>
        <v>https://utrucking.myshopify.com/admin/orders?query=15098</v>
      </c>
      <c r="B78" s="6" t="s">
        <v>509</v>
      </c>
      <c r="C78" s="12" t="s">
        <v>510</v>
      </c>
      <c r="D78" s="13" t="s">
        <v>511</v>
      </c>
      <c r="E78" s="12" t="s">
        <v>512</v>
      </c>
      <c r="F78" s="12" t="s">
        <v>513</v>
      </c>
      <c r="G78" s="1"/>
      <c r="H78" s="1"/>
      <c r="I78" s="1"/>
      <c r="J78" s="1"/>
      <c r="K78" s="19" t="s">
        <v>75</v>
      </c>
      <c r="L78" s="6"/>
      <c r="M78" s="1"/>
      <c r="N78" s="12" t="s">
        <v>52</v>
      </c>
      <c r="O78" s="11"/>
      <c r="P78" s="15">
        <v>45878.0</v>
      </c>
      <c r="Q78" s="12" t="s">
        <v>54</v>
      </c>
      <c r="R78" s="1"/>
      <c r="S78" s="1"/>
      <c r="T78" s="1"/>
      <c r="U78" s="12" t="s">
        <v>514</v>
      </c>
      <c r="V78" s="17" t="s">
        <v>515</v>
      </c>
      <c r="W78" s="1"/>
      <c r="X78" s="15">
        <v>45878.0</v>
      </c>
      <c r="Y78" s="12" t="s">
        <v>54</v>
      </c>
      <c r="Z78" s="1"/>
      <c r="AA78" s="1"/>
      <c r="AB78" s="1"/>
      <c r="AC78" s="1"/>
      <c r="AD78" s="1"/>
      <c r="AE78" s="16">
        <v>45878.0</v>
      </c>
      <c r="AF78" s="1"/>
      <c r="AG78" s="1"/>
      <c r="AH78" s="1"/>
      <c r="AI78" s="6"/>
      <c r="AJ78" s="6"/>
      <c r="AK78" s="6"/>
      <c r="AL78" s="6" t="str">
        <f t="array" ref="AL78">IFERROR(IFS(XLOOKUP(B78, 'Kit Delivery Status'!$U:$U, 'Kit Delivery Status'!$K:$K) = "Complete", "DELIVERED", XLOOKUP(B78, 'Kit Delivery Status'!$U:$U, 'Kit Delivery Status'!$K:$K) = "Issue", "ISSUE"), "")</f>
        <v/>
      </c>
      <c r="AM78" s="6"/>
    </row>
    <row r="79">
      <c r="A79" s="5" t="str">
        <f t="shared" si="4"/>
        <v>https://utrucking.myshopify.com/admin/orders?query=14588</v>
      </c>
      <c r="B79" s="6" t="s">
        <v>516</v>
      </c>
      <c r="C79" s="12" t="s">
        <v>517</v>
      </c>
      <c r="D79" s="13" t="s">
        <v>518</v>
      </c>
      <c r="E79" s="12" t="s">
        <v>519</v>
      </c>
      <c r="F79" s="12" t="s">
        <v>520</v>
      </c>
      <c r="G79" s="1"/>
      <c r="H79" s="1"/>
      <c r="I79" s="1"/>
      <c r="J79" s="1"/>
      <c r="K79" s="19" t="s">
        <v>75</v>
      </c>
      <c r="L79" s="6"/>
      <c r="M79" s="1"/>
      <c r="N79" s="12" t="s">
        <v>124</v>
      </c>
      <c r="O79" s="11"/>
      <c r="P79" s="15">
        <v>45877.0</v>
      </c>
      <c r="Q79" s="12" t="s">
        <v>54</v>
      </c>
      <c r="R79" s="1" t="s">
        <v>521</v>
      </c>
      <c r="S79" s="1"/>
      <c r="T79" s="1"/>
      <c r="U79" s="12" t="s">
        <v>68</v>
      </c>
      <c r="V79" s="17" t="s">
        <v>522</v>
      </c>
      <c r="W79" s="1"/>
      <c r="X79" s="15">
        <v>45877.0</v>
      </c>
      <c r="Y79" s="12" t="s">
        <v>54</v>
      </c>
      <c r="Z79" s="1"/>
      <c r="AA79" s="1" t="s">
        <v>521</v>
      </c>
      <c r="AB79" s="1"/>
      <c r="AC79" s="1"/>
      <c r="AD79" s="1"/>
      <c r="AE79" s="16">
        <v>45877.0</v>
      </c>
      <c r="AF79" s="1"/>
      <c r="AG79" s="1"/>
      <c r="AH79" s="1"/>
      <c r="AI79" s="6"/>
      <c r="AJ79" s="6"/>
      <c r="AK79" s="6"/>
      <c r="AL79" s="6" t="str">
        <f t="array" ref="AL79">IFERROR(IFS(XLOOKUP(B79, 'Kit Delivery Status'!$U:$U, 'Kit Delivery Status'!$K:$K) = "Complete", "DELIVERED", XLOOKUP(B79, 'Kit Delivery Status'!$U:$U, 'Kit Delivery Status'!$K:$K) = "Issue", "ISSUE"), "")</f>
        <v/>
      </c>
      <c r="AM79" s="6"/>
    </row>
    <row r="80">
      <c r="A80" s="5" t="str">
        <f t="shared" si="4"/>
        <v>https://utrucking.myshopify.com/admin/orders?query=14849</v>
      </c>
      <c r="B80" s="6" t="s">
        <v>523</v>
      </c>
      <c r="C80" s="12" t="s">
        <v>524</v>
      </c>
      <c r="D80" s="13" t="s">
        <v>525</v>
      </c>
      <c r="E80" s="12" t="s">
        <v>526</v>
      </c>
      <c r="F80" s="12" t="s">
        <v>527</v>
      </c>
      <c r="G80" s="1"/>
      <c r="H80" s="1"/>
      <c r="I80" s="1"/>
      <c r="J80" s="1"/>
      <c r="K80" s="19" t="s">
        <v>75</v>
      </c>
      <c r="L80" s="6"/>
      <c r="M80" s="1"/>
      <c r="N80" s="12" t="s">
        <v>124</v>
      </c>
      <c r="O80" s="11"/>
      <c r="P80" s="15">
        <v>45888.0</v>
      </c>
      <c r="Q80" s="12" t="s">
        <v>528</v>
      </c>
      <c r="R80" s="1" t="s">
        <v>529</v>
      </c>
      <c r="S80" s="1"/>
      <c r="T80" s="1"/>
      <c r="U80" s="6"/>
      <c r="V80" s="11"/>
      <c r="W80" s="1"/>
      <c r="X80" s="15">
        <v>45888.0</v>
      </c>
      <c r="Y80" s="12" t="s">
        <v>528</v>
      </c>
      <c r="Z80" s="1"/>
      <c r="AA80" s="1" t="s">
        <v>529</v>
      </c>
      <c r="AB80" s="1"/>
      <c r="AC80" s="1"/>
      <c r="AD80" s="1"/>
      <c r="AE80" s="18">
        <v>45888.0</v>
      </c>
      <c r="AF80" s="1"/>
      <c r="AG80" s="1"/>
      <c r="AH80" s="1"/>
      <c r="AI80" s="6"/>
      <c r="AJ80" s="6"/>
      <c r="AK80" s="6"/>
      <c r="AL80" s="6" t="str">
        <f t="array" ref="AL80">IFERROR(IFS(XLOOKUP(B80, 'Kit Delivery Status'!$U:$U, 'Kit Delivery Status'!$K:$K) = "Complete", "DELIVERED", XLOOKUP(B80, 'Kit Delivery Status'!$U:$U, 'Kit Delivery Status'!$K:$K) = "Issue", "ISSUE"), "")</f>
        <v/>
      </c>
      <c r="AM80" s="6"/>
    </row>
    <row r="81">
      <c r="A81" s="5" t="str">
        <f t="shared" si="4"/>
        <v>https://utrucking.myshopify.com/admin/orders?query=15111</v>
      </c>
      <c r="B81" s="6" t="s">
        <v>530</v>
      </c>
      <c r="C81" s="12" t="s">
        <v>531</v>
      </c>
      <c r="D81" s="13" t="s">
        <v>532</v>
      </c>
      <c r="E81" s="12" t="s">
        <v>533</v>
      </c>
      <c r="F81" s="12" t="s">
        <v>534</v>
      </c>
      <c r="G81" s="1"/>
      <c r="H81" s="1"/>
      <c r="I81" s="1"/>
      <c r="J81" s="1"/>
      <c r="K81" s="19" t="s">
        <v>75</v>
      </c>
      <c r="L81" s="6"/>
      <c r="M81" s="1"/>
      <c r="N81" s="12" t="s">
        <v>52</v>
      </c>
      <c r="O81" s="11"/>
      <c r="P81" s="15">
        <v>45877.0</v>
      </c>
      <c r="Q81" s="12" t="s">
        <v>54</v>
      </c>
      <c r="R81" s="1"/>
      <c r="S81" s="1"/>
      <c r="T81" s="1"/>
      <c r="U81" s="12" t="s">
        <v>109</v>
      </c>
      <c r="V81" s="17" t="s">
        <v>103</v>
      </c>
      <c r="W81" s="1"/>
      <c r="X81" s="15">
        <v>45877.0</v>
      </c>
      <c r="Y81" s="12" t="s">
        <v>54</v>
      </c>
      <c r="Z81" s="1"/>
      <c r="AA81" s="1"/>
      <c r="AB81" s="1"/>
      <c r="AC81" s="1"/>
      <c r="AD81" s="1"/>
      <c r="AE81" s="16">
        <v>45877.0</v>
      </c>
      <c r="AF81" s="1"/>
      <c r="AG81" s="1"/>
      <c r="AH81" s="1"/>
      <c r="AI81" s="6"/>
      <c r="AJ81" s="6"/>
      <c r="AK81" s="6"/>
      <c r="AL81" s="6" t="str">
        <f t="array" ref="AL81">IFERROR(IFS(XLOOKUP(B81, 'Kit Delivery Status'!$U:$U, 'Kit Delivery Status'!$K:$K) = "Complete", "DELIVERED", XLOOKUP(B81, 'Kit Delivery Status'!$U:$U, 'Kit Delivery Status'!$K:$K) = "Issue", "ISSUE"), "")</f>
        <v/>
      </c>
      <c r="AM81" s="6"/>
    </row>
    <row r="82">
      <c r="A82" s="5" t="str">
        <f t="shared" si="4"/>
        <v>https://utrucking.myshopify.com/admin/orders?query=15114</v>
      </c>
      <c r="B82" s="6" t="s">
        <v>535</v>
      </c>
      <c r="C82" s="12" t="s">
        <v>536</v>
      </c>
      <c r="D82" s="13" t="s">
        <v>537</v>
      </c>
      <c r="E82" s="12" t="s">
        <v>538</v>
      </c>
      <c r="F82" s="12" t="s">
        <v>539</v>
      </c>
      <c r="G82" s="1"/>
      <c r="H82" s="1"/>
      <c r="I82" s="1"/>
      <c r="J82" s="1"/>
      <c r="K82" s="19" t="s">
        <v>75</v>
      </c>
      <c r="L82" s="6"/>
      <c r="M82" s="1"/>
      <c r="N82" s="12" t="s">
        <v>52</v>
      </c>
      <c r="O82" s="11"/>
      <c r="P82" s="15">
        <v>45882.0</v>
      </c>
      <c r="Q82" s="12" t="s">
        <v>96</v>
      </c>
      <c r="R82" s="1"/>
      <c r="S82" s="1"/>
      <c r="T82" s="1"/>
      <c r="U82" s="12" t="s">
        <v>146</v>
      </c>
      <c r="V82" s="17" t="s">
        <v>540</v>
      </c>
      <c r="W82" s="1"/>
      <c r="X82" s="15">
        <v>45882.0</v>
      </c>
      <c r="Y82" s="12" t="s">
        <v>96</v>
      </c>
      <c r="Z82" s="1"/>
      <c r="AA82" s="1"/>
      <c r="AB82" s="1"/>
      <c r="AC82" s="1"/>
      <c r="AD82" s="1"/>
      <c r="AE82" s="18">
        <v>45882.0</v>
      </c>
      <c r="AF82" s="1"/>
      <c r="AG82" s="1"/>
      <c r="AH82" s="1"/>
      <c r="AI82" s="6"/>
      <c r="AJ82" s="6"/>
      <c r="AK82" s="6"/>
      <c r="AL82" s="6" t="str">
        <f t="array" ref="AL82">IFERROR(IFS(XLOOKUP(B82, 'Kit Delivery Status'!$U:$U, 'Kit Delivery Status'!$K:$K) = "Complete", "DELIVERED", XLOOKUP(B82, 'Kit Delivery Status'!$U:$U, 'Kit Delivery Status'!$K:$K) = "Issue", "ISSUE"), "")</f>
        <v/>
      </c>
      <c r="AM82" s="6"/>
    </row>
    <row r="83">
      <c r="A83" s="5" t="str">
        <f t="shared" si="4"/>
        <v>https://utrucking.myshopify.com/admin/orders?query=15116</v>
      </c>
      <c r="B83" s="6" t="s">
        <v>541</v>
      </c>
      <c r="C83" s="12" t="s">
        <v>542</v>
      </c>
      <c r="D83" s="13" t="s">
        <v>543</v>
      </c>
      <c r="E83" s="12" t="s">
        <v>544</v>
      </c>
      <c r="F83" s="12" t="s">
        <v>545</v>
      </c>
      <c r="G83" s="1"/>
      <c r="H83" s="1"/>
      <c r="I83" s="1"/>
      <c r="J83" s="1"/>
      <c r="K83" s="19" t="s">
        <v>75</v>
      </c>
      <c r="L83" s="6"/>
      <c r="M83" s="1"/>
      <c r="N83" s="12" t="s">
        <v>52</v>
      </c>
      <c r="O83" s="11"/>
      <c r="P83" s="15">
        <v>45882.0</v>
      </c>
      <c r="Q83" s="12" t="s">
        <v>54</v>
      </c>
      <c r="R83" s="1"/>
      <c r="S83" s="1"/>
      <c r="T83" s="1"/>
      <c r="U83" s="12" t="s">
        <v>116</v>
      </c>
      <c r="V83" s="17" t="s">
        <v>270</v>
      </c>
      <c r="W83" s="1"/>
      <c r="X83" s="15">
        <v>45882.0</v>
      </c>
      <c r="Y83" s="12" t="s">
        <v>54</v>
      </c>
      <c r="Z83" s="1"/>
      <c r="AA83" s="1"/>
      <c r="AB83" s="1"/>
      <c r="AC83" s="1"/>
      <c r="AD83" s="1"/>
      <c r="AE83" s="18">
        <v>45882.0</v>
      </c>
      <c r="AF83" s="1"/>
      <c r="AG83" s="1"/>
      <c r="AH83" s="1"/>
      <c r="AI83" s="6"/>
      <c r="AJ83" s="6"/>
      <c r="AK83" s="6"/>
      <c r="AL83" s="6" t="str">
        <f t="array" ref="AL83">IFERROR(IFS(XLOOKUP(B83, 'Kit Delivery Status'!$U:$U, 'Kit Delivery Status'!$K:$K) = "Complete", "DELIVERED", XLOOKUP(B83, 'Kit Delivery Status'!$U:$U, 'Kit Delivery Status'!$K:$K) = "Issue", "ISSUE"), "")</f>
        <v/>
      </c>
      <c r="AM83" s="6"/>
    </row>
    <row r="84">
      <c r="A84" s="5" t="str">
        <f t="shared" si="4"/>
        <v>https://utrucking.myshopify.com/admin/orders?query=15118</v>
      </c>
      <c r="B84" s="6" t="s">
        <v>546</v>
      </c>
      <c r="C84" s="12" t="s">
        <v>547</v>
      </c>
      <c r="D84" s="13" t="s">
        <v>548</v>
      </c>
      <c r="E84" s="12" t="s">
        <v>549</v>
      </c>
      <c r="F84" s="12" t="s">
        <v>550</v>
      </c>
      <c r="G84" s="1"/>
      <c r="H84" s="1"/>
      <c r="I84" s="1"/>
      <c r="J84" s="1"/>
      <c r="K84" s="19" t="s">
        <v>75</v>
      </c>
      <c r="L84" s="6"/>
      <c r="M84" s="1"/>
      <c r="N84" s="12" t="s">
        <v>52</v>
      </c>
      <c r="O84" s="11"/>
      <c r="P84" s="15">
        <v>45890.0</v>
      </c>
      <c r="Q84" s="12" t="s">
        <v>54</v>
      </c>
      <c r="R84" s="1"/>
      <c r="S84" s="1"/>
      <c r="T84" s="1"/>
      <c r="U84" s="12" t="s">
        <v>551</v>
      </c>
      <c r="V84" s="17" t="s">
        <v>552</v>
      </c>
      <c r="W84" s="1"/>
      <c r="X84" s="15">
        <v>45890.0</v>
      </c>
      <c r="Y84" s="12" t="s">
        <v>54</v>
      </c>
      <c r="Z84" s="1"/>
      <c r="AA84" s="1"/>
      <c r="AB84" s="1"/>
      <c r="AC84" s="1"/>
      <c r="AD84" s="1"/>
      <c r="AE84" s="18">
        <v>45890.0</v>
      </c>
      <c r="AF84" s="1"/>
      <c r="AG84" s="1"/>
      <c r="AH84" s="1"/>
      <c r="AI84" s="6"/>
      <c r="AJ84" s="6"/>
      <c r="AK84" s="6"/>
      <c r="AL84" s="6" t="str">
        <f t="array" ref="AL84">IFERROR(IFS(XLOOKUP(B84, 'Kit Delivery Status'!$U:$U, 'Kit Delivery Status'!$K:$K) = "Complete", "DELIVERED", XLOOKUP(B84, 'Kit Delivery Status'!$U:$U, 'Kit Delivery Status'!$K:$K) = "Issue", "ISSUE"), "")</f>
        <v/>
      </c>
      <c r="AM84" s="6"/>
    </row>
    <row r="85">
      <c r="A85" s="5" t="str">
        <f t="shared" si="4"/>
        <v>https://utrucking.myshopify.com/admin/orders?query=15124</v>
      </c>
      <c r="B85" s="6" t="s">
        <v>553</v>
      </c>
      <c r="C85" s="12" t="s">
        <v>554</v>
      </c>
      <c r="D85" s="13" t="s">
        <v>555</v>
      </c>
      <c r="E85" s="12" t="s">
        <v>556</v>
      </c>
      <c r="F85" s="12" t="s">
        <v>557</v>
      </c>
      <c r="G85" s="1"/>
      <c r="H85" s="1"/>
      <c r="I85" s="1"/>
      <c r="J85" s="1"/>
      <c r="K85" s="19" t="s">
        <v>75</v>
      </c>
      <c r="L85" s="6"/>
      <c r="M85" s="1"/>
      <c r="N85" s="12" t="s">
        <v>52</v>
      </c>
      <c r="O85" s="17" t="s">
        <v>270</v>
      </c>
      <c r="P85" s="15">
        <v>45882.0</v>
      </c>
      <c r="Q85" s="12" t="s">
        <v>54</v>
      </c>
      <c r="R85" s="1"/>
      <c r="S85" s="1"/>
      <c r="T85" s="1"/>
      <c r="U85" s="12" t="s">
        <v>186</v>
      </c>
      <c r="V85" s="17" t="s">
        <v>270</v>
      </c>
      <c r="W85" s="1"/>
      <c r="X85" s="15">
        <v>45882.0</v>
      </c>
      <c r="Y85" s="12" t="s">
        <v>54</v>
      </c>
      <c r="Z85" s="1"/>
      <c r="AA85" s="1"/>
      <c r="AB85" s="1"/>
      <c r="AC85" s="1"/>
      <c r="AD85" s="1"/>
      <c r="AE85" s="18">
        <v>45882.0</v>
      </c>
      <c r="AF85" s="1"/>
      <c r="AG85" s="1"/>
      <c r="AH85" s="1"/>
      <c r="AI85" s="6"/>
      <c r="AJ85" s="6"/>
      <c r="AK85" s="6"/>
      <c r="AL85" s="6" t="str">
        <f t="array" ref="AL85">IFERROR(IFS(XLOOKUP(B85, 'Kit Delivery Status'!$U:$U, 'Kit Delivery Status'!$K:$K) = "Complete", "DELIVERED", XLOOKUP(B85, 'Kit Delivery Status'!$U:$U, 'Kit Delivery Status'!$K:$K) = "Issue", "ISSUE"), "")</f>
        <v/>
      </c>
      <c r="AM85" s="6"/>
    </row>
    <row r="86">
      <c r="A86" s="5" t="str">
        <f t="shared" si="4"/>
        <v>https://utrucking.myshopify.com/admin/orders?query=15139</v>
      </c>
      <c r="B86" s="6" t="s">
        <v>558</v>
      </c>
      <c r="C86" s="12" t="s">
        <v>559</v>
      </c>
      <c r="D86" s="13" t="s">
        <v>560</v>
      </c>
      <c r="E86" s="12" t="s">
        <v>561</v>
      </c>
      <c r="F86" s="12" t="s">
        <v>562</v>
      </c>
      <c r="G86" s="1"/>
      <c r="H86" s="1"/>
      <c r="I86" s="1"/>
      <c r="J86" s="1"/>
      <c r="K86" s="19" t="s">
        <v>75</v>
      </c>
      <c r="L86" s="6"/>
      <c r="M86" s="1"/>
      <c r="N86" s="12" t="s">
        <v>52</v>
      </c>
      <c r="O86" s="11"/>
      <c r="P86" s="15">
        <v>45882.0</v>
      </c>
      <c r="Q86" s="12" t="s">
        <v>54</v>
      </c>
      <c r="R86" s="1"/>
      <c r="S86" s="1"/>
      <c r="T86" s="1"/>
      <c r="U86" s="12" t="s">
        <v>78</v>
      </c>
      <c r="V86" s="17" t="s">
        <v>563</v>
      </c>
      <c r="W86" s="1"/>
      <c r="X86" s="15">
        <v>45882.0</v>
      </c>
      <c r="Y86" s="12" t="s">
        <v>54</v>
      </c>
      <c r="Z86" s="1"/>
      <c r="AA86" s="1"/>
      <c r="AB86" s="1"/>
      <c r="AC86" s="1"/>
      <c r="AD86" s="1"/>
      <c r="AE86" s="18">
        <v>45882.0</v>
      </c>
      <c r="AF86" s="1"/>
      <c r="AG86" s="1"/>
      <c r="AH86" s="1"/>
      <c r="AI86" s="6"/>
      <c r="AJ86" s="6"/>
      <c r="AK86" s="6"/>
      <c r="AL86" s="6" t="str">
        <f t="array" ref="AL86">IFERROR(IFS(XLOOKUP(B86, 'Kit Delivery Status'!$U:$U, 'Kit Delivery Status'!$K:$K) = "Complete", "DELIVERED", XLOOKUP(B86, 'Kit Delivery Status'!$U:$U, 'Kit Delivery Status'!$K:$K) = "Issue", "ISSUE"), "")</f>
        <v/>
      </c>
      <c r="AM86" s="6"/>
    </row>
    <row r="87">
      <c r="A87" s="5" t="str">
        <f t="shared" si="4"/>
        <v>https://utrucking.myshopify.com/admin/orders?query=15141</v>
      </c>
      <c r="B87" s="6" t="s">
        <v>564</v>
      </c>
      <c r="C87" s="12" t="s">
        <v>565</v>
      </c>
      <c r="D87" s="13" t="s">
        <v>566</v>
      </c>
      <c r="E87" s="12" t="s">
        <v>567</v>
      </c>
      <c r="F87" s="12" t="s">
        <v>568</v>
      </c>
      <c r="G87" s="1"/>
      <c r="H87" s="1"/>
      <c r="I87" s="1"/>
      <c r="J87" s="1"/>
      <c r="K87" s="19" t="s">
        <v>75</v>
      </c>
      <c r="L87" s="6"/>
      <c r="M87" s="1"/>
      <c r="N87" s="12" t="s">
        <v>52</v>
      </c>
      <c r="O87" s="11"/>
      <c r="P87" s="15">
        <v>45877.0</v>
      </c>
      <c r="Q87" s="12" t="s">
        <v>60</v>
      </c>
      <c r="R87" s="1"/>
      <c r="S87" s="1"/>
      <c r="T87" s="1"/>
      <c r="U87" s="12" t="s">
        <v>569</v>
      </c>
      <c r="V87" s="17" t="s">
        <v>570</v>
      </c>
      <c r="W87" s="1"/>
      <c r="X87" s="15">
        <v>45877.0</v>
      </c>
      <c r="Y87" s="12" t="s">
        <v>60</v>
      </c>
      <c r="Z87" s="1"/>
      <c r="AA87" s="1"/>
      <c r="AB87" s="1"/>
      <c r="AC87" s="1"/>
      <c r="AD87" s="1"/>
      <c r="AE87" s="16">
        <v>45877.0</v>
      </c>
      <c r="AF87" s="1"/>
      <c r="AG87" s="1"/>
      <c r="AH87" s="1"/>
      <c r="AI87" s="6"/>
      <c r="AJ87" s="6"/>
      <c r="AK87" s="6"/>
      <c r="AL87" s="6" t="str">
        <f t="array" ref="AL87">IFERROR(IFS(XLOOKUP(B87, 'Kit Delivery Status'!$U:$U, 'Kit Delivery Status'!$K:$K) = "Complete", "DELIVERED", XLOOKUP(B87, 'Kit Delivery Status'!$U:$U, 'Kit Delivery Status'!$K:$K) = "Issue", "ISSUE"), "")</f>
        <v/>
      </c>
      <c r="AM87" s="6"/>
    </row>
    <row r="88">
      <c r="A88" s="5" t="str">
        <f t="shared" si="4"/>
        <v>https://utrucking.myshopify.com/admin/orders?query=15161</v>
      </c>
      <c r="B88" s="6" t="s">
        <v>571</v>
      </c>
      <c r="C88" s="12" t="s">
        <v>572</v>
      </c>
      <c r="D88" s="13" t="s">
        <v>573</v>
      </c>
      <c r="E88" s="12" t="s">
        <v>574</v>
      </c>
      <c r="F88" s="12" t="s">
        <v>575</v>
      </c>
      <c r="G88" s="1"/>
      <c r="H88" s="1"/>
      <c r="I88" s="1"/>
      <c r="J88" s="1"/>
      <c r="K88" s="19" t="s">
        <v>75</v>
      </c>
      <c r="L88" s="6"/>
      <c r="M88" s="1"/>
      <c r="N88" s="12" t="s">
        <v>52</v>
      </c>
      <c r="O88" s="17" t="s">
        <v>576</v>
      </c>
      <c r="P88" s="15">
        <v>45882.0</v>
      </c>
      <c r="Q88" s="12" t="s">
        <v>54</v>
      </c>
      <c r="R88" s="1"/>
      <c r="S88" s="1"/>
      <c r="T88" s="1"/>
      <c r="U88" s="12" t="s">
        <v>68</v>
      </c>
      <c r="V88" s="17" t="s">
        <v>576</v>
      </c>
      <c r="W88" s="1"/>
      <c r="X88" s="15">
        <v>45882.0</v>
      </c>
      <c r="Y88" s="12" t="s">
        <v>54</v>
      </c>
      <c r="Z88" s="1"/>
      <c r="AA88" s="1"/>
      <c r="AB88" s="1"/>
      <c r="AC88" s="1"/>
      <c r="AD88" s="1"/>
      <c r="AE88" s="18">
        <v>45882.0</v>
      </c>
      <c r="AF88" s="1"/>
      <c r="AG88" s="1"/>
      <c r="AH88" s="1"/>
      <c r="AI88" s="6"/>
      <c r="AJ88" s="6"/>
      <c r="AK88" s="6"/>
      <c r="AL88" s="6" t="str">
        <f t="array" ref="AL88">IFERROR(IFS(XLOOKUP(B88, 'Kit Delivery Status'!$U:$U, 'Kit Delivery Status'!$K:$K) = "Complete", "DELIVERED", XLOOKUP(B88, 'Kit Delivery Status'!$U:$U, 'Kit Delivery Status'!$K:$K) = "Issue", "ISSUE"), "")</f>
        <v/>
      </c>
      <c r="AM88" s="6"/>
    </row>
    <row r="89">
      <c r="A89" s="5" t="str">
        <f t="shared" si="4"/>
        <v>https://utrucking.myshopify.com/admin/orders?query=15162</v>
      </c>
      <c r="B89" s="6" t="s">
        <v>577</v>
      </c>
      <c r="C89" s="12" t="s">
        <v>578</v>
      </c>
      <c r="D89" s="13" t="s">
        <v>573</v>
      </c>
      <c r="E89" s="12" t="s">
        <v>579</v>
      </c>
      <c r="F89" s="12" t="s">
        <v>580</v>
      </c>
      <c r="G89" s="1"/>
      <c r="H89" s="1"/>
      <c r="I89" s="1"/>
      <c r="J89" s="1"/>
      <c r="K89" s="19" t="s">
        <v>75</v>
      </c>
      <c r="L89" s="6"/>
      <c r="M89" s="1"/>
      <c r="N89" s="12" t="s">
        <v>52</v>
      </c>
      <c r="O89" s="17" t="s">
        <v>576</v>
      </c>
      <c r="P89" s="15">
        <v>45882.0</v>
      </c>
      <c r="Q89" s="12" t="s">
        <v>54</v>
      </c>
      <c r="R89" s="1"/>
      <c r="S89" s="1"/>
      <c r="T89" s="1"/>
      <c r="U89" s="12" t="s">
        <v>68</v>
      </c>
      <c r="V89" s="17" t="s">
        <v>576</v>
      </c>
      <c r="W89" s="1"/>
      <c r="X89" s="15">
        <v>45882.0</v>
      </c>
      <c r="Y89" s="12" t="s">
        <v>54</v>
      </c>
      <c r="Z89" s="1"/>
      <c r="AA89" s="1"/>
      <c r="AB89" s="1"/>
      <c r="AC89" s="1"/>
      <c r="AD89" s="1"/>
      <c r="AE89" s="18">
        <v>45882.0</v>
      </c>
      <c r="AF89" s="1"/>
      <c r="AG89" s="1"/>
      <c r="AH89" s="1"/>
      <c r="AI89" s="6"/>
      <c r="AJ89" s="6"/>
      <c r="AK89" s="6"/>
      <c r="AL89" s="6" t="str">
        <f t="array" ref="AL89">IFERROR(IFS(XLOOKUP(B89, 'Kit Delivery Status'!$U:$U, 'Kit Delivery Status'!$K:$K) = "Complete", "DELIVERED", XLOOKUP(B89, 'Kit Delivery Status'!$U:$U, 'Kit Delivery Status'!$K:$K) = "Issue", "ISSUE"), "")</f>
        <v/>
      </c>
      <c r="AM89" s="6"/>
    </row>
    <row r="90">
      <c r="A90" s="5" t="str">
        <f t="shared" si="4"/>
        <v>https://utrucking.myshopify.com/admin/orders?query=15165</v>
      </c>
      <c r="B90" s="6" t="s">
        <v>581</v>
      </c>
      <c r="C90" s="12" t="s">
        <v>582</v>
      </c>
      <c r="D90" s="13" t="s">
        <v>583</v>
      </c>
      <c r="E90" s="12" t="s">
        <v>584</v>
      </c>
      <c r="F90" s="12" t="s">
        <v>585</v>
      </c>
      <c r="G90" s="1"/>
      <c r="H90" s="1"/>
      <c r="I90" s="1"/>
      <c r="J90" s="1"/>
      <c r="K90" s="19" t="s">
        <v>75</v>
      </c>
      <c r="L90" s="6"/>
      <c r="M90" s="1"/>
      <c r="N90" s="12" t="s">
        <v>52</v>
      </c>
      <c r="O90" s="11"/>
      <c r="P90" s="15">
        <v>45882.0</v>
      </c>
      <c r="Q90" s="12" t="s">
        <v>54</v>
      </c>
      <c r="R90" s="1"/>
      <c r="S90" s="1"/>
      <c r="T90" s="1"/>
      <c r="U90" s="12" t="s">
        <v>102</v>
      </c>
      <c r="V90" s="17" t="s">
        <v>103</v>
      </c>
      <c r="W90" s="1"/>
      <c r="X90" s="15">
        <v>45882.0</v>
      </c>
      <c r="Y90" s="12" t="s">
        <v>54</v>
      </c>
      <c r="Z90" s="1"/>
      <c r="AA90" s="1"/>
      <c r="AB90" s="1"/>
      <c r="AC90" s="1"/>
      <c r="AD90" s="1"/>
      <c r="AE90" s="18">
        <v>45882.0</v>
      </c>
      <c r="AF90" s="1"/>
      <c r="AG90" s="1"/>
      <c r="AH90" s="1"/>
      <c r="AI90" s="6"/>
      <c r="AJ90" s="6"/>
      <c r="AK90" s="6"/>
      <c r="AL90" s="6" t="str">
        <f t="array" ref="AL90">IFERROR(IFS(XLOOKUP(B90, 'Kit Delivery Status'!$U:$U, 'Kit Delivery Status'!$K:$K) = "Complete", "DELIVERED", XLOOKUP(B90, 'Kit Delivery Status'!$U:$U, 'Kit Delivery Status'!$K:$K) = "Issue", "ISSUE"), "")</f>
        <v/>
      </c>
      <c r="AM90" s="6"/>
    </row>
    <row r="91">
      <c r="A91" s="5" t="str">
        <f t="shared" si="4"/>
        <v>https://utrucking.myshopify.com/admin/orders?query=15138</v>
      </c>
      <c r="B91" s="6" t="s">
        <v>586</v>
      </c>
      <c r="C91" s="12" t="s">
        <v>587</v>
      </c>
      <c r="D91" s="13" t="s">
        <v>588</v>
      </c>
      <c r="E91" s="12" t="s">
        <v>589</v>
      </c>
      <c r="F91" s="12" t="s">
        <v>590</v>
      </c>
      <c r="G91" s="1"/>
      <c r="H91" s="1"/>
      <c r="I91" s="1"/>
      <c r="J91" s="1"/>
      <c r="K91" s="19" t="s">
        <v>75</v>
      </c>
      <c r="L91" s="6"/>
      <c r="M91" s="1"/>
      <c r="N91" s="12" t="s">
        <v>52</v>
      </c>
      <c r="O91" s="17" t="s">
        <v>591</v>
      </c>
      <c r="P91" s="15">
        <v>45882.0</v>
      </c>
      <c r="Q91" s="12" t="s">
        <v>54</v>
      </c>
      <c r="R91" s="1"/>
      <c r="S91" s="1"/>
      <c r="T91" s="1"/>
      <c r="U91" s="12" t="s">
        <v>146</v>
      </c>
      <c r="V91" s="17" t="s">
        <v>591</v>
      </c>
      <c r="W91" s="1"/>
      <c r="X91" s="15">
        <v>45882.0</v>
      </c>
      <c r="Y91" s="12" t="s">
        <v>54</v>
      </c>
      <c r="Z91" s="1"/>
      <c r="AA91" s="1"/>
      <c r="AB91" s="1"/>
      <c r="AC91" s="1"/>
      <c r="AD91" s="1"/>
      <c r="AE91" s="18">
        <v>45882.0</v>
      </c>
      <c r="AF91" s="1"/>
      <c r="AG91" s="1"/>
      <c r="AH91" s="1"/>
      <c r="AI91" s="6"/>
      <c r="AJ91" s="6"/>
      <c r="AK91" s="6"/>
      <c r="AL91" s="6" t="str">
        <f t="array" ref="AL91">IFERROR(IFS(XLOOKUP(B91, 'Kit Delivery Status'!$U:$U, 'Kit Delivery Status'!$K:$K) = "Complete", "DELIVERED", XLOOKUP(B91, 'Kit Delivery Status'!$U:$U, 'Kit Delivery Status'!$K:$K) = "Issue", "ISSUE"), "")</f>
        <v/>
      </c>
      <c r="AM91" s="6"/>
    </row>
    <row r="92">
      <c r="A92" s="5" t="str">
        <f t="shared" si="4"/>
        <v>https://utrucking.myshopify.com/admin/orders?query=15181</v>
      </c>
      <c r="B92" s="6" t="s">
        <v>592</v>
      </c>
      <c r="C92" s="12" t="s">
        <v>593</v>
      </c>
      <c r="D92" s="13" t="s">
        <v>594</v>
      </c>
      <c r="E92" s="12" t="s">
        <v>595</v>
      </c>
      <c r="F92" s="12" t="s">
        <v>123</v>
      </c>
      <c r="G92" s="1"/>
      <c r="H92" s="1"/>
      <c r="I92" s="1"/>
      <c r="J92" s="1"/>
      <c r="K92" s="19" t="s">
        <v>75</v>
      </c>
      <c r="L92" s="6"/>
      <c r="M92" s="1"/>
      <c r="N92" s="12" t="s">
        <v>52</v>
      </c>
      <c r="O92" s="11"/>
      <c r="P92" s="15">
        <v>45882.0</v>
      </c>
      <c r="Q92" s="12" t="s">
        <v>96</v>
      </c>
      <c r="R92" s="1"/>
      <c r="S92" s="1"/>
      <c r="T92" s="1"/>
      <c r="U92" s="12" t="s">
        <v>45</v>
      </c>
      <c r="V92" s="17" t="s">
        <v>596</v>
      </c>
      <c r="W92" s="1"/>
      <c r="X92" s="15">
        <v>45882.0</v>
      </c>
      <c r="Y92" s="12" t="s">
        <v>96</v>
      </c>
      <c r="Z92" s="1"/>
      <c r="AA92" s="1"/>
      <c r="AB92" s="1"/>
      <c r="AC92" s="1"/>
      <c r="AD92" s="1"/>
      <c r="AE92" s="18">
        <v>45882.0</v>
      </c>
      <c r="AF92" s="1"/>
      <c r="AG92" s="1"/>
      <c r="AH92" s="1"/>
      <c r="AI92" s="6"/>
      <c r="AJ92" s="6"/>
      <c r="AK92" s="6"/>
      <c r="AL92" s="6" t="str">
        <f t="array" ref="AL92">IFERROR(IFS(XLOOKUP(B92, 'Kit Delivery Status'!$U:$U, 'Kit Delivery Status'!$K:$K) = "Complete", "DELIVERED", XLOOKUP(B92, 'Kit Delivery Status'!$U:$U, 'Kit Delivery Status'!$K:$K) = "Issue", "ISSUE"), "")</f>
        <v/>
      </c>
      <c r="AM92" s="6"/>
    </row>
    <row r="93">
      <c r="A93" s="5" t="str">
        <f t="shared" si="4"/>
        <v>https://utrucking.myshopify.com/admin/orders?query=15191</v>
      </c>
      <c r="B93" s="6" t="s">
        <v>597</v>
      </c>
      <c r="C93" s="12" t="s">
        <v>598</v>
      </c>
      <c r="D93" s="13" t="s">
        <v>599</v>
      </c>
      <c r="E93" s="12" t="s">
        <v>600</v>
      </c>
      <c r="F93" s="12" t="s">
        <v>601</v>
      </c>
      <c r="G93" s="1"/>
      <c r="H93" s="1"/>
      <c r="I93" s="1"/>
      <c r="J93" s="1"/>
      <c r="K93" s="19" t="s">
        <v>75</v>
      </c>
      <c r="L93" s="6"/>
      <c r="M93" s="1"/>
      <c r="N93" s="12" t="s">
        <v>52</v>
      </c>
      <c r="O93" s="11"/>
      <c r="P93" s="15">
        <v>45883.0</v>
      </c>
      <c r="Q93" s="12" t="s">
        <v>160</v>
      </c>
      <c r="R93" s="1"/>
      <c r="S93" s="1"/>
      <c r="T93" s="1"/>
      <c r="U93" s="12" t="s">
        <v>602</v>
      </c>
      <c r="V93" s="17" t="s">
        <v>603</v>
      </c>
      <c r="W93" s="1"/>
      <c r="X93" s="15">
        <v>45883.0</v>
      </c>
      <c r="Y93" s="12" t="s">
        <v>160</v>
      </c>
      <c r="Z93" s="1"/>
      <c r="AA93" s="1"/>
      <c r="AB93" s="1"/>
      <c r="AC93" s="1"/>
      <c r="AD93" s="1"/>
      <c r="AE93" s="18">
        <v>45883.0</v>
      </c>
      <c r="AF93" s="1"/>
      <c r="AG93" s="1"/>
      <c r="AH93" s="1"/>
      <c r="AI93" s="6"/>
      <c r="AJ93" s="6"/>
      <c r="AK93" s="6"/>
      <c r="AL93" s="6" t="str">
        <f t="array" ref="AL93">IFERROR(IFS(XLOOKUP(B93, 'Kit Delivery Status'!$U:$U, 'Kit Delivery Status'!$K:$K) = "Complete", "DELIVERED", XLOOKUP(B93, 'Kit Delivery Status'!$U:$U, 'Kit Delivery Status'!$K:$K) = "Issue", "ISSUE"), "")</f>
        <v/>
      </c>
      <c r="AM93" s="6"/>
    </row>
    <row r="94">
      <c r="A94" s="5" t="str">
        <f t="shared" si="4"/>
        <v>https://utrucking.myshopify.com/admin/orders?query=15192</v>
      </c>
      <c r="B94" s="6" t="s">
        <v>604</v>
      </c>
      <c r="C94" s="12" t="s">
        <v>605</v>
      </c>
      <c r="D94" s="13"/>
      <c r="E94" s="12" t="s">
        <v>606</v>
      </c>
      <c r="F94" s="12" t="s">
        <v>607</v>
      </c>
      <c r="G94" s="1"/>
      <c r="H94" s="1"/>
      <c r="I94" s="1"/>
      <c r="J94" s="1"/>
      <c r="K94" s="19" t="s">
        <v>75</v>
      </c>
      <c r="L94" s="6"/>
      <c r="M94" s="1"/>
      <c r="N94" s="12" t="s">
        <v>52</v>
      </c>
      <c r="O94" s="11"/>
      <c r="P94" s="15">
        <v>45882.0</v>
      </c>
      <c r="Q94" s="12" t="s">
        <v>88</v>
      </c>
      <c r="R94" s="1"/>
      <c r="S94" s="1"/>
      <c r="T94" s="1"/>
      <c r="U94" s="12" t="s">
        <v>186</v>
      </c>
      <c r="V94" s="17" t="s">
        <v>608</v>
      </c>
      <c r="W94" s="1"/>
      <c r="X94" s="15">
        <v>45882.0</v>
      </c>
      <c r="Y94" s="12" t="s">
        <v>88</v>
      </c>
      <c r="Z94" s="1"/>
      <c r="AA94" s="1"/>
      <c r="AB94" s="1"/>
      <c r="AC94" s="1"/>
      <c r="AD94" s="1"/>
      <c r="AE94" s="18">
        <v>45882.0</v>
      </c>
      <c r="AF94" s="1"/>
      <c r="AG94" s="1"/>
      <c r="AH94" s="1"/>
      <c r="AI94" s="6"/>
      <c r="AJ94" s="6"/>
      <c r="AK94" s="6"/>
      <c r="AL94" s="6" t="str">
        <f t="array" ref="AL94">IFERROR(IFS(XLOOKUP(B94, 'Kit Delivery Status'!$U:$U, 'Kit Delivery Status'!$K:$K) = "Complete", "DELIVERED", XLOOKUP(B94, 'Kit Delivery Status'!$U:$U, 'Kit Delivery Status'!$K:$K) = "Issue", "ISSUE"), "")</f>
        <v/>
      </c>
      <c r="AM94" s="6"/>
    </row>
    <row r="95">
      <c r="A95" s="5" t="str">
        <f t="shared" si="4"/>
        <v>https://utrucking.myshopify.com/admin/orders?query=15198</v>
      </c>
      <c r="B95" s="6" t="s">
        <v>609</v>
      </c>
      <c r="C95" s="12" t="s">
        <v>610</v>
      </c>
      <c r="D95" s="13" t="s">
        <v>611</v>
      </c>
      <c r="E95" s="12" t="s">
        <v>612</v>
      </c>
      <c r="F95" s="12" t="s">
        <v>613</v>
      </c>
      <c r="G95" s="1"/>
      <c r="H95" s="1"/>
      <c r="I95" s="1"/>
      <c r="J95" s="1"/>
      <c r="K95" s="19" t="s">
        <v>75</v>
      </c>
      <c r="L95" s="6"/>
      <c r="M95" s="1"/>
      <c r="N95" s="12" t="s">
        <v>52</v>
      </c>
      <c r="O95" s="11"/>
      <c r="P95" s="15">
        <v>45882.0</v>
      </c>
      <c r="Q95" s="12" t="s">
        <v>54</v>
      </c>
      <c r="R95" s="1"/>
      <c r="S95" s="1"/>
      <c r="T95" s="1"/>
      <c r="U95" s="12" t="s">
        <v>68</v>
      </c>
      <c r="V95" s="17" t="s">
        <v>614</v>
      </c>
      <c r="W95" s="1"/>
      <c r="X95" s="15">
        <v>45882.0</v>
      </c>
      <c r="Y95" s="12" t="s">
        <v>54</v>
      </c>
      <c r="Z95" s="1"/>
      <c r="AA95" s="1"/>
      <c r="AB95" s="1"/>
      <c r="AC95" s="1"/>
      <c r="AD95" s="1"/>
      <c r="AE95" s="18">
        <v>45882.0</v>
      </c>
      <c r="AF95" s="1"/>
      <c r="AG95" s="1"/>
      <c r="AH95" s="1"/>
      <c r="AI95" s="6"/>
      <c r="AJ95" s="6"/>
      <c r="AK95" s="6"/>
      <c r="AL95" s="6" t="str">
        <f t="array" ref="AL95">IFERROR(IFS(XLOOKUP(B95, 'Kit Delivery Status'!$U:$U, 'Kit Delivery Status'!$K:$K) = "Complete", "DELIVERED", XLOOKUP(B95, 'Kit Delivery Status'!$U:$U, 'Kit Delivery Status'!$K:$K) = "Issue", "ISSUE"), "")</f>
        <v/>
      </c>
      <c r="AM95" s="6"/>
    </row>
    <row r="96">
      <c r="A96" s="5" t="str">
        <f t="shared" si="4"/>
        <v>https://utrucking.myshopify.com/admin/orders?query=15200</v>
      </c>
      <c r="B96" s="6" t="s">
        <v>615</v>
      </c>
      <c r="C96" s="12" t="s">
        <v>616</v>
      </c>
      <c r="D96" s="13" t="s">
        <v>617</v>
      </c>
      <c r="E96" s="12" t="s">
        <v>618</v>
      </c>
      <c r="F96" s="12" t="s">
        <v>619</v>
      </c>
      <c r="G96" s="1"/>
      <c r="H96" s="1"/>
      <c r="I96" s="1"/>
      <c r="J96" s="1"/>
      <c r="K96" s="19" t="s">
        <v>75</v>
      </c>
      <c r="L96" s="6"/>
      <c r="M96" s="1"/>
      <c r="N96" s="12" t="s">
        <v>52</v>
      </c>
      <c r="O96" s="11"/>
      <c r="P96" s="15">
        <v>45889.0</v>
      </c>
      <c r="Q96" s="12" t="s">
        <v>54</v>
      </c>
      <c r="R96" s="1"/>
      <c r="S96" s="1"/>
      <c r="T96" s="1"/>
      <c r="U96" s="12" t="s">
        <v>620</v>
      </c>
      <c r="V96" s="17" t="s">
        <v>621</v>
      </c>
      <c r="W96" s="1"/>
      <c r="X96" s="15">
        <v>45889.0</v>
      </c>
      <c r="Y96" s="12" t="s">
        <v>54</v>
      </c>
      <c r="Z96" s="1"/>
      <c r="AA96" s="1"/>
      <c r="AB96" s="1"/>
      <c r="AC96" s="1"/>
      <c r="AD96" s="1"/>
      <c r="AE96" s="18">
        <v>45889.0</v>
      </c>
      <c r="AF96" s="1"/>
      <c r="AG96" s="1"/>
      <c r="AH96" s="1"/>
      <c r="AI96" s="6"/>
      <c r="AJ96" s="6"/>
      <c r="AK96" s="6"/>
      <c r="AL96" s="6" t="str">
        <f t="array" ref="AL96">IFERROR(IFS(XLOOKUP(B96, 'Kit Delivery Status'!$U:$U, 'Kit Delivery Status'!$K:$K) = "Complete", "DELIVERED", XLOOKUP(B96, 'Kit Delivery Status'!$U:$U, 'Kit Delivery Status'!$K:$K) = "Issue", "ISSUE"), "")</f>
        <v/>
      </c>
      <c r="AM96" s="6"/>
    </row>
    <row r="97">
      <c r="A97" s="5" t="str">
        <f t="shared" si="4"/>
        <v>https://utrucking.myshopify.com/admin/orders?query=15212</v>
      </c>
      <c r="B97" s="6" t="s">
        <v>622</v>
      </c>
      <c r="C97" s="12" t="s">
        <v>623</v>
      </c>
      <c r="D97" s="13" t="s">
        <v>624</v>
      </c>
      <c r="E97" s="12" t="s">
        <v>625</v>
      </c>
      <c r="F97" s="12" t="s">
        <v>626</v>
      </c>
      <c r="G97" s="1"/>
      <c r="H97" s="1"/>
      <c r="I97" s="1"/>
      <c r="J97" s="1"/>
      <c r="K97" s="19" t="s">
        <v>75</v>
      </c>
      <c r="L97" s="6"/>
      <c r="M97" s="1"/>
      <c r="N97" s="12" t="s">
        <v>52</v>
      </c>
      <c r="O97" s="11"/>
      <c r="P97" s="15">
        <v>45882.0</v>
      </c>
      <c r="Q97" s="12" t="s">
        <v>54</v>
      </c>
      <c r="R97" s="1"/>
      <c r="S97" s="1"/>
      <c r="T97" s="1"/>
      <c r="U97" s="12" t="s">
        <v>68</v>
      </c>
      <c r="V97" s="17" t="s">
        <v>627</v>
      </c>
      <c r="W97" s="1"/>
      <c r="X97" s="15">
        <v>45882.0</v>
      </c>
      <c r="Y97" s="12" t="s">
        <v>54</v>
      </c>
      <c r="Z97" s="1"/>
      <c r="AA97" s="1"/>
      <c r="AB97" s="1"/>
      <c r="AC97" s="1"/>
      <c r="AD97" s="1"/>
      <c r="AE97" s="18">
        <v>45882.0</v>
      </c>
      <c r="AF97" s="1"/>
      <c r="AG97" s="1"/>
      <c r="AH97" s="1"/>
      <c r="AI97" s="6"/>
      <c r="AJ97" s="6"/>
      <c r="AK97" s="6"/>
      <c r="AL97" s="6" t="str">
        <f t="array" ref="AL97">IFERROR(IFS(XLOOKUP(B97, 'Kit Delivery Status'!$U:$U, 'Kit Delivery Status'!$K:$K) = "Complete", "DELIVERED", XLOOKUP(B97, 'Kit Delivery Status'!$U:$U, 'Kit Delivery Status'!$K:$K) = "Issue", "ISSUE"), "")</f>
        <v/>
      </c>
      <c r="AM97" s="6"/>
    </row>
    <row r="98">
      <c r="A98" s="5" t="str">
        <f t="shared" si="4"/>
        <v>https://utrucking.myshopify.com/admin/orders?query=15213</v>
      </c>
      <c r="B98" s="6" t="s">
        <v>628</v>
      </c>
      <c r="C98" s="12" t="s">
        <v>629</v>
      </c>
      <c r="D98" s="13" t="s">
        <v>630</v>
      </c>
      <c r="E98" s="12" t="s">
        <v>631</v>
      </c>
      <c r="F98" s="12" t="s">
        <v>632</v>
      </c>
      <c r="G98" s="1"/>
      <c r="H98" s="1"/>
      <c r="I98" s="1"/>
      <c r="J98" s="1"/>
      <c r="K98" s="19" t="s">
        <v>75</v>
      </c>
      <c r="L98" s="6"/>
      <c r="M98" s="1"/>
      <c r="N98" s="12" t="s">
        <v>52</v>
      </c>
      <c r="O98" s="11"/>
      <c r="P98" s="15">
        <v>45883.0</v>
      </c>
      <c r="Q98" s="12" t="s">
        <v>239</v>
      </c>
      <c r="R98" s="1"/>
      <c r="S98" s="1"/>
      <c r="T98" s="1"/>
      <c r="U98" s="12" t="s">
        <v>633</v>
      </c>
      <c r="V98" s="17" t="s">
        <v>634</v>
      </c>
      <c r="W98" s="1"/>
      <c r="X98" s="15">
        <v>45883.0</v>
      </c>
      <c r="Y98" s="12" t="s">
        <v>239</v>
      </c>
      <c r="Z98" s="1"/>
      <c r="AA98" s="1"/>
      <c r="AB98" s="1"/>
      <c r="AC98" s="1"/>
      <c r="AD98" s="1"/>
      <c r="AE98" s="18">
        <v>45883.0</v>
      </c>
      <c r="AF98" s="1"/>
      <c r="AG98" s="1"/>
      <c r="AH98" s="1"/>
      <c r="AI98" s="6"/>
      <c r="AJ98" s="6"/>
      <c r="AK98" s="6"/>
      <c r="AL98" s="6" t="str">
        <f t="array" ref="AL98">IFERROR(IFS(XLOOKUP(B98, 'Kit Delivery Status'!$U:$U, 'Kit Delivery Status'!$K:$K) = "Complete", "DELIVERED", XLOOKUP(B98, 'Kit Delivery Status'!$U:$U, 'Kit Delivery Status'!$K:$K) = "Issue", "ISSUE"), "")</f>
        <v/>
      </c>
      <c r="AM98" s="6"/>
    </row>
    <row r="99">
      <c r="A99" s="5" t="str">
        <f t="shared" si="4"/>
        <v>https://utrucking.myshopify.com/admin/orders?query=14235</v>
      </c>
      <c r="B99" s="6" t="s">
        <v>635</v>
      </c>
      <c r="C99" s="6" t="s">
        <v>636</v>
      </c>
      <c r="D99" s="7">
        <v>5.01676664E9</v>
      </c>
      <c r="E99" s="6" t="s">
        <v>637</v>
      </c>
      <c r="F99" s="6"/>
      <c r="G99" s="1"/>
      <c r="H99" s="1"/>
      <c r="I99" s="1"/>
      <c r="J99" s="1"/>
      <c r="K99" s="6" t="s">
        <v>51</v>
      </c>
      <c r="L99" s="6"/>
      <c r="M99" s="1"/>
      <c r="N99" s="6" t="s">
        <v>52</v>
      </c>
      <c r="O99" s="11" t="s">
        <v>638</v>
      </c>
      <c r="P99" s="9">
        <v>45891.0</v>
      </c>
      <c r="Q99" s="6" t="s">
        <v>88</v>
      </c>
      <c r="R99" s="1"/>
      <c r="S99" s="1"/>
      <c r="T99" s="1"/>
      <c r="U99" s="6" t="s">
        <v>639</v>
      </c>
      <c r="V99" s="11" t="s">
        <v>638</v>
      </c>
      <c r="W99" s="1"/>
      <c r="X99" s="9">
        <v>45891.0</v>
      </c>
      <c r="Y99" s="6" t="s">
        <v>88</v>
      </c>
      <c r="Z99" s="1"/>
      <c r="AA99" s="1"/>
      <c r="AB99" s="1"/>
      <c r="AC99" s="1"/>
      <c r="AD99" s="1"/>
      <c r="AE99" s="1"/>
      <c r="AF99" s="1"/>
      <c r="AG99" s="1"/>
      <c r="AH99" s="1"/>
      <c r="AI99" s="6"/>
      <c r="AJ99" s="6"/>
      <c r="AK99" s="6"/>
      <c r="AL99" s="6" t="str">
        <f t="array" ref="AL99">IFERROR(IFS(XLOOKUP(B99, 'Kit Delivery Status'!$U:$U, 'Kit Delivery Status'!$K:$K) = "Complete", "DELIVERED", XLOOKUP(B99, 'Kit Delivery Status'!$U:$U, 'Kit Delivery Status'!$K:$K) = "Issue", "ISSUE"), "")</f>
        <v/>
      </c>
      <c r="AM99" s="6"/>
    </row>
    <row r="100">
      <c r="A100" s="5" t="str">
        <f t="shared" si="4"/>
        <v>https://utrucking.myshopify.com/admin/orders?query=14235</v>
      </c>
      <c r="B100" s="20" t="s">
        <v>635</v>
      </c>
      <c r="C100" s="20" t="s">
        <v>636</v>
      </c>
      <c r="D100" s="21">
        <v>5.01676664E9</v>
      </c>
      <c r="E100" s="20" t="s">
        <v>637</v>
      </c>
      <c r="F100" s="20"/>
      <c r="G100" s="22"/>
      <c r="H100" s="22"/>
      <c r="I100" s="22"/>
      <c r="J100" s="22"/>
      <c r="K100" s="20" t="s">
        <v>66</v>
      </c>
      <c r="L100" s="20" t="s">
        <v>640</v>
      </c>
      <c r="M100" s="22"/>
      <c r="N100" s="20"/>
      <c r="O100" s="23"/>
      <c r="P100" s="24"/>
      <c r="Q100" s="20"/>
      <c r="R100" s="22"/>
      <c r="S100" s="22"/>
      <c r="T100" s="22"/>
      <c r="U100" s="20"/>
      <c r="V100" s="23"/>
      <c r="W100" s="22"/>
      <c r="X100" s="24"/>
      <c r="Y100" s="20"/>
      <c r="Z100" s="22"/>
      <c r="AA100" s="22"/>
      <c r="AB100" s="22"/>
      <c r="AC100" s="22"/>
      <c r="AD100" s="22"/>
      <c r="AE100" s="22"/>
      <c r="AF100" s="22"/>
      <c r="AG100" s="22"/>
      <c r="AH100" s="22"/>
      <c r="AI100" s="20"/>
      <c r="AJ100" s="20"/>
      <c r="AK100" s="20"/>
      <c r="AL100" s="6" t="str">
        <f t="array" ref="AL100">IFERROR(IFS(XLOOKUP(B100, 'Kit Delivery Status'!$U:$U, 'Kit Delivery Status'!$K:$K) = "Complete", "DELIVERED", XLOOKUP(B100, 'Kit Delivery Status'!$U:$U, 'Kit Delivery Status'!$K:$K) = "Issue", "ISSUE"), "")</f>
        <v/>
      </c>
      <c r="AM100" s="6"/>
    </row>
    <row r="101">
      <c r="A101" s="5" t="str">
        <f t="shared" si="4"/>
        <v>https://utrucking.myshopify.com/admin/orders?query=14296</v>
      </c>
      <c r="B101" s="20" t="s">
        <v>641</v>
      </c>
      <c r="C101" s="20" t="s">
        <v>642</v>
      </c>
      <c r="D101" s="21">
        <v>5.033339851E9</v>
      </c>
      <c r="E101" s="20" t="s">
        <v>643</v>
      </c>
      <c r="F101" s="20"/>
      <c r="G101" s="22"/>
      <c r="H101" s="22"/>
      <c r="I101" s="22"/>
      <c r="J101" s="22"/>
      <c r="K101" s="20" t="s">
        <v>66</v>
      </c>
      <c r="L101" s="20" t="s">
        <v>644</v>
      </c>
      <c r="M101" s="22"/>
      <c r="N101" s="20" t="s">
        <v>52</v>
      </c>
      <c r="O101" s="23" t="s">
        <v>645</v>
      </c>
      <c r="P101" s="25">
        <v>45883.0</v>
      </c>
      <c r="Q101" s="20" t="s">
        <v>54</v>
      </c>
      <c r="R101" s="22"/>
      <c r="S101" s="22"/>
      <c r="T101" s="22"/>
      <c r="U101" s="20" t="s">
        <v>633</v>
      </c>
      <c r="V101" s="23" t="s">
        <v>645</v>
      </c>
      <c r="W101" s="22"/>
      <c r="X101" s="25">
        <v>45883.0</v>
      </c>
      <c r="Y101" s="20" t="s">
        <v>54</v>
      </c>
      <c r="Z101" s="22"/>
      <c r="AA101" s="22"/>
      <c r="AB101" s="22"/>
      <c r="AC101" s="22"/>
      <c r="AD101" s="22"/>
      <c r="AE101" s="22"/>
      <c r="AF101" s="22"/>
      <c r="AG101" s="22"/>
      <c r="AH101" s="22"/>
      <c r="AI101" s="20"/>
      <c r="AJ101" s="20"/>
      <c r="AK101" s="20"/>
      <c r="AL101" s="6" t="str">
        <f t="array" ref="AL101">IFERROR(IFS(XLOOKUP(B101, 'Kit Delivery Status'!$U:$U, 'Kit Delivery Status'!$K:$K) = "Complete", "DELIVERED", XLOOKUP(B101, 'Kit Delivery Status'!$U:$U, 'Kit Delivery Status'!$K:$K) = "Issue", "ISSUE"), "")</f>
        <v/>
      </c>
      <c r="AM101" s="6"/>
    </row>
    <row r="102">
      <c r="A102" s="5" t="str">
        <f t="shared" si="4"/>
        <v>https://utrucking.myshopify.com/admin/orders?query=14342</v>
      </c>
      <c r="B102" s="6" t="s">
        <v>646</v>
      </c>
      <c r="C102" s="6" t="s">
        <v>414</v>
      </c>
      <c r="D102" s="7">
        <v>5.513021447E9</v>
      </c>
      <c r="E102" s="6" t="s">
        <v>647</v>
      </c>
      <c r="F102" s="6"/>
      <c r="G102" s="1"/>
      <c r="H102" s="1"/>
      <c r="I102" s="1"/>
      <c r="J102" s="1"/>
      <c r="K102" s="6" t="s">
        <v>66</v>
      </c>
      <c r="L102" s="6" t="s">
        <v>648</v>
      </c>
      <c r="M102" s="1"/>
      <c r="N102" s="6" t="s">
        <v>52</v>
      </c>
      <c r="O102" s="17" t="s">
        <v>418</v>
      </c>
      <c r="P102" s="9">
        <v>45886.0</v>
      </c>
      <c r="Q102" s="6" t="s">
        <v>54</v>
      </c>
      <c r="R102" s="1"/>
      <c r="S102" s="1"/>
      <c r="T102" s="1"/>
      <c r="U102" s="12" t="s">
        <v>109</v>
      </c>
      <c r="V102" s="17" t="s">
        <v>418</v>
      </c>
      <c r="W102" s="1"/>
      <c r="X102" s="9">
        <v>45886.0</v>
      </c>
      <c r="Y102" s="6" t="s">
        <v>54</v>
      </c>
      <c r="Z102" s="1"/>
      <c r="AA102" s="1"/>
      <c r="AB102" s="1"/>
      <c r="AC102" s="1"/>
      <c r="AD102" s="1"/>
      <c r="AE102" s="1"/>
      <c r="AF102" s="1"/>
      <c r="AG102" s="1"/>
      <c r="AH102" s="1"/>
      <c r="AI102" s="6"/>
      <c r="AJ102" s="6"/>
      <c r="AK102" s="6"/>
      <c r="AL102" s="6" t="str">
        <f t="array" ref="AL102">IFERROR(IFS(XLOOKUP(B102, 'Kit Delivery Status'!$U:$U, 'Kit Delivery Status'!$K:$K) = "Complete", "DELIVERED", XLOOKUP(B102, 'Kit Delivery Status'!$U:$U, 'Kit Delivery Status'!$K:$K) = "Issue", "ISSUE"), "")</f>
        <v/>
      </c>
      <c r="AM102" s="6"/>
    </row>
    <row r="103">
      <c r="A103" s="5" t="str">
        <f t="shared" si="4"/>
        <v>https://utrucking.myshopify.com/admin/orders?query=14366</v>
      </c>
      <c r="B103" s="6" t="s">
        <v>649</v>
      </c>
      <c r="C103" s="6" t="s">
        <v>650</v>
      </c>
      <c r="D103" s="7">
        <v>5.084146973E9</v>
      </c>
      <c r="E103" s="6" t="s">
        <v>651</v>
      </c>
      <c r="F103" s="6"/>
      <c r="G103" s="1"/>
      <c r="H103" s="1"/>
      <c r="I103" s="1"/>
      <c r="J103" s="1"/>
      <c r="K103" s="6" t="s">
        <v>66</v>
      </c>
      <c r="L103" s="6" t="s">
        <v>652</v>
      </c>
      <c r="M103" s="1"/>
      <c r="N103" s="6" t="s">
        <v>52</v>
      </c>
      <c r="O103" s="8">
        <v>3023.0</v>
      </c>
      <c r="P103" s="9">
        <v>45888.0</v>
      </c>
      <c r="Q103" s="6" t="s">
        <v>125</v>
      </c>
      <c r="R103" s="1"/>
      <c r="S103" s="1"/>
      <c r="T103" s="1"/>
      <c r="U103" s="6" t="s">
        <v>653</v>
      </c>
      <c r="V103" s="8">
        <v>3023.0</v>
      </c>
      <c r="W103" s="1"/>
      <c r="X103" s="9">
        <v>45888.0</v>
      </c>
      <c r="Y103" s="6" t="s">
        <v>125</v>
      </c>
      <c r="Z103" s="1"/>
      <c r="AA103" s="1"/>
      <c r="AB103" s="1"/>
      <c r="AC103" s="1"/>
      <c r="AD103" s="1"/>
      <c r="AE103" s="1"/>
      <c r="AF103" s="1"/>
      <c r="AG103" s="1"/>
      <c r="AH103" s="1"/>
      <c r="AI103" s="6" t="s">
        <v>654</v>
      </c>
      <c r="AJ103" s="6"/>
      <c r="AK103" s="6"/>
      <c r="AL103" s="6" t="str">
        <f t="array" ref="AL103">IFERROR(IFS(XLOOKUP(B103, 'Kit Delivery Status'!$U:$U, 'Kit Delivery Status'!$K:$K) = "Complete", "DELIVERED", XLOOKUP(B103, 'Kit Delivery Status'!$U:$U, 'Kit Delivery Status'!$K:$K) = "Issue", "ISSUE"), "")</f>
        <v/>
      </c>
      <c r="AM103" s="6"/>
    </row>
    <row r="104">
      <c r="A104" s="5" t="str">
        <f t="shared" si="4"/>
        <v>https://utrucking.myshopify.com/admin/orders?query=14589</v>
      </c>
      <c r="B104" s="20" t="s">
        <v>655</v>
      </c>
      <c r="C104" s="20" t="s">
        <v>656</v>
      </c>
      <c r="D104" s="21">
        <v>7.87236208E9</v>
      </c>
      <c r="E104" s="20" t="s">
        <v>657</v>
      </c>
      <c r="F104" s="20"/>
      <c r="G104" s="22"/>
      <c r="H104" s="22"/>
      <c r="I104" s="22"/>
      <c r="J104" s="22"/>
      <c r="K104" s="20" t="s">
        <v>66</v>
      </c>
      <c r="L104" s="20" t="s">
        <v>640</v>
      </c>
      <c r="M104" s="22"/>
      <c r="N104" s="20" t="s">
        <v>52</v>
      </c>
      <c r="O104" s="26">
        <v>1062.0</v>
      </c>
      <c r="P104" s="25">
        <v>45891.0</v>
      </c>
      <c r="Q104" s="20" t="s">
        <v>88</v>
      </c>
      <c r="R104" s="22"/>
      <c r="S104" s="22"/>
      <c r="T104" s="22"/>
      <c r="U104" s="20" t="s">
        <v>215</v>
      </c>
      <c r="V104" s="26">
        <v>1062.0</v>
      </c>
      <c r="W104" s="22"/>
      <c r="X104" s="25">
        <v>45891.0</v>
      </c>
      <c r="Y104" s="20" t="s">
        <v>88</v>
      </c>
      <c r="Z104" s="22"/>
      <c r="AA104" s="22"/>
      <c r="AB104" s="22"/>
      <c r="AC104" s="22"/>
      <c r="AD104" s="22"/>
      <c r="AE104" s="22"/>
      <c r="AF104" s="22"/>
      <c r="AG104" s="22"/>
      <c r="AH104" s="22"/>
      <c r="AI104" s="20" t="s">
        <v>658</v>
      </c>
      <c r="AJ104" s="20"/>
      <c r="AK104" s="20"/>
      <c r="AL104" s="6" t="str">
        <f t="array" ref="AL104">IFERROR(IFS(XLOOKUP(B104, 'Kit Delivery Status'!$U:$U, 'Kit Delivery Status'!$K:$K) = "Complete", "DELIVERED", XLOOKUP(B104, 'Kit Delivery Status'!$U:$U, 'Kit Delivery Status'!$K:$K) = "Issue", "ISSUE"), "")</f>
        <v/>
      </c>
      <c r="AM104" s="6"/>
    </row>
    <row r="105">
      <c r="A105" s="5" t="str">
        <f t="shared" si="4"/>
        <v>https://utrucking.myshopify.com/admin/orders?query=14652</v>
      </c>
      <c r="B105" s="6" t="s">
        <v>659</v>
      </c>
      <c r="C105" s="6" t="s">
        <v>40</v>
      </c>
      <c r="D105" s="7">
        <v>5.402078205E9</v>
      </c>
      <c r="E105" s="6" t="s">
        <v>41</v>
      </c>
      <c r="F105" s="6"/>
      <c r="G105" s="1"/>
      <c r="H105" s="1"/>
      <c r="I105" s="1"/>
      <c r="J105" s="1"/>
      <c r="K105" s="6" t="s">
        <v>51</v>
      </c>
      <c r="L105" s="6"/>
      <c r="M105" s="1"/>
      <c r="N105" s="6" t="s">
        <v>52</v>
      </c>
      <c r="O105" s="8">
        <v>3301.0</v>
      </c>
      <c r="P105" s="9">
        <v>45877.0</v>
      </c>
      <c r="Q105" s="6" t="s">
        <v>44</v>
      </c>
      <c r="R105" s="1"/>
      <c r="S105" s="1"/>
      <c r="T105" s="1"/>
      <c r="U105" s="6" t="s">
        <v>116</v>
      </c>
      <c r="V105" s="8">
        <v>3301.0</v>
      </c>
      <c r="W105" s="1"/>
      <c r="X105" s="9">
        <v>45877.0</v>
      </c>
      <c r="Y105" s="6" t="s">
        <v>44</v>
      </c>
      <c r="Z105" s="1"/>
      <c r="AA105" s="1"/>
      <c r="AB105" s="1"/>
      <c r="AC105" s="1"/>
      <c r="AD105" s="1"/>
      <c r="AE105" s="1"/>
      <c r="AF105" s="1"/>
      <c r="AG105" s="1"/>
      <c r="AH105" s="1"/>
      <c r="AI105" s="6" t="s">
        <v>660</v>
      </c>
      <c r="AJ105" s="6"/>
      <c r="AK105" s="6"/>
      <c r="AL105" s="6" t="str">
        <f t="array" ref="AL105">IFERROR(IFS(XLOOKUP(B105, 'Kit Delivery Status'!$U:$U, 'Kit Delivery Status'!$K:$K) = "Complete", "DELIVERED", XLOOKUP(B105, 'Kit Delivery Status'!$U:$U, 'Kit Delivery Status'!$K:$K) = "Issue", "ISSUE"), "")</f>
        <v/>
      </c>
      <c r="AM105" s="6"/>
    </row>
    <row r="106">
      <c r="A106" s="5" t="str">
        <f t="shared" si="4"/>
        <v>https://utrucking.myshopify.com/admin/orders?query=14667</v>
      </c>
      <c r="B106" s="6" t="s">
        <v>661</v>
      </c>
      <c r="C106" s="6" t="s">
        <v>662</v>
      </c>
      <c r="D106" s="7">
        <v>3.146857851E9</v>
      </c>
      <c r="E106" s="6" t="s">
        <v>663</v>
      </c>
      <c r="F106" s="6"/>
      <c r="G106" s="1"/>
      <c r="H106" s="1"/>
      <c r="I106" s="1"/>
      <c r="J106" s="1"/>
      <c r="K106" s="6" t="s">
        <v>51</v>
      </c>
      <c r="L106" s="6"/>
      <c r="M106" s="1"/>
      <c r="N106" s="6" t="s">
        <v>52</v>
      </c>
      <c r="O106" s="8">
        <v>4104.0</v>
      </c>
      <c r="P106" s="9">
        <v>45889.0</v>
      </c>
      <c r="Q106" s="6" t="s">
        <v>96</v>
      </c>
      <c r="R106" s="1"/>
      <c r="S106" s="1"/>
      <c r="T106" s="1"/>
      <c r="U106" s="6" t="s">
        <v>551</v>
      </c>
      <c r="V106" s="8">
        <v>4104.0</v>
      </c>
      <c r="W106" s="1"/>
      <c r="X106" s="9">
        <v>45889.0</v>
      </c>
      <c r="Y106" s="6" t="s">
        <v>96</v>
      </c>
      <c r="Z106" s="1"/>
      <c r="AA106" s="1"/>
      <c r="AB106" s="1"/>
      <c r="AC106" s="1"/>
      <c r="AD106" s="1"/>
      <c r="AE106" s="1"/>
      <c r="AF106" s="1"/>
      <c r="AG106" s="1"/>
      <c r="AH106" s="1"/>
      <c r="AI106" s="6"/>
      <c r="AJ106" s="6"/>
      <c r="AK106" s="6"/>
      <c r="AL106" s="6" t="str">
        <f t="array" ref="AL106">IFERROR(IFS(XLOOKUP(B106, 'Kit Delivery Status'!$U:$U, 'Kit Delivery Status'!$K:$K) = "Complete", "DELIVERED", XLOOKUP(B106, 'Kit Delivery Status'!$U:$U, 'Kit Delivery Status'!$K:$K) = "Issue", "ISSUE"), "")</f>
        <v/>
      </c>
      <c r="AM106" s="6"/>
    </row>
    <row r="107">
      <c r="A107" s="5" t="str">
        <f t="shared" si="4"/>
        <v>https://utrucking.myshopify.com/admin/orders?query=14740</v>
      </c>
      <c r="B107" s="6" t="s">
        <v>664</v>
      </c>
      <c r="C107" s="6" t="s">
        <v>665</v>
      </c>
      <c r="D107" s="7">
        <v>4.806949495E9</v>
      </c>
      <c r="E107" s="6" t="s">
        <v>666</v>
      </c>
      <c r="F107" s="6"/>
      <c r="G107" s="1"/>
      <c r="H107" s="1"/>
      <c r="I107" s="1"/>
      <c r="J107" s="1"/>
      <c r="K107" s="6" t="s">
        <v>66</v>
      </c>
      <c r="L107" s="6" t="s">
        <v>648</v>
      </c>
      <c r="M107" s="1"/>
      <c r="N107" s="6" t="s">
        <v>52</v>
      </c>
      <c r="O107" s="8">
        <v>2044.0</v>
      </c>
      <c r="P107" s="9">
        <v>45891.0</v>
      </c>
      <c r="Q107" s="6" t="s">
        <v>54</v>
      </c>
      <c r="R107" s="1"/>
      <c r="S107" s="1"/>
      <c r="T107" s="1"/>
      <c r="U107" s="6" t="s">
        <v>620</v>
      </c>
      <c r="V107" s="8">
        <v>2044.0</v>
      </c>
      <c r="W107" s="1"/>
      <c r="X107" s="9">
        <v>45891.0</v>
      </c>
      <c r="Y107" s="6" t="s">
        <v>54</v>
      </c>
      <c r="Z107" s="1"/>
      <c r="AA107" s="1"/>
      <c r="AB107" s="1"/>
      <c r="AC107" s="1"/>
      <c r="AD107" s="1"/>
      <c r="AE107" s="1"/>
      <c r="AF107" s="1"/>
      <c r="AG107" s="1"/>
      <c r="AH107" s="1"/>
      <c r="AI107" s="6"/>
      <c r="AJ107" s="6"/>
      <c r="AK107" s="6"/>
      <c r="AL107" s="6" t="str">
        <f t="array" ref="AL107">IFERROR(IFS(XLOOKUP(B107, 'Kit Delivery Status'!$U:$U, 'Kit Delivery Status'!$K:$K) = "Complete", "DELIVERED", XLOOKUP(B107, 'Kit Delivery Status'!$U:$U, 'Kit Delivery Status'!$K:$K) = "Issue", "ISSUE"), "")</f>
        <v/>
      </c>
      <c r="AM107" s="6"/>
    </row>
    <row r="108">
      <c r="A108" s="5" t="str">
        <f t="shared" si="4"/>
        <v>https://utrucking.myshopify.com/admin/orders?query=14803</v>
      </c>
      <c r="B108" s="6" t="s">
        <v>667</v>
      </c>
      <c r="C108" s="6" t="s">
        <v>668</v>
      </c>
      <c r="D108" s="7">
        <v>9.179410655E9</v>
      </c>
      <c r="E108" s="6" t="s">
        <v>669</v>
      </c>
      <c r="F108" s="6"/>
      <c r="G108" s="1"/>
      <c r="H108" s="1"/>
      <c r="I108" s="1"/>
      <c r="J108" s="1"/>
      <c r="K108" s="6" t="s">
        <v>51</v>
      </c>
      <c r="L108" s="6"/>
      <c r="M108" s="1"/>
      <c r="N108" s="6" t="s">
        <v>52</v>
      </c>
      <c r="O108" s="8">
        <v>3061.0</v>
      </c>
      <c r="P108" s="9">
        <v>45877.0</v>
      </c>
      <c r="Q108" s="6" t="s">
        <v>125</v>
      </c>
      <c r="R108" s="1"/>
      <c r="S108" s="1"/>
      <c r="T108" s="1"/>
      <c r="U108" s="6" t="s">
        <v>215</v>
      </c>
      <c r="V108" s="8">
        <v>3061.0</v>
      </c>
      <c r="W108" s="1"/>
      <c r="X108" s="9">
        <v>45877.0</v>
      </c>
      <c r="Y108" s="6" t="s">
        <v>125</v>
      </c>
      <c r="Z108" s="1"/>
      <c r="AA108" s="1"/>
      <c r="AB108" s="1"/>
      <c r="AC108" s="1"/>
      <c r="AD108" s="1"/>
      <c r="AE108" s="1"/>
      <c r="AF108" s="1"/>
      <c r="AG108" s="1"/>
      <c r="AH108" s="1"/>
      <c r="AI108" s="6" t="s">
        <v>670</v>
      </c>
      <c r="AJ108" s="6"/>
      <c r="AK108" s="6"/>
      <c r="AL108" s="6" t="str">
        <f t="array" ref="AL108">IFERROR(IFS(XLOOKUP(B108, 'Kit Delivery Status'!$U:$U, 'Kit Delivery Status'!$K:$K) = "Complete", "DELIVERED", XLOOKUP(B108, 'Kit Delivery Status'!$U:$U, 'Kit Delivery Status'!$K:$K) = "Issue", "ISSUE"), "")</f>
        <v/>
      </c>
      <c r="AM108" s="6"/>
    </row>
    <row r="109">
      <c r="A109" s="5" t="str">
        <f t="shared" si="4"/>
        <v>https://utrucking.myshopify.com/admin/orders?query=14927</v>
      </c>
      <c r="B109" s="6" t="s">
        <v>671</v>
      </c>
      <c r="C109" s="6" t="s">
        <v>672</v>
      </c>
      <c r="D109" s="7">
        <v>8.596199247E9</v>
      </c>
      <c r="E109" s="6" t="s">
        <v>673</v>
      </c>
      <c r="F109" s="6"/>
      <c r="G109" s="1"/>
      <c r="H109" s="1"/>
      <c r="I109" s="1"/>
      <c r="J109" s="1"/>
      <c r="K109" s="6" t="s">
        <v>66</v>
      </c>
      <c r="L109" s="6" t="s">
        <v>648</v>
      </c>
      <c r="M109" s="1"/>
      <c r="N109" s="6" t="s">
        <v>52</v>
      </c>
      <c r="O109" s="8">
        <v>143.0</v>
      </c>
      <c r="P109" s="9">
        <v>45883.0</v>
      </c>
      <c r="Q109" s="6" t="s">
        <v>674</v>
      </c>
      <c r="R109" s="1"/>
      <c r="S109" s="1"/>
      <c r="T109" s="1"/>
      <c r="U109" s="6" t="s">
        <v>675</v>
      </c>
      <c r="V109" s="8">
        <v>143.0</v>
      </c>
      <c r="W109" s="1"/>
      <c r="X109" s="9">
        <v>45883.0</v>
      </c>
      <c r="Y109" s="6" t="s">
        <v>674</v>
      </c>
      <c r="Z109" s="1"/>
      <c r="AA109" s="1"/>
      <c r="AB109" s="1"/>
      <c r="AC109" s="1"/>
      <c r="AD109" s="1"/>
      <c r="AE109" s="1"/>
      <c r="AF109" s="1"/>
      <c r="AG109" s="1"/>
      <c r="AH109" s="1"/>
      <c r="AI109" s="6"/>
      <c r="AJ109" s="6"/>
      <c r="AK109" s="6"/>
      <c r="AL109" s="6" t="str">
        <f t="array" ref="AL109">IFERROR(IFS(XLOOKUP(B109, 'Kit Delivery Status'!$U:$U, 'Kit Delivery Status'!$K:$K) = "Complete", "DELIVERED", XLOOKUP(B109, 'Kit Delivery Status'!$U:$U, 'Kit Delivery Status'!$K:$K) = "Issue", "ISSUE"), "")</f>
        <v/>
      </c>
      <c r="AM109" s="6"/>
    </row>
    <row r="110">
      <c r="A110" s="5" t="str">
        <f t="shared" si="4"/>
        <v>https://utrucking.myshopify.com/admin/orders?query=14938</v>
      </c>
      <c r="B110" s="6" t="s">
        <v>676</v>
      </c>
      <c r="C110" s="6" t="s">
        <v>677</v>
      </c>
      <c r="D110" s="7">
        <v>3.01529447E9</v>
      </c>
      <c r="E110" s="6" t="s">
        <v>678</v>
      </c>
      <c r="F110" s="6"/>
      <c r="G110" s="1"/>
      <c r="H110" s="1"/>
      <c r="I110" s="1"/>
      <c r="J110" s="1"/>
      <c r="K110" s="6" t="s">
        <v>66</v>
      </c>
      <c r="L110" s="6" t="s">
        <v>648</v>
      </c>
      <c r="M110" s="1"/>
      <c r="N110" s="6" t="s">
        <v>52</v>
      </c>
      <c r="O110" s="11" t="s">
        <v>679</v>
      </c>
      <c r="P110" s="9">
        <v>45891.0</v>
      </c>
      <c r="Q110" s="6" t="s">
        <v>54</v>
      </c>
      <c r="R110" s="1"/>
      <c r="S110" s="1"/>
      <c r="T110" s="1"/>
      <c r="U110" s="6" t="s">
        <v>680</v>
      </c>
      <c r="V110" s="11" t="s">
        <v>679</v>
      </c>
      <c r="W110" s="1"/>
      <c r="X110" s="9">
        <v>45891.0</v>
      </c>
      <c r="Y110" s="6" t="s">
        <v>54</v>
      </c>
      <c r="Z110" s="1"/>
      <c r="AA110" s="1"/>
      <c r="AB110" s="1"/>
      <c r="AC110" s="1"/>
      <c r="AD110" s="1"/>
      <c r="AE110" s="1"/>
      <c r="AF110" s="1"/>
      <c r="AG110" s="1"/>
      <c r="AH110" s="1"/>
      <c r="AI110" s="6"/>
      <c r="AJ110" s="6"/>
      <c r="AK110" s="6"/>
      <c r="AL110" s="6" t="str">
        <f t="array" ref="AL110">IFERROR(IFS(XLOOKUP(B110, 'Kit Delivery Status'!$U:$U, 'Kit Delivery Status'!$K:$K) = "Complete", "DELIVERED", XLOOKUP(B110, 'Kit Delivery Status'!$U:$U, 'Kit Delivery Status'!$K:$K) = "Issue", "ISSUE"), "")</f>
        <v/>
      </c>
      <c r="AM110" s="6"/>
    </row>
    <row r="111">
      <c r="A111" s="5" t="str">
        <f t="shared" si="4"/>
        <v>https://utrucking.myshopify.com/admin/orders?query=14958</v>
      </c>
      <c r="B111" s="6" t="s">
        <v>681</v>
      </c>
      <c r="C111" s="6" t="s">
        <v>682</v>
      </c>
      <c r="D111" s="10" t="s">
        <v>683</v>
      </c>
      <c r="E111" s="6" t="s">
        <v>684</v>
      </c>
      <c r="F111" s="6"/>
      <c r="G111" s="1"/>
      <c r="H111" s="1"/>
      <c r="I111" s="1"/>
      <c r="J111" s="1"/>
      <c r="K111" s="6" t="s">
        <v>51</v>
      </c>
      <c r="L111" s="6"/>
      <c r="M111" s="1"/>
      <c r="N111" s="6" t="s">
        <v>124</v>
      </c>
      <c r="O111" s="8">
        <v>202.0</v>
      </c>
      <c r="P111" s="9">
        <v>45891.0</v>
      </c>
      <c r="Q111" s="6" t="s">
        <v>88</v>
      </c>
      <c r="R111" s="1"/>
      <c r="S111" s="1"/>
      <c r="T111" s="1"/>
      <c r="U111" s="6" t="s">
        <v>55</v>
      </c>
      <c r="V111" s="8">
        <v>202.0</v>
      </c>
      <c r="W111" s="1"/>
      <c r="X111" s="9">
        <v>45891.0</v>
      </c>
      <c r="Y111" s="6" t="s">
        <v>88</v>
      </c>
      <c r="Z111" s="1"/>
      <c r="AA111" s="1"/>
      <c r="AB111" s="1"/>
      <c r="AC111" s="1"/>
      <c r="AD111" s="1"/>
      <c r="AE111" s="1"/>
      <c r="AF111" s="1"/>
      <c r="AG111" s="1"/>
      <c r="AH111" s="1"/>
      <c r="AI111" s="6"/>
      <c r="AJ111" s="6"/>
      <c r="AK111" s="6"/>
      <c r="AL111" s="6" t="str">
        <f t="array" ref="AL111">IFERROR(IFS(XLOOKUP(B111, 'Kit Delivery Status'!$U:$U, 'Kit Delivery Status'!$K:$K) = "Complete", "DELIVERED", XLOOKUP(B111, 'Kit Delivery Status'!$U:$U, 'Kit Delivery Status'!$K:$K) = "Issue", "ISSUE"), "")</f>
        <v/>
      </c>
      <c r="AM111" s="6"/>
    </row>
    <row r="112">
      <c r="A112" s="5" t="str">
        <f t="shared" si="4"/>
        <v>https://utrucking.myshopify.com/admin/orders?query=14960</v>
      </c>
      <c r="B112" s="6" t="s">
        <v>685</v>
      </c>
      <c r="C112" s="6" t="s">
        <v>48</v>
      </c>
      <c r="D112" s="10" t="s">
        <v>686</v>
      </c>
      <c r="E112" s="6" t="s">
        <v>50</v>
      </c>
      <c r="F112" s="6"/>
      <c r="G112" s="1"/>
      <c r="H112" s="1"/>
      <c r="I112" s="1"/>
      <c r="J112" s="1"/>
      <c r="K112" s="6" t="s">
        <v>51</v>
      </c>
      <c r="L112" s="6"/>
      <c r="M112" s="1"/>
      <c r="N112" s="6" t="s">
        <v>52</v>
      </c>
      <c r="O112" s="11" t="s">
        <v>53</v>
      </c>
      <c r="P112" s="9">
        <v>45887.0</v>
      </c>
      <c r="Q112" s="6" t="s">
        <v>54</v>
      </c>
      <c r="R112" s="1"/>
      <c r="S112" s="1"/>
      <c r="T112" s="1"/>
      <c r="U112" s="6" t="s">
        <v>55</v>
      </c>
      <c r="V112" s="11" t="s">
        <v>53</v>
      </c>
      <c r="W112" s="1"/>
      <c r="X112" s="9">
        <v>45887.0</v>
      </c>
      <c r="Y112" s="6" t="s">
        <v>54</v>
      </c>
      <c r="Z112" s="1"/>
      <c r="AA112" s="1"/>
      <c r="AB112" s="1"/>
      <c r="AC112" s="1"/>
      <c r="AD112" s="1"/>
      <c r="AE112" s="1"/>
      <c r="AF112" s="1"/>
      <c r="AG112" s="1"/>
      <c r="AH112" s="1"/>
      <c r="AI112" s="6"/>
      <c r="AJ112" s="6"/>
      <c r="AK112" s="6"/>
      <c r="AL112" s="6" t="str">
        <f t="array" ref="AL112">IFERROR(IFS(XLOOKUP(B112, 'Kit Delivery Status'!$U:$U, 'Kit Delivery Status'!$K:$K) = "Complete", "DELIVERED", XLOOKUP(B112, 'Kit Delivery Status'!$U:$U, 'Kit Delivery Status'!$K:$K) = "Issue", "ISSUE"), "")</f>
        <v/>
      </c>
      <c r="AM112" s="6"/>
    </row>
    <row r="113">
      <c r="A113" s="5" t="str">
        <f t="shared" si="4"/>
        <v>https://utrucking.myshopify.com/admin/orders?query=14978</v>
      </c>
      <c r="B113" s="20" t="s">
        <v>687</v>
      </c>
      <c r="C113" s="20" t="s">
        <v>688</v>
      </c>
      <c r="D113" s="21">
        <v>5.155877424E9</v>
      </c>
      <c r="E113" s="20" t="s">
        <v>689</v>
      </c>
      <c r="F113" s="20"/>
      <c r="G113" s="22"/>
      <c r="H113" s="22"/>
      <c r="I113" s="22"/>
      <c r="J113" s="22"/>
      <c r="K113" s="20" t="s">
        <v>66</v>
      </c>
      <c r="L113" s="20" t="s">
        <v>644</v>
      </c>
      <c r="M113" s="22"/>
      <c r="N113" s="20" t="s">
        <v>52</v>
      </c>
      <c r="O113" s="23" t="s">
        <v>690</v>
      </c>
      <c r="P113" s="25">
        <v>45891.0</v>
      </c>
      <c r="Q113" s="20" t="s">
        <v>125</v>
      </c>
      <c r="R113" s="22"/>
      <c r="S113" s="22"/>
      <c r="T113" s="22"/>
      <c r="U113" s="20" t="s">
        <v>222</v>
      </c>
      <c r="V113" s="23" t="s">
        <v>690</v>
      </c>
      <c r="W113" s="22"/>
      <c r="X113" s="25">
        <v>45891.0</v>
      </c>
      <c r="Y113" s="20" t="s">
        <v>125</v>
      </c>
      <c r="Z113" s="22"/>
      <c r="AA113" s="22"/>
      <c r="AB113" s="22"/>
      <c r="AC113" s="22"/>
      <c r="AD113" s="22"/>
      <c r="AE113" s="22"/>
      <c r="AF113" s="22"/>
      <c r="AG113" s="22"/>
      <c r="AH113" s="22"/>
      <c r="AI113" s="20"/>
      <c r="AJ113" s="20"/>
      <c r="AK113" s="20"/>
      <c r="AL113" s="6" t="str">
        <f t="array" ref="AL113">IFERROR(IFS(XLOOKUP(B113, 'Kit Delivery Status'!$U:$U, 'Kit Delivery Status'!$K:$K) = "Complete", "DELIVERED", XLOOKUP(B113, 'Kit Delivery Status'!$U:$U, 'Kit Delivery Status'!$K:$K) = "Issue", "ISSUE"), "")</f>
        <v/>
      </c>
      <c r="AM113" s="6"/>
    </row>
    <row r="114">
      <c r="A114" s="5" t="s">
        <v>691</v>
      </c>
      <c r="B114" s="12" t="s">
        <v>692</v>
      </c>
      <c r="C114" s="12" t="s">
        <v>693</v>
      </c>
      <c r="D114" s="13" t="s">
        <v>694</v>
      </c>
      <c r="E114" s="12" t="s">
        <v>695</v>
      </c>
      <c r="F114" s="6"/>
      <c r="G114" s="1"/>
      <c r="H114" s="1"/>
      <c r="I114" s="1"/>
      <c r="J114" s="1"/>
      <c r="K114" s="12" t="s">
        <v>75</v>
      </c>
      <c r="L114" s="12" t="s">
        <v>76</v>
      </c>
      <c r="M114" s="1"/>
      <c r="N114" s="12" t="s">
        <v>52</v>
      </c>
      <c r="O114" s="17" t="s">
        <v>696</v>
      </c>
      <c r="P114" s="15">
        <v>45883.0</v>
      </c>
      <c r="Q114" s="6" t="s">
        <v>54</v>
      </c>
      <c r="R114" s="1"/>
      <c r="S114" s="1" t="s">
        <v>52</v>
      </c>
      <c r="T114" s="1" t="s">
        <v>52</v>
      </c>
      <c r="U114" s="12" t="s">
        <v>68</v>
      </c>
      <c r="V114" s="17" t="s">
        <v>696</v>
      </c>
      <c r="W114" s="1"/>
      <c r="X114" s="15">
        <v>45883.0</v>
      </c>
      <c r="Y114" s="6" t="s">
        <v>54</v>
      </c>
      <c r="Z114" s="1"/>
      <c r="AA114" s="1"/>
      <c r="AB114" s="1"/>
      <c r="AC114" s="1"/>
      <c r="AD114" s="1"/>
      <c r="AE114" s="1"/>
      <c r="AF114" s="1"/>
      <c r="AG114" s="1"/>
      <c r="AH114" s="1"/>
      <c r="AI114" s="6"/>
      <c r="AJ114" s="6"/>
      <c r="AK114" s="6"/>
      <c r="AL114" s="6" t="str">
        <f t="array" ref="AL114">IFERROR(IFS(XLOOKUP(B114, 'Kit Delivery Status'!$U:$U, 'Kit Delivery Status'!$K:$K) = "Complete", "DELIVERED", XLOOKUP(B114, 'Kit Delivery Status'!$U:$U, 'Kit Delivery Status'!$K:$K) = "Issue", "ISSUE"), "")</f>
        <v/>
      </c>
      <c r="AM114" s="6"/>
    </row>
    <row r="115">
      <c r="A115" s="5" t="str">
        <f t="shared" ref="A115:A126" si="5">HYPERLINK("https://utrucking.myshopify.com/admin/orders?query="&amp;RIGHT(B115,LEN(B115)-1))</f>
        <v>https://utrucking.myshopify.com/admin/orders?query=14994</v>
      </c>
      <c r="B115" s="6" t="s">
        <v>181</v>
      </c>
      <c r="C115" s="6" t="s">
        <v>182</v>
      </c>
      <c r="D115" s="7">
        <v>6.788306322E9</v>
      </c>
      <c r="E115" s="6" t="s">
        <v>697</v>
      </c>
      <c r="F115" s="6"/>
      <c r="G115" s="1"/>
      <c r="H115" s="1"/>
      <c r="I115" s="1"/>
      <c r="J115" s="1"/>
      <c r="K115" s="6" t="s">
        <v>66</v>
      </c>
      <c r="L115" s="6" t="s">
        <v>652</v>
      </c>
      <c r="M115" s="1"/>
      <c r="N115" s="6" t="s">
        <v>52</v>
      </c>
      <c r="O115" s="11" t="s">
        <v>187</v>
      </c>
      <c r="P115" s="9">
        <v>45870.0</v>
      </c>
      <c r="Q115" s="6" t="s">
        <v>54</v>
      </c>
      <c r="R115" s="1"/>
      <c r="S115" s="1"/>
      <c r="T115" s="1"/>
      <c r="U115" s="6" t="s">
        <v>186</v>
      </c>
      <c r="V115" s="11" t="s">
        <v>187</v>
      </c>
      <c r="W115" s="1"/>
      <c r="X115" s="9">
        <v>45870.0</v>
      </c>
      <c r="Y115" s="6" t="s">
        <v>54</v>
      </c>
      <c r="Z115" s="1"/>
      <c r="AA115" s="1"/>
      <c r="AB115" s="1"/>
      <c r="AC115" s="1"/>
      <c r="AD115" s="1"/>
      <c r="AE115" s="1"/>
      <c r="AF115" s="1"/>
      <c r="AG115" s="1"/>
      <c r="AH115" s="1"/>
      <c r="AI115" s="6" t="s">
        <v>698</v>
      </c>
      <c r="AJ115" s="6"/>
      <c r="AK115" s="6"/>
      <c r="AL115" s="6" t="str">
        <f t="array" ref="AL115">IFERROR(IFS(XLOOKUP(B115, 'Kit Delivery Status'!$U:$U, 'Kit Delivery Status'!$K:$K) = "Complete", "DELIVERED", XLOOKUP(B115, 'Kit Delivery Status'!$U:$U, 'Kit Delivery Status'!$K:$K) = "Issue", "ISSUE"), "")</f>
        <v/>
      </c>
      <c r="AM115" s="6"/>
    </row>
    <row r="116">
      <c r="A116" s="5" t="str">
        <f t="shared" si="5"/>
        <v>https://utrucking.myshopify.com/admin/orders?query=14999</v>
      </c>
      <c r="B116" s="6" t="s">
        <v>699</v>
      </c>
      <c r="C116" s="6" t="s">
        <v>72</v>
      </c>
      <c r="D116" s="7">
        <v>9.146464187E9</v>
      </c>
      <c r="E116" s="6" t="s">
        <v>74</v>
      </c>
      <c r="F116" s="6"/>
      <c r="G116" s="1"/>
      <c r="H116" s="1"/>
      <c r="I116" s="1"/>
      <c r="J116" s="1"/>
      <c r="K116" s="6" t="s">
        <v>66</v>
      </c>
      <c r="L116" s="6" t="s">
        <v>648</v>
      </c>
      <c r="M116" s="1"/>
      <c r="N116" s="6" t="s">
        <v>52</v>
      </c>
      <c r="O116" s="11" t="s">
        <v>258</v>
      </c>
      <c r="P116" s="9">
        <v>45883.0</v>
      </c>
      <c r="Q116" s="6" t="s">
        <v>54</v>
      </c>
      <c r="R116" s="1"/>
      <c r="S116" s="1"/>
      <c r="T116" s="1"/>
      <c r="U116" s="6" t="s">
        <v>102</v>
      </c>
      <c r="V116" s="11" t="s">
        <v>258</v>
      </c>
      <c r="W116" s="1"/>
      <c r="X116" s="9">
        <v>45883.0</v>
      </c>
      <c r="Y116" s="6" t="s">
        <v>54</v>
      </c>
      <c r="Z116" s="1"/>
      <c r="AA116" s="1"/>
      <c r="AB116" s="1"/>
      <c r="AC116" s="1"/>
      <c r="AD116" s="1"/>
      <c r="AE116" s="1"/>
      <c r="AF116" s="1"/>
      <c r="AG116" s="1"/>
      <c r="AH116" s="1"/>
      <c r="AI116" s="6"/>
      <c r="AJ116" s="6"/>
      <c r="AK116" s="6"/>
      <c r="AL116" s="6" t="str">
        <f t="array" ref="AL116">IFERROR(IFS(XLOOKUP(B116, 'Kit Delivery Status'!$U:$U, 'Kit Delivery Status'!$K:$K) = "Complete", "DELIVERED", XLOOKUP(B116, 'Kit Delivery Status'!$U:$U, 'Kit Delivery Status'!$K:$K) = "Issue", "ISSUE"), "")</f>
        <v/>
      </c>
      <c r="AM116" s="6"/>
    </row>
    <row r="117">
      <c r="A117" s="5" t="str">
        <f t="shared" si="5"/>
        <v>https://utrucking.myshopify.com/admin/orders?query=15009</v>
      </c>
      <c r="B117" s="6" t="s">
        <v>700</v>
      </c>
      <c r="C117" s="6" t="s">
        <v>701</v>
      </c>
      <c r="D117" s="7">
        <v>3.144189591E9</v>
      </c>
      <c r="E117" s="6" t="s">
        <v>702</v>
      </c>
      <c r="F117" s="6"/>
      <c r="G117" s="1"/>
      <c r="H117" s="1"/>
      <c r="I117" s="1"/>
      <c r="J117" s="1"/>
      <c r="K117" s="6" t="s">
        <v>51</v>
      </c>
      <c r="L117" s="6"/>
      <c r="M117" s="1"/>
      <c r="N117" s="6" t="s">
        <v>52</v>
      </c>
      <c r="O117" s="8">
        <v>4181.0</v>
      </c>
      <c r="P117" s="9">
        <v>45889.0</v>
      </c>
      <c r="Q117" s="6" t="s">
        <v>88</v>
      </c>
      <c r="R117" s="1"/>
      <c r="S117" s="1"/>
      <c r="T117" s="1"/>
      <c r="U117" s="6" t="s">
        <v>551</v>
      </c>
      <c r="V117" s="8">
        <v>4181.0</v>
      </c>
      <c r="W117" s="1"/>
      <c r="X117" s="9">
        <v>45889.0</v>
      </c>
      <c r="Y117" s="6" t="s">
        <v>88</v>
      </c>
      <c r="Z117" s="1"/>
      <c r="AA117" s="1"/>
      <c r="AB117" s="1"/>
      <c r="AC117" s="1"/>
      <c r="AD117" s="1"/>
      <c r="AE117" s="1"/>
      <c r="AF117" s="1"/>
      <c r="AG117" s="1"/>
      <c r="AH117" s="1"/>
      <c r="AI117" s="6" t="s">
        <v>703</v>
      </c>
      <c r="AJ117" s="6"/>
      <c r="AK117" s="6"/>
      <c r="AL117" s="6" t="str">
        <f t="array" ref="AL117">IFERROR(IFS(XLOOKUP(B117, 'Kit Delivery Status'!$U:$U, 'Kit Delivery Status'!$K:$K) = "Complete", "DELIVERED", XLOOKUP(B117, 'Kit Delivery Status'!$U:$U, 'Kit Delivery Status'!$K:$K) = "Issue", "ISSUE"), "")</f>
        <v/>
      </c>
      <c r="AM117" s="6"/>
    </row>
    <row r="118">
      <c r="A118" s="5" t="str">
        <f t="shared" si="5"/>
        <v>https://utrucking.myshopify.com/admin/orders?query=15016</v>
      </c>
      <c r="B118" s="6" t="s">
        <v>704</v>
      </c>
      <c r="C118" s="6" t="s">
        <v>705</v>
      </c>
      <c r="D118" s="10" t="s">
        <v>706</v>
      </c>
      <c r="E118" s="6" t="s">
        <v>707</v>
      </c>
      <c r="F118" s="6" t="s">
        <v>708</v>
      </c>
      <c r="G118" s="1"/>
      <c r="H118" s="1"/>
      <c r="I118" s="1"/>
      <c r="J118" s="1"/>
      <c r="K118" s="6" t="s">
        <v>51</v>
      </c>
      <c r="L118" s="6"/>
      <c r="M118" s="1"/>
      <c r="N118" s="6" t="s">
        <v>124</v>
      </c>
      <c r="O118" s="11"/>
      <c r="P118" s="9">
        <v>45889.0</v>
      </c>
      <c r="Q118" s="6" t="s">
        <v>60</v>
      </c>
      <c r="R118" s="1"/>
      <c r="S118" s="1"/>
      <c r="T118" s="1"/>
      <c r="U118" s="6"/>
      <c r="V118" s="11"/>
      <c r="W118" s="1"/>
      <c r="X118" s="9">
        <v>45889.0</v>
      </c>
      <c r="Y118" s="6" t="s">
        <v>60</v>
      </c>
      <c r="Z118" s="1"/>
      <c r="AA118" s="1"/>
      <c r="AB118" s="1"/>
      <c r="AC118" s="1"/>
      <c r="AD118" s="1"/>
      <c r="AE118" s="1"/>
      <c r="AF118" s="1"/>
      <c r="AG118" s="1"/>
      <c r="AH118" s="1"/>
      <c r="AI118" s="6" t="s">
        <v>709</v>
      </c>
      <c r="AJ118" s="6"/>
      <c r="AK118" s="6"/>
      <c r="AL118" s="6" t="str">
        <f t="array" ref="AL118">IFERROR(IFS(XLOOKUP(B118, 'Kit Delivery Status'!$U:$U, 'Kit Delivery Status'!$K:$K) = "Complete", "DELIVERED", XLOOKUP(B118, 'Kit Delivery Status'!$U:$U, 'Kit Delivery Status'!$K:$K) = "Issue", "ISSUE"), "")</f>
        <v/>
      </c>
      <c r="AM118" s="6"/>
    </row>
    <row r="119">
      <c r="A119" s="5" t="str">
        <f t="shared" si="5"/>
        <v>https://utrucking.myshopify.com/admin/orders?query=15023</v>
      </c>
      <c r="B119" s="6" t="s">
        <v>710</v>
      </c>
      <c r="C119" s="6" t="s">
        <v>711</v>
      </c>
      <c r="D119" s="7">
        <v>4.439707907E9</v>
      </c>
      <c r="E119" s="6" t="s">
        <v>712</v>
      </c>
      <c r="F119" s="6"/>
      <c r="G119" s="1"/>
      <c r="H119" s="1"/>
      <c r="I119" s="1"/>
      <c r="J119" s="1"/>
      <c r="K119" s="6" t="s">
        <v>66</v>
      </c>
      <c r="L119" s="6" t="s">
        <v>648</v>
      </c>
      <c r="M119" s="1"/>
      <c r="N119" s="6" t="s">
        <v>52</v>
      </c>
      <c r="O119" s="8">
        <v>3092.0</v>
      </c>
      <c r="P119" s="9">
        <v>45889.0</v>
      </c>
      <c r="Q119" s="6" t="s">
        <v>239</v>
      </c>
      <c r="R119" s="1"/>
      <c r="S119" s="1"/>
      <c r="T119" s="1"/>
      <c r="U119" s="6" t="s">
        <v>680</v>
      </c>
      <c r="V119" s="8">
        <v>3092.0</v>
      </c>
      <c r="W119" s="1"/>
      <c r="X119" s="9">
        <v>45889.0</v>
      </c>
      <c r="Y119" s="6" t="s">
        <v>239</v>
      </c>
      <c r="Z119" s="1"/>
      <c r="AA119" s="1"/>
      <c r="AB119" s="1"/>
      <c r="AC119" s="1"/>
      <c r="AD119" s="1"/>
      <c r="AE119" s="1"/>
      <c r="AF119" s="1"/>
      <c r="AG119" s="1"/>
      <c r="AH119" s="1"/>
      <c r="AI119" s="6"/>
      <c r="AJ119" s="6"/>
      <c r="AK119" s="6"/>
      <c r="AL119" s="6" t="str">
        <f t="array" ref="AL119">IFERROR(IFS(XLOOKUP(B119, 'Kit Delivery Status'!$U:$U, 'Kit Delivery Status'!$K:$K) = "Complete", "DELIVERED", XLOOKUP(B119, 'Kit Delivery Status'!$U:$U, 'Kit Delivery Status'!$K:$K) = "Issue", "ISSUE"), "")</f>
        <v/>
      </c>
      <c r="AM119" s="6"/>
    </row>
    <row r="120">
      <c r="A120" s="5" t="str">
        <f t="shared" si="5"/>
        <v>https://utrucking.myshopify.com/admin/orders?query=15025</v>
      </c>
      <c r="B120" s="20" t="s">
        <v>713</v>
      </c>
      <c r="C120" s="20" t="s">
        <v>714</v>
      </c>
      <c r="D120" s="21">
        <v>5.618152648E9</v>
      </c>
      <c r="E120" s="20" t="s">
        <v>715</v>
      </c>
      <c r="F120" s="20"/>
      <c r="G120" s="22"/>
      <c r="H120" s="22"/>
      <c r="I120" s="22"/>
      <c r="J120" s="22"/>
      <c r="K120" s="20" t="s">
        <v>66</v>
      </c>
      <c r="L120" s="20" t="s">
        <v>640</v>
      </c>
      <c r="M120" s="22"/>
      <c r="N120" s="20" t="s">
        <v>52</v>
      </c>
      <c r="O120" s="23" t="s">
        <v>716</v>
      </c>
      <c r="P120" s="25">
        <v>45889.0</v>
      </c>
      <c r="Q120" s="20" t="s">
        <v>160</v>
      </c>
      <c r="R120" s="22"/>
      <c r="S120" s="22"/>
      <c r="T120" s="22"/>
      <c r="U120" s="20" t="s">
        <v>551</v>
      </c>
      <c r="V120" s="23" t="s">
        <v>716</v>
      </c>
      <c r="W120" s="22"/>
      <c r="X120" s="25">
        <v>45889.0</v>
      </c>
      <c r="Y120" s="20" t="s">
        <v>160</v>
      </c>
      <c r="Z120" s="22"/>
      <c r="AA120" s="22"/>
      <c r="AB120" s="22"/>
      <c r="AC120" s="22"/>
      <c r="AD120" s="22"/>
      <c r="AE120" s="22"/>
      <c r="AF120" s="22"/>
      <c r="AG120" s="22"/>
      <c r="AH120" s="22"/>
      <c r="AI120" s="20"/>
      <c r="AJ120" s="20"/>
      <c r="AK120" s="20"/>
      <c r="AL120" s="6" t="str">
        <f t="array" ref="AL120">IFERROR(IFS(XLOOKUP(B120, 'Kit Delivery Status'!$U:$U, 'Kit Delivery Status'!$K:$K) = "Complete", "DELIVERED", XLOOKUP(B120, 'Kit Delivery Status'!$U:$U, 'Kit Delivery Status'!$K:$K) = "Issue", "ISSUE"), "")</f>
        <v/>
      </c>
      <c r="AM120" s="6"/>
    </row>
    <row r="121">
      <c r="A121" s="5" t="str">
        <f t="shared" si="5"/>
        <v>https://utrucking.myshopify.com/admin/orders?query=15030</v>
      </c>
      <c r="B121" s="6" t="s">
        <v>717</v>
      </c>
      <c r="C121" s="6" t="s">
        <v>718</v>
      </c>
      <c r="D121" s="7">
        <v>4.694510901E9</v>
      </c>
      <c r="E121" s="6" t="s">
        <v>719</v>
      </c>
      <c r="F121" s="6"/>
      <c r="G121" s="1"/>
      <c r="H121" s="1"/>
      <c r="I121" s="1"/>
      <c r="J121" s="1"/>
      <c r="K121" s="6" t="s">
        <v>66</v>
      </c>
      <c r="L121" s="6" t="s">
        <v>720</v>
      </c>
      <c r="M121" s="1"/>
      <c r="N121" s="6" t="s">
        <v>52</v>
      </c>
      <c r="O121" s="11" t="s">
        <v>721</v>
      </c>
      <c r="P121" s="9">
        <v>45878.0</v>
      </c>
      <c r="Q121" s="6" t="s">
        <v>54</v>
      </c>
      <c r="R121" s="1"/>
      <c r="S121" s="1"/>
      <c r="T121" s="1"/>
      <c r="U121" s="6" t="s">
        <v>639</v>
      </c>
      <c r="V121" s="11" t="s">
        <v>721</v>
      </c>
      <c r="W121" s="1"/>
      <c r="X121" s="9">
        <v>45878.0</v>
      </c>
      <c r="Y121" s="6" t="s">
        <v>54</v>
      </c>
      <c r="Z121" s="1"/>
      <c r="AA121" s="1"/>
      <c r="AB121" s="1"/>
      <c r="AC121" s="1"/>
      <c r="AD121" s="1"/>
      <c r="AE121" s="1"/>
      <c r="AF121" s="1"/>
      <c r="AG121" s="1"/>
      <c r="AH121" s="1"/>
      <c r="AI121" s="6"/>
      <c r="AJ121" s="6"/>
      <c r="AK121" s="6"/>
      <c r="AL121" s="6" t="str">
        <f t="array" ref="AL121">IFERROR(IFS(XLOOKUP(B121, 'Kit Delivery Status'!$U:$U, 'Kit Delivery Status'!$K:$K) = "Complete", "DELIVERED", XLOOKUP(B121, 'Kit Delivery Status'!$U:$U, 'Kit Delivery Status'!$K:$K) = "Issue", "ISSUE"), "")</f>
        <v/>
      </c>
      <c r="AM121" s="6"/>
    </row>
    <row r="122">
      <c r="A122" s="5" t="str">
        <f t="shared" si="5"/>
        <v>https://utrucking.myshopify.com/admin/orders?query=15037</v>
      </c>
      <c r="B122" s="6" t="s">
        <v>722</v>
      </c>
      <c r="C122" s="6" t="s">
        <v>409</v>
      </c>
      <c r="D122" s="7">
        <v>2.019838725E9</v>
      </c>
      <c r="E122" s="6" t="s">
        <v>411</v>
      </c>
      <c r="F122" s="6"/>
      <c r="G122" s="1"/>
      <c r="H122" s="1"/>
      <c r="I122" s="1"/>
      <c r="J122" s="1"/>
      <c r="K122" s="6" t="s">
        <v>66</v>
      </c>
      <c r="L122" s="6" t="s">
        <v>652</v>
      </c>
      <c r="M122" s="1"/>
      <c r="N122" s="6"/>
      <c r="O122" s="11"/>
      <c r="P122" s="9">
        <v>45883.0</v>
      </c>
      <c r="Q122" s="6"/>
      <c r="R122" s="1"/>
      <c r="S122" s="1"/>
      <c r="T122" s="1"/>
      <c r="U122" s="6"/>
      <c r="V122" s="11"/>
      <c r="W122" s="1"/>
      <c r="X122" s="9">
        <v>45883.0</v>
      </c>
      <c r="Y122" s="6"/>
      <c r="Z122" s="1"/>
      <c r="AA122" s="1"/>
      <c r="AB122" s="1"/>
      <c r="AC122" s="1"/>
      <c r="AD122" s="1"/>
      <c r="AE122" s="1"/>
      <c r="AF122" s="1"/>
      <c r="AG122" s="1"/>
      <c r="AH122" s="1"/>
      <c r="AI122" s="6" t="s">
        <v>723</v>
      </c>
      <c r="AJ122" s="6"/>
      <c r="AK122" s="6"/>
      <c r="AL122" s="6" t="str">
        <f t="array" ref="AL122">IFERROR(IFS(XLOOKUP(B122, 'Kit Delivery Status'!$U:$U, 'Kit Delivery Status'!$K:$K) = "Complete", "DELIVERED", XLOOKUP(B122, 'Kit Delivery Status'!$U:$U, 'Kit Delivery Status'!$K:$K) = "Issue", "ISSUE"), "")</f>
        <v/>
      </c>
      <c r="AM122" s="6"/>
    </row>
    <row r="123">
      <c r="A123" s="5" t="str">
        <f t="shared" si="5"/>
        <v>https://utrucking.myshopify.com/admin/orders?query=15041</v>
      </c>
      <c r="B123" s="20" t="s">
        <v>724</v>
      </c>
      <c r="C123" s="20" t="s">
        <v>725</v>
      </c>
      <c r="D123" s="21">
        <v>6.077937487E9</v>
      </c>
      <c r="E123" s="20" t="s">
        <v>726</v>
      </c>
      <c r="F123" s="20"/>
      <c r="G123" s="22"/>
      <c r="H123" s="22"/>
      <c r="I123" s="22"/>
      <c r="J123" s="22"/>
      <c r="K123" s="20" t="s">
        <v>66</v>
      </c>
      <c r="L123" s="20" t="s">
        <v>727</v>
      </c>
      <c r="M123" s="22"/>
      <c r="N123" s="20" t="s">
        <v>52</v>
      </c>
      <c r="O123" s="27" t="s">
        <v>384</v>
      </c>
      <c r="P123" s="25">
        <v>45883.0</v>
      </c>
      <c r="Q123" s="20" t="s">
        <v>728</v>
      </c>
      <c r="R123" s="22"/>
      <c r="S123" s="22"/>
      <c r="T123" s="22"/>
      <c r="U123" s="28" t="s">
        <v>78</v>
      </c>
      <c r="V123" s="27" t="s">
        <v>384</v>
      </c>
      <c r="W123" s="22"/>
      <c r="X123" s="25">
        <v>45883.0</v>
      </c>
      <c r="Y123" s="20" t="s">
        <v>728</v>
      </c>
      <c r="Z123" s="22"/>
      <c r="AA123" s="22"/>
      <c r="AB123" s="22"/>
      <c r="AC123" s="22"/>
      <c r="AD123" s="22"/>
      <c r="AE123" s="22"/>
      <c r="AF123" s="22"/>
      <c r="AG123" s="22"/>
      <c r="AH123" s="22"/>
      <c r="AI123" s="20"/>
      <c r="AJ123" s="20"/>
      <c r="AK123" s="20"/>
      <c r="AL123" s="6" t="str">
        <f t="array" ref="AL123">IFERROR(IFS(XLOOKUP(B123, 'Kit Delivery Status'!$U:$U, 'Kit Delivery Status'!$K:$K) = "Complete", "DELIVERED", XLOOKUP(B123, 'Kit Delivery Status'!$U:$U, 'Kit Delivery Status'!$K:$K) = "Issue", "ISSUE"), "")</f>
        <v/>
      </c>
      <c r="AM123" s="6"/>
    </row>
    <row r="124">
      <c r="A124" s="5" t="str">
        <f t="shared" si="5"/>
        <v>https://utrucking.myshopify.com/admin/orders?query=15054</v>
      </c>
      <c r="B124" s="6" t="s">
        <v>729</v>
      </c>
      <c r="C124" s="6" t="s">
        <v>730</v>
      </c>
      <c r="D124" s="7">
        <v>9.17699277E9</v>
      </c>
      <c r="E124" s="6" t="s">
        <v>731</v>
      </c>
      <c r="F124" s="6"/>
      <c r="G124" s="1"/>
      <c r="H124" s="1"/>
      <c r="I124" s="1"/>
      <c r="J124" s="1"/>
      <c r="K124" s="6" t="s">
        <v>66</v>
      </c>
      <c r="L124" s="6" t="s">
        <v>648</v>
      </c>
      <c r="M124" s="1"/>
      <c r="N124" s="6" t="s">
        <v>52</v>
      </c>
      <c r="O124" s="8">
        <v>1111.0</v>
      </c>
      <c r="P124" s="9">
        <v>45883.0</v>
      </c>
      <c r="Q124" s="6" t="s">
        <v>125</v>
      </c>
      <c r="R124" s="1"/>
      <c r="S124" s="1"/>
      <c r="T124" s="1"/>
      <c r="U124" s="6" t="s">
        <v>680</v>
      </c>
      <c r="V124" s="8">
        <v>1111.0</v>
      </c>
      <c r="W124" s="1"/>
      <c r="X124" s="9">
        <v>45883.0</v>
      </c>
      <c r="Y124" s="6" t="s">
        <v>125</v>
      </c>
      <c r="Z124" s="1"/>
      <c r="AA124" s="1"/>
      <c r="AB124" s="1"/>
      <c r="AC124" s="1"/>
      <c r="AD124" s="1"/>
      <c r="AE124" s="1"/>
      <c r="AF124" s="1"/>
      <c r="AG124" s="1"/>
      <c r="AH124" s="1"/>
      <c r="AI124" s="6"/>
      <c r="AJ124" s="6"/>
      <c r="AK124" s="6"/>
      <c r="AL124" s="6" t="str">
        <f t="array" ref="AL124">IFERROR(IFS(XLOOKUP(B124, 'Kit Delivery Status'!$U:$U, 'Kit Delivery Status'!$K:$K) = "Complete", "DELIVERED", XLOOKUP(B124, 'Kit Delivery Status'!$U:$U, 'Kit Delivery Status'!$K:$K) = "Issue", "ISSUE"), "")</f>
        <v/>
      </c>
      <c r="AM124" s="6"/>
    </row>
    <row r="125">
      <c r="A125" s="5" t="str">
        <f t="shared" si="5"/>
        <v>https://utrucking.myshopify.com/admin/orders?query=15055</v>
      </c>
      <c r="B125" s="20" t="s">
        <v>217</v>
      </c>
      <c r="C125" s="20" t="s">
        <v>218</v>
      </c>
      <c r="D125" s="21">
        <v>4.043457378E9</v>
      </c>
      <c r="E125" s="20" t="s">
        <v>220</v>
      </c>
      <c r="F125" s="20"/>
      <c r="G125" s="22"/>
      <c r="H125" s="22"/>
      <c r="I125" s="22"/>
      <c r="J125" s="22"/>
      <c r="K125" s="20" t="s">
        <v>66</v>
      </c>
      <c r="L125" s="20" t="s">
        <v>640</v>
      </c>
      <c r="M125" s="22"/>
      <c r="N125" s="20" t="s">
        <v>52</v>
      </c>
      <c r="O125" s="23" t="s">
        <v>223</v>
      </c>
      <c r="P125" s="25">
        <v>45878.0</v>
      </c>
      <c r="Q125" s="20" t="s">
        <v>44</v>
      </c>
      <c r="R125" s="22"/>
      <c r="S125" s="22"/>
      <c r="T125" s="22"/>
      <c r="U125" s="20" t="s">
        <v>222</v>
      </c>
      <c r="V125" s="23" t="s">
        <v>223</v>
      </c>
      <c r="W125" s="22"/>
      <c r="X125" s="25">
        <v>45878.0</v>
      </c>
      <c r="Y125" s="20" t="s">
        <v>44</v>
      </c>
      <c r="Z125" s="22"/>
      <c r="AA125" s="22"/>
      <c r="AB125" s="22"/>
      <c r="AC125" s="22"/>
      <c r="AD125" s="22"/>
      <c r="AE125" s="22"/>
      <c r="AF125" s="22"/>
      <c r="AG125" s="22"/>
      <c r="AH125" s="22"/>
      <c r="AI125" s="20" t="s">
        <v>732</v>
      </c>
      <c r="AJ125" s="20"/>
      <c r="AK125" s="20"/>
      <c r="AL125" s="6" t="str">
        <f t="array" ref="AL125">IFERROR(IFS(XLOOKUP(B125, 'Kit Delivery Status'!$U:$U, 'Kit Delivery Status'!$K:$K) = "Complete", "DELIVERED", XLOOKUP(B125, 'Kit Delivery Status'!$U:$U, 'Kit Delivery Status'!$K:$K) = "Issue", "ISSUE"), "")</f>
        <v/>
      </c>
      <c r="AM125" s="6"/>
    </row>
    <row r="126">
      <c r="A126" s="5" t="str">
        <f t="shared" si="5"/>
        <v>https://utrucking.myshopify.com/admin/orders?query=15060</v>
      </c>
      <c r="B126" s="20" t="s">
        <v>733</v>
      </c>
      <c r="C126" s="20" t="s">
        <v>734</v>
      </c>
      <c r="D126" s="21">
        <v>8.43499233E9</v>
      </c>
      <c r="E126" s="20" t="s">
        <v>735</v>
      </c>
      <c r="F126" s="20"/>
      <c r="G126" s="22"/>
      <c r="H126" s="22"/>
      <c r="I126" s="22"/>
      <c r="J126" s="22"/>
      <c r="K126" s="20" t="s">
        <v>66</v>
      </c>
      <c r="L126" s="20" t="s">
        <v>640</v>
      </c>
      <c r="M126" s="22"/>
      <c r="N126" s="20" t="s">
        <v>52</v>
      </c>
      <c r="O126" s="23" t="s">
        <v>736</v>
      </c>
      <c r="P126" s="25">
        <v>45876.0</v>
      </c>
      <c r="Q126" s="20" t="s">
        <v>160</v>
      </c>
      <c r="R126" s="22"/>
      <c r="S126" s="22"/>
      <c r="T126" s="22"/>
      <c r="U126" s="20" t="s">
        <v>737</v>
      </c>
      <c r="V126" s="23" t="s">
        <v>736</v>
      </c>
      <c r="W126" s="22"/>
      <c r="X126" s="25">
        <v>45876.0</v>
      </c>
      <c r="Y126" s="20" t="s">
        <v>160</v>
      </c>
      <c r="Z126" s="22"/>
      <c r="AA126" s="22"/>
      <c r="AB126" s="22"/>
      <c r="AC126" s="22"/>
      <c r="AD126" s="22"/>
      <c r="AE126" s="22"/>
      <c r="AF126" s="22"/>
      <c r="AG126" s="22"/>
      <c r="AH126" s="22"/>
      <c r="AI126" s="20"/>
      <c r="AJ126" s="20"/>
      <c r="AK126" s="20"/>
      <c r="AL126" s="6" t="str">
        <f t="array" ref="AL126">IFERROR(IFS(XLOOKUP(B126, 'Kit Delivery Status'!$U:$U, 'Kit Delivery Status'!$K:$K) = "Complete", "DELIVERED", XLOOKUP(B126, 'Kit Delivery Status'!$U:$U, 'Kit Delivery Status'!$K:$K) = "Issue", "ISSUE"), "")</f>
        <v/>
      </c>
      <c r="AM126" s="6"/>
    </row>
    <row r="127">
      <c r="A127" s="29" t="s">
        <v>738</v>
      </c>
      <c r="B127" s="28" t="s">
        <v>739</v>
      </c>
      <c r="C127" s="28"/>
      <c r="D127" s="30" t="s">
        <v>740</v>
      </c>
      <c r="E127" s="28" t="s">
        <v>741</v>
      </c>
      <c r="F127" s="28"/>
      <c r="G127" s="22"/>
      <c r="H127" s="22"/>
      <c r="I127" s="22"/>
      <c r="J127" s="22"/>
      <c r="K127" s="28" t="s">
        <v>66</v>
      </c>
      <c r="L127" s="20" t="s">
        <v>640</v>
      </c>
      <c r="M127" s="22"/>
      <c r="N127" s="28" t="s">
        <v>52</v>
      </c>
      <c r="O127" s="27" t="s">
        <v>742</v>
      </c>
      <c r="P127" s="31">
        <v>45891.0</v>
      </c>
      <c r="Q127" s="28" t="s">
        <v>96</v>
      </c>
      <c r="R127" s="22"/>
      <c r="S127" s="22" t="s">
        <v>52</v>
      </c>
      <c r="T127" s="22" t="s">
        <v>52</v>
      </c>
      <c r="U127" s="28" t="s">
        <v>743</v>
      </c>
      <c r="V127" s="27" t="s">
        <v>742</v>
      </c>
      <c r="W127" s="22"/>
      <c r="X127" s="31">
        <v>45891.0</v>
      </c>
      <c r="Y127" s="28" t="s">
        <v>96</v>
      </c>
      <c r="Z127" s="22"/>
      <c r="AA127" s="22"/>
      <c r="AB127" s="22"/>
      <c r="AC127" s="22"/>
      <c r="AD127" s="22"/>
      <c r="AE127" s="22"/>
      <c r="AF127" s="22"/>
      <c r="AG127" s="22"/>
      <c r="AH127" s="22"/>
      <c r="AI127" s="20"/>
      <c r="AJ127" s="20"/>
      <c r="AK127" s="20"/>
      <c r="AL127" s="6" t="str">
        <f t="array" ref="AL127">IFERROR(IFS(XLOOKUP(B127, 'Kit Delivery Status'!$U:$U, 'Kit Delivery Status'!$K:$K) = "Complete", "DELIVERED", XLOOKUP(B127, 'Kit Delivery Status'!$U:$U, 'Kit Delivery Status'!$K:$K) = "Issue", "ISSUE"), "")</f>
        <v/>
      </c>
      <c r="AM127" s="6"/>
    </row>
    <row r="128">
      <c r="A128" s="5" t="s">
        <v>744</v>
      </c>
      <c r="B128" s="12" t="s">
        <v>745</v>
      </c>
      <c r="C128" s="12" t="s">
        <v>746</v>
      </c>
      <c r="D128" s="13" t="s">
        <v>747</v>
      </c>
      <c r="E128" s="12" t="s">
        <v>748</v>
      </c>
      <c r="F128" s="12" t="s">
        <v>749</v>
      </c>
      <c r="G128" s="1" t="s">
        <v>750</v>
      </c>
      <c r="H128" s="1" t="s">
        <v>751</v>
      </c>
      <c r="I128" s="1">
        <v>10583.0</v>
      </c>
      <c r="J128" s="1" t="s">
        <v>752</v>
      </c>
      <c r="K128" s="12" t="s">
        <v>75</v>
      </c>
      <c r="L128" s="12" t="s">
        <v>76</v>
      </c>
      <c r="M128" s="1">
        <v>49.0</v>
      </c>
      <c r="N128" s="12" t="s">
        <v>52</v>
      </c>
      <c r="O128" s="17" t="s">
        <v>753</v>
      </c>
      <c r="P128" s="15">
        <v>45870.0</v>
      </c>
      <c r="Q128" s="6" t="s">
        <v>44</v>
      </c>
      <c r="R128" s="1"/>
      <c r="S128" s="1" t="s">
        <v>52</v>
      </c>
      <c r="T128" s="1" t="s">
        <v>52</v>
      </c>
      <c r="U128" s="12" t="s">
        <v>109</v>
      </c>
      <c r="V128" s="17" t="s">
        <v>753</v>
      </c>
      <c r="W128" s="1"/>
      <c r="X128" s="15">
        <v>45870.0</v>
      </c>
      <c r="Y128" s="6" t="s">
        <v>44</v>
      </c>
      <c r="Z128" s="1"/>
      <c r="AA128" s="1"/>
      <c r="AB128" s="1"/>
      <c r="AC128" s="1"/>
      <c r="AD128" s="1"/>
      <c r="AE128" s="1"/>
      <c r="AF128" s="1"/>
      <c r="AG128" s="1"/>
      <c r="AH128" s="1"/>
      <c r="AI128" s="6"/>
      <c r="AJ128" s="6"/>
      <c r="AK128" s="6"/>
      <c r="AL128" s="6" t="str">
        <f t="array" ref="AL128">IFERROR(IFS(XLOOKUP(B128, 'Kit Delivery Status'!$U:$U, 'Kit Delivery Status'!$K:$K) = "Complete", "DELIVERED", XLOOKUP(B128, 'Kit Delivery Status'!$U:$U, 'Kit Delivery Status'!$K:$K) = "Issue", "ISSUE"), "")</f>
        <v/>
      </c>
      <c r="AM128" s="6"/>
    </row>
    <row r="129">
      <c r="A129" s="5" t="str">
        <f t="shared" ref="A129:A187" si="6">HYPERLINK("https://utrucking.myshopify.com/admin/orders?query="&amp;RIGHT(B129,LEN(B129)-1))</f>
        <v>https://utrucking.myshopify.com/admin/orders?query=15075</v>
      </c>
      <c r="B129" s="6" t="s">
        <v>754</v>
      </c>
      <c r="C129" s="6" t="s">
        <v>755</v>
      </c>
      <c r="D129" s="7">
        <v>6.198502951E9</v>
      </c>
      <c r="E129" s="6" t="s">
        <v>756</v>
      </c>
      <c r="F129" s="6" t="s">
        <v>757</v>
      </c>
      <c r="G129" s="1"/>
      <c r="H129" s="1"/>
      <c r="I129" s="1"/>
      <c r="J129" s="1"/>
      <c r="K129" s="6" t="s">
        <v>51</v>
      </c>
      <c r="L129" s="6"/>
      <c r="M129" s="1"/>
      <c r="N129" s="6" t="s">
        <v>124</v>
      </c>
      <c r="O129" s="11"/>
      <c r="P129" s="9">
        <v>45891.0</v>
      </c>
      <c r="Q129" s="6" t="s">
        <v>160</v>
      </c>
      <c r="R129" s="1"/>
      <c r="S129" s="1"/>
      <c r="T129" s="1"/>
      <c r="U129" s="6"/>
      <c r="V129" s="11"/>
      <c r="W129" s="1"/>
      <c r="X129" s="9">
        <v>45891.0</v>
      </c>
      <c r="Y129" s="6" t="s">
        <v>160</v>
      </c>
      <c r="Z129" s="1"/>
      <c r="AA129" s="1"/>
      <c r="AB129" s="1"/>
      <c r="AC129" s="1"/>
      <c r="AD129" s="1"/>
      <c r="AE129" s="1"/>
      <c r="AF129" s="1"/>
      <c r="AG129" s="1"/>
      <c r="AH129" s="1"/>
      <c r="AI129" s="6"/>
      <c r="AJ129" s="6"/>
      <c r="AK129" s="6"/>
      <c r="AL129" s="6" t="str">
        <f t="array" ref="AL129">IFERROR(IFS(XLOOKUP(B129, 'Kit Delivery Status'!$U:$U, 'Kit Delivery Status'!$K:$K) = "Complete", "DELIVERED", XLOOKUP(B129, 'Kit Delivery Status'!$U:$U, 'Kit Delivery Status'!$K:$K) = "Issue", "ISSUE"), "")</f>
        <v/>
      </c>
      <c r="AM129" s="6"/>
    </row>
    <row r="130">
      <c r="A130" s="5" t="str">
        <f t="shared" si="6"/>
        <v>https://utrucking.myshopify.com/admin/orders?query=15081</v>
      </c>
      <c r="B130" s="6" t="s">
        <v>229</v>
      </c>
      <c r="C130" s="6"/>
      <c r="D130" s="7">
        <v>1.2143369342E10</v>
      </c>
      <c r="E130" s="6" t="s">
        <v>231</v>
      </c>
      <c r="F130" s="6"/>
      <c r="G130" s="1"/>
      <c r="H130" s="1"/>
      <c r="I130" s="1"/>
      <c r="J130" s="1"/>
      <c r="K130" s="6" t="s">
        <v>66</v>
      </c>
      <c r="L130" s="6" t="s">
        <v>652</v>
      </c>
      <c r="M130" s="1"/>
      <c r="N130" s="6" t="s">
        <v>52</v>
      </c>
      <c r="O130" s="8">
        <v>3322.0</v>
      </c>
      <c r="P130" s="9">
        <v>45883.0</v>
      </c>
      <c r="Q130" s="6" t="s">
        <v>54</v>
      </c>
      <c r="R130" s="1"/>
      <c r="S130" s="1"/>
      <c r="T130" s="1"/>
      <c r="U130" s="6" t="s">
        <v>109</v>
      </c>
      <c r="V130" s="8">
        <v>3322.0</v>
      </c>
      <c r="W130" s="1"/>
      <c r="X130" s="9">
        <v>45883.0</v>
      </c>
      <c r="Y130" s="6" t="s">
        <v>54</v>
      </c>
      <c r="Z130" s="1"/>
      <c r="AA130" s="1"/>
      <c r="AB130" s="1"/>
      <c r="AC130" s="1"/>
      <c r="AD130" s="1"/>
      <c r="AE130" s="1"/>
      <c r="AF130" s="1"/>
      <c r="AG130" s="1"/>
      <c r="AH130" s="1"/>
      <c r="AI130" s="6" t="s">
        <v>758</v>
      </c>
      <c r="AJ130" s="6"/>
      <c r="AK130" s="6"/>
      <c r="AL130" s="6" t="str">
        <f t="array" ref="AL130">IFERROR(IFS(XLOOKUP(B130, 'Kit Delivery Status'!$U:$U, 'Kit Delivery Status'!$K:$K) = "Complete", "DELIVERED", XLOOKUP(B130, 'Kit Delivery Status'!$U:$U, 'Kit Delivery Status'!$K:$K) = "Issue", "ISSUE"), "")</f>
        <v/>
      </c>
      <c r="AM130" s="6"/>
    </row>
    <row r="131">
      <c r="A131" s="5" t="str">
        <f t="shared" si="6"/>
        <v>https://utrucking.myshopify.com/admin/orders?query=15084</v>
      </c>
      <c r="B131" s="6" t="s">
        <v>759</v>
      </c>
      <c r="C131" s="6" t="s">
        <v>760</v>
      </c>
      <c r="D131" s="7">
        <v>1.063268773E9</v>
      </c>
      <c r="E131" s="6" t="s">
        <v>761</v>
      </c>
      <c r="F131" s="6"/>
      <c r="G131" s="1"/>
      <c r="H131" s="1"/>
      <c r="I131" s="1"/>
      <c r="J131" s="1"/>
      <c r="K131" s="6" t="s">
        <v>66</v>
      </c>
      <c r="L131" s="6" t="s">
        <v>648</v>
      </c>
      <c r="M131" s="1"/>
      <c r="N131" s="6" t="s">
        <v>52</v>
      </c>
      <c r="O131" s="8">
        <v>1040.0</v>
      </c>
      <c r="P131" s="9">
        <v>45890.0</v>
      </c>
      <c r="Q131" s="6" t="s">
        <v>160</v>
      </c>
      <c r="R131" s="1"/>
      <c r="S131" s="1"/>
      <c r="T131" s="1"/>
      <c r="U131" s="6" t="s">
        <v>215</v>
      </c>
      <c r="V131" s="8">
        <v>1040.0</v>
      </c>
      <c r="W131" s="1"/>
      <c r="X131" s="9">
        <v>45890.0</v>
      </c>
      <c r="Y131" s="6" t="s">
        <v>160</v>
      </c>
      <c r="Z131" s="1"/>
      <c r="AA131" s="1"/>
      <c r="AB131" s="1"/>
      <c r="AC131" s="1"/>
      <c r="AD131" s="1"/>
      <c r="AE131" s="1"/>
      <c r="AF131" s="1"/>
      <c r="AG131" s="1"/>
      <c r="AH131" s="1"/>
      <c r="AI131" s="6"/>
      <c r="AJ131" s="6"/>
      <c r="AK131" s="6"/>
      <c r="AL131" s="6" t="str">
        <f t="array" ref="AL131">IFERROR(IFS(XLOOKUP(B131, 'Kit Delivery Status'!$U:$U, 'Kit Delivery Status'!$K:$K) = "Complete", "DELIVERED", XLOOKUP(B131, 'Kit Delivery Status'!$U:$U, 'Kit Delivery Status'!$K:$K) = "Issue", "ISSUE"), "")</f>
        <v/>
      </c>
      <c r="AM131" s="6"/>
    </row>
    <row r="132">
      <c r="A132" s="5" t="str">
        <f t="shared" si="6"/>
        <v>https://utrucking.myshopify.com/admin/orders?query=15085</v>
      </c>
      <c r="B132" s="20" t="s">
        <v>762</v>
      </c>
      <c r="C132" s="20" t="s">
        <v>693</v>
      </c>
      <c r="D132" s="21">
        <v>9.739362855E9</v>
      </c>
      <c r="E132" s="20" t="s">
        <v>695</v>
      </c>
      <c r="F132" s="20"/>
      <c r="G132" s="22"/>
      <c r="H132" s="22"/>
      <c r="I132" s="22"/>
      <c r="J132" s="22"/>
      <c r="K132" s="20" t="s">
        <v>66</v>
      </c>
      <c r="L132" s="20" t="s">
        <v>640</v>
      </c>
      <c r="M132" s="22"/>
      <c r="N132" s="20" t="s">
        <v>52</v>
      </c>
      <c r="O132" s="23" t="s">
        <v>258</v>
      </c>
      <c r="P132" s="25">
        <v>45883.0</v>
      </c>
      <c r="Q132" s="20" t="s">
        <v>54</v>
      </c>
      <c r="R132" s="22"/>
      <c r="S132" s="22"/>
      <c r="T132" s="22"/>
      <c r="U132" s="20" t="s">
        <v>102</v>
      </c>
      <c r="V132" s="23" t="s">
        <v>258</v>
      </c>
      <c r="W132" s="22"/>
      <c r="X132" s="25">
        <v>45883.0</v>
      </c>
      <c r="Y132" s="20" t="s">
        <v>54</v>
      </c>
      <c r="Z132" s="22"/>
      <c r="AA132" s="22"/>
      <c r="AB132" s="22"/>
      <c r="AC132" s="22"/>
      <c r="AD132" s="22"/>
      <c r="AE132" s="22"/>
      <c r="AF132" s="22"/>
      <c r="AG132" s="22"/>
      <c r="AH132" s="22"/>
      <c r="AI132" s="20"/>
      <c r="AJ132" s="20"/>
      <c r="AK132" s="20"/>
      <c r="AL132" s="6" t="str">
        <f t="array" ref="AL132">IFERROR(IFS(XLOOKUP(B132, 'Kit Delivery Status'!$U:$U, 'Kit Delivery Status'!$K:$K) = "Complete", "DELIVERED", XLOOKUP(B132, 'Kit Delivery Status'!$U:$U, 'Kit Delivery Status'!$K:$K) = "Issue", "ISSUE"), "")</f>
        <v/>
      </c>
      <c r="AM132" s="6"/>
    </row>
    <row r="133">
      <c r="A133" s="5" t="str">
        <f t="shared" si="6"/>
        <v>https://utrucking.myshopify.com/admin/orders?query=15092</v>
      </c>
      <c r="B133" s="6" t="s">
        <v>763</v>
      </c>
      <c r="C133" s="6" t="s">
        <v>764</v>
      </c>
      <c r="D133" s="7">
        <v>9.179579903E9</v>
      </c>
      <c r="E133" s="6" t="s">
        <v>765</v>
      </c>
      <c r="F133" s="6"/>
      <c r="G133" s="1"/>
      <c r="H133" s="1"/>
      <c r="I133" s="1"/>
      <c r="J133" s="1"/>
      <c r="K133" s="6" t="s">
        <v>66</v>
      </c>
      <c r="L133" s="6" t="s">
        <v>652</v>
      </c>
      <c r="M133" s="1"/>
      <c r="N133" s="6" t="s">
        <v>52</v>
      </c>
      <c r="O133" s="8">
        <v>322.0</v>
      </c>
      <c r="P133" s="9">
        <v>45892.0</v>
      </c>
      <c r="Q133" s="6" t="s">
        <v>160</v>
      </c>
      <c r="R133" s="1"/>
      <c r="S133" s="1"/>
      <c r="T133" s="1"/>
      <c r="U133" s="6" t="s">
        <v>766</v>
      </c>
      <c r="V133" s="8">
        <v>322.0</v>
      </c>
      <c r="W133" s="1"/>
      <c r="X133" s="9">
        <v>45892.0</v>
      </c>
      <c r="Y133" s="6" t="s">
        <v>160</v>
      </c>
      <c r="Z133" s="1"/>
      <c r="AA133" s="1"/>
      <c r="AB133" s="1"/>
      <c r="AC133" s="1"/>
      <c r="AD133" s="1"/>
      <c r="AE133" s="1"/>
      <c r="AF133" s="1"/>
      <c r="AG133" s="1"/>
      <c r="AH133" s="1"/>
      <c r="AI133" s="6"/>
      <c r="AJ133" s="6"/>
      <c r="AK133" s="6"/>
      <c r="AL133" s="6" t="str">
        <f t="array" ref="AL133">IFERROR(IFS(XLOOKUP(B133, 'Kit Delivery Status'!$U:$U, 'Kit Delivery Status'!$K:$K) = "Complete", "DELIVERED", XLOOKUP(B133, 'Kit Delivery Status'!$U:$U, 'Kit Delivery Status'!$K:$K) = "Issue", "ISSUE"), "")</f>
        <v/>
      </c>
      <c r="AM133" s="6"/>
    </row>
    <row r="134">
      <c r="A134" s="5" t="str">
        <f t="shared" si="6"/>
        <v>https://utrucking.myshopify.com/admin/orders?query=15093</v>
      </c>
      <c r="B134" s="6" t="s">
        <v>767</v>
      </c>
      <c r="C134" s="6" t="s">
        <v>768</v>
      </c>
      <c r="D134" s="7">
        <v>9.253341357E9</v>
      </c>
      <c r="E134" s="6" t="s">
        <v>769</v>
      </c>
      <c r="F134" s="6"/>
      <c r="G134" s="1"/>
      <c r="H134" s="1"/>
      <c r="I134" s="1"/>
      <c r="J134" s="1"/>
      <c r="K134" s="6" t="s">
        <v>51</v>
      </c>
      <c r="L134" s="6"/>
      <c r="M134" s="1"/>
      <c r="N134" s="6" t="s">
        <v>52</v>
      </c>
      <c r="O134" s="8">
        <v>2312.0</v>
      </c>
      <c r="P134" s="9">
        <v>45891.0</v>
      </c>
      <c r="Q134" s="6" t="s">
        <v>54</v>
      </c>
      <c r="R134" s="1"/>
      <c r="S134" s="1"/>
      <c r="T134" s="1"/>
      <c r="U134" s="6" t="s">
        <v>737</v>
      </c>
      <c r="V134" s="8">
        <v>2312.0</v>
      </c>
      <c r="W134" s="1"/>
      <c r="X134" s="9">
        <v>45891.0</v>
      </c>
      <c r="Y134" s="6" t="s">
        <v>54</v>
      </c>
      <c r="Z134" s="1"/>
      <c r="AA134" s="1"/>
      <c r="AB134" s="1"/>
      <c r="AC134" s="1"/>
      <c r="AD134" s="1"/>
      <c r="AE134" s="1"/>
      <c r="AF134" s="1"/>
      <c r="AG134" s="1"/>
      <c r="AH134" s="1"/>
      <c r="AI134" s="6"/>
      <c r="AJ134" s="6"/>
      <c r="AK134" s="6"/>
      <c r="AL134" s="6" t="str">
        <f t="array" ref="AL134">IFERROR(IFS(XLOOKUP(B134, 'Kit Delivery Status'!$U:$U, 'Kit Delivery Status'!$K:$K) = "Complete", "DELIVERED", XLOOKUP(B134, 'Kit Delivery Status'!$U:$U, 'Kit Delivery Status'!$K:$K) = "Issue", "ISSUE"), "")</f>
        <v/>
      </c>
      <c r="AM134" s="6"/>
    </row>
    <row r="135">
      <c r="A135" s="5" t="str">
        <f t="shared" si="6"/>
        <v>https://utrucking.myshopify.com/admin/orders?query=15095</v>
      </c>
      <c r="B135" s="6" t="s">
        <v>770</v>
      </c>
      <c r="C135" s="6" t="s">
        <v>771</v>
      </c>
      <c r="D135" s="7">
        <v>3.107093084E9</v>
      </c>
      <c r="E135" s="6" t="s">
        <v>772</v>
      </c>
      <c r="F135" s="6"/>
      <c r="G135" s="1"/>
      <c r="H135" s="1"/>
      <c r="I135" s="1"/>
      <c r="J135" s="1"/>
      <c r="K135" s="6" t="s">
        <v>66</v>
      </c>
      <c r="L135" s="6" t="s">
        <v>773</v>
      </c>
      <c r="M135" s="1"/>
      <c r="N135" s="6" t="s">
        <v>52</v>
      </c>
      <c r="O135" s="11" t="s">
        <v>774</v>
      </c>
      <c r="P135" s="9">
        <v>45891.0</v>
      </c>
      <c r="Q135" s="6" t="s">
        <v>54</v>
      </c>
      <c r="R135" s="1"/>
      <c r="S135" s="1"/>
      <c r="T135" s="1"/>
      <c r="U135" s="6" t="s">
        <v>775</v>
      </c>
      <c r="V135" s="11" t="s">
        <v>774</v>
      </c>
      <c r="W135" s="1"/>
      <c r="X135" s="9">
        <v>45891.0</v>
      </c>
      <c r="Y135" s="6" t="s">
        <v>54</v>
      </c>
      <c r="Z135" s="1"/>
      <c r="AA135" s="1"/>
      <c r="AB135" s="1"/>
      <c r="AC135" s="1"/>
      <c r="AD135" s="1"/>
      <c r="AE135" s="1"/>
      <c r="AF135" s="1"/>
      <c r="AG135" s="1"/>
      <c r="AH135" s="1"/>
      <c r="AI135" s="6"/>
      <c r="AJ135" s="6"/>
      <c r="AK135" s="6"/>
      <c r="AL135" s="6" t="str">
        <f t="array" ref="AL135">IFERROR(IFS(XLOOKUP(B135, 'Kit Delivery Status'!$U:$U, 'Kit Delivery Status'!$K:$K) = "Complete", "DELIVERED", XLOOKUP(B135, 'Kit Delivery Status'!$U:$U, 'Kit Delivery Status'!$K:$K) = "Issue", "ISSUE"), "")</f>
        <v/>
      </c>
      <c r="AM135" s="6"/>
    </row>
    <row r="136">
      <c r="A136" s="5" t="str">
        <f t="shared" si="6"/>
        <v>https://utrucking.myshopify.com/admin/orders?query=15096</v>
      </c>
      <c r="B136" s="6" t="s">
        <v>776</v>
      </c>
      <c r="C136" s="6" t="s">
        <v>771</v>
      </c>
      <c r="D136" s="10" t="s">
        <v>777</v>
      </c>
      <c r="E136" s="6" t="s">
        <v>772</v>
      </c>
      <c r="F136" s="6"/>
      <c r="G136" s="1"/>
      <c r="H136" s="1"/>
      <c r="I136" s="1"/>
      <c r="J136" s="1"/>
      <c r="K136" s="6" t="s">
        <v>51</v>
      </c>
      <c r="L136" s="6"/>
      <c r="M136" s="1"/>
      <c r="N136" s="6" t="s">
        <v>52</v>
      </c>
      <c r="O136" s="11" t="s">
        <v>774</v>
      </c>
      <c r="P136" s="9">
        <v>45891.0</v>
      </c>
      <c r="Q136" s="6" t="s">
        <v>54</v>
      </c>
      <c r="R136" s="1"/>
      <c r="S136" s="1"/>
      <c r="T136" s="1"/>
      <c r="U136" s="6" t="s">
        <v>775</v>
      </c>
      <c r="V136" s="11" t="s">
        <v>774</v>
      </c>
      <c r="W136" s="1"/>
      <c r="X136" s="9">
        <v>45891.0</v>
      </c>
      <c r="Y136" s="6" t="s">
        <v>54</v>
      </c>
      <c r="Z136" s="1"/>
      <c r="AA136" s="1"/>
      <c r="AB136" s="1"/>
      <c r="AC136" s="1"/>
      <c r="AD136" s="1"/>
      <c r="AE136" s="1"/>
      <c r="AF136" s="1"/>
      <c r="AG136" s="1"/>
      <c r="AH136" s="1"/>
      <c r="AI136" s="6"/>
      <c r="AJ136" s="6"/>
      <c r="AK136" s="6"/>
      <c r="AL136" s="6" t="str">
        <f t="array" ref="AL136">IFERROR(IFS(XLOOKUP(B136, 'Kit Delivery Status'!$U:$U, 'Kit Delivery Status'!$K:$K) = "Complete", "DELIVERED", XLOOKUP(B136, 'Kit Delivery Status'!$U:$U, 'Kit Delivery Status'!$K:$K) = "Issue", "ISSUE"), "")</f>
        <v/>
      </c>
      <c r="AM136" s="6"/>
    </row>
    <row r="137">
      <c r="A137" s="5" t="str">
        <f t="shared" si="6"/>
        <v>https://utrucking.myshopify.com/admin/orders?query=15101</v>
      </c>
      <c r="B137" s="6" t="s">
        <v>778</v>
      </c>
      <c r="C137" s="6" t="s">
        <v>779</v>
      </c>
      <c r="D137" s="7">
        <v>9.164942045E9</v>
      </c>
      <c r="E137" s="6" t="s">
        <v>780</v>
      </c>
      <c r="F137" s="6"/>
      <c r="G137" s="1"/>
      <c r="H137" s="1"/>
      <c r="I137" s="1"/>
      <c r="J137" s="1"/>
      <c r="K137" s="6" t="s">
        <v>66</v>
      </c>
      <c r="L137" s="6" t="s">
        <v>648</v>
      </c>
      <c r="M137" s="1"/>
      <c r="N137" s="6" t="s">
        <v>52</v>
      </c>
      <c r="O137" s="8">
        <v>2020.0</v>
      </c>
      <c r="P137" s="9">
        <v>45892.0</v>
      </c>
      <c r="Q137" s="6" t="s">
        <v>88</v>
      </c>
      <c r="R137" s="1"/>
      <c r="S137" s="1"/>
      <c r="T137" s="1"/>
      <c r="U137" s="6" t="s">
        <v>680</v>
      </c>
      <c r="V137" s="8">
        <v>2020.0</v>
      </c>
      <c r="W137" s="1"/>
      <c r="X137" s="9">
        <v>45892.0</v>
      </c>
      <c r="Y137" s="6" t="s">
        <v>88</v>
      </c>
      <c r="Z137" s="1"/>
      <c r="AA137" s="1"/>
      <c r="AB137" s="1"/>
      <c r="AC137" s="1"/>
      <c r="AD137" s="1"/>
      <c r="AE137" s="1"/>
      <c r="AF137" s="1"/>
      <c r="AG137" s="1"/>
      <c r="AH137" s="1"/>
      <c r="AI137" s="6"/>
      <c r="AJ137" s="6"/>
      <c r="AK137" s="6"/>
      <c r="AL137" s="6" t="str">
        <f t="array" ref="AL137">IFERROR(IFS(XLOOKUP(B137, 'Kit Delivery Status'!$U:$U, 'Kit Delivery Status'!$K:$K) = "Complete", "DELIVERED", XLOOKUP(B137, 'Kit Delivery Status'!$U:$U, 'Kit Delivery Status'!$K:$K) = "Issue", "ISSUE"), "")</f>
        <v/>
      </c>
      <c r="AM137" s="6"/>
    </row>
    <row r="138">
      <c r="A138" s="5" t="str">
        <f t="shared" si="6"/>
        <v>https://utrucking.myshopify.com/admin/orders?query=15109</v>
      </c>
      <c r="B138" s="20" t="s">
        <v>781</v>
      </c>
      <c r="C138" s="20"/>
      <c r="D138" s="21">
        <v>4.078401759E9</v>
      </c>
      <c r="E138" s="20" t="s">
        <v>782</v>
      </c>
      <c r="F138" s="20"/>
      <c r="G138" s="22"/>
      <c r="H138" s="22"/>
      <c r="I138" s="22"/>
      <c r="J138" s="22"/>
      <c r="K138" s="20" t="s">
        <v>66</v>
      </c>
      <c r="L138" s="20" t="s">
        <v>644</v>
      </c>
      <c r="M138" s="22"/>
      <c r="N138" s="20" t="s">
        <v>52</v>
      </c>
      <c r="O138" s="26">
        <v>4000.0</v>
      </c>
      <c r="P138" s="25">
        <v>45883.0</v>
      </c>
      <c r="Q138" s="20" t="s">
        <v>54</v>
      </c>
      <c r="R138" s="22"/>
      <c r="S138" s="22"/>
      <c r="T138" s="22"/>
      <c r="U138" s="20" t="s">
        <v>551</v>
      </c>
      <c r="V138" s="26">
        <v>4000.0</v>
      </c>
      <c r="W138" s="22"/>
      <c r="X138" s="25">
        <v>45883.0</v>
      </c>
      <c r="Y138" s="20" t="s">
        <v>54</v>
      </c>
      <c r="Z138" s="22"/>
      <c r="AA138" s="22"/>
      <c r="AB138" s="22"/>
      <c r="AC138" s="22"/>
      <c r="AD138" s="22"/>
      <c r="AE138" s="22"/>
      <c r="AF138" s="22"/>
      <c r="AG138" s="22"/>
      <c r="AH138" s="22"/>
      <c r="AI138" s="20"/>
      <c r="AJ138" s="20"/>
      <c r="AK138" s="20"/>
      <c r="AL138" s="6" t="str">
        <f t="array" ref="AL138">IFERROR(IFS(XLOOKUP(B138, 'Kit Delivery Status'!$U:$U, 'Kit Delivery Status'!$K:$K) = "Complete", "DELIVERED", XLOOKUP(B138, 'Kit Delivery Status'!$U:$U, 'Kit Delivery Status'!$K:$K) = "Issue", "ISSUE"), "")</f>
        <v/>
      </c>
      <c r="AM138" s="6"/>
    </row>
    <row r="139">
      <c r="A139" s="5" t="str">
        <f t="shared" si="6"/>
        <v>https://utrucking.myshopify.com/admin/orders?query=15110</v>
      </c>
      <c r="B139" s="6" t="s">
        <v>783</v>
      </c>
      <c r="C139" s="6" t="s">
        <v>784</v>
      </c>
      <c r="D139" s="7">
        <v>9.082747241E9</v>
      </c>
      <c r="E139" s="6" t="s">
        <v>785</v>
      </c>
      <c r="F139" s="6"/>
      <c r="G139" s="1"/>
      <c r="H139" s="1"/>
      <c r="I139" s="1"/>
      <c r="J139" s="1"/>
      <c r="K139" s="6" t="s">
        <v>66</v>
      </c>
      <c r="L139" s="6" t="s">
        <v>648</v>
      </c>
      <c r="M139" s="1"/>
      <c r="N139" s="6" t="s">
        <v>52</v>
      </c>
      <c r="O139" s="11" t="s">
        <v>786</v>
      </c>
      <c r="P139" s="9">
        <v>45889.0</v>
      </c>
      <c r="Q139" s="6" t="s">
        <v>88</v>
      </c>
      <c r="R139" s="1"/>
      <c r="S139" s="1"/>
      <c r="T139" s="1"/>
      <c r="U139" s="6" t="s">
        <v>633</v>
      </c>
      <c r="V139" s="11" t="s">
        <v>786</v>
      </c>
      <c r="W139" s="1"/>
      <c r="X139" s="9">
        <v>45889.0</v>
      </c>
      <c r="Y139" s="6" t="s">
        <v>88</v>
      </c>
      <c r="Z139" s="1"/>
      <c r="AA139" s="1"/>
      <c r="AB139" s="1"/>
      <c r="AC139" s="1"/>
      <c r="AD139" s="1"/>
      <c r="AE139" s="1"/>
      <c r="AF139" s="1"/>
      <c r="AG139" s="1"/>
      <c r="AH139" s="1"/>
      <c r="AI139" s="6"/>
      <c r="AJ139" s="6"/>
      <c r="AK139" s="6"/>
      <c r="AL139" s="6" t="str">
        <f t="array" ref="AL139">IFERROR(IFS(XLOOKUP(B139, 'Kit Delivery Status'!$U:$U, 'Kit Delivery Status'!$K:$K) = "Complete", "DELIVERED", XLOOKUP(B139, 'Kit Delivery Status'!$U:$U, 'Kit Delivery Status'!$K:$K) = "Issue", "ISSUE"), "")</f>
        <v/>
      </c>
      <c r="AM139" s="6"/>
    </row>
    <row r="140">
      <c r="A140" s="5" t="str">
        <f t="shared" si="6"/>
        <v>https://utrucking.myshopify.com/admin/orders?query=15119</v>
      </c>
      <c r="B140" s="6" t="s">
        <v>787</v>
      </c>
      <c r="C140" s="6" t="s">
        <v>788</v>
      </c>
      <c r="D140" s="10" t="s">
        <v>789</v>
      </c>
      <c r="E140" s="6" t="s">
        <v>790</v>
      </c>
      <c r="F140" s="6"/>
      <c r="G140" s="1"/>
      <c r="H140" s="1"/>
      <c r="I140" s="1"/>
      <c r="J140" s="1"/>
      <c r="K140" s="6" t="s">
        <v>66</v>
      </c>
      <c r="L140" s="6" t="s">
        <v>791</v>
      </c>
      <c r="M140" s="1"/>
      <c r="N140" s="6" t="s">
        <v>52</v>
      </c>
      <c r="O140" s="11" t="s">
        <v>792</v>
      </c>
      <c r="P140" s="9">
        <v>45889.0</v>
      </c>
      <c r="Q140" s="6" t="s">
        <v>125</v>
      </c>
      <c r="R140" s="1"/>
      <c r="S140" s="1"/>
      <c r="T140" s="1"/>
      <c r="U140" s="6" t="s">
        <v>222</v>
      </c>
      <c r="V140" s="11" t="s">
        <v>792</v>
      </c>
      <c r="W140" s="1"/>
      <c r="X140" s="9">
        <v>45889.0</v>
      </c>
      <c r="Y140" s="6" t="s">
        <v>125</v>
      </c>
      <c r="Z140" s="1"/>
      <c r="AA140" s="1"/>
      <c r="AB140" s="1"/>
      <c r="AC140" s="1"/>
      <c r="AD140" s="1"/>
      <c r="AE140" s="1"/>
      <c r="AF140" s="1"/>
      <c r="AG140" s="1"/>
      <c r="AH140" s="1"/>
      <c r="AI140" s="6"/>
      <c r="AJ140" s="6"/>
      <c r="AK140" s="6"/>
      <c r="AL140" s="6" t="str">
        <f t="array" ref="AL140">IFERROR(IFS(XLOOKUP(B140, 'Kit Delivery Status'!$U:$U, 'Kit Delivery Status'!$K:$K) = "Complete", "DELIVERED", XLOOKUP(B140, 'Kit Delivery Status'!$U:$U, 'Kit Delivery Status'!$K:$K) = "Issue", "ISSUE"), "")</f>
        <v/>
      </c>
      <c r="AM140" s="6"/>
    </row>
    <row r="141">
      <c r="A141" s="5" t="str">
        <f t="shared" si="6"/>
        <v>https://utrucking.myshopify.com/admin/orders?query=15120</v>
      </c>
      <c r="B141" s="6" t="s">
        <v>793</v>
      </c>
      <c r="C141" s="6" t="s">
        <v>794</v>
      </c>
      <c r="D141" s="7">
        <v>9.199371533E9</v>
      </c>
      <c r="E141" s="6" t="s">
        <v>795</v>
      </c>
      <c r="F141" s="6"/>
      <c r="G141" s="1"/>
      <c r="H141" s="1"/>
      <c r="I141" s="1"/>
      <c r="J141" s="1"/>
      <c r="K141" s="6" t="s">
        <v>66</v>
      </c>
      <c r="L141" s="6" t="s">
        <v>648</v>
      </c>
      <c r="M141" s="1"/>
      <c r="N141" s="6" t="s">
        <v>52</v>
      </c>
      <c r="O141" s="11" t="s">
        <v>796</v>
      </c>
      <c r="P141" s="9">
        <v>45890.0</v>
      </c>
      <c r="Q141" s="6" t="s">
        <v>88</v>
      </c>
      <c r="R141" s="1"/>
      <c r="S141" s="1"/>
      <c r="T141" s="1"/>
      <c r="U141" s="6" t="s">
        <v>222</v>
      </c>
      <c r="V141" s="11" t="s">
        <v>796</v>
      </c>
      <c r="W141" s="1"/>
      <c r="X141" s="9">
        <v>45890.0</v>
      </c>
      <c r="Y141" s="6" t="s">
        <v>88</v>
      </c>
      <c r="Z141" s="1"/>
      <c r="AA141" s="1"/>
      <c r="AB141" s="1"/>
      <c r="AC141" s="1"/>
      <c r="AD141" s="1"/>
      <c r="AE141" s="1"/>
      <c r="AF141" s="1"/>
      <c r="AG141" s="1"/>
      <c r="AH141" s="1"/>
      <c r="AI141" s="6"/>
      <c r="AJ141" s="6"/>
      <c r="AK141" s="6"/>
      <c r="AL141" s="6" t="str">
        <f t="array" ref="AL141">IFERROR(IFS(XLOOKUP(B141, 'Kit Delivery Status'!$U:$U, 'Kit Delivery Status'!$K:$K) = "Complete", "DELIVERED", XLOOKUP(B141, 'Kit Delivery Status'!$U:$U, 'Kit Delivery Status'!$K:$K) = "Issue", "ISSUE"), "")</f>
        <v/>
      </c>
      <c r="AM141" s="6"/>
    </row>
    <row r="142">
      <c r="A142" s="5" t="str">
        <f t="shared" si="6"/>
        <v>https://utrucking.myshopify.com/admin/orders?query=15121</v>
      </c>
      <c r="B142" s="6" t="s">
        <v>797</v>
      </c>
      <c r="C142" s="6" t="s">
        <v>798</v>
      </c>
      <c r="D142" s="7">
        <v>7.146255442E9</v>
      </c>
      <c r="E142" s="6" t="s">
        <v>799</v>
      </c>
      <c r="F142" s="6"/>
      <c r="G142" s="1"/>
      <c r="H142" s="1"/>
      <c r="I142" s="1"/>
      <c r="J142" s="1"/>
      <c r="K142" s="6" t="s">
        <v>66</v>
      </c>
      <c r="L142" s="6" t="s">
        <v>720</v>
      </c>
      <c r="M142" s="1"/>
      <c r="N142" s="6" t="s">
        <v>52</v>
      </c>
      <c r="O142" s="8">
        <v>2203.0</v>
      </c>
      <c r="P142" s="9">
        <v>45883.0</v>
      </c>
      <c r="Q142" s="6" t="s">
        <v>674</v>
      </c>
      <c r="R142" s="1"/>
      <c r="S142" s="1"/>
      <c r="T142" s="1"/>
      <c r="U142" s="6" t="s">
        <v>116</v>
      </c>
      <c r="V142" s="8">
        <v>2203.0</v>
      </c>
      <c r="W142" s="1"/>
      <c r="X142" s="9">
        <v>45883.0</v>
      </c>
      <c r="Y142" s="6" t="s">
        <v>674</v>
      </c>
      <c r="Z142" s="1"/>
      <c r="AA142" s="1"/>
      <c r="AB142" s="1"/>
      <c r="AC142" s="1"/>
      <c r="AD142" s="1"/>
      <c r="AE142" s="1"/>
      <c r="AF142" s="1"/>
      <c r="AG142" s="1"/>
      <c r="AH142" s="1"/>
      <c r="AI142" s="6" t="s">
        <v>800</v>
      </c>
      <c r="AJ142" s="6"/>
      <c r="AK142" s="6"/>
      <c r="AL142" s="6" t="str">
        <f t="array" ref="AL142">IFERROR(IFS(XLOOKUP(B142, 'Kit Delivery Status'!$U:$U, 'Kit Delivery Status'!$K:$K) = "Complete", "DELIVERED", XLOOKUP(B142, 'Kit Delivery Status'!$U:$U, 'Kit Delivery Status'!$K:$K) = "Issue", "ISSUE"), "")</f>
        <v/>
      </c>
      <c r="AM142" s="6"/>
    </row>
    <row r="143">
      <c r="A143" s="5" t="str">
        <f t="shared" si="6"/>
        <v>https://utrucking.myshopify.com/admin/orders?query=15122</v>
      </c>
      <c r="B143" s="6" t="s">
        <v>801</v>
      </c>
      <c r="C143" s="6" t="s">
        <v>802</v>
      </c>
      <c r="D143" s="7">
        <v>2.673568115E9</v>
      </c>
      <c r="E143" s="6" t="s">
        <v>803</v>
      </c>
      <c r="F143" s="6" t="s">
        <v>804</v>
      </c>
      <c r="G143" s="1"/>
      <c r="H143" s="1"/>
      <c r="I143" s="1"/>
      <c r="J143" s="1"/>
      <c r="K143" s="6" t="s">
        <v>51</v>
      </c>
      <c r="L143" s="6"/>
      <c r="M143" s="1"/>
      <c r="N143" s="6" t="s">
        <v>124</v>
      </c>
      <c r="O143" s="11"/>
      <c r="P143" s="9">
        <v>45878.0</v>
      </c>
      <c r="Q143" s="6" t="s">
        <v>728</v>
      </c>
      <c r="R143" s="1"/>
      <c r="S143" s="1"/>
      <c r="T143" s="1"/>
      <c r="U143" s="6"/>
      <c r="V143" s="11"/>
      <c r="W143" s="1"/>
      <c r="X143" s="9">
        <v>45878.0</v>
      </c>
      <c r="Y143" s="6" t="s">
        <v>728</v>
      </c>
      <c r="Z143" s="1"/>
      <c r="AA143" s="1"/>
      <c r="AB143" s="1"/>
      <c r="AC143" s="1"/>
      <c r="AD143" s="1"/>
      <c r="AE143" s="1"/>
      <c r="AF143" s="1"/>
      <c r="AG143" s="1"/>
      <c r="AH143" s="1"/>
      <c r="AI143" s="6"/>
      <c r="AJ143" s="6"/>
      <c r="AK143" s="6"/>
      <c r="AL143" s="6" t="str">
        <f t="array" ref="AL143">IFERROR(IFS(XLOOKUP(B143, 'Kit Delivery Status'!$U:$U, 'Kit Delivery Status'!$K:$K) = "Complete", "DELIVERED", XLOOKUP(B143, 'Kit Delivery Status'!$U:$U, 'Kit Delivery Status'!$K:$K) = "Issue", "ISSUE"), "")</f>
        <v/>
      </c>
      <c r="AM143" s="6"/>
    </row>
    <row r="144">
      <c r="A144" s="5" t="str">
        <f t="shared" si="6"/>
        <v>https://utrucking.myshopify.com/admin/orders?query=15123</v>
      </c>
      <c r="B144" s="6" t="s">
        <v>805</v>
      </c>
      <c r="C144" s="6" t="s">
        <v>806</v>
      </c>
      <c r="D144" s="7">
        <v>1.9176867838E10</v>
      </c>
      <c r="E144" s="6" t="s">
        <v>807</v>
      </c>
      <c r="F144" s="6"/>
      <c r="G144" s="1"/>
      <c r="H144" s="1"/>
      <c r="I144" s="1"/>
      <c r="J144" s="1"/>
      <c r="K144" s="6" t="s">
        <v>75</v>
      </c>
      <c r="L144" s="19" t="s">
        <v>808</v>
      </c>
      <c r="M144" s="1"/>
      <c r="N144" s="6" t="s">
        <v>52</v>
      </c>
      <c r="O144" s="17" t="s">
        <v>809</v>
      </c>
      <c r="P144" s="9">
        <v>45883.0</v>
      </c>
      <c r="Q144" s="6" t="s">
        <v>96</v>
      </c>
      <c r="R144" s="1"/>
      <c r="S144" s="1"/>
      <c r="T144" s="1"/>
      <c r="U144" s="12" t="s">
        <v>299</v>
      </c>
      <c r="V144" s="17" t="s">
        <v>809</v>
      </c>
      <c r="W144" s="1"/>
      <c r="X144" s="9">
        <v>45883.0</v>
      </c>
      <c r="Y144" s="6" t="s">
        <v>96</v>
      </c>
      <c r="Z144" s="1"/>
      <c r="AA144" s="1"/>
      <c r="AB144" s="1"/>
      <c r="AC144" s="1"/>
      <c r="AD144" s="1"/>
      <c r="AE144" s="1"/>
      <c r="AF144" s="1"/>
      <c r="AG144" s="1"/>
      <c r="AH144" s="1"/>
      <c r="AI144" s="6" t="s">
        <v>810</v>
      </c>
      <c r="AJ144" s="6"/>
      <c r="AK144" s="6"/>
      <c r="AL144" s="6" t="str">
        <f t="array" ref="AL144">IFERROR(IFS(XLOOKUP(B144, 'Kit Delivery Status'!$U:$U, 'Kit Delivery Status'!$K:$K) = "Complete", "DELIVERED", XLOOKUP(B144, 'Kit Delivery Status'!$U:$U, 'Kit Delivery Status'!$K:$K) = "Issue", "ISSUE"), "")</f>
        <v/>
      </c>
      <c r="AM144" s="6"/>
    </row>
    <row r="145">
      <c r="A145" s="5" t="str">
        <f t="shared" si="6"/>
        <v>https://utrucking.myshopify.com/admin/orders?query=15124</v>
      </c>
      <c r="B145" s="6" t="s">
        <v>553</v>
      </c>
      <c r="C145" s="6" t="s">
        <v>554</v>
      </c>
      <c r="D145" s="7">
        <v>9.175660907E9</v>
      </c>
      <c r="E145" s="6" t="s">
        <v>556</v>
      </c>
      <c r="F145" s="6"/>
      <c r="G145" s="1"/>
      <c r="H145" s="1"/>
      <c r="I145" s="1"/>
      <c r="J145" s="1"/>
      <c r="K145" s="6" t="s">
        <v>66</v>
      </c>
      <c r="L145" s="6" t="s">
        <v>648</v>
      </c>
      <c r="M145" s="1"/>
      <c r="N145" s="6" t="s">
        <v>52</v>
      </c>
      <c r="O145" s="17" t="s">
        <v>270</v>
      </c>
      <c r="P145" s="9">
        <v>45882.0</v>
      </c>
      <c r="Q145" s="6" t="s">
        <v>54</v>
      </c>
      <c r="R145" s="1"/>
      <c r="S145" s="1"/>
      <c r="T145" s="1"/>
      <c r="U145" s="12" t="s">
        <v>186</v>
      </c>
      <c r="V145" s="17" t="s">
        <v>270</v>
      </c>
      <c r="W145" s="1"/>
      <c r="X145" s="9">
        <v>45882.0</v>
      </c>
      <c r="Y145" s="6" t="s">
        <v>54</v>
      </c>
      <c r="Z145" s="1"/>
      <c r="AA145" s="1"/>
      <c r="AB145" s="1"/>
      <c r="AC145" s="1"/>
      <c r="AD145" s="1"/>
      <c r="AE145" s="1"/>
      <c r="AF145" s="1"/>
      <c r="AG145" s="1"/>
      <c r="AH145" s="1"/>
      <c r="AI145" s="6"/>
      <c r="AJ145" s="6"/>
      <c r="AK145" s="6"/>
      <c r="AL145" s="6" t="str">
        <f t="array" ref="AL145">IFERROR(IFS(XLOOKUP(B145, 'Kit Delivery Status'!$U:$U, 'Kit Delivery Status'!$K:$K) = "Complete", "DELIVERED", XLOOKUP(B145, 'Kit Delivery Status'!$U:$U, 'Kit Delivery Status'!$K:$K) = "Issue", "ISSUE"), "")</f>
        <v/>
      </c>
      <c r="AM145" s="6"/>
    </row>
    <row r="146">
      <c r="A146" s="5" t="str">
        <f t="shared" si="6"/>
        <v>https://utrucking.myshopify.com/admin/orders?query=15128</v>
      </c>
      <c r="B146" s="6" t="s">
        <v>253</v>
      </c>
      <c r="C146" s="6" t="s">
        <v>254</v>
      </c>
      <c r="D146" s="10" t="s">
        <v>811</v>
      </c>
      <c r="E146" s="6" t="s">
        <v>256</v>
      </c>
      <c r="F146" s="6"/>
      <c r="G146" s="1"/>
      <c r="H146" s="1"/>
      <c r="I146" s="1"/>
      <c r="J146" s="1"/>
      <c r="K146" s="6" t="s">
        <v>66</v>
      </c>
      <c r="L146" s="6" t="s">
        <v>67</v>
      </c>
      <c r="M146" s="1"/>
      <c r="N146" s="6" t="s">
        <v>52</v>
      </c>
      <c r="O146" s="11" t="s">
        <v>258</v>
      </c>
      <c r="P146" s="9">
        <v>45882.0</v>
      </c>
      <c r="Q146" s="6" t="s">
        <v>60</v>
      </c>
      <c r="R146" s="1"/>
      <c r="S146" s="1"/>
      <c r="T146" s="1"/>
      <c r="U146" s="6" t="s">
        <v>102</v>
      </c>
      <c r="V146" s="11" t="s">
        <v>258</v>
      </c>
      <c r="W146" s="1"/>
      <c r="X146" s="9">
        <v>45882.0</v>
      </c>
      <c r="Y146" s="6" t="s">
        <v>60</v>
      </c>
      <c r="Z146" s="1"/>
      <c r="AA146" s="1"/>
      <c r="AB146" s="1"/>
      <c r="AC146" s="1"/>
      <c r="AD146" s="1"/>
      <c r="AE146" s="1"/>
      <c r="AF146" s="1"/>
      <c r="AG146" s="1"/>
      <c r="AH146" s="1"/>
      <c r="AI146" s="6"/>
      <c r="AJ146" s="6"/>
      <c r="AK146" s="6"/>
      <c r="AL146" s="6" t="str">
        <f t="array" ref="AL146">IFERROR(IFS(XLOOKUP(B146, 'Kit Delivery Status'!$U:$U, 'Kit Delivery Status'!$K:$K) = "Complete", "DELIVERED", XLOOKUP(B146, 'Kit Delivery Status'!$U:$U, 'Kit Delivery Status'!$K:$K) = "Issue", "ISSUE"), "")</f>
        <v/>
      </c>
      <c r="AM146" s="6"/>
    </row>
    <row r="147">
      <c r="A147" s="5" t="str">
        <f t="shared" si="6"/>
        <v>https://utrucking.myshopify.com/admin/orders?query=15130</v>
      </c>
      <c r="B147" s="20" t="s">
        <v>812</v>
      </c>
      <c r="C147" s="20" t="s">
        <v>813</v>
      </c>
      <c r="D147" s="32" t="s">
        <v>814</v>
      </c>
      <c r="E147" s="20" t="s">
        <v>815</v>
      </c>
      <c r="F147" s="20"/>
      <c r="G147" s="22"/>
      <c r="H147" s="22"/>
      <c r="I147" s="22"/>
      <c r="J147" s="22"/>
      <c r="K147" s="20" t="s">
        <v>66</v>
      </c>
      <c r="L147" s="20" t="s">
        <v>640</v>
      </c>
      <c r="M147" s="22"/>
      <c r="N147" s="20" t="s">
        <v>52</v>
      </c>
      <c r="O147" s="26">
        <v>1021.0</v>
      </c>
      <c r="P147" s="25">
        <v>45890.0</v>
      </c>
      <c r="Q147" s="20" t="s">
        <v>54</v>
      </c>
      <c r="R147" s="22"/>
      <c r="S147" s="22"/>
      <c r="T147" s="22"/>
      <c r="U147" s="20" t="s">
        <v>816</v>
      </c>
      <c r="V147" s="26">
        <v>1021.0</v>
      </c>
      <c r="W147" s="22"/>
      <c r="X147" s="25">
        <v>45890.0</v>
      </c>
      <c r="Y147" s="20" t="s">
        <v>54</v>
      </c>
      <c r="Z147" s="22"/>
      <c r="AA147" s="22"/>
      <c r="AB147" s="22"/>
      <c r="AC147" s="22"/>
      <c r="AD147" s="22"/>
      <c r="AE147" s="22"/>
      <c r="AF147" s="22"/>
      <c r="AG147" s="22"/>
      <c r="AH147" s="22"/>
      <c r="AI147" s="20"/>
      <c r="AJ147" s="20"/>
      <c r="AK147" s="20"/>
      <c r="AL147" s="6" t="str">
        <f t="array" ref="AL147">IFERROR(IFS(XLOOKUP(B147, 'Kit Delivery Status'!$U:$U, 'Kit Delivery Status'!$K:$K) = "Complete", "DELIVERED", XLOOKUP(B147, 'Kit Delivery Status'!$U:$U, 'Kit Delivery Status'!$K:$K) = "Issue", "ISSUE"), "")</f>
        <v/>
      </c>
      <c r="AM147" s="6"/>
    </row>
    <row r="148">
      <c r="A148" s="5" t="str">
        <f t="shared" si="6"/>
        <v>https://utrucking.myshopify.com/admin/orders?query=15132</v>
      </c>
      <c r="B148" s="6" t="s">
        <v>817</v>
      </c>
      <c r="C148" s="6" t="s">
        <v>605</v>
      </c>
      <c r="D148" s="7">
        <v>5.168154488E9</v>
      </c>
      <c r="E148" s="6" t="s">
        <v>818</v>
      </c>
      <c r="F148" s="6"/>
      <c r="G148" s="1"/>
      <c r="H148" s="1"/>
      <c r="I148" s="1"/>
      <c r="J148" s="1"/>
      <c r="K148" s="6" t="s">
        <v>66</v>
      </c>
      <c r="L148" s="6" t="s">
        <v>720</v>
      </c>
      <c r="M148" s="1"/>
      <c r="N148" s="6" t="s">
        <v>52</v>
      </c>
      <c r="O148" s="8">
        <v>2218.0</v>
      </c>
      <c r="P148" s="9">
        <v>45882.0</v>
      </c>
      <c r="Q148" s="6" t="s">
        <v>160</v>
      </c>
      <c r="R148" s="1"/>
      <c r="S148" s="1"/>
      <c r="T148" s="1"/>
      <c r="U148" s="6" t="s">
        <v>186</v>
      </c>
      <c r="V148" s="8">
        <v>2218.0</v>
      </c>
      <c r="W148" s="1"/>
      <c r="X148" s="9">
        <v>45882.0</v>
      </c>
      <c r="Y148" s="6" t="s">
        <v>160</v>
      </c>
      <c r="Z148" s="1"/>
      <c r="AA148" s="1"/>
      <c r="AB148" s="1"/>
      <c r="AC148" s="1"/>
      <c r="AD148" s="1"/>
      <c r="AE148" s="1"/>
      <c r="AF148" s="1"/>
      <c r="AG148" s="1"/>
      <c r="AH148" s="1"/>
      <c r="AI148" s="6"/>
      <c r="AJ148" s="6"/>
      <c r="AK148" s="6"/>
      <c r="AL148" s="6" t="str">
        <f t="array" ref="AL148">IFERROR(IFS(XLOOKUP(B148, 'Kit Delivery Status'!$U:$U, 'Kit Delivery Status'!$K:$K) = "Complete", "DELIVERED", XLOOKUP(B148, 'Kit Delivery Status'!$U:$U, 'Kit Delivery Status'!$K:$K) = "Issue", "ISSUE"), "")</f>
        <v/>
      </c>
      <c r="AM148" s="6"/>
    </row>
    <row r="149">
      <c r="A149" s="5" t="str">
        <f t="shared" si="6"/>
        <v>https://utrucking.myshopify.com/admin/orders?query=15133</v>
      </c>
      <c r="B149" s="6" t="s">
        <v>819</v>
      </c>
      <c r="C149" s="6"/>
      <c r="D149" s="7">
        <v>1.6784277093E10</v>
      </c>
      <c r="E149" s="6" t="s">
        <v>820</v>
      </c>
      <c r="F149" s="6"/>
      <c r="G149" s="1"/>
      <c r="H149" s="1"/>
      <c r="I149" s="1"/>
      <c r="J149" s="1"/>
      <c r="K149" s="6" t="s">
        <v>66</v>
      </c>
      <c r="L149" s="6" t="s">
        <v>720</v>
      </c>
      <c r="M149" s="1"/>
      <c r="N149" s="6" t="s">
        <v>52</v>
      </c>
      <c r="O149" s="17" t="s">
        <v>821</v>
      </c>
      <c r="P149" s="9">
        <v>45882.0</v>
      </c>
      <c r="Q149" s="6" t="s">
        <v>239</v>
      </c>
      <c r="R149" s="1"/>
      <c r="S149" s="1"/>
      <c r="T149" s="1"/>
      <c r="U149" s="12" t="s">
        <v>109</v>
      </c>
      <c r="V149" s="17" t="s">
        <v>821</v>
      </c>
      <c r="W149" s="1"/>
      <c r="X149" s="9">
        <v>45882.0</v>
      </c>
      <c r="Y149" s="6" t="s">
        <v>239</v>
      </c>
      <c r="Z149" s="1"/>
      <c r="AA149" s="1"/>
      <c r="AB149" s="1"/>
      <c r="AC149" s="1"/>
      <c r="AD149" s="1"/>
      <c r="AE149" s="1"/>
      <c r="AF149" s="1"/>
      <c r="AG149" s="1"/>
      <c r="AH149" s="1"/>
      <c r="AI149" s="6"/>
      <c r="AJ149" s="6"/>
      <c r="AK149" s="6"/>
      <c r="AL149" s="6" t="str">
        <f t="array" ref="AL149">IFERROR(IFS(XLOOKUP(B149, 'Kit Delivery Status'!$U:$U, 'Kit Delivery Status'!$K:$K) = "Complete", "DELIVERED", XLOOKUP(B149, 'Kit Delivery Status'!$U:$U, 'Kit Delivery Status'!$K:$K) = "Issue", "ISSUE"), "")</f>
        <v/>
      </c>
      <c r="AM149" s="6"/>
    </row>
    <row r="150">
      <c r="A150" s="5" t="str">
        <f t="shared" si="6"/>
        <v>https://utrucking.myshopify.com/admin/orders?query=15135</v>
      </c>
      <c r="B150" s="6" t="s">
        <v>822</v>
      </c>
      <c r="C150" s="6" t="s">
        <v>823</v>
      </c>
      <c r="D150" s="7">
        <v>9.286154344E9</v>
      </c>
      <c r="E150" s="6" t="s">
        <v>824</v>
      </c>
      <c r="F150" s="6"/>
      <c r="G150" s="1"/>
      <c r="H150" s="1"/>
      <c r="I150" s="1"/>
      <c r="J150" s="1"/>
      <c r="K150" s="6" t="s">
        <v>66</v>
      </c>
      <c r="L150" s="6" t="s">
        <v>648</v>
      </c>
      <c r="M150" s="1"/>
      <c r="N150" s="6" t="s">
        <v>52</v>
      </c>
      <c r="O150" s="8">
        <v>1024.0</v>
      </c>
      <c r="P150" s="9">
        <v>45877.0</v>
      </c>
      <c r="Q150" s="6" t="s">
        <v>96</v>
      </c>
      <c r="R150" s="1"/>
      <c r="S150" s="1"/>
      <c r="T150" s="1"/>
      <c r="U150" s="6" t="s">
        <v>639</v>
      </c>
      <c r="V150" s="8">
        <v>1024.0</v>
      </c>
      <c r="W150" s="1"/>
      <c r="X150" s="9">
        <v>45877.0</v>
      </c>
      <c r="Y150" s="6" t="s">
        <v>96</v>
      </c>
      <c r="Z150" s="1"/>
      <c r="AA150" s="1"/>
      <c r="AB150" s="1"/>
      <c r="AC150" s="1"/>
      <c r="AD150" s="1"/>
      <c r="AE150" s="1"/>
      <c r="AF150" s="1"/>
      <c r="AG150" s="1"/>
      <c r="AH150" s="1"/>
      <c r="AI150" s="6" t="s">
        <v>825</v>
      </c>
      <c r="AJ150" s="6"/>
      <c r="AK150" s="6"/>
      <c r="AL150" s="6" t="str">
        <f t="array" ref="AL150">IFERROR(IFS(XLOOKUP(B150, 'Kit Delivery Status'!$U:$U, 'Kit Delivery Status'!$K:$K) = "Complete", "DELIVERED", XLOOKUP(B150, 'Kit Delivery Status'!$U:$U, 'Kit Delivery Status'!$K:$K) = "Issue", "ISSUE"), "")</f>
        <v/>
      </c>
      <c r="AM150" s="6"/>
    </row>
    <row r="151">
      <c r="A151" s="5" t="str">
        <f t="shared" si="6"/>
        <v>https://utrucking.myshopify.com/admin/orders?query=15136</v>
      </c>
      <c r="B151" s="20" t="s">
        <v>826</v>
      </c>
      <c r="C151" s="20" t="s">
        <v>827</v>
      </c>
      <c r="D151" s="21">
        <v>5.614137625E9</v>
      </c>
      <c r="E151" s="20" t="s">
        <v>828</v>
      </c>
      <c r="F151" s="20"/>
      <c r="G151" s="22"/>
      <c r="H151" s="22"/>
      <c r="I151" s="22"/>
      <c r="J151" s="22"/>
      <c r="K151" s="20" t="s">
        <v>66</v>
      </c>
      <c r="L151" s="20" t="s">
        <v>644</v>
      </c>
      <c r="M151" s="22"/>
      <c r="N151" s="20" t="s">
        <v>52</v>
      </c>
      <c r="O151" s="26">
        <v>2103.0</v>
      </c>
      <c r="P151" s="25">
        <v>45890.0</v>
      </c>
      <c r="Q151" s="20" t="s">
        <v>88</v>
      </c>
      <c r="R151" s="22"/>
      <c r="S151" s="22"/>
      <c r="T151" s="22"/>
      <c r="U151" s="20" t="s">
        <v>222</v>
      </c>
      <c r="V151" s="26">
        <v>2103.0</v>
      </c>
      <c r="W151" s="22"/>
      <c r="X151" s="25">
        <v>45890.0</v>
      </c>
      <c r="Y151" s="20" t="s">
        <v>88</v>
      </c>
      <c r="Z151" s="22"/>
      <c r="AA151" s="22"/>
      <c r="AB151" s="22"/>
      <c r="AC151" s="22"/>
      <c r="AD151" s="22"/>
      <c r="AE151" s="22"/>
      <c r="AF151" s="22"/>
      <c r="AG151" s="22"/>
      <c r="AH151" s="22"/>
      <c r="AI151" s="20"/>
      <c r="AJ151" s="20"/>
      <c r="AK151" s="20"/>
      <c r="AL151" s="6" t="str">
        <f t="array" ref="AL151">IFERROR(IFS(XLOOKUP(B151, 'Kit Delivery Status'!$U:$U, 'Kit Delivery Status'!$K:$K) = "Complete", "DELIVERED", XLOOKUP(B151, 'Kit Delivery Status'!$U:$U, 'Kit Delivery Status'!$K:$K) = "Issue", "ISSUE"), "")</f>
        <v/>
      </c>
      <c r="AM151" s="6"/>
    </row>
    <row r="152">
      <c r="A152" s="5" t="str">
        <f t="shared" si="6"/>
        <v>https://utrucking.myshopify.com/admin/orders?query=15137</v>
      </c>
      <c r="B152" s="6" t="s">
        <v>271</v>
      </c>
      <c r="C152" s="6" t="s">
        <v>272</v>
      </c>
      <c r="D152" s="10" t="s">
        <v>273</v>
      </c>
      <c r="E152" s="6" t="s">
        <v>829</v>
      </c>
      <c r="F152" s="6"/>
      <c r="G152" s="1"/>
      <c r="H152" s="1"/>
      <c r="I152" s="1"/>
      <c r="J152" s="1"/>
      <c r="K152" s="6" t="s">
        <v>51</v>
      </c>
      <c r="L152" s="6"/>
      <c r="M152" s="1"/>
      <c r="N152" s="6" t="s">
        <v>52</v>
      </c>
      <c r="O152" s="11" t="s">
        <v>277</v>
      </c>
      <c r="P152" s="9">
        <v>45889.0</v>
      </c>
      <c r="Q152" s="6" t="s">
        <v>96</v>
      </c>
      <c r="R152" s="1"/>
      <c r="S152" s="1"/>
      <c r="T152" s="1"/>
      <c r="U152" s="6" t="s">
        <v>276</v>
      </c>
      <c r="V152" s="11" t="s">
        <v>277</v>
      </c>
      <c r="W152" s="1"/>
      <c r="X152" s="9">
        <v>45889.0</v>
      </c>
      <c r="Y152" s="6" t="s">
        <v>96</v>
      </c>
      <c r="Z152" s="1"/>
      <c r="AA152" s="1"/>
      <c r="AB152" s="1"/>
      <c r="AC152" s="1"/>
      <c r="AD152" s="1"/>
      <c r="AE152" s="1"/>
      <c r="AF152" s="1"/>
      <c r="AG152" s="1"/>
      <c r="AH152" s="1"/>
      <c r="AI152" s="6"/>
      <c r="AJ152" s="6"/>
      <c r="AK152" s="6"/>
      <c r="AL152" s="6" t="str">
        <f t="array" ref="AL152">IFERROR(IFS(XLOOKUP(B152, 'Kit Delivery Status'!$U:$U, 'Kit Delivery Status'!$K:$K) = "Complete", "DELIVERED", XLOOKUP(B152, 'Kit Delivery Status'!$U:$U, 'Kit Delivery Status'!$K:$K) = "Issue", "ISSUE"), "")</f>
        <v/>
      </c>
      <c r="AM152" s="6"/>
    </row>
    <row r="153">
      <c r="A153" s="5" t="str">
        <f t="shared" si="6"/>
        <v>https://utrucking.myshopify.com/admin/orders?query=15138</v>
      </c>
      <c r="B153" s="6" t="s">
        <v>586</v>
      </c>
      <c r="C153" s="6" t="s">
        <v>587</v>
      </c>
      <c r="D153" s="7">
        <v>9.177330027E9</v>
      </c>
      <c r="E153" s="6" t="s">
        <v>589</v>
      </c>
      <c r="F153" s="6"/>
      <c r="G153" s="1"/>
      <c r="H153" s="1"/>
      <c r="I153" s="1"/>
      <c r="J153" s="1"/>
      <c r="K153" s="6" t="s">
        <v>66</v>
      </c>
      <c r="L153" s="6" t="s">
        <v>720</v>
      </c>
      <c r="M153" s="1"/>
      <c r="N153" s="6" t="s">
        <v>52</v>
      </c>
      <c r="O153" s="11" t="s">
        <v>103</v>
      </c>
      <c r="P153" s="9">
        <v>45882.0</v>
      </c>
      <c r="Q153" s="6" t="s">
        <v>54</v>
      </c>
      <c r="R153" s="1"/>
      <c r="S153" s="1"/>
      <c r="T153" s="1"/>
      <c r="U153" s="6" t="s">
        <v>102</v>
      </c>
      <c r="V153" s="11" t="s">
        <v>103</v>
      </c>
      <c r="W153" s="1"/>
      <c r="X153" s="9">
        <v>45882.0</v>
      </c>
      <c r="Y153" s="6" t="s">
        <v>54</v>
      </c>
      <c r="Z153" s="1"/>
      <c r="AA153" s="1"/>
      <c r="AB153" s="1"/>
      <c r="AC153" s="1"/>
      <c r="AD153" s="1"/>
      <c r="AE153" s="1"/>
      <c r="AF153" s="1"/>
      <c r="AG153" s="1"/>
      <c r="AH153" s="1"/>
      <c r="AI153" s="6"/>
      <c r="AJ153" s="6"/>
      <c r="AK153" s="6"/>
      <c r="AL153" s="6" t="str">
        <f t="array" ref="AL153">IFERROR(IFS(XLOOKUP(B153, 'Kit Delivery Status'!$U:$U, 'Kit Delivery Status'!$K:$K) = "Complete", "DELIVERED", XLOOKUP(B153, 'Kit Delivery Status'!$U:$U, 'Kit Delivery Status'!$K:$K) = "Issue", "ISSUE"), "")</f>
        <v/>
      </c>
      <c r="AM153" s="6"/>
    </row>
    <row r="154">
      <c r="A154" s="5" t="str">
        <f t="shared" si="6"/>
        <v>https://utrucking.myshopify.com/admin/orders?query=15139</v>
      </c>
      <c r="B154" s="6" t="s">
        <v>558</v>
      </c>
      <c r="C154" s="6" t="s">
        <v>559</v>
      </c>
      <c r="D154" s="7">
        <v>1.2039136275E10</v>
      </c>
      <c r="E154" s="6" t="s">
        <v>561</v>
      </c>
      <c r="F154" s="6"/>
      <c r="G154" s="1"/>
      <c r="H154" s="1"/>
      <c r="I154" s="1"/>
      <c r="J154" s="1"/>
      <c r="K154" s="6" t="s">
        <v>66</v>
      </c>
      <c r="L154" s="12" t="s">
        <v>652</v>
      </c>
      <c r="M154" s="1"/>
      <c r="N154" s="6" t="s">
        <v>52</v>
      </c>
      <c r="O154" s="8">
        <v>3310.0</v>
      </c>
      <c r="P154" s="9">
        <v>45882.0</v>
      </c>
      <c r="Q154" s="6" t="s">
        <v>54</v>
      </c>
      <c r="R154" s="1"/>
      <c r="S154" s="1"/>
      <c r="T154" s="1"/>
      <c r="U154" s="6" t="s">
        <v>78</v>
      </c>
      <c r="V154" s="8">
        <v>3310.0</v>
      </c>
      <c r="W154" s="1"/>
      <c r="X154" s="9">
        <v>45882.0</v>
      </c>
      <c r="Y154" s="6" t="s">
        <v>54</v>
      </c>
      <c r="Z154" s="1"/>
      <c r="AA154" s="1"/>
      <c r="AB154" s="1"/>
      <c r="AC154" s="1"/>
      <c r="AD154" s="1"/>
      <c r="AE154" s="1"/>
      <c r="AF154" s="1"/>
      <c r="AG154" s="1"/>
      <c r="AH154" s="1"/>
      <c r="AI154" s="6"/>
      <c r="AJ154" s="6"/>
      <c r="AK154" s="6"/>
      <c r="AL154" s="6" t="str">
        <f t="array" ref="AL154">IFERROR(IFS(XLOOKUP(B154, 'Kit Delivery Status'!$U:$U, 'Kit Delivery Status'!$K:$K) = "Complete", "DELIVERED", XLOOKUP(B154, 'Kit Delivery Status'!$U:$U, 'Kit Delivery Status'!$K:$K) = "Issue", "ISSUE"), "")</f>
        <v/>
      </c>
      <c r="AM154" s="6"/>
    </row>
    <row r="155">
      <c r="A155" s="5" t="str">
        <f t="shared" si="6"/>
        <v>https://utrucking.myshopify.com/admin/orders?query=15140</v>
      </c>
      <c r="B155" s="6" t="s">
        <v>830</v>
      </c>
      <c r="C155" s="6" t="s">
        <v>831</v>
      </c>
      <c r="D155" s="7">
        <v>6.303072371E9</v>
      </c>
      <c r="E155" s="6" t="s">
        <v>832</v>
      </c>
      <c r="F155" s="6"/>
      <c r="G155" s="1"/>
      <c r="H155" s="1"/>
      <c r="I155" s="1"/>
      <c r="J155" s="1"/>
      <c r="K155" s="6" t="s">
        <v>66</v>
      </c>
      <c r="L155" s="6" t="s">
        <v>648</v>
      </c>
      <c r="M155" s="1"/>
      <c r="N155" s="6" t="s">
        <v>52</v>
      </c>
      <c r="O155" s="8">
        <v>4102.0</v>
      </c>
      <c r="P155" s="9">
        <v>45882.0</v>
      </c>
      <c r="Q155" s="6" t="s">
        <v>88</v>
      </c>
      <c r="R155" s="1"/>
      <c r="S155" s="1"/>
      <c r="T155" s="1"/>
      <c r="U155" s="6" t="s">
        <v>61</v>
      </c>
      <c r="V155" s="8">
        <v>4102.0</v>
      </c>
      <c r="W155" s="1"/>
      <c r="X155" s="9">
        <v>45882.0</v>
      </c>
      <c r="Y155" s="6" t="s">
        <v>88</v>
      </c>
      <c r="Z155" s="1"/>
      <c r="AA155" s="1"/>
      <c r="AB155" s="1"/>
      <c r="AC155" s="1"/>
      <c r="AD155" s="1"/>
      <c r="AE155" s="1"/>
      <c r="AF155" s="1"/>
      <c r="AG155" s="1"/>
      <c r="AH155" s="1"/>
      <c r="AI155" s="6" t="s">
        <v>833</v>
      </c>
      <c r="AJ155" s="6"/>
      <c r="AK155" s="6"/>
      <c r="AL155" s="6" t="str">
        <f t="array" ref="AL155">IFERROR(IFS(XLOOKUP(B155, 'Kit Delivery Status'!$U:$U, 'Kit Delivery Status'!$K:$K) = "Complete", "DELIVERED", XLOOKUP(B155, 'Kit Delivery Status'!$U:$U, 'Kit Delivery Status'!$K:$K) = "Issue", "ISSUE"), "")</f>
        <v/>
      </c>
      <c r="AM155" s="6"/>
    </row>
    <row r="156">
      <c r="A156" s="5" t="str">
        <f t="shared" si="6"/>
        <v>https://utrucking.myshopify.com/admin/orders?query=15142</v>
      </c>
      <c r="B156" s="6" t="s">
        <v>834</v>
      </c>
      <c r="C156" s="6" t="s">
        <v>835</v>
      </c>
      <c r="D156" s="7">
        <v>2.162465632E9</v>
      </c>
      <c r="E156" s="6" t="s">
        <v>836</v>
      </c>
      <c r="F156" s="6"/>
      <c r="G156" s="1"/>
      <c r="H156" s="1"/>
      <c r="I156" s="1"/>
      <c r="J156" s="1"/>
      <c r="K156" s="6" t="s">
        <v>66</v>
      </c>
      <c r="L156" s="12" t="s">
        <v>67</v>
      </c>
      <c r="M156" s="1"/>
      <c r="N156" s="6" t="s">
        <v>52</v>
      </c>
      <c r="O156" s="11" t="s">
        <v>837</v>
      </c>
      <c r="P156" s="9">
        <v>45890.0</v>
      </c>
      <c r="Q156" s="6" t="s">
        <v>239</v>
      </c>
      <c r="R156" s="1"/>
      <c r="S156" s="1"/>
      <c r="T156" s="1"/>
      <c r="U156" s="6" t="s">
        <v>737</v>
      </c>
      <c r="V156" s="11" t="s">
        <v>837</v>
      </c>
      <c r="W156" s="1"/>
      <c r="X156" s="9">
        <v>45890.0</v>
      </c>
      <c r="Y156" s="6" t="s">
        <v>239</v>
      </c>
      <c r="Z156" s="1"/>
      <c r="AA156" s="1"/>
      <c r="AB156" s="1"/>
      <c r="AC156" s="1"/>
      <c r="AD156" s="1"/>
      <c r="AE156" s="1"/>
      <c r="AF156" s="1"/>
      <c r="AG156" s="1"/>
      <c r="AH156" s="1"/>
      <c r="AI156" s="6"/>
      <c r="AJ156" s="6"/>
      <c r="AK156" s="6"/>
      <c r="AL156" s="6" t="str">
        <f t="array" ref="AL156">IFERROR(IFS(XLOOKUP(B156, 'Kit Delivery Status'!$U:$U, 'Kit Delivery Status'!$K:$K) = "Complete", "DELIVERED", XLOOKUP(B156, 'Kit Delivery Status'!$U:$U, 'Kit Delivery Status'!$K:$K) = "Issue", "ISSUE"), "")</f>
        <v/>
      </c>
      <c r="AM156" s="6"/>
    </row>
    <row r="157">
      <c r="A157" s="5" t="str">
        <f t="shared" si="6"/>
        <v>https://utrucking.myshopify.com/admin/orders?query=15143</v>
      </c>
      <c r="B157" s="20" t="s">
        <v>838</v>
      </c>
      <c r="C157" s="20" t="s">
        <v>839</v>
      </c>
      <c r="D157" s="21">
        <v>7.046920035E9</v>
      </c>
      <c r="E157" s="20" t="s">
        <v>840</v>
      </c>
      <c r="F157" s="20"/>
      <c r="G157" s="22"/>
      <c r="H157" s="22"/>
      <c r="I157" s="22"/>
      <c r="J157" s="22"/>
      <c r="K157" s="20" t="s">
        <v>66</v>
      </c>
      <c r="L157" s="20" t="s">
        <v>644</v>
      </c>
      <c r="M157" s="22"/>
      <c r="N157" s="20" t="s">
        <v>52</v>
      </c>
      <c r="O157" s="23" t="s">
        <v>841</v>
      </c>
      <c r="P157" s="25">
        <v>45876.0</v>
      </c>
      <c r="Q157" s="20" t="s">
        <v>160</v>
      </c>
      <c r="R157" s="22"/>
      <c r="S157" s="22"/>
      <c r="T157" s="22"/>
      <c r="U157" s="20" t="s">
        <v>61</v>
      </c>
      <c r="V157" s="23" t="s">
        <v>841</v>
      </c>
      <c r="W157" s="22"/>
      <c r="X157" s="25">
        <v>45876.0</v>
      </c>
      <c r="Y157" s="20" t="s">
        <v>160</v>
      </c>
      <c r="Z157" s="22"/>
      <c r="AA157" s="22"/>
      <c r="AB157" s="22"/>
      <c r="AC157" s="22"/>
      <c r="AD157" s="22"/>
      <c r="AE157" s="22"/>
      <c r="AF157" s="22"/>
      <c r="AG157" s="22"/>
      <c r="AH157" s="22"/>
      <c r="AI157" s="20" t="s">
        <v>842</v>
      </c>
      <c r="AJ157" s="20"/>
      <c r="AK157" s="20"/>
      <c r="AL157" s="6" t="str">
        <f t="array" ref="AL157">IFERROR(IFS(XLOOKUP(B157, 'Kit Delivery Status'!$U:$U, 'Kit Delivery Status'!$K:$K) = "Complete", "DELIVERED", XLOOKUP(B157, 'Kit Delivery Status'!$U:$U, 'Kit Delivery Status'!$K:$K) = "Issue", "ISSUE"), "")</f>
        <v/>
      </c>
      <c r="AM157" s="6"/>
    </row>
    <row r="158">
      <c r="A158" s="5" t="str">
        <f t="shared" si="6"/>
        <v>https://utrucking.myshopify.com/admin/orders?query=15145</v>
      </c>
      <c r="B158" s="6" t="s">
        <v>843</v>
      </c>
      <c r="C158" s="6" t="s">
        <v>844</v>
      </c>
      <c r="D158" s="7">
        <v>2.154443289E9</v>
      </c>
      <c r="E158" s="6" t="s">
        <v>845</v>
      </c>
      <c r="F158" s="6"/>
      <c r="G158" s="1"/>
      <c r="H158" s="1"/>
      <c r="I158" s="1"/>
      <c r="J158" s="1"/>
      <c r="K158" s="6" t="s">
        <v>66</v>
      </c>
      <c r="L158" s="6" t="s">
        <v>652</v>
      </c>
      <c r="M158" s="1"/>
      <c r="N158" s="6" t="s">
        <v>52</v>
      </c>
      <c r="O158" s="8">
        <v>208.0</v>
      </c>
      <c r="P158" s="9">
        <v>45887.0</v>
      </c>
      <c r="Q158" s="6" t="s">
        <v>44</v>
      </c>
      <c r="R158" s="1"/>
      <c r="S158" s="1"/>
      <c r="T158" s="1"/>
      <c r="U158" s="6" t="s">
        <v>846</v>
      </c>
      <c r="V158" s="8">
        <v>208.0</v>
      </c>
      <c r="W158" s="1"/>
      <c r="X158" s="9">
        <v>45887.0</v>
      </c>
      <c r="Y158" s="6" t="s">
        <v>44</v>
      </c>
      <c r="Z158" s="1"/>
      <c r="AA158" s="1"/>
      <c r="AB158" s="1"/>
      <c r="AC158" s="1"/>
      <c r="AD158" s="1"/>
      <c r="AE158" s="1"/>
      <c r="AF158" s="1"/>
      <c r="AG158" s="1"/>
      <c r="AH158" s="1"/>
      <c r="AI158" s="6" t="s">
        <v>847</v>
      </c>
      <c r="AJ158" s="6"/>
      <c r="AK158" s="6"/>
      <c r="AL158" s="6" t="str">
        <f t="array" ref="AL158">IFERROR(IFS(XLOOKUP(B158, 'Kit Delivery Status'!$U:$U, 'Kit Delivery Status'!$K:$K) = "Complete", "DELIVERED", XLOOKUP(B158, 'Kit Delivery Status'!$U:$U, 'Kit Delivery Status'!$K:$K) = "Issue", "ISSUE"), "")</f>
        <v/>
      </c>
      <c r="AM158" s="6"/>
    </row>
    <row r="159">
      <c r="A159" s="5" t="str">
        <f t="shared" si="6"/>
        <v>https://utrucking.myshopify.com/admin/orders?query=15146</v>
      </c>
      <c r="B159" s="6" t="s">
        <v>848</v>
      </c>
      <c r="C159" s="6" t="s">
        <v>844</v>
      </c>
      <c r="D159" s="7">
        <v>2.155005523E9</v>
      </c>
      <c r="E159" s="6" t="s">
        <v>845</v>
      </c>
      <c r="F159" s="6"/>
      <c r="G159" s="1"/>
      <c r="H159" s="1"/>
      <c r="I159" s="1"/>
      <c r="J159" s="1"/>
      <c r="K159" s="6" t="s">
        <v>51</v>
      </c>
      <c r="L159" s="6"/>
      <c r="M159" s="1"/>
      <c r="N159" s="6" t="s">
        <v>52</v>
      </c>
      <c r="O159" s="8">
        <v>208.0</v>
      </c>
      <c r="P159" s="9">
        <v>45887.0</v>
      </c>
      <c r="Q159" s="6" t="s">
        <v>96</v>
      </c>
      <c r="R159" s="1"/>
      <c r="S159" s="1"/>
      <c r="T159" s="1"/>
      <c r="U159" s="6" t="s">
        <v>846</v>
      </c>
      <c r="V159" s="8">
        <v>208.0</v>
      </c>
      <c r="W159" s="1"/>
      <c r="X159" s="9">
        <v>45887.0</v>
      </c>
      <c r="Y159" s="6" t="s">
        <v>96</v>
      </c>
      <c r="Z159" s="1"/>
      <c r="AA159" s="1"/>
      <c r="AB159" s="1"/>
      <c r="AC159" s="1"/>
      <c r="AD159" s="1"/>
      <c r="AE159" s="1"/>
      <c r="AF159" s="1"/>
      <c r="AG159" s="1"/>
      <c r="AH159" s="1"/>
      <c r="AI159" s="6" t="s">
        <v>849</v>
      </c>
      <c r="AJ159" s="6"/>
      <c r="AK159" s="6"/>
      <c r="AL159" s="6" t="str">
        <f t="array" ref="AL159">IFERROR(IFS(XLOOKUP(B159, 'Kit Delivery Status'!$U:$U, 'Kit Delivery Status'!$K:$K) = "Complete", "DELIVERED", XLOOKUP(B159, 'Kit Delivery Status'!$U:$U, 'Kit Delivery Status'!$K:$K) = "Issue", "ISSUE"), "")</f>
        <v/>
      </c>
      <c r="AM159" s="6"/>
    </row>
    <row r="160">
      <c r="A160" s="5" t="str">
        <f t="shared" si="6"/>
        <v>https://utrucking.myshopify.com/admin/orders?query=15147</v>
      </c>
      <c r="B160" s="6" t="s">
        <v>850</v>
      </c>
      <c r="C160" s="6" t="s">
        <v>851</v>
      </c>
      <c r="D160" s="7">
        <v>1.6176349662E10</v>
      </c>
      <c r="E160" s="6" t="s">
        <v>852</v>
      </c>
      <c r="F160" s="6"/>
      <c r="G160" s="1"/>
      <c r="H160" s="1"/>
      <c r="I160" s="1"/>
      <c r="J160" s="1"/>
      <c r="K160" s="6" t="s">
        <v>51</v>
      </c>
      <c r="L160" s="6"/>
      <c r="M160" s="1"/>
      <c r="N160" s="6" t="s">
        <v>52</v>
      </c>
      <c r="O160" s="11" t="s">
        <v>853</v>
      </c>
      <c r="P160" s="9">
        <v>45892.0</v>
      </c>
      <c r="Q160" s="6" t="s">
        <v>54</v>
      </c>
      <c r="R160" s="1"/>
      <c r="S160" s="1"/>
      <c r="T160" s="1"/>
      <c r="U160" s="6" t="s">
        <v>633</v>
      </c>
      <c r="V160" s="11" t="s">
        <v>853</v>
      </c>
      <c r="W160" s="1"/>
      <c r="X160" s="9">
        <v>45892.0</v>
      </c>
      <c r="Y160" s="6" t="s">
        <v>54</v>
      </c>
      <c r="Z160" s="1"/>
      <c r="AA160" s="1"/>
      <c r="AB160" s="1"/>
      <c r="AC160" s="1"/>
      <c r="AD160" s="1"/>
      <c r="AE160" s="1"/>
      <c r="AF160" s="1"/>
      <c r="AG160" s="1"/>
      <c r="AH160" s="1"/>
      <c r="AI160" s="6"/>
      <c r="AJ160" s="6"/>
      <c r="AK160" s="6"/>
      <c r="AL160" s="6" t="str">
        <f t="array" ref="AL160">IFERROR(IFS(XLOOKUP(B160, 'Kit Delivery Status'!$U:$U, 'Kit Delivery Status'!$K:$K) = "Complete", "DELIVERED", XLOOKUP(B160, 'Kit Delivery Status'!$U:$U, 'Kit Delivery Status'!$K:$K) = "Issue", "ISSUE"), "")</f>
        <v/>
      </c>
      <c r="AM160" s="6"/>
    </row>
    <row r="161">
      <c r="A161" s="5" t="str">
        <f t="shared" si="6"/>
        <v>https://utrucking.myshopify.com/admin/orders?query=15157</v>
      </c>
      <c r="B161" s="6" t="s">
        <v>854</v>
      </c>
      <c r="C161" s="6" t="s">
        <v>855</v>
      </c>
      <c r="D161" s="7">
        <v>3.392233166E9</v>
      </c>
      <c r="E161" s="6" t="s">
        <v>856</v>
      </c>
      <c r="F161" s="6"/>
      <c r="G161" s="1"/>
      <c r="H161" s="1"/>
      <c r="I161" s="1"/>
      <c r="J161" s="1"/>
      <c r="K161" s="6" t="s">
        <v>66</v>
      </c>
      <c r="L161" s="6" t="s">
        <v>720</v>
      </c>
      <c r="M161" s="1"/>
      <c r="N161" s="6" t="s">
        <v>52</v>
      </c>
      <c r="O161" s="8">
        <v>1105.0</v>
      </c>
      <c r="P161" s="9">
        <v>45883.0</v>
      </c>
      <c r="Q161" s="6" t="s">
        <v>160</v>
      </c>
      <c r="R161" s="1"/>
      <c r="S161" s="1"/>
      <c r="T161" s="1"/>
      <c r="U161" s="6" t="s">
        <v>186</v>
      </c>
      <c r="V161" s="8">
        <v>1105.0</v>
      </c>
      <c r="W161" s="1"/>
      <c r="X161" s="9">
        <v>45883.0</v>
      </c>
      <c r="Y161" s="6" t="s">
        <v>160</v>
      </c>
      <c r="Z161" s="1"/>
      <c r="AA161" s="1"/>
      <c r="AB161" s="1"/>
      <c r="AC161" s="1"/>
      <c r="AD161" s="1"/>
      <c r="AE161" s="1"/>
      <c r="AF161" s="1"/>
      <c r="AG161" s="1"/>
      <c r="AH161" s="1"/>
      <c r="AI161" s="6"/>
      <c r="AJ161" s="6"/>
      <c r="AK161" s="6"/>
      <c r="AL161" s="6" t="str">
        <f t="array" ref="AL161">IFERROR(IFS(XLOOKUP(B161, 'Kit Delivery Status'!$U:$U, 'Kit Delivery Status'!$K:$K) = "Complete", "DELIVERED", XLOOKUP(B161, 'Kit Delivery Status'!$U:$U, 'Kit Delivery Status'!$K:$K) = "Issue", "ISSUE"), "")</f>
        <v/>
      </c>
      <c r="AM161" s="6"/>
    </row>
    <row r="162">
      <c r="A162" s="5" t="str">
        <f t="shared" si="6"/>
        <v>https://utrucking.myshopify.com/admin/orders?query=15159</v>
      </c>
      <c r="B162" s="6" t="s">
        <v>857</v>
      </c>
      <c r="C162" s="6"/>
      <c r="D162" s="7">
        <v>1.9176127037E10</v>
      </c>
      <c r="E162" s="6" t="s">
        <v>858</v>
      </c>
      <c r="F162" s="6"/>
      <c r="G162" s="1"/>
      <c r="H162" s="1"/>
      <c r="I162" s="1"/>
      <c r="J162" s="1"/>
      <c r="K162" s="6" t="s">
        <v>66</v>
      </c>
      <c r="L162" s="6" t="s">
        <v>67</v>
      </c>
      <c r="M162" s="1"/>
      <c r="N162" s="6" t="s">
        <v>52</v>
      </c>
      <c r="O162" s="17" t="s">
        <v>859</v>
      </c>
      <c r="P162" s="9">
        <v>45882.0</v>
      </c>
      <c r="Q162" s="6" t="s">
        <v>239</v>
      </c>
      <c r="R162" s="1"/>
      <c r="S162" s="1"/>
      <c r="T162" s="1"/>
      <c r="U162" s="12" t="s">
        <v>116</v>
      </c>
      <c r="V162" s="17" t="s">
        <v>859</v>
      </c>
      <c r="W162" s="1"/>
      <c r="X162" s="9">
        <v>45882.0</v>
      </c>
      <c r="Y162" s="6" t="s">
        <v>239</v>
      </c>
      <c r="Z162" s="1"/>
      <c r="AA162" s="1"/>
      <c r="AB162" s="1"/>
      <c r="AC162" s="1"/>
      <c r="AD162" s="1"/>
      <c r="AE162" s="1"/>
      <c r="AF162" s="1"/>
      <c r="AG162" s="1"/>
      <c r="AH162" s="1"/>
      <c r="AI162" s="6"/>
      <c r="AJ162" s="6"/>
      <c r="AK162" s="6"/>
      <c r="AL162" s="6" t="str">
        <f t="array" ref="AL162">IFERROR(IFS(XLOOKUP(B162, 'Kit Delivery Status'!$U:$U, 'Kit Delivery Status'!$K:$K) = "Complete", "DELIVERED", XLOOKUP(B162, 'Kit Delivery Status'!$U:$U, 'Kit Delivery Status'!$K:$K) = "Issue", "ISSUE"), "")</f>
        <v/>
      </c>
      <c r="AM162" s="6"/>
    </row>
    <row r="163">
      <c r="A163" s="5" t="str">
        <f t="shared" si="6"/>
        <v>https://utrucking.myshopify.com/admin/orders?query=15160</v>
      </c>
      <c r="B163" s="6" t="s">
        <v>860</v>
      </c>
      <c r="C163" s="6"/>
      <c r="D163" s="7">
        <v>8.323688395E9</v>
      </c>
      <c r="E163" s="6" t="s">
        <v>861</v>
      </c>
      <c r="F163" s="6"/>
      <c r="G163" s="1"/>
      <c r="H163" s="1"/>
      <c r="I163" s="1"/>
      <c r="J163" s="1"/>
      <c r="K163" s="6" t="s">
        <v>66</v>
      </c>
      <c r="L163" s="6" t="s">
        <v>648</v>
      </c>
      <c r="M163" s="1"/>
      <c r="N163" s="6" t="s">
        <v>52</v>
      </c>
      <c r="O163" s="11" t="s">
        <v>103</v>
      </c>
      <c r="P163" s="9">
        <v>45881.0</v>
      </c>
      <c r="Q163" s="6" t="s">
        <v>54</v>
      </c>
      <c r="R163" s="1"/>
      <c r="S163" s="1"/>
      <c r="T163" s="1"/>
      <c r="U163" s="6" t="s">
        <v>78</v>
      </c>
      <c r="V163" s="11" t="s">
        <v>103</v>
      </c>
      <c r="W163" s="1"/>
      <c r="X163" s="9">
        <v>45881.0</v>
      </c>
      <c r="Y163" s="6" t="s">
        <v>54</v>
      </c>
      <c r="Z163" s="1"/>
      <c r="AA163" s="1"/>
      <c r="AB163" s="1"/>
      <c r="AC163" s="1"/>
      <c r="AD163" s="1"/>
      <c r="AE163" s="1"/>
      <c r="AF163" s="1"/>
      <c r="AG163" s="1"/>
      <c r="AH163" s="1"/>
      <c r="AI163" s="6" t="s">
        <v>862</v>
      </c>
      <c r="AJ163" s="6"/>
      <c r="AK163" s="6"/>
      <c r="AL163" s="6" t="str">
        <f t="array" ref="AL163">IFERROR(IFS(XLOOKUP(B163, 'Kit Delivery Status'!$U:$U, 'Kit Delivery Status'!$K:$K) = "Complete", "DELIVERED", XLOOKUP(B163, 'Kit Delivery Status'!$U:$U, 'Kit Delivery Status'!$K:$K) = "Issue", "ISSUE"), "")</f>
        <v/>
      </c>
      <c r="AM163" s="6"/>
    </row>
    <row r="164">
      <c r="A164" s="5" t="str">
        <f t="shared" si="6"/>
        <v>https://utrucking.myshopify.com/admin/orders?query=15164</v>
      </c>
      <c r="B164" s="6" t="s">
        <v>863</v>
      </c>
      <c r="C164" s="6"/>
      <c r="D164" s="7">
        <v>3.304816706E9</v>
      </c>
      <c r="E164" s="6" t="s">
        <v>864</v>
      </c>
      <c r="F164" s="6"/>
      <c r="G164" s="1"/>
      <c r="H164" s="1"/>
      <c r="I164" s="1"/>
      <c r="J164" s="1"/>
      <c r="K164" s="6" t="s">
        <v>66</v>
      </c>
      <c r="L164" s="6" t="s">
        <v>648</v>
      </c>
      <c r="M164" s="1"/>
      <c r="N164" s="6" t="s">
        <v>52</v>
      </c>
      <c r="O164" s="8">
        <v>3307.0</v>
      </c>
      <c r="P164" s="9">
        <v>45882.0</v>
      </c>
      <c r="Q164" s="6" t="s">
        <v>88</v>
      </c>
      <c r="R164" s="1"/>
      <c r="S164" s="1"/>
      <c r="T164" s="1"/>
      <c r="U164" s="6" t="s">
        <v>68</v>
      </c>
      <c r="V164" s="8">
        <v>3307.0</v>
      </c>
      <c r="W164" s="1"/>
      <c r="X164" s="9">
        <v>45882.0</v>
      </c>
      <c r="Y164" s="6" t="s">
        <v>88</v>
      </c>
      <c r="Z164" s="1"/>
      <c r="AA164" s="1"/>
      <c r="AB164" s="1"/>
      <c r="AC164" s="1"/>
      <c r="AD164" s="1"/>
      <c r="AE164" s="1"/>
      <c r="AF164" s="1"/>
      <c r="AG164" s="1"/>
      <c r="AH164" s="1"/>
      <c r="AI164" s="6"/>
      <c r="AJ164" s="6"/>
      <c r="AK164" s="6"/>
      <c r="AL164" s="6" t="str">
        <f t="array" ref="AL164">IFERROR(IFS(XLOOKUP(B164, 'Kit Delivery Status'!$U:$U, 'Kit Delivery Status'!$K:$K) = "Complete", "DELIVERED", XLOOKUP(B164, 'Kit Delivery Status'!$U:$U, 'Kit Delivery Status'!$K:$K) = "Issue", "ISSUE"), "")</f>
        <v/>
      </c>
      <c r="AM164" s="6"/>
    </row>
    <row r="165">
      <c r="A165" s="5" t="str">
        <f t="shared" si="6"/>
        <v>https://utrucking.myshopify.com/admin/orders?query=15166</v>
      </c>
      <c r="B165" s="6" t="s">
        <v>865</v>
      </c>
      <c r="C165" s="6"/>
      <c r="D165" s="7">
        <v>7.132997174E9</v>
      </c>
      <c r="E165" s="6" t="s">
        <v>866</v>
      </c>
      <c r="F165" s="6"/>
      <c r="G165" s="1"/>
      <c r="H165" s="1"/>
      <c r="I165" s="1"/>
      <c r="J165" s="1"/>
      <c r="K165" s="6" t="s">
        <v>66</v>
      </c>
      <c r="L165" s="6" t="s">
        <v>652</v>
      </c>
      <c r="M165" s="1"/>
      <c r="N165" s="6" t="s">
        <v>52</v>
      </c>
      <c r="O165" s="11" t="s">
        <v>867</v>
      </c>
      <c r="P165" s="9">
        <v>45882.0</v>
      </c>
      <c r="Q165" s="6" t="s">
        <v>88</v>
      </c>
      <c r="R165" s="1"/>
      <c r="S165" s="1"/>
      <c r="T165" s="1"/>
      <c r="U165" s="6" t="s">
        <v>68</v>
      </c>
      <c r="V165" s="11" t="s">
        <v>867</v>
      </c>
      <c r="W165" s="1"/>
      <c r="X165" s="9">
        <v>45882.0</v>
      </c>
      <c r="Y165" s="6" t="s">
        <v>88</v>
      </c>
      <c r="Z165" s="1"/>
      <c r="AA165" s="1"/>
      <c r="AB165" s="1"/>
      <c r="AC165" s="1"/>
      <c r="AD165" s="1"/>
      <c r="AE165" s="1"/>
      <c r="AF165" s="1"/>
      <c r="AG165" s="1"/>
      <c r="AH165" s="1"/>
      <c r="AI165" s="6" t="s">
        <v>868</v>
      </c>
      <c r="AJ165" s="6"/>
      <c r="AK165" s="6"/>
      <c r="AL165" s="6" t="str">
        <f t="array" ref="AL165">IFERROR(IFS(XLOOKUP(B165, 'Kit Delivery Status'!$U:$U, 'Kit Delivery Status'!$K:$K) = "Complete", "DELIVERED", XLOOKUP(B165, 'Kit Delivery Status'!$U:$U, 'Kit Delivery Status'!$K:$K) = "Issue", "ISSUE"), "")</f>
        <v/>
      </c>
      <c r="AM165" s="6"/>
    </row>
    <row r="166">
      <c r="A166" s="5" t="str">
        <f t="shared" si="6"/>
        <v>https://utrucking.myshopify.com/admin/orders?query=15171</v>
      </c>
      <c r="B166" s="6" t="s">
        <v>869</v>
      </c>
      <c r="C166" s="6" t="s">
        <v>870</v>
      </c>
      <c r="D166" s="7">
        <v>1.8183140867E10</v>
      </c>
      <c r="E166" s="6" t="s">
        <v>351</v>
      </c>
      <c r="F166" s="6"/>
      <c r="G166" s="1"/>
      <c r="H166" s="1"/>
      <c r="I166" s="1"/>
      <c r="J166" s="1"/>
      <c r="K166" s="6" t="s">
        <v>66</v>
      </c>
      <c r="L166" s="6" t="s">
        <v>652</v>
      </c>
      <c r="M166" s="1"/>
      <c r="N166" s="6" t="s">
        <v>52</v>
      </c>
      <c r="O166" s="8">
        <v>2222.0</v>
      </c>
      <c r="P166" s="9">
        <v>45882.0</v>
      </c>
      <c r="Q166" s="6" t="s">
        <v>96</v>
      </c>
      <c r="R166" s="1"/>
      <c r="S166" s="1"/>
      <c r="T166" s="1"/>
      <c r="U166" s="6" t="s">
        <v>186</v>
      </c>
      <c r="V166" s="8">
        <v>2222.0</v>
      </c>
      <c r="W166" s="1"/>
      <c r="X166" s="9">
        <v>45882.0</v>
      </c>
      <c r="Y166" s="6" t="s">
        <v>96</v>
      </c>
      <c r="Z166" s="1"/>
      <c r="AA166" s="1"/>
      <c r="AB166" s="1"/>
      <c r="AC166" s="1"/>
      <c r="AD166" s="1"/>
      <c r="AE166" s="1"/>
      <c r="AF166" s="1"/>
      <c r="AG166" s="1"/>
      <c r="AH166" s="1"/>
      <c r="AI166" s="6"/>
      <c r="AJ166" s="6"/>
      <c r="AK166" s="6"/>
      <c r="AL166" s="6" t="str">
        <f t="array" ref="AL166">IFERROR(IFS(XLOOKUP(B166, 'Kit Delivery Status'!$U:$U, 'Kit Delivery Status'!$K:$K) = "Complete", "DELIVERED", XLOOKUP(B166, 'Kit Delivery Status'!$U:$U, 'Kit Delivery Status'!$K:$K) = "Issue", "ISSUE"), "")</f>
        <v/>
      </c>
      <c r="AM166" s="6"/>
    </row>
    <row r="167">
      <c r="A167" s="5" t="str">
        <f t="shared" si="6"/>
        <v>https://utrucking.myshopify.com/admin/orders?query=15172</v>
      </c>
      <c r="B167" s="6" t="s">
        <v>871</v>
      </c>
      <c r="C167" s="6" t="s">
        <v>872</v>
      </c>
      <c r="D167" s="10" t="s">
        <v>873</v>
      </c>
      <c r="E167" s="6" t="s">
        <v>874</v>
      </c>
      <c r="F167" s="6" t="s">
        <v>875</v>
      </c>
      <c r="G167" s="1"/>
      <c r="H167" s="1"/>
      <c r="I167" s="1"/>
      <c r="J167" s="1"/>
      <c r="K167" s="6" t="s">
        <v>51</v>
      </c>
      <c r="L167" s="6"/>
      <c r="M167" s="1"/>
      <c r="N167" s="6" t="s">
        <v>124</v>
      </c>
      <c r="O167" s="11"/>
      <c r="P167" s="9">
        <v>45855.0</v>
      </c>
      <c r="Q167" s="6" t="s">
        <v>88</v>
      </c>
      <c r="R167" s="1"/>
      <c r="S167" s="1"/>
      <c r="T167" s="1"/>
      <c r="U167" s="6"/>
      <c r="V167" s="11"/>
      <c r="W167" s="1"/>
      <c r="X167" s="9">
        <v>45855.0</v>
      </c>
      <c r="Y167" s="6" t="s">
        <v>88</v>
      </c>
      <c r="Z167" s="1"/>
      <c r="AA167" s="1"/>
      <c r="AB167" s="1"/>
      <c r="AC167" s="1"/>
      <c r="AD167" s="1"/>
      <c r="AE167" s="1"/>
      <c r="AF167" s="1"/>
      <c r="AG167" s="1"/>
      <c r="AH167" s="1"/>
      <c r="AI167" s="6"/>
      <c r="AJ167" s="6"/>
      <c r="AK167" s="6"/>
      <c r="AL167" s="6" t="str">
        <f t="array" ref="AL167">IFERROR(IFS(XLOOKUP(B167, 'Kit Delivery Status'!$U:$U, 'Kit Delivery Status'!$K:$K) = "Complete", "DELIVERED", XLOOKUP(B167, 'Kit Delivery Status'!$U:$U, 'Kit Delivery Status'!$K:$K) = "Issue", "ISSUE"), "")</f>
        <v/>
      </c>
      <c r="AM167" s="6"/>
    </row>
    <row r="168">
      <c r="A168" s="5" t="str">
        <f t="shared" si="6"/>
        <v>https://utrucking.myshopify.com/admin/orders?query=15175</v>
      </c>
      <c r="B168" s="6" t="s">
        <v>876</v>
      </c>
      <c r="C168" s="6"/>
      <c r="D168" s="7">
        <v>1.4024294779E10</v>
      </c>
      <c r="E168" s="6" t="s">
        <v>877</v>
      </c>
      <c r="F168" s="6"/>
      <c r="G168" s="1"/>
      <c r="H168" s="1"/>
      <c r="I168" s="1"/>
      <c r="J168" s="1"/>
      <c r="K168" s="6" t="s">
        <v>66</v>
      </c>
      <c r="L168" s="6" t="s">
        <v>652</v>
      </c>
      <c r="M168" s="1"/>
      <c r="N168" s="6" t="s">
        <v>52</v>
      </c>
      <c r="O168" s="11" t="s">
        <v>878</v>
      </c>
      <c r="P168" s="9">
        <v>45881.0</v>
      </c>
      <c r="Q168" s="6" t="s">
        <v>88</v>
      </c>
      <c r="R168" s="1"/>
      <c r="S168" s="1"/>
      <c r="T168" s="1"/>
      <c r="U168" s="6" t="s">
        <v>153</v>
      </c>
      <c r="V168" s="11" t="s">
        <v>878</v>
      </c>
      <c r="W168" s="1"/>
      <c r="X168" s="9">
        <v>45881.0</v>
      </c>
      <c r="Y168" s="6" t="s">
        <v>88</v>
      </c>
      <c r="Z168" s="1"/>
      <c r="AA168" s="1"/>
      <c r="AB168" s="1"/>
      <c r="AC168" s="1"/>
      <c r="AD168" s="1"/>
      <c r="AE168" s="1"/>
      <c r="AF168" s="1"/>
      <c r="AG168" s="1"/>
      <c r="AH168" s="1"/>
      <c r="AI168" s="6"/>
      <c r="AJ168" s="6"/>
      <c r="AK168" s="6"/>
      <c r="AL168" s="6" t="str">
        <f t="array" ref="AL168">IFERROR(IFS(XLOOKUP(B168, 'Kit Delivery Status'!$U:$U, 'Kit Delivery Status'!$K:$K) = "Complete", "DELIVERED", XLOOKUP(B168, 'Kit Delivery Status'!$U:$U, 'Kit Delivery Status'!$K:$K) = "Issue", "ISSUE"), "")</f>
        <v/>
      </c>
      <c r="AM168" s="6"/>
    </row>
    <row r="169">
      <c r="A169" s="5" t="str">
        <f t="shared" si="6"/>
        <v>https://utrucking.myshopify.com/admin/orders?query=15177</v>
      </c>
      <c r="B169" s="6" t="s">
        <v>879</v>
      </c>
      <c r="C169" s="6" t="s">
        <v>880</v>
      </c>
      <c r="D169" s="7">
        <v>9.544392663E9</v>
      </c>
      <c r="E169" s="6" t="s">
        <v>881</v>
      </c>
      <c r="F169" s="6" t="s">
        <v>882</v>
      </c>
      <c r="G169" s="1"/>
      <c r="H169" s="1"/>
      <c r="I169" s="1"/>
      <c r="J169" s="1"/>
      <c r="K169" s="6" t="s">
        <v>42</v>
      </c>
      <c r="L169" s="6" t="s">
        <v>883</v>
      </c>
      <c r="M169" s="1"/>
      <c r="N169" s="6"/>
      <c r="O169" s="11"/>
      <c r="P169" s="9">
        <v>45856.0</v>
      </c>
      <c r="Q169" s="6" t="s">
        <v>60</v>
      </c>
      <c r="R169" s="1"/>
      <c r="S169" s="1"/>
      <c r="T169" s="1"/>
      <c r="U169" s="6"/>
      <c r="V169" s="11"/>
      <c r="W169" s="1"/>
      <c r="X169" s="9">
        <v>45856.0</v>
      </c>
      <c r="Y169" s="6" t="s">
        <v>60</v>
      </c>
      <c r="Z169" s="1"/>
      <c r="AA169" s="1"/>
      <c r="AB169" s="1"/>
      <c r="AC169" s="1"/>
      <c r="AD169" s="1"/>
      <c r="AE169" s="1"/>
      <c r="AF169" s="1"/>
      <c r="AG169" s="1"/>
      <c r="AH169" s="1"/>
      <c r="AI169" s="6" t="s">
        <v>884</v>
      </c>
      <c r="AJ169" s="6"/>
      <c r="AK169" s="6"/>
      <c r="AL169" s="6" t="str">
        <f t="array" ref="AL169">IFERROR(IFS(XLOOKUP(B169, 'Kit Delivery Status'!$U:$U, 'Kit Delivery Status'!$K:$K) = "Complete", "DELIVERED", XLOOKUP(B169, 'Kit Delivery Status'!$U:$U, 'Kit Delivery Status'!$K:$K) = "Issue", "ISSUE"), "")</f>
        <v/>
      </c>
      <c r="AM169" s="6"/>
    </row>
    <row r="170">
      <c r="A170" s="5" t="str">
        <f t="shared" si="6"/>
        <v>https://utrucking.myshopify.com/admin/orders?query=15178</v>
      </c>
      <c r="B170" s="6" t="s">
        <v>885</v>
      </c>
      <c r="C170" s="6" t="s">
        <v>248</v>
      </c>
      <c r="D170" s="7">
        <v>9.494311134E9</v>
      </c>
      <c r="E170" s="6" t="s">
        <v>886</v>
      </c>
      <c r="F170" s="6"/>
      <c r="G170" s="1"/>
      <c r="H170" s="1"/>
      <c r="I170" s="1"/>
      <c r="J170" s="1"/>
      <c r="K170" s="6" t="s">
        <v>66</v>
      </c>
      <c r="L170" s="6" t="s">
        <v>652</v>
      </c>
      <c r="M170" s="1"/>
      <c r="N170" s="6" t="s">
        <v>52</v>
      </c>
      <c r="O170" s="8">
        <v>4407.0</v>
      </c>
      <c r="P170" s="9">
        <v>45883.0</v>
      </c>
      <c r="Q170" s="6" t="s">
        <v>54</v>
      </c>
      <c r="R170" s="1"/>
      <c r="S170" s="1"/>
      <c r="T170" s="1"/>
      <c r="U170" s="6" t="s">
        <v>116</v>
      </c>
      <c r="V170" s="8">
        <v>4407.0</v>
      </c>
      <c r="W170" s="1"/>
      <c r="X170" s="9">
        <v>45883.0</v>
      </c>
      <c r="Y170" s="6" t="s">
        <v>54</v>
      </c>
      <c r="Z170" s="1"/>
      <c r="AA170" s="1"/>
      <c r="AB170" s="1"/>
      <c r="AC170" s="1"/>
      <c r="AD170" s="1"/>
      <c r="AE170" s="1"/>
      <c r="AF170" s="1"/>
      <c r="AG170" s="1"/>
      <c r="AH170" s="1"/>
      <c r="AI170" s="6"/>
      <c r="AJ170" s="6"/>
      <c r="AK170" s="6"/>
      <c r="AL170" s="6" t="str">
        <f t="array" ref="AL170">IFERROR(IFS(XLOOKUP(B170, 'Kit Delivery Status'!$U:$U, 'Kit Delivery Status'!$K:$K) = "Complete", "DELIVERED", XLOOKUP(B170, 'Kit Delivery Status'!$U:$U, 'Kit Delivery Status'!$K:$K) = "Issue", "ISSUE"), "")</f>
        <v/>
      </c>
      <c r="AM170" s="6"/>
    </row>
    <row r="171">
      <c r="A171" s="5" t="str">
        <f t="shared" si="6"/>
        <v>https://utrucking.myshopify.com/admin/orders?query=15182</v>
      </c>
      <c r="B171" s="6" t="s">
        <v>887</v>
      </c>
      <c r="C171" s="6" t="s">
        <v>593</v>
      </c>
      <c r="D171" s="7">
        <v>1.9172732413E10</v>
      </c>
      <c r="E171" s="6" t="s">
        <v>595</v>
      </c>
      <c r="F171" s="6"/>
      <c r="G171" s="1"/>
      <c r="H171" s="1"/>
      <c r="I171" s="1"/>
      <c r="J171" s="1"/>
      <c r="K171" s="6" t="s">
        <v>66</v>
      </c>
      <c r="L171" s="6" t="s">
        <v>648</v>
      </c>
      <c r="M171" s="1"/>
      <c r="N171" s="6" t="s">
        <v>52</v>
      </c>
      <c r="O171" s="8">
        <v>1033.0</v>
      </c>
      <c r="P171" s="9">
        <v>45882.0</v>
      </c>
      <c r="Q171" s="6" t="s">
        <v>96</v>
      </c>
      <c r="R171" s="1"/>
      <c r="S171" s="1"/>
      <c r="T171" s="1"/>
      <c r="U171" s="6" t="s">
        <v>45</v>
      </c>
      <c r="V171" s="8">
        <v>1033.0</v>
      </c>
      <c r="W171" s="1"/>
      <c r="X171" s="9">
        <v>45882.0</v>
      </c>
      <c r="Y171" s="6" t="s">
        <v>96</v>
      </c>
      <c r="Z171" s="1"/>
      <c r="AA171" s="1"/>
      <c r="AB171" s="1"/>
      <c r="AC171" s="1"/>
      <c r="AD171" s="1"/>
      <c r="AE171" s="1"/>
      <c r="AF171" s="1"/>
      <c r="AG171" s="1"/>
      <c r="AH171" s="1"/>
      <c r="AI171" s="6"/>
      <c r="AJ171" s="6"/>
      <c r="AK171" s="6"/>
      <c r="AL171" s="6" t="str">
        <f t="array" ref="AL171">IFERROR(IFS(XLOOKUP(B171, 'Kit Delivery Status'!$U:$U, 'Kit Delivery Status'!$K:$K) = "Complete", "DELIVERED", XLOOKUP(B171, 'Kit Delivery Status'!$U:$U, 'Kit Delivery Status'!$K:$K) = "Issue", "ISSUE"), "")</f>
        <v/>
      </c>
      <c r="AM171" s="6"/>
    </row>
    <row r="172">
      <c r="A172" s="5" t="str">
        <f t="shared" si="6"/>
        <v>https://utrucking.myshopify.com/admin/orders?query=15184</v>
      </c>
      <c r="B172" s="6" t="s">
        <v>888</v>
      </c>
      <c r="C172" s="6" t="s">
        <v>889</v>
      </c>
      <c r="D172" s="7">
        <v>1.6073293312E10</v>
      </c>
      <c r="E172" s="6" t="s">
        <v>890</v>
      </c>
      <c r="F172" s="6" t="s">
        <v>891</v>
      </c>
      <c r="G172" s="1"/>
      <c r="H172" s="1"/>
      <c r="I172" s="1"/>
      <c r="J172" s="1"/>
      <c r="K172" s="6" t="s">
        <v>892</v>
      </c>
      <c r="L172" s="33">
        <v>2.0</v>
      </c>
      <c r="M172" s="1"/>
      <c r="N172" s="6"/>
      <c r="O172" s="11"/>
      <c r="P172" s="9">
        <v>45857.0</v>
      </c>
      <c r="Q172" s="6" t="s">
        <v>54</v>
      </c>
      <c r="R172" s="1"/>
      <c r="S172" s="1"/>
      <c r="T172" s="1"/>
      <c r="U172" s="6"/>
      <c r="V172" s="11"/>
      <c r="W172" s="1"/>
      <c r="X172" s="9">
        <v>45857.0</v>
      </c>
      <c r="Y172" s="6" t="s">
        <v>54</v>
      </c>
      <c r="Z172" s="1"/>
      <c r="AA172" s="1"/>
      <c r="AB172" s="1"/>
      <c r="AC172" s="1"/>
      <c r="AD172" s="1"/>
      <c r="AE172" s="1"/>
      <c r="AF172" s="1"/>
      <c r="AG172" s="1"/>
      <c r="AH172" s="1"/>
      <c r="AI172" s="6"/>
      <c r="AJ172" s="6"/>
      <c r="AK172" s="6"/>
      <c r="AL172" s="6" t="str">
        <f t="array" ref="AL172">IFERROR(IFS(XLOOKUP(B172, 'Kit Delivery Status'!$U:$U, 'Kit Delivery Status'!$K:$K) = "Complete", "DELIVERED", XLOOKUP(B172, 'Kit Delivery Status'!$U:$U, 'Kit Delivery Status'!$K:$K) = "Issue", "ISSUE"), "")</f>
        <v/>
      </c>
      <c r="AM172" s="6"/>
    </row>
    <row r="173">
      <c r="A173" s="5" t="str">
        <f t="shared" si="6"/>
        <v>https://utrucking.myshopify.com/admin/orders?query=15185</v>
      </c>
      <c r="B173" s="6" t="s">
        <v>360</v>
      </c>
      <c r="C173" s="6" t="s">
        <v>361</v>
      </c>
      <c r="D173" s="7">
        <v>6.026902075E9</v>
      </c>
      <c r="E173" s="6" t="s">
        <v>363</v>
      </c>
      <c r="F173" s="6"/>
      <c r="G173" s="1"/>
      <c r="H173" s="1"/>
      <c r="I173" s="1"/>
      <c r="J173" s="1"/>
      <c r="K173" s="6" t="s">
        <v>66</v>
      </c>
      <c r="L173" s="6" t="s">
        <v>652</v>
      </c>
      <c r="M173" s="1"/>
      <c r="N173" s="6" t="s">
        <v>52</v>
      </c>
      <c r="O173" s="8">
        <v>3316.0</v>
      </c>
      <c r="P173" s="9">
        <v>45882.0</v>
      </c>
      <c r="Q173" s="6" t="s">
        <v>54</v>
      </c>
      <c r="R173" s="1"/>
      <c r="S173" s="1"/>
      <c r="T173" s="1"/>
      <c r="U173" s="6" t="s">
        <v>116</v>
      </c>
      <c r="V173" s="8">
        <v>3316.0</v>
      </c>
      <c r="W173" s="1"/>
      <c r="X173" s="9">
        <v>45882.0</v>
      </c>
      <c r="Y173" s="6" t="s">
        <v>54</v>
      </c>
      <c r="Z173" s="1"/>
      <c r="AA173" s="1"/>
      <c r="AB173" s="1"/>
      <c r="AC173" s="1"/>
      <c r="AD173" s="1"/>
      <c r="AE173" s="1"/>
      <c r="AF173" s="1"/>
      <c r="AG173" s="1"/>
      <c r="AH173" s="1"/>
      <c r="AI173" s="6"/>
      <c r="AJ173" s="6"/>
      <c r="AK173" s="6"/>
      <c r="AL173" s="6" t="str">
        <f t="array" ref="AL173">IFERROR(IFS(XLOOKUP(B173, 'Kit Delivery Status'!$U:$U, 'Kit Delivery Status'!$K:$K) = "Complete", "DELIVERED", XLOOKUP(B173, 'Kit Delivery Status'!$U:$U, 'Kit Delivery Status'!$K:$K) = "Issue", "ISSUE"), "")</f>
        <v/>
      </c>
      <c r="AM173" s="6"/>
    </row>
    <row r="174">
      <c r="A174" s="5" t="str">
        <f t="shared" si="6"/>
        <v>https://utrucking.myshopify.com/admin/orders?query=15186</v>
      </c>
      <c r="B174" s="6" t="s">
        <v>893</v>
      </c>
      <c r="C174" s="6" t="s">
        <v>894</v>
      </c>
      <c r="D174" s="7">
        <v>7.733989021E9</v>
      </c>
      <c r="E174" s="6" t="s">
        <v>895</v>
      </c>
      <c r="F174" s="6"/>
      <c r="G174" s="1"/>
      <c r="H174" s="1"/>
      <c r="I174" s="1"/>
      <c r="J174" s="1"/>
      <c r="K174" s="6" t="s">
        <v>66</v>
      </c>
      <c r="L174" s="6" t="s">
        <v>652</v>
      </c>
      <c r="M174" s="1"/>
      <c r="N174" s="6" t="s">
        <v>52</v>
      </c>
      <c r="O174" s="8">
        <v>3309.0</v>
      </c>
      <c r="P174" s="9">
        <v>45882.0</v>
      </c>
      <c r="Q174" s="6" t="s">
        <v>96</v>
      </c>
      <c r="R174" s="1"/>
      <c r="S174" s="1"/>
      <c r="T174" s="1"/>
      <c r="U174" s="6" t="s">
        <v>78</v>
      </c>
      <c r="V174" s="8">
        <v>3309.0</v>
      </c>
      <c r="W174" s="1"/>
      <c r="X174" s="9">
        <v>45882.0</v>
      </c>
      <c r="Y174" s="6" t="s">
        <v>96</v>
      </c>
      <c r="Z174" s="1"/>
      <c r="AA174" s="1"/>
      <c r="AB174" s="1"/>
      <c r="AC174" s="1"/>
      <c r="AD174" s="1"/>
      <c r="AE174" s="1"/>
      <c r="AF174" s="1"/>
      <c r="AG174" s="1"/>
      <c r="AH174" s="1"/>
      <c r="AI174" s="6"/>
      <c r="AJ174" s="6"/>
      <c r="AK174" s="6"/>
      <c r="AL174" s="6" t="str">
        <f t="array" ref="AL174">IFERROR(IFS(XLOOKUP(B174, 'Kit Delivery Status'!$U:$U, 'Kit Delivery Status'!$K:$K) = "Complete", "DELIVERED", XLOOKUP(B174, 'Kit Delivery Status'!$U:$U, 'Kit Delivery Status'!$K:$K) = "Issue", "ISSUE"), "")</f>
        <v/>
      </c>
      <c r="AM174" s="6"/>
    </row>
    <row r="175">
      <c r="A175" s="5" t="str">
        <f t="shared" si="6"/>
        <v>https://utrucking.myshopify.com/admin/orders?query=15189</v>
      </c>
      <c r="B175" s="6" t="s">
        <v>896</v>
      </c>
      <c r="C175" s="6" t="s">
        <v>897</v>
      </c>
      <c r="D175" s="7">
        <v>1.8083927875E10</v>
      </c>
      <c r="E175" s="6" t="s">
        <v>898</v>
      </c>
      <c r="F175" s="6"/>
      <c r="G175" s="1"/>
      <c r="H175" s="1"/>
      <c r="I175" s="1"/>
      <c r="J175" s="1"/>
      <c r="K175" s="6" t="s">
        <v>66</v>
      </c>
      <c r="L175" s="6" t="s">
        <v>652</v>
      </c>
      <c r="M175" s="1"/>
      <c r="N175" s="6" t="s">
        <v>52</v>
      </c>
      <c r="O175" s="8">
        <v>4434.0</v>
      </c>
      <c r="P175" s="9">
        <v>45882.0</v>
      </c>
      <c r="Q175" s="6" t="s">
        <v>125</v>
      </c>
      <c r="R175" s="1"/>
      <c r="S175" s="1"/>
      <c r="T175" s="1"/>
      <c r="U175" s="6" t="s">
        <v>109</v>
      </c>
      <c r="V175" s="8">
        <v>4434.0</v>
      </c>
      <c r="W175" s="1"/>
      <c r="X175" s="9">
        <v>45882.0</v>
      </c>
      <c r="Y175" s="6" t="s">
        <v>125</v>
      </c>
      <c r="Z175" s="1"/>
      <c r="AA175" s="1"/>
      <c r="AB175" s="1"/>
      <c r="AC175" s="1"/>
      <c r="AD175" s="1"/>
      <c r="AE175" s="1"/>
      <c r="AF175" s="1"/>
      <c r="AG175" s="1"/>
      <c r="AH175" s="1"/>
      <c r="AI175" s="6" t="s">
        <v>899</v>
      </c>
      <c r="AJ175" s="6"/>
      <c r="AK175" s="6"/>
      <c r="AL175" s="6" t="str">
        <f t="array" ref="AL175">IFERROR(IFS(XLOOKUP(B175, 'Kit Delivery Status'!$U:$U, 'Kit Delivery Status'!$K:$K) = "Complete", "DELIVERED", XLOOKUP(B175, 'Kit Delivery Status'!$U:$U, 'Kit Delivery Status'!$K:$K) = "Issue", "ISSUE"), "")</f>
        <v/>
      </c>
      <c r="AM175" s="6"/>
    </row>
    <row r="176">
      <c r="A176" s="5" t="str">
        <f t="shared" si="6"/>
        <v>https://utrucking.myshopify.com/admin/orders?query=15190</v>
      </c>
      <c r="B176" s="6" t="s">
        <v>900</v>
      </c>
      <c r="C176" s="6" t="s">
        <v>493</v>
      </c>
      <c r="D176" s="7">
        <v>1.9176129737E10</v>
      </c>
      <c r="E176" s="6" t="s">
        <v>495</v>
      </c>
      <c r="F176" s="6"/>
      <c r="G176" s="1"/>
      <c r="H176" s="1"/>
      <c r="I176" s="1"/>
      <c r="J176" s="1"/>
      <c r="K176" s="6" t="s">
        <v>66</v>
      </c>
      <c r="L176" s="6" t="s">
        <v>648</v>
      </c>
      <c r="M176" s="1"/>
      <c r="N176" s="6" t="s">
        <v>52</v>
      </c>
      <c r="O176" s="8">
        <v>2240.0</v>
      </c>
      <c r="P176" s="9">
        <v>45882.0</v>
      </c>
      <c r="Q176" s="6" t="s">
        <v>96</v>
      </c>
      <c r="R176" s="1"/>
      <c r="S176" s="1"/>
      <c r="T176" s="1"/>
      <c r="U176" s="6" t="s">
        <v>109</v>
      </c>
      <c r="V176" s="8">
        <v>2240.0</v>
      </c>
      <c r="W176" s="1"/>
      <c r="X176" s="9">
        <v>45882.0</v>
      </c>
      <c r="Y176" s="6" t="s">
        <v>96</v>
      </c>
      <c r="Z176" s="1"/>
      <c r="AA176" s="1"/>
      <c r="AB176" s="1"/>
      <c r="AC176" s="1"/>
      <c r="AD176" s="1"/>
      <c r="AE176" s="1"/>
      <c r="AF176" s="1"/>
      <c r="AG176" s="1"/>
      <c r="AH176" s="1"/>
      <c r="AI176" s="6"/>
      <c r="AJ176" s="6"/>
      <c r="AK176" s="6"/>
      <c r="AL176" s="6" t="str">
        <f t="array" ref="AL176">IFERROR(IFS(XLOOKUP(B176, 'Kit Delivery Status'!$U:$U, 'Kit Delivery Status'!$K:$K) = "Complete", "DELIVERED", XLOOKUP(B176, 'Kit Delivery Status'!$U:$U, 'Kit Delivery Status'!$K:$K) = "Issue", "ISSUE"), "")</f>
        <v/>
      </c>
      <c r="AM176" s="6"/>
    </row>
    <row r="177">
      <c r="A177" s="5" t="str">
        <f t="shared" si="6"/>
        <v>https://utrucking.myshopify.com/admin/orders?query=15196</v>
      </c>
      <c r="B177" s="6" t="s">
        <v>901</v>
      </c>
      <c r="C177" s="6" t="s">
        <v>902</v>
      </c>
      <c r="D177" s="7">
        <v>8.479209255E9</v>
      </c>
      <c r="E177" s="6" t="s">
        <v>903</v>
      </c>
      <c r="F177" s="6"/>
      <c r="G177" s="1"/>
      <c r="H177" s="1"/>
      <c r="I177" s="1"/>
      <c r="J177" s="1"/>
      <c r="K177" s="6" t="s">
        <v>66</v>
      </c>
      <c r="L177" s="6" t="s">
        <v>648</v>
      </c>
      <c r="M177" s="1"/>
      <c r="N177" s="6" t="s">
        <v>52</v>
      </c>
      <c r="O177" s="8">
        <v>2083.0</v>
      </c>
      <c r="P177" s="9">
        <v>45887.0</v>
      </c>
      <c r="Q177" s="6" t="s">
        <v>54</v>
      </c>
      <c r="R177" s="1"/>
      <c r="S177" s="1"/>
      <c r="T177" s="1"/>
      <c r="U177" s="6" t="s">
        <v>653</v>
      </c>
      <c r="V177" s="8">
        <v>2083.0</v>
      </c>
      <c r="W177" s="1"/>
      <c r="X177" s="9">
        <v>45887.0</v>
      </c>
      <c r="Y177" s="6" t="s">
        <v>54</v>
      </c>
      <c r="Z177" s="1"/>
      <c r="AA177" s="1"/>
      <c r="AB177" s="1"/>
      <c r="AC177" s="1"/>
      <c r="AD177" s="1"/>
      <c r="AE177" s="1"/>
      <c r="AF177" s="1"/>
      <c r="AG177" s="1"/>
      <c r="AH177" s="1"/>
      <c r="AI177" s="6" t="s">
        <v>904</v>
      </c>
      <c r="AJ177" s="6"/>
      <c r="AK177" s="6"/>
      <c r="AL177" s="6" t="str">
        <f t="array" ref="AL177">IFERROR(IFS(XLOOKUP(B177, 'Kit Delivery Status'!$U:$U, 'Kit Delivery Status'!$K:$K) = "Complete", "DELIVERED", XLOOKUP(B177, 'Kit Delivery Status'!$U:$U, 'Kit Delivery Status'!$K:$K) = "Issue", "ISSUE"), "")</f>
        <v/>
      </c>
      <c r="AM177" s="6"/>
    </row>
    <row r="178">
      <c r="A178" s="5" t="str">
        <f t="shared" si="6"/>
        <v>https://utrucking.myshopify.com/admin/orders?query=15197</v>
      </c>
      <c r="B178" s="6" t="s">
        <v>905</v>
      </c>
      <c r="C178" s="6" t="s">
        <v>906</v>
      </c>
      <c r="D178" s="7">
        <v>9.14374685E9</v>
      </c>
      <c r="E178" s="6" t="s">
        <v>907</v>
      </c>
      <c r="F178" s="6"/>
      <c r="G178" s="1"/>
      <c r="H178" s="1"/>
      <c r="I178" s="1"/>
      <c r="J178" s="1"/>
      <c r="K178" s="6" t="s">
        <v>75</v>
      </c>
      <c r="L178" s="19"/>
      <c r="M178" s="1"/>
      <c r="N178" s="6" t="s">
        <v>52</v>
      </c>
      <c r="O178" s="11" t="s">
        <v>908</v>
      </c>
      <c r="P178" s="9">
        <v>45873.0</v>
      </c>
      <c r="Q178" s="6" t="s">
        <v>54</v>
      </c>
      <c r="R178" s="1"/>
      <c r="S178" s="1"/>
      <c r="T178" s="1"/>
      <c r="U178" s="6" t="s">
        <v>116</v>
      </c>
      <c r="V178" s="11" t="s">
        <v>908</v>
      </c>
      <c r="W178" s="1"/>
      <c r="X178" s="9">
        <v>45873.0</v>
      </c>
      <c r="Y178" s="6" t="s">
        <v>54</v>
      </c>
      <c r="Z178" s="1"/>
      <c r="AA178" s="1"/>
      <c r="AB178" s="1"/>
      <c r="AC178" s="1"/>
      <c r="AD178" s="1"/>
      <c r="AE178" s="1"/>
      <c r="AF178" s="1"/>
      <c r="AG178" s="1"/>
      <c r="AH178" s="1"/>
      <c r="AI178" s="6" t="s">
        <v>909</v>
      </c>
      <c r="AJ178" s="6"/>
      <c r="AK178" s="6"/>
      <c r="AL178" s="6" t="str">
        <f t="array" ref="AL178">IFERROR(IFS(XLOOKUP(B178, 'Kit Delivery Status'!$U:$U, 'Kit Delivery Status'!$K:$K) = "Complete", "DELIVERED", XLOOKUP(B178, 'Kit Delivery Status'!$U:$U, 'Kit Delivery Status'!$K:$K) = "Issue", "ISSUE"), "")</f>
        <v/>
      </c>
      <c r="AM178" s="6"/>
    </row>
    <row r="179">
      <c r="A179" s="5" t="str">
        <f t="shared" si="6"/>
        <v>https://utrucking.myshopify.com/admin/orders?query=15198</v>
      </c>
      <c r="B179" s="6" t="s">
        <v>609</v>
      </c>
      <c r="C179" s="6" t="s">
        <v>610</v>
      </c>
      <c r="D179" s="10" t="s">
        <v>910</v>
      </c>
      <c r="E179" s="6" t="s">
        <v>612</v>
      </c>
      <c r="F179" s="6"/>
      <c r="G179" s="1"/>
      <c r="H179" s="1"/>
      <c r="I179" s="1"/>
      <c r="J179" s="1"/>
      <c r="K179" s="6" t="s">
        <v>66</v>
      </c>
      <c r="L179" s="6" t="s">
        <v>648</v>
      </c>
      <c r="M179" s="1"/>
      <c r="N179" s="6" t="s">
        <v>52</v>
      </c>
      <c r="O179" s="11" t="s">
        <v>614</v>
      </c>
      <c r="P179" s="9">
        <v>45882.0</v>
      </c>
      <c r="Q179" s="6" t="s">
        <v>54</v>
      </c>
      <c r="R179" s="1"/>
      <c r="S179" s="1"/>
      <c r="T179" s="1"/>
      <c r="U179" s="6" t="s">
        <v>68</v>
      </c>
      <c r="V179" s="11" t="s">
        <v>614</v>
      </c>
      <c r="W179" s="1"/>
      <c r="X179" s="9">
        <v>45882.0</v>
      </c>
      <c r="Y179" s="6" t="s">
        <v>54</v>
      </c>
      <c r="Z179" s="1"/>
      <c r="AA179" s="1"/>
      <c r="AB179" s="1"/>
      <c r="AC179" s="1"/>
      <c r="AD179" s="1"/>
      <c r="AE179" s="1"/>
      <c r="AF179" s="1"/>
      <c r="AG179" s="1"/>
      <c r="AH179" s="1"/>
      <c r="AI179" s="6"/>
      <c r="AJ179" s="6"/>
      <c r="AK179" s="6"/>
      <c r="AL179" s="6" t="str">
        <f t="array" ref="AL179">IFERROR(IFS(XLOOKUP(B179, 'Kit Delivery Status'!$U:$U, 'Kit Delivery Status'!$K:$K) = "Complete", "DELIVERED", XLOOKUP(B179, 'Kit Delivery Status'!$U:$U, 'Kit Delivery Status'!$K:$K) = "Issue", "ISSUE"), "")</f>
        <v/>
      </c>
      <c r="AM179" s="6"/>
    </row>
    <row r="180">
      <c r="A180" s="5" t="str">
        <f t="shared" si="6"/>
        <v>https://utrucking.myshopify.com/admin/orders?query=15199</v>
      </c>
      <c r="B180" s="6" t="s">
        <v>911</v>
      </c>
      <c r="C180" s="6" t="s">
        <v>912</v>
      </c>
      <c r="D180" s="7">
        <v>9.178530025E9</v>
      </c>
      <c r="E180" s="6" t="s">
        <v>913</v>
      </c>
      <c r="F180" s="6"/>
      <c r="G180" s="1"/>
      <c r="H180" s="1"/>
      <c r="I180" s="1"/>
      <c r="J180" s="1"/>
      <c r="K180" s="6" t="s">
        <v>66</v>
      </c>
      <c r="L180" s="6" t="s">
        <v>914</v>
      </c>
      <c r="M180" s="1"/>
      <c r="N180" s="6" t="s">
        <v>52</v>
      </c>
      <c r="O180" s="11" t="s">
        <v>915</v>
      </c>
      <c r="P180" s="9">
        <v>45883.0</v>
      </c>
      <c r="Q180" s="6" t="s">
        <v>160</v>
      </c>
      <c r="R180" s="1"/>
      <c r="S180" s="1"/>
      <c r="T180" s="1"/>
      <c r="U180" s="6" t="s">
        <v>675</v>
      </c>
      <c r="V180" s="11" t="s">
        <v>915</v>
      </c>
      <c r="W180" s="1"/>
      <c r="X180" s="9">
        <v>45883.0</v>
      </c>
      <c r="Y180" s="6" t="s">
        <v>160</v>
      </c>
      <c r="Z180" s="1"/>
      <c r="AA180" s="1"/>
      <c r="AB180" s="1"/>
      <c r="AC180" s="1"/>
      <c r="AD180" s="1"/>
      <c r="AE180" s="1"/>
      <c r="AF180" s="1"/>
      <c r="AG180" s="1"/>
      <c r="AH180" s="1"/>
      <c r="AI180" s="6"/>
      <c r="AJ180" s="6"/>
      <c r="AK180" s="6"/>
      <c r="AL180" s="6" t="str">
        <f t="array" ref="AL180">IFERROR(IFS(XLOOKUP(B180, 'Kit Delivery Status'!$U:$U, 'Kit Delivery Status'!$K:$K) = "Complete", "DELIVERED", XLOOKUP(B180, 'Kit Delivery Status'!$U:$U, 'Kit Delivery Status'!$K:$K) = "Issue", "ISSUE"), "")</f>
        <v/>
      </c>
      <c r="AM180" s="6"/>
    </row>
    <row r="181">
      <c r="A181" s="5" t="str">
        <f t="shared" si="6"/>
        <v>https://utrucking.myshopify.com/admin/orders?query=15201</v>
      </c>
      <c r="B181" s="6" t="s">
        <v>916</v>
      </c>
      <c r="C181" s="6" t="s">
        <v>917</v>
      </c>
      <c r="D181" s="7">
        <v>9.144326482E9</v>
      </c>
      <c r="E181" s="6" t="s">
        <v>538</v>
      </c>
      <c r="F181" s="6"/>
      <c r="G181" s="1"/>
      <c r="H181" s="1"/>
      <c r="I181" s="1"/>
      <c r="J181" s="1"/>
      <c r="K181" s="6" t="s">
        <v>66</v>
      </c>
      <c r="L181" s="6" t="s">
        <v>648</v>
      </c>
      <c r="M181" s="1"/>
      <c r="N181" s="6" t="s">
        <v>52</v>
      </c>
      <c r="O181" s="11" t="s">
        <v>540</v>
      </c>
      <c r="P181" s="9">
        <v>45883.0</v>
      </c>
      <c r="Q181" s="6" t="s">
        <v>239</v>
      </c>
      <c r="R181" s="1"/>
      <c r="S181" s="1"/>
      <c r="T181" s="1"/>
      <c r="U181" s="6" t="s">
        <v>146</v>
      </c>
      <c r="V181" s="11" t="s">
        <v>540</v>
      </c>
      <c r="W181" s="1"/>
      <c r="X181" s="9">
        <v>45883.0</v>
      </c>
      <c r="Y181" s="6" t="s">
        <v>239</v>
      </c>
      <c r="Z181" s="1"/>
      <c r="AA181" s="1"/>
      <c r="AB181" s="1"/>
      <c r="AC181" s="1"/>
      <c r="AD181" s="1"/>
      <c r="AE181" s="1"/>
      <c r="AF181" s="1"/>
      <c r="AG181" s="1"/>
      <c r="AH181" s="1"/>
      <c r="AI181" s="6"/>
      <c r="AJ181" s="6"/>
      <c r="AK181" s="6"/>
      <c r="AL181" s="6" t="str">
        <f t="array" ref="AL181">IFERROR(IFS(XLOOKUP(B181, 'Kit Delivery Status'!$U:$U, 'Kit Delivery Status'!$K:$K) = "Complete", "DELIVERED", XLOOKUP(B181, 'Kit Delivery Status'!$U:$U, 'Kit Delivery Status'!$K:$K) = "Issue", "ISSUE"), "")</f>
        <v/>
      </c>
      <c r="AM181" s="6"/>
    </row>
    <row r="182">
      <c r="A182" s="5" t="str">
        <f t="shared" si="6"/>
        <v>https://utrucking.myshopify.com/admin/orders?query=15203</v>
      </c>
      <c r="B182" s="6" t="s">
        <v>918</v>
      </c>
      <c r="C182" s="6" t="s">
        <v>919</v>
      </c>
      <c r="D182" s="7">
        <v>9.17570488E9</v>
      </c>
      <c r="E182" s="6" t="s">
        <v>920</v>
      </c>
      <c r="F182" s="6"/>
      <c r="G182" s="1"/>
      <c r="H182" s="1"/>
      <c r="I182" s="1"/>
      <c r="J182" s="1"/>
      <c r="K182" s="6" t="s">
        <v>66</v>
      </c>
      <c r="L182" s="6" t="s">
        <v>67</v>
      </c>
      <c r="M182" s="1"/>
      <c r="N182" s="6" t="s">
        <v>52</v>
      </c>
      <c r="O182" s="11" t="s">
        <v>921</v>
      </c>
      <c r="P182" s="9">
        <v>45882.0</v>
      </c>
      <c r="Q182" s="6" t="s">
        <v>88</v>
      </c>
      <c r="R182" s="1"/>
      <c r="S182" s="1"/>
      <c r="T182" s="1"/>
      <c r="U182" s="6" t="s">
        <v>922</v>
      </c>
      <c r="V182" s="11" t="s">
        <v>921</v>
      </c>
      <c r="W182" s="1"/>
      <c r="X182" s="9">
        <v>45882.0</v>
      </c>
      <c r="Y182" s="6" t="s">
        <v>88</v>
      </c>
      <c r="Z182" s="1"/>
      <c r="AA182" s="1"/>
      <c r="AB182" s="1"/>
      <c r="AC182" s="1"/>
      <c r="AD182" s="1"/>
      <c r="AE182" s="1"/>
      <c r="AF182" s="1"/>
      <c r="AG182" s="1"/>
      <c r="AH182" s="1"/>
      <c r="AI182" s="6"/>
      <c r="AJ182" s="6"/>
      <c r="AK182" s="6"/>
      <c r="AL182" s="6" t="str">
        <f t="array" ref="AL182">IFERROR(IFS(XLOOKUP(B182, 'Kit Delivery Status'!$U:$U, 'Kit Delivery Status'!$K:$K) = "Complete", "DELIVERED", XLOOKUP(B182, 'Kit Delivery Status'!$U:$U, 'Kit Delivery Status'!$K:$K) = "Issue", "ISSUE"), "")</f>
        <v/>
      </c>
      <c r="AM182" s="6"/>
    </row>
    <row r="183">
      <c r="A183" s="5" t="str">
        <f t="shared" si="6"/>
        <v>https://utrucking.myshopify.com/admin/orders?query=15205</v>
      </c>
      <c r="B183" s="6" t="s">
        <v>923</v>
      </c>
      <c r="C183" s="6" t="s">
        <v>924</v>
      </c>
      <c r="D183" s="7">
        <v>9.142919464E9</v>
      </c>
      <c r="E183" s="6" t="s">
        <v>925</v>
      </c>
      <c r="F183" s="6"/>
      <c r="G183" s="1"/>
      <c r="H183" s="1"/>
      <c r="I183" s="1"/>
      <c r="J183" s="1"/>
      <c r="K183" s="6" t="s">
        <v>66</v>
      </c>
      <c r="L183" s="6" t="s">
        <v>926</v>
      </c>
      <c r="M183" s="1"/>
      <c r="N183" s="6" t="s">
        <v>52</v>
      </c>
      <c r="O183" s="8">
        <v>2231.0</v>
      </c>
      <c r="P183" s="9">
        <v>45883.0</v>
      </c>
      <c r="Q183" s="6" t="s">
        <v>54</v>
      </c>
      <c r="R183" s="1"/>
      <c r="S183" s="1"/>
      <c r="T183" s="1"/>
      <c r="U183" s="6" t="s">
        <v>68</v>
      </c>
      <c r="V183" s="8">
        <v>2231.0</v>
      </c>
      <c r="W183" s="1"/>
      <c r="X183" s="9">
        <v>45883.0</v>
      </c>
      <c r="Y183" s="6" t="s">
        <v>54</v>
      </c>
      <c r="Z183" s="1"/>
      <c r="AA183" s="1"/>
      <c r="AB183" s="1"/>
      <c r="AC183" s="1"/>
      <c r="AD183" s="1"/>
      <c r="AE183" s="1"/>
      <c r="AF183" s="1"/>
      <c r="AG183" s="1"/>
      <c r="AH183" s="1"/>
      <c r="AI183" s="6"/>
      <c r="AJ183" s="6"/>
      <c r="AK183" s="6"/>
      <c r="AL183" s="6" t="str">
        <f t="array" ref="AL183">IFERROR(IFS(XLOOKUP(B183, 'Kit Delivery Status'!$U:$U, 'Kit Delivery Status'!$K:$K) = "Complete", "DELIVERED", XLOOKUP(B183, 'Kit Delivery Status'!$U:$U, 'Kit Delivery Status'!$K:$K) = "Issue", "ISSUE"), "")</f>
        <v/>
      </c>
      <c r="AM183" s="6"/>
    </row>
    <row r="184">
      <c r="A184" s="5" t="str">
        <f t="shared" si="6"/>
        <v>https://utrucking.myshopify.com/admin/orders?query=15205</v>
      </c>
      <c r="B184" s="6" t="s">
        <v>923</v>
      </c>
      <c r="C184" s="6" t="s">
        <v>924</v>
      </c>
      <c r="D184" s="7">
        <v>9.142919464E9</v>
      </c>
      <c r="E184" s="6" t="s">
        <v>925</v>
      </c>
      <c r="F184" s="6"/>
      <c r="G184" s="1"/>
      <c r="H184" s="1"/>
      <c r="I184" s="1"/>
      <c r="J184" s="1"/>
      <c r="K184" s="6" t="s">
        <v>75</v>
      </c>
      <c r="L184" s="19"/>
      <c r="M184" s="1"/>
      <c r="N184" s="6" t="s">
        <v>52</v>
      </c>
      <c r="O184" s="8">
        <v>2231.0</v>
      </c>
      <c r="P184" s="9">
        <v>45883.0</v>
      </c>
      <c r="Q184" s="6" t="s">
        <v>54</v>
      </c>
      <c r="R184" s="1"/>
      <c r="S184" s="1"/>
      <c r="T184" s="1"/>
      <c r="U184" s="6" t="s">
        <v>68</v>
      </c>
      <c r="V184" s="8">
        <v>2231.0</v>
      </c>
      <c r="W184" s="1"/>
      <c r="X184" s="9">
        <v>45883.0</v>
      </c>
      <c r="Y184" s="6" t="s">
        <v>54</v>
      </c>
      <c r="Z184" s="1"/>
      <c r="AA184" s="1"/>
      <c r="AB184" s="1"/>
      <c r="AC184" s="1"/>
      <c r="AD184" s="1"/>
      <c r="AE184" s="1"/>
      <c r="AF184" s="1"/>
      <c r="AG184" s="1"/>
      <c r="AH184" s="1"/>
      <c r="AI184" s="6"/>
      <c r="AJ184" s="6"/>
      <c r="AK184" s="6"/>
      <c r="AL184" s="6" t="str">
        <f t="array" ref="AL184">IFERROR(IFS(XLOOKUP(B184, 'Kit Delivery Status'!$U:$U, 'Kit Delivery Status'!$K:$K) = "Complete", "DELIVERED", XLOOKUP(B184, 'Kit Delivery Status'!$U:$U, 'Kit Delivery Status'!$K:$K) = "Issue", "ISSUE"), "")</f>
        <v/>
      </c>
      <c r="AM184" s="6"/>
    </row>
    <row r="185">
      <c r="A185" s="5" t="str">
        <f t="shared" si="6"/>
        <v>https://utrucking.myshopify.com/admin/orders?query=15209</v>
      </c>
      <c r="B185" s="6" t="s">
        <v>927</v>
      </c>
      <c r="C185" s="6"/>
      <c r="D185" s="7">
        <v>3.015125184E9</v>
      </c>
      <c r="E185" s="6" t="s">
        <v>928</v>
      </c>
      <c r="F185" s="6"/>
      <c r="G185" s="1"/>
      <c r="H185" s="1"/>
      <c r="I185" s="1"/>
      <c r="J185" s="1"/>
      <c r="K185" s="6" t="s">
        <v>66</v>
      </c>
      <c r="L185" s="6" t="s">
        <v>929</v>
      </c>
      <c r="M185" s="1"/>
      <c r="N185" s="6" t="s">
        <v>52</v>
      </c>
      <c r="O185" s="8">
        <v>3323.0</v>
      </c>
      <c r="P185" s="9">
        <v>45882.0</v>
      </c>
      <c r="Q185" s="6" t="s">
        <v>96</v>
      </c>
      <c r="R185" s="1"/>
      <c r="S185" s="1"/>
      <c r="T185" s="1"/>
      <c r="U185" s="6" t="s">
        <v>109</v>
      </c>
      <c r="V185" s="8">
        <v>3323.0</v>
      </c>
      <c r="W185" s="1"/>
      <c r="X185" s="9">
        <v>45882.0</v>
      </c>
      <c r="Y185" s="6" t="s">
        <v>96</v>
      </c>
      <c r="Z185" s="1"/>
      <c r="AA185" s="1"/>
      <c r="AB185" s="1"/>
      <c r="AC185" s="1"/>
      <c r="AD185" s="1"/>
      <c r="AE185" s="1"/>
      <c r="AF185" s="1"/>
      <c r="AG185" s="1"/>
      <c r="AH185" s="1"/>
      <c r="AI185" s="6"/>
      <c r="AJ185" s="6"/>
      <c r="AK185" s="6"/>
      <c r="AL185" s="6" t="str">
        <f t="array" ref="AL185">IFERROR(IFS(XLOOKUP(B185, 'Kit Delivery Status'!$U:$U, 'Kit Delivery Status'!$K:$K) = "Complete", "DELIVERED", XLOOKUP(B185, 'Kit Delivery Status'!$U:$U, 'Kit Delivery Status'!$K:$K) = "Issue", "ISSUE"), "")</f>
        <v/>
      </c>
      <c r="AM185" s="6"/>
    </row>
    <row r="186">
      <c r="A186" s="5" t="str">
        <f t="shared" si="6"/>
        <v>https://utrucking.myshopify.com/admin/orders?query=15210</v>
      </c>
      <c r="B186" s="6" t="s">
        <v>930</v>
      </c>
      <c r="C186" s="6" t="s">
        <v>931</v>
      </c>
      <c r="D186" s="7">
        <v>9.144139568E9</v>
      </c>
      <c r="E186" s="6" t="s">
        <v>932</v>
      </c>
      <c r="F186" s="6" t="s">
        <v>933</v>
      </c>
      <c r="G186" s="1"/>
      <c r="H186" s="1"/>
      <c r="I186" s="1"/>
      <c r="J186" s="1"/>
      <c r="K186" s="6" t="s">
        <v>51</v>
      </c>
      <c r="L186" s="6"/>
      <c r="M186" s="1"/>
      <c r="N186" s="6" t="s">
        <v>124</v>
      </c>
      <c r="O186" s="11"/>
      <c r="P186" s="9">
        <v>45882.0</v>
      </c>
      <c r="Q186" s="6" t="s">
        <v>160</v>
      </c>
      <c r="R186" s="1"/>
      <c r="S186" s="1"/>
      <c r="T186" s="1"/>
      <c r="U186" s="6"/>
      <c r="V186" s="11"/>
      <c r="W186" s="1"/>
      <c r="X186" s="9">
        <v>45882.0</v>
      </c>
      <c r="Y186" s="6" t="s">
        <v>160</v>
      </c>
      <c r="Z186" s="1"/>
      <c r="AA186" s="1"/>
      <c r="AB186" s="1"/>
      <c r="AC186" s="1"/>
      <c r="AD186" s="1"/>
      <c r="AE186" s="1"/>
      <c r="AF186" s="1"/>
      <c r="AG186" s="1"/>
      <c r="AH186" s="1"/>
      <c r="AI186" s="6" t="s">
        <v>934</v>
      </c>
      <c r="AJ186" s="6"/>
      <c r="AK186" s="6"/>
      <c r="AL186" s="6" t="str">
        <f t="array" ref="AL186">IFERROR(IFS(XLOOKUP(B186, 'Kit Delivery Status'!$U:$U, 'Kit Delivery Status'!$K:$K) = "Complete", "DELIVERED", XLOOKUP(B186, 'Kit Delivery Status'!$U:$U, 'Kit Delivery Status'!$K:$K) = "Issue", "ISSUE"), "")</f>
        <v/>
      </c>
      <c r="AM186" s="6"/>
    </row>
    <row r="187">
      <c r="A187" s="5" t="str">
        <f t="shared" si="6"/>
        <v>https://utrucking.myshopify.com/admin/orders?query=15215</v>
      </c>
      <c r="B187" s="6" t="s">
        <v>935</v>
      </c>
      <c r="C187" s="6" t="s">
        <v>176</v>
      </c>
      <c r="D187" s="10" t="s">
        <v>936</v>
      </c>
      <c r="E187" s="6" t="s">
        <v>937</v>
      </c>
      <c r="F187" s="6"/>
      <c r="G187" s="1"/>
      <c r="H187" s="1"/>
      <c r="I187" s="1"/>
      <c r="J187" s="1"/>
      <c r="K187" s="6" t="s">
        <v>66</v>
      </c>
      <c r="L187" s="6" t="s">
        <v>652</v>
      </c>
      <c r="M187" s="1"/>
      <c r="N187" s="6" t="s">
        <v>52</v>
      </c>
      <c r="O187" s="11"/>
      <c r="P187" s="9">
        <v>45887.0</v>
      </c>
      <c r="Q187" s="6" t="s">
        <v>329</v>
      </c>
      <c r="R187" s="1"/>
      <c r="S187" s="1"/>
      <c r="T187" s="1"/>
      <c r="U187" s="6" t="s">
        <v>938</v>
      </c>
      <c r="V187" s="4"/>
      <c r="W187" s="1"/>
      <c r="X187" s="9">
        <v>45887.0</v>
      </c>
      <c r="Y187" s="6" t="s">
        <v>329</v>
      </c>
      <c r="Z187" s="1"/>
      <c r="AA187" s="1"/>
      <c r="AB187" s="1"/>
      <c r="AC187" s="1"/>
      <c r="AD187" s="1"/>
      <c r="AE187" s="1"/>
      <c r="AF187" s="1"/>
      <c r="AG187" s="1"/>
      <c r="AH187" s="1"/>
      <c r="AI187" s="4" t="s">
        <v>939</v>
      </c>
      <c r="AJ187" s="4"/>
      <c r="AK187" s="4"/>
      <c r="AL187" s="6" t="str">
        <f t="array" ref="AL187">IFERROR(IFS(XLOOKUP(B187, 'Kit Delivery Status'!$U:$U, 'Kit Delivery Status'!$K:$K) = "Complete", "DELIVERED", XLOOKUP(B187, 'Kit Delivery Status'!$U:$U, 'Kit Delivery Status'!$K:$K) = "Issue", "ISSUE"), "")</f>
        <v/>
      </c>
      <c r="AM187" s="6"/>
    </row>
    <row r="188">
      <c r="A188" s="5" t="s">
        <v>940</v>
      </c>
      <c r="B188" s="1" t="s">
        <v>941</v>
      </c>
      <c r="C188" s="1" t="s">
        <v>942</v>
      </c>
      <c r="D188" s="2"/>
      <c r="E188" s="1" t="s">
        <v>943</v>
      </c>
      <c r="F188" s="1" t="s">
        <v>944</v>
      </c>
      <c r="G188" s="1" t="s">
        <v>945</v>
      </c>
      <c r="H188" s="1" t="s">
        <v>946</v>
      </c>
      <c r="I188" s="1">
        <v>30097.0</v>
      </c>
      <c r="J188" s="1" t="s">
        <v>752</v>
      </c>
      <c r="K188" s="1" t="s">
        <v>51</v>
      </c>
      <c r="L188" s="1"/>
      <c r="M188" s="1">
        <v>1.0</v>
      </c>
      <c r="N188" s="1" t="s">
        <v>52</v>
      </c>
      <c r="O188" s="3" t="s">
        <v>947</v>
      </c>
      <c r="P188" s="18">
        <v>45890.0</v>
      </c>
      <c r="Q188" s="1" t="s">
        <v>160</v>
      </c>
      <c r="R188" s="1"/>
      <c r="S188" s="1" t="s">
        <v>52</v>
      </c>
      <c r="T188" s="1" t="s">
        <v>52</v>
      </c>
      <c r="U188" s="1" t="s">
        <v>948</v>
      </c>
      <c r="V188" s="4" t="s">
        <v>947</v>
      </c>
      <c r="W188" s="1"/>
      <c r="X188" s="18">
        <v>45877.0</v>
      </c>
      <c r="Y188" s="1" t="s">
        <v>160</v>
      </c>
      <c r="Z188" s="1"/>
      <c r="AA188" s="1"/>
      <c r="AB188" s="1" t="s">
        <v>52</v>
      </c>
      <c r="AC188" s="1"/>
      <c r="AD188" s="1"/>
      <c r="AE188" s="1"/>
      <c r="AF188" s="1"/>
      <c r="AG188" s="1"/>
      <c r="AH188" s="1"/>
      <c r="AI188" s="1"/>
      <c r="AJ188" s="1"/>
      <c r="AK188" s="1"/>
      <c r="AL188" s="6" t="str">
        <f t="array" ref="AL188">IFERROR(IFS(XLOOKUP(B188, 'Kit Delivery Status'!$U:$U, 'Kit Delivery Status'!$K:$K) = "Complete", "DELIVERED", XLOOKUP(B188, 'Kit Delivery Status'!$U:$U, 'Kit Delivery Status'!$K:$K) = "Issue", "ISSUE"), "")</f>
        <v/>
      </c>
      <c r="AM188" s="6"/>
    </row>
    <row r="189">
      <c r="A189" s="5" t="s">
        <v>949</v>
      </c>
      <c r="B189" s="1" t="s">
        <v>950</v>
      </c>
      <c r="C189" s="1" t="s">
        <v>951</v>
      </c>
      <c r="D189" s="2"/>
      <c r="E189" s="1" t="s">
        <v>952</v>
      </c>
      <c r="F189" s="1" t="s">
        <v>953</v>
      </c>
      <c r="G189" s="1" t="s">
        <v>751</v>
      </c>
      <c r="H189" s="1" t="s">
        <v>751</v>
      </c>
      <c r="I189" s="1" t="s">
        <v>954</v>
      </c>
      <c r="J189" s="1" t="s">
        <v>752</v>
      </c>
      <c r="K189" s="1" t="s">
        <v>75</v>
      </c>
      <c r="L189" s="19" t="s">
        <v>808</v>
      </c>
      <c r="M189" s="1">
        <v>49.0</v>
      </c>
      <c r="N189" s="1"/>
      <c r="O189" s="3" t="s">
        <v>955</v>
      </c>
      <c r="P189" s="18">
        <v>45877.0</v>
      </c>
      <c r="Q189" s="1"/>
      <c r="R189" s="1"/>
      <c r="S189" s="1" t="s">
        <v>52</v>
      </c>
      <c r="T189" s="1" t="s">
        <v>52</v>
      </c>
      <c r="U189" s="1" t="s">
        <v>956</v>
      </c>
      <c r="V189" s="4" t="s">
        <v>955</v>
      </c>
      <c r="W189" s="1"/>
      <c r="X189" s="18">
        <v>45877.0</v>
      </c>
      <c r="Y189" s="1"/>
      <c r="Z189" s="1" t="s">
        <v>808</v>
      </c>
      <c r="AA189" s="1"/>
      <c r="AB189" s="1" t="s">
        <v>52</v>
      </c>
      <c r="AC189" s="1"/>
      <c r="AD189" s="1"/>
      <c r="AE189" s="1"/>
      <c r="AF189" s="1"/>
      <c r="AG189" s="1"/>
      <c r="AH189" s="1"/>
      <c r="AI189" s="1"/>
      <c r="AJ189" s="1"/>
      <c r="AK189" s="1"/>
      <c r="AL189" s="6" t="str">
        <f t="array" ref="AL189">IFERROR(IFS(XLOOKUP(B189, 'Kit Delivery Status'!$U:$U, 'Kit Delivery Status'!$K:$K) = "Complete", "DELIVERED", XLOOKUP(B189, 'Kit Delivery Status'!$U:$U, 'Kit Delivery Status'!$K:$K) = "Issue", "ISSUE"), "")</f>
        <v/>
      </c>
      <c r="AM189" s="6"/>
    </row>
    <row r="190">
      <c r="A190" s="5" t="s">
        <v>949</v>
      </c>
      <c r="B190" s="1" t="s">
        <v>950</v>
      </c>
      <c r="C190" s="1" t="s">
        <v>951</v>
      </c>
      <c r="D190" s="2"/>
      <c r="E190" s="1" t="s">
        <v>952</v>
      </c>
      <c r="F190" s="1" t="s">
        <v>953</v>
      </c>
      <c r="G190" s="1" t="s">
        <v>751</v>
      </c>
      <c r="H190" s="1" t="s">
        <v>751</v>
      </c>
      <c r="I190" s="1" t="s">
        <v>954</v>
      </c>
      <c r="J190" s="1" t="s">
        <v>752</v>
      </c>
      <c r="K190" s="1" t="s">
        <v>66</v>
      </c>
      <c r="L190" s="1" t="s">
        <v>652</v>
      </c>
      <c r="M190" s="1"/>
      <c r="N190" s="1" t="s">
        <v>52</v>
      </c>
      <c r="O190" s="3" t="s">
        <v>955</v>
      </c>
      <c r="P190" s="18">
        <v>45877.0</v>
      </c>
      <c r="Q190" s="1"/>
      <c r="R190" s="1"/>
      <c r="S190" s="1" t="s">
        <v>52</v>
      </c>
      <c r="T190" s="1" t="s">
        <v>52</v>
      </c>
      <c r="U190" s="1" t="s">
        <v>956</v>
      </c>
      <c r="V190" s="4" t="s">
        <v>955</v>
      </c>
      <c r="W190" s="1"/>
      <c r="X190" s="18">
        <v>45877.0</v>
      </c>
      <c r="Y190" s="1"/>
      <c r="Z190" s="1" t="s">
        <v>808</v>
      </c>
      <c r="AA190" s="1"/>
      <c r="AB190" s="1" t="s">
        <v>52</v>
      </c>
      <c r="AC190" s="1"/>
      <c r="AD190" s="1"/>
      <c r="AE190" s="1"/>
      <c r="AF190" s="1"/>
      <c r="AG190" s="1"/>
      <c r="AH190" s="1"/>
      <c r="AI190" s="1"/>
      <c r="AJ190" s="1"/>
      <c r="AK190" s="1"/>
      <c r="AL190" s="6" t="str">
        <f t="array" ref="AL190">IFERROR(IFS(XLOOKUP(B190, 'Kit Delivery Status'!$U:$U, 'Kit Delivery Status'!$K:$K) = "Complete", "DELIVERED", XLOOKUP(B190, 'Kit Delivery Status'!$U:$U, 'Kit Delivery Status'!$K:$K) = "Issue", "ISSUE"), "")</f>
        <v/>
      </c>
      <c r="AM190" s="6"/>
    </row>
    <row r="191">
      <c r="A191" s="34" t="s">
        <v>957</v>
      </c>
      <c r="B191" s="1" t="s">
        <v>958</v>
      </c>
      <c r="C191" s="1" t="s">
        <v>959</v>
      </c>
      <c r="D191" s="2" t="s">
        <v>960</v>
      </c>
      <c r="E191" s="1" t="s">
        <v>961</v>
      </c>
      <c r="F191" s="1" t="s">
        <v>962</v>
      </c>
      <c r="G191" s="1" t="s">
        <v>963</v>
      </c>
      <c r="H191" s="1" t="s">
        <v>946</v>
      </c>
      <c r="I191" s="1">
        <v>30327.0</v>
      </c>
      <c r="J191" s="1" t="s">
        <v>752</v>
      </c>
      <c r="K191" s="1" t="s">
        <v>66</v>
      </c>
      <c r="L191" s="1" t="s">
        <v>648</v>
      </c>
      <c r="M191" s="1">
        <v>145.0</v>
      </c>
      <c r="N191" s="1" t="s">
        <v>52</v>
      </c>
      <c r="O191" s="3" t="s">
        <v>964</v>
      </c>
      <c r="P191" s="18">
        <v>45881.0</v>
      </c>
      <c r="Q191" s="1" t="s">
        <v>54</v>
      </c>
      <c r="R191" s="1"/>
      <c r="S191" s="1" t="s">
        <v>52</v>
      </c>
      <c r="T191" s="1" t="s">
        <v>52</v>
      </c>
      <c r="U191" s="1" t="s">
        <v>146</v>
      </c>
      <c r="V191" s="4" t="s">
        <v>964</v>
      </c>
      <c r="W191" s="1"/>
      <c r="X191" s="18">
        <v>45881.0</v>
      </c>
      <c r="Y191" s="1" t="s">
        <v>54</v>
      </c>
      <c r="Z191" s="1"/>
      <c r="AA191" s="1"/>
      <c r="AB191" s="1" t="s">
        <v>52</v>
      </c>
      <c r="AC191" s="1"/>
      <c r="AD191" s="1"/>
      <c r="AE191" s="1"/>
      <c r="AF191" s="1"/>
      <c r="AG191" s="1"/>
      <c r="AH191" s="1"/>
      <c r="AI191" s="1"/>
      <c r="AJ191" s="1"/>
      <c r="AK191" s="1"/>
      <c r="AL191" s="6" t="str">
        <f t="array" ref="AL191">IFERROR(IFS(XLOOKUP(B191, 'Kit Delivery Status'!$U:$U, 'Kit Delivery Status'!$K:$K) = "Complete", "DELIVERED", XLOOKUP(B191, 'Kit Delivery Status'!$U:$U, 'Kit Delivery Status'!$K:$K) = "Issue", "ISSUE"), "")</f>
        <v/>
      </c>
      <c r="AM191" s="6"/>
    </row>
    <row r="192">
      <c r="A192" s="5" t="s">
        <v>965</v>
      </c>
      <c r="B192" s="1" t="s">
        <v>966</v>
      </c>
      <c r="C192" s="1" t="s">
        <v>967</v>
      </c>
      <c r="D192" s="2" t="s">
        <v>968</v>
      </c>
      <c r="E192" s="1" t="s">
        <v>969</v>
      </c>
      <c r="F192" s="1" t="s">
        <v>970</v>
      </c>
      <c r="G192" s="1" t="s">
        <v>971</v>
      </c>
      <c r="H192" s="1" t="s">
        <v>751</v>
      </c>
      <c r="I192" s="1">
        <v>11050.0</v>
      </c>
      <c r="J192" s="1" t="s">
        <v>752</v>
      </c>
      <c r="K192" s="1" t="s">
        <v>75</v>
      </c>
      <c r="L192" s="19" t="s">
        <v>808</v>
      </c>
      <c r="M192" s="1">
        <v>49.0</v>
      </c>
      <c r="N192" s="1" t="s">
        <v>52</v>
      </c>
      <c r="O192" s="3" t="s">
        <v>972</v>
      </c>
      <c r="P192" s="18">
        <v>45877.0</v>
      </c>
      <c r="Q192" s="1" t="s">
        <v>54</v>
      </c>
      <c r="R192" s="1"/>
      <c r="S192" s="1" t="s">
        <v>52</v>
      </c>
      <c r="T192" s="1" t="s">
        <v>52</v>
      </c>
      <c r="U192" s="1" t="s">
        <v>78</v>
      </c>
      <c r="V192" s="4" t="s">
        <v>972</v>
      </c>
      <c r="W192" s="1"/>
      <c r="X192" s="18">
        <v>45877.0</v>
      </c>
      <c r="Y192" s="1" t="s">
        <v>54</v>
      </c>
      <c r="Z192" s="1"/>
      <c r="AA192" s="1"/>
      <c r="AB192" s="1" t="s">
        <v>52</v>
      </c>
      <c r="AC192" s="1"/>
      <c r="AD192" s="1"/>
      <c r="AE192" s="1"/>
      <c r="AF192" s="1"/>
      <c r="AG192" s="1"/>
      <c r="AH192" s="1"/>
      <c r="AI192" s="1"/>
      <c r="AJ192" s="1"/>
      <c r="AK192" s="1"/>
      <c r="AL192" s="6" t="str">
        <f t="array" ref="AL192">IFERROR(IFS(XLOOKUP(B192, 'Kit Delivery Status'!$U:$U, 'Kit Delivery Status'!$K:$K) = "Complete", "DELIVERED", XLOOKUP(B192, 'Kit Delivery Status'!$U:$U, 'Kit Delivery Status'!$K:$K) = "Issue", "ISSUE"), "")</f>
        <v/>
      </c>
      <c r="AM192" s="6"/>
    </row>
    <row r="193">
      <c r="A193" s="5" t="s">
        <v>973</v>
      </c>
      <c r="B193" s="1" t="s">
        <v>974</v>
      </c>
      <c r="C193" s="1" t="s">
        <v>975</v>
      </c>
      <c r="D193" s="2" t="s">
        <v>976</v>
      </c>
      <c r="E193" s="1" t="s">
        <v>977</v>
      </c>
      <c r="F193" s="1" t="s">
        <v>978</v>
      </c>
      <c r="G193" s="1" t="s">
        <v>979</v>
      </c>
      <c r="H193" s="1" t="s">
        <v>980</v>
      </c>
      <c r="I193" s="1">
        <v>98011.0</v>
      </c>
      <c r="J193" s="1" t="s">
        <v>752</v>
      </c>
      <c r="K193" s="1" t="s">
        <v>95</v>
      </c>
      <c r="L193" s="1"/>
      <c r="M193" s="1">
        <v>49.0</v>
      </c>
      <c r="N193" s="1" t="s">
        <v>52</v>
      </c>
      <c r="O193" s="3" t="s">
        <v>981</v>
      </c>
      <c r="P193" s="18">
        <v>45877.0</v>
      </c>
      <c r="Q193" s="1" t="s">
        <v>54</v>
      </c>
      <c r="R193" s="1"/>
      <c r="S193" s="1" t="s">
        <v>52</v>
      </c>
      <c r="T193" s="1" t="s">
        <v>52</v>
      </c>
      <c r="U193" s="1" t="s">
        <v>982</v>
      </c>
      <c r="V193" s="4" t="s">
        <v>981</v>
      </c>
      <c r="W193" s="1"/>
      <c r="X193" s="18">
        <v>45877.0</v>
      </c>
      <c r="Y193" s="1" t="s">
        <v>54</v>
      </c>
      <c r="Z193" s="1"/>
      <c r="AA193" s="1"/>
      <c r="AB193" s="1" t="s">
        <v>52</v>
      </c>
      <c r="AC193" s="1"/>
      <c r="AD193" s="1"/>
      <c r="AE193" s="1"/>
      <c r="AF193" s="1"/>
      <c r="AG193" s="1"/>
      <c r="AH193" s="1"/>
      <c r="AI193" s="1"/>
      <c r="AJ193" s="1"/>
      <c r="AK193" s="1"/>
      <c r="AL193" s="6" t="str">
        <f t="array" ref="AL193">IFERROR(IFS(XLOOKUP(B193, 'Kit Delivery Status'!$U:$U, 'Kit Delivery Status'!$K:$K) = "Complete", "DELIVERED", XLOOKUP(B193, 'Kit Delivery Status'!$U:$U, 'Kit Delivery Status'!$K:$K) = "Issue", "ISSUE"), "")</f>
        <v/>
      </c>
      <c r="AM193" s="6"/>
    </row>
    <row r="194">
      <c r="A194" s="5" t="s">
        <v>983</v>
      </c>
      <c r="B194" s="1" t="s">
        <v>984</v>
      </c>
      <c r="C194" s="1" t="s">
        <v>985</v>
      </c>
      <c r="D194" s="2"/>
      <c r="E194" s="1" t="s">
        <v>986</v>
      </c>
      <c r="F194" s="1" t="s">
        <v>987</v>
      </c>
      <c r="G194" s="1" t="s">
        <v>988</v>
      </c>
      <c r="H194" s="1" t="s">
        <v>989</v>
      </c>
      <c r="I194" s="1">
        <v>91367.0</v>
      </c>
      <c r="J194" s="1" t="s">
        <v>752</v>
      </c>
      <c r="K194" s="1" t="s">
        <v>95</v>
      </c>
      <c r="L194" s="1" t="s">
        <v>95</v>
      </c>
      <c r="M194" s="1">
        <v>49.0</v>
      </c>
      <c r="N194" s="1"/>
      <c r="O194" s="3" t="s">
        <v>990</v>
      </c>
      <c r="P194" s="18">
        <v>45877.0</v>
      </c>
      <c r="Q194" s="1"/>
      <c r="R194" s="1"/>
      <c r="S194" s="1" t="s">
        <v>52</v>
      </c>
      <c r="T194" s="1" t="s">
        <v>52</v>
      </c>
      <c r="U194" s="1" t="s">
        <v>982</v>
      </c>
      <c r="V194" s="4" t="s">
        <v>990</v>
      </c>
      <c r="W194" s="1"/>
      <c r="X194" s="18">
        <v>45877.0</v>
      </c>
      <c r="Y194" s="1"/>
      <c r="Z194" s="1"/>
      <c r="AA194" s="1"/>
      <c r="AB194" s="1" t="s">
        <v>52</v>
      </c>
      <c r="AC194" s="1"/>
      <c r="AD194" s="1"/>
      <c r="AE194" s="1"/>
      <c r="AF194" s="1"/>
      <c r="AG194" s="1"/>
      <c r="AH194" s="1"/>
      <c r="AI194" s="1"/>
      <c r="AJ194" s="1"/>
      <c r="AK194" s="1"/>
      <c r="AL194" s="6" t="str">
        <f t="array" ref="AL194">IFERROR(IFS(XLOOKUP(B194, 'Kit Delivery Status'!$U:$U, 'Kit Delivery Status'!$K:$K) = "Complete", "DELIVERED", XLOOKUP(B194, 'Kit Delivery Status'!$U:$U, 'Kit Delivery Status'!$K:$K) = "Issue", "ISSUE"), "")</f>
        <v/>
      </c>
      <c r="AM194" s="6"/>
    </row>
    <row r="195">
      <c r="A195" s="5" t="s">
        <v>991</v>
      </c>
      <c r="B195" s="1" t="s">
        <v>992</v>
      </c>
      <c r="C195" s="1" t="s">
        <v>993</v>
      </c>
      <c r="D195" s="2" t="s">
        <v>994</v>
      </c>
      <c r="E195" s="1" t="s">
        <v>995</v>
      </c>
      <c r="F195" s="1" t="s">
        <v>996</v>
      </c>
      <c r="G195" s="1" t="s">
        <v>963</v>
      </c>
      <c r="H195" s="1" t="s">
        <v>946</v>
      </c>
      <c r="I195" s="1">
        <v>30327.0</v>
      </c>
      <c r="J195" s="1" t="s">
        <v>752</v>
      </c>
      <c r="K195" s="1" t="s">
        <v>66</v>
      </c>
      <c r="L195" s="1" t="s">
        <v>648</v>
      </c>
      <c r="M195" s="1">
        <v>145.0</v>
      </c>
      <c r="N195" s="1" t="s">
        <v>52</v>
      </c>
      <c r="O195" s="3" t="s">
        <v>997</v>
      </c>
      <c r="P195" s="18">
        <v>45884.0</v>
      </c>
      <c r="Q195" s="1"/>
      <c r="R195" s="1"/>
      <c r="S195" s="1" t="s">
        <v>52</v>
      </c>
      <c r="T195" s="1" t="s">
        <v>52</v>
      </c>
      <c r="U195" s="1" t="s">
        <v>146</v>
      </c>
      <c r="V195" s="4" t="s">
        <v>997</v>
      </c>
      <c r="W195" s="1"/>
      <c r="X195" s="18">
        <v>45884.0</v>
      </c>
      <c r="Y195" s="1"/>
      <c r="Z195" s="1"/>
      <c r="AA195" s="1"/>
      <c r="AB195" s="1" t="s">
        <v>52</v>
      </c>
      <c r="AC195" s="1"/>
      <c r="AD195" s="1"/>
      <c r="AE195" s="1"/>
      <c r="AF195" s="1"/>
      <c r="AG195" s="1"/>
      <c r="AH195" s="1"/>
      <c r="AI195" s="1"/>
      <c r="AJ195" s="1"/>
      <c r="AK195" s="1"/>
      <c r="AL195" s="6" t="str">
        <f t="array" ref="AL195">IFERROR(IFS(XLOOKUP(B195, 'Kit Delivery Status'!$U:$U, 'Kit Delivery Status'!$K:$K) = "Complete", "DELIVERED", XLOOKUP(B195, 'Kit Delivery Status'!$U:$U, 'Kit Delivery Status'!$K:$K) = "Issue", "ISSUE"), "")</f>
        <v/>
      </c>
      <c r="AM195" s="6"/>
    </row>
    <row r="196">
      <c r="A196" s="5" t="s">
        <v>998</v>
      </c>
      <c r="B196" s="1" t="s">
        <v>999</v>
      </c>
      <c r="C196" s="1" t="s">
        <v>1000</v>
      </c>
      <c r="D196" s="2" t="s">
        <v>1001</v>
      </c>
      <c r="E196" s="1" t="s">
        <v>1002</v>
      </c>
      <c r="F196" s="1" t="s">
        <v>1003</v>
      </c>
      <c r="G196" s="1" t="s">
        <v>1004</v>
      </c>
      <c r="H196" s="1" t="s">
        <v>1005</v>
      </c>
      <c r="I196" s="1">
        <v>20895.0</v>
      </c>
      <c r="J196" s="1" t="s">
        <v>752</v>
      </c>
      <c r="K196" s="1" t="s">
        <v>66</v>
      </c>
      <c r="L196" s="1" t="s">
        <v>652</v>
      </c>
      <c r="M196" s="1">
        <v>210.0</v>
      </c>
      <c r="N196" s="1" t="s">
        <v>52</v>
      </c>
      <c r="O196" s="3" t="s">
        <v>422</v>
      </c>
      <c r="P196" s="18">
        <v>45885.0</v>
      </c>
      <c r="Q196" s="1"/>
      <c r="R196" s="1"/>
      <c r="S196" s="1" t="s">
        <v>52</v>
      </c>
      <c r="T196" s="1" t="s">
        <v>52</v>
      </c>
      <c r="U196" s="1" t="s">
        <v>116</v>
      </c>
      <c r="V196" s="4" t="s">
        <v>422</v>
      </c>
      <c r="W196" s="1"/>
      <c r="X196" s="18">
        <v>45885.0</v>
      </c>
      <c r="Y196" s="1"/>
      <c r="Z196" s="1"/>
      <c r="AA196" s="1"/>
      <c r="AB196" s="1" t="s">
        <v>52</v>
      </c>
      <c r="AC196" s="1"/>
      <c r="AD196" s="1"/>
      <c r="AE196" s="1"/>
      <c r="AF196" s="1"/>
      <c r="AG196" s="1"/>
      <c r="AH196" s="1"/>
      <c r="AI196" s="1"/>
      <c r="AJ196" s="1"/>
      <c r="AK196" s="1"/>
      <c r="AL196" s="6" t="str">
        <f t="array" ref="AL196">IFERROR(IFS(XLOOKUP(B196, 'Kit Delivery Status'!$U:$U, 'Kit Delivery Status'!$K:$K) = "Complete", "DELIVERED", XLOOKUP(B196, 'Kit Delivery Status'!$U:$U, 'Kit Delivery Status'!$K:$K) = "Issue", "ISSUE"), "")</f>
        <v/>
      </c>
      <c r="AM196" s="6"/>
    </row>
    <row r="197">
      <c r="A197" s="5" t="s">
        <v>1006</v>
      </c>
      <c r="B197" s="1" t="s">
        <v>1007</v>
      </c>
      <c r="C197" s="1"/>
      <c r="D197" s="2" t="s">
        <v>1008</v>
      </c>
      <c r="E197" s="1" t="s">
        <v>1009</v>
      </c>
      <c r="F197" s="1" t="s">
        <v>1010</v>
      </c>
      <c r="G197" s="1" t="s">
        <v>1011</v>
      </c>
      <c r="H197" s="1" t="s">
        <v>989</v>
      </c>
      <c r="I197" s="1">
        <v>91436.0</v>
      </c>
      <c r="J197" s="1" t="s">
        <v>752</v>
      </c>
      <c r="K197" s="1" t="s">
        <v>66</v>
      </c>
      <c r="L197" s="1" t="s">
        <v>648</v>
      </c>
      <c r="M197" s="1">
        <v>145.0</v>
      </c>
      <c r="N197" s="1" t="s">
        <v>52</v>
      </c>
      <c r="O197" s="3" t="s">
        <v>1012</v>
      </c>
      <c r="P197" s="18">
        <v>45884.0</v>
      </c>
      <c r="Q197" s="1"/>
      <c r="R197" s="1"/>
      <c r="S197" s="1" t="s">
        <v>52</v>
      </c>
      <c r="T197" s="1" t="s">
        <v>52</v>
      </c>
      <c r="U197" s="1" t="s">
        <v>956</v>
      </c>
      <c r="V197" s="4" t="s">
        <v>1012</v>
      </c>
      <c r="W197" s="1"/>
      <c r="X197" s="18"/>
      <c r="Y197" s="1"/>
      <c r="Z197" s="1"/>
      <c r="AA197" s="1"/>
      <c r="AB197" s="1"/>
      <c r="AC197" s="1"/>
      <c r="AD197" s="1"/>
      <c r="AE197" s="1"/>
      <c r="AF197" s="1"/>
      <c r="AG197" s="1"/>
      <c r="AH197" s="1"/>
      <c r="AI197" s="1"/>
      <c r="AJ197" s="1"/>
      <c r="AK197" s="1"/>
      <c r="AL197" s="6" t="str">
        <f t="array" ref="AL197">IFERROR(IFS(XLOOKUP(B197, 'Kit Delivery Status'!$U:$U, 'Kit Delivery Status'!$K:$K) = "Complete", "DELIVERED", XLOOKUP(B197, 'Kit Delivery Status'!$U:$U, 'Kit Delivery Status'!$K:$K) = "Issue", "ISSUE"), "")</f>
        <v/>
      </c>
      <c r="AM197" s="6"/>
    </row>
    <row r="198">
      <c r="A198" s="5" t="s">
        <v>1013</v>
      </c>
      <c r="B198" s="1" t="s">
        <v>1014</v>
      </c>
      <c r="C198" s="1" t="s">
        <v>1015</v>
      </c>
      <c r="D198" s="2"/>
      <c r="E198" s="1" t="s">
        <v>1016</v>
      </c>
      <c r="F198" s="1" t="s">
        <v>1017</v>
      </c>
      <c r="G198" s="1" t="s">
        <v>1018</v>
      </c>
      <c r="H198" s="1" t="s">
        <v>1019</v>
      </c>
      <c r="I198" s="1">
        <v>60103.0</v>
      </c>
      <c r="J198" s="1" t="s">
        <v>752</v>
      </c>
      <c r="K198" s="1" t="s">
        <v>66</v>
      </c>
      <c r="L198" s="1" t="s">
        <v>648</v>
      </c>
      <c r="M198" s="1">
        <v>145.0</v>
      </c>
      <c r="N198" s="1"/>
      <c r="O198" s="3" t="s">
        <v>1020</v>
      </c>
      <c r="P198" s="18">
        <v>45877.0</v>
      </c>
      <c r="Q198" s="1"/>
      <c r="R198" s="1"/>
      <c r="S198" s="1"/>
      <c r="T198" s="1"/>
      <c r="U198" s="1" t="s">
        <v>1021</v>
      </c>
      <c r="V198" s="4" t="s">
        <v>1020</v>
      </c>
      <c r="W198" s="1"/>
      <c r="X198" s="18">
        <v>45877.0</v>
      </c>
      <c r="Y198" s="1"/>
      <c r="Z198" s="1"/>
      <c r="AA198" s="1"/>
      <c r="AB198" s="1"/>
      <c r="AC198" s="1"/>
      <c r="AD198" s="1"/>
      <c r="AE198" s="1"/>
      <c r="AF198" s="1"/>
      <c r="AG198" s="1"/>
      <c r="AH198" s="1"/>
      <c r="AI198" s="1"/>
      <c r="AJ198" s="1"/>
      <c r="AK198" s="1"/>
      <c r="AL198" s="6" t="str">
        <f t="array" ref="AL198">IFERROR(IFS(XLOOKUP(B198, 'Kit Delivery Status'!$U:$U, 'Kit Delivery Status'!$K:$K) = "Complete", "DELIVERED", XLOOKUP(B198, 'Kit Delivery Status'!$U:$U, 'Kit Delivery Status'!$K:$K) = "Issue", "ISSUE"), "")</f>
        <v/>
      </c>
      <c r="AM198" s="6"/>
    </row>
    <row r="199">
      <c r="A199" s="5" t="s">
        <v>1022</v>
      </c>
      <c r="B199" s="1" t="s">
        <v>1023</v>
      </c>
      <c r="C199" s="1" t="s">
        <v>1024</v>
      </c>
      <c r="D199" s="2"/>
      <c r="E199" s="1" t="s">
        <v>1025</v>
      </c>
      <c r="F199" s="1" t="s">
        <v>1026</v>
      </c>
      <c r="G199" s="1" t="s">
        <v>1027</v>
      </c>
      <c r="H199" s="1" t="s">
        <v>1028</v>
      </c>
      <c r="I199" s="1">
        <v>87112.0</v>
      </c>
      <c r="J199" s="1" t="s">
        <v>752</v>
      </c>
      <c r="K199" s="1" t="s">
        <v>95</v>
      </c>
      <c r="L199" s="1" t="s">
        <v>95</v>
      </c>
      <c r="M199" s="1">
        <v>49.0</v>
      </c>
      <c r="N199" s="1" t="s">
        <v>52</v>
      </c>
      <c r="O199" s="3" t="s">
        <v>1029</v>
      </c>
      <c r="P199" s="18">
        <v>45883.0</v>
      </c>
      <c r="Q199" s="1" t="s">
        <v>1030</v>
      </c>
      <c r="R199" s="1"/>
      <c r="S199" s="1"/>
      <c r="T199" s="1" t="s">
        <v>52</v>
      </c>
      <c r="U199" s="1" t="s">
        <v>1031</v>
      </c>
      <c r="V199" s="4" t="s">
        <v>1029</v>
      </c>
      <c r="W199" s="1"/>
      <c r="X199" s="18">
        <v>45883.0</v>
      </c>
      <c r="Y199" s="1" t="s">
        <v>1030</v>
      </c>
      <c r="Z199" s="1"/>
      <c r="AA199" s="1"/>
      <c r="AB199" s="1"/>
      <c r="AC199" s="1"/>
      <c r="AD199" s="1"/>
      <c r="AE199" s="1"/>
      <c r="AF199" s="1"/>
      <c r="AG199" s="1"/>
      <c r="AH199" s="1"/>
      <c r="AI199" s="1"/>
      <c r="AJ199" s="1"/>
      <c r="AK199" s="1"/>
      <c r="AL199" s="6" t="str">
        <f t="array" ref="AL199">IFERROR(IFS(XLOOKUP(B199, 'Kit Delivery Status'!$U:$U, 'Kit Delivery Status'!$K:$K) = "Complete", "DELIVERED", XLOOKUP(B199, 'Kit Delivery Status'!$U:$U, 'Kit Delivery Status'!$K:$K) = "Issue", "ISSUE"), "")</f>
        <v/>
      </c>
      <c r="AM199" s="6"/>
    </row>
    <row r="200">
      <c r="A200" s="5" t="s">
        <v>1032</v>
      </c>
      <c r="B200" s="1" t="s">
        <v>1033</v>
      </c>
      <c r="C200" s="1" t="s">
        <v>1034</v>
      </c>
      <c r="D200" s="2"/>
      <c r="E200" s="1" t="s">
        <v>1035</v>
      </c>
      <c r="F200" s="1" t="s">
        <v>1036</v>
      </c>
      <c r="G200" s="1" t="s">
        <v>1037</v>
      </c>
      <c r="H200" s="1" t="s">
        <v>1038</v>
      </c>
      <c r="I200" s="1">
        <v>22207.0</v>
      </c>
      <c r="J200" s="1" t="s">
        <v>752</v>
      </c>
      <c r="K200" s="1" t="s">
        <v>95</v>
      </c>
      <c r="L200" s="1" t="s">
        <v>95</v>
      </c>
      <c r="M200" s="1">
        <v>49.0</v>
      </c>
      <c r="N200" s="1" t="s">
        <v>52</v>
      </c>
      <c r="O200" s="3" t="s">
        <v>270</v>
      </c>
      <c r="P200" s="18">
        <v>45883.0</v>
      </c>
      <c r="Q200" s="1" t="s">
        <v>1030</v>
      </c>
      <c r="R200" s="1"/>
      <c r="S200" s="1"/>
      <c r="T200" s="1" t="s">
        <v>52</v>
      </c>
      <c r="U200" s="1" t="s">
        <v>1039</v>
      </c>
      <c r="V200" s="4" t="s">
        <v>270</v>
      </c>
      <c r="W200" s="1"/>
      <c r="X200" s="18">
        <v>45883.0</v>
      </c>
      <c r="Y200" s="1" t="s">
        <v>1030</v>
      </c>
      <c r="Z200" s="1"/>
      <c r="AA200" s="1"/>
      <c r="AB200" s="1"/>
      <c r="AC200" s="1"/>
      <c r="AD200" s="1"/>
      <c r="AE200" s="1"/>
      <c r="AF200" s="1"/>
      <c r="AG200" s="1"/>
      <c r="AH200" s="1"/>
      <c r="AI200" s="1"/>
      <c r="AJ200" s="1"/>
      <c r="AK200" s="1"/>
      <c r="AL200" s="6" t="str">
        <f t="array" ref="AL200">IFERROR(IFS(XLOOKUP(B200, 'Kit Delivery Status'!$U:$U, 'Kit Delivery Status'!$K:$K) = "Complete", "DELIVERED", XLOOKUP(B200, 'Kit Delivery Status'!$U:$U, 'Kit Delivery Status'!$K:$K) = "Issue", "ISSUE"), "")</f>
        <v/>
      </c>
      <c r="AM200" s="6"/>
    </row>
    <row r="201">
      <c r="A201" s="5" t="s">
        <v>1040</v>
      </c>
      <c r="B201" s="1" t="s">
        <v>1041</v>
      </c>
      <c r="C201" s="1" t="s">
        <v>1042</v>
      </c>
      <c r="D201" s="2"/>
      <c r="E201" s="1" t="s">
        <v>1043</v>
      </c>
      <c r="F201" s="1" t="s">
        <v>1044</v>
      </c>
      <c r="G201" s="1" t="s">
        <v>1045</v>
      </c>
      <c r="H201" s="1" t="s">
        <v>989</v>
      </c>
      <c r="I201" s="1">
        <v>94563.0</v>
      </c>
      <c r="J201" s="1" t="s">
        <v>752</v>
      </c>
      <c r="K201" s="1" t="s">
        <v>95</v>
      </c>
      <c r="L201" s="1" t="s">
        <v>95</v>
      </c>
      <c r="M201" s="1">
        <v>49.0</v>
      </c>
      <c r="N201" s="1" t="s">
        <v>52</v>
      </c>
      <c r="O201" s="3" t="s">
        <v>1046</v>
      </c>
      <c r="P201" s="18">
        <v>45883.0</v>
      </c>
      <c r="Q201" s="1" t="s">
        <v>1030</v>
      </c>
      <c r="R201" s="1"/>
      <c r="S201" s="1"/>
      <c r="T201" s="1" t="s">
        <v>52</v>
      </c>
      <c r="U201" s="1" t="s">
        <v>982</v>
      </c>
      <c r="V201" s="4" t="s">
        <v>1046</v>
      </c>
      <c r="W201" s="1"/>
      <c r="X201" s="18">
        <v>45883.0</v>
      </c>
      <c r="Y201" s="1" t="s">
        <v>1030</v>
      </c>
      <c r="Z201" s="1"/>
      <c r="AA201" s="1"/>
      <c r="AB201" s="1"/>
      <c r="AC201" s="1"/>
      <c r="AD201" s="1"/>
      <c r="AE201" s="1"/>
      <c r="AF201" s="1"/>
      <c r="AG201" s="1"/>
      <c r="AH201" s="1"/>
      <c r="AI201" s="1"/>
      <c r="AJ201" s="1"/>
      <c r="AK201" s="1"/>
      <c r="AL201" s="6" t="str">
        <f t="array" ref="AL201">IFERROR(IFS(XLOOKUP(B201, 'Kit Delivery Status'!$U:$U, 'Kit Delivery Status'!$K:$K) = "Complete", "DELIVERED", XLOOKUP(B201, 'Kit Delivery Status'!$U:$U, 'Kit Delivery Status'!$K:$K) = "Issue", "ISSUE"), "")</f>
        <v/>
      </c>
      <c r="AM201" s="6"/>
    </row>
    <row r="202">
      <c r="A202" s="5" t="s">
        <v>1047</v>
      </c>
      <c r="B202" s="1" t="s">
        <v>1048</v>
      </c>
      <c r="C202" s="1" t="s">
        <v>1049</v>
      </c>
      <c r="D202" s="2"/>
      <c r="E202" s="1" t="s">
        <v>1050</v>
      </c>
      <c r="F202" s="1" t="s">
        <v>1051</v>
      </c>
      <c r="G202" s="1" t="s">
        <v>1052</v>
      </c>
      <c r="H202" s="1" t="s">
        <v>1053</v>
      </c>
      <c r="I202" s="1">
        <v>8048.0</v>
      </c>
      <c r="J202" s="1" t="s">
        <v>752</v>
      </c>
      <c r="K202" s="1" t="s">
        <v>95</v>
      </c>
      <c r="L202" s="1" t="s">
        <v>95</v>
      </c>
      <c r="M202" s="1">
        <v>49.0</v>
      </c>
      <c r="N202" s="1" t="s">
        <v>52</v>
      </c>
      <c r="O202" s="3" t="s">
        <v>1054</v>
      </c>
      <c r="P202" s="18">
        <v>45883.0</v>
      </c>
      <c r="Q202" s="1" t="s">
        <v>1030</v>
      </c>
      <c r="R202" s="1"/>
      <c r="S202" s="1"/>
      <c r="T202" s="1" t="s">
        <v>52</v>
      </c>
      <c r="U202" s="1" t="s">
        <v>1055</v>
      </c>
      <c r="V202" s="4" t="s">
        <v>1054</v>
      </c>
      <c r="W202" s="1"/>
      <c r="X202" s="18">
        <v>45883.0</v>
      </c>
      <c r="Y202" s="1" t="s">
        <v>1030</v>
      </c>
      <c r="Z202" s="1"/>
      <c r="AA202" s="1"/>
      <c r="AB202" s="1"/>
      <c r="AC202" s="1"/>
      <c r="AD202" s="1"/>
      <c r="AE202" s="1"/>
      <c r="AF202" s="1"/>
      <c r="AG202" s="1"/>
      <c r="AH202" s="1"/>
      <c r="AI202" s="1"/>
      <c r="AJ202" s="1"/>
      <c r="AK202" s="1"/>
      <c r="AL202" s="6" t="str">
        <f t="array" ref="AL202">IFERROR(IFS(XLOOKUP(B202, 'Kit Delivery Status'!$U:$U, 'Kit Delivery Status'!$K:$K) = "Complete", "DELIVERED", XLOOKUP(B202, 'Kit Delivery Status'!$U:$U, 'Kit Delivery Status'!$K:$K) = "Issue", "ISSUE"), "")</f>
        <v/>
      </c>
      <c r="AM202" s="6"/>
    </row>
    <row r="203">
      <c r="A203" s="5" t="s">
        <v>1056</v>
      </c>
      <c r="B203" s="1" t="s">
        <v>1057</v>
      </c>
      <c r="C203" s="1" t="s">
        <v>1049</v>
      </c>
      <c r="D203" s="2"/>
      <c r="E203" s="1" t="s">
        <v>1050</v>
      </c>
      <c r="F203" s="1" t="s">
        <v>1051</v>
      </c>
      <c r="G203" s="1" t="s">
        <v>1052</v>
      </c>
      <c r="H203" s="1" t="s">
        <v>1053</v>
      </c>
      <c r="I203" s="1">
        <v>8048.0</v>
      </c>
      <c r="J203" s="1" t="s">
        <v>752</v>
      </c>
      <c r="K203" s="1" t="s">
        <v>51</v>
      </c>
      <c r="L203" s="1"/>
      <c r="M203" s="1">
        <v>1.0</v>
      </c>
      <c r="N203" s="1" t="s">
        <v>52</v>
      </c>
      <c r="O203" s="3" t="s">
        <v>1054</v>
      </c>
      <c r="P203" s="18">
        <v>45883.0</v>
      </c>
      <c r="Q203" s="1" t="s">
        <v>1030</v>
      </c>
      <c r="R203" s="1"/>
      <c r="S203" s="1"/>
      <c r="T203" s="1" t="s">
        <v>52</v>
      </c>
      <c r="U203" s="1" t="s">
        <v>1055</v>
      </c>
      <c r="V203" s="4" t="s">
        <v>1054</v>
      </c>
      <c r="W203" s="1"/>
      <c r="X203" s="18">
        <v>45883.0</v>
      </c>
      <c r="Y203" s="1" t="s">
        <v>1030</v>
      </c>
      <c r="Z203" s="1"/>
      <c r="AA203" s="1"/>
      <c r="AB203" s="1"/>
      <c r="AC203" s="1"/>
      <c r="AD203" s="1"/>
      <c r="AE203" s="1"/>
      <c r="AF203" s="1"/>
      <c r="AG203" s="1"/>
      <c r="AH203" s="1"/>
      <c r="AI203" s="1"/>
      <c r="AJ203" s="1"/>
      <c r="AK203" s="1"/>
      <c r="AL203" s="6" t="str">
        <f t="array" ref="AL203">IFERROR(IFS(XLOOKUP(B203, 'Kit Delivery Status'!$U:$U, 'Kit Delivery Status'!$K:$K) = "Complete", "DELIVERED", XLOOKUP(B203, 'Kit Delivery Status'!$U:$U, 'Kit Delivery Status'!$K:$K) = "Issue", "ISSUE"), "")</f>
        <v/>
      </c>
      <c r="AM203" s="6"/>
    </row>
    <row r="204">
      <c r="A204" s="5" t="s">
        <v>1058</v>
      </c>
      <c r="B204" s="1" t="s">
        <v>1059</v>
      </c>
      <c r="C204" s="1" t="s">
        <v>1060</v>
      </c>
      <c r="D204" s="2"/>
      <c r="E204" s="1" t="s">
        <v>1061</v>
      </c>
      <c r="F204" s="1" t="s">
        <v>1062</v>
      </c>
      <c r="G204" s="1" t="s">
        <v>980</v>
      </c>
      <c r="H204" s="1" t="s">
        <v>1063</v>
      </c>
      <c r="I204" s="1">
        <v>20016.0</v>
      </c>
      <c r="J204" s="1" t="s">
        <v>752</v>
      </c>
      <c r="K204" s="1" t="s">
        <v>66</v>
      </c>
      <c r="L204" s="1" t="s">
        <v>648</v>
      </c>
      <c r="M204" s="1">
        <v>145.0</v>
      </c>
      <c r="N204" s="1"/>
      <c r="O204" s="3" t="s">
        <v>1064</v>
      </c>
      <c r="P204" s="18">
        <v>45883.0</v>
      </c>
      <c r="Q204" s="1"/>
      <c r="R204" s="1"/>
      <c r="S204" s="1"/>
      <c r="T204" s="1"/>
      <c r="U204" s="1" t="s">
        <v>1065</v>
      </c>
      <c r="V204" s="4" t="s">
        <v>1064</v>
      </c>
      <c r="W204" s="1"/>
      <c r="X204" s="18">
        <v>45883.0</v>
      </c>
      <c r="Y204" s="1"/>
      <c r="Z204" s="1"/>
      <c r="AA204" s="1"/>
      <c r="AB204" s="1"/>
      <c r="AC204" s="1"/>
      <c r="AD204" s="1"/>
      <c r="AE204" s="1"/>
      <c r="AF204" s="1"/>
      <c r="AG204" s="1"/>
      <c r="AH204" s="1"/>
      <c r="AI204" s="1"/>
      <c r="AJ204" s="1"/>
      <c r="AK204" s="1"/>
      <c r="AL204" s="6" t="str">
        <f t="array" ref="AL204">IFERROR(IFS(XLOOKUP(B204, 'Kit Delivery Status'!$U:$U, 'Kit Delivery Status'!$K:$K) = "Complete", "DELIVERED", XLOOKUP(B204, 'Kit Delivery Status'!$U:$U, 'Kit Delivery Status'!$K:$K) = "Issue", "ISSUE"), "")</f>
        <v/>
      </c>
      <c r="AM204" s="6"/>
    </row>
    <row r="205">
      <c r="A205" s="5" t="s">
        <v>1066</v>
      </c>
      <c r="B205" s="1" t="s">
        <v>1067</v>
      </c>
      <c r="C205" s="1" t="s">
        <v>1068</v>
      </c>
      <c r="D205" s="2" t="s">
        <v>1069</v>
      </c>
      <c r="E205" s="1" t="s">
        <v>1070</v>
      </c>
      <c r="F205" s="1" t="s">
        <v>1071</v>
      </c>
      <c r="G205" s="1" t="s">
        <v>1072</v>
      </c>
      <c r="H205" s="1" t="s">
        <v>1019</v>
      </c>
      <c r="I205" s="1">
        <v>60610.0</v>
      </c>
      <c r="J205" s="1" t="s">
        <v>752</v>
      </c>
      <c r="K205" s="1" t="s">
        <v>87</v>
      </c>
      <c r="L205" s="1"/>
      <c r="M205" s="1">
        <v>109.0</v>
      </c>
      <c r="N205" s="1"/>
      <c r="O205" s="3"/>
      <c r="P205" s="18">
        <v>45882.0</v>
      </c>
      <c r="Q205" s="1"/>
      <c r="R205" s="1"/>
      <c r="S205" s="1"/>
      <c r="T205" s="1"/>
      <c r="U205" s="1"/>
      <c r="V205" s="4"/>
      <c r="W205" s="1"/>
      <c r="X205" s="18">
        <v>45882.0</v>
      </c>
      <c r="Y205" s="1"/>
      <c r="Z205" s="1"/>
      <c r="AA205" s="1"/>
      <c r="AB205" s="1"/>
      <c r="AC205" s="1" t="s">
        <v>1071</v>
      </c>
      <c r="AD205" s="1"/>
      <c r="AE205" s="18">
        <v>45882.0</v>
      </c>
      <c r="AF205" s="1"/>
      <c r="AG205" s="1"/>
      <c r="AH205" s="1"/>
      <c r="AI205" s="1"/>
      <c r="AJ205" s="1"/>
      <c r="AK205" s="1"/>
      <c r="AL205" s="6" t="str">
        <f t="array" ref="AL205">IFERROR(IFS(XLOOKUP(B205, 'Kit Delivery Status'!$U:$U, 'Kit Delivery Status'!$K:$K) = "Complete", "DELIVERED", XLOOKUP(B205, 'Kit Delivery Status'!$U:$U, 'Kit Delivery Status'!$K:$K) = "Issue", "ISSUE"), "")</f>
        <v/>
      </c>
      <c r="AM205" s="6"/>
    </row>
    <row r="206">
      <c r="A206" s="5" t="s">
        <v>1073</v>
      </c>
      <c r="B206" s="1" t="s">
        <v>1074</v>
      </c>
      <c r="C206" s="1" t="s">
        <v>1075</v>
      </c>
      <c r="D206" s="2"/>
      <c r="E206" s="1" t="s">
        <v>1076</v>
      </c>
      <c r="F206" s="1" t="s">
        <v>1077</v>
      </c>
      <c r="G206" s="1" t="s">
        <v>751</v>
      </c>
      <c r="H206" s="1" t="s">
        <v>1078</v>
      </c>
      <c r="I206" s="1">
        <v>6880.0</v>
      </c>
      <c r="J206" s="1" t="s">
        <v>752</v>
      </c>
      <c r="K206" s="1" t="s">
        <v>66</v>
      </c>
      <c r="L206" s="1" t="s">
        <v>652</v>
      </c>
      <c r="M206" s="1">
        <v>210.0</v>
      </c>
      <c r="N206" s="1"/>
      <c r="O206" s="3" t="s">
        <v>1079</v>
      </c>
      <c r="P206" s="18">
        <v>45885.0</v>
      </c>
      <c r="Q206" s="1"/>
      <c r="R206" s="1"/>
      <c r="S206" s="1"/>
      <c r="T206" s="1"/>
      <c r="U206" s="1" t="s">
        <v>1080</v>
      </c>
      <c r="V206" s="4" t="s">
        <v>1079</v>
      </c>
      <c r="W206" s="1"/>
      <c r="X206" s="18">
        <v>45885.0</v>
      </c>
      <c r="Y206" s="1"/>
      <c r="Z206" s="1"/>
      <c r="AA206" s="1"/>
      <c r="AB206" s="1"/>
      <c r="AC206" s="1"/>
      <c r="AD206" s="1"/>
      <c r="AE206" s="1"/>
      <c r="AF206" s="1"/>
      <c r="AG206" s="1"/>
      <c r="AH206" s="1"/>
      <c r="AI206" s="1"/>
      <c r="AJ206" s="1"/>
      <c r="AK206" s="1"/>
      <c r="AL206" s="6" t="str">
        <f t="array" ref="AL206">IFERROR(IFS(XLOOKUP(B206, 'Kit Delivery Status'!$U:$U, 'Kit Delivery Status'!$K:$K) = "Complete", "DELIVERED", XLOOKUP(B206, 'Kit Delivery Status'!$U:$U, 'Kit Delivery Status'!$K:$K) = "Issue", "ISSUE"), "")</f>
        <v/>
      </c>
      <c r="AM206" s="6"/>
    </row>
    <row r="207">
      <c r="A207" s="5" t="s">
        <v>1081</v>
      </c>
      <c r="B207" s="1" t="s">
        <v>1082</v>
      </c>
      <c r="C207" s="1"/>
      <c r="D207" s="2">
        <f>12059223707</f>
        <v>12059223707</v>
      </c>
      <c r="E207" s="1" t="s">
        <v>1083</v>
      </c>
      <c r="F207" s="1" t="s">
        <v>1084</v>
      </c>
      <c r="G207" s="1" t="s">
        <v>1085</v>
      </c>
      <c r="H207" s="1" t="s">
        <v>1086</v>
      </c>
      <c r="I207" s="1">
        <v>35209.0</v>
      </c>
      <c r="J207" s="1" t="s">
        <v>752</v>
      </c>
      <c r="K207" s="1" t="s">
        <v>66</v>
      </c>
      <c r="L207" s="1" t="s">
        <v>648</v>
      </c>
      <c r="M207" s="1">
        <v>145.0</v>
      </c>
      <c r="N207" s="1"/>
      <c r="O207" s="3" t="s">
        <v>1087</v>
      </c>
      <c r="P207" s="18">
        <v>45875.0</v>
      </c>
      <c r="Q207" s="1"/>
      <c r="R207" s="1"/>
      <c r="S207" s="1"/>
      <c r="T207" s="1"/>
      <c r="U207" s="1" t="s">
        <v>948</v>
      </c>
      <c r="V207" s="4" t="s">
        <v>1087</v>
      </c>
      <c r="W207" s="1"/>
      <c r="X207" s="18">
        <v>45875.0</v>
      </c>
      <c r="Y207" s="1"/>
      <c r="Z207" s="1"/>
      <c r="AA207" s="1"/>
      <c r="AB207" s="1"/>
      <c r="AC207" s="1"/>
      <c r="AD207" s="1"/>
      <c r="AE207" s="1"/>
      <c r="AF207" s="1"/>
      <c r="AG207" s="1"/>
      <c r="AH207" s="1"/>
      <c r="AI207" s="1"/>
      <c r="AJ207" s="1"/>
      <c r="AK207" s="1"/>
      <c r="AL207" s="6" t="str">
        <f t="array" ref="AL207">IFERROR(IFS(XLOOKUP(B207, 'Kit Delivery Status'!$U:$U, 'Kit Delivery Status'!$K:$K) = "Complete", "DELIVERED", XLOOKUP(B207, 'Kit Delivery Status'!$U:$U, 'Kit Delivery Status'!$K:$K) = "Issue", "ISSUE"), "")</f>
        <v/>
      </c>
      <c r="AM207" s="6"/>
    </row>
    <row r="208">
      <c r="A208" s="5" t="s">
        <v>1088</v>
      </c>
      <c r="B208" s="1" t="s">
        <v>1089</v>
      </c>
      <c r="C208" s="1" t="s">
        <v>1090</v>
      </c>
      <c r="D208" s="2"/>
      <c r="E208" s="1" t="s">
        <v>1091</v>
      </c>
      <c r="F208" s="1" t="s">
        <v>1092</v>
      </c>
      <c r="G208" s="1" t="s">
        <v>1072</v>
      </c>
      <c r="H208" s="1" t="s">
        <v>1019</v>
      </c>
      <c r="I208" s="1">
        <v>60630.0</v>
      </c>
      <c r="J208" s="1" t="s">
        <v>752</v>
      </c>
      <c r="K208" s="1" t="s">
        <v>51</v>
      </c>
      <c r="L208" s="1"/>
      <c r="M208" s="1">
        <v>1.0</v>
      </c>
      <c r="N208" s="1" t="s">
        <v>52</v>
      </c>
      <c r="O208" s="3" t="s">
        <v>1093</v>
      </c>
      <c r="P208" s="18">
        <v>45883.0</v>
      </c>
      <c r="Q208" s="1" t="s">
        <v>1030</v>
      </c>
      <c r="R208" s="1"/>
      <c r="S208" s="1"/>
      <c r="T208" s="1" t="s">
        <v>52</v>
      </c>
      <c r="U208" s="1" t="s">
        <v>1094</v>
      </c>
      <c r="V208" s="4" t="s">
        <v>1093</v>
      </c>
      <c r="W208" s="1"/>
      <c r="X208" s="18">
        <v>45883.0</v>
      </c>
      <c r="Y208" s="1" t="s">
        <v>1030</v>
      </c>
      <c r="Z208" s="1"/>
      <c r="AA208" s="1"/>
      <c r="AB208" s="1"/>
      <c r="AC208" s="1"/>
      <c r="AD208" s="1"/>
      <c r="AE208" s="1"/>
      <c r="AF208" s="1"/>
      <c r="AG208" s="1"/>
      <c r="AH208" s="1"/>
      <c r="AI208" s="1"/>
      <c r="AJ208" s="1"/>
      <c r="AK208" s="1"/>
      <c r="AL208" s="6" t="str">
        <f t="array" ref="AL208">IFERROR(IFS(XLOOKUP(B208, 'Kit Delivery Status'!$U:$U, 'Kit Delivery Status'!$K:$K) = "Complete", "DELIVERED", XLOOKUP(B208, 'Kit Delivery Status'!$U:$U, 'Kit Delivery Status'!$K:$K) = "Issue", "ISSUE"), "")</f>
        <v/>
      </c>
      <c r="AM208" s="6"/>
    </row>
    <row r="209">
      <c r="A209" s="5" t="s">
        <v>1095</v>
      </c>
      <c r="B209" s="1" t="s">
        <v>1096</v>
      </c>
      <c r="C209" s="1" t="s">
        <v>1097</v>
      </c>
      <c r="D209" s="2" t="s">
        <v>1098</v>
      </c>
      <c r="E209" s="1" t="s">
        <v>1099</v>
      </c>
      <c r="F209" s="1" t="s">
        <v>1100</v>
      </c>
      <c r="G209" s="1" t="s">
        <v>1101</v>
      </c>
      <c r="H209" s="1" t="s">
        <v>751</v>
      </c>
      <c r="I209" s="1">
        <v>10606.0</v>
      </c>
      <c r="J209" s="1" t="s">
        <v>752</v>
      </c>
      <c r="K209" s="1" t="s">
        <v>66</v>
      </c>
      <c r="L209" s="1" t="s">
        <v>648</v>
      </c>
      <c r="M209" s="1">
        <v>145.0</v>
      </c>
      <c r="N209" s="1" t="s">
        <v>52</v>
      </c>
      <c r="O209" s="3" t="s">
        <v>1102</v>
      </c>
      <c r="P209" s="18">
        <v>45882.0</v>
      </c>
      <c r="Q209" s="1" t="s">
        <v>1103</v>
      </c>
      <c r="R209" s="1"/>
      <c r="S209" s="1"/>
      <c r="T209" s="1" t="s">
        <v>52</v>
      </c>
      <c r="U209" s="1" t="s">
        <v>186</v>
      </c>
      <c r="V209" s="4" t="s">
        <v>1102</v>
      </c>
      <c r="W209" s="1"/>
      <c r="X209" s="18">
        <v>45882.0</v>
      </c>
      <c r="Y209" s="1" t="s">
        <v>1103</v>
      </c>
      <c r="Z209" s="1"/>
      <c r="AA209" s="1"/>
      <c r="AB209" s="1"/>
      <c r="AC209" s="1"/>
      <c r="AD209" s="1"/>
      <c r="AE209" s="1"/>
      <c r="AF209" s="1"/>
      <c r="AG209" s="1"/>
      <c r="AH209" s="1"/>
      <c r="AI209" s="1"/>
      <c r="AJ209" s="1"/>
      <c r="AK209" s="1"/>
      <c r="AL209" s="6" t="str">
        <f t="array" ref="AL209">IFERROR(IFS(XLOOKUP(B209, 'Kit Delivery Status'!$U:$U, 'Kit Delivery Status'!$K:$K) = "Complete", "DELIVERED", XLOOKUP(B209, 'Kit Delivery Status'!$U:$U, 'Kit Delivery Status'!$K:$K) = "Issue", "ISSUE"), "")</f>
        <v/>
      </c>
      <c r="AM209" s="6"/>
    </row>
    <row r="210">
      <c r="A210" s="5" t="s">
        <v>1104</v>
      </c>
      <c r="B210" s="1" t="s">
        <v>1105</v>
      </c>
      <c r="C210" s="1" t="s">
        <v>1106</v>
      </c>
      <c r="D210" s="2" t="s">
        <v>1107</v>
      </c>
      <c r="E210" s="1" t="s">
        <v>1108</v>
      </c>
      <c r="F210" s="1" t="s">
        <v>1109</v>
      </c>
      <c r="G210" s="1" t="s">
        <v>1110</v>
      </c>
      <c r="H210" s="1" t="s">
        <v>989</v>
      </c>
      <c r="I210" s="1">
        <v>96003.0</v>
      </c>
      <c r="J210" s="1" t="s">
        <v>752</v>
      </c>
      <c r="K210" s="1" t="s">
        <v>1111</v>
      </c>
      <c r="L210" s="1"/>
      <c r="M210" s="1"/>
      <c r="N210" s="1"/>
      <c r="O210" s="3"/>
      <c r="P210" s="18"/>
      <c r="Q210" s="1"/>
      <c r="R210" s="1"/>
      <c r="S210" s="1"/>
      <c r="T210" s="1"/>
      <c r="U210" s="1"/>
      <c r="V210" s="4"/>
      <c r="W210" s="1"/>
      <c r="X210" s="18"/>
      <c r="Y210" s="1"/>
      <c r="Z210" s="1"/>
      <c r="AA210" s="1"/>
      <c r="AB210" s="1"/>
      <c r="AC210" s="1"/>
      <c r="AD210" s="1"/>
      <c r="AE210" s="1"/>
      <c r="AF210" s="1"/>
      <c r="AG210" s="1"/>
      <c r="AH210" s="1"/>
      <c r="AI210" s="1"/>
      <c r="AJ210" s="1"/>
      <c r="AK210" s="1"/>
      <c r="AL210" s="6" t="str">
        <f t="array" ref="AL210">IFERROR(IFS(XLOOKUP(B210, 'Kit Delivery Status'!$U:$U, 'Kit Delivery Status'!$K:$K) = "Complete", "DELIVERED", XLOOKUP(B210, 'Kit Delivery Status'!$U:$U, 'Kit Delivery Status'!$K:$K) = "Issue", "ISSUE"), "")</f>
        <v/>
      </c>
      <c r="AM210" s="6"/>
    </row>
    <row r="211">
      <c r="A211" s="5" t="s">
        <v>1112</v>
      </c>
      <c r="B211" s="1" t="s">
        <v>1113</v>
      </c>
      <c r="C211" s="1" t="s">
        <v>164</v>
      </c>
      <c r="D211" s="2">
        <v>3.124809444E9</v>
      </c>
      <c r="E211" s="1" t="s">
        <v>1114</v>
      </c>
      <c r="F211" s="1"/>
      <c r="G211" s="1" t="s">
        <v>1115</v>
      </c>
      <c r="H211" s="1" t="s">
        <v>1019</v>
      </c>
      <c r="I211" s="1">
        <v>60035.0</v>
      </c>
      <c r="J211" s="1" t="s">
        <v>752</v>
      </c>
      <c r="K211" s="1" t="s">
        <v>66</v>
      </c>
      <c r="L211" s="1" t="s">
        <v>652</v>
      </c>
      <c r="M211" s="1">
        <v>210.0</v>
      </c>
      <c r="N211" s="1"/>
      <c r="O211" s="3" t="s">
        <v>168</v>
      </c>
      <c r="P211" s="18">
        <v>45883.0</v>
      </c>
      <c r="Q211" s="1"/>
      <c r="R211" s="1"/>
      <c r="S211" s="1"/>
      <c r="T211" s="1"/>
      <c r="U211" s="1" t="s">
        <v>1039</v>
      </c>
      <c r="V211" s="4" t="s">
        <v>168</v>
      </c>
      <c r="W211" s="1"/>
      <c r="X211" s="18">
        <v>45883.0</v>
      </c>
      <c r="Y211" s="1"/>
      <c r="Z211" s="1"/>
      <c r="AA211" s="1"/>
      <c r="AB211" s="1"/>
      <c r="AC211" s="1"/>
      <c r="AD211" s="1"/>
      <c r="AE211" s="1"/>
      <c r="AF211" s="1"/>
      <c r="AG211" s="1"/>
      <c r="AH211" s="1"/>
      <c r="AI211" s="1"/>
      <c r="AJ211" s="1"/>
      <c r="AK211" s="1"/>
      <c r="AL211" s="6" t="str">
        <f t="array" ref="AL211">IFERROR(IFS(XLOOKUP(B211, 'Kit Delivery Status'!$U:$U, 'Kit Delivery Status'!$K:$K) = "Complete", "DELIVERED", XLOOKUP(B211, 'Kit Delivery Status'!$U:$U, 'Kit Delivery Status'!$K:$K) = "Issue", "ISSUE"), "")</f>
        <v/>
      </c>
      <c r="AM211" s="6"/>
    </row>
    <row r="212">
      <c r="A212" s="5" t="s">
        <v>1116</v>
      </c>
      <c r="B212" s="1" t="s">
        <v>1117</v>
      </c>
      <c r="C212" s="1" t="s">
        <v>1118</v>
      </c>
      <c r="D212" s="2">
        <v>8.573600811E9</v>
      </c>
      <c r="E212" s="1" t="s">
        <v>1119</v>
      </c>
      <c r="F212" s="1"/>
      <c r="G212" s="1" t="s">
        <v>1120</v>
      </c>
      <c r="H212" s="1" t="s">
        <v>1121</v>
      </c>
      <c r="I212" s="1">
        <v>2132.0</v>
      </c>
      <c r="J212" s="1" t="s">
        <v>752</v>
      </c>
      <c r="K212" s="1" t="s">
        <v>95</v>
      </c>
      <c r="L212" s="1" t="s">
        <v>95</v>
      </c>
      <c r="M212" s="1">
        <v>49.0</v>
      </c>
      <c r="N212" s="1" t="s">
        <v>52</v>
      </c>
      <c r="O212" s="3" t="s">
        <v>1122</v>
      </c>
      <c r="P212" s="18">
        <v>45883.0</v>
      </c>
      <c r="Q212" s="1" t="s">
        <v>1030</v>
      </c>
      <c r="R212" s="1"/>
      <c r="S212" s="1"/>
      <c r="T212" s="1" t="s">
        <v>52</v>
      </c>
      <c r="U212" s="1" t="s">
        <v>1031</v>
      </c>
      <c r="V212" s="4" t="s">
        <v>1122</v>
      </c>
      <c r="W212" s="1"/>
      <c r="X212" s="18">
        <v>45883.0</v>
      </c>
      <c r="Y212" s="1" t="s">
        <v>1030</v>
      </c>
      <c r="Z212" s="1"/>
      <c r="AA212" s="1"/>
      <c r="AB212" s="1"/>
      <c r="AC212" s="1"/>
      <c r="AD212" s="1"/>
      <c r="AE212" s="1"/>
      <c r="AF212" s="1"/>
      <c r="AG212" s="1"/>
      <c r="AH212" s="1"/>
      <c r="AI212" s="1"/>
      <c r="AJ212" s="1"/>
      <c r="AK212" s="1"/>
      <c r="AL212" s="6" t="str">
        <f t="array" ref="AL212">IFERROR(IFS(XLOOKUP(B212, 'Kit Delivery Status'!$U:$U, 'Kit Delivery Status'!$K:$K) = "Complete", "DELIVERED", XLOOKUP(B212, 'Kit Delivery Status'!$U:$U, 'Kit Delivery Status'!$K:$K) = "Issue", "ISSUE"), "")</f>
        <v/>
      </c>
      <c r="AM212" s="6"/>
    </row>
    <row r="213">
      <c r="A213" s="5" t="s">
        <v>1123</v>
      </c>
      <c r="B213" s="1" t="s">
        <v>1124</v>
      </c>
      <c r="C213" s="1"/>
      <c r="D213" s="2">
        <v>9.788061822E9</v>
      </c>
      <c r="E213" s="1" t="s">
        <v>1125</v>
      </c>
      <c r="F213" s="1"/>
      <c r="G213" s="1" t="s">
        <v>1126</v>
      </c>
      <c r="H213" s="1" t="s">
        <v>1121</v>
      </c>
      <c r="I213" s="1">
        <v>1810.0</v>
      </c>
      <c r="J213" s="1" t="s">
        <v>752</v>
      </c>
      <c r="K213" s="1" t="s">
        <v>51</v>
      </c>
      <c r="L213" s="1"/>
      <c r="M213" s="1">
        <v>1.0</v>
      </c>
      <c r="N213" s="1" t="s">
        <v>52</v>
      </c>
      <c r="O213" s="3" t="s">
        <v>1127</v>
      </c>
      <c r="P213" s="18">
        <v>45890.0</v>
      </c>
      <c r="Q213" s="1" t="s">
        <v>1030</v>
      </c>
      <c r="R213" s="1"/>
      <c r="S213" s="1"/>
      <c r="T213" s="1" t="s">
        <v>52</v>
      </c>
      <c r="U213" s="1" t="s">
        <v>1021</v>
      </c>
      <c r="V213" s="4" t="s">
        <v>1127</v>
      </c>
      <c r="W213" s="1"/>
      <c r="X213" s="18">
        <v>45890.0</v>
      </c>
      <c r="Y213" s="1" t="s">
        <v>1030</v>
      </c>
      <c r="Z213" s="1"/>
      <c r="AA213" s="1"/>
      <c r="AB213" s="1"/>
      <c r="AC213" s="1"/>
      <c r="AD213" s="1"/>
      <c r="AE213" s="1"/>
      <c r="AF213" s="1"/>
      <c r="AG213" s="1"/>
      <c r="AH213" s="1"/>
      <c r="AI213" s="1"/>
      <c r="AJ213" s="1"/>
      <c r="AK213" s="1"/>
      <c r="AL213" s="6" t="str">
        <f t="array" ref="AL213">IFERROR(IFS(XLOOKUP(B213, 'Kit Delivery Status'!$U:$U, 'Kit Delivery Status'!$K:$K) = "Complete", "DELIVERED", XLOOKUP(B213, 'Kit Delivery Status'!$U:$U, 'Kit Delivery Status'!$K:$K) = "Issue", "ISSUE"), "")</f>
        <v/>
      </c>
      <c r="AM213" s="6"/>
    </row>
    <row r="214">
      <c r="A214" s="5" t="s">
        <v>1128</v>
      </c>
      <c r="B214" s="1" t="s">
        <v>1129</v>
      </c>
      <c r="C214" s="1"/>
      <c r="D214" s="2">
        <v>6.504683885E9</v>
      </c>
      <c r="E214" s="1" t="s">
        <v>1130</v>
      </c>
      <c r="F214" s="1"/>
      <c r="G214" s="1" t="s">
        <v>1131</v>
      </c>
      <c r="H214" s="1" t="s">
        <v>751</v>
      </c>
      <c r="I214" s="1">
        <v>10538.0</v>
      </c>
      <c r="J214" s="1" t="s">
        <v>752</v>
      </c>
      <c r="K214" s="1" t="s">
        <v>66</v>
      </c>
      <c r="L214" s="1" t="s">
        <v>648</v>
      </c>
      <c r="M214" s="1">
        <v>145.0</v>
      </c>
      <c r="N214" s="1"/>
      <c r="O214" s="3" t="s">
        <v>1132</v>
      </c>
      <c r="P214" s="18">
        <v>45883.0</v>
      </c>
      <c r="Q214" s="1"/>
      <c r="R214" s="1"/>
      <c r="S214" s="1"/>
      <c r="T214" s="1"/>
      <c r="U214" s="1" t="s">
        <v>1133</v>
      </c>
      <c r="V214" s="4" t="s">
        <v>1132</v>
      </c>
      <c r="W214" s="1"/>
      <c r="X214" s="18">
        <v>45883.0</v>
      </c>
      <c r="Y214" s="1"/>
      <c r="Z214" s="1"/>
      <c r="AA214" s="1"/>
      <c r="AB214" s="1"/>
      <c r="AC214" s="1"/>
      <c r="AD214" s="1"/>
      <c r="AE214" s="1"/>
      <c r="AF214" s="1"/>
      <c r="AG214" s="1"/>
      <c r="AH214" s="1"/>
      <c r="AI214" s="1"/>
      <c r="AJ214" s="1"/>
      <c r="AK214" s="1"/>
      <c r="AL214" s="6" t="str">
        <f t="array" ref="AL214">IFERROR(IFS(XLOOKUP(B214, 'Kit Delivery Status'!$U:$U, 'Kit Delivery Status'!$K:$K) = "Complete", "DELIVERED", XLOOKUP(B214, 'Kit Delivery Status'!$U:$U, 'Kit Delivery Status'!$K:$K) = "Issue", "ISSUE"), "")</f>
        <v/>
      </c>
      <c r="AM214" s="6"/>
    </row>
    <row r="215">
      <c r="A215" s="5" t="s">
        <v>1134</v>
      </c>
      <c r="B215" s="1" t="s">
        <v>1135</v>
      </c>
      <c r="C215" s="1" t="s">
        <v>1136</v>
      </c>
      <c r="D215" s="2">
        <v>6.788767305E9</v>
      </c>
      <c r="E215" s="1" t="s">
        <v>1137</v>
      </c>
      <c r="F215" s="1"/>
      <c r="G215" s="1" t="s">
        <v>1138</v>
      </c>
      <c r="H215" s="1" t="s">
        <v>946</v>
      </c>
      <c r="I215" s="1">
        <v>30043.0</v>
      </c>
      <c r="J215" s="1" t="s">
        <v>752</v>
      </c>
      <c r="K215" s="1" t="s">
        <v>51</v>
      </c>
      <c r="L215" s="1"/>
      <c r="M215" s="1">
        <v>1.0</v>
      </c>
      <c r="N215" s="1" t="s">
        <v>52</v>
      </c>
      <c r="O215" s="3" t="s">
        <v>1139</v>
      </c>
      <c r="P215" s="18">
        <v>45891.0</v>
      </c>
      <c r="Q215" s="1" t="s">
        <v>1030</v>
      </c>
      <c r="R215" s="1"/>
      <c r="S215" s="1"/>
      <c r="T215" s="1" t="s">
        <v>52</v>
      </c>
      <c r="U215" s="1" t="s">
        <v>1140</v>
      </c>
      <c r="V215" s="4" t="s">
        <v>1139</v>
      </c>
      <c r="W215" s="1"/>
      <c r="X215" s="18">
        <v>45891.0</v>
      </c>
      <c r="Y215" s="1" t="s">
        <v>1030</v>
      </c>
      <c r="Z215" s="1"/>
      <c r="AA215" s="1"/>
      <c r="AB215" s="1"/>
      <c r="AC215" s="1"/>
      <c r="AD215" s="1"/>
      <c r="AE215" s="1"/>
      <c r="AF215" s="1"/>
      <c r="AG215" s="1"/>
      <c r="AH215" s="1"/>
      <c r="AI215" s="1"/>
      <c r="AJ215" s="1"/>
      <c r="AK215" s="1"/>
      <c r="AL215" s="6" t="str">
        <f t="array" ref="AL215">IFERROR(IFS(XLOOKUP(B215, 'Kit Delivery Status'!$U:$U, 'Kit Delivery Status'!$K:$K) = "Complete", "DELIVERED", XLOOKUP(B215, 'Kit Delivery Status'!$U:$U, 'Kit Delivery Status'!$K:$K) = "Issue", "ISSUE"), "")</f>
        <v/>
      </c>
      <c r="AM215" s="6"/>
    </row>
    <row r="216">
      <c r="A216" s="5" t="s">
        <v>1134</v>
      </c>
      <c r="B216" s="1" t="s">
        <v>1135</v>
      </c>
      <c r="C216" s="1" t="s">
        <v>1136</v>
      </c>
      <c r="D216" s="2">
        <v>6.788767305E9</v>
      </c>
      <c r="E216" s="1" t="s">
        <v>1137</v>
      </c>
      <c r="F216" s="1"/>
      <c r="G216" s="1" t="s">
        <v>1138</v>
      </c>
      <c r="H216" s="1" t="s">
        <v>946</v>
      </c>
      <c r="I216" s="1">
        <v>30043.0</v>
      </c>
      <c r="J216" s="1" t="s">
        <v>752</v>
      </c>
      <c r="K216" s="1" t="s">
        <v>66</v>
      </c>
      <c r="L216" s="1" t="s">
        <v>652</v>
      </c>
      <c r="M216" s="1">
        <v>210.0</v>
      </c>
      <c r="N216" s="1"/>
      <c r="O216" s="3" t="s">
        <v>1139</v>
      </c>
      <c r="P216" s="18">
        <v>45883.0</v>
      </c>
      <c r="Q216" s="1"/>
      <c r="R216" s="1"/>
      <c r="S216" s="1"/>
      <c r="T216" s="1"/>
      <c r="U216" s="1" t="s">
        <v>1140</v>
      </c>
      <c r="V216" s="4" t="s">
        <v>1139</v>
      </c>
      <c r="W216" s="1"/>
      <c r="X216" s="18">
        <v>45883.0</v>
      </c>
      <c r="Y216" s="1"/>
      <c r="Z216" s="1"/>
      <c r="AA216" s="1"/>
      <c r="AB216" s="1"/>
      <c r="AC216" s="1"/>
      <c r="AD216" s="1"/>
      <c r="AE216" s="1"/>
      <c r="AF216" s="1"/>
      <c r="AG216" s="1"/>
      <c r="AH216" s="1"/>
      <c r="AI216" s="1"/>
      <c r="AJ216" s="1"/>
      <c r="AK216" s="1"/>
      <c r="AL216" s="6" t="str">
        <f t="array" ref="AL216">IFERROR(IFS(XLOOKUP(B216, 'Kit Delivery Status'!$U:$U, 'Kit Delivery Status'!$K:$K) = "Complete", "DELIVERED", XLOOKUP(B216, 'Kit Delivery Status'!$U:$U, 'Kit Delivery Status'!$K:$K) = "Issue", "ISSUE"), "")</f>
        <v/>
      </c>
      <c r="AM216" s="6"/>
    </row>
    <row r="217">
      <c r="A217" s="5" t="s">
        <v>1141</v>
      </c>
      <c r="B217" s="1" t="s">
        <v>1142</v>
      </c>
      <c r="C217" s="1" t="s">
        <v>1143</v>
      </c>
      <c r="D217" s="2">
        <v>1.4104994906E10</v>
      </c>
      <c r="E217" s="1" t="s">
        <v>1144</v>
      </c>
      <c r="F217" s="1"/>
      <c r="G217" s="1" t="s">
        <v>1145</v>
      </c>
      <c r="H217" s="1" t="s">
        <v>1005</v>
      </c>
      <c r="I217" s="1" t="s">
        <v>1146</v>
      </c>
      <c r="J217" s="1" t="s">
        <v>752</v>
      </c>
      <c r="K217" s="1" t="s">
        <v>66</v>
      </c>
      <c r="L217" s="1" t="s">
        <v>652</v>
      </c>
      <c r="M217" s="1">
        <v>210.0</v>
      </c>
      <c r="N217" s="1"/>
      <c r="O217" s="3" t="s">
        <v>1147</v>
      </c>
      <c r="P217" s="18">
        <v>45883.0</v>
      </c>
      <c r="Q217" s="1"/>
      <c r="R217" s="1"/>
      <c r="S217" s="1"/>
      <c r="T217" s="1"/>
      <c r="U217" s="1" t="s">
        <v>1148</v>
      </c>
      <c r="V217" s="4" t="s">
        <v>1147</v>
      </c>
      <c r="W217" s="1"/>
      <c r="X217" s="18">
        <v>45883.0</v>
      </c>
      <c r="Y217" s="1"/>
      <c r="Z217" s="1"/>
      <c r="AA217" s="1"/>
      <c r="AB217" s="1"/>
      <c r="AC217" s="1"/>
      <c r="AD217" s="1"/>
      <c r="AE217" s="1"/>
      <c r="AF217" s="1"/>
      <c r="AG217" s="1"/>
      <c r="AH217" s="1"/>
      <c r="AI217" s="1"/>
      <c r="AJ217" s="1"/>
      <c r="AK217" s="1"/>
      <c r="AL217" s="6" t="str">
        <f t="array" ref="AL217">IFERROR(IFS(XLOOKUP(B217, 'Kit Delivery Status'!$U:$U, 'Kit Delivery Status'!$K:$K) = "Complete", "DELIVERED", XLOOKUP(B217, 'Kit Delivery Status'!$U:$U, 'Kit Delivery Status'!$K:$K) = "Issue", "ISSUE"), "")</f>
        <v/>
      </c>
      <c r="AM217" s="6"/>
    </row>
    <row r="218">
      <c r="A218" s="5" t="s">
        <v>1149</v>
      </c>
      <c r="B218" s="1" t="s">
        <v>1150</v>
      </c>
      <c r="C218" s="1" t="s">
        <v>1151</v>
      </c>
      <c r="D218" s="2" t="s">
        <v>1152</v>
      </c>
      <c r="E218" s="1" t="s">
        <v>1153</v>
      </c>
      <c r="F218" s="1"/>
      <c r="G218" s="1" t="s">
        <v>1154</v>
      </c>
      <c r="H218" s="1" t="s">
        <v>1155</v>
      </c>
      <c r="I218" s="1">
        <v>94549.0</v>
      </c>
      <c r="J218" s="1" t="s">
        <v>752</v>
      </c>
      <c r="K218" s="1" t="s">
        <v>95</v>
      </c>
      <c r="L218" s="1" t="s">
        <v>95</v>
      </c>
      <c r="M218" s="1">
        <v>49.0</v>
      </c>
      <c r="N218" s="1" t="s">
        <v>52</v>
      </c>
      <c r="O218" s="3" t="s">
        <v>1156</v>
      </c>
      <c r="P218" s="18">
        <v>45883.0</v>
      </c>
      <c r="Q218" s="1" t="s">
        <v>1030</v>
      </c>
      <c r="R218" s="1"/>
      <c r="S218" s="1"/>
      <c r="T218" s="1" t="s">
        <v>52</v>
      </c>
      <c r="U218" s="1" t="s">
        <v>982</v>
      </c>
      <c r="V218" s="4" t="s">
        <v>1156</v>
      </c>
      <c r="W218" s="1"/>
      <c r="X218" s="18">
        <v>45883.0</v>
      </c>
      <c r="Y218" s="1" t="s">
        <v>1030</v>
      </c>
      <c r="Z218" s="1"/>
      <c r="AA218" s="1"/>
      <c r="AB218" s="1"/>
      <c r="AC218" s="1"/>
      <c r="AD218" s="1"/>
      <c r="AE218" s="1"/>
      <c r="AF218" s="1"/>
      <c r="AG218" s="1"/>
      <c r="AH218" s="1"/>
      <c r="AI218" s="1"/>
      <c r="AJ218" s="1"/>
      <c r="AK218" s="1"/>
      <c r="AL218" s="6" t="str">
        <f t="array" ref="AL218">IFERROR(IFS(XLOOKUP(B218, 'Kit Delivery Status'!$U:$U, 'Kit Delivery Status'!$K:$K) = "Complete", "DELIVERED", XLOOKUP(B218, 'Kit Delivery Status'!$U:$U, 'Kit Delivery Status'!$K:$K) = "Issue", "ISSUE"), "")</f>
        <v/>
      </c>
      <c r="AM218" s="6"/>
    </row>
    <row r="219">
      <c r="A219" s="5" t="s">
        <v>1157</v>
      </c>
      <c r="B219" s="1" t="s">
        <v>1158</v>
      </c>
      <c r="C219" s="1" t="s">
        <v>1159</v>
      </c>
      <c r="D219" s="2">
        <v>3.10606135E9</v>
      </c>
      <c r="E219" s="1" t="s">
        <v>1160</v>
      </c>
      <c r="F219" s="1"/>
      <c r="G219" s="1" t="s">
        <v>752</v>
      </c>
      <c r="H219" s="1" t="s">
        <v>989</v>
      </c>
      <c r="I219" s="1">
        <v>90274.0</v>
      </c>
      <c r="J219" s="1" t="s">
        <v>752</v>
      </c>
      <c r="K219" s="1" t="s">
        <v>66</v>
      </c>
      <c r="L219" s="1" t="s">
        <v>648</v>
      </c>
      <c r="M219" s="1">
        <v>145.0</v>
      </c>
      <c r="N219" s="1"/>
      <c r="O219" s="3" t="s">
        <v>198</v>
      </c>
      <c r="P219" s="18">
        <v>45883.0</v>
      </c>
      <c r="Q219" s="1"/>
      <c r="R219" s="1"/>
      <c r="S219" s="1"/>
      <c r="T219" s="1"/>
      <c r="U219" s="1" t="s">
        <v>956</v>
      </c>
      <c r="V219" s="4" t="s">
        <v>198</v>
      </c>
      <c r="W219" s="1"/>
      <c r="X219" s="18">
        <v>45883.0</v>
      </c>
      <c r="Y219" s="1"/>
      <c r="Z219" s="1"/>
      <c r="AA219" s="1"/>
      <c r="AB219" s="1"/>
      <c r="AC219" s="1"/>
      <c r="AD219" s="1"/>
      <c r="AE219" s="1"/>
      <c r="AF219" s="1"/>
      <c r="AG219" s="1"/>
      <c r="AH219" s="1"/>
      <c r="AI219" s="1"/>
      <c r="AJ219" s="1"/>
      <c r="AK219" s="1"/>
      <c r="AL219" s="6" t="str">
        <f t="array" ref="AL219">IFERROR(IFS(XLOOKUP(B219, 'Kit Delivery Status'!$U:$U, 'Kit Delivery Status'!$K:$K) = "Complete", "DELIVERED", XLOOKUP(B219, 'Kit Delivery Status'!$U:$U, 'Kit Delivery Status'!$K:$K) = "Issue", "ISSUE"), "")</f>
        <v/>
      </c>
      <c r="AM219" s="6"/>
    </row>
    <row r="220">
      <c r="A220" s="5" t="s">
        <v>1161</v>
      </c>
      <c r="B220" s="1" t="s">
        <v>1162</v>
      </c>
      <c r="C220" s="1" t="s">
        <v>1163</v>
      </c>
      <c r="D220" s="2">
        <v>3.02233479E9</v>
      </c>
      <c r="E220" s="1" t="s">
        <v>1164</v>
      </c>
      <c r="F220" s="1"/>
      <c r="G220" s="1" t="s">
        <v>1165</v>
      </c>
      <c r="H220" s="1" t="s">
        <v>1038</v>
      </c>
      <c r="I220" s="1">
        <v>22554.0</v>
      </c>
      <c r="J220" s="1" t="s">
        <v>752</v>
      </c>
      <c r="K220" s="1" t="s">
        <v>51</v>
      </c>
      <c r="L220" s="1"/>
      <c r="M220" s="1">
        <v>1.0</v>
      </c>
      <c r="N220" s="1" t="s">
        <v>52</v>
      </c>
      <c r="O220" s="3" t="s">
        <v>1166</v>
      </c>
      <c r="P220" s="18">
        <v>45883.0</v>
      </c>
      <c r="Q220" s="1" t="s">
        <v>1030</v>
      </c>
      <c r="R220" s="1"/>
      <c r="S220" s="1"/>
      <c r="T220" s="1" t="s">
        <v>52</v>
      </c>
      <c r="U220" s="1" t="s">
        <v>1167</v>
      </c>
      <c r="V220" s="4" t="s">
        <v>1166</v>
      </c>
      <c r="W220" s="1"/>
      <c r="X220" s="18">
        <v>45883.0</v>
      </c>
      <c r="Y220" s="1" t="s">
        <v>1030</v>
      </c>
      <c r="Z220" s="1"/>
      <c r="AA220" s="1"/>
      <c r="AB220" s="1"/>
      <c r="AC220" s="1"/>
      <c r="AD220" s="1"/>
      <c r="AE220" s="1"/>
      <c r="AF220" s="1"/>
      <c r="AG220" s="1"/>
      <c r="AH220" s="1"/>
      <c r="AI220" s="1"/>
      <c r="AJ220" s="1"/>
      <c r="AK220" s="1"/>
      <c r="AL220" s="6" t="str">
        <f t="array" ref="AL220">IFERROR(IFS(XLOOKUP(B220, 'Kit Delivery Status'!$U:$U, 'Kit Delivery Status'!$K:$K) = "Complete", "DELIVERED", XLOOKUP(B220, 'Kit Delivery Status'!$U:$U, 'Kit Delivery Status'!$K:$K) = "Issue", "ISSUE"), "")</f>
        <v/>
      </c>
      <c r="AM220" s="6"/>
    </row>
    <row r="221">
      <c r="A221" s="5" t="s">
        <v>1168</v>
      </c>
      <c r="B221" s="1" t="s">
        <v>1169</v>
      </c>
      <c r="C221" s="1" t="s">
        <v>1170</v>
      </c>
      <c r="D221" s="2">
        <v>7.73744135E9</v>
      </c>
      <c r="E221" s="1" t="s">
        <v>1171</v>
      </c>
      <c r="F221" s="1"/>
      <c r="G221" s="1" t="s">
        <v>1172</v>
      </c>
      <c r="H221" s="1" t="s">
        <v>1019</v>
      </c>
      <c r="I221" s="1">
        <v>60585.0</v>
      </c>
      <c r="J221" s="1" t="s">
        <v>752</v>
      </c>
      <c r="K221" s="1" t="s">
        <v>66</v>
      </c>
      <c r="L221" s="1" t="s">
        <v>648</v>
      </c>
      <c r="M221" s="1">
        <v>145.0</v>
      </c>
      <c r="N221" s="1"/>
      <c r="O221" s="3" t="s">
        <v>1173</v>
      </c>
      <c r="P221" s="18">
        <v>45883.0</v>
      </c>
      <c r="Q221" s="1"/>
      <c r="R221" s="1"/>
      <c r="S221" s="1"/>
      <c r="T221" s="1"/>
      <c r="U221" s="1" t="s">
        <v>1174</v>
      </c>
      <c r="V221" s="4" t="s">
        <v>1173</v>
      </c>
      <c r="W221" s="1"/>
      <c r="X221" s="18">
        <v>45883.0</v>
      </c>
      <c r="Y221" s="1"/>
      <c r="Z221" s="1"/>
      <c r="AA221" s="1"/>
      <c r="AB221" s="1"/>
      <c r="AC221" s="1"/>
      <c r="AD221" s="1"/>
      <c r="AE221" s="1"/>
      <c r="AF221" s="1"/>
      <c r="AG221" s="1"/>
      <c r="AH221" s="1"/>
      <c r="AI221" s="1"/>
      <c r="AJ221" s="1"/>
      <c r="AK221" s="1"/>
      <c r="AL221" s="6" t="str">
        <f t="array" ref="AL221">IFERROR(IFS(XLOOKUP(B221, 'Kit Delivery Status'!$U:$U, 'Kit Delivery Status'!$K:$K) = "Complete", "DELIVERED", XLOOKUP(B221, 'Kit Delivery Status'!$U:$U, 'Kit Delivery Status'!$K:$K) = "Issue", "ISSUE"), "")</f>
        <v/>
      </c>
      <c r="AM221" s="6"/>
    </row>
    <row r="222">
      <c r="A222" s="5" t="s">
        <v>1175</v>
      </c>
      <c r="B222" s="1" t="s">
        <v>1176</v>
      </c>
      <c r="C222" s="1" t="s">
        <v>1177</v>
      </c>
      <c r="D222" s="2">
        <v>1.3103673106E10</v>
      </c>
      <c r="E222" s="1" t="s">
        <v>1178</v>
      </c>
      <c r="F222" s="1"/>
      <c r="G222" s="1" t="s">
        <v>1179</v>
      </c>
      <c r="H222" s="1" t="s">
        <v>989</v>
      </c>
      <c r="I222" s="1" t="s">
        <v>1180</v>
      </c>
      <c r="J222" s="1" t="s">
        <v>752</v>
      </c>
      <c r="K222" s="1" t="s">
        <v>66</v>
      </c>
      <c r="L222" s="1" t="s">
        <v>652</v>
      </c>
      <c r="M222" s="1">
        <v>210.0</v>
      </c>
      <c r="N222" s="1"/>
      <c r="O222" s="3" t="s">
        <v>323</v>
      </c>
      <c r="P222" s="18">
        <v>45883.0</v>
      </c>
      <c r="Q222" s="1"/>
      <c r="R222" s="1"/>
      <c r="S222" s="1"/>
      <c r="T222" s="1"/>
      <c r="U222" s="1" t="s">
        <v>956</v>
      </c>
      <c r="V222" s="4" t="s">
        <v>323</v>
      </c>
      <c r="W222" s="1"/>
      <c r="X222" s="18">
        <v>45883.0</v>
      </c>
      <c r="Y222" s="1"/>
      <c r="Z222" s="1"/>
      <c r="AA222" s="1"/>
      <c r="AB222" s="1"/>
      <c r="AC222" s="1"/>
      <c r="AD222" s="1"/>
      <c r="AE222" s="1"/>
      <c r="AF222" s="1"/>
      <c r="AG222" s="1"/>
      <c r="AH222" s="1"/>
      <c r="AI222" s="1"/>
      <c r="AJ222" s="1"/>
      <c r="AK222" s="1"/>
      <c r="AL222" s="6" t="str">
        <f t="array" ref="AL222">IFERROR(IFS(XLOOKUP(B222, 'Kit Delivery Status'!$U:$U, 'Kit Delivery Status'!$K:$K) = "Complete", "DELIVERED", XLOOKUP(B222, 'Kit Delivery Status'!$U:$U, 'Kit Delivery Status'!$K:$K) = "Issue", "ISSUE"), "")</f>
        <v/>
      </c>
      <c r="AM222" s="6"/>
    </row>
    <row r="223">
      <c r="A223" s="5" t="s">
        <v>1181</v>
      </c>
      <c r="B223" s="1" t="s">
        <v>1182</v>
      </c>
      <c r="C223" s="1"/>
      <c r="D223" s="2">
        <v>7.0331091E9</v>
      </c>
      <c r="E223" s="1" t="s">
        <v>1183</v>
      </c>
      <c r="F223" s="1" t="s">
        <v>1184</v>
      </c>
      <c r="G223" s="1" t="s">
        <v>1037</v>
      </c>
      <c r="H223" s="1" t="s">
        <v>1038</v>
      </c>
      <c r="I223" s="1">
        <v>22205.0</v>
      </c>
      <c r="J223" s="1" t="s">
        <v>752</v>
      </c>
      <c r="K223" s="1" t="s">
        <v>66</v>
      </c>
      <c r="L223" s="1" t="s">
        <v>652</v>
      </c>
      <c r="M223" s="1">
        <v>210.0</v>
      </c>
      <c r="N223" s="1"/>
      <c r="O223" s="3" t="s">
        <v>1185</v>
      </c>
      <c r="P223" s="18">
        <v>45883.0</v>
      </c>
      <c r="Q223" s="1"/>
      <c r="R223" s="1"/>
      <c r="S223" s="1"/>
      <c r="T223" s="1"/>
      <c r="U223" s="1" t="s">
        <v>1080</v>
      </c>
      <c r="V223" s="4" t="s">
        <v>1185</v>
      </c>
      <c r="W223" s="1"/>
      <c r="X223" s="18">
        <v>45883.0</v>
      </c>
      <c r="Y223" s="1"/>
      <c r="Z223" s="1"/>
      <c r="AA223" s="1"/>
      <c r="AB223" s="1"/>
      <c r="AC223" s="1"/>
      <c r="AD223" s="1"/>
      <c r="AE223" s="1"/>
      <c r="AF223" s="1"/>
      <c r="AG223" s="1"/>
      <c r="AH223" s="1"/>
      <c r="AI223" s="1"/>
      <c r="AJ223" s="1"/>
      <c r="AK223" s="1"/>
      <c r="AL223" s="6" t="str">
        <f t="array" ref="AL223">IFERROR(IFS(XLOOKUP(B223, 'Kit Delivery Status'!$U:$U, 'Kit Delivery Status'!$K:$K) = "Complete", "DELIVERED", XLOOKUP(B223, 'Kit Delivery Status'!$U:$U, 'Kit Delivery Status'!$K:$K) = "Issue", "ISSUE"), "")</f>
        <v/>
      </c>
      <c r="AM223" s="6"/>
    </row>
    <row r="224">
      <c r="A224" s="5" t="s">
        <v>1186</v>
      </c>
      <c r="B224" s="1" t="s">
        <v>1187</v>
      </c>
      <c r="C224" s="1" t="s">
        <v>1188</v>
      </c>
      <c r="D224" s="2">
        <v>3.107019782E9</v>
      </c>
      <c r="E224" s="1" t="s">
        <v>1189</v>
      </c>
      <c r="F224" s="1" t="s">
        <v>1190</v>
      </c>
      <c r="G224" s="1" t="s">
        <v>1191</v>
      </c>
      <c r="H224" s="1" t="s">
        <v>989</v>
      </c>
      <c r="I224" s="1">
        <v>91423.0</v>
      </c>
      <c r="J224" s="1" t="s">
        <v>752</v>
      </c>
      <c r="K224" s="1" t="s">
        <v>66</v>
      </c>
      <c r="L224" s="1" t="s">
        <v>652</v>
      </c>
      <c r="M224" s="1">
        <v>210.0</v>
      </c>
      <c r="N224" s="1"/>
      <c r="O224" s="3" t="s">
        <v>1192</v>
      </c>
      <c r="P224" s="18">
        <v>45883.0</v>
      </c>
      <c r="Q224" s="1"/>
      <c r="R224" s="1"/>
      <c r="S224" s="1"/>
      <c r="T224" s="1"/>
      <c r="U224" s="1" t="s">
        <v>1031</v>
      </c>
      <c r="V224" s="4" t="s">
        <v>1192</v>
      </c>
      <c r="W224" s="1"/>
      <c r="X224" s="18">
        <v>45883.0</v>
      </c>
      <c r="Y224" s="1"/>
      <c r="Z224" s="1"/>
      <c r="AA224" s="1"/>
      <c r="AB224" s="1"/>
      <c r="AC224" s="1"/>
      <c r="AD224" s="1"/>
      <c r="AE224" s="1"/>
      <c r="AF224" s="1"/>
      <c r="AG224" s="1"/>
      <c r="AH224" s="1"/>
      <c r="AI224" s="1"/>
      <c r="AJ224" s="1"/>
      <c r="AK224" s="1"/>
      <c r="AL224" s="6" t="str">
        <f t="array" ref="AL224">IFERROR(IFS(XLOOKUP(B224, 'Kit Delivery Status'!$U:$U, 'Kit Delivery Status'!$K:$K) = "Complete", "DELIVERED", XLOOKUP(B224, 'Kit Delivery Status'!$U:$U, 'Kit Delivery Status'!$K:$K) = "Issue", "ISSUE"), "")</f>
        <v/>
      </c>
      <c r="AM224" s="6"/>
    </row>
    <row r="225">
      <c r="A225" s="5" t="s">
        <v>1186</v>
      </c>
      <c r="B225" s="1" t="s">
        <v>1187</v>
      </c>
      <c r="C225" s="1" t="s">
        <v>1188</v>
      </c>
      <c r="D225" s="2">
        <v>3.107019782E9</v>
      </c>
      <c r="E225" s="1" t="s">
        <v>1189</v>
      </c>
      <c r="F225" s="1" t="s">
        <v>1190</v>
      </c>
      <c r="G225" s="1" t="s">
        <v>1191</v>
      </c>
      <c r="H225" s="1" t="s">
        <v>989</v>
      </c>
      <c r="I225" s="1">
        <v>91423.0</v>
      </c>
      <c r="J225" s="1" t="s">
        <v>752</v>
      </c>
      <c r="K225" s="1" t="s">
        <v>95</v>
      </c>
      <c r="L225" s="1" t="s">
        <v>95</v>
      </c>
      <c r="M225" s="1">
        <v>49.0</v>
      </c>
      <c r="N225" s="1" t="s">
        <v>52</v>
      </c>
      <c r="O225" s="3" t="s">
        <v>1192</v>
      </c>
      <c r="P225" s="18">
        <v>45883.0</v>
      </c>
      <c r="Q225" s="1" t="s">
        <v>1030</v>
      </c>
      <c r="R225" s="1"/>
      <c r="S225" s="1"/>
      <c r="T225" s="1" t="s">
        <v>52</v>
      </c>
      <c r="U225" s="1" t="s">
        <v>1031</v>
      </c>
      <c r="V225" s="4" t="s">
        <v>1192</v>
      </c>
      <c r="W225" s="1"/>
      <c r="X225" s="18">
        <v>45883.0</v>
      </c>
      <c r="Y225" s="1" t="s">
        <v>1030</v>
      </c>
      <c r="Z225" s="1"/>
      <c r="AA225" s="1"/>
      <c r="AB225" s="1"/>
      <c r="AC225" s="1" t="s">
        <v>1193</v>
      </c>
      <c r="AD225" s="1"/>
      <c r="AE225" s="1"/>
      <c r="AF225" s="1"/>
      <c r="AG225" s="1"/>
      <c r="AH225" s="1"/>
      <c r="AI225" s="1"/>
      <c r="AJ225" s="1"/>
      <c r="AK225" s="1"/>
      <c r="AL225" s="6" t="str">
        <f t="array" ref="AL225">IFERROR(IFS(XLOOKUP(B225, 'Kit Delivery Status'!$U:$U, 'Kit Delivery Status'!$K:$K) = "Complete", "DELIVERED", XLOOKUP(B225, 'Kit Delivery Status'!$U:$U, 'Kit Delivery Status'!$K:$K) = "Issue", "ISSUE"), "")</f>
        <v/>
      </c>
      <c r="AM225" s="6"/>
    </row>
    <row r="226">
      <c r="A226" s="5" t="s">
        <v>1194</v>
      </c>
      <c r="B226" s="1" t="s">
        <v>1195</v>
      </c>
      <c r="C226" s="1" t="s">
        <v>1196</v>
      </c>
      <c r="D226" s="2">
        <v>4.102586632E9</v>
      </c>
      <c r="E226" s="1" t="s">
        <v>1197</v>
      </c>
      <c r="F226" s="1" t="s">
        <v>1198</v>
      </c>
      <c r="G226" s="1" t="s">
        <v>1199</v>
      </c>
      <c r="H226" s="1" t="s">
        <v>1005</v>
      </c>
      <c r="I226" s="1">
        <v>21146.0</v>
      </c>
      <c r="J226" s="1" t="s">
        <v>752</v>
      </c>
      <c r="K226" s="1" t="s">
        <v>66</v>
      </c>
      <c r="L226" s="1" t="s">
        <v>648</v>
      </c>
      <c r="M226" s="1">
        <v>145.0</v>
      </c>
      <c r="N226" s="1"/>
      <c r="O226" s="3" t="s">
        <v>1200</v>
      </c>
      <c r="P226" s="18">
        <v>45883.0</v>
      </c>
      <c r="Q226" s="1"/>
      <c r="R226" s="1"/>
      <c r="S226" s="1"/>
      <c r="T226" s="1"/>
      <c r="U226" s="1" t="s">
        <v>1201</v>
      </c>
      <c r="V226" s="4" t="s">
        <v>1200</v>
      </c>
      <c r="W226" s="1"/>
      <c r="X226" s="18">
        <v>45883.0</v>
      </c>
      <c r="Y226" s="1"/>
      <c r="Z226" s="1"/>
      <c r="AA226" s="1"/>
      <c r="AB226" s="1"/>
      <c r="AC226" s="1"/>
      <c r="AD226" s="1"/>
      <c r="AE226" s="1"/>
      <c r="AF226" s="1"/>
      <c r="AG226" s="1"/>
      <c r="AH226" s="1"/>
      <c r="AI226" s="1"/>
      <c r="AJ226" s="1"/>
      <c r="AK226" s="1"/>
      <c r="AL226" s="6" t="str">
        <f t="array" ref="AL226">IFERROR(IFS(XLOOKUP(B226, 'Kit Delivery Status'!$U:$U, 'Kit Delivery Status'!$K:$K) = "Complete", "DELIVERED", XLOOKUP(B226, 'Kit Delivery Status'!$U:$U, 'Kit Delivery Status'!$K:$K) = "Issue", "ISSUE"), "")</f>
        <v/>
      </c>
      <c r="AM226" s="6"/>
    </row>
    <row r="227">
      <c r="A227" s="5" t="s">
        <v>1202</v>
      </c>
      <c r="B227" s="1" t="s">
        <v>1203</v>
      </c>
      <c r="C227" s="1" t="s">
        <v>1204</v>
      </c>
      <c r="D227" s="2">
        <v>1.2013100288E10</v>
      </c>
      <c r="E227" s="1" t="s">
        <v>1205</v>
      </c>
      <c r="F227" s="1" t="s">
        <v>1206</v>
      </c>
      <c r="G227" s="1" t="s">
        <v>1207</v>
      </c>
      <c r="H227" s="1" t="s">
        <v>1208</v>
      </c>
      <c r="I227" s="1">
        <v>33496.0</v>
      </c>
      <c r="J227" s="1" t="s">
        <v>752</v>
      </c>
      <c r="K227" s="1" t="s">
        <v>51</v>
      </c>
      <c r="L227" s="1"/>
      <c r="M227" s="1">
        <v>1.0</v>
      </c>
      <c r="N227" s="1" t="s">
        <v>124</v>
      </c>
      <c r="O227" s="3"/>
      <c r="P227" s="18">
        <v>45871.0</v>
      </c>
      <c r="Q227" s="1" t="s">
        <v>1030</v>
      </c>
      <c r="R227" s="1"/>
      <c r="S227" s="1"/>
      <c r="T227" s="1" t="s">
        <v>124</v>
      </c>
      <c r="U227" s="1"/>
      <c r="V227" s="4"/>
      <c r="W227" s="1"/>
      <c r="X227" s="18">
        <v>45871.0</v>
      </c>
      <c r="Y227" s="1" t="s">
        <v>1030</v>
      </c>
      <c r="Z227" s="1"/>
      <c r="AA227" s="1" t="s">
        <v>1209</v>
      </c>
      <c r="AB227" s="1"/>
      <c r="AC227" s="1"/>
      <c r="AD227" s="1"/>
      <c r="AE227" s="1"/>
      <c r="AF227" s="1"/>
      <c r="AG227" s="1"/>
      <c r="AH227" s="1"/>
      <c r="AI227" s="1"/>
      <c r="AJ227" s="1"/>
      <c r="AK227" s="1"/>
      <c r="AL227" s="6" t="str">
        <f t="array" ref="AL227">IFERROR(IFS(XLOOKUP(B227, 'Kit Delivery Status'!$U:$U, 'Kit Delivery Status'!$K:$K) = "Complete", "DELIVERED", XLOOKUP(B227, 'Kit Delivery Status'!$U:$U, 'Kit Delivery Status'!$K:$K) = "Issue", "ISSUE"), "")</f>
        <v/>
      </c>
      <c r="AM227" s="6"/>
    </row>
    <row r="228">
      <c r="A228" s="5" t="s">
        <v>1210</v>
      </c>
      <c r="B228" s="1" t="s">
        <v>1211</v>
      </c>
      <c r="C228" s="1" t="s">
        <v>1212</v>
      </c>
      <c r="D228" s="2">
        <v>1.714884899E10</v>
      </c>
      <c r="E228" s="1" t="s">
        <v>1213</v>
      </c>
      <c r="F228" s="1" t="s">
        <v>1214</v>
      </c>
      <c r="G228" s="1" t="s">
        <v>1215</v>
      </c>
      <c r="H228" s="1" t="s">
        <v>989</v>
      </c>
      <c r="I228" s="1" t="s">
        <v>1216</v>
      </c>
      <c r="J228" s="1" t="s">
        <v>752</v>
      </c>
      <c r="K228" s="1" t="s">
        <v>95</v>
      </c>
      <c r="L228" s="1" t="s">
        <v>95</v>
      </c>
      <c r="M228" s="1">
        <v>49.0</v>
      </c>
      <c r="N228" s="1" t="s">
        <v>52</v>
      </c>
      <c r="O228" s="3" t="s">
        <v>1217</v>
      </c>
      <c r="P228" s="18">
        <v>45883.0</v>
      </c>
      <c r="Q228" s="1" t="s">
        <v>1030</v>
      </c>
      <c r="R228" s="1"/>
      <c r="S228" s="1"/>
      <c r="T228" s="1" t="s">
        <v>52</v>
      </c>
      <c r="U228" s="1" t="s">
        <v>1080</v>
      </c>
      <c r="V228" s="4" t="s">
        <v>1217</v>
      </c>
      <c r="W228" s="1"/>
      <c r="X228" s="18">
        <v>45883.0</v>
      </c>
      <c r="Y228" s="1" t="s">
        <v>1030</v>
      </c>
      <c r="Z228" s="1"/>
      <c r="AA228" s="1"/>
      <c r="AB228" s="1"/>
      <c r="AC228" s="1" t="s">
        <v>1218</v>
      </c>
      <c r="AD228" s="1"/>
      <c r="AE228" s="1"/>
      <c r="AF228" s="1"/>
      <c r="AG228" s="1"/>
      <c r="AH228" s="1"/>
      <c r="AI228" s="1"/>
      <c r="AJ228" s="1"/>
      <c r="AK228" s="1"/>
      <c r="AL228" s="6" t="str">
        <f t="array" ref="AL228">IFERROR(IFS(XLOOKUP(B228, 'Kit Delivery Status'!$U:$U, 'Kit Delivery Status'!$K:$K) = "Complete", "DELIVERED", XLOOKUP(B228, 'Kit Delivery Status'!$U:$U, 'Kit Delivery Status'!$K:$K) = "Issue", "ISSUE"), "")</f>
        <v/>
      </c>
      <c r="AM228" s="6"/>
    </row>
    <row r="229">
      <c r="A229" s="5" t="s">
        <v>1219</v>
      </c>
      <c r="B229" s="1" t="s">
        <v>1220</v>
      </c>
      <c r="C229" s="1" t="s">
        <v>1221</v>
      </c>
      <c r="D229" s="2">
        <v>1.9178821115E10</v>
      </c>
      <c r="E229" s="1" t="s">
        <v>1222</v>
      </c>
      <c r="F229" s="1" t="s">
        <v>1223</v>
      </c>
      <c r="G229" s="1" t="s">
        <v>751</v>
      </c>
      <c r="H229" s="1" t="s">
        <v>751</v>
      </c>
      <c r="I229" s="1">
        <v>10004.0</v>
      </c>
      <c r="J229" s="1" t="s">
        <v>752</v>
      </c>
      <c r="K229" s="1" t="s">
        <v>75</v>
      </c>
      <c r="L229" s="19" t="s">
        <v>808</v>
      </c>
      <c r="M229" s="1">
        <v>49.0</v>
      </c>
      <c r="N229" s="1" t="s">
        <v>52</v>
      </c>
      <c r="O229" s="3" t="s">
        <v>1224</v>
      </c>
      <c r="P229" s="18">
        <v>45883.0</v>
      </c>
      <c r="Q229" s="1"/>
      <c r="R229" s="1"/>
      <c r="S229" s="1"/>
      <c r="T229" s="1" t="s">
        <v>52</v>
      </c>
      <c r="U229" s="1" t="s">
        <v>956</v>
      </c>
      <c r="V229" s="4" t="s">
        <v>1224</v>
      </c>
      <c r="W229" s="1"/>
      <c r="X229" s="18">
        <v>45883.0</v>
      </c>
      <c r="Y229" s="1"/>
      <c r="Z229" s="1" t="s">
        <v>808</v>
      </c>
      <c r="AA229" s="1"/>
      <c r="AB229" s="1"/>
      <c r="AC229" s="1"/>
      <c r="AD229" s="1" t="s">
        <v>1225</v>
      </c>
      <c r="AE229" s="1"/>
      <c r="AF229" s="1"/>
      <c r="AG229" s="1"/>
      <c r="AH229" s="1"/>
      <c r="AI229" s="1"/>
      <c r="AJ229" s="1"/>
      <c r="AK229" s="1"/>
      <c r="AL229" s="6" t="str">
        <f t="array" ref="AL229">IFERROR(IFS(XLOOKUP(B229, 'Kit Delivery Status'!$U:$U, 'Kit Delivery Status'!$K:$K) = "Complete", "DELIVERED", XLOOKUP(B229, 'Kit Delivery Status'!$U:$U, 'Kit Delivery Status'!$K:$K) = "Issue", "ISSUE"), "")</f>
        <v/>
      </c>
      <c r="AM229" s="6"/>
    </row>
    <row r="230">
      <c r="A230" s="5" t="s">
        <v>1226</v>
      </c>
      <c r="B230" s="1" t="s">
        <v>1227</v>
      </c>
      <c r="C230" s="1" t="s">
        <v>1228</v>
      </c>
      <c r="D230" s="2" t="s">
        <v>1229</v>
      </c>
      <c r="E230" s="1" t="s">
        <v>1230</v>
      </c>
      <c r="F230" s="1" t="s">
        <v>1231</v>
      </c>
      <c r="G230" s="1" t="s">
        <v>1232</v>
      </c>
      <c r="H230" s="1" t="s">
        <v>1233</v>
      </c>
      <c r="I230" s="1">
        <v>15143.0</v>
      </c>
      <c r="J230" s="1" t="s">
        <v>752</v>
      </c>
      <c r="K230" s="1" t="s">
        <v>66</v>
      </c>
      <c r="L230" s="1" t="s">
        <v>652</v>
      </c>
      <c r="M230" s="1">
        <v>210.0</v>
      </c>
      <c r="N230" s="1" t="s">
        <v>52</v>
      </c>
      <c r="O230" s="3" t="s">
        <v>563</v>
      </c>
      <c r="P230" s="18">
        <v>45884.0</v>
      </c>
      <c r="Q230" s="1"/>
      <c r="R230" s="1"/>
      <c r="S230" s="1"/>
      <c r="T230" s="1" t="s">
        <v>52</v>
      </c>
      <c r="U230" s="1" t="s">
        <v>116</v>
      </c>
      <c r="V230" s="4" t="s">
        <v>563</v>
      </c>
      <c r="W230" s="1"/>
      <c r="X230" s="18">
        <v>45884.0</v>
      </c>
      <c r="Y230" s="1"/>
      <c r="Z230" s="1"/>
      <c r="AA230" s="1"/>
      <c r="AB230" s="1"/>
      <c r="AC230" s="1"/>
      <c r="AD230" s="1"/>
      <c r="AE230" s="1"/>
      <c r="AF230" s="1"/>
      <c r="AG230" s="1"/>
      <c r="AH230" s="1"/>
      <c r="AI230" s="1"/>
      <c r="AJ230" s="1"/>
      <c r="AK230" s="1"/>
      <c r="AL230" s="6" t="str">
        <f t="array" ref="AL230">IFERROR(IFS(XLOOKUP(B230, 'Kit Delivery Status'!$U:$U, 'Kit Delivery Status'!$K:$K) = "Complete", "DELIVERED", XLOOKUP(B230, 'Kit Delivery Status'!$U:$U, 'Kit Delivery Status'!$K:$K) = "Issue", "ISSUE"), "")</f>
        <v/>
      </c>
      <c r="AM230" s="6"/>
    </row>
    <row r="231">
      <c r="A231" s="5" t="s">
        <v>1234</v>
      </c>
      <c r="B231" s="1" t="s">
        <v>1235</v>
      </c>
      <c r="C231" s="1" t="s">
        <v>1236</v>
      </c>
      <c r="D231" s="2" t="s">
        <v>1237</v>
      </c>
      <c r="E231" s="1" t="s">
        <v>1238</v>
      </c>
      <c r="F231" s="1" t="s">
        <v>1239</v>
      </c>
      <c r="G231" s="1" t="s">
        <v>1240</v>
      </c>
      <c r="H231" s="1" t="s">
        <v>1121</v>
      </c>
      <c r="I231" s="1" t="s">
        <v>1241</v>
      </c>
      <c r="J231" s="1" t="s">
        <v>752</v>
      </c>
      <c r="K231" s="1" t="s">
        <v>95</v>
      </c>
      <c r="L231" s="1"/>
      <c r="M231" s="1">
        <v>49.0</v>
      </c>
      <c r="N231" s="1" t="s">
        <v>52</v>
      </c>
      <c r="O231" s="3" t="s">
        <v>384</v>
      </c>
      <c r="P231" s="18">
        <v>45882.0</v>
      </c>
      <c r="Q231" s="1"/>
      <c r="R231" s="1"/>
      <c r="S231" s="1"/>
      <c r="T231" s="1" t="s">
        <v>52</v>
      </c>
      <c r="U231" s="1" t="s">
        <v>1133</v>
      </c>
      <c r="V231" s="4" t="s">
        <v>384</v>
      </c>
      <c r="W231" s="1"/>
      <c r="X231" s="18">
        <v>45882.0</v>
      </c>
      <c r="Y231" s="1"/>
      <c r="Z231" s="1"/>
      <c r="AA231" s="1"/>
      <c r="AB231" s="1"/>
      <c r="AC231" s="1"/>
      <c r="AD231" s="1"/>
      <c r="AE231" s="1"/>
      <c r="AF231" s="1"/>
      <c r="AG231" s="1"/>
      <c r="AH231" s="1"/>
      <c r="AI231" s="1"/>
      <c r="AJ231" s="1"/>
      <c r="AK231" s="1"/>
      <c r="AL231" s="6" t="str">
        <f t="array" ref="AL231">IFERROR(IFS(XLOOKUP(B231, 'Kit Delivery Status'!$U:$U, 'Kit Delivery Status'!$K:$K) = "Complete", "DELIVERED", XLOOKUP(B231, 'Kit Delivery Status'!$U:$U, 'Kit Delivery Status'!$K:$K) = "Issue", "ISSUE"), "")</f>
        <v/>
      </c>
      <c r="AM231" s="6"/>
    </row>
    <row r="232">
      <c r="A232" s="5" t="s">
        <v>1242</v>
      </c>
      <c r="B232" s="1" t="s">
        <v>1243</v>
      </c>
      <c r="C232" s="1" t="s">
        <v>1244</v>
      </c>
      <c r="D232" s="2">
        <v>3.102463451E9</v>
      </c>
      <c r="E232" s="1" t="s">
        <v>1245</v>
      </c>
      <c r="F232" s="1" t="s">
        <v>1246</v>
      </c>
      <c r="G232" s="1" t="s">
        <v>1247</v>
      </c>
      <c r="H232" s="1" t="s">
        <v>989</v>
      </c>
      <c r="I232" s="1">
        <v>90212.0</v>
      </c>
      <c r="J232" s="1" t="s">
        <v>752</v>
      </c>
      <c r="K232" s="1" t="s">
        <v>66</v>
      </c>
      <c r="L232" s="1" t="s">
        <v>652</v>
      </c>
      <c r="M232" s="1">
        <v>210.0</v>
      </c>
      <c r="N232" s="1"/>
      <c r="O232" s="3" t="s">
        <v>1248</v>
      </c>
      <c r="P232" s="18">
        <v>45883.0</v>
      </c>
      <c r="Q232" s="1"/>
      <c r="R232" s="1"/>
      <c r="S232" s="1"/>
      <c r="T232" s="1"/>
      <c r="U232" s="1" t="s">
        <v>1249</v>
      </c>
      <c r="V232" s="4" t="s">
        <v>1248</v>
      </c>
      <c r="W232" s="1"/>
      <c r="X232" s="18">
        <v>45883.0</v>
      </c>
      <c r="Y232" s="1"/>
      <c r="Z232" s="1"/>
      <c r="AA232" s="1"/>
      <c r="AB232" s="1"/>
      <c r="AC232" s="1"/>
      <c r="AD232" s="1"/>
      <c r="AE232" s="1"/>
      <c r="AF232" s="1"/>
      <c r="AG232" s="1"/>
      <c r="AH232" s="1"/>
      <c r="AI232" s="1"/>
      <c r="AJ232" s="1"/>
      <c r="AK232" s="1"/>
      <c r="AL232" s="6" t="str">
        <f t="array" ref="AL232">IFERROR(IFS(XLOOKUP(B232, 'Kit Delivery Status'!$U:$U, 'Kit Delivery Status'!$K:$K) = "Complete", "DELIVERED", XLOOKUP(B232, 'Kit Delivery Status'!$U:$U, 'Kit Delivery Status'!$K:$K) = "Issue", "ISSUE"), "")</f>
        <v/>
      </c>
      <c r="AM232" s="6"/>
    </row>
    <row r="233">
      <c r="A233" s="5" t="s">
        <v>1250</v>
      </c>
      <c r="B233" s="1" t="s">
        <v>1251</v>
      </c>
      <c r="C233" s="1" t="s">
        <v>1252</v>
      </c>
      <c r="D233" s="2">
        <v>3.12344005E9</v>
      </c>
      <c r="E233" s="1" t="s">
        <v>1253</v>
      </c>
      <c r="F233" s="1" t="s">
        <v>101</v>
      </c>
      <c r="G233" s="1" t="s">
        <v>1254</v>
      </c>
      <c r="H233" s="1" t="s">
        <v>1233</v>
      </c>
      <c r="I233" s="1">
        <v>19380.0</v>
      </c>
      <c r="J233" s="1" t="s">
        <v>752</v>
      </c>
      <c r="K233" s="1" t="s">
        <v>66</v>
      </c>
      <c r="L233" s="1" t="s">
        <v>773</v>
      </c>
      <c r="M233" s="1">
        <v>65.0</v>
      </c>
      <c r="N233" s="1"/>
      <c r="O233" s="3" t="s">
        <v>1255</v>
      </c>
      <c r="P233" s="18">
        <v>45883.0</v>
      </c>
      <c r="Q233" s="1"/>
      <c r="R233" s="1"/>
      <c r="S233" s="1"/>
      <c r="T233" s="1"/>
      <c r="U233" s="1" t="s">
        <v>1133</v>
      </c>
      <c r="V233" s="4" t="s">
        <v>1255</v>
      </c>
      <c r="W233" s="1"/>
      <c r="X233" s="18">
        <v>45883.0</v>
      </c>
      <c r="Y233" s="1"/>
      <c r="Z233" s="1"/>
      <c r="AA233" s="1"/>
      <c r="AB233" s="1"/>
      <c r="AC233" s="1"/>
      <c r="AD233" s="1"/>
      <c r="AE233" s="1"/>
      <c r="AF233" s="1"/>
      <c r="AG233" s="1"/>
      <c r="AH233" s="1"/>
      <c r="AI233" s="1"/>
      <c r="AJ233" s="1"/>
      <c r="AK233" s="1"/>
      <c r="AL233" s="6" t="str">
        <f t="array" ref="AL233">IFERROR(IFS(XLOOKUP(B233, 'Kit Delivery Status'!$U:$U, 'Kit Delivery Status'!$K:$K) = "Complete", "DELIVERED", XLOOKUP(B233, 'Kit Delivery Status'!$U:$U, 'Kit Delivery Status'!$K:$K) = "Issue", "ISSUE"), "")</f>
        <v/>
      </c>
      <c r="AM233" s="6"/>
    </row>
    <row r="234">
      <c r="A234" s="5" t="s">
        <v>1256</v>
      </c>
      <c r="B234" s="1" t="s">
        <v>1257</v>
      </c>
      <c r="C234" s="1" t="s">
        <v>1258</v>
      </c>
      <c r="D234" s="2">
        <v>9.193338112E9</v>
      </c>
      <c r="E234" s="1" t="s">
        <v>1259</v>
      </c>
      <c r="F234" s="1" t="s">
        <v>1260</v>
      </c>
      <c r="G234" s="1" t="s">
        <v>1261</v>
      </c>
      <c r="H234" s="1" t="s">
        <v>1005</v>
      </c>
      <c r="I234" s="1">
        <v>21702.0</v>
      </c>
      <c r="J234" s="1" t="s">
        <v>752</v>
      </c>
      <c r="K234" s="1" t="s">
        <v>95</v>
      </c>
      <c r="L234" s="1" t="s">
        <v>95</v>
      </c>
      <c r="M234" s="1">
        <v>49.0</v>
      </c>
      <c r="N234" s="1" t="s">
        <v>52</v>
      </c>
      <c r="O234" s="3" t="s">
        <v>1262</v>
      </c>
      <c r="P234" s="18">
        <v>45883.0</v>
      </c>
      <c r="Q234" s="1" t="s">
        <v>1030</v>
      </c>
      <c r="R234" s="1"/>
      <c r="S234" s="1"/>
      <c r="T234" s="1" t="s">
        <v>52</v>
      </c>
      <c r="U234" s="1" t="s">
        <v>982</v>
      </c>
      <c r="V234" s="4" t="s">
        <v>1262</v>
      </c>
      <c r="W234" s="1"/>
      <c r="X234" s="18">
        <v>45883.0</v>
      </c>
      <c r="Y234" s="1" t="s">
        <v>1030</v>
      </c>
      <c r="Z234" s="1"/>
      <c r="AA234" s="1"/>
      <c r="AB234" s="1"/>
      <c r="AC234" s="1" t="s">
        <v>1263</v>
      </c>
      <c r="AD234" s="1"/>
      <c r="AE234" s="1"/>
      <c r="AF234" s="1"/>
      <c r="AG234" s="1"/>
      <c r="AH234" s="1"/>
      <c r="AI234" s="1"/>
      <c r="AJ234" s="1"/>
      <c r="AK234" s="1"/>
      <c r="AL234" s="6" t="str">
        <f t="array" ref="AL234">IFERROR(IFS(XLOOKUP(B234, 'Kit Delivery Status'!$U:$U, 'Kit Delivery Status'!$K:$K) = "Complete", "DELIVERED", XLOOKUP(B234, 'Kit Delivery Status'!$U:$U, 'Kit Delivery Status'!$K:$K) = "Issue", "ISSUE"), "")</f>
        <v/>
      </c>
      <c r="AM234" s="6"/>
    </row>
    <row r="235">
      <c r="A235" s="5" t="s">
        <v>1264</v>
      </c>
      <c r="B235" s="1" t="s">
        <v>1265</v>
      </c>
      <c r="C235" s="1" t="s">
        <v>1266</v>
      </c>
      <c r="D235" s="2">
        <v>2.242163846E9</v>
      </c>
      <c r="E235" s="1" t="s">
        <v>1267</v>
      </c>
      <c r="F235" s="1" t="s">
        <v>1268</v>
      </c>
      <c r="G235" s="1" t="s">
        <v>1269</v>
      </c>
      <c r="H235" s="1" t="s">
        <v>1019</v>
      </c>
      <c r="I235" s="1">
        <v>60022.0</v>
      </c>
      <c r="J235" s="1" t="s">
        <v>752</v>
      </c>
      <c r="K235" s="1" t="s">
        <v>66</v>
      </c>
      <c r="L235" s="1" t="s">
        <v>720</v>
      </c>
      <c r="M235" s="1">
        <v>115.0</v>
      </c>
      <c r="N235" s="1"/>
      <c r="O235" s="3" t="s">
        <v>1270</v>
      </c>
      <c r="P235" s="18">
        <v>45883.0</v>
      </c>
      <c r="Q235" s="1"/>
      <c r="R235" s="1"/>
      <c r="S235" s="1"/>
      <c r="T235" s="1"/>
      <c r="U235" s="1" t="s">
        <v>1080</v>
      </c>
      <c r="V235" s="4" t="s">
        <v>1270</v>
      </c>
      <c r="W235" s="1"/>
      <c r="X235" s="18">
        <v>45883.0</v>
      </c>
      <c r="Y235" s="1"/>
      <c r="Z235" s="1"/>
      <c r="AA235" s="1"/>
      <c r="AB235" s="1"/>
      <c r="AC235" s="1"/>
      <c r="AD235" s="1"/>
      <c r="AE235" s="1"/>
      <c r="AF235" s="1"/>
      <c r="AG235" s="1"/>
      <c r="AH235" s="1"/>
      <c r="AI235" s="1"/>
      <c r="AJ235" s="1"/>
      <c r="AK235" s="1"/>
      <c r="AL235" s="6" t="str">
        <f t="array" ref="AL235">IFERROR(IFS(XLOOKUP(B235, 'Kit Delivery Status'!$U:$U, 'Kit Delivery Status'!$K:$K) = "Complete", "DELIVERED", XLOOKUP(B235, 'Kit Delivery Status'!$U:$U, 'Kit Delivery Status'!$K:$K) = "Issue", "ISSUE"), "")</f>
        <v/>
      </c>
      <c r="AM235" s="6"/>
    </row>
    <row r="236">
      <c r="A236" s="5" t="s">
        <v>1271</v>
      </c>
      <c r="B236" s="1" t="s">
        <v>1272</v>
      </c>
      <c r="C236" s="1"/>
      <c r="D236" s="2">
        <v>9.177707102E9</v>
      </c>
      <c r="E236" s="1" t="s">
        <v>1273</v>
      </c>
      <c r="F236" s="1" t="s">
        <v>1274</v>
      </c>
      <c r="G236" s="1" t="s">
        <v>1275</v>
      </c>
      <c r="H236" s="1" t="s">
        <v>751</v>
      </c>
      <c r="I236" s="1">
        <v>10583.0</v>
      </c>
      <c r="J236" s="1" t="s">
        <v>752</v>
      </c>
      <c r="K236" s="1" t="s">
        <v>66</v>
      </c>
      <c r="L236" s="1" t="s">
        <v>652</v>
      </c>
      <c r="M236" s="1">
        <v>210.0</v>
      </c>
      <c r="N236" s="1"/>
      <c r="O236" s="3" t="s">
        <v>1276</v>
      </c>
      <c r="P236" s="18">
        <v>45883.0</v>
      </c>
      <c r="Q236" s="1"/>
      <c r="R236" s="1"/>
      <c r="S236" s="1"/>
      <c r="T236" s="1"/>
      <c r="U236" s="1" t="s">
        <v>1277</v>
      </c>
      <c r="V236" s="4" t="s">
        <v>1276</v>
      </c>
      <c r="W236" s="1"/>
      <c r="X236" s="18">
        <v>45883.0</v>
      </c>
      <c r="Y236" s="1"/>
      <c r="Z236" s="1"/>
      <c r="AA236" s="1"/>
      <c r="AB236" s="1"/>
      <c r="AC236" s="1"/>
      <c r="AD236" s="1"/>
      <c r="AE236" s="1"/>
      <c r="AF236" s="1"/>
      <c r="AG236" s="1"/>
      <c r="AH236" s="1"/>
      <c r="AI236" s="1"/>
      <c r="AJ236" s="1"/>
      <c r="AK236" s="1"/>
      <c r="AL236" s="6" t="str">
        <f t="array" ref="AL236">IFERROR(IFS(XLOOKUP(B236, 'Kit Delivery Status'!$U:$U, 'Kit Delivery Status'!$K:$K) = "Complete", "DELIVERED", XLOOKUP(B236, 'Kit Delivery Status'!$U:$U, 'Kit Delivery Status'!$K:$K) = "Issue", "ISSUE"), "")</f>
        <v/>
      </c>
      <c r="AM236" s="6"/>
    </row>
    <row r="237">
      <c r="A237" s="5" t="s">
        <v>1278</v>
      </c>
      <c r="B237" s="1" t="s">
        <v>1279</v>
      </c>
      <c r="C237" s="1" t="s">
        <v>1280</v>
      </c>
      <c r="D237" s="2">
        <v>1.314437775E10</v>
      </c>
      <c r="E237" s="1" t="s">
        <v>1281</v>
      </c>
      <c r="F237" s="1" t="s">
        <v>1282</v>
      </c>
      <c r="G237" s="1" t="s">
        <v>1283</v>
      </c>
      <c r="H237" s="1" t="s">
        <v>1155</v>
      </c>
      <c r="I237" s="1">
        <v>63130.0</v>
      </c>
      <c r="J237" s="1" t="s">
        <v>752</v>
      </c>
      <c r="K237" s="1" t="s">
        <v>51</v>
      </c>
      <c r="L237" s="1"/>
      <c r="M237" s="1">
        <v>1.0</v>
      </c>
      <c r="N237" s="1" t="s">
        <v>52</v>
      </c>
      <c r="O237" s="3" t="s">
        <v>1284</v>
      </c>
      <c r="P237" s="18">
        <v>45883.0</v>
      </c>
      <c r="Q237" s="1" t="s">
        <v>1030</v>
      </c>
      <c r="R237" s="1"/>
      <c r="S237" s="1"/>
      <c r="T237" s="1" t="s">
        <v>52</v>
      </c>
      <c r="U237" s="1" t="s">
        <v>1285</v>
      </c>
      <c r="V237" s="4" t="s">
        <v>1284</v>
      </c>
      <c r="W237" s="1"/>
      <c r="X237" s="18">
        <v>45883.0</v>
      </c>
      <c r="Y237" s="1" t="s">
        <v>1030</v>
      </c>
      <c r="Z237" s="1"/>
      <c r="AA237" s="1"/>
      <c r="AB237" s="1"/>
      <c r="AC237" s="1"/>
      <c r="AD237" s="1"/>
      <c r="AE237" s="1"/>
      <c r="AF237" s="1"/>
      <c r="AG237" s="1"/>
      <c r="AH237" s="1"/>
      <c r="AI237" s="1"/>
      <c r="AJ237" s="1"/>
      <c r="AK237" s="1"/>
      <c r="AL237" s="6" t="str">
        <f t="array" ref="AL237">IFERROR(IFS(XLOOKUP(B237, 'Kit Delivery Status'!$U:$U, 'Kit Delivery Status'!$K:$K) = "Complete", "DELIVERED", XLOOKUP(B237, 'Kit Delivery Status'!$U:$U, 'Kit Delivery Status'!$K:$K) = "Issue", "ISSUE"), "")</f>
        <v/>
      </c>
      <c r="AM237" s="6"/>
    </row>
    <row r="238">
      <c r="A238" s="5" t="s">
        <v>1286</v>
      </c>
      <c r="B238" s="1" t="s">
        <v>1287</v>
      </c>
      <c r="C238" s="1" t="s">
        <v>1288</v>
      </c>
      <c r="D238" s="2">
        <v>7.0825057E9</v>
      </c>
      <c r="E238" s="1" t="s">
        <v>1289</v>
      </c>
      <c r="F238" s="1" t="s">
        <v>1290</v>
      </c>
      <c r="G238" s="1" t="s">
        <v>1291</v>
      </c>
      <c r="H238" s="1" t="s">
        <v>1019</v>
      </c>
      <c r="I238" s="1">
        <v>60467.0</v>
      </c>
      <c r="J238" s="1" t="s">
        <v>752</v>
      </c>
      <c r="K238" s="1" t="s">
        <v>95</v>
      </c>
      <c r="L238" s="1" t="s">
        <v>95</v>
      </c>
      <c r="M238" s="1">
        <v>49.0</v>
      </c>
      <c r="N238" s="1" t="s">
        <v>52</v>
      </c>
      <c r="O238" s="3" t="s">
        <v>1292</v>
      </c>
      <c r="P238" s="18">
        <v>45883.0</v>
      </c>
      <c r="Q238" s="1" t="s">
        <v>1030</v>
      </c>
      <c r="R238" s="1"/>
      <c r="S238" s="1"/>
      <c r="T238" s="1" t="s">
        <v>52</v>
      </c>
      <c r="U238" s="1" t="s">
        <v>1249</v>
      </c>
      <c r="V238" s="4" t="s">
        <v>1292</v>
      </c>
      <c r="W238" s="1"/>
      <c r="X238" s="18">
        <v>45883.0</v>
      </c>
      <c r="Y238" s="1" t="s">
        <v>1030</v>
      </c>
      <c r="Z238" s="1"/>
      <c r="AA238" s="1"/>
      <c r="AB238" s="1"/>
      <c r="AC238" s="1" t="s">
        <v>1293</v>
      </c>
      <c r="AD238" s="1"/>
      <c r="AE238" s="1"/>
      <c r="AF238" s="1"/>
      <c r="AG238" s="1"/>
      <c r="AH238" s="1"/>
      <c r="AI238" s="1"/>
      <c r="AJ238" s="1"/>
      <c r="AK238" s="1"/>
      <c r="AL238" s="6" t="str">
        <f t="array" ref="AL238">IFERROR(IFS(XLOOKUP(B238, 'Kit Delivery Status'!$U:$U, 'Kit Delivery Status'!$K:$K) = "Complete", "DELIVERED", XLOOKUP(B238, 'Kit Delivery Status'!$U:$U, 'Kit Delivery Status'!$K:$K) = "Issue", "ISSUE"), "")</f>
        <v/>
      </c>
      <c r="AM238" s="6"/>
    </row>
    <row r="239">
      <c r="A239" s="5" t="s">
        <v>1294</v>
      </c>
      <c r="B239" s="1" t="s">
        <v>1295</v>
      </c>
      <c r="C239" s="1" t="s">
        <v>1296</v>
      </c>
      <c r="D239" s="2">
        <v>3.016516144E9</v>
      </c>
      <c r="E239" s="1" t="s">
        <v>1297</v>
      </c>
      <c r="F239" s="1" t="s">
        <v>1298</v>
      </c>
      <c r="G239" s="1" t="s">
        <v>1299</v>
      </c>
      <c r="H239" s="1" t="s">
        <v>1005</v>
      </c>
      <c r="I239" s="1">
        <v>20814.0</v>
      </c>
      <c r="J239" s="1" t="s">
        <v>752</v>
      </c>
      <c r="K239" s="1" t="s">
        <v>66</v>
      </c>
      <c r="L239" s="1" t="s">
        <v>652</v>
      </c>
      <c r="M239" s="1">
        <v>210.0</v>
      </c>
      <c r="N239" s="1"/>
      <c r="O239" s="3" t="s">
        <v>1300</v>
      </c>
      <c r="P239" s="18">
        <v>45883.0</v>
      </c>
      <c r="Q239" s="1"/>
      <c r="R239" s="1"/>
      <c r="S239" s="1"/>
      <c r="T239" s="1"/>
      <c r="U239" s="1" t="s">
        <v>1080</v>
      </c>
      <c r="V239" s="4" t="s">
        <v>1300</v>
      </c>
      <c r="W239" s="1"/>
      <c r="X239" s="18">
        <v>45883.0</v>
      </c>
      <c r="Y239" s="1"/>
      <c r="Z239" s="1"/>
      <c r="AA239" s="1"/>
      <c r="AB239" s="1"/>
      <c r="AC239" s="1"/>
      <c r="AD239" s="1"/>
      <c r="AE239" s="1"/>
      <c r="AF239" s="1"/>
      <c r="AG239" s="1"/>
      <c r="AH239" s="1"/>
      <c r="AI239" s="1"/>
      <c r="AJ239" s="1"/>
      <c r="AK239" s="1"/>
      <c r="AL239" s="6" t="str">
        <f t="array" ref="AL239">IFERROR(IFS(XLOOKUP(B239, 'Kit Delivery Status'!$U:$U, 'Kit Delivery Status'!$K:$K) = "Complete", "DELIVERED", XLOOKUP(B239, 'Kit Delivery Status'!$U:$U, 'Kit Delivery Status'!$K:$K) = "Issue", "ISSUE"), "")</f>
        <v/>
      </c>
      <c r="AM239" s="6"/>
    </row>
    <row r="240">
      <c r="A240" s="5" t="s">
        <v>1301</v>
      </c>
      <c r="B240" s="1" t="s">
        <v>1302</v>
      </c>
      <c r="C240" s="1"/>
      <c r="D240" s="2">
        <v>1.9179005487E10</v>
      </c>
      <c r="E240" s="1" t="s">
        <v>1303</v>
      </c>
      <c r="F240" s="1" t="s">
        <v>1304</v>
      </c>
      <c r="G240" s="1" t="s">
        <v>1299</v>
      </c>
      <c r="H240" s="1" t="s">
        <v>1005</v>
      </c>
      <c r="I240" s="1">
        <v>20817.0</v>
      </c>
      <c r="J240" s="1" t="s">
        <v>752</v>
      </c>
      <c r="K240" s="1" t="s">
        <v>95</v>
      </c>
      <c r="L240" s="1" t="s">
        <v>95</v>
      </c>
      <c r="M240" s="1">
        <v>49.0</v>
      </c>
      <c r="N240" s="1" t="s">
        <v>124</v>
      </c>
      <c r="O240" s="3"/>
      <c r="P240" s="18">
        <v>45876.0</v>
      </c>
      <c r="Q240" s="1" t="s">
        <v>1030</v>
      </c>
      <c r="R240" s="1"/>
      <c r="S240" s="1"/>
      <c r="T240" s="1" t="s">
        <v>124</v>
      </c>
      <c r="U240" s="1"/>
      <c r="V240" s="4"/>
      <c r="W240" s="1"/>
      <c r="X240" s="18">
        <v>45876.0</v>
      </c>
      <c r="Y240" s="1" t="s">
        <v>1030</v>
      </c>
      <c r="Z240" s="1"/>
      <c r="AA240" s="1" t="s">
        <v>1305</v>
      </c>
      <c r="AB240" s="1"/>
      <c r="AC240" s="1" t="s">
        <v>1306</v>
      </c>
      <c r="AD240" s="1"/>
      <c r="AE240" s="1"/>
      <c r="AF240" s="1"/>
      <c r="AG240" s="1"/>
      <c r="AH240" s="1"/>
      <c r="AI240" s="1"/>
      <c r="AJ240" s="1"/>
      <c r="AK240" s="1"/>
      <c r="AL240" s="6" t="str">
        <f t="array" ref="AL240">IFERROR(IFS(XLOOKUP(B240, 'Kit Delivery Status'!$U:$U, 'Kit Delivery Status'!$K:$K) = "Complete", "DELIVERED", XLOOKUP(B240, 'Kit Delivery Status'!$U:$U, 'Kit Delivery Status'!$K:$K) = "Issue", "ISSUE"), "")</f>
        <v/>
      </c>
      <c r="AM240" s="6"/>
    </row>
    <row r="241">
      <c r="A241" s="5" t="s">
        <v>1307</v>
      </c>
      <c r="B241" s="1" t="s">
        <v>1308</v>
      </c>
      <c r="C241" s="1"/>
      <c r="D241" s="2">
        <v>1.7812235035E10</v>
      </c>
      <c r="E241" s="1" t="s">
        <v>1309</v>
      </c>
      <c r="F241" s="1" t="s">
        <v>1310</v>
      </c>
      <c r="G241" s="1" t="s">
        <v>1311</v>
      </c>
      <c r="H241" s="1" t="s">
        <v>1233</v>
      </c>
      <c r="I241" s="1">
        <v>19072.0</v>
      </c>
      <c r="J241" s="1" t="s">
        <v>752</v>
      </c>
      <c r="K241" s="1" t="s">
        <v>66</v>
      </c>
      <c r="L241" s="1" t="s">
        <v>720</v>
      </c>
      <c r="M241" s="1">
        <v>115.0</v>
      </c>
      <c r="N241" s="1"/>
      <c r="O241" s="3" t="s">
        <v>1312</v>
      </c>
      <c r="P241" s="18">
        <v>45883.0</v>
      </c>
      <c r="Q241" s="1"/>
      <c r="R241" s="1"/>
      <c r="S241" s="1"/>
      <c r="T241" s="1"/>
      <c r="U241" s="1" t="s">
        <v>1277</v>
      </c>
      <c r="V241" s="4" t="s">
        <v>1312</v>
      </c>
      <c r="W241" s="1"/>
      <c r="X241" s="18">
        <v>45883.0</v>
      </c>
      <c r="Y241" s="1"/>
      <c r="Z241" s="1"/>
      <c r="AA241" s="1"/>
      <c r="AB241" s="1"/>
      <c r="AC241" s="1"/>
      <c r="AD241" s="1"/>
      <c r="AE241" s="1"/>
      <c r="AF241" s="1"/>
      <c r="AG241" s="1"/>
      <c r="AH241" s="1"/>
      <c r="AI241" s="1"/>
      <c r="AJ241" s="1"/>
      <c r="AK241" s="1"/>
      <c r="AL241" s="6" t="str">
        <f t="array" ref="AL241">IFERROR(IFS(XLOOKUP(B241, 'Kit Delivery Status'!$U:$U, 'Kit Delivery Status'!$K:$K) = "Complete", "DELIVERED", XLOOKUP(B241, 'Kit Delivery Status'!$U:$U, 'Kit Delivery Status'!$K:$K) = "Issue", "ISSUE"), "")</f>
        <v/>
      </c>
      <c r="AM241" s="6"/>
    </row>
    <row r="242">
      <c r="A242" s="5" t="s">
        <v>1313</v>
      </c>
      <c r="B242" s="1" t="s">
        <v>1314</v>
      </c>
      <c r="C242" s="1"/>
      <c r="D242" s="2">
        <v>3.475702616E9</v>
      </c>
      <c r="E242" s="1" t="s">
        <v>1315</v>
      </c>
      <c r="F242" s="1" t="s">
        <v>1316</v>
      </c>
      <c r="G242" s="1" t="s">
        <v>1283</v>
      </c>
      <c r="H242" s="1" t="s">
        <v>1155</v>
      </c>
      <c r="I242" s="1">
        <v>63105.0</v>
      </c>
      <c r="J242" s="1" t="s">
        <v>752</v>
      </c>
      <c r="K242" s="1" t="s">
        <v>75</v>
      </c>
      <c r="L242" s="19" t="s">
        <v>808</v>
      </c>
      <c r="M242" s="1">
        <v>49.0</v>
      </c>
      <c r="N242" s="1" t="s">
        <v>124</v>
      </c>
      <c r="O242" s="3"/>
      <c r="P242" s="18">
        <v>45879.0</v>
      </c>
      <c r="Q242" s="1" t="s">
        <v>1030</v>
      </c>
      <c r="R242" s="1"/>
      <c r="S242" s="1"/>
      <c r="T242" s="1" t="s">
        <v>124</v>
      </c>
      <c r="U242" s="1"/>
      <c r="V242" s="4"/>
      <c r="W242" s="1"/>
      <c r="X242" s="18">
        <v>45879.0</v>
      </c>
      <c r="Y242" s="1" t="s">
        <v>1030</v>
      </c>
      <c r="Z242" s="1" t="s">
        <v>808</v>
      </c>
      <c r="AA242" s="1"/>
      <c r="AB242" s="1"/>
      <c r="AC242" s="1"/>
      <c r="AD242" s="1" t="s">
        <v>1317</v>
      </c>
      <c r="AE242" s="1"/>
      <c r="AF242" s="1"/>
      <c r="AG242" s="1"/>
      <c r="AH242" s="1"/>
      <c r="AI242" s="1"/>
      <c r="AJ242" s="1"/>
      <c r="AK242" s="1"/>
      <c r="AL242" s="6" t="str">
        <f t="array" ref="AL242">IFERROR(IFS(XLOOKUP(B242, 'Kit Delivery Status'!$U:$U, 'Kit Delivery Status'!$K:$K) = "Complete", "DELIVERED", XLOOKUP(B242, 'Kit Delivery Status'!$U:$U, 'Kit Delivery Status'!$K:$K) = "Issue", "ISSUE"), "")</f>
        <v/>
      </c>
      <c r="AM242" s="6"/>
    </row>
    <row r="243">
      <c r="A243" s="5" t="s">
        <v>1318</v>
      </c>
      <c r="B243" s="1" t="s">
        <v>1319</v>
      </c>
      <c r="C243" s="1"/>
      <c r="D243" s="2">
        <v>1.9175922703E10</v>
      </c>
      <c r="E243" s="1" t="s">
        <v>1320</v>
      </c>
      <c r="F243" s="1" t="s">
        <v>1321</v>
      </c>
      <c r="G243" s="1" t="s">
        <v>1322</v>
      </c>
      <c r="H243" s="1" t="s">
        <v>751</v>
      </c>
      <c r="I243" s="1">
        <v>11596.0</v>
      </c>
      <c r="J243" s="1" t="s">
        <v>752</v>
      </c>
      <c r="K243" s="1" t="s">
        <v>75</v>
      </c>
      <c r="L243" s="19" t="s">
        <v>808</v>
      </c>
      <c r="M243" s="1">
        <v>49.0</v>
      </c>
      <c r="N243" s="1" t="s">
        <v>52</v>
      </c>
      <c r="O243" s="3" t="s">
        <v>1323</v>
      </c>
      <c r="P243" s="18">
        <v>45883.0</v>
      </c>
      <c r="Q243" s="1"/>
      <c r="R243" s="1"/>
      <c r="S243" s="1"/>
      <c r="T243" s="1" t="s">
        <v>52</v>
      </c>
      <c r="U243" s="1" t="s">
        <v>1324</v>
      </c>
      <c r="V243" s="4" t="s">
        <v>1323</v>
      </c>
      <c r="W243" s="1"/>
      <c r="X243" s="18">
        <v>45883.0</v>
      </c>
      <c r="Y243" s="1"/>
      <c r="Z243" s="1" t="s">
        <v>808</v>
      </c>
      <c r="AA243" s="1"/>
      <c r="AB243" s="1"/>
      <c r="AC243" s="1"/>
      <c r="AD243" s="1" t="s">
        <v>1325</v>
      </c>
      <c r="AE243" s="1"/>
      <c r="AF243" s="1"/>
      <c r="AG243" s="1"/>
      <c r="AH243" s="1"/>
      <c r="AI243" s="1"/>
      <c r="AJ243" s="1"/>
      <c r="AK243" s="1"/>
      <c r="AL243" s="6" t="str">
        <f t="array" ref="AL243">IFERROR(IFS(XLOOKUP(B243, 'Kit Delivery Status'!$U:$U, 'Kit Delivery Status'!$K:$K) = "Complete", "DELIVERED", XLOOKUP(B243, 'Kit Delivery Status'!$U:$U, 'Kit Delivery Status'!$K:$K) = "Issue", "ISSUE"), "")</f>
        <v/>
      </c>
      <c r="AM243" s="6"/>
    </row>
    <row r="244">
      <c r="A244" s="5" t="s">
        <v>1326</v>
      </c>
      <c r="B244" s="1" t="s">
        <v>1327</v>
      </c>
      <c r="C244" s="1" t="s">
        <v>1328</v>
      </c>
      <c r="D244" s="2">
        <v>9.177326364E9</v>
      </c>
      <c r="E244" s="1" t="s">
        <v>1329</v>
      </c>
      <c r="F244" s="1" t="s">
        <v>1330</v>
      </c>
      <c r="G244" s="1" t="s">
        <v>1331</v>
      </c>
      <c r="H244" s="1" t="s">
        <v>989</v>
      </c>
      <c r="I244" s="1">
        <v>90035.0</v>
      </c>
      <c r="J244" s="1" t="s">
        <v>752</v>
      </c>
      <c r="K244" s="1" t="s">
        <v>51</v>
      </c>
      <c r="L244" s="1" t="s">
        <v>1152</v>
      </c>
      <c r="M244" s="1">
        <v>1.0</v>
      </c>
      <c r="N244" s="1" t="s">
        <v>1332</v>
      </c>
      <c r="O244" s="3"/>
      <c r="P244" s="18">
        <v>45875.0</v>
      </c>
      <c r="Q244" s="1" t="s">
        <v>1103</v>
      </c>
      <c r="R244" s="1" t="s">
        <v>1333</v>
      </c>
      <c r="S244" s="1"/>
      <c r="T244" s="1" t="s">
        <v>124</v>
      </c>
      <c r="U244" s="1"/>
      <c r="V244" s="4"/>
      <c r="W244" s="1"/>
      <c r="X244" s="18">
        <v>45875.0</v>
      </c>
      <c r="Y244" s="1" t="s">
        <v>1103</v>
      </c>
      <c r="Z244" s="1"/>
      <c r="AA244" s="1" t="s">
        <v>1333</v>
      </c>
      <c r="AB244" s="1" t="s">
        <v>124</v>
      </c>
      <c r="AC244" s="1"/>
      <c r="AD244" s="1"/>
      <c r="AE244" s="1"/>
      <c r="AF244" s="1"/>
      <c r="AG244" s="1"/>
      <c r="AH244" s="1"/>
      <c r="AI244" s="1"/>
      <c r="AJ244" s="1"/>
      <c r="AK244" s="1"/>
      <c r="AL244" s="6" t="str">
        <f t="array" ref="AL244">IFERROR(IFS(XLOOKUP(B244, 'Kit Delivery Status'!$U:$U, 'Kit Delivery Status'!$K:$K) = "Complete", "DELIVERED", XLOOKUP(B244, 'Kit Delivery Status'!$U:$U, 'Kit Delivery Status'!$K:$K) = "Issue", "ISSUE"), "")</f>
        <v/>
      </c>
      <c r="AM244" s="6"/>
    </row>
    <row r="245">
      <c r="A245" s="5" t="s">
        <v>1334</v>
      </c>
      <c r="B245" s="1" t="s">
        <v>1335</v>
      </c>
      <c r="C245" s="1" t="s">
        <v>1336</v>
      </c>
      <c r="D245" s="2">
        <v>1.914602624E10</v>
      </c>
      <c r="E245" s="1" t="s">
        <v>1337</v>
      </c>
      <c r="F245" s="1" t="s">
        <v>1338</v>
      </c>
      <c r="G245" s="1" t="s">
        <v>1339</v>
      </c>
      <c r="H245" s="1" t="s">
        <v>751</v>
      </c>
      <c r="I245" s="1">
        <v>10536.0</v>
      </c>
      <c r="J245" s="1" t="s">
        <v>752</v>
      </c>
      <c r="K245" s="1" t="s">
        <v>66</v>
      </c>
      <c r="L245" s="1" t="s">
        <v>1340</v>
      </c>
      <c r="M245" s="1">
        <v>210.0</v>
      </c>
      <c r="N245" s="1" t="s">
        <v>1341</v>
      </c>
      <c r="O245" s="3" t="s">
        <v>1342</v>
      </c>
      <c r="P245" s="18">
        <v>45876.0</v>
      </c>
      <c r="Q245" s="1"/>
      <c r="R245" s="1"/>
      <c r="S245" s="1"/>
      <c r="T245" s="1"/>
      <c r="U245" s="1" t="s">
        <v>1343</v>
      </c>
      <c r="V245" s="4" t="s">
        <v>1342</v>
      </c>
      <c r="W245" s="1"/>
      <c r="X245" s="18">
        <v>45876.0</v>
      </c>
      <c r="Y245" s="1"/>
      <c r="Z245" s="1"/>
      <c r="AA245" s="1"/>
      <c r="AB245" s="1"/>
      <c r="AC245" s="1"/>
      <c r="AD245" s="1"/>
      <c r="AE245" s="1"/>
      <c r="AF245" s="1"/>
      <c r="AG245" s="1"/>
      <c r="AH245" s="1"/>
      <c r="AI245" s="1"/>
      <c r="AJ245" s="1"/>
      <c r="AK245" s="1"/>
      <c r="AL245" s="6" t="str">
        <f t="array" ref="AL245">IFERROR(IFS(XLOOKUP(B245, 'Kit Delivery Status'!$U:$U, 'Kit Delivery Status'!$K:$K) = "Complete", "DELIVERED", XLOOKUP(B245, 'Kit Delivery Status'!$U:$U, 'Kit Delivery Status'!$K:$K) = "Issue", "ISSUE"), "")</f>
        <v/>
      </c>
      <c r="AM245" s="6"/>
    </row>
    <row r="246">
      <c r="A246" s="5" t="s">
        <v>1334</v>
      </c>
      <c r="B246" s="1" t="s">
        <v>1335</v>
      </c>
      <c r="C246" s="1" t="s">
        <v>1336</v>
      </c>
      <c r="D246" s="2">
        <v>1.914602624E10</v>
      </c>
      <c r="E246" s="1" t="s">
        <v>1337</v>
      </c>
      <c r="F246" s="1" t="s">
        <v>1338</v>
      </c>
      <c r="G246" s="1" t="s">
        <v>1339</v>
      </c>
      <c r="H246" s="1" t="s">
        <v>751</v>
      </c>
      <c r="I246" s="1">
        <v>10536.0</v>
      </c>
      <c r="J246" s="1" t="s">
        <v>752</v>
      </c>
      <c r="K246" s="1" t="s">
        <v>51</v>
      </c>
      <c r="L246" s="1" t="s">
        <v>1152</v>
      </c>
      <c r="M246" s="1">
        <v>1.0</v>
      </c>
      <c r="N246" s="1" t="s">
        <v>1344</v>
      </c>
      <c r="O246" s="3" t="s">
        <v>1342</v>
      </c>
      <c r="P246" s="18">
        <v>45876.0</v>
      </c>
      <c r="Q246" s="1" t="s">
        <v>1030</v>
      </c>
      <c r="R246" s="1"/>
      <c r="S246" s="1"/>
      <c r="T246" s="1" t="s">
        <v>52</v>
      </c>
      <c r="U246" s="1" t="s">
        <v>1343</v>
      </c>
      <c r="V246" s="4" t="s">
        <v>1342</v>
      </c>
      <c r="W246" s="1"/>
      <c r="X246" s="18">
        <v>45876.0</v>
      </c>
      <c r="Y246" s="1" t="s">
        <v>1030</v>
      </c>
      <c r="Z246" s="1"/>
      <c r="AA246" s="1"/>
      <c r="AB246" s="1" t="s">
        <v>52</v>
      </c>
      <c r="AC246" s="1"/>
      <c r="AD246" s="1"/>
      <c r="AE246" s="1"/>
      <c r="AF246" s="1"/>
      <c r="AG246" s="1"/>
      <c r="AH246" s="1"/>
      <c r="AI246" s="1"/>
      <c r="AJ246" s="1"/>
      <c r="AK246" s="1"/>
      <c r="AL246" s="6" t="str">
        <f t="array" ref="AL246">IFERROR(IFS(XLOOKUP(B246, 'Kit Delivery Status'!$U:$U, 'Kit Delivery Status'!$K:$K) = "Complete", "DELIVERED", XLOOKUP(B246, 'Kit Delivery Status'!$U:$U, 'Kit Delivery Status'!$K:$K) = "Issue", "ISSUE"), "")</f>
        <v/>
      </c>
      <c r="AM246" s="6"/>
    </row>
    <row r="247">
      <c r="A247" s="5" t="s">
        <v>1345</v>
      </c>
      <c r="B247" s="1" t="s">
        <v>1346</v>
      </c>
      <c r="C247" s="1"/>
      <c r="D247" s="2">
        <v>9.179217228E9</v>
      </c>
      <c r="E247" s="1" t="s">
        <v>1347</v>
      </c>
      <c r="F247" s="1" t="s">
        <v>527</v>
      </c>
      <c r="G247" s="1" t="s">
        <v>1348</v>
      </c>
      <c r="H247" s="1" t="s">
        <v>751</v>
      </c>
      <c r="I247" s="1">
        <v>10573.0</v>
      </c>
      <c r="J247" s="1" t="s">
        <v>752</v>
      </c>
      <c r="K247" s="1" t="s">
        <v>51</v>
      </c>
      <c r="L247" s="1" t="s">
        <v>1152</v>
      </c>
      <c r="M247" s="1">
        <v>1.0</v>
      </c>
      <c r="N247" s="1" t="s">
        <v>1332</v>
      </c>
      <c r="O247" s="3"/>
      <c r="P247" s="18">
        <v>45888.0</v>
      </c>
      <c r="Q247" s="1" t="s">
        <v>1349</v>
      </c>
      <c r="R247" s="1" t="s">
        <v>1350</v>
      </c>
      <c r="S247" s="1"/>
      <c r="T247" s="1" t="s">
        <v>124</v>
      </c>
      <c r="U247" s="1"/>
      <c r="V247" s="4"/>
      <c r="W247" s="1"/>
      <c r="X247" s="18">
        <v>45888.0</v>
      </c>
      <c r="Y247" s="1" t="s">
        <v>1349</v>
      </c>
      <c r="Z247" s="1"/>
      <c r="AA247" s="1" t="s">
        <v>1350</v>
      </c>
      <c r="AB247" s="1" t="s">
        <v>124</v>
      </c>
      <c r="AC247" s="1"/>
      <c r="AD247" s="1"/>
      <c r="AE247" s="1"/>
      <c r="AF247" s="1"/>
      <c r="AG247" s="1"/>
      <c r="AH247" s="1"/>
      <c r="AI247" s="1"/>
      <c r="AJ247" s="1"/>
      <c r="AK247" s="1"/>
      <c r="AL247" s="6" t="str">
        <f t="array" ref="AL247">IFERROR(IFS(XLOOKUP(B247, 'Kit Delivery Status'!$U:$U, 'Kit Delivery Status'!$K:$K) = "Complete", "DELIVERED", XLOOKUP(B247, 'Kit Delivery Status'!$U:$U, 'Kit Delivery Status'!$K:$K) = "Issue", "ISSUE"), "")</f>
        <v/>
      </c>
      <c r="AM247" s="6"/>
    </row>
    <row r="248">
      <c r="A248" s="5" t="s">
        <v>1351</v>
      </c>
      <c r="B248" s="1" t="s">
        <v>1352</v>
      </c>
      <c r="C248" s="1" t="s">
        <v>307</v>
      </c>
      <c r="D248" s="2">
        <v>16178996835</v>
      </c>
      <c r="E248" s="1" t="s">
        <v>1353</v>
      </c>
      <c r="F248" s="1" t="s">
        <v>310</v>
      </c>
      <c r="G248" s="1" t="s">
        <v>1354</v>
      </c>
      <c r="H248" s="1" t="s">
        <v>1121</v>
      </c>
      <c r="I248" s="1">
        <v>2458.0</v>
      </c>
      <c r="J248" s="1" t="s">
        <v>752</v>
      </c>
      <c r="K248" s="1" t="s">
        <v>66</v>
      </c>
      <c r="L248" s="1" t="s">
        <v>1355</v>
      </c>
      <c r="M248" s="1">
        <v>145.0</v>
      </c>
      <c r="N248" s="1" t="s">
        <v>1341</v>
      </c>
      <c r="O248" s="3" t="s">
        <v>311</v>
      </c>
      <c r="P248" s="18">
        <v>45882.0</v>
      </c>
      <c r="Q248" s="1"/>
      <c r="R248" s="1"/>
      <c r="S248" s="1"/>
      <c r="T248" s="1"/>
      <c r="U248" s="1" t="s">
        <v>956</v>
      </c>
      <c r="V248" s="4" t="s">
        <v>311</v>
      </c>
      <c r="W248" s="1"/>
      <c r="X248" s="18">
        <v>45882.0</v>
      </c>
      <c r="Y248" s="1"/>
      <c r="Z248" s="1"/>
      <c r="AA248" s="1"/>
      <c r="AB248" s="1"/>
      <c r="AC248" s="1"/>
      <c r="AD248" s="1"/>
      <c r="AE248" s="1"/>
      <c r="AF248" s="1"/>
      <c r="AG248" s="1"/>
      <c r="AH248" s="1"/>
      <c r="AI248" s="1"/>
      <c r="AJ248" s="1"/>
      <c r="AK248" s="1"/>
      <c r="AL248" s="6" t="str">
        <f t="array" ref="AL248">IFERROR(IFS(XLOOKUP(B248, 'Kit Delivery Status'!$U:$U, 'Kit Delivery Status'!$K:$K) = "Complete", "DELIVERED", XLOOKUP(B248, 'Kit Delivery Status'!$U:$U, 'Kit Delivery Status'!$K:$K) = "Issue", "ISSUE"), "")</f>
        <v/>
      </c>
      <c r="AM248" s="6"/>
    </row>
    <row r="249">
      <c r="A249" s="5" t="s">
        <v>1356</v>
      </c>
      <c r="B249" s="1" t="s">
        <v>1357</v>
      </c>
      <c r="C249" s="1"/>
      <c r="D249" s="2">
        <v>3.476344188E9</v>
      </c>
      <c r="E249" s="1" t="s">
        <v>1358</v>
      </c>
      <c r="F249" s="1" t="s">
        <v>1359</v>
      </c>
      <c r="G249" s="1" t="s">
        <v>1360</v>
      </c>
      <c r="H249" s="1" t="s">
        <v>1053</v>
      </c>
      <c r="I249" s="1">
        <v>7020.0</v>
      </c>
      <c r="J249" s="1" t="s">
        <v>752</v>
      </c>
      <c r="K249" s="1" t="s">
        <v>95</v>
      </c>
      <c r="L249" s="1" t="s">
        <v>1361</v>
      </c>
      <c r="M249" s="1">
        <v>49.0</v>
      </c>
      <c r="N249" s="1" t="s">
        <v>1344</v>
      </c>
      <c r="O249" s="3" t="s">
        <v>1362</v>
      </c>
      <c r="P249" s="18">
        <v>45883.0</v>
      </c>
      <c r="Q249" s="1" t="s">
        <v>1030</v>
      </c>
      <c r="R249" s="1"/>
      <c r="S249" s="1"/>
      <c r="T249" s="1" t="s">
        <v>52</v>
      </c>
      <c r="U249" s="1" t="s">
        <v>1249</v>
      </c>
      <c r="V249" s="4" t="s">
        <v>1362</v>
      </c>
      <c r="W249" s="1"/>
      <c r="X249" s="18">
        <v>45883.0</v>
      </c>
      <c r="Y249" s="1" t="s">
        <v>1030</v>
      </c>
      <c r="Z249" s="1"/>
      <c r="AA249" s="1"/>
      <c r="AB249" s="1" t="s">
        <v>52</v>
      </c>
      <c r="AC249" s="1" t="s">
        <v>1363</v>
      </c>
      <c r="AD249" s="1"/>
      <c r="AE249" s="1"/>
      <c r="AF249" s="1"/>
      <c r="AG249" s="1"/>
      <c r="AH249" s="1"/>
      <c r="AI249" s="1"/>
      <c r="AJ249" s="1"/>
      <c r="AK249" s="1"/>
      <c r="AL249" s="6" t="str">
        <f t="array" ref="AL249">IFERROR(IFS(XLOOKUP(B249, 'Kit Delivery Status'!$U:$U, 'Kit Delivery Status'!$K:$K) = "Complete", "DELIVERED", XLOOKUP(B249, 'Kit Delivery Status'!$U:$U, 'Kit Delivery Status'!$K:$K) = "Issue", "ISSUE"), "")</f>
        <v/>
      </c>
      <c r="AM249" s="6"/>
    </row>
    <row r="250">
      <c r="A250" s="5" t="s">
        <v>1364</v>
      </c>
      <c r="B250" s="1" t="s">
        <v>1365</v>
      </c>
      <c r="C250" s="1"/>
      <c r="D250" s="2">
        <v>1.9175848891E10</v>
      </c>
      <c r="E250" s="1" t="s">
        <v>1366</v>
      </c>
      <c r="F250" s="1" t="s">
        <v>1367</v>
      </c>
      <c r="G250" s="1" t="s">
        <v>751</v>
      </c>
      <c r="H250" s="1" t="s">
        <v>751</v>
      </c>
      <c r="I250" s="1">
        <v>10023.0</v>
      </c>
      <c r="J250" s="1" t="s">
        <v>752</v>
      </c>
      <c r="K250" s="1" t="s">
        <v>75</v>
      </c>
      <c r="L250" s="19" t="s">
        <v>808</v>
      </c>
      <c r="M250" s="1">
        <v>49.0</v>
      </c>
      <c r="N250" s="1" t="s">
        <v>1344</v>
      </c>
      <c r="O250" s="3" t="s">
        <v>1368</v>
      </c>
      <c r="P250" s="18">
        <v>45883.0</v>
      </c>
      <c r="Q250" s="1"/>
      <c r="R250" s="1"/>
      <c r="S250" s="1"/>
      <c r="T250" s="1" t="s">
        <v>52</v>
      </c>
      <c r="U250" s="1" t="s">
        <v>1324</v>
      </c>
      <c r="V250" s="4" t="s">
        <v>1368</v>
      </c>
      <c r="W250" s="1"/>
      <c r="X250" s="18">
        <v>45883.0</v>
      </c>
      <c r="Y250" s="1"/>
      <c r="Z250" s="1" t="s">
        <v>808</v>
      </c>
      <c r="AA250" s="1"/>
      <c r="AB250" s="1" t="s">
        <v>52</v>
      </c>
      <c r="AC250" s="1"/>
      <c r="AD250" s="1" t="s">
        <v>1369</v>
      </c>
      <c r="AE250" s="1"/>
      <c r="AF250" s="1"/>
      <c r="AG250" s="1"/>
      <c r="AH250" s="1"/>
      <c r="AI250" s="1"/>
      <c r="AJ250" s="1"/>
      <c r="AK250" s="1"/>
      <c r="AL250" s="6" t="str">
        <f t="array" ref="AL250">IFERROR(IFS(XLOOKUP(B250, 'Kit Delivery Status'!$U:$U, 'Kit Delivery Status'!$K:$K) = "Complete", "DELIVERED", XLOOKUP(B250, 'Kit Delivery Status'!$U:$U, 'Kit Delivery Status'!$K:$K) = "Issue", "ISSUE"), "")</f>
        <v/>
      </c>
      <c r="AM250" s="6"/>
    </row>
    <row r="251">
      <c r="A251" s="5" t="s">
        <v>1370</v>
      </c>
      <c r="B251" s="1" t="s">
        <v>1371</v>
      </c>
      <c r="C251" s="1"/>
      <c r="D251" s="2">
        <v>7.817086694E9</v>
      </c>
      <c r="E251" s="1" t="s">
        <v>1372</v>
      </c>
      <c r="F251" s="1" t="s">
        <v>1373</v>
      </c>
      <c r="G251" s="1" t="s">
        <v>1374</v>
      </c>
      <c r="H251" s="1" t="s">
        <v>1121</v>
      </c>
      <c r="I251" s="1">
        <v>2090.0</v>
      </c>
      <c r="J251" s="1" t="s">
        <v>752</v>
      </c>
      <c r="K251" s="1" t="s">
        <v>95</v>
      </c>
      <c r="L251" s="1" t="s">
        <v>1361</v>
      </c>
      <c r="M251" s="1">
        <v>49.0</v>
      </c>
      <c r="N251" s="1" t="s">
        <v>1344</v>
      </c>
      <c r="O251" s="3" t="s">
        <v>1375</v>
      </c>
      <c r="P251" s="18">
        <v>45883.0</v>
      </c>
      <c r="Q251" s="1" t="s">
        <v>1030</v>
      </c>
      <c r="R251" s="1"/>
      <c r="S251" s="1"/>
      <c r="T251" s="1" t="s">
        <v>52</v>
      </c>
      <c r="U251" s="1" t="s">
        <v>1376</v>
      </c>
      <c r="V251" s="4" t="s">
        <v>1375</v>
      </c>
      <c r="W251" s="1"/>
      <c r="X251" s="18">
        <v>45883.0</v>
      </c>
      <c r="Y251" s="1" t="s">
        <v>1030</v>
      </c>
      <c r="Z251" s="1"/>
      <c r="AA251" s="1"/>
      <c r="AB251" s="1" t="s">
        <v>52</v>
      </c>
      <c r="AC251" s="1" t="s">
        <v>1377</v>
      </c>
      <c r="AD251" s="1"/>
      <c r="AE251" s="1"/>
      <c r="AF251" s="1"/>
      <c r="AG251" s="1"/>
      <c r="AH251" s="1"/>
      <c r="AI251" s="1"/>
      <c r="AJ251" s="1"/>
      <c r="AK251" s="1"/>
      <c r="AL251" s="6" t="str">
        <f t="array" ref="AL251">IFERROR(IFS(XLOOKUP(B251, 'Kit Delivery Status'!$U:$U, 'Kit Delivery Status'!$K:$K) = "Complete", "DELIVERED", XLOOKUP(B251, 'Kit Delivery Status'!$U:$U, 'Kit Delivery Status'!$K:$K) = "Issue", "ISSUE"), "")</f>
        <v/>
      </c>
      <c r="AM251" s="6"/>
    </row>
    <row r="252">
      <c r="A252" s="5" t="s">
        <v>1378</v>
      </c>
      <c r="B252" s="1" t="s">
        <v>1379</v>
      </c>
      <c r="C252" s="1"/>
      <c r="D252" s="2">
        <v>6.46734868E9</v>
      </c>
      <c r="E252" s="1" t="s">
        <v>1380</v>
      </c>
      <c r="F252" s="1" t="s">
        <v>1381</v>
      </c>
      <c r="G252" s="1" t="s">
        <v>1382</v>
      </c>
      <c r="H252" s="1" t="s">
        <v>751</v>
      </c>
      <c r="I252" s="1">
        <v>10583.0</v>
      </c>
      <c r="J252" s="1" t="s">
        <v>752</v>
      </c>
      <c r="K252" s="1" t="s">
        <v>66</v>
      </c>
      <c r="L252" s="1" t="s">
        <v>1340</v>
      </c>
      <c r="M252" s="1">
        <v>210.0</v>
      </c>
      <c r="N252" s="1" t="s">
        <v>1341</v>
      </c>
      <c r="O252" s="3" t="s">
        <v>1383</v>
      </c>
      <c r="P252" s="18">
        <v>45883.0</v>
      </c>
      <c r="Q252" s="1"/>
      <c r="R252" s="1"/>
      <c r="S252" s="1"/>
      <c r="T252" s="1"/>
      <c r="U252" s="1" t="s">
        <v>1324</v>
      </c>
      <c r="V252" s="4" t="s">
        <v>1383</v>
      </c>
      <c r="W252" s="1"/>
      <c r="X252" s="18">
        <v>45883.0</v>
      </c>
      <c r="Y252" s="1"/>
      <c r="Z252" s="1"/>
      <c r="AA252" s="1"/>
      <c r="AB252" s="1"/>
      <c r="AC252" s="1"/>
      <c r="AD252" s="1"/>
      <c r="AE252" s="1"/>
      <c r="AF252" s="1"/>
      <c r="AG252" s="1"/>
      <c r="AH252" s="1"/>
      <c r="AI252" s="1"/>
      <c r="AJ252" s="1"/>
      <c r="AK252" s="1"/>
      <c r="AL252" s="6" t="str">
        <f t="array" ref="AL252">IFERROR(IFS(XLOOKUP(B252, 'Kit Delivery Status'!$U:$U, 'Kit Delivery Status'!$K:$K) = "Complete", "DELIVERED", XLOOKUP(B252, 'Kit Delivery Status'!$U:$U, 'Kit Delivery Status'!$K:$K) = "Issue", "ISSUE"), "")</f>
        <v/>
      </c>
      <c r="AM252" s="6"/>
    </row>
    <row r="253">
      <c r="A253" s="5" t="s">
        <v>1378</v>
      </c>
      <c r="B253" s="1" t="s">
        <v>1379</v>
      </c>
      <c r="C253" s="1"/>
      <c r="D253" s="2">
        <v>6.46734868E9</v>
      </c>
      <c r="E253" s="1" t="s">
        <v>1380</v>
      </c>
      <c r="F253" s="1" t="s">
        <v>1381</v>
      </c>
      <c r="G253" s="1" t="s">
        <v>1382</v>
      </c>
      <c r="H253" s="1" t="s">
        <v>751</v>
      </c>
      <c r="I253" s="1">
        <v>10583.0</v>
      </c>
      <c r="J253" s="1" t="s">
        <v>752</v>
      </c>
      <c r="K253" s="1" t="s">
        <v>75</v>
      </c>
      <c r="L253" s="19" t="s">
        <v>808</v>
      </c>
      <c r="M253" s="1">
        <v>49.0</v>
      </c>
      <c r="N253" s="1" t="s">
        <v>1344</v>
      </c>
      <c r="O253" s="3" t="s">
        <v>1383</v>
      </c>
      <c r="P253" s="18">
        <v>45883.0</v>
      </c>
      <c r="Q253" s="1"/>
      <c r="R253" s="1"/>
      <c r="S253" s="1"/>
      <c r="T253" s="1" t="s">
        <v>52</v>
      </c>
      <c r="U253" s="1" t="s">
        <v>1324</v>
      </c>
      <c r="V253" s="4" t="s">
        <v>1383</v>
      </c>
      <c r="W253" s="1"/>
      <c r="X253" s="18">
        <v>45883.0</v>
      </c>
      <c r="Y253" s="1"/>
      <c r="Z253" s="1" t="s">
        <v>808</v>
      </c>
      <c r="AA253" s="1"/>
      <c r="AB253" s="1" t="s">
        <v>52</v>
      </c>
      <c r="AC253" s="1"/>
      <c r="AD253" s="1" t="s">
        <v>1384</v>
      </c>
      <c r="AE253" s="1"/>
      <c r="AF253" s="1"/>
      <c r="AG253" s="1"/>
      <c r="AH253" s="1"/>
      <c r="AI253" s="1"/>
      <c r="AJ253" s="1"/>
      <c r="AK253" s="1"/>
      <c r="AL253" s="6" t="str">
        <f t="array" ref="AL253">IFERROR(IFS(XLOOKUP(B253, 'Kit Delivery Status'!$U:$U, 'Kit Delivery Status'!$K:$K) = "Complete", "DELIVERED", XLOOKUP(B253, 'Kit Delivery Status'!$U:$U, 'Kit Delivery Status'!$K:$K) = "Issue", "ISSUE"), "")</f>
        <v/>
      </c>
      <c r="AM253" s="6"/>
    </row>
    <row r="254">
      <c r="A254" s="5" t="s">
        <v>1385</v>
      </c>
      <c r="B254" s="1" t="s">
        <v>1386</v>
      </c>
      <c r="C254" s="1" t="s">
        <v>1387</v>
      </c>
      <c r="D254" s="2">
        <v>3.128041544E9</v>
      </c>
      <c r="E254" s="1" t="s">
        <v>1388</v>
      </c>
      <c r="F254" s="1" t="s">
        <v>1389</v>
      </c>
      <c r="G254" s="1" t="s">
        <v>1390</v>
      </c>
      <c r="H254" s="1" t="s">
        <v>1019</v>
      </c>
      <c r="I254" s="1">
        <v>60201.0</v>
      </c>
      <c r="J254" s="1" t="s">
        <v>752</v>
      </c>
      <c r="K254" s="1" t="s">
        <v>66</v>
      </c>
      <c r="L254" s="1" t="s">
        <v>1340</v>
      </c>
      <c r="M254" s="1">
        <v>210.0</v>
      </c>
      <c r="N254" s="1" t="s">
        <v>1341</v>
      </c>
      <c r="O254" s="3" t="s">
        <v>1391</v>
      </c>
      <c r="P254" s="18">
        <v>45883.0</v>
      </c>
      <c r="Q254" s="1"/>
      <c r="R254" s="1"/>
      <c r="S254" s="1"/>
      <c r="T254" s="1"/>
      <c r="U254" s="1" t="s">
        <v>1080</v>
      </c>
      <c r="V254" s="4" t="s">
        <v>1391</v>
      </c>
      <c r="W254" s="1"/>
      <c r="X254" s="18">
        <v>45883.0</v>
      </c>
      <c r="Y254" s="1"/>
      <c r="Z254" s="1"/>
      <c r="AA254" s="1"/>
      <c r="AB254" s="1"/>
      <c r="AC254" s="1"/>
      <c r="AD254" s="1"/>
      <c r="AE254" s="1"/>
      <c r="AF254" s="1"/>
      <c r="AG254" s="1"/>
      <c r="AH254" s="1"/>
      <c r="AI254" s="1"/>
      <c r="AJ254" s="1"/>
      <c r="AK254" s="1"/>
      <c r="AL254" s="6" t="str">
        <f t="array" ref="AL254">IFERROR(IFS(XLOOKUP(B254, 'Kit Delivery Status'!$U:$U, 'Kit Delivery Status'!$K:$K) = "Complete", "DELIVERED", XLOOKUP(B254, 'Kit Delivery Status'!$U:$U, 'Kit Delivery Status'!$K:$K) = "Issue", "ISSUE"), "")</f>
        <v/>
      </c>
      <c r="AM254" s="6"/>
    </row>
    <row r="255">
      <c r="A255" s="5" t="s">
        <v>1392</v>
      </c>
      <c r="B255" s="1" t="s">
        <v>1393</v>
      </c>
      <c r="C255" s="1" t="s">
        <v>1394</v>
      </c>
      <c r="D255" s="2">
        <v>2.014077071E9</v>
      </c>
      <c r="E255" s="1" t="s">
        <v>1395</v>
      </c>
      <c r="F255" s="1" t="s">
        <v>1396</v>
      </c>
      <c r="G255" s="1" t="s">
        <v>1397</v>
      </c>
      <c r="H255" s="1" t="s">
        <v>1053</v>
      </c>
      <c r="I255" s="1">
        <v>7746.0</v>
      </c>
      <c r="J255" s="1" t="s">
        <v>752</v>
      </c>
      <c r="K255" s="1" t="s">
        <v>66</v>
      </c>
      <c r="L255" s="1" t="s">
        <v>1340</v>
      </c>
      <c r="M255" s="1">
        <v>210.0</v>
      </c>
      <c r="N255" s="1" t="s">
        <v>52</v>
      </c>
      <c r="O255" s="3" t="s">
        <v>1398</v>
      </c>
      <c r="P255" s="18">
        <v>45883.0</v>
      </c>
      <c r="Q255" s="1"/>
      <c r="R255" s="1"/>
      <c r="S255" s="1"/>
      <c r="T255" s="1" t="s">
        <v>52</v>
      </c>
      <c r="U255" s="1" t="s">
        <v>1399</v>
      </c>
      <c r="V255" s="4" t="s">
        <v>1398</v>
      </c>
      <c r="W255" s="1"/>
      <c r="X255" s="18">
        <v>45883.0</v>
      </c>
      <c r="Y255" s="1"/>
      <c r="Z255" s="1"/>
      <c r="AA255" s="1"/>
      <c r="AB255" s="1" t="s">
        <v>52</v>
      </c>
      <c r="AC255" s="1"/>
      <c r="AD255" s="1"/>
      <c r="AE255" s="1"/>
      <c r="AF255" s="1"/>
      <c r="AG255" s="1"/>
      <c r="AH255" s="1"/>
      <c r="AI255" s="1"/>
      <c r="AJ255" s="1"/>
      <c r="AK255" s="1"/>
      <c r="AL255" s="6" t="str">
        <f t="array" ref="AL255">IFERROR(IFS(XLOOKUP(B255, 'Kit Delivery Status'!$U:$U, 'Kit Delivery Status'!$K:$K) = "Complete", "DELIVERED", XLOOKUP(B255, 'Kit Delivery Status'!$U:$U, 'Kit Delivery Status'!$K:$K) = "Issue", "ISSUE"), "")</f>
        <v/>
      </c>
      <c r="AM255" s="6"/>
    </row>
    <row r="256">
      <c r="A256" s="5" t="s">
        <v>1400</v>
      </c>
      <c r="B256" s="1" t="s">
        <v>1401</v>
      </c>
      <c r="C256" s="1" t="s">
        <v>1402</v>
      </c>
      <c r="D256" s="2">
        <v>1.9173480983E10</v>
      </c>
      <c r="E256" s="1" t="s">
        <v>1403</v>
      </c>
      <c r="F256" s="1" t="s">
        <v>1404</v>
      </c>
      <c r="G256" s="1" t="s">
        <v>1405</v>
      </c>
      <c r="H256" s="1" t="s">
        <v>751</v>
      </c>
      <c r="I256" s="1">
        <v>11753.0</v>
      </c>
      <c r="J256" s="1" t="s">
        <v>752</v>
      </c>
      <c r="K256" s="1" t="s">
        <v>75</v>
      </c>
      <c r="L256" s="19" t="s">
        <v>808</v>
      </c>
      <c r="M256" s="1">
        <v>49.0</v>
      </c>
      <c r="N256" s="1" t="s">
        <v>1344</v>
      </c>
      <c r="O256" s="3" t="s">
        <v>1406</v>
      </c>
      <c r="P256" s="18">
        <v>45887.0</v>
      </c>
      <c r="Q256" s="1"/>
      <c r="R256" s="1"/>
      <c r="S256" s="1"/>
      <c r="T256" s="1" t="s">
        <v>52</v>
      </c>
      <c r="U256" s="1" t="s">
        <v>1407</v>
      </c>
      <c r="V256" s="4" t="s">
        <v>1406</v>
      </c>
      <c r="W256" s="1"/>
      <c r="X256" s="18">
        <v>45887.0</v>
      </c>
      <c r="Y256" s="1"/>
      <c r="Z256" s="1" t="s">
        <v>808</v>
      </c>
      <c r="AA256" s="1"/>
      <c r="AB256" s="1" t="s">
        <v>52</v>
      </c>
      <c r="AC256" s="1"/>
      <c r="AD256" s="1" t="s">
        <v>1408</v>
      </c>
      <c r="AE256" s="1"/>
      <c r="AF256" s="1"/>
      <c r="AG256" s="1"/>
      <c r="AH256" s="1"/>
      <c r="AI256" s="1"/>
      <c r="AJ256" s="1"/>
      <c r="AK256" s="1"/>
      <c r="AL256" s="6" t="str">
        <f t="array" ref="AL256">IFERROR(IFS(XLOOKUP(B256, 'Kit Delivery Status'!$U:$U, 'Kit Delivery Status'!$K:$K) = "Complete", "DELIVERED", XLOOKUP(B256, 'Kit Delivery Status'!$U:$U, 'Kit Delivery Status'!$K:$K) = "Issue", "ISSUE"), "")</f>
        <v/>
      </c>
      <c r="AM256" s="6"/>
    </row>
    <row r="257">
      <c r="A257" s="5" t="s">
        <v>1409</v>
      </c>
      <c r="B257" s="1" t="s">
        <v>1410</v>
      </c>
      <c r="C257" s="1" t="s">
        <v>1411</v>
      </c>
      <c r="D257" s="2">
        <v>3.109229448E9</v>
      </c>
      <c r="E257" s="1" t="s">
        <v>1412</v>
      </c>
      <c r="F257" s="1" t="s">
        <v>1413</v>
      </c>
      <c r="G257" s="1" t="s">
        <v>1179</v>
      </c>
      <c r="H257" s="1" t="s">
        <v>989</v>
      </c>
      <c r="I257" s="1">
        <v>90049.0</v>
      </c>
      <c r="J257" s="1" t="s">
        <v>752</v>
      </c>
      <c r="K257" s="1" t="s">
        <v>51</v>
      </c>
      <c r="L257" s="1" t="s">
        <v>1152</v>
      </c>
      <c r="M257" s="1">
        <v>1.0</v>
      </c>
      <c r="N257" s="1" t="s">
        <v>1344</v>
      </c>
      <c r="O257" s="3" t="s">
        <v>1414</v>
      </c>
      <c r="P257" s="18">
        <v>45883.0</v>
      </c>
      <c r="Q257" s="1" t="s">
        <v>1030</v>
      </c>
      <c r="R257" s="1"/>
      <c r="S257" s="1"/>
      <c r="T257" s="1" t="s">
        <v>52</v>
      </c>
      <c r="U257" s="1" t="s">
        <v>1415</v>
      </c>
      <c r="V257" s="4" t="s">
        <v>1414</v>
      </c>
      <c r="W257" s="1"/>
      <c r="X257" s="18">
        <v>45883.0</v>
      </c>
      <c r="Y257" s="1" t="s">
        <v>1030</v>
      </c>
      <c r="Z257" s="1"/>
      <c r="AA257" s="1"/>
      <c r="AB257" s="1" t="s">
        <v>52</v>
      </c>
      <c r="AC257" s="1"/>
      <c r="AD257" s="1"/>
      <c r="AE257" s="1"/>
      <c r="AF257" s="1"/>
      <c r="AG257" s="1"/>
      <c r="AH257" s="1"/>
      <c r="AI257" s="1"/>
      <c r="AJ257" s="1"/>
      <c r="AK257" s="1"/>
      <c r="AL257" s="6" t="str">
        <f t="array" ref="AL257">IFERROR(IFS(XLOOKUP(B257, 'Kit Delivery Status'!$U:$U, 'Kit Delivery Status'!$K:$K) = "Complete", "DELIVERED", XLOOKUP(B257, 'Kit Delivery Status'!$U:$U, 'Kit Delivery Status'!$K:$K) = "Issue", "ISSUE"), "")</f>
        <v/>
      </c>
      <c r="AM257" s="6"/>
    </row>
    <row r="258">
      <c r="A258" s="5" t="s">
        <v>1416</v>
      </c>
      <c r="B258" s="1" t="s">
        <v>1417</v>
      </c>
      <c r="C258" s="1" t="s">
        <v>1418</v>
      </c>
      <c r="D258" s="2">
        <v>5.038100524E9</v>
      </c>
      <c r="E258" s="1" t="s">
        <v>1419</v>
      </c>
      <c r="F258" s="1" t="s">
        <v>1420</v>
      </c>
      <c r="G258" s="1" t="s">
        <v>1421</v>
      </c>
      <c r="H258" s="1" t="s">
        <v>1422</v>
      </c>
      <c r="I258" s="1">
        <v>97219.0</v>
      </c>
      <c r="J258" s="1" t="s">
        <v>752</v>
      </c>
      <c r="K258" s="1" t="s">
        <v>66</v>
      </c>
      <c r="L258" s="1" t="s">
        <v>1340</v>
      </c>
      <c r="M258" s="1">
        <v>210.0</v>
      </c>
      <c r="N258" s="1" t="s">
        <v>1341</v>
      </c>
      <c r="O258" s="3" t="s">
        <v>1423</v>
      </c>
      <c r="P258" s="18">
        <v>45883.0</v>
      </c>
      <c r="Q258" s="1"/>
      <c r="R258" s="1"/>
      <c r="S258" s="1"/>
      <c r="T258" s="1"/>
      <c r="U258" s="1" t="s">
        <v>1324</v>
      </c>
      <c r="V258" s="4" t="s">
        <v>1423</v>
      </c>
      <c r="W258" s="1"/>
      <c r="X258" s="18">
        <v>45883.0</v>
      </c>
      <c r="Y258" s="1"/>
      <c r="Z258" s="1"/>
      <c r="AA258" s="1"/>
      <c r="AB258" s="1"/>
      <c r="AC258" s="1"/>
      <c r="AD258" s="1"/>
      <c r="AE258" s="1"/>
      <c r="AF258" s="1"/>
      <c r="AG258" s="1"/>
      <c r="AH258" s="1"/>
      <c r="AI258" s="1"/>
      <c r="AJ258" s="1"/>
      <c r="AK258" s="1"/>
      <c r="AL258" s="6" t="str">
        <f t="array" ref="AL258">IFERROR(IFS(XLOOKUP(B258, 'Kit Delivery Status'!$U:$U, 'Kit Delivery Status'!$K:$K) = "Complete", "DELIVERED", XLOOKUP(B258, 'Kit Delivery Status'!$U:$U, 'Kit Delivery Status'!$K:$K) = "Issue", "ISSUE"), "")</f>
        <v/>
      </c>
      <c r="AM258" s="6"/>
    </row>
    <row r="259">
      <c r="A259" s="5" t="s">
        <v>1424</v>
      </c>
      <c r="B259" s="1" t="s">
        <v>1425</v>
      </c>
      <c r="C259" s="1" t="s">
        <v>1288</v>
      </c>
      <c r="D259" s="2">
        <v>17082505700</v>
      </c>
      <c r="E259" s="1" t="s">
        <v>1426</v>
      </c>
      <c r="F259" s="1" t="s">
        <v>1290</v>
      </c>
      <c r="G259" s="1" t="s">
        <v>1291</v>
      </c>
      <c r="H259" s="1" t="s">
        <v>1019</v>
      </c>
      <c r="I259" s="1">
        <v>60467.0</v>
      </c>
      <c r="J259" s="1" t="s">
        <v>752</v>
      </c>
      <c r="K259" s="1" t="s">
        <v>66</v>
      </c>
      <c r="L259" s="1" t="s">
        <v>1340</v>
      </c>
      <c r="M259" s="1">
        <v>210.0</v>
      </c>
      <c r="N259" s="1" t="s">
        <v>1341</v>
      </c>
      <c r="O259" s="3" t="s">
        <v>1292</v>
      </c>
      <c r="P259" s="18">
        <v>45883.0</v>
      </c>
      <c r="Q259" s="1"/>
      <c r="R259" s="1"/>
      <c r="S259" s="1"/>
      <c r="T259" s="1"/>
      <c r="U259" s="1" t="s">
        <v>1249</v>
      </c>
      <c r="V259" s="4" t="s">
        <v>1292</v>
      </c>
      <c r="W259" s="1"/>
      <c r="X259" s="18">
        <v>45883.0</v>
      </c>
      <c r="Y259" s="1"/>
      <c r="Z259" s="1"/>
      <c r="AA259" s="1"/>
      <c r="AB259" s="1"/>
      <c r="AC259" s="1"/>
      <c r="AD259" s="1"/>
      <c r="AE259" s="1"/>
      <c r="AF259" s="1"/>
      <c r="AG259" s="1"/>
      <c r="AH259" s="1"/>
      <c r="AI259" s="1"/>
      <c r="AJ259" s="1"/>
      <c r="AK259" s="1"/>
      <c r="AL259" s="6" t="str">
        <f t="array" ref="AL259">IFERROR(IFS(XLOOKUP(B259, 'Kit Delivery Status'!$U:$U, 'Kit Delivery Status'!$K:$K) = "Complete", "DELIVERED", XLOOKUP(B259, 'Kit Delivery Status'!$U:$U, 'Kit Delivery Status'!$K:$K) = "Issue", "ISSUE"), "")</f>
        <v/>
      </c>
      <c r="AM259" s="6"/>
    </row>
    <row r="260">
      <c r="A260" s="5" t="s">
        <v>1427</v>
      </c>
      <c r="B260" s="1" t="s">
        <v>1428</v>
      </c>
      <c r="C260" s="1" t="s">
        <v>488</v>
      </c>
      <c r="D260" s="2">
        <v>9.176052406E9</v>
      </c>
      <c r="E260" s="1" t="s">
        <v>1429</v>
      </c>
      <c r="F260" s="1" t="s">
        <v>491</v>
      </c>
      <c r="G260" s="1" t="s">
        <v>1430</v>
      </c>
      <c r="H260" s="1" t="s">
        <v>1053</v>
      </c>
      <c r="I260" s="1">
        <v>7112.0</v>
      </c>
      <c r="J260" s="1" t="s">
        <v>752</v>
      </c>
      <c r="K260" s="1" t="s">
        <v>66</v>
      </c>
      <c r="L260" s="1" t="s">
        <v>1431</v>
      </c>
      <c r="M260" s="1">
        <v>115.0</v>
      </c>
      <c r="N260" s="1" t="s">
        <v>1341</v>
      </c>
      <c r="O260" s="3" t="s">
        <v>1432</v>
      </c>
      <c r="P260" s="18">
        <v>45852.0</v>
      </c>
      <c r="Q260" s="1"/>
      <c r="R260" s="1"/>
      <c r="S260" s="1"/>
      <c r="T260" s="1"/>
      <c r="U260" s="1" t="s">
        <v>1376</v>
      </c>
      <c r="V260" s="4" t="s">
        <v>1432</v>
      </c>
      <c r="W260" s="1"/>
      <c r="X260" s="18">
        <v>45852.0</v>
      </c>
      <c r="Y260" s="1"/>
      <c r="Z260" s="1"/>
      <c r="AA260" s="1"/>
      <c r="AB260" s="1"/>
      <c r="AC260" s="1"/>
      <c r="AD260" s="1"/>
      <c r="AE260" s="1"/>
      <c r="AF260" s="1"/>
      <c r="AG260" s="1"/>
      <c r="AH260" s="1"/>
      <c r="AI260" s="1"/>
      <c r="AJ260" s="1"/>
      <c r="AK260" s="1"/>
      <c r="AL260" s="6" t="str">
        <f t="array" ref="AL260">IFERROR(IFS(XLOOKUP(B260, 'Kit Delivery Status'!$U:$U, 'Kit Delivery Status'!$K:$K) = "Complete", "DELIVERED", XLOOKUP(B260, 'Kit Delivery Status'!$U:$U, 'Kit Delivery Status'!$K:$K) = "Issue", "ISSUE"), "")</f>
        <v/>
      </c>
      <c r="AM260" s="6"/>
    </row>
    <row r="261">
      <c r="A261" s="5" t="s">
        <v>1433</v>
      </c>
      <c r="B261" s="1" t="s">
        <v>1434</v>
      </c>
      <c r="C261" s="1"/>
      <c r="D261" s="2">
        <v>7.046920035E9</v>
      </c>
      <c r="E261" s="1" t="s">
        <v>1435</v>
      </c>
      <c r="F261" s="1" t="s">
        <v>1436</v>
      </c>
      <c r="G261" s="1" t="s">
        <v>1437</v>
      </c>
      <c r="H261" s="1" t="s">
        <v>1438</v>
      </c>
      <c r="I261" s="1">
        <v>28150.0</v>
      </c>
      <c r="J261" s="1" t="s">
        <v>752</v>
      </c>
      <c r="K261" s="1" t="s">
        <v>51</v>
      </c>
      <c r="L261" s="1" t="s">
        <v>1152</v>
      </c>
      <c r="M261" s="1">
        <v>1.0</v>
      </c>
      <c r="N261" s="1" t="s">
        <v>1344</v>
      </c>
      <c r="O261" s="3" t="s">
        <v>1439</v>
      </c>
      <c r="P261" s="18">
        <v>45876.0</v>
      </c>
      <c r="Q261" s="1" t="s">
        <v>1440</v>
      </c>
      <c r="R261" s="1"/>
      <c r="S261" s="1"/>
      <c r="T261" s="1" t="s">
        <v>52</v>
      </c>
      <c r="U261" s="1" t="s">
        <v>1441</v>
      </c>
      <c r="V261" s="4" t="s">
        <v>1439</v>
      </c>
      <c r="W261" s="1"/>
      <c r="X261" s="18">
        <v>45876.0</v>
      </c>
      <c r="Y261" s="1" t="s">
        <v>1440</v>
      </c>
      <c r="Z261" s="1"/>
      <c r="AA261" s="1"/>
      <c r="AB261" s="1" t="s">
        <v>52</v>
      </c>
      <c r="AC261" s="1"/>
      <c r="AD261" s="1"/>
      <c r="AE261" s="1"/>
      <c r="AF261" s="1"/>
      <c r="AG261" s="1"/>
      <c r="AH261" s="1"/>
      <c r="AI261" s="1"/>
      <c r="AJ261" s="1"/>
      <c r="AK261" s="1"/>
      <c r="AL261" s="6" t="str">
        <f t="array" ref="AL261">IFERROR(IFS(XLOOKUP(B261, 'Kit Delivery Status'!$U:$U, 'Kit Delivery Status'!$K:$K) = "Complete", "DELIVERED", XLOOKUP(B261, 'Kit Delivery Status'!$U:$U, 'Kit Delivery Status'!$K:$K) = "Issue", "ISSUE"), "")</f>
        <v/>
      </c>
      <c r="AM261" s="6"/>
    </row>
    <row r="262">
      <c r="A262" s="5" t="s">
        <v>1442</v>
      </c>
      <c r="B262" s="1" t="s">
        <v>1443</v>
      </c>
      <c r="C262" s="1" t="s">
        <v>1394</v>
      </c>
      <c r="D262" s="2">
        <v>1.2014077071E10</v>
      </c>
      <c r="E262" s="1" t="s">
        <v>1395</v>
      </c>
      <c r="F262" s="1" t="s">
        <v>1396</v>
      </c>
      <c r="G262" s="1" t="s">
        <v>1397</v>
      </c>
      <c r="H262" s="1" t="s">
        <v>1053</v>
      </c>
      <c r="I262" s="1">
        <v>7746.0</v>
      </c>
      <c r="J262" s="1" t="s">
        <v>752</v>
      </c>
      <c r="K262" s="1" t="s">
        <v>51</v>
      </c>
      <c r="L262" s="1" t="s">
        <v>1152</v>
      </c>
      <c r="M262" s="1">
        <v>1.0</v>
      </c>
      <c r="N262" s="1" t="s">
        <v>1344</v>
      </c>
      <c r="O262" s="3" t="s">
        <v>1398</v>
      </c>
      <c r="P262" s="18">
        <v>45883.0</v>
      </c>
      <c r="Q262" s="1" t="s">
        <v>1103</v>
      </c>
      <c r="R262" s="1"/>
      <c r="S262" s="1"/>
      <c r="T262" s="1" t="s">
        <v>52</v>
      </c>
      <c r="U262" s="1" t="s">
        <v>1399</v>
      </c>
      <c r="V262" s="4" t="s">
        <v>1398</v>
      </c>
      <c r="W262" s="1"/>
      <c r="X262" s="18">
        <v>45883.0</v>
      </c>
      <c r="Y262" s="1" t="s">
        <v>1103</v>
      </c>
      <c r="Z262" s="1"/>
      <c r="AA262" s="1"/>
      <c r="AB262" s="1" t="s">
        <v>52</v>
      </c>
      <c r="AC262" s="1"/>
      <c r="AD262" s="1"/>
      <c r="AE262" s="1"/>
      <c r="AF262" s="1"/>
      <c r="AG262" s="1"/>
      <c r="AH262" s="1"/>
      <c r="AI262" s="1"/>
      <c r="AJ262" s="1"/>
      <c r="AK262" s="1"/>
      <c r="AL262" s="6" t="str">
        <f t="array" ref="AL262">IFERROR(IFS(XLOOKUP(B262, 'Kit Delivery Status'!$U:$U, 'Kit Delivery Status'!$K:$K) = "Complete", "DELIVERED", XLOOKUP(B262, 'Kit Delivery Status'!$U:$U, 'Kit Delivery Status'!$K:$K) = "Issue", "ISSUE"), "")</f>
        <v/>
      </c>
      <c r="AM262" s="6"/>
    </row>
    <row r="263">
      <c r="A263" s="5" t="s">
        <v>1444</v>
      </c>
      <c r="B263" s="1" t="s">
        <v>1445</v>
      </c>
      <c r="C263" s="1"/>
      <c r="D263" s="2">
        <v>6.176595918E9</v>
      </c>
      <c r="E263" s="1" t="s">
        <v>1446</v>
      </c>
      <c r="F263" s="1" t="s">
        <v>1447</v>
      </c>
      <c r="G263" s="1" t="s">
        <v>1448</v>
      </c>
      <c r="H263" s="1" t="s">
        <v>1121</v>
      </c>
      <c r="I263" s="1">
        <v>2482.0</v>
      </c>
      <c r="J263" s="1" t="s">
        <v>752</v>
      </c>
      <c r="K263" s="1" t="s">
        <v>66</v>
      </c>
      <c r="L263" s="1" t="s">
        <v>1449</v>
      </c>
      <c r="M263" s="1">
        <v>180.0</v>
      </c>
      <c r="N263" s="1" t="s">
        <v>1341</v>
      </c>
      <c r="O263" s="3" t="s">
        <v>1450</v>
      </c>
      <c r="P263" s="18">
        <v>45883.0</v>
      </c>
      <c r="Q263" s="1"/>
      <c r="R263" s="1"/>
      <c r="S263" s="1"/>
      <c r="T263" s="1"/>
      <c r="U263" s="1" t="s">
        <v>956</v>
      </c>
      <c r="V263" s="4" t="s">
        <v>1450</v>
      </c>
      <c r="W263" s="1"/>
      <c r="X263" s="18">
        <v>45883.0</v>
      </c>
      <c r="Y263" s="1"/>
      <c r="Z263" s="1"/>
      <c r="AA263" s="1"/>
      <c r="AB263" s="1"/>
      <c r="AC263" s="1"/>
      <c r="AD263" s="1"/>
      <c r="AE263" s="1"/>
      <c r="AF263" s="1"/>
      <c r="AG263" s="1"/>
      <c r="AH263" s="1"/>
      <c r="AI263" s="1"/>
      <c r="AJ263" s="1"/>
      <c r="AK263" s="1"/>
      <c r="AL263" s="6" t="str">
        <f t="array" ref="AL263">IFERROR(IFS(XLOOKUP(B263, 'Kit Delivery Status'!$U:$U, 'Kit Delivery Status'!$K:$K) = "Complete", "DELIVERED", XLOOKUP(B263, 'Kit Delivery Status'!$U:$U, 'Kit Delivery Status'!$K:$K) = "Issue", "ISSUE"), "")</f>
        <v/>
      </c>
      <c r="AM263" s="6"/>
    </row>
    <row r="264">
      <c r="A264" s="5" t="s">
        <v>1451</v>
      </c>
      <c r="B264" s="1" t="s">
        <v>1452</v>
      </c>
      <c r="C264" s="1"/>
      <c r="D264" s="2">
        <v>6.463198706E9</v>
      </c>
      <c r="E264" s="1" t="s">
        <v>1453</v>
      </c>
      <c r="F264" s="1"/>
      <c r="G264" s="1" t="s">
        <v>1131</v>
      </c>
      <c r="H264" s="1" t="s">
        <v>751</v>
      </c>
      <c r="I264" s="1">
        <v>10538.0</v>
      </c>
      <c r="J264" s="1" t="s">
        <v>752</v>
      </c>
      <c r="K264" s="1" t="s">
        <v>51</v>
      </c>
      <c r="L264" s="1" t="s">
        <v>1152</v>
      </c>
      <c r="M264" s="1">
        <v>1.0</v>
      </c>
      <c r="N264" s="1" t="s">
        <v>52</v>
      </c>
      <c r="O264" s="3" t="s">
        <v>1454</v>
      </c>
      <c r="P264" s="18">
        <v>45882.0</v>
      </c>
      <c r="Q264" s="1" t="s">
        <v>1455</v>
      </c>
      <c r="R264" s="1"/>
      <c r="S264" s="1" t="s">
        <v>52</v>
      </c>
      <c r="T264" s="1" t="s">
        <v>52</v>
      </c>
      <c r="U264" s="1" t="s">
        <v>1456</v>
      </c>
      <c r="V264" s="4" t="s">
        <v>1454</v>
      </c>
      <c r="W264" s="1"/>
      <c r="X264" s="18">
        <v>45882.0</v>
      </c>
      <c r="Y264" s="1" t="s">
        <v>1455</v>
      </c>
      <c r="Z264" s="1"/>
      <c r="AA264" s="1"/>
      <c r="AB264" s="1" t="s">
        <v>52</v>
      </c>
      <c r="AC264" s="1"/>
      <c r="AD264" s="1"/>
      <c r="AE264" s="1"/>
      <c r="AF264" s="1"/>
      <c r="AG264" s="1"/>
      <c r="AH264" s="1"/>
      <c r="AI264" s="1"/>
      <c r="AJ264" s="1"/>
      <c r="AK264" s="1"/>
      <c r="AL264" s="6" t="str">
        <f t="array" ref="AL264">IFERROR(IFS(XLOOKUP(B264, 'Kit Delivery Status'!$U:$U, 'Kit Delivery Status'!$K:$K) = "Complete", "DELIVERED", XLOOKUP(B264, 'Kit Delivery Status'!$U:$U, 'Kit Delivery Status'!$K:$K) = "Issue", "ISSUE"), "")</f>
        <v/>
      </c>
      <c r="AM264" s="6"/>
    </row>
    <row r="265">
      <c r="A265" s="5" t="s">
        <v>1457</v>
      </c>
      <c r="B265" s="1" t="s">
        <v>1458</v>
      </c>
      <c r="C265" s="1" t="s">
        <v>1459</v>
      </c>
      <c r="D265" s="2">
        <v>1.9176897822E10</v>
      </c>
      <c r="E265" s="1" t="s">
        <v>1460</v>
      </c>
      <c r="F265" s="1"/>
      <c r="G265" s="1" t="s">
        <v>751</v>
      </c>
      <c r="H265" s="1" t="s">
        <v>751</v>
      </c>
      <c r="I265" s="1">
        <v>10025.0</v>
      </c>
      <c r="J265" s="1" t="s">
        <v>752</v>
      </c>
      <c r="K265" s="1" t="s">
        <v>66</v>
      </c>
      <c r="L265" s="1" t="s">
        <v>1340</v>
      </c>
      <c r="M265" s="1">
        <v>210.0</v>
      </c>
      <c r="N265" s="1"/>
      <c r="O265" s="3" t="s">
        <v>1461</v>
      </c>
      <c r="P265" s="18">
        <v>45883.0</v>
      </c>
      <c r="Q265" s="1"/>
      <c r="R265" s="1"/>
      <c r="S265" s="1"/>
      <c r="T265" s="1"/>
      <c r="U265" s="1" t="s">
        <v>1174</v>
      </c>
      <c r="V265" s="4" t="s">
        <v>1461</v>
      </c>
      <c r="W265" s="1"/>
      <c r="X265" s="18">
        <v>45883.0</v>
      </c>
      <c r="Y265" s="1"/>
      <c r="Z265" s="1"/>
      <c r="AA265" s="1"/>
      <c r="AB265" s="1"/>
      <c r="AC265" s="1"/>
      <c r="AD265" s="1"/>
      <c r="AE265" s="1"/>
      <c r="AF265" s="1"/>
      <c r="AG265" s="1"/>
      <c r="AH265" s="1"/>
      <c r="AI265" s="1"/>
      <c r="AJ265" s="1"/>
      <c r="AK265" s="1"/>
      <c r="AL265" s="6" t="str">
        <f t="array" ref="AL265">IFERROR(IFS(XLOOKUP(B265, 'Kit Delivery Status'!$U:$U, 'Kit Delivery Status'!$K:$K) = "Complete", "DELIVERED", XLOOKUP(B265, 'Kit Delivery Status'!$U:$U, 'Kit Delivery Status'!$K:$K) = "Issue", "ISSUE"), "")</f>
        <v/>
      </c>
      <c r="AM265" s="6"/>
    </row>
    <row r="266">
      <c r="A266" s="5" t="s">
        <v>1457</v>
      </c>
      <c r="B266" s="1" t="s">
        <v>1458</v>
      </c>
      <c r="C266" s="1" t="s">
        <v>1459</v>
      </c>
      <c r="D266" s="2">
        <v>1.9176897822E10</v>
      </c>
      <c r="E266" s="1" t="s">
        <v>1460</v>
      </c>
      <c r="F266" s="1"/>
      <c r="G266" s="1" t="s">
        <v>751</v>
      </c>
      <c r="H266" s="1" t="s">
        <v>751</v>
      </c>
      <c r="I266" s="1">
        <v>10025.0</v>
      </c>
      <c r="J266" s="1" t="s">
        <v>752</v>
      </c>
      <c r="K266" s="1" t="s">
        <v>75</v>
      </c>
      <c r="L266" s="19" t="s">
        <v>808</v>
      </c>
      <c r="M266" s="1">
        <v>49.0</v>
      </c>
      <c r="N266" s="1" t="s">
        <v>52</v>
      </c>
      <c r="O266" s="3" t="s">
        <v>1461</v>
      </c>
      <c r="P266" s="18">
        <v>45883.0</v>
      </c>
      <c r="Q266" s="1"/>
      <c r="R266" s="1"/>
      <c r="S266" s="1" t="s">
        <v>52</v>
      </c>
      <c r="T266" s="1" t="s">
        <v>52</v>
      </c>
      <c r="U266" s="1" t="s">
        <v>1174</v>
      </c>
      <c r="V266" s="4" t="s">
        <v>1461</v>
      </c>
      <c r="W266" s="1"/>
      <c r="X266" s="18">
        <v>45883.0</v>
      </c>
      <c r="Y266" s="1"/>
      <c r="Z266" s="1" t="s">
        <v>808</v>
      </c>
      <c r="AA266" s="1"/>
      <c r="AB266" s="1" t="s">
        <v>52</v>
      </c>
      <c r="AC266" s="1"/>
      <c r="AD266" s="1" t="s">
        <v>1462</v>
      </c>
      <c r="AE266" s="1"/>
      <c r="AF266" s="1"/>
      <c r="AG266" s="1"/>
      <c r="AH266" s="1"/>
      <c r="AI266" s="1"/>
      <c r="AJ266" s="1"/>
      <c r="AK266" s="1"/>
      <c r="AL266" s="6" t="str">
        <f t="array" ref="AL266">IFERROR(IFS(XLOOKUP(B266, 'Kit Delivery Status'!$U:$U, 'Kit Delivery Status'!$K:$K) = "Complete", "DELIVERED", XLOOKUP(B266, 'Kit Delivery Status'!$U:$U, 'Kit Delivery Status'!$K:$K) = "Issue", "ISSUE"), "")</f>
        <v/>
      </c>
      <c r="AM266" s="6"/>
    </row>
    <row r="267">
      <c r="A267" s="5" t="s">
        <v>1463</v>
      </c>
      <c r="B267" s="1" t="s">
        <v>1464</v>
      </c>
      <c r="C267" s="1" t="s">
        <v>1465</v>
      </c>
      <c r="D267" s="2">
        <v>8.622122755E9</v>
      </c>
      <c r="E267" s="1" t="s">
        <v>1466</v>
      </c>
      <c r="F267" s="1"/>
      <c r="G267" s="1" t="s">
        <v>1467</v>
      </c>
      <c r="H267" s="1" t="s">
        <v>1053</v>
      </c>
      <c r="I267" s="1">
        <v>7039.0</v>
      </c>
      <c r="J267" s="1" t="s">
        <v>752</v>
      </c>
      <c r="K267" s="1" t="s">
        <v>75</v>
      </c>
      <c r="L267" s="19" t="s">
        <v>808</v>
      </c>
      <c r="M267" s="1">
        <v>49.0</v>
      </c>
      <c r="N267" s="1" t="s">
        <v>52</v>
      </c>
      <c r="O267" s="3" t="s">
        <v>1468</v>
      </c>
      <c r="P267" s="18">
        <v>45883.0</v>
      </c>
      <c r="Q267" s="1"/>
      <c r="R267" s="1"/>
      <c r="S267" s="1" t="s">
        <v>52</v>
      </c>
      <c r="T267" s="1" t="s">
        <v>52</v>
      </c>
      <c r="U267" s="1" t="s">
        <v>1039</v>
      </c>
      <c r="V267" s="4" t="s">
        <v>1468</v>
      </c>
      <c r="W267" s="1"/>
      <c r="X267" s="18">
        <v>45883.0</v>
      </c>
      <c r="Y267" s="1"/>
      <c r="Z267" s="1" t="s">
        <v>808</v>
      </c>
      <c r="AA267" s="1"/>
      <c r="AB267" s="1" t="s">
        <v>52</v>
      </c>
      <c r="AC267" s="1"/>
      <c r="AD267" s="1" t="s">
        <v>1469</v>
      </c>
      <c r="AE267" s="1"/>
      <c r="AF267" s="1"/>
      <c r="AG267" s="1"/>
      <c r="AH267" s="1"/>
      <c r="AI267" s="1"/>
      <c r="AJ267" s="1"/>
      <c r="AK267" s="1"/>
      <c r="AL267" s="6" t="str">
        <f t="array" ref="AL267">IFERROR(IFS(XLOOKUP(B267, 'Kit Delivery Status'!$U:$U, 'Kit Delivery Status'!$K:$K) = "Complete", "DELIVERED", XLOOKUP(B267, 'Kit Delivery Status'!$U:$U, 'Kit Delivery Status'!$K:$K) = "Issue", "ISSUE"), "")</f>
        <v/>
      </c>
      <c r="AM267" s="6"/>
    </row>
    <row r="268">
      <c r="A268" s="5" t="s">
        <v>1470</v>
      </c>
      <c r="B268" s="1" t="s">
        <v>1471</v>
      </c>
      <c r="C268" s="1" t="s">
        <v>1472</v>
      </c>
      <c r="D268" s="2">
        <v>6.502247807E9</v>
      </c>
      <c r="E268" s="1" t="s">
        <v>1473</v>
      </c>
      <c r="F268" s="1"/>
      <c r="G268" s="1" t="s">
        <v>1474</v>
      </c>
      <c r="H268" s="1" t="s">
        <v>989</v>
      </c>
      <c r="I268" s="1">
        <v>94022.0</v>
      </c>
      <c r="J268" s="1" t="s">
        <v>752</v>
      </c>
      <c r="K268" s="1" t="s">
        <v>66</v>
      </c>
      <c r="L268" s="1" t="s">
        <v>1431</v>
      </c>
      <c r="M268" s="1">
        <v>115.0</v>
      </c>
      <c r="N268" s="1"/>
      <c r="O268" s="3" t="s">
        <v>1475</v>
      </c>
      <c r="P268" s="18">
        <v>45883.0</v>
      </c>
      <c r="Q268" s="1"/>
      <c r="R268" s="1"/>
      <c r="S268" s="1"/>
      <c r="T268" s="1"/>
      <c r="U268" s="1" t="s">
        <v>1148</v>
      </c>
      <c r="V268" s="4" t="s">
        <v>1475</v>
      </c>
      <c r="W268" s="1"/>
      <c r="X268" s="18">
        <v>45883.0</v>
      </c>
      <c r="Y268" s="1"/>
      <c r="Z268" s="1"/>
      <c r="AA268" s="1"/>
      <c r="AB268" s="1"/>
      <c r="AC268" s="1"/>
      <c r="AD268" s="1"/>
      <c r="AE268" s="1"/>
      <c r="AF268" s="1"/>
      <c r="AG268" s="1"/>
      <c r="AH268" s="1"/>
      <c r="AI268" s="1"/>
      <c r="AJ268" s="1"/>
      <c r="AK268" s="1"/>
      <c r="AL268" s="6" t="str">
        <f t="array" ref="AL268">IFERROR(IFS(XLOOKUP(B268, 'Kit Delivery Status'!$U:$U, 'Kit Delivery Status'!$K:$K) = "Complete", "DELIVERED", XLOOKUP(B268, 'Kit Delivery Status'!$U:$U, 'Kit Delivery Status'!$K:$K) = "Issue", "ISSUE"), "")</f>
        <v/>
      </c>
      <c r="AM268" s="6"/>
    </row>
    <row r="269">
      <c r="A269" s="5" t="s">
        <v>1476</v>
      </c>
      <c r="B269" s="1" t="s">
        <v>1477</v>
      </c>
      <c r="C269" s="1" t="s">
        <v>1478</v>
      </c>
      <c r="D269" s="2">
        <v>9.176131752E9</v>
      </c>
      <c r="E269" s="1" t="s">
        <v>1479</v>
      </c>
      <c r="F269" s="1"/>
      <c r="G269" s="1" t="s">
        <v>1480</v>
      </c>
      <c r="H269" s="1" t="s">
        <v>751</v>
      </c>
      <c r="I269" s="1">
        <v>11557.0</v>
      </c>
      <c r="J269" s="1" t="s">
        <v>752</v>
      </c>
      <c r="K269" s="1" t="s">
        <v>75</v>
      </c>
      <c r="L269" s="19" t="s">
        <v>808</v>
      </c>
      <c r="M269" s="1">
        <v>49.0</v>
      </c>
      <c r="N269" s="1" t="s">
        <v>52</v>
      </c>
      <c r="O269" s="3" t="s">
        <v>293</v>
      </c>
      <c r="P269" s="18">
        <v>45883.0</v>
      </c>
      <c r="Q269" s="1"/>
      <c r="R269" s="1"/>
      <c r="S269" s="1" t="s">
        <v>52</v>
      </c>
      <c r="T269" s="1" t="s">
        <v>52</v>
      </c>
      <c r="U269" s="1" t="s">
        <v>1080</v>
      </c>
      <c r="V269" s="4" t="s">
        <v>293</v>
      </c>
      <c r="W269" s="1"/>
      <c r="X269" s="18">
        <v>45883.0</v>
      </c>
      <c r="Y269" s="1"/>
      <c r="Z269" s="1" t="s">
        <v>808</v>
      </c>
      <c r="AA269" s="1"/>
      <c r="AB269" s="1" t="s">
        <v>52</v>
      </c>
      <c r="AC269" s="1"/>
      <c r="AD269" s="1" t="s">
        <v>1481</v>
      </c>
      <c r="AE269" s="1"/>
      <c r="AF269" s="1"/>
      <c r="AG269" s="1"/>
      <c r="AH269" s="1"/>
      <c r="AI269" s="1"/>
      <c r="AJ269" s="1"/>
      <c r="AK269" s="1"/>
      <c r="AL269" s="6" t="str">
        <f t="array" ref="AL269">IFERROR(IFS(XLOOKUP(B269, 'Kit Delivery Status'!$U:$U, 'Kit Delivery Status'!$K:$K) = "Complete", "DELIVERED", XLOOKUP(B269, 'Kit Delivery Status'!$U:$U, 'Kit Delivery Status'!$K:$K) = "Issue", "ISSUE"), "")</f>
        <v/>
      </c>
      <c r="AM269" s="6"/>
    </row>
    <row r="270">
      <c r="A270" s="5" t="s">
        <v>1482</v>
      </c>
      <c r="B270" s="1" t="s">
        <v>1483</v>
      </c>
      <c r="C270" s="1"/>
      <c r="D270" s="2">
        <v>9.143296359E9</v>
      </c>
      <c r="E270" s="1" t="s">
        <v>1484</v>
      </c>
      <c r="F270" s="1"/>
      <c r="G270" s="1" t="s">
        <v>1485</v>
      </c>
      <c r="H270" s="1" t="s">
        <v>751</v>
      </c>
      <c r="I270" s="1">
        <v>10591.0</v>
      </c>
      <c r="J270" s="1" t="s">
        <v>752</v>
      </c>
      <c r="K270" s="1" t="s">
        <v>75</v>
      </c>
      <c r="L270" s="19" t="s">
        <v>808</v>
      </c>
      <c r="M270" s="1">
        <v>49.0</v>
      </c>
      <c r="N270" s="1" t="s">
        <v>52</v>
      </c>
      <c r="O270" s="3" t="s">
        <v>1486</v>
      </c>
      <c r="P270" s="18">
        <v>45883.0</v>
      </c>
      <c r="Q270" s="1"/>
      <c r="R270" s="1"/>
      <c r="S270" s="1" t="s">
        <v>52</v>
      </c>
      <c r="T270" s="1" t="s">
        <v>52</v>
      </c>
      <c r="U270" s="1" t="s">
        <v>1487</v>
      </c>
      <c r="V270" s="4" t="s">
        <v>1486</v>
      </c>
      <c r="W270" s="1"/>
      <c r="X270" s="18">
        <v>45883.0</v>
      </c>
      <c r="Y270" s="1"/>
      <c r="Z270" s="1" t="s">
        <v>808</v>
      </c>
      <c r="AA270" s="1"/>
      <c r="AB270" s="1" t="s">
        <v>52</v>
      </c>
      <c r="AC270" s="1"/>
      <c r="AD270" s="1" t="s">
        <v>1488</v>
      </c>
      <c r="AE270" s="1"/>
      <c r="AF270" s="1"/>
      <c r="AG270" s="1"/>
      <c r="AH270" s="1"/>
      <c r="AI270" s="1"/>
      <c r="AJ270" s="1"/>
      <c r="AK270" s="1"/>
      <c r="AL270" s="6" t="str">
        <f t="array" ref="AL270">IFERROR(IFS(XLOOKUP(B270, 'Kit Delivery Status'!$U:$U, 'Kit Delivery Status'!$K:$K) = "Complete", "DELIVERED", XLOOKUP(B270, 'Kit Delivery Status'!$U:$U, 'Kit Delivery Status'!$K:$K) = "Issue", "ISSUE"), "")</f>
        <v/>
      </c>
      <c r="AM270" s="6"/>
    </row>
    <row r="271">
      <c r="A271" s="5" t="s">
        <v>1489</v>
      </c>
      <c r="B271" s="1" t="s">
        <v>1490</v>
      </c>
      <c r="C271" s="1"/>
      <c r="D271" s="2">
        <v>1.6787360144E10</v>
      </c>
      <c r="E271" s="1" t="s">
        <v>1491</v>
      </c>
      <c r="F271" s="1"/>
      <c r="G271" s="1" t="s">
        <v>1492</v>
      </c>
      <c r="H271" s="1" t="s">
        <v>946</v>
      </c>
      <c r="I271" s="1">
        <v>30338.0</v>
      </c>
      <c r="J271" s="1" t="s">
        <v>752</v>
      </c>
      <c r="K271" s="1" t="s">
        <v>95</v>
      </c>
      <c r="L271" s="1" t="s">
        <v>1361</v>
      </c>
      <c r="M271" s="1">
        <v>49.0</v>
      </c>
      <c r="N271" s="1" t="s">
        <v>52</v>
      </c>
      <c r="O271" s="3" t="s">
        <v>1493</v>
      </c>
      <c r="P271" s="18">
        <v>45883.0</v>
      </c>
      <c r="Q271" s="1" t="s">
        <v>1455</v>
      </c>
      <c r="R271" s="1"/>
      <c r="S271" s="1" t="s">
        <v>52</v>
      </c>
      <c r="T271" s="1" t="s">
        <v>52</v>
      </c>
      <c r="U271" s="1" t="s">
        <v>956</v>
      </c>
      <c r="V271" s="4" t="s">
        <v>1493</v>
      </c>
      <c r="W271" s="1"/>
      <c r="X271" s="18">
        <v>45883.0</v>
      </c>
      <c r="Y271" s="1" t="s">
        <v>1455</v>
      </c>
      <c r="Z271" s="1"/>
      <c r="AA271" s="1"/>
      <c r="AB271" s="1" t="s">
        <v>52</v>
      </c>
      <c r="AC271" s="1" t="s">
        <v>1494</v>
      </c>
      <c r="AD271" s="1"/>
      <c r="AE271" s="1"/>
      <c r="AF271" s="1"/>
      <c r="AG271" s="1"/>
      <c r="AH271" s="1"/>
      <c r="AI271" s="1"/>
      <c r="AJ271" s="1"/>
      <c r="AK271" s="1"/>
      <c r="AL271" s="6" t="str">
        <f t="array" ref="AL271">IFERROR(IFS(XLOOKUP(B271, 'Kit Delivery Status'!$U:$U, 'Kit Delivery Status'!$K:$K) = "Complete", "DELIVERED", XLOOKUP(B271, 'Kit Delivery Status'!$U:$U, 'Kit Delivery Status'!$K:$K) = "Issue", "ISSUE"), "")</f>
        <v/>
      </c>
      <c r="AM271" s="6"/>
    </row>
    <row r="272">
      <c r="A272" s="5" t="s">
        <v>1495</v>
      </c>
      <c r="B272" s="1" t="s">
        <v>1496</v>
      </c>
      <c r="C272" s="1" t="s">
        <v>1497</v>
      </c>
      <c r="D272" s="2">
        <v>5.169455306E9</v>
      </c>
      <c r="E272" s="1" t="s">
        <v>1498</v>
      </c>
      <c r="F272" s="1"/>
      <c r="G272" s="1" t="s">
        <v>1499</v>
      </c>
      <c r="H272" s="1" t="s">
        <v>751</v>
      </c>
      <c r="I272" s="1">
        <v>11576.0</v>
      </c>
      <c r="J272" s="1" t="s">
        <v>752</v>
      </c>
      <c r="K272" s="1" t="s">
        <v>66</v>
      </c>
      <c r="L272" s="1" t="s">
        <v>1340</v>
      </c>
      <c r="M272" s="1">
        <v>210.0</v>
      </c>
      <c r="N272" s="1"/>
      <c r="O272" s="3" t="s">
        <v>1500</v>
      </c>
      <c r="P272" s="18">
        <v>45883.0</v>
      </c>
      <c r="Q272" s="1"/>
      <c r="R272" s="1"/>
      <c r="S272" s="1"/>
      <c r="T272" s="1"/>
      <c r="U272" s="1" t="s">
        <v>1487</v>
      </c>
      <c r="V272" s="4" t="s">
        <v>1500</v>
      </c>
      <c r="W272" s="1"/>
      <c r="X272" s="18">
        <v>45883.0</v>
      </c>
      <c r="Y272" s="1"/>
      <c r="Z272" s="1"/>
      <c r="AA272" s="1"/>
      <c r="AB272" s="1"/>
      <c r="AC272" s="1"/>
      <c r="AD272" s="1"/>
      <c r="AE272" s="1"/>
      <c r="AF272" s="1"/>
      <c r="AG272" s="1"/>
      <c r="AH272" s="1"/>
      <c r="AI272" s="1"/>
      <c r="AJ272" s="1"/>
      <c r="AK272" s="1"/>
      <c r="AL272" s="6" t="str">
        <f t="array" ref="AL272">IFERROR(IFS(XLOOKUP(B272, 'Kit Delivery Status'!$U:$U, 'Kit Delivery Status'!$K:$K) = "Complete", "DELIVERED", XLOOKUP(B272, 'Kit Delivery Status'!$U:$U, 'Kit Delivery Status'!$K:$K) = "Issue", "ISSUE"), "")</f>
        <v/>
      </c>
      <c r="AM272" s="6"/>
    </row>
    <row r="273">
      <c r="A273" s="5" t="s">
        <v>1495</v>
      </c>
      <c r="B273" s="1" t="s">
        <v>1496</v>
      </c>
      <c r="C273" s="1" t="s">
        <v>1497</v>
      </c>
      <c r="D273" s="2">
        <v>5.169455306E9</v>
      </c>
      <c r="E273" s="1" t="s">
        <v>1498</v>
      </c>
      <c r="F273" s="1"/>
      <c r="G273" s="1" t="s">
        <v>1499</v>
      </c>
      <c r="H273" s="1" t="s">
        <v>751</v>
      </c>
      <c r="I273" s="1">
        <v>11576.0</v>
      </c>
      <c r="J273" s="1" t="s">
        <v>752</v>
      </c>
      <c r="K273" s="1" t="s">
        <v>75</v>
      </c>
      <c r="L273" s="19" t="s">
        <v>808</v>
      </c>
      <c r="M273" s="1">
        <v>49.0</v>
      </c>
      <c r="N273" s="1" t="s">
        <v>52</v>
      </c>
      <c r="O273" s="3" t="s">
        <v>1500</v>
      </c>
      <c r="P273" s="18">
        <v>45883.0</v>
      </c>
      <c r="Q273" s="1"/>
      <c r="R273" s="1"/>
      <c r="S273" s="1" t="s">
        <v>52</v>
      </c>
      <c r="T273" s="1" t="s">
        <v>52</v>
      </c>
      <c r="U273" s="1" t="s">
        <v>1487</v>
      </c>
      <c r="V273" s="4" t="s">
        <v>1500</v>
      </c>
      <c r="W273" s="1"/>
      <c r="X273" s="18">
        <v>45883.0</v>
      </c>
      <c r="Y273" s="1"/>
      <c r="Z273" s="1" t="s">
        <v>808</v>
      </c>
      <c r="AA273" s="1"/>
      <c r="AB273" s="1" t="s">
        <v>52</v>
      </c>
      <c r="AC273" s="1"/>
      <c r="AD273" s="1" t="s">
        <v>1501</v>
      </c>
      <c r="AE273" s="1"/>
      <c r="AF273" s="1"/>
      <c r="AG273" s="1"/>
      <c r="AH273" s="1"/>
      <c r="AI273" s="1"/>
      <c r="AJ273" s="1"/>
      <c r="AK273" s="1"/>
      <c r="AL273" s="6" t="str">
        <f t="array" ref="AL273">IFERROR(IFS(XLOOKUP(B273, 'Kit Delivery Status'!$U:$U, 'Kit Delivery Status'!$K:$K) = "Complete", "DELIVERED", XLOOKUP(B273, 'Kit Delivery Status'!$U:$U, 'Kit Delivery Status'!$K:$K) = "Issue", "ISSUE"), "")</f>
        <v/>
      </c>
      <c r="AM273" s="6"/>
    </row>
    <row r="274">
      <c r="A274" s="5" t="s">
        <v>1502</v>
      </c>
      <c r="B274" s="1" t="s">
        <v>1503</v>
      </c>
      <c r="C274" s="1" t="s">
        <v>1504</v>
      </c>
      <c r="D274" s="2">
        <v>1.5033604485E10</v>
      </c>
      <c r="E274" s="1" t="s">
        <v>1505</v>
      </c>
      <c r="F274" s="1" t="s">
        <v>1506</v>
      </c>
      <c r="G274" s="1" t="s">
        <v>1421</v>
      </c>
      <c r="H274" s="1" t="s">
        <v>1422</v>
      </c>
      <c r="I274" s="1">
        <v>97229.0</v>
      </c>
      <c r="J274" s="1" t="s">
        <v>752</v>
      </c>
      <c r="K274" s="1" t="s">
        <v>95</v>
      </c>
      <c r="L274" s="1" t="s">
        <v>1361</v>
      </c>
      <c r="M274" s="1">
        <v>49.0</v>
      </c>
      <c r="N274" s="1" t="s">
        <v>52</v>
      </c>
      <c r="O274" s="3" t="s">
        <v>258</v>
      </c>
      <c r="P274" s="18">
        <v>45883.0</v>
      </c>
      <c r="Q274" s="1" t="s">
        <v>1030</v>
      </c>
      <c r="R274" s="1"/>
      <c r="S274" s="1" t="s">
        <v>52</v>
      </c>
      <c r="T274" s="1" t="s">
        <v>52</v>
      </c>
      <c r="U274" s="1" t="s">
        <v>102</v>
      </c>
      <c r="V274" s="4" t="s">
        <v>258</v>
      </c>
      <c r="W274" s="1"/>
      <c r="X274" s="18">
        <v>45883.0</v>
      </c>
      <c r="Y274" s="1" t="s">
        <v>1030</v>
      </c>
      <c r="Z274" s="1"/>
      <c r="AA274" s="1"/>
      <c r="AB274" s="1" t="s">
        <v>52</v>
      </c>
      <c r="AC274" s="1" t="s">
        <v>1507</v>
      </c>
      <c r="AD274" s="1"/>
      <c r="AE274" s="18"/>
      <c r="AF274" s="18"/>
      <c r="AG274" s="18"/>
      <c r="AH274" s="18"/>
      <c r="AI274" s="18"/>
      <c r="AJ274" s="18"/>
      <c r="AK274" s="18"/>
      <c r="AL274" s="6" t="str">
        <f t="array" ref="AL274">IFERROR(IFS(XLOOKUP(B274, 'Kit Delivery Status'!$U:$U, 'Kit Delivery Status'!$K:$K) = "Complete", "DELIVERED", XLOOKUP(B274, 'Kit Delivery Status'!$U:$U, 'Kit Delivery Status'!$K:$K) = "Issue", "ISSUE"), "")</f>
        <v/>
      </c>
      <c r="AM274" s="6"/>
    </row>
    <row r="275">
      <c r="A275" s="5" t="s">
        <v>1508</v>
      </c>
      <c r="B275" s="1" t="s">
        <v>1509</v>
      </c>
      <c r="C275" s="1" t="s">
        <v>1510</v>
      </c>
      <c r="D275" s="2">
        <v>6.504683885E9</v>
      </c>
      <c r="E275" s="1" t="s">
        <v>1511</v>
      </c>
      <c r="F275" s="1" t="s">
        <v>1512</v>
      </c>
      <c r="G275" s="1" t="s">
        <v>1131</v>
      </c>
      <c r="H275" s="1" t="s">
        <v>751</v>
      </c>
      <c r="I275" s="1" t="s">
        <v>1513</v>
      </c>
      <c r="J275" s="1" t="s">
        <v>752</v>
      </c>
      <c r="K275" s="1" t="s">
        <v>75</v>
      </c>
      <c r="L275" s="19" t="s">
        <v>808</v>
      </c>
      <c r="M275" s="1">
        <v>49.0</v>
      </c>
      <c r="N275" s="1" t="s">
        <v>52</v>
      </c>
      <c r="O275" s="3" t="s">
        <v>1132</v>
      </c>
      <c r="P275" s="18">
        <v>45883.0</v>
      </c>
      <c r="Q275" s="1"/>
      <c r="R275" s="1"/>
      <c r="S275" s="1" t="s">
        <v>52</v>
      </c>
      <c r="T275" s="1" t="s">
        <v>52</v>
      </c>
      <c r="U275" s="1" t="s">
        <v>1133</v>
      </c>
      <c r="V275" s="4" t="s">
        <v>1132</v>
      </c>
      <c r="W275" s="1"/>
      <c r="X275" s="18">
        <v>45883.0</v>
      </c>
      <c r="Y275" s="1"/>
      <c r="Z275" s="1" t="s">
        <v>808</v>
      </c>
      <c r="AA275" s="1"/>
      <c r="AB275" s="1" t="s">
        <v>52</v>
      </c>
      <c r="AC275" s="1"/>
      <c r="AD275" s="1" t="s">
        <v>1514</v>
      </c>
      <c r="AE275" s="18"/>
      <c r="AF275" s="18"/>
      <c r="AG275" s="18"/>
      <c r="AH275" s="18"/>
      <c r="AI275" s="18"/>
      <c r="AJ275" s="18"/>
      <c r="AK275" s="18"/>
      <c r="AL275" s="6" t="str">
        <f t="array" ref="AL275">IFERROR(IFS(XLOOKUP(B275, 'Kit Delivery Status'!$U:$U, 'Kit Delivery Status'!$K:$K) = "Complete", "DELIVERED", XLOOKUP(B275, 'Kit Delivery Status'!$U:$U, 'Kit Delivery Status'!$K:$K) = "Issue", "ISSUE"), "")</f>
        <v/>
      </c>
      <c r="AM275" s="6"/>
    </row>
    <row r="276">
      <c r="A276" s="5" t="s">
        <v>1515</v>
      </c>
      <c r="B276" s="1" t="s">
        <v>1516</v>
      </c>
      <c r="C276" s="1" t="s">
        <v>1517</v>
      </c>
      <c r="D276" s="2">
        <v>4.087698958E9</v>
      </c>
      <c r="E276" s="1" t="s">
        <v>1518</v>
      </c>
      <c r="F276" s="1" t="s">
        <v>1519</v>
      </c>
      <c r="G276" s="1" t="s">
        <v>1520</v>
      </c>
      <c r="H276" s="1" t="s">
        <v>989</v>
      </c>
      <c r="I276" s="1">
        <v>94086.0</v>
      </c>
      <c r="J276" s="1" t="s">
        <v>752</v>
      </c>
      <c r="K276" s="1" t="s">
        <v>95</v>
      </c>
      <c r="L276" s="1" t="s">
        <v>1361</v>
      </c>
      <c r="M276" s="1">
        <v>49.0</v>
      </c>
      <c r="N276" s="1" t="s">
        <v>52</v>
      </c>
      <c r="O276" s="3" t="s">
        <v>1521</v>
      </c>
      <c r="P276" s="18">
        <v>45883.0</v>
      </c>
      <c r="Q276" s="1" t="s">
        <v>1030</v>
      </c>
      <c r="R276" s="1"/>
      <c r="S276" s="1" t="s">
        <v>52</v>
      </c>
      <c r="T276" s="1" t="s">
        <v>52</v>
      </c>
      <c r="U276" s="1" t="s">
        <v>1522</v>
      </c>
      <c r="V276" s="4" t="s">
        <v>1521</v>
      </c>
      <c r="W276" s="1"/>
      <c r="X276" s="18">
        <v>45883.0</v>
      </c>
      <c r="Y276" s="1" t="s">
        <v>1030</v>
      </c>
      <c r="Z276" s="1"/>
      <c r="AA276" s="1"/>
      <c r="AB276" s="1" t="s">
        <v>52</v>
      </c>
      <c r="AC276" s="1" t="s">
        <v>1523</v>
      </c>
      <c r="AD276" s="1"/>
      <c r="AE276" s="18"/>
      <c r="AF276" s="18"/>
      <c r="AG276" s="18"/>
      <c r="AH276" s="18"/>
      <c r="AI276" s="18"/>
      <c r="AJ276" s="18"/>
      <c r="AK276" s="18"/>
      <c r="AL276" s="6" t="str">
        <f t="array" ref="AL276">IFERROR(IFS(XLOOKUP(B276, 'Kit Delivery Status'!$U:$U, 'Kit Delivery Status'!$K:$K) = "Complete", "DELIVERED", XLOOKUP(B276, 'Kit Delivery Status'!$U:$U, 'Kit Delivery Status'!$K:$K) = "Issue", "ISSUE"), "")</f>
        <v/>
      </c>
      <c r="AM276" s="6"/>
    </row>
    <row r="277">
      <c r="A277" s="5" t="s">
        <v>1524</v>
      </c>
      <c r="B277" s="1" t="s">
        <v>1525</v>
      </c>
      <c r="C277" s="1" t="s">
        <v>1526</v>
      </c>
      <c r="D277" s="2">
        <v>9.176737555E9</v>
      </c>
      <c r="E277" s="1" t="s">
        <v>1527</v>
      </c>
      <c r="F277" s="1"/>
      <c r="G277" s="1" t="s">
        <v>1528</v>
      </c>
      <c r="H277" s="1" t="s">
        <v>1053</v>
      </c>
      <c r="I277" s="1">
        <v>7631.0</v>
      </c>
      <c r="J277" s="1" t="s">
        <v>752</v>
      </c>
      <c r="K277" s="1" t="s">
        <v>75</v>
      </c>
      <c r="L277" s="19" t="s">
        <v>808</v>
      </c>
      <c r="M277" s="1">
        <v>49.0</v>
      </c>
      <c r="N277" s="1" t="s">
        <v>52</v>
      </c>
      <c r="O277" s="3" t="s">
        <v>353</v>
      </c>
      <c r="P277" s="18">
        <v>45883.0</v>
      </c>
      <c r="Q277" s="1"/>
      <c r="R277" s="1"/>
      <c r="S277" s="1" t="s">
        <v>52</v>
      </c>
      <c r="T277" s="1" t="s">
        <v>52</v>
      </c>
      <c r="U277" s="1" t="s">
        <v>956</v>
      </c>
      <c r="V277" s="4" t="s">
        <v>353</v>
      </c>
      <c r="W277" s="1"/>
      <c r="X277" s="18">
        <v>45883.0</v>
      </c>
      <c r="Y277" s="1"/>
      <c r="Z277" s="1" t="s">
        <v>808</v>
      </c>
      <c r="AA277" s="1"/>
      <c r="AB277" s="1" t="s">
        <v>52</v>
      </c>
      <c r="AC277" s="1"/>
      <c r="AD277" s="1" t="s">
        <v>1529</v>
      </c>
      <c r="AE277" s="18"/>
      <c r="AF277" s="18"/>
      <c r="AG277" s="18"/>
      <c r="AH277" s="18"/>
      <c r="AI277" s="18"/>
      <c r="AJ277" s="18"/>
      <c r="AK277" s="18"/>
      <c r="AL277" s="6" t="str">
        <f t="array" ref="AL277">IFERROR(IFS(XLOOKUP(B277, 'Kit Delivery Status'!$U:$U, 'Kit Delivery Status'!$K:$K) = "Complete", "DELIVERED", XLOOKUP(B277, 'Kit Delivery Status'!$U:$U, 'Kit Delivery Status'!$K:$K) = "Issue", "ISSUE"), "")</f>
        <v/>
      </c>
      <c r="AM277" s="6"/>
    </row>
    <row r="278">
      <c r="A278" s="5" t="s">
        <v>1530</v>
      </c>
      <c r="B278" s="1" t="s">
        <v>1531</v>
      </c>
      <c r="C278" s="1" t="s">
        <v>1532</v>
      </c>
      <c r="D278" s="2">
        <v>2.152871001E9</v>
      </c>
      <c r="E278" s="1" t="s">
        <v>1533</v>
      </c>
      <c r="F278" s="1"/>
      <c r="G278" s="1" t="s">
        <v>1534</v>
      </c>
      <c r="H278" s="1" t="s">
        <v>1535</v>
      </c>
      <c r="I278" s="1">
        <v>85258.0</v>
      </c>
      <c r="J278" s="1" t="s">
        <v>752</v>
      </c>
      <c r="K278" s="1" t="s">
        <v>66</v>
      </c>
      <c r="L278" s="1" t="s">
        <v>1355</v>
      </c>
      <c r="M278" s="1">
        <v>145.0</v>
      </c>
      <c r="N278" s="1"/>
      <c r="O278" s="3" t="s">
        <v>1536</v>
      </c>
      <c r="P278" s="18">
        <v>45883.0</v>
      </c>
      <c r="Q278" s="1"/>
      <c r="R278" s="1"/>
      <c r="S278" s="1"/>
      <c r="T278" s="1"/>
      <c r="U278" s="1" t="s">
        <v>1537</v>
      </c>
      <c r="V278" s="4" t="s">
        <v>1536</v>
      </c>
      <c r="W278" s="1"/>
      <c r="X278" s="18">
        <v>45883.0</v>
      </c>
      <c r="Y278" s="1"/>
      <c r="Z278" s="1"/>
      <c r="AA278" s="1"/>
      <c r="AB278" s="1"/>
      <c r="AC278" s="1"/>
      <c r="AD278" s="1"/>
      <c r="AE278" s="18"/>
      <c r="AF278" s="18"/>
      <c r="AG278" s="18"/>
      <c r="AH278" s="18"/>
      <c r="AI278" s="18"/>
      <c r="AJ278" s="18"/>
      <c r="AK278" s="18"/>
      <c r="AL278" s="6" t="str">
        <f t="array" ref="AL278">IFERROR(IFS(XLOOKUP(B278, 'Kit Delivery Status'!$U:$U, 'Kit Delivery Status'!$K:$K) = "Complete", "DELIVERED", XLOOKUP(B278, 'Kit Delivery Status'!$U:$U, 'Kit Delivery Status'!$K:$K) = "Issue", "ISSUE"), "")</f>
        <v/>
      </c>
      <c r="AM278" s="6"/>
    </row>
    <row r="279">
      <c r="A279" s="5" t="s">
        <v>1538</v>
      </c>
      <c r="B279" s="1" t="s">
        <v>1539</v>
      </c>
      <c r="C279" s="1" t="s">
        <v>1540</v>
      </c>
      <c r="D279" s="2">
        <v>6.504749188E9</v>
      </c>
      <c r="E279" s="1" t="s">
        <v>1541</v>
      </c>
      <c r="F279" s="1"/>
      <c r="G279" s="1" t="s">
        <v>1542</v>
      </c>
      <c r="H279" s="1" t="s">
        <v>989</v>
      </c>
      <c r="I279" s="1">
        <v>94028.0</v>
      </c>
      <c r="J279" s="1" t="s">
        <v>752</v>
      </c>
      <c r="K279" s="1" t="s">
        <v>66</v>
      </c>
      <c r="L279" s="1" t="s">
        <v>1340</v>
      </c>
      <c r="M279" s="1">
        <v>210.0</v>
      </c>
      <c r="N279" s="1"/>
      <c r="O279" s="3" t="s">
        <v>1543</v>
      </c>
      <c r="P279" s="18">
        <v>45883.0</v>
      </c>
      <c r="Q279" s="1"/>
      <c r="R279" s="1"/>
      <c r="S279" s="1"/>
      <c r="T279" s="1"/>
      <c r="U279" s="1" t="s">
        <v>1080</v>
      </c>
      <c r="V279" s="4" t="s">
        <v>1543</v>
      </c>
      <c r="W279" s="1"/>
      <c r="X279" s="18">
        <v>45883.0</v>
      </c>
      <c r="Y279" s="1"/>
      <c r="Z279" s="1"/>
      <c r="AA279" s="1"/>
      <c r="AB279" s="1"/>
      <c r="AC279" s="1"/>
      <c r="AD279" s="1"/>
      <c r="AE279" s="18"/>
      <c r="AF279" s="18"/>
      <c r="AG279" s="18"/>
      <c r="AH279" s="18"/>
      <c r="AI279" s="18"/>
      <c r="AJ279" s="18"/>
      <c r="AK279" s="18"/>
      <c r="AL279" s="6" t="str">
        <f t="array" ref="AL279">IFERROR(IFS(XLOOKUP(B279, 'Kit Delivery Status'!$U:$U, 'Kit Delivery Status'!$K:$K) = "Complete", "DELIVERED", XLOOKUP(B279, 'Kit Delivery Status'!$U:$U, 'Kit Delivery Status'!$K:$K) = "Issue", "ISSUE"), "")</f>
        <v/>
      </c>
      <c r="AM279" s="6"/>
    </row>
    <row r="280">
      <c r="A280" s="5" t="s">
        <v>1544</v>
      </c>
      <c r="B280" s="1" t="s">
        <v>1545</v>
      </c>
      <c r="C280" s="1" t="s">
        <v>1546</v>
      </c>
      <c r="D280" s="2">
        <v>1.7013502434E10</v>
      </c>
      <c r="E280" s="1" t="s">
        <v>1547</v>
      </c>
      <c r="F280" s="1"/>
      <c r="G280" s="1" t="s">
        <v>1548</v>
      </c>
      <c r="H280" s="1" t="s">
        <v>1549</v>
      </c>
      <c r="I280" s="1">
        <v>58301.0</v>
      </c>
      <c r="J280" s="1" t="s">
        <v>752</v>
      </c>
      <c r="K280" s="1" t="s">
        <v>95</v>
      </c>
      <c r="L280" s="1" t="s">
        <v>1361</v>
      </c>
      <c r="M280" s="1">
        <v>49.0</v>
      </c>
      <c r="N280" s="1" t="s">
        <v>52</v>
      </c>
      <c r="O280" s="3" t="s">
        <v>1550</v>
      </c>
      <c r="P280" s="18">
        <v>45883.0</v>
      </c>
      <c r="Q280" s="1" t="s">
        <v>1030</v>
      </c>
      <c r="R280" s="1"/>
      <c r="S280" s="1" t="s">
        <v>52</v>
      </c>
      <c r="T280" s="1" t="s">
        <v>52</v>
      </c>
      <c r="U280" s="1" t="s">
        <v>1080</v>
      </c>
      <c r="V280" s="4" t="s">
        <v>1550</v>
      </c>
      <c r="W280" s="1"/>
      <c r="X280" s="18">
        <v>45883.0</v>
      </c>
      <c r="Y280" s="1" t="s">
        <v>1030</v>
      </c>
      <c r="Z280" s="1"/>
      <c r="AA280" s="1"/>
      <c r="AB280" s="1" t="s">
        <v>52</v>
      </c>
      <c r="AC280" s="1" t="s">
        <v>1551</v>
      </c>
      <c r="AD280" s="1"/>
      <c r="AE280" s="18"/>
      <c r="AF280" s="18"/>
      <c r="AG280" s="18"/>
      <c r="AH280" s="18"/>
      <c r="AI280" s="18"/>
      <c r="AJ280" s="18"/>
      <c r="AK280" s="18"/>
      <c r="AL280" s="6" t="str">
        <f t="array" ref="AL280">IFERROR(IFS(XLOOKUP(B280, 'Kit Delivery Status'!$U:$U, 'Kit Delivery Status'!$K:$K) = "Complete", "DELIVERED", XLOOKUP(B280, 'Kit Delivery Status'!$U:$U, 'Kit Delivery Status'!$K:$K) = "Issue", "ISSUE"), "")</f>
        <v/>
      </c>
      <c r="AM280" s="6"/>
    </row>
    <row r="281">
      <c r="A281" s="5" t="s">
        <v>1552</v>
      </c>
      <c r="B281" s="1" t="s">
        <v>1553</v>
      </c>
      <c r="C281" s="1" t="s">
        <v>1554</v>
      </c>
      <c r="D281" s="2">
        <v>6.504005711E9</v>
      </c>
      <c r="E281" s="1" t="s">
        <v>1555</v>
      </c>
      <c r="F281" s="1"/>
      <c r="G281" s="1" t="s">
        <v>1556</v>
      </c>
      <c r="H281" s="1" t="s">
        <v>989</v>
      </c>
      <c r="I281" s="1">
        <v>94024.0</v>
      </c>
      <c r="J281" s="1" t="s">
        <v>752</v>
      </c>
      <c r="K281" s="1" t="s">
        <v>66</v>
      </c>
      <c r="L281" s="1" t="s">
        <v>1340</v>
      </c>
      <c r="M281" s="1">
        <v>210.0</v>
      </c>
      <c r="N281" s="1"/>
      <c r="O281" s="3" t="s">
        <v>1557</v>
      </c>
      <c r="P281" s="18">
        <v>45883.0</v>
      </c>
      <c r="Q281" s="1"/>
      <c r="R281" s="1"/>
      <c r="S281" s="1"/>
      <c r="T281" s="1"/>
      <c r="U281" s="1" t="s">
        <v>982</v>
      </c>
      <c r="V281" s="4" t="s">
        <v>1557</v>
      </c>
      <c r="W281" s="1"/>
      <c r="X281" s="18">
        <v>45883.0</v>
      </c>
      <c r="Y281" s="1"/>
      <c r="Z281" s="1"/>
      <c r="AA281" s="1"/>
      <c r="AB281" s="1"/>
      <c r="AC281" s="1"/>
      <c r="AD281" s="1"/>
      <c r="AE281" s="18"/>
      <c r="AF281" s="18"/>
      <c r="AG281" s="18"/>
      <c r="AH281" s="18"/>
      <c r="AI281" s="18"/>
      <c r="AJ281" s="18"/>
      <c r="AK281" s="18"/>
      <c r="AL281" s="6" t="str">
        <f t="array" ref="AL281">IFERROR(IFS(XLOOKUP(B281, 'Kit Delivery Status'!$U:$U, 'Kit Delivery Status'!$K:$K) = "Complete", "DELIVERED", XLOOKUP(B281, 'Kit Delivery Status'!$U:$U, 'Kit Delivery Status'!$K:$K) = "Issue", "ISSUE"), "")</f>
        <v/>
      </c>
      <c r="AM281" s="6"/>
    </row>
    <row r="282">
      <c r="A282" s="5" t="s">
        <v>1558</v>
      </c>
      <c r="B282" s="1" t="s">
        <v>1559</v>
      </c>
      <c r="C282" s="1" t="s">
        <v>1560</v>
      </c>
      <c r="D282" s="2">
        <v>4.155399004E9</v>
      </c>
      <c r="E282" s="1" t="s">
        <v>1561</v>
      </c>
      <c r="F282" s="1"/>
      <c r="G282" s="1" t="s">
        <v>1562</v>
      </c>
      <c r="H282" s="1" t="s">
        <v>989</v>
      </c>
      <c r="I282" s="1">
        <v>94114.0</v>
      </c>
      <c r="J282" s="1" t="s">
        <v>752</v>
      </c>
      <c r="K282" s="1" t="s">
        <v>95</v>
      </c>
      <c r="L282" s="1" t="s">
        <v>1361</v>
      </c>
      <c r="M282" s="1">
        <v>49.0</v>
      </c>
      <c r="N282" s="1" t="s">
        <v>52</v>
      </c>
      <c r="O282" s="3" t="s">
        <v>1563</v>
      </c>
      <c r="P282" s="18">
        <v>45883.0</v>
      </c>
      <c r="Q282" s="1" t="s">
        <v>1030</v>
      </c>
      <c r="R282" s="1"/>
      <c r="S282" s="1" t="s">
        <v>52</v>
      </c>
      <c r="T282" s="1" t="s">
        <v>52</v>
      </c>
      <c r="U282" s="1" t="s">
        <v>1039</v>
      </c>
      <c r="V282" s="4" t="s">
        <v>1563</v>
      </c>
      <c r="W282" s="1"/>
      <c r="X282" s="18">
        <v>45883.0</v>
      </c>
      <c r="Y282" s="1" t="s">
        <v>1030</v>
      </c>
      <c r="Z282" s="1"/>
      <c r="AA282" s="1"/>
      <c r="AB282" s="1" t="s">
        <v>52</v>
      </c>
      <c r="AC282" s="1" t="s">
        <v>1564</v>
      </c>
      <c r="AD282" s="1"/>
      <c r="AE282" s="18"/>
      <c r="AF282" s="18"/>
      <c r="AG282" s="18"/>
      <c r="AH282" s="18"/>
      <c r="AI282" s="18"/>
      <c r="AJ282" s="18"/>
      <c r="AK282" s="18"/>
      <c r="AL282" s="6" t="str">
        <f t="array" ref="AL282">IFERROR(IFS(XLOOKUP(B282, 'Kit Delivery Status'!$U:$U, 'Kit Delivery Status'!$K:$K) = "Complete", "DELIVERED", XLOOKUP(B282, 'Kit Delivery Status'!$U:$U, 'Kit Delivery Status'!$K:$K) = "Issue", "ISSUE"), "")</f>
        <v/>
      </c>
      <c r="AM282" s="6"/>
    </row>
    <row r="283">
      <c r="A283" s="5" t="s">
        <v>1565</v>
      </c>
      <c r="B283" s="1" t="s">
        <v>1566</v>
      </c>
      <c r="C283" s="1" t="s">
        <v>1567</v>
      </c>
      <c r="D283" s="2">
        <v>2.15435203E9</v>
      </c>
      <c r="E283" s="1" t="s">
        <v>1568</v>
      </c>
      <c r="F283" s="1"/>
      <c r="G283" s="1" t="s">
        <v>1569</v>
      </c>
      <c r="H283" s="1" t="s">
        <v>1233</v>
      </c>
      <c r="I283" s="1">
        <v>19444.0</v>
      </c>
      <c r="J283" s="1" t="s">
        <v>752</v>
      </c>
      <c r="K283" s="1" t="s">
        <v>95</v>
      </c>
      <c r="L283" s="1" t="s">
        <v>1361</v>
      </c>
      <c r="M283" s="1">
        <v>49.0</v>
      </c>
      <c r="N283" s="1" t="s">
        <v>52</v>
      </c>
      <c r="O283" s="3" t="s">
        <v>1570</v>
      </c>
      <c r="P283" s="18">
        <v>45883.0</v>
      </c>
      <c r="Q283" s="1" t="s">
        <v>1030</v>
      </c>
      <c r="R283" s="1"/>
      <c r="S283" s="1" t="s">
        <v>52</v>
      </c>
      <c r="T283" s="1" t="s">
        <v>52</v>
      </c>
      <c r="U283" s="1" t="s">
        <v>1324</v>
      </c>
      <c r="V283" s="4" t="s">
        <v>1570</v>
      </c>
      <c r="W283" s="1"/>
      <c r="X283" s="18">
        <v>45883.0</v>
      </c>
      <c r="Y283" s="1" t="s">
        <v>1030</v>
      </c>
      <c r="Z283" s="1"/>
      <c r="AA283" s="1"/>
      <c r="AB283" s="1" t="s">
        <v>52</v>
      </c>
      <c r="AC283" s="1" t="s">
        <v>1571</v>
      </c>
      <c r="AD283" s="1"/>
      <c r="AE283" s="18"/>
      <c r="AF283" s="18"/>
      <c r="AG283" s="18"/>
      <c r="AH283" s="18"/>
      <c r="AI283" s="18"/>
      <c r="AJ283" s="18"/>
      <c r="AK283" s="18"/>
      <c r="AL283" s="6" t="str">
        <f t="array" ref="AL283">IFERROR(IFS(XLOOKUP(B283, 'Kit Delivery Status'!$U:$U, 'Kit Delivery Status'!$K:$K) = "Complete", "DELIVERED", XLOOKUP(B283, 'Kit Delivery Status'!$U:$U, 'Kit Delivery Status'!$K:$K) = "Issue", "ISSUE"), "")</f>
        <v/>
      </c>
      <c r="AM283" s="6"/>
    </row>
    <row r="284">
      <c r="A284" s="5" t="s">
        <v>1572</v>
      </c>
      <c r="B284" s="1" t="s">
        <v>1573</v>
      </c>
      <c r="C284" s="1" t="s">
        <v>1574</v>
      </c>
      <c r="D284" s="2">
        <v>9.178484128E9</v>
      </c>
      <c r="E284" s="1" t="s">
        <v>1575</v>
      </c>
      <c r="F284" s="1"/>
      <c r="G284" s="1" t="s">
        <v>751</v>
      </c>
      <c r="H284" s="1" t="s">
        <v>751</v>
      </c>
      <c r="I284" s="1">
        <v>10023.0</v>
      </c>
      <c r="J284" s="1" t="s">
        <v>752</v>
      </c>
      <c r="K284" s="1" t="s">
        <v>75</v>
      </c>
      <c r="L284" s="19" t="s">
        <v>808</v>
      </c>
      <c r="M284" s="1">
        <v>49.0</v>
      </c>
      <c r="N284" s="1" t="s">
        <v>52</v>
      </c>
      <c r="O284" s="3" t="s">
        <v>1576</v>
      </c>
      <c r="P284" s="18">
        <v>45852.0</v>
      </c>
      <c r="Q284" s="1"/>
      <c r="R284" s="1"/>
      <c r="S284" s="1" t="s">
        <v>52</v>
      </c>
      <c r="T284" s="1" t="s">
        <v>52</v>
      </c>
      <c r="U284" s="1" t="s">
        <v>1249</v>
      </c>
      <c r="V284" s="4" t="s">
        <v>1576</v>
      </c>
      <c r="W284" s="1"/>
      <c r="X284" s="18">
        <v>45852.0</v>
      </c>
      <c r="Y284" s="1"/>
      <c r="Z284" s="1" t="s">
        <v>808</v>
      </c>
      <c r="AA284" s="1"/>
      <c r="AB284" s="1" t="s">
        <v>52</v>
      </c>
      <c r="AC284" s="1"/>
      <c r="AD284" s="1" t="s">
        <v>1577</v>
      </c>
      <c r="AE284" s="18"/>
      <c r="AF284" s="18"/>
      <c r="AG284" s="18"/>
      <c r="AH284" s="18"/>
      <c r="AI284" s="18"/>
      <c r="AJ284" s="18"/>
      <c r="AK284" s="18"/>
      <c r="AL284" s="6" t="str">
        <f t="array" ref="AL284">IFERROR(IFS(XLOOKUP(B284, 'Kit Delivery Status'!$U:$U, 'Kit Delivery Status'!$K:$K) = "Complete", "DELIVERED", XLOOKUP(B284, 'Kit Delivery Status'!$U:$U, 'Kit Delivery Status'!$K:$K) = "Issue", "ISSUE"), "")</f>
        <v/>
      </c>
      <c r="AM284" s="6"/>
    </row>
    <row r="285">
      <c r="A285" s="5" t="s">
        <v>1578</v>
      </c>
      <c r="B285" s="1" t="s">
        <v>1579</v>
      </c>
      <c r="C285" s="1" t="s">
        <v>1580</v>
      </c>
      <c r="D285" s="2">
        <v>1.5126995645E10</v>
      </c>
      <c r="E285" s="1" t="s">
        <v>1581</v>
      </c>
      <c r="F285" s="1"/>
      <c r="G285" s="1" t="s">
        <v>1582</v>
      </c>
      <c r="H285" s="1" t="s">
        <v>1583</v>
      </c>
      <c r="I285" s="1">
        <v>78731.0</v>
      </c>
      <c r="J285" s="1" t="s">
        <v>752</v>
      </c>
      <c r="K285" s="1" t="s">
        <v>95</v>
      </c>
      <c r="L285" s="1" t="s">
        <v>1361</v>
      </c>
      <c r="M285" s="1">
        <v>49.0</v>
      </c>
      <c r="N285" s="1" t="s">
        <v>52</v>
      </c>
      <c r="O285" s="3" t="s">
        <v>1584</v>
      </c>
      <c r="P285" s="18">
        <v>45883.0</v>
      </c>
      <c r="Q285" s="1" t="s">
        <v>1030</v>
      </c>
      <c r="R285" s="1"/>
      <c r="S285" s="1" t="s">
        <v>52</v>
      </c>
      <c r="T285" s="1" t="s">
        <v>52</v>
      </c>
      <c r="U285" s="1" t="s">
        <v>1487</v>
      </c>
      <c r="V285" s="4" t="s">
        <v>1584</v>
      </c>
      <c r="W285" s="1"/>
      <c r="X285" s="18">
        <v>45883.0</v>
      </c>
      <c r="Y285" s="1" t="s">
        <v>1030</v>
      </c>
      <c r="Z285" s="1"/>
      <c r="AA285" s="1"/>
      <c r="AB285" s="1" t="s">
        <v>52</v>
      </c>
      <c r="AC285" s="1" t="s">
        <v>1585</v>
      </c>
      <c r="AD285" s="1"/>
      <c r="AE285" s="18"/>
      <c r="AF285" s="18"/>
      <c r="AG285" s="18"/>
      <c r="AH285" s="18"/>
      <c r="AI285" s="18"/>
      <c r="AJ285" s="18"/>
      <c r="AK285" s="18"/>
      <c r="AL285" s="6" t="str">
        <f t="array" ref="AL285">IFERROR(IFS(XLOOKUP(B285, 'Kit Delivery Status'!$U:$U, 'Kit Delivery Status'!$K:$K) = "Complete", "DELIVERED", XLOOKUP(B285, 'Kit Delivery Status'!$U:$U, 'Kit Delivery Status'!$K:$K) = "Issue", "ISSUE"), "")</f>
        <v/>
      </c>
      <c r="AM285" s="6"/>
    </row>
    <row r="286">
      <c r="A286" s="5" t="s">
        <v>1586</v>
      </c>
      <c r="B286" s="1" t="s">
        <v>1587</v>
      </c>
      <c r="C286" s="1" t="s">
        <v>1588</v>
      </c>
      <c r="D286" s="2">
        <v>9.192687045E9</v>
      </c>
      <c r="E286" s="1" t="s">
        <v>1589</v>
      </c>
      <c r="F286" s="1"/>
      <c r="G286" s="1" t="s">
        <v>1590</v>
      </c>
      <c r="H286" s="1" t="s">
        <v>1438</v>
      </c>
      <c r="I286" s="1">
        <v>27591.0</v>
      </c>
      <c r="J286" s="1" t="s">
        <v>752</v>
      </c>
      <c r="K286" s="1" t="s">
        <v>95</v>
      </c>
      <c r="L286" s="1" t="s">
        <v>1361</v>
      </c>
      <c r="M286" s="1">
        <v>49.0</v>
      </c>
      <c r="N286" s="1" t="s">
        <v>52</v>
      </c>
      <c r="O286" s="3" t="s">
        <v>1591</v>
      </c>
      <c r="P286" s="18">
        <v>45883.0</v>
      </c>
      <c r="Q286" s="1" t="s">
        <v>1030</v>
      </c>
      <c r="R286" s="1"/>
      <c r="S286" s="1" t="s">
        <v>52</v>
      </c>
      <c r="T286" s="1" t="s">
        <v>52</v>
      </c>
      <c r="U286" s="1" t="s">
        <v>956</v>
      </c>
      <c r="V286" s="4" t="s">
        <v>1591</v>
      </c>
      <c r="W286" s="1"/>
      <c r="X286" s="18">
        <v>45883.0</v>
      </c>
      <c r="Y286" s="1" t="s">
        <v>1030</v>
      </c>
      <c r="Z286" s="1"/>
      <c r="AA286" s="1"/>
      <c r="AB286" s="1" t="s">
        <v>52</v>
      </c>
      <c r="AC286" s="1" t="s">
        <v>1592</v>
      </c>
      <c r="AD286" s="1"/>
      <c r="AE286" s="18"/>
      <c r="AF286" s="18"/>
      <c r="AG286" s="18"/>
      <c r="AH286" s="18"/>
      <c r="AI286" s="18"/>
      <c r="AJ286" s="18"/>
      <c r="AK286" s="18"/>
      <c r="AL286" s="6" t="str">
        <f t="array" ref="AL286">IFERROR(IFS(XLOOKUP(B286, 'Kit Delivery Status'!$U:$U, 'Kit Delivery Status'!$K:$K) = "Complete", "DELIVERED", XLOOKUP(B286, 'Kit Delivery Status'!$U:$U, 'Kit Delivery Status'!$K:$K) = "Issue", "ISSUE"), "")</f>
        <v/>
      </c>
      <c r="AM286" s="6"/>
    </row>
    <row r="287">
      <c r="A287" s="5" t="s">
        <v>1593</v>
      </c>
      <c r="B287" s="1" t="s">
        <v>1594</v>
      </c>
      <c r="C287" s="1" t="s">
        <v>1595</v>
      </c>
      <c r="D287" s="2">
        <v>19014977219</v>
      </c>
      <c r="E287" s="1" t="s">
        <v>1596</v>
      </c>
      <c r="F287" s="1"/>
      <c r="G287" s="1" t="s">
        <v>1597</v>
      </c>
      <c r="H287" s="1" t="s">
        <v>1598</v>
      </c>
      <c r="I287" s="1" t="s">
        <v>1599</v>
      </c>
      <c r="J287" s="1" t="s">
        <v>752</v>
      </c>
      <c r="K287" s="1" t="s">
        <v>66</v>
      </c>
      <c r="L287" s="1" t="s">
        <v>1355</v>
      </c>
      <c r="M287" s="1">
        <v>145.0</v>
      </c>
      <c r="N287" s="1"/>
      <c r="O287" s="3" t="s">
        <v>1600</v>
      </c>
      <c r="P287" s="18">
        <v>45883.0</v>
      </c>
      <c r="Q287" s="1"/>
      <c r="R287" s="1"/>
      <c r="S287" s="1"/>
      <c r="T287" s="1"/>
      <c r="U287" s="1" t="s">
        <v>1537</v>
      </c>
      <c r="V287" s="4" t="s">
        <v>1600</v>
      </c>
      <c r="W287" s="1"/>
      <c r="X287" s="18">
        <v>45883.0</v>
      </c>
      <c r="Y287" s="1"/>
      <c r="Z287" s="1"/>
      <c r="AA287" s="1"/>
      <c r="AB287" s="1"/>
      <c r="AC287" s="1"/>
      <c r="AD287" s="1"/>
      <c r="AE287" s="18"/>
      <c r="AF287" s="18"/>
      <c r="AG287" s="18"/>
      <c r="AH287" s="18"/>
      <c r="AI287" s="18"/>
      <c r="AJ287" s="18"/>
      <c r="AK287" s="18"/>
      <c r="AL287" s="6" t="str">
        <f t="array" ref="AL287">IFERROR(IFS(XLOOKUP(B287, 'Kit Delivery Status'!$U:$U, 'Kit Delivery Status'!$K:$K) = "Complete", "DELIVERED", XLOOKUP(B287, 'Kit Delivery Status'!$U:$U, 'Kit Delivery Status'!$K:$K) = "Issue", "ISSUE"), "")</f>
        <v/>
      </c>
      <c r="AM287" s="6"/>
    </row>
    <row r="288">
      <c r="A288" s="5" t="s">
        <v>1593</v>
      </c>
      <c r="B288" s="1" t="s">
        <v>1594</v>
      </c>
      <c r="C288" s="1" t="s">
        <v>1595</v>
      </c>
      <c r="D288" s="2">
        <v>19014977219</v>
      </c>
      <c r="E288" s="1" t="s">
        <v>1596</v>
      </c>
      <c r="F288" s="1"/>
      <c r="G288" s="1" t="s">
        <v>1597</v>
      </c>
      <c r="H288" s="1" t="s">
        <v>1598</v>
      </c>
      <c r="I288" s="1" t="s">
        <v>1599</v>
      </c>
      <c r="J288" s="1" t="s">
        <v>752</v>
      </c>
      <c r="K288" s="1" t="s">
        <v>95</v>
      </c>
      <c r="L288" s="1" t="s">
        <v>1361</v>
      </c>
      <c r="M288" s="1">
        <v>49.0</v>
      </c>
      <c r="N288" s="1" t="s">
        <v>52</v>
      </c>
      <c r="O288" s="3" t="s">
        <v>1600</v>
      </c>
      <c r="P288" s="18">
        <v>45883.0</v>
      </c>
      <c r="Q288" s="1" t="s">
        <v>1030</v>
      </c>
      <c r="R288" s="1"/>
      <c r="S288" s="1" t="s">
        <v>52</v>
      </c>
      <c r="T288" s="1" t="s">
        <v>52</v>
      </c>
      <c r="U288" s="1" t="s">
        <v>1537</v>
      </c>
      <c r="V288" s="4" t="s">
        <v>1600</v>
      </c>
      <c r="W288" s="1"/>
      <c r="X288" s="18">
        <v>45883.0</v>
      </c>
      <c r="Y288" s="1" t="s">
        <v>1030</v>
      </c>
      <c r="Z288" s="1"/>
      <c r="AA288" s="1"/>
      <c r="AB288" s="1" t="s">
        <v>52</v>
      </c>
      <c r="AC288" s="1" t="s">
        <v>1601</v>
      </c>
      <c r="AD288" s="1"/>
      <c r="AE288" s="18"/>
      <c r="AF288" s="18"/>
      <c r="AG288" s="18"/>
      <c r="AH288" s="18"/>
      <c r="AI288" s="18"/>
      <c r="AJ288" s="18"/>
      <c r="AK288" s="18"/>
      <c r="AL288" s="6" t="str">
        <f t="array" ref="AL288">IFERROR(IFS(XLOOKUP(B288, 'Kit Delivery Status'!$U:$U, 'Kit Delivery Status'!$K:$K) = "Complete", "DELIVERED", XLOOKUP(B288, 'Kit Delivery Status'!$U:$U, 'Kit Delivery Status'!$K:$K) = "Issue", "ISSUE"), "")</f>
        <v/>
      </c>
      <c r="AM288" s="6"/>
    </row>
    <row r="289">
      <c r="A289" s="5" t="s">
        <v>1602</v>
      </c>
      <c r="B289" s="1" t="s">
        <v>1603</v>
      </c>
      <c r="C289" s="1" t="s">
        <v>471</v>
      </c>
      <c r="D289" s="2">
        <v>4.752832419E9</v>
      </c>
      <c r="E289" s="1" t="s">
        <v>473</v>
      </c>
      <c r="F289" s="1"/>
      <c r="G289" s="1" t="s">
        <v>1604</v>
      </c>
      <c r="H289" s="1" t="s">
        <v>1078</v>
      </c>
      <c r="I289" s="1">
        <v>6880.0</v>
      </c>
      <c r="J289" s="1" t="s">
        <v>752</v>
      </c>
      <c r="K289" s="1" t="s">
        <v>66</v>
      </c>
      <c r="L289" s="1" t="s">
        <v>1340</v>
      </c>
      <c r="M289" s="1">
        <v>210.0</v>
      </c>
      <c r="N289" s="1"/>
      <c r="O289" s="3" t="s">
        <v>475</v>
      </c>
      <c r="P289" s="18">
        <v>45883.0</v>
      </c>
      <c r="Q289" s="1"/>
      <c r="R289" s="1"/>
      <c r="S289" s="1"/>
      <c r="T289" s="1"/>
      <c r="U289" s="1" t="s">
        <v>1148</v>
      </c>
      <c r="V289" s="4" t="s">
        <v>475</v>
      </c>
      <c r="W289" s="1"/>
      <c r="X289" s="18">
        <v>45883.0</v>
      </c>
      <c r="Y289" s="1"/>
      <c r="Z289" s="1"/>
      <c r="AA289" s="1"/>
      <c r="AB289" s="1"/>
      <c r="AC289" s="1"/>
      <c r="AD289" s="1"/>
      <c r="AE289" s="18"/>
      <c r="AF289" s="18"/>
      <c r="AG289" s="18"/>
      <c r="AH289" s="18"/>
      <c r="AI289" s="18"/>
      <c r="AJ289" s="18"/>
      <c r="AK289" s="18"/>
      <c r="AL289" s="6" t="str">
        <f t="array" ref="AL289">IFERROR(IFS(XLOOKUP(B289, 'Kit Delivery Status'!$U:$U, 'Kit Delivery Status'!$K:$K) = "Complete", "DELIVERED", XLOOKUP(B289, 'Kit Delivery Status'!$U:$U, 'Kit Delivery Status'!$K:$K) = "Issue", "ISSUE"), "")</f>
        <v/>
      </c>
      <c r="AM289" s="6"/>
    </row>
    <row r="290">
      <c r="A290" s="5" t="s">
        <v>1605</v>
      </c>
      <c r="B290" s="1" t="s">
        <v>1606</v>
      </c>
      <c r="C290" s="1" t="s">
        <v>1607</v>
      </c>
      <c r="D290" s="2">
        <v>3.46221826E9</v>
      </c>
      <c r="E290" s="1" t="s">
        <v>1608</v>
      </c>
      <c r="F290" s="1"/>
      <c r="G290" s="1" t="s">
        <v>1609</v>
      </c>
      <c r="H290" s="1" t="s">
        <v>1583</v>
      </c>
      <c r="I290" s="1">
        <v>77057.0</v>
      </c>
      <c r="J290" s="1" t="s">
        <v>752</v>
      </c>
      <c r="K290" s="1" t="s">
        <v>51</v>
      </c>
      <c r="L290" s="1" t="s">
        <v>1152</v>
      </c>
      <c r="M290" s="1">
        <v>1.0</v>
      </c>
      <c r="N290" s="1" t="s">
        <v>52</v>
      </c>
      <c r="O290" s="3" t="s">
        <v>1610</v>
      </c>
      <c r="P290" s="18">
        <v>45883.0</v>
      </c>
      <c r="Q290" s="1" t="s">
        <v>1440</v>
      </c>
      <c r="R290" s="1"/>
      <c r="S290" s="1" t="s">
        <v>52</v>
      </c>
      <c r="T290" s="1" t="s">
        <v>52</v>
      </c>
      <c r="U290" s="1" t="s">
        <v>1167</v>
      </c>
      <c r="V290" s="4" t="s">
        <v>1610</v>
      </c>
      <c r="W290" s="1"/>
      <c r="X290" s="18">
        <v>45883.0</v>
      </c>
      <c r="Y290" s="1" t="s">
        <v>1440</v>
      </c>
      <c r="Z290" s="1"/>
      <c r="AA290" s="1"/>
      <c r="AB290" s="1" t="s">
        <v>52</v>
      </c>
      <c r="AC290" s="1"/>
      <c r="AD290" s="1"/>
      <c r="AE290" s="18"/>
      <c r="AF290" s="18"/>
      <c r="AG290" s="18"/>
      <c r="AH290" s="18"/>
      <c r="AI290" s="18"/>
      <c r="AJ290" s="18"/>
      <c r="AK290" s="18"/>
      <c r="AL290" s="6" t="str">
        <f t="array" ref="AL290">IFERROR(IFS(XLOOKUP(B290, 'Kit Delivery Status'!$U:$U, 'Kit Delivery Status'!$K:$K) = "Complete", "DELIVERED", XLOOKUP(B290, 'Kit Delivery Status'!$U:$U, 'Kit Delivery Status'!$K:$K) = "Issue", "ISSUE"), "")</f>
        <v/>
      </c>
      <c r="AM290" s="6"/>
    </row>
    <row r="291">
      <c r="A291" s="5" t="s">
        <v>1611</v>
      </c>
      <c r="B291" s="1" t="s">
        <v>1612</v>
      </c>
      <c r="C291" s="1" t="s">
        <v>1613</v>
      </c>
      <c r="D291" s="2">
        <v>7.862013823E9</v>
      </c>
      <c r="E291" s="1" t="s">
        <v>1614</v>
      </c>
      <c r="F291" s="1"/>
      <c r="G291" s="1" t="s">
        <v>1615</v>
      </c>
      <c r="H291" s="1" t="s">
        <v>1616</v>
      </c>
      <c r="I291" s="1">
        <v>3748.0</v>
      </c>
      <c r="J291" s="1" t="s">
        <v>752</v>
      </c>
      <c r="K291" s="1" t="s">
        <v>75</v>
      </c>
      <c r="L291" s="19" t="s">
        <v>808</v>
      </c>
      <c r="M291" s="1">
        <v>49.0</v>
      </c>
      <c r="N291" s="1" t="s">
        <v>52</v>
      </c>
      <c r="O291" s="3" t="s">
        <v>258</v>
      </c>
      <c r="P291" s="18">
        <v>45882.0</v>
      </c>
      <c r="Q291" s="1"/>
      <c r="R291" s="1"/>
      <c r="S291" s="1" t="s">
        <v>52</v>
      </c>
      <c r="T291" s="1" t="s">
        <v>52</v>
      </c>
      <c r="U291" s="1" t="s">
        <v>102</v>
      </c>
      <c r="V291" s="4" t="s">
        <v>258</v>
      </c>
      <c r="W291" s="1"/>
      <c r="X291" s="18">
        <v>45882.0</v>
      </c>
      <c r="Y291" s="1"/>
      <c r="Z291" s="1" t="s">
        <v>808</v>
      </c>
      <c r="AA291" s="1"/>
      <c r="AB291" s="1" t="s">
        <v>52</v>
      </c>
      <c r="AC291" s="1"/>
      <c r="AD291" s="1" t="s">
        <v>1617</v>
      </c>
      <c r="AE291" s="18"/>
      <c r="AF291" s="18"/>
      <c r="AG291" s="18"/>
      <c r="AH291" s="18"/>
      <c r="AI291" s="18"/>
      <c r="AJ291" s="18"/>
      <c r="AK291" s="18"/>
      <c r="AL291" s="6" t="str">
        <f t="array" ref="AL291">IFERROR(IFS(XLOOKUP(B291, 'Kit Delivery Status'!$U:$U, 'Kit Delivery Status'!$K:$K) = "Complete", "DELIVERED", XLOOKUP(B291, 'Kit Delivery Status'!$U:$U, 'Kit Delivery Status'!$K:$K) = "Issue", "ISSUE"), "")</f>
        <v/>
      </c>
      <c r="AM291" s="6"/>
    </row>
    <row r="292">
      <c r="A292" s="5" t="s">
        <v>1618</v>
      </c>
      <c r="B292" s="1" t="s">
        <v>1619</v>
      </c>
      <c r="C292" s="1"/>
      <c r="D292" s="2">
        <v>1.3016029939E10</v>
      </c>
      <c r="E292" s="1" t="s">
        <v>1620</v>
      </c>
      <c r="F292" s="1"/>
      <c r="G292" s="1" t="s">
        <v>1621</v>
      </c>
      <c r="H292" s="1" t="s">
        <v>1005</v>
      </c>
      <c r="I292" s="1" t="s">
        <v>1622</v>
      </c>
      <c r="J292" s="1" t="s">
        <v>752</v>
      </c>
      <c r="K292" s="1" t="s">
        <v>95</v>
      </c>
      <c r="L292" s="1" t="s">
        <v>1361</v>
      </c>
      <c r="M292" s="1">
        <v>49.0</v>
      </c>
      <c r="N292" s="1" t="s">
        <v>52</v>
      </c>
      <c r="O292" s="3" t="s">
        <v>1623</v>
      </c>
      <c r="P292" s="18">
        <v>45883.0</v>
      </c>
      <c r="Q292" s="1" t="s">
        <v>1030</v>
      </c>
      <c r="R292" s="1"/>
      <c r="S292" s="1" t="s">
        <v>52</v>
      </c>
      <c r="T292" s="1" t="s">
        <v>52</v>
      </c>
      <c r="U292" s="1" t="s">
        <v>1277</v>
      </c>
      <c r="V292" s="4" t="s">
        <v>1623</v>
      </c>
      <c r="W292" s="1"/>
      <c r="X292" s="18">
        <v>45883.0</v>
      </c>
      <c r="Y292" s="1" t="s">
        <v>1030</v>
      </c>
      <c r="Z292" s="1"/>
      <c r="AA292" s="1"/>
      <c r="AB292" s="1" t="s">
        <v>52</v>
      </c>
      <c r="AC292" s="1" t="s">
        <v>1624</v>
      </c>
      <c r="AD292" s="1"/>
      <c r="AE292" s="18"/>
      <c r="AF292" s="18"/>
      <c r="AG292" s="18"/>
      <c r="AH292" s="18"/>
      <c r="AI292" s="18"/>
      <c r="AJ292" s="18"/>
      <c r="AK292" s="18"/>
      <c r="AL292" s="6" t="str">
        <f t="array" ref="AL292">IFERROR(IFS(XLOOKUP(B292, 'Kit Delivery Status'!$U:$U, 'Kit Delivery Status'!$K:$K) = "Complete", "DELIVERED", XLOOKUP(B292, 'Kit Delivery Status'!$U:$U, 'Kit Delivery Status'!$K:$K) = "Issue", "ISSUE"), "")</f>
        <v/>
      </c>
      <c r="AM292" s="6"/>
    </row>
    <row r="293">
      <c r="A293" s="5" t="s">
        <v>1625</v>
      </c>
      <c r="B293" s="1" t="s">
        <v>1626</v>
      </c>
      <c r="C293" s="1" t="s">
        <v>1627</v>
      </c>
      <c r="D293" s="2">
        <v>6.503092445E9</v>
      </c>
      <c r="E293" s="1" t="s">
        <v>1628</v>
      </c>
      <c r="F293" s="1"/>
      <c r="G293" s="1" t="s">
        <v>1474</v>
      </c>
      <c r="H293" s="1" t="s">
        <v>989</v>
      </c>
      <c r="I293" s="1">
        <v>94024.0</v>
      </c>
      <c r="J293" s="1" t="s">
        <v>752</v>
      </c>
      <c r="K293" s="1" t="s">
        <v>51</v>
      </c>
      <c r="L293" s="1" t="s">
        <v>1152</v>
      </c>
      <c r="M293" s="1">
        <v>1.0</v>
      </c>
      <c r="N293" s="1" t="s">
        <v>52</v>
      </c>
      <c r="O293" s="3" t="s">
        <v>1629</v>
      </c>
      <c r="P293" s="18">
        <v>45883.0</v>
      </c>
      <c r="Q293" s="1" t="s">
        <v>1630</v>
      </c>
      <c r="R293" s="1"/>
      <c r="S293" s="1" t="s">
        <v>52</v>
      </c>
      <c r="T293" s="1" t="s">
        <v>52</v>
      </c>
      <c r="U293" s="1" t="s">
        <v>1407</v>
      </c>
      <c r="V293" s="4" t="s">
        <v>1629</v>
      </c>
      <c r="W293" s="1"/>
      <c r="X293" s="18">
        <v>45883.0</v>
      </c>
      <c r="Y293" s="1" t="s">
        <v>1630</v>
      </c>
      <c r="Z293" s="1"/>
      <c r="AA293" s="1"/>
      <c r="AB293" s="1" t="s">
        <v>52</v>
      </c>
      <c r="AC293" s="1"/>
      <c r="AD293" s="1"/>
      <c r="AE293" s="18"/>
      <c r="AF293" s="18"/>
      <c r="AG293" s="18"/>
      <c r="AH293" s="18"/>
      <c r="AI293" s="18"/>
      <c r="AJ293" s="18"/>
      <c r="AK293" s="18"/>
      <c r="AL293" s="6" t="str">
        <f t="array" ref="AL293">IFERROR(IFS(XLOOKUP(B293, 'Kit Delivery Status'!$U:$U, 'Kit Delivery Status'!$K:$K) = "Complete", "DELIVERED", XLOOKUP(B293, 'Kit Delivery Status'!$U:$U, 'Kit Delivery Status'!$K:$K) = "Issue", "ISSUE"), "")</f>
        <v/>
      </c>
      <c r="AM293" s="6"/>
    </row>
    <row r="294">
      <c r="A294" s="5" t="s">
        <v>1631</v>
      </c>
      <c r="B294" s="1" t="s">
        <v>1632</v>
      </c>
      <c r="C294" s="1"/>
      <c r="D294" s="2">
        <v>7.732945882E9</v>
      </c>
      <c r="E294" s="1" t="s">
        <v>1633</v>
      </c>
      <c r="F294" s="1"/>
      <c r="G294" s="1" t="s">
        <v>1634</v>
      </c>
      <c r="H294" s="1" t="s">
        <v>1019</v>
      </c>
      <c r="I294" s="1">
        <v>60015.0</v>
      </c>
      <c r="J294" s="1" t="s">
        <v>752</v>
      </c>
      <c r="K294" s="1" t="s">
        <v>66</v>
      </c>
      <c r="L294" s="1" t="s">
        <v>1431</v>
      </c>
      <c r="M294" s="1">
        <v>115.0</v>
      </c>
      <c r="N294" s="1"/>
      <c r="O294" s="3" t="s">
        <v>1635</v>
      </c>
      <c r="P294" s="18">
        <v>45883.0</v>
      </c>
      <c r="Q294" s="1"/>
      <c r="R294" s="1"/>
      <c r="S294" s="1"/>
      <c r="T294" s="1"/>
      <c r="U294" s="1" t="s">
        <v>1133</v>
      </c>
      <c r="V294" s="4" t="s">
        <v>1635</v>
      </c>
      <c r="W294" s="1"/>
      <c r="X294" s="18">
        <v>45883.0</v>
      </c>
      <c r="Y294" s="1"/>
      <c r="Z294" s="1"/>
      <c r="AA294" s="1"/>
      <c r="AB294" s="1"/>
      <c r="AC294" s="1"/>
      <c r="AD294" s="1"/>
      <c r="AE294" s="18"/>
      <c r="AF294" s="18"/>
      <c r="AG294" s="18"/>
      <c r="AH294" s="18"/>
      <c r="AI294" s="18"/>
      <c r="AJ294" s="18"/>
      <c r="AK294" s="18"/>
      <c r="AL294" s="6" t="str">
        <f t="array" ref="AL294">IFERROR(IFS(XLOOKUP(B294, 'Kit Delivery Status'!$U:$U, 'Kit Delivery Status'!$K:$K) = "Complete", "DELIVERED", XLOOKUP(B294, 'Kit Delivery Status'!$U:$U, 'Kit Delivery Status'!$K:$K) = "Issue", "ISSUE"), "")</f>
        <v/>
      </c>
      <c r="AM294" s="6"/>
    </row>
    <row r="295">
      <c r="A295" s="5" t="s">
        <v>1636</v>
      </c>
      <c r="B295" s="1" t="s">
        <v>1637</v>
      </c>
      <c r="C295" s="1" t="s">
        <v>1638</v>
      </c>
      <c r="D295" s="2">
        <v>4.707319605E9</v>
      </c>
      <c r="E295" s="1" t="s">
        <v>1639</v>
      </c>
      <c r="F295" s="1"/>
      <c r="G295" s="1" t="s">
        <v>1640</v>
      </c>
      <c r="H295" s="1" t="s">
        <v>946</v>
      </c>
      <c r="I295" s="1">
        <v>30024.0</v>
      </c>
      <c r="J295" s="1" t="s">
        <v>752</v>
      </c>
      <c r="K295" s="1" t="s">
        <v>51</v>
      </c>
      <c r="L295" s="1" t="s">
        <v>1152</v>
      </c>
      <c r="M295" s="1">
        <v>1.0</v>
      </c>
      <c r="N295" s="1" t="s">
        <v>52</v>
      </c>
      <c r="O295" s="3" t="s">
        <v>1641</v>
      </c>
      <c r="P295" s="18">
        <v>45875.0</v>
      </c>
      <c r="Q295" s="1" t="s">
        <v>1030</v>
      </c>
      <c r="R295" s="1"/>
      <c r="S295" s="1" t="s">
        <v>52</v>
      </c>
      <c r="T295" s="1" t="s">
        <v>52</v>
      </c>
      <c r="U295" s="1" t="s">
        <v>1642</v>
      </c>
      <c r="V295" s="4" t="s">
        <v>1641</v>
      </c>
      <c r="W295" s="1"/>
      <c r="X295" s="18">
        <v>45875.0</v>
      </c>
      <c r="Y295" s="1" t="s">
        <v>1030</v>
      </c>
      <c r="Z295" s="1"/>
      <c r="AA295" s="1"/>
      <c r="AB295" s="1" t="s">
        <v>52</v>
      </c>
      <c r="AC295" s="1"/>
      <c r="AD295" s="1"/>
      <c r="AE295" s="18"/>
      <c r="AF295" s="18"/>
      <c r="AG295" s="18"/>
      <c r="AH295" s="18"/>
      <c r="AI295" s="18"/>
      <c r="AJ295" s="18"/>
      <c r="AK295" s="18"/>
      <c r="AL295" s="6" t="str">
        <f t="array" ref="AL295">IFERROR(IFS(XLOOKUP(B295, 'Kit Delivery Status'!$U:$U, 'Kit Delivery Status'!$K:$K) = "Complete", "DELIVERED", XLOOKUP(B295, 'Kit Delivery Status'!$U:$U, 'Kit Delivery Status'!$K:$K) = "Issue", "ISSUE"), "")</f>
        <v/>
      </c>
      <c r="AM295" s="6"/>
    </row>
    <row r="296">
      <c r="A296" s="5" t="s">
        <v>1643</v>
      </c>
      <c r="B296" s="1" t="s">
        <v>1644</v>
      </c>
      <c r="C296" s="1" t="s">
        <v>1645</v>
      </c>
      <c r="D296" s="2">
        <v>6.282134584E9</v>
      </c>
      <c r="E296" s="1" t="s">
        <v>1646</v>
      </c>
      <c r="F296" s="1"/>
      <c r="G296" s="1" t="s">
        <v>1647</v>
      </c>
      <c r="H296" s="1" t="s">
        <v>989</v>
      </c>
      <c r="I296" s="1">
        <v>94065.0</v>
      </c>
      <c r="J296" s="1" t="s">
        <v>752</v>
      </c>
      <c r="K296" s="1" t="s">
        <v>66</v>
      </c>
      <c r="L296" s="1" t="s">
        <v>1340</v>
      </c>
      <c r="M296" s="1">
        <v>210.0</v>
      </c>
      <c r="N296" s="1"/>
      <c r="O296" s="3" t="s">
        <v>1648</v>
      </c>
      <c r="P296" s="18">
        <v>45883.0</v>
      </c>
      <c r="Q296" s="1"/>
      <c r="R296" s="1"/>
      <c r="S296" s="1"/>
      <c r="T296" s="1"/>
      <c r="U296" s="1" t="s">
        <v>982</v>
      </c>
      <c r="V296" s="4" t="s">
        <v>1648</v>
      </c>
      <c r="W296" s="1"/>
      <c r="X296" s="18">
        <v>45883.0</v>
      </c>
      <c r="Y296" s="1"/>
      <c r="Z296" s="1"/>
      <c r="AA296" s="1"/>
      <c r="AB296" s="1"/>
      <c r="AC296" s="1"/>
      <c r="AD296" s="1"/>
      <c r="AE296" s="18"/>
      <c r="AF296" s="18"/>
      <c r="AG296" s="18"/>
      <c r="AH296" s="18"/>
      <c r="AI296" s="18"/>
      <c r="AJ296" s="18"/>
      <c r="AK296" s="18"/>
      <c r="AL296" s="6" t="str">
        <f t="array" ref="AL296">IFERROR(IFS(XLOOKUP(B296, 'Kit Delivery Status'!$U:$U, 'Kit Delivery Status'!$K:$K) = "Complete", "DELIVERED", XLOOKUP(B296, 'Kit Delivery Status'!$U:$U, 'Kit Delivery Status'!$K:$K) = "Issue", "ISSUE"), "")</f>
        <v/>
      </c>
      <c r="AM296" s="6"/>
    </row>
    <row r="297">
      <c r="A297" s="5" t="s">
        <v>1649</v>
      </c>
      <c r="B297" s="1" t="s">
        <v>1650</v>
      </c>
      <c r="C297" s="1" t="s">
        <v>1651</v>
      </c>
      <c r="D297" s="2">
        <v>7.743620993E9</v>
      </c>
      <c r="E297" s="1" t="s">
        <v>1652</v>
      </c>
      <c r="F297" s="1"/>
      <c r="G297" s="1" t="s">
        <v>1653</v>
      </c>
      <c r="H297" s="1" t="s">
        <v>1121</v>
      </c>
      <c r="I297" s="1">
        <v>2081.0</v>
      </c>
      <c r="J297" s="1" t="s">
        <v>752</v>
      </c>
      <c r="K297" s="1" t="s">
        <v>95</v>
      </c>
      <c r="L297" s="1" t="s">
        <v>1361</v>
      </c>
      <c r="M297" s="1">
        <v>49.0</v>
      </c>
      <c r="N297" s="1" t="s">
        <v>52</v>
      </c>
      <c r="O297" s="3" t="s">
        <v>1654</v>
      </c>
      <c r="P297" s="18">
        <v>45883.0</v>
      </c>
      <c r="Q297" s="1" t="s">
        <v>1030</v>
      </c>
      <c r="R297" s="1"/>
      <c r="S297" s="1" t="s">
        <v>52</v>
      </c>
      <c r="T297" s="1" t="s">
        <v>52</v>
      </c>
      <c r="U297" s="1" t="s">
        <v>1133</v>
      </c>
      <c r="V297" s="4" t="s">
        <v>1654</v>
      </c>
      <c r="W297" s="1"/>
      <c r="X297" s="18">
        <v>45883.0</v>
      </c>
      <c r="Y297" s="1" t="s">
        <v>1030</v>
      </c>
      <c r="Z297" s="1"/>
      <c r="AA297" s="1"/>
      <c r="AB297" s="1" t="s">
        <v>52</v>
      </c>
      <c r="AC297" s="1" t="s">
        <v>1655</v>
      </c>
      <c r="AD297" s="1"/>
      <c r="AE297" s="18"/>
      <c r="AF297" s="18"/>
      <c r="AG297" s="18"/>
      <c r="AH297" s="18"/>
      <c r="AI297" s="18"/>
      <c r="AJ297" s="18"/>
      <c r="AK297" s="18"/>
      <c r="AL297" s="6" t="str">
        <f t="array" ref="AL297">IFERROR(IFS(XLOOKUP(B297, 'Kit Delivery Status'!$U:$U, 'Kit Delivery Status'!$K:$K) = "Complete", "DELIVERED", XLOOKUP(B297, 'Kit Delivery Status'!$U:$U, 'Kit Delivery Status'!$K:$K) = "Issue", "ISSUE"), "")</f>
        <v/>
      </c>
      <c r="AM297" s="6"/>
    </row>
    <row r="298">
      <c r="A298" s="5" t="s">
        <v>1656</v>
      </c>
      <c r="B298" s="1" t="s">
        <v>1657</v>
      </c>
      <c r="C298" s="1"/>
      <c r="D298" s="2">
        <v>1.9148865868E10</v>
      </c>
      <c r="E298" s="1" t="s">
        <v>1658</v>
      </c>
      <c r="F298" s="1" t="s">
        <v>1659</v>
      </c>
      <c r="G298" s="1" t="s">
        <v>1660</v>
      </c>
      <c r="H298" s="1" t="s">
        <v>751</v>
      </c>
      <c r="I298" s="1">
        <v>10804.0</v>
      </c>
      <c r="J298" s="1" t="s">
        <v>752</v>
      </c>
      <c r="K298" s="1" t="s">
        <v>75</v>
      </c>
      <c r="L298" s="19" t="s">
        <v>808</v>
      </c>
      <c r="M298" s="1">
        <v>49.0</v>
      </c>
      <c r="N298" s="1" t="s">
        <v>124</v>
      </c>
      <c r="O298" s="3"/>
      <c r="P298" s="18">
        <v>45888.0</v>
      </c>
      <c r="Q298" s="1" t="s">
        <v>1030</v>
      </c>
      <c r="R298" s="1" t="s">
        <v>1659</v>
      </c>
      <c r="S298" s="1" t="s">
        <v>124</v>
      </c>
      <c r="T298" s="1" t="s">
        <v>124</v>
      </c>
      <c r="U298" s="1"/>
      <c r="V298" s="4"/>
      <c r="W298" s="1" t="s">
        <v>1659</v>
      </c>
      <c r="X298" s="18">
        <v>45888.0</v>
      </c>
      <c r="Y298" s="1" t="s">
        <v>1030</v>
      </c>
      <c r="Z298" s="1" t="s">
        <v>808</v>
      </c>
      <c r="AA298" s="1" t="s">
        <v>1659</v>
      </c>
      <c r="AB298" s="1" t="s">
        <v>124</v>
      </c>
      <c r="AC298" s="1"/>
      <c r="AD298" s="1" t="s">
        <v>1661</v>
      </c>
      <c r="AE298" s="18"/>
      <c r="AF298" s="18"/>
      <c r="AG298" s="18"/>
      <c r="AH298" s="18"/>
      <c r="AI298" s="18"/>
      <c r="AJ298" s="18"/>
      <c r="AK298" s="18"/>
      <c r="AL298" s="6" t="str">
        <f t="array" ref="AL298">IFERROR(IFS(XLOOKUP(B298, 'Kit Delivery Status'!$U:$U, 'Kit Delivery Status'!$K:$K) = "Complete", "DELIVERED", XLOOKUP(B298, 'Kit Delivery Status'!$U:$U, 'Kit Delivery Status'!$K:$K) = "Issue", "ISSUE"), "")</f>
        <v/>
      </c>
      <c r="AM298" s="6"/>
    </row>
    <row r="299">
      <c r="A299" s="5" t="s">
        <v>1662</v>
      </c>
      <c r="B299" s="1" t="s">
        <v>1663</v>
      </c>
      <c r="C299" s="1" t="s">
        <v>1664</v>
      </c>
      <c r="D299" s="2">
        <v>19177347179</v>
      </c>
      <c r="E299" s="1" t="s">
        <v>1665</v>
      </c>
      <c r="F299" s="1"/>
      <c r="G299" s="1" t="s">
        <v>1131</v>
      </c>
      <c r="H299" s="1" t="s">
        <v>751</v>
      </c>
      <c r="I299" s="1">
        <v>10538.0</v>
      </c>
      <c r="J299" s="1" t="s">
        <v>752</v>
      </c>
      <c r="K299" s="1" t="s">
        <v>95</v>
      </c>
      <c r="L299" s="1" t="s">
        <v>1361</v>
      </c>
      <c r="M299" s="1">
        <v>49.0</v>
      </c>
      <c r="N299" s="1" t="s">
        <v>52</v>
      </c>
      <c r="O299" s="3" t="s">
        <v>1132</v>
      </c>
      <c r="P299" s="18">
        <v>45883.0</v>
      </c>
      <c r="Q299" s="1" t="s">
        <v>1030</v>
      </c>
      <c r="R299" s="1"/>
      <c r="S299" s="1" t="s">
        <v>52</v>
      </c>
      <c r="T299" s="1" t="s">
        <v>52</v>
      </c>
      <c r="U299" s="1" t="s">
        <v>1133</v>
      </c>
      <c r="V299" s="4" t="s">
        <v>1132</v>
      </c>
      <c r="W299" s="1"/>
      <c r="X299" s="18">
        <v>45883.0</v>
      </c>
      <c r="Y299" s="1" t="s">
        <v>1030</v>
      </c>
      <c r="Z299" s="1"/>
      <c r="AA299" s="1"/>
      <c r="AB299" s="1" t="s">
        <v>52</v>
      </c>
      <c r="AC299" s="1" t="s">
        <v>1666</v>
      </c>
      <c r="AD299" s="1"/>
      <c r="AE299" s="18"/>
      <c r="AF299" s="18"/>
      <c r="AG299" s="18"/>
      <c r="AH299" s="18"/>
      <c r="AI299" s="18"/>
      <c r="AJ299" s="18"/>
      <c r="AK299" s="18"/>
      <c r="AL299" s="6" t="str">
        <f t="array" ref="AL299">IFERROR(IFS(XLOOKUP(B299, 'Kit Delivery Status'!$U:$U, 'Kit Delivery Status'!$K:$K) = "Complete", "DELIVERED", XLOOKUP(B299, 'Kit Delivery Status'!$U:$U, 'Kit Delivery Status'!$K:$K) = "Issue", "ISSUE"), "")</f>
        <v/>
      </c>
      <c r="AM299" s="6"/>
    </row>
    <row r="300">
      <c r="A300" s="5" t="s">
        <v>1667</v>
      </c>
      <c r="B300" s="1" t="s">
        <v>1668</v>
      </c>
      <c r="C300" s="1" t="s">
        <v>1669</v>
      </c>
      <c r="D300" s="2">
        <v>1.646745612E10</v>
      </c>
      <c r="E300" s="1" t="s">
        <v>625</v>
      </c>
      <c r="F300" s="1"/>
      <c r="G300" s="1" t="s">
        <v>751</v>
      </c>
      <c r="H300" s="1" t="s">
        <v>751</v>
      </c>
      <c r="I300" s="1">
        <v>10128.0</v>
      </c>
      <c r="J300" s="1" t="s">
        <v>752</v>
      </c>
      <c r="K300" s="1" t="s">
        <v>66</v>
      </c>
      <c r="L300" s="1" t="s">
        <v>1340</v>
      </c>
      <c r="M300" s="1">
        <v>210.0</v>
      </c>
      <c r="N300" s="1"/>
      <c r="O300" s="3" t="s">
        <v>627</v>
      </c>
      <c r="P300" s="18">
        <v>45883.0</v>
      </c>
      <c r="Q300" s="1"/>
      <c r="R300" s="1"/>
      <c r="S300" s="1"/>
      <c r="T300" s="1"/>
      <c r="U300" s="1" t="s">
        <v>1039</v>
      </c>
      <c r="V300" s="4" t="s">
        <v>627</v>
      </c>
      <c r="W300" s="1"/>
      <c r="X300" s="18">
        <v>45883.0</v>
      </c>
      <c r="Y300" s="1"/>
      <c r="Z300" s="1"/>
      <c r="AA300" s="1"/>
      <c r="AB300" s="1"/>
      <c r="AC300" s="1"/>
      <c r="AD300" s="1"/>
      <c r="AE300" s="18"/>
      <c r="AF300" s="18"/>
      <c r="AG300" s="18"/>
      <c r="AH300" s="18"/>
      <c r="AI300" s="18"/>
      <c r="AJ300" s="18"/>
      <c r="AK300" s="18"/>
      <c r="AL300" s="6" t="str">
        <f t="array" ref="AL300">IFERROR(IFS(XLOOKUP(B300, 'Kit Delivery Status'!$U:$U, 'Kit Delivery Status'!$K:$K) = "Complete", "DELIVERED", XLOOKUP(B300, 'Kit Delivery Status'!$U:$U, 'Kit Delivery Status'!$K:$K) = "Issue", "ISSUE"), "")</f>
        <v/>
      </c>
      <c r="AM300" s="6"/>
    </row>
    <row r="301">
      <c r="A301" s="5" t="s">
        <v>1670</v>
      </c>
      <c r="B301" s="1" t="s">
        <v>1671</v>
      </c>
      <c r="C301" s="1" t="s">
        <v>1672</v>
      </c>
      <c r="D301" s="2">
        <v>3.126155109E9</v>
      </c>
      <c r="E301" s="1" t="s">
        <v>1673</v>
      </c>
      <c r="F301" s="1"/>
      <c r="G301" s="1" t="s">
        <v>1674</v>
      </c>
      <c r="H301" s="1" t="s">
        <v>1019</v>
      </c>
      <c r="I301" s="1">
        <v>60422.0</v>
      </c>
      <c r="J301" s="1" t="s">
        <v>752</v>
      </c>
      <c r="K301" s="1" t="s">
        <v>66</v>
      </c>
      <c r="L301" s="1" t="s">
        <v>1340</v>
      </c>
      <c r="M301" s="1">
        <v>210.0</v>
      </c>
      <c r="N301" s="1"/>
      <c r="O301" s="3" t="s">
        <v>1675</v>
      </c>
      <c r="P301" s="18">
        <v>45883.0</v>
      </c>
      <c r="Q301" s="1"/>
      <c r="R301" s="1"/>
      <c r="S301" s="1"/>
      <c r="T301" s="1"/>
      <c r="U301" s="1" t="s">
        <v>1080</v>
      </c>
      <c r="V301" s="4" t="s">
        <v>1675</v>
      </c>
      <c r="W301" s="1"/>
      <c r="X301" s="18">
        <v>45883.0</v>
      </c>
      <c r="Y301" s="1"/>
      <c r="Z301" s="1"/>
      <c r="AA301" s="1"/>
      <c r="AB301" s="1"/>
      <c r="AC301" s="1"/>
      <c r="AD301" s="1"/>
      <c r="AE301" s="18"/>
      <c r="AF301" s="18"/>
      <c r="AG301" s="18"/>
      <c r="AH301" s="18"/>
      <c r="AI301" s="18"/>
      <c r="AJ301" s="18"/>
      <c r="AK301" s="18"/>
      <c r="AL301" s="6" t="str">
        <f t="array" ref="AL301">IFERROR(IFS(XLOOKUP(B301, 'Kit Delivery Status'!$U:$U, 'Kit Delivery Status'!$K:$K) = "Complete", "DELIVERED", XLOOKUP(B301, 'Kit Delivery Status'!$U:$U, 'Kit Delivery Status'!$K:$K) = "Issue", "ISSUE"), "")</f>
        <v/>
      </c>
      <c r="AM301" s="6"/>
    </row>
    <row r="302">
      <c r="A302" s="5" t="s">
        <v>1676</v>
      </c>
      <c r="B302" s="1" t="s">
        <v>1677</v>
      </c>
      <c r="C302" s="1" t="s">
        <v>1678</v>
      </c>
      <c r="D302" s="2">
        <v>1.4049987511E10</v>
      </c>
      <c r="E302" s="1" t="s">
        <v>1679</v>
      </c>
      <c r="F302" s="1"/>
      <c r="G302" s="1" t="s">
        <v>1680</v>
      </c>
      <c r="H302" s="1" t="s">
        <v>946</v>
      </c>
      <c r="I302" s="1">
        <v>30318.0</v>
      </c>
      <c r="J302" s="1" t="s">
        <v>752</v>
      </c>
      <c r="K302" s="1" t="s">
        <v>66</v>
      </c>
      <c r="L302" s="1" t="s">
        <v>1355</v>
      </c>
      <c r="M302" s="1">
        <v>145.0</v>
      </c>
      <c r="N302" s="1"/>
      <c r="O302" s="3" t="s">
        <v>434</v>
      </c>
      <c r="P302" s="18">
        <v>45883.0</v>
      </c>
      <c r="Q302" s="1"/>
      <c r="R302" s="1"/>
      <c r="S302" s="1"/>
      <c r="T302" s="1"/>
      <c r="U302" s="1" t="s">
        <v>1343</v>
      </c>
      <c r="V302" s="4" t="s">
        <v>434</v>
      </c>
      <c r="W302" s="1"/>
      <c r="X302" s="18">
        <v>45883.0</v>
      </c>
      <c r="Y302" s="1"/>
      <c r="Z302" s="1"/>
      <c r="AA302" s="1"/>
      <c r="AB302" s="1"/>
      <c r="AC302" s="1"/>
      <c r="AD302" s="1"/>
      <c r="AE302" s="18"/>
      <c r="AF302" s="18"/>
      <c r="AG302" s="18"/>
      <c r="AH302" s="18"/>
      <c r="AI302" s="18"/>
      <c r="AJ302" s="18"/>
      <c r="AK302" s="18"/>
      <c r="AL302" s="6" t="str">
        <f t="array" ref="AL302">IFERROR(IFS(XLOOKUP(B302, 'Kit Delivery Status'!$U:$U, 'Kit Delivery Status'!$K:$K) = "Complete", "DELIVERED", XLOOKUP(B302, 'Kit Delivery Status'!$U:$U, 'Kit Delivery Status'!$K:$K) = "Issue", "ISSUE"), "")</f>
        <v/>
      </c>
      <c r="AM302" s="6"/>
    </row>
    <row r="303">
      <c r="A303" s="5" t="s">
        <v>1681</v>
      </c>
      <c r="B303" s="1" t="s">
        <v>1682</v>
      </c>
      <c r="C303" s="1"/>
      <c r="D303" s="2">
        <v>9.176694027E9</v>
      </c>
      <c r="E303" s="1" t="s">
        <v>1683</v>
      </c>
      <c r="F303" s="1"/>
      <c r="G303" s="1" t="s">
        <v>1684</v>
      </c>
      <c r="H303" s="1" t="s">
        <v>751</v>
      </c>
      <c r="I303" s="1">
        <v>11205.0</v>
      </c>
      <c r="J303" s="1" t="s">
        <v>752</v>
      </c>
      <c r="K303" s="1" t="s">
        <v>75</v>
      </c>
      <c r="L303" s="19" t="s">
        <v>808</v>
      </c>
      <c r="M303" s="1">
        <v>49.0</v>
      </c>
      <c r="N303" s="1" t="s">
        <v>52</v>
      </c>
      <c r="O303" s="3" t="s">
        <v>1685</v>
      </c>
      <c r="P303" s="18">
        <v>45883.0</v>
      </c>
      <c r="Q303" s="1"/>
      <c r="R303" s="1"/>
      <c r="S303" s="1" t="s">
        <v>52</v>
      </c>
      <c r="T303" s="1" t="s">
        <v>52</v>
      </c>
      <c r="U303" s="1" t="s">
        <v>1080</v>
      </c>
      <c r="V303" s="4" t="s">
        <v>1685</v>
      </c>
      <c r="W303" s="1"/>
      <c r="X303" s="18">
        <v>45883.0</v>
      </c>
      <c r="Y303" s="1"/>
      <c r="Z303" s="1" t="s">
        <v>808</v>
      </c>
      <c r="AA303" s="1"/>
      <c r="AB303" s="1" t="s">
        <v>52</v>
      </c>
      <c r="AC303" s="1"/>
      <c r="AD303" s="1" t="s">
        <v>1686</v>
      </c>
      <c r="AE303" s="18"/>
      <c r="AF303" s="18"/>
      <c r="AG303" s="18"/>
      <c r="AH303" s="18"/>
      <c r="AI303" s="18"/>
      <c r="AJ303" s="18"/>
      <c r="AK303" s="18"/>
      <c r="AL303" s="6" t="str">
        <f t="array" ref="AL303">IFERROR(IFS(XLOOKUP(B303, 'Kit Delivery Status'!$U:$U, 'Kit Delivery Status'!$K:$K) = "Complete", "DELIVERED", XLOOKUP(B303, 'Kit Delivery Status'!$U:$U, 'Kit Delivery Status'!$K:$K) = "Issue", "ISSUE"), "")</f>
        <v/>
      </c>
      <c r="AM303" s="6"/>
    </row>
    <row r="304">
      <c r="A304" s="5" t="s">
        <v>1687</v>
      </c>
      <c r="B304" s="1" t="s">
        <v>1688</v>
      </c>
      <c r="C304" s="1" t="s">
        <v>1689</v>
      </c>
      <c r="D304" s="2">
        <v>9.892958435E9</v>
      </c>
      <c r="E304" s="1" t="s">
        <v>1690</v>
      </c>
      <c r="F304" s="1"/>
      <c r="G304" s="1" t="s">
        <v>1085</v>
      </c>
      <c r="H304" s="1" t="s">
        <v>1691</v>
      </c>
      <c r="I304" s="1">
        <v>48009.0</v>
      </c>
      <c r="J304" s="1" t="s">
        <v>752</v>
      </c>
      <c r="K304" s="1" t="s">
        <v>66</v>
      </c>
      <c r="L304" s="1" t="s">
        <v>1340</v>
      </c>
      <c r="M304" s="1">
        <v>210.0</v>
      </c>
      <c r="N304" s="1"/>
      <c r="O304" s="3" t="s">
        <v>1692</v>
      </c>
      <c r="P304" s="18">
        <v>45883.0</v>
      </c>
      <c r="Q304" s="1"/>
      <c r="R304" s="1"/>
      <c r="S304" s="1"/>
      <c r="T304" s="1"/>
      <c r="U304" s="1" t="s">
        <v>1039</v>
      </c>
      <c r="V304" s="4" t="s">
        <v>1692</v>
      </c>
      <c r="W304" s="1"/>
      <c r="X304" s="18">
        <v>45883.0</v>
      </c>
      <c r="Y304" s="1"/>
      <c r="Z304" s="1"/>
      <c r="AA304" s="1"/>
      <c r="AB304" s="1"/>
      <c r="AC304" s="1"/>
      <c r="AD304" s="1"/>
      <c r="AE304" s="18"/>
      <c r="AF304" s="18"/>
      <c r="AG304" s="18"/>
      <c r="AH304" s="18"/>
      <c r="AI304" s="18"/>
      <c r="AJ304" s="18"/>
      <c r="AK304" s="18"/>
      <c r="AL304" s="6" t="str">
        <f t="array" ref="AL304">IFERROR(IFS(XLOOKUP(B304, 'Kit Delivery Status'!$U:$U, 'Kit Delivery Status'!$K:$K) = "Complete", "DELIVERED", XLOOKUP(B304, 'Kit Delivery Status'!$U:$U, 'Kit Delivery Status'!$K:$K) = "Issue", "ISSUE"), "")</f>
        <v/>
      </c>
      <c r="AM304" s="6"/>
    </row>
    <row r="305">
      <c r="A305" s="5" t="s">
        <v>1693</v>
      </c>
      <c r="B305" s="1" t="s">
        <v>1694</v>
      </c>
      <c r="C305" s="1" t="s">
        <v>1695</v>
      </c>
      <c r="D305" s="2">
        <v>1.9175709951E10</v>
      </c>
      <c r="E305" s="1" t="s">
        <v>1696</v>
      </c>
      <c r="F305" s="1"/>
      <c r="G305" s="1" t="s">
        <v>1697</v>
      </c>
      <c r="H305" s="1" t="s">
        <v>751</v>
      </c>
      <c r="I305" s="1">
        <v>11021.0</v>
      </c>
      <c r="J305" s="1" t="s">
        <v>752</v>
      </c>
      <c r="K305" s="1" t="s">
        <v>66</v>
      </c>
      <c r="L305" s="1" t="s">
        <v>1340</v>
      </c>
      <c r="M305" s="1">
        <v>210.0</v>
      </c>
      <c r="N305" s="1"/>
      <c r="O305" s="3" t="s">
        <v>1698</v>
      </c>
      <c r="P305" s="18">
        <v>45887.0</v>
      </c>
      <c r="Q305" s="1"/>
      <c r="R305" s="1"/>
      <c r="S305" s="1"/>
      <c r="T305" s="1"/>
      <c r="U305" s="1" t="s">
        <v>1699</v>
      </c>
      <c r="V305" s="4" t="s">
        <v>1698</v>
      </c>
      <c r="W305" s="1"/>
      <c r="X305" s="18">
        <v>45887.0</v>
      </c>
      <c r="Y305" s="1"/>
      <c r="Z305" s="1"/>
      <c r="AA305" s="1"/>
      <c r="AB305" s="1"/>
      <c r="AC305" s="1"/>
      <c r="AD305" s="1"/>
      <c r="AE305" s="18"/>
      <c r="AF305" s="18"/>
      <c r="AG305" s="18"/>
      <c r="AH305" s="18"/>
      <c r="AI305" s="18"/>
      <c r="AJ305" s="18"/>
      <c r="AK305" s="18"/>
      <c r="AL305" s="6" t="str">
        <f t="array" ref="AL305">IFERROR(IFS(XLOOKUP(B305, 'Kit Delivery Status'!$U:$U, 'Kit Delivery Status'!$K:$K) = "Complete", "DELIVERED", XLOOKUP(B305, 'Kit Delivery Status'!$U:$U, 'Kit Delivery Status'!$K:$K) = "Issue", "ISSUE"), "")</f>
        <v/>
      </c>
      <c r="AM305" s="6"/>
    </row>
    <row r="306">
      <c r="A306" s="5" t="s">
        <v>1693</v>
      </c>
      <c r="B306" s="1" t="s">
        <v>1694</v>
      </c>
      <c r="C306" s="1" t="s">
        <v>1695</v>
      </c>
      <c r="D306" s="2">
        <v>1.9175709951E10</v>
      </c>
      <c r="E306" s="1" t="s">
        <v>1696</v>
      </c>
      <c r="F306" s="1"/>
      <c r="G306" s="1" t="s">
        <v>1697</v>
      </c>
      <c r="H306" s="1" t="s">
        <v>751</v>
      </c>
      <c r="I306" s="1">
        <v>11021.0</v>
      </c>
      <c r="J306" s="1" t="s">
        <v>752</v>
      </c>
      <c r="K306" s="1" t="s">
        <v>51</v>
      </c>
      <c r="L306" s="1" t="s">
        <v>1152</v>
      </c>
      <c r="M306" s="1">
        <v>1.0</v>
      </c>
      <c r="N306" s="1" t="s">
        <v>52</v>
      </c>
      <c r="O306" s="3" t="s">
        <v>1698</v>
      </c>
      <c r="P306" s="18">
        <v>45887.0</v>
      </c>
      <c r="Q306" s="1" t="s">
        <v>1030</v>
      </c>
      <c r="R306" s="1"/>
      <c r="S306" s="1" t="s">
        <v>52</v>
      </c>
      <c r="T306" s="1" t="s">
        <v>52</v>
      </c>
      <c r="U306" s="1" t="s">
        <v>1699</v>
      </c>
      <c r="V306" s="4" t="s">
        <v>1698</v>
      </c>
      <c r="W306" s="1"/>
      <c r="X306" s="18">
        <v>45887.0</v>
      </c>
      <c r="Y306" s="1" t="s">
        <v>1030</v>
      </c>
      <c r="Z306" s="1"/>
      <c r="AA306" s="1"/>
      <c r="AB306" s="1" t="s">
        <v>52</v>
      </c>
      <c r="AC306" s="1"/>
      <c r="AD306" s="1"/>
      <c r="AE306" s="18"/>
      <c r="AF306" s="18"/>
      <c r="AG306" s="18"/>
      <c r="AH306" s="18"/>
      <c r="AI306" s="18"/>
      <c r="AJ306" s="18"/>
      <c r="AK306" s="18"/>
      <c r="AL306" s="6" t="str">
        <f t="array" ref="AL306">IFERROR(IFS(XLOOKUP(B306, 'Kit Delivery Status'!$U:$U, 'Kit Delivery Status'!$K:$K) = "Complete", "DELIVERED", XLOOKUP(B306, 'Kit Delivery Status'!$U:$U, 'Kit Delivery Status'!$K:$K) = "Issue", "ISSUE"), "")</f>
        <v/>
      </c>
      <c r="AM306" s="6"/>
    </row>
    <row r="307">
      <c r="A307" s="5" t="s">
        <v>1700</v>
      </c>
      <c r="B307" s="1" t="s">
        <v>1701</v>
      </c>
      <c r="C307" s="1"/>
      <c r="D307" s="2">
        <v>6.179670331E9</v>
      </c>
      <c r="E307" s="1" t="s">
        <v>1702</v>
      </c>
      <c r="F307" s="1"/>
      <c r="G307" s="1" t="s">
        <v>1374</v>
      </c>
      <c r="H307" s="1" t="s">
        <v>1121</v>
      </c>
      <c r="I307" s="1">
        <v>2090.0</v>
      </c>
      <c r="J307" s="1" t="s">
        <v>752</v>
      </c>
      <c r="K307" s="1" t="s">
        <v>66</v>
      </c>
      <c r="L307" s="1" t="s">
        <v>1340</v>
      </c>
      <c r="M307" s="1">
        <v>210.0</v>
      </c>
      <c r="N307" s="1"/>
      <c r="O307" s="3" t="s">
        <v>1703</v>
      </c>
      <c r="P307" s="18">
        <v>45883.0</v>
      </c>
      <c r="Q307" s="1"/>
      <c r="R307" s="1"/>
      <c r="S307" s="1"/>
      <c r="T307" s="1"/>
      <c r="U307" s="1" t="s">
        <v>1376</v>
      </c>
      <c r="V307" s="4" t="s">
        <v>1703</v>
      </c>
      <c r="W307" s="1"/>
      <c r="X307" s="18">
        <v>45883.0</v>
      </c>
      <c r="Y307" s="1"/>
      <c r="Z307" s="1"/>
      <c r="AA307" s="1"/>
      <c r="AB307" s="1"/>
      <c r="AC307" s="1"/>
      <c r="AD307" s="1"/>
      <c r="AE307" s="18"/>
      <c r="AF307" s="18"/>
      <c r="AG307" s="18"/>
      <c r="AH307" s="18"/>
      <c r="AI307" s="18"/>
      <c r="AJ307" s="18"/>
      <c r="AK307" s="18"/>
      <c r="AL307" s="6" t="str">
        <f t="array" ref="AL307">IFERROR(IFS(XLOOKUP(B307, 'Kit Delivery Status'!$U:$U, 'Kit Delivery Status'!$K:$K) = "Complete", "DELIVERED", XLOOKUP(B307, 'Kit Delivery Status'!$U:$U, 'Kit Delivery Status'!$K:$K) = "Issue", "ISSUE"), "")</f>
        <v/>
      </c>
      <c r="AM307" s="6"/>
    </row>
    <row r="308">
      <c r="A308" s="5" t="s">
        <v>1704</v>
      </c>
      <c r="B308" s="1" t="s">
        <v>1705</v>
      </c>
      <c r="C308" s="1" t="s">
        <v>1706</v>
      </c>
      <c r="D308" s="2">
        <v>3.1036543E9</v>
      </c>
      <c r="E308" s="1" t="s">
        <v>1707</v>
      </c>
      <c r="F308" s="1"/>
      <c r="G308" s="1" t="s">
        <v>1708</v>
      </c>
      <c r="H308" s="1" t="s">
        <v>989</v>
      </c>
      <c r="I308" s="1">
        <v>92629.0</v>
      </c>
      <c r="J308" s="1" t="s">
        <v>752</v>
      </c>
      <c r="K308" s="1" t="s">
        <v>95</v>
      </c>
      <c r="L308" s="1" t="s">
        <v>1361</v>
      </c>
      <c r="M308" s="1">
        <v>49.0</v>
      </c>
      <c r="N308" s="1" t="s">
        <v>52</v>
      </c>
      <c r="O308" s="3" t="s">
        <v>1709</v>
      </c>
      <c r="P308" s="18">
        <v>45883.0</v>
      </c>
      <c r="Q308" s="1" t="s">
        <v>1030</v>
      </c>
      <c r="R308" s="1"/>
      <c r="S308" s="1" t="s">
        <v>52</v>
      </c>
      <c r="T308" s="1" t="s">
        <v>52</v>
      </c>
      <c r="U308" s="1" t="s">
        <v>1710</v>
      </c>
      <c r="V308" s="4" t="s">
        <v>1709</v>
      </c>
      <c r="W308" s="1"/>
      <c r="X308" s="18">
        <v>45883.0</v>
      </c>
      <c r="Y308" s="1" t="s">
        <v>1030</v>
      </c>
      <c r="Z308" s="1"/>
      <c r="AA308" s="1"/>
      <c r="AB308" s="1" t="s">
        <v>52</v>
      </c>
      <c r="AC308" s="1" t="s">
        <v>1711</v>
      </c>
      <c r="AD308" s="1"/>
      <c r="AE308" s="18"/>
      <c r="AF308" s="18"/>
      <c r="AG308" s="18"/>
      <c r="AH308" s="18"/>
      <c r="AI308" s="18"/>
      <c r="AJ308" s="18"/>
      <c r="AK308" s="18"/>
      <c r="AL308" s="6" t="str">
        <f t="array" ref="AL308">IFERROR(IFS(XLOOKUP(B308, 'Kit Delivery Status'!$U:$U, 'Kit Delivery Status'!$K:$K) = "Complete", "DELIVERED", XLOOKUP(B308, 'Kit Delivery Status'!$U:$U, 'Kit Delivery Status'!$K:$K) = "Issue", "ISSUE"), "")</f>
        <v/>
      </c>
      <c r="AM308" s="6"/>
    </row>
    <row r="309">
      <c r="A309" s="5" t="s">
        <v>1712</v>
      </c>
      <c r="B309" s="1" t="s">
        <v>1713</v>
      </c>
      <c r="C309" s="1" t="s">
        <v>1714</v>
      </c>
      <c r="D309" s="2">
        <v>9.293024005E9</v>
      </c>
      <c r="E309" s="1" t="s">
        <v>1715</v>
      </c>
      <c r="F309" s="1"/>
      <c r="G309" s="1" t="s">
        <v>1360</v>
      </c>
      <c r="H309" s="1" t="s">
        <v>1053</v>
      </c>
      <c r="I309" s="1">
        <v>7020.0</v>
      </c>
      <c r="J309" s="1" t="s">
        <v>752</v>
      </c>
      <c r="K309" s="1" t="s">
        <v>95</v>
      </c>
      <c r="L309" s="1" t="s">
        <v>1361</v>
      </c>
      <c r="M309" s="1">
        <v>49.0</v>
      </c>
      <c r="N309" s="1" t="s">
        <v>52</v>
      </c>
      <c r="O309" s="3" t="s">
        <v>1716</v>
      </c>
      <c r="P309" s="18">
        <v>45883.0</v>
      </c>
      <c r="Q309" s="1" t="s">
        <v>1030</v>
      </c>
      <c r="R309" s="1"/>
      <c r="S309" s="1" t="s">
        <v>52</v>
      </c>
      <c r="T309" s="1" t="s">
        <v>52</v>
      </c>
      <c r="U309" s="1" t="s">
        <v>1642</v>
      </c>
      <c r="V309" s="4" t="s">
        <v>1716</v>
      </c>
      <c r="W309" s="1"/>
      <c r="X309" s="18">
        <v>45883.0</v>
      </c>
      <c r="Y309" s="1" t="s">
        <v>1030</v>
      </c>
      <c r="Z309" s="1"/>
      <c r="AA309" s="1"/>
      <c r="AB309" s="1" t="s">
        <v>52</v>
      </c>
      <c r="AC309" s="1" t="s">
        <v>1717</v>
      </c>
      <c r="AD309" s="1"/>
      <c r="AE309" s="18"/>
      <c r="AF309" s="18"/>
      <c r="AG309" s="18"/>
      <c r="AH309" s="18"/>
      <c r="AI309" s="18"/>
      <c r="AJ309" s="18"/>
      <c r="AK309" s="18"/>
      <c r="AL309" s="6" t="str">
        <f t="array" ref="AL309">IFERROR(IFS(XLOOKUP(B309, 'Kit Delivery Status'!$U:$U, 'Kit Delivery Status'!$K:$K) = "Complete", "DELIVERED", XLOOKUP(B309, 'Kit Delivery Status'!$U:$U, 'Kit Delivery Status'!$K:$K) = "Issue", "ISSUE"), "")</f>
        <v/>
      </c>
      <c r="AM309" s="6"/>
    </row>
    <row r="310">
      <c r="A310" s="5" t="s">
        <v>1718</v>
      </c>
      <c r="B310" s="1" t="s">
        <v>1719</v>
      </c>
      <c r="C310" s="1"/>
      <c r="D310" s="2">
        <v>9.177155789E9</v>
      </c>
      <c r="E310" s="1" t="s">
        <v>1720</v>
      </c>
      <c r="F310" s="1"/>
      <c r="G310" s="1" t="s">
        <v>751</v>
      </c>
      <c r="H310" s="1" t="s">
        <v>751</v>
      </c>
      <c r="I310" s="1">
        <v>10013.0</v>
      </c>
      <c r="J310" s="1" t="s">
        <v>752</v>
      </c>
      <c r="K310" s="1" t="s">
        <v>66</v>
      </c>
      <c r="L310" s="1" t="s">
        <v>1431</v>
      </c>
      <c r="M310" s="1">
        <v>115.0</v>
      </c>
      <c r="N310" s="1"/>
      <c r="O310" s="3" t="s">
        <v>1721</v>
      </c>
      <c r="P310" s="18">
        <v>45883.0</v>
      </c>
      <c r="Q310" s="1"/>
      <c r="R310" s="1"/>
      <c r="S310" s="1"/>
      <c r="T310" s="1"/>
      <c r="U310" s="1" t="s">
        <v>1080</v>
      </c>
      <c r="V310" s="4" t="s">
        <v>1721</v>
      </c>
      <c r="W310" s="1"/>
      <c r="X310" s="18">
        <v>45883.0</v>
      </c>
      <c r="Y310" s="1"/>
      <c r="Z310" s="1"/>
      <c r="AA310" s="1"/>
      <c r="AB310" s="1"/>
      <c r="AC310" s="1"/>
      <c r="AD310" s="1"/>
      <c r="AE310" s="18"/>
      <c r="AF310" s="18"/>
      <c r="AG310" s="18"/>
      <c r="AH310" s="18"/>
      <c r="AI310" s="18"/>
      <c r="AJ310" s="18"/>
      <c r="AK310" s="18"/>
      <c r="AL310" s="6" t="str">
        <f t="array" ref="AL310">IFERROR(IFS(XLOOKUP(B310, 'Kit Delivery Status'!$U:$U, 'Kit Delivery Status'!$K:$K) = "Complete", "DELIVERED", XLOOKUP(B310, 'Kit Delivery Status'!$U:$U, 'Kit Delivery Status'!$K:$K) = "Issue", "ISSUE"), "")</f>
        <v/>
      </c>
      <c r="AM310" s="6"/>
    </row>
    <row r="311">
      <c r="A311" s="5" t="s">
        <v>1718</v>
      </c>
      <c r="B311" s="1" t="s">
        <v>1719</v>
      </c>
      <c r="C311" s="1"/>
      <c r="D311" s="2">
        <v>9.177155789E9</v>
      </c>
      <c r="E311" s="1" t="s">
        <v>1720</v>
      </c>
      <c r="F311" s="1"/>
      <c r="G311" s="1" t="s">
        <v>751</v>
      </c>
      <c r="H311" s="1" t="s">
        <v>751</v>
      </c>
      <c r="I311" s="1">
        <v>10013.0</v>
      </c>
      <c r="J311" s="1" t="s">
        <v>752</v>
      </c>
      <c r="K311" s="1" t="s">
        <v>75</v>
      </c>
      <c r="L311" s="1"/>
      <c r="M311" s="1">
        <v>49.0</v>
      </c>
      <c r="N311" s="1" t="s">
        <v>52</v>
      </c>
      <c r="O311" s="3" t="s">
        <v>1721</v>
      </c>
      <c r="P311" s="18">
        <v>45883.0</v>
      </c>
      <c r="Q311" s="1" t="s">
        <v>1030</v>
      </c>
      <c r="R311" s="1"/>
      <c r="S311" s="1" t="s">
        <v>52</v>
      </c>
      <c r="T311" s="1" t="s">
        <v>52</v>
      </c>
      <c r="U311" s="1" t="s">
        <v>1080</v>
      </c>
      <c r="V311" s="4" t="s">
        <v>1721</v>
      </c>
      <c r="W311" s="1"/>
      <c r="X311" s="18">
        <v>45883.0</v>
      </c>
      <c r="Y311" s="1" t="s">
        <v>1030</v>
      </c>
      <c r="Z311" s="1"/>
      <c r="AA311" s="1"/>
      <c r="AB311" s="1" t="s">
        <v>52</v>
      </c>
      <c r="AC311" s="1"/>
      <c r="AD311" s="1"/>
      <c r="AE311" s="18"/>
      <c r="AF311" s="18"/>
      <c r="AG311" s="18"/>
      <c r="AH311" s="18"/>
      <c r="AI311" s="18"/>
      <c r="AJ311" s="18"/>
      <c r="AK311" s="18"/>
      <c r="AL311" s="6" t="str">
        <f t="array" ref="AL311">IFERROR(IFS(XLOOKUP(B311, 'Kit Delivery Status'!$U:$U, 'Kit Delivery Status'!$K:$K) = "Complete", "DELIVERED", XLOOKUP(B311, 'Kit Delivery Status'!$U:$U, 'Kit Delivery Status'!$K:$K) = "Issue", "ISSUE"), "")</f>
        <v/>
      </c>
      <c r="AM311" s="6"/>
    </row>
    <row r="312">
      <c r="A312" s="5" t="s">
        <v>1722</v>
      </c>
      <c r="B312" s="1" t="s">
        <v>1723</v>
      </c>
      <c r="C312" s="1" t="s">
        <v>1724</v>
      </c>
      <c r="D312" s="2">
        <v>1.9143576469E10</v>
      </c>
      <c r="E312" s="1" t="s">
        <v>1725</v>
      </c>
      <c r="F312" s="1"/>
      <c r="G312" s="1" t="s">
        <v>1726</v>
      </c>
      <c r="H312" s="1" t="s">
        <v>751</v>
      </c>
      <c r="I312" s="1">
        <v>10533.0</v>
      </c>
      <c r="J312" s="1" t="s">
        <v>752</v>
      </c>
      <c r="K312" s="1" t="s">
        <v>66</v>
      </c>
      <c r="L312" s="1" t="s">
        <v>1355</v>
      </c>
      <c r="M312" s="1">
        <v>145.0</v>
      </c>
      <c r="N312" s="1" t="s">
        <v>52</v>
      </c>
      <c r="O312" s="3" t="s">
        <v>1727</v>
      </c>
      <c r="P312" s="18">
        <v>45883.0</v>
      </c>
      <c r="Q312" s="1"/>
      <c r="R312" s="1"/>
      <c r="S312" s="1" t="s">
        <v>52</v>
      </c>
      <c r="T312" s="1" t="s">
        <v>52</v>
      </c>
      <c r="U312" s="1" t="s">
        <v>1080</v>
      </c>
      <c r="V312" s="4" t="s">
        <v>1727</v>
      </c>
      <c r="W312" s="1"/>
      <c r="X312" s="18">
        <v>45883.0</v>
      </c>
      <c r="Y312" s="1"/>
      <c r="Z312" s="1"/>
      <c r="AA312" s="1"/>
      <c r="AB312" s="1" t="s">
        <v>52</v>
      </c>
      <c r="AC312" s="1"/>
      <c r="AD312" s="1"/>
      <c r="AE312" s="18"/>
      <c r="AF312" s="18"/>
      <c r="AG312" s="18"/>
      <c r="AH312" s="18"/>
      <c r="AI312" s="18"/>
      <c r="AJ312" s="18"/>
      <c r="AK312" s="18"/>
      <c r="AL312" s="6" t="str">
        <f t="array" ref="AL312">IFERROR(IFS(XLOOKUP(B312, 'Kit Delivery Status'!$U:$U, 'Kit Delivery Status'!$K:$K) = "Complete", "DELIVERED", XLOOKUP(B312, 'Kit Delivery Status'!$U:$U, 'Kit Delivery Status'!$K:$K) = "Issue", "ISSUE"), "")</f>
        <v/>
      </c>
      <c r="AM312" s="6"/>
    </row>
    <row r="313">
      <c r="A313" s="5" t="s">
        <v>1728</v>
      </c>
      <c r="B313" s="1" t="s">
        <v>1729</v>
      </c>
      <c r="C313" s="1"/>
      <c r="D313" s="2">
        <v>4.8025995E9</v>
      </c>
      <c r="E313" s="1" t="s">
        <v>1730</v>
      </c>
      <c r="F313" s="1"/>
      <c r="G313" s="1" t="s">
        <v>1534</v>
      </c>
      <c r="H313" s="1" t="s">
        <v>1535</v>
      </c>
      <c r="I313" s="1">
        <v>85255.0</v>
      </c>
      <c r="J313" s="1" t="s">
        <v>752</v>
      </c>
      <c r="K313" s="1" t="s">
        <v>66</v>
      </c>
      <c r="L313" s="1" t="s">
        <v>1355</v>
      </c>
      <c r="M313" s="1">
        <v>145.0</v>
      </c>
      <c r="N313" s="1"/>
      <c r="O313" s="3" t="s">
        <v>1731</v>
      </c>
      <c r="P313" s="18">
        <v>45883.0</v>
      </c>
      <c r="Q313" s="1"/>
      <c r="R313" s="1"/>
      <c r="S313" s="1"/>
      <c r="T313" s="1"/>
      <c r="U313" s="1" t="s">
        <v>1031</v>
      </c>
      <c r="V313" s="4" t="s">
        <v>1731</v>
      </c>
      <c r="W313" s="1"/>
      <c r="X313" s="18">
        <v>45883.0</v>
      </c>
      <c r="Y313" s="1"/>
      <c r="Z313" s="1"/>
      <c r="AA313" s="1"/>
      <c r="AB313" s="1"/>
      <c r="AC313" s="1"/>
      <c r="AD313" s="1"/>
      <c r="AE313" s="18"/>
      <c r="AF313" s="18"/>
      <c r="AG313" s="18"/>
      <c r="AH313" s="18"/>
      <c r="AI313" s="18"/>
      <c r="AJ313" s="18"/>
      <c r="AK313" s="18"/>
      <c r="AL313" s="6" t="str">
        <f t="array" ref="AL313">IFERROR(IFS(XLOOKUP(B313, 'Kit Delivery Status'!$U:$U, 'Kit Delivery Status'!$K:$K) = "Complete", "DELIVERED", XLOOKUP(B313, 'Kit Delivery Status'!$U:$U, 'Kit Delivery Status'!$K:$K) = "Issue", "ISSUE"), "")</f>
        <v/>
      </c>
      <c r="AM313" s="6"/>
    </row>
    <row r="314">
      <c r="A314" s="5" t="s">
        <v>1732</v>
      </c>
      <c r="B314" s="1" t="s">
        <v>1733</v>
      </c>
      <c r="C314" s="1" t="s">
        <v>1734</v>
      </c>
      <c r="D314" s="2">
        <v>1.6473022388E10</v>
      </c>
      <c r="E314" s="1" t="s">
        <v>1735</v>
      </c>
      <c r="F314" s="1"/>
      <c r="G314" s="1" t="s">
        <v>1283</v>
      </c>
      <c r="H314" s="1" t="s">
        <v>1155</v>
      </c>
      <c r="I314" s="1">
        <v>63130.0</v>
      </c>
      <c r="J314" s="1" t="s">
        <v>752</v>
      </c>
      <c r="K314" s="1" t="s">
        <v>51</v>
      </c>
      <c r="L314" s="1" t="s">
        <v>1152</v>
      </c>
      <c r="M314" s="1">
        <v>1.0</v>
      </c>
      <c r="N314" s="1" t="s">
        <v>52</v>
      </c>
      <c r="O314" s="3" t="s">
        <v>1736</v>
      </c>
      <c r="P314" s="18">
        <v>45883.0</v>
      </c>
      <c r="Q314" s="1" t="s">
        <v>1030</v>
      </c>
      <c r="R314" s="1"/>
      <c r="S314" s="1" t="s">
        <v>52</v>
      </c>
      <c r="T314" s="1" t="s">
        <v>52</v>
      </c>
      <c r="U314" s="1" t="s">
        <v>1710</v>
      </c>
      <c r="V314" s="4" t="s">
        <v>1736</v>
      </c>
      <c r="W314" s="1"/>
      <c r="X314" s="18">
        <v>45883.0</v>
      </c>
      <c r="Y314" s="1" t="s">
        <v>1030</v>
      </c>
      <c r="Z314" s="1"/>
      <c r="AA314" s="1"/>
      <c r="AB314" s="1" t="s">
        <v>52</v>
      </c>
      <c r="AC314" s="1"/>
      <c r="AD314" s="1"/>
      <c r="AE314" s="18"/>
      <c r="AF314" s="18"/>
      <c r="AG314" s="18"/>
      <c r="AH314" s="18"/>
      <c r="AI314" s="18"/>
      <c r="AJ314" s="18"/>
      <c r="AK314" s="18"/>
      <c r="AL314" s="6" t="str">
        <f t="array" ref="AL314">IFERROR(IFS(XLOOKUP(B314, 'Kit Delivery Status'!$U:$U, 'Kit Delivery Status'!$K:$K) = "Complete", "DELIVERED", XLOOKUP(B314, 'Kit Delivery Status'!$U:$U, 'Kit Delivery Status'!$K:$K) = "Issue", "ISSUE"), "")</f>
        <v/>
      </c>
      <c r="AM314" s="6"/>
    </row>
    <row r="315">
      <c r="A315" s="5" t="s">
        <v>1737</v>
      </c>
      <c r="B315" s="1" t="s">
        <v>1738</v>
      </c>
      <c r="C315" s="1" t="s">
        <v>1739</v>
      </c>
      <c r="D315" s="2">
        <v>3.109623501E9</v>
      </c>
      <c r="E315" s="1" t="s">
        <v>1740</v>
      </c>
      <c r="F315" s="1"/>
      <c r="G315" s="1" t="s">
        <v>1179</v>
      </c>
      <c r="H315" s="1" t="s">
        <v>989</v>
      </c>
      <c r="I315" s="1">
        <v>90034.0</v>
      </c>
      <c r="J315" s="1" t="s">
        <v>752</v>
      </c>
      <c r="K315" s="1" t="s">
        <v>95</v>
      </c>
      <c r="L315" s="1" t="s">
        <v>1361</v>
      </c>
      <c r="M315" s="1">
        <v>49.0</v>
      </c>
      <c r="N315" s="1" t="s">
        <v>52</v>
      </c>
      <c r="O315" s="3" t="s">
        <v>1741</v>
      </c>
      <c r="P315" s="18">
        <v>45883.0</v>
      </c>
      <c r="Q315" s="1" t="s">
        <v>1030</v>
      </c>
      <c r="R315" s="1"/>
      <c r="S315" s="1" t="s">
        <v>52</v>
      </c>
      <c r="T315" s="1" t="s">
        <v>52</v>
      </c>
      <c r="U315" s="1" t="s">
        <v>956</v>
      </c>
      <c r="V315" s="4" t="s">
        <v>1741</v>
      </c>
      <c r="W315" s="1"/>
      <c r="X315" s="18">
        <v>45883.0</v>
      </c>
      <c r="Y315" s="1" t="s">
        <v>1030</v>
      </c>
      <c r="Z315" s="1"/>
      <c r="AA315" s="1"/>
      <c r="AB315" s="1" t="s">
        <v>52</v>
      </c>
      <c r="AC315" s="1" t="s">
        <v>1742</v>
      </c>
      <c r="AD315" s="1"/>
      <c r="AE315" s="18"/>
      <c r="AF315" s="18"/>
      <c r="AG315" s="18"/>
      <c r="AH315" s="18"/>
      <c r="AI315" s="18"/>
      <c r="AJ315" s="18"/>
      <c r="AK315" s="18"/>
      <c r="AL315" s="6" t="str">
        <f t="array" ref="AL315">IFERROR(IFS(XLOOKUP(B315, 'Kit Delivery Status'!$U:$U, 'Kit Delivery Status'!$K:$K) = "Complete", "DELIVERED", XLOOKUP(B315, 'Kit Delivery Status'!$U:$U, 'Kit Delivery Status'!$K:$K) = "Issue", "ISSUE"), "")</f>
        <v/>
      </c>
      <c r="AM315" s="6"/>
    </row>
    <row r="316">
      <c r="A316" s="5" t="s">
        <v>1743</v>
      </c>
      <c r="B316" s="1" t="s">
        <v>1744</v>
      </c>
      <c r="C316" s="1" t="s">
        <v>1745</v>
      </c>
      <c r="D316" s="2">
        <v>2.016697605E9</v>
      </c>
      <c r="E316" s="1" t="s">
        <v>1746</v>
      </c>
      <c r="F316" s="1"/>
      <c r="G316" s="1" t="s">
        <v>1747</v>
      </c>
      <c r="H316" s="1" t="s">
        <v>1053</v>
      </c>
      <c r="I316" s="1">
        <v>7628.0</v>
      </c>
      <c r="J316" s="1" t="s">
        <v>752</v>
      </c>
      <c r="K316" s="1" t="s">
        <v>75</v>
      </c>
      <c r="L316" s="19" t="s">
        <v>808</v>
      </c>
      <c r="M316" s="1">
        <v>49.0</v>
      </c>
      <c r="N316" s="1" t="s">
        <v>52</v>
      </c>
      <c r="O316" s="3" t="s">
        <v>1748</v>
      </c>
      <c r="P316" s="18">
        <v>45883.0</v>
      </c>
      <c r="Q316" s="1"/>
      <c r="R316" s="1"/>
      <c r="S316" s="1" t="s">
        <v>52</v>
      </c>
      <c r="T316" s="1" t="s">
        <v>52</v>
      </c>
      <c r="U316" s="1" t="s">
        <v>1749</v>
      </c>
      <c r="V316" s="4" t="s">
        <v>1748</v>
      </c>
      <c r="W316" s="1"/>
      <c r="X316" s="18">
        <v>45883.0</v>
      </c>
      <c r="Y316" s="1"/>
      <c r="Z316" s="1" t="s">
        <v>808</v>
      </c>
      <c r="AA316" s="1"/>
      <c r="AB316" s="1" t="s">
        <v>52</v>
      </c>
      <c r="AC316" s="1"/>
      <c r="AD316" s="1" t="s">
        <v>1750</v>
      </c>
      <c r="AE316" s="18"/>
      <c r="AF316" s="18"/>
      <c r="AG316" s="18"/>
      <c r="AH316" s="18"/>
      <c r="AI316" s="18"/>
      <c r="AJ316" s="18"/>
      <c r="AK316" s="18"/>
      <c r="AL316" s="6" t="str">
        <f t="array" ref="AL316">IFERROR(IFS(XLOOKUP(B316, 'Kit Delivery Status'!$U:$U, 'Kit Delivery Status'!$K:$K) = "Complete", "DELIVERED", XLOOKUP(B316, 'Kit Delivery Status'!$U:$U, 'Kit Delivery Status'!$K:$K) = "Issue", "ISSUE"), "")</f>
        <v/>
      </c>
      <c r="AM316" s="6"/>
    </row>
    <row r="317">
      <c r="A317" s="5" t="s">
        <v>1751</v>
      </c>
      <c r="B317" s="1" t="s">
        <v>1752</v>
      </c>
      <c r="C317" s="1" t="s">
        <v>1753</v>
      </c>
      <c r="D317" s="2">
        <v>7.734854416E9</v>
      </c>
      <c r="E317" s="1" t="s">
        <v>1754</v>
      </c>
      <c r="F317" s="1"/>
      <c r="G317" s="1" t="s">
        <v>1755</v>
      </c>
      <c r="H317" s="1" t="s">
        <v>1019</v>
      </c>
      <c r="I317" s="1">
        <v>60126.0</v>
      </c>
      <c r="J317" s="1" t="s">
        <v>752</v>
      </c>
      <c r="K317" s="1" t="s">
        <v>66</v>
      </c>
      <c r="L317" s="1" t="s">
        <v>1355</v>
      </c>
      <c r="M317" s="1">
        <v>145.0</v>
      </c>
      <c r="N317" s="1"/>
      <c r="O317" s="3" t="s">
        <v>1255</v>
      </c>
      <c r="P317" s="18">
        <v>45883.0</v>
      </c>
      <c r="Q317" s="1"/>
      <c r="R317" s="1"/>
      <c r="S317" s="1"/>
      <c r="T317" s="1"/>
      <c r="U317" s="1" t="s">
        <v>956</v>
      </c>
      <c r="V317" s="4" t="s">
        <v>1255</v>
      </c>
      <c r="W317" s="1"/>
      <c r="X317" s="18">
        <v>45883.0</v>
      </c>
      <c r="Y317" s="1"/>
      <c r="Z317" s="1"/>
      <c r="AA317" s="1"/>
      <c r="AB317" s="1"/>
      <c r="AC317" s="1"/>
      <c r="AD317" s="1"/>
      <c r="AE317" s="18"/>
      <c r="AF317" s="18"/>
      <c r="AG317" s="18"/>
      <c r="AH317" s="18"/>
      <c r="AI317" s="18"/>
      <c r="AJ317" s="18"/>
      <c r="AK317" s="18"/>
      <c r="AL317" s="6" t="str">
        <f t="array" ref="AL317">IFERROR(IFS(XLOOKUP(B317, 'Kit Delivery Status'!$U:$U, 'Kit Delivery Status'!$K:$K) = "Complete", "DELIVERED", XLOOKUP(B317, 'Kit Delivery Status'!$U:$U, 'Kit Delivery Status'!$K:$K) = "Issue", "ISSUE"), "")</f>
        <v/>
      </c>
      <c r="AM317" s="6"/>
    </row>
    <row r="318">
      <c r="A318" s="5" t="s">
        <v>1756</v>
      </c>
      <c r="B318" s="1" t="s">
        <v>1757</v>
      </c>
      <c r="C318" s="1" t="s">
        <v>1758</v>
      </c>
      <c r="D318" s="2">
        <v>8619821577767</v>
      </c>
      <c r="E318" s="1" t="s">
        <v>1759</v>
      </c>
      <c r="F318" s="1"/>
      <c r="G318" s="1" t="s">
        <v>1760</v>
      </c>
      <c r="H318" s="1" t="s">
        <v>1155</v>
      </c>
      <c r="I318" s="1">
        <v>63105.0</v>
      </c>
      <c r="J318" s="1" t="s">
        <v>752</v>
      </c>
      <c r="K318" s="1" t="s">
        <v>66</v>
      </c>
      <c r="L318" s="1" t="s">
        <v>1355</v>
      </c>
      <c r="M318" s="1">
        <v>145.0</v>
      </c>
      <c r="N318" s="1"/>
      <c r="O318" s="3" t="s">
        <v>1761</v>
      </c>
      <c r="P318" s="18">
        <v>45882.0</v>
      </c>
      <c r="Q318" s="1"/>
      <c r="R318" s="1"/>
      <c r="S318" s="1"/>
      <c r="T318" s="1"/>
      <c r="U318" s="1" t="s">
        <v>1487</v>
      </c>
      <c r="V318" s="4" t="s">
        <v>1761</v>
      </c>
      <c r="W318" s="1"/>
      <c r="X318" s="18">
        <v>45882.0</v>
      </c>
      <c r="Y318" s="1"/>
      <c r="Z318" s="1"/>
      <c r="AA318" s="1"/>
      <c r="AB318" s="1"/>
      <c r="AC318" s="1"/>
      <c r="AD318" s="1"/>
      <c r="AE318" s="18"/>
      <c r="AF318" s="18"/>
      <c r="AG318" s="18"/>
      <c r="AH318" s="18"/>
      <c r="AI318" s="18"/>
      <c r="AJ318" s="18"/>
      <c r="AK318" s="18"/>
      <c r="AL318" s="6" t="str">
        <f t="array" ref="AL318">IFERROR(IFS(XLOOKUP(B318, 'Kit Delivery Status'!$U:$U, 'Kit Delivery Status'!$K:$K) = "Complete", "DELIVERED", XLOOKUP(B318, 'Kit Delivery Status'!$U:$U, 'Kit Delivery Status'!$K:$K) = "Issue", "ISSUE"), "")</f>
        <v/>
      </c>
      <c r="AM318" s="6"/>
    </row>
    <row r="319">
      <c r="A319" s="5" t="s">
        <v>1762</v>
      </c>
      <c r="B319" s="1" t="s">
        <v>1763</v>
      </c>
      <c r="C319" s="1" t="s">
        <v>1764</v>
      </c>
      <c r="D319" s="2">
        <v>1.9176502759E10</v>
      </c>
      <c r="E319" s="1" t="s">
        <v>1765</v>
      </c>
      <c r="F319" s="1"/>
      <c r="G319" s="1" t="s">
        <v>1766</v>
      </c>
      <c r="H319" s="1" t="s">
        <v>1078</v>
      </c>
      <c r="I319" s="1">
        <v>6830.0</v>
      </c>
      <c r="J319" s="1" t="s">
        <v>752</v>
      </c>
      <c r="K319" s="1" t="s">
        <v>75</v>
      </c>
      <c r="L319" s="19" t="s">
        <v>808</v>
      </c>
      <c r="M319" s="1">
        <v>49.0</v>
      </c>
      <c r="N319" s="1" t="s">
        <v>52</v>
      </c>
      <c r="O319" s="3" t="s">
        <v>1767</v>
      </c>
      <c r="P319" s="18">
        <v>45883.0</v>
      </c>
      <c r="Q319" s="1"/>
      <c r="R319" s="1"/>
      <c r="S319" s="1" t="s">
        <v>52</v>
      </c>
      <c r="T319" s="1" t="s">
        <v>52</v>
      </c>
      <c r="U319" s="1" t="s">
        <v>1133</v>
      </c>
      <c r="V319" s="4" t="s">
        <v>1767</v>
      </c>
      <c r="W319" s="1"/>
      <c r="X319" s="18">
        <v>45883.0</v>
      </c>
      <c r="Y319" s="1"/>
      <c r="Z319" s="1" t="s">
        <v>808</v>
      </c>
      <c r="AA319" s="1"/>
      <c r="AB319" s="1" t="s">
        <v>52</v>
      </c>
      <c r="AC319" s="1"/>
      <c r="AD319" s="1" t="s">
        <v>1768</v>
      </c>
      <c r="AE319" s="18"/>
      <c r="AF319" s="18"/>
      <c r="AG319" s="18"/>
      <c r="AH319" s="18"/>
      <c r="AI319" s="18"/>
      <c r="AJ319" s="18"/>
      <c r="AK319" s="18"/>
      <c r="AL319" s="6" t="str">
        <f t="array" ref="AL319">IFERROR(IFS(XLOOKUP(B319, 'Kit Delivery Status'!$U:$U, 'Kit Delivery Status'!$K:$K) = "Complete", "DELIVERED", XLOOKUP(B319, 'Kit Delivery Status'!$U:$U, 'Kit Delivery Status'!$K:$K) = "Issue", "ISSUE"), "")</f>
        <v/>
      </c>
      <c r="AM319" s="6"/>
    </row>
    <row r="320">
      <c r="A320" s="5" t="s">
        <v>1769</v>
      </c>
      <c r="B320" s="1" t="s">
        <v>1770</v>
      </c>
      <c r="C320" s="1" t="s">
        <v>1771</v>
      </c>
      <c r="D320" s="2">
        <v>8.326870602E9</v>
      </c>
      <c r="E320" s="1" t="s">
        <v>1772</v>
      </c>
      <c r="F320" s="1"/>
      <c r="G320" s="1" t="s">
        <v>1609</v>
      </c>
      <c r="H320" s="1" t="s">
        <v>1583</v>
      </c>
      <c r="I320" s="1">
        <v>77083.0</v>
      </c>
      <c r="J320" s="1" t="s">
        <v>752</v>
      </c>
      <c r="K320" s="1" t="s">
        <v>66</v>
      </c>
      <c r="L320" s="1" t="s">
        <v>1340</v>
      </c>
      <c r="M320" s="1">
        <v>210.0</v>
      </c>
      <c r="N320" s="1"/>
      <c r="O320" s="3" t="s">
        <v>1773</v>
      </c>
      <c r="P320" s="18">
        <v>45883.0</v>
      </c>
      <c r="Q320" s="1"/>
      <c r="R320" s="1"/>
      <c r="S320" s="1"/>
      <c r="T320" s="1"/>
      <c r="U320" s="1" t="s">
        <v>1749</v>
      </c>
      <c r="V320" s="4" t="s">
        <v>1773</v>
      </c>
      <c r="W320" s="1"/>
      <c r="X320" s="18">
        <v>45883.0</v>
      </c>
      <c r="Y320" s="1"/>
      <c r="Z320" s="1"/>
      <c r="AA320" s="1"/>
      <c r="AB320" s="1"/>
      <c r="AC320" s="1"/>
      <c r="AD320" s="1"/>
      <c r="AE320" s="18"/>
      <c r="AF320" s="18"/>
      <c r="AG320" s="18"/>
      <c r="AH320" s="18"/>
      <c r="AI320" s="18"/>
      <c r="AJ320" s="18"/>
      <c r="AK320" s="18"/>
      <c r="AL320" s="6" t="str">
        <f t="array" ref="AL320">IFERROR(IFS(XLOOKUP(B320, 'Kit Delivery Status'!$U:$U, 'Kit Delivery Status'!$K:$K) = "Complete", "DELIVERED", XLOOKUP(B320, 'Kit Delivery Status'!$U:$U, 'Kit Delivery Status'!$K:$K) = "Issue", "ISSUE"), "")</f>
        <v/>
      </c>
      <c r="AM320" s="6"/>
    </row>
    <row r="321">
      <c r="A321" s="5" t="s">
        <v>1774</v>
      </c>
      <c r="B321" s="1" t="s">
        <v>1775</v>
      </c>
      <c r="C321" s="1" t="s">
        <v>1771</v>
      </c>
      <c r="D321" s="2">
        <v>8.32718682E9</v>
      </c>
      <c r="E321" s="1" t="s">
        <v>1776</v>
      </c>
      <c r="F321" s="1"/>
      <c r="G321" s="1" t="s">
        <v>1609</v>
      </c>
      <c r="H321" s="1" t="s">
        <v>1583</v>
      </c>
      <c r="I321" s="1">
        <v>77083.0</v>
      </c>
      <c r="J321" s="1" t="s">
        <v>752</v>
      </c>
      <c r="K321" s="1" t="s">
        <v>95</v>
      </c>
      <c r="L321" s="1" t="s">
        <v>1361</v>
      </c>
      <c r="M321" s="1">
        <v>49.0</v>
      </c>
      <c r="N321" s="1" t="s">
        <v>52</v>
      </c>
      <c r="O321" s="3" t="s">
        <v>1777</v>
      </c>
      <c r="P321" s="18">
        <v>45883.0</v>
      </c>
      <c r="Q321" s="1" t="s">
        <v>1030</v>
      </c>
      <c r="R321" s="1"/>
      <c r="S321" s="1" t="s">
        <v>52</v>
      </c>
      <c r="T321" s="1" t="s">
        <v>52</v>
      </c>
      <c r="U321" s="1" t="s">
        <v>1749</v>
      </c>
      <c r="V321" s="4" t="s">
        <v>1777</v>
      </c>
      <c r="W321" s="1"/>
      <c r="X321" s="18">
        <v>45883.0</v>
      </c>
      <c r="Y321" s="1" t="s">
        <v>1030</v>
      </c>
      <c r="Z321" s="1"/>
      <c r="AA321" s="1"/>
      <c r="AB321" s="1" t="s">
        <v>52</v>
      </c>
      <c r="AC321" s="1" t="s">
        <v>1778</v>
      </c>
      <c r="AD321" s="1"/>
      <c r="AE321" s="18"/>
      <c r="AF321" s="18"/>
      <c r="AG321" s="18"/>
      <c r="AH321" s="18"/>
      <c r="AI321" s="18"/>
      <c r="AJ321" s="18"/>
      <c r="AK321" s="18"/>
      <c r="AL321" s="6" t="str">
        <f t="array" ref="AL321">IFERROR(IFS(XLOOKUP(B321, 'Kit Delivery Status'!$U:$U, 'Kit Delivery Status'!$K:$K) = "Complete", "DELIVERED", XLOOKUP(B321, 'Kit Delivery Status'!$U:$U, 'Kit Delivery Status'!$K:$K) = "Issue", "ISSUE"), "")</f>
        <v/>
      </c>
      <c r="AM321" s="6"/>
    </row>
    <row r="322">
      <c r="A322" s="5" t="s">
        <v>1779</v>
      </c>
      <c r="B322" s="1" t="s">
        <v>1780</v>
      </c>
      <c r="C322" s="1"/>
      <c r="D322" s="2">
        <v>2.016965658E9</v>
      </c>
      <c r="E322" s="1" t="s">
        <v>1781</v>
      </c>
      <c r="F322" s="1"/>
      <c r="G322" s="1" t="s">
        <v>1528</v>
      </c>
      <c r="H322" s="1" t="s">
        <v>1053</v>
      </c>
      <c r="I322" s="1">
        <v>7631.0</v>
      </c>
      <c r="J322" s="1" t="s">
        <v>752</v>
      </c>
      <c r="K322" s="1" t="s">
        <v>66</v>
      </c>
      <c r="L322" s="1" t="s">
        <v>1355</v>
      </c>
      <c r="M322" s="1">
        <v>145.0</v>
      </c>
      <c r="N322" s="1"/>
      <c r="O322" s="3" t="s">
        <v>446</v>
      </c>
      <c r="P322" s="18">
        <v>45883.0</v>
      </c>
      <c r="Q322" s="1"/>
      <c r="R322" s="1"/>
      <c r="S322" s="1"/>
      <c r="T322" s="1"/>
      <c r="U322" s="1" t="s">
        <v>982</v>
      </c>
      <c r="V322" s="4" t="s">
        <v>446</v>
      </c>
      <c r="W322" s="1"/>
      <c r="X322" s="18">
        <v>45883.0</v>
      </c>
      <c r="Y322" s="1"/>
      <c r="Z322" s="1"/>
      <c r="AA322" s="1"/>
      <c r="AB322" s="1"/>
      <c r="AC322" s="1"/>
      <c r="AD322" s="1"/>
      <c r="AE322" s="18"/>
      <c r="AF322" s="18"/>
      <c r="AG322" s="18"/>
      <c r="AH322" s="18"/>
      <c r="AI322" s="18"/>
      <c r="AJ322" s="18"/>
      <c r="AK322" s="18"/>
      <c r="AL322" s="6" t="str">
        <f t="array" ref="AL322">IFERROR(IFS(XLOOKUP(B322, 'Kit Delivery Status'!$U:$U, 'Kit Delivery Status'!$K:$K) = "Complete", "DELIVERED", XLOOKUP(B322, 'Kit Delivery Status'!$U:$U, 'Kit Delivery Status'!$K:$K) = "Issue", "ISSUE"), "")</f>
        <v/>
      </c>
      <c r="AM322" s="6"/>
    </row>
    <row r="323">
      <c r="A323" s="5" t="s">
        <v>1782</v>
      </c>
      <c r="B323" s="1" t="s">
        <v>1783</v>
      </c>
      <c r="C323" s="1" t="s">
        <v>1784</v>
      </c>
      <c r="D323" s="2">
        <v>1.8472871066E10</v>
      </c>
      <c r="E323" s="1" t="s">
        <v>1785</v>
      </c>
      <c r="F323" s="1"/>
      <c r="G323" s="1" t="s">
        <v>1786</v>
      </c>
      <c r="H323" s="1" t="s">
        <v>1019</v>
      </c>
      <c r="I323" s="1">
        <v>60657.0</v>
      </c>
      <c r="J323" s="1" t="s">
        <v>752</v>
      </c>
      <c r="K323" s="1" t="s">
        <v>95</v>
      </c>
      <c r="L323" s="1" t="s">
        <v>1361</v>
      </c>
      <c r="M323" s="1">
        <v>49.0</v>
      </c>
      <c r="N323" s="1" t="s">
        <v>52</v>
      </c>
      <c r="O323" s="3" t="s">
        <v>168</v>
      </c>
      <c r="P323" s="18">
        <v>45883.0</v>
      </c>
      <c r="Q323" s="1" t="s">
        <v>1030</v>
      </c>
      <c r="R323" s="1"/>
      <c r="S323" s="1" t="s">
        <v>52</v>
      </c>
      <c r="T323" s="1" t="s">
        <v>52</v>
      </c>
      <c r="U323" s="1" t="s">
        <v>1039</v>
      </c>
      <c r="V323" s="4" t="s">
        <v>168</v>
      </c>
      <c r="W323" s="1"/>
      <c r="X323" s="18">
        <v>45883.0</v>
      </c>
      <c r="Y323" s="1" t="s">
        <v>1030</v>
      </c>
      <c r="Z323" s="1"/>
      <c r="AA323" s="1"/>
      <c r="AB323" s="1" t="s">
        <v>52</v>
      </c>
      <c r="AC323" s="1" t="s">
        <v>1787</v>
      </c>
      <c r="AD323" s="1"/>
      <c r="AE323" s="18"/>
      <c r="AF323" s="18"/>
      <c r="AG323" s="18"/>
      <c r="AH323" s="18"/>
      <c r="AI323" s="18"/>
      <c r="AJ323" s="18"/>
      <c r="AK323" s="18"/>
      <c r="AL323" s="6" t="str">
        <f t="array" ref="AL323">IFERROR(IFS(XLOOKUP(B323, 'Kit Delivery Status'!$U:$U, 'Kit Delivery Status'!$K:$K) = "Complete", "DELIVERED", XLOOKUP(B323, 'Kit Delivery Status'!$U:$U, 'Kit Delivery Status'!$K:$K) = "Issue", "ISSUE"), "")</f>
        <v/>
      </c>
      <c r="AM323" s="6"/>
    </row>
    <row r="324">
      <c r="A324" s="5" t="s">
        <v>1788</v>
      </c>
      <c r="B324" s="1" t="s">
        <v>1789</v>
      </c>
      <c r="C324" s="1" t="s">
        <v>1790</v>
      </c>
      <c r="D324" s="2">
        <v>8.454439805E9</v>
      </c>
      <c r="E324" s="1" t="s">
        <v>1791</v>
      </c>
      <c r="F324" s="1"/>
      <c r="G324" s="1" t="s">
        <v>1792</v>
      </c>
      <c r="H324" s="1" t="s">
        <v>1053</v>
      </c>
      <c r="I324" s="1">
        <v>7030.0</v>
      </c>
      <c r="J324" s="1" t="s">
        <v>752</v>
      </c>
      <c r="K324" s="1" t="s">
        <v>51</v>
      </c>
      <c r="L324" s="1" t="s">
        <v>1152</v>
      </c>
      <c r="M324" s="1">
        <v>1.0</v>
      </c>
      <c r="N324" s="1" t="s">
        <v>52</v>
      </c>
      <c r="O324" s="3" t="s">
        <v>1793</v>
      </c>
      <c r="P324" s="18">
        <v>45883.0</v>
      </c>
      <c r="Q324" s="1" t="s">
        <v>1030</v>
      </c>
      <c r="R324" s="1"/>
      <c r="S324" s="1" t="s">
        <v>52</v>
      </c>
      <c r="T324" s="1" t="s">
        <v>52</v>
      </c>
      <c r="U324" s="1" t="s">
        <v>1794</v>
      </c>
      <c r="V324" s="4" t="s">
        <v>1793</v>
      </c>
      <c r="W324" s="1"/>
      <c r="X324" s="18">
        <v>45883.0</v>
      </c>
      <c r="Y324" s="1" t="s">
        <v>1030</v>
      </c>
      <c r="Z324" s="1"/>
      <c r="AA324" s="1"/>
      <c r="AB324" s="1" t="s">
        <v>52</v>
      </c>
      <c r="AC324" s="1"/>
      <c r="AD324" s="1"/>
      <c r="AE324" s="18"/>
      <c r="AF324" s="18"/>
      <c r="AG324" s="18"/>
      <c r="AH324" s="18"/>
      <c r="AI324" s="18"/>
      <c r="AJ324" s="18"/>
      <c r="AK324" s="18"/>
      <c r="AL324" s="6" t="str">
        <f t="array" ref="AL324">IFERROR(IFS(XLOOKUP(B324, 'Kit Delivery Status'!$U:$U, 'Kit Delivery Status'!$K:$K) = "Complete", "DELIVERED", XLOOKUP(B324, 'Kit Delivery Status'!$U:$U, 'Kit Delivery Status'!$K:$K) = "Issue", "ISSUE"), "")</f>
        <v/>
      </c>
      <c r="AM324" s="6"/>
    </row>
    <row r="325">
      <c r="A325" s="5" t="s">
        <v>1795</v>
      </c>
      <c r="B325" s="1" t="s">
        <v>1796</v>
      </c>
      <c r="C325" s="1" t="s">
        <v>1797</v>
      </c>
      <c r="D325" s="2">
        <v>1.917626254E10</v>
      </c>
      <c r="E325" s="1" t="s">
        <v>1798</v>
      </c>
      <c r="F325" s="1"/>
      <c r="G325" s="1" t="s">
        <v>1799</v>
      </c>
      <c r="H325" s="1" t="s">
        <v>1053</v>
      </c>
      <c r="I325" s="1">
        <v>7670.0</v>
      </c>
      <c r="J325" s="1" t="s">
        <v>752</v>
      </c>
      <c r="K325" s="1" t="s">
        <v>66</v>
      </c>
      <c r="L325" s="1" t="s">
        <v>1340</v>
      </c>
      <c r="M325" s="1">
        <v>210.0</v>
      </c>
      <c r="N325" s="1"/>
      <c r="O325" s="3" t="s">
        <v>1800</v>
      </c>
      <c r="P325" s="18">
        <v>45883.0</v>
      </c>
      <c r="Q325" s="1"/>
      <c r="R325" s="1"/>
      <c r="S325" s="1"/>
      <c r="T325" s="1"/>
      <c r="U325" s="1" t="s">
        <v>1249</v>
      </c>
      <c r="V325" s="4" t="s">
        <v>1800</v>
      </c>
      <c r="W325" s="1"/>
      <c r="X325" s="18">
        <v>45883.0</v>
      </c>
      <c r="Y325" s="1"/>
      <c r="Z325" s="1"/>
      <c r="AA325" s="1"/>
      <c r="AB325" s="1"/>
      <c r="AC325" s="1"/>
      <c r="AD325" s="1"/>
      <c r="AE325" s="18"/>
      <c r="AF325" s="18"/>
      <c r="AG325" s="18"/>
      <c r="AH325" s="18"/>
      <c r="AI325" s="18"/>
      <c r="AJ325" s="18"/>
      <c r="AK325" s="18"/>
      <c r="AL325" s="6" t="str">
        <f t="array" ref="AL325">IFERROR(IFS(XLOOKUP(B325, 'Kit Delivery Status'!$U:$U, 'Kit Delivery Status'!$K:$K) = "Complete", "DELIVERED", XLOOKUP(B325, 'Kit Delivery Status'!$U:$U, 'Kit Delivery Status'!$K:$K) = "Issue", "ISSUE"), "")</f>
        <v/>
      </c>
      <c r="AM325" s="6"/>
    </row>
    <row r="326">
      <c r="A326" s="5" t="s">
        <v>1801</v>
      </c>
      <c r="B326" s="1" t="s">
        <v>1802</v>
      </c>
      <c r="C326" s="1"/>
      <c r="D326" s="2">
        <v>6.156090081E9</v>
      </c>
      <c r="E326" s="1" t="s">
        <v>1803</v>
      </c>
      <c r="F326" s="1"/>
      <c r="G326" s="1" t="s">
        <v>1804</v>
      </c>
      <c r="H326" s="1" t="s">
        <v>1598</v>
      </c>
      <c r="I326" s="1">
        <v>37204.0</v>
      </c>
      <c r="J326" s="1" t="s">
        <v>752</v>
      </c>
      <c r="K326" s="1" t="s">
        <v>66</v>
      </c>
      <c r="L326" s="1" t="s">
        <v>1355</v>
      </c>
      <c r="M326" s="1">
        <v>145.0</v>
      </c>
      <c r="N326" s="1"/>
      <c r="O326" s="3" t="s">
        <v>1805</v>
      </c>
      <c r="P326" s="18">
        <v>45883.0</v>
      </c>
      <c r="Q326" s="1"/>
      <c r="R326" s="1"/>
      <c r="S326" s="1"/>
      <c r="T326" s="1"/>
      <c r="U326" s="1" t="s">
        <v>1407</v>
      </c>
      <c r="V326" s="4" t="s">
        <v>1805</v>
      </c>
      <c r="W326" s="1"/>
      <c r="X326" s="18">
        <v>45883.0</v>
      </c>
      <c r="Y326" s="1"/>
      <c r="Z326" s="1"/>
      <c r="AA326" s="1"/>
      <c r="AB326" s="1"/>
      <c r="AC326" s="1"/>
      <c r="AD326" s="1"/>
      <c r="AE326" s="18"/>
      <c r="AF326" s="18"/>
      <c r="AG326" s="18"/>
      <c r="AH326" s="18"/>
      <c r="AI326" s="18"/>
      <c r="AJ326" s="18"/>
      <c r="AK326" s="18"/>
      <c r="AL326" s="6" t="str">
        <f t="array" ref="AL326">IFERROR(IFS(XLOOKUP(B326, 'Kit Delivery Status'!$U:$U, 'Kit Delivery Status'!$K:$K) = "Complete", "DELIVERED", XLOOKUP(B326, 'Kit Delivery Status'!$U:$U, 'Kit Delivery Status'!$K:$K) = "Issue", "ISSUE"), "")</f>
        <v/>
      </c>
      <c r="AM326" s="6"/>
    </row>
    <row r="327">
      <c r="A327" s="5" t="s">
        <v>1801</v>
      </c>
      <c r="B327" s="1" t="s">
        <v>1802</v>
      </c>
      <c r="C327" s="1"/>
      <c r="D327" s="2">
        <v>6.156090081E9</v>
      </c>
      <c r="E327" s="1" t="s">
        <v>1803</v>
      </c>
      <c r="F327" s="1"/>
      <c r="G327" s="1" t="s">
        <v>1804</v>
      </c>
      <c r="H327" s="1" t="s">
        <v>1598</v>
      </c>
      <c r="I327" s="1">
        <v>37204.0</v>
      </c>
      <c r="J327" s="1" t="s">
        <v>752</v>
      </c>
      <c r="K327" s="1" t="s">
        <v>51</v>
      </c>
      <c r="L327" s="1" t="s">
        <v>1152</v>
      </c>
      <c r="M327" s="1">
        <v>1.0</v>
      </c>
      <c r="N327" s="1" t="s">
        <v>52</v>
      </c>
      <c r="O327" s="3" t="s">
        <v>1806</v>
      </c>
      <c r="P327" s="18">
        <v>45883.0</v>
      </c>
      <c r="Q327" s="1" t="s">
        <v>1030</v>
      </c>
      <c r="R327" s="1"/>
      <c r="S327" s="1" t="s">
        <v>52</v>
      </c>
      <c r="T327" s="1" t="s">
        <v>52</v>
      </c>
      <c r="U327" s="1" t="s">
        <v>1407</v>
      </c>
      <c r="V327" s="4" t="s">
        <v>1806</v>
      </c>
      <c r="W327" s="1"/>
      <c r="X327" s="18">
        <v>45883.0</v>
      </c>
      <c r="Y327" s="1" t="s">
        <v>1030</v>
      </c>
      <c r="Z327" s="1"/>
      <c r="AA327" s="1"/>
      <c r="AB327" s="1" t="s">
        <v>52</v>
      </c>
      <c r="AC327" s="1"/>
      <c r="AD327" s="1"/>
      <c r="AE327" s="18"/>
      <c r="AF327" s="18"/>
      <c r="AG327" s="18"/>
      <c r="AH327" s="18"/>
      <c r="AI327" s="18"/>
      <c r="AJ327" s="18"/>
      <c r="AK327" s="18"/>
      <c r="AL327" s="6" t="str">
        <f t="array" ref="AL327">IFERROR(IFS(XLOOKUP(B327, 'Kit Delivery Status'!$U:$U, 'Kit Delivery Status'!$K:$K) = "Complete", "DELIVERED", XLOOKUP(B327, 'Kit Delivery Status'!$U:$U, 'Kit Delivery Status'!$K:$K) = "Issue", "ISSUE"), "")</f>
        <v/>
      </c>
      <c r="AM327" s="6"/>
    </row>
    <row r="328">
      <c r="A328" s="5" t="s">
        <v>1807</v>
      </c>
      <c r="B328" s="1" t="s">
        <v>1808</v>
      </c>
      <c r="C328" s="1"/>
      <c r="D328" s="2">
        <v>1.9737585833E10</v>
      </c>
      <c r="E328" s="1" t="s">
        <v>1809</v>
      </c>
      <c r="F328" s="1"/>
      <c r="G328" s="1" t="s">
        <v>1810</v>
      </c>
      <c r="H328" s="1" t="s">
        <v>1053</v>
      </c>
      <c r="I328" s="1">
        <v>7079.0</v>
      </c>
      <c r="J328" s="1" t="s">
        <v>752</v>
      </c>
      <c r="K328" s="1" t="s">
        <v>66</v>
      </c>
      <c r="L328" s="1" t="s">
        <v>1355</v>
      </c>
      <c r="M328" s="1">
        <v>145.0</v>
      </c>
      <c r="N328" s="1"/>
      <c r="O328" s="3" t="s">
        <v>1811</v>
      </c>
      <c r="P328" s="18">
        <v>45891.0</v>
      </c>
      <c r="Q328" s="1"/>
      <c r="R328" s="1"/>
      <c r="S328" s="1"/>
      <c r="T328" s="1"/>
      <c r="U328" s="1" t="s">
        <v>1812</v>
      </c>
      <c r="V328" s="4" t="s">
        <v>1811</v>
      </c>
      <c r="W328" s="1"/>
      <c r="X328" s="18">
        <v>45891.0</v>
      </c>
      <c r="Y328" s="1"/>
      <c r="Z328" s="1"/>
      <c r="AA328" s="1"/>
      <c r="AB328" s="1"/>
      <c r="AC328" s="1"/>
      <c r="AD328" s="1"/>
      <c r="AE328" s="18"/>
      <c r="AF328" s="18"/>
      <c r="AG328" s="18"/>
      <c r="AH328" s="18"/>
      <c r="AI328" s="18"/>
      <c r="AJ328" s="18"/>
      <c r="AK328" s="18"/>
      <c r="AL328" s="6" t="str">
        <f t="array" ref="AL328">IFERROR(IFS(XLOOKUP(B328, 'Kit Delivery Status'!$U:$U, 'Kit Delivery Status'!$K:$K) = "Complete", "DELIVERED", XLOOKUP(B328, 'Kit Delivery Status'!$U:$U, 'Kit Delivery Status'!$K:$K) = "Issue", "ISSUE"), "")</f>
        <v/>
      </c>
      <c r="AM328" s="6"/>
    </row>
    <row r="329">
      <c r="A329" s="5" t="s">
        <v>1813</v>
      </c>
      <c r="B329" s="1" t="s">
        <v>1814</v>
      </c>
      <c r="C329" s="1" t="s">
        <v>1815</v>
      </c>
      <c r="D329" s="2">
        <v>6.154140682E9</v>
      </c>
      <c r="E329" s="1" t="s">
        <v>1816</v>
      </c>
      <c r="F329" s="1"/>
      <c r="G329" s="1" t="s">
        <v>1817</v>
      </c>
      <c r="H329" s="1" t="s">
        <v>1598</v>
      </c>
      <c r="I329" s="1">
        <v>37027.0</v>
      </c>
      <c r="J329" s="1" t="s">
        <v>752</v>
      </c>
      <c r="K329" s="1" t="s">
        <v>66</v>
      </c>
      <c r="L329" s="1" t="s">
        <v>1355</v>
      </c>
      <c r="M329" s="1">
        <v>145.0</v>
      </c>
      <c r="N329" s="1"/>
      <c r="O329" s="3" t="s">
        <v>1818</v>
      </c>
      <c r="P329" s="18">
        <v>45890.0</v>
      </c>
      <c r="Q329" s="1"/>
      <c r="R329" s="1"/>
      <c r="S329" s="1"/>
      <c r="T329" s="1"/>
      <c r="U329" s="1" t="s">
        <v>1441</v>
      </c>
      <c r="V329" s="4" t="s">
        <v>1818</v>
      </c>
      <c r="W329" s="1"/>
      <c r="X329" s="18">
        <v>45890.0</v>
      </c>
      <c r="Y329" s="1"/>
      <c r="Z329" s="1"/>
      <c r="AA329" s="1"/>
      <c r="AB329" s="1"/>
      <c r="AC329" s="1"/>
      <c r="AD329" s="1"/>
      <c r="AE329" s="18"/>
      <c r="AF329" s="18"/>
      <c r="AG329" s="18"/>
      <c r="AH329" s="18"/>
      <c r="AI329" s="18"/>
      <c r="AJ329" s="18"/>
      <c r="AK329" s="18"/>
      <c r="AL329" s="6" t="str">
        <f t="array" ref="AL329">IFERROR(IFS(XLOOKUP(B329, 'Kit Delivery Status'!$U:$U, 'Kit Delivery Status'!$K:$K) = "Complete", "DELIVERED", XLOOKUP(B329, 'Kit Delivery Status'!$U:$U, 'Kit Delivery Status'!$K:$K) = "Issue", "ISSUE"), "")</f>
        <v/>
      </c>
      <c r="AM329" s="6"/>
    </row>
    <row r="330">
      <c r="A330" s="5" t="s">
        <v>1819</v>
      </c>
      <c r="B330" s="1" t="s">
        <v>1820</v>
      </c>
      <c r="C330" s="1" t="s">
        <v>1821</v>
      </c>
      <c r="D330" s="2">
        <v>2.127122425E9</v>
      </c>
      <c r="E330" s="1" t="s">
        <v>1822</v>
      </c>
      <c r="F330" s="1"/>
      <c r="G330" s="1" t="s">
        <v>751</v>
      </c>
      <c r="H330" s="1" t="s">
        <v>751</v>
      </c>
      <c r="I330" s="1">
        <v>10025.0</v>
      </c>
      <c r="J330" s="1" t="s">
        <v>752</v>
      </c>
      <c r="K330" s="1" t="s">
        <v>66</v>
      </c>
      <c r="L330" s="1" t="s">
        <v>1355</v>
      </c>
      <c r="M330" s="1">
        <v>145.0</v>
      </c>
      <c r="N330" s="1"/>
      <c r="O330" s="3" t="s">
        <v>1823</v>
      </c>
      <c r="P330" s="18">
        <v>45883.0</v>
      </c>
      <c r="Q330" s="1"/>
      <c r="R330" s="1"/>
      <c r="S330" s="1"/>
      <c r="T330" s="1"/>
      <c r="U330" s="1" t="s">
        <v>1812</v>
      </c>
      <c r="V330" s="4" t="s">
        <v>1823</v>
      </c>
      <c r="W330" s="1"/>
      <c r="X330" s="18">
        <v>45883.0</v>
      </c>
      <c r="Y330" s="1"/>
      <c r="Z330" s="1"/>
      <c r="AA330" s="1"/>
      <c r="AB330" s="1"/>
      <c r="AC330" s="1"/>
      <c r="AD330" s="1"/>
      <c r="AE330" s="18"/>
      <c r="AF330" s="18"/>
      <c r="AG330" s="18"/>
      <c r="AH330" s="18"/>
      <c r="AI330" s="18"/>
      <c r="AJ330" s="18"/>
      <c r="AK330" s="18"/>
      <c r="AL330" s="6" t="str">
        <f t="array" ref="AL330">IFERROR(IFS(XLOOKUP(B330, 'Kit Delivery Status'!$U:$U, 'Kit Delivery Status'!$K:$K) = "Complete", "DELIVERED", XLOOKUP(B330, 'Kit Delivery Status'!$U:$U, 'Kit Delivery Status'!$K:$K) = "Issue", "ISSUE"), "")</f>
        <v/>
      </c>
      <c r="AM330" s="6"/>
    </row>
    <row r="331">
      <c r="A331" s="5" t="s">
        <v>1824</v>
      </c>
      <c r="B331" s="1" t="s">
        <v>1825</v>
      </c>
      <c r="C331" s="1"/>
      <c r="D331" s="2">
        <v>19177165165</v>
      </c>
      <c r="E331" s="1" t="s">
        <v>1826</v>
      </c>
      <c r="F331" s="1"/>
      <c r="G331" s="1" t="s">
        <v>1480</v>
      </c>
      <c r="H331" s="1" t="s">
        <v>751</v>
      </c>
      <c r="I331" s="1">
        <v>11557.0</v>
      </c>
      <c r="J331" s="1" t="s">
        <v>752</v>
      </c>
      <c r="K331" s="1" t="s">
        <v>51</v>
      </c>
      <c r="L331" s="1" t="s">
        <v>1152</v>
      </c>
      <c r="M331" s="1">
        <v>1.0</v>
      </c>
      <c r="N331" s="1" t="s">
        <v>52</v>
      </c>
      <c r="O331" s="3" t="s">
        <v>1827</v>
      </c>
      <c r="P331" s="18">
        <v>45883.0</v>
      </c>
      <c r="Q331" s="1" t="s">
        <v>1030</v>
      </c>
      <c r="R331" s="1"/>
      <c r="S331" s="1" t="s">
        <v>52</v>
      </c>
      <c r="T331" s="1" t="s">
        <v>52</v>
      </c>
      <c r="U331" s="1" t="s">
        <v>1828</v>
      </c>
      <c r="V331" s="4" t="s">
        <v>1827</v>
      </c>
      <c r="W331" s="1"/>
      <c r="X331" s="18">
        <v>45883.0</v>
      </c>
      <c r="Y331" s="1" t="s">
        <v>1030</v>
      </c>
      <c r="Z331" s="1"/>
      <c r="AA331" s="1"/>
      <c r="AB331" s="1" t="s">
        <v>52</v>
      </c>
      <c r="AC331" s="1"/>
      <c r="AD331" s="1"/>
      <c r="AE331" s="18"/>
      <c r="AF331" s="18"/>
      <c r="AG331" s="18"/>
      <c r="AH331" s="18"/>
      <c r="AI331" s="18"/>
      <c r="AJ331" s="18"/>
      <c r="AK331" s="18"/>
      <c r="AL331" s="6" t="str">
        <f t="array" ref="AL331">IFERROR(IFS(XLOOKUP(B331, 'Kit Delivery Status'!$U:$U, 'Kit Delivery Status'!$K:$K) = "Complete", "DELIVERED", XLOOKUP(B331, 'Kit Delivery Status'!$U:$U, 'Kit Delivery Status'!$K:$K) = "Issue", "ISSUE"), "")</f>
        <v/>
      </c>
      <c r="AM331" s="6"/>
    </row>
    <row r="332">
      <c r="A332" s="5" t="s">
        <v>1829</v>
      </c>
      <c r="B332" s="1" t="s">
        <v>1830</v>
      </c>
      <c r="C332" s="1"/>
      <c r="D332" s="2">
        <v>2.032581107E9</v>
      </c>
      <c r="E332" s="1" t="s">
        <v>1831</v>
      </c>
      <c r="F332" s="1"/>
      <c r="G332" s="1" t="s">
        <v>1604</v>
      </c>
      <c r="H332" s="1" t="s">
        <v>1078</v>
      </c>
      <c r="I332" s="1">
        <v>6880.0</v>
      </c>
      <c r="J332" s="1" t="s">
        <v>752</v>
      </c>
      <c r="K332" s="1" t="s">
        <v>75</v>
      </c>
      <c r="L332" s="19" t="s">
        <v>808</v>
      </c>
      <c r="M332" s="1">
        <v>49.0</v>
      </c>
      <c r="N332" s="1" t="s">
        <v>52</v>
      </c>
      <c r="O332" s="3" t="s">
        <v>1832</v>
      </c>
      <c r="P332" s="18">
        <v>45883.0</v>
      </c>
      <c r="Q332" s="1"/>
      <c r="R332" s="1"/>
      <c r="S332" s="1" t="s">
        <v>52</v>
      </c>
      <c r="T332" s="1" t="s">
        <v>52</v>
      </c>
      <c r="U332" s="1" t="s">
        <v>1039</v>
      </c>
      <c r="V332" s="4" t="s">
        <v>1832</v>
      </c>
      <c r="W332" s="1"/>
      <c r="X332" s="18">
        <v>45883.0</v>
      </c>
      <c r="Y332" s="1"/>
      <c r="Z332" s="1" t="s">
        <v>808</v>
      </c>
      <c r="AA332" s="1"/>
      <c r="AB332" s="1" t="s">
        <v>52</v>
      </c>
      <c r="AC332" s="1"/>
      <c r="AD332" s="1" t="s">
        <v>1833</v>
      </c>
      <c r="AE332" s="18"/>
      <c r="AF332" s="18"/>
      <c r="AG332" s="18"/>
      <c r="AH332" s="18"/>
      <c r="AI332" s="18"/>
      <c r="AJ332" s="18"/>
      <c r="AK332" s="18"/>
      <c r="AL332" s="6" t="str">
        <f t="array" ref="AL332">IFERROR(IFS(XLOOKUP(B332, 'Kit Delivery Status'!$U:$U, 'Kit Delivery Status'!$K:$K) = "Complete", "DELIVERED", XLOOKUP(B332, 'Kit Delivery Status'!$U:$U, 'Kit Delivery Status'!$K:$K) = "Issue", "ISSUE"), "")</f>
        <v/>
      </c>
      <c r="AM332" s="6"/>
    </row>
    <row r="333">
      <c r="A333" s="5" t="s">
        <v>1834</v>
      </c>
      <c r="B333" s="1" t="s">
        <v>1835</v>
      </c>
      <c r="C333" s="1" t="s">
        <v>1836</v>
      </c>
      <c r="D333" s="2">
        <v>8.478340792E9</v>
      </c>
      <c r="E333" s="1" t="s">
        <v>1837</v>
      </c>
      <c r="F333" s="1"/>
      <c r="G333" s="1" t="s">
        <v>1838</v>
      </c>
      <c r="H333" s="1" t="s">
        <v>1019</v>
      </c>
      <c r="I333" s="1">
        <v>60026.0</v>
      </c>
      <c r="J333" s="1" t="s">
        <v>752</v>
      </c>
      <c r="K333" s="1" t="s">
        <v>66</v>
      </c>
      <c r="L333" s="1" t="s">
        <v>1355</v>
      </c>
      <c r="M333" s="1">
        <v>145.0</v>
      </c>
      <c r="N333" s="1"/>
      <c r="O333" s="3" t="s">
        <v>1839</v>
      </c>
      <c r="P333" s="18">
        <v>45883.0</v>
      </c>
      <c r="Q333" s="1"/>
      <c r="R333" s="1"/>
      <c r="S333" s="1"/>
      <c r="T333" s="1"/>
      <c r="U333" s="1" t="s">
        <v>1407</v>
      </c>
      <c r="V333" s="4" t="s">
        <v>1839</v>
      </c>
      <c r="W333" s="1"/>
      <c r="X333" s="18">
        <v>45883.0</v>
      </c>
      <c r="Y333" s="1"/>
      <c r="Z333" s="1"/>
      <c r="AA333" s="1"/>
      <c r="AB333" s="1"/>
      <c r="AC333" s="1"/>
      <c r="AD333" s="1"/>
      <c r="AE333" s="18"/>
      <c r="AF333" s="18"/>
      <c r="AG333" s="18"/>
      <c r="AH333" s="18"/>
      <c r="AI333" s="18"/>
      <c r="AJ333" s="18"/>
      <c r="AK333" s="18"/>
      <c r="AL333" s="6" t="str">
        <f t="array" ref="AL333">IFERROR(IFS(XLOOKUP(B333, 'Kit Delivery Status'!$U:$U, 'Kit Delivery Status'!$K:$K) = "Complete", "DELIVERED", XLOOKUP(B333, 'Kit Delivery Status'!$U:$U, 'Kit Delivery Status'!$K:$K) = "Issue", "ISSUE"), "")</f>
        <v/>
      </c>
      <c r="AM333" s="6"/>
    </row>
    <row r="334">
      <c r="A334" s="5" t="s">
        <v>1840</v>
      </c>
      <c r="B334" s="1" t="s">
        <v>1841</v>
      </c>
      <c r="C334" s="1"/>
      <c r="D334" s="2">
        <v>2.145927361E9</v>
      </c>
      <c r="E334" s="1" t="s">
        <v>1842</v>
      </c>
      <c r="F334" s="1"/>
      <c r="G334" s="1" t="s">
        <v>1843</v>
      </c>
      <c r="H334" s="1" t="s">
        <v>1583</v>
      </c>
      <c r="I334" s="1">
        <v>75063.0</v>
      </c>
      <c r="J334" s="1" t="s">
        <v>752</v>
      </c>
      <c r="K334" s="1" t="s">
        <v>66</v>
      </c>
      <c r="L334" s="1" t="s">
        <v>1340</v>
      </c>
      <c r="M334" s="1">
        <v>210.0</v>
      </c>
      <c r="N334" s="1"/>
      <c r="O334" s="3" t="s">
        <v>1844</v>
      </c>
      <c r="P334" s="18">
        <v>45883.0</v>
      </c>
      <c r="Q334" s="1"/>
      <c r="R334" s="1"/>
      <c r="S334" s="1"/>
      <c r="T334" s="1"/>
      <c r="U334" s="1" t="s">
        <v>1039</v>
      </c>
      <c r="V334" s="4" t="s">
        <v>1844</v>
      </c>
      <c r="W334" s="1"/>
      <c r="X334" s="18">
        <v>45883.0</v>
      </c>
      <c r="Y334" s="1"/>
      <c r="Z334" s="1"/>
      <c r="AA334" s="1"/>
      <c r="AB334" s="1"/>
      <c r="AC334" s="1"/>
      <c r="AD334" s="1"/>
      <c r="AE334" s="18"/>
      <c r="AF334" s="18"/>
      <c r="AG334" s="18"/>
      <c r="AH334" s="18"/>
      <c r="AI334" s="18"/>
      <c r="AJ334" s="18"/>
      <c r="AK334" s="18"/>
      <c r="AL334" s="6" t="str">
        <f t="array" ref="AL334">IFERROR(IFS(XLOOKUP(B334, 'Kit Delivery Status'!$U:$U, 'Kit Delivery Status'!$K:$K) = "Complete", "DELIVERED", XLOOKUP(B334, 'Kit Delivery Status'!$U:$U, 'Kit Delivery Status'!$K:$K) = "Issue", "ISSUE"), "")</f>
        <v/>
      </c>
      <c r="AM334" s="6"/>
    </row>
    <row r="335">
      <c r="A335" s="5" t="s">
        <v>1845</v>
      </c>
      <c r="B335" s="1" t="s">
        <v>1846</v>
      </c>
      <c r="C335" s="1"/>
      <c r="D335" s="2">
        <v>3.606749649E9</v>
      </c>
      <c r="E335" s="1" t="s">
        <v>1847</v>
      </c>
      <c r="F335" s="1"/>
      <c r="G335" s="1" t="s">
        <v>1848</v>
      </c>
      <c r="H335" s="1" t="s">
        <v>980</v>
      </c>
      <c r="I335" s="1">
        <v>98118.0</v>
      </c>
      <c r="J335" s="1" t="s">
        <v>752</v>
      </c>
      <c r="K335" s="1" t="s">
        <v>66</v>
      </c>
      <c r="L335" s="1" t="s">
        <v>1355</v>
      </c>
      <c r="M335" s="1">
        <v>145.0</v>
      </c>
      <c r="N335" s="1"/>
      <c r="O335" s="3" t="s">
        <v>1849</v>
      </c>
      <c r="P335" s="18">
        <v>45883.0</v>
      </c>
      <c r="Q335" s="1"/>
      <c r="R335" s="1"/>
      <c r="S335" s="1"/>
      <c r="T335" s="1"/>
      <c r="U335" s="1" t="s">
        <v>1080</v>
      </c>
      <c r="V335" s="4" t="s">
        <v>1849</v>
      </c>
      <c r="W335" s="1"/>
      <c r="X335" s="18">
        <v>45883.0</v>
      </c>
      <c r="Y335" s="1"/>
      <c r="Z335" s="1"/>
      <c r="AA335" s="1"/>
      <c r="AB335" s="1"/>
      <c r="AC335" s="1"/>
      <c r="AD335" s="1"/>
      <c r="AE335" s="18"/>
      <c r="AF335" s="18"/>
      <c r="AG335" s="18"/>
      <c r="AH335" s="18"/>
      <c r="AI335" s="18"/>
      <c r="AJ335" s="18"/>
      <c r="AK335" s="18"/>
      <c r="AL335" s="6" t="str">
        <f t="array" ref="AL335">IFERROR(IFS(XLOOKUP(B335, 'Kit Delivery Status'!$U:$U, 'Kit Delivery Status'!$K:$K) = "Complete", "DELIVERED", XLOOKUP(B335, 'Kit Delivery Status'!$U:$U, 'Kit Delivery Status'!$K:$K) = "Issue", "ISSUE"), "")</f>
        <v/>
      </c>
      <c r="AM335" s="6"/>
    </row>
    <row r="336">
      <c r="A336" s="5" t="s">
        <v>1850</v>
      </c>
      <c r="B336" s="1" t="s">
        <v>1851</v>
      </c>
      <c r="C336" s="1" t="s">
        <v>1852</v>
      </c>
      <c r="D336" s="2">
        <v>9.172326716E9</v>
      </c>
      <c r="E336" s="1" t="s">
        <v>1853</v>
      </c>
      <c r="F336" s="1"/>
      <c r="G336" s="1" t="s">
        <v>751</v>
      </c>
      <c r="H336" s="1" t="s">
        <v>751</v>
      </c>
      <c r="I336" s="1">
        <v>10028.0</v>
      </c>
      <c r="J336" s="1" t="s">
        <v>752</v>
      </c>
      <c r="K336" s="1" t="s">
        <v>51</v>
      </c>
      <c r="L336" s="1" t="s">
        <v>1152</v>
      </c>
      <c r="M336" s="1">
        <v>1.0</v>
      </c>
      <c r="N336" s="1" t="s">
        <v>52</v>
      </c>
      <c r="O336" s="3" t="s">
        <v>1854</v>
      </c>
      <c r="P336" s="18">
        <v>45883.0</v>
      </c>
      <c r="Q336" s="1" t="s">
        <v>1030</v>
      </c>
      <c r="R336" s="1"/>
      <c r="S336" s="1" t="s">
        <v>52</v>
      </c>
      <c r="T336" s="1" t="s">
        <v>52</v>
      </c>
      <c r="U336" s="1" t="s">
        <v>1201</v>
      </c>
      <c r="V336" s="4" t="s">
        <v>1854</v>
      </c>
      <c r="W336" s="1"/>
      <c r="X336" s="18">
        <v>45883.0</v>
      </c>
      <c r="Y336" s="1" t="s">
        <v>1030</v>
      </c>
      <c r="Z336" s="1"/>
      <c r="AA336" s="1"/>
      <c r="AB336" s="1" t="s">
        <v>52</v>
      </c>
      <c r="AC336" s="1"/>
      <c r="AD336" s="1"/>
      <c r="AE336" s="18"/>
      <c r="AF336" s="18"/>
      <c r="AG336" s="18"/>
      <c r="AH336" s="18"/>
      <c r="AI336" s="18"/>
      <c r="AJ336" s="18"/>
      <c r="AK336" s="18"/>
      <c r="AL336" s="6" t="str">
        <f t="array" ref="AL336">IFERROR(IFS(XLOOKUP(B336, 'Kit Delivery Status'!$U:$U, 'Kit Delivery Status'!$K:$K) = "Complete", "DELIVERED", XLOOKUP(B336, 'Kit Delivery Status'!$U:$U, 'Kit Delivery Status'!$K:$K) = "Issue", "ISSUE"), "")</f>
        <v/>
      </c>
      <c r="AM336" s="6"/>
    </row>
    <row r="337">
      <c r="A337" s="5" t="s">
        <v>1855</v>
      </c>
      <c r="B337" s="1" t="s">
        <v>1856</v>
      </c>
      <c r="C337" s="1"/>
      <c r="D337" s="2">
        <v>8.478815595E9</v>
      </c>
      <c r="E337" s="1" t="s">
        <v>1857</v>
      </c>
      <c r="F337" s="1"/>
      <c r="G337" s="1" t="s">
        <v>1858</v>
      </c>
      <c r="H337" s="1" t="s">
        <v>1019</v>
      </c>
      <c r="I337" s="1">
        <v>60093.0</v>
      </c>
      <c r="J337" s="1" t="s">
        <v>752</v>
      </c>
      <c r="K337" s="1" t="s">
        <v>66</v>
      </c>
      <c r="L337" s="1" t="s">
        <v>1449</v>
      </c>
      <c r="M337" s="1">
        <v>180.0</v>
      </c>
      <c r="N337" s="1"/>
      <c r="O337" s="3" t="s">
        <v>1859</v>
      </c>
      <c r="P337" s="18">
        <v>45883.0</v>
      </c>
      <c r="Q337" s="1"/>
      <c r="R337" s="1"/>
      <c r="S337" s="1"/>
      <c r="T337" s="1"/>
      <c r="U337" s="1" t="s">
        <v>1080</v>
      </c>
      <c r="V337" s="4" t="s">
        <v>1859</v>
      </c>
      <c r="W337" s="1"/>
      <c r="X337" s="18">
        <v>45883.0</v>
      </c>
      <c r="Y337" s="1"/>
      <c r="Z337" s="1"/>
      <c r="AA337" s="1"/>
      <c r="AB337" s="1"/>
      <c r="AC337" s="1"/>
      <c r="AD337" s="1"/>
      <c r="AE337" s="18"/>
      <c r="AF337" s="18"/>
      <c r="AG337" s="18"/>
      <c r="AH337" s="18"/>
      <c r="AI337" s="18"/>
      <c r="AJ337" s="18"/>
      <c r="AK337" s="18"/>
      <c r="AL337" s="6" t="str">
        <f t="array" ref="AL337">IFERROR(IFS(XLOOKUP(B337, 'Kit Delivery Status'!$U:$U, 'Kit Delivery Status'!$K:$K) = "Complete", "DELIVERED", XLOOKUP(B337, 'Kit Delivery Status'!$U:$U, 'Kit Delivery Status'!$K:$K) = "Issue", "ISSUE"), "")</f>
        <v/>
      </c>
      <c r="AM337" s="6"/>
    </row>
    <row r="338">
      <c r="A338" s="5" t="s">
        <v>1855</v>
      </c>
      <c r="B338" s="1" t="s">
        <v>1856</v>
      </c>
      <c r="C338" s="1"/>
      <c r="D338" s="2">
        <v>8.478815595E9</v>
      </c>
      <c r="E338" s="1" t="s">
        <v>1857</v>
      </c>
      <c r="F338" s="1"/>
      <c r="G338" s="1" t="s">
        <v>1858</v>
      </c>
      <c r="H338" s="1" t="s">
        <v>1019</v>
      </c>
      <c r="I338" s="1">
        <v>60093.0</v>
      </c>
      <c r="J338" s="1" t="s">
        <v>752</v>
      </c>
      <c r="K338" s="1" t="s">
        <v>95</v>
      </c>
      <c r="L338" s="1" t="s">
        <v>95</v>
      </c>
      <c r="M338" s="1">
        <v>49.0</v>
      </c>
      <c r="N338" s="1" t="s">
        <v>52</v>
      </c>
      <c r="O338" s="3" t="s">
        <v>1859</v>
      </c>
      <c r="P338" s="18">
        <v>45883.0</v>
      </c>
      <c r="Q338" s="1"/>
      <c r="R338" s="1"/>
      <c r="S338" s="1" t="s">
        <v>52</v>
      </c>
      <c r="T338" s="1" t="s">
        <v>52</v>
      </c>
      <c r="U338" s="1" t="s">
        <v>1080</v>
      </c>
      <c r="V338" s="4" t="s">
        <v>1859</v>
      </c>
      <c r="W338" s="1"/>
      <c r="X338" s="18">
        <v>45883.0</v>
      </c>
      <c r="Y338" s="1"/>
      <c r="Z338" s="1" t="s">
        <v>808</v>
      </c>
      <c r="AA338" s="1"/>
      <c r="AB338" s="1" t="s">
        <v>52</v>
      </c>
      <c r="AC338" s="1"/>
      <c r="AD338" s="1" t="s">
        <v>1860</v>
      </c>
      <c r="AE338" s="18"/>
      <c r="AF338" s="18"/>
      <c r="AG338" s="18"/>
      <c r="AH338" s="18"/>
      <c r="AI338" s="18"/>
      <c r="AJ338" s="18"/>
      <c r="AK338" s="18"/>
      <c r="AL338" s="6" t="str">
        <f t="array" ref="AL338">IFERROR(IFS(XLOOKUP(B338, 'Kit Delivery Status'!$U:$U, 'Kit Delivery Status'!$K:$K) = "Complete", "DELIVERED", XLOOKUP(B338, 'Kit Delivery Status'!$U:$U, 'Kit Delivery Status'!$K:$K) = "Issue", "ISSUE"), "")</f>
        <v/>
      </c>
      <c r="AM338" s="6"/>
    </row>
    <row r="339">
      <c r="A339" s="5" t="s">
        <v>1861</v>
      </c>
      <c r="B339" s="1" t="s">
        <v>1862</v>
      </c>
      <c r="C339" s="1" t="s">
        <v>1863</v>
      </c>
      <c r="D339" s="2">
        <v>1.6462718626E10</v>
      </c>
      <c r="E339" s="1" t="s">
        <v>1864</v>
      </c>
      <c r="F339" s="1"/>
      <c r="G339" s="1" t="s">
        <v>1865</v>
      </c>
      <c r="H339" s="1" t="s">
        <v>1053</v>
      </c>
      <c r="I339" s="1">
        <v>7078.0</v>
      </c>
      <c r="J339" s="1" t="s">
        <v>752</v>
      </c>
      <c r="K339" s="1" t="s">
        <v>75</v>
      </c>
      <c r="L339" s="19" t="s">
        <v>808</v>
      </c>
      <c r="M339" s="1">
        <v>49.0</v>
      </c>
      <c r="N339" s="1" t="s">
        <v>52</v>
      </c>
      <c r="O339" s="3" t="s">
        <v>1866</v>
      </c>
      <c r="P339" s="18">
        <v>45883.0</v>
      </c>
      <c r="Q339" s="1"/>
      <c r="R339" s="1"/>
      <c r="S339" s="1" t="s">
        <v>52</v>
      </c>
      <c r="T339" s="1" t="s">
        <v>52</v>
      </c>
      <c r="U339" s="1" t="s">
        <v>1133</v>
      </c>
      <c r="V339" s="4" t="s">
        <v>1866</v>
      </c>
      <c r="W339" s="1"/>
      <c r="X339" s="18">
        <v>45883.0</v>
      </c>
      <c r="Y339" s="1"/>
      <c r="Z339" s="1" t="s">
        <v>808</v>
      </c>
      <c r="AA339" s="1"/>
      <c r="AB339" s="1" t="s">
        <v>52</v>
      </c>
      <c r="AC339" s="1"/>
      <c r="AD339" s="1" t="s">
        <v>1867</v>
      </c>
      <c r="AE339" s="18"/>
      <c r="AF339" s="18"/>
      <c r="AG339" s="18"/>
      <c r="AH339" s="18"/>
      <c r="AI339" s="18"/>
      <c r="AJ339" s="18"/>
      <c r="AK339" s="18"/>
      <c r="AL339" s="6" t="str">
        <f t="array" ref="AL339">IFERROR(IFS(XLOOKUP(B339, 'Kit Delivery Status'!$U:$U, 'Kit Delivery Status'!$K:$K) = "Complete", "DELIVERED", XLOOKUP(B339, 'Kit Delivery Status'!$U:$U, 'Kit Delivery Status'!$K:$K) = "Issue", "ISSUE"), "")</f>
        <v/>
      </c>
      <c r="AM339" s="6"/>
    </row>
    <row r="340">
      <c r="A340" s="5" t="s">
        <v>1868</v>
      </c>
      <c r="B340" s="1" t="s">
        <v>1869</v>
      </c>
      <c r="C340" s="1"/>
      <c r="D340" s="2">
        <v>3.147326554E9</v>
      </c>
      <c r="E340" s="1" t="s">
        <v>1870</v>
      </c>
      <c r="F340" s="1"/>
      <c r="G340" s="1" t="s">
        <v>1283</v>
      </c>
      <c r="H340" s="1" t="s">
        <v>1155</v>
      </c>
      <c r="I340" s="1">
        <v>63105.0</v>
      </c>
      <c r="J340" s="1" t="s">
        <v>752</v>
      </c>
      <c r="K340" s="1" t="s">
        <v>87</v>
      </c>
      <c r="L340" s="1" t="s">
        <v>1871</v>
      </c>
      <c r="M340" s="1">
        <v>49.0</v>
      </c>
      <c r="N340" s="1"/>
      <c r="O340" s="3"/>
      <c r="P340" s="18">
        <v>45891.0</v>
      </c>
      <c r="Q340" s="1"/>
      <c r="R340" s="1"/>
      <c r="S340" s="1"/>
      <c r="T340" s="1"/>
      <c r="U340" s="1" t="s">
        <v>551</v>
      </c>
      <c r="V340" s="4"/>
      <c r="W340" s="1"/>
      <c r="X340" s="18">
        <v>45891.0</v>
      </c>
      <c r="Y340" s="1"/>
      <c r="Z340" s="1"/>
      <c r="AA340" s="1"/>
      <c r="AB340" s="1"/>
      <c r="AC340" s="1" t="s">
        <v>1872</v>
      </c>
      <c r="AD340" s="1"/>
      <c r="AE340" s="18">
        <v>45891.0</v>
      </c>
      <c r="AF340" s="18"/>
      <c r="AG340" s="18"/>
      <c r="AH340" s="1" t="s">
        <v>1873</v>
      </c>
      <c r="AI340" s="18"/>
      <c r="AJ340" s="18"/>
      <c r="AK340" s="18"/>
      <c r="AL340" s="6" t="str">
        <f t="array" ref="AL340">IFERROR(IFS(XLOOKUP(B340, 'Kit Delivery Status'!$U:$U, 'Kit Delivery Status'!$K:$K) = "Complete", "DELIVERED", XLOOKUP(B340, 'Kit Delivery Status'!$U:$U, 'Kit Delivery Status'!$K:$K) = "Issue", "ISSUE"), "")</f>
        <v/>
      </c>
      <c r="AM340" s="6"/>
    </row>
    <row r="341">
      <c r="A341" s="5" t="s">
        <v>1874</v>
      </c>
      <c r="B341" s="1" t="s">
        <v>1875</v>
      </c>
      <c r="C341" s="1"/>
      <c r="D341" s="2">
        <v>5.12608888E9</v>
      </c>
      <c r="E341" s="1" t="s">
        <v>1876</v>
      </c>
      <c r="F341" s="1"/>
      <c r="G341" s="1" t="s">
        <v>1582</v>
      </c>
      <c r="H341" s="1" t="s">
        <v>1583</v>
      </c>
      <c r="I341" s="1">
        <v>78730.0</v>
      </c>
      <c r="J341" s="1" t="s">
        <v>752</v>
      </c>
      <c r="K341" s="1" t="s">
        <v>95</v>
      </c>
      <c r="L341" s="1" t="s">
        <v>1361</v>
      </c>
      <c r="M341" s="1">
        <v>49.0</v>
      </c>
      <c r="N341" s="1" t="s">
        <v>52</v>
      </c>
      <c r="O341" s="3" t="s">
        <v>353</v>
      </c>
      <c r="P341" s="18">
        <v>45883.0</v>
      </c>
      <c r="Q341" s="1" t="s">
        <v>1030</v>
      </c>
      <c r="R341" s="1"/>
      <c r="S341" s="1" t="s">
        <v>52</v>
      </c>
      <c r="T341" s="1" t="s">
        <v>52</v>
      </c>
      <c r="U341" s="1" t="s">
        <v>1039</v>
      </c>
      <c r="V341" s="4" t="s">
        <v>353</v>
      </c>
      <c r="W341" s="1"/>
      <c r="X341" s="18">
        <v>45883.0</v>
      </c>
      <c r="Y341" s="1" t="s">
        <v>1030</v>
      </c>
      <c r="Z341" s="1"/>
      <c r="AA341" s="1"/>
      <c r="AB341" s="1" t="s">
        <v>52</v>
      </c>
      <c r="AC341" s="1" t="s">
        <v>1877</v>
      </c>
      <c r="AD341" s="1"/>
      <c r="AE341" s="18"/>
      <c r="AF341" s="18"/>
      <c r="AG341" s="18"/>
      <c r="AH341" s="18"/>
      <c r="AI341" s="18"/>
      <c r="AJ341" s="18"/>
      <c r="AK341" s="18"/>
      <c r="AL341" s="6" t="str">
        <f t="array" ref="AL341">IFERROR(IFS(XLOOKUP(B341, 'Kit Delivery Status'!$U:$U, 'Kit Delivery Status'!$K:$K) = "Complete", "DELIVERED", XLOOKUP(B341, 'Kit Delivery Status'!$U:$U, 'Kit Delivery Status'!$K:$K) = "Issue", "ISSUE"), "")</f>
        <v/>
      </c>
      <c r="AM341" s="6"/>
    </row>
    <row r="342">
      <c r="A342" s="5" t="s">
        <v>1878</v>
      </c>
      <c r="B342" s="1" t="s">
        <v>1879</v>
      </c>
      <c r="C342" s="1"/>
      <c r="D342" s="2">
        <v>9.292131708E9</v>
      </c>
      <c r="E342" s="1" t="s">
        <v>1880</v>
      </c>
      <c r="F342" s="1"/>
      <c r="G342" s="1" t="s">
        <v>751</v>
      </c>
      <c r="H342" s="1" t="s">
        <v>751</v>
      </c>
      <c r="I342" s="1">
        <v>10128.0</v>
      </c>
      <c r="J342" s="1" t="s">
        <v>752</v>
      </c>
      <c r="K342" s="1" t="s">
        <v>75</v>
      </c>
      <c r="L342" s="19" t="s">
        <v>808</v>
      </c>
      <c r="M342" s="1">
        <v>49.0</v>
      </c>
      <c r="N342" s="1" t="s">
        <v>52</v>
      </c>
      <c r="O342" s="3" t="s">
        <v>1881</v>
      </c>
      <c r="P342" s="18">
        <v>45883.0</v>
      </c>
      <c r="Q342" s="1"/>
      <c r="R342" s="1"/>
      <c r="S342" s="1" t="s">
        <v>52</v>
      </c>
      <c r="T342" s="1" t="s">
        <v>52</v>
      </c>
      <c r="U342" s="1" t="s">
        <v>1537</v>
      </c>
      <c r="V342" s="4" t="s">
        <v>1881</v>
      </c>
      <c r="W342" s="1"/>
      <c r="X342" s="18">
        <v>45883.0</v>
      </c>
      <c r="Y342" s="1"/>
      <c r="Z342" s="1" t="s">
        <v>808</v>
      </c>
      <c r="AA342" s="1"/>
      <c r="AB342" s="1" t="s">
        <v>52</v>
      </c>
      <c r="AC342" s="1"/>
      <c r="AD342" s="1" t="s">
        <v>1882</v>
      </c>
      <c r="AE342" s="18"/>
      <c r="AF342" s="18"/>
      <c r="AG342" s="18"/>
      <c r="AH342" s="18"/>
      <c r="AI342" s="18"/>
      <c r="AJ342" s="18"/>
      <c r="AK342" s="18"/>
      <c r="AL342" s="6" t="str">
        <f t="array" ref="AL342">IFERROR(IFS(XLOOKUP(B342, 'Kit Delivery Status'!$U:$U, 'Kit Delivery Status'!$K:$K) = "Complete", "DELIVERED", XLOOKUP(B342, 'Kit Delivery Status'!$U:$U, 'Kit Delivery Status'!$K:$K) = "Issue", "ISSUE"), "")</f>
        <v/>
      </c>
      <c r="AM342" s="6"/>
    </row>
    <row r="343">
      <c r="A343" s="5" t="s">
        <v>1883</v>
      </c>
      <c r="B343" s="1" t="s">
        <v>1884</v>
      </c>
      <c r="C343" s="1"/>
      <c r="D343" s="2">
        <v>8.163151465E9</v>
      </c>
      <c r="E343" s="1" t="s">
        <v>1885</v>
      </c>
      <c r="F343" s="1"/>
      <c r="G343" s="1" t="s">
        <v>1886</v>
      </c>
      <c r="H343" s="1" t="s">
        <v>1155</v>
      </c>
      <c r="I343" s="1">
        <v>64131.0</v>
      </c>
      <c r="J343" s="1" t="s">
        <v>752</v>
      </c>
      <c r="K343" s="1" t="s">
        <v>66</v>
      </c>
      <c r="L343" s="1" t="s">
        <v>1449</v>
      </c>
      <c r="M343" s="1">
        <v>180.0</v>
      </c>
      <c r="N343" s="1"/>
      <c r="O343" s="3" t="s">
        <v>1698</v>
      </c>
      <c r="P343" s="18">
        <v>45883.0</v>
      </c>
      <c r="Q343" s="1"/>
      <c r="R343" s="1"/>
      <c r="S343" s="1"/>
      <c r="T343" s="1"/>
      <c r="U343" s="1" t="s">
        <v>1249</v>
      </c>
      <c r="V343" s="4" t="s">
        <v>1698</v>
      </c>
      <c r="W343" s="1"/>
      <c r="X343" s="18">
        <v>45883.0</v>
      </c>
      <c r="Y343" s="1"/>
      <c r="Z343" s="1"/>
      <c r="AA343" s="1"/>
      <c r="AB343" s="1"/>
      <c r="AC343" s="1"/>
      <c r="AD343" s="1"/>
      <c r="AE343" s="18"/>
      <c r="AF343" s="18"/>
      <c r="AG343" s="18"/>
      <c r="AH343" s="18"/>
      <c r="AI343" s="18"/>
      <c r="AJ343" s="18"/>
      <c r="AK343" s="18"/>
      <c r="AL343" s="6" t="str">
        <f t="array" ref="AL343">IFERROR(IFS(XLOOKUP(B343, 'Kit Delivery Status'!$U:$U, 'Kit Delivery Status'!$K:$K) = "Complete", "DELIVERED", XLOOKUP(B343, 'Kit Delivery Status'!$U:$U, 'Kit Delivery Status'!$K:$K) = "Issue", "ISSUE"), "")</f>
        <v/>
      </c>
      <c r="AM343" s="6"/>
    </row>
    <row r="344">
      <c r="A344" s="5" t="s">
        <v>1887</v>
      </c>
      <c r="B344" s="1" t="s">
        <v>1888</v>
      </c>
      <c r="C344" s="1"/>
      <c r="D344" s="2">
        <v>9.70939074E9</v>
      </c>
      <c r="E344" s="1" t="s">
        <v>1889</v>
      </c>
      <c r="F344" s="1"/>
      <c r="G344" s="1" t="s">
        <v>1890</v>
      </c>
      <c r="H344" s="1" t="s">
        <v>1891</v>
      </c>
      <c r="I344" s="1">
        <v>80602.0</v>
      </c>
      <c r="J344" s="1" t="s">
        <v>752</v>
      </c>
      <c r="K344" s="1" t="s">
        <v>95</v>
      </c>
      <c r="L344" s="1" t="s">
        <v>1361</v>
      </c>
      <c r="M344" s="1">
        <v>49.0</v>
      </c>
      <c r="N344" s="1" t="s">
        <v>52</v>
      </c>
      <c r="O344" s="3" t="s">
        <v>1493</v>
      </c>
      <c r="P344" s="18">
        <v>45883.0</v>
      </c>
      <c r="Q344" s="1" t="s">
        <v>1030</v>
      </c>
      <c r="R344" s="1"/>
      <c r="S344" s="1" t="s">
        <v>52</v>
      </c>
      <c r="T344" s="1" t="s">
        <v>52</v>
      </c>
      <c r="U344" s="1" t="s">
        <v>1148</v>
      </c>
      <c r="V344" s="4" t="s">
        <v>1493</v>
      </c>
      <c r="W344" s="1"/>
      <c r="X344" s="18">
        <v>45883.0</v>
      </c>
      <c r="Y344" s="1" t="s">
        <v>1030</v>
      </c>
      <c r="Z344" s="1"/>
      <c r="AA344" s="1"/>
      <c r="AB344" s="1" t="s">
        <v>52</v>
      </c>
      <c r="AC344" s="1" t="s">
        <v>1892</v>
      </c>
      <c r="AD344" s="1"/>
      <c r="AE344" s="18"/>
      <c r="AF344" s="18"/>
      <c r="AG344" s="18"/>
      <c r="AH344" s="18"/>
      <c r="AI344" s="18"/>
      <c r="AJ344" s="18"/>
      <c r="AK344" s="18"/>
      <c r="AL344" s="6" t="str">
        <f t="array" ref="AL344">IFERROR(IFS(XLOOKUP(B344, 'Kit Delivery Status'!$U:$U, 'Kit Delivery Status'!$K:$K) = "Complete", "DELIVERED", XLOOKUP(B344, 'Kit Delivery Status'!$U:$U, 'Kit Delivery Status'!$K:$K) = "Issue", "ISSUE"), "")</f>
        <v/>
      </c>
      <c r="AM344" s="6"/>
    </row>
    <row r="345">
      <c r="A345" s="5" t="s">
        <v>1893</v>
      </c>
      <c r="B345" s="1" t="s">
        <v>1894</v>
      </c>
      <c r="C345" s="1" t="s">
        <v>1895</v>
      </c>
      <c r="D345" s="2">
        <v>2.038879903E9</v>
      </c>
      <c r="E345" s="1" t="s">
        <v>1896</v>
      </c>
      <c r="F345" s="1"/>
      <c r="G345" s="1" t="s">
        <v>1897</v>
      </c>
      <c r="H345" s="1" t="s">
        <v>1078</v>
      </c>
      <c r="I345" s="1">
        <v>6410.0</v>
      </c>
      <c r="J345" s="1" t="s">
        <v>752</v>
      </c>
      <c r="K345" s="1" t="s">
        <v>75</v>
      </c>
      <c r="L345" s="19" t="s">
        <v>808</v>
      </c>
      <c r="M345" s="1">
        <v>49.0</v>
      </c>
      <c r="N345" s="1" t="s">
        <v>52</v>
      </c>
      <c r="O345" s="3" t="s">
        <v>1898</v>
      </c>
      <c r="P345" s="18">
        <v>45883.0</v>
      </c>
      <c r="Q345" s="1"/>
      <c r="R345" s="1"/>
      <c r="S345" s="1" t="s">
        <v>52</v>
      </c>
      <c r="T345" s="1" t="s">
        <v>52</v>
      </c>
      <c r="U345" s="1" t="s">
        <v>1080</v>
      </c>
      <c r="V345" s="4" t="s">
        <v>1898</v>
      </c>
      <c r="W345" s="1"/>
      <c r="X345" s="18">
        <v>45883.0</v>
      </c>
      <c r="Y345" s="1"/>
      <c r="Z345" s="1" t="s">
        <v>808</v>
      </c>
      <c r="AA345" s="1"/>
      <c r="AB345" s="1" t="s">
        <v>52</v>
      </c>
      <c r="AC345" s="1"/>
      <c r="AD345" s="1" t="s">
        <v>1899</v>
      </c>
      <c r="AE345" s="18"/>
      <c r="AF345" s="18"/>
      <c r="AG345" s="18"/>
      <c r="AH345" s="18"/>
      <c r="AI345" s="18"/>
      <c r="AJ345" s="18"/>
      <c r="AK345" s="18"/>
      <c r="AL345" s="6" t="str">
        <f t="array" ref="AL345">IFERROR(IFS(XLOOKUP(B345, 'Kit Delivery Status'!$U:$U, 'Kit Delivery Status'!$K:$K) = "Complete", "DELIVERED", XLOOKUP(B345, 'Kit Delivery Status'!$U:$U, 'Kit Delivery Status'!$K:$K) = "Issue", "ISSUE"), "")</f>
        <v/>
      </c>
      <c r="AM345" s="6"/>
    </row>
    <row r="346">
      <c r="A346" s="5" t="s">
        <v>1900</v>
      </c>
      <c r="B346" s="1" t="s">
        <v>1901</v>
      </c>
      <c r="C346" s="1" t="s">
        <v>1902</v>
      </c>
      <c r="D346" s="2">
        <v>1.3125222133E10</v>
      </c>
      <c r="E346" s="1" t="s">
        <v>1903</v>
      </c>
      <c r="F346" s="1"/>
      <c r="G346" s="1" t="s">
        <v>1072</v>
      </c>
      <c r="H346" s="1" t="s">
        <v>1019</v>
      </c>
      <c r="I346" s="1">
        <v>60643.0</v>
      </c>
      <c r="J346" s="1" t="s">
        <v>752</v>
      </c>
      <c r="K346" s="1" t="s">
        <v>51</v>
      </c>
      <c r="L346" s="1" t="s">
        <v>1152</v>
      </c>
      <c r="M346" s="1">
        <v>1.0</v>
      </c>
      <c r="N346" s="1" t="s">
        <v>52</v>
      </c>
      <c r="O346" s="3" t="s">
        <v>1904</v>
      </c>
      <c r="P346" s="18">
        <v>45883.0</v>
      </c>
      <c r="Q346" s="1" t="s">
        <v>1030</v>
      </c>
      <c r="R346" s="1"/>
      <c r="S346" s="1" t="s">
        <v>52</v>
      </c>
      <c r="T346" s="1" t="s">
        <v>52</v>
      </c>
      <c r="U346" s="1" t="s">
        <v>1812</v>
      </c>
      <c r="V346" s="4" t="s">
        <v>1904</v>
      </c>
      <c r="W346" s="1"/>
      <c r="X346" s="18">
        <v>45883.0</v>
      </c>
      <c r="Y346" s="1" t="s">
        <v>1030</v>
      </c>
      <c r="Z346" s="1"/>
      <c r="AA346" s="1"/>
      <c r="AB346" s="1" t="s">
        <v>52</v>
      </c>
      <c r="AC346" s="1"/>
      <c r="AD346" s="1"/>
      <c r="AE346" s="18"/>
      <c r="AF346" s="18"/>
      <c r="AG346" s="18"/>
      <c r="AH346" s="18"/>
      <c r="AI346" s="18"/>
      <c r="AJ346" s="18"/>
      <c r="AK346" s="18"/>
      <c r="AL346" s="6" t="str">
        <f t="array" ref="AL346">IFERROR(IFS(XLOOKUP(B346, 'Kit Delivery Status'!$U:$U, 'Kit Delivery Status'!$K:$K) = "Complete", "DELIVERED", XLOOKUP(B346, 'Kit Delivery Status'!$U:$U, 'Kit Delivery Status'!$K:$K) = "Issue", "ISSUE"), "")</f>
        <v/>
      </c>
      <c r="AM346" s="6"/>
    </row>
    <row r="347">
      <c r="A347" s="5" t="s">
        <v>1905</v>
      </c>
      <c r="B347" s="1" t="s">
        <v>1906</v>
      </c>
      <c r="C347" s="1" t="s">
        <v>1907</v>
      </c>
      <c r="D347" s="2">
        <v>9.199714693E9</v>
      </c>
      <c r="E347" s="1" t="s">
        <v>1908</v>
      </c>
      <c r="F347" s="1"/>
      <c r="G347" s="1" t="s">
        <v>1909</v>
      </c>
      <c r="H347" s="1" t="s">
        <v>1438</v>
      </c>
      <c r="I347" s="1">
        <v>27613.0</v>
      </c>
      <c r="J347" s="1" t="s">
        <v>752</v>
      </c>
      <c r="K347" s="1" t="s">
        <v>95</v>
      </c>
      <c r="L347" s="1" t="s">
        <v>1361</v>
      </c>
      <c r="M347" s="1">
        <v>49.0</v>
      </c>
      <c r="N347" s="1" t="s">
        <v>52</v>
      </c>
      <c r="O347" s="3" t="s">
        <v>1910</v>
      </c>
      <c r="P347" s="18">
        <v>45883.0</v>
      </c>
      <c r="Q347" s="1" t="s">
        <v>1030</v>
      </c>
      <c r="R347" s="1"/>
      <c r="S347" s="1" t="s">
        <v>52</v>
      </c>
      <c r="T347" s="1" t="s">
        <v>52</v>
      </c>
      <c r="U347" s="1" t="s">
        <v>982</v>
      </c>
      <c r="V347" s="4" t="s">
        <v>1910</v>
      </c>
      <c r="W347" s="1"/>
      <c r="X347" s="18">
        <v>45883.0</v>
      </c>
      <c r="Y347" s="1" t="s">
        <v>1030</v>
      </c>
      <c r="Z347" s="1"/>
      <c r="AA347" s="1"/>
      <c r="AB347" s="1" t="s">
        <v>52</v>
      </c>
      <c r="AC347" s="1" t="s">
        <v>1911</v>
      </c>
      <c r="AD347" s="1"/>
      <c r="AE347" s="18"/>
      <c r="AF347" s="18"/>
      <c r="AG347" s="18"/>
      <c r="AH347" s="18"/>
      <c r="AI347" s="18"/>
      <c r="AJ347" s="18"/>
      <c r="AK347" s="18"/>
      <c r="AL347" s="6" t="str">
        <f t="array" ref="AL347">IFERROR(IFS(XLOOKUP(B347, 'Kit Delivery Status'!$U:$U, 'Kit Delivery Status'!$K:$K) = "Complete", "DELIVERED", XLOOKUP(B347, 'Kit Delivery Status'!$U:$U, 'Kit Delivery Status'!$K:$K) = "Issue", "ISSUE"), "")</f>
        <v/>
      </c>
      <c r="AM347" s="6"/>
    </row>
    <row r="348">
      <c r="A348" s="5" t="s">
        <v>1912</v>
      </c>
      <c r="B348" s="1" t="s">
        <v>1913</v>
      </c>
      <c r="C348" s="1" t="s">
        <v>1914</v>
      </c>
      <c r="D348" s="2">
        <v>5.16606386E9</v>
      </c>
      <c r="E348" s="1" t="s">
        <v>432</v>
      </c>
      <c r="F348" s="1"/>
      <c r="G348" s="1" t="s">
        <v>1697</v>
      </c>
      <c r="H348" s="1" t="s">
        <v>751</v>
      </c>
      <c r="I348" s="1">
        <v>11023.0</v>
      </c>
      <c r="J348" s="1" t="s">
        <v>752</v>
      </c>
      <c r="K348" s="1" t="s">
        <v>66</v>
      </c>
      <c r="L348" s="1" t="s">
        <v>1431</v>
      </c>
      <c r="M348" s="1">
        <v>115.0</v>
      </c>
      <c r="N348" s="1"/>
      <c r="O348" s="3" t="s">
        <v>1915</v>
      </c>
      <c r="P348" s="18">
        <v>45883.0</v>
      </c>
      <c r="Q348" s="1"/>
      <c r="R348" s="1"/>
      <c r="S348" s="1"/>
      <c r="T348" s="1"/>
      <c r="U348" s="1" t="s">
        <v>1487</v>
      </c>
      <c r="V348" s="4" t="s">
        <v>1915</v>
      </c>
      <c r="W348" s="1"/>
      <c r="X348" s="18">
        <v>45883.0</v>
      </c>
      <c r="Y348" s="1"/>
      <c r="Z348" s="1"/>
      <c r="AA348" s="1"/>
      <c r="AB348" s="1"/>
      <c r="AC348" s="1"/>
      <c r="AD348" s="1"/>
      <c r="AE348" s="18"/>
      <c r="AF348" s="18"/>
      <c r="AG348" s="18"/>
      <c r="AH348" s="18"/>
      <c r="AI348" s="18"/>
      <c r="AJ348" s="18"/>
      <c r="AK348" s="18"/>
      <c r="AL348" s="6" t="str">
        <f t="array" ref="AL348">IFERROR(IFS(XLOOKUP(B348, 'Kit Delivery Status'!$U:$U, 'Kit Delivery Status'!$K:$K) = "Complete", "DELIVERED", XLOOKUP(B348, 'Kit Delivery Status'!$U:$U, 'Kit Delivery Status'!$K:$K) = "Issue", "ISSUE"), "")</f>
        <v/>
      </c>
      <c r="AM348" s="6"/>
    </row>
    <row r="349">
      <c r="A349" s="5" t="s">
        <v>1916</v>
      </c>
      <c r="B349" s="1" t="s">
        <v>1917</v>
      </c>
      <c r="C349" s="1" t="s">
        <v>1918</v>
      </c>
      <c r="D349" s="2">
        <v>5.612135201E9</v>
      </c>
      <c r="E349" s="1" t="s">
        <v>1919</v>
      </c>
      <c r="F349" s="1"/>
      <c r="G349" s="1" t="s">
        <v>1207</v>
      </c>
      <c r="H349" s="1" t="s">
        <v>1208</v>
      </c>
      <c r="I349" s="1">
        <v>33433.0</v>
      </c>
      <c r="J349" s="1" t="s">
        <v>752</v>
      </c>
      <c r="K349" s="1" t="s">
        <v>51</v>
      </c>
      <c r="L349" s="1" t="s">
        <v>1152</v>
      </c>
      <c r="M349" s="1">
        <v>1.0</v>
      </c>
      <c r="N349" s="1" t="s">
        <v>52</v>
      </c>
      <c r="O349" s="3" t="s">
        <v>1920</v>
      </c>
      <c r="P349" s="18">
        <v>45883.0</v>
      </c>
      <c r="Q349" s="1" t="s">
        <v>1030</v>
      </c>
      <c r="R349" s="1"/>
      <c r="S349" s="1" t="s">
        <v>52</v>
      </c>
      <c r="T349" s="1" t="s">
        <v>52</v>
      </c>
      <c r="U349" s="1" t="s">
        <v>1456</v>
      </c>
      <c r="V349" s="4" t="s">
        <v>1920</v>
      </c>
      <c r="W349" s="1"/>
      <c r="X349" s="18">
        <v>45883.0</v>
      </c>
      <c r="Y349" s="1" t="s">
        <v>1030</v>
      </c>
      <c r="Z349" s="1"/>
      <c r="AA349" s="1"/>
      <c r="AB349" s="1" t="s">
        <v>52</v>
      </c>
      <c r="AC349" s="1"/>
      <c r="AD349" s="1"/>
      <c r="AE349" s="18"/>
      <c r="AF349" s="18"/>
      <c r="AG349" s="18"/>
      <c r="AH349" s="18"/>
      <c r="AI349" s="18"/>
      <c r="AJ349" s="18"/>
      <c r="AK349" s="18"/>
      <c r="AL349" s="6" t="str">
        <f t="array" ref="AL349">IFERROR(IFS(XLOOKUP(B349, 'Kit Delivery Status'!$U:$U, 'Kit Delivery Status'!$K:$K) = "Complete", "DELIVERED", XLOOKUP(B349, 'Kit Delivery Status'!$U:$U, 'Kit Delivery Status'!$K:$K) = "Issue", "ISSUE"), "")</f>
        <v/>
      </c>
      <c r="AM349" s="6"/>
    </row>
    <row r="350">
      <c r="A350" s="5" t="s">
        <v>1921</v>
      </c>
      <c r="B350" s="1" t="s">
        <v>1922</v>
      </c>
      <c r="C350" s="1" t="s">
        <v>1923</v>
      </c>
      <c r="D350" s="2">
        <v>2.063354627E9</v>
      </c>
      <c r="E350" s="1" t="s">
        <v>357</v>
      </c>
      <c r="F350" s="1"/>
      <c r="G350" s="1" t="s">
        <v>1848</v>
      </c>
      <c r="H350" s="1" t="s">
        <v>980</v>
      </c>
      <c r="I350" s="1">
        <v>98112.0</v>
      </c>
      <c r="J350" s="1" t="s">
        <v>752</v>
      </c>
      <c r="K350" s="1" t="s">
        <v>66</v>
      </c>
      <c r="L350" s="1" t="s">
        <v>1355</v>
      </c>
      <c r="M350" s="1">
        <v>145.0</v>
      </c>
      <c r="N350" s="1"/>
      <c r="O350" s="3" t="s">
        <v>1924</v>
      </c>
      <c r="P350" s="18">
        <v>45883.0</v>
      </c>
      <c r="Q350" s="1"/>
      <c r="R350" s="1"/>
      <c r="S350" s="1"/>
      <c r="T350" s="1"/>
      <c r="U350" s="1" t="s">
        <v>1277</v>
      </c>
      <c r="V350" s="4" t="s">
        <v>1924</v>
      </c>
      <c r="W350" s="1"/>
      <c r="X350" s="18">
        <v>45883.0</v>
      </c>
      <c r="Y350" s="1"/>
      <c r="Z350" s="1"/>
      <c r="AA350" s="1"/>
      <c r="AB350" s="1"/>
      <c r="AC350" s="1" t="s">
        <v>1925</v>
      </c>
      <c r="AD350" s="1"/>
      <c r="AE350" s="18"/>
      <c r="AF350" s="18"/>
      <c r="AG350" s="18"/>
      <c r="AH350" s="1" t="s">
        <v>1152</v>
      </c>
      <c r="AI350" s="18"/>
      <c r="AJ350" s="18"/>
      <c r="AK350" s="18"/>
      <c r="AL350" s="6" t="str">
        <f t="array" ref="AL350">IFERROR(IFS(XLOOKUP(B350, 'Kit Delivery Status'!$U:$U, 'Kit Delivery Status'!$K:$K) = "Complete", "DELIVERED", XLOOKUP(B350, 'Kit Delivery Status'!$U:$U, 'Kit Delivery Status'!$K:$K) = "Issue", "ISSUE"), "")</f>
        <v/>
      </c>
      <c r="AM350" s="6"/>
    </row>
    <row r="351">
      <c r="A351" s="5" t="s">
        <v>1926</v>
      </c>
      <c r="B351" s="1" t="s">
        <v>1927</v>
      </c>
      <c r="C351" s="1"/>
      <c r="D351" s="2">
        <v>2.157964125E9</v>
      </c>
      <c r="E351" s="1" t="s">
        <v>1928</v>
      </c>
      <c r="F351" s="1"/>
      <c r="G351" s="1" t="s">
        <v>1929</v>
      </c>
      <c r="H351" s="1" t="s">
        <v>1233</v>
      </c>
      <c r="I351" s="1">
        <v>19035.0</v>
      </c>
      <c r="J351" s="1" t="s">
        <v>752</v>
      </c>
      <c r="K351" s="1" t="s">
        <v>66</v>
      </c>
      <c r="L351" s="1" t="s">
        <v>1355</v>
      </c>
      <c r="M351" s="1">
        <v>145.0</v>
      </c>
      <c r="N351" s="1"/>
      <c r="O351" s="3" t="s">
        <v>1930</v>
      </c>
      <c r="P351" s="18">
        <v>45883.0</v>
      </c>
      <c r="Q351" s="1"/>
      <c r="R351" s="1"/>
      <c r="S351" s="1"/>
      <c r="T351" s="1"/>
      <c r="U351" s="1" t="s">
        <v>1812</v>
      </c>
      <c r="V351" s="4" t="s">
        <v>1930</v>
      </c>
      <c r="W351" s="1"/>
      <c r="X351" s="18">
        <v>45883.0</v>
      </c>
      <c r="Y351" s="1"/>
      <c r="Z351" s="1"/>
      <c r="AA351" s="1"/>
      <c r="AB351" s="1"/>
      <c r="AC351" s="1" t="s">
        <v>1925</v>
      </c>
      <c r="AD351" s="1"/>
      <c r="AE351" s="18"/>
      <c r="AF351" s="18"/>
      <c r="AG351" s="18"/>
      <c r="AH351" s="1" t="s">
        <v>1152</v>
      </c>
      <c r="AI351" s="18"/>
      <c r="AJ351" s="18"/>
      <c r="AK351" s="18"/>
      <c r="AL351" s="6" t="str">
        <f t="array" ref="AL351">IFERROR(IFS(XLOOKUP(B351, 'Kit Delivery Status'!$U:$U, 'Kit Delivery Status'!$K:$K) = "Complete", "DELIVERED", XLOOKUP(B351, 'Kit Delivery Status'!$U:$U, 'Kit Delivery Status'!$K:$K) = "Issue", "ISSUE"), "")</f>
        <v/>
      </c>
      <c r="AM351" s="6"/>
    </row>
    <row r="352">
      <c r="A352" s="5" t="s">
        <v>1931</v>
      </c>
      <c r="B352" s="1" t="s">
        <v>1932</v>
      </c>
      <c r="C352" s="1" t="s">
        <v>1933</v>
      </c>
      <c r="D352" s="2">
        <v>6.468648855E9</v>
      </c>
      <c r="E352" s="1" t="s">
        <v>1934</v>
      </c>
      <c r="F352" s="1"/>
      <c r="G352" s="1" t="s">
        <v>751</v>
      </c>
      <c r="H352" s="1" t="s">
        <v>751</v>
      </c>
      <c r="I352" s="1">
        <v>10128.0</v>
      </c>
      <c r="J352" s="1" t="s">
        <v>752</v>
      </c>
      <c r="K352" s="1" t="s">
        <v>51</v>
      </c>
      <c r="L352" s="1" t="s">
        <v>1152</v>
      </c>
      <c r="M352" s="1">
        <v>1.0</v>
      </c>
      <c r="N352" s="1" t="s">
        <v>52</v>
      </c>
      <c r="O352" s="3" t="s">
        <v>1935</v>
      </c>
      <c r="P352" s="18">
        <v>45887.0</v>
      </c>
      <c r="Q352" s="1" t="s">
        <v>1030</v>
      </c>
      <c r="R352" s="1"/>
      <c r="S352" s="1" t="s">
        <v>52</v>
      </c>
      <c r="T352" s="1" t="s">
        <v>52</v>
      </c>
      <c r="U352" s="1" t="s">
        <v>1936</v>
      </c>
      <c r="V352" s="4" t="s">
        <v>1935</v>
      </c>
      <c r="W352" s="1"/>
      <c r="X352" s="18">
        <v>45887.0</v>
      </c>
      <c r="Y352" s="1" t="s">
        <v>1030</v>
      </c>
      <c r="Z352" s="1"/>
      <c r="AA352" s="1"/>
      <c r="AB352" s="1" t="s">
        <v>52</v>
      </c>
      <c r="AC352" s="1" t="s">
        <v>1925</v>
      </c>
      <c r="AD352" s="1"/>
      <c r="AE352" s="18"/>
      <c r="AF352" s="18"/>
      <c r="AG352" s="18"/>
      <c r="AH352" s="1" t="s">
        <v>1152</v>
      </c>
      <c r="AI352" s="18"/>
      <c r="AJ352" s="18"/>
      <c r="AK352" s="18"/>
      <c r="AL352" s="6" t="str">
        <f t="array" ref="AL352">IFERROR(IFS(XLOOKUP(B352, 'Kit Delivery Status'!$U:$U, 'Kit Delivery Status'!$K:$K) = "Complete", "DELIVERED", XLOOKUP(B352, 'Kit Delivery Status'!$U:$U, 'Kit Delivery Status'!$K:$K) = "Issue", "ISSUE"), "")</f>
        <v/>
      </c>
      <c r="AM352" s="6"/>
    </row>
    <row r="353">
      <c r="A353" s="5" t="s">
        <v>1937</v>
      </c>
      <c r="B353" s="1" t="s">
        <v>1938</v>
      </c>
      <c r="C353" s="1" t="s">
        <v>1939</v>
      </c>
      <c r="D353" s="2">
        <v>1.3145707369E10</v>
      </c>
      <c r="E353" s="1" t="s">
        <v>1940</v>
      </c>
      <c r="F353" s="1"/>
      <c r="G353" s="1" t="s">
        <v>1941</v>
      </c>
      <c r="H353" s="1" t="s">
        <v>1155</v>
      </c>
      <c r="I353" s="1">
        <v>63341.0</v>
      </c>
      <c r="J353" s="1" t="s">
        <v>752</v>
      </c>
      <c r="K353" s="1" t="s">
        <v>66</v>
      </c>
      <c r="L353" s="1" t="s">
        <v>1340</v>
      </c>
      <c r="M353" s="1">
        <v>210.0</v>
      </c>
      <c r="N353" s="1"/>
      <c r="O353" s="3" t="s">
        <v>1942</v>
      </c>
      <c r="P353" s="18">
        <v>45883.0</v>
      </c>
      <c r="Q353" s="1"/>
      <c r="R353" s="1"/>
      <c r="S353" s="1"/>
      <c r="T353" s="1"/>
      <c r="U353" s="1" t="s">
        <v>1031</v>
      </c>
      <c r="V353" s="4" t="s">
        <v>1942</v>
      </c>
      <c r="W353" s="1"/>
      <c r="X353" s="18">
        <v>45883.0</v>
      </c>
      <c r="Y353" s="1"/>
      <c r="Z353" s="1"/>
      <c r="AA353" s="1"/>
      <c r="AB353" s="1"/>
      <c r="AC353" s="1" t="s">
        <v>1925</v>
      </c>
      <c r="AD353" s="1"/>
      <c r="AE353" s="18"/>
      <c r="AF353" s="18"/>
      <c r="AG353" s="18"/>
      <c r="AH353" s="1" t="s">
        <v>1152</v>
      </c>
      <c r="AI353" s="18"/>
      <c r="AJ353" s="18"/>
      <c r="AK353" s="18"/>
      <c r="AL353" s="6" t="str">
        <f t="array" ref="AL353">IFERROR(IFS(XLOOKUP(B353, 'Kit Delivery Status'!$U:$U, 'Kit Delivery Status'!$K:$K) = "Complete", "DELIVERED", XLOOKUP(B353, 'Kit Delivery Status'!$U:$U, 'Kit Delivery Status'!$K:$K) = "Issue", "ISSUE"), "")</f>
        <v/>
      </c>
      <c r="AM353" s="6"/>
    </row>
    <row r="354">
      <c r="A354" s="5" t="s">
        <v>1943</v>
      </c>
      <c r="B354" s="1" t="s">
        <v>1944</v>
      </c>
      <c r="C354" s="1" t="s">
        <v>1945</v>
      </c>
      <c r="D354" s="2">
        <v>6.306403336E9</v>
      </c>
      <c r="E354" s="1" t="s">
        <v>1946</v>
      </c>
      <c r="F354" s="1"/>
      <c r="G354" s="1" t="s">
        <v>1947</v>
      </c>
      <c r="H354" s="1" t="s">
        <v>1019</v>
      </c>
      <c r="I354" s="1">
        <v>60504.0</v>
      </c>
      <c r="J354" s="1" t="s">
        <v>752</v>
      </c>
      <c r="K354" s="1" t="s">
        <v>66</v>
      </c>
      <c r="L354" s="1" t="s">
        <v>1355</v>
      </c>
      <c r="M354" s="1">
        <v>145.0</v>
      </c>
      <c r="N354" s="1"/>
      <c r="O354" s="3" t="s">
        <v>1948</v>
      </c>
      <c r="P354" s="18">
        <v>45883.0</v>
      </c>
      <c r="Q354" s="1"/>
      <c r="R354" s="1"/>
      <c r="S354" s="1"/>
      <c r="T354" s="1"/>
      <c r="U354" s="1" t="s">
        <v>1021</v>
      </c>
      <c r="V354" s="4" t="s">
        <v>1948</v>
      </c>
      <c r="W354" s="1"/>
      <c r="X354" s="18">
        <v>45883.0</v>
      </c>
      <c r="Y354" s="1"/>
      <c r="Z354" s="1"/>
      <c r="AA354" s="1"/>
      <c r="AB354" s="1"/>
      <c r="AC354" s="1" t="s">
        <v>1925</v>
      </c>
      <c r="AD354" s="1"/>
      <c r="AE354" s="18"/>
      <c r="AF354" s="18"/>
      <c r="AG354" s="18"/>
      <c r="AH354" s="1" t="s">
        <v>1152</v>
      </c>
      <c r="AI354" s="18"/>
      <c r="AJ354" s="18"/>
      <c r="AK354" s="18"/>
      <c r="AL354" s="6" t="str">
        <f t="array" ref="AL354">IFERROR(IFS(XLOOKUP(B354, 'Kit Delivery Status'!$U:$U, 'Kit Delivery Status'!$K:$K) = "Complete", "DELIVERED", XLOOKUP(B354, 'Kit Delivery Status'!$U:$U, 'Kit Delivery Status'!$K:$K) = "Issue", "ISSUE"), "")</f>
        <v/>
      </c>
      <c r="AM354" s="6"/>
    </row>
    <row r="355">
      <c r="A355" s="5" t="s">
        <v>1949</v>
      </c>
      <c r="B355" s="1" t="s">
        <v>1950</v>
      </c>
      <c r="C355" s="1"/>
      <c r="D355" s="2">
        <v>2.032581107E9</v>
      </c>
      <c r="E355" s="1" t="s">
        <v>1951</v>
      </c>
      <c r="F355" s="1"/>
      <c r="G355" s="1" t="s">
        <v>1604</v>
      </c>
      <c r="H355" s="1" t="s">
        <v>1078</v>
      </c>
      <c r="I355" s="1">
        <v>6880.0</v>
      </c>
      <c r="J355" s="1" t="s">
        <v>752</v>
      </c>
      <c r="K355" s="1" t="s">
        <v>66</v>
      </c>
      <c r="L355" s="1" t="s">
        <v>1340</v>
      </c>
      <c r="M355" s="1">
        <v>210.0</v>
      </c>
      <c r="N355" s="1"/>
      <c r="O355" s="3" t="s">
        <v>1832</v>
      </c>
      <c r="P355" s="18">
        <v>45883.0</v>
      </c>
      <c r="Q355" s="1"/>
      <c r="R355" s="1"/>
      <c r="S355" s="1"/>
      <c r="T355" s="1"/>
      <c r="U355" s="1" t="s">
        <v>1039</v>
      </c>
      <c r="V355" s="4" t="s">
        <v>1832</v>
      </c>
      <c r="W355" s="1"/>
      <c r="X355" s="18">
        <v>45883.0</v>
      </c>
      <c r="Y355" s="1"/>
      <c r="Z355" s="1"/>
      <c r="AA355" s="1"/>
      <c r="AB355" s="1"/>
      <c r="AC355" s="1" t="s">
        <v>1925</v>
      </c>
      <c r="AD355" s="1"/>
      <c r="AE355" s="18"/>
      <c r="AF355" s="18"/>
      <c r="AG355" s="18"/>
      <c r="AH355" s="1" t="s">
        <v>1152</v>
      </c>
      <c r="AI355" s="18"/>
      <c r="AJ355" s="18"/>
      <c r="AK355" s="18"/>
      <c r="AL355" s="6" t="str">
        <f t="array" ref="AL355">IFERROR(IFS(XLOOKUP(B355, 'Kit Delivery Status'!$U:$U, 'Kit Delivery Status'!$K:$K) = "Complete", "DELIVERED", XLOOKUP(B355, 'Kit Delivery Status'!$U:$U, 'Kit Delivery Status'!$K:$K) = "Issue", "ISSUE"), "")</f>
        <v/>
      </c>
      <c r="AM355" s="6"/>
    </row>
    <row r="356">
      <c r="A356" s="5" t="s">
        <v>1952</v>
      </c>
      <c r="B356" s="1" t="s">
        <v>1953</v>
      </c>
      <c r="C356" s="1" t="s">
        <v>1954</v>
      </c>
      <c r="D356" s="2">
        <v>1.818319301E10</v>
      </c>
      <c r="E356" s="1" t="s">
        <v>1955</v>
      </c>
      <c r="F356" s="1"/>
      <c r="G356" s="1" t="s">
        <v>1956</v>
      </c>
      <c r="H356" s="1" t="s">
        <v>989</v>
      </c>
      <c r="I356" s="1">
        <v>91011.0</v>
      </c>
      <c r="J356" s="1" t="s">
        <v>752</v>
      </c>
      <c r="K356" s="1" t="s">
        <v>95</v>
      </c>
      <c r="L356" s="1" t="s">
        <v>1361</v>
      </c>
      <c r="M356" s="1">
        <v>49.0</v>
      </c>
      <c r="N356" s="1" t="s">
        <v>52</v>
      </c>
      <c r="O356" s="3" t="s">
        <v>1957</v>
      </c>
      <c r="P356" s="18">
        <v>45883.0</v>
      </c>
      <c r="Q356" s="1" t="s">
        <v>1349</v>
      </c>
      <c r="R356" s="1"/>
      <c r="S356" s="1" t="s">
        <v>52</v>
      </c>
      <c r="T356" s="1" t="s">
        <v>52</v>
      </c>
      <c r="U356" s="1" t="s">
        <v>956</v>
      </c>
      <c r="V356" s="4" t="s">
        <v>1957</v>
      </c>
      <c r="W356" s="1"/>
      <c r="X356" s="18">
        <v>45883.0</v>
      </c>
      <c r="Y356" s="1" t="s">
        <v>1349</v>
      </c>
      <c r="Z356" s="1"/>
      <c r="AA356" s="1"/>
      <c r="AB356" s="1" t="s">
        <v>52</v>
      </c>
      <c r="AC356" s="1" t="s">
        <v>1958</v>
      </c>
      <c r="AD356" s="1"/>
      <c r="AE356" s="18"/>
      <c r="AF356" s="18"/>
      <c r="AG356" s="18"/>
      <c r="AH356" s="1" t="s">
        <v>1152</v>
      </c>
      <c r="AI356" s="18"/>
      <c r="AJ356" s="18"/>
      <c r="AK356" s="18"/>
      <c r="AL356" s="6" t="str">
        <f t="array" ref="AL356">IFERROR(IFS(XLOOKUP(B356, 'Kit Delivery Status'!$U:$U, 'Kit Delivery Status'!$K:$K) = "Complete", "DELIVERED", XLOOKUP(B356, 'Kit Delivery Status'!$U:$U, 'Kit Delivery Status'!$K:$K) = "Issue", "ISSUE"), "")</f>
        <v/>
      </c>
      <c r="AM356" s="6"/>
    </row>
    <row r="357">
      <c r="A357" s="5" t="s">
        <v>1959</v>
      </c>
      <c r="B357" s="1" t="s">
        <v>1960</v>
      </c>
      <c r="C357" s="1" t="s">
        <v>1961</v>
      </c>
      <c r="D357" s="2">
        <v>821047357088</v>
      </c>
      <c r="E357" s="1" t="s">
        <v>1962</v>
      </c>
      <c r="F357" s="1"/>
      <c r="G357" s="1" t="s">
        <v>1963</v>
      </c>
      <c r="H357" s="1" t="s">
        <v>1964</v>
      </c>
      <c r="I357" s="1">
        <v>4385.0</v>
      </c>
      <c r="J357" s="1" t="s">
        <v>1965</v>
      </c>
      <c r="K357" s="1" t="s">
        <v>66</v>
      </c>
      <c r="L357" s="1" t="s">
        <v>1431</v>
      </c>
      <c r="M357" s="1">
        <v>115.0</v>
      </c>
      <c r="N357" s="1"/>
      <c r="O357" s="3" t="s">
        <v>1966</v>
      </c>
      <c r="P357" s="18">
        <v>45883.0</v>
      </c>
      <c r="Q357" s="1"/>
      <c r="R357" s="1"/>
      <c r="S357" s="1"/>
      <c r="T357" s="1"/>
      <c r="U357" s="1" t="s">
        <v>1324</v>
      </c>
      <c r="V357" s="4" t="s">
        <v>1966</v>
      </c>
      <c r="W357" s="1"/>
      <c r="X357" s="18">
        <v>45883.0</v>
      </c>
      <c r="Y357" s="1"/>
      <c r="Z357" s="1"/>
      <c r="AA357" s="1"/>
      <c r="AB357" s="1"/>
      <c r="AC357" s="1" t="s">
        <v>1925</v>
      </c>
      <c r="AD357" s="1"/>
      <c r="AE357" s="18"/>
      <c r="AF357" s="18"/>
      <c r="AG357" s="18"/>
      <c r="AH357" s="1" t="s">
        <v>1152</v>
      </c>
      <c r="AI357" s="18"/>
      <c r="AJ357" s="18"/>
      <c r="AK357" s="18"/>
      <c r="AL357" s="6" t="str">
        <f t="array" ref="AL357">IFERROR(IFS(XLOOKUP(B357, 'Kit Delivery Status'!$U:$U, 'Kit Delivery Status'!$K:$K) = "Complete", "DELIVERED", XLOOKUP(B357, 'Kit Delivery Status'!$U:$U, 'Kit Delivery Status'!$K:$K) = "Issue", "ISSUE"), "")</f>
        <v/>
      </c>
      <c r="AM357" s="6"/>
    </row>
    <row r="358">
      <c r="A358" s="5" t="s">
        <v>1967</v>
      </c>
      <c r="B358" s="1" t="s">
        <v>1968</v>
      </c>
      <c r="C358" s="1" t="s">
        <v>1907</v>
      </c>
      <c r="D358" s="2">
        <v>9.199714693E9</v>
      </c>
      <c r="E358" s="1" t="s">
        <v>1908</v>
      </c>
      <c r="F358" s="1"/>
      <c r="G358" s="1" t="s">
        <v>1909</v>
      </c>
      <c r="H358" s="1" t="s">
        <v>1438</v>
      </c>
      <c r="I358" s="1">
        <v>27613.0</v>
      </c>
      <c r="J358" s="1" t="s">
        <v>752</v>
      </c>
      <c r="K358" s="1" t="s">
        <v>66</v>
      </c>
      <c r="L358" s="1" t="s">
        <v>1449</v>
      </c>
      <c r="M358" s="1">
        <v>180.0</v>
      </c>
      <c r="N358" s="1"/>
      <c r="O358" s="3" t="s">
        <v>1910</v>
      </c>
      <c r="P358" s="18">
        <v>45883.0</v>
      </c>
      <c r="Q358" s="1"/>
      <c r="R358" s="1"/>
      <c r="S358" s="1"/>
      <c r="T358" s="1"/>
      <c r="U358" s="1" t="s">
        <v>982</v>
      </c>
      <c r="V358" s="4" t="s">
        <v>1910</v>
      </c>
      <c r="W358" s="1"/>
      <c r="X358" s="18">
        <v>45883.0</v>
      </c>
      <c r="Y358" s="1"/>
      <c r="Z358" s="1"/>
      <c r="AA358" s="1"/>
      <c r="AB358" s="1"/>
      <c r="AC358" s="1" t="s">
        <v>1925</v>
      </c>
      <c r="AD358" s="1"/>
      <c r="AE358" s="18"/>
      <c r="AF358" s="18"/>
      <c r="AG358" s="18"/>
      <c r="AH358" s="1" t="s">
        <v>1152</v>
      </c>
      <c r="AI358" s="18"/>
      <c r="AJ358" s="18"/>
      <c r="AK358" s="18"/>
      <c r="AL358" s="6" t="str">
        <f t="array" ref="AL358">IFERROR(IFS(XLOOKUP(B358, 'Kit Delivery Status'!$U:$U, 'Kit Delivery Status'!$K:$K) = "Complete", "DELIVERED", XLOOKUP(B358, 'Kit Delivery Status'!$U:$U, 'Kit Delivery Status'!$K:$K) = "Issue", "ISSUE"), "")</f>
        <v/>
      </c>
      <c r="AM358" s="6"/>
    </row>
    <row r="359">
      <c r="A359" s="5" t="s">
        <v>1969</v>
      </c>
      <c r="B359" s="1" t="s">
        <v>1970</v>
      </c>
      <c r="C359" s="1"/>
      <c r="D359" s="2">
        <v>4.847522285E9</v>
      </c>
      <c r="E359" s="1" t="s">
        <v>1971</v>
      </c>
      <c r="F359" s="1"/>
      <c r="G359" s="1" t="s">
        <v>1283</v>
      </c>
      <c r="H359" s="1" t="s">
        <v>1155</v>
      </c>
      <c r="I359" s="1">
        <v>63105.0</v>
      </c>
      <c r="J359" s="1" t="s">
        <v>752</v>
      </c>
      <c r="K359" s="1" t="s">
        <v>66</v>
      </c>
      <c r="L359" s="1" t="s">
        <v>1340</v>
      </c>
      <c r="M359" s="1">
        <v>210.0</v>
      </c>
      <c r="N359" s="1"/>
      <c r="O359" s="3" t="s">
        <v>1972</v>
      </c>
      <c r="P359" s="18">
        <v>45881.0</v>
      </c>
      <c r="Q359" s="1"/>
      <c r="R359" s="1"/>
      <c r="S359" s="1"/>
      <c r="T359" s="1"/>
      <c r="U359" s="1" t="s">
        <v>956</v>
      </c>
      <c r="V359" s="4" t="s">
        <v>1972</v>
      </c>
      <c r="W359" s="1"/>
      <c r="X359" s="18">
        <v>45881.0</v>
      </c>
      <c r="Y359" s="1"/>
      <c r="Z359" s="1"/>
      <c r="AA359" s="1"/>
      <c r="AB359" s="1"/>
      <c r="AC359" s="1" t="s">
        <v>1925</v>
      </c>
      <c r="AD359" s="1"/>
      <c r="AE359" s="18"/>
      <c r="AF359" s="18"/>
      <c r="AG359" s="18"/>
      <c r="AH359" s="1" t="s">
        <v>1152</v>
      </c>
      <c r="AI359" s="18"/>
      <c r="AJ359" s="18"/>
      <c r="AK359" s="18"/>
      <c r="AL359" s="6" t="str">
        <f t="array" ref="AL359">IFERROR(IFS(XLOOKUP(B359, 'Kit Delivery Status'!$U:$U, 'Kit Delivery Status'!$K:$K) = "Complete", "DELIVERED", XLOOKUP(B359, 'Kit Delivery Status'!$U:$U, 'Kit Delivery Status'!$K:$K) = "Issue", "ISSUE"), "")</f>
        <v/>
      </c>
      <c r="AM359" s="6"/>
    </row>
    <row r="360">
      <c r="A360" s="5" t="s">
        <v>1973</v>
      </c>
      <c r="B360" s="1" t="s">
        <v>1974</v>
      </c>
      <c r="C360" s="1"/>
      <c r="D360" s="2">
        <v>2.017856794E9</v>
      </c>
      <c r="E360" s="1" t="s">
        <v>1975</v>
      </c>
      <c r="F360" s="1"/>
      <c r="G360" s="1" t="s">
        <v>1976</v>
      </c>
      <c r="H360" s="1" t="s">
        <v>1121</v>
      </c>
      <c r="I360" s="1">
        <v>1890.0</v>
      </c>
      <c r="J360" s="1" t="s">
        <v>752</v>
      </c>
      <c r="K360" s="1" t="s">
        <v>95</v>
      </c>
      <c r="L360" s="1" t="s">
        <v>1361</v>
      </c>
      <c r="M360" s="1">
        <v>49.0</v>
      </c>
      <c r="N360" s="1" t="s">
        <v>52</v>
      </c>
      <c r="O360" s="3" t="s">
        <v>1977</v>
      </c>
      <c r="P360" s="18">
        <v>45883.0</v>
      </c>
      <c r="Q360" s="1" t="s">
        <v>1030</v>
      </c>
      <c r="R360" s="1"/>
      <c r="S360" s="1" t="s">
        <v>52</v>
      </c>
      <c r="T360" s="1" t="s">
        <v>52</v>
      </c>
      <c r="U360" s="1" t="s">
        <v>1148</v>
      </c>
      <c r="V360" s="4" t="s">
        <v>1977</v>
      </c>
      <c r="W360" s="1"/>
      <c r="X360" s="18">
        <v>45883.0</v>
      </c>
      <c r="Y360" s="1" t="s">
        <v>1030</v>
      </c>
      <c r="Z360" s="1"/>
      <c r="AA360" s="1"/>
      <c r="AB360" s="1" t="s">
        <v>52</v>
      </c>
      <c r="AC360" s="1" t="s">
        <v>1978</v>
      </c>
      <c r="AD360" s="1"/>
      <c r="AE360" s="18"/>
      <c r="AF360" s="18"/>
      <c r="AG360" s="18"/>
      <c r="AH360" s="1" t="s">
        <v>1152</v>
      </c>
      <c r="AI360" s="18"/>
      <c r="AJ360" s="18"/>
      <c r="AK360" s="18"/>
      <c r="AL360" s="6" t="str">
        <f t="array" ref="AL360">IFERROR(IFS(XLOOKUP(B360, 'Kit Delivery Status'!$U:$U, 'Kit Delivery Status'!$K:$K) = "Complete", "DELIVERED", XLOOKUP(B360, 'Kit Delivery Status'!$U:$U, 'Kit Delivery Status'!$K:$K) = "Issue", "ISSUE"), "")</f>
        <v/>
      </c>
      <c r="AM360" s="6"/>
    </row>
    <row r="361">
      <c r="A361" s="5" t="s">
        <v>1979</v>
      </c>
      <c r="B361" s="1" t="s">
        <v>1980</v>
      </c>
      <c r="C361" s="1" t="s">
        <v>1981</v>
      </c>
      <c r="D361" s="2">
        <v>9.499109206E9</v>
      </c>
      <c r="E361" s="1" t="s">
        <v>1982</v>
      </c>
      <c r="F361" s="1"/>
      <c r="G361" s="1" t="s">
        <v>1983</v>
      </c>
      <c r="H361" s="1" t="s">
        <v>989</v>
      </c>
      <c r="I361" s="1">
        <v>92618.0</v>
      </c>
      <c r="J361" s="1" t="s">
        <v>752</v>
      </c>
      <c r="K361" s="1" t="s">
        <v>66</v>
      </c>
      <c r="L361" s="1" t="s">
        <v>1431</v>
      </c>
      <c r="M361" s="1">
        <v>115.0</v>
      </c>
      <c r="N361" s="1"/>
      <c r="O361" s="3" t="s">
        <v>1423</v>
      </c>
      <c r="P361" s="18">
        <v>45883.0</v>
      </c>
      <c r="Q361" s="1"/>
      <c r="R361" s="1"/>
      <c r="S361" s="1"/>
      <c r="T361" s="1"/>
      <c r="U361" s="1" t="s">
        <v>1376</v>
      </c>
      <c r="V361" s="4" t="s">
        <v>1423</v>
      </c>
      <c r="W361" s="1"/>
      <c r="X361" s="18">
        <v>45883.0</v>
      </c>
      <c r="Y361" s="1"/>
      <c r="Z361" s="1"/>
      <c r="AA361" s="1"/>
      <c r="AB361" s="1"/>
      <c r="AC361" s="1" t="s">
        <v>1925</v>
      </c>
      <c r="AD361" s="1"/>
      <c r="AE361" s="18"/>
      <c r="AF361" s="18"/>
      <c r="AG361" s="18"/>
      <c r="AH361" s="1" t="s">
        <v>1152</v>
      </c>
      <c r="AI361" s="18"/>
      <c r="AJ361" s="18"/>
      <c r="AK361" s="18"/>
      <c r="AL361" s="6" t="str">
        <f t="array" ref="AL361">IFERROR(IFS(XLOOKUP(B361, 'Kit Delivery Status'!$U:$U, 'Kit Delivery Status'!$K:$K) = "Complete", "DELIVERED", XLOOKUP(B361, 'Kit Delivery Status'!$U:$U, 'Kit Delivery Status'!$K:$K) = "Issue", "ISSUE"), "")</f>
        <v/>
      </c>
      <c r="AM361" s="6"/>
    </row>
    <row r="362">
      <c r="A362" s="5" t="s">
        <v>1979</v>
      </c>
      <c r="B362" s="1" t="s">
        <v>1980</v>
      </c>
      <c r="C362" s="1" t="s">
        <v>1981</v>
      </c>
      <c r="D362" s="2">
        <v>9.499109206E9</v>
      </c>
      <c r="E362" s="1" t="s">
        <v>1982</v>
      </c>
      <c r="F362" s="1"/>
      <c r="G362" s="1" t="s">
        <v>1983</v>
      </c>
      <c r="H362" s="1" t="s">
        <v>989</v>
      </c>
      <c r="I362" s="1">
        <v>92618.0</v>
      </c>
      <c r="J362" s="1" t="s">
        <v>752</v>
      </c>
      <c r="K362" s="1" t="s">
        <v>95</v>
      </c>
      <c r="L362" s="1" t="s">
        <v>1361</v>
      </c>
      <c r="M362" s="1">
        <v>49.0</v>
      </c>
      <c r="N362" s="1" t="s">
        <v>52</v>
      </c>
      <c r="O362" s="3" t="s">
        <v>1423</v>
      </c>
      <c r="P362" s="18">
        <v>45883.0</v>
      </c>
      <c r="Q362" s="1" t="s">
        <v>1455</v>
      </c>
      <c r="R362" s="1"/>
      <c r="S362" s="1" t="s">
        <v>52</v>
      </c>
      <c r="T362" s="1" t="s">
        <v>52</v>
      </c>
      <c r="U362" s="1" t="s">
        <v>1376</v>
      </c>
      <c r="V362" s="4" t="s">
        <v>1423</v>
      </c>
      <c r="W362" s="1"/>
      <c r="X362" s="18">
        <v>45883.0</v>
      </c>
      <c r="Y362" s="1" t="s">
        <v>1455</v>
      </c>
      <c r="Z362" s="1"/>
      <c r="AA362" s="1"/>
      <c r="AB362" s="1" t="s">
        <v>52</v>
      </c>
      <c r="AC362" s="1" t="s">
        <v>1984</v>
      </c>
      <c r="AD362" s="1"/>
      <c r="AE362" s="18"/>
      <c r="AF362" s="18"/>
      <c r="AG362" s="18"/>
      <c r="AH362" s="1" t="s">
        <v>1152</v>
      </c>
      <c r="AI362" s="18"/>
      <c r="AJ362" s="18"/>
      <c r="AK362" s="18"/>
      <c r="AL362" s="6" t="str">
        <f t="array" ref="AL362">IFERROR(IFS(XLOOKUP(B362, 'Kit Delivery Status'!$U:$U, 'Kit Delivery Status'!$K:$K) = "Complete", "DELIVERED", XLOOKUP(B362, 'Kit Delivery Status'!$U:$U, 'Kit Delivery Status'!$K:$K) = "Issue", "ISSUE"), "")</f>
        <v/>
      </c>
      <c r="AM362" s="6"/>
    </row>
    <row r="363">
      <c r="A363" s="5" t="s">
        <v>1985</v>
      </c>
      <c r="B363" s="1" t="s">
        <v>1986</v>
      </c>
      <c r="C363" s="1"/>
      <c r="D363" s="2">
        <v>5.164743388E9</v>
      </c>
      <c r="E363" s="1" t="s">
        <v>1987</v>
      </c>
      <c r="F363" s="1"/>
      <c r="G363" s="1" t="s">
        <v>1988</v>
      </c>
      <c r="H363" s="1" t="s">
        <v>751</v>
      </c>
      <c r="I363" s="1">
        <v>11020.0</v>
      </c>
      <c r="J363" s="1" t="s">
        <v>752</v>
      </c>
      <c r="K363" s="1" t="s">
        <v>75</v>
      </c>
      <c r="L363" s="19" t="s">
        <v>808</v>
      </c>
      <c r="M363" s="1">
        <v>49.0</v>
      </c>
      <c r="N363" s="1" t="s">
        <v>52</v>
      </c>
      <c r="O363" s="3" t="s">
        <v>1989</v>
      </c>
      <c r="P363" s="18">
        <v>45883.0</v>
      </c>
      <c r="Q363" s="1"/>
      <c r="R363" s="1"/>
      <c r="S363" s="1" t="s">
        <v>52</v>
      </c>
      <c r="T363" s="1" t="s">
        <v>52</v>
      </c>
      <c r="U363" s="1" t="s">
        <v>1249</v>
      </c>
      <c r="V363" s="4" t="s">
        <v>1989</v>
      </c>
      <c r="W363" s="1"/>
      <c r="X363" s="18">
        <v>45883.0</v>
      </c>
      <c r="Y363" s="1"/>
      <c r="Z363" s="1" t="s">
        <v>808</v>
      </c>
      <c r="AA363" s="1"/>
      <c r="AB363" s="1" t="s">
        <v>52</v>
      </c>
      <c r="AC363" s="1" t="s">
        <v>1925</v>
      </c>
      <c r="AD363" s="1" t="s">
        <v>1990</v>
      </c>
      <c r="AE363" s="18"/>
      <c r="AF363" s="18"/>
      <c r="AG363" s="18"/>
      <c r="AH363" s="1" t="s">
        <v>1152</v>
      </c>
      <c r="AI363" s="18"/>
      <c r="AJ363" s="18"/>
      <c r="AK363" s="18"/>
      <c r="AL363" s="6" t="str">
        <f t="array" ref="AL363">IFERROR(IFS(XLOOKUP(B363, 'Kit Delivery Status'!$U:$U, 'Kit Delivery Status'!$K:$K) = "Complete", "DELIVERED", XLOOKUP(B363, 'Kit Delivery Status'!$U:$U, 'Kit Delivery Status'!$K:$K) = "Issue", "ISSUE"), "")</f>
        <v/>
      </c>
      <c r="AM363" s="6"/>
    </row>
    <row r="364">
      <c r="A364" s="5" t="s">
        <v>1985</v>
      </c>
      <c r="B364" s="1" t="s">
        <v>1986</v>
      </c>
      <c r="C364" s="1"/>
      <c r="D364" s="2">
        <v>5.164743388E9</v>
      </c>
      <c r="E364" s="1" t="s">
        <v>1987</v>
      </c>
      <c r="F364" s="1"/>
      <c r="G364" s="1" t="s">
        <v>1988</v>
      </c>
      <c r="H364" s="1" t="s">
        <v>751</v>
      </c>
      <c r="I364" s="1">
        <v>11020.0</v>
      </c>
      <c r="J364" s="1" t="s">
        <v>752</v>
      </c>
      <c r="K364" s="1" t="s">
        <v>66</v>
      </c>
      <c r="L364" s="1" t="s">
        <v>1355</v>
      </c>
      <c r="M364" s="1">
        <v>145.0</v>
      </c>
      <c r="N364" s="1"/>
      <c r="O364" s="3" t="s">
        <v>1989</v>
      </c>
      <c r="P364" s="18">
        <v>45883.0</v>
      </c>
      <c r="Q364" s="1"/>
      <c r="R364" s="1"/>
      <c r="S364" s="1"/>
      <c r="T364" s="1"/>
      <c r="U364" s="1" t="s">
        <v>1249</v>
      </c>
      <c r="V364" s="4" t="s">
        <v>1989</v>
      </c>
      <c r="W364" s="1"/>
      <c r="X364" s="18">
        <v>45883.0</v>
      </c>
      <c r="Y364" s="1"/>
      <c r="Z364" s="1"/>
      <c r="AA364" s="1"/>
      <c r="AB364" s="1"/>
      <c r="AC364" s="1" t="s">
        <v>1925</v>
      </c>
      <c r="AD364" s="1"/>
      <c r="AE364" s="18"/>
      <c r="AF364" s="18"/>
      <c r="AG364" s="18"/>
      <c r="AH364" s="1" t="s">
        <v>1152</v>
      </c>
      <c r="AI364" s="18"/>
      <c r="AJ364" s="18"/>
      <c r="AK364" s="18"/>
      <c r="AL364" s="6" t="str">
        <f t="array" ref="AL364">IFERROR(IFS(XLOOKUP(B364, 'Kit Delivery Status'!$U:$U, 'Kit Delivery Status'!$K:$K) = "Complete", "DELIVERED", XLOOKUP(B364, 'Kit Delivery Status'!$U:$U, 'Kit Delivery Status'!$K:$K) = "Issue", "ISSUE"), "")</f>
        <v/>
      </c>
      <c r="AM364" s="6"/>
    </row>
    <row r="365">
      <c r="A365" s="5" t="s">
        <v>1991</v>
      </c>
      <c r="B365" s="1" t="s">
        <v>1992</v>
      </c>
      <c r="C365" s="1" t="s">
        <v>1993</v>
      </c>
      <c r="D365" s="2">
        <v>9.705909779E9</v>
      </c>
      <c r="E365" s="1" t="s">
        <v>1994</v>
      </c>
      <c r="F365" s="1"/>
      <c r="G365" s="1" t="s">
        <v>1890</v>
      </c>
      <c r="H365" s="1" t="s">
        <v>1891</v>
      </c>
      <c r="I365" s="1">
        <v>80602.0</v>
      </c>
      <c r="J365" s="1" t="s">
        <v>752</v>
      </c>
      <c r="K365" s="1" t="s">
        <v>66</v>
      </c>
      <c r="L365" s="1" t="s">
        <v>1340</v>
      </c>
      <c r="M365" s="1">
        <v>210.0</v>
      </c>
      <c r="N365" s="1"/>
      <c r="O365" s="3" t="s">
        <v>1493</v>
      </c>
      <c r="P365" s="18">
        <v>45883.0</v>
      </c>
      <c r="Q365" s="1"/>
      <c r="R365" s="1"/>
      <c r="S365" s="1"/>
      <c r="T365" s="1"/>
      <c r="U365" s="1" t="s">
        <v>1148</v>
      </c>
      <c r="V365" s="4" t="s">
        <v>1493</v>
      </c>
      <c r="W365" s="1"/>
      <c r="X365" s="18">
        <v>45883.0</v>
      </c>
      <c r="Y365" s="1"/>
      <c r="Z365" s="1"/>
      <c r="AA365" s="1"/>
      <c r="AB365" s="1"/>
      <c r="AC365" s="1" t="s">
        <v>1925</v>
      </c>
      <c r="AD365" s="1"/>
      <c r="AE365" s="18"/>
      <c r="AF365" s="18"/>
      <c r="AG365" s="18"/>
      <c r="AH365" s="1" t="s">
        <v>1152</v>
      </c>
      <c r="AI365" s="18"/>
      <c r="AJ365" s="18"/>
      <c r="AK365" s="18"/>
      <c r="AL365" s="6" t="str">
        <f t="array" ref="AL365">IFERROR(IFS(XLOOKUP(B365, 'Kit Delivery Status'!$U:$U, 'Kit Delivery Status'!$K:$K) = "Complete", "DELIVERED", XLOOKUP(B365, 'Kit Delivery Status'!$U:$U, 'Kit Delivery Status'!$K:$K) = "Issue", "ISSUE"), "")</f>
        <v/>
      </c>
      <c r="AM365" s="6"/>
    </row>
    <row r="366">
      <c r="A366" s="5" t="s">
        <v>1995</v>
      </c>
      <c r="B366" s="1" t="s">
        <v>1996</v>
      </c>
      <c r="C366" s="1" t="s">
        <v>1997</v>
      </c>
      <c r="D366" s="2">
        <v>2.038181729E9</v>
      </c>
      <c r="E366" s="1" t="s">
        <v>1998</v>
      </c>
      <c r="F366" s="1"/>
      <c r="G366" s="1" t="s">
        <v>1604</v>
      </c>
      <c r="H366" s="1" t="s">
        <v>1078</v>
      </c>
      <c r="I366" s="1">
        <v>6880.0</v>
      </c>
      <c r="J366" s="1" t="s">
        <v>752</v>
      </c>
      <c r="K366" s="1" t="s">
        <v>75</v>
      </c>
      <c r="L366" s="19" t="s">
        <v>808</v>
      </c>
      <c r="M366" s="1">
        <v>49.0</v>
      </c>
      <c r="N366" s="1" t="s">
        <v>52</v>
      </c>
      <c r="O366" s="3" t="s">
        <v>174</v>
      </c>
      <c r="P366" s="18">
        <v>45883.0</v>
      </c>
      <c r="Q366" s="1"/>
      <c r="R366" s="1"/>
      <c r="S366" s="1" t="s">
        <v>52</v>
      </c>
      <c r="T366" s="1" t="s">
        <v>52</v>
      </c>
      <c r="U366" s="1" t="s">
        <v>1133</v>
      </c>
      <c r="V366" s="4" t="s">
        <v>174</v>
      </c>
      <c r="W366" s="1"/>
      <c r="X366" s="18">
        <v>45883.0</v>
      </c>
      <c r="Y366" s="1"/>
      <c r="Z366" s="1" t="s">
        <v>808</v>
      </c>
      <c r="AA366" s="1"/>
      <c r="AB366" s="1" t="s">
        <v>52</v>
      </c>
      <c r="AC366" s="1" t="s">
        <v>1925</v>
      </c>
      <c r="AD366" s="1" t="s">
        <v>1999</v>
      </c>
      <c r="AE366" s="18"/>
      <c r="AF366" s="18"/>
      <c r="AG366" s="18"/>
      <c r="AH366" s="1" t="s">
        <v>1152</v>
      </c>
      <c r="AI366" s="18"/>
      <c r="AJ366" s="18"/>
      <c r="AK366" s="18"/>
      <c r="AL366" s="6" t="str">
        <f t="array" ref="AL366">IFERROR(IFS(XLOOKUP(B366, 'Kit Delivery Status'!$U:$U, 'Kit Delivery Status'!$K:$K) = "Complete", "DELIVERED", XLOOKUP(B366, 'Kit Delivery Status'!$U:$U, 'Kit Delivery Status'!$K:$K) = "Issue", "ISSUE"), "")</f>
        <v/>
      </c>
      <c r="AM366" s="6"/>
    </row>
    <row r="367">
      <c r="A367" s="5" t="s">
        <v>2000</v>
      </c>
      <c r="B367" s="1" t="s">
        <v>2001</v>
      </c>
      <c r="C367" s="1"/>
      <c r="D367" s="2">
        <v>3.122820845E9</v>
      </c>
      <c r="E367" s="1" t="s">
        <v>2002</v>
      </c>
      <c r="F367" s="1"/>
      <c r="G367" s="1" t="s">
        <v>1072</v>
      </c>
      <c r="H367" s="1" t="s">
        <v>1019</v>
      </c>
      <c r="I367" s="1">
        <v>60614.0</v>
      </c>
      <c r="J367" s="1" t="s">
        <v>752</v>
      </c>
      <c r="K367" s="1" t="s">
        <v>66</v>
      </c>
      <c r="L367" s="1" t="s">
        <v>1340</v>
      </c>
      <c r="M367" s="1">
        <v>210.0</v>
      </c>
      <c r="N367" s="1"/>
      <c r="O367" s="3" t="s">
        <v>2003</v>
      </c>
      <c r="P367" s="18">
        <v>45883.0</v>
      </c>
      <c r="Q367" s="1"/>
      <c r="R367" s="1"/>
      <c r="S367" s="1"/>
      <c r="T367" s="1"/>
      <c r="U367" s="1" t="s">
        <v>1277</v>
      </c>
      <c r="V367" s="4" t="s">
        <v>2003</v>
      </c>
      <c r="W367" s="1"/>
      <c r="X367" s="18">
        <v>45883.0</v>
      </c>
      <c r="Y367" s="1"/>
      <c r="Z367" s="1"/>
      <c r="AA367" s="1"/>
      <c r="AB367" s="1"/>
      <c r="AC367" s="1" t="s">
        <v>1925</v>
      </c>
      <c r="AD367" s="1"/>
      <c r="AE367" s="18"/>
      <c r="AF367" s="18"/>
      <c r="AG367" s="18"/>
      <c r="AH367" s="1" t="s">
        <v>1152</v>
      </c>
      <c r="AI367" s="18"/>
      <c r="AJ367" s="18"/>
      <c r="AK367" s="18"/>
      <c r="AL367" s="6" t="str">
        <f t="array" ref="AL367">IFERROR(IFS(XLOOKUP(B367, 'Kit Delivery Status'!$U:$U, 'Kit Delivery Status'!$K:$K) = "Complete", "DELIVERED", XLOOKUP(B367, 'Kit Delivery Status'!$U:$U, 'Kit Delivery Status'!$K:$K) = "Issue", "ISSUE"), "")</f>
        <v/>
      </c>
      <c r="AM367" s="6"/>
    </row>
    <row r="368">
      <c r="A368" s="5" t="s">
        <v>2004</v>
      </c>
      <c r="B368" s="1" t="s">
        <v>2005</v>
      </c>
      <c r="C368" s="1"/>
      <c r="D368" s="2">
        <v>3.144371708E9</v>
      </c>
      <c r="E368" s="1" t="s">
        <v>2006</v>
      </c>
      <c r="F368" s="1"/>
      <c r="G368" s="1" t="s">
        <v>1283</v>
      </c>
      <c r="H368" s="1" t="s">
        <v>1155</v>
      </c>
      <c r="I368" s="1">
        <v>63130.0</v>
      </c>
      <c r="J368" s="1" t="s">
        <v>752</v>
      </c>
      <c r="K368" s="1" t="s">
        <v>42</v>
      </c>
      <c r="L368" s="1" t="s">
        <v>2007</v>
      </c>
      <c r="M368" s="1">
        <v>49.0</v>
      </c>
      <c r="N368" s="1"/>
      <c r="O368" s="3" t="s">
        <v>2008</v>
      </c>
      <c r="P368" s="18"/>
      <c r="Q368" s="1"/>
      <c r="R368" s="1"/>
      <c r="S368" s="1"/>
      <c r="T368" s="1"/>
      <c r="U368" s="1" t="s">
        <v>1710</v>
      </c>
      <c r="V368" s="4" t="s">
        <v>2008</v>
      </c>
      <c r="W368" s="1"/>
      <c r="X368" s="18"/>
      <c r="Y368" s="1"/>
      <c r="Z368" s="1"/>
      <c r="AA368" s="1"/>
      <c r="AB368" s="1"/>
      <c r="AC368" s="1" t="s">
        <v>1925</v>
      </c>
      <c r="AD368" s="1"/>
      <c r="AE368" s="18">
        <v>45856.0</v>
      </c>
      <c r="AF368" s="1" t="s">
        <v>1630</v>
      </c>
      <c r="AG368" s="1" t="s">
        <v>52</v>
      </c>
      <c r="AH368" s="1" t="s">
        <v>1152</v>
      </c>
      <c r="AI368" s="18"/>
      <c r="AJ368" s="18"/>
      <c r="AK368" s="18"/>
      <c r="AL368" s="6" t="str">
        <f t="array" ref="AL368">IFERROR(IFS(XLOOKUP(B368, 'Kit Delivery Status'!$U:$U, 'Kit Delivery Status'!$K:$K) = "Complete", "DELIVERED", XLOOKUP(B368, 'Kit Delivery Status'!$U:$U, 'Kit Delivery Status'!$K:$K) = "Issue", "ISSUE"), "")</f>
        <v/>
      </c>
      <c r="AM368" s="6"/>
    </row>
    <row r="369">
      <c r="A369" s="5" t="s">
        <v>2009</v>
      </c>
      <c r="B369" s="1" t="s">
        <v>2010</v>
      </c>
      <c r="C369" s="1"/>
      <c r="D369" s="2">
        <v>1.3106145209E10</v>
      </c>
      <c r="E369" s="1" t="s">
        <v>2011</v>
      </c>
      <c r="F369" s="1"/>
      <c r="G369" s="1" t="s">
        <v>2012</v>
      </c>
      <c r="H369" s="1" t="s">
        <v>989</v>
      </c>
      <c r="I369" s="1">
        <v>91301.0</v>
      </c>
      <c r="J369" s="1" t="s">
        <v>752</v>
      </c>
      <c r="K369" s="1" t="s">
        <v>66</v>
      </c>
      <c r="L369" s="1" t="s">
        <v>1355</v>
      </c>
      <c r="M369" s="1">
        <v>145.0</v>
      </c>
      <c r="N369" s="1"/>
      <c r="O369" s="3" t="s">
        <v>2013</v>
      </c>
      <c r="P369" s="18">
        <v>45883.0</v>
      </c>
      <c r="Q369" s="1"/>
      <c r="R369" s="1"/>
      <c r="S369" s="1"/>
      <c r="T369" s="1"/>
      <c r="U369" s="1" t="s">
        <v>2014</v>
      </c>
      <c r="V369" s="4" t="s">
        <v>2013</v>
      </c>
      <c r="W369" s="1"/>
      <c r="X369" s="18">
        <v>45883.0</v>
      </c>
      <c r="Y369" s="1"/>
      <c r="Z369" s="1"/>
      <c r="AA369" s="1"/>
      <c r="AB369" s="1"/>
      <c r="AC369" s="1" t="s">
        <v>1925</v>
      </c>
      <c r="AD369" s="1"/>
      <c r="AE369" s="18"/>
      <c r="AF369" s="1"/>
      <c r="AG369" s="1"/>
      <c r="AH369" s="1" t="s">
        <v>1152</v>
      </c>
      <c r="AI369" s="18"/>
      <c r="AJ369" s="18"/>
      <c r="AK369" s="18"/>
      <c r="AL369" s="6" t="str">
        <f t="array" ref="AL369">IFERROR(IFS(XLOOKUP(B369, 'Kit Delivery Status'!$U:$U, 'Kit Delivery Status'!$K:$K) = "Complete", "DELIVERED", XLOOKUP(B369, 'Kit Delivery Status'!$U:$U, 'Kit Delivery Status'!$K:$K) = "Issue", "ISSUE"), "")</f>
        <v/>
      </c>
      <c r="AM369" s="6"/>
    </row>
    <row r="370">
      <c r="A370" s="5" t="s">
        <v>2009</v>
      </c>
      <c r="B370" s="1" t="s">
        <v>2010</v>
      </c>
      <c r="C370" s="1"/>
      <c r="D370" s="2">
        <v>1.3106145209E10</v>
      </c>
      <c r="E370" s="1" t="s">
        <v>2011</v>
      </c>
      <c r="F370" s="1"/>
      <c r="G370" s="1" t="s">
        <v>2012</v>
      </c>
      <c r="H370" s="1" t="s">
        <v>989</v>
      </c>
      <c r="I370" s="1">
        <v>91301.0</v>
      </c>
      <c r="J370" s="1" t="s">
        <v>752</v>
      </c>
      <c r="K370" s="1" t="s">
        <v>51</v>
      </c>
      <c r="L370" s="1" t="s">
        <v>1152</v>
      </c>
      <c r="M370" s="1">
        <v>1.0</v>
      </c>
      <c r="N370" s="1" t="s">
        <v>52</v>
      </c>
      <c r="O370" s="3" t="s">
        <v>2013</v>
      </c>
      <c r="P370" s="18">
        <v>45883.0</v>
      </c>
      <c r="Q370" s="1" t="s">
        <v>1030</v>
      </c>
      <c r="R370" s="1"/>
      <c r="S370" s="1" t="s">
        <v>52</v>
      </c>
      <c r="T370" s="1" t="s">
        <v>52</v>
      </c>
      <c r="U370" s="1" t="s">
        <v>2014</v>
      </c>
      <c r="V370" s="4" t="s">
        <v>2013</v>
      </c>
      <c r="W370" s="1"/>
      <c r="X370" s="18">
        <v>45883.0</v>
      </c>
      <c r="Y370" s="1" t="s">
        <v>1030</v>
      </c>
      <c r="Z370" s="1"/>
      <c r="AA370" s="1"/>
      <c r="AB370" s="1" t="s">
        <v>52</v>
      </c>
      <c r="AC370" s="1" t="s">
        <v>1925</v>
      </c>
      <c r="AD370" s="1"/>
      <c r="AE370" s="18"/>
      <c r="AF370" s="1"/>
      <c r="AG370" s="1"/>
      <c r="AH370" s="1" t="s">
        <v>1152</v>
      </c>
      <c r="AI370" s="18"/>
      <c r="AJ370" s="18"/>
      <c r="AK370" s="18"/>
      <c r="AL370" s="6" t="str">
        <f t="array" ref="AL370">IFERROR(IFS(XLOOKUP(B370, 'Kit Delivery Status'!$U:$U, 'Kit Delivery Status'!$K:$K) = "Complete", "DELIVERED", XLOOKUP(B370, 'Kit Delivery Status'!$U:$U, 'Kit Delivery Status'!$K:$K) = "Issue", "ISSUE"), "")</f>
        <v/>
      </c>
      <c r="AM370" s="6"/>
    </row>
    <row r="371">
      <c r="A371" s="5" t="s">
        <v>2015</v>
      </c>
      <c r="B371" s="1" t="s">
        <v>2016</v>
      </c>
      <c r="C371" s="1" t="s">
        <v>2017</v>
      </c>
      <c r="D371" s="2">
        <v>1.3467635474E10</v>
      </c>
      <c r="E371" s="1" t="s">
        <v>2018</v>
      </c>
      <c r="F371" s="1"/>
      <c r="G371" s="1" t="s">
        <v>2019</v>
      </c>
      <c r="H371" s="1" t="s">
        <v>1583</v>
      </c>
      <c r="I371" s="1">
        <v>77379.0</v>
      </c>
      <c r="J371" s="1" t="s">
        <v>752</v>
      </c>
      <c r="K371" s="1" t="s">
        <v>95</v>
      </c>
      <c r="L371" s="1" t="s">
        <v>1361</v>
      </c>
      <c r="M371" s="1">
        <v>49.0</v>
      </c>
      <c r="N371" s="1" t="s">
        <v>52</v>
      </c>
      <c r="O371" s="3" t="s">
        <v>2020</v>
      </c>
      <c r="P371" s="18">
        <v>45880.0</v>
      </c>
      <c r="Q371" s="1" t="s">
        <v>1455</v>
      </c>
      <c r="R371" s="1"/>
      <c r="S371" s="1" t="s">
        <v>52</v>
      </c>
      <c r="T371" s="1" t="s">
        <v>52</v>
      </c>
      <c r="U371" s="1" t="s">
        <v>1148</v>
      </c>
      <c r="V371" s="4" t="s">
        <v>2020</v>
      </c>
      <c r="W371" s="1"/>
      <c r="X371" s="18">
        <v>45880.0</v>
      </c>
      <c r="Y371" s="1" t="s">
        <v>1455</v>
      </c>
      <c r="Z371" s="1"/>
      <c r="AA371" s="1"/>
      <c r="AB371" s="1" t="s">
        <v>52</v>
      </c>
      <c r="AC371" s="1" t="s">
        <v>2021</v>
      </c>
      <c r="AD371" s="1"/>
      <c r="AE371" s="18"/>
      <c r="AF371" s="1"/>
      <c r="AG371" s="1"/>
      <c r="AH371" s="1" t="s">
        <v>1152</v>
      </c>
      <c r="AI371" s="18"/>
      <c r="AJ371" s="18"/>
      <c r="AK371" s="18"/>
      <c r="AL371" s="6" t="str">
        <f t="array" ref="AL371">IFERROR(IFS(XLOOKUP(B371, 'Kit Delivery Status'!$U:$U, 'Kit Delivery Status'!$K:$K) = "Complete", "DELIVERED", XLOOKUP(B371, 'Kit Delivery Status'!$U:$U, 'Kit Delivery Status'!$K:$K) = "Issue", "ISSUE"), "")</f>
        <v/>
      </c>
      <c r="AM371" s="6"/>
    </row>
    <row r="372">
      <c r="A372" s="5" t="s">
        <v>2022</v>
      </c>
      <c r="B372" s="1" t="s">
        <v>2023</v>
      </c>
      <c r="C372" s="1" t="s">
        <v>1118</v>
      </c>
      <c r="D372" s="2">
        <v>1.8573600811E10</v>
      </c>
      <c r="E372" s="1" t="s">
        <v>2024</v>
      </c>
      <c r="F372" s="1"/>
      <c r="G372" s="1" t="s">
        <v>1120</v>
      </c>
      <c r="H372" s="1" t="s">
        <v>1121</v>
      </c>
      <c r="I372" s="1">
        <v>2132.0</v>
      </c>
      <c r="J372" s="1" t="s">
        <v>752</v>
      </c>
      <c r="K372" s="1" t="s">
        <v>95</v>
      </c>
      <c r="L372" s="1" t="s">
        <v>1361</v>
      </c>
      <c r="M372" s="1">
        <v>49.0</v>
      </c>
      <c r="N372" s="1" t="s">
        <v>52</v>
      </c>
      <c r="O372" s="3" t="s">
        <v>1122</v>
      </c>
      <c r="P372" s="18">
        <v>45883.0</v>
      </c>
      <c r="Q372" s="1" t="s">
        <v>1030</v>
      </c>
      <c r="R372" s="1"/>
      <c r="S372" s="1" t="s">
        <v>52</v>
      </c>
      <c r="T372" s="1" t="s">
        <v>52</v>
      </c>
      <c r="U372" s="1" t="s">
        <v>1031</v>
      </c>
      <c r="V372" s="4" t="s">
        <v>1122</v>
      </c>
      <c r="W372" s="1"/>
      <c r="X372" s="18">
        <v>45883.0</v>
      </c>
      <c r="Y372" s="1" t="s">
        <v>1030</v>
      </c>
      <c r="Z372" s="1"/>
      <c r="AA372" s="1"/>
      <c r="AB372" s="1" t="s">
        <v>52</v>
      </c>
      <c r="AC372" s="1" t="s">
        <v>2025</v>
      </c>
      <c r="AD372" s="1"/>
      <c r="AE372" s="18"/>
      <c r="AF372" s="1"/>
      <c r="AG372" s="1"/>
      <c r="AH372" s="1" t="s">
        <v>1152</v>
      </c>
      <c r="AI372" s="18"/>
      <c r="AJ372" s="18"/>
      <c r="AK372" s="18"/>
      <c r="AL372" s="6" t="str">
        <f t="array" ref="AL372">IFERROR(IFS(XLOOKUP(B372, 'Kit Delivery Status'!$U:$U, 'Kit Delivery Status'!$K:$K) = "Complete", "DELIVERED", XLOOKUP(B372, 'Kit Delivery Status'!$U:$U, 'Kit Delivery Status'!$K:$K) = "Issue", "ISSUE"), "")</f>
        <v/>
      </c>
      <c r="AM372" s="6"/>
    </row>
    <row r="373">
      <c r="A373" s="5" t="s">
        <v>2026</v>
      </c>
      <c r="B373" s="1" t="s">
        <v>2027</v>
      </c>
      <c r="C373" s="1" t="s">
        <v>2028</v>
      </c>
      <c r="D373" s="2">
        <v>1.3108934482E10</v>
      </c>
      <c r="E373" s="1" t="s">
        <v>2029</v>
      </c>
      <c r="F373" s="1"/>
      <c r="G373" s="1" t="s">
        <v>1179</v>
      </c>
      <c r="H373" s="1" t="s">
        <v>989</v>
      </c>
      <c r="I373" s="1">
        <v>90077.0</v>
      </c>
      <c r="J373" s="1" t="s">
        <v>752</v>
      </c>
      <c r="K373" s="1" t="s">
        <v>95</v>
      </c>
      <c r="L373" s="1" t="s">
        <v>1361</v>
      </c>
      <c r="M373" s="1">
        <v>49.0</v>
      </c>
      <c r="N373" s="1" t="s">
        <v>52</v>
      </c>
      <c r="O373" s="3" t="s">
        <v>2030</v>
      </c>
      <c r="P373" s="18">
        <v>45883.0</v>
      </c>
      <c r="Q373" s="1" t="s">
        <v>1030</v>
      </c>
      <c r="R373" s="1"/>
      <c r="S373" s="1" t="s">
        <v>52</v>
      </c>
      <c r="T373" s="1" t="s">
        <v>52</v>
      </c>
      <c r="U373" s="1" t="s">
        <v>1407</v>
      </c>
      <c r="V373" s="4" t="s">
        <v>2030</v>
      </c>
      <c r="W373" s="1"/>
      <c r="X373" s="18">
        <v>45883.0</v>
      </c>
      <c r="Y373" s="1" t="s">
        <v>1030</v>
      </c>
      <c r="Z373" s="1"/>
      <c r="AA373" s="1"/>
      <c r="AB373" s="1" t="s">
        <v>52</v>
      </c>
      <c r="AC373" s="1" t="s">
        <v>2031</v>
      </c>
      <c r="AD373" s="1"/>
      <c r="AE373" s="18"/>
      <c r="AF373" s="1"/>
      <c r="AG373" s="1"/>
      <c r="AH373" s="1" t="s">
        <v>1152</v>
      </c>
      <c r="AI373" s="18"/>
      <c r="AJ373" s="18"/>
      <c r="AK373" s="18"/>
      <c r="AL373" s="6" t="str">
        <f t="array" ref="AL373">IFERROR(IFS(XLOOKUP(B373, 'Kit Delivery Status'!$U:$U, 'Kit Delivery Status'!$K:$K) = "Complete", "DELIVERED", XLOOKUP(B373, 'Kit Delivery Status'!$U:$U, 'Kit Delivery Status'!$K:$K) = "Issue", "ISSUE"), "")</f>
        <v/>
      </c>
      <c r="AM373" s="6"/>
    </row>
    <row r="374">
      <c r="A374" s="5" t="s">
        <v>2032</v>
      </c>
      <c r="B374" s="1" t="s">
        <v>2033</v>
      </c>
      <c r="C374" s="1"/>
      <c r="D374" s="2">
        <v>7.138576891E9</v>
      </c>
      <c r="E374" s="1" t="s">
        <v>2034</v>
      </c>
      <c r="F374" s="1"/>
      <c r="G374" s="1" t="s">
        <v>1609</v>
      </c>
      <c r="H374" s="1" t="s">
        <v>1583</v>
      </c>
      <c r="I374" s="1">
        <v>77024.0</v>
      </c>
      <c r="J374" s="1" t="s">
        <v>752</v>
      </c>
      <c r="K374" s="1" t="s">
        <v>66</v>
      </c>
      <c r="L374" s="1" t="s">
        <v>1340</v>
      </c>
      <c r="M374" s="1">
        <v>210.0</v>
      </c>
      <c r="N374" s="1"/>
      <c r="O374" s="3" t="s">
        <v>2035</v>
      </c>
      <c r="P374" s="18">
        <v>45883.0</v>
      </c>
      <c r="Q374" s="1"/>
      <c r="R374" s="1"/>
      <c r="S374" s="1"/>
      <c r="T374" s="1"/>
      <c r="U374" s="1" t="s">
        <v>1039</v>
      </c>
      <c r="V374" s="4" t="s">
        <v>2035</v>
      </c>
      <c r="W374" s="1"/>
      <c r="X374" s="18">
        <v>45883.0</v>
      </c>
      <c r="Y374" s="1"/>
      <c r="Z374" s="1"/>
      <c r="AA374" s="1"/>
      <c r="AB374" s="1"/>
      <c r="AC374" s="1" t="s">
        <v>1925</v>
      </c>
      <c r="AD374" s="1"/>
      <c r="AE374" s="18"/>
      <c r="AF374" s="1"/>
      <c r="AG374" s="1"/>
      <c r="AH374" s="1" t="s">
        <v>1152</v>
      </c>
      <c r="AI374" s="18"/>
      <c r="AJ374" s="18"/>
      <c r="AK374" s="18"/>
      <c r="AL374" s="6" t="str">
        <f t="array" ref="AL374">IFERROR(IFS(XLOOKUP(B374, 'Kit Delivery Status'!$U:$U, 'Kit Delivery Status'!$K:$K) = "Complete", "DELIVERED", XLOOKUP(B374, 'Kit Delivery Status'!$U:$U, 'Kit Delivery Status'!$K:$K) = "Issue", "ISSUE"), "")</f>
        <v/>
      </c>
      <c r="AM374" s="6"/>
    </row>
    <row r="375">
      <c r="A375" s="5" t="s">
        <v>2036</v>
      </c>
      <c r="B375" s="1" t="s">
        <v>2037</v>
      </c>
      <c r="C375" s="1" t="s">
        <v>2038</v>
      </c>
      <c r="D375" s="2">
        <v>7.813928082E9</v>
      </c>
      <c r="E375" s="1" t="s">
        <v>2039</v>
      </c>
      <c r="F375" s="1"/>
      <c r="G375" s="1" t="s">
        <v>2040</v>
      </c>
      <c r="H375" s="1" t="s">
        <v>1121</v>
      </c>
      <c r="I375" s="1">
        <v>2493.0</v>
      </c>
      <c r="J375" s="1" t="s">
        <v>752</v>
      </c>
      <c r="K375" s="1" t="s">
        <v>51</v>
      </c>
      <c r="L375" s="1" t="s">
        <v>1152</v>
      </c>
      <c r="M375" s="1">
        <v>1.0</v>
      </c>
      <c r="N375" s="1" t="s">
        <v>52</v>
      </c>
      <c r="O375" s="3" t="s">
        <v>1029</v>
      </c>
      <c r="P375" s="18">
        <v>45883.0</v>
      </c>
      <c r="Q375" s="1" t="s">
        <v>1030</v>
      </c>
      <c r="R375" s="1"/>
      <c r="S375" s="1" t="s">
        <v>52</v>
      </c>
      <c r="T375" s="1" t="s">
        <v>52</v>
      </c>
      <c r="U375" s="1" t="s">
        <v>1699</v>
      </c>
      <c r="V375" s="4" t="s">
        <v>1029</v>
      </c>
      <c r="W375" s="1"/>
      <c r="X375" s="18">
        <v>45883.0</v>
      </c>
      <c r="Y375" s="1" t="s">
        <v>1030</v>
      </c>
      <c r="Z375" s="1"/>
      <c r="AA375" s="1"/>
      <c r="AB375" s="1" t="s">
        <v>52</v>
      </c>
      <c r="AC375" s="1" t="s">
        <v>1925</v>
      </c>
      <c r="AD375" s="1"/>
      <c r="AE375" s="18"/>
      <c r="AF375" s="1"/>
      <c r="AG375" s="1"/>
      <c r="AH375" s="1" t="s">
        <v>1152</v>
      </c>
      <c r="AI375" s="18"/>
      <c r="AJ375" s="18"/>
      <c r="AK375" s="18"/>
      <c r="AL375" s="6" t="str">
        <f t="array" ref="AL375">IFERROR(IFS(XLOOKUP(B375, 'Kit Delivery Status'!$U:$U, 'Kit Delivery Status'!$K:$K) = "Complete", "DELIVERED", XLOOKUP(B375, 'Kit Delivery Status'!$U:$U, 'Kit Delivery Status'!$K:$K) = "Issue", "ISSUE"), "")</f>
        <v/>
      </c>
      <c r="AM375" s="6"/>
    </row>
    <row r="376">
      <c r="A376" s="5" t="s">
        <v>2041</v>
      </c>
      <c r="B376" s="1" t="s">
        <v>2042</v>
      </c>
      <c r="C376" s="1" t="s">
        <v>2043</v>
      </c>
      <c r="D376" s="2">
        <v>9.143916204E9</v>
      </c>
      <c r="E376" s="1" t="s">
        <v>2044</v>
      </c>
      <c r="F376" s="1" t="s">
        <v>2045</v>
      </c>
      <c r="G376" s="1" t="s">
        <v>2046</v>
      </c>
      <c r="H376" s="1" t="s">
        <v>751</v>
      </c>
      <c r="I376" s="1">
        <v>10597.0</v>
      </c>
      <c r="J376" s="1" t="s">
        <v>752</v>
      </c>
      <c r="K376" s="1" t="s">
        <v>51</v>
      </c>
      <c r="L376" s="1" t="s">
        <v>1152</v>
      </c>
      <c r="M376" s="1">
        <v>1.0</v>
      </c>
      <c r="N376" s="1" t="s">
        <v>124</v>
      </c>
      <c r="O376" s="3"/>
      <c r="P376" s="18">
        <v>45891.0</v>
      </c>
      <c r="Q376" s="1" t="s">
        <v>1030</v>
      </c>
      <c r="R376" s="1" t="s">
        <v>2045</v>
      </c>
      <c r="S376" s="1" t="s">
        <v>124</v>
      </c>
      <c r="T376" s="1" t="s">
        <v>124</v>
      </c>
      <c r="U376" s="1"/>
      <c r="V376" s="4"/>
      <c r="W376" s="1" t="s">
        <v>2045</v>
      </c>
      <c r="X376" s="18">
        <v>45891.0</v>
      </c>
      <c r="Y376" s="1" t="s">
        <v>1030</v>
      </c>
      <c r="Z376" s="1"/>
      <c r="AA376" s="1" t="s">
        <v>2045</v>
      </c>
      <c r="AB376" s="1" t="s">
        <v>124</v>
      </c>
      <c r="AC376" s="1" t="s">
        <v>1925</v>
      </c>
      <c r="AD376" s="1"/>
      <c r="AE376" s="18"/>
      <c r="AF376" s="1"/>
      <c r="AG376" s="1"/>
      <c r="AH376" s="1" t="s">
        <v>1152</v>
      </c>
      <c r="AI376" s="18"/>
      <c r="AJ376" s="18"/>
      <c r="AK376" s="18"/>
      <c r="AL376" s="6" t="str">
        <f t="array" ref="AL376">IFERROR(IFS(XLOOKUP(B376, 'Kit Delivery Status'!$U:$U, 'Kit Delivery Status'!$K:$K) = "Complete", "DELIVERED", XLOOKUP(B376, 'Kit Delivery Status'!$U:$U, 'Kit Delivery Status'!$K:$K) = "Issue", "ISSUE"), "")</f>
        <v/>
      </c>
      <c r="AM376" s="6"/>
    </row>
    <row r="377">
      <c r="A377" s="5" t="s">
        <v>2047</v>
      </c>
      <c r="B377" s="1" t="s">
        <v>2048</v>
      </c>
      <c r="C377" s="1" t="s">
        <v>2049</v>
      </c>
      <c r="D377" s="2">
        <v>9.17520823E9</v>
      </c>
      <c r="E377" s="1" t="s">
        <v>2050</v>
      </c>
      <c r="F377" s="1"/>
      <c r="G377" s="1" t="s">
        <v>751</v>
      </c>
      <c r="H377" s="1" t="s">
        <v>751</v>
      </c>
      <c r="I377" s="1">
        <v>10128.0</v>
      </c>
      <c r="J377" s="1" t="s">
        <v>752</v>
      </c>
      <c r="K377" s="1" t="s">
        <v>75</v>
      </c>
      <c r="L377" s="19" t="s">
        <v>808</v>
      </c>
      <c r="M377" s="1">
        <v>49.0</v>
      </c>
      <c r="N377" s="1" t="s">
        <v>52</v>
      </c>
      <c r="O377" s="3" t="s">
        <v>1079</v>
      </c>
      <c r="P377" s="18">
        <v>45883.0</v>
      </c>
      <c r="Q377" s="1"/>
      <c r="R377" s="1"/>
      <c r="S377" s="1" t="s">
        <v>52</v>
      </c>
      <c r="T377" s="1" t="s">
        <v>52</v>
      </c>
      <c r="U377" s="1" t="s">
        <v>1080</v>
      </c>
      <c r="V377" s="4" t="s">
        <v>1079</v>
      </c>
      <c r="W377" s="1"/>
      <c r="X377" s="18">
        <v>45883.0</v>
      </c>
      <c r="Y377" s="1"/>
      <c r="Z377" s="1" t="s">
        <v>808</v>
      </c>
      <c r="AA377" s="1"/>
      <c r="AB377" s="1" t="s">
        <v>52</v>
      </c>
      <c r="AC377" s="1" t="s">
        <v>1925</v>
      </c>
      <c r="AD377" s="1" t="s">
        <v>2051</v>
      </c>
      <c r="AE377" s="18"/>
      <c r="AF377" s="1"/>
      <c r="AG377" s="1"/>
      <c r="AH377" s="1" t="s">
        <v>1152</v>
      </c>
      <c r="AI377" s="18"/>
      <c r="AJ377" s="18"/>
      <c r="AK377" s="18"/>
      <c r="AL377" s="6" t="str">
        <f t="array" ref="AL377">IFERROR(IFS(XLOOKUP(B377, 'Kit Delivery Status'!$U:$U, 'Kit Delivery Status'!$K:$K) = "Complete", "DELIVERED", XLOOKUP(B377, 'Kit Delivery Status'!$U:$U, 'Kit Delivery Status'!$K:$K) = "Issue", "ISSUE"), "")</f>
        <v/>
      </c>
      <c r="AM377" s="6"/>
    </row>
    <row r="378">
      <c r="A378" s="5" t="s">
        <v>2052</v>
      </c>
      <c r="B378" s="1" t="s">
        <v>2053</v>
      </c>
      <c r="C378" s="1" t="s">
        <v>2054</v>
      </c>
      <c r="D378" s="2">
        <v>9.495733262E9</v>
      </c>
      <c r="E378" s="1" t="s">
        <v>2055</v>
      </c>
      <c r="F378" s="1"/>
      <c r="G378" s="1" t="s">
        <v>2056</v>
      </c>
      <c r="H378" s="1" t="s">
        <v>1121</v>
      </c>
      <c r="I378" s="1">
        <v>2421.0</v>
      </c>
      <c r="J378" s="1" t="s">
        <v>752</v>
      </c>
      <c r="K378" s="1" t="s">
        <v>95</v>
      </c>
      <c r="L378" s="1" t="s">
        <v>1361</v>
      </c>
      <c r="M378" s="1">
        <v>49.0</v>
      </c>
      <c r="N378" s="1" t="s">
        <v>52</v>
      </c>
      <c r="O378" s="3" t="s">
        <v>2057</v>
      </c>
      <c r="P378" s="18">
        <v>45883.0</v>
      </c>
      <c r="Q378" s="1" t="s">
        <v>1030</v>
      </c>
      <c r="R378" s="1"/>
      <c r="S378" s="1" t="s">
        <v>52</v>
      </c>
      <c r="T378" s="1" t="s">
        <v>52</v>
      </c>
      <c r="U378" s="1" t="s">
        <v>1133</v>
      </c>
      <c r="V378" s="4" t="s">
        <v>2057</v>
      </c>
      <c r="W378" s="1"/>
      <c r="X378" s="18">
        <v>45883.0</v>
      </c>
      <c r="Y378" s="1" t="s">
        <v>1030</v>
      </c>
      <c r="Z378" s="1"/>
      <c r="AA378" s="1"/>
      <c r="AB378" s="1" t="s">
        <v>52</v>
      </c>
      <c r="AC378" s="1" t="s">
        <v>2058</v>
      </c>
      <c r="AD378" s="1"/>
      <c r="AE378" s="18"/>
      <c r="AF378" s="1"/>
      <c r="AG378" s="1"/>
      <c r="AH378" s="1" t="s">
        <v>1152</v>
      </c>
      <c r="AI378" s="18"/>
      <c r="AJ378" s="18"/>
      <c r="AK378" s="18"/>
      <c r="AL378" s="6" t="str">
        <f t="array" ref="AL378">IFERROR(IFS(XLOOKUP(B378, 'Kit Delivery Status'!$U:$U, 'Kit Delivery Status'!$K:$K) = "Complete", "DELIVERED", XLOOKUP(B378, 'Kit Delivery Status'!$U:$U, 'Kit Delivery Status'!$K:$K) = "Issue", "ISSUE"), "")</f>
        <v/>
      </c>
      <c r="AM378" s="6"/>
    </row>
    <row r="379">
      <c r="A379" s="5" t="s">
        <v>2059</v>
      </c>
      <c r="B379" s="1" t="s">
        <v>2060</v>
      </c>
      <c r="C379" s="1" t="s">
        <v>2061</v>
      </c>
      <c r="D379" s="2">
        <v>2.393513534E9</v>
      </c>
      <c r="E379" s="1" t="s">
        <v>2062</v>
      </c>
      <c r="F379" s="1"/>
      <c r="G379" s="1" t="s">
        <v>2063</v>
      </c>
      <c r="H379" s="1" t="s">
        <v>1208</v>
      </c>
      <c r="I379" s="1">
        <v>34120.0</v>
      </c>
      <c r="J379" s="1" t="s">
        <v>752</v>
      </c>
      <c r="K379" s="1" t="s">
        <v>66</v>
      </c>
      <c r="L379" s="1" t="s">
        <v>1355</v>
      </c>
      <c r="M379" s="1">
        <v>145.0</v>
      </c>
      <c r="N379" s="1"/>
      <c r="O379" s="3" t="s">
        <v>2064</v>
      </c>
      <c r="P379" s="18">
        <v>45883.0</v>
      </c>
      <c r="Q379" s="1"/>
      <c r="R379" s="1"/>
      <c r="S379" s="1"/>
      <c r="T379" s="1"/>
      <c r="U379" s="1" t="s">
        <v>1441</v>
      </c>
      <c r="V379" s="4" t="s">
        <v>2064</v>
      </c>
      <c r="W379" s="1"/>
      <c r="X379" s="18">
        <v>45883.0</v>
      </c>
      <c r="Y379" s="1"/>
      <c r="Z379" s="1"/>
      <c r="AA379" s="1"/>
      <c r="AB379" s="1"/>
      <c r="AC379" s="1" t="s">
        <v>1925</v>
      </c>
      <c r="AD379" s="1"/>
      <c r="AE379" s="18"/>
      <c r="AF379" s="1"/>
      <c r="AG379" s="1"/>
      <c r="AH379" s="1" t="s">
        <v>1152</v>
      </c>
      <c r="AI379" s="18"/>
      <c r="AJ379" s="18"/>
      <c r="AK379" s="18"/>
      <c r="AL379" s="6" t="str">
        <f t="array" ref="AL379">IFERROR(IFS(XLOOKUP(B379, 'Kit Delivery Status'!$U:$U, 'Kit Delivery Status'!$K:$K) = "Complete", "DELIVERED", XLOOKUP(B379, 'Kit Delivery Status'!$U:$U, 'Kit Delivery Status'!$K:$K) = "Issue", "ISSUE"), "")</f>
        <v/>
      </c>
      <c r="AM379" s="6"/>
    </row>
    <row r="380">
      <c r="A380" s="5" t="s">
        <v>2065</v>
      </c>
      <c r="B380" s="1" t="s">
        <v>2066</v>
      </c>
      <c r="C380" s="1"/>
      <c r="D380" s="2">
        <v>2.285472374E9</v>
      </c>
      <c r="E380" s="1" t="s">
        <v>2067</v>
      </c>
      <c r="F380" s="1"/>
      <c r="G380" s="1" t="s">
        <v>2068</v>
      </c>
      <c r="H380" s="1" t="s">
        <v>2069</v>
      </c>
      <c r="I380" s="1">
        <v>39503.0</v>
      </c>
      <c r="J380" s="1" t="s">
        <v>752</v>
      </c>
      <c r="K380" s="1" t="s">
        <v>66</v>
      </c>
      <c r="L380" s="1" t="s">
        <v>1340</v>
      </c>
      <c r="M380" s="1">
        <v>210.0</v>
      </c>
      <c r="N380" s="1"/>
      <c r="O380" s="3" t="s">
        <v>2013</v>
      </c>
      <c r="P380" s="18">
        <v>45883.0</v>
      </c>
      <c r="Q380" s="1"/>
      <c r="R380" s="1"/>
      <c r="S380" s="1"/>
      <c r="T380" s="1"/>
      <c r="U380" s="1" t="s">
        <v>1031</v>
      </c>
      <c r="V380" s="4" t="s">
        <v>2013</v>
      </c>
      <c r="W380" s="1"/>
      <c r="X380" s="18">
        <v>45883.0</v>
      </c>
      <c r="Y380" s="1"/>
      <c r="Z380" s="1"/>
      <c r="AA380" s="1"/>
      <c r="AB380" s="1"/>
      <c r="AC380" s="1" t="s">
        <v>1925</v>
      </c>
      <c r="AD380" s="1"/>
      <c r="AE380" s="18"/>
      <c r="AF380" s="1"/>
      <c r="AG380" s="1"/>
      <c r="AH380" s="1" t="s">
        <v>1152</v>
      </c>
      <c r="AI380" s="18"/>
      <c r="AJ380" s="18"/>
      <c r="AK380" s="18"/>
      <c r="AL380" s="6" t="str">
        <f t="array" ref="AL380">IFERROR(IFS(XLOOKUP(B380, 'Kit Delivery Status'!$U:$U, 'Kit Delivery Status'!$K:$K) = "Complete", "DELIVERED", XLOOKUP(B380, 'Kit Delivery Status'!$U:$U, 'Kit Delivery Status'!$K:$K) = "Issue", "ISSUE"), "")</f>
        <v/>
      </c>
      <c r="AM380" s="6"/>
    </row>
    <row r="381">
      <c r="A381" s="5" t="s">
        <v>2070</v>
      </c>
      <c r="B381" s="1" t="s">
        <v>2071</v>
      </c>
      <c r="C381" s="1"/>
      <c r="D381" s="2">
        <v>9.894924002E9</v>
      </c>
      <c r="E381" s="1" t="s">
        <v>2072</v>
      </c>
      <c r="F381" s="1" t="s">
        <v>2073</v>
      </c>
      <c r="G381" s="1" t="s">
        <v>2074</v>
      </c>
      <c r="H381" s="1" t="s">
        <v>1208</v>
      </c>
      <c r="I381" s="1">
        <v>33418.0</v>
      </c>
      <c r="J381" s="1" t="s">
        <v>752</v>
      </c>
      <c r="K381" s="1" t="s">
        <v>51</v>
      </c>
      <c r="L381" s="1" t="s">
        <v>1152</v>
      </c>
      <c r="M381" s="1">
        <v>1.0</v>
      </c>
      <c r="N381" s="1" t="s">
        <v>124</v>
      </c>
      <c r="O381" s="3"/>
      <c r="P381" s="18">
        <v>45866.0</v>
      </c>
      <c r="Q381" s="1" t="s">
        <v>1103</v>
      </c>
      <c r="R381" s="1" t="s">
        <v>2073</v>
      </c>
      <c r="S381" s="1" t="s">
        <v>124</v>
      </c>
      <c r="T381" s="1" t="s">
        <v>124</v>
      </c>
      <c r="U381" s="1"/>
      <c r="V381" s="4"/>
      <c r="W381" s="1" t="s">
        <v>2073</v>
      </c>
      <c r="X381" s="18">
        <v>45866.0</v>
      </c>
      <c r="Y381" s="1" t="s">
        <v>1103</v>
      </c>
      <c r="Z381" s="1"/>
      <c r="AA381" s="1" t="s">
        <v>2073</v>
      </c>
      <c r="AB381" s="1" t="s">
        <v>124</v>
      </c>
      <c r="AC381" s="1" t="s">
        <v>1925</v>
      </c>
      <c r="AD381" s="1"/>
      <c r="AE381" s="18"/>
      <c r="AF381" s="1"/>
      <c r="AG381" s="1"/>
      <c r="AH381" s="1" t="s">
        <v>1152</v>
      </c>
      <c r="AI381" s="18"/>
      <c r="AJ381" s="18"/>
      <c r="AK381" s="18"/>
      <c r="AL381" s="6" t="str">
        <f t="array" ref="AL381">IFERROR(IFS(XLOOKUP(B381, 'Kit Delivery Status'!$U:$U, 'Kit Delivery Status'!$K:$K) = "Complete", "DELIVERED", XLOOKUP(B381, 'Kit Delivery Status'!$U:$U, 'Kit Delivery Status'!$K:$K) = "Issue", "ISSUE"), "")</f>
        <v/>
      </c>
      <c r="AM381" s="6"/>
    </row>
    <row r="382">
      <c r="A382" s="5" t="s">
        <v>2075</v>
      </c>
      <c r="B382" s="1" t="s">
        <v>2076</v>
      </c>
      <c r="C382" s="1" t="s">
        <v>2077</v>
      </c>
      <c r="D382" s="2">
        <v>4.085134608E9</v>
      </c>
      <c r="E382" s="1" t="s">
        <v>2078</v>
      </c>
      <c r="F382" s="1"/>
      <c r="G382" s="1" t="s">
        <v>2079</v>
      </c>
      <c r="H382" s="1" t="s">
        <v>989</v>
      </c>
      <c r="I382" s="1">
        <v>95014.0</v>
      </c>
      <c r="J382" s="1" t="s">
        <v>752</v>
      </c>
      <c r="K382" s="1" t="s">
        <v>95</v>
      </c>
      <c r="L382" s="1" t="s">
        <v>1361</v>
      </c>
      <c r="M382" s="1">
        <v>49.0</v>
      </c>
      <c r="N382" s="1" t="s">
        <v>52</v>
      </c>
      <c r="O382" s="3" t="s">
        <v>2080</v>
      </c>
      <c r="P382" s="18">
        <v>45883.0</v>
      </c>
      <c r="Q382" s="1" t="s">
        <v>1030</v>
      </c>
      <c r="R382" s="1"/>
      <c r="S382" s="1" t="s">
        <v>52</v>
      </c>
      <c r="T382" s="1" t="s">
        <v>52</v>
      </c>
      <c r="U382" s="1" t="s">
        <v>1487</v>
      </c>
      <c r="V382" s="4" t="s">
        <v>2080</v>
      </c>
      <c r="W382" s="1"/>
      <c r="X382" s="18">
        <v>45883.0</v>
      </c>
      <c r="Y382" s="1" t="s">
        <v>1030</v>
      </c>
      <c r="Z382" s="1"/>
      <c r="AA382" s="1"/>
      <c r="AB382" s="1" t="s">
        <v>52</v>
      </c>
      <c r="AC382" s="1" t="s">
        <v>2081</v>
      </c>
      <c r="AD382" s="1"/>
      <c r="AE382" s="18"/>
      <c r="AF382" s="1"/>
      <c r="AG382" s="1"/>
      <c r="AH382" s="1" t="s">
        <v>1152</v>
      </c>
      <c r="AI382" s="18"/>
      <c r="AJ382" s="18"/>
      <c r="AK382" s="18"/>
      <c r="AL382" s="6" t="str">
        <f t="array" ref="AL382">IFERROR(IFS(XLOOKUP(B382, 'Kit Delivery Status'!$U:$U, 'Kit Delivery Status'!$K:$K) = "Complete", "DELIVERED", XLOOKUP(B382, 'Kit Delivery Status'!$U:$U, 'Kit Delivery Status'!$K:$K) = "Issue", "ISSUE"), "")</f>
        <v/>
      </c>
      <c r="AM382" s="6"/>
    </row>
    <row r="383">
      <c r="A383" s="5" t="s">
        <v>2082</v>
      </c>
      <c r="B383" s="1" t="s">
        <v>2083</v>
      </c>
      <c r="C383" s="1" t="s">
        <v>2084</v>
      </c>
      <c r="D383" s="2">
        <v>9.177161807E9</v>
      </c>
      <c r="E383" s="1" t="s">
        <v>2085</v>
      </c>
      <c r="F383" s="1"/>
      <c r="G383" s="1" t="s">
        <v>1660</v>
      </c>
      <c r="H383" s="1" t="s">
        <v>751</v>
      </c>
      <c r="I383" s="1">
        <v>10804.0</v>
      </c>
      <c r="J383" s="1" t="s">
        <v>752</v>
      </c>
      <c r="K383" s="1" t="s">
        <v>75</v>
      </c>
      <c r="L383" s="19" t="s">
        <v>808</v>
      </c>
      <c r="M383" s="1">
        <v>49.0</v>
      </c>
      <c r="N383" s="1" t="s">
        <v>52</v>
      </c>
      <c r="O383" s="3" t="s">
        <v>2086</v>
      </c>
      <c r="P383" s="18">
        <v>45883.0</v>
      </c>
      <c r="Q383" s="1"/>
      <c r="R383" s="1"/>
      <c r="S383" s="1" t="s">
        <v>52</v>
      </c>
      <c r="T383" s="1" t="s">
        <v>52</v>
      </c>
      <c r="U383" s="1" t="s">
        <v>1148</v>
      </c>
      <c r="V383" s="4" t="s">
        <v>2086</v>
      </c>
      <c r="W383" s="1"/>
      <c r="X383" s="18">
        <v>45883.0</v>
      </c>
      <c r="Y383" s="1"/>
      <c r="Z383" s="1" t="s">
        <v>808</v>
      </c>
      <c r="AA383" s="1"/>
      <c r="AB383" s="1" t="s">
        <v>52</v>
      </c>
      <c r="AC383" s="1" t="s">
        <v>1925</v>
      </c>
      <c r="AD383" s="1" t="s">
        <v>2087</v>
      </c>
      <c r="AE383" s="18"/>
      <c r="AF383" s="1"/>
      <c r="AG383" s="1"/>
      <c r="AH383" s="1" t="s">
        <v>1152</v>
      </c>
      <c r="AI383" s="18"/>
      <c r="AJ383" s="18"/>
      <c r="AK383" s="18"/>
      <c r="AL383" s="6" t="str">
        <f t="array" ref="AL383">IFERROR(IFS(XLOOKUP(B383, 'Kit Delivery Status'!$U:$U, 'Kit Delivery Status'!$K:$K) = "Complete", "DELIVERED", XLOOKUP(B383, 'Kit Delivery Status'!$U:$U, 'Kit Delivery Status'!$K:$K) = "Issue", "ISSUE"), "")</f>
        <v/>
      </c>
      <c r="AM383" s="6"/>
    </row>
    <row r="384">
      <c r="A384" s="5" t="s">
        <v>2088</v>
      </c>
      <c r="B384" s="1" t="s">
        <v>2089</v>
      </c>
      <c r="C384" s="1" t="s">
        <v>2090</v>
      </c>
      <c r="D384" s="2">
        <v>6.468723479E9</v>
      </c>
      <c r="E384" s="1" t="s">
        <v>2091</v>
      </c>
      <c r="F384" s="1"/>
      <c r="G384" s="1" t="s">
        <v>2092</v>
      </c>
      <c r="H384" s="1" t="s">
        <v>1155</v>
      </c>
      <c r="I384" s="1">
        <v>63129.0</v>
      </c>
      <c r="J384" s="1" t="s">
        <v>752</v>
      </c>
      <c r="K384" s="1" t="s">
        <v>75</v>
      </c>
      <c r="L384" s="19" t="s">
        <v>808</v>
      </c>
      <c r="M384" s="1">
        <v>49.0</v>
      </c>
      <c r="N384" s="1" t="s">
        <v>52</v>
      </c>
      <c r="O384" s="3" t="s">
        <v>2093</v>
      </c>
      <c r="P384" s="18">
        <v>45883.0</v>
      </c>
      <c r="Q384" s="1"/>
      <c r="R384" s="1"/>
      <c r="S384" s="1" t="s">
        <v>52</v>
      </c>
      <c r="T384" s="1" t="s">
        <v>52</v>
      </c>
      <c r="U384" s="1" t="s">
        <v>1487</v>
      </c>
      <c r="V384" s="4" t="s">
        <v>2093</v>
      </c>
      <c r="W384" s="1"/>
      <c r="X384" s="18">
        <v>45883.0</v>
      </c>
      <c r="Y384" s="1"/>
      <c r="Z384" s="1" t="s">
        <v>808</v>
      </c>
      <c r="AA384" s="1"/>
      <c r="AB384" s="1" t="s">
        <v>52</v>
      </c>
      <c r="AC384" s="1" t="s">
        <v>1925</v>
      </c>
      <c r="AD384" s="1" t="s">
        <v>2094</v>
      </c>
      <c r="AE384" s="18"/>
      <c r="AF384" s="1"/>
      <c r="AG384" s="1"/>
      <c r="AH384" s="1" t="s">
        <v>1152</v>
      </c>
      <c r="AI384" s="18"/>
      <c r="AJ384" s="18"/>
      <c r="AK384" s="18"/>
      <c r="AL384" s="6" t="str">
        <f t="array" ref="AL384">IFERROR(IFS(XLOOKUP(B384, 'Kit Delivery Status'!$U:$U, 'Kit Delivery Status'!$K:$K) = "Complete", "DELIVERED", XLOOKUP(B384, 'Kit Delivery Status'!$U:$U, 'Kit Delivery Status'!$K:$K) = "Issue", "ISSUE"), "")</f>
        <v/>
      </c>
      <c r="AM384" s="6"/>
    </row>
    <row r="385">
      <c r="A385" s="5" t="s">
        <v>2095</v>
      </c>
      <c r="B385" s="1" t="s">
        <v>2096</v>
      </c>
      <c r="C385" s="1" t="s">
        <v>2097</v>
      </c>
      <c r="D385" s="2">
        <v>2.675685157E9</v>
      </c>
      <c r="E385" s="1" t="s">
        <v>2098</v>
      </c>
      <c r="F385" s="1" t="s">
        <v>2099</v>
      </c>
      <c r="G385" s="1" t="s">
        <v>2100</v>
      </c>
      <c r="H385" s="1" t="s">
        <v>1233</v>
      </c>
      <c r="I385" s="1">
        <v>19046.0</v>
      </c>
      <c r="J385" s="1" t="s">
        <v>752</v>
      </c>
      <c r="K385" s="1" t="s">
        <v>95</v>
      </c>
      <c r="L385" s="1" t="s">
        <v>1361</v>
      </c>
      <c r="M385" s="1">
        <v>49.0</v>
      </c>
      <c r="N385" s="1" t="s">
        <v>124</v>
      </c>
      <c r="O385" s="3"/>
      <c r="P385" s="18">
        <v>45874.0</v>
      </c>
      <c r="Q385" s="1" t="s">
        <v>1030</v>
      </c>
      <c r="R385" s="1" t="s">
        <v>2099</v>
      </c>
      <c r="S385" s="1" t="s">
        <v>124</v>
      </c>
      <c r="T385" s="1" t="s">
        <v>124</v>
      </c>
      <c r="U385" s="1"/>
      <c r="V385" s="4"/>
      <c r="W385" s="1" t="s">
        <v>2099</v>
      </c>
      <c r="X385" s="18">
        <v>45874.0</v>
      </c>
      <c r="Y385" s="1" t="s">
        <v>1030</v>
      </c>
      <c r="Z385" s="1"/>
      <c r="AA385" s="1" t="s">
        <v>2099</v>
      </c>
      <c r="AB385" s="1" t="s">
        <v>124</v>
      </c>
      <c r="AC385" s="1" t="s">
        <v>2101</v>
      </c>
      <c r="AD385" s="1"/>
      <c r="AE385" s="18"/>
      <c r="AF385" s="1"/>
      <c r="AG385" s="1"/>
      <c r="AH385" s="1" t="s">
        <v>1152</v>
      </c>
      <c r="AI385" s="18"/>
      <c r="AJ385" s="18"/>
      <c r="AK385" s="18"/>
      <c r="AL385" s="6" t="str">
        <f t="array" ref="AL385">IFERROR(IFS(XLOOKUP(B385, 'Kit Delivery Status'!$U:$U, 'Kit Delivery Status'!$K:$K) = "Complete", "DELIVERED", XLOOKUP(B385, 'Kit Delivery Status'!$U:$U, 'Kit Delivery Status'!$K:$K) = "Issue", "ISSUE"), "")</f>
        <v/>
      </c>
      <c r="AM385" s="6"/>
    </row>
    <row r="386">
      <c r="A386" s="5" t="s">
        <v>2102</v>
      </c>
      <c r="B386" s="1" t="s">
        <v>2103</v>
      </c>
      <c r="C386" s="1" t="s">
        <v>2104</v>
      </c>
      <c r="D386" s="2">
        <v>2.816368843E9</v>
      </c>
      <c r="E386" s="1" t="s">
        <v>2105</v>
      </c>
      <c r="F386" s="1"/>
      <c r="G386" s="1" t="s">
        <v>1609</v>
      </c>
      <c r="H386" s="1" t="s">
        <v>1583</v>
      </c>
      <c r="I386" s="1">
        <v>77019.0</v>
      </c>
      <c r="J386" s="1" t="s">
        <v>752</v>
      </c>
      <c r="K386" s="1" t="s">
        <v>66</v>
      </c>
      <c r="L386" s="1" t="s">
        <v>1340</v>
      </c>
      <c r="M386" s="1">
        <v>210.0</v>
      </c>
      <c r="N386" s="1"/>
      <c r="O386" s="3" t="s">
        <v>418</v>
      </c>
      <c r="P386" s="18">
        <v>45883.0</v>
      </c>
      <c r="Q386" s="1"/>
      <c r="R386" s="1"/>
      <c r="S386" s="1"/>
      <c r="T386" s="1"/>
      <c r="U386" s="1" t="s">
        <v>956</v>
      </c>
      <c r="V386" s="4" t="s">
        <v>418</v>
      </c>
      <c r="W386" s="1"/>
      <c r="X386" s="18">
        <v>45883.0</v>
      </c>
      <c r="Y386" s="1"/>
      <c r="Z386" s="1"/>
      <c r="AA386" s="1"/>
      <c r="AB386" s="1"/>
      <c r="AC386" s="1" t="s">
        <v>1925</v>
      </c>
      <c r="AD386" s="1"/>
      <c r="AE386" s="18"/>
      <c r="AF386" s="1"/>
      <c r="AG386" s="1"/>
      <c r="AH386" s="1" t="s">
        <v>1152</v>
      </c>
      <c r="AI386" s="18"/>
      <c r="AJ386" s="18"/>
      <c r="AK386" s="18"/>
      <c r="AL386" s="6" t="str">
        <f t="array" ref="AL386">IFERROR(IFS(XLOOKUP(B386, 'Kit Delivery Status'!$U:$U, 'Kit Delivery Status'!$K:$K) = "Complete", "DELIVERED", XLOOKUP(B386, 'Kit Delivery Status'!$U:$U, 'Kit Delivery Status'!$K:$K) = "Issue", "ISSUE"), "")</f>
        <v/>
      </c>
      <c r="AM386" s="6"/>
    </row>
    <row r="387">
      <c r="A387" s="5" t="s">
        <v>2106</v>
      </c>
      <c r="B387" s="1" t="s">
        <v>2107</v>
      </c>
      <c r="C387" s="1"/>
      <c r="D387" s="2">
        <v>3.054394279E9</v>
      </c>
      <c r="E387" s="1" t="s">
        <v>2108</v>
      </c>
      <c r="F387" s="1"/>
      <c r="G387" s="1" t="s">
        <v>2109</v>
      </c>
      <c r="H387" s="1" t="s">
        <v>1208</v>
      </c>
      <c r="I387" s="1">
        <v>33156.0</v>
      </c>
      <c r="J387" s="1" t="s">
        <v>752</v>
      </c>
      <c r="K387" s="1" t="s">
        <v>95</v>
      </c>
      <c r="L387" s="1" t="s">
        <v>1361</v>
      </c>
      <c r="M387" s="1">
        <v>49.0</v>
      </c>
      <c r="N387" s="1" t="s">
        <v>52</v>
      </c>
      <c r="O387" s="3" t="s">
        <v>2110</v>
      </c>
      <c r="P387" s="18">
        <v>45883.0</v>
      </c>
      <c r="Q387" s="1" t="s">
        <v>1030</v>
      </c>
      <c r="R387" s="1"/>
      <c r="S387" s="1" t="s">
        <v>52</v>
      </c>
      <c r="T387" s="1" t="s">
        <v>52</v>
      </c>
      <c r="U387" s="1" t="s">
        <v>1031</v>
      </c>
      <c r="V387" s="4" t="s">
        <v>2110</v>
      </c>
      <c r="W387" s="1"/>
      <c r="X387" s="18">
        <v>45883.0</v>
      </c>
      <c r="Y387" s="1" t="s">
        <v>1030</v>
      </c>
      <c r="Z387" s="1"/>
      <c r="AA387" s="1"/>
      <c r="AB387" s="1" t="s">
        <v>52</v>
      </c>
      <c r="AC387" s="1" t="s">
        <v>2111</v>
      </c>
      <c r="AD387" s="1"/>
      <c r="AE387" s="18"/>
      <c r="AF387" s="1"/>
      <c r="AG387" s="1"/>
      <c r="AH387" s="1" t="s">
        <v>1152</v>
      </c>
      <c r="AI387" s="18"/>
      <c r="AJ387" s="18"/>
      <c r="AK387" s="18"/>
      <c r="AL387" s="6" t="str">
        <f t="array" ref="AL387">IFERROR(IFS(XLOOKUP(B387, 'Kit Delivery Status'!$U:$U, 'Kit Delivery Status'!$K:$K) = "Complete", "DELIVERED", XLOOKUP(B387, 'Kit Delivery Status'!$U:$U, 'Kit Delivery Status'!$K:$K) = "Issue", "ISSUE"), "")</f>
        <v/>
      </c>
      <c r="AM387" s="6"/>
    </row>
    <row r="388">
      <c r="A388" s="5" t="s">
        <v>2112</v>
      </c>
      <c r="B388" s="1" t="s">
        <v>2113</v>
      </c>
      <c r="C388" s="1" t="s">
        <v>2114</v>
      </c>
      <c r="D388" s="2">
        <v>6.154984292E9</v>
      </c>
      <c r="E388" s="1" t="s">
        <v>2115</v>
      </c>
      <c r="F388" s="1"/>
      <c r="G388" s="1" t="s">
        <v>2116</v>
      </c>
      <c r="H388" s="1" t="s">
        <v>1598</v>
      </c>
      <c r="I388" s="1">
        <v>37135.0</v>
      </c>
      <c r="J388" s="1" t="s">
        <v>752</v>
      </c>
      <c r="K388" s="1" t="s">
        <v>51</v>
      </c>
      <c r="L388" s="1" t="s">
        <v>1152</v>
      </c>
      <c r="M388" s="1">
        <v>1.0</v>
      </c>
      <c r="N388" s="1" t="s">
        <v>52</v>
      </c>
      <c r="O388" s="3" t="s">
        <v>2117</v>
      </c>
      <c r="P388" s="18">
        <v>45883.0</v>
      </c>
      <c r="Q388" s="1" t="s">
        <v>1030</v>
      </c>
      <c r="R388" s="1"/>
      <c r="S388" s="1" t="s">
        <v>52</v>
      </c>
      <c r="T388" s="1" t="s">
        <v>52</v>
      </c>
      <c r="U388" s="1" t="s">
        <v>1441</v>
      </c>
      <c r="V388" s="4" t="s">
        <v>2117</v>
      </c>
      <c r="W388" s="1"/>
      <c r="X388" s="18">
        <v>45883.0</v>
      </c>
      <c r="Y388" s="1" t="s">
        <v>1030</v>
      </c>
      <c r="Z388" s="1"/>
      <c r="AA388" s="1"/>
      <c r="AB388" s="1" t="s">
        <v>52</v>
      </c>
      <c r="AC388" s="1" t="s">
        <v>1925</v>
      </c>
      <c r="AD388" s="1"/>
      <c r="AE388" s="18"/>
      <c r="AF388" s="1"/>
      <c r="AG388" s="1"/>
      <c r="AH388" s="1" t="s">
        <v>1152</v>
      </c>
      <c r="AI388" s="18"/>
      <c r="AJ388" s="18"/>
      <c r="AK388" s="18"/>
      <c r="AL388" s="6" t="str">
        <f t="array" ref="AL388">IFERROR(IFS(XLOOKUP(B388, 'Kit Delivery Status'!$U:$U, 'Kit Delivery Status'!$K:$K) = "Complete", "DELIVERED", XLOOKUP(B388, 'Kit Delivery Status'!$U:$U, 'Kit Delivery Status'!$K:$K) = "Issue", "ISSUE"), "")</f>
        <v/>
      </c>
      <c r="AM388" s="6"/>
    </row>
    <row r="389">
      <c r="A389" s="5" t="s">
        <v>2118</v>
      </c>
      <c r="B389" s="1" t="s">
        <v>2119</v>
      </c>
      <c r="C389" s="1"/>
      <c r="D389" s="2">
        <v>3.054394279E9</v>
      </c>
      <c r="E389" s="1" t="s">
        <v>2120</v>
      </c>
      <c r="F389" s="1"/>
      <c r="G389" s="1" t="s">
        <v>2109</v>
      </c>
      <c r="H389" s="1" t="s">
        <v>1208</v>
      </c>
      <c r="I389" s="1">
        <v>33156.0</v>
      </c>
      <c r="J389" s="1" t="s">
        <v>752</v>
      </c>
      <c r="K389" s="1" t="s">
        <v>95</v>
      </c>
      <c r="L389" s="1" t="s">
        <v>1361</v>
      </c>
      <c r="M389" s="1">
        <v>49.0</v>
      </c>
      <c r="N389" s="1" t="s">
        <v>52</v>
      </c>
      <c r="O389" s="3" t="s">
        <v>2110</v>
      </c>
      <c r="P389" s="18">
        <v>45883.0</v>
      </c>
      <c r="Q389" s="1" t="s">
        <v>1030</v>
      </c>
      <c r="R389" s="1"/>
      <c r="S389" s="1" t="s">
        <v>52</v>
      </c>
      <c r="T389" s="1" t="s">
        <v>52</v>
      </c>
      <c r="U389" s="1" t="s">
        <v>1031</v>
      </c>
      <c r="V389" s="4" t="s">
        <v>2110</v>
      </c>
      <c r="W389" s="1"/>
      <c r="X389" s="18">
        <v>45883.0</v>
      </c>
      <c r="Y389" s="1" t="s">
        <v>1030</v>
      </c>
      <c r="Z389" s="1"/>
      <c r="AA389" s="1"/>
      <c r="AB389" s="1" t="s">
        <v>52</v>
      </c>
      <c r="AC389" s="1" t="s">
        <v>2121</v>
      </c>
      <c r="AD389" s="1"/>
      <c r="AE389" s="18"/>
      <c r="AF389" s="1"/>
      <c r="AG389" s="1"/>
      <c r="AH389" s="1" t="s">
        <v>1152</v>
      </c>
      <c r="AI389" s="18"/>
      <c r="AJ389" s="18"/>
      <c r="AK389" s="18"/>
      <c r="AL389" s="6" t="str">
        <f t="array" ref="AL389">IFERROR(IFS(XLOOKUP(B389, 'Kit Delivery Status'!$U:$U, 'Kit Delivery Status'!$K:$K) = "Complete", "DELIVERED", XLOOKUP(B389, 'Kit Delivery Status'!$U:$U, 'Kit Delivery Status'!$K:$K) = "Issue", "ISSUE"), "")</f>
        <v/>
      </c>
      <c r="AM389" s="6"/>
    </row>
    <row r="390">
      <c r="A390" s="5" t="s">
        <v>2122</v>
      </c>
      <c r="B390" s="1" t="s">
        <v>2123</v>
      </c>
      <c r="C390" s="1" t="s">
        <v>2061</v>
      </c>
      <c r="D390" s="2">
        <v>2.393513534E9</v>
      </c>
      <c r="E390" s="1" t="s">
        <v>2062</v>
      </c>
      <c r="F390" s="1"/>
      <c r="G390" s="1" t="s">
        <v>2063</v>
      </c>
      <c r="H390" s="1" t="s">
        <v>1208</v>
      </c>
      <c r="I390" s="1">
        <v>34120.0</v>
      </c>
      <c r="J390" s="1" t="s">
        <v>752</v>
      </c>
      <c r="K390" s="1" t="s">
        <v>51</v>
      </c>
      <c r="L390" s="1" t="s">
        <v>1152</v>
      </c>
      <c r="M390" s="1">
        <v>1.0</v>
      </c>
      <c r="N390" s="1" t="s">
        <v>52</v>
      </c>
      <c r="O390" s="3" t="s">
        <v>2064</v>
      </c>
      <c r="P390" s="18">
        <v>45883.0</v>
      </c>
      <c r="Q390" s="1" t="s">
        <v>1030</v>
      </c>
      <c r="R390" s="1"/>
      <c r="S390" s="1" t="s">
        <v>52</v>
      </c>
      <c r="T390" s="1" t="s">
        <v>52</v>
      </c>
      <c r="U390" s="1" t="s">
        <v>1441</v>
      </c>
      <c r="V390" s="4" t="s">
        <v>2064</v>
      </c>
      <c r="W390" s="1"/>
      <c r="X390" s="18">
        <v>45883.0</v>
      </c>
      <c r="Y390" s="1" t="s">
        <v>1030</v>
      </c>
      <c r="Z390" s="1"/>
      <c r="AA390" s="1"/>
      <c r="AB390" s="1" t="s">
        <v>52</v>
      </c>
      <c r="AC390" s="1" t="s">
        <v>1925</v>
      </c>
      <c r="AD390" s="1"/>
      <c r="AE390" s="18"/>
      <c r="AF390" s="1"/>
      <c r="AG390" s="1"/>
      <c r="AH390" s="1" t="s">
        <v>1152</v>
      </c>
      <c r="AI390" s="18"/>
      <c r="AJ390" s="18"/>
      <c r="AK390" s="18"/>
      <c r="AL390" s="6" t="str">
        <f t="array" ref="AL390">IFERROR(IFS(XLOOKUP(B390, 'Kit Delivery Status'!$U:$U, 'Kit Delivery Status'!$K:$K) = "Complete", "DELIVERED", XLOOKUP(B390, 'Kit Delivery Status'!$U:$U, 'Kit Delivery Status'!$K:$K) = "Issue", "ISSUE"), "")</f>
        <v/>
      </c>
      <c r="AM390" s="6"/>
    </row>
    <row r="391">
      <c r="A391" s="5" t="s">
        <v>2124</v>
      </c>
      <c r="B391" s="1" t="s">
        <v>2125</v>
      </c>
      <c r="C391" s="1"/>
      <c r="D391" s="2">
        <v>6.154993847E9</v>
      </c>
      <c r="E391" s="1" t="s">
        <v>2126</v>
      </c>
      <c r="F391" s="1" t="s">
        <v>2127</v>
      </c>
      <c r="G391" s="1" t="s">
        <v>1804</v>
      </c>
      <c r="H391" s="1" t="s">
        <v>1598</v>
      </c>
      <c r="I391" s="1">
        <v>37215.0</v>
      </c>
      <c r="J391" s="1" t="s">
        <v>752</v>
      </c>
      <c r="K391" s="1" t="s">
        <v>51</v>
      </c>
      <c r="L391" s="1" t="s">
        <v>1152</v>
      </c>
      <c r="M391" s="1">
        <v>1.0</v>
      </c>
      <c r="N391" s="1" t="s">
        <v>124</v>
      </c>
      <c r="O391" s="3"/>
      <c r="P391" s="18">
        <v>45864.0</v>
      </c>
      <c r="Q391" s="1" t="s">
        <v>1349</v>
      </c>
      <c r="R391" s="1" t="s">
        <v>2127</v>
      </c>
      <c r="S391" s="1" t="s">
        <v>124</v>
      </c>
      <c r="T391" s="1" t="s">
        <v>124</v>
      </c>
      <c r="U391" s="1"/>
      <c r="V391" s="4"/>
      <c r="W391" s="1" t="s">
        <v>2127</v>
      </c>
      <c r="X391" s="18">
        <v>45864.0</v>
      </c>
      <c r="Y391" s="1" t="s">
        <v>1349</v>
      </c>
      <c r="Z391" s="1"/>
      <c r="AA391" s="1" t="s">
        <v>2127</v>
      </c>
      <c r="AB391" s="1" t="s">
        <v>124</v>
      </c>
      <c r="AC391" s="1" t="s">
        <v>1925</v>
      </c>
      <c r="AD391" s="1"/>
      <c r="AE391" s="18"/>
      <c r="AF391" s="1"/>
      <c r="AG391" s="1"/>
      <c r="AH391" s="1" t="s">
        <v>1152</v>
      </c>
      <c r="AI391" s="18"/>
      <c r="AJ391" s="18"/>
      <c r="AK391" s="18"/>
      <c r="AL391" s="6" t="str">
        <f t="array" ref="AL391">IFERROR(IFS(XLOOKUP(B391, 'Kit Delivery Status'!$U:$U, 'Kit Delivery Status'!$K:$K) = "Complete", "DELIVERED", XLOOKUP(B391, 'Kit Delivery Status'!$U:$U, 'Kit Delivery Status'!$K:$K) = "Issue", "ISSUE"), "")</f>
        <v/>
      </c>
      <c r="AM391" s="6"/>
    </row>
    <row r="392">
      <c r="A392" s="5" t="s">
        <v>2128</v>
      </c>
      <c r="B392" s="1" t="s">
        <v>2129</v>
      </c>
      <c r="C392" s="1"/>
      <c r="D392" s="2">
        <v>5.402078205E9</v>
      </c>
      <c r="E392" s="1" t="s">
        <v>41</v>
      </c>
      <c r="F392" s="1"/>
      <c r="G392" s="1" t="s">
        <v>2130</v>
      </c>
      <c r="H392" s="1" t="s">
        <v>1038</v>
      </c>
      <c r="I392" s="1">
        <v>22553.0</v>
      </c>
      <c r="J392" s="1" t="s">
        <v>752</v>
      </c>
      <c r="K392" s="1" t="s">
        <v>2131</v>
      </c>
      <c r="L392" s="1" t="s">
        <v>1431</v>
      </c>
      <c r="M392" s="1">
        <v>0.0</v>
      </c>
      <c r="N392" s="1"/>
      <c r="O392" s="3" t="s">
        <v>2132</v>
      </c>
      <c r="P392" s="18"/>
      <c r="Q392" s="1"/>
      <c r="R392" s="1"/>
      <c r="S392" s="1"/>
      <c r="T392" s="1"/>
      <c r="U392" s="1" t="s">
        <v>1794</v>
      </c>
      <c r="V392" s="4" t="s">
        <v>2132</v>
      </c>
      <c r="W392" s="1"/>
      <c r="X392" s="18"/>
      <c r="Y392" s="1"/>
      <c r="Z392" s="1"/>
      <c r="AA392" s="1"/>
      <c r="AB392" s="1"/>
      <c r="AC392" s="1" t="s">
        <v>1925</v>
      </c>
      <c r="AD392" s="1"/>
      <c r="AE392" s="18">
        <v>45878.0</v>
      </c>
      <c r="AF392" s="1"/>
      <c r="AG392" s="1"/>
      <c r="AH392" s="1" t="s">
        <v>1152</v>
      </c>
      <c r="AI392" s="18"/>
      <c r="AJ392" s="18"/>
      <c r="AK392" s="18"/>
      <c r="AL392" s="6" t="str">
        <f t="array" ref="AL392">IFERROR(IFS(XLOOKUP(B392, 'Kit Delivery Status'!$U:$U, 'Kit Delivery Status'!$K:$K) = "Complete", "DELIVERED", XLOOKUP(B392, 'Kit Delivery Status'!$U:$U, 'Kit Delivery Status'!$K:$K) = "Issue", "ISSUE"), "")</f>
        <v/>
      </c>
      <c r="AM392" s="6"/>
    </row>
    <row r="393">
      <c r="A393" s="5" t="s">
        <v>2133</v>
      </c>
      <c r="B393" s="1" t="s">
        <v>2134</v>
      </c>
      <c r="C393" s="1"/>
      <c r="D393" s="2">
        <v>8.589995331E9</v>
      </c>
      <c r="E393" s="1" t="s">
        <v>2135</v>
      </c>
      <c r="F393" s="1"/>
      <c r="G393" s="1" t="s">
        <v>2136</v>
      </c>
      <c r="H393" s="1" t="s">
        <v>1155</v>
      </c>
      <c r="I393" s="1">
        <v>63117.0</v>
      </c>
      <c r="J393" s="1" t="s">
        <v>752</v>
      </c>
      <c r="K393" s="1" t="s">
        <v>51</v>
      </c>
      <c r="L393" s="1" t="s">
        <v>1152</v>
      </c>
      <c r="M393" s="1">
        <v>1.0</v>
      </c>
      <c r="N393" s="1" t="s">
        <v>52</v>
      </c>
      <c r="O393" s="3" t="s">
        <v>103</v>
      </c>
      <c r="P393" s="18">
        <v>45857.0</v>
      </c>
      <c r="Q393" s="1" t="s">
        <v>1030</v>
      </c>
      <c r="R393" s="1"/>
      <c r="S393" s="1" t="s">
        <v>52</v>
      </c>
      <c r="T393" s="1" t="s">
        <v>52</v>
      </c>
      <c r="U393" s="1" t="s">
        <v>102</v>
      </c>
      <c r="V393" s="4" t="s">
        <v>103</v>
      </c>
      <c r="W393" s="1"/>
      <c r="X393" s="18">
        <v>45857.0</v>
      </c>
      <c r="Y393" s="1" t="s">
        <v>1030</v>
      </c>
      <c r="Z393" s="1"/>
      <c r="AA393" s="1"/>
      <c r="AB393" s="1" t="s">
        <v>52</v>
      </c>
      <c r="AC393" s="1" t="s">
        <v>1925</v>
      </c>
      <c r="AD393" s="1"/>
      <c r="AE393" s="18"/>
      <c r="AF393" s="1"/>
      <c r="AG393" s="1"/>
      <c r="AH393" s="1" t="s">
        <v>1152</v>
      </c>
      <c r="AI393" s="18"/>
      <c r="AJ393" s="18"/>
      <c r="AK393" s="18"/>
      <c r="AL393" s="6" t="str">
        <f t="array" ref="AL393">IFERROR(IFS(XLOOKUP(B393, 'Kit Delivery Status'!$U:$U, 'Kit Delivery Status'!$K:$K) = "Complete", "DELIVERED", XLOOKUP(B393, 'Kit Delivery Status'!$U:$U, 'Kit Delivery Status'!$K:$K) = "Issue", "ISSUE"), "")</f>
        <v/>
      </c>
      <c r="AM393" s="6"/>
    </row>
    <row r="394">
      <c r="A394" s="5" t="s">
        <v>2137</v>
      </c>
      <c r="B394" s="1" t="s">
        <v>2138</v>
      </c>
      <c r="C394" s="1" t="s">
        <v>2139</v>
      </c>
      <c r="D394" s="2">
        <v>3.122032557E9</v>
      </c>
      <c r="E394" s="1" t="s">
        <v>2140</v>
      </c>
      <c r="F394" s="1"/>
      <c r="G394" s="1" t="s">
        <v>1269</v>
      </c>
      <c r="H394" s="1" t="s">
        <v>1019</v>
      </c>
      <c r="I394" s="1">
        <v>60022.0</v>
      </c>
      <c r="J394" s="1" t="s">
        <v>752</v>
      </c>
      <c r="K394" s="1" t="s">
        <v>66</v>
      </c>
      <c r="L394" s="1" t="s">
        <v>1449</v>
      </c>
      <c r="M394" s="1">
        <v>180.0</v>
      </c>
      <c r="N394" s="1"/>
      <c r="O394" s="3" t="s">
        <v>2141</v>
      </c>
      <c r="P394" s="18">
        <v>45883.0</v>
      </c>
      <c r="Q394" s="1"/>
      <c r="R394" s="1"/>
      <c r="S394" s="1"/>
      <c r="T394" s="1"/>
      <c r="U394" s="1" t="s">
        <v>1039</v>
      </c>
      <c r="V394" s="4" t="s">
        <v>2141</v>
      </c>
      <c r="W394" s="1"/>
      <c r="X394" s="18">
        <v>45883.0</v>
      </c>
      <c r="Y394" s="1"/>
      <c r="Z394" s="1"/>
      <c r="AA394" s="1"/>
      <c r="AB394" s="1"/>
      <c r="AC394" s="1" t="s">
        <v>1925</v>
      </c>
      <c r="AD394" s="1"/>
      <c r="AE394" s="18"/>
      <c r="AF394" s="1"/>
      <c r="AG394" s="1"/>
      <c r="AH394" s="1" t="s">
        <v>1152</v>
      </c>
      <c r="AI394" s="18"/>
      <c r="AJ394" s="18"/>
      <c r="AK394" s="18"/>
      <c r="AL394" s="6" t="str">
        <f t="array" ref="AL394">IFERROR(IFS(XLOOKUP(B394, 'Kit Delivery Status'!$U:$U, 'Kit Delivery Status'!$K:$K) = "Complete", "DELIVERED", XLOOKUP(B394, 'Kit Delivery Status'!$U:$U, 'Kit Delivery Status'!$K:$K) = "Issue", "ISSUE"), "")</f>
        <v/>
      </c>
      <c r="AM394" s="6"/>
    </row>
    <row r="395">
      <c r="A395" s="5" t="s">
        <v>2142</v>
      </c>
      <c r="B395" s="1" t="s">
        <v>2143</v>
      </c>
      <c r="C395" s="1" t="s">
        <v>2144</v>
      </c>
      <c r="D395" s="2">
        <v>3.108498258E9</v>
      </c>
      <c r="E395" s="1" t="s">
        <v>2145</v>
      </c>
      <c r="F395" s="1"/>
      <c r="G395" s="1" t="s">
        <v>1179</v>
      </c>
      <c r="H395" s="1" t="s">
        <v>989</v>
      </c>
      <c r="I395" s="1">
        <v>90064.0</v>
      </c>
      <c r="J395" s="1" t="s">
        <v>752</v>
      </c>
      <c r="K395" s="1" t="s">
        <v>66</v>
      </c>
      <c r="L395" s="1" t="s">
        <v>1340</v>
      </c>
      <c r="M395" s="1">
        <v>210.0</v>
      </c>
      <c r="N395" s="1"/>
      <c r="O395" s="3" t="s">
        <v>2146</v>
      </c>
      <c r="P395" s="18">
        <v>45883.0</v>
      </c>
      <c r="Q395" s="1"/>
      <c r="R395" s="1"/>
      <c r="S395" s="1"/>
      <c r="T395" s="1"/>
      <c r="U395" s="1" t="s">
        <v>1148</v>
      </c>
      <c r="V395" s="4" t="s">
        <v>2146</v>
      </c>
      <c r="W395" s="1"/>
      <c r="X395" s="18">
        <v>45883.0</v>
      </c>
      <c r="Y395" s="1"/>
      <c r="Z395" s="1"/>
      <c r="AA395" s="1"/>
      <c r="AB395" s="1"/>
      <c r="AC395" s="1" t="s">
        <v>1925</v>
      </c>
      <c r="AD395" s="1"/>
      <c r="AE395" s="18"/>
      <c r="AF395" s="1"/>
      <c r="AG395" s="1"/>
      <c r="AH395" s="1" t="s">
        <v>1152</v>
      </c>
      <c r="AI395" s="18"/>
      <c r="AJ395" s="18"/>
      <c r="AK395" s="18"/>
      <c r="AL395" s="6" t="str">
        <f t="array" ref="AL395">IFERROR(IFS(XLOOKUP(B395, 'Kit Delivery Status'!$U:$U, 'Kit Delivery Status'!$K:$K) = "Complete", "DELIVERED", XLOOKUP(B395, 'Kit Delivery Status'!$U:$U, 'Kit Delivery Status'!$K:$K) = "Issue", "ISSUE"), "")</f>
        <v/>
      </c>
      <c r="AM395" s="6"/>
    </row>
    <row r="396">
      <c r="A396" s="5" t="s">
        <v>2147</v>
      </c>
      <c r="B396" s="1" t="s">
        <v>2148</v>
      </c>
      <c r="C396" s="1"/>
      <c r="D396" s="2">
        <v>9.086989314E9</v>
      </c>
      <c r="E396" s="1" t="s">
        <v>2149</v>
      </c>
      <c r="F396" s="1"/>
      <c r="G396" s="1" t="s">
        <v>2150</v>
      </c>
      <c r="H396" s="1" t="s">
        <v>1053</v>
      </c>
      <c r="I396" s="1" t="s">
        <v>2151</v>
      </c>
      <c r="J396" s="1" t="s">
        <v>752</v>
      </c>
      <c r="K396" s="1" t="s">
        <v>66</v>
      </c>
      <c r="L396" s="1" t="s">
        <v>1340</v>
      </c>
      <c r="M396" s="1">
        <v>210.0</v>
      </c>
      <c r="N396" s="1"/>
      <c r="O396" s="3" t="s">
        <v>117</v>
      </c>
      <c r="P396" s="18">
        <v>45883.0</v>
      </c>
      <c r="Q396" s="1"/>
      <c r="R396" s="1"/>
      <c r="S396" s="1"/>
      <c r="T396" s="1"/>
      <c r="U396" s="1" t="s">
        <v>1039</v>
      </c>
      <c r="V396" s="4" t="s">
        <v>117</v>
      </c>
      <c r="W396" s="1"/>
      <c r="X396" s="18">
        <v>45883.0</v>
      </c>
      <c r="Y396" s="1"/>
      <c r="Z396" s="1"/>
      <c r="AA396" s="1"/>
      <c r="AB396" s="1"/>
      <c r="AC396" s="1" t="s">
        <v>1925</v>
      </c>
      <c r="AD396" s="1"/>
      <c r="AE396" s="18"/>
      <c r="AF396" s="1"/>
      <c r="AG396" s="1"/>
      <c r="AH396" s="1" t="s">
        <v>1152</v>
      </c>
      <c r="AI396" s="18"/>
      <c r="AJ396" s="18"/>
      <c r="AK396" s="18"/>
      <c r="AL396" s="6" t="str">
        <f t="array" ref="AL396">IFERROR(IFS(XLOOKUP(B396, 'Kit Delivery Status'!$U:$U, 'Kit Delivery Status'!$K:$K) = "Complete", "DELIVERED", XLOOKUP(B396, 'Kit Delivery Status'!$U:$U, 'Kit Delivery Status'!$K:$K) = "Issue", "ISSUE"), "")</f>
        <v/>
      </c>
      <c r="AM396" s="6"/>
    </row>
    <row r="397">
      <c r="A397" s="5" t="s">
        <v>2152</v>
      </c>
      <c r="B397" s="1" t="s">
        <v>2153</v>
      </c>
      <c r="C397" s="1" t="s">
        <v>2154</v>
      </c>
      <c r="D397" s="2">
        <v>9.175724417E9</v>
      </c>
      <c r="E397" s="1" t="s">
        <v>2155</v>
      </c>
      <c r="F397" s="1" t="s">
        <v>2156</v>
      </c>
      <c r="G397" s="1" t="s">
        <v>2157</v>
      </c>
      <c r="H397" s="1" t="s">
        <v>751</v>
      </c>
      <c r="I397" s="1" t="s">
        <v>2158</v>
      </c>
      <c r="J397" s="1" t="s">
        <v>752</v>
      </c>
      <c r="K397" s="1" t="s">
        <v>75</v>
      </c>
      <c r="L397" s="1" t="s">
        <v>2159</v>
      </c>
      <c r="M397" s="1">
        <v>79.0</v>
      </c>
      <c r="N397" s="1" t="s">
        <v>124</v>
      </c>
      <c r="O397" s="3"/>
      <c r="P397" s="18">
        <v>45887.0</v>
      </c>
      <c r="Q397" s="1" t="s">
        <v>1103</v>
      </c>
      <c r="R397" s="1" t="s">
        <v>2156</v>
      </c>
      <c r="S397" s="1" t="s">
        <v>124</v>
      </c>
      <c r="T397" s="1" t="s">
        <v>124</v>
      </c>
      <c r="U397" s="1"/>
      <c r="V397" s="4"/>
      <c r="W397" s="1" t="s">
        <v>2156</v>
      </c>
      <c r="X397" s="18">
        <v>45887.0</v>
      </c>
      <c r="Y397" s="1" t="s">
        <v>1103</v>
      </c>
      <c r="Z397" s="1"/>
      <c r="AA397" s="1" t="s">
        <v>2156</v>
      </c>
      <c r="AB397" s="1" t="s">
        <v>124</v>
      </c>
      <c r="AC397" s="1" t="s">
        <v>1925</v>
      </c>
      <c r="AD397" s="1" t="s">
        <v>2160</v>
      </c>
      <c r="AE397" s="18"/>
      <c r="AF397" s="1"/>
      <c r="AG397" s="1"/>
      <c r="AH397" s="1" t="s">
        <v>1152</v>
      </c>
      <c r="AI397" s="18"/>
      <c r="AJ397" s="18"/>
      <c r="AK397" s="18"/>
      <c r="AL397" s="6" t="str">
        <f t="array" ref="AL397">IFERROR(IFS(XLOOKUP(B397, 'Kit Delivery Status'!$U:$U, 'Kit Delivery Status'!$K:$K) = "Complete", "DELIVERED", XLOOKUP(B397, 'Kit Delivery Status'!$U:$U, 'Kit Delivery Status'!$K:$K) = "Issue", "ISSUE"), "")</f>
        <v/>
      </c>
      <c r="AM397" s="6"/>
    </row>
    <row r="398">
      <c r="A398" s="5" t="s">
        <v>2161</v>
      </c>
      <c r="B398" s="1" t="s">
        <v>2162</v>
      </c>
      <c r="C398" s="1" t="s">
        <v>2163</v>
      </c>
      <c r="D398" s="2">
        <v>3.153827241E9</v>
      </c>
      <c r="E398" s="1" t="s">
        <v>2164</v>
      </c>
      <c r="F398" s="1"/>
      <c r="G398" s="1" t="s">
        <v>2165</v>
      </c>
      <c r="H398" s="1" t="s">
        <v>751</v>
      </c>
      <c r="I398" s="1">
        <v>13104.0</v>
      </c>
      <c r="J398" s="1" t="s">
        <v>752</v>
      </c>
      <c r="K398" s="1" t="s">
        <v>66</v>
      </c>
      <c r="L398" s="1" t="s">
        <v>1340</v>
      </c>
      <c r="M398" s="1">
        <v>210.0</v>
      </c>
      <c r="N398" s="1"/>
      <c r="O398" s="3" t="s">
        <v>2166</v>
      </c>
      <c r="P398" s="18">
        <v>45883.0</v>
      </c>
      <c r="Q398" s="1"/>
      <c r="R398" s="1"/>
      <c r="S398" s="1"/>
      <c r="T398" s="1"/>
      <c r="U398" s="1" t="s">
        <v>1148</v>
      </c>
      <c r="V398" s="4" t="s">
        <v>2166</v>
      </c>
      <c r="W398" s="1"/>
      <c r="X398" s="18">
        <v>45883.0</v>
      </c>
      <c r="Y398" s="1"/>
      <c r="Z398" s="1"/>
      <c r="AA398" s="1"/>
      <c r="AB398" s="1"/>
      <c r="AC398" s="1" t="s">
        <v>1925</v>
      </c>
      <c r="AD398" s="1"/>
      <c r="AE398" s="18"/>
      <c r="AF398" s="1"/>
      <c r="AG398" s="1"/>
      <c r="AH398" s="1" t="s">
        <v>1152</v>
      </c>
      <c r="AI398" s="18"/>
      <c r="AJ398" s="18"/>
      <c r="AK398" s="18"/>
      <c r="AL398" s="6" t="str">
        <f t="array" ref="AL398">IFERROR(IFS(XLOOKUP(B398, 'Kit Delivery Status'!$U:$U, 'Kit Delivery Status'!$K:$K) = "Complete", "DELIVERED", XLOOKUP(B398, 'Kit Delivery Status'!$U:$U, 'Kit Delivery Status'!$K:$K) = "Issue", "ISSUE"), "")</f>
        <v/>
      </c>
      <c r="AM398" s="6"/>
    </row>
    <row r="399">
      <c r="A399" s="5" t="s">
        <v>2167</v>
      </c>
      <c r="B399" s="1" t="s">
        <v>2168</v>
      </c>
      <c r="C399" s="1"/>
      <c r="D399" s="2">
        <v>4.079136456E9</v>
      </c>
      <c r="E399" s="1" t="s">
        <v>2169</v>
      </c>
      <c r="F399" s="1"/>
      <c r="G399" s="1" t="s">
        <v>2170</v>
      </c>
      <c r="H399" s="1" t="s">
        <v>2171</v>
      </c>
      <c r="I399" s="1">
        <v>45040.0</v>
      </c>
      <c r="J399" s="1" t="s">
        <v>752</v>
      </c>
      <c r="K399" s="1" t="s">
        <v>66</v>
      </c>
      <c r="L399" s="1" t="s">
        <v>1340</v>
      </c>
      <c r="M399" s="1">
        <v>210.0</v>
      </c>
      <c r="N399" s="1"/>
      <c r="O399" s="3" t="s">
        <v>753</v>
      </c>
      <c r="P399" s="18">
        <v>45883.0</v>
      </c>
      <c r="Q399" s="1"/>
      <c r="R399" s="1"/>
      <c r="S399" s="1"/>
      <c r="T399" s="1"/>
      <c r="U399" s="1" t="s">
        <v>1080</v>
      </c>
      <c r="V399" s="4" t="s">
        <v>753</v>
      </c>
      <c r="W399" s="1"/>
      <c r="X399" s="18">
        <v>45883.0</v>
      </c>
      <c r="Y399" s="1"/>
      <c r="Z399" s="1"/>
      <c r="AA399" s="1"/>
      <c r="AB399" s="1"/>
      <c r="AC399" s="1" t="s">
        <v>1925</v>
      </c>
      <c r="AD399" s="1"/>
      <c r="AE399" s="18"/>
      <c r="AF399" s="1"/>
      <c r="AG399" s="1"/>
      <c r="AH399" s="1" t="s">
        <v>1152</v>
      </c>
      <c r="AI399" s="18"/>
      <c r="AJ399" s="18"/>
      <c r="AK399" s="18"/>
      <c r="AL399" s="6" t="str">
        <f t="array" ref="AL399">IFERROR(IFS(XLOOKUP(B399, 'Kit Delivery Status'!$U:$U, 'Kit Delivery Status'!$K:$K) = "Complete", "DELIVERED", XLOOKUP(B399, 'Kit Delivery Status'!$U:$U, 'Kit Delivery Status'!$K:$K) = "Issue", "ISSUE"), "")</f>
        <v/>
      </c>
      <c r="AM399" s="6"/>
    </row>
    <row r="400">
      <c r="A400" s="5" t="s">
        <v>2172</v>
      </c>
      <c r="B400" s="1" t="s">
        <v>2173</v>
      </c>
      <c r="C400" s="1" t="s">
        <v>718</v>
      </c>
      <c r="D400" s="2">
        <v>4.694510901E9</v>
      </c>
      <c r="E400" s="1" t="s">
        <v>719</v>
      </c>
      <c r="F400" s="1"/>
      <c r="G400" s="1" t="s">
        <v>2174</v>
      </c>
      <c r="H400" s="1" t="s">
        <v>1583</v>
      </c>
      <c r="I400" s="1">
        <v>75022.0</v>
      </c>
      <c r="J400" s="1" t="s">
        <v>752</v>
      </c>
      <c r="K400" s="1" t="s">
        <v>51</v>
      </c>
      <c r="L400" s="1" t="s">
        <v>1152</v>
      </c>
      <c r="M400" s="1">
        <v>1.0</v>
      </c>
      <c r="N400" s="1" t="s">
        <v>52</v>
      </c>
      <c r="O400" s="3" t="s">
        <v>721</v>
      </c>
      <c r="P400" s="18">
        <v>45876.0</v>
      </c>
      <c r="Q400" s="1" t="s">
        <v>1030</v>
      </c>
      <c r="R400" s="1"/>
      <c r="S400" s="1" t="s">
        <v>52</v>
      </c>
      <c r="T400" s="1" t="s">
        <v>52</v>
      </c>
      <c r="U400" s="1" t="s">
        <v>1167</v>
      </c>
      <c r="V400" s="4" t="s">
        <v>721</v>
      </c>
      <c r="W400" s="1"/>
      <c r="X400" s="18">
        <v>45876.0</v>
      </c>
      <c r="Y400" s="1" t="s">
        <v>1030</v>
      </c>
      <c r="Z400" s="1"/>
      <c r="AA400" s="1"/>
      <c r="AB400" s="1" t="s">
        <v>52</v>
      </c>
      <c r="AC400" s="1" t="s">
        <v>1925</v>
      </c>
      <c r="AD400" s="1"/>
      <c r="AE400" s="18"/>
      <c r="AF400" s="1"/>
      <c r="AG400" s="1"/>
      <c r="AH400" s="1" t="s">
        <v>1152</v>
      </c>
      <c r="AI400" s="18"/>
      <c r="AJ400" s="18"/>
      <c r="AK400" s="18"/>
      <c r="AL400" s="6" t="str">
        <f t="array" ref="AL400">IFERROR(IFS(XLOOKUP(B400, 'Kit Delivery Status'!$U:$U, 'Kit Delivery Status'!$K:$K) = "Complete", "DELIVERED", XLOOKUP(B400, 'Kit Delivery Status'!$U:$U, 'Kit Delivery Status'!$K:$K) = "Issue", "ISSUE"), "")</f>
        <v/>
      </c>
      <c r="AM400" s="6"/>
    </row>
    <row r="401">
      <c r="A401" s="5" t="s">
        <v>2175</v>
      </c>
      <c r="B401" s="1" t="s">
        <v>2176</v>
      </c>
      <c r="C401" s="1" t="s">
        <v>2177</v>
      </c>
      <c r="D401" s="2">
        <v>4.04368939E9</v>
      </c>
      <c r="E401" s="1" t="s">
        <v>2178</v>
      </c>
      <c r="F401" s="1"/>
      <c r="G401" s="1" t="s">
        <v>2179</v>
      </c>
      <c r="H401" s="1" t="s">
        <v>946</v>
      </c>
      <c r="I401" s="1">
        <v>30342.0</v>
      </c>
      <c r="J401" s="1" t="s">
        <v>752</v>
      </c>
      <c r="K401" s="1" t="s">
        <v>66</v>
      </c>
      <c r="L401" s="1" t="s">
        <v>1340</v>
      </c>
      <c r="M401" s="1">
        <v>210.0</v>
      </c>
      <c r="N401" s="1"/>
      <c r="O401" s="3" t="s">
        <v>2180</v>
      </c>
      <c r="P401" s="18">
        <v>45883.0</v>
      </c>
      <c r="Q401" s="1"/>
      <c r="R401" s="1"/>
      <c r="S401" s="1"/>
      <c r="T401" s="1"/>
      <c r="U401" s="1" t="s">
        <v>956</v>
      </c>
      <c r="V401" s="4" t="s">
        <v>2180</v>
      </c>
      <c r="W401" s="1"/>
      <c r="X401" s="18">
        <v>45883.0</v>
      </c>
      <c r="Y401" s="1"/>
      <c r="Z401" s="1"/>
      <c r="AA401" s="1"/>
      <c r="AB401" s="1"/>
      <c r="AC401" s="1" t="s">
        <v>1925</v>
      </c>
      <c r="AD401" s="1"/>
      <c r="AE401" s="18"/>
      <c r="AF401" s="1"/>
      <c r="AG401" s="1"/>
      <c r="AH401" s="1" t="s">
        <v>1152</v>
      </c>
      <c r="AI401" s="18"/>
      <c r="AJ401" s="18"/>
      <c r="AK401" s="18"/>
      <c r="AL401" s="6" t="str">
        <f t="array" ref="AL401">IFERROR(IFS(XLOOKUP(B401, 'Kit Delivery Status'!$U:$U, 'Kit Delivery Status'!$K:$K) = "Complete", "DELIVERED", XLOOKUP(B401, 'Kit Delivery Status'!$U:$U, 'Kit Delivery Status'!$K:$K) = "Issue", "ISSUE"), "")</f>
        <v/>
      </c>
      <c r="AM401" s="6"/>
    </row>
    <row r="402">
      <c r="A402" s="5" t="s">
        <v>2181</v>
      </c>
      <c r="B402" s="1" t="s">
        <v>2182</v>
      </c>
      <c r="C402" s="1" t="s">
        <v>2183</v>
      </c>
      <c r="D402" s="2">
        <v>8.296987458E9</v>
      </c>
      <c r="E402" s="1" t="s">
        <v>2184</v>
      </c>
      <c r="F402" s="1"/>
      <c r="G402" s="1" t="s">
        <v>2185</v>
      </c>
      <c r="H402" s="1" t="s">
        <v>2186</v>
      </c>
      <c r="I402" s="1">
        <v>560037.0</v>
      </c>
      <c r="J402" s="1" t="s">
        <v>2187</v>
      </c>
      <c r="K402" s="1" t="s">
        <v>66</v>
      </c>
      <c r="L402" s="1" t="s">
        <v>1449</v>
      </c>
      <c r="M402" s="1">
        <v>180.0</v>
      </c>
      <c r="N402" s="1"/>
      <c r="O402" s="3" t="s">
        <v>2188</v>
      </c>
      <c r="P402" s="18">
        <v>45881.0</v>
      </c>
      <c r="Q402" s="1"/>
      <c r="R402" s="1"/>
      <c r="S402" s="1"/>
      <c r="T402" s="1"/>
      <c r="U402" s="1" t="s">
        <v>982</v>
      </c>
      <c r="V402" s="4" t="s">
        <v>2188</v>
      </c>
      <c r="W402" s="1"/>
      <c r="X402" s="18">
        <v>45881.0</v>
      </c>
      <c r="Y402" s="1"/>
      <c r="Z402" s="1"/>
      <c r="AA402" s="1"/>
      <c r="AB402" s="1"/>
      <c r="AC402" s="1" t="s">
        <v>1925</v>
      </c>
      <c r="AD402" s="1"/>
      <c r="AE402" s="18"/>
      <c r="AF402" s="1"/>
      <c r="AG402" s="1"/>
      <c r="AH402" s="1" t="s">
        <v>1152</v>
      </c>
      <c r="AI402" s="18"/>
      <c r="AJ402" s="18"/>
      <c r="AK402" s="18"/>
      <c r="AL402" s="6" t="str">
        <f t="array" ref="AL402">IFERROR(IFS(XLOOKUP(B402, 'Kit Delivery Status'!$U:$U, 'Kit Delivery Status'!$K:$K) = "Complete", "DELIVERED", XLOOKUP(B402, 'Kit Delivery Status'!$U:$U, 'Kit Delivery Status'!$K:$K) = "Issue", "ISSUE"), "")</f>
        <v/>
      </c>
      <c r="AM402" s="6"/>
    </row>
    <row r="403">
      <c r="A403" s="5" t="s">
        <v>2189</v>
      </c>
      <c r="B403" s="1" t="s">
        <v>2190</v>
      </c>
      <c r="C403" s="1"/>
      <c r="D403" s="2">
        <v>3.525141862E9</v>
      </c>
      <c r="E403" s="1" t="s">
        <v>2191</v>
      </c>
      <c r="F403" s="1"/>
      <c r="G403" s="1" t="s">
        <v>2192</v>
      </c>
      <c r="H403" s="1" t="s">
        <v>1208</v>
      </c>
      <c r="I403" s="1">
        <v>32605.0</v>
      </c>
      <c r="J403" s="1" t="s">
        <v>752</v>
      </c>
      <c r="K403" s="1" t="s">
        <v>66</v>
      </c>
      <c r="L403" s="1" t="s">
        <v>1340</v>
      </c>
      <c r="M403" s="1">
        <v>210.0</v>
      </c>
      <c r="N403" s="1"/>
      <c r="O403" s="3" t="s">
        <v>2193</v>
      </c>
      <c r="P403" s="18">
        <v>45883.0</v>
      </c>
      <c r="Q403" s="1"/>
      <c r="R403" s="1"/>
      <c r="S403" s="1"/>
      <c r="T403" s="1"/>
      <c r="U403" s="1" t="s">
        <v>1487</v>
      </c>
      <c r="V403" s="4" t="s">
        <v>2193</v>
      </c>
      <c r="W403" s="1"/>
      <c r="X403" s="18">
        <v>45883.0</v>
      </c>
      <c r="Y403" s="1"/>
      <c r="Z403" s="1"/>
      <c r="AA403" s="1"/>
      <c r="AB403" s="1"/>
      <c r="AC403" s="1" t="s">
        <v>1925</v>
      </c>
      <c r="AD403" s="1"/>
      <c r="AE403" s="18"/>
      <c r="AF403" s="1"/>
      <c r="AG403" s="1"/>
      <c r="AH403" s="1" t="s">
        <v>1152</v>
      </c>
      <c r="AI403" s="18"/>
      <c r="AJ403" s="18"/>
      <c r="AK403" s="18"/>
      <c r="AL403" s="6" t="str">
        <f t="array" ref="AL403">IFERROR(IFS(XLOOKUP(B403, 'Kit Delivery Status'!$U:$U, 'Kit Delivery Status'!$K:$K) = "Complete", "DELIVERED", XLOOKUP(B403, 'Kit Delivery Status'!$U:$U, 'Kit Delivery Status'!$K:$K) = "Issue", "ISSUE"), "")</f>
        <v/>
      </c>
      <c r="AM403" s="6"/>
    </row>
    <row r="404">
      <c r="A404" s="5" t="s">
        <v>2194</v>
      </c>
      <c r="B404" s="1" t="s">
        <v>2195</v>
      </c>
      <c r="C404" s="1"/>
      <c r="D404" s="2"/>
      <c r="E404" s="1" t="s">
        <v>177</v>
      </c>
      <c r="F404" s="1"/>
      <c r="G404" s="1" t="s">
        <v>1179</v>
      </c>
      <c r="H404" s="1" t="s">
        <v>989</v>
      </c>
      <c r="I404" s="1">
        <v>90272.0</v>
      </c>
      <c r="J404" s="1" t="s">
        <v>752</v>
      </c>
      <c r="K404" s="1" t="s">
        <v>95</v>
      </c>
      <c r="L404" s="1" t="s">
        <v>1361</v>
      </c>
      <c r="M404" s="1">
        <v>49.0</v>
      </c>
      <c r="N404" s="1" t="s">
        <v>52</v>
      </c>
      <c r="O404" s="3" t="s">
        <v>103</v>
      </c>
      <c r="P404" s="18">
        <v>45861.0</v>
      </c>
      <c r="Q404" s="1" t="s">
        <v>1030</v>
      </c>
      <c r="R404" s="1"/>
      <c r="S404" s="1" t="s">
        <v>52</v>
      </c>
      <c r="T404" s="1" t="s">
        <v>52</v>
      </c>
      <c r="U404" s="1" t="s">
        <v>102</v>
      </c>
      <c r="V404" s="4" t="s">
        <v>103</v>
      </c>
      <c r="W404" s="1"/>
      <c r="X404" s="18">
        <v>45861.0</v>
      </c>
      <c r="Y404" s="1" t="s">
        <v>1030</v>
      </c>
      <c r="Z404" s="1"/>
      <c r="AA404" s="1"/>
      <c r="AB404" s="1" t="s">
        <v>52</v>
      </c>
      <c r="AC404" s="1" t="s">
        <v>2196</v>
      </c>
      <c r="AD404" s="1"/>
      <c r="AE404" s="18"/>
      <c r="AF404" s="1"/>
      <c r="AG404" s="1"/>
      <c r="AH404" s="1" t="s">
        <v>1152</v>
      </c>
      <c r="AI404" s="18"/>
      <c r="AJ404" s="18"/>
      <c r="AK404" s="18"/>
      <c r="AL404" s="6" t="str">
        <f t="array" ref="AL404">IFERROR(IFS(XLOOKUP(B404, 'Kit Delivery Status'!$U:$U, 'Kit Delivery Status'!$K:$K) = "Complete", "DELIVERED", XLOOKUP(B404, 'Kit Delivery Status'!$U:$U, 'Kit Delivery Status'!$K:$K) = "Issue", "ISSUE"), "")</f>
        <v/>
      </c>
      <c r="AM404" s="6"/>
    </row>
    <row r="405">
      <c r="A405" s="5" t="s">
        <v>2197</v>
      </c>
      <c r="B405" s="1" t="s">
        <v>2198</v>
      </c>
      <c r="C405" s="1"/>
      <c r="D405" s="2">
        <v>3.108030065E9</v>
      </c>
      <c r="E405" s="1" t="s">
        <v>2199</v>
      </c>
      <c r="F405" s="1"/>
      <c r="G405" s="1" t="s">
        <v>1556</v>
      </c>
      <c r="H405" s="1" t="s">
        <v>989</v>
      </c>
      <c r="I405" s="1">
        <v>94024.0</v>
      </c>
      <c r="J405" s="1" t="s">
        <v>752</v>
      </c>
      <c r="K405" s="1" t="s">
        <v>95</v>
      </c>
      <c r="L405" s="1" t="s">
        <v>1361</v>
      </c>
      <c r="M405" s="1">
        <v>49.0</v>
      </c>
      <c r="N405" s="1" t="s">
        <v>52</v>
      </c>
      <c r="O405" s="3" t="s">
        <v>2200</v>
      </c>
      <c r="P405" s="18">
        <v>45883.0</v>
      </c>
      <c r="Q405" s="1" t="s">
        <v>1030</v>
      </c>
      <c r="R405" s="1"/>
      <c r="S405" s="1" t="s">
        <v>52</v>
      </c>
      <c r="T405" s="1" t="s">
        <v>52</v>
      </c>
      <c r="U405" s="1" t="s">
        <v>1148</v>
      </c>
      <c r="V405" s="4" t="s">
        <v>2200</v>
      </c>
      <c r="W405" s="1"/>
      <c r="X405" s="18">
        <v>45883.0</v>
      </c>
      <c r="Y405" s="1" t="s">
        <v>1030</v>
      </c>
      <c r="Z405" s="1"/>
      <c r="AA405" s="1"/>
      <c r="AB405" s="1" t="s">
        <v>52</v>
      </c>
      <c r="AC405" s="1" t="s">
        <v>2201</v>
      </c>
      <c r="AD405" s="1"/>
      <c r="AE405" s="18"/>
      <c r="AF405" s="1"/>
      <c r="AG405" s="1"/>
      <c r="AH405" s="1" t="s">
        <v>1152</v>
      </c>
      <c r="AI405" s="18"/>
      <c r="AJ405" s="18"/>
      <c r="AK405" s="18"/>
      <c r="AL405" s="6" t="str">
        <f t="array" ref="AL405">IFERROR(IFS(XLOOKUP(B405, 'Kit Delivery Status'!$U:$U, 'Kit Delivery Status'!$K:$K) = "Complete", "DELIVERED", XLOOKUP(B405, 'Kit Delivery Status'!$U:$U, 'Kit Delivery Status'!$K:$K) = "Issue", "ISSUE"), "")</f>
        <v/>
      </c>
      <c r="AM405" s="6"/>
    </row>
    <row r="406">
      <c r="A406" s="5" t="s">
        <v>2202</v>
      </c>
      <c r="B406" s="1" t="s">
        <v>2203</v>
      </c>
      <c r="C406" s="1" t="s">
        <v>2204</v>
      </c>
      <c r="D406" s="2">
        <v>3.148147426E9</v>
      </c>
      <c r="E406" s="1" t="s">
        <v>2205</v>
      </c>
      <c r="F406" s="1"/>
      <c r="G406" s="1" t="s">
        <v>1283</v>
      </c>
      <c r="H406" s="1" t="s">
        <v>1155</v>
      </c>
      <c r="I406" s="1">
        <v>63105.0</v>
      </c>
      <c r="J406" s="1" t="s">
        <v>752</v>
      </c>
      <c r="K406" s="1" t="s">
        <v>51</v>
      </c>
      <c r="L406" s="1" t="s">
        <v>1152</v>
      </c>
      <c r="M406" s="1">
        <v>1.0</v>
      </c>
      <c r="N406" s="1" t="s">
        <v>52</v>
      </c>
      <c r="O406" s="3" t="s">
        <v>2206</v>
      </c>
      <c r="P406" s="18">
        <v>45880.0</v>
      </c>
      <c r="Q406" s="1" t="s">
        <v>1630</v>
      </c>
      <c r="R406" s="1"/>
      <c r="S406" s="1" t="s">
        <v>52</v>
      </c>
      <c r="T406" s="1" t="s">
        <v>52</v>
      </c>
      <c r="U406" s="1" t="s">
        <v>1441</v>
      </c>
      <c r="V406" s="4" t="s">
        <v>2206</v>
      </c>
      <c r="W406" s="1"/>
      <c r="X406" s="18">
        <v>45880.0</v>
      </c>
      <c r="Y406" s="1" t="s">
        <v>1630</v>
      </c>
      <c r="Z406" s="1"/>
      <c r="AA406" s="1"/>
      <c r="AB406" s="1" t="s">
        <v>52</v>
      </c>
      <c r="AC406" s="1" t="s">
        <v>1925</v>
      </c>
      <c r="AD406" s="1"/>
      <c r="AE406" s="18"/>
      <c r="AF406" s="1"/>
      <c r="AG406" s="1"/>
      <c r="AH406" s="1" t="s">
        <v>1152</v>
      </c>
      <c r="AI406" s="18"/>
      <c r="AJ406" s="18"/>
      <c r="AK406" s="18"/>
      <c r="AL406" s="6" t="str">
        <f t="array" ref="AL406">IFERROR(IFS(XLOOKUP(B406, 'Kit Delivery Status'!$U:$U, 'Kit Delivery Status'!$K:$K) = "Complete", "DELIVERED", XLOOKUP(B406, 'Kit Delivery Status'!$U:$U, 'Kit Delivery Status'!$K:$K) = "Issue", "ISSUE"), "")</f>
        <v/>
      </c>
      <c r="AM406" s="6"/>
    </row>
    <row r="407">
      <c r="A407" s="5" t="s">
        <v>2207</v>
      </c>
      <c r="B407" s="1" t="s">
        <v>2208</v>
      </c>
      <c r="C407" s="1" t="s">
        <v>2209</v>
      </c>
      <c r="D407" s="2">
        <v>2.026416927E9</v>
      </c>
      <c r="E407" s="1" t="s">
        <v>2210</v>
      </c>
      <c r="F407" s="1"/>
      <c r="G407" s="1" t="s">
        <v>2211</v>
      </c>
      <c r="H407" s="1" t="s">
        <v>1233</v>
      </c>
      <c r="I407" s="1">
        <v>19038.0</v>
      </c>
      <c r="J407" s="1" t="s">
        <v>752</v>
      </c>
      <c r="K407" s="1" t="s">
        <v>95</v>
      </c>
      <c r="L407" s="1" t="s">
        <v>2212</v>
      </c>
      <c r="M407" s="1">
        <v>49.0</v>
      </c>
      <c r="N407" s="1" t="s">
        <v>52</v>
      </c>
      <c r="O407" s="3" t="s">
        <v>2213</v>
      </c>
      <c r="P407" s="18">
        <v>45883.0</v>
      </c>
      <c r="Q407" s="1" t="s">
        <v>1030</v>
      </c>
      <c r="R407" s="1"/>
      <c r="S407" s="1" t="s">
        <v>52</v>
      </c>
      <c r="T407" s="1" t="s">
        <v>52</v>
      </c>
      <c r="U407" s="1" t="s">
        <v>1039</v>
      </c>
      <c r="V407" s="4" t="s">
        <v>2213</v>
      </c>
      <c r="W407" s="1"/>
      <c r="X407" s="18">
        <v>45883.0</v>
      </c>
      <c r="Y407" s="1" t="s">
        <v>1030</v>
      </c>
      <c r="Z407" s="1"/>
      <c r="AA407" s="1"/>
      <c r="AB407" s="1" t="s">
        <v>52</v>
      </c>
      <c r="AC407" s="1" t="s">
        <v>2214</v>
      </c>
      <c r="AD407" s="1"/>
      <c r="AE407" s="18"/>
      <c r="AF407" s="1"/>
      <c r="AG407" s="1"/>
      <c r="AH407" s="1" t="s">
        <v>1152</v>
      </c>
      <c r="AI407" s="18"/>
      <c r="AJ407" s="18"/>
      <c r="AK407" s="18"/>
      <c r="AL407" s="6" t="str">
        <f t="array" ref="AL407">IFERROR(IFS(XLOOKUP(B407, 'Kit Delivery Status'!$U:$U, 'Kit Delivery Status'!$K:$K) = "Complete", "DELIVERED", XLOOKUP(B407, 'Kit Delivery Status'!$U:$U, 'Kit Delivery Status'!$K:$K) = "Issue", "ISSUE"), "")</f>
        <v/>
      </c>
      <c r="AM407" s="6"/>
    </row>
    <row r="408">
      <c r="A408" s="5" t="s">
        <v>2215</v>
      </c>
      <c r="B408" s="1" t="s">
        <v>2216</v>
      </c>
      <c r="C408" s="1" t="s">
        <v>2217</v>
      </c>
      <c r="D408" s="2">
        <v>6.50241876E9</v>
      </c>
      <c r="E408" s="1" t="s">
        <v>2218</v>
      </c>
      <c r="F408" s="1"/>
      <c r="G408" s="1" t="s">
        <v>2219</v>
      </c>
      <c r="H408" s="1" t="s">
        <v>989</v>
      </c>
      <c r="I408" s="1">
        <v>94306.0</v>
      </c>
      <c r="J408" s="1" t="s">
        <v>752</v>
      </c>
      <c r="K408" s="1" t="s">
        <v>95</v>
      </c>
      <c r="L408" s="1" t="s">
        <v>2212</v>
      </c>
      <c r="M408" s="1">
        <v>49.0</v>
      </c>
      <c r="N408" s="1" t="s">
        <v>52</v>
      </c>
      <c r="O408" s="3" t="s">
        <v>2220</v>
      </c>
      <c r="P408" s="18">
        <v>45883.0</v>
      </c>
      <c r="Q408" s="1" t="s">
        <v>1030</v>
      </c>
      <c r="R408" s="1"/>
      <c r="S408" s="1" t="s">
        <v>52</v>
      </c>
      <c r="T408" s="1" t="s">
        <v>52</v>
      </c>
      <c r="U408" s="1" t="s">
        <v>1537</v>
      </c>
      <c r="V408" s="4" t="s">
        <v>2220</v>
      </c>
      <c r="W408" s="1"/>
      <c r="X408" s="18">
        <v>45883.0</v>
      </c>
      <c r="Y408" s="1" t="s">
        <v>1030</v>
      </c>
      <c r="Z408" s="1"/>
      <c r="AA408" s="1"/>
      <c r="AB408" s="1" t="s">
        <v>52</v>
      </c>
      <c r="AC408" s="1" t="s">
        <v>2221</v>
      </c>
      <c r="AD408" s="1"/>
      <c r="AE408" s="18"/>
      <c r="AF408" s="1"/>
      <c r="AG408" s="1"/>
      <c r="AH408" s="1" t="s">
        <v>1152</v>
      </c>
      <c r="AI408" s="18"/>
      <c r="AJ408" s="18"/>
      <c r="AK408" s="18"/>
      <c r="AL408" s="6" t="str">
        <f t="array" ref="AL408">IFERROR(IFS(XLOOKUP(B408, 'Kit Delivery Status'!$U:$U, 'Kit Delivery Status'!$K:$K) = "Complete", "DELIVERED", XLOOKUP(B408, 'Kit Delivery Status'!$U:$U, 'Kit Delivery Status'!$K:$K) = "Issue", "ISSUE"), "")</f>
        <v/>
      </c>
      <c r="AM408" s="6"/>
    </row>
    <row r="409">
      <c r="A409" s="5" t="s">
        <v>2222</v>
      </c>
      <c r="B409" s="1" t="s">
        <v>2223</v>
      </c>
      <c r="C409" s="1" t="s">
        <v>2224</v>
      </c>
      <c r="D409" s="2">
        <v>9.179022223E9</v>
      </c>
      <c r="E409" s="1" t="s">
        <v>2225</v>
      </c>
      <c r="F409" s="1"/>
      <c r="G409" s="1" t="s">
        <v>2226</v>
      </c>
      <c r="H409" s="1" t="s">
        <v>751</v>
      </c>
      <c r="I409" s="1">
        <v>10028.0</v>
      </c>
      <c r="J409" s="1" t="s">
        <v>752</v>
      </c>
      <c r="K409" s="1" t="s">
        <v>66</v>
      </c>
      <c r="L409" s="1" t="s">
        <v>2227</v>
      </c>
      <c r="M409" s="1">
        <v>145.0</v>
      </c>
      <c r="N409" s="1"/>
      <c r="O409" s="3" t="s">
        <v>2228</v>
      </c>
      <c r="P409" s="18">
        <v>45888.0</v>
      </c>
      <c r="Q409" s="1"/>
      <c r="R409" s="1"/>
      <c r="S409" s="1"/>
      <c r="T409" s="1"/>
      <c r="U409" s="1" t="s">
        <v>1794</v>
      </c>
      <c r="V409" s="4" t="s">
        <v>2228</v>
      </c>
      <c r="W409" s="1"/>
      <c r="X409" s="18">
        <v>45888.0</v>
      </c>
      <c r="Y409" s="1"/>
      <c r="Z409" s="1"/>
      <c r="AA409" s="1"/>
      <c r="AB409" s="1"/>
      <c r="AC409" s="1" t="s">
        <v>1925</v>
      </c>
      <c r="AD409" s="1"/>
      <c r="AE409" s="18"/>
      <c r="AF409" s="1"/>
      <c r="AG409" s="1"/>
      <c r="AH409" s="1" t="s">
        <v>1152</v>
      </c>
      <c r="AI409" s="18"/>
      <c r="AJ409" s="18"/>
      <c r="AK409" s="18"/>
      <c r="AL409" s="6" t="str">
        <f t="array" ref="AL409">IFERROR(IFS(XLOOKUP(B409, 'Kit Delivery Status'!$U:$U, 'Kit Delivery Status'!$K:$K) = "Complete", "DELIVERED", XLOOKUP(B409, 'Kit Delivery Status'!$U:$U, 'Kit Delivery Status'!$K:$K) = "Issue", "ISSUE"), "")</f>
        <v/>
      </c>
      <c r="AM409" s="6"/>
    </row>
    <row r="410">
      <c r="A410" s="5" t="s">
        <v>2222</v>
      </c>
      <c r="B410" s="1" t="s">
        <v>2223</v>
      </c>
      <c r="C410" s="1" t="s">
        <v>2224</v>
      </c>
      <c r="D410" s="2">
        <v>9.179022223E9</v>
      </c>
      <c r="E410" s="1" t="s">
        <v>2225</v>
      </c>
      <c r="F410" s="1"/>
      <c r="G410" s="1" t="s">
        <v>2226</v>
      </c>
      <c r="H410" s="1" t="s">
        <v>751</v>
      </c>
      <c r="I410" s="1">
        <v>10028.0</v>
      </c>
      <c r="J410" s="1" t="s">
        <v>752</v>
      </c>
      <c r="K410" s="1" t="s">
        <v>51</v>
      </c>
      <c r="L410" s="1" t="s">
        <v>1925</v>
      </c>
      <c r="M410" s="1">
        <v>1.0</v>
      </c>
      <c r="N410" s="1" t="s">
        <v>52</v>
      </c>
      <c r="O410" s="3" t="s">
        <v>2228</v>
      </c>
      <c r="P410" s="18">
        <v>45888.0</v>
      </c>
      <c r="Q410" s="1" t="s">
        <v>1030</v>
      </c>
      <c r="R410" s="1"/>
      <c r="S410" s="1" t="s">
        <v>52</v>
      </c>
      <c r="T410" s="1" t="s">
        <v>52</v>
      </c>
      <c r="U410" s="1" t="s">
        <v>1794</v>
      </c>
      <c r="V410" s="4" t="s">
        <v>2228</v>
      </c>
      <c r="W410" s="1"/>
      <c r="X410" s="18">
        <v>45888.0</v>
      </c>
      <c r="Y410" s="1" t="s">
        <v>1030</v>
      </c>
      <c r="Z410" s="1"/>
      <c r="AA410" s="1"/>
      <c r="AB410" s="1" t="s">
        <v>52</v>
      </c>
      <c r="AC410" s="1" t="s">
        <v>1925</v>
      </c>
      <c r="AD410" s="1"/>
      <c r="AE410" s="18"/>
      <c r="AF410" s="1"/>
      <c r="AG410" s="1"/>
      <c r="AH410" s="1" t="s">
        <v>1152</v>
      </c>
      <c r="AI410" s="18"/>
      <c r="AJ410" s="18"/>
      <c r="AK410" s="18"/>
      <c r="AL410" s="6" t="str">
        <f t="array" ref="AL410">IFERROR(IFS(XLOOKUP(B410, 'Kit Delivery Status'!$U:$U, 'Kit Delivery Status'!$K:$K) = "Complete", "DELIVERED", XLOOKUP(B410, 'Kit Delivery Status'!$U:$U, 'Kit Delivery Status'!$K:$K) = "Issue", "ISSUE"), "")</f>
        <v/>
      </c>
      <c r="AM410" s="6"/>
    </row>
    <row r="411">
      <c r="A411" s="5" t="s">
        <v>2229</v>
      </c>
      <c r="B411" s="1" t="s">
        <v>2230</v>
      </c>
      <c r="C411" s="1" t="s">
        <v>2231</v>
      </c>
      <c r="D411" s="2">
        <v>8.327211089E9</v>
      </c>
      <c r="E411" s="1" t="s">
        <v>2232</v>
      </c>
      <c r="F411" s="1"/>
      <c r="G411" s="1" t="s">
        <v>2233</v>
      </c>
      <c r="H411" s="1" t="s">
        <v>1583</v>
      </c>
      <c r="I411" s="1">
        <v>77429.0</v>
      </c>
      <c r="J411" s="1" t="s">
        <v>752</v>
      </c>
      <c r="K411" s="1" t="s">
        <v>66</v>
      </c>
      <c r="L411" s="1" t="s">
        <v>2234</v>
      </c>
      <c r="M411" s="1">
        <v>115.0</v>
      </c>
      <c r="N411" s="1"/>
      <c r="O411" s="3" t="s">
        <v>2235</v>
      </c>
      <c r="P411" s="18">
        <v>45890.0</v>
      </c>
      <c r="Q411" s="1"/>
      <c r="R411" s="1"/>
      <c r="S411" s="1"/>
      <c r="T411" s="1"/>
      <c r="U411" s="1" t="s">
        <v>2236</v>
      </c>
      <c r="V411" s="4" t="s">
        <v>2235</v>
      </c>
      <c r="W411" s="1"/>
      <c r="X411" s="18">
        <v>45890.0</v>
      </c>
      <c r="Y411" s="1"/>
      <c r="Z411" s="1"/>
      <c r="AA411" s="1"/>
      <c r="AB411" s="1"/>
      <c r="AC411" s="1" t="s">
        <v>1925</v>
      </c>
      <c r="AD411" s="1"/>
      <c r="AE411" s="18"/>
      <c r="AF411" s="1"/>
      <c r="AG411" s="1"/>
      <c r="AH411" s="1" t="s">
        <v>1152</v>
      </c>
      <c r="AI411" s="18"/>
      <c r="AJ411" s="18"/>
      <c r="AK411" s="18"/>
      <c r="AL411" s="6" t="str">
        <f t="array" ref="AL411">IFERROR(IFS(XLOOKUP(B411, 'Kit Delivery Status'!$U:$U, 'Kit Delivery Status'!$K:$K) = "Complete", "DELIVERED", XLOOKUP(B411, 'Kit Delivery Status'!$U:$U, 'Kit Delivery Status'!$K:$K) = "Issue", "ISSUE"), "")</f>
        <v/>
      </c>
      <c r="AM411" s="6"/>
    </row>
    <row r="412">
      <c r="A412" s="5" t="s">
        <v>2229</v>
      </c>
      <c r="B412" s="1" t="s">
        <v>2230</v>
      </c>
      <c r="C412" s="1" t="s">
        <v>2231</v>
      </c>
      <c r="D412" s="2">
        <v>8.327211089E9</v>
      </c>
      <c r="E412" s="1" t="s">
        <v>2232</v>
      </c>
      <c r="F412" s="1"/>
      <c r="G412" s="1" t="s">
        <v>2233</v>
      </c>
      <c r="H412" s="1" t="s">
        <v>1583</v>
      </c>
      <c r="I412" s="1">
        <v>77429.0</v>
      </c>
      <c r="J412" s="1" t="s">
        <v>752</v>
      </c>
      <c r="K412" s="1" t="s">
        <v>51</v>
      </c>
      <c r="L412" s="1" t="s">
        <v>1925</v>
      </c>
      <c r="M412" s="1">
        <v>1.0</v>
      </c>
      <c r="N412" s="1" t="s">
        <v>52</v>
      </c>
      <c r="O412" s="3" t="s">
        <v>2235</v>
      </c>
      <c r="P412" s="18">
        <v>45890.0</v>
      </c>
      <c r="Q412" s="1" t="s">
        <v>1349</v>
      </c>
      <c r="R412" s="1"/>
      <c r="S412" s="1" t="s">
        <v>52</v>
      </c>
      <c r="T412" s="1" t="s">
        <v>52</v>
      </c>
      <c r="U412" s="1" t="s">
        <v>2236</v>
      </c>
      <c r="V412" s="4" t="s">
        <v>2235</v>
      </c>
      <c r="W412" s="1"/>
      <c r="X412" s="18">
        <v>45890.0</v>
      </c>
      <c r="Y412" s="1" t="s">
        <v>1349</v>
      </c>
      <c r="Z412" s="1"/>
      <c r="AA412" s="1"/>
      <c r="AB412" s="1" t="s">
        <v>52</v>
      </c>
      <c r="AC412" s="1" t="s">
        <v>1925</v>
      </c>
      <c r="AD412" s="1"/>
      <c r="AE412" s="18"/>
      <c r="AF412" s="1"/>
      <c r="AG412" s="1"/>
      <c r="AH412" s="1" t="s">
        <v>1152</v>
      </c>
      <c r="AI412" s="18"/>
      <c r="AJ412" s="18"/>
      <c r="AK412" s="18"/>
      <c r="AL412" s="6" t="str">
        <f t="array" ref="AL412">IFERROR(IFS(XLOOKUP(B412, 'Kit Delivery Status'!$U:$U, 'Kit Delivery Status'!$K:$K) = "Complete", "DELIVERED", XLOOKUP(B412, 'Kit Delivery Status'!$U:$U, 'Kit Delivery Status'!$K:$K) = "Issue", "ISSUE"), "")</f>
        <v/>
      </c>
      <c r="AM412" s="6"/>
    </row>
    <row r="413">
      <c r="A413" s="5" t="s">
        <v>2237</v>
      </c>
      <c r="B413" s="1" t="s">
        <v>2238</v>
      </c>
      <c r="C413" s="1" t="s">
        <v>2239</v>
      </c>
      <c r="D413" s="2">
        <v>3.173701905E9</v>
      </c>
      <c r="E413" s="1" t="s">
        <v>2240</v>
      </c>
      <c r="F413" s="1"/>
      <c r="G413" s="1" t="s">
        <v>2241</v>
      </c>
      <c r="H413" s="1" t="s">
        <v>2242</v>
      </c>
      <c r="I413" s="1">
        <v>46240.0</v>
      </c>
      <c r="J413" s="1" t="s">
        <v>752</v>
      </c>
      <c r="K413" s="1" t="s">
        <v>66</v>
      </c>
      <c r="L413" s="1" t="s">
        <v>2243</v>
      </c>
      <c r="M413" s="1">
        <v>210.0</v>
      </c>
      <c r="N413" s="1"/>
      <c r="O413" s="3" t="s">
        <v>2244</v>
      </c>
      <c r="P413" s="18">
        <v>45883.0</v>
      </c>
      <c r="Q413" s="1"/>
      <c r="R413" s="1"/>
      <c r="S413" s="1"/>
      <c r="T413" s="1"/>
      <c r="U413" s="1" t="s">
        <v>1031</v>
      </c>
      <c r="V413" s="4" t="s">
        <v>2244</v>
      </c>
      <c r="W413" s="1"/>
      <c r="X413" s="18">
        <v>45883.0</v>
      </c>
      <c r="Y413" s="1"/>
      <c r="Z413" s="1"/>
      <c r="AA413" s="1"/>
      <c r="AB413" s="1"/>
      <c r="AC413" s="1" t="s">
        <v>1925</v>
      </c>
      <c r="AD413" s="1"/>
      <c r="AE413" s="18"/>
      <c r="AF413" s="1"/>
      <c r="AG413" s="1"/>
      <c r="AH413" s="1" t="s">
        <v>1152</v>
      </c>
      <c r="AI413" s="18"/>
      <c r="AJ413" s="18"/>
      <c r="AK413" s="18"/>
      <c r="AL413" s="6" t="str">
        <f t="array" ref="AL413">IFERROR(IFS(XLOOKUP(B413, 'Kit Delivery Status'!$U:$U, 'Kit Delivery Status'!$K:$K) = "Complete", "DELIVERED", XLOOKUP(B413, 'Kit Delivery Status'!$U:$U, 'Kit Delivery Status'!$K:$K) = "Issue", "ISSUE"), "")</f>
        <v/>
      </c>
      <c r="AM413" s="6"/>
    </row>
    <row r="414">
      <c r="A414" s="5" t="s">
        <v>2245</v>
      </c>
      <c r="B414" s="1" t="s">
        <v>2246</v>
      </c>
      <c r="C414" s="1" t="s">
        <v>2247</v>
      </c>
      <c r="D414" s="2">
        <v>9.142073828E9</v>
      </c>
      <c r="E414" s="1" t="s">
        <v>2248</v>
      </c>
      <c r="F414" s="1"/>
      <c r="G414" s="1" t="s">
        <v>2249</v>
      </c>
      <c r="H414" s="1" t="s">
        <v>751</v>
      </c>
      <c r="I414" s="1">
        <v>10504.0</v>
      </c>
      <c r="J414" s="1" t="s">
        <v>752</v>
      </c>
      <c r="K414" s="1" t="s">
        <v>75</v>
      </c>
      <c r="L414" s="1" t="s">
        <v>2250</v>
      </c>
      <c r="M414" s="1">
        <v>49.0</v>
      </c>
      <c r="N414" s="1" t="s">
        <v>52</v>
      </c>
      <c r="O414" s="3" t="s">
        <v>2251</v>
      </c>
      <c r="P414" s="18">
        <v>45883.0</v>
      </c>
      <c r="Q414" s="1"/>
      <c r="R414" s="1"/>
      <c r="S414" s="1" t="s">
        <v>52</v>
      </c>
      <c r="T414" s="1" t="s">
        <v>52</v>
      </c>
      <c r="U414" s="1" t="s">
        <v>1039</v>
      </c>
      <c r="V414" s="4" t="s">
        <v>2251</v>
      </c>
      <c r="W414" s="1"/>
      <c r="X414" s="18">
        <v>45883.0</v>
      </c>
      <c r="Y414" s="1"/>
      <c r="Z414" s="1"/>
      <c r="AA414" s="1"/>
      <c r="AB414" s="1" t="s">
        <v>52</v>
      </c>
      <c r="AC414" s="1" t="s">
        <v>1925</v>
      </c>
      <c r="AD414" s="1" t="s">
        <v>2252</v>
      </c>
      <c r="AE414" s="18"/>
      <c r="AF414" s="1"/>
      <c r="AG414" s="1"/>
      <c r="AH414" s="1" t="s">
        <v>1152</v>
      </c>
      <c r="AI414" s="18"/>
      <c r="AJ414" s="18"/>
      <c r="AK414" s="18"/>
      <c r="AL414" s="6" t="str">
        <f t="array" ref="AL414">IFERROR(IFS(XLOOKUP(B414, 'Kit Delivery Status'!$U:$U, 'Kit Delivery Status'!$K:$K) = "Complete", "DELIVERED", XLOOKUP(B414, 'Kit Delivery Status'!$U:$U, 'Kit Delivery Status'!$K:$K) = "Issue", "ISSUE"), "")</f>
        <v/>
      </c>
      <c r="AM414" s="6"/>
    </row>
    <row r="415">
      <c r="A415" s="5" t="s">
        <v>2253</v>
      </c>
      <c r="B415" s="1" t="s">
        <v>2254</v>
      </c>
      <c r="C415" s="1"/>
      <c r="D415" s="2">
        <v>6.183834825E9</v>
      </c>
      <c r="E415" s="1" t="s">
        <v>2255</v>
      </c>
      <c r="F415" s="1"/>
      <c r="G415" s="1" t="s">
        <v>2256</v>
      </c>
      <c r="H415" s="1" t="s">
        <v>1019</v>
      </c>
      <c r="I415" s="1">
        <v>62821.0</v>
      </c>
      <c r="J415" s="1" t="s">
        <v>752</v>
      </c>
      <c r="K415" s="1" t="s">
        <v>66</v>
      </c>
      <c r="L415" s="1" t="s">
        <v>2227</v>
      </c>
      <c r="M415" s="1">
        <v>145.0</v>
      </c>
      <c r="N415" s="1"/>
      <c r="O415" s="3" t="s">
        <v>2257</v>
      </c>
      <c r="P415" s="18">
        <v>45881.0</v>
      </c>
      <c r="Q415" s="1"/>
      <c r="R415" s="1"/>
      <c r="S415" s="1"/>
      <c r="T415" s="1"/>
      <c r="U415" s="1" t="s">
        <v>1249</v>
      </c>
      <c r="V415" s="4" t="s">
        <v>2257</v>
      </c>
      <c r="W415" s="1"/>
      <c r="X415" s="18">
        <v>45881.0</v>
      </c>
      <c r="Y415" s="1"/>
      <c r="Z415" s="1"/>
      <c r="AA415" s="1"/>
      <c r="AB415" s="1"/>
      <c r="AC415" s="1" t="s">
        <v>1925</v>
      </c>
      <c r="AD415" s="1"/>
      <c r="AE415" s="18"/>
      <c r="AF415" s="1"/>
      <c r="AG415" s="1"/>
      <c r="AH415" s="1" t="s">
        <v>1152</v>
      </c>
      <c r="AI415" s="18"/>
      <c r="AJ415" s="18"/>
      <c r="AK415" s="18"/>
      <c r="AL415" s="6" t="str">
        <f t="array" ref="AL415">IFERROR(IFS(XLOOKUP(B415, 'Kit Delivery Status'!$U:$U, 'Kit Delivery Status'!$K:$K) = "Complete", "DELIVERED", XLOOKUP(B415, 'Kit Delivery Status'!$U:$U, 'Kit Delivery Status'!$K:$K) = "Issue", "ISSUE"), "")</f>
        <v/>
      </c>
      <c r="AM415" s="6"/>
    </row>
    <row r="416">
      <c r="A416" s="5" t="s">
        <v>2258</v>
      </c>
      <c r="B416" s="1" t="s">
        <v>2259</v>
      </c>
      <c r="C416" s="1" t="s">
        <v>2260</v>
      </c>
      <c r="D416" s="2">
        <v>4.152986477E9</v>
      </c>
      <c r="E416" s="1" t="s">
        <v>2261</v>
      </c>
      <c r="F416" s="1"/>
      <c r="G416" s="1" t="s">
        <v>1562</v>
      </c>
      <c r="H416" s="1" t="s">
        <v>989</v>
      </c>
      <c r="I416" s="1">
        <v>94131.0</v>
      </c>
      <c r="J416" s="1" t="s">
        <v>752</v>
      </c>
      <c r="K416" s="1" t="s">
        <v>51</v>
      </c>
      <c r="L416" s="1" t="s">
        <v>1925</v>
      </c>
      <c r="M416" s="1">
        <v>1.0</v>
      </c>
      <c r="N416" s="1" t="s">
        <v>52</v>
      </c>
      <c r="O416" s="3" t="s">
        <v>2262</v>
      </c>
      <c r="P416" s="18">
        <v>45883.0</v>
      </c>
      <c r="Q416" s="1" t="s">
        <v>1455</v>
      </c>
      <c r="R416" s="1"/>
      <c r="S416" s="1" t="s">
        <v>52</v>
      </c>
      <c r="T416" s="1" t="s">
        <v>52</v>
      </c>
      <c r="U416" s="1" t="s">
        <v>1794</v>
      </c>
      <c r="V416" s="4" t="s">
        <v>2262</v>
      </c>
      <c r="W416" s="1"/>
      <c r="X416" s="18">
        <v>45883.0</v>
      </c>
      <c r="Y416" s="1" t="s">
        <v>1455</v>
      </c>
      <c r="Z416" s="1"/>
      <c r="AA416" s="1"/>
      <c r="AB416" s="1" t="s">
        <v>52</v>
      </c>
      <c r="AC416" s="1" t="s">
        <v>1925</v>
      </c>
      <c r="AD416" s="1"/>
      <c r="AE416" s="18"/>
      <c r="AF416" s="1"/>
      <c r="AG416" s="1"/>
      <c r="AH416" s="1" t="s">
        <v>1152</v>
      </c>
      <c r="AI416" s="18"/>
      <c r="AJ416" s="18"/>
      <c r="AK416" s="18"/>
      <c r="AL416" s="6" t="str">
        <f t="array" ref="AL416">IFERROR(IFS(XLOOKUP(B416, 'Kit Delivery Status'!$U:$U, 'Kit Delivery Status'!$K:$K) = "Complete", "DELIVERED", XLOOKUP(B416, 'Kit Delivery Status'!$U:$U, 'Kit Delivery Status'!$K:$K) = "Issue", "ISSUE"), "")</f>
        <v/>
      </c>
      <c r="AM416" s="6"/>
    </row>
    <row r="417">
      <c r="A417" s="5" t="s">
        <v>2263</v>
      </c>
      <c r="B417" s="1" t="s">
        <v>2264</v>
      </c>
      <c r="C417" s="1"/>
      <c r="D417" s="2">
        <v>8.589995331E9</v>
      </c>
      <c r="E417" s="1" t="s">
        <v>2135</v>
      </c>
      <c r="F417" s="1"/>
      <c r="G417" s="1" t="s">
        <v>2136</v>
      </c>
      <c r="H417" s="1" t="s">
        <v>1155</v>
      </c>
      <c r="I417" s="1">
        <v>63117.0</v>
      </c>
      <c r="J417" s="1" t="s">
        <v>752</v>
      </c>
      <c r="K417" s="1" t="s">
        <v>2131</v>
      </c>
      <c r="L417" s="1" t="s">
        <v>2243</v>
      </c>
      <c r="M417" s="1">
        <v>1.0</v>
      </c>
      <c r="N417" s="1"/>
      <c r="O417" s="3" t="s">
        <v>2265</v>
      </c>
      <c r="P417" s="18"/>
      <c r="Q417" s="1"/>
      <c r="R417" s="1"/>
      <c r="S417" s="1"/>
      <c r="T417" s="1"/>
      <c r="U417" s="1" t="s">
        <v>1343</v>
      </c>
      <c r="V417" s="4" t="s">
        <v>2265</v>
      </c>
      <c r="W417" s="1"/>
      <c r="X417" s="18"/>
      <c r="Y417" s="1"/>
      <c r="Z417" s="1"/>
      <c r="AA417" s="1"/>
      <c r="AB417" s="1"/>
      <c r="AC417" s="1" t="s">
        <v>1925</v>
      </c>
      <c r="AD417" s="1"/>
      <c r="AE417" s="18">
        <v>45859.0</v>
      </c>
      <c r="AF417" s="1"/>
      <c r="AG417" s="1"/>
      <c r="AH417" s="1" t="s">
        <v>1152</v>
      </c>
      <c r="AI417" s="18"/>
      <c r="AJ417" s="18"/>
      <c r="AK417" s="18"/>
      <c r="AL417" s="6" t="str">
        <f t="array" ref="AL417">IFERROR(IFS(XLOOKUP(B417, 'Kit Delivery Status'!$U:$U, 'Kit Delivery Status'!$K:$K) = "Complete", "DELIVERED", XLOOKUP(B417, 'Kit Delivery Status'!$U:$U, 'Kit Delivery Status'!$K:$K) = "Issue", "ISSUE"), "")</f>
        <v/>
      </c>
      <c r="AM417" s="6"/>
    </row>
    <row r="418">
      <c r="A418" s="5" t="s">
        <v>2266</v>
      </c>
      <c r="B418" s="1" t="s">
        <v>2267</v>
      </c>
      <c r="C418" s="1" t="s">
        <v>2268</v>
      </c>
      <c r="D418" s="2">
        <v>6.186411334E9</v>
      </c>
      <c r="E418" s="1" t="s">
        <v>2135</v>
      </c>
      <c r="F418" s="1"/>
      <c r="G418" s="1" t="s">
        <v>2136</v>
      </c>
      <c r="H418" s="1" t="s">
        <v>1155</v>
      </c>
      <c r="I418" s="1">
        <v>63117.0</v>
      </c>
      <c r="J418" s="1" t="s">
        <v>752</v>
      </c>
      <c r="K418" s="1" t="s">
        <v>66</v>
      </c>
      <c r="L418" s="1" t="s">
        <v>2243</v>
      </c>
      <c r="M418" s="1">
        <v>210.0</v>
      </c>
      <c r="N418" s="1"/>
      <c r="O418" s="3" t="s">
        <v>2269</v>
      </c>
      <c r="P418" s="18">
        <v>45859.0</v>
      </c>
      <c r="Q418" s="1"/>
      <c r="R418" s="1"/>
      <c r="S418" s="1"/>
      <c r="T418" s="1"/>
      <c r="U418" s="1" t="s">
        <v>1343</v>
      </c>
      <c r="V418" s="4" t="s">
        <v>2269</v>
      </c>
      <c r="W418" s="1"/>
      <c r="X418" s="18">
        <v>45859.0</v>
      </c>
      <c r="Y418" s="1"/>
      <c r="Z418" s="1"/>
      <c r="AA418" s="1"/>
      <c r="AB418" s="1"/>
      <c r="AC418" s="1" t="s">
        <v>1925</v>
      </c>
      <c r="AD418" s="1"/>
      <c r="AE418" s="18"/>
      <c r="AF418" s="1"/>
      <c r="AG418" s="1"/>
      <c r="AH418" s="1" t="s">
        <v>1152</v>
      </c>
      <c r="AI418" s="18"/>
      <c r="AJ418" s="18"/>
      <c r="AK418" s="18"/>
      <c r="AL418" s="6" t="str">
        <f t="array" ref="AL418">IFERROR(IFS(XLOOKUP(B418, 'Kit Delivery Status'!$U:$U, 'Kit Delivery Status'!$K:$K) = "Complete", "DELIVERED", XLOOKUP(B418, 'Kit Delivery Status'!$U:$U, 'Kit Delivery Status'!$K:$K) = "Issue", "ISSUE"), "")</f>
        <v/>
      </c>
      <c r="AM418" s="6"/>
    </row>
    <row r="419">
      <c r="A419" s="5" t="s">
        <v>2270</v>
      </c>
      <c r="B419" s="1" t="s">
        <v>2271</v>
      </c>
      <c r="C419" s="1" t="s">
        <v>2272</v>
      </c>
      <c r="D419" s="2">
        <v>9.736654223E9</v>
      </c>
      <c r="E419" s="1" t="s">
        <v>2273</v>
      </c>
      <c r="F419" s="1"/>
      <c r="G419" s="1" t="s">
        <v>1865</v>
      </c>
      <c r="H419" s="1" t="s">
        <v>1053</v>
      </c>
      <c r="I419" s="1">
        <v>7078.0</v>
      </c>
      <c r="J419" s="1" t="s">
        <v>752</v>
      </c>
      <c r="K419" s="1" t="s">
        <v>75</v>
      </c>
      <c r="L419" s="1" t="s">
        <v>2250</v>
      </c>
      <c r="M419" s="1">
        <v>49.0</v>
      </c>
      <c r="N419" s="1" t="s">
        <v>52</v>
      </c>
      <c r="O419" s="3" t="s">
        <v>2274</v>
      </c>
      <c r="P419" s="18">
        <v>45883.0</v>
      </c>
      <c r="Q419" s="1"/>
      <c r="R419" s="1"/>
      <c r="S419" s="1" t="s">
        <v>52</v>
      </c>
      <c r="T419" s="1" t="s">
        <v>52</v>
      </c>
      <c r="U419" s="1" t="s">
        <v>1031</v>
      </c>
      <c r="V419" s="4" t="s">
        <v>2274</v>
      </c>
      <c r="W419" s="1"/>
      <c r="X419" s="18">
        <v>45883.0</v>
      </c>
      <c r="Y419" s="1"/>
      <c r="Z419" s="1"/>
      <c r="AA419" s="1"/>
      <c r="AB419" s="1" t="s">
        <v>52</v>
      </c>
      <c r="AC419" s="1" t="s">
        <v>1925</v>
      </c>
      <c r="AD419" s="1" t="s">
        <v>2275</v>
      </c>
      <c r="AE419" s="18"/>
      <c r="AF419" s="1"/>
      <c r="AG419" s="1"/>
      <c r="AH419" s="1" t="s">
        <v>1152</v>
      </c>
      <c r="AI419" s="18"/>
      <c r="AJ419" s="18"/>
      <c r="AK419" s="18"/>
      <c r="AL419" s="6" t="str">
        <f t="array" ref="AL419">IFERROR(IFS(XLOOKUP(B419, 'Kit Delivery Status'!$U:$U, 'Kit Delivery Status'!$K:$K) = "Complete", "DELIVERED", XLOOKUP(B419, 'Kit Delivery Status'!$U:$U, 'Kit Delivery Status'!$K:$K) = "Issue", "ISSUE"), "")</f>
        <v/>
      </c>
      <c r="AM419" s="6"/>
    </row>
    <row r="420">
      <c r="A420" s="5" t="s">
        <v>2276</v>
      </c>
      <c r="B420" s="1" t="s">
        <v>2277</v>
      </c>
      <c r="C420" s="1"/>
      <c r="D420" s="2">
        <v>2.157964125E9</v>
      </c>
      <c r="E420" s="1" t="s">
        <v>1928</v>
      </c>
      <c r="F420" s="1"/>
      <c r="G420" s="1" t="s">
        <v>1929</v>
      </c>
      <c r="H420" s="1" t="s">
        <v>1233</v>
      </c>
      <c r="I420" s="1">
        <v>19035.0</v>
      </c>
      <c r="J420" s="1" t="s">
        <v>752</v>
      </c>
      <c r="K420" s="1" t="s">
        <v>51</v>
      </c>
      <c r="L420" s="1" t="s">
        <v>1925</v>
      </c>
      <c r="M420" s="1">
        <v>1.0</v>
      </c>
      <c r="N420" s="1" t="s">
        <v>52</v>
      </c>
      <c r="O420" s="3" t="s">
        <v>1930</v>
      </c>
      <c r="P420" s="18">
        <v>45890.0</v>
      </c>
      <c r="Q420" s="1" t="s">
        <v>1030</v>
      </c>
      <c r="R420" s="1"/>
      <c r="S420" s="1" t="s">
        <v>52</v>
      </c>
      <c r="T420" s="1" t="s">
        <v>52</v>
      </c>
      <c r="U420" s="1" t="s">
        <v>1812</v>
      </c>
      <c r="V420" s="4" t="s">
        <v>1930</v>
      </c>
      <c r="W420" s="1"/>
      <c r="X420" s="18">
        <v>45890.0</v>
      </c>
      <c r="Y420" s="1" t="s">
        <v>1030</v>
      </c>
      <c r="Z420" s="1"/>
      <c r="AA420" s="1"/>
      <c r="AB420" s="1" t="s">
        <v>52</v>
      </c>
      <c r="AC420" s="1" t="s">
        <v>1925</v>
      </c>
      <c r="AD420" s="1"/>
      <c r="AE420" s="18"/>
      <c r="AF420" s="1"/>
      <c r="AG420" s="1"/>
      <c r="AH420" s="1" t="s">
        <v>1152</v>
      </c>
      <c r="AI420" s="18"/>
      <c r="AJ420" s="18"/>
      <c r="AK420" s="18"/>
      <c r="AL420" s="6" t="str">
        <f t="array" ref="AL420">IFERROR(IFS(XLOOKUP(B420, 'Kit Delivery Status'!$U:$U, 'Kit Delivery Status'!$K:$K) = "Complete", "DELIVERED", XLOOKUP(B420, 'Kit Delivery Status'!$U:$U, 'Kit Delivery Status'!$K:$K) = "Issue", "ISSUE"), "")</f>
        <v/>
      </c>
      <c r="AM420" s="6"/>
    </row>
    <row r="421">
      <c r="A421" s="5" t="s">
        <v>2278</v>
      </c>
      <c r="B421" s="1" t="s">
        <v>2279</v>
      </c>
      <c r="C421" s="1" t="s">
        <v>1034</v>
      </c>
      <c r="D421" s="2">
        <v>2.023022986E9</v>
      </c>
      <c r="E421" s="1" t="s">
        <v>1035</v>
      </c>
      <c r="F421" s="1"/>
      <c r="G421" s="1" t="s">
        <v>1037</v>
      </c>
      <c r="H421" s="1" t="s">
        <v>1038</v>
      </c>
      <c r="I421" s="1">
        <v>22207.0</v>
      </c>
      <c r="J421" s="1" t="s">
        <v>752</v>
      </c>
      <c r="K421" s="1" t="s">
        <v>95</v>
      </c>
      <c r="L421" s="1" t="s">
        <v>2212</v>
      </c>
      <c r="M421" s="1">
        <v>49.0</v>
      </c>
      <c r="N421" s="1" t="s">
        <v>52</v>
      </c>
      <c r="O421" s="3" t="s">
        <v>270</v>
      </c>
      <c r="P421" s="18">
        <v>45883.0</v>
      </c>
      <c r="Q421" s="1" t="s">
        <v>1030</v>
      </c>
      <c r="R421" s="1"/>
      <c r="S421" s="1" t="s">
        <v>52</v>
      </c>
      <c r="T421" s="1" t="s">
        <v>52</v>
      </c>
      <c r="U421" s="1" t="s">
        <v>1039</v>
      </c>
      <c r="V421" s="4" t="s">
        <v>270</v>
      </c>
      <c r="W421" s="1"/>
      <c r="X421" s="18">
        <v>45883.0</v>
      </c>
      <c r="Y421" s="1" t="s">
        <v>1030</v>
      </c>
      <c r="Z421" s="1"/>
      <c r="AA421" s="1"/>
      <c r="AB421" s="1" t="s">
        <v>52</v>
      </c>
      <c r="AC421" s="1" t="s">
        <v>2280</v>
      </c>
      <c r="AD421" s="1"/>
      <c r="AE421" s="18"/>
      <c r="AF421" s="1"/>
      <c r="AG421" s="1"/>
      <c r="AH421" s="1" t="s">
        <v>1152</v>
      </c>
      <c r="AI421" s="18"/>
      <c r="AJ421" s="18"/>
      <c r="AK421" s="18"/>
      <c r="AL421" s="6" t="str">
        <f t="array" ref="AL421">IFERROR(IFS(XLOOKUP(B421, 'Kit Delivery Status'!$U:$U, 'Kit Delivery Status'!$K:$K) = "Complete", "DELIVERED", XLOOKUP(B421, 'Kit Delivery Status'!$U:$U, 'Kit Delivery Status'!$K:$K) = "Issue", "ISSUE"), "")</f>
        <v/>
      </c>
      <c r="AM421" s="6"/>
    </row>
    <row r="422">
      <c r="A422" s="5" t="s">
        <v>2281</v>
      </c>
      <c r="B422" s="1" t="s">
        <v>2282</v>
      </c>
      <c r="C422" s="1" t="s">
        <v>2283</v>
      </c>
      <c r="D422" s="2">
        <v>13476344188</v>
      </c>
      <c r="E422" s="1" t="s">
        <v>1358</v>
      </c>
      <c r="F422" s="1"/>
      <c r="G422" s="1" t="s">
        <v>1360</v>
      </c>
      <c r="H422" s="1" t="s">
        <v>1053</v>
      </c>
      <c r="I422" s="1">
        <v>7020.0</v>
      </c>
      <c r="J422" s="1" t="s">
        <v>752</v>
      </c>
      <c r="K422" s="1" t="s">
        <v>66</v>
      </c>
      <c r="L422" s="1" t="s">
        <v>2227</v>
      </c>
      <c r="M422" s="1">
        <v>145.0</v>
      </c>
      <c r="N422" s="1"/>
      <c r="O422" s="3" t="s">
        <v>2284</v>
      </c>
      <c r="P422" s="18">
        <v>45883.0</v>
      </c>
      <c r="Q422" s="1"/>
      <c r="R422" s="1"/>
      <c r="S422" s="1"/>
      <c r="T422" s="1"/>
      <c r="U422" s="1" t="s">
        <v>1249</v>
      </c>
      <c r="V422" s="4" t="s">
        <v>2284</v>
      </c>
      <c r="W422" s="1"/>
      <c r="X422" s="18">
        <v>45883.0</v>
      </c>
      <c r="Y422" s="1"/>
      <c r="Z422" s="1"/>
      <c r="AA422" s="1"/>
      <c r="AB422" s="1"/>
      <c r="AC422" s="1" t="s">
        <v>1925</v>
      </c>
      <c r="AD422" s="1"/>
      <c r="AE422" s="18"/>
      <c r="AF422" s="1"/>
      <c r="AG422" s="1"/>
      <c r="AH422" s="1" t="s">
        <v>1152</v>
      </c>
      <c r="AI422" s="18"/>
      <c r="AJ422" s="18"/>
      <c r="AK422" s="18"/>
      <c r="AL422" s="6" t="str">
        <f t="array" ref="AL422">IFERROR(IFS(XLOOKUP(B422, 'Kit Delivery Status'!$U:$U, 'Kit Delivery Status'!$K:$K) = "Complete", "DELIVERED", XLOOKUP(B422, 'Kit Delivery Status'!$U:$U, 'Kit Delivery Status'!$K:$K) = "Issue", "ISSUE"), "")</f>
        <v/>
      </c>
      <c r="AM422" s="6"/>
    </row>
    <row r="423">
      <c r="A423" s="5" t="s">
        <v>2285</v>
      </c>
      <c r="B423" s="1" t="s">
        <v>2286</v>
      </c>
      <c r="C423" s="1" t="s">
        <v>2287</v>
      </c>
      <c r="D423" s="2">
        <v>6.024102189E9</v>
      </c>
      <c r="E423" s="1" t="s">
        <v>2288</v>
      </c>
      <c r="F423" s="1"/>
      <c r="G423" s="1" t="s">
        <v>2289</v>
      </c>
      <c r="H423" s="1" t="s">
        <v>1535</v>
      </c>
      <c r="I423" s="1">
        <v>85335.0</v>
      </c>
      <c r="J423" s="1" t="s">
        <v>752</v>
      </c>
      <c r="K423" s="1" t="s">
        <v>95</v>
      </c>
      <c r="L423" s="1" t="s">
        <v>2212</v>
      </c>
      <c r="M423" s="1">
        <v>49.0</v>
      </c>
      <c r="N423" s="1" t="s">
        <v>52</v>
      </c>
      <c r="O423" s="3" t="s">
        <v>233</v>
      </c>
      <c r="P423" s="18">
        <v>45883.0</v>
      </c>
      <c r="Q423" s="1" t="s">
        <v>1030</v>
      </c>
      <c r="R423" s="1"/>
      <c r="S423" s="1" t="s">
        <v>52</v>
      </c>
      <c r="T423" s="1" t="s">
        <v>52</v>
      </c>
      <c r="U423" s="1" t="s">
        <v>1039</v>
      </c>
      <c r="V423" s="4" t="s">
        <v>233</v>
      </c>
      <c r="W423" s="1"/>
      <c r="X423" s="18">
        <v>45883.0</v>
      </c>
      <c r="Y423" s="1" t="s">
        <v>1030</v>
      </c>
      <c r="Z423" s="1"/>
      <c r="AA423" s="1"/>
      <c r="AB423" s="1" t="s">
        <v>52</v>
      </c>
      <c r="AC423" s="1" t="s">
        <v>2290</v>
      </c>
      <c r="AD423" s="1"/>
      <c r="AE423" s="18"/>
      <c r="AF423" s="1"/>
      <c r="AG423" s="1"/>
      <c r="AH423" s="1" t="s">
        <v>1152</v>
      </c>
      <c r="AI423" s="18"/>
      <c r="AJ423" s="18"/>
      <c r="AK423" s="18"/>
      <c r="AL423" s="6" t="str">
        <f t="array" ref="AL423">IFERROR(IFS(XLOOKUP(B423, 'Kit Delivery Status'!$U:$U, 'Kit Delivery Status'!$K:$K) = "Complete", "DELIVERED", XLOOKUP(B423, 'Kit Delivery Status'!$U:$U, 'Kit Delivery Status'!$K:$K) = "Issue", "ISSUE"), "")</f>
        <v/>
      </c>
      <c r="AM423" s="6"/>
    </row>
    <row r="424">
      <c r="A424" s="5" t="s">
        <v>2291</v>
      </c>
      <c r="B424" s="1" t="s">
        <v>2292</v>
      </c>
      <c r="C424" s="1" t="s">
        <v>2293</v>
      </c>
      <c r="D424" s="2">
        <v>2.034601088E9</v>
      </c>
      <c r="E424" s="1" t="s">
        <v>2294</v>
      </c>
      <c r="F424" s="1"/>
      <c r="G424" s="1" t="s">
        <v>2295</v>
      </c>
      <c r="H424" s="1" t="s">
        <v>1121</v>
      </c>
      <c r="I424" s="1">
        <v>1852.0</v>
      </c>
      <c r="J424" s="1" t="s">
        <v>752</v>
      </c>
      <c r="K424" s="1" t="s">
        <v>95</v>
      </c>
      <c r="L424" s="1" t="s">
        <v>2212</v>
      </c>
      <c r="M424" s="1">
        <v>49.0</v>
      </c>
      <c r="N424" s="1" t="s">
        <v>52</v>
      </c>
      <c r="O424" s="3" t="s">
        <v>1623</v>
      </c>
      <c r="P424" s="18">
        <v>45883.0</v>
      </c>
      <c r="Q424" s="1" t="s">
        <v>1030</v>
      </c>
      <c r="R424" s="1"/>
      <c r="S424" s="1" t="s">
        <v>52</v>
      </c>
      <c r="T424" s="1" t="s">
        <v>52</v>
      </c>
      <c r="U424" s="1" t="s">
        <v>1749</v>
      </c>
      <c r="V424" s="4" t="s">
        <v>1623</v>
      </c>
      <c r="W424" s="1"/>
      <c r="X424" s="18">
        <v>45883.0</v>
      </c>
      <c r="Y424" s="1" t="s">
        <v>1030</v>
      </c>
      <c r="Z424" s="1"/>
      <c r="AA424" s="1"/>
      <c r="AB424" s="1" t="s">
        <v>52</v>
      </c>
      <c r="AC424" s="1" t="s">
        <v>2296</v>
      </c>
      <c r="AD424" s="1"/>
      <c r="AE424" s="18"/>
      <c r="AF424" s="1"/>
      <c r="AG424" s="1"/>
      <c r="AH424" s="1" t="s">
        <v>1152</v>
      </c>
      <c r="AI424" s="18"/>
      <c r="AJ424" s="18"/>
      <c r="AK424" s="18"/>
      <c r="AL424" s="6" t="str">
        <f t="array" ref="AL424">IFERROR(IFS(XLOOKUP(B424, 'Kit Delivery Status'!$U:$U, 'Kit Delivery Status'!$K:$K) = "Complete", "DELIVERED", XLOOKUP(B424, 'Kit Delivery Status'!$U:$U, 'Kit Delivery Status'!$K:$K) = "Issue", "ISSUE"), "")</f>
        <v/>
      </c>
      <c r="AM424" s="6"/>
    </row>
    <row r="425">
      <c r="A425" s="5" t="s">
        <v>2297</v>
      </c>
      <c r="B425" s="1" t="s">
        <v>2298</v>
      </c>
      <c r="C425" s="1" t="s">
        <v>2299</v>
      </c>
      <c r="D425" s="2">
        <v>3.109895589E9</v>
      </c>
      <c r="E425" s="1" t="s">
        <v>2300</v>
      </c>
      <c r="F425" s="1"/>
      <c r="G425" s="1" t="s">
        <v>2301</v>
      </c>
      <c r="H425" s="1" t="s">
        <v>1583</v>
      </c>
      <c r="I425" s="1">
        <v>76092.0</v>
      </c>
      <c r="J425" s="1" t="s">
        <v>752</v>
      </c>
      <c r="K425" s="1" t="s">
        <v>66</v>
      </c>
      <c r="L425" s="1" t="s">
        <v>2243</v>
      </c>
      <c r="M425" s="1">
        <v>210.0</v>
      </c>
      <c r="N425" s="1"/>
      <c r="O425" s="3" t="s">
        <v>2302</v>
      </c>
      <c r="P425" s="18">
        <v>45883.0</v>
      </c>
      <c r="Q425" s="1"/>
      <c r="R425" s="1"/>
      <c r="S425" s="1"/>
      <c r="T425" s="1"/>
      <c r="U425" s="1" t="s">
        <v>1031</v>
      </c>
      <c r="V425" s="4" t="s">
        <v>2302</v>
      </c>
      <c r="W425" s="1"/>
      <c r="X425" s="18">
        <v>45883.0</v>
      </c>
      <c r="Y425" s="1"/>
      <c r="Z425" s="1"/>
      <c r="AA425" s="1"/>
      <c r="AB425" s="1"/>
      <c r="AC425" s="1" t="s">
        <v>1925</v>
      </c>
      <c r="AD425" s="1"/>
      <c r="AE425" s="18"/>
      <c r="AF425" s="1"/>
      <c r="AG425" s="1"/>
      <c r="AH425" s="1" t="s">
        <v>1152</v>
      </c>
      <c r="AI425" s="18"/>
      <c r="AJ425" s="18"/>
      <c r="AK425" s="18"/>
      <c r="AL425" s="6" t="str">
        <f t="array" ref="AL425">IFERROR(IFS(XLOOKUP(B425, 'Kit Delivery Status'!$U:$U, 'Kit Delivery Status'!$K:$K) = "Complete", "DELIVERED", XLOOKUP(B425, 'Kit Delivery Status'!$U:$U, 'Kit Delivery Status'!$K:$K) = "Issue", "ISSUE"), "")</f>
        <v/>
      </c>
      <c r="AM425" s="6"/>
    </row>
    <row r="426">
      <c r="A426" s="5" t="s">
        <v>2303</v>
      </c>
      <c r="B426" s="1" t="s">
        <v>2304</v>
      </c>
      <c r="C426" s="1" t="s">
        <v>2305</v>
      </c>
      <c r="D426" s="2">
        <v>4.848322036E9</v>
      </c>
      <c r="E426" s="1" t="s">
        <v>2306</v>
      </c>
      <c r="F426" s="1"/>
      <c r="G426" s="1" t="s">
        <v>2307</v>
      </c>
      <c r="H426" s="1" t="s">
        <v>1233</v>
      </c>
      <c r="I426" s="1">
        <v>19010.0</v>
      </c>
      <c r="J426" s="1" t="s">
        <v>752</v>
      </c>
      <c r="K426" s="1" t="s">
        <v>66</v>
      </c>
      <c r="L426" s="1" t="s">
        <v>2308</v>
      </c>
      <c r="M426" s="1">
        <v>65.0</v>
      </c>
      <c r="N426" s="1"/>
      <c r="O426" s="3" t="s">
        <v>2309</v>
      </c>
      <c r="P426" s="18">
        <v>45883.0</v>
      </c>
      <c r="Q426" s="1"/>
      <c r="R426" s="1"/>
      <c r="S426" s="1"/>
      <c r="T426" s="1"/>
      <c r="U426" s="1" t="s">
        <v>1039</v>
      </c>
      <c r="V426" s="4" t="s">
        <v>2309</v>
      </c>
      <c r="W426" s="1"/>
      <c r="X426" s="18">
        <v>45883.0</v>
      </c>
      <c r="Y426" s="1"/>
      <c r="Z426" s="1"/>
      <c r="AA426" s="1"/>
      <c r="AB426" s="1"/>
      <c r="AC426" s="1" t="s">
        <v>1925</v>
      </c>
      <c r="AD426" s="1"/>
      <c r="AE426" s="18"/>
      <c r="AF426" s="1"/>
      <c r="AG426" s="1"/>
      <c r="AH426" s="1" t="s">
        <v>1152</v>
      </c>
      <c r="AI426" s="18"/>
      <c r="AJ426" s="18"/>
      <c r="AK426" s="18"/>
      <c r="AL426" s="6" t="str">
        <f t="array" ref="AL426">IFERROR(IFS(XLOOKUP(B426, 'Kit Delivery Status'!$U:$U, 'Kit Delivery Status'!$K:$K) = "Complete", "DELIVERED", XLOOKUP(B426, 'Kit Delivery Status'!$U:$U, 'Kit Delivery Status'!$K:$K) = "Issue", "ISSUE"), "")</f>
        <v/>
      </c>
      <c r="AM426" s="6"/>
    </row>
    <row r="427">
      <c r="A427" s="5" t="s">
        <v>2310</v>
      </c>
      <c r="B427" s="1" t="s">
        <v>2311</v>
      </c>
      <c r="C427" s="1"/>
      <c r="D427" s="2"/>
      <c r="E427" s="1" t="s">
        <v>2312</v>
      </c>
      <c r="F427" s="1"/>
      <c r="G427" s="1" t="s">
        <v>1684</v>
      </c>
      <c r="H427" s="1" t="s">
        <v>751</v>
      </c>
      <c r="I427" s="1">
        <v>11218.0</v>
      </c>
      <c r="J427" s="1" t="s">
        <v>752</v>
      </c>
      <c r="K427" s="1" t="s">
        <v>95</v>
      </c>
      <c r="L427" s="1" t="s">
        <v>2212</v>
      </c>
      <c r="M427" s="1">
        <v>49.0</v>
      </c>
      <c r="N427" s="1" t="s">
        <v>52</v>
      </c>
      <c r="O427" s="3" t="s">
        <v>2313</v>
      </c>
      <c r="P427" s="18">
        <v>45883.0</v>
      </c>
      <c r="Q427" s="1" t="s">
        <v>1030</v>
      </c>
      <c r="R427" s="1"/>
      <c r="S427" s="1" t="s">
        <v>52</v>
      </c>
      <c r="T427" s="1" t="s">
        <v>52</v>
      </c>
      <c r="U427" s="1" t="s">
        <v>1065</v>
      </c>
      <c r="V427" s="4" t="s">
        <v>2313</v>
      </c>
      <c r="W427" s="1"/>
      <c r="X427" s="18">
        <v>45883.0</v>
      </c>
      <c r="Y427" s="1" t="s">
        <v>1030</v>
      </c>
      <c r="Z427" s="1"/>
      <c r="AA427" s="1"/>
      <c r="AB427" s="1" t="s">
        <v>52</v>
      </c>
      <c r="AC427" s="1" t="s">
        <v>2314</v>
      </c>
      <c r="AD427" s="1"/>
      <c r="AE427" s="18"/>
      <c r="AF427" s="1"/>
      <c r="AG427" s="1"/>
      <c r="AH427" s="1" t="s">
        <v>1152</v>
      </c>
      <c r="AI427" s="18"/>
      <c r="AJ427" s="18"/>
      <c r="AK427" s="18"/>
      <c r="AL427" s="6" t="str">
        <f t="array" ref="AL427">IFERROR(IFS(XLOOKUP(B427, 'Kit Delivery Status'!$U:$U, 'Kit Delivery Status'!$K:$K) = "Complete", "DELIVERED", XLOOKUP(B427, 'Kit Delivery Status'!$U:$U, 'Kit Delivery Status'!$K:$K) = "Issue", "ISSUE"), "")</f>
        <v/>
      </c>
      <c r="AM427" s="6"/>
    </row>
    <row r="428">
      <c r="A428" s="5" t="s">
        <v>2315</v>
      </c>
      <c r="B428" s="1" t="s">
        <v>2316</v>
      </c>
      <c r="C428" s="1"/>
      <c r="D428" s="2">
        <v>6.319035927E9</v>
      </c>
      <c r="E428" s="1" t="s">
        <v>2317</v>
      </c>
      <c r="F428" s="1"/>
      <c r="G428" s="1" t="s">
        <v>2318</v>
      </c>
      <c r="H428" s="1" t="s">
        <v>751</v>
      </c>
      <c r="I428" s="1" t="s">
        <v>2319</v>
      </c>
      <c r="J428" s="1" t="s">
        <v>752</v>
      </c>
      <c r="K428" s="1" t="s">
        <v>51</v>
      </c>
      <c r="L428" s="1" t="s">
        <v>1925</v>
      </c>
      <c r="M428" s="1">
        <v>1.0</v>
      </c>
      <c r="N428" s="1" t="s">
        <v>52</v>
      </c>
      <c r="O428" s="3" t="s">
        <v>2320</v>
      </c>
      <c r="P428" s="18">
        <v>45876.0</v>
      </c>
      <c r="Q428" s="1" t="s">
        <v>1030</v>
      </c>
      <c r="R428" s="1"/>
      <c r="S428" s="1" t="s">
        <v>52</v>
      </c>
      <c r="T428" s="1" t="s">
        <v>52</v>
      </c>
      <c r="U428" s="1" t="s">
        <v>1021</v>
      </c>
      <c r="V428" s="4" t="s">
        <v>2320</v>
      </c>
      <c r="W428" s="1"/>
      <c r="X428" s="18">
        <v>45876.0</v>
      </c>
      <c r="Y428" s="1" t="s">
        <v>1030</v>
      </c>
      <c r="Z428" s="1"/>
      <c r="AA428" s="1"/>
      <c r="AB428" s="1" t="s">
        <v>52</v>
      </c>
      <c r="AC428" s="1" t="s">
        <v>1925</v>
      </c>
      <c r="AD428" s="1"/>
      <c r="AE428" s="18"/>
      <c r="AF428" s="1"/>
      <c r="AG428" s="1"/>
      <c r="AH428" s="1" t="s">
        <v>1152</v>
      </c>
      <c r="AI428" s="18"/>
      <c r="AJ428" s="18"/>
      <c r="AK428" s="18"/>
      <c r="AL428" s="6" t="str">
        <f t="array" ref="AL428">IFERROR(IFS(XLOOKUP(B428, 'Kit Delivery Status'!$U:$U, 'Kit Delivery Status'!$K:$K) = "Complete", "DELIVERED", XLOOKUP(B428, 'Kit Delivery Status'!$U:$U, 'Kit Delivery Status'!$K:$K) = "Issue", "ISSUE"), "")</f>
        <v/>
      </c>
      <c r="AM428" s="6"/>
    </row>
    <row r="429">
      <c r="A429" s="5" t="s">
        <v>2321</v>
      </c>
      <c r="B429" s="1" t="s">
        <v>2322</v>
      </c>
      <c r="C429" s="1" t="s">
        <v>2323</v>
      </c>
      <c r="D429" s="2">
        <v>16265875653</v>
      </c>
      <c r="E429" s="1" t="s">
        <v>2324</v>
      </c>
      <c r="F429" s="1"/>
      <c r="G429" s="1" t="s">
        <v>2325</v>
      </c>
      <c r="H429" s="1" t="s">
        <v>989</v>
      </c>
      <c r="I429" s="1" t="s">
        <v>2326</v>
      </c>
      <c r="J429" s="1" t="s">
        <v>752</v>
      </c>
      <c r="K429" s="1" t="s">
        <v>66</v>
      </c>
      <c r="L429" s="1" t="s">
        <v>2243</v>
      </c>
      <c r="M429" s="1">
        <v>210.0</v>
      </c>
      <c r="N429" s="1"/>
      <c r="O429" s="3" t="s">
        <v>2327</v>
      </c>
      <c r="P429" s="18">
        <v>45883.0</v>
      </c>
      <c r="Q429" s="1"/>
      <c r="R429" s="1"/>
      <c r="S429" s="1"/>
      <c r="T429" s="1"/>
      <c r="U429" s="1" t="s">
        <v>1133</v>
      </c>
      <c r="V429" s="4" t="s">
        <v>2327</v>
      </c>
      <c r="W429" s="1"/>
      <c r="X429" s="18">
        <v>45883.0</v>
      </c>
      <c r="Y429" s="1"/>
      <c r="Z429" s="1"/>
      <c r="AA429" s="1"/>
      <c r="AB429" s="1"/>
      <c r="AC429" s="1" t="s">
        <v>1925</v>
      </c>
      <c r="AD429" s="1"/>
      <c r="AE429" s="18"/>
      <c r="AF429" s="1"/>
      <c r="AG429" s="1"/>
      <c r="AH429" s="1" t="s">
        <v>1152</v>
      </c>
      <c r="AI429" s="18"/>
      <c r="AJ429" s="18"/>
      <c r="AK429" s="18"/>
      <c r="AL429" s="6" t="str">
        <f t="array" ref="AL429">IFERROR(IFS(XLOOKUP(B429, 'Kit Delivery Status'!$U:$U, 'Kit Delivery Status'!$K:$K) = "Complete", "DELIVERED", XLOOKUP(B429, 'Kit Delivery Status'!$U:$U, 'Kit Delivery Status'!$K:$K) = "Issue", "ISSUE"), "")</f>
        <v/>
      </c>
      <c r="AM429" s="6"/>
    </row>
    <row r="430">
      <c r="A430" s="5" t="s">
        <v>2328</v>
      </c>
      <c r="B430" s="1" t="s">
        <v>2329</v>
      </c>
      <c r="C430" s="1" t="s">
        <v>2330</v>
      </c>
      <c r="D430" s="2">
        <v>5.853138249E9</v>
      </c>
      <c r="E430" s="1" t="s">
        <v>2331</v>
      </c>
      <c r="F430" s="1"/>
      <c r="G430" s="1" t="s">
        <v>1283</v>
      </c>
      <c r="H430" s="1" t="s">
        <v>1155</v>
      </c>
      <c r="I430" s="1">
        <v>63105.0</v>
      </c>
      <c r="J430" s="1" t="s">
        <v>752</v>
      </c>
      <c r="K430" s="1" t="s">
        <v>66</v>
      </c>
      <c r="L430" s="1" t="s">
        <v>2243</v>
      </c>
      <c r="M430" s="1">
        <v>210.0</v>
      </c>
      <c r="N430" s="1"/>
      <c r="O430" s="3" t="s">
        <v>233</v>
      </c>
      <c r="P430" s="18">
        <v>45883.0</v>
      </c>
      <c r="Q430" s="1"/>
      <c r="R430" s="1"/>
      <c r="S430" s="1"/>
      <c r="T430" s="1"/>
      <c r="U430" s="1" t="s">
        <v>956</v>
      </c>
      <c r="V430" s="4" t="s">
        <v>233</v>
      </c>
      <c r="W430" s="1"/>
      <c r="X430" s="18">
        <v>45883.0</v>
      </c>
      <c r="Y430" s="1"/>
      <c r="Z430" s="1"/>
      <c r="AA430" s="1"/>
      <c r="AB430" s="1"/>
      <c r="AC430" s="1" t="s">
        <v>1925</v>
      </c>
      <c r="AD430" s="1"/>
      <c r="AE430" s="18"/>
      <c r="AF430" s="1"/>
      <c r="AG430" s="1"/>
      <c r="AH430" s="1" t="s">
        <v>1152</v>
      </c>
      <c r="AI430" s="18"/>
      <c r="AJ430" s="18"/>
      <c r="AK430" s="18"/>
      <c r="AL430" s="6" t="str">
        <f t="array" ref="AL430">IFERROR(IFS(XLOOKUP(B430, 'Kit Delivery Status'!$U:$U, 'Kit Delivery Status'!$K:$K) = "Complete", "DELIVERED", XLOOKUP(B430, 'Kit Delivery Status'!$U:$U, 'Kit Delivery Status'!$K:$K) = "Issue", "ISSUE"), "")</f>
        <v/>
      </c>
      <c r="AM430" s="6"/>
    </row>
    <row r="431">
      <c r="A431" s="5" t="s">
        <v>2332</v>
      </c>
      <c r="B431" s="1" t="s">
        <v>2333</v>
      </c>
      <c r="C431" s="1" t="s">
        <v>1554</v>
      </c>
      <c r="D431" s="2">
        <v>6.504005711E9</v>
      </c>
      <c r="E431" s="1" t="s">
        <v>1555</v>
      </c>
      <c r="F431" s="1"/>
      <c r="G431" s="1" t="s">
        <v>1556</v>
      </c>
      <c r="H431" s="1" t="s">
        <v>989</v>
      </c>
      <c r="I431" s="1">
        <v>94024.0</v>
      </c>
      <c r="J431" s="1" t="s">
        <v>752</v>
      </c>
      <c r="K431" s="1" t="s">
        <v>95</v>
      </c>
      <c r="L431" s="1" t="s">
        <v>2212</v>
      </c>
      <c r="M431" s="1">
        <v>49.0</v>
      </c>
      <c r="N431" s="1" t="s">
        <v>52</v>
      </c>
      <c r="O431" s="3" t="s">
        <v>1557</v>
      </c>
      <c r="P431" s="18">
        <v>45883.0</v>
      </c>
      <c r="Q431" s="1" t="s">
        <v>1030</v>
      </c>
      <c r="R431" s="1"/>
      <c r="S431" s="1" t="s">
        <v>52</v>
      </c>
      <c r="T431" s="1" t="s">
        <v>52</v>
      </c>
      <c r="U431" s="1" t="s">
        <v>982</v>
      </c>
      <c r="V431" s="4" t="s">
        <v>1557</v>
      </c>
      <c r="W431" s="1"/>
      <c r="X431" s="18">
        <v>45883.0</v>
      </c>
      <c r="Y431" s="1" t="s">
        <v>1030</v>
      </c>
      <c r="Z431" s="1"/>
      <c r="AA431" s="1"/>
      <c r="AB431" s="1" t="s">
        <v>52</v>
      </c>
      <c r="AC431" s="1" t="s">
        <v>2334</v>
      </c>
      <c r="AD431" s="1"/>
      <c r="AE431" s="18"/>
      <c r="AF431" s="1"/>
      <c r="AG431" s="1"/>
      <c r="AH431" s="1" t="s">
        <v>1152</v>
      </c>
      <c r="AI431" s="18"/>
      <c r="AJ431" s="18"/>
      <c r="AK431" s="18"/>
      <c r="AL431" s="6" t="str">
        <f t="array" ref="AL431">IFERROR(IFS(XLOOKUP(B431, 'Kit Delivery Status'!$U:$U, 'Kit Delivery Status'!$K:$K) = "Complete", "DELIVERED", XLOOKUP(B431, 'Kit Delivery Status'!$U:$U, 'Kit Delivery Status'!$K:$K) = "Issue", "ISSUE"), "")</f>
        <v/>
      </c>
      <c r="AM431" s="6"/>
    </row>
    <row r="432">
      <c r="A432" s="5" t="s">
        <v>2335</v>
      </c>
      <c r="B432" s="1" t="s">
        <v>2336</v>
      </c>
      <c r="C432" s="1" t="s">
        <v>2337</v>
      </c>
      <c r="D432" s="2">
        <v>4.176124295E9</v>
      </c>
      <c r="E432" s="1" t="s">
        <v>2338</v>
      </c>
      <c r="F432" s="1"/>
      <c r="G432" s="1" t="s">
        <v>2339</v>
      </c>
      <c r="H432" s="1" t="s">
        <v>1155</v>
      </c>
      <c r="I432" s="1">
        <v>65705.0</v>
      </c>
      <c r="J432" s="1" t="s">
        <v>752</v>
      </c>
      <c r="K432" s="1" t="s">
        <v>95</v>
      </c>
      <c r="L432" s="1" t="s">
        <v>2212</v>
      </c>
      <c r="M432" s="1">
        <v>49.0</v>
      </c>
      <c r="N432" s="1" t="s">
        <v>52</v>
      </c>
      <c r="O432" s="3" t="s">
        <v>2340</v>
      </c>
      <c r="P432" s="18">
        <v>45883.0</v>
      </c>
      <c r="Q432" s="1" t="s">
        <v>1030</v>
      </c>
      <c r="R432" s="1"/>
      <c r="S432" s="1" t="s">
        <v>52</v>
      </c>
      <c r="T432" s="1" t="s">
        <v>52</v>
      </c>
      <c r="U432" s="1" t="s">
        <v>1148</v>
      </c>
      <c r="V432" s="4" t="s">
        <v>2340</v>
      </c>
      <c r="W432" s="1"/>
      <c r="X432" s="18">
        <v>45883.0</v>
      </c>
      <c r="Y432" s="1" t="s">
        <v>1030</v>
      </c>
      <c r="Z432" s="1"/>
      <c r="AA432" s="1"/>
      <c r="AB432" s="1" t="s">
        <v>52</v>
      </c>
      <c r="AC432" s="1" t="s">
        <v>2341</v>
      </c>
      <c r="AD432" s="1"/>
      <c r="AE432" s="18"/>
      <c r="AF432" s="1"/>
      <c r="AG432" s="1"/>
      <c r="AH432" s="1" t="s">
        <v>1152</v>
      </c>
      <c r="AI432" s="18"/>
      <c r="AJ432" s="18"/>
      <c r="AK432" s="18"/>
      <c r="AL432" s="6" t="str">
        <f t="array" ref="AL432">IFERROR(IFS(XLOOKUP(B432, 'Kit Delivery Status'!$U:$U, 'Kit Delivery Status'!$K:$K) = "Complete", "DELIVERED", XLOOKUP(B432, 'Kit Delivery Status'!$U:$U, 'Kit Delivery Status'!$K:$K) = "Issue", "ISSUE"), "")</f>
        <v/>
      </c>
      <c r="AM432" s="6"/>
    </row>
    <row r="433">
      <c r="A433" s="5" t="s">
        <v>2342</v>
      </c>
      <c r="B433" s="1" t="s">
        <v>2343</v>
      </c>
      <c r="C433" s="1"/>
      <c r="D433" s="2">
        <v>19175728671</v>
      </c>
      <c r="E433" s="1" t="s">
        <v>2344</v>
      </c>
      <c r="F433" s="1" t="s">
        <v>2345</v>
      </c>
      <c r="G433" s="1" t="s">
        <v>1382</v>
      </c>
      <c r="H433" s="1" t="s">
        <v>751</v>
      </c>
      <c r="I433" s="1">
        <v>10583.0</v>
      </c>
      <c r="J433" s="1" t="s">
        <v>752</v>
      </c>
      <c r="K433" s="1" t="s">
        <v>51</v>
      </c>
      <c r="L433" s="1" t="s">
        <v>1925</v>
      </c>
      <c r="M433" s="1">
        <v>1.0</v>
      </c>
      <c r="N433" s="1" t="s">
        <v>124</v>
      </c>
      <c r="O433" s="3"/>
      <c r="P433" s="18">
        <v>45892.0</v>
      </c>
      <c r="Q433" s="1" t="s">
        <v>1630</v>
      </c>
      <c r="R433" s="1" t="s">
        <v>2345</v>
      </c>
      <c r="S433" s="1" t="s">
        <v>124</v>
      </c>
      <c r="T433" s="1" t="s">
        <v>124</v>
      </c>
      <c r="U433" s="1"/>
      <c r="V433" s="4"/>
      <c r="W433" s="1" t="s">
        <v>2345</v>
      </c>
      <c r="X433" s="18">
        <v>45892.0</v>
      </c>
      <c r="Y433" s="1" t="s">
        <v>1630</v>
      </c>
      <c r="Z433" s="1"/>
      <c r="AA433" s="1" t="s">
        <v>2345</v>
      </c>
      <c r="AB433" s="1" t="s">
        <v>124</v>
      </c>
      <c r="AC433" s="1" t="s">
        <v>1925</v>
      </c>
      <c r="AD433" s="1"/>
      <c r="AE433" s="18"/>
      <c r="AF433" s="1"/>
      <c r="AG433" s="1"/>
      <c r="AH433" s="1" t="s">
        <v>1152</v>
      </c>
      <c r="AI433" s="18"/>
      <c r="AJ433" s="18"/>
      <c r="AK433" s="18"/>
      <c r="AL433" s="6" t="str">
        <f t="array" ref="AL433">IFERROR(IFS(XLOOKUP(B433, 'Kit Delivery Status'!$U:$U, 'Kit Delivery Status'!$K:$K) = "Complete", "DELIVERED", XLOOKUP(B433, 'Kit Delivery Status'!$U:$U, 'Kit Delivery Status'!$K:$K) = "Issue", "ISSUE"), "")</f>
        <v/>
      </c>
      <c r="AM433" s="6"/>
    </row>
    <row r="434">
      <c r="A434" s="5" t="s">
        <v>2346</v>
      </c>
      <c r="B434" s="1" t="s">
        <v>2347</v>
      </c>
      <c r="C434" s="1" t="s">
        <v>2348</v>
      </c>
      <c r="D434" s="2">
        <v>1.3143798058E10</v>
      </c>
      <c r="E434" s="1" t="s">
        <v>2349</v>
      </c>
      <c r="F434" s="1"/>
      <c r="G434" s="1" t="s">
        <v>2350</v>
      </c>
      <c r="H434" s="1" t="s">
        <v>1155</v>
      </c>
      <c r="I434" s="1">
        <v>63105.0</v>
      </c>
      <c r="J434" s="1" t="s">
        <v>752</v>
      </c>
      <c r="K434" s="1" t="s">
        <v>51</v>
      </c>
      <c r="L434" s="1" t="s">
        <v>1925</v>
      </c>
      <c r="M434" s="1">
        <v>1.0</v>
      </c>
      <c r="N434" s="1" t="s">
        <v>52</v>
      </c>
      <c r="O434" s="3" t="s">
        <v>2351</v>
      </c>
      <c r="P434" s="18">
        <v>45883.0</v>
      </c>
      <c r="Q434" s="1" t="s">
        <v>1030</v>
      </c>
      <c r="R434" s="1"/>
      <c r="S434" s="1" t="s">
        <v>52</v>
      </c>
      <c r="T434" s="1" t="s">
        <v>52</v>
      </c>
      <c r="U434" s="1" t="s">
        <v>1021</v>
      </c>
      <c r="V434" s="4" t="s">
        <v>2351</v>
      </c>
      <c r="W434" s="1"/>
      <c r="X434" s="18">
        <v>45883.0</v>
      </c>
      <c r="Y434" s="1" t="s">
        <v>1030</v>
      </c>
      <c r="Z434" s="1"/>
      <c r="AA434" s="1"/>
      <c r="AB434" s="1" t="s">
        <v>52</v>
      </c>
      <c r="AC434" s="1" t="s">
        <v>1925</v>
      </c>
      <c r="AD434" s="1"/>
      <c r="AE434" s="18"/>
      <c r="AF434" s="1"/>
      <c r="AG434" s="1"/>
      <c r="AH434" s="1" t="s">
        <v>1152</v>
      </c>
      <c r="AI434" s="18"/>
      <c r="AJ434" s="18"/>
      <c r="AK434" s="18"/>
      <c r="AL434" s="6" t="str">
        <f t="array" ref="AL434">IFERROR(IFS(XLOOKUP(B434, 'Kit Delivery Status'!$U:$U, 'Kit Delivery Status'!$K:$K) = "Complete", "DELIVERED", XLOOKUP(B434, 'Kit Delivery Status'!$U:$U, 'Kit Delivery Status'!$K:$K) = "Issue", "ISSUE"), "")</f>
        <v/>
      </c>
      <c r="AM434" s="6"/>
    </row>
    <row r="435">
      <c r="A435" s="5" t="s">
        <v>2352</v>
      </c>
      <c r="B435" s="1" t="s">
        <v>2353</v>
      </c>
      <c r="C435" s="1" t="s">
        <v>2354</v>
      </c>
      <c r="D435" s="2">
        <v>8.125588554E9</v>
      </c>
      <c r="E435" s="1" t="s">
        <v>790</v>
      </c>
      <c r="F435" s="1"/>
      <c r="G435" s="1" t="s">
        <v>2355</v>
      </c>
      <c r="H435" s="1" t="s">
        <v>2242</v>
      </c>
      <c r="I435" s="1">
        <v>47401.0</v>
      </c>
      <c r="J435" s="1" t="s">
        <v>752</v>
      </c>
      <c r="K435" s="1" t="s">
        <v>51</v>
      </c>
      <c r="L435" s="1" t="s">
        <v>1925</v>
      </c>
      <c r="M435" s="1">
        <v>1.0</v>
      </c>
      <c r="N435" s="1" t="s">
        <v>52</v>
      </c>
      <c r="O435" s="3" t="s">
        <v>2356</v>
      </c>
      <c r="P435" s="18">
        <v>45883.0</v>
      </c>
      <c r="Q435" s="1" t="s">
        <v>1030</v>
      </c>
      <c r="R435" s="1"/>
      <c r="S435" s="1" t="s">
        <v>52</v>
      </c>
      <c r="T435" s="1" t="s">
        <v>52</v>
      </c>
      <c r="U435" s="1" t="s">
        <v>1021</v>
      </c>
      <c r="V435" s="4" t="s">
        <v>2356</v>
      </c>
      <c r="W435" s="1"/>
      <c r="X435" s="18">
        <v>45883.0</v>
      </c>
      <c r="Y435" s="1" t="s">
        <v>1030</v>
      </c>
      <c r="Z435" s="1"/>
      <c r="AA435" s="1"/>
      <c r="AB435" s="1" t="s">
        <v>52</v>
      </c>
      <c r="AC435" s="1" t="s">
        <v>1925</v>
      </c>
      <c r="AD435" s="1"/>
      <c r="AE435" s="18"/>
      <c r="AF435" s="1"/>
      <c r="AG435" s="1"/>
      <c r="AH435" s="1" t="s">
        <v>1152</v>
      </c>
      <c r="AI435" s="18"/>
      <c r="AJ435" s="18"/>
      <c r="AK435" s="18"/>
      <c r="AL435" s="6" t="str">
        <f t="array" ref="AL435">IFERROR(IFS(XLOOKUP(B435, 'Kit Delivery Status'!$U:$U, 'Kit Delivery Status'!$K:$K) = "Complete", "DELIVERED", XLOOKUP(B435, 'Kit Delivery Status'!$U:$U, 'Kit Delivery Status'!$K:$K) = "Issue", "ISSUE"), "")</f>
        <v/>
      </c>
      <c r="AM435" s="6"/>
    </row>
    <row r="436">
      <c r="A436" s="5" t="s">
        <v>2357</v>
      </c>
      <c r="B436" s="1" t="s">
        <v>2358</v>
      </c>
      <c r="C436" s="1" t="s">
        <v>2359</v>
      </c>
      <c r="D436" s="2">
        <v>9.174391832E9</v>
      </c>
      <c r="E436" s="1" t="s">
        <v>2360</v>
      </c>
      <c r="F436" s="1"/>
      <c r="G436" s="1" t="s">
        <v>2361</v>
      </c>
      <c r="H436" s="1" t="s">
        <v>1053</v>
      </c>
      <c r="I436" s="1">
        <v>7028.0</v>
      </c>
      <c r="J436" s="1" t="s">
        <v>752</v>
      </c>
      <c r="K436" s="1" t="s">
        <v>51</v>
      </c>
      <c r="L436" s="1" t="s">
        <v>1925</v>
      </c>
      <c r="M436" s="1">
        <v>1.0</v>
      </c>
      <c r="N436" s="1" t="s">
        <v>52</v>
      </c>
      <c r="O436" s="3" t="s">
        <v>2362</v>
      </c>
      <c r="P436" s="18">
        <v>45883.0</v>
      </c>
      <c r="Q436" s="1" t="s">
        <v>1030</v>
      </c>
      <c r="R436" s="1"/>
      <c r="S436" s="1" t="s">
        <v>52</v>
      </c>
      <c r="T436" s="1" t="s">
        <v>52</v>
      </c>
      <c r="U436" s="1" t="s">
        <v>1441</v>
      </c>
      <c r="V436" s="4" t="s">
        <v>2362</v>
      </c>
      <c r="W436" s="1"/>
      <c r="X436" s="18">
        <v>45883.0</v>
      </c>
      <c r="Y436" s="1" t="s">
        <v>1030</v>
      </c>
      <c r="Z436" s="1"/>
      <c r="AA436" s="1"/>
      <c r="AB436" s="1" t="s">
        <v>52</v>
      </c>
      <c r="AC436" s="1" t="s">
        <v>1925</v>
      </c>
      <c r="AD436" s="1"/>
      <c r="AE436" s="18"/>
      <c r="AF436" s="1"/>
      <c r="AG436" s="1"/>
      <c r="AH436" s="1" t="s">
        <v>1152</v>
      </c>
      <c r="AI436" s="18"/>
      <c r="AJ436" s="18"/>
      <c r="AK436" s="18"/>
      <c r="AL436" s="6" t="str">
        <f t="array" ref="AL436">IFERROR(IFS(XLOOKUP(B436, 'Kit Delivery Status'!$U:$U, 'Kit Delivery Status'!$K:$K) = "Complete", "DELIVERED", XLOOKUP(B436, 'Kit Delivery Status'!$U:$U, 'Kit Delivery Status'!$K:$K) = "Issue", "ISSUE"), "")</f>
        <v/>
      </c>
      <c r="AM436" s="6"/>
    </row>
    <row r="437">
      <c r="A437" s="5" t="s">
        <v>2363</v>
      </c>
      <c r="B437" s="1" t="s">
        <v>2364</v>
      </c>
      <c r="C437" s="1" t="s">
        <v>2365</v>
      </c>
      <c r="D437" s="2">
        <v>4.107500522E9</v>
      </c>
      <c r="E437" s="1" t="s">
        <v>2366</v>
      </c>
      <c r="F437" s="1"/>
      <c r="G437" s="1" t="s">
        <v>2367</v>
      </c>
      <c r="H437" s="1" t="s">
        <v>1005</v>
      </c>
      <c r="I437" s="1">
        <v>21043.0</v>
      </c>
      <c r="J437" s="1" t="s">
        <v>752</v>
      </c>
      <c r="K437" s="1" t="s">
        <v>51</v>
      </c>
      <c r="L437" s="1" t="s">
        <v>1925</v>
      </c>
      <c r="M437" s="1">
        <v>1.0</v>
      </c>
      <c r="N437" s="1" t="s">
        <v>52</v>
      </c>
      <c r="O437" s="3" t="s">
        <v>2368</v>
      </c>
      <c r="P437" s="18">
        <v>45883.0</v>
      </c>
      <c r="Q437" s="1" t="s">
        <v>1030</v>
      </c>
      <c r="R437" s="1"/>
      <c r="S437" s="1" t="s">
        <v>52</v>
      </c>
      <c r="T437" s="1" t="s">
        <v>52</v>
      </c>
      <c r="U437" s="1" t="s">
        <v>1343</v>
      </c>
      <c r="V437" s="4" t="s">
        <v>2368</v>
      </c>
      <c r="W437" s="1"/>
      <c r="X437" s="18">
        <v>45883.0</v>
      </c>
      <c r="Y437" s="1" t="s">
        <v>1030</v>
      </c>
      <c r="Z437" s="1"/>
      <c r="AA437" s="1"/>
      <c r="AB437" s="1" t="s">
        <v>52</v>
      </c>
      <c r="AC437" s="1" t="s">
        <v>1925</v>
      </c>
      <c r="AD437" s="1"/>
      <c r="AE437" s="18"/>
      <c r="AF437" s="1"/>
      <c r="AG437" s="1"/>
      <c r="AH437" s="1" t="s">
        <v>1152</v>
      </c>
      <c r="AI437" s="18"/>
      <c r="AJ437" s="18"/>
      <c r="AK437" s="18"/>
      <c r="AL437" s="6" t="str">
        <f t="array" ref="AL437">IFERROR(IFS(XLOOKUP(B437, 'Kit Delivery Status'!$U:$U, 'Kit Delivery Status'!$K:$K) = "Complete", "DELIVERED", XLOOKUP(B437, 'Kit Delivery Status'!$U:$U, 'Kit Delivery Status'!$K:$K) = "Issue", "ISSUE"), "")</f>
        <v/>
      </c>
      <c r="AM437" s="6"/>
    </row>
    <row r="438">
      <c r="A438" s="5" t="s">
        <v>2369</v>
      </c>
      <c r="B438" s="1" t="s">
        <v>2370</v>
      </c>
      <c r="C438" s="1" t="s">
        <v>2371</v>
      </c>
      <c r="D438" s="2">
        <v>5.855009708E9</v>
      </c>
      <c r="E438" s="1" t="s">
        <v>2372</v>
      </c>
      <c r="F438" s="1"/>
      <c r="G438" s="1" t="s">
        <v>2373</v>
      </c>
      <c r="H438" s="1" t="s">
        <v>751</v>
      </c>
      <c r="I438" s="1">
        <v>14534.0</v>
      </c>
      <c r="J438" s="1" t="s">
        <v>752</v>
      </c>
      <c r="K438" s="1" t="s">
        <v>51</v>
      </c>
      <c r="L438" s="1" t="s">
        <v>1925</v>
      </c>
      <c r="M438" s="1">
        <v>1.0</v>
      </c>
      <c r="N438" s="1" t="s">
        <v>52</v>
      </c>
      <c r="O438" s="3" t="s">
        <v>2374</v>
      </c>
      <c r="P438" s="18">
        <v>45883.0</v>
      </c>
      <c r="Q438" s="1" t="s">
        <v>1030</v>
      </c>
      <c r="R438" s="1"/>
      <c r="S438" s="1" t="s">
        <v>52</v>
      </c>
      <c r="T438" s="1" t="s">
        <v>52</v>
      </c>
      <c r="U438" s="1" t="s">
        <v>1522</v>
      </c>
      <c r="V438" s="4" t="s">
        <v>2374</v>
      </c>
      <c r="W438" s="1"/>
      <c r="X438" s="18">
        <v>45883.0</v>
      </c>
      <c r="Y438" s="1" t="s">
        <v>1030</v>
      </c>
      <c r="Z438" s="1"/>
      <c r="AA438" s="1"/>
      <c r="AB438" s="1" t="s">
        <v>52</v>
      </c>
      <c r="AC438" s="1" t="s">
        <v>1925</v>
      </c>
      <c r="AD438" s="1"/>
      <c r="AE438" s="18"/>
      <c r="AF438" s="1"/>
      <c r="AG438" s="1"/>
      <c r="AH438" s="1" t="s">
        <v>1152</v>
      </c>
      <c r="AI438" s="18"/>
      <c r="AJ438" s="18"/>
      <c r="AK438" s="18"/>
      <c r="AL438" s="6" t="str">
        <f t="array" ref="AL438">IFERROR(IFS(XLOOKUP(B438, 'Kit Delivery Status'!$U:$U, 'Kit Delivery Status'!$K:$K) = "Complete", "DELIVERED", XLOOKUP(B438, 'Kit Delivery Status'!$U:$U, 'Kit Delivery Status'!$K:$K) = "Issue", "ISSUE"), "")</f>
        <v/>
      </c>
      <c r="AM438" s="6"/>
    </row>
    <row r="439">
      <c r="A439" s="5" t="s">
        <v>2375</v>
      </c>
      <c r="B439" s="1" t="s">
        <v>2376</v>
      </c>
      <c r="C439" s="1" t="s">
        <v>2377</v>
      </c>
      <c r="D439" s="2"/>
      <c r="E439" s="1" t="s">
        <v>2378</v>
      </c>
      <c r="F439" s="1"/>
      <c r="G439" s="1" t="s">
        <v>2379</v>
      </c>
      <c r="H439" s="1" t="s">
        <v>1155</v>
      </c>
      <c r="I439" s="1">
        <v>63301.0</v>
      </c>
      <c r="J439" s="1" t="s">
        <v>752</v>
      </c>
      <c r="K439" s="1" t="s">
        <v>95</v>
      </c>
      <c r="L439" s="1" t="s">
        <v>2212</v>
      </c>
      <c r="M439" s="1">
        <v>49.0</v>
      </c>
      <c r="N439" s="1" t="s">
        <v>52</v>
      </c>
      <c r="O439" s="3" t="s">
        <v>2380</v>
      </c>
      <c r="P439" s="18">
        <v>45883.0</v>
      </c>
      <c r="Q439" s="1" t="s">
        <v>1030</v>
      </c>
      <c r="R439" s="1"/>
      <c r="S439" s="1" t="s">
        <v>52</v>
      </c>
      <c r="T439" s="1" t="s">
        <v>52</v>
      </c>
      <c r="U439" s="1" t="s">
        <v>1249</v>
      </c>
      <c r="V439" s="4" t="s">
        <v>2380</v>
      </c>
      <c r="W439" s="1"/>
      <c r="X439" s="18">
        <v>45883.0</v>
      </c>
      <c r="Y439" s="1" t="s">
        <v>1030</v>
      </c>
      <c r="Z439" s="1"/>
      <c r="AA439" s="1"/>
      <c r="AB439" s="1" t="s">
        <v>52</v>
      </c>
      <c r="AC439" s="1" t="s">
        <v>2381</v>
      </c>
      <c r="AD439" s="1"/>
      <c r="AE439" s="18"/>
      <c r="AF439" s="1"/>
      <c r="AG439" s="1"/>
      <c r="AH439" s="1" t="s">
        <v>1152</v>
      </c>
      <c r="AI439" s="18"/>
      <c r="AJ439" s="18"/>
      <c r="AK439" s="18"/>
      <c r="AL439" s="6" t="str">
        <f t="array" ref="AL439">IFERROR(IFS(XLOOKUP(B439, 'Kit Delivery Status'!$U:$U, 'Kit Delivery Status'!$K:$K) = "Complete", "DELIVERED", XLOOKUP(B439, 'Kit Delivery Status'!$U:$U, 'Kit Delivery Status'!$K:$K) = "Issue", "ISSUE"), "")</f>
        <v/>
      </c>
      <c r="AM439" s="6"/>
    </row>
    <row r="440">
      <c r="A440" s="5" t="s">
        <v>2382</v>
      </c>
      <c r="B440" s="1" t="s">
        <v>2383</v>
      </c>
      <c r="C440" s="1"/>
      <c r="D440" s="2">
        <v>2.019602593E9</v>
      </c>
      <c r="E440" s="1" t="s">
        <v>2384</v>
      </c>
      <c r="F440" s="1"/>
      <c r="G440" s="1" t="s">
        <v>2385</v>
      </c>
      <c r="H440" s="1" t="s">
        <v>1053</v>
      </c>
      <c r="I440" s="1">
        <v>7624.0</v>
      </c>
      <c r="J440" s="1" t="s">
        <v>752</v>
      </c>
      <c r="K440" s="1" t="s">
        <v>51</v>
      </c>
      <c r="L440" s="1" t="s">
        <v>1925</v>
      </c>
      <c r="M440" s="1">
        <v>1.0</v>
      </c>
      <c r="N440" s="1" t="s">
        <v>52</v>
      </c>
      <c r="O440" s="3" t="s">
        <v>2386</v>
      </c>
      <c r="P440" s="18">
        <v>45882.0</v>
      </c>
      <c r="Q440" s="1" t="s">
        <v>1030</v>
      </c>
      <c r="R440" s="1"/>
      <c r="S440" s="1" t="s">
        <v>52</v>
      </c>
      <c r="T440" s="1" t="s">
        <v>52</v>
      </c>
      <c r="U440" s="1" t="s">
        <v>948</v>
      </c>
      <c r="V440" s="4" t="s">
        <v>2386</v>
      </c>
      <c r="W440" s="1"/>
      <c r="X440" s="18">
        <v>45882.0</v>
      </c>
      <c r="Y440" s="1" t="s">
        <v>1030</v>
      </c>
      <c r="Z440" s="1"/>
      <c r="AA440" s="1"/>
      <c r="AB440" s="1" t="s">
        <v>52</v>
      </c>
      <c r="AC440" s="1" t="s">
        <v>1925</v>
      </c>
      <c r="AD440" s="1"/>
      <c r="AE440" s="18"/>
      <c r="AF440" s="1"/>
      <c r="AG440" s="1"/>
      <c r="AH440" s="1" t="s">
        <v>1152</v>
      </c>
      <c r="AI440" s="18"/>
      <c r="AJ440" s="18"/>
      <c r="AK440" s="18"/>
      <c r="AL440" s="6" t="str">
        <f t="array" ref="AL440">IFERROR(IFS(XLOOKUP(B440, 'Kit Delivery Status'!$U:$U, 'Kit Delivery Status'!$K:$K) = "Complete", "DELIVERED", XLOOKUP(B440, 'Kit Delivery Status'!$U:$U, 'Kit Delivery Status'!$K:$K) = "Issue", "ISSUE"), "")</f>
        <v/>
      </c>
      <c r="AM440" s="6"/>
    </row>
    <row r="441">
      <c r="A441" s="5" t="s">
        <v>2387</v>
      </c>
      <c r="B441" s="1" t="s">
        <v>2388</v>
      </c>
      <c r="C441" s="1" t="s">
        <v>2389</v>
      </c>
      <c r="D441" s="2">
        <v>6.305612081E9</v>
      </c>
      <c r="E441" s="1" t="s">
        <v>2390</v>
      </c>
      <c r="F441" s="1"/>
      <c r="G441" s="1" t="s">
        <v>2391</v>
      </c>
      <c r="H441" s="1" t="s">
        <v>1019</v>
      </c>
      <c r="I441" s="1">
        <v>60521.0</v>
      </c>
      <c r="J441" s="1" t="s">
        <v>752</v>
      </c>
      <c r="K441" s="1" t="s">
        <v>51</v>
      </c>
      <c r="L441" s="1" t="s">
        <v>1925</v>
      </c>
      <c r="M441" s="1">
        <v>1.0</v>
      </c>
      <c r="N441" s="1" t="s">
        <v>52</v>
      </c>
      <c r="O441" s="3" t="s">
        <v>2392</v>
      </c>
      <c r="P441" s="18">
        <v>45883.0</v>
      </c>
      <c r="Q441" s="1" t="s">
        <v>1030</v>
      </c>
      <c r="R441" s="1"/>
      <c r="S441" s="1" t="s">
        <v>52</v>
      </c>
      <c r="T441" s="1" t="s">
        <v>52</v>
      </c>
      <c r="U441" s="1" t="s">
        <v>1021</v>
      </c>
      <c r="V441" s="4" t="s">
        <v>2392</v>
      </c>
      <c r="W441" s="1"/>
      <c r="X441" s="18">
        <v>45883.0</v>
      </c>
      <c r="Y441" s="1" t="s">
        <v>1030</v>
      </c>
      <c r="Z441" s="1"/>
      <c r="AA441" s="1"/>
      <c r="AB441" s="1" t="s">
        <v>52</v>
      </c>
      <c r="AC441" s="1" t="s">
        <v>1925</v>
      </c>
      <c r="AD441" s="1"/>
      <c r="AE441" s="18"/>
      <c r="AF441" s="1"/>
      <c r="AG441" s="1"/>
      <c r="AH441" s="1" t="s">
        <v>1152</v>
      </c>
      <c r="AI441" s="18"/>
      <c r="AJ441" s="18"/>
      <c r="AK441" s="18"/>
      <c r="AL441" s="6" t="str">
        <f t="array" ref="AL441">IFERROR(IFS(XLOOKUP(B441, 'Kit Delivery Status'!$U:$U, 'Kit Delivery Status'!$K:$K) = "Complete", "DELIVERED", XLOOKUP(B441, 'Kit Delivery Status'!$U:$U, 'Kit Delivery Status'!$K:$K) = "Issue", "ISSUE"), "")</f>
        <v/>
      </c>
      <c r="AM441" s="6"/>
    </row>
    <row r="442">
      <c r="A442" s="5" t="s">
        <v>2393</v>
      </c>
      <c r="B442" s="1" t="s">
        <v>2394</v>
      </c>
      <c r="C442" s="1" t="s">
        <v>2395</v>
      </c>
      <c r="D442" s="2">
        <v>7.144828812E9</v>
      </c>
      <c r="E442" s="1" t="s">
        <v>2396</v>
      </c>
      <c r="F442" s="1"/>
      <c r="G442" s="1" t="s">
        <v>2397</v>
      </c>
      <c r="H442" s="1" t="s">
        <v>989</v>
      </c>
      <c r="I442" s="1">
        <v>92821.0</v>
      </c>
      <c r="J442" s="1" t="s">
        <v>752</v>
      </c>
      <c r="K442" s="1" t="s">
        <v>51</v>
      </c>
      <c r="L442" s="1" t="s">
        <v>1925</v>
      </c>
      <c r="M442" s="1">
        <v>1.0</v>
      </c>
      <c r="N442" s="1" t="s">
        <v>52</v>
      </c>
      <c r="O442" s="3" t="s">
        <v>742</v>
      </c>
      <c r="P442" s="18">
        <v>45883.0</v>
      </c>
      <c r="Q442" s="1" t="s">
        <v>1030</v>
      </c>
      <c r="R442" s="1"/>
      <c r="S442" s="1" t="s">
        <v>52</v>
      </c>
      <c r="T442" s="1" t="s">
        <v>52</v>
      </c>
      <c r="U442" s="1" t="s">
        <v>1407</v>
      </c>
      <c r="V442" s="4" t="s">
        <v>742</v>
      </c>
      <c r="W442" s="1"/>
      <c r="X442" s="18">
        <v>45883.0</v>
      </c>
      <c r="Y442" s="1" t="s">
        <v>1030</v>
      </c>
      <c r="Z442" s="1"/>
      <c r="AA442" s="1"/>
      <c r="AB442" s="1" t="s">
        <v>52</v>
      </c>
      <c r="AC442" s="1" t="s">
        <v>1925</v>
      </c>
      <c r="AD442" s="1"/>
      <c r="AE442" s="18"/>
      <c r="AF442" s="1"/>
      <c r="AG442" s="1"/>
      <c r="AH442" s="1" t="s">
        <v>1152</v>
      </c>
      <c r="AI442" s="18"/>
      <c r="AJ442" s="18"/>
      <c r="AK442" s="18"/>
      <c r="AL442" s="6" t="str">
        <f t="array" ref="AL442">IFERROR(IFS(XLOOKUP(B442, 'Kit Delivery Status'!$U:$U, 'Kit Delivery Status'!$K:$K) = "Complete", "DELIVERED", XLOOKUP(B442, 'Kit Delivery Status'!$U:$U, 'Kit Delivery Status'!$K:$K) = "Issue", "ISSUE"), "")</f>
        <v/>
      </c>
      <c r="AM442" s="6"/>
    </row>
    <row r="443">
      <c r="A443" s="5" t="s">
        <v>2398</v>
      </c>
      <c r="B443" s="1" t="s">
        <v>2399</v>
      </c>
      <c r="C443" s="1" t="s">
        <v>2400</v>
      </c>
      <c r="D443" s="2">
        <v>9.178428585E9</v>
      </c>
      <c r="E443" s="1" t="s">
        <v>2401</v>
      </c>
      <c r="F443" s="1"/>
      <c r="G443" s="1" t="s">
        <v>751</v>
      </c>
      <c r="H443" s="1" t="s">
        <v>751</v>
      </c>
      <c r="I443" s="1">
        <v>10025.0</v>
      </c>
      <c r="J443" s="1" t="s">
        <v>752</v>
      </c>
      <c r="K443" s="1" t="s">
        <v>51</v>
      </c>
      <c r="L443" s="1" t="s">
        <v>1925</v>
      </c>
      <c r="M443" s="1">
        <v>1.0</v>
      </c>
      <c r="N443" s="1" t="s">
        <v>52</v>
      </c>
      <c r="O443" s="3" t="s">
        <v>2402</v>
      </c>
      <c r="P443" s="18">
        <v>45883.0</v>
      </c>
      <c r="Q443" s="1" t="s">
        <v>1030</v>
      </c>
      <c r="R443" s="1"/>
      <c r="S443" s="1" t="s">
        <v>52</v>
      </c>
      <c r="T443" s="1" t="s">
        <v>52</v>
      </c>
      <c r="U443" s="1" t="s">
        <v>1456</v>
      </c>
      <c r="V443" s="4" t="s">
        <v>2402</v>
      </c>
      <c r="W443" s="1"/>
      <c r="X443" s="18">
        <v>45883.0</v>
      </c>
      <c r="Y443" s="1" t="s">
        <v>1030</v>
      </c>
      <c r="Z443" s="1"/>
      <c r="AA443" s="1"/>
      <c r="AB443" s="1" t="s">
        <v>52</v>
      </c>
      <c r="AC443" s="1" t="s">
        <v>1925</v>
      </c>
      <c r="AD443" s="1"/>
      <c r="AE443" s="18"/>
      <c r="AF443" s="1"/>
      <c r="AG443" s="1"/>
      <c r="AH443" s="1" t="s">
        <v>1152</v>
      </c>
      <c r="AI443" s="18"/>
      <c r="AJ443" s="18"/>
      <c r="AK443" s="18"/>
      <c r="AL443" s="6" t="str">
        <f t="array" ref="AL443">IFERROR(IFS(XLOOKUP(B443, 'Kit Delivery Status'!$U:$U, 'Kit Delivery Status'!$K:$K) = "Complete", "DELIVERED", XLOOKUP(B443, 'Kit Delivery Status'!$U:$U, 'Kit Delivery Status'!$K:$K) = "Issue", "ISSUE"), "")</f>
        <v/>
      </c>
      <c r="AM443" s="6"/>
    </row>
    <row r="444">
      <c r="A444" s="5" t="s">
        <v>2403</v>
      </c>
      <c r="B444" s="1" t="s">
        <v>2404</v>
      </c>
      <c r="C444" s="1" t="s">
        <v>2405</v>
      </c>
      <c r="D444" s="2">
        <v>1.7194680886E10</v>
      </c>
      <c r="E444" s="1" t="s">
        <v>2406</v>
      </c>
      <c r="F444" s="1"/>
      <c r="G444" s="1" t="s">
        <v>2407</v>
      </c>
      <c r="H444" s="1" t="s">
        <v>1891</v>
      </c>
      <c r="I444" s="1">
        <v>81077.0</v>
      </c>
      <c r="J444" s="1" t="s">
        <v>752</v>
      </c>
      <c r="K444" s="1" t="s">
        <v>95</v>
      </c>
      <c r="L444" s="1" t="s">
        <v>2212</v>
      </c>
      <c r="M444" s="1">
        <v>49.0</v>
      </c>
      <c r="N444" s="1" t="s">
        <v>52</v>
      </c>
      <c r="O444" s="3" t="s">
        <v>2408</v>
      </c>
      <c r="P444" s="18">
        <v>45883.0</v>
      </c>
      <c r="Q444" s="1" t="s">
        <v>1030</v>
      </c>
      <c r="R444" s="1"/>
      <c r="S444" s="1" t="s">
        <v>52</v>
      </c>
      <c r="T444" s="1" t="s">
        <v>52</v>
      </c>
      <c r="U444" s="1" t="s">
        <v>1039</v>
      </c>
      <c r="V444" s="4" t="s">
        <v>2408</v>
      </c>
      <c r="W444" s="1"/>
      <c r="X444" s="18">
        <v>45883.0</v>
      </c>
      <c r="Y444" s="1" t="s">
        <v>1030</v>
      </c>
      <c r="Z444" s="1"/>
      <c r="AA444" s="1"/>
      <c r="AB444" s="1" t="s">
        <v>52</v>
      </c>
      <c r="AC444" s="1" t="s">
        <v>2409</v>
      </c>
      <c r="AD444" s="1"/>
      <c r="AE444" s="18"/>
      <c r="AF444" s="1"/>
      <c r="AG444" s="1"/>
      <c r="AH444" s="1" t="s">
        <v>1152</v>
      </c>
      <c r="AI444" s="18"/>
      <c r="AJ444" s="18"/>
      <c r="AK444" s="18"/>
      <c r="AL444" s="6" t="str">
        <f t="array" ref="AL444">IFERROR(IFS(XLOOKUP(B444, 'Kit Delivery Status'!$U:$U, 'Kit Delivery Status'!$K:$K) = "Complete", "DELIVERED", XLOOKUP(B444, 'Kit Delivery Status'!$U:$U, 'Kit Delivery Status'!$K:$K) = "Issue", "ISSUE"), "")</f>
        <v/>
      </c>
      <c r="AM444" s="6"/>
    </row>
    <row r="445">
      <c r="A445" s="5" t="s">
        <v>2410</v>
      </c>
      <c r="B445" s="1" t="s">
        <v>2411</v>
      </c>
      <c r="C445" s="1" t="s">
        <v>2400</v>
      </c>
      <c r="D445" s="2">
        <v>9.178428585E9</v>
      </c>
      <c r="E445" s="1" t="s">
        <v>2401</v>
      </c>
      <c r="F445" s="1"/>
      <c r="G445" s="1" t="s">
        <v>751</v>
      </c>
      <c r="H445" s="1" t="s">
        <v>751</v>
      </c>
      <c r="I445" s="1">
        <v>10025.0</v>
      </c>
      <c r="J445" s="1" t="s">
        <v>752</v>
      </c>
      <c r="K445" s="1" t="s">
        <v>66</v>
      </c>
      <c r="L445" s="1" t="s">
        <v>2234</v>
      </c>
      <c r="M445" s="1">
        <v>115.0</v>
      </c>
      <c r="N445" s="1"/>
      <c r="O445" s="3" t="s">
        <v>2412</v>
      </c>
      <c r="P445" s="18">
        <v>45883.0</v>
      </c>
      <c r="Q445" s="1"/>
      <c r="R445" s="1"/>
      <c r="S445" s="1"/>
      <c r="T445" s="1"/>
      <c r="U445" s="1" t="s">
        <v>1456</v>
      </c>
      <c r="V445" s="4" t="s">
        <v>2412</v>
      </c>
      <c r="W445" s="1"/>
      <c r="X445" s="18">
        <v>45883.0</v>
      </c>
      <c r="Y445" s="1"/>
      <c r="Z445" s="1"/>
      <c r="AA445" s="1"/>
      <c r="AB445" s="1"/>
      <c r="AC445" s="1" t="s">
        <v>1925</v>
      </c>
      <c r="AD445" s="1"/>
      <c r="AE445" s="18"/>
      <c r="AF445" s="1"/>
      <c r="AG445" s="1"/>
      <c r="AH445" s="1" t="s">
        <v>1152</v>
      </c>
      <c r="AI445" s="18"/>
      <c r="AJ445" s="18"/>
      <c r="AK445" s="18"/>
      <c r="AL445" s="6" t="str">
        <f t="array" ref="AL445">IFERROR(IFS(XLOOKUP(B445, 'Kit Delivery Status'!$U:$U, 'Kit Delivery Status'!$K:$K) = "Complete", "DELIVERED", XLOOKUP(B445, 'Kit Delivery Status'!$U:$U, 'Kit Delivery Status'!$K:$K) = "Issue", "ISSUE"), "")</f>
        <v/>
      </c>
      <c r="AM445" s="6"/>
    </row>
    <row r="446">
      <c r="A446" s="5" t="s">
        <v>2413</v>
      </c>
      <c r="B446" s="1" t="s">
        <v>2414</v>
      </c>
      <c r="C446" s="1" t="s">
        <v>2415</v>
      </c>
      <c r="D446" s="2">
        <v>6.462400383E9</v>
      </c>
      <c r="E446" s="1" t="s">
        <v>2416</v>
      </c>
      <c r="F446" s="1"/>
      <c r="G446" s="1" t="s">
        <v>2417</v>
      </c>
      <c r="H446" s="1" t="s">
        <v>989</v>
      </c>
      <c r="I446" s="1">
        <v>92130.0</v>
      </c>
      <c r="J446" s="1" t="s">
        <v>752</v>
      </c>
      <c r="K446" s="1" t="s">
        <v>51</v>
      </c>
      <c r="L446" s="1" t="s">
        <v>1925</v>
      </c>
      <c r="M446" s="1">
        <v>1.0</v>
      </c>
      <c r="N446" s="1" t="s">
        <v>52</v>
      </c>
      <c r="O446" s="3" t="s">
        <v>2418</v>
      </c>
      <c r="P446" s="18">
        <v>45883.0</v>
      </c>
      <c r="Q446" s="1" t="s">
        <v>1030</v>
      </c>
      <c r="R446" s="1"/>
      <c r="S446" s="1" t="s">
        <v>52</v>
      </c>
      <c r="T446" s="1" t="s">
        <v>52</v>
      </c>
      <c r="U446" s="1" t="s">
        <v>1642</v>
      </c>
      <c r="V446" s="4" t="s">
        <v>2418</v>
      </c>
      <c r="W446" s="1"/>
      <c r="X446" s="18">
        <v>45883.0</v>
      </c>
      <c r="Y446" s="1" t="s">
        <v>1030</v>
      </c>
      <c r="Z446" s="1"/>
      <c r="AA446" s="1"/>
      <c r="AB446" s="1" t="s">
        <v>52</v>
      </c>
      <c r="AC446" s="1" t="s">
        <v>1925</v>
      </c>
      <c r="AD446" s="1"/>
      <c r="AE446" s="18"/>
      <c r="AF446" s="1"/>
      <c r="AG446" s="1"/>
      <c r="AH446" s="1" t="s">
        <v>1152</v>
      </c>
      <c r="AI446" s="18"/>
      <c r="AJ446" s="18"/>
      <c r="AK446" s="18"/>
      <c r="AL446" s="6" t="str">
        <f t="array" ref="AL446">IFERROR(IFS(XLOOKUP(B446, 'Kit Delivery Status'!$U:$U, 'Kit Delivery Status'!$K:$K) = "Complete", "DELIVERED", XLOOKUP(B446, 'Kit Delivery Status'!$U:$U, 'Kit Delivery Status'!$K:$K) = "Issue", "ISSUE"), "")</f>
        <v/>
      </c>
      <c r="AM446" s="6"/>
    </row>
    <row r="447">
      <c r="A447" s="5" t="s">
        <v>2419</v>
      </c>
      <c r="B447" s="1" t="s">
        <v>2420</v>
      </c>
      <c r="C447" s="1"/>
      <c r="D447" s="2">
        <v>2.408558605E9</v>
      </c>
      <c r="E447" s="1" t="s">
        <v>2421</v>
      </c>
      <c r="F447" s="1"/>
      <c r="G447" s="1" t="s">
        <v>2422</v>
      </c>
      <c r="H447" s="1" t="s">
        <v>1005</v>
      </c>
      <c r="I447" s="1">
        <v>21044.0</v>
      </c>
      <c r="J447" s="1" t="s">
        <v>752</v>
      </c>
      <c r="K447" s="1" t="s">
        <v>66</v>
      </c>
      <c r="L447" s="1" t="s">
        <v>2227</v>
      </c>
      <c r="M447" s="1">
        <v>145.0</v>
      </c>
      <c r="N447" s="1"/>
      <c r="O447" s="3" t="s">
        <v>2423</v>
      </c>
      <c r="P447" s="18">
        <v>45890.0</v>
      </c>
      <c r="Q447" s="1"/>
      <c r="R447" s="1"/>
      <c r="S447" s="1"/>
      <c r="T447" s="1"/>
      <c r="U447" s="1" t="s">
        <v>1441</v>
      </c>
      <c r="V447" s="4" t="s">
        <v>2423</v>
      </c>
      <c r="W447" s="1"/>
      <c r="X447" s="18">
        <v>45890.0</v>
      </c>
      <c r="Y447" s="1"/>
      <c r="Z447" s="1"/>
      <c r="AA447" s="1"/>
      <c r="AB447" s="1"/>
      <c r="AC447" s="1" t="s">
        <v>1925</v>
      </c>
      <c r="AD447" s="1"/>
      <c r="AE447" s="18"/>
      <c r="AF447" s="1"/>
      <c r="AG447" s="1"/>
      <c r="AH447" s="1" t="s">
        <v>1152</v>
      </c>
      <c r="AI447" s="18"/>
      <c r="AJ447" s="18"/>
      <c r="AK447" s="18"/>
      <c r="AL447" s="6" t="str">
        <f t="array" ref="AL447">IFERROR(IFS(XLOOKUP(B447, 'Kit Delivery Status'!$U:$U, 'Kit Delivery Status'!$K:$K) = "Complete", "DELIVERED", XLOOKUP(B447, 'Kit Delivery Status'!$U:$U, 'Kit Delivery Status'!$K:$K) = "Issue", "ISSUE"), "")</f>
        <v/>
      </c>
      <c r="AM447" s="6"/>
    </row>
    <row r="448">
      <c r="A448" s="5" t="s">
        <v>2424</v>
      </c>
      <c r="B448" s="1" t="s">
        <v>2425</v>
      </c>
      <c r="C448" s="1" t="s">
        <v>2426</v>
      </c>
      <c r="D448" s="2">
        <v>16462542710</v>
      </c>
      <c r="E448" s="1" t="s">
        <v>2427</v>
      </c>
      <c r="F448" s="1"/>
      <c r="G448" s="1" t="s">
        <v>2428</v>
      </c>
      <c r="H448" s="1" t="s">
        <v>751</v>
      </c>
      <c r="I448" s="1">
        <v>10475.0</v>
      </c>
      <c r="J448" s="1" t="s">
        <v>752</v>
      </c>
      <c r="K448" s="1" t="s">
        <v>51</v>
      </c>
      <c r="L448" s="1" t="s">
        <v>1925</v>
      </c>
      <c r="M448" s="1">
        <v>1.0</v>
      </c>
      <c r="N448" s="1" t="s">
        <v>52</v>
      </c>
      <c r="O448" s="3" t="s">
        <v>2429</v>
      </c>
      <c r="P448" s="18">
        <v>45883.0</v>
      </c>
      <c r="Q448" s="1" t="s">
        <v>1030</v>
      </c>
      <c r="R448" s="1"/>
      <c r="S448" s="1" t="s">
        <v>52</v>
      </c>
      <c r="T448" s="1" t="s">
        <v>52</v>
      </c>
      <c r="U448" s="1" t="s">
        <v>2430</v>
      </c>
      <c r="V448" s="4" t="s">
        <v>2429</v>
      </c>
      <c r="W448" s="1"/>
      <c r="X448" s="18">
        <v>45883.0</v>
      </c>
      <c r="Y448" s="1" t="s">
        <v>1030</v>
      </c>
      <c r="Z448" s="1"/>
      <c r="AA448" s="1"/>
      <c r="AB448" s="1" t="s">
        <v>52</v>
      </c>
      <c r="AC448" s="1" t="s">
        <v>1925</v>
      </c>
      <c r="AD448" s="1"/>
      <c r="AE448" s="18"/>
      <c r="AF448" s="1"/>
      <c r="AG448" s="1"/>
      <c r="AH448" s="1" t="s">
        <v>1152</v>
      </c>
      <c r="AI448" s="18"/>
      <c r="AJ448" s="18"/>
      <c r="AK448" s="18"/>
      <c r="AL448" s="6" t="str">
        <f t="array" ref="AL448">IFERROR(IFS(XLOOKUP(B448, 'Kit Delivery Status'!$U:$U, 'Kit Delivery Status'!$K:$K) = "Complete", "DELIVERED", XLOOKUP(B448, 'Kit Delivery Status'!$U:$U, 'Kit Delivery Status'!$K:$K) = "Issue", "ISSUE"), "")</f>
        <v/>
      </c>
      <c r="AM448" s="6"/>
    </row>
    <row r="449">
      <c r="A449" s="5" t="s">
        <v>2431</v>
      </c>
      <c r="B449" s="1" t="s">
        <v>2432</v>
      </c>
      <c r="C449" s="1" t="s">
        <v>2433</v>
      </c>
      <c r="D449" s="2">
        <v>9.179712001E9</v>
      </c>
      <c r="E449" s="1" t="s">
        <v>2434</v>
      </c>
      <c r="F449" s="1"/>
      <c r="G449" s="1" t="s">
        <v>2435</v>
      </c>
      <c r="H449" s="1" t="s">
        <v>751</v>
      </c>
      <c r="I449" s="1">
        <v>10514.0</v>
      </c>
      <c r="J449" s="1" t="s">
        <v>752</v>
      </c>
      <c r="K449" s="1" t="s">
        <v>51</v>
      </c>
      <c r="L449" s="1" t="s">
        <v>1925</v>
      </c>
      <c r="M449" s="1">
        <v>1.0</v>
      </c>
      <c r="N449" s="1" t="s">
        <v>52</v>
      </c>
      <c r="O449" s="3" t="s">
        <v>2436</v>
      </c>
      <c r="P449" s="18">
        <v>45891.0</v>
      </c>
      <c r="Q449" s="1" t="s">
        <v>1030</v>
      </c>
      <c r="R449" s="1"/>
      <c r="S449" s="1" t="s">
        <v>52</v>
      </c>
      <c r="T449" s="1" t="s">
        <v>52</v>
      </c>
      <c r="U449" s="1" t="s">
        <v>2437</v>
      </c>
      <c r="V449" s="4" t="s">
        <v>2436</v>
      </c>
      <c r="W449" s="1"/>
      <c r="X449" s="18">
        <v>45891.0</v>
      </c>
      <c r="Y449" s="1" t="s">
        <v>1030</v>
      </c>
      <c r="Z449" s="1"/>
      <c r="AA449" s="1"/>
      <c r="AB449" s="1" t="s">
        <v>52</v>
      </c>
      <c r="AC449" s="1" t="s">
        <v>1925</v>
      </c>
      <c r="AD449" s="1"/>
      <c r="AE449" s="18"/>
      <c r="AF449" s="1"/>
      <c r="AG449" s="1"/>
      <c r="AH449" s="1" t="s">
        <v>1152</v>
      </c>
      <c r="AI449" s="18"/>
      <c r="AJ449" s="18"/>
      <c r="AK449" s="18"/>
      <c r="AL449" s="6" t="str">
        <f t="array" ref="AL449">IFERROR(IFS(XLOOKUP(B449, 'Kit Delivery Status'!$U:$U, 'Kit Delivery Status'!$K:$K) = "Complete", "DELIVERED", XLOOKUP(B449, 'Kit Delivery Status'!$U:$U, 'Kit Delivery Status'!$K:$K) = "Issue", "ISSUE"), "")</f>
        <v/>
      </c>
      <c r="AM449" s="6"/>
    </row>
    <row r="450">
      <c r="A450" s="5" t="s">
        <v>2438</v>
      </c>
      <c r="B450" s="1" t="s">
        <v>2439</v>
      </c>
      <c r="C450" s="1" t="s">
        <v>2440</v>
      </c>
      <c r="D450" s="2">
        <v>9.176892557E9</v>
      </c>
      <c r="E450" s="1" t="s">
        <v>2441</v>
      </c>
      <c r="F450" s="1"/>
      <c r="G450" s="1" t="s">
        <v>1382</v>
      </c>
      <c r="H450" s="1" t="s">
        <v>751</v>
      </c>
      <c r="I450" s="1">
        <v>10583.0</v>
      </c>
      <c r="J450" s="1" t="s">
        <v>752</v>
      </c>
      <c r="K450" s="1" t="s">
        <v>66</v>
      </c>
      <c r="L450" s="1" t="s">
        <v>2243</v>
      </c>
      <c r="M450" s="1">
        <v>210.0</v>
      </c>
      <c r="N450" s="1"/>
      <c r="O450" s="3" t="s">
        <v>2442</v>
      </c>
      <c r="P450" s="18">
        <v>45883.0</v>
      </c>
      <c r="Q450" s="1"/>
      <c r="R450" s="1"/>
      <c r="S450" s="1"/>
      <c r="T450" s="1"/>
      <c r="U450" s="1" t="s">
        <v>1148</v>
      </c>
      <c r="V450" s="4" t="s">
        <v>2442</v>
      </c>
      <c r="W450" s="1"/>
      <c r="X450" s="18">
        <v>45883.0</v>
      </c>
      <c r="Y450" s="1"/>
      <c r="Z450" s="1"/>
      <c r="AA450" s="1"/>
      <c r="AB450" s="1"/>
      <c r="AC450" s="1" t="s">
        <v>1925</v>
      </c>
      <c r="AD450" s="1"/>
      <c r="AE450" s="18"/>
      <c r="AF450" s="1"/>
      <c r="AG450" s="1"/>
      <c r="AH450" s="1" t="s">
        <v>1152</v>
      </c>
      <c r="AI450" s="18"/>
      <c r="AJ450" s="18"/>
      <c r="AK450" s="18"/>
      <c r="AL450" s="6" t="str">
        <f t="array" ref="AL450">IFERROR(IFS(XLOOKUP(B450, 'Kit Delivery Status'!$U:$U, 'Kit Delivery Status'!$K:$K) = "Complete", "DELIVERED", XLOOKUP(B450, 'Kit Delivery Status'!$U:$U, 'Kit Delivery Status'!$K:$K) = "Issue", "ISSUE"), "")</f>
        <v/>
      </c>
      <c r="AM450" s="6"/>
    </row>
    <row r="451">
      <c r="A451" s="5" t="s">
        <v>2443</v>
      </c>
      <c r="B451" s="1" t="s">
        <v>2444</v>
      </c>
      <c r="C451" s="1" t="s">
        <v>2445</v>
      </c>
      <c r="D451" s="2">
        <v>9.499108556E9</v>
      </c>
      <c r="E451" s="1" t="s">
        <v>2446</v>
      </c>
      <c r="F451" s="1"/>
      <c r="G451" s="1" t="s">
        <v>2447</v>
      </c>
      <c r="H451" s="1" t="s">
        <v>989</v>
      </c>
      <c r="I451" s="1">
        <v>92656.0</v>
      </c>
      <c r="J451" s="1" t="s">
        <v>752</v>
      </c>
      <c r="K451" s="1" t="s">
        <v>51</v>
      </c>
      <c r="L451" s="1" t="s">
        <v>1925</v>
      </c>
      <c r="M451" s="1">
        <v>1.0</v>
      </c>
      <c r="N451" s="1" t="s">
        <v>52</v>
      </c>
      <c r="O451" s="3" t="s">
        <v>147</v>
      </c>
      <c r="P451" s="18">
        <v>45883.0</v>
      </c>
      <c r="Q451" s="1" t="s">
        <v>1030</v>
      </c>
      <c r="R451" s="1"/>
      <c r="S451" s="1" t="s">
        <v>52</v>
      </c>
      <c r="T451" s="1" t="s">
        <v>52</v>
      </c>
      <c r="U451" s="1" t="s">
        <v>948</v>
      </c>
      <c r="V451" s="4" t="s">
        <v>147</v>
      </c>
      <c r="W451" s="1"/>
      <c r="X451" s="18">
        <v>45883.0</v>
      </c>
      <c r="Y451" s="1" t="s">
        <v>1030</v>
      </c>
      <c r="Z451" s="1"/>
      <c r="AA451" s="1"/>
      <c r="AB451" s="1" t="s">
        <v>52</v>
      </c>
      <c r="AC451" s="1" t="s">
        <v>1925</v>
      </c>
      <c r="AD451" s="1"/>
      <c r="AE451" s="18"/>
      <c r="AF451" s="1"/>
      <c r="AG451" s="1"/>
      <c r="AH451" s="1" t="s">
        <v>1152</v>
      </c>
      <c r="AI451" s="18"/>
      <c r="AJ451" s="18"/>
      <c r="AK451" s="18"/>
      <c r="AL451" s="6" t="str">
        <f t="array" ref="AL451">IFERROR(IFS(XLOOKUP(B451, 'Kit Delivery Status'!$U:$U, 'Kit Delivery Status'!$K:$K) = "Complete", "DELIVERED", XLOOKUP(B451, 'Kit Delivery Status'!$U:$U, 'Kit Delivery Status'!$K:$K) = "Issue", "ISSUE"), "")</f>
        <v/>
      </c>
      <c r="AM451" s="6"/>
    </row>
    <row r="452">
      <c r="A452" s="5" t="s">
        <v>2448</v>
      </c>
      <c r="B452" s="1" t="s">
        <v>2449</v>
      </c>
      <c r="C452" s="1" t="s">
        <v>2450</v>
      </c>
      <c r="D452" s="2">
        <v>8.138177991E9</v>
      </c>
      <c r="E452" s="1" t="s">
        <v>2451</v>
      </c>
      <c r="F452" s="1"/>
      <c r="G452" s="1" t="s">
        <v>2452</v>
      </c>
      <c r="H452" s="1" t="s">
        <v>1208</v>
      </c>
      <c r="I452" s="1">
        <v>33626.0</v>
      </c>
      <c r="J452" s="1" t="s">
        <v>752</v>
      </c>
      <c r="K452" s="1" t="s">
        <v>95</v>
      </c>
      <c r="L452" s="1" t="s">
        <v>2212</v>
      </c>
      <c r="M452" s="1">
        <v>49.0</v>
      </c>
      <c r="N452" s="1" t="s">
        <v>52</v>
      </c>
      <c r="O452" s="3" t="s">
        <v>2453</v>
      </c>
      <c r="P452" s="18">
        <v>45883.0</v>
      </c>
      <c r="Q452" s="1" t="s">
        <v>1030</v>
      </c>
      <c r="R452" s="1"/>
      <c r="S452" s="1" t="s">
        <v>52</v>
      </c>
      <c r="T452" s="1" t="s">
        <v>52</v>
      </c>
      <c r="U452" s="1" t="s">
        <v>1277</v>
      </c>
      <c r="V452" s="4" t="s">
        <v>2453</v>
      </c>
      <c r="W452" s="1"/>
      <c r="X452" s="18">
        <v>45883.0</v>
      </c>
      <c r="Y452" s="1" t="s">
        <v>1030</v>
      </c>
      <c r="Z452" s="1"/>
      <c r="AA452" s="1"/>
      <c r="AB452" s="1" t="s">
        <v>52</v>
      </c>
      <c r="AC452" s="1" t="s">
        <v>2454</v>
      </c>
      <c r="AD452" s="1"/>
      <c r="AE452" s="18"/>
      <c r="AF452" s="1"/>
      <c r="AG452" s="1"/>
      <c r="AH452" s="1" t="s">
        <v>1152</v>
      </c>
      <c r="AI452" s="18"/>
      <c r="AJ452" s="18"/>
      <c r="AK452" s="18"/>
      <c r="AL452" s="6" t="str">
        <f t="array" ref="AL452">IFERROR(IFS(XLOOKUP(B452, 'Kit Delivery Status'!$U:$U, 'Kit Delivery Status'!$K:$K) = "Complete", "DELIVERED", XLOOKUP(B452, 'Kit Delivery Status'!$U:$U, 'Kit Delivery Status'!$K:$K) = "Issue", "ISSUE"), "")</f>
        <v/>
      </c>
      <c r="AM452" s="6"/>
    </row>
    <row r="453">
      <c r="A453" s="5" t="s">
        <v>2455</v>
      </c>
      <c r="B453" s="1" t="s">
        <v>2456</v>
      </c>
      <c r="C453" s="1" t="s">
        <v>2457</v>
      </c>
      <c r="D453" s="2">
        <v>9.142239682E9</v>
      </c>
      <c r="E453" s="1" t="s">
        <v>2458</v>
      </c>
      <c r="F453" s="1"/>
      <c r="G453" s="1" t="s">
        <v>2459</v>
      </c>
      <c r="H453" s="1" t="s">
        <v>1121</v>
      </c>
      <c r="I453" s="1">
        <v>2186.0</v>
      </c>
      <c r="J453" s="1" t="s">
        <v>752</v>
      </c>
      <c r="K453" s="1" t="s">
        <v>51</v>
      </c>
      <c r="L453" s="1" t="s">
        <v>2460</v>
      </c>
      <c r="M453" s="1">
        <v>1.0</v>
      </c>
      <c r="N453" s="1" t="s">
        <v>2461</v>
      </c>
      <c r="O453" s="3" t="s">
        <v>2462</v>
      </c>
      <c r="P453" s="18">
        <v>45883.0</v>
      </c>
      <c r="Q453" s="1" t="s">
        <v>2463</v>
      </c>
      <c r="R453" s="1"/>
      <c r="S453" s="1" t="s">
        <v>2461</v>
      </c>
      <c r="T453" s="1" t="s">
        <v>2461</v>
      </c>
      <c r="U453" s="1" t="s">
        <v>1794</v>
      </c>
      <c r="V453" s="4" t="s">
        <v>2462</v>
      </c>
      <c r="W453" s="1"/>
      <c r="X453" s="18">
        <v>45883.0</v>
      </c>
      <c r="Y453" s="1" t="s">
        <v>1030</v>
      </c>
      <c r="Z453" s="1"/>
      <c r="AA453" s="1"/>
      <c r="AB453" s="1" t="s">
        <v>52</v>
      </c>
      <c r="AC453" s="1" t="s">
        <v>1925</v>
      </c>
      <c r="AD453" s="1"/>
      <c r="AE453" s="18"/>
      <c r="AF453" s="1"/>
      <c r="AG453" s="1"/>
      <c r="AH453" s="1" t="s">
        <v>1152</v>
      </c>
      <c r="AI453" s="18"/>
      <c r="AJ453" s="18"/>
      <c r="AK453" s="18"/>
      <c r="AL453" s="6" t="str">
        <f t="array" ref="AL453">IFERROR(IFS(XLOOKUP(B453, 'Kit Delivery Status'!$U:$U, 'Kit Delivery Status'!$K:$K) = "Complete", "DELIVERED", XLOOKUP(B453, 'Kit Delivery Status'!$U:$U, 'Kit Delivery Status'!$K:$K) = "Issue", "ISSUE"), "")</f>
        <v/>
      </c>
      <c r="AM453" s="6"/>
    </row>
    <row r="454">
      <c r="A454" s="5" t="s">
        <v>2455</v>
      </c>
      <c r="B454" s="1" t="s">
        <v>2456</v>
      </c>
      <c r="C454" s="1" t="s">
        <v>2457</v>
      </c>
      <c r="D454" s="2">
        <v>9.142239682E9</v>
      </c>
      <c r="E454" s="1" t="s">
        <v>2458</v>
      </c>
      <c r="F454" s="1"/>
      <c r="G454" s="1" t="s">
        <v>2459</v>
      </c>
      <c r="H454" s="1" t="s">
        <v>1121</v>
      </c>
      <c r="I454" s="1">
        <v>2186.0</v>
      </c>
      <c r="J454" s="1" t="s">
        <v>752</v>
      </c>
      <c r="K454" s="1" t="s">
        <v>66</v>
      </c>
      <c r="L454" s="1" t="s">
        <v>2464</v>
      </c>
      <c r="M454" s="1">
        <v>65.0</v>
      </c>
      <c r="N454" s="1" t="s">
        <v>1152</v>
      </c>
      <c r="O454" s="3" t="s">
        <v>2462</v>
      </c>
      <c r="P454" s="18">
        <v>45883.0</v>
      </c>
      <c r="Q454" s="1" t="s">
        <v>1152</v>
      </c>
      <c r="R454" s="1"/>
      <c r="S454" s="1" t="s">
        <v>1152</v>
      </c>
      <c r="T454" s="1" t="s">
        <v>1152</v>
      </c>
      <c r="U454" s="1" t="s">
        <v>1794</v>
      </c>
      <c r="V454" s="4" t="s">
        <v>2462</v>
      </c>
      <c r="W454" s="1"/>
      <c r="X454" s="18">
        <v>45883.0</v>
      </c>
      <c r="Y454" s="1"/>
      <c r="Z454" s="1"/>
      <c r="AA454" s="1"/>
      <c r="AB454" s="1"/>
      <c r="AC454" s="1" t="s">
        <v>1925</v>
      </c>
      <c r="AD454" s="1"/>
      <c r="AE454" s="18"/>
      <c r="AF454" s="1"/>
      <c r="AG454" s="1"/>
      <c r="AH454" s="1" t="s">
        <v>1152</v>
      </c>
      <c r="AI454" s="18"/>
      <c r="AJ454" s="18"/>
      <c r="AK454" s="18"/>
      <c r="AL454" s="6" t="str">
        <f t="array" ref="AL454">IFERROR(IFS(XLOOKUP(B454, 'Kit Delivery Status'!$U:$U, 'Kit Delivery Status'!$K:$K) = "Complete", "DELIVERED", XLOOKUP(B454, 'Kit Delivery Status'!$U:$U, 'Kit Delivery Status'!$K:$K) = "Issue", "ISSUE"), "")</f>
        <v/>
      </c>
      <c r="AM454" s="6"/>
    </row>
    <row r="455">
      <c r="A455" s="5" t="s">
        <v>2465</v>
      </c>
      <c r="B455" s="1" t="s">
        <v>2466</v>
      </c>
      <c r="C455" s="1" t="s">
        <v>2467</v>
      </c>
      <c r="D455" s="2">
        <v>4.405914477E9</v>
      </c>
      <c r="E455" s="1" t="s">
        <v>2468</v>
      </c>
      <c r="F455" s="1"/>
      <c r="G455" s="1" t="s">
        <v>2469</v>
      </c>
      <c r="H455" s="1" t="s">
        <v>2171</v>
      </c>
      <c r="I455" s="1">
        <v>44087.0</v>
      </c>
      <c r="J455" s="1" t="s">
        <v>752</v>
      </c>
      <c r="K455" s="1" t="s">
        <v>66</v>
      </c>
      <c r="L455" s="1" t="s">
        <v>2470</v>
      </c>
      <c r="M455" s="1">
        <v>210.0</v>
      </c>
      <c r="N455" s="1" t="s">
        <v>1152</v>
      </c>
      <c r="O455" s="3" t="s">
        <v>2471</v>
      </c>
      <c r="P455" s="18">
        <v>45883.0</v>
      </c>
      <c r="Q455" s="1" t="s">
        <v>1152</v>
      </c>
      <c r="R455" s="1"/>
      <c r="S455" s="1" t="s">
        <v>1152</v>
      </c>
      <c r="T455" s="1" t="s">
        <v>1152</v>
      </c>
      <c r="U455" s="1" t="s">
        <v>1080</v>
      </c>
      <c r="V455" s="4" t="s">
        <v>2471</v>
      </c>
      <c r="W455" s="1"/>
      <c r="X455" s="18">
        <v>45883.0</v>
      </c>
      <c r="Y455" s="1"/>
      <c r="Z455" s="1"/>
      <c r="AA455" s="1"/>
      <c r="AB455" s="1"/>
      <c r="AC455" s="1" t="s">
        <v>1925</v>
      </c>
      <c r="AD455" s="1"/>
      <c r="AE455" s="18"/>
      <c r="AF455" s="1"/>
      <c r="AG455" s="1"/>
      <c r="AH455" s="1" t="s">
        <v>1152</v>
      </c>
      <c r="AI455" s="18"/>
      <c r="AJ455" s="18"/>
      <c r="AK455" s="18"/>
      <c r="AL455" s="6" t="str">
        <f t="array" ref="AL455">IFERROR(IFS(XLOOKUP(B455, 'Kit Delivery Status'!$U:$U, 'Kit Delivery Status'!$K:$K) = "Complete", "DELIVERED", XLOOKUP(B455, 'Kit Delivery Status'!$U:$U, 'Kit Delivery Status'!$K:$K) = "Issue", "ISSUE"), "")</f>
        <v/>
      </c>
      <c r="AM455" s="6"/>
    </row>
    <row r="456">
      <c r="A456" s="5" t="s">
        <v>2472</v>
      </c>
      <c r="B456" s="1" t="s">
        <v>2473</v>
      </c>
      <c r="C456" s="1" t="s">
        <v>2474</v>
      </c>
      <c r="D456" s="2">
        <v>6.466259442E9</v>
      </c>
      <c r="E456" s="1" t="s">
        <v>2475</v>
      </c>
      <c r="F456" s="1"/>
      <c r="G456" s="1" t="s">
        <v>751</v>
      </c>
      <c r="H456" s="1" t="s">
        <v>751</v>
      </c>
      <c r="I456" s="1">
        <v>10022.0</v>
      </c>
      <c r="J456" s="1" t="s">
        <v>752</v>
      </c>
      <c r="K456" s="1" t="s">
        <v>66</v>
      </c>
      <c r="L456" s="1" t="s">
        <v>2470</v>
      </c>
      <c r="M456" s="1">
        <v>210.0</v>
      </c>
      <c r="N456" s="1" t="s">
        <v>1152</v>
      </c>
      <c r="O456" s="3" t="s">
        <v>2476</v>
      </c>
      <c r="P456" s="18">
        <v>45883.0</v>
      </c>
      <c r="Q456" s="1" t="s">
        <v>1152</v>
      </c>
      <c r="R456" s="1"/>
      <c r="S456" s="1" t="s">
        <v>1152</v>
      </c>
      <c r="T456" s="1" t="s">
        <v>1152</v>
      </c>
      <c r="U456" s="1" t="s">
        <v>1277</v>
      </c>
      <c r="V456" s="4" t="s">
        <v>2476</v>
      </c>
      <c r="W456" s="1"/>
      <c r="X456" s="18">
        <v>45883.0</v>
      </c>
      <c r="Y456" s="1"/>
      <c r="Z456" s="1"/>
      <c r="AA456" s="1"/>
      <c r="AB456" s="1"/>
      <c r="AC456" s="1" t="s">
        <v>1925</v>
      </c>
      <c r="AD456" s="1"/>
      <c r="AE456" s="18"/>
      <c r="AF456" s="1"/>
      <c r="AG456" s="1"/>
      <c r="AH456" s="1" t="s">
        <v>1152</v>
      </c>
      <c r="AI456" s="18"/>
      <c r="AJ456" s="18"/>
      <c r="AK456" s="18"/>
      <c r="AL456" s="6" t="str">
        <f t="array" ref="AL456">IFERROR(IFS(XLOOKUP(B456, 'Kit Delivery Status'!$U:$U, 'Kit Delivery Status'!$K:$K) = "Complete", "DELIVERED", XLOOKUP(B456, 'Kit Delivery Status'!$U:$U, 'Kit Delivery Status'!$K:$K) = "Issue", "ISSUE"), "")</f>
        <v/>
      </c>
      <c r="AM456" s="6"/>
    </row>
    <row r="457">
      <c r="A457" s="5" t="s">
        <v>2472</v>
      </c>
      <c r="B457" s="1" t="s">
        <v>2473</v>
      </c>
      <c r="C457" s="1" t="s">
        <v>2474</v>
      </c>
      <c r="D457" s="2">
        <v>6.466259442E9</v>
      </c>
      <c r="E457" s="1" t="s">
        <v>2475</v>
      </c>
      <c r="F457" s="1"/>
      <c r="G457" s="1" t="s">
        <v>751</v>
      </c>
      <c r="H457" s="1" t="s">
        <v>751</v>
      </c>
      <c r="I457" s="1">
        <v>10022.0</v>
      </c>
      <c r="J457" s="1" t="s">
        <v>752</v>
      </c>
      <c r="K457" s="1" t="s">
        <v>75</v>
      </c>
      <c r="L457" s="1" t="s">
        <v>2477</v>
      </c>
      <c r="M457" s="1">
        <v>49.0</v>
      </c>
      <c r="N457" s="1" t="s">
        <v>2461</v>
      </c>
      <c r="O457" s="3" t="s">
        <v>2478</v>
      </c>
      <c r="P457" s="18">
        <v>45883.0</v>
      </c>
      <c r="Q457" s="1" t="s">
        <v>1152</v>
      </c>
      <c r="R457" s="1"/>
      <c r="S457" s="1" t="s">
        <v>2461</v>
      </c>
      <c r="T457" s="1" t="s">
        <v>2461</v>
      </c>
      <c r="U457" s="1" t="s">
        <v>102</v>
      </c>
      <c r="V457" s="4" t="s">
        <v>2478</v>
      </c>
      <c r="W457" s="1"/>
      <c r="X457" s="18">
        <v>45883.0</v>
      </c>
      <c r="Y457" s="1"/>
      <c r="Z457" s="1"/>
      <c r="AA457" s="1"/>
      <c r="AB457" s="1" t="s">
        <v>52</v>
      </c>
      <c r="AC457" s="1" t="s">
        <v>1925</v>
      </c>
      <c r="AD457" s="1" t="s">
        <v>2479</v>
      </c>
      <c r="AE457" s="18"/>
      <c r="AF457" s="1"/>
      <c r="AG457" s="1"/>
      <c r="AH457" s="1" t="s">
        <v>1152</v>
      </c>
      <c r="AI457" s="18"/>
      <c r="AJ457" s="18"/>
      <c r="AK457" s="18"/>
      <c r="AL457" s="6" t="str">
        <f t="array" ref="AL457">IFERROR(IFS(XLOOKUP(B457, 'Kit Delivery Status'!$U:$U, 'Kit Delivery Status'!$K:$K) = "Complete", "DELIVERED", XLOOKUP(B457, 'Kit Delivery Status'!$U:$U, 'Kit Delivery Status'!$K:$K) = "Issue", "ISSUE"), "")</f>
        <v/>
      </c>
      <c r="AM457" s="6"/>
    </row>
    <row r="458">
      <c r="A458" s="5" t="s">
        <v>2480</v>
      </c>
      <c r="B458" s="1" t="s">
        <v>2481</v>
      </c>
      <c r="C458" s="1" t="s">
        <v>2482</v>
      </c>
      <c r="D458" s="2">
        <v>8.084892869E9</v>
      </c>
      <c r="E458" s="1" t="s">
        <v>2483</v>
      </c>
      <c r="F458" s="1" t="s">
        <v>2484</v>
      </c>
      <c r="G458" s="1" t="s">
        <v>2485</v>
      </c>
      <c r="H458" s="1" t="s">
        <v>2486</v>
      </c>
      <c r="I458" s="1">
        <v>96821.0</v>
      </c>
      <c r="J458" s="1" t="s">
        <v>752</v>
      </c>
      <c r="K458" s="1" t="s">
        <v>51</v>
      </c>
      <c r="L458" s="1" t="s">
        <v>2460</v>
      </c>
      <c r="M458" s="1">
        <v>1.0</v>
      </c>
      <c r="N458" s="1" t="s">
        <v>2487</v>
      </c>
      <c r="O458" s="3"/>
      <c r="P458" s="18">
        <v>45890.0</v>
      </c>
      <c r="Q458" s="1" t="s">
        <v>2463</v>
      </c>
      <c r="R458" s="1" t="s">
        <v>2484</v>
      </c>
      <c r="S458" s="1" t="s">
        <v>2487</v>
      </c>
      <c r="T458" s="1" t="s">
        <v>2487</v>
      </c>
      <c r="U458" s="1"/>
      <c r="V458" s="4"/>
      <c r="W458" s="1" t="s">
        <v>2484</v>
      </c>
      <c r="X458" s="18">
        <v>45890.0</v>
      </c>
      <c r="Y458" s="1" t="s">
        <v>1030</v>
      </c>
      <c r="Z458" s="1"/>
      <c r="AA458" s="1" t="s">
        <v>2484</v>
      </c>
      <c r="AB458" s="1" t="s">
        <v>124</v>
      </c>
      <c r="AC458" s="1" t="s">
        <v>1925</v>
      </c>
      <c r="AD458" s="1"/>
      <c r="AE458" s="18"/>
      <c r="AF458" s="1"/>
      <c r="AG458" s="1"/>
      <c r="AH458" s="1" t="s">
        <v>1152</v>
      </c>
      <c r="AI458" s="18"/>
      <c r="AJ458" s="18"/>
      <c r="AK458" s="18"/>
      <c r="AL458" s="6" t="str">
        <f t="array" ref="AL458">IFERROR(IFS(XLOOKUP(B458, 'Kit Delivery Status'!$U:$U, 'Kit Delivery Status'!$K:$K) = "Complete", "DELIVERED", XLOOKUP(B458, 'Kit Delivery Status'!$U:$U, 'Kit Delivery Status'!$K:$K) = "Issue", "ISSUE"), "")</f>
        <v/>
      </c>
      <c r="AM458" s="6"/>
    </row>
    <row r="459">
      <c r="A459" s="5" t="s">
        <v>2488</v>
      </c>
      <c r="B459" s="1" t="s">
        <v>2489</v>
      </c>
      <c r="C459" s="1" t="s">
        <v>2490</v>
      </c>
      <c r="D459" s="2">
        <v>3.104872592E9</v>
      </c>
      <c r="E459" s="1" t="s">
        <v>2491</v>
      </c>
      <c r="F459" s="1"/>
      <c r="G459" s="1" t="s">
        <v>1179</v>
      </c>
      <c r="H459" s="1" t="s">
        <v>989</v>
      </c>
      <c r="I459" s="1">
        <v>90049.0</v>
      </c>
      <c r="J459" s="1" t="s">
        <v>752</v>
      </c>
      <c r="K459" s="1" t="s">
        <v>51</v>
      </c>
      <c r="L459" s="1" t="s">
        <v>2460</v>
      </c>
      <c r="M459" s="1">
        <v>1.0</v>
      </c>
      <c r="N459" s="1" t="s">
        <v>2461</v>
      </c>
      <c r="O459" s="3" t="s">
        <v>2492</v>
      </c>
      <c r="P459" s="18">
        <v>45883.0</v>
      </c>
      <c r="Q459" s="1" t="s">
        <v>2463</v>
      </c>
      <c r="R459" s="1"/>
      <c r="S459" s="1" t="s">
        <v>2461</v>
      </c>
      <c r="T459" s="1" t="s">
        <v>2461</v>
      </c>
      <c r="U459" s="1" t="s">
        <v>1407</v>
      </c>
      <c r="V459" s="4" t="s">
        <v>2492</v>
      </c>
      <c r="W459" s="1"/>
      <c r="X459" s="18">
        <v>45883.0</v>
      </c>
      <c r="Y459" s="1" t="s">
        <v>1030</v>
      </c>
      <c r="Z459" s="1"/>
      <c r="AA459" s="1"/>
      <c r="AB459" s="1" t="s">
        <v>52</v>
      </c>
      <c r="AC459" s="1" t="s">
        <v>1925</v>
      </c>
      <c r="AD459" s="1"/>
      <c r="AE459" s="18"/>
      <c r="AF459" s="1"/>
      <c r="AG459" s="1"/>
      <c r="AH459" s="1" t="s">
        <v>1152</v>
      </c>
      <c r="AI459" s="18"/>
      <c r="AJ459" s="18"/>
      <c r="AK459" s="18"/>
      <c r="AL459" s="6" t="str">
        <f t="array" ref="AL459">IFERROR(IFS(XLOOKUP(B459, 'Kit Delivery Status'!$U:$U, 'Kit Delivery Status'!$K:$K) = "Complete", "DELIVERED", XLOOKUP(B459, 'Kit Delivery Status'!$U:$U, 'Kit Delivery Status'!$K:$K) = "Issue", "ISSUE"), "")</f>
        <v/>
      </c>
      <c r="AM459" s="6"/>
    </row>
    <row r="460">
      <c r="A460" s="5" t="s">
        <v>2493</v>
      </c>
      <c r="B460" s="1" t="s">
        <v>2494</v>
      </c>
      <c r="C460" s="1" t="s">
        <v>2490</v>
      </c>
      <c r="D460" s="2">
        <v>3.104872592E9</v>
      </c>
      <c r="E460" s="1" t="s">
        <v>2491</v>
      </c>
      <c r="F460" s="1"/>
      <c r="G460" s="1" t="s">
        <v>1179</v>
      </c>
      <c r="H460" s="1" t="s">
        <v>989</v>
      </c>
      <c r="I460" s="1">
        <v>90049.0</v>
      </c>
      <c r="J460" s="1" t="s">
        <v>752</v>
      </c>
      <c r="K460" s="1" t="s">
        <v>66</v>
      </c>
      <c r="L460" s="1" t="s">
        <v>2495</v>
      </c>
      <c r="M460" s="1">
        <v>145.0</v>
      </c>
      <c r="N460" s="1" t="s">
        <v>1152</v>
      </c>
      <c r="O460" s="3" t="s">
        <v>2492</v>
      </c>
      <c r="P460" s="18">
        <v>45883.0</v>
      </c>
      <c r="Q460" s="1" t="s">
        <v>1152</v>
      </c>
      <c r="R460" s="1"/>
      <c r="S460" s="1" t="s">
        <v>1152</v>
      </c>
      <c r="T460" s="1" t="s">
        <v>1152</v>
      </c>
      <c r="U460" s="1" t="s">
        <v>1407</v>
      </c>
      <c r="V460" s="4" t="s">
        <v>2492</v>
      </c>
      <c r="W460" s="1"/>
      <c r="X460" s="18">
        <v>45883.0</v>
      </c>
      <c r="Y460" s="1"/>
      <c r="Z460" s="1"/>
      <c r="AA460" s="1"/>
      <c r="AB460" s="1"/>
      <c r="AC460" s="1" t="s">
        <v>1925</v>
      </c>
      <c r="AD460" s="1"/>
      <c r="AE460" s="18"/>
      <c r="AF460" s="1"/>
      <c r="AG460" s="1"/>
      <c r="AH460" s="1" t="s">
        <v>1152</v>
      </c>
      <c r="AI460" s="18"/>
      <c r="AJ460" s="18"/>
      <c r="AK460" s="18"/>
      <c r="AL460" s="6" t="str">
        <f t="array" ref="AL460">IFERROR(IFS(XLOOKUP(B460, 'Kit Delivery Status'!$U:$U, 'Kit Delivery Status'!$K:$K) = "Complete", "DELIVERED", XLOOKUP(B460, 'Kit Delivery Status'!$U:$U, 'Kit Delivery Status'!$K:$K) = "Issue", "ISSUE"), "")</f>
        <v/>
      </c>
      <c r="AM460" s="6"/>
    </row>
    <row r="461">
      <c r="A461" s="5" t="s">
        <v>2496</v>
      </c>
      <c r="B461" s="1" t="s">
        <v>2497</v>
      </c>
      <c r="C461" s="1" t="s">
        <v>2498</v>
      </c>
      <c r="D461" s="2">
        <v>8.173664556E9</v>
      </c>
      <c r="E461" s="1" t="s">
        <v>2499</v>
      </c>
      <c r="F461" s="1" t="s">
        <v>2500</v>
      </c>
      <c r="G461" s="1" t="s">
        <v>2501</v>
      </c>
      <c r="H461" s="1" t="s">
        <v>989</v>
      </c>
      <c r="I461" s="1">
        <v>91361.0</v>
      </c>
      <c r="J461" s="1" t="s">
        <v>752</v>
      </c>
      <c r="K461" s="1" t="s">
        <v>51</v>
      </c>
      <c r="L461" s="1" t="s">
        <v>2460</v>
      </c>
      <c r="M461" s="1">
        <v>1.0</v>
      </c>
      <c r="N461" s="1" t="s">
        <v>2487</v>
      </c>
      <c r="O461" s="3"/>
      <c r="P461" s="18">
        <v>45891.0</v>
      </c>
      <c r="Q461" s="1" t="s">
        <v>2502</v>
      </c>
      <c r="R461" s="1" t="s">
        <v>2503</v>
      </c>
      <c r="S461" s="1" t="s">
        <v>2487</v>
      </c>
      <c r="T461" s="1" t="s">
        <v>2487</v>
      </c>
      <c r="U461" s="1"/>
      <c r="V461" s="4"/>
      <c r="W461" s="1" t="s">
        <v>2503</v>
      </c>
      <c r="X461" s="18">
        <v>45891.0</v>
      </c>
      <c r="Y461" s="1" t="s">
        <v>1630</v>
      </c>
      <c r="Z461" s="1"/>
      <c r="AA461" s="1" t="s">
        <v>2503</v>
      </c>
      <c r="AB461" s="1" t="s">
        <v>124</v>
      </c>
      <c r="AC461" s="1" t="s">
        <v>1925</v>
      </c>
      <c r="AD461" s="1"/>
      <c r="AE461" s="18"/>
      <c r="AF461" s="1"/>
      <c r="AG461" s="1"/>
      <c r="AH461" s="1" t="s">
        <v>1152</v>
      </c>
      <c r="AI461" s="18"/>
      <c r="AJ461" s="18"/>
      <c r="AK461" s="18"/>
      <c r="AL461" s="6" t="str">
        <f t="array" ref="AL461">IFERROR(IFS(XLOOKUP(B461, 'Kit Delivery Status'!$U:$U, 'Kit Delivery Status'!$K:$K) = "Complete", "DELIVERED", XLOOKUP(B461, 'Kit Delivery Status'!$U:$U, 'Kit Delivery Status'!$K:$K) = "Issue", "ISSUE"), "")</f>
        <v/>
      </c>
      <c r="AM461" s="6"/>
    </row>
    <row r="462">
      <c r="A462" s="5" t="s">
        <v>2504</v>
      </c>
      <c r="B462" s="1" t="s">
        <v>2505</v>
      </c>
      <c r="C462" s="1" t="s">
        <v>2506</v>
      </c>
      <c r="D462" s="2">
        <v>4.693533725E9</v>
      </c>
      <c r="E462" s="1" t="s">
        <v>2507</v>
      </c>
      <c r="F462" s="1"/>
      <c r="G462" s="1" t="s">
        <v>2508</v>
      </c>
      <c r="H462" s="1" t="s">
        <v>1583</v>
      </c>
      <c r="I462" s="1">
        <v>75093.0</v>
      </c>
      <c r="J462" s="1" t="s">
        <v>752</v>
      </c>
      <c r="K462" s="1" t="s">
        <v>51</v>
      </c>
      <c r="L462" s="1" t="s">
        <v>2460</v>
      </c>
      <c r="M462" s="1">
        <v>1.0</v>
      </c>
      <c r="N462" s="1" t="s">
        <v>2461</v>
      </c>
      <c r="O462" s="3" t="s">
        <v>2509</v>
      </c>
      <c r="P462" s="18">
        <v>45883.0</v>
      </c>
      <c r="Q462" s="1" t="s">
        <v>2463</v>
      </c>
      <c r="R462" s="1"/>
      <c r="S462" s="1" t="s">
        <v>2461</v>
      </c>
      <c r="T462" s="1" t="s">
        <v>2461</v>
      </c>
      <c r="U462" s="1" t="s">
        <v>2510</v>
      </c>
      <c r="V462" s="4" t="s">
        <v>2509</v>
      </c>
      <c r="W462" s="1"/>
      <c r="X462" s="18">
        <v>45883.0</v>
      </c>
      <c r="Y462" s="1" t="s">
        <v>1030</v>
      </c>
      <c r="Z462" s="1"/>
      <c r="AA462" s="1"/>
      <c r="AB462" s="1" t="s">
        <v>52</v>
      </c>
      <c r="AC462" s="1" t="s">
        <v>1925</v>
      </c>
      <c r="AD462" s="1"/>
      <c r="AE462" s="18"/>
      <c r="AF462" s="1"/>
      <c r="AG462" s="1"/>
      <c r="AH462" s="1" t="s">
        <v>1152</v>
      </c>
      <c r="AI462" s="18"/>
      <c r="AJ462" s="18"/>
      <c r="AK462" s="18"/>
      <c r="AL462" s="6" t="str">
        <f t="array" ref="AL462">IFERROR(IFS(XLOOKUP(B462, 'Kit Delivery Status'!$U:$U, 'Kit Delivery Status'!$K:$K) = "Complete", "DELIVERED", XLOOKUP(B462, 'Kit Delivery Status'!$U:$U, 'Kit Delivery Status'!$K:$K) = "Issue", "ISSUE"), "")</f>
        <v/>
      </c>
      <c r="AM462" s="6"/>
    </row>
    <row r="463">
      <c r="A463" s="5" t="s">
        <v>2511</v>
      </c>
      <c r="B463" s="1" t="s">
        <v>2512</v>
      </c>
      <c r="C463" s="1" t="s">
        <v>2513</v>
      </c>
      <c r="D463" s="2">
        <v>9.493789409E9</v>
      </c>
      <c r="E463" s="1" t="s">
        <v>2514</v>
      </c>
      <c r="F463" s="1"/>
      <c r="G463" s="1" t="s">
        <v>1215</v>
      </c>
      <c r="H463" s="1" t="s">
        <v>989</v>
      </c>
      <c r="I463" s="1">
        <v>92660.0</v>
      </c>
      <c r="J463" s="1" t="s">
        <v>752</v>
      </c>
      <c r="K463" s="1" t="s">
        <v>66</v>
      </c>
      <c r="L463" s="1" t="s">
        <v>2470</v>
      </c>
      <c r="M463" s="1">
        <v>210.0</v>
      </c>
      <c r="N463" s="1" t="s">
        <v>1152</v>
      </c>
      <c r="O463" s="3" t="s">
        <v>2515</v>
      </c>
      <c r="P463" s="18">
        <v>45883.0</v>
      </c>
      <c r="Q463" s="1" t="s">
        <v>1152</v>
      </c>
      <c r="R463" s="1"/>
      <c r="S463" s="1" t="s">
        <v>1152</v>
      </c>
      <c r="T463" s="1" t="s">
        <v>1152</v>
      </c>
      <c r="U463" s="1" t="s">
        <v>1080</v>
      </c>
      <c r="V463" s="4" t="s">
        <v>2515</v>
      </c>
      <c r="W463" s="1"/>
      <c r="X463" s="18">
        <v>45883.0</v>
      </c>
      <c r="Y463" s="1"/>
      <c r="Z463" s="1"/>
      <c r="AA463" s="1"/>
      <c r="AB463" s="1"/>
      <c r="AC463" s="1" t="s">
        <v>1925</v>
      </c>
      <c r="AD463" s="1"/>
      <c r="AE463" s="18"/>
      <c r="AF463" s="1"/>
      <c r="AG463" s="1"/>
      <c r="AH463" s="1" t="s">
        <v>1152</v>
      </c>
      <c r="AI463" s="18"/>
      <c r="AJ463" s="18"/>
      <c r="AK463" s="18"/>
      <c r="AL463" s="6" t="str">
        <f t="array" ref="AL463">IFERROR(IFS(XLOOKUP(B463, 'Kit Delivery Status'!$U:$U, 'Kit Delivery Status'!$K:$K) = "Complete", "DELIVERED", XLOOKUP(B463, 'Kit Delivery Status'!$U:$U, 'Kit Delivery Status'!$K:$K) = "Issue", "ISSUE"), "")</f>
        <v/>
      </c>
      <c r="AM463" s="6"/>
    </row>
    <row r="464">
      <c r="A464" s="5" t="s">
        <v>2516</v>
      </c>
      <c r="B464" s="1" t="s">
        <v>2517</v>
      </c>
      <c r="C464" s="1" t="s">
        <v>2518</v>
      </c>
      <c r="D464" s="2">
        <v>8.087454804E9</v>
      </c>
      <c r="E464" s="1" t="s">
        <v>2519</v>
      </c>
      <c r="F464" s="1"/>
      <c r="G464" s="1" t="s">
        <v>2520</v>
      </c>
      <c r="H464" s="1" t="s">
        <v>2486</v>
      </c>
      <c r="I464" s="1">
        <v>96701.0</v>
      </c>
      <c r="J464" s="1" t="s">
        <v>752</v>
      </c>
      <c r="K464" s="1" t="s">
        <v>51</v>
      </c>
      <c r="L464" s="1" t="s">
        <v>2460</v>
      </c>
      <c r="M464" s="1">
        <v>1.0</v>
      </c>
      <c r="N464" s="1" t="s">
        <v>2461</v>
      </c>
      <c r="O464" s="3" t="s">
        <v>2521</v>
      </c>
      <c r="P464" s="18">
        <v>45883.0</v>
      </c>
      <c r="Q464" s="1" t="s">
        <v>2463</v>
      </c>
      <c r="R464" s="1"/>
      <c r="S464" s="1" t="s">
        <v>2461</v>
      </c>
      <c r="T464" s="1" t="s">
        <v>2461</v>
      </c>
      <c r="U464" s="1" t="s">
        <v>1441</v>
      </c>
      <c r="V464" s="4" t="s">
        <v>2521</v>
      </c>
      <c r="W464" s="1"/>
      <c r="X464" s="18">
        <v>45883.0</v>
      </c>
      <c r="Y464" s="1" t="s">
        <v>1030</v>
      </c>
      <c r="Z464" s="1"/>
      <c r="AA464" s="1"/>
      <c r="AB464" s="1" t="s">
        <v>52</v>
      </c>
      <c r="AC464" s="1" t="s">
        <v>1925</v>
      </c>
      <c r="AD464" s="1"/>
      <c r="AE464" s="18"/>
      <c r="AF464" s="1"/>
      <c r="AG464" s="1"/>
      <c r="AH464" s="1" t="s">
        <v>1152</v>
      </c>
      <c r="AI464" s="18"/>
      <c r="AJ464" s="18"/>
      <c r="AK464" s="18"/>
      <c r="AL464" s="6" t="str">
        <f t="array" ref="AL464">IFERROR(IFS(XLOOKUP(B464, 'Kit Delivery Status'!$U:$U, 'Kit Delivery Status'!$K:$K) = "Complete", "DELIVERED", XLOOKUP(B464, 'Kit Delivery Status'!$U:$U, 'Kit Delivery Status'!$K:$K) = "Issue", "ISSUE"), "")</f>
        <v/>
      </c>
      <c r="AM464" s="6"/>
    </row>
    <row r="465">
      <c r="A465" s="5" t="s">
        <v>2522</v>
      </c>
      <c r="B465" s="1" t="s">
        <v>2523</v>
      </c>
      <c r="C465" s="1" t="s">
        <v>2524</v>
      </c>
      <c r="D465" s="2"/>
      <c r="E465" s="1" t="s">
        <v>2525</v>
      </c>
      <c r="F465" s="1"/>
      <c r="G465" s="1" t="s">
        <v>2526</v>
      </c>
      <c r="H465" s="1" t="s">
        <v>1208</v>
      </c>
      <c r="I465" s="1">
        <v>32082.0</v>
      </c>
      <c r="J465" s="1" t="s">
        <v>752</v>
      </c>
      <c r="K465" s="1" t="s">
        <v>66</v>
      </c>
      <c r="L465" s="1" t="s">
        <v>2464</v>
      </c>
      <c r="M465" s="1">
        <v>65.0</v>
      </c>
      <c r="N465" s="1" t="s">
        <v>1152</v>
      </c>
      <c r="O465" s="3" t="s">
        <v>2527</v>
      </c>
      <c r="P465" s="18">
        <v>45877.0</v>
      </c>
      <c r="Q465" s="1" t="s">
        <v>1152</v>
      </c>
      <c r="R465" s="1"/>
      <c r="S465" s="1" t="s">
        <v>1152</v>
      </c>
      <c r="T465" s="1" t="s">
        <v>1152</v>
      </c>
      <c r="U465" s="1" t="s">
        <v>1441</v>
      </c>
      <c r="V465" s="4" t="s">
        <v>2527</v>
      </c>
      <c r="W465" s="1"/>
      <c r="X465" s="18">
        <v>45877.0</v>
      </c>
      <c r="Y465" s="1"/>
      <c r="Z465" s="1"/>
      <c r="AA465" s="1"/>
      <c r="AB465" s="1"/>
      <c r="AC465" s="1" t="s">
        <v>1925</v>
      </c>
      <c r="AD465" s="1"/>
      <c r="AE465" s="18"/>
      <c r="AF465" s="1"/>
      <c r="AG465" s="1"/>
      <c r="AH465" s="1" t="s">
        <v>1152</v>
      </c>
      <c r="AI465" s="18"/>
      <c r="AJ465" s="18"/>
      <c r="AK465" s="18"/>
      <c r="AL465" s="6" t="str">
        <f t="array" ref="AL465">IFERROR(IFS(XLOOKUP(B465, 'Kit Delivery Status'!$U:$U, 'Kit Delivery Status'!$K:$K) = "Complete", "DELIVERED", XLOOKUP(B465, 'Kit Delivery Status'!$U:$U, 'Kit Delivery Status'!$K:$K) = "Issue", "ISSUE"), "")</f>
        <v/>
      </c>
      <c r="AM465" s="6"/>
    </row>
    <row r="466">
      <c r="A466" s="5" t="s">
        <v>2528</v>
      </c>
      <c r="B466" s="1" t="s">
        <v>2529</v>
      </c>
      <c r="C466" s="1" t="s">
        <v>1588</v>
      </c>
      <c r="D466" s="2">
        <v>9.196229366E9</v>
      </c>
      <c r="E466" s="1" t="s">
        <v>2530</v>
      </c>
      <c r="F466" s="1"/>
      <c r="G466" s="1" t="s">
        <v>1590</v>
      </c>
      <c r="H466" s="1" t="s">
        <v>1438</v>
      </c>
      <c r="I466" s="1">
        <v>27591.0</v>
      </c>
      <c r="J466" s="1" t="s">
        <v>752</v>
      </c>
      <c r="K466" s="1" t="s">
        <v>66</v>
      </c>
      <c r="L466" s="1" t="s">
        <v>1355</v>
      </c>
      <c r="M466" s="1">
        <v>210.0</v>
      </c>
      <c r="N466" s="1" t="s">
        <v>1152</v>
      </c>
      <c r="O466" s="3" t="s">
        <v>1591</v>
      </c>
      <c r="P466" s="18">
        <v>45883.0</v>
      </c>
      <c r="Q466" s="1" t="s">
        <v>1152</v>
      </c>
      <c r="R466" s="1"/>
      <c r="S466" s="1" t="s">
        <v>1152</v>
      </c>
      <c r="T466" s="1" t="s">
        <v>1152</v>
      </c>
      <c r="U466" s="1" t="s">
        <v>956</v>
      </c>
      <c r="V466" s="4" t="s">
        <v>1591</v>
      </c>
      <c r="W466" s="1"/>
      <c r="X466" s="18">
        <v>45883.0</v>
      </c>
      <c r="Y466" s="1"/>
      <c r="Z466" s="1"/>
      <c r="AA466" s="1"/>
      <c r="AB466" s="1"/>
      <c r="AC466" s="1" t="s">
        <v>1925</v>
      </c>
      <c r="AD466" s="1"/>
      <c r="AE466" s="18"/>
      <c r="AF466" s="1"/>
      <c r="AG466" s="1"/>
      <c r="AH466" s="1" t="s">
        <v>1152</v>
      </c>
      <c r="AI466" s="18"/>
      <c r="AJ466" s="18"/>
      <c r="AK466" s="18"/>
      <c r="AL466" s="6" t="str">
        <f t="array" ref="AL466">IFERROR(IFS(XLOOKUP(B466, 'Kit Delivery Status'!$U:$U, 'Kit Delivery Status'!$K:$K) = "Complete", "DELIVERED", XLOOKUP(B466, 'Kit Delivery Status'!$U:$U, 'Kit Delivery Status'!$K:$K) = "Issue", "ISSUE"), "")</f>
        <v/>
      </c>
      <c r="AM466" s="6"/>
    </row>
    <row r="467">
      <c r="A467" s="5" t="s">
        <v>2531</v>
      </c>
      <c r="B467" s="1" t="s">
        <v>2532</v>
      </c>
      <c r="C467" s="1" t="s">
        <v>2533</v>
      </c>
      <c r="D467" s="2">
        <v>9.493512023E9</v>
      </c>
      <c r="E467" s="1" t="s">
        <v>2534</v>
      </c>
      <c r="F467" s="1"/>
      <c r="G467" s="1" t="s">
        <v>1215</v>
      </c>
      <c r="H467" s="1" t="s">
        <v>989</v>
      </c>
      <c r="I467" s="1">
        <v>92660.0</v>
      </c>
      <c r="J467" s="1" t="s">
        <v>752</v>
      </c>
      <c r="K467" s="1" t="s">
        <v>66</v>
      </c>
      <c r="L467" s="1" t="s">
        <v>2495</v>
      </c>
      <c r="M467" s="1">
        <v>145.0</v>
      </c>
      <c r="N467" s="1" t="s">
        <v>1152</v>
      </c>
      <c r="O467" s="3" t="s">
        <v>2535</v>
      </c>
      <c r="P467" s="18">
        <v>45883.0</v>
      </c>
      <c r="Q467" s="1" t="s">
        <v>1152</v>
      </c>
      <c r="R467" s="1"/>
      <c r="S467" s="1" t="s">
        <v>1152</v>
      </c>
      <c r="T467" s="1" t="s">
        <v>1152</v>
      </c>
      <c r="U467" s="1" t="s">
        <v>1080</v>
      </c>
      <c r="V467" s="4" t="s">
        <v>2535</v>
      </c>
      <c r="W467" s="1"/>
      <c r="X467" s="18">
        <v>45883.0</v>
      </c>
      <c r="Y467" s="1"/>
      <c r="Z467" s="1"/>
      <c r="AA467" s="1"/>
      <c r="AB467" s="1"/>
      <c r="AC467" s="1" t="s">
        <v>1925</v>
      </c>
      <c r="AD467" s="1"/>
      <c r="AE467" s="18"/>
      <c r="AF467" s="1"/>
      <c r="AG467" s="1"/>
      <c r="AH467" s="1" t="s">
        <v>1152</v>
      </c>
      <c r="AI467" s="18"/>
      <c r="AJ467" s="18"/>
      <c r="AK467" s="18"/>
      <c r="AL467" s="6" t="str">
        <f t="array" ref="AL467">IFERROR(IFS(XLOOKUP(B467, 'Kit Delivery Status'!$U:$U, 'Kit Delivery Status'!$K:$K) = "Complete", "DELIVERED", XLOOKUP(B467, 'Kit Delivery Status'!$U:$U, 'Kit Delivery Status'!$K:$K) = "Issue", "ISSUE"), "")</f>
        <v/>
      </c>
      <c r="AM467" s="6"/>
    </row>
    <row r="468">
      <c r="A468" s="5" t="s">
        <v>2536</v>
      </c>
      <c r="B468" s="1" t="s">
        <v>2537</v>
      </c>
      <c r="C468" s="1" t="s">
        <v>2538</v>
      </c>
      <c r="D468" s="2">
        <v>8.082568944E9</v>
      </c>
      <c r="E468" s="1" t="s">
        <v>2539</v>
      </c>
      <c r="F468" s="1"/>
      <c r="G468" s="1" t="s">
        <v>2485</v>
      </c>
      <c r="H468" s="1" t="s">
        <v>2486</v>
      </c>
      <c r="I468" s="1">
        <v>96814.0</v>
      </c>
      <c r="J468" s="1" t="s">
        <v>752</v>
      </c>
      <c r="K468" s="1" t="s">
        <v>51</v>
      </c>
      <c r="L468" s="1" t="s">
        <v>2460</v>
      </c>
      <c r="M468" s="1">
        <v>1.0</v>
      </c>
      <c r="N468" s="1" t="s">
        <v>2461</v>
      </c>
      <c r="O468" s="3" t="s">
        <v>2540</v>
      </c>
      <c r="P468" s="18">
        <v>45883.0</v>
      </c>
      <c r="Q468" s="1" t="s">
        <v>2463</v>
      </c>
      <c r="R468" s="1"/>
      <c r="S468" s="1" t="s">
        <v>2461</v>
      </c>
      <c r="T468" s="1" t="s">
        <v>2461</v>
      </c>
      <c r="U468" s="1" t="s">
        <v>1343</v>
      </c>
      <c r="V468" s="4" t="s">
        <v>2540</v>
      </c>
      <c r="W468" s="1"/>
      <c r="X468" s="18">
        <v>45883.0</v>
      </c>
      <c r="Y468" s="1" t="s">
        <v>1030</v>
      </c>
      <c r="Z468" s="1"/>
      <c r="AA468" s="1"/>
      <c r="AB468" s="1" t="s">
        <v>52</v>
      </c>
      <c r="AC468" s="1" t="s">
        <v>1925</v>
      </c>
      <c r="AD468" s="1"/>
      <c r="AE468" s="18"/>
      <c r="AF468" s="1"/>
      <c r="AG468" s="1"/>
      <c r="AH468" s="1" t="s">
        <v>1152</v>
      </c>
      <c r="AI468" s="18"/>
      <c r="AJ468" s="18"/>
      <c r="AK468" s="18"/>
      <c r="AL468" s="6" t="str">
        <f t="array" ref="AL468">IFERROR(IFS(XLOOKUP(B468, 'Kit Delivery Status'!$U:$U, 'Kit Delivery Status'!$K:$K) = "Complete", "DELIVERED", XLOOKUP(B468, 'Kit Delivery Status'!$U:$U, 'Kit Delivery Status'!$K:$K) = "Issue", "ISSUE"), "")</f>
        <v/>
      </c>
      <c r="AM468" s="6"/>
    </row>
    <row r="469">
      <c r="A469" s="5" t="s">
        <v>2541</v>
      </c>
      <c r="B469" s="1" t="s">
        <v>2542</v>
      </c>
      <c r="C469" s="1"/>
      <c r="D469" s="2">
        <v>7.329152221E9</v>
      </c>
      <c r="E469" s="1" t="s">
        <v>2543</v>
      </c>
      <c r="F469" s="1"/>
      <c r="G469" s="1" t="s">
        <v>2544</v>
      </c>
      <c r="H469" s="1" t="s">
        <v>1053</v>
      </c>
      <c r="I469" s="1">
        <v>7751.0</v>
      </c>
      <c r="J469" s="1" t="s">
        <v>752</v>
      </c>
      <c r="K469" s="1" t="s">
        <v>66</v>
      </c>
      <c r="L469" s="1" t="s">
        <v>2495</v>
      </c>
      <c r="M469" s="1">
        <v>145.0</v>
      </c>
      <c r="N469" s="1" t="s">
        <v>1152</v>
      </c>
      <c r="O469" s="3" t="s">
        <v>2545</v>
      </c>
      <c r="P469" s="18">
        <v>45883.0</v>
      </c>
      <c r="Q469" s="1" t="s">
        <v>1152</v>
      </c>
      <c r="R469" s="1"/>
      <c r="S469" s="1" t="s">
        <v>1152</v>
      </c>
      <c r="T469" s="1" t="s">
        <v>1152</v>
      </c>
      <c r="U469" s="1" t="s">
        <v>1039</v>
      </c>
      <c r="V469" s="4" t="s">
        <v>2545</v>
      </c>
      <c r="W469" s="1"/>
      <c r="X469" s="18">
        <v>45883.0</v>
      </c>
      <c r="Y469" s="1"/>
      <c r="Z469" s="1"/>
      <c r="AA469" s="1"/>
      <c r="AB469" s="1"/>
      <c r="AC469" s="1" t="s">
        <v>1925</v>
      </c>
      <c r="AD469" s="1"/>
      <c r="AE469" s="18"/>
      <c r="AF469" s="1"/>
      <c r="AG469" s="1"/>
      <c r="AH469" s="1" t="s">
        <v>1152</v>
      </c>
      <c r="AI469" s="18"/>
      <c r="AJ469" s="18"/>
      <c r="AK469" s="18"/>
      <c r="AL469" s="6" t="str">
        <f t="array" ref="AL469">IFERROR(IFS(XLOOKUP(B469, 'Kit Delivery Status'!$U:$U, 'Kit Delivery Status'!$K:$K) = "Complete", "DELIVERED", XLOOKUP(B469, 'Kit Delivery Status'!$U:$U, 'Kit Delivery Status'!$K:$K) = "Issue", "ISSUE"), "")</f>
        <v/>
      </c>
      <c r="AM469" s="6"/>
    </row>
    <row r="470">
      <c r="A470" s="5" t="s">
        <v>2546</v>
      </c>
      <c r="B470" s="1" t="s">
        <v>2547</v>
      </c>
      <c r="C470" s="1" t="s">
        <v>2548</v>
      </c>
      <c r="D470" s="2">
        <v>3.147794178E9</v>
      </c>
      <c r="E470" s="1" t="s">
        <v>2549</v>
      </c>
      <c r="F470" s="1"/>
      <c r="G470" s="1" t="s">
        <v>1283</v>
      </c>
      <c r="H470" s="1" t="s">
        <v>1155</v>
      </c>
      <c r="I470" s="1">
        <v>63131.0</v>
      </c>
      <c r="J470" s="1" t="s">
        <v>752</v>
      </c>
      <c r="K470" s="1" t="s">
        <v>66</v>
      </c>
      <c r="L470" s="1" t="s">
        <v>2470</v>
      </c>
      <c r="M470" s="1">
        <v>210.0</v>
      </c>
      <c r="N470" s="1" t="s">
        <v>1152</v>
      </c>
      <c r="O470" s="3" t="s">
        <v>2550</v>
      </c>
      <c r="P470" s="18">
        <v>45883.0</v>
      </c>
      <c r="Q470" s="1" t="s">
        <v>1152</v>
      </c>
      <c r="R470" s="1"/>
      <c r="S470" s="1" t="s">
        <v>1152</v>
      </c>
      <c r="T470" s="1" t="s">
        <v>1152</v>
      </c>
      <c r="U470" s="1" t="s">
        <v>1039</v>
      </c>
      <c r="V470" s="4" t="s">
        <v>2550</v>
      </c>
      <c r="W470" s="1"/>
      <c r="X470" s="18">
        <v>45883.0</v>
      </c>
      <c r="Y470" s="1"/>
      <c r="Z470" s="1"/>
      <c r="AA470" s="1"/>
      <c r="AB470" s="1"/>
      <c r="AC470" s="1" t="s">
        <v>1925</v>
      </c>
      <c r="AD470" s="1"/>
      <c r="AE470" s="18"/>
      <c r="AF470" s="1"/>
      <c r="AG470" s="1"/>
      <c r="AH470" s="1" t="s">
        <v>1152</v>
      </c>
      <c r="AI470" s="18"/>
      <c r="AJ470" s="18"/>
      <c r="AK470" s="18"/>
      <c r="AL470" s="6" t="str">
        <f t="array" ref="AL470">IFERROR(IFS(XLOOKUP(B470, 'Kit Delivery Status'!$U:$U, 'Kit Delivery Status'!$K:$K) = "Complete", "DELIVERED", XLOOKUP(B470, 'Kit Delivery Status'!$U:$U, 'Kit Delivery Status'!$K:$K) = "Issue", "ISSUE"), "")</f>
        <v/>
      </c>
      <c r="AM470" s="6"/>
    </row>
    <row r="471">
      <c r="A471" s="5" t="s">
        <v>2551</v>
      </c>
      <c r="B471" s="1" t="s">
        <v>2552</v>
      </c>
      <c r="C471" s="1" t="s">
        <v>2553</v>
      </c>
      <c r="D471" s="2">
        <v>3.142878293E9</v>
      </c>
      <c r="E471" s="1" t="s">
        <v>2554</v>
      </c>
      <c r="F471" s="1"/>
      <c r="G471" s="1" t="s">
        <v>2350</v>
      </c>
      <c r="H471" s="1" t="s">
        <v>1155</v>
      </c>
      <c r="I471" s="1">
        <v>63122.0</v>
      </c>
      <c r="J471" s="1" t="s">
        <v>752</v>
      </c>
      <c r="K471" s="1" t="s">
        <v>66</v>
      </c>
      <c r="L471" s="1" t="s">
        <v>2470</v>
      </c>
      <c r="M471" s="1">
        <v>210.0</v>
      </c>
      <c r="N471" s="1" t="s">
        <v>1152</v>
      </c>
      <c r="O471" s="3" t="s">
        <v>418</v>
      </c>
      <c r="P471" s="18">
        <v>45883.0</v>
      </c>
      <c r="Q471" s="1" t="s">
        <v>1152</v>
      </c>
      <c r="R471" s="1"/>
      <c r="S471" s="1" t="s">
        <v>1152</v>
      </c>
      <c r="T471" s="1" t="s">
        <v>1152</v>
      </c>
      <c r="U471" s="1" t="s">
        <v>1148</v>
      </c>
      <c r="V471" s="4" t="s">
        <v>418</v>
      </c>
      <c r="W471" s="1"/>
      <c r="X471" s="18">
        <v>45883.0</v>
      </c>
      <c r="Y471" s="1"/>
      <c r="Z471" s="1"/>
      <c r="AA471" s="1"/>
      <c r="AB471" s="1"/>
      <c r="AC471" s="1" t="s">
        <v>1925</v>
      </c>
      <c r="AD471" s="1"/>
      <c r="AE471" s="18"/>
      <c r="AF471" s="1"/>
      <c r="AG471" s="1"/>
      <c r="AH471" s="1" t="s">
        <v>1152</v>
      </c>
      <c r="AI471" s="18"/>
      <c r="AJ471" s="18"/>
      <c r="AK471" s="18"/>
      <c r="AL471" s="6" t="str">
        <f t="array" ref="AL471">IFERROR(IFS(XLOOKUP(B471, 'Kit Delivery Status'!$U:$U, 'Kit Delivery Status'!$K:$K) = "Complete", "DELIVERED", XLOOKUP(B471, 'Kit Delivery Status'!$U:$U, 'Kit Delivery Status'!$K:$K) = "Issue", "ISSUE"), "")</f>
        <v/>
      </c>
      <c r="AM471" s="6"/>
    </row>
    <row r="472">
      <c r="A472" s="5" t="s">
        <v>2555</v>
      </c>
      <c r="B472" s="1" t="s">
        <v>2556</v>
      </c>
      <c r="C472" s="1"/>
      <c r="D472" s="2">
        <v>4.127734502E9</v>
      </c>
      <c r="E472" s="1" t="s">
        <v>2557</v>
      </c>
      <c r="F472" s="1"/>
      <c r="G472" s="1" t="s">
        <v>2558</v>
      </c>
      <c r="H472" s="1" t="s">
        <v>1233</v>
      </c>
      <c r="I472" s="1">
        <v>15208.0</v>
      </c>
      <c r="J472" s="1" t="s">
        <v>752</v>
      </c>
      <c r="K472" s="1" t="s">
        <v>51</v>
      </c>
      <c r="L472" s="1" t="s">
        <v>2460</v>
      </c>
      <c r="M472" s="1">
        <v>1.0</v>
      </c>
      <c r="N472" s="1" t="s">
        <v>2461</v>
      </c>
      <c r="O472" s="3" t="s">
        <v>2559</v>
      </c>
      <c r="P472" s="18">
        <v>45883.0</v>
      </c>
      <c r="Q472" s="1" t="s">
        <v>2463</v>
      </c>
      <c r="R472" s="1"/>
      <c r="S472" s="1" t="s">
        <v>2461</v>
      </c>
      <c r="T472" s="1" t="s">
        <v>2461</v>
      </c>
      <c r="U472" s="1" t="s">
        <v>2510</v>
      </c>
      <c r="V472" s="4" t="s">
        <v>2559</v>
      </c>
      <c r="W472" s="1"/>
      <c r="X472" s="18">
        <v>45883.0</v>
      </c>
      <c r="Y472" s="1" t="s">
        <v>1030</v>
      </c>
      <c r="Z472" s="1"/>
      <c r="AA472" s="1"/>
      <c r="AB472" s="1" t="s">
        <v>52</v>
      </c>
      <c r="AC472" s="1" t="s">
        <v>1925</v>
      </c>
      <c r="AD472" s="1"/>
      <c r="AE472" s="18"/>
      <c r="AF472" s="1"/>
      <c r="AG472" s="1"/>
      <c r="AH472" s="1" t="s">
        <v>1152</v>
      </c>
      <c r="AI472" s="18"/>
      <c r="AJ472" s="18"/>
      <c r="AK472" s="18"/>
      <c r="AL472" s="6" t="str">
        <f t="array" ref="AL472">IFERROR(IFS(XLOOKUP(B472, 'Kit Delivery Status'!$U:$U, 'Kit Delivery Status'!$K:$K) = "Complete", "DELIVERED", XLOOKUP(B472, 'Kit Delivery Status'!$U:$U, 'Kit Delivery Status'!$K:$K) = "Issue", "ISSUE"), "")</f>
        <v/>
      </c>
      <c r="AM472" s="6"/>
    </row>
    <row r="473">
      <c r="A473" s="5" t="s">
        <v>2560</v>
      </c>
      <c r="B473" s="1" t="s">
        <v>2561</v>
      </c>
      <c r="C473" s="1" t="s">
        <v>2562</v>
      </c>
      <c r="D473" s="2">
        <v>4.122772357E9</v>
      </c>
      <c r="E473" s="1" t="s">
        <v>2563</v>
      </c>
      <c r="F473" s="1"/>
      <c r="G473" s="1" t="s">
        <v>2564</v>
      </c>
      <c r="H473" s="1" t="s">
        <v>1233</v>
      </c>
      <c r="I473" s="1">
        <v>15208.0</v>
      </c>
      <c r="J473" s="1" t="s">
        <v>752</v>
      </c>
      <c r="K473" s="1" t="s">
        <v>51</v>
      </c>
      <c r="L473" s="1" t="s">
        <v>2460</v>
      </c>
      <c r="M473" s="1">
        <v>1.0</v>
      </c>
      <c r="N473" s="1" t="s">
        <v>2461</v>
      </c>
      <c r="O473" s="3" t="s">
        <v>2565</v>
      </c>
      <c r="P473" s="18">
        <v>45883.0</v>
      </c>
      <c r="Q473" s="1" t="s">
        <v>2463</v>
      </c>
      <c r="R473" s="1"/>
      <c r="S473" s="1" t="s">
        <v>2461</v>
      </c>
      <c r="T473" s="1" t="s">
        <v>2461</v>
      </c>
      <c r="U473" s="1" t="s">
        <v>2510</v>
      </c>
      <c r="V473" s="4" t="s">
        <v>2565</v>
      </c>
      <c r="W473" s="1"/>
      <c r="X473" s="18">
        <v>45883.0</v>
      </c>
      <c r="Y473" s="1" t="s">
        <v>1030</v>
      </c>
      <c r="Z473" s="1"/>
      <c r="AA473" s="1"/>
      <c r="AB473" s="1" t="s">
        <v>52</v>
      </c>
      <c r="AC473" s="1" t="s">
        <v>1925</v>
      </c>
      <c r="AD473" s="1"/>
      <c r="AE473" s="18"/>
      <c r="AF473" s="1"/>
      <c r="AG473" s="1"/>
      <c r="AH473" s="1" t="s">
        <v>1152</v>
      </c>
      <c r="AI473" s="18"/>
      <c r="AJ473" s="18"/>
      <c r="AK473" s="18"/>
      <c r="AL473" s="6" t="str">
        <f t="array" ref="AL473">IFERROR(IFS(XLOOKUP(B473, 'Kit Delivery Status'!$U:$U, 'Kit Delivery Status'!$K:$K) = "Complete", "DELIVERED", XLOOKUP(B473, 'Kit Delivery Status'!$U:$U, 'Kit Delivery Status'!$K:$K) = "Issue", "ISSUE"), "")</f>
        <v/>
      </c>
      <c r="AM473" s="6"/>
    </row>
    <row r="474">
      <c r="A474" s="5" t="s">
        <v>2566</v>
      </c>
      <c r="B474" s="1" t="s">
        <v>2567</v>
      </c>
      <c r="C474" s="1" t="s">
        <v>2568</v>
      </c>
      <c r="D474" s="2">
        <v>1.9088725977E10</v>
      </c>
      <c r="E474" s="1" t="s">
        <v>2569</v>
      </c>
      <c r="F474" s="1"/>
      <c r="G474" s="1" t="s">
        <v>2570</v>
      </c>
      <c r="H474" s="1" t="s">
        <v>1121</v>
      </c>
      <c r="I474" s="1">
        <v>1776.0</v>
      </c>
      <c r="J474" s="1" t="s">
        <v>752</v>
      </c>
      <c r="K474" s="1" t="s">
        <v>95</v>
      </c>
      <c r="L474" s="1" t="s">
        <v>2571</v>
      </c>
      <c r="M474" s="1">
        <v>49.0</v>
      </c>
      <c r="N474" s="1" t="s">
        <v>2461</v>
      </c>
      <c r="O474" s="3" t="s">
        <v>2572</v>
      </c>
      <c r="P474" s="18">
        <v>45883.0</v>
      </c>
      <c r="Q474" s="1" t="s">
        <v>2463</v>
      </c>
      <c r="R474" s="1"/>
      <c r="S474" s="1" t="s">
        <v>2461</v>
      </c>
      <c r="T474" s="1" t="s">
        <v>2461</v>
      </c>
      <c r="U474" s="1" t="s">
        <v>982</v>
      </c>
      <c r="V474" s="4" t="s">
        <v>2572</v>
      </c>
      <c r="W474" s="1"/>
      <c r="X474" s="18">
        <v>45883.0</v>
      </c>
      <c r="Y474" s="1" t="s">
        <v>1030</v>
      </c>
      <c r="Z474" s="1"/>
      <c r="AA474" s="1"/>
      <c r="AB474" s="1" t="s">
        <v>52</v>
      </c>
      <c r="AC474" s="1" t="s">
        <v>2573</v>
      </c>
      <c r="AD474" s="1"/>
      <c r="AE474" s="18"/>
      <c r="AF474" s="1"/>
      <c r="AG474" s="1"/>
      <c r="AH474" s="1" t="s">
        <v>1152</v>
      </c>
      <c r="AI474" s="18"/>
      <c r="AJ474" s="18"/>
      <c r="AK474" s="18"/>
      <c r="AL474" s="6" t="str">
        <f t="array" ref="AL474">IFERROR(IFS(XLOOKUP(B474, 'Kit Delivery Status'!$U:$U, 'Kit Delivery Status'!$K:$K) = "Complete", "DELIVERED", XLOOKUP(B474, 'Kit Delivery Status'!$U:$U, 'Kit Delivery Status'!$K:$K) = "Issue", "ISSUE"), "")</f>
        <v/>
      </c>
      <c r="AM474" s="6"/>
    </row>
    <row r="475">
      <c r="A475" s="5" t="s">
        <v>2574</v>
      </c>
      <c r="B475" s="1" t="s">
        <v>2575</v>
      </c>
      <c r="C475" s="1" t="s">
        <v>2576</v>
      </c>
      <c r="D475" s="2">
        <v>6.186411334E9</v>
      </c>
      <c r="E475" s="1" t="s">
        <v>2135</v>
      </c>
      <c r="F475" s="1"/>
      <c r="G475" s="1" t="s">
        <v>2136</v>
      </c>
      <c r="H475" s="1" t="s">
        <v>1155</v>
      </c>
      <c r="I475" s="1">
        <v>63117.0</v>
      </c>
      <c r="J475" s="1" t="s">
        <v>752</v>
      </c>
      <c r="K475" s="1" t="s">
        <v>2577</v>
      </c>
      <c r="L475" s="1" t="s">
        <v>2578</v>
      </c>
      <c r="M475" s="1">
        <v>1.0</v>
      </c>
      <c r="N475" s="1" t="s">
        <v>2579</v>
      </c>
      <c r="O475" s="3" t="s">
        <v>2580</v>
      </c>
      <c r="P475" s="18">
        <v>45848.0</v>
      </c>
      <c r="Q475" s="1" t="s">
        <v>2581</v>
      </c>
      <c r="R475" s="1"/>
      <c r="S475" s="1" t="s">
        <v>2579</v>
      </c>
      <c r="T475" s="1" t="s">
        <v>2579</v>
      </c>
      <c r="U475" s="1" t="s">
        <v>1174</v>
      </c>
      <c r="V475" s="4" t="s">
        <v>2580</v>
      </c>
      <c r="W475" s="1"/>
      <c r="X475" s="18">
        <v>45848.0</v>
      </c>
      <c r="Y475" s="1"/>
      <c r="Z475" s="1"/>
      <c r="AA475" s="1"/>
      <c r="AB475" s="1"/>
      <c r="AC475" s="1" t="s">
        <v>1925</v>
      </c>
      <c r="AD475" s="1"/>
      <c r="AE475" s="18"/>
      <c r="AF475" s="1"/>
      <c r="AG475" s="1"/>
      <c r="AH475" s="1" t="s">
        <v>1152</v>
      </c>
      <c r="AI475" s="1" t="s">
        <v>2582</v>
      </c>
      <c r="AJ475" s="1"/>
      <c r="AK475" s="1"/>
      <c r="AL475" s="6" t="str">
        <f t="array" ref="AL475">IFERROR(IFS(XLOOKUP(B475, 'Kit Delivery Status'!$U:$U, 'Kit Delivery Status'!$K:$K) = "Complete", "DELIVERED", XLOOKUP(B475, 'Kit Delivery Status'!$U:$U, 'Kit Delivery Status'!$K:$K) = "Issue", "ISSUE"), "")</f>
        <v/>
      </c>
      <c r="AM475" s="6"/>
    </row>
    <row r="476">
      <c r="A476" s="5" t="s">
        <v>2574</v>
      </c>
      <c r="B476" s="1" t="s">
        <v>2575</v>
      </c>
      <c r="C476" s="1" t="s">
        <v>2576</v>
      </c>
      <c r="D476" s="2">
        <v>6.186411334E9</v>
      </c>
      <c r="E476" s="1" t="s">
        <v>2135</v>
      </c>
      <c r="F476" s="1"/>
      <c r="G476" s="1" t="s">
        <v>2136</v>
      </c>
      <c r="H476" s="1" t="s">
        <v>1155</v>
      </c>
      <c r="I476" s="1">
        <v>63117.0</v>
      </c>
      <c r="J476" s="1" t="s">
        <v>752</v>
      </c>
      <c r="K476" s="1" t="s">
        <v>2577</v>
      </c>
      <c r="L476" s="1" t="s">
        <v>2578</v>
      </c>
      <c r="M476" s="1">
        <v>1.0</v>
      </c>
      <c r="N476" s="1" t="s">
        <v>2579</v>
      </c>
      <c r="O476" s="3" t="s">
        <v>2583</v>
      </c>
      <c r="P476" s="18">
        <v>45848.0</v>
      </c>
      <c r="Q476" s="1" t="s">
        <v>2584</v>
      </c>
      <c r="R476" s="1"/>
      <c r="S476" s="1" t="s">
        <v>2579</v>
      </c>
      <c r="T476" s="1" t="s">
        <v>2579</v>
      </c>
      <c r="U476" s="1" t="s">
        <v>1407</v>
      </c>
      <c r="V476" s="4" t="s">
        <v>2583</v>
      </c>
      <c r="W476" s="1"/>
      <c r="X476" s="18">
        <v>45848.0</v>
      </c>
      <c r="Y476" s="1"/>
      <c r="Z476" s="1"/>
      <c r="AA476" s="1"/>
      <c r="AB476" s="1"/>
      <c r="AC476" s="1" t="s">
        <v>1925</v>
      </c>
      <c r="AD476" s="1"/>
      <c r="AE476" s="18"/>
      <c r="AF476" s="1"/>
      <c r="AG476" s="1"/>
      <c r="AH476" s="1" t="s">
        <v>1152</v>
      </c>
      <c r="AI476" s="1" t="s">
        <v>2585</v>
      </c>
      <c r="AJ476" s="1"/>
      <c r="AK476" s="1"/>
      <c r="AL476" s="6" t="str">
        <f t="array" ref="AL476">IFERROR(IFS(XLOOKUP(B476, 'Kit Delivery Status'!$U:$U, 'Kit Delivery Status'!$K:$K) = "Complete", "DELIVERED", XLOOKUP(B476, 'Kit Delivery Status'!$U:$U, 'Kit Delivery Status'!$K:$K) = "Issue", "ISSUE"), "")</f>
        <v/>
      </c>
      <c r="AM476" s="6"/>
    </row>
    <row r="477">
      <c r="A477" s="5" t="s">
        <v>2574</v>
      </c>
      <c r="B477" s="1" t="s">
        <v>2575</v>
      </c>
      <c r="C477" s="1" t="s">
        <v>2576</v>
      </c>
      <c r="D477" s="2">
        <v>6.186411334E9</v>
      </c>
      <c r="E477" s="1" t="s">
        <v>2135</v>
      </c>
      <c r="F477" s="1"/>
      <c r="G477" s="1" t="s">
        <v>2136</v>
      </c>
      <c r="H477" s="1" t="s">
        <v>1155</v>
      </c>
      <c r="I477" s="1">
        <v>63117.0</v>
      </c>
      <c r="J477" s="1" t="s">
        <v>752</v>
      </c>
      <c r="K477" s="1" t="s">
        <v>2577</v>
      </c>
      <c r="L477" s="1" t="s">
        <v>2578</v>
      </c>
      <c r="M477" s="1">
        <v>1.0</v>
      </c>
      <c r="N477" s="1" t="s">
        <v>2579</v>
      </c>
      <c r="O477" s="3" t="s">
        <v>2586</v>
      </c>
      <c r="P477" s="18">
        <v>45848.0</v>
      </c>
      <c r="Q477" s="1" t="s">
        <v>2587</v>
      </c>
      <c r="R477" s="1"/>
      <c r="S477" s="1" t="s">
        <v>2579</v>
      </c>
      <c r="T477" s="1" t="s">
        <v>2579</v>
      </c>
      <c r="U477" s="1" t="s">
        <v>1174</v>
      </c>
      <c r="V477" s="4" t="s">
        <v>2586</v>
      </c>
      <c r="W477" s="1"/>
      <c r="X477" s="18">
        <v>45848.0</v>
      </c>
      <c r="Y477" s="1"/>
      <c r="Z477" s="1"/>
      <c r="AA477" s="1"/>
      <c r="AB477" s="1"/>
      <c r="AC477" s="1" t="s">
        <v>1925</v>
      </c>
      <c r="AD477" s="1"/>
      <c r="AE477" s="18"/>
      <c r="AF477" s="1"/>
      <c r="AG477" s="1"/>
      <c r="AH477" s="1" t="s">
        <v>1152</v>
      </c>
      <c r="AI477" s="1" t="s">
        <v>2588</v>
      </c>
      <c r="AJ477" s="1"/>
      <c r="AK477" s="1"/>
      <c r="AL477" s="6" t="str">
        <f t="array" ref="AL477">IFERROR(IFS(XLOOKUP(B477, 'Kit Delivery Status'!$U:$U, 'Kit Delivery Status'!$K:$K) = "Complete", "DELIVERED", XLOOKUP(B477, 'Kit Delivery Status'!$U:$U, 'Kit Delivery Status'!$K:$K) = "Issue", "ISSUE"), "")</f>
        <v/>
      </c>
      <c r="AM477" s="6"/>
    </row>
    <row r="478">
      <c r="A478" s="5" t="s">
        <v>2574</v>
      </c>
      <c r="B478" s="1" t="s">
        <v>2575</v>
      </c>
      <c r="C478" s="1" t="s">
        <v>2576</v>
      </c>
      <c r="D478" s="2">
        <v>6.186411334E9</v>
      </c>
      <c r="E478" s="1" t="s">
        <v>2135</v>
      </c>
      <c r="F478" s="1"/>
      <c r="G478" s="1" t="s">
        <v>2136</v>
      </c>
      <c r="H478" s="1" t="s">
        <v>1155</v>
      </c>
      <c r="I478" s="1">
        <v>63117.0</v>
      </c>
      <c r="J478" s="1" t="s">
        <v>752</v>
      </c>
      <c r="K478" s="1" t="s">
        <v>2577</v>
      </c>
      <c r="L478" s="1" t="s">
        <v>2578</v>
      </c>
      <c r="M478" s="1">
        <v>1.0</v>
      </c>
      <c r="N478" s="1" t="s">
        <v>2579</v>
      </c>
      <c r="O478" s="3" t="s">
        <v>2589</v>
      </c>
      <c r="P478" s="18">
        <v>45848.0</v>
      </c>
      <c r="Q478" s="1" t="s">
        <v>2590</v>
      </c>
      <c r="R478" s="1"/>
      <c r="S478" s="1" t="s">
        <v>2579</v>
      </c>
      <c r="T478" s="1" t="s">
        <v>2579</v>
      </c>
      <c r="U478" s="1" t="s">
        <v>2430</v>
      </c>
      <c r="V478" s="4" t="s">
        <v>2589</v>
      </c>
      <c r="W478" s="1"/>
      <c r="X478" s="18">
        <v>45848.0</v>
      </c>
      <c r="Y478" s="1"/>
      <c r="Z478" s="1"/>
      <c r="AA478" s="1"/>
      <c r="AB478" s="1"/>
      <c r="AC478" s="1" t="s">
        <v>1925</v>
      </c>
      <c r="AD478" s="1"/>
      <c r="AE478" s="18"/>
      <c r="AF478" s="1"/>
      <c r="AG478" s="1"/>
      <c r="AH478" s="1" t="s">
        <v>1152</v>
      </c>
      <c r="AI478" s="1" t="s">
        <v>2591</v>
      </c>
      <c r="AJ478" s="1"/>
      <c r="AK478" s="1"/>
      <c r="AL478" s="6" t="str">
        <f t="array" ref="AL478">IFERROR(IFS(XLOOKUP(B478, 'Kit Delivery Status'!$U:$U, 'Kit Delivery Status'!$K:$K) = "Complete", "DELIVERED", XLOOKUP(B478, 'Kit Delivery Status'!$U:$U, 'Kit Delivery Status'!$K:$K) = "Issue", "ISSUE"), "")</f>
        <v/>
      </c>
      <c r="AM478" s="6"/>
    </row>
    <row r="479">
      <c r="A479" s="5" t="s">
        <v>2574</v>
      </c>
      <c r="B479" s="1" t="s">
        <v>2575</v>
      </c>
      <c r="C479" s="1" t="s">
        <v>2576</v>
      </c>
      <c r="D479" s="2">
        <v>6.186411334E9</v>
      </c>
      <c r="E479" s="1" t="s">
        <v>2135</v>
      </c>
      <c r="F479" s="1"/>
      <c r="G479" s="1" t="s">
        <v>2136</v>
      </c>
      <c r="H479" s="1" t="s">
        <v>1155</v>
      </c>
      <c r="I479" s="1">
        <v>63117.0</v>
      </c>
      <c r="J479" s="1" t="s">
        <v>752</v>
      </c>
      <c r="K479" s="1" t="s">
        <v>2577</v>
      </c>
      <c r="L479" s="1" t="s">
        <v>2578</v>
      </c>
      <c r="M479" s="1">
        <v>1.0</v>
      </c>
      <c r="N479" s="1" t="s">
        <v>2579</v>
      </c>
      <c r="O479" s="3" t="s">
        <v>2592</v>
      </c>
      <c r="P479" s="18">
        <v>45848.0</v>
      </c>
      <c r="Q479" s="1" t="s">
        <v>2593</v>
      </c>
      <c r="R479" s="1"/>
      <c r="S479" s="1" t="s">
        <v>2579</v>
      </c>
      <c r="T479" s="1" t="s">
        <v>2579</v>
      </c>
      <c r="U479" s="1" t="s">
        <v>1407</v>
      </c>
      <c r="V479" s="4" t="s">
        <v>2592</v>
      </c>
      <c r="W479" s="1"/>
      <c r="X479" s="18">
        <v>45848.0</v>
      </c>
      <c r="Y479" s="1"/>
      <c r="Z479" s="1"/>
      <c r="AA479" s="1"/>
      <c r="AB479" s="1"/>
      <c r="AC479" s="1" t="s">
        <v>1925</v>
      </c>
      <c r="AD479" s="1"/>
      <c r="AE479" s="18"/>
      <c r="AF479" s="1"/>
      <c r="AG479" s="1"/>
      <c r="AH479" s="1" t="s">
        <v>1152</v>
      </c>
      <c r="AI479" s="1" t="s">
        <v>2594</v>
      </c>
      <c r="AJ479" s="1"/>
      <c r="AK479" s="1"/>
      <c r="AL479" s="6" t="str">
        <f t="array" ref="AL479">IFERROR(IFS(XLOOKUP(B479, 'Kit Delivery Status'!$U:$U, 'Kit Delivery Status'!$K:$K) = "Complete", "DELIVERED", XLOOKUP(B479, 'Kit Delivery Status'!$U:$U, 'Kit Delivery Status'!$K:$K) = "Issue", "ISSUE"), "")</f>
        <v/>
      </c>
      <c r="AM479" s="6"/>
    </row>
    <row r="480">
      <c r="A480" s="5" t="s">
        <v>2574</v>
      </c>
      <c r="B480" s="1" t="s">
        <v>2575</v>
      </c>
      <c r="C480" s="1" t="s">
        <v>2576</v>
      </c>
      <c r="D480" s="2">
        <v>6.186411334E9</v>
      </c>
      <c r="E480" s="1" t="s">
        <v>2135</v>
      </c>
      <c r="F480" s="1"/>
      <c r="G480" s="1" t="s">
        <v>2136</v>
      </c>
      <c r="H480" s="1" t="s">
        <v>1155</v>
      </c>
      <c r="I480" s="1">
        <v>63117.0</v>
      </c>
      <c r="J480" s="1" t="s">
        <v>752</v>
      </c>
      <c r="K480" s="1" t="s">
        <v>2577</v>
      </c>
      <c r="L480" s="1" t="s">
        <v>2578</v>
      </c>
      <c r="M480" s="1">
        <v>1.0</v>
      </c>
      <c r="N480" s="1" t="s">
        <v>2579</v>
      </c>
      <c r="O480" s="3" t="s">
        <v>2595</v>
      </c>
      <c r="P480" s="18">
        <v>45848.0</v>
      </c>
      <c r="Q480" s="1" t="s">
        <v>2596</v>
      </c>
      <c r="R480" s="1"/>
      <c r="S480" s="1" t="s">
        <v>2579</v>
      </c>
      <c r="T480" s="1" t="s">
        <v>2579</v>
      </c>
      <c r="U480" s="1" t="s">
        <v>956</v>
      </c>
      <c r="V480" s="4" t="s">
        <v>2595</v>
      </c>
      <c r="W480" s="1"/>
      <c r="X480" s="18">
        <v>45848.0</v>
      </c>
      <c r="Y480" s="1"/>
      <c r="Z480" s="1"/>
      <c r="AA480" s="1"/>
      <c r="AB480" s="1"/>
      <c r="AC480" s="1" t="s">
        <v>1925</v>
      </c>
      <c r="AD480" s="1"/>
      <c r="AE480" s="18"/>
      <c r="AF480" s="1"/>
      <c r="AG480" s="1"/>
      <c r="AH480" s="1" t="s">
        <v>1152</v>
      </c>
      <c r="AI480" s="1" t="s">
        <v>2597</v>
      </c>
      <c r="AJ480" s="1"/>
      <c r="AK480" s="1"/>
      <c r="AL480" s="6" t="str">
        <f t="array" ref="AL480">IFERROR(IFS(XLOOKUP(B480, 'Kit Delivery Status'!$U:$U, 'Kit Delivery Status'!$K:$K) = "Complete", "DELIVERED", XLOOKUP(B480, 'Kit Delivery Status'!$U:$U, 'Kit Delivery Status'!$K:$K) = "Issue", "ISSUE"), "")</f>
        <v/>
      </c>
      <c r="AM480" s="6"/>
    </row>
    <row r="481">
      <c r="A481" s="5" t="s">
        <v>2574</v>
      </c>
      <c r="B481" s="1" t="s">
        <v>2575</v>
      </c>
      <c r="C481" s="1" t="s">
        <v>2576</v>
      </c>
      <c r="D481" s="2">
        <v>6.186411334E9</v>
      </c>
      <c r="E481" s="1" t="s">
        <v>2135</v>
      </c>
      <c r="F481" s="1"/>
      <c r="G481" s="1" t="s">
        <v>2136</v>
      </c>
      <c r="H481" s="1" t="s">
        <v>1155</v>
      </c>
      <c r="I481" s="1">
        <v>63117.0</v>
      </c>
      <c r="J481" s="1" t="s">
        <v>752</v>
      </c>
      <c r="K481" s="1" t="s">
        <v>2577</v>
      </c>
      <c r="L481" s="1" t="s">
        <v>2578</v>
      </c>
      <c r="M481" s="1">
        <v>1.0</v>
      </c>
      <c r="N481" s="1" t="s">
        <v>2579</v>
      </c>
      <c r="O481" s="3" t="s">
        <v>2586</v>
      </c>
      <c r="P481" s="18">
        <v>45848.0</v>
      </c>
      <c r="Q481" s="1" t="s">
        <v>2598</v>
      </c>
      <c r="R481" s="1"/>
      <c r="S481" s="1" t="s">
        <v>2579</v>
      </c>
      <c r="T481" s="1" t="s">
        <v>2579</v>
      </c>
      <c r="U481" s="1" t="s">
        <v>1343</v>
      </c>
      <c r="V481" s="4" t="s">
        <v>2586</v>
      </c>
      <c r="W481" s="1"/>
      <c r="X481" s="18">
        <v>45848.0</v>
      </c>
      <c r="Y481" s="1"/>
      <c r="Z481" s="1"/>
      <c r="AA481" s="1"/>
      <c r="AB481" s="1"/>
      <c r="AC481" s="1" t="s">
        <v>1925</v>
      </c>
      <c r="AD481" s="1"/>
      <c r="AE481" s="18"/>
      <c r="AF481" s="1"/>
      <c r="AG481" s="1"/>
      <c r="AH481" s="1" t="s">
        <v>1152</v>
      </c>
      <c r="AI481" s="1" t="s">
        <v>2599</v>
      </c>
      <c r="AJ481" s="1"/>
      <c r="AK481" s="1"/>
      <c r="AL481" s="6" t="str">
        <f t="array" ref="AL481">IFERROR(IFS(XLOOKUP(B481, 'Kit Delivery Status'!$U:$U, 'Kit Delivery Status'!$K:$K) = "Complete", "DELIVERED", XLOOKUP(B481, 'Kit Delivery Status'!$U:$U, 'Kit Delivery Status'!$K:$K) = "Issue", "ISSUE"), "")</f>
        <v/>
      </c>
      <c r="AM481" s="6"/>
    </row>
    <row r="482">
      <c r="A482" s="5" t="s">
        <v>2574</v>
      </c>
      <c r="B482" s="1" t="s">
        <v>2575</v>
      </c>
      <c r="C482" s="1" t="s">
        <v>2576</v>
      </c>
      <c r="D482" s="2">
        <v>6.186411334E9</v>
      </c>
      <c r="E482" s="1" t="s">
        <v>2135</v>
      </c>
      <c r="F482" s="1"/>
      <c r="G482" s="1" t="s">
        <v>2136</v>
      </c>
      <c r="H482" s="1" t="s">
        <v>1155</v>
      </c>
      <c r="I482" s="1">
        <v>63117.0</v>
      </c>
      <c r="J482" s="1" t="s">
        <v>752</v>
      </c>
      <c r="K482" s="1" t="s">
        <v>2577</v>
      </c>
      <c r="L482" s="1" t="s">
        <v>2578</v>
      </c>
      <c r="M482" s="1">
        <v>1.0</v>
      </c>
      <c r="N482" s="1" t="s">
        <v>2579</v>
      </c>
      <c r="O482" s="3" t="s">
        <v>2586</v>
      </c>
      <c r="P482" s="18">
        <v>45848.0</v>
      </c>
      <c r="Q482" s="1" t="s">
        <v>2600</v>
      </c>
      <c r="R482" s="1"/>
      <c r="S482" s="1" t="s">
        <v>2579</v>
      </c>
      <c r="T482" s="1" t="s">
        <v>2579</v>
      </c>
      <c r="U482" s="1" t="s">
        <v>1249</v>
      </c>
      <c r="V482" s="4" t="s">
        <v>2586</v>
      </c>
      <c r="W482" s="1"/>
      <c r="X482" s="18">
        <v>45848.0</v>
      </c>
      <c r="Y482" s="1"/>
      <c r="Z482" s="1"/>
      <c r="AA482" s="1"/>
      <c r="AB482" s="1"/>
      <c r="AC482" s="1" t="s">
        <v>1925</v>
      </c>
      <c r="AD482" s="1"/>
      <c r="AE482" s="18"/>
      <c r="AF482" s="1"/>
      <c r="AG482" s="1"/>
      <c r="AH482" s="1" t="s">
        <v>1152</v>
      </c>
      <c r="AI482" s="1" t="s">
        <v>2601</v>
      </c>
      <c r="AJ482" s="1"/>
      <c r="AK482" s="1"/>
      <c r="AL482" s="6" t="str">
        <f t="array" ref="AL482">IFERROR(IFS(XLOOKUP(B482, 'Kit Delivery Status'!$U:$U, 'Kit Delivery Status'!$K:$K) = "Complete", "DELIVERED", XLOOKUP(B482, 'Kit Delivery Status'!$U:$U, 'Kit Delivery Status'!$K:$K) = "Issue", "ISSUE"), "")</f>
        <v/>
      </c>
      <c r="AM482" s="6"/>
    </row>
    <row r="483">
      <c r="A483" s="5" t="s">
        <v>2574</v>
      </c>
      <c r="B483" s="1" t="s">
        <v>2575</v>
      </c>
      <c r="C483" s="1" t="s">
        <v>2576</v>
      </c>
      <c r="D483" s="2">
        <v>6.186411334E9</v>
      </c>
      <c r="E483" s="1" t="s">
        <v>2135</v>
      </c>
      <c r="F483" s="1"/>
      <c r="G483" s="1" t="s">
        <v>2136</v>
      </c>
      <c r="H483" s="1" t="s">
        <v>1155</v>
      </c>
      <c r="I483" s="1">
        <v>63117.0</v>
      </c>
      <c r="J483" s="1" t="s">
        <v>752</v>
      </c>
      <c r="K483" s="1" t="s">
        <v>2577</v>
      </c>
      <c r="L483" s="1" t="s">
        <v>2578</v>
      </c>
      <c r="M483" s="1">
        <v>1.0</v>
      </c>
      <c r="N483" s="1" t="s">
        <v>2579</v>
      </c>
      <c r="O483" s="3" t="s">
        <v>2602</v>
      </c>
      <c r="P483" s="18">
        <v>45848.0</v>
      </c>
      <c r="Q483" s="1" t="s">
        <v>2603</v>
      </c>
      <c r="R483" s="1"/>
      <c r="S483" s="1" t="s">
        <v>2579</v>
      </c>
      <c r="T483" s="1" t="s">
        <v>2579</v>
      </c>
      <c r="U483" s="1" t="s">
        <v>1407</v>
      </c>
      <c r="V483" s="4" t="s">
        <v>2602</v>
      </c>
      <c r="W483" s="1"/>
      <c r="X483" s="18">
        <v>45848.0</v>
      </c>
      <c r="Y483" s="1"/>
      <c r="Z483" s="1"/>
      <c r="AA483" s="1"/>
      <c r="AB483" s="1"/>
      <c r="AC483" s="1" t="s">
        <v>1925</v>
      </c>
      <c r="AD483" s="1"/>
      <c r="AE483" s="18"/>
      <c r="AF483" s="1"/>
      <c r="AG483" s="1"/>
      <c r="AH483" s="1" t="s">
        <v>1152</v>
      </c>
      <c r="AI483" s="1" t="s">
        <v>2604</v>
      </c>
      <c r="AJ483" s="1"/>
      <c r="AK483" s="1"/>
      <c r="AL483" s="6" t="str">
        <f t="array" ref="AL483">IFERROR(IFS(XLOOKUP(B483, 'Kit Delivery Status'!$U:$U, 'Kit Delivery Status'!$K:$K) = "Complete", "DELIVERED", XLOOKUP(B483, 'Kit Delivery Status'!$U:$U, 'Kit Delivery Status'!$K:$K) = "Issue", "ISSUE"), "")</f>
        <v/>
      </c>
      <c r="AM483" s="6"/>
    </row>
    <row r="484">
      <c r="A484" s="5" t="s">
        <v>2605</v>
      </c>
      <c r="B484" s="1" t="s">
        <v>2606</v>
      </c>
      <c r="C484" s="1" t="s">
        <v>2607</v>
      </c>
      <c r="D484" s="2"/>
      <c r="E484" s="1" t="s">
        <v>2608</v>
      </c>
      <c r="F484" s="1"/>
      <c r="G484" s="1" t="s">
        <v>2609</v>
      </c>
      <c r="H484" s="1" t="s">
        <v>1891</v>
      </c>
      <c r="I484" s="1">
        <v>80238.0</v>
      </c>
      <c r="J484" s="1" t="s">
        <v>752</v>
      </c>
      <c r="K484" s="1" t="s">
        <v>51</v>
      </c>
      <c r="L484" s="1" t="s">
        <v>2460</v>
      </c>
      <c r="M484" s="1">
        <v>1.0</v>
      </c>
      <c r="N484" s="1" t="s">
        <v>2461</v>
      </c>
      <c r="O484" s="3" t="s">
        <v>2610</v>
      </c>
      <c r="P484" s="18">
        <v>45882.0</v>
      </c>
      <c r="Q484" s="1" t="s">
        <v>2463</v>
      </c>
      <c r="R484" s="1"/>
      <c r="S484" s="1" t="s">
        <v>2461</v>
      </c>
      <c r="T484" s="1" t="s">
        <v>2461</v>
      </c>
      <c r="U484" s="1" t="s">
        <v>1441</v>
      </c>
      <c r="V484" s="4" t="s">
        <v>2610</v>
      </c>
      <c r="W484" s="1"/>
      <c r="X484" s="18">
        <v>45882.0</v>
      </c>
      <c r="Y484" s="1" t="s">
        <v>1030</v>
      </c>
      <c r="Z484" s="1"/>
      <c r="AA484" s="1"/>
      <c r="AB484" s="1" t="s">
        <v>52</v>
      </c>
      <c r="AC484" s="1" t="s">
        <v>1925</v>
      </c>
      <c r="AD484" s="1"/>
      <c r="AE484" s="18"/>
      <c r="AF484" s="1"/>
      <c r="AG484" s="1"/>
      <c r="AH484" s="1" t="s">
        <v>1152</v>
      </c>
      <c r="AI484" s="1"/>
      <c r="AJ484" s="1"/>
      <c r="AK484" s="1"/>
      <c r="AL484" s="6" t="str">
        <f t="array" ref="AL484">IFERROR(IFS(XLOOKUP(B484, 'Kit Delivery Status'!$U:$U, 'Kit Delivery Status'!$K:$K) = "Complete", "DELIVERED", XLOOKUP(B484, 'Kit Delivery Status'!$U:$U, 'Kit Delivery Status'!$K:$K) = "Issue", "ISSUE"), "")</f>
        <v/>
      </c>
      <c r="AM484" s="6"/>
    </row>
    <row r="485">
      <c r="A485" s="5" t="s">
        <v>2611</v>
      </c>
      <c r="B485" s="1" t="s">
        <v>2612</v>
      </c>
      <c r="C485" s="1" t="s">
        <v>2613</v>
      </c>
      <c r="D485" s="2">
        <v>1.8479772174E10</v>
      </c>
      <c r="E485" s="1" t="s">
        <v>2614</v>
      </c>
      <c r="F485" s="1"/>
      <c r="G485" s="1" t="s">
        <v>2615</v>
      </c>
      <c r="H485" s="1" t="s">
        <v>1019</v>
      </c>
      <c r="I485" s="1">
        <v>60061.0</v>
      </c>
      <c r="J485" s="1" t="s">
        <v>752</v>
      </c>
      <c r="K485" s="1" t="s">
        <v>66</v>
      </c>
      <c r="L485" s="1" t="s">
        <v>2495</v>
      </c>
      <c r="M485" s="1">
        <v>145.0</v>
      </c>
      <c r="N485" s="1" t="s">
        <v>1152</v>
      </c>
      <c r="O485" s="3" t="s">
        <v>2616</v>
      </c>
      <c r="P485" s="18">
        <v>45883.0</v>
      </c>
      <c r="Q485" s="1" t="s">
        <v>1152</v>
      </c>
      <c r="R485" s="1"/>
      <c r="S485" s="1" t="s">
        <v>1152</v>
      </c>
      <c r="T485" s="1" t="s">
        <v>1152</v>
      </c>
      <c r="U485" s="1" t="s">
        <v>1080</v>
      </c>
      <c r="V485" s="4" t="s">
        <v>2616</v>
      </c>
      <c r="W485" s="1"/>
      <c r="X485" s="18">
        <v>45883.0</v>
      </c>
      <c r="Y485" s="1"/>
      <c r="Z485" s="1"/>
      <c r="AA485" s="1"/>
      <c r="AB485" s="1"/>
      <c r="AC485" s="1" t="s">
        <v>1925</v>
      </c>
      <c r="AD485" s="1"/>
      <c r="AE485" s="18"/>
      <c r="AF485" s="1"/>
      <c r="AG485" s="1"/>
      <c r="AH485" s="1" t="s">
        <v>1152</v>
      </c>
      <c r="AI485" s="1"/>
      <c r="AJ485" s="1"/>
      <c r="AK485" s="1"/>
      <c r="AL485" s="6" t="str">
        <f t="array" ref="AL485">IFERROR(IFS(XLOOKUP(B485, 'Kit Delivery Status'!$U:$U, 'Kit Delivery Status'!$K:$K) = "Complete", "DELIVERED", XLOOKUP(B485, 'Kit Delivery Status'!$U:$U, 'Kit Delivery Status'!$K:$K) = "Issue", "ISSUE"), "")</f>
        <v/>
      </c>
      <c r="AM485" s="6"/>
    </row>
    <row r="486">
      <c r="A486" s="5" t="s">
        <v>2617</v>
      </c>
      <c r="B486" s="1" t="s">
        <v>2618</v>
      </c>
      <c r="C486" s="1" t="s">
        <v>2619</v>
      </c>
      <c r="D486" s="2">
        <v>6.463033079E9</v>
      </c>
      <c r="E486" s="1" t="s">
        <v>2620</v>
      </c>
      <c r="F486" s="1"/>
      <c r="G486" s="1" t="s">
        <v>2621</v>
      </c>
      <c r="H486" s="1" t="s">
        <v>751</v>
      </c>
      <c r="I486" s="1">
        <v>10706.0</v>
      </c>
      <c r="J486" s="1" t="s">
        <v>752</v>
      </c>
      <c r="K486" s="1" t="s">
        <v>66</v>
      </c>
      <c r="L486" s="1" t="s">
        <v>2495</v>
      </c>
      <c r="M486" s="1">
        <v>145.0</v>
      </c>
      <c r="N486" s="1" t="s">
        <v>1152</v>
      </c>
      <c r="O486" s="3" t="s">
        <v>2622</v>
      </c>
      <c r="P486" s="18">
        <v>45883.0</v>
      </c>
      <c r="Q486" s="1" t="s">
        <v>1152</v>
      </c>
      <c r="R486" s="1"/>
      <c r="S486" s="1" t="s">
        <v>1152</v>
      </c>
      <c r="T486" s="1" t="s">
        <v>1152</v>
      </c>
      <c r="U486" s="1" t="s">
        <v>1148</v>
      </c>
      <c r="V486" s="4" t="s">
        <v>2622</v>
      </c>
      <c r="W486" s="1"/>
      <c r="X486" s="18">
        <v>45883.0</v>
      </c>
      <c r="Y486" s="1"/>
      <c r="Z486" s="1"/>
      <c r="AA486" s="1"/>
      <c r="AB486" s="1"/>
      <c r="AC486" s="1" t="s">
        <v>1925</v>
      </c>
      <c r="AD486" s="1"/>
      <c r="AE486" s="18"/>
      <c r="AF486" s="1"/>
      <c r="AG486" s="1"/>
      <c r="AH486" s="1" t="s">
        <v>1152</v>
      </c>
      <c r="AI486" s="1"/>
      <c r="AJ486" s="1"/>
      <c r="AK486" s="1"/>
      <c r="AL486" s="6" t="str">
        <f t="array" ref="AL486">IFERROR(IFS(XLOOKUP(B486, 'Kit Delivery Status'!$U:$U, 'Kit Delivery Status'!$K:$K) = "Complete", "DELIVERED", XLOOKUP(B486, 'Kit Delivery Status'!$U:$U, 'Kit Delivery Status'!$K:$K) = "Issue", "ISSUE"), "")</f>
        <v/>
      </c>
      <c r="AM486" s="6"/>
    </row>
    <row r="487">
      <c r="A487" s="5" t="s">
        <v>2623</v>
      </c>
      <c r="B487" s="1" t="s">
        <v>2624</v>
      </c>
      <c r="C487" s="1" t="s">
        <v>343</v>
      </c>
      <c r="D487" s="2">
        <v>16172855518</v>
      </c>
      <c r="E487" s="1" t="s">
        <v>345</v>
      </c>
      <c r="F487" s="1"/>
      <c r="G487" s="1" t="s">
        <v>2625</v>
      </c>
      <c r="H487" s="1" t="s">
        <v>1121</v>
      </c>
      <c r="I487" s="1">
        <v>2492.0</v>
      </c>
      <c r="J487" s="1" t="s">
        <v>752</v>
      </c>
      <c r="K487" s="1" t="s">
        <v>95</v>
      </c>
      <c r="L487" s="1" t="s">
        <v>2571</v>
      </c>
      <c r="M487" s="1">
        <v>49.0</v>
      </c>
      <c r="N487" s="1" t="s">
        <v>2461</v>
      </c>
      <c r="O487" s="3" t="s">
        <v>347</v>
      </c>
      <c r="P487" s="18">
        <v>45883.0</v>
      </c>
      <c r="Q487" s="1" t="s">
        <v>2463</v>
      </c>
      <c r="R487" s="1"/>
      <c r="S487" s="1" t="s">
        <v>2461</v>
      </c>
      <c r="T487" s="1" t="s">
        <v>2461</v>
      </c>
      <c r="U487" s="1" t="s">
        <v>956</v>
      </c>
      <c r="V487" s="4" t="s">
        <v>347</v>
      </c>
      <c r="W487" s="1"/>
      <c r="X487" s="18">
        <v>45883.0</v>
      </c>
      <c r="Y487" s="1" t="s">
        <v>1030</v>
      </c>
      <c r="Z487" s="1"/>
      <c r="AA487" s="1"/>
      <c r="AB487" s="1" t="s">
        <v>52</v>
      </c>
      <c r="AC487" s="1" t="s">
        <v>2626</v>
      </c>
      <c r="AD487" s="1"/>
      <c r="AE487" s="18"/>
      <c r="AF487" s="1"/>
      <c r="AG487" s="1"/>
      <c r="AH487" s="1" t="s">
        <v>1152</v>
      </c>
      <c r="AI487" s="1"/>
      <c r="AJ487" s="1"/>
      <c r="AK487" s="1"/>
      <c r="AL487" s="6" t="str">
        <f t="array" ref="AL487">IFERROR(IFS(XLOOKUP(B487, 'Kit Delivery Status'!$U:$U, 'Kit Delivery Status'!$K:$K) = "Complete", "DELIVERED", XLOOKUP(B487, 'Kit Delivery Status'!$U:$U, 'Kit Delivery Status'!$K:$K) = "Issue", "ISSUE"), "")</f>
        <v/>
      </c>
      <c r="AM487" s="6"/>
    </row>
    <row r="488">
      <c r="A488" s="5" t="s">
        <v>2627</v>
      </c>
      <c r="B488" s="1" t="s">
        <v>2628</v>
      </c>
      <c r="C488" s="1"/>
      <c r="D488" s="2">
        <v>1.3468038604E10</v>
      </c>
      <c r="E488" s="1" t="s">
        <v>2629</v>
      </c>
      <c r="F488" s="1"/>
      <c r="G488" s="1" t="s">
        <v>2630</v>
      </c>
      <c r="H488" s="1" t="s">
        <v>1583</v>
      </c>
      <c r="I488" s="1">
        <v>77407.0</v>
      </c>
      <c r="J488" s="1" t="s">
        <v>752</v>
      </c>
      <c r="K488" s="1" t="s">
        <v>95</v>
      </c>
      <c r="L488" s="1" t="s">
        <v>2571</v>
      </c>
      <c r="M488" s="1">
        <v>49.0</v>
      </c>
      <c r="N488" s="1" t="s">
        <v>2461</v>
      </c>
      <c r="O488" s="3" t="s">
        <v>2631</v>
      </c>
      <c r="P488" s="18">
        <v>45883.0</v>
      </c>
      <c r="Q488" s="1" t="s">
        <v>2463</v>
      </c>
      <c r="R488" s="1"/>
      <c r="S488" s="1" t="s">
        <v>2461</v>
      </c>
      <c r="T488" s="1" t="s">
        <v>2461</v>
      </c>
      <c r="U488" s="1" t="s">
        <v>1080</v>
      </c>
      <c r="V488" s="4" t="s">
        <v>2631</v>
      </c>
      <c r="W488" s="1"/>
      <c r="X488" s="18">
        <v>45883.0</v>
      </c>
      <c r="Y488" s="1" t="s">
        <v>1030</v>
      </c>
      <c r="Z488" s="1"/>
      <c r="AA488" s="1"/>
      <c r="AB488" s="1" t="s">
        <v>52</v>
      </c>
      <c r="AC488" s="1" t="s">
        <v>2632</v>
      </c>
      <c r="AD488" s="1"/>
      <c r="AE488" s="18"/>
      <c r="AF488" s="1"/>
      <c r="AG488" s="1"/>
      <c r="AH488" s="1" t="s">
        <v>1152</v>
      </c>
      <c r="AI488" s="1"/>
      <c r="AJ488" s="1"/>
      <c r="AK488" s="1"/>
      <c r="AL488" s="6" t="str">
        <f t="array" ref="AL488">IFERROR(IFS(XLOOKUP(B488, 'Kit Delivery Status'!$U:$U, 'Kit Delivery Status'!$K:$K) = "Complete", "DELIVERED", XLOOKUP(B488, 'Kit Delivery Status'!$U:$U, 'Kit Delivery Status'!$K:$K) = "Issue", "ISSUE"), "")</f>
        <v/>
      </c>
      <c r="AM488" s="6"/>
    </row>
    <row r="489">
      <c r="A489" s="5" t="s">
        <v>2633</v>
      </c>
      <c r="B489" s="1" t="s">
        <v>2634</v>
      </c>
      <c r="C489" s="1" t="s">
        <v>2635</v>
      </c>
      <c r="D489" s="2">
        <v>1.4083188388E10</v>
      </c>
      <c r="E489" s="1" t="s">
        <v>2636</v>
      </c>
      <c r="F489" s="1"/>
      <c r="G489" s="1" t="s">
        <v>1520</v>
      </c>
      <c r="H489" s="1" t="s">
        <v>989</v>
      </c>
      <c r="I489" s="1">
        <v>94087.0</v>
      </c>
      <c r="J489" s="1" t="s">
        <v>752</v>
      </c>
      <c r="K489" s="1" t="s">
        <v>42</v>
      </c>
      <c r="L489" s="1" t="s">
        <v>2637</v>
      </c>
      <c r="M489" s="1">
        <v>49.0</v>
      </c>
      <c r="N489" s="1" t="s">
        <v>1152</v>
      </c>
      <c r="O489" s="3" t="s">
        <v>2020</v>
      </c>
      <c r="P489" s="1" t="s">
        <v>1152</v>
      </c>
      <c r="Q489" s="1" t="s">
        <v>1152</v>
      </c>
      <c r="R489" s="1"/>
      <c r="S489" s="1" t="s">
        <v>1152</v>
      </c>
      <c r="T489" s="1" t="s">
        <v>1152</v>
      </c>
      <c r="U489" s="1" t="s">
        <v>1710</v>
      </c>
      <c r="V489" s="4" t="s">
        <v>2020</v>
      </c>
      <c r="W489" s="1"/>
      <c r="X489" s="18"/>
      <c r="Y489" s="1"/>
      <c r="Z489" s="1"/>
      <c r="AA489" s="1"/>
      <c r="AB489" s="1"/>
      <c r="AC489" s="1" t="s">
        <v>1925</v>
      </c>
      <c r="AD489" s="1"/>
      <c r="AE489" s="18">
        <v>45863.0</v>
      </c>
      <c r="AF489" s="1" t="s">
        <v>1630</v>
      </c>
      <c r="AG489" s="1" t="s">
        <v>52</v>
      </c>
      <c r="AH489" s="1" t="s">
        <v>1152</v>
      </c>
      <c r="AI489" s="1"/>
      <c r="AJ489" s="1"/>
      <c r="AK489" s="1"/>
      <c r="AL489" s="6" t="str">
        <f t="array" ref="AL489">IFERROR(IFS(XLOOKUP(B489, 'Kit Delivery Status'!$U:$U, 'Kit Delivery Status'!$K:$K) = "Complete", "DELIVERED", XLOOKUP(B489, 'Kit Delivery Status'!$U:$U, 'Kit Delivery Status'!$K:$K) = "Issue", "ISSUE"), "")</f>
        <v/>
      </c>
      <c r="AM489" s="6"/>
    </row>
    <row r="490">
      <c r="A490" s="5" t="s">
        <v>2638</v>
      </c>
      <c r="B490" s="1" t="s">
        <v>2639</v>
      </c>
      <c r="C490" s="1" t="s">
        <v>2640</v>
      </c>
      <c r="D490" s="2">
        <v>2.017856794E9</v>
      </c>
      <c r="E490" s="1" t="s">
        <v>1975</v>
      </c>
      <c r="F490" s="1"/>
      <c r="G490" s="1" t="s">
        <v>1976</v>
      </c>
      <c r="H490" s="1" t="s">
        <v>1121</v>
      </c>
      <c r="I490" s="1">
        <v>1890.0</v>
      </c>
      <c r="J490" s="1" t="s">
        <v>752</v>
      </c>
      <c r="K490" s="1" t="s">
        <v>66</v>
      </c>
      <c r="L490" s="1" t="s">
        <v>2641</v>
      </c>
      <c r="M490" s="1">
        <v>180.0</v>
      </c>
      <c r="N490" s="1" t="s">
        <v>1152</v>
      </c>
      <c r="O490" s="3" t="s">
        <v>1977</v>
      </c>
      <c r="P490" s="18">
        <v>45883.0</v>
      </c>
      <c r="Q490" s="1" t="s">
        <v>1152</v>
      </c>
      <c r="R490" s="1"/>
      <c r="S490" s="1" t="s">
        <v>1152</v>
      </c>
      <c r="T490" s="1" t="s">
        <v>1152</v>
      </c>
      <c r="U490" s="1" t="s">
        <v>1148</v>
      </c>
      <c r="V490" s="4" t="s">
        <v>1977</v>
      </c>
      <c r="W490" s="1"/>
      <c r="X490" s="18">
        <v>45883.0</v>
      </c>
      <c r="Y490" s="1"/>
      <c r="Z490" s="1"/>
      <c r="AA490" s="1"/>
      <c r="AB490" s="1"/>
      <c r="AC490" s="1" t="s">
        <v>1925</v>
      </c>
      <c r="AD490" s="1"/>
      <c r="AE490" s="18"/>
      <c r="AF490" s="1"/>
      <c r="AG490" s="1"/>
      <c r="AH490" s="1" t="s">
        <v>1152</v>
      </c>
      <c r="AI490" s="1"/>
      <c r="AJ490" s="1"/>
      <c r="AK490" s="1"/>
      <c r="AL490" s="6" t="str">
        <f t="array" ref="AL490">IFERROR(IFS(XLOOKUP(B490, 'Kit Delivery Status'!$U:$U, 'Kit Delivery Status'!$K:$K) = "Complete", "DELIVERED", XLOOKUP(B490, 'Kit Delivery Status'!$U:$U, 'Kit Delivery Status'!$K:$K) = "Issue", "ISSUE"), "")</f>
        <v/>
      </c>
      <c r="AM490" s="6"/>
    </row>
    <row r="491">
      <c r="A491" s="5" t="s">
        <v>2642</v>
      </c>
      <c r="B491" s="1" t="s">
        <v>2643</v>
      </c>
      <c r="C491" s="1" t="s">
        <v>2644</v>
      </c>
      <c r="D491" s="2">
        <v>6.463822953E9</v>
      </c>
      <c r="E491" s="1" t="s">
        <v>2645</v>
      </c>
      <c r="F491" s="1"/>
      <c r="G491" s="1" t="s">
        <v>1684</v>
      </c>
      <c r="H491" s="1" t="s">
        <v>751</v>
      </c>
      <c r="I491" s="1">
        <v>11215.0</v>
      </c>
      <c r="J491" s="1" t="s">
        <v>752</v>
      </c>
      <c r="K491" s="1" t="s">
        <v>95</v>
      </c>
      <c r="L491" s="1" t="s">
        <v>2571</v>
      </c>
      <c r="M491" s="1">
        <v>49.0</v>
      </c>
      <c r="N491" s="1" t="s">
        <v>2461</v>
      </c>
      <c r="O491" s="3" t="s">
        <v>2646</v>
      </c>
      <c r="P491" s="18">
        <v>45883.0</v>
      </c>
      <c r="Q491" s="1" t="s">
        <v>2463</v>
      </c>
      <c r="R491" s="1"/>
      <c r="S491" s="1" t="s">
        <v>2461</v>
      </c>
      <c r="T491" s="1" t="s">
        <v>2461</v>
      </c>
      <c r="U491" s="1" t="s">
        <v>1133</v>
      </c>
      <c r="V491" s="4" t="s">
        <v>2646</v>
      </c>
      <c r="W491" s="1"/>
      <c r="X491" s="18">
        <v>45883.0</v>
      </c>
      <c r="Y491" s="1" t="s">
        <v>1030</v>
      </c>
      <c r="Z491" s="1"/>
      <c r="AA491" s="1"/>
      <c r="AB491" s="1" t="s">
        <v>52</v>
      </c>
      <c r="AC491" s="1" t="s">
        <v>2647</v>
      </c>
      <c r="AD491" s="1"/>
      <c r="AE491" s="18"/>
      <c r="AF491" s="1"/>
      <c r="AG491" s="1"/>
      <c r="AH491" s="1" t="s">
        <v>1152</v>
      </c>
      <c r="AI491" s="1"/>
      <c r="AJ491" s="1"/>
      <c r="AK491" s="1"/>
      <c r="AL491" s="6" t="str">
        <f t="array" ref="AL491">IFERROR(IFS(XLOOKUP(B491, 'Kit Delivery Status'!$U:$U, 'Kit Delivery Status'!$K:$K) = "Complete", "DELIVERED", XLOOKUP(B491, 'Kit Delivery Status'!$U:$U, 'Kit Delivery Status'!$K:$K) = "Issue", "ISSUE"), "")</f>
        <v/>
      </c>
      <c r="AM491" s="6"/>
    </row>
    <row r="492">
      <c r="A492" s="5" t="s">
        <v>2648</v>
      </c>
      <c r="B492" s="1" t="s">
        <v>2649</v>
      </c>
      <c r="C492" s="1" t="s">
        <v>2650</v>
      </c>
      <c r="D492" s="2">
        <v>9.785054923E9</v>
      </c>
      <c r="E492" s="1" t="s">
        <v>2651</v>
      </c>
      <c r="F492" s="1"/>
      <c r="G492" s="1" t="s">
        <v>2570</v>
      </c>
      <c r="H492" s="1" t="s">
        <v>1121</v>
      </c>
      <c r="I492" s="1">
        <v>1776.0</v>
      </c>
      <c r="J492" s="1" t="s">
        <v>752</v>
      </c>
      <c r="K492" s="1" t="s">
        <v>66</v>
      </c>
      <c r="L492" s="1" t="s">
        <v>2495</v>
      </c>
      <c r="M492" s="1">
        <v>145.0</v>
      </c>
      <c r="N492" s="1" t="s">
        <v>1152</v>
      </c>
      <c r="O492" s="3" t="s">
        <v>2652</v>
      </c>
      <c r="P492" s="18">
        <v>45883.0</v>
      </c>
      <c r="Q492" s="1" t="s">
        <v>1152</v>
      </c>
      <c r="R492" s="1"/>
      <c r="S492" s="1" t="s">
        <v>1152</v>
      </c>
      <c r="T492" s="1" t="s">
        <v>1152</v>
      </c>
      <c r="U492" s="1" t="s">
        <v>982</v>
      </c>
      <c r="V492" s="4" t="s">
        <v>2652</v>
      </c>
      <c r="W492" s="1"/>
      <c r="X492" s="18">
        <v>45883.0</v>
      </c>
      <c r="Y492" s="1"/>
      <c r="Z492" s="1"/>
      <c r="AA492" s="1"/>
      <c r="AB492" s="1"/>
      <c r="AC492" s="1" t="s">
        <v>1925</v>
      </c>
      <c r="AD492" s="1"/>
      <c r="AE492" s="18"/>
      <c r="AF492" s="1"/>
      <c r="AG492" s="1"/>
      <c r="AH492" s="1" t="s">
        <v>1152</v>
      </c>
      <c r="AI492" s="1"/>
      <c r="AJ492" s="1"/>
      <c r="AK492" s="1"/>
      <c r="AL492" s="6" t="str">
        <f t="array" ref="AL492">IFERROR(IFS(XLOOKUP(B492, 'Kit Delivery Status'!$U:$U, 'Kit Delivery Status'!$K:$K) = "Complete", "DELIVERED", XLOOKUP(B492, 'Kit Delivery Status'!$U:$U, 'Kit Delivery Status'!$K:$K) = "Issue", "ISSUE"), "")</f>
        <v/>
      </c>
      <c r="AM492" s="6"/>
    </row>
    <row r="493">
      <c r="A493" s="5" t="s">
        <v>2653</v>
      </c>
      <c r="B493" s="1" t="s">
        <v>2654</v>
      </c>
      <c r="C493" s="1" t="s">
        <v>2644</v>
      </c>
      <c r="D493" s="2">
        <v>16463822953</v>
      </c>
      <c r="E493" s="1" t="s">
        <v>2645</v>
      </c>
      <c r="F493" s="1"/>
      <c r="G493" s="1" t="s">
        <v>1684</v>
      </c>
      <c r="H493" s="1" t="s">
        <v>751</v>
      </c>
      <c r="I493" s="1">
        <v>11232.0</v>
      </c>
      <c r="J493" s="1" t="s">
        <v>752</v>
      </c>
      <c r="K493" s="1" t="s">
        <v>66</v>
      </c>
      <c r="L493" s="1" t="s">
        <v>2495</v>
      </c>
      <c r="M493" s="1">
        <v>145.0</v>
      </c>
      <c r="N493" s="1" t="s">
        <v>1152</v>
      </c>
      <c r="O493" s="3" t="s">
        <v>2646</v>
      </c>
      <c r="P493" s="18">
        <v>45883.0</v>
      </c>
      <c r="Q493" s="1" t="s">
        <v>1152</v>
      </c>
      <c r="R493" s="1"/>
      <c r="S493" s="1" t="s">
        <v>1152</v>
      </c>
      <c r="T493" s="1" t="s">
        <v>1152</v>
      </c>
      <c r="U493" s="1" t="s">
        <v>1133</v>
      </c>
      <c r="V493" s="4" t="s">
        <v>2646</v>
      </c>
      <c r="W493" s="1"/>
      <c r="X493" s="18">
        <v>45883.0</v>
      </c>
      <c r="Y493" s="1"/>
      <c r="Z493" s="1"/>
      <c r="AA493" s="1"/>
      <c r="AB493" s="1"/>
      <c r="AC493" s="1" t="s">
        <v>1925</v>
      </c>
      <c r="AD493" s="1"/>
      <c r="AE493" s="18"/>
      <c r="AF493" s="1"/>
      <c r="AG493" s="1"/>
      <c r="AH493" s="1" t="s">
        <v>1152</v>
      </c>
      <c r="AI493" s="1"/>
      <c r="AJ493" s="1"/>
      <c r="AK493" s="1"/>
      <c r="AL493" s="6" t="str">
        <f t="array" ref="AL493">IFERROR(IFS(XLOOKUP(B493, 'Kit Delivery Status'!$U:$U, 'Kit Delivery Status'!$K:$K) = "Complete", "DELIVERED", XLOOKUP(B493, 'Kit Delivery Status'!$U:$U, 'Kit Delivery Status'!$K:$K) = "Issue", "ISSUE"), "")</f>
        <v/>
      </c>
      <c r="AM493" s="6"/>
    </row>
    <row r="494">
      <c r="A494" s="5" t="s">
        <v>2655</v>
      </c>
      <c r="B494" s="1" t="s">
        <v>2656</v>
      </c>
      <c r="C494" s="1" t="s">
        <v>2657</v>
      </c>
      <c r="D494" s="2">
        <v>2.179796836E9</v>
      </c>
      <c r="E494" s="1" t="s">
        <v>2658</v>
      </c>
      <c r="F494" s="1"/>
      <c r="G494" s="1" t="s">
        <v>1283</v>
      </c>
      <c r="H494" s="1" t="s">
        <v>1155</v>
      </c>
      <c r="I494" s="1">
        <v>63105.0</v>
      </c>
      <c r="J494" s="1" t="s">
        <v>752</v>
      </c>
      <c r="K494" s="1" t="s">
        <v>51</v>
      </c>
      <c r="L494" s="1" t="s">
        <v>2460</v>
      </c>
      <c r="M494" s="1">
        <v>1.0</v>
      </c>
      <c r="N494" s="1" t="s">
        <v>2461</v>
      </c>
      <c r="O494" s="3" t="s">
        <v>1292</v>
      </c>
      <c r="P494" s="18">
        <v>45883.0</v>
      </c>
      <c r="Q494" s="1" t="s">
        <v>2463</v>
      </c>
      <c r="R494" s="1"/>
      <c r="S494" s="1" t="s">
        <v>2461</v>
      </c>
      <c r="T494" s="1" t="s">
        <v>2461</v>
      </c>
      <c r="U494" s="1" t="s">
        <v>1828</v>
      </c>
      <c r="V494" s="4" t="s">
        <v>1292</v>
      </c>
      <c r="W494" s="1"/>
      <c r="X494" s="18">
        <v>45883.0</v>
      </c>
      <c r="Y494" s="1" t="s">
        <v>1030</v>
      </c>
      <c r="Z494" s="1"/>
      <c r="AA494" s="1"/>
      <c r="AB494" s="1" t="s">
        <v>52</v>
      </c>
      <c r="AC494" s="1" t="s">
        <v>1925</v>
      </c>
      <c r="AD494" s="1"/>
      <c r="AE494" s="18"/>
      <c r="AF494" s="1"/>
      <c r="AG494" s="1"/>
      <c r="AH494" s="1" t="s">
        <v>1152</v>
      </c>
      <c r="AI494" s="1"/>
      <c r="AJ494" s="1"/>
      <c r="AK494" s="1"/>
      <c r="AL494" s="6" t="str">
        <f t="array" ref="AL494">IFERROR(IFS(XLOOKUP(B494, 'Kit Delivery Status'!$U:$U, 'Kit Delivery Status'!$K:$K) = "Complete", "DELIVERED", XLOOKUP(B494, 'Kit Delivery Status'!$U:$U, 'Kit Delivery Status'!$K:$K) = "Issue", "ISSUE"), "")</f>
        <v/>
      </c>
      <c r="AM494" s="6"/>
    </row>
    <row r="495">
      <c r="A495" s="5" t="s">
        <v>2659</v>
      </c>
      <c r="B495" s="1" t="s">
        <v>2660</v>
      </c>
      <c r="C495" s="1" t="s">
        <v>2661</v>
      </c>
      <c r="D495" s="2"/>
      <c r="E495" s="1" t="s">
        <v>177</v>
      </c>
      <c r="F495" s="1"/>
      <c r="G495" s="1" t="s">
        <v>1179</v>
      </c>
      <c r="H495" s="1" t="s">
        <v>989</v>
      </c>
      <c r="I495" s="1">
        <v>90272.0</v>
      </c>
      <c r="J495" s="1" t="s">
        <v>752</v>
      </c>
      <c r="K495" s="1" t="s">
        <v>892</v>
      </c>
      <c r="L495" s="1">
        <v>2.0</v>
      </c>
      <c r="M495" s="1">
        <v>79.0</v>
      </c>
      <c r="N495" s="1" t="s">
        <v>1152</v>
      </c>
      <c r="O495" s="3" t="s">
        <v>180</v>
      </c>
      <c r="P495" s="1" t="s">
        <v>1152</v>
      </c>
      <c r="Q495" s="1" t="s">
        <v>1152</v>
      </c>
      <c r="R495" s="1"/>
      <c r="S495" s="1" t="s">
        <v>1152</v>
      </c>
      <c r="T495" s="1" t="s">
        <v>1152</v>
      </c>
      <c r="U495" s="1" t="s">
        <v>948</v>
      </c>
      <c r="V495" s="4" t="s">
        <v>180</v>
      </c>
      <c r="W495" s="1"/>
      <c r="X495" s="18"/>
      <c r="Y495" s="1"/>
      <c r="Z495" s="1"/>
      <c r="AA495" s="1"/>
      <c r="AB495" s="1"/>
      <c r="AC495" s="1" t="s">
        <v>1925</v>
      </c>
      <c r="AD495" s="1"/>
      <c r="AE495" s="18">
        <v>45871.0</v>
      </c>
      <c r="AF495" s="1" t="s">
        <v>1030</v>
      </c>
      <c r="AG495" s="1" t="s">
        <v>52</v>
      </c>
      <c r="AH495" s="1" t="s">
        <v>2662</v>
      </c>
      <c r="AI495" s="1"/>
      <c r="AJ495" s="1"/>
      <c r="AK495" s="1"/>
      <c r="AL495" s="6" t="str">
        <f t="array" ref="AL495">IFERROR(IFS(XLOOKUP(B495, 'Kit Delivery Status'!$U:$U, 'Kit Delivery Status'!$K:$K) = "Complete", "DELIVERED", XLOOKUP(B495, 'Kit Delivery Status'!$U:$U, 'Kit Delivery Status'!$K:$K) = "Issue", "ISSUE"), "")</f>
        <v/>
      </c>
      <c r="AM495" s="6"/>
    </row>
    <row r="496">
      <c r="A496" s="5" t="s">
        <v>2663</v>
      </c>
      <c r="B496" s="1" t="s">
        <v>2664</v>
      </c>
      <c r="C496" s="1"/>
      <c r="D496" s="2">
        <v>2.03246337E9</v>
      </c>
      <c r="E496" s="1" t="s">
        <v>2665</v>
      </c>
      <c r="F496" s="1"/>
      <c r="G496" s="1" t="s">
        <v>2666</v>
      </c>
      <c r="H496" s="1" t="s">
        <v>1078</v>
      </c>
      <c r="I496" s="1">
        <v>6820.0</v>
      </c>
      <c r="J496" s="1" t="s">
        <v>752</v>
      </c>
      <c r="K496" s="1" t="s">
        <v>66</v>
      </c>
      <c r="L496" s="1" t="s">
        <v>2495</v>
      </c>
      <c r="M496" s="1">
        <v>145.0</v>
      </c>
      <c r="N496" s="1" t="s">
        <v>1152</v>
      </c>
      <c r="O496" s="3" t="s">
        <v>1844</v>
      </c>
      <c r="P496" s="18">
        <v>45883.0</v>
      </c>
      <c r="Q496" s="1" t="s">
        <v>1152</v>
      </c>
      <c r="R496" s="1"/>
      <c r="S496" s="1" t="s">
        <v>1152</v>
      </c>
      <c r="T496" s="1" t="s">
        <v>1152</v>
      </c>
      <c r="U496" s="1" t="s">
        <v>956</v>
      </c>
      <c r="V496" s="4" t="s">
        <v>1844</v>
      </c>
      <c r="W496" s="1"/>
      <c r="X496" s="18">
        <v>45883.0</v>
      </c>
      <c r="Y496" s="1"/>
      <c r="Z496" s="1"/>
      <c r="AA496" s="1"/>
      <c r="AB496" s="1"/>
      <c r="AC496" s="1" t="s">
        <v>1925</v>
      </c>
      <c r="AD496" s="1"/>
      <c r="AE496" s="18"/>
      <c r="AF496" s="1"/>
      <c r="AG496" s="1"/>
      <c r="AH496" s="1" t="s">
        <v>1152</v>
      </c>
      <c r="AI496" s="1"/>
      <c r="AJ496" s="1"/>
      <c r="AK496" s="1"/>
      <c r="AL496" s="6" t="str">
        <f t="array" ref="AL496">IFERROR(IFS(XLOOKUP(B496, 'Kit Delivery Status'!$U:$U, 'Kit Delivery Status'!$K:$K) = "Complete", "DELIVERED", XLOOKUP(B496, 'Kit Delivery Status'!$U:$U, 'Kit Delivery Status'!$K:$K) = "Issue", "ISSUE"), "")</f>
        <v/>
      </c>
      <c r="AM496" s="6"/>
    </row>
    <row r="497">
      <c r="A497" s="5" t="s">
        <v>2667</v>
      </c>
      <c r="B497" s="1" t="s">
        <v>2668</v>
      </c>
      <c r="C497" s="1" t="s">
        <v>967</v>
      </c>
      <c r="D497" s="2">
        <v>9.178478276E9</v>
      </c>
      <c r="E497" s="1" t="s">
        <v>969</v>
      </c>
      <c r="F497" s="1"/>
      <c r="G497" s="1" t="s">
        <v>971</v>
      </c>
      <c r="H497" s="1" t="s">
        <v>751</v>
      </c>
      <c r="I497" s="1">
        <v>11050.0</v>
      </c>
      <c r="J497" s="1" t="s">
        <v>752</v>
      </c>
      <c r="K497" s="1" t="s">
        <v>66</v>
      </c>
      <c r="L497" s="1" t="s">
        <v>2470</v>
      </c>
      <c r="M497" s="1">
        <v>210.0</v>
      </c>
      <c r="N497" s="1" t="s">
        <v>1152</v>
      </c>
      <c r="O497" s="3" t="s">
        <v>972</v>
      </c>
      <c r="P497" s="18">
        <v>45883.0</v>
      </c>
      <c r="Q497" s="1" t="s">
        <v>1152</v>
      </c>
      <c r="R497" s="1"/>
      <c r="S497" s="1" t="s">
        <v>1152</v>
      </c>
      <c r="T497" s="1" t="s">
        <v>1152</v>
      </c>
      <c r="U497" s="1" t="s">
        <v>1133</v>
      </c>
      <c r="V497" s="4" t="s">
        <v>972</v>
      </c>
      <c r="W497" s="1"/>
      <c r="X497" s="18">
        <v>45883.0</v>
      </c>
      <c r="Y497" s="1"/>
      <c r="Z497" s="1"/>
      <c r="AA497" s="1"/>
      <c r="AB497" s="1"/>
      <c r="AC497" s="1" t="s">
        <v>1925</v>
      </c>
      <c r="AD497" s="1"/>
      <c r="AE497" s="18"/>
      <c r="AF497" s="1"/>
      <c r="AG497" s="1"/>
      <c r="AH497" s="1" t="s">
        <v>1152</v>
      </c>
      <c r="AI497" s="1"/>
      <c r="AJ497" s="1"/>
      <c r="AK497" s="1"/>
      <c r="AL497" s="6" t="str">
        <f t="array" ref="AL497">IFERROR(IFS(XLOOKUP(B497, 'Kit Delivery Status'!$U:$U, 'Kit Delivery Status'!$K:$K) = "Complete", "DELIVERED", XLOOKUP(B497, 'Kit Delivery Status'!$U:$U, 'Kit Delivery Status'!$K:$K) = "Issue", "ISSUE"), "")</f>
        <v/>
      </c>
      <c r="AM497" s="6"/>
    </row>
    <row r="498">
      <c r="A498" s="5" t="s">
        <v>2669</v>
      </c>
      <c r="B498" s="1" t="s">
        <v>2670</v>
      </c>
      <c r="C498" s="1" t="s">
        <v>2671</v>
      </c>
      <c r="D498" s="2">
        <v>6.025731123E9</v>
      </c>
      <c r="E498" s="1" t="s">
        <v>2672</v>
      </c>
      <c r="F498" s="1"/>
      <c r="G498" s="1" t="s">
        <v>2673</v>
      </c>
      <c r="H498" s="1" t="s">
        <v>1535</v>
      </c>
      <c r="I498" s="1">
        <v>85018.0</v>
      </c>
      <c r="J498" s="1" t="s">
        <v>752</v>
      </c>
      <c r="K498" s="1" t="s">
        <v>95</v>
      </c>
      <c r="L498" s="1" t="s">
        <v>2571</v>
      </c>
      <c r="M498" s="1">
        <v>49.0</v>
      </c>
      <c r="N498" s="1" t="s">
        <v>2461</v>
      </c>
      <c r="O498" s="3" t="s">
        <v>2674</v>
      </c>
      <c r="P498" s="18">
        <v>45883.0</v>
      </c>
      <c r="Q498" s="1" t="s">
        <v>2463</v>
      </c>
      <c r="R498" s="1"/>
      <c r="S498" s="1" t="s">
        <v>2461</v>
      </c>
      <c r="T498" s="1" t="s">
        <v>2461</v>
      </c>
      <c r="U498" s="1" t="s">
        <v>1080</v>
      </c>
      <c r="V498" s="4" t="s">
        <v>2674</v>
      </c>
      <c r="W498" s="1"/>
      <c r="X498" s="18">
        <v>45883.0</v>
      </c>
      <c r="Y498" s="1" t="s">
        <v>1030</v>
      </c>
      <c r="Z498" s="1"/>
      <c r="AA498" s="1"/>
      <c r="AB498" s="1" t="s">
        <v>52</v>
      </c>
      <c r="AC498" s="1" t="s">
        <v>2675</v>
      </c>
      <c r="AD498" s="1"/>
      <c r="AE498" s="18"/>
      <c r="AF498" s="1"/>
      <c r="AG498" s="1"/>
      <c r="AH498" s="1" t="s">
        <v>1152</v>
      </c>
      <c r="AI498" s="1"/>
      <c r="AJ498" s="1"/>
      <c r="AK498" s="1"/>
      <c r="AL498" s="6" t="str">
        <f t="array" ref="AL498">IFERROR(IFS(XLOOKUP(B498, 'Kit Delivery Status'!$U:$U, 'Kit Delivery Status'!$K:$K) = "Complete", "DELIVERED", XLOOKUP(B498, 'Kit Delivery Status'!$U:$U, 'Kit Delivery Status'!$K:$K) = "Issue", "ISSUE"), "")</f>
        <v/>
      </c>
      <c r="AM498" s="6"/>
    </row>
    <row r="499">
      <c r="A499" s="5" t="s">
        <v>2676</v>
      </c>
      <c r="B499" s="1" t="s">
        <v>2677</v>
      </c>
      <c r="C499" s="1" t="s">
        <v>2678</v>
      </c>
      <c r="D499" s="2"/>
      <c r="E499" s="1" t="s">
        <v>2679</v>
      </c>
      <c r="F499" s="1"/>
      <c r="G499" s="1" t="s">
        <v>2680</v>
      </c>
      <c r="H499" s="1" t="s">
        <v>946</v>
      </c>
      <c r="I499" s="1">
        <v>30097.0</v>
      </c>
      <c r="J499" s="1" t="s">
        <v>752</v>
      </c>
      <c r="K499" s="1" t="s">
        <v>51</v>
      </c>
      <c r="L499" s="1" t="s">
        <v>2460</v>
      </c>
      <c r="M499" s="1">
        <v>1.0</v>
      </c>
      <c r="N499" s="1" t="s">
        <v>2461</v>
      </c>
      <c r="O499" s="3" t="s">
        <v>2681</v>
      </c>
      <c r="P499" s="18">
        <v>45883.0</v>
      </c>
      <c r="Q499" s="1" t="s">
        <v>2463</v>
      </c>
      <c r="R499" s="1"/>
      <c r="S499" s="1" t="s">
        <v>2461</v>
      </c>
      <c r="T499" s="1" t="s">
        <v>2461</v>
      </c>
      <c r="U499" s="1" t="s">
        <v>1021</v>
      </c>
      <c r="V499" s="4" t="s">
        <v>2681</v>
      </c>
      <c r="W499" s="1"/>
      <c r="X499" s="18">
        <v>45883.0</v>
      </c>
      <c r="Y499" s="1" t="s">
        <v>1030</v>
      </c>
      <c r="Z499" s="1"/>
      <c r="AA499" s="1"/>
      <c r="AB499" s="1" t="s">
        <v>52</v>
      </c>
      <c r="AC499" s="1" t="s">
        <v>1925</v>
      </c>
      <c r="AD499" s="1"/>
      <c r="AE499" s="18"/>
      <c r="AF499" s="1"/>
      <c r="AG499" s="1"/>
      <c r="AH499" s="1" t="s">
        <v>1152</v>
      </c>
      <c r="AI499" s="1"/>
      <c r="AJ499" s="1"/>
      <c r="AK499" s="1"/>
      <c r="AL499" s="6" t="str">
        <f t="array" ref="AL499">IFERROR(IFS(XLOOKUP(B499, 'Kit Delivery Status'!$U:$U, 'Kit Delivery Status'!$K:$K) = "Complete", "DELIVERED", XLOOKUP(B499, 'Kit Delivery Status'!$U:$U, 'Kit Delivery Status'!$K:$K) = "Issue", "ISSUE"), "")</f>
        <v/>
      </c>
      <c r="AM499" s="6"/>
    </row>
    <row r="500">
      <c r="A500" s="5" t="s">
        <v>2682</v>
      </c>
      <c r="B500" s="1" t="s">
        <v>2683</v>
      </c>
      <c r="C500" s="1" t="s">
        <v>2684</v>
      </c>
      <c r="D500" s="2">
        <v>9.179695491E9</v>
      </c>
      <c r="E500" s="1" t="s">
        <v>2685</v>
      </c>
      <c r="F500" s="1"/>
      <c r="G500" s="1" t="s">
        <v>1382</v>
      </c>
      <c r="H500" s="1" t="s">
        <v>751</v>
      </c>
      <c r="I500" s="1">
        <v>10583.0</v>
      </c>
      <c r="J500" s="1" t="s">
        <v>752</v>
      </c>
      <c r="K500" s="1" t="s">
        <v>66</v>
      </c>
      <c r="L500" s="1" t="s">
        <v>2495</v>
      </c>
      <c r="M500" s="1">
        <v>145.0</v>
      </c>
      <c r="N500" s="1" t="s">
        <v>1152</v>
      </c>
      <c r="O500" s="3" t="s">
        <v>2686</v>
      </c>
      <c r="P500" s="18">
        <v>45883.0</v>
      </c>
      <c r="Q500" s="1" t="s">
        <v>1152</v>
      </c>
      <c r="R500" s="1"/>
      <c r="S500" s="1" t="s">
        <v>1152</v>
      </c>
      <c r="T500" s="1" t="s">
        <v>1152</v>
      </c>
      <c r="U500" s="1" t="s">
        <v>982</v>
      </c>
      <c r="V500" s="4" t="s">
        <v>2686</v>
      </c>
      <c r="W500" s="1"/>
      <c r="X500" s="18">
        <v>45883.0</v>
      </c>
      <c r="Y500" s="1"/>
      <c r="Z500" s="1"/>
      <c r="AA500" s="1"/>
      <c r="AB500" s="1"/>
      <c r="AC500" s="1" t="s">
        <v>1925</v>
      </c>
      <c r="AD500" s="1"/>
      <c r="AE500" s="18"/>
      <c r="AF500" s="1"/>
      <c r="AG500" s="1"/>
      <c r="AH500" s="1" t="s">
        <v>1152</v>
      </c>
      <c r="AI500" s="1"/>
      <c r="AJ500" s="1"/>
      <c r="AK500" s="1"/>
      <c r="AL500" s="6" t="str">
        <f t="array" ref="AL500">IFERROR(IFS(XLOOKUP(B500, 'Kit Delivery Status'!$U:$U, 'Kit Delivery Status'!$K:$K) = "Complete", "DELIVERED", XLOOKUP(B500, 'Kit Delivery Status'!$U:$U, 'Kit Delivery Status'!$K:$K) = "Issue", "ISSUE"), "")</f>
        <v/>
      </c>
      <c r="AM500" s="6"/>
    </row>
    <row r="501">
      <c r="A501" s="5" t="s">
        <v>2687</v>
      </c>
      <c r="B501" s="1" t="s">
        <v>2688</v>
      </c>
      <c r="C501" s="1" t="s">
        <v>2689</v>
      </c>
      <c r="D501" s="2"/>
      <c r="E501" s="1" t="s">
        <v>2690</v>
      </c>
      <c r="F501" s="1" t="s">
        <v>2691</v>
      </c>
      <c r="G501" s="1" t="s">
        <v>2417</v>
      </c>
      <c r="H501" s="1" t="s">
        <v>989</v>
      </c>
      <c r="I501" s="1">
        <v>92130.0</v>
      </c>
      <c r="J501" s="1" t="s">
        <v>752</v>
      </c>
      <c r="K501" s="1" t="s">
        <v>51</v>
      </c>
      <c r="L501" s="1"/>
      <c r="M501" s="1">
        <v>1.0</v>
      </c>
      <c r="N501" s="1" t="s">
        <v>2461</v>
      </c>
      <c r="O501" s="3" t="s">
        <v>2692</v>
      </c>
      <c r="P501" s="18">
        <v>45891.0</v>
      </c>
      <c r="Q501" s="1"/>
      <c r="R501" s="1"/>
      <c r="S501" s="1" t="s">
        <v>2461</v>
      </c>
      <c r="T501" s="1" t="s">
        <v>2461</v>
      </c>
      <c r="U501" s="1" t="s">
        <v>680</v>
      </c>
      <c r="V501" s="4" t="s">
        <v>2692</v>
      </c>
      <c r="W501" s="1"/>
      <c r="X501" s="18">
        <v>45891.0</v>
      </c>
      <c r="Y501" s="1"/>
      <c r="Z501" s="1"/>
      <c r="AA501" s="1"/>
      <c r="AB501" s="1" t="s">
        <v>52</v>
      </c>
      <c r="AC501" s="1"/>
      <c r="AD501" s="1"/>
      <c r="AE501" s="18"/>
      <c r="AF501" s="1"/>
      <c r="AG501" s="1"/>
      <c r="AH501" s="1"/>
      <c r="AI501" s="1"/>
      <c r="AJ501" s="1"/>
      <c r="AK501" s="1"/>
      <c r="AL501" s="6" t="str">
        <f t="array" ref="AL501">IFERROR(IFS(XLOOKUP(B501, 'Kit Delivery Status'!$U:$U, 'Kit Delivery Status'!$K:$K) = "Complete", "DELIVERED", XLOOKUP(B501, 'Kit Delivery Status'!$U:$U, 'Kit Delivery Status'!$K:$K) = "Issue", "ISSUE"), "")</f>
        <v/>
      </c>
      <c r="AM501" s="6"/>
    </row>
    <row r="502">
      <c r="A502" s="5" t="s">
        <v>2693</v>
      </c>
      <c r="B502" s="1" t="s">
        <v>2694</v>
      </c>
      <c r="C502" s="1" t="s">
        <v>392</v>
      </c>
      <c r="D502" s="2">
        <v>4.104848141E9</v>
      </c>
      <c r="E502" s="1" t="s">
        <v>2695</v>
      </c>
      <c r="F502" s="1"/>
      <c r="G502" s="1" t="s">
        <v>2696</v>
      </c>
      <c r="H502" s="1" t="s">
        <v>1005</v>
      </c>
      <c r="I502" s="1">
        <v>21208.0</v>
      </c>
      <c r="J502" s="1" t="s">
        <v>752</v>
      </c>
      <c r="K502" s="1" t="s">
        <v>66</v>
      </c>
      <c r="L502" s="1" t="s">
        <v>2495</v>
      </c>
      <c r="M502" s="1">
        <v>145.0</v>
      </c>
      <c r="N502" s="1" t="s">
        <v>1152</v>
      </c>
      <c r="O502" s="3" t="s">
        <v>2697</v>
      </c>
      <c r="P502" s="18">
        <v>45883.0</v>
      </c>
      <c r="Q502" s="1" t="s">
        <v>1152</v>
      </c>
      <c r="R502" s="1"/>
      <c r="S502" s="1" t="s">
        <v>1152</v>
      </c>
      <c r="T502" s="1" t="s">
        <v>1152</v>
      </c>
      <c r="U502" s="1" t="s">
        <v>1249</v>
      </c>
      <c r="V502" s="4" t="s">
        <v>2697</v>
      </c>
      <c r="W502" s="1"/>
      <c r="X502" s="18">
        <v>45883.0</v>
      </c>
      <c r="Y502" s="1"/>
      <c r="Z502" s="1"/>
      <c r="AA502" s="1"/>
      <c r="AB502" s="1"/>
      <c r="AC502" s="1" t="s">
        <v>1925</v>
      </c>
      <c r="AD502" s="1"/>
      <c r="AE502" s="18"/>
      <c r="AF502" s="1"/>
      <c r="AG502" s="1"/>
      <c r="AH502" s="1" t="s">
        <v>1152</v>
      </c>
      <c r="AI502" s="1"/>
      <c r="AJ502" s="1"/>
      <c r="AK502" s="1"/>
      <c r="AL502" s="6" t="str">
        <f t="array" ref="AL502">IFERROR(IFS(XLOOKUP(B502, 'Kit Delivery Status'!$U:$U, 'Kit Delivery Status'!$K:$K) = "Complete", "DELIVERED", XLOOKUP(B502, 'Kit Delivery Status'!$U:$U, 'Kit Delivery Status'!$K:$K) = "Issue", "ISSUE"), "")</f>
        <v/>
      </c>
      <c r="AM502" s="6"/>
    </row>
    <row r="503">
      <c r="A503" s="5" t="s">
        <v>2698</v>
      </c>
      <c r="B503" s="1" t="s">
        <v>2699</v>
      </c>
      <c r="C503" s="1" t="s">
        <v>2700</v>
      </c>
      <c r="D503" s="2">
        <v>2.03814425E9</v>
      </c>
      <c r="E503" s="1" t="s">
        <v>2701</v>
      </c>
      <c r="F503" s="1"/>
      <c r="G503" s="1" t="s">
        <v>2040</v>
      </c>
      <c r="H503" s="1" t="s">
        <v>1078</v>
      </c>
      <c r="I503" s="1">
        <v>6883.0</v>
      </c>
      <c r="J503" s="1" t="s">
        <v>752</v>
      </c>
      <c r="K503" s="1" t="s">
        <v>51</v>
      </c>
      <c r="L503" s="1" t="s">
        <v>2460</v>
      </c>
      <c r="M503" s="1">
        <v>1.0</v>
      </c>
      <c r="N503" s="1" t="s">
        <v>2461</v>
      </c>
      <c r="O503" s="3" t="s">
        <v>1930</v>
      </c>
      <c r="P503" s="18">
        <v>45887.0</v>
      </c>
      <c r="Q503" s="1" t="s">
        <v>2463</v>
      </c>
      <c r="R503" s="1"/>
      <c r="S503" s="1" t="s">
        <v>2461</v>
      </c>
      <c r="T503" s="1" t="s">
        <v>2461</v>
      </c>
      <c r="U503" s="1" t="s">
        <v>1710</v>
      </c>
      <c r="V503" s="4" t="s">
        <v>1930</v>
      </c>
      <c r="W503" s="1"/>
      <c r="X503" s="18">
        <v>45887.0</v>
      </c>
      <c r="Y503" s="1" t="s">
        <v>1030</v>
      </c>
      <c r="Z503" s="1"/>
      <c r="AA503" s="1"/>
      <c r="AB503" s="1" t="s">
        <v>52</v>
      </c>
      <c r="AC503" s="1" t="s">
        <v>1925</v>
      </c>
      <c r="AD503" s="1"/>
      <c r="AE503" s="18"/>
      <c r="AF503" s="1"/>
      <c r="AG503" s="1"/>
      <c r="AH503" s="1" t="s">
        <v>1152</v>
      </c>
      <c r="AI503" s="1"/>
      <c r="AJ503" s="1"/>
      <c r="AK503" s="1"/>
      <c r="AL503" s="6" t="str">
        <f t="array" ref="AL503">IFERROR(IFS(XLOOKUP(B503, 'Kit Delivery Status'!$U:$U, 'Kit Delivery Status'!$K:$K) = "Complete", "DELIVERED", XLOOKUP(B503, 'Kit Delivery Status'!$U:$U, 'Kit Delivery Status'!$K:$K) = "Issue", "ISSUE"), "")</f>
        <v/>
      </c>
      <c r="AM503" s="6"/>
    </row>
    <row r="504">
      <c r="A504" s="5" t="s">
        <v>2702</v>
      </c>
      <c r="B504" s="1" t="s">
        <v>2703</v>
      </c>
      <c r="C504" s="1" t="s">
        <v>2704</v>
      </c>
      <c r="D504" s="2">
        <v>9.173731714E9</v>
      </c>
      <c r="E504" s="1" t="s">
        <v>2705</v>
      </c>
      <c r="F504" s="1"/>
      <c r="G504" s="1" t="s">
        <v>2706</v>
      </c>
      <c r="H504" s="1" t="s">
        <v>751</v>
      </c>
      <c r="I504" s="1">
        <v>11509.0</v>
      </c>
      <c r="J504" s="1" t="s">
        <v>752</v>
      </c>
      <c r="K504" s="1" t="s">
        <v>51</v>
      </c>
      <c r="L504" s="1" t="s">
        <v>2460</v>
      </c>
      <c r="M504" s="1">
        <v>1.0</v>
      </c>
      <c r="N504" s="1" t="s">
        <v>2461</v>
      </c>
      <c r="O504" s="3" t="s">
        <v>621</v>
      </c>
      <c r="P504" s="18">
        <v>45883.0</v>
      </c>
      <c r="Q504" s="1" t="s">
        <v>2463</v>
      </c>
      <c r="R504" s="1"/>
      <c r="S504" s="1" t="s">
        <v>2461</v>
      </c>
      <c r="T504" s="1" t="s">
        <v>2461</v>
      </c>
      <c r="U504" s="1" t="s">
        <v>1710</v>
      </c>
      <c r="V504" s="4" t="s">
        <v>621</v>
      </c>
      <c r="W504" s="1"/>
      <c r="X504" s="18">
        <v>45883.0</v>
      </c>
      <c r="Y504" s="1" t="s">
        <v>1030</v>
      </c>
      <c r="Z504" s="1"/>
      <c r="AA504" s="1"/>
      <c r="AB504" s="1" t="s">
        <v>52</v>
      </c>
      <c r="AC504" s="1" t="s">
        <v>1925</v>
      </c>
      <c r="AD504" s="1"/>
      <c r="AE504" s="18"/>
      <c r="AF504" s="1"/>
      <c r="AG504" s="1"/>
      <c r="AH504" s="1" t="s">
        <v>1152</v>
      </c>
      <c r="AI504" s="1"/>
      <c r="AJ504" s="1"/>
      <c r="AK504" s="1"/>
      <c r="AL504" s="6" t="str">
        <f t="array" ref="AL504">IFERROR(IFS(XLOOKUP(B504, 'Kit Delivery Status'!$U:$U, 'Kit Delivery Status'!$K:$K) = "Complete", "DELIVERED", XLOOKUP(B504, 'Kit Delivery Status'!$U:$U, 'Kit Delivery Status'!$K:$K) = "Issue", "ISSUE"), "")</f>
        <v/>
      </c>
      <c r="AM504" s="6"/>
    </row>
    <row r="505">
      <c r="A505" s="5" t="s">
        <v>2707</v>
      </c>
      <c r="B505" s="1" t="s">
        <v>2708</v>
      </c>
      <c r="C505" s="1"/>
      <c r="D505" s="2">
        <v>9.179219329E9</v>
      </c>
      <c r="E505" s="1" t="s">
        <v>2709</v>
      </c>
      <c r="F505" s="1"/>
      <c r="G505" s="1" t="s">
        <v>751</v>
      </c>
      <c r="H505" s="1" t="s">
        <v>751</v>
      </c>
      <c r="I505" s="1">
        <v>10075.0</v>
      </c>
      <c r="J505" s="1" t="s">
        <v>752</v>
      </c>
      <c r="K505" s="1" t="s">
        <v>51</v>
      </c>
      <c r="L505" s="1" t="s">
        <v>2460</v>
      </c>
      <c r="M505" s="1">
        <v>1.0</v>
      </c>
      <c r="N505" s="1" t="s">
        <v>2461</v>
      </c>
      <c r="O505" s="3" t="s">
        <v>2710</v>
      </c>
      <c r="P505" s="18">
        <v>45892.0</v>
      </c>
      <c r="Q505" s="1" t="s">
        <v>2463</v>
      </c>
      <c r="R505" s="1"/>
      <c r="S505" s="1" t="s">
        <v>2461</v>
      </c>
      <c r="T505" s="1" t="s">
        <v>2461</v>
      </c>
      <c r="U505" s="1" t="s">
        <v>2510</v>
      </c>
      <c r="V505" s="4" t="s">
        <v>2710</v>
      </c>
      <c r="W505" s="1"/>
      <c r="X505" s="18">
        <v>45892.0</v>
      </c>
      <c r="Y505" s="1" t="s">
        <v>1030</v>
      </c>
      <c r="Z505" s="1"/>
      <c r="AA505" s="1"/>
      <c r="AB505" s="1" t="s">
        <v>52</v>
      </c>
      <c r="AC505" s="1" t="s">
        <v>1925</v>
      </c>
      <c r="AD505" s="1"/>
      <c r="AE505" s="18"/>
      <c r="AF505" s="1"/>
      <c r="AG505" s="1"/>
      <c r="AH505" s="1" t="s">
        <v>1152</v>
      </c>
      <c r="AI505" s="1"/>
      <c r="AJ505" s="1"/>
      <c r="AK505" s="1"/>
      <c r="AL505" s="6" t="str">
        <f t="array" ref="AL505">IFERROR(IFS(XLOOKUP(B505, 'Kit Delivery Status'!$U:$U, 'Kit Delivery Status'!$K:$K) = "Complete", "DELIVERED", XLOOKUP(B505, 'Kit Delivery Status'!$U:$U, 'Kit Delivery Status'!$K:$K) = "Issue", "ISSUE"), "")</f>
        <v/>
      </c>
      <c r="AM505" s="6"/>
    </row>
    <row r="506">
      <c r="A506" s="5" t="s">
        <v>2711</v>
      </c>
      <c r="B506" s="1" t="s">
        <v>2712</v>
      </c>
      <c r="C506" s="1" t="s">
        <v>2713</v>
      </c>
      <c r="D506" s="2">
        <v>2.145770454E9</v>
      </c>
      <c r="E506" s="1" t="s">
        <v>2714</v>
      </c>
      <c r="F506" s="1"/>
      <c r="G506" s="1" t="s">
        <v>2715</v>
      </c>
      <c r="H506" s="1" t="s">
        <v>1583</v>
      </c>
      <c r="I506" s="1">
        <v>75214.0</v>
      </c>
      <c r="J506" s="1" t="s">
        <v>752</v>
      </c>
      <c r="K506" s="1" t="s">
        <v>51</v>
      </c>
      <c r="L506" s="1" t="s">
        <v>2460</v>
      </c>
      <c r="M506" s="1">
        <v>1.0</v>
      </c>
      <c r="N506" s="1" t="s">
        <v>2461</v>
      </c>
      <c r="O506" s="3" t="s">
        <v>2716</v>
      </c>
      <c r="P506" s="18">
        <v>45881.0</v>
      </c>
      <c r="Q506" s="1" t="s">
        <v>2463</v>
      </c>
      <c r="R506" s="1"/>
      <c r="S506" s="1" t="s">
        <v>2461</v>
      </c>
      <c r="T506" s="1" t="s">
        <v>2461</v>
      </c>
      <c r="U506" s="1" t="s">
        <v>1065</v>
      </c>
      <c r="V506" s="4" t="s">
        <v>2716</v>
      </c>
      <c r="W506" s="1"/>
      <c r="X506" s="18">
        <v>45881.0</v>
      </c>
      <c r="Y506" s="1" t="s">
        <v>1030</v>
      </c>
      <c r="Z506" s="1"/>
      <c r="AA506" s="1"/>
      <c r="AB506" s="1" t="s">
        <v>52</v>
      </c>
      <c r="AC506" s="1" t="s">
        <v>1925</v>
      </c>
      <c r="AD506" s="1"/>
      <c r="AE506" s="18"/>
      <c r="AF506" s="1"/>
      <c r="AG506" s="1"/>
      <c r="AH506" s="1" t="s">
        <v>1152</v>
      </c>
      <c r="AI506" s="1"/>
      <c r="AJ506" s="1"/>
      <c r="AK506" s="1"/>
      <c r="AL506" s="6" t="str">
        <f t="array" ref="AL506">IFERROR(IFS(XLOOKUP(B506, 'Kit Delivery Status'!$U:$U, 'Kit Delivery Status'!$K:$K) = "Complete", "DELIVERED", XLOOKUP(B506, 'Kit Delivery Status'!$U:$U, 'Kit Delivery Status'!$K:$K) = "Issue", "ISSUE"), "")</f>
        <v/>
      </c>
      <c r="AM506" s="6"/>
    </row>
    <row r="507">
      <c r="A507" s="5" t="s">
        <v>2717</v>
      </c>
      <c r="B507" s="1" t="s">
        <v>2718</v>
      </c>
      <c r="C507" s="1" t="s">
        <v>2719</v>
      </c>
      <c r="D507" s="2"/>
      <c r="E507" s="1" t="s">
        <v>2720</v>
      </c>
      <c r="F507" s="1"/>
      <c r="G507" s="1" t="s">
        <v>1609</v>
      </c>
      <c r="H507" s="1" t="s">
        <v>1583</v>
      </c>
      <c r="I507" s="1">
        <v>77071.0</v>
      </c>
      <c r="J507" s="1" t="s">
        <v>752</v>
      </c>
      <c r="K507" s="1" t="s">
        <v>51</v>
      </c>
      <c r="L507" s="1" t="s">
        <v>2460</v>
      </c>
      <c r="M507" s="1">
        <v>1.0</v>
      </c>
      <c r="N507" s="1" t="s">
        <v>2461</v>
      </c>
      <c r="O507" s="3" t="s">
        <v>2721</v>
      </c>
      <c r="P507" s="18">
        <v>45883.0</v>
      </c>
      <c r="Q507" s="1" t="s">
        <v>2463</v>
      </c>
      <c r="R507" s="1"/>
      <c r="S507" s="1" t="s">
        <v>2461</v>
      </c>
      <c r="T507" s="1" t="s">
        <v>2461</v>
      </c>
      <c r="U507" s="1" t="s">
        <v>1794</v>
      </c>
      <c r="V507" s="4" t="s">
        <v>2721</v>
      </c>
      <c r="W507" s="1"/>
      <c r="X507" s="18">
        <v>45883.0</v>
      </c>
      <c r="Y507" s="1" t="s">
        <v>1030</v>
      </c>
      <c r="Z507" s="1"/>
      <c r="AA507" s="1"/>
      <c r="AB507" s="1" t="s">
        <v>52</v>
      </c>
      <c r="AC507" s="1" t="s">
        <v>1925</v>
      </c>
      <c r="AD507" s="1"/>
      <c r="AE507" s="18"/>
      <c r="AF507" s="1"/>
      <c r="AG507" s="1"/>
      <c r="AH507" s="1" t="s">
        <v>1152</v>
      </c>
      <c r="AI507" s="1"/>
      <c r="AJ507" s="1"/>
      <c r="AK507" s="1"/>
      <c r="AL507" s="6" t="str">
        <f t="array" ref="AL507">IFERROR(IFS(XLOOKUP(B507, 'Kit Delivery Status'!$U:$U, 'Kit Delivery Status'!$K:$K) = "Complete", "DELIVERED", XLOOKUP(B507, 'Kit Delivery Status'!$U:$U, 'Kit Delivery Status'!$K:$K) = "Issue", "ISSUE"), "")</f>
        <v/>
      </c>
      <c r="AM507" s="6"/>
    </row>
    <row r="508">
      <c r="A508" s="5" t="s">
        <v>2722</v>
      </c>
      <c r="B508" s="1" t="s">
        <v>2723</v>
      </c>
      <c r="C508" s="1"/>
      <c r="D508" s="2">
        <v>3.142977831E9</v>
      </c>
      <c r="E508" s="1" t="s">
        <v>2724</v>
      </c>
      <c r="F508" s="1" t="s">
        <v>2725</v>
      </c>
      <c r="G508" s="1" t="s">
        <v>2350</v>
      </c>
      <c r="H508" s="1" t="s">
        <v>1155</v>
      </c>
      <c r="I508" s="1">
        <v>63130.0</v>
      </c>
      <c r="J508" s="1" t="s">
        <v>752</v>
      </c>
      <c r="K508" s="1" t="s">
        <v>51</v>
      </c>
      <c r="L508" s="1" t="s">
        <v>2460</v>
      </c>
      <c r="M508" s="1">
        <v>1.0</v>
      </c>
      <c r="N508" s="1" t="s">
        <v>2487</v>
      </c>
      <c r="O508" s="3"/>
      <c r="P508" s="18">
        <v>45891.0</v>
      </c>
      <c r="Q508" s="1" t="s">
        <v>2463</v>
      </c>
      <c r="R508" s="1" t="s">
        <v>2725</v>
      </c>
      <c r="S508" s="1" t="s">
        <v>2487</v>
      </c>
      <c r="T508" s="1" t="s">
        <v>2487</v>
      </c>
      <c r="U508" s="1"/>
      <c r="V508" s="4"/>
      <c r="W508" s="1" t="s">
        <v>2725</v>
      </c>
      <c r="X508" s="18">
        <v>45891.0</v>
      </c>
      <c r="Y508" s="1" t="s">
        <v>1030</v>
      </c>
      <c r="Z508" s="1"/>
      <c r="AA508" s="1" t="s">
        <v>2725</v>
      </c>
      <c r="AB508" s="1" t="s">
        <v>124</v>
      </c>
      <c r="AC508" s="1" t="s">
        <v>1925</v>
      </c>
      <c r="AD508" s="1"/>
      <c r="AE508" s="18"/>
      <c r="AF508" s="1"/>
      <c r="AG508" s="1"/>
      <c r="AH508" s="1" t="s">
        <v>1152</v>
      </c>
      <c r="AI508" s="1"/>
      <c r="AJ508" s="1"/>
      <c r="AK508" s="1"/>
      <c r="AL508" s="6" t="str">
        <f t="array" ref="AL508">IFERROR(IFS(XLOOKUP(B508, 'Kit Delivery Status'!$U:$U, 'Kit Delivery Status'!$K:$K) = "Complete", "DELIVERED", XLOOKUP(B508, 'Kit Delivery Status'!$U:$U, 'Kit Delivery Status'!$K:$K) = "Issue", "ISSUE"), "")</f>
        <v/>
      </c>
      <c r="AM508" s="6"/>
    </row>
    <row r="509">
      <c r="A509" s="5" t="s">
        <v>2726</v>
      </c>
      <c r="B509" s="1" t="s">
        <v>2727</v>
      </c>
      <c r="C509" s="1" t="s">
        <v>2728</v>
      </c>
      <c r="D509" s="2">
        <v>9.147724856E9</v>
      </c>
      <c r="E509" s="1" t="s">
        <v>2729</v>
      </c>
      <c r="F509" s="1" t="s">
        <v>2730</v>
      </c>
      <c r="G509" s="1" t="s">
        <v>2249</v>
      </c>
      <c r="H509" s="1" t="s">
        <v>751</v>
      </c>
      <c r="I509" s="1">
        <v>10504.0</v>
      </c>
      <c r="J509" s="1" t="s">
        <v>752</v>
      </c>
      <c r="K509" s="1" t="s">
        <v>51</v>
      </c>
      <c r="L509" s="1" t="s">
        <v>2460</v>
      </c>
      <c r="M509" s="1">
        <v>1.0</v>
      </c>
      <c r="N509" s="1" t="s">
        <v>2487</v>
      </c>
      <c r="O509" s="3"/>
      <c r="P509" s="18">
        <v>45883.0</v>
      </c>
      <c r="Q509" s="1" t="s">
        <v>2731</v>
      </c>
      <c r="R509" s="1" t="s">
        <v>2730</v>
      </c>
      <c r="S509" s="1" t="s">
        <v>2487</v>
      </c>
      <c r="T509" s="1" t="s">
        <v>2487</v>
      </c>
      <c r="U509" s="1"/>
      <c r="V509" s="4"/>
      <c r="W509" s="1" t="s">
        <v>2730</v>
      </c>
      <c r="X509" s="18">
        <v>45883.0</v>
      </c>
      <c r="Y509" s="1" t="s">
        <v>1349</v>
      </c>
      <c r="Z509" s="1"/>
      <c r="AA509" s="1" t="s">
        <v>2730</v>
      </c>
      <c r="AB509" s="1" t="s">
        <v>124</v>
      </c>
      <c r="AC509" s="1" t="s">
        <v>1925</v>
      </c>
      <c r="AD509" s="1"/>
      <c r="AE509" s="18"/>
      <c r="AF509" s="1"/>
      <c r="AG509" s="1"/>
      <c r="AH509" s="1" t="s">
        <v>1152</v>
      </c>
      <c r="AI509" s="1"/>
      <c r="AJ509" s="1"/>
      <c r="AK509" s="1"/>
      <c r="AL509" s="6" t="str">
        <f t="array" ref="AL509">IFERROR(IFS(XLOOKUP(B509, 'Kit Delivery Status'!$U:$U, 'Kit Delivery Status'!$K:$K) = "Complete", "DELIVERED", XLOOKUP(B509, 'Kit Delivery Status'!$U:$U, 'Kit Delivery Status'!$K:$K) = "Issue", "ISSUE"), "")</f>
        <v/>
      </c>
      <c r="AM509" s="6"/>
    </row>
    <row r="510">
      <c r="A510" s="5" t="s">
        <v>2732</v>
      </c>
      <c r="B510" s="1" t="s">
        <v>2733</v>
      </c>
      <c r="C510" s="1" t="s">
        <v>2734</v>
      </c>
      <c r="D510" s="2">
        <v>4.107079917E9</v>
      </c>
      <c r="E510" s="1" t="s">
        <v>2735</v>
      </c>
      <c r="F510" s="1"/>
      <c r="G510" s="1" t="s">
        <v>2736</v>
      </c>
      <c r="H510" s="1" t="s">
        <v>1005</v>
      </c>
      <c r="I510" s="1">
        <v>21286.0</v>
      </c>
      <c r="J510" s="1" t="s">
        <v>752</v>
      </c>
      <c r="K510" s="1" t="s">
        <v>95</v>
      </c>
      <c r="L510" s="1" t="s">
        <v>2571</v>
      </c>
      <c r="M510" s="1">
        <v>49.0</v>
      </c>
      <c r="N510" s="1" t="s">
        <v>2461</v>
      </c>
      <c r="O510" s="3" t="s">
        <v>258</v>
      </c>
      <c r="P510" s="18">
        <v>45883.0</v>
      </c>
      <c r="Q510" s="1" t="s">
        <v>2463</v>
      </c>
      <c r="R510" s="1"/>
      <c r="S510" s="1" t="s">
        <v>2461</v>
      </c>
      <c r="T510" s="1" t="s">
        <v>2461</v>
      </c>
      <c r="U510" s="1" t="s">
        <v>1080</v>
      </c>
      <c r="V510" s="4" t="s">
        <v>258</v>
      </c>
      <c r="W510" s="1"/>
      <c r="X510" s="18">
        <v>45883.0</v>
      </c>
      <c r="Y510" s="1" t="s">
        <v>1030</v>
      </c>
      <c r="Z510" s="1"/>
      <c r="AA510" s="1"/>
      <c r="AB510" s="1" t="s">
        <v>52</v>
      </c>
      <c r="AC510" s="1" t="s">
        <v>2737</v>
      </c>
      <c r="AD510" s="1"/>
      <c r="AE510" s="18"/>
      <c r="AF510" s="1"/>
      <c r="AG510" s="1"/>
      <c r="AH510" s="1" t="s">
        <v>1152</v>
      </c>
      <c r="AI510" s="1"/>
      <c r="AJ510" s="1"/>
      <c r="AK510" s="1"/>
      <c r="AL510" s="6" t="str">
        <f t="array" ref="AL510">IFERROR(IFS(XLOOKUP(B510, 'Kit Delivery Status'!$U:$U, 'Kit Delivery Status'!$K:$K) = "Complete", "DELIVERED", XLOOKUP(B510, 'Kit Delivery Status'!$U:$U, 'Kit Delivery Status'!$K:$K) = "Issue", "ISSUE"), "")</f>
        <v/>
      </c>
      <c r="AM510" s="6"/>
    </row>
    <row r="511">
      <c r="A511" s="5" t="s">
        <v>2738</v>
      </c>
      <c r="B511" s="1" t="s">
        <v>2739</v>
      </c>
      <c r="C511" s="1" t="s">
        <v>2740</v>
      </c>
      <c r="D511" s="2">
        <v>7.732307431E9</v>
      </c>
      <c r="E511" s="1" t="s">
        <v>2741</v>
      </c>
      <c r="F511" s="1"/>
      <c r="G511" s="1" t="s">
        <v>1072</v>
      </c>
      <c r="H511" s="1" t="s">
        <v>1019</v>
      </c>
      <c r="I511" s="1">
        <v>60615.0</v>
      </c>
      <c r="J511" s="1" t="s">
        <v>752</v>
      </c>
      <c r="K511" s="1" t="s">
        <v>51</v>
      </c>
      <c r="L511" s="1" t="s">
        <v>2460</v>
      </c>
      <c r="M511" s="1">
        <v>1.0</v>
      </c>
      <c r="N511" s="1" t="s">
        <v>2461</v>
      </c>
      <c r="O511" s="3" t="s">
        <v>2742</v>
      </c>
      <c r="P511" s="18">
        <v>45881.0</v>
      </c>
      <c r="Q511" s="1" t="s">
        <v>2463</v>
      </c>
      <c r="R511" s="1"/>
      <c r="S511" s="1" t="s">
        <v>2461</v>
      </c>
      <c r="T511" s="1" t="s">
        <v>2461</v>
      </c>
      <c r="U511" s="1" t="s">
        <v>1441</v>
      </c>
      <c r="V511" s="4" t="s">
        <v>2742</v>
      </c>
      <c r="W511" s="1"/>
      <c r="X511" s="18">
        <v>45881.0</v>
      </c>
      <c r="Y511" s="1" t="s">
        <v>1030</v>
      </c>
      <c r="Z511" s="1"/>
      <c r="AA511" s="1"/>
      <c r="AB511" s="1" t="s">
        <v>52</v>
      </c>
      <c r="AC511" s="1" t="s">
        <v>1925</v>
      </c>
      <c r="AD511" s="1"/>
      <c r="AE511" s="18"/>
      <c r="AF511" s="1"/>
      <c r="AG511" s="1"/>
      <c r="AH511" s="1" t="s">
        <v>1152</v>
      </c>
      <c r="AI511" s="1"/>
      <c r="AJ511" s="1"/>
      <c r="AK511" s="1"/>
      <c r="AL511" s="6" t="str">
        <f t="array" ref="AL511">IFERROR(IFS(XLOOKUP(B511, 'Kit Delivery Status'!$U:$U, 'Kit Delivery Status'!$K:$K) = "Complete", "DELIVERED", XLOOKUP(B511, 'Kit Delivery Status'!$U:$U, 'Kit Delivery Status'!$K:$K) = "Issue", "ISSUE"), "")</f>
        <v/>
      </c>
      <c r="AM511" s="6"/>
    </row>
    <row r="512">
      <c r="A512" s="5" t="s">
        <v>2743</v>
      </c>
      <c r="B512" s="1" t="s">
        <v>2744</v>
      </c>
      <c r="C512" s="1" t="s">
        <v>2745</v>
      </c>
      <c r="D512" s="2">
        <v>3.053021327E9</v>
      </c>
      <c r="E512" s="1" t="s">
        <v>2746</v>
      </c>
      <c r="F512" s="1"/>
      <c r="G512" s="1" t="s">
        <v>2109</v>
      </c>
      <c r="H512" s="1" t="s">
        <v>1208</v>
      </c>
      <c r="I512" s="1">
        <v>33133.0</v>
      </c>
      <c r="J512" s="1" t="s">
        <v>752</v>
      </c>
      <c r="K512" s="1" t="s">
        <v>51</v>
      </c>
      <c r="L512" s="1" t="s">
        <v>2460</v>
      </c>
      <c r="M512" s="1">
        <v>1.0</v>
      </c>
      <c r="N512" s="1" t="s">
        <v>2461</v>
      </c>
      <c r="O512" s="3" t="s">
        <v>2747</v>
      </c>
      <c r="P512" s="18">
        <v>45883.0</v>
      </c>
      <c r="Q512" s="1" t="s">
        <v>2463</v>
      </c>
      <c r="R512" s="1"/>
      <c r="S512" s="1" t="s">
        <v>2461</v>
      </c>
      <c r="T512" s="1" t="s">
        <v>2461</v>
      </c>
      <c r="U512" s="1" t="s">
        <v>1812</v>
      </c>
      <c r="V512" s="4" t="s">
        <v>2747</v>
      </c>
      <c r="W512" s="1"/>
      <c r="X512" s="18">
        <v>45883.0</v>
      </c>
      <c r="Y512" s="1" t="s">
        <v>1030</v>
      </c>
      <c r="Z512" s="1"/>
      <c r="AA512" s="1"/>
      <c r="AB512" s="1" t="s">
        <v>52</v>
      </c>
      <c r="AC512" s="1" t="s">
        <v>1925</v>
      </c>
      <c r="AD512" s="1"/>
      <c r="AE512" s="18"/>
      <c r="AF512" s="1"/>
      <c r="AG512" s="1"/>
      <c r="AH512" s="1" t="s">
        <v>1152</v>
      </c>
      <c r="AI512" s="1"/>
      <c r="AJ512" s="1"/>
      <c r="AK512" s="1"/>
      <c r="AL512" s="6" t="str">
        <f t="array" ref="AL512">IFERROR(IFS(XLOOKUP(B512, 'Kit Delivery Status'!$U:$U, 'Kit Delivery Status'!$K:$K) = "Complete", "DELIVERED", XLOOKUP(B512, 'Kit Delivery Status'!$U:$U, 'Kit Delivery Status'!$K:$K) = "Issue", "ISSUE"), "")</f>
        <v/>
      </c>
      <c r="AM512" s="6"/>
    </row>
    <row r="513">
      <c r="A513" s="5" t="s">
        <v>2748</v>
      </c>
      <c r="B513" s="1" t="s">
        <v>2749</v>
      </c>
      <c r="C513" s="1" t="s">
        <v>2084</v>
      </c>
      <c r="D513" s="2">
        <v>19177161807</v>
      </c>
      <c r="E513" s="1" t="s">
        <v>2085</v>
      </c>
      <c r="F513" s="1"/>
      <c r="G513" s="1" t="s">
        <v>1660</v>
      </c>
      <c r="H513" s="1" t="s">
        <v>751</v>
      </c>
      <c r="I513" s="1">
        <v>10804.0</v>
      </c>
      <c r="J513" s="1" t="s">
        <v>752</v>
      </c>
      <c r="K513" s="1" t="s">
        <v>66</v>
      </c>
      <c r="L513" s="1" t="s">
        <v>2470</v>
      </c>
      <c r="M513" s="1">
        <v>210.0</v>
      </c>
      <c r="N513" s="1" t="s">
        <v>1152</v>
      </c>
      <c r="O513" s="3" t="s">
        <v>2750</v>
      </c>
      <c r="P513" s="18">
        <v>45883.0</v>
      </c>
      <c r="Q513" s="1" t="s">
        <v>1152</v>
      </c>
      <c r="R513" s="1"/>
      <c r="S513" s="1" t="s">
        <v>1152</v>
      </c>
      <c r="T513" s="1" t="s">
        <v>1152</v>
      </c>
      <c r="U513" s="1" t="s">
        <v>1148</v>
      </c>
      <c r="V513" s="4" t="s">
        <v>2750</v>
      </c>
      <c r="W513" s="1"/>
      <c r="X513" s="18">
        <v>45883.0</v>
      </c>
      <c r="Y513" s="1"/>
      <c r="Z513" s="1"/>
      <c r="AA513" s="1"/>
      <c r="AB513" s="1"/>
      <c r="AC513" s="1" t="s">
        <v>1925</v>
      </c>
      <c r="AD513" s="1"/>
      <c r="AE513" s="18"/>
      <c r="AF513" s="1"/>
      <c r="AG513" s="1"/>
      <c r="AH513" s="1" t="s">
        <v>1152</v>
      </c>
      <c r="AI513" s="1"/>
      <c r="AJ513" s="1"/>
      <c r="AK513" s="1"/>
      <c r="AL513" s="6" t="str">
        <f t="array" ref="AL513">IFERROR(IFS(XLOOKUP(B513, 'Kit Delivery Status'!$U:$U, 'Kit Delivery Status'!$K:$K) = "Complete", "DELIVERED", XLOOKUP(B513, 'Kit Delivery Status'!$U:$U, 'Kit Delivery Status'!$K:$K) = "Issue", "ISSUE"), "")</f>
        <v/>
      </c>
      <c r="AM513" s="6"/>
    </row>
    <row r="514">
      <c r="A514" s="5" t="s">
        <v>2751</v>
      </c>
      <c r="B514" s="1" t="s">
        <v>2752</v>
      </c>
      <c r="C514" s="1" t="s">
        <v>2753</v>
      </c>
      <c r="D514" s="2" t="s">
        <v>2754</v>
      </c>
      <c r="E514" s="1" t="s">
        <v>2755</v>
      </c>
      <c r="F514" s="1"/>
      <c r="G514" s="1" t="s">
        <v>1726</v>
      </c>
      <c r="H514" s="1" t="s">
        <v>751</v>
      </c>
      <c r="I514" s="1">
        <v>10533.0</v>
      </c>
      <c r="J514" s="1" t="s">
        <v>752</v>
      </c>
      <c r="K514" s="1" t="s">
        <v>51</v>
      </c>
      <c r="L514" s="1" t="s">
        <v>2460</v>
      </c>
      <c r="M514" s="1">
        <v>1.0</v>
      </c>
      <c r="N514" s="1" t="s">
        <v>2461</v>
      </c>
      <c r="O514" s="3" t="s">
        <v>2756</v>
      </c>
      <c r="P514" s="18">
        <v>45883.0</v>
      </c>
      <c r="Q514" s="1" t="s">
        <v>2463</v>
      </c>
      <c r="R514" s="1"/>
      <c r="S514" s="1" t="s">
        <v>2461</v>
      </c>
      <c r="T514" s="1" t="s">
        <v>2461</v>
      </c>
      <c r="U514" s="1" t="s">
        <v>1065</v>
      </c>
      <c r="V514" s="4" t="s">
        <v>2756</v>
      </c>
      <c r="W514" s="1"/>
      <c r="X514" s="18">
        <v>45883.0</v>
      </c>
      <c r="Y514" s="1" t="s">
        <v>1030</v>
      </c>
      <c r="Z514" s="1"/>
      <c r="AA514" s="1"/>
      <c r="AB514" s="1" t="s">
        <v>52</v>
      </c>
      <c r="AC514" s="1" t="s">
        <v>1925</v>
      </c>
      <c r="AD514" s="1"/>
      <c r="AE514" s="18"/>
      <c r="AF514" s="1"/>
      <c r="AG514" s="1"/>
      <c r="AH514" s="1" t="s">
        <v>1152</v>
      </c>
      <c r="AI514" s="1"/>
      <c r="AJ514" s="1"/>
      <c r="AK514" s="1"/>
      <c r="AL514" s="6" t="str">
        <f t="array" ref="AL514">IFERROR(IFS(XLOOKUP(B514, 'Kit Delivery Status'!$U:$U, 'Kit Delivery Status'!$K:$K) = "Complete", "DELIVERED", XLOOKUP(B514, 'Kit Delivery Status'!$U:$U, 'Kit Delivery Status'!$K:$K) = "Issue", "ISSUE"), "")</f>
        <v/>
      </c>
      <c r="AM514" s="6"/>
    </row>
    <row r="515">
      <c r="A515" s="5" t="s">
        <v>2757</v>
      </c>
      <c r="B515" s="1" t="s">
        <v>2758</v>
      </c>
      <c r="C515" s="1" t="s">
        <v>2759</v>
      </c>
      <c r="D515" s="2">
        <v>1.8432065331E10</v>
      </c>
      <c r="E515" s="1" t="s">
        <v>2760</v>
      </c>
      <c r="F515" s="1"/>
      <c r="G515" s="1" t="s">
        <v>2761</v>
      </c>
      <c r="H515" s="1" t="s">
        <v>2762</v>
      </c>
      <c r="I515" s="1">
        <v>29501.0</v>
      </c>
      <c r="J515" s="1" t="s">
        <v>752</v>
      </c>
      <c r="K515" s="1" t="s">
        <v>95</v>
      </c>
      <c r="L515" s="1" t="s">
        <v>2571</v>
      </c>
      <c r="M515" s="1">
        <v>49.0</v>
      </c>
      <c r="N515" s="1" t="s">
        <v>2461</v>
      </c>
      <c r="O515" s="3" t="s">
        <v>2763</v>
      </c>
      <c r="P515" s="18">
        <v>45883.0</v>
      </c>
      <c r="Q515" s="1" t="s">
        <v>2463</v>
      </c>
      <c r="R515" s="1"/>
      <c r="S515" s="1" t="s">
        <v>2461</v>
      </c>
      <c r="T515" s="1" t="s">
        <v>2461</v>
      </c>
      <c r="U515" s="1" t="s">
        <v>1080</v>
      </c>
      <c r="V515" s="4" t="s">
        <v>2763</v>
      </c>
      <c r="W515" s="1"/>
      <c r="X515" s="18">
        <v>45883.0</v>
      </c>
      <c r="Y515" s="1" t="s">
        <v>1030</v>
      </c>
      <c r="Z515" s="1"/>
      <c r="AA515" s="1"/>
      <c r="AB515" s="1" t="s">
        <v>52</v>
      </c>
      <c r="AC515" s="1" t="s">
        <v>2764</v>
      </c>
      <c r="AD515" s="1"/>
      <c r="AE515" s="18"/>
      <c r="AF515" s="1"/>
      <c r="AG515" s="1"/>
      <c r="AH515" s="1" t="s">
        <v>1152</v>
      </c>
      <c r="AI515" s="1"/>
      <c r="AJ515" s="1"/>
      <c r="AK515" s="1"/>
      <c r="AL515" s="6" t="str">
        <f t="array" ref="AL515">IFERROR(IFS(XLOOKUP(B515, 'Kit Delivery Status'!$U:$U, 'Kit Delivery Status'!$K:$K) = "Complete", "DELIVERED", XLOOKUP(B515, 'Kit Delivery Status'!$U:$U, 'Kit Delivery Status'!$K:$K) = "Issue", "ISSUE"), "")</f>
        <v/>
      </c>
      <c r="AM515" s="6"/>
    </row>
    <row r="516">
      <c r="A516" s="5" t="s">
        <v>2765</v>
      </c>
      <c r="B516" s="1" t="s">
        <v>2766</v>
      </c>
      <c r="C516" s="1" t="s">
        <v>2767</v>
      </c>
      <c r="D516" s="2">
        <v>7.547074642E9</v>
      </c>
      <c r="E516" s="1" t="s">
        <v>2768</v>
      </c>
      <c r="F516" s="1"/>
      <c r="G516" s="1" t="s">
        <v>2769</v>
      </c>
      <c r="H516" s="1" t="s">
        <v>1208</v>
      </c>
      <c r="I516" s="1">
        <v>33027.0</v>
      </c>
      <c r="J516" s="1" t="s">
        <v>752</v>
      </c>
      <c r="K516" s="1" t="s">
        <v>95</v>
      </c>
      <c r="L516" s="1" t="s">
        <v>2571</v>
      </c>
      <c r="M516" s="1">
        <v>49.0</v>
      </c>
      <c r="N516" s="1" t="s">
        <v>2461</v>
      </c>
      <c r="O516" s="3" t="s">
        <v>270</v>
      </c>
      <c r="P516" s="18">
        <v>45883.0</v>
      </c>
      <c r="Q516" s="1" t="s">
        <v>2463</v>
      </c>
      <c r="R516" s="1"/>
      <c r="S516" s="1" t="s">
        <v>2461</v>
      </c>
      <c r="T516" s="1" t="s">
        <v>2461</v>
      </c>
      <c r="U516" s="1" t="s">
        <v>1080</v>
      </c>
      <c r="V516" s="4" t="s">
        <v>270</v>
      </c>
      <c r="W516" s="1"/>
      <c r="X516" s="18">
        <v>45883.0</v>
      </c>
      <c r="Y516" s="1" t="s">
        <v>1030</v>
      </c>
      <c r="Z516" s="1"/>
      <c r="AA516" s="1"/>
      <c r="AB516" s="1" t="s">
        <v>52</v>
      </c>
      <c r="AC516" s="1" t="s">
        <v>2770</v>
      </c>
      <c r="AD516" s="1"/>
      <c r="AE516" s="18"/>
      <c r="AF516" s="1"/>
      <c r="AG516" s="1"/>
      <c r="AH516" s="1" t="s">
        <v>1152</v>
      </c>
      <c r="AI516" s="1"/>
      <c r="AJ516" s="1"/>
      <c r="AK516" s="1"/>
      <c r="AL516" s="6" t="str">
        <f t="array" ref="AL516">IFERROR(IFS(XLOOKUP(B516, 'Kit Delivery Status'!$U:$U, 'Kit Delivery Status'!$K:$K) = "Complete", "DELIVERED", XLOOKUP(B516, 'Kit Delivery Status'!$U:$U, 'Kit Delivery Status'!$K:$K) = "Issue", "ISSUE"), "")</f>
        <v/>
      </c>
      <c r="AM516" s="6"/>
    </row>
    <row r="517">
      <c r="A517" s="5" t="s">
        <v>2771</v>
      </c>
      <c r="B517" s="1" t="s">
        <v>2772</v>
      </c>
      <c r="C517" s="1" t="s">
        <v>2773</v>
      </c>
      <c r="D517" s="2" t="s">
        <v>2774</v>
      </c>
      <c r="E517" s="1" t="s">
        <v>2775</v>
      </c>
      <c r="F517" s="1"/>
      <c r="G517" s="1" t="s">
        <v>2776</v>
      </c>
      <c r="H517" s="1" t="s">
        <v>989</v>
      </c>
      <c r="I517" s="1">
        <v>92399.0</v>
      </c>
      <c r="J517" s="1" t="s">
        <v>752</v>
      </c>
      <c r="K517" s="1" t="s">
        <v>51</v>
      </c>
      <c r="L517" s="1" t="s">
        <v>2460</v>
      </c>
      <c r="M517" s="1">
        <v>1.0</v>
      </c>
      <c r="N517" s="1" t="s">
        <v>2461</v>
      </c>
      <c r="O517" s="3" t="s">
        <v>2777</v>
      </c>
      <c r="P517" s="18">
        <v>45876.0</v>
      </c>
      <c r="Q517" s="1" t="s">
        <v>2463</v>
      </c>
      <c r="R517" s="1"/>
      <c r="S517" s="1" t="s">
        <v>2461</v>
      </c>
      <c r="T517" s="1" t="s">
        <v>2461</v>
      </c>
      <c r="U517" s="1" t="s">
        <v>1749</v>
      </c>
      <c r="V517" s="4" t="s">
        <v>2777</v>
      </c>
      <c r="W517" s="1"/>
      <c r="X517" s="18">
        <v>45876.0</v>
      </c>
      <c r="Y517" s="1" t="s">
        <v>1030</v>
      </c>
      <c r="Z517" s="1"/>
      <c r="AA517" s="1"/>
      <c r="AB517" s="1" t="s">
        <v>52</v>
      </c>
      <c r="AC517" s="1" t="s">
        <v>1925</v>
      </c>
      <c r="AD517" s="1"/>
      <c r="AE517" s="18"/>
      <c r="AF517" s="1"/>
      <c r="AG517" s="1"/>
      <c r="AH517" s="1" t="s">
        <v>1152</v>
      </c>
      <c r="AI517" s="1"/>
      <c r="AJ517" s="1"/>
      <c r="AK517" s="1"/>
      <c r="AL517" s="6" t="str">
        <f t="array" ref="AL517">IFERROR(IFS(XLOOKUP(B517, 'Kit Delivery Status'!$U:$U, 'Kit Delivery Status'!$K:$K) = "Complete", "DELIVERED", XLOOKUP(B517, 'Kit Delivery Status'!$U:$U, 'Kit Delivery Status'!$K:$K) = "Issue", "ISSUE"), "")</f>
        <v/>
      </c>
      <c r="AM517" s="6"/>
    </row>
    <row r="518">
      <c r="A518" s="5" t="s">
        <v>2778</v>
      </c>
      <c r="B518" s="1" t="s">
        <v>2779</v>
      </c>
      <c r="C518" s="1" t="s">
        <v>2780</v>
      </c>
      <c r="D518" s="2">
        <v>9.178415578E9</v>
      </c>
      <c r="E518" s="1" t="s">
        <v>2781</v>
      </c>
      <c r="F518" s="1"/>
      <c r="G518" s="1" t="s">
        <v>751</v>
      </c>
      <c r="H518" s="1" t="s">
        <v>751</v>
      </c>
      <c r="I518" s="1">
        <v>10023.0</v>
      </c>
      <c r="J518" s="1" t="s">
        <v>752</v>
      </c>
      <c r="K518" s="1" t="s">
        <v>51</v>
      </c>
      <c r="L518" s="1" t="s">
        <v>2460</v>
      </c>
      <c r="M518" s="1">
        <v>1.0</v>
      </c>
      <c r="N518" s="1" t="s">
        <v>2461</v>
      </c>
      <c r="O518" s="3" t="s">
        <v>2782</v>
      </c>
      <c r="P518" s="18">
        <v>45883.0</v>
      </c>
      <c r="Q518" s="1" t="s">
        <v>2463</v>
      </c>
      <c r="R518" s="1"/>
      <c r="S518" s="1" t="s">
        <v>2461</v>
      </c>
      <c r="T518" s="1" t="s">
        <v>2461</v>
      </c>
      <c r="U518" s="1" t="s">
        <v>1812</v>
      </c>
      <c r="V518" s="4" t="s">
        <v>2782</v>
      </c>
      <c r="W518" s="1"/>
      <c r="X518" s="18">
        <v>45883.0</v>
      </c>
      <c r="Y518" s="1" t="s">
        <v>1030</v>
      </c>
      <c r="Z518" s="1"/>
      <c r="AA518" s="1"/>
      <c r="AB518" s="1" t="s">
        <v>52</v>
      </c>
      <c r="AC518" s="1" t="s">
        <v>1925</v>
      </c>
      <c r="AD518" s="1"/>
      <c r="AE518" s="18"/>
      <c r="AF518" s="1"/>
      <c r="AG518" s="1"/>
      <c r="AH518" s="1" t="s">
        <v>1152</v>
      </c>
      <c r="AI518" s="1"/>
      <c r="AJ518" s="1"/>
      <c r="AK518" s="1"/>
      <c r="AL518" s="6" t="str">
        <f t="array" ref="AL518">IFERROR(IFS(XLOOKUP(B518, 'Kit Delivery Status'!$U:$U, 'Kit Delivery Status'!$K:$K) = "Complete", "DELIVERED", XLOOKUP(B518, 'Kit Delivery Status'!$U:$U, 'Kit Delivery Status'!$K:$K) = "Issue", "ISSUE"), "")</f>
        <v/>
      </c>
      <c r="AM518" s="6"/>
    </row>
    <row r="519">
      <c r="A519" s="5" t="s">
        <v>2783</v>
      </c>
      <c r="B519" s="1" t="s">
        <v>2784</v>
      </c>
      <c r="C519" s="1" t="s">
        <v>2785</v>
      </c>
      <c r="D519" s="2">
        <v>9.293024005E9</v>
      </c>
      <c r="E519" s="1" t="s">
        <v>1715</v>
      </c>
      <c r="F519" s="1"/>
      <c r="G519" s="1" t="s">
        <v>751</v>
      </c>
      <c r="H519" s="1" t="s">
        <v>751</v>
      </c>
      <c r="I519" s="1">
        <v>10028.0</v>
      </c>
      <c r="J519" s="1" t="s">
        <v>752</v>
      </c>
      <c r="K519" s="1" t="s">
        <v>51</v>
      </c>
      <c r="L519" s="1" t="s">
        <v>2460</v>
      </c>
      <c r="M519" s="1">
        <v>1.0</v>
      </c>
      <c r="N519" s="1" t="s">
        <v>2461</v>
      </c>
      <c r="O519" s="3" t="s">
        <v>2786</v>
      </c>
      <c r="P519" s="18">
        <v>45883.0</v>
      </c>
      <c r="Q519" s="1" t="s">
        <v>2463</v>
      </c>
      <c r="R519" s="1"/>
      <c r="S519" s="1" t="s">
        <v>2461</v>
      </c>
      <c r="T519" s="1" t="s">
        <v>2461</v>
      </c>
      <c r="U519" s="1" t="s">
        <v>1642</v>
      </c>
      <c r="V519" s="4" t="s">
        <v>2786</v>
      </c>
      <c r="W519" s="1"/>
      <c r="X519" s="18">
        <v>45883.0</v>
      </c>
      <c r="Y519" s="1" t="s">
        <v>1030</v>
      </c>
      <c r="Z519" s="1"/>
      <c r="AA519" s="1"/>
      <c r="AB519" s="1" t="s">
        <v>52</v>
      </c>
      <c r="AC519" s="1" t="s">
        <v>1925</v>
      </c>
      <c r="AD519" s="1"/>
      <c r="AE519" s="18"/>
      <c r="AF519" s="1"/>
      <c r="AG519" s="1"/>
      <c r="AH519" s="1" t="s">
        <v>1152</v>
      </c>
      <c r="AI519" s="1"/>
      <c r="AJ519" s="1"/>
      <c r="AK519" s="1"/>
      <c r="AL519" s="6" t="str">
        <f t="array" ref="AL519">IFERROR(IFS(XLOOKUP(B519, 'Kit Delivery Status'!$U:$U, 'Kit Delivery Status'!$K:$K) = "Complete", "DELIVERED", XLOOKUP(B519, 'Kit Delivery Status'!$U:$U, 'Kit Delivery Status'!$K:$K) = "Issue", "ISSUE"), "")</f>
        <v/>
      </c>
      <c r="AM519" s="6"/>
    </row>
    <row r="520">
      <c r="A520" s="5" t="s">
        <v>2787</v>
      </c>
      <c r="B520" s="1" t="s">
        <v>2788</v>
      </c>
      <c r="C520" s="1" t="s">
        <v>2789</v>
      </c>
      <c r="D520" s="2">
        <v>3.104678536E9</v>
      </c>
      <c r="E520" s="1" t="s">
        <v>2790</v>
      </c>
      <c r="F520" s="1"/>
      <c r="G520" s="1" t="s">
        <v>2791</v>
      </c>
      <c r="H520" s="1" t="s">
        <v>989</v>
      </c>
      <c r="I520" s="1">
        <v>90403.0</v>
      </c>
      <c r="J520" s="1" t="s">
        <v>752</v>
      </c>
      <c r="K520" s="1" t="s">
        <v>51</v>
      </c>
      <c r="L520" s="1" t="s">
        <v>2460</v>
      </c>
      <c r="M520" s="1">
        <v>1.0</v>
      </c>
      <c r="N520" s="1" t="s">
        <v>2461</v>
      </c>
      <c r="O520" s="3" t="s">
        <v>2792</v>
      </c>
      <c r="P520" s="18">
        <v>45883.0</v>
      </c>
      <c r="Q520" s="1" t="s">
        <v>2463</v>
      </c>
      <c r="R520" s="1"/>
      <c r="S520" s="1" t="s">
        <v>2461</v>
      </c>
      <c r="T520" s="1" t="s">
        <v>2461</v>
      </c>
      <c r="U520" s="1" t="s">
        <v>1710</v>
      </c>
      <c r="V520" s="4" t="s">
        <v>2792</v>
      </c>
      <c r="W520" s="1"/>
      <c r="X520" s="18">
        <v>45883.0</v>
      </c>
      <c r="Y520" s="1" t="s">
        <v>1030</v>
      </c>
      <c r="Z520" s="1"/>
      <c r="AA520" s="1"/>
      <c r="AB520" s="1" t="s">
        <v>52</v>
      </c>
      <c r="AC520" s="1" t="s">
        <v>1925</v>
      </c>
      <c r="AD520" s="1"/>
      <c r="AE520" s="18"/>
      <c r="AF520" s="1"/>
      <c r="AG520" s="1"/>
      <c r="AH520" s="1" t="s">
        <v>1152</v>
      </c>
      <c r="AI520" s="1"/>
      <c r="AJ520" s="1"/>
      <c r="AK520" s="1"/>
      <c r="AL520" s="6" t="str">
        <f t="array" ref="AL520">IFERROR(IFS(XLOOKUP(B520, 'Kit Delivery Status'!$U:$U, 'Kit Delivery Status'!$K:$K) = "Complete", "DELIVERED", XLOOKUP(B520, 'Kit Delivery Status'!$U:$U, 'Kit Delivery Status'!$K:$K) = "Issue", "ISSUE"), "")</f>
        <v/>
      </c>
      <c r="AM520" s="6"/>
    </row>
    <row r="521">
      <c r="A521" s="5" t="s">
        <v>2793</v>
      </c>
      <c r="B521" s="1" t="s">
        <v>2794</v>
      </c>
      <c r="C521" s="1" t="s">
        <v>2795</v>
      </c>
      <c r="D521" s="2">
        <v>8.325713206E9</v>
      </c>
      <c r="E521" s="1" t="s">
        <v>2796</v>
      </c>
      <c r="F521" s="1"/>
      <c r="G521" s="1" t="s">
        <v>2797</v>
      </c>
      <c r="H521" s="1" t="s">
        <v>1583</v>
      </c>
      <c r="I521" s="1">
        <v>79106.0</v>
      </c>
      <c r="J521" s="1" t="s">
        <v>752</v>
      </c>
      <c r="K521" s="1" t="s">
        <v>51</v>
      </c>
      <c r="L521" s="1" t="s">
        <v>2460</v>
      </c>
      <c r="M521" s="1">
        <v>1.0</v>
      </c>
      <c r="N521" s="1" t="s">
        <v>2461</v>
      </c>
      <c r="O521" s="3" t="s">
        <v>2798</v>
      </c>
      <c r="P521" s="18">
        <v>45883.0</v>
      </c>
      <c r="Q521" s="1" t="s">
        <v>2463</v>
      </c>
      <c r="R521" s="1"/>
      <c r="S521" s="1" t="s">
        <v>2461</v>
      </c>
      <c r="T521" s="1" t="s">
        <v>2461</v>
      </c>
      <c r="U521" s="1" t="s">
        <v>1642</v>
      </c>
      <c r="V521" s="4" t="s">
        <v>2798</v>
      </c>
      <c r="W521" s="1"/>
      <c r="X521" s="18">
        <v>45883.0</v>
      </c>
      <c r="Y521" s="1" t="s">
        <v>1030</v>
      </c>
      <c r="Z521" s="1"/>
      <c r="AA521" s="1"/>
      <c r="AB521" s="1" t="s">
        <v>52</v>
      </c>
      <c r="AC521" s="1" t="s">
        <v>1925</v>
      </c>
      <c r="AD521" s="1"/>
      <c r="AE521" s="18"/>
      <c r="AF521" s="1"/>
      <c r="AG521" s="1"/>
      <c r="AH521" s="1" t="s">
        <v>1152</v>
      </c>
      <c r="AI521" s="1"/>
      <c r="AJ521" s="1"/>
      <c r="AK521" s="1"/>
      <c r="AL521" s="6" t="str">
        <f t="array" ref="AL521">IFERROR(IFS(XLOOKUP(B521, 'Kit Delivery Status'!$U:$U, 'Kit Delivery Status'!$K:$K) = "Complete", "DELIVERED", XLOOKUP(B521, 'Kit Delivery Status'!$U:$U, 'Kit Delivery Status'!$K:$K) = "Issue", "ISSUE"), "")</f>
        <v/>
      </c>
      <c r="AM521" s="6"/>
    </row>
    <row r="522">
      <c r="A522" s="5" t="s">
        <v>2799</v>
      </c>
      <c r="B522" s="1" t="s">
        <v>2800</v>
      </c>
      <c r="C522" s="1" t="s">
        <v>2801</v>
      </c>
      <c r="D522" s="2"/>
      <c r="E522" s="1" t="s">
        <v>2802</v>
      </c>
      <c r="F522" s="1"/>
      <c r="G522" s="1" t="s">
        <v>2803</v>
      </c>
      <c r="H522" s="1" t="s">
        <v>1598</v>
      </c>
      <c r="I522" s="1">
        <v>37604.0</v>
      </c>
      <c r="J522" s="1" t="s">
        <v>752</v>
      </c>
      <c r="K522" s="1" t="s">
        <v>51</v>
      </c>
      <c r="L522" s="1" t="s">
        <v>2460</v>
      </c>
      <c r="M522" s="1">
        <v>1.0</v>
      </c>
      <c r="N522" s="1" t="s">
        <v>2461</v>
      </c>
      <c r="O522" s="3" t="s">
        <v>2804</v>
      </c>
      <c r="P522" s="18">
        <v>45883.0</v>
      </c>
      <c r="Q522" s="1" t="s">
        <v>2463</v>
      </c>
      <c r="R522" s="1"/>
      <c r="S522" s="1" t="s">
        <v>2461</v>
      </c>
      <c r="T522" s="1" t="s">
        <v>2461</v>
      </c>
      <c r="U522" s="1" t="s">
        <v>948</v>
      </c>
      <c r="V522" s="4" t="s">
        <v>2804</v>
      </c>
      <c r="W522" s="1"/>
      <c r="X522" s="18">
        <v>45883.0</v>
      </c>
      <c r="Y522" s="1" t="s">
        <v>1030</v>
      </c>
      <c r="Z522" s="1"/>
      <c r="AA522" s="1"/>
      <c r="AB522" s="1" t="s">
        <v>52</v>
      </c>
      <c r="AC522" s="1" t="s">
        <v>1925</v>
      </c>
      <c r="AD522" s="1"/>
      <c r="AE522" s="18"/>
      <c r="AF522" s="1"/>
      <c r="AG522" s="1"/>
      <c r="AH522" s="1" t="s">
        <v>1152</v>
      </c>
      <c r="AI522" s="1"/>
      <c r="AJ522" s="1"/>
      <c r="AK522" s="1"/>
      <c r="AL522" s="6" t="str">
        <f t="array" ref="AL522">IFERROR(IFS(XLOOKUP(B522, 'Kit Delivery Status'!$U:$U, 'Kit Delivery Status'!$K:$K) = "Complete", "DELIVERED", XLOOKUP(B522, 'Kit Delivery Status'!$U:$U, 'Kit Delivery Status'!$K:$K) = "Issue", "ISSUE"), "")</f>
        <v/>
      </c>
      <c r="AM522" s="6"/>
    </row>
    <row r="523">
      <c r="A523" s="5" t="s">
        <v>2805</v>
      </c>
      <c r="B523" s="1" t="s">
        <v>2806</v>
      </c>
      <c r="C523" s="1" t="s">
        <v>2807</v>
      </c>
      <c r="D523" s="2">
        <v>9.175879462E9</v>
      </c>
      <c r="E523" s="1" t="s">
        <v>2808</v>
      </c>
      <c r="F523" s="1"/>
      <c r="G523" s="1" t="s">
        <v>1382</v>
      </c>
      <c r="H523" s="1" t="s">
        <v>751</v>
      </c>
      <c r="I523" s="1">
        <v>10583.0</v>
      </c>
      <c r="J523" s="1" t="s">
        <v>752</v>
      </c>
      <c r="K523" s="1" t="s">
        <v>95</v>
      </c>
      <c r="L523" s="1" t="s">
        <v>2571</v>
      </c>
      <c r="M523" s="1">
        <v>49.0</v>
      </c>
      <c r="N523" s="1" t="s">
        <v>2461</v>
      </c>
      <c r="O523" s="3" t="s">
        <v>2595</v>
      </c>
      <c r="P523" s="18">
        <v>45882.0</v>
      </c>
      <c r="Q523" s="1" t="s">
        <v>2463</v>
      </c>
      <c r="R523" s="1"/>
      <c r="S523" s="1" t="s">
        <v>2461</v>
      </c>
      <c r="T523" s="1" t="s">
        <v>2461</v>
      </c>
      <c r="U523" s="1" t="s">
        <v>1133</v>
      </c>
      <c r="V523" s="4" t="s">
        <v>2595</v>
      </c>
      <c r="W523" s="1"/>
      <c r="X523" s="18">
        <v>45882.0</v>
      </c>
      <c r="Y523" s="1" t="s">
        <v>1030</v>
      </c>
      <c r="Z523" s="1"/>
      <c r="AA523" s="1"/>
      <c r="AB523" s="1" t="s">
        <v>52</v>
      </c>
      <c r="AC523" s="1" t="s">
        <v>2809</v>
      </c>
      <c r="AD523" s="1"/>
      <c r="AE523" s="18"/>
      <c r="AF523" s="1"/>
      <c r="AG523" s="1"/>
      <c r="AH523" s="1" t="s">
        <v>1152</v>
      </c>
      <c r="AI523" s="1"/>
      <c r="AJ523" s="1"/>
      <c r="AK523" s="1"/>
      <c r="AL523" s="6" t="str">
        <f t="array" ref="AL523">IFERROR(IFS(XLOOKUP(B523, 'Kit Delivery Status'!$U:$U, 'Kit Delivery Status'!$K:$K) = "Complete", "DELIVERED", XLOOKUP(B523, 'Kit Delivery Status'!$U:$U, 'Kit Delivery Status'!$K:$K) = "Issue", "ISSUE"), "")</f>
        <v/>
      </c>
      <c r="AM523" s="6"/>
    </row>
    <row r="524">
      <c r="A524" s="5" t="s">
        <v>2810</v>
      </c>
      <c r="B524" s="1" t="s">
        <v>2811</v>
      </c>
      <c r="C524" s="1" t="s">
        <v>2812</v>
      </c>
      <c r="D524" s="2"/>
      <c r="E524" s="1" t="s">
        <v>2813</v>
      </c>
      <c r="F524" s="1"/>
      <c r="G524" s="1" t="s">
        <v>751</v>
      </c>
      <c r="H524" s="1" t="s">
        <v>751</v>
      </c>
      <c r="I524" s="1">
        <v>10028.0</v>
      </c>
      <c r="J524" s="1" t="s">
        <v>752</v>
      </c>
      <c r="K524" s="1" t="s">
        <v>51</v>
      </c>
      <c r="L524" s="1" t="s">
        <v>2460</v>
      </c>
      <c r="M524" s="1">
        <v>1.0</v>
      </c>
      <c r="N524" s="1" t="s">
        <v>2461</v>
      </c>
      <c r="O524" s="3" t="s">
        <v>2814</v>
      </c>
      <c r="P524" s="18">
        <v>45883.0</v>
      </c>
      <c r="Q524" s="1" t="s">
        <v>2463</v>
      </c>
      <c r="R524" s="1"/>
      <c r="S524" s="1" t="s">
        <v>2461</v>
      </c>
      <c r="T524" s="1" t="s">
        <v>2461</v>
      </c>
      <c r="U524" s="1" t="s">
        <v>2430</v>
      </c>
      <c r="V524" s="4" t="s">
        <v>2814</v>
      </c>
      <c r="W524" s="1"/>
      <c r="X524" s="18">
        <v>45883.0</v>
      </c>
      <c r="Y524" s="1" t="s">
        <v>1030</v>
      </c>
      <c r="Z524" s="1"/>
      <c r="AA524" s="1"/>
      <c r="AB524" s="1" t="s">
        <v>52</v>
      </c>
      <c r="AC524" s="1" t="s">
        <v>1925</v>
      </c>
      <c r="AD524" s="1"/>
      <c r="AE524" s="18"/>
      <c r="AF524" s="1"/>
      <c r="AG524" s="1"/>
      <c r="AH524" s="1" t="s">
        <v>1152</v>
      </c>
      <c r="AI524" s="1"/>
      <c r="AJ524" s="1"/>
      <c r="AK524" s="1"/>
      <c r="AL524" s="6" t="str">
        <f t="array" ref="AL524">IFERROR(IFS(XLOOKUP(B524, 'Kit Delivery Status'!$U:$U, 'Kit Delivery Status'!$K:$K) = "Complete", "DELIVERED", XLOOKUP(B524, 'Kit Delivery Status'!$U:$U, 'Kit Delivery Status'!$K:$K) = "Issue", "ISSUE"), "")</f>
        <v/>
      </c>
      <c r="AM524" s="6"/>
    </row>
    <row r="525">
      <c r="A525" s="5" t="s">
        <v>2815</v>
      </c>
      <c r="B525" s="1" t="s">
        <v>2816</v>
      </c>
      <c r="C525" s="1" t="s">
        <v>2817</v>
      </c>
      <c r="D525" s="2">
        <v>3.47843139E9</v>
      </c>
      <c r="E525" s="1" t="s">
        <v>2818</v>
      </c>
      <c r="F525" s="1"/>
      <c r="G525" s="1" t="s">
        <v>2819</v>
      </c>
      <c r="H525" s="1" t="s">
        <v>751</v>
      </c>
      <c r="I525" s="1">
        <v>10022.0</v>
      </c>
      <c r="J525" s="1" t="s">
        <v>752</v>
      </c>
      <c r="K525" s="1" t="s">
        <v>51</v>
      </c>
      <c r="L525" s="1" t="s">
        <v>2460</v>
      </c>
      <c r="M525" s="1">
        <v>1.0</v>
      </c>
      <c r="N525" s="1" t="s">
        <v>2461</v>
      </c>
      <c r="O525" s="3" t="s">
        <v>2820</v>
      </c>
      <c r="P525" s="18">
        <v>45883.0</v>
      </c>
      <c r="Q525" s="1" t="s">
        <v>2463</v>
      </c>
      <c r="R525" s="1"/>
      <c r="S525" s="1" t="s">
        <v>2461</v>
      </c>
      <c r="T525" s="1" t="s">
        <v>2461</v>
      </c>
      <c r="U525" s="1" t="s">
        <v>1201</v>
      </c>
      <c r="V525" s="4" t="s">
        <v>2820</v>
      </c>
      <c r="W525" s="1"/>
      <c r="X525" s="18">
        <v>45883.0</v>
      </c>
      <c r="Y525" s="1" t="s">
        <v>1030</v>
      </c>
      <c r="Z525" s="1"/>
      <c r="AA525" s="1"/>
      <c r="AB525" s="1" t="s">
        <v>52</v>
      </c>
      <c r="AC525" s="1" t="s">
        <v>1925</v>
      </c>
      <c r="AD525" s="1"/>
      <c r="AE525" s="18"/>
      <c r="AF525" s="1"/>
      <c r="AG525" s="1"/>
      <c r="AH525" s="1" t="s">
        <v>1152</v>
      </c>
      <c r="AI525" s="1"/>
      <c r="AJ525" s="1"/>
      <c r="AK525" s="1"/>
      <c r="AL525" s="6" t="str">
        <f t="array" ref="AL525">IFERROR(IFS(XLOOKUP(B525, 'Kit Delivery Status'!$U:$U, 'Kit Delivery Status'!$K:$K) = "Complete", "DELIVERED", XLOOKUP(B525, 'Kit Delivery Status'!$U:$U, 'Kit Delivery Status'!$K:$K) = "Issue", "ISSUE"), "")</f>
        <v/>
      </c>
      <c r="AM525" s="6"/>
    </row>
    <row r="526">
      <c r="A526" s="5" t="s">
        <v>2821</v>
      </c>
      <c r="B526" s="1" t="s">
        <v>2822</v>
      </c>
      <c r="C526" s="1"/>
      <c r="D526" s="2"/>
      <c r="E526" s="1" t="s">
        <v>2823</v>
      </c>
      <c r="F526" s="1"/>
      <c r="G526" s="1" t="s">
        <v>1382</v>
      </c>
      <c r="H526" s="1" t="s">
        <v>751</v>
      </c>
      <c r="I526" s="1">
        <v>10583.0</v>
      </c>
      <c r="J526" s="1" t="s">
        <v>752</v>
      </c>
      <c r="K526" s="1" t="s">
        <v>75</v>
      </c>
      <c r="L526" s="1" t="s">
        <v>2477</v>
      </c>
      <c r="M526" s="1">
        <v>49.0</v>
      </c>
      <c r="N526" s="1" t="s">
        <v>2461</v>
      </c>
      <c r="O526" s="3" t="s">
        <v>2763</v>
      </c>
      <c r="P526" s="18">
        <v>45883.0</v>
      </c>
      <c r="Q526" s="1" t="s">
        <v>1152</v>
      </c>
      <c r="R526" s="1"/>
      <c r="S526" s="1" t="s">
        <v>2461</v>
      </c>
      <c r="T526" s="1" t="s">
        <v>2461</v>
      </c>
      <c r="U526" s="1" t="s">
        <v>68</v>
      </c>
      <c r="V526" s="4" t="s">
        <v>2763</v>
      </c>
      <c r="W526" s="1"/>
      <c r="X526" s="18">
        <v>45883.0</v>
      </c>
      <c r="Y526" s="1"/>
      <c r="Z526" s="1"/>
      <c r="AA526" s="1"/>
      <c r="AB526" s="1" t="s">
        <v>52</v>
      </c>
      <c r="AC526" s="1" t="s">
        <v>1925</v>
      </c>
      <c r="AD526" s="1" t="s">
        <v>2824</v>
      </c>
      <c r="AE526" s="18"/>
      <c r="AF526" s="1"/>
      <c r="AG526" s="1"/>
      <c r="AH526" s="1" t="s">
        <v>1152</v>
      </c>
      <c r="AI526" s="1"/>
      <c r="AJ526" s="1"/>
      <c r="AK526" s="1"/>
      <c r="AL526" s="6" t="str">
        <f t="array" ref="AL526">IFERROR(IFS(XLOOKUP(B526, 'Kit Delivery Status'!$U:$U, 'Kit Delivery Status'!$K:$K) = "Complete", "DELIVERED", XLOOKUP(B526, 'Kit Delivery Status'!$U:$U, 'Kit Delivery Status'!$K:$K) = "Issue", "ISSUE"), "")</f>
        <v/>
      </c>
      <c r="AM526" s="6"/>
    </row>
    <row r="527">
      <c r="A527" s="5" t="s">
        <v>2825</v>
      </c>
      <c r="B527" s="1" t="s">
        <v>2826</v>
      </c>
      <c r="C527" s="1" t="s">
        <v>2827</v>
      </c>
      <c r="D527" s="2">
        <v>6.692089376E9</v>
      </c>
      <c r="E527" s="1" t="s">
        <v>2828</v>
      </c>
      <c r="F527" s="1"/>
      <c r="G527" s="1" t="s">
        <v>2417</v>
      </c>
      <c r="H527" s="1" t="s">
        <v>989</v>
      </c>
      <c r="I527" s="1">
        <v>92130.0</v>
      </c>
      <c r="J527" s="1" t="s">
        <v>752</v>
      </c>
      <c r="K527" s="1" t="s">
        <v>66</v>
      </c>
      <c r="L527" s="1" t="s">
        <v>2829</v>
      </c>
      <c r="M527" s="1">
        <v>115.0</v>
      </c>
      <c r="N527" s="1" t="s">
        <v>1152</v>
      </c>
      <c r="O527" s="3" t="s">
        <v>2830</v>
      </c>
      <c r="P527" s="18">
        <v>45883.0</v>
      </c>
      <c r="Q527" s="1" t="s">
        <v>1152</v>
      </c>
      <c r="R527" s="1"/>
      <c r="S527" s="1" t="s">
        <v>1152</v>
      </c>
      <c r="T527" s="1" t="s">
        <v>1152</v>
      </c>
      <c r="U527" s="1" t="s">
        <v>1148</v>
      </c>
      <c r="V527" s="4" t="s">
        <v>2830</v>
      </c>
      <c r="W527" s="1"/>
      <c r="X527" s="18">
        <v>45883.0</v>
      </c>
      <c r="Y527" s="1"/>
      <c r="Z527" s="1"/>
      <c r="AA527" s="1"/>
      <c r="AB527" s="1"/>
      <c r="AC527" s="1" t="s">
        <v>1925</v>
      </c>
      <c r="AD527" s="1"/>
      <c r="AE527" s="18"/>
      <c r="AF527" s="1"/>
      <c r="AG527" s="1"/>
      <c r="AH527" s="1" t="s">
        <v>1152</v>
      </c>
      <c r="AI527" s="1"/>
      <c r="AJ527" s="1"/>
      <c r="AK527" s="1"/>
      <c r="AL527" s="6" t="str">
        <f t="array" ref="AL527">IFERROR(IFS(XLOOKUP(B527, 'Kit Delivery Status'!$U:$U, 'Kit Delivery Status'!$K:$K) = "Complete", "DELIVERED", XLOOKUP(B527, 'Kit Delivery Status'!$U:$U, 'Kit Delivery Status'!$K:$K) = "Issue", "ISSUE"), "")</f>
        <v/>
      </c>
      <c r="AM527" s="6"/>
    </row>
    <row r="528">
      <c r="A528" s="5" t="s">
        <v>2831</v>
      </c>
      <c r="B528" s="1" t="s">
        <v>2832</v>
      </c>
      <c r="C528" s="1" t="s">
        <v>2833</v>
      </c>
      <c r="D528" s="2">
        <v>6.269935538E9</v>
      </c>
      <c r="E528" s="1" t="s">
        <v>2834</v>
      </c>
      <c r="F528" s="1"/>
      <c r="G528" s="1" t="s">
        <v>2835</v>
      </c>
      <c r="H528" s="1" t="s">
        <v>989</v>
      </c>
      <c r="I528" s="1">
        <v>91030.0</v>
      </c>
      <c r="J528" s="1" t="s">
        <v>752</v>
      </c>
      <c r="K528" s="1" t="s">
        <v>66</v>
      </c>
      <c r="L528" s="1" t="s">
        <v>2470</v>
      </c>
      <c r="M528" s="1">
        <v>210.0</v>
      </c>
      <c r="N528" s="1" t="s">
        <v>1152</v>
      </c>
      <c r="O528" s="3" t="s">
        <v>77</v>
      </c>
      <c r="P528" s="18">
        <v>45883.0</v>
      </c>
      <c r="Q528" s="1" t="s">
        <v>1152</v>
      </c>
      <c r="R528" s="1"/>
      <c r="S528" s="1" t="s">
        <v>1152</v>
      </c>
      <c r="T528" s="1" t="s">
        <v>1152</v>
      </c>
      <c r="U528" s="1" t="s">
        <v>1039</v>
      </c>
      <c r="V528" s="4" t="s">
        <v>77</v>
      </c>
      <c r="W528" s="1"/>
      <c r="X528" s="18">
        <v>45883.0</v>
      </c>
      <c r="Y528" s="1"/>
      <c r="Z528" s="1"/>
      <c r="AA528" s="1"/>
      <c r="AB528" s="1"/>
      <c r="AC528" s="1" t="s">
        <v>1925</v>
      </c>
      <c r="AD528" s="1"/>
      <c r="AE528" s="18"/>
      <c r="AF528" s="1"/>
      <c r="AG528" s="1"/>
      <c r="AH528" s="1" t="s">
        <v>1152</v>
      </c>
      <c r="AI528" s="1"/>
      <c r="AJ528" s="1"/>
      <c r="AK528" s="1"/>
      <c r="AL528" s="6" t="str">
        <f t="array" ref="AL528">IFERROR(IFS(XLOOKUP(B528, 'Kit Delivery Status'!$U:$U, 'Kit Delivery Status'!$K:$K) = "Complete", "DELIVERED", XLOOKUP(B528, 'Kit Delivery Status'!$U:$U, 'Kit Delivery Status'!$K:$K) = "Issue", "ISSUE"), "")</f>
        <v/>
      </c>
      <c r="AM528" s="6"/>
    </row>
    <row r="529">
      <c r="A529" s="5" t="s">
        <v>2836</v>
      </c>
      <c r="B529" s="1" t="s">
        <v>2837</v>
      </c>
      <c r="C529" s="1" t="s">
        <v>2838</v>
      </c>
      <c r="D529" s="2">
        <v>19139728857</v>
      </c>
      <c r="E529" s="1" t="s">
        <v>2839</v>
      </c>
      <c r="F529" s="1"/>
      <c r="G529" s="1" t="s">
        <v>1254</v>
      </c>
      <c r="H529" s="1" t="s">
        <v>1233</v>
      </c>
      <c r="I529" s="1">
        <v>19382.0</v>
      </c>
      <c r="J529" s="1" t="s">
        <v>752</v>
      </c>
      <c r="K529" s="1" t="s">
        <v>51</v>
      </c>
      <c r="L529" s="1" t="s">
        <v>2460</v>
      </c>
      <c r="M529" s="1">
        <v>1.0</v>
      </c>
      <c r="N529" s="1" t="s">
        <v>2461</v>
      </c>
      <c r="O529" s="3" t="s">
        <v>2840</v>
      </c>
      <c r="P529" s="18">
        <v>45883.0</v>
      </c>
      <c r="Q529" s="1" t="s">
        <v>2463</v>
      </c>
      <c r="R529" s="1"/>
      <c r="S529" s="1" t="s">
        <v>2461</v>
      </c>
      <c r="T529" s="1" t="s">
        <v>2461</v>
      </c>
      <c r="U529" s="1" t="s">
        <v>1522</v>
      </c>
      <c r="V529" s="4" t="s">
        <v>2840</v>
      </c>
      <c r="W529" s="1"/>
      <c r="X529" s="18">
        <v>45883.0</v>
      </c>
      <c r="Y529" s="1" t="s">
        <v>1030</v>
      </c>
      <c r="Z529" s="1"/>
      <c r="AA529" s="1"/>
      <c r="AB529" s="1" t="s">
        <v>52</v>
      </c>
      <c r="AC529" s="1" t="s">
        <v>1925</v>
      </c>
      <c r="AD529" s="1"/>
      <c r="AE529" s="18"/>
      <c r="AF529" s="1"/>
      <c r="AG529" s="1"/>
      <c r="AH529" s="1" t="s">
        <v>1152</v>
      </c>
      <c r="AI529" s="1"/>
      <c r="AJ529" s="1"/>
      <c r="AK529" s="1"/>
      <c r="AL529" s="6" t="str">
        <f t="array" ref="AL529">IFERROR(IFS(XLOOKUP(B529, 'Kit Delivery Status'!$U:$U, 'Kit Delivery Status'!$K:$K) = "Complete", "DELIVERED", XLOOKUP(B529, 'Kit Delivery Status'!$U:$U, 'Kit Delivery Status'!$K:$K) = "Issue", "ISSUE"), "")</f>
        <v/>
      </c>
      <c r="AM529" s="6"/>
    </row>
    <row r="530">
      <c r="A530" s="5" t="s">
        <v>2841</v>
      </c>
      <c r="B530" s="1" t="s">
        <v>2842</v>
      </c>
      <c r="C530" s="1" t="s">
        <v>2843</v>
      </c>
      <c r="D530" s="2">
        <v>8.323291499E9</v>
      </c>
      <c r="E530" s="1" t="s">
        <v>2844</v>
      </c>
      <c r="F530" s="1"/>
      <c r="G530" s="1" t="s">
        <v>2845</v>
      </c>
      <c r="H530" s="1" t="s">
        <v>1078</v>
      </c>
      <c r="I530" s="1">
        <v>6525.0</v>
      </c>
      <c r="J530" s="1" t="s">
        <v>752</v>
      </c>
      <c r="K530" s="1" t="s">
        <v>51</v>
      </c>
      <c r="L530" s="1" t="s">
        <v>2460</v>
      </c>
      <c r="M530" s="1">
        <v>1.0</v>
      </c>
      <c r="N530" s="1" t="s">
        <v>2461</v>
      </c>
      <c r="O530" s="3" t="s">
        <v>2846</v>
      </c>
      <c r="P530" s="18">
        <v>45883.0</v>
      </c>
      <c r="Q530" s="1" t="s">
        <v>2463</v>
      </c>
      <c r="R530" s="1"/>
      <c r="S530" s="1" t="s">
        <v>2461</v>
      </c>
      <c r="T530" s="1" t="s">
        <v>2461</v>
      </c>
      <c r="U530" s="1" t="s">
        <v>1812</v>
      </c>
      <c r="V530" s="4" t="s">
        <v>2846</v>
      </c>
      <c r="W530" s="1"/>
      <c r="X530" s="18">
        <v>45883.0</v>
      </c>
      <c r="Y530" s="1" t="s">
        <v>1030</v>
      </c>
      <c r="Z530" s="1"/>
      <c r="AA530" s="1"/>
      <c r="AB530" s="1" t="s">
        <v>52</v>
      </c>
      <c r="AC530" s="1" t="s">
        <v>1925</v>
      </c>
      <c r="AD530" s="1"/>
      <c r="AE530" s="18"/>
      <c r="AF530" s="1"/>
      <c r="AG530" s="1"/>
      <c r="AH530" s="1" t="s">
        <v>1152</v>
      </c>
      <c r="AI530" s="1"/>
      <c r="AJ530" s="1"/>
      <c r="AK530" s="1"/>
      <c r="AL530" s="6" t="str">
        <f t="array" ref="AL530">IFERROR(IFS(XLOOKUP(B530, 'Kit Delivery Status'!$U:$U, 'Kit Delivery Status'!$K:$K) = "Complete", "DELIVERED", XLOOKUP(B530, 'Kit Delivery Status'!$U:$U, 'Kit Delivery Status'!$K:$K) = "Issue", "ISSUE"), "")</f>
        <v/>
      </c>
      <c r="AM530" s="6"/>
    </row>
    <row r="531">
      <c r="A531" s="5" t="s">
        <v>2847</v>
      </c>
      <c r="B531" s="1" t="s">
        <v>2848</v>
      </c>
      <c r="C531" s="1" t="s">
        <v>2849</v>
      </c>
      <c r="D531" s="2">
        <v>9.522200874E9</v>
      </c>
      <c r="E531" s="1" t="s">
        <v>2850</v>
      </c>
      <c r="F531" s="1"/>
      <c r="G531" s="1" t="s">
        <v>2350</v>
      </c>
      <c r="H531" s="1" t="s">
        <v>1155</v>
      </c>
      <c r="I531" s="1">
        <v>63105.0</v>
      </c>
      <c r="J531" s="1" t="s">
        <v>752</v>
      </c>
      <c r="K531" s="1" t="s">
        <v>51</v>
      </c>
      <c r="L531" s="1" t="s">
        <v>2460</v>
      </c>
      <c r="M531" s="1">
        <v>1.0</v>
      </c>
      <c r="N531" s="1" t="s">
        <v>2461</v>
      </c>
      <c r="O531" s="3" t="s">
        <v>2851</v>
      </c>
      <c r="P531" s="18">
        <v>45891.0</v>
      </c>
      <c r="Q531" s="1" t="s">
        <v>2852</v>
      </c>
      <c r="R531" s="1"/>
      <c r="S531" s="1" t="s">
        <v>2461</v>
      </c>
      <c r="T531" s="1" t="s">
        <v>2461</v>
      </c>
      <c r="U531" s="1" t="s">
        <v>948</v>
      </c>
      <c r="V531" s="4" t="s">
        <v>2851</v>
      </c>
      <c r="W531" s="1"/>
      <c r="X531" s="18">
        <v>45891.0</v>
      </c>
      <c r="Y531" s="1" t="s">
        <v>1440</v>
      </c>
      <c r="Z531" s="1"/>
      <c r="AA531" s="1"/>
      <c r="AB531" s="1" t="s">
        <v>52</v>
      </c>
      <c r="AC531" s="1" t="s">
        <v>1925</v>
      </c>
      <c r="AD531" s="1"/>
      <c r="AE531" s="18"/>
      <c r="AF531" s="1"/>
      <c r="AG531" s="1"/>
      <c r="AH531" s="1" t="s">
        <v>1152</v>
      </c>
      <c r="AI531" s="1"/>
      <c r="AJ531" s="1"/>
      <c r="AK531" s="1"/>
      <c r="AL531" s="6" t="str">
        <f t="array" ref="AL531">IFERROR(IFS(XLOOKUP(B531, 'Kit Delivery Status'!$U:$U, 'Kit Delivery Status'!$K:$K) = "Complete", "DELIVERED", XLOOKUP(B531, 'Kit Delivery Status'!$U:$U, 'Kit Delivery Status'!$K:$K) = "Issue", "ISSUE"), "")</f>
        <v/>
      </c>
      <c r="AM531" s="6"/>
    </row>
    <row r="532">
      <c r="A532" s="5" t="s">
        <v>2853</v>
      </c>
      <c r="B532" s="1" t="s">
        <v>2854</v>
      </c>
      <c r="C532" s="1" t="s">
        <v>2855</v>
      </c>
      <c r="D532" s="2"/>
      <c r="E532" s="1" t="s">
        <v>2856</v>
      </c>
      <c r="F532" s="1"/>
      <c r="G532" s="1" t="s">
        <v>2857</v>
      </c>
      <c r="H532" s="1" t="s">
        <v>1155</v>
      </c>
      <c r="I532" s="1">
        <v>63105.0</v>
      </c>
      <c r="J532" s="1" t="s">
        <v>752</v>
      </c>
      <c r="K532" s="1" t="s">
        <v>51</v>
      </c>
      <c r="L532" s="1" t="s">
        <v>2460</v>
      </c>
      <c r="M532" s="1">
        <v>1.0</v>
      </c>
      <c r="N532" s="1" t="s">
        <v>2461</v>
      </c>
      <c r="O532" s="3" t="s">
        <v>2858</v>
      </c>
      <c r="P532" s="18">
        <v>45878.0</v>
      </c>
      <c r="Q532" s="1" t="s">
        <v>2852</v>
      </c>
      <c r="R532" s="1"/>
      <c r="S532" s="1" t="s">
        <v>2461</v>
      </c>
      <c r="T532" s="1" t="s">
        <v>2461</v>
      </c>
      <c r="U532" s="1" t="s">
        <v>1201</v>
      </c>
      <c r="V532" s="4" t="s">
        <v>2858</v>
      </c>
      <c r="W532" s="1"/>
      <c r="X532" s="18">
        <v>45878.0</v>
      </c>
      <c r="Y532" s="1" t="s">
        <v>1440</v>
      </c>
      <c r="Z532" s="1"/>
      <c r="AA532" s="1"/>
      <c r="AB532" s="1" t="s">
        <v>52</v>
      </c>
      <c r="AC532" s="1" t="s">
        <v>1925</v>
      </c>
      <c r="AD532" s="1"/>
      <c r="AE532" s="18"/>
      <c r="AF532" s="1"/>
      <c r="AG532" s="1"/>
      <c r="AH532" s="1" t="s">
        <v>1152</v>
      </c>
      <c r="AI532" s="1"/>
      <c r="AJ532" s="1"/>
      <c r="AK532" s="1"/>
      <c r="AL532" s="6" t="str">
        <f t="array" ref="AL532">IFERROR(IFS(XLOOKUP(B532, 'Kit Delivery Status'!$U:$U, 'Kit Delivery Status'!$K:$K) = "Complete", "DELIVERED", XLOOKUP(B532, 'Kit Delivery Status'!$U:$U, 'Kit Delivery Status'!$K:$K) = "Issue", "ISSUE"), "")</f>
        <v/>
      </c>
      <c r="AM532" s="6"/>
    </row>
    <row r="533">
      <c r="A533" s="5" t="s">
        <v>2859</v>
      </c>
      <c r="B533" s="1" t="s">
        <v>2860</v>
      </c>
      <c r="C533" s="1" t="s">
        <v>2861</v>
      </c>
      <c r="D533" s="2">
        <v>4.439707907E9</v>
      </c>
      <c r="E533" s="1" t="s">
        <v>712</v>
      </c>
      <c r="F533" s="1"/>
      <c r="G533" s="1" t="s">
        <v>2862</v>
      </c>
      <c r="H533" s="1" t="s">
        <v>1005</v>
      </c>
      <c r="I533" s="1">
        <v>21093.0</v>
      </c>
      <c r="J533" s="1" t="s">
        <v>752</v>
      </c>
      <c r="K533" s="1" t="s">
        <v>51</v>
      </c>
      <c r="L533" s="1" t="s">
        <v>2460</v>
      </c>
      <c r="M533" s="1">
        <v>1.0</v>
      </c>
      <c r="N533" s="1" t="s">
        <v>2461</v>
      </c>
      <c r="O533" s="3" t="s">
        <v>2863</v>
      </c>
      <c r="P533" s="18">
        <v>45883.0</v>
      </c>
      <c r="Q533" s="1" t="s">
        <v>2463</v>
      </c>
      <c r="R533" s="1"/>
      <c r="S533" s="1" t="s">
        <v>2461</v>
      </c>
      <c r="T533" s="1" t="s">
        <v>2461</v>
      </c>
      <c r="U533" s="1" t="s">
        <v>1812</v>
      </c>
      <c r="V533" s="4" t="s">
        <v>2863</v>
      </c>
      <c r="W533" s="1"/>
      <c r="X533" s="18">
        <v>45883.0</v>
      </c>
      <c r="Y533" s="1" t="s">
        <v>1030</v>
      </c>
      <c r="Z533" s="1"/>
      <c r="AA533" s="1"/>
      <c r="AB533" s="1" t="s">
        <v>52</v>
      </c>
      <c r="AC533" s="1" t="s">
        <v>1925</v>
      </c>
      <c r="AD533" s="1"/>
      <c r="AE533" s="18"/>
      <c r="AF533" s="1"/>
      <c r="AG533" s="1"/>
      <c r="AH533" s="1" t="s">
        <v>1152</v>
      </c>
      <c r="AI533" s="1"/>
      <c r="AJ533" s="1"/>
      <c r="AK533" s="1"/>
      <c r="AL533" s="6" t="str">
        <f t="array" ref="AL533">IFERROR(IFS(XLOOKUP(B533, 'Kit Delivery Status'!$U:$U, 'Kit Delivery Status'!$K:$K) = "Complete", "DELIVERED", XLOOKUP(B533, 'Kit Delivery Status'!$U:$U, 'Kit Delivery Status'!$K:$K) = "Issue", "ISSUE"), "")</f>
        <v/>
      </c>
      <c r="AM533" s="6"/>
    </row>
    <row r="534">
      <c r="A534" s="5" t="s">
        <v>2864</v>
      </c>
      <c r="B534" s="1" t="s">
        <v>2865</v>
      </c>
      <c r="C534" s="1" t="s">
        <v>2866</v>
      </c>
      <c r="D534" s="2">
        <v>4.152464423E9</v>
      </c>
      <c r="E534" s="1" t="s">
        <v>2867</v>
      </c>
      <c r="F534" s="1"/>
      <c r="G534" s="1" t="s">
        <v>2868</v>
      </c>
      <c r="H534" s="1" t="s">
        <v>989</v>
      </c>
      <c r="I534" s="1">
        <v>94947.0</v>
      </c>
      <c r="J534" s="1" t="s">
        <v>752</v>
      </c>
      <c r="K534" s="1" t="s">
        <v>66</v>
      </c>
      <c r="L534" s="1" t="s">
        <v>2470</v>
      </c>
      <c r="M534" s="1">
        <v>210.0</v>
      </c>
      <c r="N534" s="1" t="s">
        <v>1152</v>
      </c>
      <c r="O534" s="3" t="s">
        <v>2869</v>
      </c>
      <c r="P534" s="18">
        <v>45883.0</v>
      </c>
      <c r="Q534" s="1" t="s">
        <v>1152</v>
      </c>
      <c r="R534" s="1"/>
      <c r="S534" s="1" t="s">
        <v>1152</v>
      </c>
      <c r="T534" s="1" t="s">
        <v>1152</v>
      </c>
      <c r="U534" s="1" t="s">
        <v>1487</v>
      </c>
      <c r="V534" s="4" t="s">
        <v>2869</v>
      </c>
      <c r="W534" s="1"/>
      <c r="X534" s="18">
        <v>45883.0</v>
      </c>
      <c r="Y534" s="1"/>
      <c r="Z534" s="1"/>
      <c r="AA534" s="1"/>
      <c r="AB534" s="1"/>
      <c r="AC534" s="1" t="s">
        <v>1925</v>
      </c>
      <c r="AD534" s="1"/>
      <c r="AE534" s="18"/>
      <c r="AF534" s="1"/>
      <c r="AG534" s="1"/>
      <c r="AH534" s="1" t="s">
        <v>1152</v>
      </c>
      <c r="AI534" s="1"/>
      <c r="AJ534" s="1"/>
      <c r="AK534" s="1"/>
      <c r="AL534" s="6" t="str">
        <f t="array" ref="AL534">IFERROR(IFS(XLOOKUP(B534, 'Kit Delivery Status'!$U:$U, 'Kit Delivery Status'!$K:$K) = "Complete", "DELIVERED", XLOOKUP(B534, 'Kit Delivery Status'!$U:$U, 'Kit Delivery Status'!$K:$K) = "Issue", "ISSUE"), "")</f>
        <v/>
      </c>
      <c r="AM534" s="6"/>
    </row>
    <row r="535">
      <c r="A535" s="5" t="s">
        <v>2870</v>
      </c>
      <c r="B535" s="1" t="s">
        <v>2871</v>
      </c>
      <c r="C535" s="1" t="s">
        <v>2872</v>
      </c>
      <c r="D535" s="2">
        <v>9.178254484E9</v>
      </c>
      <c r="E535" s="1" t="s">
        <v>2873</v>
      </c>
      <c r="F535" s="1"/>
      <c r="G535" s="1" t="s">
        <v>1382</v>
      </c>
      <c r="H535" s="1" t="s">
        <v>751</v>
      </c>
      <c r="I535" s="1">
        <v>10583.0</v>
      </c>
      <c r="J535" s="1" t="s">
        <v>752</v>
      </c>
      <c r="K535" s="1" t="s">
        <v>51</v>
      </c>
      <c r="L535" s="1" t="s">
        <v>2460</v>
      </c>
      <c r="M535" s="1">
        <v>1.0</v>
      </c>
      <c r="N535" s="1" t="s">
        <v>2461</v>
      </c>
      <c r="O535" s="3" t="s">
        <v>2710</v>
      </c>
      <c r="P535" s="18">
        <v>45881.0</v>
      </c>
      <c r="Q535" s="1" t="s">
        <v>2463</v>
      </c>
      <c r="R535" s="1"/>
      <c r="S535" s="1" t="s">
        <v>2461</v>
      </c>
      <c r="T535" s="1" t="s">
        <v>2461</v>
      </c>
      <c r="U535" s="1" t="s">
        <v>1065</v>
      </c>
      <c r="V535" s="4" t="s">
        <v>2710</v>
      </c>
      <c r="W535" s="1"/>
      <c r="X535" s="18">
        <v>45881.0</v>
      </c>
      <c r="Y535" s="1" t="s">
        <v>1030</v>
      </c>
      <c r="Z535" s="1"/>
      <c r="AA535" s="1"/>
      <c r="AB535" s="1" t="s">
        <v>52</v>
      </c>
      <c r="AC535" s="1" t="s">
        <v>1925</v>
      </c>
      <c r="AD535" s="1"/>
      <c r="AE535" s="18"/>
      <c r="AF535" s="1"/>
      <c r="AG535" s="1"/>
      <c r="AH535" s="1" t="s">
        <v>1152</v>
      </c>
      <c r="AI535" s="1"/>
      <c r="AJ535" s="1"/>
      <c r="AK535" s="1"/>
      <c r="AL535" s="6" t="str">
        <f t="array" ref="AL535">IFERROR(IFS(XLOOKUP(B535, 'Kit Delivery Status'!$U:$U, 'Kit Delivery Status'!$K:$K) = "Complete", "DELIVERED", XLOOKUP(B535, 'Kit Delivery Status'!$U:$U, 'Kit Delivery Status'!$K:$K) = "Issue", "ISSUE"), "")</f>
        <v/>
      </c>
      <c r="AM535" s="6"/>
    </row>
    <row r="536">
      <c r="A536" s="5" t="s">
        <v>2874</v>
      </c>
      <c r="B536" s="1" t="s">
        <v>2875</v>
      </c>
      <c r="C536" s="1" t="s">
        <v>2876</v>
      </c>
      <c r="D536" s="2">
        <v>6.462475497E9</v>
      </c>
      <c r="E536" s="1" t="s">
        <v>2877</v>
      </c>
      <c r="F536" s="1"/>
      <c r="G536" s="1" t="s">
        <v>751</v>
      </c>
      <c r="H536" s="1" t="s">
        <v>751</v>
      </c>
      <c r="I536" s="1">
        <v>10012.0</v>
      </c>
      <c r="J536" s="1" t="s">
        <v>752</v>
      </c>
      <c r="K536" s="1" t="s">
        <v>51</v>
      </c>
      <c r="L536" s="1" t="s">
        <v>2460</v>
      </c>
      <c r="M536" s="1">
        <v>1.0</v>
      </c>
      <c r="N536" s="1" t="s">
        <v>2461</v>
      </c>
      <c r="O536" s="3" t="s">
        <v>2878</v>
      </c>
      <c r="P536" s="18">
        <v>45883.0</v>
      </c>
      <c r="Q536" s="1" t="s">
        <v>2463</v>
      </c>
      <c r="R536" s="1"/>
      <c r="S536" s="1" t="s">
        <v>2461</v>
      </c>
      <c r="T536" s="1" t="s">
        <v>2461</v>
      </c>
      <c r="U536" s="1" t="s">
        <v>1794</v>
      </c>
      <c r="V536" s="4" t="s">
        <v>2878</v>
      </c>
      <c r="W536" s="1"/>
      <c r="X536" s="18">
        <v>45883.0</v>
      </c>
      <c r="Y536" s="1" t="s">
        <v>1030</v>
      </c>
      <c r="Z536" s="1"/>
      <c r="AA536" s="1"/>
      <c r="AB536" s="1" t="s">
        <v>52</v>
      </c>
      <c r="AC536" s="1" t="s">
        <v>1925</v>
      </c>
      <c r="AD536" s="1"/>
      <c r="AE536" s="18"/>
      <c r="AF536" s="1"/>
      <c r="AG536" s="1"/>
      <c r="AH536" s="1" t="s">
        <v>1152</v>
      </c>
      <c r="AI536" s="1"/>
      <c r="AJ536" s="1"/>
      <c r="AK536" s="1"/>
      <c r="AL536" s="6" t="str">
        <f t="array" ref="AL536">IFERROR(IFS(XLOOKUP(B536, 'Kit Delivery Status'!$U:$U, 'Kit Delivery Status'!$K:$K) = "Complete", "DELIVERED", XLOOKUP(B536, 'Kit Delivery Status'!$U:$U, 'Kit Delivery Status'!$K:$K) = "Issue", "ISSUE"), "")</f>
        <v/>
      </c>
      <c r="AM536" s="6"/>
    </row>
    <row r="537">
      <c r="A537" s="5" t="s">
        <v>2879</v>
      </c>
      <c r="B537" s="1" t="s">
        <v>2880</v>
      </c>
      <c r="C537" s="1" t="s">
        <v>2881</v>
      </c>
      <c r="D537" s="2">
        <v>6.092562682E9</v>
      </c>
      <c r="E537" s="1" t="s">
        <v>2882</v>
      </c>
      <c r="F537" s="1"/>
      <c r="G537" s="1" t="s">
        <v>2883</v>
      </c>
      <c r="H537" s="1" t="s">
        <v>1053</v>
      </c>
      <c r="I537" s="1">
        <v>8033.0</v>
      </c>
      <c r="J537" s="1" t="s">
        <v>752</v>
      </c>
      <c r="K537" s="1" t="s">
        <v>51</v>
      </c>
      <c r="L537" s="1" t="s">
        <v>2460</v>
      </c>
      <c r="M537" s="1">
        <v>1.0</v>
      </c>
      <c r="N537" s="1" t="s">
        <v>2461</v>
      </c>
      <c r="O537" s="3" t="s">
        <v>446</v>
      </c>
      <c r="P537" s="18">
        <v>45890.0</v>
      </c>
      <c r="Q537" s="1" t="s">
        <v>2463</v>
      </c>
      <c r="R537" s="1"/>
      <c r="S537" s="1" t="s">
        <v>2461</v>
      </c>
      <c r="T537" s="1" t="s">
        <v>2461</v>
      </c>
      <c r="U537" s="1" t="s">
        <v>948</v>
      </c>
      <c r="V537" s="4" t="s">
        <v>446</v>
      </c>
      <c r="W537" s="1"/>
      <c r="X537" s="18">
        <v>45890.0</v>
      </c>
      <c r="Y537" s="1" t="s">
        <v>1030</v>
      </c>
      <c r="Z537" s="1"/>
      <c r="AA537" s="1"/>
      <c r="AB537" s="1" t="s">
        <v>52</v>
      </c>
      <c r="AC537" s="1" t="s">
        <v>1925</v>
      </c>
      <c r="AD537" s="1"/>
      <c r="AE537" s="18"/>
      <c r="AF537" s="1"/>
      <c r="AG537" s="1"/>
      <c r="AH537" s="1" t="s">
        <v>1152</v>
      </c>
      <c r="AI537" s="1"/>
      <c r="AJ537" s="1"/>
      <c r="AK537" s="1"/>
      <c r="AL537" s="6" t="str">
        <f t="array" ref="AL537">IFERROR(IFS(XLOOKUP(B537, 'Kit Delivery Status'!$U:$U, 'Kit Delivery Status'!$K:$K) = "Complete", "DELIVERED", XLOOKUP(B537, 'Kit Delivery Status'!$U:$U, 'Kit Delivery Status'!$K:$K) = "Issue", "ISSUE"), "")</f>
        <v/>
      </c>
      <c r="AM537" s="6"/>
    </row>
    <row r="538">
      <c r="A538" s="5" t="s">
        <v>2884</v>
      </c>
      <c r="B538" s="1" t="s">
        <v>2885</v>
      </c>
      <c r="C538" s="1" t="s">
        <v>2886</v>
      </c>
      <c r="D538" s="2">
        <v>5.107081479E9</v>
      </c>
      <c r="E538" s="1" t="s">
        <v>2887</v>
      </c>
      <c r="F538" s="1"/>
      <c r="G538" s="1" t="s">
        <v>2888</v>
      </c>
      <c r="H538" s="1" t="s">
        <v>989</v>
      </c>
      <c r="I538" s="1">
        <v>94705.0</v>
      </c>
      <c r="J538" s="1" t="s">
        <v>752</v>
      </c>
      <c r="K538" s="1" t="s">
        <v>51</v>
      </c>
      <c r="L538" s="1" t="s">
        <v>2460</v>
      </c>
      <c r="M538" s="1">
        <v>1.0</v>
      </c>
      <c r="N538" s="1" t="s">
        <v>2461</v>
      </c>
      <c r="O538" s="3" t="s">
        <v>2889</v>
      </c>
      <c r="P538" s="18">
        <v>45881.0</v>
      </c>
      <c r="Q538" s="1" t="s">
        <v>2463</v>
      </c>
      <c r="R538" s="1"/>
      <c r="S538" s="1" t="s">
        <v>2461</v>
      </c>
      <c r="T538" s="1" t="s">
        <v>2461</v>
      </c>
      <c r="U538" s="1" t="s">
        <v>1642</v>
      </c>
      <c r="V538" s="4" t="s">
        <v>2889</v>
      </c>
      <c r="W538" s="1"/>
      <c r="X538" s="18">
        <v>45881.0</v>
      </c>
      <c r="Y538" s="1" t="s">
        <v>1030</v>
      </c>
      <c r="Z538" s="1"/>
      <c r="AA538" s="1"/>
      <c r="AB538" s="1" t="s">
        <v>52</v>
      </c>
      <c r="AC538" s="1" t="s">
        <v>1925</v>
      </c>
      <c r="AD538" s="1"/>
      <c r="AE538" s="18"/>
      <c r="AF538" s="1"/>
      <c r="AG538" s="1"/>
      <c r="AH538" s="1" t="s">
        <v>1152</v>
      </c>
      <c r="AI538" s="1"/>
      <c r="AJ538" s="1"/>
      <c r="AK538" s="1"/>
      <c r="AL538" s="6" t="str">
        <f t="array" ref="AL538">IFERROR(IFS(XLOOKUP(B538, 'Kit Delivery Status'!$U:$U, 'Kit Delivery Status'!$K:$K) = "Complete", "DELIVERED", XLOOKUP(B538, 'Kit Delivery Status'!$U:$U, 'Kit Delivery Status'!$K:$K) = "Issue", "ISSUE"), "")</f>
        <v/>
      </c>
      <c r="AM538" s="6"/>
    </row>
    <row r="539">
      <c r="A539" s="5" t="s">
        <v>2890</v>
      </c>
      <c r="B539" s="1" t="s">
        <v>2891</v>
      </c>
      <c r="C539" s="1" t="s">
        <v>2892</v>
      </c>
      <c r="D539" s="2">
        <v>15169028488</v>
      </c>
      <c r="E539" s="1" t="s">
        <v>2893</v>
      </c>
      <c r="F539" s="1"/>
      <c r="G539" s="1" t="s">
        <v>2894</v>
      </c>
      <c r="H539" s="1" t="s">
        <v>751</v>
      </c>
      <c r="I539" s="1">
        <v>11510.0</v>
      </c>
      <c r="J539" s="1" t="s">
        <v>752</v>
      </c>
      <c r="K539" s="1" t="s">
        <v>51</v>
      </c>
      <c r="L539" s="1" t="s">
        <v>2460</v>
      </c>
      <c r="M539" s="1">
        <v>1.0</v>
      </c>
      <c r="N539" s="1" t="s">
        <v>2461</v>
      </c>
      <c r="O539" s="3" t="s">
        <v>2895</v>
      </c>
      <c r="P539" s="18">
        <v>45883.0</v>
      </c>
      <c r="Q539" s="1" t="s">
        <v>2463</v>
      </c>
      <c r="R539" s="1"/>
      <c r="S539" s="1" t="s">
        <v>2461</v>
      </c>
      <c r="T539" s="1" t="s">
        <v>2461</v>
      </c>
      <c r="U539" s="1" t="s">
        <v>1201</v>
      </c>
      <c r="V539" s="4" t="s">
        <v>2895</v>
      </c>
      <c r="W539" s="1"/>
      <c r="X539" s="18">
        <v>45883.0</v>
      </c>
      <c r="Y539" s="1" t="s">
        <v>1030</v>
      </c>
      <c r="Z539" s="1"/>
      <c r="AA539" s="1"/>
      <c r="AB539" s="1" t="s">
        <v>52</v>
      </c>
      <c r="AC539" s="1" t="s">
        <v>1925</v>
      </c>
      <c r="AD539" s="1"/>
      <c r="AE539" s="18"/>
      <c r="AF539" s="1"/>
      <c r="AG539" s="1"/>
      <c r="AH539" s="1" t="s">
        <v>1152</v>
      </c>
      <c r="AI539" s="1"/>
      <c r="AJ539" s="1"/>
      <c r="AK539" s="1"/>
      <c r="AL539" s="6" t="str">
        <f t="array" ref="AL539">IFERROR(IFS(XLOOKUP(B539, 'Kit Delivery Status'!$U:$U, 'Kit Delivery Status'!$K:$K) = "Complete", "DELIVERED", XLOOKUP(B539, 'Kit Delivery Status'!$U:$U, 'Kit Delivery Status'!$K:$K) = "Issue", "ISSUE"), "")</f>
        <v/>
      </c>
      <c r="AM539" s="6"/>
    </row>
    <row r="540">
      <c r="A540" s="5" t="s">
        <v>2896</v>
      </c>
      <c r="B540" s="1" t="s">
        <v>2897</v>
      </c>
      <c r="C540" s="1" t="s">
        <v>2898</v>
      </c>
      <c r="D540" s="2"/>
      <c r="E540" s="1" t="s">
        <v>2899</v>
      </c>
      <c r="F540" s="1"/>
      <c r="G540" s="1" t="s">
        <v>2301</v>
      </c>
      <c r="H540" s="1" t="s">
        <v>1583</v>
      </c>
      <c r="I540" s="1">
        <v>76092.0</v>
      </c>
      <c r="J540" s="1" t="s">
        <v>752</v>
      </c>
      <c r="K540" s="1" t="s">
        <v>51</v>
      </c>
      <c r="L540" s="1" t="s">
        <v>2460</v>
      </c>
      <c r="M540" s="1">
        <v>1.0</v>
      </c>
      <c r="N540" s="1" t="s">
        <v>2461</v>
      </c>
      <c r="O540" s="3" t="s">
        <v>742</v>
      </c>
      <c r="P540" s="18">
        <v>45887.0</v>
      </c>
      <c r="Q540" s="1" t="s">
        <v>2463</v>
      </c>
      <c r="R540" s="1"/>
      <c r="S540" s="1" t="s">
        <v>2461</v>
      </c>
      <c r="T540" s="1" t="s">
        <v>2461</v>
      </c>
      <c r="U540" s="1" t="s">
        <v>1642</v>
      </c>
      <c r="V540" s="4" t="s">
        <v>742</v>
      </c>
      <c r="W540" s="1"/>
      <c r="X540" s="18">
        <v>45887.0</v>
      </c>
      <c r="Y540" s="1" t="s">
        <v>1030</v>
      </c>
      <c r="Z540" s="1"/>
      <c r="AA540" s="1"/>
      <c r="AB540" s="1" t="s">
        <v>52</v>
      </c>
      <c r="AC540" s="1" t="s">
        <v>1925</v>
      </c>
      <c r="AD540" s="1"/>
      <c r="AE540" s="18"/>
      <c r="AF540" s="1"/>
      <c r="AG540" s="1"/>
      <c r="AH540" s="1" t="s">
        <v>1152</v>
      </c>
      <c r="AI540" s="1"/>
      <c r="AJ540" s="1"/>
      <c r="AK540" s="1"/>
      <c r="AL540" s="6" t="str">
        <f t="array" ref="AL540">IFERROR(IFS(XLOOKUP(B540, 'Kit Delivery Status'!$U:$U, 'Kit Delivery Status'!$K:$K) = "Complete", "DELIVERED", XLOOKUP(B540, 'Kit Delivery Status'!$U:$U, 'Kit Delivery Status'!$K:$K) = "Issue", "ISSUE"), "")</f>
        <v/>
      </c>
      <c r="AM540" s="6"/>
    </row>
    <row r="541">
      <c r="A541" s="5" t="s">
        <v>2900</v>
      </c>
      <c r="B541" s="1" t="s">
        <v>2901</v>
      </c>
      <c r="C541" s="1" t="s">
        <v>2902</v>
      </c>
      <c r="D541" s="2">
        <v>14158479046</v>
      </c>
      <c r="E541" s="1" t="s">
        <v>2903</v>
      </c>
      <c r="F541" s="1"/>
      <c r="G541" s="1" t="s">
        <v>2904</v>
      </c>
      <c r="H541" s="1" t="s">
        <v>989</v>
      </c>
      <c r="I541" s="1">
        <v>94960.0</v>
      </c>
      <c r="J541" s="1" t="s">
        <v>752</v>
      </c>
      <c r="K541" s="1" t="s">
        <v>51</v>
      </c>
      <c r="L541" s="1" t="s">
        <v>2460</v>
      </c>
      <c r="M541" s="1">
        <v>1.0</v>
      </c>
      <c r="N541" s="1" t="s">
        <v>2461</v>
      </c>
      <c r="O541" s="3" t="s">
        <v>2905</v>
      </c>
      <c r="P541" s="18">
        <v>45883.0</v>
      </c>
      <c r="Q541" s="1" t="s">
        <v>2463</v>
      </c>
      <c r="R541" s="1"/>
      <c r="S541" s="1" t="s">
        <v>2461</v>
      </c>
      <c r="T541" s="1" t="s">
        <v>2461</v>
      </c>
      <c r="U541" s="1" t="s">
        <v>1174</v>
      </c>
      <c r="V541" s="4" t="s">
        <v>2905</v>
      </c>
      <c r="W541" s="1"/>
      <c r="X541" s="18">
        <v>45883.0</v>
      </c>
      <c r="Y541" s="1" t="s">
        <v>1030</v>
      </c>
      <c r="Z541" s="1"/>
      <c r="AA541" s="1"/>
      <c r="AB541" s="1" t="s">
        <v>52</v>
      </c>
      <c r="AC541" s="1" t="s">
        <v>1925</v>
      </c>
      <c r="AD541" s="1"/>
      <c r="AE541" s="18"/>
      <c r="AF541" s="1"/>
      <c r="AG541" s="1"/>
      <c r="AH541" s="1" t="s">
        <v>1152</v>
      </c>
      <c r="AI541" s="1"/>
      <c r="AJ541" s="1"/>
      <c r="AK541" s="1"/>
      <c r="AL541" s="6" t="str">
        <f t="array" ref="AL541">IFERROR(IFS(XLOOKUP(B541, 'Kit Delivery Status'!$U:$U, 'Kit Delivery Status'!$K:$K) = "Complete", "DELIVERED", XLOOKUP(B541, 'Kit Delivery Status'!$U:$U, 'Kit Delivery Status'!$K:$K) = "Issue", "ISSUE"), "")</f>
        <v/>
      </c>
      <c r="AM541" s="6"/>
    </row>
    <row r="542">
      <c r="A542" s="5" t="s">
        <v>2906</v>
      </c>
      <c r="B542" s="1" t="s">
        <v>2907</v>
      </c>
      <c r="C542" s="1"/>
      <c r="D542" s="2"/>
      <c r="E542" s="1" t="s">
        <v>2908</v>
      </c>
      <c r="F542" s="1"/>
      <c r="G542" s="1" t="s">
        <v>2909</v>
      </c>
      <c r="H542" s="1" t="s">
        <v>989</v>
      </c>
      <c r="I542" s="1">
        <v>91011.0</v>
      </c>
      <c r="J542" s="1" t="s">
        <v>752</v>
      </c>
      <c r="K542" s="1" t="s">
        <v>51</v>
      </c>
      <c r="L542" s="1" t="s">
        <v>2460</v>
      </c>
      <c r="M542" s="1">
        <v>1.0</v>
      </c>
      <c r="N542" s="1" t="s">
        <v>2461</v>
      </c>
      <c r="O542" s="3" t="s">
        <v>2910</v>
      </c>
      <c r="P542" s="18">
        <v>45883.0</v>
      </c>
      <c r="Q542" s="1" t="s">
        <v>2463</v>
      </c>
      <c r="R542" s="1"/>
      <c r="S542" s="1" t="s">
        <v>2461</v>
      </c>
      <c r="T542" s="1" t="s">
        <v>2461</v>
      </c>
      <c r="U542" s="1" t="s">
        <v>1174</v>
      </c>
      <c r="V542" s="4" t="s">
        <v>2910</v>
      </c>
      <c r="W542" s="1"/>
      <c r="X542" s="18">
        <v>45883.0</v>
      </c>
      <c r="Y542" s="1" t="s">
        <v>1030</v>
      </c>
      <c r="Z542" s="1"/>
      <c r="AA542" s="1"/>
      <c r="AB542" s="1" t="s">
        <v>52</v>
      </c>
      <c r="AC542" s="1" t="s">
        <v>1925</v>
      </c>
      <c r="AD542" s="1"/>
      <c r="AE542" s="18"/>
      <c r="AF542" s="1"/>
      <c r="AG542" s="1"/>
      <c r="AH542" s="1" t="s">
        <v>1152</v>
      </c>
      <c r="AI542" s="1"/>
      <c r="AJ542" s="1"/>
      <c r="AK542" s="1"/>
      <c r="AL542" s="6" t="str">
        <f t="array" ref="AL542">IFERROR(IFS(XLOOKUP(B542, 'Kit Delivery Status'!$U:$U, 'Kit Delivery Status'!$K:$K) = "Complete", "DELIVERED", XLOOKUP(B542, 'Kit Delivery Status'!$U:$U, 'Kit Delivery Status'!$K:$K) = "Issue", "ISSUE"), "")</f>
        <v/>
      </c>
      <c r="AM542" s="6"/>
    </row>
    <row r="543">
      <c r="A543" s="5" t="s">
        <v>2911</v>
      </c>
      <c r="B543" s="1" t="s">
        <v>2912</v>
      </c>
      <c r="C543" s="1"/>
      <c r="D543" s="2"/>
      <c r="E543" s="1" t="s">
        <v>2913</v>
      </c>
      <c r="F543" s="1"/>
      <c r="G543" s="1" t="s">
        <v>2914</v>
      </c>
      <c r="H543" s="1" t="s">
        <v>1005</v>
      </c>
      <c r="I543" s="1">
        <v>21409.0</v>
      </c>
      <c r="J543" s="1" t="s">
        <v>752</v>
      </c>
      <c r="K543" s="1" t="s">
        <v>51</v>
      </c>
      <c r="L543" s="1" t="s">
        <v>2460</v>
      </c>
      <c r="M543" s="1">
        <v>1.0</v>
      </c>
      <c r="N543" s="1" t="s">
        <v>2461</v>
      </c>
      <c r="O543" s="3" t="s">
        <v>2915</v>
      </c>
      <c r="P543" s="18">
        <v>45883.0</v>
      </c>
      <c r="Q543" s="1" t="s">
        <v>2463</v>
      </c>
      <c r="R543" s="1"/>
      <c r="S543" s="1" t="s">
        <v>2461</v>
      </c>
      <c r="T543" s="1" t="s">
        <v>2461</v>
      </c>
      <c r="U543" s="1" t="s">
        <v>1407</v>
      </c>
      <c r="V543" s="4" t="s">
        <v>2915</v>
      </c>
      <c r="W543" s="1"/>
      <c r="X543" s="18">
        <v>45883.0</v>
      </c>
      <c r="Y543" s="1" t="s">
        <v>1030</v>
      </c>
      <c r="Z543" s="1"/>
      <c r="AA543" s="1"/>
      <c r="AB543" s="1" t="s">
        <v>52</v>
      </c>
      <c r="AC543" s="1" t="s">
        <v>1925</v>
      </c>
      <c r="AD543" s="1"/>
      <c r="AE543" s="18"/>
      <c r="AF543" s="1"/>
      <c r="AG543" s="1"/>
      <c r="AH543" s="1" t="s">
        <v>1152</v>
      </c>
      <c r="AI543" s="1"/>
      <c r="AJ543" s="1"/>
      <c r="AK543" s="1"/>
      <c r="AL543" s="6" t="str">
        <f t="array" ref="AL543">IFERROR(IFS(XLOOKUP(B543, 'Kit Delivery Status'!$U:$U, 'Kit Delivery Status'!$K:$K) = "Complete", "DELIVERED", XLOOKUP(B543, 'Kit Delivery Status'!$U:$U, 'Kit Delivery Status'!$K:$K) = "Issue", "ISSUE"), "")</f>
        <v/>
      </c>
      <c r="AM543" s="6"/>
    </row>
    <row r="544">
      <c r="A544" s="5" t="s">
        <v>2916</v>
      </c>
      <c r="B544" s="1" t="s">
        <v>2917</v>
      </c>
      <c r="C544" s="1" t="s">
        <v>2918</v>
      </c>
      <c r="D544" s="2">
        <v>8.455419984E9</v>
      </c>
      <c r="E544" s="1" t="s">
        <v>2919</v>
      </c>
      <c r="F544" s="1"/>
      <c r="G544" s="1" t="s">
        <v>2920</v>
      </c>
      <c r="H544" s="1" t="s">
        <v>751</v>
      </c>
      <c r="I544" s="1">
        <v>12518.0</v>
      </c>
      <c r="J544" s="1" t="s">
        <v>752</v>
      </c>
      <c r="K544" s="1" t="s">
        <v>51</v>
      </c>
      <c r="L544" s="1" t="s">
        <v>2460</v>
      </c>
      <c r="M544" s="1">
        <v>1.0</v>
      </c>
      <c r="N544" s="1" t="s">
        <v>2461</v>
      </c>
      <c r="O544" s="3" t="s">
        <v>2921</v>
      </c>
      <c r="P544" s="18">
        <v>45883.0</v>
      </c>
      <c r="Q544" s="1" t="s">
        <v>2731</v>
      </c>
      <c r="R544" s="1"/>
      <c r="S544" s="1" t="s">
        <v>2461</v>
      </c>
      <c r="T544" s="1" t="s">
        <v>2461</v>
      </c>
      <c r="U544" s="1" t="s">
        <v>1456</v>
      </c>
      <c r="V544" s="4" t="s">
        <v>2921</v>
      </c>
      <c r="W544" s="1"/>
      <c r="X544" s="18">
        <v>45883.0</v>
      </c>
      <c r="Y544" s="1" t="s">
        <v>1349</v>
      </c>
      <c r="Z544" s="1"/>
      <c r="AA544" s="1"/>
      <c r="AB544" s="1" t="s">
        <v>52</v>
      </c>
      <c r="AC544" s="1" t="s">
        <v>1925</v>
      </c>
      <c r="AD544" s="1"/>
      <c r="AE544" s="18"/>
      <c r="AF544" s="1"/>
      <c r="AG544" s="1"/>
      <c r="AH544" s="1" t="s">
        <v>1152</v>
      </c>
      <c r="AI544" s="1"/>
      <c r="AJ544" s="1"/>
      <c r="AK544" s="1"/>
      <c r="AL544" s="6" t="str">
        <f t="array" ref="AL544">IFERROR(IFS(XLOOKUP(B544, 'Kit Delivery Status'!$U:$U, 'Kit Delivery Status'!$K:$K) = "Complete", "DELIVERED", XLOOKUP(B544, 'Kit Delivery Status'!$U:$U, 'Kit Delivery Status'!$K:$K) = "Issue", "ISSUE"), "")</f>
        <v/>
      </c>
      <c r="AM544" s="6"/>
    </row>
    <row r="545">
      <c r="A545" s="5" t="s">
        <v>2922</v>
      </c>
      <c r="B545" s="1" t="s">
        <v>2923</v>
      </c>
      <c r="C545" s="1" t="s">
        <v>2924</v>
      </c>
      <c r="D545" s="2">
        <v>7.866672127E9</v>
      </c>
      <c r="E545" s="1" t="s">
        <v>2925</v>
      </c>
      <c r="F545" s="1"/>
      <c r="G545" s="1" t="s">
        <v>2926</v>
      </c>
      <c r="H545" s="1" t="s">
        <v>1208</v>
      </c>
      <c r="I545" s="1">
        <v>33133.0</v>
      </c>
      <c r="J545" s="1" t="s">
        <v>752</v>
      </c>
      <c r="K545" s="1" t="s">
        <v>51</v>
      </c>
      <c r="L545" s="1" t="s">
        <v>2460</v>
      </c>
      <c r="M545" s="1">
        <v>1.0</v>
      </c>
      <c r="N545" s="1" t="s">
        <v>2461</v>
      </c>
      <c r="O545" s="3" t="s">
        <v>2927</v>
      </c>
      <c r="P545" s="18">
        <v>45883.0</v>
      </c>
      <c r="Q545" s="1" t="s">
        <v>2463</v>
      </c>
      <c r="R545" s="1"/>
      <c r="S545" s="1" t="s">
        <v>2461</v>
      </c>
      <c r="T545" s="1" t="s">
        <v>2461</v>
      </c>
      <c r="U545" s="1" t="s">
        <v>1167</v>
      </c>
      <c r="V545" s="4" t="s">
        <v>2927</v>
      </c>
      <c r="W545" s="1"/>
      <c r="X545" s="18">
        <v>45883.0</v>
      </c>
      <c r="Y545" s="1" t="s">
        <v>1030</v>
      </c>
      <c r="Z545" s="1"/>
      <c r="AA545" s="1"/>
      <c r="AB545" s="1" t="s">
        <v>52</v>
      </c>
      <c r="AC545" s="1" t="s">
        <v>1925</v>
      </c>
      <c r="AD545" s="1"/>
      <c r="AE545" s="18"/>
      <c r="AF545" s="1"/>
      <c r="AG545" s="1"/>
      <c r="AH545" s="1" t="s">
        <v>1152</v>
      </c>
      <c r="AI545" s="1"/>
      <c r="AJ545" s="1"/>
      <c r="AK545" s="1"/>
      <c r="AL545" s="6" t="str">
        <f t="array" ref="AL545">IFERROR(IFS(XLOOKUP(B545, 'Kit Delivery Status'!$U:$U, 'Kit Delivery Status'!$K:$K) = "Complete", "DELIVERED", XLOOKUP(B545, 'Kit Delivery Status'!$U:$U, 'Kit Delivery Status'!$K:$K) = "Issue", "ISSUE"), "")</f>
        <v/>
      </c>
      <c r="AM545" s="6"/>
    </row>
    <row r="546">
      <c r="A546" s="5" t="s">
        <v>2928</v>
      </c>
      <c r="B546" s="1" t="s">
        <v>2929</v>
      </c>
      <c r="C546" s="1" t="s">
        <v>2930</v>
      </c>
      <c r="D546" s="2">
        <v>2.813527497E9</v>
      </c>
      <c r="E546" s="1" t="s">
        <v>2931</v>
      </c>
      <c r="F546" s="1"/>
      <c r="G546" s="1" t="s">
        <v>2932</v>
      </c>
      <c r="H546" s="1" t="s">
        <v>1583</v>
      </c>
      <c r="I546" s="1">
        <v>77401.0</v>
      </c>
      <c r="J546" s="1" t="s">
        <v>752</v>
      </c>
      <c r="K546" s="1" t="s">
        <v>95</v>
      </c>
      <c r="L546" s="1" t="s">
        <v>2571</v>
      </c>
      <c r="M546" s="1">
        <v>49.0</v>
      </c>
      <c r="N546" s="1" t="s">
        <v>2461</v>
      </c>
      <c r="O546" s="3" t="s">
        <v>2933</v>
      </c>
      <c r="P546" s="18">
        <v>45883.0</v>
      </c>
      <c r="Q546" s="1" t="s">
        <v>2463</v>
      </c>
      <c r="R546" s="1"/>
      <c r="S546" s="1" t="s">
        <v>2461</v>
      </c>
      <c r="T546" s="1" t="s">
        <v>2461</v>
      </c>
      <c r="U546" s="1" t="s">
        <v>1080</v>
      </c>
      <c r="V546" s="4" t="s">
        <v>2933</v>
      </c>
      <c r="W546" s="1"/>
      <c r="X546" s="18">
        <v>45883.0</v>
      </c>
      <c r="Y546" s="1" t="s">
        <v>1030</v>
      </c>
      <c r="Z546" s="1"/>
      <c r="AA546" s="1"/>
      <c r="AB546" s="1" t="s">
        <v>52</v>
      </c>
      <c r="AC546" s="1" t="s">
        <v>2934</v>
      </c>
      <c r="AD546" s="1"/>
      <c r="AE546" s="18"/>
      <c r="AF546" s="1"/>
      <c r="AG546" s="1"/>
      <c r="AH546" s="1" t="s">
        <v>1152</v>
      </c>
      <c r="AI546" s="1"/>
      <c r="AJ546" s="1"/>
      <c r="AK546" s="1"/>
      <c r="AL546" s="6" t="str">
        <f t="array" ref="AL546">IFERROR(IFS(XLOOKUP(B546, 'Kit Delivery Status'!$U:$U, 'Kit Delivery Status'!$K:$K) = "Complete", "DELIVERED", XLOOKUP(B546, 'Kit Delivery Status'!$U:$U, 'Kit Delivery Status'!$K:$K) = "Issue", "ISSUE"), "")</f>
        <v/>
      </c>
      <c r="AM546" s="6"/>
    </row>
    <row r="547">
      <c r="A547" s="5" t="s">
        <v>2935</v>
      </c>
      <c r="B547" s="1" t="s">
        <v>2936</v>
      </c>
      <c r="C547" s="1" t="s">
        <v>2937</v>
      </c>
      <c r="D547" s="2">
        <v>3.10729396E9</v>
      </c>
      <c r="E547" s="1" t="s">
        <v>2938</v>
      </c>
      <c r="F547" s="1"/>
      <c r="G547" s="1" t="s">
        <v>2791</v>
      </c>
      <c r="H547" s="1" t="s">
        <v>989</v>
      </c>
      <c r="I547" s="1">
        <v>90402.0</v>
      </c>
      <c r="J547" s="1" t="s">
        <v>752</v>
      </c>
      <c r="K547" s="1" t="s">
        <v>51</v>
      </c>
      <c r="L547" s="1" t="s">
        <v>2460</v>
      </c>
      <c r="M547" s="1">
        <v>1.0</v>
      </c>
      <c r="N547" s="1" t="s">
        <v>2461</v>
      </c>
      <c r="O547" s="3" t="s">
        <v>2939</v>
      </c>
      <c r="P547" s="18">
        <v>45883.0</v>
      </c>
      <c r="Q547" s="1" t="s">
        <v>2463</v>
      </c>
      <c r="R547" s="1"/>
      <c r="S547" s="1" t="s">
        <v>2461</v>
      </c>
      <c r="T547" s="1" t="s">
        <v>2461</v>
      </c>
      <c r="U547" s="1" t="s">
        <v>2940</v>
      </c>
      <c r="V547" s="4" t="s">
        <v>2939</v>
      </c>
      <c r="W547" s="1"/>
      <c r="X547" s="18">
        <v>45883.0</v>
      </c>
      <c r="Y547" s="1" t="s">
        <v>1030</v>
      </c>
      <c r="Z547" s="1"/>
      <c r="AA547" s="1"/>
      <c r="AB547" s="1" t="s">
        <v>52</v>
      </c>
      <c r="AC547" s="1" t="s">
        <v>1925</v>
      </c>
      <c r="AD547" s="1"/>
      <c r="AE547" s="18"/>
      <c r="AF547" s="1"/>
      <c r="AG547" s="1"/>
      <c r="AH547" s="1" t="s">
        <v>1152</v>
      </c>
      <c r="AI547" s="1"/>
      <c r="AJ547" s="1"/>
      <c r="AK547" s="1"/>
      <c r="AL547" s="6" t="str">
        <f t="array" ref="AL547">IFERROR(IFS(XLOOKUP(B547, 'Kit Delivery Status'!$U:$U, 'Kit Delivery Status'!$K:$K) = "Complete", "DELIVERED", XLOOKUP(B547, 'Kit Delivery Status'!$U:$U, 'Kit Delivery Status'!$K:$K) = "Issue", "ISSUE"), "")</f>
        <v/>
      </c>
      <c r="AM547" s="6"/>
    </row>
    <row r="548">
      <c r="A548" s="5" t="s">
        <v>2941</v>
      </c>
      <c r="B548" s="1" t="s">
        <v>2942</v>
      </c>
      <c r="C548" s="1" t="s">
        <v>2943</v>
      </c>
      <c r="D548" s="2">
        <v>2.159070064E9</v>
      </c>
      <c r="E548" s="1" t="s">
        <v>2944</v>
      </c>
      <c r="F548" s="1"/>
      <c r="G548" s="1" t="s">
        <v>2945</v>
      </c>
      <c r="H548" s="1" t="s">
        <v>1233</v>
      </c>
      <c r="I548" s="1">
        <v>19312.0</v>
      </c>
      <c r="J548" s="1" t="s">
        <v>752</v>
      </c>
      <c r="K548" s="1" t="s">
        <v>51</v>
      </c>
      <c r="L548" s="1" t="s">
        <v>2460</v>
      </c>
      <c r="M548" s="1">
        <v>1.0</v>
      </c>
      <c r="N548" s="1" t="s">
        <v>2461</v>
      </c>
      <c r="O548" s="3" t="s">
        <v>2946</v>
      </c>
      <c r="P548" s="18">
        <v>45883.0</v>
      </c>
      <c r="Q548" s="1" t="s">
        <v>2463</v>
      </c>
      <c r="R548" s="1"/>
      <c r="S548" s="1" t="s">
        <v>2461</v>
      </c>
      <c r="T548" s="1" t="s">
        <v>2461</v>
      </c>
      <c r="U548" s="1" t="s">
        <v>1699</v>
      </c>
      <c r="V548" s="4" t="s">
        <v>2946</v>
      </c>
      <c r="W548" s="1"/>
      <c r="X548" s="18">
        <v>45883.0</v>
      </c>
      <c r="Y548" s="1" t="s">
        <v>1030</v>
      </c>
      <c r="Z548" s="1"/>
      <c r="AA548" s="1"/>
      <c r="AB548" s="1" t="s">
        <v>52</v>
      </c>
      <c r="AC548" s="1" t="s">
        <v>1925</v>
      </c>
      <c r="AD548" s="1"/>
      <c r="AE548" s="18"/>
      <c r="AF548" s="1"/>
      <c r="AG548" s="1"/>
      <c r="AH548" s="1" t="s">
        <v>1152</v>
      </c>
      <c r="AI548" s="1"/>
      <c r="AJ548" s="1"/>
      <c r="AK548" s="1"/>
      <c r="AL548" s="6" t="str">
        <f t="array" ref="AL548">IFERROR(IFS(XLOOKUP(B548, 'Kit Delivery Status'!$U:$U, 'Kit Delivery Status'!$K:$K) = "Complete", "DELIVERED", XLOOKUP(B548, 'Kit Delivery Status'!$U:$U, 'Kit Delivery Status'!$K:$K) = "Issue", "ISSUE"), "")</f>
        <v/>
      </c>
      <c r="AM548" s="6"/>
    </row>
    <row r="549">
      <c r="A549" s="5" t="s">
        <v>2947</v>
      </c>
      <c r="B549" s="1" t="s">
        <v>2948</v>
      </c>
      <c r="C549" s="1" t="s">
        <v>2949</v>
      </c>
      <c r="D549" s="2">
        <v>9.735188085E9</v>
      </c>
      <c r="E549" s="1" t="s">
        <v>512</v>
      </c>
      <c r="F549" s="1"/>
      <c r="G549" s="1" t="s">
        <v>2950</v>
      </c>
      <c r="H549" s="1" t="s">
        <v>1053</v>
      </c>
      <c r="I549" s="1">
        <v>7760.0</v>
      </c>
      <c r="J549" s="1" t="s">
        <v>752</v>
      </c>
      <c r="K549" s="1" t="s">
        <v>51</v>
      </c>
      <c r="L549" s="1" t="s">
        <v>2460</v>
      </c>
      <c r="M549" s="1">
        <v>1.0</v>
      </c>
      <c r="N549" s="1" t="s">
        <v>2461</v>
      </c>
      <c r="O549" s="3" t="s">
        <v>2951</v>
      </c>
      <c r="P549" s="18">
        <v>45883.0</v>
      </c>
      <c r="Q549" s="1" t="s">
        <v>2463</v>
      </c>
      <c r="R549" s="1"/>
      <c r="S549" s="1" t="s">
        <v>2461</v>
      </c>
      <c r="T549" s="1" t="s">
        <v>2461</v>
      </c>
      <c r="U549" s="1" t="s">
        <v>1828</v>
      </c>
      <c r="V549" s="4" t="s">
        <v>2951</v>
      </c>
      <c r="W549" s="1"/>
      <c r="X549" s="18">
        <v>45883.0</v>
      </c>
      <c r="Y549" s="1" t="s">
        <v>1030</v>
      </c>
      <c r="Z549" s="1"/>
      <c r="AA549" s="1"/>
      <c r="AB549" s="1" t="s">
        <v>52</v>
      </c>
      <c r="AC549" s="1" t="s">
        <v>1925</v>
      </c>
      <c r="AD549" s="1"/>
      <c r="AE549" s="18"/>
      <c r="AF549" s="1"/>
      <c r="AG549" s="1"/>
      <c r="AH549" s="1" t="s">
        <v>1152</v>
      </c>
      <c r="AI549" s="1"/>
      <c r="AJ549" s="1"/>
      <c r="AK549" s="1"/>
      <c r="AL549" s="6" t="str">
        <f t="array" ref="AL549">IFERROR(IFS(XLOOKUP(B549, 'Kit Delivery Status'!$U:$U, 'Kit Delivery Status'!$K:$K) = "Complete", "DELIVERED", XLOOKUP(B549, 'Kit Delivery Status'!$U:$U, 'Kit Delivery Status'!$K:$K) = "Issue", "ISSUE"), "")</f>
        <v/>
      </c>
      <c r="AM549" s="6"/>
    </row>
    <row r="550">
      <c r="A550" s="5" t="s">
        <v>2952</v>
      </c>
      <c r="B550" s="1" t="s">
        <v>2953</v>
      </c>
      <c r="C550" s="1"/>
      <c r="D550" s="2"/>
      <c r="E550" s="1" t="s">
        <v>2954</v>
      </c>
      <c r="F550" s="1"/>
      <c r="G550" s="1" t="s">
        <v>1072</v>
      </c>
      <c r="H550" s="1" t="s">
        <v>1019</v>
      </c>
      <c r="I550" s="1" t="s">
        <v>2955</v>
      </c>
      <c r="J550" s="1" t="s">
        <v>752</v>
      </c>
      <c r="K550" s="1" t="s">
        <v>51</v>
      </c>
      <c r="L550" s="1" t="s">
        <v>2460</v>
      </c>
      <c r="M550" s="1">
        <v>1.0</v>
      </c>
      <c r="N550" s="1" t="s">
        <v>2461</v>
      </c>
      <c r="O550" s="3" t="s">
        <v>2956</v>
      </c>
      <c r="P550" s="18">
        <v>45891.0</v>
      </c>
      <c r="Q550" s="1" t="s">
        <v>2731</v>
      </c>
      <c r="R550" s="1"/>
      <c r="S550" s="1" t="s">
        <v>2461</v>
      </c>
      <c r="T550" s="1" t="s">
        <v>2461</v>
      </c>
      <c r="U550" s="1" t="s">
        <v>2957</v>
      </c>
      <c r="V550" s="4" t="s">
        <v>2956</v>
      </c>
      <c r="W550" s="1"/>
      <c r="X550" s="18">
        <v>45891.0</v>
      </c>
      <c r="Y550" s="1" t="s">
        <v>1349</v>
      </c>
      <c r="Z550" s="1"/>
      <c r="AA550" s="1"/>
      <c r="AB550" s="1" t="s">
        <v>52</v>
      </c>
      <c r="AC550" s="1" t="s">
        <v>1925</v>
      </c>
      <c r="AD550" s="1"/>
      <c r="AE550" s="18"/>
      <c r="AF550" s="1"/>
      <c r="AG550" s="1"/>
      <c r="AH550" s="1" t="s">
        <v>1152</v>
      </c>
      <c r="AI550" s="1"/>
      <c r="AJ550" s="1"/>
      <c r="AK550" s="1"/>
      <c r="AL550" s="6" t="str">
        <f t="array" ref="AL550">IFERROR(IFS(XLOOKUP(B550, 'Kit Delivery Status'!$U:$U, 'Kit Delivery Status'!$K:$K) = "Complete", "DELIVERED", XLOOKUP(B550, 'Kit Delivery Status'!$U:$U, 'Kit Delivery Status'!$K:$K) = "Issue", "ISSUE"), "")</f>
        <v/>
      </c>
      <c r="AM550" s="6"/>
    </row>
    <row r="551">
      <c r="A551" s="5" t="s">
        <v>2958</v>
      </c>
      <c r="B551" s="1" t="s">
        <v>2959</v>
      </c>
      <c r="C551" s="1" t="s">
        <v>1151</v>
      </c>
      <c r="D551" s="2"/>
      <c r="E551" s="1" t="s">
        <v>2960</v>
      </c>
      <c r="F551" s="1"/>
      <c r="G551" s="1" t="s">
        <v>1154</v>
      </c>
      <c r="H551" s="1" t="s">
        <v>989</v>
      </c>
      <c r="I551" s="1">
        <v>94549.0</v>
      </c>
      <c r="J551" s="1" t="s">
        <v>752</v>
      </c>
      <c r="K551" s="1" t="s">
        <v>66</v>
      </c>
      <c r="L551" s="1" t="s">
        <v>2470</v>
      </c>
      <c r="M551" s="1">
        <v>210.0</v>
      </c>
      <c r="N551" s="1" t="s">
        <v>1152</v>
      </c>
      <c r="O551" s="3" t="s">
        <v>1046</v>
      </c>
      <c r="P551" s="18">
        <v>45883.0</v>
      </c>
      <c r="Q551" s="1" t="s">
        <v>1152</v>
      </c>
      <c r="R551" s="1"/>
      <c r="S551" s="1" t="s">
        <v>1152</v>
      </c>
      <c r="T551" s="1" t="s">
        <v>1152</v>
      </c>
      <c r="U551" s="1" t="s">
        <v>982</v>
      </c>
      <c r="V551" s="4" t="s">
        <v>1046</v>
      </c>
      <c r="W551" s="1"/>
      <c r="X551" s="18">
        <v>45883.0</v>
      </c>
      <c r="Y551" s="1"/>
      <c r="Z551" s="1"/>
      <c r="AA551" s="1"/>
      <c r="AB551" s="1"/>
      <c r="AC551" s="1" t="s">
        <v>1925</v>
      </c>
      <c r="AD551" s="1"/>
      <c r="AE551" s="18"/>
      <c r="AF551" s="1"/>
      <c r="AG551" s="1"/>
      <c r="AH551" s="1" t="s">
        <v>1152</v>
      </c>
      <c r="AI551" s="1"/>
      <c r="AJ551" s="1"/>
      <c r="AK551" s="1"/>
      <c r="AL551" s="6" t="str">
        <f t="array" ref="AL551">IFERROR(IFS(XLOOKUP(B551, 'Kit Delivery Status'!$U:$U, 'Kit Delivery Status'!$K:$K) = "Complete", "DELIVERED", XLOOKUP(B551, 'Kit Delivery Status'!$U:$U, 'Kit Delivery Status'!$K:$K) = "Issue", "ISSUE"), "")</f>
        <v/>
      </c>
      <c r="AM551" s="6"/>
    </row>
    <row r="552">
      <c r="A552" s="5" t="s">
        <v>2961</v>
      </c>
      <c r="B552" s="1" t="s">
        <v>2962</v>
      </c>
      <c r="C552" s="1" t="s">
        <v>2963</v>
      </c>
      <c r="D552" s="2">
        <v>4.252731891E9</v>
      </c>
      <c r="E552" s="1" t="s">
        <v>2964</v>
      </c>
      <c r="F552" s="1"/>
      <c r="G552" s="1" t="s">
        <v>2965</v>
      </c>
      <c r="H552" s="1" t="s">
        <v>980</v>
      </c>
      <c r="I552" s="1">
        <v>98008.0</v>
      </c>
      <c r="J552" s="1" t="s">
        <v>752</v>
      </c>
      <c r="K552" s="1" t="s">
        <v>51</v>
      </c>
      <c r="L552" s="1" t="s">
        <v>2460</v>
      </c>
      <c r="M552" s="1">
        <v>1.0</v>
      </c>
      <c r="N552" s="1" t="s">
        <v>2461</v>
      </c>
      <c r="O552" s="3" t="s">
        <v>2966</v>
      </c>
      <c r="P552" s="18">
        <v>45883.0</v>
      </c>
      <c r="Q552" s="1" t="s">
        <v>2463</v>
      </c>
      <c r="R552" s="1"/>
      <c r="S552" s="1" t="s">
        <v>2461</v>
      </c>
      <c r="T552" s="1" t="s">
        <v>2461</v>
      </c>
      <c r="U552" s="1" t="s">
        <v>2957</v>
      </c>
      <c r="V552" s="4" t="s">
        <v>2966</v>
      </c>
      <c r="W552" s="1"/>
      <c r="X552" s="18">
        <v>45883.0</v>
      </c>
      <c r="Y552" s="1" t="s">
        <v>1030</v>
      </c>
      <c r="Z552" s="1"/>
      <c r="AA552" s="1"/>
      <c r="AB552" s="1" t="s">
        <v>52</v>
      </c>
      <c r="AC552" s="1" t="s">
        <v>1925</v>
      </c>
      <c r="AD552" s="1"/>
      <c r="AE552" s="18"/>
      <c r="AF552" s="1"/>
      <c r="AG552" s="1"/>
      <c r="AH552" s="1" t="s">
        <v>1152</v>
      </c>
      <c r="AI552" s="1"/>
      <c r="AJ552" s="1"/>
      <c r="AK552" s="1"/>
      <c r="AL552" s="6" t="str">
        <f t="array" ref="AL552">IFERROR(IFS(XLOOKUP(B552, 'Kit Delivery Status'!$U:$U, 'Kit Delivery Status'!$K:$K) = "Complete", "DELIVERED", XLOOKUP(B552, 'Kit Delivery Status'!$U:$U, 'Kit Delivery Status'!$K:$K) = "Issue", "ISSUE"), "")</f>
        <v/>
      </c>
      <c r="AM552" s="6"/>
    </row>
    <row r="553">
      <c r="A553" s="5" t="s">
        <v>2967</v>
      </c>
      <c r="B553" s="1" t="s">
        <v>2968</v>
      </c>
      <c r="C553" s="1"/>
      <c r="D553" s="2">
        <v>2.154327954E9</v>
      </c>
      <c r="E553" s="1" t="s">
        <v>107</v>
      </c>
      <c r="F553" s="1"/>
      <c r="G553" s="1" t="s">
        <v>2969</v>
      </c>
      <c r="H553" s="1" t="s">
        <v>1233</v>
      </c>
      <c r="I553" s="1" t="s">
        <v>2970</v>
      </c>
      <c r="J553" s="1" t="s">
        <v>752</v>
      </c>
      <c r="K553" s="1" t="s">
        <v>66</v>
      </c>
      <c r="L553" s="1" t="s">
        <v>2464</v>
      </c>
      <c r="M553" s="1">
        <v>65.0</v>
      </c>
      <c r="N553" s="1" t="s">
        <v>1152</v>
      </c>
      <c r="O553" s="3" t="s">
        <v>110</v>
      </c>
      <c r="P553" s="18">
        <v>45883.0</v>
      </c>
      <c r="Q553" s="1" t="s">
        <v>1152</v>
      </c>
      <c r="R553" s="1"/>
      <c r="S553" s="1" t="s">
        <v>1152</v>
      </c>
      <c r="T553" s="1" t="s">
        <v>1152</v>
      </c>
      <c r="U553" s="1" t="s">
        <v>1080</v>
      </c>
      <c r="V553" s="4" t="s">
        <v>110</v>
      </c>
      <c r="W553" s="1"/>
      <c r="X553" s="18">
        <v>45883.0</v>
      </c>
      <c r="Y553" s="1"/>
      <c r="Z553" s="1"/>
      <c r="AA553" s="1"/>
      <c r="AB553" s="1"/>
      <c r="AC553" s="1" t="s">
        <v>1925</v>
      </c>
      <c r="AD553" s="1"/>
      <c r="AE553" s="18"/>
      <c r="AF553" s="1"/>
      <c r="AG553" s="1"/>
      <c r="AH553" s="1" t="s">
        <v>1152</v>
      </c>
      <c r="AI553" s="1"/>
      <c r="AJ553" s="1"/>
      <c r="AK553" s="1"/>
      <c r="AL553" s="6" t="str">
        <f t="array" ref="AL553">IFERROR(IFS(XLOOKUP(B553, 'Kit Delivery Status'!$U:$U, 'Kit Delivery Status'!$K:$K) = "Complete", "DELIVERED", XLOOKUP(B553, 'Kit Delivery Status'!$U:$U, 'Kit Delivery Status'!$K:$K) = "Issue", "ISSUE"), "")</f>
        <v/>
      </c>
      <c r="AM553" s="6"/>
    </row>
    <row r="554">
      <c r="A554" s="5" t="s">
        <v>2971</v>
      </c>
      <c r="B554" s="1" t="s">
        <v>2972</v>
      </c>
      <c r="C554" s="1" t="s">
        <v>2973</v>
      </c>
      <c r="D554" s="2">
        <v>9.176859313E9</v>
      </c>
      <c r="E554" s="1" t="s">
        <v>2974</v>
      </c>
      <c r="F554" s="1" t="s">
        <v>2975</v>
      </c>
      <c r="G554" s="1" t="s">
        <v>1339</v>
      </c>
      <c r="H554" s="1" t="s">
        <v>751</v>
      </c>
      <c r="I554" s="1">
        <v>10536.0</v>
      </c>
      <c r="J554" s="1" t="s">
        <v>752</v>
      </c>
      <c r="K554" s="1" t="s">
        <v>51</v>
      </c>
      <c r="L554" s="1" t="s">
        <v>2460</v>
      </c>
      <c r="M554" s="1">
        <v>1.0</v>
      </c>
      <c r="N554" s="1" t="s">
        <v>2487</v>
      </c>
      <c r="O554" s="3"/>
      <c r="P554" s="18">
        <v>45875.0</v>
      </c>
      <c r="Q554" s="1" t="s">
        <v>2852</v>
      </c>
      <c r="R554" s="1" t="s">
        <v>2975</v>
      </c>
      <c r="S554" s="1" t="s">
        <v>2487</v>
      </c>
      <c r="T554" s="1" t="s">
        <v>2487</v>
      </c>
      <c r="U554" s="1"/>
      <c r="V554" s="4"/>
      <c r="W554" s="1" t="s">
        <v>2975</v>
      </c>
      <c r="X554" s="18">
        <v>45875.0</v>
      </c>
      <c r="Y554" s="1" t="s">
        <v>1440</v>
      </c>
      <c r="Z554" s="1"/>
      <c r="AA554" s="1" t="s">
        <v>2975</v>
      </c>
      <c r="AB554" s="1" t="s">
        <v>124</v>
      </c>
      <c r="AC554" s="1" t="s">
        <v>1925</v>
      </c>
      <c r="AD554" s="1"/>
      <c r="AE554" s="18"/>
      <c r="AF554" s="1"/>
      <c r="AG554" s="1"/>
      <c r="AH554" s="1" t="s">
        <v>1152</v>
      </c>
      <c r="AI554" s="1"/>
      <c r="AJ554" s="1"/>
      <c r="AK554" s="1"/>
      <c r="AL554" s="6" t="str">
        <f t="array" ref="AL554">IFERROR(IFS(XLOOKUP(B554, 'Kit Delivery Status'!$U:$U, 'Kit Delivery Status'!$K:$K) = "Complete", "DELIVERED", XLOOKUP(B554, 'Kit Delivery Status'!$U:$U, 'Kit Delivery Status'!$K:$K) = "Issue", "ISSUE"), "")</f>
        <v/>
      </c>
      <c r="AM554" s="6"/>
    </row>
    <row r="555">
      <c r="A555" s="5" t="s">
        <v>2976</v>
      </c>
      <c r="B555" s="1" t="s">
        <v>2977</v>
      </c>
      <c r="C555" s="1" t="s">
        <v>2978</v>
      </c>
      <c r="D555" s="2"/>
      <c r="E555" s="1" t="s">
        <v>2979</v>
      </c>
      <c r="F555" s="1"/>
      <c r="G555" s="1" t="s">
        <v>2980</v>
      </c>
      <c r="H555" s="1" t="s">
        <v>1053</v>
      </c>
      <c r="I555" s="1">
        <v>7205.0</v>
      </c>
      <c r="J555" s="1" t="s">
        <v>752</v>
      </c>
      <c r="K555" s="1" t="s">
        <v>51</v>
      </c>
      <c r="L555" s="1" t="s">
        <v>2460</v>
      </c>
      <c r="M555" s="1">
        <v>1.0</v>
      </c>
      <c r="N555" s="1" t="s">
        <v>2461</v>
      </c>
      <c r="O555" s="3" t="s">
        <v>2981</v>
      </c>
      <c r="P555" s="18">
        <v>45883.0</v>
      </c>
      <c r="Q555" s="1" t="s">
        <v>2463</v>
      </c>
      <c r="R555" s="1"/>
      <c r="S555" s="1" t="s">
        <v>2461</v>
      </c>
      <c r="T555" s="1" t="s">
        <v>2461</v>
      </c>
      <c r="U555" s="1" t="s">
        <v>1441</v>
      </c>
      <c r="V555" s="4" t="s">
        <v>2981</v>
      </c>
      <c r="W555" s="1"/>
      <c r="X555" s="18">
        <v>45883.0</v>
      </c>
      <c r="Y555" s="1" t="s">
        <v>1030</v>
      </c>
      <c r="Z555" s="1"/>
      <c r="AA555" s="1"/>
      <c r="AB555" s="1" t="s">
        <v>52</v>
      </c>
      <c r="AC555" s="1" t="s">
        <v>1925</v>
      </c>
      <c r="AD555" s="1"/>
      <c r="AE555" s="18"/>
      <c r="AF555" s="1"/>
      <c r="AG555" s="1"/>
      <c r="AH555" s="1" t="s">
        <v>1152</v>
      </c>
      <c r="AI555" s="1"/>
      <c r="AJ555" s="1"/>
      <c r="AK555" s="1"/>
      <c r="AL555" s="6" t="str">
        <f t="array" ref="AL555">IFERROR(IFS(XLOOKUP(B555, 'Kit Delivery Status'!$U:$U, 'Kit Delivery Status'!$K:$K) = "Complete", "DELIVERED", XLOOKUP(B555, 'Kit Delivery Status'!$U:$U, 'Kit Delivery Status'!$K:$K) = "Issue", "ISSUE"), "")</f>
        <v/>
      </c>
      <c r="AM555" s="6"/>
    </row>
    <row r="556">
      <c r="A556" s="5" t="s">
        <v>2982</v>
      </c>
      <c r="B556" s="1" t="s">
        <v>2983</v>
      </c>
      <c r="C556" s="1" t="s">
        <v>2984</v>
      </c>
      <c r="D556" s="2">
        <v>3.017067737E9</v>
      </c>
      <c r="E556" s="1" t="s">
        <v>2985</v>
      </c>
      <c r="F556" s="1"/>
      <c r="G556" s="1" t="s">
        <v>2986</v>
      </c>
      <c r="H556" s="1" t="s">
        <v>1005</v>
      </c>
      <c r="I556" s="1">
        <v>20902.0</v>
      </c>
      <c r="J556" s="1" t="s">
        <v>752</v>
      </c>
      <c r="K556" s="1" t="s">
        <v>51</v>
      </c>
      <c r="L556" s="1" t="s">
        <v>2460</v>
      </c>
      <c r="M556" s="1">
        <v>1.0</v>
      </c>
      <c r="N556" s="1" t="s">
        <v>2461</v>
      </c>
      <c r="O556" s="3" t="s">
        <v>2987</v>
      </c>
      <c r="P556" s="18">
        <v>45883.0</v>
      </c>
      <c r="Q556" s="1" t="s">
        <v>2463</v>
      </c>
      <c r="R556" s="1"/>
      <c r="S556" s="1" t="s">
        <v>2461</v>
      </c>
      <c r="T556" s="1" t="s">
        <v>2461</v>
      </c>
      <c r="U556" s="1" t="s">
        <v>1828</v>
      </c>
      <c r="V556" s="4" t="s">
        <v>2987</v>
      </c>
      <c r="W556" s="1"/>
      <c r="X556" s="18">
        <v>45883.0</v>
      </c>
      <c r="Y556" s="1" t="s">
        <v>1030</v>
      </c>
      <c r="Z556" s="1"/>
      <c r="AA556" s="1"/>
      <c r="AB556" s="1" t="s">
        <v>52</v>
      </c>
      <c r="AC556" s="1" t="s">
        <v>1925</v>
      </c>
      <c r="AD556" s="1"/>
      <c r="AE556" s="18"/>
      <c r="AF556" s="1"/>
      <c r="AG556" s="1"/>
      <c r="AH556" s="1" t="s">
        <v>1152</v>
      </c>
      <c r="AI556" s="1"/>
      <c r="AJ556" s="1"/>
      <c r="AK556" s="1"/>
      <c r="AL556" s="6" t="str">
        <f t="array" ref="AL556">IFERROR(IFS(XLOOKUP(B556, 'Kit Delivery Status'!$U:$U, 'Kit Delivery Status'!$K:$K) = "Complete", "DELIVERED", XLOOKUP(B556, 'Kit Delivery Status'!$U:$U, 'Kit Delivery Status'!$K:$K) = "Issue", "ISSUE"), "")</f>
        <v/>
      </c>
      <c r="AM556" s="6"/>
    </row>
    <row r="557">
      <c r="A557" s="5" t="s">
        <v>2988</v>
      </c>
      <c r="B557" s="1" t="s">
        <v>2989</v>
      </c>
      <c r="C557" s="1" t="s">
        <v>2990</v>
      </c>
      <c r="D557" s="2">
        <v>3.143350405E9</v>
      </c>
      <c r="E557" s="1" t="s">
        <v>2991</v>
      </c>
      <c r="F557" s="1"/>
      <c r="G557" s="1" t="s">
        <v>2992</v>
      </c>
      <c r="H557" s="1" t="s">
        <v>1155</v>
      </c>
      <c r="I557" s="1">
        <v>63105.0</v>
      </c>
      <c r="J557" s="1" t="s">
        <v>752</v>
      </c>
      <c r="K557" s="1" t="s">
        <v>51</v>
      </c>
      <c r="L557" s="1" t="s">
        <v>2460</v>
      </c>
      <c r="M557" s="1">
        <v>1.0</v>
      </c>
      <c r="N557" s="1" t="s">
        <v>2461</v>
      </c>
      <c r="O557" s="3" t="s">
        <v>2993</v>
      </c>
      <c r="P557" s="18">
        <v>45883.0</v>
      </c>
      <c r="Q557" s="1" t="s">
        <v>2463</v>
      </c>
      <c r="R557" s="1"/>
      <c r="S557" s="1" t="s">
        <v>2461</v>
      </c>
      <c r="T557" s="1" t="s">
        <v>2461</v>
      </c>
      <c r="U557" s="1" t="s">
        <v>1812</v>
      </c>
      <c r="V557" s="4" t="s">
        <v>2993</v>
      </c>
      <c r="W557" s="1"/>
      <c r="X557" s="18">
        <v>45883.0</v>
      </c>
      <c r="Y557" s="1" t="s">
        <v>1030</v>
      </c>
      <c r="Z557" s="1"/>
      <c r="AA557" s="1"/>
      <c r="AB557" s="1" t="s">
        <v>52</v>
      </c>
      <c r="AC557" s="1" t="s">
        <v>1925</v>
      </c>
      <c r="AD557" s="1"/>
      <c r="AE557" s="18"/>
      <c r="AF557" s="1"/>
      <c r="AG557" s="1"/>
      <c r="AH557" s="1" t="s">
        <v>1152</v>
      </c>
      <c r="AI557" s="1"/>
      <c r="AJ557" s="1"/>
      <c r="AK557" s="1"/>
      <c r="AL557" s="6" t="str">
        <f t="array" ref="AL557">IFERROR(IFS(XLOOKUP(B557, 'Kit Delivery Status'!$U:$U, 'Kit Delivery Status'!$K:$K) = "Complete", "DELIVERED", XLOOKUP(B557, 'Kit Delivery Status'!$U:$U, 'Kit Delivery Status'!$K:$K) = "Issue", "ISSUE"), "")</f>
        <v/>
      </c>
      <c r="AM557" s="6"/>
    </row>
    <row r="558">
      <c r="A558" s="5" t="s">
        <v>2994</v>
      </c>
      <c r="B558" s="1" t="s">
        <v>2995</v>
      </c>
      <c r="C558" s="1" t="s">
        <v>2996</v>
      </c>
      <c r="D558" s="2">
        <v>6.122206574E9</v>
      </c>
      <c r="E558" s="1" t="s">
        <v>2997</v>
      </c>
      <c r="F558" s="1"/>
      <c r="G558" s="1" t="s">
        <v>2998</v>
      </c>
      <c r="H558" s="1" t="s">
        <v>2999</v>
      </c>
      <c r="I558" s="1" t="s">
        <v>3000</v>
      </c>
      <c r="J558" s="1" t="s">
        <v>752</v>
      </c>
      <c r="K558" s="1" t="s">
        <v>51</v>
      </c>
      <c r="L558" s="1" t="s">
        <v>2460</v>
      </c>
      <c r="M558" s="1">
        <v>1.0</v>
      </c>
      <c r="N558" s="1" t="s">
        <v>2461</v>
      </c>
      <c r="O558" s="3" t="s">
        <v>133</v>
      </c>
      <c r="P558" s="18">
        <v>45875.0</v>
      </c>
      <c r="Q558" s="1" t="s">
        <v>2463</v>
      </c>
      <c r="R558" s="1"/>
      <c r="S558" s="1" t="s">
        <v>2461</v>
      </c>
      <c r="T558" s="1" t="s">
        <v>2461</v>
      </c>
      <c r="U558" s="1" t="s">
        <v>1936</v>
      </c>
      <c r="V558" s="4" t="s">
        <v>133</v>
      </c>
      <c r="W558" s="1"/>
      <c r="X558" s="18">
        <v>45875.0</v>
      </c>
      <c r="Y558" s="1" t="s">
        <v>1030</v>
      </c>
      <c r="Z558" s="1"/>
      <c r="AA558" s="1"/>
      <c r="AB558" s="1" t="s">
        <v>52</v>
      </c>
      <c r="AC558" s="1" t="s">
        <v>1925</v>
      </c>
      <c r="AD558" s="1"/>
      <c r="AE558" s="18"/>
      <c r="AF558" s="1"/>
      <c r="AG558" s="1"/>
      <c r="AH558" s="1" t="s">
        <v>1152</v>
      </c>
      <c r="AI558" s="1"/>
      <c r="AJ558" s="1"/>
      <c r="AK558" s="1"/>
      <c r="AL558" s="6" t="str">
        <f t="array" ref="AL558">IFERROR(IFS(XLOOKUP(B558, 'Kit Delivery Status'!$U:$U, 'Kit Delivery Status'!$K:$K) = "Complete", "DELIVERED", XLOOKUP(B558, 'Kit Delivery Status'!$U:$U, 'Kit Delivery Status'!$K:$K) = "Issue", "ISSUE"), "")</f>
        <v/>
      </c>
      <c r="AM558" s="6"/>
    </row>
    <row r="559">
      <c r="A559" s="5" t="s">
        <v>3001</v>
      </c>
      <c r="B559" s="1" t="s">
        <v>3002</v>
      </c>
      <c r="C559" s="1" t="s">
        <v>3003</v>
      </c>
      <c r="D559" s="2">
        <v>3.109808519E9</v>
      </c>
      <c r="E559" s="1" t="s">
        <v>3004</v>
      </c>
      <c r="F559" s="1"/>
      <c r="G559" s="1" t="s">
        <v>3005</v>
      </c>
      <c r="H559" s="1" t="s">
        <v>989</v>
      </c>
      <c r="I559" s="1">
        <v>90049.0</v>
      </c>
      <c r="J559" s="1" t="s">
        <v>752</v>
      </c>
      <c r="K559" s="1" t="s">
        <v>51</v>
      </c>
      <c r="L559" s="1" t="s">
        <v>2460</v>
      </c>
      <c r="M559" s="1">
        <v>1.0</v>
      </c>
      <c r="N559" s="1" t="s">
        <v>2461</v>
      </c>
      <c r="O559" s="3" t="s">
        <v>3006</v>
      </c>
      <c r="P559" s="18">
        <v>45890.0</v>
      </c>
      <c r="Q559" s="1" t="s">
        <v>2463</v>
      </c>
      <c r="R559" s="1"/>
      <c r="S559" s="1" t="s">
        <v>2461</v>
      </c>
      <c r="T559" s="1" t="s">
        <v>2461</v>
      </c>
      <c r="U559" s="1" t="s">
        <v>2430</v>
      </c>
      <c r="V559" s="4" t="s">
        <v>3006</v>
      </c>
      <c r="W559" s="1"/>
      <c r="X559" s="18">
        <v>45890.0</v>
      </c>
      <c r="Y559" s="1" t="s">
        <v>1030</v>
      </c>
      <c r="Z559" s="1"/>
      <c r="AA559" s="1"/>
      <c r="AB559" s="1" t="s">
        <v>52</v>
      </c>
      <c r="AC559" s="1" t="s">
        <v>1925</v>
      </c>
      <c r="AD559" s="1"/>
      <c r="AE559" s="18"/>
      <c r="AF559" s="1"/>
      <c r="AG559" s="1"/>
      <c r="AH559" s="1" t="s">
        <v>1152</v>
      </c>
      <c r="AI559" s="1"/>
      <c r="AJ559" s="1"/>
      <c r="AK559" s="1"/>
      <c r="AL559" s="6" t="str">
        <f t="array" ref="AL559">IFERROR(IFS(XLOOKUP(B559, 'Kit Delivery Status'!$U:$U, 'Kit Delivery Status'!$K:$K) = "Complete", "DELIVERED", XLOOKUP(B559, 'Kit Delivery Status'!$U:$U, 'Kit Delivery Status'!$K:$K) = "Issue", "ISSUE"), "")</f>
        <v/>
      </c>
      <c r="AM559" s="6"/>
    </row>
    <row r="560">
      <c r="A560" s="5" t="s">
        <v>3007</v>
      </c>
      <c r="B560" s="1" t="s">
        <v>3008</v>
      </c>
      <c r="C560" s="1" t="s">
        <v>3009</v>
      </c>
      <c r="D560" s="2">
        <v>5.033339851E9</v>
      </c>
      <c r="E560" s="1" t="s">
        <v>643</v>
      </c>
      <c r="F560" s="1"/>
      <c r="G560" s="1" t="s">
        <v>1421</v>
      </c>
      <c r="H560" s="1" t="s">
        <v>1422</v>
      </c>
      <c r="I560" s="1" t="s">
        <v>3010</v>
      </c>
      <c r="J560" s="1" t="s">
        <v>752</v>
      </c>
      <c r="K560" s="1" t="s">
        <v>51</v>
      </c>
      <c r="L560" s="1" t="s">
        <v>2460</v>
      </c>
      <c r="M560" s="1">
        <v>1.0</v>
      </c>
      <c r="N560" s="1" t="s">
        <v>2461</v>
      </c>
      <c r="O560" s="3" t="s">
        <v>3011</v>
      </c>
      <c r="P560" s="18">
        <v>45883.0</v>
      </c>
      <c r="Q560" s="1" t="s">
        <v>2463</v>
      </c>
      <c r="R560" s="1"/>
      <c r="S560" s="1" t="s">
        <v>2461</v>
      </c>
      <c r="T560" s="1" t="s">
        <v>2461</v>
      </c>
      <c r="U560" s="1" t="s">
        <v>1065</v>
      </c>
      <c r="V560" s="4" t="s">
        <v>3011</v>
      </c>
      <c r="W560" s="1"/>
      <c r="X560" s="18">
        <v>45883.0</v>
      </c>
      <c r="Y560" s="1" t="s">
        <v>1030</v>
      </c>
      <c r="Z560" s="1"/>
      <c r="AA560" s="1"/>
      <c r="AB560" s="1" t="s">
        <v>52</v>
      </c>
      <c r="AC560" s="1" t="s">
        <v>1925</v>
      </c>
      <c r="AD560" s="1"/>
      <c r="AE560" s="18"/>
      <c r="AF560" s="1"/>
      <c r="AG560" s="1"/>
      <c r="AH560" s="1" t="s">
        <v>1152</v>
      </c>
      <c r="AI560" s="1"/>
      <c r="AJ560" s="1"/>
      <c r="AK560" s="1"/>
      <c r="AL560" s="6" t="str">
        <f t="array" ref="AL560">IFERROR(IFS(XLOOKUP(B560, 'Kit Delivery Status'!$U:$U, 'Kit Delivery Status'!$K:$K) = "Complete", "DELIVERED", XLOOKUP(B560, 'Kit Delivery Status'!$U:$U, 'Kit Delivery Status'!$K:$K) = "Issue", "ISSUE"), "")</f>
        <v/>
      </c>
      <c r="AM560" s="6"/>
    </row>
    <row r="561">
      <c r="A561" s="5" t="s">
        <v>3012</v>
      </c>
      <c r="B561" s="1" t="s">
        <v>3013</v>
      </c>
      <c r="C561" s="1" t="s">
        <v>3014</v>
      </c>
      <c r="D561" s="2">
        <v>8.589995331E9</v>
      </c>
      <c r="E561" s="1" t="s">
        <v>2135</v>
      </c>
      <c r="F561" s="1"/>
      <c r="G561" s="1" t="s">
        <v>2136</v>
      </c>
      <c r="H561" s="1" t="s">
        <v>1155</v>
      </c>
      <c r="I561" s="1">
        <v>63117.0</v>
      </c>
      <c r="J561" s="1" t="s">
        <v>752</v>
      </c>
      <c r="K561" s="1" t="s">
        <v>2577</v>
      </c>
      <c r="L561" s="1" t="s">
        <v>2578</v>
      </c>
      <c r="M561" s="1">
        <v>1.0</v>
      </c>
      <c r="N561" s="1" t="s">
        <v>2579</v>
      </c>
      <c r="O561" s="3" t="s">
        <v>3015</v>
      </c>
      <c r="P561" s="18">
        <v>45860.0</v>
      </c>
      <c r="Q561" s="1" t="s">
        <v>3016</v>
      </c>
      <c r="R561" s="1"/>
      <c r="S561" s="1" t="s">
        <v>2579</v>
      </c>
      <c r="T561" s="1" t="s">
        <v>2579</v>
      </c>
      <c r="U561" s="1" t="s">
        <v>1080</v>
      </c>
      <c r="V561" s="4" t="s">
        <v>3015</v>
      </c>
      <c r="W561" s="1"/>
      <c r="X561" s="18">
        <v>45860.0</v>
      </c>
      <c r="Y561" s="1"/>
      <c r="Z561" s="1"/>
      <c r="AA561" s="1"/>
      <c r="AB561" s="1"/>
      <c r="AC561" s="1" t="s">
        <v>1925</v>
      </c>
      <c r="AD561" s="1"/>
      <c r="AE561" s="18"/>
      <c r="AF561" s="1"/>
      <c r="AG561" s="1"/>
      <c r="AH561" s="1" t="s">
        <v>1152</v>
      </c>
      <c r="AI561" s="1" t="s">
        <v>3017</v>
      </c>
      <c r="AJ561" s="1"/>
      <c r="AK561" s="1"/>
      <c r="AL561" s="6" t="str">
        <f t="array" ref="AL561">IFERROR(IFS(XLOOKUP(B561, 'Kit Delivery Status'!$U:$U, 'Kit Delivery Status'!$K:$K) = "Complete", "DELIVERED", XLOOKUP(B561, 'Kit Delivery Status'!$U:$U, 'Kit Delivery Status'!$K:$K) = "Issue", "ISSUE"), "")</f>
        <v/>
      </c>
      <c r="AM561" s="6"/>
    </row>
    <row r="562">
      <c r="A562" s="5" t="s">
        <v>3018</v>
      </c>
      <c r="B562" s="1" t="s">
        <v>3019</v>
      </c>
      <c r="C562" s="1" t="s">
        <v>3020</v>
      </c>
      <c r="D562" s="2">
        <v>5.125527826E9</v>
      </c>
      <c r="E562" s="1" t="s">
        <v>3021</v>
      </c>
      <c r="F562" s="1"/>
      <c r="G562" s="1" t="s">
        <v>1582</v>
      </c>
      <c r="H562" s="1" t="s">
        <v>1583</v>
      </c>
      <c r="I562" s="1">
        <v>78759.0</v>
      </c>
      <c r="J562" s="1" t="s">
        <v>752</v>
      </c>
      <c r="K562" s="1" t="s">
        <v>51</v>
      </c>
      <c r="L562" s="1" t="s">
        <v>2460</v>
      </c>
      <c r="M562" s="1">
        <v>1.0</v>
      </c>
      <c r="N562" s="1" t="s">
        <v>2461</v>
      </c>
      <c r="O562" s="3" t="s">
        <v>3022</v>
      </c>
      <c r="P562" s="18">
        <v>45883.0</v>
      </c>
      <c r="Q562" s="1" t="s">
        <v>2463</v>
      </c>
      <c r="R562" s="1"/>
      <c r="S562" s="1" t="s">
        <v>2461</v>
      </c>
      <c r="T562" s="1" t="s">
        <v>2461</v>
      </c>
      <c r="U562" s="1" t="s">
        <v>1021</v>
      </c>
      <c r="V562" s="4" t="s">
        <v>3022</v>
      </c>
      <c r="W562" s="1"/>
      <c r="X562" s="18">
        <v>45883.0</v>
      </c>
      <c r="Y562" s="1" t="s">
        <v>1030</v>
      </c>
      <c r="Z562" s="1"/>
      <c r="AA562" s="1"/>
      <c r="AB562" s="1" t="s">
        <v>52</v>
      </c>
      <c r="AC562" s="1" t="s">
        <v>1925</v>
      </c>
      <c r="AD562" s="1"/>
      <c r="AE562" s="18"/>
      <c r="AF562" s="1"/>
      <c r="AG562" s="1"/>
      <c r="AH562" s="1" t="s">
        <v>1152</v>
      </c>
      <c r="AI562" s="1"/>
      <c r="AJ562" s="1"/>
      <c r="AK562" s="1"/>
      <c r="AL562" s="6" t="str">
        <f t="array" ref="AL562">IFERROR(IFS(XLOOKUP(B562, 'Kit Delivery Status'!$U:$U, 'Kit Delivery Status'!$K:$K) = "Complete", "DELIVERED", XLOOKUP(B562, 'Kit Delivery Status'!$U:$U, 'Kit Delivery Status'!$K:$K) = "Issue", "ISSUE"), "")</f>
        <v/>
      </c>
      <c r="AM562" s="6"/>
    </row>
    <row r="563">
      <c r="A563" s="5" t="s">
        <v>3023</v>
      </c>
      <c r="B563" s="1" t="s">
        <v>3024</v>
      </c>
      <c r="C563" s="1" t="s">
        <v>3025</v>
      </c>
      <c r="D563" s="2">
        <v>2.6758431E9</v>
      </c>
      <c r="E563" s="1" t="s">
        <v>3026</v>
      </c>
      <c r="F563" s="1"/>
      <c r="G563" s="1" t="s">
        <v>3027</v>
      </c>
      <c r="H563" s="1" t="s">
        <v>1233</v>
      </c>
      <c r="I563" s="1">
        <v>19106.0</v>
      </c>
      <c r="J563" s="1" t="s">
        <v>752</v>
      </c>
      <c r="K563" s="1" t="s">
        <v>51</v>
      </c>
      <c r="L563" s="1" t="s">
        <v>2460</v>
      </c>
      <c r="M563" s="1">
        <v>1.0</v>
      </c>
      <c r="N563" s="1" t="s">
        <v>2461</v>
      </c>
      <c r="O563" s="3" t="s">
        <v>1805</v>
      </c>
      <c r="P563" s="18">
        <v>45883.0</v>
      </c>
      <c r="Q563" s="1" t="s">
        <v>2463</v>
      </c>
      <c r="R563" s="1"/>
      <c r="S563" s="1" t="s">
        <v>2461</v>
      </c>
      <c r="T563" s="1" t="s">
        <v>2461</v>
      </c>
      <c r="U563" s="1" t="s">
        <v>1710</v>
      </c>
      <c r="V563" s="4" t="s">
        <v>1805</v>
      </c>
      <c r="W563" s="1"/>
      <c r="X563" s="18">
        <v>45883.0</v>
      </c>
      <c r="Y563" s="1" t="s">
        <v>1030</v>
      </c>
      <c r="Z563" s="1"/>
      <c r="AA563" s="1"/>
      <c r="AB563" s="1" t="s">
        <v>52</v>
      </c>
      <c r="AC563" s="1" t="s">
        <v>1925</v>
      </c>
      <c r="AD563" s="1"/>
      <c r="AE563" s="18"/>
      <c r="AF563" s="1"/>
      <c r="AG563" s="1"/>
      <c r="AH563" s="1" t="s">
        <v>1152</v>
      </c>
      <c r="AI563" s="1"/>
      <c r="AJ563" s="1"/>
      <c r="AK563" s="1"/>
      <c r="AL563" s="6" t="str">
        <f t="array" ref="AL563">IFERROR(IFS(XLOOKUP(B563, 'Kit Delivery Status'!$U:$U, 'Kit Delivery Status'!$K:$K) = "Complete", "DELIVERED", XLOOKUP(B563, 'Kit Delivery Status'!$U:$U, 'Kit Delivery Status'!$K:$K) = "Issue", "ISSUE"), "")</f>
        <v/>
      </c>
      <c r="AM563" s="6"/>
    </row>
    <row r="564">
      <c r="A564" s="5" t="s">
        <v>3028</v>
      </c>
      <c r="B564" s="1" t="s">
        <v>3029</v>
      </c>
      <c r="C564" s="1" t="s">
        <v>3030</v>
      </c>
      <c r="D564" s="2">
        <v>9.787275368E9</v>
      </c>
      <c r="E564" s="1" t="s">
        <v>3031</v>
      </c>
      <c r="F564" s="1"/>
      <c r="G564" s="1" t="s">
        <v>2056</v>
      </c>
      <c r="H564" s="1" t="s">
        <v>1121</v>
      </c>
      <c r="I564" s="1">
        <v>2421.0</v>
      </c>
      <c r="J564" s="1" t="s">
        <v>752</v>
      </c>
      <c r="K564" s="1" t="s">
        <v>51</v>
      </c>
      <c r="L564" s="1" t="s">
        <v>2460</v>
      </c>
      <c r="M564" s="1">
        <v>1.0</v>
      </c>
      <c r="N564" s="1" t="s">
        <v>2461</v>
      </c>
      <c r="O564" s="3" t="s">
        <v>3032</v>
      </c>
      <c r="P564" s="18">
        <v>45883.0</v>
      </c>
      <c r="Q564" s="1" t="s">
        <v>2463</v>
      </c>
      <c r="R564" s="1"/>
      <c r="S564" s="1" t="s">
        <v>2461</v>
      </c>
      <c r="T564" s="1" t="s">
        <v>2461</v>
      </c>
      <c r="U564" s="1" t="s">
        <v>1021</v>
      </c>
      <c r="V564" s="4" t="s">
        <v>3032</v>
      </c>
      <c r="W564" s="1"/>
      <c r="X564" s="18">
        <v>45883.0</v>
      </c>
      <c r="Y564" s="1" t="s">
        <v>1030</v>
      </c>
      <c r="Z564" s="1"/>
      <c r="AA564" s="1"/>
      <c r="AB564" s="1" t="s">
        <v>52</v>
      </c>
      <c r="AC564" s="1" t="s">
        <v>1925</v>
      </c>
      <c r="AD564" s="1"/>
      <c r="AE564" s="18"/>
      <c r="AF564" s="1"/>
      <c r="AG564" s="1"/>
      <c r="AH564" s="1" t="s">
        <v>1152</v>
      </c>
      <c r="AI564" s="1"/>
      <c r="AJ564" s="1"/>
      <c r="AK564" s="1"/>
      <c r="AL564" s="6" t="str">
        <f t="array" ref="AL564">IFERROR(IFS(XLOOKUP(B564, 'Kit Delivery Status'!$U:$U, 'Kit Delivery Status'!$K:$K) = "Complete", "DELIVERED", XLOOKUP(B564, 'Kit Delivery Status'!$U:$U, 'Kit Delivery Status'!$K:$K) = "Issue", "ISSUE"), "")</f>
        <v/>
      </c>
      <c r="AM564" s="6"/>
    </row>
    <row r="565">
      <c r="A565" s="5" t="s">
        <v>3033</v>
      </c>
      <c r="B565" s="1" t="s">
        <v>3034</v>
      </c>
      <c r="C565" s="1" t="s">
        <v>3035</v>
      </c>
      <c r="D565" s="2">
        <v>7.545441369E9</v>
      </c>
      <c r="E565" s="1" t="s">
        <v>3036</v>
      </c>
      <c r="F565" s="1"/>
      <c r="G565" s="1" t="s">
        <v>3037</v>
      </c>
      <c r="H565" s="1" t="s">
        <v>1208</v>
      </c>
      <c r="I565" s="1">
        <v>33009.0</v>
      </c>
      <c r="J565" s="1" t="s">
        <v>752</v>
      </c>
      <c r="K565" s="1" t="s">
        <v>51</v>
      </c>
      <c r="L565" s="1" t="s">
        <v>2460</v>
      </c>
      <c r="M565" s="1">
        <v>1.0</v>
      </c>
      <c r="N565" s="1" t="s">
        <v>2461</v>
      </c>
      <c r="O565" s="3" t="s">
        <v>3038</v>
      </c>
      <c r="P565" s="18">
        <v>45887.0</v>
      </c>
      <c r="Q565" s="1" t="s">
        <v>2463</v>
      </c>
      <c r="R565" s="1"/>
      <c r="S565" s="1" t="s">
        <v>2461</v>
      </c>
      <c r="T565" s="1" t="s">
        <v>2461</v>
      </c>
      <c r="U565" s="1" t="s">
        <v>1936</v>
      </c>
      <c r="V565" s="4" t="s">
        <v>3038</v>
      </c>
      <c r="W565" s="1"/>
      <c r="X565" s="18">
        <v>45887.0</v>
      </c>
      <c r="Y565" s="1" t="s">
        <v>1030</v>
      </c>
      <c r="Z565" s="1"/>
      <c r="AA565" s="1"/>
      <c r="AB565" s="1" t="s">
        <v>52</v>
      </c>
      <c r="AC565" s="1" t="s">
        <v>1925</v>
      </c>
      <c r="AD565" s="1"/>
      <c r="AE565" s="18"/>
      <c r="AF565" s="1"/>
      <c r="AG565" s="1"/>
      <c r="AH565" s="1" t="s">
        <v>1152</v>
      </c>
      <c r="AI565" s="1"/>
      <c r="AJ565" s="1"/>
      <c r="AK565" s="1"/>
      <c r="AL565" s="6" t="str">
        <f t="array" ref="AL565">IFERROR(IFS(XLOOKUP(B565, 'Kit Delivery Status'!$U:$U, 'Kit Delivery Status'!$K:$K) = "Complete", "DELIVERED", XLOOKUP(B565, 'Kit Delivery Status'!$U:$U, 'Kit Delivery Status'!$K:$K) = "Issue", "ISSUE"), "")</f>
        <v/>
      </c>
      <c r="AM565" s="6"/>
    </row>
    <row r="566">
      <c r="A566" s="5" t="s">
        <v>3039</v>
      </c>
      <c r="B566" s="1" t="s">
        <v>3040</v>
      </c>
      <c r="C566" s="1" t="s">
        <v>902</v>
      </c>
      <c r="D566" s="2">
        <v>8.478636577E9</v>
      </c>
      <c r="E566" s="1" t="s">
        <v>903</v>
      </c>
      <c r="F566" s="1"/>
      <c r="G566" s="1" t="s">
        <v>3041</v>
      </c>
      <c r="H566" s="1" t="s">
        <v>1019</v>
      </c>
      <c r="I566" s="1">
        <v>60091.0</v>
      </c>
      <c r="J566" s="1" t="s">
        <v>752</v>
      </c>
      <c r="K566" s="1" t="s">
        <v>51</v>
      </c>
      <c r="L566" s="1" t="s">
        <v>2460</v>
      </c>
      <c r="M566" s="1">
        <v>1.0</v>
      </c>
      <c r="N566" s="1" t="s">
        <v>2461</v>
      </c>
      <c r="O566" s="3" t="s">
        <v>3042</v>
      </c>
      <c r="P566" s="18">
        <v>45883.0</v>
      </c>
      <c r="Q566" s="1" t="s">
        <v>2463</v>
      </c>
      <c r="R566" s="1"/>
      <c r="S566" s="1" t="s">
        <v>2461</v>
      </c>
      <c r="T566" s="1" t="s">
        <v>2461</v>
      </c>
      <c r="U566" s="1" t="s">
        <v>1174</v>
      </c>
      <c r="V566" s="4" t="s">
        <v>3042</v>
      </c>
      <c r="W566" s="1"/>
      <c r="X566" s="18">
        <v>45883.0</v>
      </c>
      <c r="Y566" s="1" t="s">
        <v>1030</v>
      </c>
      <c r="Z566" s="1"/>
      <c r="AA566" s="1"/>
      <c r="AB566" s="1" t="s">
        <v>52</v>
      </c>
      <c r="AC566" s="1" t="s">
        <v>1925</v>
      </c>
      <c r="AD566" s="1"/>
      <c r="AE566" s="18"/>
      <c r="AF566" s="1"/>
      <c r="AG566" s="1"/>
      <c r="AH566" s="1" t="s">
        <v>1152</v>
      </c>
      <c r="AI566" s="1"/>
      <c r="AJ566" s="1"/>
      <c r="AK566" s="1"/>
      <c r="AL566" s="6" t="str">
        <f t="array" ref="AL566">IFERROR(IFS(XLOOKUP(B566, 'Kit Delivery Status'!$U:$U, 'Kit Delivery Status'!$K:$K) = "Complete", "DELIVERED", XLOOKUP(B566, 'Kit Delivery Status'!$U:$U, 'Kit Delivery Status'!$K:$K) = "Issue", "ISSUE"), "")</f>
        <v/>
      </c>
      <c r="AM566" s="6"/>
    </row>
    <row r="567">
      <c r="A567" s="5" t="s">
        <v>3043</v>
      </c>
      <c r="B567" s="1" t="s">
        <v>3044</v>
      </c>
      <c r="C567" s="1"/>
      <c r="D567" s="2">
        <v>1.6785581035E10</v>
      </c>
      <c r="E567" s="1" t="s">
        <v>3045</v>
      </c>
      <c r="F567" s="1"/>
      <c r="G567" s="1" t="s">
        <v>2179</v>
      </c>
      <c r="H567" s="1" t="s">
        <v>946</v>
      </c>
      <c r="I567" s="1">
        <v>30342.0</v>
      </c>
      <c r="J567" s="1" t="s">
        <v>752</v>
      </c>
      <c r="K567" s="1" t="s">
        <v>66</v>
      </c>
      <c r="L567" s="1" t="s">
        <v>2470</v>
      </c>
      <c r="M567" s="1">
        <v>210.0</v>
      </c>
      <c r="N567" s="1" t="s">
        <v>1152</v>
      </c>
      <c r="O567" s="3" t="s">
        <v>3046</v>
      </c>
      <c r="P567" s="18">
        <v>45891.0</v>
      </c>
      <c r="Q567" s="1" t="s">
        <v>1152</v>
      </c>
      <c r="R567" s="1"/>
      <c r="S567" s="1" t="s">
        <v>1152</v>
      </c>
      <c r="T567" s="1" t="s">
        <v>1152</v>
      </c>
      <c r="U567" s="1" t="s">
        <v>1407</v>
      </c>
      <c r="V567" s="4" t="s">
        <v>3046</v>
      </c>
      <c r="W567" s="1"/>
      <c r="X567" s="18">
        <v>45891.0</v>
      </c>
      <c r="Y567" s="1"/>
      <c r="Z567" s="1"/>
      <c r="AA567" s="1"/>
      <c r="AB567" s="1"/>
      <c r="AC567" s="1" t="s">
        <v>1925</v>
      </c>
      <c r="AD567" s="1"/>
      <c r="AE567" s="18"/>
      <c r="AF567" s="1"/>
      <c r="AG567" s="1"/>
      <c r="AH567" s="1" t="s">
        <v>1152</v>
      </c>
      <c r="AI567" s="1"/>
      <c r="AJ567" s="1"/>
      <c r="AK567" s="1"/>
      <c r="AL567" s="6" t="str">
        <f t="array" ref="AL567">IFERROR(IFS(XLOOKUP(B567, 'Kit Delivery Status'!$U:$U, 'Kit Delivery Status'!$K:$K) = "Complete", "DELIVERED", XLOOKUP(B567, 'Kit Delivery Status'!$U:$U, 'Kit Delivery Status'!$K:$K) = "Issue", "ISSUE"), "")</f>
        <v/>
      </c>
      <c r="AM567" s="6"/>
    </row>
    <row r="568">
      <c r="A568" s="5" t="s">
        <v>3043</v>
      </c>
      <c r="B568" s="1" t="s">
        <v>3044</v>
      </c>
      <c r="C568" s="1"/>
      <c r="D568" s="2">
        <v>1.6785581035E10</v>
      </c>
      <c r="E568" s="1" t="s">
        <v>3045</v>
      </c>
      <c r="F568" s="1"/>
      <c r="G568" s="1" t="s">
        <v>2179</v>
      </c>
      <c r="H568" s="1" t="s">
        <v>946</v>
      </c>
      <c r="I568" s="1">
        <v>30342.0</v>
      </c>
      <c r="J568" s="1" t="s">
        <v>752</v>
      </c>
      <c r="K568" s="1" t="s">
        <v>95</v>
      </c>
      <c r="L568" s="1" t="s">
        <v>2571</v>
      </c>
      <c r="M568" s="1">
        <v>49.0</v>
      </c>
      <c r="N568" s="1" t="s">
        <v>2461</v>
      </c>
      <c r="O568" s="3" t="s">
        <v>3046</v>
      </c>
      <c r="P568" s="18">
        <v>45891.0</v>
      </c>
      <c r="Q568" s="1" t="s">
        <v>2463</v>
      </c>
      <c r="R568" s="1"/>
      <c r="S568" s="1" t="s">
        <v>2461</v>
      </c>
      <c r="T568" s="1" t="s">
        <v>2461</v>
      </c>
      <c r="U568" s="1" t="s">
        <v>1407</v>
      </c>
      <c r="V568" s="4" t="s">
        <v>3046</v>
      </c>
      <c r="W568" s="1"/>
      <c r="X568" s="18">
        <v>45891.0</v>
      </c>
      <c r="Y568" s="1" t="s">
        <v>1030</v>
      </c>
      <c r="Z568" s="1"/>
      <c r="AA568" s="1"/>
      <c r="AB568" s="1" t="s">
        <v>52</v>
      </c>
      <c r="AC568" s="1" t="s">
        <v>3047</v>
      </c>
      <c r="AD568" s="1"/>
      <c r="AE568" s="18"/>
      <c r="AF568" s="1"/>
      <c r="AG568" s="1"/>
      <c r="AH568" s="1" t="s">
        <v>1152</v>
      </c>
      <c r="AI568" s="1"/>
      <c r="AJ568" s="1"/>
      <c r="AK568" s="1"/>
      <c r="AL568" s="6" t="str">
        <f t="array" ref="AL568">IFERROR(IFS(XLOOKUP(B568, 'Kit Delivery Status'!$U:$U, 'Kit Delivery Status'!$K:$K) = "Complete", "DELIVERED", XLOOKUP(B568, 'Kit Delivery Status'!$U:$U, 'Kit Delivery Status'!$K:$K) = "Issue", "ISSUE"), "")</f>
        <v/>
      </c>
      <c r="AM568" s="6"/>
    </row>
    <row r="569">
      <c r="A569" s="5" t="s">
        <v>3048</v>
      </c>
      <c r="B569" s="1" t="s">
        <v>3049</v>
      </c>
      <c r="C569" s="1" t="s">
        <v>3050</v>
      </c>
      <c r="D569" s="2">
        <v>9.046714462E9</v>
      </c>
      <c r="E569" s="1" t="s">
        <v>3051</v>
      </c>
      <c r="F569" s="1" t="s">
        <v>3052</v>
      </c>
      <c r="G569" s="1" t="s">
        <v>2932</v>
      </c>
      <c r="H569" s="1" t="s">
        <v>1583</v>
      </c>
      <c r="I569" s="1">
        <v>77401.0</v>
      </c>
      <c r="J569" s="1" t="s">
        <v>752</v>
      </c>
      <c r="K569" s="1" t="s">
        <v>51</v>
      </c>
      <c r="L569" s="1" t="s">
        <v>2460</v>
      </c>
      <c r="M569" s="1">
        <v>1.0</v>
      </c>
      <c r="N569" s="1" t="s">
        <v>2487</v>
      </c>
      <c r="O569" s="3"/>
      <c r="P569" s="18">
        <v>45887.0</v>
      </c>
      <c r="Q569" s="1" t="s">
        <v>2463</v>
      </c>
      <c r="R569" s="1" t="s">
        <v>3052</v>
      </c>
      <c r="S569" s="1" t="s">
        <v>2487</v>
      </c>
      <c r="T569" s="1" t="s">
        <v>2487</v>
      </c>
      <c r="U569" s="1"/>
      <c r="V569" s="4"/>
      <c r="W569" s="1" t="s">
        <v>3052</v>
      </c>
      <c r="X569" s="18">
        <v>45887.0</v>
      </c>
      <c r="Y569" s="1" t="s">
        <v>1030</v>
      </c>
      <c r="Z569" s="1"/>
      <c r="AA569" s="1" t="s">
        <v>3052</v>
      </c>
      <c r="AB569" s="1" t="s">
        <v>124</v>
      </c>
      <c r="AC569" s="1" t="s">
        <v>1925</v>
      </c>
      <c r="AD569" s="1"/>
      <c r="AE569" s="18"/>
      <c r="AF569" s="1"/>
      <c r="AG569" s="1"/>
      <c r="AH569" s="1" t="s">
        <v>1152</v>
      </c>
      <c r="AI569" s="1"/>
      <c r="AJ569" s="1"/>
      <c r="AK569" s="1"/>
      <c r="AL569" s="6" t="str">
        <f t="array" ref="AL569">IFERROR(IFS(XLOOKUP(B569, 'Kit Delivery Status'!$U:$U, 'Kit Delivery Status'!$K:$K) = "Complete", "DELIVERED", XLOOKUP(B569, 'Kit Delivery Status'!$U:$U, 'Kit Delivery Status'!$K:$K) = "Issue", "ISSUE"), "")</f>
        <v/>
      </c>
      <c r="AM569" s="6"/>
    </row>
    <row r="570">
      <c r="A570" s="5" t="s">
        <v>3053</v>
      </c>
      <c r="B570" s="1" t="s">
        <v>3054</v>
      </c>
      <c r="C570" s="1"/>
      <c r="D570" s="2">
        <v>8.187513679E9</v>
      </c>
      <c r="E570" s="1" t="s">
        <v>3055</v>
      </c>
      <c r="F570" s="1" t="s">
        <v>3056</v>
      </c>
      <c r="G570" s="1" t="s">
        <v>1283</v>
      </c>
      <c r="H570" s="1" t="s">
        <v>1155</v>
      </c>
      <c r="I570" s="1">
        <v>63112.0</v>
      </c>
      <c r="J570" s="1" t="s">
        <v>752</v>
      </c>
      <c r="K570" s="1" t="s">
        <v>51</v>
      </c>
      <c r="L570" s="1" t="s">
        <v>2460</v>
      </c>
      <c r="M570" s="1">
        <v>1.0</v>
      </c>
      <c r="N570" s="1" t="s">
        <v>2487</v>
      </c>
      <c r="O570" s="3"/>
      <c r="P570" s="18">
        <v>45891.0</v>
      </c>
      <c r="Q570" s="1" t="s">
        <v>3057</v>
      </c>
      <c r="R570" s="1" t="s">
        <v>3056</v>
      </c>
      <c r="S570" s="1" t="s">
        <v>2487</v>
      </c>
      <c r="T570" s="1" t="s">
        <v>2487</v>
      </c>
      <c r="U570" s="1"/>
      <c r="V570" s="4"/>
      <c r="W570" s="1" t="s">
        <v>3056</v>
      </c>
      <c r="X570" s="18">
        <v>45891.0</v>
      </c>
      <c r="Y570" s="1" t="s">
        <v>3057</v>
      </c>
      <c r="Z570" s="1"/>
      <c r="AA570" s="1" t="s">
        <v>3056</v>
      </c>
      <c r="AB570" s="1" t="s">
        <v>124</v>
      </c>
      <c r="AC570" s="1" t="s">
        <v>1925</v>
      </c>
      <c r="AD570" s="1"/>
      <c r="AE570" s="18"/>
      <c r="AF570" s="1"/>
      <c r="AG570" s="1"/>
      <c r="AH570" s="1" t="s">
        <v>1152</v>
      </c>
      <c r="AI570" s="1"/>
      <c r="AJ570" s="1"/>
      <c r="AK570" s="1"/>
      <c r="AL570" s="6" t="str">
        <f t="array" ref="AL570">IFERROR(IFS(XLOOKUP(B570, 'Kit Delivery Status'!$U:$U, 'Kit Delivery Status'!$K:$K) = "Complete", "DELIVERED", XLOOKUP(B570, 'Kit Delivery Status'!$U:$U, 'Kit Delivery Status'!$K:$K) = "Issue", "ISSUE"), "")</f>
        <v/>
      </c>
      <c r="AM570" s="6"/>
    </row>
    <row r="571">
      <c r="A571" s="5" t="s">
        <v>3058</v>
      </c>
      <c r="B571" s="1" t="s">
        <v>3059</v>
      </c>
      <c r="C571" s="1" t="s">
        <v>3060</v>
      </c>
      <c r="D571" s="2">
        <v>3.025881466E9</v>
      </c>
      <c r="E571" s="1" t="s">
        <v>3061</v>
      </c>
      <c r="F571" s="1"/>
      <c r="G571" s="1" t="s">
        <v>3062</v>
      </c>
      <c r="H571" s="1" t="s">
        <v>3063</v>
      </c>
      <c r="I571" s="1">
        <v>19807.0</v>
      </c>
      <c r="J571" s="1" t="s">
        <v>752</v>
      </c>
      <c r="K571" s="1" t="s">
        <v>51</v>
      </c>
      <c r="L571" s="1" t="s">
        <v>2460</v>
      </c>
      <c r="M571" s="1">
        <v>1.0</v>
      </c>
      <c r="N571" s="1" t="s">
        <v>2461</v>
      </c>
      <c r="O571" s="3" t="s">
        <v>3064</v>
      </c>
      <c r="P571" s="18">
        <v>45891.0</v>
      </c>
      <c r="Q571" s="1" t="s">
        <v>3065</v>
      </c>
      <c r="R571" s="1"/>
      <c r="S571" s="1" t="s">
        <v>2461</v>
      </c>
      <c r="T571" s="1" t="s">
        <v>2461</v>
      </c>
      <c r="U571" s="1" t="s">
        <v>1441</v>
      </c>
      <c r="V571" s="4" t="s">
        <v>3064</v>
      </c>
      <c r="W571" s="1"/>
      <c r="X571" s="18">
        <v>45891.0</v>
      </c>
      <c r="Y571" s="1" t="s">
        <v>1030</v>
      </c>
      <c r="Z571" s="1"/>
      <c r="AA571" s="1"/>
      <c r="AB571" s="1" t="s">
        <v>52</v>
      </c>
      <c r="AC571" s="1" t="s">
        <v>1925</v>
      </c>
      <c r="AD571" s="1"/>
      <c r="AE571" s="18"/>
      <c r="AF571" s="1"/>
      <c r="AG571" s="1"/>
      <c r="AH571" s="1" t="s">
        <v>1152</v>
      </c>
      <c r="AI571" s="1"/>
      <c r="AJ571" s="1"/>
      <c r="AK571" s="1"/>
      <c r="AL571" s="6" t="str">
        <f t="array" ref="AL571">IFERROR(IFS(XLOOKUP(B571, 'Kit Delivery Status'!$U:$U, 'Kit Delivery Status'!$K:$K) = "Complete", "DELIVERED", XLOOKUP(B571, 'Kit Delivery Status'!$U:$U, 'Kit Delivery Status'!$K:$K) = "Issue", "ISSUE"), "")</f>
        <v/>
      </c>
      <c r="AM571" s="6"/>
    </row>
    <row r="572">
      <c r="A572" s="5" t="s">
        <v>3066</v>
      </c>
      <c r="B572" s="1" t="s">
        <v>3067</v>
      </c>
      <c r="C572" s="1" t="s">
        <v>3068</v>
      </c>
      <c r="D572" s="2">
        <v>9.73609422E9</v>
      </c>
      <c r="E572" s="1" t="s">
        <v>3069</v>
      </c>
      <c r="F572" s="1"/>
      <c r="G572" s="1" t="s">
        <v>1467</v>
      </c>
      <c r="H572" s="1" t="s">
        <v>1053</v>
      </c>
      <c r="I572" s="1">
        <v>7039.0</v>
      </c>
      <c r="J572" s="1" t="s">
        <v>752</v>
      </c>
      <c r="K572" s="1" t="s">
        <v>51</v>
      </c>
      <c r="L572" s="1" t="s">
        <v>2460</v>
      </c>
      <c r="M572" s="1">
        <v>1.0</v>
      </c>
      <c r="N572" s="1" t="s">
        <v>2461</v>
      </c>
      <c r="O572" s="3" t="s">
        <v>3070</v>
      </c>
      <c r="P572" s="18">
        <v>45887.0</v>
      </c>
      <c r="Q572" s="1" t="s">
        <v>2463</v>
      </c>
      <c r="R572" s="1"/>
      <c r="S572" s="1" t="s">
        <v>2461</v>
      </c>
      <c r="T572" s="1" t="s">
        <v>2461</v>
      </c>
      <c r="U572" s="1" t="s">
        <v>1710</v>
      </c>
      <c r="V572" s="4" t="s">
        <v>3070</v>
      </c>
      <c r="W572" s="1"/>
      <c r="X572" s="18">
        <v>45887.0</v>
      </c>
      <c r="Y572" s="1" t="s">
        <v>1030</v>
      </c>
      <c r="Z572" s="1"/>
      <c r="AA572" s="1"/>
      <c r="AB572" s="1" t="s">
        <v>52</v>
      </c>
      <c r="AC572" s="1" t="s">
        <v>1925</v>
      </c>
      <c r="AD572" s="1"/>
      <c r="AE572" s="18"/>
      <c r="AF572" s="1"/>
      <c r="AG572" s="1"/>
      <c r="AH572" s="1" t="s">
        <v>1152</v>
      </c>
      <c r="AI572" s="1"/>
      <c r="AJ572" s="1"/>
      <c r="AK572" s="1"/>
      <c r="AL572" s="6" t="str">
        <f t="array" ref="AL572">IFERROR(IFS(XLOOKUP(B572, 'Kit Delivery Status'!$U:$U, 'Kit Delivery Status'!$K:$K) = "Complete", "DELIVERED", XLOOKUP(B572, 'Kit Delivery Status'!$U:$U, 'Kit Delivery Status'!$K:$K) = "Issue", "ISSUE"), "")</f>
        <v/>
      </c>
      <c r="AM572" s="6"/>
    </row>
    <row r="573">
      <c r="A573" s="5" t="s">
        <v>3071</v>
      </c>
      <c r="B573" s="1" t="s">
        <v>3072</v>
      </c>
      <c r="C573" s="1" t="s">
        <v>3073</v>
      </c>
      <c r="D573" s="2">
        <v>3.10916677E9</v>
      </c>
      <c r="E573" s="1" t="s">
        <v>3074</v>
      </c>
      <c r="F573" s="1"/>
      <c r="G573" s="1" t="s">
        <v>1179</v>
      </c>
      <c r="H573" s="1" t="s">
        <v>989</v>
      </c>
      <c r="I573" s="1">
        <v>90035.0</v>
      </c>
      <c r="J573" s="1" t="s">
        <v>752</v>
      </c>
      <c r="K573" s="1" t="s">
        <v>51</v>
      </c>
      <c r="L573" s="1" t="s">
        <v>2460</v>
      </c>
      <c r="M573" s="1">
        <v>1.0</v>
      </c>
      <c r="N573" s="1" t="s">
        <v>2461</v>
      </c>
      <c r="O573" s="3" t="s">
        <v>3075</v>
      </c>
      <c r="P573" s="18">
        <v>45883.0</v>
      </c>
      <c r="Q573" s="1" t="s">
        <v>2463</v>
      </c>
      <c r="R573" s="1"/>
      <c r="S573" s="1" t="s">
        <v>2461</v>
      </c>
      <c r="T573" s="1" t="s">
        <v>2461</v>
      </c>
      <c r="U573" s="1" t="s">
        <v>1407</v>
      </c>
      <c r="V573" s="4" t="s">
        <v>3075</v>
      </c>
      <c r="W573" s="1"/>
      <c r="X573" s="18">
        <v>45883.0</v>
      </c>
      <c r="Y573" s="1" t="s">
        <v>1030</v>
      </c>
      <c r="Z573" s="1"/>
      <c r="AA573" s="1"/>
      <c r="AB573" s="1" t="s">
        <v>52</v>
      </c>
      <c r="AC573" s="1" t="s">
        <v>1925</v>
      </c>
      <c r="AD573" s="1"/>
      <c r="AE573" s="18"/>
      <c r="AF573" s="1"/>
      <c r="AG573" s="1"/>
      <c r="AH573" s="1" t="s">
        <v>1152</v>
      </c>
      <c r="AI573" s="1"/>
      <c r="AJ573" s="1"/>
      <c r="AK573" s="1"/>
      <c r="AL573" s="6" t="str">
        <f t="array" ref="AL573">IFERROR(IFS(XLOOKUP(B573, 'Kit Delivery Status'!$U:$U, 'Kit Delivery Status'!$K:$K) = "Complete", "DELIVERED", XLOOKUP(B573, 'Kit Delivery Status'!$U:$U, 'Kit Delivery Status'!$K:$K) = "Issue", "ISSUE"), "")</f>
        <v/>
      </c>
      <c r="AM573" s="6"/>
    </row>
    <row r="574">
      <c r="A574" s="5" t="s">
        <v>3076</v>
      </c>
      <c r="B574" s="1" t="s">
        <v>3077</v>
      </c>
      <c r="C574" s="1"/>
      <c r="D574" s="2">
        <v>2.028129294E9</v>
      </c>
      <c r="E574" s="1" t="s">
        <v>3078</v>
      </c>
      <c r="F574" s="1"/>
      <c r="G574" s="1" t="s">
        <v>980</v>
      </c>
      <c r="H574" s="1" t="s">
        <v>1063</v>
      </c>
      <c r="I574" s="1">
        <v>20015.0</v>
      </c>
      <c r="J574" s="1" t="s">
        <v>752</v>
      </c>
      <c r="K574" s="1" t="s">
        <v>66</v>
      </c>
      <c r="L574" s="1" t="s">
        <v>2464</v>
      </c>
      <c r="M574" s="1">
        <v>65.0</v>
      </c>
      <c r="N574" s="1" t="s">
        <v>1152</v>
      </c>
      <c r="O574" s="3" t="s">
        <v>3079</v>
      </c>
      <c r="P574" s="18">
        <v>45883.0</v>
      </c>
      <c r="Q574" s="1" t="s">
        <v>1152</v>
      </c>
      <c r="R574" s="1"/>
      <c r="S574" s="1" t="s">
        <v>1152</v>
      </c>
      <c r="T574" s="1" t="s">
        <v>1152</v>
      </c>
      <c r="U574" s="1" t="s">
        <v>982</v>
      </c>
      <c r="V574" s="4" t="s">
        <v>3079</v>
      </c>
      <c r="W574" s="1"/>
      <c r="X574" s="18">
        <v>45883.0</v>
      </c>
      <c r="Y574" s="1"/>
      <c r="Z574" s="1"/>
      <c r="AA574" s="1"/>
      <c r="AB574" s="1"/>
      <c r="AC574" s="1" t="s">
        <v>1925</v>
      </c>
      <c r="AD574" s="1"/>
      <c r="AE574" s="18"/>
      <c r="AF574" s="1"/>
      <c r="AG574" s="1"/>
      <c r="AH574" s="1" t="s">
        <v>1152</v>
      </c>
      <c r="AI574" s="1"/>
      <c r="AJ574" s="1"/>
      <c r="AK574" s="1"/>
      <c r="AL574" s="6" t="str">
        <f t="array" ref="AL574">IFERROR(IFS(XLOOKUP(B574, 'Kit Delivery Status'!$U:$U, 'Kit Delivery Status'!$K:$K) = "Complete", "DELIVERED", XLOOKUP(B574, 'Kit Delivery Status'!$U:$U, 'Kit Delivery Status'!$K:$K) = "Issue", "ISSUE"), "")</f>
        <v/>
      </c>
      <c r="AM574" s="6"/>
    </row>
    <row r="575">
      <c r="A575" s="5" t="s">
        <v>3080</v>
      </c>
      <c r="B575" s="1" t="s">
        <v>3081</v>
      </c>
      <c r="C575" s="1" t="s">
        <v>3082</v>
      </c>
      <c r="D575" s="2">
        <v>8.452718659E9</v>
      </c>
      <c r="E575" s="1" t="s">
        <v>3083</v>
      </c>
      <c r="F575" s="1"/>
      <c r="G575" s="1" t="s">
        <v>3084</v>
      </c>
      <c r="H575" s="1" t="s">
        <v>1053</v>
      </c>
      <c r="I575" s="1">
        <v>7670.0</v>
      </c>
      <c r="J575" s="1" t="s">
        <v>752</v>
      </c>
      <c r="K575" s="1" t="s">
        <v>66</v>
      </c>
      <c r="L575" s="1" t="s">
        <v>2641</v>
      </c>
      <c r="M575" s="1">
        <v>180.0</v>
      </c>
      <c r="N575" s="1" t="s">
        <v>1152</v>
      </c>
      <c r="O575" s="3" t="s">
        <v>3085</v>
      </c>
      <c r="P575" s="18">
        <v>45882.0</v>
      </c>
      <c r="Q575" s="1" t="s">
        <v>1152</v>
      </c>
      <c r="R575" s="1"/>
      <c r="S575" s="1" t="s">
        <v>1152</v>
      </c>
      <c r="T575" s="1" t="s">
        <v>1152</v>
      </c>
      <c r="U575" s="1" t="s">
        <v>1031</v>
      </c>
      <c r="V575" s="4" t="s">
        <v>3085</v>
      </c>
      <c r="W575" s="1"/>
      <c r="X575" s="18">
        <v>45882.0</v>
      </c>
      <c r="Y575" s="1"/>
      <c r="Z575" s="1"/>
      <c r="AA575" s="1"/>
      <c r="AB575" s="1"/>
      <c r="AC575" s="1" t="s">
        <v>1925</v>
      </c>
      <c r="AD575" s="1"/>
      <c r="AE575" s="18"/>
      <c r="AF575" s="1"/>
      <c r="AG575" s="1"/>
      <c r="AH575" s="1" t="s">
        <v>1152</v>
      </c>
      <c r="AI575" s="1"/>
      <c r="AJ575" s="1"/>
      <c r="AK575" s="1"/>
      <c r="AL575" s="6" t="str">
        <f t="array" ref="AL575">IFERROR(IFS(XLOOKUP(B575, 'Kit Delivery Status'!$U:$U, 'Kit Delivery Status'!$K:$K) = "Complete", "DELIVERED", XLOOKUP(B575, 'Kit Delivery Status'!$U:$U, 'Kit Delivery Status'!$K:$K) = "Issue", "ISSUE"), "")</f>
        <v/>
      </c>
      <c r="AM575" s="6"/>
    </row>
    <row r="576">
      <c r="A576" s="5" t="s">
        <v>3086</v>
      </c>
      <c r="B576" s="1" t="s">
        <v>3087</v>
      </c>
      <c r="C576" s="1" t="s">
        <v>3088</v>
      </c>
      <c r="D576" s="2" t="s">
        <v>3089</v>
      </c>
      <c r="E576" s="1" t="s">
        <v>3090</v>
      </c>
      <c r="F576" s="1"/>
      <c r="G576" s="1" t="s">
        <v>3091</v>
      </c>
      <c r="H576" s="1" t="s">
        <v>1053</v>
      </c>
      <c r="I576" s="1">
        <v>7470.0</v>
      </c>
      <c r="J576" s="1" t="s">
        <v>752</v>
      </c>
      <c r="K576" s="1" t="s">
        <v>51</v>
      </c>
      <c r="L576" s="1" t="s">
        <v>2460</v>
      </c>
      <c r="M576" s="1">
        <v>1.0</v>
      </c>
      <c r="N576" s="1" t="s">
        <v>2461</v>
      </c>
      <c r="O576" s="3" t="s">
        <v>3092</v>
      </c>
      <c r="P576" s="18">
        <v>45883.0</v>
      </c>
      <c r="Q576" s="1" t="s">
        <v>2463</v>
      </c>
      <c r="R576" s="1"/>
      <c r="S576" s="1" t="s">
        <v>2461</v>
      </c>
      <c r="T576" s="1" t="s">
        <v>2461</v>
      </c>
      <c r="U576" s="1" t="s">
        <v>2437</v>
      </c>
      <c r="V576" s="4" t="s">
        <v>3092</v>
      </c>
      <c r="W576" s="1"/>
      <c r="X576" s="18">
        <v>45883.0</v>
      </c>
      <c r="Y576" s="1" t="s">
        <v>1030</v>
      </c>
      <c r="Z576" s="1"/>
      <c r="AA576" s="1"/>
      <c r="AB576" s="1" t="s">
        <v>52</v>
      </c>
      <c r="AC576" s="1" t="s">
        <v>1925</v>
      </c>
      <c r="AD576" s="1"/>
      <c r="AE576" s="18"/>
      <c r="AF576" s="1"/>
      <c r="AG576" s="1"/>
      <c r="AH576" s="1" t="s">
        <v>1152</v>
      </c>
      <c r="AI576" s="1"/>
      <c r="AJ576" s="1"/>
      <c r="AK576" s="1"/>
      <c r="AL576" s="6" t="str">
        <f t="array" ref="AL576">IFERROR(IFS(XLOOKUP(B576, 'Kit Delivery Status'!$U:$U, 'Kit Delivery Status'!$K:$K) = "Complete", "DELIVERED", XLOOKUP(B576, 'Kit Delivery Status'!$U:$U, 'Kit Delivery Status'!$K:$K) = "Issue", "ISSUE"), "")</f>
        <v/>
      </c>
      <c r="AM576" s="6"/>
    </row>
    <row r="577">
      <c r="A577" s="5" t="s">
        <v>3093</v>
      </c>
      <c r="B577" s="1" t="s">
        <v>3094</v>
      </c>
      <c r="C577" s="1" t="s">
        <v>3095</v>
      </c>
      <c r="D577" s="2">
        <v>9.177165168E9</v>
      </c>
      <c r="E577" s="1" t="s">
        <v>1826</v>
      </c>
      <c r="F577" s="1"/>
      <c r="G577" s="1" t="s">
        <v>1480</v>
      </c>
      <c r="H577" s="1" t="s">
        <v>751</v>
      </c>
      <c r="I577" s="1">
        <v>11557.0</v>
      </c>
      <c r="J577" s="1" t="s">
        <v>752</v>
      </c>
      <c r="K577" s="1" t="s">
        <v>51</v>
      </c>
      <c r="L577" s="1" t="s">
        <v>2460</v>
      </c>
      <c r="M577" s="1">
        <v>1.0</v>
      </c>
      <c r="N577" s="1" t="s">
        <v>2461</v>
      </c>
      <c r="O577" s="3" t="s">
        <v>1827</v>
      </c>
      <c r="P577" s="18">
        <v>45883.0</v>
      </c>
      <c r="Q577" s="1" t="s">
        <v>2463</v>
      </c>
      <c r="R577" s="1"/>
      <c r="S577" s="1" t="s">
        <v>2461</v>
      </c>
      <c r="T577" s="1" t="s">
        <v>2461</v>
      </c>
      <c r="U577" s="1" t="s">
        <v>1828</v>
      </c>
      <c r="V577" s="4" t="s">
        <v>1827</v>
      </c>
      <c r="W577" s="1"/>
      <c r="X577" s="18">
        <v>45883.0</v>
      </c>
      <c r="Y577" s="1" t="s">
        <v>1030</v>
      </c>
      <c r="Z577" s="1"/>
      <c r="AA577" s="1"/>
      <c r="AB577" s="1" t="s">
        <v>52</v>
      </c>
      <c r="AC577" s="1" t="s">
        <v>1925</v>
      </c>
      <c r="AD577" s="1"/>
      <c r="AE577" s="18"/>
      <c r="AF577" s="1"/>
      <c r="AG577" s="1"/>
      <c r="AH577" s="1" t="s">
        <v>1152</v>
      </c>
      <c r="AI577" s="1"/>
      <c r="AJ577" s="1"/>
      <c r="AK577" s="1"/>
      <c r="AL577" s="6" t="str">
        <f t="array" ref="AL577">IFERROR(IFS(XLOOKUP(B577, 'Kit Delivery Status'!$U:$U, 'Kit Delivery Status'!$K:$K) = "Complete", "DELIVERED", XLOOKUP(B577, 'Kit Delivery Status'!$U:$U, 'Kit Delivery Status'!$K:$K) = "Issue", "ISSUE"), "")</f>
        <v/>
      </c>
      <c r="AM577" s="6"/>
    </row>
    <row r="578">
      <c r="A578" s="5" t="s">
        <v>3096</v>
      </c>
      <c r="B578" s="1" t="s">
        <v>3097</v>
      </c>
      <c r="C578" s="1" t="s">
        <v>3098</v>
      </c>
      <c r="D578" s="2">
        <v>3.103404311E9</v>
      </c>
      <c r="E578" s="1" t="s">
        <v>3099</v>
      </c>
      <c r="F578" s="1"/>
      <c r="G578" s="1" t="s">
        <v>2791</v>
      </c>
      <c r="H578" s="1" t="s">
        <v>989</v>
      </c>
      <c r="I578" s="1">
        <v>90402.0</v>
      </c>
      <c r="J578" s="1" t="s">
        <v>752</v>
      </c>
      <c r="K578" s="1" t="s">
        <v>51</v>
      </c>
      <c r="L578" s="1" t="s">
        <v>2460</v>
      </c>
      <c r="M578" s="1">
        <v>1.0</v>
      </c>
      <c r="N578" s="1" t="s">
        <v>2461</v>
      </c>
      <c r="O578" s="3" t="s">
        <v>3100</v>
      </c>
      <c r="P578" s="18">
        <v>45883.0</v>
      </c>
      <c r="Q578" s="1" t="s">
        <v>2463</v>
      </c>
      <c r="R578" s="1"/>
      <c r="S578" s="1" t="s">
        <v>2461</v>
      </c>
      <c r="T578" s="1" t="s">
        <v>2461</v>
      </c>
      <c r="U578" s="1" t="s">
        <v>1812</v>
      </c>
      <c r="V578" s="4" t="s">
        <v>3100</v>
      </c>
      <c r="W578" s="1"/>
      <c r="X578" s="18">
        <v>45883.0</v>
      </c>
      <c r="Y578" s="1" t="s">
        <v>1030</v>
      </c>
      <c r="Z578" s="1"/>
      <c r="AA578" s="1"/>
      <c r="AB578" s="1" t="s">
        <v>52</v>
      </c>
      <c r="AC578" s="1" t="s">
        <v>1925</v>
      </c>
      <c r="AD578" s="1"/>
      <c r="AE578" s="18"/>
      <c r="AF578" s="1"/>
      <c r="AG578" s="1"/>
      <c r="AH578" s="1" t="s">
        <v>1152</v>
      </c>
      <c r="AI578" s="1"/>
      <c r="AJ578" s="1"/>
      <c r="AK578" s="1"/>
      <c r="AL578" s="6" t="str">
        <f t="array" ref="AL578">IFERROR(IFS(XLOOKUP(B578, 'Kit Delivery Status'!$U:$U, 'Kit Delivery Status'!$K:$K) = "Complete", "DELIVERED", XLOOKUP(B578, 'Kit Delivery Status'!$U:$U, 'Kit Delivery Status'!$K:$K) = "Issue", "ISSUE"), "")</f>
        <v/>
      </c>
      <c r="AM578" s="6"/>
    </row>
    <row r="579">
      <c r="A579" s="5" t="s">
        <v>3101</v>
      </c>
      <c r="B579" s="1" t="s">
        <v>3102</v>
      </c>
      <c r="C579" s="1" t="s">
        <v>3103</v>
      </c>
      <c r="D579" s="2"/>
      <c r="E579" s="1" t="s">
        <v>3104</v>
      </c>
      <c r="F579" s="1"/>
      <c r="G579" s="1" t="s">
        <v>1283</v>
      </c>
      <c r="H579" s="1" t="s">
        <v>1155</v>
      </c>
      <c r="I579" s="1">
        <v>63105.0</v>
      </c>
      <c r="J579" s="1" t="s">
        <v>752</v>
      </c>
      <c r="K579" s="1" t="s">
        <v>51</v>
      </c>
      <c r="L579" s="1" t="s">
        <v>2460</v>
      </c>
      <c r="M579" s="1">
        <v>1.0</v>
      </c>
      <c r="N579" s="1" t="s">
        <v>2461</v>
      </c>
      <c r="O579" s="3" t="s">
        <v>3105</v>
      </c>
      <c r="P579" s="18">
        <v>45883.0</v>
      </c>
      <c r="Q579" s="1" t="s">
        <v>2463</v>
      </c>
      <c r="R579" s="1"/>
      <c r="S579" s="1" t="s">
        <v>2461</v>
      </c>
      <c r="T579" s="1" t="s">
        <v>2461</v>
      </c>
      <c r="U579" s="1" t="s">
        <v>1441</v>
      </c>
      <c r="V579" s="4" t="s">
        <v>3105</v>
      </c>
      <c r="W579" s="1"/>
      <c r="X579" s="18">
        <v>45883.0</v>
      </c>
      <c r="Y579" s="1" t="s">
        <v>1030</v>
      </c>
      <c r="Z579" s="1"/>
      <c r="AA579" s="1"/>
      <c r="AB579" s="1" t="s">
        <v>52</v>
      </c>
      <c r="AC579" s="1" t="s">
        <v>1925</v>
      </c>
      <c r="AD579" s="1"/>
      <c r="AE579" s="18"/>
      <c r="AF579" s="1"/>
      <c r="AG579" s="1"/>
      <c r="AH579" s="1" t="s">
        <v>1152</v>
      </c>
      <c r="AI579" s="1"/>
      <c r="AJ579" s="1"/>
      <c r="AK579" s="1"/>
      <c r="AL579" s="6" t="str">
        <f t="array" ref="AL579">IFERROR(IFS(XLOOKUP(B579, 'Kit Delivery Status'!$U:$U, 'Kit Delivery Status'!$K:$K) = "Complete", "DELIVERED", XLOOKUP(B579, 'Kit Delivery Status'!$U:$U, 'Kit Delivery Status'!$K:$K) = "Issue", "ISSUE"), "")</f>
        <v/>
      </c>
      <c r="AM579" s="6"/>
    </row>
    <row r="580">
      <c r="A580" s="5" t="s">
        <v>3106</v>
      </c>
      <c r="B580" s="1" t="s">
        <v>3107</v>
      </c>
      <c r="C580" s="1" t="s">
        <v>3108</v>
      </c>
      <c r="D580" s="2">
        <v>3.323231785E9</v>
      </c>
      <c r="E580" s="1" t="s">
        <v>3109</v>
      </c>
      <c r="F580" s="1"/>
      <c r="G580" s="1" t="s">
        <v>1283</v>
      </c>
      <c r="H580" s="1" t="s">
        <v>1155</v>
      </c>
      <c r="I580" s="1">
        <v>63105.0</v>
      </c>
      <c r="J580" s="1" t="s">
        <v>752</v>
      </c>
      <c r="K580" s="1" t="s">
        <v>51</v>
      </c>
      <c r="L580" s="1" t="s">
        <v>2460</v>
      </c>
      <c r="M580" s="1">
        <v>1.0</v>
      </c>
      <c r="N580" s="1" t="s">
        <v>2461</v>
      </c>
      <c r="O580" s="3" t="s">
        <v>3110</v>
      </c>
      <c r="P580" s="18">
        <v>45883.0</v>
      </c>
      <c r="Q580" s="1" t="s">
        <v>2463</v>
      </c>
      <c r="R580" s="1"/>
      <c r="S580" s="1" t="s">
        <v>2461</v>
      </c>
      <c r="T580" s="1" t="s">
        <v>2461</v>
      </c>
      <c r="U580" s="1" t="s">
        <v>1167</v>
      </c>
      <c r="V580" s="4" t="s">
        <v>3110</v>
      </c>
      <c r="W580" s="1"/>
      <c r="X580" s="18">
        <v>45883.0</v>
      </c>
      <c r="Y580" s="1" t="s">
        <v>1030</v>
      </c>
      <c r="Z580" s="1"/>
      <c r="AA580" s="1"/>
      <c r="AB580" s="1" t="s">
        <v>52</v>
      </c>
      <c r="AC580" s="1" t="s">
        <v>1925</v>
      </c>
      <c r="AD580" s="1"/>
      <c r="AE580" s="18"/>
      <c r="AF580" s="1"/>
      <c r="AG580" s="1"/>
      <c r="AH580" s="1" t="s">
        <v>1152</v>
      </c>
      <c r="AI580" s="1"/>
      <c r="AJ580" s="1"/>
      <c r="AK580" s="1"/>
      <c r="AL580" s="6" t="str">
        <f t="array" ref="AL580">IFERROR(IFS(XLOOKUP(B580, 'Kit Delivery Status'!$U:$U, 'Kit Delivery Status'!$K:$K) = "Complete", "DELIVERED", XLOOKUP(B580, 'Kit Delivery Status'!$U:$U, 'Kit Delivery Status'!$K:$K) = "Issue", "ISSUE"), "")</f>
        <v/>
      </c>
      <c r="AM580" s="6"/>
    </row>
    <row r="581">
      <c r="A581" s="5" t="s">
        <v>3111</v>
      </c>
      <c r="B581" s="1" t="s">
        <v>3112</v>
      </c>
      <c r="C581" s="1"/>
      <c r="D581" s="2">
        <v>4.15601164E9</v>
      </c>
      <c r="E581" s="1" t="s">
        <v>3113</v>
      </c>
      <c r="F581" s="1" t="s">
        <v>3114</v>
      </c>
      <c r="G581" s="1" t="s">
        <v>1562</v>
      </c>
      <c r="H581" s="1" t="s">
        <v>989</v>
      </c>
      <c r="I581" s="1">
        <v>94127.0</v>
      </c>
      <c r="J581" s="1" t="s">
        <v>752</v>
      </c>
      <c r="K581" s="1" t="s">
        <v>42</v>
      </c>
      <c r="L581" s="1" t="s">
        <v>2637</v>
      </c>
      <c r="M581" s="1">
        <v>49.0</v>
      </c>
      <c r="N581" s="1" t="s">
        <v>1152</v>
      </c>
      <c r="O581" s="3"/>
      <c r="P581" s="1" t="s">
        <v>1152</v>
      </c>
      <c r="Q581" s="1" t="s">
        <v>1152</v>
      </c>
      <c r="R581" s="1" t="s">
        <v>3114</v>
      </c>
      <c r="S581" s="1" t="s">
        <v>1152</v>
      </c>
      <c r="T581" s="1" t="s">
        <v>1152</v>
      </c>
      <c r="U581" s="1"/>
      <c r="V581" s="4"/>
      <c r="W581" s="1" t="s">
        <v>3114</v>
      </c>
      <c r="X581" s="18"/>
      <c r="Y581" s="1"/>
      <c r="Z581" s="1"/>
      <c r="AA581" s="1" t="s">
        <v>3114</v>
      </c>
      <c r="AB581" s="1"/>
      <c r="AC581" s="1" t="s">
        <v>1925</v>
      </c>
      <c r="AD581" s="1"/>
      <c r="AE581" s="18">
        <v>45869.0</v>
      </c>
      <c r="AF581" s="1" t="s">
        <v>1030</v>
      </c>
      <c r="AG581" s="1" t="s">
        <v>124</v>
      </c>
      <c r="AH581" s="1" t="s">
        <v>1152</v>
      </c>
      <c r="AI581" s="1"/>
      <c r="AJ581" s="1"/>
      <c r="AK581" s="1"/>
      <c r="AL581" s="6" t="str">
        <f t="array" ref="AL581">IFERROR(IFS(XLOOKUP(B581, 'Kit Delivery Status'!$U:$U, 'Kit Delivery Status'!$K:$K) = "Complete", "DELIVERED", XLOOKUP(B581, 'Kit Delivery Status'!$U:$U, 'Kit Delivery Status'!$K:$K) = "Issue", "ISSUE"), "")</f>
        <v/>
      </c>
      <c r="AM581" s="6"/>
    </row>
    <row r="582">
      <c r="A582" s="5" t="s">
        <v>3115</v>
      </c>
      <c r="B582" s="1" t="s">
        <v>3116</v>
      </c>
      <c r="C582" s="1" t="s">
        <v>3117</v>
      </c>
      <c r="D582" s="2">
        <v>2.134089574E9</v>
      </c>
      <c r="E582" s="1" t="s">
        <v>3118</v>
      </c>
      <c r="F582" s="1"/>
      <c r="G582" s="1" t="s">
        <v>3119</v>
      </c>
      <c r="H582" s="1" t="s">
        <v>989</v>
      </c>
      <c r="I582" s="1">
        <v>91106.0</v>
      </c>
      <c r="J582" s="1" t="s">
        <v>752</v>
      </c>
      <c r="K582" s="1" t="s">
        <v>51</v>
      </c>
      <c r="L582" s="1" t="s">
        <v>2460</v>
      </c>
      <c r="M582" s="1">
        <v>1.0</v>
      </c>
      <c r="N582" s="1" t="s">
        <v>2461</v>
      </c>
      <c r="O582" s="3" t="s">
        <v>3120</v>
      </c>
      <c r="P582" s="18">
        <v>45883.0</v>
      </c>
      <c r="Q582" s="1" t="s">
        <v>2463</v>
      </c>
      <c r="R582" s="1"/>
      <c r="S582" s="1" t="s">
        <v>2461</v>
      </c>
      <c r="T582" s="1" t="s">
        <v>2461</v>
      </c>
      <c r="U582" s="1" t="s">
        <v>1699</v>
      </c>
      <c r="V582" s="4" t="s">
        <v>3120</v>
      </c>
      <c r="W582" s="1"/>
      <c r="X582" s="18">
        <v>45883.0</v>
      </c>
      <c r="Y582" s="1" t="s">
        <v>1030</v>
      </c>
      <c r="Z582" s="1"/>
      <c r="AA582" s="1"/>
      <c r="AB582" s="1" t="s">
        <v>52</v>
      </c>
      <c r="AC582" s="1" t="s">
        <v>1925</v>
      </c>
      <c r="AD582" s="1"/>
      <c r="AE582" s="18"/>
      <c r="AF582" s="1"/>
      <c r="AG582" s="1"/>
      <c r="AH582" s="1" t="s">
        <v>1152</v>
      </c>
      <c r="AI582" s="1"/>
      <c r="AJ582" s="1"/>
      <c r="AK582" s="1"/>
      <c r="AL582" s="6" t="str">
        <f t="array" ref="AL582">IFERROR(IFS(XLOOKUP(B582, 'Kit Delivery Status'!$U:$U, 'Kit Delivery Status'!$K:$K) = "Complete", "DELIVERED", XLOOKUP(B582, 'Kit Delivery Status'!$U:$U, 'Kit Delivery Status'!$K:$K) = "Issue", "ISSUE"), "")</f>
        <v/>
      </c>
      <c r="AM582" s="6"/>
    </row>
    <row r="583">
      <c r="A583" s="5" t="s">
        <v>3121</v>
      </c>
      <c r="B583" s="1" t="s">
        <v>3122</v>
      </c>
      <c r="C583" s="1" t="s">
        <v>3123</v>
      </c>
      <c r="D583" s="2">
        <v>4.156091971E9</v>
      </c>
      <c r="E583" s="1" t="s">
        <v>3124</v>
      </c>
      <c r="F583" s="1"/>
      <c r="G583" s="1" t="s">
        <v>3125</v>
      </c>
      <c r="H583" s="1" t="s">
        <v>989</v>
      </c>
      <c r="I583" s="1">
        <v>94117.0</v>
      </c>
      <c r="J583" s="1" t="s">
        <v>752</v>
      </c>
      <c r="K583" s="1" t="s">
        <v>95</v>
      </c>
      <c r="L583" s="1" t="s">
        <v>2571</v>
      </c>
      <c r="M583" s="1">
        <v>49.0</v>
      </c>
      <c r="N583" s="1" t="s">
        <v>2461</v>
      </c>
      <c r="O583" s="3" t="s">
        <v>3126</v>
      </c>
      <c r="P583" s="18">
        <v>45883.0</v>
      </c>
      <c r="Q583" s="1" t="s">
        <v>2463</v>
      </c>
      <c r="R583" s="1"/>
      <c r="S583" s="1" t="s">
        <v>2461</v>
      </c>
      <c r="T583" s="1" t="s">
        <v>2461</v>
      </c>
      <c r="U583" s="1" t="s">
        <v>1456</v>
      </c>
      <c r="V583" s="4" t="s">
        <v>3126</v>
      </c>
      <c r="W583" s="1"/>
      <c r="X583" s="18">
        <v>45883.0</v>
      </c>
      <c r="Y583" s="1" t="s">
        <v>1030</v>
      </c>
      <c r="Z583" s="1"/>
      <c r="AA583" s="1"/>
      <c r="AB583" s="1" t="s">
        <v>52</v>
      </c>
      <c r="AC583" s="1" t="s">
        <v>3127</v>
      </c>
      <c r="AD583" s="1"/>
      <c r="AE583" s="18"/>
      <c r="AF583" s="1"/>
      <c r="AG583" s="1"/>
      <c r="AH583" s="1" t="s">
        <v>1152</v>
      </c>
      <c r="AI583" s="1"/>
      <c r="AJ583" s="1"/>
      <c r="AK583" s="1"/>
      <c r="AL583" s="6" t="str">
        <f t="array" ref="AL583">IFERROR(IFS(XLOOKUP(B583, 'Kit Delivery Status'!$U:$U, 'Kit Delivery Status'!$K:$K) = "Complete", "DELIVERED", XLOOKUP(B583, 'Kit Delivery Status'!$U:$U, 'Kit Delivery Status'!$K:$K) = "Issue", "ISSUE"), "")</f>
        <v/>
      </c>
      <c r="AM583" s="6"/>
    </row>
    <row r="584">
      <c r="A584" s="5" t="s">
        <v>3128</v>
      </c>
      <c r="B584" s="1" t="s">
        <v>3129</v>
      </c>
      <c r="C584" s="1" t="s">
        <v>3130</v>
      </c>
      <c r="D584" s="2">
        <v>9.146062616E9</v>
      </c>
      <c r="E584" s="1" t="s">
        <v>3131</v>
      </c>
      <c r="F584" s="1"/>
      <c r="G584" s="1" t="s">
        <v>3132</v>
      </c>
      <c r="H584" s="1" t="s">
        <v>751</v>
      </c>
      <c r="I584" s="1">
        <v>10530.0</v>
      </c>
      <c r="J584" s="1" t="s">
        <v>752</v>
      </c>
      <c r="K584" s="1" t="s">
        <v>51</v>
      </c>
      <c r="L584" s="1" t="s">
        <v>2460</v>
      </c>
      <c r="M584" s="1">
        <v>1.0</v>
      </c>
      <c r="N584" s="1" t="s">
        <v>2461</v>
      </c>
      <c r="O584" s="3" t="s">
        <v>3133</v>
      </c>
      <c r="P584" s="18">
        <v>45883.0</v>
      </c>
      <c r="Q584" s="1" t="s">
        <v>2463</v>
      </c>
      <c r="R584" s="1"/>
      <c r="S584" s="1" t="s">
        <v>2461</v>
      </c>
      <c r="T584" s="1" t="s">
        <v>2461</v>
      </c>
      <c r="U584" s="1" t="s">
        <v>1710</v>
      </c>
      <c r="V584" s="4" t="s">
        <v>3133</v>
      </c>
      <c r="W584" s="1"/>
      <c r="X584" s="18">
        <v>45883.0</v>
      </c>
      <c r="Y584" s="1" t="s">
        <v>1030</v>
      </c>
      <c r="Z584" s="1"/>
      <c r="AA584" s="1"/>
      <c r="AB584" s="1" t="s">
        <v>52</v>
      </c>
      <c r="AC584" s="1" t="s">
        <v>1925</v>
      </c>
      <c r="AD584" s="1"/>
      <c r="AE584" s="18"/>
      <c r="AF584" s="1"/>
      <c r="AG584" s="1"/>
      <c r="AH584" s="1" t="s">
        <v>1152</v>
      </c>
      <c r="AI584" s="1"/>
      <c r="AJ584" s="1"/>
      <c r="AK584" s="1"/>
      <c r="AL584" s="6" t="str">
        <f t="array" ref="AL584">IFERROR(IFS(XLOOKUP(B584, 'Kit Delivery Status'!$U:$U, 'Kit Delivery Status'!$K:$K) = "Complete", "DELIVERED", XLOOKUP(B584, 'Kit Delivery Status'!$U:$U, 'Kit Delivery Status'!$K:$K) = "Issue", "ISSUE"), "")</f>
        <v/>
      </c>
      <c r="AM584" s="6"/>
    </row>
    <row r="585">
      <c r="A585" s="5" t="s">
        <v>3134</v>
      </c>
      <c r="B585" s="1" t="s">
        <v>3135</v>
      </c>
      <c r="C585" s="1" t="s">
        <v>3136</v>
      </c>
      <c r="D585" s="2">
        <v>3.056079629E9</v>
      </c>
      <c r="E585" s="1" t="s">
        <v>3137</v>
      </c>
      <c r="F585" s="1"/>
      <c r="G585" s="1" t="s">
        <v>2109</v>
      </c>
      <c r="H585" s="1" t="s">
        <v>1208</v>
      </c>
      <c r="I585" s="1">
        <v>33133.0</v>
      </c>
      <c r="J585" s="1" t="s">
        <v>752</v>
      </c>
      <c r="K585" s="1" t="s">
        <v>95</v>
      </c>
      <c r="L585" s="1" t="s">
        <v>2571</v>
      </c>
      <c r="M585" s="1">
        <v>49.0</v>
      </c>
      <c r="N585" s="1" t="s">
        <v>2461</v>
      </c>
      <c r="O585" s="3" t="s">
        <v>972</v>
      </c>
      <c r="P585" s="18">
        <v>45883.0</v>
      </c>
      <c r="Q585" s="1" t="s">
        <v>2463</v>
      </c>
      <c r="R585" s="1"/>
      <c r="S585" s="1" t="s">
        <v>2461</v>
      </c>
      <c r="T585" s="1" t="s">
        <v>2461</v>
      </c>
      <c r="U585" s="1" t="s">
        <v>1133</v>
      </c>
      <c r="V585" s="4" t="s">
        <v>972</v>
      </c>
      <c r="W585" s="1"/>
      <c r="X585" s="18">
        <v>45883.0</v>
      </c>
      <c r="Y585" s="1" t="s">
        <v>1030</v>
      </c>
      <c r="Z585" s="1"/>
      <c r="AA585" s="1"/>
      <c r="AB585" s="1" t="s">
        <v>52</v>
      </c>
      <c r="AC585" s="1" t="s">
        <v>3138</v>
      </c>
      <c r="AD585" s="1"/>
      <c r="AE585" s="18"/>
      <c r="AF585" s="1"/>
      <c r="AG585" s="1"/>
      <c r="AH585" s="1" t="s">
        <v>1152</v>
      </c>
      <c r="AI585" s="1"/>
      <c r="AJ585" s="1"/>
      <c r="AK585" s="1"/>
      <c r="AL585" s="6" t="str">
        <f t="array" ref="AL585">IFERROR(IFS(XLOOKUP(B585, 'Kit Delivery Status'!$U:$U, 'Kit Delivery Status'!$K:$K) = "Complete", "DELIVERED", XLOOKUP(B585, 'Kit Delivery Status'!$U:$U, 'Kit Delivery Status'!$K:$K) = "Issue", "ISSUE"), "")</f>
        <v/>
      </c>
      <c r="AM585" s="6"/>
    </row>
    <row r="586">
      <c r="A586" s="5" t="s">
        <v>3139</v>
      </c>
      <c r="B586" s="1" t="s">
        <v>3140</v>
      </c>
      <c r="C586" s="1"/>
      <c r="D586" s="2">
        <v>9.01545952E9</v>
      </c>
      <c r="E586" s="1" t="s">
        <v>3141</v>
      </c>
      <c r="F586" s="1"/>
      <c r="G586" s="1" t="s">
        <v>1037</v>
      </c>
      <c r="H586" s="1" t="s">
        <v>1598</v>
      </c>
      <c r="I586" s="1">
        <v>38002.0</v>
      </c>
      <c r="J586" s="1" t="s">
        <v>752</v>
      </c>
      <c r="K586" s="1" t="s">
        <v>51</v>
      </c>
      <c r="L586" s="1" t="s">
        <v>2460</v>
      </c>
      <c r="M586" s="1">
        <v>1.0</v>
      </c>
      <c r="N586" s="1" t="s">
        <v>2461</v>
      </c>
      <c r="O586" s="3" t="s">
        <v>3142</v>
      </c>
      <c r="P586" s="18">
        <v>45891.0</v>
      </c>
      <c r="Q586" s="1" t="s">
        <v>2463</v>
      </c>
      <c r="R586" s="1"/>
      <c r="S586" s="1" t="s">
        <v>2461</v>
      </c>
      <c r="T586" s="1" t="s">
        <v>2461</v>
      </c>
      <c r="U586" s="1" t="s">
        <v>1201</v>
      </c>
      <c r="V586" s="4" t="s">
        <v>3142</v>
      </c>
      <c r="W586" s="1"/>
      <c r="X586" s="18">
        <v>45891.0</v>
      </c>
      <c r="Y586" s="1" t="s">
        <v>1030</v>
      </c>
      <c r="Z586" s="1"/>
      <c r="AA586" s="1"/>
      <c r="AB586" s="1" t="s">
        <v>52</v>
      </c>
      <c r="AC586" s="1" t="s">
        <v>1925</v>
      </c>
      <c r="AD586" s="1"/>
      <c r="AE586" s="18"/>
      <c r="AF586" s="1"/>
      <c r="AG586" s="1"/>
      <c r="AH586" s="1" t="s">
        <v>1152</v>
      </c>
      <c r="AI586" s="1"/>
      <c r="AJ586" s="1"/>
      <c r="AK586" s="1"/>
      <c r="AL586" s="6" t="str">
        <f t="array" ref="AL586">IFERROR(IFS(XLOOKUP(B586, 'Kit Delivery Status'!$U:$U, 'Kit Delivery Status'!$K:$K) = "Complete", "DELIVERED", XLOOKUP(B586, 'Kit Delivery Status'!$U:$U, 'Kit Delivery Status'!$K:$K) = "Issue", "ISSUE"), "")</f>
        <v/>
      </c>
      <c r="AM586" s="6"/>
    </row>
    <row r="587">
      <c r="A587" s="5" t="s">
        <v>3143</v>
      </c>
      <c r="B587" s="1" t="s">
        <v>3144</v>
      </c>
      <c r="C587" s="1" t="s">
        <v>3145</v>
      </c>
      <c r="D587" s="2">
        <v>9.172827563E9</v>
      </c>
      <c r="E587" s="1" t="s">
        <v>3146</v>
      </c>
      <c r="F587" s="1"/>
      <c r="G587" s="1" t="s">
        <v>751</v>
      </c>
      <c r="H587" s="1" t="s">
        <v>751</v>
      </c>
      <c r="I587" s="1">
        <v>10028.0</v>
      </c>
      <c r="J587" s="1" t="s">
        <v>752</v>
      </c>
      <c r="K587" s="1" t="s">
        <v>51</v>
      </c>
      <c r="L587" s="1" t="s">
        <v>2460</v>
      </c>
      <c r="M587" s="1">
        <v>1.0</v>
      </c>
      <c r="N587" s="1" t="s">
        <v>2461</v>
      </c>
      <c r="O587" s="3" t="s">
        <v>3147</v>
      </c>
      <c r="P587" s="18">
        <v>45883.0</v>
      </c>
      <c r="Q587" s="1" t="s">
        <v>2463</v>
      </c>
      <c r="R587" s="1"/>
      <c r="S587" s="1" t="s">
        <v>2461</v>
      </c>
      <c r="T587" s="1" t="s">
        <v>2461</v>
      </c>
      <c r="U587" s="1" t="s">
        <v>1456</v>
      </c>
      <c r="V587" s="4" t="s">
        <v>3147</v>
      </c>
      <c r="W587" s="1"/>
      <c r="X587" s="18">
        <v>45883.0</v>
      </c>
      <c r="Y587" s="1" t="s">
        <v>1030</v>
      </c>
      <c r="Z587" s="1"/>
      <c r="AA587" s="1"/>
      <c r="AB587" s="1" t="s">
        <v>52</v>
      </c>
      <c r="AC587" s="1" t="s">
        <v>1925</v>
      </c>
      <c r="AD587" s="1"/>
      <c r="AE587" s="18"/>
      <c r="AF587" s="1"/>
      <c r="AG587" s="1"/>
      <c r="AH587" s="1" t="s">
        <v>1152</v>
      </c>
      <c r="AI587" s="1"/>
      <c r="AJ587" s="1"/>
      <c r="AK587" s="1"/>
      <c r="AL587" s="6" t="str">
        <f t="array" ref="AL587">IFERROR(IFS(XLOOKUP(B587, 'Kit Delivery Status'!$U:$U, 'Kit Delivery Status'!$K:$K) = "Complete", "DELIVERED", XLOOKUP(B587, 'Kit Delivery Status'!$U:$U, 'Kit Delivery Status'!$K:$K) = "Issue", "ISSUE"), "")</f>
        <v/>
      </c>
      <c r="AM587" s="6"/>
    </row>
    <row r="588">
      <c r="A588" s="5" t="s">
        <v>3148</v>
      </c>
      <c r="B588" s="1" t="s">
        <v>3149</v>
      </c>
      <c r="C588" s="1" t="s">
        <v>3150</v>
      </c>
      <c r="D588" s="2">
        <v>8.024516839E9</v>
      </c>
      <c r="E588" s="1" t="s">
        <v>3151</v>
      </c>
      <c r="F588" s="1"/>
      <c r="G588" s="1" t="s">
        <v>3152</v>
      </c>
      <c r="H588" s="1" t="s">
        <v>3153</v>
      </c>
      <c r="I588" s="1">
        <v>5346.0</v>
      </c>
      <c r="J588" s="1" t="s">
        <v>752</v>
      </c>
      <c r="K588" s="1" t="s">
        <v>51</v>
      </c>
      <c r="L588" s="1" t="s">
        <v>2460</v>
      </c>
      <c r="M588" s="1">
        <v>1.0</v>
      </c>
      <c r="N588" s="1" t="s">
        <v>2461</v>
      </c>
      <c r="O588" s="3" t="s">
        <v>3154</v>
      </c>
      <c r="P588" s="18">
        <v>45883.0</v>
      </c>
      <c r="Q588" s="1" t="s">
        <v>2463</v>
      </c>
      <c r="R588" s="1"/>
      <c r="S588" s="1" t="s">
        <v>2461</v>
      </c>
      <c r="T588" s="1" t="s">
        <v>2461</v>
      </c>
      <c r="U588" s="1" t="s">
        <v>1285</v>
      </c>
      <c r="V588" s="4" t="s">
        <v>3154</v>
      </c>
      <c r="W588" s="1"/>
      <c r="X588" s="18">
        <v>45883.0</v>
      </c>
      <c r="Y588" s="1" t="s">
        <v>1030</v>
      </c>
      <c r="Z588" s="1"/>
      <c r="AA588" s="1"/>
      <c r="AB588" s="1" t="s">
        <v>52</v>
      </c>
      <c r="AC588" s="1" t="s">
        <v>1925</v>
      </c>
      <c r="AD588" s="1"/>
      <c r="AE588" s="18"/>
      <c r="AF588" s="1"/>
      <c r="AG588" s="1"/>
      <c r="AH588" s="1" t="s">
        <v>1152</v>
      </c>
      <c r="AI588" s="1"/>
      <c r="AJ588" s="1"/>
      <c r="AK588" s="1"/>
      <c r="AL588" s="6" t="str">
        <f t="array" ref="AL588">IFERROR(IFS(XLOOKUP(B588, 'Kit Delivery Status'!$U:$U, 'Kit Delivery Status'!$K:$K) = "Complete", "DELIVERED", XLOOKUP(B588, 'Kit Delivery Status'!$U:$U, 'Kit Delivery Status'!$K:$K) = "Issue", "ISSUE"), "")</f>
        <v/>
      </c>
      <c r="AM588" s="6"/>
    </row>
    <row r="589">
      <c r="A589" s="5" t="s">
        <v>3155</v>
      </c>
      <c r="B589" s="1" t="s">
        <v>3156</v>
      </c>
      <c r="C589" s="1"/>
      <c r="D589" s="2">
        <v>4.69925541E9</v>
      </c>
      <c r="E589" s="1" t="s">
        <v>3157</v>
      </c>
      <c r="F589" s="1"/>
      <c r="G589" s="1" t="s">
        <v>3158</v>
      </c>
      <c r="H589" s="1" t="s">
        <v>1583</v>
      </c>
      <c r="I589" s="1">
        <v>75082.0</v>
      </c>
      <c r="J589" s="1" t="s">
        <v>752</v>
      </c>
      <c r="K589" s="1" t="s">
        <v>51</v>
      </c>
      <c r="L589" s="1" t="s">
        <v>2460</v>
      </c>
      <c r="M589" s="1">
        <v>1.0</v>
      </c>
      <c r="N589" s="1" t="s">
        <v>2461</v>
      </c>
      <c r="O589" s="3" t="s">
        <v>3159</v>
      </c>
      <c r="P589" s="18">
        <v>45877.0</v>
      </c>
      <c r="Q589" s="1" t="s">
        <v>2463</v>
      </c>
      <c r="R589" s="1"/>
      <c r="S589" s="1" t="s">
        <v>2461</v>
      </c>
      <c r="T589" s="1" t="s">
        <v>2461</v>
      </c>
      <c r="U589" s="1" t="s">
        <v>982</v>
      </c>
      <c r="V589" s="4" t="s">
        <v>3159</v>
      </c>
      <c r="W589" s="1"/>
      <c r="X589" s="18">
        <v>45877.0</v>
      </c>
      <c r="Y589" s="1" t="s">
        <v>1030</v>
      </c>
      <c r="Z589" s="1"/>
      <c r="AA589" s="1"/>
      <c r="AB589" s="1" t="s">
        <v>52</v>
      </c>
      <c r="AC589" s="1" t="s">
        <v>1925</v>
      </c>
      <c r="AD589" s="1"/>
      <c r="AE589" s="18"/>
      <c r="AF589" s="1"/>
      <c r="AG589" s="1"/>
      <c r="AH589" s="1" t="s">
        <v>1152</v>
      </c>
      <c r="AI589" s="1"/>
      <c r="AJ589" s="1"/>
      <c r="AK589" s="1"/>
      <c r="AL589" s="6" t="str">
        <f t="array" ref="AL589">IFERROR(IFS(XLOOKUP(B589, 'Kit Delivery Status'!$U:$U, 'Kit Delivery Status'!$K:$K) = "Complete", "DELIVERED", XLOOKUP(B589, 'Kit Delivery Status'!$U:$U, 'Kit Delivery Status'!$K:$K) = "Issue", "ISSUE"), "")</f>
        <v/>
      </c>
      <c r="AM589" s="6"/>
    </row>
    <row r="590">
      <c r="A590" s="5" t="s">
        <v>3160</v>
      </c>
      <c r="B590" s="1" t="s">
        <v>3161</v>
      </c>
      <c r="C590" s="1"/>
      <c r="D590" s="2">
        <v>4.69925541E9</v>
      </c>
      <c r="E590" s="1" t="s">
        <v>3157</v>
      </c>
      <c r="F590" s="1"/>
      <c r="G590" s="1" t="s">
        <v>3158</v>
      </c>
      <c r="H590" s="1" t="s">
        <v>1583</v>
      </c>
      <c r="I590" s="1">
        <v>75082.0</v>
      </c>
      <c r="J590" s="1" t="s">
        <v>752</v>
      </c>
      <c r="K590" s="1" t="s">
        <v>66</v>
      </c>
      <c r="L590" s="1" t="s">
        <v>2470</v>
      </c>
      <c r="M590" s="1">
        <v>210.0</v>
      </c>
      <c r="N590" s="1" t="s">
        <v>1152</v>
      </c>
      <c r="O590" s="3" t="s">
        <v>3159</v>
      </c>
      <c r="P590" s="18">
        <v>45877.0</v>
      </c>
      <c r="Q590" s="1" t="s">
        <v>1152</v>
      </c>
      <c r="R590" s="1"/>
      <c r="S590" s="1" t="s">
        <v>1152</v>
      </c>
      <c r="T590" s="1" t="s">
        <v>1152</v>
      </c>
      <c r="U590" s="1" t="s">
        <v>982</v>
      </c>
      <c r="V590" s="4" t="s">
        <v>3159</v>
      </c>
      <c r="W590" s="1"/>
      <c r="X590" s="18">
        <v>45877.0</v>
      </c>
      <c r="Y590" s="1"/>
      <c r="Z590" s="1"/>
      <c r="AA590" s="1"/>
      <c r="AB590" s="1"/>
      <c r="AC590" s="1" t="s">
        <v>1925</v>
      </c>
      <c r="AD590" s="1"/>
      <c r="AE590" s="18"/>
      <c r="AF590" s="1"/>
      <c r="AG590" s="1"/>
      <c r="AH590" s="1" t="s">
        <v>1152</v>
      </c>
      <c r="AI590" s="1"/>
      <c r="AJ590" s="1"/>
      <c r="AK590" s="1"/>
      <c r="AL590" s="6" t="str">
        <f t="array" ref="AL590">IFERROR(IFS(XLOOKUP(B590, 'Kit Delivery Status'!$U:$U, 'Kit Delivery Status'!$K:$K) = "Complete", "DELIVERED", XLOOKUP(B590, 'Kit Delivery Status'!$U:$U, 'Kit Delivery Status'!$K:$K) = "Issue", "ISSUE"), "")</f>
        <v/>
      </c>
      <c r="AM590" s="6"/>
    </row>
    <row r="591">
      <c r="A591" s="5" t="s">
        <v>3162</v>
      </c>
      <c r="B591" s="1" t="s">
        <v>3163</v>
      </c>
      <c r="C591" s="1" t="s">
        <v>3164</v>
      </c>
      <c r="D591" s="2">
        <v>9.082747241E9</v>
      </c>
      <c r="E591" s="1" t="s">
        <v>785</v>
      </c>
      <c r="F591" s="1"/>
      <c r="G591" s="1" t="s">
        <v>3165</v>
      </c>
      <c r="H591" s="1" t="s">
        <v>1053</v>
      </c>
      <c r="I591" s="1">
        <v>7090.0</v>
      </c>
      <c r="J591" s="1" t="s">
        <v>752</v>
      </c>
      <c r="K591" s="1" t="s">
        <v>51</v>
      </c>
      <c r="L591" s="1" t="s">
        <v>2460</v>
      </c>
      <c r="M591" s="1">
        <v>1.0</v>
      </c>
      <c r="N591" s="1" t="s">
        <v>2461</v>
      </c>
      <c r="O591" s="3" t="s">
        <v>3166</v>
      </c>
      <c r="P591" s="18">
        <v>45890.0</v>
      </c>
      <c r="Q591" s="1" t="s">
        <v>2463</v>
      </c>
      <c r="R591" s="1"/>
      <c r="S591" s="1" t="s">
        <v>2461</v>
      </c>
      <c r="T591" s="1" t="s">
        <v>2461</v>
      </c>
      <c r="U591" s="1" t="s">
        <v>1065</v>
      </c>
      <c r="V591" s="4" t="s">
        <v>3166</v>
      </c>
      <c r="W591" s="1"/>
      <c r="X591" s="18">
        <v>45890.0</v>
      </c>
      <c r="Y591" s="1" t="s">
        <v>1030</v>
      </c>
      <c r="Z591" s="1"/>
      <c r="AA591" s="1"/>
      <c r="AB591" s="1" t="s">
        <v>52</v>
      </c>
      <c r="AC591" s="1" t="s">
        <v>1925</v>
      </c>
      <c r="AD591" s="1"/>
      <c r="AE591" s="18"/>
      <c r="AF591" s="1"/>
      <c r="AG591" s="1"/>
      <c r="AH591" s="1" t="s">
        <v>1152</v>
      </c>
      <c r="AI591" s="1"/>
      <c r="AJ591" s="1"/>
      <c r="AK591" s="1"/>
      <c r="AL591" s="6" t="str">
        <f t="array" ref="AL591">IFERROR(IFS(XLOOKUP(B591, 'Kit Delivery Status'!$U:$U, 'Kit Delivery Status'!$K:$K) = "Complete", "DELIVERED", XLOOKUP(B591, 'Kit Delivery Status'!$U:$U, 'Kit Delivery Status'!$K:$K) = "Issue", "ISSUE"), "")</f>
        <v/>
      </c>
      <c r="AM591" s="6"/>
    </row>
    <row r="592">
      <c r="A592" s="5" t="s">
        <v>3167</v>
      </c>
      <c r="B592" s="1" t="s">
        <v>3168</v>
      </c>
      <c r="C592" s="1" t="s">
        <v>3169</v>
      </c>
      <c r="D592" s="2">
        <v>7.812344526E9</v>
      </c>
      <c r="E592" s="1" t="s">
        <v>3170</v>
      </c>
      <c r="F592" s="1"/>
      <c r="G592" s="1" t="s">
        <v>3171</v>
      </c>
      <c r="H592" s="1" t="s">
        <v>1121</v>
      </c>
      <c r="I592" s="1">
        <v>2467.0</v>
      </c>
      <c r="J592" s="1" t="s">
        <v>752</v>
      </c>
      <c r="K592" s="1" t="s">
        <v>95</v>
      </c>
      <c r="L592" s="1" t="s">
        <v>2571</v>
      </c>
      <c r="M592" s="1">
        <v>49.0</v>
      </c>
      <c r="N592" s="1" t="s">
        <v>2461</v>
      </c>
      <c r="O592" s="3" t="s">
        <v>3172</v>
      </c>
      <c r="P592" s="18">
        <v>45883.0</v>
      </c>
      <c r="Q592" s="1" t="s">
        <v>2463</v>
      </c>
      <c r="R592" s="1"/>
      <c r="S592" s="1" t="s">
        <v>2461</v>
      </c>
      <c r="T592" s="1" t="s">
        <v>2461</v>
      </c>
      <c r="U592" s="1" t="s">
        <v>1277</v>
      </c>
      <c r="V592" s="4" t="s">
        <v>3172</v>
      </c>
      <c r="W592" s="1"/>
      <c r="X592" s="18">
        <v>45883.0</v>
      </c>
      <c r="Y592" s="1" t="s">
        <v>1030</v>
      </c>
      <c r="Z592" s="1"/>
      <c r="AA592" s="1"/>
      <c r="AB592" s="1" t="s">
        <v>52</v>
      </c>
      <c r="AC592" s="1" t="s">
        <v>3173</v>
      </c>
      <c r="AD592" s="1"/>
      <c r="AE592" s="18"/>
      <c r="AF592" s="1"/>
      <c r="AG592" s="1"/>
      <c r="AH592" s="1" t="s">
        <v>1152</v>
      </c>
      <c r="AI592" s="1"/>
      <c r="AJ592" s="1"/>
      <c r="AK592" s="1"/>
      <c r="AL592" s="6" t="str">
        <f t="array" ref="AL592">IFERROR(IFS(XLOOKUP(B592, 'Kit Delivery Status'!$U:$U, 'Kit Delivery Status'!$K:$K) = "Complete", "DELIVERED", XLOOKUP(B592, 'Kit Delivery Status'!$U:$U, 'Kit Delivery Status'!$K:$K) = "Issue", "ISSUE"), "")</f>
        <v/>
      </c>
      <c r="AM592" s="6"/>
    </row>
    <row r="593">
      <c r="A593" s="5" t="s">
        <v>3174</v>
      </c>
      <c r="B593" s="1" t="s">
        <v>3175</v>
      </c>
      <c r="C593" s="1" t="s">
        <v>3176</v>
      </c>
      <c r="D593" s="2">
        <v>9.173716988E9</v>
      </c>
      <c r="E593" s="1" t="s">
        <v>3177</v>
      </c>
      <c r="F593" s="1"/>
      <c r="G593" s="1" t="s">
        <v>751</v>
      </c>
      <c r="H593" s="1" t="s">
        <v>751</v>
      </c>
      <c r="I593" s="1">
        <v>10025.0</v>
      </c>
      <c r="J593" s="1" t="s">
        <v>752</v>
      </c>
      <c r="K593" s="1" t="s">
        <v>51</v>
      </c>
      <c r="L593" s="1" t="s">
        <v>2460</v>
      </c>
      <c r="M593" s="1">
        <v>1.0</v>
      </c>
      <c r="N593" s="1" t="s">
        <v>2461</v>
      </c>
      <c r="O593" s="3" t="s">
        <v>3178</v>
      </c>
      <c r="P593" s="18">
        <v>45883.0</v>
      </c>
      <c r="Q593" s="1" t="s">
        <v>2463</v>
      </c>
      <c r="R593" s="1"/>
      <c r="S593" s="1" t="s">
        <v>2461</v>
      </c>
      <c r="T593" s="1" t="s">
        <v>2461</v>
      </c>
      <c r="U593" s="1" t="s">
        <v>1343</v>
      </c>
      <c r="V593" s="4" t="s">
        <v>3178</v>
      </c>
      <c r="W593" s="1"/>
      <c r="X593" s="18">
        <v>45883.0</v>
      </c>
      <c r="Y593" s="1" t="s">
        <v>1030</v>
      </c>
      <c r="Z593" s="1"/>
      <c r="AA593" s="1"/>
      <c r="AB593" s="1" t="s">
        <v>52</v>
      </c>
      <c r="AC593" s="1" t="s">
        <v>1925</v>
      </c>
      <c r="AD593" s="1"/>
      <c r="AE593" s="18"/>
      <c r="AF593" s="1"/>
      <c r="AG593" s="1"/>
      <c r="AH593" s="1" t="s">
        <v>1152</v>
      </c>
      <c r="AI593" s="1"/>
      <c r="AJ593" s="1"/>
      <c r="AK593" s="1"/>
      <c r="AL593" s="6" t="str">
        <f t="array" ref="AL593">IFERROR(IFS(XLOOKUP(B593, 'Kit Delivery Status'!$U:$U, 'Kit Delivery Status'!$K:$K) = "Complete", "DELIVERED", XLOOKUP(B593, 'Kit Delivery Status'!$U:$U, 'Kit Delivery Status'!$K:$K) = "Issue", "ISSUE"), "")</f>
        <v/>
      </c>
      <c r="AM593" s="6"/>
    </row>
    <row r="594">
      <c r="A594" s="5" t="s">
        <v>3179</v>
      </c>
      <c r="B594" s="1" t="s">
        <v>3180</v>
      </c>
      <c r="C594" s="1" t="s">
        <v>3181</v>
      </c>
      <c r="D594" s="2">
        <v>5.184202821E9</v>
      </c>
      <c r="E594" s="1" t="s">
        <v>3182</v>
      </c>
      <c r="F594" s="1"/>
      <c r="G594" s="1" t="s">
        <v>3183</v>
      </c>
      <c r="H594" s="1" t="s">
        <v>751</v>
      </c>
      <c r="I594" s="1">
        <v>12901.0</v>
      </c>
      <c r="J594" s="1" t="s">
        <v>752</v>
      </c>
      <c r="K594" s="1" t="s">
        <v>51</v>
      </c>
      <c r="L594" s="1" t="s">
        <v>2460</v>
      </c>
      <c r="M594" s="1">
        <v>1.0</v>
      </c>
      <c r="N594" s="1" t="s">
        <v>2461</v>
      </c>
      <c r="O594" s="3" t="s">
        <v>3184</v>
      </c>
      <c r="P594" s="18">
        <v>45883.0</v>
      </c>
      <c r="Q594" s="1" t="s">
        <v>3185</v>
      </c>
      <c r="R594" s="1"/>
      <c r="S594" s="1" t="s">
        <v>2461</v>
      </c>
      <c r="T594" s="1" t="s">
        <v>2461</v>
      </c>
      <c r="U594" s="1" t="s">
        <v>1812</v>
      </c>
      <c r="V594" s="4" t="s">
        <v>3184</v>
      </c>
      <c r="W594" s="1"/>
      <c r="X594" s="18">
        <v>45883.0</v>
      </c>
      <c r="Y594" s="1" t="s">
        <v>3186</v>
      </c>
      <c r="Z594" s="1"/>
      <c r="AA594" s="1"/>
      <c r="AB594" s="1" t="s">
        <v>52</v>
      </c>
      <c r="AC594" s="1" t="s">
        <v>1925</v>
      </c>
      <c r="AD594" s="1"/>
      <c r="AE594" s="18"/>
      <c r="AF594" s="1"/>
      <c r="AG594" s="1"/>
      <c r="AH594" s="1" t="s">
        <v>1152</v>
      </c>
      <c r="AI594" s="1"/>
      <c r="AJ594" s="1"/>
      <c r="AK594" s="1"/>
      <c r="AL594" s="6" t="str">
        <f t="array" ref="AL594">IFERROR(IFS(XLOOKUP(B594, 'Kit Delivery Status'!$U:$U, 'Kit Delivery Status'!$K:$K) = "Complete", "DELIVERED", XLOOKUP(B594, 'Kit Delivery Status'!$U:$U, 'Kit Delivery Status'!$K:$K) = "Issue", "ISSUE"), "")</f>
        <v/>
      </c>
      <c r="AM594" s="6"/>
    </row>
    <row r="595">
      <c r="A595" s="5" t="s">
        <v>3187</v>
      </c>
      <c r="B595" s="1" t="s">
        <v>3188</v>
      </c>
      <c r="C595" s="1" t="s">
        <v>3189</v>
      </c>
      <c r="D595" s="2">
        <v>3.102211061E9</v>
      </c>
      <c r="E595" s="1" t="s">
        <v>3190</v>
      </c>
      <c r="F595" s="1"/>
      <c r="G595" s="1" t="s">
        <v>3191</v>
      </c>
      <c r="H595" s="1" t="s">
        <v>989</v>
      </c>
      <c r="I595" s="1">
        <v>90267.0</v>
      </c>
      <c r="J595" s="1" t="s">
        <v>752</v>
      </c>
      <c r="K595" s="1" t="s">
        <v>66</v>
      </c>
      <c r="L595" s="1" t="s">
        <v>2470</v>
      </c>
      <c r="M595" s="1">
        <v>210.0</v>
      </c>
      <c r="N595" s="1" t="s">
        <v>1152</v>
      </c>
      <c r="O595" s="3" t="s">
        <v>3192</v>
      </c>
      <c r="P595" s="18">
        <v>45883.0</v>
      </c>
      <c r="Q595" s="1" t="s">
        <v>1152</v>
      </c>
      <c r="R595" s="1"/>
      <c r="S595" s="1" t="s">
        <v>1152</v>
      </c>
      <c r="T595" s="1" t="s">
        <v>1152</v>
      </c>
      <c r="U595" s="1" t="s">
        <v>1080</v>
      </c>
      <c r="V595" s="4" t="s">
        <v>3192</v>
      </c>
      <c r="W595" s="1"/>
      <c r="X595" s="18">
        <v>45883.0</v>
      </c>
      <c r="Y595" s="1"/>
      <c r="Z595" s="1"/>
      <c r="AA595" s="1"/>
      <c r="AB595" s="1"/>
      <c r="AC595" s="1" t="s">
        <v>1925</v>
      </c>
      <c r="AD595" s="1"/>
      <c r="AE595" s="18"/>
      <c r="AF595" s="1"/>
      <c r="AG595" s="1"/>
      <c r="AH595" s="1" t="s">
        <v>1152</v>
      </c>
      <c r="AI595" s="1"/>
      <c r="AJ595" s="1"/>
      <c r="AK595" s="1"/>
      <c r="AL595" s="6" t="str">
        <f t="array" ref="AL595">IFERROR(IFS(XLOOKUP(B595, 'Kit Delivery Status'!$U:$U, 'Kit Delivery Status'!$K:$K) = "Complete", "DELIVERED", XLOOKUP(B595, 'Kit Delivery Status'!$U:$U, 'Kit Delivery Status'!$K:$K) = "Issue", "ISSUE"), "")</f>
        <v/>
      </c>
      <c r="AM595" s="6"/>
    </row>
    <row r="596">
      <c r="A596" s="5" t="s">
        <v>3193</v>
      </c>
      <c r="B596" s="1" t="s">
        <v>3194</v>
      </c>
      <c r="C596" s="1" t="s">
        <v>3195</v>
      </c>
      <c r="D596" s="2">
        <v>7.73263614E9</v>
      </c>
      <c r="E596" s="1" t="s">
        <v>3196</v>
      </c>
      <c r="F596" s="1"/>
      <c r="G596" s="1" t="s">
        <v>1072</v>
      </c>
      <c r="H596" s="1" t="s">
        <v>1019</v>
      </c>
      <c r="I596" s="1">
        <v>60622.0</v>
      </c>
      <c r="J596" s="1" t="s">
        <v>752</v>
      </c>
      <c r="K596" s="1" t="s">
        <v>95</v>
      </c>
      <c r="L596" s="1" t="s">
        <v>2571</v>
      </c>
      <c r="M596" s="1">
        <v>49.0</v>
      </c>
      <c r="N596" s="1" t="s">
        <v>2461</v>
      </c>
      <c r="O596" s="3" t="s">
        <v>258</v>
      </c>
      <c r="P596" s="18">
        <v>45883.0</v>
      </c>
      <c r="Q596" s="1" t="s">
        <v>2463</v>
      </c>
      <c r="R596" s="1"/>
      <c r="S596" s="1" t="s">
        <v>2461</v>
      </c>
      <c r="T596" s="1" t="s">
        <v>2461</v>
      </c>
      <c r="U596" s="1" t="s">
        <v>102</v>
      </c>
      <c r="V596" s="4" t="s">
        <v>258</v>
      </c>
      <c r="W596" s="1"/>
      <c r="X596" s="18">
        <v>45883.0</v>
      </c>
      <c r="Y596" s="1" t="s">
        <v>1030</v>
      </c>
      <c r="Z596" s="1"/>
      <c r="AA596" s="1"/>
      <c r="AB596" s="1" t="s">
        <v>52</v>
      </c>
      <c r="AC596" s="1" t="s">
        <v>3197</v>
      </c>
      <c r="AD596" s="1"/>
      <c r="AE596" s="18"/>
      <c r="AF596" s="1"/>
      <c r="AG596" s="1"/>
      <c r="AH596" s="1" t="s">
        <v>1152</v>
      </c>
      <c r="AI596" s="1"/>
      <c r="AJ596" s="1"/>
      <c r="AK596" s="1"/>
      <c r="AL596" s="6" t="str">
        <f t="array" ref="AL596">IFERROR(IFS(XLOOKUP(B596, 'Kit Delivery Status'!$U:$U, 'Kit Delivery Status'!$K:$K) = "Complete", "DELIVERED", XLOOKUP(B596, 'Kit Delivery Status'!$U:$U, 'Kit Delivery Status'!$K:$K) = "Issue", "ISSUE"), "")</f>
        <v/>
      </c>
      <c r="AM596" s="6"/>
    </row>
    <row r="597">
      <c r="A597" s="5" t="s">
        <v>3198</v>
      </c>
      <c r="B597" s="1" t="s">
        <v>3199</v>
      </c>
      <c r="C597" s="1" t="s">
        <v>3200</v>
      </c>
      <c r="D597" s="2">
        <v>1.9493789409E10</v>
      </c>
      <c r="E597" s="1" t="s">
        <v>3201</v>
      </c>
      <c r="F597" s="1"/>
      <c r="G597" s="1" t="s">
        <v>1215</v>
      </c>
      <c r="H597" s="1" t="s">
        <v>989</v>
      </c>
      <c r="I597" s="1">
        <v>92660.0</v>
      </c>
      <c r="J597" s="1" t="s">
        <v>752</v>
      </c>
      <c r="K597" s="1" t="s">
        <v>95</v>
      </c>
      <c r="L597" s="1" t="s">
        <v>2571</v>
      </c>
      <c r="M597" s="1">
        <v>49.0</v>
      </c>
      <c r="N597" s="1" t="s">
        <v>2461</v>
      </c>
      <c r="O597" s="3" t="s">
        <v>2515</v>
      </c>
      <c r="P597" s="18">
        <v>45883.0</v>
      </c>
      <c r="Q597" s="1" t="s">
        <v>2463</v>
      </c>
      <c r="R597" s="1"/>
      <c r="S597" s="1" t="s">
        <v>2461</v>
      </c>
      <c r="T597" s="1" t="s">
        <v>2461</v>
      </c>
      <c r="U597" s="1" t="s">
        <v>1080</v>
      </c>
      <c r="V597" s="4" t="s">
        <v>2515</v>
      </c>
      <c r="W597" s="1"/>
      <c r="X597" s="18">
        <v>45883.0</v>
      </c>
      <c r="Y597" s="1" t="s">
        <v>1030</v>
      </c>
      <c r="Z597" s="1"/>
      <c r="AA597" s="1"/>
      <c r="AB597" s="1" t="s">
        <v>52</v>
      </c>
      <c r="AC597" s="1" t="s">
        <v>3202</v>
      </c>
      <c r="AD597" s="1"/>
      <c r="AE597" s="18"/>
      <c r="AF597" s="1"/>
      <c r="AG597" s="1"/>
      <c r="AH597" s="1" t="s">
        <v>1152</v>
      </c>
      <c r="AI597" s="1"/>
      <c r="AJ597" s="1"/>
      <c r="AK597" s="1"/>
      <c r="AL597" s="6" t="str">
        <f t="array" ref="AL597">IFERROR(IFS(XLOOKUP(B597, 'Kit Delivery Status'!$U:$U, 'Kit Delivery Status'!$K:$K) = "Complete", "DELIVERED", XLOOKUP(B597, 'Kit Delivery Status'!$U:$U, 'Kit Delivery Status'!$K:$K) = "Issue", "ISSUE"), "")</f>
        <v/>
      </c>
      <c r="AM597" s="6"/>
    </row>
    <row r="598">
      <c r="A598" s="5" t="s">
        <v>3203</v>
      </c>
      <c r="B598" s="1" t="s">
        <v>3204</v>
      </c>
      <c r="C598" s="1" t="s">
        <v>3205</v>
      </c>
      <c r="D598" s="2">
        <v>1.045349699E9</v>
      </c>
      <c r="E598" s="1" t="s">
        <v>3206</v>
      </c>
      <c r="F598" s="1"/>
      <c r="G598" s="1" t="s">
        <v>3207</v>
      </c>
      <c r="H598" s="1" t="s">
        <v>1964</v>
      </c>
      <c r="I598" s="1">
        <v>6292.0</v>
      </c>
      <c r="J598" s="1" t="s">
        <v>1965</v>
      </c>
      <c r="K598" s="1" t="s">
        <v>51</v>
      </c>
      <c r="L598" s="1" t="s">
        <v>2460</v>
      </c>
      <c r="M598" s="1">
        <v>1.0</v>
      </c>
      <c r="N598" s="1" t="s">
        <v>2461</v>
      </c>
      <c r="O598" s="3" t="s">
        <v>3208</v>
      </c>
      <c r="P598" s="18">
        <v>45883.0</v>
      </c>
      <c r="Q598" s="1" t="s">
        <v>2463</v>
      </c>
      <c r="R598" s="1"/>
      <c r="S598" s="1" t="s">
        <v>2461</v>
      </c>
      <c r="T598" s="1" t="s">
        <v>2461</v>
      </c>
      <c r="U598" s="1" t="s">
        <v>1710</v>
      </c>
      <c r="V598" s="4" t="s">
        <v>3208</v>
      </c>
      <c r="W598" s="1"/>
      <c r="X598" s="18">
        <v>45883.0</v>
      </c>
      <c r="Y598" s="1" t="s">
        <v>1030</v>
      </c>
      <c r="Z598" s="1"/>
      <c r="AA598" s="1"/>
      <c r="AB598" s="1" t="s">
        <v>52</v>
      </c>
      <c r="AC598" s="1" t="s">
        <v>1925</v>
      </c>
      <c r="AD598" s="1"/>
      <c r="AE598" s="18"/>
      <c r="AF598" s="1"/>
      <c r="AG598" s="1"/>
      <c r="AH598" s="1" t="s">
        <v>1152</v>
      </c>
      <c r="AI598" s="1"/>
      <c r="AJ598" s="1"/>
      <c r="AK598" s="1"/>
      <c r="AL598" s="6" t="str">
        <f t="array" ref="AL598">IFERROR(IFS(XLOOKUP(B598, 'Kit Delivery Status'!$U:$U, 'Kit Delivery Status'!$K:$K) = "Complete", "DELIVERED", XLOOKUP(B598, 'Kit Delivery Status'!$U:$U, 'Kit Delivery Status'!$K:$K) = "Issue", "ISSUE"), "")</f>
        <v/>
      </c>
      <c r="AM598" s="6"/>
    </row>
    <row r="599">
      <c r="A599" s="5" t="s">
        <v>3209</v>
      </c>
      <c r="B599" s="1" t="s">
        <v>3210</v>
      </c>
      <c r="C599" s="1" t="s">
        <v>3211</v>
      </c>
      <c r="D599" s="2" t="str">
        <v>#ERROR!</v>
      </c>
      <c r="E599" s="1" t="s">
        <v>3212</v>
      </c>
      <c r="F599" s="1" t="s">
        <v>3213</v>
      </c>
      <c r="G599" s="1" t="s">
        <v>1283</v>
      </c>
      <c r="H599" s="1" t="s">
        <v>1155</v>
      </c>
      <c r="I599" s="1">
        <v>63105.0</v>
      </c>
      <c r="J599" s="1" t="s">
        <v>752</v>
      </c>
      <c r="K599" s="1" t="s">
        <v>51</v>
      </c>
      <c r="L599" s="1" t="s">
        <v>2460</v>
      </c>
      <c r="M599" s="1">
        <v>1.0</v>
      </c>
      <c r="N599" s="1" t="s">
        <v>2487</v>
      </c>
      <c r="O599" s="3"/>
      <c r="P599" s="18">
        <v>45891.0</v>
      </c>
      <c r="Q599" s="1" t="s">
        <v>2852</v>
      </c>
      <c r="R599" s="1" t="s">
        <v>3213</v>
      </c>
      <c r="S599" s="1" t="s">
        <v>2487</v>
      </c>
      <c r="T599" s="1" t="s">
        <v>2487</v>
      </c>
      <c r="U599" s="1"/>
      <c r="V599" s="4"/>
      <c r="W599" s="1" t="s">
        <v>3213</v>
      </c>
      <c r="X599" s="18">
        <v>45891.0</v>
      </c>
      <c r="Y599" s="1" t="s">
        <v>1440</v>
      </c>
      <c r="Z599" s="1"/>
      <c r="AA599" s="1" t="s">
        <v>3213</v>
      </c>
      <c r="AB599" s="1" t="s">
        <v>124</v>
      </c>
      <c r="AC599" s="1" t="s">
        <v>1925</v>
      </c>
      <c r="AD599" s="1"/>
      <c r="AE599" s="18"/>
      <c r="AF599" s="1"/>
      <c r="AG599" s="1"/>
      <c r="AH599" s="1" t="s">
        <v>1152</v>
      </c>
      <c r="AI599" s="1"/>
      <c r="AJ599" s="1"/>
      <c r="AK599" s="1"/>
      <c r="AL599" s="6" t="str">
        <f t="array" ref="AL599">IFERROR(IFS(XLOOKUP(B599, 'Kit Delivery Status'!$U:$U, 'Kit Delivery Status'!$K:$K) = "Complete", "DELIVERED", XLOOKUP(B599, 'Kit Delivery Status'!$U:$U, 'Kit Delivery Status'!$K:$K) = "Issue", "ISSUE"), "")</f>
        <v/>
      </c>
      <c r="AM599" s="6"/>
    </row>
    <row r="600">
      <c r="A600" s="5" t="s">
        <v>3214</v>
      </c>
      <c r="B600" s="1" t="s">
        <v>3215</v>
      </c>
      <c r="C600" s="1" t="s">
        <v>3216</v>
      </c>
      <c r="D600" s="2">
        <v>821037260719</v>
      </c>
      <c r="E600" s="1" t="s">
        <v>3217</v>
      </c>
      <c r="F600" s="1"/>
      <c r="G600" s="1" t="s">
        <v>1964</v>
      </c>
      <c r="H600" s="1" t="s">
        <v>1964</v>
      </c>
      <c r="I600" s="1">
        <v>6001.0</v>
      </c>
      <c r="J600" s="1" t="s">
        <v>1965</v>
      </c>
      <c r="K600" s="1" t="s">
        <v>51</v>
      </c>
      <c r="L600" s="1" t="s">
        <v>2460</v>
      </c>
      <c r="M600" s="1">
        <v>1.0</v>
      </c>
      <c r="N600" s="1" t="s">
        <v>2461</v>
      </c>
      <c r="O600" s="3" t="s">
        <v>3218</v>
      </c>
      <c r="P600" s="18">
        <v>45883.0</v>
      </c>
      <c r="Q600" s="1" t="s">
        <v>3219</v>
      </c>
      <c r="R600" s="1"/>
      <c r="S600" s="1" t="s">
        <v>2461</v>
      </c>
      <c r="T600" s="1" t="s">
        <v>2461</v>
      </c>
      <c r="U600" s="1" t="s">
        <v>1343</v>
      </c>
      <c r="V600" s="4" t="s">
        <v>3218</v>
      </c>
      <c r="W600" s="1"/>
      <c r="X600" s="18">
        <v>45883.0</v>
      </c>
      <c r="Y600" s="1" t="s">
        <v>1455</v>
      </c>
      <c r="Z600" s="1"/>
      <c r="AA600" s="1"/>
      <c r="AB600" s="1" t="s">
        <v>52</v>
      </c>
      <c r="AC600" s="1" t="s">
        <v>1925</v>
      </c>
      <c r="AD600" s="1"/>
      <c r="AE600" s="18"/>
      <c r="AF600" s="1"/>
      <c r="AG600" s="1"/>
      <c r="AH600" s="1" t="s">
        <v>1152</v>
      </c>
      <c r="AI600" s="1"/>
      <c r="AJ600" s="1"/>
      <c r="AK600" s="1"/>
      <c r="AL600" s="6" t="str">
        <f t="array" ref="AL600">IFERROR(IFS(XLOOKUP(B600, 'Kit Delivery Status'!$U:$U, 'Kit Delivery Status'!$K:$K) = "Complete", "DELIVERED", XLOOKUP(B600, 'Kit Delivery Status'!$U:$U, 'Kit Delivery Status'!$K:$K) = "Issue", "ISSUE"), "")</f>
        <v/>
      </c>
      <c r="AM600" s="6"/>
    </row>
    <row r="601">
      <c r="A601" s="5" t="s">
        <v>3220</v>
      </c>
      <c r="B601" s="1" t="s">
        <v>3221</v>
      </c>
      <c r="C601" s="1" t="s">
        <v>3222</v>
      </c>
      <c r="D601" s="2">
        <v>2.536914831E9</v>
      </c>
      <c r="E601" s="1" t="s">
        <v>3223</v>
      </c>
      <c r="F601" s="1"/>
      <c r="G601" s="1" t="s">
        <v>3224</v>
      </c>
      <c r="H601" s="1" t="s">
        <v>2171</v>
      </c>
      <c r="I601" s="1">
        <v>44118.0</v>
      </c>
      <c r="J601" s="1" t="s">
        <v>752</v>
      </c>
      <c r="K601" s="1" t="s">
        <v>51</v>
      </c>
      <c r="L601" s="1" t="s">
        <v>2460</v>
      </c>
      <c r="M601" s="1">
        <v>1.0</v>
      </c>
      <c r="N601" s="1" t="s">
        <v>2461</v>
      </c>
      <c r="O601" s="3" t="s">
        <v>3225</v>
      </c>
      <c r="P601" s="18">
        <v>45890.0</v>
      </c>
      <c r="Q601" s="1" t="s">
        <v>2463</v>
      </c>
      <c r="R601" s="1"/>
      <c r="S601" s="1" t="s">
        <v>2461</v>
      </c>
      <c r="T601" s="1" t="s">
        <v>2461</v>
      </c>
      <c r="U601" s="1" t="s">
        <v>1710</v>
      </c>
      <c r="V601" s="4" t="s">
        <v>3225</v>
      </c>
      <c r="W601" s="1"/>
      <c r="X601" s="18">
        <v>45890.0</v>
      </c>
      <c r="Y601" s="1" t="s">
        <v>1030</v>
      </c>
      <c r="Z601" s="1"/>
      <c r="AA601" s="1"/>
      <c r="AB601" s="1" t="s">
        <v>52</v>
      </c>
      <c r="AC601" s="1" t="s">
        <v>1925</v>
      </c>
      <c r="AD601" s="1"/>
      <c r="AE601" s="18"/>
      <c r="AF601" s="1"/>
      <c r="AG601" s="1"/>
      <c r="AH601" s="1" t="s">
        <v>1152</v>
      </c>
      <c r="AI601" s="1"/>
      <c r="AJ601" s="1"/>
      <c r="AK601" s="1"/>
      <c r="AL601" s="6" t="str">
        <f t="array" ref="AL601">IFERROR(IFS(XLOOKUP(B601, 'Kit Delivery Status'!$U:$U, 'Kit Delivery Status'!$K:$K) = "Complete", "DELIVERED", XLOOKUP(B601, 'Kit Delivery Status'!$U:$U, 'Kit Delivery Status'!$K:$K) = "Issue", "ISSUE"), "")</f>
        <v/>
      </c>
      <c r="AM601" s="6"/>
    </row>
    <row r="602">
      <c r="A602" s="5" t="s">
        <v>3226</v>
      </c>
      <c r="B602" s="1" t="s">
        <v>3227</v>
      </c>
      <c r="C602" s="1" t="s">
        <v>3228</v>
      </c>
      <c r="D602" s="2">
        <v>9.176897822E9</v>
      </c>
      <c r="E602" s="1" t="s">
        <v>3229</v>
      </c>
      <c r="F602" s="1"/>
      <c r="G602" s="1" t="s">
        <v>3230</v>
      </c>
      <c r="H602" s="1" t="s">
        <v>751</v>
      </c>
      <c r="I602" s="1">
        <v>10025.0</v>
      </c>
      <c r="J602" s="1" t="s">
        <v>752</v>
      </c>
      <c r="K602" s="1" t="s">
        <v>51</v>
      </c>
      <c r="L602" s="1" t="s">
        <v>2460</v>
      </c>
      <c r="M602" s="1">
        <v>1.0</v>
      </c>
      <c r="N602" s="1" t="s">
        <v>2461</v>
      </c>
      <c r="O602" s="3" t="s">
        <v>1461</v>
      </c>
      <c r="P602" s="18">
        <v>45883.0</v>
      </c>
      <c r="Q602" s="1" t="s">
        <v>2463</v>
      </c>
      <c r="R602" s="1"/>
      <c r="S602" s="1" t="s">
        <v>2461</v>
      </c>
      <c r="T602" s="1" t="s">
        <v>2461</v>
      </c>
      <c r="U602" s="1" t="s">
        <v>1174</v>
      </c>
      <c r="V602" s="4" t="s">
        <v>1461</v>
      </c>
      <c r="W602" s="1"/>
      <c r="X602" s="18">
        <v>45883.0</v>
      </c>
      <c r="Y602" s="1" t="s">
        <v>1030</v>
      </c>
      <c r="Z602" s="1"/>
      <c r="AA602" s="1"/>
      <c r="AB602" s="1" t="s">
        <v>52</v>
      </c>
      <c r="AC602" s="1" t="s">
        <v>1925</v>
      </c>
      <c r="AD602" s="1"/>
      <c r="AE602" s="18"/>
      <c r="AF602" s="1"/>
      <c r="AG602" s="1"/>
      <c r="AH602" s="1" t="s">
        <v>1152</v>
      </c>
      <c r="AI602" s="1"/>
      <c r="AJ602" s="1"/>
      <c r="AK602" s="1"/>
      <c r="AL602" s="6" t="str">
        <f t="array" ref="AL602">IFERROR(IFS(XLOOKUP(B602, 'Kit Delivery Status'!$U:$U, 'Kit Delivery Status'!$K:$K) = "Complete", "DELIVERED", XLOOKUP(B602, 'Kit Delivery Status'!$U:$U, 'Kit Delivery Status'!$K:$K) = "Issue", "ISSUE"), "")</f>
        <v/>
      </c>
      <c r="AM602" s="6"/>
    </row>
    <row r="603">
      <c r="A603" s="5" t="s">
        <v>3231</v>
      </c>
      <c r="B603" s="1" t="s">
        <v>3232</v>
      </c>
      <c r="C603" s="1" t="s">
        <v>3233</v>
      </c>
      <c r="D603" s="2">
        <v>5.122001577E9</v>
      </c>
      <c r="E603" s="1" t="s">
        <v>3234</v>
      </c>
      <c r="F603" s="1"/>
      <c r="G603" s="1" t="s">
        <v>1283</v>
      </c>
      <c r="H603" s="1" t="s">
        <v>1155</v>
      </c>
      <c r="I603" s="1">
        <v>63105.0</v>
      </c>
      <c r="J603" s="1" t="s">
        <v>752</v>
      </c>
      <c r="K603" s="1" t="s">
        <v>51</v>
      </c>
      <c r="L603" s="1" t="s">
        <v>2460</v>
      </c>
      <c r="M603" s="1">
        <v>1.0</v>
      </c>
      <c r="N603" s="1" t="s">
        <v>2461</v>
      </c>
      <c r="O603" s="3" t="s">
        <v>475</v>
      </c>
      <c r="P603" s="18">
        <v>45878.0</v>
      </c>
      <c r="Q603" s="1" t="s">
        <v>2463</v>
      </c>
      <c r="R603" s="1"/>
      <c r="S603" s="1" t="s">
        <v>2461</v>
      </c>
      <c r="T603" s="1" t="s">
        <v>2461</v>
      </c>
      <c r="U603" s="1" t="s">
        <v>1080</v>
      </c>
      <c r="V603" s="4" t="s">
        <v>475</v>
      </c>
      <c r="W603" s="1"/>
      <c r="X603" s="18">
        <v>45878.0</v>
      </c>
      <c r="Y603" s="1" t="s">
        <v>1030</v>
      </c>
      <c r="Z603" s="1"/>
      <c r="AA603" s="1"/>
      <c r="AB603" s="1" t="s">
        <v>52</v>
      </c>
      <c r="AC603" s="1" t="s">
        <v>1925</v>
      </c>
      <c r="AD603" s="1"/>
      <c r="AE603" s="18"/>
      <c r="AF603" s="1"/>
      <c r="AG603" s="1"/>
      <c r="AH603" s="1" t="s">
        <v>1152</v>
      </c>
      <c r="AI603" s="1"/>
      <c r="AJ603" s="1"/>
      <c r="AK603" s="1"/>
      <c r="AL603" s="6" t="str">
        <f t="array" ref="AL603">IFERROR(IFS(XLOOKUP(B603, 'Kit Delivery Status'!$U:$U, 'Kit Delivery Status'!$K:$K) = "Complete", "DELIVERED", XLOOKUP(B603, 'Kit Delivery Status'!$U:$U, 'Kit Delivery Status'!$K:$K) = "Issue", "ISSUE"), "")</f>
        <v/>
      </c>
      <c r="AM603" s="6"/>
    </row>
    <row r="604">
      <c r="A604" s="5" t="s">
        <v>3235</v>
      </c>
      <c r="B604" s="1" t="s">
        <v>3236</v>
      </c>
      <c r="C604" s="1" t="s">
        <v>3237</v>
      </c>
      <c r="D604" s="2">
        <v>9.258859084E9</v>
      </c>
      <c r="E604" s="1" t="s">
        <v>3238</v>
      </c>
      <c r="F604" s="1"/>
      <c r="G604" s="1" t="s">
        <v>1045</v>
      </c>
      <c r="H604" s="1" t="s">
        <v>989</v>
      </c>
      <c r="I604" s="1">
        <v>94563.0</v>
      </c>
      <c r="J604" s="1" t="s">
        <v>752</v>
      </c>
      <c r="K604" s="1" t="s">
        <v>51</v>
      </c>
      <c r="L604" s="1" t="s">
        <v>2460</v>
      </c>
      <c r="M604" s="1">
        <v>1.0</v>
      </c>
      <c r="N604" s="1" t="s">
        <v>2461</v>
      </c>
      <c r="O604" s="3" t="s">
        <v>3239</v>
      </c>
      <c r="P604" s="18">
        <v>45892.0</v>
      </c>
      <c r="Q604" s="1" t="s">
        <v>2463</v>
      </c>
      <c r="R604" s="1"/>
      <c r="S604" s="1" t="s">
        <v>2461</v>
      </c>
      <c r="T604" s="1" t="s">
        <v>2461</v>
      </c>
      <c r="U604" s="1" t="s">
        <v>1407</v>
      </c>
      <c r="V604" s="4" t="s">
        <v>3239</v>
      </c>
      <c r="W604" s="1"/>
      <c r="X604" s="18">
        <v>45892.0</v>
      </c>
      <c r="Y604" s="1" t="s">
        <v>1030</v>
      </c>
      <c r="Z604" s="1"/>
      <c r="AA604" s="1"/>
      <c r="AB604" s="1" t="s">
        <v>52</v>
      </c>
      <c r="AC604" s="1" t="s">
        <v>1925</v>
      </c>
      <c r="AD604" s="1"/>
      <c r="AE604" s="18"/>
      <c r="AF604" s="1"/>
      <c r="AG604" s="1"/>
      <c r="AH604" s="1" t="s">
        <v>1152</v>
      </c>
      <c r="AI604" s="1"/>
      <c r="AJ604" s="1"/>
      <c r="AK604" s="1"/>
      <c r="AL604" s="6" t="str">
        <f t="array" ref="AL604">IFERROR(IFS(XLOOKUP(B604, 'Kit Delivery Status'!$U:$U, 'Kit Delivery Status'!$K:$K) = "Complete", "DELIVERED", XLOOKUP(B604, 'Kit Delivery Status'!$U:$U, 'Kit Delivery Status'!$K:$K) = "Issue", "ISSUE"), "")</f>
        <v/>
      </c>
      <c r="AM604" s="6"/>
    </row>
    <row r="605">
      <c r="A605" s="5" t="s">
        <v>3240</v>
      </c>
      <c r="B605" s="1" t="s">
        <v>3241</v>
      </c>
      <c r="C605" s="1"/>
      <c r="D605" s="2">
        <v>9.178644154E9</v>
      </c>
      <c r="E605" s="1" t="s">
        <v>3242</v>
      </c>
      <c r="F605" s="1"/>
      <c r="G605" s="1" t="s">
        <v>3243</v>
      </c>
      <c r="H605" s="1" t="s">
        <v>1053</v>
      </c>
      <c r="I605" s="1">
        <v>8008.0</v>
      </c>
      <c r="J605" s="1" t="s">
        <v>752</v>
      </c>
      <c r="K605" s="1" t="s">
        <v>95</v>
      </c>
      <c r="L605" s="1" t="s">
        <v>2571</v>
      </c>
      <c r="M605" s="1">
        <v>49.0</v>
      </c>
      <c r="N605" s="1" t="s">
        <v>2461</v>
      </c>
      <c r="O605" s="3" t="s">
        <v>3244</v>
      </c>
      <c r="P605" s="18">
        <v>45883.0</v>
      </c>
      <c r="Q605" s="1" t="s">
        <v>2463</v>
      </c>
      <c r="R605" s="1"/>
      <c r="S605" s="1" t="s">
        <v>2461</v>
      </c>
      <c r="T605" s="1" t="s">
        <v>2461</v>
      </c>
      <c r="U605" s="1" t="s">
        <v>1277</v>
      </c>
      <c r="V605" s="4" t="s">
        <v>3244</v>
      </c>
      <c r="W605" s="1"/>
      <c r="X605" s="18">
        <v>45883.0</v>
      </c>
      <c r="Y605" s="1" t="s">
        <v>1030</v>
      </c>
      <c r="Z605" s="1"/>
      <c r="AA605" s="1"/>
      <c r="AB605" s="1" t="s">
        <v>52</v>
      </c>
      <c r="AC605" s="1" t="s">
        <v>3245</v>
      </c>
      <c r="AD605" s="1"/>
      <c r="AE605" s="18"/>
      <c r="AF605" s="1"/>
      <c r="AG605" s="1"/>
      <c r="AH605" s="1" t="s">
        <v>1152</v>
      </c>
      <c r="AI605" s="1"/>
      <c r="AJ605" s="1"/>
      <c r="AK605" s="1"/>
      <c r="AL605" s="6" t="str">
        <f t="array" ref="AL605">IFERROR(IFS(XLOOKUP(B605, 'Kit Delivery Status'!$U:$U, 'Kit Delivery Status'!$K:$K) = "Complete", "DELIVERED", XLOOKUP(B605, 'Kit Delivery Status'!$U:$U, 'Kit Delivery Status'!$K:$K) = "Issue", "ISSUE"), "")</f>
        <v/>
      </c>
      <c r="AM605" s="6"/>
    </row>
    <row r="606">
      <c r="A606" s="5" t="s">
        <v>3246</v>
      </c>
      <c r="B606" s="1" t="s">
        <v>3247</v>
      </c>
      <c r="C606" s="1" t="s">
        <v>3248</v>
      </c>
      <c r="D606" s="2">
        <v>7.742705618E9</v>
      </c>
      <c r="E606" s="1" t="s">
        <v>3249</v>
      </c>
      <c r="F606" s="1"/>
      <c r="G606" s="1" t="s">
        <v>3250</v>
      </c>
      <c r="H606" s="1" t="s">
        <v>1121</v>
      </c>
      <c r="I606" s="1">
        <v>2052.0</v>
      </c>
      <c r="J606" s="1" t="s">
        <v>752</v>
      </c>
      <c r="K606" s="1" t="s">
        <v>51</v>
      </c>
      <c r="L606" s="1" t="s">
        <v>2460</v>
      </c>
      <c r="M606" s="1">
        <v>1.0</v>
      </c>
      <c r="N606" s="1" t="s">
        <v>2461</v>
      </c>
      <c r="O606" s="3" t="s">
        <v>3251</v>
      </c>
      <c r="P606" s="18">
        <v>45883.0</v>
      </c>
      <c r="Q606" s="1" t="s">
        <v>2463</v>
      </c>
      <c r="R606" s="1"/>
      <c r="S606" s="1" t="s">
        <v>2461</v>
      </c>
      <c r="T606" s="1" t="s">
        <v>2461</v>
      </c>
      <c r="U606" s="1" t="s">
        <v>1441</v>
      </c>
      <c r="V606" s="4" t="s">
        <v>3251</v>
      </c>
      <c r="W606" s="1"/>
      <c r="X606" s="18">
        <v>45883.0</v>
      </c>
      <c r="Y606" s="1" t="s">
        <v>1030</v>
      </c>
      <c r="Z606" s="1"/>
      <c r="AA606" s="1"/>
      <c r="AB606" s="1" t="s">
        <v>52</v>
      </c>
      <c r="AC606" s="1" t="s">
        <v>1925</v>
      </c>
      <c r="AD606" s="1"/>
      <c r="AE606" s="18"/>
      <c r="AF606" s="1"/>
      <c r="AG606" s="1"/>
      <c r="AH606" s="1" t="s">
        <v>1152</v>
      </c>
      <c r="AI606" s="1"/>
      <c r="AJ606" s="1"/>
      <c r="AK606" s="1"/>
      <c r="AL606" s="6" t="str">
        <f t="array" ref="AL606">IFERROR(IFS(XLOOKUP(B606, 'Kit Delivery Status'!$U:$U, 'Kit Delivery Status'!$K:$K) = "Complete", "DELIVERED", XLOOKUP(B606, 'Kit Delivery Status'!$U:$U, 'Kit Delivery Status'!$K:$K) = "Issue", "ISSUE"), "")</f>
        <v/>
      </c>
      <c r="AM606" s="6"/>
    </row>
    <row r="607">
      <c r="A607" s="5" t="s">
        <v>3252</v>
      </c>
      <c r="B607" s="1" t="s">
        <v>3253</v>
      </c>
      <c r="C607" s="1" t="s">
        <v>3254</v>
      </c>
      <c r="D607" s="2">
        <v>4.086554687E9</v>
      </c>
      <c r="E607" s="1" t="s">
        <v>3255</v>
      </c>
      <c r="F607" s="1"/>
      <c r="G607" s="1" t="s">
        <v>2079</v>
      </c>
      <c r="H607" s="1" t="s">
        <v>989</v>
      </c>
      <c r="I607" s="1">
        <v>95014.0</v>
      </c>
      <c r="J607" s="1" t="s">
        <v>752</v>
      </c>
      <c r="K607" s="1" t="s">
        <v>51</v>
      </c>
      <c r="L607" s="1" t="s">
        <v>2460</v>
      </c>
      <c r="M607" s="1">
        <v>1.0</v>
      </c>
      <c r="N607" s="1" t="s">
        <v>2461</v>
      </c>
      <c r="O607" s="3" t="s">
        <v>3256</v>
      </c>
      <c r="P607" s="18">
        <v>45883.0</v>
      </c>
      <c r="Q607" s="1" t="s">
        <v>2463</v>
      </c>
      <c r="R607" s="1"/>
      <c r="S607" s="1" t="s">
        <v>2461</v>
      </c>
      <c r="T607" s="1" t="s">
        <v>2461</v>
      </c>
      <c r="U607" s="1" t="s">
        <v>2940</v>
      </c>
      <c r="V607" s="4" t="s">
        <v>3256</v>
      </c>
      <c r="W607" s="1"/>
      <c r="X607" s="18">
        <v>45883.0</v>
      </c>
      <c r="Y607" s="1" t="s">
        <v>1030</v>
      </c>
      <c r="Z607" s="1"/>
      <c r="AA607" s="1"/>
      <c r="AB607" s="1" t="s">
        <v>52</v>
      </c>
      <c r="AC607" s="1" t="s">
        <v>1925</v>
      </c>
      <c r="AD607" s="1"/>
      <c r="AE607" s="18"/>
      <c r="AF607" s="1"/>
      <c r="AG607" s="1"/>
      <c r="AH607" s="1" t="s">
        <v>1152</v>
      </c>
      <c r="AI607" s="1"/>
      <c r="AJ607" s="1"/>
      <c r="AK607" s="1"/>
      <c r="AL607" s="6" t="str">
        <f t="array" ref="AL607">IFERROR(IFS(XLOOKUP(B607, 'Kit Delivery Status'!$U:$U, 'Kit Delivery Status'!$K:$K) = "Complete", "DELIVERED", XLOOKUP(B607, 'Kit Delivery Status'!$U:$U, 'Kit Delivery Status'!$K:$K) = "Issue", "ISSUE"), "")</f>
        <v/>
      </c>
      <c r="AM607" s="6"/>
    </row>
    <row r="608">
      <c r="A608" s="5" t="s">
        <v>3257</v>
      </c>
      <c r="B608" s="1" t="s">
        <v>3258</v>
      </c>
      <c r="C608" s="1" t="s">
        <v>3259</v>
      </c>
      <c r="D608" s="2">
        <v>9.178591903E9</v>
      </c>
      <c r="E608" s="1" t="s">
        <v>3260</v>
      </c>
      <c r="F608" s="1"/>
      <c r="G608" s="1" t="s">
        <v>2361</v>
      </c>
      <c r="H608" s="1" t="s">
        <v>1053</v>
      </c>
      <c r="I608" s="1">
        <v>7028.0</v>
      </c>
      <c r="J608" s="1" t="s">
        <v>752</v>
      </c>
      <c r="K608" s="1" t="s">
        <v>51</v>
      </c>
      <c r="L608" s="1" t="s">
        <v>2460</v>
      </c>
      <c r="M608" s="1">
        <v>1.0</v>
      </c>
      <c r="N608" s="1" t="s">
        <v>2461</v>
      </c>
      <c r="O608" s="3" t="s">
        <v>3261</v>
      </c>
      <c r="P608" s="18">
        <v>45883.0</v>
      </c>
      <c r="Q608" s="1" t="s">
        <v>2463</v>
      </c>
      <c r="R608" s="1"/>
      <c r="S608" s="1" t="s">
        <v>2461</v>
      </c>
      <c r="T608" s="1" t="s">
        <v>2461</v>
      </c>
      <c r="U608" s="1" t="s">
        <v>1055</v>
      </c>
      <c r="V608" s="4" t="s">
        <v>3261</v>
      </c>
      <c r="W608" s="1"/>
      <c r="X608" s="18">
        <v>45883.0</v>
      </c>
      <c r="Y608" s="1" t="s">
        <v>1030</v>
      </c>
      <c r="Z608" s="1"/>
      <c r="AA608" s="1"/>
      <c r="AB608" s="1" t="s">
        <v>52</v>
      </c>
      <c r="AC608" s="1" t="s">
        <v>1925</v>
      </c>
      <c r="AD608" s="1"/>
      <c r="AE608" s="18"/>
      <c r="AF608" s="1"/>
      <c r="AG608" s="1"/>
      <c r="AH608" s="1" t="s">
        <v>1152</v>
      </c>
      <c r="AI608" s="1"/>
      <c r="AJ608" s="1"/>
      <c r="AK608" s="1"/>
      <c r="AL608" s="6" t="str">
        <f t="array" ref="AL608">IFERROR(IFS(XLOOKUP(B608, 'Kit Delivery Status'!$U:$U, 'Kit Delivery Status'!$K:$K) = "Complete", "DELIVERED", XLOOKUP(B608, 'Kit Delivery Status'!$U:$U, 'Kit Delivery Status'!$K:$K) = "Issue", "ISSUE"), "")</f>
        <v/>
      </c>
      <c r="AM608" s="6"/>
    </row>
    <row r="609">
      <c r="A609" s="5" t="s">
        <v>3262</v>
      </c>
      <c r="B609" s="1" t="s">
        <v>3263</v>
      </c>
      <c r="C609" s="1" t="s">
        <v>3264</v>
      </c>
      <c r="D609" s="2">
        <v>7.135421223E9</v>
      </c>
      <c r="E609" s="1" t="s">
        <v>3265</v>
      </c>
      <c r="F609" s="1"/>
      <c r="G609" s="1" t="s">
        <v>2932</v>
      </c>
      <c r="H609" s="1" t="s">
        <v>1583</v>
      </c>
      <c r="I609" s="1">
        <v>77401.0</v>
      </c>
      <c r="J609" s="1" t="s">
        <v>752</v>
      </c>
      <c r="K609" s="1" t="s">
        <v>51</v>
      </c>
      <c r="L609" s="1" t="s">
        <v>2460</v>
      </c>
      <c r="M609" s="1">
        <v>1.0</v>
      </c>
      <c r="N609" s="1" t="s">
        <v>2461</v>
      </c>
      <c r="O609" s="3" t="s">
        <v>3266</v>
      </c>
      <c r="P609" s="18">
        <v>45883.0</v>
      </c>
      <c r="Q609" s="1" t="s">
        <v>2463</v>
      </c>
      <c r="R609" s="1"/>
      <c r="S609" s="1" t="s">
        <v>2461</v>
      </c>
      <c r="T609" s="1" t="s">
        <v>2461</v>
      </c>
      <c r="U609" s="1" t="s">
        <v>948</v>
      </c>
      <c r="V609" s="4" t="s">
        <v>3266</v>
      </c>
      <c r="W609" s="1"/>
      <c r="X609" s="18">
        <v>45883.0</v>
      </c>
      <c r="Y609" s="1" t="s">
        <v>1030</v>
      </c>
      <c r="Z609" s="1"/>
      <c r="AA609" s="1"/>
      <c r="AB609" s="1" t="s">
        <v>52</v>
      </c>
      <c r="AC609" s="1" t="s">
        <v>1925</v>
      </c>
      <c r="AD609" s="1"/>
      <c r="AE609" s="18"/>
      <c r="AF609" s="1"/>
      <c r="AG609" s="1"/>
      <c r="AH609" s="1" t="s">
        <v>1152</v>
      </c>
      <c r="AI609" s="1"/>
      <c r="AJ609" s="1"/>
      <c r="AK609" s="1"/>
      <c r="AL609" s="6" t="str">
        <f t="array" ref="AL609">IFERROR(IFS(XLOOKUP(B609, 'Kit Delivery Status'!$U:$U, 'Kit Delivery Status'!$K:$K) = "Complete", "DELIVERED", XLOOKUP(B609, 'Kit Delivery Status'!$U:$U, 'Kit Delivery Status'!$K:$K) = "Issue", "ISSUE"), "")</f>
        <v/>
      </c>
      <c r="AM609" s="6"/>
    </row>
    <row r="610">
      <c r="A610" s="5" t="s">
        <v>3267</v>
      </c>
      <c r="B610" s="1" t="s">
        <v>3268</v>
      </c>
      <c r="C610" s="1" t="s">
        <v>3269</v>
      </c>
      <c r="D610" s="2">
        <v>3.148619712E9</v>
      </c>
      <c r="E610" s="1" t="s">
        <v>3270</v>
      </c>
      <c r="F610" s="1"/>
      <c r="G610" s="1" t="s">
        <v>1283</v>
      </c>
      <c r="H610" s="1" t="s">
        <v>1155</v>
      </c>
      <c r="I610" s="1">
        <v>63105.0</v>
      </c>
      <c r="J610" s="1" t="s">
        <v>752</v>
      </c>
      <c r="K610" s="1" t="s">
        <v>51</v>
      </c>
      <c r="L610" s="1" t="s">
        <v>2460</v>
      </c>
      <c r="M610" s="1">
        <v>1.0</v>
      </c>
      <c r="N610" s="1" t="s">
        <v>2461</v>
      </c>
      <c r="O610" s="3" t="s">
        <v>3271</v>
      </c>
      <c r="P610" s="1" t="s">
        <v>3272</v>
      </c>
      <c r="Q610" s="1" t="s">
        <v>2463</v>
      </c>
      <c r="R610" s="1"/>
      <c r="S610" s="1" t="s">
        <v>2461</v>
      </c>
      <c r="T610" s="1" t="s">
        <v>2461</v>
      </c>
      <c r="U610" s="1" t="s">
        <v>1167</v>
      </c>
      <c r="V610" s="4" t="s">
        <v>3271</v>
      </c>
      <c r="W610" s="1"/>
      <c r="X610" s="18">
        <v>45889.0</v>
      </c>
      <c r="Y610" s="1" t="s">
        <v>1030</v>
      </c>
      <c r="Z610" s="1"/>
      <c r="AA610" s="1"/>
      <c r="AB610" s="1" t="s">
        <v>52</v>
      </c>
      <c r="AC610" s="1" t="s">
        <v>1925</v>
      </c>
      <c r="AD610" s="1"/>
      <c r="AE610" s="18"/>
      <c r="AF610" s="1"/>
      <c r="AG610" s="1"/>
      <c r="AH610" s="1" t="s">
        <v>1152</v>
      </c>
      <c r="AI610" s="1"/>
      <c r="AJ610" s="1"/>
      <c r="AK610" s="1"/>
      <c r="AL610" s="6" t="str">
        <f t="array" ref="AL610">IFERROR(IFS(XLOOKUP(B610, 'Kit Delivery Status'!$U:$U, 'Kit Delivery Status'!$K:$K) = "Complete", "DELIVERED", XLOOKUP(B610, 'Kit Delivery Status'!$U:$U, 'Kit Delivery Status'!$K:$K) = "Issue", "ISSUE"), "")</f>
        <v/>
      </c>
      <c r="AM610" s="6"/>
    </row>
    <row r="611">
      <c r="A611" s="5" t="s">
        <v>3273</v>
      </c>
      <c r="B611" s="1" t="s">
        <v>3274</v>
      </c>
      <c r="C611" s="1" t="s">
        <v>3275</v>
      </c>
      <c r="D611" s="2">
        <v>9.176136594E9</v>
      </c>
      <c r="E611" s="1" t="s">
        <v>3276</v>
      </c>
      <c r="F611" s="1"/>
      <c r="G611" s="1" t="s">
        <v>751</v>
      </c>
      <c r="H611" s="1" t="s">
        <v>751</v>
      </c>
      <c r="I611" s="1">
        <v>10075.0</v>
      </c>
      <c r="J611" s="1" t="s">
        <v>752</v>
      </c>
      <c r="K611" s="1" t="s">
        <v>51</v>
      </c>
      <c r="L611" s="1" t="s">
        <v>2460</v>
      </c>
      <c r="M611" s="1">
        <v>1.0</v>
      </c>
      <c r="N611" s="1" t="s">
        <v>2461</v>
      </c>
      <c r="O611" s="3" t="s">
        <v>3277</v>
      </c>
      <c r="P611" s="18">
        <v>45883.0</v>
      </c>
      <c r="Q611" s="1" t="s">
        <v>2463</v>
      </c>
      <c r="R611" s="1"/>
      <c r="S611" s="1" t="s">
        <v>2461</v>
      </c>
      <c r="T611" s="1" t="s">
        <v>2461</v>
      </c>
      <c r="U611" s="1" t="s">
        <v>2430</v>
      </c>
      <c r="V611" s="4" t="s">
        <v>3277</v>
      </c>
      <c r="W611" s="1"/>
      <c r="X611" s="18">
        <v>45883.0</v>
      </c>
      <c r="Y611" s="1" t="s">
        <v>1030</v>
      </c>
      <c r="Z611" s="1"/>
      <c r="AA611" s="1"/>
      <c r="AB611" s="1" t="s">
        <v>52</v>
      </c>
      <c r="AC611" s="1" t="s">
        <v>1925</v>
      </c>
      <c r="AD611" s="1"/>
      <c r="AE611" s="18"/>
      <c r="AF611" s="1"/>
      <c r="AG611" s="1"/>
      <c r="AH611" s="1" t="s">
        <v>1152</v>
      </c>
      <c r="AI611" s="1"/>
      <c r="AJ611" s="1"/>
      <c r="AK611" s="1"/>
      <c r="AL611" s="6" t="str">
        <f t="array" ref="AL611">IFERROR(IFS(XLOOKUP(B611, 'Kit Delivery Status'!$U:$U, 'Kit Delivery Status'!$K:$K) = "Complete", "DELIVERED", XLOOKUP(B611, 'Kit Delivery Status'!$U:$U, 'Kit Delivery Status'!$K:$K) = "Issue", "ISSUE"), "")</f>
        <v/>
      </c>
      <c r="AM611" s="6"/>
    </row>
    <row r="612">
      <c r="A612" s="5" t="s">
        <v>3278</v>
      </c>
      <c r="B612" s="1" t="s">
        <v>3279</v>
      </c>
      <c r="C612" s="1" t="s">
        <v>3280</v>
      </c>
      <c r="D612" s="2">
        <v>1.5028885987E10</v>
      </c>
      <c r="E612" s="1" t="s">
        <v>3281</v>
      </c>
      <c r="F612" s="1"/>
      <c r="G612" s="1" t="s">
        <v>3282</v>
      </c>
      <c r="H612" s="1" t="s">
        <v>3283</v>
      </c>
      <c r="I612" s="1">
        <v>40205.0</v>
      </c>
      <c r="J612" s="1" t="s">
        <v>752</v>
      </c>
      <c r="K612" s="1" t="s">
        <v>51</v>
      </c>
      <c r="L612" s="1" t="s">
        <v>3284</v>
      </c>
      <c r="M612" s="1">
        <v>1.0</v>
      </c>
      <c r="N612" s="1" t="s">
        <v>2461</v>
      </c>
      <c r="O612" s="3" t="s">
        <v>2981</v>
      </c>
      <c r="P612" s="18">
        <v>45889.0</v>
      </c>
      <c r="Q612" s="1" t="s">
        <v>2463</v>
      </c>
      <c r="R612" s="1"/>
      <c r="S612" s="1" t="s">
        <v>2461</v>
      </c>
      <c r="T612" s="1" t="s">
        <v>2461</v>
      </c>
      <c r="U612" s="1" t="s">
        <v>1407</v>
      </c>
      <c r="V612" s="4" t="s">
        <v>2981</v>
      </c>
      <c r="W612" s="1"/>
      <c r="X612" s="18">
        <v>45889.0</v>
      </c>
      <c r="Y612" s="1" t="s">
        <v>1030</v>
      </c>
      <c r="Z612" s="1"/>
      <c r="AA612" s="1"/>
      <c r="AB612" s="1" t="s">
        <v>52</v>
      </c>
      <c r="AC612" s="1" t="s">
        <v>1925</v>
      </c>
      <c r="AD612" s="1"/>
      <c r="AE612" s="18"/>
      <c r="AF612" s="1"/>
      <c r="AG612" s="1"/>
      <c r="AH612" s="1" t="s">
        <v>1152</v>
      </c>
      <c r="AI612" s="1"/>
      <c r="AJ612" s="1"/>
      <c r="AK612" s="1"/>
      <c r="AL612" s="6" t="str">
        <f t="array" ref="AL612">IFERROR(IFS(XLOOKUP(B612, 'Kit Delivery Status'!$U:$U, 'Kit Delivery Status'!$K:$K) = "Complete", "DELIVERED", XLOOKUP(B612, 'Kit Delivery Status'!$U:$U, 'Kit Delivery Status'!$K:$K) = "Issue", "ISSUE"), "")</f>
        <v/>
      </c>
      <c r="AM612" s="6"/>
    </row>
    <row r="613">
      <c r="A613" s="5" t="s">
        <v>3285</v>
      </c>
      <c r="B613" s="1" t="s">
        <v>3286</v>
      </c>
      <c r="C613" s="1" t="s">
        <v>3287</v>
      </c>
      <c r="D613" s="2">
        <v>3.392354784E9</v>
      </c>
      <c r="E613" s="1" t="s">
        <v>3288</v>
      </c>
      <c r="F613" s="1"/>
      <c r="G613" s="1" t="s">
        <v>1448</v>
      </c>
      <c r="H613" s="1" t="s">
        <v>1121</v>
      </c>
      <c r="I613" s="1">
        <v>2481.0</v>
      </c>
      <c r="J613" s="1" t="s">
        <v>752</v>
      </c>
      <c r="K613" s="1" t="s">
        <v>51</v>
      </c>
      <c r="L613" s="1" t="s">
        <v>3284</v>
      </c>
      <c r="M613" s="1">
        <v>1.0</v>
      </c>
      <c r="N613" s="1" t="s">
        <v>2461</v>
      </c>
      <c r="O613" s="3" t="s">
        <v>2064</v>
      </c>
      <c r="P613" s="18">
        <v>45889.0</v>
      </c>
      <c r="Q613" s="1" t="s">
        <v>2463</v>
      </c>
      <c r="R613" s="1"/>
      <c r="S613" s="1" t="s">
        <v>2461</v>
      </c>
      <c r="T613" s="1" t="s">
        <v>2461</v>
      </c>
      <c r="U613" s="1" t="s">
        <v>1399</v>
      </c>
      <c r="V613" s="4" t="s">
        <v>2064</v>
      </c>
      <c r="W613" s="1"/>
      <c r="X613" s="18">
        <v>45889.0</v>
      </c>
      <c r="Y613" s="1" t="s">
        <v>1030</v>
      </c>
      <c r="Z613" s="1"/>
      <c r="AA613" s="1"/>
      <c r="AB613" s="1" t="s">
        <v>52</v>
      </c>
      <c r="AC613" s="1" t="s">
        <v>1925</v>
      </c>
      <c r="AD613" s="1"/>
      <c r="AE613" s="18"/>
      <c r="AF613" s="1"/>
      <c r="AG613" s="1"/>
      <c r="AH613" s="1" t="s">
        <v>1152</v>
      </c>
      <c r="AI613" s="1"/>
      <c r="AJ613" s="1"/>
      <c r="AK613" s="1"/>
      <c r="AL613" s="6" t="str">
        <f t="array" ref="AL613">IFERROR(IFS(XLOOKUP(B613, 'Kit Delivery Status'!$U:$U, 'Kit Delivery Status'!$K:$K) = "Complete", "DELIVERED", XLOOKUP(B613, 'Kit Delivery Status'!$U:$U, 'Kit Delivery Status'!$K:$K) = "Issue", "ISSUE"), "")</f>
        <v/>
      </c>
      <c r="AM613" s="6"/>
    </row>
    <row r="614">
      <c r="A614" s="5" t="s">
        <v>3289</v>
      </c>
      <c r="B614" s="1" t="s">
        <v>3290</v>
      </c>
      <c r="C614" s="1" t="s">
        <v>3291</v>
      </c>
      <c r="D614" s="2">
        <v>9.146089127E9</v>
      </c>
      <c r="E614" s="1" t="s">
        <v>3292</v>
      </c>
      <c r="F614" s="1"/>
      <c r="G614" s="1" t="s">
        <v>1382</v>
      </c>
      <c r="H614" s="1" t="s">
        <v>751</v>
      </c>
      <c r="I614" s="1">
        <v>10583.0</v>
      </c>
      <c r="J614" s="1" t="s">
        <v>752</v>
      </c>
      <c r="K614" s="1" t="s">
        <v>51</v>
      </c>
      <c r="L614" s="1" t="s">
        <v>3293</v>
      </c>
      <c r="M614" s="1">
        <v>1.0</v>
      </c>
      <c r="N614" s="1" t="s">
        <v>2461</v>
      </c>
      <c r="O614" s="3" t="s">
        <v>3294</v>
      </c>
      <c r="P614" s="18">
        <v>45889.0</v>
      </c>
      <c r="Q614" s="1" t="s">
        <v>2463</v>
      </c>
      <c r="R614" s="1"/>
      <c r="S614" s="1" t="s">
        <v>2461</v>
      </c>
      <c r="T614" s="1" t="s">
        <v>2461</v>
      </c>
      <c r="U614" s="1" t="s">
        <v>2510</v>
      </c>
      <c r="V614" s="4" t="s">
        <v>3294</v>
      </c>
      <c r="W614" s="1"/>
      <c r="X614" s="18">
        <v>45889.0</v>
      </c>
      <c r="Y614" s="1" t="s">
        <v>1030</v>
      </c>
      <c r="Z614" s="1"/>
      <c r="AA614" s="1"/>
      <c r="AB614" s="1" t="s">
        <v>52</v>
      </c>
      <c r="AC614" s="1" t="s">
        <v>1925</v>
      </c>
      <c r="AD614" s="1"/>
      <c r="AE614" s="18"/>
      <c r="AF614" s="1"/>
      <c r="AG614" s="1"/>
      <c r="AH614" s="1" t="s">
        <v>1152</v>
      </c>
      <c r="AI614" s="1"/>
      <c r="AJ614" s="1"/>
      <c r="AK614" s="1"/>
      <c r="AL614" s="6" t="str">
        <f t="array" ref="AL614">IFERROR(IFS(XLOOKUP(B614, 'Kit Delivery Status'!$U:$U, 'Kit Delivery Status'!$K:$K) = "Complete", "DELIVERED", XLOOKUP(B614, 'Kit Delivery Status'!$U:$U, 'Kit Delivery Status'!$K:$K) = "Issue", "ISSUE"), "")</f>
        <v/>
      </c>
      <c r="AM614" s="6"/>
    </row>
    <row r="615">
      <c r="A615" s="5" t="s">
        <v>3295</v>
      </c>
      <c r="B615" s="1" t="s">
        <v>3296</v>
      </c>
      <c r="C615" s="1" t="s">
        <v>3297</v>
      </c>
      <c r="D615" s="2">
        <v>3.179187156E9</v>
      </c>
      <c r="E615" s="1" t="s">
        <v>3298</v>
      </c>
      <c r="F615" s="1"/>
      <c r="G615" s="1" t="s">
        <v>3299</v>
      </c>
      <c r="H615" s="1" t="s">
        <v>1005</v>
      </c>
      <c r="I615" s="1">
        <v>20782.0</v>
      </c>
      <c r="J615" s="1" t="s">
        <v>752</v>
      </c>
      <c r="K615" s="1" t="s">
        <v>51</v>
      </c>
      <c r="L615" s="1" t="s">
        <v>3293</v>
      </c>
      <c r="M615" s="1">
        <v>1.0</v>
      </c>
      <c r="N615" s="1" t="s">
        <v>2461</v>
      </c>
      <c r="O615" s="3" t="s">
        <v>3300</v>
      </c>
      <c r="P615" s="18">
        <v>45883.0</v>
      </c>
      <c r="Q615" s="1" t="s">
        <v>2463</v>
      </c>
      <c r="R615" s="1"/>
      <c r="S615" s="1" t="s">
        <v>2461</v>
      </c>
      <c r="T615" s="1" t="s">
        <v>2461</v>
      </c>
      <c r="U615" s="1" t="s">
        <v>1407</v>
      </c>
      <c r="V615" s="4" t="s">
        <v>3300</v>
      </c>
      <c r="W615" s="1"/>
      <c r="X615" s="18">
        <v>45883.0</v>
      </c>
      <c r="Y615" s="1" t="s">
        <v>1030</v>
      </c>
      <c r="Z615" s="1"/>
      <c r="AA615" s="1"/>
      <c r="AB615" s="1" t="s">
        <v>52</v>
      </c>
      <c r="AC615" s="1" t="s">
        <v>1925</v>
      </c>
      <c r="AD615" s="1"/>
      <c r="AE615" s="18"/>
      <c r="AF615" s="1"/>
      <c r="AG615" s="1"/>
      <c r="AH615" s="1" t="s">
        <v>1152</v>
      </c>
      <c r="AI615" s="1"/>
      <c r="AJ615" s="1"/>
      <c r="AK615" s="1"/>
      <c r="AL615" s="6" t="str">
        <f t="array" ref="AL615">IFERROR(IFS(XLOOKUP(B615, 'Kit Delivery Status'!$U:$U, 'Kit Delivery Status'!$K:$K) = "Complete", "DELIVERED", XLOOKUP(B615, 'Kit Delivery Status'!$U:$U, 'Kit Delivery Status'!$K:$K) = "Issue", "ISSUE"), "")</f>
        <v/>
      </c>
      <c r="AM615" s="6"/>
    </row>
    <row r="616">
      <c r="A616" s="5" t="s">
        <v>3301</v>
      </c>
      <c r="B616" s="1" t="s">
        <v>3302</v>
      </c>
      <c r="C616" s="1" t="s">
        <v>3303</v>
      </c>
      <c r="D616" s="2">
        <v>7.872211671E9</v>
      </c>
      <c r="E616" s="1" t="s">
        <v>3304</v>
      </c>
      <c r="F616" s="1"/>
      <c r="G616" s="1" t="s">
        <v>3305</v>
      </c>
      <c r="H616" s="1" t="s">
        <v>3306</v>
      </c>
      <c r="I616" s="1">
        <v>969.0</v>
      </c>
      <c r="J616" s="1" t="s">
        <v>752</v>
      </c>
      <c r="K616" s="1" t="s">
        <v>51</v>
      </c>
      <c r="L616" s="1" t="s">
        <v>3293</v>
      </c>
      <c r="M616" s="1">
        <v>1.0</v>
      </c>
      <c r="N616" s="1" t="s">
        <v>2461</v>
      </c>
      <c r="O616" s="3" t="s">
        <v>3159</v>
      </c>
      <c r="P616" s="18">
        <v>45883.0</v>
      </c>
      <c r="Q616" s="1" t="s">
        <v>3219</v>
      </c>
      <c r="R616" s="1"/>
      <c r="S616" s="1" t="s">
        <v>2461</v>
      </c>
      <c r="T616" s="1" t="s">
        <v>2461</v>
      </c>
      <c r="U616" s="1" t="s">
        <v>948</v>
      </c>
      <c r="V616" s="4" t="s">
        <v>3159</v>
      </c>
      <c r="W616" s="1"/>
      <c r="X616" s="18">
        <v>45883.0</v>
      </c>
      <c r="Y616" s="1" t="s">
        <v>1455</v>
      </c>
      <c r="Z616" s="1"/>
      <c r="AA616" s="1"/>
      <c r="AB616" s="1" t="s">
        <v>52</v>
      </c>
      <c r="AC616" s="1" t="s">
        <v>1925</v>
      </c>
      <c r="AD616" s="1"/>
      <c r="AE616" s="18"/>
      <c r="AF616" s="1"/>
      <c r="AG616" s="1"/>
      <c r="AH616" s="1" t="s">
        <v>1152</v>
      </c>
      <c r="AI616" s="1"/>
      <c r="AJ616" s="1"/>
      <c r="AK616" s="1"/>
      <c r="AL616" s="6" t="str">
        <f t="array" ref="AL616">IFERROR(IFS(XLOOKUP(B616, 'Kit Delivery Status'!$U:$U, 'Kit Delivery Status'!$K:$K) = "Complete", "DELIVERED", XLOOKUP(B616, 'Kit Delivery Status'!$U:$U, 'Kit Delivery Status'!$K:$K) = "Issue", "ISSUE"), "")</f>
        <v/>
      </c>
      <c r="AM616" s="6"/>
    </row>
    <row r="617">
      <c r="A617" s="5" t="s">
        <v>3307</v>
      </c>
      <c r="B617" s="1" t="s">
        <v>3308</v>
      </c>
      <c r="C617" s="1" t="s">
        <v>3309</v>
      </c>
      <c r="D617" s="2">
        <v>5.613744124E9</v>
      </c>
      <c r="E617" s="1" t="s">
        <v>815</v>
      </c>
      <c r="F617" s="1"/>
      <c r="G617" s="1" t="s">
        <v>3310</v>
      </c>
      <c r="H617" s="1" t="s">
        <v>1208</v>
      </c>
      <c r="I617" s="1">
        <v>33435.0</v>
      </c>
      <c r="J617" s="1" t="s">
        <v>752</v>
      </c>
      <c r="K617" s="1" t="s">
        <v>51</v>
      </c>
      <c r="L617" s="1" t="s">
        <v>3293</v>
      </c>
      <c r="M617" s="1">
        <v>1.0</v>
      </c>
      <c r="N617" s="1" t="s">
        <v>2461</v>
      </c>
      <c r="O617" s="3" t="s">
        <v>3311</v>
      </c>
      <c r="P617" s="18">
        <v>45890.0</v>
      </c>
      <c r="Q617" s="1" t="s">
        <v>2463</v>
      </c>
      <c r="R617" s="1"/>
      <c r="S617" s="1" t="s">
        <v>2461</v>
      </c>
      <c r="T617" s="1" t="s">
        <v>2461</v>
      </c>
      <c r="U617" s="1" t="s">
        <v>2014</v>
      </c>
      <c r="V617" s="4" t="s">
        <v>3311</v>
      </c>
      <c r="W617" s="1"/>
      <c r="X617" s="18">
        <v>45890.0</v>
      </c>
      <c r="Y617" s="1" t="s">
        <v>1030</v>
      </c>
      <c r="Z617" s="1"/>
      <c r="AA617" s="1"/>
      <c r="AB617" s="1" t="s">
        <v>52</v>
      </c>
      <c r="AC617" s="1" t="s">
        <v>1925</v>
      </c>
      <c r="AD617" s="1"/>
      <c r="AE617" s="18"/>
      <c r="AF617" s="1"/>
      <c r="AG617" s="1"/>
      <c r="AH617" s="1" t="s">
        <v>1152</v>
      </c>
      <c r="AI617" s="1"/>
      <c r="AJ617" s="1"/>
      <c r="AK617" s="1"/>
      <c r="AL617" s="6" t="str">
        <f t="array" ref="AL617">IFERROR(IFS(XLOOKUP(B617, 'Kit Delivery Status'!$U:$U, 'Kit Delivery Status'!$K:$K) = "Complete", "DELIVERED", XLOOKUP(B617, 'Kit Delivery Status'!$U:$U, 'Kit Delivery Status'!$K:$K) = "Issue", "ISSUE"), "")</f>
        <v/>
      </c>
      <c r="AM617" s="6"/>
    </row>
    <row r="618">
      <c r="A618" s="5" t="s">
        <v>3307</v>
      </c>
      <c r="B618" s="1" t="s">
        <v>3308</v>
      </c>
      <c r="C618" s="1" t="s">
        <v>3309</v>
      </c>
      <c r="D618" s="2">
        <v>5.613744124E9</v>
      </c>
      <c r="E618" s="1" t="s">
        <v>815</v>
      </c>
      <c r="F618" s="1"/>
      <c r="G618" s="1" t="s">
        <v>3310</v>
      </c>
      <c r="H618" s="1" t="s">
        <v>1208</v>
      </c>
      <c r="I618" s="1">
        <v>33435.0</v>
      </c>
      <c r="J618" s="1" t="s">
        <v>752</v>
      </c>
      <c r="K618" s="1" t="s">
        <v>51</v>
      </c>
      <c r="L618" s="1" t="s">
        <v>3293</v>
      </c>
      <c r="M618" s="1">
        <v>1.0</v>
      </c>
      <c r="N618" s="1" t="s">
        <v>2461</v>
      </c>
      <c r="O618" s="3" t="s">
        <v>3311</v>
      </c>
      <c r="P618" s="18">
        <v>45890.0</v>
      </c>
      <c r="Q618" s="1" t="s">
        <v>2463</v>
      </c>
      <c r="R618" s="1"/>
      <c r="S618" s="1" t="s">
        <v>2461</v>
      </c>
      <c r="T618" s="1" t="s">
        <v>2461</v>
      </c>
      <c r="U618" s="1" t="s">
        <v>2014</v>
      </c>
      <c r="V618" s="4" t="s">
        <v>3311</v>
      </c>
      <c r="W618" s="1"/>
      <c r="X618" s="18">
        <v>45890.0</v>
      </c>
      <c r="Y618" s="1" t="s">
        <v>1030</v>
      </c>
      <c r="Z618" s="1"/>
      <c r="AA618" s="1"/>
      <c r="AB618" s="1" t="s">
        <v>52</v>
      </c>
      <c r="AC618" s="1" t="s">
        <v>1925</v>
      </c>
      <c r="AD618" s="1"/>
      <c r="AE618" s="18"/>
      <c r="AF618" s="1"/>
      <c r="AG618" s="1"/>
      <c r="AH618" s="1" t="s">
        <v>1152</v>
      </c>
      <c r="AI618" s="1"/>
      <c r="AJ618" s="1"/>
      <c r="AK618" s="1"/>
      <c r="AL618" s="6" t="str">
        <f t="array" ref="AL618">IFERROR(IFS(XLOOKUP(B618, 'Kit Delivery Status'!$U:$U, 'Kit Delivery Status'!$K:$K) = "Complete", "DELIVERED", XLOOKUP(B618, 'Kit Delivery Status'!$U:$U, 'Kit Delivery Status'!$K:$K) = "Issue", "ISSUE"), "")</f>
        <v/>
      </c>
      <c r="AM618" s="6"/>
    </row>
    <row r="619">
      <c r="A619" s="5" t="s">
        <v>3312</v>
      </c>
      <c r="B619" s="1" t="s">
        <v>3313</v>
      </c>
      <c r="C619" s="1" t="s">
        <v>3314</v>
      </c>
      <c r="D619" s="2">
        <v>3.145833274E9</v>
      </c>
      <c r="E619" s="1" t="s">
        <v>3315</v>
      </c>
      <c r="F619" s="1" t="s">
        <v>3316</v>
      </c>
      <c r="G619" s="1" t="s">
        <v>1283</v>
      </c>
      <c r="H619" s="1" t="s">
        <v>1155</v>
      </c>
      <c r="I619" s="1">
        <v>63112.0</v>
      </c>
      <c r="J619" s="1" t="s">
        <v>752</v>
      </c>
      <c r="K619" s="1" t="s">
        <v>51</v>
      </c>
      <c r="L619" s="1" t="s">
        <v>3293</v>
      </c>
      <c r="M619" s="1">
        <v>1.0</v>
      </c>
      <c r="N619" s="1" t="s">
        <v>2487</v>
      </c>
      <c r="O619" s="3"/>
      <c r="P619" s="18">
        <v>45896.0</v>
      </c>
      <c r="Q619" s="1" t="s">
        <v>2731</v>
      </c>
      <c r="R619" s="1" t="s">
        <v>3316</v>
      </c>
      <c r="S619" s="1" t="s">
        <v>2487</v>
      </c>
      <c r="T619" s="1" t="s">
        <v>2487</v>
      </c>
      <c r="U619" s="1"/>
      <c r="V619" s="4"/>
      <c r="W619" s="1" t="s">
        <v>3316</v>
      </c>
      <c r="X619" s="18">
        <v>45894.0</v>
      </c>
      <c r="Y619" s="1" t="s">
        <v>1349</v>
      </c>
      <c r="Z619" s="1"/>
      <c r="AA619" s="1" t="s">
        <v>3316</v>
      </c>
      <c r="AB619" s="1" t="s">
        <v>124</v>
      </c>
      <c r="AC619" s="1" t="s">
        <v>1925</v>
      </c>
      <c r="AD619" s="1"/>
      <c r="AE619" s="18"/>
      <c r="AF619" s="1"/>
      <c r="AG619" s="1"/>
      <c r="AH619" s="1" t="s">
        <v>1152</v>
      </c>
      <c r="AI619" s="1"/>
      <c r="AJ619" s="1"/>
      <c r="AK619" s="1"/>
      <c r="AL619" s="6" t="str">
        <f t="array" ref="AL619">IFERROR(IFS(XLOOKUP(B619, 'Kit Delivery Status'!$U:$U, 'Kit Delivery Status'!$K:$K) = "Complete", "DELIVERED", XLOOKUP(B619, 'Kit Delivery Status'!$U:$U, 'Kit Delivery Status'!$K:$K) = "Issue", "ISSUE"), "")</f>
        <v/>
      </c>
      <c r="AM619" s="6"/>
    </row>
    <row r="620">
      <c r="A620" s="5" t="s">
        <v>3317</v>
      </c>
      <c r="B620" s="1" t="s">
        <v>3318</v>
      </c>
      <c r="C620" s="1" t="s">
        <v>3319</v>
      </c>
      <c r="D620" s="2">
        <v>2.816088509E9</v>
      </c>
      <c r="E620" s="1" t="s">
        <v>3320</v>
      </c>
      <c r="F620" s="1"/>
      <c r="G620" s="1" t="s">
        <v>1609</v>
      </c>
      <c r="H620" s="1" t="s">
        <v>1583</v>
      </c>
      <c r="I620" s="1">
        <v>77044.0</v>
      </c>
      <c r="J620" s="1" t="s">
        <v>752</v>
      </c>
      <c r="K620" s="1" t="s">
        <v>66</v>
      </c>
      <c r="L620" s="1" t="s">
        <v>3321</v>
      </c>
      <c r="M620" s="1">
        <v>210.0</v>
      </c>
      <c r="N620" s="1" t="s">
        <v>1152</v>
      </c>
      <c r="O620" s="3" t="s">
        <v>2057</v>
      </c>
      <c r="P620" s="18">
        <v>45883.0</v>
      </c>
      <c r="Q620" s="1" t="s">
        <v>1152</v>
      </c>
      <c r="R620" s="1"/>
      <c r="S620" s="1" t="s">
        <v>1152</v>
      </c>
      <c r="T620" s="1" t="s">
        <v>1152</v>
      </c>
      <c r="U620" s="1" t="s">
        <v>1039</v>
      </c>
      <c r="V620" s="4" t="s">
        <v>2057</v>
      </c>
      <c r="W620" s="1"/>
      <c r="X620" s="18">
        <v>45883.0</v>
      </c>
      <c r="Y620" s="1"/>
      <c r="Z620" s="1"/>
      <c r="AA620" s="1"/>
      <c r="AB620" s="1"/>
      <c r="AC620" s="1" t="s">
        <v>1925</v>
      </c>
      <c r="AD620" s="1"/>
      <c r="AE620" s="18"/>
      <c r="AF620" s="1"/>
      <c r="AG620" s="1"/>
      <c r="AH620" s="1" t="s">
        <v>1152</v>
      </c>
      <c r="AI620" s="1"/>
      <c r="AJ620" s="1"/>
      <c r="AK620" s="1"/>
      <c r="AL620" s="6" t="str">
        <f t="array" ref="AL620">IFERROR(IFS(XLOOKUP(B620, 'Kit Delivery Status'!$U:$U, 'Kit Delivery Status'!$K:$K) = "Complete", "DELIVERED", XLOOKUP(B620, 'Kit Delivery Status'!$U:$U, 'Kit Delivery Status'!$K:$K) = "Issue", "ISSUE"), "")</f>
        <v/>
      </c>
      <c r="AM620" s="6"/>
    </row>
    <row r="621">
      <c r="A621" s="5" t="s">
        <v>3322</v>
      </c>
      <c r="B621" s="1" t="s">
        <v>3323</v>
      </c>
      <c r="C621" s="1"/>
      <c r="D621" s="2">
        <v>4.802827475E9</v>
      </c>
      <c r="E621" s="1" t="s">
        <v>3324</v>
      </c>
      <c r="F621" s="1"/>
      <c r="G621" s="1" t="s">
        <v>3325</v>
      </c>
      <c r="H621" s="1" t="s">
        <v>1535</v>
      </c>
      <c r="I621" s="1">
        <v>85142.0</v>
      </c>
      <c r="J621" s="1" t="s">
        <v>752</v>
      </c>
      <c r="K621" s="1" t="s">
        <v>66</v>
      </c>
      <c r="L621" s="1" t="s">
        <v>3321</v>
      </c>
      <c r="M621" s="1">
        <v>210.0</v>
      </c>
      <c r="N621" s="1" t="s">
        <v>1152</v>
      </c>
      <c r="O621" s="3" t="s">
        <v>3326</v>
      </c>
      <c r="P621" s="18">
        <v>45883.0</v>
      </c>
      <c r="Q621" s="1" t="s">
        <v>1152</v>
      </c>
      <c r="R621" s="1"/>
      <c r="S621" s="1" t="s">
        <v>1152</v>
      </c>
      <c r="T621" s="1" t="s">
        <v>1152</v>
      </c>
      <c r="U621" s="1" t="s">
        <v>1749</v>
      </c>
      <c r="V621" s="4" t="s">
        <v>3326</v>
      </c>
      <c r="W621" s="1"/>
      <c r="X621" s="18">
        <v>45883.0</v>
      </c>
      <c r="Y621" s="1"/>
      <c r="Z621" s="1"/>
      <c r="AA621" s="1"/>
      <c r="AB621" s="1"/>
      <c r="AC621" s="1" t="s">
        <v>1925</v>
      </c>
      <c r="AD621" s="1"/>
      <c r="AE621" s="18"/>
      <c r="AF621" s="1"/>
      <c r="AG621" s="1"/>
      <c r="AH621" s="1" t="s">
        <v>1152</v>
      </c>
      <c r="AI621" s="1"/>
      <c r="AJ621" s="1"/>
      <c r="AK621" s="1"/>
      <c r="AL621" s="6" t="str">
        <f t="array" ref="AL621">IFERROR(IFS(XLOOKUP(B621, 'Kit Delivery Status'!$U:$U, 'Kit Delivery Status'!$K:$K) = "Complete", "DELIVERED", XLOOKUP(B621, 'Kit Delivery Status'!$U:$U, 'Kit Delivery Status'!$K:$K) = "Issue", "ISSUE"), "")</f>
        <v/>
      </c>
      <c r="AM621" s="6"/>
    </row>
    <row r="622">
      <c r="A622" s="5" t="s">
        <v>3322</v>
      </c>
      <c r="B622" s="1" t="s">
        <v>3323</v>
      </c>
      <c r="C622" s="1"/>
      <c r="D622" s="2">
        <v>4.802827475E9</v>
      </c>
      <c r="E622" s="1" t="s">
        <v>3324</v>
      </c>
      <c r="F622" s="1"/>
      <c r="G622" s="1" t="s">
        <v>3325</v>
      </c>
      <c r="H622" s="1" t="s">
        <v>1535</v>
      </c>
      <c r="I622" s="1">
        <v>85142.0</v>
      </c>
      <c r="J622" s="1" t="s">
        <v>752</v>
      </c>
      <c r="K622" s="1" t="s">
        <v>95</v>
      </c>
      <c r="L622" s="1" t="s">
        <v>3327</v>
      </c>
      <c r="M622" s="1">
        <v>49.0</v>
      </c>
      <c r="N622" s="1" t="s">
        <v>2461</v>
      </c>
      <c r="O622" s="3" t="s">
        <v>3326</v>
      </c>
      <c r="P622" s="18">
        <v>45883.0</v>
      </c>
      <c r="Q622" s="1" t="s">
        <v>2463</v>
      </c>
      <c r="R622" s="1"/>
      <c r="S622" s="1" t="s">
        <v>2461</v>
      </c>
      <c r="T622" s="1" t="s">
        <v>2461</v>
      </c>
      <c r="U622" s="1" t="s">
        <v>1749</v>
      </c>
      <c r="V622" s="4" t="s">
        <v>3326</v>
      </c>
      <c r="W622" s="1"/>
      <c r="X622" s="18">
        <v>45883.0</v>
      </c>
      <c r="Y622" s="1" t="s">
        <v>1030</v>
      </c>
      <c r="Z622" s="1"/>
      <c r="AA622" s="1"/>
      <c r="AB622" s="1" t="s">
        <v>52</v>
      </c>
      <c r="AC622" s="1" t="s">
        <v>3328</v>
      </c>
      <c r="AD622" s="1"/>
      <c r="AE622" s="18"/>
      <c r="AF622" s="1"/>
      <c r="AG622" s="1"/>
      <c r="AH622" s="1" t="s">
        <v>1152</v>
      </c>
      <c r="AI622" s="1"/>
      <c r="AJ622" s="1"/>
      <c r="AK622" s="1"/>
      <c r="AL622" s="6" t="str">
        <f t="array" ref="AL622">IFERROR(IFS(XLOOKUP(B622, 'Kit Delivery Status'!$U:$U, 'Kit Delivery Status'!$K:$K) = "Complete", "DELIVERED", XLOOKUP(B622, 'Kit Delivery Status'!$U:$U, 'Kit Delivery Status'!$K:$K) = "Issue", "ISSUE"), "")</f>
        <v/>
      </c>
      <c r="AM622" s="6"/>
    </row>
    <row r="623">
      <c r="A623" s="5" t="s">
        <v>3329</v>
      </c>
      <c r="B623" s="1" t="s">
        <v>3330</v>
      </c>
      <c r="C623" s="1" t="s">
        <v>3331</v>
      </c>
      <c r="D623" s="2">
        <v>9.17359761E9</v>
      </c>
      <c r="E623" s="1" t="s">
        <v>3332</v>
      </c>
      <c r="F623" s="1"/>
      <c r="G623" s="1" t="s">
        <v>2609</v>
      </c>
      <c r="H623" s="1" t="s">
        <v>1891</v>
      </c>
      <c r="I623" s="1">
        <v>80220.0</v>
      </c>
      <c r="J623" s="1" t="s">
        <v>752</v>
      </c>
      <c r="K623" s="1" t="s">
        <v>95</v>
      </c>
      <c r="L623" s="1" t="s">
        <v>3327</v>
      </c>
      <c r="M623" s="1">
        <v>49.0</v>
      </c>
      <c r="N623" s="1" t="s">
        <v>2461</v>
      </c>
      <c r="O623" s="3" t="s">
        <v>384</v>
      </c>
      <c r="P623" s="18">
        <v>45883.0</v>
      </c>
      <c r="Q623" s="1" t="s">
        <v>2463</v>
      </c>
      <c r="R623" s="1"/>
      <c r="S623" s="1" t="s">
        <v>2461</v>
      </c>
      <c r="T623" s="1" t="s">
        <v>2461</v>
      </c>
      <c r="U623" s="1" t="s">
        <v>1133</v>
      </c>
      <c r="V623" s="4" t="s">
        <v>384</v>
      </c>
      <c r="W623" s="1"/>
      <c r="X623" s="18">
        <v>45883.0</v>
      </c>
      <c r="Y623" s="1" t="s">
        <v>1030</v>
      </c>
      <c r="Z623" s="1"/>
      <c r="AA623" s="1"/>
      <c r="AB623" s="1" t="s">
        <v>52</v>
      </c>
      <c r="AC623" s="1" t="s">
        <v>3333</v>
      </c>
      <c r="AD623" s="1"/>
      <c r="AE623" s="18"/>
      <c r="AF623" s="1"/>
      <c r="AG623" s="1"/>
      <c r="AH623" s="1" t="s">
        <v>1152</v>
      </c>
      <c r="AI623" s="1"/>
      <c r="AJ623" s="1"/>
      <c r="AK623" s="1"/>
      <c r="AL623" s="6" t="str">
        <f t="array" ref="AL623">IFERROR(IFS(XLOOKUP(B623, 'Kit Delivery Status'!$U:$U, 'Kit Delivery Status'!$K:$K) = "Complete", "DELIVERED", XLOOKUP(B623, 'Kit Delivery Status'!$U:$U, 'Kit Delivery Status'!$K:$K) = "Issue", "ISSUE"), "")</f>
        <v/>
      </c>
      <c r="AM623" s="6"/>
    </row>
    <row r="624">
      <c r="A624" s="5" t="s">
        <v>3334</v>
      </c>
      <c r="B624" s="1" t="s">
        <v>3335</v>
      </c>
      <c r="C624" s="1" t="s">
        <v>3336</v>
      </c>
      <c r="D624" s="2">
        <v>7.147460017E9</v>
      </c>
      <c r="E624" s="1" t="s">
        <v>3337</v>
      </c>
      <c r="F624" s="1"/>
      <c r="G624" s="1" t="s">
        <v>3338</v>
      </c>
      <c r="H624" s="1" t="s">
        <v>989</v>
      </c>
      <c r="I624" s="1">
        <v>92886.0</v>
      </c>
      <c r="J624" s="1" t="s">
        <v>752</v>
      </c>
      <c r="K624" s="1" t="s">
        <v>51</v>
      </c>
      <c r="L624" s="1" t="s">
        <v>3293</v>
      </c>
      <c r="M624" s="1">
        <v>1.0</v>
      </c>
      <c r="N624" s="1" t="s">
        <v>2461</v>
      </c>
      <c r="O624" s="3" t="s">
        <v>3339</v>
      </c>
      <c r="P624" s="18">
        <v>45891.0</v>
      </c>
      <c r="Q624" s="1" t="s">
        <v>2731</v>
      </c>
      <c r="R624" s="1"/>
      <c r="S624" s="1" t="s">
        <v>2461</v>
      </c>
      <c r="T624" s="1" t="s">
        <v>2461</v>
      </c>
      <c r="U624" s="1" t="s">
        <v>1021</v>
      </c>
      <c r="V624" s="4" t="s">
        <v>3339</v>
      </c>
      <c r="W624" s="1"/>
      <c r="X624" s="18">
        <v>45891.0</v>
      </c>
      <c r="Y624" s="1" t="s">
        <v>1349</v>
      </c>
      <c r="Z624" s="1"/>
      <c r="AA624" s="1"/>
      <c r="AB624" s="1" t="s">
        <v>52</v>
      </c>
      <c r="AC624" s="1" t="s">
        <v>1925</v>
      </c>
      <c r="AD624" s="1"/>
      <c r="AE624" s="18"/>
      <c r="AF624" s="1"/>
      <c r="AG624" s="1"/>
      <c r="AH624" s="1" t="s">
        <v>1152</v>
      </c>
      <c r="AI624" s="1"/>
      <c r="AJ624" s="1"/>
      <c r="AK624" s="1"/>
      <c r="AL624" s="6" t="str">
        <f t="array" ref="AL624">IFERROR(IFS(XLOOKUP(B624, 'Kit Delivery Status'!$U:$U, 'Kit Delivery Status'!$K:$K) = "Complete", "DELIVERED", XLOOKUP(B624, 'Kit Delivery Status'!$U:$U, 'Kit Delivery Status'!$K:$K) = "Issue", "ISSUE"), "")</f>
        <v/>
      </c>
      <c r="AM624" s="6"/>
    </row>
    <row r="625">
      <c r="A625" s="5" t="s">
        <v>3340</v>
      </c>
      <c r="B625" s="1" t="s">
        <v>3341</v>
      </c>
      <c r="C625" s="1" t="s">
        <v>3342</v>
      </c>
      <c r="D625" s="2">
        <v>3.15430005E9</v>
      </c>
      <c r="E625" s="1" t="s">
        <v>3343</v>
      </c>
      <c r="F625" s="1"/>
      <c r="G625" s="1" t="s">
        <v>3344</v>
      </c>
      <c r="H625" s="1" t="s">
        <v>1053</v>
      </c>
      <c r="I625" s="1" t="s">
        <v>3345</v>
      </c>
      <c r="J625" s="1" t="s">
        <v>752</v>
      </c>
      <c r="K625" s="1" t="s">
        <v>51</v>
      </c>
      <c r="L625" s="1" t="s">
        <v>3293</v>
      </c>
      <c r="M625" s="1">
        <v>1.0</v>
      </c>
      <c r="N625" s="1" t="s">
        <v>2461</v>
      </c>
      <c r="O625" s="3" t="s">
        <v>3346</v>
      </c>
      <c r="P625" s="18">
        <v>45889.0</v>
      </c>
      <c r="Q625" s="1" t="s">
        <v>2463</v>
      </c>
      <c r="R625" s="1"/>
      <c r="S625" s="1" t="s">
        <v>2461</v>
      </c>
      <c r="T625" s="1" t="s">
        <v>2461</v>
      </c>
      <c r="U625" s="1" t="s">
        <v>1828</v>
      </c>
      <c r="V625" s="4" t="s">
        <v>3346</v>
      </c>
      <c r="W625" s="1"/>
      <c r="X625" s="18">
        <v>45889.0</v>
      </c>
      <c r="Y625" s="1" t="s">
        <v>1030</v>
      </c>
      <c r="Z625" s="1"/>
      <c r="AA625" s="1"/>
      <c r="AB625" s="1" t="s">
        <v>52</v>
      </c>
      <c r="AC625" s="1" t="s">
        <v>1925</v>
      </c>
      <c r="AD625" s="1"/>
      <c r="AE625" s="18"/>
      <c r="AF625" s="1"/>
      <c r="AG625" s="1"/>
      <c r="AH625" s="1" t="s">
        <v>1152</v>
      </c>
      <c r="AI625" s="1"/>
      <c r="AJ625" s="1"/>
      <c r="AK625" s="1"/>
      <c r="AL625" s="6" t="str">
        <f t="array" ref="AL625">IFERROR(IFS(XLOOKUP(B625, 'Kit Delivery Status'!$U:$U, 'Kit Delivery Status'!$K:$K) = "Complete", "DELIVERED", XLOOKUP(B625, 'Kit Delivery Status'!$U:$U, 'Kit Delivery Status'!$K:$K) = "Issue", "ISSUE"), "")</f>
        <v/>
      </c>
      <c r="AM625" s="6"/>
    </row>
    <row r="626">
      <c r="A626" s="5" t="s">
        <v>3347</v>
      </c>
      <c r="B626" s="1" t="s">
        <v>3348</v>
      </c>
      <c r="C626" s="1"/>
      <c r="D626" s="2">
        <v>6.46254271E9</v>
      </c>
      <c r="E626" s="1" t="s">
        <v>3349</v>
      </c>
      <c r="F626" s="1"/>
      <c r="G626" s="1" t="s">
        <v>2428</v>
      </c>
      <c r="H626" s="1" t="s">
        <v>751</v>
      </c>
      <c r="I626" s="1">
        <v>10475.0</v>
      </c>
      <c r="J626" s="1" t="s">
        <v>752</v>
      </c>
      <c r="K626" s="1" t="s">
        <v>66</v>
      </c>
      <c r="L626" s="1" t="s">
        <v>3350</v>
      </c>
      <c r="M626" s="1">
        <v>145.0</v>
      </c>
      <c r="N626" s="1" t="s">
        <v>1152</v>
      </c>
      <c r="O626" s="3" t="s">
        <v>3351</v>
      </c>
      <c r="P626" s="18">
        <v>45883.0</v>
      </c>
      <c r="Q626" s="1" t="s">
        <v>1152</v>
      </c>
      <c r="R626" s="1"/>
      <c r="S626" s="1" t="s">
        <v>1152</v>
      </c>
      <c r="T626" s="1" t="s">
        <v>1152</v>
      </c>
      <c r="U626" s="1" t="s">
        <v>2430</v>
      </c>
      <c r="V626" s="4" t="s">
        <v>3351</v>
      </c>
      <c r="W626" s="1"/>
      <c r="X626" s="18">
        <v>45883.0</v>
      </c>
      <c r="Y626" s="1"/>
      <c r="Z626" s="1"/>
      <c r="AA626" s="1"/>
      <c r="AB626" s="1"/>
      <c r="AC626" s="1" t="s">
        <v>1925</v>
      </c>
      <c r="AD626" s="1"/>
      <c r="AE626" s="18"/>
      <c r="AF626" s="1"/>
      <c r="AG626" s="1"/>
      <c r="AH626" s="1" t="s">
        <v>1152</v>
      </c>
      <c r="AI626" s="1"/>
      <c r="AJ626" s="1"/>
      <c r="AK626" s="1"/>
      <c r="AL626" s="6" t="str">
        <f t="array" ref="AL626">IFERROR(IFS(XLOOKUP(B626, 'Kit Delivery Status'!$U:$U, 'Kit Delivery Status'!$K:$K) = "Complete", "DELIVERED", XLOOKUP(B626, 'Kit Delivery Status'!$U:$U, 'Kit Delivery Status'!$K:$K) = "Issue", "ISSUE"), "")</f>
        <v/>
      </c>
      <c r="AM626" s="6"/>
    </row>
    <row r="627">
      <c r="A627" s="5" t="s">
        <v>3352</v>
      </c>
      <c r="B627" s="1" t="s">
        <v>3353</v>
      </c>
      <c r="C627" s="1"/>
      <c r="D627" s="2">
        <v>7.819645636E9</v>
      </c>
      <c r="E627" s="1" t="s">
        <v>3354</v>
      </c>
      <c r="F627" s="1"/>
      <c r="G627" s="1" t="s">
        <v>3355</v>
      </c>
      <c r="H627" s="1" t="s">
        <v>1616</v>
      </c>
      <c r="I627" s="1">
        <v>3249.0</v>
      </c>
      <c r="J627" s="1" t="s">
        <v>752</v>
      </c>
      <c r="K627" s="1" t="s">
        <v>51</v>
      </c>
      <c r="L627" s="1" t="s">
        <v>3293</v>
      </c>
      <c r="M627" s="1">
        <v>1.0</v>
      </c>
      <c r="N627" s="1" t="s">
        <v>2461</v>
      </c>
      <c r="O627" s="3" t="s">
        <v>1398</v>
      </c>
      <c r="P627" s="18">
        <v>45883.0</v>
      </c>
      <c r="Q627" s="1" t="s">
        <v>2463</v>
      </c>
      <c r="R627" s="1"/>
      <c r="S627" s="1" t="s">
        <v>2461</v>
      </c>
      <c r="T627" s="1" t="s">
        <v>2461</v>
      </c>
      <c r="U627" s="1" t="s">
        <v>1441</v>
      </c>
      <c r="V627" s="4" t="s">
        <v>1398</v>
      </c>
      <c r="W627" s="1"/>
      <c r="X627" s="18">
        <v>45883.0</v>
      </c>
      <c r="Y627" s="1" t="s">
        <v>1030</v>
      </c>
      <c r="Z627" s="1"/>
      <c r="AA627" s="1"/>
      <c r="AB627" s="1" t="s">
        <v>52</v>
      </c>
      <c r="AC627" s="1" t="s">
        <v>1925</v>
      </c>
      <c r="AD627" s="1"/>
      <c r="AE627" s="18"/>
      <c r="AF627" s="1"/>
      <c r="AG627" s="1"/>
      <c r="AH627" s="1" t="s">
        <v>1152</v>
      </c>
      <c r="AI627" s="1"/>
      <c r="AJ627" s="1"/>
      <c r="AK627" s="1"/>
      <c r="AL627" s="6" t="str">
        <f t="array" ref="AL627">IFERROR(IFS(XLOOKUP(B627, 'Kit Delivery Status'!$U:$U, 'Kit Delivery Status'!$K:$K) = "Complete", "DELIVERED", XLOOKUP(B627, 'Kit Delivery Status'!$U:$U, 'Kit Delivery Status'!$K:$K) = "Issue", "ISSUE"), "")</f>
        <v/>
      </c>
      <c r="AM627" s="6"/>
    </row>
    <row r="628">
      <c r="A628" s="5" t="s">
        <v>3356</v>
      </c>
      <c r="B628" s="1" t="s">
        <v>3357</v>
      </c>
      <c r="C628" s="1"/>
      <c r="D628" s="2">
        <v>1.8063493688E10</v>
      </c>
      <c r="E628" s="1" t="s">
        <v>3358</v>
      </c>
      <c r="F628" s="1" t="s">
        <v>3359</v>
      </c>
      <c r="G628" s="1" t="s">
        <v>2797</v>
      </c>
      <c r="H628" s="1" t="s">
        <v>1583</v>
      </c>
      <c r="I628" s="1">
        <v>79124.0</v>
      </c>
      <c r="J628" s="1" t="s">
        <v>752</v>
      </c>
      <c r="K628" s="1" t="s">
        <v>51</v>
      </c>
      <c r="L628" s="1" t="s">
        <v>3293</v>
      </c>
      <c r="M628" s="1">
        <v>1.0</v>
      </c>
      <c r="N628" s="1" t="s">
        <v>2487</v>
      </c>
      <c r="O628" s="3"/>
      <c r="P628" s="18">
        <v>45892.0</v>
      </c>
      <c r="Q628" s="1" t="s">
        <v>2731</v>
      </c>
      <c r="R628" s="1" t="s">
        <v>3359</v>
      </c>
      <c r="S628" s="1" t="s">
        <v>2487</v>
      </c>
      <c r="T628" s="1" t="s">
        <v>2487</v>
      </c>
      <c r="U628" s="1"/>
      <c r="V628" s="4"/>
      <c r="W628" s="1" t="s">
        <v>3359</v>
      </c>
      <c r="X628" s="18">
        <v>45892.0</v>
      </c>
      <c r="Y628" s="1" t="s">
        <v>1349</v>
      </c>
      <c r="Z628" s="1"/>
      <c r="AA628" s="1" t="s">
        <v>3359</v>
      </c>
      <c r="AB628" s="1" t="s">
        <v>124</v>
      </c>
      <c r="AC628" s="1" t="s">
        <v>1925</v>
      </c>
      <c r="AD628" s="1"/>
      <c r="AE628" s="18"/>
      <c r="AF628" s="1"/>
      <c r="AG628" s="1"/>
      <c r="AH628" s="1" t="s">
        <v>1152</v>
      </c>
      <c r="AI628" s="1"/>
      <c r="AJ628" s="1"/>
      <c r="AK628" s="1"/>
      <c r="AL628" s="6" t="str">
        <f t="array" ref="AL628">IFERROR(IFS(XLOOKUP(B628, 'Kit Delivery Status'!$U:$U, 'Kit Delivery Status'!$K:$K) = "Complete", "DELIVERED", XLOOKUP(B628, 'Kit Delivery Status'!$U:$U, 'Kit Delivery Status'!$K:$K) = "Issue", "ISSUE"), "")</f>
        <v/>
      </c>
      <c r="AM628" s="6"/>
    </row>
    <row r="629">
      <c r="A629" s="5" t="s">
        <v>3360</v>
      </c>
      <c r="B629" s="1" t="s">
        <v>3361</v>
      </c>
      <c r="C629" s="1" t="s">
        <v>3362</v>
      </c>
      <c r="D629" s="2">
        <v>5.166597079E9</v>
      </c>
      <c r="E629" s="1" t="s">
        <v>3363</v>
      </c>
      <c r="F629" s="1"/>
      <c r="G629" s="1" t="s">
        <v>1405</v>
      </c>
      <c r="H629" s="1" t="s">
        <v>751</v>
      </c>
      <c r="I629" s="1">
        <v>11753.0</v>
      </c>
      <c r="J629" s="1" t="s">
        <v>752</v>
      </c>
      <c r="K629" s="1" t="s">
        <v>66</v>
      </c>
      <c r="L629" s="1" t="s">
        <v>3364</v>
      </c>
      <c r="M629" s="1">
        <v>115.0</v>
      </c>
      <c r="N629" s="1" t="s">
        <v>1152</v>
      </c>
      <c r="O629" s="3" t="s">
        <v>3365</v>
      </c>
      <c r="P629" s="18">
        <v>45883.0</v>
      </c>
      <c r="Q629" s="1" t="s">
        <v>1152</v>
      </c>
      <c r="R629" s="1"/>
      <c r="S629" s="1" t="s">
        <v>1152</v>
      </c>
      <c r="T629" s="1" t="s">
        <v>1152</v>
      </c>
      <c r="U629" s="1" t="s">
        <v>1812</v>
      </c>
      <c r="V629" s="4" t="s">
        <v>3365</v>
      </c>
      <c r="W629" s="1"/>
      <c r="X629" s="18">
        <v>45883.0</v>
      </c>
      <c r="Y629" s="1"/>
      <c r="Z629" s="1"/>
      <c r="AA629" s="1"/>
      <c r="AB629" s="1"/>
      <c r="AC629" s="1" t="s">
        <v>1925</v>
      </c>
      <c r="AD629" s="1"/>
      <c r="AE629" s="18"/>
      <c r="AF629" s="1"/>
      <c r="AG629" s="1"/>
      <c r="AH629" s="1" t="s">
        <v>1152</v>
      </c>
      <c r="AI629" s="1"/>
      <c r="AJ629" s="1"/>
      <c r="AK629" s="1"/>
      <c r="AL629" s="6" t="str">
        <f t="array" ref="AL629">IFERROR(IFS(XLOOKUP(B629, 'Kit Delivery Status'!$U:$U, 'Kit Delivery Status'!$K:$K) = "Complete", "DELIVERED", XLOOKUP(B629, 'Kit Delivery Status'!$U:$U, 'Kit Delivery Status'!$K:$K) = "Issue", "ISSUE"), "")</f>
        <v/>
      </c>
      <c r="AM629" s="6"/>
    </row>
    <row r="630">
      <c r="A630" s="5" t="s">
        <v>3360</v>
      </c>
      <c r="B630" s="1" t="s">
        <v>3361</v>
      </c>
      <c r="C630" s="1" t="s">
        <v>3362</v>
      </c>
      <c r="D630" s="2">
        <v>5.166597079E9</v>
      </c>
      <c r="E630" s="1" t="s">
        <v>3363</v>
      </c>
      <c r="F630" s="1"/>
      <c r="G630" s="1" t="s">
        <v>1405</v>
      </c>
      <c r="H630" s="1" t="s">
        <v>751</v>
      </c>
      <c r="I630" s="1">
        <v>11753.0</v>
      </c>
      <c r="J630" s="1" t="s">
        <v>752</v>
      </c>
      <c r="K630" s="1" t="s">
        <v>95</v>
      </c>
      <c r="L630" s="1" t="s">
        <v>3327</v>
      </c>
      <c r="M630" s="1">
        <v>49.0</v>
      </c>
      <c r="N630" s="1" t="s">
        <v>2461</v>
      </c>
      <c r="O630" s="3" t="s">
        <v>3365</v>
      </c>
      <c r="P630" s="18">
        <v>45883.0</v>
      </c>
      <c r="Q630" s="1" t="s">
        <v>2463</v>
      </c>
      <c r="R630" s="1"/>
      <c r="S630" s="1" t="s">
        <v>2461</v>
      </c>
      <c r="T630" s="1" t="s">
        <v>2461</v>
      </c>
      <c r="U630" s="1" t="s">
        <v>1812</v>
      </c>
      <c r="V630" s="4" t="s">
        <v>3365</v>
      </c>
      <c r="W630" s="1"/>
      <c r="X630" s="18">
        <v>45883.0</v>
      </c>
      <c r="Y630" s="1" t="s">
        <v>1030</v>
      </c>
      <c r="Z630" s="1"/>
      <c r="AA630" s="1"/>
      <c r="AB630" s="1" t="s">
        <v>52</v>
      </c>
      <c r="AC630" s="1" t="s">
        <v>3366</v>
      </c>
      <c r="AD630" s="1"/>
      <c r="AE630" s="18"/>
      <c r="AF630" s="1"/>
      <c r="AG630" s="1"/>
      <c r="AH630" s="1" t="s">
        <v>1152</v>
      </c>
      <c r="AI630" s="1"/>
      <c r="AJ630" s="1"/>
      <c r="AK630" s="1"/>
      <c r="AL630" s="6" t="str">
        <f t="array" ref="AL630">IFERROR(IFS(XLOOKUP(B630, 'Kit Delivery Status'!$U:$U, 'Kit Delivery Status'!$K:$K) = "Complete", "DELIVERED", XLOOKUP(B630, 'Kit Delivery Status'!$U:$U, 'Kit Delivery Status'!$K:$K) = "Issue", "ISSUE"), "")</f>
        <v/>
      </c>
      <c r="AM630" s="6"/>
    </row>
    <row r="631">
      <c r="A631" s="5" t="s">
        <v>3367</v>
      </c>
      <c r="B631" s="1" t="s">
        <v>3368</v>
      </c>
      <c r="C631" s="1" t="s">
        <v>3369</v>
      </c>
      <c r="D631" s="2" t="str">
        <v>#ERROR!</v>
      </c>
      <c r="E631" s="1" t="s">
        <v>3370</v>
      </c>
      <c r="F631" s="1"/>
      <c r="G631" s="1" t="s">
        <v>3371</v>
      </c>
      <c r="H631" s="1" t="s">
        <v>751</v>
      </c>
      <c r="I631" s="1">
        <v>11545.0</v>
      </c>
      <c r="J631" s="1" t="s">
        <v>752</v>
      </c>
      <c r="K631" s="1" t="s">
        <v>51</v>
      </c>
      <c r="L631" s="1" t="s">
        <v>3293</v>
      </c>
      <c r="M631" s="1">
        <v>1.0</v>
      </c>
      <c r="N631" s="1" t="s">
        <v>2461</v>
      </c>
      <c r="O631" s="3" t="s">
        <v>3372</v>
      </c>
      <c r="P631" s="18">
        <v>45892.0</v>
      </c>
      <c r="Q631" s="1" t="s">
        <v>2463</v>
      </c>
      <c r="R631" s="1"/>
      <c r="S631" s="1" t="s">
        <v>2461</v>
      </c>
      <c r="T631" s="1" t="s">
        <v>2461</v>
      </c>
      <c r="U631" s="1" t="s">
        <v>1828</v>
      </c>
      <c r="V631" s="4" t="s">
        <v>3372</v>
      </c>
      <c r="W631" s="1"/>
      <c r="X631" s="18">
        <v>45892.0</v>
      </c>
      <c r="Y631" s="1" t="s">
        <v>1030</v>
      </c>
      <c r="Z631" s="1"/>
      <c r="AA631" s="1"/>
      <c r="AB631" s="1" t="s">
        <v>52</v>
      </c>
      <c r="AC631" s="1" t="s">
        <v>1925</v>
      </c>
      <c r="AD631" s="1"/>
      <c r="AE631" s="18"/>
      <c r="AF631" s="1"/>
      <c r="AG631" s="1"/>
      <c r="AH631" s="1" t="s">
        <v>1152</v>
      </c>
      <c r="AI631" s="1"/>
      <c r="AJ631" s="1"/>
      <c r="AK631" s="1"/>
      <c r="AL631" s="6" t="str">
        <f t="array" ref="AL631">IFERROR(IFS(XLOOKUP(B631, 'Kit Delivery Status'!$U:$U, 'Kit Delivery Status'!$K:$K) = "Complete", "DELIVERED", XLOOKUP(B631, 'Kit Delivery Status'!$U:$U, 'Kit Delivery Status'!$K:$K) = "Issue", "ISSUE"), "")</f>
        <v/>
      </c>
      <c r="AM631" s="6"/>
    </row>
    <row r="632">
      <c r="A632" s="5" t="s">
        <v>3373</v>
      </c>
      <c r="B632" s="1" t="s">
        <v>3374</v>
      </c>
      <c r="C632" s="1" t="s">
        <v>3375</v>
      </c>
      <c r="D632" s="2">
        <v>9.526079236E9</v>
      </c>
      <c r="E632" s="1" t="s">
        <v>3376</v>
      </c>
      <c r="F632" s="1"/>
      <c r="G632" s="1" t="s">
        <v>3377</v>
      </c>
      <c r="H632" s="1" t="s">
        <v>2999</v>
      </c>
      <c r="I632" s="1">
        <v>55391.0</v>
      </c>
      <c r="J632" s="1" t="s">
        <v>752</v>
      </c>
      <c r="K632" s="1" t="s">
        <v>66</v>
      </c>
      <c r="L632" s="1" t="s">
        <v>3321</v>
      </c>
      <c r="M632" s="1">
        <v>210.0</v>
      </c>
      <c r="N632" s="1" t="s">
        <v>1152</v>
      </c>
      <c r="O632" s="3" t="s">
        <v>1185</v>
      </c>
      <c r="P632" s="18">
        <v>45883.0</v>
      </c>
      <c r="Q632" s="1" t="s">
        <v>1152</v>
      </c>
      <c r="R632" s="1"/>
      <c r="S632" s="1" t="s">
        <v>1152</v>
      </c>
      <c r="T632" s="1" t="s">
        <v>1152</v>
      </c>
      <c r="U632" s="1" t="s">
        <v>1376</v>
      </c>
      <c r="V632" s="4" t="s">
        <v>1185</v>
      </c>
      <c r="W632" s="1"/>
      <c r="X632" s="18">
        <v>45883.0</v>
      </c>
      <c r="Y632" s="1"/>
      <c r="Z632" s="1"/>
      <c r="AA632" s="1"/>
      <c r="AB632" s="1"/>
      <c r="AC632" s="1" t="s">
        <v>1925</v>
      </c>
      <c r="AD632" s="1"/>
      <c r="AE632" s="18"/>
      <c r="AF632" s="1"/>
      <c r="AG632" s="1"/>
      <c r="AH632" s="1" t="s">
        <v>1152</v>
      </c>
      <c r="AI632" s="1"/>
      <c r="AJ632" s="1"/>
      <c r="AK632" s="1"/>
      <c r="AL632" s="6" t="str">
        <f t="array" ref="AL632">IFERROR(IFS(XLOOKUP(B632, 'Kit Delivery Status'!$U:$U, 'Kit Delivery Status'!$K:$K) = "Complete", "DELIVERED", XLOOKUP(B632, 'Kit Delivery Status'!$U:$U, 'Kit Delivery Status'!$K:$K) = "Issue", "ISSUE"), "")</f>
        <v/>
      </c>
      <c r="AM632" s="6"/>
    </row>
    <row r="633">
      <c r="A633" s="5" t="s">
        <v>3378</v>
      </c>
      <c r="B633" s="1" t="s">
        <v>3379</v>
      </c>
      <c r="C633" s="1" t="s">
        <v>3380</v>
      </c>
      <c r="D633" s="2"/>
      <c r="E633" s="1" t="s">
        <v>3381</v>
      </c>
      <c r="F633" s="1"/>
      <c r="G633" s="1" t="s">
        <v>2932</v>
      </c>
      <c r="H633" s="1" t="s">
        <v>1583</v>
      </c>
      <c r="I633" s="1">
        <v>77401.0</v>
      </c>
      <c r="J633" s="1" t="s">
        <v>752</v>
      </c>
      <c r="K633" s="1" t="s">
        <v>51</v>
      </c>
      <c r="L633" s="1" t="s">
        <v>3293</v>
      </c>
      <c r="M633" s="1">
        <v>1.0</v>
      </c>
      <c r="N633" s="1" t="s">
        <v>2461</v>
      </c>
      <c r="O633" s="3" t="s">
        <v>3382</v>
      </c>
      <c r="P633" s="18">
        <v>45890.0</v>
      </c>
      <c r="Q633" s="1" t="s">
        <v>2852</v>
      </c>
      <c r="R633" s="1"/>
      <c r="S633" s="1" t="s">
        <v>2461</v>
      </c>
      <c r="T633" s="1" t="s">
        <v>2461</v>
      </c>
      <c r="U633" s="1" t="s">
        <v>1174</v>
      </c>
      <c r="V633" s="4" t="s">
        <v>3382</v>
      </c>
      <c r="W633" s="1"/>
      <c r="X633" s="18">
        <v>45890.0</v>
      </c>
      <c r="Y633" s="1" t="s">
        <v>1440</v>
      </c>
      <c r="Z633" s="1"/>
      <c r="AA633" s="1"/>
      <c r="AB633" s="1" t="s">
        <v>52</v>
      </c>
      <c r="AC633" s="1" t="s">
        <v>1925</v>
      </c>
      <c r="AD633" s="1"/>
      <c r="AE633" s="18"/>
      <c r="AF633" s="1"/>
      <c r="AG633" s="1"/>
      <c r="AH633" s="1" t="s">
        <v>1152</v>
      </c>
      <c r="AI633" s="1"/>
      <c r="AJ633" s="1"/>
      <c r="AK633" s="1"/>
      <c r="AL633" s="6" t="str">
        <f t="array" ref="AL633">IFERROR(IFS(XLOOKUP(B633, 'Kit Delivery Status'!$U:$U, 'Kit Delivery Status'!$K:$K) = "Complete", "DELIVERED", XLOOKUP(B633, 'Kit Delivery Status'!$U:$U, 'Kit Delivery Status'!$K:$K) = "Issue", "ISSUE"), "")</f>
        <v/>
      </c>
      <c r="AM633" s="6"/>
    </row>
    <row r="634">
      <c r="A634" s="5" t="s">
        <v>3383</v>
      </c>
      <c r="B634" s="1" t="s">
        <v>3384</v>
      </c>
      <c r="C634" s="1" t="s">
        <v>3385</v>
      </c>
      <c r="D634" s="2">
        <v>9.375366492E9</v>
      </c>
      <c r="E634" s="1" t="s">
        <v>3386</v>
      </c>
      <c r="F634" s="1"/>
      <c r="G634" s="1" t="s">
        <v>2056</v>
      </c>
      <c r="H634" s="1" t="s">
        <v>3283</v>
      </c>
      <c r="I634" s="1">
        <v>40509.0</v>
      </c>
      <c r="J634" s="1" t="s">
        <v>752</v>
      </c>
      <c r="K634" s="1" t="s">
        <v>66</v>
      </c>
      <c r="L634" s="1" t="s">
        <v>3364</v>
      </c>
      <c r="M634" s="1">
        <v>115.0</v>
      </c>
      <c r="N634" s="1" t="s">
        <v>1152</v>
      </c>
      <c r="O634" s="3" t="s">
        <v>3387</v>
      </c>
      <c r="P634" s="18">
        <v>45891.0</v>
      </c>
      <c r="Q634" s="1" t="s">
        <v>1152</v>
      </c>
      <c r="R634" s="1"/>
      <c r="S634" s="1" t="s">
        <v>1152</v>
      </c>
      <c r="T634" s="1" t="s">
        <v>1152</v>
      </c>
      <c r="U634" s="1" t="s">
        <v>1343</v>
      </c>
      <c r="V634" s="4" t="s">
        <v>3387</v>
      </c>
      <c r="W634" s="1"/>
      <c r="X634" s="18">
        <v>45891.0</v>
      </c>
      <c r="Y634" s="1"/>
      <c r="Z634" s="1"/>
      <c r="AA634" s="1"/>
      <c r="AB634" s="1"/>
      <c r="AC634" s="1" t="s">
        <v>1925</v>
      </c>
      <c r="AD634" s="1"/>
      <c r="AE634" s="18"/>
      <c r="AF634" s="1"/>
      <c r="AG634" s="1"/>
      <c r="AH634" s="1" t="s">
        <v>1152</v>
      </c>
      <c r="AI634" s="1"/>
      <c r="AJ634" s="1"/>
      <c r="AK634" s="1"/>
      <c r="AL634" s="6" t="str">
        <f t="array" ref="AL634">IFERROR(IFS(XLOOKUP(B634, 'Kit Delivery Status'!$U:$U, 'Kit Delivery Status'!$K:$K) = "Complete", "DELIVERED", XLOOKUP(B634, 'Kit Delivery Status'!$U:$U, 'Kit Delivery Status'!$K:$K) = "Issue", "ISSUE"), "")</f>
        <v/>
      </c>
      <c r="AM634" s="6"/>
    </row>
    <row r="635">
      <c r="A635" s="5" t="s">
        <v>3388</v>
      </c>
      <c r="B635" s="1" t="s">
        <v>3389</v>
      </c>
      <c r="C635" s="1" t="s">
        <v>3390</v>
      </c>
      <c r="D635" s="2" t="str">
        <v>#ERROR!</v>
      </c>
      <c r="E635" s="1" t="s">
        <v>3391</v>
      </c>
      <c r="F635" s="1"/>
      <c r="G635" s="1" t="s">
        <v>1983</v>
      </c>
      <c r="H635" s="1" t="s">
        <v>989</v>
      </c>
      <c r="I635" s="1">
        <v>92612.0</v>
      </c>
      <c r="J635" s="1" t="s">
        <v>752</v>
      </c>
      <c r="K635" s="1" t="s">
        <v>51</v>
      </c>
      <c r="L635" s="1" t="s">
        <v>3293</v>
      </c>
      <c r="M635" s="1">
        <v>1.0</v>
      </c>
      <c r="N635" s="1" t="s">
        <v>2461</v>
      </c>
      <c r="O635" s="3" t="s">
        <v>3392</v>
      </c>
      <c r="P635" s="18">
        <v>45890.0</v>
      </c>
      <c r="Q635" s="1" t="s">
        <v>2502</v>
      </c>
      <c r="R635" s="1"/>
      <c r="S635" s="1" t="s">
        <v>2461</v>
      </c>
      <c r="T635" s="1" t="s">
        <v>2461</v>
      </c>
      <c r="U635" s="1" t="s">
        <v>1407</v>
      </c>
      <c r="V635" s="4" t="s">
        <v>3392</v>
      </c>
      <c r="W635" s="1"/>
      <c r="X635" s="18">
        <v>45890.0</v>
      </c>
      <c r="Y635" s="1" t="s">
        <v>1630</v>
      </c>
      <c r="Z635" s="1"/>
      <c r="AA635" s="1"/>
      <c r="AB635" s="1" t="s">
        <v>52</v>
      </c>
      <c r="AC635" s="1" t="s">
        <v>1925</v>
      </c>
      <c r="AD635" s="1"/>
      <c r="AE635" s="18"/>
      <c r="AF635" s="1"/>
      <c r="AG635" s="1"/>
      <c r="AH635" s="1" t="s">
        <v>1152</v>
      </c>
      <c r="AI635" s="1"/>
      <c r="AJ635" s="1"/>
      <c r="AK635" s="1"/>
      <c r="AL635" s="6" t="str">
        <f t="array" ref="AL635">IFERROR(IFS(XLOOKUP(B635, 'Kit Delivery Status'!$U:$U, 'Kit Delivery Status'!$K:$K) = "Complete", "DELIVERED", XLOOKUP(B635, 'Kit Delivery Status'!$U:$U, 'Kit Delivery Status'!$K:$K) = "Issue", "ISSUE"), "")</f>
        <v/>
      </c>
      <c r="AM635" s="6"/>
    </row>
    <row r="636">
      <c r="A636" s="5" t="s">
        <v>3393</v>
      </c>
      <c r="B636" s="1" t="s">
        <v>3394</v>
      </c>
      <c r="C636" s="1" t="s">
        <v>3395</v>
      </c>
      <c r="D636" s="2">
        <v>9.402221167E9</v>
      </c>
      <c r="E636" s="1" t="s">
        <v>3396</v>
      </c>
      <c r="F636" s="1"/>
      <c r="G636" s="1" t="s">
        <v>3397</v>
      </c>
      <c r="H636" s="1" t="s">
        <v>1583</v>
      </c>
      <c r="I636" s="1">
        <v>75068.0</v>
      </c>
      <c r="J636" s="1" t="s">
        <v>752</v>
      </c>
      <c r="K636" s="1" t="s">
        <v>51</v>
      </c>
      <c r="L636" s="1" t="s">
        <v>3293</v>
      </c>
      <c r="M636" s="1">
        <v>1.0</v>
      </c>
      <c r="N636" s="1" t="s">
        <v>2461</v>
      </c>
      <c r="O636" s="3" t="s">
        <v>3398</v>
      </c>
      <c r="P636" s="18">
        <v>45888.0</v>
      </c>
      <c r="Q636" s="1" t="s">
        <v>2463</v>
      </c>
      <c r="R636" s="1"/>
      <c r="S636" s="1" t="s">
        <v>2461</v>
      </c>
      <c r="T636" s="1" t="s">
        <v>2461</v>
      </c>
      <c r="U636" s="1" t="s">
        <v>1407</v>
      </c>
      <c r="V636" s="4" t="s">
        <v>3398</v>
      </c>
      <c r="W636" s="1"/>
      <c r="X636" s="18">
        <v>45888.0</v>
      </c>
      <c r="Y636" s="1" t="s">
        <v>1030</v>
      </c>
      <c r="Z636" s="1"/>
      <c r="AA636" s="1"/>
      <c r="AB636" s="1" t="s">
        <v>52</v>
      </c>
      <c r="AC636" s="1" t="s">
        <v>1925</v>
      </c>
      <c r="AD636" s="1"/>
      <c r="AE636" s="18"/>
      <c r="AF636" s="1"/>
      <c r="AG636" s="1"/>
      <c r="AH636" s="1" t="s">
        <v>1152</v>
      </c>
      <c r="AI636" s="1"/>
      <c r="AJ636" s="1"/>
      <c r="AK636" s="1"/>
      <c r="AL636" s="6" t="str">
        <f t="array" ref="AL636">IFERROR(IFS(XLOOKUP(B636, 'Kit Delivery Status'!$U:$U, 'Kit Delivery Status'!$K:$K) = "Complete", "DELIVERED", XLOOKUP(B636, 'Kit Delivery Status'!$U:$U, 'Kit Delivery Status'!$K:$K) = "Issue", "ISSUE"), "")</f>
        <v/>
      </c>
      <c r="AM636" s="6"/>
    </row>
    <row r="637">
      <c r="A637" s="5" t="s">
        <v>3399</v>
      </c>
      <c r="B637" s="1" t="s">
        <v>3400</v>
      </c>
      <c r="C637" s="1" t="s">
        <v>3401</v>
      </c>
      <c r="D637" s="2">
        <v>6.103689007E9</v>
      </c>
      <c r="E637" s="1" t="s">
        <v>3402</v>
      </c>
      <c r="F637" s="1"/>
      <c r="G637" s="1" t="s">
        <v>3403</v>
      </c>
      <c r="H637" s="1" t="s">
        <v>1233</v>
      </c>
      <c r="I637" s="1">
        <v>19081.0</v>
      </c>
      <c r="J637" s="1" t="s">
        <v>752</v>
      </c>
      <c r="K637" s="1" t="s">
        <v>51</v>
      </c>
      <c r="L637" s="1" t="s">
        <v>3293</v>
      </c>
      <c r="M637" s="1">
        <v>1.0</v>
      </c>
      <c r="N637" s="1" t="s">
        <v>2461</v>
      </c>
      <c r="O637" s="3" t="s">
        <v>3404</v>
      </c>
      <c r="P637" s="18">
        <v>45891.0</v>
      </c>
      <c r="Q637" s="1" t="s">
        <v>2463</v>
      </c>
      <c r="R637" s="1"/>
      <c r="S637" s="1" t="s">
        <v>2461</v>
      </c>
      <c r="T637" s="1" t="s">
        <v>2461</v>
      </c>
      <c r="U637" s="1" t="s">
        <v>1441</v>
      </c>
      <c r="V637" s="4" t="s">
        <v>3404</v>
      </c>
      <c r="W637" s="1"/>
      <c r="X637" s="18">
        <v>45891.0</v>
      </c>
      <c r="Y637" s="1" t="s">
        <v>1030</v>
      </c>
      <c r="Z637" s="1"/>
      <c r="AA637" s="1"/>
      <c r="AB637" s="1" t="s">
        <v>52</v>
      </c>
      <c r="AC637" s="1" t="s">
        <v>1925</v>
      </c>
      <c r="AD637" s="1"/>
      <c r="AE637" s="18"/>
      <c r="AF637" s="1"/>
      <c r="AG637" s="1"/>
      <c r="AH637" s="1" t="s">
        <v>1152</v>
      </c>
      <c r="AI637" s="1"/>
      <c r="AJ637" s="1"/>
      <c r="AK637" s="1"/>
      <c r="AL637" s="6" t="str">
        <f t="array" ref="AL637">IFERROR(IFS(XLOOKUP(B637, 'Kit Delivery Status'!$U:$U, 'Kit Delivery Status'!$K:$K) = "Complete", "DELIVERED", XLOOKUP(B637, 'Kit Delivery Status'!$U:$U, 'Kit Delivery Status'!$K:$K) = "Issue", "ISSUE"), "")</f>
        <v/>
      </c>
      <c r="AM637" s="6"/>
    </row>
    <row r="638">
      <c r="A638" s="5" t="s">
        <v>3405</v>
      </c>
      <c r="B638" s="1" t="s">
        <v>3406</v>
      </c>
      <c r="C638" s="1" t="s">
        <v>3407</v>
      </c>
      <c r="D638" s="2">
        <v>3.14349549E9</v>
      </c>
      <c r="E638" s="1" t="s">
        <v>3408</v>
      </c>
      <c r="F638" s="1"/>
      <c r="G638" s="1" t="s">
        <v>1283</v>
      </c>
      <c r="H638" s="1" t="s">
        <v>1155</v>
      </c>
      <c r="I638" s="1">
        <v>63130.0</v>
      </c>
      <c r="J638" s="1" t="s">
        <v>752</v>
      </c>
      <c r="K638" s="1" t="s">
        <v>51</v>
      </c>
      <c r="L638" s="1" t="s">
        <v>3293</v>
      </c>
      <c r="M638" s="1">
        <v>1.0</v>
      </c>
      <c r="N638" s="1" t="s">
        <v>2461</v>
      </c>
      <c r="O638" s="3" t="s">
        <v>3409</v>
      </c>
      <c r="P638" s="18">
        <v>45889.0</v>
      </c>
      <c r="Q638" s="1" t="s">
        <v>2463</v>
      </c>
      <c r="R638" s="1"/>
      <c r="S638" s="1" t="s">
        <v>2461</v>
      </c>
      <c r="T638" s="1" t="s">
        <v>2461</v>
      </c>
      <c r="U638" s="1" t="s">
        <v>2940</v>
      </c>
      <c r="V638" s="4" t="s">
        <v>3409</v>
      </c>
      <c r="W638" s="1"/>
      <c r="X638" s="18">
        <v>45889.0</v>
      </c>
      <c r="Y638" s="1" t="s">
        <v>1030</v>
      </c>
      <c r="Z638" s="1"/>
      <c r="AA638" s="1"/>
      <c r="AB638" s="1" t="s">
        <v>52</v>
      </c>
      <c r="AC638" s="1" t="s">
        <v>1925</v>
      </c>
      <c r="AD638" s="1"/>
      <c r="AE638" s="18"/>
      <c r="AF638" s="1"/>
      <c r="AG638" s="1"/>
      <c r="AH638" s="1" t="s">
        <v>1152</v>
      </c>
      <c r="AI638" s="1"/>
      <c r="AJ638" s="1"/>
      <c r="AK638" s="1"/>
      <c r="AL638" s="6" t="str">
        <f t="array" ref="AL638">IFERROR(IFS(XLOOKUP(B638, 'Kit Delivery Status'!$U:$U, 'Kit Delivery Status'!$K:$K) = "Complete", "DELIVERED", XLOOKUP(B638, 'Kit Delivery Status'!$U:$U, 'Kit Delivery Status'!$K:$K) = "Issue", "ISSUE"), "")</f>
        <v/>
      </c>
      <c r="AM638" s="6"/>
    </row>
    <row r="639">
      <c r="A639" s="5" t="s">
        <v>3410</v>
      </c>
      <c r="B639" s="1" t="s">
        <v>3411</v>
      </c>
      <c r="C639" s="1" t="s">
        <v>3412</v>
      </c>
      <c r="D639" s="2">
        <v>5.519495484E9</v>
      </c>
      <c r="E639" s="1" t="s">
        <v>3413</v>
      </c>
      <c r="F639" s="1"/>
      <c r="G639" s="1" t="s">
        <v>3414</v>
      </c>
      <c r="H639" s="1" t="s">
        <v>3415</v>
      </c>
      <c r="I639" s="1">
        <v>5129.0</v>
      </c>
      <c r="J639" s="1" t="s">
        <v>3416</v>
      </c>
      <c r="K639" s="1" t="s">
        <v>51</v>
      </c>
      <c r="L639" s="1" t="s">
        <v>3293</v>
      </c>
      <c r="M639" s="1">
        <v>1.0</v>
      </c>
      <c r="N639" s="1" t="s">
        <v>2461</v>
      </c>
      <c r="O639" s="3" t="s">
        <v>3417</v>
      </c>
      <c r="P639" s="18">
        <v>45889.0</v>
      </c>
      <c r="Q639" s="1" t="s">
        <v>3418</v>
      </c>
      <c r="R639" s="1"/>
      <c r="S639" s="1" t="s">
        <v>2461</v>
      </c>
      <c r="T639" s="1" t="s">
        <v>2461</v>
      </c>
      <c r="U639" s="1" t="s">
        <v>1642</v>
      </c>
      <c r="V639" s="4" t="s">
        <v>3417</v>
      </c>
      <c r="W639" s="1"/>
      <c r="X639" s="18">
        <v>45889.0</v>
      </c>
      <c r="Y639" s="1" t="s">
        <v>1103</v>
      </c>
      <c r="Z639" s="1"/>
      <c r="AA639" s="1"/>
      <c r="AB639" s="1" t="s">
        <v>52</v>
      </c>
      <c r="AC639" s="1" t="s">
        <v>1925</v>
      </c>
      <c r="AD639" s="1"/>
      <c r="AE639" s="18"/>
      <c r="AF639" s="1"/>
      <c r="AG639" s="1"/>
      <c r="AH639" s="1" t="s">
        <v>1152</v>
      </c>
      <c r="AI639" s="1"/>
      <c r="AJ639" s="1"/>
      <c r="AK639" s="1"/>
      <c r="AL639" s="6" t="str">
        <f t="array" ref="AL639">IFERROR(IFS(XLOOKUP(B639, 'Kit Delivery Status'!$U:$U, 'Kit Delivery Status'!$K:$K) = "Complete", "DELIVERED", XLOOKUP(B639, 'Kit Delivery Status'!$U:$U, 'Kit Delivery Status'!$K:$K) = "Issue", "ISSUE"), "")</f>
        <v/>
      </c>
      <c r="AM639" s="6"/>
    </row>
    <row r="640">
      <c r="A640" s="5" t="s">
        <v>3419</v>
      </c>
      <c r="B640" s="1" t="s">
        <v>3420</v>
      </c>
      <c r="C640" s="1" t="s">
        <v>3421</v>
      </c>
      <c r="D640" s="2">
        <v>9.712354311E9</v>
      </c>
      <c r="E640" s="1" t="s">
        <v>3422</v>
      </c>
      <c r="F640" s="1"/>
      <c r="G640" s="1" t="s">
        <v>3423</v>
      </c>
      <c r="H640" s="1" t="s">
        <v>1422</v>
      </c>
      <c r="I640" s="1">
        <v>97006.0</v>
      </c>
      <c r="J640" s="1" t="s">
        <v>752</v>
      </c>
      <c r="K640" s="1" t="s">
        <v>51</v>
      </c>
      <c r="L640" s="1" t="s">
        <v>3293</v>
      </c>
      <c r="M640" s="1">
        <v>1.0</v>
      </c>
      <c r="N640" s="1" t="s">
        <v>2461</v>
      </c>
      <c r="O640" s="3" t="s">
        <v>3424</v>
      </c>
      <c r="P640" s="18">
        <v>45883.0</v>
      </c>
      <c r="Q640" s="1" t="s">
        <v>2463</v>
      </c>
      <c r="R640" s="1"/>
      <c r="S640" s="1" t="s">
        <v>2461</v>
      </c>
      <c r="T640" s="1" t="s">
        <v>2461</v>
      </c>
      <c r="U640" s="1" t="s">
        <v>1174</v>
      </c>
      <c r="V640" s="4" t="s">
        <v>3424</v>
      </c>
      <c r="W640" s="1"/>
      <c r="X640" s="18">
        <v>45883.0</v>
      </c>
      <c r="Y640" s="1" t="s">
        <v>1030</v>
      </c>
      <c r="Z640" s="1"/>
      <c r="AA640" s="1"/>
      <c r="AB640" s="1" t="s">
        <v>52</v>
      </c>
      <c r="AC640" s="1" t="s">
        <v>1925</v>
      </c>
      <c r="AD640" s="1"/>
      <c r="AE640" s="18"/>
      <c r="AF640" s="1"/>
      <c r="AG640" s="1"/>
      <c r="AH640" s="1" t="s">
        <v>1152</v>
      </c>
      <c r="AI640" s="1"/>
      <c r="AJ640" s="1"/>
      <c r="AK640" s="1"/>
      <c r="AL640" s="6" t="str">
        <f t="array" ref="AL640">IFERROR(IFS(XLOOKUP(B640, 'Kit Delivery Status'!$U:$U, 'Kit Delivery Status'!$K:$K) = "Complete", "DELIVERED", XLOOKUP(B640, 'Kit Delivery Status'!$U:$U, 'Kit Delivery Status'!$K:$K) = "Issue", "ISSUE"), "")</f>
        <v/>
      </c>
      <c r="AM640" s="6"/>
    </row>
    <row r="641">
      <c r="A641" s="5" t="s">
        <v>3425</v>
      </c>
      <c r="B641" s="1" t="s">
        <v>3426</v>
      </c>
      <c r="C641" s="1" t="s">
        <v>3427</v>
      </c>
      <c r="D641" s="2">
        <v>3.147325875E9</v>
      </c>
      <c r="E641" s="1" t="s">
        <v>3428</v>
      </c>
      <c r="F641" s="1" t="s">
        <v>3429</v>
      </c>
      <c r="G641" s="1" t="s">
        <v>1283</v>
      </c>
      <c r="H641" s="1" t="s">
        <v>1155</v>
      </c>
      <c r="I641" s="1">
        <v>63105.0</v>
      </c>
      <c r="J641" s="1" t="s">
        <v>752</v>
      </c>
      <c r="K641" s="1" t="s">
        <v>51</v>
      </c>
      <c r="L641" s="1" t="s">
        <v>3293</v>
      </c>
      <c r="M641" s="1">
        <v>1.0</v>
      </c>
      <c r="N641" s="1" t="s">
        <v>2487</v>
      </c>
      <c r="O641" s="3"/>
      <c r="P641" s="18">
        <v>45894.0</v>
      </c>
      <c r="Q641" s="1" t="s">
        <v>2463</v>
      </c>
      <c r="R641" s="1" t="s">
        <v>3429</v>
      </c>
      <c r="S641" s="1" t="s">
        <v>2487</v>
      </c>
      <c r="T641" s="1" t="s">
        <v>2487</v>
      </c>
      <c r="U641" s="1"/>
      <c r="V641" s="4"/>
      <c r="W641" s="1" t="s">
        <v>3429</v>
      </c>
      <c r="X641" s="18">
        <v>45894.0</v>
      </c>
      <c r="Y641" s="1" t="s">
        <v>1030</v>
      </c>
      <c r="Z641" s="1"/>
      <c r="AA641" s="1" t="s">
        <v>3429</v>
      </c>
      <c r="AB641" s="1" t="s">
        <v>124</v>
      </c>
      <c r="AC641" s="1" t="s">
        <v>1925</v>
      </c>
      <c r="AD641" s="1"/>
      <c r="AE641" s="18"/>
      <c r="AF641" s="1"/>
      <c r="AG641" s="1"/>
      <c r="AH641" s="1" t="s">
        <v>1152</v>
      </c>
      <c r="AI641" s="1"/>
      <c r="AJ641" s="1"/>
      <c r="AK641" s="1"/>
      <c r="AL641" s="6" t="str">
        <f t="array" ref="AL641">IFERROR(IFS(XLOOKUP(B641, 'Kit Delivery Status'!$U:$U, 'Kit Delivery Status'!$K:$K) = "Complete", "DELIVERED", XLOOKUP(B641, 'Kit Delivery Status'!$U:$U, 'Kit Delivery Status'!$K:$K) = "Issue", "ISSUE"), "")</f>
        <v/>
      </c>
      <c r="AM641" s="6"/>
    </row>
    <row r="642">
      <c r="A642" s="5" t="s">
        <v>3430</v>
      </c>
      <c r="B642" s="1" t="s">
        <v>3431</v>
      </c>
      <c r="C642" s="1" t="s">
        <v>3432</v>
      </c>
      <c r="D642" s="2">
        <v>3.107499513E9</v>
      </c>
      <c r="E642" s="1" t="s">
        <v>3433</v>
      </c>
      <c r="F642" s="1"/>
      <c r="G642" s="1" t="s">
        <v>1179</v>
      </c>
      <c r="H642" s="1" t="s">
        <v>989</v>
      </c>
      <c r="I642" s="1">
        <v>90049.0</v>
      </c>
      <c r="J642" s="1" t="s">
        <v>752</v>
      </c>
      <c r="K642" s="1" t="s">
        <v>51</v>
      </c>
      <c r="L642" s="1" t="s">
        <v>3293</v>
      </c>
      <c r="M642" s="1">
        <v>1.0</v>
      </c>
      <c r="N642" s="1" t="s">
        <v>2461</v>
      </c>
      <c r="O642" s="3" t="s">
        <v>3434</v>
      </c>
      <c r="P642" s="18">
        <v>45889.0</v>
      </c>
      <c r="Q642" s="1" t="s">
        <v>2463</v>
      </c>
      <c r="R642" s="1"/>
      <c r="S642" s="1" t="s">
        <v>2461</v>
      </c>
      <c r="T642" s="1" t="s">
        <v>2461</v>
      </c>
      <c r="U642" s="1" t="s">
        <v>2940</v>
      </c>
      <c r="V642" s="4" t="s">
        <v>3434</v>
      </c>
      <c r="W642" s="1"/>
      <c r="X642" s="18">
        <v>45889.0</v>
      </c>
      <c r="Y642" s="1" t="s">
        <v>1030</v>
      </c>
      <c r="Z642" s="1"/>
      <c r="AA642" s="1"/>
      <c r="AB642" s="1" t="s">
        <v>52</v>
      </c>
      <c r="AC642" s="1" t="s">
        <v>1925</v>
      </c>
      <c r="AD642" s="1"/>
      <c r="AE642" s="18"/>
      <c r="AF642" s="1"/>
      <c r="AG642" s="1"/>
      <c r="AH642" s="1" t="s">
        <v>1152</v>
      </c>
      <c r="AI642" s="1"/>
      <c r="AJ642" s="1"/>
      <c r="AK642" s="1"/>
      <c r="AL642" s="6" t="str">
        <f t="array" ref="AL642">IFERROR(IFS(XLOOKUP(B642, 'Kit Delivery Status'!$U:$U, 'Kit Delivery Status'!$K:$K) = "Complete", "DELIVERED", XLOOKUP(B642, 'Kit Delivery Status'!$U:$U, 'Kit Delivery Status'!$K:$K) = "Issue", "ISSUE"), "")</f>
        <v/>
      </c>
      <c r="AM642" s="6"/>
    </row>
    <row r="643">
      <c r="A643" s="5" t="s">
        <v>3435</v>
      </c>
      <c r="B643" s="1" t="s">
        <v>3436</v>
      </c>
      <c r="C643" s="1" t="s">
        <v>3437</v>
      </c>
      <c r="D643" s="2">
        <v>3.14537675E9</v>
      </c>
      <c r="E643" s="1" t="s">
        <v>3438</v>
      </c>
      <c r="F643" s="1"/>
      <c r="G643" s="1" t="s">
        <v>2857</v>
      </c>
      <c r="H643" s="1" t="s">
        <v>1155</v>
      </c>
      <c r="I643" s="1">
        <v>63105.0</v>
      </c>
      <c r="J643" s="1" t="s">
        <v>752</v>
      </c>
      <c r="K643" s="1" t="s">
        <v>51</v>
      </c>
      <c r="L643" s="1" t="s">
        <v>3293</v>
      </c>
      <c r="M643" s="1">
        <v>1.0</v>
      </c>
      <c r="N643" s="1" t="s">
        <v>2461</v>
      </c>
      <c r="O643" s="3" t="s">
        <v>3439</v>
      </c>
      <c r="P643" s="18">
        <v>45890.0</v>
      </c>
      <c r="Q643" s="1" t="s">
        <v>2502</v>
      </c>
      <c r="R643" s="1"/>
      <c r="S643" s="1" t="s">
        <v>2461</v>
      </c>
      <c r="T643" s="1" t="s">
        <v>2461</v>
      </c>
      <c r="U643" s="1" t="s">
        <v>1794</v>
      </c>
      <c r="V643" s="4" t="s">
        <v>3439</v>
      </c>
      <c r="W643" s="1"/>
      <c r="X643" s="18">
        <v>45890.0</v>
      </c>
      <c r="Y643" s="1" t="s">
        <v>1630</v>
      </c>
      <c r="Z643" s="1"/>
      <c r="AA643" s="1"/>
      <c r="AB643" s="1" t="s">
        <v>52</v>
      </c>
      <c r="AC643" s="1" t="s">
        <v>1925</v>
      </c>
      <c r="AD643" s="1"/>
      <c r="AE643" s="18"/>
      <c r="AF643" s="1"/>
      <c r="AG643" s="1"/>
      <c r="AH643" s="1" t="s">
        <v>1152</v>
      </c>
      <c r="AI643" s="1"/>
      <c r="AJ643" s="1"/>
      <c r="AK643" s="1"/>
      <c r="AL643" s="6" t="str">
        <f t="array" ref="AL643">IFERROR(IFS(XLOOKUP(B643, 'Kit Delivery Status'!$U:$U, 'Kit Delivery Status'!$K:$K) = "Complete", "DELIVERED", XLOOKUP(B643, 'Kit Delivery Status'!$U:$U, 'Kit Delivery Status'!$K:$K) = "Issue", "ISSUE"), "")</f>
        <v/>
      </c>
      <c r="AM643" s="6"/>
    </row>
    <row r="644">
      <c r="A644" s="5" t="s">
        <v>3440</v>
      </c>
      <c r="B644" s="1" t="s">
        <v>3441</v>
      </c>
      <c r="C644" s="1" t="s">
        <v>3442</v>
      </c>
      <c r="D644" s="2">
        <v>2.127698855E9</v>
      </c>
      <c r="E644" s="1" t="s">
        <v>3443</v>
      </c>
      <c r="F644" s="1"/>
      <c r="G644" s="1" t="s">
        <v>751</v>
      </c>
      <c r="H644" s="1" t="s">
        <v>751</v>
      </c>
      <c r="I644" s="1">
        <v>10023.0</v>
      </c>
      <c r="J644" s="1" t="s">
        <v>752</v>
      </c>
      <c r="K644" s="1" t="s">
        <v>95</v>
      </c>
      <c r="L644" s="1" t="s">
        <v>3327</v>
      </c>
      <c r="M644" s="1">
        <v>49.0</v>
      </c>
      <c r="N644" s="1" t="s">
        <v>2461</v>
      </c>
      <c r="O644" s="3" t="s">
        <v>591</v>
      </c>
      <c r="P644" s="18">
        <v>45883.0</v>
      </c>
      <c r="Q644" s="1" t="s">
        <v>2463</v>
      </c>
      <c r="R644" s="1"/>
      <c r="S644" s="1" t="s">
        <v>2461</v>
      </c>
      <c r="T644" s="1" t="s">
        <v>2461</v>
      </c>
      <c r="U644" s="1" t="s">
        <v>1749</v>
      </c>
      <c r="V644" s="4" t="s">
        <v>591</v>
      </c>
      <c r="W644" s="1"/>
      <c r="X644" s="18">
        <v>45883.0</v>
      </c>
      <c r="Y644" s="1" t="s">
        <v>1030</v>
      </c>
      <c r="Z644" s="1"/>
      <c r="AA644" s="1"/>
      <c r="AB644" s="1" t="s">
        <v>52</v>
      </c>
      <c r="AC644" s="1" t="s">
        <v>3444</v>
      </c>
      <c r="AD644" s="1"/>
      <c r="AE644" s="18"/>
      <c r="AF644" s="1"/>
      <c r="AG644" s="1"/>
      <c r="AH644" s="1" t="s">
        <v>1152</v>
      </c>
      <c r="AI644" s="1"/>
      <c r="AJ644" s="1"/>
      <c r="AK644" s="1"/>
      <c r="AL644" s="6" t="str">
        <f t="array" ref="AL644">IFERROR(IFS(XLOOKUP(B644, 'Kit Delivery Status'!$U:$U, 'Kit Delivery Status'!$K:$K) = "Complete", "DELIVERED", XLOOKUP(B644, 'Kit Delivery Status'!$U:$U, 'Kit Delivery Status'!$K:$K) = "Issue", "ISSUE"), "")</f>
        <v/>
      </c>
      <c r="AM644" s="6"/>
    </row>
    <row r="645">
      <c r="A645" s="5" t="s">
        <v>3445</v>
      </c>
      <c r="B645" s="1" t="s">
        <v>3446</v>
      </c>
      <c r="C645" s="1" t="s">
        <v>3447</v>
      </c>
      <c r="D645" s="2">
        <v>2.038855935E9</v>
      </c>
      <c r="E645" s="1" t="s">
        <v>3448</v>
      </c>
      <c r="F645" s="1"/>
      <c r="G645" s="1" t="s">
        <v>3449</v>
      </c>
      <c r="H645" s="1" t="s">
        <v>1078</v>
      </c>
      <c r="I645" s="1">
        <v>6850.0</v>
      </c>
      <c r="J645" s="1" t="s">
        <v>752</v>
      </c>
      <c r="K645" s="1" t="s">
        <v>66</v>
      </c>
      <c r="L645" s="1" t="s">
        <v>3350</v>
      </c>
      <c r="M645" s="1">
        <v>145.0</v>
      </c>
      <c r="N645" s="1" t="s">
        <v>1152</v>
      </c>
      <c r="O645" s="3" t="s">
        <v>3450</v>
      </c>
      <c r="P645" s="18">
        <v>45883.0</v>
      </c>
      <c r="Q645" s="1" t="s">
        <v>1152</v>
      </c>
      <c r="R645" s="1"/>
      <c r="S645" s="1" t="s">
        <v>1152</v>
      </c>
      <c r="T645" s="1" t="s">
        <v>1152</v>
      </c>
      <c r="U645" s="1" t="s">
        <v>1441</v>
      </c>
      <c r="V645" s="4" t="s">
        <v>3450</v>
      </c>
      <c r="W645" s="1"/>
      <c r="X645" s="18">
        <v>45883.0</v>
      </c>
      <c r="Y645" s="1"/>
      <c r="Z645" s="1"/>
      <c r="AA645" s="1"/>
      <c r="AB645" s="1"/>
      <c r="AC645" s="1" t="s">
        <v>1925</v>
      </c>
      <c r="AD645" s="1"/>
      <c r="AE645" s="18"/>
      <c r="AF645" s="1"/>
      <c r="AG645" s="1"/>
      <c r="AH645" s="1" t="s">
        <v>1152</v>
      </c>
      <c r="AI645" s="1"/>
      <c r="AJ645" s="1"/>
      <c r="AK645" s="1"/>
      <c r="AL645" s="6" t="str">
        <f t="array" ref="AL645">IFERROR(IFS(XLOOKUP(B645, 'Kit Delivery Status'!$U:$U, 'Kit Delivery Status'!$K:$K) = "Complete", "DELIVERED", XLOOKUP(B645, 'Kit Delivery Status'!$U:$U, 'Kit Delivery Status'!$K:$K) = "Issue", "ISSUE"), "")</f>
        <v/>
      </c>
      <c r="AM645" s="6"/>
    </row>
    <row r="646">
      <c r="A646" s="5" t="s">
        <v>3451</v>
      </c>
      <c r="B646" s="1" t="s">
        <v>3452</v>
      </c>
      <c r="C646" s="1"/>
      <c r="D646" s="2">
        <v>4.084807212E9</v>
      </c>
      <c r="E646" s="1" t="s">
        <v>3453</v>
      </c>
      <c r="F646" s="1"/>
      <c r="G646" s="1" t="s">
        <v>3454</v>
      </c>
      <c r="H646" s="1" t="s">
        <v>989</v>
      </c>
      <c r="I646" s="1">
        <v>94043.0</v>
      </c>
      <c r="J646" s="1" t="s">
        <v>752</v>
      </c>
      <c r="K646" s="1" t="s">
        <v>51</v>
      </c>
      <c r="L646" s="1" t="s">
        <v>3293</v>
      </c>
      <c r="M646" s="1">
        <v>1.0</v>
      </c>
      <c r="N646" s="1" t="s">
        <v>2461</v>
      </c>
      <c r="O646" s="3" t="s">
        <v>3455</v>
      </c>
      <c r="P646" s="18">
        <v>45890.0</v>
      </c>
      <c r="Q646" s="1" t="s">
        <v>3418</v>
      </c>
      <c r="R646" s="1"/>
      <c r="S646" s="1" t="s">
        <v>2461</v>
      </c>
      <c r="T646" s="1" t="s">
        <v>2461</v>
      </c>
      <c r="U646" s="1" t="s">
        <v>1794</v>
      </c>
      <c r="V646" s="4" t="s">
        <v>3455</v>
      </c>
      <c r="W646" s="1"/>
      <c r="X646" s="18">
        <v>45890.0</v>
      </c>
      <c r="Y646" s="1" t="s">
        <v>1103</v>
      </c>
      <c r="Z646" s="1"/>
      <c r="AA646" s="1"/>
      <c r="AB646" s="1" t="s">
        <v>52</v>
      </c>
      <c r="AC646" s="1" t="s">
        <v>1925</v>
      </c>
      <c r="AD646" s="1"/>
      <c r="AE646" s="18"/>
      <c r="AF646" s="1"/>
      <c r="AG646" s="1"/>
      <c r="AH646" s="1" t="s">
        <v>1152</v>
      </c>
      <c r="AI646" s="1"/>
      <c r="AJ646" s="1"/>
      <c r="AK646" s="1"/>
      <c r="AL646" s="6" t="str">
        <f t="array" ref="AL646">IFERROR(IFS(XLOOKUP(B646, 'Kit Delivery Status'!$U:$U, 'Kit Delivery Status'!$K:$K) = "Complete", "DELIVERED", XLOOKUP(B646, 'Kit Delivery Status'!$U:$U, 'Kit Delivery Status'!$K:$K) = "Issue", "ISSUE"), "")</f>
        <v/>
      </c>
      <c r="AM646" s="6"/>
    </row>
    <row r="647">
      <c r="A647" s="5" t="s">
        <v>3456</v>
      </c>
      <c r="B647" s="1" t="s">
        <v>3457</v>
      </c>
      <c r="C647" s="1"/>
      <c r="D647" s="2">
        <v>6.082071668E9</v>
      </c>
      <c r="E647" s="1" t="s">
        <v>3458</v>
      </c>
      <c r="F647" s="1"/>
      <c r="G647" s="1" t="s">
        <v>2397</v>
      </c>
      <c r="H647" s="1" t="s">
        <v>989</v>
      </c>
      <c r="I647" s="1">
        <v>92822.0</v>
      </c>
      <c r="J647" s="1" t="s">
        <v>752</v>
      </c>
      <c r="K647" s="1" t="s">
        <v>66</v>
      </c>
      <c r="L647" s="1" t="s">
        <v>3321</v>
      </c>
      <c r="M647" s="1">
        <v>210.0</v>
      </c>
      <c r="N647" s="1" t="s">
        <v>1152</v>
      </c>
      <c r="O647" s="3" t="s">
        <v>1930</v>
      </c>
      <c r="P647" s="18">
        <v>45883.0</v>
      </c>
      <c r="Q647" s="1" t="s">
        <v>1152</v>
      </c>
      <c r="R647" s="1"/>
      <c r="S647" s="1" t="s">
        <v>1152</v>
      </c>
      <c r="T647" s="1" t="s">
        <v>1152</v>
      </c>
      <c r="U647" s="1" t="s">
        <v>1133</v>
      </c>
      <c r="V647" s="4" t="s">
        <v>1930</v>
      </c>
      <c r="W647" s="1"/>
      <c r="X647" s="18">
        <v>45883.0</v>
      </c>
      <c r="Y647" s="1"/>
      <c r="Z647" s="1"/>
      <c r="AA647" s="1"/>
      <c r="AB647" s="1"/>
      <c r="AC647" s="1" t="s">
        <v>1925</v>
      </c>
      <c r="AD647" s="1"/>
      <c r="AE647" s="18"/>
      <c r="AF647" s="1"/>
      <c r="AG647" s="1"/>
      <c r="AH647" s="1" t="s">
        <v>1152</v>
      </c>
      <c r="AI647" s="1"/>
      <c r="AJ647" s="1"/>
      <c r="AK647" s="1"/>
      <c r="AL647" s="6" t="str">
        <f t="array" ref="AL647">IFERROR(IFS(XLOOKUP(B647, 'Kit Delivery Status'!$U:$U, 'Kit Delivery Status'!$K:$K) = "Complete", "DELIVERED", XLOOKUP(B647, 'Kit Delivery Status'!$U:$U, 'Kit Delivery Status'!$K:$K) = "Issue", "ISSUE"), "")</f>
        <v/>
      </c>
      <c r="AM647" s="6"/>
    </row>
    <row r="648">
      <c r="A648" s="5" t="s">
        <v>3459</v>
      </c>
      <c r="B648" s="1" t="s">
        <v>3460</v>
      </c>
      <c r="C648" s="1"/>
      <c r="D648" s="2">
        <v>2.155005523E9</v>
      </c>
      <c r="E648" s="1" t="s">
        <v>3461</v>
      </c>
      <c r="F648" s="1"/>
      <c r="G648" s="1" t="s">
        <v>3462</v>
      </c>
      <c r="H648" s="1" t="s">
        <v>1233</v>
      </c>
      <c r="I648" s="1">
        <v>19002.0</v>
      </c>
      <c r="J648" s="1" t="s">
        <v>752</v>
      </c>
      <c r="K648" s="1" t="s">
        <v>51</v>
      </c>
      <c r="L648" s="1" t="s">
        <v>3293</v>
      </c>
      <c r="M648" s="1">
        <v>1.0</v>
      </c>
      <c r="N648" s="1" t="s">
        <v>2461</v>
      </c>
      <c r="O648" s="3" t="s">
        <v>3120</v>
      </c>
      <c r="P648" s="18">
        <v>45888.0</v>
      </c>
      <c r="Q648" s="1" t="s">
        <v>2502</v>
      </c>
      <c r="R648" s="1"/>
      <c r="S648" s="1" t="s">
        <v>2461</v>
      </c>
      <c r="T648" s="1" t="s">
        <v>2461</v>
      </c>
      <c r="U648" s="1" t="s">
        <v>1415</v>
      </c>
      <c r="V648" s="4" t="s">
        <v>3120</v>
      </c>
      <c r="W648" s="1"/>
      <c r="X648" s="18">
        <v>45888.0</v>
      </c>
      <c r="Y648" s="1" t="s">
        <v>1630</v>
      </c>
      <c r="Z648" s="1"/>
      <c r="AA648" s="1"/>
      <c r="AB648" s="1" t="s">
        <v>52</v>
      </c>
      <c r="AC648" s="1" t="s">
        <v>1925</v>
      </c>
      <c r="AD648" s="1"/>
      <c r="AE648" s="18"/>
      <c r="AF648" s="1"/>
      <c r="AG648" s="1"/>
      <c r="AH648" s="1" t="s">
        <v>1152</v>
      </c>
      <c r="AI648" s="1"/>
      <c r="AJ648" s="1"/>
      <c r="AK648" s="1"/>
      <c r="AL648" s="6" t="str">
        <f t="array" ref="AL648">IFERROR(IFS(XLOOKUP(B648, 'Kit Delivery Status'!$U:$U, 'Kit Delivery Status'!$K:$K) = "Complete", "DELIVERED", XLOOKUP(B648, 'Kit Delivery Status'!$U:$U, 'Kit Delivery Status'!$K:$K) = "Issue", "ISSUE"), "")</f>
        <v/>
      </c>
      <c r="AM648" s="6"/>
    </row>
    <row r="649">
      <c r="A649" s="5" t="s">
        <v>3463</v>
      </c>
      <c r="B649" s="1" t="s">
        <v>3464</v>
      </c>
      <c r="C649" s="1"/>
      <c r="D649" s="2">
        <v>9.143648E9</v>
      </c>
      <c r="E649" s="1" t="s">
        <v>3465</v>
      </c>
      <c r="F649" s="1"/>
      <c r="G649" s="1" t="s">
        <v>1382</v>
      </c>
      <c r="H649" s="1" t="s">
        <v>751</v>
      </c>
      <c r="I649" s="1">
        <v>10583.0</v>
      </c>
      <c r="J649" s="1" t="s">
        <v>752</v>
      </c>
      <c r="K649" s="1" t="s">
        <v>95</v>
      </c>
      <c r="L649" s="1" t="s">
        <v>3327</v>
      </c>
      <c r="M649" s="1">
        <v>49.0</v>
      </c>
      <c r="N649" s="1" t="s">
        <v>2461</v>
      </c>
      <c r="O649" s="3" t="s">
        <v>3466</v>
      </c>
      <c r="P649" s="18">
        <v>45883.0</v>
      </c>
      <c r="Q649" s="1" t="s">
        <v>2463</v>
      </c>
      <c r="R649" s="1"/>
      <c r="S649" s="1" t="s">
        <v>2461</v>
      </c>
      <c r="T649" s="1" t="s">
        <v>2461</v>
      </c>
      <c r="U649" s="1" t="s">
        <v>1277</v>
      </c>
      <c r="V649" s="4" t="s">
        <v>3466</v>
      </c>
      <c r="W649" s="1"/>
      <c r="X649" s="18">
        <v>45883.0</v>
      </c>
      <c r="Y649" s="1" t="s">
        <v>1030</v>
      </c>
      <c r="Z649" s="1"/>
      <c r="AA649" s="1"/>
      <c r="AB649" s="1" t="s">
        <v>52</v>
      </c>
      <c r="AC649" s="1" t="s">
        <v>3467</v>
      </c>
      <c r="AD649" s="1"/>
      <c r="AE649" s="18"/>
      <c r="AF649" s="1"/>
      <c r="AG649" s="1"/>
      <c r="AH649" s="1" t="s">
        <v>1152</v>
      </c>
      <c r="AI649" s="1"/>
      <c r="AJ649" s="1"/>
      <c r="AK649" s="1"/>
      <c r="AL649" s="6" t="str">
        <f t="array" ref="AL649">IFERROR(IFS(XLOOKUP(B649, 'Kit Delivery Status'!$U:$U, 'Kit Delivery Status'!$K:$K) = "Complete", "DELIVERED", XLOOKUP(B649, 'Kit Delivery Status'!$U:$U, 'Kit Delivery Status'!$K:$K) = "Issue", "ISSUE"), "")</f>
        <v/>
      </c>
      <c r="AM649" s="6"/>
    </row>
    <row r="650">
      <c r="A650" s="5" t="s">
        <v>3468</v>
      </c>
      <c r="B650" s="1" t="s">
        <v>3469</v>
      </c>
      <c r="C650" s="1" t="s">
        <v>3470</v>
      </c>
      <c r="D650" s="2">
        <v>16179019427</v>
      </c>
      <c r="E650" s="1" t="s">
        <v>3471</v>
      </c>
      <c r="F650" s="1"/>
      <c r="G650" s="1" t="s">
        <v>1976</v>
      </c>
      <c r="H650" s="1" t="s">
        <v>1121</v>
      </c>
      <c r="I650" s="1" t="s">
        <v>3472</v>
      </c>
      <c r="J650" s="1" t="s">
        <v>752</v>
      </c>
      <c r="K650" s="1" t="s">
        <v>51</v>
      </c>
      <c r="L650" s="1" t="s">
        <v>3293</v>
      </c>
      <c r="M650" s="1">
        <v>1.0</v>
      </c>
      <c r="N650" s="1" t="s">
        <v>2461</v>
      </c>
      <c r="O650" s="3" t="s">
        <v>3473</v>
      </c>
      <c r="P650" s="18">
        <v>45883.0</v>
      </c>
      <c r="Q650" s="1" t="s">
        <v>2463</v>
      </c>
      <c r="R650" s="1"/>
      <c r="S650" s="1" t="s">
        <v>2461</v>
      </c>
      <c r="T650" s="1" t="s">
        <v>2461</v>
      </c>
      <c r="U650" s="1" t="s">
        <v>1407</v>
      </c>
      <c r="V650" s="4" t="s">
        <v>3473</v>
      </c>
      <c r="W650" s="1"/>
      <c r="X650" s="18">
        <v>45883.0</v>
      </c>
      <c r="Y650" s="1" t="s">
        <v>1030</v>
      </c>
      <c r="Z650" s="1"/>
      <c r="AA650" s="1"/>
      <c r="AB650" s="1" t="s">
        <v>52</v>
      </c>
      <c r="AC650" s="1" t="s">
        <v>1925</v>
      </c>
      <c r="AD650" s="1"/>
      <c r="AE650" s="18"/>
      <c r="AF650" s="1"/>
      <c r="AG650" s="1"/>
      <c r="AH650" s="1" t="s">
        <v>1152</v>
      </c>
      <c r="AI650" s="1"/>
      <c r="AJ650" s="1"/>
      <c r="AK650" s="1"/>
      <c r="AL650" s="6" t="str">
        <f t="array" ref="AL650">IFERROR(IFS(XLOOKUP(B650, 'Kit Delivery Status'!$U:$U, 'Kit Delivery Status'!$K:$K) = "Complete", "DELIVERED", XLOOKUP(B650, 'Kit Delivery Status'!$U:$U, 'Kit Delivery Status'!$K:$K) = "Issue", "ISSUE"), "")</f>
        <v/>
      </c>
      <c r="AM650" s="6"/>
    </row>
    <row r="651">
      <c r="A651" s="5" t="s">
        <v>3474</v>
      </c>
      <c r="B651" s="1" t="s">
        <v>3475</v>
      </c>
      <c r="C651" s="1"/>
      <c r="D651" s="2">
        <v>9.175334035E9</v>
      </c>
      <c r="E651" s="1" t="s">
        <v>3476</v>
      </c>
      <c r="F651" s="1"/>
      <c r="G651" s="1" t="s">
        <v>1131</v>
      </c>
      <c r="H651" s="1" t="s">
        <v>751</v>
      </c>
      <c r="I651" s="1">
        <v>10538.0</v>
      </c>
      <c r="J651" s="1" t="s">
        <v>752</v>
      </c>
      <c r="K651" s="1" t="s">
        <v>51</v>
      </c>
      <c r="L651" s="1" t="s">
        <v>3293</v>
      </c>
      <c r="M651" s="1">
        <v>1.0</v>
      </c>
      <c r="N651" s="1" t="s">
        <v>2461</v>
      </c>
      <c r="O651" s="3" t="s">
        <v>3477</v>
      </c>
      <c r="P651" s="18">
        <v>45888.0</v>
      </c>
      <c r="Q651" s="1" t="s">
        <v>2463</v>
      </c>
      <c r="R651" s="1"/>
      <c r="S651" s="1" t="s">
        <v>2461</v>
      </c>
      <c r="T651" s="1" t="s">
        <v>2461</v>
      </c>
      <c r="U651" s="1" t="s">
        <v>1812</v>
      </c>
      <c r="V651" s="4" t="s">
        <v>3477</v>
      </c>
      <c r="W651" s="1"/>
      <c r="X651" s="18">
        <v>45888.0</v>
      </c>
      <c r="Y651" s="1" t="s">
        <v>1030</v>
      </c>
      <c r="Z651" s="1"/>
      <c r="AA651" s="1"/>
      <c r="AB651" s="1" t="s">
        <v>52</v>
      </c>
      <c r="AC651" s="1" t="s">
        <v>1925</v>
      </c>
      <c r="AD651" s="1"/>
      <c r="AE651" s="18"/>
      <c r="AF651" s="1"/>
      <c r="AG651" s="1"/>
      <c r="AH651" s="1" t="s">
        <v>1152</v>
      </c>
      <c r="AI651" s="1"/>
      <c r="AJ651" s="1"/>
      <c r="AK651" s="1"/>
      <c r="AL651" s="6" t="str">
        <f t="array" ref="AL651">IFERROR(IFS(XLOOKUP(B651, 'Kit Delivery Status'!$U:$U, 'Kit Delivery Status'!$K:$K) = "Complete", "DELIVERED", XLOOKUP(B651, 'Kit Delivery Status'!$U:$U, 'Kit Delivery Status'!$K:$K) = "Issue", "ISSUE"), "")</f>
        <v/>
      </c>
      <c r="AM651" s="6"/>
    </row>
    <row r="652">
      <c r="A652" s="5" t="s">
        <v>3478</v>
      </c>
      <c r="B652" s="1" t="s">
        <v>3479</v>
      </c>
      <c r="C652" s="1"/>
      <c r="D652" s="2">
        <v>7.812666995E9</v>
      </c>
      <c r="E652" s="1" t="s">
        <v>3480</v>
      </c>
      <c r="F652" s="1"/>
      <c r="G652" s="1" t="s">
        <v>2056</v>
      </c>
      <c r="H652" s="1" t="s">
        <v>1121</v>
      </c>
      <c r="I652" s="1">
        <v>2420.0</v>
      </c>
      <c r="J652" s="1" t="s">
        <v>752</v>
      </c>
      <c r="K652" s="1" t="s">
        <v>66</v>
      </c>
      <c r="L652" s="1" t="s">
        <v>3321</v>
      </c>
      <c r="M652" s="1">
        <v>210.0</v>
      </c>
      <c r="N652" s="1" t="s">
        <v>1152</v>
      </c>
      <c r="O652" s="3" t="s">
        <v>3481</v>
      </c>
      <c r="P652" s="18">
        <v>45883.0</v>
      </c>
      <c r="Q652" s="1" t="s">
        <v>1152</v>
      </c>
      <c r="R652" s="1"/>
      <c r="S652" s="1" t="s">
        <v>1152</v>
      </c>
      <c r="T652" s="1" t="s">
        <v>1152</v>
      </c>
      <c r="U652" s="1" t="s">
        <v>1080</v>
      </c>
      <c r="V652" s="4" t="s">
        <v>3481</v>
      </c>
      <c r="W652" s="1"/>
      <c r="X652" s="18">
        <v>45883.0</v>
      </c>
      <c r="Y652" s="1"/>
      <c r="Z652" s="1"/>
      <c r="AA652" s="1"/>
      <c r="AB652" s="1"/>
      <c r="AC652" s="1" t="s">
        <v>1925</v>
      </c>
      <c r="AD652" s="1"/>
      <c r="AE652" s="18"/>
      <c r="AF652" s="1"/>
      <c r="AG652" s="1"/>
      <c r="AH652" s="1" t="s">
        <v>1152</v>
      </c>
      <c r="AI652" s="1"/>
      <c r="AJ652" s="1"/>
      <c r="AK652" s="1"/>
      <c r="AL652" s="6" t="str">
        <f t="array" ref="AL652">IFERROR(IFS(XLOOKUP(B652, 'Kit Delivery Status'!$U:$U, 'Kit Delivery Status'!$K:$K) = "Complete", "DELIVERED", XLOOKUP(B652, 'Kit Delivery Status'!$U:$U, 'Kit Delivery Status'!$K:$K) = "Issue", "ISSUE"), "")</f>
        <v/>
      </c>
      <c r="AM652" s="6"/>
    </row>
    <row r="653">
      <c r="A653" s="5" t="s">
        <v>3482</v>
      </c>
      <c r="B653" s="1" t="s">
        <v>3483</v>
      </c>
      <c r="C653" s="1" t="s">
        <v>3484</v>
      </c>
      <c r="D653" s="2">
        <v>3.239255711E9</v>
      </c>
      <c r="E653" s="1" t="s">
        <v>3485</v>
      </c>
      <c r="F653" s="1"/>
      <c r="G653" s="1" t="s">
        <v>1179</v>
      </c>
      <c r="H653" s="1" t="s">
        <v>989</v>
      </c>
      <c r="I653" s="1">
        <v>90019.0</v>
      </c>
      <c r="J653" s="1" t="s">
        <v>752</v>
      </c>
      <c r="K653" s="1" t="s">
        <v>51</v>
      </c>
      <c r="L653" s="1" t="s">
        <v>3293</v>
      </c>
      <c r="M653" s="1">
        <v>1.0</v>
      </c>
      <c r="N653" s="1" t="s">
        <v>2461</v>
      </c>
      <c r="O653" s="3" t="s">
        <v>3486</v>
      </c>
      <c r="P653" s="18">
        <v>45890.0</v>
      </c>
      <c r="Q653" s="1" t="s">
        <v>2502</v>
      </c>
      <c r="R653" s="1"/>
      <c r="S653" s="1" t="s">
        <v>2461</v>
      </c>
      <c r="T653" s="1" t="s">
        <v>2461</v>
      </c>
      <c r="U653" s="1" t="s">
        <v>1201</v>
      </c>
      <c r="V653" s="4" t="s">
        <v>3486</v>
      </c>
      <c r="W653" s="1"/>
      <c r="X653" s="18">
        <v>45890.0</v>
      </c>
      <c r="Y653" s="1" t="s">
        <v>1630</v>
      </c>
      <c r="Z653" s="1"/>
      <c r="AA653" s="1"/>
      <c r="AB653" s="1" t="s">
        <v>52</v>
      </c>
      <c r="AC653" s="1" t="s">
        <v>1925</v>
      </c>
      <c r="AD653" s="1"/>
      <c r="AE653" s="18"/>
      <c r="AF653" s="1"/>
      <c r="AG653" s="1"/>
      <c r="AH653" s="1" t="s">
        <v>1152</v>
      </c>
      <c r="AI653" s="1"/>
      <c r="AJ653" s="1"/>
      <c r="AK653" s="1"/>
      <c r="AL653" s="6" t="str">
        <f t="array" ref="AL653">IFERROR(IFS(XLOOKUP(B653, 'Kit Delivery Status'!$U:$U, 'Kit Delivery Status'!$K:$K) = "Complete", "DELIVERED", XLOOKUP(B653, 'Kit Delivery Status'!$U:$U, 'Kit Delivery Status'!$K:$K) = "Issue", "ISSUE"), "")</f>
        <v/>
      </c>
      <c r="AM653" s="6"/>
    </row>
    <row r="654">
      <c r="A654" s="5" t="s">
        <v>3487</v>
      </c>
      <c r="B654" s="1" t="s">
        <v>3488</v>
      </c>
      <c r="C654" s="1" t="s">
        <v>3489</v>
      </c>
      <c r="D654" s="2">
        <v>9.179150686E9</v>
      </c>
      <c r="E654" s="1" t="s">
        <v>3490</v>
      </c>
      <c r="F654" s="1"/>
      <c r="G654" s="1" t="s">
        <v>751</v>
      </c>
      <c r="H654" s="1" t="s">
        <v>751</v>
      </c>
      <c r="I654" s="1">
        <v>10013.0</v>
      </c>
      <c r="J654" s="1" t="s">
        <v>752</v>
      </c>
      <c r="K654" s="1" t="s">
        <v>95</v>
      </c>
      <c r="L654" s="1" t="s">
        <v>3327</v>
      </c>
      <c r="M654" s="1">
        <v>49.0</v>
      </c>
      <c r="N654" s="1" t="s">
        <v>2461</v>
      </c>
      <c r="O654" s="3" t="s">
        <v>174</v>
      </c>
      <c r="P654" s="18">
        <v>45883.0</v>
      </c>
      <c r="Q654" s="1" t="s">
        <v>2463</v>
      </c>
      <c r="R654" s="1"/>
      <c r="S654" s="1" t="s">
        <v>2461</v>
      </c>
      <c r="T654" s="1" t="s">
        <v>2461</v>
      </c>
      <c r="U654" s="1" t="s">
        <v>1148</v>
      </c>
      <c r="V654" s="4" t="s">
        <v>174</v>
      </c>
      <c r="W654" s="1"/>
      <c r="X654" s="18">
        <v>45883.0</v>
      </c>
      <c r="Y654" s="1" t="s">
        <v>1030</v>
      </c>
      <c r="Z654" s="1"/>
      <c r="AA654" s="1"/>
      <c r="AB654" s="1" t="s">
        <v>52</v>
      </c>
      <c r="AC654" s="1" t="s">
        <v>3491</v>
      </c>
      <c r="AD654" s="1"/>
      <c r="AE654" s="18"/>
      <c r="AF654" s="1"/>
      <c r="AG654" s="1"/>
      <c r="AH654" s="1" t="s">
        <v>1152</v>
      </c>
      <c r="AI654" s="1"/>
      <c r="AJ654" s="1"/>
      <c r="AK654" s="1"/>
      <c r="AL654" s="6" t="str">
        <f t="array" ref="AL654">IFERROR(IFS(XLOOKUP(B654, 'Kit Delivery Status'!$U:$U, 'Kit Delivery Status'!$K:$K) = "Complete", "DELIVERED", XLOOKUP(B654, 'Kit Delivery Status'!$U:$U, 'Kit Delivery Status'!$K:$K) = "Issue", "ISSUE"), "")</f>
        <v/>
      </c>
      <c r="AM654" s="6"/>
    </row>
    <row r="655">
      <c r="A655" s="5" t="s">
        <v>3492</v>
      </c>
      <c r="B655" s="1" t="s">
        <v>3493</v>
      </c>
      <c r="C655" s="1" t="s">
        <v>3494</v>
      </c>
      <c r="D655" s="2">
        <v>12068568386</v>
      </c>
      <c r="E655" s="1" t="s">
        <v>3495</v>
      </c>
      <c r="F655" s="1"/>
      <c r="G655" s="1" t="s">
        <v>1964</v>
      </c>
      <c r="H655" s="1" t="s">
        <v>1964</v>
      </c>
      <c r="I655" s="1">
        <v>6629.0</v>
      </c>
      <c r="J655" s="1" t="s">
        <v>1965</v>
      </c>
      <c r="K655" s="1" t="s">
        <v>51</v>
      </c>
      <c r="L655" s="1" t="s">
        <v>3293</v>
      </c>
      <c r="M655" s="1">
        <v>1.0</v>
      </c>
      <c r="N655" s="1" t="s">
        <v>2461</v>
      </c>
      <c r="O655" s="3" t="s">
        <v>3277</v>
      </c>
      <c r="P655" s="18">
        <v>45883.0</v>
      </c>
      <c r="Q655" s="1" t="s">
        <v>2463</v>
      </c>
      <c r="R655" s="1"/>
      <c r="S655" s="1" t="s">
        <v>2461</v>
      </c>
      <c r="T655" s="1" t="s">
        <v>2461</v>
      </c>
      <c r="U655" s="1" t="s">
        <v>1055</v>
      </c>
      <c r="V655" s="4" t="s">
        <v>3277</v>
      </c>
      <c r="W655" s="1"/>
      <c r="X655" s="18">
        <v>45883.0</v>
      </c>
      <c r="Y655" s="1" t="s">
        <v>1030</v>
      </c>
      <c r="Z655" s="1"/>
      <c r="AA655" s="1"/>
      <c r="AB655" s="1" t="s">
        <v>52</v>
      </c>
      <c r="AC655" s="1" t="s">
        <v>1925</v>
      </c>
      <c r="AD655" s="1"/>
      <c r="AE655" s="18"/>
      <c r="AF655" s="1"/>
      <c r="AG655" s="1"/>
      <c r="AH655" s="1" t="s">
        <v>1152</v>
      </c>
      <c r="AI655" s="1"/>
      <c r="AJ655" s="1"/>
      <c r="AK655" s="1"/>
      <c r="AL655" s="6" t="str">
        <f t="array" ref="AL655">IFERROR(IFS(XLOOKUP(B655, 'Kit Delivery Status'!$U:$U, 'Kit Delivery Status'!$K:$K) = "Complete", "DELIVERED", XLOOKUP(B655, 'Kit Delivery Status'!$U:$U, 'Kit Delivery Status'!$K:$K) = "Issue", "ISSUE"), "")</f>
        <v/>
      </c>
      <c r="AM655" s="6"/>
    </row>
    <row r="656">
      <c r="A656" s="5" t="s">
        <v>3496</v>
      </c>
      <c r="B656" s="1" t="s">
        <v>3497</v>
      </c>
      <c r="C656" s="1" t="s">
        <v>3498</v>
      </c>
      <c r="D656" s="2">
        <v>2.01960196E9</v>
      </c>
      <c r="E656" s="1" t="s">
        <v>3499</v>
      </c>
      <c r="F656" s="1"/>
      <c r="G656" s="1" t="s">
        <v>3500</v>
      </c>
      <c r="H656" s="1" t="s">
        <v>1208</v>
      </c>
      <c r="I656" s="1">
        <v>34202.0</v>
      </c>
      <c r="J656" s="1" t="s">
        <v>752</v>
      </c>
      <c r="K656" s="1" t="s">
        <v>51</v>
      </c>
      <c r="L656" s="1" t="s">
        <v>3293</v>
      </c>
      <c r="M656" s="1">
        <v>1.0</v>
      </c>
      <c r="N656" s="1" t="s">
        <v>2461</v>
      </c>
      <c r="O656" s="3" t="s">
        <v>3501</v>
      </c>
      <c r="P656" s="18">
        <v>45889.0</v>
      </c>
      <c r="Q656" s="1" t="s">
        <v>3418</v>
      </c>
      <c r="R656" s="1"/>
      <c r="S656" s="1" t="s">
        <v>2461</v>
      </c>
      <c r="T656" s="1" t="s">
        <v>2461</v>
      </c>
      <c r="U656" s="1" t="s">
        <v>1828</v>
      </c>
      <c r="V656" s="4" t="s">
        <v>3501</v>
      </c>
      <c r="W656" s="1"/>
      <c r="X656" s="18">
        <v>45889.0</v>
      </c>
      <c r="Y656" s="1" t="s">
        <v>1103</v>
      </c>
      <c r="Z656" s="1"/>
      <c r="AA656" s="1"/>
      <c r="AB656" s="1" t="s">
        <v>52</v>
      </c>
      <c r="AC656" s="1" t="s">
        <v>1925</v>
      </c>
      <c r="AD656" s="1"/>
      <c r="AE656" s="18"/>
      <c r="AF656" s="1"/>
      <c r="AG656" s="1"/>
      <c r="AH656" s="1" t="s">
        <v>1152</v>
      </c>
      <c r="AI656" s="1"/>
      <c r="AJ656" s="1"/>
      <c r="AK656" s="1"/>
      <c r="AL656" s="6" t="str">
        <f t="array" ref="AL656">IFERROR(IFS(XLOOKUP(B656, 'Kit Delivery Status'!$U:$U, 'Kit Delivery Status'!$K:$K) = "Complete", "DELIVERED", XLOOKUP(B656, 'Kit Delivery Status'!$U:$U, 'Kit Delivery Status'!$K:$K) = "Issue", "ISSUE"), "")</f>
        <v/>
      </c>
      <c r="AM656" s="6"/>
    </row>
    <row r="657">
      <c r="A657" s="5" t="s">
        <v>3502</v>
      </c>
      <c r="B657" s="1" t="s">
        <v>3503</v>
      </c>
      <c r="C657" s="1" t="s">
        <v>3123</v>
      </c>
      <c r="D657" s="2">
        <v>4.156091971E9</v>
      </c>
      <c r="E657" s="1" t="s">
        <v>3504</v>
      </c>
      <c r="F657" s="1"/>
      <c r="G657" s="1" t="s">
        <v>3125</v>
      </c>
      <c r="H657" s="1" t="s">
        <v>989</v>
      </c>
      <c r="I657" s="1">
        <v>94117.0</v>
      </c>
      <c r="J657" s="1" t="s">
        <v>752</v>
      </c>
      <c r="K657" s="1" t="s">
        <v>66</v>
      </c>
      <c r="L657" s="1" t="s">
        <v>3364</v>
      </c>
      <c r="M657" s="1">
        <v>115.0</v>
      </c>
      <c r="N657" s="1" t="s">
        <v>1152</v>
      </c>
      <c r="O657" s="3" t="s">
        <v>3126</v>
      </c>
      <c r="P657" s="18">
        <v>45883.0</v>
      </c>
      <c r="Q657" s="1" t="s">
        <v>1152</v>
      </c>
      <c r="R657" s="1"/>
      <c r="S657" s="1" t="s">
        <v>1152</v>
      </c>
      <c r="T657" s="1" t="s">
        <v>1152</v>
      </c>
      <c r="U657" s="1" t="s">
        <v>1456</v>
      </c>
      <c r="V657" s="4" t="s">
        <v>3126</v>
      </c>
      <c r="W657" s="1"/>
      <c r="X657" s="18">
        <v>45883.0</v>
      </c>
      <c r="Y657" s="1"/>
      <c r="Z657" s="1"/>
      <c r="AA657" s="1"/>
      <c r="AB657" s="1"/>
      <c r="AC657" s="1" t="s">
        <v>1925</v>
      </c>
      <c r="AD657" s="1"/>
      <c r="AE657" s="18"/>
      <c r="AF657" s="1"/>
      <c r="AG657" s="1"/>
      <c r="AH657" s="1" t="s">
        <v>1152</v>
      </c>
      <c r="AI657" s="1"/>
      <c r="AJ657" s="1"/>
      <c r="AK657" s="1"/>
      <c r="AL657" s="6" t="str">
        <f t="array" ref="AL657">IFERROR(IFS(XLOOKUP(B657, 'Kit Delivery Status'!$U:$U, 'Kit Delivery Status'!$K:$K) = "Complete", "DELIVERED", XLOOKUP(B657, 'Kit Delivery Status'!$U:$U, 'Kit Delivery Status'!$K:$K) = "Issue", "ISSUE"), "")</f>
        <v/>
      </c>
      <c r="AM657" s="6"/>
    </row>
    <row r="658">
      <c r="A658" s="5" t="s">
        <v>3505</v>
      </c>
      <c r="B658" s="1" t="s">
        <v>3506</v>
      </c>
      <c r="C658" s="1" t="s">
        <v>3507</v>
      </c>
      <c r="D658" s="2">
        <v>6.145075668E9</v>
      </c>
      <c r="E658" s="1" t="s">
        <v>3508</v>
      </c>
      <c r="F658" s="1"/>
      <c r="G658" s="1" t="s">
        <v>3509</v>
      </c>
      <c r="H658" s="1" t="s">
        <v>2171</v>
      </c>
      <c r="I658" s="1">
        <v>43054.0</v>
      </c>
      <c r="J658" s="1" t="s">
        <v>752</v>
      </c>
      <c r="K658" s="1" t="s">
        <v>95</v>
      </c>
      <c r="L658" s="1" t="s">
        <v>3327</v>
      </c>
      <c r="M658" s="1">
        <v>49.0</v>
      </c>
      <c r="N658" s="1" t="s">
        <v>2461</v>
      </c>
      <c r="O658" s="3" t="s">
        <v>3510</v>
      </c>
      <c r="P658" s="18">
        <v>45883.0</v>
      </c>
      <c r="Q658" s="1" t="s">
        <v>2463</v>
      </c>
      <c r="R658" s="1"/>
      <c r="S658" s="1" t="s">
        <v>2461</v>
      </c>
      <c r="T658" s="1" t="s">
        <v>2461</v>
      </c>
      <c r="U658" s="1" t="s">
        <v>982</v>
      </c>
      <c r="V658" s="4" t="s">
        <v>3510</v>
      </c>
      <c r="W658" s="1"/>
      <c r="X658" s="18">
        <v>45883.0</v>
      </c>
      <c r="Y658" s="1" t="s">
        <v>1030</v>
      </c>
      <c r="Z658" s="1"/>
      <c r="AA658" s="1"/>
      <c r="AB658" s="1" t="s">
        <v>52</v>
      </c>
      <c r="AC658" s="1" t="s">
        <v>3511</v>
      </c>
      <c r="AD658" s="1"/>
      <c r="AE658" s="18"/>
      <c r="AF658" s="1"/>
      <c r="AG658" s="1"/>
      <c r="AH658" s="1" t="s">
        <v>1152</v>
      </c>
      <c r="AI658" s="1"/>
      <c r="AJ658" s="1"/>
      <c r="AK658" s="1"/>
      <c r="AL658" s="6" t="str">
        <f t="array" ref="AL658">IFERROR(IFS(XLOOKUP(B658, 'Kit Delivery Status'!$U:$U, 'Kit Delivery Status'!$K:$K) = "Complete", "DELIVERED", XLOOKUP(B658, 'Kit Delivery Status'!$U:$U, 'Kit Delivery Status'!$K:$K) = "Issue", "ISSUE"), "")</f>
        <v/>
      </c>
      <c r="AM658" s="6"/>
    </row>
    <row r="659">
      <c r="A659" s="5" t="s">
        <v>3505</v>
      </c>
      <c r="B659" s="1" t="s">
        <v>3506</v>
      </c>
      <c r="C659" s="1" t="s">
        <v>3507</v>
      </c>
      <c r="D659" s="2">
        <v>6.145075668E9</v>
      </c>
      <c r="E659" s="1" t="s">
        <v>3508</v>
      </c>
      <c r="F659" s="1"/>
      <c r="G659" s="1" t="s">
        <v>3509</v>
      </c>
      <c r="H659" s="1" t="s">
        <v>2171</v>
      </c>
      <c r="I659" s="1">
        <v>43054.0</v>
      </c>
      <c r="J659" s="1" t="s">
        <v>752</v>
      </c>
      <c r="K659" s="1" t="s">
        <v>66</v>
      </c>
      <c r="L659" s="1" t="s">
        <v>3350</v>
      </c>
      <c r="M659" s="1">
        <v>145.0</v>
      </c>
      <c r="N659" s="1" t="s">
        <v>1152</v>
      </c>
      <c r="O659" s="3" t="s">
        <v>3510</v>
      </c>
      <c r="P659" s="18">
        <v>45883.0</v>
      </c>
      <c r="Q659" s="1" t="s">
        <v>1152</v>
      </c>
      <c r="R659" s="1"/>
      <c r="S659" s="1" t="s">
        <v>1152</v>
      </c>
      <c r="T659" s="1" t="s">
        <v>1152</v>
      </c>
      <c r="U659" s="1" t="s">
        <v>982</v>
      </c>
      <c r="V659" s="4" t="s">
        <v>3510</v>
      </c>
      <c r="W659" s="1"/>
      <c r="X659" s="18">
        <v>45883.0</v>
      </c>
      <c r="Y659" s="1"/>
      <c r="Z659" s="1"/>
      <c r="AA659" s="1"/>
      <c r="AB659" s="1"/>
      <c r="AC659" s="1" t="s">
        <v>1925</v>
      </c>
      <c r="AD659" s="1"/>
      <c r="AE659" s="18"/>
      <c r="AF659" s="1"/>
      <c r="AG659" s="1"/>
      <c r="AH659" s="1" t="s">
        <v>1152</v>
      </c>
      <c r="AI659" s="1"/>
      <c r="AJ659" s="1"/>
      <c r="AK659" s="1"/>
      <c r="AL659" s="6" t="str">
        <f t="array" ref="AL659">IFERROR(IFS(XLOOKUP(B659, 'Kit Delivery Status'!$U:$U, 'Kit Delivery Status'!$K:$K) = "Complete", "DELIVERED", XLOOKUP(B659, 'Kit Delivery Status'!$U:$U, 'Kit Delivery Status'!$K:$K) = "Issue", "ISSUE"), "")</f>
        <v/>
      </c>
      <c r="AM659" s="6"/>
    </row>
    <row r="660">
      <c r="A660" s="5" t="s">
        <v>3512</v>
      </c>
      <c r="B660" s="1" t="s">
        <v>3513</v>
      </c>
      <c r="C660" s="1" t="s">
        <v>3514</v>
      </c>
      <c r="D660" s="2">
        <v>9.175796873E9</v>
      </c>
      <c r="E660" s="1" t="s">
        <v>3515</v>
      </c>
      <c r="F660" s="1"/>
      <c r="G660" s="1" t="s">
        <v>1283</v>
      </c>
      <c r="H660" s="1" t="s">
        <v>1155</v>
      </c>
      <c r="I660" s="1">
        <v>63130.0</v>
      </c>
      <c r="J660" s="1" t="s">
        <v>752</v>
      </c>
      <c r="K660" s="1" t="s">
        <v>95</v>
      </c>
      <c r="L660" s="1" t="s">
        <v>3327</v>
      </c>
      <c r="M660" s="1">
        <v>49.0</v>
      </c>
      <c r="N660" s="1" t="s">
        <v>2461</v>
      </c>
      <c r="O660" s="3" t="s">
        <v>3477</v>
      </c>
      <c r="P660" s="18">
        <v>45890.0</v>
      </c>
      <c r="Q660" s="1" t="s">
        <v>2502</v>
      </c>
      <c r="R660" s="1"/>
      <c r="S660" s="1" t="s">
        <v>2461</v>
      </c>
      <c r="T660" s="1" t="s">
        <v>2461</v>
      </c>
      <c r="U660" s="1" t="s">
        <v>1812</v>
      </c>
      <c r="V660" s="4" t="s">
        <v>3477</v>
      </c>
      <c r="W660" s="1"/>
      <c r="X660" s="18">
        <v>45890.0</v>
      </c>
      <c r="Y660" s="1" t="s">
        <v>1630</v>
      </c>
      <c r="Z660" s="1"/>
      <c r="AA660" s="1"/>
      <c r="AB660" s="1" t="s">
        <v>52</v>
      </c>
      <c r="AC660" s="1" t="s">
        <v>3516</v>
      </c>
      <c r="AD660" s="1"/>
      <c r="AE660" s="18"/>
      <c r="AF660" s="1"/>
      <c r="AG660" s="1"/>
      <c r="AH660" s="1" t="s">
        <v>1152</v>
      </c>
      <c r="AI660" s="1"/>
      <c r="AJ660" s="1"/>
      <c r="AK660" s="1"/>
      <c r="AL660" s="6" t="str">
        <f t="array" ref="AL660">IFERROR(IFS(XLOOKUP(B660, 'Kit Delivery Status'!$U:$U, 'Kit Delivery Status'!$K:$K) = "Complete", "DELIVERED", XLOOKUP(B660, 'Kit Delivery Status'!$U:$U, 'Kit Delivery Status'!$K:$K) = "Issue", "ISSUE"), "")</f>
        <v/>
      </c>
      <c r="AM660" s="6"/>
    </row>
    <row r="661">
      <c r="A661" s="5" t="s">
        <v>3517</v>
      </c>
      <c r="B661" s="1" t="s">
        <v>3518</v>
      </c>
      <c r="C661" s="1" t="s">
        <v>3519</v>
      </c>
      <c r="D661" s="2">
        <v>9.1799147E9</v>
      </c>
      <c r="E661" s="1" t="s">
        <v>3520</v>
      </c>
      <c r="F661" s="1"/>
      <c r="G661" s="1" t="s">
        <v>3521</v>
      </c>
      <c r="H661" s="1" t="s">
        <v>751</v>
      </c>
      <c r="I661" s="1">
        <v>11545.0</v>
      </c>
      <c r="J661" s="1" t="s">
        <v>752</v>
      </c>
      <c r="K661" s="1" t="s">
        <v>95</v>
      </c>
      <c r="L661" s="1" t="s">
        <v>3327</v>
      </c>
      <c r="M661" s="1">
        <v>49.0</v>
      </c>
      <c r="N661" s="1" t="s">
        <v>2461</v>
      </c>
      <c r="O661" s="3" t="s">
        <v>3477</v>
      </c>
      <c r="P661" s="18">
        <v>45883.0</v>
      </c>
      <c r="Q661" s="1" t="s">
        <v>2463</v>
      </c>
      <c r="R661" s="1"/>
      <c r="S661" s="1" t="s">
        <v>2461</v>
      </c>
      <c r="T661" s="1" t="s">
        <v>2461</v>
      </c>
      <c r="U661" s="1" t="s">
        <v>1812</v>
      </c>
      <c r="V661" s="4" t="s">
        <v>3477</v>
      </c>
      <c r="W661" s="1"/>
      <c r="X661" s="18">
        <v>45883.0</v>
      </c>
      <c r="Y661" s="1" t="s">
        <v>1030</v>
      </c>
      <c r="Z661" s="1"/>
      <c r="AA661" s="1"/>
      <c r="AB661" s="1" t="s">
        <v>52</v>
      </c>
      <c r="AC661" s="1" t="s">
        <v>3522</v>
      </c>
      <c r="AD661" s="1"/>
      <c r="AE661" s="18"/>
      <c r="AF661" s="1"/>
      <c r="AG661" s="1"/>
      <c r="AH661" s="1" t="s">
        <v>1152</v>
      </c>
      <c r="AI661" s="1"/>
      <c r="AJ661" s="1"/>
      <c r="AK661" s="1"/>
      <c r="AL661" s="6" t="str">
        <f t="array" ref="AL661">IFERROR(IFS(XLOOKUP(B661, 'Kit Delivery Status'!$U:$U, 'Kit Delivery Status'!$K:$K) = "Complete", "DELIVERED", XLOOKUP(B661, 'Kit Delivery Status'!$U:$U, 'Kit Delivery Status'!$K:$K) = "Issue", "ISSUE"), "")</f>
        <v/>
      </c>
      <c r="AM661" s="6"/>
    </row>
    <row r="662">
      <c r="A662" s="5" t="s">
        <v>3523</v>
      </c>
      <c r="B662" s="1" t="s">
        <v>3524</v>
      </c>
      <c r="C662" s="1" t="s">
        <v>3525</v>
      </c>
      <c r="D662" s="2">
        <v>4.109917025E9</v>
      </c>
      <c r="E662" s="1" t="s">
        <v>3526</v>
      </c>
      <c r="F662" s="1" t="s">
        <v>3527</v>
      </c>
      <c r="G662" s="1" t="s">
        <v>3528</v>
      </c>
      <c r="H662" s="1" t="s">
        <v>1005</v>
      </c>
      <c r="I662" s="1">
        <v>21638.0</v>
      </c>
      <c r="J662" s="1" t="s">
        <v>752</v>
      </c>
      <c r="K662" s="1" t="s">
        <v>95</v>
      </c>
      <c r="L662" s="1" t="s">
        <v>3327</v>
      </c>
      <c r="M662" s="1">
        <v>49.0</v>
      </c>
      <c r="N662" s="1" t="s">
        <v>2487</v>
      </c>
      <c r="O662" s="3"/>
      <c r="P662" s="18">
        <v>45889.0</v>
      </c>
      <c r="Q662" s="1" t="s">
        <v>2852</v>
      </c>
      <c r="R662" s="1" t="s">
        <v>3529</v>
      </c>
      <c r="S662" s="1" t="s">
        <v>2487</v>
      </c>
      <c r="T662" s="1" t="s">
        <v>2487</v>
      </c>
      <c r="U662" s="1"/>
      <c r="V662" s="4"/>
      <c r="W662" s="1" t="s">
        <v>3529</v>
      </c>
      <c r="X662" s="18">
        <v>45889.0</v>
      </c>
      <c r="Y662" s="1" t="s">
        <v>2852</v>
      </c>
      <c r="Z662" s="1"/>
      <c r="AA662" s="1" t="s">
        <v>3529</v>
      </c>
      <c r="AB662" s="1" t="s">
        <v>124</v>
      </c>
      <c r="AC662" s="1" t="s">
        <v>3530</v>
      </c>
      <c r="AD662" s="1"/>
      <c r="AE662" s="18"/>
      <c r="AF662" s="1"/>
      <c r="AG662" s="1"/>
      <c r="AH662" s="1" t="s">
        <v>1152</v>
      </c>
      <c r="AI662" s="1"/>
      <c r="AJ662" s="1"/>
      <c r="AK662" s="1"/>
      <c r="AL662" s="6" t="str">
        <f t="array" ref="AL662">IFERROR(IFS(XLOOKUP(B662, 'Kit Delivery Status'!$U:$U, 'Kit Delivery Status'!$K:$K) = "Complete", "DELIVERED", XLOOKUP(B662, 'Kit Delivery Status'!$U:$U, 'Kit Delivery Status'!$K:$K) = "Issue", "ISSUE"), "")</f>
        <v/>
      </c>
      <c r="AM662" s="6"/>
    </row>
    <row r="663">
      <c r="A663" s="5" t="s">
        <v>3531</v>
      </c>
      <c r="B663" s="1" t="s">
        <v>3532</v>
      </c>
      <c r="C663" s="1"/>
      <c r="D663" s="2">
        <v>8.589995331E9</v>
      </c>
      <c r="E663" s="1" t="s">
        <v>2135</v>
      </c>
      <c r="F663" s="1"/>
      <c r="G663" s="1" t="s">
        <v>2136</v>
      </c>
      <c r="H663" s="1" t="s">
        <v>1155</v>
      </c>
      <c r="I663" s="1">
        <v>63117.0</v>
      </c>
      <c r="J663" s="1" t="s">
        <v>752</v>
      </c>
      <c r="K663" s="1" t="s">
        <v>2577</v>
      </c>
      <c r="L663" s="1" t="s">
        <v>3533</v>
      </c>
      <c r="M663" s="1">
        <v>1.0</v>
      </c>
      <c r="N663" s="1" t="s">
        <v>2579</v>
      </c>
      <c r="O663" s="3" t="s">
        <v>103</v>
      </c>
      <c r="P663" s="18">
        <v>45861.0</v>
      </c>
      <c r="Q663" s="1" t="s">
        <v>3534</v>
      </c>
      <c r="R663" s="1"/>
      <c r="S663" s="1" t="s">
        <v>2579</v>
      </c>
      <c r="T663" s="1" t="s">
        <v>2579</v>
      </c>
      <c r="U663" s="1" t="s">
        <v>1343</v>
      </c>
      <c r="V663" s="4" t="s">
        <v>103</v>
      </c>
      <c r="W663" s="1"/>
      <c r="X663" s="18">
        <v>45861.0</v>
      </c>
      <c r="Y663" s="1"/>
      <c r="Z663" s="1"/>
      <c r="AA663" s="1"/>
      <c r="AB663" s="1"/>
      <c r="AC663" s="1" t="s">
        <v>1925</v>
      </c>
      <c r="AD663" s="1"/>
      <c r="AE663" s="18"/>
      <c r="AF663" s="1"/>
      <c r="AG663" s="1"/>
      <c r="AH663" s="1" t="s">
        <v>1152</v>
      </c>
      <c r="AI663" s="1" t="s">
        <v>3535</v>
      </c>
      <c r="AJ663" s="1"/>
      <c r="AK663" s="1"/>
      <c r="AL663" s="6" t="str">
        <f t="array" ref="AL663">IFERROR(IFS(XLOOKUP(B663, 'Kit Delivery Status'!$U:$U, 'Kit Delivery Status'!$K:$K) = "Complete", "DELIVERED", XLOOKUP(B663, 'Kit Delivery Status'!$U:$U, 'Kit Delivery Status'!$K:$K) = "Issue", "ISSUE"), "")</f>
        <v/>
      </c>
      <c r="AM663" s="6"/>
    </row>
    <row r="664">
      <c r="A664" s="5" t="s">
        <v>3536</v>
      </c>
      <c r="B664" s="1" t="s">
        <v>3537</v>
      </c>
      <c r="C664" s="1"/>
      <c r="D664" s="2"/>
      <c r="E664" s="1" t="s">
        <v>3538</v>
      </c>
      <c r="F664" s="1" t="s">
        <v>3539</v>
      </c>
      <c r="G664" s="1" t="s">
        <v>3540</v>
      </c>
      <c r="H664" s="1" t="s">
        <v>1078</v>
      </c>
      <c r="I664" s="1" t="s">
        <v>3541</v>
      </c>
      <c r="J664" s="1" t="s">
        <v>752</v>
      </c>
      <c r="K664" s="1" t="s">
        <v>42</v>
      </c>
      <c r="L664" s="1" t="s">
        <v>3542</v>
      </c>
      <c r="M664" s="1">
        <v>49.0</v>
      </c>
      <c r="N664" s="1" t="s">
        <v>1152</v>
      </c>
      <c r="O664" s="3"/>
      <c r="P664" s="1" t="s">
        <v>1152</v>
      </c>
      <c r="Q664" s="1" t="s">
        <v>1152</v>
      </c>
      <c r="R664" s="1" t="s">
        <v>3539</v>
      </c>
      <c r="S664" s="1" t="s">
        <v>1152</v>
      </c>
      <c r="T664" s="1" t="s">
        <v>1152</v>
      </c>
      <c r="U664" s="1"/>
      <c r="V664" s="4"/>
      <c r="W664" s="1" t="s">
        <v>3539</v>
      </c>
      <c r="X664" s="18"/>
      <c r="Y664" s="1"/>
      <c r="Z664" s="1"/>
      <c r="AA664" s="1" t="s">
        <v>3539</v>
      </c>
      <c r="AB664" s="1"/>
      <c r="AC664" s="1" t="s">
        <v>1925</v>
      </c>
      <c r="AD664" s="1"/>
      <c r="AE664" s="18">
        <v>45883.0</v>
      </c>
      <c r="AF664" s="1" t="s">
        <v>1349</v>
      </c>
      <c r="AG664" s="1" t="s">
        <v>124</v>
      </c>
      <c r="AH664" s="1" t="s">
        <v>1152</v>
      </c>
      <c r="AI664" s="1"/>
      <c r="AJ664" s="1"/>
      <c r="AK664" s="1"/>
      <c r="AL664" s="6" t="str">
        <f t="array" ref="AL664">IFERROR(IFS(XLOOKUP(B664, 'Kit Delivery Status'!$U:$U, 'Kit Delivery Status'!$K:$K) = "Complete", "DELIVERED", XLOOKUP(B664, 'Kit Delivery Status'!$U:$U, 'Kit Delivery Status'!$K:$K) = "Issue", "ISSUE"), "")</f>
        <v/>
      </c>
      <c r="AM664" s="6"/>
    </row>
    <row r="665">
      <c r="A665" s="5" t="s">
        <v>3543</v>
      </c>
      <c r="B665" s="1" t="s">
        <v>3544</v>
      </c>
      <c r="C665" s="1" t="s">
        <v>3545</v>
      </c>
      <c r="D665" s="2">
        <v>9.178486818E9</v>
      </c>
      <c r="E665" s="1" t="s">
        <v>3546</v>
      </c>
      <c r="F665" s="1" t="s">
        <v>3547</v>
      </c>
      <c r="G665" s="1" t="s">
        <v>751</v>
      </c>
      <c r="H665" s="1" t="s">
        <v>751</v>
      </c>
      <c r="I665" s="1">
        <v>10075.0</v>
      </c>
      <c r="J665" s="1" t="s">
        <v>752</v>
      </c>
      <c r="K665" s="1" t="s">
        <v>51</v>
      </c>
      <c r="L665" s="1" t="s">
        <v>3293</v>
      </c>
      <c r="M665" s="1">
        <v>1.0</v>
      </c>
      <c r="N665" s="1" t="s">
        <v>2487</v>
      </c>
      <c r="O665" s="3"/>
      <c r="P665" s="18">
        <v>45891.0</v>
      </c>
      <c r="Q665" s="1" t="s">
        <v>2731</v>
      </c>
      <c r="R665" s="1" t="s">
        <v>3547</v>
      </c>
      <c r="S665" s="1" t="s">
        <v>2487</v>
      </c>
      <c r="T665" s="1" t="s">
        <v>2487</v>
      </c>
      <c r="U665" s="1"/>
      <c r="V665" s="4"/>
      <c r="W665" s="1" t="s">
        <v>3547</v>
      </c>
      <c r="X665" s="18">
        <v>45891.0</v>
      </c>
      <c r="Y665" s="1" t="s">
        <v>1349</v>
      </c>
      <c r="Z665" s="1"/>
      <c r="AA665" s="1" t="s">
        <v>3547</v>
      </c>
      <c r="AB665" s="1" t="s">
        <v>124</v>
      </c>
      <c r="AC665" s="1" t="s">
        <v>1925</v>
      </c>
      <c r="AD665" s="1"/>
      <c r="AE665" s="18"/>
      <c r="AF665" s="1"/>
      <c r="AG665" s="1"/>
      <c r="AH665" s="1" t="s">
        <v>1152</v>
      </c>
      <c r="AI665" s="1"/>
      <c r="AJ665" s="1"/>
      <c r="AK665" s="1"/>
      <c r="AL665" s="6" t="str">
        <f t="array" ref="AL665">IFERROR(IFS(XLOOKUP(B665, 'Kit Delivery Status'!$U:$U, 'Kit Delivery Status'!$K:$K) = "Complete", "DELIVERED", XLOOKUP(B665, 'Kit Delivery Status'!$U:$U, 'Kit Delivery Status'!$K:$K) = "Issue", "ISSUE"), "")</f>
        <v/>
      </c>
      <c r="AM665" s="6"/>
    </row>
    <row r="666">
      <c r="A666" s="5" t="s">
        <v>3548</v>
      </c>
      <c r="B666" s="1" t="s">
        <v>3549</v>
      </c>
      <c r="C666" s="1" t="s">
        <v>880</v>
      </c>
      <c r="D666" s="2">
        <v>6.506447533E9</v>
      </c>
      <c r="E666" s="1" t="s">
        <v>881</v>
      </c>
      <c r="F666" s="1" t="s">
        <v>3550</v>
      </c>
      <c r="G666" s="1" t="s">
        <v>3551</v>
      </c>
      <c r="H666" s="1" t="s">
        <v>989</v>
      </c>
      <c r="I666" s="1">
        <v>94025.0</v>
      </c>
      <c r="J666" s="1" t="s">
        <v>752</v>
      </c>
      <c r="K666" s="1" t="s">
        <v>51</v>
      </c>
      <c r="L666" s="1" t="s">
        <v>3293</v>
      </c>
      <c r="M666" s="1">
        <v>1.0</v>
      </c>
      <c r="N666" s="1" t="s">
        <v>2487</v>
      </c>
      <c r="O666" s="3"/>
      <c r="P666" s="18">
        <v>45871.0</v>
      </c>
      <c r="Q666" s="1" t="s">
        <v>2502</v>
      </c>
      <c r="R666" s="1" t="s">
        <v>3550</v>
      </c>
      <c r="S666" s="1" t="s">
        <v>2487</v>
      </c>
      <c r="T666" s="1" t="s">
        <v>2487</v>
      </c>
      <c r="U666" s="1"/>
      <c r="V666" s="4"/>
      <c r="W666" s="1" t="s">
        <v>3550</v>
      </c>
      <c r="X666" s="18">
        <v>45871.0</v>
      </c>
      <c r="Y666" s="1" t="s">
        <v>1630</v>
      </c>
      <c r="Z666" s="1"/>
      <c r="AA666" s="1" t="s">
        <v>3550</v>
      </c>
      <c r="AB666" s="1" t="s">
        <v>124</v>
      </c>
      <c r="AC666" s="1" t="s">
        <v>1925</v>
      </c>
      <c r="AD666" s="1"/>
      <c r="AE666" s="18"/>
      <c r="AF666" s="1"/>
      <c r="AG666" s="1"/>
      <c r="AH666" s="1" t="s">
        <v>1152</v>
      </c>
      <c r="AI666" s="1"/>
      <c r="AJ666" s="1"/>
      <c r="AK666" s="1"/>
      <c r="AL666" s="6" t="str">
        <f t="array" ref="AL666">IFERROR(IFS(XLOOKUP(B666, 'Kit Delivery Status'!$U:$U, 'Kit Delivery Status'!$K:$K) = "Complete", "DELIVERED", XLOOKUP(B666, 'Kit Delivery Status'!$U:$U, 'Kit Delivery Status'!$K:$K) = "Issue", "ISSUE"), "")</f>
        <v/>
      </c>
      <c r="AM666" s="6"/>
    </row>
    <row r="667">
      <c r="A667" s="5" t="s">
        <v>3552</v>
      </c>
      <c r="B667" s="1" t="s">
        <v>3553</v>
      </c>
      <c r="C667" s="1" t="s">
        <v>3554</v>
      </c>
      <c r="D667" s="2">
        <v>1.2145634258E10</v>
      </c>
      <c r="E667" s="1" t="s">
        <v>3555</v>
      </c>
      <c r="F667" s="1"/>
      <c r="G667" s="1" t="s">
        <v>3556</v>
      </c>
      <c r="H667" s="1" t="s">
        <v>1583</v>
      </c>
      <c r="I667" s="1">
        <v>75244.0</v>
      </c>
      <c r="J667" s="1" t="s">
        <v>752</v>
      </c>
      <c r="K667" s="1" t="s">
        <v>95</v>
      </c>
      <c r="L667" s="1" t="s">
        <v>3327</v>
      </c>
      <c r="M667" s="1">
        <v>49.0</v>
      </c>
      <c r="N667" s="1" t="s">
        <v>2461</v>
      </c>
      <c r="O667" s="3" t="s">
        <v>3557</v>
      </c>
      <c r="P667" s="18">
        <v>45880.0</v>
      </c>
      <c r="Q667" s="1" t="s">
        <v>2463</v>
      </c>
      <c r="R667" s="1"/>
      <c r="S667" s="1" t="s">
        <v>2461</v>
      </c>
      <c r="T667" s="1" t="s">
        <v>2461</v>
      </c>
      <c r="U667" s="1" t="s">
        <v>1039</v>
      </c>
      <c r="V667" s="4" t="s">
        <v>3557</v>
      </c>
      <c r="W667" s="1"/>
      <c r="X667" s="18">
        <v>45880.0</v>
      </c>
      <c r="Y667" s="1" t="s">
        <v>1030</v>
      </c>
      <c r="Z667" s="1"/>
      <c r="AA667" s="1"/>
      <c r="AB667" s="1" t="s">
        <v>52</v>
      </c>
      <c r="AC667" s="1" t="s">
        <v>3558</v>
      </c>
      <c r="AD667" s="1"/>
      <c r="AE667" s="18"/>
      <c r="AF667" s="1"/>
      <c r="AG667" s="1"/>
      <c r="AH667" s="1" t="s">
        <v>1152</v>
      </c>
      <c r="AI667" s="1"/>
      <c r="AJ667" s="1"/>
      <c r="AK667" s="1"/>
      <c r="AL667" s="6" t="str">
        <f t="array" ref="AL667">IFERROR(IFS(XLOOKUP(B667, 'Kit Delivery Status'!$U:$U, 'Kit Delivery Status'!$K:$K) = "Complete", "DELIVERED", XLOOKUP(B667, 'Kit Delivery Status'!$U:$U, 'Kit Delivery Status'!$K:$K) = "Issue", "ISSUE"), "")</f>
        <v/>
      </c>
      <c r="AM667" s="6"/>
    </row>
    <row r="668">
      <c r="A668" s="5" t="s">
        <v>3559</v>
      </c>
      <c r="B668" s="1" t="s">
        <v>3560</v>
      </c>
      <c r="C668" s="1" t="s">
        <v>3561</v>
      </c>
      <c r="D668" s="2">
        <v>9.166999502E9</v>
      </c>
      <c r="E668" s="1" t="s">
        <v>3562</v>
      </c>
      <c r="F668" s="1"/>
      <c r="G668" s="1" t="s">
        <v>3563</v>
      </c>
      <c r="H668" s="1" t="s">
        <v>989</v>
      </c>
      <c r="I668" s="1">
        <v>95648.0</v>
      </c>
      <c r="J668" s="1" t="s">
        <v>752</v>
      </c>
      <c r="K668" s="1" t="s">
        <v>51</v>
      </c>
      <c r="L668" s="1" t="s">
        <v>3293</v>
      </c>
      <c r="M668" s="1">
        <v>1.0</v>
      </c>
      <c r="N668" s="1" t="s">
        <v>2461</v>
      </c>
      <c r="O668" s="3" t="s">
        <v>3564</v>
      </c>
      <c r="P668" s="18">
        <v>45889.0</v>
      </c>
      <c r="Q668" s="1" t="s">
        <v>3418</v>
      </c>
      <c r="R668" s="1"/>
      <c r="S668" s="1" t="s">
        <v>2461</v>
      </c>
      <c r="T668" s="1" t="s">
        <v>2461</v>
      </c>
      <c r="U668" s="1" t="s">
        <v>1407</v>
      </c>
      <c r="V668" s="4" t="s">
        <v>3564</v>
      </c>
      <c r="W668" s="1"/>
      <c r="X668" s="18">
        <v>45889.0</v>
      </c>
      <c r="Y668" s="1" t="s">
        <v>1103</v>
      </c>
      <c r="Z668" s="1"/>
      <c r="AA668" s="1"/>
      <c r="AB668" s="1" t="s">
        <v>52</v>
      </c>
      <c r="AC668" s="1" t="s">
        <v>1925</v>
      </c>
      <c r="AD668" s="1"/>
      <c r="AE668" s="18"/>
      <c r="AF668" s="1"/>
      <c r="AG668" s="1"/>
      <c r="AH668" s="1" t="s">
        <v>1152</v>
      </c>
      <c r="AI668" s="1"/>
      <c r="AJ668" s="1"/>
      <c r="AK668" s="1"/>
      <c r="AL668" s="6" t="str">
        <f t="array" ref="AL668">IFERROR(IFS(XLOOKUP(B668, 'Kit Delivery Status'!$U:$U, 'Kit Delivery Status'!$K:$K) = "Complete", "DELIVERED", XLOOKUP(B668, 'Kit Delivery Status'!$U:$U, 'Kit Delivery Status'!$K:$K) = "Issue", "ISSUE"), "")</f>
        <v/>
      </c>
      <c r="AM668" s="6"/>
    </row>
    <row r="669">
      <c r="A669" s="5" t="s">
        <v>3565</v>
      </c>
      <c r="B669" s="1" t="s">
        <v>3566</v>
      </c>
      <c r="C669" s="1"/>
      <c r="D669" s="2">
        <v>15127882282</v>
      </c>
      <c r="E669" s="1" t="s">
        <v>3567</v>
      </c>
      <c r="F669" s="1"/>
      <c r="G669" s="1" t="s">
        <v>1582</v>
      </c>
      <c r="H669" s="1" t="s">
        <v>1583</v>
      </c>
      <c r="I669" s="1">
        <v>78733.0</v>
      </c>
      <c r="J669" s="1" t="s">
        <v>752</v>
      </c>
      <c r="K669" s="1" t="s">
        <v>95</v>
      </c>
      <c r="L669" s="1" t="s">
        <v>3327</v>
      </c>
      <c r="M669" s="1">
        <v>49.0</v>
      </c>
      <c r="N669" s="1" t="s">
        <v>2461</v>
      </c>
      <c r="O669" s="3" t="s">
        <v>3568</v>
      </c>
      <c r="P669" s="18">
        <v>45883.0</v>
      </c>
      <c r="Q669" s="1" t="s">
        <v>2463</v>
      </c>
      <c r="R669" s="1"/>
      <c r="S669" s="1" t="s">
        <v>2461</v>
      </c>
      <c r="T669" s="1" t="s">
        <v>2461</v>
      </c>
      <c r="U669" s="1" t="s">
        <v>982</v>
      </c>
      <c r="V669" s="4" t="s">
        <v>3568</v>
      </c>
      <c r="W669" s="1"/>
      <c r="X669" s="18">
        <v>45883.0</v>
      </c>
      <c r="Y669" s="1" t="s">
        <v>1030</v>
      </c>
      <c r="Z669" s="1"/>
      <c r="AA669" s="1"/>
      <c r="AB669" s="1" t="s">
        <v>52</v>
      </c>
      <c r="AC669" s="1" t="s">
        <v>3569</v>
      </c>
      <c r="AD669" s="1"/>
      <c r="AE669" s="18"/>
      <c r="AF669" s="1"/>
      <c r="AG669" s="1"/>
      <c r="AH669" s="1" t="s">
        <v>1152</v>
      </c>
      <c r="AI669" s="1"/>
      <c r="AJ669" s="1"/>
      <c r="AK669" s="1"/>
      <c r="AL669" s="6" t="str">
        <f t="array" ref="AL669">IFERROR(IFS(XLOOKUP(B669, 'Kit Delivery Status'!$U:$U, 'Kit Delivery Status'!$K:$K) = "Complete", "DELIVERED", XLOOKUP(B669, 'Kit Delivery Status'!$U:$U, 'Kit Delivery Status'!$K:$K) = "Issue", "ISSUE"), "")</f>
        <v/>
      </c>
      <c r="AM669" s="6"/>
    </row>
    <row r="670">
      <c r="A670" s="5" t="s">
        <v>3570</v>
      </c>
      <c r="B670" s="1" t="s">
        <v>3571</v>
      </c>
      <c r="C670" s="1" t="s">
        <v>3572</v>
      </c>
      <c r="D670" s="2">
        <v>7.865079948E9</v>
      </c>
      <c r="E670" s="1" t="s">
        <v>3573</v>
      </c>
      <c r="F670" s="1"/>
      <c r="G670" s="1" t="s">
        <v>2452</v>
      </c>
      <c r="H670" s="1" t="s">
        <v>1208</v>
      </c>
      <c r="I670" s="1">
        <v>33614.0</v>
      </c>
      <c r="J670" s="1" t="s">
        <v>752</v>
      </c>
      <c r="K670" s="1" t="s">
        <v>51</v>
      </c>
      <c r="L670" s="1" t="s">
        <v>3293</v>
      </c>
      <c r="M670" s="1">
        <v>1.0</v>
      </c>
      <c r="N670" s="1" t="s">
        <v>2461</v>
      </c>
      <c r="O670" s="3" t="s">
        <v>3574</v>
      </c>
      <c r="P670" s="18">
        <v>45890.0</v>
      </c>
      <c r="Q670" s="1" t="s">
        <v>2731</v>
      </c>
      <c r="R670" s="1"/>
      <c r="S670" s="1" t="s">
        <v>2461</v>
      </c>
      <c r="T670" s="1" t="s">
        <v>2461</v>
      </c>
      <c r="U670" s="1" t="s">
        <v>1441</v>
      </c>
      <c r="V670" s="4" t="s">
        <v>3574</v>
      </c>
      <c r="W670" s="1"/>
      <c r="X670" s="18">
        <v>45890.0</v>
      </c>
      <c r="Y670" s="1" t="s">
        <v>1349</v>
      </c>
      <c r="Z670" s="1"/>
      <c r="AA670" s="1"/>
      <c r="AB670" s="1" t="s">
        <v>52</v>
      </c>
      <c r="AC670" s="1" t="s">
        <v>1925</v>
      </c>
      <c r="AD670" s="1"/>
      <c r="AE670" s="18"/>
      <c r="AF670" s="1"/>
      <c r="AG670" s="1"/>
      <c r="AH670" s="1" t="s">
        <v>1152</v>
      </c>
      <c r="AI670" s="1"/>
      <c r="AJ670" s="1"/>
      <c r="AK670" s="1"/>
      <c r="AL670" s="6" t="str">
        <f t="array" ref="AL670">IFERROR(IFS(XLOOKUP(B670, 'Kit Delivery Status'!$U:$U, 'Kit Delivery Status'!$K:$K) = "Complete", "DELIVERED", XLOOKUP(B670, 'Kit Delivery Status'!$U:$U, 'Kit Delivery Status'!$K:$K) = "Issue", "ISSUE"), "")</f>
        <v/>
      </c>
      <c r="AM670" s="6"/>
    </row>
    <row r="671">
      <c r="A671" s="5" t="s">
        <v>3575</v>
      </c>
      <c r="B671" s="1" t="s">
        <v>3576</v>
      </c>
      <c r="C671" s="1" t="s">
        <v>3577</v>
      </c>
      <c r="D671" s="2">
        <v>14372456625</v>
      </c>
      <c r="E671" s="1" t="s">
        <v>3578</v>
      </c>
      <c r="F671" s="1"/>
      <c r="G671" s="1" t="s">
        <v>3579</v>
      </c>
      <c r="H671" s="1" t="s">
        <v>3580</v>
      </c>
      <c r="I671" s="1" t="s">
        <v>3581</v>
      </c>
      <c r="J671" s="1" t="s">
        <v>3582</v>
      </c>
      <c r="K671" s="1" t="s">
        <v>66</v>
      </c>
      <c r="L671" s="1" t="s">
        <v>3364</v>
      </c>
      <c r="M671" s="1">
        <v>115.0</v>
      </c>
      <c r="N671" s="1" t="s">
        <v>1152</v>
      </c>
      <c r="O671" s="3" t="s">
        <v>1493</v>
      </c>
      <c r="P671" s="18">
        <v>45881.0</v>
      </c>
      <c r="Q671" s="1" t="s">
        <v>1152</v>
      </c>
      <c r="R671" s="1"/>
      <c r="S671" s="1" t="s">
        <v>1152</v>
      </c>
      <c r="T671" s="1" t="s">
        <v>1152</v>
      </c>
      <c r="U671" s="1" t="s">
        <v>1039</v>
      </c>
      <c r="V671" s="4" t="s">
        <v>1493</v>
      </c>
      <c r="W671" s="1"/>
      <c r="X671" s="18">
        <v>45881.0</v>
      </c>
      <c r="Y671" s="1"/>
      <c r="Z671" s="1"/>
      <c r="AA671" s="1"/>
      <c r="AB671" s="1"/>
      <c r="AC671" s="1" t="s">
        <v>1925</v>
      </c>
      <c r="AD671" s="1"/>
      <c r="AE671" s="18"/>
      <c r="AF671" s="1"/>
      <c r="AG671" s="1"/>
      <c r="AH671" s="1" t="s">
        <v>1152</v>
      </c>
      <c r="AI671" s="1"/>
      <c r="AJ671" s="1"/>
      <c r="AK671" s="1"/>
      <c r="AL671" s="6" t="str">
        <f t="array" ref="AL671">IFERROR(IFS(XLOOKUP(B671, 'Kit Delivery Status'!$U:$U, 'Kit Delivery Status'!$K:$K) = "Complete", "DELIVERED", XLOOKUP(B671, 'Kit Delivery Status'!$U:$U, 'Kit Delivery Status'!$K:$K) = "Issue", "ISSUE"), "")</f>
        <v/>
      </c>
      <c r="AM671" s="6"/>
    </row>
    <row r="672">
      <c r="A672" s="5" t="s">
        <v>3583</v>
      </c>
      <c r="B672" s="1" t="s">
        <v>3584</v>
      </c>
      <c r="C672" s="1" t="s">
        <v>206</v>
      </c>
      <c r="D672" s="2">
        <v>9.084187448E9</v>
      </c>
      <c r="E672" s="1" t="s">
        <v>3585</v>
      </c>
      <c r="F672" s="1"/>
      <c r="G672" s="1" t="s">
        <v>3586</v>
      </c>
      <c r="H672" s="1" t="s">
        <v>1053</v>
      </c>
      <c r="I672" s="1">
        <v>7960.0</v>
      </c>
      <c r="J672" s="1" t="s">
        <v>752</v>
      </c>
      <c r="K672" s="1" t="s">
        <v>66</v>
      </c>
      <c r="L672" s="1" t="s">
        <v>3321</v>
      </c>
      <c r="M672" s="1">
        <v>210.0</v>
      </c>
      <c r="N672" s="1" t="s">
        <v>1152</v>
      </c>
      <c r="O672" s="3" t="s">
        <v>3587</v>
      </c>
      <c r="P672" s="18">
        <v>45880.0</v>
      </c>
      <c r="Q672" s="1" t="s">
        <v>1152</v>
      </c>
      <c r="R672" s="1"/>
      <c r="S672" s="1" t="s">
        <v>1152</v>
      </c>
      <c r="T672" s="1" t="s">
        <v>1152</v>
      </c>
      <c r="U672" s="1" t="s">
        <v>1031</v>
      </c>
      <c r="V672" s="4" t="s">
        <v>3587</v>
      </c>
      <c r="W672" s="1"/>
      <c r="X672" s="18">
        <v>45880.0</v>
      </c>
      <c r="Y672" s="1"/>
      <c r="Z672" s="1"/>
      <c r="AA672" s="1"/>
      <c r="AB672" s="1"/>
      <c r="AC672" s="1" t="s">
        <v>1925</v>
      </c>
      <c r="AD672" s="1"/>
      <c r="AE672" s="18"/>
      <c r="AF672" s="1"/>
      <c r="AG672" s="1"/>
      <c r="AH672" s="1" t="s">
        <v>1152</v>
      </c>
      <c r="AI672" s="1"/>
      <c r="AJ672" s="1"/>
      <c r="AK672" s="1"/>
      <c r="AL672" s="6" t="str">
        <f t="array" ref="AL672">IFERROR(IFS(XLOOKUP(B672, 'Kit Delivery Status'!$U:$U, 'Kit Delivery Status'!$K:$K) = "Complete", "DELIVERED", XLOOKUP(B672, 'Kit Delivery Status'!$U:$U, 'Kit Delivery Status'!$K:$K) = "Issue", "ISSUE"), "")</f>
        <v/>
      </c>
      <c r="AM672" s="6"/>
    </row>
    <row r="673">
      <c r="A673" s="5" t="s">
        <v>3588</v>
      </c>
      <c r="B673" s="1" t="s">
        <v>3589</v>
      </c>
      <c r="C673" s="1" t="s">
        <v>3590</v>
      </c>
      <c r="D673" s="2">
        <v>9.259152979E9</v>
      </c>
      <c r="E673" s="1" t="s">
        <v>3591</v>
      </c>
      <c r="F673" s="1"/>
      <c r="G673" s="1" t="s">
        <v>3592</v>
      </c>
      <c r="H673" s="1" t="s">
        <v>989</v>
      </c>
      <c r="I673" s="1">
        <v>94582.0</v>
      </c>
      <c r="J673" s="1" t="s">
        <v>752</v>
      </c>
      <c r="K673" s="1" t="s">
        <v>66</v>
      </c>
      <c r="L673" s="1" t="s">
        <v>3321</v>
      </c>
      <c r="M673" s="1">
        <v>210.0</v>
      </c>
      <c r="N673" s="1" t="s">
        <v>1152</v>
      </c>
      <c r="O673" s="3" t="s">
        <v>1493</v>
      </c>
      <c r="P673" s="18">
        <v>45880.0</v>
      </c>
      <c r="Q673" s="1" t="s">
        <v>1152</v>
      </c>
      <c r="R673" s="1"/>
      <c r="S673" s="1" t="s">
        <v>1152</v>
      </c>
      <c r="T673" s="1" t="s">
        <v>1152</v>
      </c>
      <c r="U673" s="1" t="s">
        <v>1133</v>
      </c>
      <c r="V673" s="4" t="s">
        <v>1493</v>
      </c>
      <c r="W673" s="1"/>
      <c r="X673" s="18">
        <v>45880.0</v>
      </c>
      <c r="Y673" s="1"/>
      <c r="Z673" s="1"/>
      <c r="AA673" s="1"/>
      <c r="AB673" s="1"/>
      <c r="AC673" s="1" t="s">
        <v>1925</v>
      </c>
      <c r="AD673" s="1"/>
      <c r="AE673" s="18"/>
      <c r="AF673" s="1"/>
      <c r="AG673" s="1"/>
      <c r="AH673" s="1" t="s">
        <v>1152</v>
      </c>
      <c r="AI673" s="1"/>
      <c r="AJ673" s="1"/>
      <c r="AK673" s="1"/>
      <c r="AL673" s="6" t="str">
        <f t="array" ref="AL673">IFERROR(IFS(XLOOKUP(B673, 'Kit Delivery Status'!$U:$U, 'Kit Delivery Status'!$K:$K) = "Complete", "DELIVERED", XLOOKUP(B673, 'Kit Delivery Status'!$U:$U, 'Kit Delivery Status'!$K:$K) = "Issue", "ISSUE"), "")</f>
        <v/>
      </c>
      <c r="AM673" s="6"/>
    </row>
    <row r="674">
      <c r="A674" s="5" t="s">
        <v>3593</v>
      </c>
      <c r="B674" s="1" t="s">
        <v>3594</v>
      </c>
      <c r="C674" s="1" t="s">
        <v>3595</v>
      </c>
      <c r="D674" s="2"/>
      <c r="E674" s="1" t="s">
        <v>3596</v>
      </c>
      <c r="F674" s="1"/>
      <c r="G674" s="1" t="s">
        <v>1804</v>
      </c>
      <c r="H674" s="1" t="s">
        <v>1598</v>
      </c>
      <c r="I674" s="1">
        <v>37215.0</v>
      </c>
      <c r="J674" s="1" t="s">
        <v>752</v>
      </c>
      <c r="K674" s="1" t="s">
        <v>66</v>
      </c>
      <c r="L674" s="1" t="s">
        <v>3321</v>
      </c>
      <c r="M674" s="1">
        <v>210.0</v>
      </c>
      <c r="N674" s="1" t="s">
        <v>1152</v>
      </c>
      <c r="O674" s="3" t="s">
        <v>3597</v>
      </c>
      <c r="P674" s="18">
        <v>45880.0</v>
      </c>
      <c r="Q674" s="1" t="s">
        <v>1152</v>
      </c>
      <c r="R674" s="1"/>
      <c r="S674" s="1" t="s">
        <v>1152</v>
      </c>
      <c r="T674" s="1" t="s">
        <v>1152</v>
      </c>
      <c r="U674" s="1" t="s">
        <v>1080</v>
      </c>
      <c r="V674" s="4" t="s">
        <v>3597</v>
      </c>
      <c r="W674" s="1"/>
      <c r="X674" s="18">
        <v>45880.0</v>
      </c>
      <c r="Y674" s="1"/>
      <c r="Z674" s="1"/>
      <c r="AA674" s="1"/>
      <c r="AB674" s="1"/>
      <c r="AC674" s="1" t="s">
        <v>1925</v>
      </c>
      <c r="AD674" s="1"/>
      <c r="AE674" s="18"/>
      <c r="AF674" s="1"/>
      <c r="AG674" s="1"/>
      <c r="AH674" s="1" t="s">
        <v>1152</v>
      </c>
      <c r="AI674" s="1"/>
      <c r="AJ674" s="1"/>
      <c r="AK674" s="1"/>
      <c r="AL674" s="6" t="str">
        <f t="array" ref="AL674">IFERROR(IFS(XLOOKUP(B674, 'Kit Delivery Status'!$U:$U, 'Kit Delivery Status'!$K:$K) = "Complete", "DELIVERED", XLOOKUP(B674, 'Kit Delivery Status'!$U:$U, 'Kit Delivery Status'!$K:$K) = "Issue", "ISSUE"), "")</f>
        <v/>
      </c>
      <c r="AM674" s="6"/>
    </row>
    <row r="675">
      <c r="A675" s="5" t="s">
        <v>3598</v>
      </c>
      <c r="B675" s="1" t="s">
        <v>3599</v>
      </c>
      <c r="C675" s="1" t="s">
        <v>3600</v>
      </c>
      <c r="D675" s="2">
        <v>5.202738866E9</v>
      </c>
      <c r="E675" s="1" t="s">
        <v>3601</v>
      </c>
      <c r="F675" s="1"/>
      <c r="G675" s="1" t="s">
        <v>3602</v>
      </c>
      <c r="H675" s="1" t="s">
        <v>1535</v>
      </c>
      <c r="I675" s="1">
        <v>85718.0</v>
      </c>
      <c r="J675" s="1" t="s">
        <v>752</v>
      </c>
      <c r="K675" s="1" t="s">
        <v>51</v>
      </c>
      <c r="L675" s="1" t="s">
        <v>3293</v>
      </c>
      <c r="M675" s="1">
        <v>1.0</v>
      </c>
      <c r="N675" s="1" t="s">
        <v>2461</v>
      </c>
      <c r="O675" s="3" t="s">
        <v>3603</v>
      </c>
      <c r="P675" s="18">
        <v>45888.0</v>
      </c>
      <c r="Q675" s="1" t="s">
        <v>2463</v>
      </c>
      <c r="R675" s="1"/>
      <c r="S675" s="1" t="s">
        <v>2461</v>
      </c>
      <c r="T675" s="1" t="s">
        <v>2461</v>
      </c>
      <c r="U675" s="1" t="s">
        <v>1828</v>
      </c>
      <c r="V675" s="4" t="s">
        <v>3603</v>
      </c>
      <c r="W675" s="1"/>
      <c r="X675" s="18">
        <v>45888.0</v>
      </c>
      <c r="Y675" s="1" t="s">
        <v>1030</v>
      </c>
      <c r="Z675" s="1"/>
      <c r="AA675" s="1"/>
      <c r="AB675" s="1" t="s">
        <v>52</v>
      </c>
      <c r="AC675" s="1" t="s">
        <v>1925</v>
      </c>
      <c r="AD675" s="1"/>
      <c r="AE675" s="18"/>
      <c r="AF675" s="1"/>
      <c r="AG675" s="1"/>
      <c r="AH675" s="1" t="s">
        <v>1152</v>
      </c>
      <c r="AI675" s="1"/>
      <c r="AJ675" s="1"/>
      <c r="AK675" s="1"/>
      <c r="AL675" s="6" t="str">
        <f t="array" ref="AL675">IFERROR(IFS(XLOOKUP(B675, 'Kit Delivery Status'!$U:$U, 'Kit Delivery Status'!$K:$K) = "Complete", "DELIVERED", XLOOKUP(B675, 'Kit Delivery Status'!$U:$U, 'Kit Delivery Status'!$K:$K) = "Issue", "ISSUE"), "")</f>
        <v/>
      </c>
      <c r="AM675" s="6"/>
    </row>
    <row r="676">
      <c r="A676" s="5" t="s">
        <v>3604</v>
      </c>
      <c r="B676" s="1" t="s">
        <v>3605</v>
      </c>
      <c r="C676" s="1" t="s">
        <v>3606</v>
      </c>
      <c r="D676" s="2">
        <v>3.142367799E9</v>
      </c>
      <c r="E676" s="1" t="s">
        <v>3607</v>
      </c>
      <c r="F676" s="1" t="s">
        <v>3608</v>
      </c>
      <c r="G676" s="1" t="s">
        <v>2350</v>
      </c>
      <c r="H676" s="1" t="s">
        <v>1155</v>
      </c>
      <c r="I676" s="1">
        <v>63105.0</v>
      </c>
      <c r="J676" s="1" t="s">
        <v>752</v>
      </c>
      <c r="K676" s="1" t="s">
        <v>51</v>
      </c>
      <c r="L676" s="1" t="s">
        <v>3293</v>
      </c>
      <c r="M676" s="1">
        <v>1.0</v>
      </c>
      <c r="N676" s="1" t="s">
        <v>2487</v>
      </c>
      <c r="O676" s="3"/>
      <c r="P676" s="18">
        <v>45891.0</v>
      </c>
      <c r="Q676" s="1" t="s">
        <v>2463</v>
      </c>
      <c r="R676" s="1" t="s">
        <v>3608</v>
      </c>
      <c r="S676" s="1" t="s">
        <v>2487</v>
      </c>
      <c r="T676" s="1" t="s">
        <v>2487</v>
      </c>
      <c r="U676" s="1"/>
      <c r="V676" s="4"/>
      <c r="W676" s="1" t="s">
        <v>3608</v>
      </c>
      <c r="X676" s="18">
        <v>45891.0</v>
      </c>
      <c r="Y676" s="1" t="s">
        <v>1030</v>
      </c>
      <c r="Z676" s="1"/>
      <c r="AA676" s="1" t="s">
        <v>3608</v>
      </c>
      <c r="AB676" s="1" t="s">
        <v>124</v>
      </c>
      <c r="AC676" s="1" t="s">
        <v>1925</v>
      </c>
      <c r="AD676" s="1"/>
      <c r="AE676" s="18"/>
      <c r="AF676" s="1"/>
      <c r="AG676" s="1"/>
      <c r="AH676" s="1" t="s">
        <v>1152</v>
      </c>
      <c r="AI676" s="1"/>
      <c r="AJ676" s="1"/>
      <c r="AK676" s="1"/>
      <c r="AL676" s="6" t="str">
        <f t="array" ref="AL676">IFERROR(IFS(XLOOKUP(B676, 'Kit Delivery Status'!$U:$U, 'Kit Delivery Status'!$K:$K) = "Complete", "DELIVERED", XLOOKUP(B676, 'Kit Delivery Status'!$U:$U, 'Kit Delivery Status'!$K:$K) = "Issue", "ISSUE"), "")</f>
        <v/>
      </c>
      <c r="AM676" s="6"/>
    </row>
    <row r="677">
      <c r="A677" s="5" t="s">
        <v>3609</v>
      </c>
      <c r="B677" s="1" t="s">
        <v>3610</v>
      </c>
      <c r="C677" s="1" t="s">
        <v>3611</v>
      </c>
      <c r="D677" s="2">
        <v>2.102413113E9</v>
      </c>
      <c r="E677" s="1" t="s">
        <v>3612</v>
      </c>
      <c r="F677" s="1"/>
      <c r="G677" s="1" t="s">
        <v>1179</v>
      </c>
      <c r="H677" s="1" t="s">
        <v>989</v>
      </c>
      <c r="I677" s="1">
        <v>90035.0</v>
      </c>
      <c r="J677" s="1" t="s">
        <v>752</v>
      </c>
      <c r="K677" s="1" t="s">
        <v>95</v>
      </c>
      <c r="L677" s="1" t="s">
        <v>3327</v>
      </c>
      <c r="M677" s="1">
        <v>49.0</v>
      </c>
      <c r="N677" s="1" t="s">
        <v>2461</v>
      </c>
      <c r="O677" s="3" t="s">
        <v>3613</v>
      </c>
      <c r="P677" s="18">
        <v>45883.0</v>
      </c>
      <c r="Q677" s="1" t="s">
        <v>2463</v>
      </c>
      <c r="R677" s="1"/>
      <c r="S677" s="1" t="s">
        <v>2461</v>
      </c>
      <c r="T677" s="1" t="s">
        <v>2461</v>
      </c>
      <c r="U677" s="1" t="s">
        <v>1039</v>
      </c>
      <c r="V677" s="4" t="s">
        <v>3613</v>
      </c>
      <c r="W677" s="1"/>
      <c r="X677" s="18">
        <v>45883.0</v>
      </c>
      <c r="Y677" s="1" t="s">
        <v>1030</v>
      </c>
      <c r="Z677" s="1"/>
      <c r="AA677" s="1"/>
      <c r="AB677" s="1" t="s">
        <v>52</v>
      </c>
      <c r="AC677" s="1" t="s">
        <v>3614</v>
      </c>
      <c r="AD677" s="1"/>
      <c r="AE677" s="18"/>
      <c r="AF677" s="1"/>
      <c r="AG677" s="1"/>
      <c r="AH677" s="1" t="s">
        <v>1152</v>
      </c>
      <c r="AI677" s="1"/>
      <c r="AJ677" s="1"/>
      <c r="AK677" s="1"/>
      <c r="AL677" s="6" t="str">
        <f t="array" ref="AL677">IFERROR(IFS(XLOOKUP(B677, 'Kit Delivery Status'!$U:$U, 'Kit Delivery Status'!$K:$K) = "Complete", "DELIVERED", XLOOKUP(B677, 'Kit Delivery Status'!$U:$U, 'Kit Delivery Status'!$K:$K) = "Issue", "ISSUE"), "")</f>
        <v/>
      </c>
      <c r="AM677" s="6"/>
    </row>
    <row r="678">
      <c r="A678" s="5" t="s">
        <v>3615</v>
      </c>
      <c r="B678" s="1" t="s">
        <v>3616</v>
      </c>
      <c r="C678" s="1"/>
      <c r="D678" s="2">
        <v>1.5056772421E10</v>
      </c>
      <c r="E678" s="1" t="s">
        <v>3617</v>
      </c>
      <c r="F678" s="1"/>
      <c r="G678" s="1" t="s">
        <v>1027</v>
      </c>
      <c r="H678" s="1" t="s">
        <v>1028</v>
      </c>
      <c r="I678" s="1" t="s">
        <v>3618</v>
      </c>
      <c r="J678" s="1" t="s">
        <v>752</v>
      </c>
      <c r="K678" s="1" t="s">
        <v>95</v>
      </c>
      <c r="L678" s="1" t="s">
        <v>3327</v>
      </c>
      <c r="M678" s="1">
        <v>49.0</v>
      </c>
      <c r="N678" s="1" t="s">
        <v>2461</v>
      </c>
      <c r="O678" s="3" t="s">
        <v>3619</v>
      </c>
      <c r="P678" s="18">
        <v>45883.0</v>
      </c>
      <c r="Q678" s="1" t="s">
        <v>2502</v>
      </c>
      <c r="R678" s="1"/>
      <c r="S678" s="1" t="s">
        <v>2461</v>
      </c>
      <c r="T678" s="1" t="s">
        <v>2461</v>
      </c>
      <c r="U678" s="1" t="s">
        <v>1376</v>
      </c>
      <c r="V678" s="4" t="s">
        <v>3619</v>
      </c>
      <c r="W678" s="1"/>
      <c r="X678" s="18">
        <v>45883.0</v>
      </c>
      <c r="Y678" s="1" t="s">
        <v>1630</v>
      </c>
      <c r="Z678" s="1"/>
      <c r="AA678" s="1"/>
      <c r="AB678" s="1" t="s">
        <v>52</v>
      </c>
      <c r="AC678" s="1" t="s">
        <v>3620</v>
      </c>
      <c r="AD678" s="1"/>
      <c r="AE678" s="18"/>
      <c r="AF678" s="1"/>
      <c r="AG678" s="1"/>
      <c r="AH678" s="1" t="s">
        <v>1152</v>
      </c>
      <c r="AI678" s="1"/>
      <c r="AJ678" s="1"/>
      <c r="AK678" s="1"/>
      <c r="AL678" s="6" t="str">
        <f t="array" ref="AL678">IFERROR(IFS(XLOOKUP(B678, 'Kit Delivery Status'!$U:$U, 'Kit Delivery Status'!$K:$K) = "Complete", "DELIVERED", XLOOKUP(B678, 'Kit Delivery Status'!$U:$U, 'Kit Delivery Status'!$K:$K) = "Issue", "ISSUE"), "")</f>
        <v/>
      </c>
      <c r="AM678" s="6"/>
    </row>
    <row r="679">
      <c r="A679" s="5" t="s">
        <v>3621</v>
      </c>
      <c r="B679" s="1" t="s">
        <v>3622</v>
      </c>
      <c r="C679" s="1" t="s">
        <v>3623</v>
      </c>
      <c r="D679" s="2">
        <v>4.252465308E9</v>
      </c>
      <c r="E679" s="1" t="s">
        <v>3624</v>
      </c>
      <c r="F679" s="1"/>
      <c r="G679" s="1" t="s">
        <v>2350</v>
      </c>
      <c r="H679" s="1" t="s">
        <v>1155</v>
      </c>
      <c r="I679" s="1">
        <v>63130.0</v>
      </c>
      <c r="J679" s="1" t="s">
        <v>752</v>
      </c>
      <c r="K679" s="1" t="s">
        <v>51</v>
      </c>
      <c r="L679" s="1" t="s">
        <v>3293</v>
      </c>
      <c r="M679" s="1">
        <v>1.0</v>
      </c>
      <c r="N679" s="1" t="s">
        <v>2461</v>
      </c>
      <c r="O679" s="3" t="s">
        <v>2132</v>
      </c>
      <c r="P679" s="18">
        <v>45888.0</v>
      </c>
      <c r="Q679" s="1" t="s">
        <v>2463</v>
      </c>
      <c r="R679" s="1"/>
      <c r="S679" s="1" t="s">
        <v>2461</v>
      </c>
      <c r="T679" s="1" t="s">
        <v>2461</v>
      </c>
      <c r="U679" s="1" t="s">
        <v>1021</v>
      </c>
      <c r="V679" s="4" t="s">
        <v>2132</v>
      </c>
      <c r="W679" s="1"/>
      <c r="X679" s="18">
        <v>45888.0</v>
      </c>
      <c r="Y679" s="1" t="s">
        <v>1030</v>
      </c>
      <c r="Z679" s="1"/>
      <c r="AA679" s="1"/>
      <c r="AB679" s="1" t="s">
        <v>52</v>
      </c>
      <c r="AC679" s="1" t="s">
        <v>1925</v>
      </c>
      <c r="AD679" s="1"/>
      <c r="AE679" s="18"/>
      <c r="AF679" s="1"/>
      <c r="AG679" s="1"/>
      <c r="AH679" s="1" t="s">
        <v>1152</v>
      </c>
      <c r="AI679" s="1"/>
      <c r="AJ679" s="1"/>
      <c r="AK679" s="1"/>
      <c r="AL679" s="6" t="str">
        <f t="array" ref="AL679">IFERROR(IFS(XLOOKUP(B679, 'Kit Delivery Status'!$U:$U, 'Kit Delivery Status'!$K:$K) = "Complete", "DELIVERED", XLOOKUP(B679, 'Kit Delivery Status'!$U:$U, 'Kit Delivery Status'!$K:$K) = "Issue", "ISSUE"), "")</f>
        <v/>
      </c>
      <c r="AM679" s="6"/>
    </row>
    <row r="680">
      <c r="A680" s="5" t="s">
        <v>3625</v>
      </c>
      <c r="B680" s="1" t="s">
        <v>3626</v>
      </c>
      <c r="C680" s="1" t="s">
        <v>1177</v>
      </c>
      <c r="D680" s="2">
        <v>1.3103673106E10</v>
      </c>
      <c r="E680" s="1" t="s">
        <v>3627</v>
      </c>
      <c r="F680" s="1"/>
      <c r="G680" s="1" t="s">
        <v>1179</v>
      </c>
      <c r="H680" s="1" t="s">
        <v>989</v>
      </c>
      <c r="I680" s="1" t="s">
        <v>1180</v>
      </c>
      <c r="J680" s="1" t="s">
        <v>752</v>
      </c>
      <c r="K680" s="1" t="s">
        <v>95</v>
      </c>
      <c r="L680" s="1" t="s">
        <v>3327</v>
      </c>
      <c r="M680" s="1">
        <v>49.0</v>
      </c>
      <c r="N680" s="1" t="s">
        <v>2461</v>
      </c>
      <c r="O680" s="3" t="s">
        <v>323</v>
      </c>
      <c r="P680" s="18">
        <v>45883.0</v>
      </c>
      <c r="Q680" s="1" t="s">
        <v>2463</v>
      </c>
      <c r="R680" s="1"/>
      <c r="S680" s="1" t="s">
        <v>2461</v>
      </c>
      <c r="T680" s="1" t="s">
        <v>2461</v>
      </c>
      <c r="U680" s="1" t="s">
        <v>956</v>
      </c>
      <c r="V680" s="4" t="s">
        <v>323</v>
      </c>
      <c r="W680" s="1"/>
      <c r="X680" s="18">
        <v>45883.0</v>
      </c>
      <c r="Y680" s="1" t="s">
        <v>1030</v>
      </c>
      <c r="Z680" s="1"/>
      <c r="AA680" s="1"/>
      <c r="AB680" s="1" t="s">
        <v>52</v>
      </c>
      <c r="AC680" s="1" t="s">
        <v>3628</v>
      </c>
      <c r="AD680" s="1"/>
      <c r="AE680" s="18"/>
      <c r="AF680" s="1"/>
      <c r="AG680" s="1"/>
      <c r="AH680" s="1" t="s">
        <v>1152</v>
      </c>
      <c r="AI680" s="1"/>
      <c r="AJ680" s="1"/>
      <c r="AK680" s="1"/>
      <c r="AL680" s="6" t="str">
        <f t="array" ref="AL680">IFERROR(IFS(XLOOKUP(B680, 'Kit Delivery Status'!$U:$U, 'Kit Delivery Status'!$K:$K) = "Complete", "DELIVERED", XLOOKUP(B680, 'Kit Delivery Status'!$U:$U, 'Kit Delivery Status'!$K:$K) = "Issue", "ISSUE"), "")</f>
        <v/>
      </c>
      <c r="AM680" s="6"/>
    </row>
    <row r="681">
      <c r="A681" s="5" t="s">
        <v>3629</v>
      </c>
      <c r="B681" s="1" t="s">
        <v>3630</v>
      </c>
      <c r="C681" s="1" t="s">
        <v>3631</v>
      </c>
      <c r="D681" s="2">
        <v>18605006445</v>
      </c>
      <c r="E681" s="1" t="s">
        <v>3632</v>
      </c>
      <c r="F681" s="1"/>
      <c r="G681" s="1" t="s">
        <v>1283</v>
      </c>
      <c r="H681" s="1" t="s">
        <v>1155</v>
      </c>
      <c r="I681" s="1">
        <v>63105.0</v>
      </c>
      <c r="J681" s="1" t="s">
        <v>752</v>
      </c>
      <c r="K681" s="1" t="s">
        <v>51</v>
      </c>
      <c r="L681" s="1" t="s">
        <v>3293</v>
      </c>
      <c r="M681" s="1">
        <v>1.0</v>
      </c>
      <c r="N681" s="1" t="s">
        <v>2461</v>
      </c>
      <c r="O681" s="3" t="s">
        <v>3154</v>
      </c>
      <c r="P681" s="18">
        <v>45887.0</v>
      </c>
      <c r="Q681" s="1" t="s">
        <v>2463</v>
      </c>
      <c r="R681" s="1"/>
      <c r="S681" s="1" t="s">
        <v>2461</v>
      </c>
      <c r="T681" s="1" t="s">
        <v>2461</v>
      </c>
      <c r="U681" s="1" t="s">
        <v>948</v>
      </c>
      <c r="V681" s="4" t="s">
        <v>3154</v>
      </c>
      <c r="W681" s="1"/>
      <c r="X681" s="18">
        <v>45887.0</v>
      </c>
      <c r="Y681" s="1" t="s">
        <v>1030</v>
      </c>
      <c r="Z681" s="1"/>
      <c r="AA681" s="1"/>
      <c r="AB681" s="1" t="s">
        <v>52</v>
      </c>
      <c r="AC681" s="1" t="s">
        <v>1925</v>
      </c>
      <c r="AD681" s="1"/>
      <c r="AE681" s="18"/>
      <c r="AF681" s="1"/>
      <c r="AG681" s="1"/>
      <c r="AH681" s="1" t="s">
        <v>1152</v>
      </c>
      <c r="AI681" s="1"/>
      <c r="AJ681" s="1"/>
      <c r="AK681" s="1"/>
      <c r="AL681" s="6" t="str">
        <f t="array" ref="AL681">IFERROR(IFS(XLOOKUP(B681, 'Kit Delivery Status'!$U:$U, 'Kit Delivery Status'!$K:$K) = "Complete", "DELIVERED", XLOOKUP(B681, 'Kit Delivery Status'!$U:$U, 'Kit Delivery Status'!$K:$K) = "Issue", "ISSUE"), "")</f>
        <v/>
      </c>
      <c r="AM681" s="6"/>
    </row>
    <row r="682">
      <c r="A682" s="5" t="s">
        <v>3633</v>
      </c>
      <c r="B682" s="1" t="s">
        <v>3634</v>
      </c>
      <c r="C682" s="1" t="s">
        <v>3635</v>
      </c>
      <c r="D682" s="2">
        <v>1.3312389291E10</v>
      </c>
      <c r="E682" s="1" t="s">
        <v>3636</v>
      </c>
      <c r="F682" s="1"/>
      <c r="G682" s="1" t="s">
        <v>1072</v>
      </c>
      <c r="H682" s="1" t="s">
        <v>1019</v>
      </c>
      <c r="I682" s="1">
        <v>60523.0</v>
      </c>
      <c r="J682" s="1" t="s">
        <v>752</v>
      </c>
      <c r="K682" s="1" t="s">
        <v>95</v>
      </c>
      <c r="L682" s="1" t="s">
        <v>3327</v>
      </c>
      <c r="M682" s="1">
        <v>49.0</v>
      </c>
      <c r="N682" s="1" t="s">
        <v>2461</v>
      </c>
      <c r="O682" s="3" t="s">
        <v>1806</v>
      </c>
      <c r="P682" s="18">
        <v>45883.0</v>
      </c>
      <c r="Q682" s="1" t="s">
        <v>2731</v>
      </c>
      <c r="R682" s="1"/>
      <c r="S682" s="1" t="s">
        <v>2461</v>
      </c>
      <c r="T682" s="1" t="s">
        <v>2461</v>
      </c>
      <c r="U682" s="1" t="s">
        <v>45</v>
      </c>
      <c r="V682" s="3" t="s">
        <v>1806</v>
      </c>
      <c r="W682" s="1"/>
      <c r="X682" s="18">
        <v>45883.0</v>
      </c>
      <c r="Y682" s="1" t="s">
        <v>1349</v>
      </c>
      <c r="Z682" s="1"/>
      <c r="AA682" s="1"/>
      <c r="AB682" s="1" t="s">
        <v>52</v>
      </c>
      <c r="AC682" s="1" t="s">
        <v>3637</v>
      </c>
      <c r="AD682" s="1"/>
      <c r="AE682" s="18"/>
      <c r="AF682" s="1"/>
      <c r="AG682" s="1"/>
      <c r="AH682" s="1" t="s">
        <v>1152</v>
      </c>
      <c r="AI682" s="1"/>
      <c r="AJ682" s="1"/>
      <c r="AK682" s="1"/>
      <c r="AL682" s="6" t="str">
        <f t="array" ref="AL682">IFERROR(IFS(XLOOKUP(B682, 'Kit Delivery Status'!$U:$U, 'Kit Delivery Status'!$K:$K) = "Complete", "DELIVERED", XLOOKUP(B682, 'Kit Delivery Status'!$U:$U, 'Kit Delivery Status'!$K:$K) = "Issue", "ISSUE"), "")</f>
        <v/>
      </c>
      <c r="AM682" s="6"/>
    </row>
    <row r="683">
      <c r="A683" s="5" t="s">
        <v>3633</v>
      </c>
      <c r="B683" s="1" t="s">
        <v>3634</v>
      </c>
      <c r="C683" s="1" t="s">
        <v>3635</v>
      </c>
      <c r="D683" s="2">
        <v>1.3312389291E10</v>
      </c>
      <c r="E683" s="1" t="s">
        <v>3636</v>
      </c>
      <c r="F683" s="1"/>
      <c r="G683" s="1" t="s">
        <v>1072</v>
      </c>
      <c r="H683" s="1" t="s">
        <v>1019</v>
      </c>
      <c r="I683" s="1">
        <v>60523.0</v>
      </c>
      <c r="J683" s="1" t="s">
        <v>752</v>
      </c>
      <c r="K683" s="1" t="s">
        <v>66</v>
      </c>
      <c r="L683" s="1" t="s">
        <v>3321</v>
      </c>
      <c r="M683" s="1">
        <v>210.0</v>
      </c>
      <c r="N683" s="1" t="s">
        <v>1152</v>
      </c>
      <c r="O683" s="3" t="s">
        <v>1806</v>
      </c>
      <c r="P683" s="18">
        <v>45883.0</v>
      </c>
      <c r="Q683" s="1" t="s">
        <v>1152</v>
      </c>
      <c r="R683" s="1"/>
      <c r="S683" s="1" t="s">
        <v>1152</v>
      </c>
      <c r="T683" s="1" t="s">
        <v>1152</v>
      </c>
      <c r="U683" s="1" t="s">
        <v>45</v>
      </c>
      <c r="V683" s="3" t="s">
        <v>1806</v>
      </c>
      <c r="W683" s="1"/>
      <c r="X683" s="18">
        <v>45883.0</v>
      </c>
      <c r="Y683" s="1"/>
      <c r="Z683" s="1"/>
      <c r="AA683" s="1"/>
      <c r="AB683" s="1"/>
      <c r="AC683" s="1" t="s">
        <v>1925</v>
      </c>
      <c r="AD683" s="1"/>
      <c r="AE683" s="18"/>
      <c r="AF683" s="1"/>
      <c r="AG683" s="1"/>
      <c r="AH683" s="1" t="s">
        <v>1152</v>
      </c>
      <c r="AI683" s="1"/>
      <c r="AJ683" s="1"/>
      <c r="AK683" s="1"/>
      <c r="AL683" s="6" t="str">
        <f t="array" ref="AL683">IFERROR(IFS(XLOOKUP(B683, 'Kit Delivery Status'!$U:$U, 'Kit Delivery Status'!$K:$K) = "Complete", "DELIVERED", XLOOKUP(B683, 'Kit Delivery Status'!$U:$U, 'Kit Delivery Status'!$K:$K) = "Issue", "ISSUE"), "")</f>
        <v/>
      </c>
      <c r="AM683" s="6"/>
    </row>
    <row r="684">
      <c r="A684" s="5" t="s">
        <v>3638</v>
      </c>
      <c r="B684" s="1" t="s">
        <v>3639</v>
      </c>
      <c r="C684" s="1" t="s">
        <v>3640</v>
      </c>
      <c r="D684" s="2">
        <v>5.165241033E9</v>
      </c>
      <c r="E684" s="1" t="s">
        <v>3641</v>
      </c>
      <c r="F684" s="1" t="s">
        <v>3642</v>
      </c>
      <c r="G684" s="1" t="s">
        <v>971</v>
      </c>
      <c r="H684" s="1" t="s">
        <v>751</v>
      </c>
      <c r="I684" s="1">
        <v>11050.0</v>
      </c>
      <c r="J684" s="1" t="s">
        <v>752</v>
      </c>
      <c r="K684" s="1" t="s">
        <v>51</v>
      </c>
      <c r="L684" s="1" t="s">
        <v>3293</v>
      </c>
      <c r="M684" s="1">
        <v>1.0</v>
      </c>
      <c r="N684" s="1" t="s">
        <v>2487</v>
      </c>
      <c r="O684" s="3"/>
      <c r="P684" s="18">
        <v>45891.0</v>
      </c>
      <c r="Q684" s="1" t="s">
        <v>3418</v>
      </c>
      <c r="R684" s="1" t="s">
        <v>3642</v>
      </c>
      <c r="S684" s="1" t="s">
        <v>2487</v>
      </c>
      <c r="T684" s="1" t="s">
        <v>2487</v>
      </c>
      <c r="U684" s="1"/>
      <c r="V684" s="4"/>
      <c r="W684" s="1" t="s">
        <v>3642</v>
      </c>
      <c r="X684" s="18">
        <v>45891.0</v>
      </c>
      <c r="Y684" s="1" t="s">
        <v>1103</v>
      </c>
      <c r="Z684" s="1"/>
      <c r="AA684" s="1" t="s">
        <v>3642</v>
      </c>
      <c r="AB684" s="1" t="s">
        <v>124</v>
      </c>
      <c r="AC684" s="1" t="s">
        <v>1925</v>
      </c>
      <c r="AD684" s="1"/>
      <c r="AE684" s="18"/>
      <c r="AF684" s="1"/>
      <c r="AG684" s="1"/>
      <c r="AH684" s="1" t="s">
        <v>1152</v>
      </c>
      <c r="AI684" s="1"/>
      <c r="AJ684" s="1"/>
      <c r="AK684" s="1"/>
      <c r="AL684" s="6" t="str">
        <f t="array" ref="AL684">IFERROR(IFS(XLOOKUP(B684, 'Kit Delivery Status'!$U:$U, 'Kit Delivery Status'!$K:$K) = "Complete", "DELIVERED", XLOOKUP(B684, 'Kit Delivery Status'!$U:$U, 'Kit Delivery Status'!$K:$K) = "Issue", "ISSUE"), "")</f>
        <v/>
      </c>
      <c r="AM684" s="6"/>
    </row>
    <row r="685">
      <c r="A685" s="5" t="s">
        <v>3643</v>
      </c>
      <c r="B685" s="1" t="s">
        <v>3644</v>
      </c>
      <c r="C685" s="1" t="s">
        <v>3645</v>
      </c>
      <c r="D685" s="2">
        <v>3.107499227E9</v>
      </c>
      <c r="E685" s="1" t="s">
        <v>3646</v>
      </c>
      <c r="F685" s="1"/>
      <c r="G685" s="1" t="s">
        <v>3647</v>
      </c>
      <c r="H685" s="1" t="s">
        <v>989</v>
      </c>
      <c r="I685" s="1">
        <v>91607.0</v>
      </c>
      <c r="J685" s="1" t="s">
        <v>752</v>
      </c>
      <c r="K685" s="1" t="s">
        <v>51</v>
      </c>
      <c r="L685" s="1" t="s">
        <v>3293</v>
      </c>
      <c r="M685" s="1">
        <v>1.0</v>
      </c>
      <c r="N685" s="1" t="s">
        <v>2461</v>
      </c>
      <c r="O685" s="3" t="s">
        <v>3648</v>
      </c>
      <c r="P685" s="18">
        <v>45890.0</v>
      </c>
      <c r="Q685" s="1" t="s">
        <v>2463</v>
      </c>
      <c r="R685" s="1"/>
      <c r="S685" s="1" t="s">
        <v>2461</v>
      </c>
      <c r="T685" s="1" t="s">
        <v>2461</v>
      </c>
      <c r="U685" s="1" t="s">
        <v>1441</v>
      </c>
      <c r="V685" s="4" t="s">
        <v>3648</v>
      </c>
      <c r="W685" s="1"/>
      <c r="X685" s="18">
        <v>45890.0</v>
      </c>
      <c r="Y685" s="1" t="s">
        <v>1030</v>
      </c>
      <c r="Z685" s="1"/>
      <c r="AA685" s="1"/>
      <c r="AB685" s="1" t="s">
        <v>52</v>
      </c>
      <c r="AC685" s="1" t="s">
        <v>1925</v>
      </c>
      <c r="AD685" s="1"/>
      <c r="AE685" s="18"/>
      <c r="AF685" s="1"/>
      <c r="AG685" s="1"/>
      <c r="AH685" s="1" t="s">
        <v>1152</v>
      </c>
      <c r="AI685" s="1"/>
      <c r="AJ685" s="1"/>
      <c r="AK685" s="1"/>
      <c r="AL685" s="6" t="str">
        <f t="array" ref="AL685">IFERROR(IFS(XLOOKUP(B685, 'Kit Delivery Status'!$U:$U, 'Kit Delivery Status'!$K:$K) = "Complete", "DELIVERED", XLOOKUP(B685, 'Kit Delivery Status'!$U:$U, 'Kit Delivery Status'!$K:$K) = "Issue", "ISSUE"), "")</f>
        <v/>
      </c>
      <c r="AM685" s="6"/>
    </row>
    <row r="686">
      <c r="A686" s="5" t="s">
        <v>3649</v>
      </c>
      <c r="B686" s="1" t="s">
        <v>3650</v>
      </c>
      <c r="C686" s="1"/>
      <c r="D686" s="2">
        <v>5.08265991E9</v>
      </c>
      <c r="E686" s="1" t="s">
        <v>3651</v>
      </c>
      <c r="F686" s="1"/>
      <c r="G686" s="1" t="s">
        <v>3652</v>
      </c>
      <c r="H686" s="1" t="s">
        <v>1121</v>
      </c>
      <c r="I686" s="1">
        <v>2537.0</v>
      </c>
      <c r="J686" s="1" t="s">
        <v>752</v>
      </c>
      <c r="K686" s="1" t="s">
        <v>95</v>
      </c>
      <c r="L686" s="1" t="s">
        <v>3327</v>
      </c>
      <c r="M686" s="1">
        <v>49.0</v>
      </c>
      <c r="N686" s="1" t="s">
        <v>2461</v>
      </c>
      <c r="O686" s="3" t="s">
        <v>3653</v>
      </c>
      <c r="P686" s="18">
        <v>45883.0</v>
      </c>
      <c r="Q686" s="1" t="s">
        <v>2463</v>
      </c>
      <c r="R686" s="1"/>
      <c r="S686" s="1" t="s">
        <v>2461</v>
      </c>
      <c r="T686" s="1" t="s">
        <v>2461</v>
      </c>
      <c r="U686" s="1" t="s">
        <v>1148</v>
      </c>
      <c r="V686" s="4" t="s">
        <v>3653</v>
      </c>
      <c r="W686" s="1"/>
      <c r="X686" s="18">
        <v>45883.0</v>
      </c>
      <c r="Y686" s="1" t="s">
        <v>1030</v>
      </c>
      <c r="Z686" s="1"/>
      <c r="AA686" s="1"/>
      <c r="AB686" s="1" t="s">
        <v>52</v>
      </c>
      <c r="AC686" s="1" t="s">
        <v>3654</v>
      </c>
      <c r="AD686" s="1"/>
      <c r="AE686" s="18"/>
      <c r="AF686" s="1"/>
      <c r="AG686" s="1"/>
      <c r="AH686" s="1" t="s">
        <v>1152</v>
      </c>
      <c r="AI686" s="1"/>
      <c r="AJ686" s="1"/>
      <c r="AK686" s="1"/>
      <c r="AL686" s="6" t="str">
        <f t="array" ref="AL686">IFERROR(IFS(XLOOKUP(B686, 'Kit Delivery Status'!$U:$U, 'Kit Delivery Status'!$K:$K) = "Complete", "DELIVERED", XLOOKUP(B686, 'Kit Delivery Status'!$U:$U, 'Kit Delivery Status'!$K:$K) = "Issue", "ISSUE"), "")</f>
        <v/>
      </c>
      <c r="AM686" s="6"/>
    </row>
    <row r="687">
      <c r="A687" s="5" t="s">
        <v>3655</v>
      </c>
      <c r="B687" s="1" t="s">
        <v>3656</v>
      </c>
      <c r="C687" s="1" t="s">
        <v>499</v>
      </c>
      <c r="D687" s="2">
        <v>2.036225122E9</v>
      </c>
      <c r="E687" s="1" t="s">
        <v>501</v>
      </c>
      <c r="F687" s="1"/>
      <c r="G687" s="1" t="s">
        <v>1766</v>
      </c>
      <c r="H687" s="1" t="s">
        <v>1078</v>
      </c>
      <c r="I687" s="1">
        <v>6831.0</v>
      </c>
      <c r="J687" s="1" t="s">
        <v>752</v>
      </c>
      <c r="K687" s="1" t="s">
        <v>51</v>
      </c>
      <c r="L687" s="1" t="s">
        <v>3293</v>
      </c>
      <c r="M687" s="1">
        <v>1.0</v>
      </c>
      <c r="N687" s="1" t="s">
        <v>2461</v>
      </c>
      <c r="O687" s="3" t="s">
        <v>3657</v>
      </c>
      <c r="P687" s="18">
        <v>45880.0</v>
      </c>
      <c r="Q687" s="1" t="s">
        <v>2502</v>
      </c>
      <c r="R687" s="1"/>
      <c r="S687" s="1" t="s">
        <v>2461</v>
      </c>
      <c r="T687" s="1" t="s">
        <v>2461</v>
      </c>
      <c r="U687" s="1" t="s">
        <v>1441</v>
      </c>
      <c r="V687" s="4" t="s">
        <v>3657</v>
      </c>
      <c r="W687" s="1"/>
      <c r="X687" s="18">
        <v>45880.0</v>
      </c>
      <c r="Y687" s="1" t="s">
        <v>1630</v>
      </c>
      <c r="Z687" s="1"/>
      <c r="AA687" s="1"/>
      <c r="AB687" s="1" t="s">
        <v>52</v>
      </c>
      <c r="AC687" s="1" t="s">
        <v>1925</v>
      </c>
      <c r="AD687" s="1"/>
      <c r="AE687" s="18"/>
      <c r="AF687" s="1"/>
      <c r="AG687" s="1"/>
      <c r="AH687" s="1" t="s">
        <v>1152</v>
      </c>
      <c r="AI687" s="1"/>
      <c r="AJ687" s="1"/>
      <c r="AK687" s="1"/>
      <c r="AL687" s="6" t="str">
        <f t="array" ref="AL687">IFERROR(IFS(XLOOKUP(B687, 'Kit Delivery Status'!$U:$U, 'Kit Delivery Status'!$K:$K) = "Complete", "DELIVERED", XLOOKUP(B687, 'Kit Delivery Status'!$U:$U, 'Kit Delivery Status'!$K:$K) = "Issue", "ISSUE"), "")</f>
        <v/>
      </c>
      <c r="AM687" s="6"/>
    </row>
    <row r="688">
      <c r="A688" s="5" t="s">
        <v>3658</v>
      </c>
      <c r="B688" s="1" t="s">
        <v>3659</v>
      </c>
      <c r="C688" s="1" t="s">
        <v>3660</v>
      </c>
      <c r="D688" s="2">
        <v>2.01289224E9</v>
      </c>
      <c r="E688" s="1" t="s">
        <v>3661</v>
      </c>
      <c r="F688" s="1"/>
      <c r="G688" s="1" t="s">
        <v>3662</v>
      </c>
      <c r="H688" s="1" t="s">
        <v>1053</v>
      </c>
      <c r="I688" s="1">
        <v>7452.0</v>
      </c>
      <c r="J688" s="1" t="s">
        <v>752</v>
      </c>
      <c r="K688" s="1" t="s">
        <v>51</v>
      </c>
      <c r="L688" s="1" t="s">
        <v>3293</v>
      </c>
      <c r="M688" s="1">
        <v>1.0</v>
      </c>
      <c r="N688" s="1" t="s">
        <v>2461</v>
      </c>
      <c r="O688" s="3" t="s">
        <v>3663</v>
      </c>
      <c r="P688" s="18">
        <v>45890.0</v>
      </c>
      <c r="Q688" s="1" t="s">
        <v>2463</v>
      </c>
      <c r="R688" s="1"/>
      <c r="S688" s="1" t="s">
        <v>2461</v>
      </c>
      <c r="T688" s="1" t="s">
        <v>2461</v>
      </c>
      <c r="U688" s="1" t="s">
        <v>1710</v>
      </c>
      <c r="V688" s="4" t="s">
        <v>3663</v>
      </c>
      <c r="W688" s="1"/>
      <c r="X688" s="18">
        <v>45890.0</v>
      </c>
      <c r="Y688" s="1" t="s">
        <v>1030</v>
      </c>
      <c r="Z688" s="1"/>
      <c r="AA688" s="1"/>
      <c r="AB688" s="1" t="s">
        <v>52</v>
      </c>
      <c r="AC688" s="1" t="s">
        <v>1925</v>
      </c>
      <c r="AD688" s="1"/>
      <c r="AE688" s="18"/>
      <c r="AF688" s="1"/>
      <c r="AG688" s="1"/>
      <c r="AH688" s="1" t="s">
        <v>1152</v>
      </c>
      <c r="AI688" s="1"/>
      <c r="AJ688" s="1"/>
      <c r="AK688" s="1"/>
      <c r="AL688" s="6" t="str">
        <f t="array" ref="AL688">IFERROR(IFS(XLOOKUP(B688, 'Kit Delivery Status'!$U:$U, 'Kit Delivery Status'!$K:$K) = "Complete", "DELIVERED", XLOOKUP(B688, 'Kit Delivery Status'!$U:$U, 'Kit Delivery Status'!$K:$K) = "Issue", "ISSUE"), "")</f>
        <v/>
      </c>
      <c r="AM688" s="6"/>
    </row>
    <row r="689">
      <c r="A689" s="5" t="s">
        <v>3664</v>
      </c>
      <c r="B689" s="1" t="s">
        <v>3665</v>
      </c>
      <c r="C689" s="1" t="s">
        <v>3666</v>
      </c>
      <c r="D689" s="2">
        <v>2.0354085E9</v>
      </c>
      <c r="E689" s="1" t="s">
        <v>3667</v>
      </c>
      <c r="F689" s="1"/>
      <c r="G689" s="1" t="s">
        <v>3668</v>
      </c>
      <c r="H689" s="1" t="s">
        <v>1078</v>
      </c>
      <c r="I689" s="1">
        <v>6460.0</v>
      </c>
      <c r="J689" s="1" t="s">
        <v>752</v>
      </c>
      <c r="K689" s="1" t="s">
        <v>95</v>
      </c>
      <c r="L689" s="1" t="s">
        <v>3327</v>
      </c>
      <c r="M689" s="1">
        <v>49.0</v>
      </c>
      <c r="N689" s="1" t="s">
        <v>2461</v>
      </c>
      <c r="O689" s="3" t="s">
        <v>3669</v>
      </c>
      <c r="P689" s="18">
        <v>45883.0</v>
      </c>
      <c r="Q689" s="1" t="s">
        <v>2463</v>
      </c>
      <c r="R689" s="1"/>
      <c r="S689" s="1" t="s">
        <v>2461</v>
      </c>
      <c r="T689" s="1" t="s">
        <v>2461</v>
      </c>
      <c r="U689" s="1" t="s">
        <v>1080</v>
      </c>
      <c r="V689" s="4" t="s">
        <v>3669</v>
      </c>
      <c r="W689" s="1"/>
      <c r="X689" s="18">
        <v>45883.0</v>
      </c>
      <c r="Y689" s="1" t="s">
        <v>1030</v>
      </c>
      <c r="Z689" s="1"/>
      <c r="AA689" s="1"/>
      <c r="AB689" s="1" t="s">
        <v>52</v>
      </c>
      <c r="AC689" s="1" t="s">
        <v>3670</v>
      </c>
      <c r="AD689" s="1"/>
      <c r="AE689" s="18"/>
      <c r="AF689" s="1"/>
      <c r="AG689" s="1"/>
      <c r="AH689" s="1" t="s">
        <v>1152</v>
      </c>
      <c r="AI689" s="1"/>
      <c r="AJ689" s="1"/>
      <c r="AK689" s="1"/>
      <c r="AL689" s="6" t="str">
        <f t="array" ref="AL689">IFERROR(IFS(XLOOKUP(B689, 'Kit Delivery Status'!$U:$U, 'Kit Delivery Status'!$K:$K) = "Complete", "DELIVERED", XLOOKUP(B689, 'Kit Delivery Status'!$U:$U, 'Kit Delivery Status'!$K:$K) = "Issue", "ISSUE"), "")</f>
        <v/>
      </c>
      <c r="AM689" s="6"/>
    </row>
    <row r="690">
      <c r="A690" s="5" t="s">
        <v>3671</v>
      </c>
      <c r="B690" s="1" t="s">
        <v>3672</v>
      </c>
      <c r="C690" s="1" t="s">
        <v>3673</v>
      </c>
      <c r="D690" s="2">
        <v>2.149989892E9</v>
      </c>
      <c r="E690" s="1" t="s">
        <v>3674</v>
      </c>
      <c r="F690" s="1"/>
      <c r="G690" s="1" t="s">
        <v>2715</v>
      </c>
      <c r="H690" s="1" t="s">
        <v>1583</v>
      </c>
      <c r="I690" s="1">
        <v>75287.0</v>
      </c>
      <c r="J690" s="1" t="s">
        <v>752</v>
      </c>
      <c r="K690" s="1" t="s">
        <v>66</v>
      </c>
      <c r="L690" s="1" t="s">
        <v>3675</v>
      </c>
      <c r="M690" s="1">
        <v>65.0</v>
      </c>
      <c r="N690" s="1" t="s">
        <v>1152</v>
      </c>
      <c r="O690" s="3" t="s">
        <v>2545</v>
      </c>
      <c r="P690" s="18">
        <v>45883.0</v>
      </c>
      <c r="Q690" s="1" t="s">
        <v>1152</v>
      </c>
      <c r="R690" s="1"/>
      <c r="S690" s="1" t="s">
        <v>1152</v>
      </c>
      <c r="T690" s="1" t="s">
        <v>1152</v>
      </c>
      <c r="U690" s="1" t="s">
        <v>1148</v>
      </c>
      <c r="V690" s="4" t="s">
        <v>2545</v>
      </c>
      <c r="W690" s="1"/>
      <c r="X690" s="18">
        <v>45883.0</v>
      </c>
      <c r="Y690" s="1"/>
      <c r="Z690" s="1"/>
      <c r="AA690" s="1"/>
      <c r="AB690" s="1"/>
      <c r="AC690" s="1" t="s">
        <v>1925</v>
      </c>
      <c r="AD690" s="1"/>
      <c r="AE690" s="18"/>
      <c r="AF690" s="1"/>
      <c r="AG690" s="1"/>
      <c r="AH690" s="1" t="s">
        <v>1152</v>
      </c>
      <c r="AI690" s="1"/>
      <c r="AJ690" s="1"/>
      <c r="AK690" s="1"/>
      <c r="AL690" s="6" t="str">
        <f t="array" ref="AL690">IFERROR(IFS(XLOOKUP(B690, 'Kit Delivery Status'!$U:$U, 'Kit Delivery Status'!$K:$K) = "Complete", "DELIVERED", XLOOKUP(B690, 'Kit Delivery Status'!$U:$U, 'Kit Delivery Status'!$K:$K) = "Issue", "ISSUE"), "")</f>
        <v/>
      </c>
      <c r="AM690" s="6"/>
    </row>
    <row r="691">
      <c r="A691" s="5" t="s">
        <v>3676</v>
      </c>
      <c r="B691" s="1" t="s">
        <v>3677</v>
      </c>
      <c r="C691" s="1"/>
      <c r="D691" s="2">
        <v>6.282198206E9</v>
      </c>
      <c r="E691" s="1" t="s">
        <v>388</v>
      </c>
      <c r="F691" s="1"/>
      <c r="G691" s="1" t="s">
        <v>3678</v>
      </c>
      <c r="H691" s="1" t="s">
        <v>989</v>
      </c>
      <c r="I691" s="1">
        <v>95070.0</v>
      </c>
      <c r="J691" s="1" t="s">
        <v>752</v>
      </c>
      <c r="K691" s="1" t="s">
        <v>66</v>
      </c>
      <c r="L691" s="1" t="s">
        <v>3321</v>
      </c>
      <c r="M691" s="1">
        <v>210.0</v>
      </c>
      <c r="N691" s="1" t="s">
        <v>1152</v>
      </c>
      <c r="O691" s="3" t="s">
        <v>2351</v>
      </c>
      <c r="P691" s="18">
        <v>45883.0</v>
      </c>
      <c r="Q691" s="1" t="s">
        <v>1152</v>
      </c>
      <c r="R691" s="1"/>
      <c r="S691" s="1" t="s">
        <v>1152</v>
      </c>
      <c r="T691" s="1" t="s">
        <v>1152</v>
      </c>
      <c r="U691" s="1" t="s">
        <v>1031</v>
      </c>
      <c r="V691" s="4" t="s">
        <v>2351</v>
      </c>
      <c r="W691" s="1"/>
      <c r="X691" s="18">
        <v>45883.0</v>
      </c>
      <c r="Y691" s="1"/>
      <c r="Z691" s="1"/>
      <c r="AA691" s="1"/>
      <c r="AB691" s="1"/>
      <c r="AC691" s="1" t="s">
        <v>1925</v>
      </c>
      <c r="AD691" s="1"/>
      <c r="AE691" s="18"/>
      <c r="AF691" s="1"/>
      <c r="AG691" s="1"/>
      <c r="AH691" s="1" t="s">
        <v>1152</v>
      </c>
      <c r="AI691" s="1"/>
      <c r="AJ691" s="1"/>
      <c r="AK691" s="1"/>
      <c r="AL691" s="6" t="str">
        <f t="array" ref="AL691">IFERROR(IFS(XLOOKUP(B691, 'Kit Delivery Status'!$U:$U, 'Kit Delivery Status'!$K:$K) = "Complete", "DELIVERED", XLOOKUP(B691, 'Kit Delivery Status'!$U:$U, 'Kit Delivery Status'!$K:$K) = "Issue", "ISSUE"), "")</f>
        <v/>
      </c>
      <c r="AM691" s="6"/>
    </row>
    <row r="692">
      <c r="A692" s="5" t="s">
        <v>3679</v>
      </c>
      <c r="B692" s="1" t="s">
        <v>3680</v>
      </c>
      <c r="C692" s="1" t="s">
        <v>3681</v>
      </c>
      <c r="D692" s="2">
        <v>8.476918994E9</v>
      </c>
      <c r="E692" s="1" t="s">
        <v>3682</v>
      </c>
      <c r="F692" s="1"/>
      <c r="G692" s="1" t="s">
        <v>3683</v>
      </c>
      <c r="H692" s="1" t="s">
        <v>1019</v>
      </c>
      <c r="I692" s="1">
        <v>60047.0</v>
      </c>
      <c r="J692" s="1" t="s">
        <v>752</v>
      </c>
      <c r="K692" s="1" t="s">
        <v>66</v>
      </c>
      <c r="L692" s="1" t="s">
        <v>3350</v>
      </c>
      <c r="M692" s="1">
        <v>145.0</v>
      </c>
      <c r="N692" s="1" t="s">
        <v>1152</v>
      </c>
      <c r="O692" s="3" t="s">
        <v>3684</v>
      </c>
      <c r="P692" s="18">
        <v>45883.0</v>
      </c>
      <c r="Q692" s="1" t="s">
        <v>1152</v>
      </c>
      <c r="R692" s="1"/>
      <c r="S692" s="1" t="s">
        <v>1152</v>
      </c>
      <c r="T692" s="1" t="s">
        <v>1152</v>
      </c>
      <c r="U692" s="1" t="s">
        <v>1249</v>
      </c>
      <c r="V692" s="4" t="s">
        <v>3684</v>
      </c>
      <c r="W692" s="1"/>
      <c r="X692" s="18">
        <v>45883.0</v>
      </c>
      <c r="Y692" s="1"/>
      <c r="Z692" s="1"/>
      <c r="AA692" s="1"/>
      <c r="AB692" s="1"/>
      <c r="AC692" s="1" t="s">
        <v>1925</v>
      </c>
      <c r="AD692" s="1"/>
      <c r="AE692" s="18"/>
      <c r="AF692" s="1"/>
      <c r="AG692" s="1"/>
      <c r="AH692" s="1" t="s">
        <v>1152</v>
      </c>
      <c r="AI692" s="1"/>
      <c r="AJ692" s="1"/>
      <c r="AK692" s="1"/>
      <c r="AL692" s="6" t="str">
        <f t="array" ref="AL692">IFERROR(IFS(XLOOKUP(B692, 'Kit Delivery Status'!$U:$U, 'Kit Delivery Status'!$K:$K) = "Complete", "DELIVERED", XLOOKUP(B692, 'Kit Delivery Status'!$U:$U, 'Kit Delivery Status'!$K:$K) = "Issue", "ISSUE"), "")</f>
        <v/>
      </c>
      <c r="AM692" s="6"/>
    </row>
    <row r="693">
      <c r="A693" s="5" t="s">
        <v>3685</v>
      </c>
      <c r="B693" s="1" t="s">
        <v>3686</v>
      </c>
      <c r="C693" s="1" t="s">
        <v>1042</v>
      </c>
      <c r="D693" s="2">
        <v>4.153078559E9</v>
      </c>
      <c r="E693" s="1" t="s">
        <v>3687</v>
      </c>
      <c r="F693" s="1"/>
      <c r="G693" s="1" t="s">
        <v>1045</v>
      </c>
      <c r="H693" s="1" t="s">
        <v>989</v>
      </c>
      <c r="I693" s="1">
        <v>94563.0</v>
      </c>
      <c r="J693" s="1" t="s">
        <v>752</v>
      </c>
      <c r="K693" s="1" t="s">
        <v>66</v>
      </c>
      <c r="L693" s="1" t="s">
        <v>3350</v>
      </c>
      <c r="M693" s="1">
        <v>145.0</v>
      </c>
      <c r="N693" s="1" t="s">
        <v>1152</v>
      </c>
      <c r="O693" s="3" t="s">
        <v>1046</v>
      </c>
      <c r="P693" s="18">
        <v>45883.0</v>
      </c>
      <c r="Q693" s="1" t="s">
        <v>1152</v>
      </c>
      <c r="R693" s="1"/>
      <c r="S693" s="1" t="s">
        <v>1152</v>
      </c>
      <c r="T693" s="1" t="s">
        <v>1152</v>
      </c>
      <c r="U693" s="1" t="s">
        <v>982</v>
      </c>
      <c r="V693" s="4" t="s">
        <v>1046</v>
      </c>
      <c r="W693" s="1"/>
      <c r="X693" s="18">
        <v>45883.0</v>
      </c>
      <c r="Y693" s="1"/>
      <c r="Z693" s="1"/>
      <c r="AA693" s="1"/>
      <c r="AB693" s="1"/>
      <c r="AC693" s="1" t="s">
        <v>1925</v>
      </c>
      <c r="AD693" s="1"/>
      <c r="AE693" s="18"/>
      <c r="AF693" s="1"/>
      <c r="AG693" s="1"/>
      <c r="AH693" s="1" t="s">
        <v>1152</v>
      </c>
      <c r="AI693" s="1"/>
      <c r="AJ693" s="1"/>
      <c r="AK693" s="1"/>
      <c r="AL693" s="6" t="str">
        <f t="array" ref="AL693">IFERROR(IFS(XLOOKUP(B693, 'Kit Delivery Status'!$U:$U, 'Kit Delivery Status'!$K:$K) = "Complete", "DELIVERED", XLOOKUP(B693, 'Kit Delivery Status'!$U:$U, 'Kit Delivery Status'!$K:$K) = "Issue", "ISSUE"), "")</f>
        <v/>
      </c>
      <c r="AM693" s="6"/>
    </row>
    <row r="694">
      <c r="A694" s="5" t="s">
        <v>3688</v>
      </c>
      <c r="B694" s="1" t="s">
        <v>3689</v>
      </c>
      <c r="C694" s="1" t="s">
        <v>2872</v>
      </c>
      <c r="D694" s="2"/>
      <c r="E694" s="1" t="s">
        <v>2873</v>
      </c>
      <c r="F694" s="1"/>
      <c r="G694" s="1" t="s">
        <v>1382</v>
      </c>
      <c r="H694" s="1" t="s">
        <v>751</v>
      </c>
      <c r="I694" s="1">
        <v>10583.0</v>
      </c>
      <c r="J694" s="1" t="s">
        <v>752</v>
      </c>
      <c r="K694" s="1" t="s">
        <v>51</v>
      </c>
      <c r="L694" s="1" t="s">
        <v>3293</v>
      </c>
      <c r="M694" s="1">
        <v>1.0</v>
      </c>
      <c r="N694" s="1" t="s">
        <v>2461</v>
      </c>
      <c r="O694" s="3" t="s">
        <v>2710</v>
      </c>
      <c r="P694" s="18">
        <v>45880.0</v>
      </c>
      <c r="Q694" s="1" t="s">
        <v>2463</v>
      </c>
      <c r="R694" s="1"/>
      <c r="S694" s="1" t="s">
        <v>2461</v>
      </c>
      <c r="T694" s="1" t="s">
        <v>2461</v>
      </c>
      <c r="U694" s="1" t="s">
        <v>1065</v>
      </c>
      <c r="V694" s="4" t="s">
        <v>2710</v>
      </c>
      <c r="W694" s="1"/>
      <c r="X694" s="18">
        <v>45880.0</v>
      </c>
      <c r="Y694" s="1" t="s">
        <v>1030</v>
      </c>
      <c r="Z694" s="1"/>
      <c r="AA694" s="1"/>
      <c r="AB694" s="1" t="s">
        <v>52</v>
      </c>
      <c r="AC694" s="1" t="s">
        <v>1925</v>
      </c>
      <c r="AD694" s="1"/>
      <c r="AE694" s="18"/>
      <c r="AF694" s="1"/>
      <c r="AG694" s="1"/>
      <c r="AH694" s="1" t="s">
        <v>1152</v>
      </c>
      <c r="AI694" s="1"/>
      <c r="AJ694" s="1"/>
      <c r="AK694" s="1"/>
      <c r="AL694" s="6" t="str">
        <f t="array" ref="AL694">IFERROR(IFS(XLOOKUP(B694, 'Kit Delivery Status'!$U:$U, 'Kit Delivery Status'!$K:$K) = "Complete", "DELIVERED", XLOOKUP(B694, 'Kit Delivery Status'!$U:$U, 'Kit Delivery Status'!$K:$K) = "Issue", "ISSUE"), "")</f>
        <v/>
      </c>
      <c r="AM694" s="6"/>
    </row>
    <row r="695">
      <c r="A695" s="5" t="s">
        <v>3690</v>
      </c>
      <c r="B695" s="1" t="s">
        <v>3691</v>
      </c>
      <c r="C695" s="1" t="s">
        <v>3692</v>
      </c>
      <c r="D695" s="2">
        <v>7.203471708E9</v>
      </c>
      <c r="E695" s="1" t="s">
        <v>3693</v>
      </c>
      <c r="F695" s="1"/>
      <c r="G695" s="1" t="s">
        <v>1947</v>
      </c>
      <c r="H695" s="1" t="s">
        <v>1891</v>
      </c>
      <c r="I695" s="1">
        <v>80011.0</v>
      </c>
      <c r="J695" s="1" t="s">
        <v>752</v>
      </c>
      <c r="K695" s="1" t="s">
        <v>51</v>
      </c>
      <c r="L695" s="1" t="s">
        <v>3293</v>
      </c>
      <c r="M695" s="1">
        <v>1.0</v>
      </c>
      <c r="N695" s="1" t="s">
        <v>2461</v>
      </c>
      <c r="O695" s="3" t="s">
        <v>3694</v>
      </c>
      <c r="P695" s="18">
        <v>45887.0</v>
      </c>
      <c r="Q695" s="1" t="s">
        <v>2463</v>
      </c>
      <c r="R695" s="1"/>
      <c r="S695" s="1" t="s">
        <v>2461</v>
      </c>
      <c r="T695" s="1" t="s">
        <v>2461</v>
      </c>
      <c r="U695" s="1" t="s">
        <v>2510</v>
      </c>
      <c r="V695" s="4" t="s">
        <v>3694</v>
      </c>
      <c r="W695" s="1"/>
      <c r="X695" s="18">
        <v>45887.0</v>
      </c>
      <c r="Y695" s="1" t="s">
        <v>1030</v>
      </c>
      <c r="Z695" s="1"/>
      <c r="AA695" s="1"/>
      <c r="AB695" s="1" t="s">
        <v>52</v>
      </c>
      <c r="AC695" s="1" t="s">
        <v>1925</v>
      </c>
      <c r="AD695" s="1"/>
      <c r="AE695" s="18"/>
      <c r="AF695" s="1"/>
      <c r="AG695" s="1"/>
      <c r="AH695" s="1" t="s">
        <v>1152</v>
      </c>
      <c r="AI695" s="1"/>
      <c r="AJ695" s="1"/>
      <c r="AK695" s="1"/>
      <c r="AL695" s="6" t="str">
        <f t="array" ref="AL695">IFERROR(IFS(XLOOKUP(B695, 'Kit Delivery Status'!$U:$U, 'Kit Delivery Status'!$K:$K) = "Complete", "DELIVERED", XLOOKUP(B695, 'Kit Delivery Status'!$U:$U, 'Kit Delivery Status'!$K:$K) = "Issue", "ISSUE"), "")</f>
        <v/>
      </c>
      <c r="AM695" s="6"/>
    </row>
    <row r="696">
      <c r="A696" s="5" t="s">
        <v>3695</v>
      </c>
      <c r="B696" s="1" t="s">
        <v>3696</v>
      </c>
      <c r="C696" s="1" t="s">
        <v>3697</v>
      </c>
      <c r="D696" s="2">
        <v>1.2033490132E10</v>
      </c>
      <c r="E696" s="1" t="s">
        <v>3698</v>
      </c>
      <c r="F696" s="1" t="s">
        <v>3699</v>
      </c>
      <c r="G696" s="1" t="s">
        <v>2040</v>
      </c>
      <c r="H696" s="1" t="s">
        <v>1078</v>
      </c>
      <c r="I696" s="1">
        <v>6883.0</v>
      </c>
      <c r="J696" s="1" t="s">
        <v>752</v>
      </c>
      <c r="K696" s="1" t="s">
        <v>75</v>
      </c>
      <c r="L696" s="1" t="s">
        <v>3327</v>
      </c>
      <c r="M696" s="1">
        <v>49.0</v>
      </c>
      <c r="N696" s="1" t="s">
        <v>2487</v>
      </c>
      <c r="O696" s="3"/>
      <c r="P696" s="18">
        <v>45891.0</v>
      </c>
      <c r="Q696" s="1" t="s">
        <v>3219</v>
      </c>
      <c r="R696" s="1" t="s">
        <v>3699</v>
      </c>
      <c r="S696" s="1" t="s">
        <v>2487</v>
      </c>
      <c r="T696" s="1" t="s">
        <v>2487</v>
      </c>
      <c r="U696" s="1"/>
      <c r="V696" s="4"/>
      <c r="W696" s="1" t="s">
        <v>3699</v>
      </c>
      <c r="X696" s="18">
        <v>45891.0</v>
      </c>
      <c r="Y696" s="1" t="s">
        <v>1455</v>
      </c>
      <c r="Z696" s="1"/>
      <c r="AA696" s="1" t="s">
        <v>3699</v>
      </c>
      <c r="AB696" s="1" t="s">
        <v>124</v>
      </c>
      <c r="AC696" s="1" t="s">
        <v>3700</v>
      </c>
      <c r="AD696" s="1"/>
      <c r="AE696" s="18"/>
      <c r="AF696" s="1"/>
      <c r="AG696" s="1"/>
      <c r="AH696" s="1" t="s">
        <v>1152</v>
      </c>
      <c r="AI696" s="1"/>
      <c r="AJ696" s="1"/>
      <c r="AK696" s="1"/>
      <c r="AL696" s="6" t="str">
        <f t="array" ref="AL696">IFERROR(IFS(XLOOKUP(B696, 'Kit Delivery Status'!$U:$U, 'Kit Delivery Status'!$K:$K) = "Complete", "DELIVERED", XLOOKUP(B696, 'Kit Delivery Status'!$U:$U, 'Kit Delivery Status'!$K:$K) = "Issue", "ISSUE"), "")</f>
        <v/>
      </c>
      <c r="AM696" s="6"/>
    </row>
    <row r="697">
      <c r="A697" s="5" t="s">
        <v>3701</v>
      </c>
      <c r="B697" s="1" t="s">
        <v>3702</v>
      </c>
      <c r="C697" s="1" t="s">
        <v>3703</v>
      </c>
      <c r="D697" s="2">
        <v>2.038148546E9</v>
      </c>
      <c r="E697" s="1" t="s">
        <v>3704</v>
      </c>
      <c r="F697" s="1"/>
      <c r="G697" s="1" t="s">
        <v>1604</v>
      </c>
      <c r="H697" s="1" t="s">
        <v>1078</v>
      </c>
      <c r="I697" s="1">
        <v>6880.0</v>
      </c>
      <c r="J697" s="1" t="s">
        <v>752</v>
      </c>
      <c r="K697" s="1" t="s">
        <v>51</v>
      </c>
      <c r="L697" s="1" t="s">
        <v>3293</v>
      </c>
      <c r="M697" s="1">
        <v>1.0</v>
      </c>
      <c r="N697" s="1" t="s">
        <v>2461</v>
      </c>
      <c r="O697" s="3" t="s">
        <v>3705</v>
      </c>
      <c r="P697" s="18">
        <v>45890.0</v>
      </c>
      <c r="Q697" s="1" t="s">
        <v>2463</v>
      </c>
      <c r="R697" s="1"/>
      <c r="S697" s="1" t="s">
        <v>2461</v>
      </c>
      <c r="T697" s="1" t="s">
        <v>2461</v>
      </c>
      <c r="U697" s="1" t="s">
        <v>1343</v>
      </c>
      <c r="V697" s="4" t="s">
        <v>3705</v>
      </c>
      <c r="W697" s="1"/>
      <c r="X697" s="18">
        <v>45890.0</v>
      </c>
      <c r="Y697" s="1" t="s">
        <v>1030</v>
      </c>
      <c r="Z697" s="1"/>
      <c r="AA697" s="1"/>
      <c r="AB697" s="1" t="s">
        <v>52</v>
      </c>
      <c r="AC697" s="1" t="s">
        <v>1925</v>
      </c>
      <c r="AD697" s="1"/>
      <c r="AE697" s="18"/>
      <c r="AF697" s="1"/>
      <c r="AG697" s="1"/>
      <c r="AH697" s="1" t="s">
        <v>1152</v>
      </c>
      <c r="AI697" s="1"/>
      <c r="AJ697" s="1"/>
      <c r="AK697" s="1"/>
      <c r="AL697" s="6" t="str">
        <f t="array" ref="AL697">IFERROR(IFS(XLOOKUP(B697, 'Kit Delivery Status'!$U:$U, 'Kit Delivery Status'!$K:$K) = "Complete", "DELIVERED", XLOOKUP(B697, 'Kit Delivery Status'!$U:$U, 'Kit Delivery Status'!$K:$K) = "Issue", "ISSUE"), "")</f>
        <v/>
      </c>
      <c r="AM697" s="6"/>
    </row>
    <row r="698">
      <c r="A698" s="5" t="s">
        <v>3706</v>
      </c>
      <c r="B698" s="1" t="s">
        <v>3707</v>
      </c>
      <c r="C698" s="1" t="s">
        <v>3708</v>
      </c>
      <c r="D698" s="2">
        <v>2.074231849E9</v>
      </c>
      <c r="E698" s="1" t="s">
        <v>3709</v>
      </c>
      <c r="F698" s="1"/>
      <c r="G698" s="1" t="s">
        <v>3710</v>
      </c>
      <c r="H698" s="1" t="s">
        <v>3711</v>
      </c>
      <c r="I698" s="1">
        <v>4105.0</v>
      </c>
      <c r="J698" s="1" t="s">
        <v>752</v>
      </c>
      <c r="K698" s="1" t="s">
        <v>51</v>
      </c>
      <c r="L698" s="1" t="s">
        <v>3293</v>
      </c>
      <c r="M698" s="1">
        <v>1.0</v>
      </c>
      <c r="N698" s="1" t="s">
        <v>2461</v>
      </c>
      <c r="O698" s="3" t="s">
        <v>3712</v>
      </c>
      <c r="P698" s="18">
        <v>45888.0</v>
      </c>
      <c r="Q698" s="1" t="s">
        <v>3418</v>
      </c>
      <c r="R698" s="1"/>
      <c r="S698" s="1" t="s">
        <v>2461</v>
      </c>
      <c r="T698" s="1" t="s">
        <v>2461</v>
      </c>
      <c r="U698" s="1" t="s">
        <v>3713</v>
      </c>
      <c r="V698" s="4" t="s">
        <v>3712</v>
      </c>
      <c r="W698" s="1"/>
      <c r="X698" s="18">
        <v>45888.0</v>
      </c>
      <c r="Y698" s="1" t="s">
        <v>1103</v>
      </c>
      <c r="Z698" s="1"/>
      <c r="AA698" s="1"/>
      <c r="AB698" s="1" t="s">
        <v>52</v>
      </c>
      <c r="AC698" s="1" t="s">
        <v>1925</v>
      </c>
      <c r="AD698" s="1"/>
      <c r="AE698" s="18"/>
      <c r="AF698" s="1"/>
      <c r="AG698" s="1"/>
      <c r="AH698" s="1" t="s">
        <v>1152</v>
      </c>
      <c r="AI698" s="1"/>
      <c r="AJ698" s="1"/>
      <c r="AK698" s="1"/>
      <c r="AL698" s="6" t="str">
        <f t="array" ref="AL698">IFERROR(IFS(XLOOKUP(B698, 'Kit Delivery Status'!$U:$U, 'Kit Delivery Status'!$K:$K) = "Complete", "DELIVERED", XLOOKUP(B698, 'Kit Delivery Status'!$U:$U, 'Kit Delivery Status'!$K:$K) = "Issue", "ISSUE"), "")</f>
        <v/>
      </c>
      <c r="AM698" s="6"/>
    </row>
    <row r="699">
      <c r="A699" s="5" t="s">
        <v>3714</v>
      </c>
      <c r="B699" s="1" t="s">
        <v>3715</v>
      </c>
      <c r="C699" s="1" t="s">
        <v>3716</v>
      </c>
      <c r="D699" s="2"/>
      <c r="E699" s="1" t="s">
        <v>3717</v>
      </c>
      <c r="F699" s="1"/>
      <c r="G699" s="1" t="s">
        <v>3718</v>
      </c>
      <c r="H699" s="1" t="s">
        <v>1155</v>
      </c>
      <c r="I699" s="1">
        <v>64722.0</v>
      </c>
      <c r="J699" s="1" t="s">
        <v>752</v>
      </c>
      <c r="K699" s="1" t="s">
        <v>51</v>
      </c>
      <c r="L699" s="1" t="s">
        <v>3293</v>
      </c>
      <c r="M699" s="1">
        <v>1.0</v>
      </c>
      <c r="N699" s="1" t="s">
        <v>2461</v>
      </c>
      <c r="O699" s="3" t="s">
        <v>3719</v>
      </c>
      <c r="P699" s="18">
        <v>45889.0</v>
      </c>
      <c r="Q699" s="1" t="s">
        <v>2463</v>
      </c>
      <c r="R699" s="1"/>
      <c r="S699" s="1" t="s">
        <v>2461</v>
      </c>
      <c r="T699" s="1" t="s">
        <v>2461</v>
      </c>
      <c r="U699" s="1" t="s">
        <v>948</v>
      </c>
      <c r="V699" s="4" t="s">
        <v>3719</v>
      </c>
      <c r="W699" s="1"/>
      <c r="X699" s="18">
        <v>45889.0</v>
      </c>
      <c r="Y699" s="1" t="s">
        <v>1030</v>
      </c>
      <c r="Z699" s="1"/>
      <c r="AA699" s="1"/>
      <c r="AB699" s="1" t="s">
        <v>52</v>
      </c>
      <c r="AC699" s="1" t="s">
        <v>1925</v>
      </c>
      <c r="AD699" s="1"/>
      <c r="AE699" s="18"/>
      <c r="AF699" s="1"/>
      <c r="AG699" s="1"/>
      <c r="AH699" s="1" t="s">
        <v>1152</v>
      </c>
      <c r="AI699" s="1"/>
      <c r="AJ699" s="1"/>
      <c r="AK699" s="1"/>
      <c r="AL699" s="6" t="str">
        <f t="array" ref="AL699">IFERROR(IFS(XLOOKUP(B699, 'Kit Delivery Status'!$U:$U, 'Kit Delivery Status'!$K:$K) = "Complete", "DELIVERED", XLOOKUP(B699, 'Kit Delivery Status'!$U:$U, 'Kit Delivery Status'!$K:$K) = "Issue", "ISSUE"), "")</f>
        <v/>
      </c>
      <c r="AM699" s="6"/>
    </row>
    <row r="700">
      <c r="A700" s="5" t="s">
        <v>3720</v>
      </c>
      <c r="B700" s="1" t="s">
        <v>3721</v>
      </c>
      <c r="C700" s="1" t="s">
        <v>3722</v>
      </c>
      <c r="D700" s="2"/>
      <c r="E700" s="1" t="s">
        <v>3723</v>
      </c>
      <c r="F700" s="1" t="s">
        <v>3724</v>
      </c>
      <c r="G700" s="1" t="s">
        <v>1191</v>
      </c>
      <c r="H700" s="1" t="s">
        <v>989</v>
      </c>
      <c r="I700" s="1">
        <v>91403.0</v>
      </c>
      <c r="J700" s="1" t="s">
        <v>752</v>
      </c>
      <c r="K700" s="1" t="s">
        <v>51</v>
      </c>
      <c r="L700" s="1" t="s">
        <v>3293</v>
      </c>
      <c r="M700" s="1">
        <v>1.0</v>
      </c>
      <c r="N700" s="1" t="s">
        <v>2487</v>
      </c>
      <c r="O700" s="3"/>
      <c r="P700" s="18">
        <v>45891.0</v>
      </c>
      <c r="Q700" s="1" t="s">
        <v>2463</v>
      </c>
      <c r="R700" s="1" t="s">
        <v>3724</v>
      </c>
      <c r="S700" s="1" t="s">
        <v>2487</v>
      </c>
      <c r="T700" s="1" t="s">
        <v>2487</v>
      </c>
      <c r="U700" s="1"/>
      <c r="V700" s="4"/>
      <c r="W700" s="1" t="s">
        <v>3724</v>
      </c>
      <c r="X700" s="18">
        <v>45891.0</v>
      </c>
      <c r="Y700" s="1" t="s">
        <v>1030</v>
      </c>
      <c r="Z700" s="1"/>
      <c r="AA700" s="1" t="s">
        <v>3724</v>
      </c>
      <c r="AB700" s="1" t="s">
        <v>124</v>
      </c>
      <c r="AC700" s="1" t="s">
        <v>1925</v>
      </c>
      <c r="AD700" s="1"/>
      <c r="AE700" s="18"/>
      <c r="AF700" s="1"/>
      <c r="AG700" s="1"/>
      <c r="AH700" s="1" t="s">
        <v>1152</v>
      </c>
      <c r="AI700" s="1"/>
      <c r="AJ700" s="1"/>
      <c r="AK700" s="1"/>
      <c r="AL700" s="6" t="str">
        <f t="array" ref="AL700">IFERROR(IFS(XLOOKUP(B700, 'Kit Delivery Status'!$U:$U, 'Kit Delivery Status'!$K:$K) = "Complete", "DELIVERED", XLOOKUP(B700, 'Kit Delivery Status'!$U:$U, 'Kit Delivery Status'!$K:$K) = "Issue", "ISSUE"), "")</f>
        <v/>
      </c>
      <c r="AM700" s="6"/>
    </row>
    <row r="701">
      <c r="A701" s="5" t="s">
        <v>3725</v>
      </c>
      <c r="B701" s="1" t="s">
        <v>3726</v>
      </c>
      <c r="C701" s="1" t="s">
        <v>3727</v>
      </c>
      <c r="D701" s="2">
        <v>8.6259653E9</v>
      </c>
      <c r="E701" s="1" t="s">
        <v>3728</v>
      </c>
      <c r="F701" s="1"/>
      <c r="G701" s="1" t="s">
        <v>3729</v>
      </c>
      <c r="H701" s="1" t="s">
        <v>1053</v>
      </c>
      <c r="I701" s="1">
        <v>7043.0</v>
      </c>
      <c r="J701" s="1" t="s">
        <v>752</v>
      </c>
      <c r="K701" s="1" t="s">
        <v>51</v>
      </c>
      <c r="L701" s="1" t="s">
        <v>3293</v>
      </c>
      <c r="M701" s="1">
        <v>1.0</v>
      </c>
      <c r="N701" s="1" t="s">
        <v>2461</v>
      </c>
      <c r="O701" s="3" t="s">
        <v>3730</v>
      </c>
      <c r="P701" s="18">
        <v>45875.0</v>
      </c>
      <c r="Q701" s="1" t="s">
        <v>2502</v>
      </c>
      <c r="R701" s="1"/>
      <c r="S701" s="1" t="s">
        <v>2461</v>
      </c>
      <c r="T701" s="1" t="s">
        <v>2461</v>
      </c>
      <c r="U701" s="1" t="s">
        <v>948</v>
      </c>
      <c r="V701" s="4" t="s">
        <v>3730</v>
      </c>
      <c r="W701" s="1"/>
      <c r="X701" s="18">
        <v>45875.0</v>
      </c>
      <c r="Y701" s="1" t="s">
        <v>1630</v>
      </c>
      <c r="Z701" s="1"/>
      <c r="AA701" s="1"/>
      <c r="AB701" s="1" t="s">
        <v>52</v>
      </c>
      <c r="AC701" s="1" t="s">
        <v>1925</v>
      </c>
      <c r="AD701" s="1"/>
      <c r="AE701" s="18"/>
      <c r="AF701" s="1"/>
      <c r="AG701" s="1"/>
      <c r="AH701" s="1" t="s">
        <v>1152</v>
      </c>
      <c r="AI701" s="1"/>
      <c r="AJ701" s="1"/>
      <c r="AK701" s="1"/>
      <c r="AL701" s="6" t="str">
        <f t="array" ref="AL701">IFERROR(IFS(XLOOKUP(B701, 'Kit Delivery Status'!$U:$U, 'Kit Delivery Status'!$K:$K) = "Complete", "DELIVERED", XLOOKUP(B701, 'Kit Delivery Status'!$U:$U, 'Kit Delivery Status'!$K:$K) = "Issue", "ISSUE"), "")</f>
        <v/>
      </c>
      <c r="AM701" s="6"/>
    </row>
    <row r="702">
      <c r="A702" s="5" t="s">
        <v>3731</v>
      </c>
      <c r="B702" s="1" t="s">
        <v>3732</v>
      </c>
      <c r="C702" s="1" t="s">
        <v>3733</v>
      </c>
      <c r="D702" s="2">
        <v>3.019556655E9</v>
      </c>
      <c r="E702" s="1" t="s">
        <v>3734</v>
      </c>
      <c r="F702" s="1"/>
      <c r="G702" s="1" t="s">
        <v>3735</v>
      </c>
      <c r="H702" s="1" t="s">
        <v>1005</v>
      </c>
      <c r="I702" s="1">
        <v>21774.0</v>
      </c>
      <c r="J702" s="1" t="s">
        <v>752</v>
      </c>
      <c r="K702" s="1" t="s">
        <v>51</v>
      </c>
      <c r="L702" s="1" t="s">
        <v>3293</v>
      </c>
      <c r="M702" s="1">
        <v>1.0</v>
      </c>
      <c r="N702" s="1" t="s">
        <v>2461</v>
      </c>
      <c r="O702" s="3" t="s">
        <v>3736</v>
      </c>
      <c r="P702" s="18">
        <v>45883.0</v>
      </c>
      <c r="Q702" s="1" t="s">
        <v>2463</v>
      </c>
      <c r="R702" s="1"/>
      <c r="S702" s="1" t="s">
        <v>2461</v>
      </c>
      <c r="T702" s="1" t="s">
        <v>2461</v>
      </c>
      <c r="U702" s="1" t="s">
        <v>2510</v>
      </c>
      <c r="V702" s="4" t="s">
        <v>3736</v>
      </c>
      <c r="W702" s="1"/>
      <c r="X702" s="18">
        <v>45883.0</v>
      </c>
      <c r="Y702" s="1" t="s">
        <v>1030</v>
      </c>
      <c r="Z702" s="1"/>
      <c r="AA702" s="1"/>
      <c r="AB702" s="1" t="s">
        <v>52</v>
      </c>
      <c r="AC702" s="1" t="s">
        <v>1925</v>
      </c>
      <c r="AD702" s="1"/>
      <c r="AE702" s="18"/>
      <c r="AF702" s="1"/>
      <c r="AG702" s="1"/>
      <c r="AH702" s="1" t="s">
        <v>1152</v>
      </c>
      <c r="AI702" s="1"/>
      <c r="AJ702" s="1"/>
      <c r="AK702" s="1"/>
      <c r="AL702" s="6" t="str">
        <f t="array" ref="AL702">IFERROR(IFS(XLOOKUP(B702, 'Kit Delivery Status'!$U:$U, 'Kit Delivery Status'!$K:$K) = "Complete", "DELIVERED", XLOOKUP(B702, 'Kit Delivery Status'!$U:$U, 'Kit Delivery Status'!$K:$K) = "Issue", "ISSUE"), "")</f>
        <v/>
      </c>
      <c r="AM702" s="6"/>
    </row>
    <row r="703">
      <c r="A703" s="5" t="s">
        <v>3737</v>
      </c>
      <c r="B703" s="1" t="s">
        <v>3738</v>
      </c>
      <c r="C703" s="1" t="s">
        <v>3739</v>
      </c>
      <c r="D703" s="2">
        <v>3.145849883E9</v>
      </c>
      <c r="E703" s="1" t="s">
        <v>3740</v>
      </c>
      <c r="F703" s="1"/>
      <c r="G703" s="1" t="s">
        <v>3741</v>
      </c>
      <c r="H703" s="1" t="s">
        <v>1155</v>
      </c>
      <c r="I703" s="1">
        <v>63130.0</v>
      </c>
      <c r="J703" s="1" t="s">
        <v>752</v>
      </c>
      <c r="K703" s="1" t="s">
        <v>95</v>
      </c>
      <c r="L703" s="1" t="s">
        <v>3327</v>
      </c>
      <c r="M703" s="1">
        <v>49.0</v>
      </c>
      <c r="N703" s="1" t="s">
        <v>2461</v>
      </c>
      <c r="O703" s="3" t="s">
        <v>3742</v>
      </c>
      <c r="P703" s="18">
        <v>45883.0</v>
      </c>
      <c r="Q703" s="1" t="s">
        <v>2463</v>
      </c>
      <c r="R703" s="1"/>
      <c r="S703" s="1" t="s">
        <v>2461</v>
      </c>
      <c r="T703" s="1" t="s">
        <v>2461</v>
      </c>
      <c r="U703" s="1" t="s">
        <v>1039</v>
      </c>
      <c r="V703" s="4" t="s">
        <v>3742</v>
      </c>
      <c r="W703" s="1"/>
      <c r="X703" s="18">
        <v>45883.0</v>
      </c>
      <c r="Y703" s="1" t="s">
        <v>1030</v>
      </c>
      <c r="Z703" s="1"/>
      <c r="AA703" s="1"/>
      <c r="AB703" s="1" t="s">
        <v>52</v>
      </c>
      <c r="AC703" s="1" t="s">
        <v>3743</v>
      </c>
      <c r="AD703" s="1"/>
      <c r="AE703" s="18"/>
      <c r="AF703" s="1"/>
      <c r="AG703" s="1"/>
      <c r="AH703" s="1" t="s">
        <v>1152</v>
      </c>
      <c r="AI703" s="1"/>
      <c r="AJ703" s="1"/>
      <c r="AK703" s="1"/>
      <c r="AL703" s="6" t="str">
        <f t="array" ref="AL703">IFERROR(IFS(XLOOKUP(B703, 'Kit Delivery Status'!$U:$U, 'Kit Delivery Status'!$K:$K) = "Complete", "DELIVERED", XLOOKUP(B703, 'Kit Delivery Status'!$U:$U, 'Kit Delivery Status'!$K:$K) = "Issue", "ISSUE"), "")</f>
        <v/>
      </c>
      <c r="AM703" s="6"/>
    </row>
    <row r="704">
      <c r="A704" s="5" t="s">
        <v>3744</v>
      </c>
      <c r="B704" s="1" t="s">
        <v>3745</v>
      </c>
      <c r="C704" s="1" t="s">
        <v>3746</v>
      </c>
      <c r="D704" s="2">
        <v>9.175709951E9</v>
      </c>
      <c r="E704" s="1" t="s">
        <v>1696</v>
      </c>
      <c r="F704" s="1"/>
      <c r="G704" s="1" t="s">
        <v>1697</v>
      </c>
      <c r="H704" s="1" t="s">
        <v>751</v>
      </c>
      <c r="I704" s="1">
        <v>11021.0</v>
      </c>
      <c r="J704" s="1" t="s">
        <v>752</v>
      </c>
      <c r="K704" s="1" t="s">
        <v>51</v>
      </c>
      <c r="L704" s="1" t="s">
        <v>3293</v>
      </c>
      <c r="M704" s="1">
        <v>1.0</v>
      </c>
      <c r="N704" s="1" t="s">
        <v>2461</v>
      </c>
      <c r="O704" s="3" t="s">
        <v>1698</v>
      </c>
      <c r="P704" s="18">
        <v>45888.0</v>
      </c>
      <c r="Q704" s="1" t="s">
        <v>2463</v>
      </c>
      <c r="R704" s="1"/>
      <c r="S704" s="1" t="s">
        <v>2461</v>
      </c>
      <c r="T704" s="1" t="s">
        <v>2461</v>
      </c>
      <c r="U704" s="1" t="s">
        <v>1699</v>
      </c>
      <c r="V704" s="4" t="s">
        <v>1698</v>
      </c>
      <c r="W704" s="1"/>
      <c r="X704" s="18">
        <v>45888.0</v>
      </c>
      <c r="Y704" s="1" t="s">
        <v>1030</v>
      </c>
      <c r="Z704" s="1"/>
      <c r="AA704" s="1"/>
      <c r="AB704" s="1" t="s">
        <v>52</v>
      </c>
      <c r="AC704" s="1" t="s">
        <v>1925</v>
      </c>
      <c r="AD704" s="1"/>
      <c r="AE704" s="18"/>
      <c r="AF704" s="1"/>
      <c r="AG704" s="1"/>
      <c r="AH704" s="1" t="s">
        <v>1152</v>
      </c>
      <c r="AI704" s="1"/>
      <c r="AJ704" s="1"/>
      <c r="AK704" s="1"/>
      <c r="AL704" s="6" t="str">
        <f t="array" ref="AL704">IFERROR(IFS(XLOOKUP(B704, 'Kit Delivery Status'!$U:$U, 'Kit Delivery Status'!$K:$K) = "Complete", "DELIVERED", XLOOKUP(B704, 'Kit Delivery Status'!$U:$U, 'Kit Delivery Status'!$K:$K) = "Issue", "ISSUE"), "")</f>
        <v/>
      </c>
      <c r="AM704" s="6"/>
    </row>
    <row r="705">
      <c r="A705" s="5" t="s">
        <v>3747</v>
      </c>
      <c r="B705" s="1" t="s">
        <v>3748</v>
      </c>
      <c r="C705" s="1" t="s">
        <v>3749</v>
      </c>
      <c r="D705" s="2">
        <v>7.132137252E9</v>
      </c>
      <c r="E705" s="1" t="s">
        <v>3750</v>
      </c>
      <c r="F705" s="1"/>
      <c r="G705" s="1" t="s">
        <v>1817</v>
      </c>
      <c r="H705" s="1" t="s">
        <v>1598</v>
      </c>
      <c r="I705" s="1">
        <v>37027.0</v>
      </c>
      <c r="J705" s="1" t="s">
        <v>752</v>
      </c>
      <c r="K705" s="1" t="s">
        <v>51</v>
      </c>
      <c r="L705" s="1" t="s">
        <v>3293</v>
      </c>
      <c r="M705" s="1">
        <v>1.0</v>
      </c>
      <c r="N705" s="1" t="s">
        <v>2461</v>
      </c>
      <c r="O705" s="3" t="s">
        <v>3751</v>
      </c>
      <c r="P705" s="18">
        <v>45888.0</v>
      </c>
      <c r="Q705" s="1" t="s">
        <v>2463</v>
      </c>
      <c r="R705" s="1"/>
      <c r="S705" s="1" t="s">
        <v>2461</v>
      </c>
      <c r="T705" s="1" t="s">
        <v>2461</v>
      </c>
      <c r="U705" s="1" t="s">
        <v>1021</v>
      </c>
      <c r="V705" s="4" t="s">
        <v>3751</v>
      </c>
      <c r="W705" s="1"/>
      <c r="X705" s="18">
        <v>45888.0</v>
      </c>
      <c r="Y705" s="1" t="s">
        <v>1030</v>
      </c>
      <c r="Z705" s="1"/>
      <c r="AA705" s="1"/>
      <c r="AB705" s="1" t="s">
        <v>52</v>
      </c>
      <c r="AC705" s="1" t="s">
        <v>1925</v>
      </c>
      <c r="AD705" s="1"/>
      <c r="AE705" s="18"/>
      <c r="AF705" s="1"/>
      <c r="AG705" s="1"/>
      <c r="AH705" s="1" t="s">
        <v>1152</v>
      </c>
      <c r="AI705" s="1"/>
      <c r="AJ705" s="1"/>
      <c r="AK705" s="1"/>
      <c r="AL705" s="6" t="str">
        <f t="array" ref="AL705">IFERROR(IFS(XLOOKUP(B705, 'Kit Delivery Status'!$U:$U, 'Kit Delivery Status'!$K:$K) = "Complete", "DELIVERED", XLOOKUP(B705, 'Kit Delivery Status'!$U:$U, 'Kit Delivery Status'!$K:$K) = "Issue", "ISSUE"), "")</f>
        <v/>
      </c>
      <c r="AM705" s="6"/>
    </row>
    <row r="706">
      <c r="A706" s="5" t="s">
        <v>3752</v>
      </c>
      <c r="B706" s="1" t="s">
        <v>3753</v>
      </c>
      <c r="C706" s="1" t="s">
        <v>3754</v>
      </c>
      <c r="D706" s="2">
        <v>2.054784664E9</v>
      </c>
      <c r="E706" s="1" t="s">
        <v>3755</v>
      </c>
      <c r="F706" s="1"/>
      <c r="G706" s="1" t="s">
        <v>1085</v>
      </c>
      <c r="H706" s="1" t="s">
        <v>1086</v>
      </c>
      <c r="I706" s="1">
        <v>35222.0</v>
      </c>
      <c r="J706" s="1" t="s">
        <v>752</v>
      </c>
      <c r="K706" s="1" t="s">
        <v>66</v>
      </c>
      <c r="L706" s="1" t="s">
        <v>3350</v>
      </c>
      <c r="M706" s="1">
        <v>145.0</v>
      </c>
      <c r="N706" s="1" t="s">
        <v>1152</v>
      </c>
      <c r="O706" s="3" t="s">
        <v>1362</v>
      </c>
      <c r="P706" s="18">
        <v>45883.0</v>
      </c>
      <c r="Q706" s="1" t="s">
        <v>1152</v>
      </c>
      <c r="R706" s="1"/>
      <c r="S706" s="1" t="s">
        <v>1152</v>
      </c>
      <c r="T706" s="1" t="s">
        <v>1152</v>
      </c>
      <c r="U706" s="1" t="s">
        <v>3756</v>
      </c>
      <c r="V706" s="4" t="s">
        <v>1362</v>
      </c>
      <c r="W706" s="1"/>
      <c r="X706" s="18">
        <v>45883.0</v>
      </c>
      <c r="Y706" s="1"/>
      <c r="Z706" s="1"/>
      <c r="AA706" s="1"/>
      <c r="AB706" s="1"/>
      <c r="AC706" s="1" t="s">
        <v>1925</v>
      </c>
      <c r="AD706" s="1"/>
      <c r="AE706" s="18"/>
      <c r="AF706" s="1"/>
      <c r="AG706" s="1"/>
      <c r="AH706" s="1" t="s">
        <v>1152</v>
      </c>
      <c r="AI706" s="1"/>
      <c r="AJ706" s="1"/>
      <c r="AK706" s="1"/>
      <c r="AL706" s="6" t="str">
        <f t="array" ref="AL706">IFERROR(IFS(XLOOKUP(B706, 'Kit Delivery Status'!$U:$U, 'Kit Delivery Status'!$K:$K) = "Complete", "DELIVERED", XLOOKUP(B706, 'Kit Delivery Status'!$U:$U, 'Kit Delivery Status'!$K:$K) = "Issue", "ISSUE"), "")</f>
        <v/>
      </c>
      <c r="AM706" s="6"/>
    </row>
    <row r="707">
      <c r="A707" s="5" t="s">
        <v>3757</v>
      </c>
      <c r="B707" s="1" t="s">
        <v>3758</v>
      </c>
      <c r="C707" s="1" t="s">
        <v>3759</v>
      </c>
      <c r="D707" s="2">
        <v>8.182009543E9</v>
      </c>
      <c r="E707" s="1" t="s">
        <v>3760</v>
      </c>
      <c r="F707" s="1"/>
      <c r="G707" s="1" t="s">
        <v>1283</v>
      </c>
      <c r="H707" s="1" t="s">
        <v>1155</v>
      </c>
      <c r="I707" s="1">
        <v>63112.0</v>
      </c>
      <c r="J707" s="1" t="s">
        <v>752</v>
      </c>
      <c r="K707" s="1" t="s">
        <v>3761</v>
      </c>
      <c r="L707" s="1" t="s">
        <v>3762</v>
      </c>
      <c r="M707" s="1">
        <v>49.0</v>
      </c>
      <c r="N707" s="1" t="s">
        <v>1152</v>
      </c>
      <c r="O707" s="3"/>
      <c r="P707" s="18">
        <v>45866.0</v>
      </c>
      <c r="Q707" s="1" t="s">
        <v>1152</v>
      </c>
      <c r="R707" s="1"/>
      <c r="S707" s="1" t="s">
        <v>1152</v>
      </c>
      <c r="T707" s="1" t="s">
        <v>1152</v>
      </c>
      <c r="U707" s="1"/>
      <c r="V707" s="4"/>
      <c r="W707" s="1"/>
      <c r="X707" s="18">
        <v>45866.0</v>
      </c>
      <c r="Y707" s="1"/>
      <c r="Z707" s="1"/>
      <c r="AA707" s="1"/>
      <c r="AB707" s="1"/>
      <c r="AC707" s="1" t="s">
        <v>3763</v>
      </c>
      <c r="AD707" s="1"/>
      <c r="AE707" s="18">
        <v>45866.0</v>
      </c>
      <c r="AF707" s="1"/>
      <c r="AG707" s="1"/>
      <c r="AH707" s="1" t="s">
        <v>3764</v>
      </c>
      <c r="AI707" s="1" t="s">
        <v>3765</v>
      </c>
      <c r="AJ707" s="1"/>
      <c r="AK707" s="1"/>
      <c r="AL707" s="6" t="str">
        <f t="array" ref="AL707">IFERROR(IFS(XLOOKUP(B707, 'Kit Delivery Status'!$U:$U, 'Kit Delivery Status'!$K:$K) = "Complete", "DELIVERED", XLOOKUP(B707, 'Kit Delivery Status'!$U:$U, 'Kit Delivery Status'!$K:$K) = "Issue", "ISSUE"), "")</f>
        <v/>
      </c>
      <c r="AM707" s="6"/>
    </row>
    <row r="708">
      <c r="A708" s="5" t="s">
        <v>3766</v>
      </c>
      <c r="B708" s="1" t="s">
        <v>3767</v>
      </c>
      <c r="C708" s="1"/>
      <c r="D708" s="2">
        <v>3.108029683E9</v>
      </c>
      <c r="E708" s="1" t="s">
        <v>3768</v>
      </c>
      <c r="F708" s="1"/>
      <c r="G708" s="1" t="s">
        <v>3769</v>
      </c>
      <c r="H708" s="1" t="s">
        <v>1583</v>
      </c>
      <c r="I708" s="1">
        <v>77479.0</v>
      </c>
      <c r="J708" s="1" t="s">
        <v>752</v>
      </c>
      <c r="K708" s="1" t="s">
        <v>51</v>
      </c>
      <c r="L708" s="1" t="s">
        <v>3293</v>
      </c>
      <c r="M708" s="1">
        <v>1.0</v>
      </c>
      <c r="N708" s="1" t="s">
        <v>2461</v>
      </c>
      <c r="O708" s="3" t="s">
        <v>3770</v>
      </c>
      <c r="P708" s="18">
        <v>45887.0</v>
      </c>
      <c r="Q708" s="1" t="s">
        <v>2463</v>
      </c>
      <c r="R708" s="1"/>
      <c r="S708" s="1" t="s">
        <v>2461</v>
      </c>
      <c r="T708" s="1" t="s">
        <v>2461</v>
      </c>
      <c r="U708" s="1" t="s">
        <v>2940</v>
      </c>
      <c r="V708" s="4" t="s">
        <v>3770</v>
      </c>
      <c r="W708" s="1"/>
      <c r="X708" s="18">
        <v>45887.0</v>
      </c>
      <c r="Y708" s="1" t="s">
        <v>1030</v>
      </c>
      <c r="Z708" s="1"/>
      <c r="AA708" s="1"/>
      <c r="AB708" s="1" t="s">
        <v>52</v>
      </c>
      <c r="AC708" s="1" t="s">
        <v>1925</v>
      </c>
      <c r="AD708" s="1"/>
      <c r="AE708" s="18"/>
      <c r="AF708" s="1"/>
      <c r="AG708" s="1"/>
      <c r="AH708" s="1" t="s">
        <v>1152</v>
      </c>
      <c r="AI708" s="1"/>
      <c r="AJ708" s="1"/>
      <c r="AK708" s="1"/>
      <c r="AL708" s="6" t="str">
        <f t="array" ref="AL708">IFERROR(IFS(XLOOKUP(B708, 'Kit Delivery Status'!$U:$U, 'Kit Delivery Status'!$K:$K) = "Complete", "DELIVERED", XLOOKUP(B708, 'Kit Delivery Status'!$U:$U, 'Kit Delivery Status'!$K:$K) = "Issue", "ISSUE"), "")</f>
        <v/>
      </c>
      <c r="AM708" s="6"/>
    </row>
    <row r="709">
      <c r="A709" s="5" t="s">
        <v>3771</v>
      </c>
      <c r="B709" s="1" t="s">
        <v>3772</v>
      </c>
      <c r="C709" s="1" t="s">
        <v>3773</v>
      </c>
      <c r="D709" s="2">
        <v>9.135933838E9</v>
      </c>
      <c r="E709" s="1" t="s">
        <v>3774</v>
      </c>
      <c r="F709" s="1"/>
      <c r="G709" s="1" t="s">
        <v>3775</v>
      </c>
      <c r="H709" s="1" t="s">
        <v>3776</v>
      </c>
      <c r="I709" s="1">
        <v>66206.0</v>
      </c>
      <c r="J709" s="1" t="s">
        <v>752</v>
      </c>
      <c r="K709" s="1" t="s">
        <v>51</v>
      </c>
      <c r="L709" s="1" t="s">
        <v>3293</v>
      </c>
      <c r="M709" s="1">
        <v>1.0</v>
      </c>
      <c r="N709" s="1" t="s">
        <v>2461</v>
      </c>
      <c r="O709" s="3" t="s">
        <v>2235</v>
      </c>
      <c r="P709" s="18">
        <v>45890.0</v>
      </c>
      <c r="Q709" s="1" t="s">
        <v>2463</v>
      </c>
      <c r="R709" s="1"/>
      <c r="S709" s="1" t="s">
        <v>2461</v>
      </c>
      <c r="T709" s="1" t="s">
        <v>2461</v>
      </c>
      <c r="U709" s="1" t="s">
        <v>2437</v>
      </c>
      <c r="V709" s="4" t="s">
        <v>2235</v>
      </c>
      <c r="W709" s="1"/>
      <c r="X709" s="18">
        <v>45890.0</v>
      </c>
      <c r="Y709" s="1" t="s">
        <v>1030</v>
      </c>
      <c r="Z709" s="1"/>
      <c r="AA709" s="1"/>
      <c r="AB709" s="1" t="s">
        <v>52</v>
      </c>
      <c r="AC709" s="1" t="s">
        <v>1925</v>
      </c>
      <c r="AD709" s="1"/>
      <c r="AE709" s="18"/>
      <c r="AF709" s="1"/>
      <c r="AG709" s="1"/>
      <c r="AH709" s="1" t="s">
        <v>1152</v>
      </c>
      <c r="AI709" s="1"/>
      <c r="AJ709" s="1"/>
      <c r="AK709" s="1"/>
      <c r="AL709" s="6" t="str">
        <f t="array" ref="AL709">IFERROR(IFS(XLOOKUP(B709, 'Kit Delivery Status'!$U:$U, 'Kit Delivery Status'!$K:$K) = "Complete", "DELIVERED", XLOOKUP(B709, 'Kit Delivery Status'!$U:$U, 'Kit Delivery Status'!$K:$K) = "Issue", "ISSUE"), "")</f>
        <v/>
      </c>
      <c r="AM709" s="6"/>
    </row>
    <row r="710">
      <c r="A710" s="5" t="s">
        <v>3777</v>
      </c>
      <c r="B710" s="1" t="s">
        <v>3778</v>
      </c>
      <c r="C710" s="1" t="s">
        <v>3779</v>
      </c>
      <c r="D710" s="2">
        <v>9.177447372E9</v>
      </c>
      <c r="E710" s="1" t="s">
        <v>3780</v>
      </c>
      <c r="F710" s="1"/>
      <c r="G710" s="1" t="s">
        <v>3781</v>
      </c>
      <c r="H710" s="1" t="s">
        <v>751</v>
      </c>
      <c r="I710" s="1">
        <v>11791.0</v>
      </c>
      <c r="J710" s="1" t="s">
        <v>752</v>
      </c>
      <c r="K710" s="1" t="s">
        <v>51</v>
      </c>
      <c r="L710" s="1" t="s">
        <v>3293</v>
      </c>
      <c r="M710" s="1">
        <v>1.0</v>
      </c>
      <c r="N710" s="1" t="s">
        <v>2461</v>
      </c>
      <c r="O710" s="3" t="s">
        <v>3782</v>
      </c>
      <c r="P710" s="18">
        <v>45890.0</v>
      </c>
      <c r="Q710" s="1" t="s">
        <v>2502</v>
      </c>
      <c r="R710" s="1"/>
      <c r="S710" s="1" t="s">
        <v>2461</v>
      </c>
      <c r="T710" s="1" t="s">
        <v>2461</v>
      </c>
      <c r="U710" s="1" t="s">
        <v>1399</v>
      </c>
      <c r="V710" s="4" t="s">
        <v>3782</v>
      </c>
      <c r="W710" s="1"/>
      <c r="X710" s="18">
        <v>45890.0</v>
      </c>
      <c r="Y710" s="1" t="s">
        <v>1630</v>
      </c>
      <c r="Z710" s="1"/>
      <c r="AA710" s="1"/>
      <c r="AB710" s="1" t="s">
        <v>52</v>
      </c>
      <c r="AC710" s="1" t="s">
        <v>1925</v>
      </c>
      <c r="AD710" s="1"/>
      <c r="AE710" s="18"/>
      <c r="AF710" s="1"/>
      <c r="AG710" s="1"/>
      <c r="AH710" s="1" t="s">
        <v>1152</v>
      </c>
      <c r="AI710" s="1"/>
      <c r="AJ710" s="1"/>
      <c r="AK710" s="1"/>
      <c r="AL710" s="6" t="str">
        <f t="array" ref="AL710">IFERROR(IFS(XLOOKUP(B710, 'Kit Delivery Status'!$U:$U, 'Kit Delivery Status'!$K:$K) = "Complete", "DELIVERED", XLOOKUP(B710, 'Kit Delivery Status'!$U:$U, 'Kit Delivery Status'!$K:$K) = "Issue", "ISSUE"), "")</f>
        <v/>
      </c>
      <c r="AM710" s="6"/>
    </row>
    <row r="711">
      <c r="A711" s="5" t="s">
        <v>3783</v>
      </c>
      <c r="B711" s="1" t="s">
        <v>3784</v>
      </c>
      <c r="C711" s="1"/>
      <c r="D711" s="2">
        <v>4.102586632E9</v>
      </c>
      <c r="E711" s="1" t="s">
        <v>3785</v>
      </c>
      <c r="F711" s="1"/>
      <c r="G711" s="1" t="s">
        <v>1199</v>
      </c>
      <c r="H711" s="1" t="s">
        <v>1005</v>
      </c>
      <c r="I711" s="1">
        <v>21146.0</v>
      </c>
      <c r="J711" s="1" t="s">
        <v>752</v>
      </c>
      <c r="K711" s="1" t="s">
        <v>51</v>
      </c>
      <c r="L711" s="1" t="s">
        <v>3293</v>
      </c>
      <c r="M711" s="1">
        <v>1.0</v>
      </c>
      <c r="N711" s="1" t="s">
        <v>2461</v>
      </c>
      <c r="O711" s="3" t="s">
        <v>1200</v>
      </c>
      <c r="P711" s="18">
        <v>45888.0</v>
      </c>
      <c r="Q711" s="1" t="s">
        <v>2463</v>
      </c>
      <c r="R711" s="1"/>
      <c r="S711" s="1" t="s">
        <v>2461</v>
      </c>
      <c r="T711" s="1" t="s">
        <v>2461</v>
      </c>
      <c r="U711" s="1" t="s">
        <v>1201</v>
      </c>
      <c r="V711" s="4" t="s">
        <v>1200</v>
      </c>
      <c r="W711" s="1"/>
      <c r="X711" s="18">
        <v>45888.0</v>
      </c>
      <c r="Y711" s="1" t="s">
        <v>1030</v>
      </c>
      <c r="Z711" s="1"/>
      <c r="AA711" s="1"/>
      <c r="AB711" s="1" t="s">
        <v>52</v>
      </c>
      <c r="AC711" s="1" t="s">
        <v>1925</v>
      </c>
      <c r="AD711" s="1"/>
      <c r="AE711" s="18"/>
      <c r="AF711" s="1"/>
      <c r="AG711" s="1"/>
      <c r="AH711" s="1" t="s">
        <v>1152</v>
      </c>
      <c r="AI711" s="1"/>
      <c r="AJ711" s="1"/>
      <c r="AK711" s="1"/>
      <c r="AL711" s="6" t="str">
        <f t="array" ref="AL711">IFERROR(IFS(XLOOKUP(B711, 'Kit Delivery Status'!$U:$U, 'Kit Delivery Status'!$K:$K) = "Complete", "DELIVERED", XLOOKUP(B711, 'Kit Delivery Status'!$U:$U, 'Kit Delivery Status'!$K:$K) = "Issue", "ISSUE"), "")</f>
        <v/>
      </c>
      <c r="AM711" s="6"/>
    </row>
    <row r="712">
      <c r="A712" s="5" t="s">
        <v>3786</v>
      </c>
      <c r="B712" s="1" t="s">
        <v>3787</v>
      </c>
      <c r="C712" s="1" t="s">
        <v>3788</v>
      </c>
      <c r="D712" s="2">
        <v>6.466702225E9</v>
      </c>
      <c r="E712" s="1" t="s">
        <v>3789</v>
      </c>
      <c r="F712" s="1"/>
      <c r="G712" s="1" t="s">
        <v>3790</v>
      </c>
      <c r="H712" s="1" t="s">
        <v>751</v>
      </c>
      <c r="I712" s="1">
        <v>10025.0</v>
      </c>
      <c r="J712" s="1" t="s">
        <v>752</v>
      </c>
      <c r="K712" s="1" t="s">
        <v>51</v>
      </c>
      <c r="L712" s="1" t="s">
        <v>3293</v>
      </c>
      <c r="M712" s="1">
        <v>1.0</v>
      </c>
      <c r="N712" s="1" t="s">
        <v>2461</v>
      </c>
      <c r="O712" s="3" t="s">
        <v>3791</v>
      </c>
      <c r="P712" s="18">
        <v>45889.0</v>
      </c>
      <c r="Q712" s="1" t="s">
        <v>2463</v>
      </c>
      <c r="R712" s="1"/>
      <c r="S712" s="1" t="s">
        <v>2461</v>
      </c>
      <c r="T712" s="1" t="s">
        <v>2461</v>
      </c>
      <c r="U712" s="1" t="s">
        <v>1065</v>
      </c>
      <c r="V712" s="4" t="s">
        <v>3791</v>
      </c>
      <c r="W712" s="1"/>
      <c r="X712" s="18">
        <v>45889.0</v>
      </c>
      <c r="Y712" s="1" t="s">
        <v>1030</v>
      </c>
      <c r="Z712" s="1"/>
      <c r="AA712" s="1"/>
      <c r="AB712" s="1" t="s">
        <v>52</v>
      </c>
      <c r="AC712" s="1" t="s">
        <v>1925</v>
      </c>
      <c r="AD712" s="1"/>
      <c r="AE712" s="18"/>
      <c r="AF712" s="1"/>
      <c r="AG712" s="1"/>
      <c r="AH712" s="1" t="s">
        <v>1152</v>
      </c>
      <c r="AI712" s="1"/>
      <c r="AJ712" s="1"/>
      <c r="AK712" s="1"/>
      <c r="AL712" s="6" t="str">
        <f t="array" ref="AL712">IFERROR(IFS(XLOOKUP(B712, 'Kit Delivery Status'!$U:$U, 'Kit Delivery Status'!$K:$K) = "Complete", "DELIVERED", XLOOKUP(B712, 'Kit Delivery Status'!$U:$U, 'Kit Delivery Status'!$K:$K) = "Issue", "ISSUE"), "")</f>
        <v/>
      </c>
      <c r="AM712" s="6"/>
    </row>
    <row r="713">
      <c r="A713" s="5" t="s">
        <v>3792</v>
      </c>
      <c r="B713" s="1" t="s">
        <v>3793</v>
      </c>
      <c r="C713" s="1" t="s">
        <v>3794</v>
      </c>
      <c r="D713" s="2">
        <v>9.296259512E9</v>
      </c>
      <c r="E713" s="1" t="s">
        <v>3795</v>
      </c>
      <c r="F713" s="1"/>
      <c r="G713" s="1" t="s">
        <v>2428</v>
      </c>
      <c r="H713" s="1" t="s">
        <v>751</v>
      </c>
      <c r="I713" s="1">
        <v>10452.0</v>
      </c>
      <c r="J713" s="1" t="s">
        <v>752</v>
      </c>
      <c r="K713" s="1" t="s">
        <v>95</v>
      </c>
      <c r="L713" s="1" t="s">
        <v>3327</v>
      </c>
      <c r="M713" s="1">
        <v>49.0</v>
      </c>
      <c r="N713" s="1" t="s">
        <v>2461</v>
      </c>
      <c r="O713" s="3" t="s">
        <v>3796</v>
      </c>
      <c r="P713" s="18">
        <v>45883.0</v>
      </c>
      <c r="Q713" s="1" t="s">
        <v>2463</v>
      </c>
      <c r="R713" s="1"/>
      <c r="S713" s="1" t="s">
        <v>2461</v>
      </c>
      <c r="T713" s="1" t="s">
        <v>2461</v>
      </c>
      <c r="U713" s="1" t="s">
        <v>1039</v>
      </c>
      <c r="V713" s="4" t="s">
        <v>3796</v>
      </c>
      <c r="W713" s="1"/>
      <c r="X713" s="18">
        <v>45883.0</v>
      </c>
      <c r="Y713" s="1" t="s">
        <v>1030</v>
      </c>
      <c r="Z713" s="1"/>
      <c r="AA713" s="1"/>
      <c r="AB713" s="1" t="s">
        <v>52</v>
      </c>
      <c r="AC713" s="1" t="s">
        <v>3797</v>
      </c>
      <c r="AD713" s="1"/>
      <c r="AE713" s="18"/>
      <c r="AF713" s="1"/>
      <c r="AG713" s="1"/>
      <c r="AH713" s="1" t="s">
        <v>1152</v>
      </c>
      <c r="AI713" s="1"/>
      <c r="AJ713" s="1"/>
      <c r="AK713" s="1"/>
      <c r="AL713" s="6" t="str">
        <f t="array" ref="AL713">IFERROR(IFS(XLOOKUP(B713, 'Kit Delivery Status'!$U:$U, 'Kit Delivery Status'!$K:$K) = "Complete", "DELIVERED", XLOOKUP(B713, 'Kit Delivery Status'!$U:$U, 'Kit Delivery Status'!$K:$K) = "Issue", "ISSUE"), "")</f>
        <v/>
      </c>
      <c r="AM713" s="6"/>
    </row>
    <row r="714">
      <c r="A714" s="5" t="s">
        <v>3798</v>
      </c>
      <c r="B714" s="1" t="s">
        <v>3799</v>
      </c>
      <c r="C714" s="1"/>
      <c r="D714" s="2">
        <v>1.6464186635E10</v>
      </c>
      <c r="E714" s="1" t="s">
        <v>3800</v>
      </c>
      <c r="F714" s="1"/>
      <c r="G714" s="1" t="s">
        <v>1697</v>
      </c>
      <c r="H714" s="1" t="s">
        <v>751</v>
      </c>
      <c r="I714" s="1">
        <v>11021.0</v>
      </c>
      <c r="J714" s="1" t="s">
        <v>752</v>
      </c>
      <c r="K714" s="1" t="s">
        <v>95</v>
      </c>
      <c r="L714" s="1" t="s">
        <v>3327</v>
      </c>
      <c r="M714" s="1">
        <v>49.0</v>
      </c>
      <c r="N714" s="1" t="s">
        <v>2461</v>
      </c>
      <c r="O714" s="3" t="s">
        <v>3801</v>
      </c>
      <c r="P714" s="18">
        <v>45883.0</v>
      </c>
      <c r="Q714" s="1" t="s">
        <v>2463</v>
      </c>
      <c r="R714" s="1"/>
      <c r="S714" s="1" t="s">
        <v>2461</v>
      </c>
      <c r="T714" s="1" t="s">
        <v>2461</v>
      </c>
      <c r="U714" s="1" t="s">
        <v>1487</v>
      </c>
      <c r="V714" s="4" t="s">
        <v>3801</v>
      </c>
      <c r="W714" s="1"/>
      <c r="X714" s="18">
        <v>45883.0</v>
      </c>
      <c r="Y714" s="1" t="s">
        <v>1030</v>
      </c>
      <c r="Z714" s="1"/>
      <c r="AA714" s="1"/>
      <c r="AB714" s="1" t="s">
        <v>52</v>
      </c>
      <c r="AC714" s="1" t="s">
        <v>3802</v>
      </c>
      <c r="AD714" s="1"/>
      <c r="AE714" s="1" t="s">
        <v>1152</v>
      </c>
      <c r="AF714" s="1"/>
      <c r="AG714" s="1"/>
      <c r="AH714" s="1" t="s">
        <v>1152</v>
      </c>
      <c r="AI714" s="1"/>
      <c r="AJ714" s="1"/>
      <c r="AK714" s="1"/>
      <c r="AL714" s="6" t="str">
        <f t="array" ref="AL714">IFERROR(IFS(XLOOKUP(B714, 'Kit Delivery Status'!$U:$U, 'Kit Delivery Status'!$K:$K) = "Complete", "DELIVERED", XLOOKUP(B714, 'Kit Delivery Status'!$U:$U, 'Kit Delivery Status'!$K:$K) = "Issue", "ISSUE"), "")</f>
        <v/>
      </c>
      <c r="AM714" s="6"/>
    </row>
    <row r="715">
      <c r="A715" s="5" t="s">
        <v>3803</v>
      </c>
      <c r="B715" s="1" t="s">
        <v>3804</v>
      </c>
      <c r="C715" s="1" t="s">
        <v>3805</v>
      </c>
      <c r="D715" s="2">
        <v>9.082957704E9</v>
      </c>
      <c r="E715" s="1" t="s">
        <v>3806</v>
      </c>
      <c r="F715" s="1"/>
      <c r="G715" s="1" t="s">
        <v>3729</v>
      </c>
      <c r="H715" s="1" t="s">
        <v>1053</v>
      </c>
      <c r="I715" s="1">
        <v>7042.0</v>
      </c>
      <c r="J715" s="1" t="s">
        <v>752</v>
      </c>
      <c r="K715" s="1" t="s">
        <v>95</v>
      </c>
      <c r="L715" s="1" t="s">
        <v>3327</v>
      </c>
      <c r="M715" s="1">
        <v>49.0</v>
      </c>
      <c r="N715" s="1" t="s">
        <v>2461</v>
      </c>
      <c r="O715" s="3" t="s">
        <v>3807</v>
      </c>
      <c r="P715" s="18">
        <v>45883.0</v>
      </c>
      <c r="Q715" s="1" t="s">
        <v>2731</v>
      </c>
      <c r="R715" s="1"/>
      <c r="S715" s="1" t="s">
        <v>2461</v>
      </c>
      <c r="T715" s="1" t="s">
        <v>2461</v>
      </c>
      <c r="U715" s="1" t="s">
        <v>1167</v>
      </c>
      <c r="V715" s="4" t="s">
        <v>3807</v>
      </c>
      <c r="W715" s="1"/>
      <c r="X715" s="18">
        <v>45883.0</v>
      </c>
      <c r="Y715" s="1" t="s">
        <v>1349</v>
      </c>
      <c r="Z715" s="1"/>
      <c r="AA715" s="1"/>
      <c r="AB715" s="1" t="s">
        <v>52</v>
      </c>
      <c r="AC715" s="1" t="s">
        <v>3808</v>
      </c>
      <c r="AD715" s="1"/>
      <c r="AE715" s="1" t="s">
        <v>1152</v>
      </c>
      <c r="AF715" s="1"/>
      <c r="AG715" s="1"/>
      <c r="AH715" s="1" t="s">
        <v>1152</v>
      </c>
      <c r="AI715" s="1"/>
      <c r="AJ715" s="1"/>
      <c r="AK715" s="1"/>
      <c r="AL715" s="6" t="str">
        <f t="array" ref="AL715">IFERROR(IFS(XLOOKUP(B715, 'Kit Delivery Status'!$U:$U, 'Kit Delivery Status'!$K:$K) = "Complete", "DELIVERED", XLOOKUP(B715, 'Kit Delivery Status'!$U:$U, 'Kit Delivery Status'!$K:$K) = "Issue", "ISSUE"), "")</f>
        <v/>
      </c>
      <c r="AM715" s="6"/>
    </row>
    <row r="716">
      <c r="A716" s="5" t="s">
        <v>3809</v>
      </c>
      <c r="B716" s="1" t="s">
        <v>3810</v>
      </c>
      <c r="C716" s="1" t="s">
        <v>325</v>
      </c>
      <c r="D716" s="2">
        <v>5.083616064E9</v>
      </c>
      <c r="E716" s="1" t="s">
        <v>3811</v>
      </c>
      <c r="F716" s="1"/>
      <c r="G716" s="1" t="s">
        <v>2056</v>
      </c>
      <c r="H716" s="1" t="s">
        <v>1121</v>
      </c>
      <c r="I716" s="1">
        <v>2420.0</v>
      </c>
      <c r="J716" s="1" t="s">
        <v>752</v>
      </c>
      <c r="K716" s="1" t="s">
        <v>66</v>
      </c>
      <c r="L716" s="1" t="s">
        <v>3321</v>
      </c>
      <c r="M716" s="1">
        <v>210.0</v>
      </c>
      <c r="N716" s="1" t="s">
        <v>1152</v>
      </c>
      <c r="O716" s="3" t="s">
        <v>2763</v>
      </c>
      <c r="P716" s="18">
        <v>45883.0</v>
      </c>
      <c r="Q716" s="1" t="s">
        <v>1152</v>
      </c>
      <c r="R716" s="1"/>
      <c r="S716" s="1" t="s">
        <v>1152</v>
      </c>
      <c r="T716" s="1" t="s">
        <v>1152</v>
      </c>
      <c r="U716" s="1" t="s">
        <v>956</v>
      </c>
      <c r="V716" s="4" t="s">
        <v>2763</v>
      </c>
      <c r="W716" s="1"/>
      <c r="X716" s="18">
        <v>45883.0</v>
      </c>
      <c r="Y716" s="1"/>
      <c r="Z716" s="1"/>
      <c r="AA716" s="1"/>
      <c r="AB716" s="1"/>
      <c r="AC716" s="1" t="s">
        <v>1925</v>
      </c>
      <c r="AD716" s="1"/>
      <c r="AE716" s="1" t="s">
        <v>1152</v>
      </c>
      <c r="AF716" s="1"/>
      <c r="AG716" s="1"/>
      <c r="AH716" s="1" t="s">
        <v>1152</v>
      </c>
      <c r="AI716" s="1"/>
      <c r="AJ716" s="1"/>
      <c r="AK716" s="1"/>
      <c r="AL716" s="6" t="str">
        <f t="array" ref="AL716">IFERROR(IFS(XLOOKUP(B716, 'Kit Delivery Status'!$U:$U, 'Kit Delivery Status'!$K:$K) = "Complete", "DELIVERED", XLOOKUP(B716, 'Kit Delivery Status'!$U:$U, 'Kit Delivery Status'!$K:$K) = "Issue", "ISSUE"), "")</f>
        <v/>
      </c>
      <c r="AM716" s="6"/>
    </row>
    <row r="717">
      <c r="A717" s="5" t="s">
        <v>3812</v>
      </c>
      <c r="B717" s="1" t="s">
        <v>3813</v>
      </c>
      <c r="C717" s="1" t="s">
        <v>3814</v>
      </c>
      <c r="D717" s="2">
        <v>4.156524942E9</v>
      </c>
      <c r="E717" s="1" t="s">
        <v>3815</v>
      </c>
      <c r="F717" s="1"/>
      <c r="G717" s="1" t="s">
        <v>1562</v>
      </c>
      <c r="H717" s="1" t="s">
        <v>989</v>
      </c>
      <c r="I717" s="1">
        <v>94110.0</v>
      </c>
      <c r="J717" s="1" t="s">
        <v>752</v>
      </c>
      <c r="K717" s="1" t="s">
        <v>51</v>
      </c>
      <c r="L717" s="1" t="s">
        <v>3293</v>
      </c>
      <c r="M717" s="1">
        <v>1.0</v>
      </c>
      <c r="N717" s="1" t="s">
        <v>2461</v>
      </c>
      <c r="O717" s="3" t="s">
        <v>2008</v>
      </c>
      <c r="P717" s="18">
        <v>45880.0</v>
      </c>
      <c r="Q717" s="1" t="s">
        <v>2463</v>
      </c>
      <c r="R717" s="1"/>
      <c r="S717" s="1" t="s">
        <v>2461</v>
      </c>
      <c r="T717" s="1" t="s">
        <v>2461</v>
      </c>
      <c r="U717" s="1" t="s">
        <v>1794</v>
      </c>
      <c r="V717" s="4" t="s">
        <v>2008</v>
      </c>
      <c r="W717" s="1"/>
      <c r="X717" s="18">
        <v>45880.0</v>
      </c>
      <c r="Y717" s="1" t="s">
        <v>1030</v>
      </c>
      <c r="Z717" s="1"/>
      <c r="AA717" s="1"/>
      <c r="AB717" s="1" t="s">
        <v>52</v>
      </c>
      <c r="AC717" s="1" t="s">
        <v>1925</v>
      </c>
      <c r="AD717" s="1"/>
      <c r="AE717" s="1" t="s">
        <v>1152</v>
      </c>
      <c r="AF717" s="1"/>
      <c r="AG717" s="1"/>
      <c r="AH717" s="1" t="s">
        <v>1152</v>
      </c>
      <c r="AI717" s="1"/>
      <c r="AJ717" s="1"/>
      <c r="AK717" s="1"/>
      <c r="AL717" s="6" t="str">
        <f t="array" ref="AL717">IFERROR(IFS(XLOOKUP(B717, 'Kit Delivery Status'!$U:$U, 'Kit Delivery Status'!$K:$K) = "Complete", "DELIVERED", XLOOKUP(B717, 'Kit Delivery Status'!$U:$U, 'Kit Delivery Status'!$K:$K) = "Issue", "ISSUE"), "")</f>
        <v/>
      </c>
      <c r="AM717" s="6"/>
    </row>
    <row r="718">
      <c r="A718" s="5" t="s">
        <v>3816</v>
      </c>
      <c r="B718" s="1" t="s">
        <v>3817</v>
      </c>
      <c r="C718" s="1" t="s">
        <v>3818</v>
      </c>
      <c r="D718" s="2">
        <v>6.097214127E9</v>
      </c>
      <c r="E718" s="1" t="s">
        <v>3819</v>
      </c>
      <c r="F718" s="1"/>
      <c r="G718" s="1" t="s">
        <v>3820</v>
      </c>
      <c r="H718" s="1" t="s">
        <v>1053</v>
      </c>
      <c r="I718" s="1">
        <v>8536.0</v>
      </c>
      <c r="J718" s="1" t="s">
        <v>752</v>
      </c>
      <c r="K718" s="1" t="s">
        <v>66</v>
      </c>
      <c r="L718" s="1" t="s">
        <v>3321</v>
      </c>
      <c r="M718" s="1">
        <v>210.0</v>
      </c>
      <c r="N718" s="1" t="s">
        <v>1152</v>
      </c>
      <c r="O718" s="3" t="s">
        <v>576</v>
      </c>
      <c r="P718" s="18">
        <v>45883.0</v>
      </c>
      <c r="Q718" s="1" t="s">
        <v>1152</v>
      </c>
      <c r="R718" s="1"/>
      <c r="S718" s="1" t="s">
        <v>1152</v>
      </c>
      <c r="T718" s="1" t="s">
        <v>1152</v>
      </c>
      <c r="U718" s="1" t="s">
        <v>1148</v>
      </c>
      <c r="V718" s="4" t="s">
        <v>576</v>
      </c>
      <c r="W718" s="1"/>
      <c r="X718" s="18">
        <v>45883.0</v>
      </c>
      <c r="Y718" s="1"/>
      <c r="Z718" s="1"/>
      <c r="AA718" s="1"/>
      <c r="AB718" s="1"/>
      <c r="AC718" s="1" t="s">
        <v>1925</v>
      </c>
      <c r="AD718" s="1"/>
      <c r="AE718" s="1" t="s">
        <v>1152</v>
      </c>
      <c r="AF718" s="1"/>
      <c r="AG718" s="1"/>
      <c r="AH718" s="1" t="s">
        <v>1152</v>
      </c>
      <c r="AI718" s="1"/>
      <c r="AJ718" s="1"/>
      <c r="AK718" s="1"/>
      <c r="AL718" s="6" t="str">
        <f t="array" ref="AL718">IFERROR(IFS(XLOOKUP(B718, 'Kit Delivery Status'!$U:$U, 'Kit Delivery Status'!$K:$K) = "Complete", "DELIVERED", XLOOKUP(B718, 'Kit Delivery Status'!$U:$U, 'Kit Delivery Status'!$K:$K) = "Issue", "ISSUE"), "")</f>
        <v/>
      </c>
      <c r="AM718" s="6"/>
    </row>
    <row r="719">
      <c r="A719" s="5" t="s">
        <v>3821</v>
      </c>
      <c r="B719" s="1" t="s">
        <v>3822</v>
      </c>
      <c r="C719" s="1" t="s">
        <v>3823</v>
      </c>
      <c r="D719" s="2">
        <v>9.173014252E9</v>
      </c>
      <c r="E719" s="1" t="s">
        <v>3824</v>
      </c>
      <c r="F719" s="1"/>
      <c r="G719" s="1" t="s">
        <v>751</v>
      </c>
      <c r="H719" s="1" t="s">
        <v>751</v>
      </c>
      <c r="I719" s="1">
        <v>10034.0</v>
      </c>
      <c r="J719" s="1" t="s">
        <v>752</v>
      </c>
      <c r="K719" s="1" t="s">
        <v>95</v>
      </c>
      <c r="L719" s="1" t="s">
        <v>3327</v>
      </c>
      <c r="M719" s="1">
        <v>49.0</v>
      </c>
      <c r="N719" s="1" t="s">
        <v>2461</v>
      </c>
      <c r="O719" s="3" t="s">
        <v>3684</v>
      </c>
      <c r="P719" s="18">
        <v>45883.0</v>
      </c>
      <c r="Q719" s="1" t="s">
        <v>2463</v>
      </c>
      <c r="R719" s="1"/>
      <c r="S719" s="1" t="s">
        <v>2461</v>
      </c>
      <c r="T719" s="1" t="s">
        <v>2461</v>
      </c>
      <c r="U719" s="1" t="s">
        <v>1324</v>
      </c>
      <c r="V719" s="4" t="s">
        <v>3684</v>
      </c>
      <c r="W719" s="1"/>
      <c r="X719" s="18">
        <v>45883.0</v>
      </c>
      <c r="Y719" s="1" t="s">
        <v>1030</v>
      </c>
      <c r="Z719" s="1"/>
      <c r="AA719" s="1"/>
      <c r="AB719" s="1" t="s">
        <v>52</v>
      </c>
      <c r="AC719" s="1" t="s">
        <v>3825</v>
      </c>
      <c r="AD719" s="1"/>
      <c r="AE719" s="1" t="s">
        <v>1152</v>
      </c>
      <c r="AF719" s="1"/>
      <c r="AG719" s="1"/>
      <c r="AH719" s="1" t="s">
        <v>1152</v>
      </c>
      <c r="AI719" s="1"/>
      <c r="AJ719" s="1"/>
      <c r="AK719" s="1"/>
      <c r="AL719" s="6" t="str">
        <f t="array" ref="AL719">IFERROR(IFS(XLOOKUP(B719, 'Kit Delivery Status'!$U:$U, 'Kit Delivery Status'!$K:$K) = "Complete", "DELIVERED", XLOOKUP(B719, 'Kit Delivery Status'!$U:$U, 'Kit Delivery Status'!$K:$K) = "Issue", "ISSUE"), "")</f>
        <v/>
      </c>
      <c r="AM719" s="6"/>
    </row>
    <row r="720">
      <c r="A720" s="5" t="s">
        <v>3826</v>
      </c>
      <c r="B720" s="1" t="s">
        <v>3827</v>
      </c>
      <c r="C720" s="1" t="s">
        <v>3828</v>
      </c>
      <c r="D720" s="2">
        <v>1.3025216652E10</v>
      </c>
      <c r="E720" s="1" t="s">
        <v>3829</v>
      </c>
      <c r="F720" s="1"/>
      <c r="G720" s="1" t="s">
        <v>3830</v>
      </c>
      <c r="H720" s="1" t="s">
        <v>3063</v>
      </c>
      <c r="I720" s="1">
        <v>19806.0</v>
      </c>
      <c r="J720" s="1" t="s">
        <v>752</v>
      </c>
      <c r="K720" s="1" t="s">
        <v>51</v>
      </c>
      <c r="L720" s="1" t="s">
        <v>3293</v>
      </c>
      <c r="M720" s="1">
        <v>1.0</v>
      </c>
      <c r="N720" s="1" t="s">
        <v>2461</v>
      </c>
      <c r="O720" s="3" t="s">
        <v>3831</v>
      </c>
      <c r="P720" s="18">
        <v>45890.0</v>
      </c>
      <c r="Q720" s="1" t="s">
        <v>3219</v>
      </c>
      <c r="R720" s="1"/>
      <c r="S720" s="1" t="s">
        <v>2461</v>
      </c>
      <c r="T720" s="1" t="s">
        <v>2461</v>
      </c>
      <c r="U720" s="1" t="s">
        <v>1642</v>
      </c>
      <c r="V720" s="4" t="s">
        <v>3831</v>
      </c>
      <c r="W720" s="1"/>
      <c r="X720" s="18">
        <v>45890.0</v>
      </c>
      <c r="Y720" s="1" t="s">
        <v>1455</v>
      </c>
      <c r="Z720" s="1"/>
      <c r="AA720" s="1"/>
      <c r="AB720" s="1" t="s">
        <v>52</v>
      </c>
      <c r="AC720" s="1" t="s">
        <v>1925</v>
      </c>
      <c r="AD720" s="1"/>
      <c r="AE720" s="1" t="s">
        <v>1152</v>
      </c>
      <c r="AF720" s="1"/>
      <c r="AG720" s="1"/>
      <c r="AH720" s="1" t="s">
        <v>1152</v>
      </c>
      <c r="AI720" s="1"/>
      <c r="AJ720" s="1"/>
      <c r="AK720" s="1"/>
      <c r="AL720" s="6" t="str">
        <f t="array" ref="AL720">IFERROR(IFS(XLOOKUP(B720, 'Kit Delivery Status'!$U:$U, 'Kit Delivery Status'!$K:$K) = "Complete", "DELIVERED", XLOOKUP(B720, 'Kit Delivery Status'!$U:$U, 'Kit Delivery Status'!$K:$K) = "Issue", "ISSUE"), "")</f>
        <v/>
      </c>
      <c r="AM720" s="6"/>
    </row>
    <row r="721">
      <c r="A721" s="5" t="s">
        <v>3832</v>
      </c>
      <c r="B721" s="1" t="s">
        <v>3833</v>
      </c>
      <c r="C721" s="1" t="s">
        <v>3834</v>
      </c>
      <c r="D721" s="2">
        <v>9.082108801E9</v>
      </c>
      <c r="E721" s="1" t="s">
        <v>3835</v>
      </c>
      <c r="F721" s="1"/>
      <c r="G721" s="1" t="s">
        <v>3836</v>
      </c>
      <c r="H721" s="1" t="s">
        <v>1053</v>
      </c>
      <c r="I721" s="1">
        <v>8876.0</v>
      </c>
      <c r="J721" s="1" t="s">
        <v>752</v>
      </c>
      <c r="K721" s="1" t="s">
        <v>51</v>
      </c>
      <c r="L721" s="1" t="s">
        <v>3293</v>
      </c>
      <c r="M721" s="1">
        <v>1.0</v>
      </c>
      <c r="N721" s="1" t="s">
        <v>2461</v>
      </c>
      <c r="O721" s="3" t="s">
        <v>3837</v>
      </c>
      <c r="P721" s="18">
        <v>45895.0</v>
      </c>
      <c r="Q721" s="1" t="s">
        <v>2463</v>
      </c>
      <c r="R721" s="1"/>
      <c r="S721" s="1" t="s">
        <v>2461</v>
      </c>
      <c r="T721" s="1" t="s">
        <v>2461</v>
      </c>
      <c r="U721" s="1" t="s">
        <v>1710</v>
      </c>
      <c r="V721" s="4" t="s">
        <v>3837</v>
      </c>
      <c r="W721" s="1"/>
      <c r="X721" s="18">
        <v>45895.0</v>
      </c>
      <c r="Y721" s="1" t="s">
        <v>1030</v>
      </c>
      <c r="Z721" s="1"/>
      <c r="AA721" s="1"/>
      <c r="AB721" s="1" t="s">
        <v>52</v>
      </c>
      <c r="AC721" s="1" t="s">
        <v>1925</v>
      </c>
      <c r="AD721" s="1"/>
      <c r="AE721" s="1" t="s">
        <v>1152</v>
      </c>
      <c r="AF721" s="1"/>
      <c r="AG721" s="1"/>
      <c r="AH721" s="1" t="s">
        <v>1152</v>
      </c>
      <c r="AI721" s="1"/>
      <c r="AJ721" s="1"/>
      <c r="AK721" s="1"/>
      <c r="AL721" s="6" t="str">
        <f t="array" ref="AL721">IFERROR(IFS(XLOOKUP(B721, 'Kit Delivery Status'!$U:$U, 'Kit Delivery Status'!$K:$K) = "Complete", "DELIVERED", XLOOKUP(B721, 'Kit Delivery Status'!$U:$U, 'Kit Delivery Status'!$K:$K) = "Issue", "ISSUE"), "")</f>
        <v/>
      </c>
      <c r="AM721" s="6"/>
    </row>
    <row r="722">
      <c r="A722" s="5" t="s">
        <v>3838</v>
      </c>
      <c r="B722" s="1" t="s">
        <v>3839</v>
      </c>
      <c r="C722" s="1"/>
      <c r="D722" s="2">
        <v>4.049156962E9</v>
      </c>
      <c r="E722" s="1" t="s">
        <v>3840</v>
      </c>
      <c r="F722" s="1" t="s">
        <v>3841</v>
      </c>
      <c r="G722" s="1" t="s">
        <v>3842</v>
      </c>
      <c r="H722" s="1" t="s">
        <v>946</v>
      </c>
      <c r="I722" s="1">
        <v>30328.0</v>
      </c>
      <c r="J722" s="1" t="s">
        <v>752</v>
      </c>
      <c r="K722" s="1" t="s">
        <v>51</v>
      </c>
      <c r="L722" s="1" t="s">
        <v>3293</v>
      </c>
      <c r="M722" s="1">
        <v>1.0</v>
      </c>
      <c r="N722" s="1" t="s">
        <v>2487</v>
      </c>
      <c r="O722" s="3"/>
      <c r="P722" s="18">
        <v>45873.0</v>
      </c>
      <c r="Q722" s="1" t="s">
        <v>3418</v>
      </c>
      <c r="R722" s="1" t="s">
        <v>3841</v>
      </c>
      <c r="S722" s="1" t="s">
        <v>2487</v>
      </c>
      <c r="T722" s="1" t="s">
        <v>2487</v>
      </c>
      <c r="U722" s="1"/>
      <c r="V722" s="4"/>
      <c r="W722" s="1" t="s">
        <v>3841</v>
      </c>
      <c r="X722" s="18">
        <v>45873.0</v>
      </c>
      <c r="Y722" s="1" t="s">
        <v>1103</v>
      </c>
      <c r="Z722" s="1"/>
      <c r="AA722" s="1" t="s">
        <v>3841</v>
      </c>
      <c r="AB722" s="1" t="s">
        <v>124</v>
      </c>
      <c r="AC722" s="1" t="s">
        <v>1925</v>
      </c>
      <c r="AD722" s="1"/>
      <c r="AE722" s="1" t="s">
        <v>1152</v>
      </c>
      <c r="AF722" s="1"/>
      <c r="AG722" s="1"/>
      <c r="AH722" s="1" t="s">
        <v>1152</v>
      </c>
      <c r="AI722" s="1"/>
      <c r="AJ722" s="1"/>
      <c r="AK722" s="1"/>
      <c r="AL722" s="6" t="str">
        <f t="array" ref="AL722">IFERROR(IFS(XLOOKUP(B722, 'Kit Delivery Status'!$U:$U, 'Kit Delivery Status'!$K:$K) = "Complete", "DELIVERED", XLOOKUP(B722, 'Kit Delivery Status'!$U:$U, 'Kit Delivery Status'!$K:$K) = "Issue", "ISSUE"), "")</f>
        <v/>
      </c>
      <c r="AM722" s="6"/>
    </row>
    <row r="723">
      <c r="A723" s="5" t="s">
        <v>3843</v>
      </c>
      <c r="B723" s="1" t="s">
        <v>3844</v>
      </c>
      <c r="C723" s="1"/>
      <c r="D723" s="2">
        <v>2.539886808E9</v>
      </c>
      <c r="E723" s="1" t="s">
        <v>3845</v>
      </c>
      <c r="F723" s="1"/>
      <c r="G723" s="1" t="s">
        <v>3846</v>
      </c>
      <c r="H723" s="1" t="s">
        <v>980</v>
      </c>
      <c r="I723" s="1">
        <v>98335.0</v>
      </c>
      <c r="J723" s="1" t="s">
        <v>752</v>
      </c>
      <c r="K723" s="1" t="s">
        <v>95</v>
      </c>
      <c r="L723" s="1" t="s">
        <v>3327</v>
      </c>
      <c r="M723" s="1">
        <v>49.0</v>
      </c>
      <c r="N723" s="1" t="s">
        <v>2461</v>
      </c>
      <c r="O723" s="3" t="s">
        <v>103</v>
      </c>
      <c r="P723" s="18">
        <v>45864.0</v>
      </c>
      <c r="Q723" s="1" t="s">
        <v>2463</v>
      </c>
      <c r="R723" s="1"/>
      <c r="S723" s="1" t="s">
        <v>2461</v>
      </c>
      <c r="T723" s="1" t="s">
        <v>2461</v>
      </c>
      <c r="U723" s="1" t="s">
        <v>102</v>
      </c>
      <c r="V723" s="4" t="s">
        <v>103</v>
      </c>
      <c r="W723" s="1"/>
      <c r="X723" s="18">
        <v>45864.0</v>
      </c>
      <c r="Y723" s="1" t="s">
        <v>1030</v>
      </c>
      <c r="Z723" s="1"/>
      <c r="AA723" s="1"/>
      <c r="AB723" s="1" t="s">
        <v>52</v>
      </c>
      <c r="AC723" s="1" t="s">
        <v>3847</v>
      </c>
      <c r="AD723" s="1"/>
      <c r="AE723" s="1" t="s">
        <v>1152</v>
      </c>
      <c r="AF723" s="1"/>
      <c r="AG723" s="1"/>
      <c r="AH723" s="1" t="s">
        <v>1152</v>
      </c>
      <c r="AI723" s="1"/>
      <c r="AJ723" s="1"/>
      <c r="AK723" s="1"/>
      <c r="AL723" s="6" t="str">
        <f t="array" ref="AL723">IFERROR(IFS(XLOOKUP(B723, 'Kit Delivery Status'!$U:$U, 'Kit Delivery Status'!$K:$K) = "Complete", "DELIVERED", XLOOKUP(B723, 'Kit Delivery Status'!$U:$U, 'Kit Delivery Status'!$K:$K) = "Issue", "ISSUE"), "")</f>
        <v/>
      </c>
      <c r="AM723" s="6"/>
    </row>
    <row r="724">
      <c r="A724" s="5" t="s">
        <v>3848</v>
      </c>
      <c r="B724" s="1" t="s">
        <v>3849</v>
      </c>
      <c r="C724" s="1" t="s">
        <v>3850</v>
      </c>
      <c r="D724" s="2">
        <v>3.147604801E9</v>
      </c>
      <c r="E724" s="1" t="s">
        <v>3851</v>
      </c>
      <c r="F724" s="1"/>
      <c r="G724" s="1" t="s">
        <v>1283</v>
      </c>
      <c r="H724" s="1" t="s">
        <v>1155</v>
      </c>
      <c r="I724" s="1">
        <v>63105.0</v>
      </c>
      <c r="J724" s="1" t="s">
        <v>752</v>
      </c>
      <c r="K724" s="1" t="s">
        <v>51</v>
      </c>
      <c r="L724" s="1" t="s">
        <v>3293</v>
      </c>
      <c r="M724" s="1">
        <v>1.0</v>
      </c>
      <c r="N724" s="1" t="s">
        <v>2461</v>
      </c>
      <c r="O724" s="3" t="s">
        <v>3852</v>
      </c>
      <c r="P724" s="18">
        <v>45889.0</v>
      </c>
      <c r="Q724" s="1" t="s">
        <v>2463</v>
      </c>
      <c r="R724" s="1"/>
      <c r="S724" s="1" t="s">
        <v>2461</v>
      </c>
      <c r="T724" s="1" t="s">
        <v>2461</v>
      </c>
      <c r="U724" s="1" t="s">
        <v>1407</v>
      </c>
      <c r="V724" s="4" t="s">
        <v>3852</v>
      </c>
      <c r="W724" s="1"/>
      <c r="X724" s="18">
        <v>45889.0</v>
      </c>
      <c r="Y724" s="1" t="s">
        <v>1030</v>
      </c>
      <c r="Z724" s="1"/>
      <c r="AA724" s="1"/>
      <c r="AB724" s="1" t="s">
        <v>52</v>
      </c>
      <c r="AC724" s="1" t="s">
        <v>1925</v>
      </c>
      <c r="AD724" s="1"/>
      <c r="AE724" s="1" t="s">
        <v>1152</v>
      </c>
      <c r="AF724" s="1"/>
      <c r="AG724" s="1"/>
      <c r="AH724" s="1" t="s">
        <v>1152</v>
      </c>
      <c r="AI724" s="1"/>
      <c r="AJ724" s="1"/>
      <c r="AK724" s="1"/>
      <c r="AL724" s="6" t="str">
        <f t="array" ref="AL724">IFERROR(IFS(XLOOKUP(B724, 'Kit Delivery Status'!$U:$U, 'Kit Delivery Status'!$K:$K) = "Complete", "DELIVERED", XLOOKUP(B724, 'Kit Delivery Status'!$U:$U, 'Kit Delivery Status'!$K:$K) = "Issue", "ISSUE"), "")</f>
        <v/>
      </c>
      <c r="AM724" s="6"/>
    </row>
    <row r="725">
      <c r="A725" s="5" t="s">
        <v>3853</v>
      </c>
      <c r="B725" s="1" t="s">
        <v>3854</v>
      </c>
      <c r="C725" s="1" t="s">
        <v>3855</v>
      </c>
      <c r="D725" s="2">
        <v>4.158028428E9</v>
      </c>
      <c r="E725" s="1" t="s">
        <v>3856</v>
      </c>
      <c r="F725" s="1"/>
      <c r="G725" s="1" t="s">
        <v>1562</v>
      </c>
      <c r="H725" s="1" t="s">
        <v>989</v>
      </c>
      <c r="I725" s="1">
        <v>94123.0</v>
      </c>
      <c r="J725" s="1" t="s">
        <v>752</v>
      </c>
      <c r="K725" s="1" t="s">
        <v>51</v>
      </c>
      <c r="L725" s="1" t="s">
        <v>3293</v>
      </c>
      <c r="M725" s="1">
        <v>1.0</v>
      </c>
      <c r="N725" s="1" t="s">
        <v>2461</v>
      </c>
      <c r="O725" s="3" t="s">
        <v>3857</v>
      </c>
      <c r="P725" s="18">
        <v>45889.0</v>
      </c>
      <c r="Q725" s="1" t="s">
        <v>2463</v>
      </c>
      <c r="R725" s="1"/>
      <c r="S725" s="1" t="s">
        <v>2461</v>
      </c>
      <c r="T725" s="1" t="s">
        <v>2461</v>
      </c>
      <c r="U725" s="1" t="s">
        <v>1642</v>
      </c>
      <c r="V725" s="4" t="s">
        <v>3857</v>
      </c>
      <c r="W725" s="1"/>
      <c r="X725" s="18">
        <v>45889.0</v>
      </c>
      <c r="Y725" s="1" t="s">
        <v>1030</v>
      </c>
      <c r="Z725" s="1"/>
      <c r="AA725" s="1"/>
      <c r="AB725" s="1" t="s">
        <v>52</v>
      </c>
      <c r="AC725" s="1" t="s">
        <v>1925</v>
      </c>
      <c r="AD725" s="1"/>
      <c r="AE725" s="1" t="s">
        <v>1152</v>
      </c>
      <c r="AF725" s="1"/>
      <c r="AG725" s="1"/>
      <c r="AH725" s="1" t="s">
        <v>1152</v>
      </c>
      <c r="AI725" s="1" t="s">
        <v>3858</v>
      </c>
      <c r="AJ725" s="1"/>
      <c r="AK725" s="1"/>
      <c r="AL725" s="6" t="str">
        <f t="array" ref="AL725">IFERROR(IFS(XLOOKUP(B725, 'Kit Delivery Status'!$U:$U, 'Kit Delivery Status'!$K:$K) = "Complete", "DELIVERED", XLOOKUP(B725, 'Kit Delivery Status'!$U:$U, 'Kit Delivery Status'!$K:$K) = "Issue", "ISSUE"), "")</f>
        <v/>
      </c>
      <c r="AM725" s="6"/>
    </row>
    <row r="726">
      <c r="A726" s="5" t="s">
        <v>3859</v>
      </c>
      <c r="B726" s="1" t="s">
        <v>3860</v>
      </c>
      <c r="C726" s="1" t="s">
        <v>3861</v>
      </c>
      <c r="D726" s="2">
        <v>3.109818861E9</v>
      </c>
      <c r="E726" s="1" t="s">
        <v>3862</v>
      </c>
      <c r="F726" s="1"/>
      <c r="G726" s="1" t="s">
        <v>1179</v>
      </c>
      <c r="H726" s="1" t="s">
        <v>989</v>
      </c>
      <c r="I726" s="1">
        <v>90272.0</v>
      </c>
      <c r="J726" s="1" t="s">
        <v>752</v>
      </c>
      <c r="K726" s="1" t="s">
        <v>51</v>
      </c>
      <c r="L726" s="1" t="s">
        <v>3293</v>
      </c>
      <c r="M726" s="1">
        <v>1.0</v>
      </c>
      <c r="N726" s="1" t="s">
        <v>2461</v>
      </c>
      <c r="O726" s="3" t="s">
        <v>1793</v>
      </c>
      <c r="P726" s="18">
        <v>45890.0</v>
      </c>
      <c r="Q726" s="1" t="s">
        <v>3418</v>
      </c>
      <c r="R726" s="1"/>
      <c r="S726" s="1" t="s">
        <v>2461</v>
      </c>
      <c r="T726" s="1" t="s">
        <v>2461</v>
      </c>
      <c r="U726" s="1" t="s">
        <v>1174</v>
      </c>
      <c r="V726" s="4" t="s">
        <v>1793</v>
      </c>
      <c r="W726" s="1"/>
      <c r="X726" s="18">
        <v>45890.0</v>
      </c>
      <c r="Y726" s="1" t="s">
        <v>1103</v>
      </c>
      <c r="Z726" s="1"/>
      <c r="AA726" s="1"/>
      <c r="AB726" s="1" t="s">
        <v>52</v>
      </c>
      <c r="AC726" s="1" t="s">
        <v>1925</v>
      </c>
      <c r="AD726" s="1"/>
      <c r="AE726" s="1" t="s">
        <v>1152</v>
      </c>
      <c r="AF726" s="1"/>
      <c r="AG726" s="1"/>
      <c r="AH726" s="1" t="s">
        <v>1152</v>
      </c>
      <c r="AI726" s="1"/>
      <c r="AJ726" s="1"/>
      <c r="AK726" s="1"/>
      <c r="AL726" s="6" t="str">
        <f t="array" ref="AL726">IFERROR(IFS(XLOOKUP(B726, 'Kit Delivery Status'!$U:$U, 'Kit Delivery Status'!$K:$K) = "Complete", "DELIVERED", XLOOKUP(B726, 'Kit Delivery Status'!$U:$U, 'Kit Delivery Status'!$K:$K) = "Issue", "ISSUE"), "")</f>
        <v/>
      </c>
      <c r="AM726" s="6"/>
    </row>
    <row r="727">
      <c r="A727" s="5" t="s">
        <v>3863</v>
      </c>
      <c r="B727" s="1" t="s">
        <v>3864</v>
      </c>
      <c r="C727" s="1"/>
      <c r="D727" s="2">
        <v>9.545484359E9</v>
      </c>
      <c r="E727" s="1" t="s">
        <v>3865</v>
      </c>
      <c r="F727" s="1"/>
      <c r="G727" s="1" t="s">
        <v>3866</v>
      </c>
      <c r="H727" s="1" t="s">
        <v>1208</v>
      </c>
      <c r="I727" s="1">
        <v>33073.0</v>
      </c>
      <c r="J727" s="1" t="s">
        <v>752</v>
      </c>
      <c r="K727" s="1" t="s">
        <v>51</v>
      </c>
      <c r="L727" s="1" t="s">
        <v>3293</v>
      </c>
      <c r="M727" s="1">
        <v>1.0</v>
      </c>
      <c r="N727" s="1" t="s">
        <v>2461</v>
      </c>
      <c r="O727" s="3" t="s">
        <v>3867</v>
      </c>
      <c r="P727" s="18">
        <v>45888.0</v>
      </c>
      <c r="Q727" s="1" t="s">
        <v>2463</v>
      </c>
      <c r="R727" s="1"/>
      <c r="S727" s="1" t="s">
        <v>2461</v>
      </c>
      <c r="T727" s="1" t="s">
        <v>2461</v>
      </c>
      <c r="U727" s="1" t="s">
        <v>1441</v>
      </c>
      <c r="V727" s="4" t="s">
        <v>3867</v>
      </c>
      <c r="W727" s="1"/>
      <c r="X727" s="18">
        <v>45888.0</v>
      </c>
      <c r="Y727" s="1" t="s">
        <v>1030</v>
      </c>
      <c r="Z727" s="1"/>
      <c r="AA727" s="1"/>
      <c r="AB727" s="1" t="s">
        <v>52</v>
      </c>
      <c r="AC727" s="1" t="s">
        <v>1925</v>
      </c>
      <c r="AD727" s="1"/>
      <c r="AE727" s="1" t="s">
        <v>1152</v>
      </c>
      <c r="AF727" s="1"/>
      <c r="AG727" s="1"/>
      <c r="AH727" s="1" t="s">
        <v>1152</v>
      </c>
      <c r="AI727" s="1"/>
      <c r="AJ727" s="1"/>
      <c r="AK727" s="1"/>
      <c r="AL727" s="6" t="str">
        <f t="array" ref="AL727">IFERROR(IFS(XLOOKUP(B727, 'Kit Delivery Status'!$U:$U, 'Kit Delivery Status'!$K:$K) = "Complete", "DELIVERED", XLOOKUP(B727, 'Kit Delivery Status'!$U:$U, 'Kit Delivery Status'!$K:$K) = "Issue", "ISSUE"), "")</f>
        <v/>
      </c>
      <c r="AM727" s="6"/>
    </row>
    <row r="728">
      <c r="A728" s="5" t="s">
        <v>3868</v>
      </c>
      <c r="B728" s="1" t="s">
        <v>3869</v>
      </c>
      <c r="C728" s="1" t="s">
        <v>3870</v>
      </c>
      <c r="D728" s="2">
        <v>5.163470507E9</v>
      </c>
      <c r="E728" s="1" t="s">
        <v>3871</v>
      </c>
      <c r="F728" s="1"/>
      <c r="G728" s="1" t="s">
        <v>1760</v>
      </c>
      <c r="H728" s="1" t="s">
        <v>1155</v>
      </c>
      <c r="I728" s="1">
        <v>63105.0</v>
      </c>
      <c r="J728" s="1" t="s">
        <v>752</v>
      </c>
      <c r="K728" s="1" t="s">
        <v>51</v>
      </c>
      <c r="L728" s="1" t="s">
        <v>3293</v>
      </c>
      <c r="M728" s="1">
        <v>1.0</v>
      </c>
      <c r="N728" s="1" t="s">
        <v>2461</v>
      </c>
      <c r="O728" s="3" t="s">
        <v>3872</v>
      </c>
      <c r="P728" s="18">
        <v>45883.0</v>
      </c>
      <c r="Q728" s="1" t="s">
        <v>2463</v>
      </c>
      <c r="R728" s="1"/>
      <c r="S728" s="1" t="s">
        <v>2461</v>
      </c>
      <c r="T728" s="1" t="s">
        <v>2461</v>
      </c>
      <c r="U728" s="1" t="s">
        <v>1441</v>
      </c>
      <c r="V728" s="4" t="s">
        <v>3872</v>
      </c>
      <c r="W728" s="1"/>
      <c r="X728" s="18">
        <v>45883.0</v>
      </c>
      <c r="Y728" s="1" t="s">
        <v>1030</v>
      </c>
      <c r="Z728" s="1"/>
      <c r="AA728" s="1"/>
      <c r="AB728" s="1" t="s">
        <v>52</v>
      </c>
      <c r="AC728" s="1" t="s">
        <v>1925</v>
      </c>
      <c r="AD728" s="1"/>
      <c r="AE728" s="1" t="s">
        <v>1152</v>
      </c>
      <c r="AF728" s="1"/>
      <c r="AG728" s="1"/>
      <c r="AH728" s="1" t="s">
        <v>1152</v>
      </c>
      <c r="AI728" s="1"/>
      <c r="AJ728" s="1"/>
      <c r="AK728" s="1"/>
      <c r="AL728" s="6" t="str">
        <f t="array" ref="AL728">IFERROR(IFS(XLOOKUP(B728, 'Kit Delivery Status'!$U:$U, 'Kit Delivery Status'!$K:$K) = "Complete", "DELIVERED", XLOOKUP(B728, 'Kit Delivery Status'!$U:$U, 'Kit Delivery Status'!$K:$K) = "Issue", "ISSUE"), "")</f>
        <v/>
      </c>
      <c r="AM728" s="6"/>
    </row>
    <row r="729">
      <c r="A729" s="5" t="s">
        <v>3873</v>
      </c>
      <c r="B729" s="1" t="s">
        <v>3874</v>
      </c>
      <c r="C729" s="1"/>
      <c r="D729" s="2">
        <v>4.156030667E9</v>
      </c>
      <c r="E729" s="1" t="s">
        <v>3875</v>
      </c>
      <c r="F729" s="1" t="s">
        <v>3876</v>
      </c>
      <c r="G729" s="1" t="s">
        <v>1562</v>
      </c>
      <c r="H729" s="1" t="s">
        <v>989</v>
      </c>
      <c r="I729" s="1">
        <v>94134.0</v>
      </c>
      <c r="J729" s="1" t="s">
        <v>752</v>
      </c>
      <c r="K729" s="1" t="s">
        <v>51</v>
      </c>
      <c r="L729" s="1" t="s">
        <v>3293</v>
      </c>
      <c r="M729" s="1">
        <v>1.0</v>
      </c>
      <c r="N729" s="1" t="s">
        <v>2487</v>
      </c>
      <c r="O729" s="3"/>
      <c r="P729" s="18">
        <v>45892.0</v>
      </c>
      <c r="Q729" s="1" t="s">
        <v>3877</v>
      </c>
      <c r="R729" s="1" t="s">
        <v>3876</v>
      </c>
      <c r="S729" s="1" t="s">
        <v>2487</v>
      </c>
      <c r="T729" s="1" t="s">
        <v>2487</v>
      </c>
      <c r="U729" s="1"/>
      <c r="V729" s="4"/>
      <c r="W729" s="1" t="s">
        <v>3876</v>
      </c>
      <c r="X729" s="18">
        <v>45892.0</v>
      </c>
      <c r="Y729" s="35">
        <v>0.7083333333333334</v>
      </c>
      <c r="Z729" s="1"/>
      <c r="AA729" s="1" t="s">
        <v>3876</v>
      </c>
      <c r="AB729" s="1" t="s">
        <v>124</v>
      </c>
      <c r="AC729" s="1" t="s">
        <v>1925</v>
      </c>
      <c r="AD729" s="1"/>
      <c r="AE729" s="1" t="s">
        <v>1152</v>
      </c>
      <c r="AF729" s="1"/>
      <c r="AG729" s="1"/>
      <c r="AH729" s="1" t="s">
        <v>1152</v>
      </c>
      <c r="AI729" s="1" t="s">
        <v>3878</v>
      </c>
      <c r="AJ729" s="1"/>
      <c r="AK729" s="1"/>
      <c r="AL729" s="6" t="str">
        <f t="array" ref="AL729">IFERROR(IFS(XLOOKUP(B729, 'Kit Delivery Status'!$U:$U, 'Kit Delivery Status'!$K:$K) = "Complete", "DELIVERED", XLOOKUP(B729, 'Kit Delivery Status'!$U:$U, 'Kit Delivery Status'!$K:$K) = "Issue", "ISSUE"), "")</f>
        <v/>
      </c>
      <c r="AM729" s="6"/>
    </row>
    <row r="730">
      <c r="A730" s="5" t="s">
        <v>3879</v>
      </c>
      <c r="B730" s="1" t="s">
        <v>3880</v>
      </c>
      <c r="C730" s="1" t="s">
        <v>3881</v>
      </c>
      <c r="D730" s="2">
        <v>886912415652</v>
      </c>
      <c r="E730" s="1" t="s">
        <v>3882</v>
      </c>
      <c r="F730" s="1"/>
      <c r="G730" s="1" t="s">
        <v>3883</v>
      </c>
      <c r="H730" s="1"/>
      <c r="I730" s="1">
        <v>30264.0</v>
      </c>
      <c r="J730" s="1" t="s">
        <v>3884</v>
      </c>
      <c r="K730" s="1" t="s">
        <v>66</v>
      </c>
      <c r="L730" s="1" t="s">
        <v>3885</v>
      </c>
      <c r="M730" s="1">
        <v>180.0</v>
      </c>
      <c r="N730" s="1" t="s">
        <v>1152</v>
      </c>
      <c r="O730" s="3" t="s">
        <v>3886</v>
      </c>
      <c r="P730" s="18">
        <v>45883.0</v>
      </c>
      <c r="Q730" s="1" t="s">
        <v>1152</v>
      </c>
      <c r="R730" s="1"/>
      <c r="S730" s="1" t="s">
        <v>1152</v>
      </c>
      <c r="T730" s="1" t="s">
        <v>1152</v>
      </c>
      <c r="U730" s="1" t="s">
        <v>1324</v>
      </c>
      <c r="V730" s="4" t="s">
        <v>3886</v>
      </c>
      <c r="W730" s="1"/>
      <c r="X730" s="18">
        <v>45883.0</v>
      </c>
      <c r="Y730" s="1"/>
      <c r="Z730" s="1"/>
      <c r="AA730" s="1"/>
      <c r="AB730" s="1"/>
      <c r="AC730" s="1" t="s">
        <v>1925</v>
      </c>
      <c r="AD730" s="1"/>
      <c r="AE730" s="1" t="s">
        <v>1152</v>
      </c>
      <c r="AF730" s="1"/>
      <c r="AG730" s="1"/>
      <c r="AH730" s="1" t="s">
        <v>1152</v>
      </c>
      <c r="AI730" s="1"/>
      <c r="AJ730" s="1"/>
      <c r="AK730" s="1"/>
      <c r="AL730" s="6" t="str">
        <f t="array" ref="AL730">IFERROR(IFS(XLOOKUP(B730, 'Kit Delivery Status'!$U:$U, 'Kit Delivery Status'!$K:$K) = "Complete", "DELIVERED", XLOOKUP(B730, 'Kit Delivery Status'!$U:$U, 'Kit Delivery Status'!$K:$K) = "Issue", "ISSUE"), "")</f>
        <v/>
      </c>
      <c r="AM730" s="6"/>
    </row>
    <row r="731">
      <c r="A731" s="5" t="s">
        <v>3887</v>
      </c>
      <c r="B731" s="1" t="s">
        <v>3888</v>
      </c>
      <c r="C731" s="1" t="s">
        <v>3889</v>
      </c>
      <c r="D731" s="2">
        <v>9.149878671E9</v>
      </c>
      <c r="E731" s="1" t="s">
        <v>3890</v>
      </c>
      <c r="F731" s="1"/>
      <c r="G731" s="1" t="s">
        <v>3891</v>
      </c>
      <c r="H731" s="1" t="s">
        <v>751</v>
      </c>
      <c r="I731" s="1">
        <v>10510.0</v>
      </c>
      <c r="J731" s="1" t="s">
        <v>752</v>
      </c>
      <c r="K731" s="1" t="s">
        <v>51</v>
      </c>
      <c r="L731" s="1" t="s">
        <v>3293</v>
      </c>
      <c r="M731" s="1">
        <v>1.0</v>
      </c>
      <c r="N731" s="1" t="s">
        <v>2461</v>
      </c>
      <c r="O731" s="3" t="s">
        <v>3892</v>
      </c>
      <c r="P731" s="18">
        <v>45891.0</v>
      </c>
      <c r="Q731" s="1" t="s">
        <v>2463</v>
      </c>
      <c r="R731" s="1"/>
      <c r="S731" s="1" t="s">
        <v>2461</v>
      </c>
      <c r="T731" s="1" t="s">
        <v>2461</v>
      </c>
      <c r="U731" s="1" t="s">
        <v>1021</v>
      </c>
      <c r="V731" s="4" t="s">
        <v>3892</v>
      </c>
      <c r="W731" s="1"/>
      <c r="X731" s="18">
        <v>45891.0</v>
      </c>
      <c r="Y731" s="1" t="s">
        <v>1030</v>
      </c>
      <c r="Z731" s="1"/>
      <c r="AA731" s="1"/>
      <c r="AB731" s="1" t="s">
        <v>52</v>
      </c>
      <c r="AC731" s="1" t="s">
        <v>1925</v>
      </c>
      <c r="AD731" s="1"/>
      <c r="AE731" s="1" t="s">
        <v>1152</v>
      </c>
      <c r="AF731" s="1"/>
      <c r="AG731" s="1"/>
      <c r="AH731" s="1" t="s">
        <v>1152</v>
      </c>
      <c r="AI731" s="1"/>
      <c r="AJ731" s="1"/>
      <c r="AK731" s="1"/>
      <c r="AL731" s="6" t="str">
        <f t="array" ref="AL731">IFERROR(IFS(XLOOKUP(B731, 'Kit Delivery Status'!$U:$U, 'Kit Delivery Status'!$K:$K) = "Complete", "DELIVERED", XLOOKUP(B731, 'Kit Delivery Status'!$U:$U, 'Kit Delivery Status'!$K:$K) = "Issue", "ISSUE"), "")</f>
        <v/>
      </c>
      <c r="AM731" s="6"/>
    </row>
    <row r="732">
      <c r="A732" s="5" t="s">
        <v>3893</v>
      </c>
      <c r="B732" s="1" t="s">
        <v>3894</v>
      </c>
      <c r="C732" s="1" t="s">
        <v>3895</v>
      </c>
      <c r="D732" s="2">
        <v>8.183846515E9</v>
      </c>
      <c r="E732" s="1" t="s">
        <v>3896</v>
      </c>
      <c r="F732" s="1"/>
      <c r="G732" s="1" t="s">
        <v>3897</v>
      </c>
      <c r="H732" s="1" t="s">
        <v>989</v>
      </c>
      <c r="I732" s="1">
        <v>91356.0</v>
      </c>
      <c r="J732" s="1" t="s">
        <v>752</v>
      </c>
      <c r="K732" s="1" t="s">
        <v>51</v>
      </c>
      <c r="L732" s="1" t="s">
        <v>3293</v>
      </c>
      <c r="M732" s="1">
        <v>1.0</v>
      </c>
      <c r="N732" s="1" t="s">
        <v>2461</v>
      </c>
      <c r="O732" s="3" t="s">
        <v>3898</v>
      </c>
      <c r="P732" s="18">
        <v>45888.0</v>
      </c>
      <c r="Q732" s="1" t="s">
        <v>2463</v>
      </c>
      <c r="R732" s="1"/>
      <c r="S732" s="1" t="s">
        <v>2461</v>
      </c>
      <c r="T732" s="1" t="s">
        <v>2461</v>
      </c>
      <c r="U732" s="1" t="s">
        <v>1441</v>
      </c>
      <c r="V732" s="4" t="s">
        <v>3898</v>
      </c>
      <c r="W732" s="1"/>
      <c r="X732" s="18">
        <v>45888.0</v>
      </c>
      <c r="Y732" s="1" t="s">
        <v>1030</v>
      </c>
      <c r="Z732" s="1"/>
      <c r="AA732" s="1"/>
      <c r="AB732" s="1" t="s">
        <v>52</v>
      </c>
      <c r="AC732" s="1" t="s">
        <v>1925</v>
      </c>
      <c r="AD732" s="1"/>
      <c r="AE732" s="1" t="s">
        <v>1152</v>
      </c>
      <c r="AF732" s="1"/>
      <c r="AG732" s="1"/>
      <c r="AH732" s="1" t="s">
        <v>1152</v>
      </c>
      <c r="AI732" s="1"/>
      <c r="AJ732" s="1"/>
      <c r="AK732" s="1"/>
      <c r="AL732" s="6" t="str">
        <f t="array" ref="AL732">IFERROR(IFS(XLOOKUP(B732, 'Kit Delivery Status'!$U:$U, 'Kit Delivery Status'!$K:$K) = "Complete", "DELIVERED", XLOOKUP(B732, 'Kit Delivery Status'!$U:$U, 'Kit Delivery Status'!$K:$K) = "Issue", "ISSUE"), "")</f>
        <v/>
      </c>
      <c r="AM732" s="6"/>
    </row>
    <row r="733">
      <c r="A733" s="5" t="s">
        <v>3899</v>
      </c>
      <c r="B733" s="1" t="s">
        <v>3900</v>
      </c>
      <c r="C733" s="1" t="s">
        <v>3901</v>
      </c>
      <c r="D733" s="2">
        <v>7.73633487E9</v>
      </c>
      <c r="E733" s="1" t="s">
        <v>3902</v>
      </c>
      <c r="F733" s="1"/>
      <c r="G733" s="1" t="s">
        <v>1072</v>
      </c>
      <c r="H733" s="1" t="s">
        <v>1019</v>
      </c>
      <c r="I733" s="1">
        <v>60615.0</v>
      </c>
      <c r="J733" s="1" t="s">
        <v>752</v>
      </c>
      <c r="K733" s="1" t="s">
        <v>51</v>
      </c>
      <c r="L733" s="1" t="s">
        <v>3293</v>
      </c>
      <c r="M733" s="1">
        <v>1.0</v>
      </c>
      <c r="N733" s="1" t="s">
        <v>2461</v>
      </c>
      <c r="O733" s="3" t="s">
        <v>1818</v>
      </c>
      <c r="P733" s="18">
        <v>45889.0</v>
      </c>
      <c r="Q733" s="1" t="s">
        <v>2463</v>
      </c>
      <c r="R733" s="1"/>
      <c r="S733" s="1" t="s">
        <v>2461</v>
      </c>
      <c r="T733" s="1" t="s">
        <v>2461</v>
      </c>
      <c r="U733" s="1" t="s">
        <v>1794</v>
      </c>
      <c r="V733" s="4" t="s">
        <v>1818</v>
      </c>
      <c r="W733" s="1"/>
      <c r="X733" s="18">
        <v>45889.0</v>
      </c>
      <c r="Y733" s="1" t="s">
        <v>1030</v>
      </c>
      <c r="Z733" s="1"/>
      <c r="AA733" s="1"/>
      <c r="AB733" s="1" t="s">
        <v>52</v>
      </c>
      <c r="AC733" s="1" t="s">
        <v>1925</v>
      </c>
      <c r="AD733" s="1"/>
      <c r="AE733" s="1" t="s">
        <v>1152</v>
      </c>
      <c r="AF733" s="1"/>
      <c r="AG733" s="1"/>
      <c r="AH733" s="1" t="s">
        <v>1152</v>
      </c>
      <c r="AI733" s="1"/>
      <c r="AJ733" s="1"/>
      <c r="AK733" s="1"/>
      <c r="AL733" s="6" t="str">
        <f t="array" ref="AL733">IFERROR(IFS(XLOOKUP(B733, 'Kit Delivery Status'!$U:$U, 'Kit Delivery Status'!$K:$K) = "Complete", "DELIVERED", XLOOKUP(B733, 'Kit Delivery Status'!$U:$U, 'Kit Delivery Status'!$K:$K) = "Issue", "ISSUE"), "")</f>
        <v/>
      </c>
      <c r="AM733" s="6"/>
    </row>
    <row r="734">
      <c r="A734" s="5" t="s">
        <v>3903</v>
      </c>
      <c r="B734" s="1" t="s">
        <v>3904</v>
      </c>
      <c r="C734" s="1" t="s">
        <v>3905</v>
      </c>
      <c r="D734" s="2">
        <v>3.105000477E9</v>
      </c>
      <c r="E734" s="1" t="s">
        <v>3906</v>
      </c>
      <c r="F734" s="1"/>
      <c r="G734" s="1" t="s">
        <v>1179</v>
      </c>
      <c r="H734" s="1" t="s">
        <v>989</v>
      </c>
      <c r="I734" s="1">
        <v>90019.0</v>
      </c>
      <c r="J734" s="1" t="s">
        <v>752</v>
      </c>
      <c r="K734" s="1" t="s">
        <v>51</v>
      </c>
      <c r="L734" s="1" t="s">
        <v>3293</v>
      </c>
      <c r="M734" s="1">
        <v>1.0</v>
      </c>
      <c r="N734" s="1" t="s">
        <v>2461</v>
      </c>
      <c r="O734" s="3" t="s">
        <v>3907</v>
      </c>
      <c r="P734" s="18">
        <v>45892.0</v>
      </c>
      <c r="Q734" s="1" t="s">
        <v>2463</v>
      </c>
      <c r="R734" s="1"/>
      <c r="S734" s="1" t="s">
        <v>2461</v>
      </c>
      <c r="T734" s="1" t="s">
        <v>2461</v>
      </c>
      <c r="U734" s="1" t="s">
        <v>1794</v>
      </c>
      <c r="V734" s="4" t="s">
        <v>3907</v>
      </c>
      <c r="W734" s="1"/>
      <c r="X734" s="18">
        <v>45892.0</v>
      </c>
      <c r="Y734" s="1" t="s">
        <v>1030</v>
      </c>
      <c r="Z734" s="1"/>
      <c r="AA734" s="1"/>
      <c r="AB734" s="1" t="s">
        <v>52</v>
      </c>
      <c r="AC734" s="1" t="s">
        <v>1925</v>
      </c>
      <c r="AD734" s="1"/>
      <c r="AE734" s="1" t="s">
        <v>1152</v>
      </c>
      <c r="AF734" s="1"/>
      <c r="AG734" s="1"/>
      <c r="AH734" s="1" t="s">
        <v>1152</v>
      </c>
      <c r="AI734" s="1"/>
      <c r="AJ734" s="1"/>
      <c r="AK734" s="1"/>
      <c r="AL734" s="6" t="str">
        <f t="array" ref="AL734">IFERROR(IFS(XLOOKUP(B734, 'Kit Delivery Status'!$U:$U, 'Kit Delivery Status'!$K:$K) = "Complete", "DELIVERED", XLOOKUP(B734, 'Kit Delivery Status'!$U:$U, 'Kit Delivery Status'!$K:$K) = "Issue", "ISSUE"), "")</f>
        <v/>
      </c>
      <c r="AM734" s="6"/>
    </row>
    <row r="735">
      <c r="A735" s="5" t="s">
        <v>3908</v>
      </c>
      <c r="B735" s="1" t="s">
        <v>3909</v>
      </c>
      <c r="C735" s="1" t="s">
        <v>3910</v>
      </c>
      <c r="D735" s="2">
        <v>3.146855883E9</v>
      </c>
      <c r="E735" s="1" t="s">
        <v>3911</v>
      </c>
      <c r="F735" s="1"/>
      <c r="G735" s="1" t="s">
        <v>1283</v>
      </c>
      <c r="H735" s="1" t="s">
        <v>1155</v>
      </c>
      <c r="I735" s="1">
        <v>63130.0</v>
      </c>
      <c r="J735" s="1" t="s">
        <v>752</v>
      </c>
      <c r="K735" s="1" t="s">
        <v>51</v>
      </c>
      <c r="L735" s="1" t="s">
        <v>3293</v>
      </c>
      <c r="M735" s="1">
        <v>1.0</v>
      </c>
      <c r="N735" s="1" t="s">
        <v>2461</v>
      </c>
      <c r="O735" s="3" t="s">
        <v>2356</v>
      </c>
      <c r="P735" s="18">
        <v>45890.0</v>
      </c>
      <c r="Q735" s="1" t="s">
        <v>2502</v>
      </c>
      <c r="R735" s="1"/>
      <c r="S735" s="1" t="s">
        <v>2461</v>
      </c>
      <c r="T735" s="1" t="s">
        <v>2461</v>
      </c>
      <c r="U735" s="1" t="s">
        <v>1812</v>
      </c>
      <c r="V735" s="4" t="s">
        <v>2356</v>
      </c>
      <c r="W735" s="1"/>
      <c r="X735" s="18">
        <v>45890.0</v>
      </c>
      <c r="Y735" s="1" t="s">
        <v>1630</v>
      </c>
      <c r="Z735" s="1"/>
      <c r="AA735" s="1"/>
      <c r="AB735" s="1" t="s">
        <v>52</v>
      </c>
      <c r="AC735" s="1" t="s">
        <v>1925</v>
      </c>
      <c r="AD735" s="1"/>
      <c r="AE735" s="1" t="s">
        <v>1152</v>
      </c>
      <c r="AF735" s="1"/>
      <c r="AG735" s="1"/>
      <c r="AH735" s="1" t="s">
        <v>1152</v>
      </c>
      <c r="AI735" s="1"/>
      <c r="AJ735" s="1"/>
      <c r="AK735" s="1"/>
      <c r="AL735" s="6" t="str">
        <f t="array" ref="AL735">IFERROR(IFS(XLOOKUP(B735, 'Kit Delivery Status'!$U:$U, 'Kit Delivery Status'!$K:$K) = "Complete", "DELIVERED", XLOOKUP(B735, 'Kit Delivery Status'!$U:$U, 'Kit Delivery Status'!$K:$K) = "Issue", "ISSUE"), "")</f>
        <v/>
      </c>
      <c r="AM735" s="6"/>
    </row>
    <row r="736">
      <c r="A736" s="5" t="s">
        <v>3912</v>
      </c>
      <c r="B736" s="1" t="s">
        <v>3913</v>
      </c>
      <c r="C736" s="1" t="s">
        <v>3914</v>
      </c>
      <c r="D736" s="2">
        <v>1.3473215248E10</v>
      </c>
      <c r="E736" s="1" t="s">
        <v>3915</v>
      </c>
      <c r="F736" s="1"/>
      <c r="G736" s="1" t="s">
        <v>2428</v>
      </c>
      <c r="H736" s="1" t="s">
        <v>751</v>
      </c>
      <c r="I736" s="1">
        <v>10467.0</v>
      </c>
      <c r="J736" s="1" t="s">
        <v>752</v>
      </c>
      <c r="K736" s="1" t="s">
        <v>51</v>
      </c>
      <c r="L736" s="1" t="s">
        <v>3293</v>
      </c>
      <c r="M736" s="1">
        <v>1.0</v>
      </c>
      <c r="N736" s="1" t="s">
        <v>2461</v>
      </c>
      <c r="O736" s="3" t="s">
        <v>3916</v>
      </c>
      <c r="P736" s="18">
        <v>45887.0</v>
      </c>
      <c r="Q736" s="1" t="s">
        <v>2463</v>
      </c>
      <c r="R736" s="1"/>
      <c r="S736" s="1" t="s">
        <v>2461</v>
      </c>
      <c r="T736" s="1" t="s">
        <v>2461</v>
      </c>
      <c r="U736" s="1" t="s">
        <v>1642</v>
      </c>
      <c r="V736" s="4" t="s">
        <v>3916</v>
      </c>
      <c r="W736" s="1"/>
      <c r="X736" s="18">
        <v>45887.0</v>
      </c>
      <c r="Y736" s="1" t="s">
        <v>1030</v>
      </c>
      <c r="Z736" s="1"/>
      <c r="AA736" s="1"/>
      <c r="AB736" s="1" t="s">
        <v>52</v>
      </c>
      <c r="AC736" s="1" t="s">
        <v>1925</v>
      </c>
      <c r="AD736" s="1"/>
      <c r="AE736" s="1" t="s">
        <v>1152</v>
      </c>
      <c r="AF736" s="1"/>
      <c r="AG736" s="1"/>
      <c r="AH736" s="1" t="s">
        <v>1152</v>
      </c>
      <c r="AI736" s="1"/>
      <c r="AJ736" s="1"/>
      <c r="AK736" s="1"/>
      <c r="AL736" s="6" t="str">
        <f t="array" ref="AL736">IFERROR(IFS(XLOOKUP(B736, 'Kit Delivery Status'!$U:$U, 'Kit Delivery Status'!$K:$K) = "Complete", "DELIVERED", XLOOKUP(B736, 'Kit Delivery Status'!$U:$U, 'Kit Delivery Status'!$K:$K) = "Issue", "ISSUE"), "")</f>
        <v/>
      </c>
      <c r="AM736" s="6"/>
    </row>
    <row r="737">
      <c r="A737" s="5" t="s">
        <v>3917</v>
      </c>
      <c r="B737" s="1" t="s">
        <v>3918</v>
      </c>
      <c r="C737" s="1" t="s">
        <v>3919</v>
      </c>
      <c r="D737" s="2">
        <v>9.293913061E9</v>
      </c>
      <c r="E737" s="1" t="s">
        <v>3920</v>
      </c>
      <c r="F737" s="1"/>
      <c r="G737" s="1" t="s">
        <v>1283</v>
      </c>
      <c r="H737" s="1" t="s">
        <v>1155</v>
      </c>
      <c r="I737" s="1">
        <v>63105.0</v>
      </c>
      <c r="J737" s="1" t="s">
        <v>752</v>
      </c>
      <c r="K737" s="1" t="s">
        <v>51</v>
      </c>
      <c r="L737" s="1" t="s">
        <v>3293</v>
      </c>
      <c r="M737" s="1">
        <v>1.0</v>
      </c>
      <c r="N737" s="1" t="s">
        <v>2461</v>
      </c>
      <c r="O737" s="3" t="s">
        <v>3921</v>
      </c>
      <c r="P737" s="18">
        <v>45891.0</v>
      </c>
      <c r="Q737" s="1" t="s">
        <v>2463</v>
      </c>
      <c r="R737" s="1"/>
      <c r="S737" s="1" t="s">
        <v>2461</v>
      </c>
      <c r="T737" s="1" t="s">
        <v>2461</v>
      </c>
      <c r="U737" s="1" t="s">
        <v>1167</v>
      </c>
      <c r="V737" s="4" t="s">
        <v>3921</v>
      </c>
      <c r="W737" s="1"/>
      <c r="X737" s="18">
        <v>45891.0</v>
      </c>
      <c r="Y737" s="1" t="s">
        <v>1030</v>
      </c>
      <c r="Z737" s="1"/>
      <c r="AA737" s="1"/>
      <c r="AB737" s="1" t="s">
        <v>52</v>
      </c>
      <c r="AC737" s="1" t="s">
        <v>1925</v>
      </c>
      <c r="AD737" s="1"/>
      <c r="AE737" s="1" t="s">
        <v>1152</v>
      </c>
      <c r="AF737" s="1"/>
      <c r="AG737" s="1"/>
      <c r="AH737" s="1" t="s">
        <v>1152</v>
      </c>
      <c r="AI737" s="1"/>
      <c r="AJ737" s="1"/>
      <c r="AK737" s="1"/>
      <c r="AL737" s="6" t="str">
        <f t="array" ref="AL737">IFERROR(IFS(XLOOKUP(B737, 'Kit Delivery Status'!$U:$U, 'Kit Delivery Status'!$K:$K) = "Complete", "DELIVERED", XLOOKUP(B737, 'Kit Delivery Status'!$U:$U, 'Kit Delivery Status'!$K:$K) = "Issue", "ISSUE"), "")</f>
        <v/>
      </c>
      <c r="AM737" s="6"/>
    </row>
    <row r="738">
      <c r="A738" s="5" t="s">
        <v>3922</v>
      </c>
      <c r="B738" s="1" t="s">
        <v>3923</v>
      </c>
      <c r="C738" s="1"/>
      <c r="D738" s="2">
        <v>1.9172885477E10</v>
      </c>
      <c r="E738" s="1" t="s">
        <v>3924</v>
      </c>
      <c r="F738" s="1" t="s">
        <v>3925</v>
      </c>
      <c r="G738" s="1" t="s">
        <v>1101</v>
      </c>
      <c r="H738" s="1" t="s">
        <v>751</v>
      </c>
      <c r="I738" s="1">
        <v>10606.0</v>
      </c>
      <c r="J738" s="1" t="s">
        <v>752</v>
      </c>
      <c r="K738" s="1" t="s">
        <v>95</v>
      </c>
      <c r="L738" s="1" t="s">
        <v>3327</v>
      </c>
      <c r="M738" s="1">
        <v>49.0</v>
      </c>
      <c r="N738" s="1" t="s">
        <v>2487</v>
      </c>
      <c r="O738" s="3"/>
      <c r="P738" s="18">
        <v>45888.0</v>
      </c>
      <c r="Q738" s="1" t="s">
        <v>3219</v>
      </c>
      <c r="R738" s="1" t="s">
        <v>3925</v>
      </c>
      <c r="S738" s="1" t="s">
        <v>2487</v>
      </c>
      <c r="T738" s="1" t="s">
        <v>2487</v>
      </c>
      <c r="U738" s="1"/>
      <c r="V738" s="4"/>
      <c r="W738" s="1" t="s">
        <v>3925</v>
      </c>
      <c r="X738" s="18">
        <v>45888.0</v>
      </c>
      <c r="Y738" s="1" t="s">
        <v>1455</v>
      </c>
      <c r="Z738" s="1"/>
      <c r="AA738" s="1" t="s">
        <v>3925</v>
      </c>
      <c r="AB738" s="1" t="s">
        <v>124</v>
      </c>
      <c r="AC738" s="1" t="s">
        <v>3926</v>
      </c>
      <c r="AD738" s="1"/>
      <c r="AE738" s="1" t="s">
        <v>1152</v>
      </c>
      <c r="AF738" s="1"/>
      <c r="AG738" s="1"/>
      <c r="AH738" s="1" t="s">
        <v>1152</v>
      </c>
      <c r="AI738" s="1"/>
      <c r="AJ738" s="1"/>
      <c r="AK738" s="1"/>
      <c r="AL738" s="6" t="str">
        <f t="array" ref="AL738">IFERROR(IFS(XLOOKUP(B738, 'Kit Delivery Status'!$U:$U, 'Kit Delivery Status'!$K:$K) = "Complete", "DELIVERED", XLOOKUP(B738, 'Kit Delivery Status'!$U:$U, 'Kit Delivery Status'!$K:$K) = "Issue", "ISSUE"), "")</f>
        <v/>
      </c>
      <c r="AM738" s="6"/>
    </row>
    <row r="739">
      <c r="A739" s="5" t="s">
        <v>3927</v>
      </c>
      <c r="B739" s="1" t="s">
        <v>3928</v>
      </c>
      <c r="C739" s="1" t="s">
        <v>3929</v>
      </c>
      <c r="D739" s="2"/>
      <c r="E739" s="1" t="s">
        <v>3930</v>
      </c>
      <c r="F739" s="1"/>
      <c r="G739" s="1" t="s">
        <v>3790</v>
      </c>
      <c r="H739" s="1" t="s">
        <v>751</v>
      </c>
      <c r="I739" s="1">
        <v>10028.0</v>
      </c>
      <c r="J739" s="1" t="s">
        <v>752</v>
      </c>
      <c r="K739" s="1" t="s">
        <v>51</v>
      </c>
      <c r="L739" s="1" t="s">
        <v>3293</v>
      </c>
      <c r="M739" s="1">
        <v>1.0</v>
      </c>
      <c r="N739" s="1" t="s">
        <v>2461</v>
      </c>
      <c r="O739" s="3" t="s">
        <v>3931</v>
      </c>
      <c r="P739" s="18">
        <v>45888.0</v>
      </c>
      <c r="Q739" s="1" t="s">
        <v>2463</v>
      </c>
      <c r="R739" s="1"/>
      <c r="S739" s="1" t="s">
        <v>2461</v>
      </c>
      <c r="T739" s="1" t="s">
        <v>2461</v>
      </c>
      <c r="U739" s="1" t="s">
        <v>1065</v>
      </c>
      <c r="V739" s="4" t="s">
        <v>3931</v>
      </c>
      <c r="W739" s="1"/>
      <c r="X739" s="18">
        <v>45888.0</v>
      </c>
      <c r="Y739" s="1" t="s">
        <v>1030</v>
      </c>
      <c r="Z739" s="1"/>
      <c r="AA739" s="1"/>
      <c r="AB739" s="1" t="s">
        <v>52</v>
      </c>
      <c r="AC739" s="1" t="s">
        <v>1925</v>
      </c>
      <c r="AD739" s="1"/>
      <c r="AE739" s="1" t="s">
        <v>1152</v>
      </c>
      <c r="AF739" s="1"/>
      <c r="AG739" s="1"/>
      <c r="AH739" s="1" t="s">
        <v>1152</v>
      </c>
      <c r="AI739" s="1"/>
      <c r="AJ739" s="1"/>
      <c r="AK739" s="1"/>
      <c r="AL739" s="6" t="str">
        <f t="array" ref="AL739">IFERROR(IFS(XLOOKUP(B739, 'Kit Delivery Status'!$U:$U, 'Kit Delivery Status'!$K:$K) = "Complete", "DELIVERED", XLOOKUP(B739, 'Kit Delivery Status'!$U:$U, 'Kit Delivery Status'!$K:$K) = "Issue", "ISSUE"), "")</f>
        <v/>
      </c>
      <c r="AM739" s="6"/>
    </row>
    <row r="740">
      <c r="A740" s="5" t="s">
        <v>3932</v>
      </c>
      <c r="B740" s="1" t="s">
        <v>3933</v>
      </c>
      <c r="C740" s="1" t="s">
        <v>3934</v>
      </c>
      <c r="D740" s="2">
        <v>3.107538846E9</v>
      </c>
      <c r="E740" s="1" t="s">
        <v>3935</v>
      </c>
      <c r="F740" s="1"/>
      <c r="G740" s="1" t="s">
        <v>3936</v>
      </c>
      <c r="H740" s="1" t="s">
        <v>1155</v>
      </c>
      <c r="I740" s="1">
        <v>63131.0</v>
      </c>
      <c r="J740" s="1" t="s">
        <v>752</v>
      </c>
      <c r="K740" s="1" t="s">
        <v>2577</v>
      </c>
      <c r="L740" s="1" t="s">
        <v>3937</v>
      </c>
      <c r="M740" s="1">
        <v>1.0</v>
      </c>
      <c r="N740" s="1" t="s">
        <v>2579</v>
      </c>
      <c r="O740" s="3" t="s">
        <v>3938</v>
      </c>
      <c r="P740" s="18">
        <v>45878.0</v>
      </c>
      <c r="Q740" s="1" t="s">
        <v>3939</v>
      </c>
      <c r="R740" s="1"/>
      <c r="S740" s="1" t="s">
        <v>2579</v>
      </c>
      <c r="T740" s="1" t="s">
        <v>2579</v>
      </c>
      <c r="U740" s="1" t="s">
        <v>1828</v>
      </c>
      <c r="V740" s="4" t="s">
        <v>3938</v>
      </c>
      <c r="W740" s="1"/>
      <c r="X740" s="18"/>
      <c r="Y740" s="1"/>
      <c r="Z740" s="1"/>
      <c r="AA740" s="1"/>
      <c r="AB740" s="1"/>
      <c r="AC740" s="1" t="s">
        <v>1925</v>
      </c>
      <c r="AD740" s="1"/>
      <c r="AE740" s="1" t="s">
        <v>1152</v>
      </c>
      <c r="AF740" s="1"/>
      <c r="AG740" s="1"/>
      <c r="AH740" s="1" t="s">
        <v>1152</v>
      </c>
      <c r="AI740" s="1" t="s">
        <v>3940</v>
      </c>
      <c r="AJ740" s="1"/>
      <c r="AK740" s="1"/>
      <c r="AL740" s="6" t="str">
        <f t="array" ref="AL740">IFERROR(IFS(XLOOKUP(B740, 'Kit Delivery Status'!$U:$U, 'Kit Delivery Status'!$K:$K) = "Complete", "DELIVERED", XLOOKUP(B740, 'Kit Delivery Status'!$U:$U, 'Kit Delivery Status'!$K:$K) = "Issue", "ISSUE"), "")</f>
        <v/>
      </c>
      <c r="AM740" s="6"/>
    </row>
    <row r="741">
      <c r="A741" s="5" t="s">
        <v>3941</v>
      </c>
      <c r="B741" s="1" t="s">
        <v>3942</v>
      </c>
      <c r="C741" s="1" t="s">
        <v>3934</v>
      </c>
      <c r="D741" s="2">
        <v>3.107538846E9</v>
      </c>
      <c r="E741" s="1" t="s">
        <v>3935</v>
      </c>
      <c r="F741" s="1"/>
      <c r="G741" s="1" t="s">
        <v>3936</v>
      </c>
      <c r="H741" s="1" t="s">
        <v>1155</v>
      </c>
      <c r="I741" s="1">
        <v>63131.0</v>
      </c>
      <c r="J741" s="1" t="s">
        <v>752</v>
      </c>
      <c r="K741" s="1" t="s">
        <v>2577</v>
      </c>
      <c r="L741" s="1" t="s">
        <v>3943</v>
      </c>
      <c r="M741" s="1">
        <v>1.0</v>
      </c>
      <c r="N741" s="1" t="s">
        <v>2579</v>
      </c>
      <c r="O741" s="3" t="s">
        <v>3944</v>
      </c>
      <c r="P741" s="18">
        <v>45878.0</v>
      </c>
      <c r="Q741" s="1" t="s">
        <v>3945</v>
      </c>
      <c r="R741" s="1"/>
      <c r="S741" s="1" t="s">
        <v>2579</v>
      </c>
      <c r="T741" s="1" t="s">
        <v>2579</v>
      </c>
      <c r="U741" s="1" t="s">
        <v>3946</v>
      </c>
      <c r="V741" s="4" t="s">
        <v>3944</v>
      </c>
      <c r="W741" s="1"/>
      <c r="X741" s="18"/>
      <c r="Y741" s="1"/>
      <c r="Z741" s="1"/>
      <c r="AA741" s="1"/>
      <c r="AB741" s="1"/>
      <c r="AC741" s="1" t="s">
        <v>1925</v>
      </c>
      <c r="AD741" s="1"/>
      <c r="AE741" s="1" t="s">
        <v>1152</v>
      </c>
      <c r="AF741" s="1"/>
      <c r="AG741" s="1"/>
      <c r="AH741" s="1" t="s">
        <v>1152</v>
      </c>
      <c r="AI741" s="1" t="s">
        <v>3947</v>
      </c>
      <c r="AJ741" s="1"/>
      <c r="AK741" s="1"/>
      <c r="AL741" s="6" t="str">
        <f t="array" ref="AL741">IFERROR(IFS(XLOOKUP(B741, 'Kit Delivery Status'!$U:$U, 'Kit Delivery Status'!$K:$K) = "Complete", "DELIVERED", XLOOKUP(B741, 'Kit Delivery Status'!$U:$U, 'Kit Delivery Status'!$K:$K) = "Issue", "ISSUE"), "")</f>
        <v/>
      </c>
      <c r="AM741" s="6"/>
    </row>
    <row r="742">
      <c r="A742" s="5" t="s">
        <v>3948</v>
      </c>
      <c r="B742" s="1" t="s">
        <v>3949</v>
      </c>
      <c r="C742" s="1" t="s">
        <v>3950</v>
      </c>
      <c r="D742" s="2">
        <v>8.014145532E9</v>
      </c>
      <c r="E742" s="1" t="s">
        <v>3951</v>
      </c>
      <c r="F742" s="1"/>
      <c r="G742" s="1" t="s">
        <v>3952</v>
      </c>
      <c r="H742" s="1" t="s">
        <v>3953</v>
      </c>
      <c r="I742" s="1">
        <v>84092.0</v>
      </c>
      <c r="J742" s="1" t="s">
        <v>752</v>
      </c>
      <c r="K742" s="1" t="s">
        <v>66</v>
      </c>
      <c r="L742" s="1" t="s">
        <v>3885</v>
      </c>
      <c r="M742" s="1">
        <v>180.0</v>
      </c>
      <c r="N742" s="1" t="s">
        <v>1152</v>
      </c>
      <c r="O742" s="3" t="s">
        <v>3954</v>
      </c>
      <c r="P742" s="18">
        <v>45883.0</v>
      </c>
      <c r="Q742" s="1" t="s">
        <v>1152</v>
      </c>
      <c r="R742" s="1"/>
      <c r="S742" s="1" t="s">
        <v>1152</v>
      </c>
      <c r="T742" s="1" t="s">
        <v>1152</v>
      </c>
      <c r="U742" s="1" t="s">
        <v>982</v>
      </c>
      <c r="V742" s="4" t="s">
        <v>3954</v>
      </c>
      <c r="W742" s="1"/>
      <c r="X742" s="18">
        <v>45883.0</v>
      </c>
      <c r="Y742" s="1"/>
      <c r="Z742" s="1"/>
      <c r="AA742" s="1"/>
      <c r="AB742" s="1"/>
      <c r="AC742" s="1" t="s">
        <v>1925</v>
      </c>
      <c r="AD742" s="1"/>
      <c r="AE742" s="1" t="s">
        <v>1152</v>
      </c>
      <c r="AF742" s="1"/>
      <c r="AG742" s="1"/>
      <c r="AH742" s="1" t="s">
        <v>1152</v>
      </c>
      <c r="AI742" s="1"/>
      <c r="AJ742" s="1"/>
      <c r="AK742" s="1"/>
      <c r="AL742" s="6" t="str">
        <f t="array" ref="AL742">IFERROR(IFS(XLOOKUP(B742, 'Kit Delivery Status'!$U:$U, 'Kit Delivery Status'!$K:$K) = "Complete", "DELIVERED", XLOOKUP(B742, 'Kit Delivery Status'!$U:$U, 'Kit Delivery Status'!$K:$K) = "Issue", "ISSUE"), "")</f>
        <v/>
      </c>
      <c r="AM742" s="6"/>
    </row>
    <row r="743">
      <c r="A743" s="5" t="s">
        <v>3955</v>
      </c>
      <c r="B743" s="1" t="s">
        <v>3956</v>
      </c>
      <c r="C743" s="1" t="s">
        <v>3934</v>
      </c>
      <c r="D743" s="2">
        <v>3.107538846E9</v>
      </c>
      <c r="E743" s="1" t="s">
        <v>3935</v>
      </c>
      <c r="F743" s="1"/>
      <c r="G743" s="1" t="s">
        <v>3936</v>
      </c>
      <c r="H743" s="1" t="s">
        <v>1155</v>
      </c>
      <c r="I743" s="1">
        <v>63131.0</v>
      </c>
      <c r="J743" s="1" t="s">
        <v>752</v>
      </c>
      <c r="K743" s="1" t="s">
        <v>2577</v>
      </c>
      <c r="L743" s="1" t="s">
        <v>3957</v>
      </c>
      <c r="M743" s="1">
        <v>1.0</v>
      </c>
      <c r="N743" s="1" t="s">
        <v>2579</v>
      </c>
      <c r="O743" s="3" t="s">
        <v>3958</v>
      </c>
      <c r="P743" s="18">
        <v>45871.0</v>
      </c>
      <c r="Q743" s="1" t="s">
        <v>3959</v>
      </c>
      <c r="R743" s="1"/>
      <c r="S743" s="1" t="s">
        <v>2579</v>
      </c>
      <c r="T743" s="1" t="s">
        <v>2579</v>
      </c>
      <c r="U743" s="1" t="s">
        <v>1828</v>
      </c>
      <c r="V743" s="4" t="s">
        <v>3958</v>
      </c>
      <c r="W743" s="1"/>
      <c r="X743" s="18"/>
      <c r="Y743" s="1"/>
      <c r="Z743" s="1"/>
      <c r="AA743" s="1"/>
      <c r="AB743" s="1"/>
      <c r="AC743" s="1" t="s">
        <v>1925</v>
      </c>
      <c r="AD743" s="1"/>
      <c r="AE743" s="1" t="s">
        <v>1152</v>
      </c>
      <c r="AF743" s="1"/>
      <c r="AG743" s="1"/>
      <c r="AH743" s="1" t="s">
        <v>1152</v>
      </c>
      <c r="AI743" s="1" t="s">
        <v>3960</v>
      </c>
      <c r="AJ743" s="1"/>
      <c r="AK743" s="1"/>
      <c r="AL743" s="6" t="str">
        <f t="array" ref="AL743">IFERROR(IFS(XLOOKUP(B743, 'Kit Delivery Status'!$U:$U, 'Kit Delivery Status'!$K:$K) = "Complete", "DELIVERED", XLOOKUP(B743, 'Kit Delivery Status'!$U:$U, 'Kit Delivery Status'!$K:$K) = "Issue", "ISSUE"), "")</f>
        <v/>
      </c>
      <c r="AM743" s="6"/>
    </row>
    <row r="744">
      <c r="A744" s="5" t="s">
        <v>3961</v>
      </c>
      <c r="B744" s="1" t="s">
        <v>3962</v>
      </c>
      <c r="C744" s="1" t="s">
        <v>3963</v>
      </c>
      <c r="D744" s="2">
        <v>5.093120321E9</v>
      </c>
      <c r="E744" s="1" t="s">
        <v>3964</v>
      </c>
      <c r="F744" s="1"/>
      <c r="G744" s="1" t="s">
        <v>3965</v>
      </c>
      <c r="H744" s="1" t="s">
        <v>980</v>
      </c>
      <c r="I744" s="1">
        <v>99208.0</v>
      </c>
      <c r="J744" s="1" t="s">
        <v>752</v>
      </c>
      <c r="K744" s="1" t="s">
        <v>51</v>
      </c>
      <c r="L744" s="1" t="s">
        <v>3293</v>
      </c>
      <c r="M744" s="1">
        <v>1.0</v>
      </c>
      <c r="N744" s="1" t="s">
        <v>2461</v>
      </c>
      <c r="O744" s="3" t="s">
        <v>3966</v>
      </c>
      <c r="P744" s="18">
        <v>45890.0</v>
      </c>
      <c r="Q744" s="1" t="s">
        <v>2463</v>
      </c>
      <c r="R744" s="1"/>
      <c r="S744" s="1" t="s">
        <v>2461</v>
      </c>
      <c r="T744" s="1" t="s">
        <v>2461</v>
      </c>
      <c r="U744" s="1" t="s">
        <v>2940</v>
      </c>
      <c r="V744" s="4" t="s">
        <v>3966</v>
      </c>
      <c r="W744" s="1"/>
      <c r="X744" s="18">
        <v>45890.0</v>
      </c>
      <c r="Y744" s="1" t="s">
        <v>1030</v>
      </c>
      <c r="Z744" s="1"/>
      <c r="AA744" s="1"/>
      <c r="AB744" s="1" t="s">
        <v>52</v>
      </c>
      <c r="AC744" s="1" t="s">
        <v>1925</v>
      </c>
      <c r="AD744" s="1"/>
      <c r="AE744" s="1" t="s">
        <v>1152</v>
      </c>
      <c r="AF744" s="1"/>
      <c r="AG744" s="1"/>
      <c r="AH744" s="1" t="s">
        <v>1152</v>
      </c>
      <c r="AI744" s="1"/>
      <c r="AJ744" s="1"/>
      <c r="AK744" s="1"/>
      <c r="AL744" s="6" t="str">
        <f t="array" ref="AL744">IFERROR(IFS(XLOOKUP(B744, 'Kit Delivery Status'!$U:$U, 'Kit Delivery Status'!$K:$K) = "Complete", "DELIVERED", XLOOKUP(B744, 'Kit Delivery Status'!$U:$U, 'Kit Delivery Status'!$K:$K) = "Issue", "ISSUE"), "")</f>
        <v/>
      </c>
      <c r="AM744" s="6"/>
    </row>
    <row r="745">
      <c r="A745" s="5" t="s">
        <v>3967</v>
      </c>
      <c r="B745" s="1" t="s">
        <v>3968</v>
      </c>
      <c r="C745" s="1" t="s">
        <v>2576</v>
      </c>
      <c r="D745" s="2">
        <v>6.186411334E9</v>
      </c>
      <c r="E745" s="1" t="s">
        <v>2135</v>
      </c>
      <c r="F745" s="1"/>
      <c r="G745" s="1" t="s">
        <v>2136</v>
      </c>
      <c r="H745" s="1" t="s">
        <v>1155</v>
      </c>
      <c r="I745" s="1">
        <v>63117.0</v>
      </c>
      <c r="J745" s="1" t="s">
        <v>752</v>
      </c>
      <c r="K745" s="1" t="s">
        <v>2577</v>
      </c>
      <c r="L745" s="1" t="s">
        <v>3969</v>
      </c>
      <c r="M745" s="1">
        <v>1.0</v>
      </c>
      <c r="N745" s="1" t="s">
        <v>2579</v>
      </c>
      <c r="O745" s="3" t="s">
        <v>3970</v>
      </c>
      <c r="P745" s="18">
        <v>45860.0</v>
      </c>
      <c r="Q745" s="1" t="s">
        <v>3971</v>
      </c>
      <c r="R745" s="1"/>
      <c r="S745" s="1" t="s">
        <v>2579</v>
      </c>
      <c r="T745" s="1" t="s">
        <v>2579</v>
      </c>
      <c r="U745" s="1" t="s">
        <v>1794</v>
      </c>
      <c r="V745" s="4" t="s">
        <v>3970</v>
      </c>
      <c r="W745" s="1"/>
      <c r="X745" s="18">
        <v>45860.0</v>
      </c>
      <c r="Y745" s="1"/>
      <c r="Z745" s="1"/>
      <c r="AA745" s="1"/>
      <c r="AB745" s="1"/>
      <c r="AC745" s="1" t="s">
        <v>1925</v>
      </c>
      <c r="AD745" s="1"/>
      <c r="AE745" s="1" t="s">
        <v>1152</v>
      </c>
      <c r="AF745" s="1"/>
      <c r="AG745" s="1"/>
      <c r="AH745" s="1" t="s">
        <v>1152</v>
      </c>
      <c r="AI745" s="1" t="s">
        <v>3972</v>
      </c>
      <c r="AJ745" s="1"/>
      <c r="AK745" s="1"/>
      <c r="AL745" s="6" t="str">
        <f t="array" ref="AL745">IFERROR(IFS(XLOOKUP(B745, 'Kit Delivery Status'!$U:$U, 'Kit Delivery Status'!$K:$K) = "Complete", "DELIVERED", XLOOKUP(B745, 'Kit Delivery Status'!$U:$U, 'Kit Delivery Status'!$K:$K) = "Issue", "ISSUE"), "")</f>
        <v/>
      </c>
      <c r="AM745" s="6"/>
    </row>
    <row r="746">
      <c r="A746" s="5" t="s">
        <v>3973</v>
      </c>
      <c r="B746" s="1" t="s">
        <v>3974</v>
      </c>
      <c r="C746" s="1" t="s">
        <v>3975</v>
      </c>
      <c r="D746" s="2">
        <v>9.177571872E9</v>
      </c>
      <c r="E746" s="1" t="s">
        <v>3976</v>
      </c>
      <c r="F746" s="1"/>
      <c r="G746" s="1" t="s">
        <v>1684</v>
      </c>
      <c r="H746" s="1" t="s">
        <v>751</v>
      </c>
      <c r="I746" s="1">
        <v>11201.0</v>
      </c>
      <c r="J746" s="1" t="s">
        <v>752</v>
      </c>
      <c r="K746" s="1" t="s">
        <v>51</v>
      </c>
      <c r="L746" s="1" t="s">
        <v>3293</v>
      </c>
      <c r="M746" s="1">
        <v>1.0</v>
      </c>
      <c r="N746" s="1" t="s">
        <v>2461</v>
      </c>
      <c r="O746" s="3" t="s">
        <v>3977</v>
      </c>
      <c r="P746" s="18">
        <v>45888.0</v>
      </c>
      <c r="Q746" s="1" t="s">
        <v>3418</v>
      </c>
      <c r="R746" s="1"/>
      <c r="S746" s="1" t="s">
        <v>2461</v>
      </c>
      <c r="T746" s="1" t="s">
        <v>2461</v>
      </c>
      <c r="U746" s="1" t="s">
        <v>1522</v>
      </c>
      <c r="V746" s="4" t="s">
        <v>3977</v>
      </c>
      <c r="W746" s="1"/>
      <c r="X746" s="18">
        <v>45888.0</v>
      </c>
      <c r="Y746" s="1" t="s">
        <v>1103</v>
      </c>
      <c r="Z746" s="1"/>
      <c r="AA746" s="1"/>
      <c r="AB746" s="1" t="s">
        <v>52</v>
      </c>
      <c r="AC746" s="1" t="s">
        <v>1925</v>
      </c>
      <c r="AD746" s="1"/>
      <c r="AE746" s="1" t="s">
        <v>1152</v>
      </c>
      <c r="AF746" s="1"/>
      <c r="AG746" s="1"/>
      <c r="AH746" s="1" t="s">
        <v>1152</v>
      </c>
      <c r="AI746" s="1"/>
      <c r="AJ746" s="1"/>
      <c r="AK746" s="1"/>
      <c r="AL746" s="6" t="str">
        <f t="array" ref="AL746">IFERROR(IFS(XLOOKUP(B746, 'Kit Delivery Status'!$U:$U, 'Kit Delivery Status'!$K:$K) = "Complete", "DELIVERED", XLOOKUP(B746, 'Kit Delivery Status'!$U:$U, 'Kit Delivery Status'!$K:$K) = "Issue", "ISSUE"), "")</f>
        <v/>
      </c>
      <c r="AM746" s="6"/>
    </row>
    <row r="747">
      <c r="A747" s="5" t="s">
        <v>3978</v>
      </c>
      <c r="B747" s="1" t="s">
        <v>3979</v>
      </c>
      <c r="C747" s="1" t="s">
        <v>2576</v>
      </c>
      <c r="D747" s="2">
        <v>6.186411334E9</v>
      </c>
      <c r="E747" s="1" t="s">
        <v>3980</v>
      </c>
      <c r="F747" s="1"/>
      <c r="G747" s="1" t="s">
        <v>3981</v>
      </c>
      <c r="H747" s="1" t="s">
        <v>1019</v>
      </c>
      <c r="I747" s="1">
        <v>62221.0</v>
      </c>
      <c r="J747" s="1" t="s">
        <v>752</v>
      </c>
      <c r="K747" s="1" t="s">
        <v>2577</v>
      </c>
      <c r="L747" s="1" t="s">
        <v>3982</v>
      </c>
      <c r="M747" s="1">
        <v>1.0</v>
      </c>
      <c r="N747" s="1" t="s">
        <v>2579</v>
      </c>
      <c r="O747" s="3" t="s">
        <v>3983</v>
      </c>
      <c r="P747" s="18">
        <v>45860.0</v>
      </c>
      <c r="Q747" s="1" t="s">
        <v>3984</v>
      </c>
      <c r="R747" s="1"/>
      <c r="S747" s="1" t="s">
        <v>2579</v>
      </c>
      <c r="T747" s="1" t="s">
        <v>2579</v>
      </c>
      <c r="U747" s="1" t="s">
        <v>1699</v>
      </c>
      <c r="V747" s="4" t="s">
        <v>3983</v>
      </c>
      <c r="W747" s="1"/>
      <c r="X747" s="18">
        <v>45860.0</v>
      </c>
      <c r="Y747" s="1"/>
      <c r="Z747" s="1"/>
      <c r="AA747" s="1"/>
      <c r="AB747" s="1"/>
      <c r="AC747" s="1" t="s">
        <v>1925</v>
      </c>
      <c r="AD747" s="1"/>
      <c r="AE747" s="1" t="s">
        <v>1152</v>
      </c>
      <c r="AF747" s="1"/>
      <c r="AG747" s="1"/>
      <c r="AH747" s="1" t="s">
        <v>1152</v>
      </c>
      <c r="AI747" s="1" t="s">
        <v>3985</v>
      </c>
      <c r="AJ747" s="1"/>
      <c r="AK747" s="1"/>
      <c r="AL747" s="6" t="str">
        <f t="array" ref="AL747">IFERROR(IFS(XLOOKUP(B747, 'Kit Delivery Status'!$U:$U, 'Kit Delivery Status'!$K:$K) = "Complete", "DELIVERED", XLOOKUP(B747, 'Kit Delivery Status'!$U:$U, 'Kit Delivery Status'!$K:$K) = "Issue", "ISSUE"), "")</f>
        <v/>
      </c>
      <c r="AM747" s="6"/>
    </row>
    <row r="748">
      <c r="A748" s="5" t="s">
        <v>3986</v>
      </c>
      <c r="B748" s="1" t="s">
        <v>3987</v>
      </c>
      <c r="C748" s="1" t="s">
        <v>2576</v>
      </c>
      <c r="D748" s="2">
        <v>6.186411334E9</v>
      </c>
      <c r="E748" s="1" t="s">
        <v>3980</v>
      </c>
      <c r="F748" s="1"/>
      <c r="G748" s="1" t="s">
        <v>3981</v>
      </c>
      <c r="H748" s="1" t="s">
        <v>1019</v>
      </c>
      <c r="I748" s="1">
        <v>62221.0</v>
      </c>
      <c r="J748" s="1" t="s">
        <v>752</v>
      </c>
      <c r="K748" s="1" t="s">
        <v>2577</v>
      </c>
      <c r="L748" s="1" t="s">
        <v>3982</v>
      </c>
      <c r="M748" s="1">
        <v>1.0</v>
      </c>
      <c r="N748" s="1" t="s">
        <v>2579</v>
      </c>
      <c r="O748" s="3" t="s">
        <v>3988</v>
      </c>
      <c r="P748" s="18">
        <v>45860.0</v>
      </c>
      <c r="Q748" s="1" t="s">
        <v>3989</v>
      </c>
      <c r="R748" s="1"/>
      <c r="S748" s="1" t="s">
        <v>2579</v>
      </c>
      <c r="T748" s="1" t="s">
        <v>2579</v>
      </c>
      <c r="U748" s="1" t="s">
        <v>1201</v>
      </c>
      <c r="V748" s="4" t="s">
        <v>3988</v>
      </c>
      <c r="W748" s="1"/>
      <c r="X748" s="18">
        <v>45860.0</v>
      </c>
      <c r="Y748" s="1"/>
      <c r="Z748" s="1"/>
      <c r="AA748" s="1"/>
      <c r="AB748" s="1"/>
      <c r="AC748" s="1" t="s">
        <v>1925</v>
      </c>
      <c r="AD748" s="1"/>
      <c r="AE748" s="1" t="s">
        <v>1152</v>
      </c>
      <c r="AF748" s="1"/>
      <c r="AG748" s="1"/>
      <c r="AH748" s="1" t="s">
        <v>1152</v>
      </c>
      <c r="AI748" s="1" t="s">
        <v>3990</v>
      </c>
      <c r="AJ748" s="1"/>
      <c r="AK748" s="1"/>
      <c r="AL748" s="6" t="str">
        <f t="array" ref="AL748">IFERROR(IFS(XLOOKUP(B748, 'Kit Delivery Status'!$U:$U, 'Kit Delivery Status'!$K:$K) = "Complete", "DELIVERED", XLOOKUP(B748, 'Kit Delivery Status'!$U:$U, 'Kit Delivery Status'!$K:$K) = "Issue", "ISSUE"), "")</f>
        <v/>
      </c>
      <c r="AM748" s="6"/>
    </row>
    <row r="749">
      <c r="A749" s="5" t="s">
        <v>3991</v>
      </c>
      <c r="B749" s="1" t="s">
        <v>3992</v>
      </c>
      <c r="C749" s="1" t="s">
        <v>2576</v>
      </c>
      <c r="D749" s="2">
        <v>6.186411334E9</v>
      </c>
      <c r="E749" s="1" t="s">
        <v>3980</v>
      </c>
      <c r="F749" s="1"/>
      <c r="G749" s="1" t="s">
        <v>3981</v>
      </c>
      <c r="H749" s="1" t="s">
        <v>1019</v>
      </c>
      <c r="I749" s="1">
        <v>62221.0</v>
      </c>
      <c r="J749" s="1" t="s">
        <v>752</v>
      </c>
      <c r="K749" s="1" t="s">
        <v>2577</v>
      </c>
      <c r="L749" s="1" t="s">
        <v>3982</v>
      </c>
      <c r="M749" s="1">
        <v>1.0</v>
      </c>
      <c r="N749" s="1" t="s">
        <v>2579</v>
      </c>
      <c r="O749" s="3" t="s">
        <v>3988</v>
      </c>
      <c r="P749" s="18">
        <v>45861.0</v>
      </c>
      <c r="Q749" s="1" t="s">
        <v>3993</v>
      </c>
      <c r="R749" s="1"/>
      <c r="S749" s="1" t="s">
        <v>2579</v>
      </c>
      <c r="T749" s="1" t="s">
        <v>2579</v>
      </c>
      <c r="U749" s="1" t="s">
        <v>1201</v>
      </c>
      <c r="V749" s="4" t="s">
        <v>3988</v>
      </c>
      <c r="W749" s="1"/>
      <c r="X749" s="18">
        <v>45861.0</v>
      </c>
      <c r="Y749" s="1"/>
      <c r="Z749" s="1"/>
      <c r="AA749" s="1"/>
      <c r="AB749" s="1"/>
      <c r="AC749" s="1" t="s">
        <v>1925</v>
      </c>
      <c r="AD749" s="1"/>
      <c r="AE749" s="1" t="s">
        <v>1152</v>
      </c>
      <c r="AF749" s="1"/>
      <c r="AG749" s="1"/>
      <c r="AH749" s="1" t="s">
        <v>1152</v>
      </c>
      <c r="AI749" s="1" t="s">
        <v>3994</v>
      </c>
      <c r="AJ749" s="1"/>
      <c r="AK749" s="1"/>
      <c r="AL749" s="6" t="str">
        <f t="array" ref="AL749">IFERROR(IFS(XLOOKUP(B749, 'Kit Delivery Status'!$U:$U, 'Kit Delivery Status'!$K:$K) = "Complete", "DELIVERED", XLOOKUP(B749, 'Kit Delivery Status'!$U:$U, 'Kit Delivery Status'!$K:$K) = "Issue", "ISSUE"), "")</f>
        <v/>
      </c>
      <c r="AM749" s="6"/>
    </row>
    <row r="750">
      <c r="A750" s="5" t="s">
        <v>3995</v>
      </c>
      <c r="B750" s="1" t="s">
        <v>3996</v>
      </c>
      <c r="C750" s="1" t="s">
        <v>806</v>
      </c>
      <c r="D750" s="2">
        <v>19176867838</v>
      </c>
      <c r="E750" s="1" t="s">
        <v>807</v>
      </c>
      <c r="F750" s="1"/>
      <c r="G750" s="1" t="s">
        <v>751</v>
      </c>
      <c r="H750" s="1" t="s">
        <v>751</v>
      </c>
      <c r="I750" s="1" t="s">
        <v>3997</v>
      </c>
      <c r="J750" s="1" t="s">
        <v>752</v>
      </c>
      <c r="K750" s="1" t="s">
        <v>66</v>
      </c>
      <c r="L750" s="1" t="s">
        <v>3321</v>
      </c>
      <c r="M750" s="1">
        <v>210.0</v>
      </c>
      <c r="N750" s="1" t="s">
        <v>1152</v>
      </c>
      <c r="O750" s="3" t="s">
        <v>3998</v>
      </c>
      <c r="P750" s="18">
        <v>45883.0</v>
      </c>
      <c r="Q750" s="1" t="s">
        <v>1152</v>
      </c>
      <c r="R750" s="1"/>
      <c r="S750" s="1" t="s">
        <v>1152</v>
      </c>
      <c r="T750" s="1" t="s">
        <v>1152</v>
      </c>
      <c r="U750" s="1" t="s">
        <v>1487</v>
      </c>
      <c r="V750" s="4" t="s">
        <v>3998</v>
      </c>
      <c r="W750" s="1"/>
      <c r="X750" s="18">
        <v>45883.0</v>
      </c>
      <c r="Y750" s="1"/>
      <c r="Z750" s="1"/>
      <c r="AA750" s="1"/>
      <c r="AB750" s="1"/>
      <c r="AC750" s="1" t="s">
        <v>1925</v>
      </c>
      <c r="AD750" s="1"/>
      <c r="AE750" s="1" t="s">
        <v>1152</v>
      </c>
      <c r="AF750" s="1"/>
      <c r="AG750" s="1"/>
      <c r="AH750" s="1" t="s">
        <v>1152</v>
      </c>
      <c r="AI750" s="1"/>
      <c r="AJ750" s="1"/>
      <c r="AK750" s="1"/>
      <c r="AL750" s="6" t="str">
        <f t="array" ref="AL750">IFERROR(IFS(XLOOKUP(B750, 'Kit Delivery Status'!$U:$U, 'Kit Delivery Status'!$K:$K) = "Complete", "DELIVERED", XLOOKUP(B750, 'Kit Delivery Status'!$U:$U, 'Kit Delivery Status'!$K:$K) = "Issue", "ISSUE"), "")</f>
        <v/>
      </c>
      <c r="AM750" s="6"/>
    </row>
    <row r="751">
      <c r="A751" s="5" t="s">
        <v>3999</v>
      </c>
      <c r="B751" s="1" t="s">
        <v>4000</v>
      </c>
      <c r="C751" s="1"/>
      <c r="D751" s="2">
        <v>5.034496889E9</v>
      </c>
      <c r="E751" s="1" t="s">
        <v>4001</v>
      </c>
      <c r="F751" s="1"/>
      <c r="G751" s="1" t="s">
        <v>4002</v>
      </c>
      <c r="H751" s="1" t="s">
        <v>1053</v>
      </c>
      <c r="I751" s="1">
        <v>8822.0</v>
      </c>
      <c r="J751" s="1" t="s">
        <v>752</v>
      </c>
      <c r="K751" s="1" t="s">
        <v>95</v>
      </c>
      <c r="L751" s="1" t="s">
        <v>3327</v>
      </c>
      <c r="M751" s="1">
        <v>49.0</v>
      </c>
      <c r="N751" s="1" t="s">
        <v>2461</v>
      </c>
      <c r="O751" s="3" t="s">
        <v>4003</v>
      </c>
      <c r="P751" s="18">
        <v>45883.0</v>
      </c>
      <c r="Q751" s="1" t="s">
        <v>2463</v>
      </c>
      <c r="R751" s="1"/>
      <c r="S751" s="1" t="s">
        <v>2461</v>
      </c>
      <c r="T751" s="1" t="s">
        <v>2461</v>
      </c>
      <c r="U751" s="1" t="s">
        <v>675</v>
      </c>
      <c r="V751" s="4" t="s">
        <v>4003</v>
      </c>
      <c r="W751" s="1"/>
      <c r="X751" s="18">
        <v>45883.0</v>
      </c>
      <c r="Y751" s="1" t="s">
        <v>1030</v>
      </c>
      <c r="Z751" s="1"/>
      <c r="AA751" s="1"/>
      <c r="AB751" s="1" t="s">
        <v>52</v>
      </c>
      <c r="AC751" s="1" t="s">
        <v>4004</v>
      </c>
      <c r="AD751" s="1"/>
      <c r="AE751" s="1" t="s">
        <v>1152</v>
      </c>
      <c r="AF751" s="1"/>
      <c r="AG751" s="1"/>
      <c r="AH751" s="1" t="s">
        <v>1152</v>
      </c>
      <c r="AI751" s="1"/>
      <c r="AJ751" s="1"/>
      <c r="AK751" s="1"/>
      <c r="AL751" s="6" t="str">
        <f t="array" ref="AL751">IFERROR(IFS(XLOOKUP(B751, 'Kit Delivery Status'!$U:$U, 'Kit Delivery Status'!$K:$K) = "Complete", "DELIVERED", XLOOKUP(B751, 'Kit Delivery Status'!$U:$U, 'Kit Delivery Status'!$K:$K) = "Issue", "ISSUE"), "")</f>
        <v/>
      </c>
      <c r="AM751" s="6"/>
    </row>
    <row r="752">
      <c r="A752" s="5" t="s">
        <v>4005</v>
      </c>
      <c r="B752" s="1" t="s">
        <v>4006</v>
      </c>
      <c r="C752" s="1" t="s">
        <v>499</v>
      </c>
      <c r="D752" s="2">
        <v>2.036225122E9</v>
      </c>
      <c r="E752" s="1" t="s">
        <v>501</v>
      </c>
      <c r="F752" s="1"/>
      <c r="G752" s="1" t="s">
        <v>1766</v>
      </c>
      <c r="H752" s="1" t="s">
        <v>1078</v>
      </c>
      <c r="I752" s="1">
        <v>6831.0</v>
      </c>
      <c r="J752" s="1" t="s">
        <v>752</v>
      </c>
      <c r="K752" s="1" t="s">
        <v>66</v>
      </c>
      <c r="L752" s="1" t="s">
        <v>3350</v>
      </c>
      <c r="M752" s="1">
        <v>145.0</v>
      </c>
      <c r="N752" s="1" t="s">
        <v>1152</v>
      </c>
      <c r="O752" s="3" t="s">
        <v>503</v>
      </c>
      <c r="P752" s="18">
        <v>45882.0</v>
      </c>
      <c r="Q752" s="1" t="s">
        <v>1152</v>
      </c>
      <c r="R752" s="1"/>
      <c r="S752" s="1" t="s">
        <v>1152</v>
      </c>
      <c r="T752" s="1" t="s">
        <v>1152</v>
      </c>
      <c r="U752" s="1" t="s">
        <v>1441</v>
      </c>
      <c r="V752" s="4" t="s">
        <v>503</v>
      </c>
      <c r="W752" s="1"/>
      <c r="X752" s="18">
        <v>45882.0</v>
      </c>
      <c r="Y752" s="1"/>
      <c r="Z752" s="1"/>
      <c r="AA752" s="1"/>
      <c r="AB752" s="1"/>
      <c r="AC752" s="1" t="s">
        <v>1925</v>
      </c>
      <c r="AD752" s="1"/>
      <c r="AE752" s="1" t="s">
        <v>1152</v>
      </c>
      <c r="AF752" s="1"/>
      <c r="AG752" s="1"/>
      <c r="AH752" s="1" t="s">
        <v>1152</v>
      </c>
      <c r="AI752" s="1"/>
      <c r="AJ752" s="1"/>
      <c r="AK752" s="1"/>
      <c r="AL752" s="6" t="str">
        <f t="array" ref="AL752">IFERROR(IFS(XLOOKUP(B752, 'Kit Delivery Status'!$U:$U, 'Kit Delivery Status'!$K:$K) = "Complete", "DELIVERED", XLOOKUP(B752, 'Kit Delivery Status'!$U:$U, 'Kit Delivery Status'!$K:$K) = "Issue", "ISSUE"), "")</f>
        <v/>
      </c>
      <c r="AM752" s="6"/>
    </row>
    <row r="753">
      <c r="A753" s="5" t="s">
        <v>4007</v>
      </c>
      <c r="B753" s="1" t="s">
        <v>4008</v>
      </c>
      <c r="C753" s="1"/>
      <c r="D753" s="2">
        <v>1.202577583E10</v>
      </c>
      <c r="E753" s="1" t="s">
        <v>4009</v>
      </c>
      <c r="F753" s="1" t="s">
        <v>4010</v>
      </c>
      <c r="G753" s="1" t="s">
        <v>1299</v>
      </c>
      <c r="H753" s="1" t="s">
        <v>1005</v>
      </c>
      <c r="I753" s="1">
        <v>20816.0</v>
      </c>
      <c r="J753" s="1" t="s">
        <v>752</v>
      </c>
      <c r="K753" s="1" t="s">
        <v>95</v>
      </c>
      <c r="L753" s="1" t="s">
        <v>3327</v>
      </c>
      <c r="M753" s="1">
        <v>49.0</v>
      </c>
      <c r="N753" s="1" t="s">
        <v>2487</v>
      </c>
      <c r="O753" s="3"/>
      <c r="P753" s="18">
        <v>45889.0</v>
      </c>
      <c r="Q753" s="1" t="s">
        <v>2731</v>
      </c>
      <c r="R753" s="1" t="s">
        <v>4010</v>
      </c>
      <c r="S753" s="1" t="s">
        <v>2487</v>
      </c>
      <c r="T753" s="1" t="s">
        <v>2487</v>
      </c>
      <c r="U753" s="1"/>
      <c r="V753" s="4"/>
      <c r="W753" s="1" t="s">
        <v>4010</v>
      </c>
      <c r="X753" s="18">
        <v>45889.0</v>
      </c>
      <c r="Y753" s="1" t="s">
        <v>1349</v>
      </c>
      <c r="Z753" s="1"/>
      <c r="AA753" s="1" t="s">
        <v>4010</v>
      </c>
      <c r="AB753" s="1" t="s">
        <v>124</v>
      </c>
      <c r="AC753" s="1" t="s">
        <v>4011</v>
      </c>
      <c r="AD753" s="1"/>
      <c r="AE753" s="1" t="s">
        <v>1152</v>
      </c>
      <c r="AF753" s="1"/>
      <c r="AG753" s="1"/>
      <c r="AH753" s="1" t="s">
        <v>1152</v>
      </c>
      <c r="AI753" s="1"/>
      <c r="AJ753" s="1"/>
      <c r="AK753" s="1"/>
      <c r="AL753" s="6" t="str">
        <f t="array" ref="AL753">IFERROR(IFS(XLOOKUP(B753, 'Kit Delivery Status'!$U:$U, 'Kit Delivery Status'!$K:$K) = "Complete", "DELIVERED", XLOOKUP(B753, 'Kit Delivery Status'!$U:$U, 'Kit Delivery Status'!$K:$K) = "Issue", "ISSUE"), "")</f>
        <v/>
      </c>
      <c r="AM753" s="6"/>
    </row>
    <row r="754">
      <c r="A754" s="5" t="s">
        <v>4012</v>
      </c>
      <c r="B754" s="1" t="s">
        <v>4013</v>
      </c>
      <c r="C754" s="1"/>
      <c r="D754" s="2">
        <v>9.738688807E9</v>
      </c>
      <c r="E754" s="1" t="s">
        <v>4014</v>
      </c>
      <c r="F754" s="1"/>
      <c r="G754" s="1" t="s">
        <v>4015</v>
      </c>
      <c r="H754" s="1" t="s">
        <v>1053</v>
      </c>
      <c r="I754" s="1">
        <v>7836.0</v>
      </c>
      <c r="J754" s="1" t="s">
        <v>752</v>
      </c>
      <c r="K754" s="1" t="s">
        <v>95</v>
      </c>
      <c r="L754" s="1" t="s">
        <v>3327</v>
      </c>
      <c r="M754" s="1">
        <v>49.0</v>
      </c>
      <c r="N754" s="1" t="s">
        <v>2461</v>
      </c>
      <c r="O754" s="3" t="s">
        <v>1675</v>
      </c>
      <c r="P754" s="18">
        <v>45883.0</v>
      </c>
      <c r="Q754" s="1" t="s">
        <v>2463</v>
      </c>
      <c r="R754" s="1"/>
      <c r="S754" s="1" t="s">
        <v>2461</v>
      </c>
      <c r="T754" s="1" t="s">
        <v>2461</v>
      </c>
      <c r="U754" s="1" t="s">
        <v>1080</v>
      </c>
      <c r="V754" s="4" t="s">
        <v>1675</v>
      </c>
      <c r="W754" s="1"/>
      <c r="X754" s="18">
        <v>45883.0</v>
      </c>
      <c r="Y754" s="1" t="s">
        <v>1030</v>
      </c>
      <c r="Z754" s="1"/>
      <c r="AA754" s="1"/>
      <c r="AB754" s="1" t="s">
        <v>52</v>
      </c>
      <c r="AC754" s="1" t="s">
        <v>4016</v>
      </c>
      <c r="AD754" s="1"/>
      <c r="AE754" s="1" t="s">
        <v>1152</v>
      </c>
      <c r="AF754" s="1"/>
      <c r="AG754" s="1"/>
      <c r="AH754" s="1" t="s">
        <v>1152</v>
      </c>
      <c r="AI754" s="1"/>
      <c r="AJ754" s="1"/>
      <c r="AK754" s="1"/>
      <c r="AL754" s="6" t="str">
        <f t="array" ref="AL754">IFERROR(IFS(XLOOKUP(B754, 'Kit Delivery Status'!$U:$U, 'Kit Delivery Status'!$K:$K) = "Complete", "DELIVERED", XLOOKUP(B754, 'Kit Delivery Status'!$U:$U, 'Kit Delivery Status'!$K:$K) = "Issue", "ISSUE"), "")</f>
        <v/>
      </c>
      <c r="AM754" s="6"/>
    </row>
    <row r="755">
      <c r="A755" s="5" t="s">
        <v>4017</v>
      </c>
      <c r="B755" s="1" t="s">
        <v>4018</v>
      </c>
      <c r="C755" s="1"/>
      <c r="D755" s="2">
        <v>5.093395186E9</v>
      </c>
      <c r="E755" s="1" t="s">
        <v>4019</v>
      </c>
      <c r="F755" s="1"/>
      <c r="G755" s="1" t="s">
        <v>4020</v>
      </c>
      <c r="H755" s="1" t="s">
        <v>980</v>
      </c>
      <c r="I755" s="1">
        <v>99163.0</v>
      </c>
      <c r="J755" s="1" t="s">
        <v>752</v>
      </c>
      <c r="K755" s="1" t="s">
        <v>95</v>
      </c>
      <c r="L755" s="1" t="s">
        <v>3327</v>
      </c>
      <c r="M755" s="1">
        <v>49.0</v>
      </c>
      <c r="N755" s="1" t="s">
        <v>2461</v>
      </c>
      <c r="O755" s="3" t="s">
        <v>103</v>
      </c>
      <c r="P755" s="18">
        <v>45883.0</v>
      </c>
      <c r="Q755" s="1" t="s">
        <v>2463</v>
      </c>
      <c r="R755" s="1"/>
      <c r="S755" s="1" t="s">
        <v>2461</v>
      </c>
      <c r="T755" s="1" t="s">
        <v>2461</v>
      </c>
      <c r="U755" s="1" t="s">
        <v>102</v>
      </c>
      <c r="V755" s="4" t="s">
        <v>103</v>
      </c>
      <c r="W755" s="1"/>
      <c r="X755" s="18">
        <v>45883.0</v>
      </c>
      <c r="Y755" s="1" t="s">
        <v>1030</v>
      </c>
      <c r="Z755" s="1"/>
      <c r="AA755" s="1"/>
      <c r="AB755" s="1" t="s">
        <v>52</v>
      </c>
      <c r="AC755" s="1" t="s">
        <v>4021</v>
      </c>
      <c r="AD755" s="1"/>
      <c r="AE755" s="1" t="s">
        <v>1152</v>
      </c>
      <c r="AF755" s="1"/>
      <c r="AG755" s="1"/>
      <c r="AH755" s="1" t="s">
        <v>1152</v>
      </c>
      <c r="AI755" s="1"/>
      <c r="AJ755" s="1"/>
      <c r="AK755" s="1"/>
      <c r="AL755" s="6" t="str">
        <f t="array" ref="AL755">IFERROR(IFS(XLOOKUP(B755, 'Kit Delivery Status'!$U:$U, 'Kit Delivery Status'!$K:$K) = "Complete", "DELIVERED", XLOOKUP(B755, 'Kit Delivery Status'!$U:$U, 'Kit Delivery Status'!$K:$K) = "Issue", "ISSUE"), "")</f>
        <v/>
      </c>
      <c r="AM755" s="6"/>
    </row>
    <row r="756">
      <c r="A756" s="5" t="s">
        <v>4022</v>
      </c>
      <c r="B756" s="1" t="s">
        <v>4023</v>
      </c>
      <c r="C756" s="1" t="s">
        <v>4024</v>
      </c>
      <c r="D756" s="2">
        <v>8.573485115E9</v>
      </c>
      <c r="E756" s="1" t="s">
        <v>4025</v>
      </c>
      <c r="F756" s="1"/>
      <c r="G756" s="1" t="s">
        <v>4026</v>
      </c>
      <c r="H756" s="1" t="s">
        <v>1121</v>
      </c>
      <c r="I756" s="1">
        <v>2116.0</v>
      </c>
      <c r="J756" s="1" t="s">
        <v>752</v>
      </c>
      <c r="K756" s="1" t="s">
        <v>66</v>
      </c>
      <c r="L756" s="1" t="s">
        <v>3350</v>
      </c>
      <c r="M756" s="1">
        <v>145.0</v>
      </c>
      <c r="N756" s="1" t="s">
        <v>1152</v>
      </c>
      <c r="O756" s="3" t="s">
        <v>4027</v>
      </c>
      <c r="P756" s="18">
        <v>45883.0</v>
      </c>
      <c r="Q756" s="1" t="s">
        <v>1152</v>
      </c>
      <c r="R756" s="1"/>
      <c r="S756" s="1" t="s">
        <v>1152</v>
      </c>
      <c r="T756" s="1" t="s">
        <v>1152</v>
      </c>
      <c r="U756" s="1" t="s">
        <v>1441</v>
      </c>
      <c r="V756" s="4" t="s">
        <v>4027</v>
      </c>
      <c r="W756" s="1"/>
      <c r="X756" s="18">
        <v>45883.0</v>
      </c>
      <c r="Y756" s="1"/>
      <c r="Z756" s="1"/>
      <c r="AA756" s="1"/>
      <c r="AB756" s="1"/>
      <c r="AC756" s="1" t="s">
        <v>1925</v>
      </c>
      <c r="AD756" s="1"/>
      <c r="AE756" s="1" t="s">
        <v>1152</v>
      </c>
      <c r="AF756" s="1"/>
      <c r="AG756" s="1"/>
      <c r="AH756" s="1" t="s">
        <v>1152</v>
      </c>
      <c r="AI756" s="1"/>
      <c r="AJ756" s="1"/>
      <c r="AK756" s="1"/>
      <c r="AL756" s="6" t="str">
        <f t="array" ref="AL756">IFERROR(IFS(XLOOKUP(B756, 'Kit Delivery Status'!$U:$U, 'Kit Delivery Status'!$K:$K) = "Complete", "DELIVERED", XLOOKUP(B756, 'Kit Delivery Status'!$U:$U, 'Kit Delivery Status'!$K:$K) = "Issue", "ISSUE"), "")</f>
        <v/>
      </c>
      <c r="AM756" s="6"/>
    </row>
    <row r="757">
      <c r="A757" s="5" t="s">
        <v>4028</v>
      </c>
      <c r="B757" s="1" t="s">
        <v>4029</v>
      </c>
      <c r="C757" s="1" t="s">
        <v>4030</v>
      </c>
      <c r="D757" s="2">
        <v>7.813281188E9</v>
      </c>
      <c r="E757" s="1" t="s">
        <v>4031</v>
      </c>
      <c r="F757" s="1"/>
      <c r="G757" s="1" t="s">
        <v>4032</v>
      </c>
      <c r="H757" s="1" t="s">
        <v>1121</v>
      </c>
      <c r="I757" s="1">
        <v>1719.0</v>
      </c>
      <c r="J757" s="1" t="s">
        <v>752</v>
      </c>
      <c r="K757" s="1" t="s">
        <v>51</v>
      </c>
      <c r="L757" s="1" t="s">
        <v>3293</v>
      </c>
      <c r="M757" s="1">
        <v>1.0</v>
      </c>
      <c r="N757" s="1" t="s">
        <v>2461</v>
      </c>
      <c r="O757" s="3" t="s">
        <v>4033</v>
      </c>
      <c r="P757" s="18">
        <v>45890.0</v>
      </c>
      <c r="Q757" s="1" t="s">
        <v>3418</v>
      </c>
      <c r="R757" s="1"/>
      <c r="S757" s="1" t="s">
        <v>2461</v>
      </c>
      <c r="T757" s="1" t="s">
        <v>2461</v>
      </c>
      <c r="U757" s="1" t="s">
        <v>1407</v>
      </c>
      <c r="V757" s="4" t="s">
        <v>4033</v>
      </c>
      <c r="W757" s="1"/>
      <c r="X757" s="18">
        <v>45890.0</v>
      </c>
      <c r="Y757" s="1" t="s">
        <v>1103</v>
      </c>
      <c r="Z757" s="1"/>
      <c r="AA757" s="1"/>
      <c r="AB757" s="1" t="s">
        <v>52</v>
      </c>
      <c r="AC757" s="1" t="s">
        <v>1925</v>
      </c>
      <c r="AD757" s="1"/>
      <c r="AE757" s="1" t="s">
        <v>1152</v>
      </c>
      <c r="AF757" s="1"/>
      <c r="AG757" s="1"/>
      <c r="AH757" s="1" t="s">
        <v>1152</v>
      </c>
      <c r="AI757" s="1"/>
      <c r="AJ757" s="1"/>
      <c r="AK757" s="1"/>
      <c r="AL757" s="6" t="str">
        <f t="array" ref="AL757">IFERROR(IFS(XLOOKUP(B757, 'Kit Delivery Status'!$U:$U, 'Kit Delivery Status'!$K:$K) = "Complete", "DELIVERED", XLOOKUP(B757, 'Kit Delivery Status'!$U:$U, 'Kit Delivery Status'!$K:$K) = "Issue", "ISSUE"), "")</f>
        <v/>
      </c>
      <c r="AM757" s="6"/>
    </row>
    <row r="758">
      <c r="A758" s="5" t="s">
        <v>4034</v>
      </c>
      <c r="B758" s="1" t="s">
        <v>4035</v>
      </c>
      <c r="C758" s="1" t="s">
        <v>4036</v>
      </c>
      <c r="D758" s="2">
        <v>447464797988</v>
      </c>
      <c r="E758" s="1" t="s">
        <v>4037</v>
      </c>
      <c r="F758" s="1" t="s">
        <v>4038</v>
      </c>
      <c r="G758" s="1" t="s">
        <v>4039</v>
      </c>
      <c r="H758" s="1" t="s">
        <v>4040</v>
      </c>
      <c r="I758" s="1" t="s">
        <v>4041</v>
      </c>
      <c r="J758" s="1" t="s">
        <v>4042</v>
      </c>
      <c r="K758" s="1" t="s">
        <v>51</v>
      </c>
      <c r="L758" s="1" t="s">
        <v>3293</v>
      </c>
      <c r="M758" s="1">
        <v>1.0</v>
      </c>
      <c r="N758" s="1" t="s">
        <v>2487</v>
      </c>
      <c r="O758" s="3"/>
      <c r="P758" s="18">
        <v>45894.0</v>
      </c>
      <c r="Q758" s="1" t="s">
        <v>3219</v>
      </c>
      <c r="R758" s="1" t="s">
        <v>4038</v>
      </c>
      <c r="S758" s="1" t="s">
        <v>2487</v>
      </c>
      <c r="T758" s="1" t="s">
        <v>2487</v>
      </c>
      <c r="U758" s="1"/>
      <c r="V758" s="4"/>
      <c r="W758" s="1" t="s">
        <v>4038</v>
      </c>
      <c r="X758" s="18">
        <v>45894.0</v>
      </c>
      <c r="Y758" s="1" t="s">
        <v>1455</v>
      </c>
      <c r="Z758" s="1"/>
      <c r="AA758" s="1" t="s">
        <v>4038</v>
      </c>
      <c r="AB758" s="1" t="s">
        <v>124</v>
      </c>
      <c r="AC758" s="1" t="s">
        <v>1925</v>
      </c>
      <c r="AD758" s="1"/>
      <c r="AE758" s="1" t="s">
        <v>1152</v>
      </c>
      <c r="AF758" s="1"/>
      <c r="AG758" s="1"/>
      <c r="AH758" s="1" t="s">
        <v>1152</v>
      </c>
      <c r="AI758" s="1"/>
      <c r="AJ758" s="1"/>
      <c r="AK758" s="1"/>
      <c r="AL758" s="6" t="str">
        <f t="array" ref="AL758">IFERROR(IFS(XLOOKUP(B758, 'Kit Delivery Status'!$U:$U, 'Kit Delivery Status'!$K:$K) = "Complete", "DELIVERED", XLOOKUP(B758, 'Kit Delivery Status'!$U:$U, 'Kit Delivery Status'!$K:$K) = "Issue", "ISSUE"), "")</f>
        <v/>
      </c>
      <c r="AM758" s="6"/>
    </row>
    <row r="759">
      <c r="A759" s="5" t="s">
        <v>4043</v>
      </c>
      <c r="B759" s="1" t="s">
        <v>4044</v>
      </c>
      <c r="C759" s="1"/>
      <c r="D759" s="2">
        <v>14258007251</v>
      </c>
      <c r="E759" s="1" t="s">
        <v>4045</v>
      </c>
      <c r="F759" s="1"/>
      <c r="G759" s="1" t="s">
        <v>4046</v>
      </c>
      <c r="H759" s="1" t="s">
        <v>980</v>
      </c>
      <c r="I759" s="1">
        <v>98004.0</v>
      </c>
      <c r="J759" s="1" t="s">
        <v>752</v>
      </c>
      <c r="K759" s="1" t="s">
        <v>95</v>
      </c>
      <c r="L759" s="1" t="s">
        <v>3327</v>
      </c>
      <c r="M759" s="1">
        <v>49.0</v>
      </c>
      <c r="N759" s="1" t="s">
        <v>2461</v>
      </c>
      <c r="O759" s="3" t="s">
        <v>3619</v>
      </c>
      <c r="P759" s="18">
        <v>45883.0</v>
      </c>
      <c r="Q759" s="1" t="s">
        <v>2463</v>
      </c>
      <c r="R759" s="1"/>
      <c r="S759" s="1" t="s">
        <v>2461</v>
      </c>
      <c r="T759" s="1" t="s">
        <v>2461</v>
      </c>
      <c r="U759" s="1" t="s">
        <v>1277</v>
      </c>
      <c r="V759" s="4" t="s">
        <v>3619</v>
      </c>
      <c r="W759" s="1"/>
      <c r="X759" s="18">
        <v>45883.0</v>
      </c>
      <c r="Y759" s="1" t="s">
        <v>1030</v>
      </c>
      <c r="Z759" s="1"/>
      <c r="AA759" s="1"/>
      <c r="AB759" s="1" t="s">
        <v>52</v>
      </c>
      <c r="AC759" s="1" t="s">
        <v>4047</v>
      </c>
      <c r="AD759" s="1"/>
      <c r="AE759" s="1" t="s">
        <v>1152</v>
      </c>
      <c r="AF759" s="1"/>
      <c r="AG759" s="1"/>
      <c r="AH759" s="1" t="s">
        <v>1152</v>
      </c>
      <c r="AI759" s="1"/>
      <c r="AJ759" s="1"/>
      <c r="AK759" s="1"/>
      <c r="AL759" s="6" t="str">
        <f t="array" ref="AL759">IFERROR(IFS(XLOOKUP(B759, 'Kit Delivery Status'!$U:$U, 'Kit Delivery Status'!$K:$K) = "Complete", "DELIVERED", XLOOKUP(B759, 'Kit Delivery Status'!$U:$U, 'Kit Delivery Status'!$K:$K) = "Issue", "ISSUE"), "")</f>
        <v/>
      </c>
      <c r="AM759" s="6"/>
    </row>
    <row r="760">
      <c r="A760" s="5" t="s">
        <v>4048</v>
      </c>
      <c r="B760" s="1" t="s">
        <v>4049</v>
      </c>
      <c r="C760" s="1" t="s">
        <v>4050</v>
      </c>
      <c r="D760" s="2">
        <v>1.2039162049E10</v>
      </c>
      <c r="E760" s="1" t="s">
        <v>4051</v>
      </c>
      <c r="F760" s="1"/>
      <c r="G760" s="1" t="s">
        <v>4052</v>
      </c>
      <c r="H760" s="1" t="s">
        <v>1078</v>
      </c>
      <c r="I760" s="1">
        <v>6824.0</v>
      </c>
      <c r="J760" s="1" t="s">
        <v>752</v>
      </c>
      <c r="K760" s="1" t="s">
        <v>95</v>
      </c>
      <c r="L760" s="1" t="s">
        <v>3327</v>
      </c>
      <c r="M760" s="1">
        <v>49.0</v>
      </c>
      <c r="N760" s="1" t="s">
        <v>2461</v>
      </c>
      <c r="O760" s="3" t="s">
        <v>4053</v>
      </c>
      <c r="P760" s="18">
        <v>45891.0</v>
      </c>
      <c r="Q760" s="1" t="s">
        <v>2463</v>
      </c>
      <c r="R760" s="1"/>
      <c r="S760" s="1" t="s">
        <v>2461</v>
      </c>
      <c r="T760" s="1" t="s">
        <v>2461</v>
      </c>
      <c r="U760" s="1" t="s">
        <v>1794</v>
      </c>
      <c r="V760" s="4" t="s">
        <v>4053</v>
      </c>
      <c r="W760" s="1"/>
      <c r="X760" s="18">
        <v>45891.0</v>
      </c>
      <c r="Y760" s="1" t="s">
        <v>1030</v>
      </c>
      <c r="Z760" s="1"/>
      <c r="AA760" s="1"/>
      <c r="AB760" s="1" t="s">
        <v>52</v>
      </c>
      <c r="AC760" s="1" t="s">
        <v>4054</v>
      </c>
      <c r="AD760" s="1"/>
      <c r="AE760" s="1" t="s">
        <v>1152</v>
      </c>
      <c r="AF760" s="1"/>
      <c r="AG760" s="1"/>
      <c r="AH760" s="1" t="s">
        <v>1152</v>
      </c>
      <c r="AI760" s="1"/>
      <c r="AJ760" s="1"/>
      <c r="AK760" s="1"/>
      <c r="AL760" s="6" t="str">
        <f t="array" ref="AL760">IFERROR(IFS(XLOOKUP(B760, 'Kit Delivery Status'!$U:$U, 'Kit Delivery Status'!$K:$K) = "Complete", "DELIVERED", XLOOKUP(B760, 'Kit Delivery Status'!$U:$U, 'Kit Delivery Status'!$K:$K) = "Issue", "ISSUE"), "")</f>
        <v/>
      </c>
      <c r="AM760" s="6"/>
    </row>
    <row r="761">
      <c r="A761" s="5" t="s">
        <v>4048</v>
      </c>
      <c r="B761" s="1" t="s">
        <v>4049</v>
      </c>
      <c r="C761" s="1" t="s">
        <v>4050</v>
      </c>
      <c r="D761" s="2">
        <v>1.2039162049E10</v>
      </c>
      <c r="E761" s="1" t="s">
        <v>4051</v>
      </c>
      <c r="F761" s="1"/>
      <c r="G761" s="1" t="s">
        <v>4052</v>
      </c>
      <c r="H761" s="1" t="s">
        <v>1078</v>
      </c>
      <c r="I761" s="1">
        <v>6824.0</v>
      </c>
      <c r="J761" s="1" t="s">
        <v>752</v>
      </c>
      <c r="K761" s="1" t="s">
        <v>51</v>
      </c>
      <c r="L761" s="1" t="s">
        <v>3293</v>
      </c>
      <c r="M761" s="1">
        <v>1.0</v>
      </c>
      <c r="N761" s="1" t="s">
        <v>2461</v>
      </c>
      <c r="O761" s="3" t="s">
        <v>4053</v>
      </c>
      <c r="P761" s="18">
        <v>45891.0</v>
      </c>
      <c r="Q761" s="1" t="s">
        <v>2463</v>
      </c>
      <c r="R761" s="1"/>
      <c r="S761" s="1" t="s">
        <v>2461</v>
      </c>
      <c r="T761" s="1" t="s">
        <v>2461</v>
      </c>
      <c r="U761" s="1" t="s">
        <v>1794</v>
      </c>
      <c r="V761" s="4" t="s">
        <v>4053</v>
      </c>
      <c r="W761" s="1"/>
      <c r="X761" s="18">
        <v>45891.0</v>
      </c>
      <c r="Y761" s="1" t="s">
        <v>1030</v>
      </c>
      <c r="Z761" s="1"/>
      <c r="AA761" s="1"/>
      <c r="AB761" s="1" t="s">
        <v>52</v>
      </c>
      <c r="AC761" s="1" t="s">
        <v>1925</v>
      </c>
      <c r="AD761" s="1"/>
      <c r="AE761" s="1" t="s">
        <v>1152</v>
      </c>
      <c r="AF761" s="1"/>
      <c r="AG761" s="1"/>
      <c r="AH761" s="1" t="s">
        <v>1152</v>
      </c>
      <c r="AI761" s="1"/>
      <c r="AJ761" s="1"/>
      <c r="AK761" s="1"/>
      <c r="AL761" s="6" t="str">
        <f t="array" ref="AL761">IFERROR(IFS(XLOOKUP(B761, 'Kit Delivery Status'!$U:$U, 'Kit Delivery Status'!$K:$K) = "Complete", "DELIVERED", XLOOKUP(B761, 'Kit Delivery Status'!$U:$U, 'Kit Delivery Status'!$K:$K) = "Issue", "ISSUE"), "")</f>
        <v/>
      </c>
      <c r="AM761" s="6"/>
    </row>
    <row r="762">
      <c r="A762" s="5" t="s">
        <v>4055</v>
      </c>
      <c r="B762" s="1" t="s">
        <v>4056</v>
      </c>
      <c r="C762" s="1" t="s">
        <v>493</v>
      </c>
      <c r="D762" s="2">
        <v>2.018918822E9</v>
      </c>
      <c r="E762" s="1" t="s">
        <v>495</v>
      </c>
      <c r="F762" s="1"/>
      <c r="G762" s="1" t="s">
        <v>4057</v>
      </c>
      <c r="H762" s="1" t="s">
        <v>751</v>
      </c>
      <c r="I762" s="1">
        <v>10580.0</v>
      </c>
      <c r="J762" s="1" t="s">
        <v>752</v>
      </c>
      <c r="K762" s="1" t="s">
        <v>66</v>
      </c>
      <c r="L762" s="1" t="s">
        <v>3675</v>
      </c>
      <c r="M762" s="1">
        <v>65.0</v>
      </c>
      <c r="N762" s="1" t="s">
        <v>1152</v>
      </c>
      <c r="O762" s="3" t="s">
        <v>497</v>
      </c>
      <c r="P762" s="18">
        <v>45883.0</v>
      </c>
      <c r="Q762" s="1" t="s">
        <v>1152</v>
      </c>
      <c r="R762" s="1"/>
      <c r="S762" s="1" t="s">
        <v>1152</v>
      </c>
      <c r="T762" s="1" t="s">
        <v>1152</v>
      </c>
      <c r="U762" s="1" t="s">
        <v>1080</v>
      </c>
      <c r="V762" s="4" t="s">
        <v>497</v>
      </c>
      <c r="W762" s="1"/>
      <c r="X762" s="18">
        <v>45883.0</v>
      </c>
      <c r="Y762" s="1"/>
      <c r="Z762" s="1"/>
      <c r="AA762" s="1"/>
      <c r="AB762" s="1"/>
      <c r="AC762" s="1" t="s">
        <v>1925</v>
      </c>
      <c r="AD762" s="1"/>
      <c r="AE762" s="1" t="s">
        <v>1152</v>
      </c>
      <c r="AF762" s="1"/>
      <c r="AG762" s="1"/>
      <c r="AH762" s="1" t="s">
        <v>1152</v>
      </c>
      <c r="AI762" s="1"/>
      <c r="AJ762" s="1"/>
      <c r="AK762" s="1"/>
      <c r="AL762" s="6" t="str">
        <f t="array" ref="AL762">IFERROR(IFS(XLOOKUP(B762, 'Kit Delivery Status'!$U:$U, 'Kit Delivery Status'!$K:$K) = "Complete", "DELIVERED", XLOOKUP(B762, 'Kit Delivery Status'!$U:$U, 'Kit Delivery Status'!$K:$K) = "Issue", "ISSUE"), "")</f>
        <v/>
      </c>
      <c r="AM762" s="6"/>
    </row>
    <row r="763">
      <c r="A763" s="5" t="s">
        <v>4058</v>
      </c>
      <c r="B763" s="1" t="s">
        <v>4059</v>
      </c>
      <c r="C763" s="1" t="s">
        <v>734</v>
      </c>
      <c r="D763" s="2">
        <v>8.439062372E9</v>
      </c>
      <c r="E763" s="1" t="s">
        <v>4060</v>
      </c>
      <c r="F763" s="1"/>
      <c r="G763" s="1" t="s">
        <v>4061</v>
      </c>
      <c r="H763" s="1" t="s">
        <v>2762</v>
      </c>
      <c r="I763" s="1">
        <v>29461.0</v>
      </c>
      <c r="J763" s="1" t="s">
        <v>752</v>
      </c>
      <c r="K763" s="1" t="s">
        <v>51</v>
      </c>
      <c r="L763" s="1" t="s">
        <v>3293</v>
      </c>
      <c r="M763" s="1">
        <v>1.0</v>
      </c>
      <c r="N763" s="1" t="s">
        <v>2461</v>
      </c>
      <c r="O763" s="3" t="s">
        <v>4062</v>
      </c>
      <c r="P763" s="18">
        <v>45876.0</v>
      </c>
      <c r="Q763" s="1" t="s">
        <v>2463</v>
      </c>
      <c r="R763" s="1"/>
      <c r="S763" s="1" t="s">
        <v>2461</v>
      </c>
      <c r="T763" s="1" t="s">
        <v>2461</v>
      </c>
      <c r="U763" s="1" t="s">
        <v>1201</v>
      </c>
      <c r="V763" s="4" t="s">
        <v>4062</v>
      </c>
      <c r="W763" s="1"/>
      <c r="X763" s="18">
        <v>45876.0</v>
      </c>
      <c r="Y763" s="1" t="s">
        <v>1030</v>
      </c>
      <c r="Z763" s="1"/>
      <c r="AA763" s="1"/>
      <c r="AB763" s="1" t="s">
        <v>52</v>
      </c>
      <c r="AC763" s="1" t="s">
        <v>1925</v>
      </c>
      <c r="AD763" s="1"/>
      <c r="AE763" s="1" t="s">
        <v>1152</v>
      </c>
      <c r="AF763" s="1"/>
      <c r="AG763" s="1"/>
      <c r="AH763" s="1" t="s">
        <v>1152</v>
      </c>
      <c r="AI763" s="1"/>
      <c r="AJ763" s="1"/>
      <c r="AK763" s="1"/>
      <c r="AL763" s="6" t="str">
        <f t="array" ref="AL763">IFERROR(IFS(XLOOKUP(B763, 'Kit Delivery Status'!$U:$U, 'Kit Delivery Status'!$K:$K) = "Complete", "DELIVERED", XLOOKUP(B763, 'Kit Delivery Status'!$U:$U, 'Kit Delivery Status'!$K:$K) = "Issue", "ISSUE"), "")</f>
        <v/>
      </c>
      <c r="AM763" s="6"/>
    </row>
    <row r="764">
      <c r="A764" s="5" t="s">
        <v>4063</v>
      </c>
      <c r="B764" s="1" t="s">
        <v>4064</v>
      </c>
      <c r="C764" s="1" t="s">
        <v>4065</v>
      </c>
      <c r="D764" s="2">
        <v>8.582096759E9</v>
      </c>
      <c r="E764" s="1" t="s">
        <v>4066</v>
      </c>
      <c r="F764" s="1"/>
      <c r="G764" s="1" t="s">
        <v>2417</v>
      </c>
      <c r="H764" s="1" t="s">
        <v>989</v>
      </c>
      <c r="I764" s="1">
        <v>92130.0</v>
      </c>
      <c r="J764" s="1" t="s">
        <v>752</v>
      </c>
      <c r="K764" s="1" t="s">
        <v>51</v>
      </c>
      <c r="L764" s="1" t="s">
        <v>3293</v>
      </c>
      <c r="M764" s="1">
        <v>1.0</v>
      </c>
      <c r="N764" s="1" t="s">
        <v>2461</v>
      </c>
      <c r="O764" s="3" t="s">
        <v>4067</v>
      </c>
      <c r="P764" s="18">
        <v>45888.0</v>
      </c>
      <c r="Q764" s="1" t="s">
        <v>2502</v>
      </c>
      <c r="R764" s="1"/>
      <c r="S764" s="1" t="s">
        <v>2461</v>
      </c>
      <c r="T764" s="1" t="s">
        <v>2461</v>
      </c>
      <c r="U764" s="1" t="s">
        <v>1936</v>
      </c>
      <c r="V764" s="4" t="s">
        <v>4067</v>
      </c>
      <c r="W764" s="1"/>
      <c r="X764" s="18">
        <v>45888.0</v>
      </c>
      <c r="Y764" s="1" t="s">
        <v>1630</v>
      </c>
      <c r="Z764" s="1"/>
      <c r="AA764" s="1"/>
      <c r="AB764" s="1" t="s">
        <v>52</v>
      </c>
      <c r="AC764" s="1" t="s">
        <v>1925</v>
      </c>
      <c r="AD764" s="1"/>
      <c r="AE764" s="1" t="s">
        <v>1152</v>
      </c>
      <c r="AF764" s="1"/>
      <c r="AG764" s="1"/>
      <c r="AH764" s="1" t="s">
        <v>1152</v>
      </c>
      <c r="AI764" s="1"/>
      <c r="AJ764" s="1"/>
      <c r="AK764" s="1"/>
      <c r="AL764" s="6" t="str">
        <f t="array" ref="AL764">IFERROR(IFS(XLOOKUP(B764, 'Kit Delivery Status'!$U:$U, 'Kit Delivery Status'!$K:$K) = "Complete", "DELIVERED", XLOOKUP(B764, 'Kit Delivery Status'!$U:$U, 'Kit Delivery Status'!$K:$K) = "Issue", "ISSUE"), "")</f>
        <v/>
      </c>
      <c r="AM764" s="6"/>
    </row>
    <row r="765">
      <c r="A765" s="5" t="s">
        <v>4068</v>
      </c>
      <c r="B765" s="1" t="s">
        <v>4069</v>
      </c>
      <c r="C765" s="1" t="s">
        <v>4070</v>
      </c>
      <c r="D765" s="2">
        <v>4.172966047E9</v>
      </c>
      <c r="E765" s="1" t="s">
        <v>4071</v>
      </c>
      <c r="F765" s="1"/>
      <c r="G765" s="1" t="s">
        <v>4072</v>
      </c>
      <c r="H765" s="1" t="s">
        <v>1155</v>
      </c>
      <c r="I765" s="1">
        <v>65803.0</v>
      </c>
      <c r="J765" s="1" t="s">
        <v>752</v>
      </c>
      <c r="K765" s="1" t="s">
        <v>66</v>
      </c>
      <c r="L765" s="1" t="s">
        <v>3350</v>
      </c>
      <c r="M765" s="1">
        <v>145.0</v>
      </c>
      <c r="N765" s="1" t="s">
        <v>1152</v>
      </c>
      <c r="O765" s="3" t="s">
        <v>4073</v>
      </c>
      <c r="P765" s="18">
        <v>45883.0</v>
      </c>
      <c r="Q765" s="1" t="s">
        <v>1152</v>
      </c>
      <c r="R765" s="1"/>
      <c r="S765" s="1" t="s">
        <v>1152</v>
      </c>
      <c r="T765" s="1" t="s">
        <v>1152</v>
      </c>
      <c r="U765" s="1" t="s">
        <v>1039</v>
      </c>
      <c r="V765" s="4" t="s">
        <v>4073</v>
      </c>
      <c r="W765" s="1"/>
      <c r="X765" s="18">
        <v>45883.0</v>
      </c>
      <c r="Y765" s="1"/>
      <c r="Z765" s="1"/>
      <c r="AA765" s="1"/>
      <c r="AB765" s="1"/>
      <c r="AC765" s="1" t="s">
        <v>1925</v>
      </c>
      <c r="AD765" s="1"/>
      <c r="AE765" s="1" t="s">
        <v>1152</v>
      </c>
      <c r="AF765" s="1"/>
      <c r="AG765" s="1"/>
      <c r="AH765" s="1" t="s">
        <v>1152</v>
      </c>
      <c r="AI765" s="1"/>
      <c r="AJ765" s="1"/>
      <c r="AK765" s="1"/>
      <c r="AL765" s="6" t="str">
        <f t="array" ref="AL765">IFERROR(IFS(XLOOKUP(B765, 'Kit Delivery Status'!$U:$U, 'Kit Delivery Status'!$K:$K) = "Complete", "DELIVERED", XLOOKUP(B765, 'Kit Delivery Status'!$U:$U, 'Kit Delivery Status'!$K:$K) = "Issue", "ISSUE"), "")</f>
        <v/>
      </c>
      <c r="AM765" s="6"/>
    </row>
    <row r="766">
      <c r="A766" s="5" t="s">
        <v>4074</v>
      </c>
      <c r="B766" s="1" t="s">
        <v>4075</v>
      </c>
      <c r="C766" s="1"/>
      <c r="D766" s="2">
        <v>5.083539772E9</v>
      </c>
      <c r="E766" s="1" t="s">
        <v>4076</v>
      </c>
      <c r="F766" s="1"/>
      <c r="G766" s="1" t="s">
        <v>4077</v>
      </c>
      <c r="H766" s="1" t="s">
        <v>1121</v>
      </c>
      <c r="I766" s="1">
        <v>1604.0</v>
      </c>
      <c r="J766" s="1" t="s">
        <v>752</v>
      </c>
      <c r="K766" s="1" t="s">
        <v>95</v>
      </c>
      <c r="L766" s="1" t="s">
        <v>3327</v>
      </c>
      <c r="M766" s="1">
        <v>49.0</v>
      </c>
      <c r="N766" s="1" t="s">
        <v>2461</v>
      </c>
      <c r="O766" s="3" t="s">
        <v>4078</v>
      </c>
      <c r="P766" s="18">
        <v>45883.0</v>
      </c>
      <c r="Q766" s="1" t="s">
        <v>2463</v>
      </c>
      <c r="R766" s="1"/>
      <c r="S766" s="1" t="s">
        <v>2461</v>
      </c>
      <c r="T766" s="1" t="s">
        <v>2461</v>
      </c>
      <c r="U766" s="1" t="s">
        <v>1249</v>
      </c>
      <c r="V766" s="4" t="s">
        <v>4078</v>
      </c>
      <c r="W766" s="1"/>
      <c r="X766" s="18">
        <v>45883.0</v>
      </c>
      <c r="Y766" s="1" t="s">
        <v>1030</v>
      </c>
      <c r="Z766" s="1"/>
      <c r="AA766" s="1"/>
      <c r="AB766" s="1" t="s">
        <v>52</v>
      </c>
      <c r="AC766" s="1" t="s">
        <v>4079</v>
      </c>
      <c r="AD766" s="1"/>
      <c r="AE766" s="1" t="s">
        <v>1152</v>
      </c>
      <c r="AF766" s="1"/>
      <c r="AG766" s="1"/>
      <c r="AH766" s="1" t="s">
        <v>1152</v>
      </c>
      <c r="AI766" s="1"/>
      <c r="AJ766" s="1"/>
      <c r="AK766" s="1"/>
      <c r="AL766" s="6" t="str">
        <f t="array" ref="AL766">IFERROR(IFS(XLOOKUP(B766, 'Kit Delivery Status'!$U:$U, 'Kit Delivery Status'!$K:$K) = "Complete", "DELIVERED", XLOOKUP(B766, 'Kit Delivery Status'!$U:$U, 'Kit Delivery Status'!$K:$K) = "Issue", "ISSUE"), "")</f>
        <v/>
      </c>
      <c r="AM766" s="6"/>
    </row>
    <row r="767">
      <c r="A767" s="5" t="s">
        <v>4080</v>
      </c>
      <c r="B767" s="1" t="s">
        <v>4081</v>
      </c>
      <c r="C767" s="1"/>
      <c r="D767" s="2"/>
      <c r="E767" s="1" t="s">
        <v>4082</v>
      </c>
      <c r="F767" s="1"/>
      <c r="G767" s="1" t="s">
        <v>2666</v>
      </c>
      <c r="H767" s="1" t="s">
        <v>1078</v>
      </c>
      <c r="I767" s="1">
        <v>6820.0</v>
      </c>
      <c r="J767" s="1" t="s">
        <v>752</v>
      </c>
      <c r="K767" s="1" t="s">
        <v>51</v>
      </c>
      <c r="L767" s="1" t="s">
        <v>3293</v>
      </c>
      <c r="M767" s="1">
        <v>1.0</v>
      </c>
      <c r="N767" s="1" t="s">
        <v>2461</v>
      </c>
      <c r="O767" s="3" t="s">
        <v>4083</v>
      </c>
      <c r="P767" s="18">
        <v>45888.0</v>
      </c>
      <c r="Q767" s="1" t="s">
        <v>2463</v>
      </c>
      <c r="R767" s="1"/>
      <c r="S767" s="1" t="s">
        <v>2461</v>
      </c>
      <c r="T767" s="1" t="s">
        <v>2461</v>
      </c>
      <c r="U767" s="1" t="s">
        <v>1936</v>
      </c>
      <c r="V767" s="4" t="s">
        <v>4083</v>
      </c>
      <c r="W767" s="1"/>
      <c r="X767" s="18">
        <v>45888.0</v>
      </c>
      <c r="Y767" s="1" t="s">
        <v>1030</v>
      </c>
      <c r="Z767" s="1"/>
      <c r="AA767" s="1"/>
      <c r="AB767" s="1" t="s">
        <v>52</v>
      </c>
      <c r="AC767" s="1" t="s">
        <v>1925</v>
      </c>
      <c r="AD767" s="1"/>
      <c r="AE767" s="1" t="s">
        <v>1152</v>
      </c>
      <c r="AF767" s="1"/>
      <c r="AG767" s="1"/>
      <c r="AH767" s="1" t="s">
        <v>1152</v>
      </c>
      <c r="AI767" s="1"/>
      <c r="AJ767" s="1"/>
      <c r="AK767" s="1"/>
      <c r="AL767" s="6" t="str">
        <f t="array" ref="AL767">IFERROR(IFS(XLOOKUP(B767, 'Kit Delivery Status'!$U:$U, 'Kit Delivery Status'!$K:$K) = "Complete", "DELIVERED", XLOOKUP(B767, 'Kit Delivery Status'!$U:$U, 'Kit Delivery Status'!$K:$K) = "Issue", "ISSUE"), "")</f>
        <v/>
      </c>
      <c r="AM767" s="6"/>
    </row>
    <row r="768">
      <c r="A768" s="5" t="s">
        <v>4084</v>
      </c>
      <c r="B768" s="1" t="s">
        <v>4085</v>
      </c>
      <c r="C768" s="1"/>
      <c r="D768" s="2">
        <v>9.173921714E9</v>
      </c>
      <c r="E768" s="1" t="s">
        <v>4086</v>
      </c>
      <c r="F768" s="1"/>
      <c r="G768" s="1" t="s">
        <v>751</v>
      </c>
      <c r="H768" s="1" t="s">
        <v>751</v>
      </c>
      <c r="I768" s="1">
        <v>10021.0</v>
      </c>
      <c r="J768" s="1" t="s">
        <v>752</v>
      </c>
      <c r="K768" s="1" t="s">
        <v>66</v>
      </c>
      <c r="L768" s="1" t="s">
        <v>3364</v>
      </c>
      <c r="M768" s="1">
        <v>115.0</v>
      </c>
      <c r="N768" s="1" t="s">
        <v>1152</v>
      </c>
      <c r="O768" s="3" t="s">
        <v>4087</v>
      </c>
      <c r="P768" s="18">
        <v>45878.0</v>
      </c>
      <c r="Q768" s="1" t="s">
        <v>1152</v>
      </c>
      <c r="R768" s="1"/>
      <c r="S768" s="1" t="s">
        <v>1152</v>
      </c>
      <c r="T768" s="1" t="s">
        <v>1152</v>
      </c>
      <c r="U768" s="1" t="s">
        <v>1441</v>
      </c>
      <c r="V768" s="4" t="s">
        <v>4087</v>
      </c>
      <c r="W768" s="1"/>
      <c r="X768" s="18">
        <v>45878.0</v>
      </c>
      <c r="Y768" s="1"/>
      <c r="Z768" s="1"/>
      <c r="AA768" s="1"/>
      <c r="AB768" s="1"/>
      <c r="AC768" s="1" t="s">
        <v>1925</v>
      </c>
      <c r="AD768" s="1"/>
      <c r="AE768" s="1" t="s">
        <v>1152</v>
      </c>
      <c r="AF768" s="1"/>
      <c r="AG768" s="1"/>
      <c r="AH768" s="1" t="s">
        <v>1152</v>
      </c>
      <c r="AI768" s="1"/>
      <c r="AJ768" s="1"/>
      <c r="AK768" s="1"/>
      <c r="AL768" s="6" t="str">
        <f t="array" ref="AL768">IFERROR(IFS(XLOOKUP(B768, 'Kit Delivery Status'!$U:$U, 'Kit Delivery Status'!$K:$K) = "Complete", "DELIVERED", XLOOKUP(B768, 'Kit Delivery Status'!$U:$U, 'Kit Delivery Status'!$K:$K) = "Issue", "ISSUE"), "")</f>
        <v/>
      </c>
      <c r="AM768" s="6"/>
    </row>
    <row r="769">
      <c r="A769" s="5" t="s">
        <v>4088</v>
      </c>
      <c r="B769" s="1" t="s">
        <v>4089</v>
      </c>
      <c r="C769" s="1" t="s">
        <v>4090</v>
      </c>
      <c r="D769" s="2">
        <v>6.176335474E9</v>
      </c>
      <c r="E769" s="1" t="s">
        <v>4091</v>
      </c>
      <c r="F769" s="1"/>
      <c r="G769" s="1" t="s">
        <v>4092</v>
      </c>
      <c r="H769" s="1" t="s">
        <v>1121</v>
      </c>
      <c r="I769" s="1">
        <v>2067.0</v>
      </c>
      <c r="J769" s="1" t="s">
        <v>752</v>
      </c>
      <c r="K769" s="1" t="s">
        <v>95</v>
      </c>
      <c r="L769" s="1" t="s">
        <v>3327</v>
      </c>
      <c r="M769" s="1">
        <v>49.0</v>
      </c>
      <c r="N769" s="1" t="s">
        <v>2461</v>
      </c>
      <c r="O769" s="3" t="s">
        <v>4093</v>
      </c>
      <c r="P769" s="18">
        <v>45891.0</v>
      </c>
      <c r="Q769" s="1" t="s">
        <v>2502</v>
      </c>
      <c r="R769" s="1"/>
      <c r="S769" s="1" t="s">
        <v>2461</v>
      </c>
      <c r="T769" s="1" t="s">
        <v>2461</v>
      </c>
      <c r="U769" s="1" t="s">
        <v>1021</v>
      </c>
      <c r="V769" s="4" t="s">
        <v>4093</v>
      </c>
      <c r="W769" s="1"/>
      <c r="X769" s="18">
        <v>45891.0</v>
      </c>
      <c r="Y769" s="1" t="s">
        <v>1630</v>
      </c>
      <c r="Z769" s="1"/>
      <c r="AA769" s="1"/>
      <c r="AB769" s="1" t="s">
        <v>52</v>
      </c>
      <c r="AC769" s="1" t="s">
        <v>4094</v>
      </c>
      <c r="AD769" s="1"/>
      <c r="AE769" s="1" t="s">
        <v>1152</v>
      </c>
      <c r="AF769" s="1"/>
      <c r="AG769" s="1"/>
      <c r="AH769" s="1" t="s">
        <v>1152</v>
      </c>
      <c r="AI769" s="1"/>
      <c r="AJ769" s="1"/>
      <c r="AK769" s="1"/>
      <c r="AL769" s="6" t="str">
        <f t="array" ref="AL769">IFERROR(IFS(XLOOKUP(B769, 'Kit Delivery Status'!$U:$U, 'Kit Delivery Status'!$K:$K) = "Complete", "DELIVERED", XLOOKUP(B769, 'Kit Delivery Status'!$U:$U, 'Kit Delivery Status'!$K:$K) = "Issue", "ISSUE"), "")</f>
        <v/>
      </c>
      <c r="AM769" s="6"/>
    </row>
    <row r="770">
      <c r="A770" s="5" t="s">
        <v>4095</v>
      </c>
      <c r="B770" s="1" t="s">
        <v>4096</v>
      </c>
      <c r="C770" s="1" t="s">
        <v>4097</v>
      </c>
      <c r="D770" s="2">
        <v>2.035651151E9</v>
      </c>
      <c r="E770" s="1" t="s">
        <v>4098</v>
      </c>
      <c r="F770" s="1"/>
      <c r="G770" s="1" t="s">
        <v>4099</v>
      </c>
      <c r="H770" s="1" t="s">
        <v>1078</v>
      </c>
      <c r="I770" s="1">
        <v>6762.0</v>
      </c>
      <c r="J770" s="1" t="s">
        <v>752</v>
      </c>
      <c r="K770" s="1" t="s">
        <v>51</v>
      </c>
      <c r="L770" s="1" t="s">
        <v>3293</v>
      </c>
      <c r="M770" s="1">
        <v>1.0</v>
      </c>
      <c r="N770" s="1" t="s">
        <v>2461</v>
      </c>
      <c r="O770" s="3" t="s">
        <v>4100</v>
      </c>
      <c r="P770" s="18">
        <v>45889.0</v>
      </c>
      <c r="Q770" s="1" t="s">
        <v>2463</v>
      </c>
      <c r="R770" s="1"/>
      <c r="S770" s="1" t="s">
        <v>2461</v>
      </c>
      <c r="T770" s="1" t="s">
        <v>2461</v>
      </c>
      <c r="U770" s="1" t="s">
        <v>948</v>
      </c>
      <c r="V770" s="4" t="s">
        <v>4100</v>
      </c>
      <c r="W770" s="1"/>
      <c r="X770" s="18">
        <v>45889.0</v>
      </c>
      <c r="Y770" s="1" t="s">
        <v>1030</v>
      </c>
      <c r="Z770" s="1"/>
      <c r="AA770" s="1"/>
      <c r="AB770" s="1" t="s">
        <v>52</v>
      </c>
      <c r="AC770" s="1" t="s">
        <v>1925</v>
      </c>
      <c r="AD770" s="1"/>
      <c r="AE770" s="1" t="s">
        <v>1152</v>
      </c>
      <c r="AF770" s="1"/>
      <c r="AG770" s="1"/>
      <c r="AH770" s="1" t="s">
        <v>1152</v>
      </c>
      <c r="AI770" s="1"/>
      <c r="AJ770" s="1"/>
      <c r="AK770" s="1"/>
      <c r="AL770" s="6" t="str">
        <f t="array" ref="AL770">IFERROR(IFS(XLOOKUP(B770, 'Kit Delivery Status'!$U:$U, 'Kit Delivery Status'!$K:$K) = "Complete", "DELIVERED", XLOOKUP(B770, 'Kit Delivery Status'!$U:$U, 'Kit Delivery Status'!$K:$K) = "Issue", "ISSUE"), "")</f>
        <v/>
      </c>
      <c r="AM770" s="6"/>
    </row>
    <row r="771">
      <c r="A771" s="5" t="s">
        <v>4101</v>
      </c>
      <c r="B771" s="1" t="s">
        <v>4102</v>
      </c>
      <c r="C771" s="1" t="s">
        <v>4103</v>
      </c>
      <c r="D771" s="2">
        <v>7.194219044E9</v>
      </c>
      <c r="E771" s="1" t="s">
        <v>4104</v>
      </c>
      <c r="F771" s="1"/>
      <c r="G771" s="1" t="s">
        <v>4105</v>
      </c>
      <c r="H771" s="1" t="s">
        <v>1891</v>
      </c>
      <c r="I771" s="1">
        <v>80906.0</v>
      </c>
      <c r="J771" s="1" t="s">
        <v>752</v>
      </c>
      <c r="K771" s="1" t="s">
        <v>66</v>
      </c>
      <c r="L771" s="1" t="s">
        <v>3350</v>
      </c>
      <c r="M771" s="1">
        <v>145.0</v>
      </c>
      <c r="N771" s="1" t="s">
        <v>1152</v>
      </c>
      <c r="O771" s="3" t="s">
        <v>2193</v>
      </c>
      <c r="P771" s="18">
        <v>45883.0</v>
      </c>
      <c r="Q771" s="1" t="s">
        <v>1152</v>
      </c>
      <c r="R771" s="1"/>
      <c r="S771" s="1" t="s">
        <v>1152</v>
      </c>
      <c r="T771" s="1" t="s">
        <v>1152</v>
      </c>
      <c r="U771" s="1" t="s">
        <v>948</v>
      </c>
      <c r="V771" s="4" t="s">
        <v>2193</v>
      </c>
      <c r="W771" s="1"/>
      <c r="X771" s="18">
        <v>45883.0</v>
      </c>
      <c r="Y771" s="1"/>
      <c r="Z771" s="1"/>
      <c r="AA771" s="1"/>
      <c r="AB771" s="1"/>
      <c r="AC771" s="1" t="s">
        <v>1925</v>
      </c>
      <c r="AD771" s="1"/>
      <c r="AE771" s="1" t="s">
        <v>1152</v>
      </c>
      <c r="AF771" s="1"/>
      <c r="AG771" s="1"/>
      <c r="AH771" s="1" t="s">
        <v>1152</v>
      </c>
      <c r="AI771" s="1"/>
      <c r="AJ771" s="1"/>
      <c r="AK771" s="1"/>
      <c r="AL771" s="6" t="str">
        <f t="array" ref="AL771">IFERROR(IFS(XLOOKUP(B771, 'Kit Delivery Status'!$U:$U, 'Kit Delivery Status'!$K:$K) = "Complete", "DELIVERED", XLOOKUP(B771, 'Kit Delivery Status'!$U:$U, 'Kit Delivery Status'!$K:$K) = "Issue", "ISSUE"), "")</f>
        <v/>
      </c>
      <c r="AM771" s="6"/>
    </row>
    <row r="772">
      <c r="A772" s="5" t="s">
        <v>4106</v>
      </c>
      <c r="B772" s="1" t="s">
        <v>4107</v>
      </c>
      <c r="C772" s="1" t="s">
        <v>4108</v>
      </c>
      <c r="D772" s="2">
        <v>1.5167815282E10</v>
      </c>
      <c r="E772" s="1" t="s">
        <v>4109</v>
      </c>
      <c r="F772" s="1"/>
      <c r="G772" s="1" t="s">
        <v>4110</v>
      </c>
      <c r="H772" s="1" t="s">
        <v>751</v>
      </c>
      <c r="I772" s="1">
        <v>11783.0</v>
      </c>
      <c r="J772" s="1" t="s">
        <v>752</v>
      </c>
      <c r="K772" s="1" t="s">
        <v>66</v>
      </c>
      <c r="L772" s="1" t="s">
        <v>3364</v>
      </c>
      <c r="M772" s="1">
        <v>115.0</v>
      </c>
      <c r="N772" s="1" t="s">
        <v>1152</v>
      </c>
      <c r="O772" s="3" t="s">
        <v>4111</v>
      </c>
      <c r="P772" s="18">
        <v>45875.0</v>
      </c>
      <c r="Q772" s="1" t="s">
        <v>1152</v>
      </c>
      <c r="R772" s="1"/>
      <c r="S772" s="1" t="s">
        <v>1152</v>
      </c>
      <c r="T772" s="1" t="s">
        <v>1152</v>
      </c>
      <c r="U772" s="1" t="s">
        <v>1794</v>
      </c>
      <c r="V772" s="4" t="s">
        <v>4111</v>
      </c>
      <c r="W772" s="1"/>
      <c r="X772" s="18">
        <v>45875.0</v>
      </c>
      <c r="Y772" s="1"/>
      <c r="Z772" s="1"/>
      <c r="AA772" s="1"/>
      <c r="AB772" s="1"/>
      <c r="AC772" s="1" t="s">
        <v>1925</v>
      </c>
      <c r="AD772" s="1"/>
      <c r="AE772" s="1" t="s">
        <v>1152</v>
      </c>
      <c r="AF772" s="1"/>
      <c r="AG772" s="1"/>
      <c r="AH772" s="1" t="s">
        <v>1152</v>
      </c>
      <c r="AI772" s="1"/>
      <c r="AJ772" s="1"/>
      <c r="AK772" s="1"/>
      <c r="AL772" s="6" t="str">
        <f t="array" ref="AL772">IFERROR(IFS(XLOOKUP(B772, 'Kit Delivery Status'!$U:$U, 'Kit Delivery Status'!$K:$K) = "Complete", "DELIVERED", XLOOKUP(B772, 'Kit Delivery Status'!$U:$U, 'Kit Delivery Status'!$K:$K) = "Issue", "ISSUE"), "")</f>
        <v/>
      </c>
      <c r="AM772" s="6"/>
    </row>
    <row r="773">
      <c r="A773" s="5" t="s">
        <v>4106</v>
      </c>
      <c r="B773" s="1" t="s">
        <v>4107</v>
      </c>
      <c r="C773" s="1" t="s">
        <v>4108</v>
      </c>
      <c r="D773" s="2">
        <v>1.5167815282E10</v>
      </c>
      <c r="E773" s="1" t="s">
        <v>4109</v>
      </c>
      <c r="F773" s="1"/>
      <c r="G773" s="1" t="s">
        <v>4110</v>
      </c>
      <c r="H773" s="1" t="s">
        <v>751</v>
      </c>
      <c r="I773" s="1">
        <v>11783.0</v>
      </c>
      <c r="J773" s="1" t="s">
        <v>752</v>
      </c>
      <c r="K773" s="1" t="s">
        <v>51</v>
      </c>
      <c r="L773" s="1" t="s">
        <v>3293</v>
      </c>
      <c r="M773" s="1">
        <v>1.0</v>
      </c>
      <c r="N773" s="1" t="s">
        <v>2461</v>
      </c>
      <c r="O773" s="3" t="s">
        <v>4111</v>
      </c>
      <c r="P773" s="18">
        <v>45875.0</v>
      </c>
      <c r="Q773" s="1" t="s">
        <v>2463</v>
      </c>
      <c r="R773" s="1"/>
      <c r="S773" s="1" t="s">
        <v>2461</v>
      </c>
      <c r="T773" s="1" t="s">
        <v>2461</v>
      </c>
      <c r="U773" s="1" t="s">
        <v>1794</v>
      </c>
      <c r="V773" s="4" t="s">
        <v>4111</v>
      </c>
      <c r="W773" s="1"/>
      <c r="X773" s="18">
        <v>45875.0</v>
      </c>
      <c r="Y773" s="1" t="s">
        <v>1030</v>
      </c>
      <c r="Z773" s="1"/>
      <c r="AA773" s="1"/>
      <c r="AB773" s="1" t="s">
        <v>52</v>
      </c>
      <c r="AC773" s="1" t="s">
        <v>1925</v>
      </c>
      <c r="AD773" s="1"/>
      <c r="AE773" s="1" t="s">
        <v>1152</v>
      </c>
      <c r="AF773" s="1"/>
      <c r="AG773" s="1"/>
      <c r="AH773" s="1" t="s">
        <v>1152</v>
      </c>
      <c r="AI773" s="1"/>
      <c r="AJ773" s="1"/>
      <c r="AK773" s="1"/>
      <c r="AL773" s="6" t="str">
        <f t="array" ref="AL773">IFERROR(IFS(XLOOKUP(B773, 'Kit Delivery Status'!$U:$U, 'Kit Delivery Status'!$K:$K) = "Complete", "DELIVERED", XLOOKUP(B773, 'Kit Delivery Status'!$U:$U, 'Kit Delivery Status'!$K:$K) = "Issue", "ISSUE"), "")</f>
        <v/>
      </c>
      <c r="AM773" s="6"/>
    </row>
    <row r="774">
      <c r="A774" s="5" t="s">
        <v>4112</v>
      </c>
      <c r="B774" s="1" t="s">
        <v>4113</v>
      </c>
      <c r="C774" s="1" t="s">
        <v>4114</v>
      </c>
      <c r="D774" s="2">
        <v>7.133036272E9</v>
      </c>
      <c r="E774" s="1" t="s">
        <v>4115</v>
      </c>
      <c r="F774" s="1"/>
      <c r="G774" s="1" t="s">
        <v>1609</v>
      </c>
      <c r="H774" s="1" t="s">
        <v>1583</v>
      </c>
      <c r="I774" s="1">
        <v>77024.0</v>
      </c>
      <c r="J774" s="1" t="s">
        <v>752</v>
      </c>
      <c r="K774" s="1" t="s">
        <v>51</v>
      </c>
      <c r="L774" s="1" t="s">
        <v>3293</v>
      </c>
      <c r="M774" s="1">
        <v>1.0</v>
      </c>
      <c r="N774" s="1" t="s">
        <v>2461</v>
      </c>
      <c r="O774" s="3" t="s">
        <v>4116</v>
      </c>
      <c r="P774" s="18">
        <v>45877.0</v>
      </c>
      <c r="Q774" s="1" t="s">
        <v>2463</v>
      </c>
      <c r="R774" s="1"/>
      <c r="S774" s="1" t="s">
        <v>2461</v>
      </c>
      <c r="T774" s="1" t="s">
        <v>2461</v>
      </c>
      <c r="U774" s="1" t="s">
        <v>3713</v>
      </c>
      <c r="V774" s="4" t="s">
        <v>4116</v>
      </c>
      <c r="W774" s="1"/>
      <c r="X774" s="18">
        <v>45877.0</v>
      </c>
      <c r="Y774" s="1" t="s">
        <v>1030</v>
      </c>
      <c r="Z774" s="1"/>
      <c r="AA774" s="1"/>
      <c r="AB774" s="1" t="s">
        <v>52</v>
      </c>
      <c r="AC774" s="1" t="s">
        <v>1925</v>
      </c>
      <c r="AD774" s="1"/>
      <c r="AE774" s="1" t="s">
        <v>1152</v>
      </c>
      <c r="AF774" s="1"/>
      <c r="AG774" s="1"/>
      <c r="AH774" s="1" t="s">
        <v>1152</v>
      </c>
      <c r="AI774" s="1"/>
      <c r="AJ774" s="1"/>
      <c r="AK774" s="1"/>
      <c r="AL774" s="6" t="str">
        <f t="array" ref="AL774">IFERROR(IFS(XLOOKUP(B774, 'Kit Delivery Status'!$U:$U, 'Kit Delivery Status'!$K:$K) = "Complete", "DELIVERED", XLOOKUP(B774, 'Kit Delivery Status'!$U:$U, 'Kit Delivery Status'!$K:$K) = "Issue", "ISSUE"), "")</f>
        <v/>
      </c>
      <c r="AM774" s="6"/>
    </row>
    <row r="775">
      <c r="A775" s="5" t="s">
        <v>4117</v>
      </c>
      <c r="B775" s="1" t="s">
        <v>4118</v>
      </c>
      <c r="C775" s="1" t="s">
        <v>4119</v>
      </c>
      <c r="D775" s="2">
        <v>5.086425956E9</v>
      </c>
      <c r="E775" s="1" t="s">
        <v>4120</v>
      </c>
      <c r="F775" s="1" t="s">
        <v>4121</v>
      </c>
      <c r="G775" s="1" t="s">
        <v>3250</v>
      </c>
      <c r="H775" s="1" t="s">
        <v>1121</v>
      </c>
      <c r="I775" s="1">
        <v>2052.0</v>
      </c>
      <c r="J775" s="1" t="s">
        <v>752</v>
      </c>
      <c r="K775" s="1" t="s">
        <v>51</v>
      </c>
      <c r="L775" s="1" t="s">
        <v>3293</v>
      </c>
      <c r="M775" s="1">
        <v>1.0</v>
      </c>
      <c r="N775" s="1" t="s">
        <v>2487</v>
      </c>
      <c r="O775" s="3"/>
      <c r="P775" s="18">
        <v>45892.0</v>
      </c>
      <c r="Q775" s="1" t="s">
        <v>3418</v>
      </c>
      <c r="R775" s="1" t="s">
        <v>4121</v>
      </c>
      <c r="S775" s="1" t="s">
        <v>2487</v>
      </c>
      <c r="T775" s="1" t="s">
        <v>2487</v>
      </c>
      <c r="U775" s="1"/>
      <c r="V775" s="4"/>
      <c r="W775" s="1" t="s">
        <v>4121</v>
      </c>
      <c r="X775" s="18">
        <v>45892.0</v>
      </c>
      <c r="Y775" s="1" t="s">
        <v>1103</v>
      </c>
      <c r="Z775" s="1"/>
      <c r="AA775" s="1" t="s">
        <v>4121</v>
      </c>
      <c r="AB775" s="1" t="s">
        <v>124</v>
      </c>
      <c r="AC775" s="1" t="s">
        <v>1925</v>
      </c>
      <c r="AD775" s="1"/>
      <c r="AE775" s="1" t="s">
        <v>1152</v>
      </c>
      <c r="AF775" s="1"/>
      <c r="AG775" s="1"/>
      <c r="AH775" s="1" t="s">
        <v>1152</v>
      </c>
      <c r="AI775" s="1"/>
      <c r="AJ775" s="1"/>
      <c r="AK775" s="1"/>
      <c r="AL775" s="6" t="str">
        <f t="array" ref="AL775">IFERROR(IFS(XLOOKUP(B775, 'Kit Delivery Status'!$U:$U, 'Kit Delivery Status'!$K:$K) = "Complete", "DELIVERED", XLOOKUP(B775, 'Kit Delivery Status'!$U:$U, 'Kit Delivery Status'!$K:$K) = "Issue", "ISSUE"), "")</f>
        <v/>
      </c>
      <c r="AM775" s="6"/>
    </row>
    <row r="776">
      <c r="A776" s="5" t="s">
        <v>4122</v>
      </c>
      <c r="B776" s="1" t="s">
        <v>4123</v>
      </c>
      <c r="C776" s="1"/>
      <c r="D776" s="2">
        <v>1.6265506233E10</v>
      </c>
      <c r="E776" s="1" t="s">
        <v>4124</v>
      </c>
      <c r="F776" s="1"/>
      <c r="G776" s="1" t="s">
        <v>3119</v>
      </c>
      <c r="H776" s="1" t="s">
        <v>989</v>
      </c>
      <c r="I776" s="1">
        <v>91106.0</v>
      </c>
      <c r="J776" s="1" t="s">
        <v>752</v>
      </c>
      <c r="K776" s="1" t="s">
        <v>95</v>
      </c>
      <c r="L776" s="1" t="s">
        <v>3327</v>
      </c>
      <c r="M776" s="1">
        <v>49.0</v>
      </c>
      <c r="N776" s="1" t="s">
        <v>2461</v>
      </c>
      <c r="O776" s="3" t="s">
        <v>4125</v>
      </c>
      <c r="P776" s="18">
        <v>45883.0</v>
      </c>
      <c r="Q776" s="1" t="s">
        <v>2463</v>
      </c>
      <c r="R776" s="1"/>
      <c r="S776" s="1" t="s">
        <v>2461</v>
      </c>
      <c r="T776" s="1" t="s">
        <v>2461</v>
      </c>
      <c r="U776" s="1" t="s">
        <v>1167</v>
      </c>
      <c r="V776" s="4" t="s">
        <v>4125</v>
      </c>
      <c r="W776" s="1"/>
      <c r="X776" s="18">
        <v>45883.0</v>
      </c>
      <c r="Y776" s="1" t="s">
        <v>1030</v>
      </c>
      <c r="Z776" s="1"/>
      <c r="AA776" s="1"/>
      <c r="AB776" s="1" t="s">
        <v>52</v>
      </c>
      <c r="AC776" s="1" t="s">
        <v>4126</v>
      </c>
      <c r="AD776" s="1"/>
      <c r="AE776" s="1" t="s">
        <v>1152</v>
      </c>
      <c r="AF776" s="1"/>
      <c r="AG776" s="1"/>
      <c r="AH776" s="1" t="s">
        <v>1152</v>
      </c>
      <c r="AI776" s="1"/>
      <c r="AJ776" s="1"/>
      <c r="AK776" s="1"/>
      <c r="AL776" s="6" t="str">
        <f t="array" ref="AL776">IFERROR(IFS(XLOOKUP(B776, 'Kit Delivery Status'!$U:$U, 'Kit Delivery Status'!$K:$K) = "Complete", "DELIVERED", XLOOKUP(B776, 'Kit Delivery Status'!$U:$U, 'Kit Delivery Status'!$K:$K) = "Issue", "ISSUE"), "")</f>
        <v/>
      </c>
      <c r="AM776" s="6"/>
    </row>
    <row r="777">
      <c r="A777" s="5" t="s">
        <v>4127</v>
      </c>
      <c r="B777" s="1" t="s">
        <v>4128</v>
      </c>
      <c r="C777" s="1" t="s">
        <v>4129</v>
      </c>
      <c r="D777" s="2">
        <v>8.02734999E9</v>
      </c>
      <c r="E777" s="1" t="s">
        <v>4130</v>
      </c>
      <c r="F777" s="1"/>
      <c r="G777" s="1" t="s">
        <v>4131</v>
      </c>
      <c r="H777" s="1" t="s">
        <v>3153</v>
      </c>
      <c r="I777" s="1">
        <v>5403.0</v>
      </c>
      <c r="J777" s="1" t="s">
        <v>752</v>
      </c>
      <c r="K777" s="1" t="s">
        <v>95</v>
      </c>
      <c r="L777" s="1" t="s">
        <v>3327</v>
      </c>
      <c r="M777" s="1">
        <v>49.0</v>
      </c>
      <c r="N777" s="1" t="s">
        <v>2461</v>
      </c>
      <c r="O777" s="3" t="s">
        <v>2309</v>
      </c>
      <c r="P777" s="18">
        <v>45883.0</v>
      </c>
      <c r="Q777" s="1" t="s">
        <v>2463</v>
      </c>
      <c r="R777" s="1"/>
      <c r="S777" s="1" t="s">
        <v>2461</v>
      </c>
      <c r="T777" s="1" t="s">
        <v>2461</v>
      </c>
      <c r="U777" s="1" t="s">
        <v>956</v>
      </c>
      <c r="V777" s="4" t="s">
        <v>2309</v>
      </c>
      <c r="W777" s="1"/>
      <c r="X777" s="18">
        <v>45883.0</v>
      </c>
      <c r="Y777" s="1" t="s">
        <v>1030</v>
      </c>
      <c r="Z777" s="1"/>
      <c r="AA777" s="1"/>
      <c r="AB777" s="1" t="s">
        <v>52</v>
      </c>
      <c r="AC777" s="1" t="s">
        <v>4132</v>
      </c>
      <c r="AD777" s="1"/>
      <c r="AE777" s="1" t="s">
        <v>1152</v>
      </c>
      <c r="AF777" s="1"/>
      <c r="AG777" s="1"/>
      <c r="AH777" s="1" t="s">
        <v>1152</v>
      </c>
      <c r="AI777" s="1"/>
      <c r="AJ777" s="1"/>
      <c r="AK777" s="1"/>
      <c r="AL777" s="6" t="str">
        <f t="array" ref="AL777">IFERROR(IFS(XLOOKUP(B777, 'Kit Delivery Status'!$U:$U, 'Kit Delivery Status'!$K:$K) = "Complete", "DELIVERED", XLOOKUP(B777, 'Kit Delivery Status'!$U:$U, 'Kit Delivery Status'!$K:$K) = "Issue", "ISSUE"), "")</f>
        <v/>
      </c>
      <c r="AM777" s="6"/>
    </row>
    <row r="778">
      <c r="A778" s="5" t="s">
        <v>4133</v>
      </c>
      <c r="B778" s="1" t="s">
        <v>4134</v>
      </c>
      <c r="C778" s="1" t="s">
        <v>4135</v>
      </c>
      <c r="D778" s="2">
        <v>2.532133537E9</v>
      </c>
      <c r="E778" s="1" t="s">
        <v>4136</v>
      </c>
      <c r="F778" s="1"/>
      <c r="G778" s="1" t="s">
        <v>4137</v>
      </c>
      <c r="H778" s="1" t="s">
        <v>980</v>
      </c>
      <c r="I778" s="1">
        <v>98513.0</v>
      </c>
      <c r="J778" s="1" t="s">
        <v>752</v>
      </c>
      <c r="K778" s="1" t="s">
        <v>51</v>
      </c>
      <c r="L778" s="1" t="s">
        <v>3293</v>
      </c>
      <c r="M778" s="1">
        <v>1.0</v>
      </c>
      <c r="N778" s="1" t="s">
        <v>2461</v>
      </c>
      <c r="O778" s="3" t="s">
        <v>4138</v>
      </c>
      <c r="P778" s="18">
        <v>45883.0</v>
      </c>
      <c r="Q778" s="1" t="s">
        <v>3418</v>
      </c>
      <c r="R778" s="1"/>
      <c r="S778" s="1" t="s">
        <v>2461</v>
      </c>
      <c r="T778" s="1" t="s">
        <v>2461</v>
      </c>
      <c r="U778" s="1" t="s">
        <v>1828</v>
      </c>
      <c r="V778" s="4" t="s">
        <v>4138</v>
      </c>
      <c r="W778" s="1"/>
      <c r="X778" s="18">
        <v>45883.0</v>
      </c>
      <c r="Y778" s="1" t="s">
        <v>1103</v>
      </c>
      <c r="Z778" s="1"/>
      <c r="AA778" s="1"/>
      <c r="AB778" s="1" t="s">
        <v>52</v>
      </c>
      <c r="AC778" s="1" t="s">
        <v>1925</v>
      </c>
      <c r="AD778" s="1"/>
      <c r="AE778" s="1" t="s">
        <v>1152</v>
      </c>
      <c r="AF778" s="1"/>
      <c r="AG778" s="1"/>
      <c r="AH778" s="1" t="s">
        <v>1152</v>
      </c>
      <c r="AI778" s="1"/>
      <c r="AJ778" s="1"/>
      <c r="AK778" s="1"/>
      <c r="AL778" s="6" t="str">
        <f t="array" ref="AL778">IFERROR(IFS(XLOOKUP(B778, 'Kit Delivery Status'!$U:$U, 'Kit Delivery Status'!$K:$K) = "Complete", "DELIVERED", XLOOKUP(B778, 'Kit Delivery Status'!$U:$U, 'Kit Delivery Status'!$K:$K) = "Issue", "ISSUE"), "")</f>
        <v/>
      </c>
      <c r="AM778" s="6"/>
    </row>
    <row r="779">
      <c r="A779" s="5" t="s">
        <v>4139</v>
      </c>
      <c r="B779" s="1" t="s">
        <v>4140</v>
      </c>
      <c r="C779" s="1"/>
      <c r="D779" s="2">
        <v>9.723330602E9</v>
      </c>
      <c r="E779" s="1" t="s">
        <v>4141</v>
      </c>
      <c r="F779" s="1"/>
      <c r="G779" s="1" t="s">
        <v>2715</v>
      </c>
      <c r="H779" s="1" t="s">
        <v>1583</v>
      </c>
      <c r="I779" s="1">
        <v>75230.0</v>
      </c>
      <c r="J779" s="1" t="s">
        <v>752</v>
      </c>
      <c r="K779" s="1" t="s">
        <v>51</v>
      </c>
      <c r="L779" s="1" t="s">
        <v>3293</v>
      </c>
      <c r="M779" s="1">
        <v>1.0</v>
      </c>
      <c r="N779" s="1" t="s">
        <v>2461</v>
      </c>
      <c r="O779" s="3" t="s">
        <v>4142</v>
      </c>
      <c r="P779" s="18">
        <v>45891.0</v>
      </c>
      <c r="Q779" s="1" t="s">
        <v>2463</v>
      </c>
      <c r="R779" s="1"/>
      <c r="S779" s="1" t="s">
        <v>2461</v>
      </c>
      <c r="T779" s="1" t="s">
        <v>2461</v>
      </c>
      <c r="U779" s="1" t="s">
        <v>3713</v>
      </c>
      <c r="V779" s="4" t="s">
        <v>4142</v>
      </c>
      <c r="W779" s="1"/>
      <c r="X779" s="18">
        <v>45891.0</v>
      </c>
      <c r="Y779" s="1" t="s">
        <v>1030</v>
      </c>
      <c r="Z779" s="1"/>
      <c r="AA779" s="1"/>
      <c r="AB779" s="1" t="s">
        <v>52</v>
      </c>
      <c r="AC779" s="1" t="s">
        <v>1925</v>
      </c>
      <c r="AD779" s="1"/>
      <c r="AE779" s="1" t="s">
        <v>1152</v>
      </c>
      <c r="AF779" s="1"/>
      <c r="AG779" s="1"/>
      <c r="AH779" s="1" t="s">
        <v>1152</v>
      </c>
      <c r="AI779" s="1"/>
      <c r="AJ779" s="1"/>
      <c r="AK779" s="1"/>
      <c r="AL779" s="6" t="str">
        <f t="array" ref="AL779">IFERROR(IFS(XLOOKUP(B779, 'Kit Delivery Status'!$U:$U, 'Kit Delivery Status'!$K:$K) = "Complete", "DELIVERED", XLOOKUP(B779, 'Kit Delivery Status'!$U:$U, 'Kit Delivery Status'!$K:$K) = "Issue", "ISSUE"), "")</f>
        <v/>
      </c>
      <c r="AM779" s="6"/>
    </row>
    <row r="780">
      <c r="A780" s="5" t="s">
        <v>4143</v>
      </c>
      <c r="B780" s="1" t="s">
        <v>4144</v>
      </c>
      <c r="C780" s="1" t="s">
        <v>4145</v>
      </c>
      <c r="D780" s="2">
        <v>8.057220816E9</v>
      </c>
      <c r="E780" s="1" t="s">
        <v>4146</v>
      </c>
      <c r="F780" s="1"/>
      <c r="G780" s="1" t="s">
        <v>4147</v>
      </c>
      <c r="H780" s="1" t="s">
        <v>989</v>
      </c>
      <c r="I780" s="1">
        <v>93117.0</v>
      </c>
      <c r="J780" s="1" t="s">
        <v>752</v>
      </c>
      <c r="K780" s="1" t="s">
        <v>51</v>
      </c>
      <c r="L780" s="1" t="s">
        <v>3293</v>
      </c>
      <c r="M780" s="1">
        <v>1.0</v>
      </c>
      <c r="N780" s="1" t="s">
        <v>2461</v>
      </c>
      <c r="O780" s="3" t="s">
        <v>4148</v>
      </c>
      <c r="P780" s="18">
        <v>45888.0</v>
      </c>
      <c r="Q780" s="1" t="s">
        <v>2463</v>
      </c>
      <c r="R780" s="1"/>
      <c r="S780" s="1" t="s">
        <v>2461</v>
      </c>
      <c r="T780" s="1" t="s">
        <v>2461</v>
      </c>
      <c r="U780" s="1" t="s">
        <v>4149</v>
      </c>
      <c r="V780" s="4" t="s">
        <v>4148</v>
      </c>
      <c r="W780" s="1"/>
      <c r="X780" s="18">
        <v>45888.0</v>
      </c>
      <c r="Y780" s="1" t="s">
        <v>1030</v>
      </c>
      <c r="Z780" s="1"/>
      <c r="AA780" s="1"/>
      <c r="AB780" s="1" t="s">
        <v>52</v>
      </c>
      <c r="AC780" s="1" t="s">
        <v>1925</v>
      </c>
      <c r="AD780" s="1"/>
      <c r="AE780" s="1" t="s">
        <v>1152</v>
      </c>
      <c r="AF780" s="1"/>
      <c r="AG780" s="1"/>
      <c r="AH780" s="1" t="s">
        <v>1152</v>
      </c>
      <c r="AI780" s="1"/>
      <c r="AJ780" s="1"/>
      <c r="AK780" s="1"/>
      <c r="AL780" s="6" t="str">
        <f t="array" ref="AL780">IFERROR(IFS(XLOOKUP(B780, 'Kit Delivery Status'!$U:$U, 'Kit Delivery Status'!$K:$K) = "Complete", "DELIVERED", XLOOKUP(B780, 'Kit Delivery Status'!$U:$U, 'Kit Delivery Status'!$K:$K) = "Issue", "ISSUE"), "")</f>
        <v/>
      </c>
      <c r="AM780" s="6"/>
    </row>
    <row r="781">
      <c r="A781" s="5" t="s">
        <v>4150</v>
      </c>
      <c r="B781" s="1" t="s">
        <v>4151</v>
      </c>
      <c r="C781" s="1" t="s">
        <v>4152</v>
      </c>
      <c r="D781" s="2">
        <v>5.086546802E9</v>
      </c>
      <c r="E781" s="1" t="s">
        <v>4153</v>
      </c>
      <c r="F781" s="1"/>
      <c r="G781" s="1" t="s">
        <v>4154</v>
      </c>
      <c r="H781" s="1" t="s">
        <v>1121</v>
      </c>
      <c r="I781" s="1">
        <v>1778.0</v>
      </c>
      <c r="J781" s="1" t="s">
        <v>752</v>
      </c>
      <c r="K781" s="1" t="s">
        <v>51</v>
      </c>
      <c r="L781" s="1" t="s">
        <v>3293</v>
      </c>
      <c r="M781" s="1">
        <v>1.0</v>
      </c>
      <c r="N781" s="1" t="s">
        <v>2461</v>
      </c>
      <c r="O781" s="3" t="s">
        <v>2462</v>
      </c>
      <c r="P781" s="18">
        <v>45889.0</v>
      </c>
      <c r="Q781" s="1" t="s">
        <v>2463</v>
      </c>
      <c r="R781" s="1"/>
      <c r="S781" s="1" t="s">
        <v>2461</v>
      </c>
      <c r="T781" s="1" t="s">
        <v>2461</v>
      </c>
      <c r="U781" s="1" t="s">
        <v>1794</v>
      </c>
      <c r="V781" s="4" t="s">
        <v>2462</v>
      </c>
      <c r="W781" s="1"/>
      <c r="X781" s="18">
        <v>45889.0</v>
      </c>
      <c r="Y781" s="1" t="s">
        <v>1030</v>
      </c>
      <c r="Z781" s="1"/>
      <c r="AA781" s="1"/>
      <c r="AB781" s="1" t="s">
        <v>52</v>
      </c>
      <c r="AC781" s="1" t="s">
        <v>1925</v>
      </c>
      <c r="AD781" s="1"/>
      <c r="AE781" s="1" t="s">
        <v>1152</v>
      </c>
      <c r="AF781" s="1"/>
      <c r="AG781" s="1"/>
      <c r="AH781" s="1" t="s">
        <v>1152</v>
      </c>
      <c r="AI781" s="1"/>
      <c r="AJ781" s="1"/>
      <c r="AK781" s="1"/>
      <c r="AL781" s="6" t="str">
        <f t="array" ref="AL781">IFERROR(IFS(XLOOKUP(B781, 'Kit Delivery Status'!$U:$U, 'Kit Delivery Status'!$K:$K) = "Complete", "DELIVERED", XLOOKUP(B781, 'Kit Delivery Status'!$U:$U, 'Kit Delivery Status'!$K:$K) = "Issue", "ISSUE"), "")</f>
        <v/>
      </c>
      <c r="AM781" s="6"/>
    </row>
    <row r="782">
      <c r="A782" s="5" t="s">
        <v>4155</v>
      </c>
      <c r="B782" s="1" t="s">
        <v>4156</v>
      </c>
      <c r="C782" s="1" t="s">
        <v>4157</v>
      </c>
      <c r="D782" s="2">
        <v>2.022765494E9</v>
      </c>
      <c r="E782" s="1" t="s">
        <v>4158</v>
      </c>
      <c r="F782" s="1"/>
      <c r="G782" s="1" t="s">
        <v>980</v>
      </c>
      <c r="H782" s="1" t="s">
        <v>1063</v>
      </c>
      <c r="I782" s="1">
        <v>20007.0</v>
      </c>
      <c r="J782" s="1" t="s">
        <v>752</v>
      </c>
      <c r="K782" s="1" t="s">
        <v>51</v>
      </c>
      <c r="L782" s="1" t="s">
        <v>3293</v>
      </c>
      <c r="M782" s="1">
        <v>1.0</v>
      </c>
      <c r="N782" s="1" t="s">
        <v>2461</v>
      </c>
      <c r="O782" s="3" t="s">
        <v>4159</v>
      </c>
      <c r="P782" s="18">
        <v>45890.0</v>
      </c>
      <c r="Q782" s="1" t="s">
        <v>2463</v>
      </c>
      <c r="R782" s="1"/>
      <c r="S782" s="1" t="s">
        <v>2461</v>
      </c>
      <c r="T782" s="1" t="s">
        <v>2461</v>
      </c>
      <c r="U782" s="1" t="s">
        <v>1456</v>
      </c>
      <c r="V782" s="4" t="s">
        <v>4159</v>
      </c>
      <c r="W782" s="1"/>
      <c r="X782" s="18">
        <v>45890.0</v>
      </c>
      <c r="Y782" s="1" t="s">
        <v>1030</v>
      </c>
      <c r="Z782" s="1"/>
      <c r="AA782" s="1"/>
      <c r="AB782" s="1" t="s">
        <v>52</v>
      </c>
      <c r="AC782" s="1" t="s">
        <v>1925</v>
      </c>
      <c r="AD782" s="1"/>
      <c r="AE782" s="1" t="s">
        <v>1152</v>
      </c>
      <c r="AF782" s="1"/>
      <c r="AG782" s="1"/>
      <c r="AH782" s="1" t="s">
        <v>1152</v>
      </c>
      <c r="AI782" s="1"/>
      <c r="AJ782" s="1"/>
      <c r="AK782" s="1"/>
      <c r="AL782" s="6" t="str">
        <f t="array" ref="AL782">IFERROR(IFS(XLOOKUP(B782, 'Kit Delivery Status'!$U:$U, 'Kit Delivery Status'!$K:$K) = "Complete", "DELIVERED", XLOOKUP(B782, 'Kit Delivery Status'!$U:$U, 'Kit Delivery Status'!$K:$K) = "Issue", "ISSUE"), "")</f>
        <v/>
      </c>
      <c r="AM782" s="6"/>
    </row>
    <row r="783">
      <c r="A783" s="5" t="s">
        <v>4160</v>
      </c>
      <c r="B783" s="1" t="s">
        <v>4161</v>
      </c>
      <c r="C783" s="1"/>
      <c r="D783" s="2">
        <v>7.853935935E9</v>
      </c>
      <c r="E783" s="1" t="s">
        <v>4162</v>
      </c>
      <c r="F783" s="1"/>
      <c r="G783" s="1" t="s">
        <v>4163</v>
      </c>
      <c r="H783" s="1" t="s">
        <v>3776</v>
      </c>
      <c r="I783" s="1">
        <v>66046.0</v>
      </c>
      <c r="J783" s="1" t="s">
        <v>752</v>
      </c>
      <c r="K783" s="1" t="s">
        <v>66</v>
      </c>
      <c r="L783" s="1" t="s">
        <v>3321</v>
      </c>
      <c r="M783" s="1">
        <v>210.0</v>
      </c>
      <c r="N783" s="1" t="s">
        <v>1152</v>
      </c>
      <c r="O783" s="3" t="s">
        <v>4164</v>
      </c>
      <c r="P783" s="18">
        <v>45883.0</v>
      </c>
      <c r="Q783" s="1" t="s">
        <v>1152</v>
      </c>
      <c r="R783" s="1"/>
      <c r="S783" s="1" t="s">
        <v>1152</v>
      </c>
      <c r="T783" s="1" t="s">
        <v>1152</v>
      </c>
      <c r="U783" s="1" t="s">
        <v>956</v>
      </c>
      <c r="V783" s="4" t="s">
        <v>4164</v>
      </c>
      <c r="W783" s="1"/>
      <c r="X783" s="18">
        <v>45883.0</v>
      </c>
      <c r="Y783" s="1"/>
      <c r="Z783" s="1"/>
      <c r="AA783" s="1"/>
      <c r="AB783" s="1"/>
      <c r="AC783" s="1" t="s">
        <v>1925</v>
      </c>
      <c r="AD783" s="1"/>
      <c r="AE783" s="1" t="s">
        <v>1152</v>
      </c>
      <c r="AF783" s="1"/>
      <c r="AG783" s="1"/>
      <c r="AH783" s="1" t="s">
        <v>1152</v>
      </c>
      <c r="AI783" s="1"/>
      <c r="AJ783" s="1"/>
      <c r="AK783" s="1"/>
      <c r="AL783" s="6" t="str">
        <f t="array" ref="AL783">IFERROR(IFS(XLOOKUP(B783, 'Kit Delivery Status'!$U:$U, 'Kit Delivery Status'!$K:$K) = "Complete", "DELIVERED", XLOOKUP(B783, 'Kit Delivery Status'!$U:$U, 'Kit Delivery Status'!$K:$K) = "Issue", "ISSUE"), "")</f>
        <v/>
      </c>
      <c r="AM783" s="6"/>
    </row>
    <row r="784">
      <c r="A784" s="5" t="s">
        <v>4165</v>
      </c>
      <c r="B784" s="1" t="s">
        <v>4166</v>
      </c>
      <c r="C784" s="1" t="s">
        <v>4167</v>
      </c>
      <c r="D784" s="2"/>
      <c r="E784" s="1" t="s">
        <v>4168</v>
      </c>
      <c r="F784" s="1"/>
      <c r="G784" s="1" t="s">
        <v>2350</v>
      </c>
      <c r="H784" s="1" t="s">
        <v>1155</v>
      </c>
      <c r="I784" s="1">
        <v>63105.0</v>
      </c>
      <c r="J784" s="1" t="s">
        <v>752</v>
      </c>
      <c r="K784" s="1" t="s">
        <v>51</v>
      </c>
      <c r="L784" s="1" t="s">
        <v>3293</v>
      </c>
      <c r="M784" s="1">
        <v>1.0</v>
      </c>
      <c r="N784" s="1" t="s">
        <v>2461</v>
      </c>
      <c r="O784" s="3" t="s">
        <v>4169</v>
      </c>
      <c r="P784" s="18">
        <v>45890.0</v>
      </c>
      <c r="Q784" s="1" t="s">
        <v>2463</v>
      </c>
      <c r="R784" s="1"/>
      <c r="S784" s="1" t="s">
        <v>2461</v>
      </c>
      <c r="T784" s="1" t="s">
        <v>2461</v>
      </c>
      <c r="U784" s="1" t="s">
        <v>1407</v>
      </c>
      <c r="V784" s="4" t="s">
        <v>4169</v>
      </c>
      <c r="W784" s="1"/>
      <c r="X784" s="18">
        <v>45890.0</v>
      </c>
      <c r="Y784" s="1" t="s">
        <v>1030</v>
      </c>
      <c r="Z784" s="1"/>
      <c r="AA784" s="1"/>
      <c r="AB784" s="1" t="s">
        <v>52</v>
      </c>
      <c r="AC784" s="1" t="s">
        <v>1925</v>
      </c>
      <c r="AD784" s="1"/>
      <c r="AE784" s="1" t="s">
        <v>1152</v>
      </c>
      <c r="AF784" s="1"/>
      <c r="AG784" s="1"/>
      <c r="AH784" s="1" t="s">
        <v>1152</v>
      </c>
      <c r="AI784" s="1"/>
      <c r="AJ784" s="1"/>
      <c r="AK784" s="1"/>
      <c r="AL784" s="6" t="str">
        <f t="array" ref="AL784">IFERROR(IFS(XLOOKUP(B784, 'Kit Delivery Status'!$U:$U, 'Kit Delivery Status'!$K:$K) = "Complete", "DELIVERED", XLOOKUP(B784, 'Kit Delivery Status'!$U:$U, 'Kit Delivery Status'!$K:$K) = "Issue", "ISSUE"), "")</f>
        <v/>
      </c>
      <c r="AM784" s="6"/>
    </row>
    <row r="785">
      <c r="A785" s="5" t="s">
        <v>4170</v>
      </c>
      <c r="B785" s="1" t="s">
        <v>4171</v>
      </c>
      <c r="C785" s="1" t="s">
        <v>4172</v>
      </c>
      <c r="D785" s="2">
        <v>1.3146857851E10</v>
      </c>
      <c r="E785" s="1" t="s">
        <v>663</v>
      </c>
      <c r="F785" s="1"/>
      <c r="G785" s="1" t="s">
        <v>2350</v>
      </c>
      <c r="H785" s="1" t="s">
        <v>1155</v>
      </c>
      <c r="I785" s="1">
        <v>63105.0</v>
      </c>
      <c r="J785" s="1" t="s">
        <v>752</v>
      </c>
      <c r="K785" s="1" t="s">
        <v>51</v>
      </c>
      <c r="L785" s="1" t="s">
        <v>3293</v>
      </c>
      <c r="M785" s="1">
        <v>1.0</v>
      </c>
      <c r="N785" s="1" t="s">
        <v>2461</v>
      </c>
      <c r="O785" s="3" t="s">
        <v>4173</v>
      </c>
      <c r="P785" s="18">
        <v>45890.0</v>
      </c>
      <c r="Q785" s="1" t="s">
        <v>2463</v>
      </c>
      <c r="R785" s="1"/>
      <c r="S785" s="1" t="s">
        <v>2461</v>
      </c>
      <c r="T785" s="1" t="s">
        <v>2461</v>
      </c>
      <c r="U785" s="1" t="s">
        <v>1407</v>
      </c>
      <c r="V785" s="4" t="s">
        <v>4173</v>
      </c>
      <c r="W785" s="1"/>
      <c r="X785" s="18">
        <v>45890.0</v>
      </c>
      <c r="Y785" s="1" t="s">
        <v>1030</v>
      </c>
      <c r="Z785" s="1"/>
      <c r="AA785" s="1"/>
      <c r="AB785" s="1" t="s">
        <v>52</v>
      </c>
      <c r="AC785" s="1" t="s">
        <v>1925</v>
      </c>
      <c r="AD785" s="1"/>
      <c r="AE785" s="1" t="s">
        <v>1152</v>
      </c>
      <c r="AF785" s="1"/>
      <c r="AG785" s="1"/>
      <c r="AH785" s="1" t="s">
        <v>1152</v>
      </c>
      <c r="AI785" s="1"/>
      <c r="AJ785" s="1"/>
      <c r="AK785" s="1"/>
      <c r="AL785" s="6" t="str">
        <f t="array" ref="AL785">IFERROR(IFS(XLOOKUP(B785, 'Kit Delivery Status'!$U:$U, 'Kit Delivery Status'!$K:$K) = "Complete", "DELIVERED", XLOOKUP(B785, 'Kit Delivery Status'!$U:$U, 'Kit Delivery Status'!$K:$K) = "Issue", "ISSUE"), "")</f>
        <v/>
      </c>
      <c r="AM785" s="6"/>
    </row>
    <row r="786">
      <c r="A786" s="5" t="s">
        <v>4174</v>
      </c>
      <c r="B786" s="1" t="s">
        <v>4175</v>
      </c>
      <c r="C786" s="1" t="s">
        <v>4176</v>
      </c>
      <c r="D786" s="2">
        <v>4.042710909E9</v>
      </c>
      <c r="E786" s="1" t="s">
        <v>4177</v>
      </c>
      <c r="F786" s="1"/>
      <c r="G786" s="1" t="s">
        <v>2179</v>
      </c>
      <c r="H786" s="1" t="s">
        <v>946</v>
      </c>
      <c r="I786" s="1">
        <v>30327.0</v>
      </c>
      <c r="J786" s="1" t="s">
        <v>752</v>
      </c>
      <c r="K786" s="1" t="s">
        <v>66</v>
      </c>
      <c r="L786" s="1" t="s">
        <v>3350</v>
      </c>
      <c r="M786" s="1">
        <v>145.0</v>
      </c>
      <c r="N786" s="1" t="s">
        <v>1152</v>
      </c>
      <c r="O786" s="3" t="s">
        <v>4178</v>
      </c>
      <c r="P786" s="18">
        <v>45883.0</v>
      </c>
      <c r="Q786" s="1" t="s">
        <v>1152</v>
      </c>
      <c r="R786" s="1"/>
      <c r="S786" s="1" t="s">
        <v>1152</v>
      </c>
      <c r="T786" s="1" t="s">
        <v>1152</v>
      </c>
      <c r="U786" s="1" t="s">
        <v>1812</v>
      </c>
      <c r="V786" s="4" t="s">
        <v>4178</v>
      </c>
      <c r="W786" s="1"/>
      <c r="X786" s="18">
        <v>45883.0</v>
      </c>
      <c r="Y786" s="1"/>
      <c r="Z786" s="1"/>
      <c r="AA786" s="1"/>
      <c r="AB786" s="1"/>
      <c r="AC786" s="1" t="s">
        <v>1925</v>
      </c>
      <c r="AD786" s="1"/>
      <c r="AE786" s="1" t="s">
        <v>1152</v>
      </c>
      <c r="AF786" s="1"/>
      <c r="AG786" s="1"/>
      <c r="AH786" s="1" t="s">
        <v>1152</v>
      </c>
      <c r="AI786" s="1"/>
      <c r="AJ786" s="1"/>
      <c r="AK786" s="1"/>
      <c r="AL786" s="6" t="str">
        <f t="array" ref="AL786">IFERROR(IFS(XLOOKUP(B786, 'Kit Delivery Status'!$U:$U, 'Kit Delivery Status'!$K:$K) = "Complete", "DELIVERED", XLOOKUP(B786, 'Kit Delivery Status'!$U:$U, 'Kit Delivery Status'!$K:$K) = "Issue", "ISSUE"), "")</f>
        <v/>
      </c>
      <c r="AM786" s="6"/>
    </row>
    <row r="787">
      <c r="A787" s="5" t="s">
        <v>4174</v>
      </c>
      <c r="B787" s="1" t="s">
        <v>4175</v>
      </c>
      <c r="C787" s="1" t="s">
        <v>4176</v>
      </c>
      <c r="D787" s="2">
        <v>4.042710909E9</v>
      </c>
      <c r="E787" s="1" t="s">
        <v>4177</v>
      </c>
      <c r="F787" s="1"/>
      <c r="G787" s="1" t="s">
        <v>2179</v>
      </c>
      <c r="H787" s="1" t="s">
        <v>946</v>
      </c>
      <c r="I787" s="1">
        <v>30327.0</v>
      </c>
      <c r="J787" s="1" t="s">
        <v>752</v>
      </c>
      <c r="K787" s="1" t="s">
        <v>51</v>
      </c>
      <c r="L787" s="1" t="s">
        <v>3293</v>
      </c>
      <c r="M787" s="1">
        <v>1.0</v>
      </c>
      <c r="N787" s="1" t="s">
        <v>2461</v>
      </c>
      <c r="O787" s="3" t="s">
        <v>4179</v>
      </c>
      <c r="P787" s="18">
        <v>45890.0</v>
      </c>
      <c r="Q787" s="1" t="s">
        <v>2463</v>
      </c>
      <c r="R787" s="1"/>
      <c r="S787" s="1" t="s">
        <v>2461</v>
      </c>
      <c r="T787" s="1" t="s">
        <v>2461</v>
      </c>
      <c r="U787" s="1" t="s">
        <v>102</v>
      </c>
      <c r="V787" s="4" t="s">
        <v>4179</v>
      </c>
      <c r="W787" s="1"/>
      <c r="X787" s="18">
        <v>45890.0</v>
      </c>
      <c r="Y787" s="1" t="s">
        <v>1030</v>
      </c>
      <c r="Z787" s="1"/>
      <c r="AA787" s="1"/>
      <c r="AB787" s="1" t="s">
        <v>52</v>
      </c>
      <c r="AC787" s="1" t="s">
        <v>1925</v>
      </c>
      <c r="AD787" s="1"/>
      <c r="AE787" s="1" t="s">
        <v>1152</v>
      </c>
      <c r="AF787" s="1"/>
      <c r="AG787" s="1"/>
      <c r="AH787" s="1" t="s">
        <v>1152</v>
      </c>
      <c r="AI787" s="1"/>
      <c r="AJ787" s="1"/>
      <c r="AK787" s="1"/>
      <c r="AL787" s="6" t="str">
        <f t="array" ref="AL787">IFERROR(IFS(XLOOKUP(B787, 'Kit Delivery Status'!$U:$U, 'Kit Delivery Status'!$K:$K) = "Complete", "DELIVERED", XLOOKUP(B787, 'Kit Delivery Status'!$U:$U, 'Kit Delivery Status'!$K:$K) = "Issue", "ISSUE"), "")</f>
        <v/>
      </c>
      <c r="AM787" s="6"/>
    </row>
    <row r="788">
      <c r="A788" s="5" t="s">
        <v>4180</v>
      </c>
      <c r="B788" s="1" t="s">
        <v>4181</v>
      </c>
      <c r="C788" s="1" t="s">
        <v>4182</v>
      </c>
      <c r="D788" s="2">
        <v>7.039675663E9</v>
      </c>
      <c r="E788" s="1" t="s">
        <v>4183</v>
      </c>
      <c r="F788" s="1"/>
      <c r="G788" s="1" t="s">
        <v>1037</v>
      </c>
      <c r="H788" s="1" t="s">
        <v>1038</v>
      </c>
      <c r="I788" s="1">
        <v>22205.0</v>
      </c>
      <c r="J788" s="1" t="s">
        <v>752</v>
      </c>
      <c r="K788" s="1" t="s">
        <v>66</v>
      </c>
      <c r="L788" s="1" t="s">
        <v>3321</v>
      </c>
      <c r="M788" s="1">
        <v>210.0</v>
      </c>
      <c r="N788" s="1" t="s">
        <v>1152</v>
      </c>
      <c r="O788" s="3" t="s">
        <v>4184</v>
      </c>
      <c r="P788" s="18">
        <v>45883.0</v>
      </c>
      <c r="Q788" s="1" t="s">
        <v>1152</v>
      </c>
      <c r="R788" s="1"/>
      <c r="S788" s="1" t="s">
        <v>1152</v>
      </c>
      <c r="T788" s="1" t="s">
        <v>1152</v>
      </c>
      <c r="U788" s="1" t="s">
        <v>1441</v>
      </c>
      <c r="V788" s="4" t="s">
        <v>4184</v>
      </c>
      <c r="W788" s="1"/>
      <c r="X788" s="18">
        <v>45883.0</v>
      </c>
      <c r="Y788" s="1"/>
      <c r="Z788" s="1"/>
      <c r="AA788" s="1"/>
      <c r="AB788" s="1"/>
      <c r="AC788" s="1" t="s">
        <v>1925</v>
      </c>
      <c r="AD788" s="1"/>
      <c r="AE788" s="1" t="s">
        <v>1152</v>
      </c>
      <c r="AF788" s="1"/>
      <c r="AG788" s="1"/>
      <c r="AH788" s="1" t="s">
        <v>1152</v>
      </c>
      <c r="AI788" s="1"/>
      <c r="AJ788" s="1"/>
      <c r="AK788" s="1"/>
      <c r="AL788" s="6" t="str">
        <f t="array" ref="AL788">IFERROR(IFS(XLOOKUP(B788, 'Kit Delivery Status'!$U:$U, 'Kit Delivery Status'!$K:$K) = "Complete", "DELIVERED", XLOOKUP(B788, 'Kit Delivery Status'!$U:$U, 'Kit Delivery Status'!$K:$K) = "Issue", "ISSUE"), "")</f>
        <v/>
      </c>
      <c r="AM788" s="6"/>
    </row>
    <row r="789">
      <c r="A789" s="5" t="s">
        <v>4185</v>
      </c>
      <c r="B789" s="1" t="s">
        <v>4186</v>
      </c>
      <c r="C789" s="1" t="s">
        <v>4187</v>
      </c>
      <c r="D789" s="2">
        <v>7.035773662E9</v>
      </c>
      <c r="E789" s="1" t="s">
        <v>4188</v>
      </c>
      <c r="F789" s="1"/>
      <c r="G789" s="1" t="s">
        <v>4189</v>
      </c>
      <c r="H789" s="1" t="s">
        <v>1038</v>
      </c>
      <c r="I789" s="1">
        <v>22180.0</v>
      </c>
      <c r="J789" s="1" t="s">
        <v>752</v>
      </c>
      <c r="K789" s="1" t="s">
        <v>51</v>
      </c>
      <c r="L789" s="1" t="s">
        <v>3293</v>
      </c>
      <c r="M789" s="1">
        <v>1.0</v>
      </c>
      <c r="N789" s="1" t="s">
        <v>2461</v>
      </c>
      <c r="O789" s="3" t="s">
        <v>4190</v>
      </c>
      <c r="P789" s="18">
        <v>45890.0</v>
      </c>
      <c r="Q789" s="1" t="s">
        <v>2463</v>
      </c>
      <c r="R789" s="1"/>
      <c r="S789" s="1" t="s">
        <v>2461</v>
      </c>
      <c r="T789" s="1" t="s">
        <v>2461</v>
      </c>
      <c r="U789" s="1" t="s">
        <v>1441</v>
      </c>
      <c r="V789" s="4" t="s">
        <v>4190</v>
      </c>
      <c r="W789" s="1"/>
      <c r="X789" s="18">
        <v>45890.0</v>
      </c>
      <c r="Y789" s="1" t="s">
        <v>1030</v>
      </c>
      <c r="Z789" s="1"/>
      <c r="AA789" s="1"/>
      <c r="AB789" s="1" t="s">
        <v>52</v>
      </c>
      <c r="AC789" s="1" t="s">
        <v>1925</v>
      </c>
      <c r="AD789" s="1"/>
      <c r="AE789" s="1" t="s">
        <v>1152</v>
      </c>
      <c r="AF789" s="1"/>
      <c r="AG789" s="1"/>
      <c r="AH789" s="1" t="s">
        <v>1152</v>
      </c>
      <c r="AI789" s="1"/>
      <c r="AJ789" s="1"/>
      <c r="AK789" s="1"/>
      <c r="AL789" s="6" t="str">
        <f t="array" ref="AL789">IFERROR(IFS(XLOOKUP(B789, 'Kit Delivery Status'!$U:$U, 'Kit Delivery Status'!$K:$K) = "Complete", "DELIVERED", XLOOKUP(B789, 'Kit Delivery Status'!$U:$U, 'Kit Delivery Status'!$K:$K) = "Issue", "ISSUE"), "")</f>
        <v/>
      </c>
      <c r="AM789" s="6"/>
    </row>
    <row r="790">
      <c r="A790" s="5" t="s">
        <v>4191</v>
      </c>
      <c r="B790" s="1" t="s">
        <v>4192</v>
      </c>
      <c r="C790" s="1" t="s">
        <v>4193</v>
      </c>
      <c r="D790" s="2">
        <v>3.102661941E9</v>
      </c>
      <c r="E790" s="1" t="s">
        <v>4194</v>
      </c>
      <c r="F790" s="1"/>
      <c r="G790" s="1" t="s">
        <v>4195</v>
      </c>
      <c r="H790" s="1" t="s">
        <v>4196</v>
      </c>
      <c r="I790" s="1">
        <v>50325.0</v>
      </c>
      <c r="J790" s="1" t="s">
        <v>752</v>
      </c>
      <c r="K790" s="1" t="s">
        <v>66</v>
      </c>
      <c r="L790" s="1" t="s">
        <v>3321</v>
      </c>
      <c r="M790" s="1">
        <v>210.0</v>
      </c>
      <c r="N790" s="1" t="s">
        <v>1152</v>
      </c>
      <c r="O790" s="3" t="s">
        <v>1312</v>
      </c>
      <c r="P790" s="18">
        <v>45883.0</v>
      </c>
      <c r="Q790" s="1" t="s">
        <v>1152</v>
      </c>
      <c r="R790" s="1"/>
      <c r="S790" s="1" t="s">
        <v>1152</v>
      </c>
      <c r="T790" s="1" t="s">
        <v>1152</v>
      </c>
      <c r="U790" s="1" t="s">
        <v>1376</v>
      </c>
      <c r="V790" s="4" t="s">
        <v>1312</v>
      </c>
      <c r="W790" s="1"/>
      <c r="X790" s="18">
        <v>45883.0</v>
      </c>
      <c r="Y790" s="1"/>
      <c r="Z790" s="1"/>
      <c r="AA790" s="1"/>
      <c r="AB790" s="1"/>
      <c r="AC790" s="1" t="s">
        <v>1925</v>
      </c>
      <c r="AD790" s="1"/>
      <c r="AE790" s="1" t="s">
        <v>1152</v>
      </c>
      <c r="AF790" s="1"/>
      <c r="AG790" s="1"/>
      <c r="AH790" s="1" t="s">
        <v>1152</v>
      </c>
      <c r="AI790" s="1"/>
      <c r="AJ790" s="1"/>
      <c r="AK790" s="1"/>
      <c r="AL790" s="6" t="str">
        <f t="array" ref="AL790">IFERROR(IFS(XLOOKUP(B790, 'Kit Delivery Status'!$U:$U, 'Kit Delivery Status'!$K:$K) = "Complete", "DELIVERED", XLOOKUP(B790, 'Kit Delivery Status'!$U:$U, 'Kit Delivery Status'!$K:$K) = "Issue", "ISSUE"), "")</f>
        <v/>
      </c>
      <c r="AM790" s="6"/>
    </row>
    <row r="791">
      <c r="A791" s="5" t="s">
        <v>4197</v>
      </c>
      <c r="B791" s="1" t="s">
        <v>4198</v>
      </c>
      <c r="C791" s="1" t="s">
        <v>4199</v>
      </c>
      <c r="D791" s="2">
        <v>1.303921278E10</v>
      </c>
      <c r="E791" s="1" t="s">
        <v>4200</v>
      </c>
      <c r="F791" s="1"/>
      <c r="G791" s="1" t="s">
        <v>1528</v>
      </c>
      <c r="H791" s="1" t="s">
        <v>1891</v>
      </c>
      <c r="I791" s="1">
        <v>80111.0</v>
      </c>
      <c r="J791" s="1" t="s">
        <v>752</v>
      </c>
      <c r="K791" s="1" t="s">
        <v>95</v>
      </c>
      <c r="L791" s="1" t="s">
        <v>3327</v>
      </c>
      <c r="M791" s="1">
        <v>49.0</v>
      </c>
      <c r="N791" s="1" t="s">
        <v>2461</v>
      </c>
      <c r="O791" s="3" t="s">
        <v>103</v>
      </c>
      <c r="P791" s="18">
        <v>45883.0</v>
      </c>
      <c r="Q791" s="1" t="s">
        <v>2463</v>
      </c>
      <c r="R791" s="1"/>
      <c r="S791" s="1" t="s">
        <v>2461</v>
      </c>
      <c r="T791" s="1" t="s">
        <v>2461</v>
      </c>
      <c r="U791" s="1" t="s">
        <v>102</v>
      </c>
      <c r="V791" s="4" t="s">
        <v>103</v>
      </c>
      <c r="W791" s="1"/>
      <c r="X791" s="18">
        <v>45883.0</v>
      </c>
      <c r="Y791" s="1" t="s">
        <v>1030</v>
      </c>
      <c r="Z791" s="1"/>
      <c r="AA791" s="1"/>
      <c r="AB791" s="1" t="s">
        <v>52</v>
      </c>
      <c r="AC791" s="1" t="s">
        <v>4201</v>
      </c>
      <c r="AD791" s="1"/>
      <c r="AE791" s="1" t="s">
        <v>1152</v>
      </c>
      <c r="AF791" s="1"/>
      <c r="AG791" s="1"/>
      <c r="AH791" s="1" t="s">
        <v>1152</v>
      </c>
      <c r="AI791" s="1"/>
      <c r="AJ791" s="1"/>
      <c r="AK791" s="1"/>
      <c r="AL791" s="6" t="str">
        <f t="array" ref="AL791">IFERROR(IFS(XLOOKUP(B791, 'Kit Delivery Status'!$U:$U, 'Kit Delivery Status'!$K:$K) = "Complete", "DELIVERED", XLOOKUP(B791, 'Kit Delivery Status'!$U:$U, 'Kit Delivery Status'!$K:$K) = "Issue", "ISSUE"), "")</f>
        <v/>
      </c>
      <c r="AM791" s="6"/>
    </row>
    <row r="792">
      <c r="A792" s="5" t="s">
        <v>4202</v>
      </c>
      <c r="B792" s="1" t="s">
        <v>4203</v>
      </c>
      <c r="C792" s="1" t="s">
        <v>4204</v>
      </c>
      <c r="D792" s="2">
        <v>2.024899021E9</v>
      </c>
      <c r="E792" s="1" t="s">
        <v>4205</v>
      </c>
      <c r="F792" s="1"/>
      <c r="G792" s="1" t="s">
        <v>4206</v>
      </c>
      <c r="H792" s="1" t="s">
        <v>1053</v>
      </c>
      <c r="I792" s="1">
        <v>8690.0</v>
      </c>
      <c r="J792" s="1" t="s">
        <v>752</v>
      </c>
      <c r="K792" s="1" t="s">
        <v>51</v>
      </c>
      <c r="L792" s="1" t="s">
        <v>3293</v>
      </c>
      <c r="M792" s="1">
        <v>1.0</v>
      </c>
      <c r="N792" s="1" t="s">
        <v>2461</v>
      </c>
      <c r="O792" s="3" t="s">
        <v>4207</v>
      </c>
      <c r="P792" s="18">
        <v>45889.0</v>
      </c>
      <c r="Q792" s="1" t="s">
        <v>2463</v>
      </c>
      <c r="R792" s="1"/>
      <c r="S792" s="1" t="s">
        <v>2461</v>
      </c>
      <c r="T792" s="1" t="s">
        <v>2461</v>
      </c>
      <c r="U792" s="1" t="s">
        <v>948</v>
      </c>
      <c r="V792" s="4" t="s">
        <v>4207</v>
      </c>
      <c r="W792" s="1"/>
      <c r="X792" s="18">
        <v>45889.0</v>
      </c>
      <c r="Y792" s="1" t="s">
        <v>1030</v>
      </c>
      <c r="Z792" s="1"/>
      <c r="AA792" s="1"/>
      <c r="AB792" s="1" t="s">
        <v>52</v>
      </c>
      <c r="AC792" s="1" t="s">
        <v>1925</v>
      </c>
      <c r="AD792" s="1"/>
      <c r="AE792" s="1" t="s">
        <v>1152</v>
      </c>
      <c r="AF792" s="1"/>
      <c r="AG792" s="1"/>
      <c r="AH792" s="1" t="s">
        <v>1152</v>
      </c>
      <c r="AI792" s="1"/>
      <c r="AJ792" s="1"/>
      <c r="AK792" s="1"/>
      <c r="AL792" s="6" t="str">
        <f t="array" ref="AL792">IFERROR(IFS(XLOOKUP(B792, 'Kit Delivery Status'!$U:$U, 'Kit Delivery Status'!$K:$K) = "Complete", "DELIVERED", XLOOKUP(B792, 'Kit Delivery Status'!$U:$U, 'Kit Delivery Status'!$K:$K) = "Issue", "ISSUE"), "")</f>
        <v/>
      </c>
      <c r="AM792" s="6"/>
    </row>
    <row r="793">
      <c r="A793" s="5" t="s">
        <v>4208</v>
      </c>
      <c r="B793" s="1" t="s">
        <v>4209</v>
      </c>
      <c r="C793" s="1" t="s">
        <v>4210</v>
      </c>
      <c r="D793" s="2">
        <v>5.083410848E9</v>
      </c>
      <c r="E793" s="1" t="s">
        <v>4211</v>
      </c>
      <c r="F793" s="1"/>
      <c r="G793" s="1" t="s">
        <v>2625</v>
      </c>
      <c r="H793" s="1" t="s">
        <v>1121</v>
      </c>
      <c r="I793" s="1">
        <v>2492.0</v>
      </c>
      <c r="J793" s="1" t="s">
        <v>752</v>
      </c>
      <c r="K793" s="1" t="s">
        <v>66</v>
      </c>
      <c r="L793" s="1" t="s">
        <v>3350</v>
      </c>
      <c r="M793" s="1">
        <v>145.0</v>
      </c>
      <c r="N793" s="1" t="s">
        <v>1152</v>
      </c>
      <c r="O793" s="3" t="s">
        <v>1362</v>
      </c>
      <c r="P793" s="18">
        <v>45888.0</v>
      </c>
      <c r="Q793" s="1" t="s">
        <v>1152</v>
      </c>
      <c r="R793" s="1"/>
      <c r="S793" s="1" t="s">
        <v>1152</v>
      </c>
      <c r="T793" s="1" t="s">
        <v>1152</v>
      </c>
      <c r="U793" s="1" t="s">
        <v>2236</v>
      </c>
      <c r="V793" s="4" t="s">
        <v>1362</v>
      </c>
      <c r="W793" s="1"/>
      <c r="X793" s="18">
        <v>45888.0</v>
      </c>
      <c r="Y793" s="1"/>
      <c r="Z793" s="1"/>
      <c r="AA793" s="1"/>
      <c r="AB793" s="1"/>
      <c r="AC793" s="1" t="s">
        <v>1925</v>
      </c>
      <c r="AD793" s="1"/>
      <c r="AE793" s="1" t="s">
        <v>1152</v>
      </c>
      <c r="AF793" s="1"/>
      <c r="AG793" s="1"/>
      <c r="AH793" s="1" t="s">
        <v>1152</v>
      </c>
      <c r="AI793" s="1"/>
      <c r="AJ793" s="1"/>
      <c r="AK793" s="1"/>
      <c r="AL793" s="6" t="str">
        <f t="array" ref="AL793">IFERROR(IFS(XLOOKUP(B793, 'Kit Delivery Status'!$U:$U, 'Kit Delivery Status'!$K:$K) = "Complete", "DELIVERED", XLOOKUP(B793, 'Kit Delivery Status'!$U:$U, 'Kit Delivery Status'!$K:$K) = "Issue", "ISSUE"), "")</f>
        <v/>
      </c>
      <c r="AM793" s="6"/>
    </row>
    <row r="794">
      <c r="A794" s="5" t="s">
        <v>4208</v>
      </c>
      <c r="B794" s="1" t="s">
        <v>4209</v>
      </c>
      <c r="C794" s="1" t="s">
        <v>4210</v>
      </c>
      <c r="D794" s="2">
        <v>5.083410848E9</v>
      </c>
      <c r="E794" s="1" t="s">
        <v>4211</v>
      </c>
      <c r="F794" s="1"/>
      <c r="G794" s="1" t="s">
        <v>2625</v>
      </c>
      <c r="H794" s="1" t="s">
        <v>1121</v>
      </c>
      <c r="I794" s="1">
        <v>2492.0</v>
      </c>
      <c r="J794" s="1" t="s">
        <v>752</v>
      </c>
      <c r="K794" s="1" t="s">
        <v>51</v>
      </c>
      <c r="L794" s="1" t="s">
        <v>3293</v>
      </c>
      <c r="M794" s="1">
        <v>1.0</v>
      </c>
      <c r="N794" s="1" t="s">
        <v>2461</v>
      </c>
      <c r="O794" s="3" t="s">
        <v>1362</v>
      </c>
      <c r="P794" s="18">
        <v>45888.0</v>
      </c>
      <c r="Q794" s="1" t="s">
        <v>2463</v>
      </c>
      <c r="R794" s="1"/>
      <c r="S794" s="1" t="s">
        <v>2461</v>
      </c>
      <c r="T794" s="1" t="s">
        <v>2461</v>
      </c>
      <c r="U794" s="1" t="s">
        <v>2236</v>
      </c>
      <c r="V794" s="4" t="s">
        <v>1362</v>
      </c>
      <c r="W794" s="1"/>
      <c r="X794" s="18">
        <v>45888.0</v>
      </c>
      <c r="Y794" s="1" t="s">
        <v>1030</v>
      </c>
      <c r="Z794" s="1"/>
      <c r="AA794" s="1"/>
      <c r="AB794" s="1" t="s">
        <v>52</v>
      </c>
      <c r="AC794" s="1" t="s">
        <v>1925</v>
      </c>
      <c r="AD794" s="1"/>
      <c r="AE794" s="1" t="s">
        <v>1152</v>
      </c>
      <c r="AF794" s="1"/>
      <c r="AG794" s="1"/>
      <c r="AH794" s="1" t="s">
        <v>1152</v>
      </c>
      <c r="AI794" s="1"/>
      <c r="AJ794" s="1"/>
      <c r="AK794" s="1"/>
      <c r="AL794" s="6" t="str">
        <f t="array" ref="AL794">IFERROR(IFS(XLOOKUP(B794, 'Kit Delivery Status'!$U:$U, 'Kit Delivery Status'!$K:$K) = "Complete", "DELIVERED", XLOOKUP(B794, 'Kit Delivery Status'!$U:$U, 'Kit Delivery Status'!$K:$K) = "Issue", "ISSUE"), "")</f>
        <v/>
      </c>
      <c r="AM794" s="6"/>
    </row>
    <row r="795">
      <c r="A795" s="5" t="s">
        <v>4212</v>
      </c>
      <c r="B795" s="1" t="s">
        <v>4213</v>
      </c>
      <c r="C795" s="1" t="s">
        <v>2924</v>
      </c>
      <c r="D795" s="2">
        <v>2.124959692E9</v>
      </c>
      <c r="E795" s="1" t="s">
        <v>4214</v>
      </c>
      <c r="F795" s="1"/>
      <c r="G795" s="1" t="s">
        <v>2109</v>
      </c>
      <c r="H795" s="1" t="s">
        <v>1208</v>
      </c>
      <c r="I795" s="1">
        <v>33133.0</v>
      </c>
      <c r="J795" s="1" t="s">
        <v>752</v>
      </c>
      <c r="K795" s="1" t="s">
        <v>66</v>
      </c>
      <c r="L795" s="1" t="s">
        <v>3350</v>
      </c>
      <c r="M795" s="1">
        <v>145.0</v>
      </c>
      <c r="N795" s="1" t="s">
        <v>1152</v>
      </c>
      <c r="O795" s="3" t="s">
        <v>2927</v>
      </c>
      <c r="P795" s="18">
        <v>45883.0</v>
      </c>
      <c r="Q795" s="1" t="s">
        <v>1152</v>
      </c>
      <c r="R795" s="1"/>
      <c r="S795" s="1" t="s">
        <v>1152</v>
      </c>
      <c r="T795" s="1" t="s">
        <v>1152</v>
      </c>
      <c r="U795" s="1" t="s">
        <v>1167</v>
      </c>
      <c r="V795" s="4" t="s">
        <v>2927</v>
      </c>
      <c r="W795" s="1"/>
      <c r="X795" s="18">
        <v>45883.0</v>
      </c>
      <c r="Y795" s="1"/>
      <c r="Z795" s="1"/>
      <c r="AA795" s="1"/>
      <c r="AB795" s="1"/>
      <c r="AC795" s="1" t="s">
        <v>1925</v>
      </c>
      <c r="AD795" s="1"/>
      <c r="AE795" s="1" t="s">
        <v>1152</v>
      </c>
      <c r="AF795" s="1"/>
      <c r="AG795" s="1"/>
      <c r="AH795" s="1" t="s">
        <v>1152</v>
      </c>
      <c r="AI795" s="1"/>
      <c r="AJ795" s="1"/>
      <c r="AK795" s="1"/>
      <c r="AL795" s="6" t="str">
        <f t="array" ref="AL795">IFERROR(IFS(XLOOKUP(B795, 'Kit Delivery Status'!$U:$U, 'Kit Delivery Status'!$K:$K) = "Complete", "DELIVERED", XLOOKUP(B795, 'Kit Delivery Status'!$U:$U, 'Kit Delivery Status'!$K:$K) = "Issue", "ISSUE"), "")</f>
        <v/>
      </c>
      <c r="AM795" s="6"/>
    </row>
    <row r="796">
      <c r="A796" s="5" t="s">
        <v>4215</v>
      </c>
      <c r="B796" s="1" t="s">
        <v>4216</v>
      </c>
      <c r="C796" s="1" t="s">
        <v>4217</v>
      </c>
      <c r="D796" s="2">
        <v>3.128341503E9</v>
      </c>
      <c r="E796" s="1" t="s">
        <v>4218</v>
      </c>
      <c r="F796" s="1"/>
      <c r="G796" s="1" t="s">
        <v>1072</v>
      </c>
      <c r="H796" s="1" t="s">
        <v>1019</v>
      </c>
      <c r="I796" s="1">
        <v>60618.0</v>
      </c>
      <c r="J796" s="1" t="s">
        <v>752</v>
      </c>
      <c r="K796" s="1" t="s">
        <v>51</v>
      </c>
      <c r="L796" s="1" t="s">
        <v>3293</v>
      </c>
      <c r="M796" s="1">
        <v>1.0</v>
      </c>
      <c r="N796" s="1" t="s">
        <v>2461</v>
      </c>
      <c r="O796" s="3" t="s">
        <v>4219</v>
      </c>
      <c r="P796" s="18">
        <v>45882.0</v>
      </c>
      <c r="Q796" s="1" t="s">
        <v>2463</v>
      </c>
      <c r="R796" s="1"/>
      <c r="S796" s="1" t="s">
        <v>2461</v>
      </c>
      <c r="T796" s="1" t="s">
        <v>2461</v>
      </c>
      <c r="U796" s="1" t="s">
        <v>948</v>
      </c>
      <c r="V796" s="4" t="s">
        <v>4219</v>
      </c>
      <c r="W796" s="1"/>
      <c r="X796" s="18">
        <v>45882.0</v>
      </c>
      <c r="Y796" s="1" t="s">
        <v>1030</v>
      </c>
      <c r="Z796" s="1"/>
      <c r="AA796" s="1"/>
      <c r="AB796" s="1" t="s">
        <v>52</v>
      </c>
      <c r="AC796" s="1" t="s">
        <v>1925</v>
      </c>
      <c r="AD796" s="1"/>
      <c r="AE796" s="1" t="s">
        <v>1152</v>
      </c>
      <c r="AF796" s="1"/>
      <c r="AG796" s="1"/>
      <c r="AH796" s="1" t="s">
        <v>1152</v>
      </c>
      <c r="AI796" s="1"/>
      <c r="AJ796" s="1"/>
      <c r="AK796" s="1"/>
      <c r="AL796" s="6" t="str">
        <f t="array" ref="AL796">IFERROR(IFS(XLOOKUP(B796, 'Kit Delivery Status'!$U:$U, 'Kit Delivery Status'!$K:$K) = "Complete", "DELIVERED", XLOOKUP(B796, 'Kit Delivery Status'!$U:$U, 'Kit Delivery Status'!$K:$K) = "Issue", "ISSUE"), "")</f>
        <v/>
      </c>
      <c r="AM796" s="6"/>
    </row>
    <row r="797">
      <c r="A797" s="5" t="s">
        <v>4220</v>
      </c>
      <c r="B797" s="1" t="s">
        <v>4221</v>
      </c>
      <c r="C797" s="1" t="s">
        <v>4222</v>
      </c>
      <c r="D797" s="2">
        <v>2.019160999E9</v>
      </c>
      <c r="E797" s="1" t="s">
        <v>4223</v>
      </c>
      <c r="F797" s="1"/>
      <c r="G797" s="1" t="s">
        <v>4224</v>
      </c>
      <c r="H797" s="1" t="s">
        <v>1053</v>
      </c>
      <c r="I797" s="1">
        <v>7626.0</v>
      </c>
      <c r="J797" s="1" t="s">
        <v>752</v>
      </c>
      <c r="K797" s="1" t="s">
        <v>51</v>
      </c>
      <c r="L797" s="1" t="s">
        <v>3293</v>
      </c>
      <c r="M797" s="1">
        <v>1.0</v>
      </c>
      <c r="N797" s="1" t="s">
        <v>2461</v>
      </c>
      <c r="O797" s="3" t="s">
        <v>1029</v>
      </c>
      <c r="P797" s="18">
        <v>45889.0</v>
      </c>
      <c r="Q797" s="1" t="s">
        <v>3219</v>
      </c>
      <c r="R797" s="1"/>
      <c r="S797" s="1" t="s">
        <v>2461</v>
      </c>
      <c r="T797" s="1" t="s">
        <v>2461</v>
      </c>
      <c r="U797" s="1" t="s">
        <v>2430</v>
      </c>
      <c r="V797" s="4" t="s">
        <v>1029</v>
      </c>
      <c r="W797" s="1"/>
      <c r="X797" s="18">
        <v>45889.0</v>
      </c>
      <c r="Y797" s="1" t="s">
        <v>1455</v>
      </c>
      <c r="Z797" s="1"/>
      <c r="AA797" s="1"/>
      <c r="AB797" s="1" t="s">
        <v>52</v>
      </c>
      <c r="AC797" s="1" t="s">
        <v>1925</v>
      </c>
      <c r="AD797" s="1"/>
      <c r="AE797" s="1" t="s">
        <v>1152</v>
      </c>
      <c r="AF797" s="1"/>
      <c r="AG797" s="1"/>
      <c r="AH797" s="1" t="s">
        <v>1152</v>
      </c>
      <c r="AI797" s="1"/>
      <c r="AJ797" s="1"/>
      <c r="AK797" s="1"/>
      <c r="AL797" s="6" t="str">
        <f t="array" ref="AL797">IFERROR(IFS(XLOOKUP(B797, 'Kit Delivery Status'!$U:$U, 'Kit Delivery Status'!$K:$K) = "Complete", "DELIVERED", XLOOKUP(B797, 'Kit Delivery Status'!$U:$U, 'Kit Delivery Status'!$K:$K) = "Issue", "ISSUE"), "")</f>
        <v/>
      </c>
      <c r="AM797" s="6"/>
    </row>
    <row r="798">
      <c r="A798" s="5" t="s">
        <v>4225</v>
      </c>
      <c r="B798" s="1" t="s">
        <v>4226</v>
      </c>
      <c r="C798" s="1"/>
      <c r="D798" s="2">
        <v>7.874048265E9</v>
      </c>
      <c r="E798" s="1" t="s">
        <v>4227</v>
      </c>
      <c r="F798" s="1"/>
      <c r="G798" s="1" t="s">
        <v>4228</v>
      </c>
      <c r="H798" s="1" t="s">
        <v>3306</v>
      </c>
      <c r="I798" s="1">
        <v>737.0</v>
      </c>
      <c r="J798" s="1" t="s">
        <v>752</v>
      </c>
      <c r="K798" s="1" t="s">
        <v>3761</v>
      </c>
      <c r="L798" s="1" t="s">
        <v>4229</v>
      </c>
      <c r="M798" s="1">
        <v>49.0</v>
      </c>
      <c r="N798" s="1" t="s">
        <v>1152</v>
      </c>
      <c r="O798" s="3"/>
      <c r="P798" s="1" t="s">
        <v>1152</v>
      </c>
      <c r="Q798" s="1" t="s">
        <v>1152</v>
      </c>
      <c r="R798" s="1"/>
      <c r="S798" s="1" t="s">
        <v>1152</v>
      </c>
      <c r="T798" s="1" t="s">
        <v>1152</v>
      </c>
      <c r="U798" s="1"/>
      <c r="V798" s="4"/>
      <c r="W798" s="1"/>
      <c r="X798" s="18"/>
      <c r="Y798" s="1"/>
      <c r="Z798" s="1"/>
      <c r="AA798" s="1"/>
      <c r="AB798" s="1"/>
      <c r="AC798" s="1" t="s">
        <v>4230</v>
      </c>
      <c r="AD798" s="1"/>
      <c r="AE798" s="18">
        <v>45868.0</v>
      </c>
      <c r="AF798" s="1"/>
      <c r="AG798" s="1"/>
      <c r="AH798" s="1" t="s">
        <v>4231</v>
      </c>
      <c r="AI798" s="1" t="s">
        <v>4232</v>
      </c>
      <c r="AJ798" s="1"/>
      <c r="AK798" s="1"/>
      <c r="AL798" s="6" t="str">
        <f t="array" ref="AL798">IFERROR(IFS(XLOOKUP(B798, 'Kit Delivery Status'!$U:$U, 'Kit Delivery Status'!$K:$K) = "Complete", "DELIVERED", XLOOKUP(B798, 'Kit Delivery Status'!$U:$U, 'Kit Delivery Status'!$K:$K) = "Issue", "ISSUE"), "")</f>
        <v/>
      </c>
      <c r="AM798" s="6"/>
    </row>
    <row r="799">
      <c r="A799" s="5" t="s">
        <v>4233</v>
      </c>
      <c r="B799" s="1" t="s">
        <v>4234</v>
      </c>
      <c r="C799" s="1" t="s">
        <v>4235</v>
      </c>
      <c r="D799" s="2">
        <v>9.782886233E9</v>
      </c>
      <c r="E799" s="1" t="s">
        <v>4236</v>
      </c>
      <c r="F799" s="1"/>
      <c r="G799" s="1" t="s">
        <v>4237</v>
      </c>
      <c r="H799" s="1" t="s">
        <v>1121</v>
      </c>
      <c r="I799" s="1" t="s">
        <v>4238</v>
      </c>
      <c r="J799" s="1" t="s">
        <v>752</v>
      </c>
      <c r="K799" s="1" t="s">
        <v>95</v>
      </c>
      <c r="L799" s="1" t="s">
        <v>3327</v>
      </c>
      <c r="M799" s="1">
        <v>49.0</v>
      </c>
      <c r="N799" s="1" t="s">
        <v>2461</v>
      </c>
      <c r="O799" s="3" t="s">
        <v>4239</v>
      </c>
      <c r="P799" s="18">
        <v>45878.0</v>
      </c>
      <c r="Q799" s="1" t="s">
        <v>3219</v>
      </c>
      <c r="R799" s="1"/>
      <c r="S799" s="1" t="s">
        <v>2461</v>
      </c>
      <c r="T799" s="1" t="s">
        <v>2461</v>
      </c>
      <c r="U799" s="1" t="s">
        <v>1407</v>
      </c>
      <c r="V799" s="4" t="s">
        <v>4239</v>
      </c>
      <c r="W799" s="1"/>
      <c r="X799" s="18">
        <v>45878.0</v>
      </c>
      <c r="Y799" s="1" t="s">
        <v>1455</v>
      </c>
      <c r="Z799" s="1"/>
      <c r="AA799" s="1"/>
      <c r="AB799" s="1" t="s">
        <v>52</v>
      </c>
      <c r="AC799" s="1" t="s">
        <v>4240</v>
      </c>
      <c r="AD799" s="1"/>
      <c r="AE799" s="1" t="s">
        <v>1152</v>
      </c>
      <c r="AF799" s="1"/>
      <c r="AG799" s="1"/>
      <c r="AH799" s="1" t="s">
        <v>1152</v>
      </c>
      <c r="AI799" s="1"/>
      <c r="AJ799" s="1"/>
      <c r="AK799" s="1"/>
      <c r="AL799" s="6" t="str">
        <f t="array" ref="AL799">IFERROR(IFS(XLOOKUP(B799, 'Kit Delivery Status'!$U:$U, 'Kit Delivery Status'!$K:$K) = "Complete", "DELIVERED", XLOOKUP(B799, 'Kit Delivery Status'!$U:$U, 'Kit Delivery Status'!$K:$K) = "Issue", "ISSUE"), "")</f>
        <v/>
      </c>
      <c r="AM799" s="6"/>
    </row>
    <row r="800">
      <c r="A800" s="5" t="s">
        <v>4241</v>
      </c>
      <c r="B800" s="1" t="s">
        <v>4242</v>
      </c>
      <c r="C800" s="1" t="s">
        <v>4243</v>
      </c>
      <c r="D800" s="2" t="str">
        <v>#ERROR!</v>
      </c>
      <c r="E800" s="1" t="s">
        <v>4244</v>
      </c>
      <c r="F800" s="1"/>
      <c r="G800" s="1" t="s">
        <v>4245</v>
      </c>
      <c r="H800" s="1" t="s">
        <v>1053</v>
      </c>
      <c r="I800" s="1">
        <v>7458.0</v>
      </c>
      <c r="J800" s="1" t="s">
        <v>752</v>
      </c>
      <c r="K800" s="1" t="s">
        <v>66</v>
      </c>
      <c r="L800" s="1" t="s">
        <v>3321</v>
      </c>
      <c r="M800" s="1">
        <v>210.0</v>
      </c>
      <c r="N800" s="1" t="s">
        <v>1152</v>
      </c>
      <c r="O800" s="3" t="s">
        <v>4246</v>
      </c>
      <c r="P800" s="18">
        <v>45883.0</v>
      </c>
      <c r="Q800" s="1" t="s">
        <v>1152</v>
      </c>
      <c r="R800" s="1"/>
      <c r="S800" s="1" t="s">
        <v>1152</v>
      </c>
      <c r="T800" s="1" t="s">
        <v>1152</v>
      </c>
      <c r="U800" s="1" t="s">
        <v>1249</v>
      </c>
      <c r="V800" s="4" t="s">
        <v>4246</v>
      </c>
      <c r="W800" s="1"/>
      <c r="X800" s="18">
        <v>45883.0</v>
      </c>
      <c r="Y800" s="1"/>
      <c r="Z800" s="1"/>
      <c r="AA800" s="1"/>
      <c r="AB800" s="1"/>
      <c r="AC800" s="1" t="s">
        <v>1925</v>
      </c>
      <c r="AD800" s="1"/>
      <c r="AE800" s="1" t="s">
        <v>1152</v>
      </c>
      <c r="AF800" s="1"/>
      <c r="AG800" s="1"/>
      <c r="AH800" s="1" t="s">
        <v>1152</v>
      </c>
      <c r="AI800" s="1"/>
      <c r="AJ800" s="1"/>
      <c r="AK800" s="1"/>
      <c r="AL800" s="6" t="str">
        <f t="array" ref="AL800">IFERROR(IFS(XLOOKUP(B800, 'Kit Delivery Status'!$U:$U, 'Kit Delivery Status'!$K:$K) = "Complete", "DELIVERED", XLOOKUP(B800, 'Kit Delivery Status'!$U:$U, 'Kit Delivery Status'!$K:$K) = "Issue", "ISSUE"), "")</f>
        <v/>
      </c>
      <c r="AM800" s="6"/>
    </row>
    <row r="801">
      <c r="A801" s="5" t="s">
        <v>4247</v>
      </c>
      <c r="B801" s="1" t="s">
        <v>4248</v>
      </c>
      <c r="C801" s="1" t="s">
        <v>4249</v>
      </c>
      <c r="D801" s="2">
        <v>4.109633683E9</v>
      </c>
      <c r="E801" s="1" t="s">
        <v>4250</v>
      </c>
      <c r="F801" s="1"/>
      <c r="G801" s="1" t="s">
        <v>4251</v>
      </c>
      <c r="H801" s="1" t="s">
        <v>1005</v>
      </c>
      <c r="I801" s="1">
        <v>21136.0</v>
      </c>
      <c r="J801" s="1" t="s">
        <v>752</v>
      </c>
      <c r="K801" s="1" t="s">
        <v>66</v>
      </c>
      <c r="L801" s="1" t="s">
        <v>3350</v>
      </c>
      <c r="M801" s="1">
        <v>145.0</v>
      </c>
      <c r="N801" s="1" t="s">
        <v>1152</v>
      </c>
      <c r="O801" s="3" t="s">
        <v>4252</v>
      </c>
      <c r="P801" s="36">
        <v>45883.0</v>
      </c>
      <c r="Q801" s="1" t="s">
        <v>1152</v>
      </c>
      <c r="R801" s="1"/>
      <c r="S801" s="1" t="s">
        <v>1152</v>
      </c>
      <c r="T801" s="1" t="s">
        <v>1152</v>
      </c>
      <c r="U801" s="1" t="s">
        <v>1148</v>
      </c>
      <c r="V801" s="4" t="s">
        <v>4252</v>
      </c>
      <c r="W801" s="1"/>
      <c r="X801" s="18">
        <v>45883.0</v>
      </c>
      <c r="Y801" s="1"/>
      <c r="Z801" s="1"/>
      <c r="AA801" s="1"/>
      <c r="AB801" s="1"/>
      <c r="AC801" s="1" t="s">
        <v>1925</v>
      </c>
      <c r="AD801" s="1"/>
      <c r="AE801" s="1" t="s">
        <v>1152</v>
      </c>
      <c r="AF801" s="1"/>
      <c r="AG801" s="1"/>
      <c r="AH801" s="1" t="s">
        <v>1152</v>
      </c>
      <c r="AI801" s="1"/>
      <c r="AJ801" s="1"/>
      <c r="AK801" s="1"/>
      <c r="AL801" s="6" t="str">
        <f t="array" ref="AL801">IFERROR(IFS(XLOOKUP(B801, 'Kit Delivery Status'!$U:$U, 'Kit Delivery Status'!$K:$K) = "Complete", "DELIVERED", XLOOKUP(B801, 'Kit Delivery Status'!$U:$U, 'Kit Delivery Status'!$K:$K) = "Issue", "ISSUE"), "")</f>
        <v/>
      </c>
      <c r="AM801" s="6"/>
    </row>
    <row r="802">
      <c r="A802" s="5" t="s">
        <v>4253</v>
      </c>
      <c r="B802" s="1" t="s">
        <v>4254</v>
      </c>
      <c r="C802" s="1" t="s">
        <v>4255</v>
      </c>
      <c r="D802" s="2">
        <v>9.144741857E9</v>
      </c>
      <c r="E802" s="1" t="s">
        <v>4256</v>
      </c>
      <c r="F802" s="1"/>
      <c r="G802" s="1" t="s">
        <v>4257</v>
      </c>
      <c r="H802" s="1" t="s">
        <v>1078</v>
      </c>
      <c r="I802" s="1">
        <v>6482.0</v>
      </c>
      <c r="J802" s="1" t="s">
        <v>752</v>
      </c>
      <c r="K802" s="1" t="s">
        <v>51</v>
      </c>
      <c r="L802" s="1" t="s">
        <v>3293</v>
      </c>
      <c r="M802" s="1">
        <v>1.0</v>
      </c>
      <c r="N802" s="1" t="s">
        <v>2461</v>
      </c>
      <c r="O802" s="3" t="s">
        <v>4258</v>
      </c>
      <c r="P802" s="18">
        <v>45880.0</v>
      </c>
      <c r="Q802" s="1" t="s">
        <v>2463</v>
      </c>
      <c r="R802" s="1"/>
      <c r="S802" s="1" t="s">
        <v>2461</v>
      </c>
      <c r="T802" s="1" t="s">
        <v>2461</v>
      </c>
      <c r="U802" s="1" t="s">
        <v>2510</v>
      </c>
      <c r="V802" s="4" t="s">
        <v>4258</v>
      </c>
      <c r="W802" s="1"/>
      <c r="X802" s="18">
        <v>45880.0</v>
      </c>
      <c r="Y802" s="1" t="s">
        <v>1030</v>
      </c>
      <c r="Z802" s="1"/>
      <c r="AA802" s="1"/>
      <c r="AB802" s="1" t="s">
        <v>52</v>
      </c>
      <c r="AC802" s="1" t="s">
        <v>1925</v>
      </c>
      <c r="AD802" s="1"/>
      <c r="AE802" s="1" t="s">
        <v>1152</v>
      </c>
      <c r="AF802" s="1"/>
      <c r="AG802" s="1"/>
      <c r="AH802" s="1" t="s">
        <v>1152</v>
      </c>
      <c r="AI802" s="1"/>
      <c r="AJ802" s="1"/>
      <c r="AK802" s="1"/>
      <c r="AL802" s="6" t="str">
        <f t="array" ref="AL802">IFERROR(IFS(XLOOKUP(B802, 'Kit Delivery Status'!$U:$U, 'Kit Delivery Status'!$K:$K) = "Complete", "DELIVERED", XLOOKUP(B802, 'Kit Delivery Status'!$U:$U, 'Kit Delivery Status'!$K:$K) = "Issue", "ISSUE"), "")</f>
        <v/>
      </c>
      <c r="AM802" s="6"/>
    </row>
    <row r="803">
      <c r="A803" s="5" t="s">
        <v>4259</v>
      </c>
      <c r="B803" s="1" t="s">
        <v>4260</v>
      </c>
      <c r="C803" s="1" t="s">
        <v>4249</v>
      </c>
      <c r="D803" s="2">
        <v>1.4109633683E10</v>
      </c>
      <c r="E803" s="1" t="s">
        <v>4250</v>
      </c>
      <c r="F803" s="1"/>
      <c r="G803" s="1" t="s">
        <v>4251</v>
      </c>
      <c r="H803" s="1" t="s">
        <v>1005</v>
      </c>
      <c r="I803" s="1" t="s">
        <v>4261</v>
      </c>
      <c r="J803" s="1" t="s">
        <v>752</v>
      </c>
      <c r="K803" s="1" t="s">
        <v>95</v>
      </c>
      <c r="L803" s="1" t="s">
        <v>3327</v>
      </c>
      <c r="M803" s="1">
        <v>49.0</v>
      </c>
      <c r="N803" s="1" t="s">
        <v>2461</v>
      </c>
      <c r="O803" s="3" t="s">
        <v>4262</v>
      </c>
      <c r="P803" s="18">
        <v>45883.0</v>
      </c>
      <c r="Q803" s="1" t="s">
        <v>2463</v>
      </c>
      <c r="R803" s="1"/>
      <c r="S803" s="1" t="s">
        <v>2461</v>
      </c>
      <c r="T803" s="1" t="s">
        <v>2461</v>
      </c>
      <c r="U803" s="1" t="s">
        <v>1148</v>
      </c>
      <c r="V803" s="4" t="s">
        <v>4262</v>
      </c>
      <c r="W803" s="1"/>
      <c r="X803" s="18">
        <v>45883.0</v>
      </c>
      <c r="Y803" s="1" t="s">
        <v>1030</v>
      </c>
      <c r="Z803" s="1"/>
      <c r="AA803" s="1"/>
      <c r="AB803" s="1" t="s">
        <v>52</v>
      </c>
      <c r="AC803" s="1" t="s">
        <v>4263</v>
      </c>
      <c r="AD803" s="1"/>
      <c r="AE803" s="1" t="s">
        <v>1152</v>
      </c>
      <c r="AF803" s="1"/>
      <c r="AG803" s="1"/>
      <c r="AH803" s="1" t="s">
        <v>1152</v>
      </c>
      <c r="AI803" s="1"/>
      <c r="AJ803" s="1"/>
      <c r="AK803" s="1"/>
      <c r="AL803" s="6" t="str">
        <f t="array" ref="AL803">IFERROR(IFS(XLOOKUP(B803, 'Kit Delivery Status'!$U:$U, 'Kit Delivery Status'!$K:$K) = "Complete", "DELIVERED", XLOOKUP(B803, 'Kit Delivery Status'!$U:$U, 'Kit Delivery Status'!$K:$K) = "Issue", "ISSUE"), "")</f>
        <v/>
      </c>
      <c r="AM803" s="6"/>
    </row>
    <row r="804">
      <c r="A804" s="5" t="s">
        <v>4264</v>
      </c>
      <c r="B804" s="1" t="s">
        <v>4265</v>
      </c>
      <c r="C804" s="1"/>
      <c r="D804" s="2">
        <v>2.165544334E9</v>
      </c>
      <c r="E804" s="1" t="s">
        <v>4266</v>
      </c>
      <c r="F804" s="1"/>
      <c r="G804" s="1" t="s">
        <v>4267</v>
      </c>
      <c r="H804" s="1" t="s">
        <v>2171</v>
      </c>
      <c r="I804" s="1">
        <v>44118.0</v>
      </c>
      <c r="J804" s="1" t="s">
        <v>752</v>
      </c>
      <c r="K804" s="1" t="s">
        <v>66</v>
      </c>
      <c r="L804" s="1" t="s">
        <v>3350</v>
      </c>
      <c r="M804" s="1">
        <v>145.0</v>
      </c>
      <c r="N804" s="1" t="s">
        <v>1152</v>
      </c>
      <c r="O804" s="3" t="s">
        <v>3597</v>
      </c>
      <c r="P804" s="18">
        <v>45883.0</v>
      </c>
      <c r="Q804" s="1" t="s">
        <v>1152</v>
      </c>
      <c r="R804" s="1"/>
      <c r="S804" s="1" t="s">
        <v>1152</v>
      </c>
      <c r="T804" s="1" t="s">
        <v>1152</v>
      </c>
      <c r="U804" s="1" t="s">
        <v>1133</v>
      </c>
      <c r="V804" s="4" t="s">
        <v>3597</v>
      </c>
      <c r="W804" s="1"/>
      <c r="X804" s="18">
        <v>45883.0</v>
      </c>
      <c r="Y804" s="1"/>
      <c r="Z804" s="1"/>
      <c r="AA804" s="1"/>
      <c r="AB804" s="1"/>
      <c r="AC804" s="1" t="s">
        <v>1925</v>
      </c>
      <c r="AD804" s="1"/>
      <c r="AE804" s="1" t="s">
        <v>1152</v>
      </c>
      <c r="AF804" s="1"/>
      <c r="AG804" s="1"/>
      <c r="AH804" s="1" t="s">
        <v>1152</v>
      </c>
      <c r="AI804" s="1"/>
      <c r="AJ804" s="1"/>
      <c r="AK804" s="1"/>
      <c r="AL804" s="6" t="str">
        <f t="array" ref="AL804">IFERROR(IFS(XLOOKUP(B804, 'Kit Delivery Status'!$U:$U, 'Kit Delivery Status'!$K:$K) = "Complete", "DELIVERED", XLOOKUP(B804, 'Kit Delivery Status'!$U:$U, 'Kit Delivery Status'!$K:$K) = "Issue", "ISSUE"), "")</f>
        <v/>
      </c>
      <c r="AM804" s="6"/>
    </row>
    <row r="805">
      <c r="A805" s="5" t="s">
        <v>4268</v>
      </c>
      <c r="B805" s="1" t="s">
        <v>4269</v>
      </c>
      <c r="C805" s="1"/>
      <c r="D805" s="2">
        <v>5.163805641E9</v>
      </c>
      <c r="E805" s="1" t="s">
        <v>4270</v>
      </c>
      <c r="F805" s="1"/>
      <c r="G805" s="1" t="s">
        <v>1485</v>
      </c>
      <c r="H805" s="1" t="s">
        <v>751</v>
      </c>
      <c r="I805" s="1" t="s">
        <v>4271</v>
      </c>
      <c r="J805" s="1" t="s">
        <v>752</v>
      </c>
      <c r="K805" s="1" t="s">
        <v>66</v>
      </c>
      <c r="L805" s="1" t="s">
        <v>3321</v>
      </c>
      <c r="M805" s="1">
        <v>210.0</v>
      </c>
      <c r="N805" s="1" t="s">
        <v>1152</v>
      </c>
      <c r="O805" s="3" t="s">
        <v>2035</v>
      </c>
      <c r="P805" s="18">
        <v>45883.0</v>
      </c>
      <c r="Q805" s="1" t="s">
        <v>1152</v>
      </c>
      <c r="R805" s="1"/>
      <c r="S805" s="1" t="s">
        <v>1152</v>
      </c>
      <c r="T805" s="1" t="s">
        <v>1152</v>
      </c>
      <c r="U805" s="1" t="s">
        <v>1080</v>
      </c>
      <c r="V805" s="4" t="s">
        <v>2035</v>
      </c>
      <c r="W805" s="1"/>
      <c r="X805" s="18">
        <v>45883.0</v>
      </c>
      <c r="Y805" s="1"/>
      <c r="Z805" s="1"/>
      <c r="AA805" s="1"/>
      <c r="AB805" s="1"/>
      <c r="AC805" s="1" t="s">
        <v>1925</v>
      </c>
      <c r="AD805" s="1"/>
      <c r="AE805" s="1" t="s">
        <v>1152</v>
      </c>
      <c r="AF805" s="1"/>
      <c r="AG805" s="1"/>
      <c r="AH805" s="1" t="s">
        <v>1152</v>
      </c>
      <c r="AI805" s="1"/>
      <c r="AJ805" s="1"/>
      <c r="AK805" s="1"/>
      <c r="AL805" s="6" t="str">
        <f t="array" ref="AL805">IFERROR(IFS(XLOOKUP(B805, 'Kit Delivery Status'!$U:$U, 'Kit Delivery Status'!$K:$K) = "Complete", "DELIVERED", XLOOKUP(B805, 'Kit Delivery Status'!$U:$U, 'Kit Delivery Status'!$K:$K) = "Issue", "ISSUE"), "")</f>
        <v/>
      </c>
      <c r="AM805" s="6"/>
    </row>
    <row r="806">
      <c r="A806" s="5" t="s">
        <v>4272</v>
      </c>
      <c r="B806" s="1" t="s">
        <v>4273</v>
      </c>
      <c r="C806" s="1" t="s">
        <v>4274</v>
      </c>
      <c r="D806" s="2">
        <v>3.176506493E9</v>
      </c>
      <c r="E806" s="1" t="s">
        <v>4275</v>
      </c>
      <c r="F806" s="1"/>
      <c r="G806" s="1" t="s">
        <v>2241</v>
      </c>
      <c r="H806" s="1" t="s">
        <v>2242</v>
      </c>
      <c r="I806" s="1">
        <v>46260.0</v>
      </c>
      <c r="J806" s="1" t="s">
        <v>752</v>
      </c>
      <c r="K806" s="1" t="s">
        <v>66</v>
      </c>
      <c r="L806" s="1" t="s">
        <v>3885</v>
      </c>
      <c r="M806" s="1">
        <v>180.0</v>
      </c>
      <c r="N806" s="1" t="s">
        <v>1152</v>
      </c>
      <c r="O806" s="3" t="s">
        <v>4276</v>
      </c>
      <c r="P806" s="18">
        <v>45883.0</v>
      </c>
      <c r="Q806" s="1" t="s">
        <v>1152</v>
      </c>
      <c r="R806" s="1"/>
      <c r="S806" s="1" t="s">
        <v>1152</v>
      </c>
      <c r="T806" s="1" t="s">
        <v>1152</v>
      </c>
      <c r="U806" s="1" t="s">
        <v>1407</v>
      </c>
      <c r="V806" s="4" t="s">
        <v>4276</v>
      </c>
      <c r="W806" s="1"/>
      <c r="X806" s="18">
        <v>45883.0</v>
      </c>
      <c r="Y806" s="1"/>
      <c r="Z806" s="1"/>
      <c r="AA806" s="1"/>
      <c r="AB806" s="1"/>
      <c r="AC806" s="1" t="s">
        <v>1925</v>
      </c>
      <c r="AD806" s="1"/>
      <c r="AE806" s="1" t="s">
        <v>1152</v>
      </c>
      <c r="AF806" s="1"/>
      <c r="AG806" s="1"/>
      <c r="AH806" s="1" t="s">
        <v>1152</v>
      </c>
      <c r="AI806" s="1"/>
      <c r="AJ806" s="1"/>
      <c r="AK806" s="1"/>
      <c r="AL806" s="6" t="str">
        <f t="array" ref="AL806">IFERROR(IFS(XLOOKUP(B806, 'Kit Delivery Status'!$U:$U, 'Kit Delivery Status'!$K:$K) = "Complete", "DELIVERED", XLOOKUP(B806, 'Kit Delivery Status'!$U:$U, 'Kit Delivery Status'!$K:$K) = "Issue", "ISSUE"), "")</f>
        <v/>
      </c>
      <c r="AM806" s="6"/>
    </row>
    <row r="807">
      <c r="A807" s="5" t="s">
        <v>4277</v>
      </c>
      <c r="B807" s="1" t="s">
        <v>4278</v>
      </c>
      <c r="C807" s="1" t="s">
        <v>4279</v>
      </c>
      <c r="D807" s="2">
        <v>8.183243669E9</v>
      </c>
      <c r="E807" s="1" t="s">
        <v>4280</v>
      </c>
      <c r="F807" s="1" t="s">
        <v>4281</v>
      </c>
      <c r="G807" s="1" t="s">
        <v>4282</v>
      </c>
      <c r="H807" s="1" t="s">
        <v>989</v>
      </c>
      <c r="I807" s="1">
        <v>91302.0</v>
      </c>
      <c r="J807" s="1" t="s">
        <v>752</v>
      </c>
      <c r="K807" s="1" t="s">
        <v>51</v>
      </c>
      <c r="L807" s="1" t="s">
        <v>3293</v>
      </c>
      <c r="M807" s="1">
        <v>1.0</v>
      </c>
      <c r="N807" s="1" t="s">
        <v>2487</v>
      </c>
      <c r="O807" s="3"/>
      <c r="P807" s="18">
        <v>45868.0</v>
      </c>
      <c r="Q807" s="1" t="s">
        <v>2731</v>
      </c>
      <c r="R807" s="1" t="s">
        <v>4281</v>
      </c>
      <c r="S807" s="1" t="s">
        <v>2487</v>
      </c>
      <c r="T807" s="1" t="s">
        <v>2487</v>
      </c>
      <c r="U807" s="1"/>
      <c r="V807" s="4"/>
      <c r="W807" s="1" t="s">
        <v>4281</v>
      </c>
      <c r="X807" s="18">
        <v>45868.0</v>
      </c>
      <c r="Y807" s="1" t="s">
        <v>1349</v>
      </c>
      <c r="Z807" s="1"/>
      <c r="AA807" s="1" t="s">
        <v>4281</v>
      </c>
      <c r="AB807" s="1" t="s">
        <v>124</v>
      </c>
      <c r="AC807" s="1" t="s">
        <v>1925</v>
      </c>
      <c r="AD807" s="1"/>
      <c r="AE807" s="1" t="s">
        <v>1152</v>
      </c>
      <c r="AF807" s="1"/>
      <c r="AG807" s="1"/>
      <c r="AH807" s="1" t="s">
        <v>1152</v>
      </c>
      <c r="AI807" s="1"/>
      <c r="AJ807" s="1"/>
      <c r="AK807" s="1"/>
      <c r="AL807" s="6" t="str">
        <f t="array" ref="AL807">IFERROR(IFS(XLOOKUP(B807, 'Kit Delivery Status'!$U:$U, 'Kit Delivery Status'!$K:$K) = "Complete", "DELIVERED", XLOOKUP(B807, 'Kit Delivery Status'!$U:$U, 'Kit Delivery Status'!$K:$K) = "Issue", "ISSUE"), "")</f>
        <v/>
      </c>
      <c r="AM807" s="6"/>
    </row>
    <row r="808">
      <c r="A808" s="5" t="s">
        <v>4283</v>
      </c>
      <c r="B808" s="1" t="s">
        <v>4284</v>
      </c>
      <c r="C808" s="1" t="s">
        <v>4285</v>
      </c>
      <c r="D808" s="2">
        <v>7.323098678E9</v>
      </c>
      <c r="E808" s="1" t="s">
        <v>4286</v>
      </c>
      <c r="F808" s="1"/>
      <c r="G808" s="1" t="s">
        <v>4287</v>
      </c>
      <c r="H808" s="1" t="s">
        <v>1053</v>
      </c>
      <c r="I808" s="1">
        <v>7463.0</v>
      </c>
      <c r="J808" s="1" t="s">
        <v>752</v>
      </c>
      <c r="K808" s="1" t="s">
        <v>95</v>
      </c>
      <c r="L808" s="1" t="s">
        <v>3327</v>
      </c>
      <c r="M808" s="1">
        <v>49.0</v>
      </c>
      <c r="N808" s="1" t="s">
        <v>2461</v>
      </c>
      <c r="O808" s="3" t="s">
        <v>4288</v>
      </c>
      <c r="P808" s="18">
        <v>45883.0</v>
      </c>
      <c r="Q808" s="1" t="s">
        <v>2463</v>
      </c>
      <c r="R808" s="1"/>
      <c r="S808" s="1" t="s">
        <v>2461</v>
      </c>
      <c r="T808" s="1" t="s">
        <v>2461</v>
      </c>
      <c r="U808" s="1" t="s">
        <v>1249</v>
      </c>
      <c r="V808" s="4" t="s">
        <v>4288</v>
      </c>
      <c r="W808" s="1"/>
      <c r="X808" s="18">
        <v>45883.0</v>
      </c>
      <c r="Y808" s="1" t="s">
        <v>1030</v>
      </c>
      <c r="Z808" s="1"/>
      <c r="AA808" s="1"/>
      <c r="AB808" s="1" t="s">
        <v>52</v>
      </c>
      <c r="AC808" s="1" t="s">
        <v>4289</v>
      </c>
      <c r="AD808" s="1"/>
      <c r="AE808" s="1" t="s">
        <v>1152</v>
      </c>
      <c r="AF808" s="1"/>
      <c r="AG808" s="1"/>
      <c r="AH808" s="1" t="s">
        <v>1152</v>
      </c>
      <c r="AI808" s="1"/>
      <c r="AJ808" s="1"/>
      <c r="AK808" s="1"/>
      <c r="AL808" s="6" t="str">
        <f t="array" ref="AL808">IFERROR(IFS(XLOOKUP(B808, 'Kit Delivery Status'!$U:$U, 'Kit Delivery Status'!$K:$K) = "Complete", "DELIVERED", XLOOKUP(B808, 'Kit Delivery Status'!$U:$U, 'Kit Delivery Status'!$K:$K) = "Issue", "ISSUE"), "")</f>
        <v/>
      </c>
      <c r="AM808" s="6"/>
    </row>
    <row r="809">
      <c r="A809" s="5" t="s">
        <v>4290</v>
      </c>
      <c r="B809" s="1" t="s">
        <v>4291</v>
      </c>
      <c r="C809" s="1" t="s">
        <v>4292</v>
      </c>
      <c r="D809" s="2">
        <v>2.482316515E9</v>
      </c>
      <c r="E809" s="1" t="s">
        <v>4293</v>
      </c>
      <c r="F809" s="1"/>
      <c r="G809" s="1" t="s">
        <v>1609</v>
      </c>
      <c r="H809" s="1" t="s">
        <v>1583</v>
      </c>
      <c r="I809" s="1">
        <v>77024.0</v>
      </c>
      <c r="J809" s="1" t="s">
        <v>752</v>
      </c>
      <c r="K809" s="1" t="s">
        <v>66</v>
      </c>
      <c r="L809" s="1" t="s">
        <v>3321</v>
      </c>
      <c r="M809" s="1">
        <v>210.0</v>
      </c>
      <c r="N809" s="1" t="s">
        <v>1152</v>
      </c>
      <c r="O809" s="3" t="s">
        <v>4294</v>
      </c>
      <c r="P809" s="18">
        <v>45883.0</v>
      </c>
      <c r="Q809" s="1" t="s">
        <v>1152</v>
      </c>
      <c r="R809" s="1"/>
      <c r="S809" s="1" t="s">
        <v>1152</v>
      </c>
      <c r="T809" s="1" t="s">
        <v>1152</v>
      </c>
      <c r="U809" s="1" t="s">
        <v>1537</v>
      </c>
      <c r="V809" s="4" t="s">
        <v>4294</v>
      </c>
      <c r="W809" s="1"/>
      <c r="X809" s="18">
        <v>45883.0</v>
      </c>
      <c r="Y809" s="1"/>
      <c r="Z809" s="1"/>
      <c r="AA809" s="1"/>
      <c r="AB809" s="1"/>
      <c r="AC809" s="1" t="s">
        <v>1925</v>
      </c>
      <c r="AD809" s="1"/>
      <c r="AE809" s="1" t="s">
        <v>1152</v>
      </c>
      <c r="AF809" s="1"/>
      <c r="AG809" s="1"/>
      <c r="AH809" s="1" t="s">
        <v>1152</v>
      </c>
      <c r="AI809" s="1"/>
      <c r="AJ809" s="1"/>
      <c r="AK809" s="1"/>
      <c r="AL809" s="6" t="str">
        <f t="array" ref="AL809">IFERROR(IFS(XLOOKUP(B809, 'Kit Delivery Status'!$U:$U, 'Kit Delivery Status'!$K:$K) = "Complete", "DELIVERED", XLOOKUP(B809, 'Kit Delivery Status'!$U:$U, 'Kit Delivery Status'!$K:$K) = "Issue", "ISSUE"), "")</f>
        <v/>
      </c>
      <c r="AM809" s="6"/>
    </row>
    <row r="810">
      <c r="A810" s="5" t="s">
        <v>4295</v>
      </c>
      <c r="B810" s="1" t="s">
        <v>4296</v>
      </c>
      <c r="C810" s="1" t="s">
        <v>4297</v>
      </c>
      <c r="D810" s="2">
        <v>9.145655432E9</v>
      </c>
      <c r="E810" s="1" t="s">
        <v>4298</v>
      </c>
      <c r="F810" s="1"/>
      <c r="G810" s="1" t="s">
        <v>4299</v>
      </c>
      <c r="H810" s="1" t="s">
        <v>751</v>
      </c>
      <c r="I810" s="1">
        <v>10710.0</v>
      </c>
      <c r="J810" s="1" t="s">
        <v>752</v>
      </c>
      <c r="K810" s="1" t="s">
        <v>51</v>
      </c>
      <c r="L810" s="1" t="s">
        <v>3293</v>
      </c>
      <c r="M810" s="1">
        <v>1.0</v>
      </c>
      <c r="N810" s="1" t="s">
        <v>2461</v>
      </c>
      <c r="O810" s="3" t="s">
        <v>4300</v>
      </c>
      <c r="P810" s="18">
        <v>45882.0</v>
      </c>
      <c r="Q810" s="1" t="s">
        <v>3418</v>
      </c>
      <c r="R810" s="1"/>
      <c r="S810" s="1" t="s">
        <v>2461</v>
      </c>
      <c r="T810" s="1" t="s">
        <v>2461</v>
      </c>
      <c r="U810" s="1" t="s">
        <v>1201</v>
      </c>
      <c r="V810" s="4" t="s">
        <v>4300</v>
      </c>
      <c r="W810" s="1"/>
      <c r="X810" s="18">
        <v>45882.0</v>
      </c>
      <c r="Y810" s="1" t="s">
        <v>1103</v>
      </c>
      <c r="Z810" s="1"/>
      <c r="AA810" s="1"/>
      <c r="AB810" s="1" t="s">
        <v>52</v>
      </c>
      <c r="AC810" s="1" t="s">
        <v>1925</v>
      </c>
      <c r="AD810" s="1"/>
      <c r="AE810" s="1" t="s">
        <v>1152</v>
      </c>
      <c r="AF810" s="1"/>
      <c r="AG810" s="1"/>
      <c r="AH810" s="1" t="s">
        <v>1152</v>
      </c>
      <c r="AI810" s="1"/>
      <c r="AJ810" s="1"/>
      <c r="AK810" s="1"/>
      <c r="AL810" s="6" t="str">
        <f t="array" ref="AL810">IFERROR(IFS(XLOOKUP(B810, 'Kit Delivery Status'!$U:$U, 'Kit Delivery Status'!$K:$K) = "Complete", "DELIVERED", XLOOKUP(B810, 'Kit Delivery Status'!$U:$U, 'Kit Delivery Status'!$K:$K) = "Issue", "ISSUE"), "")</f>
        <v/>
      </c>
      <c r="AM810" s="6"/>
    </row>
    <row r="811">
      <c r="A811" s="5" t="s">
        <v>4301</v>
      </c>
      <c r="B811" s="1" t="s">
        <v>4302</v>
      </c>
      <c r="C811" s="1" t="s">
        <v>4303</v>
      </c>
      <c r="D811" s="2">
        <v>3.126079817E9</v>
      </c>
      <c r="E811" s="1" t="s">
        <v>4304</v>
      </c>
      <c r="F811" s="1"/>
      <c r="G811" s="1" t="s">
        <v>1072</v>
      </c>
      <c r="H811" s="1" t="s">
        <v>1019</v>
      </c>
      <c r="I811" s="1">
        <v>60611.0</v>
      </c>
      <c r="J811" s="1" t="s">
        <v>752</v>
      </c>
      <c r="K811" s="1" t="s">
        <v>66</v>
      </c>
      <c r="L811" s="1" t="s">
        <v>3321</v>
      </c>
      <c r="M811" s="1">
        <v>210.0</v>
      </c>
      <c r="N811" s="1" t="s">
        <v>1152</v>
      </c>
      <c r="O811" s="3" t="s">
        <v>4305</v>
      </c>
      <c r="P811" s="18">
        <v>45883.0</v>
      </c>
      <c r="Q811" s="1" t="s">
        <v>1152</v>
      </c>
      <c r="R811" s="1"/>
      <c r="S811" s="1" t="s">
        <v>1152</v>
      </c>
      <c r="T811" s="1" t="s">
        <v>1152</v>
      </c>
      <c r="U811" s="1" t="s">
        <v>1080</v>
      </c>
      <c r="V811" s="4" t="s">
        <v>4305</v>
      </c>
      <c r="W811" s="1"/>
      <c r="X811" s="18">
        <v>45883.0</v>
      </c>
      <c r="Y811" s="1"/>
      <c r="Z811" s="1"/>
      <c r="AA811" s="1"/>
      <c r="AB811" s="1"/>
      <c r="AC811" s="1" t="s">
        <v>1925</v>
      </c>
      <c r="AD811" s="1"/>
      <c r="AE811" s="1" t="s">
        <v>1152</v>
      </c>
      <c r="AF811" s="1"/>
      <c r="AG811" s="1"/>
      <c r="AH811" s="1" t="s">
        <v>1152</v>
      </c>
      <c r="AI811" s="1"/>
      <c r="AJ811" s="1"/>
      <c r="AK811" s="1"/>
      <c r="AL811" s="6" t="str">
        <f t="array" ref="AL811">IFERROR(IFS(XLOOKUP(B811, 'Kit Delivery Status'!$U:$U, 'Kit Delivery Status'!$K:$K) = "Complete", "DELIVERED", XLOOKUP(B811, 'Kit Delivery Status'!$U:$U, 'Kit Delivery Status'!$K:$K) = "Issue", "ISSUE"), "")</f>
        <v/>
      </c>
      <c r="AM811" s="6"/>
    </row>
    <row r="812">
      <c r="A812" s="5" t="s">
        <v>4306</v>
      </c>
      <c r="B812" s="1" t="s">
        <v>4307</v>
      </c>
      <c r="C812" s="1" t="s">
        <v>4308</v>
      </c>
      <c r="D812" s="2"/>
      <c r="E812" s="1" t="s">
        <v>4309</v>
      </c>
      <c r="F812" s="1"/>
      <c r="G812" s="1" t="s">
        <v>2350</v>
      </c>
      <c r="H812" s="1" t="s">
        <v>1155</v>
      </c>
      <c r="I812" s="1">
        <v>63105.0</v>
      </c>
      <c r="J812" s="1" t="s">
        <v>752</v>
      </c>
      <c r="K812" s="1" t="s">
        <v>51</v>
      </c>
      <c r="L812" s="1" t="s">
        <v>3293</v>
      </c>
      <c r="M812" s="1">
        <v>1.0</v>
      </c>
      <c r="N812" s="1" t="s">
        <v>2461</v>
      </c>
      <c r="O812" s="3" t="s">
        <v>4310</v>
      </c>
      <c r="P812" s="18">
        <v>45887.0</v>
      </c>
      <c r="Q812" s="1" t="s">
        <v>2463</v>
      </c>
      <c r="R812" s="1"/>
      <c r="S812" s="1" t="s">
        <v>2461</v>
      </c>
      <c r="T812" s="1" t="s">
        <v>2461</v>
      </c>
      <c r="U812" s="1" t="s">
        <v>1021</v>
      </c>
      <c r="V812" s="4" t="s">
        <v>4310</v>
      </c>
      <c r="W812" s="1"/>
      <c r="X812" s="18">
        <v>45887.0</v>
      </c>
      <c r="Y812" s="1" t="s">
        <v>1030</v>
      </c>
      <c r="Z812" s="1"/>
      <c r="AA812" s="1"/>
      <c r="AB812" s="1" t="s">
        <v>52</v>
      </c>
      <c r="AC812" s="1" t="s">
        <v>1925</v>
      </c>
      <c r="AD812" s="1"/>
      <c r="AE812" s="1" t="s">
        <v>1152</v>
      </c>
      <c r="AF812" s="1"/>
      <c r="AG812" s="1"/>
      <c r="AH812" s="1" t="s">
        <v>1152</v>
      </c>
      <c r="AI812" s="1"/>
      <c r="AJ812" s="1"/>
      <c r="AK812" s="1"/>
      <c r="AL812" s="6" t="str">
        <f t="array" ref="AL812">IFERROR(IFS(XLOOKUP(B812, 'Kit Delivery Status'!$U:$U, 'Kit Delivery Status'!$K:$K) = "Complete", "DELIVERED", XLOOKUP(B812, 'Kit Delivery Status'!$U:$U, 'Kit Delivery Status'!$K:$K) = "Issue", "ISSUE"), "")</f>
        <v/>
      </c>
      <c r="AM812" s="6"/>
    </row>
    <row r="813">
      <c r="A813" s="5" t="s">
        <v>4311</v>
      </c>
      <c r="B813" s="1" t="s">
        <v>4312</v>
      </c>
      <c r="C813" s="1" t="s">
        <v>4313</v>
      </c>
      <c r="D813" s="2">
        <v>7.18551122E9</v>
      </c>
      <c r="E813" s="1" t="s">
        <v>4314</v>
      </c>
      <c r="F813" s="1"/>
      <c r="G813" s="1" t="s">
        <v>1684</v>
      </c>
      <c r="H813" s="1" t="s">
        <v>751</v>
      </c>
      <c r="I813" s="1">
        <v>11229.0</v>
      </c>
      <c r="J813" s="1" t="s">
        <v>752</v>
      </c>
      <c r="K813" s="1" t="s">
        <v>51</v>
      </c>
      <c r="L813" s="1" t="s">
        <v>3293</v>
      </c>
      <c r="M813" s="1">
        <v>1.0</v>
      </c>
      <c r="N813" s="1" t="s">
        <v>2461</v>
      </c>
      <c r="O813" s="3" t="s">
        <v>2235</v>
      </c>
      <c r="P813" s="18">
        <v>45889.0</v>
      </c>
      <c r="Q813" s="1" t="s">
        <v>2463</v>
      </c>
      <c r="R813" s="1"/>
      <c r="S813" s="1" t="s">
        <v>2461</v>
      </c>
      <c r="T813" s="1" t="s">
        <v>2461</v>
      </c>
      <c r="U813" s="1" t="s">
        <v>1415</v>
      </c>
      <c r="V813" s="4" t="s">
        <v>2235</v>
      </c>
      <c r="W813" s="1"/>
      <c r="X813" s="18">
        <v>45889.0</v>
      </c>
      <c r="Y813" s="1" t="s">
        <v>1030</v>
      </c>
      <c r="Z813" s="1"/>
      <c r="AA813" s="1"/>
      <c r="AB813" s="1" t="s">
        <v>52</v>
      </c>
      <c r="AC813" s="1" t="s">
        <v>1925</v>
      </c>
      <c r="AD813" s="1"/>
      <c r="AE813" s="1" t="s">
        <v>1152</v>
      </c>
      <c r="AF813" s="1"/>
      <c r="AG813" s="1"/>
      <c r="AH813" s="1" t="s">
        <v>1152</v>
      </c>
      <c r="AI813" s="1"/>
      <c r="AJ813" s="1"/>
      <c r="AK813" s="1"/>
      <c r="AL813" s="6" t="str">
        <f t="array" ref="AL813">IFERROR(IFS(XLOOKUP(B813, 'Kit Delivery Status'!$U:$U, 'Kit Delivery Status'!$K:$K) = "Complete", "DELIVERED", XLOOKUP(B813, 'Kit Delivery Status'!$U:$U, 'Kit Delivery Status'!$K:$K) = "Issue", "ISSUE"), "")</f>
        <v/>
      </c>
      <c r="AM813" s="6"/>
    </row>
    <row r="814">
      <c r="A814" s="5" t="s">
        <v>4315</v>
      </c>
      <c r="B814" s="1" t="s">
        <v>4316</v>
      </c>
      <c r="C814" s="1" t="s">
        <v>4317</v>
      </c>
      <c r="D814" s="2">
        <v>6.195181936E9</v>
      </c>
      <c r="E814" s="1" t="s">
        <v>4318</v>
      </c>
      <c r="F814" s="1"/>
      <c r="G814" s="1" t="s">
        <v>2417</v>
      </c>
      <c r="H814" s="1" t="s">
        <v>989</v>
      </c>
      <c r="I814" s="1">
        <v>92104.0</v>
      </c>
      <c r="J814" s="1" t="s">
        <v>752</v>
      </c>
      <c r="K814" s="1" t="s">
        <v>51</v>
      </c>
      <c r="L814" s="1" t="s">
        <v>3293</v>
      </c>
      <c r="M814" s="1">
        <v>1.0</v>
      </c>
      <c r="N814" s="1" t="s">
        <v>2461</v>
      </c>
      <c r="O814" s="3" t="s">
        <v>4319</v>
      </c>
      <c r="P814" s="18">
        <v>45889.0</v>
      </c>
      <c r="Q814" s="1" t="s">
        <v>2463</v>
      </c>
      <c r="R814" s="1"/>
      <c r="S814" s="1" t="s">
        <v>2461</v>
      </c>
      <c r="T814" s="1" t="s">
        <v>2461</v>
      </c>
      <c r="U814" s="1" t="s">
        <v>1642</v>
      </c>
      <c r="V814" s="4" t="s">
        <v>4319</v>
      </c>
      <c r="W814" s="1"/>
      <c r="X814" s="18">
        <v>45889.0</v>
      </c>
      <c r="Y814" s="1" t="s">
        <v>1030</v>
      </c>
      <c r="Z814" s="1"/>
      <c r="AA814" s="1"/>
      <c r="AB814" s="1" t="s">
        <v>52</v>
      </c>
      <c r="AC814" s="1" t="s">
        <v>1925</v>
      </c>
      <c r="AD814" s="1"/>
      <c r="AE814" s="1" t="s">
        <v>1152</v>
      </c>
      <c r="AF814" s="1"/>
      <c r="AG814" s="1"/>
      <c r="AH814" s="1" t="s">
        <v>1152</v>
      </c>
      <c r="AI814" s="1"/>
      <c r="AJ814" s="1"/>
      <c r="AK814" s="1"/>
      <c r="AL814" s="6" t="str">
        <f t="array" ref="AL814">IFERROR(IFS(XLOOKUP(B814, 'Kit Delivery Status'!$U:$U, 'Kit Delivery Status'!$K:$K) = "Complete", "DELIVERED", XLOOKUP(B814, 'Kit Delivery Status'!$U:$U, 'Kit Delivery Status'!$K:$K) = "Issue", "ISSUE"), "")</f>
        <v/>
      </c>
      <c r="AM814" s="6"/>
    </row>
    <row r="815">
      <c r="A815" s="5" t="s">
        <v>4320</v>
      </c>
      <c r="B815" s="1" t="s">
        <v>4321</v>
      </c>
      <c r="C815" s="1" t="s">
        <v>4322</v>
      </c>
      <c r="D815" s="2">
        <v>6.154953485E9</v>
      </c>
      <c r="E815" s="1" t="s">
        <v>4323</v>
      </c>
      <c r="F815" s="1"/>
      <c r="G815" s="1" t="s">
        <v>1804</v>
      </c>
      <c r="H815" s="1" t="s">
        <v>1598</v>
      </c>
      <c r="I815" s="1">
        <v>37215.0</v>
      </c>
      <c r="J815" s="1" t="s">
        <v>752</v>
      </c>
      <c r="K815" s="1" t="s">
        <v>66</v>
      </c>
      <c r="L815" s="1" t="s">
        <v>3675</v>
      </c>
      <c r="M815" s="1">
        <v>65.0</v>
      </c>
      <c r="N815" s="1" t="s">
        <v>1152</v>
      </c>
      <c r="O815" s="3" t="s">
        <v>4324</v>
      </c>
      <c r="P815" s="18">
        <v>45883.0</v>
      </c>
      <c r="Q815" s="1" t="s">
        <v>1152</v>
      </c>
      <c r="R815" s="1"/>
      <c r="S815" s="1" t="s">
        <v>1152</v>
      </c>
      <c r="T815" s="1" t="s">
        <v>1152</v>
      </c>
      <c r="U815" s="1" t="s">
        <v>1039</v>
      </c>
      <c r="V815" s="4" t="s">
        <v>4324</v>
      </c>
      <c r="W815" s="1"/>
      <c r="X815" s="18">
        <v>45883.0</v>
      </c>
      <c r="Y815" s="1"/>
      <c r="Z815" s="1"/>
      <c r="AA815" s="1"/>
      <c r="AB815" s="1"/>
      <c r="AC815" s="1" t="s">
        <v>1925</v>
      </c>
      <c r="AD815" s="1"/>
      <c r="AE815" s="1" t="s">
        <v>1152</v>
      </c>
      <c r="AF815" s="1"/>
      <c r="AG815" s="1"/>
      <c r="AH815" s="1" t="s">
        <v>1152</v>
      </c>
      <c r="AI815" s="1"/>
      <c r="AJ815" s="1"/>
      <c r="AK815" s="1"/>
      <c r="AL815" s="6" t="str">
        <f t="array" ref="AL815">IFERROR(IFS(XLOOKUP(B815, 'Kit Delivery Status'!$U:$U, 'Kit Delivery Status'!$K:$K) = "Complete", "DELIVERED", XLOOKUP(B815, 'Kit Delivery Status'!$U:$U, 'Kit Delivery Status'!$K:$K) = "Issue", "ISSUE"), "")</f>
        <v/>
      </c>
      <c r="AM815" s="6"/>
    </row>
    <row r="816">
      <c r="A816" s="5" t="s">
        <v>4325</v>
      </c>
      <c r="B816" s="1" t="s">
        <v>4326</v>
      </c>
      <c r="C816" s="1" t="s">
        <v>4327</v>
      </c>
      <c r="D816" s="2">
        <v>1.3107452523E10</v>
      </c>
      <c r="E816" s="1" t="s">
        <v>4328</v>
      </c>
      <c r="F816" s="1" t="s">
        <v>4329</v>
      </c>
      <c r="G816" s="1" t="s">
        <v>4330</v>
      </c>
      <c r="H816" s="1" t="s">
        <v>989</v>
      </c>
      <c r="I816" s="1">
        <v>90272.0</v>
      </c>
      <c r="J816" s="1" t="s">
        <v>752</v>
      </c>
      <c r="K816" s="1" t="s">
        <v>51</v>
      </c>
      <c r="L816" s="1" t="s">
        <v>3293</v>
      </c>
      <c r="M816" s="1">
        <v>1.0</v>
      </c>
      <c r="N816" s="1" t="s">
        <v>2487</v>
      </c>
      <c r="O816" s="3"/>
      <c r="P816" s="18">
        <v>45890.0</v>
      </c>
      <c r="Q816" s="1" t="s">
        <v>3219</v>
      </c>
      <c r="R816" s="1" t="s">
        <v>4329</v>
      </c>
      <c r="S816" s="1" t="s">
        <v>2487</v>
      </c>
      <c r="T816" s="1" t="s">
        <v>2487</v>
      </c>
      <c r="U816" s="1"/>
      <c r="V816" s="4"/>
      <c r="W816" s="1" t="s">
        <v>4329</v>
      </c>
      <c r="X816" s="18">
        <v>45890.0</v>
      </c>
      <c r="Y816" s="1" t="s">
        <v>1455</v>
      </c>
      <c r="Z816" s="1"/>
      <c r="AA816" s="1" t="s">
        <v>4329</v>
      </c>
      <c r="AB816" s="1" t="s">
        <v>124</v>
      </c>
      <c r="AC816" s="1" t="s">
        <v>1925</v>
      </c>
      <c r="AD816" s="1"/>
      <c r="AE816" s="1" t="s">
        <v>1152</v>
      </c>
      <c r="AF816" s="1"/>
      <c r="AG816" s="1"/>
      <c r="AH816" s="1" t="s">
        <v>1152</v>
      </c>
      <c r="AI816" s="1"/>
      <c r="AJ816" s="1"/>
      <c r="AK816" s="1"/>
      <c r="AL816" s="6" t="str">
        <f t="array" ref="AL816">IFERROR(IFS(XLOOKUP(B816, 'Kit Delivery Status'!$U:$U, 'Kit Delivery Status'!$K:$K) = "Complete", "DELIVERED", XLOOKUP(B816, 'Kit Delivery Status'!$U:$U, 'Kit Delivery Status'!$K:$K) = "Issue", "ISSUE"), "")</f>
        <v/>
      </c>
      <c r="AM816" s="6"/>
    </row>
    <row r="817">
      <c r="A817" s="5" t="s">
        <v>4331</v>
      </c>
      <c r="B817" s="1" t="s">
        <v>4332</v>
      </c>
      <c r="C817" s="1" t="s">
        <v>4333</v>
      </c>
      <c r="D817" s="2">
        <v>1.9174842728E10</v>
      </c>
      <c r="E817" s="1" t="s">
        <v>4334</v>
      </c>
      <c r="F817" s="1"/>
      <c r="G817" s="1" t="s">
        <v>4335</v>
      </c>
      <c r="H817" s="1" t="s">
        <v>751</v>
      </c>
      <c r="I817" s="1">
        <v>10024.0</v>
      </c>
      <c r="J817" s="1" t="s">
        <v>752</v>
      </c>
      <c r="K817" s="1" t="s">
        <v>95</v>
      </c>
      <c r="L817" s="1" t="s">
        <v>3327</v>
      </c>
      <c r="M817" s="1">
        <v>49.0</v>
      </c>
      <c r="N817" s="1" t="s">
        <v>2461</v>
      </c>
      <c r="O817" s="3" t="s">
        <v>4336</v>
      </c>
      <c r="P817" s="18">
        <v>45883.0</v>
      </c>
      <c r="Q817" s="1" t="s">
        <v>2463</v>
      </c>
      <c r="R817" s="1"/>
      <c r="S817" s="1" t="s">
        <v>2461</v>
      </c>
      <c r="T817" s="1" t="s">
        <v>2461</v>
      </c>
      <c r="U817" s="1" t="s">
        <v>1456</v>
      </c>
      <c r="V817" s="4" t="s">
        <v>4336</v>
      </c>
      <c r="W817" s="1"/>
      <c r="X817" s="18">
        <v>45883.0</v>
      </c>
      <c r="Y817" s="1" t="s">
        <v>1030</v>
      </c>
      <c r="Z817" s="1"/>
      <c r="AA817" s="1"/>
      <c r="AB817" s="1" t="s">
        <v>52</v>
      </c>
      <c r="AC817" s="1" t="s">
        <v>4337</v>
      </c>
      <c r="AD817" s="1"/>
      <c r="AE817" s="1" t="s">
        <v>1152</v>
      </c>
      <c r="AF817" s="1"/>
      <c r="AG817" s="1"/>
      <c r="AH817" s="1" t="s">
        <v>1152</v>
      </c>
      <c r="AI817" s="1"/>
      <c r="AJ817" s="1"/>
      <c r="AK817" s="1"/>
      <c r="AL817" s="6" t="str">
        <f t="array" ref="AL817">IFERROR(IFS(XLOOKUP(B817, 'Kit Delivery Status'!$U:$U, 'Kit Delivery Status'!$K:$K) = "Complete", "DELIVERED", XLOOKUP(B817, 'Kit Delivery Status'!$U:$U, 'Kit Delivery Status'!$K:$K) = "Issue", "ISSUE"), "")</f>
        <v/>
      </c>
      <c r="AM817" s="6"/>
    </row>
    <row r="818">
      <c r="A818" s="5" t="s">
        <v>4338</v>
      </c>
      <c r="B818" s="1" t="s">
        <v>4339</v>
      </c>
      <c r="C818" s="1" t="s">
        <v>4340</v>
      </c>
      <c r="D818" s="2">
        <v>8.087819309E9</v>
      </c>
      <c r="E818" s="1" t="s">
        <v>4341</v>
      </c>
      <c r="F818" s="1"/>
      <c r="G818" s="1" t="s">
        <v>2485</v>
      </c>
      <c r="H818" s="1" t="s">
        <v>2486</v>
      </c>
      <c r="I818" s="1">
        <v>96817.0</v>
      </c>
      <c r="J818" s="1" t="s">
        <v>752</v>
      </c>
      <c r="K818" s="1" t="s">
        <v>66</v>
      </c>
      <c r="L818" s="1" t="s">
        <v>3321</v>
      </c>
      <c r="M818" s="1">
        <v>210.0</v>
      </c>
      <c r="N818" s="1" t="s">
        <v>1152</v>
      </c>
      <c r="O818" s="3" t="s">
        <v>4342</v>
      </c>
      <c r="P818" s="18">
        <v>45883.0</v>
      </c>
      <c r="Q818" s="1" t="s">
        <v>1152</v>
      </c>
      <c r="R818" s="1"/>
      <c r="S818" s="1" t="s">
        <v>1152</v>
      </c>
      <c r="T818" s="1" t="s">
        <v>1152</v>
      </c>
      <c r="U818" s="1" t="s">
        <v>1249</v>
      </c>
      <c r="V818" s="3" t="s">
        <v>4342</v>
      </c>
      <c r="W818" s="1"/>
      <c r="X818" s="18">
        <v>45883.0</v>
      </c>
      <c r="Y818" s="1"/>
      <c r="Z818" s="1"/>
      <c r="AA818" s="1"/>
      <c r="AB818" s="1"/>
      <c r="AC818" s="1" t="s">
        <v>1925</v>
      </c>
      <c r="AD818" s="1"/>
      <c r="AE818" s="1" t="s">
        <v>1152</v>
      </c>
      <c r="AF818" s="1"/>
      <c r="AG818" s="1"/>
      <c r="AH818" s="1" t="s">
        <v>1152</v>
      </c>
      <c r="AI818" s="1"/>
      <c r="AJ818" s="1"/>
      <c r="AK818" s="1"/>
      <c r="AL818" s="6" t="str">
        <f t="array" ref="AL818">IFERROR(IFS(XLOOKUP(B818, 'Kit Delivery Status'!$U:$U, 'Kit Delivery Status'!$K:$K) = "Complete", "DELIVERED", XLOOKUP(B818, 'Kit Delivery Status'!$U:$U, 'Kit Delivery Status'!$K:$K) = "Issue", "ISSUE"), "")</f>
        <v/>
      </c>
      <c r="AM818" s="6"/>
    </row>
    <row r="819">
      <c r="A819" s="5" t="s">
        <v>4343</v>
      </c>
      <c r="B819" s="1" t="s">
        <v>4344</v>
      </c>
      <c r="C819" s="1" t="s">
        <v>4345</v>
      </c>
      <c r="D819" s="2">
        <v>9.174977765E9</v>
      </c>
      <c r="E819" s="1" t="s">
        <v>4346</v>
      </c>
      <c r="F819" s="1"/>
      <c r="G819" s="1" t="s">
        <v>1528</v>
      </c>
      <c r="H819" s="1" t="s">
        <v>1053</v>
      </c>
      <c r="I819" s="1">
        <v>7631.0</v>
      </c>
      <c r="J819" s="1" t="s">
        <v>752</v>
      </c>
      <c r="K819" s="1" t="s">
        <v>66</v>
      </c>
      <c r="L819" s="1" t="s">
        <v>3350</v>
      </c>
      <c r="M819" s="1">
        <v>145.0</v>
      </c>
      <c r="N819" s="1" t="s">
        <v>1152</v>
      </c>
      <c r="O819" s="3" t="s">
        <v>4347</v>
      </c>
      <c r="P819" s="18">
        <v>45881.0</v>
      </c>
      <c r="Q819" s="1" t="s">
        <v>1152</v>
      </c>
      <c r="R819" s="1"/>
      <c r="S819" s="1" t="s">
        <v>1152</v>
      </c>
      <c r="T819" s="1" t="s">
        <v>1152</v>
      </c>
      <c r="U819" s="1" t="s">
        <v>982</v>
      </c>
      <c r="V819" s="4" t="s">
        <v>4347</v>
      </c>
      <c r="W819" s="1"/>
      <c r="X819" s="18">
        <v>45881.0</v>
      </c>
      <c r="Y819" s="1"/>
      <c r="Z819" s="1"/>
      <c r="AA819" s="1"/>
      <c r="AB819" s="1"/>
      <c r="AC819" s="1" t="s">
        <v>1925</v>
      </c>
      <c r="AD819" s="1"/>
      <c r="AE819" s="1" t="s">
        <v>1152</v>
      </c>
      <c r="AF819" s="1"/>
      <c r="AG819" s="1"/>
      <c r="AH819" s="1" t="s">
        <v>1152</v>
      </c>
      <c r="AI819" s="1"/>
      <c r="AJ819" s="1"/>
      <c r="AK819" s="1"/>
      <c r="AL819" s="6" t="str">
        <f t="array" ref="AL819">IFERROR(IFS(XLOOKUP(B819, 'Kit Delivery Status'!$U:$U, 'Kit Delivery Status'!$K:$K) = "Complete", "DELIVERED", XLOOKUP(B819, 'Kit Delivery Status'!$U:$U, 'Kit Delivery Status'!$K:$K) = "Issue", "ISSUE"), "")</f>
        <v/>
      </c>
      <c r="AM819" s="6"/>
    </row>
    <row r="820">
      <c r="A820" s="5" t="s">
        <v>4348</v>
      </c>
      <c r="B820" s="1" t="s">
        <v>4349</v>
      </c>
      <c r="C820" s="1" t="s">
        <v>4350</v>
      </c>
      <c r="D820" s="2">
        <v>3.038830553E9</v>
      </c>
      <c r="E820" s="1" t="s">
        <v>4351</v>
      </c>
      <c r="F820" s="1"/>
      <c r="G820" s="1" t="s">
        <v>4352</v>
      </c>
      <c r="H820" s="1" t="s">
        <v>1891</v>
      </c>
      <c r="I820" s="1">
        <v>80303.0</v>
      </c>
      <c r="J820" s="1" t="s">
        <v>752</v>
      </c>
      <c r="K820" s="1" t="s">
        <v>51</v>
      </c>
      <c r="L820" s="1" t="s">
        <v>3293</v>
      </c>
      <c r="M820" s="1">
        <v>1.0</v>
      </c>
      <c r="N820" s="1" t="s">
        <v>2461</v>
      </c>
      <c r="O820" s="3" t="s">
        <v>4353</v>
      </c>
      <c r="P820" s="18">
        <v>45892.0</v>
      </c>
      <c r="Q820" s="1" t="s">
        <v>2463</v>
      </c>
      <c r="R820" s="1"/>
      <c r="S820" s="1" t="s">
        <v>2461</v>
      </c>
      <c r="T820" s="1" t="s">
        <v>2461</v>
      </c>
      <c r="U820" s="1" t="s">
        <v>1456</v>
      </c>
      <c r="V820" s="4" t="s">
        <v>4353</v>
      </c>
      <c r="W820" s="1"/>
      <c r="X820" s="18">
        <v>45892.0</v>
      </c>
      <c r="Y820" s="1" t="s">
        <v>1030</v>
      </c>
      <c r="Z820" s="1"/>
      <c r="AA820" s="1"/>
      <c r="AB820" s="1" t="s">
        <v>52</v>
      </c>
      <c r="AC820" s="1" t="s">
        <v>1925</v>
      </c>
      <c r="AD820" s="1"/>
      <c r="AE820" s="1" t="s">
        <v>1152</v>
      </c>
      <c r="AF820" s="1"/>
      <c r="AG820" s="1"/>
      <c r="AH820" s="1" t="s">
        <v>1152</v>
      </c>
      <c r="AI820" s="1"/>
      <c r="AJ820" s="1"/>
      <c r="AK820" s="1"/>
      <c r="AL820" s="6" t="str">
        <f t="array" ref="AL820">IFERROR(IFS(XLOOKUP(B820, 'Kit Delivery Status'!$U:$U, 'Kit Delivery Status'!$K:$K) = "Complete", "DELIVERED", XLOOKUP(B820, 'Kit Delivery Status'!$U:$U, 'Kit Delivery Status'!$K:$K) = "Issue", "ISSUE"), "")</f>
        <v/>
      </c>
      <c r="AM820" s="6"/>
    </row>
    <row r="821">
      <c r="A821" s="5" t="s">
        <v>4354</v>
      </c>
      <c r="B821" s="1" t="s">
        <v>4355</v>
      </c>
      <c r="C821" s="1"/>
      <c r="D821" s="2">
        <v>3.015756053E9</v>
      </c>
      <c r="E821" s="1" t="s">
        <v>4356</v>
      </c>
      <c r="F821" s="1"/>
      <c r="G821" s="1" t="s">
        <v>1299</v>
      </c>
      <c r="H821" s="1" t="s">
        <v>1005</v>
      </c>
      <c r="I821" s="1">
        <v>20814.0</v>
      </c>
      <c r="J821" s="1" t="s">
        <v>752</v>
      </c>
      <c r="K821" s="1" t="s">
        <v>51</v>
      </c>
      <c r="L821" s="1" t="s">
        <v>3293</v>
      </c>
      <c r="M821" s="1">
        <v>1.0</v>
      </c>
      <c r="N821" s="1" t="s">
        <v>2461</v>
      </c>
      <c r="O821" s="3" t="s">
        <v>4357</v>
      </c>
      <c r="P821" s="18">
        <v>45875.0</v>
      </c>
      <c r="Q821" s="1" t="s">
        <v>2463</v>
      </c>
      <c r="R821" s="1"/>
      <c r="S821" s="1" t="s">
        <v>2461</v>
      </c>
      <c r="T821" s="1" t="s">
        <v>2461</v>
      </c>
      <c r="U821" s="1" t="s">
        <v>1642</v>
      </c>
      <c r="V821" s="4" t="s">
        <v>4357</v>
      </c>
      <c r="W821" s="1"/>
      <c r="X821" s="18">
        <v>45875.0</v>
      </c>
      <c r="Y821" s="1" t="s">
        <v>1030</v>
      </c>
      <c r="Z821" s="1"/>
      <c r="AA821" s="1"/>
      <c r="AB821" s="1" t="s">
        <v>52</v>
      </c>
      <c r="AC821" s="1" t="s">
        <v>1925</v>
      </c>
      <c r="AD821" s="1"/>
      <c r="AE821" s="1" t="s">
        <v>1152</v>
      </c>
      <c r="AF821" s="1"/>
      <c r="AG821" s="1"/>
      <c r="AH821" s="1" t="s">
        <v>1152</v>
      </c>
      <c r="AI821" s="1"/>
      <c r="AJ821" s="1"/>
      <c r="AK821" s="1"/>
      <c r="AL821" s="6" t="str">
        <f t="array" ref="AL821">IFERROR(IFS(XLOOKUP(B821, 'Kit Delivery Status'!$U:$U, 'Kit Delivery Status'!$K:$K) = "Complete", "DELIVERED", XLOOKUP(B821, 'Kit Delivery Status'!$U:$U, 'Kit Delivery Status'!$K:$K) = "Issue", "ISSUE"), "")</f>
        <v/>
      </c>
      <c r="AM821" s="6"/>
    </row>
    <row r="822">
      <c r="A822" s="5" t="s">
        <v>4358</v>
      </c>
      <c r="B822" s="1" t="s">
        <v>4359</v>
      </c>
      <c r="C822" s="1"/>
      <c r="D822" s="2">
        <v>3.148280842E9</v>
      </c>
      <c r="E822" s="1" t="s">
        <v>4360</v>
      </c>
      <c r="F822" s="1" t="s">
        <v>4361</v>
      </c>
      <c r="G822" s="1" t="s">
        <v>1283</v>
      </c>
      <c r="H822" s="1" t="s">
        <v>1155</v>
      </c>
      <c r="I822" s="1">
        <v>63112.0</v>
      </c>
      <c r="J822" s="1" t="s">
        <v>752</v>
      </c>
      <c r="K822" s="1" t="s">
        <v>51</v>
      </c>
      <c r="L822" s="1" t="s">
        <v>3293</v>
      </c>
      <c r="M822" s="1">
        <v>1.0</v>
      </c>
      <c r="N822" s="1" t="s">
        <v>2487</v>
      </c>
      <c r="O822" s="3"/>
      <c r="P822" s="18">
        <v>45890.0</v>
      </c>
      <c r="Q822" s="1" t="s">
        <v>3418</v>
      </c>
      <c r="R822" s="1" t="s">
        <v>4361</v>
      </c>
      <c r="S822" s="1" t="s">
        <v>2487</v>
      </c>
      <c r="T822" s="1" t="s">
        <v>2487</v>
      </c>
      <c r="U822" s="1"/>
      <c r="V822" s="4"/>
      <c r="W822" s="1" t="s">
        <v>4361</v>
      </c>
      <c r="X822" s="18">
        <v>45890.0</v>
      </c>
      <c r="Y822" s="1" t="s">
        <v>1103</v>
      </c>
      <c r="Z822" s="1"/>
      <c r="AA822" s="1" t="s">
        <v>4361</v>
      </c>
      <c r="AB822" s="1" t="s">
        <v>124</v>
      </c>
      <c r="AC822" s="1" t="s">
        <v>1925</v>
      </c>
      <c r="AD822" s="1"/>
      <c r="AE822" s="1" t="s">
        <v>1152</v>
      </c>
      <c r="AF822" s="1"/>
      <c r="AG822" s="1"/>
      <c r="AH822" s="1" t="s">
        <v>1152</v>
      </c>
      <c r="AI822" s="1"/>
      <c r="AJ822" s="1"/>
      <c r="AK822" s="1"/>
      <c r="AL822" s="6" t="str">
        <f t="array" ref="AL822">IFERROR(IFS(XLOOKUP(B822, 'Kit Delivery Status'!$U:$U, 'Kit Delivery Status'!$K:$K) = "Complete", "DELIVERED", XLOOKUP(B822, 'Kit Delivery Status'!$U:$U, 'Kit Delivery Status'!$K:$K) = "Issue", "ISSUE"), "")</f>
        <v/>
      </c>
      <c r="AM822" s="6"/>
    </row>
    <row r="823">
      <c r="A823" s="5" t="s">
        <v>4362</v>
      </c>
      <c r="B823" s="1" t="s">
        <v>4363</v>
      </c>
      <c r="C823" s="1" t="s">
        <v>4364</v>
      </c>
      <c r="D823" s="2"/>
      <c r="E823" s="1" t="s">
        <v>4365</v>
      </c>
      <c r="F823" s="1"/>
      <c r="G823" s="1" t="s">
        <v>1179</v>
      </c>
      <c r="H823" s="1" t="s">
        <v>989</v>
      </c>
      <c r="I823" s="1">
        <v>90025.0</v>
      </c>
      <c r="J823" s="1" t="s">
        <v>752</v>
      </c>
      <c r="K823" s="1" t="s">
        <v>51</v>
      </c>
      <c r="L823" s="1" t="s">
        <v>3293</v>
      </c>
      <c r="M823" s="1">
        <v>1.0</v>
      </c>
      <c r="N823" s="1" t="s">
        <v>2461</v>
      </c>
      <c r="O823" s="3" t="s">
        <v>4366</v>
      </c>
      <c r="P823" s="18">
        <v>45888.0</v>
      </c>
      <c r="Q823" s="1" t="s">
        <v>2731</v>
      </c>
      <c r="R823" s="1"/>
      <c r="S823" s="1" t="s">
        <v>2461</v>
      </c>
      <c r="T823" s="1" t="s">
        <v>2461</v>
      </c>
      <c r="U823" s="1" t="s">
        <v>1021</v>
      </c>
      <c r="V823" s="4" t="s">
        <v>4366</v>
      </c>
      <c r="W823" s="1"/>
      <c r="X823" s="18">
        <v>45888.0</v>
      </c>
      <c r="Y823" s="1" t="s">
        <v>1349</v>
      </c>
      <c r="Z823" s="1"/>
      <c r="AA823" s="1"/>
      <c r="AB823" s="1" t="s">
        <v>52</v>
      </c>
      <c r="AC823" s="1" t="s">
        <v>1925</v>
      </c>
      <c r="AD823" s="1"/>
      <c r="AE823" s="1" t="s">
        <v>1152</v>
      </c>
      <c r="AF823" s="1"/>
      <c r="AG823" s="1"/>
      <c r="AH823" s="1" t="s">
        <v>1152</v>
      </c>
      <c r="AI823" s="1"/>
      <c r="AJ823" s="1"/>
      <c r="AK823" s="1"/>
      <c r="AL823" s="6" t="str">
        <f t="array" ref="AL823">IFERROR(IFS(XLOOKUP(B823, 'Kit Delivery Status'!$U:$U, 'Kit Delivery Status'!$K:$K) = "Complete", "DELIVERED", XLOOKUP(B823, 'Kit Delivery Status'!$U:$U, 'Kit Delivery Status'!$K:$K) = "Issue", "ISSUE"), "")</f>
        <v/>
      </c>
      <c r="AM823" s="6"/>
    </row>
    <row r="824">
      <c r="A824" s="5" t="s">
        <v>4367</v>
      </c>
      <c r="B824" s="1" t="s">
        <v>4368</v>
      </c>
      <c r="C824" s="1"/>
      <c r="D824" s="2">
        <v>2.485905519E9</v>
      </c>
      <c r="E824" s="1" t="s">
        <v>4369</v>
      </c>
      <c r="F824" s="1"/>
      <c r="G824" s="1" t="s">
        <v>4370</v>
      </c>
      <c r="H824" s="1" t="s">
        <v>1691</v>
      </c>
      <c r="I824" s="1">
        <v>48009.0</v>
      </c>
      <c r="J824" s="1" t="s">
        <v>752</v>
      </c>
      <c r="K824" s="1" t="s">
        <v>66</v>
      </c>
      <c r="L824" s="1" t="s">
        <v>3321</v>
      </c>
      <c r="M824" s="1">
        <v>210.0</v>
      </c>
      <c r="N824" s="1" t="s">
        <v>1152</v>
      </c>
      <c r="O824" s="3" t="s">
        <v>4371</v>
      </c>
      <c r="P824" s="18">
        <v>45883.0</v>
      </c>
      <c r="Q824" s="1" t="s">
        <v>1152</v>
      </c>
      <c r="R824" s="1"/>
      <c r="S824" s="1" t="s">
        <v>1152</v>
      </c>
      <c r="T824" s="1" t="s">
        <v>1152</v>
      </c>
      <c r="U824" s="1" t="s">
        <v>1080</v>
      </c>
      <c r="V824" s="4" t="s">
        <v>4371</v>
      </c>
      <c r="W824" s="1"/>
      <c r="X824" s="18">
        <v>45883.0</v>
      </c>
      <c r="Y824" s="1"/>
      <c r="Z824" s="1"/>
      <c r="AA824" s="1"/>
      <c r="AB824" s="1"/>
      <c r="AC824" s="1" t="s">
        <v>1925</v>
      </c>
      <c r="AD824" s="1"/>
      <c r="AE824" s="1" t="s">
        <v>1152</v>
      </c>
      <c r="AF824" s="1"/>
      <c r="AG824" s="1"/>
      <c r="AH824" s="1" t="s">
        <v>1152</v>
      </c>
      <c r="AI824" s="1"/>
      <c r="AJ824" s="1"/>
      <c r="AK824" s="1"/>
      <c r="AL824" s="6" t="str">
        <f t="array" ref="AL824">IFERROR(IFS(XLOOKUP(B824, 'Kit Delivery Status'!$U:$U, 'Kit Delivery Status'!$K:$K) = "Complete", "DELIVERED", XLOOKUP(B824, 'Kit Delivery Status'!$U:$U, 'Kit Delivery Status'!$K:$K) = "Issue", "ISSUE"), "")</f>
        <v/>
      </c>
      <c r="AM824" s="6"/>
    </row>
    <row r="825">
      <c r="A825" s="5" t="s">
        <v>4372</v>
      </c>
      <c r="B825" s="1" t="s">
        <v>4373</v>
      </c>
      <c r="C825" s="1" t="s">
        <v>4374</v>
      </c>
      <c r="D825" s="2">
        <v>5.053073197E9</v>
      </c>
      <c r="E825" s="1" t="s">
        <v>4375</v>
      </c>
      <c r="F825" s="1"/>
      <c r="G825" s="1" t="s">
        <v>4376</v>
      </c>
      <c r="H825" s="1" t="s">
        <v>1028</v>
      </c>
      <c r="I825" s="1">
        <v>87122.0</v>
      </c>
      <c r="J825" s="1" t="s">
        <v>752</v>
      </c>
      <c r="K825" s="1" t="s">
        <v>66</v>
      </c>
      <c r="L825" s="1" t="s">
        <v>3321</v>
      </c>
      <c r="M825" s="1">
        <v>210.0</v>
      </c>
      <c r="N825" s="1" t="s">
        <v>1152</v>
      </c>
      <c r="O825" s="3" t="s">
        <v>3619</v>
      </c>
      <c r="P825" s="18">
        <v>45883.0</v>
      </c>
      <c r="Q825" s="1" t="s">
        <v>1152</v>
      </c>
      <c r="R825" s="1"/>
      <c r="S825" s="1" t="s">
        <v>1152</v>
      </c>
      <c r="T825" s="1" t="s">
        <v>1152</v>
      </c>
      <c r="U825" s="1" t="s">
        <v>1376</v>
      </c>
      <c r="V825" s="4" t="s">
        <v>3619</v>
      </c>
      <c r="W825" s="1"/>
      <c r="X825" s="18">
        <v>45883.0</v>
      </c>
      <c r="Y825" s="1"/>
      <c r="Z825" s="1"/>
      <c r="AA825" s="1"/>
      <c r="AB825" s="1"/>
      <c r="AC825" s="1" t="s">
        <v>1925</v>
      </c>
      <c r="AD825" s="1"/>
      <c r="AE825" s="1" t="s">
        <v>1152</v>
      </c>
      <c r="AF825" s="1"/>
      <c r="AG825" s="1"/>
      <c r="AH825" s="1" t="s">
        <v>1152</v>
      </c>
      <c r="AI825" s="1"/>
      <c r="AJ825" s="1"/>
      <c r="AK825" s="1"/>
      <c r="AL825" s="6" t="str">
        <f t="array" ref="AL825">IFERROR(IFS(XLOOKUP(B825, 'Kit Delivery Status'!$U:$U, 'Kit Delivery Status'!$K:$K) = "Complete", "DELIVERED", XLOOKUP(B825, 'Kit Delivery Status'!$U:$U, 'Kit Delivery Status'!$K:$K) = "Issue", "ISSUE"), "")</f>
        <v/>
      </c>
      <c r="AM825" s="6"/>
    </row>
    <row r="826">
      <c r="A826" s="5" t="s">
        <v>4377</v>
      </c>
      <c r="B826" s="1" t="s">
        <v>4378</v>
      </c>
      <c r="C826" s="1" t="s">
        <v>4379</v>
      </c>
      <c r="D826" s="2"/>
      <c r="E826" s="1" t="s">
        <v>4380</v>
      </c>
      <c r="F826" s="1"/>
      <c r="G826" s="1" t="s">
        <v>4381</v>
      </c>
      <c r="H826" s="1" t="s">
        <v>2999</v>
      </c>
      <c r="I826" s="1">
        <v>55436.0</v>
      </c>
      <c r="J826" s="1" t="s">
        <v>752</v>
      </c>
      <c r="K826" s="1" t="s">
        <v>51</v>
      </c>
      <c r="L826" s="1" t="s">
        <v>3293</v>
      </c>
      <c r="M826" s="1">
        <v>1.0</v>
      </c>
      <c r="N826" s="1" t="s">
        <v>2461</v>
      </c>
      <c r="O826" s="3" t="s">
        <v>4382</v>
      </c>
      <c r="P826" s="18">
        <v>45888.0</v>
      </c>
      <c r="Q826" s="1" t="s">
        <v>2463</v>
      </c>
      <c r="R826" s="1"/>
      <c r="S826" s="1" t="s">
        <v>2461</v>
      </c>
      <c r="T826" s="1" t="s">
        <v>2461</v>
      </c>
      <c r="U826" s="1" t="s">
        <v>1642</v>
      </c>
      <c r="V826" s="4" t="s">
        <v>4382</v>
      </c>
      <c r="W826" s="1"/>
      <c r="X826" s="18">
        <v>45888.0</v>
      </c>
      <c r="Y826" s="1" t="s">
        <v>1030</v>
      </c>
      <c r="Z826" s="1"/>
      <c r="AA826" s="1"/>
      <c r="AB826" s="1" t="s">
        <v>52</v>
      </c>
      <c r="AC826" s="1" t="s">
        <v>1925</v>
      </c>
      <c r="AD826" s="1"/>
      <c r="AE826" s="1" t="s">
        <v>1152</v>
      </c>
      <c r="AF826" s="1"/>
      <c r="AG826" s="1"/>
      <c r="AH826" s="1" t="s">
        <v>1152</v>
      </c>
      <c r="AI826" s="1"/>
      <c r="AJ826" s="1"/>
      <c r="AK826" s="1"/>
      <c r="AL826" s="6" t="str">
        <f t="array" ref="AL826">IFERROR(IFS(XLOOKUP(B826, 'Kit Delivery Status'!$U:$U, 'Kit Delivery Status'!$K:$K) = "Complete", "DELIVERED", XLOOKUP(B826, 'Kit Delivery Status'!$U:$U, 'Kit Delivery Status'!$K:$K) = "Issue", "ISSUE"), "")</f>
        <v/>
      </c>
      <c r="AM826" s="6"/>
    </row>
    <row r="827">
      <c r="A827" s="5" t="s">
        <v>4383</v>
      </c>
      <c r="B827" s="1" t="s">
        <v>4384</v>
      </c>
      <c r="C827" s="1" t="s">
        <v>4385</v>
      </c>
      <c r="D827" s="2">
        <v>1.7742571404E10</v>
      </c>
      <c r="E827" s="1" t="s">
        <v>4386</v>
      </c>
      <c r="F827" s="1"/>
      <c r="G827" s="1" t="s">
        <v>1766</v>
      </c>
      <c r="H827" s="1" t="s">
        <v>1078</v>
      </c>
      <c r="I827" s="1">
        <v>6830.0</v>
      </c>
      <c r="J827" s="1" t="s">
        <v>752</v>
      </c>
      <c r="K827" s="1" t="s">
        <v>51</v>
      </c>
      <c r="L827" s="1" t="s">
        <v>3293</v>
      </c>
      <c r="M827" s="1">
        <v>1.0</v>
      </c>
      <c r="N827" s="1" t="s">
        <v>2461</v>
      </c>
      <c r="O827" s="3" t="s">
        <v>2013</v>
      </c>
      <c r="P827" s="18">
        <v>45889.0</v>
      </c>
      <c r="Q827" s="1" t="s">
        <v>2463</v>
      </c>
      <c r="R827" s="1"/>
      <c r="S827" s="1" t="s">
        <v>2461</v>
      </c>
      <c r="T827" s="1" t="s">
        <v>2461</v>
      </c>
      <c r="U827" s="1" t="s">
        <v>1710</v>
      </c>
      <c r="V827" s="4" t="s">
        <v>2013</v>
      </c>
      <c r="W827" s="1"/>
      <c r="X827" s="18">
        <v>45889.0</v>
      </c>
      <c r="Y827" s="1" t="s">
        <v>1030</v>
      </c>
      <c r="Z827" s="1"/>
      <c r="AA827" s="1"/>
      <c r="AB827" s="1" t="s">
        <v>52</v>
      </c>
      <c r="AC827" s="1" t="s">
        <v>1925</v>
      </c>
      <c r="AD827" s="1"/>
      <c r="AE827" s="1" t="s">
        <v>1152</v>
      </c>
      <c r="AF827" s="1"/>
      <c r="AG827" s="1"/>
      <c r="AH827" s="1" t="s">
        <v>1152</v>
      </c>
      <c r="AI827" s="1"/>
      <c r="AJ827" s="1"/>
      <c r="AK827" s="1"/>
      <c r="AL827" s="6" t="str">
        <f t="array" ref="AL827">IFERROR(IFS(XLOOKUP(B827, 'Kit Delivery Status'!$U:$U, 'Kit Delivery Status'!$K:$K) = "Complete", "DELIVERED", XLOOKUP(B827, 'Kit Delivery Status'!$U:$U, 'Kit Delivery Status'!$K:$K) = "Issue", "ISSUE"), "")</f>
        <v/>
      </c>
      <c r="AM827" s="6"/>
    </row>
    <row r="828">
      <c r="A828" s="5" t="s">
        <v>4387</v>
      </c>
      <c r="B828" s="1" t="s">
        <v>4388</v>
      </c>
      <c r="C828" s="1" t="s">
        <v>4389</v>
      </c>
      <c r="D828" s="2">
        <v>2.01693619E9</v>
      </c>
      <c r="E828" s="1" t="s">
        <v>4390</v>
      </c>
      <c r="F828" s="1"/>
      <c r="G828" s="1" t="s">
        <v>1528</v>
      </c>
      <c r="H828" s="1" t="s">
        <v>1053</v>
      </c>
      <c r="I828" s="1">
        <v>7631.0</v>
      </c>
      <c r="J828" s="1" t="s">
        <v>752</v>
      </c>
      <c r="K828" s="1" t="s">
        <v>51</v>
      </c>
      <c r="L828" s="1" t="s">
        <v>3293</v>
      </c>
      <c r="M828" s="1">
        <v>1.0</v>
      </c>
      <c r="N828" s="1" t="s">
        <v>2461</v>
      </c>
      <c r="O828" s="3" t="s">
        <v>4391</v>
      </c>
      <c r="P828" s="18">
        <v>45889.0</v>
      </c>
      <c r="Q828" s="1" t="s">
        <v>2463</v>
      </c>
      <c r="R828" s="1"/>
      <c r="S828" s="1" t="s">
        <v>2461</v>
      </c>
      <c r="T828" s="1" t="s">
        <v>2461</v>
      </c>
      <c r="U828" s="1" t="s">
        <v>1201</v>
      </c>
      <c r="V828" s="4" t="s">
        <v>4391</v>
      </c>
      <c r="W828" s="1"/>
      <c r="X828" s="18">
        <v>45889.0</v>
      </c>
      <c r="Y828" s="1" t="s">
        <v>1030</v>
      </c>
      <c r="Z828" s="1"/>
      <c r="AA828" s="1"/>
      <c r="AB828" s="1" t="s">
        <v>52</v>
      </c>
      <c r="AC828" s="1" t="s">
        <v>1925</v>
      </c>
      <c r="AD828" s="1"/>
      <c r="AE828" s="1" t="s">
        <v>1152</v>
      </c>
      <c r="AF828" s="1"/>
      <c r="AG828" s="1"/>
      <c r="AH828" s="1" t="s">
        <v>1152</v>
      </c>
      <c r="AI828" s="1"/>
      <c r="AJ828" s="1"/>
      <c r="AK828" s="1"/>
      <c r="AL828" s="6" t="str">
        <f t="array" ref="AL828">IFERROR(IFS(XLOOKUP(B828, 'Kit Delivery Status'!$U:$U, 'Kit Delivery Status'!$K:$K) = "Complete", "DELIVERED", XLOOKUP(B828, 'Kit Delivery Status'!$U:$U, 'Kit Delivery Status'!$K:$K) = "Issue", "ISSUE"), "")</f>
        <v/>
      </c>
      <c r="AM828" s="6"/>
    </row>
    <row r="829">
      <c r="A829" s="5" t="s">
        <v>4387</v>
      </c>
      <c r="B829" s="1" t="s">
        <v>4388</v>
      </c>
      <c r="C829" s="1" t="s">
        <v>4389</v>
      </c>
      <c r="D829" s="2">
        <v>2.01693619E9</v>
      </c>
      <c r="E829" s="1" t="s">
        <v>4390</v>
      </c>
      <c r="F829" s="1"/>
      <c r="G829" s="1" t="s">
        <v>1528</v>
      </c>
      <c r="H829" s="1" t="s">
        <v>1053</v>
      </c>
      <c r="I829" s="1">
        <v>7631.0</v>
      </c>
      <c r="J829" s="1" t="s">
        <v>752</v>
      </c>
      <c r="K829" s="1" t="s">
        <v>66</v>
      </c>
      <c r="L829" s="1" t="s">
        <v>3321</v>
      </c>
      <c r="M829" s="1">
        <v>210.0</v>
      </c>
      <c r="N829" s="1" t="s">
        <v>1152</v>
      </c>
      <c r="O829" s="3" t="s">
        <v>4392</v>
      </c>
      <c r="P829" s="18">
        <v>45883.0</v>
      </c>
      <c r="Q829" s="1" t="s">
        <v>1152</v>
      </c>
      <c r="R829" s="1"/>
      <c r="S829" s="1" t="s">
        <v>1152</v>
      </c>
      <c r="T829" s="1" t="s">
        <v>1152</v>
      </c>
      <c r="U829" s="1" t="s">
        <v>1201</v>
      </c>
      <c r="V829" s="4" t="s">
        <v>4392</v>
      </c>
      <c r="W829" s="1"/>
      <c r="X829" s="18">
        <v>45883.0</v>
      </c>
      <c r="Y829" s="1"/>
      <c r="Z829" s="1"/>
      <c r="AA829" s="1"/>
      <c r="AB829" s="1"/>
      <c r="AC829" s="1" t="s">
        <v>1925</v>
      </c>
      <c r="AD829" s="1"/>
      <c r="AE829" s="1" t="s">
        <v>1152</v>
      </c>
      <c r="AF829" s="1"/>
      <c r="AG829" s="1"/>
      <c r="AH829" s="1" t="s">
        <v>1152</v>
      </c>
      <c r="AI829" s="1"/>
      <c r="AJ829" s="1"/>
      <c r="AK829" s="1"/>
      <c r="AL829" s="6" t="str">
        <f t="array" ref="AL829">IFERROR(IFS(XLOOKUP(B829, 'Kit Delivery Status'!$U:$U, 'Kit Delivery Status'!$K:$K) = "Complete", "DELIVERED", XLOOKUP(B829, 'Kit Delivery Status'!$U:$U, 'Kit Delivery Status'!$K:$K) = "Issue", "ISSUE"), "")</f>
        <v/>
      </c>
      <c r="AM829" s="6"/>
    </row>
    <row r="830">
      <c r="A830" s="5" t="s">
        <v>4393</v>
      </c>
      <c r="B830" s="1" t="s">
        <v>4394</v>
      </c>
      <c r="C830" s="1" t="s">
        <v>4395</v>
      </c>
      <c r="D830" s="2">
        <v>9.178590611E9</v>
      </c>
      <c r="E830" s="1" t="s">
        <v>4396</v>
      </c>
      <c r="F830" s="1"/>
      <c r="G830" s="1" t="s">
        <v>1354</v>
      </c>
      <c r="H830" s="1" t="s">
        <v>1121</v>
      </c>
      <c r="I830" s="1">
        <v>2467.0</v>
      </c>
      <c r="J830" s="1" t="s">
        <v>752</v>
      </c>
      <c r="K830" s="1" t="s">
        <v>51</v>
      </c>
      <c r="L830" s="1" t="s">
        <v>3293</v>
      </c>
      <c r="M830" s="1">
        <v>1.0</v>
      </c>
      <c r="N830" s="1" t="s">
        <v>2461</v>
      </c>
      <c r="O830" s="3" t="s">
        <v>4397</v>
      </c>
      <c r="P830" s="18">
        <v>45888.0</v>
      </c>
      <c r="Q830" s="1" t="s">
        <v>2463</v>
      </c>
      <c r="R830" s="1"/>
      <c r="S830" s="1" t="s">
        <v>2461</v>
      </c>
      <c r="T830" s="1" t="s">
        <v>2461</v>
      </c>
      <c r="U830" s="1" t="s">
        <v>1174</v>
      </c>
      <c r="V830" s="4" t="s">
        <v>4397</v>
      </c>
      <c r="W830" s="1"/>
      <c r="X830" s="18">
        <v>45888.0</v>
      </c>
      <c r="Y830" s="1" t="s">
        <v>1030</v>
      </c>
      <c r="Z830" s="1"/>
      <c r="AA830" s="1"/>
      <c r="AB830" s="1" t="s">
        <v>52</v>
      </c>
      <c r="AC830" s="1" t="s">
        <v>1925</v>
      </c>
      <c r="AD830" s="1"/>
      <c r="AE830" s="1" t="s">
        <v>1152</v>
      </c>
      <c r="AF830" s="1"/>
      <c r="AG830" s="1"/>
      <c r="AH830" s="1" t="s">
        <v>1152</v>
      </c>
      <c r="AI830" s="1"/>
      <c r="AJ830" s="1"/>
      <c r="AK830" s="1"/>
      <c r="AL830" s="6" t="str">
        <f t="array" ref="AL830">IFERROR(IFS(XLOOKUP(B830, 'Kit Delivery Status'!$U:$U, 'Kit Delivery Status'!$K:$K) = "Complete", "DELIVERED", XLOOKUP(B830, 'Kit Delivery Status'!$U:$U, 'Kit Delivery Status'!$K:$K) = "Issue", "ISSUE"), "")</f>
        <v/>
      </c>
      <c r="AM830" s="6"/>
    </row>
    <row r="831">
      <c r="A831" s="5" t="s">
        <v>4398</v>
      </c>
      <c r="B831" s="1" t="s">
        <v>4399</v>
      </c>
      <c r="C831" s="1"/>
      <c r="D831" s="2">
        <v>6.304858286E9</v>
      </c>
      <c r="E831" s="1" t="s">
        <v>4400</v>
      </c>
      <c r="F831" s="1"/>
      <c r="G831" s="1" t="s">
        <v>4401</v>
      </c>
      <c r="H831" s="1" t="s">
        <v>1019</v>
      </c>
      <c r="I831" s="1">
        <v>60527.0</v>
      </c>
      <c r="J831" s="1" t="s">
        <v>752</v>
      </c>
      <c r="K831" s="1" t="s">
        <v>51</v>
      </c>
      <c r="L831" s="1" t="s">
        <v>3293</v>
      </c>
      <c r="M831" s="1">
        <v>1.0</v>
      </c>
      <c r="N831" s="1" t="s">
        <v>2461</v>
      </c>
      <c r="O831" s="3" t="s">
        <v>2351</v>
      </c>
      <c r="P831" s="18">
        <v>45883.0</v>
      </c>
      <c r="Q831" s="1" t="s">
        <v>2463</v>
      </c>
      <c r="R831" s="1"/>
      <c r="S831" s="1" t="s">
        <v>2461</v>
      </c>
      <c r="T831" s="1" t="s">
        <v>2461</v>
      </c>
      <c r="U831" s="1" t="s">
        <v>1710</v>
      </c>
      <c r="V831" s="4" t="s">
        <v>2351</v>
      </c>
      <c r="W831" s="1"/>
      <c r="X831" s="18">
        <v>45883.0</v>
      </c>
      <c r="Y831" s="1" t="s">
        <v>1030</v>
      </c>
      <c r="Z831" s="1"/>
      <c r="AA831" s="1"/>
      <c r="AB831" s="1" t="s">
        <v>52</v>
      </c>
      <c r="AC831" s="1" t="s">
        <v>1925</v>
      </c>
      <c r="AD831" s="1"/>
      <c r="AE831" s="1" t="s">
        <v>1152</v>
      </c>
      <c r="AF831" s="1"/>
      <c r="AG831" s="1"/>
      <c r="AH831" s="1" t="s">
        <v>1152</v>
      </c>
      <c r="AI831" s="1"/>
      <c r="AJ831" s="1"/>
      <c r="AK831" s="1"/>
      <c r="AL831" s="6" t="str">
        <f t="array" ref="AL831">IFERROR(IFS(XLOOKUP(B831, 'Kit Delivery Status'!$U:$U, 'Kit Delivery Status'!$K:$K) = "Complete", "DELIVERED", XLOOKUP(B831, 'Kit Delivery Status'!$U:$U, 'Kit Delivery Status'!$K:$K) = "Issue", "ISSUE"), "")</f>
        <v/>
      </c>
      <c r="AM831" s="6"/>
    </row>
    <row r="832">
      <c r="A832" s="5" t="s">
        <v>4402</v>
      </c>
      <c r="B832" s="1" t="s">
        <v>4403</v>
      </c>
      <c r="C832" s="1" t="s">
        <v>4404</v>
      </c>
      <c r="D832" s="2">
        <v>5.126942421E9</v>
      </c>
      <c r="E832" s="1" t="s">
        <v>4405</v>
      </c>
      <c r="F832" s="1"/>
      <c r="G832" s="1" t="s">
        <v>1582</v>
      </c>
      <c r="H832" s="1" t="s">
        <v>1583</v>
      </c>
      <c r="I832" s="1">
        <v>78746.0</v>
      </c>
      <c r="J832" s="1" t="s">
        <v>752</v>
      </c>
      <c r="K832" s="1" t="s">
        <v>66</v>
      </c>
      <c r="L832" s="1" t="s">
        <v>3350</v>
      </c>
      <c r="M832" s="1">
        <v>145.0</v>
      </c>
      <c r="N832" s="1" t="s">
        <v>1152</v>
      </c>
      <c r="O832" s="3" t="s">
        <v>4406</v>
      </c>
      <c r="P832" s="18">
        <v>45891.0</v>
      </c>
      <c r="Q832" s="1" t="s">
        <v>1152</v>
      </c>
      <c r="R832" s="1"/>
      <c r="S832" s="1" t="s">
        <v>1152</v>
      </c>
      <c r="T832" s="1" t="s">
        <v>1152</v>
      </c>
      <c r="U832" s="1" t="s">
        <v>1285</v>
      </c>
      <c r="V832" s="4" t="s">
        <v>4406</v>
      </c>
      <c r="W832" s="1"/>
      <c r="X832" s="18">
        <v>45891.0</v>
      </c>
      <c r="Y832" s="1"/>
      <c r="Z832" s="1"/>
      <c r="AA832" s="1"/>
      <c r="AB832" s="1"/>
      <c r="AC832" s="1" t="s">
        <v>1925</v>
      </c>
      <c r="AD832" s="1"/>
      <c r="AE832" s="1" t="s">
        <v>1152</v>
      </c>
      <c r="AF832" s="1"/>
      <c r="AG832" s="1"/>
      <c r="AH832" s="1" t="s">
        <v>1152</v>
      </c>
      <c r="AI832" s="1"/>
      <c r="AJ832" s="1"/>
      <c r="AK832" s="1"/>
      <c r="AL832" s="6" t="str">
        <f t="array" ref="AL832">IFERROR(IFS(XLOOKUP(B832, 'Kit Delivery Status'!$U:$U, 'Kit Delivery Status'!$K:$K) = "Complete", "DELIVERED", XLOOKUP(B832, 'Kit Delivery Status'!$U:$U, 'Kit Delivery Status'!$K:$K) = "Issue", "ISSUE"), "")</f>
        <v/>
      </c>
      <c r="AM832" s="6"/>
    </row>
    <row r="833">
      <c r="A833" s="5" t="s">
        <v>4407</v>
      </c>
      <c r="B833" s="1" t="s">
        <v>4408</v>
      </c>
      <c r="C833" s="1" t="s">
        <v>3703</v>
      </c>
      <c r="D833" s="2">
        <v>2.038148546E9</v>
      </c>
      <c r="E833" s="1" t="s">
        <v>3704</v>
      </c>
      <c r="F833" s="1"/>
      <c r="G833" s="1" t="s">
        <v>1604</v>
      </c>
      <c r="H833" s="1" t="s">
        <v>1078</v>
      </c>
      <c r="I833" s="1">
        <v>6880.0</v>
      </c>
      <c r="J833" s="1" t="s">
        <v>752</v>
      </c>
      <c r="K833" s="1" t="s">
        <v>66</v>
      </c>
      <c r="L833" s="1" t="s">
        <v>3321</v>
      </c>
      <c r="M833" s="1">
        <v>210.0</v>
      </c>
      <c r="N833" s="1" t="s">
        <v>1152</v>
      </c>
      <c r="O833" s="3" t="s">
        <v>3705</v>
      </c>
      <c r="P833" s="18">
        <v>45890.0</v>
      </c>
      <c r="Q833" s="1" t="s">
        <v>1152</v>
      </c>
      <c r="R833" s="1"/>
      <c r="S833" s="1" t="s">
        <v>1152</v>
      </c>
      <c r="T833" s="1" t="s">
        <v>1152</v>
      </c>
      <c r="U833" s="1" t="s">
        <v>1343</v>
      </c>
      <c r="V833" s="4" t="s">
        <v>3705</v>
      </c>
      <c r="W833" s="1"/>
      <c r="X833" s="18">
        <v>45890.0</v>
      </c>
      <c r="Y833" s="1"/>
      <c r="Z833" s="1"/>
      <c r="AA833" s="1"/>
      <c r="AB833" s="1"/>
      <c r="AC833" s="1" t="s">
        <v>1925</v>
      </c>
      <c r="AD833" s="1"/>
      <c r="AE833" s="1" t="s">
        <v>1152</v>
      </c>
      <c r="AF833" s="1"/>
      <c r="AG833" s="1"/>
      <c r="AH833" s="1" t="s">
        <v>1152</v>
      </c>
      <c r="AI833" s="1"/>
      <c r="AJ833" s="1"/>
      <c r="AK833" s="1"/>
      <c r="AL833" s="6" t="str">
        <f t="array" ref="AL833">IFERROR(IFS(XLOOKUP(B833, 'Kit Delivery Status'!$U:$U, 'Kit Delivery Status'!$K:$K) = "Complete", "DELIVERED", XLOOKUP(B833, 'Kit Delivery Status'!$U:$U, 'Kit Delivery Status'!$K:$K) = "Issue", "ISSUE"), "")</f>
        <v/>
      </c>
      <c r="AM833" s="6"/>
    </row>
    <row r="834">
      <c r="A834" s="5" t="s">
        <v>4409</v>
      </c>
      <c r="B834" s="1" t="s">
        <v>4410</v>
      </c>
      <c r="C834" s="1" t="s">
        <v>4411</v>
      </c>
      <c r="D834" s="2">
        <v>2.173693983E9</v>
      </c>
      <c r="E834" s="1" t="s">
        <v>4412</v>
      </c>
      <c r="F834" s="1"/>
      <c r="G834" s="1" t="s">
        <v>4413</v>
      </c>
      <c r="H834" s="1" t="s">
        <v>1019</v>
      </c>
      <c r="I834" s="1">
        <v>61822.0</v>
      </c>
      <c r="J834" s="1" t="s">
        <v>752</v>
      </c>
      <c r="K834" s="1" t="s">
        <v>66</v>
      </c>
      <c r="L834" s="1" t="s">
        <v>3350</v>
      </c>
      <c r="M834" s="1">
        <v>145.0</v>
      </c>
      <c r="N834" s="1" t="s">
        <v>1152</v>
      </c>
      <c r="O834" s="3" t="s">
        <v>3032</v>
      </c>
      <c r="P834" s="18">
        <v>45883.0</v>
      </c>
      <c r="Q834" s="1" t="s">
        <v>1152</v>
      </c>
      <c r="R834" s="1"/>
      <c r="S834" s="1" t="s">
        <v>1152</v>
      </c>
      <c r="T834" s="1" t="s">
        <v>1152</v>
      </c>
      <c r="U834" s="1" t="s">
        <v>1441</v>
      </c>
      <c r="V834" s="4" t="s">
        <v>3032</v>
      </c>
      <c r="W834" s="1"/>
      <c r="X834" s="18">
        <v>45883.0</v>
      </c>
      <c r="Y834" s="1"/>
      <c r="Z834" s="1"/>
      <c r="AA834" s="1"/>
      <c r="AB834" s="1"/>
      <c r="AC834" s="1" t="s">
        <v>1925</v>
      </c>
      <c r="AD834" s="1"/>
      <c r="AE834" s="1" t="s">
        <v>1152</v>
      </c>
      <c r="AF834" s="1"/>
      <c r="AG834" s="1"/>
      <c r="AH834" s="1" t="s">
        <v>1152</v>
      </c>
      <c r="AI834" s="1"/>
      <c r="AJ834" s="1"/>
      <c r="AK834" s="1"/>
      <c r="AL834" s="6" t="str">
        <f t="array" ref="AL834">IFERROR(IFS(XLOOKUP(B834, 'Kit Delivery Status'!$U:$U, 'Kit Delivery Status'!$K:$K) = "Complete", "DELIVERED", XLOOKUP(B834, 'Kit Delivery Status'!$U:$U, 'Kit Delivery Status'!$K:$K) = "Issue", "ISSUE"), "")</f>
        <v/>
      </c>
      <c r="AM834" s="6"/>
    </row>
    <row r="835">
      <c r="A835" s="5" t="s">
        <v>4414</v>
      </c>
      <c r="B835" s="1" t="s">
        <v>4415</v>
      </c>
      <c r="C835" s="1"/>
      <c r="D835" s="2">
        <v>6.103577127E9</v>
      </c>
      <c r="E835" s="1" t="s">
        <v>4416</v>
      </c>
      <c r="F835" s="1"/>
      <c r="G835" s="1" t="s">
        <v>2307</v>
      </c>
      <c r="H835" s="1" t="s">
        <v>1233</v>
      </c>
      <c r="I835" s="1">
        <v>19010.0</v>
      </c>
      <c r="J835" s="1" t="s">
        <v>752</v>
      </c>
      <c r="K835" s="1" t="s">
        <v>66</v>
      </c>
      <c r="L835" s="1" t="s">
        <v>3321</v>
      </c>
      <c r="M835" s="1">
        <v>210.0</v>
      </c>
      <c r="N835" s="1" t="s">
        <v>1152</v>
      </c>
      <c r="O835" s="3" t="s">
        <v>4417</v>
      </c>
      <c r="P835" s="18">
        <v>45883.0</v>
      </c>
      <c r="Q835" s="1" t="s">
        <v>1152</v>
      </c>
      <c r="R835" s="1"/>
      <c r="S835" s="1" t="s">
        <v>1152</v>
      </c>
      <c r="T835" s="1" t="s">
        <v>1152</v>
      </c>
      <c r="U835" s="1" t="s">
        <v>1031</v>
      </c>
      <c r="V835" s="4" t="s">
        <v>4417</v>
      </c>
      <c r="W835" s="1"/>
      <c r="X835" s="18">
        <v>45883.0</v>
      </c>
      <c r="Y835" s="1"/>
      <c r="Z835" s="1"/>
      <c r="AA835" s="1"/>
      <c r="AB835" s="1"/>
      <c r="AC835" s="1" t="s">
        <v>1925</v>
      </c>
      <c r="AD835" s="1"/>
      <c r="AE835" s="1" t="s">
        <v>1152</v>
      </c>
      <c r="AF835" s="1"/>
      <c r="AG835" s="1"/>
      <c r="AH835" s="1" t="s">
        <v>1152</v>
      </c>
      <c r="AI835" s="1"/>
      <c r="AJ835" s="1"/>
      <c r="AK835" s="1"/>
      <c r="AL835" s="6" t="str">
        <f t="array" ref="AL835">IFERROR(IFS(XLOOKUP(B835, 'Kit Delivery Status'!$U:$U, 'Kit Delivery Status'!$K:$K) = "Complete", "DELIVERED", XLOOKUP(B835, 'Kit Delivery Status'!$U:$U, 'Kit Delivery Status'!$K:$K) = "Issue", "ISSUE"), "")</f>
        <v/>
      </c>
      <c r="AM835" s="6"/>
    </row>
    <row r="836">
      <c r="A836" s="5" t="s">
        <v>4414</v>
      </c>
      <c r="B836" s="1" t="s">
        <v>4415</v>
      </c>
      <c r="C836" s="1"/>
      <c r="D836" s="2">
        <v>6.103577127E9</v>
      </c>
      <c r="E836" s="1" t="s">
        <v>4416</v>
      </c>
      <c r="F836" s="1"/>
      <c r="G836" s="1" t="s">
        <v>2307</v>
      </c>
      <c r="H836" s="1" t="s">
        <v>1233</v>
      </c>
      <c r="I836" s="1">
        <v>19010.0</v>
      </c>
      <c r="J836" s="1" t="s">
        <v>752</v>
      </c>
      <c r="K836" s="1" t="s">
        <v>95</v>
      </c>
      <c r="L836" s="1" t="s">
        <v>3327</v>
      </c>
      <c r="M836" s="1">
        <v>49.0</v>
      </c>
      <c r="N836" s="1" t="s">
        <v>2461</v>
      </c>
      <c r="O836" s="3" t="s">
        <v>4418</v>
      </c>
      <c r="P836" s="18">
        <v>45883.0</v>
      </c>
      <c r="Q836" s="1" t="s">
        <v>2463</v>
      </c>
      <c r="R836" s="1"/>
      <c r="S836" s="1" t="s">
        <v>2461</v>
      </c>
      <c r="T836" s="1" t="s">
        <v>2461</v>
      </c>
      <c r="U836" s="1" t="s">
        <v>1031</v>
      </c>
      <c r="V836" s="4" t="s">
        <v>4418</v>
      </c>
      <c r="W836" s="1"/>
      <c r="X836" s="18">
        <v>45883.0</v>
      </c>
      <c r="Y836" s="1" t="s">
        <v>1030</v>
      </c>
      <c r="Z836" s="1"/>
      <c r="AA836" s="1"/>
      <c r="AB836" s="1" t="s">
        <v>52</v>
      </c>
      <c r="AC836" s="1" t="s">
        <v>4419</v>
      </c>
      <c r="AD836" s="1"/>
      <c r="AE836" s="1" t="s">
        <v>1152</v>
      </c>
      <c r="AF836" s="1"/>
      <c r="AG836" s="1"/>
      <c r="AH836" s="1" t="s">
        <v>1152</v>
      </c>
      <c r="AI836" s="1"/>
      <c r="AJ836" s="1"/>
      <c r="AK836" s="1"/>
      <c r="AL836" s="6" t="str">
        <f t="array" ref="AL836">IFERROR(IFS(XLOOKUP(B836, 'Kit Delivery Status'!$U:$U, 'Kit Delivery Status'!$K:$K) = "Complete", "DELIVERED", XLOOKUP(B836, 'Kit Delivery Status'!$U:$U, 'Kit Delivery Status'!$K:$K) = "Issue", "ISSUE"), "")</f>
        <v/>
      </c>
      <c r="AM836" s="6"/>
    </row>
    <row r="837">
      <c r="A837" s="5" t="s">
        <v>4420</v>
      </c>
      <c r="B837" s="1" t="s">
        <v>4421</v>
      </c>
      <c r="C837" s="1" t="s">
        <v>4422</v>
      </c>
      <c r="D837" s="2">
        <v>5.612254772E9</v>
      </c>
      <c r="E837" s="1" t="s">
        <v>4423</v>
      </c>
      <c r="F837" s="1"/>
      <c r="G837" s="1" t="s">
        <v>4424</v>
      </c>
      <c r="H837" s="1" t="s">
        <v>1208</v>
      </c>
      <c r="I837" s="1">
        <v>33458.0</v>
      </c>
      <c r="J837" s="1" t="s">
        <v>752</v>
      </c>
      <c r="K837" s="1" t="s">
        <v>66</v>
      </c>
      <c r="L837" s="1" t="s">
        <v>3321</v>
      </c>
      <c r="M837" s="1">
        <v>210.0</v>
      </c>
      <c r="N837" s="1" t="s">
        <v>1152</v>
      </c>
      <c r="O837" s="3" t="s">
        <v>2436</v>
      </c>
      <c r="P837" s="18">
        <v>45883.0</v>
      </c>
      <c r="Q837" s="1" t="s">
        <v>1152</v>
      </c>
      <c r="R837" s="1"/>
      <c r="S837" s="1" t="s">
        <v>1152</v>
      </c>
      <c r="T837" s="1" t="s">
        <v>1152</v>
      </c>
      <c r="U837" s="1" t="s">
        <v>1343</v>
      </c>
      <c r="V837" s="4" t="s">
        <v>2436</v>
      </c>
      <c r="W837" s="1"/>
      <c r="X837" s="18">
        <v>45883.0</v>
      </c>
      <c r="Y837" s="1"/>
      <c r="Z837" s="1"/>
      <c r="AA837" s="1"/>
      <c r="AB837" s="1"/>
      <c r="AC837" s="1" t="s">
        <v>1925</v>
      </c>
      <c r="AD837" s="1"/>
      <c r="AE837" s="1" t="s">
        <v>1152</v>
      </c>
      <c r="AF837" s="1"/>
      <c r="AG837" s="1"/>
      <c r="AH837" s="1" t="s">
        <v>1152</v>
      </c>
      <c r="AI837" s="1"/>
      <c r="AJ837" s="1"/>
      <c r="AK837" s="1"/>
      <c r="AL837" s="6" t="str">
        <f t="array" ref="AL837">IFERROR(IFS(XLOOKUP(B837, 'Kit Delivery Status'!$U:$U, 'Kit Delivery Status'!$K:$K) = "Complete", "DELIVERED", XLOOKUP(B837, 'Kit Delivery Status'!$U:$U, 'Kit Delivery Status'!$K:$K) = "Issue", "ISSUE"), "")</f>
        <v/>
      </c>
      <c r="AM837" s="6"/>
    </row>
    <row r="838">
      <c r="A838" s="5" t="s">
        <v>4425</v>
      </c>
      <c r="B838" s="1" t="s">
        <v>4426</v>
      </c>
      <c r="C838" s="1" t="s">
        <v>4427</v>
      </c>
      <c r="D838" s="2">
        <v>4.084770269E9</v>
      </c>
      <c r="E838" s="1" t="s">
        <v>4428</v>
      </c>
      <c r="F838" s="1"/>
      <c r="G838" s="1" t="s">
        <v>2079</v>
      </c>
      <c r="H838" s="1" t="s">
        <v>989</v>
      </c>
      <c r="I838" s="1">
        <v>95014.0</v>
      </c>
      <c r="J838" s="1" t="s">
        <v>752</v>
      </c>
      <c r="K838" s="1" t="s">
        <v>51</v>
      </c>
      <c r="L838" s="1" t="s">
        <v>3293</v>
      </c>
      <c r="M838" s="1">
        <v>1.0</v>
      </c>
      <c r="N838" s="1" t="s">
        <v>2461</v>
      </c>
      <c r="O838" s="3" t="s">
        <v>4429</v>
      </c>
      <c r="P838" s="18">
        <v>45880.0</v>
      </c>
      <c r="Q838" s="1" t="s">
        <v>2463</v>
      </c>
      <c r="R838" s="1"/>
      <c r="S838" s="1" t="s">
        <v>2461</v>
      </c>
      <c r="T838" s="1" t="s">
        <v>2461</v>
      </c>
      <c r="U838" s="1" t="s">
        <v>1936</v>
      </c>
      <c r="V838" s="4" t="s">
        <v>4429</v>
      </c>
      <c r="W838" s="1"/>
      <c r="X838" s="18">
        <v>45880.0</v>
      </c>
      <c r="Y838" s="1" t="s">
        <v>1030</v>
      </c>
      <c r="Z838" s="1"/>
      <c r="AA838" s="1"/>
      <c r="AB838" s="1" t="s">
        <v>52</v>
      </c>
      <c r="AC838" s="1" t="s">
        <v>1925</v>
      </c>
      <c r="AD838" s="1"/>
      <c r="AE838" s="1" t="s">
        <v>1152</v>
      </c>
      <c r="AF838" s="1"/>
      <c r="AG838" s="1"/>
      <c r="AH838" s="1" t="s">
        <v>1152</v>
      </c>
      <c r="AI838" s="1"/>
      <c r="AJ838" s="1"/>
      <c r="AK838" s="1"/>
      <c r="AL838" s="6" t="str">
        <f t="array" ref="AL838">IFERROR(IFS(XLOOKUP(B838, 'Kit Delivery Status'!$U:$U, 'Kit Delivery Status'!$K:$K) = "Complete", "DELIVERED", XLOOKUP(B838, 'Kit Delivery Status'!$U:$U, 'Kit Delivery Status'!$K:$K) = "Issue", "ISSUE"), "")</f>
        <v/>
      </c>
      <c r="AM838" s="6"/>
    </row>
    <row r="839">
      <c r="A839" s="5" t="s">
        <v>4430</v>
      </c>
      <c r="B839" s="1" t="s">
        <v>4431</v>
      </c>
      <c r="C839" s="1"/>
      <c r="D839" s="2"/>
      <c r="E839" s="1" t="s">
        <v>4432</v>
      </c>
      <c r="F839" s="1"/>
      <c r="G839" s="1" t="s">
        <v>3586</v>
      </c>
      <c r="H839" s="1" t="s">
        <v>1053</v>
      </c>
      <c r="I839" s="1">
        <v>7960.0</v>
      </c>
      <c r="J839" s="1" t="s">
        <v>752</v>
      </c>
      <c r="K839" s="1" t="s">
        <v>51</v>
      </c>
      <c r="L839" s="1" t="s">
        <v>3293</v>
      </c>
      <c r="M839" s="1">
        <v>1.0</v>
      </c>
      <c r="N839" s="1" t="s">
        <v>2461</v>
      </c>
      <c r="O839" s="3" t="s">
        <v>4433</v>
      </c>
      <c r="P839" s="18">
        <v>45889.0</v>
      </c>
      <c r="Q839" s="1" t="s">
        <v>2463</v>
      </c>
      <c r="R839" s="1"/>
      <c r="S839" s="1" t="s">
        <v>2461</v>
      </c>
      <c r="T839" s="1" t="s">
        <v>2461</v>
      </c>
      <c r="U839" s="1" t="s">
        <v>2430</v>
      </c>
      <c r="V839" s="4" t="s">
        <v>4433</v>
      </c>
      <c r="W839" s="1"/>
      <c r="X839" s="18">
        <v>45889.0</v>
      </c>
      <c r="Y839" s="1" t="s">
        <v>1030</v>
      </c>
      <c r="Z839" s="1"/>
      <c r="AA839" s="1"/>
      <c r="AB839" s="1" t="s">
        <v>52</v>
      </c>
      <c r="AC839" s="1" t="s">
        <v>1925</v>
      </c>
      <c r="AD839" s="1"/>
      <c r="AE839" s="1" t="s">
        <v>1152</v>
      </c>
      <c r="AF839" s="1"/>
      <c r="AG839" s="1"/>
      <c r="AH839" s="1" t="s">
        <v>1152</v>
      </c>
      <c r="AI839" s="1"/>
      <c r="AJ839" s="1"/>
      <c r="AK839" s="1"/>
      <c r="AL839" s="6" t="str">
        <f t="array" ref="AL839">IFERROR(IFS(XLOOKUP(B839, 'Kit Delivery Status'!$U:$U, 'Kit Delivery Status'!$K:$K) = "Complete", "DELIVERED", XLOOKUP(B839, 'Kit Delivery Status'!$U:$U, 'Kit Delivery Status'!$K:$K) = "Issue", "ISSUE"), "")</f>
        <v/>
      </c>
      <c r="AM839" s="6"/>
    </row>
    <row r="840">
      <c r="A840" s="5" t="s">
        <v>4434</v>
      </c>
      <c r="B840" s="1" t="s">
        <v>4435</v>
      </c>
      <c r="C840" s="1" t="s">
        <v>4436</v>
      </c>
      <c r="D840" s="2">
        <v>2.03945605E9</v>
      </c>
      <c r="E840" s="1" t="s">
        <v>4437</v>
      </c>
      <c r="F840" s="1"/>
      <c r="G840" s="1" t="s">
        <v>1072</v>
      </c>
      <c r="H840" s="1" t="s">
        <v>1019</v>
      </c>
      <c r="I840" s="1">
        <v>60605.0</v>
      </c>
      <c r="J840" s="1" t="s">
        <v>752</v>
      </c>
      <c r="K840" s="1" t="s">
        <v>51</v>
      </c>
      <c r="L840" s="1" t="s">
        <v>3293</v>
      </c>
      <c r="M840" s="1">
        <v>1.0</v>
      </c>
      <c r="N840" s="1" t="s">
        <v>2461</v>
      </c>
      <c r="O840" s="3" t="s">
        <v>4438</v>
      </c>
      <c r="P840" s="18">
        <v>45889.0</v>
      </c>
      <c r="Q840" s="1" t="s">
        <v>3219</v>
      </c>
      <c r="R840" s="1"/>
      <c r="S840" s="1" t="s">
        <v>2461</v>
      </c>
      <c r="T840" s="1" t="s">
        <v>2461</v>
      </c>
      <c r="U840" s="1" t="s">
        <v>1441</v>
      </c>
      <c r="V840" s="4" t="s">
        <v>4438</v>
      </c>
      <c r="W840" s="1"/>
      <c r="X840" s="18">
        <v>45889.0</v>
      </c>
      <c r="Y840" s="1" t="s">
        <v>1455</v>
      </c>
      <c r="Z840" s="1"/>
      <c r="AA840" s="1"/>
      <c r="AB840" s="1" t="s">
        <v>52</v>
      </c>
      <c r="AC840" s="1" t="s">
        <v>1925</v>
      </c>
      <c r="AD840" s="1"/>
      <c r="AE840" s="1" t="s">
        <v>1152</v>
      </c>
      <c r="AF840" s="1"/>
      <c r="AG840" s="1"/>
      <c r="AH840" s="1" t="s">
        <v>1152</v>
      </c>
      <c r="AI840" s="1"/>
      <c r="AJ840" s="1"/>
      <c r="AK840" s="1"/>
      <c r="AL840" s="6" t="str">
        <f t="array" ref="AL840">IFERROR(IFS(XLOOKUP(B840, 'Kit Delivery Status'!$U:$U, 'Kit Delivery Status'!$K:$K) = "Complete", "DELIVERED", XLOOKUP(B840, 'Kit Delivery Status'!$U:$U, 'Kit Delivery Status'!$K:$K) = "Issue", "ISSUE"), "")</f>
        <v/>
      </c>
      <c r="AM840" s="6"/>
    </row>
    <row r="841">
      <c r="A841" s="5" t="s">
        <v>4439</v>
      </c>
      <c r="B841" s="1" t="s">
        <v>4440</v>
      </c>
      <c r="C841" s="1" t="s">
        <v>4441</v>
      </c>
      <c r="D841" s="2">
        <v>9.176932081E9</v>
      </c>
      <c r="E841" s="1" t="s">
        <v>4442</v>
      </c>
      <c r="F841" s="1"/>
      <c r="G841" s="1" t="s">
        <v>1660</v>
      </c>
      <c r="H841" s="1" t="s">
        <v>751</v>
      </c>
      <c r="I841" s="1">
        <v>10804.0</v>
      </c>
      <c r="J841" s="1" t="s">
        <v>752</v>
      </c>
      <c r="K841" s="1" t="s">
        <v>66</v>
      </c>
      <c r="L841" s="1" t="s">
        <v>3321</v>
      </c>
      <c r="M841" s="1">
        <v>210.0</v>
      </c>
      <c r="N841" s="1" t="s">
        <v>1152</v>
      </c>
      <c r="O841" s="3" t="s">
        <v>4443</v>
      </c>
      <c r="P841" s="18">
        <v>45883.0</v>
      </c>
      <c r="Q841" s="1" t="s">
        <v>1152</v>
      </c>
      <c r="R841" s="1"/>
      <c r="S841" s="1" t="s">
        <v>1152</v>
      </c>
      <c r="T841" s="1" t="s">
        <v>1152</v>
      </c>
      <c r="U841" s="1" t="s">
        <v>956</v>
      </c>
      <c r="V841" s="4" t="s">
        <v>4443</v>
      </c>
      <c r="W841" s="1"/>
      <c r="X841" s="18">
        <v>45883.0</v>
      </c>
      <c r="Y841" s="1"/>
      <c r="Z841" s="1"/>
      <c r="AA841" s="1"/>
      <c r="AB841" s="1"/>
      <c r="AC841" s="1" t="s">
        <v>1925</v>
      </c>
      <c r="AD841" s="1"/>
      <c r="AE841" s="1" t="s">
        <v>1152</v>
      </c>
      <c r="AF841" s="1"/>
      <c r="AG841" s="1"/>
      <c r="AH841" s="1" t="s">
        <v>1152</v>
      </c>
      <c r="AI841" s="1"/>
      <c r="AJ841" s="1"/>
      <c r="AK841" s="1"/>
      <c r="AL841" s="6" t="str">
        <f t="array" ref="AL841">IFERROR(IFS(XLOOKUP(B841, 'Kit Delivery Status'!$U:$U, 'Kit Delivery Status'!$K:$K) = "Complete", "DELIVERED", XLOOKUP(B841, 'Kit Delivery Status'!$U:$U, 'Kit Delivery Status'!$K:$K) = "Issue", "ISSUE"), "")</f>
        <v/>
      </c>
      <c r="AM841" s="6"/>
    </row>
    <row r="842">
      <c r="A842" s="5" t="s">
        <v>4444</v>
      </c>
      <c r="B842" s="1" t="s">
        <v>4445</v>
      </c>
      <c r="C842" s="1"/>
      <c r="D842" s="2"/>
      <c r="E842" s="1" t="s">
        <v>4446</v>
      </c>
      <c r="F842" s="1"/>
      <c r="G842" s="1" t="s">
        <v>4447</v>
      </c>
      <c r="H842" s="1" t="s">
        <v>4448</v>
      </c>
      <c r="I842" s="1" t="s">
        <v>4449</v>
      </c>
      <c r="J842" s="1" t="s">
        <v>752</v>
      </c>
      <c r="K842" s="1" t="s">
        <v>66</v>
      </c>
      <c r="L842" s="1" t="s">
        <v>3350</v>
      </c>
      <c r="M842" s="1">
        <v>145.0</v>
      </c>
      <c r="N842" s="1" t="s">
        <v>1152</v>
      </c>
      <c r="O842" s="3" t="s">
        <v>4450</v>
      </c>
      <c r="P842" s="18">
        <v>45883.0</v>
      </c>
      <c r="Q842" s="1" t="s">
        <v>1152</v>
      </c>
      <c r="R842" s="1"/>
      <c r="S842" s="1" t="s">
        <v>1152</v>
      </c>
      <c r="T842" s="1" t="s">
        <v>1152</v>
      </c>
      <c r="U842" s="1" t="s">
        <v>1080</v>
      </c>
      <c r="V842" s="4" t="s">
        <v>4450</v>
      </c>
      <c r="W842" s="1"/>
      <c r="X842" s="18">
        <v>45883.0</v>
      </c>
      <c r="Y842" s="1"/>
      <c r="Z842" s="1"/>
      <c r="AA842" s="1"/>
      <c r="AB842" s="1"/>
      <c r="AC842" s="1" t="s">
        <v>1925</v>
      </c>
      <c r="AD842" s="1"/>
      <c r="AE842" s="1" t="s">
        <v>1152</v>
      </c>
      <c r="AF842" s="1"/>
      <c r="AG842" s="1"/>
      <c r="AH842" s="1" t="s">
        <v>1152</v>
      </c>
      <c r="AI842" s="1"/>
      <c r="AJ842" s="1"/>
      <c r="AK842" s="1"/>
      <c r="AL842" s="6" t="str">
        <f t="array" ref="AL842">IFERROR(IFS(XLOOKUP(B842, 'Kit Delivery Status'!$U:$U, 'Kit Delivery Status'!$K:$K) = "Complete", "DELIVERED", XLOOKUP(B842, 'Kit Delivery Status'!$U:$U, 'Kit Delivery Status'!$K:$K) = "Issue", "ISSUE"), "")</f>
        <v/>
      </c>
      <c r="AM842" s="6"/>
    </row>
    <row r="843">
      <c r="A843" s="5" t="s">
        <v>4451</v>
      </c>
      <c r="B843" s="1" t="s">
        <v>4452</v>
      </c>
      <c r="C843" s="1"/>
      <c r="D843" s="2">
        <v>7.138985646E9</v>
      </c>
      <c r="E843" s="1" t="s">
        <v>4453</v>
      </c>
      <c r="F843" s="1"/>
      <c r="G843" s="1" t="s">
        <v>2932</v>
      </c>
      <c r="H843" s="1" t="s">
        <v>1583</v>
      </c>
      <c r="I843" s="1">
        <v>77401.0</v>
      </c>
      <c r="J843" s="1" t="s">
        <v>752</v>
      </c>
      <c r="K843" s="1" t="s">
        <v>66</v>
      </c>
      <c r="L843" s="1" t="s">
        <v>3321</v>
      </c>
      <c r="M843" s="1">
        <v>210.0</v>
      </c>
      <c r="N843" s="1" t="s">
        <v>1152</v>
      </c>
      <c r="O843" s="3" t="s">
        <v>3382</v>
      </c>
      <c r="P843" s="18">
        <v>45892.0</v>
      </c>
      <c r="Q843" s="1" t="s">
        <v>1152</v>
      </c>
      <c r="R843" s="1"/>
      <c r="S843" s="1" t="s">
        <v>1152</v>
      </c>
      <c r="T843" s="1" t="s">
        <v>1152</v>
      </c>
      <c r="U843" s="1" t="s">
        <v>1174</v>
      </c>
      <c r="V843" s="4" t="s">
        <v>3382</v>
      </c>
      <c r="W843" s="1"/>
      <c r="X843" s="18">
        <v>45892.0</v>
      </c>
      <c r="Y843" s="1"/>
      <c r="Z843" s="1"/>
      <c r="AA843" s="1"/>
      <c r="AB843" s="1"/>
      <c r="AC843" s="1" t="s">
        <v>1925</v>
      </c>
      <c r="AD843" s="1"/>
      <c r="AE843" s="1" t="s">
        <v>1152</v>
      </c>
      <c r="AF843" s="1"/>
      <c r="AG843" s="1"/>
      <c r="AH843" s="1" t="s">
        <v>1152</v>
      </c>
      <c r="AI843" s="1"/>
      <c r="AJ843" s="1"/>
      <c r="AK843" s="1"/>
      <c r="AL843" s="6" t="str">
        <f t="array" ref="AL843">IFERROR(IFS(XLOOKUP(B843, 'Kit Delivery Status'!$U:$U, 'Kit Delivery Status'!$K:$K) = "Complete", "DELIVERED", XLOOKUP(B843, 'Kit Delivery Status'!$U:$U, 'Kit Delivery Status'!$K:$K) = "Issue", "ISSUE"), "")</f>
        <v/>
      </c>
      <c r="AM843" s="6"/>
    </row>
    <row r="844">
      <c r="A844" s="5" t="s">
        <v>4454</v>
      </c>
      <c r="B844" s="1" t="s">
        <v>4455</v>
      </c>
      <c r="C844" s="1"/>
      <c r="D844" s="2">
        <v>7.138985646E9</v>
      </c>
      <c r="E844" s="1" t="s">
        <v>4453</v>
      </c>
      <c r="F844" s="1"/>
      <c r="G844" s="1" t="s">
        <v>2932</v>
      </c>
      <c r="H844" s="1" t="s">
        <v>1583</v>
      </c>
      <c r="I844" s="1">
        <v>77401.0</v>
      </c>
      <c r="J844" s="1" t="s">
        <v>752</v>
      </c>
      <c r="K844" s="1" t="s">
        <v>51</v>
      </c>
      <c r="L844" s="1" t="s">
        <v>3293</v>
      </c>
      <c r="M844" s="1">
        <v>1.0</v>
      </c>
      <c r="N844" s="1" t="s">
        <v>2461</v>
      </c>
      <c r="O844" s="3" t="s">
        <v>3382</v>
      </c>
      <c r="P844" s="18">
        <v>45889.0</v>
      </c>
      <c r="Q844" s="1" t="s">
        <v>2463</v>
      </c>
      <c r="R844" s="1"/>
      <c r="S844" s="1" t="s">
        <v>2461</v>
      </c>
      <c r="T844" s="1" t="s">
        <v>2461</v>
      </c>
      <c r="U844" s="1" t="s">
        <v>1174</v>
      </c>
      <c r="V844" s="4" t="s">
        <v>3382</v>
      </c>
      <c r="W844" s="1"/>
      <c r="X844" s="18">
        <v>45889.0</v>
      </c>
      <c r="Y844" s="1" t="s">
        <v>1030</v>
      </c>
      <c r="Z844" s="1"/>
      <c r="AA844" s="1"/>
      <c r="AB844" s="1" t="s">
        <v>52</v>
      </c>
      <c r="AC844" s="1" t="s">
        <v>1925</v>
      </c>
      <c r="AD844" s="1"/>
      <c r="AE844" s="1" t="s">
        <v>1152</v>
      </c>
      <c r="AF844" s="1"/>
      <c r="AG844" s="1"/>
      <c r="AH844" s="1" t="s">
        <v>1152</v>
      </c>
      <c r="AI844" s="1"/>
      <c r="AJ844" s="1"/>
      <c r="AK844" s="1"/>
      <c r="AL844" s="6" t="str">
        <f t="array" ref="AL844">IFERROR(IFS(XLOOKUP(B844, 'Kit Delivery Status'!$U:$U, 'Kit Delivery Status'!$K:$K) = "Complete", "DELIVERED", XLOOKUP(B844, 'Kit Delivery Status'!$U:$U, 'Kit Delivery Status'!$K:$K) = "Issue", "ISSUE"), "")</f>
        <v/>
      </c>
      <c r="AM844" s="6"/>
    </row>
    <row r="845">
      <c r="A845" s="5" t="s">
        <v>4456</v>
      </c>
      <c r="B845" s="1" t="s">
        <v>4457</v>
      </c>
      <c r="C845" s="1" t="s">
        <v>4458</v>
      </c>
      <c r="D845" s="2">
        <v>7.742705618E9</v>
      </c>
      <c r="E845" s="1" t="s">
        <v>4459</v>
      </c>
      <c r="F845" s="1"/>
      <c r="G845" s="1" t="s">
        <v>2625</v>
      </c>
      <c r="H845" s="1" t="s">
        <v>1121</v>
      </c>
      <c r="I845" s="1">
        <v>2492.0</v>
      </c>
      <c r="J845" s="1" t="s">
        <v>752</v>
      </c>
      <c r="K845" s="1" t="s">
        <v>66</v>
      </c>
      <c r="L845" s="1" t="s">
        <v>3321</v>
      </c>
      <c r="M845" s="1">
        <v>210.0</v>
      </c>
      <c r="N845" s="1" t="s">
        <v>1152</v>
      </c>
      <c r="O845" s="3" t="s">
        <v>3251</v>
      </c>
      <c r="P845" s="18">
        <v>45883.0</v>
      </c>
      <c r="Q845" s="1" t="s">
        <v>1152</v>
      </c>
      <c r="R845" s="1"/>
      <c r="S845" s="1" t="s">
        <v>1152</v>
      </c>
      <c r="T845" s="1" t="s">
        <v>1152</v>
      </c>
      <c r="U845" s="1" t="s">
        <v>1441</v>
      </c>
      <c r="V845" s="4" t="s">
        <v>3251</v>
      </c>
      <c r="W845" s="1"/>
      <c r="X845" s="18">
        <v>45883.0</v>
      </c>
      <c r="Y845" s="1"/>
      <c r="Z845" s="1"/>
      <c r="AA845" s="1"/>
      <c r="AB845" s="1"/>
      <c r="AC845" s="1" t="s">
        <v>1925</v>
      </c>
      <c r="AD845" s="1"/>
      <c r="AE845" s="1" t="s">
        <v>1152</v>
      </c>
      <c r="AF845" s="1"/>
      <c r="AG845" s="1"/>
      <c r="AH845" s="1" t="s">
        <v>1152</v>
      </c>
      <c r="AI845" s="1"/>
      <c r="AJ845" s="1"/>
      <c r="AK845" s="1"/>
      <c r="AL845" s="6" t="str">
        <f t="array" ref="AL845">IFERROR(IFS(XLOOKUP(B845, 'Kit Delivery Status'!$U:$U, 'Kit Delivery Status'!$K:$K) = "Complete", "DELIVERED", XLOOKUP(B845, 'Kit Delivery Status'!$U:$U, 'Kit Delivery Status'!$K:$K) = "Issue", "ISSUE"), "")</f>
        <v/>
      </c>
      <c r="AM845" s="6"/>
    </row>
    <row r="846">
      <c r="A846" s="5" t="s">
        <v>4460</v>
      </c>
      <c r="B846" s="1" t="s">
        <v>4461</v>
      </c>
      <c r="C846" s="1" t="s">
        <v>4462</v>
      </c>
      <c r="D846" s="2">
        <v>9.099678758E9</v>
      </c>
      <c r="E846" s="1" t="s">
        <v>4463</v>
      </c>
      <c r="F846" s="1"/>
      <c r="G846" s="1" t="s">
        <v>4464</v>
      </c>
      <c r="H846" s="1" t="s">
        <v>989</v>
      </c>
      <c r="I846" s="1">
        <v>91711.0</v>
      </c>
      <c r="J846" s="1" t="s">
        <v>752</v>
      </c>
      <c r="K846" s="1" t="s">
        <v>66</v>
      </c>
      <c r="L846" s="1" t="s">
        <v>3350</v>
      </c>
      <c r="M846" s="1">
        <v>145.0</v>
      </c>
      <c r="N846" s="1" t="s">
        <v>1152</v>
      </c>
      <c r="O846" s="3" t="s">
        <v>503</v>
      </c>
      <c r="P846" s="18">
        <v>45883.0</v>
      </c>
      <c r="Q846" s="1" t="s">
        <v>1152</v>
      </c>
      <c r="R846" s="1"/>
      <c r="S846" s="1" t="s">
        <v>1152</v>
      </c>
      <c r="T846" s="1" t="s">
        <v>1152</v>
      </c>
      <c r="U846" s="1" t="s">
        <v>1174</v>
      </c>
      <c r="V846" s="4" t="s">
        <v>503</v>
      </c>
      <c r="W846" s="1"/>
      <c r="X846" s="18">
        <v>45883.0</v>
      </c>
      <c r="Y846" s="1"/>
      <c r="Z846" s="1"/>
      <c r="AA846" s="1"/>
      <c r="AB846" s="1"/>
      <c r="AC846" s="1" t="s">
        <v>1925</v>
      </c>
      <c r="AD846" s="1"/>
      <c r="AE846" s="1" t="s">
        <v>1152</v>
      </c>
      <c r="AF846" s="1"/>
      <c r="AG846" s="1"/>
      <c r="AH846" s="1" t="s">
        <v>1152</v>
      </c>
      <c r="AI846" s="1"/>
      <c r="AJ846" s="1"/>
      <c r="AK846" s="1"/>
      <c r="AL846" s="6" t="str">
        <f t="array" ref="AL846">IFERROR(IFS(XLOOKUP(B846, 'Kit Delivery Status'!$U:$U, 'Kit Delivery Status'!$K:$K) = "Complete", "DELIVERED", XLOOKUP(B846, 'Kit Delivery Status'!$U:$U, 'Kit Delivery Status'!$K:$K) = "Issue", "ISSUE"), "")</f>
        <v/>
      </c>
      <c r="AM846" s="6"/>
    </row>
    <row r="847">
      <c r="A847" s="5" t="s">
        <v>4465</v>
      </c>
      <c r="B847" s="1" t="s">
        <v>4466</v>
      </c>
      <c r="C847" s="1" t="s">
        <v>4467</v>
      </c>
      <c r="D847" s="2"/>
      <c r="E847" s="1" t="s">
        <v>1652</v>
      </c>
      <c r="F847" s="1"/>
      <c r="G847" s="1" t="s">
        <v>1653</v>
      </c>
      <c r="H847" s="1" t="s">
        <v>1121</v>
      </c>
      <c r="I847" s="1">
        <v>2081.0</v>
      </c>
      <c r="J847" s="1" t="s">
        <v>752</v>
      </c>
      <c r="K847" s="1" t="s">
        <v>66</v>
      </c>
      <c r="L847" s="1" t="s">
        <v>3321</v>
      </c>
      <c r="M847" s="1">
        <v>210.0</v>
      </c>
      <c r="N847" s="1" t="s">
        <v>1152</v>
      </c>
      <c r="O847" s="3" t="s">
        <v>1654</v>
      </c>
      <c r="P847" s="18">
        <v>45883.0</v>
      </c>
      <c r="Q847" s="1" t="s">
        <v>1152</v>
      </c>
      <c r="R847" s="1"/>
      <c r="S847" s="1" t="s">
        <v>1152</v>
      </c>
      <c r="T847" s="1" t="s">
        <v>1152</v>
      </c>
      <c r="U847" s="1" t="s">
        <v>1133</v>
      </c>
      <c r="V847" s="4" t="s">
        <v>1654</v>
      </c>
      <c r="W847" s="1"/>
      <c r="X847" s="18">
        <v>45883.0</v>
      </c>
      <c r="Y847" s="1"/>
      <c r="Z847" s="1"/>
      <c r="AA847" s="1"/>
      <c r="AB847" s="1"/>
      <c r="AC847" s="1" t="s">
        <v>1925</v>
      </c>
      <c r="AD847" s="1"/>
      <c r="AE847" s="1" t="s">
        <v>1152</v>
      </c>
      <c r="AF847" s="1"/>
      <c r="AG847" s="1"/>
      <c r="AH847" s="1" t="s">
        <v>1152</v>
      </c>
      <c r="AI847" s="1"/>
      <c r="AJ847" s="1"/>
      <c r="AK847" s="1"/>
      <c r="AL847" s="6" t="str">
        <f t="array" ref="AL847">IFERROR(IFS(XLOOKUP(B847, 'Kit Delivery Status'!$U:$U, 'Kit Delivery Status'!$K:$K) = "Complete", "DELIVERED", XLOOKUP(B847, 'Kit Delivery Status'!$U:$U, 'Kit Delivery Status'!$K:$K) = "Issue", "ISSUE"), "")</f>
        <v/>
      </c>
      <c r="AM847" s="6"/>
    </row>
    <row r="848">
      <c r="A848" s="5" t="s">
        <v>4468</v>
      </c>
      <c r="B848" s="1" t="s">
        <v>4469</v>
      </c>
      <c r="C848" s="1" t="s">
        <v>4470</v>
      </c>
      <c r="D848" s="2">
        <v>9.142681108E9</v>
      </c>
      <c r="E848" s="1" t="s">
        <v>4471</v>
      </c>
      <c r="F848" s="1"/>
      <c r="G848" s="1" t="s">
        <v>4472</v>
      </c>
      <c r="H848" s="1" t="s">
        <v>1053</v>
      </c>
      <c r="I848" s="1">
        <v>7506.0</v>
      </c>
      <c r="J848" s="1" t="s">
        <v>752</v>
      </c>
      <c r="K848" s="1" t="s">
        <v>66</v>
      </c>
      <c r="L848" s="1" t="s">
        <v>3321</v>
      </c>
      <c r="M848" s="1">
        <v>210.0</v>
      </c>
      <c r="N848" s="1" t="s">
        <v>1152</v>
      </c>
      <c r="O848" s="3" t="s">
        <v>4310</v>
      </c>
      <c r="P848" s="18">
        <v>45883.0</v>
      </c>
      <c r="Q848" s="1" t="s">
        <v>1152</v>
      </c>
      <c r="R848" s="1"/>
      <c r="S848" s="1" t="s">
        <v>1152</v>
      </c>
      <c r="T848" s="1" t="s">
        <v>1152</v>
      </c>
      <c r="U848" s="1" t="s">
        <v>1812</v>
      </c>
      <c r="V848" s="4" t="s">
        <v>4310</v>
      </c>
      <c r="W848" s="1"/>
      <c r="X848" s="18">
        <v>45883.0</v>
      </c>
      <c r="Y848" s="1"/>
      <c r="Z848" s="1"/>
      <c r="AA848" s="1"/>
      <c r="AB848" s="1"/>
      <c r="AC848" s="1" t="s">
        <v>1925</v>
      </c>
      <c r="AD848" s="1"/>
      <c r="AE848" s="1" t="s">
        <v>1152</v>
      </c>
      <c r="AF848" s="1"/>
      <c r="AG848" s="1"/>
      <c r="AH848" s="1" t="s">
        <v>1152</v>
      </c>
      <c r="AI848" s="1"/>
      <c r="AJ848" s="1"/>
      <c r="AK848" s="1"/>
      <c r="AL848" s="6" t="str">
        <f t="array" ref="AL848">IFERROR(IFS(XLOOKUP(B848, 'Kit Delivery Status'!$U:$U, 'Kit Delivery Status'!$K:$K) = "Complete", "DELIVERED", XLOOKUP(B848, 'Kit Delivery Status'!$U:$U, 'Kit Delivery Status'!$K:$K) = "Issue", "ISSUE"), "")</f>
        <v/>
      </c>
      <c r="AM848" s="6"/>
    </row>
    <row r="849">
      <c r="A849" s="5" t="s">
        <v>4473</v>
      </c>
      <c r="B849" s="1" t="s">
        <v>4474</v>
      </c>
      <c r="C849" s="1"/>
      <c r="D849" s="2">
        <v>2.676162895E9</v>
      </c>
      <c r="E849" s="1" t="s">
        <v>4475</v>
      </c>
      <c r="F849" s="1" t="s">
        <v>4476</v>
      </c>
      <c r="G849" s="1" t="s">
        <v>4477</v>
      </c>
      <c r="H849" s="1" t="s">
        <v>1233</v>
      </c>
      <c r="I849" s="1">
        <v>19130.0</v>
      </c>
      <c r="J849" s="1" t="s">
        <v>752</v>
      </c>
      <c r="K849" s="1" t="s">
        <v>51</v>
      </c>
      <c r="L849" s="1" t="s">
        <v>3293</v>
      </c>
      <c r="M849" s="1">
        <v>1.0</v>
      </c>
      <c r="N849" s="1" t="s">
        <v>2487</v>
      </c>
      <c r="O849" s="3"/>
      <c r="P849" s="18">
        <v>45891.0</v>
      </c>
      <c r="Q849" s="1" t="s">
        <v>3219</v>
      </c>
      <c r="R849" s="1" t="s">
        <v>4476</v>
      </c>
      <c r="S849" s="1" t="s">
        <v>2487</v>
      </c>
      <c r="T849" s="1" t="s">
        <v>2487</v>
      </c>
      <c r="U849" s="1"/>
      <c r="V849" s="4"/>
      <c r="W849" s="1" t="s">
        <v>4476</v>
      </c>
      <c r="X849" s="18">
        <v>45891.0</v>
      </c>
      <c r="Y849" s="1" t="s">
        <v>1455</v>
      </c>
      <c r="Z849" s="1"/>
      <c r="AA849" s="1" t="s">
        <v>4476</v>
      </c>
      <c r="AB849" s="1" t="s">
        <v>124</v>
      </c>
      <c r="AC849" s="1" t="s">
        <v>1925</v>
      </c>
      <c r="AD849" s="1"/>
      <c r="AE849" s="1" t="s">
        <v>1152</v>
      </c>
      <c r="AF849" s="1"/>
      <c r="AG849" s="1"/>
      <c r="AH849" s="1" t="s">
        <v>1152</v>
      </c>
      <c r="AI849" s="1"/>
      <c r="AJ849" s="1"/>
      <c r="AK849" s="1"/>
      <c r="AL849" s="6" t="str">
        <f t="array" ref="AL849">IFERROR(IFS(XLOOKUP(B849, 'Kit Delivery Status'!$U:$U, 'Kit Delivery Status'!$K:$K) = "Complete", "DELIVERED", XLOOKUP(B849, 'Kit Delivery Status'!$U:$U, 'Kit Delivery Status'!$K:$K) = "Issue", "ISSUE"), "")</f>
        <v/>
      </c>
      <c r="AM849" s="6"/>
    </row>
    <row r="850">
      <c r="A850" s="5" t="s">
        <v>4478</v>
      </c>
      <c r="B850" s="1" t="s">
        <v>4479</v>
      </c>
      <c r="C850" s="1" t="s">
        <v>4480</v>
      </c>
      <c r="D850" s="2">
        <v>9.177251154E9</v>
      </c>
      <c r="E850" s="1" t="s">
        <v>4481</v>
      </c>
      <c r="F850" s="1"/>
      <c r="G850" s="1" t="s">
        <v>751</v>
      </c>
      <c r="H850" s="1" t="s">
        <v>751</v>
      </c>
      <c r="I850" s="1">
        <v>10028.0</v>
      </c>
      <c r="J850" s="1" t="s">
        <v>752</v>
      </c>
      <c r="K850" s="1" t="s">
        <v>51</v>
      </c>
      <c r="L850" s="1" t="s">
        <v>3293</v>
      </c>
      <c r="M850" s="1">
        <v>1.0</v>
      </c>
      <c r="N850" s="1" t="s">
        <v>2461</v>
      </c>
      <c r="O850" s="3" t="s">
        <v>4482</v>
      </c>
      <c r="P850" s="18">
        <v>45890.0</v>
      </c>
      <c r="Q850" s="1" t="s">
        <v>3219</v>
      </c>
      <c r="R850" s="1"/>
      <c r="S850" s="1" t="s">
        <v>2461</v>
      </c>
      <c r="T850" s="1" t="s">
        <v>2461</v>
      </c>
      <c r="U850" s="1" t="s">
        <v>1812</v>
      </c>
      <c r="V850" s="4" t="s">
        <v>4482</v>
      </c>
      <c r="W850" s="1"/>
      <c r="X850" s="18">
        <v>45890.0</v>
      </c>
      <c r="Y850" s="1" t="s">
        <v>1455</v>
      </c>
      <c r="Z850" s="1"/>
      <c r="AA850" s="1"/>
      <c r="AB850" s="1" t="s">
        <v>52</v>
      </c>
      <c r="AC850" s="1" t="s">
        <v>1925</v>
      </c>
      <c r="AD850" s="1"/>
      <c r="AE850" s="1" t="s">
        <v>1152</v>
      </c>
      <c r="AF850" s="1"/>
      <c r="AG850" s="1"/>
      <c r="AH850" s="1" t="s">
        <v>1152</v>
      </c>
      <c r="AI850" s="1"/>
      <c r="AJ850" s="1"/>
      <c r="AK850" s="1"/>
      <c r="AL850" s="6" t="str">
        <f t="array" ref="AL850">IFERROR(IFS(XLOOKUP(B850, 'Kit Delivery Status'!$U:$U, 'Kit Delivery Status'!$K:$K) = "Complete", "DELIVERED", XLOOKUP(B850, 'Kit Delivery Status'!$U:$U, 'Kit Delivery Status'!$K:$K) = "Issue", "ISSUE"), "")</f>
        <v/>
      </c>
      <c r="AM850" s="6"/>
    </row>
    <row r="851">
      <c r="A851" s="5" t="s">
        <v>4483</v>
      </c>
      <c r="B851" s="1" t="s">
        <v>4484</v>
      </c>
      <c r="C851" s="1"/>
      <c r="D851" s="2">
        <v>5.169876034E9</v>
      </c>
      <c r="E851" s="1" t="s">
        <v>4485</v>
      </c>
      <c r="F851" s="1"/>
      <c r="G851" s="1" t="s">
        <v>4486</v>
      </c>
      <c r="H851" s="1" t="s">
        <v>751</v>
      </c>
      <c r="I851" s="1">
        <v>11545.0</v>
      </c>
      <c r="J851" s="1" t="s">
        <v>752</v>
      </c>
      <c r="K851" s="1" t="s">
        <v>66</v>
      </c>
      <c r="L851" s="1" t="s">
        <v>3321</v>
      </c>
      <c r="M851" s="1">
        <v>210.0</v>
      </c>
      <c r="N851" s="1" t="s">
        <v>1152</v>
      </c>
      <c r="O851" s="3" t="s">
        <v>4487</v>
      </c>
      <c r="P851" s="18">
        <v>45883.0</v>
      </c>
      <c r="Q851" s="1" t="s">
        <v>1152</v>
      </c>
      <c r="R851" s="1"/>
      <c r="S851" s="1" t="s">
        <v>1152</v>
      </c>
      <c r="T851" s="1" t="s">
        <v>1152</v>
      </c>
      <c r="U851" s="1" t="s">
        <v>1080</v>
      </c>
      <c r="V851" s="4" t="s">
        <v>4487</v>
      </c>
      <c r="W851" s="1"/>
      <c r="X851" s="18">
        <v>45883.0</v>
      </c>
      <c r="Y851" s="1"/>
      <c r="Z851" s="1"/>
      <c r="AA851" s="1"/>
      <c r="AB851" s="1"/>
      <c r="AC851" s="1" t="s">
        <v>1925</v>
      </c>
      <c r="AD851" s="1"/>
      <c r="AE851" s="1" t="s">
        <v>1152</v>
      </c>
      <c r="AF851" s="1"/>
      <c r="AG851" s="1"/>
      <c r="AH851" s="1" t="s">
        <v>1152</v>
      </c>
      <c r="AI851" s="1"/>
      <c r="AJ851" s="1"/>
      <c r="AK851" s="1"/>
      <c r="AL851" s="6" t="str">
        <f t="array" ref="AL851">IFERROR(IFS(XLOOKUP(B851, 'Kit Delivery Status'!$U:$U, 'Kit Delivery Status'!$K:$K) = "Complete", "DELIVERED", XLOOKUP(B851, 'Kit Delivery Status'!$U:$U, 'Kit Delivery Status'!$K:$K) = "Issue", "ISSUE"), "")</f>
        <v/>
      </c>
      <c r="AM851" s="6"/>
    </row>
    <row r="852">
      <c r="A852" s="5" t="s">
        <v>4488</v>
      </c>
      <c r="B852" s="1" t="s">
        <v>4489</v>
      </c>
      <c r="C852" s="1" t="s">
        <v>4490</v>
      </c>
      <c r="D852" s="2">
        <v>3.12956281E9</v>
      </c>
      <c r="E852" s="1" t="s">
        <v>4491</v>
      </c>
      <c r="F852" s="1"/>
      <c r="G852" s="1" t="s">
        <v>3041</v>
      </c>
      <c r="H852" s="1" t="s">
        <v>1019</v>
      </c>
      <c r="I852" s="1">
        <v>60091.0</v>
      </c>
      <c r="J852" s="1" t="s">
        <v>752</v>
      </c>
      <c r="K852" s="1" t="s">
        <v>66</v>
      </c>
      <c r="L852" s="1" t="s">
        <v>3321</v>
      </c>
      <c r="M852" s="1">
        <v>210.0</v>
      </c>
      <c r="N852" s="1" t="s">
        <v>1152</v>
      </c>
      <c r="O852" s="3" t="s">
        <v>4492</v>
      </c>
      <c r="P852" s="18">
        <v>45883.0</v>
      </c>
      <c r="Q852" s="1" t="s">
        <v>1152</v>
      </c>
      <c r="R852" s="1"/>
      <c r="S852" s="1" t="s">
        <v>1152</v>
      </c>
      <c r="T852" s="1" t="s">
        <v>1152</v>
      </c>
      <c r="U852" s="1" t="s">
        <v>1133</v>
      </c>
      <c r="V852" s="4" t="s">
        <v>4492</v>
      </c>
      <c r="W852" s="1"/>
      <c r="X852" s="18">
        <v>45883.0</v>
      </c>
      <c r="Y852" s="1"/>
      <c r="Z852" s="1"/>
      <c r="AA852" s="1"/>
      <c r="AB852" s="1"/>
      <c r="AC852" s="1" t="s">
        <v>1925</v>
      </c>
      <c r="AD852" s="1"/>
      <c r="AE852" s="1" t="s">
        <v>1152</v>
      </c>
      <c r="AF852" s="1"/>
      <c r="AG852" s="1"/>
      <c r="AH852" s="1" t="s">
        <v>1152</v>
      </c>
      <c r="AI852" s="1"/>
      <c r="AJ852" s="1"/>
      <c r="AK852" s="1"/>
      <c r="AL852" s="6" t="str">
        <f t="array" ref="AL852">IFERROR(IFS(XLOOKUP(B852, 'Kit Delivery Status'!$U:$U, 'Kit Delivery Status'!$K:$K) = "Complete", "DELIVERED", XLOOKUP(B852, 'Kit Delivery Status'!$U:$U, 'Kit Delivery Status'!$K:$K) = "Issue", "ISSUE"), "")</f>
        <v/>
      </c>
      <c r="AM852" s="6"/>
    </row>
    <row r="853">
      <c r="A853" s="5" t="s">
        <v>4493</v>
      </c>
      <c r="B853" s="1" t="s">
        <v>4494</v>
      </c>
      <c r="C853" s="1"/>
      <c r="D853" s="2">
        <v>8.622169997E9</v>
      </c>
      <c r="E853" s="1" t="s">
        <v>4495</v>
      </c>
      <c r="F853" s="1" t="s">
        <v>4496</v>
      </c>
      <c r="G853" s="1" t="s">
        <v>4497</v>
      </c>
      <c r="H853" s="1" t="s">
        <v>1053</v>
      </c>
      <c r="I853" s="1">
        <v>7040.0</v>
      </c>
      <c r="J853" s="1" t="s">
        <v>752</v>
      </c>
      <c r="K853" s="1" t="s">
        <v>51</v>
      </c>
      <c r="L853" s="1" t="s">
        <v>3293</v>
      </c>
      <c r="M853" s="1">
        <v>1.0</v>
      </c>
      <c r="N853" s="1" t="s">
        <v>2487</v>
      </c>
      <c r="O853" s="3"/>
      <c r="P853" s="18">
        <v>45889.0</v>
      </c>
      <c r="Q853" s="1" t="s">
        <v>3418</v>
      </c>
      <c r="R853" s="1" t="s">
        <v>4496</v>
      </c>
      <c r="S853" s="1" t="s">
        <v>2487</v>
      </c>
      <c r="T853" s="1" t="s">
        <v>2487</v>
      </c>
      <c r="U853" s="1"/>
      <c r="V853" s="4"/>
      <c r="W853" s="1" t="s">
        <v>4496</v>
      </c>
      <c r="X853" s="18">
        <v>45889.0</v>
      </c>
      <c r="Y853" s="1" t="s">
        <v>1103</v>
      </c>
      <c r="Z853" s="1"/>
      <c r="AA853" s="1" t="s">
        <v>4496</v>
      </c>
      <c r="AB853" s="1" t="s">
        <v>124</v>
      </c>
      <c r="AC853" s="1" t="s">
        <v>1925</v>
      </c>
      <c r="AD853" s="1"/>
      <c r="AE853" s="1" t="s">
        <v>1152</v>
      </c>
      <c r="AF853" s="1"/>
      <c r="AG853" s="1"/>
      <c r="AH853" s="1" t="s">
        <v>1152</v>
      </c>
      <c r="AI853" s="1"/>
      <c r="AJ853" s="1"/>
      <c r="AK853" s="1"/>
      <c r="AL853" s="6" t="str">
        <f t="array" ref="AL853">IFERROR(IFS(XLOOKUP(B853, 'Kit Delivery Status'!$U:$U, 'Kit Delivery Status'!$K:$K) = "Complete", "DELIVERED", XLOOKUP(B853, 'Kit Delivery Status'!$U:$U, 'Kit Delivery Status'!$K:$K) = "Issue", "ISSUE"), "")</f>
        <v/>
      </c>
      <c r="AM853" s="6"/>
    </row>
    <row r="854">
      <c r="A854" s="5" t="s">
        <v>4498</v>
      </c>
      <c r="B854" s="1" t="s">
        <v>4499</v>
      </c>
      <c r="C854" s="1"/>
      <c r="D854" s="2">
        <v>2.167779895E9</v>
      </c>
      <c r="E854" s="1" t="s">
        <v>4500</v>
      </c>
      <c r="F854" s="1"/>
      <c r="G854" s="1" t="s">
        <v>4501</v>
      </c>
      <c r="H854" s="1" t="s">
        <v>2171</v>
      </c>
      <c r="I854" s="1">
        <v>44147.0</v>
      </c>
      <c r="J854" s="1" t="s">
        <v>752</v>
      </c>
      <c r="K854" s="1" t="s">
        <v>66</v>
      </c>
      <c r="L854" s="1" t="s">
        <v>3350</v>
      </c>
      <c r="M854" s="1">
        <v>145.0</v>
      </c>
      <c r="N854" s="1" t="s">
        <v>1152</v>
      </c>
      <c r="O854" s="3" t="s">
        <v>4502</v>
      </c>
      <c r="P854" s="18">
        <v>45883.0</v>
      </c>
      <c r="Q854" s="1" t="s">
        <v>1152</v>
      </c>
      <c r="R854" s="1"/>
      <c r="S854" s="1" t="s">
        <v>1152</v>
      </c>
      <c r="T854" s="1" t="s">
        <v>1152</v>
      </c>
      <c r="U854" s="1" t="s">
        <v>1441</v>
      </c>
      <c r="V854" s="4" t="s">
        <v>4502</v>
      </c>
      <c r="W854" s="1"/>
      <c r="X854" s="18">
        <v>45883.0</v>
      </c>
      <c r="Y854" s="1"/>
      <c r="Z854" s="1"/>
      <c r="AA854" s="1"/>
      <c r="AB854" s="1"/>
      <c r="AC854" s="1" t="s">
        <v>1925</v>
      </c>
      <c r="AD854" s="1"/>
      <c r="AE854" s="1" t="s">
        <v>1152</v>
      </c>
      <c r="AF854" s="1"/>
      <c r="AG854" s="1"/>
      <c r="AH854" s="1" t="s">
        <v>1152</v>
      </c>
      <c r="AI854" s="1"/>
      <c r="AJ854" s="1"/>
      <c r="AK854" s="1"/>
      <c r="AL854" s="6" t="str">
        <f t="array" ref="AL854">IFERROR(IFS(XLOOKUP(B854, 'Kit Delivery Status'!$U:$U, 'Kit Delivery Status'!$K:$K) = "Complete", "DELIVERED", XLOOKUP(B854, 'Kit Delivery Status'!$U:$U, 'Kit Delivery Status'!$K:$K) = "Issue", "ISSUE"), "")</f>
        <v/>
      </c>
      <c r="AM854" s="6"/>
    </row>
    <row r="855">
      <c r="A855" s="5" t="s">
        <v>4503</v>
      </c>
      <c r="B855" s="1" t="s">
        <v>4504</v>
      </c>
      <c r="C855" s="1" t="s">
        <v>4505</v>
      </c>
      <c r="D855" s="2">
        <v>2.15901152E9</v>
      </c>
      <c r="E855" s="1" t="s">
        <v>4506</v>
      </c>
      <c r="F855" s="1"/>
      <c r="G855" s="1" t="s">
        <v>4477</v>
      </c>
      <c r="H855" s="1" t="s">
        <v>1233</v>
      </c>
      <c r="I855" s="1">
        <v>19106.0</v>
      </c>
      <c r="J855" s="1" t="s">
        <v>752</v>
      </c>
      <c r="K855" s="1" t="s">
        <v>95</v>
      </c>
      <c r="L855" s="1" t="s">
        <v>3327</v>
      </c>
      <c r="M855" s="1">
        <v>49.0</v>
      </c>
      <c r="N855" s="1" t="s">
        <v>2461</v>
      </c>
      <c r="O855" s="3" t="s">
        <v>4507</v>
      </c>
      <c r="P855" s="18">
        <v>45890.0</v>
      </c>
      <c r="Q855" s="1" t="s">
        <v>2731</v>
      </c>
      <c r="R855" s="1"/>
      <c r="S855" s="1" t="s">
        <v>2461</v>
      </c>
      <c r="T855" s="1" t="s">
        <v>2461</v>
      </c>
      <c r="U855" s="1" t="s">
        <v>1710</v>
      </c>
      <c r="V855" s="4" t="s">
        <v>4507</v>
      </c>
      <c r="W855" s="1"/>
      <c r="X855" s="18">
        <v>45890.0</v>
      </c>
      <c r="Y855" s="1" t="s">
        <v>1349</v>
      </c>
      <c r="Z855" s="1"/>
      <c r="AA855" s="1"/>
      <c r="AB855" s="1" t="s">
        <v>52</v>
      </c>
      <c r="AC855" s="1" t="s">
        <v>4508</v>
      </c>
      <c r="AD855" s="1"/>
      <c r="AE855" s="1" t="s">
        <v>1152</v>
      </c>
      <c r="AF855" s="1"/>
      <c r="AG855" s="1"/>
      <c r="AH855" s="1" t="s">
        <v>1152</v>
      </c>
      <c r="AI855" s="1"/>
      <c r="AJ855" s="1"/>
      <c r="AK855" s="1"/>
      <c r="AL855" s="6" t="str">
        <f t="array" ref="AL855">IFERROR(IFS(XLOOKUP(B855, 'Kit Delivery Status'!$U:$U, 'Kit Delivery Status'!$K:$K) = "Complete", "DELIVERED", XLOOKUP(B855, 'Kit Delivery Status'!$U:$U, 'Kit Delivery Status'!$K:$K) = "Issue", "ISSUE"), "")</f>
        <v/>
      </c>
      <c r="AM855" s="6"/>
    </row>
    <row r="856">
      <c r="A856" s="5" t="s">
        <v>4509</v>
      </c>
      <c r="B856" s="1" t="s">
        <v>4510</v>
      </c>
      <c r="C856" s="1" t="s">
        <v>3749</v>
      </c>
      <c r="D856" s="2">
        <v>7.132137252E9</v>
      </c>
      <c r="E856" s="1" t="s">
        <v>3750</v>
      </c>
      <c r="F856" s="1"/>
      <c r="G856" s="1" t="s">
        <v>1817</v>
      </c>
      <c r="H856" s="1" t="s">
        <v>1598</v>
      </c>
      <c r="I856" s="1">
        <v>37027.0</v>
      </c>
      <c r="J856" s="1" t="s">
        <v>752</v>
      </c>
      <c r="K856" s="1" t="s">
        <v>66</v>
      </c>
      <c r="L856" s="1" t="s">
        <v>3321</v>
      </c>
      <c r="M856" s="1">
        <v>210.0</v>
      </c>
      <c r="N856" s="1" t="s">
        <v>1152</v>
      </c>
      <c r="O856" s="3" t="s">
        <v>3751</v>
      </c>
      <c r="P856" s="18">
        <v>45883.0</v>
      </c>
      <c r="Q856" s="1" t="s">
        <v>1152</v>
      </c>
      <c r="R856" s="1"/>
      <c r="S856" s="1" t="s">
        <v>1152</v>
      </c>
      <c r="T856" s="1" t="s">
        <v>1152</v>
      </c>
      <c r="U856" s="1" t="s">
        <v>1021</v>
      </c>
      <c r="V856" s="4" t="s">
        <v>3751</v>
      </c>
      <c r="W856" s="1"/>
      <c r="X856" s="18">
        <v>45883.0</v>
      </c>
      <c r="Y856" s="1"/>
      <c r="Z856" s="1"/>
      <c r="AA856" s="1"/>
      <c r="AB856" s="1"/>
      <c r="AC856" s="1" t="s">
        <v>1925</v>
      </c>
      <c r="AD856" s="1"/>
      <c r="AE856" s="1" t="s">
        <v>1152</v>
      </c>
      <c r="AF856" s="1"/>
      <c r="AG856" s="1"/>
      <c r="AH856" s="1" t="s">
        <v>1152</v>
      </c>
      <c r="AI856" s="1"/>
      <c r="AJ856" s="1"/>
      <c r="AK856" s="1"/>
      <c r="AL856" s="6" t="str">
        <f t="array" ref="AL856">IFERROR(IFS(XLOOKUP(B856, 'Kit Delivery Status'!$U:$U, 'Kit Delivery Status'!$K:$K) = "Complete", "DELIVERED", XLOOKUP(B856, 'Kit Delivery Status'!$U:$U, 'Kit Delivery Status'!$K:$K) = "Issue", "ISSUE"), "")</f>
        <v/>
      </c>
      <c r="AM856" s="6"/>
    </row>
    <row r="857">
      <c r="A857" s="5" t="s">
        <v>4511</v>
      </c>
      <c r="B857" s="1" t="s">
        <v>4512</v>
      </c>
      <c r="C857" s="1" t="s">
        <v>4513</v>
      </c>
      <c r="D857" s="2">
        <v>4.156524942E9</v>
      </c>
      <c r="E857" s="1" t="s">
        <v>3815</v>
      </c>
      <c r="F857" s="1"/>
      <c r="G857" s="1" t="s">
        <v>1562</v>
      </c>
      <c r="H857" s="1" t="s">
        <v>989</v>
      </c>
      <c r="I857" s="1">
        <v>94110.0</v>
      </c>
      <c r="J857" s="1" t="s">
        <v>752</v>
      </c>
      <c r="K857" s="1" t="s">
        <v>66</v>
      </c>
      <c r="L857" s="1" t="s">
        <v>3350</v>
      </c>
      <c r="M857" s="1">
        <v>145.0</v>
      </c>
      <c r="N857" s="1" t="s">
        <v>1152</v>
      </c>
      <c r="O857" s="3" t="s">
        <v>2008</v>
      </c>
      <c r="P857" s="18">
        <v>45882.0</v>
      </c>
      <c r="Q857" s="1" t="s">
        <v>1152</v>
      </c>
      <c r="R857" s="1"/>
      <c r="S857" s="1" t="s">
        <v>1152</v>
      </c>
      <c r="T857" s="1" t="s">
        <v>1152</v>
      </c>
      <c r="U857" s="1" t="s">
        <v>1794</v>
      </c>
      <c r="V857" s="4" t="s">
        <v>2008</v>
      </c>
      <c r="W857" s="1"/>
      <c r="X857" s="18">
        <v>45882.0</v>
      </c>
      <c r="Y857" s="1"/>
      <c r="Z857" s="1"/>
      <c r="AA857" s="1"/>
      <c r="AB857" s="1"/>
      <c r="AC857" s="1" t="s">
        <v>1925</v>
      </c>
      <c r="AD857" s="1"/>
      <c r="AE857" s="1" t="s">
        <v>1152</v>
      </c>
      <c r="AF857" s="1"/>
      <c r="AG857" s="1"/>
      <c r="AH857" s="1" t="s">
        <v>1152</v>
      </c>
      <c r="AI857" s="1"/>
      <c r="AJ857" s="1"/>
      <c r="AK857" s="1"/>
      <c r="AL857" s="6" t="str">
        <f t="array" ref="AL857">IFERROR(IFS(XLOOKUP(B857, 'Kit Delivery Status'!$U:$U, 'Kit Delivery Status'!$K:$K) = "Complete", "DELIVERED", XLOOKUP(B857, 'Kit Delivery Status'!$U:$U, 'Kit Delivery Status'!$K:$K) = "Issue", "ISSUE"), "")</f>
        <v/>
      </c>
      <c r="AM857" s="6"/>
    </row>
    <row r="858">
      <c r="A858" s="5" t="s">
        <v>4514</v>
      </c>
      <c r="B858" s="1" t="s">
        <v>4515</v>
      </c>
      <c r="C858" s="1" t="s">
        <v>4516</v>
      </c>
      <c r="D858" s="2">
        <v>8.183846515E9</v>
      </c>
      <c r="E858" s="1" t="s">
        <v>3896</v>
      </c>
      <c r="F858" s="1"/>
      <c r="G858" s="1" t="s">
        <v>1179</v>
      </c>
      <c r="H858" s="1" t="s">
        <v>989</v>
      </c>
      <c r="I858" s="1">
        <v>91356.0</v>
      </c>
      <c r="J858" s="1" t="s">
        <v>752</v>
      </c>
      <c r="K858" s="1" t="s">
        <v>66</v>
      </c>
      <c r="L858" s="1" t="s">
        <v>3321</v>
      </c>
      <c r="M858" s="1">
        <v>210.0</v>
      </c>
      <c r="N858" s="1" t="s">
        <v>1152</v>
      </c>
      <c r="O858" s="3" t="s">
        <v>4517</v>
      </c>
      <c r="P858" s="18">
        <v>45883.0</v>
      </c>
      <c r="Q858" s="1" t="s">
        <v>1152</v>
      </c>
      <c r="R858" s="1"/>
      <c r="S858" s="1" t="s">
        <v>1152</v>
      </c>
      <c r="T858" s="1" t="s">
        <v>1152</v>
      </c>
      <c r="U858" s="1" t="s">
        <v>1441</v>
      </c>
      <c r="V858" s="4" t="s">
        <v>4517</v>
      </c>
      <c r="W858" s="1"/>
      <c r="X858" s="18">
        <v>45883.0</v>
      </c>
      <c r="Y858" s="1"/>
      <c r="Z858" s="1"/>
      <c r="AA858" s="1"/>
      <c r="AB858" s="1"/>
      <c r="AC858" s="1" t="s">
        <v>1925</v>
      </c>
      <c r="AD858" s="1"/>
      <c r="AE858" s="1" t="s">
        <v>1152</v>
      </c>
      <c r="AF858" s="1"/>
      <c r="AG858" s="1"/>
      <c r="AH858" s="1" t="s">
        <v>1152</v>
      </c>
      <c r="AI858" s="1"/>
      <c r="AJ858" s="1"/>
      <c r="AK858" s="1"/>
      <c r="AL858" s="6" t="str">
        <f t="array" ref="AL858">IFERROR(IFS(XLOOKUP(B858, 'Kit Delivery Status'!$U:$U, 'Kit Delivery Status'!$K:$K) = "Complete", "DELIVERED", XLOOKUP(B858, 'Kit Delivery Status'!$U:$U, 'Kit Delivery Status'!$K:$K) = "Issue", "ISSUE"), "")</f>
        <v/>
      </c>
      <c r="AM858" s="6"/>
    </row>
    <row r="859">
      <c r="A859" s="5" t="s">
        <v>4518</v>
      </c>
      <c r="B859" s="1" t="s">
        <v>4519</v>
      </c>
      <c r="C859" s="1" t="s">
        <v>4520</v>
      </c>
      <c r="D859" s="2">
        <v>9.255425528E9</v>
      </c>
      <c r="E859" s="1" t="s">
        <v>4521</v>
      </c>
      <c r="F859" s="1"/>
      <c r="G859" s="1" t="s">
        <v>4522</v>
      </c>
      <c r="H859" s="1" t="s">
        <v>989</v>
      </c>
      <c r="I859" s="1">
        <v>94507.0</v>
      </c>
      <c r="J859" s="1" t="s">
        <v>752</v>
      </c>
      <c r="K859" s="1" t="s">
        <v>95</v>
      </c>
      <c r="L859" s="1" t="s">
        <v>3327</v>
      </c>
      <c r="M859" s="1">
        <v>49.0</v>
      </c>
      <c r="N859" s="1" t="s">
        <v>2461</v>
      </c>
      <c r="O859" s="3" t="s">
        <v>1493</v>
      </c>
      <c r="P859" s="18">
        <v>45883.0</v>
      </c>
      <c r="Q859" s="1" t="s">
        <v>2463</v>
      </c>
      <c r="R859" s="1"/>
      <c r="S859" s="1" t="s">
        <v>2461</v>
      </c>
      <c r="T859" s="1" t="s">
        <v>2461</v>
      </c>
      <c r="U859" s="1" t="s">
        <v>1148</v>
      </c>
      <c r="V859" s="4" t="s">
        <v>1493</v>
      </c>
      <c r="W859" s="1"/>
      <c r="X859" s="18">
        <v>45883.0</v>
      </c>
      <c r="Y859" s="1" t="s">
        <v>1030</v>
      </c>
      <c r="Z859" s="1"/>
      <c r="AA859" s="1"/>
      <c r="AB859" s="1" t="s">
        <v>52</v>
      </c>
      <c r="AC859" s="1" t="s">
        <v>4523</v>
      </c>
      <c r="AD859" s="1"/>
      <c r="AE859" s="1" t="s">
        <v>1152</v>
      </c>
      <c r="AF859" s="1"/>
      <c r="AG859" s="1"/>
      <c r="AH859" s="1" t="s">
        <v>1152</v>
      </c>
      <c r="AI859" s="1"/>
      <c r="AJ859" s="1"/>
      <c r="AK859" s="1"/>
      <c r="AL859" s="6" t="str">
        <f t="array" ref="AL859">IFERROR(IFS(XLOOKUP(B859, 'Kit Delivery Status'!$U:$U, 'Kit Delivery Status'!$K:$K) = "Complete", "DELIVERED", XLOOKUP(B859, 'Kit Delivery Status'!$U:$U, 'Kit Delivery Status'!$K:$K) = "Issue", "ISSUE"), "")</f>
        <v/>
      </c>
      <c r="AM859" s="6"/>
    </row>
    <row r="860">
      <c r="A860" s="5" t="s">
        <v>4524</v>
      </c>
      <c r="B860" s="1" t="s">
        <v>4525</v>
      </c>
      <c r="C860" s="1"/>
      <c r="D860" s="2">
        <v>2.152859232E9</v>
      </c>
      <c r="E860" s="1" t="s">
        <v>4526</v>
      </c>
      <c r="F860" s="1"/>
      <c r="G860" s="1" t="s">
        <v>4477</v>
      </c>
      <c r="H860" s="1" t="s">
        <v>1233</v>
      </c>
      <c r="I860" s="1">
        <v>19144.0</v>
      </c>
      <c r="J860" s="1" t="s">
        <v>752</v>
      </c>
      <c r="K860" s="1" t="s">
        <v>51</v>
      </c>
      <c r="L860" s="1" t="s">
        <v>3293</v>
      </c>
      <c r="M860" s="1">
        <v>1.0</v>
      </c>
      <c r="N860" s="1" t="s">
        <v>2461</v>
      </c>
      <c r="O860" s="3" t="s">
        <v>4527</v>
      </c>
      <c r="P860" s="18">
        <v>45890.0</v>
      </c>
      <c r="Q860" s="1" t="s">
        <v>2463</v>
      </c>
      <c r="R860" s="1"/>
      <c r="S860" s="1" t="s">
        <v>2461</v>
      </c>
      <c r="T860" s="1" t="s">
        <v>2461</v>
      </c>
      <c r="U860" s="1" t="s">
        <v>1794</v>
      </c>
      <c r="V860" s="4" t="s">
        <v>4527</v>
      </c>
      <c r="W860" s="1"/>
      <c r="X860" s="18">
        <v>45890.0</v>
      </c>
      <c r="Y860" s="1" t="s">
        <v>1030</v>
      </c>
      <c r="Z860" s="1"/>
      <c r="AA860" s="1"/>
      <c r="AB860" s="1" t="s">
        <v>52</v>
      </c>
      <c r="AC860" s="1" t="s">
        <v>1925</v>
      </c>
      <c r="AD860" s="1"/>
      <c r="AE860" s="1" t="s">
        <v>1152</v>
      </c>
      <c r="AF860" s="1"/>
      <c r="AG860" s="1"/>
      <c r="AH860" s="1" t="s">
        <v>1152</v>
      </c>
      <c r="AI860" s="1"/>
      <c r="AJ860" s="1"/>
      <c r="AK860" s="1"/>
      <c r="AL860" s="6" t="str">
        <f t="array" ref="AL860">IFERROR(IFS(XLOOKUP(B860, 'Kit Delivery Status'!$U:$U, 'Kit Delivery Status'!$K:$K) = "Complete", "DELIVERED", XLOOKUP(B860, 'Kit Delivery Status'!$U:$U, 'Kit Delivery Status'!$K:$K) = "Issue", "ISSUE"), "")</f>
        <v/>
      </c>
      <c r="AM860" s="6"/>
    </row>
    <row r="861">
      <c r="A861" s="5" t="s">
        <v>4528</v>
      </c>
      <c r="B861" s="1" t="s">
        <v>4529</v>
      </c>
      <c r="C861" s="1" t="s">
        <v>4530</v>
      </c>
      <c r="D861" s="2">
        <v>8.052845691E9</v>
      </c>
      <c r="E861" s="1" t="s">
        <v>4531</v>
      </c>
      <c r="F861" s="1"/>
      <c r="G861" s="1" t="s">
        <v>4532</v>
      </c>
      <c r="H861" s="1" t="s">
        <v>989</v>
      </c>
      <c r="I861" s="1">
        <v>93463.0</v>
      </c>
      <c r="J861" s="1" t="s">
        <v>752</v>
      </c>
      <c r="K861" s="1" t="s">
        <v>51</v>
      </c>
      <c r="L861" s="1" t="s">
        <v>3293</v>
      </c>
      <c r="M861" s="1">
        <v>1.0</v>
      </c>
      <c r="N861" s="1" t="s">
        <v>2461</v>
      </c>
      <c r="O861" s="3" t="s">
        <v>2946</v>
      </c>
      <c r="P861" s="18">
        <v>45889.0</v>
      </c>
      <c r="Q861" s="1" t="s">
        <v>2463</v>
      </c>
      <c r="R861" s="1"/>
      <c r="S861" s="1" t="s">
        <v>2461</v>
      </c>
      <c r="T861" s="1" t="s">
        <v>2461</v>
      </c>
      <c r="U861" s="1" t="s">
        <v>2236</v>
      </c>
      <c r="V861" s="4" t="s">
        <v>2946</v>
      </c>
      <c r="W861" s="1"/>
      <c r="X861" s="18">
        <v>45889.0</v>
      </c>
      <c r="Y861" s="1" t="s">
        <v>1030</v>
      </c>
      <c r="Z861" s="1"/>
      <c r="AA861" s="1"/>
      <c r="AB861" s="1" t="s">
        <v>52</v>
      </c>
      <c r="AC861" s="1" t="s">
        <v>1925</v>
      </c>
      <c r="AD861" s="1"/>
      <c r="AE861" s="1" t="s">
        <v>1152</v>
      </c>
      <c r="AF861" s="1"/>
      <c r="AG861" s="1"/>
      <c r="AH861" s="1" t="s">
        <v>1152</v>
      </c>
      <c r="AI861" s="1"/>
      <c r="AJ861" s="1"/>
      <c r="AK861" s="1"/>
      <c r="AL861" s="6" t="str">
        <f t="array" ref="AL861">IFERROR(IFS(XLOOKUP(B861, 'Kit Delivery Status'!$U:$U, 'Kit Delivery Status'!$K:$K) = "Complete", "DELIVERED", XLOOKUP(B861, 'Kit Delivery Status'!$U:$U, 'Kit Delivery Status'!$K:$K) = "Issue", "ISSUE"), "")</f>
        <v/>
      </c>
      <c r="AM861" s="6"/>
    </row>
    <row r="862">
      <c r="A862" s="5" t="s">
        <v>4533</v>
      </c>
      <c r="B862" s="1" t="s">
        <v>4534</v>
      </c>
      <c r="C862" s="1" t="s">
        <v>4535</v>
      </c>
      <c r="D862" s="2">
        <v>9.043774154E9</v>
      </c>
      <c r="E862" s="1" t="s">
        <v>4536</v>
      </c>
      <c r="F862" s="1"/>
      <c r="G862" s="1" t="s">
        <v>4537</v>
      </c>
      <c r="H862" s="1" t="s">
        <v>1208</v>
      </c>
      <c r="I862" s="1">
        <v>32259.0</v>
      </c>
      <c r="J862" s="1" t="s">
        <v>752</v>
      </c>
      <c r="K862" s="1" t="s">
        <v>51</v>
      </c>
      <c r="L862" s="1" t="s">
        <v>3293</v>
      </c>
      <c r="M862" s="1">
        <v>1.0</v>
      </c>
      <c r="N862" s="1" t="s">
        <v>2461</v>
      </c>
      <c r="O862" s="3" t="s">
        <v>4538</v>
      </c>
      <c r="P862" s="18">
        <v>45888.0</v>
      </c>
      <c r="Q862" s="1" t="s">
        <v>3219</v>
      </c>
      <c r="R862" s="1"/>
      <c r="S862" s="1" t="s">
        <v>2461</v>
      </c>
      <c r="T862" s="1" t="s">
        <v>2461</v>
      </c>
      <c r="U862" s="1" t="s">
        <v>948</v>
      </c>
      <c r="V862" s="4" t="s">
        <v>4538</v>
      </c>
      <c r="W862" s="1"/>
      <c r="X862" s="18">
        <v>45888.0</v>
      </c>
      <c r="Y862" s="1" t="s">
        <v>1455</v>
      </c>
      <c r="Z862" s="1"/>
      <c r="AA862" s="1"/>
      <c r="AB862" s="1" t="s">
        <v>52</v>
      </c>
      <c r="AC862" s="1" t="s">
        <v>1925</v>
      </c>
      <c r="AD862" s="1"/>
      <c r="AE862" s="1" t="s">
        <v>1152</v>
      </c>
      <c r="AF862" s="1"/>
      <c r="AG862" s="1"/>
      <c r="AH862" s="1" t="s">
        <v>1152</v>
      </c>
      <c r="AI862" s="1"/>
      <c r="AJ862" s="1"/>
      <c r="AK862" s="1"/>
      <c r="AL862" s="6" t="str">
        <f t="array" ref="AL862">IFERROR(IFS(XLOOKUP(B862, 'Kit Delivery Status'!$U:$U, 'Kit Delivery Status'!$K:$K) = "Complete", "DELIVERED", XLOOKUP(B862, 'Kit Delivery Status'!$U:$U, 'Kit Delivery Status'!$K:$K) = "Issue", "ISSUE"), "")</f>
        <v/>
      </c>
      <c r="AM862" s="6"/>
    </row>
    <row r="863">
      <c r="A863" s="5" t="s">
        <v>4539</v>
      </c>
      <c r="B863" s="1" t="s">
        <v>4540</v>
      </c>
      <c r="C863" s="1" t="s">
        <v>4541</v>
      </c>
      <c r="D863" s="2">
        <v>8.328982565E9</v>
      </c>
      <c r="E863" s="1" t="s">
        <v>4542</v>
      </c>
      <c r="F863" s="1"/>
      <c r="G863" s="1" t="s">
        <v>1609</v>
      </c>
      <c r="H863" s="1" t="s">
        <v>1583</v>
      </c>
      <c r="I863" s="1">
        <v>77005.0</v>
      </c>
      <c r="J863" s="1" t="s">
        <v>752</v>
      </c>
      <c r="K863" s="1" t="s">
        <v>51</v>
      </c>
      <c r="L863" s="1" t="s">
        <v>3293</v>
      </c>
      <c r="M863" s="1">
        <v>1.0</v>
      </c>
      <c r="N863" s="1" t="s">
        <v>2461</v>
      </c>
      <c r="O863" s="3" t="s">
        <v>4543</v>
      </c>
      <c r="P863" s="18">
        <v>45889.0</v>
      </c>
      <c r="Q863" s="1" t="s">
        <v>2502</v>
      </c>
      <c r="R863" s="1"/>
      <c r="S863" s="1" t="s">
        <v>2461</v>
      </c>
      <c r="T863" s="1" t="s">
        <v>2461</v>
      </c>
      <c r="U863" s="1" t="s">
        <v>1794</v>
      </c>
      <c r="V863" s="4" t="s">
        <v>4543</v>
      </c>
      <c r="W863" s="1"/>
      <c r="X863" s="18">
        <v>45889.0</v>
      </c>
      <c r="Y863" s="1" t="s">
        <v>1630</v>
      </c>
      <c r="Z863" s="1"/>
      <c r="AA863" s="1"/>
      <c r="AB863" s="1" t="s">
        <v>52</v>
      </c>
      <c r="AC863" s="1" t="s">
        <v>1925</v>
      </c>
      <c r="AD863" s="1"/>
      <c r="AE863" s="1" t="s">
        <v>1152</v>
      </c>
      <c r="AF863" s="1"/>
      <c r="AG863" s="1"/>
      <c r="AH863" s="1" t="s">
        <v>1152</v>
      </c>
      <c r="AI863" s="1"/>
      <c r="AJ863" s="1"/>
      <c r="AK863" s="1"/>
      <c r="AL863" s="6" t="str">
        <f t="array" ref="AL863">IFERROR(IFS(XLOOKUP(B863, 'Kit Delivery Status'!$U:$U, 'Kit Delivery Status'!$K:$K) = "Complete", "DELIVERED", XLOOKUP(B863, 'Kit Delivery Status'!$U:$U, 'Kit Delivery Status'!$K:$K) = "Issue", "ISSUE"), "")</f>
        <v/>
      </c>
      <c r="AM863" s="6"/>
    </row>
    <row r="864">
      <c r="A864" s="5" t="s">
        <v>4544</v>
      </c>
      <c r="B864" s="1" t="s">
        <v>4545</v>
      </c>
      <c r="C864" s="1" t="s">
        <v>4546</v>
      </c>
      <c r="D864" s="2">
        <v>7.32839525E9</v>
      </c>
      <c r="E864" s="1" t="s">
        <v>4547</v>
      </c>
      <c r="F864" s="1"/>
      <c r="G864" s="1" t="s">
        <v>4548</v>
      </c>
      <c r="H864" s="1" t="s">
        <v>1053</v>
      </c>
      <c r="I864" s="1">
        <v>8823.0</v>
      </c>
      <c r="J864" s="1" t="s">
        <v>752</v>
      </c>
      <c r="K864" s="1" t="s">
        <v>51</v>
      </c>
      <c r="L864" s="1" t="s">
        <v>3293</v>
      </c>
      <c r="M864" s="1">
        <v>1.0</v>
      </c>
      <c r="N864" s="1" t="s">
        <v>2461</v>
      </c>
      <c r="O864" s="3" t="s">
        <v>4549</v>
      </c>
      <c r="P864" s="18">
        <v>45883.0</v>
      </c>
      <c r="Q864" s="1" t="s">
        <v>2463</v>
      </c>
      <c r="R864" s="1"/>
      <c r="S864" s="1" t="s">
        <v>2461</v>
      </c>
      <c r="T864" s="1" t="s">
        <v>2461</v>
      </c>
      <c r="U864" s="1" t="s">
        <v>948</v>
      </c>
      <c r="V864" s="4" t="s">
        <v>4549</v>
      </c>
      <c r="W864" s="1"/>
      <c r="X864" s="18">
        <v>45883.0</v>
      </c>
      <c r="Y864" s="1" t="s">
        <v>1030</v>
      </c>
      <c r="Z864" s="1"/>
      <c r="AA864" s="1"/>
      <c r="AB864" s="1" t="s">
        <v>52</v>
      </c>
      <c r="AC864" s="1" t="s">
        <v>1925</v>
      </c>
      <c r="AD864" s="1"/>
      <c r="AE864" s="1" t="s">
        <v>1152</v>
      </c>
      <c r="AF864" s="1"/>
      <c r="AG864" s="1"/>
      <c r="AH864" s="1" t="s">
        <v>1152</v>
      </c>
      <c r="AI864" s="1"/>
      <c r="AJ864" s="1"/>
      <c r="AK864" s="1"/>
      <c r="AL864" s="6" t="str">
        <f t="array" ref="AL864">IFERROR(IFS(XLOOKUP(B864, 'Kit Delivery Status'!$U:$U, 'Kit Delivery Status'!$K:$K) = "Complete", "DELIVERED", XLOOKUP(B864, 'Kit Delivery Status'!$U:$U, 'Kit Delivery Status'!$K:$K) = "Issue", "ISSUE"), "")</f>
        <v/>
      </c>
      <c r="AM864" s="6"/>
    </row>
    <row r="865">
      <c r="A865" s="5" t="s">
        <v>4550</v>
      </c>
      <c r="B865" s="1" t="s">
        <v>4551</v>
      </c>
      <c r="C865" s="1" t="s">
        <v>4552</v>
      </c>
      <c r="D865" s="2">
        <v>9.174801265E9</v>
      </c>
      <c r="E865" s="1" t="s">
        <v>4553</v>
      </c>
      <c r="F865" s="1"/>
      <c r="G865" s="1" t="s">
        <v>1382</v>
      </c>
      <c r="H865" s="1" t="s">
        <v>751</v>
      </c>
      <c r="I865" s="1">
        <v>10583.0</v>
      </c>
      <c r="J865" s="1" t="s">
        <v>752</v>
      </c>
      <c r="K865" s="1" t="s">
        <v>66</v>
      </c>
      <c r="L865" s="1" t="s">
        <v>3321</v>
      </c>
      <c r="M865" s="1">
        <v>210.0</v>
      </c>
      <c r="N865" s="1" t="s">
        <v>1152</v>
      </c>
      <c r="O865" s="3" t="s">
        <v>2763</v>
      </c>
      <c r="P865" s="18">
        <v>45883.0</v>
      </c>
      <c r="Q865" s="1" t="s">
        <v>1152</v>
      </c>
      <c r="R865" s="1"/>
      <c r="S865" s="1" t="s">
        <v>1152</v>
      </c>
      <c r="T865" s="1" t="s">
        <v>1152</v>
      </c>
      <c r="U865" s="1" t="s">
        <v>1039</v>
      </c>
      <c r="V865" s="4" t="s">
        <v>2763</v>
      </c>
      <c r="W865" s="1"/>
      <c r="X865" s="18">
        <v>45883.0</v>
      </c>
      <c r="Y865" s="1"/>
      <c r="Z865" s="1"/>
      <c r="AA865" s="1"/>
      <c r="AB865" s="1"/>
      <c r="AC865" s="1" t="s">
        <v>1925</v>
      </c>
      <c r="AD865" s="1"/>
      <c r="AE865" s="1" t="s">
        <v>1152</v>
      </c>
      <c r="AF865" s="1"/>
      <c r="AG865" s="1"/>
      <c r="AH865" s="1" t="s">
        <v>1152</v>
      </c>
      <c r="AI865" s="1"/>
      <c r="AJ865" s="1"/>
      <c r="AK865" s="1"/>
      <c r="AL865" s="6" t="str">
        <f t="array" ref="AL865">IFERROR(IFS(XLOOKUP(B865, 'Kit Delivery Status'!$U:$U, 'Kit Delivery Status'!$K:$K) = "Complete", "DELIVERED", XLOOKUP(B865, 'Kit Delivery Status'!$U:$U, 'Kit Delivery Status'!$K:$K) = "Issue", "ISSUE"), "")</f>
        <v/>
      </c>
      <c r="AM865" s="6"/>
    </row>
    <row r="866">
      <c r="A866" s="5" t="s">
        <v>4554</v>
      </c>
      <c r="B866" s="1" t="s">
        <v>4555</v>
      </c>
      <c r="C866" s="1" t="s">
        <v>4556</v>
      </c>
      <c r="D866" s="2">
        <v>7.789272818E9</v>
      </c>
      <c r="E866" s="1" t="s">
        <v>4557</v>
      </c>
      <c r="F866" s="1"/>
      <c r="G866" s="1" t="s">
        <v>4558</v>
      </c>
      <c r="H866" s="1" t="s">
        <v>4559</v>
      </c>
      <c r="I866" s="1" t="s">
        <v>4560</v>
      </c>
      <c r="J866" s="1" t="s">
        <v>3582</v>
      </c>
      <c r="K866" s="1" t="s">
        <v>66</v>
      </c>
      <c r="L866" s="1" t="s">
        <v>3321</v>
      </c>
      <c r="M866" s="1">
        <v>210.0</v>
      </c>
      <c r="N866" s="1" t="s">
        <v>1152</v>
      </c>
      <c r="O866" s="3" t="s">
        <v>1741</v>
      </c>
      <c r="P866" s="18">
        <v>45880.0</v>
      </c>
      <c r="Q866" s="1" t="s">
        <v>1152</v>
      </c>
      <c r="R866" s="1"/>
      <c r="S866" s="1" t="s">
        <v>1152</v>
      </c>
      <c r="T866" s="1" t="s">
        <v>1152</v>
      </c>
      <c r="U866" s="1" t="s">
        <v>1080</v>
      </c>
      <c r="V866" s="4" t="s">
        <v>1741</v>
      </c>
      <c r="W866" s="1"/>
      <c r="X866" s="18">
        <v>45880.0</v>
      </c>
      <c r="Y866" s="1"/>
      <c r="Z866" s="1"/>
      <c r="AA866" s="1"/>
      <c r="AB866" s="1"/>
      <c r="AC866" s="1" t="s">
        <v>1925</v>
      </c>
      <c r="AD866" s="1"/>
      <c r="AE866" s="1" t="s">
        <v>1152</v>
      </c>
      <c r="AF866" s="1"/>
      <c r="AG866" s="1"/>
      <c r="AH866" s="1" t="s">
        <v>1152</v>
      </c>
      <c r="AI866" s="1"/>
      <c r="AJ866" s="1"/>
      <c r="AK866" s="1"/>
      <c r="AL866" s="6" t="str">
        <f t="array" ref="AL866">IFERROR(IFS(XLOOKUP(B866, 'Kit Delivery Status'!$U:$U, 'Kit Delivery Status'!$K:$K) = "Complete", "DELIVERED", XLOOKUP(B866, 'Kit Delivery Status'!$U:$U, 'Kit Delivery Status'!$K:$K) = "Issue", "ISSUE"), "")</f>
        <v/>
      </c>
      <c r="AM866" s="6"/>
    </row>
    <row r="867">
      <c r="A867" s="5" t="s">
        <v>4561</v>
      </c>
      <c r="B867" s="1" t="s">
        <v>4562</v>
      </c>
      <c r="C867" s="1" t="s">
        <v>4563</v>
      </c>
      <c r="D867" s="2">
        <v>3.107391189E9</v>
      </c>
      <c r="E867" s="1" t="s">
        <v>4564</v>
      </c>
      <c r="F867" s="1"/>
      <c r="G867" s="1" t="s">
        <v>1247</v>
      </c>
      <c r="H867" s="1" t="s">
        <v>989</v>
      </c>
      <c r="I867" s="1">
        <v>90210.0</v>
      </c>
      <c r="J867" s="1" t="s">
        <v>752</v>
      </c>
      <c r="K867" s="1" t="s">
        <v>51</v>
      </c>
      <c r="L867" s="1" t="s">
        <v>3293</v>
      </c>
      <c r="M867" s="1">
        <v>1.0</v>
      </c>
      <c r="N867" s="1" t="s">
        <v>2461</v>
      </c>
      <c r="O867" s="3" t="s">
        <v>4565</v>
      </c>
      <c r="P867" s="18">
        <v>45890.0</v>
      </c>
      <c r="Q867" s="1" t="s">
        <v>2731</v>
      </c>
      <c r="R867" s="1"/>
      <c r="S867" s="1" t="s">
        <v>2461</v>
      </c>
      <c r="T867" s="1" t="s">
        <v>2461</v>
      </c>
      <c r="U867" s="1" t="s">
        <v>2510</v>
      </c>
      <c r="V867" s="4" t="s">
        <v>4565</v>
      </c>
      <c r="W867" s="1"/>
      <c r="X867" s="18">
        <v>45890.0</v>
      </c>
      <c r="Y867" s="1" t="s">
        <v>1349</v>
      </c>
      <c r="Z867" s="1"/>
      <c r="AA867" s="1"/>
      <c r="AB867" s="1" t="s">
        <v>52</v>
      </c>
      <c r="AC867" s="1" t="s">
        <v>1925</v>
      </c>
      <c r="AD867" s="1"/>
      <c r="AE867" s="1" t="s">
        <v>1152</v>
      </c>
      <c r="AF867" s="1"/>
      <c r="AG867" s="1"/>
      <c r="AH867" s="1" t="s">
        <v>1152</v>
      </c>
      <c r="AI867" s="1"/>
      <c r="AJ867" s="1"/>
      <c r="AK867" s="1"/>
      <c r="AL867" s="6" t="str">
        <f t="array" ref="AL867">IFERROR(IFS(XLOOKUP(B867, 'Kit Delivery Status'!$U:$U, 'Kit Delivery Status'!$K:$K) = "Complete", "DELIVERED", XLOOKUP(B867, 'Kit Delivery Status'!$U:$U, 'Kit Delivery Status'!$K:$K) = "Issue", "ISSUE"), "")</f>
        <v/>
      </c>
      <c r="AM867" s="6"/>
    </row>
    <row r="868">
      <c r="A868" s="5" t="s">
        <v>4566</v>
      </c>
      <c r="B868" s="1" t="s">
        <v>4567</v>
      </c>
      <c r="C868" s="1"/>
      <c r="D868" s="2">
        <v>5.026450365E9</v>
      </c>
      <c r="E868" s="1" t="s">
        <v>4568</v>
      </c>
      <c r="F868" s="1"/>
      <c r="G868" s="1" t="s">
        <v>3282</v>
      </c>
      <c r="H868" s="1" t="s">
        <v>3283</v>
      </c>
      <c r="I868" s="1">
        <v>40206.0</v>
      </c>
      <c r="J868" s="1" t="s">
        <v>752</v>
      </c>
      <c r="K868" s="1" t="s">
        <v>66</v>
      </c>
      <c r="L868" s="1" t="s">
        <v>3364</v>
      </c>
      <c r="M868" s="1">
        <v>115.0</v>
      </c>
      <c r="N868" s="1" t="s">
        <v>1152</v>
      </c>
      <c r="O868" s="3" t="s">
        <v>997</v>
      </c>
      <c r="P868" s="18">
        <v>45883.0</v>
      </c>
      <c r="Q868" s="1" t="s">
        <v>1152</v>
      </c>
      <c r="R868" s="1"/>
      <c r="S868" s="1" t="s">
        <v>1152</v>
      </c>
      <c r="T868" s="1" t="s">
        <v>1152</v>
      </c>
      <c r="U868" s="1" t="s">
        <v>1537</v>
      </c>
      <c r="V868" s="4" t="s">
        <v>997</v>
      </c>
      <c r="W868" s="1"/>
      <c r="X868" s="18">
        <v>45883.0</v>
      </c>
      <c r="Y868" s="1"/>
      <c r="Z868" s="1"/>
      <c r="AA868" s="1"/>
      <c r="AB868" s="1"/>
      <c r="AC868" s="1" t="s">
        <v>1925</v>
      </c>
      <c r="AD868" s="1"/>
      <c r="AE868" s="1" t="s">
        <v>1152</v>
      </c>
      <c r="AF868" s="1"/>
      <c r="AG868" s="1"/>
      <c r="AH868" s="1" t="s">
        <v>1152</v>
      </c>
      <c r="AI868" s="1"/>
      <c r="AJ868" s="1"/>
      <c r="AK868" s="1"/>
      <c r="AL868" s="6" t="str">
        <f t="array" ref="AL868">IFERROR(IFS(XLOOKUP(B868, 'Kit Delivery Status'!$U:$U, 'Kit Delivery Status'!$K:$K) = "Complete", "DELIVERED", XLOOKUP(B868, 'Kit Delivery Status'!$U:$U, 'Kit Delivery Status'!$K:$K) = "Issue", "ISSUE"), "")</f>
        <v/>
      </c>
      <c r="AM868" s="6"/>
    </row>
    <row r="869">
      <c r="A869" s="5" t="s">
        <v>4569</v>
      </c>
      <c r="B869" s="1" t="s">
        <v>4570</v>
      </c>
      <c r="C869" s="1"/>
      <c r="D869" s="2">
        <v>7.724974219E9</v>
      </c>
      <c r="E869" s="1" t="s">
        <v>4571</v>
      </c>
      <c r="F869" s="1"/>
      <c r="G869" s="1" t="s">
        <v>4572</v>
      </c>
      <c r="H869" s="1" t="s">
        <v>1208</v>
      </c>
      <c r="I869" s="1">
        <v>34990.0</v>
      </c>
      <c r="J869" s="1" t="s">
        <v>752</v>
      </c>
      <c r="K869" s="1" t="s">
        <v>51</v>
      </c>
      <c r="L869" s="1" t="s">
        <v>3293</v>
      </c>
      <c r="M869" s="1">
        <v>1.0</v>
      </c>
      <c r="N869" s="1" t="s">
        <v>2461</v>
      </c>
      <c r="O869" s="3" t="s">
        <v>4573</v>
      </c>
      <c r="P869" s="18">
        <v>45890.0</v>
      </c>
      <c r="Q869" s="1" t="s">
        <v>2502</v>
      </c>
      <c r="R869" s="1"/>
      <c r="S869" s="1" t="s">
        <v>2461</v>
      </c>
      <c r="T869" s="1" t="s">
        <v>2461</v>
      </c>
      <c r="U869" s="1" t="s">
        <v>2510</v>
      </c>
      <c r="V869" s="4" t="s">
        <v>4573</v>
      </c>
      <c r="W869" s="1"/>
      <c r="X869" s="18">
        <v>45890.0</v>
      </c>
      <c r="Y869" s="1" t="s">
        <v>1630</v>
      </c>
      <c r="Z869" s="1"/>
      <c r="AA869" s="1"/>
      <c r="AB869" s="1" t="s">
        <v>52</v>
      </c>
      <c r="AC869" s="1" t="s">
        <v>1925</v>
      </c>
      <c r="AD869" s="1"/>
      <c r="AE869" s="1" t="s">
        <v>1152</v>
      </c>
      <c r="AF869" s="1"/>
      <c r="AG869" s="1"/>
      <c r="AH869" s="1" t="s">
        <v>1152</v>
      </c>
      <c r="AI869" s="1"/>
      <c r="AJ869" s="1"/>
      <c r="AK869" s="1"/>
      <c r="AL869" s="6" t="str">
        <f t="array" ref="AL869">IFERROR(IFS(XLOOKUP(B869, 'Kit Delivery Status'!$U:$U, 'Kit Delivery Status'!$K:$K) = "Complete", "DELIVERED", XLOOKUP(B869, 'Kit Delivery Status'!$U:$U, 'Kit Delivery Status'!$K:$K) = "Issue", "ISSUE"), "")</f>
        <v/>
      </c>
      <c r="AM869" s="6"/>
    </row>
    <row r="870">
      <c r="A870" s="5" t="s">
        <v>4574</v>
      </c>
      <c r="B870" s="1" t="s">
        <v>4575</v>
      </c>
      <c r="C870" s="1" t="s">
        <v>4576</v>
      </c>
      <c r="D870" s="2">
        <v>6.178627945E9</v>
      </c>
      <c r="E870" s="1" t="s">
        <v>4577</v>
      </c>
      <c r="F870" s="1"/>
      <c r="G870" s="1" t="s">
        <v>4578</v>
      </c>
      <c r="H870" s="1" t="s">
        <v>1121</v>
      </c>
      <c r="I870" s="1">
        <v>2478.0</v>
      </c>
      <c r="J870" s="1" t="s">
        <v>752</v>
      </c>
      <c r="K870" s="1" t="s">
        <v>66</v>
      </c>
      <c r="L870" s="1" t="s">
        <v>3321</v>
      </c>
      <c r="M870" s="1">
        <v>210.0</v>
      </c>
      <c r="N870" s="1" t="s">
        <v>1152</v>
      </c>
      <c r="O870" s="3" t="s">
        <v>4579</v>
      </c>
      <c r="P870" s="18">
        <v>45875.0</v>
      </c>
      <c r="Q870" s="1" t="s">
        <v>1152</v>
      </c>
      <c r="R870" s="1"/>
      <c r="S870" s="1" t="s">
        <v>1152</v>
      </c>
      <c r="T870" s="1" t="s">
        <v>1152</v>
      </c>
      <c r="U870" s="1" t="s">
        <v>102</v>
      </c>
      <c r="V870" s="4" t="s">
        <v>4579</v>
      </c>
      <c r="W870" s="1"/>
      <c r="X870" s="18">
        <v>45875.0</v>
      </c>
      <c r="Y870" s="1"/>
      <c r="Z870" s="1"/>
      <c r="AA870" s="1"/>
      <c r="AB870" s="1"/>
      <c r="AC870" s="1" t="s">
        <v>1925</v>
      </c>
      <c r="AD870" s="1"/>
      <c r="AE870" s="1" t="s">
        <v>1152</v>
      </c>
      <c r="AF870" s="1"/>
      <c r="AG870" s="1"/>
      <c r="AH870" s="1" t="s">
        <v>1152</v>
      </c>
      <c r="AI870" s="1"/>
      <c r="AJ870" s="1"/>
      <c r="AK870" s="1"/>
      <c r="AL870" s="6" t="str">
        <f t="array" ref="AL870">IFERROR(IFS(XLOOKUP(B870, 'Kit Delivery Status'!$U:$U, 'Kit Delivery Status'!$K:$K) = "Complete", "DELIVERED", XLOOKUP(B870, 'Kit Delivery Status'!$U:$U, 'Kit Delivery Status'!$K:$K) = "Issue", "ISSUE"), "")</f>
        <v/>
      </c>
      <c r="AM870" s="6"/>
    </row>
    <row r="871">
      <c r="A871" s="5" t="s">
        <v>4574</v>
      </c>
      <c r="B871" s="1" t="s">
        <v>4575</v>
      </c>
      <c r="C871" s="1" t="s">
        <v>4576</v>
      </c>
      <c r="D871" s="2">
        <v>6.178627945E9</v>
      </c>
      <c r="E871" s="1" t="s">
        <v>4577</v>
      </c>
      <c r="F871" s="1"/>
      <c r="G871" s="1" t="s">
        <v>4578</v>
      </c>
      <c r="H871" s="1" t="s">
        <v>1121</v>
      </c>
      <c r="I871" s="1">
        <v>2478.0</v>
      </c>
      <c r="J871" s="1" t="s">
        <v>752</v>
      </c>
      <c r="K871" s="1" t="s">
        <v>51</v>
      </c>
      <c r="L871" s="1" t="s">
        <v>3293</v>
      </c>
      <c r="M871" s="1">
        <v>1.0</v>
      </c>
      <c r="N871" s="1" t="s">
        <v>2461</v>
      </c>
      <c r="O871" s="3" t="s">
        <v>4579</v>
      </c>
      <c r="P871" s="18">
        <v>45875.0</v>
      </c>
      <c r="Q871" s="1" t="s">
        <v>2463</v>
      </c>
      <c r="R871" s="1"/>
      <c r="S871" s="1" t="s">
        <v>2461</v>
      </c>
      <c r="T871" s="1" t="s">
        <v>2461</v>
      </c>
      <c r="U871" s="1" t="s">
        <v>1407</v>
      </c>
      <c r="V871" s="4" t="s">
        <v>4579</v>
      </c>
      <c r="W871" s="1"/>
      <c r="X871" s="18">
        <v>45875.0</v>
      </c>
      <c r="Y871" s="1" t="s">
        <v>1030</v>
      </c>
      <c r="Z871" s="1"/>
      <c r="AA871" s="1"/>
      <c r="AB871" s="1" t="s">
        <v>52</v>
      </c>
      <c r="AC871" s="1" t="s">
        <v>1925</v>
      </c>
      <c r="AD871" s="1"/>
      <c r="AE871" s="1" t="s">
        <v>1152</v>
      </c>
      <c r="AF871" s="1"/>
      <c r="AG871" s="1"/>
      <c r="AH871" s="1" t="s">
        <v>1152</v>
      </c>
      <c r="AI871" s="1"/>
      <c r="AJ871" s="1"/>
      <c r="AK871" s="1"/>
      <c r="AL871" s="6" t="str">
        <f t="array" ref="AL871">IFERROR(IFS(XLOOKUP(B871, 'Kit Delivery Status'!$U:$U, 'Kit Delivery Status'!$K:$K) = "Complete", "DELIVERED", XLOOKUP(B871, 'Kit Delivery Status'!$U:$U, 'Kit Delivery Status'!$K:$K) = "Issue", "ISSUE"), "")</f>
        <v/>
      </c>
      <c r="AM871" s="6"/>
    </row>
    <row r="872">
      <c r="A872" s="5" t="s">
        <v>4580</v>
      </c>
      <c r="B872" s="1" t="s">
        <v>4581</v>
      </c>
      <c r="C872" s="1"/>
      <c r="D872" s="2">
        <v>3.10916677E9</v>
      </c>
      <c r="E872" s="1" t="s">
        <v>3074</v>
      </c>
      <c r="F872" s="1"/>
      <c r="G872" s="1" t="s">
        <v>1179</v>
      </c>
      <c r="H872" s="1" t="s">
        <v>989</v>
      </c>
      <c r="I872" s="1">
        <v>90035.0</v>
      </c>
      <c r="J872" s="1" t="s">
        <v>752</v>
      </c>
      <c r="K872" s="1" t="s">
        <v>66</v>
      </c>
      <c r="L872" s="1" t="s">
        <v>3364</v>
      </c>
      <c r="M872" s="1">
        <v>115.0</v>
      </c>
      <c r="N872" s="1" t="s">
        <v>1152</v>
      </c>
      <c r="O872" s="3" t="s">
        <v>3075</v>
      </c>
      <c r="P872" s="18">
        <v>45883.0</v>
      </c>
      <c r="Q872" s="1" t="s">
        <v>1152</v>
      </c>
      <c r="R872" s="1"/>
      <c r="S872" s="1" t="s">
        <v>1152</v>
      </c>
      <c r="T872" s="1" t="s">
        <v>1152</v>
      </c>
      <c r="U872" s="1" t="s">
        <v>1407</v>
      </c>
      <c r="V872" s="4" t="s">
        <v>3075</v>
      </c>
      <c r="W872" s="1"/>
      <c r="X872" s="18">
        <v>45883.0</v>
      </c>
      <c r="Y872" s="1"/>
      <c r="Z872" s="1"/>
      <c r="AA872" s="1"/>
      <c r="AB872" s="1"/>
      <c r="AC872" s="1" t="s">
        <v>1925</v>
      </c>
      <c r="AD872" s="1"/>
      <c r="AE872" s="1" t="s">
        <v>1152</v>
      </c>
      <c r="AF872" s="1"/>
      <c r="AG872" s="1"/>
      <c r="AH872" s="1" t="s">
        <v>1152</v>
      </c>
      <c r="AI872" s="1"/>
      <c r="AJ872" s="1"/>
      <c r="AK872" s="1"/>
      <c r="AL872" s="6" t="str">
        <f t="array" ref="AL872">IFERROR(IFS(XLOOKUP(B872, 'Kit Delivery Status'!$U:$U, 'Kit Delivery Status'!$K:$K) = "Complete", "DELIVERED", XLOOKUP(B872, 'Kit Delivery Status'!$U:$U, 'Kit Delivery Status'!$K:$K) = "Issue", "ISSUE"), "")</f>
        <v/>
      </c>
      <c r="AM872" s="6"/>
    </row>
    <row r="873">
      <c r="A873" s="5" t="s">
        <v>4582</v>
      </c>
      <c r="B873" s="1" t="s">
        <v>4583</v>
      </c>
      <c r="C873" s="1" t="s">
        <v>4584</v>
      </c>
      <c r="D873" s="2">
        <v>5.038398163E9</v>
      </c>
      <c r="E873" s="1" t="s">
        <v>4585</v>
      </c>
      <c r="F873" s="1"/>
      <c r="G873" s="1" t="s">
        <v>1421</v>
      </c>
      <c r="H873" s="1" t="s">
        <v>1422</v>
      </c>
      <c r="I873" s="1">
        <v>97219.0</v>
      </c>
      <c r="J873" s="1" t="s">
        <v>752</v>
      </c>
      <c r="K873" s="1" t="s">
        <v>51</v>
      </c>
      <c r="L873" s="1" t="s">
        <v>3293</v>
      </c>
      <c r="M873" s="1">
        <v>1.0</v>
      </c>
      <c r="N873" s="1" t="s">
        <v>2461</v>
      </c>
      <c r="O873" s="3" t="s">
        <v>3944</v>
      </c>
      <c r="P873" s="18">
        <v>45888.0</v>
      </c>
      <c r="Q873" s="1" t="s">
        <v>2463</v>
      </c>
      <c r="R873" s="1"/>
      <c r="S873" s="1" t="s">
        <v>2461</v>
      </c>
      <c r="T873" s="1" t="s">
        <v>2461</v>
      </c>
      <c r="U873" s="1" t="s">
        <v>4586</v>
      </c>
      <c r="V873" s="4" t="s">
        <v>3944</v>
      </c>
      <c r="W873" s="1"/>
      <c r="X873" s="18">
        <v>45888.0</v>
      </c>
      <c r="Y873" s="1" t="s">
        <v>1030</v>
      </c>
      <c r="Z873" s="1"/>
      <c r="AA873" s="1"/>
      <c r="AB873" s="1" t="s">
        <v>52</v>
      </c>
      <c r="AC873" s="1" t="s">
        <v>1925</v>
      </c>
      <c r="AD873" s="1"/>
      <c r="AE873" s="1" t="s">
        <v>1152</v>
      </c>
      <c r="AF873" s="1"/>
      <c r="AG873" s="1"/>
      <c r="AH873" s="1" t="s">
        <v>1152</v>
      </c>
      <c r="AI873" s="1"/>
      <c r="AJ873" s="1"/>
      <c r="AK873" s="1"/>
      <c r="AL873" s="6" t="str">
        <f t="array" ref="AL873">IFERROR(IFS(XLOOKUP(B873, 'Kit Delivery Status'!$U:$U, 'Kit Delivery Status'!$K:$K) = "Complete", "DELIVERED", XLOOKUP(B873, 'Kit Delivery Status'!$U:$U, 'Kit Delivery Status'!$K:$K) = "Issue", "ISSUE"), "")</f>
        <v/>
      </c>
      <c r="AM873" s="6"/>
    </row>
    <row r="874">
      <c r="A874" s="5" t="s">
        <v>4587</v>
      </c>
      <c r="B874" s="1" t="s">
        <v>4588</v>
      </c>
      <c r="C874" s="1" t="s">
        <v>4589</v>
      </c>
      <c r="D874" s="2">
        <v>1.9176931389E10</v>
      </c>
      <c r="E874" s="1" t="s">
        <v>4590</v>
      </c>
      <c r="F874" s="1"/>
      <c r="G874" s="1" t="s">
        <v>3230</v>
      </c>
      <c r="H874" s="1" t="s">
        <v>751</v>
      </c>
      <c r="I874" s="1">
        <v>10011.0</v>
      </c>
      <c r="J874" s="1" t="s">
        <v>752</v>
      </c>
      <c r="K874" s="1" t="s">
        <v>95</v>
      </c>
      <c r="L874" s="1" t="s">
        <v>3327</v>
      </c>
      <c r="M874" s="1">
        <v>49.0</v>
      </c>
      <c r="N874" s="1" t="s">
        <v>2461</v>
      </c>
      <c r="O874" s="3" t="s">
        <v>4591</v>
      </c>
      <c r="P874" s="18">
        <v>45883.0</v>
      </c>
      <c r="Q874" s="1" t="s">
        <v>2463</v>
      </c>
      <c r="R874" s="1"/>
      <c r="S874" s="1" t="s">
        <v>2461</v>
      </c>
      <c r="T874" s="1" t="s">
        <v>2461</v>
      </c>
      <c r="U874" s="1" t="s">
        <v>982</v>
      </c>
      <c r="V874" s="4" t="s">
        <v>4591</v>
      </c>
      <c r="W874" s="1"/>
      <c r="X874" s="18">
        <v>45883.0</v>
      </c>
      <c r="Y874" s="1" t="s">
        <v>1030</v>
      </c>
      <c r="Z874" s="1"/>
      <c r="AA874" s="1"/>
      <c r="AB874" s="1" t="s">
        <v>52</v>
      </c>
      <c r="AC874" s="1" t="s">
        <v>4592</v>
      </c>
      <c r="AD874" s="1"/>
      <c r="AE874" s="1" t="s">
        <v>1152</v>
      </c>
      <c r="AF874" s="1"/>
      <c r="AG874" s="1"/>
      <c r="AH874" s="1" t="s">
        <v>1152</v>
      </c>
      <c r="AI874" s="1"/>
      <c r="AJ874" s="1"/>
      <c r="AK874" s="1"/>
      <c r="AL874" s="6" t="str">
        <f t="array" ref="AL874">IFERROR(IFS(XLOOKUP(B874, 'Kit Delivery Status'!$U:$U, 'Kit Delivery Status'!$K:$K) = "Complete", "DELIVERED", XLOOKUP(B874, 'Kit Delivery Status'!$U:$U, 'Kit Delivery Status'!$K:$K) = "Issue", "ISSUE"), "")</f>
        <v/>
      </c>
      <c r="AM874" s="6"/>
    </row>
    <row r="875">
      <c r="A875" s="5" t="s">
        <v>4593</v>
      </c>
      <c r="B875" s="1" t="s">
        <v>4594</v>
      </c>
      <c r="C875" s="1" t="s">
        <v>4595</v>
      </c>
      <c r="D875" s="2">
        <v>3.149405449E9</v>
      </c>
      <c r="E875" s="1" t="s">
        <v>4596</v>
      </c>
      <c r="F875" s="1"/>
      <c r="G875" s="1" t="s">
        <v>1283</v>
      </c>
      <c r="H875" s="1" t="s">
        <v>1155</v>
      </c>
      <c r="I875" s="1">
        <v>63130.0</v>
      </c>
      <c r="J875" s="1" t="s">
        <v>752</v>
      </c>
      <c r="K875" s="1" t="s">
        <v>51</v>
      </c>
      <c r="L875" s="1" t="s">
        <v>3293</v>
      </c>
      <c r="M875" s="1">
        <v>1.0</v>
      </c>
      <c r="N875" s="1" t="s">
        <v>2461</v>
      </c>
      <c r="O875" s="3" t="s">
        <v>4597</v>
      </c>
      <c r="P875" s="18">
        <v>45889.0</v>
      </c>
      <c r="Q875" s="1" t="s">
        <v>2852</v>
      </c>
      <c r="R875" s="1"/>
      <c r="S875" s="1" t="s">
        <v>2461</v>
      </c>
      <c r="T875" s="1" t="s">
        <v>2461</v>
      </c>
      <c r="U875" s="1" t="s">
        <v>1710</v>
      </c>
      <c r="V875" s="4" t="s">
        <v>4597</v>
      </c>
      <c r="W875" s="1"/>
      <c r="X875" s="18">
        <v>45889.0</v>
      </c>
      <c r="Y875" s="1" t="s">
        <v>1440</v>
      </c>
      <c r="Z875" s="1"/>
      <c r="AA875" s="1"/>
      <c r="AB875" s="1" t="s">
        <v>52</v>
      </c>
      <c r="AC875" s="1" t="s">
        <v>1925</v>
      </c>
      <c r="AD875" s="1"/>
      <c r="AE875" s="1" t="s">
        <v>1152</v>
      </c>
      <c r="AF875" s="1"/>
      <c r="AG875" s="1"/>
      <c r="AH875" s="1" t="s">
        <v>1152</v>
      </c>
      <c r="AI875" s="1"/>
      <c r="AJ875" s="1"/>
      <c r="AK875" s="1"/>
      <c r="AL875" s="6" t="str">
        <f t="array" ref="AL875">IFERROR(IFS(XLOOKUP(B875, 'Kit Delivery Status'!$U:$U, 'Kit Delivery Status'!$K:$K) = "Complete", "DELIVERED", XLOOKUP(B875, 'Kit Delivery Status'!$U:$U, 'Kit Delivery Status'!$K:$K) = "Issue", "ISSUE"), "")</f>
        <v/>
      </c>
      <c r="AM875" s="6"/>
    </row>
    <row r="876">
      <c r="A876" s="5" t="s">
        <v>4598</v>
      </c>
      <c r="B876" s="1" t="s">
        <v>4599</v>
      </c>
      <c r="C876" s="1" t="s">
        <v>4600</v>
      </c>
      <c r="D876" s="2">
        <v>6.469060292E9</v>
      </c>
      <c r="E876" s="1" t="s">
        <v>4601</v>
      </c>
      <c r="F876" s="1"/>
      <c r="G876" s="1" t="s">
        <v>751</v>
      </c>
      <c r="H876" s="1" t="s">
        <v>751</v>
      </c>
      <c r="I876" s="1">
        <v>10011.0</v>
      </c>
      <c r="J876" s="1" t="s">
        <v>752</v>
      </c>
      <c r="K876" s="1" t="s">
        <v>66</v>
      </c>
      <c r="L876" s="1" t="s">
        <v>3350</v>
      </c>
      <c r="M876" s="1">
        <v>145.0</v>
      </c>
      <c r="N876" s="1" t="s">
        <v>1152</v>
      </c>
      <c r="O876" s="3" t="s">
        <v>4602</v>
      </c>
      <c r="P876" s="18">
        <v>45883.0</v>
      </c>
      <c r="Q876" s="1" t="s">
        <v>1152</v>
      </c>
      <c r="R876" s="1"/>
      <c r="S876" s="1" t="s">
        <v>1152</v>
      </c>
      <c r="T876" s="1" t="s">
        <v>1152</v>
      </c>
      <c r="U876" s="1" t="s">
        <v>1039</v>
      </c>
      <c r="V876" s="4" t="s">
        <v>4602</v>
      </c>
      <c r="W876" s="1"/>
      <c r="X876" s="18">
        <v>45883.0</v>
      </c>
      <c r="Y876" s="1"/>
      <c r="Z876" s="1"/>
      <c r="AA876" s="1"/>
      <c r="AB876" s="1"/>
      <c r="AC876" s="1" t="s">
        <v>1925</v>
      </c>
      <c r="AD876" s="1"/>
      <c r="AE876" s="1" t="s">
        <v>1152</v>
      </c>
      <c r="AF876" s="1"/>
      <c r="AG876" s="1"/>
      <c r="AH876" s="1" t="s">
        <v>1152</v>
      </c>
      <c r="AI876" s="1"/>
      <c r="AJ876" s="1"/>
      <c r="AK876" s="1"/>
      <c r="AL876" s="6" t="str">
        <f t="array" ref="AL876">IFERROR(IFS(XLOOKUP(B876, 'Kit Delivery Status'!$U:$U, 'Kit Delivery Status'!$K:$K) = "Complete", "DELIVERED", XLOOKUP(B876, 'Kit Delivery Status'!$U:$U, 'Kit Delivery Status'!$K:$K) = "Issue", "ISSUE"), "")</f>
        <v/>
      </c>
      <c r="AM876" s="6"/>
    </row>
    <row r="877">
      <c r="A877" s="5" t="s">
        <v>4603</v>
      </c>
      <c r="B877" s="1" t="s">
        <v>4604</v>
      </c>
      <c r="C877" s="1" t="s">
        <v>4605</v>
      </c>
      <c r="D877" s="2">
        <v>3.142005642E9</v>
      </c>
      <c r="E877" s="1" t="s">
        <v>4606</v>
      </c>
      <c r="F877" s="1" t="s">
        <v>4607</v>
      </c>
      <c r="G877" s="1" t="s">
        <v>1283</v>
      </c>
      <c r="H877" s="1" t="s">
        <v>1155</v>
      </c>
      <c r="I877" s="1">
        <v>63143.0</v>
      </c>
      <c r="J877" s="1" t="s">
        <v>752</v>
      </c>
      <c r="K877" s="1" t="s">
        <v>2577</v>
      </c>
      <c r="L877" s="1" t="s">
        <v>4608</v>
      </c>
      <c r="M877" s="1">
        <v>1.0</v>
      </c>
      <c r="N877" s="1" t="s">
        <v>4609</v>
      </c>
      <c r="O877" s="3"/>
      <c r="P877" s="18">
        <v>45867.0</v>
      </c>
      <c r="Q877" s="1" t="s">
        <v>4610</v>
      </c>
      <c r="R877" s="1" t="s">
        <v>4607</v>
      </c>
      <c r="S877" s="1" t="s">
        <v>4609</v>
      </c>
      <c r="T877" s="1" t="s">
        <v>4609</v>
      </c>
      <c r="U877" s="1"/>
      <c r="V877" s="4"/>
      <c r="W877" s="1" t="s">
        <v>4607</v>
      </c>
      <c r="X877" s="18">
        <v>45867.0</v>
      </c>
      <c r="Y877" s="1"/>
      <c r="Z877" s="1"/>
      <c r="AA877" s="1" t="s">
        <v>4607</v>
      </c>
      <c r="AB877" s="1"/>
      <c r="AC877" s="1" t="s">
        <v>1925</v>
      </c>
      <c r="AD877" s="1"/>
      <c r="AE877" s="1" t="s">
        <v>1152</v>
      </c>
      <c r="AF877" s="1"/>
      <c r="AG877" s="1"/>
      <c r="AH877" s="1" t="s">
        <v>1152</v>
      </c>
      <c r="AI877" s="1" t="s">
        <v>4611</v>
      </c>
      <c r="AJ877" s="1"/>
      <c r="AK877" s="1"/>
      <c r="AL877" s="6" t="str">
        <f t="array" ref="AL877">IFERROR(IFS(XLOOKUP(B877, 'Kit Delivery Status'!$U:$U, 'Kit Delivery Status'!$K:$K) = "Complete", "DELIVERED", XLOOKUP(B877, 'Kit Delivery Status'!$U:$U, 'Kit Delivery Status'!$K:$K) = "Issue", "ISSUE"), "")</f>
        <v/>
      </c>
      <c r="AM877" s="6"/>
    </row>
    <row r="878">
      <c r="A878" s="5" t="s">
        <v>4612</v>
      </c>
      <c r="B878" s="1" t="s">
        <v>4613</v>
      </c>
      <c r="C878" s="1" t="s">
        <v>4614</v>
      </c>
      <c r="D878" s="2">
        <v>2.673097223E9</v>
      </c>
      <c r="E878" s="1" t="s">
        <v>4615</v>
      </c>
      <c r="F878" s="1"/>
      <c r="G878" s="1" t="s">
        <v>4477</v>
      </c>
      <c r="H878" s="1" t="s">
        <v>1233</v>
      </c>
      <c r="I878" s="1">
        <v>19129.0</v>
      </c>
      <c r="J878" s="1" t="s">
        <v>752</v>
      </c>
      <c r="K878" s="1" t="s">
        <v>66</v>
      </c>
      <c r="L878" s="1" t="s">
        <v>3321</v>
      </c>
      <c r="M878" s="1">
        <v>210.0</v>
      </c>
      <c r="N878" s="1" t="s">
        <v>1152</v>
      </c>
      <c r="O878" s="3" t="s">
        <v>4616</v>
      </c>
      <c r="P878" s="18">
        <v>45883.0</v>
      </c>
      <c r="Q878" s="1" t="s">
        <v>1152</v>
      </c>
      <c r="R878" s="1"/>
      <c r="S878" s="1" t="s">
        <v>1152</v>
      </c>
      <c r="T878" s="1" t="s">
        <v>1152</v>
      </c>
      <c r="U878" s="1" t="s">
        <v>1794</v>
      </c>
      <c r="V878" s="4" t="s">
        <v>4616</v>
      </c>
      <c r="W878" s="1"/>
      <c r="X878" s="18">
        <v>45883.0</v>
      </c>
      <c r="Y878" s="1"/>
      <c r="Z878" s="1"/>
      <c r="AA878" s="1"/>
      <c r="AB878" s="1"/>
      <c r="AC878" s="1" t="s">
        <v>1925</v>
      </c>
      <c r="AD878" s="1"/>
      <c r="AE878" s="1" t="s">
        <v>1152</v>
      </c>
      <c r="AF878" s="1"/>
      <c r="AG878" s="1"/>
      <c r="AH878" s="1" t="s">
        <v>1152</v>
      </c>
      <c r="AI878" s="1"/>
      <c r="AJ878" s="1"/>
      <c r="AK878" s="1"/>
      <c r="AL878" s="6" t="str">
        <f t="array" ref="AL878">IFERROR(IFS(XLOOKUP(B878, 'Kit Delivery Status'!$U:$U, 'Kit Delivery Status'!$K:$K) = "Complete", "DELIVERED", XLOOKUP(B878, 'Kit Delivery Status'!$U:$U, 'Kit Delivery Status'!$K:$K) = "Issue", "ISSUE"), "")</f>
        <v/>
      </c>
      <c r="AM878" s="6"/>
    </row>
    <row r="879">
      <c r="A879" s="5" t="s">
        <v>4617</v>
      </c>
      <c r="B879" s="1" t="s">
        <v>4618</v>
      </c>
      <c r="C879" s="1" t="s">
        <v>4619</v>
      </c>
      <c r="D879" s="2">
        <v>3.148104007E9</v>
      </c>
      <c r="E879" s="1" t="s">
        <v>4620</v>
      </c>
      <c r="F879" s="1"/>
      <c r="G879" s="1" t="s">
        <v>2350</v>
      </c>
      <c r="H879" s="1" t="s">
        <v>1155</v>
      </c>
      <c r="I879" s="1">
        <v>63105.0</v>
      </c>
      <c r="J879" s="1" t="s">
        <v>752</v>
      </c>
      <c r="K879" s="1" t="s">
        <v>51</v>
      </c>
      <c r="L879" s="1" t="s">
        <v>3293</v>
      </c>
      <c r="M879" s="1">
        <v>1.0</v>
      </c>
      <c r="N879" s="1" t="s">
        <v>2461</v>
      </c>
      <c r="O879" s="3" t="s">
        <v>4621</v>
      </c>
      <c r="P879" s="18">
        <v>45887.0</v>
      </c>
      <c r="Q879" s="1" t="s">
        <v>2463</v>
      </c>
      <c r="R879" s="1"/>
      <c r="S879" s="1" t="s">
        <v>2461</v>
      </c>
      <c r="T879" s="1" t="s">
        <v>2461</v>
      </c>
      <c r="U879" s="1" t="s">
        <v>1642</v>
      </c>
      <c r="V879" s="4" t="s">
        <v>4621</v>
      </c>
      <c r="W879" s="1"/>
      <c r="X879" s="18">
        <v>45887.0</v>
      </c>
      <c r="Y879" s="1" t="s">
        <v>1030</v>
      </c>
      <c r="Z879" s="1"/>
      <c r="AA879" s="1"/>
      <c r="AB879" s="1" t="s">
        <v>52</v>
      </c>
      <c r="AC879" s="1" t="s">
        <v>1925</v>
      </c>
      <c r="AD879" s="1"/>
      <c r="AE879" s="1" t="s">
        <v>1152</v>
      </c>
      <c r="AF879" s="1"/>
      <c r="AG879" s="1"/>
      <c r="AH879" s="1" t="s">
        <v>1152</v>
      </c>
      <c r="AI879" s="1"/>
      <c r="AJ879" s="1"/>
      <c r="AK879" s="1"/>
      <c r="AL879" s="6" t="str">
        <f t="array" ref="AL879">IFERROR(IFS(XLOOKUP(B879, 'Kit Delivery Status'!$U:$U, 'Kit Delivery Status'!$K:$K) = "Complete", "DELIVERED", XLOOKUP(B879, 'Kit Delivery Status'!$U:$U, 'Kit Delivery Status'!$K:$K) = "Issue", "ISSUE"), "")</f>
        <v/>
      </c>
      <c r="AM879" s="6"/>
    </row>
    <row r="880">
      <c r="A880" s="5" t="s">
        <v>4622</v>
      </c>
      <c r="B880" s="1" t="s">
        <v>4623</v>
      </c>
      <c r="C880" s="1" t="s">
        <v>4624</v>
      </c>
      <c r="D880" s="2">
        <v>8.325135528E9</v>
      </c>
      <c r="E880" s="1" t="s">
        <v>4625</v>
      </c>
      <c r="F880" s="1"/>
      <c r="G880" s="1" t="s">
        <v>1283</v>
      </c>
      <c r="H880" s="1" t="s">
        <v>1155</v>
      </c>
      <c r="I880" s="1">
        <v>63130.0</v>
      </c>
      <c r="J880" s="1" t="s">
        <v>752</v>
      </c>
      <c r="K880" s="1" t="s">
        <v>51</v>
      </c>
      <c r="L880" s="1" t="s">
        <v>3293</v>
      </c>
      <c r="M880" s="1">
        <v>1.0</v>
      </c>
      <c r="N880" s="1" t="s">
        <v>2461</v>
      </c>
      <c r="O880" s="3" t="s">
        <v>4626</v>
      </c>
      <c r="P880" s="18">
        <v>45888.0</v>
      </c>
      <c r="Q880" s="1" t="s">
        <v>2463</v>
      </c>
      <c r="R880" s="1"/>
      <c r="S880" s="1" t="s">
        <v>2461</v>
      </c>
      <c r="T880" s="1" t="s">
        <v>2461</v>
      </c>
      <c r="U880" s="1" t="s">
        <v>1456</v>
      </c>
      <c r="V880" s="4" t="s">
        <v>4626</v>
      </c>
      <c r="W880" s="1"/>
      <c r="X880" s="18">
        <v>45888.0</v>
      </c>
      <c r="Y880" s="1" t="s">
        <v>1030</v>
      </c>
      <c r="Z880" s="1"/>
      <c r="AA880" s="1"/>
      <c r="AB880" s="1" t="s">
        <v>52</v>
      </c>
      <c r="AC880" s="1" t="s">
        <v>1925</v>
      </c>
      <c r="AD880" s="1"/>
      <c r="AE880" s="1" t="s">
        <v>1152</v>
      </c>
      <c r="AF880" s="1"/>
      <c r="AG880" s="1"/>
      <c r="AH880" s="1" t="s">
        <v>1152</v>
      </c>
      <c r="AI880" s="1"/>
      <c r="AJ880" s="1"/>
      <c r="AK880" s="1"/>
      <c r="AL880" s="6" t="str">
        <f t="array" ref="AL880">IFERROR(IFS(XLOOKUP(B880, 'Kit Delivery Status'!$U:$U, 'Kit Delivery Status'!$K:$K) = "Complete", "DELIVERED", XLOOKUP(B880, 'Kit Delivery Status'!$U:$U, 'Kit Delivery Status'!$K:$K) = "Issue", "ISSUE"), "")</f>
        <v/>
      </c>
      <c r="AM880" s="6"/>
    </row>
    <row r="881">
      <c r="A881" s="5" t="s">
        <v>4627</v>
      </c>
      <c r="B881" s="1" t="s">
        <v>4628</v>
      </c>
      <c r="C881" s="1" t="s">
        <v>4629</v>
      </c>
      <c r="D881" s="2">
        <v>2.135980311E9</v>
      </c>
      <c r="E881" s="1" t="s">
        <v>4630</v>
      </c>
      <c r="F881" s="1"/>
      <c r="G881" s="1" t="s">
        <v>4631</v>
      </c>
      <c r="H881" s="1" t="s">
        <v>1053</v>
      </c>
      <c r="I881" s="1">
        <v>7024.0</v>
      </c>
      <c r="J881" s="1" t="s">
        <v>752</v>
      </c>
      <c r="K881" s="1" t="s">
        <v>51</v>
      </c>
      <c r="L881" s="1" t="s">
        <v>3293</v>
      </c>
      <c r="M881" s="1">
        <v>1.0</v>
      </c>
      <c r="N881" s="1" t="s">
        <v>2461</v>
      </c>
      <c r="O881" s="3" t="s">
        <v>4632</v>
      </c>
      <c r="P881" s="18">
        <v>45882.0</v>
      </c>
      <c r="Q881" s="1" t="s">
        <v>2463</v>
      </c>
      <c r="R881" s="1"/>
      <c r="S881" s="1" t="s">
        <v>2461</v>
      </c>
      <c r="T881" s="1" t="s">
        <v>2461</v>
      </c>
      <c r="U881" s="1" t="s">
        <v>1642</v>
      </c>
      <c r="V881" s="4" t="s">
        <v>4632</v>
      </c>
      <c r="W881" s="1"/>
      <c r="X881" s="18">
        <v>45882.0</v>
      </c>
      <c r="Y881" s="1" t="s">
        <v>1030</v>
      </c>
      <c r="Z881" s="1"/>
      <c r="AA881" s="1"/>
      <c r="AB881" s="1" t="s">
        <v>52</v>
      </c>
      <c r="AC881" s="1" t="s">
        <v>1925</v>
      </c>
      <c r="AD881" s="1"/>
      <c r="AE881" s="1" t="s">
        <v>1152</v>
      </c>
      <c r="AF881" s="1"/>
      <c r="AG881" s="1"/>
      <c r="AH881" s="1" t="s">
        <v>1152</v>
      </c>
      <c r="AI881" s="1"/>
      <c r="AJ881" s="1"/>
      <c r="AK881" s="1"/>
      <c r="AL881" s="6" t="str">
        <f t="array" ref="AL881">IFERROR(IFS(XLOOKUP(B881, 'Kit Delivery Status'!$U:$U, 'Kit Delivery Status'!$K:$K) = "Complete", "DELIVERED", XLOOKUP(B881, 'Kit Delivery Status'!$U:$U, 'Kit Delivery Status'!$K:$K) = "Issue", "ISSUE"), "")</f>
        <v/>
      </c>
      <c r="AM881" s="6"/>
    </row>
    <row r="882">
      <c r="A882" s="5" t="s">
        <v>4633</v>
      </c>
      <c r="B882" s="1" t="s">
        <v>4634</v>
      </c>
      <c r="C882" s="1" t="s">
        <v>2576</v>
      </c>
      <c r="D882" s="2">
        <v>3.142668788E9</v>
      </c>
      <c r="E882" s="1" t="s">
        <v>3980</v>
      </c>
      <c r="F882" s="1"/>
      <c r="G882" s="1" t="s">
        <v>1283</v>
      </c>
      <c r="H882" s="1" t="s">
        <v>1155</v>
      </c>
      <c r="I882" s="1">
        <v>63143.0</v>
      </c>
      <c r="J882" s="1" t="s">
        <v>752</v>
      </c>
      <c r="K882" s="1" t="s">
        <v>2577</v>
      </c>
      <c r="L882" s="1" t="s">
        <v>3969</v>
      </c>
      <c r="M882" s="1">
        <v>1.0</v>
      </c>
      <c r="N882" s="1" t="s">
        <v>2579</v>
      </c>
      <c r="O882" s="3" t="s">
        <v>4635</v>
      </c>
      <c r="P882" s="18">
        <v>45866.0</v>
      </c>
      <c r="Q882" s="1" t="s">
        <v>4636</v>
      </c>
      <c r="R882" s="1"/>
      <c r="S882" s="1" t="s">
        <v>2579</v>
      </c>
      <c r="T882" s="1" t="s">
        <v>2579</v>
      </c>
      <c r="U882" s="1" t="s">
        <v>4637</v>
      </c>
      <c r="V882" s="4" t="s">
        <v>4635</v>
      </c>
      <c r="W882" s="1"/>
      <c r="X882" s="18">
        <v>45866.0</v>
      </c>
      <c r="Y882" s="1"/>
      <c r="Z882" s="1"/>
      <c r="AA882" s="1"/>
      <c r="AB882" s="1"/>
      <c r="AC882" s="1" t="s">
        <v>1925</v>
      </c>
      <c r="AD882" s="1"/>
      <c r="AE882" s="1" t="s">
        <v>1152</v>
      </c>
      <c r="AF882" s="1"/>
      <c r="AG882" s="1"/>
      <c r="AH882" s="1" t="s">
        <v>1152</v>
      </c>
      <c r="AI882" s="1" t="s">
        <v>4638</v>
      </c>
      <c r="AJ882" s="1"/>
      <c r="AK882" s="1"/>
      <c r="AL882" s="6" t="str">
        <f t="array" ref="AL882">IFERROR(IFS(XLOOKUP(B882, 'Kit Delivery Status'!$U:$U, 'Kit Delivery Status'!$K:$K) = "Complete", "DELIVERED", XLOOKUP(B882, 'Kit Delivery Status'!$U:$U, 'Kit Delivery Status'!$K:$K) = "Issue", "ISSUE"), "")</f>
        <v/>
      </c>
      <c r="AM882" s="6"/>
    </row>
    <row r="883">
      <c r="A883" s="5" t="s">
        <v>4639</v>
      </c>
      <c r="B883" s="1" t="s">
        <v>4640</v>
      </c>
      <c r="C883" s="1"/>
      <c r="D883" s="2">
        <v>6.506448954E9</v>
      </c>
      <c r="E883" s="1" t="s">
        <v>4641</v>
      </c>
      <c r="F883" s="1"/>
      <c r="G883" s="1" t="s">
        <v>4642</v>
      </c>
      <c r="H883" s="1" t="s">
        <v>1121</v>
      </c>
      <c r="I883" s="1">
        <v>2445.0</v>
      </c>
      <c r="J883" s="1" t="s">
        <v>752</v>
      </c>
      <c r="K883" s="1" t="s">
        <v>95</v>
      </c>
      <c r="L883" s="1" t="s">
        <v>3327</v>
      </c>
      <c r="M883" s="1">
        <v>49.0</v>
      </c>
      <c r="N883" s="1" t="s">
        <v>2461</v>
      </c>
      <c r="O883" s="3" t="s">
        <v>4305</v>
      </c>
      <c r="P883" s="18">
        <v>45883.0</v>
      </c>
      <c r="Q883" s="1" t="s">
        <v>2731</v>
      </c>
      <c r="R883" s="1"/>
      <c r="S883" s="1" t="s">
        <v>2461</v>
      </c>
      <c r="T883" s="1" t="s">
        <v>2461</v>
      </c>
      <c r="U883" s="1" t="s">
        <v>1039</v>
      </c>
      <c r="V883" s="4" t="s">
        <v>4305</v>
      </c>
      <c r="W883" s="1"/>
      <c r="X883" s="18">
        <v>45883.0</v>
      </c>
      <c r="Y883" s="1" t="s">
        <v>1349</v>
      </c>
      <c r="Z883" s="1"/>
      <c r="AA883" s="1"/>
      <c r="AB883" s="1" t="s">
        <v>52</v>
      </c>
      <c r="AC883" s="1" t="s">
        <v>4643</v>
      </c>
      <c r="AD883" s="1"/>
      <c r="AE883" s="1" t="s">
        <v>1152</v>
      </c>
      <c r="AF883" s="1"/>
      <c r="AG883" s="1"/>
      <c r="AH883" s="1" t="s">
        <v>1152</v>
      </c>
      <c r="AI883" s="1"/>
      <c r="AJ883" s="1"/>
      <c r="AK883" s="1"/>
      <c r="AL883" s="6" t="str">
        <f t="array" ref="AL883">IFERROR(IFS(XLOOKUP(B883, 'Kit Delivery Status'!$U:$U, 'Kit Delivery Status'!$K:$K) = "Complete", "DELIVERED", XLOOKUP(B883, 'Kit Delivery Status'!$U:$U, 'Kit Delivery Status'!$K:$K) = "Issue", "ISSUE"), "")</f>
        <v/>
      </c>
      <c r="AM883" s="6"/>
    </row>
    <row r="884">
      <c r="A884" s="5" t="s">
        <v>4644</v>
      </c>
      <c r="B884" s="1" t="s">
        <v>4645</v>
      </c>
      <c r="C884" s="1" t="s">
        <v>4646</v>
      </c>
      <c r="D884" s="2">
        <v>9.172460728E9</v>
      </c>
      <c r="E884" s="1" t="s">
        <v>4647</v>
      </c>
      <c r="F884" s="1"/>
      <c r="G884" s="1" t="s">
        <v>3230</v>
      </c>
      <c r="H884" s="1" t="s">
        <v>751</v>
      </c>
      <c r="I884" s="1">
        <v>10013.0</v>
      </c>
      <c r="J884" s="1" t="s">
        <v>752</v>
      </c>
      <c r="K884" s="1" t="s">
        <v>51</v>
      </c>
      <c r="L884" s="1" t="s">
        <v>3293</v>
      </c>
      <c r="M884" s="1">
        <v>1.0</v>
      </c>
      <c r="N884" s="1" t="s">
        <v>2461</v>
      </c>
      <c r="O884" s="3" t="s">
        <v>742</v>
      </c>
      <c r="P884" s="18">
        <v>45890.0</v>
      </c>
      <c r="Q884" s="1" t="s">
        <v>2463</v>
      </c>
      <c r="R884" s="1"/>
      <c r="S884" s="1" t="s">
        <v>2461</v>
      </c>
      <c r="T884" s="1" t="s">
        <v>2461</v>
      </c>
      <c r="U884" s="1" t="s">
        <v>1399</v>
      </c>
      <c r="V884" s="4" t="s">
        <v>742</v>
      </c>
      <c r="W884" s="1"/>
      <c r="X884" s="18">
        <v>45890.0</v>
      </c>
      <c r="Y884" s="1" t="s">
        <v>1030</v>
      </c>
      <c r="Z884" s="1"/>
      <c r="AA884" s="1"/>
      <c r="AB884" s="1" t="s">
        <v>52</v>
      </c>
      <c r="AC884" s="1" t="s">
        <v>1925</v>
      </c>
      <c r="AD884" s="1"/>
      <c r="AE884" s="1" t="s">
        <v>1152</v>
      </c>
      <c r="AF884" s="1"/>
      <c r="AG884" s="1"/>
      <c r="AH884" s="1" t="s">
        <v>1152</v>
      </c>
      <c r="AI884" s="1"/>
      <c r="AJ884" s="1"/>
      <c r="AK884" s="1"/>
      <c r="AL884" s="6" t="str">
        <f t="array" ref="AL884">IFERROR(IFS(XLOOKUP(B884, 'Kit Delivery Status'!$U:$U, 'Kit Delivery Status'!$K:$K) = "Complete", "DELIVERED", XLOOKUP(B884, 'Kit Delivery Status'!$U:$U, 'Kit Delivery Status'!$K:$K) = "Issue", "ISSUE"), "")</f>
        <v/>
      </c>
      <c r="AM884" s="6"/>
    </row>
    <row r="885">
      <c r="A885" s="5" t="s">
        <v>4648</v>
      </c>
      <c r="B885" s="1" t="s">
        <v>4649</v>
      </c>
      <c r="C885" s="1" t="s">
        <v>4650</v>
      </c>
      <c r="D885" s="2">
        <v>1.2035352237E10</v>
      </c>
      <c r="E885" s="1" t="s">
        <v>4651</v>
      </c>
      <c r="F885" s="1"/>
      <c r="G885" s="1" t="s">
        <v>4652</v>
      </c>
      <c r="H885" s="1" t="s">
        <v>1078</v>
      </c>
      <c r="I885" s="1">
        <v>6443.0</v>
      </c>
      <c r="J885" s="1" t="s">
        <v>752</v>
      </c>
      <c r="K885" s="1" t="s">
        <v>95</v>
      </c>
      <c r="L885" s="1" t="s">
        <v>3327</v>
      </c>
      <c r="M885" s="1">
        <v>49.0</v>
      </c>
      <c r="N885" s="1" t="s">
        <v>2461</v>
      </c>
      <c r="O885" s="3" t="s">
        <v>4653</v>
      </c>
      <c r="P885" s="18">
        <v>45883.0</v>
      </c>
      <c r="Q885" s="1" t="s">
        <v>2463</v>
      </c>
      <c r="R885" s="1"/>
      <c r="S885" s="1" t="s">
        <v>2461</v>
      </c>
      <c r="T885" s="1" t="s">
        <v>2461</v>
      </c>
      <c r="U885" s="1" t="s">
        <v>1407</v>
      </c>
      <c r="V885" s="4" t="s">
        <v>4653</v>
      </c>
      <c r="W885" s="1"/>
      <c r="X885" s="18">
        <v>45883.0</v>
      </c>
      <c r="Y885" s="1" t="s">
        <v>1030</v>
      </c>
      <c r="Z885" s="1"/>
      <c r="AA885" s="1"/>
      <c r="AB885" s="1" t="s">
        <v>52</v>
      </c>
      <c r="AC885" s="1" t="s">
        <v>4654</v>
      </c>
      <c r="AD885" s="1"/>
      <c r="AE885" s="1" t="s">
        <v>1152</v>
      </c>
      <c r="AF885" s="1"/>
      <c r="AG885" s="1"/>
      <c r="AH885" s="1" t="s">
        <v>1152</v>
      </c>
      <c r="AI885" s="1"/>
      <c r="AJ885" s="1"/>
      <c r="AK885" s="1"/>
      <c r="AL885" s="6" t="str">
        <f t="array" ref="AL885">IFERROR(IFS(XLOOKUP(B885, 'Kit Delivery Status'!$U:$U, 'Kit Delivery Status'!$K:$K) = "Complete", "DELIVERED", XLOOKUP(B885, 'Kit Delivery Status'!$U:$U, 'Kit Delivery Status'!$K:$K) = "Issue", "ISSUE"), "")</f>
        <v/>
      </c>
      <c r="AM885" s="6"/>
    </row>
    <row r="886">
      <c r="A886" s="5" t="s">
        <v>4655</v>
      </c>
      <c r="B886" s="1" t="s">
        <v>4656</v>
      </c>
      <c r="C886" s="1" t="s">
        <v>4657</v>
      </c>
      <c r="D886" s="2">
        <v>7.13321044E9</v>
      </c>
      <c r="E886" s="1" t="s">
        <v>4658</v>
      </c>
      <c r="F886" s="1"/>
      <c r="G886" s="1" t="s">
        <v>1609</v>
      </c>
      <c r="H886" s="1" t="s">
        <v>1583</v>
      </c>
      <c r="I886" s="1">
        <v>77024.0</v>
      </c>
      <c r="J886" s="1" t="s">
        <v>752</v>
      </c>
      <c r="K886" s="1" t="s">
        <v>51</v>
      </c>
      <c r="L886" s="1" t="s">
        <v>3293</v>
      </c>
      <c r="M886" s="1">
        <v>1.0</v>
      </c>
      <c r="N886" s="1" t="s">
        <v>2461</v>
      </c>
      <c r="O886" s="3" t="s">
        <v>4659</v>
      </c>
      <c r="P886" s="18">
        <v>45881.0</v>
      </c>
      <c r="Q886" s="1" t="s">
        <v>2463</v>
      </c>
      <c r="R886" s="1"/>
      <c r="S886" s="1" t="s">
        <v>2461</v>
      </c>
      <c r="T886" s="1" t="s">
        <v>2461</v>
      </c>
      <c r="U886" s="1" t="s">
        <v>2510</v>
      </c>
      <c r="V886" s="4" t="s">
        <v>4659</v>
      </c>
      <c r="W886" s="1"/>
      <c r="X886" s="18">
        <v>45881.0</v>
      </c>
      <c r="Y886" s="1" t="s">
        <v>1030</v>
      </c>
      <c r="Z886" s="1"/>
      <c r="AA886" s="1"/>
      <c r="AB886" s="1" t="s">
        <v>52</v>
      </c>
      <c r="AC886" s="1" t="s">
        <v>1925</v>
      </c>
      <c r="AD886" s="1"/>
      <c r="AE886" s="1" t="s">
        <v>1152</v>
      </c>
      <c r="AF886" s="1"/>
      <c r="AG886" s="1"/>
      <c r="AH886" s="1" t="s">
        <v>1152</v>
      </c>
      <c r="AI886" s="1"/>
      <c r="AJ886" s="1"/>
      <c r="AK886" s="1"/>
      <c r="AL886" s="6" t="str">
        <f t="array" ref="AL886">IFERROR(IFS(XLOOKUP(B886, 'Kit Delivery Status'!$U:$U, 'Kit Delivery Status'!$K:$K) = "Complete", "DELIVERED", XLOOKUP(B886, 'Kit Delivery Status'!$U:$U, 'Kit Delivery Status'!$K:$K) = "Issue", "ISSUE"), "")</f>
        <v/>
      </c>
      <c r="AM886" s="6"/>
    </row>
    <row r="887">
      <c r="A887" s="5" t="s">
        <v>4660</v>
      </c>
      <c r="B887" s="1" t="s">
        <v>4661</v>
      </c>
      <c r="C887" s="1" t="s">
        <v>4662</v>
      </c>
      <c r="D887" s="2">
        <v>4.159488426E9</v>
      </c>
      <c r="E887" s="1" t="s">
        <v>4663</v>
      </c>
      <c r="F887" s="1"/>
      <c r="G887" s="1" t="s">
        <v>2367</v>
      </c>
      <c r="H887" s="1" t="s">
        <v>1005</v>
      </c>
      <c r="I887" s="1">
        <v>21042.0</v>
      </c>
      <c r="J887" s="1" t="s">
        <v>752</v>
      </c>
      <c r="K887" s="1" t="s">
        <v>51</v>
      </c>
      <c r="L887" s="1" t="s">
        <v>3293</v>
      </c>
      <c r="M887" s="1">
        <v>1.0</v>
      </c>
      <c r="N887" s="1" t="s">
        <v>2461</v>
      </c>
      <c r="O887" s="3" t="s">
        <v>4664</v>
      </c>
      <c r="P887" s="18">
        <v>45889.0</v>
      </c>
      <c r="Q887" s="1" t="s">
        <v>2463</v>
      </c>
      <c r="R887" s="1"/>
      <c r="S887" s="1" t="s">
        <v>2461</v>
      </c>
      <c r="T887" s="1" t="s">
        <v>2461</v>
      </c>
      <c r="U887" s="1" t="s">
        <v>948</v>
      </c>
      <c r="V887" s="4" t="s">
        <v>4664</v>
      </c>
      <c r="W887" s="1"/>
      <c r="X887" s="18">
        <v>45889.0</v>
      </c>
      <c r="Y887" s="1" t="s">
        <v>1030</v>
      </c>
      <c r="Z887" s="1"/>
      <c r="AA887" s="1"/>
      <c r="AB887" s="1" t="s">
        <v>52</v>
      </c>
      <c r="AC887" s="1" t="s">
        <v>1925</v>
      </c>
      <c r="AD887" s="1"/>
      <c r="AE887" s="1" t="s">
        <v>1152</v>
      </c>
      <c r="AF887" s="1"/>
      <c r="AG887" s="1"/>
      <c r="AH887" s="1" t="s">
        <v>1152</v>
      </c>
      <c r="AI887" s="1"/>
      <c r="AJ887" s="1"/>
      <c r="AK887" s="1"/>
      <c r="AL887" s="6" t="str">
        <f t="array" ref="AL887">IFERROR(IFS(XLOOKUP(B887, 'Kit Delivery Status'!$U:$U, 'Kit Delivery Status'!$K:$K) = "Complete", "DELIVERED", XLOOKUP(B887, 'Kit Delivery Status'!$U:$U, 'Kit Delivery Status'!$K:$K) = "Issue", "ISSUE"), "")</f>
        <v/>
      </c>
      <c r="AM887" s="6"/>
    </row>
    <row r="888">
      <c r="A888" s="5" t="s">
        <v>4665</v>
      </c>
      <c r="B888" s="1" t="s">
        <v>4666</v>
      </c>
      <c r="C888" s="1" t="s">
        <v>4667</v>
      </c>
      <c r="D888" s="2"/>
      <c r="E888" s="1" t="s">
        <v>4668</v>
      </c>
      <c r="F888" s="1"/>
      <c r="G888" s="1" t="s">
        <v>4669</v>
      </c>
      <c r="H888" s="1" t="s">
        <v>1005</v>
      </c>
      <c r="I888" s="1">
        <v>20815.0</v>
      </c>
      <c r="J888" s="1" t="s">
        <v>752</v>
      </c>
      <c r="K888" s="1" t="s">
        <v>95</v>
      </c>
      <c r="L888" s="1" t="s">
        <v>3327</v>
      </c>
      <c r="M888" s="1">
        <v>49.0</v>
      </c>
      <c r="N888" s="1" t="s">
        <v>2461</v>
      </c>
      <c r="O888" s="3" t="s">
        <v>4670</v>
      </c>
      <c r="P888" s="18">
        <v>45883.0</v>
      </c>
      <c r="Q888" s="1" t="s">
        <v>2463</v>
      </c>
      <c r="R888" s="1"/>
      <c r="S888" s="1" t="s">
        <v>2461</v>
      </c>
      <c r="T888" s="1" t="s">
        <v>2461</v>
      </c>
      <c r="U888" s="1" t="s">
        <v>1039</v>
      </c>
      <c r="V888" s="4" t="s">
        <v>4670</v>
      </c>
      <c r="W888" s="1"/>
      <c r="X888" s="18">
        <v>45883.0</v>
      </c>
      <c r="Y888" s="1" t="s">
        <v>1030</v>
      </c>
      <c r="Z888" s="1"/>
      <c r="AA888" s="1"/>
      <c r="AB888" s="1" t="s">
        <v>52</v>
      </c>
      <c r="AC888" s="1" t="s">
        <v>4671</v>
      </c>
      <c r="AD888" s="1"/>
      <c r="AE888" s="1" t="s">
        <v>1152</v>
      </c>
      <c r="AF888" s="1"/>
      <c r="AG888" s="1"/>
      <c r="AH888" s="1" t="s">
        <v>1152</v>
      </c>
      <c r="AI888" s="1"/>
      <c r="AJ888" s="1"/>
      <c r="AK888" s="1"/>
      <c r="AL888" s="6" t="str">
        <f t="array" ref="AL888">IFERROR(IFS(XLOOKUP(B888, 'Kit Delivery Status'!$U:$U, 'Kit Delivery Status'!$K:$K) = "Complete", "DELIVERED", XLOOKUP(B888, 'Kit Delivery Status'!$U:$U, 'Kit Delivery Status'!$K:$K) = "Issue", "ISSUE"), "")</f>
        <v/>
      </c>
      <c r="AM888" s="6"/>
    </row>
    <row r="889">
      <c r="A889" s="5" t="s">
        <v>4672</v>
      </c>
      <c r="B889" s="1" t="s">
        <v>4673</v>
      </c>
      <c r="C889" s="1" t="s">
        <v>4674</v>
      </c>
      <c r="D889" s="2">
        <v>6.504228482E9</v>
      </c>
      <c r="E889" s="1" t="s">
        <v>4675</v>
      </c>
      <c r="F889" s="1"/>
      <c r="G889" s="1" t="s">
        <v>2998</v>
      </c>
      <c r="H889" s="1" t="s">
        <v>2999</v>
      </c>
      <c r="I889" s="1">
        <v>55405.0</v>
      </c>
      <c r="J889" s="1" t="s">
        <v>752</v>
      </c>
      <c r="K889" s="1" t="s">
        <v>51</v>
      </c>
      <c r="L889" s="1" t="s">
        <v>3293</v>
      </c>
      <c r="M889" s="1">
        <v>1.0</v>
      </c>
      <c r="N889" s="1" t="s">
        <v>2461</v>
      </c>
      <c r="O889" s="3" t="s">
        <v>4288</v>
      </c>
      <c r="P889" s="18">
        <v>45889.0</v>
      </c>
      <c r="Q889" s="1" t="s">
        <v>2463</v>
      </c>
      <c r="R889" s="1"/>
      <c r="S889" s="1" t="s">
        <v>2461</v>
      </c>
      <c r="T889" s="1" t="s">
        <v>2461</v>
      </c>
      <c r="U889" s="1" t="s">
        <v>1343</v>
      </c>
      <c r="V889" s="4" t="s">
        <v>4288</v>
      </c>
      <c r="W889" s="1"/>
      <c r="X889" s="18">
        <v>45889.0</v>
      </c>
      <c r="Y889" s="1" t="s">
        <v>1030</v>
      </c>
      <c r="Z889" s="1"/>
      <c r="AA889" s="1"/>
      <c r="AB889" s="1" t="s">
        <v>52</v>
      </c>
      <c r="AC889" s="1" t="s">
        <v>1925</v>
      </c>
      <c r="AD889" s="1"/>
      <c r="AE889" s="1" t="s">
        <v>1152</v>
      </c>
      <c r="AF889" s="1"/>
      <c r="AG889" s="1"/>
      <c r="AH889" s="1" t="s">
        <v>1152</v>
      </c>
      <c r="AI889" s="1"/>
      <c r="AJ889" s="1"/>
      <c r="AK889" s="1"/>
      <c r="AL889" s="6" t="str">
        <f t="array" ref="AL889">IFERROR(IFS(XLOOKUP(B889, 'Kit Delivery Status'!$U:$U, 'Kit Delivery Status'!$K:$K) = "Complete", "DELIVERED", XLOOKUP(B889, 'Kit Delivery Status'!$U:$U, 'Kit Delivery Status'!$K:$K) = "Issue", "ISSUE"), "")</f>
        <v/>
      </c>
      <c r="AM889" s="6"/>
    </row>
    <row r="890">
      <c r="A890" s="5" t="s">
        <v>4676</v>
      </c>
      <c r="B890" s="1" t="s">
        <v>4677</v>
      </c>
      <c r="C890" s="1" t="s">
        <v>4678</v>
      </c>
      <c r="D890" s="2">
        <v>1.9173186663E10</v>
      </c>
      <c r="E890" s="1" t="s">
        <v>4679</v>
      </c>
      <c r="F890" s="1"/>
      <c r="G890" s="1" t="s">
        <v>1037</v>
      </c>
      <c r="H890" s="1" t="s">
        <v>1038</v>
      </c>
      <c r="I890" s="1">
        <v>22207.0</v>
      </c>
      <c r="J890" s="1" t="s">
        <v>752</v>
      </c>
      <c r="K890" s="1" t="s">
        <v>95</v>
      </c>
      <c r="L890" s="1" t="s">
        <v>3327</v>
      </c>
      <c r="M890" s="1">
        <v>49.0</v>
      </c>
      <c r="N890" s="1" t="s">
        <v>2461</v>
      </c>
      <c r="O890" s="3" t="s">
        <v>4492</v>
      </c>
      <c r="P890" s="18">
        <v>45883.0</v>
      </c>
      <c r="Q890" s="1" t="s">
        <v>2463</v>
      </c>
      <c r="R890" s="1"/>
      <c r="S890" s="1" t="s">
        <v>2461</v>
      </c>
      <c r="T890" s="1" t="s">
        <v>2461</v>
      </c>
      <c r="U890" s="1" t="s">
        <v>1039</v>
      </c>
      <c r="V890" s="4" t="s">
        <v>4492</v>
      </c>
      <c r="W890" s="1"/>
      <c r="X890" s="18">
        <v>45883.0</v>
      </c>
      <c r="Y890" s="1" t="s">
        <v>1030</v>
      </c>
      <c r="Z890" s="1"/>
      <c r="AA890" s="1"/>
      <c r="AB890" s="1" t="s">
        <v>52</v>
      </c>
      <c r="AC890" s="1" t="s">
        <v>4680</v>
      </c>
      <c r="AD890" s="1"/>
      <c r="AE890" s="1" t="s">
        <v>1152</v>
      </c>
      <c r="AF890" s="1"/>
      <c r="AG890" s="1"/>
      <c r="AH890" s="1" t="s">
        <v>1152</v>
      </c>
      <c r="AI890" s="1"/>
      <c r="AJ890" s="1"/>
      <c r="AK890" s="1"/>
      <c r="AL890" s="6" t="str">
        <f t="array" ref="AL890">IFERROR(IFS(XLOOKUP(B890, 'Kit Delivery Status'!$U:$U, 'Kit Delivery Status'!$K:$K) = "Complete", "DELIVERED", XLOOKUP(B890, 'Kit Delivery Status'!$U:$U, 'Kit Delivery Status'!$K:$K) = "Issue", "ISSUE"), "")</f>
        <v/>
      </c>
      <c r="AM890" s="6"/>
    </row>
    <row r="891">
      <c r="A891" s="5" t="s">
        <v>4681</v>
      </c>
      <c r="B891" s="1" t="s">
        <v>4682</v>
      </c>
      <c r="C891" s="1"/>
      <c r="D891" s="2">
        <v>5.719994644E9</v>
      </c>
      <c r="E891" s="1" t="s">
        <v>4683</v>
      </c>
      <c r="F891" s="1"/>
      <c r="G891" s="1" t="s">
        <v>1037</v>
      </c>
      <c r="H891" s="1" t="s">
        <v>1038</v>
      </c>
      <c r="I891" s="1">
        <v>22207.0</v>
      </c>
      <c r="J891" s="1" t="s">
        <v>752</v>
      </c>
      <c r="K891" s="1" t="s">
        <v>66</v>
      </c>
      <c r="L891" s="1" t="s">
        <v>3321</v>
      </c>
      <c r="M891" s="1">
        <v>210.0</v>
      </c>
      <c r="N891" s="1" t="s">
        <v>1152</v>
      </c>
      <c r="O891" s="3" t="s">
        <v>2763</v>
      </c>
      <c r="P891" s="18">
        <v>45881.0</v>
      </c>
      <c r="Q891" s="1" t="s">
        <v>1152</v>
      </c>
      <c r="R891" s="1"/>
      <c r="S891" s="1" t="s">
        <v>1152</v>
      </c>
      <c r="T891" s="1" t="s">
        <v>1152</v>
      </c>
      <c r="U891" s="1" t="s">
        <v>1133</v>
      </c>
      <c r="V891" s="4" t="s">
        <v>2763</v>
      </c>
      <c r="W891" s="1"/>
      <c r="X891" s="18">
        <v>45881.0</v>
      </c>
      <c r="Y891" s="1"/>
      <c r="Z891" s="1"/>
      <c r="AA891" s="1"/>
      <c r="AB891" s="1"/>
      <c r="AC891" s="1" t="s">
        <v>1925</v>
      </c>
      <c r="AD891" s="1"/>
      <c r="AE891" s="1" t="s">
        <v>1152</v>
      </c>
      <c r="AF891" s="1"/>
      <c r="AG891" s="1"/>
      <c r="AH891" s="1" t="s">
        <v>1152</v>
      </c>
      <c r="AI891" s="1"/>
      <c r="AJ891" s="1"/>
      <c r="AK891" s="1"/>
      <c r="AL891" s="6" t="str">
        <f t="array" ref="AL891">IFERROR(IFS(XLOOKUP(B891, 'Kit Delivery Status'!$U:$U, 'Kit Delivery Status'!$K:$K) = "Complete", "DELIVERED", XLOOKUP(B891, 'Kit Delivery Status'!$U:$U, 'Kit Delivery Status'!$K:$K) = "Issue", "ISSUE"), "")</f>
        <v/>
      </c>
      <c r="AM891" s="6"/>
    </row>
    <row r="892">
      <c r="A892" s="5" t="s">
        <v>4684</v>
      </c>
      <c r="B892" s="1" t="s">
        <v>4685</v>
      </c>
      <c r="C892" s="1" t="s">
        <v>4686</v>
      </c>
      <c r="D892" s="2">
        <v>7.032232616E9</v>
      </c>
      <c r="E892" s="1" t="s">
        <v>4687</v>
      </c>
      <c r="F892" s="1"/>
      <c r="G892" s="1" t="s">
        <v>4688</v>
      </c>
      <c r="H892" s="1" t="s">
        <v>1038</v>
      </c>
      <c r="I892" s="1">
        <v>22032.0</v>
      </c>
      <c r="J892" s="1" t="s">
        <v>752</v>
      </c>
      <c r="K892" s="1" t="s">
        <v>51</v>
      </c>
      <c r="L892" s="1" t="s">
        <v>3293</v>
      </c>
      <c r="M892" s="1">
        <v>1.0</v>
      </c>
      <c r="N892" s="1" t="s">
        <v>2461</v>
      </c>
      <c r="O892" s="3" t="s">
        <v>4689</v>
      </c>
      <c r="P892" s="18">
        <v>45891.0</v>
      </c>
      <c r="Q892" s="1" t="s">
        <v>2463</v>
      </c>
      <c r="R892" s="1"/>
      <c r="S892" s="1" t="s">
        <v>2461</v>
      </c>
      <c r="T892" s="1" t="s">
        <v>2461</v>
      </c>
      <c r="U892" s="1" t="s">
        <v>1794</v>
      </c>
      <c r="V892" s="4" t="s">
        <v>4689</v>
      </c>
      <c r="W892" s="1"/>
      <c r="X892" s="18">
        <v>45891.0</v>
      </c>
      <c r="Y892" s="1" t="s">
        <v>1030</v>
      </c>
      <c r="Z892" s="1"/>
      <c r="AA892" s="1"/>
      <c r="AB892" s="1" t="s">
        <v>52</v>
      </c>
      <c r="AC892" s="1" t="s">
        <v>1925</v>
      </c>
      <c r="AD892" s="1"/>
      <c r="AE892" s="1" t="s">
        <v>1152</v>
      </c>
      <c r="AF892" s="1"/>
      <c r="AG892" s="1"/>
      <c r="AH892" s="1" t="s">
        <v>1152</v>
      </c>
      <c r="AI892" s="1"/>
      <c r="AJ892" s="1"/>
      <c r="AK892" s="1"/>
      <c r="AL892" s="6" t="str">
        <f t="array" ref="AL892">IFERROR(IFS(XLOOKUP(B892, 'Kit Delivery Status'!$U:$U, 'Kit Delivery Status'!$K:$K) = "Complete", "DELIVERED", XLOOKUP(B892, 'Kit Delivery Status'!$U:$U, 'Kit Delivery Status'!$K:$K) = "Issue", "ISSUE"), "")</f>
        <v/>
      </c>
      <c r="AM892" s="6"/>
    </row>
    <row r="893">
      <c r="A893" s="5" t="s">
        <v>4690</v>
      </c>
      <c r="B893" s="1" t="s">
        <v>4691</v>
      </c>
      <c r="C893" s="1" t="s">
        <v>4692</v>
      </c>
      <c r="D893" s="2">
        <v>2.012503176E9</v>
      </c>
      <c r="E893" s="1" t="s">
        <v>4693</v>
      </c>
      <c r="F893" s="1" t="s">
        <v>4694</v>
      </c>
      <c r="G893" s="1" t="s">
        <v>751</v>
      </c>
      <c r="H893" s="1" t="s">
        <v>751</v>
      </c>
      <c r="I893" s="1">
        <v>10021.0</v>
      </c>
      <c r="J893" s="1" t="s">
        <v>752</v>
      </c>
      <c r="K893" s="1" t="s">
        <v>51</v>
      </c>
      <c r="L893" s="1" t="s">
        <v>3293</v>
      </c>
      <c r="M893" s="1">
        <v>1.0</v>
      </c>
      <c r="N893" s="1" t="s">
        <v>2487</v>
      </c>
      <c r="O893" s="3"/>
      <c r="P893" s="18">
        <v>45889.0</v>
      </c>
      <c r="Q893" s="1" t="s">
        <v>2731</v>
      </c>
      <c r="R893" s="1" t="s">
        <v>4694</v>
      </c>
      <c r="S893" s="1" t="s">
        <v>2487</v>
      </c>
      <c r="T893" s="1" t="s">
        <v>2487</v>
      </c>
      <c r="U893" s="1"/>
      <c r="V893" s="4"/>
      <c r="W893" s="1" t="s">
        <v>4694</v>
      </c>
      <c r="X893" s="18">
        <v>45889.0</v>
      </c>
      <c r="Y893" s="1" t="s">
        <v>1349</v>
      </c>
      <c r="Z893" s="1"/>
      <c r="AA893" s="1" t="s">
        <v>4694</v>
      </c>
      <c r="AB893" s="1" t="s">
        <v>124</v>
      </c>
      <c r="AC893" s="1" t="s">
        <v>1925</v>
      </c>
      <c r="AD893" s="1"/>
      <c r="AE893" s="1" t="s">
        <v>1152</v>
      </c>
      <c r="AF893" s="1"/>
      <c r="AG893" s="1"/>
      <c r="AH893" s="1" t="s">
        <v>1152</v>
      </c>
      <c r="AI893" s="37" t="s">
        <v>4695</v>
      </c>
      <c r="AJ893" s="37"/>
      <c r="AK893" s="37"/>
      <c r="AL893" s="6" t="str">
        <f t="array" ref="AL893">IFERROR(IFS(XLOOKUP(B893, 'Kit Delivery Status'!$U:$U, 'Kit Delivery Status'!$K:$K) = "Complete", "DELIVERED", XLOOKUP(B893, 'Kit Delivery Status'!$U:$U, 'Kit Delivery Status'!$K:$K) = "Issue", "ISSUE"), "")</f>
        <v/>
      </c>
      <c r="AM893" s="6"/>
    </row>
    <row r="894">
      <c r="A894" s="5" t="s">
        <v>4696</v>
      </c>
      <c r="B894" s="1" t="s">
        <v>4697</v>
      </c>
      <c r="C894" s="1" t="s">
        <v>4698</v>
      </c>
      <c r="D894" s="2">
        <v>8.477911229E9</v>
      </c>
      <c r="E894" s="1" t="s">
        <v>4699</v>
      </c>
      <c r="F894" s="1"/>
      <c r="G894" s="1" t="s">
        <v>4700</v>
      </c>
      <c r="H894" s="1" t="s">
        <v>1019</v>
      </c>
      <c r="I894" s="1">
        <v>60142.0</v>
      </c>
      <c r="J894" s="1" t="s">
        <v>752</v>
      </c>
      <c r="K894" s="1" t="s">
        <v>66</v>
      </c>
      <c r="L894" s="1" t="s">
        <v>3321</v>
      </c>
      <c r="M894" s="1">
        <v>210.0</v>
      </c>
      <c r="N894" s="1" t="s">
        <v>1152</v>
      </c>
      <c r="O894" s="3" t="s">
        <v>4701</v>
      </c>
      <c r="P894" s="18">
        <v>45883.0</v>
      </c>
      <c r="Q894" s="1" t="s">
        <v>1152</v>
      </c>
      <c r="R894" s="1"/>
      <c r="S894" s="1" t="s">
        <v>1152</v>
      </c>
      <c r="T894" s="1" t="s">
        <v>1152</v>
      </c>
      <c r="U894" s="1" t="s">
        <v>1407</v>
      </c>
      <c r="V894" s="4" t="s">
        <v>4701</v>
      </c>
      <c r="W894" s="1"/>
      <c r="X894" s="18">
        <v>45883.0</v>
      </c>
      <c r="Y894" s="1"/>
      <c r="Z894" s="1"/>
      <c r="AA894" s="1"/>
      <c r="AB894" s="1"/>
      <c r="AC894" s="1" t="s">
        <v>1925</v>
      </c>
      <c r="AD894" s="1"/>
      <c r="AE894" s="1" t="s">
        <v>1152</v>
      </c>
      <c r="AF894" s="1"/>
      <c r="AG894" s="1"/>
      <c r="AH894" s="1" t="s">
        <v>1152</v>
      </c>
      <c r="AI894" s="1"/>
      <c r="AJ894" s="1"/>
      <c r="AK894" s="1"/>
      <c r="AL894" s="6" t="str">
        <f t="array" ref="AL894">IFERROR(IFS(XLOOKUP(B894, 'Kit Delivery Status'!$U:$U, 'Kit Delivery Status'!$K:$K) = "Complete", "DELIVERED", XLOOKUP(B894, 'Kit Delivery Status'!$U:$U, 'Kit Delivery Status'!$K:$K) = "Issue", "ISSUE"), "")</f>
        <v/>
      </c>
      <c r="AM894" s="6"/>
    </row>
    <row r="895">
      <c r="A895" s="5" t="s">
        <v>4702</v>
      </c>
      <c r="B895" s="1" t="s">
        <v>4703</v>
      </c>
      <c r="C895" s="1" t="s">
        <v>4704</v>
      </c>
      <c r="D895" s="2">
        <v>2.039217823E9</v>
      </c>
      <c r="E895" s="1" t="s">
        <v>4705</v>
      </c>
      <c r="F895" s="1"/>
      <c r="G895" s="1" t="s">
        <v>4706</v>
      </c>
      <c r="H895" s="1" t="s">
        <v>2171</v>
      </c>
      <c r="I895" s="1">
        <v>43220.0</v>
      </c>
      <c r="J895" s="1" t="s">
        <v>752</v>
      </c>
      <c r="K895" s="1" t="s">
        <v>66</v>
      </c>
      <c r="L895" s="1" t="s">
        <v>3350</v>
      </c>
      <c r="M895" s="1">
        <v>145.0</v>
      </c>
      <c r="N895" s="1" t="s">
        <v>1152</v>
      </c>
      <c r="O895" s="3" t="s">
        <v>4707</v>
      </c>
      <c r="P895" s="18">
        <v>45883.0</v>
      </c>
      <c r="Q895" s="1" t="s">
        <v>1152</v>
      </c>
      <c r="R895" s="1"/>
      <c r="S895" s="1" t="s">
        <v>1152</v>
      </c>
      <c r="T895" s="1" t="s">
        <v>1152</v>
      </c>
      <c r="U895" s="1" t="s">
        <v>1407</v>
      </c>
      <c r="V895" s="4" t="s">
        <v>4707</v>
      </c>
      <c r="W895" s="1"/>
      <c r="X895" s="18">
        <v>45883.0</v>
      </c>
      <c r="Y895" s="1"/>
      <c r="Z895" s="1"/>
      <c r="AA895" s="1"/>
      <c r="AB895" s="1"/>
      <c r="AC895" s="1" t="s">
        <v>1925</v>
      </c>
      <c r="AD895" s="1"/>
      <c r="AE895" s="1" t="s">
        <v>1152</v>
      </c>
      <c r="AF895" s="1"/>
      <c r="AG895" s="1"/>
      <c r="AH895" s="1" t="s">
        <v>1152</v>
      </c>
      <c r="AI895" s="1"/>
      <c r="AJ895" s="1"/>
      <c r="AK895" s="1"/>
      <c r="AL895" s="6" t="str">
        <f t="array" ref="AL895">IFERROR(IFS(XLOOKUP(B895, 'Kit Delivery Status'!$U:$U, 'Kit Delivery Status'!$K:$K) = "Complete", "DELIVERED", XLOOKUP(B895, 'Kit Delivery Status'!$U:$U, 'Kit Delivery Status'!$K:$K) = "Issue", "ISSUE"), "")</f>
        <v/>
      </c>
      <c r="AM895" s="6"/>
    </row>
    <row r="896">
      <c r="A896" s="5" t="s">
        <v>4708</v>
      </c>
      <c r="B896" s="1" t="s">
        <v>4709</v>
      </c>
      <c r="C896" s="1" t="s">
        <v>4710</v>
      </c>
      <c r="D896" s="2">
        <v>5.419776812E9</v>
      </c>
      <c r="E896" s="1" t="s">
        <v>4711</v>
      </c>
      <c r="F896" s="1" t="s">
        <v>4712</v>
      </c>
      <c r="G896" s="1" t="s">
        <v>4713</v>
      </c>
      <c r="H896" s="1" t="s">
        <v>1422</v>
      </c>
      <c r="I896" s="1">
        <v>97701.0</v>
      </c>
      <c r="J896" s="1" t="s">
        <v>752</v>
      </c>
      <c r="K896" s="1" t="s">
        <v>51</v>
      </c>
      <c r="L896" s="1" t="s">
        <v>3293</v>
      </c>
      <c r="M896" s="1">
        <v>1.0</v>
      </c>
      <c r="N896" s="1" t="s">
        <v>2487</v>
      </c>
      <c r="O896" s="3"/>
      <c r="P896" s="18">
        <v>45893.0</v>
      </c>
      <c r="Q896" s="1" t="s">
        <v>2502</v>
      </c>
      <c r="R896" s="1" t="s">
        <v>4712</v>
      </c>
      <c r="S896" s="1" t="s">
        <v>2487</v>
      </c>
      <c r="T896" s="1" t="s">
        <v>2487</v>
      </c>
      <c r="U896" s="1"/>
      <c r="V896" s="4"/>
      <c r="W896" s="1" t="s">
        <v>4712</v>
      </c>
      <c r="X896" s="18">
        <v>45894.0</v>
      </c>
      <c r="Y896" s="1" t="s">
        <v>1030</v>
      </c>
      <c r="Z896" s="1"/>
      <c r="AA896" s="1" t="s">
        <v>4712</v>
      </c>
      <c r="AB896" s="1" t="s">
        <v>124</v>
      </c>
      <c r="AC896" s="1" t="s">
        <v>1925</v>
      </c>
      <c r="AD896" s="1"/>
      <c r="AE896" s="1" t="s">
        <v>1152</v>
      </c>
      <c r="AF896" s="1"/>
      <c r="AG896" s="1"/>
      <c r="AH896" s="1" t="s">
        <v>1152</v>
      </c>
      <c r="AI896" s="1"/>
      <c r="AJ896" s="1"/>
      <c r="AK896" s="1"/>
      <c r="AL896" s="6" t="str">
        <f t="array" ref="AL896">IFERROR(IFS(XLOOKUP(B896, 'Kit Delivery Status'!$U:$U, 'Kit Delivery Status'!$K:$K) = "Complete", "DELIVERED", XLOOKUP(B896, 'Kit Delivery Status'!$U:$U, 'Kit Delivery Status'!$K:$K) = "Issue", "ISSUE"), "")</f>
        <v/>
      </c>
      <c r="AM896" s="6"/>
    </row>
    <row r="897">
      <c r="A897" s="5" t="s">
        <v>4714</v>
      </c>
      <c r="B897" s="1" t="s">
        <v>4715</v>
      </c>
      <c r="C897" s="1"/>
      <c r="D897" s="2">
        <v>1.8622060481E10</v>
      </c>
      <c r="E897" s="1" t="s">
        <v>4716</v>
      </c>
      <c r="F897" s="1"/>
      <c r="G897" s="1" t="s">
        <v>4717</v>
      </c>
      <c r="H897" s="1" t="s">
        <v>1053</v>
      </c>
      <c r="I897" s="1">
        <v>7928.0</v>
      </c>
      <c r="J897" s="1" t="s">
        <v>752</v>
      </c>
      <c r="K897" s="1" t="s">
        <v>95</v>
      </c>
      <c r="L897" s="1" t="s">
        <v>3327</v>
      </c>
      <c r="M897" s="1">
        <v>49.0</v>
      </c>
      <c r="N897" s="1" t="s">
        <v>2461</v>
      </c>
      <c r="O897" s="3" t="s">
        <v>4718</v>
      </c>
      <c r="P897" s="18">
        <v>45883.0</v>
      </c>
      <c r="Q897" s="1" t="s">
        <v>2463</v>
      </c>
      <c r="R897" s="1"/>
      <c r="S897" s="1" t="s">
        <v>2461</v>
      </c>
      <c r="T897" s="1" t="s">
        <v>2461</v>
      </c>
      <c r="U897" s="1" t="s">
        <v>1201</v>
      </c>
      <c r="V897" s="4" t="s">
        <v>4718</v>
      </c>
      <c r="W897" s="1"/>
      <c r="X897" s="18">
        <v>45883.0</v>
      </c>
      <c r="Y897" s="1" t="s">
        <v>1030</v>
      </c>
      <c r="Z897" s="1"/>
      <c r="AA897" s="1"/>
      <c r="AB897" s="1" t="s">
        <v>52</v>
      </c>
      <c r="AC897" s="1" t="s">
        <v>4719</v>
      </c>
      <c r="AD897" s="1"/>
      <c r="AE897" s="1" t="s">
        <v>1152</v>
      </c>
      <c r="AF897" s="1"/>
      <c r="AG897" s="1"/>
      <c r="AH897" s="1" t="s">
        <v>1152</v>
      </c>
      <c r="AI897" s="1"/>
      <c r="AJ897" s="1"/>
      <c r="AK897" s="1"/>
      <c r="AL897" s="6" t="str">
        <f t="array" ref="AL897">IFERROR(IFS(XLOOKUP(B897, 'Kit Delivery Status'!$U:$U, 'Kit Delivery Status'!$K:$K) = "Complete", "DELIVERED", XLOOKUP(B897, 'Kit Delivery Status'!$U:$U, 'Kit Delivery Status'!$K:$K) = "Issue", "ISSUE"), "")</f>
        <v/>
      </c>
      <c r="AM897" s="6"/>
    </row>
    <row r="898">
      <c r="A898" s="5" t="s">
        <v>4720</v>
      </c>
      <c r="B898" s="1" t="s">
        <v>4721</v>
      </c>
      <c r="C898" s="1" t="s">
        <v>4722</v>
      </c>
      <c r="D898" s="2">
        <v>2.538882856E9</v>
      </c>
      <c r="E898" s="1" t="s">
        <v>4723</v>
      </c>
      <c r="F898" s="1"/>
      <c r="G898" s="1" t="s">
        <v>4724</v>
      </c>
      <c r="H898" s="1" t="s">
        <v>980</v>
      </c>
      <c r="I898" s="1">
        <v>98466.0</v>
      </c>
      <c r="J898" s="1" t="s">
        <v>752</v>
      </c>
      <c r="K898" s="1" t="s">
        <v>51</v>
      </c>
      <c r="L898" s="1" t="s">
        <v>3293</v>
      </c>
      <c r="M898" s="1">
        <v>1.0</v>
      </c>
      <c r="N898" s="1" t="s">
        <v>2461</v>
      </c>
      <c r="O898" s="3" t="s">
        <v>4725</v>
      </c>
      <c r="P898" s="18">
        <v>45889.0</v>
      </c>
      <c r="Q898" s="1" t="s">
        <v>2463</v>
      </c>
      <c r="R898" s="1"/>
      <c r="S898" s="1" t="s">
        <v>2461</v>
      </c>
      <c r="T898" s="1" t="s">
        <v>2461</v>
      </c>
      <c r="U898" s="1" t="s">
        <v>1021</v>
      </c>
      <c r="V898" s="4" t="s">
        <v>4725</v>
      </c>
      <c r="W898" s="1"/>
      <c r="X898" s="18">
        <v>45889.0</v>
      </c>
      <c r="Y898" s="1" t="s">
        <v>1030</v>
      </c>
      <c r="Z898" s="1"/>
      <c r="AA898" s="1"/>
      <c r="AB898" s="1" t="s">
        <v>52</v>
      </c>
      <c r="AC898" s="1" t="s">
        <v>1925</v>
      </c>
      <c r="AD898" s="1"/>
      <c r="AE898" s="1" t="s">
        <v>1152</v>
      </c>
      <c r="AF898" s="1"/>
      <c r="AG898" s="1"/>
      <c r="AH898" s="1" t="s">
        <v>1152</v>
      </c>
      <c r="AI898" s="1"/>
      <c r="AJ898" s="1"/>
      <c r="AK898" s="1"/>
      <c r="AL898" s="6" t="str">
        <f t="array" ref="AL898">IFERROR(IFS(XLOOKUP(B898, 'Kit Delivery Status'!$U:$U, 'Kit Delivery Status'!$K:$K) = "Complete", "DELIVERED", XLOOKUP(B898, 'Kit Delivery Status'!$U:$U, 'Kit Delivery Status'!$K:$K) = "Issue", "ISSUE"), "")</f>
        <v/>
      </c>
      <c r="AM898" s="6"/>
    </row>
    <row r="899">
      <c r="A899" s="5" t="s">
        <v>4726</v>
      </c>
      <c r="B899" s="1" t="s">
        <v>4727</v>
      </c>
      <c r="C899" s="1"/>
      <c r="D899" s="2">
        <v>9.723330602E9</v>
      </c>
      <c r="E899" s="1" t="s">
        <v>4141</v>
      </c>
      <c r="F899" s="1"/>
      <c r="G899" s="1" t="s">
        <v>2715</v>
      </c>
      <c r="H899" s="1" t="s">
        <v>1583</v>
      </c>
      <c r="I899" s="1">
        <v>75230.0</v>
      </c>
      <c r="J899" s="1" t="s">
        <v>752</v>
      </c>
      <c r="K899" s="1" t="s">
        <v>66</v>
      </c>
      <c r="L899" s="1" t="s">
        <v>3321</v>
      </c>
      <c r="M899" s="1">
        <v>210.0</v>
      </c>
      <c r="N899" s="1" t="s">
        <v>1152</v>
      </c>
      <c r="O899" s="3" t="s">
        <v>3300</v>
      </c>
      <c r="P899" s="18">
        <v>45891.0</v>
      </c>
      <c r="Q899" s="1" t="s">
        <v>1152</v>
      </c>
      <c r="R899" s="1"/>
      <c r="S899" s="1" t="s">
        <v>1152</v>
      </c>
      <c r="T899" s="1" t="s">
        <v>1152</v>
      </c>
      <c r="U899" s="1" t="s">
        <v>3713</v>
      </c>
      <c r="V899" s="4" t="s">
        <v>3300</v>
      </c>
      <c r="W899" s="1"/>
      <c r="X899" s="18">
        <v>45891.0</v>
      </c>
      <c r="Y899" s="1"/>
      <c r="Z899" s="1"/>
      <c r="AA899" s="1"/>
      <c r="AB899" s="1"/>
      <c r="AC899" s="1" t="s">
        <v>1925</v>
      </c>
      <c r="AD899" s="1"/>
      <c r="AE899" s="1" t="s">
        <v>1152</v>
      </c>
      <c r="AF899" s="1"/>
      <c r="AG899" s="1"/>
      <c r="AH899" s="1" t="s">
        <v>1152</v>
      </c>
      <c r="AI899" s="1"/>
      <c r="AJ899" s="1"/>
      <c r="AK899" s="1"/>
      <c r="AL899" s="6" t="str">
        <f t="array" ref="AL899">IFERROR(IFS(XLOOKUP(B899, 'Kit Delivery Status'!$U:$U, 'Kit Delivery Status'!$K:$K) = "Complete", "DELIVERED", XLOOKUP(B899, 'Kit Delivery Status'!$U:$U, 'Kit Delivery Status'!$K:$K) = "Issue", "ISSUE"), "")</f>
        <v/>
      </c>
      <c r="AM899" s="6"/>
    </row>
    <row r="900">
      <c r="A900" s="5" t="s">
        <v>4728</v>
      </c>
      <c r="B900" s="1" t="s">
        <v>4729</v>
      </c>
      <c r="C900" s="1" t="s">
        <v>4730</v>
      </c>
      <c r="D900" s="2">
        <v>9.148853999E9</v>
      </c>
      <c r="E900" s="1" t="s">
        <v>4731</v>
      </c>
      <c r="F900" s="1" t="s">
        <v>4732</v>
      </c>
      <c r="G900" s="1" t="s">
        <v>1283</v>
      </c>
      <c r="H900" s="1" t="s">
        <v>1155</v>
      </c>
      <c r="I900" s="1">
        <v>63130.0</v>
      </c>
      <c r="J900" s="1" t="s">
        <v>752</v>
      </c>
      <c r="K900" s="1" t="s">
        <v>51</v>
      </c>
      <c r="L900" s="1" t="s">
        <v>3293</v>
      </c>
      <c r="M900" s="1">
        <v>1.0</v>
      </c>
      <c r="N900" s="1" t="s">
        <v>2487</v>
      </c>
      <c r="O900" s="3"/>
      <c r="P900" s="18">
        <v>45891.0</v>
      </c>
      <c r="Q900" s="1" t="s">
        <v>3418</v>
      </c>
      <c r="R900" s="1" t="s">
        <v>4732</v>
      </c>
      <c r="S900" s="1" t="s">
        <v>2487</v>
      </c>
      <c r="T900" s="1" t="s">
        <v>2487</v>
      </c>
      <c r="U900" s="1"/>
      <c r="V900" s="4"/>
      <c r="W900" s="1" t="s">
        <v>4732</v>
      </c>
      <c r="X900" s="18">
        <v>45891.0</v>
      </c>
      <c r="Y900" s="1" t="s">
        <v>3418</v>
      </c>
      <c r="Z900" s="1"/>
      <c r="AA900" s="1" t="s">
        <v>4732</v>
      </c>
      <c r="AB900" s="1" t="s">
        <v>124</v>
      </c>
      <c r="AC900" s="1" t="s">
        <v>1925</v>
      </c>
      <c r="AD900" s="1"/>
      <c r="AE900" s="1" t="s">
        <v>1152</v>
      </c>
      <c r="AF900" s="1"/>
      <c r="AG900" s="1"/>
      <c r="AH900" s="1" t="s">
        <v>1152</v>
      </c>
      <c r="AI900" s="1"/>
      <c r="AJ900" s="1"/>
      <c r="AK900" s="1"/>
      <c r="AL900" s="6" t="str">
        <f t="array" ref="AL900">IFERROR(IFS(XLOOKUP(B900, 'Kit Delivery Status'!$U:$U, 'Kit Delivery Status'!$K:$K) = "Complete", "DELIVERED", XLOOKUP(B900, 'Kit Delivery Status'!$U:$U, 'Kit Delivery Status'!$K:$K) = "Issue", "ISSUE"), "")</f>
        <v/>
      </c>
      <c r="AM900" s="6"/>
    </row>
    <row r="901">
      <c r="A901" s="5" t="s">
        <v>4733</v>
      </c>
      <c r="B901" s="1" t="s">
        <v>4734</v>
      </c>
      <c r="C901" s="1" t="s">
        <v>4735</v>
      </c>
      <c r="D901" s="2">
        <v>1.6508809E10</v>
      </c>
      <c r="E901" s="1" t="s">
        <v>4736</v>
      </c>
      <c r="F901" s="1"/>
      <c r="G901" s="1" t="s">
        <v>4737</v>
      </c>
      <c r="H901" s="1" t="s">
        <v>989</v>
      </c>
      <c r="I901" s="1">
        <v>94538.0</v>
      </c>
      <c r="J901" s="1" t="s">
        <v>752</v>
      </c>
      <c r="K901" s="1" t="s">
        <v>95</v>
      </c>
      <c r="L901" s="1" t="s">
        <v>3327</v>
      </c>
      <c r="M901" s="1">
        <v>49.0</v>
      </c>
      <c r="N901" s="1" t="s">
        <v>2461</v>
      </c>
      <c r="O901" s="3" t="s">
        <v>4738</v>
      </c>
      <c r="P901" s="18">
        <v>45883.0</v>
      </c>
      <c r="Q901" s="1" t="s">
        <v>2463</v>
      </c>
      <c r="R901" s="1"/>
      <c r="S901" s="1" t="s">
        <v>2461</v>
      </c>
      <c r="T901" s="1" t="s">
        <v>2461</v>
      </c>
      <c r="U901" s="1" t="s">
        <v>1039</v>
      </c>
      <c r="V901" s="4" t="s">
        <v>4738</v>
      </c>
      <c r="W901" s="1"/>
      <c r="X901" s="18">
        <v>45883.0</v>
      </c>
      <c r="Y901" s="1" t="s">
        <v>1030</v>
      </c>
      <c r="Z901" s="1"/>
      <c r="AA901" s="1"/>
      <c r="AB901" s="1" t="s">
        <v>52</v>
      </c>
      <c r="AC901" s="1" t="s">
        <v>4739</v>
      </c>
      <c r="AD901" s="1"/>
      <c r="AE901" s="1" t="s">
        <v>1152</v>
      </c>
      <c r="AF901" s="1"/>
      <c r="AG901" s="1"/>
      <c r="AH901" s="1" t="s">
        <v>1152</v>
      </c>
      <c r="AI901" s="1"/>
      <c r="AJ901" s="1"/>
      <c r="AK901" s="1"/>
      <c r="AL901" s="6" t="str">
        <f t="array" ref="AL901">IFERROR(IFS(XLOOKUP(B901, 'Kit Delivery Status'!$U:$U, 'Kit Delivery Status'!$K:$K) = "Complete", "DELIVERED", XLOOKUP(B901, 'Kit Delivery Status'!$U:$U, 'Kit Delivery Status'!$K:$K) = "Issue", "ISSUE"), "")</f>
        <v/>
      </c>
      <c r="AM901" s="6"/>
    </row>
    <row r="902">
      <c r="A902" s="5" t="s">
        <v>4733</v>
      </c>
      <c r="B902" s="1" t="s">
        <v>4734</v>
      </c>
      <c r="C902" s="1" t="s">
        <v>4735</v>
      </c>
      <c r="D902" s="2">
        <v>1.6508809E10</v>
      </c>
      <c r="E902" s="1" t="s">
        <v>4736</v>
      </c>
      <c r="F902" s="1"/>
      <c r="G902" s="1" t="s">
        <v>4737</v>
      </c>
      <c r="H902" s="1" t="s">
        <v>989</v>
      </c>
      <c r="I902" s="1">
        <v>94538.0</v>
      </c>
      <c r="J902" s="1" t="s">
        <v>752</v>
      </c>
      <c r="K902" s="1" t="s">
        <v>66</v>
      </c>
      <c r="L902" s="1" t="s">
        <v>3321</v>
      </c>
      <c r="M902" s="1">
        <v>210.0</v>
      </c>
      <c r="N902" s="1" t="s">
        <v>1152</v>
      </c>
      <c r="O902" s="3" t="s">
        <v>4738</v>
      </c>
      <c r="P902" s="18">
        <v>45883.0</v>
      </c>
      <c r="Q902" s="1" t="s">
        <v>1152</v>
      </c>
      <c r="R902" s="1"/>
      <c r="S902" s="1" t="s">
        <v>1152</v>
      </c>
      <c r="T902" s="1" t="s">
        <v>1152</v>
      </c>
      <c r="U902" s="1" t="s">
        <v>1039</v>
      </c>
      <c r="V902" s="4" t="s">
        <v>4738</v>
      </c>
      <c r="W902" s="1"/>
      <c r="X902" s="18">
        <v>45883.0</v>
      </c>
      <c r="Y902" s="1"/>
      <c r="Z902" s="1"/>
      <c r="AA902" s="1"/>
      <c r="AB902" s="1"/>
      <c r="AC902" s="1" t="s">
        <v>1925</v>
      </c>
      <c r="AD902" s="1"/>
      <c r="AE902" s="1" t="s">
        <v>1152</v>
      </c>
      <c r="AF902" s="1"/>
      <c r="AG902" s="1"/>
      <c r="AH902" s="1" t="s">
        <v>1152</v>
      </c>
      <c r="AI902" s="1"/>
      <c r="AJ902" s="1"/>
      <c r="AK902" s="1"/>
      <c r="AL902" s="6" t="str">
        <f t="array" ref="AL902">IFERROR(IFS(XLOOKUP(B902, 'Kit Delivery Status'!$U:$U, 'Kit Delivery Status'!$K:$K) = "Complete", "DELIVERED", XLOOKUP(B902, 'Kit Delivery Status'!$U:$U, 'Kit Delivery Status'!$K:$K) = "Issue", "ISSUE"), "")</f>
        <v/>
      </c>
      <c r="AM902" s="6"/>
    </row>
    <row r="903">
      <c r="A903" s="5" t="s">
        <v>4740</v>
      </c>
      <c r="B903" s="1" t="s">
        <v>4741</v>
      </c>
      <c r="C903" s="1" t="s">
        <v>4742</v>
      </c>
      <c r="D903" s="2" t="str">
        <v>#ERROR!</v>
      </c>
      <c r="E903" s="1" t="s">
        <v>4743</v>
      </c>
      <c r="F903" s="1"/>
      <c r="G903" s="1" t="s">
        <v>4744</v>
      </c>
      <c r="H903" s="1" t="s">
        <v>1583</v>
      </c>
      <c r="I903" s="1">
        <v>75078.0</v>
      </c>
      <c r="J903" s="1" t="s">
        <v>752</v>
      </c>
      <c r="K903" s="1" t="s">
        <v>66</v>
      </c>
      <c r="L903" s="1" t="s">
        <v>3885</v>
      </c>
      <c r="M903" s="1">
        <v>180.0</v>
      </c>
      <c r="N903" s="1" t="s">
        <v>1152</v>
      </c>
      <c r="O903" s="3" t="s">
        <v>4745</v>
      </c>
      <c r="P903" s="18">
        <v>45890.0</v>
      </c>
      <c r="Q903" s="1" t="s">
        <v>1152</v>
      </c>
      <c r="R903" s="1"/>
      <c r="S903" s="1" t="s">
        <v>1152</v>
      </c>
      <c r="T903" s="1" t="s">
        <v>1152</v>
      </c>
      <c r="U903" s="1" t="s">
        <v>1021</v>
      </c>
      <c r="V903" s="4" t="s">
        <v>4745</v>
      </c>
      <c r="W903" s="1"/>
      <c r="X903" s="18">
        <v>45890.0</v>
      </c>
      <c r="Y903" s="1"/>
      <c r="Z903" s="1"/>
      <c r="AA903" s="1"/>
      <c r="AB903" s="1"/>
      <c r="AC903" s="1" t="s">
        <v>1925</v>
      </c>
      <c r="AD903" s="1"/>
      <c r="AE903" s="1" t="s">
        <v>1152</v>
      </c>
      <c r="AF903" s="1"/>
      <c r="AG903" s="1"/>
      <c r="AH903" s="1" t="s">
        <v>1152</v>
      </c>
      <c r="AI903" s="1"/>
      <c r="AJ903" s="1"/>
      <c r="AK903" s="1"/>
      <c r="AL903" s="6" t="str">
        <f t="array" ref="AL903">IFERROR(IFS(XLOOKUP(B903, 'Kit Delivery Status'!$U:$U, 'Kit Delivery Status'!$K:$K) = "Complete", "DELIVERED", XLOOKUP(B903, 'Kit Delivery Status'!$U:$U, 'Kit Delivery Status'!$K:$K) = "Issue", "ISSUE"), "")</f>
        <v/>
      </c>
      <c r="AM903" s="6"/>
    </row>
    <row r="904">
      <c r="A904" s="5" t="s">
        <v>4740</v>
      </c>
      <c r="B904" s="1" t="s">
        <v>4741</v>
      </c>
      <c r="C904" s="1" t="s">
        <v>4742</v>
      </c>
      <c r="D904" s="2" t="str">
        <v>#ERROR!</v>
      </c>
      <c r="E904" s="1" t="s">
        <v>4743</v>
      </c>
      <c r="F904" s="1"/>
      <c r="G904" s="1" t="s">
        <v>4744</v>
      </c>
      <c r="H904" s="1" t="s">
        <v>1583</v>
      </c>
      <c r="I904" s="1">
        <v>75078.0</v>
      </c>
      <c r="J904" s="1" t="s">
        <v>752</v>
      </c>
      <c r="K904" s="1" t="s">
        <v>51</v>
      </c>
      <c r="L904" s="1" t="s">
        <v>3293</v>
      </c>
      <c r="M904" s="1">
        <v>1.0</v>
      </c>
      <c r="N904" s="1" t="s">
        <v>2461</v>
      </c>
      <c r="O904" s="3" t="s">
        <v>4745</v>
      </c>
      <c r="P904" s="18">
        <v>45890.0</v>
      </c>
      <c r="Q904" s="1" t="s">
        <v>2502</v>
      </c>
      <c r="R904" s="1"/>
      <c r="S904" s="1" t="s">
        <v>2461</v>
      </c>
      <c r="T904" s="1" t="s">
        <v>2461</v>
      </c>
      <c r="U904" s="1" t="s">
        <v>1021</v>
      </c>
      <c r="V904" s="4" t="s">
        <v>4745</v>
      </c>
      <c r="W904" s="1"/>
      <c r="X904" s="18">
        <v>45890.0</v>
      </c>
      <c r="Y904" s="1" t="s">
        <v>1630</v>
      </c>
      <c r="Z904" s="1"/>
      <c r="AA904" s="1"/>
      <c r="AB904" s="1" t="s">
        <v>52</v>
      </c>
      <c r="AC904" s="1" t="s">
        <v>1925</v>
      </c>
      <c r="AD904" s="1"/>
      <c r="AE904" s="1" t="s">
        <v>1152</v>
      </c>
      <c r="AF904" s="1"/>
      <c r="AG904" s="1"/>
      <c r="AH904" s="1" t="s">
        <v>1152</v>
      </c>
      <c r="AI904" s="1"/>
      <c r="AJ904" s="1"/>
      <c r="AK904" s="1"/>
      <c r="AL904" s="6" t="str">
        <f t="array" ref="AL904">IFERROR(IFS(XLOOKUP(B904, 'Kit Delivery Status'!$U:$U, 'Kit Delivery Status'!$K:$K) = "Complete", "DELIVERED", XLOOKUP(B904, 'Kit Delivery Status'!$U:$U, 'Kit Delivery Status'!$K:$K) = "Issue", "ISSUE"), "")</f>
        <v/>
      </c>
      <c r="AM904" s="6"/>
    </row>
    <row r="905">
      <c r="A905" s="5" t="s">
        <v>4746</v>
      </c>
      <c r="B905" s="1" t="s">
        <v>4747</v>
      </c>
      <c r="C905" s="1" t="s">
        <v>4748</v>
      </c>
      <c r="D905" s="2">
        <v>9.175201944E9</v>
      </c>
      <c r="E905" s="1" t="s">
        <v>4749</v>
      </c>
      <c r="F905" s="1"/>
      <c r="G905" s="1" t="s">
        <v>4750</v>
      </c>
      <c r="H905" s="1" t="s">
        <v>1053</v>
      </c>
      <c r="I905" s="1">
        <v>8540.0</v>
      </c>
      <c r="J905" s="1" t="s">
        <v>752</v>
      </c>
      <c r="K905" s="1" t="s">
        <v>51</v>
      </c>
      <c r="L905" s="1" t="s">
        <v>3293</v>
      </c>
      <c r="M905" s="1">
        <v>1.0</v>
      </c>
      <c r="N905" s="1" t="s">
        <v>2461</v>
      </c>
      <c r="O905" s="3" t="s">
        <v>4751</v>
      </c>
      <c r="P905" s="18">
        <v>45889.0</v>
      </c>
      <c r="Q905" s="1" t="s">
        <v>2463</v>
      </c>
      <c r="R905" s="1"/>
      <c r="S905" s="1" t="s">
        <v>2461</v>
      </c>
      <c r="T905" s="1" t="s">
        <v>2461</v>
      </c>
      <c r="U905" s="1" t="s">
        <v>1055</v>
      </c>
      <c r="V905" s="4" t="s">
        <v>4751</v>
      </c>
      <c r="W905" s="1"/>
      <c r="X905" s="18">
        <v>45889.0</v>
      </c>
      <c r="Y905" s="1" t="s">
        <v>1030</v>
      </c>
      <c r="Z905" s="1"/>
      <c r="AA905" s="1"/>
      <c r="AB905" s="1" t="s">
        <v>52</v>
      </c>
      <c r="AC905" s="1" t="s">
        <v>1925</v>
      </c>
      <c r="AD905" s="1"/>
      <c r="AE905" s="1" t="s">
        <v>1152</v>
      </c>
      <c r="AF905" s="1"/>
      <c r="AG905" s="1"/>
      <c r="AH905" s="1" t="s">
        <v>1152</v>
      </c>
      <c r="AI905" s="1"/>
      <c r="AJ905" s="1"/>
      <c r="AK905" s="1"/>
      <c r="AL905" s="6" t="str">
        <f t="array" ref="AL905">IFERROR(IFS(XLOOKUP(B905, 'Kit Delivery Status'!$U:$U, 'Kit Delivery Status'!$K:$K) = "Complete", "DELIVERED", XLOOKUP(B905, 'Kit Delivery Status'!$U:$U, 'Kit Delivery Status'!$K:$K) = "Issue", "ISSUE"), "")</f>
        <v/>
      </c>
      <c r="AM905" s="6"/>
    </row>
    <row r="906">
      <c r="A906" s="5" t="s">
        <v>4752</v>
      </c>
      <c r="B906" s="1" t="s">
        <v>4753</v>
      </c>
      <c r="C906" s="1"/>
      <c r="D906" s="2">
        <v>15102992644</v>
      </c>
      <c r="E906" s="1" t="s">
        <v>4754</v>
      </c>
      <c r="F906" s="1"/>
      <c r="G906" s="1" t="s">
        <v>4737</v>
      </c>
      <c r="H906" s="1" t="s">
        <v>989</v>
      </c>
      <c r="I906" s="1">
        <v>94539.0</v>
      </c>
      <c r="J906" s="1" t="s">
        <v>752</v>
      </c>
      <c r="K906" s="1" t="s">
        <v>66</v>
      </c>
      <c r="L906" s="1" t="s">
        <v>3321</v>
      </c>
      <c r="M906" s="1">
        <v>210.0</v>
      </c>
      <c r="N906" s="1" t="s">
        <v>1152</v>
      </c>
      <c r="O906" s="3" t="s">
        <v>4755</v>
      </c>
      <c r="P906" s="18">
        <v>45883.0</v>
      </c>
      <c r="Q906" s="1" t="s">
        <v>1152</v>
      </c>
      <c r="R906" s="1"/>
      <c r="S906" s="1" t="s">
        <v>1152</v>
      </c>
      <c r="T906" s="1" t="s">
        <v>1152</v>
      </c>
      <c r="U906" s="1" t="s">
        <v>1812</v>
      </c>
      <c r="V906" s="4" t="s">
        <v>4755</v>
      </c>
      <c r="W906" s="1"/>
      <c r="X906" s="18">
        <v>45883.0</v>
      </c>
      <c r="Y906" s="1"/>
      <c r="Z906" s="1"/>
      <c r="AA906" s="1"/>
      <c r="AB906" s="1"/>
      <c r="AC906" s="1" t="s">
        <v>1925</v>
      </c>
      <c r="AD906" s="1"/>
      <c r="AE906" s="1" t="s">
        <v>1152</v>
      </c>
      <c r="AF906" s="1"/>
      <c r="AG906" s="1"/>
      <c r="AH906" s="1" t="s">
        <v>1152</v>
      </c>
      <c r="AI906" s="1"/>
      <c r="AJ906" s="1"/>
      <c r="AK906" s="1"/>
      <c r="AL906" s="6" t="str">
        <f t="array" ref="AL906">IFERROR(IFS(XLOOKUP(B906, 'Kit Delivery Status'!$U:$U, 'Kit Delivery Status'!$K:$K) = "Complete", "DELIVERED", XLOOKUP(B906, 'Kit Delivery Status'!$U:$U, 'Kit Delivery Status'!$K:$K) = "Issue", "ISSUE"), "")</f>
        <v/>
      </c>
      <c r="AM906" s="6"/>
    </row>
    <row r="907">
      <c r="A907" s="5" t="s">
        <v>4756</v>
      </c>
      <c r="B907" s="1" t="s">
        <v>4757</v>
      </c>
      <c r="C907" s="1"/>
      <c r="D907" s="2">
        <v>9.083346111E9</v>
      </c>
      <c r="E907" s="1" t="s">
        <v>4758</v>
      </c>
      <c r="F907" s="1"/>
      <c r="G907" s="1" t="s">
        <v>4759</v>
      </c>
      <c r="H907" s="1" t="s">
        <v>1053</v>
      </c>
      <c r="I907" s="1">
        <v>7928.0</v>
      </c>
      <c r="J907" s="1" t="s">
        <v>752</v>
      </c>
      <c r="K907" s="1" t="s">
        <v>51</v>
      </c>
      <c r="L907" s="1" t="s">
        <v>3293</v>
      </c>
      <c r="M907" s="1">
        <v>1.0</v>
      </c>
      <c r="N907" s="1" t="s">
        <v>2461</v>
      </c>
      <c r="O907" s="3" t="s">
        <v>4760</v>
      </c>
      <c r="P907" s="18">
        <v>45889.0</v>
      </c>
      <c r="Q907" s="1" t="s">
        <v>2463</v>
      </c>
      <c r="R907" s="1"/>
      <c r="S907" s="1" t="s">
        <v>2461</v>
      </c>
      <c r="T907" s="1" t="s">
        <v>2461</v>
      </c>
      <c r="U907" s="1" t="s">
        <v>4586</v>
      </c>
      <c r="V907" s="4" t="s">
        <v>4760</v>
      </c>
      <c r="W907" s="1"/>
      <c r="X907" s="18">
        <v>45889.0</v>
      </c>
      <c r="Y907" s="1" t="s">
        <v>1030</v>
      </c>
      <c r="Z907" s="1"/>
      <c r="AA907" s="1"/>
      <c r="AB907" s="1" t="s">
        <v>52</v>
      </c>
      <c r="AC907" s="1" t="s">
        <v>1925</v>
      </c>
      <c r="AD907" s="1"/>
      <c r="AE907" s="1" t="s">
        <v>1152</v>
      </c>
      <c r="AF907" s="1"/>
      <c r="AG907" s="1"/>
      <c r="AH907" s="1" t="s">
        <v>1152</v>
      </c>
      <c r="AI907" s="1"/>
      <c r="AJ907" s="1"/>
      <c r="AK907" s="1"/>
      <c r="AL907" s="6" t="str">
        <f t="array" ref="AL907">IFERROR(IFS(XLOOKUP(B907, 'Kit Delivery Status'!$U:$U, 'Kit Delivery Status'!$K:$K) = "Complete", "DELIVERED", XLOOKUP(B907, 'Kit Delivery Status'!$U:$U, 'Kit Delivery Status'!$K:$K) = "Issue", "ISSUE"), "")</f>
        <v/>
      </c>
      <c r="AM907" s="6"/>
    </row>
    <row r="908">
      <c r="A908" s="5" t="s">
        <v>4761</v>
      </c>
      <c r="B908" s="1" t="s">
        <v>4762</v>
      </c>
      <c r="C908" s="1" t="s">
        <v>4763</v>
      </c>
      <c r="D908" s="2">
        <v>9.862196068E9</v>
      </c>
      <c r="E908" s="1" t="s">
        <v>4764</v>
      </c>
      <c r="F908" s="1"/>
      <c r="G908" s="1" t="s">
        <v>4765</v>
      </c>
      <c r="H908" s="1" t="s">
        <v>4766</v>
      </c>
      <c r="I908" s="1">
        <v>83404.0</v>
      </c>
      <c r="J908" s="1" t="s">
        <v>752</v>
      </c>
      <c r="K908" s="1" t="s">
        <v>42</v>
      </c>
      <c r="L908" s="1" t="s">
        <v>3542</v>
      </c>
      <c r="M908" s="1">
        <v>49.0</v>
      </c>
      <c r="N908" s="1" t="s">
        <v>1152</v>
      </c>
      <c r="O908" s="3" t="s">
        <v>1139</v>
      </c>
      <c r="P908" s="1" t="s">
        <v>1152</v>
      </c>
      <c r="Q908" s="1" t="s">
        <v>1152</v>
      </c>
      <c r="R908" s="1"/>
      <c r="S908" s="1" t="s">
        <v>1152</v>
      </c>
      <c r="T908" s="1" t="s">
        <v>1152</v>
      </c>
      <c r="U908" s="1" t="s">
        <v>948</v>
      </c>
      <c r="V908" s="4" t="s">
        <v>1139</v>
      </c>
      <c r="W908" s="1"/>
      <c r="X908" s="18"/>
      <c r="Y908" s="1"/>
      <c r="Z908" s="1"/>
      <c r="AA908" s="1"/>
      <c r="AB908" s="1"/>
      <c r="AC908" s="1" t="s">
        <v>1925</v>
      </c>
      <c r="AD908" s="1"/>
      <c r="AE908" s="18">
        <v>45875.0</v>
      </c>
      <c r="AF908" s="1" t="s">
        <v>1030</v>
      </c>
      <c r="AG908" s="1" t="s">
        <v>52</v>
      </c>
      <c r="AH908" s="1" t="s">
        <v>1152</v>
      </c>
      <c r="AI908" s="1"/>
      <c r="AJ908" s="1"/>
      <c r="AK908" s="1"/>
      <c r="AL908" s="6" t="str">
        <f t="array" ref="AL908">IFERROR(IFS(XLOOKUP(B908, 'Kit Delivery Status'!$U:$U, 'Kit Delivery Status'!$K:$K) = "Complete", "DELIVERED", XLOOKUP(B908, 'Kit Delivery Status'!$U:$U, 'Kit Delivery Status'!$K:$K) = "Issue", "ISSUE"), "")</f>
        <v/>
      </c>
      <c r="AM908" s="6"/>
    </row>
    <row r="909">
      <c r="A909" s="5" t="s">
        <v>4767</v>
      </c>
      <c r="B909" s="1" t="s">
        <v>4768</v>
      </c>
      <c r="C909" s="1" t="s">
        <v>4769</v>
      </c>
      <c r="D909" s="2">
        <v>2.133043801E9</v>
      </c>
      <c r="E909" s="1" t="s">
        <v>4770</v>
      </c>
      <c r="F909" s="1"/>
      <c r="G909" s="1" t="s">
        <v>1179</v>
      </c>
      <c r="H909" s="1" t="s">
        <v>989</v>
      </c>
      <c r="I909" s="1">
        <v>90010.0</v>
      </c>
      <c r="J909" s="1" t="s">
        <v>752</v>
      </c>
      <c r="K909" s="1" t="s">
        <v>66</v>
      </c>
      <c r="L909" s="1" t="s">
        <v>3321</v>
      </c>
      <c r="M909" s="1">
        <v>210.0</v>
      </c>
      <c r="N909" s="1" t="s">
        <v>1152</v>
      </c>
      <c r="O909" s="3" t="s">
        <v>4771</v>
      </c>
      <c r="P909" s="18">
        <v>45883.0</v>
      </c>
      <c r="Q909" s="1" t="s">
        <v>1152</v>
      </c>
      <c r="R909" s="1"/>
      <c r="S909" s="1" t="s">
        <v>1152</v>
      </c>
      <c r="T909" s="1" t="s">
        <v>1152</v>
      </c>
      <c r="U909" s="1" t="s">
        <v>1174</v>
      </c>
      <c r="V909" s="4" t="s">
        <v>4771</v>
      </c>
      <c r="W909" s="1"/>
      <c r="X909" s="18">
        <v>45883.0</v>
      </c>
      <c r="Y909" s="1"/>
      <c r="Z909" s="1"/>
      <c r="AA909" s="1"/>
      <c r="AB909" s="1"/>
      <c r="AC909" s="1" t="s">
        <v>1925</v>
      </c>
      <c r="AD909" s="1"/>
      <c r="AE909" s="1" t="s">
        <v>1152</v>
      </c>
      <c r="AF909" s="1"/>
      <c r="AG909" s="1"/>
      <c r="AH909" s="1" t="s">
        <v>1152</v>
      </c>
      <c r="AI909" s="1"/>
      <c r="AJ909" s="1"/>
      <c r="AK909" s="1"/>
      <c r="AL909" s="6" t="str">
        <f t="array" ref="AL909">IFERROR(IFS(XLOOKUP(B909, 'Kit Delivery Status'!$U:$U, 'Kit Delivery Status'!$K:$K) = "Complete", "DELIVERED", XLOOKUP(B909, 'Kit Delivery Status'!$U:$U, 'Kit Delivery Status'!$K:$K) = "Issue", "ISSUE"), "")</f>
        <v/>
      </c>
      <c r="AM909" s="6"/>
    </row>
    <row r="910">
      <c r="A910" s="5" t="s">
        <v>4767</v>
      </c>
      <c r="B910" s="1" t="s">
        <v>4768</v>
      </c>
      <c r="C910" s="1" t="s">
        <v>4769</v>
      </c>
      <c r="D910" s="2">
        <v>2.133043801E9</v>
      </c>
      <c r="E910" s="1" t="s">
        <v>4770</v>
      </c>
      <c r="F910" s="1"/>
      <c r="G910" s="1" t="s">
        <v>1179</v>
      </c>
      <c r="H910" s="1" t="s">
        <v>989</v>
      </c>
      <c r="I910" s="1">
        <v>90010.0</v>
      </c>
      <c r="J910" s="1" t="s">
        <v>752</v>
      </c>
      <c r="K910" s="1" t="s">
        <v>51</v>
      </c>
      <c r="L910" s="1" t="s">
        <v>3293</v>
      </c>
      <c r="M910" s="1">
        <v>1.0</v>
      </c>
      <c r="N910" s="1" t="s">
        <v>2461</v>
      </c>
      <c r="O910" s="3" t="s">
        <v>4771</v>
      </c>
      <c r="P910" s="18">
        <v>45888.0</v>
      </c>
      <c r="Q910" s="1" t="s">
        <v>2463</v>
      </c>
      <c r="R910" s="1"/>
      <c r="S910" s="1" t="s">
        <v>2461</v>
      </c>
      <c r="T910" s="1" t="s">
        <v>2461</v>
      </c>
      <c r="U910" s="1" t="s">
        <v>1174</v>
      </c>
      <c r="V910" s="4" t="s">
        <v>4771</v>
      </c>
      <c r="W910" s="1"/>
      <c r="X910" s="18">
        <v>45888.0</v>
      </c>
      <c r="Y910" s="1" t="s">
        <v>1030</v>
      </c>
      <c r="Z910" s="1"/>
      <c r="AA910" s="1"/>
      <c r="AB910" s="1" t="s">
        <v>52</v>
      </c>
      <c r="AC910" s="1" t="s">
        <v>1925</v>
      </c>
      <c r="AD910" s="1"/>
      <c r="AE910" s="1" t="s">
        <v>1152</v>
      </c>
      <c r="AF910" s="1"/>
      <c r="AG910" s="1"/>
      <c r="AH910" s="1" t="s">
        <v>1152</v>
      </c>
      <c r="AI910" s="1"/>
      <c r="AJ910" s="1"/>
      <c r="AK910" s="1"/>
      <c r="AL910" s="6" t="str">
        <f t="array" ref="AL910">IFERROR(IFS(XLOOKUP(B910, 'Kit Delivery Status'!$U:$U, 'Kit Delivery Status'!$K:$K) = "Complete", "DELIVERED", XLOOKUP(B910, 'Kit Delivery Status'!$U:$U, 'Kit Delivery Status'!$K:$K) = "Issue", "ISSUE"), "")</f>
        <v/>
      </c>
      <c r="AM910" s="6"/>
    </row>
    <row r="911">
      <c r="A911" s="5" t="s">
        <v>4772</v>
      </c>
      <c r="B911" s="1" t="s">
        <v>4773</v>
      </c>
      <c r="C911" s="1"/>
      <c r="D911" s="2">
        <v>7.817775096E9</v>
      </c>
      <c r="E911" s="1" t="s">
        <v>4774</v>
      </c>
      <c r="F911" s="1"/>
      <c r="G911" s="1" t="s">
        <v>4775</v>
      </c>
      <c r="H911" s="1" t="s">
        <v>1121</v>
      </c>
      <c r="I911" s="1">
        <v>2138.0</v>
      </c>
      <c r="J911" s="1" t="s">
        <v>752</v>
      </c>
      <c r="K911" s="1" t="s">
        <v>51</v>
      </c>
      <c r="L911" s="1" t="s">
        <v>3293</v>
      </c>
      <c r="M911" s="1">
        <v>1.0</v>
      </c>
      <c r="N911" s="1" t="s">
        <v>2461</v>
      </c>
      <c r="O911" s="3" t="s">
        <v>4776</v>
      </c>
      <c r="P911" s="18">
        <v>45888.0</v>
      </c>
      <c r="Q911" s="1" t="s">
        <v>3418</v>
      </c>
      <c r="R911" s="1"/>
      <c r="S911" s="1" t="s">
        <v>2461</v>
      </c>
      <c r="T911" s="1" t="s">
        <v>2461</v>
      </c>
      <c r="U911" s="1" t="s">
        <v>1021</v>
      </c>
      <c r="V911" s="4" t="s">
        <v>4776</v>
      </c>
      <c r="W911" s="1"/>
      <c r="X911" s="18">
        <v>45888.0</v>
      </c>
      <c r="Y911" s="1" t="s">
        <v>1103</v>
      </c>
      <c r="Z911" s="1"/>
      <c r="AA911" s="1"/>
      <c r="AB911" s="1" t="s">
        <v>52</v>
      </c>
      <c r="AC911" s="1" t="s">
        <v>1925</v>
      </c>
      <c r="AD911" s="1"/>
      <c r="AE911" s="1" t="s">
        <v>1152</v>
      </c>
      <c r="AF911" s="1"/>
      <c r="AG911" s="1"/>
      <c r="AH911" s="1" t="s">
        <v>1152</v>
      </c>
      <c r="AI911" s="1"/>
      <c r="AJ911" s="1"/>
      <c r="AK911" s="1"/>
      <c r="AL911" s="6" t="str">
        <f t="array" ref="AL911">IFERROR(IFS(XLOOKUP(B911, 'Kit Delivery Status'!$U:$U, 'Kit Delivery Status'!$K:$K) = "Complete", "DELIVERED", XLOOKUP(B911, 'Kit Delivery Status'!$U:$U, 'Kit Delivery Status'!$K:$K) = "Issue", "ISSUE"), "")</f>
        <v/>
      </c>
      <c r="AM911" s="6"/>
    </row>
    <row r="912">
      <c r="A912" s="5" t="s">
        <v>4777</v>
      </c>
      <c r="B912" s="1" t="s">
        <v>4778</v>
      </c>
      <c r="C912" s="1" t="s">
        <v>4779</v>
      </c>
      <c r="D912" s="2">
        <v>2.144032341E9</v>
      </c>
      <c r="E912" s="1" t="s">
        <v>4780</v>
      </c>
      <c r="F912" s="1"/>
      <c r="G912" s="1" t="s">
        <v>2715</v>
      </c>
      <c r="H912" s="1" t="s">
        <v>1583</v>
      </c>
      <c r="I912" s="1">
        <v>75227.0</v>
      </c>
      <c r="J912" s="1" t="s">
        <v>752</v>
      </c>
      <c r="K912" s="1" t="s">
        <v>51</v>
      </c>
      <c r="L912" s="1" t="s">
        <v>3293</v>
      </c>
      <c r="M912" s="1">
        <v>1.0</v>
      </c>
      <c r="N912" s="1" t="s">
        <v>2461</v>
      </c>
      <c r="O912" s="3" t="s">
        <v>4781</v>
      </c>
      <c r="P912" s="18">
        <v>45889.0</v>
      </c>
      <c r="Q912" s="1" t="s">
        <v>3418</v>
      </c>
      <c r="R912" s="1"/>
      <c r="S912" s="1" t="s">
        <v>2461</v>
      </c>
      <c r="T912" s="1" t="s">
        <v>2461</v>
      </c>
      <c r="U912" s="1" t="s">
        <v>1812</v>
      </c>
      <c r="V912" s="4" t="s">
        <v>4781</v>
      </c>
      <c r="W912" s="1"/>
      <c r="X912" s="18">
        <v>45889.0</v>
      </c>
      <c r="Y912" s="1" t="s">
        <v>1103</v>
      </c>
      <c r="Z912" s="1"/>
      <c r="AA912" s="1"/>
      <c r="AB912" s="1" t="s">
        <v>52</v>
      </c>
      <c r="AC912" s="1" t="s">
        <v>1925</v>
      </c>
      <c r="AD912" s="1"/>
      <c r="AE912" s="1" t="s">
        <v>1152</v>
      </c>
      <c r="AF912" s="1"/>
      <c r="AG912" s="1"/>
      <c r="AH912" s="1" t="s">
        <v>1152</v>
      </c>
      <c r="AI912" s="1"/>
      <c r="AJ912" s="1"/>
      <c r="AK912" s="1"/>
      <c r="AL912" s="6" t="str">
        <f t="array" ref="AL912">IFERROR(IFS(XLOOKUP(B912, 'Kit Delivery Status'!$U:$U, 'Kit Delivery Status'!$K:$K) = "Complete", "DELIVERED", XLOOKUP(B912, 'Kit Delivery Status'!$U:$U, 'Kit Delivery Status'!$K:$K) = "Issue", "ISSUE"), "")</f>
        <v/>
      </c>
      <c r="AM912" s="6"/>
    </row>
    <row r="913">
      <c r="A913" s="5" t="s">
        <v>4782</v>
      </c>
      <c r="B913" s="1" t="s">
        <v>4783</v>
      </c>
      <c r="C913" s="1"/>
      <c r="D913" s="2">
        <v>9.253307379E9</v>
      </c>
      <c r="E913" s="1" t="s">
        <v>4784</v>
      </c>
      <c r="F913" s="1"/>
      <c r="G913" s="1" t="s">
        <v>4785</v>
      </c>
      <c r="H913" s="1" t="s">
        <v>989</v>
      </c>
      <c r="I913" s="1">
        <v>94556.0</v>
      </c>
      <c r="J913" s="1" t="s">
        <v>752</v>
      </c>
      <c r="K913" s="1" t="s">
        <v>51</v>
      </c>
      <c r="L913" s="1" t="s">
        <v>3293</v>
      </c>
      <c r="M913" s="1">
        <v>1.0</v>
      </c>
      <c r="N913" s="1" t="s">
        <v>2461</v>
      </c>
      <c r="O913" s="3" t="s">
        <v>4184</v>
      </c>
      <c r="P913" s="18">
        <v>45889.0</v>
      </c>
      <c r="Q913" s="1" t="s">
        <v>2463</v>
      </c>
      <c r="R913" s="1"/>
      <c r="S913" s="1" t="s">
        <v>2461</v>
      </c>
      <c r="T913" s="1" t="s">
        <v>2461</v>
      </c>
      <c r="U913" s="1" t="s">
        <v>1174</v>
      </c>
      <c r="V913" s="4" t="s">
        <v>4184</v>
      </c>
      <c r="W913" s="1"/>
      <c r="X913" s="18">
        <v>45889.0</v>
      </c>
      <c r="Y913" s="1" t="s">
        <v>1030</v>
      </c>
      <c r="Z913" s="1"/>
      <c r="AA913" s="1"/>
      <c r="AB913" s="1" t="s">
        <v>52</v>
      </c>
      <c r="AC913" s="1" t="s">
        <v>1925</v>
      </c>
      <c r="AD913" s="1"/>
      <c r="AE913" s="1" t="s">
        <v>1152</v>
      </c>
      <c r="AF913" s="1"/>
      <c r="AG913" s="1"/>
      <c r="AH913" s="1" t="s">
        <v>1152</v>
      </c>
      <c r="AI913" s="1"/>
      <c r="AJ913" s="1"/>
      <c r="AK913" s="1"/>
      <c r="AL913" s="6" t="str">
        <f t="array" ref="AL913">IFERROR(IFS(XLOOKUP(B913, 'Kit Delivery Status'!$U:$U, 'Kit Delivery Status'!$K:$K) = "Complete", "DELIVERED", XLOOKUP(B913, 'Kit Delivery Status'!$U:$U, 'Kit Delivery Status'!$K:$K) = "Issue", "ISSUE"), "")</f>
        <v/>
      </c>
      <c r="AM913" s="6"/>
    </row>
    <row r="914">
      <c r="A914" s="5" t="s">
        <v>4786</v>
      </c>
      <c r="B914" s="1" t="s">
        <v>4787</v>
      </c>
      <c r="C914" s="1" t="s">
        <v>4788</v>
      </c>
      <c r="D914" s="2">
        <v>5.10292009E9</v>
      </c>
      <c r="E914" s="1" t="s">
        <v>4789</v>
      </c>
      <c r="F914" s="1"/>
      <c r="G914" s="1" t="s">
        <v>2888</v>
      </c>
      <c r="H914" s="1" t="s">
        <v>989</v>
      </c>
      <c r="I914" s="1">
        <v>94707.0</v>
      </c>
      <c r="J914" s="1" t="s">
        <v>752</v>
      </c>
      <c r="K914" s="1" t="s">
        <v>66</v>
      </c>
      <c r="L914" s="1" t="s">
        <v>3321</v>
      </c>
      <c r="M914" s="1">
        <v>210.0</v>
      </c>
      <c r="N914" s="1" t="s">
        <v>1152</v>
      </c>
      <c r="O914" s="3" t="s">
        <v>287</v>
      </c>
      <c r="P914" s="18">
        <v>45883.0</v>
      </c>
      <c r="Q914" s="1" t="s">
        <v>1152</v>
      </c>
      <c r="R914" s="1"/>
      <c r="S914" s="1" t="s">
        <v>1152</v>
      </c>
      <c r="T914" s="1" t="s">
        <v>1152</v>
      </c>
      <c r="U914" s="1" t="s">
        <v>956</v>
      </c>
      <c r="V914" s="4" t="s">
        <v>287</v>
      </c>
      <c r="W914" s="1"/>
      <c r="X914" s="18">
        <v>45883.0</v>
      </c>
      <c r="Y914" s="1"/>
      <c r="Z914" s="1"/>
      <c r="AA914" s="1"/>
      <c r="AB914" s="1"/>
      <c r="AC914" s="1" t="s">
        <v>1925</v>
      </c>
      <c r="AD914" s="1"/>
      <c r="AE914" s="1" t="s">
        <v>1152</v>
      </c>
      <c r="AF914" s="1"/>
      <c r="AG914" s="1"/>
      <c r="AH914" s="1" t="s">
        <v>1152</v>
      </c>
      <c r="AI914" s="1"/>
      <c r="AJ914" s="1"/>
      <c r="AK914" s="1"/>
      <c r="AL914" s="6" t="str">
        <f t="array" ref="AL914">IFERROR(IFS(XLOOKUP(B914, 'Kit Delivery Status'!$U:$U, 'Kit Delivery Status'!$K:$K) = "Complete", "DELIVERED", XLOOKUP(B914, 'Kit Delivery Status'!$U:$U, 'Kit Delivery Status'!$K:$K) = "Issue", "ISSUE"), "")</f>
        <v/>
      </c>
      <c r="AM914" s="6"/>
    </row>
    <row r="915">
      <c r="A915" s="5" t="s">
        <v>4790</v>
      </c>
      <c r="B915" s="1" t="s">
        <v>4791</v>
      </c>
      <c r="C915" s="1" t="s">
        <v>4792</v>
      </c>
      <c r="D915" s="2">
        <v>9.173741988E9</v>
      </c>
      <c r="E915" s="1" t="s">
        <v>4793</v>
      </c>
      <c r="F915" s="1" t="s">
        <v>4794</v>
      </c>
      <c r="G915" s="1" t="s">
        <v>751</v>
      </c>
      <c r="H915" s="1" t="s">
        <v>751</v>
      </c>
      <c r="I915" s="1">
        <v>10128.0</v>
      </c>
      <c r="J915" s="1" t="s">
        <v>752</v>
      </c>
      <c r="K915" s="1" t="s">
        <v>95</v>
      </c>
      <c r="L915" s="1" t="s">
        <v>3327</v>
      </c>
      <c r="M915" s="1">
        <v>49.0</v>
      </c>
      <c r="N915" s="1" t="s">
        <v>2487</v>
      </c>
      <c r="O915" s="3"/>
      <c r="P915" s="18">
        <v>45882.0</v>
      </c>
      <c r="Q915" s="1" t="s">
        <v>2463</v>
      </c>
      <c r="R915" s="1" t="s">
        <v>4794</v>
      </c>
      <c r="S915" s="1" t="s">
        <v>2487</v>
      </c>
      <c r="T915" s="1" t="s">
        <v>2487</v>
      </c>
      <c r="U915" s="1"/>
      <c r="V915" s="4"/>
      <c r="W915" s="1" t="s">
        <v>4794</v>
      </c>
      <c r="X915" s="18">
        <v>45882.0</v>
      </c>
      <c r="Y915" s="1" t="s">
        <v>1030</v>
      </c>
      <c r="Z915" s="1"/>
      <c r="AA915" s="1" t="s">
        <v>4794</v>
      </c>
      <c r="AB915" s="1" t="s">
        <v>124</v>
      </c>
      <c r="AC915" s="1" t="s">
        <v>4795</v>
      </c>
      <c r="AD915" s="1"/>
      <c r="AE915" s="1" t="s">
        <v>1152</v>
      </c>
      <c r="AF915" s="1"/>
      <c r="AG915" s="1"/>
      <c r="AH915" s="1" t="s">
        <v>1152</v>
      </c>
      <c r="AI915" s="1"/>
      <c r="AJ915" s="1"/>
      <c r="AK915" s="1"/>
      <c r="AL915" s="6" t="str">
        <f t="array" ref="AL915">IFERROR(IFS(XLOOKUP(B915, 'Kit Delivery Status'!$U:$U, 'Kit Delivery Status'!$K:$K) = "Complete", "DELIVERED", XLOOKUP(B915, 'Kit Delivery Status'!$U:$U, 'Kit Delivery Status'!$K:$K) = "Issue", "ISSUE"), "")</f>
        <v/>
      </c>
      <c r="AM915" s="6"/>
    </row>
    <row r="916">
      <c r="A916" s="5" t="s">
        <v>4796</v>
      </c>
      <c r="B916" s="1" t="s">
        <v>4797</v>
      </c>
      <c r="C916" s="1" t="s">
        <v>4798</v>
      </c>
      <c r="D916" s="2">
        <v>8.479877699E9</v>
      </c>
      <c r="E916" s="1" t="s">
        <v>4799</v>
      </c>
      <c r="F916" s="1"/>
      <c r="G916" s="1" t="s">
        <v>1634</v>
      </c>
      <c r="H916" s="1" t="s">
        <v>1019</v>
      </c>
      <c r="I916" s="1">
        <v>60015.0</v>
      </c>
      <c r="J916" s="1" t="s">
        <v>752</v>
      </c>
      <c r="K916" s="1" t="s">
        <v>51</v>
      </c>
      <c r="L916" s="1" t="s">
        <v>3293</v>
      </c>
      <c r="M916" s="1">
        <v>1.0</v>
      </c>
      <c r="N916" s="1" t="s">
        <v>2461</v>
      </c>
      <c r="O916" s="3" t="s">
        <v>4800</v>
      </c>
      <c r="P916" s="18">
        <v>45889.0</v>
      </c>
      <c r="Q916" s="1" t="s">
        <v>2463</v>
      </c>
      <c r="R916" s="1"/>
      <c r="S916" s="1" t="s">
        <v>2461</v>
      </c>
      <c r="T916" s="1" t="s">
        <v>2461</v>
      </c>
      <c r="U916" s="1" t="s">
        <v>1201</v>
      </c>
      <c r="V916" s="4" t="s">
        <v>4800</v>
      </c>
      <c r="W916" s="1"/>
      <c r="X916" s="18">
        <v>45889.0</v>
      </c>
      <c r="Y916" s="1" t="s">
        <v>1030</v>
      </c>
      <c r="Z916" s="1"/>
      <c r="AA916" s="1"/>
      <c r="AB916" s="1" t="s">
        <v>52</v>
      </c>
      <c r="AC916" s="1" t="s">
        <v>1925</v>
      </c>
      <c r="AD916" s="1"/>
      <c r="AE916" s="1" t="s">
        <v>1152</v>
      </c>
      <c r="AF916" s="1"/>
      <c r="AG916" s="1"/>
      <c r="AH916" s="1" t="s">
        <v>1152</v>
      </c>
      <c r="AI916" s="1"/>
      <c r="AJ916" s="1"/>
      <c r="AK916" s="1"/>
      <c r="AL916" s="6" t="str">
        <f t="array" ref="AL916">IFERROR(IFS(XLOOKUP(B916, 'Kit Delivery Status'!$U:$U, 'Kit Delivery Status'!$K:$K) = "Complete", "DELIVERED", XLOOKUP(B916, 'Kit Delivery Status'!$U:$U, 'Kit Delivery Status'!$K:$K) = "Issue", "ISSUE"), "")</f>
        <v/>
      </c>
      <c r="AM916" s="6"/>
    </row>
    <row r="917">
      <c r="A917" s="5" t="s">
        <v>4801</v>
      </c>
      <c r="B917" s="1" t="s">
        <v>4802</v>
      </c>
      <c r="C917" s="1" t="s">
        <v>4803</v>
      </c>
      <c r="D917" s="2">
        <v>5.105513843E9</v>
      </c>
      <c r="E917" s="1" t="s">
        <v>4804</v>
      </c>
      <c r="F917" s="1"/>
      <c r="G917" s="1" t="s">
        <v>4805</v>
      </c>
      <c r="H917" s="1" t="s">
        <v>989</v>
      </c>
      <c r="I917" s="1">
        <v>94611.0</v>
      </c>
      <c r="J917" s="1" t="s">
        <v>752</v>
      </c>
      <c r="K917" s="1" t="s">
        <v>66</v>
      </c>
      <c r="L917" s="1" t="s">
        <v>3321</v>
      </c>
      <c r="M917" s="1">
        <v>210.0</v>
      </c>
      <c r="N917" s="1" t="s">
        <v>1152</v>
      </c>
      <c r="O917" s="3" t="s">
        <v>4806</v>
      </c>
      <c r="P917" s="18">
        <v>45887.0</v>
      </c>
      <c r="Q917" s="1" t="s">
        <v>1152</v>
      </c>
      <c r="R917" s="1"/>
      <c r="S917" s="1" t="s">
        <v>1152</v>
      </c>
      <c r="T917" s="1" t="s">
        <v>1152</v>
      </c>
      <c r="U917" s="1" t="s">
        <v>982</v>
      </c>
      <c r="V917" s="4" t="s">
        <v>4806</v>
      </c>
      <c r="W917" s="1"/>
      <c r="X917" s="18">
        <v>45887.0</v>
      </c>
      <c r="Y917" s="1"/>
      <c r="Z917" s="1"/>
      <c r="AA917" s="1"/>
      <c r="AB917" s="1"/>
      <c r="AC917" s="1" t="s">
        <v>1925</v>
      </c>
      <c r="AD917" s="1"/>
      <c r="AE917" s="1" t="s">
        <v>1152</v>
      </c>
      <c r="AF917" s="1"/>
      <c r="AG917" s="1"/>
      <c r="AH917" s="1" t="s">
        <v>1152</v>
      </c>
      <c r="AI917" s="1"/>
      <c r="AJ917" s="1"/>
      <c r="AK917" s="1"/>
      <c r="AL917" s="6" t="str">
        <f t="array" ref="AL917">IFERROR(IFS(XLOOKUP(B917, 'Kit Delivery Status'!$U:$U, 'Kit Delivery Status'!$K:$K) = "Complete", "DELIVERED", XLOOKUP(B917, 'Kit Delivery Status'!$U:$U, 'Kit Delivery Status'!$K:$K) = "Issue", "ISSUE"), "")</f>
        <v/>
      </c>
      <c r="AM917" s="6"/>
    </row>
    <row r="918">
      <c r="A918" s="5" t="s">
        <v>4807</v>
      </c>
      <c r="B918" s="1" t="s">
        <v>4808</v>
      </c>
      <c r="C918" s="1"/>
      <c r="D918" s="2">
        <v>9.495018958E9</v>
      </c>
      <c r="E918" s="1" t="s">
        <v>4809</v>
      </c>
      <c r="F918" s="1"/>
      <c r="G918" s="1" t="s">
        <v>1983</v>
      </c>
      <c r="H918" s="1" t="s">
        <v>989</v>
      </c>
      <c r="I918" s="1">
        <v>92614.0</v>
      </c>
      <c r="J918" s="1" t="s">
        <v>752</v>
      </c>
      <c r="K918" s="1" t="s">
        <v>51</v>
      </c>
      <c r="L918" s="1" t="s">
        <v>3293</v>
      </c>
      <c r="M918" s="1">
        <v>1.0</v>
      </c>
      <c r="N918" s="1" t="s">
        <v>2461</v>
      </c>
      <c r="O918" s="3" t="s">
        <v>4810</v>
      </c>
      <c r="P918" s="18">
        <v>45890.0</v>
      </c>
      <c r="Q918" s="1" t="s">
        <v>2852</v>
      </c>
      <c r="R918" s="1"/>
      <c r="S918" s="1" t="s">
        <v>2461</v>
      </c>
      <c r="T918" s="1" t="s">
        <v>2461</v>
      </c>
      <c r="U918" s="1" t="s">
        <v>1065</v>
      </c>
      <c r="V918" s="4" t="s">
        <v>4810</v>
      </c>
      <c r="W918" s="1"/>
      <c r="X918" s="18">
        <v>45890.0</v>
      </c>
      <c r="Y918" s="1" t="s">
        <v>1440</v>
      </c>
      <c r="Z918" s="1"/>
      <c r="AA918" s="1"/>
      <c r="AB918" s="1" t="s">
        <v>52</v>
      </c>
      <c r="AC918" s="1" t="s">
        <v>1925</v>
      </c>
      <c r="AD918" s="1"/>
      <c r="AE918" s="1" t="s">
        <v>1152</v>
      </c>
      <c r="AF918" s="1"/>
      <c r="AG918" s="1"/>
      <c r="AH918" s="1" t="s">
        <v>1152</v>
      </c>
      <c r="AI918" s="1"/>
      <c r="AJ918" s="1"/>
      <c r="AK918" s="1"/>
      <c r="AL918" s="6" t="str">
        <f t="array" ref="AL918">IFERROR(IFS(XLOOKUP(B918, 'Kit Delivery Status'!$U:$U, 'Kit Delivery Status'!$K:$K) = "Complete", "DELIVERED", XLOOKUP(B918, 'Kit Delivery Status'!$U:$U, 'Kit Delivery Status'!$K:$K) = "Issue", "ISSUE"), "")</f>
        <v/>
      </c>
      <c r="AM918" s="6"/>
    </row>
    <row r="919">
      <c r="A919" s="5" t="s">
        <v>4811</v>
      </c>
      <c r="B919" s="1" t="s">
        <v>4812</v>
      </c>
      <c r="C919" s="1"/>
      <c r="D919" s="2">
        <v>3.10984429E9</v>
      </c>
      <c r="E919" s="1" t="s">
        <v>4813</v>
      </c>
      <c r="F919" s="1"/>
      <c r="G919" s="1" t="s">
        <v>3191</v>
      </c>
      <c r="H919" s="1" t="s">
        <v>989</v>
      </c>
      <c r="I919" s="1">
        <v>90266.0</v>
      </c>
      <c r="J919" s="1" t="s">
        <v>752</v>
      </c>
      <c r="K919" s="1" t="s">
        <v>51</v>
      </c>
      <c r="L919" s="1" t="s">
        <v>3293</v>
      </c>
      <c r="M919" s="1">
        <v>1.0</v>
      </c>
      <c r="N919" s="1" t="s">
        <v>2461</v>
      </c>
      <c r="O919" s="3" t="s">
        <v>4814</v>
      </c>
      <c r="P919" s="18">
        <v>45888.0</v>
      </c>
      <c r="Q919" s="1" t="s">
        <v>3219</v>
      </c>
      <c r="R919" s="1"/>
      <c r="S919" s="1" t="s">
        <v>2461</v>
      </c>
      <c r="T919" s="1" t="s">
        <v>2461</v>
      </c>
      <c r="U919" s="1" t="s">
        <v>948</v>
      </c>
      <c r="V919" s="4" t="s">
        <v>4814</v>
      </c>
      <c r="W919" s="1"/>
      <c r="X919" s="18">
        <v>45888.0</v>
      </c>
      <c r="Y919" s="1" t="s">
        <v>1455</v>
      </c>
      <c r="Z919" s="1"/>
      <c r="AA919" s="1"/>
      <c r="AB919" s="1" t="s">
        <v>52</v>
      </c>
      <c r="AC919" s="1" t="s">
        <v>1925</v>
      </c>
      <c r="AD919" s="1"/>
      <c r="AE919" s="1" t="s">
        <v>1152</v>
      </c>
      <c r="AF919" s="1"/>
      <c r="AG919" s="1"/>
      <c r="AH919" s="1" t="s">
        <v>1152</v>
      </c>
      <c r="AI919" s="1"/>
      <c r="AJ919" s="1"/>
      <c r="AK919" s="1"/>
      <c r="AL919" s="6" t="str">
        <f t="array" ref="AL919">IFERROR(IFS(XLOOKUP(B919, 'Kit Delivery Status'!$U:$U, 'Kit Delivery Status'!$K:$K) = "Complete", "DELIVERED", XLOOKUP(B919, 'Kit Delivery Status'!$U:$U, 'Kit Delivery Status'!$K:$K) = "Issue", "ISSUE"), "")</f>
        <v/>
      </c>
      <c r="AM919" s="6"/>
    </row>
    <row r="920">
      <c r="A920" s="5" t="s">
        <v>4815</v>
      </c>
      <c r="B920" s="1" t="s">
        <v>4816</v>
      </c>
      <c r="C920" s="1" t="s">
        <v>4817</v>
      </c>
      <c r="D920" s="2">
        <v>9.255499908E9</v>
      </c>
      <c r="E920" s="1" t="s">
        <v>4818</v>
      </c>
      <c r="F920" s="1"/>
      <c r="G920" s="1" t="s">
        <v>4819</v>
      </c>
      <c r="H920" s="1" t="s">
        <v>989</v>
      </c>
      <c r="I920" s="1">
        <v>94568.0</v>
      </c>
      <c r="J920" s="1" t="s">
        <v>752</v>
      </c>
      <c r="K920" s="1" t="s">
        <v>51</v>
      </c>
      <c r="L920" s="1" t="s">
        <v>3293</v>
      </c>
      <c r="M920" s="1">
        <v>1.0</v>
      </c>
      <c r="N920" s="1" t="s">
        <v>2461</v>
      </c>
      <c r="O920" s="3" t="s">
        <v>4820</v>
      </c>
      <c r="P920" s="18">
        <v>45890.0</v>
      </c>
      <c r="Q920" s="1" t="s">
        <v>2463</v>
      </c>
      <c r="R920" s="1"/>
      <c r="S920" s="1" t="s">
        <v>2461</v>
      </c>
      <c r="T920" s="1" t="s">
        <v>2461</v>
      </c>
      <c r="U920" s="1" t="s">
        <v>2510</v>
      </c>
      <c r="V920" s="4" t="s">
        <v>4820</v>
      </c>
      <c r="W920" s="1"/>
      <c r="X920" s="18">
        <v>45890.0</v>
      </c>
      <c r="Y920" s="1" t="s">
        <v>1030</v>
      </c>
      <c r="Z920" s="1"/>
      <c r="AA920" s="1"/>
      <c r="AB920" s="1" t="s">
        <v>52</v>
      </c>
      <c r="AC920" s="1" t="s">
        <v>1925</v>
      </c>
      <c r="AD920" s="1"/>
      <c r="AE920" s="1" t="s">
        <v>1152</v>
      </c>
      <c r="AF920" s="1"/>
      <c r="AG920" s="1"/>
      <c r="AH920" s="1" t="s">
        <v>1152</v>
      </c>
      <c r="AI920" s="1"/>
      <c r="AJ920" s="1"/>
      <c r="AK920" s="1"/>
      <c r="AL920" s="6" t="str">
        <f t="array" ref="AL920">IFERROR(IFS(XLOOKUP(B920, 'Kit Delivery Status'!$U:$U, 'Kit Delivery Status'!$K:$K) = "Complete", "DELIVERED", XLOOKUP(B920, 'Kit Delivery Status'!$U:$U, 'Kit Delivery Status'!$K:$K) = "Issue", "ISSUE"), "")</f>
        <v/>
      </c>
      <c r="AM920" s="6"/>
    </row>
    <row r="921">
      <c r="A921" s="5" t="s">
        <v>4821</v>
      </c>
      <c r="B921" s="1" t="s">
        <v>4822</v>
      </c>
      <c r="C921" s="1"/>
      <c r="D921" s="2">
        <v>9.175798799E9</v>
      </c>
      <c r="E921" s="1" t="s">
        <v>4823</v>
      </c>
      <c r="F921" s="1"/>
      <c r="G921" s="1" t="s">
        <v>4824</v>
      </c>
      <c r="H921" s="1" t="s">
        <v>1053</v>
      </c>
      <c r="I921" s="1">
        <v>7627.0</v>
      </c>
      <c r="J921" s="1" t="s">
        <v>752</v>
      </c>
      <c r="K921" s="1" t="s">
        <v>95</v>
      </c>
      <c r="L921" s="1" t="s">
        <v>3327</v>
      </c>
      <c r="M921" s="1">
        <v>49.0</v>
      </c>
      <c r="N921" s="1" t="s">
        <v>2461</v>
      </c>
      <c r="O921" s="3" t="s">
        <v>4825</v>
      </c>
      <c r="P921" s="18">
        <v>45883.0</v>
      </c>
      <c r="Q921" s="1" t="s">
        <v>2463</v>
      </c>
      <c r="R921" s="1"/>
      <c r="S921" s="1" t="s">
        <v>2461</v>
      </c>
      <c r="T921" s="1" t="s">
        <v>2461</v>
      </c>
      <c r="U921" s="1" t="s">
        <v>1794</v>
      </c>
      <c r="V921" s="4" t="s">
        <v>4825</v>
      </c>
      <c r="W921" s="1"/>
      <c r="X921" s="18">
        <v>45883.0</v>
      </c>
      <c r="Y921" s="1" t="s">
        <v>1030</v>
      </c>
      <c r="Z921" s="1"/>
      <c r="AA921" s="1"/>
      <c r="AB921" s="1" t="s">
        <v>52</v>
      </c>
      <c r="AC921" s="1" t="s">
        <v>4826</v>
      </c>
      <c r="AD921" s="1"/>
      <c r="AE921" s="1" t="s">
        <v>1152</v>
      </c>
      <c r="AF921" s="1"/>
      <c r="AG921" s="1"/>
      <c r="AH921" s="1" t="s">
        <v>1152</v>
      </c>
      <c r="AI921" s="1"/>
      <c r="AJ921" s="1"/>
      <c r="AK921" s="1"/>
      <c r="AL921" s="6" t="str">
        <f t="array" ref="AL921">IFERROR(IFS(XLOOKUP(B921, 'Kit Delivery Status'!$U:$U, 'Kit Delivery Status'!$K:$K) = "Complete", "DELIVERED", XLOOKUP(B921, 'Kit Delivery Status'!$U:$U, 'Kit Delivery Status'!$K:$K) = "Issue", "ISSUE"), "")</f>
        <v/>
      </c>
      <c r="AM921" s="6"/>
    </row>
    <row r="922">
      <c r="A922" s="5" t="s">
        <v>4827</v>
      </c>
      <c r="B922" s="1" t="s">
        <v>4828</v>
      </c>
      <c r="C922" s="1" t="s">
        <v>4829</v>
      </c>
      <c r="D922" s="2">
        <v>3.472325667E9</v>
      </c>
      <c r="E922" s="1" t="s">
        <v>4830</v>
      </c>
      <c r="F922" s="1"/>
      <c r="G922" s="1" t="s">
        <v>2428</v>
      </c>
      <c r="H922" s="1" t="s">
        <v>751</v>
      </c>
      <c r="I922" s="1">
        <v>10465.0</v>
      </c>
      <c r="J922" s="1" t="s">
        <v>752</v>
      </c>
      <c r="K922" s="1" t="s">
        <v>51</v>
      </c>
      <c r="L922" s="1" t="s">
        <v>3293</v>
      </c>
      <c r="M922" s="1">
        <v>1.0</v>
      </c>
      <c r="N922" s="1" t="s">
        <v>2461</v>
      </c>
      <c r="O922" s="3" t="s">
        <v>4831</v>
      </c>
      <c r="P922" s="18">
        <v>45889.0</v>
      </c>
      <c r="Q922" s="1" t="s">
        <v>2463</v>
      </c>
      <c r="R922" s="1"/>
      <c r="S922" s="1" t="s">
        <v>2461</v>
      </c>
      <c r="T922" s="1" t="s">
        <v>2461</v>
      </c>
      <c r="U922" s="1" t="s">
        <v>1936</v>
      </c>
      <c r="V922" s="4" t="s">
        <v>4831</v>
      </c>
      <c r="W922" s="1"/>
      <c r="X922" s="18">
        <v>45889.0</v>
      </c>
      <c r="Y922" s="1" t="s">
        <v>1030</v>
      </c>
      <c r="Z922" s="1"/>
      <c r="AA922" s="1"/>
      <c r="AB922" s="1" t="s">
        <v>52</v>
      </c>
      <c r="AC922" s="1" t="s">
        <v>1925</v>
      </c>
      <c r="AD922" s="1"/>
      <c r="AE922" s="1" t="s">
        <v>1152</v>
      </c>
      <c r="AF922" s="1"/>
      <c r="AG922" s="1"/>
      <c r="AH922" s="1" t="s">
        <v>1152</v>
      </c>
      <c r="AI922" s="1"/>
      <c r="AJ922" s="1"/>
      <c r="AK922" s="1"/>
      <c r="AL922" s="6" t="str">
        <f t="array" ref="AL922">IFERROR(IFS(XLOOKUP(B922, 'Kit Delivery Status'!$U:$U, 'Kit Delivery Status'!$K:$K) = "Complete", "DELIVERED", XLOOKUP(B922, 'Kit Delivery Status'!$U:$U, 'Kit Delivery Status'!$K:$K) = "Issue", "ISSUE"), "")</f>
        <v/>
      </c>
      <c r="AM922" s="6"/>
    </row>
    <row r="923">
      <c r="A923" s="5" t="s">
        <v>4832</v>
      </c>
      <c r="B923" s="1" t="s">
        <v>4833</v>
      </c>
      <c r="C923" s="1" t="s">
        <v>4834</v>
      </c>
      <c r="D923" s="2">
        <v>3.142267697E9</v>
      </c>
      <c r="E923" s="1" t="s">
        <v>4835</v>
      </c>
      <c r="F923" s="1"/>
      <c r="G923" s="1" t="s">
        <v>1760</v>
      </c>
      <c r="H923" s="1" t="s">
        <v>1155</v>
      </c>
      <c r="I923" s="1">
        <v>63105.0</v>
      </c>
      <c r="J923" s="1" t="s">
        <v>752</v>
      </c>
      <c r="K923" s="1" t="s">
        <v>51</v>
      </c>
      <c r="L923" s="1" t="s">
        <v>3293</v>
      </c>
      <c r="M923" s="1">
        <v>1.0</v>
      </c>
      <c r="N923" s="1" t="s">
        <v>2461</v>
      </c>
      <c r="O923" s="3" t="s">
        <v>4142</v>
      </c>
      <c r="P923" s="18">
        <v>45890.0</v>
      </c>
      <c r="Q923" s="1" t="s">
        <v>2731</v>
      </c>
      <c r="R923" s="1"/>
      <c r="S923" s="1" t="s">
        <v>2461</v>
      </c>
      <c r="T923" s="1" t="s">
        <v>2461</v>
      </c>
      <c r="U923" s="1" t="s">
        <v>1415</v>
      </c>
      <c r="V923" s="4" t="s">
        <v>4142</v>
      </c>
      <c r="W923" s="1"/>
      <c r="X923" s="18">
        <v>45890.0</v>
      </c>
      <c r="Y923" s="1" t="s">
        <v>1349</v>
      </c>
      <c r="Z923" s="1"/>
      <c r="AA923" s="1"/>
      <c r="AB923" s="1" t="s">
        <v>52</v>
      </c>
      <c r="AC923" s="1" t="s">
        <v>1925</v>
      </c>
      <c r="AD923" s="1"/>
      <c r="AE923" s="1" t="s">
        <v>1152</v>
      </c>
      <c r="AF923" s="1"/>
      <c r="AG923" s="1"/>
      <c r="AH923" s="1" t="s">
        <v>1152</v>
      </c>
      <c r="AI923" s="1"/>
      <c r="AJ923" s="1"/>
      <c r="AK923" s="1"/>
      <c r="AL923" s="6" t="str">
        <f t="array" ref="AL923">IFERROR(IFS(XLOOKUP(B923, 'Kit Delivery Status'!$U:$U, 'Kit Delivery Status'!$K:$K) = "Complete", "DELIVERED", XLOOKUP(B923, 'Kit Delivery Status'!$U:$U, 'Kit Delivery Status'!$K:$K) = "Issue", "ISSUE"), "")</f>
        <v/>
      </c>
      <c r="AM923" s="6"/>
    </row>
    <row r="924">
      <c r="A924" s="5" t="s">
        <v>4836</v>
      </c>
      <c r="B924" s="1" t="s">
        <v>4837</v>
      </c>
      <c r="C924" s="1" t="s">
        <v>4838</v>
      </c>
      <c r="D924" s="2">
        <v>2.014468781E9</v>
      </c>
      <c r="E924" s="1" t="s">
        <v>4839</v>
      </c>
      <c r="F924" s="1"/>
      <c r="G924" s="1" t="s">
        <v>3084</v>
      </c>
      <c r="H924" s="1" t="s">
        <v>1053</v>
      </c>
      <c r="I924" s="1">
        <v>7670.0</v>
      </c>
      <c r="J924" s="1" t="s">
        <v>752</v>
      </c>
      <c r="K924" s="1" t="s">
        <v>95</v>
      </c>
      <c r="L924" s="1" t="s">
        <v>3327</v>
      </c>
      <c r="M924" s="1">
        <v>49.0</v>
      </c>
      <c r="N924" s="1" t="s">
        <v>2461</v>
      </c>
      <c r="O924" s="3" t="s">
        <v>4840</v>
      </c>
      <c r="P924" s="18">
        <v>45883.0</v>
      </c>
      <c r="Q924" s="1" t="s">
        <v>2463</v>
      </c>
      <c r="R924" s="1"/>
      <c r="S924" s="1" t="s">
        <v>2461</v>
      </c>
      <c r="T924" s="1" t="s">
        <v>2461</v>
      </c>
      <c r="U924" s="1" t="s">
        <v>1642</v>
      </c>
      <c r="V924" s="4" t="s">
        <v>4840</v>
      </c>
      <c r="W924" s="1"/>
      <c r="X924" s="18">
        <v>45883.0</v>
      </c>
      <c r="Y924" s="1" t="s">
        <v>1030</v>
      </c>
      <c r="Z924" s="1"/>
      <c r="AA924" s="1"/>
      <c r="AB924" s="1" t="s">
        <v>52</v>
      </c>
      <c r="AC924" s="1" t="s">
        <v>4841</v>
      </c>
      <c r="AD924" s="1"/>
      <c r="AE924" s="1" t="s">
        <v>1152</v>
      </c>
      <c r="AF924" s="1"/>
      <c r="AG924" s="1"/>
      <c r="AH924" s="1" t="s">
        <v>1152</v>
      </c>
      <c r="AI924" s="1"/>
      <c r="AJ924" s="1"/>
      <c r="AK924" s="1"/>
      <c r="AL924" s="6" t="str">
        <f t="array" ref="AL924">IFERROR(IFS(XLOOKUP(B924, 'Kit Delivery Status'!$U:$U, 'Kit Delivery Status'!$K:$K) = "Complete", "DELIVERED", XLOOKUP(B924, 'Kit Delivery Status'!$U:$U, 'Kit Delivery Status'!$K:$K) = "Issue", "ISSUE"), "")</f>
        <v/>
      </c>
      <c r="AM924" s="6"/>
    </row>
    <row r="925">
      <c r="A925" s="5" t="s">
        <v>4842</v>
      </c>
      <c r="B925" s="1" t="s">
        <v>4843</v>
      </c>
      <c r="C925" s="1"/>
      <c r="D925" s="2">
        <v>2.064687924E9</v>
      </c>
      <c r="E925" s="1" t="s">
        <v>4844</v>
      </c>
      <c r="F925" s="1"/>
      <c r="G925" s="1" t="s">
        <v>1848</v>
      </c>
      <c r="H925" s="1" t="s">
        <v>980</v>
      </c>
      <c r="I925" s="1">
        <v>98112.0</v>
      </c>
      <c r="J925" s="1" t="s">
        <v>752</v>
      </c>
      <c r="K925" s="1" t="s">
        <v>66</v>
      </c>
      <c r="L925" s="1" t="s">
        <v>3321</v>
      </c>
      <c r="M925" s="1">
        <v>210.0</v>
      </c>
      <c r="N925" s="1" t="s">
        <v>1152</v>
      </c>
      <c r="O925" s="3" t="s">
        <v>4845</v>
      </c>
      <c r="P925" s="18">
        <v>45883.0</v>
      </c>
      <c r="Q925" s="1" t="s">
        <v>1152</v>
      </c>
      <c r="R925" s="1"/>
      <c r="S925" s="1" t="s">
        <v>1152</v>
      </c>
      <c r="T925" s="1" t="s">
        <v>1152</v>
      </c>
      <c r="U925" s="1" t="s">
        <v>1376</v>
      </c>
      <c r="V925" s="4" t="s">
        <v>4845</v>
      </c>
      <c r="W925" s="1"/>
      <c r="X925" s="18">
        <v>45883.0</v>
      </c>
      <c r="Y925" s="1"/>
      <c r="Z925" s="1"/>
      <c r="AA925" s="1"/>
      <c r="AB925" s="1"/>
      <c r="AC925" s="1" t="s">
        <v>1925</v>
      </c>
      <c r="AD925" s="1"/>
      <c r="AE925" s="1" t="s">
        <v>1152</v>
      </c>
      <c r="AF925" s="1"/>
      <c r="AG925" s="1"/>
      <c r="AH925" s="1" t="s">
        <v>1152</v>
      </c>
      <c r="AI925" s="1"/>
      <c r="AJ925" s="1"/>
      <c r="AK925" s="1"/>
      <c r="AL925" s="6" t="str">
        <f t="array" ref="AL925">IFERROR(IFS(XLOOKUP(B925, 'Kit Delivery Status'!$U:$U, 'Kit Delivery Status'!$K:$K) = "Complete", "DELIVERED", XLOOKUP(B925, 'Kit Delivery Status'!$U:$U, 'Kit Delivery Status'!$K:$K) = "Issue", "ISSUE"), "")</f>
        <v/>
      </c>
      <c r="AM925" s="6"/>
    </row>
    <row r="926">
      <c r="A926" s="5" t="s">
        <v>4846</v>
      </c>
      <c r="B926" s="1" t="s">
        <v>4847</v>
      </c>
      <c r="C926" s="1" t="s">
        <v>4848</v>
      </c>
      <c r="D926" s="2">
        <v>17639101392</v>
      </c>
      <c r="E926" s="1" t="s">
        <v>4849</v>
      </c>
      <c r="F926" s="1"/>
      <c r="G926" s="1" t="s">
        <v>4850</v>
      </c>
      <c r="H926" s="1" t="s">
        <v>2999</v>
      </c>
      <c r="I926" s="1">
        <v>55104.0</v>
      </c>
      <c r="J926" s="1" t="s">
        <v>752</v>
      </c>
      <c r="K926" s="1" t="s">
        <v>66</v>
      </c>
      <c r="L926" s="1" t="s">
        <v>3321</v>
      </c>
      <c r="M926" s="1">
        <v>210.0</v>
      </c>
      <c r="N926" s="1" t="s">
        <v>1152</v>
      </c>
      <c r="O926" s="3" t="s">
        <v>1741</v>
      </c>
      <c r="P926" s="18">
        <v>45883.0</v>
      </c>
      <c r="Q926" s="1" t="s">
        <v>1152</v>
      </c>
      <c r="R926" s="1"/>
      <c r="S926" s="1" t="s">
        <v>1152</v>
      </c>
      <c r="T926" s="1" t="s">
        <v>1152</v>
      </c>
      <c r="U926" s="1" t="s">
        <v>1039</v>
      </c>
      <c r="V926" s="4" t="s">
        <v>1741</v>
      </c>
      <c r="W926" s="1"/>
      <c r="X926" s="18">
        <v>45883.0</v>
      </c>
      <c r="Y926" s="1"/>
      <c r="Z926" s="1"/>
      <c r="AA926" s="1"/>
      <c r="AB926" s="1"/>
      <c r="AC926" s="1" t="s">
        <v>1925</v>
      </c>
      <c r="AD926" s="1"/>
      <c r="AE926" s="1" t="s">
        <v>1152</v>
      </c>
      <c r="AF926" s="1"/>
      <c r="AG926" s="1"/>
      <c r="AH926" s="1" t="s">
        <v>1152</v>
      </c>
      <c r="AI926" s="1"/>
      <c r="AJ926" s="1"/>
      <c r="AK926" s="1"/>
      <c r="AL926" s="6" t="str">
        <f t="array" ref="AL926">IFERROR(IFS(XLOOKUP(B926, 'Kit Delivery Status'!$U:$U, 'Kit Delivery Status'!$K:$K) = "Complete", "DELIVERED", XLOOKUP(B926, 'Kit Delivery Status'!$U:$U, 'Kit Delivery Status'!$K:$K) = "Issue", "ISSUE"), "")</f>
        <v/>
      </c>
      <c r="AM926" s="6"/>
    </row>
    <row r="927">
      <c r="A927" s="5" t="s">
        <v>4851</v>
      </c>
      <c r="B927" s="1" t="s">
        <v>4852</v>
      </c>
      <c r="C927" s="1" t="s">
        <v>4853</v>
      </c>
      <c r="D927" s="2">
        <v>6.174616197E9</v>
      </c>
      <c r="E927" s="1" t="s">
        <v>4854</v>
      </c>
      <c r="F927" s="1"/>
      <c r="G927" s="1" t="s">
        <v>2056</v>
      </c>
      <c r="H927" s="1" t="s">
        <v>1121</v>
      </c>
      <c r="I927" s="1">
        <v>2420.0</v>
      </c>
      <c r="J927" s="1" t="s">
        <v>752</v>
      </c>
      <c r="K927" s="1" t="s">
        <v>51</v>
      </c>
      <c r="L927" s="1" t="s">
        <v>3293</v>
      </c>
      <c r="M927" s="1">
        <v>1.0</v>
      </c>
      <c r="N927" s="1" t="s">
        <v>2461</v>
      </c>
      <c r="O927" s="3" t="s">
        <v>4855</v>
      </c>
      <c r="P927" s="18">
        <v>45888.0</v>
      </c>
      <c r="Q927" s="1" t="s">
        <v>2463</v>
      </c>
      <c r="R927" s="1"/>
      <c r="S927" s="1" t="s">
        <v>2461</v>
      </c>
      <c r="T927" s="1" t="s">
        <v>2461</v>
      </c>
      <c r="U927" s="1" t="s">
        <v>1415</v>
      </c>
      <c r="V927" s="4" t="s">
        <v>4855</v>
      </c>
      <c r="W927" s="1"/>
      <c r="X927" s="18">
        <v>45888.0</v>
      </c>
      <c r="Y927" s="1" t="s">
        <v>1030</v>
      </c>
      <c r="Z927" s="1"/>
      <c r="AA927" s="1"/>
      <c r="AB927" s="1" t="s">
        <v>52</v>
      </c>
      <c r="AC927" s="1" t="s">
        <v>1925</v>
      </c>
      <c r="AD927" s="1"/>
      <c r="AE927" s="1" t="s">
        <v>1152</v>
      </c>
      <c r="AF927" s="1"/>
      <c r="AG927" s="1"/>
      <c r="AH927" s="1" t="s">
        <v>1152</v>
      </c>
      <c r="AI927" s="1"/>
      <c r="AJ927" s="1"/>
      <c r="AK927" s="1"/>
      <c r="AL927" s="6" t="str">
        <f t="array" ref="AL927">IFERROR(IFS(XLOOKUP(B927, 'Kit Delivery Status'!$U:$U, 'Kit Delivery Status'!$K:$K) = "Complete", "DELIVERED", XLOOKUP(B927, 'Kit Delivery Status'!$U:$U, 'Kit Delivery Status'!$K:$K) = "Issue", "ISSUE"), "")</f>
        <v/>
      </c>
      <c r="AM927" s="6"/>
    </row>
    <row r="928">
      <c r="A928" s="5" t="s">
        <v>4856</v>
      </c>
      <c r="B928" s="1" t="s">
        <v>4857</v>
      </c>
      <c r="C928" s="1" t="s">
        <v>4858</v>
      </c>
      <c r="D928" s="2">
        <v>3.14704277E9</v>
      </c>
      <c r="E928" s="1" t="s">
        <v>4859</v>
      </c>
      <c r="F928" s="1"/>
      <c r="G928" s="1" t="s">
        <v>4860</v>
      </c>
      <c r="H928" s="1" t="s">
        <v>1155</v>
      </c>
      <c r="I928" s="1">
        <v>63042.0</v>
      </c>
      <c r="J928" s="1" t="s">
        <v>752</v>
      </c>
      <c r="K928" s="1" t="s">
        <v>66</v>
      </c>
      <c r="L928" s="1" t="s">
        <v>3321</v>
      </c>
      <c r="M928" s="1">
        <v>210.0</v>
      </c>
      <c r="N928" s="1" t="s">
        <v>1152</v>
      </c>
      <c r="O928" s="3" t="s">
        <v>4861</v>
      </c>
      <c r="P928" s="18">
        <v>45883.0</v>
      </c>
      <c r="Q928" s="1" t="s">
        <v>1152</v>
      </c>
      <c r="R928" s="1"/>
      <c r="S928" s="1" t="s">
        <v>1152</v>
      </c>
      <c r="T928" s="1" t="s">
        <v>1152</v>
      </c>
      <c r="U928" s="1" t="s">
        <v>1080</v>
      </c>
      <c r="V928" s="4" t="s">
        <v>4861</v>
      </c>
      <c r="W928" s="1"/>
      <c r="X928" s="18">
        <v>45883.0</v>
      </c>
      <c r="Y928" s="1"/>
      <c r="Z928" s="1"/>
      <c r="AA928" s="1"/>
      <c r="AB928" s="1"/>
      <c r="AC928" s="1" t="s">
        <v>1925</v>
      </c>
      <c r="AD928" s="1"/>
      <c r="AE928" s="1" t="s">
        <v>1152</v>
      </c>
      <c r="AF928" s="1"/>
      <c r="AG928" s="1"/>
      <c r="AH928" s="1" t="s">
        <v>1152</v>
      </c>
      <c r="AI928" s="1"/>
      <c r="AJ928" s="1"/>
      <c r="AK928" s="1"/>
      <c r="AL928" s="6" t="str">
        <f t="array" ref="AL928">IFERROR(IFS(XLOOKUP(B928, 'Kit Delivery Status'!$U:$U, 'Kit Delivery Status'!$K:$K) = "Complete", "DELIVERED", XLOOKUP(B928, 'Kit Delivery Status'!$U:$U, 'Kit Delivery Status'!$K:$K) = "Issue", "ISSUE"), "")</f>
        <v/>
      </c>
      <c r="AM928" s="6"/>
    </row>
    <row r="929">
      <c r="A929" s="5" t="s">
        <v>4862</v>
      </c>
      <c r="B929" s="1" t="s">
        <v>4863</v>
      </c>
      <c r="C929" s="1" t="s">
        <v>4864</v>
      </c>
      <c r="D929" s="2">
        <v>9.178474451E9</v>
      </c>
      <c r="E929" s="1" t="s">
        <v>4865</v>
      </c>
      <c r="F929" s="1"/>
      <c r="G929" s="1" t="s">
        <v>2428</v>
      </c>
      <c r="H929" s="1" t="s">
        <v>751</v>
      </c>
      <c r="I929" s="1">
        <v>10471.0</v>
      </c>
      <c r="J929" s="1" t="s">
        <v>752</v>
      </c>
      <c r="K929" s="1" t="s">
        <v>51</v>
      </c>
      <c r="L929" s="1" t="s">
        <v>3293</v>
      </c>
      <c r="M929" s="1">
        <v>1.0</v>
      </c>
      <c r="N929" s="1" t="s">
        <v>2461</v>
      </c>
      <c r="O929" s="3" t="s">
        <v>4866</v>
      </c>
      <c r="P929" s="18">
        <v>45889.0</v>
      </c>
      <c r="Q929" s="1" t="s">
        <v>2731</v>
      </c>
      <c r="R929" s="1"/>
      <c r="S929" s="1" t="s">
        <v>2461</v>
      </c>
      <c r="T929" s="1" t="s">
        <v>2461</v>
      </c>
      <c r="U929" s="1" t="s">
        <v>1065</v>
      </c>
      <c r="V929" s="4" t="s">
        <v>4866</v>
      </c>
      <c r="W929" s="1"/>
      <c r="X929" s="18">
        <v>45889.0</v>
      </c>
      <c r="Y929" s="1" t="s">
        <v>1349</v>
      </c>
      <c r="Z929" s="1"/>
      <c r="AA929" s="1"/>
      <c r="AB929" s="1" t="s">
        <v>52</v>
      </c>
      <c r="AC929" s="1" t="s">
        <v>1925</v>
      </c>
      <c r="AD929" s="1"/>
      <c r="AE929" s="1" t="s">
        <v>1152</v>
      </c>
      <c r="AF929" s="1"/>
      <c r="AG929" s="1"/>
      <c r="AH929" s="1" t="s">
        <v>1152</v>
      </c>
      <c r="AI929" s="1"/>
      <c r="AJ929" s="1"/>
      <c r="AK929" s="1"/>
      <c r="AL929" s="6" t="str">
        <f t="array" ref="AL929">IFERROR(IFS(XLOOKUP(B929, 'Kit Delivery Status'!$U:$U, 'Kit Delivery Status'!$K:$K) = "Complete", "DELIVERED", XLOOKUP(B929, 'Kit Delivery Status'!$U:$U, 'Kit Delivery Status'!$K:$K) = "Issue", "ISSUE"), "")</f>
        <v/>
      </c>
      <c r="AM929" s="6"/>
    </row>
    <row r="930">
      <c r="A930" s="5" t="s">
        <v>4867</v>
      </c>
      <c r="B930" s="1" t="s">
        <v>4868</v>
      </c>
      <c r="C930" s="1" t="s">
        <v>4869</v>
      </c>
      <c r="D930" s="2">
        <v>4.154125651E9</v>
      </c>
      <c r="E930" s="1" t="s">
        <v>4870</v>
      </c>
      <c r="F930" s="1"/>
      <c r="G930" s="1" t="s">
        <v>1562</v>
      </c>
      <c r="H930" s="1" t="s">
        <v>989</v>
      </c>
      <c r="I930" s="1">
        <v>94112.0</v>
      </c>
      <c r="J930" s="1" t="s">
        <v>752</v>
      </c>
      <c r="K930" s="1" t="s">
        <v>51</v>
      </c>
      <c r="L930" s="1" t="s">
        <v>3293</v>
      </c>
      <c r="M930" s="1">
        <v>1.0</v>
      </c>
      <c r="N930" s="1" t="s">
        <v>2461</v>
      </c>
      <c r="O930" s="3" t="s">
        <v>4871</v>
      </c>
      <c r="P930" s="18">
        <v>45892.0</v>
      </c>
      <c r="Q930" s="1" t="s">
        <v>2463</v>
      </c>
      <c r="R930" s="1"/>
      <c r="S930" s="1" t="s">
        <v>2461</v>
      </c>
      <c r="T930" s="1" t="s">
        <v>2461</v>
      </c>
      <c r="U930" s="1" t="s">
        <v>1642</v>
      </c>
      <c r="V930" s="4" t="s">
        <v>4871</v>
      </c>
      <c r="W930" s="1"/>
      <c r="X930" s="18">
        <v>45892.0</v>
      </c>
      <c r="Y930" s="1" t="s">
        <v>1030</v>
      </c>
      <c r="Z930" s="1"/>
      <c r="AA930" s="1"/>
      <c r="AB930" s="1" t="s">
        <v>52</v>
      </c>
      <c r="AC930" s="1" t="s">
        <v>1925</v>
      </c>
      <c r="AD930" s="1"/>
      <c r="AE930" s="1" t="s">
        <v>1152</v>
      </c>
      <c r="AF930" s="1"/>
      <c r="AG930" s="1"/>
      <c r="AH930" s="1" t="s">
        <v>1152</v>
      </c>
      <c r="AI930" s="1"/>
      <c r="AJ930" s="1"/>
      <c r="AK930" s="1"/>
      <c r="AL930" s="6" t="str">
        <f t="array" ref="AL930">IFERROR(IFS(XLOOKUP(B930, 'Kit Delivery Status'!$U:$U, 'Kit Delivery Status'!$K:$K) = "Complete", "DELIVERED", XLOOKUP(B930, 'Kit Delivery Status'!$U:$U, 'Kit Delivery Status'!$K:$K) = "Issue", "ISSUE"), "")</f>
        <v/>
      </c>
      <c r="AM930" s="6"/>
    </row>
    <row r="931">
      <c r="A931" s="5" t="s">
        <v>4872</v>
      </c>
      <c r="B931" s="1" t="s">
        <v>4873</v>
      </c>
      <c r="C931" s="1" t="s">
        <v>3280</v>
      </c>
      <c r="D931" s="2">
        <v>5.028885987E9</v>
      </c>
      <c r="E931" s="1" t="s">
        <v>3281</v>
      </c>
      <c r="F931" s="1"/>
      <c r="G931" s="1" t="s">
        <v>3282</v>
      </c>
      <c r="H931" s="1" t="s">
        <v>3283</v>
      </c>
      <c r="I931" s="1">
        <v>40205.0</v>
      </c>
      <c r="J931" s="1" t="s">
        <v>752</v>
      </c>
      <c r="K931" s="1" t="s">
        <v>66</v>
      </c>
      <c r="L931" s="1" t="s">
        <v>3364</v>
      </c>
      <c r="M931" s="1">
        <v>115.0</v>
      </c>
      <c r="N931" s="1" t="s">
        <v>1152</v>
      </c>
      <c r="O931" s="3" t="s">
        <v>2981</v>
      </c>
      <c r="P931" s="18">
        <v>45883.0</v>
      </c>
      <c r="Q931" s="1" t="s">
        <v>1152</v>
      </c>
      <c r="R931" s="1"/>
      <c r="S931" s="1" t="s">
        <v>1152</v>
      </c>
      <c r="T931" s="1" t="s">
        <v>1152</v>
      </c>
      <c r="U931" s="1" t="s">
        <v>1407</v>
      </c>
      <c r="V931" s="4" t="s">
        <v>2981</v>
      </c>
      <c r="W931" s="1"/>
      <c r="X931" s="18">
        <v>45883.0</v>
      </c>
      <c r="Y931" s="1"/>
      <c r="Z931" s="1"/>
      <c r="AA931" s="1"/>
      <c r="AB931" s="1"/>
      <c r="AC931" s="1" t="s">
        <v>1925</v>
      </c>
      <c r="AD931" s="1"/>
      <c r="AE931" s="1" t="s">
        <v>1152</v>
      </c>
      <c r="AF931" s="1"/>
      <c r="AG931" s="1"/>
      <c r="AH931" s="1" t="s">
        <v>1152</v>
      </c>
      <c r="AI931" s="1"/>
      <c r="AJ931" s="1"/>
      <c r="AK931" s="1"/>
      <c r="AL931" s="6" t="str">
        <f t="array" ref="AL931">IFERROR(IFS(XLOOKUP(B931, 'Kit Delivery Status'!$U:$U, 'Kit Delivery Status'!$K:$K) = "Complete", "DELIVERED", XLOOKUP(B931, 'Kit Delivery Status'!$U:$U, 'Kit Delivery Status'!$K:$K) = "Issue", "ISSUE"), "")</f>
        <v/>
      </c>
      <c r="AM931" s="6"/>
    </row>
    <row r="932">
      <c r="A932" s="5" t="s">
        <v>4874</v>
      </c>
      <c r="B932" s="1" t="s">
        <v>4875</v>
      </c>
      <c r="C932" s="1" t="s">
        <v>4876</v>
      </c>
      <c r="D932" s="2">
        <v>3.14437011E9</v>
      </c>
      <c r="E932" s="1" t="s">
        <v>4877</v>
      </c>
      <c r="F932" s="1"/>
      <c r="G932" s="1" t="s">
        <v>1283</v>
      </c>
      <c r="H932" s="1" t="s">
        <v>1155</v>
      </c>
      <c r="I932" s="1">
        <v>63130.0</v>
      </c>
      <c r="J932" s="1" t="s">
        <v>752</v>
      </c>
      <c r="K932" s="1" t="s">
        <v>51</v>
      </c>
      <c r="L932" s="1" t="s">
        <v>3293</v>
      </c>
      <c r="M932" s="1">
        <v>1.0</v>
      </c>
      <c r="N932" s="1" t="s">
        <v>2461</v>
      </c>
      <c r="O932" s="3" t="s">
        <v>4878</v>
      </c>
      <c r="P932" s="18">
        <v>45890.0</v>
      </c>
      <c r="Q932" s="1" t="s">
        <v>2463</v>
      </c>
      <c r="R932" s="1"/>
      <c r="S932" s="1" t="s">
        <v>2461</v>
      </c>
      <c r="T932" s="1" t="s">
        <v>2461</v>
      </c>
      <c r="U932" s="1" t="s">
        <v>4879</v>
      </c>
      <c r="V932" s="4" t="s">
        <v>4878</v>
      </c>
      <c r="W932" s="1"/>
      <c r="X932" s="18">
        <v>45890.0</v>
      </c>
      <c r="Y932" s="1" t="s">
        <v>1030</v>
      </c>
      <c r="Z932" s="1"/>
      <c r="AA932" s="1"/>
      <c r="AB932" s="1" t="s">
        <v>52</v>
      </c>
      <c r="AC932" s="1" t="s">
        <v>1925</v>
      </c>
      <c r="AD932" s="1"/>
      <c r="AE932" s="1" t="s">
        <v>1152</v>
      </c>
      <c r="AF932" s="1"/>
      <c r="AG932" s="1"/>
      <c r="AH932" s="1" t="s">
        <v>1152</v>
      </c>
      <c r="AI932" s="1"/>
      <c r="AJ932" s="1"/>
      <c r="AK932" s="1"/>
      <c r="AL932" s="6" t="str">
        <f t="array" ref="AL932">IFERROR(IFS(XLOOKUP(B932, 'Kit Delivery Status'!$U:$U, 'Kit Delivery Status'!$K:$K) = "Complete", "DELIVERED", XLOOKUP(B932, 'Kit Delivery Status'!$U:$U, 'Kit Delivery Status'!$K:$K) = "Issue", "ISSUE"), "")</f>
        <v/>
      </c>
      <c r="AM932" s="6"/>
    </row>
    <row r="933">
      <c r="A933" s="5" t="s">
        <v>4880</v>
      </c>
      <c r="B933" s="1" t="s">
        <v>4881</v>
      </c>
      <c r="C933" s="1" t="s">
        <v>4882</v>
      </c>
      <c r="D933" s="2">
        <v>4.752434614E9</v>
      </c>
      <c r="E933" s="1" t="s">
        <v>4883</v>
      </c>
      <c r="F933" s="1"/>
      <c r="G933" s="1" t="s">
        <v>1283</v>
      </c>
      <c r="H933" s="1" t="s">
        <v>1155</v>
      </c>
      <c r="I933" s="1">
        <v>63105.0</v>
      </c>
      <c r="J933" s="1" t="s">
        <v>752</v>
      </c>
      <c r="K933" s="1" t="s">
        <v>51</v>
      </c>
      <c r="L933" s="1" t="s">
        <v>3293</v>
      </c>
      <c r="M933" s="1">
        <v>1.0</v>
      </c>
      <c r="N933" s="1" t="s">
        <v>2461</v>
      </c>
      <c r="O933" s="3" t="s">
        <v>1029</v>
      </c>
      <c r="P933" s="18">
        <v>45890.0</v>
      </c>
      <c r="Q933" s="1" t="s">
        <v>3185</v>
      </c>
      <c r="R933" s="1"/>
      <c r="S933" s="1" t="s">
        <v>2461</v>
      </c>
      <c r="T933" s="1" t="s">
        <v>2461</v>
      </c>
      <c r="U933" s="1" t="s">
        <v>1699</v>
      </c>
      <c r="V933" s="4" t="s">
        <v>1029</v>
      </c>
      <c r="W933" s="1"/>
      <c r="X933" s="18">
        <v>45890.0</v>
      </c>
      <c r="Y933" s="1" t="s">
        <v>3186</v>
      </c>
      <c r="Z933" s="1"/>
      <c r="AA933" s="1"/>
      <c r="AB933" s="1" t="s">
        <v>52</v>
      </c>
      <c r="AC933" s="1" t="s">
        <v>1925</v>
      </c>
      <c r="AD933" s="1"/>
      <c r="AE933" s="1" t="s">
        <v>1152</v>
      </c>
      <c r="AF933" s="1"/>
      <c r="AG933" s="1"/>
      <c r="AH933" s="1" t="s">
        <v>1152</v>
      </c>
      <c r="AI933" s="1"/>
      <c r="AJ933" s="1"/>
      <c r="AK933" s="1"/>
      <c r="AL933" s="6" t="str">
        <f t="array" ref="AL933">IFERROR(IFS(XLOOKUP(B933, 'Kit Delivery Status'!$U:$U, 'Kit Delivery Status'!$K:$K) = "Complete", "DELIVERED", XLOOKUP(B933, 'Kit Delivery Status'!$U:$U, 'Kit Delivery Status'!$K:$K) = "Issue", "ISSUE"), "")</f>
        <v/>
      </c>
      <c r="AM933" s="6"/>
    </row>
    <row r="934">
      <c r="A934" s="5" t="s">
        <v>4884</v>
      </c>
      <c r="B934" s="1" t="s">
        <v>4885</v>
      </c>
      <c r="C934" s="1" t="s">
        <v>4886</v>
      </c>
      <c r="D934" s="2">
        <v>3.147285646E9</v>
      </c>
      <c r="E934" s="1" t="s">
        <v>4887</v>
      </c>
      <c r="F934" s="1"/>
      <c r="G934" s="1" t="s">
        <v>2857</v>
      </c>
      <c r="H934" s="1" t="s">
        <v>1155</v>
      </c>
      <c r="I934" s="1">
        <v>65105.0</v>
      </c>
      <c r="J934" s="1" t="s">
        <v>752</v>
      </c>
      <c r="K934" s="1" t="s">
        <v>51</v>
      </c>
      <c r="L934" s="1" t="s">
        <v>3293</v>
      </c>
      <c r="M934" s="1">
        <v>1.0</v>
      </c>
      <c r="N934" s="1" t="s">
        <v>2461</v>
      </c>
      <c r="O934" s="3" t="s">
        <v>4888</v>
      </c>
      <c r="P934" s="18">
        <v>45890.0</v>
      </c>
      <c r="Q934" s="1" t="s">
        <v>2502</v>
      </c>
      <c r="R934" s="1"/>
      <c r="S934" s="1" t="s">
        <v>2461</v>
      </c>
      <c r="T934" s="1" t="s">
        <v>2461</v>
      </c>
      <c r="U934" s="1" t="s">
        <v>1441</v>
      </c>
      <c r="V934" s="4" t="s">
        <v>4888</v>
      </c>
      <c r="W934" s="1"/>
      <c r="X934" s="18">
        <v>45890.0</v>
      </c>
      <c r="Y934" s="1" t="s">
        <v>1630</v>
      </c>
      <c r="Z934" s="1"/>
      <c r="AA934" s="1"/>
      <c r="AB934" s="1" t="s">
        <v>52</v>
      </c>
      <c r="AC934" s="1" t="s">
        <v>1925</v>
      </c>
      <c r="AD934" s="1"/>
      <c r="AE934" s="1" t="s">
        <v>1152</v>
      </c>
      <c r="AF934" s="1"/>
      <c r="AG934" s="1"/>
      <c r="AH934" s="1" t="s">
        <v>1152</v>
      </c>
      <c r="AI934" s="1"/>
      <c r="AJ934" s="1"/>
      <c r="AK934" s="1"/>
      <c r="AL934" s="6" t="str">
        <f t="array" ref="AL934">IFERROR(IFS(XLOOKUP(B934, 'Kit Delivery Status'!$U:$U, 'Kit Delivery Status'!$K:$K) = "Complete", "DELIVERED", XLOOKUP(B934, 'Kit Delivery Status'!$U:$U, 'Kit Delivery Status'!$K:$K) = "Issue", "ISSUE"), "")</f>
        <v/>
      </c>
      <c r="AM934" s="6"/>
    </row>
    <row r="935">
      <c r="A935" s="5" t="s">
        <v>4889</v>
      </c>
      <c r="B935" s="1" t="s">
        <v>4890</v>
      </c>
      <c r="C935" s="1" t="s">
        <v>4891</v>
      </c>
      <c r="D935" s="2">
        <v>9.143302573E9</v>
      </c>
      <c r="E935" s="1" t="s">
        <v>3515</v>
      </c>
      <c r="F935" s="1"/>
      <c r="G935" s="1" t="s">
        <v>1382</v>
      </c>
      <c r="H935" s="1" t="s">
        <v>751</v>
      </c>
      <c r="I935" s="1">
        <v>10583.0</v>
      </c>
      <c r="J935" s="1" t="s">
        <v>752</v>
      </c>
      <c r="K935" s="1" t="s">
        <v>66</v>
      </c>
      <c r="L935" s="1" t="s">
        <v>3885</v>
      </c>
      <c r="M935" s="1">
        <v>180.0</v>
      </c>
      <c r="N935" s="1" t="s">
        <v>1152</v>
      </c>
      <c r="O935" s="3" t="s">
        <v>3477</v>
      </c>
      <c r="P935" s="18">
        <v>45883.0</v>
      </c>
      <c r="Q935" s="1" t="s">
        <v>1152</v>
      </c>
      <c r="R935" s="1"/>
      <c r="S935" s="1" t="s">
        <v>1152</v>
      </c>
      <c r="T935" s="1" t="s">
        <v>1152</v>
      </c>
      <c r="U935" s="1" t="s">
        <v>1812</v>
      </c>
      <c r="V935" s="4" t="s">
        <v>3477</v>
      </c>
      <c r="W935" s="1"/>
      <c r="X935" s="18">
        <v>45883.0</v>
      </c>
      <c r="Y935" s="1"/>
      <c r="Z935" s="1"/>
      <c r="AA935" s="1"/>
      <c r="AB935" s="1"/>
      <c r="AC935" s="1" t="s">
        <v>1925</v>
      </c>
      <c r="AD935" s="1"/>
      <c r="AE935" s="1" t="s">
        <v>1152</v>
      </c>
      <c r="AF935" s="1"/>
      <c r="AG935" s="1"/>
      <c r="AH935" s="1" t="s">
        <v>1152</v>
      </c>
      <c r="AI935" s="1"/>
      <c r="AJ935" s="1"/>
      <c r="AK935" s="1"/>
      <c r="AL935" s="6" t="str">
        <f t="array" ref="AL935">IFERROR(IFS(XLOOKUP(B935, 'Kit Delivery Status'!$U:$U, 'Kit Delivery Status'!$K:$K) = "Complete", "DELIVERED", XLOOKUP(B935, 'Kit Delivery Status'!$U:$U, 'Kit Delivery Status'!$K:$K) = "Issue", "ISSUE"), "")</f>
        <v/>
      </c>
      <c r="AM935" s="6"/>
    </row>
    <row r="936">
      <c r="A936" s="5" t="s">
        <v>4892</v>
      </c>
      <c r="B936" s="1" t="s">
        <v>4893</v>
      </c>
      <c r="C936" s="1" t="s">
        <v>4894</v>
      </c>
      <c r="D936" s="2">
        <v>3.144371708E9</v>
      </c>
      <c r="E936" s="1" t="s">
        <v>2006</v>
      </c>
      <c r="F936" s="1"/>
      <c r="G936" s="1" t="s">
        <v>1283</v>
      </c>
      <c r="H936" s="1" t="s">
        <v>1155</v>
      </c>
      <c r="I936" s="1">
        <v>63130.0</v>
      </c>
      <c r="J936" s="1" t="s">
        <v>752</v>
      </c>
      <c r="K936" s="1" t="s">
        <v>51</v>
      </c>
      <c r="L936" s="1" t="s">
        <v>3293</v>
      </c>
      <c r="M936" s="1">
        <v>1.0</v>
      </c>
      <c r="N936" s="1" t="s">
        <v>2461</v>
      </c>
      <c r="O936" s="3" t="s">
        <v>4895</v>
      </c>
      <c r="P936" s="18">
        <v>45891.0</v>
      </c>
      <c r="Q936" s="1" t="s">
        <v>2502</v>
      </c>
      <c r="R936" s="1"/>
      <c r="S936" s="1" t="s">
        <v>2461</v>
      </c>
      <c r="T936" s="1" t="s">
        <v>2461</v>
      </c>
      <c r="U936" s="1" t="s">
        <v>1021</v>
      </c>
      <c r="V936" s="4" t="s">
        <v>4895</v>
      </c>
      <c r="W936" s="1"/>
      <c r="X936" s="18">
        <v>45891.0</v>
      </c>
      <c r="Y936" s="1" t="s">
        <v>1630</v>
      </c>
      <c r="Z936" s="1"/>
      <c r="AA936" s="1"/>
      <c r="AB936" s="1" t="s">
        <v>52</v>
      </c>
      <c r="AC936" s="1" t="s">
        <v>1925</v>
      </c>
      <c r="AD936" s="1"/>
      <c r="AE936" s="1" t="s">
        <v>1152</v>
      </c>
      <c r="AF936" s="1"/>
      <c r="AG936" s="1"/>
      <c r="AH936" s="1" t="s">
        <v>1152</v>
      </c>
      <c r="AI936" s="1"/>
      <c r="AJ936" s="1"/>
      <c r="AK936" s="1"/>
      <c r="AL936" s="6" t="str">
        <f t="array" ref="AL936">IFERROR(IFS(XLOOKUP(B936, 'Kit Delivery Status'!$U:$U, 'Kit Delivery Status'!$K:$K) = "Complete", "DELIVERED", XLOOKUP(B936, 'Kit Delivery Status'!$U:$U, 'Kit Delivery Status'!$K:$K) = "Issue", "ISSUE"), "")</f>
        <v/>
      </c>
      <c r="AM936" s="6"/>
    </row>
    <row r="937">
      <c r="A937" s="5" t="s">
        <v>4896</v>
      </c>
      <c r="B937" s="1" t="s">
        <v>4897</v>
      </c>
      <c r="C937" s="1"/>
      <c r="D937" s="2">
        <v>1.9178549554E10</v>
      </c>
      <c r="E937" s="1" t="s">
        <v>3443</v>
      </c>
      <c r="F937" s="1"/>
      <c r="G937" s="1" t="s">
        <v>751</v>
      </c>
      <c r="H937" s="1" t="s">
        <v>751</v>
      </c>
      <c r="I937" s="1">
        <v>10023.0</v>
      </c>
      <c r="J937" s="1" t="s">
        <v>752</v>
      </c>
      <c r="K937" s="1" t="s">
        <v>66</v>
      </c>
      <c r="L937" s="1" t="s">
        <v>3364</v>
      </c>
      <c r="M937" s="1">
        <v>115.0</v>
      </c>
      <c r="N937" s="1" t="s">
        <v>1152</v>
      </c>
      <c r="O937" s="3" t="s">
        <v>591</v>
      </c>
      <c r="P937" s="18">
        <v>45883.0</v>
      </c>
      <c r="Q937" s="1" t="s">
        <v>1152</v>
      </c>
      <c r="R937" s="1"/>
      <c r="S937" s="1" t="s">
        <v>1152</v>
      </c>
      <c r="T937" s="1" t="s">
        <v>1152</v>
      </c>
      <c r="U937" s="1" t="s">
        <v>1749</v>
      </c>
      <c r="V937" s="4" t="s">
        <v>591</v>
      </c>
      <c r="W937" s="1"/>
      <c r="X937" s="18">
        <v>45883.0</v>
      </c>
      <c r="Y937" s="1"/>
      <c r="Z937" s="1"/>
      <c r="AA937" s="1"/>
      <c r="AB937" s="1"/>
      <c r="AC937" s="1" t="s">
        <v>1925</v>
      </c>
      <c r="AD937" s="1"/>
      <c r="AE937" s="1" t="s">
        <v>1152</v>
      </c>
      <c r="AF937" s="1"/>
      <c r="AG937" s="1"/>
      <c r="AH937" s="1" t="s">
        <v>1152</v>
      </c>
      <c r="AI937" s="1"/>
      <c r="AJ937" s="1"/>
      <c r="AK937" s="1"/>
      <c r="AL937" s="6" t="str">
        <f t="array" ref="AL937">IFERROR(IFS(XLOOKUP(B937, 'Kit Delivery Status'!$U:$U, 'Kit Delivery Status'!$K:$K) = "Complete", "DELIVERED", XLOOKUP(B937, 'Kit Delivery Status'!$U:$U, 'Kit Delivery Status'!$K:$K) = "Issue", "ISSUE"), "")</f>
        <v/>
      </c>
      <c r="AM937" s="6"/>
    </row>
    <row r="938">
      <c r="A938" s="5" t="s">
        <v>4898</v>
      </c>
      <c r="B938" s="1" t="s">
        <v>4899</v>
      </c>
      <c r="C938" s="1" t="s">
        <v>4900</v>
      </c>
      <c r="D938" s="2">
        <v>5.055701162E9</v>
      </c>
      <c r="E938" s="1" t="s">
        <v>4901</v>
      </c>
      <c r="F938" s="1"/>
      <c r="G938" s="1" t="s">
        <v>4902</v>
      </c>
      <c r="H938" s="1" t="s">
        <v>1028</v>
      </c>
      <c r="I938" s="1">
        <v>87507.0</v>
      </c>
      <c r="J938" s="1" t="s">
        <v>752</v>
      </c>
      <c r="K938" s="1" t="s">
        <v>66</v>
      </c>
      <c r="L938" s="1" t="s">
        <v>3321</v>
      </c>
      <c r="M938" s="1">
        <v>210.0</v>
      </c>
      <c r="N938" s="1" t="s">
        <v>1152</v>
      </c>
      <c r="O938" s="3" t="s">
        <v>2622</v>
      </c>
      <c r="P938" s="18">
        <v>45883.0</v>
      </c>
      <c r="Q938" s="1" t="s">
        <v>1152</v>
      </c>
      <c r="R938" s="1"/>
      <c r="S938" s="1" t="s">
        <v>1152</v>
      </c>
      <c r="T938" s="1" t="s">
        <v>1152</v>
      </c>
      <c r="U938" s="1" t="s">
        <v>1080</v>
      </c>
      <c r="V938" s="4" t="s">
        <v>2622</v>
      </c>
      <c r="W938" s="1"/>
      <c r="X938" s="18">
        <v>45883.0</v>
      </c>
      <c r="Y938" s="1"/>
      <c r="Z938" s="1"/>
      <c r="AA938" s="1"/>
      <c r="AB938" s="1"/>
      <c r="AC938" s="1" t="s">
        <v>1925</v>
      </c>
      <c r="AD938" s="1"/>
      <c r="AE938" s="1" t="s">
        <v>1152</v>
      </c>
      <c r="AF938" s="1"/>
      <c r="AG938" s="1"/>
      <c r="AH938" s="1" t="s">
        <v>1152</v>
      </c>
      <c r="AI938" s="1"/>
      <c r="AJ938" s="1"/>
      <c r="AK938" s="1"/>
      <c r="AL938" s="6" t="str">
        <f t="array" ref="AL938">IFERROR(IFS(XLOOKUP(B938, 'Kit Delivery Status'!$U:$U, 'Kit Delivery Status'!$K:$K) = "Complete", "DELIVERED", XLOOKUP(B938, 'Kit Delivery Status'!$U:$U, 'Kit Delivery Status'!$K:$K) = "Issue", "ISSUE"), "")</f>
        <v/>
      </c>
      <c r="AM938" s="6"/>
    </row>
    <row r="939">
      <c r="A939" s="5" t="s">
        <v>4903</v>
      </c>
      <c r="B939" s="1" t="s">
        <v>4904</v>
      </c>
      <c r="C939" s="1" t="s">
        <v>4905</v>
      </c>
      <c r="D939" s="2">
        <v>8.312503665E9</v>
      </c>
      <c r="E939" s="1" t="s">
        <v>4906</v>
      </c>
      <c r="F939" s="1"/>
      <c r="G939" s="1" t="s">
        <v>4907</v>
      </c>
      <c r="H939" s="1" t="s">
        <v>989</v>
      </c>
      <c r="I939" s="1">
        <v>93923.0</v>
      </c>
      <c r="J939" s="1" t="s">
        <v>752</v>
      </c>
      <c r="K939" s="1" t="s">
        <v>51</v>
      </c>
      <c r="L939" s="1" t="s">
        <v>3293</v>
      </c>
      <c r="M939" s="1">
        <v>1.0</v>
      </c>
      <c r="N939" s="1" t="s">
        <v>2461</v>
      </c>
      <c r="O939" s="3" t="s">
        <v>4908</v>
      </c>
      <c r="P939" s="18">
        <v>45888.0</v>
      </c>
      <c r="Q939" s="1" t="s">
        <v>2463</v>
      </c>
      <c r="R939" s="1"/>
      <c r="S939" s="1" t="s">
        <v>2461</v>
      </c>
      <c r="T939" s="1" t="s">
        <v>2461</v>
      </c>
      <c r="U939" s="1" t="s">
        <v>1055</v>
      </c>
      <c r="V939" s="4" t="s">
        <v>4908</v>
      </c>
      <c r="W939" s="1"/>
      <c r="X939" s="18">
        <v>45888.0</v>
      </c>
      <c r="Y939" s="1" t="s">
        <v>1030</v>
      </c>
      <c r="Z939" s="1"/>
      <c r="AA939" s="1"/>
      <c r="AB939" s="1" t="s">
        <v>52</v>
      </c>
      <c r="AC939" s="1" t="s">
        <v>1925</v>
      </c>
      <c r="AD939" s="1"/>
      <c r="AE939" s="1" t="s">
        <v>1152</v>
      </c>
      <c r="AF939" s="1"/>
      <c r="AG939" s="1"/>
      <c r="AH939" s="1" t="s">
        <v>1152</v>
      </c>
      <c r="AI939" s="1"/>
      <c r="AJ939" s="1"/>
      <c r="AK939" s="1"/>
      <c r="AL939" s="6" t="str">
        <f t="array" ref="AL939">IFERROR(IFS(XLOOKUP(B939, 'Kit Delivery Status'!$U:$U, 'Kit Delivery Status'!$K:$K) = "Complete", "DELIVERED", XLOOKUP(B939, 'Kit Delivery Status'!$U:$U, 'Kit Delivery Status'!$K:$K) = "Issue", "ISSUE"), "")</f>
        <v/>
      </c>
      <c r="AM939" s="6"/>
    </row>
    <row r="940">
      <c r="A940" s="5" t="s">
        <v>4909</v>
      </c>
      <c r="B940" s="1" t="s">
        <v>4910</v>
      </c>
      <c r="C940" s="1" t="s">
        <v>4470</v>
      </c>
      <c r="D940" s="2">
        <v>9.142681108E9</v>
      </c>
      <c r="E940" s="1" t="s">
        <v>4471</v>
      </c>
      <c r="F940" s="1"/>
      <c r="G940" s="1" t="s">
        <v>4472</v>
      </c>
      <c r="H940" s="1" t="s">
        <v>1053</v>
      </c>
      <c r="I940" s="1">
        <v>7506.0</v>
      </c>
      <c r="J940" s="1" t="s">
        <v>752</v>
      </c>
      <c r="K940" s="1" t="s">
        <v>51</v>
      </c>
      <c r="L940" s="1" t="s">
        <v>3293</v>
      </c>
      <c r="M940" s="1">
        <v>1.0</v>
      </c>
      <c r="N940" s="1" t="s">
        <v>2461</v>
      </c>
      <c r="O940" s="3" t="s">
        <v>4310</v>
      </c>
      <c r="P940" s="18">
        <v>45887.0</v>
      </c>
      <c r="Q940" s="1" t="s">
        <v>2463</v>
      </c>
      <c r="R940" s="1"/>
      <c r="S940" s="1" t="s">
        <v>2461</v>
      </c>
      <c r="T940" s="1" t="s">
        <v>2461</v>
      </c>
      <c r="U940" s="1" t="s">
        <v>1812</v>
      </c>
      <c r="V940" s="4" t="s">
        <v>4310</v>
      </c>
      <c r="W940" s="1"/>
      <c r="X940" s="18">
        <v>45887.0</v>
      </c>
      <c r="Y940" s="1" t="s">
        <v>1030</v>
      </c>
      <c r="Z940" s="1"/>
      <c r="AA940" s="1"/>
      <c r="AB940" s="1" t="s">
        <v>52</v>
      </c>
      <c r="AC940" s="1" t="s">
        <v>1925</v>
      </c>
      <c r="AD940" s="1"/>
      <c r="AE940" s="1" t="s">
        <v>1152</v>
      </c>
      <c r="AF940" s="1"/>
      <c r="AG940" s="1"/>
      <c r="AH940" s="1" t="s">
        <v>1152</v>
      </c>
      <c r="AI940" s="1"/>
      <c r="AJ940" s="1"/>
      <c r="AK940" s="1"/>
      <c r="AL940" s="6" t="str">
        <f t="array" ref="AL940">IFERROR(IFS(XLOOKUP(B940, 'Kit Delivery Status'!$U:$U, 'Kit Delivery Status'!$K:$K) = "Complete", "DELIVERED", XLOOKUP(B940, 'Kit Delivery Status'!$U:$U, 'Kit Delivery Status'!$K:$K) = "Issue", "ISSUE"), "")</f>
        <v/>
      </c>
      <c r="AM940" s="6"/>
    </row>
    <row r="941">
      <c r="A941" s="5" t="s">
        <v>4911</v>
      </c>
      <c r="B941" s="1" t="s">
        <v>4912</v>
      </c>
      <c r="C941" s="1"/>
      <c r="D941" s="2">
        <v>5.12608888E9</v>
      </c>
      <c r="E941" s="1" t="s">
        <v>4913</v>
      </c>
      <c r="F941" s="1"/>
      <c r="G941" s="1" t="s">
        <v>1582</v>
      </c>
      <c r="H941" s="1" t="s">
        <v>1583</v>
      </c>
      <c r="I941" s="1">
        <v>78730.0</v>
      </c>
      <c r="J941" s="1" t="s">
        <v>752</v>
      </c>
      <c r="K941" s="1" t="s">
        <v>95</v>
      </c>
      <c r="L941" s="1" t="s">
        <v>3327</v>
      </c>
      <c r="M941" s="1">
        <v>49.0</v>
      </c>
      <c r="N941" s="1" t="s">
        <v>2461</v>
      </c>
      <c r="O941" s="3" t="s">
        <v>353</v>
      </c>
      <c r="P941" s="18">
        <v>45883.0</v>
      </c>
      <c r="Q941" s="1" t="s">
        <v>2463</v>
      </c>
      <c r="R941" s="1"/>
      <c r="S941" s="1" t="s">
        <v>2461</v>
      </c>
      <c r="T941" s="1" t="s">
        <v>2461</v>
      </c>
      <c r="U941" s="1" t="s">
        <v>1039</v>
      </c>
      <c r="V941" s="4" t="s">
        <v>353</v>
      </c>
      <c r="W941" s="1"/>
      <c r="X941" s="18">
        <v>45883.0</v>
      </c>
      <c r="Y941" s="1" t="s">
        <v>1030</v>
      </c>
      <c r="Z941" s="1"/>
      <c r="AA941" s="1"/>
      <c r="AB941" s="1" t="s">
        <v>52</v>
      </c>
      <c r="AC941" s="1" t="s">
        <v>4914</v>
      </c>
      <c r="AD941" s="1"/>
      <c r="AE941" s="1" t="s">
        <v>1152</v>
      </c>
      <c r="AF941" s="1"/>
      <c r="AG941" s="1"/>
      <c r="AH941" s="1" t="s">
        <v>1152</v>
      </c>
      <c r="AI941" s="1"/>
      <c r="AJ941" s="1"/>
      <c r="AK941" s="1"/>
      <c r="AL941" s="6" t="str">
        <f t="array" ref="AL941">IFERROR(IFS(XLOOKUP(B941, 'Kit Delivery Status'!$U:$U, 'Kit Delivery Status'!$K:$K) = "Complete", "DELIVERED", XLOOKUP(B941, 'Kit Delivery Status'!$U:$U, 'Kit Delivery Status'!$K:$K) = "Issue", "ISSUE"), "")</f>
        <v/>
      </c>
      <c r="AM941" s="6"/>
    </row>
    <row r="942">
      <c r="A942" s="5" t="s">
        <v>4915</v>
      </c>
      <c r="B942" s="1" t="s">
        <v>4916</v>
      </c>
      <c r="C942" s="1" t="s">
        <v>4917</v>
      </c>
      <c r="D942" s="2">
        <v>9.176983349E9</v>
      </c>
      <c r="E942" s="1" t="s">
        <v>4918</v>
      </c>
      <c r="F942" s="1"/>
      <c r="G942" s="1" t="s">
        <v>751</v>
      </c>
      <c r="H942" s="1" t="s">
        <v>751</v>
      </c>
      <c r="I942" s="1">
        <v>10065.0</v>
      </c>
      <c r="J942" s="1" t="s">
        <v>752</v>
      </c>
      <c r="K942" s="1" t="s">
        <v>51</v>
      </c>
      <c r="L942" s="1" t="s">
        <v>3293</v>
      </c>
      <c r="M942" s="1">
        <v>1.0</v>
      </c>
      <c r="N942" s="1" t="s">
        <v>2461</v>
      </c>
      <c r="O942" s="3" t="s">
        <v>4919</v>
      </c>
      <c r="P942" s="18">
        <v>45891.0</v>
      </c>
      <c r="Q942" s="1" t="s">
        <v>2463</v>
      </c>
      <c r="R942" s="1"/>
      <c r="S942" s="1" t="s">
        <v>2461</v>
      </c>
      <c r="T942" s="1" t="s">
        <v>2461</v>
      </c>
      <c r="U942" s="1" t="s">
        <v>1710</v>
      </c>
      <c r="V942" s="4" t="s">
        <v>4919</v>
      </c>
      <c r="W942" s="1"/>
      <c r="X942" s="18">
        <v>45891.0</v>
      </c>
      <c r="Y942" s="1" t="s">
        <v>1030</v>
      </c>
      <c r="Z942" s="1"/>
      <c r="AA942" s="1"/>
      <c r="AB942" s="1" t="s">
        <v>52</v>
      </c>
      <c r="AC942" s="1" t="s">
        <v>1925</v>
      </c>
      <c r="AD942" s="1"/>
      <c r="AE942" s="1" t="s">
        <v>1152</v>
      </c>
      <c r="AF942" s="1"/>
      <c r="AG942" s="1"/>
      <c r="AH942" s="1" t="s">
        <v>1152</v>
      </c>
      <c r="AI942" s="1"/>
      <c r="AJ942" s="1"/>
      <c r="AK942" s="1"/>
      <c r="AL942" s="6" t="str">
        <f t="array" ref="AL942">IFERROR(IFS(XLOOKUP(B942, 'Kit Delivery Status'!$U:$U, 'Kit Delivery Status'!$K:$K) = "Complete", "DELIVERED", XLOOKUP(B942, 'Kit Delivery Status'!$U:$U, 'Kit Delivery Status'!$K:$K) = "Issue", "ISSUE"), "")</f>
        <v/>
      </c>
      <c r="AM942" s="6"/>
    </row>
    <row r="943">
      <c r="A943" s="5" t="s">
        <v>4920</v>
      </c>
      <c r="B943" s="1" t="s">
        <v>4921</v>
      </c>
      <c r="C943" s="1" t="s">
        <v>4922</v>
      </c>
      <c r="D943" s="2">
        <v>6.26864493E9</v>
      </c>
      <c r="E943" s="1" t="s">
        <v>4923</v>
      </c>
      <c r="F943" s="1"/>
      <c r="G943" s="1" t="s">
        <v>4924</v>
      </c>
      <c r="H943" s="1" t="s">
        <v>989</v>
      </c>
      <c r="I943" s="1">
        <v>90005.0</v>
      </c>
      <c r="J943" s="1" t="s">
        <v>752</v>
      </c>
      <c r="K943" s="1" t="s">
        <v>95</v>
      </c>
      <c r="L943" s="1" t="s">
        <v>3327</v>
      </c>
      <c r="M943" s="1">
        <v>49.0</v>
      </c>
      <c r="N943" s="1" t="s">
        <v>2461</v>
      </c>
      <c r="O943" s="3" t="s">
        <v>2327</v>
      </c>
      <c r="P943" s="18">
        <v>45883.0</v>
      </c>
      <c r="Q943" s="1" t="s">
        <v>2463</v>
      </c>
      <c r="R943" s="1"/>
      <c r="S943" s="1" t="s">
        <v>2461</v>
      </c>
      <c r="T943" s="1" t="s">
        <v>2461</v>
      </c>
      <c r="U943" s="1" t="s">
        <v>1133</v>
      </c>
      <c r="V943" s="4" t="s">
        <v>2327</v>
      </c>
      <c r="W943" s="1"/>
      <c r="X943" s="18">
        <v>45883.0</v>
      </c>
      <c r="Y943" s="1" t="s">
        <v>1030</v>
      </c>
      <c r="Z943" s="1"/>
      <c r="AA943" s="1"/>
      <c r="AB943" s="1" t="s">
        <v>52</v>
      </c>
      <c r="AC943" s="1" t="s">
        <v>4925</v>
      </c>
      <c r="AD943" s="1"/>
      <c r="AE943" s="1" t="s">
        <v>1152</v>
      </c>
      <c r="AF943" s="1"/>
      <c r="AG943" s="1"/>
      <c r="AH943" s="1" t="s">
        <v>1152</v>
      </c>
      <c r="AI943" s="1"/>
      <c r="AJ943" s="1"/>
      <c r="AK943" s="1"/>
      <c r="AL943" s="6" t="str">
        <f t="array" ref="AL943">IFERROR(IFS(XLOOKUP(B943, 'Kit Delivery Status'!$U:$U, 'Kit Delivery Status'!$K:$K) = "Complete", "DELIVERED", XLOOKUP(B943, 'Kit Delivery Status'!$U:$U, 'Kit Delivery Status'!$K:$K) = "Issue", "ISSUE"), "")</f>
        <v/>
      </c>
      <c r="AM943" s="6"/>
    </row>
    <row r="944">
      <c r="A944" s="5" t="s">
        <v>4926</v>
      </c>
      <c r="B944" s="1" t="s">
        <v>4927</v>
      </c>
      <c r="C944" s="1" t="s">
        <v>4928</v>
      </c>
      <c r="D944" s="2">
        <v>2.673031086E9</v>
      </c>
      <c r="E944" s="1" t="s">
        <v>4929</v>
      </c>
      <c r="F944" s="1"/>
      <c r="G944" s="1" t="s">
        <v>4930</v>
      </c>
      <c r="H944" s="1" t="s">
        <v>1233</v>
      </c>
      <c r="I944" s="1">
        <v>18940.0</v>
      </c>
      <c r="J944" s="1" t="s">
        <v>752</v>
      </c>
      <c r="K944" s="1" t="s">
        <v>95</v>
      </c>
      <c r="L944" s="1" t="s">
        <v>3327</v>
      </c>
      <c r="M944" s="1">
        <v>49.0</v>
      </c>
      <c r="N944" s="1" t="s">
        <v>2461</v>
      </c>
      <c r="O944" s="3" t="s">
        <v>4931</v>
      </c>
      <c r="P944" s="18">
        <v>45883.0</v>
      </c>
      <c r="Q944" s="1" t="s">
        <v>2463</v>
      </c>
      <c r="R944" s="1"/>
      <c r="S944" s="1" t="s">
        <v>2461</v>
      </c>
      <c r="T944" s="1" t="s">
        <v>2461</v>
      </c>
      <c r="U944" s="1" t="s">
        <v>1080</v>
      </c>
      <c r="V944" s="4" t="s">
        <v>4931</v>
      </c>
      <c r="W944" s="1"/>
      <c r="X944" s="18">
        <v>45883.0</v>
      </c>
      <c r="Y944" s="1" t="s">
        <v>1030</v>
      </c>
      <c r="Z944" s="1"/>
      <c r="AA944" s="1"/>
      <c r="AB944" s="1" t="s">
        <v>52</v>
      </c>
      <c r="AC944" s="1" t="s">
        <v>4932</v>
      </c>
      <c r="AD944" s="1"/>
      <c r="AE944" s="1" t="s">
        <v>1152</v>
      </c>
      <c r="AF944" s="1"/>
      <c r="AG944" s="1"/>
      <c r="AH944" s="1" t="s">
        <v>1152</v>
      </c>
      <c r="AI944" s="1"/>
      <c r="AJ944" s="1"/>
      <c r="AK944" s="1"/>
      <c r="AL944" s="6" t="str">
        <f t="array" ref="AL944">IFERROR(IFS(XLOOKUP(B944, 'Kit Delivery Status'!$U:$U, 'Kit Delivery Status'!$K:$K) = "Complete", "DELIVERED", XLOOKUP(B944, 'Kit Delivery Status'!$U:$U, 'Kit Delivery Status'!$K:$K) = "Issue", "ISSUE"), "")</f>
        <v/>
      </c>
      <c r="AM944" s="6"/>
    </row>
    <row r="945">
      <c r="A945" s="5" t="s">
        <v>4933</v>
      </c>
      <c r="B945" s="1" t="s">
        <v>4934</v>
      </c>
      <c r="C945" s="1" t="s">
        <v>4935</v>
      </c>
      <c r="D945" s="2">
        <v>9.175722613E9</v>
      </c>
      <c r="E945" s="1" t="s">
        <v>4936</v>
      </c>
      <c r="F945" s="1"/>
      <c r="G945" s="1" t="s">
        <v>751</v>
      </c>
      <c r="H945" s="1" t="s">
        <v>751</v>
      </c>
      <c r="I945" s="1">
        <v>10075.0</v>
      </c>
      <c r="J945" s="1" t="s">
        <v>752</v>
      </c>
      <c r="K945" s="1" t="s">
        <v>95</v>
      </c>
      <c r="L945" s="1" t="s">
        <v>3327</v>
      </c>
      <c r="M945" s="1">
        <v>49.0</v>
      </c>
      <c r="N945" s="1" t="s">
        <v>2461</v>
      </c>
      <c r="O945" s="3" t="s">
        <v>4937</v>
      </c>
      <c r="P945" s="18">
        <v>45883.0</v>
      </c>
      <c r="Q945" s="1" t="s">
        <v>2463</v>
      </c>
      <c r="R945" s="1"/>
      <c r="S945" s="1" t="s">
        <v>2461</v>
      </c>
      <c r="T945" s="1" t="s">
        <v>2461</v>
      </c>
      <c r="U945" s="1" t="s">
        <v>1487</v>
      </c>
      <c r="V945" s="4" t="s">
        <v>4937</v>
      </c>
      <c r="W945" s="1"/>
      <c r="X945" s="18">
        <v>45883.0</v>
      </c>
      <c r="Y945" s="1" t="s">
        <v>1030</v>
      </c>
      <c r="Z945" s="1"/>
      <c r="AA945" s="1"/>
      <c r="AB945" s="1" t="s">
        <v>52</v>
      </c>
      <c r="AC945" s="1" t="s">
        <v>4938</v>
      </c>
      <c r="AD945" s="1"/>
      <c r="AE945" s="1" t="s">
        <v>1152</v>
      </c>
      <c r="AF945" s="1"/>
      <c r="AG945" s="1"/>
      <c r="AH945" s="1" t="s">
        <v>1152</v>
      </c>
      <c r="AI945" s="1"/>
      <c r="AJ945" s="1"/>
      <c r="AK945" s="1"/>
      <c r="AL945" s="6" t="str">
        <f t="array" ref="AL945">IFERROR(IFS(XLOOKUP(B945, 'Kit Delivery Status'!$U:$U, 'Kit Delivery Status'!$K:$K) = "Complete", "DELIVERED", XLOOKUP(B945, 'Kit Delivery Status'!$U:$U, 'Kit Delivery Status'!$K:$K) = "Issue", "ISSUE"), "")</f>
        <v/>
      </c>
      <c r="AM945" s="6"/>
    </row>
    <row r="946">
      <c r="A946" s="5" t="s">
        <v>4939</v>
      </c>
      <c r="B946" s="1" t="s">
        <v>4940</v>
      </c>
      <c r="C946" s="1" t="s">
        <v>3169</v>
      </c>
      <c r="D946" s="2">
        <v>7.812344527E9</v>
      </c>
      <c r="E946" s="1" t="s">
        <v>4941</v>
      </c>
      <c r="F946" s="1"/>
      <c r="G946" s="1" t="s">
        <v>1354</v>
      </c>
      <c r="H946" s="1" t="s">
        <v>1121</v>
      </c>
      <c r="I946" s="1">
        <v>2467.0</v>
      </c>
      <c r="J946" s="1" t="s">
        <v>752</v>
      </c>
      <c r="K946" s="1" t="s">
        <v>66</v>
      </c>
      <c r="L946" s="1" t="s">
        <v>3321</v>
      </c>
      <c r="M946" s="1">
        <v>210.0</v>
      </c>
      <c r="N946" s="1" t="s">
        <v>1152</v>
      </c>
      <c r="O946" s="3" t="s">
        <v>3172</v>
      </c>
      <c r="P946" s="18">
        <v>45883.0</v>
      </c>
      <c r="Q946" s="1" t="s">
        <v>1152</v>
      </c>
      <c r="R946" s="1"/>
      <c r="S946" s="1" t="s">
        <v>1152</v>
      </c>
      <c r="T946" s="1" t="s">
        <v>1152</v>
      </c>
      <c r="U946" s="1" t="s">
        <v>1277</v>
      </c>
      <c r="V946" s="4" t="s">
        <v>3172</v>
      </c>
      <c r="W946" s="1"/>
      <c r="X946" s="18">
        <v>45883.0</v>
      </c>
      <c r="Y946" s="1"/>
      <c r="Z946" s="1"/>
      <c r="AA946" s="1"/>
      <c r="AB946" s="1"/>
      <c r="AC946" s="1" t="s">
        <v>1925</v>
      </c>
      <c r="AD946" s="1"/>
      <c r="AE946" s="1" t="s">
        <v>1152</v>
      </c>
      <c r="AF946" s="1"/>
      <c r="AG946" s="1"/>
      <c r="AH946" s="1" t="s">
        <v>1152</v>
      </c>
      <c r="AI946" s="1"/>
      <c r="AJ946" s="1"/>
      <c r="AK946" s="1"/>
      <c r="AL946" s="6" t="str">
        <f t="array" ref="AL946">IFERROR(IFS(XLOOKUP(B946, 'Kit Delivery Status'!$U:$U, 'Kit Delivery Status'!$K:$K) = "Complete", "DELIVERED", XLOOKUP(B946, 'Kit Delivery Status'!$U:$U, 'Kit Delivery Status'!$K:$K) = "Issue", "ISSUE"), "")</f>
        <v/>
      </c>
      <c r="AM946" s="6"/>
    </row>
    <row r="947">
      <c r="A947" s="5" t="s">
        <v>4942</v>
      </c>
      <c r="B947" s="1" t="s">
        <v>4943</v>
      </c>
      <c r="C947" s="1"/>
      <c r="D947" s="2">
        <v>3.107538846E9</v>
      </c>
      <c r="E947" s="1" t="s">
        <v>3935</v>
      </c>
      <c r="F947" s="1"/>
      <c r="G947" s="1" t="s">
        <v>3936</v>
      </c>
      <c r="H947" s="1" t="s">
        <v>1155</v>
      </c>
      <c r="I947" s="1">
        <v>63131.0</v>
      </c>
      <c r="J947" s="1" t="s">
        <v>752</v>
      </c>
      <c r="K947" s="1" t="s">
        <v>2577</v>
      </c>
      <c r="L947" s="1" t="s">
        <v>4944</v>
      </c>
      <c r="M947" s="1">
        <v>1.0</v>
      </c>
      <c r="N947" s="1" t="s">
        <v>2579</v>
      </c>
      <c r="O947" s="3" t="s">
        <v>4597</v>
      </c>
      <c r="P947" s="18">
        <v>45877.0</v>
      </c>
      <c r="Q947" s="1" t="s">
        <v>2502</v>
      </c>
      <c r="R947" s="1"/>
      <c r="S947" s="1" t="s">
        <v>2579</v>
      </c>
      <c r="T947" s="1" t="s">
        <v>2579</v>
      </c>
      <c r="U947" s="1" t="s">
        <v>1710</v>
      </c>
      <c r="V947" s="4" t="s">
        <v>4597</v>
      </c>
      <c r="W947" s="1"/>
      <c r="X947" s="18">
        <v>45877.0</v>
      </c>
      <c r="Y947" s="1" t="s">
        <v>2502</v>
      </c>
      <c r="Z947" s="1"/>
      <c r="AA947" s="1"/>
      <c r="AB947" s="1"/>
      <c r="AC947" s="1" t="s">
        <v>1925</v>
      </c>
      <c r="AD947" s="1"/>
      <c r="AE947" s="1" t="s">
        <v>1152</v>
      </c>
      <c r="AF947" s="1"/>
      <c r="AG947" s="1"/>
      <c r="AH947" s="1" t="s">
        <v>1152</v>
      </c>
      <c r="AI947" s="1" t="s">
        <v>4945</v>
      </c>
      <c r="AJ947" s="1"/>
      <c r="AK947" s="1"/>
      <c r="AL947" s="6" t="str">
        <f t="array" ref="AL947">IFERROR(IFS(XLOOKUP(B947, 'Kit Delivery Status'!$U:$U, 'Kit Delivery Status'!$K:$K) = "Complete", "DELIVERED", XLOOKUP(B947, 'Kit Delivery Status'!$U:$U, 'Kit Delivery Status'!$K:$K) = "Issue", "ISSUE"), "")</f>
        <v/>
      </c>
      <c r="AM947" s="6"/>
    </row>
    <row r="948">
      <c r="A948" s="5" t="s">
        <v>4946</v>
      </c>
      <c r="B948" s="1" t="s">
        <v>4947</v>
      </c>
      <c r="C948" s="1" t="s">
        <v>4629</v>
      </c>
      <c r="D948" s="2">
        <v>2.135980311E9</v>
      </c>
      <c r="E948" s="1" t="s">
        <v>4630</v>
      </c>
      <c r="F948" s="1"/>
      <c r="G948" s="1" t="s">
        <v>4631</v>
      </c>
      <c r="H948" s="1" t="s">
        <v>1053</v>
      </c>
      <c r="I948" s="1">
        <v>7024.0</v>
      </c>
      <c r="J948" s="1" t="s">
        <v>752</v>
      </c>
      <c r="K948" s="1" t="s">
        <v>66</v>
      </c>
      <c r="L948" s="1" t="s">
        <v>3350</v>
      </c>
      <c r="M948" s="1">
        <v>145.0</v>
      </c>
      <c r="N948" s="1" t="s">
        <v>1152</v>
      </c>
      <c r="O948" s="3" t="s">
        <v>4948</v>
      </c>
      <c r="P948" s="18">
        <v>45883.0</v>
      </c>
      <c r="Q948" s="1" t="s">
        <v>1152</v>
      </c>
      <c r="R948" s="1"/>
      <c r="S948" s="1" t="s">
        <v>1152</v>
      </c>
      <c r="T948" s="1" t="s">
        <v>1152</v>
      </c>
      <c r="U948" s="1" t="s">
        <v>1642</v>
      </c>
      <c r="V948" s="4" t="s">
        <v>4948</v>
      </c>
      <c r="W948" s="1"/>
      <c r="X948" s="18">
        <v>45883.0</v>
      </c>
      <c r="Y948" s="1"/>
      <c r="Z948" s="1"/>
      <c r="AA948" s="1"/>
      <c r="AB948" s="1"/>
      <c r="AC948" s="1" t="s">
        <v>1925</v>
      </c>
      <c r="AD948" s="1"/>
      <c r="AE948" s="1" t="s">
        <v>1152</v>
      </c>
      <c r="AF948" s="1"/>
      <c r="AG948" s="1"/>
      <c r="AH948" s="1" t="s">
        <v>1152</v>
      </c>
      <c r="AI948" s="1"/>
      <c r="AJ948" s="1"/>
      <c r="AK948" s="1"/>
      <c r="AL948" s="6" t="str">
        <f t="array" ref="AL948">IFERROR(IFS(XLOOKUP(B948, 'Kit Delivery Status'!$U:$U, 'Kit Delivery Status'!$K:$K) = "Complete", "DELIVERED", XLOOKUP(B948, 'Kit Delivery Status'!$U:$U, 'Kit Delivery Status'!$K:$K) = "Issue", "ISSUE"), "")</f>
        <v/>
      </c>
      <c r="AM948" s="6"/>
    </row>
    <row r="949">
      <c r="A949" s="5" t="s">
        <v>4949</v>
      </c>
      <c r="B949" s="1" t="s">
        <v>4950</v>
      </c>
      <c r="C949" s="1" t="s">
        <v>4951</v>
      </c>
      <c r="D949" s="2">
        <v>5.04301644E9</v>
      </c>
      <c r="E949" s="1" t="s">
        <v>4952</v>
      </c>
      <c r="F949" s="1"/>
      <c r="G949" s="1" t="s">
        <v>4953</v>
      </c>
      <c r="H949" s="1" t="s">
        <v>1583</v>
      </c>
      <c r="I949" s="1">
        <v>77584.0</v>
      </c>
      <c r="J949" s="1" t="s">
        <v>752</v>
      </c>
      <c r="K949" s="1" t="s">
        <v>51</v>
      </c>
      <c r="L949" s="1" t="s">
        <v>3293</v>
      </c>
      <c r="M949" s="1">
        <v>1.0</v>
      </c>
      <c r="N949" s="1" t="s">
        <v>2461</v>
      </c>
      <c r="O949" s="3" t="s">
        <v>4954</v>
      </c>
      <c r="P949" s="18">
        <v>45888.0</v>
      </c>
      <c r="Q949" s="1" t="s">
        <v>2463</v>
      </c>
      <c r="R949" s="1"/>
      <c r="S949" s="1" t="s">
        <v>2461</v>
      </c>
      <c r="T949" s="1" t="s">
        <v>2461</v>
      </c>
      <c r="U949" s="1" t="s">
        <v>2940</v>
      </c>
      <c r="V949" s="4" t="s">
        <v>4954</v>
      </c>
      <c r="W949" s="1"/>
      <c r="X949" s="18">
        <v>45888.0</v>
      </c>
      <c r="Y949" s="1" t="s">
        <v>1030</v>
      </c>
      <c r="Z949" s="1"/>
      <c r="AA949" s="1"/>
      <c r="AB949" s="1" t="s">
        <v>52</v>
      </c>
      <c r="AC949" s="1" t="s">
        <v>1925</v>
      </c>
      <c r="AD949" s="1"/>
      <c r="AE949" s="1" t="s">
        <v>1152</v>
      </c>
      <c r="AF949" s="1"/>
      <c r="AG949" s="1"/>
      <c r="AH949" s="1" t="s">
        <v>1152</v>
      </c>
      <c r="AI949" s="1"/>
      <c r="AJ949" s="1"/>
      <c r="AK949" s="1"/>
      <c r="AL949" s="6" t="str">
        <f t="array" ref="AL949">IFERROR(IFS(XLOOKUP(B949, 'Kit Delivery Status'!$U:$U, 'Kit Delivery Status'!$K:$K) = "Complete", "DELIVERED", XLOOKUP(B949, 'Kit Delivery Status'!$U:$U, 'Kit Delivery Status'!$K:$K) = "Issue", "ISSUE"), "")</f>
        <v/>
      </c>
      <c r="AM949" s="6"/>
    </row>
    <row r="950">
      <c r="A950" s="5" t="s">
        <v>4955</v>
      </c>
      <c r="B950" s="1" t="s">
        <v>4956</v>
      </c>
      <c r="C950" s="1"/>
      <c r="D950" s="2">
        <v>3.14435656E9</v>
      </c>
      <c r="E950" s="1" t="s">
        <v>4957</v>
      </c>
      <c r="F950" s="1"/>
      <c r="G950" s="1" t="s">
        <v>2350</v>
      </c>
      <c r="H950" s="1" t="s">
        <v>1155</v>
      </c>
      <c r="I950" s="1">
        <v>63110.0</v>
      </c>
      <c r="J950" s="1" t="s">
        <v>752</v>
      </c>
      <c r="K950" s="1" t="s">
        <v>66</v>
      </c>
      <c r="L950" s="1" t="s">
        <v>3321</v>
      </c>
      <c r="M950" s="1">
        <v>210.0</v>
      </c>
      <c r="N950" s="1" t="s">
        <v>1152</v>
      </c>
      <c r="O950" s="3" t="s">
        <v>4958</v>
      </c>
      <c r="P950" s="18">
        <v>45891.0</v>
      </c>
      <c r="Q950" s="1" t="s">
        <v>1152</v>
      </c>
      <c r="R950" s="1"/>
      <c r="S950" s="1" t="s">
        <v>1152</v>
      </c>
      <c r="T950" s="1" t="s">
        <v>1152</v>
      </c>
      <c r="U950" s="1" t="s">
        <v>4959</v>
      </c>
      <c r="V950" s="4" t="s">
        <v>4958</v>
      </c>
      <c r="W950" s="1"/>
      <c r="X950" s="18">
        <v>45891.0</v>
      </c>
      <c r="Y950" s="1"/>
      <c r="Z950" s="1"/>
      <c r="AA950" s="1"/>
      <c r="AB950" s="1"/>
      <c r="AC950" s="1" t="s">
        <v>1925</v>
      </c>
      <c r="AD950" s="1"/>
      <c r="AE950" s="1" t="s">
        <v>1152</v>
      </c>
      <c r="AF950" s="1"/>
      <c r="AG950" s="1"/>
      <c r="AH950" s="1" t="s">
        <v>1152</v>
      </c>
      <c r="AI950" s="1"/>
      <c r="AJ950" s="1"/>
      <c r="AK950" s="1"/>
      <c r="AL950" s="6" t="str">
        <f t="array" ref="AL950">IFERROR(IFS(XLOOKUP(B950, 'Kit Delivery Status'!$U:$U, 'Kit Delivery Status'!$K:$K) = "Complete", "DELIVERED", XLOOKUP(B950, 'Kit Delivery Status'!$U:$U, 'Kit Delivery Status'!$K:$K) = "Issue", "ISSUE"), "")</f>
        <v/>
      </c>
      <c r="AM950" s="6"/>
    </row>
    <row r="951">
      <c r="A951" s="5" t="s">
        <v>4960</v>
      </c>
      <c r="B951" s="1" t="s">
        <v>4961</v>
      </c>
      <c r="C951" s="1" t="s">
        <v>4962</v>
      </c>
      <c r="D951" s="2">
        <v>2.063346136E9</v>
      </c>
      <c r="E951" s="1" t="s">
        <v>4963</v>
      </c>
      <c r="F951" s="1"/>
      <c r="G951" s="1" t="s">
        <v>1848</v>
      </c>
      <c r="H951" s="1" t="s">
        <v>980</v>
      </c>
      <c r="I951" s="1">
        <v>98125.0</v>
      </c>
      <c r="J951" s="1" t="s">
        <v>752</v>
      </c>
      <c r="K951" s="1" t="s">
        <v>51</v>
      </c>
      <c r="L951" s="1" t="s">
        <v>3293</v>
      </c>
      <c r="M951" s="1">
        <v>1.0</v>
      </c>
      <c r="N951" s="1" t="s">
        <v>2461</v>
      </c>
      <c r="O951" s="3" t="s">
        <v>4964</v>
      </c>
      <c r="P951" s="18">
        <v>45888.0</v>
      </c>
      <c r="Q951" s="1" t="s">
        <v>2463</v>
      </c>
      <c r="R951" s="1"/>
      <c r="S951" s="1" t="s">
        <v>2461</v>
      </c>
      <c r="T951" s="1" t="s">
        <v>2461</v>
      </c>
      <c r="U951" s="1" t="s">
        <v>1167</v>
      </c>
      <c r="V951" s="4" t="s">
        <v>4964</v>
      </c>
      <c r="W951" s="1"/>
      <c r="X951" s="18">
        <v>45888.0</v>
      </c>
      <c r="Y951" s="1" t="s">
        <v>1030</v>
      </c>
      <c r="Z951" s="1"/>
      <c r="AA951" s="1"/>
      <c r="AB951" s="1" t="s">
        <v>52</v>
      </c>
      <c r="AC951" s="1" t="s">
        <v>1925</v>
      </c>
      <c r="AD951" s="1"/>
      <c r="AE951" s="1" t="s">
        <v>1152</v>
      </c>
      <c r="AF951" s="1"/>
      <c r="AG951" s="1"/>
      <c r="AH951" s="1" t="s">
        <v>1152</v>
      </c>
      <c r="AI951" s="1"/>
      <c r="AJ951" s="1"/>
      <c r="AK951" s="1"/>
      <c r="AL951" s="6" t="str">
        <f t="array" ref="AL951">IFERROR(IFS(XLOOKUP(B951, 'Kit Delivery Status'!$U:$U, 'Kit Delivery Status'!$K:$K) = "Complete", "DELIVERED", XLOOKUP(B951, 'Kit Delivery Status'!$U:$U, 'Kit Delivery Status'!$K:$K) = "Issue", "ISSUE"), "")</f>
        <v/>
      </c>
      <c r="AM951" s="6"/>
    </row>
    <row r="952">
      <c r="A952" s="5" t="s">
        <v>4965</v>
      </c>
      <c r="B952" s="1" t="s">
        <v>4966</v>
      </c>
      <c r="C952" s="1" t="s">
        <v>4967</v>
      </c>
      <c r="D952" s="2">
        <v>9.145259746E9</v>
      </c>
      <c r="E952" s="1" t="s">
        <v>4968</v>
      </c>
      <c r="F952" s="1"/>
      <c r="G952" s="1" t="s">
        <v>1131</v>
      </c>
      <c r="H952" s="1" t="s">
        <v>751</v>
      </c>
      <c r="I952" s="1">
        <v>10538.0</v>
      </c>
      <c r="J952" s="1" t="s">
        <v>752</v>
      </c>
      <c r="K952" s="1" t="s">
        <v>95</v>
      </c>
      <c r="L952" s="1" t="s">
        <v>3327</v>
      </c>
      <c r="M952" s="1">
        <v>49.0</v>
      </c>
      <c r="N952" s="1" t="s">
        <v>2461</v>
      </c>
      <c r="O952" s="3" t="s">
        <v>4969</v>
      </c>
      <c r="P952" s="18">
        <v>45877.0</v>
      </c>
      <c r="Q952" s="1" t="s">
        <v>2463</v>
      </c>
      <c r="R952" s="1"/>
      <c r="S952" s="1" t="s">
        <v>2461</v>
      </c>
      <c r="T952" s="1" t="s">
        <v>2461</v>
      </c>
      <c r="U952" s="1" t="s">
        <v>1812</v>
      </c>
      <c r="V952" s="4" t="s">
        <v>4969</v>
      </c>
      <c r="W952" s="1"/>
      <c r="X952" s="18">
        <v>45877.0</v>
      </c>
      <c r="Y952" s="1" t="s">
        <v>1030</v>
      </c>
      <c r="Z952" s="1"/>
      <c r="AA952" s="1"/>
      <c r="AB952" s="1" t="s">
        <v>52</v>
      </c>
      <c r="AC952" s="1" t="s">
        <v>4970</v>
      </c>
      <c r="AD952" s="1"/>
      <c r="AE952" s="1" t="s">
        <v>1152</v>
      </c>
      <c r="AF952" s="1"/>
      <c r="AG952" s="1"/>
      <c r="AH952" s="1" t="s">
        <v>1152</v>
      </c>
      <c r="AI952" s="1"/>
      <c r="AJ952" s="1"/>
      <c r="AK952" s="1"/>
      <c r="AL952" s="6" t="str">
        <f t="array" ref="AL952">IFERROR(IFS(XLOOKUP(B952, 'Kit Delivery Status'!$U:$U, 'Kit Delivery Status'!$K:$K) = "Complete", "DELIVERED", XLOOKUP(B952, 'Kit Delivery Status'!$U:$U, 'Kit Delivery Status'!$K:$K) = "Issue", "ISSUE"), "")</f>
        <v/>
      </c>
      <c r="AM952" s="6"/>
    </row>
    <row r="953">
      <c r="A953" s="5" t="s">
        <v>4965</v>
      </c>
      <c r="B953" s="1" t="s">
        <v>4966</v>
      </c>
      <c r="C953" s="1" t="s">
        <v>4967</v>
      </c>
      <c r="D953" s="2">
        <v>9.145259746E9</v>
      </c>
      <c r="E953" s="1" t="s">
        <v>4968</v>
      </c>
      <c r="F953" s="1"/>
      <c r="G953" s="1" t="s">
        <v>1131</v>
      </c>
      <c r="H953" s="1" t="s">
        <v>751</v>
      </c>
      <c r="I953" s="1">
        <v>10538.0</v>
      </c>
      <c r="J953" s="1" t="s">
        <v>752</v>
      </c>
      <c r="K953" s="1" t="s">
        <v>51</v>
      </c>
      <c r="L953" s="1" t="s">
        <v>3293</v>
      </c>
      <c r="M953" s="1">
        <v>1.0</v>
      </c>
      <c r="N953" s="1" t="s">
        <v>2461</v>
      </c>
      <c r="O953" s="3" t="s">
        <v>4971</v>
      </c>
      <c r="P953" s="18">
        <v>45883.0</v>
      </c>
      <c r="Q953" s="1" t="s">
        <v>2463</v>
      </c>
      <c r="R953" s="1"/>
      <c r="S953" s="1" t="s">
        <v>2461</v>
      </c>
      <c r="T953" s="1" t="s">
        <v>2461</v>
      </c>
      <c r="U953" s="1" t="s">
        <v>1812</v>
      </c>
      <c r="V953" s="4" t="s">
        <v>4971</v>
      </c>
      <c r="W953" s="1"/>
      <c r="X953" s="18">
        <v>45883.0</v>
      </c>
      <c r="Y953" s="1" t="s">
        <v>1030</v>
      </c>
      <c r="Z953" s="1"/>
      <c r="AA953" s="1"/>
      <c r="AB953" s="1" t="s">
        <v>52</v>
      </c>
      <c r="AC953" s="1" t="s">
        <v>1925</v>
      </c>
      <c r="AD953" s="1"/>
      <c r="AE953" s="1" t="s">
        <v>1152</v>
      </c>
      <c r="AF953" s="1"/>
      <c r="AG953" s="1"/>
      <c r="AH953" s="1" t="s">
        <v>1152</v>
      </c>
      <c r="AI953" s="1"/>
      <c r="AJ953" s="1"/>
      <c r="AK953" s="1"/>
      <c r="AL953" s="6" t="str">
        <f t="array" ref="AL953">IFERROR(IFS(XLOOKUP(B953, 'Kit Delivery Status'!$U:$U, 'Kit Delivery Status'!$K:$K) = "Complete", "DELIVERED", XLOOKUP(B953, 'Kit Delivery Status'!$U:$U, 'Kit Delivery Status'!$K:$K) = "Issue", "ISSUE"), "")</f>
        <v/>
      </c>
      <c r="AM953" s="6"/>
    </row>
    <row r="954">
      <c r="A954" s="5" t="s">
        <v>4972</v>
      </c>
      <c r="B954" s="1" t="s">
        <v>4973</v>
      </c>
      <c r="C954" s="1" t="s">
        <v>1821</v>
      </c>
      <c r="D954" s="2">
        <v>7.18715543E9</v>
      </c>
      <c r="E954" s="1" t="s">
        <v>4974</v>
      </c>
      <c r="F954" s="1"/>
      <c r="G954" s="1" t="s">
        <v>4975</v>
      </c>
      <c r="H954" s="1" t="s">
        <v>751</v>
      </c>
      <c r="I954" s="1">
        <v>10025.0</v>
      </c>
      <c r="J954" s="1" t="s">
        <v>752</v>
      </c>
      <c r="K954" s="1" t="s">
        <v>95</v>
      </c>
      <c r="L954" s="1" t="s">
        <v>3327</v>
      </c>
      <c r="M954" s="1">
        <v>49.0</v>
      </c>
      <c r="N954" s="1" t="s">
        <v>2461</v>
      </c>
      <c r="O954" s="3" t="s">
        <v>1823</v>
      </c>
      <c r="P954" s="18">
        <v>45883.0</v>
      </c>
      <c r="Q954" s="1" t="s">
        <v>2463</v>
      </c>
      <c r="R954" s="1"/>
      <c r="S954" s="1" t="s">
        <v>2461</v>
      </c>
      <c r="T954" s="1" t="s">
        <v>2461</v>
      </c>
      <c r="U954" s="1" t="s">
        <v>1812</v>
      </c>
      <c r="V954" s="4" t="s">
        <v>1823</v>
      </c>
      <c r="W954" s="1"/>
      <c r="X954" s="18">
        <v>45883.0</v>
      </c>
      <c r="Y954" s="1" t="s">
        <v>1030</v>
      </c>
      <c r="Z954" s="1"/>
      <c r="AA954" s="1"/>
      <c r="AB954" s="1" t="s">
        <v>52</v>
      </c>
      <c r="AC954" s="1" t="s">
        <v>4976</v>
      </c>
      <c r="AD954" s="1"/>
      <c r="AE954" s="1" t="s">
        <v>1152</v>
      </c>
      <c r="AF954" s="1"/>
      <c r="AG954" s="1"/>
      <c r="AH954" s="1" t="s">
        <v>1152</v>
      </c>
      <c r="AI954" s="1"/>
      <c r="AJ954" s="1"/>
      <c r="AK954" s="1"/>
      <c r="AL954" s="6" t="str">
        <f t="array" ref="AL954">IFERROR(IFS(XLOOKUP(B954, 'Kit Delivery Status'!$U:$U, 'Kit Delivery Status'!$K:$K) = "Complete", "DELIVERED", XLOOKUP(B954, 'Kit Delivery Status'!$U:$U, 'Kit Delivery Status'!$K:$K) = "Issue", "ISSUE"), "")</f>
        <v/>
      </c>
      <c r="AM954" s="6"/>
    </row>
    <row r="955">
      <c r="A955" s="5" t="s">
        <v>4977</v>
      </c>
      <c r="B955" s="1" t="s">
        <v>4978</v>
      </c>
      <c r="C955" s="1" t="s">
        <v>4979</v>
      </c>
      <c r="D955" s="2">
        <v>9.178683484E9</v>
      </c>
      <c r="E955" s="1" t="s">
        <v>4980</v>
      </c>
      <c r="F955" s="1"/>
      <c r="G955" s="1" t="s">
        <v>1684</v>
      </c>
      <c r="H955" s="1" t="s">
        <v>751</v>
      </c>
      <c r="I955" s="1">
        <v>11231.0</v>
      </c>
      <c r="J955" s="1" t="s">
        <v>752</v>
      </c>
      <c r="K955" s="1" t="s">
        <v>51</v>
      </c>
      <c r="L955" s="1" t="s">
        <v>3293</v>
      </c>
      <c r="M955" s="1">
        <v>1.0</v>
      </c>
      <c r="N955" s="1" t="s">
        <v>2461</v>
      </c>
      <c r="O955" s="3" t="s">
        <v>4981</v>
      </c>
      <c r="P955" s="18">
        <v>45889.0</v>
      </c>
      <c r="Q955" s="1" t="s">
        <v>3219</v>
      </c>
      <c r="R955" s="1"/>
      <c r="S955" s="1" t="s">
        <v>2461</v>
      </c>
      <c r="T955" s="1" t="s">
        <v>2461</v>
      </c>
      <c r="U955" s="1" t="s">
        <v>1065</v>
      </c>
      <c r="V955" s="4" t="s">
        <v>4981</v>
      </c>
      <c r="W955" s="1"/>
      <c r="X955" s="18">
        <v>45889.0</v>
      </c>
      <c r="Y955" s="1" t="s">
        <v>1455</v>
      </c>
      <c r="Z955" s="1"/>
      <c r="AA955" s="1"/>
      <c r="AB955" s="1" t="s">
        <v>52</v>
      </c>
      <c r="AC955" s="1" t="s">
        <v>1925</v>
      </c>
      <c r="AD955" s="1"/>
      <c r="AE955" s="1" t="s">
        <v>1152</v>
      </c>
      <c r="AF955" s="1"/>
      <c r="AG955" s="1"/>
      <c r="AH955" s="1" t="s">
        <v>1152</v>
      </c>
      <c r="AI955" s="1"/>
      <c r="AJ955" s="1"/>
      <c r="AK955" s="1"/>
      <c r="AL955" s="6" t="str">
        <f t="array" ref="AL955">IFERROR(IFS(XLOOKUP(B955, 'Kit Delivery Status'!$U:$U, 'Kit Delivery Status'!$K:$K) = "Complete", "DELIVERED", XLOOKUP(B955, 'Kit Delivery Status'!$U:$U, 'Kit Delivery Status'!$K:$K) = "Issue", "ISSUE"), "")</f>
        <v/>
      </c>
      <c r="AM955" s="6"/>
    </row>
    <row r="956">
      <c r="A956" s="5" t="s">
        <v>4982</v>
      </c>
      <c r="B956" s="1" t="s">
        <v>4983</v>
      </c>
      <c r="C956" s="1"/>
      <c r="D956" s="2"/>
      <c r="E956" s="1" t="s">
        <v>4984</v>
      </c>
      <c r="F956" s="1"/>
      <c r="G956" s="1" t="s">
        <v>2715</v>
      </c>
      <c r="H956" s="1" t="s">
        <v>1583</v>
      </c>
      <c r="I956" s="1">
        <v>75354.0</v>
      </c>
      <c r="J956" s="1" t="s">
        <v>752</v>
      </c>
      <c r="K956" s="1" t="s">
        <v>95</v>
      </c>
      <c r="L956" s="1" t="s">
        <v>3327</v>
      </c>
      <c r="M956" s="1">
        <v>49.0</v>
      </c>
      <c r="N956" s="1" t="s">
        <v>2461</v>
      </c>
      <c r="O956" s="3" t="s">
        <v>4985</v>
      </c>
      <c r="P956" s="18">
        <v>45883.0</v>
      </c>
      <c r="Q956" s="1" t="s">
        <v>2463</v>
      </c>
      <c r="R956" s="1"/>
      <c r="S956" s="1" t="s">
        <v>2461</v>
      </c>
      <c r="T956" s="1" t="s">
        <v>2461</v>
      </c>
      <c r="U956" s="1" t="s">
        <v>1376</v>
      </c>
      <c r="V956" s="4" t="s">
        <v>4985</v>
      </c>
      <c r="W956" s="1"/>
      <c r="X956" s="18">
        <v>45883.0</v>
      </c>
      <c r="Y956" s="1" t="s">
        <v>1030</v>
      </c>
      <c r="Z956" s="1"/>
      <c r="AA956" s="1"/>
      <c r="AB956" s="1" t="s">
        <v>52</v>
      </c>
      <c r="AC956" s="1" t="s">
        <v>4986</v>
      </c>
      <c r="AD956" s="1"/>
      <c r="AE956" s="1" t="s">
        <v>1152</v>
      </c>
      <c r="AF956" s="1"/>
      <c r="AG956" s="1"/>
      <c r="AH956" s="1" t="s">
        <v>1152</v>
      </c>
      <c r="AI956" s="1"/>
      <c r="AJ956" s="1"/>
      <c r="AK956" s="1"/>
      <c r="AL956" s="6" t="str">
        <f t="array" ref="AL956">IFERROR(IFS(XLOOKUP(B956, 'Kit Delivery Status'!$U:$U, 'Kit Delivery Status'!$K:$K) = "Complete", "DELIVERED", XLOOKUP(B956, 'Kit Delivery Status'!$U:$U, 'Kit Delivery Status'!$K:$K) = "Issue", "ISSUE"), "")</f>
        <v/>
      </c>
      <c r="AM956" s="6"/>
    </row>
    <row r="957">
      <c r="A957" s="5" t="s">
        <v>4987</v>
      </c>
      <c r="B957" s="1" t="s">
        <v>4988</v>
      </c>
      <c r="C957" s="1"/>
      <c r="D957" s="2">
        <v>6.465651495E9</v>
      </c>
      <c r="E957" s="1" t="s">
        <v>4989</v>
      </c>
      <c r="F957" s="1" t="s">
        <v>4990</v>
      </c>
      <c r="G957" s="1" t="s">
        <v>2435</v>
      </c>
      <c r="H957" s="1" t="s">
        <v>751</v>
      </c>
      <c r="I957" s="1">
        <v>10514.0</v>
      </c>
      <c r="J957" s="1" t="s">
        <v>752</v>
      </c>
      <c r="K957" s="1" t="s">
        <v>51</v>
      </c>
      <c r="L957" s="1" t="s">
        <v>3293</v>
      </c>
      <c r="M957" s="1">
        <v>1.0</v>
      </c>
      <c r="N957" s="1" t="s">
        <v>2487</v>
      </c>
      <c r="O957" s="3"/>
      <c r="P957" s="18">
        <v>45891.0</v>
      </c>
      <c r="Q957" s="1" t="s">
        <v>2852</v>
      </c>
      <c r="R957" s="1" t="s">
        <v>4990</v>
      </c>
      <c r="S957" s="1" t="s">
        <v>2487</v>
      </c>
      <c r="T957" s="1" t="s">
        <v>2487</v>
      </c>
      <c r="U957" s="1"/>
      <c r="V957" s="4"/>
      <c r="W957" s="1" t="s">
        <v>4990</v>
      </c>
      <c r="X957" s="18">
        <v>45891.0</v>
      </c>
      <c r="Y957" s="1" t="s">
        <v>1440</v>
      </c>
      <c r="Z957" s="1"/>
      <c r="AA957" s="1" t="s">
        <v>4990</v>
      </c>
      <c r="AB957" s="1" t="s">
        <v>124</v>
      </c>
      <c r="AC957" s="1" t="s">
        <v>1925</v>
      </c>
      <c r="AD957" s="1"/>
      <c r="AE957" s="1" t="s">
        <v>1152</v>
      </c>
      <c r="AF957" s="1"/>
      <c r="AG957" s="1"/>
      <c r="AH957" s="1" t="s">
        <v>1152</v>
      </c>
      <c r="AI957" s="1"/>
      <c r="AJ957" s="1"/>
      <c r="AK957" s="1"/>
      <c r="AL957" s="6" t="str">
        <f t="array" ref="AL957">IFERROR(IFS(XLOOKUP(B957, 'Kit Delivery Status'!$U:$U, 'Kit Delivery Status'!$K:$K) = "Complete", "DELIVERED", XLOOKUP(B957, 'Kit Delivery Status'!$U:$U, 'Kit Delivery Status'!$K:$K) = "Issue", "ISSUE"), "")</f>
        <v/>
      </c>
      <c r="AM957" s="6"/>
    </row>
    <row r="958">
      <c r="A958" s="5" t="s">
        <v>4991</v>
      </c>
      <c r="B958" s="1" t="s">
        <v>4992</v>
      </c>
      <c r="C958" s="1" t="s">
        <v>4993</v>
      </c>
      <c r="D958" s="2">
        <v>9.175093592E9</v>
      </c>
      <c r="E958" s="1" t="s">
        <v>4994</v>
      </c>
      <c r="F958" s="1"/>
      <c r="G958" s="1" t="s">
        <v>2715</v>
      </c>
      <c r="H958" s="1" t="s">
        <v>1583</v>
      </c>
      <c r="I958" s="1">
        <v>75287.0</v>
      </c>
      <c r="J958" s="1" t="s">
        <v>752</v>
      </c>
      <c r="K958" s="1" t="s">
        <v>66</v>
      </c>
      <c r="L958" s="1" t="s">
        <v>3321</v>
      </c>
      <c r="M958" s="1">
        <v>210.0</v>
      </c>
      <c r="N958" s="1" t="s">
        <v>1152</v>
      </c>
      <c r="O958" s="3" t="s">
        <v>4995</v>
      </c>
      <c r="P958" s="18">
        <v>45883.0</v>
      </c>
      <c r="Q958" s="1" t="s">
        <v>1152</v>
      </c>
      <c r="R958" s="1"/>
      <c r="S958" s="1" t="s">
        <v>1152</v>
      </c>
      <c r="T958" s="1" t="s">
        <v>1152</v>
      </c>
      <c r="U958" s="1" t="s">
        <v>948</v>
      </c>
      <c r="V958" s="4" t="s">
        <v>4995</v>
      </c>
      <c r="W958" s="1"/>
      <c r="X958" s="18">
        <v>45883.0</v>
      </c>
      <c r="Y958" s="1"/>
      <c r="Z958" s="1"/>
      <c r="AA958" s="1"/>
      <c r="AB958" s="1"/>
      <c r="AC958" s="1" t="s">
        <v>1925</v>
      </c>
      <c r="AD958" s="1"/>
      <c r="AE958" s="1" t="s">
        <v>1152</v>
      </c>
      <c r="AF958" s="1"/>
      <c r="AG958" s="1"/>
      <c r="AH958" s="1" t="s">
        <v>1152</v>
      </c>
      <c r="AI958" s="1"/>
      <c r="AJ958" s="1"/>
      <c r="AK958" s="1"/>
      <c r="AL958" s="6" t="str">
        <f t="array" ref="AL958">IFERROR(IFS(XLOOKUP(B958, 'Kit Delivery Status'!$U:$U, 'Kit Delivery Status'!$K:$K) = "Complete", "DELIVERED", XLOOKUP(B958, 'Kit Delivery Status'!$U:$U, 'Kit Delivery Status'!$K:$K) = "Issue", "ISSUE"), "")</f>
        <v/>
      </c>
      <c r="AM958" s="6"/>
    </row>
    <row r="959">
      <c r="A959" s="5" t="s">
        <v>4996</v>
      </c>
      <c r="B959" s="1" t="s">
        <v>4997</v>
      </c>
      <c r="C959" s="1" t="s">
        <v>4998</v>
      </c>
      <c r="D959" s="2" t="s">
        <v>4999</v>
      </c>
      <c r="E959" s="1" t="s">
        <v>5000</v>
      </c>
      <c r="F959" s="1" t="s">
        <v>5001</v>
      </c>
      <c r="G959" s="1" t="s">
        <v>1354</v>
      </c>
      <c r="H959" s="1" t="s">
        <v>1121</v>
      </c>
      <c r="I959" s="38" t="s">
        <v>5002</v>
      </c>
      <c r="J959" s="1" t="s">
        <v>752</v>
      </c>
      <c r="K959" s="1" t="s">
        <v>66</v>
      </c>
      <c r="L959" s="1" t="s">
        <v>720</v>
      </c>
      <c r="M959" s="1">
        <v>115.0</v>
      </c>
      <c r="N959" s="1" t="s">
        <v>2461</v>
      </c>
      <c r="O959" s="3" t="s">
        <v>5003</v>
      </c>
      <c r="P959" s="18">
        <v>45883.0</v>
      </c>
      <c r="Q959" s="1"/>
      <c r="R959" s="1"/>
      <c r="S959" s="1" t="s">
        <v>2461</v>
      </c>
      <c r="T959" s="1" t="s">
        <v>2461</v>
      </c>
      <c r="U959" s="1" t="s">
        <v>737</v>
      </c>
      <c r="V959" s="4" t="s">
        <v>5003</v>
      </c>
      <c r="W959" s="1"/>
      <c r="X959" s="18">
        <v>45883.0</v>
      </c>
      <c r="Y959" s="1"/>
      <c r="Z959" s="1"/>
      <c r="AA959" s="1"/>
      <c r="AB959" s="1" t="s">
        <v>52</v>
      </c>
      <c r="AC959" s="1"/>
      <c r="AD959" s="1"/>
      <c r="AE959" s="1"/>
      <c r="AF959" s="1"/>
      <c r="AG959" s="1"/>
      <c r="AH959" s="1"/>
      <c r="AI959" s="1"/>
      <c r="AJ959" s="1"/>
      <c r="AK959" s="1"/>
      <c r="AL959" s="6" t="str">
        <f t="array" ref="AL959">IFERROR(IFS(XLOOKUP(B959, 'Kit Delivery Status'!$U:$U, 'Kit Delivery Status'!$K:$K) = "Complete", "DELIVERED", XLOOKUP(B959, 'Kit Delivery Status'!$U:$U, 'Kit Delivery Status'!$K:$K) = "Issue", "ISSUE"), "")</f>
        <v/>
      </c>
      <c r="AM959" s="6"/>
    </row>
    <row r="960">
      <c r="A960" s="5" t="s">
        <v>5004</v>
      </c>
      <c r="B960" s="1" t="s">
        <v>5005</v>
      </c>
      <c r="C960" s="1"/>
      <c r="D960" s="2">
        <v>9.496684951E9</v>
      </c>
      <c r="E960" s="1" t="s">
        <v>5006</v>
      </c>
      <c r="F960" s="1" t="s">
        <v>5007</v>
      </c>
      <c r="G960" s="1" t="s">
        <v>2350</v>
      </c>
      <c r="H960" s="1" t="s">
        <v>1155</v>
      </c>
      <c r="I960" s="1">
        <v>63105.0</v>
      </c>
      <c r="J960" s="1" t="s">
        <v>752</v>
      </c>
      <c r="K960" s="1" t="s">
        <v>51</v>
      </c>
      <c r="L960" s="1" t="s">
        <v>3293</v>
      </c>
      <c r="M960" s="1">
        <v>1.0</v>
      </c>
      <c r="N960" s="1" t="s">
        <v>2487</v>
      </c>
      <c r="O960" s="3"/>
      <c r="P960" s="18">
        <v>45887.0</v>
      </c>
      <c r="Q960" s="1" t="s">
        <v>2502</v>
      </c>
      <c r="R960" s="1" t="s">
        <v>5008</v>
      </c>
      <c r="S960" s="1" t="s">
        <v>2487</v>
      </c>
      <c r="T960" s="1" t="s">
        <v>2487</v>
      </c>
      <c r="U960" s="1"/>
      <c r="V960" s="4"/>
      <c r="W960" s="1" t="s">
        <v>5008</v>
      </c>
      <c r="X960" s="18">
        <v>45887.0</v>
      </c>
      <c r="Y960" s="1" t="s">
        <v>1630</v>
      </c>
      <c r="Z960" s="1"/>
      <c r="AA960" s="1" t="s">
        <v>5008</v>
      </c>
      <c r="AB960" s="1" t="s">
        <v>124</v>
      </c>
      <c r="AC960" s="1" t="s">
        <v>1925</v>
      </c>
      <c r="AD960" s="1"/>
      <c r="AE960" s="1" t="s">
        <v>1152</v>
      </c>
      <c r="AF960" s="1"/>
      <c r="AG960" s="1"/>
      <c r="AH960" s="1" t="s">
        <v>1152</v>
      </c>
      <c r="AI960" s="1"/>
      <c r="AJ960" s="1"/>
      <c r="AK960" s="1"/>
      <c r="AL960" s="6" t="str">
        <f t="array" ref="AL960">IFERROR(IFS(XLOOKUP(B960, 'Kit Delivery Status'!$U:$U, 'Kit Delivery Status'!$K:$K) = "Complete", "DELIVERED", XLOOKUP(B960, 'Kit Delivery Status'!$U:$U, 'Kit Delivery Status'!$K:$K) = "Issue", "ISSUE"), "")</f>
        <v/>
      </c>
      <c r="AM960" s="6"/>
    </row>
    <row r="961">
      <c r="A961" s="5" t="s">
        <v>5009</v>
      </c>
      <c r="B961" s="1" t="s">
        <v>5010</v>
      </c>
      <c r="C961" s="1" t="s">
        <v>5011</v>
      </c>
      <c r="D961" s="2">
        <v>6.092130326E9</v>
      </c>
      <c r="E961" s="1" t="s">
        <v>5012</v>
      </c>
      <c r="F961" s="1"/>
      <c r="G961" s="1" t="s">
        <v>4750</v>
      </c>
      <c r="H961" s="1" t="s">
        <v>1053</v>
      </c>
      <c r="I961" s="1">
        <v>8540.0</v>
      </c>
      <c r="J961" s="1" t="s">
        <v>752</v>
      </c>
      <c r="K961" s="1" t="s">
        <v>95</v>
      </c>
      <c r="L961" s="1" t="s">
        <v>3327</v>
      </c>
      <c r="M961" s="1">
        <v>49.0</v>
      </c>
      <c r="N961" s="1" t="s">
        <v>2461</v>
      </c>
      <c r="O961" s="3" t="s">
        <v>5013</v>
      </c>
      <c r="P961" s="18">
        <v>45883.0</v>
      </c>
      <c r="Q961" s="1" t="s">
        <v>2463</v>
      </c>
      <c r="R961" s="1"/>
      <c r="S961" s="1" t="s">
        <v>2461</v>
      </c>
      <c r="T961" s="1" t="s">
        <v>2461</v>
      </c>
      <c r="U961" s="1" t="s">
        <v>1794</v>
      </c>
      <c r="V961" s="4" t="s">
        <v>5013</v>
      </c>
      <c r="W961" s="1"/>
      <c r="X961" s="18">
        <v>45883.0</v>
      </c>
      <c r="Y961" s="1" t="s">
        <v>1030</v>
      </c>
      <c r="Z961" s="1"/>
      <c r="AA961" s="1"/>
      <c r="AB961" s="1" t="s">
        <v>52</v>
      </c>
      <c r="AC961" s="1" t="s">
        <v>5014</v>
      </c>
      <c r="AD961" s="1"/>
      <c r="AE961" s="1" t="s">
        <v>1152</v>
      </c>
      <c r="AF961" s="1"/>
      <c r="AG961" s="1"/>
      <c r="AH961" s="1" t="s">
        <v>1152</v>
      </c>
      <c r="AI961" s="1"/>
      <c r="AJ961" s="1"/>
      <c r="AK961" s="1"/>
      <c r="AL961" s="6" t="str">
        <f t="array" ref="AL961">IFERROR(IFS(XLOOKUP(B961, 'Kit Delivery Status'!$U:$U, 'Kit Delivery Status'!$K:$K) = "Complete", "DELIVERED", XLOOKUP(B961, 'Kit Delivery Status'!$U:$U, 'Kit Delivery Status'!$K:$K) = "Issue", "ISSUE"), "")</f>
        <v/>
      </c>
      <c r="AM961" s="6"/>
    </row>
    <row r="962">
      <c r="A962" s="5" t="s">
        <v>5015</v>
      </c>
      <c r="B962" s="1" t="s">
        <v>5016</v>
      </c>
      <c r="C962" s="1"/>
      <c r="D962" s="2">
        <v>8.596844148E9</v>
      </c>
      <c r="E962" s="1" t="s">
        <v>5017</v>
      </c>
      <c r="F962" s="1"/>
      <c r="G962" s="1" t="s">
        <v>2056</v>
      </c>
      <c r="H962" s="1" t="s">
        <v>3283</v>
      </c>
      <c r="I962" s="1">
        <v>40517.0</v>
      </c>
      <c r="J962" s="1" t="s">
        <v>752</v>
      </c>
      <c r="K962" s="1" t="s">
        <v>95</v>
      </c>
      <c r="L962" s="1" t="s">
        <v>3327</v>
      </c>
      <c r="M962" s="1">
        <v>49.0</v>
      </c>
      <c r="N962" s="1" t="s">
        <v>2461</v>
      </c>
      <c r="O962" s="3" t="s">
        <v>384</v>
      </c>
      <c r="P962" s="18">
        <v>45883.0</v>
      </c>
      <c r="Q962" s="1" t="s">
        <v>2463</v>
      </c>
      <c r="R962" s="1"/>
      <c r="S962" s="1" t="s">
        <v>2461</v>
      </c>
      <c r="T962" s="1" t="s">
        <v>2461</v>
      </c>
      <c r="U962" s="1" t="s">
        <v>956</v>
      </c>
      <c r="V962" s="4" t="s">
        <v>384</v>
      </c>
      <c r="W962" s="1"/>
      <c r="X962" s="18">
        <v>45883.0</v>
      </c>
      <c r="Y962" s="1" t="s">
        <v>1030</v>
      </c>
      <c r="Z962" s="1"/>
      <c r="AA962" s="1"/>
      <c r="AB962" s="1" t="s">
        <v>52</v>
      </c>
      <c r="AC962" s="1" t="s">
        <v>5018</v>
      </c>
      <c r="AD962" s="1"/>
      <c r="AE962" s="1" t="s">
        <v>1152</v>
      </c>
      <c r="AF962" s="1"/>
      <c r="AG962" s="1"/>
      <c r="AH962" s="1" t="s">
        <v>1152</v>
      </c>
      <c r="AI962" s="1"/>
      <c r="AJ962" s="1"/>
      <c r="AK962" s="1"/>
      <c r="AL962" s="6" t="str">
        <f t="array" ref="AL962">IFERROR(IFS(XLOOKUP(B962, 'Kit Delivery Status'!$U:$U, 'Kit Delivery Status'!$K:$K) = "Complete", "DELIVERED", XLOOKUP(B962, 'Kit Delivery Status'!$U:$U, 'Kit Delivery Status'!$K:$K) = "Issue", "ISSUE"), "")</f>
        <v/>
      </c>
      <c r="AM962" s="6"/>
    </row>
    <row r="963">
      <c r="A963" s="5" t="s">
        <v>5019</v>
      </c>
      <c r="B963" s="1" t="s">
        <v>5020</v>
      </c>
      <c r="C963" s="1"/>
      <c r="D963" s="2">
        <v>9.496684951E9</v>
      </c>
      <c r="E963" s="1" t="s">
        <v>5006</v>
      </c>
      <c r="F963" s="1" t="s">
        <v>5021</v>
      </c>
      <c r="G963" s="1" t="s">
        <v>1283</v>
      </c>
      <c r="H963" s="1" t="s">
        <v>1155</v>
      </c>
      <c r="I963" s="1">
        <v>63112.0</v>
      </c>
      <c r="J963" s="1" t="s">
        <v>752</v>
      </c>
      <c r="K963" s="1" t="s">
        <v>51</v>
      </c>
      <c r="L963" s="1" t="s">
        <v>3293</v>
      </c>
      <c r="M963" s="1">
        <v>1.0</v>
      </c>
      <c r="N963" s="1" t="s">
        <v>2487</v>
      </c>
      <c r="O963" s="3"/>
      <c r="P963" s="18">
        <v>45887.0</v>
      </c>
      <c r="Q963" s="1" t="s">
        <v>2502</v>
      </c>
      <c r="R963" s="1" t="s">
        <v>5021</v>
      </c>
      <c r="S963" s="1" t="s">
        <v>2487</v>
      </c>
      <c r="T963" s="1" t="s">
        <v>2487</v>
      </c>
      <c r="U963" s="1"/>
      <c r="V963" s="4"/>
      <c r="W963" s="1" t="s">
        <v>5021</v>
      </c>
      <c r="X963" s="18">
        <v>45887.0</v>
      </c>
      <c r="Y963" s="1" t="s">
        <v>1630</v>
      </c>
      <c r="Z963" s="1"/>
      <c r="AA963" s="1" t="s">
        <v>5021</v>
      </c>
      <c r="AB963" s="1" t="s">
        <v>124</v>
      </c>
      <c r="AC963" s="1" t="s">
        <v>1925</v>
      </c>
      <c r="AD963" s="1"/>
      <c r="AE963" s="1" t="s">
        <v>1152</v>
      </c>
      <c r="AF963" s="1"/>
      <c r="AG963" s="1"/>
      <c r="AH963" s="1" t="s">
        <v>1152</v>
      </c>
      <c r="AI963" s="1"/>
      <c r="AJ963" s="1"/>
      <c r="AK963" s="1"/>
      <c r="AL963" s="6" t="str">
        <f t="array" ref="AL963">IFERROR(IFS(XLOOKUP(B963, 'Kit Delivery Status'!$U:$U, 'Kit Delivery Status'!$K:$K) = "Complete", "DELIVERED", XLOOKUP(B963, 'Kit Delivery Status'!$U:$U, 'Kit Delivery Status'!$K:$K) = "Issue", "ISSUE"), "")</f>
        <v/>
      </c>
      <c r="AM963" s="6"/>
    </row>
    <row r="964">
      <c r="A964" s="5" t="s">
        <v>5022</v>
      </c>
      <c r="B964" s="1" t="s">
        <v>5023</v>
      </c>
      <c r="C964" s="1"/>
      <c r="D964" s="2">
        <v>6.462507591E9</v>
      </c>
      <c r="E964" s="1" t="s">
        <v>4601</v>
      </c>
      <c r="F964" s="1"/>
      <c r="G964" s="1" t="s">
        <v>751</v>
      </c>
      <c r="H964" s="1" t="s">
        <v>751</v>
      </c>
      <c r="I964" s="1">
        <v>10011.0</v>
      </c>
      <c r="J964" s="1" t="s">
        <v>752</v>
      </c>
      <c r="K964" s="1" t="s">
        <v>95</v>
      </c>
      <c r="L964" s="1" t="s">
        <v>3327</v>
      </c>
      <c r="M964" s="1">
        <v>49.0</v>
      </c>
      <c r="N964" s="1" t="s">
        <v>2461</v>
      </c>
      <c r="O964" s="3" t="s">
        <v>4602</v>
      </c>
      <c r="P964" s="18">
        <v>45883.0</v>
      </c>
      <c r="Q964" s="1" t="s">
        <v>2463</v>
      </c>
      <c r="R964" s="1"/>
      <c r="S964" s="1" t="s">
        <v>2461</v>
      </c>
      <c r="T964" s="1" t="s">
        <v>2461</v>
      </c>
      <c r="U964" s="1" t="s">
        <v>1039</v>
      </c>
      <c r="V964" s="4" t="s">
        <v>4602</v>
      </c>
      <c r="W964" s="1"/>
      <c r="X964" s="18">
        <v>45883.0</v>
      </c>
      <c r="Y964" s="1" t="s">
        <v>1030</v>
      </c>
      <c r="Z964" s="1"/>
      <c r="AA964" s="1"/>
      <c r="AB964" s="1" t="s">
        <v>52</v>
      </c>
      <c r="AC964" s="1" t="s">
        <v>5024</v>
      </c>
      <c r="AD964" s="1"/>
      <c r="AE964" s="1" t="s">
        <v>1152</v>
      </c>
      <c r="AF964" s="1"/>
      <c r="AG964" s="1"/>
      <c r="AH964" s="1" t="s">
        <v>1152</v>
      </c>
      <c r="AI964" s="1"/>
      <c r="AJ964" s="1"/>
      <c r="AK964" s="1"/>
      <c r="AL964" s="6" t="str">
        <f t="array" ref="AL964">IFERROR(IFS(XLOOKUP(B964, 'Kit Delivery Status'!$U:$U, 'Kit Delivery Status'!$K:$K) = "Complete", "DELIVERED", XLOOKUP(B964, 'Kit Delivery Status'!$U:$U, 'Kit Delivery Status'!$K:$K) = "Issue", "ISSUE"), "")</f>
        <v/>
      </c>
      <c r="AM964" s="6"/>
    </row>
    <row r="965">
      <c r="A965" s="5" t="s">
        <v>5025</v>
      </c>
      <c r="B965" s="1" t="s">
        <v>5026</v>
      </c>
      <c r="C965" s="1" t="s">
        <v>5027</v>
      </c>
      <c r="D965" s="2">
        <v>14694104197</v>
      </c>
      <c r="E965" s="1" t="s">
        <v>5028</v>
      </c>
      <c r="F965" s="1"/>
      <c r="G965" s="1" t="s">
        <v>5029</v>
      </c>
      <c r="H965" s="1" t="s">
        <v>1583</v>
      </c>
      <c r="I965" s="1">
        <v>75002.0</v>
      </c>
      <c r="J965" s="1" t="s">
        <v>752</v>
      </c>
      <c r="K965" s="1" t="s">
        <v>51</v>
      </c>
      <c r="L965" s="1" t="s">
        <v>3293</v>
      </c>
      <c r="M965" s="1">
        <v>1.0</v>
      </c>
      <c r="N965" s="1" t="s">
        <v>2461</v>
      </c>
      <c r="O965" s="3" t="s">
        <v>5030</v>
      </c>
      <c r="P965" s="18">
        <v>45889.0</v>
      </c>
      <c r="Q965" s="1" t="s">
        <v>2731</v>
      </c>
      <c r="R965" s="1"/>
      <c r="S965" s="1" t="s">
        <v>2461</v>
      </c>
      <c r="T965" s="1" t="s">
        <v>2461</v>
      </c>
      <c r="U965" s="1" t="s">
        <v>1021</v>
      </c>
      <c r="V965" s="4" t="s">
        <v>5030</v>
      </c>
      <c r="W965" s="1"/>
      <c r="X965" s="18">
        <v>45889.0</v>
      </c>
      <c r="Y965" s="1" t="s">
        <v>1349</v>
      </c>
      <c r="Z965" s="1"/>
      <c r="AA965" s="1"/>
      <c r="AB965" s="1" t="s">
        <v>52</v>
      </c>
      <c r="AC965" s="1" t="s">
        <v>1925</v>
      </c>
      <c r="AD965" s="1"/>
      <c r="AE965" s="1" t="s">
        <v>1152</v>
      </c>
      <c r="AF965" s="1"/>
      <c r="AG965" s="1"/>
      <c r="AH965" s="1" t="s">
        <v>1152</v>
      </c>
      <c r="AI965" s="1"/>
      <c r="AJ965" s="1"/>
      <c r="AK965" s="1"/>
      <c r="AL965" s="6" t="str">
        <f t="array" ref="AL965">IFERROR(IFS(XLOOKUP(B965, 'Kit Delivery Status'!$U:$U, 'Kit Delivery Status'!$K:$K) = "Complete", "DELIVERED", XLOOKUP(B965, 'Kit Delivery Status'!$U:$U, 'Kit Delivery Status'!$K:$K) = "Issue", "ISSUE"), "")</f>
        <v/>
      </c>
      <c r="AM965" s="6"/>
    </row>
    <row r="966">
      <c r="A966" s="5" t="s">
        <v>5031</v>
      </c>
      <c r="B966" s="1" t="s">
        <v>5032</v>
      </c>
      <c r="C966" s="1" t="s">
        <v>5033</v>
      </c>
      <c r="D966" s="2" t="str">
        <v>#ERROR!</v>
      </c>
      <c r="E966" s="1" t="s">
        <v>5034</v>
      </c>
      <c r="F966" s="1"/>
      <c r="G966" s="1" t="s">
        <v>2040</v>
      </c>
      <c r="H966" s="1" t="s">
        <v>1121</v>
      </c>
      <c r="I966" s="1">
        <v>2493.0</v>
      </c>
      <c r="J966" s="1" t="s">
        <v>752</v>
      </c>
      <c r="K966" s="1" t="s">
        <v>51</v>
      </c>
      <c r="L966" s="1" t="s">
        <v>3293</v>
      </c>
      <c r="M966" s="1">
        <v>1.0</v>
      </c>
      <c r="N966" s="1" t="s">
        <v>2461</v>
      </c>
      <c r="O966" s="3" t="s">
        <v>5035</v>
      </c>
      <c r="P966" s="18">
        <v>45888.0</v>
      </c>
      <c r="Q966" s="1" t="s">
        <v>3219</v>
      </c>
      <c r="R966" s="1"/>
      <c r="S966" s="1" t="s">
        <v>2461</v>
      </c>
      <c r="T966" s="1" t="s">
        <v>2461</v>
      </c>
      <c r="U966" s="1" t="s">
        <v>1441</v>
      </c>
      <c r="V966" s="4" t="s">
        <v>5035</v>
      </c>
      <c r="W966" s="1"/>
      <c r="X966" s="18">
        <v>45888.0</v>
      </c>
      <c r="Y966" s="1" t="s">
        <v>1455</v>
      </c>
      <c r="Z966" s="1"/>
      <c r="AA966" s="1"/>
      <c r="AB966" s="1" t="s">
        <v>52</v>
      </c>
      <c r="AC966" s="1" t="s">
        <v>1925</v>
      </c>
      <c r="AD966" s="1"/>
      <c r="AE966" s="1" t="s">
        <v>1152</v>
      </c>
      <c r="AF966" s="1"/>
      <c r="AG966" s="1"/>
      <c r="AH966" s="1" t="s">
        <v>1152</v>
      </c>
      <c r="AI966" s="1"/>
      <c r="AJ966" s="1"/>
      <c r="AK966" s="1"/>
      <c r="AL966" s="6" t="str">
        <f t="array" ref="AL966">IFERROR(IFS(XLOOKUP(B966, 'Kit Delivery Status'!$U:$U, 'Kit Delivery Status'!$K:$K) = "Complete", "DELIVERED", XLOOKUP(B966, 'Kit Delivery Status'!$U:$U, 'Kit Delivery Status'!$K:$K) = "Issue", "ISSUE"), "")</f>
        <v/>
      </c>
      <c r="AM966" s="6"/>
    </row>
    <row r="967">
      <c r="A967" s="5" t="s">
        <v>5036</v>
      </c>
      <c r="B967" s="1" t="s">
        <v>5037</v>
      </c>
      <c r="C967" s="1" t="s">
        <v>5038</v>
      </c>
      <c r="D967" s="2">
        <v>7.03859443E9</v>
      </c>
      <c r="E967" s="1" t="s">
        <v>5039</v>
      </c>
      <c r="F967" s="1" t="s">
        <v>5040</v>
      </c>
      <c r="G967" s="1" t="s">
        <v>5041</v>
      </c>
      <c r="H967" s="1" t="s">
        <v>1038</v>
      </c>
      <c r="I967" s="1">
        <v>22124.0</v>
      </c>
      <c r="J967" s="1" t="s">
        <v>752</v>
      </c>
      <c r="K967" s="1" t="s">
        <v>51</v>
      </c>
      <c r="L967" s="1" t="s">
        <v>3293</v>
      </c>
      <c r="M967" s="1">
        <v>1.0</v>
      </c>
      <c r="N967" s="1" t="s">
        <v>2487</v>
      </c>
      <c r="O967" s="3"/>
      <c r="P967" s="18">
        <v>45891.0</v>
      </c>
      <c r="Q967" s="1" t="s">
        <v>2731</v>
      </c>
      <c r="R967" s="1" t="s">
        <v>5040</v>
      </c>
      <c r="S967" s="1" t="s">
        <v>2487</v>
      </c>
      <c r="T967" s="1" t="s">
        <v>2487</v>
      </c>
      <c r="U967" s="1"/>
      <c r="V967" s="4"/>
      <c r="W967" s="1" t="s">
        <v>5040</v>
      </c>
      <c r="X967" s="18">
        <v>45891.0</v>
      </c>
      <c r="Y967" s="1" t="s">
        <v>2731</v>
      </c>
      <c r="Z967" s="1"/>
      <c r="AA967" s="1" t="s">
        <v>5040</v>
      </c>
      <c r="AB967" s="1" t="s">
        <v>124</v>
      </c>
      <c r="AC967" s="1" t="s">
        <v>1925</v>
      </c>
      <c r="AD967" s="1"/>
      <c r="AE967" s="1" t="s">
        <v>1152</v>
      </c>
      <c r="AF967" s="1"/>
      <c r="AG967" s="1"/>
      <c r="AH967" s="1" t="s">
        <v>1152</v>
      </c>
      <c r="AI967" s="1"/>
      <c r="AJ967" s="1"/>
      <c r="AK967" s="1"/>
      <c r="AL967" s="6" t="str">
        <f t="array" ref="AL967">IFERROR(IFS(XLOOKUP(B967, 'Kit Delivery Status'!$U:$U, 'Kit Delivery Status'!$K:$K) = "Complete", "DELIVERED", XLOOKUP(B967, 'Kit Delivery Status'!$U:$U, 'Kit Delivery Status'!$K:$K) = "Issue", "ISSUE"), "")</f>
        <v/>
      </c>
      <c r="AM967" s="6"/>
    </row>
    <row r="968">
      <c r="A968" s="5" t="s">
        <v>5042</v>
      </c>
      <c r="B968" s="1" t="s">
        <v>5043</v>
      </c>
      <c r="C968" s="1"/>
      <c r="D968" s="2">
        <v>1.9176600385E10</v>
      </c>
      <c r="E968" s="1" t="s">
        <v>5044</v>
      </c>
      <c r="F968" s="1"/>
      <c r="G968" s="1" t="s">
        <v>5045</v>
      </c>
      <c r="H968" s="1" t="s">
        <v>1121</v>
      </c>
      <c r="I968" s="1">
        <v>2472.0</v>
      </c>
      <c r="J968" s="1" t="s">
        <v>752</v>
      </c>
      <c r="K968" s="1" t="s">
        <v>95</v>
      </c>
      <c r="L968" s="1" t="s">
        <v>3327</v>
      </c>
      <c r="M968" s="1">
        <v>49.0</v>
      </c>
      <c r="N968" s="1" t="s">
        <v>2461</v>
      </c>
      <c r="O968" s="3" t="s">
        <v>5046</v>
      </c>
      <c r="P968" s="18">
        <v>45883.0</v>
      </c>
      <c r="Q968" s="1" t="s">
        <v>2731</v>
      </c>
      <c r="R968" s="1"/>
      <c r="S968" s="1" t="s">
        <v>2461</v>
      </c>
      <c r="T968" s="1" t="s">
        <v>2461</v>
      </c>
      <c r="U968" s="1" t="s">
        <v>1487</v>
      </c>
      <c r="V968" s="4" t="s">
        <v>5046</v>
      </c>
      <c r="W968" s="1"/>
      <c r="X968" s="18">
        <v>45883.0</v>
      </c>
      <c r="Y968" s="1" t="s">
        <v>1349</v>
      </c>
      <c r="Z968" s="1"/>
      <c r="AA968" s="1"/>
      <c r="AB968" s="1" t="s">
        <v>52</v>
      </c>
      <c r="AC968" s="1" t="s">
        <v>5047</v>
      </c>
      <c r="AD968" s="1"/>
      <c r="AE968" s="1" t="s">
        <v>1152</v>
      </c>
      <c r="AF968" s="1"/>
      <c r="AG968" s="1"/>
      <c r="AH968" s="1" t="s">
        <v>1152</v>
      </c>
      <c r="AI968" s="1"/>
      <c r="AJ968" s="1"/>
      <c r="AK968" s="1"/>
      <c r="AL968" s="6" t="str">
        <f t="array" ref="AL968">IFERROR(IFS(XLOOKUP(B968, 'Kit Delivery Status'!$U:$U, 'Kit Delivery Status'!$K:$K) = "Complete", "DELIVERED", XLOOKUP(B968, 'Kit Delivery Status'!$U:$U, 'Kit Delivery Status'!$K:$K) = "Issue", "ISSUE"), "")</f>
        <v/>
      </c>
      <c r="AM968" s="6"/>
    </row>
    <row r="969">
      <c r="A969" s="5" t="s">
        <v>5048</v>
      </c>
      <c r="B969" s="1" t="s">
        <v>5049</v>
      </c>
      <c r="C969" s="1"/>
      <c r="D969" s="2">
        <v>3.104182714E9</v>
      </c>
      <c r="E969" s="1" t="s">
        <v>5050</v>
      </c>
      <c r="F969" s="1"/>
      <c r="G969" s="1" t="s">
        <v>5051</v>
      </c>
      <c r="H969" s="1" t="s">
        <v>989</v>
      </c>
      <c r="I969" s="1">
        <v>91436.0</v>
      </c>
      <c r="J969" s="1" t="s">
        <v>752</v>
      </c>
      <c r="K969" s="1" t="s">
        <v>95</v>
      </c>
      <c r="L969" s="1" t="s">
        <v>3327</v>
      </c>
      <c r="M969" s="1">
        <v>49.0</v>
      </c>
      <c r="N969" s="1" t="s">
        <v>2461</v>
      </c>
      <c r="O969" s="3" t="s">
        <v>1012</v>
      </c>
      <c r="P969" s="18">
        <v>45883.0</v>
      </c>
      <c r="Q969" s="1" t="s">
        <v>2463</v>
      </c>
      <c r="R969" s="1"/>
      <c r="S969" s="1" t="s">
        <v>2461</v>
      </c>
      <c r="T969" s="1" t="s">
        <v>2461</v>
      </c>
      <c r="U969" s="1" t="s">
        <v>956</v>
      </c>
      <c r="V969" s="4" t="s">
        <v>1012</v>
      </c>
      <c r="W969" s="1"/>
      <c r="X969" s="18">
        <v>45883.0</v>
      </c>
      <c r="Y969" s="1" t="s">
        <v>1030</v>
      </c>
      <c r="Z969" s="1"/>
      <c r="AA969" s="1"/>
      <c r="AB969" s="1" t="s">
        <v>52</v>
      </c>
      <c r="AC969" s="1" t="s">
        <v>5052</v>
      </c>
      <c r="AD969" s="1"/>
      <c r="AE969" s="1" t="s">
        <v>1152</v>
      </c>
      <c r="AF969" s="1"/>
      <c r="AG969" s="1"/>
      <c r="AH969" s="1" t="s">
        <v>1152</v>
      </c>
      <c r="AI969" s="1"/>
      <c r="AJ969" s="1"/>
      <c r="AK969" s="1"/>
      <c r="AL969" s="6" t="str">
        <f t="array" ref="AL969">IFERROR(IFS(XLOOKUP(B969, 'Kit Delivery Status'!$U:$U, 'Kit Delivery Status'!$K:$K) = "Complete", "DELIVERED", XLOOKUP(B969, 'Kit Delivery Status'!$U:$U, 'Kit Delivery Status'!$K:$K) = "Issue", "ISSUE"), "")</f>
        <v/>
      </c>
      <c r="AM969" s="6"/>
    </row>
    <row r="970">
      <c r="A970" s="5" t="s">
        <v>5053</v>
      </c>
      <c r="B970" s="1" t="s">
        <v>5054</v>
      </c>
      <c r="C970" s="1" t="s">
        <v>5055</v>
      </c>
      <c r="D970" s="2"/>
      <c r="E970" s="1" t="s">
        <v>5056</v>
      </c>
      <c r="F970" s="1"/>
      <c r="G970" s="1" t="s">
        <v>5057</v>
      </c>
      <c r="H970" s="1" t="s">
        <v>2171</v>
      </c>
      <c r="I970" s="1">
        <v>44122.0</v>
      </c>
      <c r="J970" s="1" t="s">
        <v>752</v>
      </c>
      <c r="K970" s="1" t="s">
        <v>51</v>
      </c>
      <c r="L970" s="1" t="s">
        <v>3293</v>
      </c>
      <c r="M970" s="1">
        <v>1.0</v>
      </c>
      <c r="N970" s="1" t="s">
        <v>2461</v>
      </c>
      <c r="O970" s="3" t="s">
        <v>5058</v>
      </c>
      <c r="P970" s="18">
        <v>45892.0</v>
      </c>
      <c r="Q970" s="1" t="s">
        <v>2463</v>
      </c>
      <c r="R970" s="1"/>
      <c r="S970" s="1" t="s">
        <v>2461</v>
      </c>
      <c r="T970" s="1" t="s">
        <v>2461</v>
      </c>
      <c r="U970" s="1" t="s">
        <v>1055</v>
      </c>
      <c r="V970" s="4" t="s">
        <v>5058</v>
      </c>
      <c r="W970" s="1"/>
      <c r="X970" s="18">
        <v>45892.0</v>
      </c>
      <c r="Y970" s="1" t="s">
        <v>1030</v>
      </c>
      <c r="Z970" s="1"/>
      <c r="AA970" s="1"/>
      <c r="AB970" s="1" t="s">
        <v>52</v>
      </c>
      <c r="AC970" s="1" t="s">
        <v>1925</v>
      </c>
      <c r="AD970" s="1"/>
      <c r="AE970" s="1" t="s">
        <v>1152</v>
      </c>
      <c r="AF970" s="1"/>
      <c r="AG970" s="1"/>
      <c r="AH970" s="1" t="s">
        <v>1152</v>
      </c>
      <c r="AI970" s="1"/>
      <c r="AJ970" s="1"/>
      <c r="AK970" s="1"/>
      <c r="AL970" s="6" t="str">
        <f t="array" ref="AL970">IFERROR(IFS(XLOOKUP(B970, 'Kit Delivery Status'!$U:$U, 'Kit Delivery Status'!$K:$K) = "Complete", "DELIVERED", XLOOKUP(B970, 'Kit Delivery Status'!$U:$U, 'Kit Delivery Status'!$K:$K) = "Issue", "ISSUE"), "")</f>
        <v/>
      </c>
      <c r="AM970" s="6"/>
    </row>
    <row r="971">
      <c r="A971" s="5" t="s">
        <v>5059</v>
      </c>
      <c r="B971" s="1" t="s">
        <v>5060</v>
      </c>
      <c r="C971" s="1" t="s">
        <v>985</v>
      </c>
      <c r="D971" s="2">
        <v>8.18648927E9</v>
      </c>
      <c r="E971" s="1" t="s">
        <v>5061</v>
      </c>
      <c r="F971" s="1"/>
      <c r="G971" s="1" t="s">
        <v>988</v>
      </c>
      <c r="H971" s="1" t="s">
        <v>989</v>
      </c>
      <c r="I971" s="1">
        <v>91367.0</v>
      </c>
      <c r="J971" s="1" t="s">
        <v>752</v>
      </c>
      <c r="K971" s="1" t="s">
        <v>66</v>
      </c>
      <c r="L971" s="1" t="s">
        <v>3350</v>
      </c>
      <c r="M971" s="1">
        <v>145.0</v>
      </c>
      <c r="N971" s="1" t="s">
        <v>1152</v>
      </c>
      <c r="O971" s="3" t="s">
        <v>5062</v>
      </c>
      <c r="P971" s="39">
        <v>45881.0</v>
      </c>
      <c r="Q971" s="1" t="s">
        <v>1152</v>
      </c>
      <c r="R971" s="1"/>
      <c r="S971" s="1" t="s">
        <v>1152</v>
      </c>
      <c r="T971" s="1" t="s">
        <v>1152</v>
      </c>
      <c r="U971" s="1" t="s">
        <v>982</v>
      </c>
      <c r="V971" s="4" t="s">
        <v>5062</v>
      </c>
      <c r="W971" s="1"/>
      <c r="X971" s="39">
        <v>45881.0</v>
      </c>
      <c r="Y971" s="1"/>
      <c r="Z971" s="1"/>
      <c r="AA971" s="1"/>
      <c r="AB971" s="1"/>
      <c r="AC971" s="1" t="s">
        <v>1925</v>
      </c>
      <c r="AD971" s="1"/>
      <c r="AE971" s="1" t="s">
        <v>1152</v>
      </c>
      <c r="AF971" s="1"/>
      <c r="AG971" s="1"/>
      <c r="AH971" s="1" t="s">
        <v>1152</v>
      </c>
      <c r="AI971" s="1"/>
      <c r="AJ971" s="1"/>
      <c r="AK971" s="1"/>
      <c r="AL971" s="6" t="str">
        <f t="array" ref="AL971">IFERROR(IFS(XLOOKUP(B971, 'Kit Delivery Status'!$U:$U, 'Kit Delivery Status'!$K:$K) = "Complete", "DELIVERED", XLOOKUP(B971, 'Kit Delivery Status'!$U:$U, 'Kit Delivery Status'!$K:$K) = "Issue", "ISSUE"), "")</f>
        <v/>
      </c>
      <c r="AM971" s="6"/>
    </row>
    <row r="972">
      <c r="A972" s="5" t="s">
        <v>5063</v>
      </c>
      <c r="B972" s="1" t="s">
        <v>5064</v>
      </c>
      <c r="C972" s="1" t="s">
        <v>5065</v>
      </c>
      <c r="D972" s="2">
        <v>9.145649674E9</v>
      </c>
      <c r="E972" s="1" t="s">
        <v>5066</v>
      </c>
      <c r="F972" s="1"/>
      <c r="G972" s="1" t="s">
        <v>1382</v>
      </c>
      <c r="H972" s="1" t="s">
        <v>751</v>
      </c>
      <c r="I972" s="1">
        <v>10583.0</v>
      </c>
      <c r="J972" s="1" t="s">
        <v>752</v>
      </c>
      <c r="K972" s="1" t="s">
        <v>95</v>
      </c>
      <c r="L972" s="1" t="s">
        <v>3327</v>
      </c>
      <c r="M972" s="1">
        <v>49.0</v>
      </c>
      <c r="N972" s="1" t="s">
        <v>2461</v>
      </c>
      <c r="O972" s="3" t="s">
        <v>5067</v>
      </c>
      <c r="P972" s="18">
        <v>45883.0</v>
      </c>
      <c r="Q972" s="1" t="s">
        <v>2463</v>
      </c>
      <c r="R972" s="1"/>
      <c r="S972" s="1" t="s">
        <v>2461</v>
      </c>
      <c r="T972" s="1" t="s">
        <v>2461</v>
      </c>
      <c r="U972" s="1" t="s">
        <v>1133</v>
      </c>
      <c r="V972" s="4" t="s">
        <v>5067</v>
      </c>
      <c r="W972" s="1"/>
      <c r="X972" s="18">
        <v>45883.0</v>
      </c>
      <c r="Y972" s="1" t="s">
        <v>1030</v>
      </c>
      <c r="Z972" s="1"/>
      <c r="AA972" s="1"/>
      <c r="AB972" s="1" t="s">
        <v>52</v>
      </c>
      <c r="AC972" s="1" t="s">
        <v>5068</v>
      </c>
      <c r="AD972" s="1"/>
      <c r="AE972" s="1" t="s">
        <v>1152</v>
      </c>
      <c r="AF972" s="1"/>
      <c r="AG972" s="1"/>
      <c r="AH972" s="1" t="s">
        <v>1152</v>
      </c>
      <c r="AI972" s="1"/>
      <c r="AJ972" s="1"/>
      <c r="AK972" s="1"/>
      <c r="AL972" s="6" t="str">
        <f t="array" ref="AL972">IFERROR(IFS(XLOOKUP(B972, 'Kit Delivery Status'!$U:$U, 'Kit Delivery Status'!$K:$K) = "Complete", "DELIVERED", XLOOKUP(B972, 'Kit Delivery Status'!$U:$U, 'Kit Delivery Status'!$K:$K) = "Issue", "ISSUE"), "")</f>
        <v/>
      </c>
      <c r="AM972" s="6"/>
    </row>
    <row r="973">
      <c r="A973" s="5" t="s">
        <v>5069</v>
      </c>
      <c r="B973" s="1" t="s">
        <v>5070</v>
      </c>
      <c r="C973" s="1"/>
      <c r="D973" s="2">
        <v>7.088332708E9</v>
      </c>
      <c r="E973" s="1" t="s">
        <v>5071</v>
      </c>
      <c r="F973" s="1"/>
      <c r="G973" s="1" t="s">
        <v>5072</v>
      </c>
      <c r="H973" s="1" t="s">
        <v>1019</v>
      </c>
      <c r="I973" s="1">
        <v>60438.0</v>
      </c>
      <c r="J973" s="1" t="s">
        <v>752</v>
      </c>
      <c r="K973" s="1" t="s">
        <v>51</v>
      </c>
      <c r="L973" s="1" t="s">
        <v>3293</v>
      </c>
      <c r="M973" s="1">
        <v>1.0</v>
      </c>
      <c r="N973" s="1" t="s">
        <v>2461</v>
      </c>
      <c r="O973" s="3" t="s">
        <v>1054</v>
      </c>
      <c r="P973" s="18">
        <v>45890.0</v>
      </c>
      <c r="Q973" s="1" t="s">
        <v>2463</v>
      </c>
      <c r="R973" s="1"/>
      <c r="S973" s="1" t="s">
        <v>2461</v>
      </c>
      <c r="T973" s="1" t="s">
        <v>2461</v>
      </c>
      <c r="U973" s="1" t="s">
        <v>1065</v>
      </c>
      <c r="V973" s="4" t="s">
        <v>1054</v>
      </c>
      <c r="W973" s="1"/>
      <c r="X973" s="18">
        <v>45890.0</v>
      </c>
      <c r="Y973" s="1" t="s">
        <v>1030</v>
      </c>
      <c r="Z973" s="1"/>
      <c r="AA973" s="1"/>
      <c r="AB973" s="1" t="s">
        <v>52</v>
      </c>
      <c r="AC973" s="1" t="s">
        <v>1925</v>
      </c>
      <c r="AD973" s="1"/>
      <c r="AE973" s="1" t="s">
        <v>1152</v>
      </c>
      <c r="AF973" s="1"/>
      <c r="AG973" s="1"/>
      <c r="AH973" s="1" t="s">
        <v>1152</v>
      </c>
      <c r="AI973" s="1"/>
      <c r="AJ973" s="1"/>
      <c r="AK973" s="1"/>
      <c r="AL973" s="6" t="str">
        <f t="array" ref="AL973">IFERROR(IFS(XLOOKUP(B973, 'Kit Delivery Status'!$U:$U, 'Kit Delivery Status'!$K:$K) = "Complete", "DELIVERED", XLOOKUP(B973, 'Kit Delivery Status'!$U:$U, 'Kit Delivery Status'!$K:$K) = "Issue", "ISSUE"), "")</f>
        <v/>
      </c>
      <c r="AM973" s="6"/>
    </row>
    <row r="974">
      <c r="A974" s="5" t="s">
        <v>5073</v>
      </c>
      <c r="B974" s="1" t="s">
        <v>5074</v>
      </c>
      <c r="C974" s="1"/>
      <c r="D974" s="2">
        <v>3.148278069E9</v>
      </c>
      <c r="E974" s="1" t="s">
        <v>5075</v>
      </c>
      <c r="F974" s="1" t="s">
        <v>5076</v>
      </c>
      <c r="G974" s="1" t="s">
        <v>1283</v>
      </c>
      <c r="H974" s="1" t="s">
        <v>1155</v>
      </c>
      <c r="I974" s="1">
        <v>63105.0</v>
      </c>
      <c r="J974" s="1" t="s">
        <v>752</v>
      </c>
      <c r="K974" s="1" t="s">
        <v>51</v>
      </c>
      <c r="L974" s="1" t="s">
        <v>3293</v>
      </c>
      <c r="M974" s="1">
        <v>1.0</v>
      </c>
      <c r="N974" s="1" t="s">
        <v>2487</v>
      </c>
      <c r="O974" s="3"/>
      <c r="P974" s="18">
        <v>45892.0</v>
      </c>
      <c r="Q974" s="1" t="s">
        <v>2463</v>
      </c>
      <c r="R974" s="1" t="s">
        <v>5076</v>
      </c>
      <c r="S974" s="1" t="s">
        <v>2487</v>
      </c>
      <c r="T974" s="1" t="s">
        <v>2487</v>
      </c>
      <c r="U974" s="1"/>
      <c r="V974" s="4"/>
      <c r="W974" s="1" t="s">
        <v>5076</v>
      </c>
      <c r="X974" s="18">
        <v>45892.0</v>
      </c>
      <c r="Y974" s="1" t="s">
        <v>1030</v>
      </c>
      <c r="Z974" s="1"/>
      <c r="AA974" s="1" t="s">
        <v>5076</v>
      </c>
      <c r="AB974" s="1" t="s">
        <v>124</v>
      </c>
      <c r="AC974" s="1" t="s">
        <v>1925</v>
      </c>
      <c r="AD974" s="1"/>
      <c r="AE974" s="1" t="s">
        <v>1152</v>
      </c>
      <c r="AF974" s="1"/>
      <c r="AG974" s="1"/>
      <c r="AH974" s="1" t="s">
        <v>1152</v>
      </c>
      <c r="AI974" s="1"/>
      <c r="AJ974" s="1"/>
      <c r="AK974" s="1"/>
      <c r="AL974" s="6" t="str">
        <f t="array" ref="AL974">IFERROR(IFS(XLOOKUP(B974, 'Kit Delivery Status'!$U:$U, 'Kit Delivery Status'!$K:$K) = "Complete", "DELIVERED", XLOOKUP(B974, 'Kit Delivery Status'!$U:$U, 'Kit Delivery Status'!$K:$K) = "Issue", "ISSUE"), "")</f>
        <v/>
      </c>
      <c r="AM974" s="6"/>
    </row>
    <row r="975">
      <c r="A975" s="5" t="s">
        <v>5077</v>
      </c>
      <c r="B975" s="1" t="s">
        <v>5078</v>
      </c>
      <c r="C975" s="1" t="s">
        <v>5079</v>
      </c>
      <c r="D975" s="2">
        <v>9.54661224E9</v>
      </c>
      <c r="E975" s="1" t="s">
        <v>5080</v>
      </c>
      <c r="F975" s="1"/>
      <c r="G975" s="1" t="s">
        <v>5081</v>
      </c>
      <c r="H975" s="1" t="s">
        <v>1208</v>
      </c>
      <c r="I975" s="1">
        <v>33312.0</v>
      </c>
      <c r="J975" s="1" t="s">
        <v>752</v>
      </c>
      <c r="K975" s="1" t="s">
        <v>95</v>
      </c>
      <c r="L975" s="1" t="s">
        <v>3327</v>
      </c>
      <c r="M975" s="1">
        <v>49.0</v>
      </c>
      <c r="N975" s="1" t="s">
        <v>2461</v>
      </c>
      <c r="O975" s="3" t="s">
        <v>5082</v>
      </c>
      <c r="P975" s="18">
        <v>45883.0</v>
      </c>
      <c r="Q975" s="1" t="s">
        <v>2463</v>
      </c>
      <c r="R975" s="1"/>
      <c r="S975" s="1" t="s">
        <v>2461</v>
      </c>
      <c r="T975" s="1" t="s">
        <v>2461</v>
      </c>
      <c r="U975" s="1" t="s">
        <v>1031</v>
      </c>
      <c r="V975" s="4" t="s">
        <v>5082</v>
      </c>
      <c r="W975" s="1"/>
      <c r="X975" s="18">
        <v>45883.0</v>
      </c>
      <c r="Y975" s="1" t="s">
        <v>1030</v>
      </c>
      <c r="Z975" s="1"/>
      <c r="AA975" s="1"/>
      <c r="AB975" s="1" t="s">
        <v>52</v>
      </c>
      <c r="AC975" s="1" t="s">
        <v>5083</v>
      </c>
      <c r="AD975" s="1"/>
      <c r="AE975" s="1" t="s">
        <v>1152</v>
      </c>
      <c r="AF975" s="1"/>
      <c r="AG975" s="1"/>
      <c r="AH975" s="1" t="s">
        <v>1152</v>
      </c>
      <c r="AI975" s="1"/>
      <c r="AJ975" s="1"/>
      <c r="AK975" s="1"/>
      <c r="AL975" s="6" t="str">
        <f t="array" ref="AL975">IFERROR(IFS(XLOOKUP(B975, 'Kit Delivery Status'!$U:$U, 'Kit Delivery Status'!$K:$K) = "Complete", "DELIVERED", XLOOKUP(B975, 'Kit Delivery Status'!$U:$U, 'Kit Delivery Status'!$K:$K) = "Issue", "ISSUE"), "")</f>
        <v/>
      </c>
      <c r="AM975" s="6"/>
    </row>
    <row r="976">
      <c r="A976" s="5" t="s">
        <v>5084</v>
      </c>
      <c r="B976" s="1" t="s">
        <v>5085</v>
      </c>
      <c r="C976" s="1" t="s">
        <v>5086</v>
      </c>
      <c r="D976" s="2">
        <v>1.2036877978E10</v>
      </c>
      <c r="E976" s="1" t="s">
        <v>5087</v>
      </c>
      <c r="F976" s="1"/>
      <c r="G976" s="1" t="s">
        <v>4652</v>
      </c>
      <c r="H976" s="1" t="s">
        <v>1078</v>
      </c>
      <c r="I976" s="1">
        <v>6443.0</v>
      </c>
      <c r="J976" s="1" t="s">
        <v>752</v>
      </c>
      <c r="K976" s="1" t="s">
        <v>95</v>
      </c>
      <c r="L976" s="1" t="s">
        <v>3327</v>
      </c>
      <c r="M976" s="1">
        <v>49.0</v>
      </c>
      <c r="N976" s="1" t="s">
        <v>2461</v>
      </c>
      <c r="O976" s="3" t="s">
        <v>809</v>
      </c>
      <c r="P976" s="18">
        <v>45883.0</v>
      </c>
      <c r="Q976" s="1" t="s">
        <v>2463</v>
      </c>
      <c r="R976" s="1"/>
      <c r="S976" s="1" t="s">
        <v>2461</v>
      </c>
      <c r="T976" s="1" t="s">
        <v>2461</v>
      </c>
      <c r="U976" s="1" t="s">
        <v>1277</v>
      </c>
      <c r="V976" s="4" t="s">
        <v>809</v>
      </c>
      <c r="W976" s="1"/>
      <c r="X976" s="18">
        <v>45883.0</v>
      </c>
      <c r="Y976" s="1" t="s">
        <v>1030</v>
      </c>
      <c r="Z976" s="1"/>
      <c r="AA976" s="1"/>
      <c r="AB976" s="1" t="s">
        <v>52</v>
      </c>
      <c r="AC976" s="1" t="s">
        <v>5088</v>
      </c>
      <c r="AD976" s="1"/>
      <c r="AE976" s="1" t="s">
        <v>1152</v>
      </c>
      <c r="AF976" s="1"/>
      <c r="AG976" s="1"/>
      <c r="AH976" s="1" t="s">
        <v>1152</v>
      </c>
      <c r="AI976" s="1"/>
      <c r="AJ976" s="1"/>
      <c r="AK976" s="1"/>
      <c r="AL976" s="6" t="str">
        <f t="array" ref="AL976">IFERROR(IFS(XLOOKUP(B976, 'Kit Delivery Status'!$U:$U, 'Kit Delivery Status'!$K:$K) = "Complete", "DELIVERED", XLOOKUP(B976, 'Kit Delivery Status'!$U:$U, 'Kit Delivery Status'!$K:$K) = "Issue", "ISSUE"), "")</f>
        <v/>
      </c>
      <c r="AM976" s="6"/>
    </row>
    <row r="977">
      <c r="A977" s="5" t="s">
        <v>5089</v>
      </c>
      <c r="B977" s="1" t="s">
        <v>5090</v>
      </c>
      <c r="C977" s="1" t="s">
        <v>5091</v>
      </c>
      <c r="D977" s="2">
        <v>9.293539947E9</v>
      </c>
      <c r="E977" s="1" t="s">
        <v>5092</v>
      </c>
      <c r="F977" s="1"/>
      <c r="G977" s="1" t="s">
        <v>5093</v>
      </c>
      <c r="H977" s="1" t="s">
        <v>751</v>
      </c>
      <c r="I977" s="1">
        <v>11435.0</v>
      </c>
      <c r="J977" s="1" t="s">
        <v>752</v>
      </c>
      <c r="K977" s="1" t="s">
        <v>95</v>
      </c>
      <c r="L977" s="1" t="s">
        <v>3327</v>
      </c>
      <c r="M977" s="1">
        <v>49.0</v>
      </c>
      <c r="N977" s="1" t="s">
        <v>2461</v>
      </c>
      <c r="O977" s="3" t="s">
        <v>4549</v>
      </c>
      <c r="P977" s="18">
        <v>45883.0</v>
      </c>
      <c r="Q977" s="1" t="s">
        <v>2502</v>
      </c>
      <c r="R977" s="1"/>
      <c r="S977" s="1" t="s">
        <v>2461</v>
      </c>
      <c r="T977" s="1" t="s">
        <v>2461</v>
      </c>
      <c r="U977" s="1" t="s">
        <v>1487</v>
      </c>
      <c r="V977" s="4" t="s">
        <v>4549</v>
      </c>
      <c r="W977" s="1"/>
      <c r="X977" s="18">
        <v>45883.0</v>
      </c>
      <c r="Y977" s="1" t="s">
        <v>1630</v>
      </c>
      <c r="Z977" s="1"/>
      <c r="AA977" s="1"/>
      <c r="AB977" s="1" t="s">
        <v>52</v>
      </c>
      <c r="AC977" s="1" t="s">
        <v>5094</v>
      </c>
      <c r="AD977" s="1"/>
      <c r="AE977" s="1" t="s">
        <v>1152</v>
      </c>
      <c r="AF977" s="1"/>
      <c r="AG977" s="1"/>
      <c r="AH977" s="1" t="s">
        <v>1152</v>
      </c>
      <c r="AI977" s="1"/>
      <c r="AJ977" s="1"/>
      <c r="AK977" s="1"/>
      <c r="AL977" s="6" t="str">
        <f t="array" ref="AL977">IFERROR(IFS(XLOOKUP(B977, 'Kit Delivery Status'!$U:$U, 'Kit Delivery Status'!$K:$K) = "Complete", "DELIVERED", XLOOKUP(B977, 'Kit Delivery Status'!$U:$U, 'Kit Delivery Status'!$K:$K) = "Issue", "ISSUE"), "")</f>
        <v/>
      </c>
      <c r="AM977" s="6"/>
    </row>
    <row r="978">
      <c r="A978" s="5" t="s">
        <v>5095</v>
      </c>
      <c r="B978" s="1" t="s">
        <v>5096</v>
      </c>
      <c r="C978" s="1" t="s">
        <v>5097</v>
      </c>
      <c r="D978" s="2">
        <v>16179529987</v>
      </c>
      <c r="E978" s="1" t="s">
        <v>5098</v>
      </c>
      <c r="F978" s="1"/>
      <c r="G978" s="1" t="s">
        <v>1354</v>
      </c>
      <c r="H978" s="1" t="s">
        <v>1121</v>
      </c>
      <c r="I978" s="1">
        <v>2461.0</v>
      </c>
      <c r="J978" s="1" t="s">
        <v>752</v>
      </c>
      <c r="K978" s="1" t="s">
        <v>66</v>
      </c>
      <c r="L978" s="1" t="s">
        <v>3364</v>
      </c>
      <c r="M978" s="1">
        <v>115.0</v>
      </c>
      <c r="N978" s="1" t="s">
        <v>1152</v>
      </c>
      <c r="O978" s="3" t="s">
        <v>5099</v>
      </c>
      <c r="P978" s="18">
        <v>45881.0</v>
      </c>
      <c r="Q978" s="1" t="s">
        <v>1152</v>
      </c>
      <c r="R978" s="1"/>
      <c r="S978" s="1" t="s">
        <v>1152</v>
      </c>
      <c r="T978" s="1" t="s">
        <v>1152</v>
      </c>
      <c r="U978" s="1" t="s">
        <v>1039</v>
      </c>
      <c r="V978" s="4" t="s">
        <v>5099</v>
      </c>
      <c r="W978" s="1"/>
      <c r="X978" s="18">
        <v>45881.0</v>
      </c>
      <c r="Y978" s="1"/>
      <c r="Z978" s="1"/>
      <c r="AA978" s="1"/>
      <c r="AB978" s="1"/>
      <c r="AC978" s="1" t="s">
        <v>1925</v>
      </c>
      <c r="AD978" s="1"/>
      <c r="AE978" s="1" t="s">
        <v>1152</v>
      </c>
      <c r="AF978" s="1"/>
      <c r="AG978" s="1"/>
      <c r="AH978" s="1" t="s">
        <v>1152</v>
      </c>
      <c r="AI978" s="1"/>
      <c r="AJ978" s="1"/>
      <c r="AK978" s="1"/>
      <c r="AL978" s="6" t="str">
        <f t="array" ref="AL978">IFERROR(IFS(XLOOKUP(B978, 'Kit Delivery Status'!$U:$U, 'Kit Delivery Status'!$K:$K) = "Complete", "DELIVERED", XLOOKUP(B978, 'Kit Delivery Status'!$U:$U, 'Kit Delivery Status'!$K:$K) = "Issue", "ISSUE"), "")</f>
        <v/>
      </c>
      <c r="AM978" s="6"/>
    </row>
    <row r="979">
      <c r="A979" s="5" t="s">
        <v>5100</v>
      </c>
      <c r="B979" s="1" t="s">
        <v>5101</v>
      </c>
      <c r="C979" s="1" t="s">
        <v>5102</v>
      </c>
      <c r="D979" s="2">
        <v>8.062399265E9</v>
      </c>
      <c r="E979" s="1" t="s">
        <v>5103</v>
      </c>
      <c r="F979" s="1"/>
      <c r="G979" s="1" t="s">
        <v>5104</v>
      </c>
      <c r="H979" s="1" t="s">
        <v>1583</v>
      </c>
      <c r="I979" s="1">
        <v>79423.0</v>
      </c>
      <c r="J979" s="1" t="s">
        <v>752</v>
      </c>
      <c r="K979" s="1" t="s">
        <v>51</v>
      </c>
      <c r="L979" s="1" t="s">
        <v>3293</v>
      </c>
      <c r="M979" s="1">
        <v>1.0</v>
      </c>
      <c r="N979" s="1" t="s">
        <v>2461</v>
      </c>
      <c r="O979" s="3" t="s">
        <v>3510</v>
      </c>
      <c r="P979" s="18">
        <v>45892.0</v>
      </c>
      <c r="Q979" s="1" t="s">
        <v>2463</v>
      </c>
      <c r="R979" s="1"/>
      <c r="S979" s="1" t="s">
        <v>2461</v>
      </c>
      <c r="T979" s="1" t="s">
        <v>2461</v>
      </c>
      <c r="U979" s="1" t="s">
        <v>948</v>
      </c>
      <c r="V979" s="4" t="s">
        <v>3510</v>
      </c>
      <c r="W979" s="1"/>
      <c r="X979" s="18">
        <v>45892.0</v>
      </c>
      <c r="Y979" s="1" t="s">
        <v>1030</v>
      </c>
      <c r="Z979" s="1"/>
      <c r="AA979" s="1"/>
      <c r="AB979" s="1" t="s">
        <v>52</v>
      </c>
      <c r="AC979" s="1" t="s">
        <v>1925</v>
      </c>
      <c r="AD979" s="1"/>
      <c r="AE979" s="1" t="s">
        <v>1152</v>
      </c>
      <c r="AF979" s="1"/>
      <c r="AG979" s="1"/>
      <c r="AH979" s="1" t="s">
        <v>1152</v>
      </c>
      <c r="AI979" s="1"/>
      <c r="AJ979" s="1"/>
      <c r="AK979" s="1"/>
      <c r="AL979" s="6" t="str">
        <f t="array" ref="AL979">IFERROR(IFS(XLOOKUP(B979, 'Kit Delivery Status'!$U:$U, 'Kit Delivery Status'!$K:$K) = "Complete", "DELIVERED", XLOOKUP(B979, 'Kit Delivery Status'!$U:$U, 'Kit Delivery Status'!$K:$K) = "Issue", "ISSUE"), "")</f>
        <v/>
      </c>
      <c r="AM979" s="6"/>
    </row>
    <row r="980">
      <c r="A980" s="5" t="s">
        <v>5105</v>
      </c>
      <c r="B980" s="1" t="s">
        <v>5106</v>
      </c>
      <c r="C980" s="1" t="s">
        <v>4769</v>
      </c>
      <c r="D980" s="2">
        <v>2.133082438E9</v>
      </c>
      <c r="E980" s="1" t="s">
        <v>5107</v>
      </c>
      <c r="F980" s="1"/>
      <c r="G980" s="1" t="s">
        <v>1179</v>
      </c>
      <c r="H980" s="1" t="s">
        <v>989</v>
      </c>
      <c r="I980" s="1">
        <v>90010.0</v>
      </c>
      <c r="J980" s="1" t="s">
        <v>752</v>
      </c>
      <c r="K980" s="1" t="s">
        <v>95</v>
      </c>
      <c r="L980" s="1" t="s">
        <v>3327</v>
      </c>
      <c r="M980" s="1">
        <v>49.0</v>
      </c>
      <c r="N980" s="1" t="s">
        <v>2461</v>
      </c>
      <c r="O980" s="3" t="s">
        <v>4771</v>
      </c>
      <c r="P980" s="18">
        <v>45883.0</v>
      </c>
      <c r="Q980" s="1" t="s">
        <v>2463</v>
      </c>
      <c r="R980" s="1"/>
      <c r="S980" s="1" t="s">
        <v>2461</v>
      </c>
      <c r="T980" s="1" t="s">
        <v>2461</v>
      </c>
      <c r="U980" s="1" t="s">
        <v>1174</v>
      </c>
      <c r="V980" s="4" t="s">
        <v>4771</v>
      </c>
      <c r="W980" s="1"/>
      <c r="X980" s="18">
        <v>45883.0</v>
      </c>
      <c r="Y980" s="1" t="s">
        <v>1030</v>
      </c>
      <c r="Z980" s="1"/>
      <c r="AA980" s="1"/>
      <c r="AB980" s="1" t="s">
        <v>52</v>
      </c>
      <c r="AC980" s="1" t="s">
        <v>5108</v>
      </c>
      <c r="AD980" s="1"/>
      <c r="AE980" s="1" t="s">
        <v>1152</v>
      </c>
      <c r="AF980" s="1"/>
      <c r="AG980" s="1"/>
      <c r="AH980" s="1" t="s">
        <v>1152</v>
      </c>
      <c r="AI980" s="1"/>
      <c r="AJ980" s="1"/>
      <c r="AK980" s="1"/>
      <c r="AL980" s="6" t="str">
        <f t="array" ref="AL980">IFERROR(IFS(XLOOKUP(B980, 'Kit Delivery Status'!$U:$U, 'Kit Delivery Status'!$K:$K) = "Complete", "DELIVERED", XLOOKUP(B980, 'Kit Delivery Status'!$U:$U, 'Kit Delivery Status'!$K:$K) = "Issue", "ISSUE"), "")</f>
        <v/>
      </c>
      <c r="AM980" s="6"/>
    </row>
    <row r="981">
      <c r="A981" s="5" t="s">
        <v>5109</v>
      </c>
      <c r="B981" s="1" t="s">
        <v>5110</v>
      </c>
      <c r="C981" s="1" t="s">
        <v>5111</v>
      </c>
      <c r="D981" s="2"/>
      <c r="E981" s="1" t="s">
        <v>5112</v>
      </c>
      <c r="F981" s="1"/>
      <c r="G981" s="1" t="s">
        <v>5113</v>
      </c>
      <c r="H981" s="1" t="s">
        <v>989</v>
      </c>
      <c r="I981" s="1">
        <v>91302.0</v>
      </c>
      <c r="J981" s="1" t="s">
        <v>752</v>
      </c>
      <c r="K981" s="1" t="s">
        <v>95</v>
      </c>
      <c r="L981" s="1" t="s">
        <v>3327</v>
      </c>
      <c r="M981" s="1">
        <v>49.0</v>
      </c>
      <c r="N981" s="1" t="s">
        <v>2461</v>
      </c>
      <c r="O981" s="3" t="s">
        <v>5114</v>
      </c>
      <c r="P981" s="18">
        <v>45891.0</v>
      </c>
      <c r="Q981" s="1" t="s">
        <v>2502</v>
      </c>
      <c r="R981" s="1"/>
      <c r="S981" s="1" t="s">
        <v>2461</v>
      </c>
      <c r="T981" s="1" t="s">
        <v>2461</v>
      </c>
      <c r="U981" s="1" t="s">
        <v>2940</v>
      </c>
      <c r="V981" s="4" t="s">
        <v>5114</v>
      </c>
      <c r="W981" s="1"/>
      <c r="X981" s="18">
        <v>45891.0</v>
      </c>
      <c r="Y981" s="1" t="s">
        <v>1630</v>
      </c>
      <c r="Z981" s="1"/>
      <c r="AA981" s="1"/>
      <c r="AB981" s="1" t="s">
        <v>52</v>
      </c>
      <c r="AC981" s="1" t="s">
        <v>5115</v>
      </c>
      <c r="AD981" s="1"/>
      <c r="AE981" s="1" t="s">
        <v>1152</v>
      </c>
      <c r="AF981" s="1"/>
      <c r="AG981" s="1"/>
      <c r="AH981" s="1" t="s">
        <v>1152</v>
      </c>
      <c r="AI981" s="1"/>
      <c r="AJ981" s="1"/>
      <c r="AK981" s="1"/>
      <c r="AL981" s="6" t="str">
        <f t="array" ref="AL981">IFERROR(IFS(XLOOKUP(B981, 'Kit Delivery Status'!$U:$U, 'Kit Delivery Status'!$K:$K) = "Complete", "DELIVERED", XLOOKUP(B981, 'Kit Delivery Status'!$U:$U, 'Kit Delivery Status'!$K:$K) = "Issue", "ISSUE"), "")</f>
        <v/>
      </c>
      <c r="AM981" s="6"/>
    </row>
    <row r="982">
      <c r="A982" s="5" t="s">
        <v>5116</v>
      </c>
      <c r="B982" s="1" t="s">
        <v>5117</v>
      </c>
      <c r="C982" s="1" t="s">
        <v>5118</v>
      </c>
      <c r="D982" s="2">
        <v>2.167604743E9</v>
      </c>
      <c r="E982" s="1" t="s">
        <v>5119</v>
      </c>
      <c r="F982" s="1"/>
      <c r="G982" s="1" t="s">
        <v>5120</v>
      </c>
      <c r="H982" s="1" t="s">
        <v>2171</v>
      </c>
      <c r="I982" s="1">
        <v>44104.0</v>
      </c>
      <c r="J982" s="1" t="s">
        <v>752</v>
      </c>
      <c r="K982" s="1" t="s">
        <v>95</v>
      </c>
      <c r="L982" s="1" t="s">
        <v>3327</v>
      </c>
      <c r="M982" s="1">
        <v>49.0</v>
      </c>
      <c r="N982" s="1" t="s">
        <v>2461</v>
      </c>
      <c r="O982" s="3" t="s">
        <v>258</v>
      </c>
      <c r="P982" s="18">
        <v>45883.0</v>
      </c>
      <c r="Q982" s="1" t="s">
        <v>2463</v>
      </c>
      <c r="R982" s="1"/>
      <c r="S982" s="1" t="s">
        <v>2461</v>
      </c>
      <c r="T982" s="1" t="s">
        <v>2461</v>
      </c>
      <c r="U982" s="1" t="s">
        <v>102</v>
      </c>
      <c r="V982" s="4" t="s">
        <v>258</v>
      </c>
      <c r="W982" s="1"/>
      <c r="X982" s="18">
        <v>45883.0</v>
      </c>
      <c r="Y982" s="1" t="s">
        <v>1030</v>
      </c>
      <c r="Z982" s="1"/>
      <c r="AA982" s="1"/>
      <c r="AB982" s="1" t="s">
        <v>52</v>
      </c>
      <c r="AC982" s="1" t="s">
        <v>5121</v>
      </c>
      <c r="AD982" s="1"/>
      <c r="AE982" s="1" t="s">
        <v>1152</v>
      </c>
      <c r="AF982" s="1"/>
      <c r="AG982" s="1"/>
      <c r="AH982" s="1" t="s">
        <v>1152</v>
      </c>
      <c r="AI982" s="1"/>
      <c r="AJ982" s="1"/>
      <c r="AK982" s="1"/>
      <c r="AL982" s="6" t="str">
        <f t="array" ref="AL982">IFERROR(IFS(XLOOKUP(B982, 'Kit Delivery Status'!$U:$U, 'Kit Delivery Status'!$K:$K) = "Complete", "DELIVERED", XLOOKUP(B982, 'Kit Delivery Status'!$U:$U, 'Kit Delivery Status'!$K:$K) = "Issue", "ISSUE"), "")</f>
        <v/>
      </c>
      <c r="AM982" s="6"/>
    </row>
    <row r="983">
      <c r="A983" s="5" t="s">
        <v>5122</v>
      </c>
      <c r="B983" s="1" t="s">
        <v>5123</v>
      </c>
      <c r="C983" s="1" t="s">
        <v>5124</v>
      </c>
      <c r="D983" s="2">
        <v>2.485612354E9</v>
      </c>
      <c r="E983" s="1" t="s">
        <v>5125</v>
      </c>
      <c r="F983" s="1" t="s">
        <v>5126</v>
      </c>
      <c r="G983" s="1" t="s">
        <v>1085</v>
      </c>
      <c r="H983" s="1" t="s">
        <v>1691</v>
      </c>
      <c r="I983" s="1">
        <v>48009.0</v>
      </c>
      <c r="J983" s="1" t="s">
        <v>752</v>
      </c>
      <c r="K983" s="1" t="s">
        <v>51</v>
      </c>
      <c r="L983" s="1" t="s">
        <v>3293</v>
      </c>
      <c r="M983" s="1">
        <v>1.0</v>
      </c>
      <c r="N983" s="1" t="s">
        <v>2487</v>
      </c>
      <c r="O983" s="3"/>
      <c r="P983" s="18">
        <v>45890.0</v>
      </c>
      <c r="Q983" s="1" t="s">
        <v>2731</v>
      </c>
      <c r="R983" s="1" t="s">
        <v>5127</v>
      </c>
      <c r="S983" s="1" t="s">
        <v>2487</v>
      </c>
      <c r="T983" s="1" t="s">
        <v>2487</v>
      </c>
      <c r="U983" s="1"/>
      <c r="V983" s="4"/>
      <c r="W983" s="1" t="s">
        <v>5127</v>
      </c>
      <c r="X983" s="18">
        <v>45890.0</v>
      </c>
      <c r="Y983" s="1" t="s">
        <v>2731</v>
      </c>
      <c r="Z983" s="1"/>
      <c r="AA983" s="1" t="s">
        <v>5127</v>
      </c>
      <c r="AB983" s="1" t="s">
        <v>124</v>
      </c>
      <c r="AC983" s="1" t="s">
        <v>1925</v>
      </c>
      <c r="AD983" s="1"/>
      <c r="AE983" s="1" t="s">
        <v>1152</v>
      </c>
      <c r="AF983" s="1"/>
      <c r="AG983" s="1"/>
      <c r="AH983" s="1" t="s">
        <v>1152</v>
      </c>
      <c r="AI983" s="1"/>
      <c r="AJ983" s="1"/>
      <c r="AK983" s="1"/>
      <c r="AL983" s="6" t="str">
        <f t="array" ref="AL983">IFERROR(IFS(XLOOKUP(B983, 'Kit Delivery Status'!$U:$U, 'Kit Delivery Status'!$K:$K) = "Complete", "DELIVERED", XLOOKUP(B983, 'Kit Delivery Status'!$U:$U, 'Kit Delivery Status'!$K:$K) = "Issue", "ISSUE"), "")</f>
        <v/>
      </c>
      <c r="AM983" s="6"/>
    </row>
    <row r="984">
      <c r="A984" s="5" t="s">
        <v>5128</v>
      </c>
      <c r="B984" s="1" t="s">
        <v>5129</v>
      </c>
      <c r="C984" s="1" t="s">
        <v>5130</v>
      </c>
      <c r="D984" s="2">
        <v>2.03814425E9</v>
      </c>
      <c r="E984" s="1" t="s">
        <v>2701</v>
      </c>
      <c r="F984" s="1"/>
      <c r="G984" s="1" t="s">
        <v>2040</v>
      </c>
      <c r="H984" s="1" t="s">
        <v>1078</v>
      </c>
      <c r="I984" s="1">
        <v>6883.0</v>
      </c>
      <c r="J984" s="1" t="s">
        <v>752</v>
      </c>
      <c r="K984" s="1" t="s">
        <v>66</v>
      </c>
      <c r="L984" s="1" t="s">
        <v>3350</v>
      </c>
      <c r="M984" s="1">
        <v>145.0</v>
      </c>
      <c r="N984" s="1" t="s">
        <v>1152</v>
      </c>
      <c r="O984" s="3" t="s">
        <v>1930</v>
      </c>
      <c r="P984" s="18">
        <v>45889.0</v>
      </c>
      <c r="Q984" s="1" t="s">
        <v>1152</v>
      </c>
      <c r="R984" s="1"/>
      <c r="S984" s="1" t="s">
        <v>1152</v>
      </c>
      <c r="T984" s="1" t="s">
        <v>1152</v>
      </c>
      <c r="U984" s="1" t="s">
        <v>1710</v>
      </c>
      <c r="V984" s="4" t="s">
        <v>1930</v>
      </c>
      <c r="W984" s="1"/>
      <c r="X984" s="18">
        <v>45889.0</v>
      </c>
      <c r="Y984" s="1"/>
      <c r="Z984" s="1"/>
      <c r="AA984" s="1"/>
      <c r="AB984" s="1"/>
      <c r="AC984" s="1" t="s">
        <v>1925</v>
      </c>
      <c r="AD984" s="1"/>
      <c r="AE984" s="1" t="s">
        <v>1152</v>
      </c>
      <c r="AF984" s="1"/>
      <c r="AG984" s="1"/>
      <c r="AH984" s="1" t="s">
        <v>1152</v>
      </c>
      <c r="AI984" s="1"/>
      <c r="AJ984" s="1"/>
      <c r="AK984" s="1"/>
      <c r="AL984" s="6" t="str">
        <f t="array" ref="AL984">IFERROR(IFS(XLOOKUP(B984, 'Kit Delivery Status'!$U:$U, 'Kit Delivery Status'!$K:$K) = "Complete", "DELIVERED", XLOOKUP(B984, 'Kit Delivery Status'!$U:$U, 'Kit Delivery Status'!$K:$K) = "Issue", "ISSUE"), "")</f>
        <v/>
      </c>
      <c r="AM984" s="6"/>
    </row>
    <row r="985">
      <c r="A985" s="5" t="s">
        <v>5131</v>
      </c>
      <c r="B985" s="1" t="s">
        <v>5132</v>
      </c>
      <c r="C985" s="1" t="s">
        <v>5133</v>
      </c>
      <c r="D985" s="2">
        <v>1.9083770194E10</v>
      </c>
      <c r="E985" s="1" t="s">
        <v>5134</v>
      </c>
      <c r="F985" s="1"/>
      <c r="G985" s="1" t="s">
        <v>5135</v>
      </c>
      <c r="H985" s="1" t="s">
        <v>1053</v>
      </c>
      <c r="I985" s="1">
        <v>7901.0</v>
      </c>
      <c r="J985" s="1" t="s">
        <v>752</v>
      </c>
      <c r="K985" s="1" t="s">
        <v>95</v>
      </c>
      <c r="L985" s="1" t="s">
        <v>3327</v>
      </c>
      <c r="M985" s="1">
        <v>49.0</v>
      </c>
      <c r="N985" s="1" t="s">
        <v>2461</v>
      </c>
      <c r="O985" s="3" t="s">
        <v>2302</v>
      </c>
      <c r="P985" s="18">
        <v>45891.0</v>
      </c>
      <c r="Q985" s="1" t="s">
        <v>3219</v>
      </c>
      <c r="R985" s="1"/>
      <c r="S985" s="1" t="s">
        <v>2461</v>
      </c>
      <c r="T985" s="1" t="s">
        <v>2461</v>
      </c>
      <c r="U985" s="1" t="s">
        <v>1399</v>
      </c>
      <c r="V985" s="4" t="s">
        <v>2302</v>
      </c>
      <c r="W985" s="1"/>
      <c r="X985" s="18">
        <v>45891.0</v>
      </c>
      <c r="Y985" s="1" t="s">
        <v>1455</v>
      </c>
      <c r="Z985" s="1"/>
      <c r="AA985" s="1"/>
      <c r="AB985" s="1" t="s">
        <v>52</v>
      </c>
      <c r="AC985" s="1" t="s">
        <v>5136</v>
      </c>
      <c r="AD985" s="1"/>
      <c r="AE985" s="1" t="s">
        <v>1152</v>
      </c>
      <c r="AF985" s="1"/>
      <c r="AG985" s="1"/>
      <c r="AH985" s="1" t="s">
        <v>1152</v>
      </c>
      <c r="AI985" s="1"/>
      <c r="AJ985" s="1"/>
      <c r="AK985" s="1"/>
      <c r="AL985" s="6" t="str">
        <f t="array" ref="AL985">IFERROR(IFS(XLOOKUP(B985, 'Kit Delivery Status'!$U:$U, 'Kit Delivery Status'!$K:$K) = "Complete", "DELIVERED", XLOOKUP(B985, 'Kit Delivery Status'!$U:$U, 'Kit Delivery Status'!$K:$K) = "Issue", "ISSUE"), "")</f>
        <v/>
      </c>
      <c r="AM985" s="6"/>
    </row>
    <row r="986">
      <c r="A986" s="5" t="s">
        <v>5137</v>
      </c>
      <c r="B986" s="1" t="s">
        <v>5138</v>
      </c>
      <c r="C986" s="1" t="s">
        <v>5139</v>
      </c>
      <c r="D986" s="2"/>
      <c r="E986" s="1" t="s">
        <v>5140</v>
      </c>
      <c r="F986" s="1"/>
      <c r="G986" s="1" t="s">
        <v>5141</v>
      </c>
      <c r="H986" s="1" t="s">
        <v>946</v>
      </c>
      <c r="I986" s="1">
        <v>30082.0</v>
      </c>
      <c r="J986" s="1" t="s">
        <v>752</v>
      </c>
      <c r="K986" s="1" t="s">
        <v>95</v>
      </c>
      <c r="L986" s="1" t="s">
        <v>3327</v>
      </c>
      <c r="M986" s="1">
        <v>49.0</v>
      </c>
      <c r="N986" s="1" t="s">
        <v>2461</v>
      </c>
      <c r="O986" s="3" t="s">
        <v>103</v>
      </c>
      <c r="P986" s="18">
        <v>45881.0</v>
      </c>
      <c r="Q986" s="1" t="s">
        <v>2463</v>
      </c>
      <c r="R986" s="1"/>
      <c r="S986" s="1" t="s">
        <v>2461</v>
      </c>
      <c r="T986" s="1" t="s">
        <v>2461</v>
      </c>
      <c r="U986" s="1" t="s">
        <v>102</v>
      </c>
      <c r="V986" s="4" t="s">
        <v>103</v>
      </c>
      <c r="W986" s="1"/>
      <c r="X986" s="18">
        <v>45881.0</v>
      </c>
      <c r="Y986" s="1" t="s">
        <v>1030</v>
      </c>
      <c r="Z986" s="1"/>
      <c r="AA986" s="1"/>
      <c r="AB986" s="1" t="s">
        <v>52</v>
      </c>
      <c r="AC986" s="1" t="s">
        <v>5142</v>
      </c>
      <c r="AD986" s="1"/>
      <c r="AE986" s="1" t="s">
        <v>1152</v>
      </c>
      <c r="AF986" s="1"/>
      <c r="AG986" s="1"/>
      <c r="AH986" s="1" t="s">
        <v>1152</v>
      </c>
      <c r="AI986" s="1"/>
      <c r="AJ986" s="1"/>
      <c r="AK986" s="1"/>
      <c r="AL986" s="6" t="str">
        <f t="array" ref="AL986">IFERROR(IFS(XLOOKUP(B986, 'Kit Delivery Status'!$U:$U, 'Kit Delivery Status'!$K:$K) = "Complete", "DELIVERED", XLOOKUP(B986, 'Kit Delivery Status'!$U:$U, 'Kit Delivery Status'!$K:$K) = "Issue", "ISSUE"), "")</f>
        <v/>
      </c>
      <c r="AM986" s="6"/>
    </row>
    <row r="987">
      <c r="A987" s="5" t="s">
        <v>5143</v>
      </c>
      <c r="B987" s="1" t="s">
        <v>5144</v>
      </c>
      <c r="C987" s="1" t="s">
        <v>5145</v>
      </c>
      <c r="D987" s="2">
        <v>7.027384346E9</v>
      </c>
      <c r="E987" s="1" t="s">
        <v>5146</v>
      </c>
      <c r="F987" s="1" t="s">
        <v>5147</v>
      </c>
      <c r="G987" s="1" t="s">
        <v>5148</v>
      </c>
      <c r="H987" s="1" t="s">
        <v>5149</v>
      </c>
      <c r="I987" s="1">
        <v>89138.0</v>
      </c>
      <c r="J987" s="1" t="s">
        <v>752</v>
      </c>
      <c r="K987" s="1" t="s">
        <v>51</v>
      </c>
      <c r="L987" s="1" t="s">
        <v>3293</v>
      </c>
      <c r="M987" s="1">
        <v>1.0</v>
      </c>
      <c r="N987" s="1" t="s">
        <v>2487</v>
      </c>
      <c r="O987" s="3"/>
      <c r="P987" s="18">
        <v>45889.0</v>
      </c>
      <c r="Q987" s="1" t="s">
        <v>3219</v>
      </c>
      <c r="R987" s="1" t="s">
        <v>5147</v>
      </c>
      <c r="S987" s="1" t="s">
        <v>2487</v>
      </c>
      <c r="T987" s="1" t="s">
        <v>2487</v>
      </c>
      <c r="U987" s="1"/>
      <c r="V987" s="4"/>
      <c r="W987" s="1" t="s">
        <v>5147</v>
      </c>
      <c r="X987" s="18">
        <v>45889.0</v>
      </c>
      <c r="Y987" s="1" t="s">
        <v>1455</v>
      </c>
      <c r="Z987" s="1"/>
      <c r="AA987" s="1" t="s">
        <v>5147</v>
      </c>
      <c r="AB987" s="1" t="s">
        <v>124</v>
      </c>
      <c r="AC987" s="1" t="s">
        <v>1925</v>
      </c>
      <c r="AD987" s="1"/>
      <c r="AE987" s="1" t="s">
        <v>1152</v>
      </c>
      <c r="AF987" s="1"/>
      <c r="AG987" s="1"/>
      <c r="AH987" s="1" t="s">
        <v>1152</v>
      </c>
      <c r="AI987" s="1"/>
      <c r="AJ987" s="1"/>
      <c r="AK987" s="1"/>
      <c r="AL987" s="6" t="str">
        <f t="array" ref="AL987">IFERROR(IFS(XLOOKUP(B987, 'Kit Delivery Status'!$U:$U, 'Kit Delivery Status'!$K:$K) = "Complete", "DELIVERED", XLOOKUP(B987, 'Kit Delivery Status'!$U:$U, 'Kit Delivery Status'!$K:$K) = "Issue", "ISSUE"), "")</f>
        <v/>
      </c>
      <c r="AM987" s="6"/>
    </row>
    <row r="988">
      <c r="A988" s="5" t="s">
        <v>5150</v>
      </c>
      <c r="B988" s="1" t="s">
        <v>5151</v>
      </c>
      <c r="C988" s="1" t="s">
        <v>5152</v>
      </c>
      <c r="D988" s="2">
        <v>5.572150038E9</v>
      </c>
      <c r="E988" s="1" t="s">
        <v>5153</v>
      </c>
      <c r="F988" s="1"/>
      <c r="G988" s="1" t="s">
        <v>5154</v>
      </c>
      <c r="H988" s="1" t="s">
        <v>1155</v>
      </c>
      <c r="I988" s="1">
        <v>63105.0</v>
      </c>
      <c r="J988" s="1" t="s">
        <v>752</v>
      </c>
      <c r="K988" s="1" t="s">
        <v>95</v>
      </c>
      <c r="L988" s="1" t="s">
        <v>3327</v>
      </c>
      <c r="M988" s="1">
        <v>49.0</v>
      </c>
      <c r="N988" s="1" t="s">
        <v>2461</v>
      </c>
      <c r="O988" s="3" t="s">
        <v>5155</v>
      </c>
      <c r="P988" s="18">
        <v>45892.0</v>
      </c>
      <c r="Q988" s="1" t="s">
        <v>3219</v>
      </c>
      <c r="R988" s="1"/>
      <c r="S988" s="1" t="s">
        <v>2461</v>
      </c>
      <c r="T988" s="1" t="s">
        <v>2461</v>
      </c>
      <c r="U988" s="1" t="s">
        <v>1441</v>
      </c>
      <c r="V988" s="4" t="s">
        <v>5155</v>
      </c>
      <c r="W988" s="1"/>
      <c r="X988" s="18">
        <v>45892.0</v>
      </c>
      <c r="Y988" s="1" t="s">
        <v>1455</v>
      </c>
      <c r="Z988" s="1"/>
      <c r="AA988" s="1"/>
      <c r="AB988" s="1" t="s">
        <v>52</v>
      </c>
      <c r="AC988" s="1" t="s">
        <v>5156</v>
      </c>
      <c r="AD988" s="1"/>
      <c r="AE988" s="1" t="s">
        <v>1152</v>
      </c>
      <c r="AF988" s="1"/>
      <c r="AG988" s="1"/>
      <c r="AH988" s="1" t="s">
        <v>1152</v>
      </c>
      <c r="AI988" s="1"/>
      <c r="AJ988" s="1"/>
      <c r="AK988" s="1"/>
      <c r="AL988" s="6" t="str">
        <f t="array" ref="AL988">IFERROR(IFS(XLOOKUP(B988, 'Kit Delivery Status'!$U:$U, 'Kit Delivery Status'!$K:$K) = "Complete", "DELIVERED", XLOOKUP(B988, 'Kit Delivery Status'!$U:$U, 'Kit Delivery Status'!$K:$K) = "Issue", "ISSUE"), "")</f>
        <v/>
      </c>
      <c r="AM988" s="6"/>
    </row>
    <row r="989">
      <c r="A989" s="5" t="s">
        <v>5157</v>
      </c>
      <c r="B989" s="1" t="s">
        <v>5158</v>
      </c>
      <c r="C989" s="1" t="s">
        <v>5159</v>
      </c>
      <c r="D989" s="2">
        <v>3.016465795E9</v>
      </c>
      <c r="E989" s="1" t="s">
        <v>5160</v>
      </c>
      <c r="F989" s="1"/>
      <c r="G989" s="1" t="s">
        <v>5161</v>
      </c>
      <c r="H989" s="1" t="s">
        <v>1005</v>
      </c>
      <c r="I989" s="1">
        <v>20876.0</v>
      </c>
      <c r="J989" s="1" t="s">
        <v>752</v>
      </c>
      <c r="K989" s="1" t="s">
        <v>51</v>
      </c>
      <c r="L989" s="1" t="s">
        <v>3293</v>
      </c>
      <c r="M989" s="1">
        <v>1.0</v>
      </c>
      <c r="N989" s="1" t="s">
        <v>2461</v>
      </c>
      <c r="O989" s="3" t="s">
        <v>5162</v>
      </c>
      <c r="P989" s="18">
        <v>45890.0</v>
      </c>
      <c r="Q989" s="1" t="s">
        <v>2463</v>
      </c>
      <c r="R989" s="1"/>
      <c r="S989" s="1" t="s">
        <v>2461</v>
      </c>
      <c r="T989" s="1" t="s">
        <v>2461</v>
      </c>
      <c r="U989" s="1" t="s">
        <v>1456</v>
      </c>
      <c r="V989" s="4" t="s">
        <v>5162</v>
      </c>
      <c r="W989" s="1"/>
      <c r="X989" s="18">
        <v>45890.0</v>
      </c>
      <c r="Y989" s="1" t="s">
        <v>1030</v>
      </c>
      <c r="Z989" s="1"/>
      <c r="AA989" s="1"/>
      <c r="AB989" s="1" t="s">
        <v>52</v>
      </c>
      <c r="AC989" s="1" t="s">
        <v>1925</v>
      </c>
      <c r="AD989" s="1"/>
      <c r="AE989" s="1" t="s">
        <v>1152</v>
      </c>
      <c r="AF989" s="1"/>
      <c r="AG989" s="1"/>
      <c r="AH989" s="1" t="s">
        <v>1152</v>
      </c>
      <c r="AI989" s="1"/>
      <c r="AJ989" s="1"/>
      <c r="AK989" s="1"/>
      <c r="AL989" s="6" t="str">
        <f t="array" ref="AL989">IFERROR(IFS(XLOOKUP(B989, 'Kit Delivery Status'!$U:$U, 'Kit Delivery Status'!$K:$K) = "Complete", "DELIVERED", XLOOKUP(B989, 'Kit Delivery Status'!$U:$U, 'Kit Delivery Status'!$K:$K) = "Issue", "ISSUE"), "")</f>
        <v/>
      </c>
      <c r="AM989" s="6"/>
    </row>
    <row r="990">
      <c r="A990" s="5" t="s">
        <v>5163</v>
      </c>
      <c r="B990" s="1" t="s">
        <v>5164</v>
      </c>
      <c r="C990" s="1" t="s">
        <v>5165</v>
      </c>
      <c r="D990" s="2">
        <v>3.123392715E9</v>
      </c>
      <c r="E990" s="1" t="s">
        <v>5166</v>
      </c>
      <c r="F990" s="1"/>
      <c r="G990" s="1" t="s">
        <v>1634</v>
      </c>
      <c r="H990" s="1" t="s">
        <v>1019</v>
      </c>
      <c r="I990" s="1">
        <v>60015.0</v>
      </c>
      <c r="J990" s="1" t="s">
        <v>752</v>
      </c>
      <c r="K990" s="1" t="s">
        <v>95</v>
      </c>
      <c r="L990" s="1" t="s">
        <v>3327</v>
      </c>
      <c r="M990" s="1">
        <v>49.0</v>
      </c>
      <c r="N990" s="1" t="s">
        <v>2461</v>
      </c>
      <c r="O990" s="3" t="s">
        <v>5167</v>
      </c>
      <c r="P990" s="18">
        <v>45883.0</v>
      </c>
      <c r="Q990" s="1" t="s">
        <v>2463</v>
      </c>
      <c r="R990" s="1"/>
      <c r="S990" s="1" t="s">
        <v>2461</v>
      </c>
      <c r="T990" s="1" t="s">
        <v>2461</v>
      </c>
      <c r="U990" s="1" t="s">
        <v>1812</v>
      </c>
      <c r="V990" s="4" t="s">
        <v>5167</v>
      </c>
      <c r="W990" s="1"/>
      <c r="X990" s="18">
        <v>45883.0</v>
      </c>
      <c r="Y990" s="1" t="s">
        <v>1030</v>
      </c>
      <c r="Z990" s="1"/>
      <c r="AA990" s="1"/>
      <c r="AB990" s="1" t="s">
        <v>52</v>
      </c>
      <c r="AC990" s="1" t="s">
        <v>5168</v>
      </c>
      <c r="AD990" s="1"/>
      <c r="AE990" s="1" t="s">
        <v>1152</v>
      </c>
      <c r="AF990" s="1"/>
      <c r="AG990" s="1"/>
      <c r="AH990" s="1" t="s">
        <v>1152</v>
      </c>
      <c r="AI990" s="1" t="s">
        <v>5169</v>
      </c>
      <c r="AJ990" s="1"/>
      <c r="AK990" s="1"/>
      <c r="AL990" s="6" t="str">
        <f t="array" ref="AL990">IFERROR(IFS(XLOOKUP(B990, 'Kit Delivery Status'!$U:$U, 'Kit Delivery Status'!$K:$K) = "Complete", "DELIVERED", XLOOKUP(B990, 'Kit Delivery Status'!$U:$U, 'Kit Delivery Status'!$K:$K) = "Issue", "ISSUE"), "")</f>
        <v/>
      </c>
      <c r="AM990" s="6"/>
    </row>
    <row r="991">
      <c r="A991" s="5" t="s">
        <v>5170</v>
      </c>
      <c r="B991" s="1" t="s">
        <v>5171</v>
      </c>
      <c r="C991" s="1" t="s">
        <v>5165</v>
      </c>
      <c r="D991" s="2">
        <v>3.123392715E9</v>
      </c>
      <c r="E991" s="1" t="s">
        <v>5166</v>
      </c>
      <c r="F991" s="1" t="s">
        <v>5172</v>
      </c>
      <c r="G991" s="1" t="s">
        <v>1634</v>
      </c>
      <c r="H991" s="1" t="s">
        <v>1019</v>
      </c>
      <c r="I991" s="1">
        <v>60015.0</v>
      </c>
      <c r="J991" s="1" t="s">
        <v>752</v>
      </c>
      <c r="K991" s="1" t="s">
        <v>95</v>
      </c>
      <c r="L991" s="1" t="s">
        <v>3327</v>
      </c>
      <c r="M991" s="1">
        <v>49.0</v>
      </c>
      <c r="N991" s="1" t="s">
        <v>2487</v>
      </c>
      <c r="O991" s="3"/>
      <c r="P991" s="18">
        <v>45890.0</v>
      </c>
      <c r="Q991" s="1" t="s">
        <v>2852</v>
      </c>
      <c r="R991" s="1" t="s">
        <v>5172</v>
      </c>
      <c r="S991" s="1" t="s">
        <v>2487</v>
      </c>
      <c r="T991" s="1" t="s">
        <v>2487</v>
      </c>
      <c r="U991" s="1"/>
      <c r="V991" s="4"/>
      <c r="W991" s="1" t="s">
        <v>5172</v>
      </c>
      <c r="X991" s="18">
        <v>45890.0</v>
      </c>
      <c r="Y991" s="1" t="s">
        <v>1440</v>
      </c>
      <c r="Z991" s="1"/>
      <c r="AA991" s="1" t="s">
        <v>5172</v>
      </c>
      <c r="AB991" s="1" t="s">
        <v>124</v>
      </c>
      <c r="AC991" s="1" t="s">
        <v>5168</v>
      </c>
      <c r="AD991" s="1"/>
      <c r="AE991" s="1" t="s">
        <v>1152</v>
      </c>
      <c r="AF991" s="1"/>
      <c r="AG991" s="1"/>
      <c r="AH991" s="1" t="s">
        <v>1152</v>
      </c>
      <c r="AI991" s="1" t="s">
        <v>5173</v>
      </c>
      <c r="AJ991" s="1"/>
      <c r="AK991" s="1"/>
      <c r="AL991" s="6" t="str">
        <f t="array" ref="AL991">IFERROR(IFS(XLOOKUP(B991, 'Kit Delivery Status'!$U:$U, 'Kit Delivery Status'!$K:$K) = "Complete", "DELIVERED", XLOOKUP(B991, 'Kit Delivery Status'!$U:$U, 'Kit Delivery Status'!$K:$K) = "Issue", "ISSUE"), "")</f>
        <v/>
      </c>
      <c r="AM991" s="6"/>
    </row>
    <row r="992">
      <c r="A992" s="5" t="s">
        <v>5174</v>
      </c>
      <c r="B992" s="1" t="s">
        <v>5175</v>
      </c>
      <c r="C992" s="1"/>
      <c r="D992" s="2">
        <v>6.469326841E9</v>
      </c>
      <c r="E992" s="1" t="s">
        <v>5176</v>
      </c>
      <c r="F992" s="1"/>
      <c r="G992" s="1" t="s">
        <v>5177</v>
      </c>
      <c r="H992" s="1" t="s">
        <v>751</v>
      </c>
      <c r="I992" s="1">
        <v>11369.0</v>
      </c>
      <c r="J992" s="1" t="s">
        <v>752</v>
      </c>
      <c r="K992" s="1" t="s">
        <v>51</v>
      </c>
      <c r="L992" s="1" t="s">
        <v>3293</v>
      </c>
      <c r="M992" s="1">
        <v>1.0</v>
      </c>
      <c r="N992" s="1" t="s">
        <v>2461</v>
      </c>
      <c r="O992" s="3" t="s">
        <v>5178</v>
      </c>
      <c r="P992" s="18">
        <v>45891.0</v>
      </c>
      <c r="Q992" s="1" t="s">
        <v>3185</v>
      </c>
      <c r="R992" s="1"/>
      <c r="S992" s="1" t="s">
        <v>2461</v>
      </c>
      <c r="T992" s="1" t="s">
        <v>2461</v>
      </c>
      <c r="U992" s="1" t="s">
        <v>1522</v>
      </c>
      <c r="V992" s="4" t="s">
        <v>5178</v>
      </c>
      <c r="W992" s="1"/>
      <c r="X992" s="18">
        <v>45891.0</v>
      </c>
      <c r="Y992" s="1" t="s">
        <v>3186</v>
      </c>
      <c r="Z992" s="1"/>
      <c r="AA992" s="1"/>
      <c r="AB992" s="1" t="s">
        <v>52</v>
      </c>
      <c r="AC992" s="1" t="s">
        <v>1925</v>
      </c>
      <c r="AD992" s="1"/>
      <c r="AE992" s="1" t="s">
        <v>1152</v>
      </c>
      <c r="AF992" s="1"/>
      <c r="AG992" s="1"/>
      <c r="AH992" s="1" t="s">
        <v>1152</v>
      </c>
      <c r="AI992" s="1"/>
      <c r="AJ992" s="1"/>
      <c r="AK992" s="1"/>
      <c r="AL992" s="6" t="str">
        <f t="array" ref="AL992">IFERROR(IFS(XLOOKUP(B992, 'Kit Delivery Status'!$U:$U, 'Kit Delivery Status'!$K:$K) = "Complete", "DELIVERED", XLOOKUP(B992, 'Kit Delivery Status'!$U:$U, 'Kit Delivery Status'!$K:$K) = "Issue", "ISSUE"), "")</f>
        <v/>
      </c>
      <c r="AM992" s="6"/>
    </row>
    <row r="993">
      <c r="A993" s="5" t="s">
        <v>5179</v>
      </c>
      <c r="B993" s="1" t="s">
        <v>5180</v>
      </c>
      <c r="C993" s="1" t="s">
        <v>5181</v>
      </c>
      <c r="D993" s="2">
        <v>9.177100692E9</v>
      </c>
      <c r="E993" s="1" t="s">
        <v>5182</v>
      </c>
      <c r="F993" s="1" t="s">
        <v>5183</v>
      </c>
      <c r="G993" s="1" t="s">
        <v>751</v>
      </c>
      <c r="H993" s="1" t="s">
        <v>751</v>
      </c>
      <c r="I993" s="1">
        <v>10075.0</v>
      </c>
      <c r="J993" s="1" t="s">
        <v>752</v>
      </c>
      <c r="K993" s="1" t="s">
        <v>51</v>
      </c>
      <c r="L993" s="1" t="s">
        <v>3293</v>
      </c>
      <c r="M993" s="1">
        <v>1.0</v>
      </c>
      <c r="N993" s="1" t="s">
        <v>2487</v>
      </c>
      <c r="O993" s="3"/>
      <c r="P993" s="18">
        <v>45887.0</v>
      </c>
      <c r="Q993" s="1" t="s">
        <v>2502</v>
      </c>
      <c r="R993" s="1" t="s">
        <v>5183</v>
      </c>
      <c r="S993" s="1" t="s">
        <v>2487</v>
      </c>
      <c r="T993" s="1" t="s">
        <v>2487</v>
      </c>
      <c r="U993" s="1"/>
      <c r="V993" s="4"/>
      <c r="W993" s="1" t="s">
        <v>5183</v>
      </c>
      <c r="X993" s="18">
        <v>45887.0</v>
      </c>
      <c r="Y993" s="1" t="s">
        <v>1630</v>
      </c>
      <c r="Z993" s="1"/>
      <c r="AA993" s="1" t="s">
        <v>5183</v>
      </c>
      <c r="AB993" s="1" t="s">
        <v>124</v>
      </c>
      <c r="AC993" s="1" t="s">
        <v>1925</v>
      </c>
      <c r="AD993" s="1"/>
      <c r="AE993" s="1" t="s">
        <v>1152</v>
      </c>
      <c r="AF993" s="1"/>
      <c r="AG993" s="1"/>
      <c r="AH993" s="1" t="s">
        <v>1152</v>
      </c>
      <c r="AI993" s="1"/>
      <c r="AJ993" s="1"/>
      <c r="AK993" s="1"/>
      <c r="AL993" s="6" t="str">
        <f t="array" ref="AL993">IFERROR(IFS(XLOOKUP(B993, 'Kit Delivery Status'!$U:$U, 'Kit Delivery Status'!$K:$K) = "Complete", "DELIVERED", XLOOKUP(B993, 'Kit Delivery Status'!$U:$U, 'Kit Delivery Status'!$K:$K) = "Issue", "ISSUE"), "")</f>
        <v/>
      </c>
      <c r="AM993" s="6"/>
    </row>
    <row r="994">
      <c r="A994" s="5" t="s">
        <v>5184</v>
      </c>
      <c r="B994" s="1" t="s">
        <v>5185</v>
      </c>
      <c r="C994" s="1" t="s">
        <v>5186</v>
      </c>
      <c r="D994" s="2">
        <v>9.493794575E9</v>
      </c>
      <c r="E994" s="1" t="s">
        <v>5187</v>
      </c>
      <c r="F994" s="1"/>
      <c r="G994" s="1" t="s">
        <v>1215</v>
      </c>
      <c r="H994" s="1" t="s">
        <v>989</v>
      </c>
      <c r="I994" s="1">
        <v>92660.0</v>
      </c>
      <c r="J994" s="1" t="s">
        <v>752</v>
      </c>
      <c r="K994" s="1" t="s">
        <v>51</v>
      </c>
      <c r="L994" s="1" t="s">
        <v>3293</v>
      </c>
      <c r="M994" s="1">
        <v>1.0</v>
      </c>
      <c r="N994" s="1" t="s">
        <v>2461</v>
      </c>
      <c r="O994" s="3" t="s">
        <v>1610</v>
      </c>
      <c r="P994" s="18">
        <v>45889.0</v>
      </c>
      <c r="Q994" s="1" t="s">
        <v>2502</v>
      </c>
      <c r="R994" s="1"/>
      <c r="S994" s="1" t="s">
        <v>2461</v>
      </c>
      <c r="T994" s="1" t="s">
        <v>2461</v>
      </c>
      <c r="U994" s="1" t="s">
        <v>1642</v>
      </c>
      <c r="V994" s="4" t="s">
        <v>1610</v>
      </c>
      <c r="W994" s="1"/>
      <c r="X994" s="18">
        <v>45889.0</v>
      </c>
      <c r="Y994" s="1" t="s">
        <v>1630</v>
      </c>
      <c r="Z994" s="1"/>
      <c r="AA994" s="1"/>
      <c r="AB994" s="1" t="s">
        <v>52</v>
      </c>
      <c r="AC994" s="1" t="s">
        <v>1925</v>
      </c>
      <c r="AD994" s="1"/>
      <c r="AE994" s="1" t="s">
        <v>1152</v>
      </c>
      <c r="AF994" s="1"/>
      <c r="AG994" s="1"/>
      <c r="AH994" s="1" t="s">
        <v>1152</v>
      </c>
      <c r="AI994" s="1"/>
      <c r="AJ994" s="1"/>
      <c r="AK994" s="1"/>
      <c r="AL994" s="6" t="str">
        <f t="array" ref="AL994">IFERROR(IFS(XLOOKUP(B994, 'Kit Delivery Status'!$U:$U, 'Kit Delivery Status'!$K:$K) = "Complete", "DELIVERED", XLOOKUP(B994, 'Kit Delivery Status'!$U:$U, 'Kit Delivery Status'!$K:$K) = "Issue", "ISSUE"), "")</f>
        <v/>
      </c>
      <c r="AM994" s="6"/>
    </row>
    <row r="995">
      <c r="A995" s="5" t="s">
        <v>5188</v>
      </c>
      <c r="B995" s="1" t="s">
        <v>5189</v>
      </c>
      <c r="C995" s="1" t="s">
        <v>5186</v>
      </c>
      <c r="D995" s="2">
        <v>9.493794575E9</v>
      </c>
      <c r="E995" s="1" t="s">
        <v>5187</v>
      </c>
      <c r="F995" s="1"/>
      <c r="G995" s="1" t="s">
        <v>1215</v>
      </c>
      <c r="H995" s="1" t="s">
        <v>989</v>
      </c>
      <c r="I995" s="1">
        <v>92660.0</v>
      </c>
      <c r="J995" s="1" t="s">
        <v>752</v>
      </c>
      <c r="K995" s="1" t="s">
        <v>66</v>
      </c>
      <c r="L995" s="1" t="s">
        <v>3321</v>
      </c>
      <c r="M995" s="1">
        <v>210.0</v>
      </c>
      <c r="N995" s="1" t="s">
        <v>1152</v>
      </c>
      <c r="O995" s="3" t="s">
        <v>1610</v>
      </c>
      <c r="P995" s="18">
        <v>45883.0</v>
      </c>
      <c r="Q995" s="1" t="s">
        <v>1152</v>
      </c>
      <c r="R995" s="1"/>
      <c r="S995" s="1" t="s">
        <v>1152</v>
      </c>
      <c r="T995" s="1" t="s">
        <v>1152</v>
      </c>
      <c r="U995" s="1" t="s">
        <v>1642</v>
      </c>
      <c r="V995" s="4" t="s">
        <v>1610</v>
      </c>
      <c r="W995" s="1"/>
      <c r="X995" s="18">
        <v>45883.0</v>
      </c>
      <c r="Y995" s="1"/>
      <c r="Z995" s="1"/>
      <c r="AA995" s="1"/>
      <c r="AB995" s="1"/>
      <c r="AC995" s="1" t="s">
        <v>1925</v>
      </c>
      <c r="AD995" s="1"/>
      <c r="AE995" s="1" t="s">
        <v>1152</v>
      </c>
      <c r="AF995" s="1"/>
      <c r="AG995" s="1"/>
      <c r="AH995" s="1" t="s">
        <v>1152</v>
      </c>
      <c r="AI995" s="1"/>
      <c r="AJ995" s="1"/>
      <c r="AK995" s="1"/>
      <c r="AL995" s="6" t="str">
        <f t="array" ref="AL995">IFERROR(IFS(XLOOKUP(B995, 'Kit Delivery Status'!$U:$U, 'Kit Delivery Status'!$K:$K) = "Complete", "DELIVERED", XLOOKUP(B995, 'Kit Delivery Status'!$U:$U, 'Kit Delivery Status'!$K:$K) = "Issue", "ISSUE"), "")</f>
        <v/>
      </c>
      <c r="AM995" s="6"/>
    </row>
    <row r="996">
      <c r="A996" s="5" t="s">
        <v>5190</v>
      </c>
      <c r="B996" s="1" t="s">
        <v>5191</v>
      </c>
      <c r="C996" s="1" t="s">
        <v>5192</v>
      </c>
      <c r="D996" s="2"/>
      <c r="E996" s="1" t="s">
        <v>5193</v>
      </c>
      <c r="F996" s="1"/>
      <c r="G996" s="1" t="s">
        <v>4352</v>
      </c>
      <c r="H996" s="1" t="s">
        <v>1891</v>
      </c>
      <c r="I996" s="1">
        <v>80303.0</v>
      </c>
      <c r="J996" s="1" t="s">
        <v>752</v>
      </c>
      <c r="K996" s="1" t="s">
        <v>51</v>
      </c>
      <c r="L996" s="1" t="s">
        <v>3293</v>
      </c>
      <c r="M996" s="1">
        <v>1.0</v>
      </c>
      <c r="N996" s="1" t="s">
        <v>2461</v>
      </c>
      <c r="O996" s="3" t="s">
        <v>5194</v>
      </c>
      <c r="P996" s="18">
        <v>45897.0</v>
      </c>
      <c r="Q996" s="1" t="s">
        <v>2463</v>
      </c>
      <c r="R996" s="1"/>
      <c r="S996" s="1" t="s">
        <v>2461</v>
      </c>
      <c r="T996" s="1" t="s">
        <v>2461</v>
      </c>
      <c r="U996" s="1" t="s">
        <v>1456</v>
      </c>
      <c r="V996" s="4" t="s">
        <v>5194</v>
      </c>
      <c r="W996" s="1"/>
      <c r="X996" s="18">
        <v>45897.0</v>
      </c>
      <c r="Y996" s="1" t="s">
        <v>1030</v>
      </c>
      <c r="Z996" s="1"/>
      <c r="AA996" s="1"/>
      <c r="AB996" s="1" t="s">
        <v>52</v>
      </c>
      <c r="AC996" s="1" t="s">
        <v>1925</v>
      </c>
      <c r="AD996" s="1"/>
      <c r="AE996" s="1" t="s">
        <v>1152</v>
      </c>
      <c r="AF996" s="1"/>
      <c r="AG996" s="1"/>
      <c r="AH996" s="1" t="s">
        <v>1152</v>
      </c>
      <c r="AI996" s="1"/>
      <c r="AJ996" s="1"/>
      <c r="AK996" s="1"/>
      <c r="AL996" s="6" t="str">
        <f t="array" ref="AL996">IFERROR(IFS(XLOOKUP(B996, 'Kit Delivery Status'!$U:$U, 'Kit Delivery Status'!$K:$K) = "Complete", "DELIVERED", XLOOKUP(B996, 'Kit Delivery Status'!$U:$U, 'Kit Delivery Status'!$K:$K) = "Issue", "ISSUE"), "")</f>
        <v/>
      </c>
      <c r="AM996" s="6"/>
    </row>
    <row r="997">
      <c r="A997" s="5" t="s">
        <v>5195</v>
      </c>
      <c r="B997" s="1" t="s">
        <v>5196</v>
      </c>
      <c r="C997" s="1"/>
      <c r="D997" s="2"/>
      <c r="E997" s="1" t="s">
        <v>5197</v>
      </c>
      <c r="F997" s="1"/>
      <c r="G997" s="1" t="s">
        <v>1684</v>
      </c>
      <c r="H997" s="1" t="s">
        <v>751</v>
      </c>
      <c r="I997" s="1">
        <v>11201.0</v>
      </c>
      <c r="J997" s="1" t="s">
        <v>752</v>
      </c>
      <c r="K997" s="1" t="s">
        <v>51</v>
      </c>
      <c r="L997" s="1" t="s">
        <v>3293</v>
      </c>
      <c r="M997" s="1">
        <v>1.0</v>
      </c>
      <c r="N997" s="1" t="s">
        <v>2461</v>
      </c>
      <c r="O997" s="3" t="s">
        <v>5198</v>
      </c>
      <c r="P997" s="18">
        <v>45890.0</v>
      </c>
      <c r="Q997" s="1" t="s">
        <v>2463</v>
      </c>
      <c r="R997" s="1"/>
      <c r="S997" s="1" t="s">
        <v>2461</v>
      </c>
      <c r="T997" s="1" t="s">
        <v>2461</v>
      </c>
      <c r="U997" s="1" t="s">
        <v>1055</v>
      </c>
      <c r="V997" s="4" t="s">
        <v>5198</v>
      </c>
      <c r="W997" s="1"/>
      <c r="X997" s="18">
        <v>45890.0</v>
      </c>
      <c r="Y997" s="1" t="s">
        <v>1030</v>
      </c>
      <c r="Z997" s="1"/>
      <c r="AA997" s="1"/>
      <c r="AB997" s="1" t="s">
        <v>52</v>
      </c>
      <c r="AC997" s="1" t="s">
        <v>1925</v>
      </c>
      <c r="AD997" s="1"/>
      <c r="AE997" s="1" t="s">
        <v>1152</v>
      </c>
      <c r="AF997" s="1"/>
      <c r="AG997" s="1"/>
      <c r="AH997" s="1" t="s">
        <v>1152</v>
      </c>
      <c r="AI997" s="1"/>
      <c r="AJ997" s="1"/>
      <c r="AK997" s="1"/>
      <c r="AL997" s="6" t="str">
        <f t="array" ref="AL997">IFERROR(IFS(XLOOKUP(B997, 'Kit Delivery Status'!$U:$U, 'Kit Delivery Status'!$K:$K) = "Complete", "DELIVERED", XLOOKUP(B997, 'Kit Delivery Status'!$U:$U, 'Kit Delivery Status'!$K:$K) = "Issue", "ISSUE"), "")</f>
        <v/>
      </c>
      <c r="AM997" s="6"/>
    </row>
    <row r="998">
      <c r="A998" s="5" t="s">
        <v>5199</v>
      </c>
      <c r="B998" s="1" t="s">
        <v>5200</v>
      </c>
      <c r="C998" s="1" t="s">
        <v>5201</v>
      </c>
      <c r="D998" s="2">
        <v>2.023085714E9</v>
      </c>
      <c r="E998" s="1" t="s">
        <v>5202</v>
      </c>
      <c r="F998" s="1"/>
      <c r="G998" s="1" t="s">
        <v>1299</v>
      </c>
      <c r="H998" s="1" t="s">
        <v>1005</v>
      </c>
      <c r="I998" s="1">
        <v>20817.0</v>
      </c>
      <c r="J998" s="1" t="s">
        <v>752</v>
      </c>
      <c r="K998" s="1" t="s">
        <v>51</v>
      </c>
      <c r="L998" s="1" t="s">
        <v>3293</v>
      </c>
      <c r="M998" s="1">
        <v>1.0</v>
      </c>
      <c r="N998" s="1" t="s">
        <v>2461</v>
      </c>
      <c r="O998" s="3" t="s">
        <v>5203</v>
      </c>
      <c r="P998" s="18">
        <v>45889.0</v>
      </c>
      <c r="Q998" s="1" t="s">
        <v>2463</v>
      </c>
      <c r="R998" s="1"/>
      <c r="S998" s="1" t="s">
        <v>2461</v>
      </c>
      <c r="T998" s="1" t="s">
        <v>2461</v>
      </c>
      <c r="U998" s="1" t="s">
        <v>1441</v>
      </c>
      <c r="V998" s="4" t="s">
        <v>5203</v>
      </c>
      <c r="W998" s="1"/>
      <c r="X998" s="18">
        <v>45889.0</v>
      </c>
      <c r="Y998" s="1" t="s">
        <v>1030</v>
      </c>
      <c r="Z998" s="1"/>
      <c r="AA998" s="1"/>
      <c r="AB998" s="1" t="s">
        <v>52</v>
      </c>
      <c r="AC998" s="1" t="s">
        <v>1925</v>
      </c>
      <c r="AD998" s="1"/>
      <c r="AE998" s="1" t="s">
        <v>1152</v>
      </c>
      <c r="AF998" s="1"/>
      <c r="AG998" s="1"/>
      <c r="AH998" s="1" t="s">
        <v>1152</v>
      </c>
      <c r="AI998" s="1"/>
      <c r="AJ998" s="1"/>
      <c r="AK998" s="1"/>
      <c r="AL998" s="6" t="str">
        <f t="array" ref="AL998">IFERROR(IFS(XLOOKUP(B998, 'Kit Delivery Status'!$U:$U, 'Kit Delivery Status'!$K:$K) = "Complete", "DELIVERED", XLOOKUP(B998, 'Kit Delivery Status'!$U:$U, 'Kit Delivery Status'!$K:$K) = "Issue", "ISSUE"), "")</f>
        <v/>
      </c>
      <c r="AM998" s="6"/>
    </row>
    <row r="999">
      <c r="A999" s="5" t="s">
        <v>5204</v>
      </c>
      <c r="B999" s="1" t="s">
        <v>5205</v>
      </c>
      <c r="C999" s="1" t="s">
        <v>5206</v>
      </c>
      <c r="D999" s="2">
        <v>13013853369</v>
      </c>
      <c r="E999" s="1" t="s">
        <v>5207</v>
      </c>
      <c r="F999" s="1"/>
      <c r="G999" s="1" t="s">
        <v>1299</v>
      </c>
      <c r="H999" s="1" t="s">
        <v>1005</v>
      </c>
      <c r="I999" s="1">
        <v>20817.0</v>
      </c>
      <c r="J999" s="1" t="s">
        <v>752</v>
      </c>
      <c r="K999" s="1" t="s">
        <v>66</v>
      </c>
      <c r="L999" s="1" t="s">
        <v>3321</v>
      </c>
      <c r="M999" s="1">
        <v>210.0</v>
      </c>
      <c r="N999" s="1" t="s">
        <v>1152</v>
      </c>
      <c r="O999" s="3" t="s">
        <v>2093</v>
      </c>
      <c r="P999" s="18">
        <v>45883.0</v>
      </c>
      <c r="Q999" s="1" t="s">
        <v>1152</v>
      </c>
      <c r="R999" s="1"/>
      <c r="S999" s="1" t="s">
        <v>1152</v>
      </c>
      <c r="T999" s="1" t="s">
        <v>1152</v>
      </c>
      <c r="U999" s="1" t="s">
        <v>1487</v>
      </c>
      <c r="V999" s="4" t="s">
        <v>2093</v>
      </c>
      <c r="W999" s="1"/>
      <c r="X999" s="18">
        <v>45883.0</v>
      </c>
      <c r="Y999" s="1"/>
      <c r="Z999" s="1"/>
      <c r="AA999" s="1"/>
      <c r="AB999" s="1"/>
      <c r="AC999" s="1" t="s">
        <v>1925</v>
      </c>
      <c r="AD999" s="1"/>
      <c r="AE999" s="1" t="s">
        <v>1152</v>
      </c>
      <c r="AF999" s="1"/>
      <c r="AG999" s="1"/>
      <c r="AH999" s="1" t="s">
        <v>1152</v>
      </c>
      <c r="AI999" s="1"/>
      <c r="AJ999" s="1"/>
      <c r="AK999" s="1"/>
      <c r="AL999" s="6" t="str">
        <f t="array" ref="AL999">IFERROR(IFS(XLOOKUP(B999, 'Kit Delivery Status'!$U:$U, 'Kit Delivery Status'!$K:$K) = "Complete", "DELIVERED", XLOOKUP(B999, 'Kit Delivery Status'!$U:$U, 'Kit Delivery Status'!$K:$K) = "Issue", "ISSUE"), "")</f>
        <v/>
      </c>
      <c r="AM999" s="6"/>
    </row>
    <row r="1000">
      <c r="A1000" s="5" t="s">
        <v>5208</v>
      </c>
      <c r="B1000" s="1" t="s">
        <v>5209</v>
      </c>
      <c r="C1000" s="1" t="s">
        <v>5210</v>
      </c>
      <c r="D1000" s="2">
        <v>3.362690708E9</v>
      </c>
      <c r="E1000" s="1" t="s">
        <v>5211</v>
      </c>
      <c r="F1000" s="1"/>
      <c r="G1000" s="1" t="s">
        <v>5212</v>
      </c>
      <c r="H1000" s="1" t="s">
        <v>2069</v>
      </c>
      <c r="I1000" s="1">
        <v>38655.0</v>
      </c>
      <c r="J1000" s="1" t="s">
        <v>752</v>
      </c>
      <c r="K1000" s="1" t="s">
        <v>66</v>
      </c>
      <c r="L1000" s="1" t="s">
        <v>3364</v>
      </c>
      <c r="M1000" s="1">
        <v>115.0</v>
      </c>
      <c r="N1000" s="1" t="s">
        <v>1152</v>
      </c>
      <c r="O1000" s="3" t="s">
        <v>2747</v>
      </c>
      <c r="P1000" s="18">
        <v>45883.0</v>
      </c>
      <c r="Q1000" s="1" t="s">
        <v>1152</v>
      </c>
      <c r="R1000" s="1"/>
      <c r="S1000" s="1" t="s">
        <v>1152</v>
      </c>
      <c r="T1000" s="1" t="s">
        <v>1152</v>
      </c>
      <c r="U1000" s="1" t="s">
        <v>1174</v>
      </c>
      <c r="V1000" s="4" t="s">
        <v>2747</v>
      </c>
      <c r="W1000" s="1"/>
      <c r="X1000" s="18">
        <v>45883.0</v>
      </c>
      <c r="Y1000" s="1"/>
      <c r="Z1000" s="1"/>
      <c r="AA1000" s="1"/>
      <c r="AB1000" s="1"/>
      <c r="AC1000" s="1" t="s">
        <v>1925</v>
      </c>
      <c r="AD1000" s="1"/>
      <c r="AE1000" s="1" t="s">
        <v>1152</v>
      </c>
      <c r="AF1000" s="1"/>
      <c r="AG1000" s="1"/>
      <c r="AH1000" s="1" t="s">
        <v>1152</v>
      </c>
      <c r="AI1000" s="1"/>
      <c r="AJ1000" s="1"/>
      <c r="AK1000" s="1"/>
      <c r="AL1000" s="6" t="str">
        <f t="array" ref="AL1000">IFERROR(IFS(XLOOKUP(B1000, 'Kit Delivery Status'!$U:$U, 'Kit Delivery Status'!$K:$K) = "Complete", "DELIVERED", XLOOKUP(B1000, 'Kit Delivery Status'!$U:$U, 'Kit Delivery Status'!$K:$K) = "Issue", "ISSUE"), "")</f>
        <v/>
      </c>
      <c r="AM1000" s="6"/>
    </row>
    <row r="1001">
      <c r="A1001" s="5" t="s">
        <v>5213</v>
      </c>
      <c r="B1001" s="1" t="s">
        <v>5214</v>
      </c>
      <c r="C1001" s="1" t="s">
        <v>5215</v>
      </c>
      <c r="D1001" s="2">
        <v>2.143545353E9</v>
      </c>
      <c r="E1001" s="1" t="s">
        <v>5216</v>
      </c>
      <c r="F1001" s="1"/>
      <c r="G1001" s="1" t="s">
        <v>2350</v>
      </c>
      <c r="H1001" s="1" t="s">
        <v>1155</v>
      </c>
      <c r="I1001" s="1">
        <v>63141.0</v>
      </c>
      <c r="J1001" s="1" t="s">
        <v>752</v>
      </c>
      <c r="K1001" s="1" t="s">
        <v>66</v>
      </c>
      <c r="L1001" s="1" t="s">
        <v>3321</v>
      </c>
      <c r="M1001" s="1">
        <v>210.0</v>
      </c>
      <c r="N1001" s="1" t="s">
        <v>1152</v>
      </c>
      <c r="O1001" s="3" t="s">
        <v>5217</v>
      </c>
      <c r="P1001" s="18">
        <v>45883.0</v>
      </c>
      <c r="Q1001" s="1" t="s">
        <v>1152</v>
      </c>
      <c r="R1001" s="1"/>
      <c r="S1001" s="1" t="s">
        <v>1152</v>
      </c>
      <c r="T1001" s="1" t="s">
        <v>1152</v>
      </c>
      <c r="U1001" s="1" t="s">
        <v>1537</v>
      </c>
      <c r="V1001" s="4" t="s">
        <v>5217</v>
      </c>
      <c r="W1001" s="1"/>
      <c r="X1001" s="18">
        <v>45883.0</v>
      </c>
      <c r="Y1001" s="1"/>
      <c r="Z1001" s="1"/>
      <c r="AA1001" s="1"/>
      <c r="AB1001" s="1"/>
      <c r="AC1001" s="1" t="s">
        <v>1925</v>
      </c>
      <c r="AD1001" s="1"/>
      <c r="AE1001" s="1" t="s">
        <v>1152</v>
      </c>
      <c r="AF1001" s="1"/>
      <c r="AG1001" s="1"/>
      <c r="AH1001" s="1" t="s">
        <v>1152</v>
      </c>
      <c r="AI1001" s="1"/>
      <c r="AJ1001" s="1"/>
      <c r="AK1001" s="1"/>
      <c r="AL1001" s="6" t="str">
        <f t="array" ref="AL1001">IFERROR(IFS(XLOOKUP(B1001, 'Kit Delivery Status'!$U:$U, 'Kit Delivery Status'!$K:$K) = "Complete", "DELIVERED", XLOOKUP(B1001, 'Kit Delivery Status'!$U:$U, 'Kit Delivery Status'!$K:$K) = "Issue", "ISSUE"), "")</f>
        <v/>
      </c>
      <c r="AM1001" s="6"/>
    </row>
    <row r="1002">
      <c r="A1002" s="5" t="s">
        <v>5218</v>
      </c>
      <c r="B1002" s="1" t="s">
        <v>5219</v>
      </c>
      <c r="C1002" s="1" t="s">
        <v>5220</v>
      </c>
      <c r="D1002" s="2">
        <v>4.693164294E9</v>
      </c>
      <c r="E1002" s="1" t="s">
        <v>5221</v>
      </c>
      <c r="F1002" s="1" t="s">
        <v>5222</v>
      </c>
      <c r="G1002" s="1" t="s">
        <v>5223</v>
      </c>
      <c r="H1002" s="1" t="s">
        <v>1583</v>
      </c>
      <c r="I1002" s="1">
        <v>75034.0</v>
      </c>
      <c r="J1002" s="1" t="s">
        <v>752</v>
      </c>
      <c r="K1002" s="1" t="s">
        <v>51</v>
      </c>
      <c r="L1002" s="1" t="s">
        <v>3293</v>
      </c>
      <c r="M1002" s="1">
        <v>1.0</v>
      </c>
      <c r="N1002" s="1" t="s">
        <v>2487</v>
      </c>
      <c r="O1002" s="3"/>
      <c r="P1002" s="18">
        <v>45887.0</v>
      </c>
      <c r="Q1002" s="1" t="s">
        <v>2463</v>
      </c>
      <c r="R1002" s="1" t="s">
        <v>5222</v>
      </c>
      <c r="S1002" s="1" t="s">
        <v>2487</v>
      </c>
      <c r="T1002" s="1" t="s">
        <v>2487</v>
      </c>
      <c r="U1002" s="1"/>
      <c r="V1002" s="4"/>
      <c r="W1002" s="1" t="s">
        <v>5222</v>
      </c>
      <c r="X1002" s="18">
        <v>45887.0</v>
      </c>
      <c r="Y1002" s="1" t="s">
        <v>1030</v>
      </c>
      <c r="Z1002" s="1"/>
      <c r="AA1002" s="1" t="s">
        <v>5222</v>
      </c>
      <c r="AB1002" s="1" t="s">
        <v>124</v>
      </c>
      <c r="AC1002" s="1" t="s">
        <v>1925</v>
      </c>
      <c r="AD1002" s="1"/>
      <c r="AE1002" s="1" t="s">
        <v>1152</v>
      </c>
      <c r="AF1002" s="1"/>
      <c r="AG1002" s="1"/>
      <c r="AH1002" s="1" t="s">
        <v>1152</v>
      </c>
      <c r="AI1002" s="1"/>
      <c r="AJ1002" s="1"/>
      <c r="AK1002" s="1"/>
      <c r="AL1002" s="6" t="str">
        <f t="array" ref="AL1002">IFERROR(IFS(XLOOKUP(B1002, 'Kit Delivery Status'!$U:$U, 'Kit Delivery Status'!$K:$K) = "Complete", "DELIVERED", XLOOKUP(B1002, 'Kit Delivery Status'!$U:$U, 'Kit Delivery Status'!$K:$K) = "Issue", "ISSUE"), "")</f>
        <v/>
      </c>
      <c r="AM1002" s="6"/>
    </row>
    <row r="1003">
      <c r="A1003" s="5" t="s">
        <v>5224</v>
      </c>
      <c r="B1003" s="1" t="s">
        <v>5225</v>
      </c>
      <c r="C1003" s="1" t="s">
        <v>5226</v>
      </c>
      <c r="D1003" s="2">
        <v>7.16368072E9</v>
      </c>
      <c r="E1003" s="1" t="s">
        <v>5227</v>
      </c>
      <c r="F1003" s="1"/>
      <c r="G1003" s="1" t="s">
        <v>1534</v>
      </c>
      <c r="H1003" s="1" t="s">
        <v>1535</v>
      </c>
      <c r="I1003" s="1">
        <v>85262.0</v>
      </c>
      <c r="J1003" s="1" t="s">
        <v>752</v>
      </c>
      <c r="K1003" s="1" t="s">
        <v>51</v>
      </c>
      <c r="L1003" s="1" t="s">
        <v>3293</v>
      </c>
      <c r="M1003" s="1">
        <v>1.0</v>
      </c>
      <c r="N1003" s="1" t="s">
        <v>2461</v>
      </c>
      <c r="O1003" s="3" t="s">
        <v>5228</v>
      </c>
      <c r="P1003" s="18">
        <v>45889.0</v>
      </c>
      <c r="Q1003" s="1" t="s">
        <v>2463</v>
      </c>
      <c r="R1003" s="1"/>
      <c r="S1003" s="1" t="s">
        <v>2461</v>
      </c>
      <c r="T1003" s="1" t="s">
        <v>2461</v>
      </c>
      <c r="U1003" s="1" t="s">
        <v>4959</v>
      </c>
      <c r="V1003" s="4" t="s">
        <v>5228</v>
      </c>
      <c r="W1003" s="1"/>
      <c r="X1003" s="18">
        <v>45889.0</v>
      </c>
      <c r="Y1003" s="1" t="s">
        <v>1030</v>
      </c>
      <c r="Z1003" s="1"/>
      <c r="AA1003" s="1"/>
      <c r="AB1003" s="1" t="s">
        <v>52</v>
      </c>
      <c r="AC1003" s="1" t="s">
        <v>1925</v>
      </c>
      <c r="AD1003" s="1"/>
      <c r="AE1003" s="1" t="s">
        <v>1152</v>
      </c>
      <c r="AF1003" s="1"/>
      <c r="AG1003" s="1"/>
      <c r="AH1003" s="1" t="s">
        <v>1152</v>
      </c>
      <c r="AI1003" s="1"/>
      <c r="AJ1003" s="1"/>
      <c r="AK1003" s="1"/>
      <c r="AL1003" s="6" t="str">
        <f t="array" ref="AL1003">IFERROR(IFS(XLOOKUP(B1003, 'Kit Delivery Status'!$U:$U, 'Kit Delivery Status'!$K:$K) = "Complete", "DELIVERED", XLOOKUP(B1003, 'Kit Delivery Status'!$U:$U, 'Kit Delivery Status'!$K:$K) = "Issue", "ISSUE"), "")</f>
        <v/>
      </c>
      <c r="AM1003" s="6"/>
    </row>
    <row r="1004">
      <c r="A1004" s="5" t="s">
        <v>5229</v>
      </c>
      <c r="B1004" s="1" t="s">
        <v>5230</v>
      </c>
      <c r="C1004" s="1" t="s">
        <v>5231</v>
      </c>
      <c r="D1004" s="2">
        <v>3.107538846E9</v>
      </c>
      <c r="E1004" s="1" t="s">
        <v>3935</v>
      </c>
      <c r="F1004" s="1"/>
      <c r="G1004" s="1" t="s">
        <v>3936</v>
      </c>
      <c r="H1004" s="1" t="s">
        <v>1155</v>
      </c>
      <c r="I1004" s="1">
        <v>63131.0</v>
      </c>
      <c r="J1004" s="1" t="s">
        <v>752</v>
      </c>
      <c r="K1004" s="1" t="s">
        <v>2577</v>
      </c>
      <c r="L1004" s="1" t="s">
        <v>5232</v>
      </c>
      <c r="M1004" s="1">
        <v>1.0</v>
      </c>
      <c r="N1004" s="1" t="s">
        <v>2579</v>
      </c>
      <c r="O1004" s="3" t="s">
        <v>5233</v>
      </c>
      <c r="P1004" s="18">
        <v>45878.0</v>
      </c>
      <c r="Q1004" s="1" t="s">
        <v>5234</v>
      </c>
      <c r="R1004" s="1"/>
      <c r="S1004" s="1" t="s">
        <v>2579</v>
      </c>
      <c r="T1004" s="1" t="s">
        <v>2579</v>
      </c>
      <c r="U1004" s="1" t="s">
        <v>1710</v>
      </c>
      <c r="V1004" s="4" t="s">
        <v>5233</v>
      </c>
      <c r="W1004" s="1"/>
      <c r="X1004" s="18"/>
      <c r="Y1004" s="1"/>
      <c r="Z1004" s="1"/>
      <c r="AA1004" s="1"/>
      <c r="AB1004" s="1"/>
      <c r="AC1004" s="1" t="s">
        <v>1925</v>
      </c>
      <c r="AD1004" s="1"/>
      <c r="AE1004" s="1" t="s">
        <v>1152</v>
      </c>
      <c r="AF1004" s="1"/>
      <c r="AG1004" s="1"/>
      <c r="AH1004" s="1" t="s">
        <v>1152</v>
      </c>
      <c r="AI1004" s="1" t="s">
        <v>5235</v>
      </c>
      <c r="AJ1004" s="1"/>
      <c r="AK1004" s="1"/>
      <c r="AL1004" s="6" t="str">
        <f t="array" ref="AL1004">IFERROR(IFS(XLOOKUP(B1004, 'Kit Delivery Status'!$U:$U, 'Kit Delivery Status'!$K:$K) = "Complete", "DELIVERED", XLOOKUP(B1004, 'Kit Delivery Status'!$U:$U, 'Kit Delivery Status'!$K:$K) = "Issue", "ISSUE"), "")</f>
        <v/>
      </c>
      <c r="AM1004" s="6"/>
    </row>
    <row r="1005">
      <c r="A1005" s="5" t="s">
        <v>5236</v>
      </c>
      <c r="B1005" s="1" t="s">
        <v>5237</v>
      </c>
      <c r="C1005" s="1" t="s">
        <v>5238</v>
      </c>
      <c r="D1005" s="2">
        <v>2.017078123E9</v>
      </c>
      <c r="E1005" s="1" t="s">
        <v>5239</v>
      </c>
      <c r="F1005" s="1"/>
      <c r="G1005" s="1" t="s">
        <v>4631</v>
      </c>
      <c r="H1005" s="1" t="s">
        <v>1053</v>
      </c>
      <c r="I1005" s="1">
        <v>7024.0</v>
      </c>
      <c r="J1005" s="1" t="s">
        <v>752</v>
      </c>
      <c r="K1005" s="1" t="s">
        <v>51</v>
      </c>
      <c r="L1005" s="1" t="s">
        <v>3293</v>
      </c>
      <c r="M1005" s="1">
        <v>1.0</v>
      </c>
      <c r="N1005" s="1" t="s">
        <v>2461</v>
      </c>
      <c r="O1005" s="3" t="s">
        <v>4433</v>
      </c>
      <c r="P1005" s="18">
        <v>45891.0</v>
      </c>
      <c r="Q1005" s="1" t="s">
        <v>2463</v>
      </c>
      <c r="R1005" s="1"/>
      <c r="S1005" s="1" t="s">
        <v>2461</v>
      </c>
      <c r="T1005" s="1" t="s">
        <v>2461</v>
      </c>
      <c r="U1005" s="1" t="s">
        <v>1522</v>
      </c>
      <c r="V1005" s="4" t="s">
        <v>4433</v>
      </c>
      <c r="W1005" s="1"/>
      <c r="X1005" s="18">
        <v>45891.0</v>
      </c>
      <c r="Y1005" s="1" t="s">
        <v>1030</v>
      </c>
      <c r="Z1005" s="1"/>
      <c r="AA1005" s="1"/>
      <c r="AB1005" s="1" t="s">
        <v>52</v>
      </c>
      <c r="AC1005" s="1" t="s">
        <v>1925</v>
      </c>
      <c r="AD1005" s="1"/>
      <c r="AE1005" s="1" t="s">
        <v>1152</v>
      </c>
      <c r="AF1005" s="1"/>
      <c r="AG1005" s="1"/>
      <c r="AH1005" s="1" t="s">
        <v>1152</v>
      </c>
      <c r="AI1005" s="1"/>
      <c r="AJ1005" s="1"/>
      <c r="AK1005" s="1"/>
      <c r="AL1005" s="6" t="str">
        <f t="array" ref="AL1005">IFERROR(IFS(XLOOKUP(B1005, 'Kit Delivery Status'!$U:$U, 'Kit Delivery Status'!$K:$K) = "Complete", "DELIVERED", XLOOKUP(B1005, 'Kit Delivery Status'!$U:$U, 'Kit Delivery Status'!$K:$K) = "Issue", "ISSUE"), "")</f>
        <v/>
      </c>
      <c r="AM1005" s="6"/>
    </row>
    <row r="1006">
      <c r="A1006" s="5" t="s">
        <v>5240</v>
      </c>
      <c r="B1006" s="1" t="s">
        <v>5241</v>
      </c>
      <c r="C1006" s="1" t="s">
        <v>5242</v>
      </c>
      <c r="D1006" s="2">
        <v>9.079031835E9</v>
      </c>
      <c r="E1006" s="1" t="s">
        <v>5243</v>
      </c>
      <c r="F1006" s="1"/>
      <c r="G1006" s="1" t="s">
        <v>4105</v>
      </c>
      <c r="H1006" s="1" t="s">
        <v>1891</v>
      </c>
      <c r="I1006" s="1">
        <v>80921.0</v>
      </c>
      <c r="J1006" s="1" t="s">
        <v>752</v>
      </c>
      <c r="K1006" s="1" t="s">
        <v>66</v>
      </c>
      <c r="L1006" s="1" t="s">
        <v>3350</v>
      </c>
      <c r="M1006" s="1">
        <v>145.0</v>
      </c>
      <c r="N1006" s="1" t="s">
        <v>1152</v>
      </c>
      <c r="O1006" s="3" t="s">
        <v>5244</v>
      </c>
      <c r="P1006" s="18">
        <v>45883.0</v>
      </c>
      <c r="Q1006" s="1" t="s">
        <v>1152</v>
      </c>
      <c r="R1006" s="1"/>
      <c r="S1006" s="1" t="s">
        <v>1152</v>
      </c>
      <c r="T1006" s="1" t="s">
        <v>1152</v>
      </c>
      <c r="U1006" s="1" t="s">
        <v>1080</v>
      </c>
      <c r="V1006" s="4" t="s">
        <v>5244</v>
      </c>
      <c r="W1006" s="1"/>
      <c r="X1006" s="18">
        <v>45883.0</v>
      </c>
      <c r="Y1006" s="1"/>
      <c r="Z1006" s="1"/>
      <c r="AA1006" s="1"/>
      <c r="AB1006" s="1"/>
      <c r="AC1006" s="1" t="s">
        <v>1925</v>
      </c>
      <c r="AD1006" s="1"/>
      <c r="AE1006" s="1" t="s">
        <v>1152</v>
      </c>
      <c r="AF1006" s="1"/>
      <c r="AG1006" s="1"/>
      <c r="AH1006" s="1" t="s">
        <v>1152</v>
      </c>
      <c r="AI1006" s="1"/>
      <c r="AJ1006" s="1"/>
      <c r="AK1006" s="1"/>
      <c r="AL1006" s="6" t="str">
        <f t="array" ref="AL1006">IFERROR(IFS(XLOOKUP(B1006, 'Kit Delivery Status'!$U:$U, 'Kit Delivery Status'!$K:$K) = "Complete", "DELIVERED", XLOOKUP(B1006, 'Kit Delivery Status'!$U:$U, 'Kit Delivery Status'!$K:$K) = "Issue", "ISSUE"), "")</f>
        <v/>
      </c>
      <c r="AM1006" s="6"/>
    </row>
    <row r="1007">
      <c r="A1007" s="5" t="s">
        <v>5245</v>
      </c>
      <c r="B1007" s="1" t="s">
        <v>5246</v>
      </c>
      <c r="C1007" s="1"/>
      <c r="D1007" s="2">
        <v>6.199619808E9</v>
      </c>
      <c r="E1007" s="1" t="s">
        <v>5247</v>
      </c>
      <c r="F1007" s="1"/>
      <c r="G1007" s="1" t="s">
        <v>2417</v>
      </c>
      <c r="H1007" s="1" t="s">
        <v>989</v>
      </c>
      <c r="I1007" s="1">
        <v>92127.0</v>
      </c>
      <c r="J1007" s="1" t="s">
        <v>752</v>
      </c>
      <c r="K1007" s="1" t="s">
        <v>51</v>
      </c>
      <c r="L1007" s="1" t="s">
        <v>3293</v>
      </c>
      <c r="M1007" s="1">
        <v>1.0</v>
      </c>
      <c r="N1007" s="1" t="s">
        <v>2461</v>
      </c>
      <c r="O1007" s="3" t="s">
        <v>5248</v>
      </c>
      <c r="P1007" s="18">
        <v>45890.0</v>
      </c>
      <c r="Q1007" s="1" t="s">
        <v>2463</v>
      </c>
      <c r="R1007" s="1"/>
      <c r="S1007" s="1" t="s">
        <v>2461</v>
      </c>
      <c r="T1007" s="1" t="s">
        <v>2461</v>
      </c>
      <c r="U1007" s="1" t="s">
        <v>1407</v>
      </c>
      <c r="V1007" s="4" t="s">
        <v>5248</v>
      </c>
      <c r="W1007" s="1"/>
      <c r="X1007" s="18">
        <v>45890.0</v>
      </c>
      <c r="Y1007" s="1" t="s">
        <v>1030</v>
      </c>
      <c r="Z1007" s="1"/>
      <c r="AA1007" s="1"/>
      <c r="AB1007" s="1" t="s">
        <v>52</v>
      </c>
      <c r="AC1007" s="1" t="s">
        <v>1925</v>
      </c>
      <c r="AD1007" s="1"/>
      <c r="AE1007" s="1" t="s">
        <v>1152</v>
      </c>
      <c r="AF1007" s="1"/>
      <c r="AG1007" s="1"/>
      <c r="AH1007" s="1" t="s">
        <v>1152</v>
      </c>
      <c r="AI1007" s="1"/>
      <c r="AJ1007" s="1"/>
      <c r="AK1007" s="1"/>
      <c r="AL1007" s="6" t="str">
        <f t="array" ref="AL1007">IFERROR(IFS(XLOOKUP(B1007, 'Kit Delivery Status'!$U:$U, 'Kit Delivery Status'!$K:$K) = "Complete", "DELIVERED", XLOOKUP(B1007, 'Kit Delivery Status'!$U:$U, 'Kit Delivery Status'!$K:$K) = "Issue", "ISSUE"), "")</f>
        <v/>
      </c>
      <c r="AM1007" s="6"/>
    </row>
    <row r="1008">
      <c r="A1008" s="5" t="s">
        <v>5249</v>
      </c>
      <c r="B1008" s="1" t="s">
        <v>5250</v>
      </c>
      <c r="C1008" s="1"/>
      <c r="D1008" s="2">
        <v>7.637424532E9</v>
      </c>
      <c r="E1008" s="1" t="s">
        <v>5251</v>
      </c>
      <c r="F1008" s="1"/>
      <c r="G1008" s="1" t="s">
        <v>5252</v>
      </c>
      <c r="H1008" s="1" t="s">
        <v>2999</v>
      </c>
      <c r="I1008" s="1">
        <v>55434.0</v>
      </c>
      <c r="J1008" s="1" t="s">
        <v>752</v>
      </c>
      <c r="K1008" s="1" t="s">
        <v>66</v>
      </c>
      <c r="L1008" s="1" t="s">
        <v>3350</v>
      </c>
      <c r="M1008" s="1">
        <v>145.0</v>
      </c>
      <c r="N1008" s="1" t="s">
        <v>1152</v>
      </c>
      <c r="O1008" s="3" t="s">
        <v>2869</v>
      </c>
      <c r="P1008" s="18">
        <v>45883.0</v>
      </c>
      <c r="Q1008" s="1" t="s">
        <v>1152</v>
      </c>
      <c r="R1008" s="1"/>
      <c r="S1008" s="1" t="s">
        <v>1152</v>
      </c>
      <c r="T1008" s="1" t="s">
        <v>1152</v>
      </c>
      <c r="U1008" s="1" t="s">
        <v>1277</v>
      </c>
      <c r="V1008" s="4" t="s">
        <v>2869</v>
      </c>
      <c r="W1008" s="1"/>
      <c r="X1008" s="18">
        <v>45883.0</v>
      </c>
      <c r="Y1008" s="1"/>
      <c r="Z1008" s="1"/>
      <c r="AA1008" s="1"/>
      <c r="AB1008" s="1"/>
      <c r="AC1008" s="1" t="s">
        <v>1925</v>
      </c>
      <c r="AD1008" s="1"/>
      <c r="AE1008" s="1" t="s">
        <v>1152</v>
      </c>
      <c r="AF1008" s="1"/>
      <c r="AG1008" s="1"/>
      <c r="AH1008" s="1" t="s">
        <v>1152</v>
      </c>
      <c r="AI1008" s="1"/>
      <c r="AJ1008" s="1"/>
      <c r="AK1008" s="1"/>
      <c r="AL1008" s="6" t="str">
        <f t="array" ref="AL1008">IFERROR(IFS(XLOOKUP(B1008, 'Kit Delivery Status'!$U:$U, 'Kit Delivery Status'!$K:$K) = "Complete", "DELIVERED", XLOOKUP(B1008, 'Kit Delivery Status'!$U:$U, 'Kit Delivery Status'!$K:$K) = "Issue", "ISSUE"), "")</f>
        <v/>
      </c>
      <c r="AM1008" s="6"/>
    </row>
    <row r="1009">
      <c r="A1009" s="5" t="s">
        <v>5253</v>
      </c>
      <c r="B1009" s="1" t="s">
        <v>5254</v>
      </c>
      <c r="C1009" s="1" t="s">
        <v>5255</v>
      </c>
      <c r="D1009" s="2">
        <v>9.176504578E9</v>
      </c>
      <c r="E1009" s="1" t="s">
        <v>5256</v>
      </c>
      <c r="F1009" s="1"/>
      <c r="G1009" s="1" t="s">
        <v>751</v>
      </c>
      <c r="H1009" s="1" t="s">
        <v>751</v>
      </c>
      <c r="I1009" s="1">
        <v>10021.0</v>
      </c>
      <c r="J1009" s="1" t="s">
        <v>752</v>
      </c>
      <c r="K1009" s="1" t="s">
        <v>66</v>
      </c>
      <c r="L1009" s="1" t="s">
        <v>3321</v>
      </c>
      <c r="M1009" s="1">
        <v>210.0</v>
      </c>
      <c r="N1009" s="1" t="s">
        <v>1152</v>
      </c>
      <c r="O1009" s="3" t="s">
        <v>5257</v>
      </c>
      <c r="P1009" s="18">
        <v>45883.0</v>
      </c>
      <c r="Q1009" s="1" t="s">
        <v>1152</v>
      </c>
      <c r="R1009" s="1"/>
      <c r="S1009" s="1" t="s">
        <v>1152</v>
      </c>
      <c r="T1009" s="1" t="s">
        <v>1152</v>
      </c>
      <c r="U1009" s="1" t="s">
        <v>1080</v>
      </c>
      <c r="V1009" s="4" t="s">
        <v>5257</v>
      </c>
      <c r="W1009" s="1"/>
      <c r="X1009" s="18">
        <v>45883.0</v>
      </c>
      <c r="Y1009" s="1"/>
      <c r="Z1009" s="1"/>
      <c r="AA1009" s="1"/>
      <c r="AB1009" s="1"/>
      <c r="AC1009" s="1" t="s">
        <v>1925</v>
      </c>
      <c r="AD1009" s="1"/>
      <c r="AE1009" s="1" t="s">
        <v>1152</v>
      </c>
      <c r="AF1009" s="1"/>
      <c r="AG1009" s="1"/>
      <c r="AH1009" s="1" t="s">
        <v>1152</v>
      </c>
      <c r="AI1009" s="1"/>
      <c r="AJ1009" s="1"/>
      <c r="AK1009" s="1"/>
      <c r="AL1009" s="6" t="str">
        <f t="array" ref="AL1009">IFERROR(IFS(XLOOKUP(B1009, 'Kit Delivery Status'!$U:$U, 'Kit Delivery Status'!$K:$K) = "Complete", "DELIVERED", XLOOKUP(B1009, 'Kit Delivery Status'!$U:$U, 'Kit Delivery Status'!$K:$K) = "Issue", "ISSUE"), "")</f>
        <v/>
      </c>
      <c r="AM1009" s="6"/>
    </row>
    <row r="1010">
      <c r="A1010" s="5" t="s">
        <v>5258</v>
      </c>
      <c r="B1010" s="1" t="s">
        <v>5259</v>
      </c>
      <c r="C1010" s="1" t="s">
        <v>5260</v>
      </c>
      <c r="D1010" s="2">
        <v>6.174176185E9</v>
      </c>
      <c r="E1010" s="1" t="s">
        <v>5261</v>
      </c>
      <c r="F1010" s="1"/>
      <c r="G1010" s="1" t="s">
        <v>2625</v>
      </c>
      <c r="H1010" s="1" t="s">
        <v>1121</v>
      </c>
      <c r="I1010" s="1">
        <v>2492.0</v>
      </c>
      <c r="J1010" s="1" t="s">
        <v>752</v>
      </c>
      <c r="K1010" s="1" t="s">
        <v>66</v>
      </c>
      <c r="L1010" s="1" t="s">
        <v>3321</v>
      </c>
      <c r="M1010" s="1">
        <v>210.0</v>
      </c>
      <c r="N1010" s="1" t="s">
        <v>1152</v>
      </c>
      <c r="O1010" s="3" t="s">
        <v>1703</v>
      </c>
      <c r="P1010" s="18">
        <v>45883.0</v>
      </c>
      <c r="Q1010" s="1" t="s">
        <v>1152</v>
      </c>
      <c r="R1010" s="1"/>
      <c r="S1010" s="1" t="s">
        <v>1152</v>
      </c>
      <c r="T1010" s="1" t="s">
        <v>1152</v>
      </c>
      <c r="U1010" s="1" t="s">
        <v>1277</v>
      </c>
      <c r="V1010" s="4" t="s">
        <v>1703</v>
      </c>
      <c r="W1010" s="1"/>
      <c r="X1010" s="18">
        <v>45883.0</v>
      </c>
      <c r="Y1010" s="1"/>
      <c r="Z1010" s="1"/>
      <c r="AA1010" s="1"/>
      <c r="AB1010" s="1"/>
      <c r="AC1010" s="1" t="s">
        <v>1925</v>
      </c>
      <c r="AD1010" s="1"/>
      <c r="AE1010" s="1" t="s">
        <v>1152</v>
      </c>
      <c r="AF1010" s="1"/>
      <c r="AG1010" s="1"/>
      <c r="AH1010" s="1" t="s">
        <v>1152</v>
      </c>
      <c r="AI1010" s="1"/>
      <c r="AJ1010" s="1"/>
      <c r="AK1010" s="1"/>
      <c r="AL1010" s="6" t="str">
        <f t="array" ref="AL1010">IFERROR(IFS(XLOOKUP(B1010, 'Kit Delivery Status'!$U:$U, 'Kit Delivery Status'!$K:$K) = "Complete", "DELIVERED", XLOOKUP(B1010, 'Kit Delivery Status'!$U:$U, 'Kit Delivery Status'!$K:$K) = "Issue", "ISSUE"), "")</f>
        <v/>
      </c>
      <c r="AM1010" s="6"/>
    </row>
    <row r="1011">
      <c r="A1011" s="5" t="s">
        <v>5262</v>
      </c>
      <c r="B1011" s="1" t="s">
        <v>5263</v>
      </c>
      <c r="C1011" s="1" t="s">
        <v>5264</v>
      </c>
      <c r="D1011" s="2">
        <v>4.145874195E9</v>
      </c>
      <c r="E1011" s="1" t="s">
        <v>5265</v>
      </c>
      <c r="F1011" s="1"/>
      <c r="G1011" s="1" t="s">
        <v>5266</v>
      </c>
      <c r="H1011" s="1" t="s">
        <v>4448</v>
      </c>
      <c r="I1011" s="1">
        <v>53092.0</v>
      </c>
      <c r="J1011" s="1" t="s">
        <v>752</v>
      </c>
      <c r="K1011" s="1" t="s">
        <v>66</v>
      </c>
      <c r="L1011" s="1" t="s">
        <v>3321</v>
      </c>
      <c r="M1011" s="1">
        <v>210.0</v>
      </c>
      <c r="N1011" s="1" t="s">
        <v>1152</v>
      </c>
      <c r="O1011" s="3" t="s">
        <v>4288</v>
      </c>
      <c r="P1011" s="18">
        <v>45883.0</v>
      </c>
      <c r="Q1011" s="1" t="s">
        <v>1152</v>
      </c>
      <c r="R1011" s="1"/>
      <c r="S1011" s="1" t="s">
        <v>1152</v>
      </c>
      <c r="T1011" s="1" t="s">
        <v>1152</v>
      </c>
      <c r="U1011" s="1" t="s">
        <v>1249</v>
      </c>
      <c r="V1011" s="4" t="s">
        <v>4288</v>
      </c>
      <c r="W1011" s="1"/>
      <c r="X1011" s="18">
        <v>45883.0</v>
      </c>
      <c r="Y1011" s="1"/>
      <c r="Z1011" s="1"/>
      <c r="AA1011" s="1"/>
      <c r="AB1011" s="1"/>
      <c r="AC1011" s="1" t="s">
        <v>1925</v>
      </c>
      <c r="AD1011" s="1"/>
      <c r="AE1011" s="1" t="s">
        <v>1152</v>
      </c>
      <c r="AF1011" s="1"/>
      <c r="AG1011" s="1"/>
      <c r="AH1011" s="1" t="s">
        <v>1152</v>
      </c>
      <c r="AI1011" s="1"/>
      <c r="AJ1011" s="1"/>
      <c r="AK1011" s="1"/>
      <c r="AL1011" s="6" t="str">
        <f t="array" ref="AL1011">IFERROR(IFS(XLOOKUP(B1011, 'Kit Delivery Status'!$U:$U, 'Kit Delivery Status'!$K:$K) = "Complete", "DELIVERED", XLOOKUP(B1011, 'Kit Delivery Status'!$U:$U, 'Kit Delivery Status'!$K:$K) = "Issue", "ISSUE"), "")</f>
        <v/>
      </c>
      <c r="AM1011" s="6"/>
    </row>
    <row r="1012">
      <c r="A1012" s="5" t="s">
        <v>5267</v>
      </c>
      <c r="B1012" s="1" t="s">
        <v>5268</v>
      </c>
      <c r="C1012" s="1" t="s">
        <v>5269</v>
      </c>
      <c r="D1012" s="2">
        <v>6.173205824E9</v>
      </c>
      <c r="E1012" s="1" t="s">
        <v>5270</v>
      </c>
      <c r="F1012" s="1"/>
      <c r="G1012" s="1" t="s">
        <v>5271</v>
      </c>
      <c r="H1012" s="1" t="s">
        <v>1121</v>
      </c>
      <c r="I1012" s="1">
        <v>1801.0</v>
      </c>
      <c r="J1012" s="1" t="s">
        <v>752</v>
      </c>
      <c r="K1012" s="1" t="s">
        <v>51</v>
      </c>
      <c r="L1012" s="1" t="s">
        <v>3293</v>
      </c>
      <c r="M1012" s="1">
        <v>1.0</v>
      </c>
      <c r="N1012" s="1" t="s">
        <v>2461</v>
      </c>
      <c r="O1012" s="3" t="s">
        <v>5272</v>
      </c>
      <c r="P1012" s="18">
        <v>45880.0</v>
      </c>
      <c r="Q1012" s="1" t="s">
        <v>2463</v>
      </c>
      <c r="R1012" s="1"/>
      <c r="S1012" s="1" t="s">
        <v>2461</v>
      </c>
      <c r="T1012" s="1" t="s">
        <v>2461</v>
      </c>
      <c r="U1012" s="1" t="s">
        <v>1065</v>
      </c>
      <c r="V1012" s="4" t="s">
        <v>5272</v>
      </c>
      <c r="W1012" s="1"/>
      <c r="X1012" s="18">
        <v>45880.0</v>
      </c>
      <c r="Y1012" s="1" t="s">
        <v>1030</v>
      </c>
      <c r="Z1012" s="1"/>
      <c r="AA1012" s="1"/>
      <c r="AB1012" s="1" t="s">
        <v>52</v>
      </c>
      <c r="AC1012" s="1" t="s">
        <v>1925</v>
      </c>
      <c r="AD1012" s="1"/>
      <c r="AE1012" s="1" t="s">
        <v>1152</v>
      </c>
      <c r="AF1012" s="1"/>
      <c r="AG1012" s="1"/>
      <c r="AH1012" s="1" t="s">
        <v>1152</v>
      </c>
      <c r="AI1012" s="1"/>
      <c r="AJ1012" s="1"/>
      <c r="AK1012" s="1"/>
      <c r="AL1012" s="6" t="str">
        <f t="array" ref="AL1012">IFERROR(IFS(XLOOKUP(B1012, 'Kit Delivery Status'!$U:$U, 'Kit Delivery Status'!$K:$K) = "Complete", "DELIVERED", XLOOKUP(B1012, 'Kit Delivery Status'!$U:$U, 'Kit Delivery Status'!$K:$K) = "Issue", "ISSUE"), "")</f>
        <v/>
      </c>
      <c r="AM1012" s="6"/>
    </row>
    <row r="1013">
      <c r="A1013" s="5" t="s">
        <v>5273</v>
      </c>
      <c r="B1013" s="1" t="s">
        <v>5274</v>
      </c>
      <c r="C1013" s="1"/>
      <c r="D1013" s="2">
        <v>2.174170478E9</v>
      </c>
      <c r="E1013" s="1" t="s">
        <v>5275</v>
      </c>
      <c r="F1013" s="1"/>
      <c r="G1013" s="1" t="s">
        <v>4413</v>
      </c>
      <c r="H1013" s="1" t="s">
        <v>1019</v>
      </c>
      <c r="I1013" s="1">
        <v>61822.0</v>
      </c>
      <c r="J1013" s="1" t="s">
        <v>752</v>
      </c>
      <c r="K1013" s="1" t="s">
        <v>66</v>
      </c>
      <c r="L1013" s="1" t="s">
        <v>3364</v>
      </c>
      <c r="M1013" s="1">
        <v>115.0</v>
      </c>
      <c r="N1013" s="1" t="s">
        <v>1152</v>
      </c>
      <c r="O1013" s="3" t="s">
        <v>5276</v>
      </c>
      <c r="P1013" s="18">
        <v>45883.0</v>
      </c>
      <c r="Q1013" s="1" t="s">
        <v>1152</v>
      </c>
      <c r="R1013" s="1"/>
      <c r="S1013" s="1" t="s">
        <v>1152</v>
      </c>
      <c r="T1013" s="1" t="s">
        <v>1152</v>
      </c>
      <c r="U1013" s="1" t="s">
        <v>1376</v>
      </c>
      <c r="V1013" s="4" t="s">
        <v>5276</v>
      </c>
      <c r="W1013" s="1"/>
      <c r="X1013" s="18">
        <v>45883.0</v>
      </c>
      <c r="Y1013" s="1"/>
      <c r="Z1013" s="1"/>
      <c r="AA1013" s="1"/>
      <c r="AB1013" s="1"/>
      <c r="AC1013" s="1" t="s">
        <v>1925</v>
      </c>
      <c r="AD1013" s="1"/>
      <c r="AE1013" s="1" t="s">
        <v>1152</v>
      </c>
      <c r="AF1013" s="1"/>
      <c r="AG1013" s="1"/>
      <c r="AH1013" s="1" t="s">
        <v>1152</v>
      </c>
      <c r="AI1013" s="1"/>
      <c r="AJ1013" s="1"/>
      <c r="AK1013" s="1"/>
      <c r="AL1013" s="6" t="str">
        <f t="array" ref="AL1013">IFERROR(IFS(XLOOKUP(B1013, 'Kit Delivery Status'!$U:$U, 'Kit Delivery Status'!$K:$K) = "Complete", "DELIVERED", XLOOKUP(B1013, 'Kit Delivery Status'!$U:$U, 'Kit Delivery Status'!$K:$K) = "Issue", "ISSUE"), "")</f>
        <v/>
      </c>
      <c r="AM1013" s="6"/>
    </row>
    <row r="1014">
      <c r="A1014" s="5" t="s">
        <v>5277</v>
      </c>
      <c r="B1014" s="1" t="s">
        <v>5278</v>
      </c>
      <c r="C1014" s="1" t="s">
        <v>4589</v>
      </c>
      <c r="D1014" s="2" t="s">
        <v>5279</v>
      </c>
      <c r="E1014" s="1" t="s">
        <v>4590</v>
      </c>
      <c r="F1014" s="1"/>
      <c r="G1014" s="1" t="s">
        <v>751</v>
      </c>
      <c r="H1014" s="1" t="s">
        <v>2819</v>
      </c>
      <c r="I1014" s="1">
        <v>10011.0</v>
      </c>
      <c r="J1014" s="1" t="s">
        <v>752</v>
      </c>
      <c r="K1014" s="1" t="s">
        <v>95</v>
      </c>
      <c r="L1014" s="1" t="s">
        <v>3327</v>
      </c>
      <c r="M1014" s="1">
        <v>49.0</v>
      </c>
      <c r="N1014" s="1" t="s">
        <v>2461</v>
      </c>
      <c r="O1014" s="3" t="s">
        <v>5280</v>
      </c>
      <c r="P1014" s="18">
        <v>45883.0</v>
      </c>
      <c r="Q1014" s="1"/>
      <c r="R1014" s="1"/>
      <c r="S1014" s="1" t="s">
        <v>2461</v>
      </c>
      <c r="T1014" s="1" t="s">
        <v>2461</v>
      </c>
      <c r="U1014" s="1" t="s">
        <v>153</v>
      </c>
      <c r="V1014" s="4" t="s">
        <v>5280</v>
      </c>
      <c r="W1014" s="1"/>
      <c r="X1014" s="18">
        <v>45883.0</v>
      </c>
      <c r="Y1014" s="1"/>
      <c r="Z1014" s="1"/>
      <c r="AA1014" s="1"/>
      <c r="AB1014" s="1" t="s">
        <v>52</v>
      </c>
      <c r="AC1014" s="1" t="s">
        <v>5281</v>
      </c>
      <c r="AD1014" s="1"/>
      <c r="AE1014" s="1"/>
      <c r="AF1014" s="1"/>
      <c r="AG1014" s="1"/>
      <c r="AH1014" s="1"/>
      <c r="AI1014" s="1"/>
      <c r="AJ1014" s="1"/>
      <c r="AK1014" s="1"/>
      <c r="AL1014" s="6" t="str">
        <f t="array" ref="AL1014">IFERROR(IFS(XLOOKUP(B1014, 'Kit Delivery Status'!$U:$U, 'Kit Delivery Status'!$K:$K) = "Complete", "DELIVERED", XLOOKUP(B1014, 'Kit Delivery Status'!$U:$U, 'Kit Delivery Status'!$K:$K) = "Issue", "ISSUE"), "")</f>
        <v/>
      </c>
      <c r="AM1014" s="6"/>
    </row>
    <row r="1015">
      <c r="A1015" s="5" t="s">
        <v>5282</v>
      </c>
      <c r="B1015" s="1" t="s">
        <v>5283</v>
      </c>
      <c r="C1015" s="1" t="s">
        <v>3519</v>
      </c>
      <c r="D1015" s="2">
        <v>5.166260596E9</v>
      </c>
      <c r="E1015" s="1" t="s">
        <v>5284</v>
      </c>
      <c r="F1015" s="1"/>
      <c r="G1015" s="1" t="s">
        <v>4486</v>
      </c>
      <c r="H1015" s="1" t="s">
        <v>751</v>
      </c>
      <c r="I1015" s="1">
        <v>11545.0</v>
      </c>
      <c r="J1015" s="1" t="s">
        <v>752</v>
      </c>
      <c r="K1015" s="1" t="s">
        <v>66</v>
      </c>
      <c r="L1015" s="1" t="s">
        <v>3350</v>
      </c>
      <c r="M1015" s="1">
        <v>145.0</v>
      </c>
      <c r="N1015" s="1" t="s">
        <v>1152</v>
      </c>
      <c r="O1015" s="3" t="s">
        <v>3477</v>
      </c>
      <c r="P1015" s="18">
        <v>45883.0</v>
      </c>
      <c r="Q1015" s="1" t="s">
        <v>1152</v>
      </c>
      <c r="R1015" s="1"/>
      <c r="S1015" s="1" t="s">
        <v>1152</v>
      </c>
      <c r="T1015" s="1" t="s">
        <v>1152</v>
      </c>
      <c r="U1015" s="1" t="s">
        <v>1812</v>
      </c>
      <c r="V1015" s="4" t="s">
        <v>3477</v>
      </c>
      <c r="W1015" s="1"/>
      <c r="X1015" s="18">
        <v>45883.0</v>
      </c>
      <c r="Y1015" s="1"/>
      <c r="Z1015" s="1"/>
      <c r="AA1015" s="1"/>
      <c r="AB1015" s="1"/>
      <c r="AC1015" s="1" t="s">
        <v>1925</v>
      </c>
      <c r="AD1015" s="1"/>
      <c r="AE1015" s="1" t="s">
        <v>1152</v>
      </c>
      <c r="AF1015" s="1"/>
      <c r="AG1015" s="1"/>
      <c r="AH1015" s="1" t="s">
        <v>1152</v>
      </c>
      <c r="AI1015" s="1"/>
      <c r="AJ1015" s="1"/>
      <c r="AK1015" s="1"/>
      <c r="AL1015" s="6" t="str">
        <f t="array" ref="AL1015">IFERROR(IFS(XLOOKUP(B1015, 'Kit Delivery Status'!$U:$U, 'Kit Delivery Status'!$K:$K) = "Complete", "DELIVERED", XLOOKUP(B1015, 'Kit Delivery Status'!$U:$U, 'Kit Delivery Status'!$K:$K) = "Issue", "ISSUE"), "")</f>
        <v/>
      </c>
      <c r="AM1015" s="6"/>
    </row>
    <row r="1016">
      <c r="A1016" s="5" t="s">
        <v>5285</v>
      </c>
      <c r="B1016" s="1" t="s">
        <v>5286</v>
      </c>
      <c r="C1016" s="1" t="s">
        <v>5287</v>
      </c>
      <c r="D1016" s="2">
        <v>3.126228414E9</v>
      </c>
      <c r="E1016" s="1" t="s">
        <v>5288</v>
      </c>
      <c r="F1016" s="1"/>
      <c r="G1016" s="1" t="s">
        <v>1072</v>
      </c>
      <c r="H1016" s="1" t="s">
        <v>1019</v>
      </c>
      <c r="I1016" s="1">
        <v>60615.0</v>
      </c>
      <c r="J1016" s="1" t="s">
        <v>752</v>
      </c>
      <c r="K1016" s="1" t="s">
        <v>51</v>
      </c>
      <c r="L1016" s="1" t="s">
        <v>3293</v>
      </c>
      <c r="M1016" s="1">
        <v>1.0</v>
      </c>
      <c r="N1016" s="1" t="s">
        <v>2461</v>
      </c>
      <c r="O1016" s="3" t="s">
        <v>5289</v>
      </c>
      <c r="P1016" s="18">
        <v>45891.0</v>
      </c>
      <c r="Q1016" s="1" t="s">
        <v>2731</v>
      </c>
      <c r="R1016" s="1"/>
      <c r="S1016" s="1" t="s">
        <v>2461</v>
      </c>
      <c r="T1016" s="1" t="s">
        <v>2461</v>
      </c>
      <c r="U1016" s="1" t="s">
        <v>1441</v>
      </c>
      <c r="V1016" s="4" t="s">
        <v>5289</v>
      </c>
      <c r="W1016" s="1"/>
      <c r="X1016" s="18">
        <v>45891.0</v>
      </c>
      <c r="Y1016" s="1" t="s">
        <v>1349</v>
      </c>
      <c r="Z1016" s="1"/>
      <c r="AA1016" s="1"/>
      <c r="AB1016" s="1" t="s">
        <v>52</v>
      </c>
      <c r="AC1016" s="1" t="s">
        <v>1925</v>
      </c>
      <c r="AD1016" s="1"/>
      <c r="AE1016" s="1" t="s">
        <v>1152</v>
      </c>
      <c r="AF1016" s="1"/>
      <c r="AG1016" s="1"/>
      <c r="AH1016" s="1" t="s">
        <v>1152</v>
      </c>
      <c r="AI1016" s="1"/>
      <c r="AJ1016" s="1"/>
      <c r="AK1016" s="1"/>
      <c r="AL1016" s="6" t="str">
        <f t="array" ref="AL1016">IFERROR(IFS(XLOOKUP(B1016, 'Kit Delivery Status'!$U:$U, 'Kit Delivery Status'!$K:$K) = "Complete", "DELIVERED", XLOOKUP(B1016, 'Kit Delivery Status'!$U:$U, 'Kit Delivery Status'!$K:$K) = "Issue", "ISSUE"), "")</f>
        <v/>
      </c>
      <c r="AM1016" s="6"/>
    </row>
    <row r="1017">
      <c r="A1017" s="5" t="s">
        <v>5290</v>
      </c>
      <c r="B1017" s="1" t="s">
        <v>5291</v>
      </c>
      <c r="C1017" s="1"/>
      <c r="D1017" s="2">
        <v>3.17500095E9</v>
      </c>
      <c r="E1017" s="1" t="s">
        <v>5292</v>
      </c>
      <c r="F1017" s="1"/>
      <c r="G1017" s="1" t="s">
        <v>5293</v>
      </c>
      <c r="H1017" s="1" t="s">
        <v>2242</v>
      </c>
      <c r="I1017" s="1">
        <v>46032.0</v>
      </c>
      <c r="J1017" s="1" t="s">
        <v>752</v>
      </c>
      <c r="K1017" s="1" t="s">
        <v>66</v>
      </c>
      <c r="L1017" s="1" t="s">
        <v>3364</v>
      </c>
      <c r="M1017" s="1">
        <v>115.0</v>
      </c>
      <c r="N1017" s="1" t="s">
        <v>1152</v>
      </c>
      <c r="O1017" s="3" t="s">
        <v>5294</v>
      </c>
      <c r="P1017" s="18">
        <v>45883.0</v>
      </c>
      <c r="Q1017" s="1" t="s">
        <v>1152</v>
      </c>
      <c r="R1017" s="1"/>
      <c r="S1017" s="1" t="s">
        <v>1152</v>
      </c>
      <c r="T1017" s="1" t="s">
        <v>1152</v>
      </c>
      <c r="U1017" s="1" t="s">
        <v>1376</v>
      </c>
      <c r="V1017" s="4" t="s">
        <v>5294</v>
      </c>
      <c r="W1017" s="1"/>
      <c r="X1017" s="18">
        <v>45883.0</v>
      </c>
      <c r="Y1017" s="1"/>
      <c r="Z1017" s="1"/>
      <c r="AA1017" s="1"/>
      <c r="AB1017" s="1"/>
      <c r="AC1017" s="1" t="s">
        <v>1925</v>
      </c>
      <c r="AD1017" s="1"/>
      <c r="AE1017" s="1" t="s">
        <v>1152</v>
      </c>
      <c r="AF1017" s="1"/>
      <c r="AG1017" s="1"/>
      <c r="AH1017" s="1" t="s">
        <v>1152</v>
      </c>
      <c r="AI1017" s="1"/>
      <c r="AJ1017" s="1"/>
      <c r="AK1017" s="1"/>
      <c r="AL1017" s="6" t="str">
        <f t="array" ref="AL1017">IFERROR(IFS(XLOOKUP(B1017, 'Kit Delivery Status'!$U:$U, 'Kit Delivery Status'!$K:$K) = "Complete", "DELIVERED", XLOOKUP(B1017, 'Kit Delivery Status'!$U:$U, 'Kit Delivery Status'!$K:$K) = "Issue", "ISSUE"), "")</f>
        <v/>
      </c>
      <c r="AM1017" s="6"/>
    </row>
    <row r="1018">
      <c r="A1018" s="5" t="s">
        <v>5295</v>
      </c>
      <c r="B1018" s="1" t="s">
        <v>5296</v>
      </c>
      <c r="C1018" s="1" t="s">
        <v>5297</v>
      </c>
      <c r="D1018" s="2">
        <v>7.203693946E9</v>
      </c>
      <c r="E1018" s="1" t="s">
        <v>5298</v>
      </c>
      <c r="F1018" s="1"/>
      <c r="G1018" s="1" t="s">
        <v>4352</v>
      </c>
      <c r="H1018" s="1" t="s">
        <v>1891</v>
      </c>
      <c r="I1018" s="1">
        <v>80305.0</v>
      </c>
      <c r="J1018" s="1" t="s">
        <v>752</v>
      </c>
      <c r="K1018" s="1" t="s">
        <v>51</v>
      </c>
      <c r="L1018" s="1" t="s">
        <v>3293</v>
      </c>
      <c r="M1018" s="1">
        <v>1.0</v>
      </c>
      <c r="N1018" s="1" t="s">
        <v>2461</v>
      </c>
      <c r="O1018" s="3" t="s">
        <v>3944</v>
      </c>
      <c r="P1018" s="18">
        <v>45889.0</v>
      </c>
      <c r="Q1018" s="1" t="s">
        <v>2463</v>
      </c>
      <c r="R1018" s="1"/>
      <c r="S1018" s="1" t="s">
        <v>2461</v>
      </c>
      <c r="T1018" s="1" t="s">
        <v>2461</v>
      </c>
      <c r="U1018" s="1" t="s">
        <v>3946</v>
      </c>
      <c r="V1018" s="4" t="s">
        <v>3944</v>
      </c>
      <c r="W1018" s="1"/>
      <c r="X1018" s="18">
        <v>45889.0</v>
      </c>
      <c r="Y1018" s="1" t="s">
        <v>1030</v>
      </c>
      <c r="Z1018" s="1"/>
      <c r="AA1018" s="1"/>
      <c r="AB1018" s="1" t="s">
        <v>52</v>
      </c>
      <c r="AC1018" s="1" t="s">
        <v>1925</v>
      </c>
      <c r="AD1018" s="1"/>
      <c r="AE1018" s="1" t="s">
        <v>1152</v>
      </c>
      <c r="AF1018" s="1"/>
      <c r="AG1018" s="1"/>
      <c r="AH1018" s="1" t="s">
        <v>1152</v>
      </c>
      <c r="AI1018" s="1"/>
      <c r="AJ1018" s="1"/>
      <c r="AK1018" s="1"/>
      <c r="AL1018" s="6" t="str">
        <f t="array" ref="AL1018">IFERROR(IFS(XLOOKUP(B1018, 'Kit Delivery Status'!$U:$U, 'Kit Delivery Status'!$K:$K) = "Complete", "DELIVERED", XLOOKUP(B1018, 'Kit Delivery Status'!$U:$U, 'Kit Delivery Status'!$K:$K) = "Issue", "ISSUE"), "")</f>
        <v/>
      </c>
      <c r="AM1018" s="6"/>
    </row>
    <row r="1019">
      <c r="A1019" s="5" t="s">
        <v>5299</v>
      </c>
      <c r="B1019" s="1" t="s">
        <v>5300</v>
      </c>
      <c r="C1019" s="1" t="s">
        <v>5301</v>
      </c>
      <c r="D1019" s="2">
        <v>5.052318907E9</v>
      </c>
      <c r="E1019" s="1" t="s">
        <v>5302</v>
      </c>
      <c r="F1019" s="1"/>
      <c r="G1019" s="1" t="s">
        <v>4902</v>
      </c>
      <c r="H1019" s="1" t="s">
        <v>1028</v>
      </c>
      <c r="I1019" s="1">
        <v>87505.0</v>
      </c>
      <c r="J1019" s="1" t="s">
        <v>752</v>
      </c>
      <c r="K1019" s="1" t="s">
        <v>51</v>
      </c>
      <c r="L1019" s="1" t="s">
        <v>3293</v>
      </c>
      <c r="M1019" s="1">
        <v>1.0</v>
      </c>
      <c r="N1019" s="1" t="s">
        <v>2461</v>
      </c>
      <c r="O1019" s="3" t="s">
        <v>5303</v>
      </c>
      <c r="P1019" s="18">
        <v>45889.0</v>
      </c>
      <c r="Q1019" s="1" t="s">
        <v>3219</v>
      </c>
      <c r="R1019" s="1"/>
      <c r="S1019" s="1" t="s">
        <v>2461</v>
      </c>
      <c r="T1019" s="1" t="s">
        <v>2461</v>
      </c>
      <c r="U1019" s="1" t="s">
        <v>1828</v>
      </c>
      <c r="V1019" s="4" t="s">
        <v>5303</v>
      </c>
      <c r="W1019" s="1"/>
      <c r="X1019" s="18">
        <v>45889.0</v>
      </c>
      <c r="Y1019" s="1" t="s">
        <v>1455</v>
      </c>
      <c r="Z1019" s="1"/>
      <c r="AA1019" s="1"/>
      <c r="AB1019" s="1" t="s">
        <v>52</v>
      </c>
      <c r="AC1019" s="1" t="s">
        <v>1925</v>
      </c>
      <c r="AD1019" s="1"/>
      <c r="AE1019" s="1" t="s">
        <v>1152</v>
      </c>
      <c r="AF1019" s="1"/>
      <c r="AG1019" s="1"/>
      <c r="AH1019" s="1" t="s">
        <v>1152</v>
      </c>
      <c r="AI1019" s="1"/>
      <c r="AJ1019" s="1"/>
      <c r="AK1019" s="1"/>
      <c r="AL1019" s="6" t="str">
        <f t="array" ref="AL1019">IFERROR(IFS(XLOOKUP(B1019, 'Kit Delivery Status'!$U:$U, 'Kit Delivery Status'!$K:$K) = "Complete", "DELIVERED", XLOOKUP(B1019, 'Kit Delivery Status'!$U:$U, 'Kit Delivery Status'!$K:$K) = "Issue", "ISSUE"), "")</f>
        <v/>
      </c>
      <c r="AM1019" s="6"/>
    </row>
    <row r="1020">
      <c r="A1020" s="5" t="s">
        <v>5304</v>
      </c>
      <c r="B1020" s="1" t="s">
        <v>5305</v>
      </c>
      <c r="C1020" s="1" t="s">
        <v>3176</v>
      </c>
      <c r="D1020" s="2">
        <v>9.173716988E9</v>
      </c>
      <c r="E1020" s="1" t="s">
        <v>3177</v>
      </c>
      <c r="F1020" s="1"/>
      <c r="G1020" s="1" t="s">
        <v>751</v>
      </c>
      <c r="H1020" s="1" t="s">
        <v>751</v>
      </c>
      <c r="I1020" s="1">
        <v>10025.0</v>
      </c>
      <c r="J1020" s="1" t="s">
        <v>752</v>
      </c>
      <c r="K1020" s="1" t="s">
        <v>66</v>
      </c>
      <c r="L1020" s="1" t="s">
        <v>3321</v>
      </c>
      <c r="M1020" s="1">
        <v>210.0</v>
      </c>
      <c r="N1020" s="1" t="s">
        <v>1152</v>
      </c>
      <c r="O1020" s="3" t="s">
        <v>2235</v>
      </c>
      <c r="P1020" s="18">
        <v>45883.0</v>
      </c>
      <c r="Q1020" s="1" t="s">
        <v>1152</v>
      </c>
      <c r="R1020" s="1"/>
      <c r="S1020" s="1" t="s">
        <v>1152</v>
      </c>
      <c r="T1020" s="1" t="s">
        <v>1152</v>
      </c>
      <c r="U1020" s="1" t="s">
        <v>1343</v>
      </c>
      <c r="V1020" s="4" t="s">
        <v>2235</v>
      </c>
      <c r="W1020" s="1"/>
      <c r="X1020" s="18">
        <v>45883.0</v>
      </c>
      <c r="Y1020" s="1"/>
      <c r="Z1020" s="1"/>
      <c r="AA1020" s="1"/>
      <c r="AB1020" s="1"/>
      <c r="AC1020" s="1" t="s">
        <v>1925</v>
      </c>
      <c r="AD1020" s="1"/>
      <c r="AE1020" s="1" t="s">
        <v>1152</v>
      </c>
      <c r="AF1020" s="1"/>
      <c r="AG1020" s="1"/>
      <c r="AH1020" s="1" t="s">
        <v>1152</v>
      </c>
      <c r="AI1020" s="1"/>
      <c r="AJ1020" s="1"/>
      <c r="AK1020" s="1"/>
      <c r="AL1020" s="6" t="str">
        <f t="array" ref="AL1020">IFERROR(IFS(XLOOKUP(B1020, 'Kit Delivery Status'!$U:$U, 'Kit Delivery Status'!$K:$K) = "Complete", "DELIVERED", XLOOKUP(B1020, 'Kit Delivery Status'!$U:$U, 'Kit Delivery Status'!$K:$K) = "Issue", "ISSUE"), "")</f>
        <v/>
      </c>
      <c r="AM1020" s="6"/>
    </row>
    <row r="1021">
      <c r="A1021" s="5" t="s">
        <v>5306</v>
      </c>
      <c r="B1021" s="1" t="s">
        <v>5307</v>
      </c>
      <c r="C1021" s="1" t="s">
        <v>4210</v>
      </c>
      <c r="D1021" s="2">
        <v>5.083410848E9</v>
      </c>
      <c r="E1021" s="1" t="s">
        <v>4211</v>
      </c>
      <c r="F1021" s="1"/>
      <c r="G1021" s="1" t="s">
        <v>2625</v>
      </c>
      <c r="H1021" s="1" t="s">
        <v>1121</v>
      </c>
      <c r="I1021" s="1">
        <v>2492.0</v>
      </c>
      <c r="J1021" s="1" t="s">
        <v>752</v>
      </c>
      <c r="K1021" s="1" t="s">
        <v>95</v>
      </c>
      <c r="L1021" s="1" t="s">
        <v>3327</v>
      </c>
      <c r="M1021" s="1">
        <v>49.0</v>
      </c>
      <c r="N1021" s="1" t="s">
        <v>2461</v>
      </c>
      <c r="O1021" s="3" t="s">
        <v>1362</v>
      </c>
      <c r="P1021" s="18">
        <v>45888.0</v>
      </c>
      <c r="Q1021" s="1" t="s">
        <v>2463</v>
      </c>
      <c r="R1021" s="1"/>
      <c r="S1021" s="1" t="s">
        <v>2461</v>
      </c>
      <c r="T1021" s="1" t="s">
        <v>2461</v>
      </c>
      <c r="U1021" s="1" t="s">
        <v>2236</v>
      </c>
      <c r="V1021" s="4" t="s">
        <v>1362</v>
      </c>
      <c r="W1021" s="1"/>
      <c r="X1021" s="18">
        <v>45888.0</v>
      </c>
      <c r="Y1021" s="1" t="s">
        <v>1030</v>
      </c>
      <c r="Z1021" s="1"/>
      <c r="AA1021" s="1"/>
      <c r="AB1021" s="1" t="s">
        <v>52</v>
      </c>
      <c r="AC1021" s="1" t="s">
        <v>5308</v>
      </c>
      <c r="AD1021" s="1"/>
      <c r="AE1021" s="1" t="s">
        <v>1152</v>
      </c>
      <c r="AF1021" s="1"/>
      <c r="AG1021" s="1"/>
      <c r="AH1021" s="1" t="s">
        <v>1152</v>
      </c>
      <c r="AI1021" s="1"/>
      <c r="AJ1021" s="1"/>
      <c r="AK1021" s="1"/>
      <c r="AL1021" s="6" t="str">
        <f t="array" ref="AL1021">IFERROR(IFS(XLOOKUP(B1021, 'Kit Delivery Status'!$U:$U, 'Kit Delivery Status'!$K:$K) = "Complete", "DELIVERED", XLOOKUP(B1021, 'Kit Delivery Status'!$U:$U, 'Kit Delivery Status'!$K:$K) = "Issue", "ISSUE"), "")</f>
        <v/>
      </c>
      <c r="AM1021" s="6"/>
    </row>
    <row r="1022">
      <c r="A1022" s="5" t="s">
        <v>5306</v>
      </c>
      <c r="B1022" s="1" t="s">
        <v>5307</v>
      </c>
      <c r="C1022" s="1" t="s">
        <v>4210</v>
      </c>
      <c r="D1022" s="2">
        <v>5.083410848E9</v>
      </c>
      <c r="E1022" s="1" t="s">
        <v>4211</v>
      </c>
      <c r="F1022" s="1"/>
      <c r="G1022" s="1" t="s">
        <v>2625</v>
      </c>
      <c r="H1022" s="1" t="s">
        <v>1121</v>
      </c>
      <c r="I1022" s="1">
        <v>2492.0</v>
      </c>
      <c r="J1022" s="1" t="s">
        <v>752</v>
      </c>
      <c r="K1022" s="1" t="s">
        <v>51</v>
      </c>
      <c r="L1022" s="1" t="s">
        <v>3293</v>
      </c>
      <c r="M1022" s="1">
        <v>1.0</v>
      </c>
      <c r="N1022" s="1" t="s">
        <v>2461</v>
      </c>
      <c r="O1022" s="3" t="s">
        <v>1362</v>
      </c>
      <c r="P1022" s="18">
        <v>45888.0</v>
      </c>
      <c r="Q1022" s="1" t="s">
        <v>2463</v>
      </c>
      <c r="R1022" s="1"/>
      <c r="S1022" s="1" t="s">
        <v>2461</v>
      </c>
      <c r="T1022" s="1" t="s">
        <v>2461</v>
      </c>
      <c r="U1022" s="1" t="s">
        <v>2236</v>
      </c>
      <c r="V1022" s="4" t="s">
        <v>1362</v>
      </c>
      <c r="W1022" s="1"/>
      <c r="X1022" s="18">
        <v>45888.0</v>
      </c>
      <c r="Y1022" s="1" t="s">
        <v>1030</v>
      </c>
      <c r="Z1022" s="1"/>
      <c r="AA1022" s="1"/>
      <c r="AB1022" s="1" t="s">
        <v>52</v>
      </c>
      <c r="AC1022" s="1" t="s">
        <v>1925</v>
      </c>
      <c r="AD1022" s="1"/>
      <c r="AE1022" s="1" t="s">
        <v>1152</v>
      </c>
      <c r="AF1022" s="1"/>
      <c r="AG1022" s="1"/>
      <c r="AH1022" s="1" t="s">
        <v>1152</v>
      </c>
      <c r="AI1022" s="1"/>
      <c r="AJ1022" s="1"/>
      <c r="AK1022" s="1"/>
      <c r="AL1022" s="6" t="str">
        <f t="array" ref="AL1022">IFERROR(IFS(XLOOKUP(B1022, 'Kit Delivery Status'!$U:$U, 'Kit Delivery Status'!$K:$K) = "Complete", "DELIVERED", XLOOKUP(B1022, 'Kit Delivery Status'!$U:$U, 'Kit Delivery Status'!$K:$K) = "Issue", "ISSUE"), "")</f>
        <v/>
      </c>
      <c r="AM1022" s="6"/>
    </row>
    <row r="1023">
      <c r="A1023" s="5" t="s">
        <v>5309</v>
      </c>
      <c r="B1023" s="1" t="s">
        <v>5310</v>
      </c>
      <c r="C1023" s="1" t="s">
        <v>5311</v>
      </c>
      <c r="D1023" s="2">
        <v>4.124822633E9</v>
      </c>
      <c r="E1023" s="1" t="s">
        <v>5312</v>
      </c>
      <c r="F1023" s="1"/>
      <c r="G1023" s="1" t="s">
        <v>5313</v>
      </c>
      <c r="H1023" s="1" t="s">
        <v>1208</v>
      </c>
      <c r="I1023" s="1">
        <v>33547.0</v>
      </c>
      <c r="J1023" s="1" t="s">
        <v>752</v>
      </c>
      <c r="K1023" s="1" t="s">
        <v>5314</v>
      </c>
      <c r="L1023" s="1" t="s">
        <v>5315</v>
      </c>
      <c r="M1023" s="1">
        <v>49.0</v>
      </c>
      <c r="N1023" s="1" t="s">
        <v>2487</v>
      </c>
      <c r="O1023" s="3"/>
      <c r="P1023" s="18">
        <v>45883.0</v>
      </c>
      <c r="Q1023" s="1" t="s">
        <v>1455</v>
      </c>
      <c r="R1023" s="1"/>
      <c r="S1023" s="1" t="s">
        <v>2487</v>
      </c>
      <c r="T1023" s="1" t="s">
        <v>2487</v>
      </c>
      <c r="U1023" s="1"/>
      <c r="V1023" s="4"/>
      <c r="W1023" s="1"/>
      <c r="X1023" s="18">
        <v>45883.0</v>
      </c>
      <c r="Y1023" s="1" t="s">
        <v>1455</v>
      </c>
      <c r="Z1023" s="1"/>
      <c r="AA1023" s="1"/>
      <c r="AB1023" s="1" t="s">
        <v>2487</v>
      </c>
      <c r="AC1023" s="1" t="s">
        <v>5316</v>
      </c>
      <c r="AD1023" s="1" t="s">
        <v>5316</v>
      </c>
      <c r="AE1023" s="18">
        <v>45883.0</v>
      </c>
      <c r="AF1023" s="1" t="s">
        <v>1455</v>
      </c>
      <c r="AG1023" s="1" t="s">
        <v>124</v>
      </c>
      <c r="AH1023" s="1" t="s">
        <v>1152</v>
      </c>
      <c r="AI1023" s="1"/>
      <c r="AJ1023" s="1"/>
      <c r="AK1023" s="1"/>
      <c r="AL1023" s="6" t="str">
        <f t="array" ref="AL1023">IFERROR(IFS(XLOOKUP(B1023, 'Kit Delivery Status'!$U:$U, 'Kit Delivery Status'!$K:$K) = "Complete", "DELIVERED", XLOOKUP(B1023, 'Kit Delivery Status'!$U:$U, 'Kit Delivery Status'!$K:$K) = "Issue", "ISSUE"), "")</f>
        <v/>
      </c>
      <c r="AM1023" s="6"/>
    </row>
    <row r="1024">
      <c r="A1024" s="5" t="s">
        <v>5317</v>
      </c>
      <c r="B1024" s="1" t="s">
        <v>5318</v>
      </c>
      <c r="C1024" s="1"/>
      <c r="D1024" s="2"/>
      <c r="E1024" s="1" t="s">
        <v>5319</v>
      </c>
      <c r="F1024" s="1"/>
      <c r="G1024" s="1" t="s">
        <v>1582</v>
      </c>
      <c r="H1024" s="1" t="s">
        <v>1583</v>
      </c>
      <c r="I1024" s="1">
        <v>78730.0</v>
      </c>
      <c r="J1024" s="1" t="s">
        <v>752</v>
      </c>
      <c r="K1024" s="1" t="s">
        <v>66</v>
      </c>
      <c r="L1024" s="1" t="s">
        <v>3321</v>
      </c>
      <c r="M1024" s="1">
        <v>210.0</v>
      </c>
      <c r="N1024" s="1" t="s">
        <v>1152</v>
      </c>
      <c r="O1024" s="3" t="s">
        <v>353</v>
      </c>
      <c r="P1024" s="18">
        <v>45883.0</v>
      </c>
      <c r="Q1024" s="1" t="s">
        <v>1152</v>
      </c>
      <c r="R1024" s="1"/>
      <c r="S1024" s="1" t="s">
        <v>1152</v>
      </c>
      <c r="T1024" s="1" t="s">
        <v>1152</v>
      </c>
      <c r="U1024" s="1" t="s">
        <v>1039</v>
      </c>
      <c r="V1024" s="4" t="s">
        <v>353</v>
      </c>
      <c r="W1024" s="1"/>
      <c r="X1024" s="18">
        <v>45883.0</v>
      </c>
      <c r="Y1024" s="1"/>
      <c r="Z1024" s="1"/>
      <c r="AA1024" s="1"/>
      <c r="AB1024" s="1"/>
      <c r="AC1024" s="1" t="s">
        <v>1925</v>
      </c>
      <c r="AD1024" s="1"/>
      <c r="AE1024" s="1" t="s">
        <v>1152</v>
      </c>
      <c r="AF1024" s="1"/>
      <c r="AG1024" s="1"/>
      <c r="AH1024" s="1" t="s">
        <v>1152</v>
      </c>
      <c r="AI1024" s="1"/>
      <c r="AJ1024" s="1"/>
      <c r="AK1024" s="1"/>
      <c r="AL1024" s="6" t="str">
        <f t="array" ref="AL1024">IFERROR(IFS(XLOOKUP(B1024, 'Kit Delivery Status'!$U:$U, 'Kit Delivery Status'!$K:$K) = "Complete", "DELIVERED", XLOOKUP(B1024, 'Kit Delivery Status'!$U:$U, 'Kit Delivery Status'!$K:$K) = "Issue", "ISSUE"), "")</f>
        <v/>
      </c>
      <c r="AM1024" s="6"/>
    </row>
    <row r="1025">
      <c r="A1025" s="5" t="s">
        <v>5320</v>
      </c>
      <c r="B1025" s="1" t="s">
        <v>5321</v>
      </c>
      <c r="C1025" s="1" t="s">
        <v>5322</v>
      </c>
      <c r="D1025" s="2">
        <v>2.06755391E9</v>
      </c>
      <c r="E1025" s="1" t="s">
        <v>5323</v>
      </c>
      <c r="F1025" s="1"/>
      <c r="G1025" s="1" t="s">
        <v>5324</v>
      </c>
      <c r="H1025" s="1" t="s">
        <v>980</v>
      </c>
      <c r="I1025" s="1">
        <v>98040.0</v>
      </c>
      <c r="J1025" s="1" t="s">
        <v>752</v>
      </c>
      <c r="K1025" s="1" t="s">
        <v>51</v>
      </c>
      <c r="L1025" s="1" t="s">
        <v>3293</v>
      </c>
      <c r="M1025" s="1">
        <v>1.0</v>
      </c>
      <c r="N1025" s="1" t="s">
        <v>2461</v>
      </c>
      <c r="O1025" s="3" t="s">
        <v>5325</v>
      </c>
      <c r="P1025" s="18">
        <v>45892.0</v>
      </c>
      <c r="Q1025" s="1" t="s">
        <v>2852</v>
      </c>
      <c r="R1025" s="1"/>
      <c r="S1025" s="1" t="s">
        <v>2461</v>
      </c>
      <c r="T1025" s="1" t="s">
        <v>2461</v>
      </c>
      <c r="U1025" s="1" t="s">
        <v>1201</v>
      </c>
      <c r="V1025" s="4" t="s">
        <v>5325</v>
      </c>
      <c r="W1025" s="1"/>
      <c r="X1025" s="18">
        <v>45892.0</v>
      </c>
      <c r="Y1025" s="1" t="s">
        <v>1440</v>
      </c>
      <c r="Z1025" s="1"/>
      <c r="AA1025" s="1"/>
      <c r="AB1025" s="1" t="s">
        <v>52</v>
      </c>
      <c r="AC1025" s="1" t="s">
        <v>1925</v>
      </c>
      <c r="AD1025" s="1"/>
      <c r="AE1025" s="1" t="s">
        <v>1152</v>
      </c>
      <c r="AF1025" s="1"/>
      <c r="AG1025" s="1"/>
      <c r="AH1025" s="1" t="s">
        <v>1152</v>
      </c>
      <c r="AI1025" s="1"/>
      <c r="AJ1025" s="1"/>
      <c r="AK1025" s="1"/>
      <c r="AL1025" s="6" t="str">
        <f t="array" ref="AL1025">IFERROR(IFS(XLOOKUP(B1025, 'Kit Delivery Status'!$U:$U, 'Kit Delivery Status'!$K:$K) = "Complete", "DELIVERED", XLOOKUP(B1025, 'Kit Delivery Status'!$U:$U, 'Kit Delivery Status'!$K:$K) = "Issue", "ISSUE"), "")</f>
        <v/>
      </c>
      <c r="AM1025" s="6"/>
    </row>
    <row r="1026">
      <c r="A1026" s="5" t="s">
        <v>5326</v>
      </c>
      <c r="B1026" s="1" t="s">
        <v>5327</v>
      </c>
      <c r="C1026" s="1" t="s">
        <v>5328</v>
      </c>
      <c r="D1026" s="2">
        <v>9.173750383E9</v>
      </c>
      <c r="E1026" s="1" t="s">
        <v>5329</v>
      </c>
      <c r="F1026" s="1"/>
      <c r="G1026" s="1" t="s">
        <v>1858</v>
      </c>
      <c r="H1026" s="1" t="s">
        <v>1019</v>
      </c>
      <c r="I1026" s="1">
        <v>60093.0</v>
      </c>
      <c r="J1026" s="1" t="s">
        <v>752</v>
      </c>
      <c r="K1026" s="1" t="s">
        <v>66</v>
      </c>
      <c r="L1026" s="1" t="s">
        <v>3321</v>
      </c>
      <c r="M1026" s="1">
        <v>210.0</v>
      </c>
      <c r="N1026" s="1" t="s">
        <v>1152</v>
      </c>
      <c r="O1026" s="3" t="s">
        <v>371</v>
      </c>
      <c r="P1026" s="18">
        <v>45883.0</v>
      </c>
      <c r="Q1026" s="1" t="s">
        <v>1152</v>
      </c>
      <c r="R1026" s="1"/>
      <c r="S1026" s="1" t="s">
        <v>1152</v>
      </c>
      <c r="T1026" s="1" t="s">
        <v>1152</v>
      </c>
      <c r="U1026" s="1" t="s">
        <v>1537</v>
      </c>
      <c r="V1026" s="4" t="s">
        <v>371</v>
      </c>
      <c r="W1026" s="1"/>
      <c r="X1026" s="18">
        <v>45883.0</v>
      </c>
      <c r="Y1026" s="1"/>
      <c r="Z1026" s="1"/>
      <c r="AA1026" s="1"/>
      <c r="AB1026" s="1"/>
      <c r="AC1026" s="1" t="s">
        <v>1925</v>
      </c>
      <c r="AD1026" s="1"/>
      <c r="AE1026" s="1" t="s">
        <v>1152</v>
      </c>
      <c r="AF1026" s="1"/>
      <c r="AG1026" s="1"/>
      <c r="AH1026" s="1" t="s">
        <v>1152</v>
      </c>
      <c r="AI1026" s="1"/>
      <c r="AJ1026" s="1"/>
      <c r="AK1026" s="1"/>
      <c r="AL1026" s="6" t="str">
        <f t="array" ref="AL1026">IFERROR(IFS(XLOOKUP(B1026, 'Kit Delivery Status'!$U:$U, 'Kit Delivery Status'!$K:$K) = "Complete", "DELIVERED", XLOOKUP(B1026, 'Kit Delivery Status'!$U:$U, 'Kit Delivery Status'!$K:$K) = "Issue", "ISSUE"), "")</f>
        <v/>
      </c>
      <c r="AM1026" s="6"/>
    </row>
    <row r="1027">
      <c r="A1027" s="5" t="s">
        <v>5330</v>
      </c>
      <c r="B1027" s="1" t="s">
        <v>5331</v>
      </c>
      <c r="C1027" s="1" t="s">
        <v>5332</v>
      </c>
      <c r="D1027" s="2">
        <v>3.473362065E9</v>
      </c>
      <c r="E1027" s="1" t="s">
        <v>5333</v>
      </c>
      <c r="F1027" s="1"/>
      <c r="G1027" s="1" t="s">
        <v>3790</v>
      </c>
      <c r="H1027" s="1" t="s">
        <v>751</v>
      </c>
      <c r="I1027" s="1">
        <v>11436.0</v>
      </c>
      <c r="J1027" s="1" t="s">
        <v>752</v>
      </c>
      <c r="K1027" s="1" t="s">
        <v>66</v>
      </c>
      <c r="L1027" s="1" t="s">
        <v>3321</v>
      </c>
      <c r="M1027" s="1">
        <v>210.0</v>
      </c>
      <c r="N1027" s="1" t="s">
        <v>1152</v>
      </c>
      <c r="O1027" s="3" t="s">
        <v>5334</v>
      </c>
      <c r="P1027" s="18">
        <v>45883.0</v>
      </c>
      <c r="Q1027" s="1" t="s">
        <v>1152</v>
      </c>
      <c r="R1027" s="1"/>
      <c r="S1027" s="1" t="s">
        <v>1152</v>
      </c>
      <c r="T1027" s="1" t="s">
        <v>1152</v>
      </c>
      <c r="U1027" s="1" t="s">
        <v>956</v>
      </c>
      <c r="V1027" s="4" t="s">
        <v>5334</v>
      </c>
      <c r="W1027" s="1"/>
      <c r="X1027" s="18">
        <v>45883.0</v>
      </c>
      <c r="Y1027" s="1"/>
      <c r="Z1027" s="1"/>
      <c r="AA1027" s="1"/>
      <c r="AB1027" s="1"/>
      <c r="AC1027" s="1" t="s">
        <v>1925</v>
      </c>
      <c r="AD1027" s="1"/>
      <c r="AE1027" s="1" t="s">
        <v>1152</v>
      </c>
      <c r="AF1027" s="1"/>
      <c r="AG1027" s="1"/>
      <c r="AH1027" s="1" t="s">
        <v>1152</v>
      </c>
      <c r="AI1027" s="1"/>
      <c r="AJ1027" s="1"/>
      <c r="AK1027" s="1"/>
      <c r="AL1027" s="6" t="str">
        <f t="array" ref="AL1027">IFERROR(IFS(XLOOKUP(B1027, 'Kit Delivery Status'!$U:$U, 'Kit Delivery Status'!$K:$K) = "Complete", "DELIVERED", XLOOKUP(B1027, 'Kit Delivery Status'!$U:$U, 'Kit Delivery Status'!$K:$K) = "Issue", "ISSUE"), "")</f>
        <v/>
      </c>
      <c r="AM1027" s="6"/>
    </row>
    <row r="1028">
      <c r="A1028" s="5" t="s">
        <v>5335</v>
      </c>
      <c r="B1028" s="1" t="s">
        <v>5336</v>
      </c>
      <c r="C1028" s="1" t="s">
        <v>5111</v>
      </c>
      <c r="D1028" s="2">
        <v>8.186204788E9</v>
      </c>
      <c r="E1028" s="1" t="s">
        <v>5112</v>
      </c>
      <c r="F1028" s="1"/>
      <c r="G1028" s="1" t="s">
        <v>5113</v>
      </c>
      <c r="H1028" s="1" t="s">
        <v>989</v>
      </c>
      <c r="I1028" s="1">
        <v>91302.0</v>
      </c>
      <c r="J1028" s="1" t="s">
        <v>752</v>
      </c>
      <c r="K1028" s="1" t="s">
        <v>51</v>
      </c>
      <c r="L1028" s="1" t="s">
        <v>3293</v>
      </c>
      <c r="M1028" s="1">
        <v>1.0</v>
      </c>
      <c r="N1028" s="1" t="s">
        <v>2461</v>
      </c>
      <c r="O1028" s="3" t="s">
        <v>5114</v>
      </c>
      <c r="P1028" s="18">
        <v>45890.0</v>
      </c>
      <c r="Q1028" s="1" t="s">
        <v>2463</v>
      </c>
      <c r="R1028" s="1"/>
      <c r="S1028" s="1" t="s">
        <v>2461</v>
      </c>
      <c r="T1028" s="1" t="s">
        <v>2461</v>
      </c>
      <c r="U1028" s="1" t="s">
        <v>2940</v>
      </c>
      <c r="V1028" s="4" t="s">
        <v>5114</v>
      </c>
      <c r="W1028" s="1"/>
      <c r="X1028" s="18">
        <v>45890.0</v>
      </c>
      <c r="Y1028" s="1" t="s">
        <v>1030</v>
      </c>
      <c r="Z1028" s="1"/>
      <c r="AA1028" s="1"/>
      <c r="AB1028" s="1" t="s">
        <v>52</v>
      </c>
      <c r="AC1028" s="1" t="s">
        <v>1925</v>
      </c>
      <c r="AD1028" s="1"/>
      <c r="AE1028" s="1" t="s">
        <v>1152</v>
      </c>
      <c r="AF1028" s="1"/>
      <c r="AG1028" s="1"/>
      <c r="AH1028" s="1" t="s">
        <v>1152</v>
      </c>
      <c r="AI1028" s="1"/>
      <c r="AJ1028" s="1"/>
      <c r="AK1028" s="1"/>
      <c r="AL1028" s="6" t="str">
        <f t="array" ref="AL1028">IFERROR(IFS(XLOOKUP(B1028, 'Kit Delivery Status'!$U:$U, 'Kit Delivery Status'!$K:$K) = "Complete", "DELIVERED", XLOOKUP(B1028, 'Kit Delivery Status'!$U:$U, 'Kit Delivery Status'!$K:$K) = "Issue", "ISSUE"), "")</f>
        <v/>
      </c>
      <c r="AM1028" s="6"/>
    </row>
    <row r="1029">
      <c r="A1029" s="5" t="s">
        <v>5337</v>
      </c>
      <c r="B1029" s="1" t="s">
        <v>5338</v>
      </c>
      <c r="C1029" s="1"/>
      <c r="D1029" s="2">
        <v>3.078290361E9</v>
      </c>
      <c r="E1029" s="1" t="s">
        <v>5339</v>
      </c>
      <c r="F1029" s="1"/>
      <c r="G1029" s="1" t="s">
        <v>2932</v>
      </c>
      <c r="H1029" s="1" t="s">
        <v>1583</v>
      </c>
      <c r="I1029" s="1">
        <v>77401.0</v>
      </c>
      <c r="J1029" s="1" t="s">
        <v>752</v>
      </c>
      <c r="K1029" s="1" t="s">
        <v>51</v>
      </c>
      <c r="L1029" s="1" t="s">
        <v>3293</v>
      </c>
      <c r="M1029" s="1">
        <v>1.0</v>
      </c>
      <c r="N1029" s="1" t="s">
        <v>2461</v>
      </c>
      <c r="O1029" s="3" t="s">
        <v>5340</v>
      </c>
      <c r="P1029" s="18">
        <v>45889.0</v>
      </c>
      <c r="Q1029" s="1" t="s">
        <v>2463</v>
      </c>
      <c r="R1029" s="1"/>
      <c r="S1029" s="1" t="s">
        <v>2461</v>
      </c>
      <c r="T1029" s="1" t="s">
        <v>2461</v>
      </c>
      <c r="U1029" s="1" t="s">
        <v>1642</v>
      </c>
      <c r="V1029" s="4" t="s">
        <v>5340</v>
      </c>
      <c r="W1029" s="1"/>
      <c r="X1029" s="18">
        <v>45889.0</v>
      </c>
      <c r="Y1029" s="1" t="s">
        <v>1030</v>
      </c>
      <c r="Z1029" s="1"/>
      <c r="AA1029" s="1"/>
      <c r="AB1029" s="1" t="s">
        <v>52</v>
      </c>
      <c r="AC1029" s="1" t="s">
        <v>1925</v>
      </c>
      <c r="AD1029" s="1"/>
      <c r="AE1029" s="1" t="s">
        <v>1152</v>
      </c>
      <c r="AF1029" s="1"/>
      <c r="AG1029" s="1"/>
      <c r="AH1029" s="1" t="s">
        <v>1152</v>
      </c>
      <c r="AI1029" s="1"/>
      <c r="AJ1029" s="1"/>
      <c r="AK1029" s="1"/>
      <c r="AL1029" s="6" t="str">
        <f t="array" ref="AL1029">IFERROR(IFS(XLOOKUP(B1029, 'Kit Delivery Status'!$U:$U, 'Kit Delivery Status'!$K:$K) = "Complete", "DELIVERED", XLOOKUP(B1029, 'Kit Delivery Status'!$U:$U, 'Kit Delivery Status'!$K:$K) = "Issue", "ISSUE"), "")</f>
        <v/>
      </c>
      <c r="AM1029" s="6"/>
    </row>
    <row r="1030">
      <c r="A1030" s="5" t="s">
        <v>5341</v>
      </c>
      <c r="B1030" s="1" t="s">
        <v>5342</v>
      </c>
      <c r="C1030" s="1"/>
      <c r="D1030" s="2">
        <v>2.158375659E9</v>
      </c>
      <c r="E1030" s="1" t="s">
        <v>5343</v>
      </c>
      <c r="F1030" s="1"/>
      <c r="G1030" s="1" t="s">
        <v>5344</v>
      </c>
      <c r="H1030" s="1" t="s">
        <v>1233</v>
      </c>
      <c r="I1030" s="1">
        <v>19440.0</v>
      </c>
      <c r="J1030" s="1" t="s">
        <v>752</v>
      </c>
      <c r="K1030" s="1" t="s">
        <v>51</v>
      </c>
      <c r="L1030" s="1" t="s">
        <v>3293</v>
      </c>
      <c r="M1030" s="1">
        <v>1.0</v>
      </c>
      <c r="N1030" s="1" t="s">
        <v>2461</v>
      </c>
      <c r="O1030" s="3" t="s">
        <v>5345</v>
      </c>
      <c r="P1030" s="18">
        <v>45891.0</v>
      </c>
      <c r="Q1030" s="1" t="s">
        <v>2463</v>
      </c>
      <c r="R1030" s="1"/>
      <c r="S1030" s="1" t="s">
        <v>2461</v>
      </c>
      <c r="T1030" s="1" t="s">
        <v>2461</v>
      </c>
      <c r="U1030" s="1" t="s">
        <v>1812</v>
      </c>
      <c r="V1030" s="4" t="s">
        <v>5345</v>
      </c>
      <c r="W1030" s="1"/>
      <c r="X1030" s="18">
        <v>45891.0</v>
      </c>
      <c r="Y1030" s="1" t="s">
        <v>1030</v>
      </c>
      <c r="Z1030" s="1"/>
      <c r="AA1030" s="1"/>
      <c r="AB1030" s="1" t="s">
        <v>52</v>
      </c>
      <c r="AC1030" s="1" t="s">
        <v>1925</v>
      </c>
      <c r="AD1030" s="1"/>
      <c r="AE1030" s="1"/>
      <c r="AF1030" s="1"/>
      <c r="AG1030" s="1"/>
      <c r="AH1030" s="1" t="s">
        <v>1152</v>
      </c>
      <c r="AI1030" s="1"/>
      <c r="AJ1030" s="1"/>
      <c r="AK1030" s="1"/>
      <c r="AL1030" s="6" t="str">
        <f t="array" ref="AL1030">IFERROR(IFS(XLOOKUP(B1030, 'Kit Delivery Status'!$U:$U, 'Kit Delivery Status'!$K:$K) = "Complete", "DELIVERED", XLOOKUP(B1030, 'Kit Delivery Status'!$U:$U, 'Kit Delivery Status'!$K:$K) = "Issue", "ISSUE"), "")</f>
        <v/>
      </c>
      <c r="AM1030" s="6"/>
    </row>
    <row r="1031">
      <c r="A1031" s="5" t="s">
        <v>5346</v>
      </c>
      <c r="B1031" s="1" t="s">
        <v>5347</v>
      </c>
      <c r="C1031" s="1"/>
      <c r="D1031" s="2">
        <v>2.158375659E9</v>
      </c>
      <c r="E1031" s="1" t="s">
        <v>5343</v>
      </c>
      <c r="F1031" s="1"/>
      <c r="G1031" s="1" t="s">
        <v>2350</v>
      </c>
      <c r="H1031" s="1" t="s">
        <v>1155</v>
      </c>
      <c r="I1031" s="1">
        <v>63105.0</v>
      </c>
      <c r="J1031" s="1" t="s">
        <v>752</v>
      </c>
      <c r="K1031" s="1" t="s">
        <v>42</v>
      </c>
      <c r="L1031" s="1" t="s">
        <v>3293</v>
      </c>
      <c r="M1031" s="1">
        <v>1.0</v>
      </c>
      <c r="N1031" s="1" t="s">
        <v>2461</v>
      </c>
      <c r="O1031" s="3" t="s">
        <v>5233</v>
      </c>
      <c r="P1031" s="18">
        <v>45878.0</v>
      </c>
      <c r="Q1031" s="1" t="s">
        <v>2463</v>
      </c>
      <c r="R1031" s="1"/>
      <c r="S1031" s="1" t="s">
        <v>2461</v>
      </c>
      <c r="T1031" s="1" t="s">
        <v>2461</v>
      </c>
      <c r="U1031" s="1" t="s">
        <v>1710</v>
      </c>
      <c r="V1031" s="4" t="s">
        <v>5233</v>
      </c>
      <c r="W1031" s="1"/>
      <c r="X1031" s="18">
        <v>45878.0</v>
      </c>
      <c r="Y1031" s="1" t="s">
        <v>1030</v>
      </c>
      <c r="Z1031" s="1"/>
      <c r="AA1031" s="1"/>
      <c r="AB1031" s="1" t="s">
        <v>52</v>
      </c>
      <c r="AC1031" s="1" t="s">
        <v>1925</v>
      </c>
      <c r="AD1031" s="1"/>
      <c r="AE1031" s="18">
        <v>45878.0</v>
      </c>
      <c r="AF1031" s="1" t="s">
        <v>44</v>
      </c>
      <c r="AG1031" s="1"/>
      <c r="AH1031" s="1" t="s">
        <v>1152</v>
      </c>
      <c r="AI1031" s="1"/>
      <c r="AJ1031" s="1"/>
      <c r="AK1031" s="1"/>
      <c r="AL1031" s="6" t="str">
        <f t="array" ref="AL1031">IFERROR(IFS(XLOOKUP(B1031, 'Kit Delivery Status'!$U:$U, 'Kit Delivery Status'!$K:$K) = "Complete", "DELIVERED", XLOOKUP(B1031, 'Kit Delivery Status'!$U:$U, 'Kit Delivery Status'!$K:$K) = "Issue", "ISSUE"), "")</f>
        <v/>
      </c>
      <c r="AM1031" s="6"/>
    </row>
    <row r="1032">
      <c r="A1032" s="5" t="s">
        <v>5348</v>
      </c>
      <c r="B1032" s="1" t="s">
        <v>5349</v>
      </c>
      <c r="C1032" s="1" t="s">
        <v>5350</v>
      </c>
      <c r="D1032" s="2">
        <v>2.158375659E9</v>
      </c>
      <c r="E1032" s="1" t="s">
        <v>5343</v>
      </c>
      <c r="F1032" s="1"/>
      <c r="G1032" s="1" t="s">
        <v>2350</v>
      </c>
      <c r="H1032" s="1" t="s">
        <v>1155</v>
      </c>
      <c r="I1032" s="1">
        <v>63105.0</v>
      </c>
      <c r="J1032" s="1" t="s">
        <v>752</v>
      </c>
      <c r="K1032" s="1" t="s">
        <v>51</v>
      </c>
      <c r="L1032" s="1" t="s">
        <v>3293</v>
      </c>
      <c r="M1032" s="1">
        <v>1.0</v>
      </c>
      <c r="N1032" s="1" t="s">
        <v>2461</v>
      </c>
      <c r="O1032" s="3" t="s">
        <v>5351</v>
      </c>
      <c r="P1032" s="18">
        <v>45891.0</v>
      </c>
      <c r="Q1032" s="1" t="s">
        <v>2463</v>
      </c>
      <c r="R1032" s="1"/>
      <c r="S1032" s="1" t="s">
        <v>2461</v>
      </c>
      <c r="T1032" s="1" t="s">
        <v>2461</v>
      </c>
      <c r="U1032" s="1" t="s">
        <v>1812</v>
      </c>
      <c r="V1032" s="4" t="s">
        <v>5351</v>
      </c>
      <c r="W1032" s="1"/>
      <c r="X1032" s="18">
        <v>45891.0</v>
      </c>
      <c r="Y1032" s="1" t="s">
        <v>1030</v>
      </c>
      <c r="Z1032" s="1"/>
      <c r="AA1032" s="1"/>
      <c r="AB1032" s="1" t="s">
        <v>52</v>
      </c>
      <c r="AC1032" s="1" t="s">
        <v>1925</v>
      </c>
      <c r="AD1032" s="1"/>
      <c r="AE1032" s="1" t="s">
        <v>1152</v>
      </c>
      <c r="AF1032" s="1"/>
      <c r="AG1032" s="1"/>
      <c r="AH1032" s="1" t="s">
        <v>1152</v>
      </c>
      <c r="AI1032" s="1"/>
      <c r="AJ1032" s="1"/>
      <c r="AK1032" s="1"/>
      <c r="AL1032" s="6" t="str">
        <f t="array" ref="AL1032">IFERROR(IFS(XLOOKUP(B1032, 'Kit Delivery Status'!$U:$U, 'Kit Delivery Status'!$K:$K) = "Complete", "DELIVERED", XLOOKUP(B1032, 'Kit Delivery Status'!$U:$U, 'Kit Delivery Status'!$K:$K) = "Issue", "ISSUE"), "")</f>
        <v/>
      </c>
      <c r="AM1032" s="6"/>
    </row>
    <row r="1033">
      <c r="A1033" s="5" t="s">
        <v>5352</v>
      </c>
      <c r="B1033" s="1" t="s">
        <v>5353</v>
      </c>
      <c r="C1033" s="1" t="s">
        <v>5354</v>
      </c>
      <c r="D1033" s="2">
        <v>9.172141935E9</v>
      </c>
      <c r="E1033" s="1" t="s">
        <v>5355</v>
      </c>
      <c r="F1033" s="1"/>
      <c r="G1033" s="1" t="s">
        <v>1382</v>
      </c>
      <c r="H1033" s="1" t="s">
        <v>751</v>
      </c>
      <c r="I1033" s="1">
        <v>10583.0</v>
      </c>
      <c r="J1033" s="1" t="s">
        <v>752</v>
      </c>
      <c r="K1033" s="1" t="s">
        <v>66</v>
      </c>
      <c r="L1033" s="1" t="s">
        <v>3321</v>
      </c>
      <c r="M1033" s="1">
        <v>210.0</v>
      </c>
      <c r="N1033" s="1" t="s">
        <v>1152</v>
      </c>
      <c r="O1033" s="3" t="s">
        <v>576</v>
      </c>
      <c r="P1033" s="18">
        <v>45883.0</v>
      </c>
      <c r="Q1033" s="1" t="s">
        <v>1152</v>
      </c>
      <c r="R1033" s="1"/>
      <c r="S1033" s="1" t="s">
        <v>1152</v>
      </c>
      <c r="T1033" s="1" t="s">
        <v>1152</v>
      </c>
      <c r="U1033" s="1" t="s">
        <v>1039</v>
      </c>
      <c r="V1033" s="4" t="s">
        <v>576</v>
      </c>
      <c r="W1033" s="1"/>
      <c r="X1033" s="18">
        <v>45883.0</v>
      </c>
      <c r="Y1033" s="1"/>
      <c r="Z1033" s="1"/>
      <c r="AA1033" s="1"/>
      <c r="AB1033" s="1"/>
      <c r="AC1033" s="1" t="s">
        <v>1925</v>
      </c>
      <c r="AD1033" s="1"/>
      <c r="AE1033" s="1" t="s">
        <v>1152</v>
      </c>
      <c r="AF1033" s="1"/>
      <c r="AG1033" s="1"/>
      <c r="AH1033" s="1" t="s">
        <v>1152</v>
      </c>
      <c r="AI1033" s="1"/>
      <c r="AJ1033" s="1"/>
      <c r="AK1033" s="1"/>
      <c r="AL1033" s="6" t="str">
        <f t="array" ref="AL1033">IFERROR(IFS(XLOOKUP(B1033, 'Kit Delivery Status'!$U:$U, 'Kit Delivery Status'!$K:$K) = "Complete", "DELIVERED", XLOOKUP(B1033, 'Kit Delivery Status'!$U:$U, 'Kit Delivery Status'!$K:$K) = "Issue", "ISSUE"), "")</f>
        <v/>
      </c>
      <c r="AM1033" s="6"/>
    </row>
    <row r="1034">
      <c r="A1034" s="5" t="s">
        <v>5356</v>
      </c>
      <c r="B1034" s="1" t="s">
        <v>5357</v>
      </c>
      <c r="C1034" s="1" t="s">
        <v>2576</v>
      </c>
      <c r="D1034" s="2">
        <v>3.142668788E9</v>
      </c>
      <c r="E1034" s="1" t="s">
        <v>3980</v>
      </c>
      <c r="F1034" s="1"/>
      <c r="G1034" s="1" t="s">
        <v>1283</v>
      </c>
      <c r="H1034" s="1" t="s">
        <v>1155</v>
      </c>
      <c r="I1034" s="1">
        <v>63143.0</v>
      </c>
      <c r="J1034" s="1" t="s">
        <v>752</v>
      </c>
      <c r="K1034" s="1" t="s">
        <v>2577</v>
      </c>
      <c r="L1034" s="1" t="s">
        <v>3982</v>
      </c>
      <c r="M1034" s="1">
        <v>1.0</v>
      </c>
      <c r="N1034" s="1" t="s">
        <v>2579</v>
      </c>
      <c r="O1034" s="3"/>
      <c r="P1034" s="18">
        <v>45870.0</v>
      </c>
      <c r="Q1034" s="1" t="s">
        <v>5358</v>
      </c>
      <c r="R1034" s="1"/>
      <c r="S1034" s="1" t="s">
        <v>2579</v>
      </c>
      <c r="T1034" s="1" t="s">
        <v>2579</v>
      </c>
      <c r="U1034" s="1" t="s">
        <v>4637</v>
      </c>
      <c r="V1034" s="4"/>
      <c r="W1034" s="1"/>
      <c r="X1034" s="18">
        <v>45870.0</v>
      </c>
      <c r="Y1034" s="1"/>
      <c r="Z1034" s="1"/>
      <c r="AA1034" s="1"/>
      <c r="AB1034" s="1"/>
      <c r="AC1034" s="1" t="s">
        <v>1925</v>
      </c>
      <c r="AD1034" s="1"/>
      <c r="AE1034" s="1" t="s">
        <v>1152</v>
      </c>
      <c r="AF1034" s="1"/>
      <c r="AG1034" s="1"/>
      <c r="AH1034" s="1" t="s">
        <v>1152</v>
      </c>
      <c r="AI1034" s="1" t="s">
        <v>5359</v>
      </c>
      <c r="AJ1034" s="1"/>
      <c r="AK1034" s="1"/>
      <c r="AL1034" s="6" t="str">
        <f t="array" ref="AL1034">IFERROR(IFS(XLOOKUP(B1034, 'Kit Delivery Status'!$U:$U, 'Kit Delivery Status'!$K:$K) = "Complete", "DELIVERED", XLOOKUP(B1034, 'Kit Delivery Status'!$U:$U, 'Kit Delivery Status'!$K:$K) = "Issue", "ISSUE"), "")</f>
        <v/>
      </c>
      <c r="AM1034" s="6"/>
    </row>
    <row r="1035">
      <c r="A1035" s="5" t="s">
        <v>5360</v>
      </c>
      <c r="B1035" s="1" t="s">
        <v>5361</v>
      </c>
      <c r="C1035" s="1"/>
      <c r="D1035" s="2">
        <v>9.176260576E9</v>
      </c>
      <c r="E1035" s="1" t="s">
        <v>5362</v>
      </c>
      <c r="F1035" s="1" t="s">
        <v>5363</v>
      </c>
      <c r="G1035" s="1" t="s">
        <v>5364</v>
      </c>
      <c r="H1035" s="1" t="s">
        <v>751</v>
      </c>
      <c r="I1035" s="1">
        <v>11576.0</v>
      </c>
      <c r="J1035" s="1" t="s">
        <v>752</v>
      </c>
      <c r="K1035" s="1" t="s">
        <v>51</v>
      </c>
      <c r="L1035" s="1" t="s">
        <v>3293</v>
      </c>
      <c r="M1035" s="1">
        <v>1.0</v>
      </c>
      <c r="N1035" s="1" t="s">
        <v>2487</v>
      </c>
      <c r="O1035" s="3"/>
      <c r="P1035" s="18">
        <v>45891.0</v>
      </c>
      <c r="Q1035" s="1" t="s">
        <v>2731</v>
      </c>
      <c r="R1035" s="1" t="s">
        <v>5363</v>
      </c>
      <c r="S1035" s="1" t="s">
        <v>2487</v>
      </c>
      <c r="T1035" s="1" t="s">
        <v>2487</v>
      </c>
      <c r="U1035" s="1"/>
      <c r="V1035" s="4"/>
      <c r="W1035" s="1" t="s">
        <v>5363</v>
      </c>
      <c r="X1035" s="18">
        <v>45891.0</v>
      </c>
      <c r="Y1035" s="1" t="s">
        <v>1349</v>
      </c>
      <c r="Z1035" s="1"/>
      <c r="AA1035" s="1" t="s">
        <v>5363</v>
      </c>
      <c r="AB1035" s="1" t="s">
        <v>124</v>
      </c>
      <c r="AC1035" s="1" t="s">
        <v>1925</v>
      </c>
      <c r="AD1035" s="1"/>
      <c r="AE1035" s="1" t="s">
        <v>1152</v>
      </c>
      <c r="AF1035" s="1"/>
      <c r="AG1035" s="1"/>
      <c r="AH1035" s="1" t="s">
        <v>1152</v>
      </c>
      <c r="AI1035" s="1"/>
      <c r="AJ1035" s="1"/>
      <c r="AK1035" s="1"/>
      <c r="AL1035" s="6" t="str">
        <f t="array" ref="AL1035">IFERROR(IFS(XLOOKUP(B1035, 'Kit Delivery Status'!$U:$U, 'Kit Delivery Status'!$K:$K) = "Complete", "DELIVERED", XLOOKUP(B1035, 'Kit Delivery Status'!$U:$U, 'Kit Delivery Status'!$K:$K) = "Issue", "ISSUE"), "")</f>
        <v/>
      </c>
      <c r="AM1035" s="6"/>
    </row>
    <row r="1036">
      <c r="A1036" s="5" t="s">
        <v>5365</v>
      </c>
      <c r="B1036" s="1" t="s">
        <v>5366</v>
      </c>
      <c r="C1036" s="1"/>
      <c r="D1036" s="2">
        <v>6.035571581E9</v>
      </c>
      <c r="E1036" s="1" t="s">
        <v>5367</v>
      </c>
      <c r="F1036" s="1"/>
      <c r="G1036" s="1" t="s">
        <v>5368</v>
      </c>
      <c r="H1036" s="1" t="s">
        <v>1616</v>
      </c>
      <c r="I1036" s="1">
        <v>3060.0</v>
      </c>
      <c r="J1036" s="1" t="s">
        <v>752</v>
      </c>
      <c r="K1036" s="1" t="s">
        <v>66</v>
      </c>
      <c r="L1036" s="1" t="s">
        <v>3321</v>
      </c>
      <c r="M1036" s="1">
        <v>210.0</v>
      </c>
      <c r="N1036" s="1" t="s">
        <v>1152</v>
      </c>
      <c r="O1036" s="3" t="s">
        <v>440</v>
      </c>
      <c r="P1036" s="18">
        <v>45883.0</v>
      </c>
      <c r="Q1036" s="1" t="s">
        <v>1152</v>
      </c>
      <c r="R1036" s="1"/>
      <c r="S1036" s="1" t="s">
        <v>1152</v>
      </c>
      <c r="T1036" s="1" t="s">
        <v>1152</v>
      </c>
      <c r="U1036" s="1" t="s">
        <v>956</v>
      </c>
      <c r="V1036" s="4" t="s">
        <v>440</v>
      </c>
      <c r="W1036" s="1"/>
      <c r="X1036" s="18">
        <v>45883.0</v>
      </c>
      <c r="Y1036" s="1"/>
      <c r="Z1036" s="1"/>
      <c r="AA1036" s="1"/>
      <c r="AB1036" s="1"/>
      <c r="AC1036" s="1" t="s">
        <v>1925</v>
      </c>
      <c r="AD1036" s="1"/>
      <c r="AE1036" s="1" t="s">
        <v>1152</v>
      </c>
      <c r="AF1036" s="1"/>
      <c r="AG1036" s="1"/>
      <c r="AH1036" s="1" t="s">
        <v>1152</v>
      </c>
      <c r="AI1036" s="1"/>
      <c r="AJ1036" s="1"/>
      <c r="AK1036" s="1"/>
      <c r="AL1036" s="6" t="str">
        <f t="array" ref="AL1036">IFERROR(IFS(XLOOKUP(B1036, 'Kit Delivery Status'!$U:$U, 'Kit Delivery Status'!$K:$K) = "Complete", "DELIVERED", XLOOKUP(B1036, 'Kit Delivery Status'!$U:$U, 'Kit Delivery Status'!$K:$K) = "Issue", "ISSUE"), "")</f>
        <v/>
      </c>
      <c r="AM1036" s="6"/>
    </row>
    <row r="1037">
      <c r="A1037" s="5" t="s">
        <v>5369</v>
      </c>
      <c r="B1037" s="1" t="s">
        <v>5370</v>
      </c>
      <c r="C1037" s="1" t="s">
        <v>5371</v>
      </c>
      <c r="D1037" s="2">
        <v>5.089488913E9</v>
      </c>
      <c r="E1037" s="1" t="s">
        <v>5372</v>
      </c>
      <c r="F1037" s="1"/>
      <c r="G1037" s="1" t="s">
        <v>5373</v>
      </c>
      <c r="H1037" s="1" t="s">
        <v>1121</v>
      </c>
      <c r="I1037" s="1">
        <v>1748.0</v>
      </c>
      <c r="J1037" s="1" t="s">
        <v>752</v>
      </c>
      <c r="K1037" s="1" t="s">
        <v>51</v>
      </c>
      <c r="L1037" s="1" t="s">
        <v>3293</v>
      </c>
      <c r="M1037" s="1">
        <v>1.0</v>
      </c>
      <c r="N1037" s="1" t="s">
        <v>2461</v>
      </c>
      <c r="O1037" s="3" t="s">
        <v>5374</v>
      </c>
      <c r="P1037" s="18">
        <v>45883.0</v>
      </c>
      <c r="Q1037" s="1" t="s">
        <v>2463</v>
      </c>
      <c r="R1037" s="1"/>
      <c r="S1037" s="1" t="s">
        <v>2461</v>
      </c>
      <c r="T1037" s="1" t="s">
        <v>2461</v>
      </c>
      <c r="U1037" s="1" t="s">
        <v>2510</v>
      </c>
      <c r="V1037" s="4" t="s">
        <v>5374</v>
      </c>
      <c r="W1037" s="1"/>
      <c r="X1037" s="18">
        <v>45883.0</v>
      </c>
      <c r="Y1037" s="1" t="s">
        <v>1030</v>
      </c>
      <c r="Z1037" s="1"/>
      <c r="AA1037" s="1"/>
      <c r="AB1037" s="1" t="s">
        <v>52</v>
      </c>
      <c r="AC1037" s="1" t="s">
        <v>1925</v>
      </c>
      <c r="AD1037" s="1"/>
      <c r="AE1037" s="1" t="s">
        <v>1152</v>
      </c>
      <c r="AF1037" s="1"/>
      <c r="AG1037" s="1"/>
      <c r="AH1037" s="1" t="s">
        <v>1152</v>
      </c>
      <c r="AI1037" s="1"/>
      <c r="AJ1037" s="1"/>
      <c r="AK1037" s="1"/>
      <c r="AL1037" s="6" t="str">
        <f t="array" ref="AL1037">IFERROR(IFS(XLOOKUP(B1037, 'Kit Delivery Status'!$U:$U, 'Kit Delivery Status'!$K:$K) = "Complete", "DELIVERED", XLOOKUP(B1037, 'Kit Delivery Status'!$U:$U, 'Kit Delivery Status'!$K:$K) = "Issue", "ISSUE"), "")</f>
        <v/>
      </c>
      <c r="AM1037" s="6"/>
    </row>
    <row r="1038">
      <c r="A1038" s="5" t="s">
        <v>5375</v>
      </c>
      <c r="B1038" s="1" t="s">
        <v>5376</v>
      </c>
      <c r="C1038" s="1" t="s">
        <v>5377</v>
      </c>
      <c r="D1038" s="2">
        <v>6.073331477E9</v>
      </c>
      <c r="E1038" s="1" t="s">
        <v>5378</v>
      </c>
      <c r="F1038" s="1"/>
      <c r="G1038" s="1" t="s">
        <v>5379</v>
      </c>
      <c r="H1038" s="1" t="s">
        <v>5380</v>
      </c>
      <c r="I1038" s="1">
        <v>25213.0</v>
      </c>
      <c r="J1038" s="1" t="s">
        <v>752</v>
      </c>
      <c r="K1038" s="1" t="s">
        <v>51</v>
      </c>
      <c r="L1038" s="1" t="s">
        <v>3293</v>
      </c>
      <c r="M1038" s="1">
        <v>1.0</v>
      </c>
      <c r="N1038" s="1" t="s">
        <v>2461</v>
      </c>
      <c r="O1038" s="3" t="s">
        <v>5381</v>
      </c>
      <c r="P1038" s="18">
        <v>45889.0</v>
      </c>
      <c r="Q1038" s="1" t="s">
        <v>2463</v>
      </c>
      <c r="R1038" s="1"/>
      <c r="S1038" s="1" t="s">
        <v>2461</v>
      </c>
      <c r="T1038" s="1" t="s">
        <v>2461</v>
      </c>
      <c r="U1038" s="1" t="s">
        <v>1065</v>
      </c>
      <c r="V1038" s="4" t="s">
        <v>5381</v>
      </c>
      <c r="W1038" s="1"/>
      <c r="X1038" s="18">
        <v>45889.0</v>
      </c>
      <c r="Y1038" s="1" t="s">
        <v>1030</v>
      </c>
      <c r="Z1038" s="1"/>
      <c r="AA1038" s="1"/>
      <c r="AB1038" s="1" t="s">
        <v>52</v>
      </c>
      <c r="AC1038" s="1" t="s">
        <v>1925</v>
      </c>
      <c r="AD1038" s="1"/>
      <c r="AE1038" s="1" t="s">
        <v>1152</v>
      </c>
      <c r="AF1038" s="1"/>
      <c r="AG1038" s="1"/>
      <c r="AH1038" s="1" t="s">
        <v>1152</v>
      </c>
      <c r="AI1038" s="1"/>
      <c r="AJ1038" s="1"/>
      <c r="AK1038" s="1"/>
      <c r="AL1038" s="6" t="str">
        <f t="array" ref="AL1038">IFERROR(IFS(XLOOKUP(B1038, 'Kit Delivery Status'!$U:$U, 'Kit Delivery Status'!$K:$K) = "Complete", "DELIVERED", XLOOKUP(B1038, 'Kit Delivery Status'!$U:$U, 'Kit Delivery Status'!$K:$K) = "Issue", "ISSUE"), "")</f>
        <v/>
      </c>
      <c r="AM1038" s="6"/>
    </row>
    <row r="1039">
      <c r="A1039" s="5" t="s">
        <v>5382</v>
      </c>
      <c r="B1039" s="1" t="s">
        <v>5383</v>
      </c>
      <c r="C1039" s="1" t="s">
        <v>5384</v>
      </c>
      <c r="D1039" s="2">
        <v>7.816262725E9</v>
      </c>
      <c r="E1039" s="1" t="s">
        <v>5385</v>
      </c>
      <c r="F1039" s="1"/>
      <c r="G1039" s="1" t="s">
        <v>1037</v>
      </c>
      <c r="H1039" s="1" t="s">
        <v>1121</v>
      </c>
      <c r="I1039" s="1">
        <v>2474.0</v>
      </c>
      <c r="J1039" s="1" t="s">
        <v>752</v>
      </c>
      <c r="K1039" s="1" t="s">
        <v>95</v>
      </c>
      <c r="L1039" s="1" t="s">
        <v>3327</v>
      </c>
      <c r="M1039" s="1">
        <v>49.0</v>
      </c>
      <c r="N1039" s="1" t="s">
        <v>2461</v>
      </c>
      <c r="O1039" s="3" t="s">
        <v>5386</v>
      </c>
      <c r="P1039" s="18">
        <v>45883.0</v>
      </c>
      <c r="Q1039" s="1" t="s">
        <v>2463</v>
      </c>
      <c r="R1039" s="1"/>
      <c r="S1039" s="1" t="s">
        <v>2461</v>
      </c>
      <c r="T1039" s="1" t="s">
        <v>2461</v>
      </c>
      <c r="U1039" s="1" t="s">
        <v>3946</v>
      </c>
      <c r="V1039" s="4" t="s">
        <v>5386</v>
      </c>
      <c r="W1039" s="1"/>
      <c r="X1039" s="18">
        <v>45883.0</v>
      </c>
      <c r="Y1039" s="1" t="s">
        <v>1030</v>
      </c>
      <c r="Z1039" s="1"/>
      <c r="AA1039" s="1"/>
      <c r="AB1039" s="1" t="s">
        <v>52</v>
      </c>
      <c r="AC1039" s="1" t="s">
        <v>5387</v>
      </c>
      <c r="AD1039" s="1"/>
      <c r="AE1039" s="1" t="s">
        <v>1152</v>
      </c>
      <c r="AF1039" s="1"/>
      <c r="AG1039" s="1"/>
      <c r="AH1039" s="1" t="s">
        <v>1152</v>
      </c>
      <c r="AI1039" s="1"/>
      <c r="AJ1039" s="1"/>
      <c r="AK1039" s="1"/>
      <c r="AL1039" s="6" t="str">
        <f t="array" ref="AL1039">IFERROR(IFS(XLOOKUP(B1039, 'Kit Delivery Status'!$U:$U, 'Kit Delivery Status'!$K:$K) = "Complete", "DELIVERED", XLOOKUP(B1039, 'Kit Delivery Status'!$U:$U, 'Kit Delivery Status'!$K:$K) = "Issue", "ISSUE"), "")</f>
        <v/>
      </c>
      <c r="AM1039" s="6"/>
    </row>
    <row r="1040">
      <c r="A1040" s="5" t="s">
        <v>5388</v>
      </c>
      <c r="B1040" s="1" t="s">
        <v>5389</v>
      </c>
      <c r="C1040" s="1" t="s">
        <v>5384</v>
      </c>
      <c r="D1040" s="2">
        <v>7.816262725E9</v>
      </c>
      <c r="E1040" s="1" t="s">
        <v>5385</v>
      </c>
      <c r="F1040" s="1"/>
      <c r="G1040" s="1" t="s">
        <v>1037</v>
      </c>
      <c r="H1040" s="1" t="s">
        <v>1121</v>
      </c>
      <c r="I1040" s="1">
        <v>2474.0</v>
      </c>
      <c r="J1040" s="1" t="s">
        <v>752</v>
      </c>
      <c r="K1040" s="1" t="s">
        <v>66</v>
      </c>
      <c r="L1040" s="1" t="s">
        <v>3321</v>
      </c>
      <c r="M1040" s="1">
        <v>210.0</v>
      </c>
      <c r="N1040" s="1" t="s">
        <v>1152</v>
      </c>
      <c r="O1040" s="3" t="s">
        <v>5386</v>
      </c>
      <c r="P1040" s="18">
        <v>45883.0</v>
      </c>
      <c r="Q1040" s="1" t="s">
        <v>1152</v>
      </c>
      <c r="R1040" s="1"/>
      <c r="S1040" s="1" t="s">
        <v>1152</v>
      </c>
      <c r="T1040" s="1" t="s">
        <v>1152</v>
      </c>
      <c r="U1040" s="1" t="s">
        <v>3946</v>
      </c>
      <c r="V1040" s="4" t="s">
        <v>5386</v>
      </c>
      <c r="W1040" s="1"/>
      <c r="X1040" s="18">
        <v>45883.0</v>
      </c>
      <c r="Y1040" s="1"/>
      <c r="Z1040" s="1"/>
      <c r="AA1040" s="1"/>
      <c r="AB1040" s="1"/>
      <c r="AC1040" s="1" t="s">
        <v>1925</v>
      </c>
      <c r="AD1040" s="1"/>
      <c r="AE1040" s="1" t="s">
        <v>1152</v>
      </c>
      <c r="AF1040" s="1"/>
      <c r="AG1040" s="1"/>
      <c r="AH1040" s="1" t="s">
        <v>1152</v>
      </c>
      <c r="AI1040" s="1"/>
      <c r="AJ1040" s="1"/>
      <c r="AK1040" s="1"/>
      <c r="AL1040" s="6" t="str">
        <f t="array" ref="AL1040">IFERROR(IFS(XLOOKUP(B1040, 'Kit Delivery Status'!$U:$U, 'Kit Delivery Status'!$K:$K) = "Complete", "DELIVERED", XLOOKUP(B1040, 'Kit Delivery Status'!$U:$U, 'Kit Delivery Status'!$K:$K) = "Issue", "ISSUE"), "")</f>
        <v/>
      </c>
      <c r="AM1040" s="6"/>
    </row>
    <row r="1041">
      <c r="A1041" s="5" t="s">
        <v>5390</v>
      </c>
      <c r="B1041" s="1" t="s">
        <v>5391</v>
      </c>
      <c r="C1041" s="1" t="s">
        <v>5392</v>
      </c>
      <c r="D1041" s="2">
        <v>3.143339028E9</v>
      </c>
      <c r="E1041" s="1" t="s">
        <v>5393</v>
      </c>
      <c r="F1041" s="1" t="s">
        <v>5394</v>
      </c>
      <c r="G1041" s="1" t="s">
        <v>1283</v>
      </c>
      <c r="H1041" s="1" t="s">
        <v>1155</v>
      </c>
      <c r="I1041" s="1">
        <v>63112.0</v>
      </c>
      <c r="J1041" s="1" t="s">
        <v>752</v>
      </c>
      <c r="K1041" s="1" t="s">
        <v>51</v>
      </c>
      <c r="L1041" s="1" t="s">
        <v>3293</v>
      </c>
      <c r="M1041" s="1">
        <v>1.0</v>
      </c>
      <c r="N1041" s="1" t="s">
        <v>2487</v>
      </c>
      <c r="O1041" s="3"/>
      <c r="P1041" s="18">
        <v>45890.0</v>
      </c>
      <c r="Q1041" s="1" t="s">
        <v>3219</v>
      </c>
      <c r="R1041" s="1" t="s">
        <v>5394</v>
      </c>
      <c r="S1041" s="1" t="s">
        <v>2487</v>
      </c>
      <c r="T1041" s="1" t="s">
        <v>2487</v>
      </c>
      <c r="U1041" s="1"/>
      <c r="V1041" s="4"/>
      <c r="W1041" s="1" t="s">
        <v>5394</v>
      </c>
      <c r="X1041" s="18">
        <v>45890.0</v>
      </c>
      <c r="Y1041" s="1" t="s">
        <v>1455</v>
      </c>
      <c r="Z1041" s="1"/>
      <c r="AA1041" s="1" t="s">
        <v>5394</v>
      </c>
      <c r="AB1041" s="1" t="s">
        <v>124</v>
      </c>
      <c r="AC1041" s="1" t="s">
        <v>1925</v>
      </c>
      <c r="AD1041" s="1"/>
      <c r="AE1041" s="1" t="s">
        <v>1152</v>
      </c>
      <c r="AF1041" s="1"/>
      <c r="AG1041" s="1"/>
      <c r="AH1041" s="1" t="s">
        <v>1152</v>
      </c>
      <c r="AI1041" s="1"/>
      <c r="AJ1041" s="1"/>
      <c r="AK1041" s="1"/>
      <c r="AL1041" s="6" t="str">
        <f t="array" ref="AL1041">IFERROR(IFS(XLOOKUP(B1041, 'Kit Delivery Status'!$U:$U, 'Kit Delivery Status'!$K:$K) = "Complete", "DELIVERED", XLOOKUP(B1041, 'Kit Delivery Status'!$U:$U, 'Kit Delivery Status'!$K:$K) = "Issue", "ISSUE"), "")</f>
        <v/>
      </c>
      <c r="AM1041" s="6"/>
    </row>
    <row r="1042">
      <c r="A1042" s="5" t="s">
        <v>5395</v>
      </c>
      <c r="B1042" s="1" t="s">
        <v>5396</v>
      </c>
      <c r="C1042" s="1" t="s">
        <v>5397</v>
      </c>
      <c r="D1042" s="2">
        <v>1.3147458915E10</v>
      </c>
      <c r="E1042" s="1" t="s">
        <v>5398</v>
      </c>
      <c r="F1042" s="1" t="s">
        <v>5399</v>
      </c>
      <c r="G1042" s="1" t="s">
        <v>1283</v>
      </c>
      <c r="H1042" s="1" t="s">
        <v>1155</v>
      </c>
      <c r="I1042" s="1">
        <v>63112.0</v>
      </c>
      <c r="J1042" s="1" t="s">
        <v>752</v>
      </c>
      <c r="K1042" s="1" t="s">
        <v>51</v>
      </c>
      <c r="L1042" s="1" t="s">
        <v>3293</v>
      </c>
      <c r="M1042" s="1">
        <v>1.0</v>
      </c>
      <c r="N1042" s="1" t="s">
        <v>2487</v>
      </c>
      <c r="O1042" s="3"/>
      <c r="P1042" s="18">
        <v>45890.0</v>
      </c>
      <c r="Q1042" s="1" t="s">
        <v>3219</v>
      </c>
      <c r="R1042" s="1" t="s">
        <v>5399</v>
      </c>
      <c r="S1042" s="1" t="s">
        <v>2487</v>
      </c>
      <c r="T1042" s="1" t="s">
        <v>2487</v>
      </c>
      <c r="U1042" s="1"/>
      <c r="V1042" s="4"/>
      <c r="W1042" s="1" t="s">
        <v>5399</v>
      </c>
      <c r="X1042" s="18">
        <v>45890.0</v>
      </c>
      <c r="Y1042" s="1" t="s">
        <v>1455</v>
      </c>
      <c r="Z1042" s="1"/>
      <c r="AA1042" s="1" t="s">
        <v>5399</v>
      </c>
      <c r="AB1042" s="1" t="s">
        <v>124</v>
      </c>
      <c r="AC1042" s="1" t="s">
        <v>1925</v>
      </c>
      <c r="AD1042" s="1"/>
      <c r="AE1042" s="1" t="s">
        <v>1152</v>
      </c>
      <c r="AF1042" s="1"/>
      <c r="AG1042" s="1"/>
      <c r="AH1042" s="1" t="s">
        <v>1152</v>
      </c>
      <c r="AI1042" s="1"/>
      <c r="AJ1042" s="1"/>
      <c r="AK1042" s="1"/>
      <c r="AL1042" s="6" t="str">
        <f t="array" ref="AL1042">IFERROR(IFS(XLOOKUP(B1042, 'Kit Delivery Status'!$U:$U, 'Kit Delivery Status'!$K:$K) = "Complete", "DELIVERED", XLOOKUP(B1042, 'Kit Delivery Status'!$U:$U, 'Kit Delivery Status'!$K:$K) = "Issue", "ISSUE"), "")</f>
        <v/>
      </c>
      <c r="AM1042" s="6"/>
    </row>
    <row r="1043">
      <c r="A1043" s="5" t="s">
        <v>5400</v>
      </c>
      <c r="B1043" s="1" t="s">
        <v>5401</v>
      </c>
      <c r="C1043" s="1" t="s">
        <v>5402</v>
      </c>
      <c r="D1043" s="2">
        <v>8.574721138E9</v>
      </c>
      <c r="E1043" s="1" t="s">
        <v>5403</v>
      </c>
      <c r="F1043" s="1"/>
      <c r="G1043" s="1" t="s">
        <v>5404</v>
      </c>
      <c r="H1043" s="1" t="s">
        <v>1121</v>
      </c>
      <c r="I1043" s="1">
        <v>2481.0</v>
      </c>
      <c r="J1043" s="1" t="s">
        <v>752</v>
      </c>
      <c r="K1043" s="1" t="s">
        <v>66</v>
      </c>
      <c r="L1043" s="1" t="s">
        <v>3321</v>
      </c>
      <c r="M1043" s="1">
        <v>210.0</v>
      </c>
      <c r="N1043" s="1" t="s">
        <v>1152</v>
      </c>
      <c r="O1043" s="3" t="s">
        <v>5405</v>
      </c>
      <c r="P1043" s="18">
        <v>45883.0</v>
      </c>
      <c r="Q1043" s="1" t="s">
        <v>1152</v>
      </c>
      <c r="R1043" s="1"/>
      <c r="S1043" s="1" t="s">
        <v>1152</v>
      </c>
      <c r="T1043" s="1" t="s">
        <v>1152</v>
      </c>
      <c r="U1043" s="1" t="s">
        <v>1133</v>
      </c>
      <c r="V1043" s="4" t="s">
        <v>5405</v>
      </c>
      <c r="W1043" s="1"/>
      <c r="X1043" s="18">
        <v>45883.0</v>
      </c>
      <c r="Y1043" s="1"/>
      <c r="Z1043" s="1"/>
      <c r="AA1043" s="1"/>
      <c r="AB1043" s="1"/>
      <c r="AC1043" s="1" t="s">
        <v>1925</v>
      </c>
      <c r="AD1043" s="1"/>
      <c r="AE1043" s="1" t="s">
        <v>1152</v>
      </c>
      <c r="AF1043" s="1"/>
      <c r="AG1043" s="1"/>
      <c r="AH1043" s="1" t="s">
        <v>1152</v>
      </c>
      <c r="AI1043" s="1"/>
      <c r="AJ1043" s="1"/>
      <c r="AK1043" s="1"/>
      <c r="AL1043" s="6" t="str">
        <f t="array" ref="AL1043">IFERROR(IFS(XLOOKUP(B1043, 'Kit Delivery Status'!$U:$U, 'Kit Delivery Status'!$K:$K) = "Complete", "DELIVERED", XLOOKUP(B1043, 'Kit Delivery Status'!$U:$U, 'Kit Delivery Status'!$K:$K) = "Issue", "ISSUE"), "")</f>
        <v/>
      </c>
      <c r="AM1043" s="6"/>
    </row>
    <row r="1044">
      <c r="A1044" s="5" t="s">
        <v>5406</v>
      </c>
      <c r="B1044" s="1" t="s">
        <v>5407</v>
      </c>
      <c r="C1044" s="1" t="s">
        <v>5408</v>
      </c>
      <c r="D1044" s="2">
        <v>3.128239123E9</v>
      </c>
      <c r="E1044" s="1" t="s">
        <v>5409</v>
      </c>
      <c r="F1044" s="1"/>
      <c r="G1044" s="1" t="s">
        <v>3592</v>
      </c>
      <c r="H1044" s="1" t="s">
        <v>989</v>
      </c>
      <c r="I1044" s="1">
        <v>94582.0</v>
      </c>
      <c r="J1044" s="1" t="s">
        <v>752</v>
      </c>
      <c r="K1044" s="1" t="s">
        <v>66</v>
      </c>
      <c r="L1044" s="1" t="s">
        <v>3321</v>
      </c>
      <c r="M1044" s="1">
        <v>210.0</v>
      </c>
      <c r="N1044" s="1" t="s">
        <v>1152</v>
      </c>
      <c r="O1044" s="3" t="s">
        <v>5410</v>
      </c>
      <c r="P1044" s="18">
        <v>45883.0</v>
      </c>
      <c r="Q1044" s="1" t="s">
        <v>1152</v>
      </c>
      <c r="R1044" s="1"/>
      <c r="S1044" s="1" t="s">
        <v>1152</v>
      </c>
      <c r="T1044" s="1" t="s">
        <v>1152</v>
      </c>
      <c r="U1044" s="1" t="s">
        <v>1080</v>
      </c>
      <c r="V1044" s="4" t="s">
        <v>5410</v>
      </c>
      <c r="W1044" s="1"/>
      <c r="X1044" s="18">
        <v>45883.0</v>
      </c>
      <c r="Y1044" s="1"/>
      <c r="Z1044" s="1"/>
      <c r="AA1044" s="1"/>
      <c r="AB1044" s="1"/>
      <c r="AC1044" s="1" t="s">
        <v>1925</v>
      </c>
      <c r="AD1044" s="1"/>
      <c r="AE1044" s="1" t="s">
        <v>1152</v>
      </c>
      <c r="AF1044" s="1"/>
      <c r="AG1044" s="1"/>
      <c r="AH1044" s="1" t="s">
        <v>1152</v>
      </c>
      <c r="AI1044" s="1"/>
      <c r="AJ1044" s="1"/>
      <c r="AK1044" s="1"/>
      <c r="AL1044" s="6" t="str">
        <f t="array" ref="AL1044">IFERROR(IFS(XLOOKUP(B1044, 'Kit Delivery Status'!$U:$U, 'Kit Delivery Status'!$K:$K) = "Complete", "DELIVERED", XLOOKUP(B1044, 'Kit Delivery Status'!$U:$U, 'Kit Delivery Status'!$K:$K) = "Issue", "ISSUE"), "")</f>
        <v/>
      </c>
      <c r="AM1044" s="6"/>
    </row>
    <row r="1045">
      <c r="A1045" s="5" t="s">
        <v>5411</v>
      </c>
      <c r="B1045" s="1" t="s">
        <v>5412</v>
      </c>
      <c r="C1045" s="1" t="s">
        <v>5413</v>
      </c>
      <c r="D1045" s="2">
        <v>3.213876026E9</v>
      </c>
      <c r="E1045" s="1" t="s">
        <v>5414</v>
      </c>
      <c r="F1045" s="1"/>
      <c r="G1045" s="1" t="s">
        <v>3741</v>
      </c>
      <c r="H1045" s="1" t="s">
        <v>1155</v>
      </c>
      <c r="I1045" s="1">
        <v>63130.0</v>
      </c>
      <c r="J1045" s="1" t="s">
        <v>752</v>
      </c>
      <c r="K1045" s="1" t="s">
        <v>51</v>
      </c>
      <c r="L1045" s="1" t="s">
        <v>3293</v>
      </c>
      <c r="M1045" s="1">
        <v>1.0</v>
      </c>
      <c r="N1045" s="1" t="s">
        <v>5415</v>
      </c>
      <c r="O1045" s="3" t="s">
        <v>5416</v>
      </c>
      <c r="P1045" s="18">
        <v>45890.0</v>
      </c>
      <c r="Q1045" s="1" t="s">
        <v>2463</v>
      </c>
      <c r="R1045" s="1"/>
      <c r="S1045" s="1" t="s">
        <v>2461</v>
      </c>
      <c r="T1045" s="1" t="s">
        <v>2461</v>
      </c>
      <c r="U1045" s="1" t="s">
        <v>2940</v>
      </c>
      <c r="V1045" s="4" t="s">
        <v>5416</v>
      </c>
      <c r="W1045" s="1"/>
      <c r="X1045" s="18">
        <v>45890.0</v>
      </c>
      <c r="Y1045" s="1" t="s">
        <v>1030</v>
      </c>
      <c r="Z1045" s="1"/>
      <c r="AA1045" s="1"/>
      <c r="AB1045" s="1" t="s">
        <v>52</v>
      </c>
      <c r="AC1045" s="1" t="s">
        <v>1925</v>
      </c>
      <c r="AD1045" s="1"/>
      <c r="AE1045" s="1" t="s">
        <v>1152</v>
      </c>
      <c r="AF1045" s="1"/>
      <c r="AG1045" s="1"/>
      <c r="AH1045" s="1" t="s">
        <v>1152</v>
      </c>
      <c r="AI1045" s="1"/>
      <c r="AJ1045" s="1"/>
      <c r="AK1045" s="1"/>
      <c r="AL1045" s="6" t="str">
        <f t="array" ref="AL1045">IFERROR(IFS(XLOOKUP(B1045, 'Kit Delivery Status'!$U:$U, 'Kit Delivery Status'!$K:$K) = "Complete", "DELIVERED", XLOOKUP(B1045, 'Kit Delivery Status'!$U:$U, 'Kit Delivery Status'!$K:$K) = "Issue", "ISSUE"), "")</f>
        <v/>
      </c>
      <c r="AM1045" s="6"/>
    </row>
    <row r="1046">
      <c r="A1046" s="5" t="s">
        <v>5417</v>
      </c>
      <c r="B1046" s="1" t="s">
        <v>5418</v>
      </c>
      <c r="C1046" s="1" t="s">
        <v>5419</v>
      </c>
      <c r="D1046" s="2">
        <v>3.146655285E9</v>
      </c>
      <c r="E1046" s="1" t="s">
        <v>5420</v>
      </c>
      <c r="F1046" s="1"/>
      <c r="G1046" s="1" t="s">
        <v>1283</v>
      </c>
      <c r="H1046" s="1" t="s">
        <v>1155</v>
      </c>
      <c r="I1046" s="1">
        <v>63130.0</v>
      </c>
      <c r="J1046" s="1" t="s">
        <v>752</v>
      </c>
      <c r="K1046" s="1" t="s">
        <v>51</v>
      </c>
      <c r="L1046" s="1" t="s">
        <v>3293</v>
      </c>
      <c r="M1046" s="1">
        <v>1.0</v>
      </c>
      <c r="N1046" s="1" t="s">
        <v>2461</v>
      </c>
      <c r="O1046" s="3" t="s">
        <v>5421</v>
      </c>
      <c r="P1046" s="18">
        <v>45890.0</v>
      </c>
      <c r="Q1046" s="1" t="s">
        <v>3418</v>
      </c>
      <c r="R1046" s="1"/>
      <c r="S1046" s="1" t="s">
        <v>2461</v>
      </c>
      <c r="T1046" s="1" t="s">
        <v>2461</v>
      </c>
      <c r="U1046" s="1" t="s">
        <v>1021</v>
      </c>
      <c r="V1046" s="4" t="s">
        <v>5421</v>
      </c>
      <c r="W1046" s="1"/>
      <c r="X1046" s="18">
        <v>45890.0</v>
      </c>
      <c r="Y1046" s="1" t="s">
        <v>1103</v>
      </c>
      <c r="Z1046" s="1"/>
      <c r="AA1046" s="1"/>
      <c r="AB1046" s="1" t="s">
        <v>52</v>
      </c>
      <c r="AC1046" s="1" t="s">
        <v>1925</v>
      </c>
      <c r="AD1046" s="1"/>
      <c r="AE1046" s="1" t="s">
        <v>1152</v>
      </c>
      <c r="AF1046" s="1"/>
      <c r="AG1046" s="1"/>
      <c r="AH1046" s="1" t="s">
        <v>1152</v>
      </c>
      <c r="AI1046" s="1"/>
      <c r="AJ1046" s="1"/>
      <c r="AK1046" s="1"/>
      <c r="AL1046" s="6" t="str">
        <f t="array" ref="AL1046">IFERROR(IFS(XLOOKUP(B1046, 'Kit Delivery Status'!$U:$U, 'Kit Delivery Status'!$K:$K) = "Complete", "DELIVERED", XLOOKUP(B1046, 'Kit Delivery Status'!$U:$U, 'Kit Delivery Status'!$K:$K) = "Issue", "ISSUE"), "")</f>
        <v/>
      </c>
      <c r="AM1046" s="6"/>
    </row>
    <row r="1047">
      <c r="A1047" s="5" t="s">
        <v>5422</v>
      </c>
      <c r="B1047" s="1" t="s">
        <v>5423</v>
      </c>
      <c r="C1047" s="1" t="s">
        <v>5424</v>
      </c>
      <c r="D1047" s="2">
        <v>1.7572186714E10</v>
      </c>
      <c r="E1047" s="1" t="s">
        <v>5425</v>
      </c>
      <c r="F1047" s="1"/>
      <c r="G1047" s="1" t="s">
        <v>5104</v>
      </c>
      <c r="H1047" s="1" t="s">
        <v>1583</v>
      </c>
      <c r="I1047" s="1">
        <v>79423.0</v>
      </c>
      <c r="J1047" s="1" t="s">
        <v>752</v>
      </c>
      <c r="K1047" s="1" t="s">
        <v>66</v>
      </c>
      <c r="L1047" s="1" t="s">
        <v>3350</v>
      </c>
      <c r="M1047" s="1">
        <v>145.0</v>
      </c>
      <c r="N1047" s="1" t="s">
        <v>1152</v>
      </c>
      <c r="O1047" s="3" t="s">
        <v>5426</v>
      </c>
      <c r="P1047" s="18">
        <v>45883.0</v>
      </c>
      <c r="Q1047" s="1" t="s">
        <v>1152</v>
      </c>
      <c r="R1047" s="1"/>
      <c r="S1047" s="1" t="s">
        <v>1152</v>
      </c>
      <c r="T1047" s="1" t="s">
        <v>1152</v>
      </c>
      <c r="U1047" s="1" t="s">
        <v>1376</v>
      </c>
      <c r="V1047" s="4" t="s">
        <v>5426</v>
      </c>
      <c r="W1047" s="1"/>
      <c r="X1047" s="18">
        <v>45883.0</v>
      </c>
      <c r="Y1047" s="1"/>
      <c r="Z1047" s="1"/>
      <c r="AA1047" s="1"/>
      <c r="AB1047" s="1"/>
      <c r="AC1047" s="1" t="s">
        <v>1925</v>
      </c>
      <c r="AD1047" s="1"/>
      <c r="AE1047" s="1" t="s">
        <v>1152</v>
      </c>
      <c r="AF1047" s="1"/>
      <c r="AG1047" s="1"/>
      <c r="AH1047" s="1" t="s">
        <v>1152</v>
      </c>
      <c r="AI1047" s="1"/>
      <c r="AJ1047" s="1"/>
      <c r="AK1047" s="1"/>
      <c r="AL1047" s="6" t="str">
        <f t="array" ref="AL1047">IFERROR(IFS(XLOOKUP(B1047, 'Kit Delivery Status'!$U:$U, 'Kit Delivery Status'!$K:$K) = "Complete", "DELIVERED", XLOOKUP(B1047, 'Kit Delivery Status'!$U:$U, 'Kit Delivery Status'!$K:$K) = "Issue", "ISSUE"), "")</f>
        <v/>
      </c>
      <c r="AM1047" s="6"/>
    </row>
    <row r="1048">
      <c r="A1048" s="5" t="s">
        <v>5427</v>
      </c>
      <c r="B1048" s="1" t="s">
        <v>5428</v>
      </c>
      <c r="C1048" s="1" t="s">
        <v>5429</v>
      </c>
      <c r="D1048" s="2">
        <v>2.025792931E9</v>
      </c>
      <c r="E1048" s="1" t="s">
        <v>5430</v>
      </c>
      <c r="F1048" s="1"/>
      <c r="G1048" s="1" t="s">
        <v>5431</v>
      </c>
      <c r="H1048" s="1" t="s">
        <v>1005</v>
      </c>
      <c r="I1048" s="1">
        <v>20854.0</v>
      </c>
      <c r="J1048" s="1" t="s">
        <v>752</v>
      </c>
      <c r="K1048" s="1" t="s">
        <v>66</v>
      </c>
      <c r="L1048" s="1" t="s">
        <v>3321</v>
      </c>
      <c r="M1048" s="1">
        <v>210.0</v>
      </c>
      <c r="N1048" s="1" t="s">
        <v>1152</v>
      </c>
      <c r="O1048" s="3" t="s">
        <v>5432</v>
      </c>
      <c r="P1048" s="18">
        <v>45883.0</v>
      </c>
      <c r="Q1048" s="1" t="s">
        <v>1152</v>
      </c>
      <c r="R1048" s="1"/>
      <c r="S1048" s="1" t="s">
        <v>1152</v>
      </c>
      <c r="T1048" s="1" t="s">
        <v>1152</v>
      </c>
      <c r="U1048" s="1" t="s">
        <v>1749</v>
      </c>
      <c r="V1048" s="4" t="s">
        <v>5432</v>
      </c>
      <c r="W1048" s="1"/>
      <c r="X1048" s="18">
        <v>45883.0</v>
      </c>
      <c r="Y1048" s="1"/>
      <c r="Z1048" s="1"/>
      <c r="AA1048" s="1"/>
      <c r="AB1048" s="1"/>
      <c r="AC1048" s="1" t="s">
        <v>1925</v>
      </c>
      <c r="AD1048" s="1"/>
      <c r="AE1048" s="1" t="s">
        <v>1152</v>
      </c>
      <c r="AF1048" s="1"/>
      <c r="AG1048" s="1"/>
      <c r="AH1048" s="1" t="s">
        <v>1152</v>
      </c>
      <c r="AI1048" s="1"/>
      <c r="AJ1048" s="1"/>
      <c r="AK1048" s="1"/>
      <c r="AL1048" s="6" t="str">
        <f t="array" ref="AL1048">IFERROR(IFS(XLOOKUP(B1048, 'Kit Delivery Status'!$U:$U, 'Kit Delivery Status'!$K:$K) = "Complete", "DELIVERED", XLOOKUP(B1048, 'Kit Delivery Status'!$U:$U, 'Kit Delivery Status'!$K:$K) = "Issue", "ISSUE"), "")</f>
        <v/>
      </c>
      <c r="AM1048" s="6"/>
    </row>
    <row r="1049">
      <c r="A1049" s="5" t="s">
        <v>5433</v>
      </c>
      <c r="B1049" s="1" t="s">
        <v>5434</v>
      </c>
      <c r="C1049" s="1" t="s">
        <v>5435</v>
      </c>
      <c r="D1049" s="2">
        <v>9.73876106E9</v>
      </c>
      <c r="E1049" s="1" t="s">
        <v>5436</v>
      </c>
      <c r="F1049" s="1"/>
      <c r="G1049" s="1" t="s">
        <v>5437</v>
      </c>
      <c r="H1049" s="1" t="s">
        <v>1053</v>
      </c>
      <c r="I1049" s="1">
        <v>8502.0</v>
      </c>
      <c r="J1049" s="1" t="s">
        <v>752</v>
      </c>
      <c r="K1049" s="1" t="s">
        <v>66</v>
      </c>
      <c r="L1049" s="1" t="s">
        <v>3350</v>
      </c>
      <c r="M1049" s="1">
        <v>145.0</v>
      </c>
      <c r="N1049" s="1" t="s">
        <v>1152</v>
      </c>
      <c r="O1049" s="3" t="s">
        <v>5438</v>
      </c>
      <c r="P1049" s="18">
        <v>45883.0</v>
      </c>
      <c r="Q1049" s="1" t="s">
        <v>1152</v>
      </c>
      <c r="R1049" s="1"/>
      <c r="S1049" s="1" t="s">
        <v>1152</v>
      </c>
      <c r="T1049" s="1" t="s">
        <v>1152</v>
      </c>
      <c r="U1049" s="1" t="s">
        <v>956</v>
      </c>
      <c r="V1049" s="4" t="s">
        <v>5438</v>
      </c>
      <c r="W1049" s="1"/>
      <c r="X1049" s="18">
        <v>45883.0</v>
      </c>
      <c r="Y1049" s="1"/>
      <c r="Z1049" s="1"/>
      <c r="AA1049" s="1"/>
      <c r="AB1049" s="1"/>
      <c r="AC1049" s="1" t="s">
        <v>1925</v>
      </c>
      <c r="AD1049" s="1"/>
      <c r="AE1049" s="1" t="s">
        <v>1152</v>
      </c>
      <c r="AF1049" s="1"/>
      <c r="AG1049" s="1"/>
      <c r="AH1049" s="1" t="s">
        <v>1152</v>
      </c>
      <c r="AI1049" s="1"/>
      <c r="AJ1049" s="1"/>
      <c r="AK1049" s="1"/>
      <c r="AL1049" s="6" t="str">
        <f t="array" ref="AL1049">IFERROR(IFS(XLOOKUP(B1049, 'Kit Delivery Status'!$U:$U, 'Kit Delivery Status'!$K:$K) = "Complete", "DELIVERED", XLOOKUP(B1049, 'Kit Delivery Status'!$U:$U, 'Kit Delivery Status'!$K:$K) = "Issue", "ISSUE"), "")</f>
        <v/>
      </c>
      <c r="AM1049" s="6"/>
    </row>
    <row r="1050">
      <c r="A1050" s="5" t="s">
        <v>5439</v>
      </c>
      <c r="B1050" s="1" t="s">
        <v>5440</v>
      </c>
      <c r="C1050" s="1" t="s">
        <v>5441</v>
      </c>
      <c r="D1050" s="2">
        <v>3.144050174E9</v>
      </c>
      <c r="E1050" s="1" t="s">
        <v>5442</v>
      </c>
      <c r="F1050" s="1"/>
      <c r="G1050" s="1" t="s">
        <v>1283</v>
      </c>
      <c r="H1050" s="1" t="s">
        <v>1155</v>
      </c>
      <c r="I1050" s="1">
        <v>63144.0</v>
      </c>
      <c r="J1050" s="1" t="s">
        <v>752</v>
      </c>
      <c r="K1050" s="1" t="s">
        <v>66</v>
      </c>
      <c r="L1050" s="1" t="s">
        <v>3364</v>
      </c>
      <c r="M1050" s="1">
        <v>115.0</v>
      </c>
      <c r="N1050" s="1" t="s">
        <v>1152</v>
      </c>
      <c r="O1050" s="3" t="s">
        <v>5443</v>
      </c>
      <c r="P1050" s="18">
        <v>45883.0</v>
      </c>
      <c r="Q1050" s="1" t="s">
        <v>1152</v>
      </c>
      <c r="R1050" s="1"/>
      <c r="S1050" s="1" t="s">
        <v>1152</v>
      </c>
      <c r="T1050" s="1" t="s">
        <v>1152</v>
      </c>
      <c r="U1050" s="1" t="s">
        <v>1642</v>
      </c>
      <c r="V1050" s="4" t="s">
        <v>5443</v>
      </c>
      <c r="W1050" s="1"/>
      <c r="X1050" s="18">
        <v>45883.0</v>
      </c>
      <c r="Y1050" s="1"/>
      <c r="Z1050" s="1"/>
      <c r="AA1050" s="1"/>
      <c r="AB1050" s="1"/>
      <c r="AC1050" s="1" t="s">
        <v>1925</v>
      </c>
      <c r="AD1050" s="1"/>
      <c r="AE1050" s="1" t="s">
        <v>1152</v>
      </c>
      <c r="AF1050" s="1"/>
      <c r="AG1050" s="1"/>
      <c r="AH1050" s="1" t="s">
        <v>1152</v>
      </c>
      <c r="AI1050" s="1"/>
      <c r="AJ1050" s="1"/>
      <c r="AK1050" s="1"/>
      <c r="AL1050" s="6" t="str">
        <f t="array" ref="AL1050">IFERROR(IFS(XLOOKUP(B1050, 'Kit Delivery Status'!$U:$U, 'Kit Delivery Status'!$K:$K) = "Complete", "DELIVERED", XLOOKUP(B1050, 'Kit Delivery Status'!$U:$U, 'Kit Delivery Status'!$K:$K) = "Issue", "ISSUE"), "")</f>
        <v/>
      </c>
      <c r="AM1050" s="6"/>
    </row>
    <row r="1051">
      <c r="A1051" s="5" t="s">
        <v>5444</v>
      </c>
      <c r="B1051" s="1" t="s">
        <v>5445</v>
      </c>
      <c r="C1051" s="1" t="s">
        <v>5446</v>
      </c>
      <c r="D1051" s="2">
        <v>7.085956545E9</v>
      </c>
      <c r="E1051" s="1" t="s">
        <v>5447</v>
      </c>
      <c r="F1051" s="1"/>
      <c r="G1051" s="1" t="s">
        <v>5448</v>
      </c>
      <c r="H1051" s="1" t="s">
        <v>1019</v>
      </c>
      <c r="I1051" s="1">
        <v>60443.0</v>
      </c>
      <c r="J1051" s="1" t="s">
        <v>752</v>
      </c>
      <c r="K1051" s="1" t="s">
        <v>66</v>
      </c>
      <c r="L1051" s="1" t="s">
        <v>3364</v>
      </c>
      <c r="M1051" s="1">
        <v>115.0</v>
      </c>
      <c r="N1051" s="1" t="s">
        <v>1152</v>
      </c>
      <c r="O1051" s="3" t="s">
        <v>5449</v>
      </c>
      <c r="P1051" s="18">
        <v>45887.0</v>
      </c>
      <c r="Q1051" s="1" t="s">
        <v>1152</v>
      </c>
      <c r="R1051" s="1"/>
      <c r="S1051" s="1" t="s">
        <v>1152</v>
      </c>
      <c r="T1051" s="1" t="s">
        <v>1152</v>
      </c>
      <c r="U1051" s="1" t="s">
        <v>1133</v>
      </c>
      <c r="V1051" s="4" t="s">
        <v>5449</v>
      </c>
      <c r="W1051" s="1"/>
      <c r="X1051" s="18">
        <v>45887.0</v>
      </c>
      <c r="Y1051" s="1"/>
      <c r="Z1051" s="1"/>
      <c r="AA1051" s="1"/>
      <c r="AB1051" s="1"/>
      <c r="AC1051" s="1" t="s">
        <v>1925</v>
      </c>
      <c r="AD1051" s="1"/>
      <c r="AE1051" s="1" t="s">
        <v>1152</v>
      </c>
      <c r="AF1051" s="1"/>
      <c r="AG1051" s="1"/>
      <c r="AH1051" s="1" t="s">
        <v>1152</v>
      </c>
      <c r="AI1051" s="1"/>
      <c r="AJ1051" s="1"/>
      <c r="AK1051" s="1"/>
      <c r="AL1051" s="6" t="str">
        <f t="array" ref="AL1051">IFERROR(IFS(XLOOKUP(B1051, 'Kit Delivery Status'!$U:$U, 'Kit Delivery Status'!$K:$K) = "Complete", "DELIVERED", XLOOKUP(B1051, 'Kit Delivery Status'!$U:$U, 'Kit Delivery Status'!$K:$K) = "Issue", "ISSUE"), "")</f>
        <v/>
      </c>
      <c r="AM1051" s="6"/>
    </row>
    <row r="1052">
      <c r="A1052" s="5" t="s">
        <v>5450</v>
      </c>
      <c r="B1052" s="1" t="s">
        <v>5451</v>
      </c>
      <c r="C1052" s="1"/>
      <c r="D1052" s="2">
        <v>7.737151169E9</v>
      </c>
      <c r="E1052" s="1" t="s">
        <v>5452</v>
      </c>
      <c r="F1052" s="1"/>
      <c r="G1052" s="1" t="s">
        <v>5453</v>
      </c>
      <c r="H1052" s="1" t="s">
        <v>1019</v>
      </c>
      <c r="I1052" s="1">
        <v>60047.0</v>
      </c>
      <c r="J1052" s="1" t="s">
        <v>752</v>
      </c>
      <c r="K1052" s="1" t="s">
        <v>66</v>
      </c>
      <c r="L1052" s="1" t="s">
        <v>3321</v>
      </c>
      <c r="M1052" s="1">
        <v>210.0</v>
      </c>
      <c r="N1052" s="1" t="s">
        <v>1152</v>
      </c>
      <c r="O1052" s="3" t="s">
        <v>5454</v>
      </c>
      <c r="P1052" s="18">
        <v>45883.0</v>
      </c>
      <c r="Q1052" s="1" t="s">
        <v>1152</v>
      </c>
      <c r="R1052" s="1"/>
      <c r="S1052" s="1" t="s">
        <v>1152</v>
      </c>
      <c r="T1052" s="1" t="s">
        <v>1152</v>
      </c>
      <c r="U1052" s="1" t="s">
        <v>1812</v>
      </c>
      <c r="V1052" s="4" t="s">
        <v>5454</v>
      </c>
      <c r="W1052" s="1"/>
      <c r="X1052" s="18">
        <v>45883.0</v>
      </c>
      <c r="Y1052" s="1"/>
      <c r="Z1052" s="1"/>
      <c r="AA1052" s="1"/>
      <c r="AB1052" s="1"/>
      <c r="AC1052" s="1" t="s">
        <v>1925</v>
      </c>
      <c r="AD1052" s="1"/>
      <c r="AE1052" s="1" t="s">
        <v>1152</v>
      </c>
      <c r="AF1052" s="1"/>
      <c r="AG1052" s="1"/>
      <c r="AH1052" s="1" t="s">
        <v>1152</v>
      </c>
      <c r="AI1052" s="1"/>
      <c r="AJ1052" s="1"/>
      <c r="AK1052" s="1"/>
      <c r="AL1052" s="6" t="str">
        <f t="array" ref="AL1052">IFERROR(IFS(XLOOKUP(B1052, 'Kit Delivery Status'!$U:$U, 'Kit Delivery Status'!$K:$K) = "Complete", "DELIVERED", XLOOKUP(B1052, 'Kit Delivery Status'!$U:$U, 'Kit Delivery Status'!$K:$K) = "Issue", "ISSUE"), "")</f>
        <v/>
      </c>
      <c r="AM1052" s="6"/>
    </row>
    <row r="1053">
      <c r="A1053" s="5" t="s">
        <v>5455</v>
      </c>
      <c r="B1053" s="1" t="s">
        <v>5456</v>
      </c>
      <c r="C1053" s="1" t="s">
        <v>5457</v>
      </c>
      <c r="D1053" s="2">
        <v>8.323687841E9</v>
      </c>
      <c r="E1053" s="1" t="s">
        <v>5458</v>
      </c>
      <c r="F1053" s="1"/>
      <c r="G1053" s="1" t="s">
        <v>2932</v>
      </c>
      <c r="H1053" s="1" t="s">
        <v>1583</v>
      </c>
      <c r="I1053" s="1">
        <v>77401.0</v>
      </c>
      <c r="J1053" s="1" t="s">
        <v>752</v>
      </c>
      <c r="K1053" s="1" t="s">
        <v>66</v>
      </c>
      <c r="L1053" s="1" t="s">
        <v>3321</v>
      </c>
      <c r="M1053" s="1">
        <v>210.0</v>
      </c>
      <c r="N1053" s="1" t="s">
        <v>1152</v>
      </c>
      <c r="O1053" s="3" t="s">
        <v>5459</v>
      </c>
      <c r="P1053" s="18">
        <v>45883.0</v>
      </c>
      <c r="Q1053" s="1" t="s">
        <v>1152</v>
      </c>
      <c r="R1053" s="1"/>
      <c r="S1053" s="1" t="s">
        <v>1152</v>
      </c>
      <c r="T1053" s="1" t="s">
        <v>1152</v>
      </c>
      <c r="U1053" s="1" t="s">
        <v>948</v>
      </c>
      <c r="V1053" s="4" t="s">
        <v>5459</v>
      </c>
      <c r="W1053" s="1"/>
      <c r="X1053" s="18">
        <v>45883.0</v>
      </c>
      <c r="Y1053" s="1"/>
      <c r="Z1053" s="1"/>
      <c r="AA1053" s="1"/>
      <c r="AB1053" s="1"/>
      <c r="AC1053" s="1" t="s">
        <v>1925</v>
      </c>
      <c r="AD1053" s="1"/>
      <c r="AE1053" s="1" t="s">
        <v>1152</v>
      </c>
      <c r="AF1053" s="1"/>
      <c r="AG1053" s="1"/>
      <c r="AH1053" s="1" t="s">
        <v>1152</v>
      </c>
      <c r="AI1053" s="1"/>
      <c r="AJ1053" s="1"/>
      <c r="AK1053" s="1"/>
      <c r="AL1053" s="6" t="str">
        <f t="array" ref="AL1053">IFERROR(IFS(XLOOKUP(B1053, 'Kit Delivery Status'!$U:$U, 'Kit Delivery Status'!$K:$K) = "Complete", "DELIVERED", XLOOKUP(B1053, 'Kit Delivery Status'!$U:$U, 'Kit Delivery Status'!$K:$K) = "Issue", "ISSUE"), "")</f>
        <v/>
      </c>
      <c r="AM1053" s="6"/>
    </row>
    <row r="1054">
      <c r="A1054" s="5" t="s">
        <v>5460</v>
      </c>
      <c r="B1054" s="1" t="s">
        <v>5461</v>
      </c>
      <c r="C1054" s="1" t="s">
        <v>4050</v>
      </c>
      <c r="D1054" s="2">
        <v>2.039162049E9</v>
      </c>
      <c r="E1054" s="1" t="s">
        <v>4051</v>
      </c>
      <c r="F1054" s="1"/>
      <c r="G1054" s="1" t="s">
        <v>4052</v>
      </c>
      <c r="H1054" s="1" t="s">
        <v>1078</v>
      </c>
      <c r="I1054" s="1">
        <v>6824.0</v>
      </c>
      <c r="J1054" s="1" t="s">
        <v>752</v>
      </c>
      <c r="K1054" s="1" t="s">
        <v>66</v>
      </c>
      <c r="L1054" s="1" t="s">
        <v>3364</v>
      </c>
      <c r="M1054" s="1">
        <v>115.0</v>
      </c>
      <c r="N1054" s="1" t="s">
        <v>1152</v>
      </c>
      <c r="O1054" s="3" t="s">
        <v>5462</v>
      </c>
      <c r="P1054" s="18">
        <v>45922.0</v>
      </c>
      <c r="Q1054" s="1" t="s">
        <v>1152</v>
      </c>
      <c r="R1054" s="1"/>
      <c r="S1054" s="1" t="s">
        <v>1152</v>
      </c>
      <c r="T1054" s="1" t="s">
        <v>1152</v>
      </c>
      <c r="U1054" s="1" t="s">
        <v>1794</v>
      </c>
      <c r="V1054" s="4" t="s">
        <v>5462</v>
      </c>
      <c r="W1054" s="1"/>
      <c r="X1054" s="18">
        <v>45922.0</v>
      </c>
      <c r="Y1054" s="1"/>
      <c r="Z1054" s="1"/>
      <c r="AA1054" s="1"/>
      <c r="AB1054" s="1"/>
      <c r="AC1054" s="1" t="s">
        <v>1925</v>
      </c>
      <c r="AD1054" s="1"/>
      <c r="AE1054" s="1" t="s">
        <v>1152</v>
      </c>
      <c r="AF1054" s="1"/>
      <c r="AG1054" s="1"/>
      <c r="AH1054" s="1" t="s">
        <v>1152</v>
      </c>
      <c r="AI1054" s="1"/>
      <c r="AJ1054" s="1"/>
      <c r="AK1054" s="1"/>
      <c r="AL1054" s="6" t="str">
        <f t="array" ref="AL1054">IFERROR(IFS(XLOOKUP(B1054, 'Kit Delivery Status'!$U:$U, 'Kit Delivery Status'!$K:$K) = "Complete", "DELIVERED", XLOOKUP(B1054, 'Kit Delivery Status'!$U:$U, 'Kit Delivery Status'!$K:$K) = "Issue", "ISSUE"), "")</f>
        <v/>
      </c>
      <c r="AM1054" s="6"/>
    </row>
    <row r="1055">
      <c r="A1055" s="5" t="s">
        <v>5463</v>
      </c>
      <c r="B1055" s="1" t="s">
        <v>5464</v>
      </c>
      <c r="C1055" s="1" t="s">
        <v>5465</v>
      </c>
      <c r="D1055" s="2">
        <v>5.616543968E9</v>
      </c>
      <c r="E1055" s="1" t="s">
        <v>5466</v>
      </c>
      <c r="F1055" s="1"/>
      <c r="G1055" s="1" t="s">
        <v>5467</v>
      </c>
      <c r="H1055" s="1" t="s">
        <v>1208</v>
      </c>
      <c r="I1055" s="1">
        <v>33472.0</v>
      </c>
      <c r="J1055" s="1" t="s">
        <v>752</v>
      </c>
      <c r="K1055" s="1" t="s">
        <v>51</v>
      </c>
      <c r="L1055" s="1" t="s">
        <v>3293</v>
      </c>
      <c r="M1055" s="1">
        <v>1.0</v>
      </c>
      <c r="N1055" s="1" t="s">
        <v>2461</v>
      </c>
      <c r="O1055" s="3" t="s">
        <v>5468</v>
      </c>
      <c r="P1055" s="18">
        <v>45890.0</v>
      </c>
      <c r="Q1055" s="1" t="s">
        <v>2463</v>
      </c>
      <c r="R1055" s="1"/>
      <c r="S1055" s="1" t="s">
        <v>2461</v>
      </c>
      <c r="T1055" s="1" t="s">
        <v>2461</v>
      </c>
      <c r="U1055" s="1" t="s">
        <v>2510</v>
      </c>
      <c r="V1055" s="4" t="s">
        <v>5468</v>
      </c>
      <c r="W1055" s="1"/>
      <c r="X1055" s="18">
        <v>45890.0</v>
      </c>
      <c r="Y1055" s="1" t="s">
        <v>1030</v>
      </c>
      <c r="Z1055" s="1"/>
      <c r="AA1055" s="1"/>
      <c r="AB1055" s="1" t="s">
        <v>52</v>
      </c>
      <c r="AC1055" s="1" t="s">
        <v>1925</v>
      </c>
      <c r="AD1055" s="1"/>
      <c r="AE1055" s="1" t="s">
        <v>1152</v>
      </c>
      <c r="AF1055" s="1"/>
      <c r="AG1055" s="1"/>
      <c r="AH1055" s="1" t="s">
        <v>1152</v>
      </c>
      <c r="AI1055" s="1"/>
      <c r="AJ1055" s="1"/>
      <c r="AK1055" s="1"/>
      <c r="AL1055" s="6" t="str">
        <f t="array" ref="AL1055">IFERROR(IFS(XLOOKUP(B1055, 'Kit Delivery Status'!$U:$U, 'Kit Delivery Status'!$K:$K) = "Complete", "DELIVERED", XLOOKUP(B1055, 'Kit Delivery Status'!$U:$U, 'Kit Delivery Status'!$K:$K) = "Issue", "ISSUE"), "")</f>
        <v/>
      </c>
      <c r="AM1055" s="6"/>
    </row>
    <row r="1056">
      <c r="A1056" s="5" t="s">
        <v>5469</v>
      </c>
      <c r="B1056" s="1" t="s">
        <v>5470</v>
      </c>
      <c r="C1056" s="1" t="s">
        <v>5471</v>
      </c>
      <c r="D1056" s="2">
        <v>5.204819535E9</v>
      </c>
      <c r="E1056" s="1" t="s">
        <v>5472</v>
      </c>
      <c r="F1056" s="1"/>
      <c r="G1056" s="1" t="s">
        <v>3602</v>
      </c>
      <c r="H1056" s="1" t="s">
        <v>1535</v>
      </c>
      <c r="I1056" s="1">
        <v>85719.0</v>
      </c>
      <c r="J1056" s="1" t="s">
        <v>752</v>
      </c>
      <c r="K1056" s="1" t="s">
        <v>66</v>
      </c>
      <c r="L1056" s="1" t="s">
        <v>3321</v>
      </c>
      <c r="M1056" s="1">
        <v>210.0</v>
      </c>
      <c r="N1056" s="1" t="s">
        <v>1152</v>
      </c>
      <c r="O1056" s="3" t="s">
        <v>4985</v>
      </c>
      <c r="P1056" s="18">
        <v>45883.0</v>
      </c>
      <c r="Q1056" s="1" t="s">
        <v>1152</v>
      </c>
      <c r="R1056" s="1"/>
      <c r="S1056" s="1" t="s">
        <v>1152</v>
      </c>
      <c r="T1056" s="1" t="s">
        <v>1152</v>
      </c>
      <c r="U1056" s="1" t="s">
        <v>1277</v>
      </c>
      <c r="V1056" s="4" t="s">
        <v>4985</v>
      </c>
      <c r="W1056" s="1"/>
      <c r="X1056" s="18">
        <v>45883.0</v>
      </c>
      <c r="Y1056" s="1"/>
      <c r="Z1056" s="1"/>
      <c r="AA1056" s="1"/>
      <c r="AB1056" s="1"/>
      <c r="AC1056" s="1" t="s">
        <v>1925</v>
      </c>
      <c r="AD1056" s="1"/>
      <c r="AE1056" s="1" t="s">
        <v>1152</v>
      </c>
      <c r="AF1056" s="1"/>
      <c r="AG1056" s="1"/>
      <c r="AH1056" s="1" t="s">
        <v>1152</v>
      </c>
      <c r="AI1056" s="1"/>
      <c r="AJ1056" s="1"/>
      <c r="AK1056" s="1"/>
      <c r="AL1056" s="6" t="str">
        <f t="array" ref="AL1056">IFERROR(IFS(XLOOKUP(B1056, 'Kit Delivery Status'!$U:$U, 'Kit Delivery Status'!$K:$K) = "Complete", "DELIVERED", XLOOKUP(B1056, 'Kit Delivery Status'!$U:$U, 'Kit Delivery Status'!$K:$K) = "Issue", "ISSUE"), "")</f>
        <v/>
      </c>
      <c r="AM1056" s="6"/>
    </row>
    <row r="1057">
      <c r="A1057" s="5" t="s">
        <v>5473</v>
      </c>
      <c r="B1057" s="1" t="s">
        <v>5474</v>
      </c>
      <c r="C1057" s="1" t="s">
        <v>5475</v>
      </c>
      <c r="D1057" s="2">
        <v>6.262351783E9</v>
      </c>
      <c r="E1057" s="1" t="s">
        <v>5476</v>
      </c>
      <c r="F1057" s="1" t="s">
        <v>5477</v>
      </c>
      <c r="G1057" s="1" t="s">
        <v>5478</v>
      </c>
      <c r="H1057" s="1" t="s">
        <v>989</v>
      </c>
      <c r="I1057" s="1">
        <v>91801.0</v>
      </c>
      <c r="J1057" s="1" t="s">
        <v>752</v>
      </c>
      <c r="K1057" s="1" t="s">
        <v>51</v>
      </c>
      <c r="L1057" s="1" t="s">
        <v>3293</v>
      </c>
      <c r="M1057" s="1">
        <v>1.0</v>
      </c>
      <c r="N1057" s="1" t="s">
        <v>2487</v>
      </c>
      <c r="O1057" s="3"/>
      <c r="P1057" s="18">
        <v>45891.0</v>
      </c>
      <c r="Q1057" s="1" t="s">
        <v>5479</v>
      </c>
      <c r="R1057" s="1" t="s">
        <v>5477</v>
      </c>
      <c r="S1057" s="1" t="s">
        <v>2487</v>
      </c>
      <c r="T1057" s="1" t="s">
        <v>2487</v>
      </c>
      <c r="U1057" s="1"/>
      <c r="V1057" s="4"/>
      <c r="W1057" s="1" t="s">
        <v>5477</v>
      </c>
      <c r="X1057" s="18">
        <v>45891.0</v>
      </c>
      <c r="Y1057" s="1" t="s">
        <v>5479</v>
      </c>
      <c r="Z1057" s="1"/>
      <c r="AA1057" s="1" t="s">
        <v>5477</v>
      </c>
      <c r="AB1057" s="1" t="s">
        <v>124</v>
      </c>
      <c r="AC1057" s="1" t="s">
        <v>1925</v>
      </c>
      <c r="AD1057" s="1"/>
      <c r="AE1057" s="1" t="s">
        <v>1152</v>
      </c>
      <c r="AF1057" s="1"/>
      <c r="AG1057" s="1"/>
      <c r="AH1057" s="1" t="s">
        <v>1152</v>
      </c>
      <c r="AI1057" s="1"/>
      <c r="AJ1057" s="1"/>
      <c r="AK1057" s="1"/>
      <c r="AL1057" s="6" t="str">
        <f t="array" ref="AL1057">IFERROR(IFS(XLOOKUP(B1057, 'Kit Delivery Status'!$U:$U, 'Kit Delivery Status'!$K:$K) = "Complete", "DELIVERED", XLOOKUP(B1057, 'Kit Delivery Status'!$U:$U, 'Kit Delivery Status'!$K:$K) = "Issue", "ISSUE"), "")</f>
        <v/>
      </c>
      <c r="AM1057" s="6"/>
    </row>
    <row r="1058">
      <c r="A1058" s="5" t="s">
        <v>5480</v>
      </c>
      <c r="B1058" s="1" t="s">
        <v>5481</v>
      </c>
      <c r="C1058" s="1" t="s">
        <v>5482</v>
      </c>
      <c r="D1058" s="2">
        <v>9.145888237E9</v>
      </c>
      <c r="E1058" s="1" t="s">
        <v>5483</v>
      </c>
      <c r="F1058" s="1"/>
      <c r="G1058" s="1" t="s">
        <v>5484</v>
      </c>
      <c r="H1058" s="1" t="s">
        <v>751</v>
      </c>
      <c r="I1058" s="1">
        <v>10546.0</v>
      </c>
      <c r="J1058" s="1" t="s">
        <v>752</v>
      </c>
      <c r="K1058" s="1" t="s">
        <v>51</v>
      </c>
      <c r="L1058" s="1" t="s">
        <v>3293</v>
      </c>
      <c r="M1058" s="1">
        <v>1.0</v>
      </c>
      <c r="N1058" s="1" t="s">
        <v>2461</v>
      </c>
      <c r="O1058" s="3" t="s">
        <v>5485</v>
      </c>
      <c r="P1058" s="18">
        <v>45888.0</v>
      </c>
      <c r="Q1058" s="1" t="s">
        <v>2463</v>
      </c>
      <c r="R1058" s="1"/>
      <c r="S1058" s="1" t="s">
        <v>2461</v>
      </c>
      <c r="T1058" s="1" t="s">
        <v>2461</v>
      </c>
      <c r="U1058" s="1" t="s">
        <v>948</v>
      </c>
      <c r="V1058" s="4" t="s">
        <v>5485</v>
      </c>
      <c r="W1058" s="1"/>
      <c r="X1058" s="18">
        <v>45888.0</v>
      </c>
      <c r="Y1058" s="1" t="s">
        <v>1030</v>
      </c>
      <c r="Z1058" s="1"/>
      <c r="AA1058" s="1"/>
      <c r="AB1058" s="1" t="s">
        <v>52</v>
      </c>
      <c r="AC1058" s="1" t="s">
        <v>1925</v>
      </c>
      <c r="AD1058" s="1"/>
      <c r="AE1058" s="1" t="s">
        <v>1152</v>
      </c>
      <c r="AF1058" s="1"/>
      <c r="AG1058" s="1"/>
      <c r="AH1058" s="1" t="s">
        <v>1152</v>
      </c>
      <c r="AI1058" s="1"/>
      <c r="AJ1058" s="1"/>
      <c r="AK1058" s="1"/>
      <c r="AL1058" s="6" t="str">
        <f t="array" ref="AL1058">IFERROR(IFS(XLOOKUP(B1058, 'Kit Delivery Status'!$U:$U, 'Kit Delivery Status'!$K:$K) = "Complete", "DELIVERED", XLOOKUP(B1058, 'Kit Delivery Status'!$U:$U, 'Kit Delivery Status'!$K:$K) = "Issue", "ISSUE"), "")</f>
        <v/>
      </c>
      <c r="AM1058" s="6"/>
    </row>
    <row r="1059">
      <c r="A1059" s="5" t="s">
        <v>5486</v>
      </c>
      <c r="B1059" s="1" t="s">
        <v>5487</v>
      </c>
      <c r="C1059" s="1" t="s">
        <v>5488</v>
      </c>
      <c r="D1059" s="2">
        <v>4.083941696E9</v>
      </c>
      <c r="E1059" s="1" t="s">
        <v>5489</v>
      </c>
      <c r="F1059" s="1"/>
      <c r="G1059" s="1" t="s">
        <v>1520</v>
      </c>
      <c r="H1059" s="1" t="s">
        <v>989</v>
      </c>
      <c r="I1059" s="1">
        <v>94087.0</v>
      </c>
      <c r="J1059" s="1" t="s">
        <v>752</v>
      </c>
      <c r="K1059" s="1" t="s">
        <v>66</v>
      </c>
      <c r="L1059" s="1" t="s">
        <v>3321</v>
      </c>
      <c r="M1059" s="1">
        <v>210.0</v>
      </c>
      <c r="N1059" s="1" t="s">
        <v>1152</v>
      </c>
      <c r="O1059" s="3" t="s">
        <v>5490</v>
      </c>
      <c r="P1059" s="18">
        <v>45883.0</v>
      </c>
      <c r="Q1059" s="1" t="s">
        <v>1152</v>
      </c>
      <c r="R1059" s="1"/>
      <c r="S1059" s="1" t="s">
        <v>1152</v>
      </c>
      <c r="T1059" s="1" t="s">
        <v>1152</v>
      </c>
      <c r="U1059" s="1" t="s">
        <v>1174</v>
      </c>
      <c r="V1059" s="4" t="s">
        <v>5490</v>
      </c>
      <c r="W1059" s="1"/>
      <c r="X1059" s="18">
        <v>45883.0</v>
      </c>
      <c r="Y1059" s="1"/>
      <c r="Z1059" s="1"/>
      <c r="AA1059" s="1"/>
      <c r="AB1059" s="1"/>
      <c r="AC1059" s="1" t="s">
        <v>1925</v>
      </c>
      <c r="AD1059" s="1"/>
      <c r="AE1059" s="1" t="s">
        <v>1152</v>
      </c>
      <c r="AF1059" s="1"/>
      <c r="AG1059" s="1"/>
      <c r="AH1059" s="1" t="s">
        <v>1152</v>
      </c>
      <c r="AI1059" s="1"/>
      <c r="AJ1059" s="1"/>
      <c r="AK1059" s="1"/>
      <c r="AL1059" s="6" t="str">
        <f t="array" ref="AL1059">IFERROR(IFS(XLOOKUP(B1059, 'Kit Delivery Status'!$U:$U, 'Kit Delivery Status'!$K:$K) = "Complete", "DELIVERED", XLOOKUP(B1059, 'Kit Delivery Status'!$U:$U, 'Kit Delivery Status'!$K:$K) = "Issue", "ISSUE"), "")</f>
        <v/>
      </c>
      <c r="AM1059" s="6"/>
    </row>
    <row r="1060">
      <c r="A1060" s="5" t="s">
        <v>5491</v>
      </c>
      <c r="B1060" s="1" t="s">
        <v>5492</v>
      </c>
      <c r="C1060" s="1"/>
      <c r="D1060" s="2">
        <v>4.083941696E9</v>
      </c>
      <c r="E1060" s="1" t="s">
        <v>5489</v>
      </c>
      <c r="F1060" s="1"/>
      <c r="G1060" s="1" t="s">
        <v>1520</v>
      </c>
      <c r="H1060" s="1" t="s">
        <v>989</v>
      </c>
      <c r="I1060" s="1">
        <v>94087.0</v>
      </c>
      <c r="J1060" s="1" t="s">
        <v>752</v>
      </c>
      <c r="K1060" s="1" t="s">
        <v>51</v>
      </c>
      <c r="L1060" s="1" t="s">
        <v>3293</v>
      </c>
      <c r="M1060" s="1">
        <v>1.0</v>
      </c>
      <c r="N1060" s="1" t="s">
        <v>2461</v>
      </c>
      <c r="O1060" s="3" t="s">
        <v>5493</v>
      </c>
      <c r="P1060" s="18">
        <v>45890.0</v>
      </c>
      <c r="Q1060" s="1" t="s">
        <v>2731</v>
      </c>
      <c r="R1060" s="1"/>
      <c r="S1060" s="1" t="s">
        <v>2461</v>
      </c>
      <c r="T1060" s="1" t="s">
        <v>2461</v>
      </c>
      <c r="U1060" s="1" t="s">
        <v>1174</v>
      </c>
      <c r="V1060" s="4" t="s">
        <v>5493</v>
      </c>
      <c r="W1060" s="1"/>
      <c r="X1060" s="18">
        <v>45890.0</v>
      </c>
      <c r="Y1060" s="1" t="s">
        <v>1349</v>
      </c>
      <c r="Z1060" s="1"/>
      <c r="AA1060" s="1"/>
      <c r="AB1060" s="1" t="s">
        <v>52</v>
      </c>
      <c r="AC1060" s="1" t="s">
        <v>1925</v>
      </c>
      <c r="AD1060" s="1"/>
      <c r="AE1060" s="1" t="s">
        <v>1152</v>
      </c>
      <c r="AF1060" s="1"/>
      <c r="AG1060" s="1"/>
      <c r="AH1060" s="1" t="s">
        <v>1152</v>
      </c>
      <c r="AI1060" s="1"/>
      <c r="AJ1060" s="1"/>
      <c r="AK1060" s="1"/>
      <c r="AL1060" s="6" t="str">
        <f t="array" ref="AL1060">IFERROR(IFS(XLOOKUP(B1060, 'Kit Delivery Status'!$U:$U, 'Kit Delivery Status'!$K:$K) = "Complete", "DELIVERED", XLOOKUP(B1060, 'Kit Delivery Status'!$U:$U, 'Kit Delivery Status'!$K:$K) = "Issue", "ISSUE"), "")</f>
        <v/>
      </c>
      <c r="AM1060" s="6"/>
    </row>
    <row r="1061">
      <c r="A1061" s="5" t="s">
        <v>5494</v>
      </c>
      <c r="B1061" s="1" t="s">
        <v>5495</v>
      </c>
      <c r="C1061" s="1"/>
      <c r="D1061" s="2">
        <v>3.108498258E9</v>
      </c>
      <c r="E1061" s="1" t="s">
        <v>5496</v>
      </c>
      <c r="F1061" s="1"/>
      <c r="G1061" s="1" t="s">
        <v>1179</v>
      </c>
      <c r="H1061" s="1" t="s">
        <v>989</v>
      </c>
      <c r="I1061" s="1">
        <v>90064.0</v>
      </c>
      <c r="J1061" s="1" t="s">
        <v>752</v>
      </c>
      <c r="K1061" s="1" t="s">
        <v>95</v>
      </c>
      <c r="L1061" s="1" t="s">
        <v>3327</v>
      </c>
      <c r="M1061" s="1">
        <v>49.0</v>
      </c>
      <c r="N1061" s="1" t="s">
        <v>2461</v>
      </c>
      <c r="O1061" s="3" t="s">
        <v>2146</v>
      </c>
      <c r="P1061" s="18">
        <v>45883.0</v>
      </c>
      <c r="Q1061" s="1" t="s">
        <v>2463</v>
      </c>
      <c r="R1061" s="1"/>
      <c r="S1061" s="1" t="s">
        <v>2461</v>
      </c>
      <c r="T1061" s="1" t="s">
        <v>2461</v>
      </c>
      <c r="U1061" s="1" t="s">
        <v>1148</v>
      </c>
      <c r="V1061" s="4" t="s">
        <v>2146</v>
      </c>
      <c r="W1061" s="1"/>
      <c r="X1061" s="18">
        <v>45883.0</v>
      </c>
      <c r="Y1061" s="1" t="s">
        <v>1030</v>
      </c>
      <c r="Z1061" s="1"/>
      <c r="AA1061" s="1"/>
      <c r="AB1061" s="1" t="s">
        <v>52</v>
      </c>
      <c r="AC1061" s="1" t="s">
        <v>5497</v>
      </c>
      <c r="AD1061" s="1"/>
      <c r="AE1061" s="1" t="s">
        <v>1152</v>
      </c>
      <c r="AF1061" s="1"/>
      <c r="AG1061" s="1"/>
      <c r="AH1061" s="1" t="s">
        <v>1152</v>
      </c>
      <c r="AI1061" s="1"/>
      <c r="AJ1061" s="1"/>
      <c r="AK1061" s="1"/>
      <c r="AL1061" s="6" t="str">
        <f t="array" ref="AL1061">IFERROR(IFS(XLOOKUP(B1061, 'Kit Delivery Status'!$U:$U, 'Kit Delivery Status'!$K:$K) = "Complete", "DELIVERED", XLOOKUP(B1061, 'Kit Delivery Status'!$U:$U, 'Kit Delivery Status'!$K:$K) = "Issue", "ISSUE"), "")</f>
        <v/>
      </c>
      <c r="AM1061" s="6"/>
    </row>
    <row r="1062">
      <c r="A1062" s="5" t="s">
        <v>5498</v>
      </c>
      <c r="B1062" s="1" t="s">
        <v>5499</v>
      </c>
      <c r="C1062" s="1" t="s">
        <v>5500</v>
      </c>
      <c r="D1062" s="2">
        <v>2.022470543E9</v>
      </c>
      <c r="E1062" s="1" t="s">
        <v>5501</v>
      </c>
      <c r="F1062" s="1"/>
      <c r="G1062" s="1" t="s">
        <v>980</v>
      </c>
      <c r="H1062" s="1" t="s">
        <v>1063</v>
      </c>
      <c r="I1062" s="1">
        <v>20002.0</v>
      </c>
      <c r="J1062" s="1" t="s">
        <v>752</v>
      </c>
      <c r="K1062" s="1" t="s">
        <v>66</v>
      </c>
      <c r="L1062" s="1" t="s">
        <v>3321</v>
      </c>
      <c r="M1062" s="1">
        <v>210.0</v>
      </c>
      <c r="N1062" s="1" t="s">
        <v>1152</v>
      </c>
      <c r="O1062" s="3" t="s">
        <v>117</v>
      </c>
      <c r="P1062" s="18">
        <v>45883.0</v>
      </c>
      <c r="Q1062" s="1" t="s">
        <v>1152</v>
      </c>
      <c r="R1062" s="1"/>
      <c r="S1062" s="1" t="s">
        <v>1152</v>
      </c>
      <c r="T1062" s="1" t="s">
        <v>1152</v>
      </c>
      <c r="U1062" s="1" t="s">
        <v>1133</v>
      </c>
      <c r="V1062" s="4" t="s">
        <v>117</v>
      </c>
      <c r="W1062" s="1"/>
      <c r="X1062" s="18">
        <v>45883.0</v>
      </c>
      <c r="Y1062" s="1"/>
      <c r="Z1062" s="1"/>
      <c r="AA1062" s="1"/>
      <c r="AB1062" s="1"/>
      <c r="AC1062" s="1" t="s">
        <v>1925</v>
      </c>
      <c r="AD1062" s="1"/>
      <c r="AE1062" s="1" t="s">
        <v>1152</v>
      </c>
      <c r="AF1062" s="1"/>
      <c r="AG1062" s="1"/>
      <c r="AH1062" s="1" t="s">
        <v>1152</v>
      </c>
      <c r="AI1062" s="1"/>
      <c r="AJ1062" s="1"/>
      <c r="AK1062" s="1"/>
      <c r="AL1062" s="6" t="str">
        <f t="array" ref="AL1062">IFERROR(IFS(XLOOKUP(B1062, 'Kit Delivery Status'!$U:$U, 'Kit Delivery Status'!$K:$K) = "Complete", "DELIVERED", XLOOKUP(B1062, 'Kit Delivery Status'!$U:$U, 'Kit Delivery Status'!$K:$K) = "Issue", "ISSUE"), "")</f>
        <v/>
      </c>
      <c r="AM1062" s="6"/>
    </row>
    <row r="1063">
      <c r="A1063" s="5" t="s">
        <v>5502</v>
      </c>
      <c r="B1063" s="1" t="s">
        <v>5503</v>
      </c>
      <c r="C1063" s="1" t="s">
        <v>5504</v>
      </c>
      <c r="D1063" s="2">
        <v>8.479106216E9</v>
      </c>
      <c r="E1063" s="1" t="s">
        <v>5505</v>
      </c>
      <c r="F1063" s="1"/>
      <c r="G1063" s="1" t="s">
        <v>3041</v>
      </c>
      <c r="H1063" s="1" t="s">
        <v>1019</v>
      </c>
      <c r="I1063" s="1">
        <v>60091.0</v>
      </c>
      <c r="J1063" s="1" t="s">
        <v>752</v>
      </c>
      <c r="K1063" s="1" t="s">
        <v>66</v>
      </c>
      <c r="L1063" s="1" t="s">
        <v>3321</v>
      </c>
      <c r="M1063" s="1">
        <v>210.0</v>
      </c>
      <c r="N1063" s="1" t="s">
        <v>1152</v>
      </c>
      <c r="O1063" s="3" t="s">
        <v>2697</v>
      </c>
      <c r="P1063" s="18">
        <v>45883.0</v>
      </c>
      <c r="Q1063" s="1" t="s">
        <v>1152</v>
      </c>
      <c r="R1063" s="1"/>
      <c r="S1063" s="1" t="s">
        <v>1152</v>
      </c>
      <c r="T1063" s="1" t="s">
        <v>1152</v>
      </c>
      <c r="U1063" s="1" t="s">
        <v>5506</v>
      </c>
      <c r="V1063" s="4" t="s">
        <v>2697</v>
      </c>
      <c r="W1063" s="1"/>
      <c r="X1063" s="18">
        <v>45883.0</v>
      </c>
      <c r="Y1063" s="1"/>
      <c r="Z1063" s="1"/>
      <c r="AA1063" s="1"/>
      <c r="AB1063" s="1"/>
      <c r="AC1063" s="1" t="s">
        <v>1925</v>
      </c>
      <c r="AD1063" s="1"/>
      <c r="AE1063" s="1" t="s">
        <v>1152</v>
      </c>
      <c r="AF1063" s="1"/>
      <c r="AG1063" s="1"/>
      <c r="AH1063" s="1" t="s">
        <v>1152</v>
      </c>
      <c r="AI1063" s="1"/>
      <c r="AJ1063" s="1"/>
      <c r="AK1063" s="1"/>
      <c r="AL1063" s="6" t="str">
        <f t="array" ref="AL1063">IFERROR(IFS(XLOOKUP(B1063, 'Kit Delivery Status'!$U:$U, 'Kit Delivery Status'!$K:$K) = "Complete", "DELIVERED", XLOOKUP(B1063, 'Kit Delivery Status'!$U:$U, 'Kit Delivery Status'!$K:$K) = "Issue", "ISSUE"), "")</f>
        <v/>
      </c>
      <c r="AM1063" s="6"/>
    </row>
    <row r="1064">
      <c r="A1064" s="5" t="s">
        <v>5507</v>
      </c>
      <c r="B1064" s="1" t="s">
        <v>5508</v>
      </c>
      <c r="C1064" s="1"/>
      <c r="D1064" s="2">
        <v>6.466914712E9</v>
      </c>
      <c r="E1064" s="1" t="s">
        <v>5509</v>
      </c>
      <c r="F1064" s="1"/>
      <c r="G1064" s="1" t="s">
        <v>2428</v>
      </c>
      <c r="H1064" s="1" t="s">
        <v>751</v>
      </c>
      <c r="I1064" s="1">
        <v>10453.0</v>
      </c>
      <c r="J1064" s="1" t="s">
        <v>752</v>
      </c>
      <c r="K1064" s="1" t="s">
        <v>66</v>
      </c>
      <c r="L1064" s="1" t="s">
        <v>3350</v>
      </c>
      <c r="M1064" s="1">
        <v>145.0</v>
      </c>
      <c r="N1064" s="1" t="s">
        <v>1152</v>
      </c>
      <c r="O1064" s="3" t="s">
        <v>5510</v>
      </c>
      <c r="P1064" s="18">
        <v>45883.0</v>
      </c>
      <c r="Q1064" s="1" t="s">
        <v>1152</v>
      </c>
      <c r="R1064" s="1"/>
      <c r="S1064" s="1" t="s">
        <v>1152</v>
      </c>
      <c r="T1064" s="1" t="s">
        <v>1152</v>
      </c>
      <c r="U1064" s="1" t="s">
        <v>956</v>
      </c>
      <c r="V1064" s="4" t="s">
        <v>5510</v>
      </c>
      <c r="W1064" s="1"/>
      <c r="X1064" s="18">
        <v>45883.0</v>
      </c>
      <c r="Y1064" s="1"/>
      <c r="Z1064" s="1"/>
      <c r="AA1064" s="1"/>
      <c r="AB1064" s="1"/>
      <c r="AC1064" s="1" t="s">
        <v>1925</v>
      </c>
      <c r="AD1064" s="1"/>
      <c r="AE1064" s="1" t="s">
        <v>1152</v>
      </c>
      <c r="AF1064" s="1"/>
      <c r="AG1064" s="1"/>
      <c r="AH1064" s="1" t="s">
        <v>1152</v>
      </c>
      <c r="AI1064" s="1"/>
      <c r="AJ1064" s="1"/>
      <c r="AK1064" s="1"/>
      <c r="AL1064" s="6" t="str">
        <f t="array" ref="AL1064">IFERROR(IFS(XLOOKUP(B1064, 'Kit Delivery Status'!$U:$U, 'Kit Delivery Status'!$K:$K) = "Complete", "DELIVERED", XLOOKUP(B1064, 'Kit Delivery Status'!$U:$U, 'Kit Delivery Status'!$K:$K) = "Issue", "ISSUE"), "")</f>
        <v/>
      </c>
      <c r="AM1064" s="6"/>
    </row>
    <row r="1065">
      <c r="A1065" s="5" t="s">
        <v>5511</v>
      </c>
      <c r="B1065" s="1" t="s">
        <v>5512</v>
      </c>
      <c r="C1065" s="1" t="s">
        <v>5513</v>
      </c>
      <c r="D1065" s="2">
        <v>5.20841425E9</v>
      </c>
      <c r="E1065" s="1" t="s">
        <v>5514</v>
      </c>
      <c r="F1065" s="1"/>
      <c r="G1065" s="1" t="s">
        <v>5515</v>
      </c>
      <c r="H1065" s="1" t="s">
        <v>1535</v>
      </c>
      <c r="I1065" s="1">
        <v>85648.0</v>
      </c>
      <c r="J1065" s="1" t="s">
        <v>752</v>
      </c>
      <c r="K1065" s="1" t="s">
        <v>66</v>
      </c>
      <c r="L1065" s="1" t="s">
        <v>3321</v>
      </c>
      <c r="M1065" s="1">
        <v>210.0</v>
      </c>
      <c r="N1065" s="1" t="s">
        <v>1152</v>
      </c>
      <c r="O1065" s="3" t="s">
        <v>5516</v>
      </c>
      <c r="P1065" s="18">
        <v>45883.0</v>
      </c>
      <c r="Q1065" s="1" t="s">
        <v>1152</v>
      </c>
      <c r="R1065" s="1"/>
      <c r="S1065" s="1" t="s">
        <v>1152</v>
      </c>
      <c r="T1065" s="1" t="s">
        <v>1152</v>
      </c>
      <c r="U1065" s="1" t="s">
        <v>956</v>
      </c>
      <c r="V1065" s="4" t="s">
        <v>5516</v>
      </c>
      <c r="W1065" s="1"/>
      <c r="X1065" s="18">
        <v>45883.0</v>
      </c>
      <c r="Y1065" s="1"/>
      <c r="Z1065" s="1"/>
      <c r="AA1065" s="1"/>
      <c r="AB1065" s="1"/>
      <c r="AC1065" s="1" t="s">
        <v>1925</v>
      </c>
      <c r="AD1065" s="1"/>
      <c r="AE1065" s="1" t="s">
        <v>1152</v>
      </c>
      <c r="AF1065" s="1"/>
      <c r="AG1065" s="1"/>
      <c r="AH1065" s="1" t="s">
        <v>1152</v>
      </c>
      <c r="AI1065" s="1"/>
      <c r="AJ1065" s="1"/>
      <c r="AK1065" s="1"/>
      <c r="AL1065" s="6" t="str">
        <f t="array" ref="AL1065">IFERROR(IFS(XLOOKUP(B1065, 'Kit Delivery Status'!$U:$U, 'Kit Delivery Status'!$K:$K) = "Complete", "DELIVERED", XLOOKUP(B1065, 'Kit Delivery Status'!$U:$U, 'Kit Delivery Status'!$K:$K) = "Issue", "ISSUE"), "")</f>
        <v/>
      </c>
      <c r="AM1065" s="6"/>
    </row>
    <row r="1066">
      <c r="A1066" s="5" t="s">
        <v>5517</v>
      </c>
      <c r="B1066" s="1" t="s">
        <v>5518</v>
      </c>
      <c r="C1066" s="1" t="s">
        <v>5519</v>
      </c>
      <c r="D1066" s="2">
        <v>8.082306631E9</v>
      </c>
      <c r="E1066" s="1" t="s">
        <v>5520</v>
      </c>
      <c r="F1066" s="1"/>
      <c r="G1066" s="1" t="s">
        <v>2485</v>
      </c>
      <c r="H1066" s="1" t="s">
        <v>2486</v>
      </c>
      <c r="I1066" s="1">
        <v>96817.0</v>
      </c>
      <c r="J1066" s="1" t="s">
        <v>752</v>
      </c>
      <c r="K1066" s="1" t="s">
        <v>66</v>
      </c>
      <c r="L1066" s="1" t="s">
        <v>3350</v>
      </c>
      <c r="M1066" s="1">
        <v>145.0</v>
      </c>
      <c r="N1066" s="1" t="s">
        <v>1152</v>
      </c>
      <c r="O1066" s="3" t="s">
        <v>5521</v>
      </c>
      <c r="P1066" s="18">
        <v>45883.0</v>
      </c>
      <c r="Q1066" s="1" t="s">
        <v>1152</v>
      </c>
      <c r="R1066" s="1"/>
      <c r="S1066" s="1" t="s">
        <v>1152</v>
      </c>
      <c r="T1066" s="1" t="s">
        <v>1152</v>
      </c>
      <c r="U1066" s="1" t="s">
        <v>1167</v>
      </c>
      <c r="V1066" s="4" t="s">
        <v>5521</v>
      </c>
      <c r="W1066" s="1"/>
      <c r="X1066" s="18">
        <v>45883.0</v>
      </c>
      <c r="Y1066" s="1"/>
      <c r="Z1066" s="1"/>
      <c r="AA1066" s="1"/>
      <c r="AB1066" s="1"/>
      <c r="AC1066" s="1" t="s">
        <v>1925</v>
      </c>
      <c r="AD1066" s="1"/>
      <c r="AE1066" s="1" t="s">
        <v>1152</v>
      </c>
      <c r="AF1066" s="1"/>
      <c r="AG1066" s="1"/>
      <c r="AH1066" s="1" t="s">
        <v>1152</v>
      </c>
      <c r="AI1066" s="1"/>
      <c r="AJ1066" s="1"/>
      <c r="AK1066" s="1"/>
      <c r="AL1066" s="6" t="str">
        <f t="array" ref="AL1066">IFERROR(IFS(XLOOKUP(B1066, 'Kit Delivery Status'!$U:$U, 'Kit Delivery Status'!$K:$K) = "Complete", "DELIVERED", XLOOKUP(B1066, 'Kit Delivery Status'!$U:$U, 'Kit Delivery Status'!$K:$K) = "Issue", "ISSUE"), "")</f>
        <v/>
      </c>
      <c r="AM1066" s="6"/>
    </row>
    <row r="1067">
      <c r="A1067" s="5" t="s">
        <v>5522</v>
      </c>
      <c r="B1067" s="1" t="s">
        <v>5523</v>
      </c>
      <c r="C1067" s="1" t="s">
        <v>5524</v>
      </c>
      <c r="D1067" s="2">
        <v>2.489867247E9</v>
      </c>
      <c r="E1067" s="1" t="s">
        <v>5525</v>
      </c>
      <c r="F1067" s="1"/>
      <c r="G1067" s="1" t="s">
        <v>5526</v>
      </c>
      <c r="H1067" s="1" t="s">
        <v>1691</v>
      </c>
      <c r="I1067" s="1">
        <v>48374.0</v>
      </c>
      <c r="J1067" s="1" t="s">
        <v>752</v>
      </c>
      <c r="K1067" s="1" t="s">
        <v>66</v>
      </c>
      <c r="L1067" s="1" t="s">
        <v>3350</v>
      </c>
      <c r="M1067" s="1">
        <v>145.0</v>
      </c>
      <c r="N1067" s="1" t="s">
        <v>1152</v>
      </c>
      <c r="O1067" s="3" t="s">
        <v>1818</v>
      </c>
      <c r="P1067" s="18">
        <v>45883.0</v>
      </c>
      <c r="Q1067" s="1" t="s">
        <v>1152</v>
      </c>
      <c r="R1067" s="1"/>
      <c r="S1067" s="1" t="s">
        <v>1152</v>
      </c>
      <c r="T1067" s="1" t="s">
        <v>1152</v>
      </c>
      <c r="U1067" s="1" t="s">
        <v>1031</v>
      </c>
      <c r="V1067" s="4" t="s">
        <v>1818</v>
      </c>
      <c r="W1067" s="1"/>
      <c r="X1067" s="18">
        <v>45883.0</v>
      </c>
      <c r="Y1067" s="1"/>
      <c r="Z1067" s="1"/>
      <c r="AA1067" s="1"/>
      <c r="AB1067" s="1"/>
      <c r="AC1067" s="1" t="s">
        <v>1925</v>
      </c>
      <c r="AD1067" s="1"/>
      <c r="AE1067" s="1" t="s">
        <v>1152</v>
      </c>
      <c r="AF1067" s="1"/>
      <c r="AG1067" s="1"/>
      <c r="AH1067" s="1" t="s">
        <v>1152</v>
      </c>
      <c r="AI1067" s="1"/>
      <c r="AJ1067" s="1"/>
      <c r="AK1067" s="1"/>
      <c r="AL1067" s="6" t="str">
        <f t="array" ref="AL1067">IFERROR(IFS(XLOOKUP(B1067, 'Kit Delivery Status'!$U:$U, 'Kit Delivery Status'!$K:$K) = "Complete", "DELIVERED", XLOOKUP(B1067, 'Kit Delivery Status'!$U:$U, 'Kit Delivery Status'!$K:$K) = "Issue", "ISSUE"), "")</f>
        <v/>
      </c>
      <c r="AM1067" s="6"/>
    </row>
    <row r="1068">
      <c r="A1068" s="5" t="s">
        <v>5527</v>
      </c>
      <c r="B1068" s="1" t="s">
        <v>5528</v>
      </c>
      <c r="C1068" s="1" t="s">
        <v>5529</v>
      </c>
      <c r="D1068" s="2">
        <v>1.9739819603E10</v>
      </c>
      <c r="E1068" s="1" t="s">
        <v>5530</v>
      </c>
      <c r="F1068" s="1"/>
      <c r="G1068" s="1" t="s">
        <v>1430</v>
      </c>
      <c r="H1068" s="1" t="s">
        <v>1053</v>
      </c>
      <c r="I1068" s="1">
        <v>7104.0</v>
      </c>
      <c r="J1068" s="1" t="s">
        <v>752</v>
      </c>
      <c r="K1068" s="1" t="s">
        <v>95</v>
      </c>
      <c r="L1068" s="1" t="s">
        <v>3327</v>
      </c>
      <c r="M1068" s="1">
        <v>49.0</v>
      </c>
      <c r="N1068" s="1" t="s">
        <v>2461</v>
      </c>
      <c r="O1068" s="3" t="s">
        <v>5531</v>
      </c>
      <c r="P1068" s="18">
        <v>45883.0</v>
      </c>
      <c r="Q1068" s="1" t="s">
        <v>2463</v>
      </c>
      <c r="R1068" s="1"/>
      <c r="S1068" s="1" t="s">
        <v>2461</v>
      </c>
      <c r="T1068" s="1" t="s">
        <v>2461</v>
      </c>
      <c r="U1068" s="1" t="s">
        <v>1812</v>
      </c>
      <c r="V1068" s="4" t="s">
        <v>5531</v>
      </c>
      <c r="W1068" s="1"/>
      <c r="X1068" s="18">
        <v>45883.0</v>
      </c>
      <c r="Y1068" s="1" t="s">
        <v>1030</v>
      </c>
      <c r="Z1068" s="1"/>
      <c r="AA1068" s="1"/>
      <c r="AB1068" s="1" t="s">
        <v>52</v>
      </c>
      <c r="AC1068" s="1" t="s">
        <v>5532</v>
      </c>
      <c r="AD1068" s="1"/>
      <c r="AE1068" s="1" t="s">
        <v>1152</v>
      </c>
      <c r="AF1068" s="1"/>
      <c r="AG1068" s="1"/>
      <c r="AH1068" s="1" t="s">
        <v>1152</v>
      </c>
      <c r="AI1068" s="1"/>
      <c r="AJ1068" s="1"/>
      <c r="AK1068" s="1"/>
      <c r="AL1068" s="6" t="str">
        <f t="array" ref="AL1068">IFERROR(IFS(XLOOKUP(B1068, 'Kit Delivery Status'!$U:$U, 'Kit Delivery Status'!$K:$K) = "Complete", "DELIVERED", XLOOKUP(B1068, 'Kit Delivery Status'!$U:$U, 'Kit Delivery Status'!$K:$K) = "Issue", "ISSUE"), "")</f>
        <v/>
      </c>
      <c r="AM1068" s="6"/>
    </row>
    <row r="1069">
      <c r="A1069" s="5" t="s">
        <v>5533</v>
      </c>
      <c r="B1069" s="1" t="s">
        <v>5534</v>
      </c>
      <c r="C1069" s="1" t="s">
        <v>5535</v>
      </c>
      <c r="D1069" s="2">
        <v>6.096479547E9</v>
      </c>
      <c r="E1069" s="1" t="s">
        <v>5536</v>
      </c>
      <c r="F1069" s="1"/>
      <c r="G1069" s="1" t="s">
        <v>5537</v>
      </c>
      <c r="H1069" s="1" t="s">
        <v>1053</v>
      </c>
      <c r="I1069" s="1">
        <v>8648.0</v>
      </c>
      <c r="J1069" s="1" t="s">
        <v>752</v>
      </c>
      <c r="K1069" s="1" t="s">
        <v>66</v>
      </c>
      <c r="L1069" s="1" t="s">
        <v>3364</v>
      </c>
      <c r="M1069" s="1">
        <v>115.0</v>
      </c>
      <c r="N1069" s="1" t="s">
        <v>1152</v>
      </c>
      <c r="O1069" s="3" t="s">
        <v>5538</v>
      </c>
      <c r="P1069" s="18">
        <v>45883.0</v>
      </c>
      <c r="Q1069" s="1" t="s">
        <v>1152</v>
      </c>
      <c r="R1069" s="1"/>
      <c r="S1069" s="1" t="s">
        <v>1152</v>
      </c>
      <c r="T1069" s="1" t="s">
        <v>1152</v>
      </c>
      <c r="U1069" s="1" t="s">
        <v>1487</v>
      </c>
      <c r="V1069" s="4" t="s">
        <v>5538</v>
      </c>
      <c r="W1069" s="1"/>
      <c r="X1069" s="18">
        <v>45883.0</v>
      </c>
      <c r="Y1069" s="1"/>
      <c r="Z1069" s="1"/>
      <c r="AA1069" s="1"/>
      <c r="AB1069" s="1"/>
      <c r="AC1069" s="1" t="s">
        <v>1925</v>
      </c>
      <c r="AD1069" s="1"/>
      <c r="AE1069" s="1" t="s">
        <v>1152</v>
      </c>
      <c r="AF1069" s="1"/>
      <c r="AG1069" s="1"/>
      <c r="AH1069" s="1" t="s">
        <v>1152</v>
      </c>
      <c r="AI1069" s="1"/>
      <c r="AJ1069" s="1"/>
      <c r="AK1069" s="1"/>
      <c r="AL1069" s="6" t="str">
        <f t="array" ref="AL1069">IFERROR(IFS(XLOOKUP(B1069, 'Kit Delivery Status'!$U:$U, 'Kit Delivery Status'!$K:$K) = "Complete", "DELIVERED", XLOOKUP(B1069, 'Kit Delivery Status'!$U:$U, 'Kit Delivery Status'!$K:$K) = "Issue", "ISSUE"), "")</f>
        <v/>
      </c>
      <c r="AM1069" s="6"/>
    </row>
    <row r="1070">
      <c r="A1070" s="5" t="s">
        <v>5539</v>
      </c>
      <c r="B1070" s="1" t="s">
        <v>5540</v>
      </c>
      <c r="C1070" s="1"/>
      <c r="D1070" s="2">
        <v>3.147880826E9</v>
      </c>
      <c r="E1070" s="1" t="s">
        <v>5541</v>
      </c>
      <c r="F1070" s="1"/>
      <c r="G1070" s="1" t="s">
        <v>3741</v>
      </c>
      <c r="H1070" s="1" t="s">
        <v>1155</v>
      </c>
      <c r="I1070" s="1">
        <v>63130.0</v>
      </c>
      <c r="J1070" s="1" t="s">
        <v>752</v>
      </c>
      <c r="K1070" s="1" t="s">
        <v>51</v>
      </c>
      <c r="L1070" s="1" t="s">
        <v>3293</v>
      </c>
      <c r="M1070" s="1">
        <v>1.0</v>
      </c>
      <c r="N1070" s="1" t="s">
        <v>2461</v>
      </c>
      <c r="O1070" s="3" t="s">
        <v>5542</v>
      </c>
      <c r="P1070" s="18">
        <v>45889.0</v>
      </c>
      <c r="Q1070" s="1" t="s">
        <v>2463</v>
      </c>
      <c r="R1070" s="1"/>
      <c r="S1070" s="1" t="s">
        <v>2461</v>
      </c>
      <c r="T1070" s="1" t="s">
        <v>2461</v>
      </c>
      <c r="U1070" s="1" t="s">
        <v>2940</v>
      </c>
      <c r="V1070" s="4" t="s">
        <v>5542</v>
      </c>
      <c r="W1070" s="1"/>
      <c r="X1070" s="18">
        <v>45889.0</v>
      </c>
      <c r="Y1070" s="1" t="s">
        <v>1030</v>
      </c>
      <c r="Z1070" s="1"/>
      <c r="AA1070" s="1"/>
      <c r="AB1070" s="1" t="s">
        <v>52</v>
      </c>
      <c r="AC1070" s="1" t="s">
        <v>1925</v>
      </c>
      <c r="AD1070" s="1"/>
      <c r="AE1070" s="1" t="s">
        <v>1152</v>
      </c>
      <c r="AF1070" s="1"/>
      <c r="AG1070" s="1"/>
      <c r="AH1070" s="1" t="s">
        <v>1152</v>
      </c>
      <c r="AI1070" s="1"/>
      <c r="AJ1070" s="1"/>
      <c r="AK1070" s="1"/>
      <c r="AL1070" s="6" t="str">
        <f t="array" ref="AL1070">IFERROR(IFS(XLOOKUP(B1070, 'Kit Delivery Status'!$U:$U, 'Kit Delivery Status'!$K:$K) = "Complete", "DELIVERED", XLOOKUP(B1070, 'Kit Delivery Status'!$U:$U, 'Kit Delivery Status'!$K:$K) = "Issue", "ISSUE"), "")</f>
        <v/>
      </c>
      <c r="AM1070" s="6"/>
    </row>
    <row r="1071">
      <c r="A1071" s="5" t="s">
        <v>5543</v>
      </c>
      <c r="B1071" s="1" t="s">
        <v>5544</v>
      </c>
      <c r="C1071" s="1"/>
      <c r="D1071" s="2">
        <v>5.166615166E9</v>
      </c>
      <c r="E1071" s="1" t="s">
        <v>5545</v>
      </c>
      <c r="F1071" s="1"/>
      <c r="G1071" s="1" t="s">
        <v>5546</v>
      </c>
      <c r="H1071" s="1" t="s">
        <v>751</v>
      </c>
      <c r="I1071" s="1">
        <v>11579.0</v>
      </c>
      <c r="J1071" s="1" t="s">
        <v>752</v>
      </c>
      <c r="K1071" s="1" t="s">
        <v>66</v>
      </c>
      <c r="L1071" s="1" t="s">
        <v>3364</v>
      </c>
      <c r="M1071" s="1">
        <v>115.0</v>
      </c>
      <c r="N1071" s="1" t="s">
        <v>1152</v>
      </c>
      <c r="O1071" s="3" t="s">
        <v>434</v>
      </c>
      <c r="P1071" s="18">
        <v>45883.0</v>
      </c>
      <c r="Q1071" s="1" t="s">
        <v>1152</v>
      </c>
      <c r="R1071" s="1"/>
      <c r="S1071" s="1" t="s">
        <v>1152</v>
      </c>
      <c r="T1071" s="1" t="s">
        <v>1152</v>
      </c>
      <c r="U1071" s="1" t="s">
        <v>1749</v>
      </c>
      <c r="V1071" s="4" t="s">
        <v>434</v>
      </c>
      <c r="W1071" s="1"/>
      <c r="X1071" s="18">
        <v>45883.0</v>
      </c>
      <c r="Y1071" s="1"/>
      <c r="Z1071" s="1"/>
      <c r="AA1071" s="1"/>
      <c r="AB1071" s="1"/>
      <c r="AC1071" s="1" t="s">
        <v>1925</v>
      </c>
      <c r="AD1071" s="1"/>
      <c r="AE1071" s="1" t="s">
        <v>1152</v>
      </c>
      <c r="AF1071" s="1"/>
      <c r="AG1071" s="1"/>
      <c r="AH1071" s="1" t="s">
        <v>1152</v>
      </c>
      <c r="AI1071" s="1"/>
      <c r="AJ1071" s="1"/>
      <c r="AK1071" s="1"/>
      <c r="AL1071" s="6" t="str">
        <f t="array" ref="AL1071">IFERROR(IFS(XLOOKUP(B1071, 'Kit Delivery Status'!$U:$U, 'Kit Delivery Status'!$K:$K) = "Complete", "DELIVERED", XLOOKUP(B1071, 'Kit Delivery Status'!$U:$U, 'Kit Delivery Status'!$K:$K) = "Issue", "ISSUE"), "")</f>
        <v/>
      </c>
      <c r="AM1071" s="6"/>
    </row>
    <row r="1072">
      <c r="A1072" s="5" t="s">
        <v>5547</v>
      </c>
      <c r="B1072" s="1" t="s">
        <v>5548</v>
      </c>
      <c r="C1072" s="1" t="s">
        <v>5549</v>
      </c>
      <c r="D1072" s="2">
        <v>8613910710166</v>
      </c>
      <c r="E1072" s="1" t="s">
        <v>5550</v>
      </c>
      <c r="F1072" s="1"/>
      <c r="G1072" s="1" t="s">
        <v>5551</v>
      </c>
      <c r="H1072" s="1" t="s">
        <v>5552</v>
      </c>
      <c r="I1072" s="1">
        <v>100055.0</v>
      </c>
      <c r="J1072" s="1" t="s">
        <v>5553</v>
      </c>
      <c r="K1072" s="1" t="s">
        <v>66</v>
      </c>
      <c r="L1072" s="1" t="s">
        <v>3321</v>
      </c>
      <c r="M1072" s="1">
        <v>210.0</v>
      </c>
      <c r="N1072" s="1" t="s">
        <v>1152</v>
      </c>
      <c r="O1072" s="3" t="s">
        <v>5554</v>
      </c>
      <c r="P1072" s="18">
        <v>45882.0</v>
      </c>
      <c r="Q1072" s="1" t="s">
        <v>1152</v>
      </c>
      <c r="R1072" s="1"/>
      <c r="S1072" s="1" t="s">
        <v>1152</v>
      </c>
      <c r="T1072" s="1" t="s">
        <v>1152</v>
      </c>
      <c r="U1072" s="1" t="s">
        <v>1324</v>
      </c>
      <c r="V1072" s="4" t="s">
        <v>5554</v>
      </c>
      <c r="W1072" s="1"/>
      <c r="X1072" s="18">
        <v>45882.0</v>
      </c>
      <c r="Y1072" s="1"/>
      <c r="Z1072" s="1"/>
      <c r="AA1072" s="1"/>
      <c r="AB1072" s="1"/>
      <c r="AC1072" s="1" t="s">
        <v>1925</v>
      </c>
      <c r="AD1072" s="1"/>
      <c r="AE1072" s="1" t="s">
        <v>1152</v>
      </c>
      <c r="AF1072" s="1"/>
      <c r="AG1072" s="1"/>
      <c r="AH1072" s="1" t="s">
        <v>1152</v>
      </c>
      <c r="AI1072" s="1"/>
      <c r="AJ1072" s="1"/>
      <c r="AK1072" s="1"/>
      <c r="AL1072" s="6" t="str">
        <f t="array" ref="AL1072">IFERROR(IFS(XLOOKUP(B1072, 'Kit Delivery Status'!$U:$U, 'Kit Delivery Status'!$K:$K) = "Complete", "DELIVERED", XLOOKUP(B1072, 'Kit Delivery Status'!$U:$U, 'Kit Delivery Status'!$K:$K) = "Issue", "ISSUE"), "")</f>
        <v/>
      </c>
      <c r="AM1072" s="6"/>
    </row>
    <row r="1073">
      <c r="A1073" s="5" t="s">
        <v>5555</v>
      </c>
      <c r="B1073" s="1" t="s">
        <v>5556</v>
      </c>
      <c r="C1073" s="1" t="s">
        <v>5557</v>
      </c>
      <c r="D1073" s="2">
        <v>6.464042721E9</v>
      </c>
      <c r="E1073" s="1" t="s">
        <v>5558</v>
      </c>
      <c r="F1073" s="1"/>
      <c r="G1073" s="1" t="s">
        <v>751</v>
      </c>
      <c r="H1073" s="1" t="s">
        <v>751</v>
      </c>
      <c r="I1073" s="1">
        <v>10069.0</v>
      </c>
      <c r="J1073" s="1" t="s">
        <v>752</v>
      </c>
      <c r="K1073" s="1" t="s">
        <v>51</v>
      </c>
      <c r="L1073" s="1" t="s">
        <v>3293</v>
      </c>
      <c r="M1073" s="1">
        <v>1.0</v>
      </c>
      <c r="N1073" s="1" t="s">
        <v>2461</v>
      </c>
      <c r="O1073" s="3" t="s">
        <v>5559</v>
      </c>
      <c r="P1073" s="18">
        <v>45892.0</v>
      </c>
      <c r="Q1073" s="1" t="s">
        <v>2852</v>
      </c>
      <c r="R1073" s="1"/>
      <c r="S1073" s="1" t="s">
        <v>2461</v>
      </c>
      <c r="T1073" s="1" t="s">
        <v>2461</v>
      </c>
      <c r="U1073" s="1" t="s">
        <v>1522</v>
      </c>
      <c r="V1073" s="4" t="s">
        <v>5559</v>
      </c>
      <c r="W1073" s="1"/>
      <c r="X1073" s="18">
        <v>45892.0</v>
      </c>
      <c r="Y1073" s="1" t="s">
        <v>1440</v>
      </c>
      <c r="Z1073" s="1"/>
      <c r="AA1073" s="1"/>
      <c r="AB1073" s="1" t="s">
        <v>52</v>
      </c>
      <c r="AC1073" s="1" t="s">
        <v>1925</v>
      </c>
      <c r="AD1073" s="1"/>
      <c r="AE1073" s="1" t="s">
        <v>1152</v>
      </c>
      <c r="AF1073" s="1"/>
      <c r="AG1073" s="1"/>
      <c r="AH1073" s="1" t="s">
        <v>1152</v>
      </c>
      <c r="AI1073" s="1"/>
      <c r="AJ1073" s="1"/>
      <c r="AK1073" s="1"/>
      <c r="AL1073" s="6" t="str">
        <f t="array" ref="AL1073">IFERROR(IFS(XLOOKUP(B1073, 'Kit Delivery Status'!$U:$U, 'Kit Delivery Status'!$K:$K) = "Complete", "DELIVERED", XLOOKUP(B1073, 'Kit Delivery Status'!$U:$U, 'Kit Delivery Status'!$K:$K) = "Issue", "ISSUE"), "")</f>
        <v/>
      </c>
      <c r="AM1073" s="6"/>
    </row>
    <row r="1074">
      <c r="A1074" s="5" t="s">
        <v>5560</v>
      </c>
      <c r="B1074" s="1" t="s">
        <v>5561</v>
      </c>
      <c r="C1074" s="1"/>
      <c r="D1074" s="2">
        <v>7.274181417E9</v>
      </c>
      <c r="E1074" s="1" t="s">
        <v>5562</v>
      </c>
      <c r="F1074" s="1"/>
      <c r="G1074" s="1" t="s">
        <v>5563</v>
      </c>
      <c r="H1074" s="1" t="s">
        <v>1208</v>
      </c>
      <c r="I1074" s="1">
        <v>33924.0</v>
      </c>
      <c r="J1074" s="1" t="s">
        <v>752</v>
      </c>
      <c r="K1074" s="1" t="s">
        <v>66</v>
      </c>
      <c r="L1074" s="1" t="s">
        <v>3350</v>
      </c>
      <c r="M1074" s="1">
        <v>145.0</v>
      </c>
      <c r="N1074" s="1" t="s">
        <v>1152</v>
      </c>
      <c r="O1074" s="3" t="s">
        <v>5564</v>
      </c>
      <c r="P1074" s="18">
        <v>45877.0</v>
      </c>
      <c r="Q1074" s="1" t="s">
        <v>1152</v>
      </c>
      <c r="R1074" s="1"/>
      <c r="S1074" s="1" t="s">
        <v>1152</v>
      </c>
      <c r="T1074" s="1" t="s">
        <v>1152</v>
      </c>
      <c r="U1074" s="1" t="s">
        <v>1794</v>
      </c>
      <c r="V1074" s="4" t="s">
        <v>5564</v>
      </c>
      <c r="W1074" s="1"/>
      <c r="X1074" s="18">
        <v>45877.0</v>
      </c>
      <c r="Y1074" s="1"/>
      <c r="Z1074" s="1"/>
      <c r="AA1074" s="1"/>
      <c r="AB1074" s="1"/>
      <c r="AC1074" s="1" t="s">
        <v>1925</v>
      </c>
      <c r="AD1074" s="1"/>
      <c r="AE1074" s="1" t="s">
        <v>1152</v>
      </c>
      <c r="AF1074" s="1"/>
      <c r="AG1074" s="1"/>
      <c r="AH1074" s="1" t="s">
        <v>1152</v>
      </c>
      <c r="AI1074" s="1"/>
      <c r="AJ1074" s="1"/>
      <c r="AK1074" s="1"/>
      <c r="AL1074" s="6" t="str">
        <f t="array" ref="AL1074">IFERROR(IFS(XLOOKUP(B1074, 'Kit Delivery Status'!$U:$U, 'Kit Delivery Status'!$K:$K) = "Complete", "DELIVERED", XLOOKUP(B1074, 'Kit Delivery Status'!$U:$U, 'Kit Delivery Status'!$K:$K) = "Issue", "ISSUE"), "")</f>
        <v/>
      </c>
      <c r="AM1074" s="6"/>
    </row>
    <row r="1075">
      <c r="A1075" s="5" t="s">
        <v>5565</v>
      </c>
      <c r="B1075" s="1" t="s">
        <v>5566</v>
      </c>
      <c r="C1075" s="1" t="s">
        <v>3060</v>
      </c>
      <c r="D1075" s="2">
        <v>3.025881466E9</v>
      </c>
      <c r="E1075" s="1" t="s">
        <v>5567</v>
      </c>
      <c r="F1075" s="1"/>
      <c r="G1075" s="1" t="s">
        <v>3062</v>
      </c>
      <c r="H1075" s="1" t="s">
        <v>3063</v>
      </c>
      <c r="I1075" s="1">
        <v>19807.0</v>
      </c>
      <c r="J1075" s="1" t="s">
        <v>752</v>
      </c>
      <c r="K1075" s="1" t="s">
        <v>66</v>
      </c>
      <c r="L1075" s="1" t="s">
        <v>3321</v>
      </c>
      <c r="M1075" s="1">
        <v>210.0</v>
      </c>
      <c r="N1075" s="1" t="s">
        <v>1152</v>
      </c>
      <c r="O1075" s="3" t="s">
        <v>3064</v>
      </c>
      <c r="P1075" s="18">
        <v>45891.0</v>
      </c>
      <c r="Q1075" s="1" t="s">
        <v>1152</v>
      </c>
      <c r="R1075" s="1"/>
      <c r="S1075" s="1" t="s">
        <v>1152</v>
      </c>
      <c r="T1075" s="1" t="s">
        <v>1152</v>
      </c>
      <c r="U1075" s="1" t="s">
        <v>1441</v>
      </c>
      <c r="V1075" s="4" t="s">
        <v>3064</v>
      </c>
      <c r="W1075" s="1"/>
      <c r="X1075" s="18">
        <v>45891.0</v>
      </c>
      <c r="Y1075" s="1"/>
      <c r="Z1075" s="1"/>
      <c r="AA1075" s="1"/>
      <c r="AB1075" s="1"/>
      <c r="AC1075" s="1" t="s">
        <v>1925</v>
      </c>
      <c r="AD1075" s="1"/>
      <c r="AE1075" s="1" t="s">
        <v>1152</v>
      </c>
      <c r="AF1075" s="1"/>
      <c r="AG1075" s="1"/>
      <c r="AH1075" s="1" t="s">
        <v>1152</v>
      </c>
      <c r="AI1075" s="1"/>
      <c r="AJ1075" s="1"/>
      <c r="AK1075" s="1"/>
      <c r="AL1075" s="6" t="str">
        <f t="array" ref="AL1075">IFERROR(IFS(XLOOKUP(B1075, 'Kit Delivery Status'!$U:$U, 'Kit Delivery Status'!$K:$K) = "Complete", "DELIVERED", XLOOKUP(B1075, 'Kit Delivery Status'!$U:$U, 'Kit Delivery Status'!$K:$K) = "Issue", "ISSUE"), "")</f>
        <v/>
      </c>
      <c r="AM1075" s="6"/>
    </row>
    <row r="1076">
      <c r="A1076" s="5" t="s">
        <v>5568</v>
      </c>
      <c r="B1076" s="1" t="s">
        <v>5569</v>
      </c>
      <c r="C1076" s="1" t="s">
        <v>5570</v>
      </c>
      <c r="D1076" s="2">
        <v>2.066613897E9</v>
      </c>
      <c r="E1076" s="1" t="s">
        <v>5571</v>
      </c>
      <c r="F1076" s="1"/>
      <c r="G1076" s="1" t="s">
        <v>5324</v>
      </c>
      <c r="H1076" s="1" t="s">
        <v>980</v>
      </c>
      <c r="I1076" s="1">
        <v>98040.0</v>
      </c>
      <c r="J1076" s="1" t="s">
        <v>752</v>
      </c>
      <c r="K1076" s="1" t="s">
        <v>51</v>
      </c>
      <c r="L1076" s="1" t="s">
        <v>3293</v>
      </c>
      <c r="M1076" s="1">
        <v>1.0</v>
      </c>
      <c r="N1076" s="1" t="s">
        <v>2461</v>
      </c>
      <c r="O1076" s="3" t="s">
        <v>2710</v>
      </c>
      <c r="P1076" s="18">
        <v>45887.0</v>
      </c>
      <c r="Q1076" s="1" t="s">
        <v>2463</v>
      </c>
      <c r="R1076" s="1"/>
      <c r="S1076" s="1" t="s">
        <v>2461</v>
      </c>
      <c r="T1076" s="1" t="s">
        <v>2461</v>
      </c>
      <c r="U1076" s="1" t="s">
        <v>1415</v>
      </c>
      <c r="V1076" s="4" t="s">
        <v>2710</v>
      </c>
      <c r="W1076" s="1"/>
      <c r="X1076" s="18">
        <v>45887.0</v>
      </c>
      <c r="Y1076" s="1" t="s">
        <v>1030</v>
      </c>
      <c r="Z1076" s="1"/>
      <c r="AA1076" s="1"/>
      <c r="AB1076" s="1" t="s">
        <v>52</v>
      </c>
      <c r="AC1076" s="1" t="s">
        <v>1925</v>
      </c>
      <c r="AD1076" s="1"/>
      <c r="AE1076" s="1" t="s">
        <v>1152</v>
      </c>
      <c r="AF1076" s="1"/>
      <c r="AG1076" s="1"/>
      <c r="AH1076" s="1" t="s">
        <v>1152</v>
      </c>
      <c r="AI1076" s="1"/>
      <c r="AJ1076" s="1"/>
      <c r="AK1076" s="1"/>
      <c r="AL1076" s="6" t="str">
        <f t="array" ref="AL1076">IFERROR(IFS(XLOOKUP(B1076, 'Kit Delivery Status'!$U:$U, 'Kit Delivery Status'!$K:$K) = "Complete", "DELIVERED", XLOOKUP(B1076, 'Kit Delivery Status'!$U:$U, 'Kit Delivery Status'!$K:$K) = "Issue", "ISSUE"), "")</f>
        <v/>
      </c>
      <c r="AM1076" s="6"/>
    </row>
    <row r="1077">
      <c r="A1077" s="5" t="s">
        <v>5572</v>
      </c>
      <c r="B1077" s="1" t="s">
        <v>5573</v>
      </c>
      <c r="C1077" s="1" t="s">
        <v>5574</v>
      </c>
      <c r="D1077" s="2">
        <v>2.032909963E9</v>
      </c>
      <c r="E1077" s="1" t="s">
        <v>5575</v>
      </c>
      <c r="F1077" s="1"/>
      <c r="G1077" s="1" t="s">
        <v>5576</v>
      </c>
      <c r="H1077" s="1" t="s">
        <v>1078</v>
      </c>
      <c r="I1077" s="1">
        <v>6902.0</v>
      </c>
      <c r="J1077" s="1" t="s">
        <v>752</v>
      </c>
      <c r="K1077" s="1" t="s">
        <v>66</v>
      </c>
      <c r="L1077" s="1" t="s">
        <v>3321</v>
      </c>
      <c r="M1077" s="1">
        <v>210.0</v>
      </c>
      <c r="N1077" s="1" t="s">
        <v>1152</v>
      </c>
      <c r="O1077" s="3" t="s">
        <v>133</v>
      </c>
      <c r="P1077" s="18">
        <v>45883.0</v>
      </c>
      <c r="Q1077" s="1" t="s">
        <v>1152</v>
      </c>
      <c r="R1077" s="1"/>
      <c r="S1077" s="1" t="s">
        <v>1152</v>
      </c>
      <c r="T1077" s="1" t="s">
        <v>1152</v>
      </c>
      <c r="U1077" s="1" t="s">
        <v>1343</v>
      </c>
      <c r="V1077" s="4" t="s">
        <v>133</v>
      </c>
      <c r="W1077" s="1"/>
      <c r="X1077" s="18">
        <v>45883.0</v>
      </c>
      <c r="Y1077" s="1"/>
      <c r="Z1077" s="1"/>
      <c r="AA1077" s="1"/>
      <c r="AB1077" s="1"/>
      <c r="AC1077" s="1" t="s">
        <v>1925</v>
      </c>
      <c r="AD1077" s="1"/>
      <c r="AE1077" s="1" t="s">
        <v>1152</v>
      </c>
      <c r="AF1077" s="1"/>
      <c r="AG1077" s="1"/>
      <c r="AH1077" s="1" t="s">
        <v>1152</v>
      </c>
      <c r="AI1077" s="1"/>
      <c r="AJ1077" s="1"/>
      <c r="AK1077" s="1"/>
      <c r="AL1077" s="6" t="str">
        <f t="array" ref="AL1077">IFERROR(IFS(XLOOKUP(B1077, 'Kit Delivery Status'!$U:$U, 'Kit Delivery Status'!$K:$K) = "Complete", "DELIVERED", XLOOKUP(B1077, 'Kit Delivery Status'!$U:$U, 'Kit Delivery Status'!$K:$K) = "Issue", "ISSUE"), "")</f>
        <v/>
      </c>
      <c r="AM1077" s="6"/>
    </row>
    <row r="1078">
      <c r="A1078" s="5" t="s">
        <v>5577</v>
      </c>
      <c r="B1078" s="1" t="s">
        <v>5578</v>
      </c>
      <c r="C1078" s="1" t="s">
        <v>5579</v>
      </c>
      <c r="D1078" s="2">
        <v>9.147582157E9</v>
      </c>
      <c r="E1078" s="1" t="s">
        <v>5580</v>
      </c>
      <c r="F1078" s="1"/>
      <c r="G1078" s="1" t="s">
        <v>1766</v>
      </c>
      <c r="H1078" s="1" t="s">
        <v>1078</v>
      </c>
      <c r="I1078" s="1">
        <v>6831.0</v>
      </c>
      <c r="J1078" s="1" t="s">
        <v>752</v>
      </c>
      <c r="K1078" s="1" t="s">
        <v>66</v>
      </c>
      <c r="L1078" s="1" t="s">
        <v>3321</v>
      </c>
      <c r="M1078" s="1">
        <v>210.0</v>
      </c>
      <c r="N1078" s="1" t="s">
        <v>1152</v>
      </c>
      <c r="O1078" s="3" t="s">
        <v>5581</v>
      </c>
      <c r="P1078" s="18">
        <v>45883.0</v>
      </c>
      <c r="Q1078" s="1" t="s">
        <v>1152</v>
      </c>
      <c r="R1078" s="1"/>
      <c r="S1078" s="1" t="s">
        <v>1152</v>
      </c>
      <c r="T1078" s="1" t="s">
        <v>1152</v>
      </c>
      <c r="U1078" s="1" t="s">
        <v>1343</v>
      </c>
      <c r="V1078" s="4" t="s">
        <v>5581</v>
      </c>
      <c r="W1078" s="1"/>
      <c r="X1078" s="18">
        <v>45883.0</v>
      </c>
      <c r="Y1078" s="1"/>
      <c r="Z1078" s="1"/>
      <c r="AA1078" s="1"/>
      <c r="AB1078" s="1"/>
      <c r="AC1078" s="1" t="s">
        <v>1925</v>
      </c>
      <c r="AD1078" s="1"/>
      <c r="AE1078" s="1" t="s">
        <v>1152</v>
      </c>
      <c r="AF1078" s="1"/>
      <c r="AG1078" s="1"/>
      <c r="AH1078" s="1" t="s">
        <v>1152</v>
      </c>
      <c r="AI1078" s="1"/>
      <c r="AJ1078" s="1"/>
      <c r="AK1078" s="1"/>
      <c r="AL1078" s="6" t="str">
        <f t="array" ref="AL1078">IFERROR(IFS(XLOOKUP(B1078, 'Kit Delivery Status'!$U:$U, 'Kit Delivery Status'!$K:$K) = "Complete", "DELIVERED", XLOOKUP(B1078, 'Kit Delivery Status'!$U:$U, 'Kit Delivery Status'!$K:$K) = "Issue", "ISSUE"), "")</f>
        <v/>
      </c>
      <c r="AM1078" s="6"/>
    </row>
    <row r="1079">
      <c r="A1079" s="5" t="s">
        <v>5577</v>
      </c>
      <c r="B1079" s="1" t="s">
        <v>5578</v>
      </c>
      <c r="C1079" s="1" t="s">
        <v>5579</v>
      </c>
      <c r="D1079" s="2">
        <v>9.147582157E9</v>
      </c>
      <c r="E1079" s="1" t="s">
        <v>5580</v>
      </c>
      <c r="F1079" s="1"/>
      <c r="G1079" s="1" t="s">
        <v>1766</v>
      </c>
      <c r="H1079" s="1" t="s">
        <v>1078</v>
      </c>
      <c r="I1079" s="1">
        <v>6831.0</v>
      </c>
      <c r="J1079" s="1" t="s">
        <v>752</v>
      </c>
      <c r="K1079" s="1" t="s">
        <v>51</v>
      </c>
      <c r="L1079" s="1" t="s">
        <v>3293</v>
      </c>
      <c r="M1079" s="1">
        <v>1.0</v>
      </c>
      <c r="N1079" s="1" t="s">
        <v>2461</v>
      </c>
      <c r="O1079" s="3" t="s">
        <v>5581</v>
      </c>
      <c r="P1079" s="18">
        <v>45888.0</v>
      </c>
      <c r="Q1079" s="1" t="s">
        <v>2463</v>
      </c>
      <c r="R1079" s="1"/>
      <c r="S1079" s="1" t="s">
        <v>2461</v>
      </c>
      <c r="T1079" s="1" t="s">
        <v>2461</v>
      </c>
      <c r="U1079" s="1" t="s">
        <v>1343</v>
      </c>
      <c r="V1079" s="4" t="s">
        <v>5581</v>
      </c>
      <c r="W1079" s="1"/>
      <c r="X1079" s="18">
        <v>45888.0</v>
      </c>
      <c r="Y1079" s="1" t="s">
        <v>1030</v>
      </c>
      <c r="Z1079" s="1"/>
      <c r="AA1079" s="1"/>
      <c r="AB1079" s="1" t="s">
        <v>52</v>
      </c>
      <c r="AC1079" s="1" t="s">
        <v>1925</v>
      </c>
      <c r="AD1079" s="1"/>
      <c r="AE1079" s="1" t="s">
        <v>1152</v>
      </c>
      <c r="AF1079" s="1"/>
      <c r="AG1079" s="1"/>
      <c r="AH1079" s="1" t="s">
        <v>1152</v>
      </c>
      <c r="AI1079" s="1"/>
      <c r="AJ1079" s="1"/>
      <c r="AK1079" s="1"/>
      <c r="AL1079" s="6" t="str">
        <f t="array" ref="AL1079">IFERROR(IFS(XLOOKUP(B1079, 'Kit Delivery Status'!$U:$U, 'Kit Delivery Status'!$K:$K) = "Complete", "DELIVERED", XLOOKUP(B1079, 'Kit Delivery Status'!$U:$U, 'Kit Delivery Status'!$K:$K) = "Issue", "ISSUE"), "")</f>
        <v/>
      </c>
      <c r="AM1079" s="6"/>
    </row>
    <row r="1080">
      <c r="A1080" s="5" t="s">
        <v>5577</v>
      </c>
      <c r="B1080" s="1" t="s">
        <v>5578</v>
      </c>
      <c r="C1080" s="1" t="s">
        <v>5579</v>
      </c>
      <c r="D1080" s="2">
        <v>9.147582157E9</v>
      </c>
      <c r="E1080" s="1" t="s">
        <v>5580</v>
      </c>
      <c r="F1080" s="1"/>
      <c r="G1080" s="1" t="s">
        <v>1766</v>
      </c>
      <c r="H1080" s="1" t="s">
        <v>1078</v>
      </c>
      <c r="I1080" s="1">
        <v>6831.0</v>
      </c>
      <c r="J1080" s="1" t="s">
        <v>752</v>
      </c>
      <c r="K1080" s="1" t="s">
        <v>95</v>
      </c>
      <c r="L1080" s="1" t="s">
        <v>3327</v>
      </c>
      <c r="M1080" s="1">
        <v>49.0</v>
      </c>
      <c r="N1080" s="1" t="s">
        <v>2461</v>
      </c>
      <c r="O1080" s="3" t="s">
        <v>5581</v>
      </c>
      <c r="P1080" s="18">
        <v>45883.0</v>
      </c>
      <c r="Q1080" s="1" t="s">
        <v>2463</v>
      </c>
      <c r="R1080" s="1"/>
      <c r="S1080" s="1" t="s">
        <v>2461</v>
      </c>
      <c r="T1080" s="1" t="s">
        <v>2461</v>
      </c>
      <c r="U1080" s="1" t="s">
        <v>1343</v>
      </c>
      <c r="V1080" s="4" t="s">
        <v>5581</v>
      </c>
      <c r="W1080" s="1"/>
      <c r="X1080" s="18">
        <v>45883.0</v>
      </c>
      <c r="Y1080" s="1" t="s">
        <v>1030</v>
      </c>
      <c r="Z1080" s="1"/>
      <c r="AA1080" s="1"/>
      <c r="AB1080" s="1" t="s">
        <v>52</v>
      </c>
      <c r="AC1080" s="1" t="s">
        <v>5582</v>
      </c>
      <c r="AD1080" s="1"/>
      <c r="AE1080" s="1" t="s">
        <v>1152</v>
      </c>
      <c r="AF1080" s="1"/>
      <c r="AG1080" s="1"/>
      <c r="AH1080" s="1" t="s">
        <v>1152</v>
      </c>
      <c r="AI1080" s="1"/>
      <c r="AJ1080" s="1"/>
      <c r="AK1080" s="1"/>
      <c r="AL1080" s="6" t="str">
        <f t="array" ref="AL1080">IFERROR(IFS(XLOOKUP(B1080, 'Kit Delivery Status'!$U:$U, 'Kit Delivery Status'!$K:$K) = "Complete", "DELIVERED", XLOOKUP(B1080, 'Kit Delivery Status'!$U:$U, 'Kit Delivery Status'!$K:$K) = "Issue", "ISSUE"), "")</f>
        <v/>
      </c>
      <c r="AM1080" s="6"/>
    </row>
    <row r="1081">
      <c r="A1081" s="5" t="s">
        <v>5583</v>
      </c>
      <c r="B1081" s="1" t="s">
        <v>5584</v>
      </c>
      <c r="C1081" s="1" t="s">
        <v>5585</v>
      </c>
      <c r="D1081" s="2">
        <v>7.7055774E9</v>
      </c>
      <c r="E1081" s="1" t="s">
        <v>5586</v>
      </c>
      <c r="F1081" s="1"/>
      <c r="G1081" s="1" t="s">
        <v>5587</v>
      </c>
      <c r="H1081" s="1" t="s">
        <v>946</v>
      </c>
      <c r="I1081" s="1">
        <v>30022.0</v>
      </c>
      <c r="J1081" s="1" t="s">
        <v>752</v>
      </c>
      <c r="K1081" s="1" t="s">
        <v>51</v>
      </c>
      <c r="L1081" s="1" t="s">
        <v>3293</v>
      </c>
      <c r="M1081" s="1">
        <v>1.0</v>
      </c>
      <c r="N1081" s="1" t="s">
        <v>2461</v>
      </c>
      <c r="O1081" s="3" t="s">
        <v>5588</v>
      </c>
      <c r="P1081" s="18">
        <v>45891.0</v>
      </c>
      <c r="Q1081" s="1" t="s">
        <v>2852</v>
      </c>
      <c r="R1081" s="1"/>
      <c r="S1081" s="1" t="s">
        <v>2461</v>
      </c>
      <c r="T1081" s="1" t="s">
        <v>2461</v>
      </c>
      <c r="U1081" s="1" t="s">
        <v>1167</v>
      </c>
      <c r="V1081" s="4" t="s">
        <v>5588</v>
      </c>
      <c r="W1081" s="1"/>
      <c r="X1081" s="18">
        <v>45891.0</v>
      </c>
      <c r="Y1081" s="1" t="s">
        <v>1440</v>
      </c>
      <c r="Z1081" s="1"/>
      <c r="AA1081" s="1"/>
      <c r="AB1081" s="1" t="s">
        <v>52</v>
      </c>
      <c r="AC1081" s="1" t="s">
        <v>1925</v>
      </c>
      <c r="AD1081" s="1"/>
      <c r="AE1081" s="1" t="s">
        <v>1152</v>
      </c>
      <c r="AF1081" s="1"/>
      <c r="AG1081" s="1"/>
      <c r="AH1081" s="1" t="s">
        <v>1152</v>
      </c>
      <c r="AI1081" s="1"/>
      <c r="AJ1081" s="1"/>
      <c r="AK1081" s="1"/>
      <c r="AL1081" s="6" t="str">
        <f t="array" ref="AL1081">IFERROR(IFS(XLOOKUP(B1081, 'Kit Delivery Status'!$U:$U, 'Kit Delivery Status'!$K:$K) = "Complete", "DELIVERED", XLOOKUP(B1081, 'Kit Delivery Status'!$U:$U, 'Kit Delivery Status'!$K:$K) = "Issue", "ISSUE"), "")</f>
        <v/>
      </c>
      <c r="AM1081" s="6"/>
    </row>
    <row r="1082">
      <c r="A1082" s="5" t="s">
        <v>5589</v>
      </c>
      <c r="B1082" s="1" t="s">
        <v>5590</v>
      </c>
      <c r="C1082" s="1"/>
      <c r="D1082" s="2">
        <v>2.105081056E9</v>
      </c>
      <c r="E1082" s="1" t="s">
        <v>5591</v>
      </c>
      <c r="F1082" s="1"/>
      <c r="G1082" s="1" t="s">
        <v>5592</v>
      </c>
      <c r="H1082" s="1" t="s">
        <v>1583</v>
      </c>
      <c r="I1082" s="1" t="s">
        <v>5593</v>
      </c>
      <c r="J1082" s="1" t="s">
        <v>752</v>
      </c>
      <c r="K1082" s="1" t="s">
        <v>66</v>
      </c>
      <c r="L1082" s="1" t="s">
        <v>3350</v>
      </c>
      <c r="M1082" s="1">
        <v>145.0</v>
      </c>
      <c r="N1082" s="1" t="s">
        <v>1152</v>
      </c>
      <c r="O1082" s="3" t="s">
        <v>5594</v>
      </c>
      <c r="P1082" s="18">
        <v>45883.0</v>
      </c>
      <c r="Q1082" s="1" t="s">
        <v>1152</v>
      </c>
      <c r="R1082" s="1"/>
      <c r="S1082" s="1" t="s">
        <v>1152</v>
      </c>
      <c r="T1082" s="1" t="s">
        <v>1152</v>
      </c>
      <c r="U1082" s="1" t="s">
        <v>1080</v>
      </c>
      <c r="V1082" s="4" t="s">
        <v>5594</v>
      </c>
      <c r="W1082" s="1"/>
      <c r="X1082" s="18">
        <v>45883.0</v>
      </c>
      <c r="Y1082" s="1"/>
      <c r="Z1082" s="1"/>
      <c r="AA1082" s="1"/>
      <c r="AB1082" s="1"/>
      <c r="AC1082" s="1" t="s">
        <v>1925</v>
      </c>
      <c r="AD1082" s="1"/>
      <c r="AE1082" s="1" t="s">
        <v>1152</v>
      </c>
      <c r="AF1082" s="1"/>
      <c r="AG1082" s="1"/>
      <c r="AH1082" s="1" t="s">
        <v>1152</v>
      </c>
      <c r="AI1082" s="1"/>
      <c r="AJ1082" s="1"/>
      <c r="AK1082" s="1"/>
      <c r="AL1082" s="6" t="str">
        <f t="array" ref="AL1082">IFERROR(IFS(XLOOKUP(B1082, 'Kit Delivery Status'!$U:$U, 'Kit Delivery Status'!$K:$K) = "Complete", "DELIVERED", XLOOKUP(B1082, 'Kit Delivery Status'!$U:$U, 'Kit Delivery Status'!$K:$K) = "Issue", "ISSUE"), "")</f>
        <v/>
      </c>
      <c r="AM1082" s="6"/>
    </row>
    <row r="1083">
      <c r="A1083" s="5" t="s">
        <v>5595</v>
      </c>
      <c r="B1083" s="1" t="s">
        <v>5596</v>
      </c>
      <c r="C1083" s="1" t="s">
        <v>5597</v>
      </c>
      <c r="D1083" s="2">
        <v>6.463519518E9</v>
      </c>
      <c r="E1083" s="1" t="s">
        <v>5598</v>
      </c>
      <c r="F1083" s="1"/>
      <c r="G1083" s="1" t="s">
        <v>4154</v>
      </c>
      <c r="H1083" s="1" t="s">
        <v>1121</v>
      </c>
      <c r="I1083" s="1">
        <v>1778.0</v>
      </c>
      <c r="J1083" s="1" t="s">
        <v>752</v>
      </c>
      <c r="K1083" s="1" t="s">
        <v>95</v>
      </c>
      <c r="L1083" s="1" t="s">
        <v>3327</v>
      </c>
      <c r="M1083" s="1">
        <v>49.0</v>
      </c>
      <c r="N1083" s="1" t="s">
        <v>2461</v>
      </c>
      <c r="O1083" s="3" t="s">
        <v>2462</v>
      </c>
      <c r="P1083" s="18">
        <v>45880.0</v>
      </c>
      <c r="Q1083" s="1" t="s">
        <v>2463</v>
      </c>
      <c r="R1083" s="1"/>
      <c r="S1083" s="1" t="s">
        <v>2461</v>
      </c>
      <c r="T1083" s="1" t="s">
        <v>2461</v>
      </c>
      <c r="U1083" s="1" t="s">
        <v>1794</v>
      </c>
      <c r="V1083" s="4" t="s">
        <v>2462</v>
      </c>
      <c r="W1083" s="1"/>
      <c r="X1083" s="18">
        <v>45880.0</v>
      </c>
      <c r="Y1083" s="1" t="s">
        <v>1030</v>
      </c>
      <c r="Z1083" s="1"/>
      <c r="AA1083" s="1"/>
      <c r="AB1083" s="1" t="s">
        <v>52</v>
      </c>
      <c r="AC1083" s="1" t="s">
        <v>5599</v>
      </c>
      <c r="AD1083" s="1"/>
      <c r="AE1083" s="1" t="s">
        <v>1152</v>
      </c>
      <c r="AF1083" s="1"/>
      <c r="AG1083" s="1"/>
      <c r="AH1083" s="1" t="s">
        <v>1152</v>
      </c>
      <c r="AI1083" s="1"/>
      <c r="AJ1083" s="1"/>
      <c r="AK1083" s="1"/>
      <c r="AL1083" s="6" t="str">
        <f t="array" ref="AL1083">IFERROR(IFS(XLOOKUP(B1083, 'Kit Delivery Status'!$U:$U, 'Kit Delivery Status'!$K:$K) = "Complete", "DELIVERED", XLOOKUP(B1083, 'Kit Delivery Status'!$U:$U, 'Kit Delivery Status'!$K:$K) = "Issue", "ISSUE"), "")</f>
        <v/>
      </c>
      <c r="AM1083" s="6"/>
    </row>
    <row r="1084">
      <c r="A1084" s="5" t="s">
        <v>5600</v>
      </c>
      <c r="B1084" s="1" t="s">
        <v>5601</v>
      </c>
      <c r="C1084" s="1" t="s">
        <v>5602</v>
      </c>
      <c r="D1084" s="2">
        <v>3.143469642E9</v>
      </c>
      <c r="E1084" s="1" t="s">
        <v>5603</v>
      </c>
      <c r="F1084" s="1"/>
      <c r="G1084" s="1" t="s">
        <v>5604</v>
      </c>
      <c r="H1084" s="1" t="s">
        <v>1155</v>
      </c>
      <c r="I1084" s="1">
        <v>63119.0</v>
      </c>
      <c r="J1084" s="1" t="s">
        <v>752</v>
      </c>
      <c r="K1084" s="1" t="s">
        <v>66</v>
      </c>
      <c r="L1084" s="1" t="s">
        <v>3350</v>
      </c>
      <c r="M1084" s="1">
        <v>145.0</v>
      </c>
      <c r="N1084" s="1" t="s">
        <v>1152</v>
      </c>
      <c r="O1084" s="3" t="s">
        <v>4406</v>
      </c>
      <c r="P1084" s="18">
        <v>45883.0</v>
      </c>
      <c r="Q1084" s="1" t="s">
        <v>1152</v>
      </c>
      <c r="R1084" s="1"/>
      <c r="S1084" s="1" t="s">
        <v>1152</v>
      </c>
      <c r="T1084" s="1" t="s">
        <v>1152</v>
      </c>
      <c r="U1084" s="1" t="s">
        <v>1343</v>
      </c>
      <c r="V1084" s="4" t="s">
        <v>4406</v>
      </c>
      <c r="W1084" s="1"/>
      <c r="X1084" s="18">
        <v>45883.0</v>
      </c>
      <c r="Y1084" s="1"/>
      <c r="Z1084" s="1"/>
      <c r="AA1084" s="1"/>
      <c r="AB1084" s="1"/>
      <c r="AC1084" s="1" t="s">
        <v>1925</v>
      </c>
      <c r="AD1084" s="1"/>
      <c r="AE1084" s="1" t="s">
        <v>1152</v>
      </c>
      <c r="AF1084" s="1"/>
      <c r="AG1084" s="1"/>
      <c r="AH1084" s="1" t="s">
        <v>1152</v>
      </c>
      <c r="AI1084" s="1"/>
      <c r="AJ1084" s="1"/>
      <c r="AK1084" s="1"/>
      <c r="AL1084" s="6" t="str">
        <f t="array" ref="AL1084">IFERROR(IFS(XLOOKUP(B1084, 'Kit Delivery Status'!$U:$U, 'Kit Delivery Status'!$K:$K) = "Complete", "DELIVERED", XLOOKUP(B1084, 'Kit Delivery Status'!$U:$U, 'Kit Delivery Status'!$K:$K) = "Issue", "ISSUE"), "")</f>
        <v/>
      </c>
      <c r="AM1084" s="6"/>
    </row>
    <row r="1085">
      <c r="A1085" s="5" t="s">
        <v>5605</v>
      </c>
      <c r="B1085" s="1" t="s">
        <v>5606</v>
      </c>
      <c r="C1085" s="1" t="s">
        <v>5607</v>
      </c>
      <c r="D1085" s="2">
        <v>4.243531521E9</v>
      </c>
      <c r="E1085" s="1" t="s">
        <v>5608</v>
      </c>
      <c r="F1085" s="1"/>
      <c r="G1085" s="1" t="s">
        <v>1283</v>
      </c>
      <c r="H1085" s="1" t="s">
        <v>1155</v>
      </c>
      <c r="I1085" s="1">
        <v>63105.0</v>
      </c>
      <c r="J1085" s="1" t="s">
        <v>752</v>
      </c>
      <c r="K1085" s="1" t="s">
        <v>95</v>
      </c>
      <c r="L1085" s="1" t="s">
        <v>3327</v>
      </c>
      <c r="M1085" s="1">
        <v>49.0</v>
      </c>
      <c r="N1085" s="1" t="s">
        <v>2461</v>
      </c>
      <c r="O1085" s="3" t="s">
        <v>5609</v>
      </c>
      <c r="P1085" s="18">
        <v>45883.0</v>
      </c>
      <c r="Q1085" s="1" t="s">
        <v>2502</v>
      </c>
      <c r="R1085" s="1"/>
      <c r="S1085" s="1" t="s">
        <v>2461</v>
      </c>
      <c r="T1085" s="1" t="s">
        <v>2461</v>
      </c>
      <c r="U1085" s="1" t="s">
        <v>1376</v>
      </c>
      <c r="V1085" s="4" t="s">
        <v>5609</v>
      </c>
      <c r="W1085" s="1"/>
      <c r="X1085" s="18">
        <v>45883.0</v>
      </c>
      <c r="Y1085" s="1" t="s">
        <v>1630</v>
      </c>
      <c r="Z1085" s="1"/>
      <c r="AA1085" s="1"/>
      <c r="AB1085" s="1" t="s">
        <v>52</v>
      </c>
      <c r="AC1085" s="1" t="s">
        <v>5610</v>
      </c>
      <c r="AD1085" s="1"/>
      <c r="AE1085" s="1" t="s">
        <v>1152</v>
      </c>
      <c r="AF1085" s="1"/>
      <c r="AG1085" s="1"/>
      <c r="AH1085" s="1" t="s">
        <v>1152</v>
      </c>
      <c r="AI1085" s="1"/>
      <c r="AJ1085" s="1"/>
      <c r="AK1085" s="1"/>
      <c r="AL1085" s="6" t="str">
        <f t="array" ref="AL1085">IFERROR(IFS(XLOOKUP(B1085, 'Kit Delivery Status'!$U:$U, 'Kit Delivery Status'!$K:$K) = "Complete", "DELIVERED", XLOOKUP(B1085, 'Kit Delivery Status'!$U:$U, 'Kit Delivery Status'!$K:$K) = "Issue", "ISSUE"), "")</f>
        <v/>
      </c>
      <c r="AM1085" s="6"/>
    </row>
    <row r="1086">
      <c r="A1086" s="5" t="s">
        <v>5611</v>
      </c>
      <c r="B1086" s="1" t="s">
        <v>5612</v>
      </c>
      <c r="C1086" s="1" t="s">
        <v>5613</v>
      </c>
      <c r="D1086" s="2">
        <v>9.293915011E9</v>
      </c>
      <c r="E1086" s="1" t="s">
        <v>5614</v>
      </c>
      <c r="F1086" s="1"/>
      <c r="G1086" s="1" t="s">
        <v>5615</v>
      </c>
      <c r="H1086" s="1" t="s">
        <v>751</v>
      </c>
      <c r="I1086" s="1">
        <v>11365.0</v>
      </c>
      <c r="J1086" s="1" t="s">
        <v>752</v>
      </c>
      <c r="K1086" s="1" t="s">
        <v>51</v>
      </c>
      <c r="L1086" s="1" t="s">
        <v>3293</v>
      </c>
      <c r="M1086" s="1">
        <v>1.0</v>
      </c>
      <c r="N1086" s="1" t="s">
        <v>2461</v>
      </c>
      <c r="O1086" s="3" t="s">
        <v>5616</v>
      </c>
      <c r="P1086" s="18">
        <v>45890.0</v>
      </c>
      <c r="Q1086" s="1" t="s">
        <v>2463</v>
      </c>
      <c r="R1086" s="1"/>
      <c r="S1086" s="1" t="s">
        <v>2461</v>
      </c>
      <c r="T1086" s="1" t="s">
        <v>2461</v>
      </c>
      <c r="U1086" s="1" t="s">
        <v>1021</v>
      </c>
      <c r="V1086" s="4" t="s">
        <v>5616</v>
      </c>
      <c r="W1086" s="1"/>
      <c r="X1086" s="18">
        <v>45890.0</v>
      </c>
      <c r="Y1086" s="1" t="s">
        <v>1030</v>
      </c>
      <c r="Z1086" s="1"/>
      <c r="AA1086" s="1"/>
      <c r="AB1086" s="1" t="s">
        <v>52</v>
      </c>
      <c r="AC1086" s="1" t="s">
        <v>1925</v>
      </c>
      <c r="AD1086" s="1"/>
      <c r="AE1086" s="1" t="s">
        <v>1152</v>
      </c>
      <c r="AF1086" s="1"/>
      <c r="AG1086" s="1"/>
      <c r="AH1086" s="1" t="s">
        <v>1152</v>
      </c>
      <c r="AI1086" s="1"/>
      <c r="AJ1086" s="1"/>
      <c r="AK1086" s="1"/>
      <c r="AL1086" s="6" t="str">
        <f t="array" ref="AL1086">IFERROR(IFS(XLOOKUP(B1086, 'Kit Delivery Status'!$U:$U, 'Kit Delivery Status'!$K:$K) = "Complete", "DELIVERED", XLOOKUP(B1086, 'Kit Delivery Status'!$U:$U, 'Kit Delivery Status'!$K:$K) = "Issue", "ISSUE"), "")</f>
        <v/>
      </c>
      <c r="AM1086" s="6"/>
    </row>
    <row r="1087">
      <c r="A1087" s="5" t="s">
        <v>5617</v>
      </c>
      <c r="B1087" s="1" t="s">
        <v>5618</v>
      </c>
      <c r="C1087" s="1"/>
      <c r="D1087" s="2">
        <v>8.45596507E9</v>
      </c>
      <c r="E1087" s="1" t="s">
        <v>5619</v>
      </c>
      <c r="F1087" s="1"/>
      <c r="G1087" s="1" t="s">
        <v>5620</v>
      </c>
      <c r="H1087" s="1" t="s">
        <v>751</v>
      </c>
      <c r="I1087" s="1">
        <v>10901.0</v>
      </c>
      <c r="J1087" s="1" t="s">
        <v>752</v>
      </c>
      <c r="K1087" s="1" t="s">
        <v>66</v>
      </c>
      <c r="L1087" s="1" t="s">
        <v>3321</v>
      </c>
      <c r="M1087" s="1">
        <v>210.0</v>
      </c>
      <c r="N1087" s="1" t="s">
        <v>1152</v>
      </c>
      <c r="O1087" s="3" t="s">
        <v>1255</v>
      </c>
      <c r="P1087" s="18">
        <v>45883.0</v>
      </c>
      <c r="Q1087" s="1" t="s">
        <v>1152</v>
      </c>
      <c r="R1087" s="1"/>
      <c r="S1087" s="1" t="s">
        <v>1152</v>
      </c>
      <c r="T1087" s="1" t="s">
        <v>1152</v>
      </c>
      <c r="U1087" s="1" t="s">
        <v>1080</v>
      </c>
      <c r="V1087" s="4" t="s">
        <v>1255</v>
      </c>
      <c r="W1087" s="1"/>
      <c r="X1087" s="18">
        <v>45883.0</v>
      </c>
      <c r="Y1087" s="1"/>
      <c r="Z1087" s="1"/>
      <c r="AA1087" s="1"/>
      <c r="AB1087" s="1"/>
      <c r="AC1087" s="1" t="s">
        <v>1925</v>
      </c>
      <c r="AD1087" s="1"/>
      <c r="AE1087" s="1" t="s">
        <v>1152</v>
      </c>
      <c r="AF1087" s="1"/>
      <c r="AG1087" s="1"/>
      <c r="AH1087" s="1" t="s">
        <v>1152</v>
      </c>
      <c r="AI1087" s="1"/>
      <c r="AJ1087" s="1"/>
      <c r="AK1087" s="1"/>
      <c r="AL1087" s="6" t="str">
        <f t="array" ref="AL1087">IFERROR(IFS(XLOOKUP(B1087, 'Kit Delivery Status'!$U:$U, 'Kit Delivery Status'!$K:$K) = "Complete", "DELIVERED", XLOOKUP(B1087, 'Kit Delivery Status'!$U:$U, 'Kit Delivery Status'!$K:$K) = "Issue", "ISSUE"), "")</f>
        <v/>
      </c>
      <c r="AM1087" s="6"/>
    </row>
    <row r="1088">
      <c r="A1088" s="5" t="s">
        <v>5621</v>
      </c>
      <c r="B1088" s="1" t="s">
        <v>5622</v>
      </c>
      <c r="C1088" s="1"/>
      <c r="D1088" s="2">
        <v>3.012750328E9</v>
      </c>
      <c r="E1088" s="1" t="s">
        <v>5623</v>
      </c>
      <c r="F1088" s="1"/>
      <c r="G1088" s="1" t="s">
        <v>5624</v>
      </c>
      <c r="H1088" s="1" t="s">
        <v>1005</v>
      </c>
      <c r="I1088" s="1">
        <v>20895.0</v>
      </c>
      <c r="J1088" s="1" t="s">
        <v>752</v>
      </c>
      <c r="K1088" s="1" t="s">
        <v>66</v>
      </c>
      <c r="L1088" s="1" t="s">
        <v>3350</v>
      </c>
      <c r="M1088" s="1">
        <v>145.0</v>
      </c>
      <c r="N1088" s="1" t="s">
        <v>1152</v>
      </c>
      <c r="O1088" s="3" t="s">
        <v>3613</v>
      </c>
      <c r="P1088" s="18">
        <v>45883.0</v>
      </c>
      <c r="Q1088" s="1" t="s">
        <v>1152</v>
      </c>
      <c r="R1088" s="1"/>
      <c r="S1088" s="1" t="s">
        <v>1152</v>
      </c>
      <c r="T1088" s="1" t="s">
        <v>1152</v>
      </c>
      <c r="U1088" s="1" t="s">
        <v>1080</v>
      </c>
      <c r="V1088" s="4" t="s">
        <v>3613</v>
      </c>
      <c r="W1088" s="1"/>
      <c r="X1088" s="18">
        <v>45883.0</v>
      </c>
      <c r="Y1088" s="1"/>
      <c r="Z1088" s="1"/>
      <c r="AA1088" s="1"/>
      <c r="AB1088" s="1"/>
      <c r="AC1088" s="1" t="s">
        <v>1925</v>
      </c>
      <c r="AD1088" s="1"/>
      <c r="AE1088" s="1" t="s">
        <v>1152</v>
      </c>
      <c r="AF1088" s="1"/>
      <c r="AG1088" s="1"/>
      <c r="AH1088" s="1" t="s">
        <v>1152</v>
      </c>
      <c r="AI1088" s="1"/>
      <c r="AJ1088" s="1"/>
      <c r="AK1088" s="1"/>
      <c r="AL1088" s="6" t="str">
        <f t="array" ref="AL1088">IFERROR(IFS(XLOOKUP(B1088, 'Kit Delivery Status'!$U:$U, 'Kit Delivery Status'!$K:$K) = "Complete", "DELIVERED", XLOOKUP(B1088, 'Kit Delivery Status'!$U:$U, 'Kit Delivery Status'!$K:$K) = "Issue", "ISSUE"), "")</f>
        <v/>
      </c>
      <c r="AM1088" s="6"/>
    </row>
    <row r="1089">
      <c r="A1089" s="5" t="s">
        <v>5625</v>
      </c>
      <c r="B1089" s="1" t="s">
        <v>5626</v>
      </c>
      <c r="C1089" s="1"/>
      <c r="D1089" s="2">
        <v>2.015627645E9</v>
      </c>
      <c r="E1089" s="1" t="s">
        <v>5627</v>
      </c>
      <c r="F1089" s="1"/>
      <c r="G1089" s="1" t="s">
        <v>5628</v>
      </c>
      <c r="H1089" s="1" t="s">
        <v>1019</v>
      </c>
      <c r="I1089" s="1">
        <v>60045.0</v>
      </c>
      <c r="J1089" s="1" t="s">
        <v>752</v>
      </c>
      <c r="K1089" s="1" t="s">
        <v>66</v>
      </c>
      <c r="L1089" s="1" t="s">
        <v>3321</v>
      </c>
      <c r="M1089" s="1">
        <v>210.0</v>
      </c>
      <c r="N1089" s="1" t="s">
        <v>1152</v>
      </c>
      <c r="O1089" s="3" t="s">
        <v>5629</v>
      </c>
      <c r="P1089" s="18">
        <v>45883.0</v>
      </c>
      <c r="Q1089" s="1" t="s">
        <v>1152</v>
      </c>
      <c r="R1089" s="1"/>
      <c r="S1089" s="1" t="s">
        <v>1152</v>
      </c>
      <c r="T1089" s="1" t="s">
        <v>1152</v>
      </c>
      <c r="U1089" s="1" t="s">
        <v>1148</v>
      </c>
      <c r="V1089" s="4" t="s">
        <v>5629</v>
      </c>
      <c r="W1089" s="1"/>
      <c r="X1089" s="18">
        <v>45883.0</v>
      </c>
      <c r="Y1089" s="1"/>
      <c r="Z1089" s="1"/>
      <c r="AA1089" s="1"/>
      <c r="AB1089" s="1"/>
      <c r="AC1089" s="1" t="s">
        <v>1925</v>
      </c>
      <c r="AD1089" s="1"/>
      <c r="AE1089" s="1" t="s">
        <v>1152</v>
      </c>
      <c r="AF1089" s="1"/>
      <c r="AG1089" s="1"/>
      <c r="AH1089" s="1" t="s">
        <v>1152</v>
      </c>
      <c r="AI1089" s="1"/>
      <c r="AJ1089" s="1"/>
      <c r="AK1089" s="1"/>
      <c r="AL1089" s="6" t="str">
        <f t="array" ref="AL1089">IFERROR(IFS(XLOOKUP(B1089, 'Kit Delivery Status'!$U:$U, 'Kit Delivery Status'!$K:$K) = "Complete", "DELIVERED", XLOOKUP(B1089, 'Kit Delivery Status'!$U:$U, 'Kit Delivery Status'!$K:$K) = "Issue", "ISSUE"), "")</f>
        <v/>
      </c>
      <c r="AM1089" s="6"/>
    </row>
    <row r="1090">
      <c r="A1090" s="5" t="s">
        <v>5630</v>
      </c>
      <c r="B1090" s="1" t="s">
        <v>5631</v>
      </c>
      <c r="C1090" s="1" t="s">
        <v>5632</v>
      </c>
      <c r="D1090" s="2">
        <v>7.039807764E9</v>
      </c>
      <c r="E1090" s="1" t="s">
        <v>5633</v>
      </c>
      <c r="F1090" s="1"/>
      <c r="G1090" s="1" t="s">
        <v>5634</v>
      </c>
      <c r="H1090" s="1" t="s">
        <v>1038</v>
      </c>
      <c r="I1090" s="1">
        <v>22304.0</v>
      </c>
      <c r="J1090" s="1" t="s">
        <v>752</v>
      </c>
      <c r="K1090" s="1" t="s">
        <v>66</v>
      </c>
      <c r="L1090" s="1" t="s">
        <v>3350</v>
      </c>
      <c r="M1090" s="1">
        <v>145.0</v>
      </c>
      <c r="N1090" s="1" t="s">
        <v>1152</v>
      </c>
      <c r="O1090" s="3" t="s">
        <v>5635</v>
      </c>
      <c r="P1090" s="18">
        <v>45892.0</v>
      </c>
      <c r="Q1090" s="1" t="s">
        <v>1152</v>
      </c>
      <c r="R1090" s="1"/>
      <c r="S1090" s="1" t="s">
        <v>1152</v>
      </c>
      <c r="T1090" s="1" t="s">
        <v>1152</v>
      </c>
      <c r="U1090" s="1" t="s">
        <v>1794</v>
      </c>
      <c r="V1090" s="4" t="s">
        <v>5635</v>
      </c>
      <c r="W1090" s="1"/>
      <c r="X1090" s="18">
        <v>45892.0</v>
      </c>
      <c r="Y1090" s="1"/>
      <c r="Z1090" s="1"/>
      <c r="AA1090" s="1"/>
      <c r="AB1090" s="1"/>
      <c r="AC1090" s="1" t="s">
        <v>1925</v>
      </c>
      <c r="AD1090" s="1"/>
      <c r="AE1090" s="1" t="s">
        <v>1152</v>
      </c>
      <c r="AF1090" s="1"/>
      <c r="AG1090" s="1"/>
      <c r="AH1090" s="1" t="s">
        <v>1152</v>
      </c>
      <c r="AI1090" s="1"/>
      <c r="AJ1090" s="1"/>
      <c r="AK1090" s="1"/>
      <c r="AL1090" s="6" t="str">
        <f t="array" ref="AL1090">IFERROR(IFS(XLOOKUP(B1090, 'Kit Delivery Status'!$U:$U, 'Kit Delivery Status'!$K:$K) = "Complete", "DELIVERED", XLOOKUP(B1090, 'Kit Delivery Status'!$U:$U, 'Kit Delivery Status'!$K:$K) = "Issue", "ISSUE"), "")</f>
        <v/>
      </c>
      <c r="AM1090" s="6"/>
    </row>
    <row r="1091">
      <c r="A1091" s="5" t="s">
        <v>5630</v>
      </c>
      <c r="B1091" s="1" t="s">
        <v>5631</v>
      </c>
      <c r="C1091" s="1" t="s">
        <v>5632</v>
      </c>
      <c r="D1091" s="2">
        <v>7.039807764E9</v>
      </c>
      <c r="E1091" s="1" t="s">
        <v>5633</v>
      </c>
      <c r="F1091" s="1"/>
      <c r="G1091" s="1" t="s">
        <v>5634</v>
      </c>
      <c r="H1091" s="1" t="s">
        <v>1038</v>
      </c>
      <c r="I1091" s="1">
        <v>22304.0</v>
      </c>
      <c r="J1091" s="1" t="s">
        <v>752</v>
      </c>
      <c r="K1091" s="1" t="s">
        <v>95</v>
      </c>
      <c r="L1091" s="1" t="s">
        <v>3327</v>
      </c>
      <c r="M1091" s="1">
        <v>49.0</v>
      </c>
      <c r="N1091" s="1" t="s">
        <v>2461</v>
      </c>
      <c r="O1091" s="3" t="s">
        <v>5635</v>
      </c>
      <c r="P1091" s="18">
        <v>45892.0</v>
      </c>
      <c r="Q1091" s="1" t="s">
        <v>3219</v>
      </c>
      <c r="R1091" s="1"/>
      <c r="S1091" s="1" t="s">
        <v>2461</v>
      </c>
      <c r="T1091" s="1" t="s">
        <v>2461</v>
      </c>
      <c r="U1091" s="1" t="s">
        <v>1794</v>
      </c>
      <c r="V1091" s="4" t="s">
        <v>5635</v>
      </c>
      <c r="W1091" s="1"/>
      <c r="X1091" s="18">
        <v>45892.0</v>
      </c>
      <c r="Y1091" s="1" t="s">
        <v>1455</v>
      </c>
      <c r="Z1091" s="1"/>
      <c r="AA1091" s="1"/>
      <c r="AB1091" s="1" t="s">
        <v>52</v>
      </c>
      <c r="AC1091" s="1" t="s">
        <v>5636</v>
      </c>
      <c r="AD1091" s="1"/>
      <c r="AE1091" s="1" t="s">
        <v>1152</v>
      </c>
      <c r="AF1091" s="1"/>
      <c r="AG1091" s="1"/>
      <c r="AH1091" s="1" t="s">
        <v>1152</v>
      </c>
      <c r="AI1091" s="1"/>
      <c r="AJ1091" s="1"/>
      <c r="AK1091" s="1"/>
      <c r="AL1091" s="6" t="str">
        <f t="array" ref="AL1091">IFERROR(IFS(XLOOKUP(B1091, 'Kit Delivery Status'!$U:$U, 'Kit Delivery Status'!$K:$K) = "Complete", "DELIVERED", XLOOKUP(B1091, 'Kit Delivery Status'!$U:$U, 'Kit Delivery Status'!$K:$K) = "Issue", "ISSUE"), "")</f>
        <v/>
      </c>
      <c r="AM1091" s="6"/>
    </row>
    <row r="1092">
      <c r="A1092" s="5" t="s">
        <v>5637</v>
      </c>
      <c r="B1092" s="1" t="s">
        <v>5638</v>
      </c>
      <c r="C1092" s="1" t="s">
        <v>5639</v>
      </c>
      <c r="D1092" s="2">
        <v>8.477076475E9</v>
      </c>
      <c r="E1092" s="1" t="s">
        <v>5640</v>
      </c>
      <c r="F1092" s="1"/>
      <c r="G1092" s="1" t="s">
        <v>5641</v>
      </c>
      <c r="H1092" s="1" t="s">
        <v>1019</v>
      </c>
      <c r="I1092" s="1">
        <v>60062.0</v>
      </c>
      <c r="J1092" s="1" t="s">
        <v>752</v>
      </c>
      <c r="K1092" s="1" t="s">
        <v>66</v>
      </c>
      <c r="L1092" s="1" t="s">
        <v>3321</v>
      </c>
      <c r="M1092" s="1">
        <v>210.0</v>
      </c>
      <c r="N1092" s="1" t="s">
        <v>1152</v>
      </c>
      <c r="O1092" s="3" t="s">
        <v>5642</v>
      </c>
      <c r="P1092" s="18">
        <v>45883.0</v>
      </c>
      <c r="Q1092" s="1" t="s">
        <v>1152</v>
      </c>
      <c r="R1092" s="1"/>
      <c r="S1092" s="1" t="s">
        <v>1152</v>
      </c>
      <c r="T1092" s="1" t="s">
        <v>1152</v>
      </c>
      <c r="U1092" s="1" t="s">
        <v>982</v>
      </c>
      <c r="V1092" s="4" t="s">
        <v>5642</v>
      </c>
      <c r="W1092" s="1"/>
      <c r="X1092" s="18">
        <v>45883.0</v>
      </c>
      <c r="Y1092" s="1"/>
      <c r="Z1092" s="1"/>
      <c r="AA1092" s="1"/>
      <c r="AB1092" s="1"/>
      <c r="AC1092" s="1" t="s">
        <v>1925</v>
      </c>
      <c r="AD1092" s="1"/>
      <c r="AE1092" s="1" t="s">
        <v>1152</v>
      </c>
      <c r="AF1092" s="1"/>
      <c r="AG1092" s="1"/>
      <c r="AH1092" s="1" t="s">
        <v>1152</v>
      </c>
      <c r="AI1092" s="1"/>
      <c r="AJ1092" s="1"/>
      <c r="AK1092" s="1"/>
      <c r="AL1092" s="6" t="str">
        <f t="array" ref="AL1092">IFERROR(IFS(XLOOKUP(B1092, 'Kit Delivery Status'!$U:$U, 'Kit Delivery Status'!$K:$K) = "Complete", "DELIVERED", XLOOKUP(B1092, 'Kit Delivery Status'!$U:$U, 'Kit Delivery Status'!$K:$K) = "Issue", "ISSUE"), "")</f>
        <v/>
      </c>
      <c r="AM1092" s="6"/>
    </row>
    <row r="1093">
      <c r="A1093" s="5" t="s">
        <v>5643</v>
      </c>
      <c r="B1093" s="1" t="s">
        <v>5644</v>
      </c>
      <c r="C1093" s="1" t="s">
        <v>5645</v>
      </c>
      <c r="D1093" s="2">
        <v>1.6107319348E10</v>
      </c>
      <c r="E1093" s="1" t="s">
        <v>5646</v>
      </c>
      <c r="F1093" s="1" t="s">
        <v>5647</v>
      </c>
      <c r="G1093" s="1" t="s">
        <v>1254</v>
      </c>
      <c r="H1093" s="1" t="s">
        <v>1233</v>
      </c>
      <c r="I1093" s="1">
        <v>19380.0</v>
      </c>
      <c r="J1093" s="1" t="s">
        <v>752</v>
      </c>
      <c r="K1093" s="1" t="s">
        <v>51</v>
      </c>
      <c r="L1093" s="1" t="s">
        <v>3293</v>
      </c>
      <c r="M1093" s="1">
        <v>1.0</v>
      </c>
      <c r="N1093" s="1" t="s">
        <v>2487</v>
      </c>
      <c r="O1093" s="3"/>
      <c r="P1093" s="18">
        <v>45891.0</v>
      </c>
      <c r="Q1093" s="1" t="s">
        <v>2502</v>
      </c>
      <c r="R1093" s="1" t="s">
        <v>5647</v>
      </c>
      <c r="S1093" s="1" t="s">
        <v>2487</v>
      </c>
      <c r="T1093" s="1" t="s">
        <v>2487</v>
      </c>
      <c r="U1093" s="1"/>
      <c r="V1093" s="4"/>
      <c r="W1093" s="1" t="s">
        <v>5647</v>
      </c>
      <c r="X1093" s="18">
        <v>45891.0</v>
      </c>
      <c r="Y1093" s="1" t="s">
        <v>2502</v>
      </c>
      <c r="Z1093" s="1"/>
      <c r="AA1093" s="1" t="s">
        <v>5647</v>
      </c>
      <c r="AB1093" s="1" t="s">
        <v>124</v>
      </c>
      <c r="AC1093" s="1" t="s">
        <v>1925</v>
      </c>
      <c r="AD1093" s="1"/>
      <c r="AE1093" s="1" t="s">
        <v>1152</v>
      </c>
      <c r="AF1093" s="1"/>
      <c r="AG1093" s="1"/>
      <c r="AH1093" s="1" t="s">
        <v>1152</v>
      </c>
      <c r="AI1093" s="1"/>
      <c r="AJ1093" s="1"/>
      <c r="AK1093" s="1"/>
      <c r="AL1093" s="6" t="str">
        <f t="array" ref="AL1093">IFERROR(IFS(XLOOKUP(B1093, 'Kit Delivery Status'!$U:$U, 'Kit Delivery Status'!$K:$K) = "Complete", "DELIVERED", XLOOKUP(B1093, 'Kit Delivery Status'!$U:$U, 'Kit Delivery Status'!$K:$K) = "Issue", "ISSUE"), "")</f>
        <v/>
      </c>
      <c r="AM1093" s="6"/>
    </row>
    <row r="1094">
      <c r="A1094" s="5" t="s">
        <v>5643</v>
      </c>
      <c r="B1094" s="1" t="s">
        <v>5644</v>
      </c>
      <c r="C1094" s="1" t="s">
        <v>5645</v>
      </c>
      <c r="D1094" s="2">
        <v>1.6107319348E10</v>
      </c>
      <c r="E1094" s="1" t="s">
        <v>5646</v>
      </c>
      <c r="F1094" s="1" t="s">
        <v>5647</v>
      </c>
      <c r="G1094" s="1" t="s">
        <v>1254</v>
      </c>
      <c r="H1094" s="1" t="s">
        <v>1233</v>
      </c>
      <c r="I1094" s="1">
        <v>19380.0</v>
      </c>
      <c r="J1094" s="1" t="s">
        <v>752</v>
      </c>
      <c r="K1094" s="1" t="s">
        <v>95</v>
      </c>
      <c r="L1094" s="1" t="s">
        <v>3327</v>
      </c>
      <c r="M1094" s="1">
        <v>49.0</v>
      </c>
      <c r="N1094" s="1" t="s">
        <v>2487</v>
      </c>
      <c r="O1094" s="3"/>
      <c r="P1094" s="18">
        <v>45891.0</v>
      </c>
      <c r="Q1094" s="1" t="s">
        <v>2502</v>
      </c>
      <c r="R1094" s="1" t="s">
        <v>5647</v>
      </c>
      <c r="S1094" s="1" t="s">
        <v>2487</v>
      </c>
      <c r="T1094" s="1" t="s">
        <v>2487</v>
      </c>
      <c r="U1094" s="1"/>
      <c r="V1094" s="4"/>
      <c r="W1094" s="1" t="s">
        <v>5647</v>
      </c>
      <c r="X1094" s="18">
        <v>45891.0</v>
      </c>
      <c r="Y1094" s="1" t="s">
        <v>2502</v>
      </c>
      <c r="Z1094" s="1"/>
      <c r="AA1094" s="1" t="s">
        <v>5647</v>
      </c>
      <c r="AB1094" s="1" t="s">
        <v>124</v>
      </c>
      <c r="AC1094" s="1" t="s">
        <v>5648</v>
      </c>
      <c r="AD1094" s="1"/>
      <c r="AE1094" s="1" t="s">
        <v>1152</v>
      </c>
      <c r="AF1094" s="1"/>
      <c r="AG1094" s="1"/>
      <c r="AH1094" s="1" t="s">
        <v>1152</v>
      </c>
      <c r="AI1094" s="1"/>
      <c r="AJ1094" s="1"/>
      <c r="AK1094" s="1"/>
      <c r="AL1094" s="6" t="str">
        <f t="array" ref="AL1094">IFERROR(IFS(XLOOKUP(B1094, 'Kit Delivery Status'!$U:$U, 'Kit Delivery Status'!$K:$K) = "Complete", "DELIVERED", XLOOKUP(B1094, 'Kit Delivery Status'!$U:$U, 'Kit Delivery Status'!$K:$K) = "Issue", "ISSUE"), "")</f>
        <v/>
      </c>
      <c r="AM1094" s="6"/>
    </row>
    <row r="1095">
      <c r="A1095" s="5" t="s">
        <v>5649</v>
      </c>
      <c r="B1095" s="1" t="s">
        <v>5650</v>
      </c>
      <c r="C1095" s="1" t="s">
        <v>5651</v>
      </c>
      <c r="D1095" s="2">
        <v>8.173132347E9</v>
      </c>
      <c r="E1095" s="1" t="s">
        <v>5652</v>
      </c>
      <c r="F1095" s="1"/>
      <c r="G1095" s="1" t="s">
        <v>5653</v>
      </c>
      <c r="H1095" s="1" t="s">
        <v>1583</v>
      </c>
      <c r="I1095" s="1">
        <v>76034.0</v>
      </c>
      <c r="J1095" s="1" t="s">
        <v>752</v>
      </c>
      <c r="K1095" s="1" t="s">
        <v>66</v>
      </c>
      <c r="L1095" s="1" t="s">
        <v>3321</v>
      </c>
      <c r="M1095" s="1">
        <v>210.0</v>
      </c>
      <c r="N1095" s="1" t="s">
        <v>1152</v>
      </c>
      <c r="O1095" s="3" t="s">
        <v>1432</v>
      </c>
      <c r="P1095" s="18">
        <v>45883.0</v>
      </c>
      <c r="Q1095" s="1" t="s">
        <v>1152</v>
      </c>
      <c r="R1095" s="1"/>
      <c r="S1095" s="1" t="s">
        <v>1152</v>
      </c>
      <c r="T1095" s="1" t="s">
        <v>1152</v>
      </c>
      <c r="U1095" s="1" t="s">
        <v>1487</v>
      </c>
      <c r="V1095" s="4" t="s">
        <v>1432</v>
      </c>
      <c r="W1095" s="1"/>
      <c r="X1095" s="18">
        <v>45883.0</v>
      </c>
      <c r="Y1095" s="1"/>
      <c r="Z1095" s="1"/>
      <c r="AA1095" s="1"/>
      <c r="AB1095" s="1"/>
      <c r="AC1095" s="1" t="s">
        <v>1925</v>
      </c>
      <c r="AD1095" s="1"/>
      <c r="AE1095" s="1" t="s">
        <v>1152</v>
      </c>
      <c r="AF1095" s="1"/>
      <c r="AG1095" s="1"/>
      <c r="AH1095" s="1" t="s">
        <v>1152</v>
      </c>
      <c r="AI1095" s="1"/>
      <c r="AJ1095" s="1"/>
      <c r="AK1095" s="1"/>
      <c r="AL1095" s="6" t="str">
        <f t="array" ref="AL1095">IFERROR(IFS(XLOOKUP(B1095, 'Kit Delivery Status'!$U:$U, 'Kit Delivery Status'!$K:$K) = "Complete", "DELIVERED", XLOOKUP(B1095, 'Kit Delivery Status'!$U:$U, 'Kit Delivery Status'!$K:$K) = "Issue", "ISSUE"), "")</f>
        <v/>
      </c>
      <c r="AM1095" s="6"/>
    </row>
    <row r="1096">
      <c r="A1096" s="5" t="s">
        <v>5654</v>
      </c>
      <c r="B1096" s="1" t="s">
        <v>5655</v>
      </c>
      <c r="C1096" s="1" t="s">
        <v>5656</v>
      </c>
      <c r="D1096" s="2">
        <v>7.183085618E9</v>
      </c>
      <c r="E1096" s="1" t="s">
        <v>5657</v>
      </c>
      <c r="F1096" s="1"/>
      <c r="G1096" s="1" t="s">
        <v>751</v>
      </c>
      <c r="H1096" s="1" t="s">
        <v>751</v>
      </c>
      <c r="I1096" s="1">
        <v>10031.0</v>
      </c>
      <c r="J1096" s="1" t="s">
        <v>752</v>
      </c>
      <c r="K1096" s="1" t="s">
        <v>51</v>
      </c>
      <c r="L1096" s="1" t="s">
        <v>3293</v>
      </c>
      <c r="M1096" s="1">
        <v>1.0</v>
      </c>
      <c r="N1096" s="1" t="s">
        <v>2461</v>
      </c>
      <c r="O1096" s="3" t="s">
        <v>5658</v>
      </c>
      <c r="P1096" s="18">
        <v>45887.0</v>
      </c>
      <c r="Q1096" s="1" t="s">
        <v>2463</v>
      </c>
      <c r="R1096" s="1"/>
      <c r="S1096" s="1" t="s">
        <v>2461</v>
      </c>
      <c r="T1096" s="1" t="s">
        <v>2461</v>
      </c>
      <c r="U1096" s="1" t="s">
        <v>3713</v>
      </c>
      <c r="V1096" s="4" t="s">
        <v>5658</v>
      </c>
      <c r="W1096" s="1"/>
      <c r="X1096" s="18">
        <v>45887.0</v>
      </c>
      <c r="Y1096" s="1" t="s">
        <v>1030</v>
      </c>
      <c r="Z1096" s="1"/>
      <c r="AA1096" s="1"/>
      <c r="AB1096" s="1" t="s">
        <v>52</v>
      </c>
      <c r="AC1096" s="1" t="s">
        <v>1925</v>
      </c>
      <c r="AD1096" s="1"/>
      <c r="AE1096" s="1" t="s">
        <v>1152</v>
      </c>
      <c r="AF1096" s="1"/>
      <c r="AG1096" s="1"/>
      <c r="AH1096" s="1" t="s">
        <v>1152</v>
      </c>
      <c r="AI1096" s="1"/>
      <c r="AJ1096" s="1"/>
      <c r="AK1096" s="1"/>
      <c r="AL1096" s="6" t="str">
        <f t="array" ref="AL1096">IFERROR(IFS(XLOOKUP(B1096, 'Kit Delivery Status'!$U:$U, 'Kit Delivery Status'!$K:$K) = "Complete", "DELIVERED", XLOOKUP(B1096, 'Kit Delivery Status'!$U:$U, 'Kit Delivery Status'!$K:$K) = "Issue", "ISSUE"), "")</f>
        <v/>
      </c>
      <c r="AM1096" s="6"/>
    </row>
    <row r="1097">
      <c r="A1097" s="5" t="s">
        <v>5659</v>
      </c>
      <c r="B1097" s="1" t="s">
        <v>5660</v>
      </c>
      <c r="C1097" s="1" t="s">
        <v>3828</v>
      </c>
      <c r="D1097" s="2">
        <v>1.3025216652E10</v>
      </c>
      <c r="E1097" s="1" t="s">
        <v>3829</v>
      </c>
      <c r="F1097" s="1"/>
      <c r="G1097" s="1" t="s">
        <v>3830</v>
      </c>
      <c r="H1097" s="1" t="s">
        <v>3063</v>
      </c>
      <c r="I1097" s="1">
        <v>19806.0</v>
      </c>
      <c r="J1097" s="1" t="s">
        <v>752</v>
      </c>
      <c r="K1097" s="1" t="s">
        <v>66</v>
      </c>
      <c r="L1097" s="1" t="s">
        <v>3350</v>
      </c>
      <c r="M1097" s="1">
        <v>145.0</v>
      </c>
      <c r="N1097" s="1" t="s">
        <v>1152</v>
      </c>
      <c r="O1097" s="3" t="s">
        <v>5661</v>
      </c>
      <c r="P1097" s="18">
        <v>45890.0</v>
      </c>
      <c r="Q1097" s="1" t="s">
        <v>1152</v>
      </c>
      <c r="R1097" s="1"/>
      <c r="S1097" s="1" t="s">
        <v>1152</v>
      </c>
      <c r="T1097" s="1" t="s">
        <v>1152</v>
      </c>
      <c r="U1097" s="1" t="s">
        <v>1642</v>
      </c>
      <c r="V1097" s="4" t="s">
        <v>5661</v>
      </c>
      <c r="W1097" s="1"/>
      <c r="X1097" s="18">
        <v>45890.0</v>
      </c>
      <c r="Y1097" s="1"/>
      <c r="Z1097" s="1"/>
      <c r="AA1097" s="1"/>
      <c r="AB1097" s="1"/>
      <c r="AC1097" s="1" t="s">
        <v>1925</v>
      </c>
      <c r="AD1097" s="1"/>
      <c r="AE1097" s="1" t="s">
        <v>1152</v>
      </c>
      <c r="AF1097" s="1"/>
      <c r="AG1097" s="1"/>
      <c r="AH1097" s="1" t="s">
        <v>1152</v>
      </c>
      <c r="AI1097" s="1"/>
      <c r="AJ1097" s="1"/>
      <c r="AK1097" s="1"/>
      <c r="AL1097" s="6" t="str">
        <f t="array" ref="AL1097">IFERROR(IFS(XLOOKUP(B1097, 'Kit Delivery Status'!$U:$U, 'Kit Delivery Status'!$K:$K) = "Complete", "DELIVERED", XLOOKUP(B1097, 'Kit Delivery Status'!$U:$U, 'Kit Delivery Status'!$K:$K) = "Issue", "ISSUE"), "")</f>
        <v/>
      </c>
      <c r="AM1097" s="6"/>
    </row>
    <row r="1098">
      <c r="A1098" s="5" t="s">
        <v>5662</v>
      </c>
      <c r="B1098" s="1" t="s">
        <v>5663</v>
      </c>
      <c r="C1098" s="1" t="s">
        <v>5664</v>
      </c>
      <c r="D1098" s="2">
        <v>9.7388529E9</v>
      </c>
      <c r="E1098" s="1" t="s">
        <v>5665</v>
      </c>
      <c r="F1098" s="1"/>
      <c r="G1098" s="1" t="s">
        <v>1072</v>
      </c>
      <c r="H1098" s="1" t="s">
        <v>1019</v>
      </c>
      <c r="I1098" s="1">
        <v>60601.0</v>
      </c>
      <c r="J1098" s="1" t="s">
        <v>752</v>
      </c>
      <c r="K1098" s="1" t="s">
        <v>95</v>
      </c>
      <c r="L1098" s="1" t="s">
        <v>3327</v>
      </c>
      <c r="M1098" s="1">
        <v>49.0</v>
      </c>
      <c r="N1098" s="1" t="s">
        <v>2461</v>
      </c>
      <c r="O1098" s="3" t="s">
        <v>5666</v>
      </c>
      <c r="P1098" s="18">
        <v>45883.0</v>
      </c>
      <c r="Q1098" s="1" t="s">
        <v>2463</v>
      </c>
      <c r="R1098" s="1"/>
      <c r="S1098" s="1" t="s">
        <v>2461</v>
      </c>
      <c r="T1098" s="1" t="s">
        <v>2461</v>
      </c>
      <c r="U1098" s="1" t="s">
        <v>1021</v>
      </c>
      <c r="V1098" s="4" t="s">
        <v>5666</v>
      </c>
      <c r="W1098" s="1"/>
      <c r="X1098" s="18">
        <v>45883.0</v>
      </c>
      <c r="Y1098" s="1" t="s">
        <v>1030</v>
      </c>
      <c r="Z1098" s="1"/>
      <c r="AA1098" s="1"/>
      <c r="AB1098" s="1" t="s">
        <v>52</v>
      </c>
      <c r="AC1098" s="1" t="s">
        <v>5667</v>
      </c>
      <c r="AD1098" s="1"/>
      <c r="AE1098" s="1" t="s">
        <v>1152</v>
      </c>
      <c r="AF1098" s="1"/>
      <c r="AG1098" s="1"/>
      <c r="AH1098" s="1" t="s">
        <v>1152</v>
      </c>
      <c r="AI1098" s="1"/>
      <c r="AJ1098" s="1"/>
      <c r="AK1098" s="1"/>
      <c r="AL1098" s="6" t="str">
        <f t="array" ref="AL1098">IFERROR(IFS(XLOOKUP(B1098, 'Kit Delivery Status'!$U:$U, 'Kit Delivery Status'!$K:$K) = "Complete", "DELIVERED", XLOOKUP(B1098, 'Kit Delivery Status'!$U:$U, 'Kit Delivery Status'!$K:$K) = "Issue", "ISSUE"), "")</f>
        <v/>
      </c>
      <c r="AM1098" s="6"/>
    </row>
    <row r="1099">
      <c r="A1099" s="5" t="s">
        <v>5668</v>
      </c>
      <c r="B1099" s="1" t="s">
        <v>5669</v>
      </c>
      <c r="C1099" s="1" t="s">
        <v>5670</v>
      </c>
      <c r="D1099" s="2">
        <v>3.14319707E9</v>
      </c>
      <c r="E1099" s="1" t="s">
        <v>5671</v>
      </c>
      <c r="F1099" s="1"/>
      <c r="G1099" s="1" t="s">
        <v>5672</v>
      </c>
      <c r="H1099" s="1" t="s">
        <v>1053</v>
      </c>
      <c r="I1099" s="1">
        <v>7920.0</v>
      </c>
      <c r="J1099" s="1" t="s">
        <v>752</v>
      </c>
      <c r="K1099" s="1" t="s">
        <v>51</v>
      </c>
      <c r="L1099" s="1" t="s">
        <v>3293</v>
      </c>
      <c r="M1099" s="1">
        <v>1.0</v>
      </c>
      <c r="N1099" s="1" t="s">
        <v>2461</v>
      </c>
      <c r="O1099" s="3" t="s">
        <v>2132</v>
      </c>
      <c r="P1099" s="18">
        <v>45878.0</v>
      </c>
      <c r="Q1099" s="1" t="s">
        <v>3418</v>
      </c>
      <c r="R1099" s="1"/>
      <c r="S1099" s="1" t="s">
        <v>2461</v>
      </c>
      <c r="T1099" s="1" t="s">
        <v>2461</v>
      </c>
      <c r="U1099" s="1" t="s">
        <v>1812</v>
      </c>
      <c r="V1099" s="4" t="s">
        <v>2132</v>
      </c>
      <c r="W1099" s="1"/>
      <c r="X1099" s="18">
        <v>45878.0</v>
      </c>
      <c r="Y1099" s="1" t="s">
        <v>1103</v>
      </c>
      <c r="Z1099" s="1"/>
      <c r="AA1099" s="1"/>
      <c r="AB1099" s="1" t="s">
        <v>52</v>
      </c>
      <c r="AC1099" s="1" t="s">
        <v>1925</v>
      </c>
      <c r="AD1099" s="1"/>
      <c r="AE1099" s="1" t="s">
        <v>1152</v>
      </c>
      <c r="AF1099" s="1"/>
      <c r="AG1099" s="1"/>
      <c r="AH1099" s="1" t="s">
        <v>1152</v>
      </c>
      <c r="AI1099" s="1"/>
      <c r="AJ1099" s="1"/>
      <c r="AK1099" s="1"/>
      <c r="AL1099" s="6" t="str">
        <f t="array" ref="AL1099">IFERROR(IFS(XLOOKUP(B1099, 'Kit Delivery Status'!$U:$U, 'Kit Delivery Status'!$K:$K) = "Complete", "DELIVERED", XLOOKUP(B1099, 'Kit Delivery Status'!$U:$U, 'Kit Delivery Status'!$K:$K) = "Issue", "ISSUE"), "")</f>
        <v/>
      </c>
      <c r="AM1099" s="6"/>
    </row>
    <row r="1100">
      <c r="A1100" s="5" t="s">
        <v>5673</v>
      </c>
      <c r="B1100" s="1" t="s">
        <v>5674</v>
      </c>
      <c r="C1100" s="1"/>
      <c r="D1100" s="2">
        <v>8.087285613E9</v>
      </c>
      <c r="E1100" s="1" t="s">
        <v>5675</v>
      </c>
      <c r="F1100" s="1" t="s">
        <v>5676</v>
      </c>
      <c r="G1100" s="1" t="s">
        <v>5677</v>
      </c>
      <c r="H1100" s="1" t="s">
        <v>2486</v>
      </c>
      <c r="I1100" s="1">
        <v>96792.0</v>
      </c>
      <c r="J1100" s="1" t="s">
        <v>752</v>
      </c>
      <c r="K1100" s="1" t="s">
        <v>51</v>
      </c>
      <c r="L1100" s="1" t="s">
        <v>3293</v>
      </c>
      <c r="M1100" s="1">
        <v>1.0</v>
      </c>
      <c r="N1100" s="1" t="s">
        <v>2487</v>
      </c>
      <c r="O1100" s="3"/>
      <c r="P1100" s="18">
        <v>45887.0</v>
      </c>
      <c r="Q1100" s="1" t="s">
        <v>3185</v>
      </c>
      <c r="R1100" s="1" t="s">
        <v>5676</v>
      </c>
      <c r="S1100" s="1" t="s">
        <v>2487</v>
      </c>
      <c r="T1100" s="1" t="s">
        <v>2487</v>
      </c>
      <c r="U1100" s="1"/>
      <c r="V1100" s="4"/>
      <c r="W1100" s="1" t="s">
        <v>5676</v>
      </c>
      <c r="X1100" s="18">
        <v>45887.0</v>
      </c>
      <c r="Y1100" s="1" t="s">
        <v>3186</v>
      </c>
      <c r="Z1100" s="1"/>
      <c r="AA1100" s="1" t="s">
        <v>5676</v>
      </c>
      <c r="AB1100" s="1" t="s">
        <v>124</v>
      </c>
      <c r="AC1100" s="1" t="s">
        <v>1925</v>
      </c>
      <c r="AD1100" s="1"/>
      <c r="AE1100" s="1" t="s">
        <v>1152</v>
      </c>
      <c r="AF1100" s="1"/>
      <c r="AG1100" s="1"/>
      <c r="AH1100" s="1" t="s">
        <v>1152</v>
      </c>
      <c r="AI1100" s="1"/>
      <c r="AJ1100" s="1"/>
      <c r="AK1100" s="1"/>
      <c r="AL1100" s="6" t="str">
        <f t="array" ref="AL1100">IFERROR(IFS(XLOOKUP(B1100, 'Kit Delivery Status'!$U:$U, 'Kit Delivery Status'!$K:$K) = "Complete", "DELIVERED", XLOOKUP(B1100, 'Kit Delivery Status'!$U:$U, 'Kit Delivery Status'!$K:$K) = "Issue", "ISSUE"), "")</f>
        <v/>
      </c>
      <c r="AM1100" s="6"/>
    </row>
    <row r="1101">
      <c r="A1101" s="5" t="s">
        <v>5678</v>
      </c>
      <c r="B1101" s="1" t="s">
        <v>5679</v>
      </c>
      <c r="C1101" s="1"/>
      <c r="D1101" s="2">
        <v>9.707613003E9</v>
      </c>
      <c r="E1101" s="1" t="s">
        <v>5680</v>
      </c>
      <c r="F1101" s="1"/>
      <c r="G1101" s="1" t="s">
        <v>5681</v>
      </c>
      <c r="H1101" s="1" t="s">
        <v>1891</v>
      </c>
      <c r="I1101" s="1">
        <v>80601.0</v>
      </c>
      <c r="J1101" s="1" t="s">
        <v>752</v>
      </c>
      <c r="K1101" s="1" t="s">
        <v>51</v>
      </c>
      <c r="L1101" s="1" t="s">
        <v>3293</v>
      </c>
      <c r="M1101" s="1">
        <v>1.0</v>
      </c>
      <c r="N1101" s="1" t="s">
        <v>2461</v>
      </c>
      <c r="O1101" s="3" t="s">
        <v>5682</v>
      </c>
      <c r="P1101" s="18">
        <v>45891.0</v>
      </c>
      <c r="Q1101" s="1" t="s">
        <v>2502</v>
      </c>
      <c r="R1101" s="1"/>
      <c r="S1101" s="1" t="s">
        <v>2461</v>
      </c>
      <c r="T1101" s="1" t="s">
        <v>2461</v>
      </c>
      <c r="U1101" s="1" t="s">
        <v>1167</v>
      </c>
      <c r="V1101" s="4" t="s">
        <v>5682</v>
      </c>
      <c r="W1101" s="1"/>
      <c r="X1101" s="18">
        <v>45891.0</v>
      </c>
      <c r="Y1101" s="1" t="s">
        <v>1630</v>
      </c>
      <c r="Z1101" s="1"/>
      <c r="AA1101" s="1"/>
      <c r="AB1101" s="1" t="s">
        <v>52</v>
      </c>
      <c r="AC1101" s="1" t="s">
        <v>1925</v>
      </c>
      <c r="AD1101" s="1"/>
      <c r="AE1101" s="1" t="s">
        <v>1152</v>
      </c>
      <c r="AF1101" s="1"/>
      <c r="AG1101" s="1"/>
      <c r="AH1101" s="1" t="s">
        <v>1152</v>
      </c>
      <c r="AI1101" s="1"/>
      <c r="AJ1101" s="1"/>
      <c r="AK1101" s="1"/>
      <c r="AL1101" s="6" t="str">
        <f t="array" ref="AL1101">IFERROR(IFS(XLOOKUP(B1101, 'Kit Delivery Status'!$U:$U, 'Kit Delivery Status'!$K:$K) = "Complete", "DELIVERED", XLOOKUP(B1101, 'Kit Delivery Status'!$U:$U, 'Kit Delivery Status'!$K:$K) = "Issue", "ISSUE"), "")</f>
        <v/>
      </c>
      <c r="AM1101" s="6"/>
    </row>
    <row r="1102">
      <c r="A1102" s="5" t="s">
        <v>5683</v>
      </c>
      <c r="B1102" s="1" t="s">
        <v>5684</v>
      </c>
      <c r="C1102" s="1" t="s">
        <v>5685</v>
      </c>
      <c r="D1102" s="2"/>
      <c r="E1102" s="1" t="s">
        <v>5686</v>
      </c>
      <c r="F1102" s="1"/>
      <c r="G1102" s="1" t="s">
        <v>751</v>
      </c>
      <c r="H1102" s="1" t="s">
        <v>751</v>
      </c>
      <c r="I1102" s="1">
        <v>10024.0</v>
      </c>
      <c r="J1102" s="1" t="s">
        <v>752</v>
      </c>
      <c r="K1102" s="1" t="s">
        <v>95</v>
      </c>
      <c r="L1102" s="1" t="s">
        <v>3327</v>
      </c>
      <c r="M1102" s="1">
        <v>49.0</v>
      </c>
      <c r="N1102" s="1" t="s">
        <v>2461</v>
      </c>
      <c r="O1102" s="3" t="s">
        <v>4429</v>
      </c>
      <c r="P1102" s="18">
        <v>45891.0</v>
      </c>
      <c r="Q1102" s="1" t="s">
        <v>3185</v>
      </c>
      <c r="R1102" s="1"/>
      <c r="S1102" s="1" t="s">
        <v>2461</v>
      </c>
      <c r="T1102" s="1" t="s">
        <v>2461</v>
      </c>
      <c r="U1102" s="1" t="s">
        <v>1456</v>
      </c>
      <c r="V1102" s="4" t="s">
        <v>4429</v>
      </c>
      <c r="W1102" s="1"/>
      <c r="X1102" s="18">
        <v>45891.0</v>
      </c>
      <c r="Y1102" s="1" t="s">
        <v>3186</v>
      </c>
      <c r="Z1102" s="1"/>
      <c r="AA1102" s="1"/>
      <c r="AB1102" s="1" t="s">
        <v>52</v>
      </c>
      <c r="AC1102" s="1" t="s">
        <v>5687</v>
      </c>
      <c r="AD1102" s="1"/>
      <c r="AE1102" s="1" t="s">
        <v>1152</v>
      </c>
      <c r="AF1102" s="1"/>
      <c r="AG1102" s="1"/>
      <c r="AH1102" s="1" t="s">
        <v>1152</v>
      </c>
      <c r="AI1102" s="1"/>
      <c r="AJ1102" s="1"/>
      <c r="AK1102" s="1"/>
      <c r="AL1102" s="6" t="str">
        <f t="array" ref="AL1102">IFERROR(IFS(XLOOKUP(B1102, 'Kit Delivery Status'!$U:$U, 'Kit Delivery Status'!$K:$K) = "Complete", "DELIVERED", XLOOKUP(B1102, 'Kit Delivery Status'!$U:$U, 'Kit Delivery Status'!$K:$K) = "Issue", "ISSUE"), "")</f>
        <v/>
      </c>
      <c r="AM1102" s="6"/>
    </row>
    <row r="1103">
      <c r="A1103" s="5" t="s">
        <v>5688</v>
      </c>
      <c r="B1103" s="1" t="s">
        <v>5689</v>
      </c>
      <c r="C1103" s="1" t="s">
        <v>5690</v>
      </c>
      <c r="D1103" s="2">
        <v>9.788502258E9</v>
      </c>
      <c r="E1103" s="1" t="s">
        <v>5691</v>
      </c>
      <c r="F1103" s="1"/>
      <c r="G1103" s="1" t="s">
        <v>5692</v>
      </c>
      <c r="H1103" s="1" t="s">
        <v>1121</v>
      </c>
      <c r="I1103" s="1">
        <v>1886.0</v>
      </c>
      <c r="J1103" s="1" t="s">
        <v>752</v>
      </c>
      <c r="K1103" s="1" t="s">
        <v>66</v>
      </c>
      <c r="L1103" s="1" t="s">
        <v>3885</v>
      </c>
      <c r="M1103" s="1">
        <v>180.0</v>
      </c>
      <c r="N1103" s="1" t="s">
        <v>1152</v>
      </c>
      <c r="O1103" s="3" t="s">
        <v>5693</v>
      </c>
      <c r="P1103" s="18">
        <v>45883.0</v>
      </c>
      <c r="Q1103" s="1" t="s">
        <v>1152</v>
      </c>
      <c r="R1103" s="1"/>
      <c r="S1103" s="1" t="s">
        <v>1152</v>
      </c>
      <c r="T1103" s="1" t="s">
        <v>1152</v>
      </c>
      <c r="U1103" s="1" t="s">
        <v>1749</v>
      </c>
      <c r="V1103" s="4" t="s">
        <v>5693</v>
      </c>
      <c r="W1103" s="1"/>
      <c r="X1103" s="18">
        <v>45883.0</v>
      </c>
      <c r="Y1103" s="1"/>
      <c r="Z1103" s="1"/>
      <c r="AA1103" s="1"/>
      <c r="AB1103" s="1"/>
      <c r="AC1103" s="1" t="s">
        <v>1925</v>
      </c>
      <c r="AD1103" s="1"/>
      <c r="AE1103" s="1" t="s">
        <v>1152</v>
      </c>
      <c r="AF1103" s="1"/>
      <c r="AG1103" s="1"/>
      <c r="AH1103" s="1" t="s">
        <v>1152</v>
      </c>
      <c r="AI1103" s="1"/>
      <c r="AJ1103" s="1"/>
      <c r="AK1103" s="1"/>
      <c r="AL1103" s="6" t="str">
        <f t="array" ref="AL1103">IFERROR(IFS(XLOOKUP(B1103, 'Kit Delivery Status'!$U:$U, 'Kit Delivery Status'!$K:$K) = "Complete", "DELIVERED", XLOOKUP(B1103, 'Kit Delivery Status'!$U:$U, 'Kit Delivery Status'!$K:$K) = "Issue", "ISSUE"), "")</f>
        <v/>
      </c>
      <c r="AM1103" s="6"/>
    </row>
    <row r="1104">
      <c r="A1104" s="5" t="s">
        <v>5694</v>
      </c>
      <c r="B1104" s="1" t="s">
        <v>5695</v>
      </c>
      <c r="C1104" s="1" t="s">
        <v>5696</v>
      </c>
      <c r="D1104" s="2">
        <v>2.163470634E9</v>
      </c>
      <c r="E1104" s="1" t="s">
        <v>5697</v>
      </c>
      <c r="F1104" s="1" t="s">
        <v>5698</v>
      </c>
      <c r="G1104" s="1" t="s">
        <v>5699</v>
      </c>
      <c r="H1104" s="1" t="s">
        <v>1155</v>
      </c>
      <c r="I1104" s="1">
        <v>63105.0</v>
      </c>
      <c r="J1104" s="1" t="s">
        <v>752</v>
      </c>
      <c r="K1104" s="1" t="s">
        <v>51</v>
      </c>
      <c r="L1104" s="1" t="s">
        <v>3293</v>
      </c>
      <c r="M1104" s="1">
        <v>1.0</v>
      </c>
      <c r="N1104" s="1" t="s">
        <v>2487</v>
      </c>
      <c r="O1104" s="3"/>
      <c r="P1104" s="18">
        <v>45881.0</v>
      </c>
      <c r="Q1104" s="1" t="s">
        <v>2463</v>
      </c>
      <c r="R1104" s="1" t="s">
        <v>5698</v>
      </c>
      <c r="S1104" s="1" t="s">
        <v>2487</v>
      </c>
      <c r="T1104" s="1" t="s">
        <v>2487</v>
      </c>
      <c r="U1104" s="1"/>
      <c r="V1104" s="4"/>
      <c r="W1104" s="1" t="s">
        <v>5698</v>
      </c>
      <c r="X1104" s="18">
        <v>45881.0</v>
      </c>
      <c r="Y1104" s="1" t="s">
        <v>1030</v>
      </c>
      <c r="Z1104" s="1"/>
      <c r="AA1104" s="1" t="s">
        <v>5698</v>
      </c>
      <c r="AB1104" s="1" t="s">
        <v>124</v>
      </c>
      <c r="AC1104" s="1" t="s">
        <v>1925</v>
      </c>
      <c r="AD1104" s="1"/>
      <c r="AE1104" s="1" t="s">
        <v>1152</v>
      </c>
      <c r="AF1104" s="1"/>
      <c r="AG1104" s="1"/>
      <c r="AH1104" s="1" t="s">
        <v>1152</v>
      </c>
      <c r="AI1104" s="1"/>
      <c r="AJ1104" s="1"/>
      <c r="AK1104" s="1"/>
      <c r="AL1104" s="6" t="str">
        <f t="array" ref="AL1104">IFERROR(IFS(XLOOKUP(B1104, 'Kit Delivery Status'!$U:$U, 'Kit Delivery Status'!$K:$K) = "Complete", "DELIVERED", XLOOKUP(B1104, 'Kit Delivery Status'!$U:$U, 'Kit Delivery Status'!$K:$K) = "Issue", "ISSUE"), "")</f>
        <v/>
      </c>
      <c r="AM1104" s="6"/>
    </row>
    <row r="1105">
      <c r="A1105" s="5" t="s">
        <v>5700</v>
      </c>
      <c r="B1105" s="1" t="s">
        <v>5701</v>
      </c>
      <c r="C1105" s="1" t="s">
        <v>176</v>
      </c>
      <c r="D1105" s="2">
        <v>3.10295778E9</v>
      </c>
      <c r="E1105" s="1" t="s">
        <v>177</v>
      </c>
      <c r="F1105" s="1"/>
      <c r="G1105" s="1" t="s">
        <v>1179</v>
      </c>
      <c r="H1105" s="1" t="s">
        <v>989</v>
      </c>
      <c r="I1105" s="1">
        <v>90272.0</v>
      </c>
      <c r="J1105" s="1" t="s">
        <v>752</v>
      </c>
      <c r="K1105" s="1" t="s">
        <v>51</v>
      </c>
      <c r="L1105" s="1" t="s">
        <v>3293</v>
      </c>
      <c r="M1105" s="1">
        <v>1.0</v>
      </c>
      <c r="N1105" s="1" t="s">
        <v>2461</v>
      </c>
      <c r="O1105" s="3" t="s">
        <v>5635</v>
      </c>
      <c r="P1105" s="18">
        <v>45887.0</v>
      </c>
      <c r="Q1105" s="1" t="s">
        <v>2463</v>
      </c>
      <c r="R1105" s="1"/>
      <c r="S1105" s="1" t="s">
        <v>2461</v>
      </c>
      <c r="T1105" s="1" t="s">
        <v>2461</v>
      </c>
      <c r="U1105" s="1" t="s">
        <v>5702</v>
      </c>
      <c r="V1105" s="4" t="s">
        <v>5635</v>
      </c>
      <c r="W1105" s="1"/>
      <c r="X1105" s="18">
        <v>45887.0</v>
      </c>
      <c r="Y1105" s="1" t="s">
        <v>1030</v>
      </c>
      <c r="Z1105" s="1"/>
      <c r="AA1105" s="1"/>
      <c r="AB1105" s="1" t="s">
        <v>52</v>
      </c>
      <c r="AC1105" s="1" t="s">
        <v>1925</v>
      </c>
      <c r="AD1105" s="1"/>
      <c r="AE1105" s="1" t="s">
        <v>1152</v>
      </c>
      <c r="AF1105" s="1"/>
      <c r="AG1105" s="1"/>
      <c r="AH1105" s="1" t="s">
        <v>1152</v>
      </c>
      <c r="AI1105" s="1"/>
      <c r="AJ1105" s="1"/>
      <c r="AK1105" s="1"/>
      <c r="AL1105" s="6" t="str">
        <f t="array" ref="AL1105">IFERROR(IFS(XLOOKUP(B1105, 'Kit Delivery Status'!$U:$U, 'Kit Delivery Status'!$K:$K) = "Complete", "DELIVERED", XLOOKUP(B1105, 'Kit Delivery Status'!$U:$U, 'Kit Delivery Status'!$K:$K) = "Issue", "ISSUE"), "")</f>
        <v/>
      </c>
      <c r="AM1105" s="6"/>
    </row>
    <row r="1106">
      <c r="A1106" s="5" t="s">
        <v>5703</v>
      </c>
      <c r="B1106" s="1" t="s">
        <v>5704</v>
      </c>
      <c r="C1106" s="1" t="s">
        <v>2661</v>
      </c>
      <c r="D1106" s="2">
        <v>3.10295778E9</v>
      </c>
      <c r="E1106" s="1" t="s">
        <v>177</v>
      </c>
      <c r="F1106" s="1"/>
      <c r="G1106" s="1" t="s">
        <v>1179</v>
      </c>
      <c r="H1106" s="1" t="s">
        <v>989</v>
      </c>
      <c r="I1106" s="1">
        <v>90272.0</v>
      </c>
      <c r="J1106" s="1" t="s">
        <v>752</v>
      </c>
      <c r="K1106" s="1" t="s">
        <v>2131</v>
      </c>
      <c r="L1106" s="1" t="s">
        <v>3321</v>
      </c>
      <c r="M1106" s="1">
        <v>1.0</v>
      </c>
      <c r="N1106" s="1" t="s">
        <v>1152</v>
      </c>
      <c r="O1106" s="3" t="s">
        <v>180</v>
      </c>
      <c r="P1106" s="1" t="s">
        <v>1152</v>
      </c>
      <c r="Q1106" s="1" t="s">
        <v>1152</v>
      </c>
      <c r="R1106" s="1"/>
      <c r="S1106" s="1" t="s">
        <v>1152</v>
      </c>
      <c r="T1106" s="1" t="s">
        <v>1152</v>
      </c>
      <c r="U1106" s="1" t="s">
        <v>948</v>
      </c>
      <c r="V1106" s="4" t="s">
        <v>180</v>
      </c>
      <c r="W1106" s="1"/>
      <c r="X1106" s="18"/>
      <c r="Y1106" s="1"/>
      <c r="Z1106" s="1"/>
      <c r="AA1106" s="1"/>
      <c r="AB1106" s="1"/>
      <c r="AC1106" s="1" t="s">
        <v>1925</v>
      </c>
      <c r="AD1106" s="1"/>
      <c r="AE1106" s="18">
        <v>45876.0</v>
      </c>
      <c r="AF1106" s="1"/>
      <c r="AG1106" s="1"/>
      <c r="AH1106" s="1" t="s">
        <v>1152</v>
      </c>
      <c r="AI1106" s="1"/>
      <c r="AJ1106" s="1"/>
      <c r="AK1106" s="1"/>
      <c r="AL1106" s="6" t="str">
        <f t="array" ref="AL1106">IFERROR(IFS(XLOOKUP(B1106, 'Kit Delivery Status'!$U:$U, 'Kit Delivery Status'!$K:$K) = "Complete", "DELIVERED", XLOOKUP(B1106, 'Kit Delivery Status'!$U:$U, 'Kit Delivery Status'!$K:$K) = "Issue", "ISSUE"), "")</f>
        <v/>
      </c>
      <c r="AM1106" s="6"/>
    </row>
    <row r="1107">
      <c r="A1107" s="5" t="s">
        <v>5705</v>
      </c>
      <c r="B1107" s="1" t="s">
        <v>5706</v>
      </c>
      <c r="C1107" s="1"/>
      <c r="D1107" s="2"/>
      <c r="E1107" s="1" t="s">
        <v>5707</v>
      </c>
      <c r="F1107" s="1"/>
      <c r="G1107" s="1" t="s">
        <v>1886</v>
      </c>
      <c r="H1107" s="1" t="s">
        <v>1155</v>
      </c>
      <c r="I1107" s="1">
        <v>64127.0</v>
      </c>
      <c r="J1107" s="1" t="s">
        <v>752</v>
      </c>
      <c r="K1107" s="1" t="s">
        <v>66</v>
      </c>
      <c r="L1107" s="1" t="s">
        <v>3364</v>
      </c>
      <c r="M1107" s="1">
        <v>115.0</v>
      </c>
      <c r="N1107" s="1" t="s">
        <v>1152</v>
      </c>
      <c r="O1107" s="3" t="s">
        <v>5708</v>
      </c>
      <c r="P1107" s="18">
        <v>45883.0</v>
      </c>
      <c r="Q1107" s="1" t="s">
        <v>1152</v>
      </c>
      <c r="R1107" s="1"/>
      <c r="S1107" s="1" t="s">
        <v>1152</v>
      </c>
      <c r="T1107" s="1" t="s">
        <v>1152</v>
      </c>
      <c r="U1107" s="1" t="s">
        <v>1249</v>
      </c>
      <c r="V1107" s="4" t="s">
        <v>5708</v>
      </c>
      <c r="W1107" s="1"/>
      <c r="X1107" s="18">
        <v>45883.0</v>
      </c>
      <c r="Y1107" s="1"/>
      <c r="Z1107" s="1"/>
      <c r="AA1107" s="1"/>
      <c r="AB1107" s="1"/>
      <c r="AC1107" s="1" t="s">
        <v>1925</v>
      </c>
      <c r="AD1107" s="1"/>
      <c r="AE1107" s="1" t="s">
        <v>1152</v>
      </c>
      <c r="AF1107" s="1"/>
      <c r="AG1107" s="1"/>
      <c r="AH1107" s="1" t="s">
        <v>1152</v>
      </c>
      <c r="AI1107" s="1"/>
      <c r="AJ1107" s="1"/>
      <c r="AK1107" s="1"/>
      <c r="AL1107" s="6" t="str">
        <f t="array" ref="AL1107">IFERROR(IFS(XLOOKUP(B1107, 'Kit Delivery Status'!$U:$U, 'Kit Delivery Status'!$K:$K) = "Complete", "DELIVERED", XLOOKUP(B1107, 'Kit Delivery Status'!$U:$U, 'Kit Delivery Status'!$K:$K) = "Issue", "ISSUE"), "")</f>
        <v/>
      </c>
      <c r="AM1107" s="6"/>
    </row>
    <row r="1108">
      <c r="A1108" s="5" t="s">
        <v>5709</v>
      </c>
      <c r="B1108" s="1" t="s">
        <v>5710</v>
      </c>
      <c r="C1108" s="1" t="s">
        <v>5711</v>
      </c>
      <c r="D1108" s="2">
        <v>13013001073</v>
      </c>
      <c r="E1108" s="1" t="s">
        <v>5712</v>
      </c>
      <c r="F1108" s="1"/>
      <c r="G1108" s="1" t="s">
        <v>1299</v>
      </c>
      <c r="H1108" s="1" t="s">
        <v>1005</v>
      </c>
      <c r="I1108" s="1">
        <v>20817.0</v>
      </c>
      <c r="J1108" s="1" t="s">
        <v>752</v>
      </c>
      <c r="K1108" s="1" t="s">
        <v>51</v>
      </c>
      <c r="L1108" s="1" t="s">
        <v>3293</v>
      </c>
      <c r="M1108" s="1">
        <v>1.0</v>
      </c>
      <c r="N1108" s="1" t="s">
        <v>2461</v>
      </c>
      <c r="O1108" s="3" t="s">
        <v>5713</v>
      </c>
      <c r="P1108" s="18">
        <v>45877.0</v>
      </c>
      <c r="Q1108" s="1" t="s">
        <v>2463</v>
      </c>
      <c r="R1108" s="1"/>
      <c r="S1108" s="1" t="s">
        <v>2461</v>
      </c>
      <c r="T1108" s="1" t="s">
        <v>2461</v>
      </c>
      <c r="U1108" s="1" t="s">
        <v>1794</v>
      </c>
      <c r="V1108" s="4" t="s">
        <v>5713</v>
      </c>
      <c r="W1108" s="1"/>
      <c r="X1108" s="18">
        <v>45877.0</v>
      </c>
      <c r="Y1108" s="1" t="s">
        <v>1030</v>
      </c>
      <c r="Z1108" s="1"/>
      <c r="AA1108" s="1"/>
      <c r="AB1108" s="1" t="s">
        <v>52</v>
      </c>
      <c r="AC1108" s="1" t="s">
        <v>1925</v>
      </c>
      <c r="AD1108" s="1"/>
      <c r="AE1108" s="1" t="s">
        <v>1152</v>
      </c>
      <c r="AF1108" s="1"/>
      <c r="AG1108" s="1"/>
      <c r="AH1108" s="1" t="s">
        <v>1152</v>
      </c>
      <c r="AI1108" s="1"/>
      <c r="AJ1108" s="1"/>
      <c r="AK1108" s="1"/>
      <c r="AL1108" s="6" t="str">
        <f t="array" ref="AL1108">IFERROR(IFS(XLOOKUP(B1108, 'Kit Delivery Status'!$U:$U, 'Kit Delivery Status'!$K:$K) = "Complete", "DELIVERED", XLOOKUP(B1108, 'Kit Delivery Status'!$U:$U, 'Kit Delivery Status'!$K:$K) = "Issue", "ISSUE"), "")</f>
        <v/>
      </c>
      <c r="AM1108" s="6"/>
    </row>
    <row r="1109">
      <c r="A1109" s="5" t="s">
        <v>5714</v>
      </c>
      <c r="B1109" s="1" t="s">
        <v>5715</v>
      </c>
      <c r="C1109" s="1"/>
      <c r="D1109" s="2">
        <v>16464186635</v>
      </c>
      <c r="E1109" s="1" t="s">
        <v>3800</v>
      </c>
      <c r="F1109" s="1"/>
      <c r="G1109" s="1" t="s">
        <v>1697</v>
      </c>
      <c r="H1109" s="1" t="s">
        <v>751</v>
      </c>
      <c r="I1109" s="1">
        <v>11021.0</v>
      </c>
      <c r="J1109" s="1" t="s">
        <v>752</v>
      </c>
      <c r="K1109" s="1" t="s">
        <v>66</v>
      </c>
      <c r="L1109" s="1" t="s">
        <v>3321</v>
      </c>
      <c r="M1109" s="1">
        <v>210.0</v>
      </c>
      <c r="N1109" s="1" t="s">
        <v>1152</v>
      </c>
      <c r="O1109" s="3" t="s">
        <v>5716</v>
      </c>
      <c r="P1109" s="18">
        <v>45883.0</v>
      </c>
      <c r="Q1109" s="1" t="s">
        <v>1152</v>
      </c>
      <c r="R1109" s="1"/>
      <c r="S1109" s="1" t="s">
        <v>1152</v>
      </c>
      <c r="T1109" s="1" t="s">
        <v>1152</v>
      </c>
      <c r="U1109" s="1" t="s">
        <v>1487</v>
      </c>
      <c r="V1109" s="4" t="s">
        <v>5716</v>
      </c>
      <c r="W1109" s="1"/>
      <c r="X1109" s="18">
        <v>45883.0</v>
      </c>
      <c r="Y1109" s="1"/>
      <c r="Z1109" s="1"/>
      <c r="AA1109" s="1"/>
      <c r="AB1109" s="1"/>
      <c r="AC1109" s="1" t="s">
        <v>1925</v>
      </c>
      <c r="AD1109" s="1"/>
      <c r="AE1109" s="1" t="s">
        <v>1152</v>
      </c>
      <c r="AF1109" s="1"/>
      <c r="AG1109" s="1"/>
      <c r="AH1109" s="1" t="s">
        <v>1152</v>
      </c>
      <c r="AI1109" s="1"/>
      <c r="AJ1109" s="1"/>
      <c r="AK1109" s="1"/>
      <c r="AL1109" s="6" t="str">
        <f t="array" ref="AL1109">IFERROR(IFS(XLOOKUP(B1109, 'Kit Delivery Status'!$U:$U, 'Kit Delivery Status'!$K:$K) = "Complete", "DELIVERED", XLOOKUP(B1109, 'Kit Delivery Status'!$U:$U, 'Kit Delivery Status'!$K:$K) = "Issue", "ISSUE"), "")</f>
        <v/>
      </c>
      <c r="AM1109" s="6"/>
    </row>
    <row r="1110">
      <c r="A1110" s="5" t="s">
        <v>5717</v>
      </c>
      <c r="B1110" s="1" t="s">
        <v>5718</v>
      </c>
      <c r="C1110" s="1"/>
      <c r="D1110" s="2">
        <v>5.103842689E9</v>
      </c>
      <c r="E1110" s="1" t="s">
        <v>5719</v>
      </c>
      <c r="F1110" s="1" t="s">
        <v>5720</v>
      </c>
      <c r="G1110" s="1" t="s">
        <v>5721</v>
      </c>
      <c r="H1110" s="1" t="s">
        <v>989</v>
      </c>
      <c r="I1110" s="1">
        <v>94618.0</v>
      </c>
      <c r="J1110" s="1" t="s">
        <v>752</v>
      </c>
      <c r="K1110" s="1" t="s">
        <v>51</v>
      </c>
      <c r="L1110" s="1" t="s">
        <v>5722</v>
      </c>
      <c r="M1110" s="1">
        <v>1.0</v>
      </c>
      <c r="N1110" s="1" t="s">
        <v>2487</v>
      </c>
      <c r="O1110" s="3"/>
      <c r="P1110" s="18">
        <v>45891.0</v>
      </c>
      <c r="Q1110" s="1" t="s">
        <v>1103</v>
      </c>
      <c r="R1110" s="1" t="s">
        <v>5720</v>
      </c>
      <c r="S1110" s="1" t="s">
        <v>124</v>
      </c>
      <c r="T1110" s="1" t="s">
        <v>2487</v>
      </c>
      <c r="U1110" s="1"/>
      <c r="V1110" s="4"/>
      <c r="W1110" s="1" t="s">
        <v>5720</v>
      </c>
      <c r="X1110" s="18">
        <v>45891.0</v>
      </c>
      <c r="Y1110" s="1" t="s">
        <v>1103</v>
      </c>
      <c r="Z1110" s="1"/>
      <c r="AA1110" s="1" t="s">
        <v>5720</v>
      </c>
      <c r="AB1110" s="1" t="s">
        <v>124</v>
      </c>
      <c r="AC1110" s="1" t="s">
        <v>1925</v>
      </c>
      <c r="AD1110" s="1"/>
      <c r="AE1110" s="1" t="s">
        <v>1152</v>
      </c>
      <c r="AF1110" s="1"/>
      <c r="AG1110" s="1"/>
      <c r="AH1110" s="1" t="s">
        <v>1152</v>
      </c>
      <c r="AI1110" s="1"/>
      <c r="AJ1110" s="1"/>
      <c r="AK1110" s="1" t="s">
        <v>1152</v>
      </c>
      <c r="AL1110" s="6" t="str">
        <f t="array" ref="AL1110">IFERROR(IFS(XLOOKUP(B1110, 'Kit Delivery Status'!$U:$U, 'Kit Delivery Status'!$K:$K) = "Complete", "DELIVERED", XLOOKUP(B1110, 'Kit Delivery Status'!$U:$U, 'Kit Delivery Status'!$K:$K) = "Issue", "ISSUE"), "")</f>
        <v/>
      </c>
      <c r="AM1110" s="6"/>
    </row>
    <row r="1111">
      <c r="A1111" s="5" t="s">
        <v>5723</v>
      </c>
      <c r="B1111" s="1" t="s">
        <v>5724</v>
      </c>
      <c r="C1111" s="1" t="s">
        <v>5725</v>
      </c>
      <c r="D1111" s="2">
        <v>9.176082186E9</v>
      </c>
      <c r="E1111" s="1" t="s">
        <v>5726</v>
      </c>
      <c r="F1111" s="1"/>
      <c r="G1111" s="1" t="s">
        <v>2857</v>
      </c>
      <c r="H1111" s="1" t="s">
        <v>1155</v>
      </c>
      <c r="I1111" s="1">
        <v>63105.0</v>
      </c>
      <c r="J1111" s="1" t="s">
        <v>752</v>
      </c>
      <c r="K1111" s="1" t="s">
        <v>51</v>
      </c>
      <c r="L1111" s="1" t="s">
        <v>5722</v>
      </c>
      <c r="M1111" s="1">
        <v>1.0</v>
      </c>
      <c r="N1111" s="1" t="s">
        <v>2461</v>
      </c>
      <c r="O1111" s="3" t="s">
        <v>5727</v>
      </c>
      <c r="P1111" s="18">
        <v>45887.0</v>
      </c>
      <c r="Q1111" s="1" t="s">
        <v>1030</v>
      </c>
      <c r="R1111" s="1"/>
      <c r="S1111" s="1" t="s">
        <v>52</v>
      </c>
      <c r="T1111" s="1" t="s">
        <v>2461</v>
      </c>
      <c r="U1111" s="1" t="s">
        <v>1456</v>
      </c>
      <c r="V1111" s="4" t="s">
        <v>5727</v>
      </c>
      <c r="W1111" s="1"/>
      <c r="X1111" s="18">
        <v>45887.0</v>
      </c>
      <c r="Y1111" s="1" t="s">
        <v>1030</v>
      </c>
      <c r="Z1111" s="1"/>
      <c r="AA1111" s="1"/>
      <c r="AB1111" s="1" t="s">
        <v>52</v>
      </c>
      <c r="AC1111" s="1" t="s">
        <v>1925</v>
      </c>
      <c r="AD1111" s="1"/>
      <c r="AE1111" s="1" t="s">
        <v>1152</v>
      </c>
      <c r="AF1111" s="1"/>
      <c r="AG1111" s="1"/>
      <c r="AH1111" s="1" t="s">
        <v>1152</v>
      </c>
      <c r="AI1111" s="1"/>
      <c r="AJ1111" s="1"/>
      <c r="AK1111" s="1" t="s">
        <v>1152</v>
      </c>
      <c r="AL1111" s="6" t="str">
        <f t="array" ref="AL1111">IFERROR(IFS(XLOOKUP(B1111, 'Kit Delivery Status'!$U:$U, 'Kit Delivery Status'!$K:$K) = "Complete", "DELIVERED", XLOOKUP(B1111, 'Kit Delivery Status'!$U:$U, 'Kit Delivery Status'!$K:$K) = "Issue", "ISSUE"), "")</f>
        <v/>
      </c>
      <c r="AM1111" s="6"/>
    </row>
    <row r="1112">
      <c r="A1112" s="5" t="s">
        <v>5728</v>
      </c>
      <c r="B1112" s="1" t="s">
        <v>5729</v>
      </c>
      <c r="C1112" s="1"/>
      <c r="D1112" s="2">
        <v>7.73317501E9</v>
      </c>
      <c r="E1112" s="1" t="s">
        <v>5730</v>
      </c>
      <c r="F1112" s="1" t="s">
        <v>5731</v>
      </c>
      <c r="G1112" s="1" t="s">
        <v>5732</v>
      </c>
      <c r="H1112" s="1" t="s">
        <v>1019</v>
      </c>
      <c r="I1112" s="1">
        <v>60154.0</v>
      </c>
      <c r="J1112" s="1" t="s">
        <v>752</v>
      </c>
      <c r="K1112" s="1" t="s">
        <v>51</v>
      </c>
      <c r="L1112" s="1" t="s">
        <v>5722</v>
      </c>
      <c r="M1112" s="1">
        <v>1.0</v>
      </c>
      <c r="N1112" s="1" t="s">
        <v>2487</v>
      </c>
      <c r="O1112" s="3"/>
      <c r="P1112" s="18">
        <v>45892.0</v>
      </c>
      <c r="Q1112" s="1" t="s">
        <v>1103</v>
      </c>
      <c r="R1112" s="1" t="s">
        <v>5731</v>
      </c>
      <c r="S1112" s="1" t="s">
        <v>124</v>
      </c>
      <c r="T1112" s="1" t="s">
        <v>2487</v>
      </c>
      <c r="U1112" s="1"/>
      <c r="V1112" s="4"/>
      <c r="W1112" s="1" t="s">
        <v>5731</v>
      </c>
      <c r="X1112" s="18">
        <v>45892.0</v>
      </c>
      <c r="Y1112" s="1" t="s">
        <v>1103</v>
      </c>
      <c r="Z1112" s="1"/>
      <c r="AA1112" s="1" t="s">
        <v>5731</v>
      </c>
      <c r="AB1112" s="1" t="s">
        <v>124</v>
      </c>
      <c r="AC1112" s="1" t="s">
        <v>1925</v>
      </c>
      <c r="AD1112" s="1"/>
      <c r="AE1112" s="1" t="s">
        <v>1152</v>
      </c>
      <c r="AF1112" s="1"/>
      <c r="AG1112" s="1"/>
      <c r="AH1112" s="1" t="s">
        <v>1152</v>
      </c>
      <c r="AI1112" s="1"/>
      <c r="AJ1112" s="1"/>
      <c r="AK1112" s="1" t="s">
        <v>1152</v>
      </c>
      <c r="AL1112" s="6" t="str">
        <f t="array" ref="AL1112">IFERROR(IFS(XLOOKUP(B1112, 'Kit Delivery Status'!$U:$U, 'Kit Delivery Status'!$K:$K) = "Complete", "DELIVERED", XLOOKUP(B1112, 'Kit Delivery Status'!$U:$U, 'Kit Delivery Status'!$K:$K) = "Issue", "ISSUE"), "")</f>
        <v/>
      </c>
      <c r="AM1112" s="6"/>
    </row>
    <row r="1113">
      <c r="A1113" s="5" t="s">
        <v>5733</v>
      </c>
      <c r="B1113" s="1" t="s">
        <v>5734</v>
      </c>
      <c r="C1113" s="1" t="s">
        <v>5735</v>
      </c>
      <c r="D1113" s="2">
        <v>8.432065331E9</v>
      </c>
      <c r="E1113" s="1" t="s">
        <v>2760</v>
      </c>
      <c r="F1113" s="1"/>
      <c r="G1113" s="1" t="s">
        <v>2761</v>
      </c>
      <c r="H1113" s="1" t="s">
        <v>2762</v>
      </c>
      <c r="I1113" s="1">
        <v>29501.0</v>
      </c>
      <c r="J1113" s="1" t="s">
        <v>752</v>
      </c>
      <c r="K1113" s="1" t="s">
        <v>66</v>
      </c>
      <c r="L1113" s="1" t="s">
        <v>5736</v>
      </c>
      <c r="M1113" s="1">
        <v>115.0</v>
      </c>
      <c r="N1113" s="1" t="s">
        <v>1152</v>
      </c>
      <c r="O1113" s="3" t="s">
        <v>5737</v>
      </c>
      <c r="P1113" s="18">
        <v>45883.0</v>
      </c>
      <c r="Q1113" s="1"/>
      <c r="R1113" s="1"/>
      <c r="S1113" s="1"/>
      <c r="T1113" s="1" t="s">
        <v>1152</v>
      </c>
      <c r="U1113" s="1" t="s">
        <v>1080</v>
      </c>
      <c r="V1113" s="4" t="s">
        <v>5737</v>
      </c>
      <c r="W1113" s="1"/>
      <c r="X1113" s="18">
        <v>45883.0</v>
      </c>
      <c r="Y1113" s="1"/>
      <c r="Z1113" s="1"/>
      <c r="AA1113" s="1"/>
      <c r="AB1113" s="1"/>
      <c r="AC1113" s="1" t="s">
        <v>1925</v>
      </c>
      <c r="AD1113" s="1"/>
      <c r="AE1113" s="1" t="s">
        <v>1152</v>
      </c>
      <c r="AF1113" s="1"/>
      <c r="AG1113" s="1"/>
      <c r="AH1113" s="1" t="s">
        <v>1152</v>
      </c>
      <c r="AI1113" s="1"/>
      <c r="AJ1113" s="1"/>
      <c r="AK1113" s="1" t="s">
        <v>1152</v>
      </c>
      <c r="AL1113" s="6" t="str">
        <f t="array" ref="AL1113">IFERROR(IFS(XLOOKUP(B1113, 'Kit Delivery Status'!$U:$U, 'Kit Delivery Status'!$K:$K) = "Complete", "DELIVERED", XLOOKUP(B1113, 'Kit Delivery Status'!$U:$U, 'Kit Delivery Status'!$K:$K) = "Issue", "ISSUE"), "")</f>
        <v/>
      </c>
      <c r="AM1113" s="6"/>
    </row>
    <row r="1114">
      <c r="A1114" s="5" t="s">
        <v>5738</v>
      </c>
      <c r="B1114" s="1" t="s">
        <v>5739</v>
      </c>
      <c r="C1114" s="1" t="s">
        <v>5740</v>
      </c>
      <c r="D1114" s="2"/>
      <c r="E1114" s="1" t="s">
        <v>5741</v>
      </c>
      <c r="F1114" s="1"/>
      <c r="G1114" s="1" t="s">
        <v>3981</v>
      </c>
      <c r="H1114" s="1" t="s">
        <v>1019</v>
      </c>
      <c r="I1114" s="1">
        <v>62221.0</v>
      </c>
      <c r="J1114" s="1" t="s">
        <v>752</v>
      </c>
      <c r="K1114" s="1" t="s">
        <v>51</v>
      </c>
      <c r="L1114" s="1" t="s">
        <v>5722</v>
      </c>
      <c r="M1114" s="1">
        <v>1.0</v>
      </c>
      <c r="N1114" s="1" t="s">
        <v>2461</v>
      </c>
      <c r="O1114" s="3" t="s">
        <v>634</v>
      </c>
      <c r="P1114" s="18">
        <v>45887.0</v>
      </c>
      <c r="Q1114" s="1" t="s">
        <v>1030</v>
      </c>
      <c r="R1114" s="1"/>
      <c r="S1114" s="1" t="s">
        <v>52</v>
      </c>
      <c r="T1114" s="1" t="s">
        <v>2461</v>
      </c>
      <c r="U1114" s="1" t="s">
        <v>1456</v>
      </c>
      <c r="V1114" s="4" t="s">
        <v>634</v>
      </c>
      <c r="W1114" s="1"/>
      <c r="X1114" s="18">
        <v>45887.0</v>
      </c>
      <c r="Y1114" s="1" t="s">
        <v>1030</v>
      </c>
      <c r="Z1114" s="1"/>
      <c r="AA1114" s="1"/>
      <c r="AB1114" s="1" t="s">
        <v>52</v>
      </c>
      <c r="AC1114" s="1" t="s">
        <v>1925</v>
      </c>
      <c r="AD1114" s="1"/>
      <c r="AE1114" s="1" t="s">
        <v>1152</v>
      </c>
      <c r="AF1114" s="1"/>
      <c r="AG1114" s="1"/>
      <c r="AH1114" s="1" t="s">
        <v>1152</v>
      </c>
      <c r="AI1114" s="1"/>
      <c r="AJ1114" s="1" t="s">
        <v>5742</v>
      </c>
      <c r="AK1114" s="1" t="s">
        <v>1152</v>
      </c>
      <c r="AL1114" s="6" t="str">
        <f t="array" ref="AL1114">IFERROR(IFS(XLOOKUP(B1114, 'Kit Delivery Status'!$U:$U, 'Kit Delivery Status'!$K:$K) = "Complete", "DELIVERED", XLOOKUP(B1114, 'Kit Delivery Status'!$U:$U, 'Kit Delivery Status'!$K:$K) = "Issue", "ISSUE"), "")</f>
        <v/>
      </c>
      <c r="AM1114" s="6"/>
    </row>
    <row r="1115">
      <c r="A1115" s="5" t="s">
        <v>5743</v>
      </c>
      <c r="B1115" s="1" t="s">
        <v>5744</v>
      </c>
      <c r="C1115" s="1" t="s">
        <v>5745</v>
      </c>
      <c r="D1115" s="2">
        <v>8.16651684E9</v>
      </c>
      <c r="E1115" s="1" t="s">
        <v>5746</v>
      </c>
      <c r="F1115" s="1"/>
      <c r="G1115" s="1" t="s">
        <v>5747</v>
      </c>
      <c r="H1115" s="1" t="s">
        <v>3776</v>
      </c>
      <c r="I1115" s="1">
        <v>66208.0</v>
      </c>
      <c r="J1115" s="1" t="s">
        <v>752</v>
      </c>
      <c r="K1115" s="1" t="s">
        <v>51</v>
      </c>
      <c r="L1115" s="1" t="s">
        <v>5722</v>
      </c>
      <c r="M1115" s="1">
        <v>1.0</v>
      </c>
      <c r="N1115" s="1" t="s">
        <v>2461</v>
      </c>
      <c r="O1115" s="3" t="s">
        <v>2721</v>
      </c>
      <c r="P1115" s="18">
        <v>45890.0</v>
      </c>
      <c r="Q1115" s="1" t="s">
        <v>1440</v>
      </c>
      <c r="R1115" s="1"/>
      <c r="S1115" s="1" t="s">
        <v>52</v>
      </c>
      <c r="T1115" s="1" t="s">
        <v>2461</v>
      </c>
      <c r="U1115" s="1" t="s">
        <v>1812</v>
      </c>
      <c r="V1115" s="4" t="s">
        <v>2721</v>
      </c>
      <c r="W1115" s="1"/>
      <c r="X1115" s="18">
        <v>45890.0</v>
      </c>
      <c r="Y1115" s="1" t="s">
        <v>1440</v>
      </c>
      <c r="Z1115" s="1"/>
      <c r="AA1115" s="1"/>
      <c r="AB1115" s="1" t="s">
        <v>52</v>
      </c>
      <c r="AC1115" s="1" t="s">
        <v>1925</v>
      </c>
      <c r="AD1115" s="1"/>
      <c r="AE1115" s="1" t="s">
        <v>1152</v>
      </c>
      <c r="AF1115" s="1"/>
      <c r="AG1115" s="1"/>
      <c r="AH1115" s="1" t="s">
        <v>1152</v>
      </c>
      <c r="AI1115" s="1"/>
      <c r="AJ1115" s="1" t="s">
        <v>5746</v>
      </c>
      <c r="AK1115" s="1" t="s">
        <v>1152</v>
      </c>
      <c r="AL1115" s="6" t="str">
        <f t="array" ref="AL1115">IFERROR(IFS(XLOOKUP(B1115, 'Kit Delivery Status'!$U:$U, 'Kit Delivery Status'!$K:$K) = "Complete", "DELIVERED", XLOOKUP(B1115, 'Kit Delivery Status'!$U:$U, 'Kit Delivery Status'!$K:$K) = "Issue", "ISSUE"), "")</f>
        <v/>
      </c>
      <c r="AM1115" s="6"/>
    </row>
    <row r="1116">
      <c r="A1116" s="5" t="s">
        <v>5748</v>
      </c>
      <c r="B1116" s="1" t="s">
        <v>5749</v>
      </c>
      <c r="C1116" s="1" t="s">
        <v>5750</v>
      </c>
      <c r="D1116" s="2"/>
      <c r="E1116" s="1" t="s">
        <v>5751</v>
      </c>
      <c r="F1116" s="1"/>
      <c r="G1116" s="1" t="s">
        <v>1467</v>
      </c>
      <c r="H1116" s="1" t="s">
        <v>1053</v>
      </c>
      <c r="I1116" s="1">
        <v>7039.0</v>
      </c>
      <c r="J1116" s="1" t="s">
        <v>752</v>
      </c>
      <c r="K1116" s="1" t="s">
        <v>51</v>
      </c>
      <c r="L1116" s="1" t="s">
        <v>5722</v>
      </c>
      <c r="M1116" s="1">
        <v>1.0</v>
      </c>
      <c r="N1116" s="1" t="s">
        <v>2461</v>
      </c>
      <c r="O1116" s="3" t="s">
        <v>5752</v>
      </c>
      <c r="P1116" s="18">
        <v>45887.0</v>
      </c>
      <c r="Q1116" s="1" t="s">
        <v>1030</v>
      </c>
      <c r="R1116" s="1"/>
      <c r="S1116" s="1" t="s">
        <v>52</v>
      </c>
      <c r="T1116" s="1" t="s">
        <v>2461</v>
      </c>
      <c r="U1116" s="1" t="s">
        <v>2430</v>
      </c>
      <c r="V1116" s="4" t="s">
        <v>5752</v>
      </c>
      <c r="W1116" s="1"/>
      <c r="X1116" s="18">
        <v>45887.0</v>
      </c>
      <c r="Y1116" s="1" t="s">
        <v>1030</v>
      </c>
      <c r="Z1116" s="1"/>
      <c r="AA1116" s="1"/>
      <c r="AB1116" s="1" t="s">
        <v>52</v>
      </c>
      <c r="AC1116" s="1" t="s">
        <v>1925</v>
      </c>
      <c r="AD1116" s="1"/>
      <c r="AE1116" s="1" t="s">
        <v>1152</v>
      </c>
      <c r="AF1116" s="1"/>
      <c r="AG1116" s="1"/>
      <c r="AH1116" s="1" t="s">
        <v>1152</v>
      </c>
      <c r="AI1116" s="1"/>
      <c r="AJ1116" s="1" t="s">
        <v>5751</v>
      </c>
      <c r="AK1116" s="1" t="s">
        <v>1152</v>
      </c>
      <c r="AL1116" s="6" t="str">
        <f t="array" ref="AL1116">IFERROR(IFS(XLOOKUP(B1116, 'Kit Delivery Status'!$U:$U, 'Kit Delivery Status'!$K:$K) = "Complete", "DELIVERED", XLOOKUP(B1116, 'Kit Delivery Status'!$U:$U, 'Kit Delivery Status'!$K:$K) = "Issue", "ISSUE"), "")</f>
        <v/>
      </c>
      <c r="AM1116" s="6"/>
    </row>
    <row r="1117">
      <c r="A1117" s="5" t="s">
        <v>5753</v>
      </c>
      <c r="B1117" s="1" t="s">
        <v>5754</v>
      </c>
      <c r="C1117" s="1"/>
      <c r="D1117" s="2">
        <v>3.107538846E9</v>
      </c>
      <c r="E1117" s="1" t="s">
        <v>3935</v>
      </c>
      <c r="F1117" s="1"/>
      <c r="G1117" s="1" t="s">
        <v>3936</v>
      </c>
      <c r="H1117" s="1" t="s">
        <v>1155</v>
      </c>
      <c r="I1117" s="1">
        <v>63131.0</v>
      </c>
      <c r="J1117" s="1" t="s">
        <v>752</v>
      </c>
      <c r="K1117" s="1" t="s">
        <v>2577</v>
      </c>
      <c r="L1117" s="1" t="s">
        <v>5755</v>
      </c>
      <c r="M1117" s="1">
        <v>1.0</v>
      </c>
      <c r="N1117" s="1" t="s">
        <v>2579</v>
      </c>
      <c r="O1117" s="3" t="s">
        <v>5635</v>
      </c>
      <c r="P1117" s="18">
        <v>45889.0</v>
      </c>
      <c r="Q1117" s="1" t="s">
        <v>5756</v>
      </c>
      <c r="R1117" s="1"/>
      <c r="S1117" s="1"/>
      <c r="T1117" s="1" t="s">
        <v>2579</v>
      </c>
      <c r="U1117" s="1" t="s">
        <v>5702</v>
      </c>
      <c r="V1117" s="4" t="s">
        <v>5635</v>
      </c>
      <c r="W1117" s="1"/>
      <c r="X1117" s="18">
        <v>45889.0</v>
      </c>
      <c r="Y1117" s="1" t="s">
        <v>5756</v>
      </c>
      <c r="Z1117" s="1"/>
      <c r="AA1117" s="1"/>
      <c r="AB1117" s="1"/>
      <c r="AC1117" s="1" t="s">
        <v>1925</v>
      </c>
      <c r="AD1117" s="1"/>
      <c r="AE1117" s="1" t="s">
        <v>1152</v>
      </c>
      <c r="AF1117" s="1"/>
      <c r="AG1117" s="1"/>
      <c r="AH1117" s="1" t="s">
        <v>1152</v>
      </c>
      <c r="AI1117" s="1" t="s">
        <v>5757</v>
      </c>
      <c r="AJ1117" s="1"/>
      <c r="AK1117" s="1" t="s">
        <v>5758</v>
      </c>
      <c r="AL1117" s="6" t="str">
        <f t="array" ref="AL1117">IFERROR(IFS(XLOOKUP(B1117, 'Kit Delivery Status'!$U:$U, 'Kit Delivery Status'!$K:$K) = "Complete", "DELIVERED", XLOOKUP(B1117, 'Kit Delivery Status'!$U:$U, 'Kit Delivery Status'!$K:$K) = "Issue", "ISSUE"), "")</f>
        <v/>
      </c>
      <c r="AM1117" s="6"/>
    </row>
    <row r="1118">
      <c r="A1118" s="5" t="s">
        <v>5759</v>
      </c>
      <c r="B1118" s="1" t="s">
        <v>5760</v>
      </c>
      <c r="C1118" s="1"/>
      <c r="D1118" s="2"/>
      <c r="E1118" s="1" t="s">
        <v>5761</v>
      </c>
      <c r="F1118" s="1"/>
      <c r="G1118" s="1" t="s">
        <v>5762</v>
      </c>
      <c r="H1118" s="1" t="s">
        <v>751</v>
      </c>
      <c r="I1118" s="1">
        <v>11030.0</v>
      </c>
      <c r="J1118" s="1" t="s">
        <v>752</v>
      </c>
      <c r="K1118" s="1" t="s">
        <v>51</v>
      </c>
      <c r="L1118" s="1" t="s">
        <v>5722</v>
      </c>
      <c r="M1118" s="1">
        <v>1.0</v>
      </c>
      <c r="N1118" s="1" t="s">
        <v>2461</v>
      </c>
      <c r="O1118" s="3" t="s">
        <v>5763</v>
      </c>
      <c r="P1118" s="18">
        <v>45888.0</v>
      </c>
      <c r="Q1118" s="1" t="s">
        <v>1030</v>
      </c>
      <c r="R1118" s="1"/>
      <c r="S1118" s="1" t="s">
        <v>52</v>
      </c>
      <c r="T1118" s="1" t="s">
        <v>2461</v>
      </c>
      <c r="U1118" s="1" t="s">
        <v>1642</v>
      </c>
      <c r="V1118" s="4" t="s">
        <v>5763</v>
      </c>
      <c r="W1118" s="1"/>
      <c r="X1118" s="18">
        <v>45888.0</v>
      </c>
      <c r="Y1118" s="1" t="s">
        <v>1030</v>
      </c>
      <c r="Z1118" s="1"/>
      <c r="AA1118" s="1"/>
      <c r="AB1118" s="1" t="s">
        <v>52</v>
      </c>
      <c r="AC1118" s="1" t="s">
        <v>1925</v>
      </c>
      <c r="AD1118" s="1"/>
      <c r="AE1118" s="1" t="s">
        <v>1152</v>
      </c>
      <c r="AF1118" s="1"/>
      <c r="AG1118" s="1"/>
      <c r="AH1118" s="1" t="s">
        <v>1152</v>
      </c>
      <c r="AI1118" s="1"/>
      <c r="AJ1118" s="1" t="s">
        <v>5761</v>
      </c>
      <c r="AK1118" s="1" t="s">
        <v>1152</v>
      </c>
      <c r="AL1118" s="6" t="str">
        <f t="array" ref="AL1118">IFERROR(IFS(XLOOKUP(B1118, 'Kit Delivery Status'!$U:$U, 'Kit Delivery Status'!$K:$K) = "Complete", "DELIVERED", XLOOKUP(B1118, 'Kit Delivery Status'!$U:$U, 'Kit Delivery Status'!$K:$K) = "Issue", "ISSUE"), "")</f>
        <v/>
      </c>
      <c r="AM1118" s="6"/>
    </row>
    <row r="1119">
      <c r="A1119" s="5" t="s">
        <v>5764</v>
      </c>
      <c r="B1119" s="1" t="s">
        <v>5765</v>
      </c>
      <c r="C1119" s="1"/>
      <c r="D1119" s="2">
        <v>3.103431318E9</v>
      </c>
      <c r="E1119" s="1" t="s">
        <v>5766</v>
      </c>
      <c r="F1119" s="1"/>
      <c r="G1119" s="1" t="s">
        <v>5051</v>
      </c>
      <c r="H1119" s="1" t="s">
        <v>989</v>
      </c>
      <c r="I1119" s="1">
        <v>91436.0</v>
      </c>
      <c r="J1119" s="1" t="s">
        <v>752</v>
      </c>
      <c r="K1119" s="1" t="s">
        <v>66</v>
      </c>
      <c r="L1119" s="1" t="s">
        <v>5767</v>
      </c>
      <c r="M1119" s="1">
        <v>210.0</v>
      </c>
      <c r="N1119" s="1" t="s">
        <v>1152</v>
      </c>
      <c r="O1119" s="3" t="s">
        <v>3092</v>
      </c>
      <c r="P1119" s="18">
        <v>45883.0</v>
      </c>
      <c r="Q1119" s="1"/>
      <c r="R1119" s="1"/>
      <c r="S1119" s="1"/>
      <c r="T1119" s="1" t="s">
        <v>1152</v>
      </c>
      <c r="U1119" s="1" t="s">
        <v>1415</v>
      </c>
      <c r="V1119" s="4" t="s">
        <v>3092</v>
      </c>
      <c r="W1119" s="1"/>
      <c r="X1119" s="18">
        <v>45883.0</v>
      </c>
      <c r="Y1119" s="1"/>
      <c r="Z1119" s="1"/>
      <c r="AA1119" s="1"/>
      <c r="AB1119" s="1"/>
      <c r="AC1119" s="1" t="s">
        <v>1925</v>
      </c>
      <c r="AD1119" s="1"/>
      <c r="AE1119" s="1" t="s">
        <v>1152</v>
      </c>
      <c r="AF1119" s="1"/>
      <c r="AG1119" s="1"/>
      <c r="AH1119" s="1" t="s">
        <v>1152</v>
      </c>
      <c r="AI1119" s="1"/>
      <c r="AJ1119" s="1" t="s">
        <v>5766</v>
      </c>
      <c r="AK1119" s="1" t="s">
        <v>1152</v>
      </c>
      <c r="AL1119" s="6" t="str">
        <f t="array" ref="AL1119">IFERROR(IFS(XLOOKUP(B1119, 'Kit Delivery Status'!$U:$U, 'Kit Delivery Status'!$K:$K) = "Complete", "DELIVERED", XLOOKUP(B1119, 'Kit Delivery Status'!$U:$U, 'Kit Delivery Status'!$K:$K) = "Issue", "ISSUE"), "")</f>
        <v/>
      </c>
      <c r="AM1119" s="6"/>
    </row>
    <row r="1120">
      <c r="A1120" s="5" t="s">
        <v>5768</v>
      </c>
      <c r="B1120" s="1" t="s">
        <v>5769</v>
      </c>
      <c r="C1120" s="1" t="s">
        <v>5770</v>
      </c>
      <c r="D1120" s="2">
        <v>2.194480879E9</v>
      </c>
      <c r="E1120" s="1" t="s">
        <v>5771</v>
      </c>
      <c r="F1120" s="1"/>
      <c r="G1120" s="1" t="s">
        <v>5772</v>
      </c>
      <c r="H1120" s="1" t="s">
        <v>2242</v>
      </c>
      <c r="I1120" s="1">
        <v>46360.0</v>
      </c>
      <c r="J1120" s="1" t="s">
        <v>752</v>
      </c>
      <c r="K1120" s="1" t="s">
        <v>51</v>
      </c>
      <c r="L1120" s="1" t="s">
        <v>5722</v>
      </c>
      <c r="M1120" s="1">
        <v>1.0</v>
      </c>
      <c r="N1120" s="1" t="s">
        <v>2461</v>
      </c>
      <c r="O1120" s="3" t="s">
        <v>5773</v>
      </c>
      <c r="P1120" s="18">
        <v>45888.0</v>
      </c>
      <c r="Q1120" s="1" t="s">
        <v>1455</v>
      </c>
      <c r="R1120" s="1"/>
      <c r="S1120" s="1" t="s">
        <v>52</v>
      </c>
      <c r="T1120" s="1" t="s">
        <v>2461</v>
      </c>
      <c r="U1120" s="1" t="s">
        <v>2510</v>
      </c>
      <c r="V1120" s="4" t="s">
        <v>5773</v>
      </c>
      <c r="W1120" s="1"/>
      <c r="X1120" s="18">
        <v>45888.0</v>
      </c>
      <c r="Y1120" s="1" t="s">
        <v>1455</v>
      </c>
      <c r="Z1120" s="1"/>
      <c r="AA1120" s="1"/>
      <c r="AB1120" s="1" t="s">
        <v>52</v>
      </c>
      <c r="AC1120" s="1" t="s">
        <v>1925</v>
      </c>
      <c r="AD1120" s="1"/>
      <c r="AE1120" s="1" t="s">
        <v>1152</v>
      </c>
      <c r="AF1120" s="1"/>
      <c r="AG1120" s="1"/>
      <c r="AH1120" s="1" t="s">
        <v>1152</v>
      </c>
      <c r="AI1120" s="1"/>
      <c r="AJ1120" s="1" t="s">
        <v>5774</v>
      </c>
      <c r="AK1120" s="1" t="s">
        <v>1152</v>
      </c>
      <c r="AL1120" s="6" t="str">
        <f t="array" ref="AL1120">IFERROR(IFS(XLOOKUP(B1120, 'Kit Delivery Status'!$U:$U, 'Kit Delivery Status'!$K:$K) = "Complete", "DELIVERED", XLOOKUP(B1120, 'Kit Delivery Status'!$U:$U, 'Kit Delivery Status'!$K:$K) = "Issue", "ISSUE"), "")</f>
        <v/>
      </c>
      <c r="AM1120" s="6"/>
    </row>
    <row r="1121">
      <c r="A1121" s="5" t="s">
        <v>5775</v>
      </c>
      <c r="B1121" s="1" t="s">
        <v>5776</v>
      </c>
      <c r="C1121" s="1" t="s">
        <v>5777</v>
      </c>
      <c r="D1121" s="2">
        <v>9.177150051E9</v>
      </c>
      <c r="E1121" s="1" t="s">
        <v>5778</v>
      </c>
      <c r="F1121" s="1"/>
      <c r="G1121" s="1" t="s">
        <v>1684</v>
      </c>
      <c r="H1121" s="1" t="s">
        <v>751</v>
      </c>
      <c r="I1121" s="1">
        <v>11210.0</v>
      </c>
      <c r="J1121" s="1" t="s">
        <v>752</v>
      </c>
      <c r="K1121" s="1" t="s">
        <v>51</v>
      </c>
      <c r="L1121" s="1" t="s">
        <v>5722</v>
      </c>
      <c r="M1121" s="1">
        <v>1.0</v>
      </c>
      <c r="N1121" s="1" t="s">
        <v>2461</v>
      </c>
      <c r="O1121" s="3" t="s">
        <v>5779</v>
      </c>
      <c r="P1121" s="18">
        <v>45889.0</v>
      </c>
      <c r="Q1121" s="1" t="s">
        <v>1030</v>
      </c>
      <c r="R1121" s="1"/>
      <c r="S1121" s="1" t="s">
        <v>52</v>
      </c>
      <c r="T1121" s="1" t="s">
        <v>2461</v>
      </c>
      <c r="U1121" s="1" t="s">
        <v>948</v>
      </c>
      <c r="V1121" s="4" t="s">
        <v>5779</v>
      </c>
      <c r="W1121" s="1"/>
      <c r="X1121" s="18">
        <v>45889.0</v>
      </c>
      <c r="Y1121" s="1" t="s">
        <v>1030</v>
      </c>
      <c r="Z1121" s="1"/>
      <c r="AA1121" s="1"/>
      <c r="AB1121" s="1" t="s">
        <v>52</v>
      </c>
      <c r="AC1121" s="1" t="s">
        <v>1925</v>
      </c>
      <c r="AD1121" s="1"/>
      <c r="AE1121" s="1" t="s">
        <v>1152</v>
      </c>
      <c r="AF1121" s="1"/>
      <c r="AG1121" s="1"/>
      <c r="AH1121" s="1" t="s">
        <v>1152</v>
      </c>
      <c r="AI1121" s="1"/>
      <c r="AJ1121" s="1"/>
      <c r="AK1121" s="1" t="s">
        <v>1152</v>
      </c>
      <c r="AL1121" s="6" t="str">
        <f t="array" ref="AL1121">IFERROR(IFS(XLOOKUP(B1121, 'Kit Delivery Status'!$U:$U, 'Kit Delivery Status'!$K:$K) = "Complete", "DELIVERED", XLOOKUP(B1121, 'Kit Delivery Status'!$U:$U, 'Kit Delivery Status'!$K:$K) = "Issue", "ISSUE"), "")</f>
        <v/>
      </c>
      <c r="AM1121" s="6"/>
    </row>
    <row r="1122">
      <c r="A1122" s="5" t="s">
        <v>5780</v>
      </c>
      <c r="B1122" s="1" t="s">
        <v>5781</v>
      </c>
      <c r="C1122" s="1"/>
      <c r="D1122" s="2">
        <v>8.582619227E9</v>
      </c>
      <c r="E1122" s="1" t="s">
        <v>5782</v>
      </c>
      <c r="F1122" s="1"/>
      <c r="G1122" s="1" t="s">
        <v>2417</v>
      </c>
      <c r="H1122" s="1" t="s">
        <v>989</v>
      </c>
      <c r="I1122" s="1">
        <v>92130.0</v>
      </c>
      <c r="J1122" s="1" t="s">
        <v>752</v>
      </c>
      <c r="K1122" s="1" t="s">
        <v>66</v>
      </c>
      <c r="L1122" s="1" t="s">
        <v>5767</v>
      </c>
      <c r="M1122" s="1">
        <v>210.0</v>
      </c>
      <c r="N1122" s="1" t="s">
        <v>1152</v>
      </c>
      <c r="O1122" s="3" t="s">
        <v>5783</v>
      </c>
      <c r="P1122" s="18">
        <v>45882.0</v>
      </c>
      <c r="Q1122" s="1"/>
      <c r="R1122" s="1"/>
      <c r="S1122" s="1"/>
      <c r="T1122" s="1" t="s">
        <v>1152</v>
      </c>
      <c r="U1122" s="1" t="s">
        <v>1324</v>
      </c>
      <c r="V1122" s="4" t="s">
        <v>5783</v>
      </c>
      <c r="W1122" s="1"/>
      <c r="X1122" s="18">
        <v>45882.0</v>
      </c>
      <c r="Y1122" s="1"/>
      <c r="Z1122" s="1"/>
      <c r="AA1122" s="1"/>
      <c r="AB1122" s="1"/>
      <c r="AC1122" s="1" t="s">
        <v>1925</v>
      </c>
      <c r="AD1122" s="1"/>
      <c r="AE1122" s="1" t="s">
        <v>1152</v>
      </c>
      <c r="AF1122" s="1"/>
      <c r="AG1122" s="1"/>
      <c r="AH1122" s="1" t="s">
        <v>1152</v>
      </c>
      <c r="AI1122" s="1"/>
      <c r="AJ1122" s="1" t="s">
        <v>5784</v>
      </c>
      <c r="AK1122" s="1" t="s">
        <v>1152</v>
      </c>
      <c r="AL1122" s="6" t="str">
        <f t="array" ref="AL1122">IFERROR(IFS(XLOOKUP(B1122, 'Kit Delivery Status'!$U:$U, 'Kit Delivery Status'!$K:$K) = "Complete", "DELIVERED", XLOOKUP(B1122, 'Kit Delivery Status'!$U:$U, 'Kit Delivery Status'!$K:$K) = "Issue", "ISSUE"), "")</f>
        <v/>
      </c>
      <c r="AM1122" s="6"/>
    </row>
    <row r="1123">
      <c r="A1123" s="5" t="s">
        <v>5785</v>
      </c>
      <c r="B1123" s="1" t="s">
        <v>5786</v>
      </c>
      <c r="C1123" s="1" t="s">
        <v>5787</v>
      </c>
      <c r="D1123" s="2">
        <v>4.43714935E9</v>
      </c>
      <c r="E1123" s="1" t="s">
        <v>5788</v>
      </c>
      <c r="F1123" s="1" t="s">
        <v>5789</v>
      </c>
      <c r="G1123" s="1" t="s">
        <v>2914</v>
      </c>
      <c r="H1123" s="1" t="s">
        <v>1005</v>
      </c>
      <c r="I1123" s="1">
        <v>21409.0</v>
      </c>
      <c r="J1123" s="1" t="s">
        <v>752</v>
      </c>
      <c r="K1123" s="1" t="s">
        <v>51</v>
      </c>
      <c r="L1123" s="1" t="s">
        <v>5722</v>
      </c>
      <c r="M1123" s="1">
        <v>1.0</v>
      </c>
      <c r="N1123" s="1" t="s">
        <v>2487</v>
      </c>
      <c r="O1123" s="3"/>
      <c r="P1123" s="18">
        <v>45878.0</v>
      </c>
      <c r="Q1123" s="1" t="s">
        <v>1455</v>
      </c>
      <c r="R1123" s="1" t="s">
        <v>5789</v>
      </c>
      <c r="S1123" s="1" t="s">
        <v>124</v>
      </c>
      <c r="T1123" s="1" t="s">
        <v>2487</v>
      </c>
      <c r="U1123" s="1"/>
      <c r="V1123" s="4"/>
      <c r="W1123" s="1" t="s">
        <v>5789</v>
      </c>
      <c r="X1123" s="18">
        <v>45878.0</v>
      </c>
      <c r="Y1123" s="1" t="s">
        <v>1455</v>
      </c>
      <c r="Z1123" s="1"/>
      <c r="AA1123" s="1" t="s">
        <v>5789</v>
      </c>
      <c r="AB1123" s="1" t="s">
        <v>124</v>
      </c>
      <c r="AC1123" s="1" t="s">
        <v>1925</v>
      </c>
      <c r="AD1123" s="1"/>
      <c r="AE1123" s="1" t="s">
        <v>1152</v>
      </c>
      <c r="AF1123" s="1"/>
      <c r="AG1123" s="1"/>
      <c r="AH1123" s="1" t="s">
        <v>1152</v>
      </c>
      <c r="AI1123" s="1"/>
      <c r="AJ1123" s="1" t="s">
        <v>5788</v>
      </c>
      <c r="AK1123" s="1" t="s">
        <v>1152</v>
      </c>
      <c r="AL1123" s="6" t="str">
        <f t="array" ref="AL1123">IFERROR(IFS(XLOOKUP(B1123, 'Kit Delivery Status'!$U:$U, 'Kit Delivery Status'!$K:$K) = "Complete", "DELIVERED", XLOOKUP(B1123, 'Kit Delivery Status'!$U:$U, 'Kit Delivery Status'!$K:$K) = "Issue", "ISSUE"), "")</f>
        <v/>
      </c>
      <c r="AM1123" s="6"/>
    </row>
    <row r="1124">
      <c r="A1124" s="5" t="s">
        <v>5790</v>
      </c>
      <c r="B1124" s="1" t="s">
        <v>5791</v>
      </c>
      <c r="C1124" s="1" t="s">
        <v>5792</v>
      </c>
      <c r="D1124" s="2">
        <v>6.154840612E9</v>
      </c>
      <c r="E1124" s="1" t="s">
        <v>5793</v>
      </c>
      <c r="F1124" s="1"/>
      <c r="G1124" s="1" t="s">
        <v>1804</v>
      </c>
      <c r="H1124" s="1" t="s">
        <v>1598</v>
      </c>
      <c r="I1124" s="1">
        <v>37206.0</v>
      </c>
      <c r="J1124" s="1" t="s">
        <v>752</v>
      </c>
      <c r="K1124" s="1" t="s">
        <v>66</v>
      </c>
      <c r="L1124" s="1" t="s">
        <v>5736</v>
      </c>
      <c r="M1124" s="1">
        <v>115.0</v>
      </c>
      <c r="N1124" s="1" t="s">
        <v>1152</v>
      </c>
      <c r="O1124" s="3" t="s">
        <v>5794</v>
      </c>
      <c r="P1124" s="18">
        <v>45883.0</v>
      </c>
      <c r="Q1124" s="1"/>
      <c r="R1124" s="1"/>
      <c r="S1124" s="1"/>
      <c r="T1124" s="1" t="s">
        <v>1152</v>
      </c>
      <c r="U1124" s="1" t="s">
        <v>956</v>
      </c>
      <c r="V1124" s="4" t="s">
        <v>5794</v>
      </c>
      <c r="W1124" s="1"/>
      <c r="X1124" s="18">
        <v>45883.0</v>
      </c>
      <c r="Y1124" s="1"/>
      <c r="Z1124" s="1"/>
      <c r="AA1124" s="1"/>
      <c r="AB1124" s="1"/>
      <c r="AC1124" s="1" t="s">
        <v>1925</v>
      </c>
      <c r="AD1124" s="1"/>
      <c r="AE1124" s="1" t="s">
        <v>1152</v>
      </c>
      <c r="AF1124" s="1"/>
      <c r="AG1124" s="1"/>
      <c r="AH1124" s="1" t="s">
        <v>1152</v>
      </c>
      <c r="AI1124" s="1"/>
      <c r="AJ1124" s="1" t="s">
        <v>5795</v>
      </c>
      <c r="AK1124" s="1" t="s">
        <v>1152</v>
      </c>
      <c r="AL1124" s="6" t="str">
        <f t="array" ref="AL1124">IFERROR(IFS(XLOOKUP(B1124, 'Kit Delivery Status'!$U:$U, 'Kit Delivery Status'!$K:$K) = "Complete", "DELIVERED", XLOOKUP(B1124, 'Kit Delivery Status'!$U:$U, 'Kit Delivery Status'!$K:$K) = "Issue", "ISSUE"), "")</f>
        <v/>
      </c>
      <c r="AM1124" s="6"/>
    </row>
    <row r="1125">
      <c r="A1125" s="5" t="s">
        <v>5796</v>
      </c>
      <c r="B1125" s="1" t="s">
        <v>5797</v>
      </c>
      <c r="C1125" s="1" t="s">
        <v>5798</v>
      </c>
      <c r="D1125" s="2">
        <v>7.038697756E9</v>
      </c>
      <c r="E1125" s="1" t="s">
        <v>5799</v>
      </c>
      <c r="F1125" s="1" t="s">
        <v>5800</v>
      </c>
      <c r="G1125" s="1" t="s">
        <v>5801</v>
      </c>
      <c r="H1125" s="1" t="s">
        <v>1038</v>
      </c>
      <c r="I1125" s="1">
        <v>20105.0</v>
      </c>
      <c r="J1125" s="1" t="s">
        <v>752</v>
      </c>
      <c r="K1125" s="1" t="s">
        <v>51</v>
      </c>
      <c r="L1125" s="1" t="s">
        <v>5722</v>
      </c>
      <c r="M1125" s="1">
        <v>1.0</v>
      </c>
      <c r="N1125" s="1" t="s">
        <v>2487</v>
      </c>
      <c r="O1125" s="3"/>
      <c r="P1125" s="18">
        <v>45881.0</v>
      </c>
      <c r="Q1125" s="1" t="s">
        <v>1030</v>
      </c>
      <c r="R1125" s="1" t="s">
        <v>5800</v>
      </c>
      <c r="S1125" s="1" t="s">
        <v>124</v>
      </c>
      <c r="T1125" s="1" t="s">
        <v>2487</v>
      </c>
      <c r="U1125" s="1"/>
      <c r="V1125" s="4"/>
      <c r="W1125" s="1" t="s">
        <v>5800</v>
      </c>
      <c r="X1125" s="18">
        <v>45881.0</v>
      </c>
      <c r="Y1125" s="1" t="s">
        <v>1030</v>
      </c>
      <c r="Z1125" s="1"/>
      <c r="AA1125" s="1" t="s">
        <v>5800</v>
      </c>
      <c r="AB1125" s="1" t="s">
        <v>124</v>
      </c>
      <c r="AC1125" s="1" t="s">
        <v>1925</v>
      </c>
      <c r="AD1125" s="1"/>
      <c r="AE1125" s="1" t="s">
        <v>1152</v>
      </c>
      <c r="AF1125" s="1"/>
      <c r="AG1125" s="1"/>
      <c r="AH1125" s="1" t="s">
        <v>1152</v>
      </c>
      <c r="AI1125" s="1"/>
      <c r="AJ1125" s="1"/>
      <c r="AK1125" s="1" t="s">
        <v>1152</v>
      </c>
      <c r="AL1125" s="6" t="str">
        <f t="array" ref="AL1125">IFERROR(IFS(XLOOKUP(B1125, 'Kit Delivery Status'!$U:$U, 'Kit Delivery Status'!$K:$K) = "Complete", "DELIVERED", XLOOKUP(B1125, 'Kit Delivery Status'!$U:$U, 'Kit Delivery Status'!$K:$K) = "Issue", "ISSUE"), "")</f>
        <v/>
      </c>
      <c r="AM1125" s="6"/>
    </row>
    <row r="1126">
      <c r="A1126" s="5" t="s">
        <v>5802</v>
      </c>
      <c r="B1126" s="1" t="s">
        <v>5803</v>
      </c>
      <c r="C1126" s="1" t="s">
        <v>5804</v>
      </c>
      <c r="D1126" s="2">
        <v>9.174476429E9</v>
      </c>
      <c r="E1126" s="1" t="s">
        <v>5805</v>
      </c>
      <c r="F1126" s="1"/>
      <c r="G1126" s="1" t="s">
        <v>4824</v>
      </c>
      <c r="H1126" s="1" t="s">
        <v>1053</v>
      </c>
      <c r="I1126" s="1">
        <v>7627.0</v>
      </c>
      <c r="J1126" s="1" t="s">
        <v>752</v>
      </c>
      <c r="K1126" s="1" t="s">
        <v>66</v>
      </c>
      <c r="L1126" s="1" t="s">
        <v>5767</v>
      </c>
      <c r="M1126" s="1">
        <v>210.0</v>
      </c>
      <c r="N1126" s="1" t="s">
        <v>1152</v>
      </c>
      <c r="O1126" s="3" t="s">
        <v>5806</v>
      </c>
      <c r="P1126" s="18">
        <v>45883.0</v>
      </c>
      <c r="Q1126" s="1"/>
      <c r="R1126" s="1"/>
      <c r="S1126" s="1"/>
      <c r="T1126" s="1" t="s">
        <v>1152</v>
      </c>
      <c r="U1126" s="1" t="s">
        <v>982</v>
      </c>
      <c r="V1126" s="4" t="s">
        <v>5806</v>
      </c>
      <c r="W1126" s="1"/>
      <c r="X1126" s="18">
        <v>45883.0</v>
      </c>
      <c r="Y1126" s="1"/>
      <c r="Z1126" s="1"/>
      <c r="AA1126" s="1"/>
      <c r="AB1126" s="1"/>
      <c r="AC1126" s="1" t="s">
        <v>1925</v>
      </c>
      <c r="AD1126" s="1"/>
      <c r="AE1126" s="1" t="s">
        <v>1152</v>
      </c>
      <c r="AF1126" s="1"/>
      <c r="AG1126" s="1"/>
      <c r="AH1126" s="1" t="s">
        <v>1152</v>
      </c>
      <c r="AI1126" s="1"/>
      <c r="AJ1126" s="1"/>
      <c r="AK1126" s="1" t="s">
        <v>1152</v>
      </c>
      <c r="AL1126" s="6" t="str">
        <f t="array" ref="AL1126">IFERROR(IFS(XLOOKUP(B1126, 'Kit Delivery Status'!$U:$U, 'Kit Delivery Status'!$K:$K) = "Complete", "DELIVERED", XLOOKUP(B1126, 'Kit Delivery Status'!$U:$U, 'Kit Delivery Status'!$K:$K) = "Issue", "ISSUE"), "")</f>
        <v/>
      </c>
      <c r="AM1126" s="6"/>
    </row>
    <row r="1127">
      <c r="A1127" s="5" t="s">
        <v>5807</v>
      </c>
      <c r="B1127" s="1" t="s">
        <v>5808</v>
      </c>
      <c r="C1127" s="1" t="s">
        <v>5809</v>
      </c>
      <c r="D1127" s="2">
        <v>8.477028084E9</v>
      </c>
      <c r="E1127" s="1" t="s">
        <v>5810</v>
      </c>
      <c r="F1127" s="1"/>
      <c r="G1127" s="1" t="s">
        <v>1858</v>
      </c>
      <c r="H1127" s="1" t="s">
        <v>1019</v>
      </c>
      <c r="I1127" s="1">
        <v>60093.0</v>
      </c>
      <c r="J1127" s="1" t="s">
        <v>752</v>
      </c>
      <c r="K1127" s="1" t="s">
        <v>66</v>
      </c>
      <c r="L1127" s="1" t="s">
        <v>5811</v>
      </c>
      <c r="M1127" s="1">
        <v>145.0</v>
      </c>
      <c r="N1127" s="1" t="s">
        <v>1152</v>
      </c>
      <c r="O1127" s="3" t="s">
        <v>1910</v>
      </c>
      <c r="P1127" s="18">
        <v>45883.0</v>
      </c>
      <c r="Q1127" s="1"/>
      <c r="R1127" s="1"/>
      <c r="S1127" s="1"/>
      <c r="T1127" s="1" t="s">
        <v>1152</v>
      </c>
      <c r="U1127" s="1" t="s">
        <v>948</v>
      </c>
      <c r="V1127" s="4" t="s">
        <v>1910</v>
      </c>
      <c r="W1127" s="1"/>
      <c r="X1127" s="18">
        <v>45883.0</v>
      </c>
      <c r="Y1127" s="1"/>
      <c r="Z1127" s="1"/>
      <c r="AA1127" s="1"/>
      <c r="AB1127" s="1"/>
      <c r="AC1127" s="1" t="s">
        <v>1925</v>
      </c>
      <c r="AD1127" s="1"/>
      <c r="AE1127" s="1" t="s">
        <v>1152</v>
      </c>
      <c r="AF1127" s="1"/>
      <c r="AG1127" s="1"/>
      <c r="AH1127" s="1" t="s">
        <v>1152</v>
      </c>
      <c r="AI1127" s="1"/>
      <c r="AJ1127" s="1" t="s">
        <v>5812</v>
      </c>
      <c r="AK1127" s="1" t="s">
        <v>1152</v>
      </c>
      <c r="AL1127" s="6" t="str">
        <f t="array" ref="AL1127">IFERROR(IFS(XLOOKUP(B1127, 'Kit Delivery Status'!$U:$U, 'Kit Delivery Status'!$K:$K) = "Complete", "DELIVERED", XLOOKUP(B1127, 'Kit Delivery Status'!$U:$U, 'Kit Delivery Status'!$K:$K) = "Issue", "ISSUE"), "")</f>
        <v/>
      </c>
      <c r="AM1127" s="6"/>
    </row>
    <row r="1128">
      <c r="A1128" s="5" t="s">
        <v>5813</v>
      </c>
      <c r="B1128" s="1" t="s">
        <v>5814</v>
      </c>
      <c r="C1128" s="1" t="s">
        <v>135</v>
      </c>
      <c r="D1128" s="2">
        <v>8.323714682E9</v>
      </c>
      <c r="E1128" s="1" t="s">
        <v>137</v>
      </c>
      <c r="F1128" s="1" t="s">
        <v>5815</v>
      </c>
      <c r="G1128" s="1" t="s">
        <v>1609</v>
      </c>
      <c r="H1128" s="1" t="s">
        <v>1583</v>
      </c>
      <c r="I1128" s="1">
        <v>77025.0</v>
      </c>
      <c r="J1128" s="1" t="s">
        <v>752</v>
      </c>
      <c r="K1128" s="1" t="s">
        <v>51</v>
      </c>
      <c r="L1128" s="1" t="s">
        <v>5722</v>
      </c>
      <c r="M1128" s="1">
        <v>1.0</v>
      </c>
      <c r="N1128" s="1" t="s">
        <v>2487</v>
      </c>
      <c r="O1128" s="3"/>
      <c r="P1128" s="18">
        <v>45887.0</v>
      </c>
      <c r="Q1128" s="1" t="s">
        <v>1630</v>
      </c>
      <c r="R1128" s="1" t="s">
        <v>5815</v>
      </c>
      <c r="S1128" s="1" t="s">
        <v>124</v>
      </c>
      <c r="T1128" s="1" t="s">
        <v>2487</v>
      </c>
      <c r="U1128" s="1"/>
      <c r="V1128" s="4"/>
      <c r="W1128" s="1" t="s">
        <v>5815</v>
      </c>
      <c r="X1128" s="18">
        <v>45887.0</v>
      </c>
      <c r="Y1128" s="1" t="s">
        <v>1630</v>
      </c>
      <c r="Z1128" s="1"/>
      <c r="AA1128" s="1" t="s">
        <v>5815</v>
      </c>
      <c r="AB1128" s="1" t="s">
        <v>124</v>
      </c>
      <c r="AC1128" s="1" t="s">
        <v>1925</v>
      </c>
      <c r="AD1128" s="1"/>
      <c r="AE1128" s="1" t="s">
        <v>1152</v>
      </c>
      <c r="AF1128" s="1"/>
      <c r="AG1128" s="1"/>
      <c r="AH1128" s="1" t="s">
        <v>1152</v>
      </c>
      <c r="AI1128" s="1"/>
      <c r="AJ1128" s="1" t="s">
        <v>137</v>
      </c>
      <c r="AK1128" s="1" t="s">
        <v>1152</v>
      </c>
      <c r="AL1128" s="6" t="str">
        <f t="array" ref="AL1128">IFERROR(IFS(XLOOKUP(B1128, 'Kit Delivery Status'!$U:$U, 'Kit Delivery Status'!$K:$K) = "Complete", "DELIVERED", XLOOKUP(B1128, 'Kit Delivery Status'!$U:$U, 'Kit Delivery Status'!$K:$K) = "Issue", "ISSUE"), "")</f>
        <v/>
      </c>
      <c r="AM1128" s="6"/>
    </row>
    <row r="1129">
      <c r="A1129" s="5" t="s">
        <v>5816</v>
      </c>
      <c r="B1129" s="1" t="s">
        <v>5817</v>
      </c>
      <c r="C1129" s="1" t="s">
        <v>5818</v>
      </c>
      <c r="D1129" s="2">
        <v>1.9733495659E10</v>
      </c>
      <c r="E1129" s="1" t="s">
        <v>5819</v>
      </c>
      <c r="F1129" s="1"/>
      <c r="G1129" s="1" t="s">
        <v>3729</v>
      </c>
      <c r="H1129" s="1" t="s">
        <v>1053</v>
      </c>
      <c r="I1129" s="1">
        <v>7043.0</v>
      </c>
      <c r="J1129" s="1" t="s">
        <v>752</v>
      </c>
      <c r="K1129" s="1" t="s">
        <v>95</v>
      </c>
      <c r="L1129" s="1" t="s">
        <v>5820</v>
      </c>
      <c r="M1129" s="1">
        <v>49.0</v>
      </c>
      <c r="N1129" s="1" t="s">
        <v>2461</v>
      </c>
      <c r="O1129" s="3" t="s">
        <v>5821</v>
      </c>
      <c r="P1129" s="18">
        <v>45891.0</v>
      </c>
      <c r="Q1129" s="1" t="s">
        <v>1030</v>
      </c>
      <c r="R1129" s="1"/>
      <c r="S1129" s="1" t="s">
        <v>52</v>
      </c>
      <c r="T1129" s="1" t="s">
        <v>2461</v>
      </c>
      <c r="U1129" s="1" t="s">
        <v>1201</v>
      </c>
      <c r="V1129" s="4" t="s">
        <v>5821</v>
      </c>
      <c r="W1129" s="1"/>
      <c r="X1129" s="18">
        <v>45891.0</v>
      </c>
      <c r="Y1129" s="1" t="s">
        <v>1030</v>
      </c>
      <c r="Z1129" s="1"/>
      <c r="AA1129" s="1"/>
      <c r="AB1129" s="1" t="s">
        <v>52</v>
      </c>
      <c r="AC1129" s="1" t="s">
        <v>5822</v>
      </c>
      <c r="AD1129" s="1"/>
      <c r="AE1129" s="1" t="s">
        <v>1152</v>
      </c>
      <c r="AF1129" s="1"/>
      <c r="AG1129" s="1"/>
      <c r="AH1129" s="1" t="s">
        <v>1152</v>
      </c>
      <c r="AI1129" s="1"/>
      <c r="AJ1129" s="1" t="s">
        <v>5819</v>
      </c>
      <c r="AK1129" s="1" t="s">
        <v>1152</v>
      </c>
      <c r="AL1129" s="6" t="str">
        <f t="array" ref="AL1129">IFERROR(IFS(XLOOKUP(B1129, 'Kit Delivery Status'!$U:$U, 'Kit Delivery Status'!$K:$K) = "Complete", "DELIVERED", XLOOKUP(B1129, 'Kit Delivery Status'!$U:$U, 'Kit Delivery Status'!$K:$K) = "Issue", "ISSUE"), "")</f>
        <v/>
      </c>
      <c r="AM1129" s="6"/>
    </row>
    <row r="1130">
      <c r="A1130" s="5" t="s">
        <v>5823</v>
      </c>
      <c r="B1130" s="1" t="s">
        <v>5824</v>
      </c>
      <c r="C1130" s="1" t="s">
        <v>5825</v>
      </c>
      <c r="D1130" s="2">
        <v>6.466181335E9</v>
      </c>
      <c r="E1130" s="1" t="s">
        <v>5826</v>
      </c>
      <c r="F1130" s="1"/>
      <c r="G1130" s="1" t="s">
        <v>751</v>
      </c>
      <c r="H1130" s="1" t="s">
        <v>751</v>
      </c>
      <c r="I1130" s="1">
        <v>10025.0</v>
      </c>
      <c r="J1130" s="1" t="s">
        <v>752</v>
      </c>
      <c r="K1130" s="1" t="s">
        <v>66</v>
      </c>
      <c r="L1130" s="1" t="s">
        <v>5811</v>
      </c>
      <c r="M1130" s="1">
        <v>145.0</v>
      </c>
      <c r="N1130" s="1" t="s">
        <v>1152</v>
      </c>
      <c r="O1130" s="3" t="s">
        <v>5827</v>
      </c>
      <c r="P1130" s="18">
        <v>45883.0</v>
      </c>
      <c r="Q1130" s="1"/>
      <c r="R1130" s="1"/>
      <c r="S1130" s="1"/>
      <c r="T1130" s="1" t="s">
        <v>1152</v>
      </c>
      <c r="U1130" s="1" t="s">
        <v>1794</v>
      </c>
      <c r="V1130" s="4" t="s">
        <v>5827</v>
      </c>
      <c r="W1130" s="1"/>
      <c r="X1130" s="18">
        <v>45883.0</v>
      </c>
      <c r="Y1130" s="1"/>
      <c r="Z1130" s="1"/>
      <c r="AA1130" s="1"/>
      <c r="AB1130" s="1"/>
      <c r="AC1130" s="1" t="s">
        <v>1925</v>
      </c>
      <c r="AD1130" s="1"/>
      <c r="AE1130" s="1" t="s">
        <v>1152</v>
      </c>
      <c r="AF1130" s="1"/>
      <c r="AG1130" s="1"/>
      <c r="AH1130" s="1" t="s">
        <v>1152</v>
      </c>
      <c r="AI1130" s="1"/>
      <c r="AJ1130" s="1" t="s">
        <v>5826</v>
      </c>
      <c r="AK1130" s="1" t="s">
        <v>1152</v>
      </c>
      <c r="AL1130" s="6" t="str">
        <f t="array" ref="AL1130">IFERROR(IFS(XLOOKUP(B1130, 'Kit Delivery Status'!$U:$U, 'Kit Delivery Status'!$K:$K) = "Complete", "DELIVERED", XLOOKUP(B1130, 'Kit Delivery Status'!$U:$U, 'Kit Delivery Status'!$K:$K) = "Issue", "ISSUE"), "")</f>
        <v/>
      </c>
      <c r="AM1130" s="6"/>
    </row>
    <row r="1131">
      <c r="A1131" s="5" t="s">
        <v>5828</v>
      </c>
      <c r="B1131" s="1" t="s">
        <v>5829</v>
      </c>
      <c r="C1131" s="1" t="s">
        <v>5830</v>
      </c>
      <c r="D1131" s="2">
        <v>9.197873233E9</v>
      </c>
      <c r="E1131" s="1" t="s">
        <v>5831</v>
      </c>
      <c r="F1131" s="1"/>
      <c r="G1131" s="1" t="s">
        <v>5832</v>
      </c>
      <c r="H1131" s="1" t="s">
        <v>1438</v>
      </c>
      <c r="I1131" s="1">
        <v>27511.0</v>
      </c>
      <c r="J1131" s="1" t="s">
        <v>752</v>
      </c>
      <c r="K1131" s="1" t="s">
        <v>66</v>
      </c>
      <c r="L1131" s="1" t="s">
        <v>5833</v>
      </c>
      <c r="M1131" s="1">
        <v>65.0</v>
      </c>
      <c r="N1131" s="1" t="s">
        <v>1152</v>
      </c>
      <c r="O1131" s="3" t="s">
        <v>5834</v>
      </c>
      <c r="P1131" s="18">
        <v>45883.0</v>
      </c>
      <c r="Q1131" s="1"/>
      <c r="R1131" s="1"/>
      <c r="S1131" s="1"/>
      <c r="T1131" s="1" t="s">
        <v>1152</v>
      </c>
      <c r="U1131" s="1" t="s">
        <v>1148</v>
      </c>
      <c r="V1131" s="4" t="s">
        <v>5834</v>
      </c>
      <c r="W1131" s="1"/>
      <c r="X1131" s="18">
        <v>45883.0</v>
      </c>
      <c r="Y1131" s="1"/>
      <c r="Z1131" s="1"/>
      <c r="AA1131" s="1"/>
      <c r="AB1131" s="1"/>
      <c r="AC1131" s="1" t="s">
        <v>1925</v>
      </c>
      <c r="AD1131" s="1"/>
      <c r="AE1131" s="1" t="s">
        <v>1152</v>
      </c>
      <c r="AF1131" s="1"/>
      <c r="AG1131" s="1"/>
      <c r="AH1131" s="1" t="s">
        <v>1152</v>
      </c>
      <c r="AI1131" s="1"/>
      <c r="AJ1131" s="1" t="s">
        <v>5835</v>
      </c>
      <c r="AK1131" s="1" t="s">
        <v>1152</v>
      </c>
      <c r="AL1131" s="6" t="str">
        <f t="array" ref="AL1131">IFERROR(IFS(XLOOKUP(B1131, 'Kit Delivery Status'!$U:$U, 'Kit Delivery Status'!$K:$K) = "Complete", "DELIVERED", XLOOKUP(B1131, 'Kit Delivery Status'!$U:$U, 'Kit Delivery Status'!$K:$K) = "Issue", "ISSUE"), "")</f>
        <v/>
      </c>
      <c r="AM1131" s="6"/>
    </row>
    <row r="1132">
      <c r="A1132" s="5" t="s">
        <v>5836</v>
      </c>
      <c r="B1132" s="1" t="s">
        <v>5837</v>
      </c>
      <c r="C1132" s="1" t="s">
        <v>5838</v>
      </c>
      <c r="D1132" s="2">
        <v>8.12803899E9</v>
      </c>
      <c r="E1132" s="1" t="s">
        <v>5839</v>
      </c>
      <c r="F1132" s="1" t="s">
        <v>5840</v>
      </c>
      <c r="G1132" s="1" t="s">
        <v>5841</v>
      </c>
      <c r="H1132" s="1" t="s">
        <v>1155</v>
      </c>
      <c r="I1132" s="1">
        <v>63105.0</v>
      </c>
      <c r="J1132" s="1" t="s">
        <v>752</v>
      </c>
      <c r="K1132" s="1" t="s">
        <v>51</v>
      </c>
      <c r="L1132" s="1" t="s">
        <v>5722</v>
      </c>
      <c r="M1132" s="1">
        <v>1.0</v>
      </c>
      <c r="N1132" s="1" t="s">
        <v>2487</v>
      </c>
      <c r="O1132" s="3"/>
      <c r="P1132" s="18">
        <v>45883.0</v>
      </c>
      <c r="Q1132" s="1" t="s">
        <v>1349</v>
      </c>
      <c r="R1132" s="1" t="s">
        <v>5840</v>
      </c>
      <c r="S1132" s="1" t="s">
        <v>124</v>
      </c>
      <c r="T1132" s="1" t="s">
        <v>2487</v>
      </c>
      <c r="U1132" s="1"/>
      <c r="V1132" s="4"/>
      <c r="W1132" s="1" t="s">
        <v>5840</v>
      </c>
      <c r="X1132" s="18">
        <v>45883.0</v>
      </c>
      <c r="Y1132" s="1" t="s">
        <v>1349</v>
      </c>
      <c r="Z1132" s="1"/>
      <c r="AA1132" s="1" t="s">
        <v>5840</v>
      </c>
      <c r="AB1132" s="1" t="s">
        <v>124</v>
      </c>
      <c r="AC1132" s="1" t="s">
        <v>1925</v>
      </c>
      <c r="AD1132" s="1"/>
      <c r="AE1132" s="1" t="s">
        <v>1152</v>
      </c>
      <c r="AF1132" s="1"/>
      <c r="AG1132" s="1"/>
      <c r="AH1132" s="1" t="s">
        <v>1152</v>
      </c>
      <c r="AI1132" s="1"/>
      <c r="AJ1132" s="1" t="s">
        <v>5842</v>
      </c>
      <c r="AK1132" s="1" t="s">
        <v>1152</v>
      </c>
      <c r="AL1132" s="6" t="str">
        <f t="array" ref="AL1132">IFERROR(IFS(XLOOKUP(B1132, 'Kit Delivery Status'!$U:$U, 'Kit Delivery Status'!$K:$K) = "Complete", "DELIVERED", XLOOKUP(B1132, 'Kit Delivery Status'!$U:$U, 'Kit Delivery Status'!$K:$K) = "Issue", "ISSUE"), "")</f>
        <v/>
      </c>
      <c r="AM1132" s="6"/>
    </row>
    <row r="1133">
      <c r="A1133" s="5" t="s">
        <v>5843</v>
      </c>
      <c r="B1133" s="1" t="s">
        <v>5844</v>
      </c>
      <c r="C1133" s="1" t="s">
        <v>5845</v>
      </c>
      <c r="D1133" s="2">
        <v>6.092106952E9</v>
      </c>
      <c r="E1133" s="1" t="s">
        <v>5846</v>
      </c>
      <c r="F1133" s="1" t="s">
        <v>5847</v>
      </c>
      <c r="G1133" s="1" t="s">
        <v>1283</v>
      </c>
      <c r="H1133" s="1" t="s">
        <v>1155</v>
      </c>
      <c r="I1133" s="1">
        <v>63108.0</v>
      </c>
      <c r="J1133" s="1" t="s">
        <v>752</v>
      </c>
      <c r="K1133" s="1" t="s">
        <v>51</v>
      </c>
      <c r="L1133" s="1" t="s">
        <v>5722</v>
      </c>
      <c r="M1133" s="1">
        <v>1.0</v>
      </c>
      <c r="N1133" s="1" t="s">
        <v>2487</v>
      </c>
      <c r="O1133" s="3"/>
      <c r="P1133" s="18">
        <v>45892.0</v>
      </c>
      <c r="Q1133" s="1" t="s">
        <v>5848</v>
      </c>
      <c r="R1133" s="1" t="s">
        <v>5847</v>
      </c>
      <c r="S1133" s="1" t="s">
        <v>124</v>
      </c>
      <c r="T1133" s="1" t="s">
        <v>2487</v>
      </c>
      <c r="U1133" s="1"/>
      <c r="V1133" s="4"/>
      <c r="W1133" s="1" t="s">
        <v>5847</v>
      </c>
      <c r="X1133" s="18">
        <v>45892.0</v>
      </c>
      <c r="Y1133" s="1" t="s">
        <v>5848</v>
      </c>
      <c r="Z1133" s="1"/>
      <c r="AA1133" s="1" t="s">
        <v>5847</v>
      </c>
      <c r="AB1133" s="1" t="s">
        <v>124</v>
      </c>
      <c r="AC1133" s="1" t="s">
        <v>1925</v>
      </c>
      <c r="AD1133" s="1"/>
      <c r="AE1133" s="1" t="s">
        <v>1152</v>
      </c>
      <c r="AF1133" s="1"/>
      <c r="AG1133" s="1"/>
      <c r="AH1133" s="1" t="s">
        <v>1152</v>
      </c>
      <c r="AI1133" s="1"/>
      <c r="AJ1133" s="1" t="s">
        <v>5846</v>
      </c>
      <c r="AK1133" s="1" t="s">
        <v>1152</v>
      </c>
      <c r="AL1133" s="6" t="str">
        <f t="array" ref="AL1133">IFERROR(IFS(XLOOKUP(B1133, 'Kit Delivery Status'!$U:$U, 'Kit Delivery Status'!$K:$K) = "Complete", "DELIVERED", XLOOKUP(B1133, 'Kit Delivery Status'!$U:$U, 'Kit Delivery Status'!$K:$K) = "Issue", "ISSUE"), "")</f>
        <v/>
      </c>
      <c r="AM1133" s="6"/>
    </row>
    <row r="1134">
      <c r="A1134" s="5" t="s">
        <v>5849</v>
      </c>
      <c r="B1134" s="1" t="s">
        <v>5850</v>
      </c>
      <c r="C1134" s="1" t="s">
        <v>5851</v>
      </c>
      <c r="D1134" s="2">
        <v>12539886808</v>
      </c>
      <c r="E1134" s="1" t="s">
        <v>3845</v>
      </c>
      <c r="F1134" s="1"/>
      <c r="G1134" s="1" t="s">
        <v>3846</v>
      </c>
      <c r="H1134" s="1" t="s">
        <v>980</v>
      </c>
      <c r="I1134" s="1">
        <v>98335.0</v>
      </c>
      <c r="J1134" s="1" t="s">
        <v>752</v>
      </c>
      <c r="K1134" s="1" t="s">
        <v>66</v>
      </c>
      <c r="L1134" s="1" t="s">
        <v>5767</v>
      </c>
      <c r="M1134" s="1">
        <v>210.0</v>
      </c>
      <c r="N1134" s="1" t="s">
        <v>1152</v>
      </c>
      <c r="O1134" s="3" t="s">
        <v>5852</v>
      </c>
      <c r="P1134" s="18">
        <v>45883.0</v>
      </c>
      <c r="Q1134" s="1"/>
      <c r="R1134" s="1"/>
      <c r="S1134" s="1"/>
      <c r="T1134" s="1" t="s">
        <v>1152</v>
      </c>
      <c r="U1134" s="1" t="s">
        <v>1343</v>
      </c>
      <c r="V1134" s="4" t="s">
        <v>5852</v>
      </c>
      <c r="W1134" s="1"/>
      <c r="X1134" s="18">
        <v>45883.0</v>
      </c>
      <c r="Y1134" s="1"/>
      <c r="Z1134" s="1"/>
      <c r="AA1134" s="1"/>
      <c r="AB1134" s="1"/>
      <c r="AC1134" s="1" t="s">
        <v>1925</v>
      </c>
      <c r="AD1134" s="1"/>
      <c r="AE1134" s="1" t="s">
        <v>1152</v>
      </c>
      <c r="AF1134" s="1"/>
      <c r="AG1134" s="1"/>
      <c r="AH1134" s="1" t="s">
        <v>1152</v>
      </c>
      <c r="AI1134" s="1"/>
      <c r="AJ1134" s="1" t="s">
        <v>5853</v>
      </c>
      <c r="AK1134" s="1" t="s">
        <v>1152</v>
      </c>
      <c r="AL1134" s="6" t="str">
        <f t="array" ref="AL1134">IFERROR(IFS(XLOOKUP(B1134, 'Kit Delivery Status'!$U:$U, 'Kit Delivery Status'!$K:$K) = "Complete", "DELIVERED", XLOOKUP(B1134, 'Kit Delivery Status'!$U:$U, 'Kit Delivery Status'!$K:$K) = "Issue", "ISSUE"), "")</f>
        <v/>
      </c>
      <c r="AM1134" s="6"/>
    </row>
    <row r="1135">
      <c r="A1135" s="5" t="s">
        <v>5854</v>
      </c>
      <c r="B1135" s="1" t="s">
        <v>5855</v>
      </c>
      <c r="C1135" s="1"/>
      <c r="D1135" s="2">
        <v>6.122078233E9</v>
      </c>
      <c r="E1135" s="1" t="s">
        <v>5856</v>
      </c>
      <c r="F1135" s="1"/>
      <c r="G1135" s="1" t="s">
        <v>2998</v>
      </c>
      <c r="H1135" s="1" t="s">
        <v>2999</v>
      </c>
      <c r="I1135" s="1">
        <v>55401.0</v>
      </c>
      <c r="J1135" s="1" t="s">
        <v>752</v>
      </c>
      <c r="K1135" s="1" t="s">
        <v>66</v>
      </c>
      <c r="L1135" s="1" t="s">
        <v>5811</v>
      </c>
      <c r="M1135" s="1">
        <v>145.0</v>
      </c>
      <c r="N1135" s="1" t="s">
        <v>1152</v>
      </c>
      <c r="O1135" s="3" t="s">
        <v>5857</v>
      </c>
      <c r="P1135" s="18">
        <v>45881.0</v>
      </c>
      <c r="Q1135" s="1"/>
      <c r="R1135" s="1"/>
      <c r="S1135" s="1"/>
      <c r="T1135" s="1" t="s">
        <v>1152</v>
      </c>
      <c r="U1135" s="1" t="s">
        <v>3713</v>
      </c>
      <c r="V1135" s="4" t="s">
        <v>5857</v>
      </c>
      <c r="W1135" s="1"/>
      <c r="X1135" s="18">
        <v>45881.0</v>
      </c>
      <c r="Y1135" s="1"/>
      <c r="Z1135" s="1"/>
      <c r="AA1135" s="1"/>
      <c r="AB1135" s="1"/>
      <c r="AC1135" s="1" t="s">
        <v>1925</v>
      </c>
      <c r="AD1135" s="1"/>
      <c r="AE1135" s="1" t="s">
        <v>1152</v>
      </c>
      <c r="AF1135" s="1"/>
      <c r="AG1135" s="1"/>
      <c r="AH1135" s="1" t="s">
        <v>1152</v>
      </c>
      <c r="AI1135" s="1"/>
      <c r="AJ1135" s="1" t="s">
        <v>5858</v>
      </c>
      <c r="AK1135" s="1" t="s">
        <v>1152</v>
      </c>
      <c r="AL1135" s="6" t="str">
        <f t="array" ref="AL1135">IFERROR(IFS(XLOOKUP(B1135, 'Kit Delivery Status'!$U:$U, 'Kit Delivery Status'!$K:$K) = "Complete", "DELIVERED", XLOOKUP(B1135, 'Kit Delivery Status'!$U:$U, 'Kit Delivery Status'!$K:$K) = "Issue", "ISSUE"), "")</f>
        <v/>
      </c>
      <c r="AM1135" s="6"/>
    </row>
    <row r="1136">
      <c r="A1136" s="5" t="s">
        <v>5859</v>
      </c>
      <c r="B1136" s="1" t="s">
        <v>5860</v>
      </c>
      <c r="C1136" s="1" t="s">
        <v>5861</v>
      </c>
      <c r="D1136" s="2">
        <v>4.049855276E9</v>
      </c>
      <c r="E1136" s="1" t="s">
        <v>5862</v>
      </c>
      <c r="F1136" s="1"/>
      <c r="G1136" s="1" t="s">
        <v>3842</v>
      </c>
      <c r="H1136" s="1" t="s">
        <v>946</v>
      </c>
      <c r="I1136" s="1">
        <v>30328.0</v>
      </c>
      <c r="J1136" s="1" t="s">
        <v>752</v>
      </c>
      <c r="K1136" s="1" t="s">
        <v>66</v>
      </c>
      <c r="L1136" s="1" t="s">
        <v>5767</v>
      </c>
      <c r="M1136" s="1">
        <v>210.0</v>
      </c>
      <c r="N1136" s="1" t="s">
        <v>1152</v>
      </c>
      <c r="O1136" s="3" t="s">
        <v>4814</v>
      </c>
      <c r="P1136" s="18">
        <v>45883.0</v>
      </c>
      <c r="Q1136" s="1"/>
      <c r="R1136" s="1"/>
      <c r="S1136" s="1"/>
      <c r="T1136" s="1" t="s">
        <v>1152</v>
      </c>
      <c r="U1136" s="1" t="s">
        <v>982</v>
      </c>
      <c r="V1136" s="4" t="s">
        <v>4814</v>
      </c>
      <c r="W1136" s="1"/>
      <c r="X1136" s="18">
        <v>45883.0</v>
      </c>
      <c r="Y1136" s="1"/>
      <c r="Z1136" s="1"/>
      <c r="AA1136" s="1"/>
      <c r="AB1136" s="1"/>
      <c r="AC1136" s="1" t="s">
        <v>1925</v>
      </c>
      <c r="AD1136" s="1"/>
      <c r="AE1136" s="1" t="s">
        <v>1152</v>
      </c>
      <c r="AF1136" s="1"/>
      <c r="AG1136" s="1"/>
      <c r="AH1136" s="1" t="s">
        <v>1152</v>
      </c>
      <c r="AI1136" s="1"/>
      <c r="AJ1136" s="1" t="s">
        <v>5862</v>
      </c>
      <c r="AK1136" s="1" t="s">
        <v>1152</v>
      </c>
      <c r="AL1136" s="6" t="str">
        <f t="array" ref="AL1136">IFERROR(IFS(XLOOKUP(B1136, 'Kit Delivery Status'!$U:$U, 'Kit Delivery Status'!$K:$K) = "Complete", "DELIVERED", XLOOKUP(B1136, 'Kit Delivery Status'!$U:$U, 'Kit Delivery Status'!$K:$K) = "Issue", "ISSUE"), "")</f>
        <v/>
      </c>
      <c r="AM1136" s="6"/>
    </row>
    <row r="1137">
      <c r="A1137" s="5" t="s">
        <v>5863</v>
      </c>
      <c r="B1137" s="1" t="s">
        <v>5864</v>
      </c>
      <c r="C1137" s="1"/>
      <c r="D1137" s="2">
        <v>5.125347623E9</v>
      </c>
      <c r="E1137" s="1" t="s">
        <v>5865</v>
      </c>
      <c r="F1137" s="1" t="s">
        <v>5866</v>
      </c>
      <c r="G1137" s="1" t="s">
        <v>1582</v>
      </c>
      <c r="H1137" s="1" t="s">
        <v>1583</v>
      </c>
      <c r="I1137" s="1">
        <v>78733.0</v>
      </c>
      <c r="J1137" s="1" t="s">
        <v>752</v>
      </c>
      <c r="K1137" s="1" t="s">
        <v>51</v>
      </c>
      <c r="L1137" s="1" t="s">
        <v>5722</v>
      </c>
      <c r="M1137" s="1">
        <v>1.0</v>
      </c>
      <c r="N1137" s="1" t="s">
        <v>2487</v>
      </c>
      <c r="O1137" s="3"/>
      <c r="P1137" s="18">
        <v>45889.0</v>
      </c>
      <c r="Q1137" s="1" t="s">
        <v>1030</v>
      </c>
      <c r="R1137" s="1" t="s">
        <v>5866</v>
      </c>
      <c r="S1137" s="1" t="s">
        <v>124</v>
      </c>
      <c r="T1137" s="1" t="s">
        <v>2487</v>
      </c>
      <c r="U1137" s="1"/>
      <c r="V1137" s="4"/>
      <c r="W1137" s="1" t="s">
        <v>5866</v>
      </c>
      <c r="X1137" s="18">
        <v>45889.0</v>
      </c>
      <c r="Y1137" s="1" t="s">
        <v>1030</v>
      </c>
      <c r="Z1137" s="1"/>
      <c r="AA1137" s="1" t="s">
        <v>5866</v>
      </c>
      <c r="AB1137" s="1" t="s">
        <v>124</v>
      </c>
      <c r="AC1137" s="1" t="s">
        <v>1925</v>
      </c>
      <c r="AD1137" s="1"/>
      <c r="AE1137" s="1" t="s">
        <v>1152</v>
      </c>
      <c r="AF1137" s="1"/>
      <c r="AG1137" s="1"/>
      <c r="AH1137" s="1" t="s">
        <v>1152</v>
      </c>
      <c r="AI1137" s="1"/>
      <c r="AJ1137" s="1" t="s">
        <v>5867</v>
      </c>
      <c r="AK1137" s="1" t="s">
        <v>1152</v>
      </c>
      <c r="AL1137" s="6" t="str">
        <f t="array" ref="AL1137">IFERROR(IFS(XLOOKUP(B1137, 'Kit Delivery Status'!$U:$U, 'Kit Delivery Status'!$K:$K) = "Complete", "DELIVERED", XLOOKUP(B1137, 'Kit Delivery Status'!$U:$U, 'Kit Delivery Status'!$K:$K) = "Issue", "ISSUE"), "")</f>
        <v/>
      </c>
      <c r="AM1137" s="6"/>
    </row>
    <row r="1138">
      <c r="A1138" s="5" t="s">
        <v>5868</v>
      </c>
      <c r="B1138" s="1" t="s">
        <v>5869</v>
      </c>
      <c r="C1138" s="1" t="s">
        <v>5870</v>
      </c>
      <c r="D1138" s="2">
        <v>16102205349</v>
      </c>
      <c r="E1138" s="1" t="s">
        <v>5871</v>
      </c>
      <c r="F1138" s="1" t="s">
        <v>5872</v>
      </c>
      <c r="G1138" s="1" t="s">
        <v>5873</v>
      </c>
      <c r="H1138" s="1" t="s">
        <v>1233</v>
      </c>
      <c r="I1138" s="1">
        <v>19003.0</v>
      </c>
      <c r="J1138" s="1" t="s">
        <v>752</v>
      </c>
      <c r="K1138" s="1" t="s">
        <v>51</v>
      </c>
      <c r="L1138" s="1" t="s">
        <v>5722</v>
      </c>
      <c r="M1138" s="1">
        <v>1.0</v>
      </c>
      <c r="N1138" s="1" t="s">
        <v>2487</v>
      </c>
      <c r="O1138" s="3"/>
      <c r="P1138" s="18">
        <v>45891.0</v>
      </c>
      <c r="Q1138" s="1" t="s">
        <v>1349</v>
      </c>
      <c r="R1138" s="1" t="s">
        <v>5872</v>
      </c>
      <c r="S1138" s="1" t="s">
        <v>124</v>
      </c>
      <c r="T1138" s="1" t="s">
        <v>2487</v>
      </c>
      <c r="U1138" s="1"/>
      <c r="V1138" s="4"/>
      <c r="W1138" s="1" t="s">
        <v>5872</v>
      </c>
      <c r="X1138" s="18">
        <v>45891.0</v>
      </c>
      <c r="Y1138" s="1" t="s">
        <v>1349</v>
      </c>
      <c r="Z1138" s="1"/>
      <c r="AA1138" s="1" t="s">
        <v>5872</v>
      </c>
      <c r="AB1138" s="1" t="s">
        <v>124</v>
      </c>
      <c r="AC1138" s="1" t="s">
        <v>1925</v>
      </c>
      <c r="AD1138" s="1"/>
      <c r="AE1138" s="1" t="s">
        <v>1152</v>
      </c>
      <c r="AF1138" s="1"/>
      <c r="AG1138" s="1"/>
      <c r="AH1138" s="1" t="s">
        <v>1152</v>
      </c>
      <c r="AI1138" s="1"/>
      <c r="AJ1138" s="1" t="s">
        <v>5871</v>
      </c>
      <c r="AK1138" s="1" t="s">
        <v>1152</v>
      </c>
      <c r="AL1138" s="6" t="str">
        <f t="array" ref="AL1138">IFERROR(IFS(XLOOKUP(B1138, 'Kit Delivery Status'!$U:$U, 'Kit Delivery Status'!$K:$K) = "Complete", "DELIVERED", XLOOKUP(B1138, 'Kit Delivery Status'!$U:$U, 'Kit Delivery Status'!$K:$K) = "Issue", "ISSUE"), "")</f>
        <v/>
      </c>
      <c r="AM1138" s="6"/>
    </row>
    <row r="1139">
      <c r="A1139" s="5" t="s">
        <v>5874</v>
      </c>
      <c r="B1139" s="1" t="s">
        <v>5875</v>
      </c>
      <c r="C1139" s="1"/>
      <c r="D1139" s="2">
        <v>2.019884741E9</v>
      </c>
      <c r="E1139" s="1" t="s">
        <v>5876</v>
      </c>
      <c r="F1139" s="1"/>
      <c r="G1139" s="1" t="s">
        <v>5877</v>
      </c>
      <c r="H1139" s="1" t="s">
        <v>1053</v>
      </c>
      <c r="I1139" s="1">
        <v>7666.0</v>
      </c>
      <c r="J1139" s="1" t="s">
        <v>752</v>
      </c>
      <c r="K1139" s="1" t="s">
        <v>51</v>
      </c>
      <c r="L1139" s="1" t="s">
        <v>5722</v>
      </c>
      <c r="M1139" s="1">
        <v>1.0</v>
      </c>
      <c r="N1139" s="1" t="s">
        <v>2461</v>
      </c>
      <c r="O1139" s="3" t="s">
        <v>5878</v>
      </c>
      <c r="P1139" s="18">
        <v>45888.0</v>
      </c>
      <c r="Q1139" s="1" t="s">
        <v>5879</v>
      </c>
      <c r="R1139" s="1"/>
      <c r="S1139" s="1" t="s">
        <v>52</v>
      </c>
      <c r="T1139" s="1" t="s">
        <v>2461</v>
      </c>
      <c r="U1139" s="1" t="s">
        <v>2430</v>
      </c>
      <c r="V1139" s="4" t="s">
        <v>5878</v>
      </c>
      <c r="W1139" s="1"/>
      <c r="X1139" s="18">
        <v>45888.0</v>
      </c>
      <c r="Y1139" s="1" t="s">
        <v>1030</v>
      </c>
      <c r="Z1139" s="1"/>
      <c r="AA1139" s="1"/>
      <c r="AB1139" s="1" t="s">
        <v>52</v>
      </c>
      <c r="AC1139" s="1" t="s">
        <v>1925</v>
      </c>
      <c r="AD1139" s="1"/>
      <c r="AE1139" s="1" t="s">
        <v>1152</v>
      </c>
      <c r="AF1139" s="1"/>
      <c r="AG1139" s="1"/>
      <c r="AH1139" s="1" t="s">
        <v>1152</v>
      </c>
      <c r="AI1139" s="1"/>
      <c r="AJ1139" s="1" t="s">
        <v>5876</v>
      </c>
      <c r="AK1139" s="1" t="s">
        <v>1152</v>
      </c>
      <c r="AL1139" s="6" t="str">
        <f t="array" ref="AL1139">IFERROR(IFS(XLOOKUP(B1139, 'Kit Delivery Status'!$U:$U, 'Kit Delivery Status'!$K:$K) = "Complete", "DELIVERED", XLOOKUP(B1139, 'Kit Delivery Status'!$U:$U, 'Kit Delivery Status'!$K:$K) = "Issue", "ISSUE"), "")</f>
        <v/>
      </c>
      <c r="AM1139" s="6"/>
    </row>
    <row r="1140">
      <c r="A1140" s="5" t="s">
        <v>5880</v>
      </c>
      <c r="B1140" s="1" t="s">
        <v>5881</v>
      </c>
      <c r="C1140" s="1" t="s">
        <v>2576</v>
      </c>
      <c r="D1140" s="2">
        <v>6.186411334E9</v>
      </c>
      <c r="E1140" s="1" t="s">
        <v>2135</v>
      </c>
      <c r="F1140" s="1"/>
      <c r="G1140" s="1" t="s">
        <v>2136</v>
      </c>
      <c r="H1140" s="1" t="s">
        <v>1155</v>
      </c>
      <c r="I1140" s="1">
        <v>63117.0</v>
      </c>
      <c r="J1140" s="1" t="s">
        <v>752</v>
      </c>
      <c r="K1140" s="1" t="s">
        <v>2577</v>
      </c>
      <c r="L1140" s="1" t="s">
        <v>5882</v>
      </c>
      <c r="M1140" s="1">
        <v>1.0</v>
      </c>
      <c r="N1140" s="1" t="s">
        <v>2579</v>
      </c>
      <c r="O1140" s="3" t="s">
        <v>5883</v>
      </c>
      <c r="P1140" s="18">
        <v>45877.0</v>
      </c>
      <c r="Q1140" s="1" t="s">
        <v>5884</v>
      </c>
      <c r="R1140" s="1"/>
      <c r="S1140" s="1"/>
      <c r="T1140" s="1" t="s">
        <v>2579</v>
      </c>
      <c r="U1140" s="1" t="s">
        <v>1065</v>
      </c>
      <c r="V1140" s="4" t="s">
        <v>5883</v>
      </c>
      <c r="W1140" s="1"/>
      <c r="X1140" s="18">
        <v>45877.0</v>
      </c>
      <c r="Y1140" s="1" t="s">
        <v>5884</v>
      </c>
      <c r="Z1140" s="1"/>
      <c r="AA1140" s="1"/>
      <c r="AB1140" s="1"/>
      <c r="AC1140" s="1" t="s">
        <v>1925</v>
      </c>
      <c r="AD1140" s="1"/>
      <c r="AE1140" s="1" t="s">
        <v>1152</v>
      </c>
      <c r="AF1140" s="1"/>
      <c r="AG1140" s="1"/>
      <c r="AH1140" s="1" t="s">
        <v>1152</v>
      </c>
      <c r="AI1140" s="1" t="s">
        <v>5885</v>
      </c>
      <c r="AJ1140" s="1"/>
      <c r="AK1140" s="1" t="s">
        <v>5886</v>
      </c>
      <c r="AL1140" s="6" t="str">
        <f t="array" ref="AL1140">IFERROR(IFS(XLOOKUP(B1140, 'Kit Delivery Status'!$U:$U, 'Kit Delivery Status'!$K:$K) = "Complete", "DELIVERED", XLOOKUP(B1140, 'Kit Delivery Status'!$U:$U, 'Kit Delivery Status'!$K:$K) = "Issue", "ISSUE"), "")</f>
        <v/>
      </c>
      <c r="AM1140" s="6"/>
    </row>
    <row r="1141">
      <c r="A1141" s="5" t="s">
        <v>5880</v>
      </c>
      <c r="B1141" s="1" t="s">
        <v>5881</v>
      </c>
      <c r="C1141" s="1" t="s">
        <v>2576</v>
      </c>
      <c r="D1141" s="2">
        <v>6.186411334E9</v>
      </c>
      <c r="E1141" s="1" t="s">
        <v>2135</v>
      </c>
      <c r="F1141" s="1"/>
      <c r="G1141" s="1" t="s">
        <v>2136</v>
      </c>
      <c r="H1141" s="1" t="s">
        <v>1155</v>
      </c>
      <c r="I1141" s="1">
        <v>63117.0</v>
      </c>
      <c r="J1141" s="1" t="s">
        <v>752</v>
      </c>
      <c r="K1141" s="1" t="s">
        <v>2577</v>
      </c>
      <c r="L1141" s="1" t="s">
        <v>5882</v>
      </c>
      <c r="M1141" s="1">
        <v>1.0</v>
      </c>
      <c r="N1141" s="1" t="s">
        <v>2579</v>
      </c>
      <c r="O1141" s="3" t="s">
        <v>103</v>
      </c>
      <c r="P1141" s="18">
        <v>45877.0</v>
      </c>
      <c r="Q1141" s="1" t="s">
        <v>5887</v>
      </c>
      <c r="R1141" s="1"/>
      <c r="S1141" s="1"/>
      <c r="T1141" s="1" t="s">
        <v>2579</v>
      </c>
      <c r="U1141" s="1" t="s">
        <v>1794</v>
      </c>
      <c r="V1141" s="4" t="s">
        <v>103</v>
      </c>
      <c r="W1141" s="1"/>
      <c r="X1141" s="18">
        <v>45877.0</v>
      </c>
      <c r="Y1141" s="1" t="s">
        <v>5887</v>
      </c>
      <c r="Z1141" s="1"/>
      <c r="AA1141" s="1"/>
      <c r="AB1141" s="1"/>
      <c r="AC1141" s="1" t="s">
        <v>1925</v>
      </c>
      <c r="AD1141" s="1"/>
      <c r="AE1141" s="1" t="s">
        <v>1152</v>
      </c>
      <c r="AF1141" s="1"/>
      <c r="AG1141" s="1"/>
      <c r="AH1141" s="1" t="s">
        <v>1152</v>
      </c>
      <c r="AI1141" s="1" t="s">
        <v>5888</v>
      </c>
      <c r="AJ1141" s="1"/>
      <c r="AK1141" s="1" t="s">
        <v>5886</v>
      </c>
      <c r="AL1141" s="6" t="str">
        <f t="array" ref="AL1141">IFERROR(IFS(XLOOKUP(B1141, 'Kit Delivery Status'!$U:$U, 'Kit Delivery Status'!$K:$K) = "Complete", "DELIVERED", XLOOKUP(B1141, 'Kit Delivery Status'!$U:$U, 'Kit Delivery Status'!$K:$K) = "Issue", "ISSUE"), "")</f>
        <v/>
      </c>
      <c r="AM1141" s="6"/>
    </row>
    <row r="1142">
      <c r="A1142" s="5" t="s">
        <v>5880</v>
      </c>
      <c r="B1142" s="1" t="s">
        <v>5881</v>
      </c>
      <c r="C1142" s="1" t="s">
        <v>2576</v>
      </c>
      <c r="D1142" s="2">
        <v>6.186411334E9</v>
      </c>
      <c r="E1142" s="1" t="s">
        <v>2135</v>
      </c>
      <c r="F1142" s="1"/>
      <c r="G1142" s="1" t="s">
        <v>2136</v>
      </c>
      <c r="H1142" s="1" t="s">
        <v>1155</v>
      </c>
      <c r="I1142" s="1">
        <v>63117.0</v>
      </c>
      <c r="J1142" s="1" t="s">
        <v>752</v>
      </c>
      <c r="K1142" s="1" t="s">
        <v>2577</v>
      </c>
      <c r="L1142" s="1" t="s">
        <v>5882</v>
      </c>
      <c r="M1142" s="1">
        <v>1.0</v>
      </c>
      <c r="N1142" s="1" t="s">
        <v>2579</v>
      </c>
      <c r="O1142" s="3" t="s">
        <v>258</v>
      </c>
      <c r="P1142" s="18">
        <v>45877.0</v>
      </c>
      <c r="Q1142" s="1" t="s">
        <v>5889</v>
      </c>
      <c r="R1142" s="1"/>
      <c r="S1142" s="1"/>
      <c r="T1142" s="1" t="s">
        <v>2579</v>
      </c>
      <c r="U1142" s="1" t="s">
        <v>2430</v>
      </c>
      <c r="V1142" s="4" t="s">
        <v>258</v>
      </c>
      <c r="W1142" s="1"/>
      <c r="X1142" s="18">
        <v>45877.0</v>
      </c>
      <c r="Y1142" s="1" t="s">
        <v>5889</v>
      </c>
      <c r="Z1142" s="1"/>
      <c r="AA1142" s="1"/>
      <c r="AB1142" s="1"/>
      <c r="AC1142" s="1" t="s">
        <v>1925</v>
      </c>
      <c r="AD1142" s="1"/>
      <c r="AE1142" s="1" t="s">
        <v>1152</v>
      </c>
      <c r="AF1142" s="1"/>
      <c r="AG1142" s="1"/>
      <c r="AH1142" s="1" t="s">
        <v>1152</v>
      </c>
      <c r="AI1142" s="1" t="s">
        <v>5890</v>
      </c>
      <c r="AJ1142" s="1"/>
      <c r="AK1142" s="1" t="s">
        <v>5886</v>
      </c>
      <c r="AL1142" s="6" t="str">
        <f t="array" ref="AL1142">IFERROR(IFS(XLOOKUP(B1142, 'Kit Delivery Status'!$U:$U, 'Kit Delivery Status'!$K:$K) = "Complete", "DELIVERED", XLOOKUP(B1142, 'Kit Delivery Status'!$U:$U, 'Kit Delivery Status'!$K:$K) = "Issue", "ISSUE"), "")</f>
        <v/>
      </c>
      <c r="AM1142" s="6"/>
    </row>
    <row r="1143">
      <c r="A1143" s="5" t="s">
        <v>5891</v>
      </c>
      <c r="B1143" s="1" t="s">
        <v>5892</v>
      </c>
      <c r="C1143" s="1" t="s">
        <v>5893</v>
      </c>
      <c r="D1143" s="2" t="str">
        <v>#ERROR!</v>
      </c>
      <c r="E1143" s="1" t="s">
        <v>5894</v>
      </c>
      <c r="F1143" s="1"/>
      <c r="G1143" s="1" t="s">
        <v>5895</v>
      </c>
      <c r="H1143" s="1" t="s">
        <v>1019</v>
      </c>
      <c r="I1143" s="1">
        <v>60044.0</v>
      </c>
      <c r="J1143" s="1" t="s">
        <v>752</v>
      </c>
      <c r="K1143" s="1" t="s">
        <v>66</v>
      </c>
      <c r="L1143" s="1" t="s">
        <v>5767</v>
      </c>
      <c r="M1143" s="1">
        <v>210.0</v>
      </c>
      <c r="N1143" s="1" t="s">
        <v>1152</v>
      </c>
      <c r="O1143" s="3" t="s">
        <v>5062</v>
      </c>
      <c r="P1143" s="18">
        <v>45883.0</v>
      </c>
      <c r="Q1143" s="1"/>
      <c r="R1143" s="1"/>
      <c r="S1143" s="1"/>
      <c r="T1143" s="1" t="s">
        <v>1152</v>
      </c>
      <c r="U1143" s="1" t="s">
        <v>1749</v>
      </c>
      <c r="V1143" s="4" t="s">
        <v>5062</v>
      </c>
      <c r="W1143" s="1"/>
      <c r="X1143" s="18">
        <v>45883.0</v>
      </c>
      <c r="Y1143" s="1"/>
      <c r="Z1143" s="1"/>
      <c r="AA1143" s="1"/>
      <c r="AB1143" s="1"/>
      <c r="AC1143" s="1" t="s">
        <v>1925</v>
      </c>
      <c r="AD1143" s="1"/>
      <c r="AE1143" s="1" t="s">
        <v>1152</v>
      </c>
      <c r="AF1143" s="1"/>
      <c r="AG1143" s="1"/>
      <c r="AH1143" s="1" t="s">
        <v>1152</v>
      </c>
      <c r="AI1143" s="1"/>
      <c r="AJ1143" s="1" t="s">
        <v>5896</v>
      </c>
      <c r="AK1143" s="1" t="s">
        <v>1152</v>
      </c>
      <c r="AL1143" s="6" t="str">
        <f t="array" ref="AL1143">IFERROR(IFS(XLOOKUP(B1143, 'Kit Delivery Status'!$U:$U, 'Kit Delivery Status'!$K:$K) = "Complete", "DELIVERED", XLOOKUP(B1143, 'Kit Delivery Status'!$U:$U, 'Kit Delivery Status'!$K:$K) = "Issue", "ISSUE"), "")</f>
        <v/>
      </c>
      <c r="AM1143" s="6"/>
    </row>
    <row r="1144">
      <c r="A1144" s="5" t="s">
        <v>5897</v>
      </c>
      <c r="B1144" s="1" t="s">
        <v>5898</v>
      </c>
      <c r="C1144" s="1" t="s">
        <v>5899</v>
      </c>
      <c r="D1144" s="2">
        <v>3.012761373E9</v>
      </c>
      <c r="E1144" s="1" t="s">
        <v>5900</v>
      </c>
      <c r="F1144" s="1"/>
      <c r="G1144" s="1" t="s">
        <v>4669</v>
      </c>
      <c r="H1144" s="1" t="s">
        <v>1005</v>
      </c>
      <c r="I1144" s="1">
        <v>20815.0</v>
      </c>
      <c r="J1144" s="1" t="s">
        <v>752</v>
      </c>
      <c r="K1144" s="1" t="s">
        <v>51</v>
      </c>
      <c r="L1144" s="1" t="s">
        <v>5722</v>
      </c>
      <c r="M1144" s="1">
        <v>1.0</v>
      </c>
      <c r="N1144" s="1" t="s">
        <v>2461</v>
      </c>
      <c r="O1144" s="3" t="s">
        <v>5901</v>
      </c>
      <c r="P1144" s="18">
        <v>45890.0</v>
      </c>
      <c r="Q1144" s="1" t="s">
        <v>1103</v>
      </c>
      <c r="R1144" s="1"/>
      <c r="S1144" s="1" t="s">
        <v>52</v>
      </c>
      <c r="T1144" s="1" t="s">
        <v>2461</v>
      </c>
      <c r="U1144" s="1" t="s">
        <v>1399</v>
      </c>
      <c r="V1144" s="4" t="s">
        <v>5901</v>
      </c>
      <c r="W1144" s="1"/>
      <c r="X1144" s="18">
        <v>45890.0</v>
      </c>
      <c r="Y1144" s="1" t="s">
        <v>1103</v>
      </c>
      <c r="Z1144" s="1"/>
      <c r="AA1144" s="1"/>
      <c r="AB1144" s="1" t="s">
        <v>52</v>
      </c>
      <c r="AC1144" s="1" t="s">
        <v>1925</v>
      </c>
      <c r="AD1144" s="1"/>
      <c r="AE1144" s="1" t="s">
        <v>1152</v>
      </c>
      <c r="AF1144" s="1"/>
      <c r="AG1144" s="1"/>
      <c r="AH1144" s="1" t="s">
        <v>1152</v>
      </c>
      <c r="AI1144" s="1"/>
      <c r="AJ1144" s="1" t="s">
        <v>5900</v>
      </c>
      <c r="AK1144" s="1" t="s">
        <v>1152</v>
      </c>
      <c r="AL1144" s="6" t="str">
        <f t="array" ref="AL1144">IFERROR(IFS(XLOOKUP(B1144, 'Kit Delivery Status'!$U:$U, 'Kit Delivery Status'!$K:$K) = "Complete", "DELIVERED", XLOOKUP(B1144, 'Kit Delivery Status'!$U:$U, 'Kit Delivery Status'!$K:$K) = "Issue", "ISSUE"), "")</f>
        <v/>
      </c>
      <c r="AM1144" s="6"/>
    </row>
    <row r="1145">
      <c r="A1145" s="5" t="s">
        <v>5902</v>
      </c>
      <c r="B1145" s="1" t="s">
        <v>5903</v>
      </c>
      <c r="C1145" s="1" t="s">
        <v>5904</v>
      </c>
      <c r="D1145" s="2">
        <v>3.0171702E9</v>
      </c>
      <c r="E1145" s="1" t="s">
        <v>5905</v>
      </c>
      <c r="F1145" s="1" t="s">
        <v>5906</v>
      </c>
      <c r="G1145" s="1" t="s">
        <v>4669</v>
      </c>
      <c r="H1145" s="1" t="s">
        <v>1005</v>
      </c>
      <c r="I1145" s="1">
        <v>20815.0</v>
      </c>
      <c r="J1145" s="1" t="s">
        <v>752</v>
      </c>
      <c r="K1145" s="1" t="s">
        <v>51</v>
      </c>
      <c r="L1145" s="1" t="s">
        <v>5722</v>
      </c>
      <c r="M1145" s="1">
        <v>1.0</v>
      </c>
      <c r="N1145" s="1" t="s">
        <v>2487</v>
      </c>
      <c r="O1145" s="3"/>
      <c r="P1145" s="18">
        <v>45890.0</v>
      </c>
      <c r="Q1145" s="1" t="s">
        <v>3186</v>
      </c>
      <c r="R1145" s="1" t="s">
        <v>5906</v>
      </c>
      <c r="S1145" s="1" t="s">
        <v>124</v>
      </c>
      <c r="T1145" s="1" t="s">
        <v>2487</v>
      </c>
      <c r="U1145" s="1"/>
      <c r="V1145" s="4"/>
      <c r="W1145" s="1" t="s">
        <v>5906</v>
      </c>
      <c r="X1145" s="18">
        <v>45890.0</v>
      </c>
      <c r="Y1145" s="1" t="s">
        <v>3186</v>
      </c>
      <c r="Z1145" s="1"/>
      <c r="AA1145" s="1" t="s">
        <v>5906</v>
      </c>
      <c r="AB1145" s="1" t="s">
        <v>124</v>
      </c>
      <c r="AC1145" s="1" t="s">
        <v>1925</v>
      </c>
      <c r="AD1145" s="1"/>
      <c r="AE1145" s="1" t="s">
        <v>1152</v>
      </c>
      <c r="AF1145" s="1"/>
      <c r="AG1145" s="1"/>
      <c r="AH1145" s="1" t="s">
        <v>1152</v>
      </c>
      <c r="AI1145" s="1"/>
      <c r="AJ1145" s="1" t="s">
        <v>5905</v>
      </c>
      <c r="AK1145" s="1" t="s">
        <v>1152</v>
      </c>
      <c r="AL1145" s="6" t="str">
        <f t="array" ref="AL1145">IFERROR(IFS(XLOOKUP(B1145, 'Kit Delivery Status'!$U:$U, 'Kit Delivery Status'!$K:$K) = "Complete", "DELIVERED", XLOOKUP(B1145, 'Kit Delivery Status'!$U:$U, 'Kit Delivery Status'!$K:$K) = "Issue", "ISSUE"), "")</f>
        <v/>
      </c>
      <c r="AM1145" s="6"/>
    </row>
    <row r="1146">
      <c r="A1146" s="5" t="s">
        <v>5907</v>
      </c>
      <c r="B1146" s="1" t="s">
        <v>5908</v>
      </c>
      <c r="C1146" s="1" t="s">
        <v>5909</v>
      </c>
      <c r="D1146" s="2">
        <v>6.178038873E9</v>
      </c>
      <c r="E1146" s="1" t="s">
        <v>5910</v>
      </c>
      <c r="F1146" s="1"/>
      <c r="G1146" s="1" t="s">
        <v>3171</v>
      </c>
      <c r="H1146" s="1" t="s">
        <v>1121</v>
      </c>
      <c r="I1146" s="1">
        <v>2467.0</v>
      </c>
      <c r="J1146" s="1" t="s">
        <v>752</v>
      </c>
      <c r="K1146" s="1" t="s">
        <v>51</v>
      </c>
      <c r="L1146" s="1" t="s">
        <v>5722</v>
      </c>
      <c r="M1146" s="1">
        <v>1.0</v>
      </c>
      <c r="N1146" s="1" t="s">
        <v>2461</v>
      </c>
      <c r="O1146" s="3" t="s">
        <v>5911</v>
      </c>
      <c r="P1146" s="18">
        <v>45891.0</v>
      </c>
      <c r="Q1146" s="1" t="s">
        <v>1030</v>
      </c>
      <c r="R1146" s="1"/>
      <c r="S1146" s="1" t="s">
        <v>52</v>
      </c>
      <c r="T1146" s="1" t="s">
        <v>2461</v>
      </c>
      <c r="U1146" s="1" t="s">
        <v>1343</v>
      </c>
      <c r="V1146" s="4" t="s">
        <v>5911</v>
      </c>
      <c r="W1146" s="1"/>
      <c r="X1146" s="18">
        <v>45891.0</v>
      </c>
      <c r="Y1146" s="1" t="s">
        <v>1030</v>
      </c>
      <c r="Z1146" s="1"/>
      <c r="AA1146" s="1"/>
      <c r="AB1146" s="1" t="s">
        <v>52</v>
      </c>
      <c r="AC1146" s="1" t="s">
        <v>1925</v>
      </c>
      <c r="AD1146" s="1"/>
      <c r="AE1146" s="1" t="s">
        <v>1152</v>
      </c>
      <c r="AF1146" s="1"/>
      <c r="AG1146" s="1"/>
      <c r="AH1146" s="1" t="s">
        <v>1152</v>
      </c>
      <c r="AI1146" s="1"/>
      <c r="AJ1146" s="1" t="s">
        <v>5910</v>
      </c>
      <c r="AK1146" s="1" t="s">
        <v>1152</v>
      </c>
      <c r="AL1146" s="6" t="str">
        <f t="array" ref="AL1146">IFERROR(IFS(XLOOKUP(B1146, 'Kit Delivery Status'!$U:$U, 'Kit Delivery Status'!$K:$K) = "Complete", "DELIVERED", XLOOKUP(B1146, 'Kit Delivery Status'!$U:$U, 'Kit Delivery Status'!$K:$K) = "Issue", "ISSUE"), "")</f>
        <v/>
      </c>
      <c r="AM1146" s="6"/>
    </row>
    <row r="1147">
      <c r="A1147" s="5" t="s">
        <v>5912</v>
      </c>
      <c r="B1147" s="1" t="s">
        <v>5913</v>
      </c>
      <c r="C1147" s="1" t="s">
        <v>5914</v>
      </c>
      <c r="D1147" s="2">
        <v>7.635018666E9</v>
      </c>
      <c r="E1147" s="1" t="s">
        <v>5915</v>
      </c>
      <c r="F1147" s="1"/>
      <c r="G1147" s="1" t="s">
        <v>1283</v>
      </c>
      <c r="H1147" s="1" t="s">
        <v>1155</v>
      </c>
      <c r="I1147" s="1">
        <v>63105.0</v>
      </c>
      <c r="J1147" s="1" t="s">
        <v>752</v>
      </c>
      <c r="K1147" s="1" t="s">
        <v>51</v>
      </c>
      <c r="L1147" s="1" t="s">
        <v>5722</v>
      </c>
      <c r="M1147" s="1">
        <v>1.0</v>
      </c>
      <c r="N1147" s="1" t="s">
        <v>2461</v>
      </c>
      <c r="O1147" s="3" t="s">
        <v>4760</v>
      </c>
      <c r="P1147" s="18">
        <v>45890.0</v>
      </c>
      <c r="Q1147" s="1" t="s">
        <v>3186</v>
      </c>
      <c r="R1147" s="1"/>
      <c r="S1147" s="1" t="s">
        <v>52</v>
      </c>
      <c r="T1147" s="1" t="s">
        <v>2461</v>
      </c>
      <c r="U1147" s="1" t="s">
        <v>4149</v>
      </c>
      <c r="V1147" s="4" t="s">
        <v>4760</v>
      </c>
      <c r="W1147" s="1"/>
      <c r="X1147" s="18">
        <v>45890.0</v>
      </c>
      <c r="Y1147" s="1" t="s">
        <v>3186</v>
      </c>
      <c r="Z1147" s="1"/>
      <c r="AA1147" s="1"/>
      <c r="AB1147" s="1" t="s">
        <v>52</v>
      </c>
      <c r="AC1147" s="1" t="s">
        <v>1925</v>
      </c>
      <c r="AD1147" s="1"/>
      <c r="AE1147" s="1" t="s">
        <v>1152</v>
      </c>
      <c r="AF1147" s="1"/>
      <c r="AG1147" s="1"/>
      <c r="AH1147" s="1" t="s">
        <v>1152</v>
      </c>
      <c r="AI1147" s="1"/>
      <c r="AJ1147" s="1"/>
      <c r="AK1147" s="1" t="s">
        <v>1152</v>
      </c>
      <c r="AL1147" s="6" t="str">
        <f t="array" ref="AL1147">IFERROR(IFS(XLOOKUP(B1147, 'Kit Delivery Status'!$U:$U, 'Kit Delivery Status'!$K:$K) = "Complete", "DELIVERED", XLOOKUP(B1147, 'Kit Delivery Status'!$U:$U, 'Kit Delivery Status'!$K:$K) = "Issue", "ISSUE"), "")</f>
        <v/>
      </c>
      <c r="AM1147" s="6"/>
    </row>
    <row r="1148">
      <c r="A1148" s="5" t="s">
        <v>5916</v>
      </c>
      <c r="B1148" s="1" t="s">
        <v>5917</v>
      </c>
      <c r="C1148" s="1" t="s">
        <v>5918</v>
      </c>
      <c r="D1148" s="2">
        <v>3.142295158E9</v>
      </c>
      <c r="E1148" s="1" t="s">
        <v>5919</v>
      </c>
      <c r="F1148" s="1"/>
      <c r="G1148" s="1" t="s">
        <v>5841</v>
      </c>
      <c r="H1148" s="1" t="s">
        <v>1155</v>
      </c>
      <c r="I1148" s="1">
        <v>63105.0</v>
      </c>
      <c r="J1148" s="1" t="s">
        <v>752</v>
      </c>
      <c r="K1148" s="1" t="s">
        <v>51</v>
      </c>
      <c r="L1148" s="1" t="s">
        <v>5722</v>
      </c>
      <c r="M1148" s="1">
        <v>1.0</v>
      </c>
      <c r="N1148" s="1" t="s">
        <v>2461</v>
      </c>
      <c r="O1148" s="3" t="s">
        <v>5920</v>
      </c>
      <c r="P1148" s="18">
        <v>45889.0</v>
      </c>
      <c r="Q1148" s="1" t="s">
        <v>3186</v>
      </c>
      <c r="R1148" s="1"/>
      <c r="S1148" s="1" t="s">
        <v>52</v>
      </c>
      <c r="T1148" s="1" t="s">
        <v>2461</v>
      </c>
      <c r="U1148" s="1" t="s">
        <v>1407</v>
      </c>
      <c r="V1148" s="4" t="s">
        <v>5920</v>
      </c>
      <c r="W1148" s="1"/>
      <c r="X1148" s="18">
        <v>45889.0</v>
      </c>
      <c r="Y1148" s="1" t="s">
        <v>3186</v>
      </c>
      <c r="Z1148" s="1"/>
      <c r="AA1148" s="1"/>
      <c r="AB1148" s="1" t="s">
        <v>52</v>
      </c>
      <c r="AC1148" s="1" t="s">
        <v>1925</v>
      </c>
      <c r="AD1148" s="1"/>
      <c r="AE1148" s="1" t="s">
        <v>1152</v>
      </c>
      <c r="AF1148" s="1"/>
      <c r="AG1148" s="1"/>
      <c r="AH1148" s="1" t="s">
        <v>1152</v>
      </c>
      <c r="AI1148" s="1"/>
      <c r="AJ1148" s="1" t="s">
        <v>5919</v>
      </c>
      <c r="AK1148" s="1" t="s">
        <v>1152</v>
      </c>
      <c r="AL1148" s="6" t="str">
        <f t="array" ref="AL1148">IFERROR(IFS(XLOOKUP(B1148, 'Kit Delivery Status'!$U:$U, 'Kit Delivery Status'!$K:$K) = "Complete", "DELIVERED", XLOOKUP(B1148, 'Kit Delivery Status'!$U:$U, 'Kit Delivery Status'!$K:$K) = "Issue", "ISSUE"), "")</f>
        <v/>
      </c>
      <c r="AM1148" s="6"/>
    </row>
    <row r="1149">
      <c r="A1149" s="5" t="s">
        <v>5921</v>
      </c>
      <c r="B1149" s="1" t="s">
        <v>5922</v>
      </c>
      <c r="C1149" s="1"/>
      <c r="D1149" s="2">
        <v>3.01529447E9</v>
      </c>
      <c r="E1149" s="1" t="s">
        <v>678</v>
      </c>
      <c r="F1149" s="1"/>
      <c r="G1149" s="1" t="s">
        <v>5431</v>
      </c>
      <c r="H1149" s="1" t="s">
        <v>1005</v>
      </c>
      <c r="I1149" s="1">
        <v>20854.0</v>
      </c>
      <c r="J1149" s="1" t="s">
        <v>752</v>
      </c>
      <c r="K1149" s="1" t="s">
        <v>51</v>
      </c>
      <c r="L1149" s="1" t="s">
        <v>5722</v>
      </c>
      <c r="M1149" s="1">
        <v>1.0</v>
      </c>
      <c r="N1149" s="1" t="s">
        <v>2461</v>
      </c>
      <c r="O1149" s="3" t="s">
        <v>5923</v>
      </c>
      <c r="P1149" s="18">
        <v>45888.0</v>
      </c>
      <c r="Q1149" s="1" t="s">
        <v>1030</v>
      </c>
      <c r="R1149" s="1"/>
      <c r="S1149" s="1" t="s">
        <v>52</v>
      </c>
      <c r="T1149" s="1" t="s">
        <v>2461</v>
      </c>
      <c r="U1149" s="1" t="s">
        <v>1812</v>
      </c>
      <c r="V1149" s="4" t="s">
        <v>5923</v>
      </c>
      <c r="W1149" s="1"/>
      <c r="X1149" s="18">
        <v>45888.0</v>
      </c>
      <c r="Y1149" s="1" t="s">
        <v>1030</v>
      </c>
      <c r="Z1149" s="1"/>
      <c r="AA1149" s="1"/>
      <c r="AB1149" s="1" t="s">
        <v>52</v>
      </c>
      <c r="AC1149" s="1" t="s">
        <v>1925</v>
      </c>
      <c r="AD1149" s="1"/>
      <c r="AE1149" s="1" t="s">
        <v>1152</v>
      </c>
      <c r="AF1149" s="1"/>
      <c r="AG1149" s="1"/>
      <c r="AH1149" s="1" t="s">
        <v>1152</v>
      </c>
      <c r="AI1149" s="1"/>
      <c r="AJ1149" s="1" t="s">
        <v>678</v>
      </c>
      <c r="AK1149" s="1" t="s">
        <v>1152</v>
      </c>
      <c r="AL1149" s="6" t="str">
        <f t="array" ref="AL1149">IFERROR(IFS(XLOOKUP(B1149, 'Kit Delivery Status'!$U:$U, 'Kit Delivery Status'!$K:$K) = "Complete", "DELIVERED", XLOOKUP(B1149, 'Kit Delivery Status'!$U:$U, 'Kit Delivery Status'!$K:$K) = "Issue", "ISSUE"), "")</f>
        <v/>
      </c>
      <c r="AM1149" s="6"/>
    </row>
    <row r="1150">
      <c r="A1150" s="5" t="s">
        <v>5924</v>
      </c>
      <c r="B1150" s="1" t="s">
        <v>5925</v>
      </c>
      <c r="C1150" s="1" t="s">
        <v>5926</v>
      </c>
      <c r="D1150" s="2">
        <v>9.178426437E9</v>
      </c>
      <c r="E1150" s="1" t="s">
        <v>5927</v>
      </c>
      <c r="F1150" s="1"/>
      <c r="G1150" s="1" t="s">
        <v>5928</v>
      </c>
      <c r="H1150" s="1" t="s">
        <v>1078</v>
      </c>
      <c r="I1150" s="1">
        <v>6807.0</v>
      </c>
      <c r="J1150" s="1" t="s">
        <v>752</v>
      </c>
      <c r="K1150" s="1" t="s">
        <v>51</v>
      </c>
      <c r="L1150" s="1" t="s">
        <v>5722</v>
      </c>
      <c r="M1150" s="1">
        <v>1.0</v>
      </c>
      <c r="N1150" s="1" t="s">
        <v>2461</v>
      </c>
      <c r="O1150" s="3" t="s">
        <v>5929</v>
      </c>
      <c r="P1150" s="18">
        <v>45889.0</v>
      </c>
      <c r="Q1150" s="1" t="s">
        <v>1030</v>
      </c>
      <c r="R1150" s="1"/>
      <c r="S1150" s="1" t="s">
        <v>52</v>
      </c>
      <c r="T1150" s="1" t="s">
        <v>2461</v>
      </c>
      <c r="U1150" s="1" t="s">
        <v>1456</v>
      </c>
      <c r="V1150" s="4" t="s">
        <v>5929</v>
      </c>
      <c r="W1150" s="1"/>
      <c r="X1150" s="18">
        <v>45889.0</v>
      </c>
      <c r="Y1150" s="1" t="s">
        <v>1030</v>
      </c>
      <c r="Z1150" s="1"/>
      <c r="AA1150" s="1"/>
      <c r="AB1150" s="1" t="s">
        <v>52</v>
      </c>
      <c r="AC1150" s="1" t="s">
        <v>1925</v>
      </c>
      <c r="AD1150" s="1"/>
      <c r="AE1150" s="1" t="s">
        <v>1152</v>
      </c>
      <c r="AF1150" s="1"/>
      <c r="AG1150" s="1"/>
      <c r="AH1150" s="1" t="s">
        <v>1152</v>
      </c>
      <c r="AI1150" s="1"/>
      <c r="AJ1150" s="1" t="s">
        <v>5930</v>
      </c>
      <c r="AK1150" s="1" t="s">
        <v>1152</v>
      </c>
      <c r="AL1150" s="6" t="str">
        <f t="array" ref="AL1150">IFERROR(IFS(XLOOKUP(B1150, 'Kit Delivery Status'!$U:$U, 'Kit Delivery Status'!$K:$K) = "Complete", "DELIVERED", XLOOKUP(B1150, 'Kit Delivery Status'!$U:$U, 'Kit Delivery Status'!$K:$K) = "Issue", "ISSUE"), "")</f>
        <v/>
      </c>
      <c r="AM1150" s="6"/>
    </row>
    <row r="1151">
      <c r="A1151" s="5" t="s">
        <v>5931</v>
      </c>
      <c r="B1151" s="1" t="s">
        <v>5932</v>
      </c>
      <c r="C1151" s="1" t="s">
        <v>5933</v>
      </c>
      <c r="D1151" s="2">
        <v>7.137027657E9</v>
      </c>
      <c r="E1151" s="1" t="s">
        <v>5934</v>
      </c>
      <c r="F1151" s="1"/>
      <c r="G1151" s="1" t="s">
        <v>5935</v>
      </c>
      <c r="H1151" s="1" t="s">
        <v>1583</v>
      </c>
      <c r="I1151" s="1" t="s">
        <v>5936</v>
      </c>
      <c r="J1151" s="1" t="s">
        <v>752</v>
      </c>
      <c r="K1151" s="1" t="s">
        <v>51</v>
      </c>
      <c r="L1151" s="1" t="s">
        <v>5722</v>
      </c>
      <c r="M1151" s="1">
        <v>1.0</v>
      </c>
      <c r="N1151" s="1" t="s">
        <v>2461</v>
      </c>
      <c r="O1151" s="3" t="s">
        <v>5937</v>
      </c>
      <c r="P1151" s="18">
        <v>45889.0</v>
      </c>
      <c r="Q1151" s="1" t="s">
        <v>1440</v>
      </c>
      <c r="R1151" s="1"/>
      <c r="S1151" s="1" t="s">
        <v>52</v>
      </c>
      <c r="T1151" s="1" t="s">
        <v>2461</v>
      </c>
      <c r="U1151" s="1" t="s">
        <v>1407</v>
      </c>
      <c r="V1151" s="4" t="s">
        <v>5937</v>
      </c>
      <c r="W1151" s="1"/>
      <c r="X1151" s="18">
        <v>45889.0</v>
      </c>
      <c r="Y1151" s="1" t="s">
        <v>1440</v>
      </c>
      <c r="Z1151" s="1"/>
      <c r="AA1151" s="1"/>
      <c r="AB1151" s="1" t="s">
        <v>52</v>
      </c>
      <c r="AC1151" s="1" t="s">
        <v>1925</v>
      </c>
      <c r="AD1151" s="1"/>
      <c r="AE1151" s="1" t="s">
        <v>1152</v>
      </c>
      <c r="AF1151" s="1"/>
      <c r="AG1151" s="1"/>
      <c r="AH1151" s="1" t="s">
        <v>1152</v>
      </c>
      <c r="AI1151" s="1"/>
      <c r="AJ1151" s="1" t="s">
        <v>5934</v>
      </c>
      <c r="AK1151" s="1" t="s">
        <v>1152</v>
      </c>
      <c r="AL1151" s="6" t="str">
        <f t="array" ref="AL1151">IFERROR(IFS(XLOOKUP(B1151, 'Kit Delivery Status'!$U:$U, 'Kit Delivery Status'!$K:$K) = "Complete", "DELIVERED", XLOOKUP(B1151, 'Kit Delivery Status'!$U:$U, 'Kit Delivery Status'!$K:$K) = "Issue", "ISSUE"), "")</f>
        <v/>
      </c>
      <c r="AM1151" s="6"/>
    </row>
    <row r="1152">
      <c r="A1152" s="5" t="s">
        <v>5938</v>
      </c>
      <c r="B1152" s="1" t="s">
        <v>5939</v>
      </c>
      <c r="C1152" s="1" t="s">
        <v>5940</v>
      </c>
      <c r="D1152" s="2">
        <v>1.087289599E9</v>
      </c>
      <c r="E1152" s="1" t="s">
        <v>5941</v>
      </c>
      <c r="F1152" s="1"/>
      <c r="G1152" s="1" t="s">
        <v>1964</v>
      </c>
      <c r="H1152" s="1" t="s">
        <v>1964</v>
      </c>
      <c r="I1152" s="1">
        <v>6001.0</v>
      </c>
      <c r="J1152" s="1" t="s">
        <v>1965</v>
      </c>
      <c r="K1152" s="1" t="s">
        <v>66</v>
      </c>
      <c r="L1152" s="1" t="s">
        <v>5736</v>
      </c>
      <c r="M1152" s="1">
        <v>115.0</v>
      </c>
      <c r="N1152" s="1" t="s">
        <v>1152</v>
      </c>
      <c r="O1152" s="3" t="s">
        <v>5942</v>
      </c>
      <c r="P1152" s="18">
        <v>45882.0</v>
      </c>
      <c r="Q1152" s="1"/>
      <c r="R1152" s="1"/>
      <c r="S1152" s="1"/>
      <c r="T1152" s="1" t="s">
        <v>1152</v>
      </c>
      <c r="U1152" s="1" t="s">
        <v>1249</v>
      </c>
      <c r="V1152" s="4" t="s">
        <v>5942</v>
      </c>
      <c r="W1152" s="1"/>
      <c r="X1152" s="18">
        <v>45882.0</v>
      </c>
      <c r="Y1152" s="1"/>
      <c r="Z1152" s="1"/>
      <c r="AA1152" s="1"/>
      <c r="AB1152" s="1"/>
      <c r="AC1152" s="1" t="s">
        <v>1925</v>
      </c>
      <c r="AD1152" s="1"/>
      <c r="AE1152" s="1" t="s">
        <v>1152</v>
      </c>
      <c r="AF1152" s="1"/>
      <c r="AG1152" s="1"/>
      <c r="AH1152" s="1" t="s">
        <v>1152</v>
      </c>
      <c r="AI1152" s="1"/>
      <c r="AJ1152" s="1" t="s">
        <v>5943</v>
      </c>
      <c r="AK1152" s="1" t="s">
        <v>1152</v>
      </c>
      <c r="AL1152" s="6" t="str">
        <f t="array" ref="AL1152">IFERROR(IFS(XLOOKUP(B1152, 'Kit Delivery Status'!$U:$U, 'Kit Delivery Status'!$K:$K) = "Complete", "DELIVERED", XLOOKUP(B1152, 'Kit Delivery Status'!$U:$U, 'Kit Delivery Status'!$K:$K) = "Issue", "ISSUE"), "")</f>
        <v/>
      </c>
      <c r="AM1152" s="6"/>
    </row>
    <row r="1153">
      <c r="A1153" s="5" t="s">
        <v>5944</v>
      </c>
      <c r="B1153" s="1" t="s">
        <v>5945</v>
      </c>
      <c r="C1153" s="1"/>
      <c r="D1153" s="2">
        <v>5.126995645E9</v>
      </c>
      <c r="E1153" s="1" t="s">
        <v>5946</v>
      </c>
      <c r="F1153" s="1"/>
      <c r="G1153" s="1" t="s">
        <v>1582</v>
      </c>
      <c r="H1153" s="1" t="s">
        <v>1583</v>
      </c>
      <c r="I1153" s="1">
        <v>78731.0</v>
      </c>
      <c r="J1153" s="1" t="s">
        <v>752</v>
      </c>
      <c r="K1153" s="1" t="s">
        <v>66</v>
      </c>
      <c r="L1153" s="1" t="s">
        <v>5767</v>
      </c>
      <c r="M1153" s="1">
        <v>210.0</v>
      </c>
      <c r="N1153" s="1" t="s">
        <v>1152</v>
      </c>
      <c r="O1153" s="3" t="s">
        <v>5947</v>
      </c>
      <c r="P1153" s="18">
        <v>45883.0</v>
      </c>
      <c r="Q1153" s="1"/>
      <c r="R1153" s="1"/>
      <c r="S1153" s="1"/>
      <c r="T1153" s="1" t="s">
        <v>1152</v>
      </c>
      <c r="U1153" s="1" t="s">
        <v>1487</v>
      </c>
      <c r="V1153" s="4" t="s">
        <v>5947</v>
      </c>
      <c r="W1153" s="1"/>
      <c r="X1153" s="18">
        <v>45883.0</v>
      </c>
      <c r="Y1153" s="1"/>
      <c r="Z1153" s="1"/>
      <c r="AA1153" s="1"/>
      <c r="AB1153" s="1"/>
      <c r="AC1153" s="1" t="s">
        <v>1925</v>
      </c>
      <c r="AD1153" s="1"/>
      <c r="AE1153" s="1" t="s">
        <v>1152</v>
      </c>
      <c r="AF1153" s="1"/>
      <c r="AG1153" s="1"/>
      <c r="AH1153" s="1" t="s">
        <v>1152</v>
      </c>
      <c r="AI1153" s="1"/>
      <c r="AJ1153" s="1"/>
      <c r="AK1153" s="1" t="s">
        <v>1152</v>
      </c>
      <c r="AL1153" s="6" t="str">
        <f t="array" ref="AL1153">IFERROR(IFS(XLOOKUP(B1153, 'Kit Delivery Status'!$U:$U, 'Kit Delivery Status'!$K:$K) = "Complete", "DELIVERED", XLOOKUP(B1153, 'Kit Delivery Status'!$U:$U, 'Kit Delivery Status'!$K:$K) = "Issue", "ISSUE"), "")</f>
        <v/>
      </c>
      <c r="AM1153" s="6"/>
    </row>
    <row r="1154">
      <c r="A1154" s="5" t="s">
        <v>5948</v>
      </c>
      <c r="B1154" s="1" t="s">
        <v>5949</v>
      </c>
      <c r="C1154" s="1" t="s">
        <v>5950</v>
      </c>
      <c r="D1154" s="2">
        <v>18622500227</v>
      </c>
      <c r="E1154" s="1" t="s">
        <v>93</v>
      </c>
      <c r="F1154" s="1" t="s">
        <v>5951</v>
      </c>
      <c r="G1154" s="1" t="s">
        <v>1810</v>
      </c>
      <c r="H1154" s="1" t="s">
        <v>1053</v>
      </c>
      <c r="I1154" s="1">
        <v>7079.0</v>
      </c>
      <c r="J1154" s="1" t="s">
        <v>752</v>
      </c>
      <c r="K1154" s="1" t="s">
        <v>51</v>
      </c>
      <c r="L1154" s="1" t="s">
        <v>5722</v>
      </c>
      <c r="M1154" s="1">
        <v>1.0</v>
      </c>
      <c r="N1154" s="1" t="s">
        <v>2487</v>
      </c>
      <c r="O1154" s="3"/>
      <c r="P1154" s="18">
        <v>45889.0</v>
      </c>
      <c r="Q1154" s="1" t="s">
        <v>1103</v>
      </c>
      <c r="R1154" s="1" t="s">
        <v>5951</v>
      </c>
      <c r="S1154" s="1" t="s">
        <v>124</v>
      </c>
      <c r="T1154" s="1" t="s">
        <v>2487</v>
      </c>
      <c r="U1154" s="1"/>
      <c r="V1154" s="4"/>
      <c r="W1154" s="1" t="s">
        <v>5951</v>
      </c>
      <c r="X1154" s="18">
        <v>45889.0</v>
      </c>
      <c r="Y1154" s="1" t="s">
        <v>1103</v>
      </c>
      <c r="Z1154" s="1"/>
      <c r="AA1154" s="1" t="s">
        <v>5951</v>
      </c>
      <c r="AB1154" s="1" t="s">
        <v>124</v>
      </c>
      <c r="AC1154" s="1" t="s">
        <v>1925</v>
      </c>
      <c r="AD1154" s="1"/>
      <c r="AE1154" s="1" t="s">
        <v>1152</v>
      </c>
      <c r="AF1154" s="1"/>
      <c r="AG1154" s="1"/>
      <c r="AH1154" s="1" t="s">
        <v>1152</v>
      </c>
      <c r="AI1154" s="1"/>
      <c r="AJ1154" s="1" t="s">
        <v>93</v>
      </c>
      <c r="AK1154" s="1" t="s">
        <v>1152</v>
      </c>
      <c r="AL1154" s="6" t="str">
        <f t="array" ref="AL1154">IFERROR(IFS(XLOOKUP(B1154, 'Kit Delivery Status'!$U:$U, 'Kit Delivery Status'!$K:$K) = "Complete", "DELIVERED", XLOOKUP(B1154, 'Kit Delivery Status'!$U:$U, 'Kit Delivery Status'!$K:$K) = "Issue", "ISSUE"), "")</f>
        <v/>
      </c>
      <c r="AM1154" s="6"/>
    </row>
    <row r="1155">
      <c r="A1155" s="5" t="s">
        <v>5952</v>
      </c>
      <c r="B1155" s="1" t="s">
        <v>5953</v>
      </c>
      <c r="C1155" s="1" t="s">
        <v>5954</v>
      </c>
      <c r="D1155" s="2"/>
      <c r="E1155" s="1" t="s">
        <v>5955</v>
      </c>
      <c r="F1155" s="1"/>
      <c r="G1155" s="1" t="s">
        <v>1072</v>
      </c>
      <c r="H1155" s="1" t="s">
        <v>1019</v>
      </c>
      <c r="I1155" s="1">
        <v>60657.0</v>
      </c>
      <c r="J1155" s="1" t="s">
        <v>752</v>
      </c>
      <c r="K1155" s="1" t="s">
        <v>51</v>
      </c>
      <c r="L1155" s="1" t="s">
        <v>5722</v>
      </c>
      <c r="M1155" s="1">
        <v>1.0</v>
      </c>
      <c r="N1155" s="1" t="s">
        <v>2461</v>
      </c>
      <c r="O1155" s="3" t="s">
        <v>5956</v>
      </c>
      <c r="P1155" s="18">
        <v>45878.0</v>
      </c>
      <c r="Q1155" s="1" t="s">
        <v>1030</v>
      </c>
      <c r="R1155" s="1"/>
      <c r="S1155" s="1" t="s">
        <v>52</v>
      </c>
      <c r="T1155" s="1" t="s">
        <v>2461</v>
      </c>
      <c r="U1155" s="1" t="s">
        <v>2510</v>
      </c>
      <c r="V1155" s="4" t="s">
        <v>5956</v>
      </c>
      <c r="W1155" s="1"/>
      <c r="X1155" s="18">
        <v>45878.0</v>
      </c>
      <c r="Y1155" s="1" t="s">
        <v>1030</v>
      </c>
      <c r="Z1155" s="1"/>
      <c r="AA1155" s="1"/>
      <c r="AB1155" s="1" t="s">
        <v>52</v>
      </c>
      <c r="AC1155" s="1" t="s">
        <v>1925</v>
      </c>
      <c r="AD1155" s="1"/>
      <c r="AE1155" s="1" t="s">
        <v>1152</v>
      </c>
      <c r="AF1155" s="1"/>
      <c r="AG1155" s="1"/>
      <c r="AH1155" s="1" t="s">
        <v>1152</v>
      </c>
      <c r="AI1155" s="1"/>
      <c r="AJ1155" s="1" t="s">
        <v>5955</v>
      </c>
      <c r="AK1155" s="1" t="s">
        <v>1152</v>
      </c>
      <c r="AL1155" s="6" t="str">
        <f t="array" ref="AL1155">IFERROR(IFS(XLOOKUP(B1155, 'Kit Delivery Status'!$U:$U, 'Kit Delivery Status'!$K:$K) = "Complete", "DELIVERED", XLOOKUP(B1155, 'Kit Delivery Status'!$U:$U, 'Kit Delivery Status'!$K:$K) = "Issue", "ISSUE"), "")</f>
        <v/>
      </c>
      <c r="AM1155" s="6"/>
    </row>
    <row r="1156">
      <c r="A1156" s="5" t="s">
        <v>5957</v>
      </c>
      <c r="B1156" s="1" t="s">
        <v>5958</v>
      </c>
      <c r="C1156" s="1" t="s">
        <v>5959</v>
      </c>
      <c r="D1156" s="2">
        <v>6.466569592E9</v>
      </c>
      <c r="E1156" s="1" t="s">
        <v>5960</v>
      </c>
      <c r="F1156" s="1"/>
      <c r="G1156" s="1" t="s">
        <v>751</v>
      </c>
      <c r="H1156" s="1" t="s">
        <v>751</v>
      </c>
      <c r="I1156" s="1">
        <v>10023.0</v>
      </c>
      <c r="J1156" s="1" t="s">
        <v>752</v>
      </c>
      <c r="K1156" s="1" t="s">
        <v>66</v>
      </c>
      <c r="L1156" s="1" t="s">
        <v>5811</v>
      </c>
      <c r="M1156" s="1">
        <v>145.0</v>
      </c>
      <c r="N1156" s="1" t="s">
        <v>1152</v>
      </c>
      <c r="O1156" s="3" t="s">
        <v>5961</v>
      </c>
      <c r="P1156" s="18">
        <v>45883.0</v>
      </c>
      <c r="Q1156" s="1"/>
      <c r="R1156" s="1"/>
      <c r="S1156" s="1"/>
      <c r="T1156" s="1" t="s">
        <v>1152</v>
      </c>
      <c r="U1156" s="1" t="s">
        <v>1249</v>
      </c>
      <c r="V1156" s="4" t="s">
        <v>5961</v>
      </c>
      <c r="W1156" s="1"/>
      <c r="X1156" s="18">
        <v>45883.0</v>
      </c>
      <c r="Y1156" s="1"/>
      <c r="Z1156" s="1"/>
      <c r="AA1156" s="1"/>
      <c r="AB1156" s="1"/>
      <c r="AC1156" s="1" t="s">
        <v>1925</v>
      </c>
      <c r="AD1156" s="1"/>
      <c r="AE1156" s="1" t="s">
        <v>1152</v>
      </c>
      <c r="AF1156" s="1"/>
      <c r="AG1156" s="1"/>
      <c r="AH1156" s="1" t="s">
        <v>1152</v>
      </c>
      <c r="AI1156" s="1"/>
      <c r="AJ1156" s="1" t="s">
        <v>5962</v>
      </c>
      <c r="AK1156" s="1" t="s">
        <v>1152</v>
      </c>
      <c r="AL1156" s="6" t="str">
        <f t="array" ref="AL1156">IFERROR(IFS(XLOOKUP(B1156, 'Kit Delivery Status'!$U:$U, 'Kit Delivery Status'!$K:$K) = "Complete", "DELIVERED", XLOOKUP(B1156, 'Kit Delivery Status'!$U:$U, 'Kit Delivery Status'!$K:$K) = "Issue", "ISSUE"), "")</f>
        <v/>
      </c>
      <c r="AM1156" s="6"/>
    </row>
    <row r="1157">
      <c r="A1157" s="5" t="s">
        <v>5963</v>
      </c>
      <c r="B1157" s="1" t="s">
        <v>5964</v>
      </c>
      <c r="C1157" s="1" t="s">
        <v>5965</v>
      </c>
      <c r="D1157" s="2">
        <v>7.312675589E9</v>
      </c>
      <c r="E1157" s="1" t="s">
        <v>5966</v>
      </c>
      <c r="F1157" s="1"/>
      <c r="G1157" s="1" t="s">
        <v>5967</v>
      </c>
      <c r="H1157" s="1" t="s">
        <v>1598</v>
      </c>
      <c r="I1157" s="1">
        <v>38305.0</v>
      </c>
      <c r="J1157" s="1" t="s">
        <v>752</v>
      </c>
      <c r="K1157" s="1" t="s">
        <v>66</v>
      </c>
      <c r="L1157" s="1" t="s">
        <v>5811</v>
      </c>
      <c r="M1157" s="1">
        <v>145.0</v>
      </c>
      <c r="N1157" s="1" t="s">
        <v>1152</v>
      </c>
      <c r="O1157" s="3" t="s">
        <v>5968</v>
      </c>
      <c r="P1157" s="18">
        <v>45883.0</v>
      </c>
      <c r="Q1157" s="1"/>
      <c r="R1157" s="1"/>
      <c r="S1157" s="1"/>
      <c r="T1157" s="1" t="s">
        <v>1152</v>
      </c>
      <c r="U1157" s="1" t="s">
        <v>1407</v>
      </c>
      <c r="V1157" s="4" t="s">
        <v>5968</v>
      </c>
      <c r="W1157" s="1"/>
      <c r="X1157" s="18">
        <v>45883.0</v>
      </c>
      <c r="Y1157" s="1"/>
      <c r="Z1157" s="1"/>
      <c r="AA1157" s="1"/>
      <c r="AB1157" s="1"/>
      <c r="AC1157" s="1" t="s">
        <v>1925</v>
      </c>
      <c r="AD1157" s="1"/>
      <c r="AE1157" s="1" t="s">
        <v>1152</v>
      </c>
      <c r="AF1157" s="1"/>
      <c r="AG1157" s="1"/>
      <c r="AH1157" s="1" t="s">
        <v>1152</v>
      </c>
      <c r="AI1157" s="1"/>
      <c r="AJ1157" s="1" t="s">
        <v>5966</v>
      </c>
      <c r="AK1157" s="1" t="s">
        <v>1152</v>
      </c>
      <c r="AL1157" s="6" t="str">
        <f t="array" ref="AL1157">IFERROR(IFS(XLOOKUP(B1157, 'Kit Delivery Status'!$U:$U, 'Kit Delivery Status'!$K:$K) = "Complete", "DELIVERED", XLOOKUP(B1157, 'Kit Delivery Status'!$U:$U, 'Kit Delivery Status'!$K:$K) = "Issue", "ISSUE"), "")</f>
        <v/>
      </c>
      <c r="AM1157" s="6"/>
    </row>
    <row r="1158">
      <c r="A1158" s="5" t="s">
        <v>5969</v>
      </c>
      <c r="B1158" s="1" t="s">
        <v>5970</v>
      </c>
      <c r="C1158" s="1" t="s">
        <v>5971</v>
      </c>
      <c r="D1158" s="2">
        <v>6.178933544E9</v>
      </c>
      <c r="E1158" s="1" t="s">
        <v>5972</v>
      </c>
      <c r="F1158" s="1"/>
      <c r="G1158" s="1" t="s">
        <v>4578</v>
      </c>
      <c r="H1158" s="1" t="s">
        <v>1121</v>
      </c>
      <c r="I1158" s="1">
        <v>2478.0</v>
      </c>
      <c r="J1158" s="1" t="s">
        <v>752</v>
      </c>
      <c r="K1158" s="1" t="s">
        <v>51</v>
      </c>
      <c r="L1158" s="1" t="s">
        <v>5722</v>
      </c>
      <c r="M1158" s="1">
        <v>1.0</v>
      </c>
      <c r="N1158" s="1" t="s">
        <v>2461</v>
      </c>
      <c r="O1158" s="3" t="s">
        <v>5973</v>
      </c>
      <c r="P1158" s="18">
        <v>45887.0</v>
      </c>
      <c r="Q1158" s="1" t="s">
        <v>1103</v>
      </c>
      <c r="R1158" s="1"/>
      <c r="S1158" s="1" t="s">
        <v>52</v>
      </c>
      <c r="T1158" s="1" t="s">
        <v>2461</v>
      </c>
      <c r="U1158" s="1" t="s">
        <v>1201</v>
      </c>
      <c r="V1158" s="4" t="s">
        <v>5973</v>
      </c>
      <c r="W1158" s="1"/>
      <c r="X1158" s="18">
        <v>45887.0</v>
      </c>
      <c r="Y1158" s="1" t="s">
        <v>1103</v>
      </c>
      <c r="Z1158" s="1"/>
      <c r="AA1158" s="1"/>
      <c r="AB1158" s="1" t="s">
        <v>52</v>
      </c>
      <c r="AC1158" s="1" t="s">
        <v>1925</v>
      </c>
      <c r="AD1158" s="1"/>
      <c r="AE1158" s="1" t="s">
        <v>1152</v>
      </c>
      <c r="AF1158" s="1"/>
      <c r="AG1158" s="1"/>
      <c r="AH1158" s="1" t="s">
        <v>1152</v>
      </c>
      <c r="AI1158" s="1"/>
      <c r="AJ1158" s="1" t="s">
        <v>5972</v>
      </c>
      <c r="AK1158" s="1" t="s">
        <v>1152</v>
      </c>
      <c r="AL1158" s="6" t="str">
        <f t="array" ref="AL1158">IFERROR(IFS(XLOOKUP(B1158, 'Kit Delivery Status'!$U:$U, 'Kit Delivery Status'!$K:$K) = "Complete", "DELIVERED", XLOOKUP(B1158, 'Kit Delivery Status'!$U:$U, 'Kit Delivery Status'!$K:$K) = "Issue", "ISSUE"), "")</f>
        <v/>
      </c>
      <c r="AM1158" s="6"/>
    </row>
    <row r="1159">
      <c r="A1159" s="5" t="s">
        <v>5974</v>
      </c>
      <c r="B1159" s="1" t="s">
        <v>5975</v>
      </c>
      <c r="C1159" s="1" t="s">
        <v>5976</v>
      </c>
      <c r="D1159" s="2">
        <v>6.129160194E9</v>
      </c>
      <c r="E1159" s="1" t="s">
        <v>5977</v>
      </c>
      <c r="F1159" s="1"/>
      <c r="G1159" s="1" t="s">
        <v>2998</v>
      </c>
      <c r="H1159" s="1" t="s">
        <v>2999</v>
      </c>
      <c r="I1159" s="1">
        <v>55405.0</v>
      </c>
      <c r="J1159" s="1" t="s">
        <v>752</v>
      </c>
      <c r="K1159" s="1" t="s">
        <v>66</v>
      </c>
      <c r="L1159" s="1" t="s">
        <v>5767</v>
      </c>
      <c r="M1159" s="1">
        <v>210.0</v>
      </c>
      <c r="N1159" s="1" t="s">
        <v>1152</v>
      </c>
      <c r="O1159" s="3" t="s">
        <v>353</v>
      </c>
      <c r="P1159" s="18">
        <v>45883.0</v>
      </c>
      <c r="Q1159" s="1"/>
      <c r="R1159" s="1"/>
      <c r="S1159" s="1"/>
      <c r="T1159" s="1" t="s">
        <v>1152</v>
      </c>
      <c r="U1159" s="1" t="s">
        <v>1080</v>
      </c>
      <c r="V1159" s="4" t="s">
        <v>353</v>
      </c>
      <c r="W1159" s="1"/>
      <c r="X1159" s="18">
        <v>45883.0</v>
      </c>
      <c r="Y1159" s="1"/>
      <c r="Z1159" s="1"/>
      <c r="AA1159" s="1"/>
      <c r="AB1159" s="1"/>
      <c r="AC1159" s="1" t="s">
        <v>1925</v>
      </c>
      <c r="AD1159" s="1"/>
      <c r="AE1159" s="1" t="s">
        <v>1152</v>
      </c>
      <c r="AF1159" s="1"/>
      <c r="AG1159" s="1"/>
      <c r="AH1159" s="1" t="s">
        <v>1152</v>
      </c>
      <c r="AI1159" s="1"/>
      <c r="AJ1159" s="1" t="s">
        <v>5978</v>
      </c>
      <c r="AK1159" s="1" t="s">
        <v>1152</v>
      </c>
      <c r="AL1159" s="6" t="str">
        <f t="array" ref="AL1159">IFERROR(IFS(XLOOKUP(B1159, 'Kit Delivery Status'!$U:$U, 'Kit Delivery Status'!$K:$K) = "Complete", "DELIVERED", XLOOKUP(B1159, 'Kit Delivery Status'!$U:$U, 'Kit Delivery Status'!$K:$K) = "Issue", "ISSUE"), "")</f>
        <v/>
      </c>
      <c r="AM1159" s="6"/>
    </row>
    <row r="1160">
      <c r="A1160" s="5" t="s">
        <v>5979</v>
      </c>
      <c r="B1160" s="1" t="s">
        <v>5980</v>
      </c>
      <c r="C1160" s="1"/>
      <c r="D1160" s="2">
        <v>6.304533015E9</v>
      </c>
      <c r="E1160" s="1" t="s">
        <v>5981</v>
      </c>
      <c r="F1160" s="1"/>
      <c r="G1160" s="1" t="s">
        <v>5982</v>
      </c>
      <c r="H1160" s="1" t="s">
        <v>1019</v>
      </c>
      <c r="I1160" s="1">
        <v>60565.0</v>
      </c>
      <c r="J1160" s="1" t="s">
        <v>752</v>
      </c>
      <c r="K1160" s="1" t="s">
        <v>66</v>
      </c>
      <c r="L1160" s="1" t="s">
        <v>5811</v>
      </c>
      <c r="M1160" s="1">
        <v>145.0</v>
      </c>
      <c r="N1160" s="1" t="s">
        <v>1152</v>
      </c>
      <c r="O1160" s="3" t="s">
        <v>5983</v>
      </c>
      <c r="P1160" s="18">
        <v>45883.0</v>
      </c>
      <c r="Q1160" s="1"/>
      <c r="R1160" s="1"/>
      <c r="S1160" s="1"/>
      <c r="T1160" s="1" t="s">
        <v>1152</v>
      </c>
      <c r="U1160" s="1" t="s">
        <v>956</v>
      </c>
      <c r="V1160" s="4" t="s">
        <v>5983</v>
      </c>
      <c r="W1160" s="1"/>
      <c r="X1160" s="18">
        <v>45883.0</v>
      </c>
      <c r="Y1160" s="1"/>
      <c r="Z1160" s="1"/>
      <c r="AA1160" s="1"/>
      <c r="AB1160" s="1"/>
      <c r="AC1160" s="1" t="s">
        <v>1925</v>
      </c>
      <c r="AD1160" s="1"/>
      <c r="AE1160" s="1" t="s">
        <v>1152</v>
      </c>
      <c r="AF1160" s="1"/>
      <c r="AG1160" s="1"/>
      <c r="AH1160" s="1" t="s">
        <v>1152</v>
      </c>
      <c r="AI1160" s="1"/>
      <c r="AJ1160" s="1" t="s">
        <v>5981</v>
      </c>
      <c r="AK1160" s="1" t="s">
        <v>1152</v>
      </c>
      <c r="AL1160" s="6" t="str">
        <f t="array" ref="AL1160">IFERROR(IFS(XLOOKUP(B1160, 'Kit Delivery Status'!$U:$U, 'Kit Delivery Status'!$K:$K) = "Complete", "DELIVERED", XLOOKUP(B1160, 'Kit Delivery Status'!$U:$U, 'Kit Delivery Status'!$K:$K) = "Issue", "ISSUE"), "")</f>
        <v/>
      </c>
      <c r="AM1160" s="6"/>
    </row>
    <row r="1161">
      <c r="A1161" s="5" t="s">
        <v>5984</v>
      </c>
      <c r="B1161" s="1" t="s">
        <v>5985</v>
      </c>
      <c r="C1161" s="1" t="s">
        <v>5986</v>
      </c>
      <c r="D1161" s="2">
        <v>9.175021828E9</v>
      </c>
      <c r="E1161" s="1" t="s">
        <v>5987</v>
      </c>
      <c r="F1161" s="1"/>
      <c r="G1161" s="1" t="s">
        <v>751</v>
      </c>
      <c r="H1161" s="1" t="s">
        <v>751</v>
      </c>
      <c r="I1161" s="1">
        <v>10128.0</v>
      </c>
      <c r="J1161" s="1" t="s">
        <v>752</v>
      </c>
      <c r="K1161" s="1" t="s">
        <v>51</v>
      </c>
      <c r="L1161" s="1" t="s">
        <v>5722</v>
      </c>
      <c r="M1161" s="1">
        <v>1.0</v>
      </c>
      <c r="N1161" s="1" t="s">
        <v>2461</v>
      </c>
      <c r="O1161" s="3" t="s">
        <v>5988</v>
      </c>
      <c r="P1161" s="18">
        <v>45889.0</v>
      </c>
      <c r="Q1161" s="1" t="s">
        <v>1030</v>
      </c>
      <c r="R1161" s="1"/>
      <c r="S1161" s="1" t="s">
        <v>52</v>
      </c>
      <c r="T1161" s="1" t="s">
        <v>2461</v>
      </c>
      <c r="U1161" s="1" t="s">
        <v>1399</v>
      </c>
      <c r="V1161" s="4" t="s">
        <v>5988</v>
      </c>
      <c r="W1161" s="1"/>
      <c r="X1161" s="18">
        <v>45889.0</v>
      </c>
      <c r="Y1161" s="1" t="s">
        <v>1030</v>
      </c>
      <c r="Z1161" s="1"/>
      <c r="AA1161" s="1"/>
      <c r="AB1161" s="1" t="s">
        <v>52</v>
      </c>
      <c r="AC1161" s="1" t="s">
        <v>1925</v>
      </c>
      <c r="AD1161" s="1"/>
      <c r="AE1161" s="1" t="s">
        <v>1152</v>
      </c>
      <c r="AF1161" s="1"/>
      <c r="AG1161" s="1"/>
      <c r="AH1161" s="1" t="s">
        <v>1152</v>
      </c>
      <c r="AI1161" s="1"/>
      <c r="AJ1161" s="1" t="s">
        <v>5989</v>
      </c>
      <c r="AK1161" s="1" t="s">
        <v>1152</v>
      </c>
      <c r="AL1161" s="6" t="str">
        <f t="array" ref="AL1161">IFERROR(IFS(XLOOKUP(B1161, 'Kit Delivery Status'!$U:$U, 'Kit Delivery Status'!$K:$K) = "Complete", "DELIVERED", XLOOKUP(B1161, 'Kit Delivery Status'!$U:$U, 'Kit Delivery Status'!$K:$K) = "Issue", "ISSUE"), "")</f>
        <v/>
      </c>
      <c r="AM1161" s="6"/>
    </row>
    <row r="1162">
      <c r="A1162" s="5" t="s">
        <v>5990</v>
      </c>
      <c r="B1162" s="1" t="s">
        <v>5991</v>
      </c>
      <c r="C1162" s="1" t="s">
        <v>5992</v>
      </c>
      <c r="D1162" s="2">
        <v>6.502197754E9</v>
      </c>
      <c r="E1162" s="1" t="s">
        <v>5993</v>
      </c>
      <c r="F1162" s="1"/>
      <c r="G1162" s="1" t="s">
        <v>1520</v>
      </c>
      <c r="H1162" s="1" t="s">
        <v>989</v>
      </c>
      <c r="I1162" s="1">
        <v>94087.0</v>
      </c>
      <c r="J1162" s="1" t="s">
        <v>752</v>
      </c>
      <c r="K1162" s="1" t="s">
        <v>66</v>
      </c>
      <c r="L1162" s="1" t="s">
        <v>5811</v>
      </c>
      <c r="M1162" s="1">
        <v>145.0</v>
      </c>
      <c r="N1162" s="1" t="s">
        <v>1152</v>
      </c>
      <c r="O1162" s="3" t="s">
        <v>5994</v>
      </c>
      <c r="P1162" s="18">
        <v>45883.0</v>
      </c>
      <c r="Q1162" s="1"/>
      <c r="R1162" s="1"/>
      <c r="S1162" s="1"/>
      <c r="T1162" s="1" t="s">
        <v>1152</v>
      </c>
      <c r="U1162" s="1" t="s">
        <v>1487</v>
      </c>
      <c r="V1162" s="4" t="s">
        <v>5994</v>
      </c>
      <c r="W1162" s="1"/>
      <c r="X1162" s="18">
        <v>45883.0</v>
      </c>
      <c r="Y1162" s="1"/>
      <c r="Z1162" s="1"/>
      <c r="AA1162" s="1"/>
      <c r="AB1162" s="1"/>
      <c r="AC1162" s="1" t="s">
        <v>1925</v>
      </c>
      <c r="AD1162" s="1"/>
      <c r="AE1162" s="1" t="s">
        <v>1152</v>
      </c>
      <c r="AF1162" s="1"/>
      <c r="AG1162" s="1"/>
      <c r="AH1162" s="1" t="s">
        <v>1152</v>
      </c>
      <c r="AI1162" s="1"/>
      <c r="AJ1162" s="1"/>
      <c r="AK1162" s="1" t="s">
        <v>1152</v>
      </c>
      <c r="AL1162" s="6" t="str">
        <f t="array" ref="AL1162">IFERROR(IFS(XLOOKUP(B1162, 'Kit Delivery Status'!$U:$U, 'Kit Delivery Status'!$K:$K) = "Complete", "DELIVERED", XLOOKUP(B1162, 'Kit Delivery Status'!$U:$U, 'Kit Delivery Status'!$K:$K) = "Issue", "ISSUE"), "")</f>
        <v/>
      </c>
      <c r="AM1162" s="6"/>
    </row>
    <row r="1163">
      <c r="A1163" s="5" t="s">
        <v>5995</v>
      </c>
      <c r="B1163" s="1" t="s">
        <v>5996</v>
      </c>
      <c r="C1163" s="1" t="s">
        <v>5997</v>
      </c>
      <c r="D1163" s="2">
        <v>1.3681380323E10</v>
      </c>
      <c r="E1163" s="1" t="s">
        <v>5998</v>
      </c>
      <c r="F1163" s="1" t="s">
        <v>5999</v>
      </c>
      <c r="G1163" s="1" t="s">
        <v>5552</v>
      </c>
      <c r="H1163" s="1" t="s">
        <v>5552</v>
      </c>
      <c r="I1163" s="1">
        <v>100028.0</v>
      </c>
      <c r="J1163" s="1" t="s">
        <v>5553</v>
      </c>
      <c r="K1163" s="1" t="s">
        <v>51</v>
      </c>
      <c r="L1163" s="1" t="s">
        <v>5722</v>
      </c>
      <c r="M1163" s="1">
        <v>1.0</v>
      </c>
      <c r="N1163" s="1" t="s">
        <v>2487</v>
      </c>
      <c r="O1163" s="3"/>
      <c r="P1163" s="18">
        <v>45889.0</v>
      </c>
      <c r="Q1163" s="1" t="s">
        <v>1030</v>
      </c>
      <c r="R1163" s="1" t="s">
        <v>5999</v>
      </c>
      <c r="S1163" s="1" t="s">
        <v>124</v>
      </c>
      <c r="T1163" s="1" t="s">
        <v>2487</v>
      </c>
      <c r="U1163" s="1"/>
      <c r="V1163" s="4"/>
      <c r="W1163" s="1" t="s">
        <v>5999</v>
      </c>
      <c r="X1163" s="18">
        <v>45889.0</v>
      </c>
      <c r="Y1163" s="1" t="s">
        <v>1030</v>
      </c>
      <c r="Z1163" s="1"/>
      <c r="AA1163" s="1" t="s">
        <v>5999</v>
      </c>
      <c r="AB1163" s="1" t="s">
        <v>124</v>
      </c>
      <c r="AC1163" s="1" t="s">
        <v>1925</v>
      </c>
      <c r="AD1163" s="1"/>
      <c r="AE1163" s="1" t="s">
        <v>1152</v>
      </c>
      <c r="AF1163" s="1"/>
      <c r="AG1163" s="1"/>
      <c r="AH1163" s="1" t="s">
        <v>1152</v>
      </c>
      <c r="AI1163" s="1"/>
      <c r="AJ1163" s="1" t="s">
        <v>5998</v>
      </c>
      <c r="AK1163" s="1" t="s">
        <v>1152</v>
      </c>
      <c r="AL1163" s="6" t="str">
        <f t="array" ref="AL1163">IFERROR(IFS(XLOOKUP(B1163, 'Kit Delivery Status'!$U:$U, 'Kit Delivery Status'!$K:$K) = "Complete", "DELIVERED", XLOOKUP(B1163, 'Kit Delivery Status'!$U:$U, 'Kit Delivery Status'!$K:$K) = "Issue", "ISSUE"), "")</f>
        <v/>
      </c>
      <c r="AM1163" s="6"/>
    </row>
    <row r="1164">
      <c r="A1164" s="5" t="s">
        <v>6000</v>
      </c>
      <c r="B1164" s="1" t="s">
        <v>6001</v>
      </c>
      <c r="C1164" s="1" t="s">
        <v>6002</v>
      </c>
      <c r="D1164" s="2">
        <v>5.125966532E9</v>
      </c>
      <c r="E1164" s="1" t="s">
        <v>6003</v>
      </c>
      <c r="F1164" s="1"/>
      <c r="G1164" s="1" t="s">
        <v>1582</v>
      </c>
      <c r="H1164" s="1" t="s">
        <v>1583</v>
      </c>
      <c r="I1164" s="1">
        <v>78730.0</v>
      </c>
      <c r="J1164" s="1" t="s">
        <v>752</v>
      </c>
      <c r="K1164" s="1" t="s">
        <v>66</v>
      </c>
      <c r="L1164" s="1" t="s">
        <v>5767</v>
      </c>
      <c r="M1164" s="1">
        <v>210.0</v>
      </c>
      <c r="N1164" s="1" t="s">
        <v>1152</v>
      </c>
      <c r="O1164" s="3" t="s">
        <v>2327</v>
      </c>
      <c r="P1164" s="18">
        <v>45883.0</v>
      </c>
      <c r="Q1164" s="1"/>
      <c r="R1164" s="1"/>
      <c r="S1164" s="1"/>
      <c r="T1164" s="1" t="s">
        <v>1152</v>
      </c>
      <c r="U1164" s="1" t="s">
        <v>1148</v>
      </c>
      <c r="V1164" s="4" t="s">
        <v>2327</v>
      </c>
      <c r="W1164" s="1"/>
      <c r="X1164" s="18">
        <v>45883.0</v>
      </c>
      <c r="Y1164" s="1"/>
      <c r="Z1164" s="1"/>
      <c r="AA1164" s="1"/>
      <c r="AB1164" s="1"/>
      <c r="AC1164" s="1" t="s">
        <v>1925</v>
      </c>
      <c r="AD1164" s="1"/>
      <c r="AE1164" s="1" t="s">
        <v>1152</v>
      </c>
      <c r="AF1164" s="1"/>
      <c r="AG1164" s="1"/>
      <c r="AH1164" s="1" t="s">
        <v>1152</v>
      </c>
      <c r="AI1164" s="1"/>
      <c r="AJ1164" s="1" t="s">
        <v>6003</v>
      </c>
      <c r="AK1164" s="1" t="s">
        <v>1152</v>
      </c>
      <c r="AL1164" s="6" t="str">
        <f t="array" ref="AL1164">IFERROR(IFS(XLOOKUP(B1164, 'Kit Delivery Status'!$U:$U, 'Kit Delivery Status'!$K:$K) = "Complete", "DELIVERED", XLOOKUP(B1164, 'Kit Delivery Status'!$U:$U, 'Kit Delivery Status'!$K:$K) = "Issue", "ISSUE"), "")</f>
        <v/>
      </c>
      <c r="AM1164" s="6"/>
    </row>
    <row r="1165">
      <c r="A1165" s="5" t="s">
        <v>6004</v>
      </c>
      <c r="B1165" s="1" t="s">
        <v>6005</v>
      </c>
      <c r="C1165" s="1" t="s">
        <v>6006</v>
      </c>
      <c r="D1165" s="2" t="s">
        <v>6007</v>
      </c>
      <c r="E1165" s="1" t="s">
        <v>6008</v>
      </c>
      <c r="F1165" s="1"/>
      <c r="G1165" s="1" t="s">
        <v>1804</v>
      </c>
      <c r="H1165" s="1" t="s">
        <v>1598</v>
      </c>
      <c r="I1165" s="1">
        <v>37205.0</v>
      </c>
      <c r="J1165" s="1" t="s">
        <v>752</v>
      </c>
      <c r="K1165" s="1" t="s">
        <v>66</v>
      </c>
      <c r="L1165" s="1" t="s">
        <v>5767</v>
      </c>
      <c r="M1165" s="1">
        <v>210.0</v>
      </c>
      <c r="N1165" s="1" t="s">
        <v>1152</v>
      </c>
      <c r="O1165" s="3" t="s">
        <v>997</v>
      </c>
      <c r="P1165" s="18">
        <v>45883.0</v>
      </c>
      <c r="Q1165" s="1"/>
      <c r="R1165" s="1"/>
      <c r="S1165" s="1"/>
      <c r="T1165" s="1" t="s">
        <v>1152</v>
      </c>
      <c r="U1165" s="1" t="s">
        <v>982</v>
      </c>
      <c r="V1165" s="4" t="s">
        <v>997</v>
      </c>
      <c r="W1165" s="1"/>
      <c r="X1165" s="18">
        <v>45883.0</v>
      </c>
      <c r="Y1165" s="1"/>
      <c r="Z1165" s="1"/>
      <c r="AA1165" s="1"/>
      <c r="AB1165" s="1"/>
      <c r="AC1165" s="1" t="s">
        <v>1925</v>
      </c>
      <c r="AD1165" s="1"/>
      <c r="AE1165" s="1" t="s">
        <v>1152</v>
      </c>
      <c r="AF1165" s="1"/>
      <c r="AG1165" s="1"/>
      <c r="AH1165" s="1" t="s">
        <v>1152</v>
      </c>
      <c r="AI1165" s="1"/>
      <c r="AJ1165" s="1" t="s">
        <v>6008</v>
      </c>
      <c r="AK1165" s="1" t="s">
        <v>1152</v>
      </c>
      <c r="AL1165" s="6" t="str">
        <f t="array" ref="AL1165">IFERROR(IFS(XLOOKUP(B1165, 'Kit Delivery Status'!$U:$U, 'Kit Delivery Status'!$K:$K) = "Complete", "DELIVERED", XLOOKUP(B1165, 'Kit Delivery Status'!$U:$U, 'Kit Delivery Status'!$K:$K) = "Issue", "ISSUE"), "")</f>
        <v/>
      </c>
      <c r="AM1165" s="6"/>
    </row>
    <row r="1166">
      <c r="A1166" s="5" t="s">
        <v>6009</v>
      </c>
      <c r="B1166" s="1" t="s">
        <v>6010</v>
      </c>
      <c r="C1166" s="1" t="s">
        <v>6011</v>
      </c>
      <c r="D1166" s="2">
        <v>4.809390749E9</v>
      </c>
      <c r="E1166" s="1" t="s">
        <v>6012</v>
      </c>
      <c r="F1166" s="1"/>
      <c r="G1166" s="1" t="s">
        <v>6013</v>
      </c>
      <c r="H1166" s="1" t="s">
        <v>1535</v>
      </c>
      <c r="I1166" s="1">
        <v>85295.0</v>
      </c>
      <c r="J1166" s="1" t="s">
        <v>752</v>
      </c>
      <c r="K1166" s="1" t="s">
        <v>66</v>
      </c>
      <c r="L1166" s="1" t="s">
        <v>5767</v>
      </c>
      <c r="M1166" s="1">
        <v>210.0</v>
      </c>
      <c r="N1166" s="1" t="s">
        <v>1152</v>
      </c>
      <c r="O1166" s="3" t="s">
        <v>4814</v>
      </c>
      <c r="P1166" s="18">
        <v>45883.0</v>
      </c>
      <c r="Q1166" s="1"/>
      <c r="R1166" s="1"/>
      <c r="S1166" s="1"/>
      <c r="T1166" s="1" t="s">
        <v>1152</v>
      </c>
      <c r="U1166" s="1" t="s">
        <v>1749</v>
      </c>
      <c r="V1166" s="4" t="s">
        <v>4814</v>
      </c>
      <c r="W1166" s="1"/>
      <c r="X1166" s="18">
        <v>45883.0</v>
      </c>
      <c r="Y1166" s="1"/>
      <c r="Z1166" s="1"/>
      <c r="AA1166" s="1"/>
      <c r="AB1166" s="1"/>
      <c r="AC1166" s="1" t="s">
        <v>1925</v>
      </c>
      <c r="AD1166" s="1"/>
      <c r="AE1166" s="1" t="s">
        <v>1152</v>
      </c>
      <c r="AF1166" s="1"/>
      <c r="AG1166" s="1"/>
      <c r="AH1166" s="1" t="s">
        <v>1152</v>
      </c>
      <c r="AI1166" s="1"/>
      <c r="AJ1166" s="1" t="s">
        <v>6014</v>
      </c>
      <c r="AK1166" s="1" t="s">
        <v>1152</v>
      </c>
      <c r="AL1166" s="6" t="str">
        <f t="array" ref="AL1166">IFERROR(IFS(XLOOKUP(B1166, 'Kit Delivery Status'!$U:$U, 'Kit Delivery Status'!$K:$K) = "Complete", "DELIVERED", XLOOKUP(B1166, 'Kit Delivery Status'!$U:$U, 'Kit Delivery Status'!$K:$K) = "Issue", "ISSUE"), "")</f>
        <v/>
      </c>
      <c r="AM1166" s="6"/>
    </row>
    <row r="1167">
      <c r="A1167" s="5" t="s">
        <v>6015</v>
      </c>
      <c r="B1167" s="1" t="s">
        <v>6016</v>
      </c>
      <c r="C1167" s="1" t="s">
        <v>6017</v>
      </c>
      <c r="D1167" s="2">
        <v>2.063346136E9</v>
      </c>
      <c r="E1167" s="1" t="s">
        <v>6018</v>
      </c>
      <c r="F1167" s="1"/>
      <c r="G1167" s="1" t="s">
        <v>1848</v>
      </c>
      <c r="H1167" s="1" t="s">
        <v>980</v>
      </c>
      <c r="I1167" s="1">
        <v>98125.0</v>
      </c>
      <c r="J1167" s="1" t="s">
        <v>752</v>
      </c>
      <c r="K1167" s="1" t="s">
        <v>66</v>
      </c>
      <c r="L1167" s="1" t="s">
        <v>5811</v>
      </c>
      <c r="M1167" s="1">
        <v>145.0</v>
      </c>
      <c r="N1167" s="1" t="s">
        <v>1152</v>
      </c>
      <c r="O1167" s="3" t="s">
        <v>4964</v>
      </c>
      <c r="P1167" s="18">
        <v>45883.0</v>
      </c>
      <c r="Q1167" s="1"/>
      <c r="R1167" s="1"/>
      <c r="S1167" s="1"/>
      <c r="T1167" s="1" t="s">
        <v>1152</v>
      </c>
      <c r="U1167" s="1" t="s">
        <v>1167</v>
      </c>
      <c r="V1167" s="4" t="s">
        <v>4964</v>
      </c>
      <c r="W1167" s="1"/>
      <c r="X1167" s="18">
        <v>45883.0</v>
      </c>
      <c r="Y1167" s="1"/>
      <c r="Z1167" s="1"/>
      <c r="AA1167" s="1"/>
      <c r="AB1167" s="1"/>
      <c r="AC1167" s="1" t="s">
        <v>1925</v>
      </c>
      <c r="AD1167" s="1"/>
      <c r="AE1167" s="1" t="s">
        <v>1152</v>
      </c>
      <c r="AF1167" s="1"/>
      <c r="AG1167" s="1"/>
      <c r="AH1167" s="1" t="s">
        <v>1152</v>
      </c>
      <c r="AI1167" s="1"/>
      <c r="AJ1167" s="1" t="s">
        <v>4963</v>
      </c>
      <c r="AK1167" s="1" t="s">
        <v>1152</v>
      </c>
      <c r="AL1167" s="6" t="str">
        <f t="array" ref="AL1167">IFERROR(IFS(XLOOKUP(B1167, 'Kit Delivery Status'!$U:$U, 'Kit Delivery Status'!$K:$K) = "Complete", "DELIVERED", XLOOKUP(B1167, 'Kit Delivery Status'!$U:$U, 'Kit Delivery Status'!$K:$K) = "Issue", "ISSUE"), "")</f>
        <v/>
      </c>
      <c r="AM1167" s="6"/>
    </row>
    <row r="1168">
      <c r="A1168" s="5" t="s">
        <v>6019</v>
      </c>
      <c r="B1168" s="1" t="s">
        <v>6020</v>
      </c>
      <c r="C1168" s="1" t="s">
        <v>6021</v>
      </c>
      <c r="D1168" s="2" t="s">
        <v>6022</v>
      </c>
      <c r="E1168" s="1" t="s">
        <v>6023</v>
      </c>
      <c r="F1168" s="1" t="s">
        <v>6024</v>
      </c>
      <c r="G1168" s="1" t="s">
        <v>5841</v>
      </c>
      <c r="H1168" s="1" t="s">
        <v>1155</v>
      </c>
      <c r="I1168" s="1">
        <v>63105.0</v>
      </c>
      <c r="J1168" s="1" t="s">
        <v>752</v>
      </c>
      <c r="K1168" s="1" t="s">
        <v>51</v>
      </c>
      <c r="L1168" s="1" t="s">
        <v>5722</v>
      </c>
      <c r="M1168" s="1">
        <v>1.0</v>
      </c>
      <c r="N1168" s="1" t="s">
        <v>2487</v>
      </c>
      <c r="O1168" s="3"/>
      <c r="P1168" s="18">
        <v>45882.0</v>
      </c>
      <c r="Q1168" s="1" t="s">
        <v>1440</v>
      </c>
      <c r="R1168" s="1" t="s">
        <v>6024</v>
      </c>
      <c r="S1168" s="1" t="s">
        <v>124</v>
      </c>
      <c r="T1168" s="1" t="s">
        <v>2487</v>
      </c>
      <c r="U1168" s="1"/>
      <c r="V1168" s="4"/>
      <c r="W1168" s="1" t="s">
        <v>6024</v>
      </c>
      <c r="X1168" s="18">
        <v>45882.0</v>
      </c>
      <c r="Y1168" s="1" t="s">
        <v>1440</v>
      </c>
      <c r="Z1168" s="1"/>
      <c r="AA1168" s="1" t="s">
        <v>6024</v>
      </c>
      <c r="AB1168" s="1" t="s">
        <v>124</v>
      </c>
      <c r="AC1168" s="1" t="s">
        <v>1925</v>
      </c>
      <c r="AD1168" s="1"/>
      <c r="AE1168" s="1" t="s">
        <v>1152</v>
      </c>
      <c r="AF1168" s="1"/>
      <c r="AG1168" s="1"/>
      <c r="AH1168" s="1" t="s">
        <v>1152</v>
      </c>
      <c r="AI1168" s="1"/>
      <c r="AJ1168" s="1" t="s">
        <v>6023</v>
      </c>
      <c r="AK1168" s="1" t="s">
        <v>1152</v>
      </c>
      <c r="AL1168" s="6" t="str">
        <f t="array" ref="AL1168">IFERROR(IFS(XLOOKUP(B1168, 'Kit Delivery Status'!$U:$U, 'Kit Delivery Status'!$K:$K) = "Complete", "DELIVERED", XLOOKUP(B1168, 'Kit Delivery Status'!$U:$U, 'Kit Delivery Status'!$K:$K) = "Issue", "ISSUE"), "")</f>
        <v/>
      </c>
      <c r="AM1168" s="6"/>
    </row>
    <row r="1169">
      <c r="A1169" s="5" t="s">
        <v>6025</v>
      </c>
      <c r="B1169" s="1" t="s">
        <v>6026</v>
      </c>
      <c r="C1169" s="1"/>
      <c r="D1169" s="2">
        <v>9.147724856E9</v>
      </c>
      <c r="E1169" s="1" t="s">
        <v>2729</v>
      </c>
      <c r="F1169" s="1" t="s">
        <v>6027</v>
      </c>
      <c r="G1169" s="1" t="s">
        <v>2249</v>
      </c>
      <c r="H1169" s="1" t="s">
        <v>751</v>
      </c>
      <c r="I1169" s="1">
        <v>10504.0</v>
      </c>
      <c r="J1169" s="1" t="s">
        <v>752</v>
      </c>
      <c r="K1169" s="1" t="s">
        <v>51</v>
      </c>
      <c r="L1169" s="1" t="s">
        <v>5722</v>
      </c>
      <c r="M1169" s="1">
        <v>1.0</v>
      </c>
      <c r="N1169" s="1" t="s">
        <v>2487</v>
      </c>
      <c r="O1169" s="3"/>
      <c r="P1169" s="18">
        <v>45883.0</v>
      </c>
      <c r="Q1169" s="1" t="s">
        <v>3186</v>
      </c>
      <c r="R1169" s="1" t="s">
        <v>6027</v>
      </c>
      <c r="S1169" s="1" t="s">
        <v>124</v>
      </c>
      <c r="T1169" s="1" t="s">
        <v>2487</v>
      </c>
      <c r="U1169" s="1"/>
      <c r="V1169" s="4"/>
      <c r="W1169" s="1" t="s">
        <v>6027</v>
      </c>
      <c r="X1169" s="18">
        <v>45883.0</v>
      </c>
      <c r="Y1169" s="1" t="s">
        <v>3186</v>
      </c>
      <c r="Z1169" s="1"/>
      <c r="AA1169" s="1" t="s">
        <v>6027</v>
      </c>
      <c r="AB1169" s="1" t="s">
        <v>124</v>
      </c>
      <c r="AC1169" s="1" t="s">
        <v>1925</v>
      </c>
      <c r="AD1169" s="1"/>
      <c r="AE1169" s="1" t="s">
        <v>1152</v>
      </c>
      <c r="AF1169" s="1"/>
      <c r="AG1169" s="1"/>
      <c r="AH1169" s="1" t="s">
        <v>1152</v>
      </c>
      <c r="AI1169" s="1"/>
      <c r="AJ1169" s="1" t="s">
        <v>6028</v>
      </c>
      <c r="AK1169" s="1" t="s">
        <v>1152</v>
      </c>
      <c r="AL1169" s="6" t="str">
        <f t="array" ref="AL1169">IFERROR(IFS(XLOOKUP(B1169, 'Kit Delivery Status'!$U:$U, 'Kit Delivery Status'!$K:$K) = "Complete", "DELIVERED", XLOOKUP(B1169, 'Kit Delivery Status'!$U:$U, 'Kit Delivery Status'!$K:$K) = "Issue", "ISSUE"), "")</f>
        <v/>
      </c>
      <c r="AM1169" s="6"/>
    </row>
    <row r="1170">
      <c r="A1170" s="5" t="s">
        <v>6029</v>
      </c>
      <c r="B1170" s="1" t="s">
        <v>6030</v>
      </c>
      <c r="C1170" s="1" t="s">
        <v>6031</v>
      </c>
      <c r="D1170" s="2">
        <v>2.068503099E9</v>
      </c>
      <c r="E1170" s="1" t="s">
        <v>977</v>
      </c>
      <c r="F1170" s="1"/>
      <c r="G1170" s="1" t="s">
        <v>6032</v>
      </c>
      <c r="H1170" s="1" t="s">
        <v>980</v>
      </c>
      <c r="I1170" s="1">
        <v>98011.0</v>
      </c>
      <c r="J1170" s="1" t="s">
        <v>752</v>
      </c>
      <c r="K1170" s="1" t="s">
        <v>66</v>
      </c>
      <c r="L1170" s="1" t="s">
        <v>5736</v>
      </c>
      <c r="M1170" s="1">
        <v>115.0</v>
      </c>
      <c r="N1170" s="1" t="s">
        <v>1152</v>
      </c>
      <c r="O1170" s="3" t="s">
        <v>981</v>
      </c>
      <c r="P1170" s="18">
        <v>45883.0</v>
      </c>
      <c r="Q1170" s="1"/>
      <c r="R1170" s="1"/>
      <c r="S1170" s="1"/>
      <c r="T1170" s="1" t="s">
        <v>1152</v>
      </c>
      <c r="U1170" s="1" t="s">
        <v>982</v>
      </c>
      <c r="V1170" s="4" t="s">
        <v>981</v>
      </c>
      <c r="W1170" s="1"/>
      <c r="X1170" s="18">
        <v>45883.0</v>
      </c>
      <c r="Y1170" s="1"/>
      <c r="Z1170" s="1"/>
      <c r="AA1170" s="1"/>
      <c r="AB1170" s="1"/>
      <c r="AC1170" s="1" t="s">
        <v>1925</v>
      </c>
      <c r="AD1170" s="1"/>
      <c r="AE1170" s="1" t="s">
        <v>1152</v>
      </c>
      <c r="AF1170" s="1"/>
      <c r="AG1170" s="1"/>
      <c r="AH1170" s="1" t="s">
        <v>1152</v>
      </c>
      <c r="AI1170" s="1"/>
      <c r="AJ1170" s="1" t="s">
        <v>6033</v>
      </c>
      <c r="AK1170" s="1" t="s">
        <v>1152</v>
      </c>
      <c r="AL1170" s="6" t="str">
        <f t="array" ref="AL1170">IFERROR(IFS(XLOOKUP(B1170, 'Kit Delivery Status'!$U:$U, 'Kit Delivery Status'!$K:$K) = "Complete", "DELIVERED", XLOOKUP(B1170, 'Kit Delivery Status'!$U:$U, 'Kit Delivery Status'!$K:$K) = "Issue", "ISSUE"), "")</f>
        <v/>
      </c>
      <c r="AM1170" s="6"/>
    </row>
    <row r="1171">
      <c r="A1171" s="5" t="s">
        <v>6034</v>
      </c>
      <c r="B1171" s="1" t="s">
        <v>6035</v>
      </c>
      <c r="C1171" s="1"/>
      <c r="D1171" s="2">
        <v>2.252187722E9</v>
      </c>
      <c r="E1171" s="1" t="s">
        <v>6036</v>
      </c>
      <c r="F1171" s="1"/>
      <c r="G1171" s="1" t="s">
        <v>6037</v>
      </c>
      <c r="H1171" s="1" t="s">
        <v>1583</v>
      </c>
      <c r="I1171" s="1">
        <v>78260.0</v>
      </c>
      <c r="J1171" s="1" t="s">
        <v>752</v>
      </c>
      <c r="K1171" s="1" t="s">
        <v>51</v>
      </c>
      <c r="L1171" s="1" t="s">
        <v>5722</v>
      </c>
      <c r="M1171" s="1">
        <v>1.0</v>
      </c>
      <c r="N1171" s="1" t="s">
        <v>2461</v>
      </c>
      <c r="O1171" s="3" t="s">
        <v>6038</v>
      </c>
      <c r="P1171" s="18">
        <v>45887.0</v>
      </c>
      <c r="Q1171" s="1" t="s">
        <v>1030</v>
      </c>
      <c r="R1171" s="1"/>
      <c r="S1171" s="1" t="s">
        <v>52</v>
      </c>
      <c r="T1171" s="1" t="s">
        <v>2461</v>
      </c>
      <c r="U1171" s="1" t="s">
        <v>2510</v>
      </c>
      <c r="V1171" s="4" t="s">
        <v>6038</v>
      </c>
      <c r="W1171" s="1"/>
      <c r="X1171" s="18">
        <v>45887.0</v>
      </c>
      <c r="Y1171" s="1" t="s">
        <v>1030</v>
      </c>
      <c r="Z1171" s="1"/>
      <c r="AA1171" s="1"/>
      <c r="AB1171" s="1" t="s">
        <v>52</v>
      </c>
      <c r="AC1171" s="1" t="s">
        <v>1925</v>
      </c>
      <c r="AD1171" s="1"/>
      <c r="AE1171" s="1" t="s">
        <v>1152</v>
      </c>
      <c r="AF1171" s="1"/>
      <c r="AG1171" s="1"/>
      <c r="AH1171" s="1" t="s">
        <v>1152</v>
      </c>
      <c r="AI1171" s="1"/>
      <c r="AJ1171" s="1" t="s">
        <v>6039</v>
      </c>
      <c r="AK1171" s="1" t="s">
        <v>1152</v>
      </c>
      <c r="AL1171" s="6" t="str">
        <f t="array" ref="AL1171">IFERROR(IFS(XLOOKUP(B1171, 'Kit Delivery Status'!$U:$U, 'Kit Delivery Status'!$K:$K) = "Complete", "DELIVERED", XLOOKUP(B1171, 'Kit Delivery Status'!$U:$U, 'Kit Delivery Status'!$K:$K) = "Issue", "ISSUE"), "")</f>
        <v/>
      </c>
      <c r="AM1171" s="6"/>
    </row>
    <row r="1172">
      <c r="A1172" s="5" t="s">
        <v>6040</v>
      </c>
      <c r="B1172" s="1" t="s">
        <v>6041</v>
      </c>
      <c r="C1172" s="1"/>
      <c r="D1172" s="2">
        <v>8.327072357E9</v>
      </c>
      <c r="E1172" s="1" t="s">
        <v>6042</v>
      </c>
      <c r="F1172" s="1"/>
      <c r="G1172" s="1" t="s">
        <v>6043</v>
      </c>
      <c r="H1172" s="1" t="s">
        <v>1583</v>
      </c>
      <c r="I1172" s="1">
        <v>77494.0</v>
      </c>
      <c r="J1172" s="1" t="s">
        <v>752</v>
      </c>
      <c r="K1172" s="1" t="s">
        <v>66</v>
      </c>
      <c r="L1172" s="1" t="s">
        <v>5736</v>
      </c>
      <c r="M1172" s="1">
        <v>115.0</v>
      </c>
      <c r="N1172" s="1" t="s">
        <v>1152</v>
      </c>
      <c r="O1172" s="3" t="s">
        <v>6044</v>
      </c>
      <c r="P1172" s="18">
        <v>45883.0</v>
      </c>
      <c r="Q1172" s="1"/>
      <c r="R1172" s="1"/>
      <c r="S1172" s="1"/>
      <c r="T1172" s="1" t="s">
        <v>1152</v>
      </c>
      <c r="U1172" s="1" t="s">
        <v>1039</v>
      </c>
      <c r="V1172" s="4" t="s">
        <v>6044</v>
      </c>
      <c r="W1172" s="1"/>
      <c r="X1172" s="18">
        <v>45883.0</v>
      </c>
      <c r="Y1172" s="1"/>
      <c r="Z1172" s="1"/>
      <c r="AA1172" s="1"/>
      <c r="AB1172" s="1"/>
      <c r="AC1172" s="1" t="s">
        <v>1925</v>
      </c>
      <c r="AD1172" s="1"/>
      <c r="AE1172" s="1" t="s">
        <v>1152</v>
      </c>
      <c r="AF1172" s="1"/>
      <c r="AG1172" s="1"/>
      <c r="AH1172" s="1" t="s">
        <v>1152</v>
      </c>
      <c r="AI1172" s="1"/>
      <c r="AJ1172" s="1" t="s">
        <v>6042</v>
      </c>
      <c r="AK1172" s="1" t="s">
        <v>1152</v>
      </c>
      <c r="AL1172" s="6" t="str">
        <f t="array" ref="AL1172">IFERROR(IFS(XLOOKUP(B1172, 'Kit Delivery Status'!$U:$U, 'Kit Delivery Status'!$K:$K) = "Complete", "DELIVERED", XLOOKUP(B1172, 'Kit Delivery Status'!$U:$U, 'Kit Delivery Status'!$K:$K) = "Issue", "ISSUE"), "")</f>
        <v/>
      </c>
      <c r="AM1172" s="6"/>
    </row>
    <row r="1173">
      <c r="A1173" s="5" t="s">
        <v>6045</v>
      </c>
      <c r="B1173" s="1" t="s">
        <v>6046</v>
      </c>
      <c r="C1173" s="1" t="s">
        <v>6047</v>
      </c>
      <c r="D1173" s="2">
        <v>919618888462</v>
      </c>
      <c r="E1173" s="1" t="s">
        <v>6048</v>
      </c>
      <c r="F1173" s="1"/>
      <c r="G1173" s="1" t="s">
        <v>6049</v>
      </c>
      <c r="H1173" s="1" t="s">
        <v>6050</v>
      </c>
      <c r="I1173" s="1">
        <v>500104.0</v>
      </c>
      <c r="J1173" s="1" t="s">
        <v>2187</v>
      </c>
      <c r="K1173" s="1" t="s">
        <v>66</v>
      </c>
      <c r="L1173" s="1" t="s">
        <v>5767</v>
      </c>
      <c r="M1173" s="1">
        <v>210.0</v>
      </c>
      <c r="N1173" s="1" t="s">
        <v>1152</v>
      </c>
      <c r="O1173" s="3" t="s">
        <v>6051</v>
      </c>
      <c r="P1173" s="1" t="s">
        <v>6052</v>
      </c>
      <c r="Q1173" s="1"/>
      <c r="R1173" s="1"/>
      <c r="S1173" s="1"/>
      <c r="T1173" s="1" t="s">
        <v>1152</v>
      </c>
      <c r="U1173" s="1" t="s">
        <v>6053</v>
      </c>
      <c r="V1173" s="4" t="s">
        <v>6051</v>
      </c>
      <c r="W1173" s="1"/>
      <c r="X1173" s="1" t="s">
        <v>6052</v>
      </c>
      <c r="Y1173" s="1"/>
      <c r="Z1173" s="1"/>
      <c r="AA1173" s="1"/>
      <c r="AB1173" s="1"/>
      <c r="AC1173" s="1" t="s">
        <v>1925</v>
      </c>
      <c r="AD1173" s="1"/>
      <c r="AE1173" s="1" t="s">
        <v>1152</v>
      </c>
      <c r="AF1173" s="1"/>
      <c r="AG1173" s="1"/>
      <c r="AH1173" s="1" t="s">
        <v>1152</v>
      </c>
      <c r="AI1173" s="1"/>
      <c r="AJ1173" s="1" t="s">
        <v>6054</v>
      </c>
      <c r="AK1173" s="1" t="s">
        <v>1152</v>
      </c>
      <c r="AL1173" s="6" t="str">
        <f t="array" ref="AL1173">IFERROR(IFS(XLOOKUP(B1173, 'Kit Delivery Status'!$U:$U, 'Kit Delivery Status'!$K:$K) = "Complete", "DELIVERED", XLOOKUP(B1173, 'Kit Delivery Status'!$U:$U, 'Kit Delivery Status'!$K:$K) = "Issue", "ISSUE"), "")</f>
        <v/>
      </c>
      <c r="AM1173" s="6"/>
    </row>
    <row r="1174">
      <c r="A1174" s="5" t="s">
        <v>6055</v>
      </c>
      <c r="B1174" s="1" t="s">
        <v>6056</v>
      </c>
      <c r="C1174" s="1"/>
      <c r="D1174" s="2">
        <v>2.039897377E9</v>
      </c>
      <c r="E1174" s="1" t="s">
        <v>6057</v>
      </c>
      <c r="F1174" s="1"/>
      <c r="G1174" s="1" t="s">
        <v>1604</v>
      </c>
      <c r="H1174" s="1" t="s">
        <v>1078</v>
      </c>
      <c r="I1174" s="1">
        <v>6880.0</v>
      </c>
      <c r="J1174" s="1" t="s">
        <v>752</v>
      </c>
      <c r="K1174" s="1" t="s">
        <v>66</v>
      </c>
      <c r="L1174" s="1" t="s">
        <v>5833</v>
      </c>
      <c r="M1174" s="1">
        <v>65.0</v>
      </c>
      <c r="N1174" s="1" t="s">
        <v>1152</v>
      </c>
      <c r="O1174" s="3" t="s">
        <v>997</v>
      </c>
      <c r="P1174" s="18">
        <v>45883.0</v>
      </c>
      <c r="Q1174" s="1"/>
      <c r="R1174" s="1"/>
      <c r="S1174" s="1"/>
      <c r="T1174" s="1" t="s">
        <v>1152</v>
      </c>
      <c r="U1174" s="1" t="s">
        <v>1277</v>
      </c>
      <c r="V1174" s="4" t="s">
        <v>997</v>
      </c>
      <c r="W1174" s="1"/>
      <c r="X1174" s="18">
        <v>45883.0</v>
      </c>
      <c r="Y1174" s="1"/>
      <c r="Z1174" s="1"/>
      <c r="AA1174" s="1"/>
      <c r="AB1174" s="1"/>
      <c r="AC1174" s="1" t="s">
        <v>1925</v>
      </c>
      <c r="AD1174" s="1"/>
      <c r="AE1174" s="1" t="s">
        <v>1152</v>
      </c>
      <c r="AF1174" s="1"/>
      <c r="AG1174" s="1"/>
      <c r="AH1174" s="1" t="s">
        <v>1152</v>
      </c>
      <c r="AI1174" s="1"/>
      <c r="AJ1174" s="1"/>
      <c r="AK1174" s="1" t="s">
        <v>1152</v>
      </c>
      <c r="AL1174" s="6" t="str">
        <f t="array" ref="AL1174">IFERROR(IFS(XLOOKUP(B1174, 'Kit Delivery Status'!$U:$U, 'Kit Delivery Status'!$K:$K) = "Complete", "DELIVERED", XLOOKUP(B1174, 'Kit Delivery Status'!$U:$U, 'Kit Delivery Status'!$K:$K) = "Issue", "ISSUE"), "")</f>
        <v/>
      </c>
      <c r="AM1174" s="6"/>
    </row>
    <row r="1175">
      <c r="A1175" s="5" t="s">
        <v>6058</v>
      </c>
      <c r="B1175" s="1" t="s">
        <v>6059</v>
      </c>
      <c r="C1175" s="1" t="s">
        <v>6060</v>
      </c>
      <c r="D1175" s="2">
        <v>5.082165227E9</v>
      </c>
      <c r="E1175" s="1" t="s">
        <v>6061</v>
      </c>
      <c r="F1175" s="1"/>
      <c r="G1175" s="1" t="s">
        <v>6062</v>
      </c>
      <c r="H1175" s="1" t="s">
        <v>1121</v>
      </c>
      <c r="I1175" s="1">
        <v>2375.0</v>
      </c>
      <c r="J1175" s="1" t="s">
        <v>752</v>
      </c>
      <c r="K1175" s="1" t="s">
        <v>51</v>
      </c>
      <c r="L1175" s="1" t="s">
        <v>5722</v>
      </c>
      <c r="M1175" s="1">
        <v>1.0</v>
      </c>
      <c r="N1175" s="1" t="s">
        <v>2461</v>
      </c>
      <c r="O1175" s="3" t="s">
        <v>6063</v>
      </c>
      <c r="P1175" s="18">
        <v>45880.0</v>
      </c>
      <c r="Q1175" s="1" t="s">
        <v>1030</v>
      </c>
      <c r="R1175" s="1"/>
      <c r="S1175" s="1" t="s">
        <v>52</v>
      </c>
      <c r="T1175" s="1" t="s">
        <v>2461</v>
      </c>
      <c r="U1175" s="1" t="s">
        <v>1441</v>
      </c>
      <c r="V1175" s="4" t="s">
        <v>6063</v>
      </c>
      <c r="W1175" s="1"/>
      <c r="X1175" s="18">
        <v>45880.0</v>
      </c>
      <c r="Y1175" s="1" t="s">
        <v>1030</v>
      </c>
      <c r="Z1175" s="1"/>
      <c r="AA1175" s="1"/>
      <c r="AB1175" s="1" t="s">
        <v>52</v>
      </c>
      <c r="AC1175" s="1" t="s">
        <v>1925</v>
      </c>
      <c r="AD1175" s="1"/>
      <c r="AE1175" s="1" t="s">
        <v>1152</v>
      </c>
      <c r="AF1175" s="1"/>
      <c r="AG1175" s="1"/>
      <c r="AH1175" s="1" t="s">
        <v>1152</v>
      </c>
      <c r="AI1175" s="1"/>
      <c r="AJ1175" s="1" t="s">
        <v>6061</v>
      </c>
      <c r="AK1175" s="1" t="s">
        <v>1152</v>
      </c>
      <c r="AL1175" s="6" t="str">
        <f t="array" ref="AL1175">IFERROR(IFS(XLOOKUP(B1175, 'Kit Delivery Status'!$U:$U, 'Kit Delivery Status'!$K:$K) = "Complete", "DELIVERED", XLOOKUP(B1175, 'Kit Delivery Status'!$U:$U, 'Kit Delivery Status'!$K:$K) = "Issue", "ISSUE"), "")</f>
        <v/>
      </c>
      <c r="AM1175" s="6"/>
    </row>
    <row r="1176">
      <c r="A1176" s="5" t="s">
        <v>6064</v>
      </c>
      <c r="B1176" s="1" t="s">
        <v>6065</v>
      </c>
      <c r="C1176" s="1" t="s">
        <v>6066</v>
      </c>
      <c r="D1176" s="2">
        <v>9.013381006E9</v>
      </c>
      <c r="E1176" s="1" t="s">
        <v>6067</v>
      </c>
      <c r="F1176" s="1"/>
      <c r="G1176" s="1" t="s">
        <v>6068</v>
      </c>
      <c r="H1176" s="1" t="s">
        <v>1598</v>
      </c>
      <c r="I1176" s="1">
        <v>38016.0</v>
      </c>
      <c r="J1176" s="1" t="s">
        <v>752</v>
      </c>
      <c r="K1176" s="1" t="s">
        <v>51</v>
      </c>
      <c r="L1176" s="1" t="s">
        <v>5722</v>
      </c>
      <c r="M1176" s="1">
        <v>1.0</v>
      </c>
      <c r="N1176" s="1" t="s">
        <v>2461</v>
      </c>
      <c r="O1176" s="3" t="s">
        <v>1557</v>
      </c>
      <c r="P1176" s="18">
        <v>45878.0</v>
      </c>
      <c r="Q1176" s="1" t="s">
        <v>1030</v>
      </c>
      <c r="R1176" s="1"/>
      <c r="S1176" s="1" t="s">
        <v>52</v>
      </c>
      <c r="T1176" s="1" t="s">
        <v>2461</v>
      </c>
      <c r="U1176" s="1" t="s">
        <v>948</v>
      </c>
      <c r="V1176" s="4" t="s">
        <v>1557</v>
      </c>
      <c r="W1176" s="1"/>
      <c r="X1176" s="18">
        <v>45878.0</v>
      </c>
      <c r="Y1176" s="1" t="s">
        <v>1030</v>
      </c>
      <c r="Z1176" s="1"/>
      <c r="AA1176" s="1"/>
      <c r="AB1176" s="1" t="s">
        <v>52</v>
      </c>
      <c r="AC1176" s="1" t="s">
        <v>1925</v>
      </c>
      <c r="AD1176" s="1"/>
      <c r="AE1176" s="1" t="s">
        <v>1152</v>
      </c>
      <c r="AF1176" s="1"/>
      <c r="AG1176" s="1"/>
      <c r="AH1176" s="1" t="s">
        <v>1152</v>
      </c>
      <c r="AI1176" s="1"/>
      <c r="AJ1176" s="1" t="s">
        <v>6069</v>
      </c>
      <c r="AK1176" s="1" t="s">
        <v>1152</v>
      </c>
      <c r="AL1176" s="6" t="str">
        <f t="array" ref="AL1176">IFERROR(IFS(XLOOKUP(B1176, 'Kit Delivery Status'!$U:$U, 'Kit Delivery Status'!$K:$K) = "Complete", "DELIVERED", XLOOKUP(B1176, 'Kit Delivery Status'!$U:$U, 'Kit Delivery Status'!$K:$K) = "Issue", "ISSUE"), "")</f>
        <v/>
      </c>
      <c r="AM1176" s="6"/>
    </row>
    <row r="1177">
      <c r="A1177" s="5" t="s">
        <v>6070</v>
      </c>
      <c r="B1177" s="1" t="s">
        <v>6071</v>
      </c>
      <c r="C1177" s="1" t="s">
        <v>6072</v>
      </c>
      <c r="D1177" s="2">
        <v>2.486729306E9</v>
      </c>
      <c r="E1177" s="1" t="s">
        <v>6073</v>
      </c>
      <c r="F1177" s="1"/>
      <c r="G1177" s="1" t="s">
        <v>1085</v>
      </c>
      <c r="H1177" s="1" t="s">
        <v>1691</v>
      </c>
      <c r="I1177" s="1">
        <v>48009.0</v>
      </c>
      <c r="J1177" s="1" t="s">
        <v>752</v>
      </c>
      <c r="K1177" s="1" t="s">
        <v>66</v>
      </c>
      <c r="L1177" s="1" t="s">
        <v>5811</v>
      </c>
      <c r="M1177" s="1">
        <v>145.0</v>
      </c>
      <c r="N1177" s="1" t="s">
        <v>1152</v>
      </c>
      <c r="O1177" s="3" t="s">
        <v>5713</v>
      </c>
      <c r="P1177" s="18">
        <v>45883.0</v>
      </c>
      <c r="Q1177" s="1"/>
      <c r="R1177" s="1"/>
      <c r="S1177" s="1"/>
      <c r="T1177" s="1" t="s">
        <v>1152</v>
      </c>
      <c r="U1177" s="1" t="s">
        <v>1441</v>
      </c>
      <c r="V1177" s="4" t="s">
        <v>5713</v>
      </c>
      <c r="W1177" s="1"/>
      <c r="X1177" s="18">
        <v>45883.0</v>
      </c>
      <c r="Y1177" s="1"/>
      <c r="Z1177" s="1"/>
      <c r="AA1177" s="1"/>
      <c r="AB1177" s="1"/>
      <c r="AC1177" s="1" t="s">
        <v>1925</v>
      </c>
      <c r="AD1177" s="1"/>
      <c r="AE1177" s="1" t="s">
        <v>1152</v>
      </c>
      <c r="AF1177" s="1"/>
      <c r="AG1177" s="1"/>
      <c r="AH1177" s="1" t="s">
        <v>1152</v>
      </c>
      <c r="AI1177" s="1"/>
      <c r="AJ1177" s="1" t="s">
        <v>6073</v>
      </c>
      <c r="AK1177" s="1" t="s">
        <v>1152</v>
      </c>
      <c r="AL1177" s="6" t="str">
        <f t="array" ref="AL1177">IFERROR(IFS(XLOOKUP(B1177, 'Kit Delivery Status'!$U:$U, 'Kit Delivery Status'!$K:$K) = "Complete", "DELIVERED", XLOOKUP(B1177, 'Kit Delivery Status'!$U:$U, 'Kit Delivery Status'!$K:$K) = "Issue", "ISSUE"), "")</f>
        <v/>
      </c>
      <c r="AM1177" s="6"/>
    </row>
    <row r="1178">
      <c r="A1178" s="5" t="s">
        <v>6070</v>
      </c>
      <c r="B1178" s="1" t="s">
        <v>6071</v>
      </c>
      <c r="C1178" s="1" t="s">
        <v>6072</v>
      </c>
      <c r="D1178" s="2">
        <v>2.486729306E9</v>
      </c>
      <c r="E1178" s="1" t="s">
        <v>6073</v>
      </c>
      <c r="F1178" s="1"/>
      <c r="G1178" s="1" t="s">
        <v>1085</v>
      </c>
      <c r="H1178" s="1" t="s">
        <v>1691</v>
      </c>
      <c r="I1178" s="1">
        <v>48009.0</v>
      </c>
      <c r="J1178" s="1" t="s">
        <v>752</v>
      </c>
      <c r="K1178" s="1" t="s">
        <v>51</v>
      </c>
      <c r="L1178" s="1" t="s">
        <v>5722</v>
      </c>
      <c r="M1178" s="1">
        <v>1.0</v>
      </c>
      <c r="N1178" s="1" t="s">
        <v>2461</v>
      </c>
      <c r="O1178" s="3" t="s">
        <v>5713</v>
      </c>
      <c r="P1178" s="18">
        <v>45888.0</v>
      </c>
      <c r="Q1178" s="1" t="s">
        <v>1103</v>
      </c>
      <c r="R1178" s="1"/>
      <c r="S1178" s="1" t="s">
        <v>52</v>
      </c>
      <c r="T1178" s="1" t="s">
        <v>2461</v>
      </c>
      <c r="U1178" s="1" t="s">
        <v>1441</v>
      </c>
      <c r="V1178" s="4" t="s">
        <v>5713</v>
      </c>
      <c r="W1178" s="1"/>
      <c r="X1178" s="18">
        <v>45888.0</v>
      </c>
      <c r="Y1178" s="1" t="s">
        <v>1103</v>
      </c>
      <c r="Z1178" s="1"/>
      <c r="AA1178" s="1"/>
      <c r="AB1178" s="1" t="s">
        <v>52</v>
      </c>
      <c r="AC1178" s="1" t="s">
        <v>1925</v>
      </c>
      <c r="AD1178" s="1"/>
      <c r="AE1178" s="1" t="s">
        <v>1152</v>
      </c>
      <c r="AF1178" s="1"/>
      <c r="AG1178" s="1"/>
      <c r="AH1178" s="1" t="s">
        <v>1152</v>
      </c>
      <c r="AI1178" s="1"/>
      <c r="AJ1178" s="1" t="s">
        <v>6073</v>
      </c>
      <c r="AK1178" s="1" t="s">
        <v>1152</v>
      </c>
      <c r="AL1178" s="6" t="str">
        <f t="array" ref="AL1178">IFERROR(IFS(XLOOKUP(B1178, 'Kit Delivery Status'!$U:$U, 'Kit Delivery Status'!$K:$K) = "Complete", "DELIVERED", XLOOKUP(B1178, 'Kit Delivery Status'!$U:$U, 'Kit Delivery Status'!$K:$K) = "Issue", "ISSUE"), "")</f>
        <v/>
      </c>
      <c r="AM1178" s="6"/>
    </row>
    <row r="1179">
      <c r="A1179" s="5" t="s">
        <v>6074</v>
      </c>
      <c r="B1179" s="1" t="s">
        <v>6075</v>
      </c>
      <c r="C1179" s="1"/>
      <c r="D1179" s="2">
        <v>9.146062356E9</v>
      </c>
      <c r="E1179" s="1" t="s">
        <v>6076</v>
      </c>
      <c r="F1179" s="1"/>
      <c r="G1179" s="1" t="s">
        <v>2249</v>
      </c>
      <c r="H1179" s="1" t="s">
        <v>751</v>
      </c>
      <c r="I1179" s="1">
        <v>10504.0</v>
      </c>
      <c r="J1179" s="1" t="s">
        <v>752</v>
      </c>
      <c r="K1179" s="1" t="s">
        <v>51</v>
      </c>
      <c r="L1179" s="1" t="s">
        <v>5722</v>
      </c>
      <c r="M1179" s="1">
        <v>1.0</v>
      </c>
      <c r="N1179" s="1" t="s">
        <v>2461</v>
      </c>
      <c r="O1179" s="3" t="s">
        <v>6077</v>
      </c>
      <c r="P1179" s="18">
        <v>45883.0</v>
      </c>
      <c r="Q1179" s="1" t="s">
        <v>1103</v>
      </c>
      <c r="R1179" s="1"/>
      <c r="S1179" s="1" t="s">
        <v>52</v>
      </c>
      <c r="T1179" s="1" t="s">
        <v>2461</v>
      </c>
      <c r="U1179" s="1" t="s">
        <v>1794</v>
      </c>
      <c r="V1179" s="4" t="s">
        <v>6077</v>
      </c>
      <c r="W1179" s="1"/>
      <c r="X1179" s="18">
        <v>45883.0</v>
      </c>
      <c r="Y1179" s="1" t="s">
        <v>1103</v>
      </c>
      <c r="Z1179" s="1"/>
      <c r="AA1179" s="1"/>
      <c r="AB1179" s="1" t="s">
        <v>52</v>
      </c>
      <c r="AC1179" s="1" t="s">
        <v>1925</v>
      </c>
      <c r="AD1179" s="1"/>
      <c r="AE1179" s="1" t="s">
        <v>1152</v>
      </c>
      <c r="AF1179" s="1"/>
      <c r="AG1179" s="1"/>
      <c r="AH1179" s="1" t="s">
        <v>1152</v>
      </c>
      <c r="AI1179" s="1"/>
      <c r="AJ1179" s="1" t="s">
        <v>6078</v>
      </c>
      <c r="AK1179" s="1" t="s">
        <v>1152</v>
      </c>
      <c r="AL1179" s="6" t="str">
        <f t="array" ref="AL1179">IFERROR(IFS(XLOOKUP(B1179, 'Kit Delivery Status'!$U:$U, 'Kit Delivery Status'!$K:$K) = "Complete", "DELIVERED", XLOOKUP(B1179, 'Kit Delivery Status'!$U:$U, 'Kit Delivery Status'!$K:$K) = "Issue", "ISSUE"), "")</f>
        <v/>
      </c>
      <c r="AM1179" s="6"/>
    </row>
    <row r="1180">
      <c r="A1180" s="5" t="s">
        <v>6079</v>
      </c>
      <c r="B1180" s="1" t="s">
        <v>6080</v>
      </c>
      <c r="C1180" s="1" t="s">
        <v>6081</v>
      </c>
      <c r="D1180" s="2" t="s">
        <v>6082</v>
      </c>
      <c r="E1180" s="1" t="s">
        <v>6083</v>
      </c>
      <c r="F1180" s="1" t="s">
        <v>6084</v>
      </c>
      <c r="G1180" s="1" t="s">
        <v>1283</v>
      </c>
      <c r="H1180" s="1" t="s">
        <v>1155</v>
      </c>
      <c r="I1180" s="1">
        <v>63105.0</v>
      </c>
      <c r="J1180" s="1" t="s">
        <v>752</v>
      </c>
      <c r="K1180" s="1" t="s">
        <v>51</v>
      </c>
      <c r="L1180" s="1" t="s">
        <v>5722</v>
      </c>
      <c r="M1180" s="1">
        <v>1.0</v>
      </c>
      <c r="N1180" s="1" t="s">
        <v>2487</v>
      </c>
      <c r="O1180" s="3"/>
      <c r="P1180" s="18">
        <v>45891.0</v>
      </c>
      <c r="Q1180" s="1" t="s">
        <v>1630</v>
      </c>
      <c r="R1180" s="1" t="s">
        <v>6084</v>
      </c>
      <c r="S1180" s="1" t="s">
        <v>124</v>
      </c>
      <c r="T1180" s="1" t="s">
        <v>2487</v>
      </c>
      <c r="U1180" s="1"/>
      <c r="V1180" s="4"/>
      <c r="W1180" s="1" t="s">
        <v>6084</v>
      </c>
      <c r="X1180" s="18">
        <v>45891.0</v>
      </c>
      <c r="Y1180" s="1" t="s">
        <v>1630</v>
      </c>
      <c r="Z1180" s="1"/>
      <c r="AA1180" s="1" t="s">
        <v>6084</v>
      </c>
      <c r="AB1180" s="1" t="s">
        <v>124</v>
      </c>
      <c r="AC1180" s="1" t="s">
        <v>1925</v>
      </c>
      <c r="AD1180" s="1"/>
      <c r="AE1180" s="1" t="s">
        <v>1152</v>
      </c>
      <c r="AF1180" s="1"/>
      <c r="AG1180" s="1"/>
      <c r="AH1180" s="1" t="s">
        <v>1152</v>
      </c>
      <c r="AI1180" s="1"/>
      <c r="AJ1180" s="1" t="s">
        <v>6085</v>
      </c>
      <c r="AK1180" s="1" t="s">
        <v>1152</v>
      </c>
      <c r="AL1180" s="6" t="str">
        <f t="array" ref="AL1180">IFERROR(IFS(XLOOKUP(B1180, 'Kit Delivery Status'!$U:$U, 'Kit Delivery Status'!$K:$K) = "Complete", "DELIVERED", XLOOKUP(B1180, 'Kit Delivery Status'!$U:$U, 'Kit Delivery Status'!$K:$K) = "Issue", "ISSUE"), "")</f>
        <v/>
      </c>
      <c r="AM1180" s="6"/>
    </row>
    <row r="1181">
      <c r="A1181" s="5" t="s">
        <v>6086</v>
      </c>
      <c r="B1181" s="1" t="s">
        <v>6087</v>
      </c>
      <c r="C1181" s="1" t="s">
        <v>2268</v>
      </c>
      <c r="D1181" s="2">
        <v>6.186411334E9</v>
      </c>
      <c r="E1181" s="1" t="s">
        <v>3980</v>
      </c>
      <c r="F1181" s="1"/>
      <c r="G1181" s="1" t="s">
        <v>2136</v>
      </c>
      <c r="H1181" s="1" t="s">
        <v>1155</v>
      </c>
      <c r="I1181" s="1">
        <v>63117.0</v>
      </c>
      <c r="J1181" s="1" t="s">
        <v>752</v>
      </c>
      <c r="K1181" s="1" t="s">
        <v>2577</v>
      </c>
      <c r="L1181" s="1" t="s">
        <v>5882</v>
      </c>
      <c r="M1181" s="1">
        <v>1.0</v>
      </c>
      <c r="N1181" s="1" t="s">
        <v>2579</v>
      </c>
      <c r="O1181" s="3" t="s">
        <v>103</v>
      </c>
      <c r="P1181" s="18">
        <v>45880.0</v>
      </c>
      <c r="Q1181" s="1" t="s">
        <v>6088</v>
      </c>
      <c r="R1181" s="1"/>
      <c r="S1181" s="1"/>
      <c r="T1181" s="1" t="s">
        <v>2579</v>
      </c>
      <c r="U1181" s="1" t="s">
        <v>4637</v>
      </c>
      <c r="V1181" s="4" t="s">
        <v>103</v>
      </c>
      <c r="W1181" s="1"/>
      <c r="X1181" s="18">
        <v>45880.0</v>
      </c>
      <c r="Y1181" s="1" t="s">
        <v>6088</v>
      </c>
      <c r="Z1181" s="1"/>
      <c r="AA1181" s="1"/>
      <c r="AB1181" s="1"/>
      <c r="AC1181" s="1" t="s">
        <v>1925</v>
      </c>
      <c r="AD1181" s="1"/>
      <c r="AE1181" s="1" t="s">
        <v>1152</v>
      </c>
      <c r="AF1181" s="1"/>
      <c r="AG1181" s="1"/>
      <c r="AH1181" s="1" t="s">
        <v>1152</v>
      </c>
      <c r="AI1181" s="1" t="s">
        <v>6089</v>
      </c>
      <c r="AJ1181" s="1"/>
      <c r="AK1181" s="1" t="s">
        <v>5886</v>
      </c>
      <c r="AL1181" s="6" t="str">
        <f t="array" ref="AL1181">IFERROR(IFS(XLOOKUP(B1181, 'Kit Delivery Status'!$U:$U, 'Kit Delivery Status'!$K:$K) = "Complete", "DELIVERED", XLOOKUP(B1181, 'Kit Delivery Status'!$U:$U, 'Kit Delivery Status'!$K:$K) = "Issue", "ISSUE"), "")</f>
        <v/>
      </c>
      <c r="AM1181" s="6"/>
    </row>
    <row r="1182">
      <c r="A1182" s="5" t="s">
        <v>6090</v>
      </c>
      <c r="B1182" s="1" t="s">
        <v>6091</v>
      </c>
      <c r="C1182" s="1" t="s">
        <v>6092</v>
      </c>
      <c r="D1182" s="2"/>
      <c r="E1182" s="1" t="s">
        <v>6093</v>
      </c>
      <c r="F1182" s="1"/>
      <c r="G1182" s="1"/>
      <c r="H1182" s="1"/>
      <c r="I1182" s="1"/>
      <c r="J1182" s="1"/>
      <c r="K1182" s="1" t="s">
        <v>66</v>
      </c>
      <c r="L1182" s="1" t="s">
        <v>6094</v>
      </c>
      <c r="M1182" s="1"/>
      <c r="N1182" s="1" t="s">
        <v>2579</v>
      </c>
      <c r="O1182" s="3" t="s">
        <v>3365</v>
      </c>
      <c r="P1182" s="18">
        <v>45891.0</v>
      </c>
      <c r="Q1182" s="1"/>
      <c r="R1182" s="1"/>
      <c r="S1182" s="1" t="s">
        <v>52</v>
      </c>
      <c r="T1182" s="1" t="s">
        <v>2461</v>
      </c>
      <c r="U1182" s="1" t="s">
        <v>551</v>
      </c>
      <c r="V1182" s="4" t="s">
        <v>3365</v>
      </c>
      <c r="W1182" s="1"/>
      <c r="X1182" s="18">
        <v>45891.0</v>
      </c>
      <c r="Y1182" s="1"/>
      <c r="Z1182" s="1"/>
      <c r="AA1182" s="1"/>
      <c r="AB1182" s="1"/>
      <c r="AC1182" s="1"/>
      <c r="AD1182" s="1"/>
      <c r="AE1182" s="1"/>
      <c r="AF1182" s="1"/>
      <c r="AG1182" s="1"/>
      <c r="AH1182" s="1"/>
      <c r="AI1182" s="1"/>
      <c r="AJ1182" s="1"/>
      <c r="AK1182" s="1"/>
      <c r="AL1182" s="6" t="str">
        <f t="array" ref="AL1182">IFERROR(IFS(XLOOKUP(B1182, 'Kit Delivery Status'!$U:$U, 'Kit Delivery Status'!$K:$K) = "Complete", "DELIVERED", XLOOKUP(B1182, 'Kit Delivery Status'!$U:$U, 'Kit Delivery Status'!$K:$K) = "Issue", "ISSUE"), "")</f>
        <v/>
      </c>
      <c r="AM1182" s="6"/>
    </row>
    <row r="1183">
      <c r="A1183" s="5" t="s">
        <v>6095</v>
      </c>
      <c r="B1183" s="1" t="s">
        <v>6096</v>
      </c>
      <c r="C1183" s="1" t="s">
        <v>6097</v>
      </c>
      <c r="D1183" s="2" t="s">
        <v>6098</v>
      </c>
      <c r="E1183" s="1" t="s">
        <v>6099</v>
      </c>
      <c r="F1183" s="1"/>
      <c r="G1183" s="1" t="s">
        <v>6100</v>
      </c>
      <c r="H1183" s="1" t="s">
        <v>1053</v>
      </c>
      <c r="I1183" s="1">
        <v>7481.0</v>
      </c>
      <c r="J1183" s="1" t="s">
        <v>752</v>
      </c>
      <c r="K1183" s="1" t="s">
        <v>95</v>
      </c>
      <c r="L1183" s="1" t="s">
        <v>5820</v>
      </c>
      <c r="M1183" s="1">
        <v>49.0</v>
      </c>
      <c r="N1183" s="1" t="s">
        <v>2461</v>
      </c>
      <c r="O1183" s="3" t="s">
        <v>6101</v>
      </c>
      <c r="P1183" s="18">
        <v>45892.0</v>
      </c>
      <c r="Q1183" s="1" t="s">
        <v>1030</v>
      </c>
      <c r="R1183" s="1"/>
      <c r="S1183" s="1" t="s">
        <v>52</v>
      </c>
      <c r="T1183" s="1" t="s">
        <v>2461</v>
      </c>
      <c r="U1183" s="1" t="s">
        <v>948</v>
      </c>
      <c r="V1183" s="4" t="s">
        <v>6101</v>
      </c>
      <c r="W1183" s="1"/>
      <c r="X1183" s="18">
        <v>45892.0</v>
      </c>
      <c r="Y1183" s="1" t="s">
        <v>1030</v>
      </c>
      <c r="Z1183" s="1"/>
      <c r="AA1183" s="1"/>
      <c r="AB1183" s="1" t="s">
        <v>52</v>
      </c>
      <c r="AC1183" s="1" t="s">
        <v>6102</v>
      </c>
      <c r="AD1183" s="1"/>
      <c r="AE1183" s="1" t="s">
        <v>1152</v>
      </c>
      <c r="AF1183" s="1"/>
      <c r="AG1183" s="1"/>
      <c r="AH1183" s="1" t="s">
        <v>1152</v>
      </c>
      <c r="AI1183" s="1"/>
      <c r="AJ1183" s="1" t="s">
        <v>6099</v>
      </c>
      <c r="AK1183" s="1" t="s">
        <v>1152</v>
      </c>
      <c r="AL1183" s="6" t="str">
        <f t="array" ref="AL1183">IFERROR(IFS(XLOOKUP(B1183, 'Kit Delivery Status'!$U:$U, 'Kit Delivery Status'!$K:$K) = "Complete", "DELIVERED", XLOOKUP(B1183, 'Kit Delivery Status'!$U:$U, 'Kit Delivery Status'!$K:$K) = "Issue", "ISSUE"), "")</f>
        <v/>
      </c>
      <c r="AM1183" s="6"/>
    </row>
    <row r="1184">
      <c r="A1184" s="5" t="s">
        <v>6103</v>
      </c>
      <c r="B1184" s="1" t="s">
        <v>6104</v>
      </c>
      <c r="C1184" s="1" t="s">
        <v>6105</v>
      </c>
      <c r="D1184" s="2">
        <v>4.153074911E9</v>
      </c>
      <c r="E1184" s="1" t="s">
        <v>6106</v>
      </c>
      <c r="F1184" s="1"/>
      <c r="G1184" s="1" t="s">
        <v>1562</v>
      </c>
      <c r="H1184" s="1" t="s">
        <v>989</v>
      </c>
      <c r="I1184" s="1">
        <v>94121.0</v>
      </c>
      <c r="J1184" s="1" t="s">
        <v>752</v>
      </c>
      <c r="K1184" s="1" t="s">
        <v>66</v>
      </c>
      <c r="L1184" s="1" t="s">
        <v>6107</v>
      </c>
      <c r="M1184" s="1">
        <v>180.0</v>
      </c>
      <c r="N1184" s="1" t="s">
        <v>1152</v>
      </c>
      <c r="O1184" s="3" t="s">
        <v>2946</v>
      </c>
      <c r="P1184" s="18">
        <v>45882.0</v>
      </c>
      <c r="Q1184" s="1"/>
      <c r="R1184" s="1"/>
      <c r="S1184" s="1"/>
      <c r="T1184" s="1" t="s">
        <v>1152</v>
      </c>
      <c r="U1184" s="1" t="s">
        <v>1249</v>
      </c>
      <c r="V1184" s="4" t="s">
        <v>2946</v>
      </c>
      <c r="W1184" s="1"/>
      <c r="X1184" s="18">
        <v>45882.0</v>
      </c>
      <c r="Y1184" s="1"/>
      <c r="Z1184" s="1"/>
      <c r="AA1184" s="1"/>
      <c r="AB1184" s="1"/>
      <c r="AC1184" s="1" t="s">
        <v>1925</v>
      </c>
      <c r="AD1184" s="1"/>
      <c r="AE1184" s="1" t="s">
        <v>1152</v>
      </c>
      <c r="AF1184" s="1"/>
      <c r="AG1184" s="1"/>
      <c r="AH1184" s="1" t="s">
        <v>1152</v>
      </c>
      <c r="AI1184" s="1"/>
      <c r="AJ1184" s="1" t="s">
        <v>6106</v>
      </c>
      <c r="AK1184" s="1" t="s">
        <v>1152</v>
      </c>
      <c r="AL1184" s="6" t="str">
        <f t="array" ref="AL1184">IFERROR(IFS(XLOOKUP(B1184, 'Kit Delivery Status'!$U:$U, 'Kit Delivery Status'!$K:$K) = "Complete", "DELIVERED", XLOOKUP(B1184, 'Kit Delivery Status'!$U:$U, 'Kit Delivery Status'!$K:$K) = "Issue", "ISSUE"), "")</f>
        <v/>
      </c>
      <c r="AM1184" s="6"/>
    </row>
    <row r="1185">
      <c r="A1185" s="5" t="s">
        <v>6108</v>
      </c>
      <c r="B1185" s="1" t="s">
        <v>6109</v>
      </c>
      <c r="C1185" s="1"/>
      <c r="D1185" s="2">
        <v>7.735583081E9</v>
      </c>
      <c r="E1185" s="1" t="s">
        <v>6110</v>
      </c>
      <c r="F1185" s="1"/>
      <c r="G1185" s="1" t="s">
        <v>1072</v>
      </c>
      <c r="H1185" s="1" t="s">
        <v>1019</v>
      </c>
      <c r="I1185" s="1">
        <v>60634.0</v>
      </c>
      <c r="J1185" s="1" t="s">
        <v>752</v>
      </c>
      <c r="K1185" s="1" t="s">
        <v>51</v>
      </c>
      <c r="L1185" s="1" t="s">
        <v>5722</v>
      </c>
      <c r="M1185" s="1">
        <v>1.0</v>
      </c>
      <c r="N1185" s="1" t="s">
        <v>2461</v>
      </c>
      <c r="O1185" s="3" t="s">
        <v>3944</v>
      </c>
      <c r="P1185" s="18">
        <v>45889.0</v>
      </c>
      <c r="Q1185" s="1" t="s">
        <v>1030</v>
      </c>
      <c r="R1185" s="1"/>
      <c r="S1185" s="1" t="s">
        <v>52</v>
      </c>
      <c r="T1185" s="1" t="s">
        <v>2461</v>
      </c>
      <c r="U1185" s="1" t="s">
        <v>2957</v>
      </c>
      <c r="V1185" s="4" t="s">
        <v>3944</v>
      </c>
      <c r="W1185" s="1"/>
      <c r="X1185" s="18">
        <v>45889.0</v>
      </c>
      <c r="Y1185" s="1" t="s">
        <v>1030</v>
      </c>
      <c r="Z1185" s="1"/>
      <c r="AA1185" s="1"/>
      <c r="AB1185" s="1" t="s">
        <v>52</v>
      </c>
      <c r="AC1185" s="1" t="s">
        <v>1925</v>
      </c>
      <c r="AD1185" s="1"/>
      <c r="AE1185" s="1" t="s">
        <v>1152</v>
      </c>
      <c r="AF1185" s="1"/>
      <c r="AG1185" s="1"/>
      <c r="AH1185" s="1" t="s">
        <v>1152</v>
      </c>
      <c r="AI1185" s="1"/>
      <c r="AJ1185" s="1" t="s">
        <v>6111</v>
      </c>
      <c r="AK1185" s="1" t="s">
        <v>1152</v>
      </c>
      <c r="AL1185" s="6" t="str">
        <f t="array" ref="AL1185">IFERROR(IFS(XLOOKUP(B1185, 'Kit Delivery Status'!$U:$U, 'Kit Delivery Status'!$K:$K) = "Complete", "DELIVERED", XLOOKUP(B1185, 'Kit Delivery Status'!$U:$U, 'Kit Delivery Status'!$K:$K) = "Issue", "ISSUE"), "")</f>
        <v/>
      </c>
      <c r="AM1185" s="6"/>
    </row>
    <row r="1186">
      <c r="A1186" s="5" t="s">
        <v>6112</v>
      </c>
      <c r="B1186" s="1" t="s">
        <v>6113</v>
      </c>
      <c r="C1186" s="1"/>
      <c r="D1186" s="2">
        <v>8.08389152E9</v>
      </c>
      <c r="E1186" s="1" t="s">
        <v>6114</v>
      </c>
      <c r="F1186" s="1"/>
      <c r="G1186" s="1" t="s">
        <v>2485</v>
      </c>
      <c r="H1186" s="1" t="s">
        <v>2486</v>
      </c>
      <c r="I1186" s="1">
        <v>96817.0</v>
      </c>
      <c r="J1186" s="1" t="s">
        <v>752</v>
      </c>
      <c r="K1186" s="1" t="s">
        <v>66</v>
      </c>
      <c r="L1186" s="1" t="s">
        <v>5811</v>
      </c>
      <c r="M1186" s="1">
        <v>145.0</v>
      </c>
      <c r="N1186" s="1" t="s">
        <v>1152</v>
      </c>
      <c r="O1186" s="3" t="s">
        <v>6115</v>
      </c>
      <c r="P1186" s="18">
        <v>45883.0</v>
      </c>
      <c r="Q1186" s="1"/>
      <c r="R1186" s="1"/>
      <c r="S1186" s="1"/>
      <c r="T1186" s="1" t="s">
        <v>1152</v>
      </c>
      <c r="U1186" s="1" t="s">
        <v>982</v>
      </c>
      <c r="V1186" s="4" t="s">
        <v>6115</v>
      </c>
      <c r="W1186" s="1"/>
      <c r="X1186" s="18">
        <v>45883.0</v>
      </c>
      <c r="Y1186" s="1"/>
      <c r="Z1186" s="1"/>
      <c r="AA1186" s="1"/>
      <c r="AB1186" s="1"/>
      <c r="AC1186" s="1" t="s">
        <v>1925</v>
      </c>
      <c r="AD1186" s="1"/>
      <c r="AE1186" s="1" t="s">
        <v>1152</v>
      </c>
      <c r="AF1186" s="1"/>
      <c r="AG1186" s="1"/>
      <c r="AH1186" s="1" t="s">
        <v>1152</v>
      </c>
      <c r="AI1186" s="1"/>
      <c r="AJ1186" s="1" t="s">
        <v>6114</v>
      </c>
      <c r="AK1186" s="1" t="s">
        <v>1152</v>
      </c>
      <c r="AL1186" s="6" t="str">
        <f t="array" ref="AL1186">IFERROR(IFS(XLOOKUP(B1186, 'Kit Delivery Status'!$U:$U, 'Kit Delivery Status'!$K:$K) = "Complete", "DELIVERED", XLOOKUP(B1186, 'Kit Delivery Status'!$U:$U, 'Kit Delivery Status'!$K:$K) = "Issue", "ISSUE"), "")</f>
        <v/>
      </c>
      <c r="AM1186" s="6"/>
    </row>
    <row r="1187">
      <c r="A1187" s="5" t="s">
        <v>6116</v>
      </c>
      <c r="B1187" s="1" t="s">
        <v>6117</v>
      </c>
      <c r="C1187" s="1"/>
      <c r="D1187" s="2">
        <v>6.467570626E9</v>
      </c>
      <c r="E1187" s="1" t="s">
        <v>6118</v>
      </c>
      <c r="F1187" s="1" t="s">
        <v>6119</v>
      </c>
      <c r="G1187" s="1" t="s">
        <v>5877</v>
      </c>
      <c r="H1187" s="1" t="s">
        <v>1053</v>
      </c>
      <c r="I1187" s="1">
        <v>7666.0</v>
      </c>
      <c r="J1187" s="1" t="s">
        <v>752</v>
      </c>
      <c r="K1187" s="1" t="s">
        <v>51</v>
      </c>
      <c r="L1187" s="1" t="s">
        <v>5722</v>
      </c>
      <c r="M1187" s="1">
        <v>1.0</v>
      </c>
      <c r="N1187" s="1" t="s">
        <v>2487</v>
      </c>
      <c r="O1187" s="3"/>
      <c r="P1187" s="18">
        <v>45890.0</v>
      </c>
      <c r="Q1187" s="1" t="s">
        <v>1030</v>
      </c>
      <c r="R1187" s="1" t="s">
        <v>6119</v>
      </c>
      <c r="S1187" s="1" t="s">
        <v>124</v>
      </c>
      <c r="T1187" s="1" t="s">
        <v>2487</v>
      </c>
      <c r="U1187" s="1"/>
      <c r="V1187" s="4"/>
      <c r="W1187" s="1" t="s">
        <v>6119</v>
      </c>
      <c r="X1187" s="18">
        <v>45890.0</v>
      </c>
      <c r="Y1187" s="1" t="s">
        <v>1030</v>
      </c>
      <c r="Z1187" s="1"/>
      <c r="AA1187" s="1" t="s">
        <v>6119</v>
      </c>
      <c r="AB1187" s="1" t="s">
        <v>124</v>
      </c>
      <c r="AC1187" s="1" t="s">
        <v>1925</v>
      </c>
      <c r="AD1187" s="1"/>
      <c r="AE1187" s="1" t="s">
        <v>1152</v>
      </c>
      <c r="AF1187" s="1"/>
      <c r="AG1187" s="1"/>
      <c r="AH1187" s="1" t="s">
        <v>1152</v>
      </c>
      <c r="AI1187" s="1"/>
      <c r="AJ1187" s="1" t="s">
        <v>6118</v>
      </c>
      <c r="AK1187" s="1" t="s">
        <v>1152</v>
      </c>
      <c r="AL1187" s="6" t="str">
        <f t="array" ref="AL1187">IFERROR(IFS(XLOOKUP(B1187, 'Kit Delivery Status'!$U:$U, 'Kit Delivery Status'!$K:$K) = "Complete", "DELIVERED", XLOOKUP(B1187, 'Kit Delivery Status'!$U:$U, 'Kit Delivery Status'!$K:$K) = "Issue", "ISSUE"), "")</f>
        <v/>
      </c>
      <c r="AM1187" s="6"/>
    </row>
    <row r="1188">
      <c r="A1188" s="5" t="s">
        <v>6120</v>
      </c>
      <c r="B1188" s="1" t="s">
        <v>6121</v>
      </c>
      <c r="C1188" s="1" t="s">
        <v>6122</v>
      </c>
      <c r="D1188" s="2">
        <v>3.128341503E9</v>
      </c>
      <c r="E1188" s="1" t="s">
        <v>4218</v>
      </c>
      <c r="F1188" s="1"/>
      <c r="G1188" s="1" t="s">
        <v>1072</v>
      </c>
      <c r="H1188" s="1" t="s">
        <v>1019</v>
      </c>
      <c r="I1188" s="1">
        <v>60618.0</v>
      </c>
      <c r="J1188" s="1" t="s">
        <v>752</v>
      </c>
      <c r="K1188" s="1" t="s">
        <v>66</v>
      </c>
      <c r="L1188" s="1" t="s">
        <v>5833</v>
      </c>
      <c r="M1188" s="1">
        <v>65.0</v>
      </c>
      <c r="N1188" s="1" t="s">
        <v>1152</v>
      </c>
      <c r="O1188" s="3" t="s">
        <v>1800</v>
      </c>
      <c r="P1188" s="18">
        <v>45883.0</v>
      </c>
      <c r="Q1188" s="1"/>
      <c r="R1188" s="1"/>
      <c r="S1188" s="1"/>
      <c r="T1188" s="1" t="s">
        <v>1152</v>
      </c>
      <c r="U1188" s="1" t="s">
        <v>948</v>
      </c>
      <c r="V1188" s="4" t="s">
        <v>1800</v>
      </c>
      <c r="W1188" s="1"/>
      <c r="X1188" s="18">
        <v>45883.0</v>
      </c>
      <c r="Y1188" s="1"/>
      <c r="Z1188" s="1"/>
      <c r="AA1188" s="1"/>
      <c r="AB1188" s="1"/>
      <c r="AC1188" s="1" t="s">
        <v>1925</v>
      </c>
      <c r="AD1188" s="1"/>
      <c r="AE1188" s="1" t="s">
        <v>1152</v>
      </c>
      <c r="AF1188" s="1"/>
      <c r="AG1188" s="1"/>
      <c r="AH1188" s="1" t="s">
        <v>1152</v>
      </c>
      <c r="AI1188" s="1"/>
      <c r="AJ1188" s="1" t="s">
        <v>4218</v>
      </c>
      <c r="AK1188" s="1" t="s">
        <v>1152</v>
      </c>
      <c r="AL1188" s="6" t="str">
        <f t="array" ref="AL1188">IFERROR(IFS(XLOOKUP(B1188, 'Kit Delivery Status'!$U:$U, 'Kit Delivery Status'!$K:$K) = "Complete", "DELIVERED", XLOOKUP(B1188, 'Kit Delivery Status'!$U:$U, 'Kit Delivery Status'!$K:$K) = "Issue", "ISSUE"), "")</f>
        <v/>
      </c>
      <c r="AM1188" s="6"/>
    </row>
    <row r="1189">
      <c r="A1189" s="5" t="s">
        <v>6123</v>
      </c>
      <c r="B1189" s="1" t="s">
        <v>6124</v>
      </c>
      <c r="C1189" s="1" t="s">
        <v>6125</v>
      </c>
      <c r="D1189" s="2">
        <v>9.565887369E9</v>
      </c>
      <c r="E1189" s="1" t="s">
        <v>6126</v>
      </c>
      <c r="F1189" s="1"/>
      <c r="G1189" s="1" t="s">
        <v>6127</v>
      </c>
      <c r="H1189" s="1" t="s">
        <v>1583</v>
      </c>
      <c r="I1189" s="1" t="s">
        <v>6128</v>
      </c>
      <c r="J1189" s="1" t="s">
        <v>752</v>
      </c>
      <c r="K1189" s="1" t="s">
        <v>51</v>
      </c>
      <c r="L1189" s="1" t="s">
        <v>5722</v>
      </c>
      <c r="M1189" s="1">
        <v>1.0</v>
      </c>
      <c r="N1189" s="1" t="s">
        <v>2461</v>
      </c>
      <c r="O1189" s="3" t="s">
        <v>6129</v>
      </c>
      <c r="P1189" s="18">
        <v>45889.0</v>
      </c>
      <c r="Q1189" s="1" t="s">
        <v>1440</v>
      </c>
      <c r="R1189" s="1"/>
      <c r="S1189" s="1" t="s">
        <v>52</v>
      </c>
      <c r="T1189" s="1" t="s">
        <v>2461</v>
      </c>
      <c r="U1189" s="1" t="s">
        <v>2510</v>
      </c>
      <c r="V1189" s="4" t="s">
        <v>6129</v>
      </c>
      <c r="W1189" s="1"/>
      <c r="X1189" s="18">
        <v>45889.0</v>
      </c>
      <c r="Y1189" s="1" t="s">
        <v>1440</v>
      </c>
      <c r="Z1189" s="1"/>
      <c r="AA1189" s="1"/>
      <c r="AB1189" s="1" t="s">
        <v>52</v>
      </c>
      <c r="AC1189" s="1" t="s">
        <v>1925</v>
      </c>
      <c r="AD1189" s="1"/>
      <c r="AE1189" s="1" t="s">
        <v>1152</v>
      </c>
      <c r="AF1189" s="1"/>
      <c r="AG1189" s="1"/>
      <c r="AH1189" s="1" t="s">
        <v>1152</v>
      </c>
      <c r="AI1189" s="1"/>
      <c r="AJ1189" s="1" t="s">
        <v>6126</v>
      </c>
      <c r="AK1189" s="1" t="s">
        <v>1152</v>
      </c>
      <c r="AL1189" s="6" t="str">
        <f t="array" ref="AL1189">IFERROR(IFS(XLOOKUP(B1189, 'Kit Delivery Status'!$U:$U, 'Kit Delivery Status'!$K:$K) = "Complete", "DELIVERED", XLOOKUP(B1189, 'Kit Delivery Status'!$U:$U, 'Kit Delivery Status'!$K:$K) = "Issue", "ISSUE"), "")</f>
        <v/>
      </c>
      <c r="AM1189" s="6"/>
    </row>
    <row r="1190">
      <c r="A1190" s="5" t="s">
        <v>6130</v>
      </c>
      <c r="B1190" s="1" t="s">
        <v>6131</v>
      </c>
      <c r="C1190" s="1" t="s">
        <v>6132</v>
      </c>
      <c r="D1190" s="2">
        <v>2.133088884E9</v>
      </c>
      <c r="E1190" s="1" t="s">
        <v>6133</v>
      </c>
      <c r="F1190" s="1" t="s">
        <v>6134</v>
      </c>
      <c r="G1190" s="1" t="s">
        <v>6135</v>
      </c>
      <c r="H1190" s="1" t="s">
        <v>989</v>
      </c>
      <c r="I1190" s="1">
        <v>91020.0</v>
      </c>
      <c r="J1190" s="1" t="s">
        <v>752</v>
      </c>
      <c r="K1190" s="1" t="s">
        <v>51</v>
      </c>
      <c r="L1190" s="1" t="s">
        <v>5722</v>
      </c>
      <c r="M1190" s="1">
        <v>1.0</v>
      </c>
      <c r="N1190" s="1" t="s">
        <v>2487</v>
      </c>
      <c r="O1190" s="3"/>
      <c r="P1190" s="18">
        <v>45891.0</v>
      </c>
      <c r="Q1190" s="1" t="s">
        <v>3186</v>
      </c>
      <c r="R1190" s="1" t="s">
        <v>6134</v>
      </c>
      <c r="S1190" s="1" t="s">
        <v>124</v>
      </c>
      <c r="T1190" s="1" t="s">
        <v>2487</v>
      </c>
      <c r="U1190" s="1"/>
      <c r="V1190" s="4"/>
      <c r="W1190" s="1" t="s">
        <v>6134</v>
      </c>
      <c r="X1190" s="18">
        <v>45891.0</v>
      </c>
      <c r="Y1190" s="1" t="s">
        <v>3186</v>
      </c>
      <c r="Z1190" s="1"/>
      <c r="AA1190" s="1" t="s">
        <v>6134</v>
      </c>
      <c r="AB1190" s="1" t="s">
        <v>124</v>
      </c>
      <c r="AC1190" s="1" t="s">
        <v>1925</v>
      </c>
      <c r="AD1190" s="1"/>
      <c r="AE1190" s="1" t="s">
        <v>1152</v>
      </c>
      <c r="AF1190" s="1"/>
      <c r="AG1190" s="1"/>
      <c r="AH1190" s="1" t="s">
        <v>1152</v>
      </c>
      <c r="AI1190" s="1"/>
      <c r="AJ1190" s="1" t="s">
        <v>6133</v>
      </c>
      <c r="AK1190" s="1" t="s">
        <v>1152</v>
      </c>
      <c r="AL1190" s="6" t="str">
        <f t="array" ref="AL1190">IFERROR(IFS(XLOOKUP(B1190, 'Kit Delivery Status'!$U:$U, 'Kit Delivery Status'!$K:$K) = "Complete", "DELIVERED", XLOOKUP(B1190, 'Kit Delivery Status'!$U:$U, 'Kit Delivery Status'!$K:$K) = "Issue", "ISSUE"), "")</f>
        <v/>
      </c>
      <c r="AM1190" s="6"/>
    </row>
    <row r="1191">
      <c r="A1191" s="5" t="s">
        <v>6136</v>
      </c>
      <c r="B1191" s="1" t="s">
        <v>6137</v>
      </c>
      <c r="C1191" s="1"/>
      <c r="D1191" s="2">
        <v>4.344222654E9</v>
      </c>
      <c r="E1191" s="1" t="s">
        <v>6138</v>
      </c>
      <c r="F1191" s="1"/>
      <c r="G1191" s="1" t="s">
        <v>6139</v>
      </c>
      <c r="H1191" s="1" t="s">
        <v>1038</v>
      </c>
      <c r="I1191" s="1">
        <v>22902.0</v>
      </c>
      <c r="J1191" s="1" t="s">
        <v>752</v>
      </c>
      <c r="K1191" s="1" t="s">
        <v>66</v>
      </c>
      <c r="L1191" s="1" t="s">
        <v>5811</v>
      </c>
      <c r="M1191" s="1">
        <v>145.0</v>
      </c>
      <c r="N1191" s="1" t="s">
        <v>1152</v>
      </c>
      <c r="O1191" s="3" t="s">
        <v>6140</v>
      </c>
      <c r="P1191" s="18">
        <v>45883.0</v>
      </c>
      <c r="Q1191" s="1"/>
      <c r="R1191" s="1"/>
      <c r="S1191" s="1"/>
      <c r="T1191" s="1" t="s">
        <v>1152</v>
      </c>
      <c r="U1191" s="1" t="s">
        <v>1537</v>
      </c>
      <c r="V1191" s="4" t="s">
        <v>6140</v>
      </c>
      <c r="W1191" s="1"/>
      <c r="X1191" s="18">
        <v>45883.0</v>
      </c>
      <c r="Y1191" s="1"/>
      <c r="Z1191" s="1"/>
      <c r="AA1191" s="1"/>
      <c r="AB1191" s="1"/>
      <c r="AC1191" s="1" t="s">
        <v>1925</v>
      </c>
      <c r="AD1191" s="1"/>
      <c r="AE1191" s="1" t="s">
        <v>1152</v>
      </c>
      <c r="AF1191" s="1"/>
      <c r="AG1191" s="1"/>
      <c r="AH1191" s="1" t="s">
        <v>1152</v>
      </c>
      <c r="AI1191" s="1"/>
      <c r="AJ1191" s="1" t="s">
        <v>6141</v>
      </c>
      <c r="AK1191" s="1" t="s">
        <v>1152</v>
      </c>
      <c r="AL1191" s="6" t="str">
        <f t="array" ref="AL1191">IFERROR(IFS(XLOOKUP(B1191, 'Kit Delivery Status'!$U:$U, 'Kit Delivery Status'!$K:$K) = "Complete", "DELIVERED", XLOOKUP(B1191, 'Kit Delivery Status'!$U:$U, 'Kit Delivery Status'!$K:$K) = "Issue", "ISSUE"), "")</f>
        <v/>
      </c>
      <c r="AM1191" s="6"/>
    </row>
    <row r="1192">
      <c r="A1192" s="5" t="s">
        <v>6142</v>
      </c>
      <c r="B1192" s="1" t="s">
        <v>6143</v>
      </c>
      <c r="C1192" s="1"/>
      <c r="D1192" s="2">
        <v>5.124612236E9</v>
      </c>
      <c r="E1192" s="1" t="s">
        <v>6144</v>
      </c>
      <c r="F1192" s="1"/>
      <c r="G1192" s="1" t="s">
        <v>1582</v>
      </c>
      <c r="H1192" s="1" t="s">
        <v>1583</v>
      </c>
      <c r="I1192" s="1">
        <v>78703.0</v>
      </c>
      <c r="J1192" s="1" t="s">
        <v>752</v>
      </c>
      <c r="K1192" s="1" t="s">
        <v>51</v>
      </c>
      <c r="L1192" s="1" t="s">
        <v>5722</v>
      </c>
      <c r="M1192" s="1">
        <v>1.0</v>
      </c>
      <c r="N1192" s="1" t="s">
        <v>2461</v>
      </c>
      <c r="O1192" s="3" t="s">
        <v>6145</v>
      </c>
      <c r="P1192" s="18">
        <v>45891.0</v>
      </c>
      <c r="Q1192" s="1" t="s">
        <v>1440</v>
      </c>
      <c r="R1192" s="1"/>
      <c r="S1192" s="1" t="s">
        <v>52</v>
      </c>
      <c r="T1192" s="1" t="s">
        <v>2461</v>
      </c>
      <c r="U1192" s="1" t="s">
        <v>1642</v>
      </c>
      <c r="V1192" s="4" t="s">
        <v>6145</v>
      </c>
      <c r="W1192" s="1"/>
      <c r="X1192" s="18">
        <v>45891.0</v>
      </c>
      <c r="Y1192" s="1" t="s">
        <v>1440</v>
      </c>
      <c r="Z1192" s="1"/>
      <c r="AA1192" s="1"/>
      <c r="AB1192" s="1" t="s">
        <v>52</v>
      </c>
      <c r="AC1192" s="1" t="s">
        <v>1925</v>
      </c>
      <c r="AD1192" s="1"/>
      <c r="AE1192" s="1" t="s">
        <v>1152</v>
      </c>
      <c r="AF1192" s="1"/>
      <c r="AG1192" s="1"/>
      <c r="AH1192" s="1" t="s">
        <v>1152</v>
      </c>
      <c r="AI1192" s="1"/>
      <c r="AJ1192" s="1" t="s">
        <v>6146</v>
      </c>
      <c r="AK1192" s="1" t="s">
        <v>1152</v>
      </c>
      <c r="AL1192" s="6" t="str">
        <f t="array" ref="AL1192">IFERROR(IFS(XLOOKUP(B1192, 'Kit Delivery Status'!$U:$U, 'Kit Delivery Status'!$K:$K) = "Complete", "DELIVERED", XLOOKUP(B1192, 'Kit Delivery Status'!$U:$U, 'Kit Delivery Status'!$K:$K) = "Issue", "ISSUE"), "")</f>
        <v/>
      </c>
      <c r="AM1192" s="6"/>
    </row>
    <row r="1193">
      <c r="A1193" s="5" t="s">
        <v>6147</v>
      </c>
      <c r="B1193" s="1" t="s">
        <v>6148</v>
      </c>
      <c r="C1193" s="1" t="s">
        <v>6149</v>
      </c>
      <c r="D1193" s="2">
        <v>7.086393381E9</v>
      </c>
      <c r="E1193" s="1" t="s">
        <v>6150</v>
      </c>
      <c r="F1193" s="1"/>
      <c r="G1193" s="1" t="s">
        <v>6151</v>
      </c>
      <c r="H1193" s="1" t="s">
        <v>1019</v>
      </c>
      <c r="I1193" s="1">
        <v>60302.0</v>
      </c>
      <c r="J1193" s="1" t="s">
        <v>752</v>
      </c>
      <c r="K1193" s="1" t="s">
        <v>66</v>
      </c>
      <c r="L1193" s="1" t="s">
        <v>5833</v>
      </c>
      <c r="M1193" s="1">
        <v>65.0</v>
      </c>
      <c r="N1193" s="1" t="s">
        <v>1152</v>
      </c>
      <c r="O1193" s="3" t="s">
        <v>6152</v>
      </c>
      <c r="P1193" s="18">
        <v>45883.0</v>
      </c>
      <c r="Q1193" s="1"/>
      <c r="R1193" s="1"/>
      <c r="S1193" s="1"/>
      <c r="T1193" s="1" t="s">
        <v>1152</v>
      </c>
      <c r="U1193" s="1" t="s">
        <v>1080</v>
      </c>
      <c r="V1193" s="4" t="s">
        <v>6152</v>
      </c>
      <c r="W1193" s="1"/>
      <c r="X1193" s="18">
        <v>45883.0</v>
      </c>
      <c r="Y1193" s="1"/>
      <c r="Z1193" s="1"/>
      <c r="AA1193" s="1"/>
      <c r="AB1193" s="1"/>
      <c r="AC1193" s="1" t="s">
        <v>1925</v>
      </c>
      <c r="AD1193" s="1"/>
      <c r="AE1193" s="1" t="s">
        <v>1152</v>
      </c>
      <c r="AF1193" s="1"/>
      <c r="AG1193" s="1"/>
      <c r="AH1193" s="1" t="s">
        <v>1152</v>
      </c>
      <c r="AI1193" s="1"/>
      <c r="AJ1193" s="1" t="s">
        <v>6150</v>
      </c>
      <c r="AK1193" s="1" t="s">
        <v>1152</v>
      </c>
      <c r="AL1193" s="6" t="str">
        <f t="array" ref="AL1193">IFERROR(IFS(XLOOKUP(B1193, 'Kit Delivery Status'!$U:$U, 'Kit Delivery Status'!$K:$K) = "Complete", "DELIVERED", XLOOKUP(B1193, 'Kit Delivery Status'!$U:$U, 'Kit Delivery Status'!$K:$K) = "Issue", "ISSUE"), "")</f>
        <v/>
      </c>
      <c r="AM1193" s="6"/>
    </row>
    <row r="1194">
      <c r="A1194" s="5" t="s">
        <v>6153</v>
      </c>
      <c r="B1194" s="1" t="s">
        <v>6154</v>
      </c>
      <c r="C1194" s="1"/>
      <c r="D1194" s="2">
        <v>4.103822747E9</v>
      </c>
      <c r="E1194" s="1" t="s">
        <v>6155</v>
      </c>
      <c r="F1194" s="1"/>
      <c r="G1194" s="1" t="s">
        <v>6156</v>
      </c>
      <c r="H1194" s="1" t="s">
        <v>1005</v>
      </c>
      <c r="I1194" s="1">
        <v>21209.0</v>
      </c>
      <c r="J1194" s="1" t="s">
        <v>752</v>
      </c>
      <c r="K1194" s="1" t="s">
        <v>51</v>
      </c>
      <c r="L1194" s="1" t="s">
        <v>5722</v>
      </c>
      <c r="M1194" s="1">
        <v>1.0</v>
      </c>
      <c r="N1194" s="1" t="s">
        <v>2461</v>
      </c>
      <c r="O1194" s="3" t="s">
        <v>6157</v>
      </c>
      <c r="P1194" s="18">
        <v>45888.0</v>
      </c>
      <c r="Q1194" s="1" t="s">
        <v>1030</v>
      </c>
      <c r="R1194" s="1"/>
      <c r="S1194" s="1" t="s">
        <v>52</v>
      </c>
      <c r="T1194" s="1" t="s">
        <v>2461</v>
      </c>
      <c r="U1194" s="1" t="s">
        <v>6158</v>
      </c>
      <c r="V1194" s="4" t="s">
        <v>6157</v>
      </c>
      <c r="W1194" s="1"/>
      <c r="X1194" s="18">
        <v>45888.0</v>
      </c>
      <c r="Y1194" s="1" t="s">
        <v>1030</v>
      </c>
      <c r="Z1194" s="1"/>
      <c r="AA1194" s="1"/>
      <c r="AB1194" s="1" t="s">
        <v>52</v>
      </c>
      <c r="AC1194" s="1" t="s">
        <v>1925</v>
      </c>
      <c r="AD1194" s="1"/>
      <c r="AE1194" s="1" t="s">
        <v>1152</v>
      </c>
      <c r="AF1194" s="1"/>
      <c r="AG1194" s="1"/>
      <c r="AH1194" s="1" t="s">
        <v>1152</v>
      </c>
      <c r="AI1194" s="1"/>
      <c r="AJ1194" s="1" t="s">
        <v>6159</v>
      </c>
      <c r="AK1194" s="1" t="s">
        <v>1152</v>
      </c>
      <c r="AL1194" s="6" t="str">
        <f t="array" ref="AL1194">IFERROR(IFS(XLOOKUP(B1194, 'Kit Delivery Status'!$U:$U, 'Kit Delivery Status'!$K:$K) = "Complete", "DELIVERED", XLOOKUP(B1194, 'Kit Delivery Status'!$U:$U, 'Kit Delivery Status'!$K:$K) = "Issue", "ISSUE"), "")</f>
        <v/>
      </c>
      <c r="AM1194" s="6"/>
    </row>
    <row r="1195">
      <c r="A1195" s="5" t="s">
        <v>6160</v>
      </c>
      <c r="B1195" s="1" t="s">
        <v>6161</v>
      </c>
      <c r="C1195" s="1" t="s">
        <v>6162</v>
      </c>
      <c r="D1195" s="2">
        <v>4.152507507E9</v>
      </c>
      <c r="E1195" s="1" t="s">
        <v>6163</v>
      </c>
      <c r="F1195" s="1"/>
      <c r="G1195" s="1" t="s">
        <v>1562</v>
      </c>
      <c r="H1195" s="1" t="s">
        <v>989</v>
      </c>
      <c r="I1195" s="1">
        <v>94117.0</v>
      </c>
      <c r="J1195" s="1" t="s">
        <v>752</v>
      </c>
      <c r="K1195" s="1" t="s">
        <v>66</v>
      </c>
      <c r="L1195" s="1" t="s">
        <v>5767</v>
      </c>
      <c r="M1195" s="1">
        <v>210.0</v>
      </c>
      <c r="N1195" s="1" t="s">
        <v>1152</v>
      </c>
      <c r="O1195" s="3" t="s">
        <v>6164</v>
      </c>
      <c r="P1195" s="18">
        <v>45883.0</v>
      </c>
      <c r="Q1195" s="1"/>
      <c r="R1195" s="1"/>
      <c r="S1195" s="1"/>
      <c r="T1195" s="1" t="s">
        <v>1152</v>
      </c>
      <c r="U1195" s="1" t="s">
        <v>1201</v>
      </c>
      <c r="V1195" s="4" t="s">
        <v>6164</v>
      </c>
      <c r="W1195" s="1"/>
      <c r="X1195" s="18">
        <v>45883.0</v>
      </c>
      <c r="Y1195" s="1"/>
      <c r="Z1195" s="1"/>
      <c r="AA1195" s="1"/>
      <c r="AB1195" s="1"/>
      <c r="AC1195" s="1" t="s">
        <v>1925</v>
      </c>
      <c r="AD1195" s="1"/>
      <c r="AE1195" s="1" t="s">
        <v>1152</v>
      </c>
      <c r="AF1195" s="1"/>
      <c r="AG1195" s="1"/>
      <c r="AH1195" s="1" t="s">
        <v>1152</v>
      </c>
      <c r="AI1195" s="1"/>
      <c r="AJ1195" s="1" t="s">
        <v>6163</v>
      </c>
      <c r="AK1195" s="1" t="s">
        <v>1152</v>
      </c>
      <c r="AL1195" s="6" t="str">
        <f t="array" ref="AL1195">IFERROR(IFS(XLOOKUP(B1195, 'Kit Delivery Status'!$U:$U, 'Kit Delivery Status'!$K:$K) = "Complete", "DELIVERED", XLOOKUP(B1195, 'Kit Delivery Status'!$U:$U, 'Kit Delivery Status'!$K:$K) = "Issue", "ISSUE"), "")</f>
        <v/>
      </c>
      <c r="AM1195" s="6"/>
    </row>
    <row r="1196">
      <c r="A1196" s="5" t="s">
        <v>6165</v>
      </c>
      <c r="B1196" s="1" t="s">
        <v>6166</v>
      </c>
      <c r="C1196" s="1" t="s">
        <v>6167</v>
      </c>
      <c r="D1196" s="2">
        <v>17814965967</v>
      </c>
      <c r="E1196" s="1" t="s">
        <v>6168</v>
      </c>
      <c r="F1196" s="1"/>
      <c r="G1196" s="1" t="s">
        <v>6169</v>
      </c>
      <c r="H1196" s="1" t="s">
        <v>1121</v>
      </c>
      <c r="I1196" s="1">
        <v>1730.0</v>
      </c>
      <c r="J1196" s="1" t="s">
        <v>752</v>
      </c>
      <c r="K1196" s="1" t="s">
        <v>66</v>
      </c>
      <c r="L1196" s="1" t="s">
        <v>5767</v>
      </c>
      <c r="M1196" s="1">
        <v>210.0</v>
      </c>
      <c r="N1196" s="1" t="s">
        <v>1152</v>
      </c>
      <c r="O1196" s="3" t="s">
        <v>6170</v>
      </c>
      <c r="P1196" s="18">
        <v>45883.0</v>
      </c>
      <c r="Q1196" s="1"/>
      <c r="R1196" s="1"/>
      <c r="S1196" s="1"/>
      <c r="T1196" s="1" t="s">
        <v>1152</v>
      </c>
      <c r="U1196" s="1" t="s">
        <v>1812</v>
      </c>
      <c r="V1196" s="4" t="s">
        <v>6170</v>
      </c>
      <c r="W1196" s="1"/>
      <c r="X1196" s="18">
        <v>45883.0</v>
      </c>
      <c r="Y1196" s="1"/>
      <c r="Z1196" s="1"/>
      <c r="AA1196" s="1"/>
      <c r="AB1196" s="1"/>
      <c r="AC1196" s="1" t="s">
        <v>1925</v>
      </c>
      <c r="AD1196" s="1"/>
      <c r="AE1196" s="1" t="s">
        <v>1152</v>
      </c>
      <c r="AF1196" s="1"/>
      <c r="AG1196" s="1"/>
      <c r="AH1196" s="1" t="s">
        <v>1152</v>
      </c>
      <c r="AI1196" s="1"/>
      <c r="AJ1196" s="1" t="s">
        <v>6168</v>
      </c>
      <c r="AK1196" s="1" t="s">
        <v>1152</v>
      </c>
      <c r="AL1196" s="6" t="str">
        <f t="array" ref="AL1196">IFERROR(IFS(XLOOKUP(B1196, 'Kit Delivery Status'!$U:$U, 'Kit Delivery Status'!$K:$K) = "Complete", "DELIVERED", XLOOKUP(B1196, 'Kit Delivery Status'!$U:$U, 'Kit Delivery Status'!$K:$K) = "Issue", "ISSUE"), "")</f>
        <v/>
      </c>
      <c r="AM1196" s="6"/>
    </row>
    <row r="1197">
      <c r="A1197" s="5" t="s">
        <v>6171</v>
      </c>
      <c r="B1197" s="1" t="s">
        <v>6172</v>
      </c>
      <c r="C1197" s="1"/>
      <c r="D1197" s="2">
        <v>9.198059326E9</v>
      </c>
      <c r="E1197" s="1" t="s">
        <v>6173</v>
      </c>
      <c r="F1197" s="1"/>
      <c r="G1197" s="1" t="s">
        <v>1909</v>
      </c>
      <c r="H1197" s="1" t="s">
        <v>1438</v>
      </c>
      <c r="I1197" s="1">
        <v>27617.0</v>
      </c>
      <c r="J1197" s="1" t="s">
        <v>752</v>
      </c>
      <c r="K1197" s="1" t="s">
        <v>66</v>
      </c>
      <c r="L1197" s="1" t="s">
        <v>5736</v>
      </c>
      <c r="M1197" s="1">
        <v>115.0</v>
      </c>
      <c r="N1197" s="1" t="s">
        <v>1152</v>
      </c>
      <c r="O1197" s="3" t="s">
        <v>6174</v>
      </c>
      <c r="P1197" s="18">
        <v>45883.0</v>
      </c>
      <c r="Q1197" s="1"/>
      <c r="R1197" s="1"/>
      <c r="S1197" s="1"/>
      <c r="T1197" s="1" t="s">
        <v>1152</v>
      </c>
      <c r="U1197" s="1" t="s">
        <v>1039</v>
      </c>
      <c r="V1197" s="4" t="s">
        <v>6174</v>
      </c>
      <c r="W1197" s="1"/>
      <c r="X1197" s="18">
        <v>45883.0</v>
      </c>
      <c r="Y1197" s="1"/>
      <c r="Z1197" s="1"/>
      <c r="AA1197" s="1"/>
      <c r="AB1197" s="1"/>
      <c r="AC1197" s="1" t="s">
        <v>1925</v>
      </c>
      <c r="AD1197" s="1"/>
      <c r="AE1197" s="1" t="s">
        <v>1152</v>
      </c>
      <c r="AF1197" s="1"/>
      <c r="AG1197" s="1"/>
      <c r="AH1197" s="1" t="s">
        <v>1152</v>
      </c>
      <c r="AI1197" s="1"/>
      <c r="AJ1197" s="1" t="s">
        <v>6173</v>
      </c>
      <c r="AK1197" s="1" t="s">
        <v>1152</v>
      </c>
      <c r="AL1197" s="6" t="str">
        <f t="array" ref="AL1197">IFERROR(IFS(XLOOKUP(B1197, 'Kit Delivery Status'!$U:$U, 'Kit Delivery Status'!$K:$K) = "Complete", "DELIVERED", XLOOKUP(B1197, 'Kit Delivery Status'!$U:$U, 'Kit Delivery Status'!$K:$K) = "Issue", "ISSUE"), "")</f>
        <v/>
      </c>
      <c r="AM1197" s="6"/>
    </row>
    <row r="1198">
      <c r="A1198" s="5" t="s">
        <v>6175</v>
      </c>
      <c r="B1198" s="1" t="s">
        <v>6176</v>
      </c>
      <c r="C1198" s="1" t="s">
        <v>6177</v>
      </c>
      <c r="D1198" s="2">
        <v>6.266259994E9</v>
      </c>
      <c r="E1198" s="1" t="s">
        <v>6178</v>
      </c>
      <c r="F1198" s="1"/>
      <c r="G1198" s="1" t="s">
        <v>2857</v>
      </c>
      <c r="H1198" s="1" t="s">
        <v>1155</v>
      </c>
      <c r="I1198" s="1">
        <v>63130.0</v>
      </c>
      <c r="J1198" s="1" t="s">
        <v>752</v>
      </c>
      <c r="K1198" s="1" t="s">
        <v>51</v>
      </c>
      <c r="L1198" s="1" t="s">
        <v>5722</v>
      </c>
      <c r="M1198" s="1">
        <v>1.0</v>
      </c>
      <c r="N1198" s="1" t="s">
        <v>2461</v>
      </c>
      <c r="O1198" s="3" t="s">
        <v>6179</v>
      </c>
      <c r="P1198" s="18">
        <v>45892.0</v>
      </c>
      <c r="Q1198" s="1" t="s">
        <v>1349</v>
      </c>
      <c r="R1198" s="1"/>
      <c r="S1198" s="1" t="s">
        <v>52</v>
      </c>
      <c r="T1198" s="1" t="s">
        <v>2461</v>
      </c>
      <c r="U1198" s="1" t="s">
        <v>1021</v>
      </c>
      <c r="V1198" s="4" t="s">
        <v>6179</v>
      </c>
      <c r="W1198" s="1"/>
      <c r="X1198" s="18">
        <v>45892.0</v>
      </c>
      <c r="Y1198" s="1" t="s">
        <v>1349</v>
      </c>
      <c r="Z1198" s="1"/>
      <c r="AA1198" s="1"/>
      <c r="AB1198" s="1" t="s">
        <v>52</v>
      </c>
      <c r="AC1198" s="1" t="s">
        <v>1925</v>
      </c>
      <c r="AD1198" s="1"/>
      <c r="AE1198" s="1" t="s">
        <v>1152</v>
      </c>
      <c r="AF1198" s="1"/>
      <c r="AG1198" s="1"/>
      <c r="AH1198" s="1" t="s">
        <v>1152</v>
      </c>
      <c r="AI1198" s="1"/>
      <c r="AJ1198" s="1"/>
      <c r="AK1198" s="1" t="s">
        <v>1152</v>
      </c>
      <c r="AL1198" s="6" t="str">
        <f t="array" ref="AL1198">IFERROR(IFS(XLOOKUP(B1198, 'Kit Delivery Status'!$U:$U, 'Kit Delivery Status'!$K:$K) = "Complete", "DELIVERED", XLOOKUP(B1198, 'Kit Delivery Status'!$U:$U, 'Kit Delivery Status'!$K:$K) = "Issue", "ISSUE"), "")</f>
        <v/>
      </c>
      <c r="AM1198" s="6"/>
    </row>
    <row r="1199">
      <c r="A1199" s="5" t="s">
        <v>6180</v>
      </c>
      <c r="B1199" s="1" t="s">
        <v>6181</v>
      </c>
      <c r="C1199" s="1"/>
      <c r="D1199" s="2">
        <v>3.147285258E9</v>
      </c>
      <c r="E1199" s="1" t="s">
        <v>6182</v>
      </c>
      <c r="F1199" s="1"/>
      <c r="G1199" s="1" t="s">
        <v>1283</v>
      </c>
      <c r="H1199" s="1" t="s">
        <v>1155</v>
      </c>
      <c r="I1199" s="1">
        <v>63130.0</v>
      </c>
      <c r="J1199" s="1" t="s">
        <v>752</v>
      </c>
      <c r="K1199" s="1" t="s">
        <v>51</v>
      </c>
      <c r="L1199" s="1" t="s">
        <v>5722</v>
      </c>
      <c r="M1199" s="1">
        <v>1.0</v>
      </c>
      <c r="N1199" s="1" t="s">
        <v>2461</v>
      </c>
      <c r="O1199" s="3" t="s">
        <v>6183</v>
      </c>
      <c r="P1199" s="18">
        <v>45889.0</v>
      </c>
      <c r="Q1199" s="1" t="s">
        <v>1103</v>
      </c>
      <c r="R1199" s="1"/>
      <c r="S1199" s="1" t="s">
        <v>52</v>
      </c>
      <c r="T1199" s="1" t="s">
        <v>2461</v>
      </c>
      <c r="U1199" s="1" t="s">
        <v>1021</v>
      </c>
      <c r="V1199" s="4" t="s">
        <v>6183</v>
      </c>
      <c r="W1199" s="1"/>
      <c r="X1199" s="18">
        <v>45889.0</v>
      </c>
      <c r="Y1199" s="1" t="s">
        <v>1103</v>
      </c>
      <c r="Z1199" s="1"/>
      <c r="AA1199" s="1"/>
      <c r="AB1199" s="1" t="s">
        <v>52</v>
      </c>
      <c r="AC1199" s="1" t="s">
        <v>1925</v>
      </c>
      <c r="AD1199" s="1"/>
      <c r="AE1199" s="1" t="s">
        <v>1152</v>
      </c>
      <c r="AF1199" s="1"/>
      <c r="AG1199" s="1"/>
      <c r="AH1199" s="1" t="s">
        <v>1152</v>
      </c>
      <c r="AI1199" s="1"/>
      <c r="AJ1199" s="1" t="s">
        <v>6182</v>
      </c>
      <c r="AK1199" s="1" t="s">
        <v>1152</v>
      </c>
      <c r="AL1199" s="6" t="str">
        <f t="array" ref="AL1199">IFERROR(IFS(XLOOKUP(B1199, 'Kit Delivery Status'!$U:$U, 'Kit Delivery Status'!$K:$K) = "Complete", "DELIVERED", XLOOKUP(B1199, 'Kit Delivery Status'!$U:$U, 'Kit Delivery Status'!$K:$K) = "Issue", "ISSUE"), "")</f>
        <v/>
      </c>
      <c r="AM1199" s="6"/>
    </row>
    <row r="1200">
      <c r="A1200" s="5" t="s">
        <v>6180</v>
      </c>
      <c r="B1200" s="1" t="s">
        <v>6181</v>
      </c>
      <c r="C1200" s="1"/>
      <c r="D1200" s="2">
        <v>3.147285258E9</v>
      </c>
      <c r="E1200" s="1" t="s">
        <v>6182</v>
      </c>
      <c r="F1200" s="1"/>
      <c r="G1200" s="1" t="s">
        <v>1283</v>
      </c>
      <c r="H1200" s="1" t="s">
        <v>1155</v>
      </c>
      <c r="I1200" s="1">
        <v>63130.0</v>
      </c>
      <c r="J1200" s="1" t="s">
        <v>752</v>
      </c>
      <c r="K1200" s="1" t="s">
        <v>66</v>
      </c>
      <c r="L1200" s="1" t="s">
        <v>5811</v>
      </c>
      <c r="M1200" s="1">
        <v>145.0</v>
      </c>
      <c r="N1200" s="1" t="s">
        <v>1152</v>
      </c>
      <c r="O1200" s="3" t="s">
        <v>6183</v>
      </c>
      <c r="P1200" s="18">
        <v>45883.0</v>
      </c>
      <c r="Q1200" s="1"/>
      <c r="R1200" s="1"/>
      <c r="S1200" s="1"/>
      <c r="T1200" s="1" t="s">
        <v>1152</v>
      </c>
      <c r="U1200" s="1" t="s">
        <v>1021</v>
      </c>
      <c r="V1200" s="4" t="s">
        <v>6183</v>
      </c>
      <c r="W1200" s="1"/>
      <c r="X1200" s="18">
        <v>45883.0</v>
      </c>
      <c r="Y1200" s="1"/>
      <c r="Z1200" s="1"/>
      <c r="AA1200" s="1"/>
      <c r="AB1200" s="1"/>
      <c r="AC1200" s="1" t="s">
        <v>1925</v>
      </c>
      <c r="AD1200" s="1"/>
      <c r="AE1200" s="1" t="s">
        <v>1152</v>
      </c>
      <c r="AF1200" s="1"/>
      <c r="AG1200" s="1"/>
      <c r="AH1200" s="1" t="s">
        <v>1152</v>
      </c>
      <c r="AI1200" s="1"/>
      <c r="AJ1200" s="1" t="s">
        <v>6182</v>
      </c>
      <c r="AK1200" s="1" t="s">
        <v>1152</v>
      </c>
      <c r="AL1200" s="6" t="str">
        <f t="array" ref="AL1200">IFERROR(IFS(XLOOKUP(B1200, 'Kit Delivery Status'!$U:$U, 'Kit Delivery Status'!$K:$K) = "Complete", "DELIVERED", XLOOKUP(B1200, 'Kit Delivery Status'!$U:$U, 'Kit Delivery Status'!$K:$K) = "Issue", "ISSUE"), "")</f>
        <v/>
      </c>
      <c r="AM1200" s="6"/>
    </row>
    <row r="1201">
      <c r="A1201" s="5" t="s">
        <v>6184</v>
      </c>
      <c r="B1201" s="1" t="s">
        <v>6185</v>
      </c>
      <c r="C1201" s="1"/>
      <c r="D1201" s="2">
        <v>4.698616984E9</v>
      </c>
      <c r="E1201" s="1" t="s">
        <v>6186</v>
      </c>
      <c r="F1201" s="1"/>
      <c r="G1201" s="1" t="s">
        <v>4744</v>
      </c>
      <c r="H1201" s="1" t="s">
        <v>1583</v>
      </c>
      <c r="I1201" s="1">
        <v>75078.0</v>
      </c>
      <c r="J1201" s="1" t="s">
        <v>752</v>
      </c>
      <c r="K1201" s="1" t="s">
        <v>66</v>
      </c>
      <c r="L1201" s="1" t="s">
        <v>5767</v>
      </c>
      <c r="M1201" s="1">
        <v>210.0</v>
      </c>
      <c r="N1201" s="1" t="s">
        <v>1152</v>
      </c>
      <c r="O1201" s="3" t="s">
        <v>6187</v>
      </c>
      <c r="P1201" s="18">
        <v>45883.0</v>
      </c>
      <c r="Q1201" s="1"/>
      <c r="R1201" s="1"/>
      <c r="S1201" s="1"/>
      <c r="T1201" s="1" t="s">
        <v>1152</v>
      </c>
      <c r="U1201" s="1" t="s">
        <v>1039</v>
      </c>
      <c r="V1201" s="4" t="s">
        <v>6187</v>
      </c>
      <c r="W1201" s="1"/>
      <c r="X1201" s="18">
        <v>45883.0</v>
      </c>
      <c r="Y1201" s="1"/>
      <c r="Z1201" s="1"/>
      <c r="AA1201" s="1"/>
      <c r="AB1201" s="1"/>
      <c r="AC1201" s="1" t="s">
        <v>1925</v>
      </c>
      <c r="AD1201" s="1"/>
      <c r="AE1201" s="1" t="s">
        <v>1152</v>
      </c>
      <c r="AF1201" s="1"/>
      <c r="AG1201" s="1"/>
      <c r="AH1201" s="1" t="s">
        <v>1152</v>
      </c>
      <c r="AI1201" s="1"/>
      <c r="AJ1201" s="1" t="s">
        <v>6188</v>
      </c>
      <c r="AK1201" s="1" t="s">
        <v>1152</v>
      </c>
      <c r="AL1201" s="6" t="str">
        <f t="array" ref="AL1201">IFERROR(IFS(XLOOKUP(B1201, 'Kit Delivery Status'!$U:$U, 'Kit Delivery Status'!$K:$K) = "Complete", "DELIVERED", XLOOKUP(B1201, 'Kit Delivery Status'!$U:$U, 'Kit Delivery Status'!$K:$K) = "Issue", "ISSUE"), "")</f>
        <v/>
      </c>
      <c r="AM1201" s="6"/>
    </row>
    <row r="1202">
      <c r="A1202" s="5" t="s">
        <v>6189</v>
      </c>
      <c r="B1202" s="1" t="s">
        <v>6190</v>
      </c>
      <c r="C1202" s="1" t="s">
        <v>6191</v>
      </c>
      <c r="D1202" s="2">
        <v>4.152868676E9</v>
      </c>
      <c r="E1202" s="1" t="s">
        <v>6192</v>
      </c>
      <c r="F1202" s="1"/>
      <c r="G1202" s="1" t="s">
        <v>6193</v>
      </c>
      <c r="H1202" s="1" t="s">
        <v>989</v>
      </c>
      <c r="I1202" s="1">
        <v>94903.0</v>
      </c>
      <c r="J1202" s="1" t="s">
        <v>752</v>
      </c>
      <c r="K1202" s="1" t="s">
        <v>51</v>
      </c>
      <c r="L1202" s="1" t="s">
        <v>5722</v>
      </c>
      <c r="M1202" s="1">
        <v>1.0</v>
      </c>
      <c r="N1202" s="1" t="s">
        <v>2461</v>
      </c>
      <c r="O1202" s="3" t="s">
        <v>5988</v>
      </c>
      <c r="P1202" s="18">
        <v>45890.0</v>
      </c>
      <c r="Q1202" s="1" t="s">
        <v>1030</v>
      </c>
      <c r="R1202" s="1"/>
      <c r="S1202" s="1" t="s">
        <v>52</v>
      </c>
      <c r="T1202" s="1" t="s">
        <v>2461</v>
      </c>
      <c r="U1202" s="1" t="s">
        <v>1167</v>
      </c>
      <c r="V1202" s="4" t="s">
        <v>5988</v>
      </c>
      <c r="W1202" s="1"/>
      <c r="X1202" s="18">
        <v>45890.0</v>
      </c>
      <c r="Y1202" s="1" t="s">
        <v>1030</v>
      </c>
      <c r="Z1202" s="1"/>
      <c r="AA1202" s="1"/>
      <c r="AB1202" s="1" t="s">
        <v>52</v>
      </c>
      <c r="AC1202" s="1" t="s">
        <v>1925</v>
      </c>
      <c r="AD1202" s="1"/>
      <c r="AE1202" s="1" t="s">
        <v>1152</v>
      </c>
      <c r="AF1202" s="1"/>
      <c r="AG1202" s="1"/>
      <c r="AH1202" s="1" t="s">
        <v>1152</v>
      </c>
      <c r="AI1202" s="1"/>
      <c r="AJ1202" s="1" t="s">
        <v>6194</v>
      </c>
      <c r="AK1202" s="1" t="s">
        <v>1152</v>
      </c>
      <c r="AL1202" s="6" t="str">
        <f t="array" ref="AL1202">IFERROR(IFS(XLOOKUP(B1202, 'Kit Delivery Status'!$U:$U, 'Kit Delivery Status'!$K:$K) = "Complete", "DELIVERED", XLOOKUP(B1202, 'Kit Delivery Status'!$U:$U, 'Kit Delivery Status'!$K:$K) = "Issue", "ISSUE"), "")</f>
        <v/>
      </c>
      <c r="AM1202" s="6"/>
    </row>
    <row r="1203">
      <c r="A1203" s="5" t="s">
        <v>6195</v>
      </c>
      <c r="B1203" s="1" t="s">
        <v>6196</v>
      </c>
      <c r="C1203" s="1" t="s">
        <v>6197</v>
      </c>
      <c r="D1203" s="2">
        <v>2.407516583E9</v>
      </c>
      <c r="E1203" s="1" t="s">
        <v>6198</v>
      </c>
      <c r="F1203" s="1"/>
      <c r="G1203" s="1" t="s">
        <v>2986</v>
      </c>
      <c r="H1203" s="1" t="s">
        <v>1005</v>
      </c>
      <c r="I1203" s="1">
        <v>20902.0</v>
      </c>
      <c r="J1203" s="1" t="s">
        <v>752</v>
      </c>
      <c r="K1203" s="1" t="s">
        <v>66</v>
      </c>
      <c r="L1203" s="1" t="s">
        <v>5767</v>
      </c>
      <c r="M1203" s="1">
        <v>210.0</v>
      </c>
      <c r="N1203" s="1" t="s">
        <v>1152</v>
      </c>
      <c r="O1203" s="3" t="s">
        <v>6199</v>
      </c>
      <c r="P1203" s="18">
        <v>45880.0</v>
      </c>
      <c r="Q1203" s="1"/>
      <c r="R1203" s="1"/>
      <c r="S1203" s="1"/>
      <c r="T1203" s="1" t="s">
        <v>1152</v>
      </c>
      <c r="U1203" s="1" t="s">
        <v>1343</v>
      </c>
      <c r="V1203" s="4" t="s">
        <v>6199</v>
      </c>
      <c r="W1203" s="1"/>
      <c r="X1203" s="18">
        <v>45880.0</v>
      </c>
      <c r="Y1203" s="1"/>
      <c r="Z1203" s="1"/>
      <c r="AA1203" s="1"/>
      <c r="AB1203" s="1"/>
      <c r="AC1203" s="1" t="s">
        <v>1925</v>
      </c>
      <c r="AD1203" s="1"/>
      <c r="AE1203" s="1" t="s">
        <v>1152</v>
      </c>
      <c r="AF1203" s="1"/>
      <c r="AG1203" s="1"/>
      <c r="AH1203" s="1" t="s">
        <v>1152</v>
      </c>
      <c r="AI1203" s="1"/>
      <c r="AJ1203" s="1" t="s">
        <v>6200</v>
      </c>
      <c r="AK1203" s="1" t="s">
        <v>1152</v>
      </c>
      <c r="AL1203" s="6" t="str">
        <f t="array" ref="AL1203">IFERROR(IFS(XLOOKUP(B1203, 'Kit Delivery Status'!$U:$U, 'Kit Delivery Status'!$K:$K) = "Complete", "DELIVERED", XLOOKUP(B1203, 'Kit Delivery Status'!$U:$U, 'Kit Delivery Status'!$K:$K) = "Issue", "ISSUE"), "")</f>
        <v/>
      </c>
      <c r="AM1203" s="6"/>
    </row>
    <row r="1204">
      <c r="A1204" s="5" t="s">
        <v>6201</v>
      </c>
      <c r="B1204" s="1" t="s">
        <v>6202</v>
      </c>
      <c r="C1204" s="1" t="s">
        <v>2054</v>
      </c>
      <c r="D1204" s="2">
        <v>9.495733262E9</v>
      </c>
      <c r="E1204" s="1" t="s">
        <v>6203</v>
      </c>
      <c r="F1204" s="1"/>
      <c r="G1204" s="1" t="s">
        <v>2056</v>
      </c>
      <c r="H1204" s="1" t="s">
        <v>1121</v>
      </c>
      <c r="I1204" s="1">
        <v>2421.0</v>
      </c>
      <c r="J1204" s="1" t="s">
        <v>752</v>
      </c>
      <c r="K1204" s="1" t="s">
        <v>66</v>
      </c>
      <c r="L1204" s="1" t="s">
        <v>5811</v>
      </c>
      <c r="M1204" s="1">
        <v>145.0</v>
      </c>
      <c r="N1204" s="1" t="s">
        <v>1152</v>
      </c>
      <c r="O1204" s="3" t="s">
        <v>2057</v>
      </c>
      <c r="P1204" s="18">
        <v>45883.0</v>
      </c>
      <c r="Q1204" s="1"/>
      <c r="R1204" s="1"/>
      <c r="S1204" s="1"/>
      <c r="T1204" s="1" t="s">
        <v>1152</v>
      </c>
      <c r="U1204" s="1" t="s">
        <v>1133</v>
      </c>
      <c r="V1204" s="4" t="s">
        <v>2057</v>
      </c>
      <c r="W1204" s="1"/>
      <c r="X1204" s="18">
        <v>45883.0</v>
      </c>
      <c r="Y1204" s="1"/>
      <c r="Z1204" s="1"/>
      <c r="AA1204" s="1"/>
      <c r="AB1204" s="1"/>
      <c r="AC1204" s="1" t="s">
        <v>1925</v>
      </c>
      <c r="AD1204" s="1"/>
      <c r="AE1204" s="1" t="s">
        <v>1152</v>
      </c>
      <c r="AF1204" s="1"/>
      <c r="AG1204" s="1"/>
      <c r="AH1204" s="1" t="s">
        <v>1152</v>
      </c>
      <c r="AI1204" s="1"/>
      <c r="AJ1204" s="1" t="s">
        <v>2055</v>
      </c>
      <c r="AK1204" s="1" t="s">
        <v>1152</v>
      </c>
      <c r="AL1204" s="6" t="str">
        <f t="array" ref="AL1204">IFERROR(IFS(XLOOKUP(B1204, 'Kit Delivery Status'!$U:$U, 'Kit Delivery Status'!$K:$K) = "Complete", "DELIVERED", XLOOKUP(B1204, 'Kit Delivery Status'!$U:$U, 'Kit Delivery Status'!$K:$K) = "Issue", "ISSUE"), "")</f>
        <v/>
      </c>
      <c r="AM1204" s="6"/>
    </row>
    <row r="1205">
      <c r="A1205" s="5" t="s">
        <v>6204</v>
      </c>
      <c r="B1205" s="1" t="s">
        <v>6205</v>
      </c>
      <c r="C1205" s="1" t="s">
        <v>6206</v>
      </c>
      <c r="D1205" s="2">
        <v>6.195132161E9</v>
      </c>
      <c r="E1205" s="1" t="s">
        <v>6207</v>
      </c>
      <c r="F1205" s="1"/>
      <c r="G1205" s="1" t="s">
        <v>6208</v>
      </c>
      <c r="H1205" s="1" t="s">
        <v>1583</v>
      </c>
      <c r="I1205" s="1">
        <v>76108.0</v>
      </c>
      <c r="J1205" s="1" t="s">
        <v>752</v>
      </c>
      <c r="K1205" s="1" t="s">
        <v>51</v>
      </c>
      <c r="L1205" s="1" t="s">
        <v>5722</v>
      </c>
      <c r="M1205" s="1">
        <v>1.0</v>
      </c>
      <c r="N1205" s="1" t="s">
        <v>2461</v>
      </c>
      <c r="O1205" s="3" t="s">
        <v>6209</v>
      </c>
      <c r="P1205" s="18">
        <v>45888.0</v>
      </c>
      <c r="Q1205" s="1" t="s">
        <v>1440</v>
      </c>
      <c r="R1205" s="1"/>
      <c r="S1205" s="1" t="s">
        <v>52</v>
      </c>
      <c r="T1205" s="1" t="s">
        <v>2461</v>
      </c>
      <c r="U1205" s="1" t="s">
        <v>1201</v>
      </c>
      <c r="V1205" s="4" t="s">
        <v>6209</v>
      </c>
      <c r="W1205" s="1"/>
      <c r="X1205" s="18">
        <v>45888.0</v>
      </c>
      <c r="Y1205" s="1" t="s">
        <v>1440</v>
      </c>
      <c r="Z1205" s="1"/>
      <c r="AA1205" s="1"/>
      <c r="AB1205" s="1" t="s">
        <v>52</v>
      </c>
      <c r="AC1205" s="1" t="s">
        <v>1925</v>
      </c>
      <c r="AD1205" s="1"/>
      <c r="AE1205" s="1" t="s">
        <v>1152</v>
      </c>
      <c r="AF1205" s="1"/>
      <c r="AG1205" s="1"/>
      <c r="AH1205" s="1" t="s">
        <v>1152</v>
      </c>
      <c r="AI1205" s="1"/>
      <c r="AJ1205" s="1" t="s">
        <v>6207</v>
      </c>
      <c r="AK1205" s="1" t="s">
        <v>1152</v>
      </c>
      <c r="AL1205" s="6" t="str">
        <f t="array" ref="AL1205">IFERROR(IFS(XLOOKUP(B1205, 'Kit Delivery Status'!$U:$U, 'Kit Delivery Status'!$K:$K) = "Complete", "DELIVERED", XLOOKUP(B1205, 'Kit Delivery Status'!$U:$U, 'Kit Delivery Status'!$K:$K) = "Issue", "ISSUE"), "")</f>
        <v/>
      </c>
      <c r="AM1205" s="6"/>
    </row>
    <row r="1206">
      <c r="A1206" s="5" t="s">
        <v>6210</v>
      </c>
      <c r="B1206" s="1" t="s">
        <v>6211</v>
      </c>
      <c r="C1206" s="1"/>
      <c r="D1206" s="2">
        <v>2.032802503E9</v>
      </c>
      <c r="E1206" s="1" t="s">
        <v>6212</v>
      </c>
      <c r="F1206" s="1"/>
      <c r="G1206" s="1" t="s">
        <v>5576</v>
      </c>
      <c r="H1206" s="1" t="s">
        <v>1078</v>
      </c>
      <c r="I1206" s="1">
        <v>6902.0</v>
      </c>
      <c r="J1206" s="1" t="s">
        <v>752</v>
      </c>
      <c r="K1206" s="1" t="s">
        <v>66</v>
      </c>
      <c r="L1206" s="1" t="s">
        <v>5811</v>
      </c>
      <c r="M1206" s="1">
        <v>145.0</v>
      </c>
      <c r="N1206" s="1" t="s">
        <v>1152</v>
      </c>
      <c r="O1206" s="3" t="s">
        <v>4573</v>
      </c>
      <c r="P1206" s="18">
        <v>45883.0</v>
      </c>
      <c r="Q1206" s="1"/>
      <c r="R1206" s="1"/>
      <c r="S1206" s="1"/>
      <c r="T1206" s="1" t="s">
        <v>1152</v>
      </c>
      <c r="U1206" s="1" t="s">
        <v>1376</v>
      </c>
      <c r="V1206" s="4" t="s">
        <v>4573</v>
      </c>
      <c r="W1206" s="1"/>
      <c r="X1206" s="18">
        <v>45883.0</v>
      </c>
      <c r="Y1206" s="1"/>
      <c r="Z1206" s="1"/>
      <c r="AA1206" s="1"/>
      <c r="AB1206" s="1"/>
      <c r="AC1206" s="1" t="s">
        <v>1925</v>
      </c>
      <c r="AD1206" s="1"/>
      <c r="AE1206" s="1" t="s">
        <v>1152</v>
      </c>
      <c r="AF1206" s="1"/>
      <c r="AG1206" s="1"/>
      <c r="AH1206" s="1" t="s">
        <v>1152</v>
      </c>
      <c r="AI1206" s="1"/>
      <c r="AJ1206" s="1" t="s">
        <v>6212</v>
      </c>
      <c r="AK1206" s="1" t="s">
        <v>1152</v>
      </c>
      <c r="AL1206" s="6" t="str">
        <f t="array" ref="AL1206">IFERROR(IFS(XLOOKUP(B1206, 'Kit Delivery Status'!$U:$U, 'Kit Delivery Status'!$K:$K) = "Complete", "DELIVERED", XLOOKUP(B1206, 'Kit Delivery Status'!$U:$U, 'Kit Delivery Status'!$K:$K) = "Issue", "ISSUE"), "")</f>
        <v/>
      </c>
      <c r="AM1206" s="6"/>
    </row>
    <row r="1207">
      <c r="A1207" s="5" t="s">
        <v>6213</v>
      </c>
      <c r="B1207" s="1" t="s">
        <v>6214</v>
      </c>
      <c r="C1207" s="1" t="s">
        <v>6215</v>
      </c>
      <c r="D1207" s="2">
        <v>9.082083515E9</v>
      </c>
      <c r="E1207" s="1" t="s">
        <v>6216</v>
      </c>
      <c r="F1207" s="1"/>
      <c r="G1207" s="1" t="s">
        <v>6217</v>
      </c>
      <c r="H1207" s="1" t="s">
        <v>1053</v>
      </c>
      <c r="I1207" s="1">
        <v>8844.0</v>
      </c>
      <c r="J1207" s="1" t="s">
        <v>752</v>
      </c>
      <c r="K1207" s="1" t="s">
        <v>51</v>
      </c>
      <c r="L1207" s="1" t="s">
        <v>5722</v>
      </c>
      <c r="M1207" s="1">
        <v>1.0</v>
      </c>
      <c r="N1207" s="1" t="s">
        <v>2461</v>
      </c>
      <c r="O1207" s="3" t="s">
        <v>117</v>
      </c>
      <c r="P1207" s="18">
        <v>45880.0</v>
      </c>
      <c r="Q1207" s="1" t="s">
        <v>1440</v>
      </c>
      <c r="R1207" s="1"/>
      <c r="S1207" s="1" t="s">
        <v>52</v>
      </c>
      <c r="T1207" s="1" t="s">
        <v>2461</v>
      </c>
      <c r="U1207" s="1" t="s">
        <v>1080</v>
      </c>
      <c r="V1207" s="4" t="s">
        <v>117</v>
      </c>
      <c r="W1207" s="1"/>
      <c r="X1207" s="18">
        <v>45880.0</v>
      </c>
      <c r="Y1207" s="1" t="s">
        <v>1440</v>
      </c>
      <c r="Z1207" s="1"/>
      <c r="AA1207" s="1"/>
      <c r="AB1207" s="1" t="s">
        <v>52</v>
      </c>
      <c r="AC1207" s="1" t="s">
        <v>1925</v>
      </c>
      <c r="AD1207" s="1"/>
      <c r="AE1207" s="1" t="s">
        <v>1152</v>
      </c>
      <c r="AF1207" s="1"/>
      <c r="AG1207" s="1"/>
      <c r="AH1207" s="1" t="s">
        <v>1152</v>
      </c>
      <c r="AI1207" s="1"/>
      <c r="AJ1207" s="1" t="s">
        <v>6216</v>
      </c>
      <c r="AK1207" s="1" t="s">
        <v>1152</v>
      </c>
      <c r="AL1207" s="6" t="str">
        <f t="array" ref="AL1207">IFERROR(IFS(XLOOKUP(B1207, 'Kit Delivery Status'!$U:$U, 'Kit Delivery Status'!$K:$K) = "Complete", "DELIVERED", XLOOKUP(B1207, 'Kit Delivery Status'!$U:$U, 'Kit Delivery Status'!$K:$K) = "Issue", "ISSUE"), "")</f>
        <v/>
      </c>
      <c r="AM1207" s="6"/>
    </row>
    <row r="1208">
      <c r="A1208" s="5" t="s">
        <v>6218</v>
      </c>
      <c r="B1208" s="1" t="s">
        <v>6219</v>
      </c>
      <c r="C1208" s="1" t="s">
        <v>6220</v>
      </c>
      <c r="D1208" s="2">
        <v>2.014521094E9</v>
      </c>
      <c r="E1208" s="1" t="s">
        <v>6221</v>
      </c>
      <c r="F1208" s="1"/>
      <c r="G1208" s="1" t="s">
        <v>6222</v>
      </c>
      <c r="H1208" s="1" t="s">
        <v>1053</v>
      </c>
      <c r="I1208" s="1">
        <v>7045.0</v>
      </c>
      <c r="J1208" s="1" t="s">
        <v>752</v>
      </c>
      <c r="K1208" s="1" t="s">
        <v>66</v>
      </c>
      <c r="L1208" s="1" t="s">
        <v>5767</v>
      </c>
      <c r="M1208" s="1">
        <v>210.0</v>
      </c>
      <c r="N1208" s="1" t="s">
        <v>1152</v>
      </c>
      <c r="O1208" s="3" t="s">
        <v>6223</v>
      </c>
      <c r="P1208" s="18">
        <v>45883.0</v>
      </c>
      <c r="Q1208" s="1"/>
      <c r="R1208" s="1"/>
      <c r="S1208" s="1"/>
      <c r="T1208" s="1" t="s">
        <v>1152</v>
      </c>
      <c r="U1208" s="1" t="s">
        <v>1749</v>
      </c>
      <c r="V1208" s="4" t="s">
        <v>6223</v>
      </c>
      <c r="W1208" s="1"/>
      <c r="X1208" s="18">
        <v>45883.0</v>
      </c>
      <c r="Y1208" s="1"/>
      <c r="Z1208" s="1"/>
      <c r="AA1208" s="1"/>
      <c r="AB1208" s="1"/>
      <c r="AC1208" s="1" t="s">
        <v>1925</v>
      </c>
      <c r="AD1208" s="1"/>
      <c r="AE1208" s="1" t="s">
        <v>1152</v>
      </c>
      <c r="AF1208" s="1"/>
      <c r="AG1208" s="1"/>
      <c r="AH1208" s="1" t="s">
        <v>1152</v>
      </c>
      <c r="AI1208" s="1"/>
      <c r="AJ1208" s="1" t="s">
        <v>6224</v>
      </c>
      <c r="AK1208" s="1" t="s">
        <v>1152</v>
      </c>
      <c r="AL1208" s="6" t="str">
        <f t="array" ref="AL1208">IFERROR(IFS(XLOOKUP(B1208, 'Kit Delivery Status'!$U:$U, 'Kit Delivery Status'!$K:$K) = "Complete", "DELIVERED", XLOOKUP(B1208, 'Kit Delivery Status'!$U:$U, 'Kit Delivery Status'!$K:$K) = "Issue", "ISSUE"), "")</f>
        <v/>
      </c>
      <c r="AM1208" s="6"/>
    </row>
    <row r="1209">
      <c r="A1209" s="5" t="s">
        <v>6225</v>
      </c>
      <c r="B1209" s="1" t="s">
        <v>6226</v>
      </c>
      <c r="C1209" s="1" t="s">
        <v>6227</v>
      </c>
      <c r="D1209" s="2" t="s">
        <v>6228</v>
      </c>
      <c r="E1209" s="1" t="s">
        <v>6229</v>
      </c>
      <c r="F1209" s="1"/>
      <c r="G1209" s="1" t="s">
        <v>1382</v>
      </c>
      <c r="H1209" s="1" t="s">
        <v>751</v>
      </c>
      <c r="I1209" s="1">
        <v>10583.0</v>
      </c>
      <c r="J1209" s="1" t="s">
        <v>752</v>
      </c>
      <c r="K1209" s="1" t="s">
        <v>66</v>
      </c>
      <c r="L1209" s="1" t="s">
        <v>5767</v>
      </c>
      <c r="M1209" s="1">
        <v>210.0</v>
      </c>
      <c r="N1209" s="1" t="s">
        <v>1152</v>
      </c>
      <c r="O1209" s="3" t="s">
        <v>6230</v>
      </c>
      <c r="P1209" s="18">
        <v>45883.0</v>
      </c>
      <c r="Q1209" s="1"/>
      <c r="R1209" s="1"/>
      <c r="S1209" s="1"/>
      <c r="T1209" s="1" t="s">
        <v>1152</v>
      </c>
      <c r="U1209" s="1" t="s">
        <v>1324</v>
      </c>
      <c r="V1209" s="4" t="s">
        <v>6230</v>
      </c>
      <c r="W1209" s="1"/>
      <c r="X1209" s="18">
        <v>45883.0</v>
      </c>
      <c r="Y1209" s="1"/>
      <c r="Z1209" s="1"/>
      <c r="AA1209" s="1"/>
      <c r="AB1209" s="1"/>
      <c r="AC1209" s="1" t="s">
        <v>1925</v>
      </c>
      <c r="AD1209" s="1"/>
      <c r="AE1209" s="1" t="s">
        <v>1152</v>
      </c>
      <c r="AF1209" s="1"/>
      <c r="AG1209" s="1"/>
      <c r="AH1209" s="1" t="s">
        <v>1152</v>
      </c>
      <c r="AI1209" s="1"/>
      <c r="AJ1209" s="1" t="s">
        <v>6229</v>
      </c>
      <c r="AK1209" s="1" t="s">
        <v>1152</v>
      </c>
      <c r="AL1209" s="6" t="str">
        <f t="array" ref="AL1209">IFERROR(IFS(XLOOKUP(B1209, 'Kit Delivery Status'!$U:$U, 'Kit Delivery Status'!$K:$K) = "Complete", "DELIVERED", XLOOKUP(B1209, 'Kit Delivery Status'!$U:$U, 'Kit Delivery Status'!$K:$K) = "Issue", "ISSUE"), "")</f>
        <v/>
      </c>
      <c r="AM1209" s="6"/>
    </row>
    <row r="1210">
      <c r="A1210" s="5" t="s">
        <v>6231</v>
      </c>
      <c r="B1210" s="1" t="s">
        <v>6232</v>
      </c>
      <c r="C1210" s="1" t="s">
        <v>5685</v>
      </c>
      <c r="D1210" s="2">
        <v>3.478310009E9</v>
      </c>
      <c r="E1210" s="1" t="s">
        <v>6233</v>
      </c>
      <c r="F1210" s="1"/>
      <c r="G1210" s="1" t="s">
        <v>751</v>
      </c>
      <c r="H1210" s="1" t="s">
        <v>751</v>
      </c>
      <c r="I1210" s="1">
        <v>10024.0</v>
      </c>
      <c r="J1210" s="1" t="s">
        <v>752</v>
      </c>
      <c r="K1210" s="1" t="s">
        <v>66</v>
      </c>
      <c r="L1210" s="1" t="s">
        <v>5736</v>
      </c>
      <c r="M1210" s="1">
        <v>115.0</v>
      </c>
      <c r="N1210" s="1" t="s">
        <v>1152</v>
      </c>
      <c r="O1210" s="3" t="s">
        <v>4429</v>
      </c>
      <c r="P1210" s="18">
        <v>45891.0</v>
      </c>
      <c r="Q1210" s="1"/>
      <c r="R1210" s="1"/>
      <c r="S1210" s="1"/>
      <c r="T1210" s="1" t="s">
        <v>1152</v>
      </c>
      <c r="U1210" s="1" t="s">
        <v>1456</v>
      </c>
      <c r="V1210" s="4" t="s">
        <v>4429</v>
      </c>
      <c r="W1210" s="1"/>
      <c r="X1210" s="18">
        <v>45891.0</v>
      </c>
      <c r="Y1210" s="1"/>
      <c r="Z1210" s="1"/>
      <c r="AA1210" s="1"/>
      <c r="AB1210" s="1"/>
      <c r="AC1210" s="1" t="s">
        <v>1925</v>
      </c>
      <c r="AD1210" s="1"/>
      <c r="AE1210" s="1" t="s">
        <v>1152</v>
      </c>
      <c r="AF1210" s="1"/>
      <c r="AG1210" s="1"/>
      <c r="AH1210" s="1" t="s">
        <v>1152</v>
      </c>
      <c r="AI1210" s="1"/>
      <c r="AJ1210" s="1" t="s">
        <v>6234</v>
      </c>
      <c r="AK1210" s="1" t="s">
        <v>1152</v>
      </c>
      <c r="AL1210" s="6" t="str">
        <f t="array" ref="AL1210">IFERROR(IFS(XLOOKUP(B1210, 'Kit Delivery Status'!$U:$U, 'Kit Delivery Status'!$K:$K) = "Complete", "DELIVERED", XLOOKUP(B1210, 'Kit Delivery Status'!$U:$U, 'Kit Delivery Status'!$K:$K) = "Issue", "ISSUE"), "")</f>
        <v/>
      </c>
      <c r="AM1210" s="6"/>
    </row>
    <row r="1211">
      <c r="A1211" s="5" t="s">
        <v>6235</v>
      </c>
      <c r="B1211" s="1" t="s">
        <v>6236</v>
      </c>
      <c r="C1211" s="1" t="s">
        <v>6237</v>
      </c>
      <c r="D1211" s="2">
        <v>3.464203568E9</v>
      </c>
      <c r="E1211" s="1" t="s">
        <v>6238</v>
      </c>
      <c r="F1211" s="1"/>
      <c r="G1211" s="1" t="s">
        <v>3769</v>
      </c>
      <c r="H1211" s="1" t="s">
        <v>1583</v>
      </c>
      <c r="I1211" s="1">
        <v>77479.0</v>
      </c>
      <c r="J1211" s="1" t="s">
        <v>752</v>
      </c>
      <c r="K1211" s="1" t="s">
        <v>66</v>
      </c>
      <c r="L1211" s="1" t="s">
        <v>5833</v>
      </c>
      <c r="M1211" s="1">
        <v>65.0</v>
      </c>
      <c r="N1211" s="1" t="s">
        <v>1152</v>
      </c>
      <c r="O1211" s="3" t="s">
        <v>1849</v>
      </c>
      <c r="P1211" s="18">
        <v>45883.0</v>
      </c>
      <c r="Q1211" s="1"/>
      <c r="R1211" s="1"/>
      <c r="S1211" s="1"/>
      <c r="T1211" s="1" t="s">
        <v>1152</v>
      </c>
      <c r="U1211" s="1" t="s">
        <v>956</v>
      </c>
      <c r="V1211" s="4" t="s">
        <v>1849</v>
      </c>
      <c r="W1211" s="1"/>
      <c r="X1211" s="18">
        <v>45883.0</v>
      </c>
      <c r="Y1211" s="1"/>
      <c r="Z1211" s="1"/>
      <c r="AA1211" s="1"/>
      <c r="AB1211" s="1"/>
      <c r="AC1211" s="1" t="s">
        <v>1925</v>
      </c>
      <c r="AD1211" s="1"/>
      <c r="AE1211" s="1" t="s">
        <v>1152</v>
      </c>
      <c r="AF1211" s="1"/>
      <c r="AG1211" s="1"/>
      <c r="AH1211" s="1" t="s">
        <v>1152</v>
      </c>
      <c r="AI1211" s="1"/>
      <c r="AJ1211" s="1" t="s">
        <v>6238</v>
      </c>
      <c r="AK1211" s="1" t="s">
        <v>1152</v>
      </c>
      <c r="AL1211" s="6" t="str">
        <f t="array" ref="AL1211">IFERROR(IFS(XLOOKUP(B1211, 'Kit Delivery Status'!$U:$U, 'Kit Delivery Status'!$K:$K) = "Complete", "DELIVERED", XLOOKUP(B1211, 'Kit Delivery Status'!$U:$U, 'Kit Delivery Status'!$K:$K) = "Issue", "ISSUE"), "")</f>
        <v/>
      </c>
      <c r="AM1211" s="6"/>
    </row>
    <row r="1212">
      <c r="A1212" s="5" t="s">
        <v>6239</v>
      </c>
      <c r="B1212" s="1" t="s">
        <v>6240</v>
      </c>
      <c r="C1212" s="1"/>
      <c r="D1212" s="2">
        <v>7.72888503E9</v>
      </c>
      <c r="E1212" s="1" t="s">
        <v>6241</v>
      </c>
      <c r="F1212" s="1" t="s">
        <v>6242</v>
      </c>
      <c r="G1212" s="1" t="s">
        <v>4572</v>
      </c>
      <c r="H1212" s="1" t="s">
        <v>1208</v>
      </c>
      <c r="I1212" s="1">
        <v>34990.0</v>
      </c>
      <c r="J1212" s="1" t="s">
        <v>752</v>
      </c>
      <c r="K1212" s="1" t="s">
        <v>51</v>
      </c>
      <c r="L1212" s="1" t="s">
        <v>5722</v>
      </c>
      <c r="M1212" s="1">
        <v>1.0</v>
      </c>
      <c r="N1212" s="1" t="s">
        <v>2487</v>
      </c>
      <c r="O1212" s="3"/>
      <c r="P1212" s="18">
        <v>45890.0</v>
      </c>
      <c r="Q1212" s="1" t="s">
        <v>1630</v>
      </c>
      <c r="R1212" s="1" t="s">
        <v>6242</v>
      </c>
      <c r="S1212" s="1" t="s">
        <v>124</v>
      </c>
      <c r="T1212" s="1" t="s">
        <v>2487</v>
      </c>
      <c r="U1212" s="1"/>
      <c r="V1212" s="4"/>
      <c r="W1212" s="1" t="s">
        <v>6242</v>
      </c>
      <c r="X1212" s="18">
        <v>45890.0</v>
      </c>
      <c r="Y1212" s="1" t="s">
        <v>1630</v>
      </c>
      <c r="Z1212" s="1"/>
      <c r="AA1212" s="1" t="s">
        <v>6242</v>
      </c>
      <c r="AB1212" s="1" t="s">
        <v>124</v>
      </c>
      <c r="AC1212" s="1" t="s">
        <v>1925</v>
      </c>
      <c r="AD1212" s="1"/>
      <c r="AE1212" s="1" t="s">
        <v>1152</v>
      </c>
      <c r="AF1212" s="1"/>
      <c r="AG1212" s="1"/>
      <c r="AH1212" s="1" t="s">
        <v>1152</v>
      </c>
      <c r="AI1212" s="1"/>
      <c r="AJ1212" s="1" t="s">
        <v>6241</v>
      </c>
      <c r="AK1212" s="1" t="s">
        <v>1152</v>
      </c>
      <c r="AL1212" s="6" t="str">
        <f t="array" ref="AL1212">IFERROR(IFS(XLOOKUP(B1212, 'Kit Delivery Status'!$U:$U, 'Kit Delivery Status'!$K:$K) = "Complete", "DELIVERED", XLOOKUP(B1212, 'Kit Delivery Status'!$U:$U, 'Kit Delivery Status'!$K:$K) = "Issue", "ISSUE"), "")</f>
        <v/>
      </c>
      <c r="AM1212" s="6"/>
    </row>
    <row r="1213">
      <c r="A1213" s="5" t="s">
        <v>6243</v>
      </c>
      <c r="B1213" s="1" t="s">
        <v>6244</v>
      </c>
      <c r="C1213" s="1" t="s">
        <v>6245</v>
      </c>
      <c r="D1213" s="2">
        <v>6.185090791E9</v>
      </c>
      <c r="E1213" s="1" t="s">
        <v>6246</v>
      </c>
      <c r="F1213" s="1"/>
      <c r="G1213" s="1" t="s">
        <v>6247</v>
      </c>
      <c r="H1213" s="1" t="s">
        <v>6248</v>
      </c>
      <c r="I1213" s="1">
        <v>70122.0</v>
      </c>
      <c r="J1213" s="1" t="s">
        <v>752</v>
      </c>
      <c r="K1213" s="1" t="s">
        <v>66</v>
      </c>
      <c r="L1213" s="1" t="s">
        <v>5811</v>
      </c>
      <c r="M1213" s="1">
        <v>145.0</v>
      </c>
      <c r="N1213" s="1" t="s">
        <v>1152</v>
      </c>
      <c r="O1213" s="3" t="s">
        <v>2442</v>
      </c>
      <c r="P1213" s="18">
        <v>45882.0</v>
      </c>
      <c r="Q1213" s="1"/>
      <c r="R1213" s="1"/>
      <c r="S1213" s="1"/>
      <c r="T1213" s="1" t="s">
        <v>1152</v>
      </c>
      <c r="U1213" s="1" t="s">
        <v>956</v>
      </c>
      <c r="V1213" s="4" t="s">
        <v>2442</v>
      </c>
      <c r="W1213" s="1"/>
      <c r="X1213" s="18">
        <v>45882.0</v>
      </c>
      <c r="Y1213" s="1"/>
      <c r="Z1213" s="1"/>
      <c r="AA1213" s="1"/>
      <c r="AB1213" s="1"/>
      <c r="AC1213" s="1" t="s">
        <v>1925</v>
      </c>
      <c r="AD1213" s="1"/>
      <c r="AE1213" s="1" t="s">
        <v>1152</v>
      </c>
      <c r="AF1213" s="1"/>
      <c r="AG1213" s="1"/>
      <c r="AH1213" s="1" t="s">
        <v>1152</v>
      </c>
      <c r="AI1213" s="1"/>
      <c r="AJ1213" s="1" t="s">
        <v>6246</v>
      </c>
      <c r="AK1213" s="1" t="s">
        <v>1152</v>
      </c>
      <c r="AL1213" s="6" t="str">
        <f t="array" ref="AL1213">IFERROR(IFS(XLOOKUP(B1213, 'Kit Delivery Status'!$U:$U, 'Kit Delivery Status'!$K:$K) = "Complete", "DELIVERED", XLOOKUP(B1213, 'Kit Delivery Status'!$U:$U, 'Kit Delivery Status'!$K:$K) = "Issue", "ISSUE"), "")</f>
        <v/>
      </c>
      <c r="AM1213" s="6"/>
    </row>
    <row r="1214">
      <c r="A1214" s="5" t="s">
        <v>6249</v>
      </c>
      <c r="B1214" s="1" t="s">
        <v>6250</v>
      </c>
      <c r="C1214" s="1"/>
      <c r="D1214" s="2">
        <v>3.038081617E9</v>
      </c>
      <c r="E1214" s="1" t="s">
        <v>6251</v>
      </c>
      <c r="F1214" s="1"/>
      <c r="G1214" s="1" t="s">
        <v>6252</v>
      </c>
      <c r="H1214" s="1" t="s">
        <v>1891</v>
      </c>
      <c r="I1214" s="1">
        <v>80111.0</v>
      </c>
      <c r="J1214" s="1" t="s">
        <v>752</v>
      </c>
      <c r="K1214" s="1" t="s">
        <v>66</v>
      </c>
      <c r="L1214" s="1" t="s">
        <v>5767</v>
      </c>
      <c r="M1214" s="1">
        <v>210.0</v>
      </c>
      <c r="N1214" s="1" t="s">
        <v>1152</v>
      </c>
      <c r="O1214" s="3" t="s">
        <v>6253</v>
      </c>
      <c r="P1214" s="18">
        <v>45883.0</v>
      </c>
      <c r="Q1214" s="1"/>
      <c r="R1214" s="1"/>
      <c r="S1214" s="1"/>
      <c r="T1214" s="1" t="s">
        <v>1152</v>
      </c>
      <c r="U1214" s="1" t="s">
        <v>1039</v>
      </c>
      <c r="V1214" s="4" t="s">
        <v>6253</v>
      </c>
      <c r="W1214" s="1"/>
      <c r="X1214" s="18">
        <v>45883.0</v>
      </c>
      <c r="Y1214" s="1"/>
      <c r="Z1214" s="1"/>
      <c r="AA1214" s="1"/>
      <c r="AB1214" s="1"/>
      <c r="AC1214" s="1" t="s">
        <v>1925</v>
      </c>
      <c r="AD1214" s="1"/>
      <c r="AE1214" s="1" t="s">
        <v>1152</v>
      </c>
      <c r="AF1214" s="1"/>
      <c r="AG1214" s="1"/>
      <c r="AH1214" s="1" t="s">
        <v>1152</v>
      </c>
      <c r="AI1214" s="1"/>
      <c r="AJ1214" s="1" t="s">
        <v>6254</v>
      </c>
      <c r="AK1214" s="1" t="s">
        <v>1152</v>
      </c>
      <c r="AL1214" s="6" t="str">
        <f t="array" ref="AL1214">IFERROR(IFS(XLOOKUP(B1214, 'Kit Delivery Status'!$U:$U, 'Kit Delivery Status'!$K:$K) = "Complete", "DELIVERED", XLOOKUP(B1214, 'Kit Delivery Status'!$U:$U, 'Kit Delivery Status'!$K:$K) = "Issue", "ISSUE"), "")</f>
        <v/>
      </c>
      <c r="AM1214" s="6"/>
    </row>
    <row r="1215">
      <c r="A1215" s="5" t="s">
        <v>6255</v>
      </c>
      <c r="B1215" s="1" t="s">
        <v>6256</v>
      </c>
      <c r="C1215" s="1"/>
      <c r="D1215" s="2">
        <v>9.179915326E9</v>
      </c>
      <c r="E1215" s="1" t="s">
        <v>6257</v>
      </c>
      <c r="F1215" s="1"/>
      <c r="G1215" s="1" t="s">
        <v>751</v>
      </c>
      <c r="H1215" s="1" t="s">
        <v>751</v>
      </c>
      <c r="I1215" s="1">
        <v>10024.0</v>
      </c>
      <c r="J1215" s="1" t="s">
        <v>752</v>
      </c>
      <c r="K1215" s="1" t="s">
        <v>51</v>
      </c>
      <c r="L1215" s="1" t="s">
        <v>5722</v>
      </c>
      <c r="M1215" s="1">
        <v>1.0</v>
      </c>
      <c r="N1215" s="1" t="s">
        <v>2461</v>
      </c>
      <c r="O1215" s="3" t="s">
        <v>5521</v>
      </c>
      <c r="P1215" s="18">
        <v>45888.0</v>
      </c>
      <c r="Q1215" s="1" t="s">
        <v>1030</v>
      </c>
      <c r="R1215" s="1"/>
      <c r="S1215" s="1" t="s">
        <v>52</v>
      </c>
      <c r="T1215" s="1" t="s">
        <v>2461</v>
      </c>
      <c r="U1215" s="1" t="s">
        <v>1812</v>
      </c>
      <c r="V1215" s="4" t="s">
        <v>5521</v>
      </c>
      <c r="W1215" s="1"/>
      <c r="X1215" s="18">
        <v>45888.0</v>
      </c>
      <c r="Y1215" s="1" t="s">
        <v>1030</v>
      </c>
      <c r="Z1215" s="1"/>
      <c r="AA1215" s="1"/>
      <c r="AB1215" s="1" t="s">
        <v>52</v>
      </c>
      <c r="AC1215" s="1" t="s">
        <v>1925</v>
      </c>
      <c r="AD1215" s="1"/>
      <c r="AE1215" s="1" t="s">
        <v>1152</v>
      </c>
      <c r="AF1215" s="1"/>
      <c r="AG1215" s="1"/>
      <c r="AH1215" s="1" t="s">
        <v>1152</v>
      </c>
      <c r="AI1215" s="1"/>
      <c r="AJ1215" s="1" t="s">
        <v>6258</v>
      </c>
      <c r="AK1215" s="1" t="s">
        <v>1152</v>
      </c>
      <c r="AL1215" s="6" t="str">
        <f t="array" ref="AL1215">IFERROR(IFS(XLOOKUP(B1215, 'Kit Delivery Status'!$U:$U, 'Kit Delivery Status'!$K:$K) = "Complete", "DELIVERED", XLOOKUP(B1215, 'Kit Delivery Status'!$U:$U, 'Kit Delivery Status'!$K:$K) = "Issue", "ISSUE"), "")</f>
        <v/>
      </c>
      <c r="AM1215" s="6"/>
    </row>
    <row r="1216">
      <c r="A1216" s="5" t="s">
        <v>6259</v>
      </c>
      <c r="B1216" s="1" t="s">
        <v>6260</v>
      </c>
      <c r="C1216" s="1" t="s">
        <v>6261</v>
      </c>
      <c r="D1216" s="2">
        <v>3.475258364E9</v>
      </c>
      <c r="E1216" s="1" t="s">
        <v>6262</v>
      </c>
      <c r="F1216" s="1"/>
      <c r="G1216" s="1" t="s">
        <v>1684</v>
      </c>
      <c r="H1216" s="1" t="s">
        <v>751</v>
      </c>
      <c r="I1216" s="1">
        <v>11217.0</v>
      </c>
      <c r="J1216" s="1" t="s">
        <v>752</v>
      </c>
      <c r="K1216" s="1" t="s">
        <v>66</v>
      </c>
      <c r="L1216" s="1" t="s">
        <v>5833</v>
      </c>
      <c r="M1216" s="1">
        <v>65.0</v>
      </c>
      <c r="N1216" s="1" t="s">
        <v>1152</v>
      </c>
      <c r="O1216" s="3" t="s">
        <v>6263</v>
      </c>
      <c r="P1216" s="18">
        <v>45883.0</v>
      </c>
      <c r="Q1216" s="1"/>
      <c r="R1216" s="1"/>
      <c r="S1216" s="1"/>
      <c r="T1216" s="1" t="s">
        <v>1152</v>
      </c>
      <c r="U1216" s="1" t="s">
        <v>982</v>
      </c>
      <c r="V1216" s="4" t="s">
        <v>6263</v>
      </c>
      <c r="W1216" s="1"/>
      <c r="X1216" s="18">
        <v>45883.0</v>
      </c>
      <c r="Y1216" s="1"/>
      <c r="Z1216" s="1"/>
      <c r="AA1216" s="1"/>
      <c r="AB1216" s="1"/>
      <c r="AC1216" s="1" t="s">
        <v>1925</v>
      </c>
      <c r="AD1216" s="1"/>
      <c r="AE1216" s="1" t="s">
        <v>1152</v>
      </c>
      <c r="AF1216" s="1"/>
      <c r="AG1216" s="1"/>
      <c r="AH1216" s="1" t="s">
        <v>1152</v>
      </c>
      <c r="AI1216" s="1"/>
      <c r="AJ1216" s="1" t="s">
        <v>6262</v>
      </c>
      <c r="AK1216" s="1" t="s">
        <v>1152</v>
      </c>
      <c r="AL1216" s="6" t="str">
        <f t="array" ref="AL1216">IFERROR(IFS(XLOOKUP(B1216, 'Kit Delivery Status'!$U:$U, 'Kit Delivery Status'!$K:$K) = "Complete", "DELIVERED", XLOOKUP(B1216, 'Kit Delivery Status'!$U:$U, 'Kit Delivery Status'!$K:$K) = "Issue", "ISSUE"), "")</f>
        <v/>
      </c>
      <c r="AM1216" s="6"/>
    </row>
    <row r="1217">
      <c r="A1217" s="5" t="s">
        <v>6264</v>
      </c>
      <c r="B1217" s="1" t="s">
        <v>6265</v>
      </c>
      <c r="C1217" s="1" t="s">
        <v>4674</v>
      </c>
      <c r="D1217" s="2">
        <v>6.504228482E9</v>
      </c>
      <c r="E1217" s="1" t="s">
        <v>4675</v>
      </c>
      <c r="F1217" s="1"/>
      <c r="G1217" s="1" t="s">
        <v>2998</v>
      </c>
      <c r="H1217" s="1" t="s">
        <v>2999</v>
      </c>
      <c r="I1217" s="1">
        <v>55405.0</v>
      </c>
      <c r="J1217" s="1" t="s">
        <v>752</v>
      </c>
      <c r="K1217" s="1" t="s">
        <v>66</v>
      </c>
      <c r="L1217" s="1" t="s">
        <v>5811</v>
      </c>
      <c r="M1217" s="1">
        <v>145.0</v>
      </c>
      <c r="N1217" s="1" t="s">
        <v>1152</v>
      </c>
      <c r="O1217" s="3" t="s">
        <v>4288</v>
      </c>
      <c r="P1217" s="18">
        <v>45883.0</v>
      </c>
      <c r="Q1217" s="1"/>
      <c r="R1217" s="1"/>
      <c r="S1217" s="1"/>
      <c r="T1217" s="1" t="s">
        <v>1152</v>
      </c>
      <c r="U1217" s="1" t="s">
        <v>1343</v>
      </c>
      <c r="V1217" s="4" t="s">
        <v>4288</v>
      </c>
      <c r="W1217" s="1"/>
      <c r="X1217" s="18">
        <v>45883.0</v>
      </c>
      <c r="Y1217" s="1"/>
      <c r="Z1217" s="1"/>
      <c r="AA1217" s="1"/>
      <c r="AB1217" s="1"/>
      <c r="AC1217" s="1" t="s">
        <v>1925</v>
      </c>
      <c r="AD1217" s="1"/>
      <c r="AE1217" s="1" t="s">
        <v>1152</v>
      </c>
      <c r="AF1217" s="1"/>
      <c r="AG1217" s="1"/>
      <c r="AH1217" s="1" t="s">
        <v>1152</v>
      </c>
      <c r="AI1217" s="1"/>
      <c r="AJ1217" s="1" t="s">
        <v>6266</v>
      </c>
      <c r="AK1217" s="1" t="s">
        <v>1152</v>
      </c>
      <c r="AL1217" s="6" t="str">
        <f t="array" ref="AL1217">IFERROR(IFS(XLOOKUP(B1217, 'Kit Delivery Status'!$U:$U, 'Kit Delivery Status'!$K:$K) = "Complete", "DELIVERED", XLOOKUP(B1217, 'Kit Delivery Status'!$U:$U, 'Kit Delivery Status'!$K:$K) = "Issue", "ISSUE"), "")</f>
        <v/>
      </c>
      <c r="AM1217" s="6"/>
    </row>
    <row r="1218">
      <c r="A1218" s="5" t="s">
        <v>6267</v>
      </c>
      <c r="B1218" s="1" t="s">
        <v>6268</v>
      </c>
      <c r="C1218" s="1"/>
      <c r="D1218" s="2">
        <v>4.084442452E9</v>
      </c>
      <c r="E1218" s="1" t="s">
        <v>6269</v>
      </c>
      <c r="F1218" s="1"/>
      <c r="G1218" s="1" t="s">
        <v>2079</v>
      </c>
      <c r="H1218" s="1" t="s">
        <v>989</v>
      </c>
      <c r="I1218" s="1">
        <v>95014.0</v>
      </c>
      <c r="J1218" s="1" t="s">
        <v>752</v>
      </c>
      <c r="K1218" s="1" t="s">
        <v>66</v>
      </c>
      <c r="L1218" s="1" t="s">
        <v>5833</v>
      </c>
      <c r="M1218" s="1">
        <v>65.0</v>
      </c>
      <c r="N1218" s="1" t="s">
        <v>1152</v>
      </c>
      <c r="O1218" s="3" t="s">
        <v>6270</v>
      </c>
      <c r="P1218" s="18">
        <v>45883.0</v>
      </c>
      <c r="Q1218" s="1"/>
      <c r="R1218" s="1"/>
      <c r="S1218" s="1"/>
      <c r="T1218" s="1" t="s">
        <v>1152</v>
      </c>
      <c r="U1218" s="1" t="s">
        <v>1080</v>
      </c>
      <c r="V1218" s="4" t="s">
        <v>6270</v>
      </c>
      <c r="W1218" s="1"/>
      <c r="X1218" s="18">
        <v>45883.0</v>
      </c>
      <c r="Y1218" s="1"/>
      <c r="Z1218" s="1"/>
      <c r="AA1218" s="1"/>
      <c r="AB1218" s="1"/>
      <c r="AC1218" s="1" t="s">
        <v>1925</v>
      </c>
      <c r="AD1218" s="1"/>
      <c r="AE1218" s="1" t="s">
        <v>1152</v>
      </c>
      <c r="AF1218" s="1"/>
      <c r="AG1218" s="1"/>
      <c r="AH1218" s="1" t="s">
        <v>1152</v>
      </c>
      <c r="AI1218" s="1"/>
      <c r="AJ1218" s="1" t="s">
        <v>6271</v>
      </c>
      <c r="AK1218" s="1" t="s">
        <v>1152</v>
      </c>
      <c r="AL1218" s="6" t="str">
        <f t="array" ref="AL1218">IFERROR(IFS(XLOOKUP(B1218, 'Kit Delivery Status'!$U:$U, 'Kit Delivery Status'!$K:$K) = "Complete", "DELIVERED", XLOOKUP(B1218, 'Kit Delivery Status'!$U:$U, 'Kit Delivery Status'!$K:$K) = "Issue", "ISSUE"), "")</f>
        <v/>
      </c>
      <c r="AM1218" s="6"/>
    </row>
    <row r="1219">
      <c r="A1219" s="5" t="s">
        <v>6272</v>
      </c>
      <c r="B1219" s="1" t="s">
        <v>6273</v>
      </c>
      <c r="C1219" s="1"/>
      <c r="D1219" s="2">
        <v>4.805443982E9</v>
      </c>
      <c r="E1219" s="1" t="s">
        <v>6274</v>
      </c>
      <c r="F1219" s="1"/>
      <c r="G1219" s="1" t="s">
        <v>6275</v>
      </c>
      <c r="H1219" s="1" t="s">
        <v>6276</v>
      </c>
      <c r="I1219" s="1">
        <v>99835.0</v>
      </c>
      <c r="J1219" s="1" t="s">
        <v>752</v>
      </c>
      <c r="K1219" s="1" t="s">
        <v>66</v>
      </c>
      <c r="L1219" s="1" t="s">
        <v>5811</v>
      </c>
      <c r="M1219" s="1">
        <v>145.0</v>
      </c>
      <c r="N1219" s="1" t="s">
        <v>1152</v>
      </c>
      <c r="O1219" s="3" t="s">
        <v>6277</v>
      </c>
      <c r="P1219" s="18">
        <v>45888.0</v>
      </c>
      <c r="Q1219" s="1"/>
      <c r="R1219" s="1"/>
      <c r="S1219" s="1"/>
      <c r="T1219" s="1" t="s">
        <v>1152</v>
      </c>
      <c r="U1219" s="1" t="s">
        <v>1441</v>
      </c>
      <c r="V1219" s="4" t="s">
        <v>6277</v>
      </c>
      <c r="W1219" s="1"/>
      <c r="X1219" s="18">
        <v>45888.0</v>
      </c>
      <c r="Y1219" s="1"/>
      <c r="Z1219" s="1"/>
      <c r="AA1219" s="1"/>
      <c r="AB1219" s="1"/>
      <c r="AC1219" s="1" t="s">
        <v>1925</v>
      </c>
      <c r="AD1219" s="1"/>
      <c r="AE1219" s="1" t="s">
        <v>1152</v>
      </c>
      <c r="AF1219" s="1"/>
      <c r="AG1219" s="1"/>
      <c r="AH1219" s="1" t="s">
        <v>1152</v>
      </c>
      <c r="AI1219" s="1"/>
      <c r="AJ1219" s="1" t="s">
        <v>6274</v>
      </c>
      <c r="AK1219" s="1" t="s">
        <v>1152</v>
      </c>
      <c r="AL1219" s="6" t="str">
        <f t="array" ref="AL1219">IFERROR(IFS(XLOOKUP(B1219, 'Kit Delivery Status'!$U:$U, 'Kit Delivery Status'!$K:$K) = "Complete", "DELIVERED", XLOOKUP(B1219, 'Kit Delivery Status'!$U:$U, 'Kit Delivery Status'!$K:$K) = "Issue", "ISSUE"), "")</f>
        <v/>
      </c>
      <c r="AM1219" s="6"/>
    </row>
    <row r="1220">
      <c r="A1220" s="5" t="s">
        <v>6278</v>
      </c>
      <c r="B1220" s="1" t="s">
        <v>6279</v>
      </c>
      <c r="C1220" s="1" t="s">
        <v>6280</v>
      </c>
      <c r="D1220" s="2">
        <v>4.086232514E9</v>
      </c>
      <c r="E1220" s="1" t="s">
        <v>6281</v>
      </c>
      <c r="F1220" s="1"/>
      <c r="G1220" s="1" t="s">
        <v>6282</v>
      </c>
      <c r="H1220" s="1" t="s">
        <v>989</v>
      </c>
      <c r="I1220" s="1">
        <v>95124.0</v>
      </c>
      <c r="J1220" s="1" t="s">
        <v>752</v>
      </c>
      <c r="K1220" s="1" t="s">
        <v>66</v>
      </c>
      <c r="L1220" s="1" t="s">
        <v>5767</v>
      </c>
      <c r="M1220" s="1">
        <v>210.0</v>
      </c>
      <c r="N1220" s="1" t="s">
        <v>1152</v>
      </c>
      <c r="O1220" s="3" t="s">
        <v>6283</v>
      </c>
      <c r="P1220" s="18">
        <v>45883.0</v>
      </c>
      <c r="Q1220" s="1"/>
      <c r="R1220" s="1"/>
      <c r="S1220" s="1"/>
      <c r="T1220" s="1" t="s">
        <v>1152</v>
      </c>
      <c r="U1220" s="1" t="s">
        <v>1039</v>
      </c>
      <c r="V1220" s="4" t="s">
        <v>6283</v>
      </c>
      <c r="W1220" s="1"/>
      <c r="X1220" s="18">
        <v>45883.0</v>
      </c>
      <c r="Y1220" s="1"/>
      <c r="Z1220" s="1"/>
      <c r="AA1220" s="1"/>
      <c r="AB1220" s="1"/>
      <c r="AC1220" s="1" t="s">
        <v>1925</v>
      </c>
      <c r="AD1220" s="1"/>
      <c r="AE1220" s="1" t="s">
        <v>1152</v>
      </c>
      <c r="AF1220" s="1"/>
      <c r="AG1220" s="1"/>
      <c r="AH1220" s="1" t="s">
        <v>1152</v>
      </c>
      <c r="AI1220" s="1"/>
      <c r="AJ1220" s="1" t="s">
        <v>6281</v>
      </c>
      <c r="AK1220" s="1" t="s">
        <v>1152</v>
      </c>
      <c r="AL1220" s="6" t="str">
        <f t="array" ref="AL1220">IFERROR(IFS(XLOOKUP(B1220, 'Kit Delivery Status'!$U:$U, 'Kit Delivery Status'!$K:$K) = "Complete", "DELIVERED", XLOOKUP(B1220, 'Kit Delivery Status'!$U:$U, 'Kit Delivery Status'!$K:$K) = "Issue", "ISSUE"), "")</f>
        <v/>
      </c>
      <c r="AM1220" s="6"/>
    </row>
    <row r="1221">
      <c r="A1221" s="5" t="s">
        <v>6284</v>
      </c>
      <c r="B1221" s="1" t="s">
        <v>6285</v>
      </c>
      <c r="C1221" s="1" t="s">
        <v>6286</v>
      </c>
      <c r="D1221" s="2">
        <v>4.156910977E9</v>
      </c>
      <c r="E1221" s="1" t="s">
        <v>6287</v>
      </c>
      <c r="F1221" s="1"/>
      <c r="G1221" s="1" t="s">
        <v>2109</v>
      </c>
      <c r="H1221" s="1" t="s">
        <v>1208</v>
      </c>
      <c r="I1221" s="1">
        <v>33137.0</v>
      </c>
      <c r="J1221" s="1" t="s">
        <v>752</v>
      </c>
      <c r="K1221" s="1" t="s">
        <v>66</v>
      </c>
      <c r="L1221" s="1" t="s">
        <v>5767</v>
      </c>
      <c r="M1221" s="1">
        <v>210.0</v>
      </c>
      <c r="N1221" s="1" t="s">
        <v>1152</v>
      </c>
      <c r="O1221" s="3" t="s">
        <v>6288</v>
      </c>
      <c r="P1221" s="18">
        <v>45883.0</v>
      </c>
      <c r="Q1221" s="1"/>
      <c r="R1221" s="1"/>
      <c r="S1221" s="1"/>
      <c r="T1221" s="1" t="s">
        <v>1152</v>
      </c>
      <c r="U1221" s="1" t="s">
        <v>1080</v>
      </c>
      <c r="V1221" s="4" t="s">
        <v>6288</v>
      </c>
      <c r="W1221" s="1"/>
      <c r="X1221" s="18">
        <v>45883.0</v>
      </c>
      <c r="Y1221" s="1"/>
      <c r="Z1221" s="1"/>
      <c r="AA1221" s="1"/>
      <c r="AB1221" s="1"/>
      <c r="AC1221" s="1" t="s">
        <v>1925</v>
      </c>
      <c r="AD1221" s="1"/>
      <c r="AE1221" s="1" t="s">
        <v>1152</v>
      </c>
      <c r="AF1221" s="1"/>
      <c r="AG1221" s="1"/>
      <c r="AH1221" s="1" t="s">
        <v>1152</v>
      </c>
      <c r="AI1221" s="1"/>
      <c r="AJ1221" s="1" t="s">
        <v>6287</v>
      </c>
      <c r="AK1221" s="1" t="s">
        <v>1152</v>
      </c>
      <c r="AL1221" s="6" t="str">
        <f t="array" ref="AL1221">IFERROR(IFS(XLOOKUP(B1221, 'Kit Delivery Status'!$U:$U, 'Kit Delivery Status'!$K:$K) = "Complete", "DELIVERED", XLOOKUP(B1221, 'Kit Delivery Status'!$U:$U, 'Kit Delivery Status'!$K:$K) = "Issue", "ISSUE"), "")</f>
        <v/>
      </c>
      <c r="AM1221" s="6"/>
    </row>
    <row r="1222">
      <c r="A1222" s="5" t="s">
        <v>6289</v>
      </c>
      <c r="B1222" s="1" t="s">
        <v>6290</v>
      </c>
      <c r="C1222" s="1"/>
      <c r="D1222" s="2">
        <v>9.544834617E9</v>
      </c>
      <c r="E1222" s="1" t="s">
        <v>6291</v>
      </c>
      <c r="F1222" s="1"/>
      <c r="G1222" s="1" t="s">
        <v>6292</v>
      </c>
      <c r="H1222" s="1" t="s">
        <v>1208</v>
      </c>
      <c r="I1222" s="1">
        <v>33026.0</v>
      </c>
      <c r="J1222" s="1" t="s">
        <v>752</v>
      </c>
      <c r="K1222" s="1" t="s">
        <v>66</v>
      </c>
      <c r="L1222" s="1" t="s">
        <v>5833</v>
      </c>
      <c r="M1222" s="1">
        <v>65.0</v>
      </c>
      <c r="N1222" s="1" t="s">
        <v>1152</v>
      </c>
      <c r="O1222" s="3" t="s">
        <v>4288</v>
      </c>
      <c r="P1222" s="18">
        <v>45883.0</v>
      </c>
      <c r="Q1222" s="1"/>
      <c r="R1222" s="1"/>
      <c r="S1222" s="1"/>
      <c r="T1222" s="1" t="s">
        <v>1152</v>
      </c>
      <c r="U1222" s="1" t="s">
        <v>1343</v>
      </c>
      <c r="V1222" s="4" t="s">
        <v>4288</v>
      </c>
      <c r="W1222" s="1"/>
      <c r="X1222" s="18">
        <v>45883.0</v>
      </c>
      <c r="Y1222" s="1"/>
      <c r="Z1222" s="1"/>
      <c r="AA1222" s="1"/>
      <c r="AB1222" s="1"/>
      <c r="AC1222" s="1" t="s">
        <v>1925</v>
      </c>
      <c r="AD1222" s="1"/>
      <c r="AE1222" s="1" t="s">
        <v>1152</v>
      </c>
      <c r="AF1222" s="1"/>
      <c r="AG1222" s="1"/>
      <c r="AH1222" s="1" t="s">
        <v>1152</v>
      </c>
      <c r="AI1222" s="1"/>
      <c r="AJ1222" s="1" t="s">
        <v>6293</v>
      </c>
      <c r="AK1222" s="1" t="s">
        <v>1152</v>
      </c>
      <c r="AL1222" s="6" t="str">
        <f t="array" ref="AL1222">IFERROR(IFS(XLOOKUP(B1222, 'Kit Delivery Status'!$U:$U, 'Kit Delivery Status'!$K:$K) = "Complete", "DELIVERED", XLOOKUP(B1222, 'Kit Delivery Status'!$U:$U, 'Kit Delivery Status'!$K:$K) = "Issue", "ISSUE"), "")</f>
        <v/>
      </c>
      <c r="AM1222" s="6"/>
    </row>
    <row r="1223">
      <c r="A1223" s="5" t="s">
        <v>6294</v>
      </c>
      <c r="B1223" s="1" t="s">
        <v>6295</v>
      </c>
      <c r="C1223" s="1" t="s">
        <v>5574</v>
      </c>
      <c r="D1223" s="2">
        <v>2.032909963E9</v>
      </c>
      <c r="E1223" s="1" t="s">
        <v>5575</v>
      </c>
      <c r="F1223" s="1"/>
      <c r="G1223" s="1" t="s">
        <v>5576</v>
      </c>
      <c r="H1223" s="1" t="s">
        <v>1078</v>
      </c>
      <c r="I1223" s="1">
        <v>6902.0</v>
      </c>
      <c r="J1223" s="1" t="s">
        <v>752</v>
      </c>
      <c r="K1223" s="1" t="s">
        <v>51</v>
      </c>
      <c r="L1223" s="1" t="s">
        <v>5722</v>
      </c>
      <c r="M1223" s="1">
        <v>1.0</v>
      </c>
      <c r="N1223" s="1" t="s">
        <v>2461</v>
      </c>
      <c r="O1223" s="3" t="s">
        <v>133</v>
      </c>
      <c r="P1223" s="18">
        <v>45888.0</v>
      </c>
      <c r="Q1223" s="1" t="s">
        <v>1030</v>
      </c>
      <c r="R1223" s="1"/>
      <c r="S1223" s="1" t="s">
        <v>52</v>
      </c>
      <c r="T1223" s="1" t="s">
        <v>2461</v>
      </c>
      <c r="U1223" s="1" t="s">
        <v>1343</v>
      </c>
      <c r="V1223" s="4" t="s">
        <v>133</v>
      </c>
      <c r="W1223" s="1"/>
      <c r="X1223" s="18">
        <v>45888.0</v>
      </c>
      <c r="Y1223" s="1" t="s">
        <v>1030</v>
      </c>
      <c r="Z1223" s="1"/>
      <c r="AA1223" s="1"/>
      <c r="AB1223" s="1" t="s">
        <v>52</v>
      </c>
      <c r="AC1223" s="1" t="s">
        <v>1925</v>
      </c>
      <c r="AD1223" s="1"/>
      <c r="AE1223" s="1" t="s">
        <v>1152</v>
      </c>
      <c r="AF1223" s="1"/>
      <c r="AG1223" s="1"/>
      <c r="AH1223" s="1" t="s">
        <v>1152</v>
      </c>
      <c r="AI1223" s="1"/>
      <c r="AJ1223" s="1" t="s">
        <v>5575</v>
      </c>
      <c r="AK1223" s="1" t="s">
        <v>1152</v>
      </c>
      <c r="AL1223" s="6" t="str">
        <f t="array" ref="AL1223">IFERROR(IFS(XLOOKUP(B1223, 'Kit Delivery Status'!$U:$U, 'Kit Delivery Status'!$K:$K) = "Complete", "DELIVERED", XLOOKUP(B1223, 'Kit Delivery Status'!$U:$U, 'Kit Delivery Status'!$K:$K) = "Issue", "ISSUE"), "")</f>
        <v/>
      </c>
      <c r="AM1223" s="6"/>
    </row>
    <row r="1224">
      <c r="A1224" s="5" t="s">
        <v>6296</v>
      </c>
      <c r="B1224" s="1" t="s">
        <v>6297</v>
      </c>
      <c r="C1224" s="1" t="s">
        <v>6298</v>
      </c>
      <c r="D1224" s="2">
        <v>6.57239748E9</v>
      </c>
      <c r="E1224" s="1" t="s">
        <v>6299</v>
      </c>
      <c r="F1224" s="1"/>
      <c r="G1224" s="1" t="s">
        <v>6300</v>
      </c>
      <c r="H1224" s="1" t="s">
        <v>989</v>
      </c>
      <c r="I1224" s="1">
        <v>90680.0</v>
      </c>
      <c r="J1224" s="1" t="s">
        <v>752</v>
      </c>
      <c r="K1224" s="1" t="s">
        <v>66</v>
      </c>
      <c r="L1224" s="1" t="s">
        <v>5811</v>
      </c>
      <c r="M1224" s="1">
        <v>145.0</v>
      </c>
      <c r="N1224" s="1" t="s">
        <v>1152</v>
      </c>
      <c r="O1224" s="3" t="s">
        <v>6301</v>
      </c>
      <c r="P1224" s="18">
        <v>45883.0</v>
      </c>
      <c r="Q1224" s="1"/>
      <c r="R1224" s="1"/>
      <c r="S1224" s="1"/>
      <c r="T1224" s="1" t="s">
        <v>1152</v>
      </c>
      <c r="U1224" s="1" t="s">
        <v>1710</v>
      </c>
      <c r="V1224" s="4" t="s">
        <v>6301</v>
      </c>
      <c r="W1224" s="1"/>
      <c r="X1224" s="18">
        <v>45883.0</v>
      </c>
      <c r="Y1224" s="1"/>
      <c r="Z1224" s="1"/>
      <c r="AA1224" s="1"/>
      <c r="AB1224" s="1"/>
      <c r="AC1224" s="1" t="s">
        <v>1925</v>
      </c>
      <c r="AD1224" s="1"/>
      <c r="AE1224" s="1" t="s">
        <v>1152</v>
      </c>
      <c r="AF1224" s="1"/>
      <c r="AG1224" s="1"/>
      <c r="AH1224" s="1" t="s">
        <v>1152</v>
      </c>
      <c r="AI1224" s="1"/>
      <c r="AJ1224" s="1" t="s">
        <v>6299</v>
      </c>
      <c r="AK1224" s="1" t="s">
        <v>1152</v>
      </c>
      <c r="AL1224" s="6" t="str">
        <f t="array" ref="AL1224">IFERROR(IFS(XLOOKUP(B1224, 'Kit Delivery Status'!$U:$U, 'Kit Delivery Status'!$K:$K) = "Complete", "DELIVERED", XLOOKUP(B1224, 'Kit Delivery Status'!$U:$U, 'Kit Delivery Status'!$K:$K) = "Issue", "ISSUE"), "")</f>
        <v/>
      </c>
      <c r="AM1224" s="6"/>
    </row>
    <row r="1225">
      <c r="A1225" s="5" t="s">
        <v>6302</v>
      </c>
      <c r="B1225" s="1" t="s">
        <v>6303</v>
      </c>
      <c r="C1225" s="1"/>
      <c r="D1225" s="2">
        <v>2.484629662E9</v>
      </c>
      <c r="E1225" s="1" t="s">
        <v>6304</v>
      </c>
      <c r="F1225" s="1"/>
      <c r="G1225" s="1" t="s">
        <v>6305</v>
      </c>
      <c r="H1225" s="1" t="s">
        <v>1438</v>
      </c>
      <c r="I1225" s="1">
        <v>28277.0</v>
      </c>
      <c r="J1225" s="1" t="s">
        <v>752</v>
      </c>
      <c r="K1225" s="1" t="s">
        <v>66</v>
      </c>
      <c r="L1225" s="1" t="s">
        <v>5833</v>
      </c>
      <c r="M1225" s="1">
        <v>65.0</v>
      </c>
      <c r="N1225" s="1" t="s">
        <v>1152</v>
      </c>
      <c r="O1225" s="3" t="s">
        <v>6306</v>
      </c>
      <c r="P1225" s="18">
        <v>45883.0</v>
      </c>
      <c r="Q1225" s="1"/>
      <c r="R1225" s="1"/>
      <c r="S1225" s="1"/>
      <c r="T1225" s="1" t="s">
        <v>1152</v>
      </c>
      <c r="U1225" s="1" t="s">
        <v>1080</v>
      </c>
      <c r="V1225" s="4" t="s">
        <v>6306</v>
      </c>
      <c r="W1225" s="1"/>
      <c r="X1225" s="18">
        <v>45883.0</v>
      </c>
      <c r="Y1225" s="1"/>
      <c r="Z1225" s="1"/>
      <c r="AA1225" s="1"/>
      <c r="AB1225" s="1"/>
      <c r="AC1225" s="1" t="s">
        <v>1925</v>
      </c>
      <c r="AD1225" s="1"/>
      <c r="AE1225" s="1" t="s">
        <v>1152</v>
      </c>
      <c r="AF1225" s="1"/>
      <c r="AG1225" s="1"/>
      <c r="AH1225" s="1" t="s">
        <v>1152</v>
      </c>
      <c r="AI1225" s="1"/>
      <c r="AJ1225" s="1" t="s">
        <v>6307</v>
      </c>
      <c r="AK1225" s="1" t="s">
        <v>1152</v>
      </c>
      <c r="AL1225" s="6" t="str">
        <f t="array" ref="AL1225">IFERROR(IFS(XLOOKUP(B1225, 'Kit Delivery Status'!$U:$U, 'Kit Delivery Status'!$K:$K) = "Complete", "DELIVERED", XLOOKUP(B1225, 'Kit Delivery Status'!$U:$U, 'Kit Delivery Status'!$K:$K) = "Issue", "ISSUE"), "")</f>
        <v/>
      </c>
      <c r="AM1225" s="6"/>
    </row>
    <row r="1226">
      <c r="A1226" s="5" t="s">
        <v>6308</v>
      </c>
      <c r="B1226" s="1" t="s">
        <v>6309</v>
      </c>
      <c r="C1226" s="1" t="s">
        <v>6310</v>
      </c>
      <c r="D1226" s="2">
        <v>6.268315472E9</v>
      </c>
      <c r="E1226" s="1" t="s">
        <v>6311</v>
      </c>
      <c r="F1226" s="1"/>
      <c r="G1226" s="1" t="s">
        <v>3119</v>
      </c>
      <c r="H1226" s="1" t="s">
        <v>989</v>
      </c>
      <c r="I1226" s="1">
        <v>91106.0</v>
      </c>
      <c r="J1226" s="1" t="s">
        <v>752</v>
      </c>
      <c r="K1226" s="1" t="s">
        <v>66</v>
      </c>
      <c r="L1226" s="1" t="s">
        <v>5767</v>
      </c>
      <c r="M1226" s="1">
        <v>210.0</v>
      </c>
      <c r="N1226" s="1" t="s">
        <v>1152</v>
      </c>
      <c r="O1226" s="3" t="s">
        <v>4125</v>
      </c>
      <c r="P1226" s="18">
        <v>45883.0</v>
      </c>
      <c r="Q1226" s="1"/>
      <c r="R1226" s="1"/>
      <c r="S1226" s="1"/>
      <c r="T1226" s="1" t="s">
        <v>1152</v>
      </c>
      <c r="U1226" s="1" t="s">
        <v>1167</v>
      </c>
      <c r="V1226" s="4" t="s">
        <v>4125</v>
      </c>
      <c r="W1226" s="1"/>
      <c r="X1226" s="18">
        <v>45883.0</v>
      </c>
      <c r="Y1226" s="1"/>
      <c r="Z1226" s="1"/>
      <c r="AA1226" s="1"/>
      <c r="AB1226" s="1"/>
      <c r="AC1226" s="1" t="s">
        <v>1925</v>
      </c>
      <c r="AD1226" s="1"/>
      <c r="AE1226" s="1" t="s">
        <v>1152</v>
      </c>
      <c r="AF1226" s="1"/>
      <c r="AG1226" s="1"/>
      <c r="AH1226" s="1" t="s">
        <v>1152</v>
      </c>
      <c r="AI1226" s="1"/>
      <c r="AJ1226" s="1" t="s">
        <v>4124</v>
      </c>
      <c r="AK1226" s="1" t="s">
        <v>1152</v>
      </c>
      <c r="AL1226" s="6" t="str">
        <f t="array" ref="AL1226">IFERROR(IFS(XLOOKUP(B1226, 'Kit Delivery Status'!$U:$U, 'Kit Delivery Status'!$K:$K) = "Complete", "DELIVERED", XLOOKUP(B1226, 'Kit Delivery Status'!$U:$U, 'Kit Delivery Status'!$K:$K) = "Issue", "ISSUE"), "")</f>
        <v/>
      </c>
      <c r="AM1226" s="6"/>
    </row>
    <row r="1227">
      <c r="A1227" s="5" t="s">
        <v>6312</v>
      </c>
      <c r="B1227" s="1" t="s">
        <v>6313</v>
      </c>
      <c r="C1227" s="1"/>
      <c r="D1227" s="2">
        <v>6.262721672E9</v>
      </c>
      <c r="E1227" s="1" t="s">
        <v>6314</v>
      </c>
      <c r="F1227" s="1"/>
      <c r="G1227" s="1" t="s">
        <v>6315</v>
      </c>
      <c r="H1227" s="1" t="s">
        <v>989</v>
      </c>
      <c r="I1227" s="1">
        <v>91108.0</v>
      </c>
      <c r="J1227" s="1" t="s">
        <v>752</v>
      </c>
      <c r="K1227" s="1" t="s">
        <v>66</v>
      </c>
      <c r="L1227" s="1" t="s">
        <v>5811</v>
      </c>
      <c r="M1227" s="1">
        <v>145.0</v>
      </c>
      <c r="N1227" s="1" t="s">
        <v>1152</v>
      </c>
      <c r="O1227" s="3" t="s">
        <v>6316</v>
      </c>
      <c r="P1227" s="18">
        <v>45883.0</v>
      </c>
      <c r="Q1227" s="1"/>
      <c r="R1227" s="1"/>
      <c r="S1227" s="1"/>
      <c r="T1227" s="1" t="s">
        <v>1152</v>
      </c>
      <c r="U1227" s="1" t="s">
        <v>1148</v>
      </c>
      <c r="V1227" s="4" t="s">
        <v>6316</v>
      </c>
      <c r="W1227" s="1"/>
      <c r="X1227" s="18">
        <v>45883.0</v>
      </c>
      <c r="Y1227" s="1"/>
      <c r="Z1227" s="1"/>
      <c r="AA1227" s="1"/>
      <c r="AB1227" s="1"/>
      <c r="AC1227" s="1" t="s">
        <v>1925</v>
      </c>
      <c r="AD1227" s="1"/>
      <c r="AE1227" s="1" t="s">
        <v>1152</v>
      </c>
      <c r="AF1227" s="1"/>
      <c r="AG1227" s="1"/>
      <c r="AH1227" s="1" t="s">
        <v>1152</v>
      </c>
      <c r="AI1227" s="1"/>
      <c r="AJ1227" s="1" t="s">
        <v>6317</v>
      </c>
      <c r="AK1227" s="1" t="s">
        <v>1152</v>
      </c>
      <c r="AL1227" s="6" t="str">
        <f t="array" ref="AL1227">IFERROR(IFS(XLOOKUP(B1227, 'Kit Delivery Status'!$U:$U, 'Kit Delivery Status'!$K:$K) = "Complete", "DELIVERED", XLOOKUP(B1227, 'Kit Delivery Status'!$U:$U, 'Kit Delivery Status'!$K:$K) = "Issue", "ISSUE"), "")</f>
        <v/>
      </c>
      <c r="AM1227" s="6"/>
    </row>
    <row r="1228">
      <c r="A1228" s="5" t="s">
        <v>6318</v>
      </c>
      <c r="B1228" s="1" t="s">
        <v>6319</v>
      </c>
      <c r="C1228" s="1"/>
      <c r="D1228" s="2">
        <v>2.252277906E9</v>
      </c>
      <c r="E1228" s="1" t="s">
        <v>6320</v>
      </c>
      <c r="F1228" s="1"/>
      <c r="G1228" s="1" t="s">
        <v>6321</v>
      </c>
      <c r="H1228" s="1" t="s">
        <v>6248</v>
      </c>
      <c r="I1228" s="1">
        <v>70817.0</v>
      </c>
      <c r="J1228" s="1" t="s">
        <v>752</v>
      </c>
      <c r="K1228" s="1" t="s">
        <v>66</v>
      </c>
      <c r="L1228" s="1" t="s">
        <v>5767</v>
      </c>
      <c r="M1228" s="1">
        <v>210.0</v>
      </c>
      <c r="N1228" s="1" t="s">
        <v>1152</v>
      </c>
      <c r="O1228" s="3" t="s">
        <v>6322</v>
      </c>
      <c r="P1228" s="18">
        <v>45883.0</v>
      </c>
      <c r="Q1228" s="1"/>
      <c r="R1228" s="1"/>
      <c r="S1228" s="1"/>
      <c r="T1228" s="1" t="s">
        <v>1152</v>
      </c>
      <c r="U1228" s="1" t="s">
        <v>1039</v>
      </c>
      <c r="V1228" s="4" t="s">
        <v>6322</v>
      </c>
      <c r="W1228" s="1"/>
      <c r="X1228" s="18">
        <v>45883.0</v>
      </c>
      <c r="Y1228" s="1"/>
      <c r="Z1228" s="1"/>
      <c r="AA1228" s="1"/>
      <c r="AB1228" s="1"/>
      <c r="AC1228" s="1" t="s">
        <v>1925</v>
      </c>
      <c r="AD1228" s="1"/>
      <c r="AE1228" s="1" t="s">
        <v>1152</v>
      </c>
      <c r="AF1228" s="1"/>
      <c r="AG1228" s="1"/>
      <c r="AH1228" s="1" t="s">
        <v>1152</v>
      </c>
      <c r="AI1228" s="1"/>
      <c r="AJ1228" s="1" t="s">
        <v>6320</v>
      </c>
      <c r="AK1228" s="1" t="s">
        <v>1152</v>
      </c>
      <c r="AL1228" s="6" t="str">
        <f t="array" ref="AL1228">IFERROR(IFS(XLOOKUP(B1228, 'Kit Delivery Status'!$U:$U, 'Kit Delivery Status'!$K:$K) = "Complete", "DELIVERED", XLOOKUP(B1228, 'Kit Delivery Status'!$U:$U, 'Kit Delivery Status'!$K:$K) = "Issue", "ISSUE"), "")</f>
        <v/>
      </c>
      <c r="AM1228" s="6"/>
    </row>
    <row r="1229">
      <c r="A1229" s="5" t="s">
        <v>6323</v>
      </c>
      <c r="B1229" s="1" t="s">
        <v>6324</v>
      </c>
      <c r="C1229" s="1"/>
      <c r="D1229" s="2">
        <v>2.022808249E9</v>
      </c>
      <c r="E1229" s="1" t="s">
        <v>6325</v>
      </c>
      <c r="F1229" s="1"/>
      <c r="G1229" s="1" t="s">
        <v>2367</v>
      </c>
      <c r="H1229" s="1" t="s">
        <v>1005</v>
      </c>
      <c r="I1229" s="1">
        <v>21042.0</v>
      </c>
      <c r="J1229" s="1" t="s">
        <v>752</v>
      </c>
      <c r="K1229" s="1" t="s">
        <v>66</v>
      </c>
      <c r="L1229" s="1" t="s">
        <v>5767</v>
      </c>
      <c r="M1229" s="1">
        <v>210.0</v>
      </c>
      <c r="N1229" s="1" t="s">
        <v>1152</v>
      </c>
      <c r="O1229" s="3" t="s">
        <v>6326</v>
      </c>
      <c r="P1229" s="18">
        <v>45883.0</v>
      </c>
      <c r="Q1229" s="1"/>
      <c r="R1229" s="1"/>
      <c r="S1229" s="1"/>
      <c r="T1229" s="1" t="s">
        <v>1152</v>
      </c>
      <c r="U1229" s="1" t="s">
        <v>1277</v>
      </c>
      <c r="V1229" s="4" t="s">
        <v>6326</v>
      </c>
      <c r="W1229" s="1"/>
      <c r="X1229" s="18">
        <v>45883.0</v>
      </c>
      <c r="Y1229" s="1"/>
      <c r="Z1229" s="1"/>
      <c r="AA1229" s="1"/>
      <c r="AB1229" s="1"/>
      <c r="AC1229" s="1" t="s">
        <v>1925</v>
      </c>
      <c r="AD1229" s="1"/>
      <c r="AE1229" s="1" t="s">
        <v>1152</v>
      </c>
      <c r="AF1229" s="1"/>
      <c r="AG1229" s="1"/>
      <c r="AH1229" s="1" t="s">
        <v>1152</v>
      </c>
      <c r="AI1229" s="1"/>
      <c r="AJ1229" s="1" t="s">
        <v>6325</v>
      </c>
      <c r="AK1229" s="1" t="s">
        <v>1152</v>
      </c>
      <c r="AL1229" s="6" t="str">
        <f t="array" ref="AL1229">IFERROR(IFS(XLOOKUP(B1229, 'Kit Delivery Status'!$U:$U, 'Kit Delivery Status'!$K:$K) = "Complete", "DELIVERED", XLOOKUP(B1229, 'Kit Delivery Status'!$U:$U, 'Kit Delivery Status'!$K:$K) = "Issue", "ISSUE"), "")</f>
        <v/>
      </c>
      <c r="AM1229" s="6"/>
    </row>
    <row r="1230">
      <c r="A1230" s="5" t="s">
        <v>6327</v>
      </c>
      <c r="B1230" s="1" t="s">
        <v>6328</v>
      </c>
      <c r="C1230" s="1" t="s">
        <v>6329</v>
      </c>
      <c r="D1230" s="2">
        <v>14042108393</v>
      </c>
      <c r="E1230" s="1" t="s">
        <v>6330</v>
      </c>
      <c r="F1230" s="1"/>
      <c r="G1230" s="1" t="s">
        <v>6331</v>
      </c>
      <c r="H1230" s="1" t="s">
        <v>1005</v>
      </c>
      <c r="I1230" s="1">
        <v>21032.0</v>
      </c>
      <c r="J1230" s="1" t="s">
        <v>752</v>
      </c>
      <c r="K1230" s="1" t="s">
        <v>66</v>
      </c>
      <c r="L1230" s="1" t="s">
        <v>5767</v>
      </c>
      <c r="M1230" s="1">
        <v>210.0</v>
      </c>
      <c r="N1230" s="1" t="s">
        <v>1152</v>
      </c>
      <c r="O1230" s="3" t="s">
        <v>6332</v>
      </c>
      <c r="P1230" s="18">
        <v>45883.0</v>
      </c>
      <c r="Q1230" s="1"/>
      <c r="R1230" s="1"/>
      <c r="S1230" s="1"/>
      <c r="T1230" s="1" t="s">
        <v>1152</v>
      </c>
      <c r="U1230" s="1" t="s">
        <v>1537</v>
      </c>
      <c r="V1230" s="4" t="s">
        <v>6332</v>
      </c>
      <c r="W1230" s="1"/>
      <c r="X1230" s="18">
        <v>45883.0</v>
      </c>
      <c r="Y1230" s="1"/>
      <c r="Z1230" s="1"/>
      <c r="AA1230" s="1"/>
      <c r="AB1230" s="1"/>
      <c r="AC1230" s="1" t="s">
        <v>1925</v>
      </c>
      <c r="AD1230" s="1"/>
      <c r="AE1230" s="1" t="s">
        <v>1152</v>
      </c>
      <c r="AF1230" s="1"/>
      <c r="AG1230" s="1"/>
      <c r="AH1230" s="1" t="s">
        <v>1152</v>
      </c>
      <c r="AI1230" s="1"/>
      <c r="AJ1230" s="1" t="s">
        <v>6333</v>
      </c>
      <c r="AK1230" s="1" t="s">
        <v>1152</v>
      </c>
      <c r="AL1230" s="6" t="str">
        <f t="array" ref="AL1230">IFERROR(IFS(XLOOKUP(B1230, 'Kit Delivery Status'!$U:$U, 'Kit Delivery Status'!$K:$K) = "Complete", "DELIVERED", XLOOKUP(B1230, 'Kit Delivery Status'!$U:$U, 'Kit Delivery Status'!$K:$K) = "Issue", "ISSUE"), "")</f>
        <v/>
      </c>
      <c r="AM1230" s="6"/>
    </row>
    <row r="1231">
      <c r="A1231" s="5" t="s">
        <v>6334</v>
      </c>
      <c r="B1231" s="1" t="s">
        <v>6335</v>
      </c>
      <c r="C1231" s="1" t="s">
        <v>2780</v>
      </c>
      <c r="D1231" s="2">
        <v>9.178415578E9</v>
      </c>
      <c r="E1231" s="1" t="s">
        <v>2781</v>
      </c>
      <c r="F1231" s="1"/>
      <c r="G1231" s="1" t="s">
        <v>751</v>
      </c>
      <c r="H1231" s="1" t="s">
        <v>751</v>
      </c>
      <c r="I1231" s="1">
        <v>10023.0</v>
      </c>
      <c r="J1231" s="1" t="s">
        <v>752</v>
      </c>
      <c r="K1231" s="1" t="s">
        <v>66</v>
      </c>
      <c r="L1231" s="1" t="s">
        <v>5811</v>
      </c>
      <c r="M1231" s="1">
        <v>145.0</v>
      </c>
      <c r="N1231" s="1" t="s">
        <v>1152</v>
      </c>
      <c r="O1231" s="3" t="s">
        <v>6336</v>
      </c>
      <c r="P1231" s="18">
        <v>45883.0</v>
      </c>
      <c r="Q1231" s="1"/>
      <c r="R1231" s="1"/>
      <c r="S1231" s="1"/>
      <c r="T1231" s="1" t="s">
        <v>1152</v>
      </c>
      <c r="U1231" s="1" t="s">
        <v>1812</v>
      </c>
      <c r="V1231" s="4" t="s">
        <v>6336</v>
      </c>
      <c r="W1231" s="1"/>
      <c r="X1231" s="18">
        <v>45883.0</v>
      </c>
      <c r="Y1231" s="1"/>
      <c r="Z1231" s="1"/>
      <c r="AA1231" s="1"/>
      <c r="AB1231" s="1"/>
      <c r="AC1231" s="1" t="s">
        <v>1925</v>
      </c>
      <c r="AD1231" s="1"/>
      <c r="AE1231" s="1" t="s">
        <v>1152</v>
      </c>
      <c r="AF1231" s="1"/>
      <c r="AG1231" s="1"/>
      <c r="AH1231" s="1" t="s">
        <v>1152</v>
      </c>
      <c r="AI1231" s="1"/>
      <c r="AJ1231" s="1" t="s">
        <v>6337</v>
      </c>
      <c r="AK1231" s="1" t="s">
        <v>1152</v>
      </c>
      <c r="AL1231" s="6" t="str">
        <f t="array" ref="AL1231">IFERROR(IFS(XLOOKUP(B1231, 'Kit Delivery Status'!$U:$U, 'Kit Delivery Status'!$K:$K) = "Complete", "DELIVERED", XLOOKUP(B1231, 'Kit Delivery Status'!$U:$U, 'Kit Delivery Status'!$K:$K) = "Issue", "ISSUE"), "")</f>
        <v/>
      </c>
      <c r="AM1231" s="6"/>
    </row>
    <row r="1232">
      <c r="A1232" s="5" t="s">
        <v>6338</v>
      </c>
      <c r="B1232" s="1" t="s">
        <v>6339</v>
      </c>
      <c r="C1232" s="1" t="s">
        <v>6340</v>
      </c>
      <c r="D1232" s="2">
        <v>4.703668375E9</v>
      </c>
      <c r="E1232" s="1" t="s">
        <v>6341</v>
      </c>
      <c r="F1232" s="1"/>
      <c r="G1232" s="1" t="s">
        <v>2179</v>
      </c>
      <c r="H1232" s="1" t="s">
        <v>946</v>
      </c>
      <c r="I1232" s="1">
        <v>30312.0</v>
      </c>
      <c r="J1232" s="1" t="s">
        <v>752</v>
      </c>
      <c r="K1232" s="1" t="s">
        <v>66</v>
      </c>
      <c r="L1232" s="1" t="s">
        <v>5767</v>
      </c>
      <c r="M1232" s="1">
        <v>210.0</v>
      </c>
      <c r="N1232" s="1" t="s">
        <v>1152</v>
      </c>
      <c r="O1232" s="3" t="s">
        <v>6342</v>
      </c>
      <c r="P1232" s="18">
        <v>45883.0</v>
      </c>
      <c r="Q1232" s="1"/>
      <c r="R1232" s="1"/>
      <c r="S1232" s="1"/>
      <c r="T1232" s="1" t="s">
        <v>1152</v>
      </c>
      <c r="U1232" s="1" t="s">
        <v>948</v>
      </c>
      <c r="V1232" s="4" t="s">
        <v>6342</v>
      </c>
      <c r="W1232" s="1"/>
      <c r="X1232" s="18">
        <v>45883.0</v>
      </c>
      <c r="Y1232" s="1"/>
      <c r="Z1232" s="1"/>
      <c r="AA1232" s="1"/>
      <c r="AB1232" s="1"/>
      <c r="AC1232" s="1" t="s">
        <v>1925</v>
      </c>
      <c r="AD1232" s="1"/>
      <c r="AE1232" s="1" t="s">
        <v>1152</v>
      </c>
      <c r="AF1232" s="1"/>
      <c r="AG1232" s="1"/>
      <c r="AH1232" s="1" t="s">
        <v>1152</v>
      </c>
      <c r="AI1232" s="1"/>
      <c r="AJ1232" s="1" t="s">
        <v>6341</v>
      </c>
      <c r="AK1232" s="1" t="s">
        <v>1152</v>
      </c>
      <c r="AL1232" s="6" t="str">
        <f t="array" ref="AL1232">IFERROR(IFS(XLOOKUP(B1232, 'Kit Delivery Status'!$U:$U, 'Kit Delivery Status'!$K:$K) = "Complete", "DELIVERED", XLOOKUP(B1232, 'Kit Delivery Status'!$U:$U, 'Kit Delivery Status'!$K:$K) = "Issue", "ISSUE"), "")</f>
        <v/>
      </c>
      <c r="AM1232" s="6"/>
    </row>
    <row r="1233">
      <c r="A1233" s="5" t="s">
        <v>6343</v>
      </c>
      <c r="B1233" s="1" t="s">
        <v>6344</v>
      </c>
      <c r="C1233" s="1" t="s">
        <v>6345</v>
      </c>
      <c r="D1233" s="2">
        <v>7.207532564E9</v>
      </c>
      <c r="E1233" s="1" t="s">
        <v>6346</v>
      </c>
      <c r="F1233" s="1"/>
      <c r="G1233" s="1" t="s">
        <v>2609</v>
      </c>
      <c r="H1233" s="1" t="s">
        <v>1891</v>
      </c>
      <c r="I1233" s="1">
        <v>80220.0</v>
      </c>
      <c r="J1233" s="1" t="s">
        <v>752</v>
      </c>
      <c r="K1233" s="1" t="s">
        <v>66</v>
      </c>
      <c r="L1233" s="1" t="s">
        <v>5811</v>
      </c>
      <c r="M1233" s="1">
        <v>145.0</v>
      </c>
      <c r="N1233" s="1" t="s">
        <v>1152</v>
      </c>
      <c r="O1233" s="3" t="s">
        <v>503</v>
      </c>
      <c r="P1233" s="18">
        <v>45882.0</v>
      </c>
      <c r="Q1233" s="1"/>
      <c r="R1233" s="1"/>
      <c r="S1233" s="1"/>
      <c r="T1233" s="1" t="s">
        <v>1152</v>
      </c>
      <c r="U1233" s="1" t="s">
        <v>1441</v>
      </c>
      <c r="V1233" s="4" t="s">
        <v>503</v>
      </c>
      <c r="W1233" s="1"/>
      <c r="X1233" s="18">
        <v>45882.0</v>
      </c>
      <c r="Y1233" s="1"/>
      <c r="Z1233" s="1"/>
      <c r="AA1233" s="1"/>
      <c r="AB1233" s="1"/>
      <c r="AC1233" s="1" t="s">
        <v>1925</v>
      </c>
      <c r="AD1233" s="1"/>
      <c r="AE1233" s="1" t="s">
        <v>1152</v>
      </c>
      <c r="AF1233" s="1"/>
      <c r="AG1233" s="1"/>
      <c r="AH1233" s="1" t="s">
        <v>1152</v>
      </c>
      <c r="AI1233" s="1"/>
      <c r="AJ1233" s="1" t="s">
        <v>6347</v>
      </c>
      <c r="AK1233" s="1" t="s">
        <v>1152</v>
      </c>
      <c r="AL1233" s="6" t="str">
        <f t="array" ref="AL1233">IFERROR(IFS(XLOOKUP(B1233, 'Kit Delivery Status'!$U:$U, 'Kit Delivery Status'!$K:$K) = "Complete", "DELIVERED", XLOOKUP(B1233, 'Kit Delivery Status'!$U:$U, 'Kit Delivery Status'!$K:$K) = "Issue", "ISSUE"), "")</f>
        <v/>
      </c>
      <c r="AM1233" s="6"/>
    </row>
    <row r="1234">
      <c r="A1234" s="5" t="s">
        <v>6348</v>
      </c>
      <c r="B1234" s="1" t="s">
        <v>6349</v>
      </c>
      <c r="C1234" s="1" t="s">
        <v>6350</v>
      </c>
      <c r="D1234" s="2" t="str">
        <v>#ERROR!</v>
      </c>
      <c r="E1234" s="1" t="s">
        <v>6351</v>
      </c>
      <c r="F1234" s="1"/>
      <c r="G1234" s="1" t="s">
        <v>6352</v>
      </c>
      <c r="H1234" s="1" t="s">
        <v>1208</v>
      </c>
      <c r="I1234" s="1">
        <v>33325.0</v>
      </c>
      <c r="J1234" s="1" t="s">
        <v>752</v>
      </c>
      <c r="K1234" s="1" t="s">
        <v>51</v>
      </c>
      <c r="L1234" s="1" t="s">
        <v>5722</v>
      </c>
      <c r="M1234" s="1">
        <v>1.0</v>
      </c>
      <c r="N1234" s="1" t="s">
        <v>2461</v>
      </c>
      <c r="O1234" s="3" t="s">
        <v>6353</v>
      </c>
      <c r="P1234" s="18">
        <v>45887.0</v>
      </c>
      <c r="Q1234" s="1" t="s">
        <v>1030</v>
      </c>
      <c r="R1234" s="1"/>
      <c r="S1234" s="1" t="s">
        <v>52</v>
      </c>
      <c r="T1234" s="1" t="s">
        <v>2461</v>
      </c>
      <c r="U1234" s="1" t="s">
        <v>1812</v>
      </c>
      <c r="V1234" s="4" t="s">
        <v>6353</v>
      </c>
      <c r="W1234" s="1"/>
      <c r="X1234" s="18">
        <v>45887.0</v>
      </c>
      <c r="Y1234" s="1" t="s">
        <v>1030</v>
      </c>
      <c r="Z1234" s="1"/>
      <c r="AA1234" s="1"/>
      <c r="AB1234" s="1" t="s">
        <v>52</v>
      </c>
      <c r="AC1234" s="1" t="s">
        <v>1925</v>
      </c>
      <c r="AD1234" s="1"/>
      <c r="AE1234" s="1" t="s">
        <v>1152</v>
      </c>
      <c r="AF1234" s="1"/>
      <c r="AG1234" s="1"/>
      <c r="AH1234" s="1" t="s">
        <v>1152</v>
      </c>
      <c r="AI1234" s="1"/>
      <c r="AJ1234" s="1" t="s">
        <v>6354</v>
      </c>
      <c r="AK1234" s="1" t="s">
        <v>1152</v>
      </c>
      <c r="AL1234" s="6" t="str">
        <f t="array" ref="AL1234">IFERROR(IFS(XLOOKUP(B1234, 'Kit Delivery Status'!$U:$U, 'Kit Delivery Status'!$K:$K) = "Complete", "DELIVERED", XLOOKUP(B1234, 'Kit Delivery Status'!$U:$U, 'Kit Delivery Status'!$K:$K) = "Issue", "ISSUE"), "")</f>
        <v/>
      </c>
      <c r="AM1234" s="6"/>
    </row>
    <row r="1235">
      <c r="A1235" s="5" t="s">
        <v>6355</v>
      </c>
      <c r="B1235" s="1" t="s">
        <v>6356</v>
      </c>
      <c r="C1235" s="1" t="s">
        <v>6350</v>
      </c>
      <c r="D1235" s="2">
        <v>9.548065446E9</v>
      </c>
      <c r="E1235" s="1" t="s">
        <v>6351</v>
      </c>
      <c r="F1235" s="1"/>
      <c r="G1235" s="1" t="s">
        <v>751</v>
      </c>
      <c r="H1235" s="1" t="s">
        <v>751</v>
      </c>
      <c r="I1235" s="1" t="s">
        <v>6357</v>
      </c>
      <c r="J1235" s="1" t="s">
        <v>752</v>
      </c>
      <c r="K1235" s="1" t="s">
        <v>66</v>
      </c>
      <c r="L1235" s="1" t="s">
        <v>5811</v>
      </c>
      <c r="M1235" s="1">
        <v>145.0</v>
      </c>
      <c r="N1235" s="1" t="s">
        <v>1152</v>
      </c>
      <c r="O1235" s="3" t="s">
        <v>6353</v>
      </c>
      <c r="P1235" s="18">
        <v>45883.0</v>
      </c>
      <c r="Q1235" s="1"/>
      <c r="R1235" s="1"/>
      <c r="S1235" s="1"/>
      <c r="T1235" s="1" t="s">
        <v>1152</v>
      </c>
      <c r="U1235" s="1" t="s">
        <v>1812</v>
      </c>
      <c r="V1235" s="4" t="s">
        <v>6353</v>
      </c>
      <c r="W1235" s="1"/>
      <c r="X1235" s="18">
        <v>45883.0</v>
      </c>
      <c r="Y1235" s="1"/>
      <c r="Z1235" s="1"/>
      <c r="AA1235" s="1"/>
      <c r="AB1235" s="1"/>
      <c r="AC1235" s="1" t="s">
        <v>1925</v>
      </c>
      <c r="AD1235" s="1"/>
      <c r="AE1235" s="1" t="s">
        <v>1152</v>
      </c>
      <c r="AF1235" s="1"/>
      <c r="AG1235" s="1"/>
      <c r="AH1235" s="1" t="s">
        <v>1152</v>
      </c>
      <c r="AI1235" s="1"/>
      <c r="AJ1235" s="1" t="s">
        <v>6354</v>
      </c>
      <c r="AK1235" s="1" t="s">
        <v>1152</v>
      </c>
      <c r="AL1235" s="6" t="str">
        <f t="array" ref="AL1235">IFERROR(IFS(XLOOKUP(B1235, 'Kit Delivery Status'!$U:$U, 'Kit Delivery Status'!$K:$K) = "Complete", "DELIVERED", XLOOKUP(B1235, 'Kit Delivery Status'!$U:$U, 'Kit Delivery Status'!$K:$K) = "Issue", "ISSUE"), "")</f>
        <v/>
      </c>
      <c r="AM1235" s="6"/>
    </row>
    <row r="1236">
      <c r="A1236" s="5" t="s">
        <v>6358</v>
      </c>
      <c r="B1236" s="1" t="s">
        <v>6359</v>
      </c>
      <c r="C1236" s="1" t="s">
        <v>6360</v>
      </c>
      <c r="D1236" s="2">
        <v>3.147323414E9</v>
      </c>
      <c r="E1236" s="1" t="s">
        <v>6361</v>
      </c>
      <c r="F1236" s="1"/>
      <c r="G1236" s="1" t="s">
        <v>2350</v>
      </c>
      <c r="H1236" s="1" t="s">
        <v>1155</v>
      </c>
      <c r="I1236" s="1">
        <v>63105.0</v>
      </c>
      <c r="J1236" s="1" t="s">
        <v>752</v>
      </c>
      <c r="K1236" s="1" t="s">
        <v>51</v>
      </c>
      <c r="L1236" s="1" t="s">
        <v>5722</v>
      </c>
      <c r="M1236" s="1">
        <v>1.0</v>
      </c>
      <c r="N1236" s="1" t="s">
        <v>2461</v>
      </c>
      <c r="O1236" s="3" t="s">
        <v>6362</v>
      </c>
      <c r="P1236" s="18">
        <v>45882.0</v>
      </c>
      <c r="Q1236" s="1" t="s">
        <v>1030</v>
      </c>
      <c r="R1236" s="1"/>
      <c r="S1236" s="1" t="s">
        <v>52</v>
      </c>
      <c r="T1236" s="1" t="s">
        <v>2461</v>
      </c>
      <c r="U1236" s="1" t="s">
        <v>1167</v>
      </c>
      <c r="V1236" s="4" t="s">
        <v>6362</v>
      </c>
      <c r="W1236" s="1"/>
      <c r="X1236" s="18">
        <v>45882.0</v>
      </c>
      <c r="Y1236" s="1" t="s">
        <v>1030</v>
      </c>
      <c r="Z1236" s="1"/>
      <c r="AA1236" s="1"/>
      <c r="AB1236" s="1" t="s">
        <v>52</v>
      </c>
      <c r="AC1236" s="1" t="s">
        <v>1925</v>
      </c>
      <c r="AD1236" s="1"/>
      <c r="AE1236" s="1" t="s">
        <v>1152</v>
      </c>
      <c r="AF1236" s="1"/>
      <c r="AG1236" s="1"/>
      <c r="AH1236" s="1" t="s">
        <v>1152</v>
      </c>
      <c r="AI1236" s="1"/>
      <c r="AJ1236" s="1" t="s">
        <v>6363</v>
      </c>
      <c r="AK1236" s="1" t="s">
        <v>1152</v>
      </c>
      <c r="AL1236" s="6" t="str">
        <f t="array" ref="AL1236">IFERROR(IFS(XLOOKUP(B1236, 'Kit Delivery Status'!$U:$U, 'Kit Delivery Status'!$K:$K) = "Complete", "DELIVERED", XLOOKUP(B1236, 'Kit Delivery Status'!$U:$U, 'Kit Delivery Status'!$K:$K) = "Issue", "ISSUE"), "")</f>
        <v/>
      </c>
      <c r="AM1236" s="6"/>
    </row>
    <row r="1237">
      <c r="A1237" s="5" t="s">
        <v>6364</v>
      </c>
      <c r="B1237" s="1" t="s">
        <v>6365</v>
      </c>
      <c r="C1237" s="1" t="s">
        <v>6366</v>
      </c>
      <c r="D1237" s="2">
        <v>7.735975714E9</v>
      </c>
      <c r="E1237" s="1" t="s">
        <v>6367</v>
      </c>
      <c r="F1237" s="1"/>
      <c r="G1237" s="1" t="s">
        <v>1072</v>
      </c>
      <c r="H1237" s="1" t="s">
        <v>1019</v>
      </c>
      <c r="I1237" s="1">
        <v>60616.0</v>
      </c>
      <c r="J1237" s="1" t="s">
        <v>752</v>
      </c>
      <c r="K1237" s="1" t="s">
        <v>51</v>
      </c>
      <c r="L1237" s="1" t="s">
        <v>5722</v>
      </c>
      <c r="M1237" s="1">
        <v>1.0</v>
      </c>
      <c r="N1237" s="1" t="s">
        <v>2461</v>
      </c>
      <c r="O1237" s="3" t="s">
        <v>774</v>
      </c>
      <c r="P1237" s="18">
        <v>45888.0</v>
      </c>
      <c r="Q1237" s="1" t="s">
        <v>1030</v>
      </c>
      <c r="R1237" s="1"/>
      <c r="S1237" s="1" t="s">
        <v>52</v>
      </c>
      <c r="T1237" s="1" t="s">
        <v>2461</v>
      </c>
      <c r="U1237" s="1" t="s">
        <v>1522</v>
      </c>
      <c r="V1237" s="4" t="s">
        <v>774</v>
      </c>
      <c r="W1237" s="1"/>
      <c r="X1237" s="18">
        <v>45888.0</v>
      </c>
      <c r="Y1237" s="1" t="s">
        <v>1030</v>
      </c>
      <c r="Z1237" s="1"/>
      <c r="AA1237" s="1"/>
      <c r="AB1237" s="1" t="s">
        <v>52</v>
      </c>
      <c r="AC1237" s="1" t="s">
        <v>1925</v>
      </c>
      <c r="AD1237" s="1"/>
      <c r="AE1237" s="1" t="s">
        <v>1152</v>
      </c>
      <c r="AF1237" s="1"/>
      <c r="AG1237" s="1"/>
      <c r="AH1237" s="1" t="s">
        <v>1152</v>
      </c>
      <c r="AI1237" s="1"/>
      <c r="AJ1237" s="1" t="s">
        <v>6367</v>
      </c>
      <c r="AK1237" s="1" t="s">
        <v>1152</v>
      </c>
      <c r="AL1237" s="6" t="str">
        <f t="array" ref="AL1237">IFERROR(IFS(XLOOKUP(B1237, 'Kit Delivery Status'!$U:$U, 'Kit Delivery Status'!$K:$K) = "Complete", "DELIVERED", XLOOKUP(B1237, 'Kit Delivery Status'!$U:$U, 'Kit Delivery Status'!$K:$K) = "Issue", "ISSUE"), "")</f>
        <v/>
      </c>
      <c r="AM1237" s="6"/>
    </row>
    <row r="1238">
      <c r="A1238" s="5" t="s">
        <v>6368</v>
      </c>
      <c r="B1238" s="1" t="s">
        <v>6369</v>
      </c>
      <c r="C1238" s="1"/>
      <c r="D1238" s="2">
        <v>9.175792E9</v>
      </c>
      <c r="E1238" s="1" t="s">
        <v>6370</v>
      </c>
      <c r="F1238" s="1"/>
      <c r="G1238" s="1" t="s">
        <v>751</v>
      </c>
      <c r="H1238" s="1" t="s">
        <v>751</v>
      </c>
      <c r="I1238" s="1">
        <v>10023.0</v>
      </c>
      <c r="J1238" s="1" t="s">
        <v>752</v>
      </c>
      <c r="K1238" s="1" t="s">
        <v>66</v>
      </c>
      <c r="L1238" s="1" t="s">
        <v>5767</v>
      </c>
      <c r="M1238" s="1">
        <v>210.0</v>
      </c>
      <c r="N1238" s="1" t="s">
        <v>1152</v>
      </c>
      <c r="O1238" s="3" t="s">
        <v>6371</v>
      </c>
      <c r="P1238" s="18">
        <v>45883.0</v>
      </c>
      <c r="Q1238" s="1"/>
      <c r="R1238" s="1"/>
      <c r="S1238" s="1"/>
      <c r="T1238" s="1" t="s">
        <v>1152</v>
      </c>
      <c r="U1238" s="1" t="s">
        <v>1039</v>
      </c>
      <c r="V1238" s="4" t="s">
        <v>6371</v>
      </c>
      <c r="W1238" s="1"/>
      <c r="X1238" s="18">
        <v>45883.0</v>
      </c>
      <c r="Y1238" s="1"/>
      <c r="Z1238" s="1"/>
      <c r="AA1238" s="1"/>
      <c r="AB1238" s="1"/>
      <c r="AC1238" s="1" t="s">
        <v>1925</v>
      </c>
      <c r="AD1238" s="1"/>
      <c r="AE1238" s="1" t="s">
        <v>1152</v>
      </c>
      <c r="AF1238" s="1"/>
      <c r="AG1238" s="1"/>
      <c r="AH1238" s="1" t="s">
        <v>1152</v>
      </c>
      <c r="AI1238" s="1"/>
      <c r="AJ1238" s="1" t="s">
        <v>6372</v>
      </c>
      <c r="AK1238" s="1" t="s">
        <v>1152</v>
      </c>
      <c r="AL1238" s="6" t="str">
        <f t="array" ref="AL1238">IFERROR(IFS(XLOOKUP(B1238, 'Kit Delivery Status'!$U:$U, 'Kit Delivery Status'!$K:$K) = "Complete", "DELIVERED", XLOOKUP(B1238, 'Kit Delivery Status'!$U:$U, 'Kit Delivery Status'!$K:$K) = "Issue", "ISSUE"), "")</f>
        <v/>
      </c>
      <c r="AM1238" s="6"/>
    </row>
    <row r="1239">
      <c r="A1239" s="5" t="s">
        <v>6373</v>
      </c>
      <c r="B1239" s="1" t="s">
        <v>6374</v>
      </c>
      <c r="C1239" s="1"/>
      <c r="D1239" s="2">
        <v>9.734942276E9</v>
      </c>
      <c r="E1239" s="1" t="s">
        <v>6375</v>
      </c>
      <c r="F1239" s="1" t="s">
        <v>6376</v>
      </c>
      <c r="G1239" s="1" t="s">
        <v>1865</v>
      </c>
      <c r="H1239" s="1" t="s">
        <v>1053</v>
      </c>
      <c r="I1239" s="1">
        <v>7078.0</v>
      </c>
      <c r="J1239" s="1" t="s">
        <v>752</v>
      </c>
      <c r="K1239" s="1" t="s">
        <v>51</v>
      </c>
      <c r="L1239" s="1" t="s">
        <v>5722</v>
      </c>
      <c r="M1239" s="1">
        <v>1.0</v>
      </c>
      <c r="N1239" s="1" t="s">
        <v>2487</v>
      </c>
      <c r="O1239" s="3"/>
      <c r="P1239" s="18">
        <v>45883.0</v>
      </c>
      <c r="Q1239" s="1" t="s">
        <v>1455</v>
      </c>
      <c r="R1239" s="1" t="s">
        <v>6376</v>
      </c>
      <c r="S1239" s="1" t="s">
        <v>124</v>
      </c>
      <c r="T1239" s="1" t="s">
        <v>2487</v>
      </c>
      <c r="U1239" s="1"/>
      <c r="V1239" s="4"/>
      <c r="W1239" s="1" t="s">
        <v>6376</v>
      </c>
      <c r="X1239" s="18">
        <v>45883.0</v>
      </c>
      <c r="Y1239" s="1" t="s">
        <v>1455</v>
      </c>
      <c r="Z1239" s="1"/>
      <c r="AA1239" s="1" t="s">
        <v>6376</v>
      </c>
      <c r="AB1239" s="1" t="s">
        <v>124</v>
      </c>
      <c r="AC1239" s="1" t="s">
        <v>1925</v>
      </c>
      <c r="AD1239" s="1"/>
      <c r="AE1239" s="1" t="s">
        <v>1152</v>
      </c>
      <c r="AF1239" s="1"/>
      <c r="AG1239" s="1"/>
      <c r="AH1239" s="1" t="s">
        <v>1152</v>
      </c>
      <c r="AI1239" s="1"/>
      <c r="AJ1239" s="1" t="s">
        <v>6375</v>
      </c>
      <c r="AK1239" s="1" t="s">
        <v>1152</v>
      </c>
      <c r="AL1239" s="6" t="str">
        <f t="array" ref="AL1239">IFERROR(IFS(XLOOKUP(B1239, 'Kit Delivery Status'!$U:$U, 'Kit Delivery Status'!$K:$K) = "Complete", "DELIVERED", XLOOKUP(B1239, 'Kit Delivery Status'!$U:$U, 'Kit Delivery Status'!$K:$K) = "Issue", "ISSUE"), "")</f>
        <v/>
      </c>
      <c r="AM1239" s="6"/>
    </row>
    <row r="1240">
      <c r="A1240" s="5" t="s">
        <v>6377</v>
      </c>
      <c r="B1240" s="1" t="s">
        <v>6378</v>
      </c>
      <c r="C1240" s="1" t="s">
        <v>4589</v>
      </c>
      <c r="D1240" s="2">
        <v>9.176931389E9</v>
      </c>
      <c r="E1240" s="1" t="s">
        <v>4590</v>
      </c>
      <c r="F1240" s="1"/>
      <c r="G1240" s="1" t="s">
        <v>3230</v>
      </c>
      <c r="H1240" s="1" t="s">
        <v>751</v>
      </c>
      <c r="I1240" s="1">
        <v>10011.0</v>
      </c>
      <c r="J1240" s="1" t="s">
        <v>752</v>
      </c>
      <c r="K1240" s="1" t="s">
        <v>66</v>
      </c>
      <c r="L1240" s="1" t="s">
        <v>5811</v>
      </c>
      <c r="M1240" s="1">
        <v>145.0</v>
      </c>
      <c r="N1240" s="1" t="s">
        <v>1152</v>
      </c>
      <c r="O1240" s="3" t="s">
        <v>5280</v>
      </c>
      <c r="P1240" s="18">
        <v>45883.0</v>
      </c>
      <c r="Q1240" s="1"/>
      <c r="R1240" s="1"/>
      <c r="S1240" s="1"/>
      <c r="T1240" s="1" t="s">
        <v>1152</v>
      </c>
      <c r="U1240" s="1" t="s">
        <v>982</v>
      </c>
      <c r="V1240" s="4" t="s">
        <v>5280</v>
      </c>
      <c r="W1240" s="1"/>
      <c r="X1240" s="18">
        <v>45883.0</v>
      </c>
      <c r="Y1240" s="1"/>
      <c r="Z1240" s="1"/>
      <c r="AA1240" s="1"/>
      <c r="AB1240" s="1"/>
      <c r="AC1240" s="1" t="s">
        <v>1925</v>
      </c>
      <c r="AD1240" s="1"/>
      <c r="AE1240" s="1" t="s">
        <v>1152</v>
      </c>
      <c r="AF1240" s="1"/>
      <c r="AG1240" s="1"/>
      <c r="AH1240" s="1" t="s">
        <v>1152</v>
      </c>
      <c r="AI1240" s="1"/>
      <c r="AJ1240" s="1" t="s">
        <v>6379</v>
      </c>
      <c r="AK1240" s="1" t="s">
        <v>1152</v>
      </c>
      <c r="AL1240" s="6" t="str">
        <f t="array" ref="AL1240">IFERROR(IFS(XLOOKUP(B1240, 'Kit Delivery Status'!$U:$U, 'Kit Delivery Status'!$K:$K) = "Complete", "DELIVERED", XLOOKUP(B1240, 'Kit Delivery Status'!$U:$U, 'Kit Delivery Status'!$K:$K) = "Issue", "ISSUE"), "")</f>
        <v/>
      </c>
      <c r="AM1240" s="6"/>
    </row>
    <row r="1241">
      <c r="A1241" s="5" t="s">
        <v>6380</v>
      </c>
      <c r="B1241" s="1" t="s">
        <v>6381</v>
      </c>
      <c r="C1241" s="1"/>
      <c r="D1241" s="2">
        <v>9.165912419E9</v>
      </c>
      <c r="E1241" s="1" t="s">
        <v>6382</v>
      </c>
      <c r="F1241" s="1"/>
      <c r="G1241" s="1" t="s">
        <v>6383</v>
      </c>
      <c r="H1241" s="1" t="s">
        <v>989</v>
      </c>
      <c r="I1241" s="1">
        <v>95618.0</v>
      </c>
      <c r="J1241" s="1" t="s">
        <v>752</v>
      </c>
      <c r="K1241" s="1" t="s">
        <v>51</v>
      </c>
      <c r="L1241" s="1" t="s">
        <v>5722</v>
      </c>
      <c r="M1241" s="1">
        <v>1.0</v>
      </c>
      <c r="N1241" s="1" t="s">
        <v>2461</v>
      </c>
      <c r="O1241" s="3" t="s">
        <v>1406</v>
      </c>
      <c r="P1241" s="18">
        <v>45883.0</v>
      </c>
      <c r="Q1241" s="1" t="s">
        <v>1103</v>
      </c>
      <c r="R1241" s="1"/>
      <c r="S1241" s="1" t="s">
        <v>52</v>
      </c>
      <c r="T1241" s="1" t="s">
        <v>2461</v>
      </c>
      <c r="U1241" s="1" t="s">
        <v>1794</v>
      </c>
      <c r="V1241" s="4" t="s">
        <v>1406</v>
      </c>
      <c r="W1241" s="1"/>
      <c r="X1241" s="18">
        <v>45883.0</v>
      </c>
      <c r="Y1241" s="1" t="s">
        <v>1103</v>
      </c>
      <c r="Z1241" s="1"/>
      <c r="AA1241" s="1"/>
      <c r="AB1241" s="1" t="s">
        <v>52</v>
      </c>
      <c r="AC1241" s="1" t="s">
        <v>1925</v>
      </c>
      <c r="AD1241" s="1"/>
      <c r="AE1241" s="1" t="s">
        <v>1152</v>
      </c>
      <c r="AF1241" s="1"/>
      <c r="AG1241" s="1"/>
      <c r="AH1241" s="1" t="s">
        <v>1152</v>
      </c>
      <c r="AI1241" s="1"/>
      <c r="AJ1241" s="1" t="s">
        <v>6382</v>
      </c>
      <c r="AK1241" s="1" t="s">
        <v>1152</v>
      </c>
      <c r="AL1241" s="6" t="str">
        <f t="array" ref="AL1241">IFERROR(IFS(XLOOKUP(B1241, 'Kit Delivery Status'!$U:$U, 'Kit Delivery Status'!$K:$K) = "Complete", "DELIVERED", XLOOKUP(B1241, 'Kit Delivery Status'!$U:$U, 'Kit Delivery Status'!$K:$K) = "Issue", "ISSUE"), "")</f>
        <v/>
      </c>
      <c r="AM1241" s="6"/>
    </row>
    <row r="1242">
      <c r="A1242" s="5" t="s">
        <v>6384</v>
      </c>
      <c r="B1242" s="1" t="s">
        <v>6385</v>
      </c>
      <c r="C1242" s="1" t="s">
        <v>2807</v>
      </c>
      <c r="D1242" s="2">
        <v>9.175879462E9</v>
      </c>
      <c r="E1242" s="1" t="s">
        <v>2808</v>
      </c>
      <c r="F1242" s="1"/>
      <c r="G1242" s="1" t="s">
        <v>1382</v>
      </c>
      <c r="H1242" s="1" t="s">
        <v>751</v>
      </c>
      <c r="I1242" s="1">
        <v>10583.0</v>
      </c>
      <c r="J1242" s="1" t="s">
        <v>752</v>
      </c>
      <c r="K1242" s="1" t="s">
        <v>66</v>
      </c>
      <c r="L1242" s="1" t="s">
        <v>5736</v>
      </c>
      <c r="M1242" s="1">
        <v>115.0</v>
      </c>
      <c r="N1242" s="1" t="s">
        <v>1152</v>
      </c>
      <c r="O1242" s="3" t="s">
        <v>6386</v>
      </c>
      <c r="P1242" s="18">
        <v>45882.0</v>
      </c>
      <c r="Q1242" s="1"/>
      <c r="R1242" s="1"/>
      <c r="S1242" s="1"/>
      <c r="T1242" s="1" t="s">
        <v>1152</v>
      </c>
      <c r="U1242" s="1" t="s">
        <v>1133</v>
      </c>
      <c r="V1242" s="4" t="s">
        <v>6386</v>
      </c>
      <c r="W1242" s="1"/>
      <c r="X1242" s="18">
        <v>45882.0</v>
      </c>
      <c r="Y1242" s="1"/>
      <c r="Z1242" s="1"/>
      <c r="AA1242" s="1"/>
      <c r="AB1242" s="1"/>
      <c r="AC1242" s="1" t="s">
        <v>1925</v>
      </c>
      <c r="AD1242" s="1"/>
      <c r="AE1242" s="1" t="s">
        <v>1152</v>
      </c>
      <c r="AF1242" s="1"/>
      <c r="AG1242" s="1"/>
      <c r="AH1242" s="1" t="s">
        <v>1152</v>
      </c>
      <c r="AI1242" s="1"/>
      <c r="AJ1242" s="1" t="s">
        <v>6387</v>
      </c>
      <c r="AK1242" s="1" t="s">
        <v>1152</v>
      </c>
      <c r="AL1242" s="6" t="str">
        <f t="array" ref="AL1242">IFERROR(IFS(XLOOKUP(B1242, 'Kit Delivery Status'!$U:$U, 'Kit Delivery Status'!$K:$K) = "Complete", "DELIVERED", XLOOKUP(B1242, 'Kit Delivery Status'!$U:$U, 'Kit Delivery Status'!$K:$K) = "Issue", "ISSUE"), "")</f>
        <v/>
      </c>
      <c r="AM1242" s="6"/>
    </row>
    <row r="1243">
      <c r="A1243" s="5" t="s">
        <v>6388</v>
      </c>
      <c r="B1243" s="1" t="s">
        <v>6389</v>
      </c>
      <c r="C1243" s="1" t="s">
        <v>2268</v>
      </c>
      <c r="D1243" s="2">
        <v>6.186411334E9</v>
      </c>
      <c r="E1243" s="1" t="s">
        <v>3980</v>
      </c>
      <c r="F1243" s="1"/>
      <c r="G1243" s="1" t="s">
        <v>2136</v>
      </c>
      <c r="H1243" s="1" t="s">
        <v>1155</v>
      </c>
      <c r="I1243" s="1">
        <v>63117.0</v>
      </c>
      <c r="J1243" s="1" t="s">
        <v>752</v>
      </c>
      <c r="K1243" s="1" t="s">
        <v>2577</v>
      </c>
      <c r="L1243" s="1" t="s">
        <v>5882</v>
      </c>
      <c r="M1243" s="1">
        <v>1.0</v>
      </c>
      <c r="N1243" s="1" t="s">
        <v>2579</v>
      </c>
      <c r="O1243" s="3" t="s">
        <v>103</v>
      </c>
      <c r="P1243" s="18">
        <v>45881.0</v>
      </c>
      <c r="Q1243" s="1" t="s">
        <v>6390</v>
      </c>
      <c r="R1243" s="1"/>
      <c r="S1243" s="1"/>
      <c r="T1243" s="1" t="s">
        <v>2579</v>
      </c>
      <c r="U1243" s="1" t="s">
        <v>4637</v>
      </c>
      <c r="V1243" s="4" t="s">
        <v>103</v>
      </c>
      <c r="W1243" s="1"/>
      <c r="X1243" s="18">
        <v>45881.0</v>
      </c>
      <c r="Y1243" s="1" t="s">
        <v>6390</v>
      </c>
      <c r="Z1243" s="1"/>
      <c r="AA1243" s="1"/>
      <c r="AB1243" s="1"/>
      <c r="AC1243" s="1" t="s">
        <v>1925</v>
      </c>
      <c r="AD1243" s="1"/>
      <c r="AE1243" s="1" t="s">
        <v>1152</v>
      </c>
      <c r="AF1243" s="1"/>
      <c r="AG1243" s="1"/>
      <c r="AH1243" s="1" t="s">
        <v>1152</v>
      </c>
      <c r="AI1243" s="1" t="s">
        <v>6391</v>
      </c>
      <c r="AJ1243" s="1"/>
      <c r="AK1243" s="1" t="s">
        <v>5886</v>
      </c>
      <c r="AL1243" s="6" t="str">
        <f t="array" ref="AL1243">IFERROR(IFS(XLOOKUP(B1243, 'Kit Delivery Status'!$U:$U, 'Kit Delivery Status'!$K:$K) = "Complete", "DELIVERED", XLOOKUP(B1243, 'Kit Delivery Status'!$U:$U, 'Kit Delivery Status'!$K:$K) = "Issue", "ISSUE"), "")</f>
        <v/>
      </c>
      <c r="AM1243" s="6"/>
    </row>
    <row r="1244">
      <c r="A1244" s="5" t="s">
        <v>6392</v>
      </c>
      <c r="B1244" s="1" t="s">
        <v>6393</v>
      </c>
      <c r="C1244" s="1" t="s">
        <v>2268</v>
      </c>
      <c r="D1244" s="2">
        <v>6.186411334E9</v>
      </c>
      <c r="E1244" s="1" t="s">
        <v>3980</v>
      </c>
      <c r="F1244" s="1"/>
      <c r="G1244" s="1" t="s">
        <v>2136</v>
      </c>
      <c r="H1244" s="1" t="s">
        <v>1155</v>
      </c>
      <c r="I1244" s="1">
        <v>63117.0</v>
      </c>
      <c r="J1244" s="1" t="s">
        <v>752</v>
      </c>
      <c r="K1244" s="1" t="s">
        <v>2577</v>
      </c>
      <c r="L1244" s="1" t="s">
        <v>5882</v>
      </c>
      <c r="M1244" s="1">
        <v>1.0</v>
      </c>
      <c r="N1244" s="1" t="s">
        <v>2579</v>
      </c>
      <c r="O1244" s="3" t="s">
        <v>103</v>
      </c>
      <c r="P1244" s="18">
        <v>45881.0</v>
      </c>
      <c r="Q1244" s="1" t="s">
        <v>6394</v>
      </c>
      <c r="R1244" s="1"/>
      <c r="S1244" s="1"/>
      <c r="T1244" s="1" t="s">
        <v>2579</v>
      </c>
      <c r="U1244" s="1" t="s">
        <v>4637</v>
      </c>
      <c r="V1244" s="4" t="s">
        <v>103</v>
      </c>
      <c r="W1244" s="1"/>
      <c r="X1244" s="18">
        <v>45881.0</v>
      </c>
      <c r="Y1244" s="1" t="s">
        <v>6394</v>
      </c>
      <c r="Z1244" s="1"/>
      <c r="AA1244" s="1"/>
      <c r="AB1244" s="1"/>
      <c r="AC1244" s="1" t="s">
        <v>1925</v>
      </c>
      <c r="AD1244" s="1"/>
      <c r="AE1244" s="1" t="s">
        <v>1152</v>
      </c>
      <c r="AF1244" s="1"/>
      <c r="AG1244" s="1"/>
      <c r="AH1244" s="1" t="s">
        <v>1152</v>
      </c>
      <c r="AI1244" s="1" t="s">
        <v>6395</v>
      </c>
      <c r="AJ1244" s="1"/>
      <c r="AK1244" s="1" t="s">
        <v>5886</v>
      </c>
      <c r="AL1244" s="6" t="str">
        <f t="array" ref="AL1244">IFERROR(IFS(XLOOKUP(B1244, 'Kit Delivery Status'!$U:$U, 'Kit Delivery Status'!$K:$K) = "Complete", "DELIVERED", XLOOKUP(B1244, 'Kit Delivery Status'!$U:$U, 'Kit Delivery Status'!$K:$K) = "Issue", "ISSUE"), "")</f>
        <v/>
      </c>
      <c r="AM1244" s="6"/>
    </row>
    <row r="1245">
      <c r="A1245" s="5" t="s">
        <v>6396</v>
      </c>
      <c r="B1245" s="1" t="s">
        <v>6397</v>
      </c>
      <c r="C1245" s="1" t="s">
        <v>6398</v>
      </c>
      <c r="D1245" s="2">
        <v>1.703395961E10</v>
      </c>
      <c r="E1245" s="1" t="s">
        <v>6399</v>
      </c>
      <c r="F1245" s="1"/>
      <c r="G1245" s="1" t="s">
        <v>6400</v>
      </c>
      <c r="H1245" s="1" t="s">
        <v>1038</v>
      </c>
      <c r="I1245" s="1" t="s">
        <v>6401</v>
      </c>
      <c r="J1245" s="1" t="s">
        <v>752</v>
      </c>
      <c r="K1245" s="1" t="s">
        <v>66</v>
      </c>
      <c r="L1245" s="1" t="s">
        <v>5767</v>
      </c>
      <c r="M1245" s="1">
        <v>210.0</v>
      </c>
      <c r="N1245" s="1" t="s">
        <v>1152</v>
      </c>
      <c r="O1245" s="3" t="s">
        <v>6402</v>
      </c>
      <c r="P1245" s="18">
        <v>45883.0</v>
      </c>
      <c r="Q1245" s="1"/>
      <c r="R1245" s="1"/>
      <c r="S1245" s="1"/>
      <c r="T1245" s="1" t="s">
        <v>1152</v>
      </c>
      <c r="U1245" s="1" t="s">
        <v>1080</v>
      </c>
      <c r="V1245" s="4" t="s">
        <v>6402</v>
      </c>
      <c r="W1245" s="1"/>
      <c r="X1245" s="18">
        <v>45883.0</v>
      </c>
      <c r="Y1245" s="1"/>
      <c r="Z1245" s="1"/>
      <c r="AA1245" s="1"/>
      <c r="AB1245" s="1"/>
      <c r="AC1245" s="1" t="s">
        <v>1925</v>
      </c>
      <c r="AD1245" s="1"/>
      <c r="AE1245" s="1" t="s">
        <v>1152</v>
      </c>
      <c r="AF1245" s="1"/>
      <c r="AG1245" s="1"/>
      <c r="AH1245" s="1" t="s">
        <v>1152</v>
      </c>
      <c r="AI1245" s="1"/>
      <c r="AJ1245" s="1" t="s">
        <v>6403</v>
      </c>
      <c r="AK1245" s="1" t="s">
        <v>1152</v>
      </c>
      <c r="AL1245" s="6" t="str">
        <f t="array" ref="AL1245">IFERROR(IFS(XLOOKUP(B1245, 'Kit Delivery Status'!$U:$U, 'Kit Delivery Status'!$K:$K) = "Complete", "DELIVERED", XLOOKUP(B1245, 'Kit Delivery Status'!$U:$U, 'Kit Delivery Status'!$K:$K) = "Issue", "ISSUE"), "")</f>
        <v/>
      </c>
      <c r="AM1245" s="6"/>
    </row>
    <row r="1246">
      <c r="A1246" s="5" t="s">
        <v>6404</v>
      </c>
      <c r="B1246" s="1" t="s">
        <v>6405</v>
      </c>
      <c r="C1246" s="1"/>
      <c r="D1246" s="2">
        <v>9.176900058E9</v>
      </c>
      <c r="E1246" s="1" t="s">
        <v>6406</v>
      </c>
      <c r="F1246" s="1"/>
      <c r="G1246" s="1" t="s">
        <v>751</v>
      </c>
      <c r="H1246" s="1" t="s">
        <v>751</v>
      </c>
      <c r="I1246" s="1">
        <v>10023.0</v>
      </c>
      <c r="J1246" s="1" t="s">
        <v>752</v>
      </c>
      <c r="K1246" s="1" t="s">
        <v>51</v>
      </c>
      <c r="L1246" s="1" t="s">
        <v>5722</v>
      </c>
      <c r="M1246" s="1">
        <v>1.0</v>
      </c>
      <c r="N1246" s="1" t="s">
        <v>2461</v>
      </c>
      <c r="O1246" s="3" t="s">
        <v>6407</v>
      </c>
      <c r="P1246" s="18">
        <v>45890.0</v>
      </c>
      <c r="Q1246" s="1" t="s">
        <v>1030</v>
      </c>
      <c r="R1246" s="1"/>
      <c r="S1246" s="1" t="s">
        <v>52</v>
      </c>
      <c r="T1246" s="1" t="s">
        <v>2461</v>
      </c>
      <c r="U1246" s="1" t="s">
        <v>2510</v>
      </c>
      <c r="V1246" s="4" t="s">
        <v>6407</v>
      </c>
      <c r="W1246" s="1"/>
      <c r="X1246" s="18">
        <v>45890.0</v>
      </c>
      <c r="Y1246" s="1" t="s">
        <v>1030</v>
      </c>
      <c r="Z1246" s="1"/>
      <c r="AA1246" s="1"/>
      <c r="AB1246" s="1" t="s">
        <v>52</v>
      </c>
      <c r="AC1246" s="1" t="s">
        <v>1925</v>
      </c>
      <c r="AD1246" s="1"/>
      <c r="AE1246" s="1" t="s">
        <v>1152</v>
      </c>
      <c r="AF1246" s="1"/>
      <c r="AG1246" s="1"/>
      <c r="AH1246" s="1" t="s">
        <v>1152</v>
      </c>
      <c r="AI1246" s="1"/>
      <c r="AJ1246" s="1" t="s">
        <v>6408</v>
      </c>
      <c r="AK1246" s="1" t="s">
        <v>1152</v>
      </c>
      <c r="AL1246" s="6" t="str">
        <f t="array" ref="AL1246">IFERROR(IFS(XLOOKUP(B1246, 'Kit Delivery Status'!$U:$U, 'Kit Delivery Status'!$K:$K) = "Complete", "DELIVERED", XLOOKUP(B1246, 'Kit Delivery Status'!$U:$U, 'Kit Delivery Status'!$K:$K) = "Issue", "ISSUE"), "")</f>
        <v/>
      </c>
      <c r="AM1246" s="6"/>
    </row>
    <row r="1247">
      <c r="A1247" s="5" t="s">
        <v>6409</v>
      </c>
      <c r="B1247" s="1" t="s">
        <v>6410</v>
      </c>
      <c r="C1247" s="1" t="s">
        <v>6411</v>
      </c>
      <c r="D1247" s="2">
        <v>3.142248719E9</v>
      </c>
      <c r="E1247" s="1" t="s">
        <v>6412</v>
      </c>
      <c r="F1247" s="1" t="s">
        <v>6413</v>
      </c>
      <c r="G1247" s="1" t="s">
        <v>1283</v>
      </c>
      <c r="H1247" s="1" t="s">
        <v>1155</v>
      </c>
      <c r="I1247" s="1">
        <v>63130.0</v>
      </c>
      <c r="J1247" s="1" t="s">
        <v>752</v>
      </c>
      <c r="K1247" s="1" t="s">
        <v>51</v>
      </c>
      <c r="L1247" s="1" t="s">
        <v>5722</v>
      </c>
      <c r="M1247" s="1">
        <v>1.0</v>
      </c>
      <c r="N1247" s="1" t="s">
        <v>2487</v>
      </c>
      <c r="O1247" s="3"/>
      <c r="P1247" s="18">
        <v>45891.0</v>
      </c>
      <c r="Q1247" s="1" t="s">
        <v>1103</v>
      </c>
      <c r="R1247" s="1" t="s">
        <v>6413</v>
      </c>
      <c r="S1247" s="1" t="s">
        <v>124</v>
      </c>
      <c r="T1247" s="1" t="s">
        <v>2487</v>
      </c>
      <c r="U1247" s="1"/>
      <c r="V1247" s="4"/>
      <c r="W1247" s="1" t="s">
        <v>6413</v>
      </c>
      <c r="X1247" s="18">
        <v>45891.0</v>
      </c>
      <c r="Y1247" s="1" t="s">
        <v>1103</v>
      </c>
      <c r="Z1247" s="1"/>
      <c r="AA1247" s="1" t="s">
        <v>6413</v>
      </c>
      <c r="AB1247" s="1" t="s">
        <v>124</v>
      </c>
      <c r="AC1247" s="1" t="s">
        <v>1925</v>
      </c>
      <c r="AD1247" s="1"/>
      <c r="AE1247" s="1" t="s">
        <v>1152</v>
      </c>
      <c r="AF1247" s="1"/>
      <c r="AG1247" s="1"/>
      <c r="AH1247" s="1" t="s">
        <v>1152</v>
      </c>
      <c r="AI1247" s="1"/>
      <c r="AJ1247" s="1" t="s">
        <v>6412</v>
      </c>
      <c r="AK1247" s="1" t="s">
        <v>1152</v>
      </c>
      <c r="AL1247" s="6" t="str">
        <f t="array" ref="AL1247">IFERROR(IFS(XLOOKUP(B1247, 'Kit Delivery Status'!$U:$U, 'Kit Delivery Status'!$K:$K) = "Complete", "DELIVERED", XLOOKUP(B1247, 'Kit Delivery Status'!$U:$U, 'Kit Delivery Status'!$K:$K) = "Issue", "ISSUE"), "")</f>
        <v/>
      </c>
      <c r="AM1247" s="6"/>
    </row>
    <row r="1248">
      <c r="A1248" s="5" t="s">
        <v>6414</v>
      </c>
      <c r="B1248" s="1" t="s">
        <v>6415</v>
      </c>
      <c r="C1248" s="1" t="s">
        <v>6416</v>
      </c>
      <c r="D1248" s="2">
        <v>6.175489523E9</v>
      </c>
      <c r="E1248" s="1" t="s">
        <v>6417</v>
      </c>
      <c r="F1248" s="1"/>
      <c r="G1248" s="1" t="s">
        <v>6037</v>
      </c>
      <c r="H1248" s="1" t="s">
        <v>1583</v>
      </c>
      <c r="I1248" s="1">
        <v>78260.0</v>
      </c>
      <c r="J1248" s="1" t="s">
        <v>752</v>
      </c>
      <c r="K1248" s="1" t="s">
        <v>51</v>
      </c>
      <c r="L1248" s="1" t="s">
        <v>5722</v>
      </c>
      <c r="M1248" s="1">
        <v>1.0</v>
      </c>
      <c r="N1248" s="1" t="s">
        <v>2461</v>
      </c>
      <c r="O1248" s="3" t="s">
        <v>6418</v>
      </c>
      <c r="P1248" s="18">
        <v>45887.0</v>
      </c>
      <c r="Q1248" s="1" t="s">
        <v>1030</v>
      </c>
      <c r="R1248" s="1"/>
      <c r="S1248" s="1" t="s">
        <v>52</v>
      </c>
      <c r="T1248" s="1" t="s">
        <v>2461</v>
      </c>
      <c r="U1248" s="1" t="s">
        <v>2510</v>
      </c>
      <c r="V1248" s="4" t="s">
        <v>6418</v>
      </c>
      <c r="W1248" s="1"/>
      <c r="X1248" s="18">
        <v>45887.0</v>
      </c>
      <c r="Y1248" s="1" t="s">
        <v>1030</v>
      </c>
      <c r="Z1248" s="1"/>
      <c r="AA1248" s="1"/>
      <c r="AB1248" s="1" t="s">
        <v>52</v>
      </c>
      <c r="AC1248" s="1" t="s">
        <v>1925</v>
      </c>
      <c r="AD1248" s="1"/>
      <c r="AE1248" s="1" t="s">
        <v>1152</v>
      </c>
      <c r="AF1248" s="1"/>
      <c r="AG1248" s="1"/>
      <c r="AH1248" s="1" t="s">
        <v>1152</v>
      </c>
      <c r="AI1248" s="1"/>
      <c r="AJ1248" s="1" t="s">
        <v>6417</v>
      </c>
      <c r="AK1248" s="1" t="s">
        <v>1152</v>
      </c>
      <c r="AL1248" s="6" t="str">
        <f t="array" ref="AL1248">IFERROR(IFS(XLOOKUP(B1248, 'Kit Delivery Status'!$U:$U, 'Kit Delivery Status'!$K:$K) = "Complete", "DELIVERED", XLOOKUP(B1248, 'Kit Delivery Status'!$U:$U, 'Kit Delivery Status'!$K:$K) = "Issue", "ISSUE"), "")</f>
        <v/>
      </c>
      <c r="AM1248" s="6"/>
    </row>
    <row r="1249">
      <c r="A1249" s="5" t="s">
        <v>6419</v>
      </c>
      <c r="B1249" s="1" t="s">
        <v>6420</v>
      </c>
      <c r="C1249" s="1" t="s">
        <v>6421</v>
      </c>
      <c r="D1249" s="2">
        <v>9.175533135E9</v>
      </c>
      <c r="E1249" s="1" t="s">
        <v>6422</v>
      </c>
      <c r="F1249" s="1"/>
      <c r="G1249" s="1" t="s">
        <v>751</v>
      </c>
      <c r="H1249" s="1" t="s">
        <v>751</v>
      </c>
      <c r="I1249" s="1">
        <v>10128.0</v>
      </c>
      <c r="J1249" s="1" t="s">
        <v>752</v>
      </c>
      <c r="K1249" s="1" t="s">
        <v>51</v>
      </c>
      <c r="L1249" s="1" t="s">
        <v>5722</v>
      </c>
      <c r="M1249" s="1">
        <v>1.0</v>
      </c>
      <c r="N1249" s="1" t="s">
        <v>2461</v>
      </c>
      <c r="O1249" s="3" t="s">
        <v>6423</v>
      </c>
      <c r="P1249" s="18">
        <v>45889.0</v>
      </c>
      <c r="Q1249" s="1" t="s">
        <v>1030</v>
      </c>
      <c r="R1249" s="1"/>
      <c r="S1249" s="1" t="s">
        <v>52</v>
      </c>
      <c r="T1249" s="1" t="s">
        <v>2461</v>
      </c>
      <c r="U1249" s="1" t="s">
        <v>2430</v>
      </c>
      <c r="V1249" s="4" t="s">
        <v>6423</v>
      </c>
      <c r="W1249" s="1"/>
      <c r="X1249" s="18">
        <v>45889.0</v>
      </c>
      <c r="Y1249" s="1" t="s">
        <v>1030</v>
      </c>
      <c r="Z1249" s="1"/>
      <c r="AA1249" s="1"/>
      <c r="AB1249" s="1" t="s">
        <v>52</v>
      </c>
      <c r="AC1249" s="1" t="s">
        <v>1925</v>
      </c>
      <c r="AD1249" s="1"/>
      <c r="AE1249" s="1" t="s">
        <v>1152</v>
      </c>
      <c r="AF1249" s="1"/>
      <c r="AG1249" s="1"/>
      <c r="AH1249" s="1" t="s">
        <v>1152</v>
      </c>
      <c r="AI1249" s="1"/>
      <c r="AJ1249" s="1" t="s">
        <v>6422</v>
      </c>
      <c r="AK1249" s="1" t="s">
        <v>1152</v>
      </c>
      <c r="AL1249" s="6" t="str">
        <f t="array" ref="AL1249">IFERROR(IFS(XLOOKUP(B1249, 'Kit Delivery Status'!$U:$U, 'Kit Delivery Status'!$K:$K) = "Complete", "DELIVERED", XLOOKUP(B1249, 'Kit Delivery Status'!$U:$U, 'Kit Delivery Status'!$K:$K) = "Issue", "ISSUE"), "")</f>
        <v/>
      </c>
      <c r="AM1249" s="6"/>
    </row>
    <row r="1250">
      <c r="A1250" s="5" t="s">
        <v>6424</v>
      </c>
      <c r="B1250" s="1" t="s">
        <v>6425</v>
      </c>
      <c r="C1250" s="1"/>
      <c r="D1250" s="2">
        <v>7.87402121E9</v>
      </c>
      <c r="E1250" s="1" t="s">
        <v>6426</v>
      </c>
      <c r="F1250" s="1"/>
      <c r="G1250" s="1" t="s">
        <v>3305</v>
      </c>
      <c r="H1250" s="1" t="s">
        <v>3306</v>
      </c>
      <c r="I1250" s="1">
        <v>968.0</v>
      </c>
      <c r="J1250" s="1" t="s">
        <v>752</v>
      </c>
      <c r="K1250" s="1" t="s">
        <v>66</v>
      </c>
      <c r="L1250" s="1" t="s">
        <v>5811</v>
      </c>
      <c r="M1250" s="1">
        <v>145.0</v>
      </c>
      <c r="N1250" s="1" t="s">
        <v>1152</v>
      </c>
      <c r="O1250" s="3" t="s">
        <v>809</v>
      </c>
      <c r="P1250" s="18">
        <v>45883.0</v>
      </c>
      <c r="Q1250" s="1"/>
      <c r="R1250" s="1"/>
      <c r="S1250" s="1"/>
      <c r="T1250" s="1" t="s">
        <v>1152</v>
      </c>
      <c r="U1250" s="1" t="s">
        <v>1487</v>
      </c>
      <c r="V1250" s="4" t="s">
        <v>809</v>
      </c>
      <c r="W1250" s="1"/>
      <c r="X1250" s="18">
        <v>45883.0</v>
      </c>
      <c r="Y1250" s="1"/>
      <c r="Z1250" s="1"/>
      <c r="AA1250" s="1"/>
      <c r="AB1250" s="1"/>
      <c r="AC1250" s="1" t="s">
        <v>1925</v>
      </c>
      <c r="AD1250" s="1"/>
      <c r="AE1250" s="1" t="s">
        <v>1152</v>
      </c>
      <c r="AF1250" s="1"/>
      <c r="AG1250" s="1"/>
      <c r="AH1250" s="1" t="s">
        <v>1152</v>
      </c>
      <c r="AI1250" s="1"/>
      <c r="AJ1250" s="1" t="s">
        <v>6427</v>
      </c>
      <c r="AK1250" s="1" t="s">
        <v>1152</v>
      </c>
      <c r="AL1250" s="6" t="str">
        <f t="array" ref="AL1250">IFERROR(IFS(XLOOKUP(B1250, 'Kit Delivery Status'!$U:$U, 'Kit Delivery Status'!$K:$K) = "Complete", "DELIVERED", XLOOKUP(B1250, 'Kit Delivery Status'!$U:$U, 'Kit Delivery Status'!$K:$K) = "Issue", "ISSUE"), "")</f>
        <v/>
      </c>
      <c r="AM1250" s="6"/>
    </row>
    <row r="1251">
      <c r="A1251" s="5" t="s">
        <v>6428</v>
      </c>
      <c r="B1251" s="1" t="s">
        <v>6429</v>
      </c>
      <c r="C1251" s="1" t="s">
        <v>6430</v>
      </c>
      <c r="D1251" s="2">
        <v>9.178269653E9</v>
      </c>
      <c r="E1251" s="1" t="s">
        <v>6431</v>
      </c>
      <c r="F1251" s="1"/>
      <c r="G1251" s="1" t="s">
        <v>6432</v>
      </c>
      <c r="H1251" s="1" t="s">
        <v>1053</v>
      </c>
      <c r="I1251" s="1">
        <v>7675.0</v>
      </c>
      <c r="J1251" s="1" t="s">
        <v>752</v>
      </c>
      <c r="K1251" s="1" t="s">
        <v>51</v>
      </c>
      <c r="L1251" s="1" t="s">
        <v>5722</v>
      </c>
      <c r="M1251" s="1">
        <v>1.0</v>
      </c>
      <c r="N1251" s="1" t="s">
        <v>2461</v>
      </c>
      <c r="O1251" s="3" t="s">
        <v>4895</v>
      </c>
      <c r="P1251" s="18">
        <v>45889.0</v>
      </c>
      <c r="Q1251" s="1" t="s">
        <v>1630</v>
      </c>
      <c r="R1251" s="1"/>
      <c r="S1251" s="1" t="s">
        <v>52</v>
      </c>
      <c r="T1251" s="1" t="s">
        <v>2461</v>
      </c>
      <c r="U1251" s="1" t="s">
        <v>1441</v>
      </c>
      <c r="V1251" s="4" t="s">
        <v>4895</v>
      </c>
      <c r="W1251" s="1"/>
      <c r="X1251" s="18">
        <v>45889.0</v>
      </c>
      <c r="Y1251" s="1" t="s">
        <v>1630</v>
      </c>
      <c r="Z1251" s="1"/>
      <c r="AA1251" s="1"/>
      <c r="AB1251" s="1" t="s">
        <v>52</v>
      </c>
      <c r="AC1251" s="1" t="s">
        <v>1925</v>
      </c>
      <c r="AD1251" s="1"/>
      <c r="AE1251" s="1" t="s">
        <v>1152</v>
      </c>
      <c r="AF1251" s="1"/>
      <c r="AG1251" s="1"/>
      <c r="AH1251" s="1" t="s">
        <v>1152</v>
      </c>
      <c r="AI1251" s="1"/>
      <c r="AJ1251" s="1" t="s">
        <v>6433</v>
      </c>
      <c r="AK1251" s="1" t="s">
        <v>1152</v>
      </c>
      <c r="AL1251" s="6" t="str">
        <f t="array" ref="AL1251">IFERROR(IFS(XLOOKUP(B1251, 'Kit Delivery Status'!$U:$U, 'Kit Delivery Status'!$K:$K) = "Complete", "DELIVERED", XLOOKUP(B1251, 'Kit Delivery Status'!$U:$U, 'Kit Delivery Status'!$K:$K) = "Issue", "ISSUE"), "")</f>
        <v/>
      </c>
      <c r="AM1251" s="6"/>
    </row>
    <row r="1252">
      <c r="A1252" s="5" t="s">
        <v>6428</v>
      </c>
      <c r="B1252" s="1" t="s">
        <v>6429</v>
      </c>
      <c r="C1252" s="1" t="s">
        <v>6430</v>
      </c>
      <c r="D1252" s="2">
        <v>9.178269653E9</v>
      </c>
      <c r="E1252" s="1" t="s">
        <v>6431</v>
      </c>
      <c r="F1252" s="1"/>
      <c r="G1252" s="1" t="s">
        <v>6432</v>
      </c>
      <c r="H1252" s="1" t="s">
        <v>1053</v>
      </c>
      <c r="I1252" s="1">
        <v>7675.0</v>
      </c>
      <c r="J1252" s="1" t="s">
        <v>752</v>
      </c>
      <c r="K1252" s="1" t="s">
        <v>66</v>
      </c>
      <c r="L1252" s="1" t="s">
        <v>5736</v>
      </c>
      <c r="M1252" s="1">
        <v>115.0</v>
      </c>
      <c r="N1252" s="1" t="s">
        <v>1152</v>
      </c>
      <c r="O1252" s="3" t="s">
        <v>4895</v>
      </c>
      <c r="P1252" s="18">
        <v>45883.0</v>
      </c>
      <c r="Q1252" s="1"/>
      <c r="R1252" s="1"/>
      <c r="S1252" s="1"/>
      <c r="T1252" s="1" t="s">
        <v>1152</v>
      </c>
      <c r="U1252" s="1" t="s">
        <v>1441</v>
      </c>
      <c r="V1252" s="4" t="s">
        <v>4895</v>
      </c>
      <c r="W1252" s="1"/>
      <c r="X1252" s="18">
        <v>45883.0</v>
      </c>
      <c r="Y1252" s="1"/>
      <c r="Z1252" s="1"/>
      <c r="AA1252" s="1"/>
      <c r="AB1252" s="1"/>
      <c r="AC1252" s="1" t="s">
        <v>1925</v>
      </c>
      <c r="AD1252" s="1"/>
      <c r="AE1252" s="1" t="s">
        <v>1152</v>
      </c>
      <c r="AF1252" s="1"/>
      <c r="AG1252" s="1"/>
      <c r="AH1252" s="1" t="s">
        <v>1152</v>
      </c>
      <c r="AI1252" s="1"/>
      <c r="AJ1252" s="1" t="s">
        <v>6433</v>
      </c>
      <c r="AK1252" s="1" t="s">
        <v>1152</v>
      </c>
      <c r="AL1252" s="6" t="str">
        <f t="array" ref="AL1252">IFERROR(IFS(XLOOKUP(B1252, 'Kit Delivery Status'!$U:$U, 'Kit Delivery Status'!$K:$K) = "Complete", "DELIVERED", XLOOKUP(B1252, 'Kit Delivery Status'!$U:$U, 'Kit Delivery Status'!$K:$K) = "Issue", "ISSUE"), "")</f>
        <v/>
      </c>
      <c r="AM1252" s="6"/>
    </row>
    <row r="1253">
      <c r="A1253" s="5" t="s">
        <v>6434</v>
      </c>
      <c r="B1253" s="1" t="s">
        <v>6435</v>
      </c>
      <c r="C1253" s="1" t="s">
        <v>6436</v>
      </c>
      <c r="D1253" s="2">
        <v>4.405619067E9</v>
      </c>
      <c r="E1253" s="1" t="s">
        <v>6437</v>
      </c>
      <c r="F1253" s="1"/>
      <c r="G1253" s="1" t="s">
        <v>6438</v>
      </c>
      <c r="H1253" s="1" t="s">
        <v>2171</v>
      </c>
      <c r="I1253" s="1">
        <v>44040.0</v>
      </c>
      <c r="J1253" s="1" t="s">
        <v>752</v>
      </c>
      <c r="K1253" s="1" t="s">
        <v>66</v>
      </c>
      <c r="L1253" s="1" t="s">
        <v>5736</v>
      </c>
      <c r="M1253" s="1">
        <v>115.0</v>
      </c>
      <c r="N1253" s="1" t="s">
        <v>1152</v>
      </c>
      <c r="O1253" s="3" t="s">
        <v>1966</v>
      </c>
      <c r="P1253" s="18">
        <v>45883.0</v>
      </c>
      <c r="Q1253" s="1"/>
      <c r="R1253" s="1"/>
      <c r="S1253" s="1"/>
      <c r="T1253" s="1" t="s">
        <v>1152</v>
      </c>
      <c r="U1253" s="1" t="s">
        <v>1277</v>
      </c>
      <c r="V1253" s="4" t="s">
        <v>1966</v>
      </c>
      <c r="W1253" s="1"/>
      <c r="X1253" s="18">
        <v>45883.0</v>
      </c>
      <c r="Y1253" s="1"/>
      <c r="Z1253" s="1"/>
      <c r="AA1253" s="1"/>
      <c r="AB1253" s="1"/>
      <c r="AC1253" s="1" t="s">
        <v>1925</v>
      </c>
      <c r="AD1253" s="1"/>
      <c r="AE1253" s="1" t="s">
        <v>1152</v>
      </c>
      <c r="AF1253" s="1"/>
      <c r="AG1253" s="1"/>
      <c r="AH1253" s="1" t="s">
        <v>1152</v>
      </c>
      <c r="AI1253" s="1"/>
      <c r="AJ1253" s="1" t="s">
        <v>6439</v>
      </c>
      <c r="AK1253" s="1" t="s">
        <v>1152</v>
      </c>
      <c r="AL1253" s="6" t="str">
        <f t="array" ref="AL1253">IFERROR(IFS(XLOOKUP(B1253, 'Kit Delivery Status'!$U:$U, 'Kit Delivery Status'!$K:$K) = "Complete", "DELIVERED", XLOOKUP(B1253, 'Kit Delivery Status'!$U:$U, 'Kit Delivery Status'!$K:$K) = "Issue", "ISSUE"), "")</f>
        <v/>
      </c>
      <c r="AM1253" s="6"/>
    </row>
    <row r="1254">
      <c r="A1254" s="5" t="s">
        <v>6440</v>
      </c>
      <c r="B1254" s="1" t="s">
        <v>6441</v>
      </c>
      <c r="C1254" s="1"/>
      <c r="D1254" s="2">
        <v>7.322074234E9</v>
      </c>
      <c r="E1254" s="1" t="s">
        <v>6442</v>
      </c>
      <c r="F1254" s="1"/>
      <c r="G1254" s="1" t="s">
        <v>6443</v>
      </c>
      <c r="H1254" s="1" t="s">
        <v>1583</v>
      </c>
      <c r="I1254" s="1">
        <v>75035.0</v>
      </c>
      <c r="J1254" s="1" t="s">
        <v>752</v>
      </c>
      <c r="K1254" s="1" t="s">
        <v>66</v>
      </c>
      <c r="L1254" s="1" t="s">
        <v>5767</v>
      </c>
      <c r="M1254" s="1">
        <v>210.0</v>
      </c>
      <c r="N1254" s="1" t="s">
        <v>1152</v>
      </c>
      <c r="O1254" s="3" t="s">
        <v>6444</v>
      </c>
      <c r="P1254" s="18">
        <v>45883.0</v>
      </c>
      <c r="Q1254" s="1"/>
      <c r="R1254" s="1"/>
      <c r="S1254" s="1"/>
      <c r="T1254" s="1" t="s">
        <v>1152</v>
      </c>
      <c r="U1254" s="1" t="s">
        <v>6053</v>
      </c>
      <c r="V1254" s="4" t="s">
        <v>6444</v>
      </c>
      <c r="W1254" s="1"/>
      <c r="X1254" s="18">
        <v>45883.0</v>
      </c>
      <c r="Y1254" s="1"/>
      <c r="Z1254" s="1"/>
      <c r="AA1254" s="1"/>
      <c r="AB1254" s="1"/>
      <c r="AC1254" s="1" t="s">
        <v>1925</v>
      </c>
      <c r="AD1254" s="1"/>
      <c r="AE1254" s="1" t="s">
        <v>1152</v>
      </c>
      <c r="AF1254" s="1"/>
      <c r="AG1254" s="1"/>
      <c r="AH1254" s="1" t="s">
        <v>1152</v>
      </c>
      <c r="AI1254" s="1"/>
      <c r="AJ1254" s="1" t="s">
        <v>6445</v>
      </c>
      <c r="AK1254" s="1" t="s">
        <v>1152</v>
      </c>
      <c r="AL1254" s="6" t="str">
        <f t="array" ref="AL1254">IFERROR(IFS(XLOOKUP(B1254, 'Kit Delivery Status'!$U:$U, 'Kit Delivery Status'!$K:$K) = "Complete", "DELIVERED", XLOOKUP(B1254, 'Kit Delivery Status'!$U:$U, 'Kit Delivery Status'!$K:$K) = "Issue", "ISSUE"), "")</f>
        <v/>
      </c>
      <c r="AM1254" s="6"/>
    </row>
    <row r="1255">
      <c r="A1255" s="5" t="s">
        <v>6446</v>
      </c>
      <c r="B1255" s="1" t="s">
        <v>6447</v>
      </c>
      <c r="C1255" s="1"/>
      <c r="D1255" s="2">
        <v>3.107173497E9</v>
      </c>
      <c r="E1255" s="1" t="s">
        <v>6448</v>
      </c>
      <c r="F1255" s="1"/>
      <c r="G1255" s="1" t="s">
        <v>6449</v>
      </c>
      <c r="H1255" s="1" t="s">
        <v>989</v>
      </c>
      <c r="I1255" s="1">
        <v>90275.0</v>
      </c>
      <c r="J1255" s="1" t="s">
        <v>752</v>
      </c>
      <c r="K1255" s="1" t="s">
        <v>66</v>
      </c>
      <c r="L1255" s="1" t="s">
        <v>5736</v>
      </c>
      <c r="M1255" s="1">
        <v>115.0</v>
      </c>
      <c r="N1255" s="1" t="s">
        <v>1152</v>
      </c>
      <c r="O1255" s="3" t="s">
        <v>6450</v>
      </c>
      <c r="P1255" s="18">
        <v>45890.0</v>
      </c>
      <c r="Q1255" s="1"/>
      <c r="R1255" s="1"/>
      <c r="S1255" s="1"/>
      <c r="T1255" s="1" t="s">
        <v>1152</v>
      </c>
      <c r="U1255" s="1" t="s">
        <v>102</v>
      </c>
      <c r="V1255" s="4" t="s">
        <v>6450</v>
      </c>
      <c r="W1255" s="1"/>
      <c r="X1255" s="18">
        <v>45890.0</v>
      </c>
      <c r="Y1255" s="1"/>
      <c r="Z1255" s="1"/>
      <c r="AA1255" s="1"/>
      <c r="AB1255" s="1"/>
      <c r="AC1255" s="1" t="s">
        <v>1925</v>
      </c>
      <c r="AD1255" s="1"/>
      <c r="AE1255" s="1" t="s">
        <v>1152</v>
      </c>
      <c r="AF1255" s="1"/>
      <c r="AG1255" s="1"/>
      <c r="AH1255" s="1" t="s">
        <v>1152</v>
      </c>
      <c r="AI1255" s="1"/>
      <c r="AJ1255" s="1" t="s">
        <v>6451</v>
      </c>
      <c r="AK1255" s="1" t="s">
        <v>1152</v>
      </c>
      <c r="AL1255" s="6" t="str">
        <f t="array" ref="AL1255">IFERROR(IFS(XLOOKUP(B1255, 'Kit Delivery Status'!$U:$U, 'Kit Delivery Status'!$K:$K) = "Complete", "DELIVERED", XLOOKUP(B1255, 'Kit Delivery Status'!$U:$U, 'Kit Delivery Status'!$K:$K) = "Issue", "ISSUE"), "")</f>
        <v/>
      </c>
      <c r="AM1255" s="6"/>
    </row>
    <row r="1256">
      <c r="A1256" s="5" t="s">
        <v>6452</v>
      </c>
      <c r="B1256" s="1" t="s">
        <v>6453</v>
      </c>
      <c r="C1256" s="1" t="s">
        <v>3681</v>
      </c>
      <c r="D1256" s="2">
        <v>8.476918994E9</v>
      </c>
      <c r="E1256" s="1" t="s">
        <v>6454</v>
      </c>
      <c r="F1256" s="1"/>
      <c r="G1256" s="1" t="s">
        <v>3683</v>
      </c>
      <c r="H1256" s="1" t="s">
        <v>1019</v>
      </c>
      <c r="I1256" s="1">
        <v>60047.0</v>
      </c>
      <c r="J1256" s="1" t="s">
        <v>752</v>
      </c>
      <c r="K1256" s="1" t="s">
        <v>66</v>
      </c>
      <c r="L1256" s="1" t="s">
        <v>5833</v>
      </c>
      <c r="M1256" s="1">
        <v>65.0</v>
      </c>
      <c r="N1256" s="1" t="s">
        <v>1152</v>
      </c>
      <c r="O1256" s="3" t="s">
        <v>3684</v>
      </c>
      <c r="P1256" s="18">
        <v>45883.0</v>
      </c>
      <c r="Q1256" s="1"/>
      <c r="R1256" s="1"/>
      <c r="S1256" s="1"/>
      <c r="T1256" s="1" t="s">
        <v>1152</v>
      </c>
      <c r="U1256" s="1" t="s">
        <v>1249</v>
      </c>
      <c r="V1256" s="4" t="s">
        <v>3684</v>
      </c>
      <c r="W1256" s="1"/>
      <c r="X1256" s="18">
        <v>45883.0</v>
      </c>
      <c r="Y1256" s="1"/>
      <c r="Z1256" s="1"/>
      <c r="AA1256" s="1"/>
      <c r="AB1256" s="1"/>
      <c r="AC1256" s="1" t="s">
        <v>1925</v>
      </c>
      <c r="AD1256" s="1"/>
      <c r="AE1256" s="1" t="s">
        <v>1152</v>
      </c>
      <c r="AF1256" s="1"/>
      <c r="AG1256" s="1"/>
      <c r="AH1256" s="1" t="s">
        <v>1152</v>
      </c>
      <c r="AI1256" s="1"/>
      <c r="AJ1256" s="1" t="s">
        <v>6455</v>
      </c>
      <c r="AK1256" s="1" t="s">
        <v>1152</v>
      </c>
      <c r="AL1256" s="6" t="str">
        <f t="array" ref="AL1256">IFERROR(IFS(XLOOKUP(B1256, 'Kit Delivery Status'!$U:$U, 'Kit Delivery Status'!$K:$K) = "Complete", "DELIVERED", XLOOKUP(B1256, 'Kit Delivery Status'!$U:$U, 'Kit Delivery Status'!$K:$K) = "Issue", "ISSUE"), "")</f>
        <v/>
      </c>
      <c r="AM1256" s="6"/>
    </row>
    <row r="1257">
      <c r="A1257" s="5" t="s">
        <v>6456</v>
      </c>
      <c r="B1257" s="1" t="s">
        <v>6457</v>
      </c>
      <c r="C1257" s="1"/>
      <c r="D1257" s="2">
        <v>6.103240732E9</v>
      </c>
      <c r="E1257" s="1" t="s">
        <v>6458</v>
      </c>
      <c r="F1257" s="1"/>
      <c r="G1257" s="1" t="s">
        <v>6459</v>
      </c>
      <c r="H1257" s="1" t="s">
        <v>1233</v>
      </c>
      <c r="I1257" s="1">
        <v>19087.0</v>
      </c>
      <c r="J1257" s="1" t="s">
        <v>752</v>
      </c>
      <c r="K1257" s="1" t="s">
        <v>51</v>
      </c>
      <c r="L1257" s="1" t="s">
        <v>5722</v>
      </c>
      <c r="M1257" s="1">
        <v>1.0</v>
      </c>
      <c r="N1257" s="1" t="s">
        <v>2461</v>
      </c>
      <c r="O1257" s="3" t="s">
        <v>2697</v>
      </c>
      <c r="P1257" s="18">
        <v>45882.0</v>
      </c>
      <c r="Q1257" s="1" t="s">
        <v>1030</v>
      </c>
      <c r="R1257" s="1"/>
      <c r="S1257" s="1" t="s">
        <v>52</v>
      </c>
      <c r="T1257" s="1" t="s">
        <v>2461</v>
      </c>
      <c r="U1257" s="1" t="s">
        <v>1415</v>
      </c>
      <c r="V1257" s="4" t="s">
        <v>2697</v>
      </c>
      <c r="W1257" s="1"/>
      <c r="X1257" s="18">
        <v>45882.0</v>
      </c>
      <c r="Y1257" s="1" t="s">
        <v>1030</v>
      </c>
      <c r="Z1257" s="1"/>
      <c r="AA1257" s="1"/>
      <c r="AB1257" s="1" t="s">
        <v>52</v>
      </c>
      <c r="AC1257" s="1" t="s">
        <v>1925</v>
      </c>
      <c r="AD1257" s="1"/>
      <c r="AE1257" s="1" t="s">
        <v>1152</v>
      </c>
      <c r="AF1257" s="1"/>
      <c r="AG1257" s="1"/>
      <c r="AH1257" s="1" t="s">
        <v>1152</v>
      </c>
      <c r="AI1257" s="1"/>
      <c r="AJ1257" s="1" t="s">
        <v>6460</v>
      </c>
      <c r="AK1257" s="1" t="s">
        <v>1152</v>
      </c>
      <c r="AL1257" s="6" t="str">
        <f t="array" ref="AL1257">IFERROR(IFS(XLOOKUP(B1257, 'Kit Delivery Status'!$U:$U, 'Kit Delivery Status'!$K:$K) = "Complete", "DELIVERED", XLOOKUP(B1257, 'Kit Delivery Status'!$U:$U, 'Kit Delivery Status'!$K:$K) = "Issue", "ISSUE"), "")</f>
        <v/>
      </c>
      <c r="AM1257" s="6"/>
    </row>
    <row r="1258">
      <c r="A1258" s="5" t="s">
        <v>6461</v>
      </c>
      <c r="B1258" s="1" t="s">
        <v>6462</v>
      </c>
      <c r="C1258" s="1" t="s">
        <v>6463</v>
      </c>
      <c r="D1258" s="2">
        <v>3.147285258E9</v>
      </c>
      <c r="E1258" s="1" t="s">
        <v>6182</v>
      </c>
      <c r="F1258" s="1"/>
      <c r="G1258" s="1" t="s">
        <v>2350</v>
      </c>
      <c r="H1258" s="1" t="s">
        <v>1155</v>
      </c>
      <c r="I1258" s="1">
        <v>63130.0</v>
      </c>
      <c r="J1258" s="1" t="s">
        <v>752</v>
      </c>
      <c r="K1258" s="1" t="s">
        <v>66</v>
      </c>
      <c r="L1258" s="1" t="s">
        <v>5833</v>
      </c>
      <c r="M1258" s="1">
        <v>65.0</v>
      </c>
      <c r="N1258" s="1" t="s">
        <v>1152</v>
      </c>
      <c r="O1258" s="3" t="s">
        <v>6183</v>
      </c>
      <c r="P1258" s="18">
        <v>45883.0</v>
      </c>
      <c r="Q1258" s="1"/>
      <c r="R1258" s="1"/>
      <c r="S1258" s="1"/>
      <c r="T1258" s="1" t="s">
        <v>1152</v>
      </c>
      <c r="U1258" s="1" t="s">
        <v>1021</v>
      </c>
      <c r="V1258" s="4" t="s">
        <v>6183</v>
      </c>
      <c r="W1258" s="1"/>
      <c r="X1258" s="18">
        <v>45883.0</v>
      </c>
      <c r="Y1258" s="1"/>
      <c r="Z1258" s="1"/>
      <c r="AA1258" s="1"/>
      <c r="AB1258" s="1"/>
      <c r="AC1258" s="1" t="s">
        <v>1925</v>
      </c>
      <c r="AD1258" s="1"/>
      <c r="AE1258" s="1" t="s">
        <v>1152</v>
      </c>
      <c r="AF1258" s="1"/>
      <c r="AG1258" s="1"/>
      <c r="AH1258" s="1" t="s">
        <v>1152</v>
      </c>
      <c r="AI1258" s="1"/>
      <c r="AJ1258" s="1" t="s">
        <v>6464</v>
      </c>
      <c r="AK1258" s="1" t="s">
        <v>1152</v>
      </c>
      <c r="AL1258" s="6" t="str">
        <f t="array" ref="AL1258">IFERROR(IFS(XLOOKUP(B1258, 'Kit Delivery Status'!$U:$U, 'Kit Delivery Status'!$K:$K) = "Complete", "DELIVERED", XLOOKUP(B1258, 'Kit Delivery Status'!$U:$U, 'Kit Delivery Status'!$K:$K) = "Issue", "ISSUE"), "")</f>
        <v/>
      </c>
      <c r="AM1258" s="6"/>
    </row>
    <row r="1259">
      <c r="A1259" s="5" t="s">
        <v>6465</v>
      </c>
      <c r="B1259" s="1" t="s">
        <v>6466</v>
      </c>
      <c r="C1259" s="1" t="s">
        <v>3640</v>
      </c>
      <c r="D1259" s="2">
        <v>5.165241033E9</v>
      </c>
      <c r="E1259" s="1" t="s">
        <v>3641</v>
      </c>
      <c r="F1259" s="1" t="s">
        <v>6467</v>
      </c>
      <c r="G1259" s="1" t="s">
        <v>971</v>
      </c>
      <c r="H1259" s="1" t="s">
        <v>751</v>
      </c>
      <c r="I1259" s="1">
        <v>11050.0</v>
      </c>
      <c r="J1259" s="1" t="s">
        <v>752</v>
      </c>
      <c r="K1259" s="1" t="s">
        <v>51</v>
      </c>
      <c r="L1259" s="1" t="s">
        <v>5722</v>
      </c>
      <c r="M1259" s="1">
        <v>1.0</v>
      </c>
      <c r="N1259" s="1" t="s">
        <v>2487</v>
      </c>
      <c r="O1259" s="3"/>
      <c r="P1259" s="18">
        <v>45891.0</v>
      </c>
      <c r="Q1259" s="1" t="s">
        <v>1349</v>
      </c>
      <c r="R1259" s="1" t="s">
        <v>6467</v>
      </c>
      <c r="S1259" s="1" t="s">
        <v>124</v>
      </c>
      <c r="T1259" s="1" t="s">
        <v>2487</v>
      </c>
      <c r="U1259" s="1"/>
      <c r="V1259" s="4"/>
      <c r="W1259" s="1" t="s">
        <v>6467</v>
      </c>
      <c r="X1259" s="18">
        <v>45891.0</v>
      </c>
      <c r="Y1259" s="1" t="s">
        <v>1349</v>
      </c>
      <c r="Z1259" s="1"/>
      <c r="AA1259" s="1" t="s">
        <v>6467</v>
      </c>
      <c r="AB1259" s="1" t="s">
        <v>124</v>
      </c>
      <c r="AC1259" s="1" t="s">
        <v>1925</v>
      </c>
      <c r="AD1259" s="1"/>
      <c r="AE1259" s="1" t="s">
        <v>1152</v>
      </c>
      <c r="AF1259" s="1"/>
      <c r="AG1259" s="1"/>
      <c r="AH1259" s="1" t="s">
        <v>1152</v>
      </c>
      <c r="AI1259" s="1"/>
      <c r="AJ1259" s="1" t="s">
        <v>6468</v>
      </c>
      <c r="AK1259" s="1" t="s">
        <v>1152</v>
      </c>
      <c r="AL1259" s="6" t="str">
        <f t="array" ref="AL1259">IFERROR(IFS(XLOOKUP(B1259, 'Kit Delivery Status'!$U:$U, 'Kit Delivery Status'!$K:$K) = "Complete", "DELIVERED", XLOOKUP(B1259, 'Kit Delivery Status'!$U:$U, 'Kit Delivery Status'!$K:$K) = "Issue", "ISSUE"), "")</f>
        <v/>
      </c>
      <c r="AM1259" s="6"/>
    </row>
    <row r="1260">
      <c r="A1260" s="5" t="s">
        <v>6465</v>
      </c>
      <c r="B1260" s="1" t="s">
        <v>6466</v>
      </c>
      <c r="C1260" s="1" t="s">
        <v>3640</v>
      </c>
      <c r="D1260" s="2">
        <v>5.165241033E9</v>
      </c>
      <c r="E1260" s="1" t="s">
        <v>3641</v>
      </c>
      <c r="F1260" s="1" t="s">
        <v>6469</v>
      </c>
      <c r="G1260" s="1" t="s">
        <v>971</v>
      </c>
      <c r="H1260" s="1" t="s">
        <v>751</v>
      </c>
      <c r="I1260" s="1">
        <v>11050.0</v>
      </c>
      <c r="J1260" s="1" t="s">
        <v>752</v>
      </c>
      <c r="K1260" s="1" t="s">
        <v>95</v>
      </c>
      <c r="L1260" s="1" t="s">
        <v>5820</v>
      </c>
      <c r="M1260" s="1">
        <v>49.0</v>
      </c>
      <c r="N1260" s="1" t="s">
        <v>2487</v>
      </c>
      <c r="O1260" s="3"/>
      <c r="P1260" s="18">
        <v>45891.0</v>
      </c>
      <c r="Q1260" s="1" t="s">
        <v>1030</v>
      </c>
      <c r="R1260" s="1" t="s">
        <v>6469</v>
      </c>
      <c r="S1260" s="1" t="s">
        <v>124</v>
      </c>
      <c r="T1260" s="1" t="s">
        <v>2487</v>
      </c>
      <c r="U1260" s="1"/>
      <c r="V1260" s="4"/>
      <c r="W1260" s="1" t="s">
        <v>6469</v>
      </c>
      <c r="X1260" s="18">
        <v>45891.0</v>
      </c>
      <c r="Y1260" s="1" t="s">
        <v>1030</v>
      </c>
      <c r="Z1260" s="1"/>
      <c r="AA1260" s="1" t="s">
        <v>6469</v>
      </c>
      <c r="AB1260" s="1" t="s">
        <v>124</v>
      </c>
      <c r="AC1260" s="1" t="s">
        <v>6470</v>
      </c>
      <c r="AD1260" s="1"/>
      <c r="AE1260" s="1" t="s">
        <v>1152</v>
      </c>
      <c r="AF1260" s="1"/>
      <c r="AG1260" s="1"/>
      <c r="AH1260" s="1" t="s">
        <v>1152</v>
      </c>
      <c r="AI1260" s="1"/>
      <c r="AJ1260" s="1"/>
      <c r="AK1260" s="1" t="s">
        <v>1152</v>
      </c>
      <c r="AL1260" s="6" t="str">
        <f t="array" ref="AL1260">IFERROR(IFS(XLOOKUP(B1260, 'Kit Delivery Status'!$U:$U, 'Kit Delivery Status'!$K:$K) = "Complete", "DELIVERED", XLOOKUP(B1260, 'Kit Delivery Status'!$U:$U, 'Kit Delivery Status'!$K:$K) = "Issue", "ISSUE"), "")</f>
        <v/>
      </c>
      <c r="AM1260" s="6"/>
    </row>
    <row r="1261">
      <c r="A1261" s="5" t="s">
        <v>6471</v>
      </c>
      <c r="B1261" s="1" t="s">
        <v>6472</v>
      </c>
      <c r="C1261" s="1"/>
      <c r="D1261" s="2">
        <v>1.8454167986E10</v>
      </c>
      <c r="E1261" s="1" t="s">
        <v>6473</v>
      </c>
      <c r="F1261" s="1" t="s">
        <v>6474</v>
      </c>
      <c r="G1261" s="1" t="s">
        <v>6475</v>
      </c>
      <c r="H1261" s="1" t="s">
        <v>751</v>
      </c>
      <c r="I1261" s="1">
        <v>12538.0</v>
      </c>
      <c r="J1261" s="1" t="s">
        <v>752</v>
      </c>
      <c r="K1261" s="1" t="s">
        <v>51</v>
      </c>
      <c r="L1261" s="1" t="s">
        <v>5722</v>
      </c>
      <c r="M1261" s="1">
        <v>1.0</v>
      </c>
      <c r="N1261" s="1" t="s">
        <v>2487</v>
      </c>
      <c r="O1261" s="3"/>
      <c r="P1261" s="18">
        <v>45887.0</v>
      </c>
      <c r="Q1261" s="1" t="s">
        <v>1349</v>
      </c>
      <c r="R1261" s="1" t="s">
        <v>6474</v>
      </c>
      <c r="S1261" s="1" t="s">
        <v>124</v>
      </c>
      <c r="T1261" s="1" t="s">
        <v>2487</v>
      </c>
      <c r="U1261" s="1"/>
      <c r="V1261" s="4"/>
      <c r="W1261" s="1" t="s">
        <v>6474</v>
      </c>
      <c r="X1261" s="18">
        <v>45887.0</v>
      </c>
      <c r="Y1261" s="1" t="s">
        <v>1349</v>
      </c>
      <c r="Z1261" s="1"/>
      <c r="AA1261" s="1" t="s">
        <v>6474</v>
      </c>
      <c r="AB1261" s="1" t="s">
        <v>124</v>
      </c>
      <c r="AC1261" s="1" t="s">
        <v>1925</v>
      </c>
      <c r="AD1261" s="1"/>
      <c r="AE1261" s="1" t="s">
        <v>1152</v>
      </c>
      <c r="AF1261" s="1"/>
      <c r="AG1261" s="1"/>
      <c r="AH1261" s="1" t="s">
        <v>1152</v>
      </c>
      <c r="AI1261" s="1"/>
      <c r="AJ1261" s="1" t="s">
        <v>6476</v>
      </c>
      <c r="AK1261" s="1" t="s">
        <v>1152</v>
      </c>
      <c r="AL1261" s="6" t="str">
        <f t="array" ref="AL1261">IFERROR(IFS(XLOOKUP(B1261, 'Kit Delivery Status'!$U:$U, 'Kit Delivery Status'!$K:$K) = "Complete", "DELIVERED", XLOOKUP(B1261, 'Kit Delivery Status'!$U:$U, 'Kit Delivery Status'!$K:$K) = "Issue", "ISSUE"), "")</f>
        <v/>
      </c>
      <c r="AM1261" s="6"/>
    </row>
    <row r="1262">
      <c r="A1262" s="5" t="s">
        <v>6477</v>
      </c>
      <c r="B1262" s="1" t="s">
        <v>6478</v>
      </c>
      <c r="C1262" s="1" t="s">
        <v>5139</v>
      </c>
      <c r="D1262" s="2">
        <v>7.708336909E9</v>
      </c>
      <c r="E1262" s="1" t="s">
        <v>5140</v>
      </c>
      <c r="F1262" s="1"/>
      <c r="G1262" s="1" t="s">
        <v>5141</v>
      </c>
      <c r="H1262" s="1" t="s">
        <v>946</v>
      </c>
      <c r="I1262" s="1">
        <v>30082.0</v>
      </c>
      <c r="J1262" s="1" t="s">
        <v>752</v>
      </c>
      <c r="K1262" s="1" t="s">
        <v>66</v>
      </c>
      <c r="L1262" s="1" t="s">
        <v>5811</v>
      </c>
      <c r="M1262" s="1">
        <v>145.0</v>
      </c>
      <c r="N1262" s="1" t="s">
        <v>1152</v>
      </c>
      <c r="O1262" s="3" t="s">
        <v>103</v>
      </c>
      <c r="P1262" s="18">
        <v>45882.0</v>
      </c>
      <c r="Q1262" s="1"/>
      <c r="R1262" s="1"/>
      <c r="S1262" s="1"/>
      <c r="T1262" s="1" t="s">
        <v>1152</v>
      </c>
      <c r="U1262" s="1" t="s">
        <v>102</v>
      </c>
      <c r="V1262" s="4" t="s">
        <v>103</v>
      </c>
      <c r="W1262" s="1"/>
      <c r="X1262" s="18">
        <v>45882.0</v>
      </c>
      <c r="Y1262" s="1"/>
      <c r="Z1262" s="1"/>
      <c r="AA1262" s="1"/>
      <c r="AB1262" s="1"/>
      <c r="AC1262" s="1" t="s">
        <v>1925</v>
      </c>
      <c r="AD1262" s="1"/>
      <c r="AE1262" s="1" t="s">
        <v>1152</v>
      </c>
      <c r="AF1262" s="1"/>
      <c r="AG1262" s="1"/>
      <c r="AH1262" s="1" t="s">
        <v>1152</v>
      </c>
      <c r="AI1262" s="1"/>
      <c r="AJ1262" s="1" t="s">
        <v>6479</v>
      </c>
      <c r="AK1262" s="1" t="s">
        <v>1152</v>
      </c>
      <c r="AL1262" s="6" t="str">
        <f t="array" ref="AL1262">IFERROR(IFS(XLOOKUP(B1262, 'Kit Delivery Status'!$U:$U, 'Kit Delivery Status'!$K:$K) = "Complete", "DELIVERED", XLOOKUP(B1262, 'Kit Delivery Status'!$U:$U, 'Kit Delivery Status'!$K:$K) = "Issue", "ISSUE"), "")</f>
        <v/>
      </c>
      <c r="AM1262" s="6"/>
    </row>
    <row r="1263">
      <c r="A1263" s="5" t="s">
        <v>6480</v>
      </c>
      <c r="B1263" s="1" t="s">
        <v>6481</v>
      </c>
      <c r="C1263" s="1" t="s">
        <v>6482</v>
      </c>
      <c r="D1263" s="2">
        <v>9.145235728E9</v>
      </c>
      <c r="E1263" s="1" t="s">
        <v>6483</v>
      </c>
      <c r="F1263" s="1"/>
      <c r="G1263" s="1" t="s">
        <v>1766</v>
      </c>
      <c r="H1263" s="1" t="s">
        <v>1078</v>
      </c>
      <c r="I1263" s="1">
        <v>6831.0</v>
      </c>
      <c r="J1263" s="1" t="s">
        <v>752</v>
      </c>
      <c r="K1263" s="1" t="s">
        <v>66</v>
      </c>
      <c r="L1263" s="1" t="s">
        <v>5811</v>
      </c>
      <c r="M1263" s="1">
        <v>145.0</v>
      </c>
      <c r="N1263" s="1" t="s">
        <v>1152</v>
      </c>
      <c r="O1263" s="3" t="s">
        <v>3796</v>
      </c>
      <c r="P1263" s="18">
        <v>45883.0</v>
      </c>
      <c r="Q1263" s="1"/>
      <c r="R1263" s="1"/>
      <c r="S1263" s="1"/>
      <c r="T1263" s="1" t="s">
        <v>1152</v>
      </c>
      <c r="U1263" s="1" t="s">
        <v>1080</v>
      </c>
      <c r="V1263" s="4" t="s">
        <v>3796</v>
      </c>
      <c r="W1263" s="1"/>
      <c r="X1263" s="18">
        <v>45883.0</v>
      </c>
      <c r="Y1263" s="1"/>
      <c r="Z1263" s="1"/>
      <c r="AA1263" s="1"/>
      <c r="AB1263" s="1"/>
      <c r="AC1263" s="1" t="s">
        <v>1925</v>
      </c>
      <c r="AD1263" s="1"/>
      <c r="AE1263" s="1" t="s">
        <v>1152</v>
      </c>
      <c r="AF1263" s="1"/>
      <c r="AG1263" s="1"/>
      <c r="AH1263" s="1" t="s">
        <v>1152</v>
      </c>
      <c r="AI1263" s="1"/>
      <c r="AJ1263" s="1" t="s">
        <v>6484</v>
      </c>
      <c r="AK1263" s="1" t="s">
        <v>1152</v>
      </c>
      <c r="AL1263" s="6" t="str">
        <f t="array" ref="AL1263">IFERROR(IFS(XLOOKUP(B1263, 'Kit Delivery Status'!$U:$U, 'Kit Delivery Status'!$K:$K) = "Complete", "DELIVERED", XLOOKUP(B1263, 'Kit Delivery Status'!$U:$U, 'Kit Delivery Status'!$K:$K) = "Issue", "ISSUE"), "")</f>
        <v/>
      </c>
      <c r="AM1263" s="6"/>
    </row>
    <row r="1264">
      <c r="A1264" s="5" t="s">
        <v>6485</v>
      </c>
      <c r="B1264" s="1" t="s">
        <v>6486</v>
      </c>
      <c r="C1264" s="1" t="s">
        <v>6487</v>
      </c>
      <c r="D1264" s="2">
        <v>7.739306923E9</v>
      </c>
      <c r="E1264" s="1" t="s">
        <v>6488</v>
      </c>
      <c r="F1264" s="1"/>
      <c r="G1264" s="1" t="s">
        <v>1072</v>
      </c>
      <c r="H1264" s="1" t="s">
        <v>1019</v>
      </c>
      <c r="I1264" s="1">
        <v>60608.0</v>
      </c>
      <c r="J1264" s="1" t="s">
        <v>752</v>
      </c>
      <c r="K1264" s="1" t="s">
        <v>66</v>
      </c>
      <c r="L1264" s="1" t="s">
        <v>5767</v>
      </c>
      <c r="M1264" s="1">
        <v>210.0</v>
      </c>
      <c r="N1264" s="1" t="s">
        <v>1152</v>
      </c>
      <c r="O1264" s="3" t="s">
        <v>6489</v>
      </c>
      <c r="P1264" s="18">
        <v>45891.0</v>
      </c>
      <c r="Q1264" s="1"/>
      <c r="R1264" s="1"/>
      <c r="S1264" s="1"/>
      <c r="T1264" s="1" t="s">
        <v>1152</v>
      </c>
      <c r="U1264" s="1" t="s">
        <v>1174</v>
      </c>
      <c r="V1264" s="4" t="s">
        <v>6489</v>
      </c>
      <c r="W1264" s="1"/>
      <c r="X1264" s="18">
        <v>45891.0</v>
      </c>
      <c r="Y1264" s="1"/>
      <c r="Z1264" s="1"/>
      <c r="AA1264" s="1"/>
      <c r="AB1264" s="1"/>
      <c r="AC1264" s="1" t="s">
        <v>1925</v>
      </c>
      <c r="AD1264" s="1"/>
      <c r="AE1264" s="1" t="s">
        <v>1152</v>
      </c>
      <c r="AF1264" s="1"/>
      <c r="AG1264" s="1"/>
      <c r="AH1264" s="1" t="s">
        <v>1152</v>
      </c>
      <c r="AI1264" s="1"/>
      <c r="AJ1264" s="1" t="s">
        <v>6488</v>
      </c>
      <c r="AK1264" s="1" t="s">
        <v>1152</v>
      </c>
      <c r="AL1264" s="6" t="str">
        <f t="array" ref="AL1264">IFERROR(IFS(XLOOKUP(B1264, 'Kit Delivery Status'!$U:$U, 'Kit Delivery Status'!$K:$K) = "Complete", "DELIVERED", XLOOKUP(B1264, 'Kit Delivery Status'!$U:$U, 'Kit Delivery Status'!$K:$K) = "Issue", "ISSUE"), "")</f>
        <v/>
      </c>
      <c r="AM1264" s="6"/>
    </row>
    <row r="1265">
      <c r="A1265" s="5" t="s">
        <v>6490</v>
      </c>
      <c r="B1265" s="1" t="s">
        <v>6491</v>
      </c>
      <c r="C1265" s="1" t="s">
        <v>6492</v>
      </c>
      <c r="D1265" s="2">
        <v>5.104023568E9</v>
      </c>
      <c r="E1265" s="1" t="s">
        <v>6493</v>
      </c>
      <c r="F1265" s="1"/>
      <c r="G1265" s="1" t="s">
        <v>4737</v>
      </c>
      <c r="H1265" s="1" t="s">
        <v>989</v>
      </c>
      <c r="I1265" s="1">
        <v>94539.0</v>
      </c>
      <c r="J1265" s="1" t="s">
        <v>752</v>
      </c>
      <c r="K1265" s="1" t="s">
        <v>51</v>
      </c>
      <c r="L1265" s="1" t="s">
        <v>5722</v>
      </c>
      <c r="M1265" s="1">
        <v>1.0</v>
      </c>
      <c r="N1265" s="1" t="s">
        <v>2461</v>
      </c>
      <c r="O1265" s="3" t="s">
        <v>6494</v>
      </c>
      <c r="P1265" s="18">
        <v>45889.0</v>
      </c>
      <c r="Q1265" s="1" t="s">
        <v>1030</v>
      </c>
      <c r="R1265" s="1"/>
      <c r="S1265" s="1" t="s">
        <v>52</v>
      </c>
      <c r="T1265" s="1" t="s">
        <v>2461</v>
      </c>
      <c r="U1265" s="1" t="s">
        <v>1710</v>
      </c>
      <c r="V1265" s="4" t="s">
        <v>6494</v>
      </c>
      <c r="W1265" s="1"/>
      <c r="X1265" s="18">
        <v>45889.0</v>
      </c>
      <c r="Y1265" s="1" t="s">
        <v>1030</v>
      </c>
      <c r="Z1265" s="1"/>
      <c r="AA1265" s="1"/>
      <c r="AB1265" s="1" t="s">
        <v>52</v>
      </c>
      <c r="AC1265" s="1" t="s">
        <v>1925</v>
      </c>
      <c r="AD1265" s="1"/>
      <c r="AE1265" s="1" t="s">
        <v>1152</v>
      </c>
      <c r="AF1265" s="1"/>
      <c r="AG1265" s="1"/>
      <c r="AH1265" s="1" t="s">
        <v>1152</v>
      </c>
      <c r="AI1265" s="1"/>
      <c r="AJ1265" s="1" t="s">
        <v>6493</v>
      </c>
      <c r="AK1265" s="1" t="s">
        <v>1152</v>
      </c>
      <c r="AL1265" s="6" t="str">
        <f t="array" ref="AL1265">IFERROR(IFS(XLOOKUP(B1265, 'Kit Delivery Status'!$U:$U, 'Kit Delivery Status'!$K:$K) = "Complete", "DELIVERED", XLOOKUP(B1265, 'Kit Delivery Status'!$U:$U, 'Kit Delivery Status'!$K:$K) = "Issue", "ISSUE"), "")</f>
        <v/>
      </c>
      <c r="AM1265" s="6"/>
    </row>
    <row r="1266">
      <c r="A1266" s="5" t="s">
        <v>6495</v>
      </c>
      <c r="B1266" s="1" t="s">
        <v>6496</v>
      </c>
      <c r="C1266" s="1"/>
      <c r="D1266" s="2">
        <v>8.589995331E9</v>
      </c>
      <c r="E1266" s="1" t="s">
        <v>2135</v>
      </c>
      <c r="F1266" s="1" t="s">
        <v>6497</v>
      </c>
      <c r="G1266" s="1" t="s">
        <v>2136</v>
      </c>
      <c r="H1266" s="1" t="s">
        <v>1155</v>
      </c>
      <c r="I1266" s="1">
        <v>63117.0</v>
      </c>
      <c r="J1266" s="1" t="s">
        <v>752</v>
      </c>
      <c r="K1266" s="1" t="s">
        <v>2577</v>
      </c>
      <c r="L1266" s="1" t="s">
        <v>5755</v>
      </c>
      <c r="M1266" s="1">
        <v>1.0</v>
      </c>
      <c r="N1266" s="1" t="s">
        <v>4609</v>
      </c>
      <c r="O1266" s="3"/>
      <c r="P1266" s="18">
        <v>45887.0</v>
      </c>
      <c r="Q1266" s="35">
        <v>0.375</v>
      </c>
      <c r="R1266" s="1" t="s">
        <v>6498</v>
      </c>
      <c r="S1266" s="1"/>
      <c r="T1266" s="1" t="s">
        <v>4609</v>
      </c>
      <c r="U1266" s="1"/>
      <c r="V1266" s="4"/>
      <c r="W1266" s="1" t="s">
        <v>6498</v>
      </c>
      <c r="X1266" s="18">
        <v>45887.0</v>
      </c>
      <c r="Y1266" s="35">
        <v>0.375</v>
      </c>
      <c r="Z1266" s="1"/>
      <c r="AA1266" s="1" t="s">
        <v>6498</v>
      </c>
      <c r="AB1266" s="1"/>
      <c r="AC1266" s="1" t="s">
        <v>1925</v>
      </c>
      <c r="AD1266" s="1"/>
      <c r="AE1266" s="1" t="s">
        <v>1152</v>
      </c>
      <c r="AF1266" s="1"/>
      <c r="AG1266" s="1"/>
      <c r="AH1266" s="1" t="s">
        <v>1152</v>
      </c>
      <c r="AI1266" s="1" t="s">
        <v>6499</v>
      </c>
      <c r="AJ1266" s="1"/>
      <c r="AK1266" s="1" t="s">
        <v>6500</v>
      </c>
      <c r="AL1266" s="6" t="str">
        <f t="array" ref="AL1266">IFERROR(IFS(XLOOKUP(B1266, 'Kit Delivery Status'!$U:$U, 'Kit Delivery Status'!$K:$K) = "Complete", "DELIVERED", XLOOKUP(B1266, 'Kit Delivery Status'!$U:$U, 'Kit Delivery Status'!$K:$K) = "Issue", "ISSUE"), "")</f>
        <v/>
      </c>
      <c r="AM1266" s="6"/>
    </row>
    <row r="1267">
      <c r="A1267" s="5" t="s">
        <v>6501</v>
      </c>
      <c r="B1267" s="1" t="s">
        <v>6502</v>
      </c>
      <c r="C1267" s="1" t="s">
        <v>6503</v>
      </c>
      <c r="D1267" s="2">
        <v>6.507706708E9</v>
      </c>
      <c r="E1267" s="1" t="s">
        <v>6504</v>
      </c>
      <c r="F1267" s="1" t="s">
        <v>6505</v>
      </c>
      <c r="G1267" s="1" t="s">
        <v>1430</v>
      </c>
      <c r="H1267" s="1" t="s">
        <v>989</v>
      </c>
      <c r="I1267" s="1">
        <v>94560.0</v>
      </c>
      <c r="J1267" s="1" t="s">
        <v>752</v>
      </c>
      <c r="K1267" s="1" t="s">
        <v>51</v>
      </c>
      <c r="L1267" s="1" t="s">
        <v>5722</v>
      </c>
      <c r="M1267" s="1">
        <v>1.0</v>
      </c>
      <c r="N1267" s="1" t="s">
        <v>2487</v>
      </c>
      <c r="O1267" s="3"/>
      <c r="P1267" s="18">
        <v>45891.0</v>
      </c>
      <c r="Q1267" s="1" t="s">
        <v>3186</v>
      </c>
      <c r="R1267" s="1" t="s">
        <v>6505</v>
      </c>
      <c r="S1267" s="1" t="s">
        <v>124</v>
      </c>
      <c r="T1267" s="1" t="s">
        <v>2487</v>
      </c>
      <c r="U1267" s="1"/>
      <c r="V1267" s="4"/>
      <c r="W1267" s="1" t="s">
        <v>6505</v>
      </c>
      <c r="X1267" s="18">
        <v>45891.0</v>
      </c>
      <c r="Y1267" s="1" t="s">
        <v>3186</v>
      </c>
      <c r="Z1267" s="1"/>
      <c r="AA1267" s="1" t="s">
        <v>6505</v>
      </c>
      <c r="AB1267" s="1" t="s">
        <v>124</v>
      </c>
      <c r="AC1267" s="1" t="s">
        <v>1925</v>
      </c>
      <c r="AD1267" s="1"/>
      <c r="AE1267" s="1" t="s">
        <v>1152</v>
      </c>
      <c r="AF1267" s="1"/>
      <c r="AG1267" s="1"/>
      <c r="AH1267" s="1" t="s">
        <v>1152</v>
      </c>
      <c r="AI1267" s="1"/>
      <c r="AJ1267" s="1" t="s">
        <v>6506</v>
      </c>
      <c r="AK1267" s="1" t="s">
        <v>1152</v>
      </c>
      <c r="AL1267" s="6" t="str">
        <f t="array" ref="AL1267">IFERROR(IFS(XLOOKUP(B1267, 'Kit Delivery Status'!$U:$U, 'Kit Delivery Status'!$K:$K) = "Complete", "DELIVERED", XLOOKUP(B1267, 'Kit Delivery Status'!$U:$U, 'Kit Delivery Status'!$K:$K) = "Issue", "ISSUE"), "")</f>
        <v/>
      </c>
      <c r="AM1267" s="6"/>
    </row>
    <row r="1268">
      <c r="A1268" s="5" t="s">
        <v>6507</v>
      </c>
      <c r="B1268" s="1" t="s">
        <v>6508</v>
      </c>
      <c r="C1268" s="1" t="s">
        <v>3297</v>
      </c>
      <c r="D1268" s="2">
        <v>3.179187156E9</v>
      </c>
      <c r="E1268" s="1" t="s">
        <v>3298</v>
      </c>
      <c r="F1268" s="1"/>
      <c r="G1268" s="1" t="s">
        <v>3299</v>
      </c>
      <c r="H1268" s="1" t="s">
        <v>1005</v>
      </c>
      <c r="I1268" s="1">
        <v>20782.0</v>
      </c>
      <c r="J1268" s="1" t="s">
        <v>752</v>
      </c>
      <c r="K1268" s="1" t="s">
        <v>66</v>
      </c>
      <c r="L1268" s="1" t="s">
        <v>6107</v>
      </c>
      <c r="M1268" s="1">
        <v>180.0</v>
      </c>
      <c r="N1268" s="1" t="s">
        <v>1152</v>
      </c>
      <c r="O1268" s="3" t="s">
        <v>3300</v>
      </c>
      <c r="P1268" s="18">
        <v>45883.0</v>
      </c>
      <c r="Q1268" s="1"/>
      <c r="R1268" s="1"/>
      <c r="S1268" s="1"/>
      <c r="T1268" s="1" t="s">
        <v>1152</v>
      </c>
      <c r="U1268" s="1" t="s">
        <v>1407</v>
      </c>
      <c r="V1268" s="4" t="s">
        <v>3300</v>
      </c>
      <c r="W1268" s="1"/>
      <c r="X1268" s="18">
        <v>45883.0</v>
      </c>
      <c r="Y1268" s="1"/>
      <c r="Z1268" s="1"/>
      <c r="AA1268" s="1"/>
      <c r="AB1268" s="1"/>
      <c r="AC1268" s="1" t="s">
        <v>1925</v>
      </c>
      <c r="AD1268" s="1"/>
      <c r="AE1268" s="1" t="s">
        <v>1152</v>
      </c>
      <c r="AF1268" s="1"/>
      <c r="AG1268" s="1"/>
      <c r="AH1268" s="1" t="s">
        <v>1152</v>
      </c>
      <c r="AI1268" s="1"/>
      <c r="AJ1268" s="1" t="s">
        <v>6509</v>
      </c>
      <c r="AK1268" s="1" t="s">
        <v>1152</v>
      </c>
      <c r="AL1268" s="6" t="str">
        <f t="array" ref="AL1268">IFERROR(IFS(XLOOKUP(B1268, 'Kit Delivery Status'!$U:$U, 'Kit Delivery Status'!$K:$K) = "Complete", "DELIVERED", XLOOKUP(B1268, 'Kit Delivery Status'!$U:$U, 'Kit Delivery Status'!$K:$K) = "Issue", "ISSUE"), "")</f>
        <v/>
      </c>
      <c r="AM1268" s="6"/>
    </row>
    <row r="1269">
      <c r="A1269" s="5" t="s">
        <v>6510</v>
      </c>
      <c r="B1269" s="1" t="s">
        <v>6511</v>
      </c>
      <c r="C1269" s="1" t="s">
        <v>6512</v>
      </c>
      <c r="D1269" s="2">
        <v>3.475270834E9</v>
      </c>
      <c r="E1269" s="1" t="s">
        <v>6513</v>
      </c>
      <c r="F1269" s="1"/>
      <c r="G1269" s="1" t="s">
        <v>6514</v>
      </c>
      <c r="H1269" s="1" t="s">
        <v>751</v>
      </c>
      <c r="I1269" s="1">
        <v>11372.0</v>
      </c>
      <c r="J1269" s="1" t="s">
        <v>752</v>
      </c>
      <c r="K1269" s="1" t="s">
        <v>6515</v>
      </c>
      <c r="L1269" s="1" t="s">
        <v>6516</v>
      </c>
      <c r="M1269" s="1">
        <v>400.0</v>
      </c>
      <c r="N1269" s="1" t="s">
        <v>1152</v>
      </c>
      <c r="O1269" s="3"/>
      <c r="P1269" s="18"/>
      <c r="Q1269" s="1"/>
      <c r="R1269" s="1"/>
      <c r="S1269" s="1"/>
      <c r="T1269" s="1" t="s">
        <v>1152</v>
      </c>
      <c r="U1269" s="1"/>
      <c r="V1269" s="4"/>
      <c r="W1269" s="1"/>
      <c r="X1269" s="18"/>
      <c r="Y1269" s="1"/>
      <c r="Z1269" s="1"/>
      <c r="AA1269" s="1"/>
      <c r="AB1269" s="1"/>
      <c r="AC1269" s="1" t="s">
        <v>6517</v>
      </c>
      <c r="AD1269" s="1"/>
      <c r="AE1269" s="18">
        <v>45882.0</v>
      </c>
      <c r="AF1269" s="1"/>
      <c r="AG1269" s="1"/>
      <c r="AH1269" s="1" t="s">
        <v>6518</v>
      </c>
      <c r="AI1269" s="1" t="s">
        <v>6519</v>
      </c>
      <c r="AJ1269" s="1"/>
      <c r="AK1269" s="1" t="s">
        <v>6520</v>
      </c>
      <c r="AL1269" s="6" t="str">
        <f t="array" ref="AL1269">IFERROR(IFS(XLOOKUP(B1269, 'Kit Delivery Status'!$U:$U, 'Kit Delivery Status'!$K:$K) = "Complete", "DELIVERED", XLOOKUP(B1269, 'Kit Delivery Status'!$U:$U, 'Kit Delivery Status'!$K:$K) = "Issue", "ISSUE"), "")</f>
        <v/>
      </c>
      <c r="AM1269" s="6"/>
    </row>
    <row r="1270">
      <c r="A1270" s="5" t="s">
        <v>6521</v>
      </c>
      <c r="B1270" s="1" t="s">
        <v>6522</v>
      </c>
      <c r="C1270" s="1" t="s">
        <v>1852</v>
      </c>
      <c r="D1270" s="2">
        <v>9.172326716E9</v>
      </c>
      <c r="E1270" s="1" t="s">
        <v>6523</v>
      </c>
      <c r="F1270" s="1"/>
      <c r="G1270" s="1" t="s">
        <v>751</v>
      </c>
      <c r="H1270" s="1" t="s">
        <v>751</v>
      </c>
      <c r="I1270" s="1">
        <v>10028.0</v>
      </c>
      <c r="J1270" s="1" t="s">
        <v>752</v>
      </c>
      <c r="K1270" s="1" t="s">
        <v>66</v>
      </c>
      <c r="L1270" s="1" t="s">
        <v>5811</v>
      </c>
      <c r="M1270" s="1">
        <v>145.0</v>
      </c>
      <c r="N1270" s="1" t="s">
        <v>1152</v>
      </c>
      <c r="O1270" s="3" t="s">
        <v>1854</v>
      </c>
      <c r="P1270" s="18">
        <v>45883.0</v>
      </c>
      <c r="Q1270" s="1"/>
      <c r="R1270" s="1"/>
      <c r="S1270" s="1"/>
      <c r="T1270" s="1" t="s">
        <v>1152</v>
      </c>
      <c r="U1270" s="1" t="s">
        <v>1201</v>
      </c>
      <c r="V1270" s="4" t="s">
        <v>1854</v>
      </c>
      <c r="W1270" s="1"/>
      <c r="X1270" s="18">
        <v>45883.0</v>
      </c>
      <c r="Y1270" s="1"/>
      <c r="Z1270" s="1"/>
      <c r="AA1270" s="1"/>
      <c r="AB1270" s="1"/>
      <c r="AC1270" s="1" t="s">
        <v>1925</v>
      </c>
      <c r="AD1270" s="1"/>
      <c r="AE1270" s="1" t="s">
        <v>1152</v>
      </c>
      <c r="AF1270" s="1"/>
      <c r="AG1270" s="1"/>
      <c r="AH1270" s="1" t="s">
        <v>1152</v>
      </c>
      <c r="AI1270" s="1"/>
      <c r="AJ1270" s="1" t="s">
        <v>1853</v>
      </c>
      <c r="AK1270" s="1" t="s">
        <v>1152</v>
      </c>
      <c r="AL1270" s="6" t="str">
        <f t="array" ref="AL1270">IFERROR(IFS(XLOOKUP(B1270, 'Kit Delivery Status'!$U:$U, 'Kit Delivery Status'!$K:$K) = "Complete", "DELIVERED", XLOOKUP(B1270, 'Kit Delivery Status'!$U:$U, 'Kit Delivery Status'!$K:$K) = "Issue", "ISSUE"), "")</f>
        <v/>
      </c>
      <c r="AM1270" s="6"/>
    </row>
    <row r="1271">
      <c r="A1271" s="5" t="s">
        <v>6524</v>
      </c>
      <c r="B1271" s="1" t="s">
        <v>6525</v>
      </c>
      <c r="C1271" s="1" t="s">
        <v>6526</v>
      </c>
      <c r="D1271" s="2">
        <v>5.109143676E9</v>
      </c>
      <c r="E1271" s="1" t="s">
        <v>6527</v>
      </c>
      <c r="F1271" s="1"/>
      <c r="G1271" s="1" t="s">
        <v>6528</v>
      </c>
      <c r="H1271" s="1" t="s">
        <v>989</v>
      </c>
      <c r="I1271" s="1">
        <v>94706.0</v>
      </c>
      <c r="J1271" s="1" t="s">
        <v>752</v>
      </c>
      <c r="K1271" s="1" t="s">
        <v>66</v>
      </c>
      <c r="L1271" s="1" t="s">
        <v>5736</v>
      </c>
      <c r="M1271" s="1">
        <v>115.0</v>
      </c>
      <c r="N1271" s="1" t="s">
        <v>1152</v>
      </c>
      <c r="O1271" s="3" t="s">
        <v>6529</v>
      </c>
      <c r="P1271" s="18">
        <v>45883.0</v>
      </c>
      <c r="Q1271" s="1"/>
      <c r="R1271" s="1"/>
      <c r="S1271" s="1"/>
      <c r="T1271" s="1" t="s">
        <v>1152</v>
      </c>
      <c r="U1271" s="1" t="s">
        <v>1249</v>
      </c>
      <c r="V1271" s="4" t="s">
        <v>6529</v>
      </c>
      <c r="W1271" s="1"/>
      <c r="X1271" s="18">
        <v>45883.0</v>
      </c>
      <c r="Y1271" s="1"/>
      <c r="Z1271" s="1"/>
      <c r="AA1271" s="1"/>
      <c r="AB1271" s="1"/>
      <c r="AC1271" s="1" t="s">
        <v>1925</v>
      </c>
      <c r="AD1271" s="1"/>
      <c r="AE1271" s="1" t="s">
        <v>1152</v>
      </c>
      <c r="AF1271" s="1"/>
      <c r="AG1271" s="1"/>
      <c r="AH1271" s="1" t="s">
        <v>1152</v>
      </c>
      <c r="AI1271" s="1"/>
      <c r="AJ1271" s="1" t="s">
        <v>6530</v>
      </c>
      <c r="AK1271" s="1" t="s">
        <v>1152</v>
      </c>
      <c r="AL1271" s="6" t="str">
        <f t="array" ref="AL1271">IFERROR(IFS(XLOOKUP(B1271, 'Kit Delivery Status'!$U:$U, 'Kit Delivery Status'!$K:$K) = "Complete", "DELIVERED", XLOOKUP(B1271, 'Kit Delivery Status'!$U:$U, 'Kit Delivery Status'!$K:$K) = "Issue", "ISSUE"), "")</f>
        <v/>
      </c>
      <c r="AM1271" s="6"/>
    </row>
    <row r="1272">
      <c r="A1272" s="5" t="s">
        <v>6531</v>
      </c>
      <c r="B1272" s="1" t="s">
        <v>6532</v>
      </c>
      <c r="C1272" s="1" t="s">
        <v>6533</v>
      </c>
      <c r="D1272" s="2">
        <v>13013001073</v>
      </c>
      <c r="E1272" s="1" t="s">
        <v>5712</v>
      </c>
      <c r="F1272" s="1"/>
      <c r="G1272" s="1" t="s">
        <v>1299</v>
      </c>
      <c r="H1272" s="1" t="s">
        <v>1005</v>
      </c>
      <c r="I1272" s="1">
        <v>20817.0</v>
      </c>
      <c r="J1272" s="1" t="s">
        <v>752</v>
      </c>
      <c r="K1272" s="1" t="s">
        <v>66</v>
      </c>
      <c r="L1272" s="1" t="s">
        <v>5811</v>
      </c>
      <c r="M1272" s="1">
        <v>145.0</v>
      </c>
      <c r="N1272" s="1" t="s">
        <v>1152</v>
      </c>
      <c r="O1272" s="3" t="s">
        <v>5713</v>
      </c>
      <c r="P1272" s="18">
        <v>45882.0</v>
      </c>
      <c r="Q1272" s="1"/>
      <c r="R1272" s="1"/>
      <c r="S1272" s="1"/>
      <c r="T1272" s="1" t="s">
        <v>1152</v>
      </c>
      <c r="U1272" s="1" t="s">
        <v>1794</v>
      </c>
      <c r="V1272" s="4" t="s">
        <v>5713</v>
      </c>
      <c r="W1272" s="1"/>
      <c r="X1272" s="18">
        <v>45882.0</v>
      </c>
      <c r="Y1272" s="1"/>
      <c r="Z1272" s="1"/>
      <c r="AA1272" s="1"/>
      <c r="AB1272" s="1"/>
      <c r="AC1272" s="1" t="s">
        <v>1925</v>
      </c>
      <c r="AD1272" s="1"/>
      <c r="AE1272" s="1" t="s">
        <v>1152</v>
      </c>
      <c r="AF1272" s="1"/>
      <c r="AG1272" s="1"/>
      <c r="AH1272" s="1" t="s">
        <v>1152</v>
      </c>
      <c r="AI1272" s="1"/>
      <c r="AJ1272" s="1" t="s">
        <v>5712</v>
      </c>
      <c r="AK1272" s="1" t="s">
        <v>1152</v>
      </c>
      <c r="AL1272" s="6" t="str">
        <f t="array" ref="AL1272">IFERROR(IFS(XLOOKUP(B1272, 'Kit Delivery Status'!$U:$U, 'Kit Delivery Status'!$K:$K) = "Complete", "DELIVERED", XLOOKUP(B1272, 'Kit Delivery Status'!$U:$U, 'Kit Delivery Status'!$K:$K) = "Issue", "ISSUE"), "")</f>
        <v/>
      </c>
      <c r="AM1272" s="6"/>
    </row>
    <row r="1273">
      <c r="A1273" s="5" t="s">
        <v>6534</v>
      </c>
      <c r="B1273" s="1" t="s">
        <v>6535</v>
      </c>
      <c r="C1273" s="1" t="s">
        <v>6536</v>
      </c>
      <c r="D1273" s="2">
        <v>7.036774759E9</v>
      </c>
      <c r="E1273" s="1" t="s">
        <v>6537</v>
      </c>
      <c r="F1273" s="1"/>
      <c r="G1273" s="1" t="s">
        <v>1037</v>
      </c>
      <c r="H1273" s="1" t="s">
        <v>1038</v>
      </c>
      <c r="I1273" s="1">
        <v>22205.0</v>
      </c>
      <c r="J1273" s="1" t="s">
        <v>752</v>
      </c>
      <c r="K1273" s="1" t="s">
        <v>51</v>
      </c>
      <c r="L1273" s="1" t="s">
        <v>5722</v>
      </c>
      <c r="M1273" s="1">
        <v>1.0</v>
      </c>
      <c r="N1273" s="1" t="s">
        <v>2461</v>
      </c>
      <c r="O1273" s="3" t="s">
        <v>6538</v>
      </c>
      <c r="P1273" s="18">
        <v>45889.0</v>
      </c>
      <c r="Q1273" s="1" t="s">
        <v>1030</v>
      </c>
      <c r="R1273" s="1"/>
      <c r="S1273" s="1" t="s">
        <v>52</v>
      </c>
      <c r="T1273" s="1" t="s">
        <v>2461</v>
      </c>
      <c r="U1273" s="1" t="s">
        <v>2510</v>
      </c>
      <c r="V1273" s="4" t="s">
        <v>6538</v>
      </c>
      <c r="W1273" s="1"/>
      <c r="X1273" s="18">
        <v>45889.0</v>
      </c>
      <c r="Y1273" s="1" t="s">
        <v>1030</v>
      </c>
      <c r="Z1273" s="1"/>
      <c r="AA1273" s="1"/>
      <c r="AB1273" s="1" t="s">
        <v>52</v>
      </c>
      <c r="AC1273" s="1" t="s">
        <v>1925</v>
      </c>
      <c r="AD1273" s="1"/>
      <c r="AE1273" s="1" t="s">
        <v>1152</v>
      </c>
      <c r="AF1273" s="1"/>
      <c r="AG1273" s="1"/>
      <c r="AH1273" s="1" t="s">
        <v>1152</v>
      </c>
      <c r="AI1273" s="1"/>
      <c r="AJ1273" s="1" t="s">
        <v>6537</v>
      </c>
      <c r="AK1273" s="1" t="s">
        <v>1152</v>
      </c>
      <c r="AL1273" s="6" t="str">
        <f t="array" ref="AL1273">IFERROR(IFS(XLOOKUP(B1273, 'Kit Delivery Status'!$U:$U, 'Kit Delivery Status'!$K:$K) = "Complete", "DELIVERED", XLOOKUP(B1273, 'Kit Delivery Status'!$U:$U, 'Kit Delivery Status'!$K:$K) = "Issue", "ISSUE"), "")</f>
        <v/>
      </c>
      <c r="AM1273" s="6"/>
    </row>
    <row r="1274">
      <c r="A1274" s="5" t="s">
        <v>6539</v>
      </c>
      <c r="B1274" s="1" t="s">
        <v>6540</v>
      </c>
      <c r="C1274" s="1" t="s">
        <v>6541</v>
      </c>
      <c r="D1274" s="2">
        <v>9.082108815E9</v>
      </c>
      <c r="E1274" s="1" t="s">
        <v>6542</v>
      </c>
      <c r="F1274" s="1" t="s">
        <v>6543</v>
      </c>
      <c r="G1274" s="1" t="s">
        <v>6544</v>
      </c>
      <c r="H1274" s="1" t="s">
        <v>1053</v>
      </c>
      <c r="I1274" s="1">
        <v>7921.0</v>
      </c>
      <c r="J1274" s="1" t="s">
        <v>752</v>
      </c>
      <c r="K1274" s="1" t="s">
        <v>51</v>
      </c>
      <c r="L1274" s="1" t="s">
        <v>5722</v>
      </c>
      <c r="M1274" s="1">
        <v>1.0</v>
      </c>
      <c r="N1274" s="1" t="s">
        <v>2487</v>
      </c>
      <c r="O1274" s="3"/>
      <c r="P1274" s="18">
        <v>45891.0</v>
      </c>
      <c r="Q1274" s="1" t="s">
        <v>1103</v>
      </c>
      <c r="R1274" s="1" t="s">
        <v>6543</v>
      </c>
      <c r="S1274" s="1" t="s">
        <v>124</v>
      </c>
      <c r="T1274" s="1" t="s">
        <v>2487</v>
      </c>
      <c r="U1274" s="1"/>
      <c r="V1274" s="4"/>
      <c r="W1274" s="1" t="s">
        <v>6543</v>
      </c>
      <c r="X1274" s="18">
        <v>45891.0</v>
      </c>
      <c r="Y1274" s="1" t="s">
        <v>1103</v>
      </c>
      <c r="Z1274" s="1"/>
      <c r="AA1274" s="1" t="s">
        <v>6543</v>
      </c>
      <c r="AB1274" s="1" t="s">
        <v>124</v>
      </c>
      <c r="AC1274" s="1" t="s">
        <v>1925</v>
      </c>
      <c r="AD1274" s="1"/>
      <c r="AE1274" s="1" t="s">
        <v>1152</v>
      </c>
      <c r="AF1274" s="1"/>
      <c r="AG1274" s="1"/>
      <c r="AH1274" s="1" t="s">
        <v>1152</v>
      </c>
      <c r="AI1274" s="1"/>
      <c r="AJ1274" s="1" t="s">
        <v>6542</v>
      </c>
      <c r="AK1274" s="1" t="s">
        <v>1152</v>
      </c>
      <c r="AL1274" s="6" t="str">
        <f t="array" ref="AL1274">IFERROR(IFS(XLOOKUP(B1274, 'Kit Delivery Status'!$U:$U, 'Kit Delivery Status'!$K:$K) = "Complete", "DELIVERED", XLOOKUP(B1274, 'Kit Delivery Status'!$U:$U, 'Kit Delivery Status'!$K:$K) = "Issue", "ISSUE"), "")</f>
        <v/>
      </c>
      <c r="AM1274" s="6"/>
    </row>
    <row r="1275">
      <c r="A1275" s="5" t="s">
        <v>6545</v>
      </c>
      <c r="B1275" s="1" t="s">
        <v>6546</v>
      </c>
      <c r="C1275" s="1" t="s">
        <v>6547</v>
      </c>
      <c r="D1275" s="2">
        <v>9.179752699E9</v>
      </c>
      <c r="E1275" s="1" t="s">
        <v>6548</v>
      </c>
      <c r="F1275" s="1"/>
      <c r="G1275" s="1" t="s">
        <v>6549</v>
      </c>
      <c r="H1275" s="1" t="s">
        <v>1155</v>
      </c>
      <c r="I1275" s="1">
        <v>63105.0</v>
      </c>
      <c r="J1275" s="1" t="s">
        <v>752</v>
      </c>
      <c r="K1275" s="1" t="s">
        <v>51</v>
      </c>
      <c r="L1275" s="1" t="s">
        <v>5722</v>
      </c>
      <c r="M1275" s="1">
        <v>1.0</v>
      </c>
      <c r="N1275" s="1" t="s">
        <v>2461</v>
      </c>
      <c r="O1275" s="3" t="s">
        <v>6550</v>
      </c>
      <c r="P1275" s="18">
        <v>45887.0</v>
      </c>
      <c r="Q1275" s="1" t="s">
        <v>1030</v>
      </c>
      <c r="R1275" s="1"/>
      <c r="S1275" s="1" t="s">
        <v>52</v>
      </c>
      <c r="T1275" s="1" t="s">
        <v>2461</v>
      </c>
      <c r="U1275" s="1" t="s">
        <v>1343</v>
      </c>
      <c r="V1275" s="4" t="s">
        <v>6550</v>
      </c>
      <c r="W1275" s="1"/>
      <c r="X1275" s="18">
        <v>45887.0</v>
      </c>
      <c r="Y1275" s="1" t="s">
        <v>1030</v>
      </c>
      <c r="Z1275" s="1"/>
      <c r="AA1275" s="1"/>
      <c r="AB1275" s="1" t="s">
        <v>52</v>
      </c>
      <c r="AC1275" s="1" t="s">
        <v>1925</v>
      </c>
      <c r="AD1275" s="1"/>
      <c r="AE1275" s="1" t="s">
        <v>1152</v>
      </c>
      <c r="AF1275" s="1"/>
      <c r="AG1275" s="1"/>
      <c r="AH1275" s="1" t="s">
        <v>1152</v>
      </c>
      <c r="AI1275" s="1"/>
      <c r="AJ1275" s="1" t="s">
        <v>6548</v>
      </c>
      <c r="AK1275" s="1" t="s">
        <v>1152</v>
      </c>
      <c r="AL1275" s="6" t="str">
        <f t="array" ref="AL1275">IFERROR(IFS(XLOOKUP(B1275, 'Kit Delivery Status'!$U:$U, 'Kit Delivery Status'!$K:$K) = "Complete", "DELIVERED", XLOOKUP(B1275, 'Kit Delivery Status'!$U:$U, 'Kit Delivery Status'!$K:$K) = "Issue", "ISSUE"), "")</f>
        <v/>
      </c>
      <c r="AM1275" s="6"/>
    </row>
    <row r="1276">
      <c r="A1276" s="5" t="s">
        <v>6551</v>
      </c>
      <c r="B1276" s="1" t="s">
        <v>6552</v>
      </c>
      <c r="C1276" s="1"/>
      <c r="D1276" s="2">
        <v>8.583619963E9</v>
      </c>
      <c r="E1276" s="1" t="s">
        <v>6553</v>
      </c>
      <c r="F1276" s="1"/>
      <c r="G1276" s="1" t="s">
        <v>2417</v>
      </c>
      <c r="H1276" s="1" t="s">
        <v>989</v>
      </c>
      <c r="I1276" s="1">
        <v>92037.0</v>
      </c>
      <c r="J1276" s="1" t="s">
        <v>752</v>
      </c>
      <c r="K1276" s="1" t="s">
        <v>95</v>
      </c>
      <c r="L1276" s="1" t="s">
        <v>5820</v>
      </c>
      <c r="M1276" s="1">
        <v>49.0</v>
      </c>
      <c r="N1276" s="1" t="s">
        <v>2461</v>
      </c>
      <c r="O1276" s="3" t="s">
        <v>6554</v>
      </c>
      <c r="P1276" s="18">
        <v>45891.0</v>
      </c>
      <c r="Q1276" s="1" t="s">
        <v>1455</v>
      </c>
      <c r="R1276" s="1"/>
      <c r="S1276" s="1" t="s">
        <v>52</v>
      </c>
      <c r="T1276" s="1" t="s">
        <v>2461</v>
      </c>
      <c r="U1276" s="1" t="s">
        <v>1285</v>
      </c>
      <c r="V1276" s="4" t="s">
        <v>6554</v>
      </c>
      <c r="W1276" s="1"/>
      <c r="X1276" s="18">
        <v>45891.0</v>
      </c>
      <c r="Y1276" s="1" t="s">
        <v>1455</v>
      </c>
      <c r="Z1276" s="1"/>
      <c r="AA1276" s="1"/>
      <c r="AB1276" s="1" t="s">
        <v>52</v>
      </c>
      <c r="AC1276" s="1" t="s">
        <v>6555</v>
      </c>
      <c r="AD1276" s="1"/>
      <c r="AE1276" s="1" t="s">
        <v>1152</v>
      </c>
      <c r="AF1276" s="1"/>
      <c r="AG1276" s="1"/>
      <c r="AH1276" s="1" t="s">
        <v>1152</v>
      </c>
      <c r="AI1276" s="1"/>
      <c r="AJ1276" s="1" t="s">
        <v>6553</v>
      </c>
      <c r="AK1276" s="1" t="s">
        <v>1152</v>
      </c>
      <c r="AL1276" s="6" t="str">
        <f t="array" ref="AL1276">IFERROR(IFS(XLOOKUP(B1276, 'Kit Delivery Status'!$U:$U, 'Kit Delivery Status'!$K:$K) = "Complete", "DELIVERED", XLOOKUP(B1276, 'Kit Delivery Status'!$U:$U, 'Kit Delivery Status'!$K:$K) = "Issue", "ISSUE"), "")</f>
        <v/>
      </c>
      <c r="AM1276" s="6"/>
    </row>
    <row r="1277">
      <c r="A1277" s="5" t="s">
        <v>6556</v>
      </c>
      <c r="B1277" s="1" t="s">
        <v>6557</v>
      </c>
      <c r="C1277" s="1" t="s">
        <v>6558</v>
      </c>
      <c r="D1277" s="2">
        <v>4.259226562E9</v>
      </c>
      <c r="E1277" s="1" t="s">
        <v>6559</v>
      </c>
      <c r="F1277" s="1"/>
      <c r="G1277" s="1" t="s">
        <v>2965</v>
      </c>
      <c r="H1277" s="1" t="s">
        <v>980</v>
      </c>
      <c r="I1277" s="1">
        <v>98008.0</v>
      </c>
      <c r="J1277" s="1" t="s">
        <v>752</v>
      </c>
      <c r="K1277" s="1" t="s">
        <v>51</v>
      </c>
      <c r="L1277" s="1" t="s">
        <v>5722</v>
      </c>
      <c r="M1277" s="1">
        <v>1.0</v>
      </c>
      <c r="N1277" s="1" t="s">
        <v>2461</v>
      </c>
      <c r="O1277" s="3" t="s">
        <v>6560</v>
      </c>
      <c r="P1277" s="18">
        <v>45890.0</v>
      </c>
      <c r="Q1277" s="1" t="s">
        <v>1349</v>
      </c>
      <c r="R1277" s="1"/>
      <c r="S1277" s="1" t="s">
        <v>52</v>
      </c>
      <c r="T1277" s="1" t="s">
        <v>2461</v>
      </c>
      <c r="U1277" s="1" t="s">
        <v>1441</v>
      </c>
      <c r="V1277" s="4" t="s">
        <v>6560</v>
      </c>
      <c r="W1277" s="1"/>
      <c r="X1277" s="18">
        <v>45890.0</v>
      </c>
      <c r="Y1277" s="1" t="s">
        <v>1349</v>
      </c>
      <c r="Z1277" s="1"/>
      <c r="AA1277" s="1"/>
      <c r="AB1277" s="1" t="s">
        <v>52</v>
      </c>
      <c r="AC1277" s="1" t="s">
        <v>1925</v>
      </c>
      <c r="AD1277" s="1"/>
      <c r="AE1277" s="1" t="s">
        <v>1152</v>
      </c>
      <c r="AF1277" s="1"/>
      <c r="AG1277" s="1"/>
      <c r="AH1277" s="1" t="s">
        <v>1152</v>
      </c>
      <c r="AI1277" s="1"/>
      <c r="AJ1277" s="1" t="s">
        <v>6561</v>
      </c>
      <c r="AK1277" s="1" t="s">
        <v>1152</v>
      </c>
      <c r="AL1277" s="6" t="str">
        <f t="array" ref="AL1277">IFERROR(IFS(XLOOKUP(B1277, 'Kit Delivery Status'!$U:$U, 'Kit Delivery Status'!$K:$K) = "Complete", "DELIVERED", XLOOKUP(B1277, 'Kit Delivery Status'!$U:$U, 'Kit Delivery Status'!$K:$K) = "Issue", "ISSUE"), "")</f>
        <v/>
      </c>
      <c r="AM1277" s="6"/>
    </row>
    <row r="1278">
      <c r="A1278" s="5" t="s">
        <v>6562</v>
      </c>
      <c r="B1278" s="1" t="s">
        <v>6563</v>
      </c>
      <c r="C1278" s="1"/>
      <c r="D1278" s="2">
        <v>7.703295284E9</v>
      </c>
      <c r="E1278" s="1" t="s">
        <v>6564</v>
      </c>
      <c r="F1278" s="1"/>
      <c r="G1278" s="1" t="s">
        <v>6565</v>
      </c>
      <c r="H1278" s="1" t="s">
        <v>946</v>
      </c>
      <c r="I1278" s="1">
        <v>30030.0</v>
      </c>
      <c r="J1278" s="1" t="s">
        <v>752</v>
      </c>
      <c r="K1278" s="1" t="s">
        <v>66</v>
      </c>
      <c r="L1278" s="1" t="s">
        <v>5736</v>
      </c>
      <c r="M1278" s="1">
        <v>115.0</v>
      </c>
      <c r="N1278" s="1" t="s">
        <v>1152</v>
      </c>
      <c r="O1278" s="3" t="s">
        <v>6566</v>
      </c>
      <c r="P1278" s="18">
        <v>45883.0</v>
      </c>
      <c r="Q1278" s="1"/>
      <c r="R1278" s="1"/>
      <c r="S1278" s="1"/>
      <c r="T1278" s="1" t="s">
        <v>1152</v>
      </c>
      <c r="U1278" s="1" t="s">
        <v>1537</v>
      </c>
      <c r="V1278" s="4" t="s">
        <v>6566</v>
      </c>
      <c r="W1278" s="1"/>
      <c r="X1278" s="18">
        <v>45883.0</v>
      </c>
      <c r="Y1278" s="1"/>
      <c r="Z1278" s="1"/>
      <c r="AA1278" s="1"/>
      <c r="AB1278" s="1"/>
      <c r="AC1278" s="1" t="s">
        <v>1925</v>
      </c>
      <c r="AD1278" s="1"/>
      <c r="AE1278" s="1" t="s">
        <v>1152</v>
      </c>
      <c r="AF1278" s="1"/>
      <c r="AG1278" s="1"/>
      <c r="AH1278" s="1" t="s">
        <v>1152</v>
      </c>
      <c r="AI1278" s="1"/>
      <c r="AJ1278" s="1" t="s">
        <v>6567</v>
      </c>
      <c r="AK1278" s="1" t="s">
        <v>1152</v>
      </c>
      <c r="AL1278" s="6" t="str">
        <f t="array" ref="AL1278">IFERROR(IFS(XLOOKUP(B1278, 'Kit Delivery Status'!$U:$U, 'Kit Delivery Status'!$K:$K) = "Complete", "DELIVERED", XLOOKUP(B1278, 'Kit Delivery Status'!$U:$U, 'Kit Delivery Status'!$K:$K) = "Issue", "ISSUE"), "")</f>
        <v/>
      </c>
      <c r="AM1278" s="6"/>
    </row>
    <row r="1279">
      <c r="A1279" s="5" t="s">
        <v>6568</v>
      </c>
      <c r="B1279" s="1" t="s">
        <v>6569</v>
      </c>
      <c r="C1279" s="1" t="s">
        <v>6570</v>
      </c>
      <c r="D1279" s="2" t="s">
        <v>6571</v>
      </c>
      <c r="E1279" s="1" t="s">
        <v>6572</v>
      </c>
      <c r="F1279" s="1"/>
      <c r="G1279" s="1" t="s">
        <v>6573</v>
      </c>
      <c r="H1279" s="1" t="s">
        <v>989</v>
      </c>
      <c r="I1279" s="1">
        <v>94904.0</v>
      </c>
      <c r="J1279" s="1" t="s">
        <v>752</v>
      </c>
      <c r="K1279" s="1" t="s">
        <v>66</v>
      </c>
      <c r="L1279" s="1" t="s">
        <v>5767</v>
      </c>
      <c r="M1279" s="1">
        <v>210.0</v>
      </c>
      <c r="N1279" s="1" t="s">
        <v>1152</v>
      </c>
      <c r="O1279" s="3" t="s">
        <v>6574</v>
      </c>
      <c r="P1279" s="18">
        <v>45883.0</v>
      </c>
      <c r="Q1279" s="1"/>
      <c r="R1279" s="1"/>
      <c r="S1279" s="1"/>
      <c r="T1279" s="1" t="s">
        <v>1152</v>
      </c>
      <c r="U1279" s="1" t="s">
        <v>1039</v>
      </c>
      <c r="V1279" s="4" t="s">
        <v>6574</v>
      </c>
      <c r="W1279" s="1"/>
      <c r="X1279" s="18">
        <v>45883.0</v>
      </c>
      <c r="Y1279" s="1"/>
      <c r="Z1279" s="1"/>
      <c r="AA1279" s="1"/>
      <c r="AB1279" s="1"/>
      <c r="AC1279" s="1" t="s">
        <v>1925</v>
      </c>
      <c r="AD1279" s="1"/>
      <c r="AE1279" s="1" t="s">
        <v>1152</v>
      </c>
      <c r="AF1279" s="1"/>
      <c r="AG1279" s="1"/>
      <c r="AH1279" s="1" t="s">
        <v>1152</v>
      </c>
      <c r="AI1279" s="1"/>
      <c r="AJ1279" s="1" t="s">
        <v>6575</v>
      </c>
      <c r="AK1279" s="1" t="s">
        <v>1152</v>
      </c>
      <c r="AL1279" s="6" t="str">
        <f t="array" ref="AL1279">IFERROR(IFS(XLOOKUP(B1279, 'Kit Delivery Status'!$U:$U, 'Kit Delivery Status'!$K:$K) = "Complete", "DELIVERED", XLOOKUP(B1279, 'Kit Delivery Status'!$U:$U, 'Kit Delivery Status'!$K:$K) = "Issue", "ISSUE"), "")</f>
        <v/>
      </c>
      <c r="AM1279" s="6"/>
    </row>
    <row r="1280">
      <c r="A1280" s="5" t="s">
        <v>6576</v>
      </c>
      <c r="B1280" s="1" t="s">
        <v>6577</v>
      </c>
      <c r="C1280" s="1" t="s">
        <v>6578</v>
      </c>
      <c r="D1280" s="2" t="s">
        <v>6579</v>
      </c>
      <c r="E1280" s="1" t="s">
        <v>6580</v>
      </c>
      <c r="F1280" s="1" t="s">
        <v>6581</v>
      </c>
      <c r="G1280" s="1" t="s">
        <v>6582</v>
      </c>
      <c r="H1280" s="1" t="s">
        <v>6583</v>
      </c>
      <c r="I1280" s="1">
        <v>430022.0</v>
      </c>
      <c r="J1280" s="1" t="s">
        <v>5553</v>
      </c>
      <c r="K1280" s="1" t="s">
        <v>51</v>
      </c>
      <c r="L1280" s="1" t="s">
        <v>5722</v>
      </c>
      <c r="M1280" s="1">
        <v>1.0</v>
      </c>
      <c r="N1280" s="1" t="s">
        <v>2461</v>
      </c>
      <c r="O1280" s="3" t="s">
        <v>6584</v>
      </c>
      <c r="P1280" s="18">
        <v>45883.0</v>
      </c>
      <c r="Q1280" s="1"/>
      <c r="R1280" s="1"/>
      <c r="S1280" s="1" t="s">
        <v>52</v>
      </c>
      <c r="T1280" s="1" t="s">
        <v>52</v>
      </c>
      <c r="U1280" s="1" t="s">
        <v>215</v>
      </c>
      <c r="V1280" s="4" t="s">
        <v>6584</v>
      </c>
      <c r="W1280" s="1"/>
      <c r="X1280" s="18">
        <v>45883.0</v>
      </c>
      <c r="Y1280" s="1"/>
      <c r="Z1280" s="1"/>
      <c r="AA1280" s="1"/>
      <c r="AB1280" s="1"/>
      <c r="AC1280" s="1"/>
      <c r="AD1280" s="1"/>
      <c r="AE1280" s="1"/>
      <c r="AF1280" s="1"/>
      <c r="AG1280" s="1"/>
      <c r="AH1280" s="1"/>
      <c r="AI1280" s="1"/>
      <c r="AJ1280" s="1"/>
      <c r="AK1280" s="1"/>
      <c r="AL1280" s="6" t="str">
        <f t="array" ref="AL1280">IFERROR(IFS(XLOOKUP(B1280, 'Kit Delivery Status'!$U:$U, 'Kit Delivery Status'!$K:$K) = "Complete", "DELIVERED", XLOOKUP(B1280, 'Kit Delivery Status'!$U:$U, 'Kit Delivery Status'!$K:$K) = "Issue", "ISSUE"), "")</f>
        <v/>
      </c>
      <c r="AM1280" s="6"/>
    </row>
    <row r="1281">
      <c r="A1281" s="5" t="s">
        <v>6585</v>
      </c>
      <c r="B1281" s="1" t="s">
        <v>6586</v>
      </c>
      <c r="C1281" s="1" t="s">
        <v>6587</v>
      </c>
      <c r="D1281" s="2">
        <v>7.033148945E9</v>
      </c>
      <c r="E1281" s="1" t="s">
        <v>6588</v>
      </c>
      <c r="F1281" s="1"/>
      <c r="G1281" s="1" t="s">
        <v>4688</v>
      </c>
      <c r="H1281" s="1" t="s">
        <v>1038</v>
      </c>
      <c r="I1281" s="1">
        <v>22030.0</v>
      </c>
      <c r="J1281" s="1" t="s">
        <v>752</v>
      </c>
      <c r="K1281" s="1" t="s">
        <v>66</v>
      </c>
      <c r="L1281" s="1" t="s">
        <v>5811</v>
      </c>
      <c r="M1281" s="1">
        <v>145.0</v>
      </c>
      <c r="N1281" s="1" t="s">
        <v>1152</v>
      </c>
      <c r="O1281" s="3" t="s">
        <v>6589</v>
      </c>
      <c r="P1281" s="18">
        <v>45883.0</v>
      </c>
      <c r="Q1281" s="1"/>
      <c r="R1281" s="1"/>
      <c r="S1281" s="1"/>
      <c r="T1281" s="1" t="s">
        <v>1152</v>
      </c>
      <c r="U1281" s="1" t="s">
        <v>982</v>
      </c>
      <c r="V1281" s="4" t="s">
        <v>6589</v>
      </c>
      <c r="W1281" s="1"/>
      <c r="X1281" s="18">
        <v>45883.0</v>
      </c>
      <c r="Y1281" s="1"/>
      <c r="Z1281" s="1"/>
      <c r="AA1281" s="1"/>
      <c r="AB1281" s="1"/>
      <c r="AC1281" s="1" t="s">
        <v>1925</v>
      </c>
      <c r="AD1281" s="1"/>
      <c r="AE1281" s="1" t="s">
        <v>1152</v>
      </c>
      <c r="AF1281" s="1"/>
      <c r="AG1281" s="1"/>
      <c r="AH1281" s="1" t="s">
        <v>1152</v>
      </c>
      <c r="AI1281" s="1"/>
      <c r="AJ1281" s="1" t="s">
        <v>6590</v>
      </c>
      <c r="AK1281" s="1" t="s">
        <v>1152</v>
      </c>
      <c r="AL1281" s="6" t="str">
        <f t="array" ref="AL1281">IFERROR(IFS(XLOOKUP(B1281, 'Kit Delivery Status'!$U:$U, 'Kit Delivery Status'!$K:$K) = "Complete", "DELIVERED", XLOOKUP(B1281, 'Kit Delivery Status'!$U:$U, 'Kit Delivery Status'!$K:$K) = "Issue", "ISSUE"), "")</f>
        <v/>
      </c>
      <c r="AM1281" s="6"/>
    </row>
    <row r="1282">
      <c r="A1282" s="5" t="s">
        <v>6591</v>
      </c>
      <c r="B1282" s="1" t="s">
        <v>6592</v>
      </c>
      <c r="C1282" s="1" t="s">
        <v>6593</v>
      </c>
      <c r="D1282" s="2">
        <v>1.5512643633E10</v>
      </c>
      <c r="E1282" s="1" t="s">
        <v>6594</v>
      </c>
      <c r="F1282" s="1" t="s">
        <v>6595</v>
      </c>
      <c r="G1282" s="1" t="s">
        <v>3662</v>
      </c>
      <c r="H1282" s="1" t="s">
        <v>1053</v>
      </c>
      <c r="I1282" s="1">
        <v>7452.0</v>
      </c>
      <c r="J1282" s="1" t="s">
        <v>752</v>
      </c>
      <c r="K1282" s="1" t="s">
        <v>51</v>
      </c>
      <c r="L1282" s="1" t="s">
        <v>5722</v>
      </c>
      <c r="M1282" s="1">
        <v>1.0</v>
      </c>
      <c r="N1282" s="1" t="s">
        <v>2487</v>
      </c>
      <c r="O1282" s="3"/>
      <c r="P1282" s="18">
        <v>45890.0</v>
      </c>
      <c r="Q1282" s="1" t="s">
        <v>3186</v>
      </c>
      <c r="R1282" s="1" t="s">
        <v>6595</v>
      </c>
      <c r="S1282" s="1" t="s">
        <v>124</v>
      </c>
      <c r="T1282" s="1" t="s">
        <v>2487</v>
      </c>
      <c r="U1282" s="1"/>
      <c r="V1282" s="4"/>
      <c r="W1282" s="1" t="s">
        <v>6595</v>
      </c>
      <c r="X1282" s="18">
        <v>45890.0</v>
      </c>
      <c r="Y1282" s="1" t="s">
        <v>3186</v>
      </c>
      <c r="Z1282" s="1"/>
      <c r="AA1282" s="1" t="s">
        <v>6595</v>
      </c>
      <c r="AB1282" s="1" t="s">
        <v>124</v>
      </c>
      <c r="AC1282" s="1" t="s">
        <v>1925</v>
      </c>
      <c r="AD1282" s="1"/>
      <c r="AE1282" s="1" t="s">
        <v>1152</v>
      </c>
      <c r="AF1282" s="1"/>
      <c r="AG1282" s="1"/>
      <c r="AH1282" s="1" t="s">
        <v>1152</v>
      </c>
      <c r="AI1282" s="1"/>
      <c r="AJ1282" s="1" t="s">
        <v>6594</v>
      </c>
      <c r="AK1282" s="1" t="s">
        <v>1152</v>
      </c>
      <c r="AL1282" s="6" t="str">
        <f t="array" ref="AL1282">IFERROR(IFS(XLOOKUP(B1282, 'Kit Delivery Status'!$U:$U, 'Kit Delivery Status'!$K:$K) = "Complete", "DELIVERED", XLOOKUP(B1282, 'Kit Delivery Status'!$U:$U, 'Kit Delivery Status'!$K:$K) = "Issue", "ISSUE"), "")</f>
        <v/>
      </c>
      <c r="AM1282" s="6"/>
    </row>
    <row r="1283">
      <c r="A1283" s="5" t="s">
        <v>6596</v>
      </c>
      <c r="B1283" s="1" t="s">
        <v>6597</v>
      </c>
      <c r="C1283" s="1" t="s">
        <v>6598</v>
      </c>
      <c r="D1283" s="2">
        <v>2.03246205E9</v>
      </c>
      <c r="E1283" s="1" t="s">
        <v>6599</v>
      </c>
      <c r="F1283" s="1"/>
      <c r="G1283" s="1" t="s">
        <v>1604</v>
      </c>
      <c r="H1283" s="1" t="s">
        <v>1078</v>
      </c>
      <c r="I1283" s="1">
        <v>6880.0</v>
      </c>
      <c r="J1283" s="1" t="s">
        <v>752</v>
      </c>
      <c r="K1283" s="1" t="s">
        <v>51</v>
      </c>
      <c r="L1283" s="1" t="s">
        <v>5722</v>
      </c>
      <c r="M1283" s="1">
        <v>1.0</v>
      </c>
      <c r="N1283" s="1" t="s">
        <v>2461</v>
      </c>
      <c r="O1283" s="3" t="s">
        <v>3944</v>
      </c>
      <c r="P1283" s="18">
        <v>45891.0</v>
      </c>
      <c r="Q1283" s="1" t="s">
        <v>1030</v>
      </c>
      <c r="R1283" s="1"/>
      <c r="S1283" s="1" t="s">
        <v>52</v>
      </c>
      <c r="T1283" s="1" t="s">
        <v>2461</v>
      </c>
      <c r="U1283" s="1" t="s">
        <v>6600</v>
      </c>
      <c r="V1283" s="4" t="s">
        <v>3944</v>
      </c>
      <c r="W1283" s="1"/>
      <c r="X1283" s="18">
        <v>45891.0</v>
      </c>
      <c r="Y1283" s="1" t="s">
        <v>1030</v>
      </c>
      <c r="Z1283" s="1"/>
      <c r="AA1283" s="1"/>
      <c r="AB1283" s="1" t="s">
        <v>52</v>
      </c>
      <c r="AC1283" s="1" t="s">
        <v>1925</v>
      </c>
      <c r="AD1283" s="1"/>
      <c r="AE1283" s="1" t="s">
        <v>1152</v>
      </c>
      <c r="AF1283" s="1"/>
      <c r="AG1283" s="1"/>
      <c r="AH1283" s="1" t="s">
        <v>1152</v>
      </c>
      <c r="AI1283" s="1"/>
      <c r="AJ1283" s="1" t="s">
        <v>6599</v>
      </c>
      <c r="AK1283" s="1" t="s">
        <v>1152</v>
      </c>
      <c r="AL1283" s="6" t="str">
        <f t="array" ref="AL1283">IFERROR(IFS(XLOOKUP(B1283, 'Kit Delivery Status'!$U:$U, 'Kit Delivery Status'!$K:$K) = "Complete", "DELIVERED", XLOOKUP(B1283, 'Kit Delivery Status'!$U:$U, 'Kit Delivery Status'!$K:$K) = "Issue", "ISSUE"), "")</f>
        <v/>
      </c>
      <c r="AM1283" s="6"/>
    </row>
    <row r="1284">
      <c r="A1284" s="5" t="s">
        <v>6601</v>
      </c>
      <c r="B1284" s="1" t="s">
        <v>6602</v>
      </c>
      <c r="C1284" s="1" t="s">
        <v>6603</v>
      </c>
      <c r="D1284" s="2" t="s">
        <v>6604</v>
      </c>
      <c r="E1284" s="1" t="s">
        <v>6605</v>
      </c>
      <c r="F1284" s="1"/>
      <c r="G1284" s="1" t="s">
        <v>3842</v>
      </c>
      <c r="H1284" s="1" t="s">
        <v>946</v>
      </c>
      <c r="I1284" s="1">
        <v>30328.0</v>
      </c>
      <c r="J1284" s="1" t="s">
        <v>752</v>
      </c>
      <c r="K1284" s="1" t="s">
        <v>66</v>
      </c>
      <c r="L1284" s="1" t="s">
        <v>5811</v>
      </c>
      <c r="M1284" s="1">
        <v>145.0</v>
      </c>
      <c r="N1284" s="1" t="s">
        <v>1152</v>
      </c>
      <c r="O1284" s="3" t="s">
        <v>4087</v>
      </c>
      <c r="P1284" s="18">
        <v>45883.0</v>
      </c>
      <c r="Q1284" s="1"/>
      <c r="R1284" s="1"/>
      <c r="S1284" s="1"/>
      <c r="T1284" s="1" t="s">
        <v>1152</v>
      </c>
      <c r="U1284" s="1" t="s">
        <v>1407</v>
      </c>
      <c r="V1284" s="4" t="s">
        <v>4087</v>
      </c>
      <c r="W1284" s="1"/>
      <c r="X1284" s="18">
        <v>45883.0</v>
      </c>
      <c r="Y1284" s="1"/>
      <c r="Z1284" s="1"/>
      <c r="AA1284" s="1"/>
      <c r="AB1284" s="1"/>
      <c r="AC1284" s="1" t="s">
        <v>1925</v>
      </c>
      <c r="AD1284" s="1"/>
      <c r="AE1284" s="1" t="s">
        <v>1152</v>
      </c>
      <c r="AF1284" s="1"/>
      <c r="AG1284" s="1"/>
      <c r="AH1284" s="1" t="s">
        <v>1152</v>
      </c>
      <c r="AI1284" s="1"/>
      <c r="AJ1284" s="1" t="s">
        <v>6606</v>
      </c>
      <c r="AK1284" s="1" t="s">
        <v>1152</v>
      </c>
      <c r="AL1284" s="6" t="str">
        <f t="array" ref="AL1284">IFERROR(IFS(XLOOKUP(B1284, 'Kit Delivery Status'!$U:$U, 'Kit Delivery Status'!$K:$K) = "Complete", "DELIVERED", XLOOKUP(B1284, 'Kit Delivery Status'!$U:$U, 'Kit Delivery Status'!$K:$K) = "Issue", "ISSUE"), "")</f>
        <v/>
      </c>
      <c r="AM1284" s="6"/>
    </row>
    <row r="1285">
      <c r="A1285" s="5" t="s">
        <v>6607</v>
      </c>
      <c r="B1285" s="1" t="s">
        <v>6608</v>
      </c>
      <c r="C1285" s="1" t="s">
        <v>2268</v>
      </c>
      <c r="D1285" s="2">
        <v>6.186411334E9</v>
      </c>
      <c r="E1285" s="1" t="s">
        <v>3980</v>
      </c>
      <c r="F1285" s="1"/>
      <c r="G1285" s="1" t="s">
        <v>1283</v>
      </c>
      <c r="H1285" s="1" t="s">
        <v>1155</v>
      </c>
      <c r="I1285" s="1">
        <v>63143.0</v>
      </c>
      <c r="J1285" s="1" t="s">
        <v>752</v>
      </c>
      <c r="K1285" s="1" t="s">
        <v>2577</v>
      </c>
      <c r="L1285" s="1" t="s">
        <v>5882</v>
      </c>
      <c r="M1285" s="1">
        <v>1.0</v>
      </c>
      <c r="N1285" s="1" t="s">
        <v>2579</v>
      </c>
      <c r="O1285" s="3" t="s">
        <v>103</v>
      </c>
      <c r="P1285" s="18">
        <v>45882.0</v>
      </c>
      <c r="Q1285" s="1" t="s">
        <v>6609</v>
      </c>
      <c r="R1285" s="1"/>
      <c r="S1285" s="1"/>
      <c r="T1285" s="1" t="s">
        <v>2579</v>
      </c>
      <c r="U1285" s="1" t="s">
        <v>4637</v>
      </c>
      <c r="V1285" s="4" t="s">
        <v>103</v>
      </c>
      <c r="W1285" s="1"/>
      <c r="X1285" s="18">
        <v>45882.0</v>
      </c>
      <c r="Y1285" s="1" t="s">
        <v>6609</v>
      </c>
      <c r="Z1285" s="1"/>
      <c r="AA1285" s="1"/>
      <c r="AB1285" s="1"/>
      <c r="AC1285" s="1" t="s">
        <v>1925</v>
      </c>
      <c r="AD1285" s="1"/>
      <c r="AE1285" s="1" t="s">
        <v>1152</v>
      </c>
      <c r="AF1285" s="1"/>
      <c r="AG1285" s="1"/>
      <c r="AH1285" s="1" t="s">
        <v>1152</v>
      </c>
      <c r="AI1285" s="1" t="s">
        <v>6610</v>
      </c>
      <c r="AJ1285" s="1"/>
      <c r="AK1285" s="1" t="s">
        <v>5886</v>
      </c>
      <c r="AL1285" s="6" t="str">
        <f t="array" ref="AL1285">IFERROR(IFS(XLOOKUP(B1285, 'Kit Delivery Status'!$U:$U, 'Kit Delivery Status'!$K:$K) = "Complete", "DELIVERED", XLOOKUP(B1285, 'Kit Delivery Status'!$U:$U, 'Kit Delivery Status'!$K:$K) = "Issue", "ISSUE"), "")</f>
        <v/>
      </c>
      <c r="AM1285" s="6"/>
    </row>
    <row r="1286">
      <c r="A1286" s="5" t="s">
        <v>6611</v>
      </c>
      <c r="B1286" s="1" t="s">
        <v>6612</v>
      </c>
      <c r="C1286" s="1" t="s">
        <v>6613</v>
      </c>
      <c r="D1286" s="2">
        <v>6.468563561E9</v>
      </c>
      <c r="E1286" s="1" t="s">
        <v>6614</v>
      </c>
      <c r="F1286" s="1"/>
      <c r="G1286" s="1" t="s">
        <v>751</v>
      </c>
      <c r="H1286" s="1" t="s">
        <v>751</v>
      </c>
      <c r="I1286" s="1">
        <v>10025.0</v>
      </c>
      <c r="J1286" s="1" t="s">
        <v>752</v>
      </c>
      <c r="K1286" s="1" t="s">
        <v>66</v>
      </c>
      <c r="L1286" s="1" t="s">
        <v>5811</v>
      </c>
      <c r="M1286" s="1">
        <v>145.0</v>
      </c>
      <c r="N1286" s="1" t="s">
        <v>1152</v>
      </c>
      <c r="O1286" s="3" t="s">
        <v>6615</v>
      </c>
      <c r="P1286" s="18">
        <v>45891.0</v>
      </c>
      <c r="Q1286" s="1"/>
      <c r="R1286" s="1"/>
      <c r="S1286" s="1"/>
      <c r="T1286" s="1" t="s">
        <v>1152</v>
      </c>
      <c r="U1286" s="1" t="s">
        <v>1812</v>
      </c>
      <c r="V1286" s="4" t="s">
        <v>6615</v>
      </c>
      <c r="W1286" s="1"/>
      <c r="X1286" s="18">
        <v>45891.0</v>
      </c>
      <c r="Y1286" s="1"/>
      <c r="Z1286" s="1"/>
      <c r="AA1286" s="1"/>
      <c r="AB1286" s="1"/>
      <c r="AC1286" s="1" t="s">
        <v>1925</v>
      </c>
      <c r="AD1286" s="1"/>
      <c r="AE1286" s="1" t="s">
        <v>1152</v>
      </c>
      <c r="AF1286" s="1"/>
      <c r="AG1286" s="1"/>
      <c r="AH1286" s="1" t="s">
        <v>1152</v>
      </c>
      <c r="AI1286" s="1"/>
      <c r="AJ1286" s="1" t="s">
        <v>6614</v>
      </c>
      <c r="AK1286" s="1" t="s">
        <v>1152</v>
      </c>
      <c r="AL1286" s="6" t="str">
        <f t="array" ref="AL1286">IFERROR(IFS(XLOOKUP(B1286, 'Kit Delivery Status'!$U:$U, 'Kit Delivery Status'!$K:$K) = "Complete", "DELIVERED", XLOOKUP(B1286, 'Kit Delivery Status'!$U:$U, 'Kit Delivery Status'!$K:$K) = "Issue", "ISSUE"), "")</f>
        <v/>
      </c>
      <c r="AM1286" s="6"/>
    </row>
    <row r="1287">
      <c r="A1287" s="5" t="s">
        <v>6616</v>
      </c>
      <c r="B1287" s="1" t="s">
        <v>6617</v>
      </c>
      <c r="C1287" s="1" t="s">
        <v>6618</v>
      </c>
      <c r="D1287" s="2">
        <v>8618524420657</v>
      </c>
      <c r="E1287" s="1" t="s">
        <v>6619</v>
      </c>
      <c r="F1287" s="1"/>
      <c r="G1287" s="1" t="s">
        <v>1760</v>
      </c>
      <c r="H1287" s="1" t="s">
        <v>1155</v>
      </c>
      <c r="I1287" s="1">
        <v>63105.0</v>
      </c>
      <c r="J1287" s="1" t="s">
        <v>752</v>
      </c>
      <c r="K1287" s="1" t="s">
        <v>66</v>
      </c>
      <c r="L1287" s="1" t="s">
        <v>6107</v>
      </c>
      <c r="M1287" s="1">
        <v>180.0</v>
      </c>
      <c r="N1287" s="1" t="s">
        <v>1152</v>
      </c>
      <c r="O1287" s="3" t="s">
        <v>2093</v>
      </c>
      <c r="P1287" s="18">
        <v>45883.0</v>
      </c>
      <c r="Q1287" s="1"/>
      <c r="R1287" s="1"/>
      <c r="S1287" s="1"/>
      <c r="T1287" s="1" t="s">
        <v>1152</v>
      </c>
      <c r="U1287" s="1" t="s">
        <v>1277</v>
      </c>
      <c r="V1287" s="4" t="s">
        <v>2093</v>
      </c>
      <c r="W1287" s="1"/>
      <c r="X1287" s="18">
        <v>45883.0</v>
      </c>
      <c r="Y1287" s="1"/>
      <c r="Z1287" s="1"/>
      <c r="AA1287" s="1"/>
      <c r="AB1287" s="1"/>
      <c r="AC1287" s="1" t="s">
        <v>1925</v>
      </c>
      <c r="AD1287" s="1"/>
      <c r="AE1287" s="1" t="s">
        <v>1152</v>
      </c>
      <c r="AF1287" s="1"/>
      <c r="AG1287" s="1"/>
      <c r="AH1287" s="1" t="s">
        <v>1152</v>
      </c>
      <c r="AI1287" s="1"/>
      <c r="AJ1287" s="1" t="s">
        <v>6620</v>
      </c>
      <c r="AK1287" s="1" t="s">
        <v>1152</v>
      </c>
      <c r="AL1287" s="6" t="str">
        <f t="array" ref="AL1287">IFERROR(IFS(XLOOKUP(B1287, 'Kit Delivery Status'!$U:$U, 'Kit Delivery Status'!$K:$K) = "Complete", "DELIVERED", XLOOKUP(B1287, 'Kit Delivery Status'!$U:$U, 'Kit Delivery Status'!$K:$K) = "Issue", "ISSUE"), "")</f>
        <v/>
      </c>
      <c r="AM1287" s="6"/>
    </row>
    <row r="1288">
      <c r="A1288" s="5" t="s">
        <v>6621</v>
      </c>
      <c r="B1288" s="1" t="s">
        <v>6622</v>
      </c>
      <c r="C1288" s="1"/>
      <c r="D1288" s="2">
        <v>2.133306571E9</v>
      </c>
      <c r="E1288" s="1" t="s">
        <v>6623</v>
      </c>
      <c r="F1288" s="1"/>
      <c r="G1288" s="1" t="s">
        <v>6624</v>
      </c>
      <c r="H1288" s="1" t="s">
        <v>989</v>
      </c>
      <c r="I1288" s="1">
        <v>91381.0</v>
      </c>
      <c r="J1288" s="1" t="s">
        <v>752</v>
      </c>
      <c r="K1288" s="1" t="s">
        <v>66</v>
      </c>
      <c r="L1288" s="1" t="s">
        <v>5833</v>
      </c>
      <c r="M1288" s="1">
        <v>65.0</v>
      </c>
      <c r="N1288" s="1" t="s">
        <v>1152</v>
      </c>
      <c r="O1288" s="3" t="s">
        <v>2763</v>
      </c>
      <c r="P1288" s="18">
        <v>45883.0</v>
      </c>
      <c r="Q1288" s="1"/>
      <c r="R1288" s="1"/>
      <c r="S1288" s="1"/>
      <c r="T1288" s="1" t="s">
        <v>1152</v>
      </c>
      <c r="U1288" s="1" t="s">
        <v>1080</v>
      </c>
      <c r="V1288" s="4" t="s">
        <v>2763</v>
      </c>
      <c r="W1288" s="1"/>
      <c r="X1288" s="18">
        <v>45883.0</v>
      </c>
      <c r="Y1288" s="1"/>
      <c r="Z1288" s="1"/>
      <c r="AA1288" s="1"/>
      <c r="AB1288" s="1"/>
      <c r="AC1288" s="1" t="s">
        <v>1925</v>
      </c>
      <c r="AD1288" s="1"/>
      <c r="AE1288" s="1" t="s">
        <v>1152</v>
      </c>
      <c r="AF1288" s="1"/>
      <c r="AG1288" s="1"/>
      <c r="AH1288" s="1" t="s">
        <v>1152</v>
      </c>
      <c r="AI1288" s="1"/>
      <c r="AJ1288" s="1" t="s">
        <v>6625</v>
      </c>
      <c r="AK1288" s="1" t="s">
        <v>1152</v>
      </c>
      <c r="AL1288" s="6" t="str">
        <f t="array" ref="AL1288">IFERROR(IFS(XLOOKUP(B1288, 'Kit Delivery Status'!$U:$U, 'Kit Delivery Status'!$K:$K) = "Complete", "DELIVERED", XLOOKUP(B1288, 'Kit Delivery Status'!$U:$U, 'Kit Delivery Status'!$K:$K) = "Issue", "ISSUE"), "")</f>
        <v/>
      </c>
      <c r="AM1288" s="6"/>
    </row>
    <row r="1289">
      <c r="A1289" s="5" t="s">
        <v>6626</v>
      </c>
      <c r="B1289" s="1" t="s">
        <v>6627</v>
      </c>
      <c r="C1289" s="1"/>
      <c r="D1289" s="2">
        <v>3.142005642E9</v>
      </c>
      <c r="E1289" s="1" t="s">
        <v>2135</v>
      </c>
      <c r="F1289" s="1"/>
      <c r="G1289" s="1" t="s">
        <v>1283</v>
      </c>
      <c r="H1289" s="1" t="s">
        <v>1155</v>
      </c>
      <c r="I1289" s="1">
        <v>63105.0</v>
      </c>
      <c r="J1289" s="1" t="s">
        <v>752</v>
      </c>
      <c r="K1289" s="1" t="s">
        <v>2577</v>
      </c>
      <c r="L1289" s="1" t="s">
        <v>6628</v>
      </c>
      <c r="M1289" s="1">
        <v>1.0</v>
      </c>
      <c r="N1289" s="1" t="s">
        <v>2579</v>
      </c>
      <c r="O1289" s="3" t="s">
        <v>4184</v>
      </c>
      <c r="P1289" s="18">
        <v>45881.0</v>
      </c>
      <c r="Q1289" s="1" t="s">
        <v>6629</v>
      </c>
      <c r="R1289" s="1"/>
      <c r="S1289" s="1"/>
      <c r="T1289" s="1" t="s">
        <v>2579</v>
      </c>
      <c r="U1289" s="1" t="s">
        <v>1794</v>
      </c>
      <c r="V1289" s="4" t="s">
        <v>4184</v>
      </c>
      <c r="W1289" s="1"/>
      <c r="X1289" s="18">
        <v>45881.0</v>
      </c>
      <c r="Y1289" s="1" t="s">
        <v>6629</v>
      </c>
      <c r="Z1289" s="1"/>
      <c r="AA1289" s="1"/>
      <c r="AB1289" s="1"/>
      <c r="AC1289" s="1" t="s">
        <v>1925</v>
      </c>
      <c r="AD1289" s="1"/>
      <c r="AE1289" s="1" t="s">
        <v>1152</v>
      </c>
      <c r="AF1289" s="1"/>
      <c r="AG1289" s="1"/>
      <c r="AH1289" s="1" t="s">
        <v>1152</v>
      </c>
      <c r="AI1289" s="1" t="s">
        <v>6630</v>
      </c>
      <c r="AJ1289" s="1"/>
      <c r="AK1289" s="1" t="s">
        <v>6631</v>
      </c>
      <c r="AL1289" s="6" t="str">
        <f t="array" ref="AL1289">IFERROR(IFS(XLOOKUP(B1289, 'Kit Delivery Status'!$U:$U, 'Kit Delivery Status'!$K:$K) = "Complete", "DELIVERED", XLOOKUP(B1289, 'Kit Delivery Status'!$U:$U, 'Kit Delivery Status'!$K:$K) = "Issue", "ISSUE"), "")</f>
        <v/>
      </c>
      <c r="AM1289" s="6"/>
    </row>
    <row r="1290">
      <c r="A1290" s="5" t="s">
        <v>6632</v>
      </c>
      <c r="B1290" s="1" t="s">
        <v>6633</v>
      </c>
      <c r="C1290" s="1" t="s">
        <v>6634</v>
      </c>
      <c r="D1290" s="2">
        <v>3.148147538E9</v>
      </c>
      <c r="E1290" s="1" t="s">
        <v>6635</v>
      </c>
      <c r="F1290" s="1" t="s">
        <v>6636</v>
      </c>
      <c r="G1290" s="1" t="s">
        <v>2350</v>
      </c>
      <c r="H1290" s="1" t="s">
        <v>1155</v>
      </c>
      <c r="I1290" s="1">
        <v>63105.0</v>
      </c>
      <c r="J1290" s="1" t="s">
        <v>752</v>
      </c>
      <c r="K1290" s="1" t="s">
        <v>51</v>
      </c>
      <c r="L1290" s="1" t="s">
        <v>5722</v>
      </c>
      <c r="M1290" s="1">
        <v>1.0</v>
      </c>
      <c r="N1290" s="1" t="s">
        <v>2487</v>
      </c>
      <c r="O1290" s="3"/>
      <c r="P1290" s="18">
        <v>45887.0</v>
      </c>
      <c r="Q1290" s="1" t="s">
        <v>1440</v>
      </c>
      <c r="R1290" s="1" t="s">
        <v>6636</v>
      </c>
      <c r="S1290" s="1" t="s">
        <v>124</v>
      </c>
      <c r="T1290" s="1" t="s">
        <v>2487</v>
      </c>
      <c r="U1290" s="1"/>
      <c r="V1290" s="4"/>
      <c r="W1290" s="1" t="s">
        <v>6636</v>
      </c>
      <c r="X1290" s="18">
        <v>45887.0</v>
      </c>
      <c r="Y1290" s="1" t="s">
        <v>1440</v>
      </c>
      <c r="Z1290" s="1"/>
      <c r="AA1290" s="1" t="s">
        <v>6636</v>
      </c>
      <c r="AB1290" s="1" t="s">
        <v>124</v>
      </c>
      <c r="AC1290" s="1" t="s">
        <v>1925</v>
      </c>
      <c r="AD1290" s="1"/>
      <c r="AE1290" s="1" t="s">
        <v>1152</v>
      </c>
      <c r="AF1290" s="1"/>
      <c r="AG1290" s="1"/>
      <c r="AH1290" s="1" t="s">
        <v>1152</v>
      </c>
      <c r="AI1290" s="1" t="s">
        <v>6637</v>
      </c>
      <c r="AJ1290" s="1" t="s">
        <v>6635</v>
      </c>
      <c r="AK1290" s="1" t="s">
        <v>1152</v>
      </c>
      <c r="AL1290" s="6" t="str">
        <f t="array" ref="AL1290">IFERROR(IFS(XLOOKUP(B1290, 'Kit Delivery Status'!$U:$U, 'Kit Delivery Status'!$K:$K) = "Complete", "DELIVERED", XLOOKUP(B1290, 'Kit Delivery Status'!$U:$U, 'Kit Delivery Status'!$K:$K) = "Issue", "ISSUE"), "")</f>
        <v/>
      </c>
      <c r="AM1290" s="6"/>
    </row>
    <row r="1291">
      <c r="A1291" s="5" t="s">
        <v>6638</v>
      </c>
      <c r="B1291" s="1" t="s">
        <v>6639</v>
      </c>
      <c r="C1291" s="1" t="s">
        <v>6640</v>
      </c>
      <c r="D1291" s="2">
        <v>5.717076491E9</v>
      </c>
      <c r="E1291" s="1" t="s">
        <v>6641</v>
      </c>
      <c r="F1291" s="1"/>
      <c r="G1291" s="1" t="s">
        <v>1283</v>
      </c>
      <c r="H1291" s="1" t="s">
        <v>1155</v>
      </c>
      <c r="I1291" s="1">
        <v>63112.0</v>
      </c>
      <c r="J1291" s="1" t="s">
        <v>752</v>
      </c>
      <c r="K1291" s="1" t="s">
        <v>51</v>
      </c>
      <c r="L1291" s="1" t="s">
        <v>5722</v>
      </c>
      <c r="M1291" s="1">
        <v>1.0</v>
      </c>
      <c r="N1291" s="1" t="s">
        <v>2461</v>
      </c>
      <c r="O1291" s="3" t="s">
        <v>6642</v>
      </c>
      <c r="P1291" s="18">
        <v>45883.0</v>
      </c>
      <c r="Q1291" s="1" t="s">
        <v>1103</v>
      </c>
      <c r="R1291" s="1"/>
      <c r="S1291" s="1" t="s">
        <v>52</v>
      </c>
      <c r="T1291" s="1" t="s">
        <v>2461</v>
      </c>
      <c r="U1291" s="1" t="s">
        <v>6643</v>
      </c>
      <c r="V1291" s="4" t="s">
        <v>6642</v>
      </c>
      <c r="W1291" s="1"/>
      <c r="X1291" s="18">
        <v>45883.0</v>
      </c>
      <c r="Y1291" s="1" t="s">
        <v>1103</v>
      </c>
      <c r="Z1291" s="1"/>
      <c r="AA1291" s="1"/>
      <c r="AB1291" s="1" t="s">
        <v>52</v>
      </c>
      <c r="AC1291" s="1" t="s">
        <v>1925</v>
      </c>
      <c r="AD1291" s="1"/>
      <c r="AE1291" s="1" t="s">
        <v>1152</v>
      </c>
      <c r="AF1291" s="1"/>
      <c r="AG1291" s="1"/>
      <c r="AH1291" s="1" t="s">
        <v>1152</v>
      </c>
      <c r="AI1291" s="1"/>
      <c r="AJ1291" s="1" t="s">
        <v>6641</v>
      </c>
      <c r="AK1291" s="1" t="s">
        <v>1152</v>
      </c>
      <c r="AL1291" s="6" t="str">
        <f t="array" ref="AL1291">IFERROR(IFS(XLOOKUP(B1291, 'Kit Delivery Status'!$U:$U, 'Kit Delivery Status'!$K:$K) = "Complete", "DELIVERED", XLOOKUP(B1291, 'Kit Delivery Status'!$U:$U, 'Kit Delivery Status'!$K:$K) = "Issue", "ISSUE"), "")</f>
        <v/>
      </c>
      <c r="AM1291" s="6"/>
    </row>
    <row r="1292">
      <c r="A1292" s="5" t="s">
        <v>6644</v>
      </c>
      <c r="B1292" s="1" t="s">
        <v>6645</v>
      </c>
      <c r="C1292" s="1" t="s">
        <v>6646</v>
      </c>
      <c r="D1292" s="2">
        <v>7.032037971E9</v>
      </c>
      <c r="E1292" s="1" t="s">
        <v>6647</v>
      </c>
      <c r="F1292" s="1"/>
      <c r="G1292" s="1" t="s">
        <v>6648</v>
      </c>
      <c r="H1292" s="1" t="s">
        <v>1038</v>
      </c>
      <c r="I1292" s="1">
        <v>22101.0</v>
      </c>
      <c r="J1292" s="1" t="s">
        <v>752</v>
      </c>
      <c r="K1292" s="1" t="s">
        <v>51</v>
      </c>
      <c r="L1292" s="1" t="s">
        <v>5722</v>
      </c>
      <c r="M1292" s="1">
        <v>1.0</v>
      </c>
      <c r="N1292" s="1" t="s">
        <v>2461</v>
      </c>
      <c r="O1292" s="3" t="s">
        <v>6649</v>
      </c>
      <c r="P1292" s="18">
        <v>45890.0</v>
      </c>
      <c r="Q1292" s="1" t="s">
        <v>1440</v>
      </c>
      <c r="R1292" s="1"/>
      <c r="S1292" s="1" t="s">
        <v>52</v>
      </c>
      <c r="T1292" s="1" t="s">
        <v>2461</v>
      </c>
      <c r="U1292" s="1" t="s">
        <v>1167</v>
      </c>
      <c r="V1292" s="4" t="s">
        <v>6649</v>
      </c>
      <c r="W1292" s="1"/>
      <c r="X1292" s="18">
        <v>45890.0</v>
      </c>
      <c r="Y1292" s="1" t="s">
        <v>1440</v>
      </c>
      <c r="Z1292" s="1"/>
      <c r="AA1292" s="1"/>
      <c r="AB1292" s="1" t="s">
        <v>52</v>
      </c>
      <c r="AC1292" s="1" t="s">
        <v>1925</v>
      </c>
      <c r="AD1292" s="1"/>
      <c r="AE1292" s="1" t="s">
        <v>1152</v>
      </c>
      <c r="AF1292" s="1"/>
      <c r="AG1292" s="1"/>
      <c r="AH1292" s="1" t="s">
        <v>1152</v>
      </c>
      <c r="AI1292" s="1"/>
      <c r="AJ1292" s="1" t="s">
        <v>6650</v>
      </c>
      <c r="AK1292" s="1" t="s">
        <v>1152</v>
      </c>
      <c r="AL1292" s="6" t="str">
        <f t="array" ref="AL1292">IFERROR(IFS(XLOOKUP(B1292, 'Kit Delivery Status'!$U:$U, 'Kit Delivery Status'!$K:$K) = "Complete", "DELIVERED", XLOOKUP(B1292, 'Kit Delivery Status'!$U:$U, 'Kit Delivery Status'!$K:$K) = "Issue", "ISSUE"), "")</f>
        <v/>
      </c>
      <c r="AM1292" s="6"/>
    </row>
    <row r="1293">
      <c r="A1293" s="5" t="s">
        <v>6651</v>
      </c>
      <c r="B1293" s="1" t="s">
        <v>6652</v>
      </c>
      <c r="C1293" s="1" t="s">
        <v>6653</v>
      </c>
      <c r="D1293" s="2">
        <v>2.027401122E9</v>
      </c>
      <c r="E1293" s="1" t="s">
        <v>6654</v>
      </c>
      <c r="F1293" s="1"/>
      <c r="G1293" s="1" t="s">
        <v>6655</v>
      </c>
      <c r="H1293" s="1" t="s">
        <v>1063</v>
      </c>
      <c r="I1293" s="1">
        <v>20016.0</v>
      </c>
      <c r="J1293" s="1" t="s">
        <v>752</v>
      </c>
      <c r="K1293" s="1" t="s">
        <v>66</v>
      </c>
      <c r="L1293" s="1" t="s">
        <v>5767</v>
      </c>
      <c r="M1293" s="1">
        <v>210.0</v>
      </c>
      <c r="N1293" s="1" t="s">
        <v>1152</v>
      </c>
      <c r="O1293" s="3" t="s">
        <v>5516</v>
      </c>
      <c r="P1293" s="18">
        <v>45883.0</v>
      </c>
      <c r="Q1293" s="1"/>
      <c r="R1293" s="1"/>
      <c r="S1293" s="1"/>
      <c r="T1293" s="1" t="s">
        <v>1152</v>
      </c>
      <c r="U1293" s="1" t="s">
        <v>1039</v>
      </c>
      <c r="V1293" s="4" t="s">
        <v>5516</v>
      </c>
      <c r="W1293" s="1"/>
      <c r="X1293" s="18">
        <v>45883.0</v>
      </c>
      <c r="Y1293" s="1"/>
      <c r="Z1293" s="1"/>
      <c r="AA1293" s="1"/>
      <c r="AB1293" s="1"/>
      <c r="AC1293" s="1" t="s">
        <v>1925</v>
      </c>
      <c r="AD1293" s="1"/>
      <c r="AE1293" s="1" t="s">
        <v>1152</v>
      </c>
      <c r="AF1293" s="1"/>
      <c r="AG1293" s="1"/>
      <c r="AH1293" s="1" t="s">
        <v>1152</v>
      </c>
      <c r="AI1293" s="1"/>
      <c r="AJ1293" s="1" t="s">
        <v>6654</v>
      </c>
      <c r="AK1293" s="1" t="s">
        <v>1152</v>
      </c>
      <c r="AL1293" s="6" t="str">
        <f t="array" ref="AL1293">IFERROR(IFS(XLOOKUP(B1293, 'Kit Delivery Status'!$U:$U, 'Kit Delivery Status'!$K:$K) = "Complete", "DELIVERED", XLOOKUP(B1293, 'Kit Delivery Status'!$U:$U, 'Kit Delivery Status'!$K:$K) = "Issue", "ISSUE"), "")</f>
        <v/>
      </c>
      <c r="AM1293" s="6"/>
    </row>
    <row r="1294">
      <c r="A1294" s="5" t="s">
        <v>6656</v>
      </c>
      <c r="B1294" s="1" t="s">
        <v>6657</v>
      </c>
      <c r="C1294" s="1" t="s">
        <v>6658</v>
      </c>
      <c r="D1294" s="2" t="str">
        <v>#ERROR!</v>
      </c>
      <c r="E1294" s="1" t="s">
        <v>6659</v>
      </c>
      <c r="F1294" s="1" t="s">
        <v>6413</v>
      </c>
      <c r="G1294" s="1" t="s">
        <v>6660</v>
      </c>
      <c r="H1294" s="1" t="s">
        <v>1691</v>
      </c>
      <c r="I1294" s="1">
        <v>48322.0</v>
      </c>
      <c r="J1294" s="1" t="s">
        <v>752</v>
      </c>
      <c r="K1294" s="1" t="s">
        <v>51</v>
      </c>
      <c r="L1294" s="1" t="s">
        <v>5722</v>
      </c>
      <c r="M1294" s="1">
        <v>1.0</v>
      </c>
      <c r="N1294" s="1" t="s">
        <v>2487</v>
      </c>
      <c r="O1294" s="3"/>
      <c r="P1294" s="18">
        <v>45891.0</v>
      </c>
      <c r="Q1294" s="1" t="s">
        <v>3186</v>
      </c>
      <c r="R1294" s="1" t="s">
        <v>6413</v>
      </c>
      <c r="S1294" s="1" t="s">
        <v>124</v>
      </c>
      <c r="T1294" s="1" t="s">
        <v>2487</v>
      </c>
      <c r="U1294" s="1"/>
      <c r="V1294" s="4"/>
      <c r="W1294" s="1" t="s">
        <v>6413</v>
      </c>
      <c r="X1294" s="18">
        <v>45891.0</v>
      </c>
      <c r="Y1294" s="1" t="s">
        <v>3186</v>
      </c>
      <c r="Z1294" s="1"/>
      <c r="AA1294" s="1" t="s">
        <v>6413</v>
      </c>
      <c r="AB1294" s="1" t="s">
        <v>124</v>
      </c>
      <c r="AC1294" s="1" t="s">
        <v>1925</v>
      </c>
      <c r="AD1294" s="1"/>
      <c r="AE1294" s="1" t="s">
        <v>1152</v>
      </c>
      <c r="AF1294" s="1"/>
      <c r="AG1294" s="1"/>
      <c r="AH1294" s="1" t="s">
        <v>1152</v>
      </c>
      <c r="AI1294" s="1"/>
      <c r="AJ1294" s="1" t="s">
        <v>6661</v>
      </c>
      <c r="AK1294" s="1" t="s">
        <v>1152</v>
      </c>
      <c r="AL1294" s="6" t="str">
        <f t="array" ref="AL1294">IFERROR(IFS(XLOOKUP(B1294, 'Kit Delivery Status'!$U:$U, 'Kit Delivery Status'!$K:$K) = "Complete", "DELIVERED", XLOOKUP(B1294, 'Kit Delivery Status'!$U:$U, 'Kit Delivery Status'!$K:$K) = "Issue", "ISSUE"), "")</f>
        <v/>
      </c>
      <c r="AM1294" s="6"/>
    </row>
    <row r="1295">
      <c r="A1295" s="5" t="s">
        <v>6662</v>
      </c>
      <c r="B1295" s="1" t="s">
        <v>6663</v>
      </c>
      <c r="C1295" s="1" t="s">
        <v>6664</v>
      </c>
      <c r="D1295" s="2">
        <v>3.104291277E9</v>
      </c>
      <c r="E1295" s="1" t="s">
        <v>6665</v>
      </c>
      <c r="F1295" s="1"/>
      <c r="G1295" s="1" t="s">
        <v>1179</v>
      </c>
      <c r="H1295" s="1" t="s">
        <v>989</v>
      </c>
      <c r="I1295" s="1">
        <v>90049.0</v>
      </c>
      <c r="J1295" s="1" t="s">
        <v>752</v>
      </c>
      <c r="K1295" s="1" t="s">
        <v>51</v>
      </c>
      <c r="L1295" s="1" t="s">
        <v>5722</v>
      </c>
      <c r="M1295" s="1">
        <v>1.0</v>
      </c>
      <c r="N1295" s="1" t="s">
        <v>2461</v>
      </c>
      <c r="O1295" s="3" t="s">
        <v>6666</v>
      </c>
      <c r="P1295" s="18">
        <v>45888.0</v>
      </c>
      <c r="Q1295" s="1" t="s">
        <v>1030</v>
      </c>
      <c r="R1295" s="1"/>
      <c r="S1295" s="1" t="s">
        <v>52</v>
      </c>
      <c r="T1295" s="1" t="s">
        <v>2461</v>
      </c>
      <c r="U1295" s="1" t="s">
        <v>2430</v>
      </c>
      <c r="V1295" s="4" t="s">
        <v>6666</v>
      </c>
      <c r="W1295" s="1"/>
      <c r="X1295" s="18">
        <v>45888.0</v>
      </c>
      <c r="Y1295" s="1" t="s">
        <v>1030</v>
      </c>
      <c r="Z1295" s="1"/>
      <c r="AA1295" s="1"/>
      <c r="AB1295" s="1" t="s">
        <v>52</v>
      </c>
      <c r="AC1295" s="1" t="s">
        <v>1925</v>
      </c>
      <c r="AD1295" s="1"/>
      <c r="AE1295" s="1" t="s">
        <v>1152</v>
      </c>
      <c r="AF1295" s="1"/>
      <c r="AG1295" s="1"/>
      <c r="AH1295" s="1" t="s">
        <v>1152</v>
      </c>
      <c r="AI1295" s="1"/>
      <c r="AJ1295" s="1" t="s">
        <v>6667</v>
      </c>
      <c r="AK1295" s="1" t="s">
        <v>1152</v>
      </c>
      <c r="AL1295" s="6" t="str">
        <f t="array" ref="AL1295">IFERROR(IFS(XLOOKUP(B1295, 'Kit Delivery Status'!$U:$U, 'Kit Delivery Status'!$K:$K) = "Complete", "DELIVERED", XLOOKUP(B1295, 'Kit Delivery Status'!$U:$U, 'Kit Delivery Status'!$K:$K) = "Issue", "ISSUE"), "")</f>
        <v/>
      </c>
      <c r="AM1295" s="6"/>
    </row>
    <row r="1296">
      <c r="A1296" s="5" t="s">
        <v>6668</v>
      </c>
      <c r="B1296" s="1" t="s">
        <v>6669</v>
      </c>
      <c r="C1296" s="1" t="s">
        <v>6670</v>
      </c>
      <c r="D1296" s="2">
        <v>9.548026083E9</v>
      </c>
      <c r="E1296" s="1" t="s">
        <v>6671</v>
      </c>
      <c r="F1296" s="1"/>
      <c r="G1296" s="1" t="s">
        <v>2040</v>
      </c>
      <c r="H1296" s="1" t="s">
        <v>1208</v>
      </c>
      <c r="I1296" s="1">
        <v>33331.0</v>
      </c>
      <c r="J1296" s="1" t="s">
        <v>752</v>
      </c>
      <c r="K1296" s="1" t="s">
        <v>66</v>
      </c>
      <c r="L1296" s="1" t="s">
        <v>5767</v>
      </c>
      <c r="M1296" s="1">
        <v>210.0</v>
      </c>
      <c r="N1296" s="1" t="s">
        <v>1152</v>
      </c>
      <c r="O1296" s="3" t="s">
        <v>6672</v>
      </c>
      <c r="P1296" s="18">
        <v>45883.0</v>
      </c>
      <c r="Q1296" s="1"/>
      <c r="R1296" s="1"/>
      <c r="S1296" s="1"/>
      <c r="T1296" s="1" t="s">
        <v>1152</v>
      </c>
      <c r="U1296" s="1" t="s">
        <v>982</v>
      </c>
      <c r="V1296" s="4" t="s">
        <v>6672</v>
      </c>
      <c r="W1296" s="1"/>
      <c r="X1296" s="18">
        <v>45883.0</v>
      </c>
      <c r="Y1296" s="1"/>
      <c r="Z1296" s="1"/>
      <c r="AA1296" s="1"/>
      <c r="AB1296" s="1"/>
      <c r="AC1296" s="1" t="s">
        <v>1925</v>
      </c>
      <c r="AD1296" s="1"/>
      <c r="AE1296" s="1" t="s">
        <v>1152</v>
      </c>
      <c r="AF1296" s="1"/>
      <c r="AG1296" s="1"/>
      <c r="AH1296" s="1" t="s">
        <v>1152</v>
      </c>
      <c r="AI1296" s="1"/>
      <c r="AJ1296" s="1"/>
      <c r="AK1296" s="1" t="s">
        <v>1152</v>
      </c>
      <c r="AL1296" s="6" t="str">
        <f t="array" ref="AL1296">IFERROR(IFS(XLOOKUP(B1296, 'Kit Delivery Status'!$U:$U, 'Kit Delivery Status'!$K:$K) = "Complete", "DELIVERED", XLOOKUP(B1296, 'Kit Delivery Status'!$U:$U, 'Kit Delivery Status'!$K:$K) = "Issue", "ISSUE"), "")</f>
        <v/>
      </c>
      <c r="AM1296" s="6"/>
    </row>
    <row r="1297">
      <c r="A1297" s="5" t="s">
        <v>6673</v>
      </c>
      <c r="B1297" s="1" t="s">
        <v>6674</v>
      </c>
      <c r="C1297" s="1" t="s">
        <v>6675</v>
      </c>
      <c r="D1297" s="2">
        <v>9.735293695E9</v>
      </c>
      <c r="E1297" s="1" t="s">
        <v>6676</v>
      </c>
      <c r="F1297" s="1"/>
      <c r="G1297" s="1" t="s">
        <v>1360</v>
      </c>
      <c r="H1297" s="1" t="s">
        <v>1053</v>
      </c>
      <c r="I1297" s="1">
        <v>7020.0</v>
      </c>
      <c r="J1297" s="1" t="s">
        <v>752</v>
      </c>
      <c r="K1297" s="1" t="s">
        <v>66</v>
      </c>
      <c r="L1297" s="1" t="s">
        <v>5811</v>
      </c>
      <c r="M1297" s="1">
        <v>145.0</v>
      </c>
      <c r="N1297" s="1" t="s">
        <v>1152</v>
      </c>
      <c r="O1297" s="3" t="s">
        <v>6677</v>
      </c>
      <c r="P1297" s="18">
        <v>45883.0</v>
      </c>
      <c r="Q1297" s="1"/>
      <c r="R1297" s="1"/>
      <c r="S1297" s="1"/>
      <c r="T1297" s="1" t="s">
        <v>1152</v>
      </c>
      <c r="U1297" s="1" t="s">
        <v>948</v>
      </c>
      <c r="V1297" s="4" t="s">
        <v>6677</v>
      </c>
      <c r="W1297" s="1"/>
      <c r="X1297" s="18">
        <v>45883.0</v>
      </c>
      <c r="Y1297" s="1"/>
      <c r="Z1297" s="1"/>
      <c r="AA1297" s="1"/>
      <c r="AB1297" s="1"/>
      <c r="AC1297" s="1" t="s">
        <v>1925</v>
      </c>
      <c r="AD1297" s="1"/>
      <c r="AE1297" s="1" t="s">
        <v>1152</v>
      </c>
      <c r="AF1297" s="1"/>
      <c r="AG1297" s="1"/>
      <c r="AH1297" s="1" t="s">
        <v>1152</v>
      </c>
      <c r="AI1297" s="1"/>
      <c r="AJ1297" s="1" t="s">
        <v>6678</v>
      </c>
      <c r="AK1297" s="1" t="s">
        <v>1152</v>
      </c>
      <c r="AL1297" s="6" t="str">
        <f t="array" ref="AL1297">IFERROR(IFS(XLOOKUP(B1297, 'Kit Delivery Status'!$U:$U, 'Kit Delivery Status'!$K:$K) = "Complete", "DELIVERED", XLOOKUP(B1297, 'Kit Delivery Status'!$U:$U, 'Kit Delivery Status'!$K:$K) = "Issue", "ISSUE"), "")</f>
        <v/>
      </c>
      <c r="AM1297" s="6"/>
    </row>
    <row r="1298">
      <c r="A1298" s="5" t="s">
        <v>6679</v>
      </c>
      <c r="B1298" s="1" t="s">
        <v>6680</v>
      </c>
      <c r="C1298" s="1" t="s">
        <v>4605</v>
      </c>
      <c r="D1298" s="2">
        <v>3.142005642E9</v>
      </c>
      <c r="E1298" s="1" t="s">
        <v>4606</v>
      </c>
      <c r="F1298" s="1"/>
      <c r="G1298" s="1" t="s">
        <v>1283</v>
      </c>
      <c r="H1298" s="1" t="s">
        <v>1155</v>
      </c>
      <c r="I1298" s="1">
        <v>63143.0</v>
      </c>
      <c r="J1298" s="1" t="s">
        <v>752</v>
      </c>
      <c r="K1298" s="1" t="s">
        <v>2577</v>
      </c>
      <c r="L1298" s="1" t="s">
        <v>5882</v>
      </c>
      <c r="M1298" s="1">
        <v>1.0</v>
      </c>
      <c r="N1298" s="1" t="s">
        <v>2579</v>
      </c>
      <c r="O1298" s="3" t="s">
        <v>4184</v>
      </c>
      <c r="P1298" s="18">
        <v>45886.0</v>
      </c>
      <c r="Q1298" s="4" t="s">
        <v>6681</v>
      </c>
      <c r="R1298" s="1"/>
      <c r="S1298" s="1"/>
      <c r="T1298" s="1" t="s">
        <v>2579</v>
      </c>
      <c r="U1298" s="1" t="s">
        <v>1794</v>
      </c>
      <c r="V1298" s="4" t="s">
        <v>4184</v>
      </c>
      <c r="W1298" s="1"/>
      <c r="X1298" s="18"/>
      <c r="Y1298" s="1"/>
      <c r="Z1298" s="1"/>
      <c r="AA1298" s="1"/>
      <c r="AB1298" s="1"/>
      <c r="AC1298" s="1" t="s">
        <v>1925</v>
      </c>
      <c r="AD1298" s="1"/>
      <c r="AE1298" s="1" t="s">
        <v>1152</v>
      </c>
      <c r="AF1298" s="1"/>
      <c r="AG1298" s="1"/>
      <c r="AH1298" s="1" t="s">
        <v>1152</v>
      </c>
      <c r="AI1298" s="1" t="s">
        <v>6682</v>
      </c>
      <c r="AJ1298" s="1"/>
      <c r="AK1298" s="1" t="s">
        <v>6631</v>
      </c>
      <c r="AL1298" s="6" t="str">
        <f t="array" ref="AL1298">IFERROR(IFS(XLOOKUP(B1298, 'Kit Delivery Status'!$U:$U, 'Kit Delivery Status'!$K:$K) = "Complete", "DELIVERED", XLOOKUP(B1298, 'Kit Delivery Status'!$U:$U, 'Kit Delivery Status'!$K:$K) = "Issue", "ISSUE"), "")</f>
        <v/>
      </c>
      <c r="AM1298" s="6"/>
    </row>
    <row r="1299">
      <c r="A1299" s="5" t="s">
        <v>6683</v>
      </c>
      <c r="B1299" s="1" t="s">
        <v>6684</v>
      </c>
      <c r="C1299" s="1" t="s">
        <v>6685</v>
      </c>
      <c r="D1299" s="2">
        <v>5.163447738E9</v>
      </c>
      <c r="E1299" s="1" t="s">
        <v>6686</v>
      </c>
      <c r="F1299" s="1"/>
      <c r="G1299" s="1" t="s">
        <v>1405</v>
      </c>
      <c r="H1299" s="1" t="s">
        <v>751</v>
      </c>
      <c r="I1299" s="1">
        <v>11753.0</v>
      </c>
      <c r="J1299" s="1" t="s">
        <v>752</v>
      </c>
      <c r="K1299" s="1" t="s">
        <v>66</v>
      </c>
      <c r="L1299" s="1" t="s">
        <v>5767</v>
      </c>
      <c r="M1299" s="1">
        <v>210.0</v>
      </c>
      <c r="N1299" s="1" t="s">
        <v>1152</v>
      </c>
      <c r="O1299" s="3" t="s">
        <v>6687</v>
      </c>
      <c r="P1299" s="18">
        <v>45883.0</v>
      </c>
      <c r="Q1299" s="4"/>
      <c r="R1299" s="1"/>
      <c r="S1299" s="1"/>
      <c r="T1299" s="1" t="s">
        <v>1152</v>
      </c>
      <c r="U1299" s="1" t="s">
        <v>2430</v>
      </c>
      <c r="V1299" s="4" t="s">
        <v>6687</v>
      </c>
      <c r="W1299" s="1"/>
      <c r="X1299" s="18">
        <v>45883.0</v>
      </c>
      <c r="Y1299" s="1"/>
      <c r="Z1299" s="1"/>
      <c r="AA1299" s="1"/>
      <c r="AB1299" s="1"/>
      <c r="AC1299" s="1" t="s">
        <v>1925</v>
      </c>
      <c r="AD1299" s="1"/>
      <c r="AE1299" s="1" t="s">
        <v>1152</v>
      </c>
      <c r="AF1299" s="1"/>
      <c r="AG1299" s="1"/>
      <c r="AH1299" s="1" t="s">
        <v>1152</v>
      </c>
      <c r="AI1299" s="1"/>
      <c r="AJ1299" s="1" t="s">
        <v>6686</v>
      </c>
      <c r="AK1299" s="1" t="s">
        <v>1152</v>
      </c>
      <c r="AL1299" s="6" t="str">
        <f t="array" ref="AL1299">IFERROR(IFS(XLOOKUP(B1299, 'Kit Delivery Status'!$U:$U, 'Kit Delivery Status'!$K:$K) = "Complete", "DELIVERED", XLOOKUP(B1299, 'Kit Delivery Status'!$U:$U, 'Kit Delivery Status'!$K:$K) = "Issue", "ISSUE"), "")</f>
        <v/>
      </c>
      <c r="AM1299" s="6"/>
    </row>
    <row r="1300">
      <c r="A1300" s="5" t="s">
        <v>6688</v>
      </c>
      <c r="B1300" s="1" t="s">
        <v>6689</v>
      </c>
      <c r="C1300" s="1" t="s">
        <v>6690</v>
      </c>
      <c r="D1300" s="2">
        <v>9.089563876E9</v>
      </c>
      <c r="E1300" s="1" t="s">
        <v>6691</v>
      </c>
      <c r="F1300" s="1"/>
      <c r="G1300" s="1" t="s">
        <v>6692</v>
      </c>
      <c r="H1300" s="1" t="s">
        <v>1053</v>
      </c>
      <c r="I1300" s="1">
        <v>7023.0</v>
      </c>
      <c r="J1300" s="1" t="s">
        <v>752</v>
      </c>
      <c r="K1300" s="1" t="s">
        <v>51</v>
      </c>
      <c r="L1300" s="1" t="s">
        <v>5722</v>
      </c>
      <c r="M1300" s="1">
        <v>1.0</v>
      </c>
      <c r="N1300" s="1" t="s">
        <v>2461</v>
      </c>
      <c r="O1300" s="3" t="s">
        <v>6693</v>
      </c>
      <c r="P1300" s="18">
        <v>45889.0</v>
      </c>
      <c r="Q1300" s="1" t="s">
        <v>1030</v>
      </c>
      <c r="R1300" s="1"/>
      <c r="S1300" s="1" t="s">
        <v>52</v>
      </c>
      <c r="T1300" s="1" t="s">
        <v>2461</v>
      </c>
      <c r="U1300" s="1" t="s">
        <v>1936</v>
      </c>
      <c r="V1300" s="4" t="s">
        <v>6693</v>
      </c>
      <c r="W1300" s="1"/>
      <c r="X1300" s="18">
        <v>45889.0</v>
      </c>
      <c r="Y1300" s="1" t="s">
        <v>1030</v>
      </c>
      <c r="Z1300" s="1"/>
      <c r="AA1300" s="1"/>
      <c r="AB1300" s="1" t="s">
        <v>52</v>
      </c>
      <c r="AC1300" s="1" t="s">
        <v>1925</v>
      </c>
      <c r="AD1300" s="1"/>
      <c r="AE1300" s="1" t="s">
        <v>1152</v>
      </c>
      <c r="AF1300" s="1"/>
      <c r="AG1300" s="1"/>
      <c r="AH1300" s="1" t="s">
        <v>1152</v>
      </c>
      <c r="AI1300" s="1"/>
      <c r="AJ1300" s="1" t="s">
        <v>6691</v>
      </c>
      <c r="AK1300" s="1" t="s">
        <v>1152</v>
      </c>
      <c r="AL1300" s="6" t="str">
        <f t="array" ref="AL1300">IFERROR(IFS(XLOOKUP(B1300, 'Kit Delivery Status'!$U:$U, 'Kit Delivery Status'!$K:$K) = "Complete", "DELIVERED", XLOOKUP(B1300, 'Kit Delivery Status'!$U:$U, 'Kit Delivery Status'!$K:$K) = "Issue", "ISSUE"), "")</f>
        <v/>
      </c>
      <c r="AM1300" s="6"/>
    </row>
    <row r="1301">
      <c r="A1301" s="5" t="s">
        <v>6694</v>
      </c>
      <c r="B1301" s="1" t="s">
        <v>6695</v>
      </c>
      <c r="C1301" s="1"/>
      <c r="D1301" s="2">
        <v>7.814141024E9</v>
      </c>
      <c r="E1301" s="1" t="s">
        <v>6696</v>
      </c>
      <c r="F1301" s="1"/>
      <c r="G1301" s="1" t="s">
        <v>2625</v>
      </c>
      <c r="H1301" s="1" t="s">
        <v>1121</v>
      </c>
      <c r="I1301" s="1">
        <v>2492.0</v>
      </c>
      <c r="J1301" s="1" t="s">
        <v>752</v>
      </c>
      <c r="K1301" s="1" t="s">
        <v>66</v>
      </c>
      <c r="L1301" s="1" t="s">
        <v>5811</v>
      </c>
      <c r="M1301" s="1">
        <v>145.0</v>
      </c>
      <c r="N1301" s="1" t="s">
        <v>1152</v>
      </c>
      <c r="O1301" s="3" t="s">
        <v>6697</v>
      </c>
      <c r="P1301" s="18">
        <v>45883.0</v>
      </c>
      <c r="Q1301" s="1"/>
      <c r="R1301" s="1"/>
      <c r="S1301" s="1"/>
      <c r="T1301" s="1" t="s">
        <v>1152</v>
      </c>
      <c r="U1301" s="1" t="s">
        <v>1148</v>
      </c>
      <c r="V1301" s="4" t="s">
        <v>6697</v>
      </c>
      <c r="W1301" s="1"/>
      <c r="X1301" s="18">
        <v>45883.0</v>
      </c>
      <c r="Y1301" s="1"/>
      <c r="Z1301" s="1"/>
      <c r="AA1301" s="1"/>
      <c r="AB1301" s="1"/>
      <c r="AC1301" s="1" t="s">
        <v>1925</v>
      </c>
      <c r="AD1301" s="1"/>
      <c r="AE1301" s="1" t="s">
        <v>1152</v>
      </c>
      <c r="AF1301" s="1"/>
      <c r="AG1301" s="1"/>
      <c r="AH1301" s="1" t="s">
        <v>1152</v>
      </c>
      <c r="AI1301" s="1"/>
      <c r="AJ1301" s="1" t="s">
        <v>6698</v>
      </c>
      <c r="AK1301" s="1" t="s">
        <v>1152</v>
      </c>
      <c r="AL1301" s="6" t="str">
        <f t="array" ref="AL1301">IFERROR(IFS(XLOOKUP(B1301, 'Kit Delivery Status'!$U:$U, 'Kit Delivery Status'!$K:$K) = "Complete", "DELIVERED", XLOOKUP(B1301, 'Kit Delivery Status'!$U:$U, 'Kit Delivery Status'!$K:$K) = "Issue", "ISSUE"), "")</f>
        <v/>
      </c>
      <c r="AM1301" s="6"/>
    </row>
    <row r="1302">
      <c r="A1302" s="5" t="s">
        <v>6699</v>
      </c>
      <c r="B1302" s="1" t="s">
        <v>6700</v>
      </c>
      <c r="C1302" s="1" t="s">
        <v>6701</v>
      </c>
      <c r="D1302" s="2">
        <v>9.73597803E9</v>
      </c>
      <c r="E1302" s="1" t="s">
        <v>6702</v>
      </c>
      <c r="F1302" s="1"/>
      <c r="G1302" s="1" t="s">
        <v>6703</v>
      </c>
      <c r="H1302" s="1" t="s">
        <v>1053</v>
      </c>
      <c r="I1302" s="1">
        <v>7936.0</v>
      </c>
      <c r="J1302" s="1" t="s">
        <v>752</v>
      </c>
      <c r="K1302" s="1" t="s">
        <v>51</v>
      </c>
      <c r="L1302" s="1" t="s">
        <v>5722</v>
      </c>
      <c r="M1302" s="1">
        <v>1.0</v>
      </c>
      <c r="N1302" s="1" t="s">
        <v>2461</v>
      </c>
      <c r="O1302" s="3" t="s">
        <v>6704</v>
      </c>
      <c r="P1302" s="18">
        <v>45888.0</v>
      </c>
      <c r="Q1302" s="1" t="s">
        <v>1030</v>
      </c>
      <c r="R1302" s="1"/>
      <c r="S1302" s="1" t="s">
        <v>52</v>
      </c>
      <c r="T1302" s="1" t="s">
        <v>2461</v>
      </c>
      <c r="U1302" s="1" t="s">
        <v>4959</v>
      </c>
      <c r="V1302" s="4" t="s">
        <v>6704</v>
      </c>
      <c r="W1302" s="1"/>
      <c r="X1302" s="18">
        <v>45888.0</v>
      </c>
      <c r="Y1302" s="1" t="s">
        <v>1030</v>
      </c>
      <c r="Z1302" s="1"/>
      <c r="AA1302" s="1"/>
      <c r="AB1302" s="1" t="s">
        <v>52</v>
      </c>
      <c r="AC1302" s="1" t="s">
        <v>1925</v>
      </c>
      <c r="AD1302" s="1"/>
      <c r="AE1302" s="1" t="s">
        <v>1152</v>
      </c>
      <c r="AF1302" s="1"/>
      <c r="AG1302" s="1"/>
      <c r="AH1302" s="1" t="s">
        <v>1152</v>
      </c>
      <c r="AI1302" s="1"/>
      <c r="AJ1302" s="1" t="s">
        <v>6702</v>
      </c>
      <c r="AK1302" s="1" t="s">
        <v>1152</v>
      </c>
      <c r="AL1302" s="6" t="str">
        <f t="array" ref="AL1302">IFERROR(IFS(XLOOKUP(B1302, 'Kit Delivery Status'!$U:$U, 'Kit Delivery Status'!$K:$K) = "Complete", "DELIVERED", XLOOKUP(B1302, 'Kit Delivery Status'!$U:$U, 'Kit Delivery Status'!$K:$K) = "Issue", "ISSUE"), "")</f>
        <v/>
      </c>
      <c r="AM1302" s="6"/>
    </row>
    <row r="1303">
      <c r="A1303" s="5" t="s">
        <v>6705</v>
      </c>
      <c r="B1303" s="1" t="s">
        <v>6706</v>
      </c>
      <c r="C1303" s="1" t="s">
        <v>6707</v>
      </c>
      <c r="D1303" s="2">
        <v>7.737913143E9</v>
      </c>
      <c r="E1303" s="1" t="s">
        <v>6708</v>
      </c>
      <c r="F1303" s="1"/>
      <c r="G1303" s="1" t="s">
        <v>3041</v>
      </c>
      <c r="H1303" s="1" t="s">
        <v>1019</v>
      </c>
      <c r="I1303" s="1">
        <v>60091.0</v>
      </c>
      <c r="J1303" s="1" t="s">
        <v>752</v>
      </c>
      <c r="K1303" s="1" t="s">
        <v>66</v>
      </c>
      <c r="L1303" s="1" t="s">
        <v>5811</v>
      </c>
      <c r="M1303" s="1">
        <v>145.0</v>
      </c>
      <c r="N1303" s="1" t="s">
        <v>1152</v>
      </c>
      <c r="O1303" s="3" t="s">
        <v>6709</v>
      </c>
      <c r="P1303" s="18">
        <v>45892.0</v>
      </c>
      <c r="Q1303" s="1"/>
      <c r="R1303" s="1"/>
      <c r="S1303" s="1"/>
      <c r="T1303" s="1" t="s">
        <v>1152</v>
      </c>
      <c r="U1303" s="1" t="s">
        <v>3756</v>
      </c>
      <c r="V1303" s="4" t="s">
        <v>6709</v>
      </c>
      <c r="W1303" s="1"/>
      <c r="X1303" s="18">
        <v>45892.0</v>
      </c>
      <c r="Y1303" s="1"/>
      <c r="Z1303" s="1"/>
      <c r="AA1303" s="1"/>
      <c r="AB1303" s="1"/>
      <c r="AC1303" s="1" t="s">
        <v>1925</v>
      </c>
      <c r="AD1303" s="1"/>
      <c r="AE1303" s="1" t="s">
        <v>1152</v>
      </c>
      <c r="AF1303" s="1"/>
      <c r="AG1303" s="1"/>
      <c r="AH1303" s="1" t="s">
        <v>1152</v>
      </c>
      <c r="AI1303" s="1"/>
      <c r="AJ1303" s="1" t="s">
        <v>6710</v>
      </c>
      <c r="AK1303" s="1" t="s">
        <v>1152</v>
      </c>
      <c r="AL1303" s="6" t="str">
        <f t="array" ref="AL1303">IFERROR(IFS(XLOOKUP(B1303, 'Kit Delivery Status'!$U:$U, 'Kit Delivery Status'!$K:$K) = "Complete", "DELIVERED", XLOOKUP(B1303, 'Kit Delivery Status'!$U:$U, 'Kit Delivery Status'!$K:$K) = "Issue", "ISSUE"), "")</f>
        <v/>
      </c>
      <c r="AM1303" s="6"/>
    </row>
    <row r="1304">
      <c r="A1304" s="5" t="s">
        <v>6711</v>
      </c>
      <c r="B1304" s="1" t="s">
        <v>6712</v>
      </c>
      <c r="C1304" s="1" t="s">
        <v>6713</v>
      </c>
      <c r="D1304" s="2">
        <v>6.462713339E9</v>
      </c>
      <c r="E1304" s="1" t="s">
        <v>6714</v>
      </c>
      <c r="F1304" s="1"/>
      <c r="G1304" s="1" t="s">
        <v>6715</v>
      </c>
      <c r="H1304" s="1" t="s">
        <v>751</v>
      </c>
      <c r="I1304" s="1">
        <v>11030.0</v>
      </c>
      <c r="J1304" s="1" t="s">
        <v>752</v>
      </c>
      <c r="K1304" s="1" t="s">
        <v>66</v>
      </c>
      <c r="L1304" s="1" t="s">
        <v>5811</v>
      </c>
      <c r="M1304" s="1">
        <v>145.0</v>
      </c>
      <c r="N1304" s="1" t="s">
        <v>1152</v>
      </c>
      <c r="O1304" s="3" t="s">
        <v>6716</v>
      </c>
      <c r="P1304" s="18">
        <v>45883.0</v>
      </c>
      <c r="Q1304" s="1"/>
      <c r="R1304" s="1"/>
      <c r="S1304" s="1"/>
      <c r="T1304" s="1" t="s">
        <v>1152</v>
      </c>
      <c r="U1304" s="1" t="s">
        <v>1080</v>
      </c>
      <c r="V1304" s="4" t="s">
        <v>6716</v>
      </c>
      <c r="W1304" s="1"/>
      <c r="X1304" s="18">
        <v>45883.0</v>
      </c>
      <c r="Y1304" s="1"/>
      <c r="Z1304" s="1"/>
      <c r="AA1304" s="1"/>
      <c r="AB1304" s="1"/>
      <c r="AC1304" s="1" t="s">
        <v>1925</v>
      </c>
      <c r="AD1304" s="1"/>
      <c r="AE1304" s="1" t="s">
        <v>1152</v>
      </c>
      <c r="AF1304" s="1"/>
      <c r="AG1304" s="1"/>
      <c r="AH1304" s="1" t="s">
        <v>1152</v>
      </c>
      <c r="AI1304" s="1"/>
      <c r="AJ1304" s="1" t="s">
        <v>6717</v>
      </c>
      <c r="AK1304" s="1" t="s">
        <v>1152</v>
      </c>
      <c r="AL1304" s="6" t="str">
        <f t="array" ref="AL1304">IFERROR(IFS(XLOOKUP(B1304, 'Kit Delivery Status'!$U:$U, 'Kit Delivery Status'!$K:$K) = "Complete", "DELIVERED", XLOOKUP(B1304, 'Kit Delivery Status'!$U:$U, 'Kit Delivery Status'!$K:$K) = "Issue", "ISSUE"), "")</f>
        <v/>
      </c>
      <c r="AM1304" s="6"/>
    </row>
    <row r="1305">
      <c r="A1305" s="5" t="s">
        <v>6718</v>
      </c>
      <c r="B1305" s="1" t="s">
        <v>6719</v>
      </c>
      <c r="C1305" s="1" t="s">
        <v>6720</v>
      </c>
      <c r="D1305" s="2">
        <v>2.024978188E9</v>
      </c>
      <c r="E1305" s="1" t="s">
        <v>6721</v>
      </c>
      <c r="F1305" s="1"/>
      <c r="G1305" s="1" t="s">
        <v>1299</v>
      </c>
      <c r="H1305" s="1" t="s">
        <v>1005</v>
      </c>
      <c r="I1305" s="1">
        <v>20817.0</v>
      </c>
      <c r="J1305" s="1" t="s">
        <v>752</v>
      </c>
      <c r="K1305" s="1" t="s">
        <v>51</v>
      </c>
      <c r="L1305" s="1" t="s">
        <v>5722</v>
      </c>
      <c r="M1305" s="1">
        <v>1.0</v>
      </c>
      <c r="N1305" s="1" t="s">
        <v>2461</v>
      </c>
      <c r="O1305" s="3" t="s">
        <v>6722</v>
      </c>
      <c r="P1305" s="18">
        <v>45890.0</v>
      </c>
      <c r="Q1305" s="1" t="s">
        <v>1030</v>
      </c>
      <c r="R1305" s="1"/>
      <c r="S1305" s="1" t="s">
        <v>52</v>
      </c>
      <c r="T1305" s="1" t="s">
        <v>2461</v>
      </c>
      <c r="U1305" s="1" t="s">
        <v>1812</v>
      </c>
      <c r="V1305" s="4" t="s">
        <v>6722</v>
      </c>
      <c r="W1305" s="1"/>
      <c r="X1305" s="18">
        <v>45890.0</v>
      </c>
      <c r="Y1305" s="1" t="s">
        <v>1030</v>
      </c>
      <c r="Z1305" s="1"/>
      <c r="AA1305" s="1"/>
      <c r="AB1305" s="1" t="s">
        <v>52</v>
      </c>
      <c r="AC1305" s="1" t="s">
        <v>1925</v>
      </c>
      <c r="AD1305" s="1"/>
      <c r="AE1305" s="1" t="s">
        <v>1152</v>
      </c>
      <c r="AF1305" s="1"/>
      <c r="AG1305" s="1"/>
      <c r="AH1305" s="1" t="s">
        <v>1152</v>
      </c>
      <c r="AI1305" s="1"/>
      <c r="AJ1305" s="1" t="s">
        <v>6723</v>
      </c>
      <c r="AK1305" s="1" t="s">
        <v>1152</v>
      </c>
      <c r="AL1305" s="6" t="str">
        <f t="array" ref="AL1305">IFERROR(IFS(XLOOKUP(B1305, 'Kit Delivery Status'!$U:$U, 'Kit Delivery Status'!$K:$K) = "Complete", "DELIVERED", XLOOKUP(B1305, 'Kit Delivery Status'!$U:$U, 'Kit Delivery Status'!$K:$K) = "Issue", "ISSUE"), "")</f>
        <v/>
      </c>
      <c r="AM1305" s="6"/>
    </row>
    <row r="1306">
      <c r="A1306" s="5" t="s">
        <v>6724</v>
      </c>
      <c r="B1306" s="1" t="s">
        <v>6725</v>
      </c>
      <c r="C1306" s="1"/>
      <c r="D1306" s="2">
        <v>7.149299133E9</v>
      </c>
      <c r="E1306" s="1" t="s">
        <v>6726</v>
      </c>
      <c r="F1306" s="1"/>
      <c r="G1306" s="1" t="s">
        <v>6727</v>
      </c>
      <c r="H1306" s="1" t="s">
        <v>989</v>
      </c>
      <c r="I1306" s="1">
        <v>92701.0</v>
      </c>
      <c r="J1306" s="1" t="s">
        <v>752</v>
      </c>
      <c r="K1306" s="1" t="s">
        <v>51</v>
      </c>
      <c r="L1306" s="1" t="s">
        <v>5722</v>
      </c>
      <c r="M1306" s="1">
        <v>1.0</v>
      </c>
      <c r="N1306" s="1" t="s">
        <v>2461</v>
      </c>
      <c r="O1306" s="3" t="s">
        <v>6728</v>
      </c>
      <c r="P1306" s="18">
        <v>45888.0</v>
      </c>
      <c r="Q1306" s="1" t="s">
        <v>1103</v>
      </c>
      <c r="R1306" s="1"/>
      <c r="S1306" s="1" t="s">
        <v>52</v>
      </c>
      <c r="T1306" s="1" t="s">
        <v>2461</v>
      </c>
      <c r="U1306" s="1" t="s">
        <v>1021</v>
      </c>
      <c r="V1306" s="4" t="s">
        <v>6728</v>
      </c>
      <c r="W1306" s="1"/>
      <c r="X1306" s="18">
        <v>45888.0</v>
      </c>
      <c r="Y1306" s="1" t="s">
        <v>1103</v>
      </c>
      <c r="Z1306" s="1"/>
      <c r="AA1306" s="1"/>
      <c r="AB1306" s="1" t="s">
        <v>52</v>
      </c>
      <c r="AC1306" s="1" t="s">
        <v>1925</v>
      </c>
      <c r="AD1306" s="1"/>
      <c r="AE1306" s="1" t="s">
        <v>1152</v>
      </c>
      <c r="AF1306" s="1"/>
      <c r="AG1306" s="1"/>
      <c r="AH1306" s="1" t="s">
        <v>1152</v>
      </c>
      <c r="AI1306" s="1"/>
      <c r="AJ1306" s="1" t="s">
        <v>6726</v>
      </c>
      <c r="AK1306" s="1" t="s">
        <v>1152</v>
      </c>
      <c r="AL1306" s="6" t="str">
        <f t="array" ref="AL1306">IFERROR(IFS(XLOOKUP(B1306, 'Kit Delivery Status'!$U:$U, 'Kit Delivery Status'!$K:$K) = "Complete", "DELIVERED", XLOOKUP(B1306, 'Kit Delivery Status'!$U:$U, 'Kit Delivery Status'!$K:$K) = "Issue", "ISSUE"), "")</f>
        <v/>
      </c>
      <c r="AM1306" s="6"/>
    </row>
    <row r="1307">
      <c r="A1307" s="5" t="s">
        <v>6729</v>
      </c>
      <c r="B1307" s="1" t="s">
        <v>6730</v>
      </c>
      <c r="C1307" s="1"/>
      <c r="D1307" s="2">
        <v>2.094852901E9</v>
      </c>
      <c r="E1307" s="1" t="s">
        <v>6731</v>
      </c>
      <c r="F1307" s="1"/>
      <c r="G1307" s="1" t="s">
        <v>6732</v>
      </c>
      <c r="H1307" s="1" t="s">
        <v>989</v>
      </c>
      <c r="I1307" s="1">
        <v>95380.0</v>
      </c>
      <c r="J1307" s="1" t="s">
        <v>752</v>
      </c>
      <c r="K1307" s="1" t="s">
        <v>66</v>
      </c>
      <c r="L1307" s="1" t="s">
        <v>5767</v>
      </c>
      <c r="M1307" s="1">
        <v>210.0</v>
      </c>
      <c r="N1307" s="1" t="s">
        <v>1152</v>
      </c>
      <c r="O1307" s="3" t="s">
        <v>6733</v>
      </c>
      <c r="P1307" s="18">
        <v>45883.0</v>
      </c>
      <c r="Q1307" s="1"/>
      <c r="R1307" s="1"/>
      <c r="S1307" s="1"/>
      <c r="T1307" s="1" t="s">
        <v>1152</v>
      </c>
      <c r="U1307" s="1" t="s">
        <v>6053</v>
      </c>
      <c r="V1307" s="4" t="s">
        <v>6733</v>
      </c>
      <c r="W1307" s="1"/>
      <c r="X1307" s="18">
        <v>45883.0</v>
      </c>
      <c r="Y1307" s="1"/>
      <c r="Z1307" s="1"/>
      <c r="AA1307" s="1"/>
      <c r="AB1307" s="1"/>
      <c r="AC1307" s="1" t="s">
        <v>1925</v>
      </c>
      <c r="AD1307" s="1"/>
      <c r="AE1307" s="1" t="s">
        <v>1152</v>
      </c>
      <c r="AF1307" s="1"/>
      <c r="AG1307" s="1"/>
      <c r="AH1307" s="1" t="s">
        <v>1152</v>
      </c>
      <c r="AI1307" s="1"/>
      <c r="AJ1307" s="1" t="s">
        <v>6734</v>
      </c>
      <c r="AK1307" s="1" t="s">
        <v>1152</v>
      </c>
      <c r="AL1307" s="6" t="str">
        <f t="array" ref="AL1307">IFERROR(IFS(XLOOKUP(B1307, 'Kit Delivery Status'!$U:$U, 'Kit Delivery Status'!$K:$K) = "Complete", "DELIVERED", XLOOKUP(B1307, 'Kit Delivery Status'!$U:$U, 'Kit Delivery Status'!$K:$K) = "Issue", "ISSUE"), "")</f>
        <v/>
      </c>
      <c r="AM1307" s="6"/>
    </row>
    <row r="1308">
      <c r="A1308" s="5" t="s">
        <v>6735</v>
      </c>
      <c r="B1308" s="1" t="s">
        <v>6736</v>
      </c>
      <c r="C1308" s="1" t="s">
        <v>6737</v>
      </c>
      <c r="D1308" s="2">
        <v>7.046182366E9</v>
      </c>
      <c r="E1308" s="1" t="s">
        <v>6738</v>
      </c>
      <c r="F1308" s="1"/>
      <c r="G1308" s="1" t="s">
        <v>6305</v>
      </c>
      <c r="H1308" s="1" t="s">
        <v>1438</v>
      </c>
      <c r="I1308" s="1">
        <v>28210.0</v>
      </c>
      <c r="J1308" s="1" t="s">
        <v>752</v>
      </c>
      <c r="K1308" s="1" t="s">
        <v>66</v>
      </c>
      <c r="L1308" s="1" t="s">
        <v>5811</v>
      </c>
      <c r="M1308" s="1">
        <v>145.0</v>
      </c>
      <c r="N1308" s="1" t="s">
        <v>1152</v>
      </c>
      <c r="O1308" s="3" t="s">
        <v>6739</v>
      </c>
      <c r="P1308" s="18">
        <v>45883.0</v>
      </c>
      <c r="Q1308" s="1"/>
      <c r="R1308" s="1"/>
      <c r="S1308" s="1"/>
      <c r="T1308" s="1" t="s">
        <v>1152</v>
      </c>
      <c r="U1308" s="1" t="s">
        <v>1065</v>
      </c>
      <c r="V1308" s="4" t="s">
        <v>6739</v>
      </c>
      <c r="W1308" s="1"/>
      <c r="X1308" s="18">
        <v>45883.0</v>
      </c>
      <c r="Y1308" s="1"/>
      <c r="Z1308" s="1"/>
      <c r="AA1308" s="1"/>
      <c r="AB1308" s="1"/>
      <c r="AC1308" s="1" t="s">
        <v>1925</v>
      </c>
      <c r="AD1308" s="1"/>
      <c r="AE1308" s="1" t="s">
        <v>1152</v>
      </c>
      <c r="AF1308" s="1"/>
      <c r="AG1308" s="1"/>
      <c r="AH1308" s="1" t="s">
        <v>1152</v>
      </c>
      <c r="AI1308" s="1"/>
      <c r="AJ1308" s="1" t="s">
        <v>6740</v>
      </c>
      <c r="AK1308" s="1" t="s">
        <v>1152</v>
      </c>
      <c r="AL1308" s="6" t="str">
        <f t="array" ref="AL1308">IFERROR(IFS(XLOOKUP(B1308, 'Kit Delivery Status'!$U:$U, 'Kit Delivery Status'!$K:$K) = "Complete", "DELIVERED", XLOOKUP(B1308, 'Kit Delivery Status'!$U:$U, 'Kit Delivery Status'!$K:$K) = "Issue", "ISSUE"), "")</f>
        <v/>
      </c>
      <c r="AM1308" s="6"/>
    </row>
    <row r="1309">
      <c r="A1309" s="5" t="s">
        <v>6741</v>
      </c>
      <c r="B1309" s="1" t="s">
        <v>6742</v>
      </c>
      <c r="C1309" s="1" t="s">
        <v>6743</v>
      </c>
      <c r="D1309" s="2">
        <v>4.844319255E9</v>
      </c>
      <c r="E1309" s="1" t="s">
        <v>6744</v>
      </c>
      <c r="F1309" s="1"/>
      <c r="G1309" s="1" t="s">
        <v>6745</v>
      </c>
      <c r="H1309" s="1" t="s">
        <v>751</v>
      </c>
      <c r="I1309" s="1">
        <v>14850.0</v>
      </c>
      <c r="J1309" s="1" t="s">
        <v>752</v>
      </c>
      <c r="K1309" s="1" t="s">
        <v>51</v>
      </c>
      <c r="L1309" s="1" t="s">
        <v>5722</v>
      </c>
      <c r="M1309" s="1">
        <v>1.0</v>
      </c>
      <c r="N1309" s="1" t="s">
        <v>2461</v>
      </c>
      <c r="O1309" s="3" t="s">
        <v>6746</v>
      </c>
      <c r="P1309" s="18">
        <v>45887.0</v>
      </c>
      <c r="Q1309" s="1" t="s">
        <v>1440</v>
      </c>
      <c r="R1309" s="1"/>
      <c r="S1309" s="1" t="s">
        <v>52</v>
      </c>
      <c r="T1309" s="1" t="s">
        <v>2461</v>
      </c>
      <c r="U1309" s="1" t="s">
        <v>1407</v>
      </c>
      <c r="V1309" s="4" t="s">
        <v>6746</v>
      </c>
      <c r="W1309" s="1"/>
      <c r="X1309" s="18">
        <v>45887.0</v>
      </c>
      <c r="Y1309" s="1" t="s">
        <v>1440</v>
      </c>
      <c r="Z1309" s="1"/>
      <c r="AA1309" s="1"/>
      <c r="AB1309" s="1" t="s">
        <v>52</v>
      </c>
      <c r="AC1309" s="1" t="s">
        <v>1925</v>
      </c>
      <c r="AD1309" s="1"/>
      <c r="AE1309" s="1" t="s">
        <v>1152</v>
      </c>
      <c r="AF1309" s="1"/>
      <c r="AG1309" s="1"/>
      <c r="AH1309" s="1" t="s">
        <v>1152</v>
      </c>
      <c r="AI1309" s="1"/>
      <c r="AJ1309" s="1" t="s">
        <v>6747</v>
      </c>
      <c r="AK1309" s="1" t="s">
        <v>1152</v>
      </c>
      <c r="AL1309" s="6" t="str">
        <f t="array" ref="AL1309">IFERROR(IFS(XLOOKUP(B1309, 'Kit Delivery Status'!$U:$U, 'Kit Delivery Status'!$K:$K) = "Complete", "DELIVERED", XLOOKUP(B1309, 'Kit Delivery Status'!$U:$U, 'Kit Delivery Status'!$K:$K) = "Issue", "ISSUE"), "")</f>
        <v/>
      </c>
      <c r="AM1309" s="6"/>
    </row>
    <row r="1310">
      <c r="A1310" s="5" t="s">
        <v>6748</v>
      </c>
      <c r="B1310" s="1" t="s">
        <v>6749</v>
      </c>
      <c r="C1310" s="1" t="s">
        <v>6750</v>
      </c>
      <c r="D1310" s="2">
        <v>1.8327096082E10</v>
      </c>
      <c r="E1310" s="1" t="s">
        <v>6751</v>
      </c>
      <c r="F1310" s="1"/>
      <c r="G1310" s="1" t="s">
        <v>1609</v>
      </c>
      <c r="H1310" s="1" t="s">
        <v>1583</v>
      </c>
      <c r="I1310" s="1">
        <v>77096.0</v>
      </c>
      <c r="J1310" s="1" t="s">
        <v>752</v>
      </c>
      <c r="K1310" s="1" t="s">
        <v>95</v>
      </c>
      <c r="L1310" s="1" t="s">
        <v>5820</v>
      </c>
      <c r="M1310" s="1">
        <v>49.0</v>
      </c>
      <c r="N1310" s="1" t="s">
        <v>2461</v>
      </c>
      <c r="O1310" s="3" t="s">
        <v>6752</v>
      </c>
      <c r="P1310" s="18">
        <v>45892.0</v>
      </c>
      <c r="Q1310" s="1" t="s">
        <v>1630</v>
      </c>
      <c r="R1310" s="1"/>
      <c r="S1310" s="1" t="s">
        <v>52</v>
      </c>
      <c r="T1310" s="1" t="s">
        <v>2461</v>
      </c>
      <c r="U1310" s="1" t="s">
        <v>948</v>
      </c>
      <c r="V1310" s="4" t="s">
        <v>6752</v>
      </c>
      <c r="W1310" s="1"/>
      <c r="X1310" s="18">
        <v>45892.0</v>
      </c>
      <c r="Y1310" s="1" t="s">
        <v>1630</v>
      </c>
      <c r="Z1310" s="1"/>
      <c r="AA1310" s="1"/>
      <c r="AB1310" s="1" t="s">
        <v>52</v>
      </c>
      <c r="AC1310" s="1" t="s">
        <v>6753</v>
      </c>
      <c r="AD1310" s="1"/>
      <c r="AE1310" s="1" t="s">
        <v>1152</v>
      </c>
      <c r="AF1310" s="1"/>
      <c r="AG1310" s="1"/>
      <c r="AH1310" s="1" t="s">
        <v>1152</v>
      </c>
      <c r="AI1310" s="1"/>
      <c r="AJ1310" s="1" t="s">
        <v>6751</v>
      </c>
      <c r="AK1310" s="1" t="s">
        <v>1152</v>
      </c>
      <c r="AL1310" s="6" t="str">
        <f t="array" ref="AL1310">IFERROR(IFS(XLOOKUP(B1310, 'Kit Delivery Status'!$U:$U, 'Kit Delivery Status'!$K:$K) = "Complete", "DELIVERED", XLOOKUP(B1310, 'Kit Delivery Status'!$U:$U, 'Kit Delivery Status'!$K:$K) = "Issue", "ISSUE"), "")</f>
        <v/>
      </c>
      <c r="AM1310" s="6"/>
    </row>
    <row r="1311">
      <c r="A1311" s="5" t="s">
        <v>6754</v>
      </c>
      <c r="B1311" s="1" t="s">
        <v>6755</v>
      </c>
      <c r="C1311" s="1" t="s">
        <v>6756</v>
      </c>
      <c r="D1311" s="2">
        <v>7.819645636E9</v>
      </c>
      <c r="E1311" s="1" t="s">
        <v>3354</v>
      </c>
      <c r="F1311" s="1"/>
      <c r="G1311" s="1" t="s">
        <v>3355</v>
      </c>
      <c r="H1311" s="1" t="s">
        <v>1616</v>
      </c>
      <c r="I1311" s="1">
        <v>3249.0</v>
      </c>
      <c r="J1311" s="1" t="s">
        <v>752</v>
      </c>
      <c r="K1311" s="1" t="s">
        <v>66</v>
      </c>
      <c r="L1311" s="1" t="s">
        <v>5767</v>
      </c>
      <c r="M1311" s="1">
        <v>210.0</v>
      </c>
      <c r="N1311" s="1" t="s">
        <v>1152</v>
      </c>
      <c r="O1311" s="3" t="s">
        <v>1398</v>
      </c>
      <c r="P1311" s="18">
        <v>45890.0</v>
      </c>
      <c r="Q1311" s="1"/>
      <c r="R1311" s="1"/>
      <c r="S1311" s="1"/>
      <c r="T1311" s="1" t="s">
        <v>1152</v>
      </c>
      <c r="U1311" s="1" t="s">
        <v>1441</v>
      </c>
      <c r="V1311" s="4" t="s">
        <v>1398</v>
      </c>
      <c r="W1311" s="1"/>
      <c r="X1311" s="18">
        <v>45890.0</v>
      </c>
      <c r="Y1311" s="1"/>
      <c r="Z1311" s="1"/>
      <c r="AA1311" s="1"/>
      <c r="AB1311" s="1"/>
      <c r="AC1311" s="1" t="s">
        <v>1925</v>
      </c>
      <c r="AD1311" s="1"/>
      <c r="AE1311" s="1" t="s">
        <v>1152</v>
      </c>
      <c r="AF1311" s="1"/>
      <c r="AG1311" s="1"/>
      <c r="AH1311" s="1" t="s">
        <v>1152</v>
      </c>
      <c r="AI1311" s="1"/>
      <c r="AJ1311" s="1" t="s">
        <v>6757</v>
      </c>
      <c r="AK1311" s="1" t="s">
        <v>1152</v>
      </c>
      <c r="AL1311" s="6" t="str">
        <f t="array" ref="AL1311">IFERROR(IFS(XLOOKUP(B1311, 'Kit Delivery Status'!$U:$U, 'Kit Delivery Status'!$K:$K) = "Complete", "DELIVERED", XLOOKUP(B1311, 'Kit Delivery Status'!$U:$U, 'Kit Delivery Status'!$K:$K) = "Issue", "ISSUE"), "")</f>
        <v/>
      </c>
      <c r="AM1311" s="6"/>
    </row>
    <row r="1312">
      <c r="A1312" s="5" t="s">
        <v>6758</v>
      </c>
      <c r="B1312" s="1" t="s">
        <v>6759</v>
      </c>
      <c r="C1312" s="1" t="s">
        <v>6760</v>
      </c>
      <c r="D1312" s="2">
        <v>3.104635735E9</v>
      </c>
      <c r="E1312" s="1" t="s">
        <v>6451</v>
      </c>
      <c r="F1312" s="1" t="s">
        <v>6761</v>
      </c>
      <c r="G1312" s="1" t="s">
        <v>6449</v>
      </c>
      <c r="H1312" s="1" t="s">
        <v>989</v>
      </c>
      <c r="I1312" s="1">
        <v>90275.0</v>
      </c>
      <c r="J1312" s="1" t="s">
        <v>752</v>
      </c>
      <c r="K1312" s="1" t="s">
        <v>51</v>
      </c>
      <c r="L1312" s="1" t="s">
        <v>5722</v>
      </c>
      <c r="M1312" s="1">
        <v>1.0</v>
      </c>
      <c r="N1312" s="1" t="s">
        <v>2487</v>
      </c>
      <c r="O1312" s="3"/>
      <c r="P1312" s="18">
        <v>45890.0</v>
      </c>
      <c r="Q1312" s="1" t="s">
        <v>1630</v>
      </c>
      <c r="R1312" s="1" t="s">
        <v>6761</v>
      </c>
      <c r="S1312" s="1" t="s">
        <v>124</v>
      </c>
      <c r="T1312" s="1" t="s">
        <v>2487</v>
      </c>
      <c r="U1312" s="1"/>
      <c r="V1312" s="4"/>
      <c r="W1312" s="1" t="s">
        <v>6761</v>
      </c>
      <c r="X1312" s="18">
        <v>45890.0</v>
      </c>
      <c r="Y1312" s="1" t="s">
        <v>1630</v>
      </c>
      <c r="Z1312" s="1"/>
      <c r="AA1312" s="1" t="s">
        <v>6761</v>
      </c>
      <c r="AB1312" s="1" t="s">
        <v>124</v>
      </c>
      <c r="AC1312" s="1" t="s">
        <v>1925</v>
      </c>
      <c r="AD1312" s="1"/>
      <c r="AE1312" s="1" t="s">
        <v>1152</v>
      </c>
      <c r="AF1312" s="1"/>
      <c r="AG1312" s="1"/>
      <c r="AH1312" s="1" t="s">
        <v>1152</v>
      </c>
      <c r="AI1312" s="1"/>
      <c r="AJ1312" s="1" t="s">
        <v>6451</v>
      </c>
      <c r="AK1312" s="1" t="s">
        <v>1152</v>
      </c>
      <c r="AL1312" s="6" t="str">
        <f t="array" ref="AL1312">IFERROR(IFS(XLOOKUP(B1312, 'Kit Delivery Status'!$U:$U, 'Kit Delivery Status'!$K:$K) = "Complete", "DELIVERED", XLOOKUP(B1312, 'Kit Delivery Status'!$U:$U, 'Kit Delivery Status'!$K:$K) = "Issue", "ISSUE"), "")</f>
        <v/>
      </c>
      <c r="AM1312" s="6"/>
    </row>
    <row r="1313">
      <c r="A1313" s="5" t="s">
        <v>6762</v>
      </c>
      <c r="B1313" s="1" t="s">
        <v>6763</v>
      </c>
      <c r="C1313" s="1" t="s">
        <v>6764</v>
      </c>
      <c r="D1313" s="2">
        <v>4.159996664E9</v>
      </c>
      <c r="E1313" s="1" t="s">
        <v>6765</v>
      </c>
      <c r="F1313" s="1"/>
      <c r="G1313" s="1" t="s">
        <v>1562</v>
      </c>
      <c r="H1313" s="1" t="s">
        <v>989</v>
      </c>
      <c r="I1313" s="1">
        <v>94129.0</v>
      </c>
      <c r="J1313" s="1" t="s">
        <v>752</v>
      </c>
      <c r="K1313" s="1" t="s">
        <v>66</v>
      </c>
      <c r="L1313" s="1" t="s">
        <v>5811</v>
      </c>
      <c r="M1313" s="1">
        <v>145.0</v>
      </c>
      <c r="N1313" s="1" t="s">
        <v>1152</v>
      </c>
      <c r="O1313" s="3" t="s">
        <v>378</v>
      </c>
      <c r="P1313" s="18">
        <v>45883.0</v>
      </c>
      <c r="Q1313" s="1"/>
      <c r="R1313" s="1"/>
      <c r="S1313" s="1"/>
      <c r="T1313" s="1" t="s">
        <v>1152</v>
      </c>
      <c r="U1313" s="1" t="s">
        <v>1285</v>
      </c>
      <c r="V1313" s="4" t="s">
        <v>378</v>
      </c>
      <c r="W1313" s="1"/>
      <c r="X1313" s="18">
        <v>45883.0</v>
      </c>
      <c r="Y1313" s="1"/>
      <c r="Z1313" s="1"/>
      <c r="AA1313" s="1"/>
      <c r="AB1313" s="1"/>
      <c r="AC1313" s="1" t="s">
        <v>1925</v>
      </c>
      <c r="AD1313" s="1"/>
      <c r="AE1313" s="1" t="s">
        <v>1152</v>
      </c>
      <c r="AF1313" s="1"/>
      <c r="AG1313" s="1"/>
      <c r="AH1313" s="1" t="s">
        <v>1152</v>
      </c>
      <c r="AI1313" s="1"/>
      <c r="AJ1313" s="1" t="s">
        <v>6766</v>
      </c>
      <c r="AK1313" s="1" t="s">
        <v>1152</v>
      </c>
      <c r="AL1313" s="6" t="str">
        <f t="array" ref="AL1313">IFERROR(IFS(XLOOKUP(B1313, 'Kit Delivery Status'!$U:$U, 'Kit Delivery Status'!$K:$K) = "Complete", "DELIVERED", XLOOKUP(B1313, 'Kit Delivery Status'!$U:$U, 'Kit Delivery Status'!$K:$K) = "Issue", "ISSUE"), "")</f>
        <v/>
      </c>
      <c r="AM1313" s="6"/>
    </row>
    <row r="1314">
      <c r="A1314" s="5" t="s">
        <v>6767</v>
      </c>
      <c r="B1314" s="1" t="s">
        <v>6768</v>
      </c>
      <c r="C1314" s="1" t="s">
        <v>6769</v>
      </c>
      <c r="D1314" s="2">
        <v>3.108835579E9</v>
      </c>
      <c r="E1314" s="1" t="s">
        <v>6770</v>
      </c>
      <c r="F1314" s="1" t="s">
        <v>6771</v>
      </c>
      <c r="G1314" s="1" t="s">
        <v>3741</v>
      </c>
      <c r="H1314" s="1" t="s">
        <v>1155</v>
      </c>
      <c r="I1314" s="1">
        <v>63130.0</v>
      </c>
      <c r="J1314" s="1" t="s">
        <v>752</v>
      </c>
      <c r="K1314" s="1" t="s">
        <v>51</v>
      </c>
      <c r="L1314" s="1" t="s">
        <v>5722</v>
      </c>
      <c r="M1314" s="1">
        <v>1.0</v>
      </c>
      <c r="N1314" s="1" t="s">
        <v>2487</v>
      </c>
      <c r="O1314" s="3"/>
      <c r="P1314" s="18">
        <v>45894.0</v>
      </c>
      <c r="Q1314" s="1" t="s">
        <v>1630</v>
      </c>
      <c r="R1314" s="1" t="s">
        <v>6771</v>
      </c>
      <c r="S1314" s="1" t="s">
        <v>124</v>
      </c>
      <c r="T1314" s="1" t="s">
        <v>2487</v>
      </c>
      <c r="U1314" s="1"/>
      <c r="V1314" s="4"/>
      <c r="W1314" s="1" t="s">
        <v>6771</v>
      </c>
      <c r="X1314" s="18">
        <v>45894.0</v>
      </c>
      <c r="Y1314" s="1" t="s">
        <v>1630</v>
      </c>
      <c r="Z1314" s="1"/>
      <c r="AA1314" s="1" t="s">
        <v>6771</v>
      </c>
      <c r="AB1314" s="1" t="s">
        <v>124</v>
      </c>
      <c r="AC1314" s="1" t="s">
        <v>1925</v>
      </c>
      <c r="AD1314" s="1"/>
      <c r="AE1314" s="1" t="s">
        <v>1152</v>
      </c>
      <c r="AF1314" s="1"/>
      <c r="AG1314" s="1"/>
      <c r="AH1314" s="1" t="s">
        <v>1152</v>
      </c>
      <c r="AI1314" s="1"/>
      <c r="AJ1314" s="1" t="s">
        <v>6772</v>
      </c>
      <c r="AK1314" s="1" t="s">
        <v>1152</v>
      </c>
      <c r="AL1314" s="6" t="str">
        <f t="array" ref="AL1314">IFERROR(IFS(XLOOKUP(B1314, 'Kit Delivery Status'!$U:$U, 'Kit Delivery Status'!$K:$K) = "Complete", "DELIVERED", XLOOKUP(B1314, 'Kit Delivery Status'!$U:$U, 'Kit Delivery Status'!$K:$K) = "Issue", "ISSUE"), "")</f>
        <v/>
      </c>
      <c r="AM1314" s="6"/>
    </row>
    <row r="1315">
      <c r="A1315" s="5" t="s">
        <v>6773</v>
      </c>
      <c r="B1315" s="1" t="s">
        <v>6774</v>
      </c>
      <c r="C1315" s="1" t="s">
        <v>6775</v>
      </c>
      <c r="D1315" s="2">
        <v>3.145710969E9</v>
      </c>
      <c r="E1315" s="1" t="s">
        <v>6776</v>
      </c>
      <c r="F1315" s="1"/>
      <c r="G1315" s="1" t="s">
        <v>5841</v>
      </c>
      <c r="H1315" s="1" t="s">
        <v>1155</v>
      </c>
      <c r="I1315" s="1">
        <v>63105.0</v>
      </c>
      <c r="J1315" s="1" t="s">
        <v>752</v>
      </c>
      <c r="K1315" s="1" t="s">
        <v>51</v>
      </c>
      <c r="L1315" s="1" t="s">
        <v>5722</v>
      </c>
      <c r="M1315" s="1">
        <v>1.0</v>
      </c>
      <c r="N1315" s="1" t="s">
        <v>2461</v>
      </c>
      <c r="O1315" s="3" t="s">
        <v>6777</v>
      </c>
      <c r="P1315" s="18">
        <v>45887.0</v>
      </c>
      <c r="Q1315" s="1" t="s">
        <v>1030</v>
      </c>
      <c r="R1315" s="1"/>
      <c r="S1315" s="1" t="s">
        <v>52</v>
      </c>
      <c r="T1315" s="1" t="s">
        <v>2461</v>
      </c>
      <c r="U1315" s="1" t="s">
        <v>1285</v>
      </c>
      <c r="V1315" s="4" t="s">
        <v>6777</v>
      </c>
      <c r="W1315" s="1"/>
      <c r="X1315" s="18">
        <v>45887.0</v>
      </c>
      <c r="Y1315" s="1" t="s">
        <v>1030</v>
      </c>
      <c r="Z1315" s="1"/>
      <c r="AA1315" s="1"/>
      <c r="AB1315" s="1" t="s">
        <v>52</v>
      </c>
      <c r="AC1315" s="1" t="s">
        <v>1925</v>
      </c>
      <c r="AD1315" s="1"/>
      <c r="AE1315" s="1" t="s">
        <v>1152</v>
      </c>
      <c r="AF1315" s="1"/>
      <c r="AG1315" s="1"/>
      <c r="AH1315" s="1" t="s">
        <v>1152</v>
      </c>
      <c r="AI1315" s="1"/>
      <c r="AJ1315" s="1" t="s">
        <v>6776</v>
      </c>
      <c r="AK1315" s="1" t="s">
        <v>1152</v>
      </c>
      <c r="AL1315" s="6" t="str">
        <f t="array" ref="AL1315">IFERROR(IFS(XLOOKUP(B1315, 'Kit Delivery Status'!$U:$U, 'Kit Delivery Status'!$K:$K) = "Complete", "DELIVERED", XLOOKUP(B1315, 'Kit Delivery Status'!$U:$U, 'Kit Delivery Status'!$K:$K) = "Issue", "ISSUE"), "")</f>
        <v/>
      </c>
      <c r="AM1315" s="6"/>
    </row>
    <row r="1316">
      <c r="A1316" s="5" t="s">
        <v>6778</v>
      </c>
      <c r="B1316" s="1" t="s">
        <v>6779</v>
      </c>
      <c r="C1316" s="1"/>
      <c r="D1316" s="2">
        <v>3.05794062E9</v>
      </c>
      <c r="E1316" s="1" t="s">
        <v>6780</v>
      </c>
      <c r="F1316" s="1"/>
      <c r="G1316" s="1" t="s">
        <v>6781</v>
      </c>
      <c r="H1316" s="1" t="s">
        <v>1208</v>
      </c>
      <c r="I1316" s="1">
        <v>33160.0</v>
      </c>
      <c r="J1316" s="1" t="s">
        <v>752</v>
      </c>
      <c r="K1316" s="1" t="s">
        <v>66</v>
      </c>
      <c r="L1316" s="1" t="s">
        <v>5767</v>
      </c>
      <c r="M1316" s="1">
        <v>210.0</v>
      </c>
      <c r="N1316" s="1" t="s">
        <v>1152</v>
      </c>
      <c r="O1316" s="3" t="s">
        <v>110</v>
      </c>
      <c r="P1316" s="18">
        <v>45887.0</v>
      </c>
      <c r="Q1316" s="1"/>
      <c r="R1316" s="1"/>
      <c r="S1316" s="1"/>
      <c r="T1316" s="1" t="s">
        <v>1152</v>
      </c>
      <c r="U1316" s="1" t="s">
        <v>1133</v>
      </c>
      <c r="V1316" s="4" t="s">
        <v>110</v>
      </c>
      <c r="W1316" s="1"/>
      <c r="X1316" s="18">
        <v>45887.0</v>
      </c>
      <c r="Y1316" s="1"/>
      <c r="Z1316" s="1"/>
      <c r="AA1316" s="1"/>
      <c r="AB1316" s="1"/>
      <c r="AC1316" s="1" t="s">
        <v>1925</v>
      </c>
      <c r="AD1316" s="1"/>
      <c r="AE1316" s="1" t="s">
        <v>1152</v>
      </c>
      <c r="AF1316" s="1"/>
      <c r="AG1316" s="1"/>
      <c r="AH1316" s="1" t="s">
        <v>1152</v>
      </c>
      <c r="AI1316" s="1"/>
      <c r="AJ1316" s="1" t="s">
        <v>6782</v>
      </c>
      <c r="AK1316" s="1" t="s">
        <v>1152</v>
      </c>
      <c r="AL1316" s="6" t="str">
        <f t="array" ref="AL1316">IFERROR(IFS(XLOOKUP(B1316, 'Kit Delivery Status'!$U:$U, 'Kit Delivery Status'!$K:$K) = "Complete", "DELIVERED", XLOOKUP(B1316, 'Kit Delivery Status'!$U:$U, 'Kit Delivery Status'!$K:$K) = "Issue", "ISSUE"), "")</f>
        <v/>
      </c>
      <c r="AM1316" s="6"/>
    </row>
    <row r="1317">
      <c r="A1317" s="5" t="s">
        <v>6783</v>
      </c>
      <c r="B1317" s="1" t="s">
        <v>6784</v>
      </c>
      <c r="C1317" s="1"/>
      <c r="D1317" s="2">
        <v>7.188012876E9</v>
      </c>
      <c r="E1317" s="1" t="s">
        <v>6785</v>
      </c>
      <c r="F1317" s="1"/>
      <c r="G1317" s="1" t="s">
        <v>1684</v>
      </c>
      <c r="H1317" s="1" t="s">
        <v>751</v>
      </c>
      <c r="I1317" s="1">
        <v>11228.0</v>
      </c>
      <c r="J1317" s="1" t="s">
        <v>752</v>
      </c>
      <c r="K1317" s="1" t="s">
        <v>66</v>
      </c>
      <c r="L1317" s="1" t="s">
        <v>5767</v>
      </c>
      <c r="M1317" s="1">
        <v>210.0</v>
      </c>
      <c r="N1317" s="1" t="s">
        <v>1152</v>
      </c>
      <c r="O1317" s="3" t="s">
        <v>4207</v>
      </c>
      <c r="P1317" s="18">
        <v>45887.0</v>
      </c>
      <c r="Q1317" s="1"/>
      <c r="R1317" s="1"/>
      <c r="S1317" s="1"/>
      <c r="T1317" s="1" t="s">
        <v>1152</v>
      </c>
      <c r="U1317" s="1" t="s">
        <v>1537</v>
      </c>
      <c r="V1317" s="4" t="s">
        <v>4207</v>
      </c>
      <c r="W1317" s="1"/>
      <c r="X1317" s="18">
        <v>45887.0</v>
      </c>
      <c r="Y1317" s="1"/>
      <c r="Z1317" s="1"/>
      <c r="AA1317" s="1"/>
      <c r="AB1317" s="1"/>
      <c r="AC1317" s="1" t="s">
        <v>1925</v>
      </c>
      <c r="AD1317" s="1"/>
      <c r="AE1317" s="1" t="s">
        <v>1152</v>
      </c>
      <c r="AF1317" s="1"/>
      <c r="AG1317" s="1"/>
      <c r="AH1317" s="1" t="s">
        <v>1152</v>
      </c>
      <c r="AI1317" s="1"/>
      <c r="AJ1317" s="1" t="s">
        <v>6786</v>
      </c>
      <c r="AK1317" s="1" t="s">
        <v>1152</v>
      </c>
      <c r="AL1317" s="6" t="str">
        <f t="array" ref="AL1317">IFERROR(IFS(XLOOKUP(B1317, 'Kit Delivery Status'!$U:$U, 'Kit Delivery Status'!$K:$K) = "Complete", "DELIVERED", XLOOKUP(B1317, 'Kit Delivery Status'!$U:$U, 'Kit Delivery Status'!$K:$K) = "Issue", "ISSUE"), "")</f>
        <v/>
      </c>
      <c r="AM1317" s="6"/>
    </row>
    <row r="1318">
      <c r="A1318" s="5" t="s">
        <v>6787</v>
      </c>
      <c r="B1318" s="1" t="s">
        <v>6788</v>
      </c>
      <c r="C1318" s="1" t="s">
        <v>6789</v>
      </c>
      <c r="D1318" s="2">
        <v>3.143798058E9</v>
      </c>
      <c r="E1318" s="1" t="s">
        <v>2349</v>
      </c>
      <c r="F1318" s="1"/>
      <c r="G1318" s="1" t="s">
        <v>1283</v>
      </c>
      <c r="H1318" s="1" t="s">
        <v>1155</v>
      </c>
      <c r="I1318" s="1">
        <v>63105.0</v>
      </c>
      <c r="J1318" s="1" t="s">
        <v>752</v>
      </c>
      <c r="K1318" s="1" t="s">
        <v>66</v>
      </c>
      <c r="L1318" s="1" t="s">
        <v>5811</v>
      </c>
      <c r="M1318" s="1">
        <v>145.0</v>
      </c>
      <c r="N1318" s="1" t="s">
        <v>1152</v>
      </c>
      <c r="O1318" s="3" t="s">
        <v>2351</v>
      </c>
      <c r="P1318" s="18">
        <v>45891.0</v>
      </c>
      <c r="Q1318" s="1"/>
      <c r="R1318" s="1"/>
      <c r="S1318" s="1"/>
      <c r="T1318" s="1" t="s">
        <v>1152</v>
      </c>
      <c r="U1318" s="1" t="s">
        <v>1021</v>
      </c>
      <c r="V1318" s="4" t="s">
        <v>2351</v>
      </c>
      <c r="W1318" s="1"/>
      <c r="X1318" s="18">
        <v>45891.0</v>
      </c>
      <c r="Y1318" s="1"/>
      <c r="Z1318" s="1"/>
      <c r="AA1318" s="1"/>
      <c r="AB1318" s="1"/>
      <c r="AC1318" s="1" t="s">
        <v>1925</v>
      </c>
      <c r="AD1318" s="1"/>
      <c r="AE1318" s="1" t="s">
        <v>1152</v>
      </c>
      <c r="AF1318" s="1"/>
      <c r="AG1318" s="1"/>
      <c r="AH1318" s="1" t="s">
        <v>1152</v>
      </c>
      <c r="AI1318" s="1"/>
      <c r="AJ1318" s="1" t="s">
        <v>2349</v>
      </c>
      <c r="AK1318" s="1" t="s">
        <v>1152</v>
      </c>
      <c r="AL1318" s="6" t="str">
        <f t="array" ref="AL1318">IFERROR(IFS(XLOOKUP(B1318, 'Kit Delivery Status'!$U:$U, 'Kit Delivery Status'!$K:$K) = "Complete", "DELIVERED", XLOOKUP(B1318, 'Kit Delivery Status'!$U:$U, 'Kit Delivery Status'!$K:$K) = "Issue", "ISSUE"), "")</f>
        <v/>
      </c>
      <c r="AM1318" s="6"/>
    </row>
    <row r="1319">
      <c r="A1319" s="5" t="s">
        <v>6790</v>
      </c>
      <c r="B1319" s="1" t="s">
        <v>6791</v>
      </c>
      <c r="C1319" s="1" t="s">
        <v>6792</v>
      </c>
      <c r="D1319" s="2">
        <v>4.843547426E9</v>
      </c>
      <c r="E1319" s="1" t="s">
        <v>6793</v>
      </c>
      <c r="F1319" s="1"/>
      <c r="G1319" s="1" t="s">
        <v>1283</v>
      </c>
      <c r="H1319" s="1" t="s">
        <v>1155</v>
      </c>
      <c r="I1319" s="1">
        <v>63105.0</v>
      </c>
      <c r="J1319" s="1" t="s">
        <v>752</v>
      </c>
      <c r="K1319" s="1" t="s">
        <v>66</v>
      </c>
      <c r="L1319" s="1" t="s">
        <v>5811</v>
      </c>
      <c r="M1319" s="1">
        <v>145.0</v>
      </c>
      <c r="N1319" s="1" t="s">
        <v>1152</v>
      </c>
      <c r="O1319" s="3" t="s">
        <v>1741</v>
      </c>
      <c r="P1319" s="18">
        <v>45887.0</v>
      </c>
      <c r="Q1319" s="1"/>
      <c r="R1319" s="1"/>
      <c r="S1319" s="1"/>
      <c r="T1319" s="1" t="s">
        <v>1152</v>
      </c>
      <c r="U1319" s="1" t="s">
        <v>1133</v>
      </c>
      <c r="V1319" s="4" t="s">
        <v>1741</v>
      </c>
      <c r="W1319" s="1"/>
      <c r="X1319" s="18">
        <v>45887.0</v>
      </c>
      <c r="Y1319" s="1"/>
      <c r="Z1319" s="1"/>
      <c r="AA1319" s="1"/>
      <c r="AB1319" s="1"/>
      <c r="AC1319" s="1" t="s">
        <v>1925</v>
      </c>
      <c r="AD1319" s="1"/>
      <c r="AE1319" s="1" t="s">
        <v>1152</v>
      </c>
      <c r="AF1319" s="1"/>
      <c r="AG1319" s="1"/>
      <c r="AH1319" s="1" t="s">
        <v>1152</v>
      </c>
      <c r="AI1319" s="1"/>
      <c r="AJ1319" s="1" t="s">
        <v>6793</v>
      </c>
      <c r="AK1319" s="1" t="s">
        <v>1152</v>
      </c>
      <c r="AL1319" s="6" t="str">
        <f t="array" ref="AL1319">IFERROR(IFS(XLOOKUP(B1319, 'Kit Delivery Status'!$U:$U, 'Kit Delivery Status'!$K:$K) = "Complete", "DELIVERED", XLOOKUP(B1319, 'Kit Delivery Status'!$U:$U, 'Kit Delivery Status'!$K:$K) = "Issue", "ISSUE"), "")</f>
        <v/>
      </c>
      <c r="AM1319" s="6"/>
    </row>
    <row r="1320">
      <c r="A1320" s="5" t="s">
        <v>6794</v>
      </c>
      <c r="B1320" s="1" t="s">
        <v>6795</v>
      </c>
      <c r="C1320" s="1"/>
      <c r="D1320" s="2">
        <v>2.019738432E9</v>
      </c>
      <c r="E1320" s="1" t="s">
        <v>6796</v>
      </c>
      <c r="F1320" s="1"/>
      <c r="G1320" s="1" t="s">
        <v>4631</v>
      </c>
      <c r="H1320" s="1" t="s">
        <v>1053</v>
      </c>
      <c r="I1320" s="1">
        <v>7024.0</v>
      </c>
      <c r="J1320" s="1" t="s">
        <v>752</v>
      </c>
      <c r="K1320" s="1" t="s">
        <v>51</v>
      </c>
      <c r="L1320" s="1" t="s">
        <v>5722</v>
      </c>
      <c r="M1320" s="1">
        <v>1.0</v>
      </c>
      <c r="N1320" s="1" t="s">
        <v>2461</v>
      </c>
      <c r="O1320" s="3" t="s">
        <v>6797</v>
      </c>
      <c r="P1320" s="18">
        <v>45890.0</v>
      </c>
      <c r="Q1320" s="1" t="s">
        <v>1030</v>
      </c>
      <c r="R1320" s="1"/>
      <c r="S1320" s="1" t="s">
        <v>52</v>
      </c>
      <c r="T1320" s="1" t="s">
        <v>2461</v>
      </c>
      <c r="U1320" s="1" t="s">
        <v>2510</v>
      </c>
      <c r="V1320" s="4" t="s">
        <v>6797</v>
      </c>
      <c r="W1320" s="1"/>
      <c r="X1320" s="18">
        <v>45890.0</v>
      </c>
      <c r="Y1320" s="1" t="s">
        <v>1030</v>
      </c>
      <c r="Z1320" s="1"/>
      <c r="AA1320" s="1"/>
      <c r="AB1320" s="1" t="s">
        <v>52</v>
      </c>
      <c r="AC1320" s="1" t="s">
        <v>1925</v>
      </c>
      <c r="AD1320" s="1"/>
      <c r="AE1320" s="1" t="s">
        <v>1152</v>
      </c>
      <c r="AF1320" s="1"/>
      <c r="AG1320" s="1"/>
      <c r="AH1320" s="1" t="s">
        <v>1152</v>
      </c>
      <c r="AI1320" s="1"/>
      <c r="AJ1320" s="1" t="s">
        <v>6796</v>
      </c>
      <c r="AK1320" s="1" t="s">
        <v>1152</v>
      </c>
      <c r="AL1320" s="6" t="str">
        <f t="array" ref="AL1320">IFERROR(IFS(XLOOKUP(B1320, 'Kit Delivery Status'!$U:$U, 'Kit Delivery Status'!$K:$K) = "Complete", "DELIVERED", XLOOKUP(B1320, 'Kit Delivery Status'!$U:$U, 'Kit Delivery Status'!$K:$K) = "Issue", "ISSUE"), "")</f>
        <v/>
      </c>
      <c r="AM1320" s="6"/>
    </row>
    <row r="1321">
      <c r="A1321" s="5" t="s">
        <v>6798</v>
      </c>
      <c r="B1321" s="1" t="s">
        <v>6799</v>
      </c>
      <c r="C1321" s="1" t="s">
        <v>6800</v>
      </c>
      <c r="D1321" s="2">
        <v>6.179491472E9</v>
      </c>
      <c r="E1321" s="1" t="s">
        <v>6801</v>
      </c>
      <c r="F1321" s="1"/>
      <c r="G1321" s="1" t="s">
        <v>1615</v>
      </c>
      <c r="H1321" s="1" t="s">
        <v>1616</v>
      </c>
      <c r="I1321" s="1">
        <v>3748.0</v>
      </c>
      <c r="J1321" s="1" t="s">
        <v>752</v>
      </c>
      <c r="K1321" s="1" t="s">
        <v>66</v>
      </c>
      <c r="L1321" s="1" t="s">
        <v>5811</v>
      </c>
      <c r="M1321" s="1">
        <v>145.0</v>
      </c>
      <c r="N1321" s="1" t="s">
        <v>1152</v>
      </c>
      <c r="O1321" s="3" t="s">
        <v>2274</v>
      </c>
      <c r="P1321" s="18">
        <v>45887.0</v>
      </c>
      <c r="Q1321" s="1"/>
      <c r="R1321" s="1"/>
      <c r="S1321" s="1"/>
      <c r="T1321" s="1" t="s">
        <v>1152</v>
      </c>
      <c r="U1321" s="1" t="s">
        <v>1039</v>
      </c>
      <c r="V1321" s="4" t="s">
        <v>2274</v>
      </c>
      <c r="W1321" s="1"/>
      <c r="X1321" s="18">
        <v>45887.0</v>
      </c>
      <c r="Y1321" s="1"/>
      <c r="Z1321" s="1"/>
      <c r="AA1321" s="1"/>
      <c r="AB1321" s="1"/>
      <c r="AC1321" s="1" t="s">
        <v>1925</v>
      </c>
      <c r="AD1321" s="1"/>
      <c r="AE1321" s="1" t="s">
        <v>1152</v>
      </c>
      <c r="AF1321" s="1"/>
      <c r="AG1321" s="1"/>
      <c r="AH1321" s="1" t="s">
        <v>1152</v>
      </c>
      <c r="AI1321" s="1"/>
      <c r="AJ1321" s="1" t="s">
        <v>6802</v>
      </c>
      <c r="AK1321" s="1" t="s">
        <v>1152</v>
      </c>
      <c r="AL1321" s="6" t="str">
        <f t="array" ref="AL1321">IFERROR(IFS(XLOOKUP(B1321, 'Kit Delivery Status'!$U:$U, 'Kit Delivery Status'!$K:$K) = "Complete", "DELIVERED", XLOOKUP(B1321, 'Kit Delivery Status'!$U:$U, 'Kit Delivery Status'!$K:$K) = "Issue", "ISSUE"), "")</f>
        <v/>
      </c>
      <c r="AM1321" s="6"/>
    </row>
    <row r="1322">
      <c r="A1322" s="5" t="s">
        <v>6803</v>
      </c>
      <c r="B1322" s="1" t="s">
        <v>6804</v>
      </c>
      <c r="C1322" s="1" t="s">
        <v>6805</v>
      </c>
      <c r="D1322" s="2">
        <v>1.240703422E10</v>
      </c>
      <c r="E1322" s="1" t="s">
        <v>6806</v>
      </c>
      <c r="F1322" s="1"/>
      <c r="G1322" s="1" t="s">
        <v>1299</v>
      </c>
      <c r="H1322" s="1" t="s">
        <v>1005</v>
      </c>
      <c r="I1322" s="1">
        <v>20814.0</v>
      </c>
      <c r="J1322" s="1" t="s">
        <v>752</v>
      </c>
      <c r="K1322" s="1" t="s">
        <v>66</v>
      </c>
      <c r="L1322" s="1" t="s">
        <v>5736</v>
      </c>
      <c r="M1322" s="1">
        <v>115.0</v>
      </c>
      <c r="N1322" s="1" t="s">
        <v>1152</v>
      </c>
      <c r="O1322" s="3" t="s">
        <v>6807</v>
      </c>
      <c r="P1322" s="18">
        <v>45887.0</v>
      </c>
      <c r="Q1322" s="1"/>
      <c r="R1322" s="1"/>
      <c r="S1322" s="1"/>
      <c r="T1322" s="1" t="s">
        <v>1152</v>
      </c>
      <c r="U1322" s="1" t="s">
        <v>6053</v>
      </c>
      <c r="V1322" s="4" t="s">
        <v>6807</v>
      </c>
      <c r="W1322" s="1"/>
      <c r="X1322" s="18">
        <v>45887.0</v>
      </c>
      <c r="Y1322" s="1"/>
      <c r="Z1322" s="1"/>
      <c r="AA1322" s="1"/>
      <c r="AB1322" s="1"/>
      <c r="AC1322" s="1" t="s">
        <v>1925</v>
      </c>
      <c r="AD1322" s="1"/>
      <c r="AE1322" s="1" t="s">
        <v>1152</v>
      </c>
      <c r="AF1322" s="1"/>
      <c r="AG1322" s="1"/>
      <c r="AH1322" s="1" t="s">
        <v>1152</v>
      </c>
      <c r="AI1322" s="1"/>
      <c r="AJ1322" s="1" t="s">
        <v>6806</v>
      </c>
      <c r="AK1322" s="1" t="s">
        <v>1152</v>
      </c>
      <c r="AL1322" s="6" t="str">
        <f t="array" ref="AL1322">IFERROR(IFS(XLOOKUP(B1322, 'Kit Delivery Status'!$U:$U, 'Kit Delivery Status'!$K:$K) = "Complete", "DELIVERED", XLOOKUP(B1322, 'Kit Delivery Status'!$U:$U, 'Kit Delivery Status'!$K:$K) = "Issue", "ISSUE"), "")</f>
        <v/>
      </c>
      <c r="AM1322" s="6"/>
    </row>
    <row r="1323">
      <c r="A1323" s="5" t="s">
        <v>6808</v>
      </c>
      <c r="B1323" s="1" t="s">
        <v>6809</v>
      </c>
      <c r="C1323" s="1" t="s">
        <v>6810</v>
      </c>
      <c r="D1323" s="2">
        <v>1.6308413481E10</v>
      </c>
      <c r="E1323" s="1" t="s">
        <v>6811</v>
      </c>
      <c r="F1323" s="1"/>
      <c r="G1323" s="1" t="s">
        <v>6812</v>
      </c>
      <c r="H1323" s="1" t="s">
        <v>1019</v>
      </c>
      <c r="I1323" s="1">
        <v>60516.0</v>
      </c>
      <c r="J1323" s="1" t="s">
        <v>752</v>
      </c>
      <c r="K1323" s="1" t="s">
        <v>66</v>
      </c>
      <c r="L1323" s="1" t="s">
        <v>6107</v>
      </c>
      <c r="M1323" s="1">
        <v>180.0</v>
      </c>
      <c r="N1323" s="1" t="s">
        <v>1152</v>
      </c>
      <c r="O1323" s="3" t="s">
        <v>6813</v>
      </c>
      <c r="P1323" s="18">
        <v>45887.0</v>
      </c>
      <c r="Q1323" s="1"/>
      <c r="R1323" s="1"/>
      <c r="S1323" s="1"/>
      <c r="T1323" s="1" t="s">
        <v>1152</v>
      </c>
      <c r="U1323" s="1" t="s">
        <v>1201</v>
      </c>
      <c r="V1323" s="4" t="s">
        <v>6813</v>
      </c>
      <c r="W1323" s="1"/>
      <c r="X1323" s="18">
        <v>45887.0</v>
      </c>
      <c r="Y1323" s="1"/>
      <c r="Z1323" s="1"/>
      <c r="AA1323" s="1"/>
      <c r="AB1323" s="1"/>
      <c r="AC1323" s="1" t="s">
        <v>1925</v>
      </c>
      <c r="AD1323" s="1"/>
      <c r="AE1323" s="1" t="s">
        <v>1152</v>
      </c>
      <c r="AF1323" s="1"/>
      <c r="AG1323" s="1"/>
      <c r="AH1323" s="1" t="s">
        <v>1152</v>
      </c>
      <c r="AI1323" s="1"/>
      <c r="AJ1323" s="1" t="s">
        <v>6814</v>
      </c>
      <c r="AK1323" s="1" t="s">
        <v>1152</v>
      </c>
      <c r="AL1323" s="6" t="str">
        <f t="array" ref="AL1323">IFERROR(IFS(XLOOKUP(B1323, 'Kit Delivery Status'!$U:$U, 'Kit Delivery Status'!$K:$K) = "Complete", "DELIVERED", XLOOKUP(B1323, 'Kit Delivery Status'!$U:$U, 'Kit Delivery Status'!$K:$K) = "Issue", "ISSUE"), "")</f>
        <v/>
      </c>
      <c r="AM1323" s="6"/>
    </row>
    <row r="1324">
      <c r="A1324" s="5" t="s">
        <v>6815</v>
      </c>
      <c r="B1324" s="1" t="s">
        <v>6816</v>
      </c>
      <c r="C1324" s="1" t="s">
        <v>6817</v>
      </c>
      <c r="D1324" s="2">
        <v>3.146806397E9</v>
      </c>
      <c r="E1324" s="1" t="s">
        <v>6818</v>
      </c>
      <c r="F1324" s="1"/>
      <c r="G1324" s="1" t="s">
        <v>2857</v>
      </c>
      <c r="H1324" s="1" t="s">
        <v>1155</v>
      </c>
      <c r="I1324" s="1">
        <v>63105.0</v>
      </c>
      <c r="J1324" s="1" t="s">
        <v>752</v>
      </c>
      <c r="K1324" s="1" t="s">
        <v>42</v>
      </c>
      <c r="L1324" s="1" t="s">
        <v>6819</v>
      </c>
      <c r="M1324" s="1">
        <v>49.0</v>
      </c>
      <c r="N1324" s="1" t="s">
        <v>1152</v>
      </c>
      <c r="O1324" s="3" t="s">
        <v>6820</v>
      </c>
      <c r="P1324" s="18"/>
      <c r="Q1324" s="1"/>
      <c r="R1324" s="1"/>
      <c r="S1324" s="1"/>
      <c r="T1324" s="1" t="s">
        <v>1152</v>
      </c>
      <c r="U1324" s="1" t="s">
        <v>948</v>
      </c>
      <c r="V1324" s="4" t="s">
        <v>6820</v>
      </c>
      <c r="W1324" s="1"/>
      <c r="X1324" s="18"/>
      <c r="Y1324" s="1"/>
      <c r="Z1324" s="1"/>
      <c r="AA1324" s="1"/>
      <c r="AB1324" s="1"/>
      <c r="AC1324" s="1" t="s">
        <v>1925</v>
      </c>
      <c r="AD1324" s="1"/>
      <c r="AE1324" s="18">
        <v>45887.0</v>
      </c>
      <c r="AF1324" s="1" t="s">
        <v>1030</v>
      </c>
      <c r="AG1324" s="1" t="s">
        <v>52</v>
      </c>
      <c r="AH1324" s="1" t="s">
        <v>1152</v>
      </c>
      <c r="AI1324" s="1"/>
      <c r="AJ1324" s="1" t="s">
        <v>6818</v>
      </c>
      <c r="AK1324" s="1" t="s">
        <v>1152</v>
      </c>
      <c r="AL1324" s="6" t="str">
        <f t="array" ref="AL1324">IFERROR(IFS(XLOOKUP(B1324, 'Kit Delivery Status'!$U:$U, 'Kit Delivery Status'!$K:$K) = "Complete", "DELIVERED", XLOOKUP(B1324, 'Kit Delivery Status'!$U:$U, 'Kit Delivery Status'!$K:$K) = "Issue", "ISSUE"), "")</f>
        <v/>
      </c>
      <c r="AM1324" s="6"/>
    </row>
    <row r="1325">
      <c r="A1325" s="5" t="s">
        <v>6821</v>
      </c>
      <c r="B1325" s="1" t="s">
        <v>6822</v>
      </c>
      <c r="C1325" s="1" t="s">
        <v>6823</v>
      </c>
      <c r="D1325" s="2">
        <v>9.143279547E9</v>
      </c>
      <c r="E1325" s="1" t="s">
        <v>6824</v>
      </c>
      <c r="F1325" s="1"/>
      <c r="G1325" s="1" t="s">
        <v>4299</v>
      </c>
      <c r="H1325" s="1" t="s">
        <v>751</v>
      </c>
      <c r="I1325" s="1">
        <v>10704.0</v>
      </c>
      <c r="J1325" s="1" t="s">
        <v>752</v>
      </c>
      <c r="K1325" s="1" t="s">
        <v>51</v>
      </c>
      <c r="L1325" s="1" t="s">
        <v>5722</v>
      </c>
      <c r="M1325" s="1">
        <v>1.0</v>
      </c>
      <c r="N1325" s="1" t="s">
        <v>2461</v>
      </c>
      <c r="O1325" s="3" t="s">
        <v>4429</v>
      </c>
      <c r="P1325" s="18">
        <v>45889.0</v>
      </c>
      <c r="Q1325" s="1" t="s">
        <v>1349</v>
      </c>
      <c r="R1325" s="1"/>
      <c r="S1325" s="1" t="s">
        <v>52</v>
      </c>
      <c r="T1325" s="1" t="s">
        <v>2461</v>
      </c>
      <c r="U1325" s="1" t="s">
        <v>2940</v>
      </c>
      <c r="V1325" s="4" t="s">
        <v>4429</v>
      </c>
      <c r="W1325" s="1"/>
      <c r="X1325" s="18">
        <v>45889.0</v>
      </c>
      <c r="Y1325" s="1" t="s">
        <v>1349</v>
      </c>
      <c r="Z1325" s="1"/>
      <c r="AA1325" s="1"/>
      <c r="AB1325" s="1" t="s">
        <v>52</v>
      </c>
      <c r="AC1325" s="1" t="s">
        <v>1925</v>
      </c>
      <c r="AD1325" s="1"/>
      <c r="AE1325" s="1" t="s">
        <v>1152</v>
      </c>
      <c r="AF1325" s="1"/>
      <c r="AG1325" s="1"/>
      <c r="AH1325" s="1" t="s">
        <v>1152</v>
      </c>
      <c r="AI1325" s="1"/>
      <c r="AJ1325" s="1" t="s">
        <v>6824</v>
      </c>
      <c r="AK1325" s="1" t="s">
        <v>1152</v>
      </c>
      <c r="AL1325" s="6" t="str">
        <f t="array" ref="AL1325">IFERROR(IFS(XLOOKUP(B1325, 'Kit Delivery Status'!$U:$U, 'Kit Delivery Status'!$K:$K) = "Complete", "DELIVERED", XLOOKUP(B1325, 'Kit Delivery Status'!$U:$U, 'Kit Delivery Status'!$K:$K) = "Issue", "ISSUE"), "")</f>
        <v/>
      </c>
      <c r="AM1325" s="6"/>
    </row>
    <row r="1326">
      <c r="A1326" s="5" t="s">
        <v>6825</v>
      </c>
      <c r="B1326" s="1" t="s">
        <v>6826</v>
      </c>
      <c r="C1326" s="1"/>
      <c r="D1326" s="2">
        <v>9.49307021E9</v>
      </c>
      <c r="E1326" s="1" t="s">
        <v>6827</v>
      </c>
      <c r="F1326" s="1" t="s">
        <v>6828</v>
      </c>
      <c r="G1326" s="1" t="s">
        <v>1215</v>
      </c>
      <c r="H1326" s="1" t="s">
        <v>989</v>
      </c>
      <c r="I1326" s="1">
        <v>92657.0</v>
      </c>
      <c r="J1326" s="1" t="s">
        <v>752</v>
      </c>
      <c r="K1326" s="1" t="s">
        <v>51</v>
      </c>
      <c r="L1326" s="1" t="s">
        <v>5722</v>
      </c>
      <c r="M1326" s="1">
        <v>1.0</v>
      </c>
      <c r="N1326" s="1" t="s">
        <v>2487</v>
      </c>
      <c r="O1326" s="3"/>
      <c r="P1326" s="18">
        <v>45890.0</v>
      </c>
      <c r="Q1326" s="1" t="s">
        <v>3186</v>
      </c>
      <c r="R1326" s="1" t="s">
        <v>6828</v>
      </c>
      <c r="S1326" s="1" t="s">
        <v>124</v>
      </c>
      <c r="T1326" s="1" t="s">
        <v>2487</v>
      </c>
      <c r="U1326" s="1"/>
      <c r="V1326" s="4"/>
      <c r="W1326" s="1" t="s">
        <v>6828</v>
      </c>
      <c r="X1326" s="18">
        <v>45890.0</v>
      </c>
      <c r="Y1326" s="1" t="s">
        <v>3186</v>
      </c>
      <c r="Z1326" s="1"/>
      <c r="AA1326" s="1" t="s">
        <v>6828</v>
      </c>
      <c r="AB1326" s="1" t="s">
        <v>124</v>
      </c>
      <c r="AC1326" s="1" t="s">
        <v>1925</v>
      </c>
      <c r="AD1326" s="1"/>
      <c r="AE1326" s="1" t="s">
        <v>1152</v>
      </c>
      <c r="AF1326" s="1"/>
      <c r="AG1326" s="1"/>
      <c r="AH1326" s="1" t="s">
        <v>1152</v>
      </c>
      <c r="AI1326" s="1"/>
      <c r="AJ1326" s="1" t="s">
        <v>6827</v>
      </c>
      <c r="AK1326" s="1" t="s">
        <v>1152</v>
      </c>
      <c r="AL1326" s="6" t="str">
        <f t="array" ref="AL1326">IFERROR(IFS(XLOOKUP(B1326, 'Kit Delivery Status'!$U:$U, 'Kit Delivery Status'!$K:$K) = "Complete", "DELIVERED", XLOOKUP(B1326, 'Kit Delivery Status'!$U:$U, 'Kit Delivery Status'!$K:$K) = "Issue", "ISSUE"), "")</f>
        <v/>
      </c>
      <c r="AM1326" s="6"/>
    </row>
    <row r="1327">
      <c r="A1327" s="5" t="s">
        <v>6829</v>
      </c>
      <c r="B1327" s="1" t="s">
        <v>6830</v>
      </c>
      <c r="C1327" s="1" t="s">
        <v>6831</v>
      </c>
      <c r="D1327" s="2">
        <v>7.088332708E9</v>
      </c>
      <c r="E1327" s="1" t="s">
        <v>5071</v>
      </c>
      <c r="F1327" s="1"/>
      <c r="G1327" s="1" t="s">
        <v>5072</v>
      </c>
      <c r="H1327" s="1" t="s">
        <v>1019</v>
      </c>
      <c r="I1327" s="1">
        <v>60438.0</v>
      </c>
      <c r="J1327" s="1" t="s">
        <v>752</v>
      </c>
      <c r="K1327" s="1" t="s">
        <v>51</v>
      </c>
      <c r="L1327" s="1" t="s">
        <v>5722</v>
      </c>
      <c r="M1327" s="1">
        <v>1.0</v>
      </c>
      <c r="N1327" s="1" t="s">
        <v>2461</v>
      </c>
      <c r="O1327" s="3" t="s">
        <v>1054</v>
      </c>
      <c r="P1327" s="18">
        <v>45890.0</v>
      </c>
      <c r="Q1327" s="1" t="s">
        <v>1030</v>
      </c>
      <c r="R1327" s="1"/>
      <c r="S1327" s="1" t="s">
        <v>52</v>
      </c>
      <c r="T1327" s="1" t="s">
        <v>2461</v>
      </c>
      <c r="U1327" s="1" t="s">
        <v>1065</v>
      </c>
      <c r="V1327" s="4" t="s">
        <v>1054</v>
      </c>
      <c r="W1327" s="1"/>
      <c r="X1327" s="18">
        <v>45890.0</v>
      </c>
      <c r="Y1327" s="1" t="s">
        <v>1030</v>
      </c>
      <c r="Z1327" s="1"/>
      <c r="AA1327" s="1"/>
      <c r="AB1327" s="1" t="s">
        <v>52</v>
      </c>
      <c r="AC1327" s="1" t="s">
        <v>1925</v>
      </c>
      <c r="AD1327" s="1"/>
      <c r="AE1327" s="1" t="s">
        <v>1152</v>
      </c>
      <c r="AF1327" s="1"/>
      <c r="AG1327" s="1"/>
      <c r="AH1327" s="1" t="s">
        <v>1152</v>
      </c>
      <c r="AI1327" s="1"/>
      <c r="AJ1327" s="1" t="s">
        <v>6832</v>
      </c>
      <c r="AK1327" s="1" t="s">
        <v>1152</v>
      </c>
      <c r="AL1327" s="6" t="str">
        <f t="array" ref="AL1327">IFERROR(IFS(XLOOKUP(B1327, 'Kit Delivery Status'!$U:$U, 'Kit Delivery Status'!$K:$K) = "Complete", "DELIVERED", XLOOKUP(B1327, 'Kit Delivery Status'!$U:$U, 'Kit Delivery Status'!$K:$K) = "Issue", "ISSUE"), "")</f>
        <v/>
      </c>
      <c r="AM1327" s="6"/>
    </row>
    <row r="1328">
      <c r="A1328" s="5" t="s">
        <v>6833</v>
      </c>
      <c r="B1328" s="1" t="s">
        <v>6834</v>
      </c>
      <c r="C1328" s="1"/>
      <c r="D1328" s="2">
        <v>8.324448437E9</v>
      </c>
      <c r="E1328" s="1" t="s">
        <v>6835</v>
      </c>
      <c r="F1328" s="1"/>
      <c r="G1328" s="1" t="s">
        <v>6836</v>
      </c>
      <c r="H1328" s="1" t="s">
        <v>1583</v>
      </c>
      <c r="I1328" s="1">
        <v>75214.0</v>
      </c>
      <c r="J1328" s="1" t="s">
        <v>752</v>
      </c>
      <c r="K1328" s="1" t="s">
        <v>66</v>
      </c>
      <c r="L1328" s="1" t="s">
        <v>5767</v>
      </c>
      <c r="M1328" s="1">
        <v>210.0</v>
      </c>
      <c r="N1328" s="1" t="s">
        <v>1152</v>
      </c>
      <c r="O1328" s="3" t="s">
        <v>6837</v>
      </c>
      <c r="P1328" s="18">
        <v>45890.0</v>
      </c>
      <c r="Q1328" s="1"/>
      <c r="R1328" s="1"/>
      <c r="S1328" s="1"/>
      <c r="T1328" s="1" t="s">
        <v>1152</v>
      </c>
      <c r="U1328" s="1" t="s">
        <v>1642</v>
      </c>
      <c r="V1328" s="4" t="s">
        <v>6837</v>
      </c>
      <c r="W1328" s="1"/>
      <c r="X1328" s="18">
        <v>45890.0</v>
      </c>
      <c r="Y1328" s="1"/>
      <c r="Z1328" s="1"/>
      <c r="AA1328" s="1"/>
      <c r="AB1328" s="1"/>
      <c r="AC1328" s="1" t="s">
        <v>1925</v>
      </c>
      <c r="AD1328" s="1"/>
      <c r="AE1328" s="1" t="s">
        <v>1152</v>
      </c>
      <c r="AF1328" s="1"/>
      <c r="AG1328" s="1"/>
      <c r="AH1328" s="1" t="s">
        <v>1152</v>
      </c>
      <c r="AI1328" s="1"/>
      <c r="AJ1328" s="1" t="s">
        <v>6838</v>
      </c>
      <c r="AK1328" s="1" t="s">
        <v>1152</v>
      </c>
      <c r="AL1328" s="6" t="str">
        <f t="array" ref="AL1328">IFERROR(IFS(XLOOKUP(B1328, 'Kit Delivery Status'!$U:$U, 'Kit Delivery Status'!$K:$K) = "Complete", "DELIVERED", XLOOKUP(B1328, 'Kit Delivery Status'!$U:$U, 'Kit Delivery Status'!$K:$K) = "Issue", "ISSUE"), "")</f>
        <v/>
      </c>
      <c r="AM1328" s="6"/>
    </row>
    <row r="1329">
      <c r="A1329" s="5" t="s">
        <v>6839</v>
      </c>
      <c r="B1329" s="1" t="s">
        <v>6840</v>
      </c>
      <c r="C1329" s="1" t="s">
        <v>6841</v>
      </c>
      <c r="D1329" s="2">
        <v>7.733350946E9</v>
      </c>
      <c r="E1329" s="1" t="s">
        <v>6842</v>
      </c>
      <c r="F1329" s="1"/>
      <c r="G1329" s="1" t="s">
        <v>1283</v>
      </c>
      <c r="H1329" s="1" t="s">
        <v>1155</v>
      </c>
      <c r="I1329" s="1">
        <v>63105.0</v>
      </c>
      <c r="J1329" s="1" t="s">
        <v>752</v>
      </c>
      <c r="K1329" s="1" t="s">
        <v>66</v>
      </c>
      <c r="L1329" s="1" t="s">
        <v>5811</v>
      </c>
      <c r="M1329" s="1">
        <v>145.0</v>
      </c>
      <c r="N1329" s="1" t="s">
        <v>1152</v>
      </c>
      <c r="O1329" s="3" t="s">
        <v>6843</v>
      </c>
      <c r="P1329" s="18">
        <v>45887.0</v>
      </c>
      <c r="Q1329" s="1"/>
      <c r="R1329" s="1"/>
      <c r="S1329" s="1"/>
      <c r="T1329" s="1" t="s">
        <v>1152</v>
      </c>
      <c r="U1329" s="1" t="s">
        <v>6053</v>
      </c>
      <c r="V1329" s="4" t="s">
        <v>6843</v>
      </c>
      <c r="W1329" s="1"/>
      <c r="X1329" s="18">
        <v>45887.0</v>
      </c>
      <c r="Y1329" s="1"/>
      <c r="Z1329" s="1"/>
      <c r="AA1329" s="1"/>
      <c r="AB1329" s="1"/>
      <c r="AC1329" s="1" t="s">
        <v>1925</v>
      </c>
      <c r="AD1329" s="1"/>
      <c r="AE1329" s="1" t="s">
        <v>1152</v>
      </c>
      <c r="AF1329" s="1"/>
      <c r="AG1329" s="1"/>
      <c r="AH1329" s="1" t="s">
        <v>1152</v>
      </c>
      <c r="AI1329" s="1"/>
      <c r="AJ1329" s="1" t="s">
        <v>6842</v>
      </c>
      <c r="AK1329" s="1" t="s">
        <v>1152</v>
      </c>
      <c r="AL1329" s="6" t="str">
        <f t="array" ref="AL1329">IFERROR(IFS(XLOOKUP(B1329, 'Kit Delivery Status'!$U:$U, 'Kit Delivery Status'!$K:$K) = "Complete", "DELIVERED", XLOOKUP(B1329, 'Kit Delivery Status'!$U:$U, 'Kit Delivery Status'!$K:$K) = "Issue", "ISSUE"), "")</f>
        <v/>
      </c>
      <c r="AM1329" s="6"/>
    </row>
    <row r="1330">
      <c r="A1330" s="5" t="s">
        <v>6844</v>
      </c>
      <c r="B1330" s="1" t="s">
        <v>6845</v>
      </c>
      <c r="C1330" s="1"/>
      <c r="D1330" s="2">
        <v>15072061991</v>
      </c>
      <c r="E1330" s="1" t="s">
        <v>6846</v>
      </c>
      <c r="F1330" s="1"/>
      <c r="G1330" s="1" t="s">
        <v>6847</v>
      </c>
      <c r="H1330" s="1" t="s">
        <v>6848</v>
      </c>
      <c r="I1330" s="1">
        <v>73132.0</v>
      </c>
      <c r="J1330" s="1" t="s">
        <v>752</v>
      </c>
      <c r="K1330" s="1" t="s">
        <v>66</v>
      </c>
      <c r="L1330" s="1" t="s">
        <v>5767</v>
      </c>
      <c r="M1330" s="1">
        <v>210.0</v>
      </c>
      <c r="N1330" s="1" t="s">
        <v>1152</v>
      </c>
      <c r="O1330" s="3" t="s">
        <v>6849</v>
      </c>
      <c r="P1330" s="18">
        <v>45887.0</v>
      </c>
      <c r="Q1330" s="1"/>
      <c r="R1330" s="1"/>
      <c r="S1330" s="1"/>
      <c r="T1330" s="1" t="s">
        <v>1152</v>
      </c>
      <c r="U1330" s="1" t="s">
        <v>1133</v>
      </c>
      <c r="V1330" s="4" t="s">
        <v>6849</v>
      </c>
      <c r="W1330" s="1"/>
      <c r="X1330" s="18">
        <v>45887.0</v>
      </c>
      <c r="Y1330" s="1"/>
      <c r="Z1330" s="1"/>
      <c r="AA1330" s="1"/>
      <c r="AB1330" s="1"/>
      <c r="AC1330" s="1" t="s">
        <v>1925</v>
      </c>
      <c r="AD1330" s="1"/>
      <c r="AE1330" s="1" t="s">
        <v>1152</v>
      </c>
      <c r="AF1330" s="1"/>
      <c r="AG1330" s="1"/>
      <c r="AH1330" s="1" t="s">
        <v>1152</v>
      </c>
      <c r="AI1330" s="1"/>
      <c r="AJ1330" s="1" t="s">
        <v>6850</v>
      </c>
      <c r="AK1330" s="1" t="s">
        <v>1152</v>
      </c>
      <c r="AL1330" s="6" t="str">
        <f t="array" ref="AL1330">IFERROR(IFS(XLOOKUP(B1330, 'Kit Delivery Status'!$U:$U, 'Kit Delivery Status'!$K:$K) = "Complete", "DELIVERED", XLOOKUP(B1330, 'Kit Delivery Status'!$U:$U, 'Kit Delivery Status'!$K:$K) = "Issue", "ISSUE"), "")</f>
        <v/>
      </c>
      <c r="AM1330" s="6"/>
    </row>
    <row r="1331">
      <c r="A1331" s="5" t="s">
        <v>6851</v>
      </c>
      <c r="B1331" s="1" t="s">
        <v>6852</v>
      </c>
      <c r="C1331" s="1" t="s">
        <v>6853</v>
      </c>
      <c r="D1331" s="2">
        <v>2.538862379E9</v>
      </c>
      <c r="E1331" s="1" t="s">
        <v>6854</v>
      </c>
      <c r="F1331" s="1"/>
      <c r="G1331" s="1" t="s">
        <v>6855</v>
      </c>
      <c r="H1331" s="1" t="s">
        <v>980</v>
      </c>
      <c r="I1331" s="1">
        <v>98092.0</v>
      </c>
      <c r="J1331" s="1" t="s">
        <v>752</v>
      </c>
      <c r="K1331" s="1" t="s">
        <v>51</v>
      </c>
      <c r="L1331" s="1" t="s">
        <v>5722</v>
      </c>
      <c r="M1331" s="1">
        <v>1.0</v>
      </c>
      <c r="N1331" s="1" t="s">
        <v>2461</v>
      </c>
      <c r="O1331" s="3" t="s">
        <v>6856</v>
      </c>
      <c r="P1331" s="18">
        <v>45889.0</v>
      </c>
      <c r="Q1331" s="1" t="s">
        <v>1103</v>
      </c>
      <c r="R1331" s="1"/>
      <c r="S1331" s="1" t="s">
        <v>52</v>
      </c>
      <c r="T1331" s="1" t="s">
        <v>2461</v>
      </c>
      <c r="U1331" s="1" t="s">
        <v>2940</v>
      </c>
      <c r="V1331" s="4" t="s">
        <v>6856</v>
      </c>
      <c r="W1331" s="1"/>
      <c r="X1331" s="18">
        <v>45889.0</v>
      </c>
      <c r="Y1331" s="1" t="s">
        <v>1103</v>
      </c>
      <c r="Z1331" s="1"/>
      <c r="AA1331" s="1"/>
      <c r="AB1331" s="1" t="s">
        <v>52</v>
      </c>
      <c r="AC1331" s="1" t="s">
        <v>1925</v>
      </c>
      <c r="AD1331" s="1"/>
      <c r="AE1331" s="1" t="s">
        <v>1152</v>
      </c>
      <c r="AF1331" s="1"/>
      <c r="AG1331" s="1"/>
      <c r="AH1331" s="1" t="s">
        <v>1152</v>
      </c>
      <c r="AI1331" s="1"/>
      <c r="AJ1331" s="1" t="s">
        <v>6854</v>
      </c>
      <c r="AK1331" s="1" t="s">
        <v>1152</v>
      </c>
      <c r="AL1331" s="6" t="str">
        <f t="array" ref="AL1331">IFERROR(IFS(XLOOKUP(B1331, 'Kit Delivery Status'!$U:$U, 'Kit Delivery Status'!$K:$K) = "Complete", "DELIVERED", XLOOKUP(B1331, 'Kit Delivery Status'!$U:$U, 'Kit Delivery Status'!$K:$K) = "Issue", "ISSUE"), "")</f>
        <v/>
      </c>
      <c r="AM1331" s="6"/>
    </row>
    <row r="1332">
      <c r="A1332" s="5" t="s">
        <v>6857</v>
      </c>
      <c r="B1332" s="1" t="s">
        <v>6858</v>
      </c>
      <c r="C1332" s="1" t="s">
        <v>6859</v>
      </c>
      <c r="D1332" s="2">
        <v>9.738421988E9</v>
      </c>
      <c r="E1332" s="1" t="s">
        <v>6860</v>
      </c>
      <c r="F1332" s="1"/>
      <c r="G1332" s="1" t="s">
        <v>6861</v>
      </c>
      <c r="H1332" s="1" t="s">
        <v>1053</v>
      </c>
      <c r="I1332" s="1">
        <v>7003.0</v>
      </c>
      <c r="J1332" s="1" t="s">
        <v>752</v>
      </c>
      <c r="K1332" s="1" t="s">
        <v>51</v>
      </c>
      <c r="L1332" s="1" t="s">
        <v>5722</v>
      </c>
      <c r="M1332" s="1">
        <v>1.0</v>
      </c>
      <c r="N1332" s="1" t="s">
        <v>2461</v>
      </c>
      <c r="O1332" s="3" t="s">
        <v>6862</v>
      </c>
      <c r="P1332" s="18">
        <v>45888.0</v>
      </c>
      <c r="Q1332" s="1" t="s">
        <v>1030</v>
      </c>
      <c r="R1332" s="1"/>
      <c r="S1332" s="1" t="s">
        <v>52</v>
      </c>
      <c r="T1332" s="1" t="s">
        <v>2461</v>
      </c>
      <c r="U1332" s="1" t="s">
        <v>2940</v>
      </c>
      <c r="V1332" s="4" t="s">
        <v>6862</v>
      </c>
      <c r="W1332" s="1"/>
      <c r="X1332" s="18">
        <v>45888.0</v>
      </c>
      <c r="Y1332" s="1" t="s">
        <v>1030</v>
      </c>
      <c r="Z1332" s="1"/>
      <c r="AA1332" s="1"/>
      <c r="AB1332" s="1" t="s">
        <v>52</v>
      </c>
      <c r="AC1332" s="1" t="s">
        <v>1925</v>
      </c>
      <c r="AD1332" s="1"/>
      <c r="AE1332" s="1" t="s">
        <v>1152</v>
      </c>
      <c r="AF1332" s="1"/>
      <c r="AG1332" s="1"/>
      <c r="AH1332" s="1" t="s">
        <v>1152</v>
      </c>
      <c r="AI1332" s="1"/>
      <c r="AJ1332" s="1" t="s">
        <v>6863</v>
      </c>
      <c r="AK1332" s="1" t="s">
        <v>1152</v>
      </c>
      <c r="AL1332" s="6" t="str">
        <f t="array" ref="AL1332">IFERROR(IFS(XLOOKUP(B1332, 'Kit Delivery Status'!$U:$U, 'Kit Delivery Status'!$K:$K) = "Complete", "DELIVERED", XLOOKUP(B1332, 'Kit Delivery Status'!$U:$U, 'Kit Delivery Status'!$K:$K) = "Issue", "ISSUE"), "")</f>
        <v/>
      </c>
      <c r="AM1332" s="6"/>
    </row>
    <row r="1333">
      <c r="A1333" s="5" t="s">
        <v>6864</v>
      </c>
      <c r="B1333" s="1" t="s">
        <v>6865</v>
      </c>
      <c r="C1333" s="1" t="s">
        <v>6866</v>
      </c>
      <c r="D1333" s="2">
        <v>3.475307645E9</v>
      </c>
      <c r="E1333" s="1" t="s">
        <v>6867</v>
      </c>
      <c r="F1333" s="1"/>
      <c r="G1333" s="1" t="s">
        <v>6868</v>
      </c>
      <c r="H1333" s="1" t="s">
        <v>751</v>
      </c>
      <c r="I1333" s="1">
        <v>11375.0</v>
      </c>
      <c r="J1333" s="1" t="s">
        <v>752</v>
      </c>
      <c r="K1333" s="1" t="s">
        <v>66</v>
      </c>
      <c r="L1333" s="1" t="s">
        <v>5767</v>
      </c>
      <c r="M1333" s="1">
        <v>210.0</v>
      </c>
      <c r="N1333" s="1" t="s">
        <v>1152</v>
      </c>
      <c r="O1333" s="3" t="s">
        <v>6869</v>
      </c>
      <c r="P1333" s="18">
        <v>45887.0</v>
      </c>
      <c r="Q1333" s="1"/>
      <c r="R1333" s="1"/>
      <c r="S1333" s="1"/>
      <c r="T1333" s="1" t="s">
        <v>1152</v>
      </c>
      <c r="U1333" s="1" t="s">
        <v>1039</v>
      </c>
      <c r="V1333" s="4" t="s">
        <v>6869</v>
      </c>
      <c r="W1333" s="1"/>
      <c r="X1333" s="18">
        <v>45887.0</v>
      </c>
      <c r="Y1333" s="1"/>
      <c r="Z1333" s="1"/>
      <c r="AA1333" s="1"/>
      <c r="AB1333" s="1"/>
      <c r="AC1333" s="1" t="s">
        <v>1925</v>
      </c>
      <c r="AD1333" s="1"/>
      <c r="AE1333" s="1" t="s">
        <v>1152</v>
      </c>
      <c r="AF1333" s="1"/>
      <c r="AG1333" s="1"/>
      <c r="AH1333" s="1" t="s">
        <v>1152</v>
      </c>
      <c r="AI1333" s="1"/>
      <c r="AJ1333" s="1" t="s">
        <v>6870</v>
      </c>
      <c r="AK1333" s="1" t="s">
        <v>1152</v>
      </c>
      <c r="AL1333" s="6" t="str">
        <f t="array" ref="AL1333">IFERROR(IFS(XLOOKUP(B1333, 'Kit Delivery Status'!$U:$U, 'Kit Delivery Status'!$K:$K) = "Complete", "DELIVERED", XLOOKUP(B1333, 'Kit Delivery Status'!$U:$U, 'Kit Delivery Status'!$K:$K) = "Issue", "ISSUE"), "")</f>
        <v/>
      </c>
      <c r="AM1333" s="6"/>
    </row>
    <row r="1334">
      <c r="A1334" s="5" t="s">
        <v>6871</v>
      </c>
      <c r="B1334" s="1" t="s">
        <v>6872</v>
      </c>
      <c r="C1334" s="1" t="s">
        <v>6873</v>
      </c>
      <c r="D1334" s="2">
        <v>9.496895443E9</v>
      </c>
      <c r="E1334" s="1" t="s">
        <v>6874</v>
      </c>
      <c r="F1334" s="1"/>
      <c r="G1334" s="1" t="s">
        <v>1983</v>
      </c>
      <c r="H1334" s="1" t="s">
        <v>989</v>
      </c>
      <c r="I1334" s="1">
        <v>92618.0</v>
      </c>
      <c r="J1334" s="1" t="s">
        <v>752</v>
      </c>
      <c r="K1334" s="1" t="s">
        <v>66</v>
      </c>
      <c r="L1334" s="1" t="s">
        <v>5811</v>
      </c>
      <c r="M1334" s="1">
        <v>145.0</v>
      </c>
      <c r="N1334" s="1" t="s">
        <v>1152</v>
      </c>
      <c r="O1334" s="3" t="s">
        <v>2132</v>
      </c>
      <c r="P1334" s="18">
        <v>45887.0</v>
      </c>
      <c r="Q1334" s="1"/>
      <c r="R1334" s="1"/>
      <c r="S1334" s="1"/>
      <c r="T1334" s="1" t="s">
        <v>1152</v>
      </c>
      <c r="U1334" s="1" t="s">
        <v>1407</v>
      </c>
      <c r="V1334" s="4" t="s">
        <v>2132</v>
      </c>
      <c r="W1334" s="1"/>
      <c r="X1334" s="18">
        <v>45887.0</v>
      </c>
      <c r="Y1334" s="1"/>
      <c r="Z1334" s="1"/>
      <c r="AA1334" s="1"/>
      <c r="AB1334" s="1"/>
      <c r="AC1334" s="1" t="s">
        <v>1925</v>
      </c>
      <c r="AD1334" s="1"/>
      <c r="AE1334" s="1" t="s">
        <v>1152</v>
      </c>
      <c r="AF1334" s="1"/>
      <c r="AG1334" s="1"/>
      <c r="AH1334" s="1" t="s">
        <v>1152</v>
      </c>
      <c r="AI1334" s="1"/>
      <c r="AJ1334" s="1" t="s">
        <v>6875</v>
      </c>
      <c r="AK1334" s="1" t="s">
        <v>1152</v>
      </c>
      <c r="AL1334" s="6" t="str">
        <f t="array" ref="AL1334">IFERROR(IFS(XLOOKUP(B1334, 'Kit Delivery Status'!$U:$U, 'Kit Delivery Status'!$K:$K) = "Complete", "DELIVERED", XLOOKUP(B1334, 'Kit Delivery Status'!$U:$U, 'Kit Delivery Status'!$K:$K) = "Issue", "ISSUE"), "")</f>
        <v/>
      </c>
      <c r="AM1334" s="6"/>
    </row>
    <row r="1335">
      <c r="A1335" s="5" t="s">
        <v>6876</v>
      </c>
      <c r="B1335" s="1" t="s">
        <v>6877</v>
      </c>
      <c r="C1335" s="1"/>
      <c r="D1335" s="2">
        <v>2.058954063E9</v>
      </c>
      <c r="E1335" s="1" t="s">
        <v>6878</v>
      </c>
      <c r="F1335" s="1"/>
      <c r="G1335" s="1" t="s">
        <v>6879</v>
      </c>
      <c r="H1335" s="1" t="s">
        <v>1086</v>
      </c>
      <c r="I1335" s="1">
        <v>35223.0</v>
      </c>
      <c r="J1335" s="1" t="s">
        <v>752</v>
      </c>
      <c r="K1335" s="1" t="s">
        <v>66</v>
      </c>
      <c r="L1335" s="1" t="s">
        <v>6107</v>
      </c>
      <c r="M1335" s="1">
        <v>180.0</v>
      </c>
      <c r="N1335" s="1" t="s">
        <v>1152</v>
      </c>
      <c r="O1335" s="3" t="s">
        <v>6880</v>
      </c>
      <c r="P1335" s="18">
        <v>45883.0</v>
      </c>
      <c r="Q1335" s="1"/>
      <c r="R1335" s="1"/>
      <c r="S1335" s="1"/>
      <c r="T1335" s="1" t="s">
        <v>1152</v>
      </c>
      <c r="U1335" s="1" t="s">
        <v>956</v>
      </c>
      <c r="V1335" s="4" t="s">
        <v>6880</v>
      </c>
      <c r="W1335" s="1"/>
      <c r="X1335" s="18">
        <v>45883.0</v>
      </c>
      <c r="Y1335" s="1"/>
      <c r="Z1335" s="1"/>
      <c r="AA1335" s="1"/>
      <c r="AB1335" s="1"/>
      <c r="AC1335" s="1" t="s">
        <v>1925</v>
      </c>
      <c r="AD1335" s="1"/>
      <c r="AE1335" s="1" t="s">
        <v>1152</v>
      </c>
      <c r="AF1335" s="1"/>
      <c r="AG1335" s="1"/>
      <c r="AH1335" s="1" t="s">
        <v>1152</v>
      </c>
      <c r="AI1335" s="1"/>
      <c r="AJ1335" s="1" t="s">
        <v>6878</v>
      </c>
      <c r="AK1335" s="1" t="s">
        <v>1152</v>
      </c>
      <c r="AL1335" s="6" t="str">
        <f t="array" ref="AL1335">IFERROR(IFS(XLOOKUP(B1335, 'Kit Delivery Status'!$U:$U, 'Kit Delivery Status'!$K:$K) = "Complete", "DELIVERED", XLOOKUP(B1335, 'Kit Delivery Status'!$U:$U, 'Kit Delivery Status'!$K:$K) = "Issue", "ISSUE"), "")</f>
        <v/>
      </c>
      <c r="AM1335" s="6"/>
    </row>
    <row r="1336">
      <c r="A1336" s="5" t="s">
        <v>6881</v>
      </c>
      <c r="B1336" s="1" t="s">
        <v>6882</v>
      </c>
      <c r="C1336" s="1"/>
      <c r="D1336" s="2">
        <v>4.045103674E9</v>
      </c>
      <c r="E1336" s="1" t="s">
        <v>6883</v>
      </c>
      <c r="F1336" s="1" t="s">
        <v>6884</v>
      </c>
      <c r="G1336" s="1" t="s">
        <v>2179</v>
      </c>
      <c r="H1336" s="1" t="s">
        <v>946</v>
      </c>
      <c r="I1336" s="1">
        <v>30338.0</v>
      </c>
      <c r="J1336" s="1" t="s">
        <v>752</v>
      </c>
      <c r="K1336" s="1" t="s">
        <v>51</v>
      </c>
      <c r="L1336" s="1" t="s">
        <v>5722</v>
      </c>
      <c r="M1336" s="1">
        <v>1.0</v>
      </c>
      <c r="N1336" s="1" t="s">
        <v>2487</v>
      </c>
      <c r="O1336" s="3"/>
      <c r="P1336" s="18">
        <v>45889.0</v>
      </c>
      <c r="Q1336" s="1" t="s">
        <v>1630</v>
      </c>
      <c r="R1336" s="1" t="s">
        <v>6884</v>
      </c>
      <c r="S1336" s="1" t="s">
        <v>124</v>
      </c>
      <c r="T1336" s="1" t="s">
        <v>2487</v>
      </c>
      <c r="U1336" s="1"/>
      <c r="V1336" s="4"/>
      <c r="W1336" s="1" t="s">
        <v>6884</v>
      </c>
      <c r="X1336" s="18">
        <v>45889.0</v>
      </c>
      <c r="Y1336" s="1" t="s">
        <v>1630</v>
      </c>
      <c r="Z1336" s="1"/>
      <c r="AA1336" s="1" t="s">
        <v>6884</v>
      </c>
      <c r="AB1336" s="1" t="s">
        <v>124</v>
      </c>
      <c r="AC1336" s="1" t="s">
        <v>1925</v>
      </c>
      <c r="AD1336" s="1"/>
      <c r="AE1336" s="1" t="s">
        <v>1152</v>
      </c>
      <c r="AF1336" s="1"/>
      <c r="AG1336" s="1"/>
      <c r="AH1336" s="1" t="s">
        <v>1152</v>
      </c>
      <c r="AI1336" s="1"/>
      <c r="AJ1336" s="1" t="s">
        <v>6883</v>
      </c>
      <c r="AK1336" s="1" t="s">
        <v>1152</v>
      </c>
      <c r="AL1336" s="6" t="str">
        <f t="array" ref="AL1336">IFERROR(IFS(XLOOKUP(B1336, 'Kit Delivery Status'!$U:$U, 'Kit Delivery Status'!$K:$K) = "Complete", "DELIVERED", XLOOKUP(B1336, 'Kit Delivery Status'!$U:$U, 'Kit Delivery Status'!$K:$K) = "Issue", "ISSUE"), "")</f>
        <v/>
      </c>
      <c r="AM1336" s="6"/>
    </row>
    <row r="1337">
      <c r="A1337" s="5" t="s">
        <v>6885</v>
      </c>
      <c r="B1337" s="1" t="s">
        <v>6886</v>
      </c>
      <c r="C1337" s="1" t="s">
        <v>6887</v>
      </c>
      <c r="D1337" s="2">
        <v>8.084547039E9</v>
      </c>
      <c r="E1337" s="1" t="s">
        <v>6888</v>
      </c>
      <c r="F1337" s="1"/>
      <c r="G1337" s="1" t="s">
        <v>2485</v>
      </c>
      <c r="H1337" s="1" t="s">
        <v>2486</v>
      </c>
      <c r="I1337" s="1">
        <v>96813.0</v>
      </c>
      <c r="J1337" s="1" t="s">
        <v>752</v>
      </c>
      <c r="K1337" s="1" t="s">
        <v>51</v>
      </c>
      <c r="L1337" s="1" t="s">
        <v>5722</v>
      </c>
      <c r="M1337" s="1">
        <v>1.0</v>
      </c>
      <c r="N1337" s="1" t="s">
        <v>2461</v>
      </c>
      <c r="O1337" s="3" t="s">
        <v>6889</v>
      </c>
      <c r="P1337" s="18">
        <v>45888.0</v>
      </c>
      <c r="Q1337" s="1" t="s">
        <v>3186</v>
      </c>
      <c r="R1337" s="1"/>
      <c r="S1337" s="1" t="s">
        <v>52</v>
      </c>
      <c r="T1337" s="1" t="s">
        <v>2461</v>
      </c>
      <c r="U1337" s="1" t="s">
        <v>948</v>
      </c>
      <c r="V1337" s="4" t="s">
        <v>6889</v>
      </c>
      <c r="W1337" s="1"/>
      <c r="X1337" s="18">
        <v>45888.0</v>
      </c>
      <c r="Y1337" s="1" t="s">
        <v>3186</v>
      </c>
      <c r="Z1337" s="1"/>
      <c r="AA1337" s="1"/>
      <c r="AB1337" s="1" t="s">
        <v>52</v>
      </c>
      <c r="AC1337" s="1" t="s">
        <v>1925</v>
      </c>
      <c r="AD1337" s="1"/>
      <c r="AE1337" s="1" t="s">
        <v>1152</v>
      </c>
      <c r="AF1337" s="1"/>
      <c r="AG1337" s="1"/>
      <c r="AH1337" s="1" t="s">
        <v>1152</v>
      </c>
      <c r="AI1337" s="1"/>
      <c r="AJ1337" s="1" t="s">
        <v>6888</v>
      </c>
      <c r="AK1337" s="1" t="s">
        <v>1152</v>
      </c>
      <c r="AL1337" s="6" t="str">
        <f t="array" ref="AL1337">IFERROR(IFS(XLOOKUP(B1337, 'Kit Delivery Status'!$U:$U, 'Kit Delivery Status'!$K:$K) = "Complete", "DELIVERED", XLOOKUP(B1337, 'Kit Delivery Status'!$U:$U, 'Kit Delivery Status'!$K:$K) = "Issue", "ISSUE"), "")</f>
        <v/>
      </c>
      <c r="AM1337" s="6"/>
    </row>
    <row r="1338">
      <c r="A1338" s="5" t="s">
        <v>6890</v>
      </c>
      <c r="B1338" s="1" t="s">
        <v>6891</v>
      </c>
      <c r="C1338" s="1" t="s">
        <v>6892</v>
      </c>
      <c r="D1338" s="2">
        <v>6.032935082E9</v>
      </c>
      <c r="E1338" s="1" t="s">
        <v>6893</v>
      </c>
      <c r="F1338" s="1"/>
      <c r="G1338" s="1" t="s">
        <v>6894</v>
      </c>
      <c r="H1338" s="1" t="s">
        <v>1616</v>
      </c>
      <c r="I1338" s="1">
        <v>3857.0</v>
      </c>
      <c r="J1338" s="1" t="s">
        <v>752</v>
      </c>
      <c r="K1338" s="1" t="s">
        <v>66</v>
      </c>
      <c r="L1338" s="1" t="s">
        <v>5736</v>
      </c>
      <c r="M1338" s="1">
        <v>115.0</v>
      </c>
      <c r="N1338" s="1" t="s">
        <v>1152</v>
      </c>
      <c r="O1338" s="3" t="s">
        <v>6895</v>
      </c>
      <c r="P1338" s="18">
        <v>45883.0</v>
      </c>
      <c r="Q1338" s="1"/>
      <c r="R1338" s="1"/>
      <c r="S1338" s="1"/>
      <c r="T1338" s="1" t="s">
        <v>1152</v>
      </c>
      <c r="U1338" s="1" t="s">
        <v>1201</v>
      </c>
      <c r="V1338" s="4" t="s">
        <v>6895</v>
      </c>
      <c r="W1338" s="1"/>
      <c r="X1338" s="18">
        <v>45883.0</v>
      </c>
      <c r="Y1338" s="1"/>
      <c r="Z1338" s="1"/>
      <c r="AA1338" s="1"/>
      <c r="AB1338" s="1"/>
      <c r="AC1338" s="1" t="s">
        <v>1925</v>
      </c>
      <c r="AD1338" s="1"/>
      <c r="AE1338" s="1" t="s">
        <v>1152</v>
      </c>
      <c r="AF1338" s="1"/>
      <c r="AG1338" s="1"/>
      <c r="AH1338" s="1" t="s">
        <v>1152</v>
      </c>
      <c r="AI1338" s="1"/>
      <c r="AJ1338" s="1" t="s">
        <v>6893</v>
      </c>
      <c r="AK1338" s="1" t="s">
        <v>1152</v>
      </c>
      <c r="AL1338" s="6" t="str">
        <f t="array" ref="AL1338">IFERROR(IFS(XLOOKUP(B1338, 'Kit Delivery Status'!$U:$U, 'Kit Delivery Status'!$K:$K) = "Complete", "DELIVERED", XLOOKUP(B1338, 'Kit Delivery Status'!$U:$U, 'Kit Delivery Status'!$K:$K) = "Issue", "ISSUE"), "")</f>
        <v/>
      </c>
      <c r="AM1338" s="6"/>
    </row>
    <row r="1339">
      <c r="A1339" s="5" t="s">
        <v>6896</v>
      </c>
      <c r="B1339" s="1" t="s">
        <v>6897</v>
      </c>
      <c r="C1339" s="1"/>
      <c r="D1339" s="2">
        <v>8.402056469E9</v>
      </c>
      <c r="E1339" s="1" t="s">
        <v>158</v>
      </c>
      <c r="F1339" s="1"/>
      <c r="G1339" s="1" t="s">
        <v>1283</v>
      </c>
      <c r="H1339" s="1" t="s">
        <v>1155</v>
      </c>
      <c r="I1339" s="1">
        <v>63105.0</v>
      </c>
      <c r="J1339" s="1" t="s">
        <v>752</v>
      </c>
      <c r="K1339" s="1" t="s">
        <v>66</v>
      </c>
      <c r="L1339" s="1" t="s">
        <v>6107</v>
      </c>
      <c r="M1339" s="1">
        <v>180.0</v>
      </c>
      <c r="N1339" s="1" t="s">
        <v>1152</v>
      </c>
      <c r="O1339" s="3" t="s">
        <v>162</v>
      </c>
      <c r="P1339" s="18">
        <v>45887.0</v>
      </c>
      <c r="Q1339" s="1"/>
      <c r="R1339" s="1"/>
      <c r="S1339" s="1"/>
      <c r="T1339" s="1" t="s">
        <v>1152</v>
      </c>
      <c r="U1339" s="1" t="s">
        <v>1749</v>
      </c>
      <c r="V1339" s="4" t="s">
        <v>162</v>
      </c>
      <c r="W1339" s="1"/>
      <c r="X1339" s="18">
        <v>45887.0</v>
      </c>
      <c r="Y1339" s="1"/>
      <c r="Z1339" s="1"/>
      <c r="AA1339" s="1"/>
      <c r="AB1339" s="1"/>
      <c r="AC1339" s="1" t="s">
        <v>1925</v>
      </c>
      <c r="AD1339" s="1"/>
      <c r="AE1339" s="1" t="s">
        <v>1152</v>
      </c>
      <c r="AF1339" s="1"/>
      <c r="AG1339" s="1"/>
      <c r="AH1339" s="1" t="s">
        <v>1152</v>
      </c>
      <c r="AI1339" s="1"/>
      <c r="AJ1339" s="1" t="s">
        <v>6898</v>
      </c>
      <c r="AK1339" s="1" t="s">
        <v>1152</v>
      </c>
      <c r="AL1339" s="6" t="str">
        <f t="array" ref="AL1339">IFERROR(IFS(XLOOKUP(B1339, 'Kit Delivery Status'!$U:$U, 'Kit Delivery Status'!$K:$K) = "Complete", "DELIVERED", XLOOKUP(B1339, 'Kit Delivery Status'!$U:$U, 'Kit Delivery Status'!$K:$K) = "Issue", "ISSUE"), "")</f>
        <v/>
      </c>
      <c r="AM1339" s="6"/>
    </row>
    <row r="1340">
      <c r="A1340" s="5" t="s">
        <v>6899</v>
      </c>
      <c r="B1340" s="1" t="s">
        <v>6900</v>
      </c>
      <c r="C1340" s="1"/>
      <c r="D1340" s="2">
        <v>4.439009858E9</v>
      </c>
      <c r="E1340" s="1" t="s">
        <v>6901</v>
      </c>
      <c r="F1340" s="1"/>
      <c r="G1340" s="1" t="s">
        <v>4251</v>
      </c>
      <c r="H1340" s="1" t="s">
        <v>1005</v>
      </c>
      <c r="I1340" s="1">
        <v>21136.0</v>
      </c>
      <c r="J1340" s="1" t="s">
        <v>752</v>
      </c>
      <c r="K1340" s="1" t="s">
        <v>66</v>
      </c>
      <c r="L1340" s="1" t="s">
        <v>5767</v>
      </c>
      <c r="M1340" s="1">
        <v>210.0</v>
      </c>
      <c r="N1340" s="1" t="s">
        <v>1152</v>
      </c>
      <c r="O1340" s="3" t="s">
        <v>1029</v>
      </c>
      <c r="P1340" s="18">
        <v>45887.0</v>
      </c>
      <c r="Q1340" s="1"/>
      <c r="R1340" s="1"/>
      <c r="S1340" s="1"/>
      <c r="T1340" s="1" t="s">
        <v>1152</v>
      </c>
      <c r="U1340" s="1" t="s">
        <v>5506</v>
      </c>
      <c r="V1340" s="4" t="s">
        <v>1029</v>
      </c>
      <c r="W1340" s="1"/>
      <c r="X1340" s="18">
        <v>45887.0</v>
      </c>
      <c r="Y1340" s="1"/>
      <c r="Z1340" s="1"/>
      <c r="AA1340" s="1"/>
      <c r="AB1340" s="1"/>
      <c r="AC1340" s="1" t="s">
        <v>1925</v>
      </c>
      <c r="AD1340" s="1"/>
      <c r="AE1340" s="1" t="s">
        <v>1152</v>
      </c>
      <c r="AF1340" s="1"/>
      <c r="AG1340" s="1"/>
      <c r="AH1340" s="1" t="s">
        <v>1152</v>
      </c>
      <c r="AI1340" s="1"/>
      <c r="AJ1340" s="1" t="s">
        <v>6902</v>
      </c>
      <c r="AK1340" s="1" t="s">
        <v>1152</v>
      </c>
      <c r="AL1340" s="6" t="str">
        <f t="array" ref="AL1340">IFERROR(IFS(XLOOKUP(B1340, 'Kit Delivery Status'!$U:$U, 'Kit Delivery Status'!$K:$K) = "Complete", "DELIVERED", XLOOKUP(B1340, 'Kit Delivery Status'!$U:$U, 'Kit Delivery Status'!$K:$K) = "Issue", "ISSUE"), "")</f>
        <v/>
      </c>
      <c r="AM1340" s="6"/>
    </row>
    <row r="1341">
      <c r="A1341" s="5" t="s">
        <v>6903</v>
      </c>
      <c r="B1341" s="1" t="s">
        <v>6904</v>
      </c>
      <c r="C1341" s="1"/>
      <c r="D1341" s="2">
        <v>15612894300</v>
      </c>
      <c r="E1341" s="1" t="s">
        <v>6905</v>
      </c>
      <c r="F1341" s="1"/>
      <c r="G1341" s="1" t="s">
        <v>1207</v>
      </c>
      <c r="H1341" s="1" t="s">
        <v>1208</v>
      </c>
      <c r="I1341" s="1">
        <v>33433.0</v>
      </c>
      <c r="J1341" s="1" t="s">
        <v>752</v>
      </c>
      <c r="K1341" s="1" t="s">
        <v>51</v>
      </c>
      <c r="L1341" s="1" t="s">
        <v>5722</v>
      </c>
      <c r="M1341" s="1">
        <v>1.0</v>
      </c>
      <c r="N1341" s="1" t="s">
        <v>2461</v>
      </c>
      <c r="O1341" s="3" t="s">
        <v>6906</v>
      </c>
      <c r="P1341" s="18">
        <v>45887.0</v>
      </c>
      <c r="Q1341" s="1" t="s">
        <v>1030</v>
      </c>
      <c r="R1341" s="1"/>
      <c r="S1341" s="1" t="s">
        <v>52</v>
      </c>
      <c r="T1341" s="1" t="s">
        <v>2461</v>
      </c>
      <c r="U1341" s="1" t="s">
        <v>2430</v>
      </c>
      <c r="V1341" s="4" t="s">
        <v>6906</v>
      </c>
      <c r="W1341" s="1"/>
      <c r="X1341" s="18">
        <v>45887.0</v>
      </c>
      <c r="Y1341" s="1" t="s">
        <v>1030</v>
      </c>
      <c r="Z1341" s="1"/>
      <c r="AA1341" s="1"/>
      <c r="AB1341" s="1" t="s">
        <v>52</v>
      </c>
      <c r="AC1341" s="1" t="s">
        <v>1925</v>
      </c>
      <c r="AD1341" s="1"/>
      <c r="AE1341" s="1" t="s">
        <v>1152</v>
      </c>
      <c r="AF1341" s="1"/>
      <c r="AG1341" s="1"/>
      <c r="AH1341" s="1" t="s">
        <v>1152</v>
      </c>
      <c r="AI1341" s="1"/>
      <c r="AJ1341" s="1" t="s">
        <v>6907</v>
      </c>
      <c r="AK1341" s="1" t="s">
        <v>1152</v>
      </c>
      <c r="AL1341" s="6" t="str">
        <f t="array" ref="AL1341">IFERROR(IFS(XLOOKUP(B1341, 'Kit Delivery Status'!$U:$U, 'Kit Delivery Status'!$K:$K) = "Complete", "DELIVERED", XLOOKUP(B1341, 'Kit Delivery Status'!$U:$U, 'Kit Delivery Status'!$K:$K) = "Issue", "ISSUE"), "")</f>
        <v/>
      </c>
      <c r="AM1341" s="6"/>
    </row>
    <row r="1342">
      <c r="A1342" s="5" t="s">
        <v>6908</v>
      </c>
      <c r="B1342" s="1" t="s">
        <v>6909</v>
      </c>
      <c r="C1342" s="1" t="s">
        <v>6910</v>
      </c>
      <c r="D1342" s="2">
        <v>6.178933213E9</v>
      </c>
      <c r="E1342" s="1" t="s">
        <v>6911</v>
      </c>
      <c r="F1342" s="1"/>
      <c r="G1342" s="1" t="s">
        <v>2459</v>
      </c>
      <c r="H1342" s="1" t="s">
        <v>1121</v>
      </c>
      <c r="I1342" s="1">
        <v>2186.0</v>
      </c>
      <c r="J1342" s="1" t="s">
        <v>752</v>
      </c>
      <c r="K1342" s="1" t="s">
        <v>51</v>
      </c>
      <c r="L1342" s="1" t="s">
        <v>5722</v>
      </c>
      <c r="M1342" s="1">
        <v>1.0</v>
      </c>
      <c r="N1342" s="1" t="s">
        <v>2461</v>
      </c>
      <c r="O1342" s="3" t="s">
        <v>1849</v>
      </c>
      <c r="P1342" s="18">
        <v>45890.0</v>
      </c>
      <c r="Q1342" s="1" t="s">
        <v>1030</v>
      </c>
      <c r="R1342" s="1"/>
      <c r="S1342" s="1" t="s">
        <v>52</v>
      </c>
      <c r="T1342" s="1" t="s">
        <v>2461</v>
      </c>
      <c r="U1342" s="1" t="s">
        <v>1407</v>
      </c>
      <c r="V1342" s="4" t="s">
        <v>1849</v>
      </c>
      <c r="W1342" s="1"/>
      <c r="X1342" s="18">
        <v>45890.0</v>
      </c>
      <c r="Y1342" s="1" t="s">
        <v>1030</v>
      </c>
      <c r="Z1342" s="1"/>
      <c r="AA1342" s="1"/>
      <c r="AB1342" s="1" t="s">
        <v>52</v>
      </c>
      <c r="AC1342" s="1" t="s">
        <v>1925</v>
      </c>
      <c r="AD1342" s="1"/>
      <c r="AE1342" s="1" t="s">
        <v>1152</v>
      </c>
      <c r="AF1342" s="1"/>
      <c r="AG1342" s="1"/>
      <c r="AH1342" s="1" t="s">
        <v>1152</v>
      </c>
      <c r="AI1342" s="1"/>
      <c r="AJ1342" s="1" t="s">
        <v>6911</v>
      </c>
      <c r="AK1342" s="1" t="s">
        <v>1152</v>
      </c>
      <c r="AL1342" s="6" t="str">
        <f t="array" ref="AL1342">IFERROR(IFS(XLOOKUP(B1342, 'Kit Delivery Status'!$U:$U, 'Kit Delivery Status'!$K:$K) = "Complete", "DELIVERED", XLOOKUP(B1342, 'Kit Delivery Status'!$U:$U, 'Kit Delivery Status'!$K:$K) = "Issue", "ISSUE"), "")</f>
        <v/>
      </c>
      <c r="AM1342" s="6"/>
    </row>
    <row r="1343">
      <c r="A1343" s="5" t="s">
        <v>6912</v>
      </c>
      <c r="B1343" s="1" t="s">
        <v>6913</v>
      </c>
      <c r="C1343" s="1" t="s">
        <v>6914</v>
      </c>
      <c r="D1343" s="2">
        <v>2.016007748E9</v>
      </c>
      <c r="E1343" s="1" t="s">
        <v>6915</v>
      </c>
      <c r="F1343" s="1"/>
      <c r="G1343" s="1" t="s">
        <v>2625</v>
      </c>
      <c r="H1343" s="1" t="s">
        <v>1121</v>
      </c>
      <c r="I1343" s="1">
        <v>2492.0</v>
      </c>
      <c r="J1343" s="1" t="s">
        <v>752</v>
      </c>
      <c r="K1343" s="1" t="s">
        <v>51</v>
      </c>
      <c r="L1343" s="1" t="s">
        <v>5722</v>
      </c>
      <c r="M1343" s="1">
        <v>1.0</v>
      </c>
      <c r="N1343" s="1" t="s">
        <v>2461</v>
      </c>
      <c r="O1343" s="3" t="s">
        <v>6916</v>
      </c>
      <c r="P1343" s="18">
        <v>45889.0</v>
      </c>
      <c r="Q1343" s="1" t="s">
        <v>1030</v>
      </c>
      <c r="R1343" s="1"/>
      <c r="S1343" s="1" t="s">
        <v>52</v>
      </c>
      <c r="T1343" s="1" t="s">
        <v>2461</v>
      </c>
      <c r="U1343" s="1" t="s">
        <v>2510</v>
      </c>
      <c r="V1343" s="4" t="s">
        <v>6916</v>
      </c>
      <c r="W1343" s="1"/>
      <c r="X1343" s="18">
        <v>45889.0</v>
      </c>
      <c r="Y1343" s="1" t="s">
        <v>1030</v>
      </c>
      <c r="Z1343" s="1"/>
      <c r="AA1343" s="1"/>
      <c r="AB1343" s="1" t="s">
        <v>52</v>
      </c>
      <c r="AC1343" s="1" t="s">
        <v>1925</v>
      </c>
      <c r="AD1343" s="1"/>
      <c r="AE1343" s="1" t="s">
        <v>1152</v>
      </c>
      <c r="AF1343" s="1"/>
      <c r="AG1343" s="1"/>
      <c r="AH1343" s="1" t="s">
        <v>1152</v>
      </c>
      <c r="AI1343" s="1"/>
      <c r="AJ1343" s="1" t="s">
        <v>6915</v>
      </c>
      <c r="AK1343" s="1" t="s">
        <v>1152</v>
      </c>
      <c r="AL1343" s="6" t="str">
        <f t="array" ref="AL1343">IFERROR(IFS(XLOOKUP(B1343, 'Kit Delivery Status'!$U:$U, 'Kit Delivery Status'!$K:$K) = "Complete", "DELIVERED", XLOOKUP(B1343, 'Kit Delivery Status'!$U:$U, 'Kit Delivery Status'!$K:$K) = "Issue", "ISSUE"), "")</f>
        <v/>
      </c>
      <c r="AM1343" s="6"/>
    </row>
    <row r="1344">
      <c r="A1344" s="5" t="s">
        <v>6917</v>
      </c>
      <c r="B1344" s="1" t="s">
        <v>6918</v>
      </c>
      <c r="C1344" s="1" t="s">
        <v>6919</v>
      </c>
      <c r="D1344" s="2">
        <v>7.542642584E9</v>
      </c>
      <c r="E1344" s="1" t="s">
        <v>6920</v>
      </c>
      <c r="F1344" s="1"/>
      <c r="G1344" s="1" t="s">
        <v>1154</v>
      </c>
      <c r="H1344" s="1" t="s">
        <v>6248</v>
      </c>
      <c r="I1344" s="1">
        <v>70508.0</v>
      </c>
      <c r="J1344" s="1" t="s">
        <v>752</v>
      </c>
      <c r="K1344" s="1" t="s">
        <v>95</v>
      </c>
      <c r="L1344" s="1" t="s">
        <v>5820</v>
      </c>
      <c r="M1344" s="1">
        <v>49.0</v>
      </c>
      <c r="N1344" s="1" t="s">
        <v>2461</v>
      </c>
      <c r="O1344" s="3" t="s">
        <v>6921</v>
      </c>
      <c r="P1344" s="18">
        <v>45892.0</v>
      </c>
      <c r="Q1344" s="1" t="s">
        <v>1103</v>
      </c>
      <c r="R1344" s="1"/>
      <c r="S1344" s="1" t="s">
        <v>52</v>
      </c>
      <c r="T1344" s="1" t="s">
        <v>2461</v>
      </c>
      <c r="U1344" s="1" t="s">
        <v>1936</v>
      </c>
      <c r="V1344" s="4" t="s">
        <v>6921</v>
      </c>
      <c r="W1344" s="1"/>
      <c r="X1344" s="18">
        <v>45892.0</v>
      </c>
      <c r="Y1344" s="1" t="s">
        <v>1103</v>
      </c>
      <c r="Z1344" s="1"/>
      <c r="AA1344" s="1"/>
      <c r="AB1344" s="1" t="s">
        <v>52</v>
      </c>
      <c r="AC1344" s="1" t="s">
        <v>6922</v>
      </c>
      <c r="AD1344" s="1"/>
      <c r="AE1344" s="1" t="s">
        <v>1152</v>
      </c>
      <c r="AF1344" s="1"/>
      <c r="AG1344" s="1"/>
      <c r="AH1344" s="1" t="s">
        <v>1152</v>
      </c>
      <c r="AI1344" s="1"/>
      <c r="AJ1344" s="1" t="s">
        <v>6923</v>
      </c>
      <c r="AK1344" s="1" t="s">
        <v>1152</v>
      </c>
      <c r="AL1344" s="6" t="str">
        <f t="array" ref="AL1344">IFERROR(IFS(XLOOKUP(B1344, 'Kit Delivery Status'!$U:$U, 'Kit Delivery Status'!$K:$K) = "Complete", "DELIVERED", XLOOKUP(B1344, 'Kit Delivery Status'!$U:$U, 'Kit Delivery Status'!$K:$K) = "Issue", "ISSUE"), "")</f>
        <v/>
      </c>
      <c r="AM1344" s="6"/>
    </row>
    <row r="1345">
      <c r="A1345" s="5" t="s">
        <v>6924</v>
      </c>
      <c r="B1345" s="1" t="s">
        <v>6925</v>
      </c>
      <c r="C1345" s="1"/>
      <c r="D1345" s="2">
        <v>4.8492964E9</v>
      </c>
      <c r="E1345" s="1" t="s">
        <v>6926</v>
      </c>
      <c r="F1345" s="1"/>
      <c r="G1345" s="1" t="s">
        <v>6062</v>
      </c>
      <c r="H1345" s="1" t="s">
        <v>1233</v>
      </c>
      <c r="I1345" s="1">
        <v>18045.0</v>
      </c>
      <c r="J1345" s="1" t="s">
        <v>752</v>
      </c>
      <c r="K1345" s="1" t="s">
        <v>51</v>
      </c>
      <c r="L1345" s="1" t="s">
        <v>5722</v>
      </c>
      <c r="M1345" s="1">
        <v>1.0</v>
      </c>
      <c r="N1345" s="1" t="s">
        <v>2461</v>
      </c>
      <c r="O1345" s="3" t="s">
        <v>6927</v>
      </c>
      <c r="P1345" s="18">
        <v>45887.0</v>
      </c>
      <c r="Q1345" s="1" t="s">
        <v>1030</v>
      </c>
      <c r="R1345" s="1"/>
      <c r="S1345" s="1" t="s">
        <v>52</v>
      </c>
      <c r="T1345" s="1" t="s">
        <v>2461</v>
      </c>
      <c r="U1345" s="1" t="s">
        <v>2430</v>
      </c>
      <c r="V1345" s="4" t="s">
        <v>6927</v>
      </c>
      <c r="W1345" s="1"/>
      <c r="X1345" s="18">
        <v>45887.0</v>
      </c>
      <c r="Y1345" s="1" t="s">
        <v>1030</v>
      </c>
      <c r="Z1345" s="1"/>
      <c r="AA1345" s="1"/>
      <c r="AB1345" s="1" t="s">
        <v>52</v>
      </c>
      <c r="AC1345" s="1" t="s">
        <v>1925</v>
      </c>
      <c r="AD1345" s="1"/>
      <c r="AE1345" s="1" t="s">
        <v>1152</v>
      </c>
      <c r="AF1345" s="1"/>
      <c r="AG1345" s="1"/>
      <c r="AH1345" s="1" t="s">
        <v>1152</v>
      </c>
      <c r="AI1345" s="1"/>
      <c r="AJ1345" s="1" t="s">
        <v>6928</v>
      </c>
      <c r="AK1345" s="1" t="s">
        <v>1152</v>
      </c>
      <c r="AL1345" s="6" t="str">
        <f t="array" ref="AL1345">IFERROR(IFS(XLOOKUP(B1345, 'Kit Delivery Status'!$U:$U, 'Kit Delivery Status'!$K:$K) = "Complete", "DELIVERED", XLOOKUP(B1345, 'Kit Delivery Status'!$U:$U, 'Kit Delivery Status'!$K:$K) = "Issue", "ISSUE"), "")</f>
        <v/>
      </c>
      <c r="AM1345" s="6"/>
    </row>
    <row r="1346">
      <c r="A1346" s="5" t="s">
        <v>6929</v>
      </c>
      <c r="B1346" s="1" t="s">
        <v>6930</v>
      </c>
      <c r="C1346" s="1" t="s">
        <v>6931</v>
      </c>
      <c r="D1346" s="2">
        <v>3.147605274E9</v>
      </c>
      <c r="E1346" s="1" t="s">
        <v>6932</v>
      </c>
      <c r="F1346" s="1"/>
      <c r="G1346" s="1" t="s">
        <v>1283</v>
      </c>
      <c r="H1346" s="1" t="s">
        <v>1155</v>
      </c>
      <c r="I1346" s="1">
        <v>63105.0</v>
      </c>
      <c r="J1346" s="1" t="s">
        <v>752</v>
      </c>
      <c r="K1346" s="1" t="s">
        <v>66</v>
      </c>
      <c r="L1346" s="1" t="s">
        <v>5736</v>
      </c>
      <c r="M1346" s="1">
        <v>115.0</v>
      </c>
      <c r="N1346" s="1" t="s">
        <v>1152</v>
      </c>
      <c r="O1346" s="3" t="s">
        <v>6933</v>
      </c>
      <c r="P1346" s="18">
        <v>45891.0</v>
      </c>
      <c r="Q1346" s="1"/>
      <c r="R1346" s="1"/>
      <c r="S1346" s="1"/>
      <c r="T1346" s="1" t="s">
        <v>1152</v>
      </c>
      <c r="U1346" s="1" t="s">
        <v>1642</v>
      </c>
      <c r="V1346" s="4" t="s">
        <v>6933</v>
      </c>
      <c r="W1346" s="1"/>
      <c r="X1346" s="18">
        <v>45891.0</v>
      </c>
      <c r="Y1346" s="1"/>
      <c r="Z1346" s="1"/>
      <c r="AA1346" s="1"/>
      <c r="AB1346" s="1"/>
      <c r="AC1346" s="1" t="s">
        <v>1925</v>
      </c>
      <c r="AD1346" s="1"/>
      <c r="AE1346" s="1" t="s">
        <v>1152</v>
      </c>
      <c r="AF1346" s="1"/>
      <c r="AG1346" s="1"/>
      <c r="AH1346" s="1" t="s">
        <v>1152</v>
      </c>
      <c r="AI1346" s="1"/>
      <c r="AJ1346" s="1" t="s">
        <v>6932</v>
      </c>
      <c r="AK1346" s="1" t="s">
        <v>1152</v>
      </c>
      <c r="AL1346" s="6" t="str">
        <f t="array" ref="AL1346">IFERROR(IFS(XLOOKUP(B1346, 'Kit Delivery Status'!$U:$U, 'Kit Delivery Status'!$K:$K) = "Complete", "DELIVERED", XLOOKUP(B1346, 'Kit Delivery Status'!$U:$U, 'Kit Delivery Status'!$K:$K) = "Issue", "ISSUE"), "")</f>
        <v/>
      </c>
      <c r="AM1346" s="6"/>
    </row>
    <row r="1347">
      <c r="A1347" s="5" t="s">
        <v>6934</v>
      </c>
      <c r="B1347" s="1" t="s">
        <v>6935</v>
      </c>
      <c r="C1347" s="1"/>
      <c r="D1347" s="2">
        <v>6.179992787E9</v>
      </c>
      <c r="E1347" s="1" t="s">
        <v>6936</v>
      </c>
      <c r="F1347" s="1" t="s">
        <v>6937</v>
      </c>
      <c r="G1347" s="1" t="s">
        <v>3741</v>
      </c>
      <c r="H1347" s="1" t="s">
        <v>1155</v>
      </c>
      <c r="I1347" s="1">
        <v>63130.0</v>
      </c>
      <c r="J1347" s="1" t="s">
        <v>752</v>
      </c>
      <c r="K1347" s="1" t="s">
        <v>51</v>
      </c>
      <c r="L1347" s="1" t="s">
        <v>5722</v>
      </c>
      <c r="M1347" s="1">
        <v>1.0</v>
      </c>
      <c r="N1347" s="1" t="s">
        <v>2487</v>
      </c>
      <c r="O1347" s="3"/>
      <c r="P1347" s="18">
        <v>45891.0</v>
      </c>
      <c r="Q1347" s="1" t="s">
        <v>329</v>
      </c>
      <c r="R1347" s="1" t="s">
        <v>6937</v>
      </c>
      <c r="S1347" s="1" t="s">
        <v>124</v>
      </c>
      <c r="T1347" s="1" t="s">
        <v>2487</v>
      </c>
      <c r="U1347" s="1"/>
      <c r="V1347" s="4"/>
      <c r="W1347" s="1" t="s">
        <v>6937</v>
      </c>
      <c r="X1347" s="18">
        <v>45891.0</v>
      </c>
      <c r="Y1347" s="1" t="s">
        <v>329</v>
      </c>
      <c r="Z1347" s="1"/>
      <c r="AA1347" s="1" t="s">
        <v>6937</v>
      </c>
      <c r="AB1347" s="1" t="s">
        <v>124</v>
      </c>
      <c r="AC1347" s="1" t="s">
        <v>1925</v>
      </c>
      <c r="AD1347" s="1"/>
      <c r="AE1347" s="1" t="s">
        <v>1152</v>
      </c>
      <c r="AF1347" s="1"/>
      <c r="AG1347" s="1"/>
      <c r="AH1347" s="1" t="s">
        <v>1152</v>
      </c>
      <c r="AI1347" s="1" t="s">
        <v>6938</v>
      </c>
      <c r="AJ1347" s="1" t="s">
        <v>6936</v>
      </c>
      <c r="AK1347" s="1" t="s">
        <v>1152</v>
      </c>
      <c r="AL1347" s="6" t="str">
        <f t="array" ref="AL1347">IFERROR(IFS(XLOOKUP(B1347, 'Kit Delivery Status'!$U:$U, 'Kit Delivery Status'!$K:$K) = "Complete", "DELIVERED", XLOOKUP(B1347, 'Kit Delivery Status'!$U:$U, 'Kit Delivery Status'!$K:$K) = "Issue", "ISSUE"), "")</f>
        <v/>
      </c>
      <c r="AM1347" s="6"/>
    </row>
    <row r="1348">
      <c r="A1348" s="5" t="s">
        <v>6939</v>
      </c>
      <c r="B1348" s="1" t="s">
        <v>6940</v>
      </c>
      <c r="C1348" s="1"/>
      <c r="D1348" s="2">
        <v>3.145417679E9</v>
      </c>
      <c r="E1348" s="1" t="s">
        <v>6941</v>
      </c>
      <c r="F1348" s="1"/>
      <c r="G1348" s="1" t="s">
        <v>5057</v>
      </c>
      <c r="H1348" s="1" t="s">
        <v>2171</v>
      </c>
      <c r="I1348" s="1">
        <v>44122.0</v>
      </c>
      <c r="J1348" s="1" t="s">
        <v>752</v>
      </c>
      <c r="K1348" s="1" t="s">
        <v>66</v>
      </c>
      <c r="L1348" s="1" t="s">
        <v>5767</v>
      </c>
      <c r="M1348" s="1">
        <v>210.0</v>
      </c>
      <c r="N1348" s="1" t="s">
        <v>1152</v>
      </c>
      <c r="O1348" s="3" t="s">
        <v>6942</v>
      </c>
      <c r="P1348" s="18">
        <v>45887.0</v>
      </c>
      <c r="Q1348" s="1"/>
      <c r="R1348" s="1"/>
      <c r="S1348" s="1"/>
      <c r="T1348" s="1" t="s">
        <v>1152</v>
      </c>
      <c r="U1348" s="1" t="s">
        <v>982</v>
      </c>
      <c r="V1348" s="4" t="s">
        <v>6942</v>
      </c>
      <c r="W1348" s="1"/>
      <c r="X1348" s="18">
        <v>45887.0</v>
      </c>
      <c r="Y1348" s="1"/>
      <c r="Z1348" s="1"/>
      <c r="AA1348" s="1"/>
      <c r="AB1348" s="1"/>
      <c r="AC1348" s="1" t="s">
        <v>1925</v>
      </c>
      <c r="AD1348" s="1"/>
      <c r="AE1348" s="1" t="s">
        <v>1152</v>
      </c>
      <c r="AF1348" s="1"/>
      <c r="AG1348" s="1"/>
      <c r="AH1348" s="1" t="s">
        <v>1152</v>
      </c>
      <c r="AI1348" s="1"/>
      <c r="AJ1348" s="1" t="s">
        <v>6943</v>
      </c>
      <c r="AK1348" s="1" t="s">
        <v>1152</v>
      </c>
      <c r="AL1348" s="6" t="str">
        <f t="array" ref="AL1348">IFERROR(IFS(XLOOKUP(B1348, 'Kit Delivery Status'!$U:$U, 'Kit Delivery Status'!$K:$K) = "Complete", "DELIVERED", XLOOKUP(B1348, 'Kit Delivery Status'!$U:$U, 'Kit Delivery Status'!$K:$K) = "Issue", "ISSUE"), "")</f>
        <v/>
      </c>
      <c r="AM1348" s="6"/>
    </row>
    <row r="1349">
      <c r="A1349" s="5" t="s">
        <v>6944</v>
      </c>
      <c r="B1349" s="1" t="s">
        <v>6945</v>
      </c>
      <c r="C1349" s="1"/>
      <c r="D1349" s="2">
        <v>7.7066832E9</v>
      </c>
      <c r="E1349" s="1" t="s">
        <v>6479</v>
      </c>
      <c r="F1349" s="1"/>
      <c r="G1349" s="1" t="s">
        <v>5141</v>
      </c>
      <c r="H1349" s="1" t="s">
        <v>946</v>
      </c>
      <c r="I1349" s="1">
        <v>30082.0</v>
      </c>
      <c r="J1349" s="1" t="s">
        <v>752</v>
      </c>
      <c r="K1349" s="1" t="s">
        <v>892</v>
      </c>
      <c r="L1349" s="1" t="s">
        <v>6946</v>
      </c>
      <c r="M1349" s="1">
        <v>49.0</v>
      </c>
      <c r="N1349" s="1" t="s">
        <v>1152</v>
      </c>
      <c r="O1349" s="3" t="s">
        <v>6947</v>
      </c>
      <c r="P1349" s="18"/>
      <c r="Q1349" s="1"/>
      <c r="R1349" s="1"/>
      <c r="S1349" s="1"/>
      <c r="T1349" s="1" t="s">
        <v>1152</v>
      </c>
      <c r="U1349" s="1" t="s">
        <v>982</v>
      </c>
      <c r="V1349" s="4" t="s">
        <v>6947</v>
      </c>
      <c r="W1349" s="1"/>
      <c r="X1349" s="18"/>
      <c r="Y1349" s="1"/>
      <c r="Z1349" s="1"/>
      <c r="AA1349" s="1"/>
      <c r="AB1349" s="1"/>
      <c r="AC1349" s="1" t="s">
        <v>1925</v>
      </c>
      <c r="AD1349" s="1"/>
      <c r="AE1349" s="18">
        <v>45887.0</v>
      </c>
      <c r="AF1349" s="1" t="s">
        <v>1030</v>
      </c>
      <c r="AG1349" s="1" t="s">
        <v>52</v>
      </c>
      <c r="AH1349" s="1" t="s">
        <v>6948</v>
      </c>
      <c r="AI1349" s="1"/>
      <c r="AJ1349" s="1" t="s">
        <v>6479</v>
      </c>
      <c r="AK1349" s="1" t="s">
        <v>1152</v>
      </c>
      <c r="AL1349" s="6" t="str">
        <f t="array" ref="AL1349">IFERROR(IFS(XLOOKUP(B1349, 'Kit Delivery Status'!$U:$U, 'Kit Delivery Status'!$K:$K) = "Complete", "DELIVERED", XLOOKUP(B1349, 'Kit Delivery Status'!$U:$U, 'Kit Delivery Status'!$K:$K) = "Issue", "ISSUE"), "")</f>
        <v/>
      </c>
      <c r="AM1349" s="6"/>
    </row>
    <row r="1350">
      <c r="A1350" s="5" t="s">
        <v>6949</v>
      </c>
      <c r="B1350" s="1" t="s">
        <v>6950</v>
      </c>
      <c r="C1350" s="1" t="s">
        <v>6951</v>
      </c>
      <c r="D1350" s="2">
        <v>6.193758889E9</v>
      </c>
      <c r="E1350" s="1" t="s">
        <v>6952</v>
      </c>
      <c r="F1350" s="1"/>
      <c r="G1350" s="1" t="s">
        <v>6953</v>
      </c>
      <c r="H1350" s="1" t="s">
        <v>1155</v>
      </c>
      <c r="I1350" s="1">
        <v>64082.0</v>
      </c>
      <c r="J1350" s="1" t="s">
        <v>752</v>
      </c>
      <c r="K1350" s="1" t="s">
        <v>66</v>
      </c>
      <c r="L1350" s="1" t="s">
        <v>5811</v>
      </c>
      <c r="M1350" s="1">
        <v>145.0</v>
      </c>
      <c r="N1350" s="1" t="s">
        <v>1152</v>
      </c>
      <c r="O1350" s="3" t="s">
        <v>3857</v>
      </c>
      <c r="P1350" s="18">
        <v>45887.0</v>
      </c>
      <c r="Q1350" s="1"/>
      <c r="R1350" s="1"/>
      <c r="S1350" s="1"/>
      <c r="T1350" s="1" t="s">
        <v>1152</v>
      </c>
      <c r="U1350" s="1" t="s">
        <v>6053</v>
      </c>
      <c r="V1350" s="4" t="s">
        <v>3857</v>
      </c>
      <c r="W1350" s="1"/>
      <c r="X1350" s="18">
        <v>45887.0</v>
      </c>
      <c r="Y1350" s="1"/>
      <c r="Z1350" s="1"/>
      <c r="AA1350" s="1"/>
      <c r="AB1350" s="1"/>
      <c r="AC1350" s="1" t="s">
        <v>1925</v>
      </c>
      <c r="AD1350" s="1"/>
      <c r="AE1350" s="1" t="s">
        <v>1152</v>
      </c>
      <c r="AF1350" s="1"/>
      <c r="AG1350" s="1"/>
      <c r="AH1350" s="1" t="s">
        <v>1152</v>
      </c>
      <c r="AI1350" s="1"/>
      <c r="AJ1350" s="1" t="s">
        <v>6954</v>
      </c>
      <c r="AK1350" s="1" t="s">
        <v>1152</v>
      </c>
      <c r="AL1350" s="6" t="str">
        <f t="array" ref="AL1350">IFERROR(IFS(XLOOKUP(B1350, 'Kit Delivery Status'!$U:$U, 'Kit Delivery Status'!$K:$K) = "Complete", "DELIVERED", XLOOKUP(B1350, 'Kit Delivery Status'!$U:$U, 'Kit Delivery Status'!$K:$K) = "Issue", "ISSUE"), "")</f>
        <v/>
      </c>
      <c r="AM1350" s="6"/>
    </row>
    <row r="1351">
      <c r="A1351" s="5" t="s">
        <v>6955</v>
      </c>
      <c r="B1351" s="1" t="s">
        <v>6956</v>
      </c>
      <c r="C1351" s="1" t="s">
        <v>6817</v>
      </c>
      <c r="D1351" s="2">
        <v>3.146806397E9</v>
      </c>
      <c r="E1351" s="1" t="s">
        <v>6818</v>
      </c>
      <c r="F1351" s="1"/>
      <c r="G1351" s="1" t="s">
        <v>1283</v>
      </c>
      <c r="H1351" s="1" t="s">
        <v>1155</v>
      </c>
      <c r="I1351" s="1">
        <v>63130.0</v>
      </c>
      <c r="J1351" s="1" t="s">
        <v>752</v>
      </c>
      <c r="K1351" s="1" t="s">
        <v>51</v>
      </c>
      <c r="L1351" s="1" t="s">
        <v>5722</v>
      </c>
      <c r="M1351" s="1">
        <v>1.0</v>
      </c>
      <c r="N1351" s="1" t="s">
        <v>2461</v>
      </c>
      <c r="O1351" s="3" t="s">
        <v>6957</v>
      </c>
      <c r="P1351" s="18">
        <v>45892.0</v>
      </c>
      <c r="Q1351" s="1" t="s">
        <v>1030</v>
      </c>
      <c r="R1351" s="1"/>
      <c r="S1351" s="1" t="s">
        <v>52</v>
      </c>
      <c r="T1351" s="1" t="s">
        <v>2461</v>
      </c>
      <c r="U1351" s="1" t="s">
        <v>1812</v>
      </c>
      <c r="V1351" s="4" t="s">
        <v>6957</v>
      </c>
      <c r="W1351" s="1"/>
      <c r="X1351" s="18">
        <v>45892.0</v>
      </c>
      <c r="Y1351" s="1" t="s">
        <v>1030</v>
      </c>
      <c r="Z1351" s="1"/>
      <c r="AA1351" s="1"/>
      <c r="AB1351" s="1" t="s">
        <v>52</v>
      </c>
      <c r="AC1351" s="1" t="s">
        <v>1925</v>
      </c>
      <c r="AD1351" s="1"/>
      <c r="AE1351" s="1" t="s">
        <v>1152</v>
      </c>
      <c r="AF1351" s="1"/>
      <c r="AG1351" s="1"/>
      <c r="AH1351" s="1" t="s">
        <v>1152</v>
      </c>
      <c r="AI1351" s="1"/>
      <c r="AJ1351" s="1" t="s">
        <v>6818</v>
      </c>
      <c r="AK1351" s="1" t="s">
        <v>1152</v>
      </c>
      <c r="AL1351" s="6" t="str">
        <f t="array" ref="AL1351">IFERROR(IFS(XLOOKUP(B1351, 'Kit Delivery Status'!$U:$U, 'Kit Delivery Status'!$K:$K) = "Complete", "DELIVERED", XLOOKUP(B1351, 'Kit Delivery Status'!$U:$U, 'Kit Delivery Status'!$K:$K) = "Issue", "ISSUE"), "")</f>
        <v/>
      </c>
      <c r="AM1351" s="6"/>
    </row>
    <row r="1352">
      <c r="A1352" s="5" t="s">
        <v>6958</v>
      </c>
      <c r="B1352" s="1" t="s">
        <v>6959</v>
      </c>
      <c r="C1352" s="1"/>
      <c r="D1352" s="2">
        <v>9.293913061E9</v>
      </c>
      <c r="E1352" s="1" t="s">
        <v>3920</v>
      </c>
      <c r="F1352" s="1"/>
      <c r="G1352" s="1" t="s">
        <v>1283</v>
      </c>
      <c r="H1352" s="1" t="s">
        <v>1155</v>
      </c>
      <c r="I1352" s="1">
        <v>63105.0</v>
      </c>
      <c r="J1352" s="1" t="s">
        <v>752</v>
      </c>
      <c r="K1352" s="1" t="s">
        <v>66</v>
      </c>
      <c r="L1352" s="1" t="s">
        <v>5811</v>
      </c>
      <c r="M1352" s="1">
        <v>145.0</v>
      </c>
      <c r="N1352" s="1" t="s">
        <v>1152</v>
      </c>
      <c r="O1352" s="3" t="s">
        <v>3921</v>
      </c>
      <c r="P1352" s="18">
        <v>45891.0</v>
      </c>
      <c r="Q1352" s="1"/>
      <c r="R1352" s="1"/>
      <c r="S1352" s="1"/>
      <c r="T1352" s="1" t="s">
        <v>1152</v>
      </c>
      <c r="U1352" s="1" t="s">
        <v>1167</v>
      </c>
      <c r="V1352" s="4" t="s">
        <v>3921</v>
      </c>
      <c r="W1352" s="1"/>
      <c r="X1352" s="18">
        <v>45891.0</v>
      </c>
      <c r="Y1352" s="1"/>
      <c r="Z1352" s="1"/>
      <c r="AA1352" s="1"/>
      <c r="AB1352" s="1"/>
      <c r="AC1352" s="1" t="s">
        <v>1925</v>
      </c>
      <c r="AD1352" s="1"/>
      <c r="AE1352" s="1" t="s">
        <v>1152</v>
      </c>
      <c r="AF1352" s="1"/>
      <c r="AG1352" s="1"/>
      <c r="AH1352" s="1" t="s">
        <v>1152</v>
      </c>
      <c r="AI1352" s="1"/>
      <c r="AJ1352" s="1" t="s">
        <v>6960</v>
      </c>
      <c r="AK1352" s="1" t="s">
        <v>1152</v>
      </c>
      <c r="AL1352" s="6" t="str">
        <f t="array" ref="AL1352">IFERROR(IFS(XLOOKUP(B1352, 'Kit Delivery Status'!$U:$U, 'Kit Delivery Status'!$K:$K) = "Complete", "DELIVERED", XLOOKUP(B1352, 'Kit Delivery Status'!$U:$U, 'Kit Delivery Status'!$K:$K) = "Issue", "ISSUE"), "")</f>
        <v/>
      </c>
      <c r="AM1352" s="6"/>
    </row>
    <row r="1353">
      <c r="A1353" s="5" t="s">
        <v>6961</v>
      </c>
      <c r="B1353" s="1" t="s">
        <v>6962</v>
      </c>
      <c r="C1353" s="1" t="s">
        <v>6963</v>
      </c>
      <c r="D1353" s="2">
        <v>7.144068873E9</v>
      </c>
      <c r="E1353" s="1" t="s">
        <v>6964</v>
      </c>
      <c r="F1353" s="1"/>
      <c r="G1353" s="1" t="s">
        <v>6965</v>
      </c>
      <c r="H1353" s="1" t="s">
        <v>989</v>
      </c>
      <c r="I1353" s="1">
        <v>90638.0</v>
      </c>
      <c r="J1353" s="1" t="s">
        <v>752</v>
      </c>
      <c r="K1353" s="1" t="s">
        <v>51</v>
      </c>
      <c r="L1353" s="1" t="s">
        <v>5722</v>
      </c>
      <c r="M1353" s="1">
        <v>1.0</v>
      </c>
      <c r="N1353" s="1" t="s">
        <v>2461</v>
      </c>
      <c r="O1353" s="3" t="s">
        <v>6966</v>
      </c>
      <c r="P1353" s="18">
        <v>45889.0</v>
      </c>
      <c r="Q1353" s="1" t="s">
        <v>1030</v>
      </c>
      <c r="R1353" s="1"/>
      <c r="S1353" s="1" t="s">
        <v>52</v>
      </c>
      <c r="T1353" s="1" t="s">
        <v>2461</v>
      </c>
      <c r="U1353" s="1" t="s">
        <v>6967</v>
      </c>
      <c r="V1353" s="4" t="s">
        <v>6966</v>
      </c>
      <c r="W1353" s="1"/>
      <c r="X1353" s="18">
        <v>45889.0</v>
      </c>
      <c r="Y1353" s="1" t="s">
        <v>1030</v>
      </c>
      <c r="Z1353" s="1"/>
      <c r="AA1353" s="1"/>
      <c r="AB1353" s="1" t="s">
        <v>52</v>
      </c>
      <c r="AC1353" s="1" t="s">
        <v>1925</v>
      </c>
      <c r="AD1353" s="1"/>
      <c r="AE1353" s="1" t="s">
        <v>1152</v>
      </c>
      <c r="AF1353" s="1"/>
      <c r="AG1353" s="1"/>
      <c r="AH1353" s="1" t="s">
        <v>1152</v>
      </c>
      <c r="AI1353" s="1"/>
      <c r="AJ1353" s="1" t="s">
        <v>6964</v>
      </c>
      <c r="AK1353" s="1" t="s">
        <v>1152</v>
      </c>
      <c r="AL1353" s="6" t="str">
        <f t="array" ref="AL1353">IFERROR(IFS(XLOOKUP(B1353, 'Kit Delivery Status'!$U:$U, 'Kit Delivery Status'!$K:$K) = "Complete", "DELIVERED", XLOOKUP(B1353, 'Kit Delivery Status'!$U:$U, 'Kit Delivery Status'!$K:$K) = "Issue", "ISSUE"), "")</f>
        <v/>
      </c>
      <c r="AM1353" s="6"/>
    </row>
    <row r="1354">
      <c r="A1354" s="5" t="s">
        <v>6968</v>
      </c>
      <c r="B1354" s="1" t="s">
        <v>6969</v>
      </c>
      <c r="C1354" s="1"/>
      <c r="D1354" s="2">
        <v>3.12882758E9</v>
      </c>
      <c r="E1354" s="1" t="s">
        <v>6970</v>
      </c>
      <c r="F1354" s="1" t="s">
        <v>6971</v>
      </c>
      <c r="G1354" s="1" t="s">
        <v>1390</v>
      </c>
      <c r="H1354" s="1" t="s">
        <v>1019</v>
      </c>
      <c r="I1354" s="1">
        <v>60201.0</v>
      </c>
      <c r="J1354" s="1" t="s">
        <v>752</v>
      </c>
      <c r="K1354" s="1" t="s">
        <v>51</v>
      </c>
      <c r="L1354" s="1" t="s">
        <v>5722</v>
      </c>
      <c r="M1354" s="1">
        <v>1.0</v>
      </c>
      <c r="N1354" s="1" t="s">
        <v>2487</v>
      </c>
      <c r="O1354" s="3"/>
      <c r="P1354" s="18">
        <v>45888.0</v>
      </c>
      <c r="Q1354" s="1" t="s">
        <v>1030</v>
      </c>
      <c r="R1354" s="1" t="s">
        <v>6971</v>
      </c>
      <c r="S1354" s="1" t="s">
        <v>124</v>
      </c>
      <c r="T1354" s="1" t="s">
        <v>2487</v>
      </c>
      <c r="U1354" s="1"/>
      <c r="V1354" s="4"/>
      <c r="W1354" s="1" t="s">
        <v>6971</v>
      </c>
      <c r="X1354" s="18">
        <v>45888.0</v>
      </c>
      <c r="Y1354" s="1" t="s">
        <v>1030</v>
      </c>
      <c r="Z1354" s="1"/>
      <c r="AA1354" s="1" t="s">
        <v>6971</v>
      </c>
      <c r="AB1354" s="1" t="s">
        <v>124</v>
      </c>
      <c r="AC1354" s="1" t="s">
        <v>1925</v>
      </c>
      <c r="AD1354" s="1"/>
      <c r="AE1354" s="1" t="s">
        <v>1152</v>
      </c>
      <c r="AF1354" s="1"/>
      <c r="AG1354" s="1"/>
      <c r="AH1354" s="1" t="s">
        <v>1152</v>
      </c>
      <c r="AI1354" s="1"/>
      <c r="AJ1354" s="1" t="s">
        <v>6970</v>
      </c>
      <c r="AK1354" s="1" t="s">
        <v>1152</v>
      </c>
      <c r="AL1354" s="6" t="str">
        <f t="array" ref="AL1354">IFERROR(IFS(XLOOKUP(B1354, 'Kit Delivery Status'!$U:$U, 'Kit Delivery Status'!$K:$K) = "Complete", "DELIVERED", XLOOKUP(B1354, 'Kit Delivery Status'!$U:$U, 'Kit Delivery Status'!$K:$K) = "Issue", "ISSUE"), "")</f>
        <v/>
      </c>
      <c r="AM1354" s="6"/>
    </row>
    <row r="1355">
      <c r="A1355" s="5" t="s">
        <v>6972</v>
      </c>
      <c r="B1355" s="1" t="s">
        <v>6973</v>
      </c>
      <c r="C1355" s="1"/>
      <c r="D1355" s="2">
        <v>2.033627665E9</v>
      </c>
      <c r="E1355" s="1" t="s">
        <v>3538</v>
      </c>
      <c r="F1355" s="1"/>
      <c r="G1355" s="1" t="s">
        <v>2040</v>
      </c>
      <c r="H1355" s="1" t="s">
        <v>1078</v>
      </c>
      <c r="I1355" s="1">
        <v>6883.0</v>
      </c>
      <c r="J1355" s="1" t="s">
        <v>752</v>
      </c>
      <c r="K1355" s="1" t="s">
        <v>51</v>
      </c>
      <c r="L1355" s="1" t="s">
        <v>5722</v>
      </c>
      <c r="M1355" s="1">
        <v>1.0</v>
      </c>
      <c r="N1355" s="1" t="s">
        <v>2461</v>
      </c>
      <c r="O1355" s="3" t="s">
        <v>6974</v>
      </c>
      <c r="P1355" s="18">
        <v>45890.0</v>
      </c>
      <c r="Q1355" s="1" t="s">
        <v>1030</v>
      </c>
      <c r="R1355" s="1"/>
      <c r="S1355" s="1" t="s">
        <v>52</v>
      </c>
      <c r="T1355" s="1" t="s">
        <v>2461</v>
      </c>
      <c r="U1355" s="1" t="s">
        <v>1456</v>
      </c>
      <c r="V1355" s="4" t="s">
        <v>6974</v>
      </c>
      <c r="W1355" s="1"/>
      <c r="X1355" s="18">
        <v>45890.0</v>
      </c>
      <c r="Y1355" s="1" t="s">
        <v>1030</v>
      </c>
      <c r="Z1355" s="1"/>
      <c r="AA1355" s="1"/>
      <c r="AB1355" s="1" t="s">
        <v>52</v>
      </c>
      <c r="AC1355" s="1" t="s">
        <v>1925</v>
      </c>
      <c r="AD1355" s="1"/>
      <c r="AE1355" s="1" t="s">
        <v>1152</v>
      </c>
      <c r="AF1355" s="1"/>
      <c r="AG1355" s="1"/>
      <c r="AH1355" s="1" t="s">
        <v>1152</v>
      </c>
      <c r="AI1355" s="1"/>
      <c r="AJ1355" s="1" t="s">
        <v>3538</v>
      </c>
      <c r="AK1355" s="1" t="s">
        <v>1152</v>
      </c>
      <c r="AL1355" s="6" t="str">
        <f t="array" ref="AL1355">IFERROR(IFS(XLOOKUP(B1355, 'Kit Delivery Status'!$U:$U, 'Kit Delivery Status'!$K:$K) = "Complete", "DELIVERED", XLOOKUP(B1355, 'Kit Delivery Status'!$U:$U, 'Kit Delivery Status'!$K:$K) = "Issue", "ISSUE"), "")</f>
        <v/>
      </c>
      <c r="AM1355" s="6"/>
    </row>
    <row r="1356">
      <c r="A1356" s="5" t="s">
        <v>6975</v>
      </c>
      <c r="B1356" s="1" t="s">
        <v>6976</v>
      </c>
      <c r="C1356" s="1" t="s">
        <v>6977</v>
      </c>
      <c r="D1356" s="2">
        <v>2.026970061E9</v>
      </c>
      <c r="E1356" s="1" t="s">
        <v>6978</v>
      </c>
      <c r="F1356" s="1"/>
      <c r="G1356" s="1" t="s">
        <v>5431</v>
      </c>
      <c r="H1356" s="1" t="s">
        <v>1005</v>
      </c>
      <c r="I1356" s="1">
        <v>20854.0</v>
      </c>
      <c r="J1356" s="1" t="s">
        <v>752</v>
      </c>
      <c r="K1356" s="1" t="s">
        <v>51</v>
      </c>
      <c r="L1356" s="1" t="s">
        <v>5722</v>
      </c>
      <c r="M1356" s="1">
        <v>1.0</v>
      </c>
      <c r="N1356" s="1" t="s">
        <v>2461</v>
      </c>
      <c r="O1356" s="3" t="s">
        <v>6979</v>
      </c>
      <c r="P1356" s="18">
        <v>45888.0</v>
      </c>
      <c r="Q1356" s="1" t="s">
        <v>1103</v>
      </c>
      <c r="R1356" s="1"/>
      <c r="S1356" s="1" t="s">
        <v>52</v>
      </c>
      <c r="T1356" s="1" t="s">
        <v>2461</v>
      </c>
      <c r="U1356" s="1" t="s">
        <v>1201</v>
      </c>
      <c r="V1356" s="4" t="s">
        <v>6979</v>
      </c>
      <c r="W1356" s="1"/>
      <c r="X1356" s="18">
        <v>45888.0</v>
      </c>
      <c r="Y1356" s="1" t="s">
        <v>1103</v>
      </c>
      <c r="Z1356" s="1"/>
      <c r="AA1356" s="1"/>
      <c r="AB1356" s="1" t="s">
        <v>52</v>
      </c>
      <c r="AC1356" s="1" t="s">
        <v>1925</v>
      </c>
      <c r="AD1356" s="1"/>
      <c r="AE1356" s="1" t="s">
        <v>1152</v>
      </c>
      <c r="AF1356" s="1"/>
      <c r="AG1356" s="1"/>
      <c r="AH1356" s="1" t="s">
        <v>1152</v>
      </c>
      <c r="AI1356" s="1"/>
      <c r="AJ1356" s="1" t="s">
        <v>6978</v>
      </c>
      <c r="AK1356" s="1" t="s">
        <v>1152</v>
      </c>
      <c r="AL1356" s="6" t="str">
        <f t="array" ref="AL1356">IFERROR(IFS(XLOOKUP(B1356, 'Kit Delivery Status'!$U:$U, 'Kit Delivery Status'!$K:$K) = "Complete", "DELIVERED", XLOOKUP(B1356, 'Kit Delivery Status'!$U:$U, 'Kit Delivery Status'!$K:$K) = "Issue", "ISSUE"), "")</f>
        <v/>
      </c>
      <c r="AM1356" s="6"/>
    </row>
    <row r="1357">
      <c r="A1357" s="5" t="s">
        <v>6980</v>
      </c>
      <c r="B1357" s="1" t="s">
        <v>6981</v>
      </c>
      <c r="C1357" s="1" t="s">
        <v>6982</v>
      </c>
      <c r="D1357" s="2">
        <v>9.546586032E9</v>
      </c>
      <c r="E1357" s="1" t="s">
        <v>6983</v>
      </c>
      <c r="F1357" s="1" t="s">
        <v>6984</v>
      </c>
      <c r="G1357" s="1" t="s">
        <v>5081</v>
      </c>
      <c r="H1357" s="1" t="s">
        <v>1208</v>
      </c>
      <c r="I1357" s="1">
        <v>33339.0</v>
      </c>
      <c r="J1357" s="1" t="s">
        <v>752</v>
      </c>
      <c r="K1357" s="1" t="s">
        <v>51</v>
      </c>
      <c r="L1357" s="1" t="s">
        <v>5722</v>
      </c>
      <c r="M1357" s="1">
        <v>1.0</v>
      </c>
      <c r="N1357" s="1" t="s">
        <v>2487</v>
      </c>
      <c r="O1357" s="3"/>
      <c r="P1357" s="18">
        <v>45891.0</v>
      </c>
      <c r="Q1357" s="1" t="s">
        <v>1455</v>
      </c>
      <c r="R1357" s="1" t="s">
        <v>6984</v>
      </c>
      <c r="S1357" s="1" t="s">
        <v>124</v>
      </c>
      <c r="T1357" s="1" t="s">
        <v>2487</v>
      </c>
      <c r="U1357" s="1"/>
      <c r="V1357" s="4"/>
      <c r="W1357" s="1" t="s">
        <v>6984</v>
      </c>
      <c r="X1357" s="18">
        <v>45891.0</v>
      </c>
      <c r="Y1357" s="1" t="s">
        <v>1455</v>
      </c>
      <c r="Z1357" s="1"/>
      <c r="AA1357" s="1" t="s">
        <v>6984</v>
      </c>
      <c r="AB1357" s="1" t="s">
        <v>124</v>
      </c>
      <c r="AC1357" s="1" t="s">
        <v>1925</v>
      </c>
      <c r="AD1357" s="1"/>
      <c r="AE1357" s="1" t="s">
        <v>1152</v>
      </c>
      <c r="AF1357" s="1"/>
      <c r="AG1357" s="1"/>
      <c r="AH1357" s="1" t="s">
        <v>1152</v>
      </c>
      <c r="AI1357" s="1"/>
      <c r="AJ1357" s="1" t="s">
        <v>6983</v>
      </c>
      <c r="AK1357" s="1" t="s">
        <v>1152</v>
      </c>
      <c r="AL1357" s="6" t="str">
        <f t="array" ref="AL1357">IFERROR(IFS(XLOOKUP(B1357, 'Kit Delivery Status'!$U:$U, 'Kit Delivery Status'!$K:$K) = "Complete", "DELIVERED", XLOOKUP(B1357, 'Kit Delivery Status'!$U:$U, 'Kit Delivery Status'!$K:$K) = "Issue", "ISSUE"), "")</f>
        <v/>
      </c>
      <c r="AM1357" s="6"/>
    </row>
    <row r="1358">
      <c r="A1358" s="5" t="s">
        <v>6985</v>
      </c>
      <c r="B1358" s="1" t="s">
        <v>6986</v>
      </c>
      <c r="C1358" s="1" t="s">
        <v>6987</v>
      </c>
      <c r="D1358" s="2">
        <v>6.606196304E9</v>
      </c>
      <c r="E1358" s="1" t="s">
        <v>6988</v>
      </c>
      <c r="F1358" s="1"/>
      <c r="G1358" s="1" t="s">
        <v>6989</v>
      </c>
      <c r="H1358" s="1" t="s">
        <v>1155</v>
      </c>
      <c r="I1358" s="1">
        <v>65301.0</v>
      </c>
      <c r="J1358" s="1" t="s">
        <v>752</v>
      </c>
      <c r="K1358" s="1" t="s">
        <v>51</v>
      </c>
      <c r="L1358" s="1" t="s">
        <v>5722</v>
      </c>
      <c r="M1358" s="1">
        <v>1.0</v>
      </c>
      <c r="N1358" s="1" t="s">
        <v>2461</v>
      </c>
      <c r="O1358" s="3" t="s">
        <v>6990</v>
      </c>
      <c r="P1358" s="18">
        <v>45887.0</v>
      </c>
      <c r="Q1358" s="1" t="s">
        <v>1030</v>
      </c>
      <c r="R1358" s="1"/>
      <c r="S1358" s="1" t="s">
        <v>52</v>
      </c>
      <c r="T1358" s="1" t="s">
        <v>2461</v>
      </c>
      <c r="U1358" s="1" t="s">
        <v>1828</v>
      </c>
      <c r="V1358" s="4" t="s">
        <v>6990</v>
      </c>
      <c r="W1358" s="1"/>
      <c r="X1358" s="18">
        <v>45887.0</v>
      </c>
      <c r="Y1358" s="1" t="s">
        <v>1030</v>
      </c>
      <c r="Z1358" s="1"/>
      <c r="AA1358" s="1"/>
      <c r="AB1358" s="1" t="s">
        <v>52</v>
      </c>
      <c r="AC1358" s="1" t="s">
        <v>1925</v>
      </c>
      <c r="AD1358" s="1"/>
      <c r="AE1358" s="1" t="s">
        <v>1152</v>
      </c>
      <c r="AF1358" s="1"/>
      <c r="AG1358" s="1"/>
      <c r="AH1358" s="1" t="s">
        <v>1152</v>
      </c>
      <c r="AI1358" s="1"/>
      <c r="AJ1358" s="1" t="s">
        <v>6991</v>
      </c>
      <c r="AK1358" s="1" t="s">
        <v>1152</v>
      </c>
      <c r="AL1358" s="6" t="str">
        <f t="array" ref="AL1358">IFERROR(IFS(XLOOKUP(B1358, 'Kit Delivery Status'!$U:$U, 'Kit Delivery Status'!$K:$K) = "Complete", "DELIVERED", XLOOKUP(B1358, 'Kit Delivery Status'!$U:$U, 'Kit Delivery Status'!$K:$K) = "Issue", "ISSUE"), "")</f>
        <v/>
      </c>
      <c r="AM1358" s="6"/>
    </row>
    <row r="1359">
      <c r="A1359" s="5" t="s">
        <v>6992</v>
      </c>
      <c r="B1359" s="1" t="s">
        <v>6993</v>
      </c>
      <c r="C1359" s="1" t="s">
        <v>6994</v>
      </c>
      <c r="D1359" s="2">
        <v>6.503859175E9</v>
      </c>
      <c r="E1359" s="1" t="s">
        <v>6995</v>
      </c>
      <c r="F1359" s="1"/>
      <c r="G1359" s="1" t="s">
        <v>6996</v>
      </c>
      <c r="H1359" s="1" t="s">
        <v>989</v>
      </c>
      <c r="I1359" s="1">
        <v>94070.0</v>
      </c>
      <c r="J1359" s="1" t="s">
        <v>752</v>
      </c>
      <c r="K1359" s="1" t="s">
        <v>51</v>
      </c>
      <c r="L1359" s="1" t="s">
        <v>5722</v>
      </c>
      <c r="M1359" s="1">
        <v>1.0</v>
      </c>
      <c r="N1359" s="1" t="s">
        <v>2461</v>
      </c>
      <c r="O1359" s="3" t="s">
        <v>6997</v>
      </c>
      <c r="P1359" s="18">
        <v>45888.0</v>
      </c>
      <c r="Q1359" s="1" t="s">
        <v>1630</v>
      </c>
      <c r="R1359" s="1"/>
      <c r="S1359" s="1" t="s">
        <v>52</v>
      </c>
      <c r="T1359" s="1" t="s">
        <v>2461</v>
      </c>
      <c r="U1359" s="1" t="s">
        <v>1201</v>
      </c>
      <c r="V1359" s="4" t="s">
        <v>6997</v>
      </c>
      <c r="W1359" s="1"/>
      <c r="X1359" s="18">
        <v>45888.0</v>
      </c>
      <c r="Y1359" s="1" t="s">
        <v>1630</v>
      </c>
      <c r="Z1359" s="1"/>
      <c r="AA1359" s="1"/>
      <c r="AB1359" s="1" t="s">
        <v>52</v>
      </c>
      <c r="AC1359" s="1" t="s">
        <v>1925</v>
      </c>
      <c r="AD1359" s="1"/>
      <c r="AE1359" s="1" t="s">
        <v>1152</v>
      </c>
      <c r="AF1359" s="1"/>
      <c r="AG1359" s="1"/>
      <c r="AH1359" s="1" t="s">
        <v>1152</v>
      </c>
      <c r="AI1359" s="1"/>
      <c r="AJ1359" s="1" t="s">
        <v>6998</v>
      </c>
      <c r="AK1359" s="1" t="s">
        <v>1152</v>
      </c>
      <c r="AL1359" s="6" t="str">
        <f t="array" ref="AL1359">IFERROR(IFS(XLOOKUP(B1359, 'Kit Delivery Status'!$U:$U, 'Kit Delivery Status'!$K:$K) = "Complete", "DELIVERED", XLOOKUP(B1359, 'Kit Delivery Status'!$U:$U, 'Kit Delivery Status'!$K:$K) = "Issue", "ISSUE"), "")</f>
        <v/>
      </c>
      <c r="AM1359" s="6"/>
    </row>
    <row r="1360">
      <c r="A1360" s="5" t="s">
        <v>6999</v>
      </c>
      <c r="B1360" s="1" t="s">
        <v>7000</v>
      </c>
      <c r="C1360" s="1" t="s">
        <v>7001</v>
      </c>
      <c r="D1360" s="2">
        <v>9.178819128E9</v>
      </c>
      <c r="E1360" s="1" t="s">
        <v>7002</v>
      </c>
      <c r="F1360" s="1"/>
      <c r="G1360" s="1" t="s">
        <v>1865</v>
      </c>
      <c r="H1360" s="1" t="s">
        <v>1053</v>
      </c>
      <c r="I1360" s="1">
        <v>7078.0</v>
      </c>
      <c r="J1360" s="1" t="s">
        <v>752</v>
      </c>
      <c r="K1360" s="1" t="s">
        <v>51</v>
      </c>
      <c r="L1360" s="1" t="s">
        <v>5722</v>
      </c>
      <c r="M1360" s="1">
        <v>1.0</v>
      </c>
      <c r="N1360" s="1" t="s">
        <v>2461</v>
      </c>
      <c r="O1360" s="3" t="s">
        <v>4357</v>
      </c>
      <c r="P1360" s="18">
        <v>45888.0</v>
      </c>
      <c r="Q1360" s="1" t="s">
        <v>1030</v>
      </c>
      <c r="R1360" s="1"/>
      <c r="S1360" s="1" t="s">
        <v>52</v>
      </c>
      <c r="T1360" s="1" t="s">
        <v>2461</v>
      </c>
      <c r="U1360" s="1" t="s">
        <v>1812</v>
      </c>
      <c r="V1360" s="4" t="s">
        <v>4357</v>
      </c>
      <c r="W1360" s="1"/>
      <c r="X1360" s="18">
        <v>45888.0</v>
      </c>
      <c r="Y1360" s="1" t="s">
        <v>1030</v>
      </c>
      <c r="Z1360" s="1"/>
      <c r="AA1360" s="1"/>
      <c r="AB1360" s="1" t="s">
        <v>52</v>
      </c>
      <c r="AC1360" s="1" t="s">
        <v>1925</v>
      </c>
      <c r="AD1360" s="1"/>
      <c r="AE1360" s="1" t="s">
        <v>1152</v>
      </c>
      <c r="AF1360" s="1"/>
      <c r="AG1360" s="1"/>
      <c r="AH1360" s="1" t="s">
        <v>1152</v>
      </c>
      <c r="AI1360" s="1"/>
      <c r="AJ1360" s="1" t="s">
        <v>7003</v>
      </c>
      <c r="AK1360" s="1" t="s">
        <v>1152</v>
      </c>
      <c r="AL1360" s="6" t="str">
        <f t="array" ref="AL1360">IFERROR(IFS(XLOOKUP(B1360, 'Kit Delivery Status'!$U:$U, 'Kit Delivery Status'!$K:$K) = "Complete", "DELIVERED", XLOOKUP(B1360, 'Kit Delivery Status'!$U:$U, 'Kit Delivery Status'!$K:$K) = "Issue", "ISSUE"), "")</f>
        <v/>
      </c>
      <c r="AM1360" s="6"/>
    </row>
    <row r="1361">
      <c r="A1361" s="5" t="s">
        <v>7004</v>
      </c>
      <c r="B1361" s="1" t="s">
        <v>7005</v>
      </c>
      <c r="C1361" s="1"/>
      <c r="D1361" s="2">
        <v>7.819645636E9</v>
      </c>
      <c r="E1361" s="1" t="s">
        <v>3354</v>
      </c>
      <c r="F1361" s="1" t="s">
        <v>7006</v>
      </c>
      <c r="G1361" s="1" t="s">
        <v>3355</v>
      </c>
      <c r="H1361" s="1" t="s">
        <v>1616</v>
      </c>
      <c r="I1361" s="1">
        <v>3249.0</v>
      </c>
      <c r="J1361" s="1" t="s">
        <v>752</v>
      </c>
      <c r="K1361" s="1" t="s">
        <v>51</v>
      </c>
      <c r="L1361" s="1" t="s">
        <v>5722</v>
      </c>
      <c r="M1361" s="1">
        <v>1.0</v>
      </c>
      <c r="N1361" s="1" t="s">
        <v>2487</v>
      </c>
      <c r="O1361" s="3"/>
      <c r="P1361" s="18">
        <v>45891.0</v>
      </c>
      <c r="Q1361" s="1" t="s">
        <v>1630</v>
      </c>
      <c r="R1361" s="1" t="s">
        <v>7006</v>
      </c>
      <c r="S1361" s="1" t="s">
        <v>124</v>
      </c>
      <c r="T1361" s="1" t="s">
        <v>2487</v>
      </c>
      <c r="U1361" s="1"/>
      <c r="V1361" s="4"/>
      <c r="W1361" s="1" t="s">
        <v>7006</v>
      </c>
      <c r="X1361" s="18">
        <v>45891.0</v>
      </c>
      <c r="Y1361" s="1" t="s">
        <v>1630</v>
      </c>
      <c r="Z1361" s="1"/>
      <c r="AA1361" s="1" t="s">
        <v>7006</v>
      </c>
      <c r="AB1361" s="1" t="s">
        <v>124</v>
      </c>
      <c r="AC1361" s="1" t="s">
        <v>1925</v>
      </c>
      <c r="AD1361" s="1"/>
      <c r="AE1361" s="1" t="s">
        <v>1152</v>
      </c>
      <c r="AF1361" s="1"/>
      <c r="AG1361" s="1"/>
      <c r="AH1361" s="1" t="s">
        <v>1152</v>
      </c>
      <c r="AI1361" s="1"/>
      <c r="AJ1361" s="1" t="s">
        <v>7007</v>
      </c>
      <c r="AK1361" s="1" t="s">
        <v>1152</v>
      </c>
      <c r="AL1361" s="6" t="str">
        <f t="array" ref="AL1361">IFERROR(IFS(XLOOKUP(B1361, 'Kit Delivery Status'!$U:$U, 'Kit Delivery Status'!$K:$K) = "Complete", "DELIVERED", XLOOKUP(B1361, 'Kit Delivery Status'!$U:$U, 'Kit Delivery Status'!$K:$K) = "Issue", "ISSUE"), "")</f>
        <v/>
      </c>
      <c r="AM1361" s="6"/>
    </row>
    <row r="1362">
      <c r="A1362" s="5" t="s">
        <v>7008</v>
      </c>
      <c r="B1362" s="1" t="s">
        <v>7009</v>
      </c>
      <c r="C1362" s="1" t="s">
        <v>7010</v>
      </c>
      <c r="D1362" s="2">
        <v>4.15425478E9</v>
      </c>
      <c r="E1362" s="1" t="s">
        <v>7011</v>
      </c>
      <c r="F1362" s="1"/>
      <c r="G1362" s="1" t="s">
        <v>1562</v>
      </c>
      <c r="H1362" s="1" t="s">
        <v>989</v>
      </c>
      <c r="I1362" s="1">
        <v>94116.0</v>
      </c>
      <c r="J1362" s="1" t="s">
        <v>752</v>
      </c>
      <c r="K1362" s="1" t="s">
        <v>51</v>
      </c>
      <c r="L1362" s="1" t="s">
        <v>5722</v>
      </c>
      <c r="M1362" s="1">
        <v>1.0</v>
      </c>
      <c r="N1362" s="1" t="s">
        <v>2461</v>
      </c>
      <c r="O1362" s="3" t="s">
        <v>7012</v>
      </c>
      <c r="P1362" s="18">
        <v>45895.0</v>
      </c>
      <c r="Q1362" s="1" t="s">
        <v>1030</v>
      </c>
      <c r="R1362" s="1"/>
      <c r="S1362" s="1" t="s">
        <v>52</v>
      </c>
      <c r="T1362" s="1" t="s">
        <v>2461</v>
      </c>
      <c r="U1362" s="1" t="s">
        <v>1936</v>
      </c>
      <c r="V1362" s="4" t="s">
        <v>7012</v>
      </c>
      <c r="W1362" s="1"/>
      <c r="X1362" s="18">
        <v>45895.0</v>
      </c>
      <c r="Y1362" s="1" t="s">
        <v>1030</v>
      </c>
      <c r="Z1362" s="1"/>
      <c r="AA1362" s="1"/>
      <c r="AB1362" s="1" t="s">
        <v>52</v>
      </c>
      <c r="AC1362" s="1" t="s">
        <v>1925</v>
      </c>
      <c r="AD1362" s="1"/>
      <c r="AE1362" s="1" t="s">
        <v>1152</v>
      </c>
      <c r="AF1362" s="1"/>
      <c r="AG1362" s="1"/>
      <c r="AH1362" s="1" t="s">
        <v>1152</v>
      </c>
      <c r="AI1362" s="1"/>
      <c r="AJ1362" s="1" t="s">
        <v>7011</v>
      </c>
      <c r="AK1362" s="1" t="s">
        <v>1152</v>
      </c>
      <c r="AL1362" s="6" t="str">
        <f t="array" ref="AL1362">IFERROR(IFS(XLOOKUP(B1362, 'Kit Delivery Status'!$U:$U, 'Kit Delivery Status'!$K:$K) = "Complete", "DELIVERED", XLOOKUP(B1362, 'Kit Delivery Status'!$U:$U, 'Kit Delivery Status'!$K:$K) = "Issue", "ISSUE"), "")</f>
        <v/>
      </c>
      <c r="AM1362" s="6"/>
    </row>
    <row r="1363">
      <c r="A1363" s="5" t="s">
        <v>7013</v>
      </c>
      <c r="B1363" s="1" t="s">
        <v>7014</v>
      </c>
      <c r="C1363" s="1" t="s">
        <v>7015</v>
      </c>
      <c r="D1363" s="2">
        <v>4.804534052E9</v>
      </c>
      <c r="E1363" s="1" t="s">
        <v>7016</v>
      </c>
      <c r="F1363" s="1"/>
      <c r="G1363" s="1" t="s">
        <v>1283</v>
      </c>
      <c r="H1363" s="1" t="s">
        <v>1155</v>
      </c>
      <c r="I1363" s="1">
        <v>63105.0</v>
      </c>
      <c r="J1363" s="1" t="s">
        <v>752</v>
      </c>
      <c r="K1363" s="1" t="s">
        <v>66</v>
      </c>
      <c r="L1363" s="1" t="s">
        <v>5736</v>
      </c>
      <c r="M1363" s="1">
        <v>115.0</v>
      </c>
      <c r="N1363" s="1" t="s">
        <v>1152</v>
      </c>
      <c r="O1363" s="3" t="s">
        <v>162</v>
      </c>
      <c r="P1363" s="18">
        <v>45887.0</v>
      </c>
      <c r="Q1363" s="1"/>
      <c r="R1363" s="1"/>
      <c r="S1363" s="1"/>
      <c r="T1363" s="1" t="s">
        <v>1152</v>
      </c>
      <c r="U1363" s="1" t="s">
        <v>1376</v>
      </c>
      <c r="V1363" s="4" t="s">
        <v>162</v>
      </c>
      <c r="W1363" s="1"/>
      <c r="X1363" s="18">
        <v>45887.0</v>
      </c>
      <c r="Y1363" s="1"/>
      <c r="Z1363" s="1"/>
      <c r="AA1363" s="1"/>
      <c r="AB1363" s="1"/>
      <c r="AC1363" s="1" t="s">
        <v>1925</v>
      </c>
      <c r="AD1363" s="1"/>
      <c r="AE1363" s="1" t="s">
        <v>1152</v>
      </c>
      <c r="AF1363" s="1"/>
      <c r="AG1363" s="1"/>
      <c r="AH1363" s="1" t="s">
        <v>1152</v>
      </c>
      <c r="AI1363" s="1"/>
      <c r="AJ1363" s="1" t="s">
        <v>7016</v>
      </c>
      <c r="AK1363" s="1" t="s">
        <v>1152</v>
      </c>
      <c r="AL1363" s="6" t="str">
        <f t="array" ref="AL1363">IFERROR(IFS(XLOOKUP(B1363, 'Kit Delivery Status'!$U:$U, 'Kit Delivery Status'!$K:$K) = "Complete", "DELIVERED", XLOOKUP(B1363, 'Kit Delivery Status'!$U:$U, 'Kit Delivery Status'!$K:$K) = "Issue", "ISSUE"), "")</f>
        <v/>
      </c>
      <c r="AM1363" s="6"/>
    </row>
    <row r="1364">
      <c r="A1364" s="5" t="s">
        <v>7017</v>
      </c>
      <c r="B1364" s="1" t="s">
        <v>7018</v>
      </c>
      <c r="C1364" s="1" t="s">
        <v>7019</v>
      </c>
      <c r="D1364" s="2">
        <v>4.806007592E9</v>
      </c>
      <c r="E1364" s="1" t="s">
        <v>7020</v>
      </c>
      <c r="F1364" s="1"/>
      <c r="G1364" s="1" t="s">
        <v>1534</v>
      </c>
      <c r="H1364" s="1" t="s">
        <v>1535</v>
      </c>
      <c r="I1364" s="1">
        <v>85267.0</v>
      </c>
      <c r="J1364" s="1" t="s">
        <v>752</v>
      </c>
      <c r="K1364" s="1" t="s">
        <v>66</v>
      </c>
      <c r="L1364" s="1" t="s">
        <v>5811</v>
      </c>
      <c r="M1364" s="1">
        <v>145.0</v>
      </c>
      <c r="N1364" s="1" t="s">
        <v>1152</v>
      </c>
      <c r="O1364" s="3" t="s">
        <v>2804</v>
      </c>
      <c r="P1364" s="18">
        <v>45887.0</v>
      </c>
      <c r="Q1364" s="1"/>
      <c r="R1364" s="1"/>
      <c r="S1364" s="1"/>
      <c r="T1364" s="1" t="s">
        <v>1152</v>
      </c>
      <c r="U1364" s="1" t="s">
        <v>1537</v>
      </c>
      <c r="V1364" s="4" t="s">
        <v>2804</v>
      </c>
      <c r="W1364" s="1"/>
      <c r="X1364" s="18">
        <v>45887.0</v>
      </c>
      <c r="Y1364" s="1"/>
      <c r="Z1364" s="1"/>
      <c r="AA1364" s="1"/>
      <c r="AB1364" s="1"/>
      <c r="AC1364" s="1" t="s">
        <v>1925</v>
      </c>
      <c r="AD1364" s="1"/>
      <c r="AE1364" s="1" t="s">
        <v>1152</v>
      </c>
      <c r="AF1364" s="1"/>
      <c r="AG1364" s="1"/>
      <c r="AH1364" s="1" t="s">
        <v>1152</v>
      </c>
      <c r="AI1364" s="1"/>
      <c r="AJ1364" s="1" t="s">
        <v>7020</v>
      </c>
      <c r="AK1364" s="1" t="s">
        <v>1152</v>
      </c>
      <c r="AL1364" s="6" t="str">
        <f t="array" ref="AL1364">IFERROR(IFS(XLOOKUP(B1364, 'Kit Delivery Status'!$U:$U, 'Kit Delivery Status'!$K:$K) = "Complete", "DELIVERED", XLOOKUP(B1364, 'Kit Delivery Status'!$U:$U, 'Kit Delivery Status'!$K:$K) = "Issue", "ISSUE"), "")</f>
        <v/>
      </c>
      <c r="AM1364" s="6"/>
    </row>
    <row r="1365">
      <c r="A1365" s="5" t="s">
        <v>7021</v>
      </c>
      <c r="B1365" s="1" t="s">
        <v>7022</v>
      </c>
      <c r="C1365" s="1"/>
      <c r="D1365" s="2">
        <v>1.049113842E9</v>
      </c>
      <c r="E1365" s="1" t="s">
        <v>7023</v>
      </c>
      <c r="F1365" s="1"/>
      <c r="G1365" s="1" t="s">
        <v>7024</v>
      </c>
      <c r="H1365" s="1" t="s">
        <v>1964</v>
      </c>
      <c r="I1365" s="1">
        <v>6713.0</v>
      </c>
      <c r="J1365" s="1" t="s">
        <v>1965</v>
      </c>
      <c r="K1365" s="1" t="s">
        <v>66</v>
      </c>
      <c r="L1365" s="1" t="s">
        <v>5811</v>
      </c>
      <c r="M1365" s="1">
        <v>145.0</v>
      </c>
      <c r="N1365" s="1" t="s">
        <v>1152</v>
      </c>
      <c r="O1365" s="3" t="s">
        <v>7025</v>
      </c>
      <c r="P1365" s="18">
        <v>45887.0</v>
      </c>
      <c r="Q1365" s="1"/>
      <c r="R1365" s="1"/>
      <c r="S1365" s="1"/>
      <c r="T1365" s="1" t="s">
        <v>1152</v>
      </c>
      <c r="U1365" s="1" t="s">
        <v>1133</v>
      </c>
      <c r="V1365" s="4" t="s">
        <v>7025</v>
      </c>
      <c r="W1365" s="1"/>
      <c r="X1365" s="18">
        <v>45887.0</v>
      </c>
      <c r="Y1365" s="1"/>
      <c r="Z1365" s="1"/>
      <c r="AA1365" s="1"/>
      <c r="AB1365" s="1"/>
      <c r="AC1365" s="1" t="s">
        <v>1925</v>
      </c>
      <c r="AD1365" s="1"/>
      <c r="AE1365" s="1" t="s">
        <v>1152</v>
      </c>
      <c r="AF1365" s="1"/>
      <c r="AG1365" s="1"/>
      <c r="AH1365" s="1" t="s">
        <v>1152</v>
      </c>
      <c r="AI1365" s="1"/>
      <c r="AJ1365" s="1" t="s">
        <v>7026</v>
      </c>
      <c r="AK1365" s="1" t="s">
        <v>1152</v>
      </c>
      <c r="AL1365" s="6" t="str">
        <f t="array" ref="AL1365">IFERROR(IFS(XLOOKUP(B1365, 'Kit Delivery Status'!$U:$U, 'Kit Delivery Status'!$K:$K) = "Complete", "DELIVERED", XLOOKUP(B1365, 'Kit Delivery Status'!$U:$U, 'Kit Delivery Status'!$K:$K) = "Issue", "ISSUE"), "")</f>
        <v/>
      </c>
      <c r="AM1365" s="6"/>
    </row>
    <row r="1366">
      <c r="A1366" s="5" t="s">
        <v>7027</v>
      </c>
      <c r="B1366" s="1" t="s">
        <v>7028</v>
      </c>
      <c r="C1366" s="1" t="s">
        <v>7029</v>
      </c>
      <c r="D1366" s="2">
        <v>9.195618234E9</v>
      </c>
      <c r="E1366" s="1" t="s">
        <v>7030</v>
      </c>
      <c r="F1366" s="1"/>
      <c r="G1366" s="1" t="s">
        <v>7031</v>
      </c>
      <c r="H1366" s="1" t="s">
        <v>1438</v>
      </c>
      <c r="I1366" s="1">
        <v>27587.0</v>
      </c>
      <c r="J1366" s="1" t="s">
        <v>752</v>
      </c>
      <c r="K1366" s="1" t="s">
        <v>51</v>
      </c>
      <c r="L1366" s="1" t="s">
        <v>5722</v>
      </c>
      <c r="M1366" s="1">
        <v>1.0</v>
      </c>
      <c r="N1366" s="1" t="s">
        <v>2461</v>
      </c>
      <c r="O1366" s="3" t="s">
        <v>7032</v>
      </c>
      <c r="P1366" s="18">
        <v>45889.0</v>
      </c>
      <c r="Q1366" s="1" t="s">
        <v>1030</v>
      </c>
      <c r="R1366" s="1"/>
      <c r="S1366" s="1" t="s">
        <v>52</v>
      </c>
      <c r="T1366" s="1" t="s">
        <v>2461</v>
      </c>
      <c r="U1366" s="1" t="s">
        <v>2940</v>
      </c>
      <c r="V1366" s="4" t="s">
        <v>7032</v>
      </c>
      <c r="W1366" s="1"/>
      <c r="X1366" s="18">
        <v>45889.0</v>
      </c>
      <c r="Y1366" s="1" t="s">
        <v>1030</v>
      </c>
      <c r="Z1366" s="1"/>
      <c r="AA1366" s="1"/>
      <c r="AB1366" s="1" t="s">
        <v>52</v>
      </c>
      <c r="AC1366" s="1" t="s">
        <v>1925</v>
      </c>
      <c r="AD1366" s="1"/>
      <c r="AE1366" s="1" t="s">
        <v>1152</v>
      </c>
      <c r="AF1366" s="1"/>
      <c r="AG1366" s="1"/>
      <c r="AH1366" s="1" t="s">
        <v>1152</v>
      </c>
      <c r="AI1366" s="1"/>
      <c r="AJ1366" s="1" t="s">
        <v>7033</v>
      </c>
      <c r="AK1366" s="1" t="s">
        <v>1152</v>
      </c>
      <c r="AL1366" s="6" t="str">
        <f t="array" ref="AL1366">IFERROR(IFS(XLOOKUP(B1366, 'Kit Delivery Status'!$U:$U, 'Kit Delivery Status'!$K:$K) = "Complete", "DELIVERED", XLOOKUP(B1366, 'Kit Delivery Status'!$U:$U, 'Kit Delivery Status'!$K:$K) = "Issue", "ISSUE"), "")</f>
        <v/>
      </c>
      <c r="AM1366" s="6"/>
    </row>
    <row r="1367">
      <c r="A1367" s="5" t="s">
        <v>7034</v>
      </c>
      <c r="B1367" s="1" t="s">
        <v>7035</v>
      </c>
      <c r="C1367" s="1" t="s">
        <v>7036</v>
      </c>
      <c r="D1367" s="2">
        <v>3.464343177E9</v>
      </c>
      <c r="E1367" s="1" t="s">
        <v>7037</v>
      </c>
      <c r="F1367" s="1"/>
      <c r="G1367" s="1" t="s">
        <v>5935</v>
      </c>
      <c r="H1367" s="1" t="s">
        <v>1583</v>
      </c>
      <c r="I1367" s="1">
        <v>77386.0</v>
      </c>
      <c r="J1367" s="1" t="s">
        <v>752</v>
      </c>
      <c r="K1367" s="1" t="s">
        <v>66</v>
      </c>
      <c r="L1367" s="1" t="s">
        <v>5767</v>
      </c>
      <c r="M1367" s="1">
        <v>210.0</v>
      </c>
      <c r="N1367" s="1" t="s">
        <v>1152</v>
      </c>
      <c r="O1367" s="3" t="s">
        <v>7038</v>
      </c>
      <c r="P1367" s="18">
        <v>45887.0</v>
      </c>
      <c r="Q1367" s="1"/>
      <c r="R1367" s="1"/>
      <c r="S1367" s="1"/>
      <c r="T1367" s="1" t="s">
        <v>1152</v>
      </c>
      <c r="U1367" s="1" t="s">
        <v>6053</v>
      </c>
      <c r="V1367" s="4" t="s">
        <v>7038</v>
      </c>
      <c r="W1367" s="1"/>
      <c r="X1367" s="18">
        <v>45887.0</v>
      </c>
      <c r="Y1367" s="1"/>
      <c r="Z1367" s="1"/>
      <c r="AA1367" s="1"/>
      <c r="AB1367" s="1"/>
      <c r="AC1367" s="1" t="s">
        <v>1925</v>
      </c>
      <c r="AD1367" s="1"/>
      <c r="AE1367" s="1" t="s">
        <v>1152</v>
      </c>
      <c r="AF1367" s="1"/>
      <c r="AG1367" s="1"/>
      <c r="AH1367" s="1" t="s">
        <v>1152</v>
      </c>
      <c r="AI1367" s="1"/>
      <c r="AJ1367" s="1" t="s">
        <v>7037</v>
      </c>
      <c r="AK1367" s="1" t="s">
        <v>1152</v>
      </c>
      <c r="AL1367" s="6" t="str">
        <f t="array" ref="AL1367">IFERROR(IFS(XLOOKUP(B1367, 'Kit Delivery Status'!$U:$U, 'Kit Delivery Status'!$K:$K) = "Complete", "DELIVERED", XLOOKUP(B1367, 'Kit Delivery Status'!$U:$U, 'Kit Delivery Status'!$K:$K) = "Issue", "ISSUE"), "")</f>
        <v/>
      </c>
      <c r="AM1367" s="6"/>
    </row>
    <row r="1368">
      <c r="A1368" s="5" t="s">
        <v>7039</v>
      </c>
      <c r="B1368" s="1" t="s">
        <v>7040</v>
      </c>
      <c r="C1368" s="1" t="s">
        <v>7041</v>
      </c>
      <c r="D1368" s="2">
        <v>3.142557428E9</v>
      </c>
      <c r="E1368" s="1" t="s">
        <v>7042</v>
      </c>
      <c r="F1368" s="1"/>
      <c r="G1368" s="1" t="s">
        <v>1283</v>
      </c>
      <c r="H1368" s="1" t="s">
        <v>1155</v>
      </c>
      <c r="I1368" s="1">
        <v>63105.0</v>
      </c>
      <c r="J1368" s="1" t="s">
        <v>752</v>
      </c>
      <c r="K1368" s="1" t="s">
        <v>51</v>
      </c>
      <c r="L1368" s="1" t="s">
        <v>5722</v>
      </c>
      <c r="M1368" s="1">
        <v>1.0</v>
      </c>
      <c r="N1368" s="1" t="s">
        <v>2461</v>
      </c>
      <c r="O1368" s="3" t="s">
        <v>7043</v>
      </c>
      <c r="P1368" s="18">
        <v>45889.0</v>
      </c>
      <c r="Q1368" s="1" t="s">
        <v>1630</v>
      </c>
      <c r="R1368" s="1"/>
      <c r="S1368" s="1" t="s">
        <v>52</v>
      </c>
      <c r="T1368" s="1" t="s">
        <v>2461</v>
      </c>
      <c r="U1368" s="1" t="s">
        <v>1407</v>
      </c>
      <c r="V1368" s="4" t="s">
        <v>7043</v>
      </c>
      <c r="W1368" s="1"/>
      <c r="X1368" s="18">
        <v>45889.0</v>
      </c>
      <c r="Y1368" s="1" t="s">
        <v>1630</v>
      </c>
      <c r="Z1368" s="1"/>
      <c r="AA1368" s="1"/>
      <c r="AB1368" s="1" t="s">
        <v>52</v>
      </c>
      <c r="AC1368" s="1" t="s">
        <v>1925</v>
      </c>
      <c r="AD1368" s="1"/>
      <c r="AE1368" s="1" t="s">
        <v>1152</v>
      </c>
      <c r="AF1368" s="1"/>
      <c r="AG1368" s="1"/>
      <c r="AH1368" s="1" t="s">
        <v>1152</v>
      </c>
      <c r="AI1368" s="1"/>
      <c r="AJ1368" s="1" t="s">
        <v>7042</v>
      </c>
      <c r="AK1368" s="1" t="s">
        <v>1152</v>
      </c>
      <c r="AL1368" s="6" t="str">
        <f t="array" ref="AL1368">IFERROR(IFS(XLOOKUP(B1368, 'Kit Delivery Status'!$U:$U, 'Kit Delivery Status'!$K:$K) = "Complete", "DELIVERED", XLOOKUP(B1368, 'Kit Delivery Status'!$U:$U, 'Kit Delivery Status'!$K:$K) = "Issue", "ISSUE"), "")</f>
        <v/>
      </c>
      <c r="AM1368" s="6"/>
    </row>
    <row r="1369">
      <c r="A1369" s="5" t="s">
        <v>7044</v>
      </c>
      <c r="B1369" s="1" t="s">
        <v>7045</v>
      </c>
      <c r="C1369" s="1"/>
      <c r="D1369" s="2">
        <v>9.786184522E9</v>
      </c>
      <c r="E1369" s="1" t="s">
        <v>7046</v>
      </c>
      <c r="F1369" s="1"/>
      <c r="G1369" s="1" t="s">
        <v>2570</v>
      </c>
      <c r="H1369" s="1" t="s">
        <v>1121</v>
      </c>
      <c r="I1369" s="1">
        <v>1776.0</v>
      </c>
      <c r="J1369" s="1" t="s">
        <v>752</v>
      </c>
      <c r="K1369" s="1" t="s">
        <v>66</v>
      </c>
      <c r="L1369" s="1" t="s">
        <v>5767</v>
      </c>
      <c r="M1369" s="1">
        <v>210.0</v>
      </c>
      <c r="N1369" s="1" t="s">
        <v>1152</v>
      </c>
      <c r="O1369" s="3" t="s">
        <v>7047</v>
      </c>
      <c r="P1369" s="18">
        <v>45887.0</v>
      </c>
      <c r="Q1369" s="1"/>
      <c r="R1369" s="1"/>
      <c r="S1369" s="1"/>
      <c r="T1369" s="1" t="s">
        <v>1152</v>
      </c>
      <c r="U1369" s="1" t="s">
        <v>1407</v>
      </c>
      <c r="V1369" s="4" t="s">
        <v>7047</v>
      </c>
      <c r="W1369" s="1"/>
      <c r="X1369" s="18">
        <v>45887.0</v>
      </c>
      <c r="Y1369" s="1"/>
      <c r="Z1369" s="1"/>
      <c r="AA1369" s="1"/>
      <c r="AB1369" s="1"/>
      <c r="AC1369" s="1" t="s">
        <v>1925</v>
      </c>
      <c r="AD1369" s="1"/>
      <c r="AE1369" s="1" t="s">
        <v>1152</v>
      </c>
      <c r="AF1369" s="1"/>
      <c r="AG1369" s="1"/>
      <c r="AH1369" s="1" t="s">
        <v>1152</v>
      </c>
      <c r="AI1369" s="1"/>
      <c r="AJ1369" s="1" t="s">
        <v>7046</v>
      </c>
      <c r="AK1369" s="1" t="s">
        <v>1152</v>
      </c>
      <c r="AL1369" s="6" t="str">
        <f t="array" ref="AL1369">IFERROR(IFS(XLOOKUP(B1369, 'Kit Delivery Status'!$U:$U, 'Kit Delivery Status'!$K:$K) = "Complete", "DELIVERED", XLOOKUP(B1369, 'Kit Delivery Status'!$U:$U, 'Kit Delivery Status'!$K:$K) = "Issue", "ISSUE"), "")</f>
        <v/>
      </c>
      <c r="AM1369" s="6"/>
    </row>
    <row r="1370">
      <c r="A1370" s="5" t="s">
        <v>7048</v>
      </c>
      <c r="B1370" s="1" t="s">
        <v>7049</v>
      </c>
      <c r="C1370" s="1" t="s">
        <v>7050</v>
      </c>
      <c r="D1370" s="2">
        <v>9.149878705E9</v>
      </c>
      <c r="E1370" s="1" t="s">
        <v>7051</v>
      </c>
      <c r="F1370" s="1"/>
      <c r="G1370" s="1" t="s">
        <v>7052</v>
      </c>
      <c r="H1370" s="1" t="s">
        <v>751</v>
      </c>
      <c r="I1370" s="1">
        <v>10567.0</v>
      </c>
      <c r="J1370" s="1" t="s">
        <v>752</v>
      </c>
      <c r="K1370" s="1" t="s">
        <v>66</v>
      </c>
      <c r="L1370" s="1" t="s">
        <v>5811</v>
      </c>
      <c r="M1370" s="1">
        <v>145.0</v>
      </c>
      <c r="N1370" s="1" t="s">
        <v>1152</v>
      </c>
      <c r="O1370" s="3" t="s">
        <v>7053</v>
      </c>
      <c r="P1370" s="18">
        <v>45883.0</v>
      </c>
      <c r="Q1370" s="1"/>
      <c r="R1370" s="1"/>
      <c r="S1370" s="1"/>
      <c r="T1370" s="1" t="s">
        <v>1152</v>
      </c>
      <c r="U1370" s="1" t="s">
        <v>1407</v>
      </c>
      <c r="V1370" s="4" t="s">
        <v>7053</v>
      </c>
      <c r="W1370" s="1"/>
      <c r="X1370" s="18">
        <v>45883.0</v>
      </c>
      <c r="Y1370" s="1"/>
      <c r="Z1370" s="1"/>
      <c r="AA1370" s="1"/>
      <c r="AB1370" s="1"/>
      <c r="AC1370" s="1" t="s">
        <v>1925</v>
      </c>
      <c r="AD1370" s="1"/>
      <c r="AE1370" s="1" t="s">
        <v>1152</v>
      </c>
      <c r="AF1370" s="1"/>
      <c r="AG1370" s="1"/>
      <c r="AH1370" s="1" t="s">
        <v>1152</v>
      </c>
      <c r="AI1370" s="1"/>
      <c r="AJ1370" s="1"/>
      <c r="AK1370" s="1" t="s">
        <v>1152</v>
      </c>
      <c r="AL1370" s="6" t="str">
        <f t="array" ref="AL1370">IFERROR(IFS(XLOOKUP(B1370, 'Kit Delivery Status'!$U:$U, 'Kit Delivery Status'!$K:$K) = "Complete", "DELIVERED", XLOOKUP(B1370, 'Kit Delivery Status'!$U:$U, 'Kit Delivery Status'!$K:$K) = "Issue", "ISSUE"), "")</f>
        <v/>
      </c>
      <c r="AM1370" s="6"/>
    </row>
    <row r="1371">
      <c r="A1371" s="5" t="s">
        <v>7054</v>
      </c>
      <c r="B1371" s="1" t="s">
        <v>7055</v>
      </c>
      <c r="C1371" s="1" t="s">
        <v>7056</v>
      </c>
      <c r="D1371" s="2">
        <v>2.023165522E9</v>
      </c>
      <c r="E1371" s="1" t="s">
        <v>7057</v>
      </c>
      <c r="F1371" s="1" t="s">
        <v>7058</v>
      </c>
      <c r="G1371" s="1" t="s">
        <v>7059</v>
      </c>
      <c r="H1371" s="1" t="s">
        <v>1005</v>
      </c>
      <c r="I1371" s="1">
        <v>20882.0</v>
      </c>
      <c r="J1371" s="1" t="s">
        <v>752</v>
      </c>
      <c r="K1371" s="1" t="s">
        <v>51</v>
      </c>
      <c r="L1371" s="1" t="s">
        <v>5722</v>
      </c>
      <c r="M1371" s="1">
        <v>1.0</v>
      </c>
      <c r="N1371" s="1" t="s">
        <v>2487</v>
      </c>
      <c r="O1371" s="3"/>
      <c r="P1371" s="18">
        <v>45887.0</v>
      </c>
      <c r="Q1371" s="1" t="s">
        <v>1103</v>
      </c>
      <c r="R1371" s="1" t="s">
        <v>7058</v>
      </c>
      <c r="S1371" s="1" t="s">
        <v>124</v>
      </c>
      <c r="T1371" s="1" t="s">
        <v>2487</v>
      </c>
      <c r="U1371" s="1"/>
      <c r="V1371" s="4"/>
      <c r="W1371" s="1" t="s">
        <v>7058</v>
      </c>
      <c r="X1371" s="18">
        <v>45887.0</v>
      </c>
      <c r="Y1371" s="1" t="s">
        <v>1103</v>
      </c>
      <c r="Z1371" s="1"/>
      <c r="AA1371" s="1" t="s">
        <v>7058</v>
      </c>
      <c r="AB1371" s="1" t="s">
        <v>124</v>
      </c>
      <c r="AC1371" s="1" t="s">
        <v>1925</v>
      </c>
      <c r="AD1371" s="1"/>
      <c r="AE1371" s="1" t="s">
        <v>1152</v>
      </c>
      <c r="AF1371" s="1"/>
      <c r="AG1371" s="1"/>
      <c r="AH1371" s="1" t="s">
        <v>1152</v>
      </c>
      <c r="AI1371" s="1"/>
      <c r="AJ1371" s="1" t="s">
        <v>7057</v>
      </c>
      <c r="AK1371" s="1" t="s">
        <v>1152</v>
      </c>
      <c r="AL1371" s="6" t="str">
        <f t="array" ref="AL1371">IFERROR(IFS(XLOOKUP(B1371, 'Kit Delivery Status'!$U:$U, 'Kit Delivery Status'!$K:$K) = "Complete", "DELIVERED", XLOOKUP(B1371, 'Kit Delivery Status'!$U:$U, 'Kit Delivery Status'!$K:$K) = "Issue", "ISSUE"), "")</f>
        <v/>
      </c>
      <c r="AM1371" s="6"/>
    </row>
    <row r="1372">
      <c r="A1372" s="5" t="s">
        <v>7060</v>
      </c>
      <c r="B1372" s="1" t="s">
        <v>7061</v>
      </c>
      <c r="C1372" s="1"/>
      <c r="D1372" s="2">
        <v>7.744070219E9</v>
      </c>
      <c r="E1372" s="1" t="s">
        <v>7062</v>
      </c>
      <c r="F1372" s="1"/>
      <c r="G1372" s="1" t="s">
        <v>4026</v>
      </c>
      <c r="H1372" s="1" t="s">
        <v>1121</v>
      </c>
      <c r="I1372" s="1">
        <v>2132.0</v>
      </c>
      <c r="J1372" s="1" t="s">
        <v>752</v>
      </c>
      <c r="K1372" s="1" t="s">
        <v>66</v>
      </c>
      <c r="L1372" s="1" t="s">
        <v>5767</v>
      </c>
      <c r="M1372" s="1">
        <v>210.0</v>
      </c>
      <c r="N1372" s="1" t="s">
        <v>1152</v>
      </c>
      <c r="O1372" s="3" t="s">
        <v>5693</v>
      </c>
      <c r="P1372" s="18">
        <v>45883.0</v>
      </c>
      <c r="Q1372" s="1"/>
      <c r="R1372" s="1"/>
      <c r="S1372" s="1"/>
      <c r="T1372" s="1" t="s">
        <v>1152</v>
      </c>
      <c r="U1372" s="1" t="s">
        <v>1376</v>
      </c>
      <c r="V1372" s="4" t="s">
        <v>5693</v>
      </c>
      <c r="W1372" s="1"/>
      <c r="X1372" s="18">
        <v>45883.0</v>
      </c>
      <c r="Y1372" s="1"/>
      <c r="Z1372" s="1"/>
      <c r="AA1372" s="1"/>
      <c r="AB1372" s="1"/>
      <c r="AC1372" s="1" t="s">
        <v>1925</v>
      </c>
      <c r="AD1372" s="1"/>
      <c r="AE1372" s="1" t="s">
        <v>1152</v>
      </c>
      <c r="AF1372" s="1"/>
      <c r="AG1372" s="1"/>
      <c r="AH1372" s="1" t="s">
        <v>1152</v>
      </c>
      <c r="AI1372" s="1"/>
      <c r="AJ1372" s="1" t="s">
        <v>7062</v>
      </c>
      <c r="AK1372" s="1" t="s">
        <v>1152</v>
      </c>
      <c r="AL1372" s="6" t="str">
        <f t="array" ref="AL1372">IFERROR(IFS(XLOOKUP(B1372, 'Kit Delivery Status'!$U:$U, 'Kit Delivery Status'!$K:$K) = "Complete", "DELIVERED", XLOOKUP(B1372, 'Kit Delivery Status'!$U:$U, 'Kit Delivery Status'!$K:$K) = "Issue", "ISSUE"), "")</f>
        <v/>
      </c>
      <c r="AM1372" s="6"/>
    </row>
    <row r="1373">
      <c r="A1373" s="5" t="s">
        <v>7063</v>
      </c>
      <c r="B1373" s="1" t="s">
        <v>7064</v>
      </c>
      <c r="C1373" s="1" t="s">
        <v>7065</v>
      </c>
      <c r="D1373" s="2">
        <v>6.197401313E9</v>
      </c>
      <c r="E1373" s="1" t="s">
        <v>7066</v>
      </c>
      <c r="F1373" s="1"/>
      <c r="G1373" s="1" t="s">
        <v>2417</v>
      </c>
      <c r="H1373" s="1" t="s">
        <v>989</v>
      </c>
      <c r="I1373" s="1">
        <v>92110.0</v>
      </c>
      <c r="J1373" s="1" t="s">
        <v>752</v>
      </c>
      <c r="K1373" s="1" t="s">
        <v>66</v>
      </c>
      <c r="L1373" s="1" t="s">
        <v>5811</v>
      </c>
      <c r="M1373" s="1">
        <v>145.0</v>
      </c>
      <c r="N1373" s="1" t="s">
        <v>1152</v>
      </c>
      <c r="O1373" s="3" t="s">
        <v>6554</v>
      </c>
      <c r="P1373" s="18">
        <v>45887.0</v>
      </c>
      <c r="Q1373" s="1"/>
      <c r="R1373" s="1"/>
      <c r="S1373" s="1"/>
      <c r="T1373" s="1" t="s">
        <v>1152</v>
      </c>
      <c r="U1373" s="1" t="s">
        <v>1324</v>
      </c>
      <c r="V1373" s="4" t="s">
        <v>6554</v>
      </c>
      <c r="W1373" s="1"/>
      <c r="X1373" s="18">
        <v>45887.0</v>
      </c>
      <c r="Y1373" s="1"/>
      <c r="Z1373" s="1"/>
      <c r="AA1373" s="1"/>
      <c r="AB1373" s="1"/>
      <c r="AC1373" s="1" t="s">
        <v>1925</v>
      </c>
      <c r="AD1373" s="1"/>
      <c r="AE1373" s="1" t="s">
        <v>1152</v>
      </c>
      <c r="AF1373" s="1"/>
      <c r="AG1373" s="1"/>
      <c r="AH1373" s="1" t="s">
        <v>1152</v>
      </c>
      <c r="AI1373" s="1"/>
      <c r="AJ1373" s="1" t="s">
        <v>7066</v>
      </c>
      <c r="AK1373" s="1" t="s">
        <v>1152</v>
      </c>
      <c r="AL1373" s="6" t="str">
        <f t="array" ref="AL1373">IFERROR(IFS(XLOOKUP(B1373, 'Kit Delivery Status'!$U:$U, 'Kit Delivery Status'!$K:$K) = "Complete", "DELIVERED", XLOOKUP(B1373, 'Kit Delivery Status'!$U:$U, 'Kit Delivery Status'!$K:$K) = "Issue", "ISSUE"), "")</f>
        <v/>
      </c>
      <c r="AM1373" s="6"/>
    </row>
    <row r="1374">
      <c r="A1374" s="5" t="s">
        <v>7067</v>
      </c>
      <c r="B1374" s="1" t="s">
        <v>7068</v>
      </c>
      <c r="C1374" s="1" t="s">
        <v>7069</v>
      </c>
      <c r="D1374" s="2">
        <v>8.16872419E9</v>
      </c>
      <c r="E1374" s="1" t="s">
        <v>7070</v>
      </c>
      <c r="F1374" s="1"/>
      <c r="G1374" s="1" t="s">
        <v>7071</v>
      </c>
      <c r="H1374" s="1" t="s">
        <v>7072</v>
      </c>
      <c r="I1374" s="1">
        <v>68131.0</v>
      </c>
      <c r="J1374" s="1" t="s">
        <v>752</v>
      </c>
      <c r="K1374" s="1" t="s">
        <v>66</v>
      </c>
      <c r="L1374" s="1" t="s">
        <v>5811</v>
      </c>
      <c r="M1374" s="1">
        <v>145.0</v>
      </c>
      <c r="N1374" s="1" t="s">
        <v>1152</v>
      </c>
      <c r="O1374" s="3" t="s">
        <v>964</v>
      </c>
      <c r="P1374" s="18">
        <v>45887.0</v>
      </c>
      <c r="Q1374" s="1"/>
      <c r="R1374" s="1"/>
      <c r="S1374" s="1"/>
      <c r="T1374" s="1" t="s">
        <v>1152</v>
      </c>
      <c r="U1374" s="1" t="s">
        <v>1749</v>
      </c>
      <c r="V1374" s="4" t="s">
        <v>964</v>
      </c>
      <c r="W1374" s="1"/>
      <c r="X1374" s="18">
        <v>45887.0</v>
      </c>
      <c r="Y1374" s="1"/>
      <c r="Z1374" s="1"/>
      <c r="AA1374" s="1"/>
      <c r="AB1374" s="1"/>
      <c r="AC1374" s="1" t="s">
        <v>1925</v>
      </c>
      <c r="AD1374" s="1"/>
      <c r="AE1374" s="1" t="s">
        <v>1152</v>
      </c>
      <c r="AF1374" s="1"/>
      <c r="AG1374" s="1"/>
      <c r="AH1374" s="1" t="s">
        <v>1152</v>
      </c>
      <c r="AI1374" s="1"/>
      <c r="AJ1374" s="1" t="s">
        <v>7073</v>
      </c>
      <c r="AK1374" s="1" t="s">
        <v>1152</v>
      </c>
      <c r="AL1374" s="6" t="str">
        <f t="array" ref="AL1374">IFERROR(IFS(XLOOKUP(B1374, 'Kit Delivery Status'!$U:$U, 'Kit Delivery Status'!$K:$K) = "Complete", "DELIVERED", XLOOKUP(B1374, 'Kit Delivery Status'!$U:$U, 'Kit Delivery Status'!$K:$K) = "Issue", "ISSUE"), "")</f>
        <v/>
      </c>
      <c r="AM1374" s="6"/>
    </row>
    <row r="1375">
      <c r="A1375" s="5" t="s">
        <v>7074</v>
      </c>
      <c r="B1375" s="1" t="s">
        <v>7075</v>
      </c>
      <c r="C1375" s="1" t="s">
        <v>7076</v>
      </c>
      <c r="D1375" s="2">
        <v>5.027026505E9</v>
      </c>
      <c r="E1375" s="1" t="s">
        <v>7077</v>
      </c>
      <c r="F1375" s="1"/>
      <c r="G1375" s="1" t="s">
        <v>1283</v>
      </c>
      <c r="H1375" s="1" t="s">
        <v>1155</v>
      </c>
      <c r="I1375" s="1">
        <v>63105.0</v>
      </c>
      <c r="J1375" s="1" t="s">
        <v>752</v>
      </c>
      <c r="K1375" s="1" t="s">
        <v>66</v>
      </c>
      <c r="L1375" s="1" t="s">
        <v>5736</v>
      </c>
      <c r="M1375" s="1">
        <v>115.0</v>
      </c>
      <c r="N1375" s="1" t="s">
        <v>1152</v>
      </c>
      <c r="O1375" s="3" t="s">
        <v>3954</v>
      </c>
      <c r="P1375" s="18">
        <v>45887.0</v>
      </c>
      <c r="Q1375" s="1"/>
      <c r="R1375" s="1"/>
      <c r="S1375" s="1"/>
      <c r="T1375" s="1" t="s">
        <v>1152</v>
      </c>
      <c r="U1375" s="1" t="s">
        <v>1537</v>
      </c>
      <c r="V1375" s="4" t="s">
        <v>3954</v>
      </c>
      <c r="W1375" s="1"/>
      <c r="X1375" s="18">
        <v>45887.0</v>
      </c>
      <c r="Y1375" s="1"/>
      <c r="Z1375" s="1"/>
      <c r="AA1375" s="1"/>
      <c r="AB1375" s="1"/>
      <c r="AC1375" s="1" t="s">
        <v>1925</v>
      </c>
      <c r="AD1375" s="1"/>
      <c r="AE1375" s="1" t="s">
        <v>1152</v>
      </c>
      <c r="AF1375" s="1"/>
      <c r="AG1375" s="1"/>
      <c r="AH1375" s="1" t="s">
        <v>1152</v>
      </c>
      <c r="AI1375" s="1"/>
      <c r="AJ1375" s="1" t="s">
        <v>7077</v>
      </c>
      <c r="AK1375" s="1" t="s">
        <v>1152</v>
      </c>
      <c r="AL1375" s="6" t="str">
        <f t="array" ref="AL1375">IFERROR(IFS(XLOOKUP(B1375, 'Kit Delivery Status'!$U:$U, 'Kit Delivery Status'!$K:$K) = "Complete", "DELIVERED", XLOOKUP(B1375, 'Kit Delivery Status'!$U:$U, 'Kit Delivery Status'!$K:$K) = "Issue", "ISSUE"), "")</f>
        <v/>
      </c>
      <c r="AM1375" s="6"/>
    </row>
    <row r="1376">
      <c r="A1376" s="5" t="s">
        <v>7078</v>
      </c>
      <c r="B1376" s="1" t="s">
        <v>7079</v>
      </c>
      <c r="C1376" s="1" t="s">
        <v>2268</v>
      </c>
      <c r="D1376" s="2">
        <v>6.186411334E9</v>
      </c>
      <c r="E1376" s="1" t="s">
        <v>3980</v>
      </c>
      <c r="F1376" s="1"/>
      <c r="G1376" s="1" t="s">
        <v>1283</v>
      </c>
      <c r="H1376" s="1" t="s">
        <v>1155</v>
      </c>
      <c r="I1376" s="1">
        <v>63143.0</v>
      </c>
      <c r="J1376" s="1" t="s">
        <v>752</v>
      </c>
      <c r="K1376" s="1" t="s">
        <v>2577</v>
      </c>
      <c r="L1376" s="1" t="s">
        <v>5882</v>
      </c>
      <c r="M1376" s="1">
        <v>1.0</v>
      </c>
      <c r="N1376" s="1" t="s">
        <v>2579</v>
      </c>
      <c r="O1376" s="3" t="s">
        <v>258</v>
      </c>
      <c r="P1376" s="18">
        <v>45881.0</v>
      </c>
      <c r="Q1376" s="1" t="s">
        <v>7080</v>
      </c>
      <c r="R1376" s="1"/>
      <c r="S1376" s="1"/>
      <c r="T1376" s="1" t="s">
        <v>2579</v>
      </c>
      <c r="U1376" s="1" t="s">
        <v>4637</v>
      </c>
      <c r="V1376" s="4" t="s">
        <v>258</v>
      </c>
      <c r="W1376" s="1"/>
      <c r="X1376" s="18">
        <v>45881.0</v>
      </c>
      <c r="Y1376" s="1" t="s">
        <v>7080</v>
      </c>
      <c r="Z1376" s="1"/>
      <c r="AA1376" s="1"/>
      <c r="AB1376" s="1"/>
      <c r="AC1376" s="1" t="s">
        <v>1925</v>
      </c>
      <c r="AD1376" s="1"/>
      <c r="AE1376" s="1" t="s">
        <v>1152</v>
      </c>
      <c r="AF1376" s="1"/>
      <c r="AG1376" s="1"/>
      <c r="AH1376" s="1" t="s">
        <v>1152</v>
      </c>
      <c r="AI1376" s="1" t="s">
        <v>7081</v>
      </c>
      <c r="AJ1376" s="1"/>
      <c r="AK1376" s="1" t="s">
        <v>5886</v>
      </c>
      <c r="AL1376" s="6" t="str">
        <f t="array" ref="AL1376">IFERROR(IFS(XLOOKUP(B1376, 'Kit Delivery Status'!$U:$U, 'Kit Delivery Status'!$K:$K) = "Complete", "DELIVERED", XLOOKUP(B1376, 'Kit Delivery Status'!$U:$U, 'Kit Delivery Status'!$K:$K) = "Issue", "ISSUE"), "")</f>
        <v/>
      </c>
      <c r="AM1376" s="6"/>
    </row>
    <row r="1377">
      <c r="A1377" s="5" t="s">
        <v>7082</v>
      </c>
      <c r="B1377" s="1" t="s">
        <v>7083</v>
      </c>
      <c r="C1377" s="1" t="s">
        <v>7084</v>
      </c>
      <c r="D1377" s="2">
        <v>3.142035485E9</v>
      </c>
      <c r="E1377" s="1" t="s">
        <v>7085</v>
      </c>
      <c r="F1377" s="1"/>
      <c r="G1377" s="1" t="s">
        <v>7086</v>
      </c>
      <c r="H1377" s="1" t="s">
        <v>989</v>
      </c>
      <c r="I1377" s="1">
        <v>94515.0</v>
      </c>
      <c r="J1377" s="1" t="s">
        <v>752</v>
      </c>
      <c r="K1377" s="1" t="s">
        <v>51</v>
      </c>
      <c r="L1377" s="1" t="s">
        <v>5722</v>
      </c>
      <c r="M1377" s="1">
        <v>1.0</v>
      </c>
      <c r="N1377" s="1" t="s">
        <v>2461</v>
      </c>
      <c r="O1377" s="3" t="s">
        <v>7087</v>
      </c>
      <c r="P1377" s="18">
        <v>45889.0</v>
      </c>
      <c r="Q1377" s="1" t="s">
        <v>1030</v>
      </c>
      <c r="R1377" s="1"/>
      <c r="S1377" s="1" t="s">
        <v>52</v>
      </c>
      <c r="T1377" s="1" t="s">
        <v>2461</v>
      </c>
      <c r="U1377" s="1" t="s">
        <v>7088</v>
      </c>
      <c r="V1377" s="4" t="s">
        <v>7087</v>
      </c>
      <c r="W1377" s="1"/>
      <c r="X1377" s="18">
        <v>45889.0</v>
      </c>
      <c r="Y1377" s="1" t="s">
        <v>1030</v>
      </c>
      <c r="Z1377" s="1"/>
      <c r="AA1377" s="1"/>
      <c r="AB1377" s="1" t="s">
        <v>52</v>
      </c>
      <c r="AC1377" s="1" t="s">
        <v>1925</v>
      </c>
      <c r="AD1377" s="1"/>
      <c r="AE1377" s="1" t="s">
        <v>1152</v>
      </c>
      <c r="AF1377" s="1"/>
      <c r="AG1377" s="1"/>
      <c r="AH1377" s="1" t="s">
        <v>1152</v>
      </c>
      <c r="AI1377" s="1"/>
      <c r="AJ1377" s="1" t="s">
        <v>7085</v>
      </c>
      <c r="AK1377" s="1" t="s">
        <v>1152</v>
      </c>
      <c r="AL1377" s="6" t="str">
        <f t="array" ref="AL1377">IFERROR(IFS(XLOOKUP(B1377, 'Kit Delivery Status'!$U:$U, 'Kit Delivery Status'!$K:$K) = "Complete", "DELIVERED", XLOOKUP(B1377, 'Kit Delivery Status'!$U:$U, 'Kit Delivery Status'!$K:$K) = "Issue", "ISSUE"), "")</f>
        <v/>
      </c>
      <c r="AM1377" s="6"/>
    </row>
    <row r="1378">
      <c r="A1378" s="5" t="s">
        <v>7089</v>
      </c>
      <c r="B1378" s="1" t="s">
        <v>7090</v>
      </c>
      <c r="C1378" s="1"/>
      <c r="D1378" s="2">
        <v>8.083695904E9</v>
      </c>
      <c r="E1378" s="1" t="s">
        <v>7091</v>
      </c>
      <c r="F1378" s="1"/>
      <c r="G1378" s="1" t="s">
        <v>2485</v>
      </c>
      <c r="H1378" s="1" t="s">
        <v>2486</v>
      </c>
      <c r="I1378" s="1">
        <v>96816.0</v>
      </c>
      <c r="J1378" s="1" t="s">
        <v>752</v>
      </c>
      <c r="K1378" s="1" t="s">
        <v>66</v>
      </c>
      <c r="L1378" s="1" t="s">
        <v>5811</v>
      </c>
      <c r="M1378" s="1">
        <v>145.0</v>
      </c>
      <c r="N1378" s="1" t="s">
        <v>1152</v>
      </c>
      <c r="O1378" s="3" t="s">
        <v>2798</v>
      </c>
      <c r="P1378" s="18">
        <v>45887.0</v>
      </c>
      <c r="Q1378" s="1"/>
      <c r="R1378" s="1"/>
      <c r="S1378" s="1"/>
      <c r="T1378" s="1" t="s">
        <v>1152</v>
      </c>
      <c r="U1378" s="1" t="s">
        <v>6053</v>
      </c>
      <c r="V1378" s="4" t="s">
        <v>2798</v>
      </c>
      <c r="W1378" s="1"/>
      <c r="X1378" s="18">
        <v>45887.0</v>
      </c>
      <c r="Y1378" s="1"/>
      <c r="Z1378" s="1"/>
      <c r="AA1378" s="1"/>
      <c r="AB1378" s="1"/>
      <c r="AC1378" s="1" t="s">
        <v>1925</v>
      </c>
      <c r="AD1378" s="1"/>
      <c r="AE1378" s="1" t="s">
        <v>1152</v>
      </c>
      <c r="AF1378" s="1"/>
      <c r="AG1378" s="1"/>
      <c r="AH1378" s="1" t="s">
        <v>1152</v>
      </c>
      <c r="AI1378" s="1"/>
      <c r="AJ1378" s="1" t="s">
        <v>7092</v>
      </c>
      <c r="AK1378" s="1" t="s">
        <v>1152</v>
      </c>
      <c r="AL1378" s="6" t="str">
        <f t="array" ref="AL1378">IFERROR(IFS(XLOOKUP(B1378, 'Kit Delivery Status'!$U:$U, 'Kit Delivery Status'!$K:$K) = "Complete", "DELIVERED", XLOOKUP(B1378, 'Kit Delivery Status'!$U:$U, 'Kit Delivery Status'!$K:$K) = "Issue", "ISSUE"), "")</f>
        <v/>
      </c>
      <c r="AM1378" s="6"/>
    </row>
    <row r="1379">
      <c r="A1379" s="5" t="s">
        <v>7093</v>
      </c>
      <c r="B1379" s="1" t="s">
        <v>7094</v>
      </c>
      <c r="C1379" s="1" t="s">
        <v>7095</v>
      </c>
      <c r="D1379" s="2">
        <v>6.123253362E9</v>
      </c>
      <c r="E1379" s="1" t="s">
        <v>7096</v>
      </c>
      <c r="F1379" s="1"/>
      <c r="G1379" s="1" t="s">
        <v>2350</v>
      </c>
      <c r="H1379" s="1" t="s">
        <v>1155</v>
      </c>
      <c r="I1379" s="1">
        <v>63130.0</v>
      </c>
      <c r="J1379" s="1" t="s">
        <v>752</v>
      </c>
      <c r="K1379" s="1" t="s">
        <v>66</v>
      </c>
      <c r="L1379" s="1" t="s">
        <v>5833</v>
      </c>
      <c r="M1379" s="1">
        <v>65.0</v>
      </c>
      <c r="N1379" s="1" t="s">
        <v>1152</v>
      </c>
      <c r="O1379" s="3" t="s">
        <v>2442</v>
      </c>
      <c r="P1379" s="18">
        <v>45887.0</v>
      </c>
      <c r="Q1379" s="1"/>
      <c r="R1379" s="1"/>
      <c r="S1379" s="1"/>
      <c r="T1379" s="1" t="s">
        <v>1152</v>
      </c>
      <c r="U1379" s="1" t="s">
        <v>956</v>
      </c>
      <c r="V1379" s="4" t="s">
        <v>2442</v>
      </c>
      <c r="W1379" s="1"/>
      <c r="X1379" s="18">
        <v>45887.0</v>
      </c>
      <c r="Y1379" s="1"/>
      <c r="Z1379" s="1"/>
      <c r="AA1379" s="1"/>
      <c r="AB1379" s="1"/>
      <c r="AC1379" s="1" t="s">
        <v>1925</v>
      </c>
      <c r="AD1379" s="1"/>
      <c r="AE1379" s="1" t="s">
        <v>1152</v>
      </c>
      <c r="AF1379" s="1"/>
      <c r="AG1379" s="1"/>
      <c r="AH1379" s="1" t="s">
        <v>1152</v>
      </c>
      <c r="AI1379" s="1"/>
      <c r="AJ1379" s="1" t="s">
        <v>7096</v>
      </c>
      <c r="AK1379" s="1" t="s">
        <v>1152</v>
      </c>
      <c r="AL1379" s="6" t="str">
        <f t="array" ref="AL1379">IFERROR(IFS(XLOOKUP(B1379, 'Kit Delivery Status'!$U:$U, 'Kit Delivery Status'!$K:$K) = "Complete", "DELIVERED", XLOOKUP(B1379, 'Kit Delivery Status'!$U:$U, 'Kit Delivery Status'!$K:$K) = "Issue", "ISSUE"), "")</f>
        <v/>
      </c>
      <c r="AM1379" s="6"/>
    </row>
    <row r="1380">
      <c r="A1380" s="5" t="s">
        <v>7097</v>
      </c>
      <c r="B1380" s="1" t="s">
        <v>7098</v>
      </c>
      <c r="C1380" s="1" t="s">
        <v>7099</v>
      </c>
      <c r="D1380" s="2">
        <v>9.179915326E9</v>
      </c>
      <c r="E1380" s="1" t="s">
        <v>6258</v>
      </c>
      <c r="F1380" s="1"/>
      <c r="G1380" s="1" t="s">
        <v>751</v>
      </c>
      <c r="H1380" s="1" t="s">
        <v>751</v>
      </c>
      <c r="I1380" s="1">
        <v>10024.0</v>
      </c>
      <c r="J1380" s="1" t="s">
        <v>752</v>
      </c>
      <c r="K1380" s="1" t="s">
        <v>66</v>
      </c>
      <c r="L1380" s="1" t="s">
        <v>5811</v>
      </c>
      <c r="M1380" s="1">
        <v>145.0</v>
      </c>
      <c r="N1380" s="1" t="s">
        <v>1152</v>
      </c>
      <c r="O1380" s="3" t="s">
        <v>5521</v>
      </c>
      <c r="P1380" s="18">
        <v>45890.0</v>
      </c>
      <c r="Q1380" s="1"/>
      <c r="R1380" s="1"/>
      <c r="S1380" s="1"/>
      <c r="T1380" s="1" t="s">
        <v>1152</v>
      </c>
      <c r="U1380" s="1" t="s">
        <v>1812</v>
      </c>
      <c r="V1380" s="4" t="s">
        <v>5521</v>
      </c>
      <c r="W1380" s="1"/>
      <c r="X1380" s="18">
        <v>45890.0</v>
      </c>
      <c r="Y1380" s="1"/>
      <c r="Z1380" s="1"/>
      <c r="AA1380" s="1"/>
      <c r="AB1380" s="1"/>
      <c r="AC1380" s="1" t="s">
        <v>1925</v>
      </c>
      <c r="AD1380" s="1"/>
      <c r="AE1380" s="1" t="s">
        <v>1152</v>
      </c>
      <c r="AF1380" s="1"/>
      <c r="AG1380" s="1"/>
      <c r="AH1380" s="1" t="s">
        <v>1152</v>
      </c>
      <c r="AI1380" s="1"/>
      <c r="AJ1380" s="1" t="s">
        <v>6258</v>
      </c>
      <c r="AK1380" s="1" t="s">
        <v>1152</v>
      </c>
      <c r="AL1380" s="6" t="str">
        <f t="array" ref="AL1380">IFERROR(IFS(XLOOKUP(B1380, 'Kit Delivery Status'!$U:$U, 'Kit Delivery Status'!$K:$K) = "Complete", "DELIVERED", XLOOKUP(B1380, 'Kit Delivery Status'!$U:$U, 'Kit Delivery Status'!$K:$K) = "Issue", "ISSUE"), "")</f>
        <v/>
      </c>
      <c r="AM1380" s="6"/>
    </row>
    <row r="1381">
      <c r="A1381" s="5" t="s">
        <v>7100</v>
      </c>
      <c r="B1381" s="1" t="s">
        <v>7101</v>
      </c>
      <c r="C1381" s="1" t="s">
        <v>7102</v>
      </c>
      <c r="D1381" s="2">
        <v>9.144797851E9</v>
      </c>
      <c r="E1381" s="1" t="s">
        <v>7103</v>
      </c>
      <c r="F1381" s="1"/>
      <c r="G1381" s="1" t="s">
        <v>751</v>
      </c>
      <c r="H1381" s="1" t="s">
        <v>751</v>
      </c>
      <c r="I1381" s="1">
        <v>10010.0</v>
      </c>
      <c r="J1381" s="1" t="s">
        <v>752</v>
      </c>
      <c r="K1381" s="1" t="s">
        <v>66</v>
      </c>
      <c r="L1381" s="1" t="s">
        <v>5736</v>
      </c>
      <c r="M1381" s="1">
        <v>115.0</v>
      </c>
      <c r="N1381" s="1" t="s">
        <v>1152</v>
      </c>
      <c r="O1381" s="3" t="s">
        <v>1185</v>
      </c>
      <c r="P1381" s="18">
        <v>45887.0</v>
      </c>
      <c r="Q1381" s="1"/>
      <c r="R1381" s="1"/>
      <c r="S1381" s="1"/>
      <c r="T1381" s="1" t="s">
        <v>1152</v>
      </c>
      <c r="U1381" s="1" t="s">
        <v>1749</v>
      </c>
      <c r="V1381" s="4" t="s">
        <v>1185</v>
      </c>
      <c r="W1381" s="1"/>
      <c r="X1381" s="18">
        <v>45887.0</v>
      </c>
      <c r="Y1381" s="1"/>
      <c r="Z1381" s="1"/>
      <c r="AA1381" s="1"/>
      <c r="AB1381" s="1"/>
      <c r="AC1381" s="1" t="s">
        <v>1925</v>
      </c>
      <c r="AD1381" s="1"/>
      <c r="AE1381" s="1" t="s">
        <v>1152</v>
      </c>
      <c r="AF1381" s="1"/>
      <c r="AG1381" s="1"/>
      <c r="AH1381" s="1" t="s">
        <v>1152</v>
      </c>
      <c r="AI1381" s="1"/>
      <c r="AJ1381" s="1" t="s">
        <v>7104</v>
      </c>
      <c r="AK1381" s="1" t="s">
        <v>1152</v>
      </c>
      <c r="AL1381" s="6" t="str">
        <f t="array" ref="AL1381">IFERROR(IFS(XLOOKUP(B1381, 'Kit Delivery Status'!$U:$U, 'Kit Delivery Status'!$K:$K) = "Complete", "DELIVERED", XLOOKUP(B1381, 'Kit Delivery Status'!$U:$U, 'Kit Delivery Status'!$K:$K) = "Issue", "ISSUE"), "")</f>
        <v/>
      </c>
      <c r="AM1381" s="6"/>
    </row>
    <row r="1382">
      <c r="A1382" s="5" t="s">
        <v>7105</v>
      </c>
      <c r="B1382" s="1" t="s">
        <v>7106</v>
      </c>
      <c r="C1382" s="1" t="s">
        <v>2395</v>
      </c>
      <c r="D1382" s="2">
        <v>7.144828812E9</v>
      </c>
      <c r="E1382" s="1" t="s">
        <v>2396</v>
      </c>
      <c r="F1382" s="1"/>
      <c r="G1382" s="1" t="s">
        <v>2397</v>
      </c>
      <c r="H1382" s="1" t="s">
        <v>989</v>
      </c>
      <c r="I1382" s="1">
        <v>92821.0</v>
      </c>
      <c r="J1382" s="1" t="s">
        <v>752</v>
      </c>
      <c r="K1382" s="1" t="s">
        <v>66</v>
      </c>
      <c r="L1382" s="1" t="s">
        <v>6107</v>
      </c>
      <c r="M1382" s="1">
        <v>180.0</v>
      </c>
      <c r="N1382" s="1" t="s">
        <v>1152</v>
      </c>
      <c r="O1382" s="3" t="s">
        <v>742</v>
      </c>
      <c r="P1382" s="18">
        <v>45892.0</v>
      </c>
      <c r="Q1382" s="1"/>
      <c r="R1382" s="1"/>
      <c r="S1382" s="1"/>
      <c r="T1382" s="1" t="s">
        <v>1152</v>
      </c>
      <c r="U1382" s="1" t="s">
        <v>1407</v>
      </c>
      <c r="V1382" s="4" t="s">
        <v>742</v>
      </c>
      <c r="W1382" s="1"/>
      <c r="X1382" s="18">
        <v>45892.0</v>
      </c>
      <c r="Y1382" s="1"/>
      <c r="Z1382" s="1"/>
      <c r="AA1382" s="1"/>
      <c r="AB1382" s="1"/>
      <c r="AC1382" s="1" t="s">
        <v>1925</v>
      </c>
      <c r="AD1382" s="1"/>
      <c r="AE1382" s="1" t="s">
        <v>1152</v>
      </c>
      <c r="AF1382" s="1"/>
      <c r="AG1382" s="1"/>
      <c r="AH1382" s="1" t="s">
        <v>1152</v>
      </c>
      <c r="AI1382" s="1"/>
      <c r="AJ1382" s="1" t="s">
        <v>2396</v>
      </c>
      <c r="AK1382" s="1" t="s">
        <v>1152</v>
      </c>
      <c r="AL1382" s="6" t="str">
        <f t="array" ref="AL1382">IFERROR(IFS(XLOOKUP(B1382, 'Kit Delivery Status'!$U:$U, 'Kit Delivery Status'!$K:$K) = "Complete", "DELIVERED", XLOOKUP(B1382, 'Kit Delivery Status'!$U:$U, 'Kit Delivery Status'!$K:$K) = "Issue", "ISSUE"), "")</f>
        <v/>
      </c>
      <c r="AM1382" s="6"/>
    </row>
    <row r="1383">
      <c r="A1383" s="5" t="s">
        <v>7107</v>
      </c>
      <c r="B1383" s="1" t="s">
        <v>7108</v>
      </c>
      <c r="C1383" s="1" t="s">
        <v>7109</v>
      </c>
      <c r="D1383" s="2">
        <v>12063761685</v>
      </c>
      <c r="E1383" s="1" t="s">
        <v>7110</v>
      </c>
      <c r="F1383" s="1" t="s">
        <v>7111</v>
      </c>
      <c r="G1383" s="1" t="s">
        <v>1848</v>
      </c>
      <c r="H1383" s="1" t="s">
        <v>980</v>
      </c>
      <c r="I1383" s="1">
        <v>98116.0</v>
      </c>
      <c r="J1383" s="1" t="s">
        <v>752</v>
      </c>
      <c r="K1383" s="1" t="s">
        <v>51</v>
      </c>
      <c r="L1383" s="1" t="s">
        <v>5722</v>
      </c>
      <c r="M1383" s="1">
        <v>1.0</v>
      </c>
      <c r="N1383" s="1" t="s">
        <v>2487</v>
      </c>
      <c r="O1383" s="3"/>
      <c r="P1383" s="18">
        <v>45887.0</v>
      </c>
      <c r="Q1383" s="1" t="s">
        <v>1349</v>
      </c>
      <c r="R1383" s="1" t="s">
        <v>7111</v>
      </c>
      <c r="S1383" s="1" t="s">
        <v>124</v>
      </c>
      <c r="T1383" s="1" t="s">
        <v>2487</v>
      </c>
      <c r="U1383" s="1"/>
      <c r="V1383" s="4"/>
      <c r="W1383" s="1" t="s">
        <v>7111</v>
      </c>
      <c r="X1383" s="18">
        <v>45887.0</v>
      </c>
      <c r="Y1383" s="1" t="s">
        <v>1349</v>
      </c>
      <c r="Z1383" s="1"/>
      <c r="AA1383" s="1" t="s">
        <v>7111</v>
      </c>
      <c r="AB1383" s="1" t="s">
        <v>124</v>
      </c>
      <c r="AC1383" s="1" t="s">
        <v>1925</v>
      </c>
      <c r="AD1383" s="1"/>
      <c r="AE1383" s="1" t="s">
        <v>1152</v>
      </c>
      <c r="AF1383" s="1"/>
      <c r="AG1383" s="1"/>
      <c r="AH1383" s="1" t="s">
        <v>1152</v>
      </c>
      <c r="AI1383" s="1"/>
      <c r="AJ1383" s="1" t="s">
        <v>7110</v>
      </c>
      <c r="AK1383" s="1" t="s">
        <v>1152</v>
      </c>
      <c r="AL1383" s="6" t="str">
        <f t="array" ref="AL1383">IFERROR(IFS(XLOOKUP(B1383, 'Kit Delivery Status'!$U:$U, 'Kit Delivery Status'!$K:$K) = "Complete", "DELIVERED", XLOOKUP(B1383, 'Kit Delivery Status'!$U:$U, 'Kit Delivery Status'!$K:$K) = "Issue", "ISSUE"), "")</f>
        <v/>
      </c>
      <c r="AM1383" s="6"/>
    </row>
    <row r="1384">
      <c r="A1384" s="5" t="s">
        <v>7112</v>
      </c>
      <c r="B1384" s="1" t="s">
        <v>7113</v>
      </c>
      <c r="C1384" s="1" t="s">
        <v>7114</v>
      </c>
      <c r="D1384" s="2">
        <v>2.133361008E9</v>
      </c>
      <c r="E1384" s="1" t="s">
        <v>7115</v>
      </c>
      <c r="F1384" s="1"/>
      <c r="G1384" s="1" t="s">
        <v>1179</v>
      </c>
      <c r="H1384" s="1" t="s">
        <v>989</v>
      </c>
      <c r="I1384" s="1">
        <v>91607.0</v>
      </c>
      <c r="J1384" s="1" t="s">
        <v>752</v>
      </c>
      <c r="K1384" s="1" t="s">
        <v>66</v>
      </c>
      <c r="L1384" s="1" t="s">
        <v>5811</v>
      </c>
      <c r="M1384" s="1">
        <v>145.0</v>
      </c>
      <c r="N1384" s="1" t="s">
        <v>1152</v>
      </c>
      <c r="O1384" s="3" t="s">
        <v>6283</v>
      </c>
      <c r="P1384" s="18">
        <v>45887.0</v>
      </c>
      <c r="Q1384" s="1"/>
      <c r="R1384" s="1"/>
      <c r="S1384" s="1"/>
      <c r="T1384" s="1" t="s">
        <v>1152</v>
      </c>
      <c r="U1384" s="1" t="s">
        <v>1133</v>
      </c>
      <c r="V1384" s="4" t="s">
        <v>6283</v>
      </c>
      <c r="W1384" s="1"/>
      <c r="X1384" s="18">
        <v>45887.0</v>
      </c>
      <c r="Y1384" s="1"/>
      <c r="Z1384" s="1"/>
      <c r="AA1384" s="1"/>
      <c r="AB1384" s="1"/>
      <c r="AC1384" s="1" t="s">
        <v>1925</v>
      </c>
      <c r="AD1384" s="1"/>
      <c r="AE1384" s="1" t="s">
        <v>1152</v>
      </c>
      <c r="AF1384" s="1"/>
      <c r="AG1384" s="1"/>
      <c r="AH1384" s="1" t="s">
        <v>1152</v>
      </c>
      <c r="AI1384" s="1"/>
      <c r="AJ1384" s="1" t="s">
        <v>7115</v>
      </c>
      <c r="AK1384" s="1" t="s">
        <v>1152</v>
      </c>
      <c r="AL1384" s="6" t="str">
        <f t="array" ref="AL1384">IFERROR(IFS(XLOOKUP(B1384, 'Kit Delivery Status'!$U:$U, 'Kit Delivery Status'!$K:$K) = "Complete", "DELIVERED", XLOOKUP(B1384, 'Kit Delivery Status'!$U:$U, 'Kit Delivery Status'!$K:$K) = "Issue", "ISSUE"), "")</f>
        <v/>
      </c>
      <c r="AM1384" s="6"/>
    </row>
    <row r="1385">
      <c r="A1385" s="5" t="s">
        <v>7116</v>
      </c>
      <c r="B1385" s="1" t="s">
        <v>7117</v>
      </c>
      <c r="C1385" s="1" t="s">
        <v>2268</v>
      </c>
      <c r="D1385" s="2">
        <v>6.186411334E9</v>
      </c>
      <c r="E1385" s="1" t="s">
        <v>3980</v>
      </c>
      <c r="F1385" s="1"/>
      <c r="G1385" s="1" t="s">
        <v>1283</v>
      </c>
      <c r="H1385" s="1" t="s">
        <v>1155</v>
      </c>
      <c r="I1385" s="1">
        <v>63143.0</v>
      </c>
      <c r="J1385" s="1" t="s">
        <v>752</v>
      </c>
      <c r="K1385" s="1" t="s">
        <v>2577</v>
      </c>
      <c r="L1385" s="1" t="s">
        <v>5882</v>
      </c>
      <c r="M1385" s="1">
        <v>1.0</v>
      </c>
      <c r="N1385" s="1" t="s">
        <v>2579</v>
      </c>
      <c r="O1385" s="3" t="s">
        <v>7118</v>
      </c>
      <c r="P1385" s="18">
        <v>45881.0</v>
      </c>
      <c r="Q1385" s="1" t="s">
        <v>7119</v>
      </c>
      <c r="R1385" s="1"/>
      <c r="S1385" s="1"/>
      <c r="T1385" s="1" t="s">
        <v>2579</v>
      </c>
      <c r="U1385" s="1" t="s">
        <v>2510</v>
      </c>
      <c r="V1385" s="4" t="s">
        <v>7118</v>
      </c>
      <c r="W1385" s="1"/>
      <c r="X1385" s="18">
        <v>45881.0</v>
      </c>
      <c r="Y1385" s="1" t="s">
        <v>7119</v>
      </c>
      <c r="Z1385" s="1"/>
      <c r="AA1385" s="1"/>
      <c r="AB1385" s="1"/>
      <c r="AC1385" s="1" t="s">
        <v>1925</v>
      </c>
      <c r="AD1385" s="1"/>
      <c r="AE1385" s="1" t="s">
        <v>1152</v>
      </c>
      <c r="AF1385" s="1"/>
      <c r="AG1385" s="1"/>
      <c r="AH1385" s="1" t="s">
        <v>1152</v>
      </c>
      <c r="AI1385" s="1" t="s">
        <v>7120</v>
      </c>
      <c r="AJ1385" s="1"/>
      <c r="AK1385" s="1" t="s">
        <v>5886</v>
      </c>
      <c r="AL1385" s="6" t="str">
        <f t="array" ref="AL1385">IFERROR(IFS(XLOOKUP(B1385, 'Kit Delivery Status'!$U:$U, 'Kit Delivery Status'!$K:$K) = "Complete", "DELIVERED", XLOOKUP(B1385, 'Kit Delivery Status'!$U:$U, 'Kit Delivery Status'!$K:$K) = "Issue", "ISSUE"), "")</f>
        <v/>
      </c>
      <c r="AM1385" s="6"/>
    </row>
    <row r="1386">
      <c r="A1386" s="5" t="s">
        <v>7121</v>
      </c>
      <c r="B1386" s="1" t="s">
        <v>7122</v>
      </c>
      <c r="C1386" s="1" t="s">
        <v>2268</v>
      </c>
      <c r="D1386" s="2">
        <v>6.186411334E9</v>
      </c>
      <c r="E1386" s="1" t="s">
        <v>3980</v>
      </c>
      <c r="F1386" s="1"/>
      <c r="G1386" s="1" t="s">
        <v>1283</v>
      </c>
      <c r="H1386" s="1" t="s">
        <v>1155</v>
      </c>
      <c r="I1386" s="1">
        <v>63143.0</v>
      </c>
      <c r="J1386" s="1" t="s">
        <v>752</v>
      </c>
      <c r="K1386" s="1" t="s">
        <v>2577</v>
      </c>
      <c r="L1386" s="1" t="s">
        <v>5882</v>
      </c>
      <c r="M1386" s="1">
        <v>1.0</v>
      </c>
      <c r="N1386" s="1" t="s">
        <v>2579</v>
      </c>
      <c r="O1386" s="3" t="s">
        <v>258</v>
      </c>
      <c r="P1386" s="18">
        <v>45883.0</v>
      </c>
      <c r="Q1386" s="1" t="s">
        <v>7123</v>
      </c>
      <c r="R1386" s="1"/>
      <c r="S1386" s="1"/>
      <c r="T1386" s="1" t="s">
        <v>2579</v>
      </c>
      <c r="U1386" s="1" t="s">
        <v>4637</v>
      </c>
      <c r="V1386" s="4" t="s">
        <v>258</v>
      </c>
      <c r="W1386" s="1"/>
      <c r="X1386" s="18">
        <v>45883.0</v>
      </c>
      <c r="Y1386" s="1" t="s">
        <v>7123</v>
      </c>
      <c r="Z1386" s="1"/>
      <c r="AA1386" s="1"/>
      <c r="AB1386" s="1"/>
      <c r="AC1386" s="1" t="s">
        <v>1925</v>
      </c>
      <c r="AD1386" s="1"/>
      <c r="AE1386" s="1" t="s">
        <v>1152</v>
      </c>
      <c r="AF1386" s="1"/>
      <c r="AG1386" s="1"/>
      <c r="AH1386" s="1" t="s">
        <v>1152</v>
      </c>
      <c r="AI1386" s="1" t="s">
        <v>7124</v>
      </c>
      <c r="AJ1386" s="1"/>
      <c r="AK1386" s="1" t="s">
        <v>5886</v>
      </c>
      <c r="AL1386" s="6" t="str">
        <f t="array" ref="AL1386">IFERROR(IFS(XLOOKUP(B1386, 'Kit Delivery Status'!$U:$U, 'Kit Delivery Status'!$K:$K) = "Complete", "DELIVERED", XLOOKUP(B1386, 'Kit Delivery Status'!$U:$U, 'Kit Delivery Status'!$K:$K) = "Issue", "ISSUE"), "")</f>
        <v/>
      </c>
      <c r="AM1386" s="6"/>
    </row>
    <row r="1387">
      <c r="A1387" s="5" t="s">
        <v>7125</v>
      </c>
      <c r="B1387" s="1" t="s">
        <v>7126</v>
      </c>
      <c r="C1387" s="1" t="s">
        <v>2268</v>
      </c>
      <c r="D1387" s="2">
        <v>6.186411334E9</v>
      </c>
      <c r="E1387" s="1" t="s">
        <v>3980</v>
      </c>
      <c r="F1387" s="1"/>
      <c r="G1387" s="1" t="s">
        <v>1283</v>
      </c>
      <c r="H1387" s="1" t="s">
        <v>1155</v>
      </c>
      <c r="I1387" s="1">
        <v>63143.0</v>
      </c>
      <c r="J1387" s="1" t="s">
        <v>752</v>
      </c>
      <c r="K1387" s="1" t="s">
        <v>2577</v>
      </c>
      <c r="L1387" s="1" t="s">
        <v>5882</v>
      </c>
      <c r="M1387" s="1">
        <v>1.0</v>
      </c>
      <c r="N1387" s="1" t="s">
        <v>2579</v>
      </c>
      <c r="O1387" s="3" t="s">
        <v>258</v>
      </c>
      <c r="P1387" s="18">
        <v>45884.0</v>
      </c>
      <c r="Q1387" s="1" t="s">
        <v>7127</v>
      </c>
      <c r="R1387" s="1"/>
      <c r="S1387" s="1"/>
      <c r="T1387" s="1" t="s">
        <v>2579</v>
      </c>
      <c r="U1387" s="1" t="s">
        <v>4637</v>
      </c>
      <c r="V1387" s="4" t="s">
        <v>258</v>
      </c>
      <c r="W1387" s="1"/>
      <c r="X1387" s="18">
        <v>45884.0</v>
      </c>
      <c r="Y1387" s="1" t="s">
        <v>7127</v>
      </c>
      <c r="Z1387" s="1"/>
      <c r="AA1387" s="1"/>
      <c r="AB1387" s="1"/>
      <c r="AC1387" s="1" t="s">
        <v>1925</v>
      </c>
      <c r="AD1387" s="1"/>
      <c r="AE1387" s="1" t="s">
        <v>1152</v>
      </c>
      <c r="AF1387" s="1"/>
      <c r="AG1387" s="1"/>
      <c r="AH1387" s="1" t="s">
        <v>1152</v>
      </c>
      <c r="AI1387" s="1" t="s">
        <v>7128</v>
      </c>
      <c r="AJ1387" s="1"/>
      <c r="AK1387" s="1" t="s">
        <v>5886</v>
      </c>
      <c r="AL1387" s="6" t="str">
        <f t="array" ref="AL1387">IFERROR(IFS(XLOOKUP(B1387, 'Kit Delivery Status'!$U:$U, 'Kit Delivery Status'!$K:$K) = "Complete", "DELIVERED", XLOOKUP(B1387, 'Kit Delivery Status'!$U:$U, 'Kit Delivery Status'!$K:$K) = "Issue", "ISSUE"), "")</f>
        <v/>
      </c>
      <c r="AM1387" s="6"/>
    </row>
    <row r="1388">
      <c r="A1388" s="5" t="s">
        <v>7129</v>
      </c>
      <c r="B1388" s="1" t="s">
        <v>7130</v>
      </c>
      <c r="C1388" s="1" t="s">
        <v>2268</v>
      </c>
      <c r="D1388" s="2">
        <v>6.186411334E9</v>
      </c>
      <c r="E1388" s="1" t="s">
        <v>3980</v>
      </c>
      <c r="F1388" s="1"/>
      <c r="G1388" s="1" t="s">
        <v>1283</v>
      </c>
      <c r="H1388" s="1" t="s">
        <v>1155</v>
      </c>
      <c r="I1388" s="1">
        <v>63143.0</v>
      </c>
      <c r="J1388" s="1" t="s">
        <v>752</v>
      </c>
      <c r="K1388" s="1" t="s">
        <v>2577</v>
      </c>
      <c r="L1388" s="1" t="s">
        <v>5882</v>
      </c>
      <c r="M1388" s="1">
        <v>1.0</v>
      </c>
      <c r="N1388" s="1" t="s">
        <v>2579</v>
      </c>
      <c r="O1388" s="3" t="s">
        <v>258</v>
      </c>
      <c r="P1388" s="18">
        <v>45882.0</v>
      </c>
      <c r="Q1388" s="1" t="s">
        <v>7131</v>
      </c>
      <c r="R1388" s="1"/>
      <c r="S1388" s="1"/>
      <c r="T1388" s="1" t="s">
        <v>2579</v>
      </c>
      <c r="U1388" s="1" t="s">
        <v>4637</v>
      </c>
      <c r="V1388" s="4" t="s">
        <v>258</v>
      </c>
      <c r="W1388" s="1"/>
      <c r="X1388" s="18">
        <v>45882.0</v>
      </c>
      <c r="Y1388" s="1" t="s">
        <v>7131</v>
      </c>
      <c r="Z1388" s="1"/>
      <c r="AA1388" s="1"/>
      <c r="AB1388" s="1"/>
      <c r="AC1388" s="1" t="s">
        <v>1925</v>
      </c>
      <c r="AD1388" s="1"/>
      <c r="AE1388" s="1" t="s">
        <v>1152</v>
      </c>
      <c r="AF1388" s="1"/>
      <c r="AG1388" s="1"/>
      <c r="AH1388" s="1" t="s">
        <v>1152</v>
      </c>
      <c r="AI1388" s="1" t="s">
        <v>7132</v>
      </c>
      <c r="AJ1388" s="1"/>
      <c r="AK1388" s="1" t="s">
        <v>5886</v>
      </c>
      <c r="AL1388" s="6" t="str">
        <f t="array" ref="AL1388">IFERROR(IFS(XLOOKUP(B1388, 'Kit Delivery Status'!$U:$U, 'Kit Delivery Status'!$K:$K) = "Complete", "DELIVERED", XLOOKUP(B1388, 'Kit Delivery Status'!$U:$U, 'Kit Delivery Status'!$K:$K) = "Issue", "ISSUE"), "")</f>
        <v/>
      </c>
      <c r="AM1388" s="6"/>
    </row>
    <row r="1389">
      <c r="A1389" s="5" t="s">
        <v>7133</v>
      </c>
      <c r="B1389" s="1" t="s">
        <v>7134</v>
      </c>
      <c r="C1389" s="1" t="s">
        <v>7135</v>
      </c>
      <c r="D1389" s="2">
        <v>9.142630578E9</v>
      </c>
      <c r="E1389" s="1" t="s">
        <v>7136</v>
      </c>
      <c r="F1389" s="1"/>
      <c r="G1389" s="1" t="s">
        <v>7137</v>
      </c>
      <c r="H1389" s="1" t="s">
        <v>751</v>
      </c>
      <c r="I1389" s="1">
        <v>10580.0</v>
      </c>
      <c r="J1389" s="1" t="s">
        <v>752</v>
      </c>
      <c r="K1389" s="1" t="s">
        <v>66</v>
      </c>
      <c r="L1389" s="1" t="s">
        <v>5811</v>
      </c>
      <c r="M1389" s="1">
        <v>145.0</v>
      </c>
      <c r="N1389" s="1" t="s">
        <v>1152</v>
      </c>
      <c r="O1389" s="3" t="s">
        <v>7138</v>
      </c>
      <c r="P1389" s="18">
        <v>45890.0</v>
      </c>
      <c r="Q1389" s="1"/>
      <c r="R1389" s="1"/>
      <c r="S1389" s="1"/>
      <c r="T1389" s="1" t="s">
        <v>1152</v>
      </c>
      <c r="U1389" s="1" t="s">
        <v>1407</v>
      </c>
      <c r="V1389" s="4" t="s">
        <v>7138</v>
      </c>
      <c r="W1389" s="1"/>
      <c r="X1389" s="18">
        <v>45890.0</v>
      </c>
      <c r="Y1389" s="1"/>
      <c r="Z1389" s="1"/>
      <c r="AA1389" s="1"/>
      <c r="AB1389" s="1"/>
      <c r="AC1389" s="1" t="s">
        <v>1925</v>
      </c>
      <c r="AD1389" s="1"/>
      <c r="AE1389" s="1" t="s">
        <v>1152</v>
      </c>
      <c r="AF1389" s="1"/>
      <c r="AG1389" s="1"/>
      <c r="AH1389" s="1" t="s">
        <v>1152</v>
      </c>
      <c r="AI1389" s="1"/>
      <c r="AJ1389" s="1" t="s">
        <v>7136</v>
      </c>
      <c r="AK1389" s="1" t="s">
        <v>1152</v>
      </c>
      <c r="AL1389" s="6" t="str">
        <f t="array" ref="AL1389">IFERROR(IFS(XLOOKUP(B1389, 'Kit Delivery Status'!$U:$U, 'Kit Delivery Status'!$K:$K) = "Complete", "DELIVERED", XLOOKUP(B1389, 'Kit Delivery Status'!$U:$U, 'Kit Delivery Status'!$K:$K) = "Issue", "ISSUE"), "")</f>
        <v/>
      </c>
      <c r="AM1389" s="6"/>
    </row>
    <row r="1390">
      <c r="A1390" s="5" t="s">
        <v>7139</v>
      </c>
      <c r="B1390" s="1" t="s">
        <v>7140</v>
      </c>
      <c r="C1390" s="1" t="s">
        <v>7141</v>
      </c>
      <c r="D1390" s="2">
        <v>3.109624564E9</v>
      </c>
      <c r="E1390" s="1" t="s">
        <v>3118</v>
      </c>
      <c r="F1390" s="1"/>
      <c r="G1390" s="1" t="s">
        <v>1283</v>
      </c>
      <c r="H1390" s="1" t="s">
        <v>1155</v>
      </c>
      <c r="I1390" s="1">
        <v>63105.0</v>
      </c>
      <c r="J1390" s="1" t="s">
        <v>752</v>
      </c>
      <c r="K1390" s="1" t="s">
        <v>66</v>
      </c>
      <c r="L1390" s="1" t="s">
        <v>5811</v>
      </c>
      <c r="M1390" s="1">
        <v>145.0</v>
      </c>
      <c r="N1390" s="1" t="s">
        <v>1152</v>
      </c>
      <c r="O1390" s="3" t="s">
        <v>77</v>
      </c>
      <c r="P1390" s="18">
        <v>45887.0</v>
      </c>
      <c r="Q1390" s="1"/>
      <c r="R1390" s="1"/>
      <c r="S1390" s="1"/>
      <c r="T1390" s="1" t="s">
        <v>1152</v>
      </c>
      <c r="U1390" s="1" t="s">
        <v>1080</v>
      </c>
      <c r="V1390" s="4" t="s">
        <v>77</v>
      </c>
      <c r="W1390" s="1"/>
      <c r="X1390" s="18">
        <v>45887.0</v>
      </c>
      <c r="Y1390" s="1"/>
      <c r="Z1390" s="1"/>
      <c r="AA1390" s="1"/>
      <c r="AB1390" s="1"/>
      <c r="AC1390" s="1" t="s">
        <v>1925</v>
      </c>
      <c r="AD1390" s="1"/>
      <c r="AE1390" s="1" t="s">
        <v>1152</v>
      </c>
      <c r="AF1390" s="1"/>
      <c r="AG1390" s="1"/>
      <c r="AH1390" s="1" t="s">
        <v>1152</v>
      </c>
      <c r="AI1390" s="1"/>
      <c r="AJ1390" s="1" t="s">
        <v>3118</v>
      </c>
      <c r="AK1390" s="1" t="s">
        <v>1152</v>
      </c>
      <c r="AL1390" s="6" t="str">
        <f t="array" ref="AL1390">IFERROR(IFS(XLOOKUP(B1390, 'Kit Delivery Status'!$U:$U, 'Kit Delivery Status'!$K:$K) = "Complete", "DELIVERED", XLOOKUP(B1390, 'Kit Delivery Status'!$U:$U, 'Kit Delivery Status'!$K:$K) = "Issue", "ISSUE"), "")</f>
        <v/>
      </c>
      <c r="AM1390" s="6"/>
    </row>
    <row r="1391">
      <c r="A1391" s="5" t="s">
        <v>7142</v>
      </c>
      <c r="B1391" s="1" t="s">
        <v>7143</v>
      </c>
      <c r="C1391" s="1" t="s">
        <v>7144</v>
      </c>
      <c r="D1391" s="2">
        <v>9.045755831E9</v>
      </c>
      <c r="E1391" s="1" t="s">
        <v>7145</v>
      </c>
      <c r="F1391" s="1" t="s">
        <v>7146</v>
      </c>
      <c r="G1391" s="1" t="s">
        <v>1283</v>
      </c>
      <c r="H1391" s="1" t="s">
        <v>1155</v>
      </c>
      <c r="I1391" s="1">
        <v>63130.0</v>
      </c>
      <c r="J1391" s="1" t="s">
        <v>752</v>
      </c>
      <c r="K1391" s="1" t="s">
        <v>51</v>
      </c>
      <c r="L1391" s="1" t="s">
        <v>5722</v>
      </c>
      <c r="M1391" s="1">
        <v>1.0</v>
      </c>
      <c r="N1391" s="1" t="s">
        <v>2487</v>
      </c>
      <c r="O1391" s="3"/>
      <c r="P1391" s="18">
        <v>45890.0</v>
      </c>
      <c r="Q1391" s="1" t="s">
        <v>1455</v>
      </c>
      <c r="R1391" s="1" t="s">
        <v>7146</v>
      </c>
      <c r="S1391" s="1" t="s">
        <v>124</v>
      </c>
      <c r="T1391" s="1" t="s">
        <v>2487</v>
      </c>
      <c r="U1391" s="1"/>
      <c r="V1391" s="4"/>
      <c r="W1391" s="1" t="s">
        <v>7146</v>
      </c>
      <c r="X1391" s="18">
        <v>45890.0</v>
      </c>
      <c r="Y1391" s="1" t="s">
        <v>1455</v>
      </c>
      <c r="Z1391" s="1"/>
      <c r="AA1391" s="1" t="s">
        <v>7146</v>
      </c>
      <c r="AB1391" s="1" t="s">
        <v>124</v>
      </c>
      <c r="AC1391" s="1" t="s">
        <v>1925</v>
      </c>
      <c r="AD1391" s="1"/>
      <c r="AE1391" s="1" t="s">
        <v>1152</v>
      </c>
      <c r="AF1391" s="1"/>
      <c r="AG1391" s="1"/>
      <c r="AH1391" s="1" t="s">
        <v>1152</v>
      </c>
      <c r="AI1391" s="1"/>
      <c r="AJ1391" s="1" t="s">
        <v>7145</v>
      </c>
      <c r="AK1391" s="1" t="s">
        <v>1152</v>
      </c>
      <c r="AL1391" s="6" t="str">
        <f t="array" ref="AL1391">IFERROR(IFS(XLOOKUP(B1391, 'Kit Delivery Status'!$U:$U, 'Kit Delivery Status'!$K:$K) = "Complete", "DELIVERED", XLOOKUP(B1391, 'Kit Delivery Status'!$U:$U, 'Kit Delivery Status'!$K:$K) = "Issue", "ISSUE"), "")</f>
        <v/>
      </c>
      <c r="AM1391" s="6"/>
    </row>
    <row r="1392">
      <c r="A1392" s="5" t="s">
        <v>7147</v>
      </c>
      <c r="B1392" s="1" t="s">
        <v>7148</v>
      </c>
      <c r="C1392" s="1" t="s">
        <v>7149</v>
      </c>
      <c r="D1392" s="2">
        <v>1.3911331289E10</v>
      </c>
      <c r="E1392" s="1" t="s">
        <v>7150</v>
      </c>
      <c r="F1392" s="1"/>
      <c r="G1392" s="1" t="s">
        <v>5552</v>
      </c>
      <c r="H1392" s="1" t="s">
        <v>5552</v>
      </c>
      <c r="I1392" s="1">
        <v>100022.0</v>
      </c>
      <c r="J1392" s="1" t="s">
        <v>5553</v>
      </c>
      <c r="K1392" s="1" t="s">
        <v>51</v>
      </c>
      <c r="L1392" s="1" t="s">
        <v>5722</v>
      </c>
      <c r="M1392" s="1">
        <v>1.0</v>
      </c>
      <c r="N1392" s="1" t="s">
        <v>2461</v>
      </c>
      <c r="O1392" s="3" t="s">
        <v>7151</v>
      </c>
      <c r="P1392" s="18">
        <v>45891.0</v>
      </c>
      <c r="Q1392" s="1" t="s">
        <v>1630</v>
      </c>
      <c r="R1392" s="1"/>
      <c r="S1392" s="1" t="s">
        <v>52</v>
      </c>
      <c r="T1392" s="1" t="s">
        <v>2461</v>
      </c>
      <c r="U1392" s="1" t="s">
        <v>4879</v>
      </c>
      <c r="V1392" s="4" t="s">
        <v>7151</v>
      </c>
      <c r="W1392" s="1"/>
      <c r="X1392" s="18">
        <v>45891.0</v>
      </c>
      <c r="Y1392" s="1" t="s">
        <v>1630</v>
      </c>
      <c r="Z1392" s="1"/>
      <c r="AA1392" s="1"/>
      <c r="AB1392" s="1" t="s">
        <v>52</v>
      </c>
      <c r="AC1392" s="1" t="s">
        <v>1925</v>
      </c>
      <c r="AD1392" s="1"/>
      <c r="AE1392" s="1" t="s">
        <v>1152</v>
      </c>
      <c r="AF1392" s="1"/>
      <c r="AG1392" s="1"/>
      <c r="AH1392" s="1" t="s">
        <v>1152</v>
      </c>
      <c r="AI1392" s="1"/>
      <c r="AJ1392" s="1" t="s">
        <v>7152</v>
      </c>
      <c r="AK1392" s="1" t="s">
        <v>1152</v>
      </c>
      <c r="AL1392" s="6" t="str">
        <f t="array" ref="AL1392">IFERROR(IFS(XLOOKUP(B1392, 'Kit Delivery Status'!$U:$U, 'Kit Delivery Status'!$K:$K) = "Complete", "DELIVERED", XLOOKUP(B1392, 'Kit Delivery Status'!$U:$U, 'Kit Delivery Status'!$K:$K) = "Issue", "ISSUE"), "")</f>
        <v/>
      </c>
      <c r="AM1392" s="6"/>
    </row>
    <row r="1393">
      <c r="A1393" s="5" t="s">
        <v>7153</v>
      </c>
      <c r="B1393" s="1" t="s">
        <v>7154</v>
      </c>
      <c r="C1393" s="1"/>
      <c r="D1393" s="2">
        <v>6.509466018E9</v>
      </c>
      <c r="E1393" s="1" t="s">
        <v>7155</v>
      </c>
      <c r="F1393" s="1" t="s">
        <v>7156</v>
      </c>
      <c r="G1393" s="1" t="s">
        <v>7157</v>
      </c>
      <c r="H1393" s="1" t="s">
        <v>989</v>
      </c>
      <c r="I1393" s="1">
        <v>94062.0</v>
      </c>
      <c r="J1393" s="1" t="s">
        <v>752</v>
      </c>
      <c r="K1393" s="1" t="s">
        <v>51</v>
      </c>
      <c r="L1393" s="1" t="s">
        <v>5722</v>
      </c>
      <c r="M1393" s="1">
        <v>1.0</v>
      </c>
      <c r="N1393" s="1" t="s">
        <v>2487</v>
      </c>
      <c r="O1393" s="3"/>
      <c r="P1393" s="18">
        <v>45891.0</v>
      </c>
      <c r="Q1393" s="1" t="s">
        <v>1030</v>
      </c>
      <c r="R1393" s="1" t="s">
        <v>7156</v>
      </c>
      <c r="S1393" s="1" t="s">
        <v>124</v>
      </c>
      <c r="T1393" s="1" t="s">
        <v>2487</v>
      </c>
      <c r="U1393" s="1"/>
      <c r="V1393" s="4"/>
      <c r="W1393" s="1" t="s">
        <v>7156</v>
      </c>
      <c r="X1393" s="18">
        <v>45891.0</v>
      </c>
      <c r="Y1393" s="1" t="s">
        <v>1030</v>
      </c>
      <c r="Z1393" s="1"/>
      <c r="AA1393" s="1" t="s">
        <v>7156</v>
      </c>
      <c r="AB1393" s="1" t="s">
        <v>124</v>
      </c>
      <c r="AC1393" s="1" t="s">
        <v>1925</v>
      </c>
      <c r="AD1393" s="1"/>
      <c r="AE1393" s="1" t="s">
        <v>1152</v>
      </c>
      <c r="AF1393" s="1"/>
      <c r="AG1393" s="1"/>
      <c r="AH1393" s="1" t="s">
        <v>1152</v>
      </c>
      <c r="AI1393" s="1"/>
      <c r="AJ1393" s="1" t="s">
        <v>7155</v>
      </c>
      <c r="AK1393" s="1" t="s">
        <v>1152</v>
      </c>
      <c r="AL1393" s="6" t="str">
        <f t="array" ref="AL1393">IFERROR(IFS(XLOOKUP(B1393, 'Kit Delivery Status'!$U:$U, 'Kit Delivery Status'!$K:$K) = "Complete", "DELIVERED", XLOOKUP(B1393, 'Kit Delivery Status'!$U:$U, 'Kit Delivery Status'!$K:$K) = "Issue", "ISSUE"), "")</f>
        <v/>
      </c>
      <c r="AM1393" s="6"/>
    </row>
    <row r="1394">
      <c r="A1394" s="5" t="s">
        <v>7158</v>
      </c>
      <c r="B1394" s="1" t="s">
        <v>7159</v>
      </c>
      <c r="C1394" s="1" t="s">
        <v>7160</v>
      </c>
      <c r="D1394" s="2">
        <v>3.147453187E9</v>
      </c>
      <c r="E1394" s="1" t="s">
        <v>7161</v>
      </c>
      <c r="F1394" s="1" t="s">
        <v>7162</v>
      </c>
      <c r="G1394" s="1" t="s">
        <v>1283</v>
      </c>
      <c r="H1394" s="1" t="s">
        <v>1155</v>
      </c>
      <c r="I1394" s="1">
        <v>63112.0</v>
      </c>
      <c r="J1394" s="1" t="s">
        <v>752</v>
      </c>
      <c r="K1394" s="1" t="s">
        <v>51</v>
      </c>
      <c r="L1394" s="1" t="s">
        <v>5722</v>
      </c>
      <c r="M1394" s="1">
        <v>1.0</v>
      </c>
      <c r="N1394" s="1" t="s">
        <v>2487</v>
      </c>
      <c r="O1394" s="3"/>
      <c r="P1394" s="18">
        <v>45889.0</v>
      </c>
      <c r="Q1394" s="1" t="s">
        <v>1440</v>
      </c>
      <c r="R1394" s="1" t="s">
        <v>7162</v>
      </c>
      <c r="S1394" s="1" t="s">
        <v>124</v>
      </c>
      <c r="T1394" s="1" t="s">
        <v>2487</v>
      </c>
      <c r="U1394" s="1"/>
      <c r="V1394" s="4"/>
      <c r="W1394" s="1" t="s">
        <v>7162</v>
      </c>
      <c r="X1394" s="18">
        <v>45889.0</v>
      </c>
      <c r="Y1394" s="1" t="s">
        <v>1440</v>
      </c>
      <c r="Z1394" s="1"/>
      <c r="AA1394" s="1" t="s">
        <v>7162</v>
      </c>
      <c r="AB1394" s="1" t="s">
        <v>124</v>
      </c>
      <c r="AC1394" s="1" t="s">
        <v>1925</v>
      </c>
      <c r="AD1394" s="1"/>
      <c r="AE1394" s="1" t="s">
        <v>1152</v>
      </c>
      <c r="AF1394" s="1"/>
      <c r="AG1394" s="1"/>
      <c r="AH1394" s="1" t="s">
        <v>1152</v>
      </c>
      <c r="AI1394" s="1"/>
      <c r="AJ1394" s="1" t="s">
        <v>7163</v>
      </c>
      <c r="AK1394" s="1" t="s">
        <v>1152</v>
      </c>
      <c r="AL1394" s="6" t="str">
        <f t="array" ref="AL1394">IFERROR(IFS(XLOOKUP(B1394, 'Kit Delivery Status'!$U:$U, 'Kit Delivery Status'!$K:$K) = "Complete", "DELIVERED", XLOOKUP(B1394, 'Kit Delivery Status'!$U:$U, 'Kit Delivery Status'!$K:$K) = "Issue", "ISSUE"), "")</f>
        <v/>
      </c>
      <c r="AM1394" s="6"/>
    </row>
    <row r="1395">
      <c r="A1395" s="5" t="s">
        <v>7164</v>
      </c>
      <c r="B1395" s="1" t="s">
        <v>7165</v>
      </c>
      <c r="C1395" s="1" t="s">
        <v>7166</v>
      </c>
      <c r="D1395" s="2">
        <v>2.135980808E9</v>
      </c>
      <c r="E1395" s="1" t="s">
        <v>7167</v>
      </c>
      <c r="F1395" s="1"/>
      <c r="G1395" s="1" t="s">
        <v>7168</v>
      </c>
      <c r="H1395" s="1" t="s">
        <v>989</v>
      </c>
      <c r="I1395" s="1">
        <v>91214.0</v>
      </c>
      <c r="J1395" s="1" t="s">
        <v>752</v>
      </c>
      <c r="K1395" s="1" t="s">
        <v>51</v>
      </c>
      <c r="L1395" s="1" t="s">
        <v>5722</v>
      </c>
      <c r="M1395" s="1">
        <v>1.0</v>
      </c>
      <c r="N1395" s="1" t="s">
        <v>2461</v>
      </c>
      <c r="O1395" s="3" t="s">
        <v>7169</v>
      </c>
      <c r="P1395" s="18">
        <v>45889.0</v>
      </c>
      <c r="Q1395" s="1" t="s">
        <v>1030</v>
      </c>
      <c r="R1395" s="1"/>
      <c r="S1395" s="1" t="s">
        <v>52</v>
      </c>
      <c r="T1395" s="1" t="s">
        <v>2461</v>
      </c>
      <c r="U1395" s="1" t="s">
        <v>1812</v>
      </c>
      <c r="V1395" s="4" t="s">
        <v>7169</v>
      </c>
      <c r="W1395" s="1"/>
      <c r="X1395" s="18">
        <v>45889.0</v>
      </c>
      <c r="Y1395" s="1" t="s">
        <v>1030</v>
      </c>
      <c r="Z1395" s="1"/>
      <c r="AA1395" s="1"/>
      <c r="AB1395" s="1" t="s">
        <v>52</v>
      </c>
      <c r="AC1395" s="1" t="s">
        <v>1925</v>
      </c>
      <c r="AD1395" s="1"/>
      <c r="AE1395" s="1" t="s">
        <v>1152</v>
      </c>
      <c r="AF1395" s="1"/>
      <c r="AG1395" s="1"/>
      <c r="AH1395" s="1" t="s">
        <v>1152</v>
      </c>
      <c r="AI1395" s="1"/>
      <c r="AJ1395" s="1" t="s">
        <v>7170</v>
      </c>
      <c r="AK1395" s="1" t="s">
        <v>1152</v>
      </c>
      <c r="AL1395" s="6" t="str">
        <f t="array" ref="AL1395">IFERROR(IFS(XLOOKUP(B1395, 'Kit Delivery Status'!$U:$U, 'Kit Delivery Status'!$K:$K) = "Complete", "DELIVERED", XLOOKUP(B1395, 'Kit Delivery Status'!$U:$U, 'Kit Delivery Status'!$K:$K) = "Issue", "ISSUE"), "")</f>
        <v/>
      </c>
      <c r="AM1395" s="6"/>
    </row>
    <row r="1396">
      <c r="A1396" s="5" t="s">
        <v>7171</v>
      </c>
      <c r="B1396" s="1" t="s">
        <v>7172</v>
      </c>
      <c r="C1396" s="1" t="s">
        <v>3631</v>
      </c>
      <c r="D1396" s="2">
        <v>19175724556</v>
      </c>
      <c r="E1396" s="1" t="s">
        <v>7173</v>
      </c>
      <c r="F1396" s="1"/>
      <c r="G1396" s="1" t="s">
        <v>7174</v>
      </c>
      <c r="H1396" s="1" t="s">
        <v>7175</v>
      </c>
      <c r="I1396" s="1">
        <v>110057.0</v>
      </c>
      <c r="J1396" s="1" t="s">
        <v>2187</v>
      </c>
      <c r="K1396" s="1" t="s">
        <v>66</v>
      </c>
      <c r="L1396" s="1" t="s">
        <v>5811</v>
      </c>
      <c r="M1396" s="1">
        <v>145.0</v>
      </c>
      <c r="N1396" s="1" t="s">
        <v>1152</v>
      </c>
      <c r="O1396" s="3" t="s">
        <v>3154</v>
      </c>
      <c r="P1396" s="18">
        <v>45888.0</v>
      </c>
      <c r="Q1396" s="1"/>
      <c r="R1396" s="1"/>
      <c r="S1396" s="1"/>
      <c r="T1396" s="1" t="s">
        <v>1152</v>
      </c>
      <c r="U1396" s="1" t="s">
        <v>948</v>
      </c>
      <c r="V1396" s="4" t="s">
        <v>3154</v>
      </c>
      <c r="W1396" s="1"/>
      <c r="X1396" s="18">
        <v>45888.0</v>
      </c>
      <c r="Y1396" s="1"/>
      <c r="Z1396" s="1"/>
      <c r="AA1396" s="1"/>
      <c r="AB1396" s="1"/>
      <c r="AC1396" s="1" t="s">
        <v>1925</v>
      </c>
      <c r="AD1396" s="1"/>
      <c r="AE1396" s="1" t="s">
        <v>1152</v>
      </c>
      <c r="AF1396" s="1"/>
      <c r="AG1396" s="1"/>
      <c r="AH1396" s="1" t="s">
        <v>1152</v>
      </c>
      <c r="AI1396" s="1"/>
      <c r="AJ1396" s="1" t="s">
        <v>7176</v>
      </c>
      <c r="AK1396" s="1" t="s">
        <v>1152</v>
      </c>
      <c r="AL1396" s="6" t="str">
        <f t="array" ref="AL1396">IFERROR(IFS(XLOOKUP(B1396, 'Kit Delivery Status'!$U:$U, 'Kit Delivery Status'!$K:$K) = "Complete", "DELIVERED", XLOOKUP(B1396, 'Kit Delivery Status'!$U:$U, 'Kit Delivery Status'!$K:$K) = "Issue", "ISSUE"), "")</f>
        <v/>
      </c>
      <c r="AM1396" s="6"/>
    </row>
    <row r="1397">
      <c r="A1397" s="5" t="s">
        <v>7177</v>
      </c>
      <c r="B1397" s="1" t="s">
        <v>7178</v>
      </c>
      <c r="C1397" s="1" t="s">
        <v>2849</v>
      </c>
      <c r="D1397" s="2">
        <v>9.820485533E9</v>
      </c>
      <c r="E1397" s="1" t="s">
        <v>2850</v>
      </c>
      <c r="F1397" s="1"/>
      <c r="G1397" s="1" t="s">
        <v>7179</v>
      </c>
      <c r="H1397" s="1" t="s">
        <v>7180</v>
      </c>
      <c r="I1397" s="1">
        <v>400012.0</v>
      </c>
      <c r="J1397" s="1" t="s">
        <v>2187</v>
      </c>
      <c r="K1397" s="1" t="s">
        <v>66</v>
      </c>
      <c r="L1397" s="1" t="s">
        <v>6107</v>
      </c>
      <c r="M1397" s="1">
        <v>180.0</v>
      </c>
      <c r="N1397" s="1" t="s">
        <v>1152</v>
      </c>
      <c r="O1397" s="3" t="s">
        <v>7181</v>
      </c>
      <c r="P1397" s="18">
        <v>45891.0</v>
      </c>
      <c r="Q1397" s="1"/>
      <c r="R1397" s="1"/>
      <c r="S1397" s="1"/>
      <c r="T1397" s="1" t="s">
        <v>1152</v>
      </c>
      <c r="U1397" s="1" t="s">
        <v>948</v>
      </c>
      <c r="V1397" s="4" t="s">
        <v>7181</v>
      </c>
      <c r="W1397" s="1"/>
      <c r="X1397" s="18">
        <v>45891.0</v>
      </c>
      <c r="Y1397" s="1"/>
      <c r="Z1397" s="1"/>
      <c r="AA1397" s="1"/>
      <c r="AB1397" s="1"/>
      <c r="AC1397" s="1" t="s">
        <v>1925</v>
      </c>
      <c r="AD1397" s="1"/>
      <c r="AE1397" s="1" t="s">
        <v>1152</v>
      </c>
      <c r="AF1397" s="1"/>
      <c r="AG1397" s="1"/>
      <c r="AH1397" s="1" t="s">
        <v>1152</v>
      </c>
      <c r="AI1397" s="1"/>
      <c r="AJ1397" s="1" t="s">
        <v>2850</v>
      </c>
      <c r="AK1397" s="1" t="s">
        <v>1152</v>
      </c>
      <c r="AL1397" s="6" t="str">
        <f t="array" ref="AL1397">IFERROR(IFS(XLOOKUP(B1397, 'Kit Delivery Status'!$U:$U, 'Kit Delivery Status'!$K:$K) = "Complete", "DELIVERED", XLOOKUP(B1397, 'Kit Delivery Status'!$U:$U, 'Kit Delivery Status'!$K:$K) = "Issue", "ISSUE"), "")</f>
        <v/>
      </c>
      <c r="AM1397" s="6"/>
    </row>
    <row r="1398">
      <c r="A1398" s="5" t="s">
        <v>7182</v>
      </c>
      <c r="B1398" s="1" t="s">
        <v>7183</v>
      </c>
      <c r="C1398" s="1" t="s">
        <v>7184</v>
      </c>
      <c r="D1398" s="2">
        <v>9.292941052E9</v>
      </c>
      <c r="E1398" s="1" t="s">
        <v>7185</v>
      </c>
      <c r="F1398" s="1"/>
      <c r="G1398" s="1" t="s">
        <v>1684</v>
      </c>
      <c r="H1398" s="1" t="s">
        <v>751</v>
      </c>
      <c r="I1398" s="1">
        <v>11201.0</v>
      </c>
      <c r="J1398" s="1" t="s">
        <v>752</v>
      </c>
      <c r="K1398" s="1" t="s">
        <v>51</v>
      </c>
      <c r="L1398" s="1" t="s">
        <v>5722</v>
      </c>
      <c r="M1398" s="1">
        <v>1.0</v>
      </c>
      <c r="N1398" s="1" t="s">
        <v>2461</v>
      </c>
      <c r="O1398" s="3" t="s">
        <v>7186</v>
      </c>
      <c r="P1398" s="18">
        <v>45889.0</v>
      </c>
      <c r="Q1398" s="1" t="s">
        <v>2463</v>
      </c>
      <c r="R1398" s="1"/>
      <c r="S1398" s="1" t="s">
        <v>52</v>
      </c>
      <c r="T1398" s="1" t="s">
        <v>2461</v>
      </c>
      <c r="U1398" s="1" t="s">
        <v>1065</v>
      </c>
      <c r="V1398" s="4" t="s">
        <v>7186</v>
      </c>
      <c r="W1398" s="1"/>
      <c r="X1398" s="18">
        <v>45889.0</v>
      </c>
      <c r="Y1398" s="1" t="s">
        <v>2463</v>
      </c>
      <c r="Z1398" s="1"/>
      <c r="AA1398" s="1"/>
      <c r="AB1398" s="1" t="s">
        <v>52</v>
      </c>
      <c r="AC1398" s="1" t="s">
        <v>1925</v>
      </c>
      <c r="AD1398" s="1"/>
      <c r="AE1398" s="1" t="s">
        <v>1152</v>
      </c>
      <c r="AF1398" s="1"/>
      <c r="AG1398" s="1"/>
      <c r="AH1398" s="1" t="s">
        <v>1152</v>
      </c>
      <c r="AI1398" s="1"/>
      <c r="AJ1398" s="1" t="s">
        <v>7187</v>
      </c>
      <c r="AK1398" s="1" t="s">
        <v>1152</v>
      </c>
      <c r="AL1398" s="6" t="str">
        <f t="array" ref="AL1398">IFERROR(IFS(XLOOKUP(B1398, 'Kit Delivery Status'!$U:$U, 'Kit Delivery Status'!$K:$K) = "Complete", "DELIVERED", XLOOKUP(B1398, 'Kit Delivery Status'!$U:$U, 'Kit Delivery Status'!$K:$K) = "Issue", "ISSUE"), "")</f>
        <v/>
      </c>
      <c r="AM1398" s="6"/>
    </row>
    <row r="1399">
      <c r="A1399" s="5" t="s">
        <v>7188</v>
      </c>
      <c r="B1399" s="1" t="s">
        <v>7189</v>
      </c>
      <c r="C1399" s="1" t="s">
        <v>7190</v>
      </c>
      <c r="D1399" s="2" t="s">
        <v>7191</v>
      </c>
      <c r="E1399" s="1" t="s">
        <v>7192</v>
      </c>
      <c r="F1399" s="1"/>
      <c r="G1399" s="1" t="s">
        <v>1283</v>
      </c>
      <c r="H1399" s="1" t="s">
        <v>1155</v>
      </c>
      <c r="I1399" s="1">
        <v>63105.0</v>
      </c>
      <c r="J1399" s="1" t="s">
        <v>752</v>
      </c>
      <c r="K1399" s="1" t="s">
        <v>51</v>
      </c>
      <c r="L1399" s="1" t="s">
        <v>5722</v>
      </c>
      <c r="M1399" s="1">
        <v>1.0</v>
      </c>
      <c r="N1399" s="1" t="s">
        <v>2461</v>
      </c>
      <c r="O1399" s="3" t="s">
        <v>7193</v>
      </c>
      <c r="P1399" s="18">
        <v>45890.0</v>
      </c>
      <c r="Q1399" s="1" t="s">
        <v>2463</v>
      </c>
      <c r="R1399" s="1"/>
      <c r="S1399" s="1" t="s">
        <v>52</v>
      </c>
      <c r="T1399" s="1" t="s">
        <v>2461</v>
      </c>
      <c r="U1399" s="1" t="s">
        <v>1828</v>
      </c>
      <c r="V1399" s="4" t="s">
        <v>7193</v>
      </c>
      <c r="W1399" s="1"/>
      <c r="X1399" s="18">
        <v>45890.0</v>
      </c>
      <c r="Y1399" s="1" t="s">
        <v>2463</v>
      </c>
      <c r="Z1399" s="1"/>
      <c r="AA1399" s="1"/>
      <c r="AB1399" s="1" t="s">
        <v>52</v>
      </c>
      <c r="AC1399" s="1" t="s">
        <v>1925</v>
      </c>
      <c r="AD1399" s="1"/>
      <c r="AE1399" s="1" t="s">
        <v>1152</v>
      </c>
      <c r="AF1399" s="1"/>
      <c r="AG1399" s="1"/>
      <c r="AH1399" s="1" t="s">
        <v>1152</v>
      </c>
      <c r="AI1399" s="1"/>
      <c r="AJ1399" s="1" t="s">
        <v>7192</v>
      </c>
      <c r="AK1399" s="1" t="s">
        <v>1152</v>
      </c>
      <c r="AL1399" s="6" t="str">
        <f t="array" ref="AL1399">IFERROR(IFS(XLOOKUP(B1399, 'Kit Delivery Status'!$U:$U, 'Kit Delivery Status'!$K:$K) = "Complete", "DELIVERED", XLOOKUP(B1399, 'Kit Delivery Status'!$U:$U, 'Kit Delivery Status'!$K:$K) = "Issue", "ISSUE"), "")</f>
        <v/>
      </c>
      <c r="AM1399" s="6"/>
    </row>
    <row r="1400">
      <c r="A1400" s="5" t="s">
        <v>7194</v>
      </c>
      <c r="B1400" s="1" t="s">
        <v>7195</v>
      </c>
      <c r="C1400" s="1"/>
      <c r="D1400" s="2">
        <v>6.306681983E9</v>
      </c>
      <c r="E1400" s="1" t="s">
        <v>7196</v>
      </c>
      <c r="F1400" s="1"/>
      <c r="G1400" s="1" t="s">
        <v>7197</v>
      </c>
      <c r="H1400" s="1" t="s">
        <v>1019</v>
      </c>
      <c r="I1400" s="1">
        <v>60187.0</v>
      </c>
      <c r="J1400" s="1" t="s">
        <v>752</v>
      </c>
      <c r="K1400" s="1" t="s">
        <v>66</v>
      </c>
      <c r="L1400" s="1" t="s">
        <v>5811</v>
      </c>
      <c r="M1400" s="1">
        <v>145.0</v>
      </c>
      <c r="N1400" s="1" t="s">
        <v>1152</v>
      </c>
      <c r="O1400" s="3" t="s">
        <v>7198</v>
      </c>
      <c r="P1400" s="18">
        <v>45888.0</v>
      </c>
      <c r="Q1400" s="1" t="s">
        <v>1152</v>
      </c>
      <c r="R1400" s="1"/>
      <c r="S1400" s="1"/>
      <c r="T1400" s="1" t="s">
        <v>1152</v>
      </c>
      <c r="U1400" s="1" t="s">
        <v>956</v>
      </c>
      <c r="V1400" s="4" t="s">
        <v>7198</v>
      </c>
      <c r="W1400" s="1"/>
      <c r="X1400" s="18">
        <v>45888.0</v>
      </c>
      <c r="Y1400" s="1" t="s">
        <v>1152</v>
      </c>
      <c r="Z1400" s="1"/>
      <c r="AA1400" s="1"/>
      <c r="AB1400" s="1"/>
      <c r="AC1400" s="1" t="s">
        <v>1925</v>
      </c>
      <c r="AD1400" s="1"/>
      <c r="AE1400" s="1" t="s">
        <v>1152</v>
      </c>
      <c r="AF1400" s="1"/>
      <c r="AG1400" s="1"/>
      <c r="AH1400" s="1" t="s">
        <v>1152</v>
      </c>
      <c r="AI1400" s="1"/>
      <c r="AJ1400" s="1" t="s">
        <v>7199</v>
      </c>
      <c r="AK1400" s="1" t="s">
        <v>1152</v>
      </c>
      <c r="AL1400" s="6" t="str">
        <f t="array" ref="AL1400">IFERROR(IFS(XLOOKUP(B1400, 'Kit Delivery Status'!$U:$U, 'Kit Delivery Status'!$K:$K) = "Complete", "DELIVERED", XLOOKUP(B1400, 'Kit Delivery Status'!$U:$U, 'Kit Delivery Status'!$K:$K) = "Issue", "ISSUE"), "")</f>
        <v/>
      </c>
      <c r="AM1400" s="6"/>
    </row>
    <row r="1401">
      <c r="A1401" s="5" t="s">
        <v>7200</v>
      </c>
      <c r="B1401" s="1" t="s">
        <v>7201</v>
      </c>
      <c r="C1401" s="1"/>
      <c r="D1401" s="2">
        <v>8.325664791E9</v>
      </c>
      <c r="E1401" s="1" t="s">
        <v>7202</v>
      </c>
      <c r="F1401" s="1"/>
      <c r="G1401" s="1" t="s">
        <v>1609</v>
      </c>
      <c r="H1401" s="1" t="s">
        <v>1583</v>
      </c>
      <c r="I1401" s="1">
        <v>77099.0</v>
      </c>
      <c r="J1401" s="1" t="s">
        <v>752</v>
      </c>
      <c r="K1401" s="1" t="s">
        <v>66</v>
      </c>
      <c r="L1401" s="1" t="s">
        <v>5811</v>
      </c>
      <c r="M1401" s="1">
        <v>145.0</v>
      </c>
      <c r="N1401" s="1" t="s">
        <v>1152</v>
      </c>
      <c r="O1401" s="3" t="s">
        <v>7203</v>
      </c>
      <c r="P1401" s="18">
        <v>45888.0</v>
      </c>
      <c r="Q1401" s="1" t="s">
        <v>1152</v>
      </c>
      <c r="R1401" s="1"/>
      <c r="S1401" s="1"/>
      <c r="T1401" s="1" t="s">
        <v>1152</v>
      </c>
      <c r="U1401" s="1" t="s">
        <v>956</v>
      </c>
      <c r="V1401" s="4" t="s">
        <v>7203</v>
      </c>
      <c r="W1401" s="1"/>
      <c r="X1401" s="18">
        <v>45888.0</v>
      </c>
      <c r="Y1401" s="1" t="s">
        <v>1152</v>
      </c>
      <c r="Z1401" s="1"/>
      <c r="AA1401" s="1"/>
      <c r="AB1401" s="1"/>
      <c r="AC1401" s="1" t="s">
        <v>1925</v>
      </c>
      <c r="AD1401" s="1"/>
      <c r="AE1401" s="1" t="s">
        <v>1152</v>
      </c>
      <c r="AF1401" s="1"/>
      <c r="AG1401" s="1"/>
      <c r="AH1401" s="1" t="s">
        <v>1152</v>
      </c>
      <c r="AI1401" s="1"/>
      <c r="AJ1401" s="1" t="s">
        <v>7202</v>
      </c>
      <c r="AK1401" s="1" t="s">
        <v>1152</v>
      </c>
      <c r="AL1401" s="6" t="str">
        <f t="array" ref="AL1401">IFERROR(IFS(XLOOKUP(B1401, 'Kit Delivery Status'!$U:$U, 'Kit Delivery Status'!$K:$K) = "Complete", "DELIVERED", XLOOKUP(B1401, 'Kit Delivery Status'!$U:$U, 'Kit Delivery Status'!$K:$K) = "Issue", "ISSUE"), "")</f>
        <v/>
      </c>
      <c r="AM1401" s="6"/>
    </row>
    <row r="1402">
      <c r="A1402" s="5" t="s">
        <v>7204</v>
      </c>
      <c r="B1402" s="1" t="s">
        <v>7205</v>
      </c>
      <c r="C1402" s="1"/>
      <c r="D1402" s="2">
        <v>9.146024774E9</v>
      </c>
      <c r="E1402" s="1" t="s">
        <v>7206</v>
      </c>
      <c r="F1402" s="1"/>
      <c r="G1402" s="1" t="s">
        <v>2435</v>
      </c>
      <c r="H1402" s="1" t="s">
        <v>751</v>
      </c>
      <c r="I1402" s="1">
        <v>10514.0</v>
      </c>
      <c r="J1402" s="1" t="s">
        <v>752</v>
      </c>
      <c r="K1402" s="1" t="s">
        <v>51</v>
      </c>
      <c r="L1402" s="1" t="s">
        <v>5722</v>
      </c>
      <c r="M1402" s="1">
        <v>1.0</v>
      </c>
      <c r="N1402" s="1" t="s">
        <v>2461</v>
      </c>
      <c r="O1402" s="3" t="s">
        <v>7207</v>
      </c>
      <c r="P1402" s="18">
        <v>45888.0</v>
      </c>
      <c r="Q1402" s="1" t="s">
        <v>2463</v>
      </c>
      <c r="R1402" s="1"/>
      <c r="S1402" s="1" t="s">
        <v>52</v>
      </c>
      <c r="T1402" s="1" t="s">
        <v>2461</v>
      </c>
      <c r="U1402" s="1" t="s">
        <v>1065</v>
      </c>
      <c r="V1402" s="4" t="s">
        <v>7207</v>
      </c>
      <c r="W1402" s="1"/>
      <c r="X1402" s="18">
        <v>45888.0</v>
      </c>
      <c r="Y1402" s="1" t="s">
        <v>2463</v>
      </c>
      <c r="Z1402" s="1"/>
      <c r="AA1402" s="1"/>
      <c r="AB1402" s="1" t="s">
        <v>52</v>
      </c>
      <c r="AC1402" s="1" t="s">
        <v>1925</v>
      </c>
      <c r="AD1402" s="1"/>
      <c r="AE1402" s="1" t="s">
        <v>1152</v>
      </c>
      <c r="AF1402" s="1"/>
      <c r="AG1402" s="1"/>
      <c r="AH1402" s="1" t="s">
        <v>1152</v>
      </c>
      <c r="AI1402" s="1"/>
      <c r="AJ1402" s="1" t="s">
        <v>7206</v>
      </c>
      <c r="AK1402" s="1" t="s">
        <v>1152</v>
      </c>
      <c r="AL1402" s="6" t="str">
        <f t="array" ref="AL1402">IFERROR(IFS(XLOOKUP(B1402, 'Kit Delivery Status'!$U:$U, 'Kit Delivery Status'!$K:$K) = "Complete", "DELIVERED", XLOOKUP(B1402, 'Kit Delivery Status'!$U:$U, 'Kit Delivery Status'!$K:$K) = "Issue", "ISSUE"), "")</f>
        <v/>
      </c>
      <c r="AM1402" s="6"/>
    </row>
    <row r="1403">
      <c r="A1403" s="5" t="s">
        <v>7208</v>
      </c>
      <c r="B1403" s="1" t="s">
        <v>7209</v>
      </c>
      <c r="C1403" s="1" t="s">
        <v>5570</v>
      </c>
      <c r="D1403" s="2">
        <v>2.066613897E9</v>
      </c>
      <c r="E1403" s="1" t="s">
        <v>5571</v>
      </c>
      <c r="F1403" s="1"/>
      <c r="G1403" s="1" t="s">
        <v>5324</v>
      </c>
      <c r="H1403" s="1" t="s">
        <v>980</v>
      </c>
      <c r="I1403" s="1">
        <v>98040.0</v>
      </c>
      <c r="J1403" s="1" t="s">
        <v>752</v>
      </c>
      <c r="K1403" s="1" t="s">
        <v>66</v>
      </c>
      <c r="L1403" s="1" t="s">
        <v>5811</v>
      </c>
      <c r="M1403" s="1">
        <v>145.0</v>
      </c>
      <c r="N1403" s="1" t="s">
        <v>1152</v>
      </c>
      <c r="O1403" s="3" t="s">
        <v>2710</v>
      </c>
      <c r="P1403" s="18">
        <v>45888.0</v>
      </c>
      <c r="Q1403" s="1" t="s">
        <v>1152</v>
      </c>
      <c r="R1403" s="1"/>
      <c r="S1403" s="1"/>
      <c r="T1403" s="1" t="s">
        <v>1152</v>
      </c>
      <c r="U1403" s="1" t="s">
        <v>1415</v>
      </c>
      <c r="V1403" s="4" t="s">
        <v>2710</v>
      </c>
      <c r="W1403" s="1"/>
      <c r="X1403" s="18">
        <v>45888.0</v>
      </c>
      <c r="Y1403" s="1" t="s">
        <v>1152</v>
      </c>
      <c r="Z1403" s="1"/>
      <c r="AA1403" s="1"/>
      <c r="AB1403" s="1"/>
      <c r="AC1403" s="1" t="s">
        <v>1925</v>
      </c>
      <c r="AD1403" s="1"/>
      <c r="AE1403" s="1" t="s">
        <v>1152</v>
      </c>
      <c r="AF1403" s="1"/>
      <c r="AG1403" s="1"/>
      <c r="AH1403" s="1" t="s">
        <v>1152</v>
      </c>
      <c r="AI1403" s="1"/>
      <c r="AJ1403" s="1" t="s">
        <v>7210</v>
      </c>
      <c r="AK1403" s="1" t="s">
        <v>1152</v>
      </c>
      <c r="AL1403" s="6" t="str">
        <f t="array" ref="AL1403">IFERROR(IFS(XLOOKUP(B1403, 'Kit Delivery Status'!$U:$U, 'Kit Delivery Status'!$K:$K) = "Complete", "DELIVERED", XLOOKUP(B1403, 'Kit Delivery Status'!$U:$U, 'Kit Delivery Status'!$K:$K) = "Issue", "ISSUE"), "")</f>
        <v/>
      </c>
      <c r="AM1403" s="6"/>
    </row>
    <row r="1404">
      <c r="A1404" s="5" t="s">
        <v>7211</v>
      </c>
      <c r="B1404" s="1" t="s">
        <v>7212</v>
      </c>
      <c r="C1404" s="1" t="s">
        <v>7213</v>
      </c>
      <c r="D1404" s="2">
        <v>2.81726226E9</v>
      </c>
      <c r="E1404" s="1" t="s">
        <v>7214</v>
      </c>
      <c r="F1404" s="1"/>
      <c r="G1404" s="1" t="s">
        <v>1609</v>
      </c>
      <c r="H1404" s="1" t="s">
        <v>1583</v>
      </c>
      <c r="I1404" s="1">
        <v>77016.0</v>
      </c>
      <c r="J1404" s="1" t="s">
        <v>752</v>
      </c>
      <c r="K1404" s="1" t="s">
        <v>51</v>
      </c>
      <c r="L1404" s="1" t="s">
        <v>5722</v>
      </c>
      <c r="M1404" s="1">
        <v>1.0</v>
      </c>
      <c r="N1404" s="1" t="s">
        <v>2461</v>
      </c>
      <c r="O1404" s="3" t="s">
        <v>1398</v>
      </c>
      <c r="P1404" s="18">
        <v>45889.0</v>
      </c>
      <c r="Q1404" s="1" t="s">
        <v>2463</v>
      </c>
      <c r="R1404" s="1"/>
      <c r="S1404" s="1" t="s">
        <v>52</v>
      </c>
      <c r="T1404" s="1" t="s">
        <v>2461</v>
      </c>
      <c r="U1404" s="1" t="s">
        <v>1167</v>
      </c>
      <c r="V1404" s="4" t="s">
        <v>1398</v>
      </c>
      <c r="W1404" s="1"/>
      <c r="X1404" s="18">
        <v>45889.0</v>
      </c>
      <c r="Y1404" s="1" t="s">
        <v>2463</v>
      </c>
      <c r="Z1404" s="1"/>
      <c r="AA1404" s="1"/>
      <c r="AB1404" s="1" t="s">
        <v>52</v>
      </c>
      <c r="AC1404" s="1" t="s">
        <v>1925</v>
      </c>
      <c r="AD1404" s="1"/>
      <c r="AE1404" s="1" t="s">
        <v>1152</v>
      </c>
      <c r="AF1404" s="1"/>
      <c r="AG1404" s="1"/>
      <c r="AH1404" s="1" t="s">
        <v>1152</v>
      </c>
      <c r="AI1404" s="1"/>
      <c r="AJ1404" s="1" t="s">
        <v>7214</v>
      </c>
      <c r="AK1404" s="1" t="s">
        <v>1152</v>
      </c>
      <c r="AL1404" s="6" t="str">
        <f t="array" ref="AL1404">IFERROR(IFS(XLOOKUP(B1404, 'Kit Delivery Status'!$U:$U, 'Kit Delivery Status'!$K:$K) = "Complete", "DELIVERED", XLOOKUP(B1404, 'Kit Delivery Status'!$U:$U, 'Kit Delivery Status'!$K:$K) = "Issue", "ISSUE"), "")</f>
        <v/>
      </c>
      <c r="AM1404" s="6"/>
    </row>
    <row r="1405">
      <c r="A1405" s="5" t="s">
        <v>7215</v>
      </c>
      <c r="B1405" s="1" t="s">
        <v>7216</v>
      </c>
      <c r="C1405" s="1"/>
      <c r="D1405" s="2">
        <v>3.102925626E9</v>
      </c>
      <c r="E1405" s="1" t="s">
        <v>7217</v>
      </c>
      <c r="F1405" s="1"/>
      <c r="G1405" s="1" t="s">
        <v>1179</v>
      </c>
      <c r="H1405" s="1" t="s">
        <v>989</v>
      </c>
      <c r="I1405" s="1">
        <v>90035.0</v>
      </c>
      <c r="J1405" s="1" t="s">
        <v>752</v>
      </c>
      <c r="K1405" s="1" t="s">
        <v>51</v>
      </c>
      <c r="L1405" s="1" t="s">
        <v>5722</v>
      </c>
      <c r="M1405" s="1">
        <v>1.0</v>
      </c>
      <c r="N1405" s="1" t="s">
        <v>2461</v>
      </c>
      <c r="O1405" s="3" t="s">
        <v>7218</v>
      </c>
      <c r="P1405" s="18">
        <v>45891.0</v>
      </c>
      <c r="Q1405" s="1" t="s">
        <v>2463</v>
      </c>
      <c r="R1405" s="1"/>
      <c r="S1405" s="1" t="s">
        <v>52</v>
      </c>
      <c r="T1405" s="1" t="s">
        <v>2461</v>
      </c>
      <c r="U1405" s="1" t="s">
        <v>1441</v>
      </c>
      <c r="V1405" s="4" t="s">
        <v>7218</v>
      </c>
      <c r="W1405" s="1"/>
      <c r="X1405" s="18">
        <v>45891.0</v>
      </c>
      <c r="Y1405" s="1" t="s">
        <v>2463</v>
      </c>
      <c r="Z1405" s="1"/>
      <c r="AA1405" s="1"/>
      <c r="AB1405" s="1" t="s">
        <v>52</v>
      </c>
      <c r="AC1405" s="1" t="s">
        <v>1925</v>
      </c>
      <c r="AD1405" s="1"/>
      <c r="AE1405" s="1" t="s">
        <v>1152</v>
      </c>
      <c r="AF1405" s="1"/>
      <c r="AG1405" s="1"/>
      <c r="AH1405" s="1" t="s">
        <v>1152</v>
      </c>
      <c r="AI1405" s="1"/>
      <c r="AJ1405" s="1" t="s">
        <v>7217</v>
      </c>
      <c r="AK1405" s="1" t="s">
        <v>1152</v>
      </c>
      <c r="AL1405" s="6" t="str">
        <f t="array" ref="AL1405">IFERROR(IFS(XLOOKUP(B1405, 'Kit Delivery Status'!$U:$U, 'Kit Delivery Status'!$K:$K) = "Complete", "DELIVERED", XLOOKUP(B1405, 'Kit Delivery Status'!$U:$U, 'Kit Delivery Status'!$K:$K) = "Issue", "ISSUE"), "")</f>
        <v/>
      </c>
      <c r="AM1405" s="6"/>
    </row>
    <row r="1406">
      <c r="A1406" s="5" t="s">
        <v>7219</v>
      </c>
      <c r="B1406" s="1" t="s">
        <v>7220</v>
      </c>
      <c r="C1406" s="1" t="s">
        <v>7221</v>
      </c>
      <c r="D1406" s="2">
        <v>5.737959554E9</v>
      </c>
      <c r="E1406" s="1" t="s">
        <v>7222</v>
      </c>
      <c r="F1406" s="1"/>
      <c r="G1406" s="1" t="s">
        <v>7223</v>
      </c>
      <c r="H1406" s="1" t="s">
        <v>1155</v>
      </c>
      <c r="I1406" s="1">
        <v>63127.0</v>
      </c>
      <c r="J1406" s="1" t="s">
        <v>752</v>
      </c>
      <c r="K1406" s="1" t="s">
        <v>66</v>
      </c>
      <c r="L1406" s="1" t="s">
        <v>5736</v>
      </c>
      <c r="M1406" s="1">
        <v>115.0</v>
      </c>
      <c r="N1406" s="1" t="s">
        <v>1152</v>
      </c>
      <c r="O1406" s="3" t="s">
        <v>7224</v>
      </c>
      <c r="P1406" s="18">
        <v>45888.0</v>
      </c>
      <c r="Q1406" s="1" t="s">
        <v>1152</v>
      </c>
      <c r="R1406" s="1"/>
      <c r="S1406" s="1"/>
      <c r="T1406" s="1" t="s">
        <v>1152</v>
      </c>
      <c r="U1406" s="1" t="s">
        <v>1285</v>
      </c>
      <c r="V1406" s="4" t="s">
        <v>7224</v>
      </c>
      <c r="W1406" s="1"/>
      <c r="X1406" s="18">
        <v>45888.0</v>
      </c>
      <c r="Y1406" s="1" t="s">
        <v>1152</v>
      </c>
      <c r="Z1406" s="1"/>
      <c r="AA1406" s="1"/>
      <c r="AB1406" s="1"/>
      <c r="AC1406" s="1" t="s">
        <v>1925</v>
      </c>
      <c r="AD1406" s="1"/>
      <c r="AE1406" s="1" t="s">
        <v>1152</v>
      </c>
      <c r="AF1406" s="1"/>
      <c r="AG1406" s="1"/>
      <c r="AH1406" s="1" t="s">
        <v>1152</v>
      </c>
      <c r="AI1406" s="1"/>
      <c r="AJ1406" s="1" t="s">
        <v>7222</v>
      </c>
      <c r="AK1406" s="1" t="s">
        <v>1152</v>
      </c>
      <c r="AL1406" s="6" t="str">
        <f t="array" ref="AL1406">IFERROR(IFS(XLOOKUP(B1406, 'Kit Delivery Status'!$U:$U, 'Kit Delivery Status'!$K:$K) = "Complete", "DELIVERED", XLOOKUP(B1406, 'Kit Delivery Status'!$U:$U, 'Kit Delivery Status'!$K:$K) = "Issue", "ISSUE"), "")</f>
        <v/>
      </c>
      <c r="AM1406" s="6"/>
    </row>
    <row r="1407">
      <c r="A1407" s="5" t="s">
        <v>7225</v>
      </c>
      <c r="B1407" s="1" t="s">
        <v>7226</v>
      </c>
      <c r="C1407" s="1" t="s">
        <v>7227</v>
      </c>
      <c r="D1407" s="2">
        <v>7.326429191E9</v>
      </c>
      <c r="E1407" s="1" t="s">
        <v>7228</v>
      </c>
      <c r="F1407" s="1" t="s">
        <v>7229</v>
      </c>
      <c r="G1407" s="1" t="s">
        <v>1283</v>
      </c>
      <c r="H1407" s="1" t="s">
        <v>1155</v>
      </c>
      <c r="I1407" s="1">
        <v>63130.0</v>
      </c>
      <c r="J1407" s="1" t="s">
        <v>752</v>
      </c>
      <c r="K1407" s="1" t="s">
        <v>51</v>
      </c>
      <c r="L1407" s="1" t="s">
        <v>5722</v>
      </c>
      <c r="M1407" s="1">
        <v>1.0</v>
      </c>
      <c r="N1407" s="1" t="s">
        <v>2487</v>
      </c>
      <c r="O1407" s="3"/>
      <c r="P1407" s="18">
        <v>45890.0</v>
      </c>
      <c r="Q1407" s="1" t="s">
        <v>2463</v>
      </c>
      <c r="R1407" s="1" t="s">
        <v>7229</v>
      </c>
      <c r="S1407" s="1" t="s">
        <v>124</v>
      </c>
      <c r="T1407" s="1" t="s">
        <v>2487</v>
      </c>
      <c r="U1407" s="1"/>
      <c r="V1407" s="4"/>
      <c r="W1407" s="1" t="s">
        <v>7229</v>
      </c>
      <c r="X1407" s="18">
        <v>45890.0</v>
      </c>
      <c r="Y1407" s="1" t="s">
        <v>2463</v>
      </c>
      <c r="Z1407" s="1"/>
      <c r="AA1407" s="1" t="s">
        <v>7229</v>
      </c>
      <c r="AB1407" s="1" t="s">
        <v>124</v>
      </c>
      <c r="AC1407" s="1" t="s">
        <v>1925</v>
      </c>
      <c r="AD1407" s="1"/>
      <c r="AE1407" s="1" t="s">
        <v>1152</v>
      </c>
      <c r="AF1407" s="1"/>
      <c r="AG1407" s="1"/>
      <c r="AH1407" s="1" t="s">
        <v>1152</v>
      </c>
      <c r="AI1407" s="1"/>
      <c r="AJ1407" s="1" t="s">
        <v>7228</v>
      </c>
      <c r="AK1407" s="1" t="s">
        <v>1152</v>
      </c>
      <c r="AL1407" s="6" t="str">
        <f t="array" ref="AL1407">IFERROR(IFS(XLOOKUP(B1407, 'Kit Delivery Status'!$U:$U, 'Kit Delivery Status'!$K:$K) = "Complete", "DELIVERED", XLOOKUP(B1407, 'Kit Delivery Status'!$U:$U, 'Kit Delivery Status'!$K:$K) = "Issue", "ISSUE"), "")</f>
        <v/>
      </c>
      <c r="AM1407" s="6"/>
    </row>
    <row r="1408">
      <c r="A1408" s="5" t="s">
        <v>7230</v>
      </c>
      <c r="B1408" s="1" t="s">
        <v>7231</v>
      </c>
      <c r="C1408" s="1"/>
      <c r="D1408" s="2">
        <v>7.725300687E9</v>
      </c>
      <c r="E1408" s="1" t="s">
        <v>7232</v>
      </c>
      <c r="F1408" s="1" t="s">
        <v>7233</v>
      </c>
      <c r="G1408" s="1" t="s">
        <v>4572</v>
      </c>
      <c r="H1408" s="1" t="s">
        <v>1208</v>
      </c>
      <c r="I1408" s="1">
        <v>34990.0</v>
      </c>
      <c r="J1408" s="1" t="s">
        <v>752</v>
      </c>
      <c r="K1408" s="1" t="s">
        <v>51</v>
      </c>
      <c r="L1408" s="1" t="s">
        <v>5722</v>
      </c>
      <c r="M1408" s="1">
        <v>1.0</v>
      </c>
      <c r="N1408" s="1" t="s">
        <v>2487</v>
      </c>
      <c r="O1408" s="3"/>
      <c r="P1408" s="18">
        <v>45888.0</v>
      </c>
      <c r="Q1408" s="1" t="s">
        <v>2502</v>
      </c>
      <c r="R1408" s="1" t="s">
        <v>7233</v>
      </c>
      <c r="S1408" s="1" t="s">
        <v>124</v>
      </c>
      <c r="T1408" s="1" t="s">
        <v>2487</v>
      </c>
      <c r="U1408" s="1"/>
      <c r="V1408" s="4"/>
      <c r="W1408" s="1" t="s">
        <v>7233</v>
      </c>
      <c r="X1408" s="18">
        <v>45888.0</v>
      </c>
      <c r="Y1408" s="1" t="s">
        <v>2502</v>
      </c>
      <c r="Z1408" s="1"/>
      <c r="AA1408" s="1" t="s">
        <v>7233</v>
      </c>
      <c r="AB1408" s="1" t="s">
        <v>124</v>
      </c>
      <c r="AC1408" s="1" t="s">
        <v>1925</v>
      </c>
      <c r="AD1408" s="1"/>
      <c r="AE1408" s="1" t="s">
        <v>1152</v>
      </c>
      <c r="AF1408" s="1"/>
      <c r="AG1408" s="1"/>
      <c r="AH1408" s="1" t="s">
        <v>1152</v>
      </c>
      <c r="AI1408" s="1"/>
      <c r="AJ1408" s="1" t="s">
        <v>7232</v>
      </c>
      <c r="AK1408" s="1" t="s">
        <v>1152</v>
      </c>
      <c r="AL1408" s="6" t="str">
        <f t="array" ref="AL1408">IFERROR(IFS(XLOOKUP(B1408, 'Kit Delivery Status'!$U:$U, 'Kit Delivery Status'!$K:$K) = "Complete", "DELIVERED", XLOOKUP(B1408, 'Kit Delivery Status'!$U:$U, 'Kit Delivery Status'!$K:$K) = "Issue", "ISSUE"), "")</f>
        <v/>
      </c>
      <c r="AM1408" s="6"/>
    </row>
    <row r="1409">
      <c r="A1409" s="5" t="s">
        <v>7234</v>
      </c>
      <c r="B1409" s="1" t="s">
        <v>7235</v>
      </c>
      <c r="C1409" s="1" t="s">
        <v>7236</v>
      </c>
      <c r="D1409" s="2">
        <v>7.745025038E9</v>
      </c>
      <c r="E1409" s="1" t="s">
        <v>7237</v>
      </c>
      <c r="F1409" s="1" t="s">
        <v>7238</v>
      </c>
      <c r="G1409" s="1" t="s">
        <v>7239</v>
      </c>
      <c r="H1409" s="1" t="s">
        <v>1121</v>
      </c>
      <c r="I1409" s="1">
        <v>1074.0</v>
      </c>
      <c r="J1409" s="1" t="s">
        <v>752</v>
      </c>
      <c r="K1409" s="1" t="s">
        <v>51</v>
      </c>
      <c r="L1409" s="1" t="s">
        <v>5722</v>
      </c>
      <c r="M1409" s="1">
        <v>1.0</v>
      </c>
      <c r="N1409" s="1" t="s">
        <v>2487</v>
      </c>
      <c r="O1409" s="3"/>
      <c r="P1409" s="18">
        <v>45892.0</v>
      </c>
      <c r="Q1409" s="1" t="s">
        <v>3185</v>
      </c>
      <c r="R1409" s="1" t="s">
        <v>7238</v>
      </c>
      <c r="S1409" s="1" t="s">
        <v>124</v>
      </c>
      <c r="T1409" s="1" t="s">
        <v>2487</v>
      </c>
      <c r="U1409" s="1"/>
      <c r="V1409" s="4"/>
      <c r="W1409" s="1" t="s">
        <v>7238</v>
      </c>
      <c r="X1409" s="18">
        <v>45892.0</v>
      </c>
      <c r="Y1409" s="1" t="s">
        <v>3185</v>
      </c>
      <c r="Z1409" s="1"/>
      <c r="AA1409" s="1" t="s">
        <v>7238</v>
      </c>
      <c r="AB1409" s="1" t="s">
        <v>124</v>
      </c>
      <c r="AC1409" s="1" t="s">
        <v>1925</v>
      </c>
      <c r="AD1409" s="1"/>
      <c r="AE1409" s="1" t="s">
        <v>1152</v>
      </c>
      <c r="AF1409" s="1"/>
      <c r="AG1409" s="1"/>
      <c r="AH1409" s="1" t="s">
        <v>1152</v>
      </c>
      <c r="AI1409" s="1"/>
      <c r="AJ1409" s="1" t="s">
        <v>7237</v>
      </c>
      <c r="AK1409" s="1" t="s">
        <v>1152</v>
      </c>
      <c r="AL1409" s="6" t="str">
        <f t="array" ref="AL1409">IFERROR(IFS(XLOOKUP(B1409, 'Kit Delivery Status'!$U:$U, 'Kit Delivery Status'!$K:$K) = "Complete", "DELIVERED", XLOOKUP(B1409, 'Kit Delivery Status'!$U:$U, 'Kit Delivery Status'!$K:$K) = "Issue", "ISSUE"), "")</f>
        <v/>
      </c>
      <c r="AM1409" s="6"/>
    </row>
    <row r="1410">
      <c r="A1410" s="5" t="s">
        <v>7240</v>
      </c>
      <c r="B1410" s="1" t="s">
        <v>7241</v>
      </c>
      <c r="C1410" s="1" t="s">
        <v>7242</v>
      </c>
      <c r="D1410" s="2">
        <v>6.268404132E9</v>
      </c>
      <c r="E1410" s="1" t="s">
        <v>7243</v>
      </c>
      <c r="F1410" s="1"/>
      <c r="G1410" s="1" t="s">
        <v>3119</v>
      </c>
      <c r="H1410" s="1" t="s">
        <v>989</v>
      </c>
      <c r="I1410" s="1">
        <v>91106.0</v>
      </c>
      <c r="J1410" s="1" t="s">
        <v>752</v>
      </c>
      <c r="K1410" s="1" t="s">
        <v>51</v>
      </c>
      <c r="L1410" s="1" t="s">
        <v>5722</v>
      </c>
      <c r="M1410" s="1">
        <v>1.0</v>
      </c>
      <c r="N1410" s="1" t="s">
        <v>2461</v>
      </c>
      <c r="O1410" s="3" t="s">
        <v>7244</v>
      </c>
      <c r="P1410" s="18">
        <v>45889.0</v>
      </c>
      <c r="Q1410" s="1" t="s">
        <v>2463</v>
      </c>
      <c r="R1410" s="1"/>
      <c r="S1410" s="1" t="s">
        <v>52</v>
      </c>
      <c r="T1410" s="1" t="s">
        <v>2461</v>
      </c>
      <c r="U1410" s="1" t="s">
        <v>2510</v>
      </c>
      <c r="V1410" s="4" t="s">
        <v>7244</v>
      </c>
      <c r="W1410" s="1"/>
      <c r="X1410" s="18">
        <v>45889.0</v>
      </c>
      <c r="Y1410" s="1" t="s">
        <v>2463</v>
      </c>
      <c r="Z1410" s="1"/>
      <c r="AA1410" s="1"/>
      <c r="AB1410" s="1" t="s">
        <v>52</v>
      </c>
      <c r="AC1410" s="1" t="s">
        <v>1925</v>
      </c>
      <c r="AD1410" s="1"/>
      <c r="AE1410" s="1" t="s">
        <v>1152</v>
      </c>
      <c r="AF1410" s="1"/>
      <c r="AG1410" s="1"/>
      <c r="AH1410" s="1" t="s">
        <v>1152</v>
      </c>
      <c r="AI1410" s="1"/>
      <c r="AJ1410" s="1" t="s">
        <v>7243</v>
      </c>
      <c r="AK1410" s="1" t="s">
        <v>1152</v>
      </c>
      <c r="AL1410" s="6" t="str">
        <f t="array" ref="AL1410">IFERROR(IFS(XLOOKUP(B1410, 'Kit Delivery Status'!$U:$U, 'Kit Delivery Status'!$K:$K) = "Complete", "DELIVERED", XLOOKUP(B1410, 'Kit Delivery Status'!$U:$U, 'Kit Delivery Status'!$K:$K) = "Issue", "ISSUE"), "")</f>
        <v/>
      </c>
      <c r="AM1410" s="6"/>
    </row>
    <row r="1411">
      <c r="A1411" s="5" t="s">
        <v>7245</v>
      </c>
      <c r="B1411" s="1" t="s">
        <v>7246</v>
      </c>
      <c r="C1411" s="1" t="s">
        <v>7247</v>
      </c>
      <c r="D1411" s="2">
        <v>1.3148278069E10</v>
      </c>
      <c r="E1411" s="1" t="s">
        <v>5075</v>
      </c>
      <c r="F1411" s="1" t="s">
        <v>7248</v>
      </c>
      <c r="G1411" s="1" t="s">
        <v>2350</v>
      </c>
      <c r="H1411" s="1" t="s">
        <v>1155</v>
      </c>
      <c r="I1411" s="1">
        <v>63105.0</v>
      </c>
      <c r="J1411" s="1" t="s">
        <v>752</v>
      </c>
      <c r="K1411" s="1" t="s">
        <v>51</v>
      </c>
      <c r="L1411" s="1" t="s">
        <v>5722</v>
      </c>
      <c r="M1411" s="1">
        <v>1.0</v>
      </c>
      <c r="N1411" s="1" t="s">
        <v>2487</v>
      </c>
      <c r="O1411" s="3"/>
      <c r="P1411" s="18">
        <v>45892.0</v>
      </c>
      <c r="Q1411" s="1" t="s">
        <v>2502</v>
      </c>
      <c r="R1411" s="1" t="s">
        <v>7248</v>
      </c>
      <c r="S1411" s="1" t="s">
        <v>124</v>
      </c>
      <c r="T1411" s="1" t="s">
        <v>2487</v>
      </c>
      <c r="U1411" s="1"/>
      <c r="V1411" s="4"/>
      <c r="W1411" s="1" t="s">
        <v>7248</v>
      </c>
      <c r="X1411" s="18">
        <v>45892.0</v>
      </c>
      <c r="Y1411" s="1" t="s">
        <v>2502</v>
      </c>
      <c r="Z1411" s="1"/>
      <c r="AA1411" s="1" t="s">
        <v>7248</v>
      </c>
      <c r="AB1411" s="1" t="s">
        <v>124</v>
      </c>
      <c r="AC1411" s="1" t="s">
        <v>1925</v>
      </c>
      <c r="AD1411" s="1"/>
      <c r="AE1411" s="1" t="s">
        <v>1152</v>
      </c>
      <c r="AF1411" s="1"/>
      <c r="AG1411" s="1"/>
      <c r="AH1411" s="1" t="s">
        <v>1152</v>
      </c>
      <c r="AI1411" s="1"/>
      <c r="AJ1411" s="1" t="s">
        <v>7249</v>
      </c>
      <c r="AK1411" s="1" t="s">
        <v>1152</v>
      </c>
      <c r="AL1411" s="6" t="str">
        <f t="array" ref="AL1411">IFERROR(IFS(XLOOKUP(B1411, 'Kit Delivery Status'!$U:$U, 'Kit Delivery Status'!$K:$K) = "Complete", "DELIVERED", XLOOKUP(B1411, 'Kit Delivery Status'!$U:$U, 'Kit Delivery Status'!$K:$K) = "Issue", "ISSUE"), "")</f>
        <v/>
      </c>
      <c r="AM1411" s="6"/>
    </row>
    <row r="1412">
      <c r="A1412" s="5" t="s">
        <v>7250</v>
      </c>
      <c r="B1412" s="1" t="s">
        <v>7251</v>
      </c>
      <c r="C1412" s="1"/>
      <c r="D1412" s="2">
        <v>9.493399393E9</v>
      </c>
      <c r="E1412" s="1" t="s">
        <v>7252</v>
      </c>
      <c r="F1412" s="1"/>
      <c r="G1412" s="1" t="s">
        <v>1983</v>
      </c>
      <c r="H1412" s="1" t="s">
        <v>989</v>
      </c>
      <c r="I1412" s="1">
        <v>92618.0</v>
      </c>
      <c r="J1412" s="1" t="s">
        <v>752</v>
      </c>
      <c r="K1412" s="1" t="s">
        <v>51</v>
      </c>
      <c r="L1412" s="1" t="s">
        <v>5722</v>
      </c>
      <c r="M1412" s="1">
        <v>1.0</v>
      </c>
      <c r="N1412" s="1" t="s">
        <v>2461</v>
      </c>
      <c r="O1412" s="3" t="s">
        <v>7253</v>
      </c>
      <c r="P1412" s="18">
        <v>45890.0</v>
      </c>
      <c r="Q1412" s="1" t="s">
        <v>2463</v>
      </c>
      <c r="R1412" s="1"/>
      <c r="S1412" s="1" t="s">
        <v>52</v>
      </c>
      <c r="T1412" s="1" t="s">
        <v>2461</v>
      </c>
      <c r="U1412" s="1" t="s">
        <v>1828</v>
      </c>
      <c r="V1412" s="4" t="s">
        <v>7253</v>
      </c>
      <c r="W1412" s="1"/>
      <c r="X1412" s="18">
        <v>45890.0</v>
      </c>
      <c r="Y1412" s="1" t="s">
        <v>2463</v>
      </c>
      <c r="Z1412" s="1"/>
      <c r="AA1412" s="1"/>
      <c r="AB1412" s="1" t="s">
        <v>52</v>
      </c>
      <c r="AC1412" s="1" t="s">
        <v>1925</v>
      </c>
      <c r="AD1412" s="1"/>
      <c r="AE1412" s="1" t="s">
        <v>1152</v>
      </c>
      <c r="AF1412" s="1"/>
      <c r="AG1412" s="1"/>
      <c r="AH1412" s="1" t="s">
        <v>1152</v>
      </c>
      <c r="AI1412" s="1"/>
      <c r="AJ1412" s="1" t="s">
        <v>7252</v>
      </c>
      <c r="AK1412" s="1" t="s">
        <v>1152</v>
      </c>
      <c r="AL1412" s="6" t="str">
        <f t="array" ref="AL1412">IFERROR(IFS(XLOOKUP(B1412, 'Kit Delivery Status'!$U:$U, 'Kit Delivery Status'!$K:$K) = "Complete", "DELIVERED", XLOOKUP(B1412, 'Kit Delivery Status'!$U:$U, 'Kit Delivery Status'!$K:$K) = "Issue", "ISSUE"), "")</f>
        <v/>
      </c>
      <c r="AM1412" s="6"/>
    </row>
    <row r="1413">
      <c r="A1413" s="5" t="s">
        <v>7254</v>
      </c>
      <c r="B1413" s="1" t="s">
        <v>7255</v>
      </c>
      <c r="C1413" s="1"/>
      <c r="D1413" s="2">
        <v>3.142259876E9</v>
      </c>
      <c r="E1413" s="1" t="s">
        <v>7256</v>
      </c>
      <c r="F1413" s="1" t="s">
        <v>7257</v>
      </c>
      <c r="G1413" s="1" t="s">
        <v>1283</v>
      </c>
      <c r="H1413" s="1" t="s">
        <v>1155</v>
      </c>
      <c r="I1413" s="1">
        <v>63130.0</v>
      </c>
      <c r="J1413" s="1" t="s">
        <v>752</v>
      </c>
      <c r="K1413" s="1" t="s">
        <v>51</v>
      </c>
      <c r="L1413" s="1" t="s">
        <v>5722</v>
      </c>
      <c r="M1413" s="1">
        <v>1.0</v>
      </c>
      <c r="N1413" s="1" t="s">
        <v>2487</v>
      </c>
      <c r="O1413" s="3"/>
      <c r="P1413" s="18">
        <v>45894.0</v>
      </c>
      <c r="Q1413" s="1" t="s">
        <v>2463</v>
      </c>
      <c r="R1413" s="1" t="s">
        <v>7257</v>
      </c>
      <c r="S1413" s="1" t="s">
        <v>124</v>
      </c>
      <c r="T1413" s="1" t="s">
        <v>2487</v>
      </c>
      <c r="U1413" s="1"/>
      <c r="V1413" s="4"/>
      <c r="W1413" s="1" t="s">
        <v>7257</v>
      </c>
      <c r="X1413" s="18">
        <v>45894.0</v>
      </c>
      <c r="Y1413" s="1" t="s">
        <v>2463</v>
      </c>
      <c r="Z1413" s="1"/>
      <c r="AA1413" s="1" t="s">
        <v>7257</v>
      </c>
      <c r="AB1413" s="1" t="s">
        <v>124</v>
      </c>
      <c r="AC1413" s="1" t="s">
        <v>1925</v>
      </c>
      <c r="AD1413" s="1"/>
      <c r="AE1413" s="1" t="s">
        <v>1152</v>
      </c>
      <c r="AF1413" s="1"/>
      <c r="AG1413" s="1"/>
      <c r="AH1413" s="1" t="s">
        <v>1152</v>
      </c>
      <c r="AI1413" s="1"/>
      <c r="AJ1413" s="1" t="s">
        <v>7256</v>
      </c>
      <c r="AK1413" s="1" t="s">
        <v>1152</v>
      </c>
      <c r="AL1413" s="6" t="str">
        <f t="array" ref="AL1413">IFERROR(IFS(XLOOKUP(B1413, 'Kit Delivery Status'!$U:$U, 'Kit Delivery Status'!$K:$K) = "Complete", "DELIVERED", XLOOKUP(B1413, 'Kit Delivery Status'!$U:$U, 'Kit Delivery Status'!$K:$K) = "Issue", "ISSUE"), "")</f>
        <v/>
      </c>
      <c r="AM1413" s="6"/>
    </row>
    <row r="1414">
      <c r="A1414" s="5" t="s">
        <v>7258</v>
      </c>
      <c r="B1414" s="1" t="s">
        <v>7259</v>
      </c>
      <c r="C1414" s="1"/>
      <c r="D1414" s="2">
        <v>8.578299994E9</v>
      </c>
      <c r="E1414" s="1" t="s">
        <v>7260</v>
      </c>
      <c r="F1414" s="1"/>
      <c r="G1414" s="1" t="s">
        <v>1354</v>
      </c>
      <c r="H1414" s="1" t="s">
        <v>1121</v>
      </c>
      <c r="I1414" s="1">
        <v>2459.0</v>
      </c>
      <c r="J1414" s="1" t="s">
        <v>752</v>
      </c>
      <c r="K1414" s="1" t="s">
        <v>51</v>
      </c>
      <c r="L1414" s="1" t="s">
        <v>5722</v>
      </c>
      <c r="M1414" s="1">
        <v>1.0</v>
      </c>
      <c r="N1414" s="1" t="s">
        <v>2461</v>
      </c>
      <c r="O1414" s="3" t="s">
        <v>7261</v>
      </c>
      <c r="P1414" s="18">
        <v>45890.0</v>
      </c>
      <c r="Q1414" s="1" t="s">
        <v>2463</v>
      </c>
      <c r="R1414" s="1"/>
      <c r="S1414" s="1" t="s">
        <v>52</v>
      </c>
      <c r="T1414" s="1" t="s">
        <v>2461</v>
      </c>
      <c r="U1414" s="1" t="s">
        <v>1167</v>
      </c>
      <c r="V1414" s="4" t="s">
        <v>7261</v>
      </c>
      <c r="W1414" s="1"/>
      <c r="X1414" s="18">
        <v>45890.0</v>
      </c>
      <c r="Y1414" s="1" t="s">
        <v>2463</v>
      </c>
      <c r="Z1414" s="1"/>
      <c r="AA1414" s="1"/>
      <c r="AB1414" s="1" t="s">
        <v>52</v>
      </c>
      <c r="AC1414" s="1" t="s">
        <v>1925</v>
      </c>
      <c r="AD1414" s="1"/>
      <c r="AE1414" s="1" t="s">
        <v>1152</v>
      </c>
      <c r="AF1414" s="1"/>
      <c r="AG1414" s="1"/>
      <c r="AH1414" s="1" t="s">
        <v>1152</v>
      </c>
      <c r="AI1414" s="1"/>
      <c r="AJ1414" s="1" t="s">
        <v>7260</v>
      </c>
      <c r="AK1414" s="1" t="s">
        <v>1152</v>
      </c>
      <c r="AL1414" s="6" t="str">
        <f t="array" ref="AL1414">IFERROR(IFS(XLOOKUP(B1414, 'Kit Delivery Status'!$U:$U, 'Kit Delivery Status'!$K:$K) = "Complete", "DELIVERED", XLOOKUP(B1414, 'Kit Delivery Status'!$U:$U, 'Kit Delivery Status'!$K:$K) = "Issue", "ISSUE"), "")</f>
        <v/>
      </c>
      <c r="AM1414" s="6"/>
    </row>
    <row r="1415">
      <c r="A1415" s="5" t="s">
        <v>7262</v>
      </c>
      <c r="B1415" s="1" t="s">
        <v>7263</v>
      </c>
      <c r="C1415" s="1" t="s">
        <v>7264</v>
      </c>
      <c r="D1415" s="2">
        <v>2.075704234E9</v>
      </c>
      <c r="E1415" s="1" t="s">
        <v>7265</v>
      </c>
      <c r="F1415" s="1"/>
      <c r="G1415" s="1" t="s">
        <v>7266</v>
      </c>
      <c r="H1415" s="1" t="s">
        <v>1233</v>
      </c>
      <c r="I1415" s="1">
        <v>17402.0</v>
      </c>
      <c r="J1415" s="1" t="s">
        <v>752</v>
      </c>
      <c r="K1415" s="1" t="s">
        <v>66</v>
      </c>
      <c r="L1415" s="1" t="s">
        <v>5811</v>
      </c>
      <c r="M1415" s="1">
        <v>145.0</v>
      </c>
      <c r="N1415" s="1" t="s">
        <v>1152</v>
      </c>
      <c r="O1415" s="3" t="s">
        <v>2302</v>
      </c>
      <c r="P1415" s="18">
        <v>45889.0</v>
      </c>
      <c r="Q1415" s="1" t="s">
        <v>1152</v>
      </c>
      <c r="R1415" s="1"/>
      <c r="S1415" s="1"/>
      <c r="T1415" s="1" t="s">
        <v>1152</v>
      </c>
      <c r="U1415" s="1" t="s">
        <v>1167</v>
      </c>
      <c r="V1415" s="4" t="s">
        <v>2302</v>
      </c>
      <c r="W1415" s="1"/>
      <c r="X1415" s="18">
        <v>45889.0</v>
      </c>
      <c r="Y1415" s="1" t="s">
        <v>1152</v>
      </c>
      <c r="Z1415" s="1"/>
      <c r="AA1415" s="1"/>
      <c r="AB1415" s="1"/>
      <c r="AC1415" s="1" t="s">
        <v>1925</v>
      </c>
      <c r="AD1415" s="1"/>
      <c r="AE1415" s="1" t="s">
        <v>1152</v>
      </c>
      <c r="AF1415" s="1"/>
      <c r="AG1415" s="1"/>
      <c r="AH1415" s="1" t="s">
        <v>1152</v>
      </c>
      <c r="AI1415" s="1"/>
      <c r="AJ1415" s="1" t="s">
        <v>7267</v>
      </c>
      <c r="AK1415" s="1" t="s">
        <v>1152</v>
      </c>
      <c r="AL1415" s="6" t="str">
        <f t="array" ref="AL1415">IFERROR(IFS(XLOOKUP(B1415, 'Kit Delivery Status'!$U:$U, 'Kit Delivery Status'!$K:$K) = "Complete", "DELIVERED", XLOOKUP(B1415, 'Kit Delivery Status'!$U:$U, 'Kit Delivery Status'!$K:$K) = "Issue", "ISSUE"), "")</f>
        <v/>
      </c>
      <c r="AM1415" s="6"/>
    </row>
    <row r="1416">
      <c r="A1416" s="5" t="s">
        <v>7268</v>
      </c>
      <c r="B1416" s="1" t="s">
        <v>7269</v>
      </c>
      <c r="C1416" s="1" t="s">
        <v>7270</v>
      </c>
      <c r="D1416" s="2" t="str">
        <v>#ERROR!</v>
      </c>
      <c r="E1416" s="1" t="s">
        <v>7271</v>
      </c>
      <c r="F1416" s="1"/>
      <c r="G1416" s="1" t="s">
        <v>7272</v>
      </c>
      <c r="H1416" s="1" t="s">
        <v>4040</v>
      </c>
      <c r="I1416" s="1" t="s">
        <v>7273</v>
      </c>
      <c r="J1416" s="1" t="s">
        <v>4042</v>
      </c>
      <c r="K1416" s="1" t="s">
        <v>51</v>
      </c>
      <c r="L1416" s="1" t="s">
        <v>5722</v>
      </c>
      <c r="M1416" s="1">
        <v>1.0</v>
      </c>
      <c r="N1416" s="1" t="s">
        <v>2461</v>
      </c>
      <c r="O1416" s="3" t="s">
        <v>7274</v>
      </c>
      <c r="P1416" s="18">
        <v>45889.0</v>
      </c>
      <c r="Q1416" s="1" t="s">
        <v>2502</v>
      </c>
      <c r="R1416" s="1"/>
      <c r="S1416" s="1" t="s">
        <v>52</v>
      </c>
      <c r="T1416" s="1" t="s">
        <v>2461</v>
      </c>
      <c r="U1416" s="1" t="s">
        <v>1936</v>
      </c>
      <c r="V1416" s="4" t="s">
        <v>7274</v>
      </c>
      <c r="W1416" s="1"/>
      <c r="X1416" s="18">
        <v>45889.0</v>
      </c>
      <c r="Y1416" s="1" t="s">
        <v>2502</v>
      </c>
      <c r="Z1416" s="1"/>
      <c r="AA1416" s="1"/>
      <c r="AB1416" s="1" t="s">
        <v>52</v>
      </c>
      <c r="AC1416" s="1" t="s">
        <v>1925</v>
      </c>
      <c r="AD1416" s="1"/>
      <c r="AE1416" s="1" t="s">
        <v>1152</v>
      </c>
      <c r="AF1416" s="1"/>
      <c r="AG1416" s="1"/>
      <c r="AH1416" s="1" t="s">
        <v>1152</v>
      </c>
      <c r="AI1416" s="1"/>
      <c r="AJ1416" s="1" t="s">
        <v>7271</v>
      </c>
      <c r="AK1416" s="1" t="s">
        <v>1152</v>
      </c>
      <c r="AL1416" s="6" t="str">
        <f t="array" ref="AL1416">IFERROR(IFS(XLOOKUP(B1416, 'Kit Delivery Status'!$U:$U, 'Kit Delivery Status'!$K:$K) = "Complete", "DELIVERED", XLOOKUP(B1416, 'Kit Delivery Status'!$U:$U, 'Kit Delivery Status'!$K:$K) = "Issue", "ISSUE"), "")</f>
        <v/>
      </c>
      <c r="AM1416" s="6"/>
    </row>
    <row r="1417">
      <c r="A1417" s="5" t="s">
        <v>7275</v>
      </c>
      <c r="B1417" s="1" t="s">
        <v>7276</v>
      </c>
      <c r="C1417" s="1" t="s">
        <v>7277</v>
      </c>
      <c r="D1417" s="2">
        <v>8.474719752E9</v>
      </c>
      <c r="E1417" s="1" t="s">
        <v>7278</v>
      </c>
      <c r="F1417" s="1"/>
      <c r="G1417" s="1" t="s">
        <v>1269</v>
      </c>
      <c r="H1417" s="1" t="s">
        <v>1019</v>
      </c>
      <c r="I1417" s="1">
        <v>60022.0</v>
      </c>
      <c r="J1417" s="1" t="s">
        <v>752</v>
      </c>
      <c r="K1417" s="1" t="s">
        <v>51</v>
      </c>
      <c r="L1417" s="1" t="s">
        <v>5722</v>
      </c>
      <c r="M1417" s="1">
        <v>1.0</v>
      </c>
      <c r="N1417" s="1" t="s">
        <v>2461</v>
      </c>
      <c r="O1417" s="3" t="s">
        <v>7279</v>
      </c>
      <c r="P1417" s="18">
        <v>45889.0</v>
      </c>
      <c r="Q1417" s="1" t="s">
        <v>2463</v>
      </c>
      <c r="R1417" s="1"/>
      <c r="S1417" s="1" t="s">
        <v>52</v>
      </c>
      <c r="T1417" s="1" t="s">
        <v>2461</v>
      </c>
      <c r="U1417" s="1" t="s">
        <v>1441</v>
      </c>
      <c r="V1417" s="4" t="s">
        <v>7279</v>
      </c>
      <c r="W1417" s="1"/>
      <c r="X1417" s="18">
        <v>45889.0</v>
      </c>
      <c r="Y1417" s="1" t="s">
        <v>2463</v>
      </c>
      <c r="Z1417" s="1"/>
      <c r="AA1417" s="1"/>
      <c r="AB1417" s="1" t="s">
        <v>52</v>
      </c>
      <c r="AC1417" s="1" t="s">
        <v>1925</v>
      </c>
      <c r="AD1417" s="1"/>
      <c r="AE1417" s="1" t="s">
        <v>1152</v>
      </c>
      <c r="AF1417" s="1"/>
      <c r="AG1417" s="1"/>
      <c r="AH1417" s="1" t="s">
        <v>1152</v>
      </c>
      <c r="AI1417" s="1"/>
      <c r="AJ1417" s="1" t="s">
        <v>7278</v>
      </c>
      <c r="AK1417" s="1" t="s">
        <v>1152</v>
      </c>
      <c r="AL1417" s="6" t="str">
        <f t="array" ref="AL1417">IFERROR(IFS(XLOOKUP(B1417, 'Kit Delivery Status'!$U:$U, 'Kit Delivery Status'!$K:$K) = "Complete", "DELIVERED", XLOOKUP(B1417, 'Kit Delivery Status'!$U:$U, 'Kit Delivery Status'!$K:$K) = "Issue", "ISSUE"), "")</f>
        <v/>
      </c>
      <c r="AM1417" s="6"/>
    </row>
    <row r="1418">
      <c r="A1418" s="5" t="s">
        <v>7280</v>
      </c>
      <c r="B1418" s="1" t="s">
        <v>7281</v>
      </c>
      <c r="C1418" s="1" t="s">
        <v>7282</v>
      </c>
      <c r="D1418" s="2">
        <v>1.6472840842E10</v>
      </c>
      <c r="E1418" s="1" t="s">
        <v>7283</v>
      </c>
      <c r="F1418" s="1"/>
      <c r="G1418" s="1" t="s">
        <v>7284</v>
      </c>
      <c r="H1418" s="1" t="s">
        <v>3580</v>
      </c>
      <c r="I1418" s="1" t="s">
        <v>7285</v>
      </c>
      <c r="J1418" s="1" t="s">
        <v>3582</v>
      </c>
      <c r="K1418" s="1" t="s">
        <v>66</v>
      </c>
      <c r="L1418" s="1" t="s">
        <v>5811</v>
      </c>
      <c r="M1418" s="1">
        <v>145.0</v>
      </c>
      <c r="N1418" s="1" t="s">
        <v>1152</v>
      </c>
      <c r="O1418" s="3" t="s">
        <v>7286</v>
      </c>
      <c r="P1418" s="18">
        <v>45889.0</v>
      </c>
      <c r="Q1418" s="1" t="s">
        <v>1152</v>
      </c>
      <c r="R1418" s="1"/>
      <c r="S1418" s="1"/>
      <c r="T1418" s="1" t="s">
        <v>1152</v>
      </c>
      <c r="U1418" s="1" t="s">
        <v>1399</v>
      </c>
      <c r="V1418" s="4" t="s">
        <v>7286</v>
      </c>
      <c r="W1418" s="1"/>
      <c r="X1418" s="18">
        <v>45889.0</v>
      </c>
      <c r="Y1418" s="1" t="s">
        <v>1152</v>
      </c>
      <c r="Z1418" s="1"/>
      <c r="AA1418" s="1"/>
      <c r="AB1418" s="1"/>
      <c r="AC1418" s="1" t="s">
        <v>1925</v>
      </c>
      <c r="AD1418" s="1"/>
      <c r="AE1418" s="1" t="s">
        <v>1152</v>
      </c>
      <c r="AF1418" s="1"/>
      <c r="AG1418" s="1"/>
      <c r="AH1418" s="1" t="s">
        <v>1152</v>
      </c>
      <c r="AI1418" s="1"/>
      <c r="AJ1418" s="1" t="s">
        <v>7287</v>
      </c>
      <c r="AK1418" s="1" t="s">
        <v>1152</v>
      </c>
      <c r="AL1418" s="6" t="str">
        <f t="array" ref="AL1418">IFERROR(IFS(XLOOKUP(B1418, 'Kit Delivery Status'!$U:$U, 'Kit Delivery Status'!$K:$K) = "Complete", "DELIVERED", XLOOKUP(B1418, 'Kit Delivery Status'!$U:$U, 'Kit Delivery Status'!$K:$K) = "Issue", "ISSUE"), "")</f>
        <v/>
      </c>
      <c r="AM1418" s="6"/>
    </row>
    <row r="1419">
      <c r="A1419" s="5" t="s">
        <v>7288</v>
      </c>
      <c r="B1419" s="1" t="s">
        <v>7289</v>
      </c>
      <c r="C1419" s="1" t="s">
        <v>7290</v>
      </c>
      <c r="D1419" s="2">
        <v>5.168172028E9</v>
      </c>
      <c r="E1419" s="1" t="s">
        <v>7291</v>
      </c>
      <c r="F1419" s="1" t="s">
        <v>7292</v>
      </c>
      <c r="G1419" s="1" t="s">
        <v>3781</v>
      </c>
      <c r="H1419" s="1" t="s">
        <v>751</v>
      </c>
      <c r="I1419" s="1">
        <v>11791.0</v>
      </c>
      <c r="J1419" s="1" t="s">
        <v>752</v>
      </c>
      <c r="K1419" s="1" t="s">
        <v>51</v>
      </c>
      <c r="L1419" s="1" t="s">
        <v>5722</v>
      </c>
      <c r="M1419" s="1">
        <v>1.0</v>
      </c>
      <c r="N1419" s="1" t="s">
        <v>2487</v>
      </c>
      <c r="O1419" s="3"/>
      <c r="P1419" s="18">
        <v>45891.0</v>
      </c>
      <c r="Q1419" s="1" t="s">
        <v>3418</v>
      </c>
      <c r="R1419" s="1" t="s">
        <v>7292</v>
      </c>
      <c r="S1419" s="1" t="s">
        <v>124</v>
      </c>
      <c r="T1419" s="1" t="s">
        <v>2487</v>
      </c>
      <c r="U1419" s="1"/>
      <c r="V1419" s="4"/>
      <c r="W1419" s="1" t="s">
        <v>7292</v>
      </c>
      <c r="X1419" s="18">
        <v>45891.0</v>
      </c>
      <c r="Y1419" s="1" t="s">
        <v>3418</v>
      </c>
      <c r="Z1419" s="1"/>
      <c r="AA1419" s="1" t="s">
        <v>7292</v>
      </c>
      <c r="AB1419" s="1" t="s">
        <v>124</v>
      </c>
      <c r="AC1419" s="1" t="s">
        <v>1925</v>
      </c>
      <c r="AD1419" s="1"/>
      <c r="AE1419" s="1" t="s">
        <v>1152</v>
      </c>
      <c r="AF1419" s="1"/>
      <c r="AG1419" s="1"/>
      <c r="AH1419" s="1" t="s">
        <v>1152</v>
      </c>
      <c r="AI1419" s="1"/>
      <c r="AJ1419" s="1" t="s">
        <v>7291</v>
      </c>
      <c r="AK1419" s="1" t="s">
        <v>1152</v>
      </c>
      <c r="AL1419" s="6" t="str">
        <f t="array" ref="AL1419">IFERROR(IFS(XLOOKUP(B1419, 'Kit Delivery Status'!$U:$U, 'Kit Delivery Status'!$K:$K) = "Complete", "DELIVERED", XLOOKUP(B1419, 'Kit Delivery Status'!$U:$U, 'Kit Delivery Status'!$K:$K) = "Issue", "ISSUE"), "")</f>
        <v/>
      </c>
      <c r="AM1419" s="6"/>
    </row>
    <row r="1420">
      <c r="A1420" s="5" t="s">
        <v>7293</v>
      </c>
      <c r="B1420" s="1" t="s">
        <v>7294</v>
      </c>
      <c r="C1420" s="1"/>
      <c r="D1420" s="2">
        <v>6.178727764E9</v>
      </c>
      <c r="E1420" s="1" t="s">
        <v>7295</v>
      </c>
      <c r="F1420" s="1"/>
      <c r="G1420" s="1" t="s">
        <v>4642</v>
      </c>
      <c r="H1420" s="1" t="s">
        <v>1121</v>
      </c>
      <c r="I1420" s="1">
        <v>2445.0</v>
      </c>
      <c r="J1420" s="1" t="s">
        <v>752</v>
      </c>
      <c r="K1420" s="1" t="s">
        <v>66</v>
      </c>
      <c r="L1420" s="1" t="s">
        <v>5811</v>
      </c>
      <c r="M1420" s="1">
        <v>145.0</v>
      </c>
      <c r="N1420" s="1" t="s">
        <v>1152</v>
      </c>
      <c r="O1420" s="3" t="s">
        <v>7296</v>
      </c>
      <c r="P1420" s="18">
        <v>45889.0</v>
      </c>
      <c r="Q1420" s="1" t="s">
        <v>1152</v>
      </c>
      <c r="R1420" s="1"/>
      <c r="S1420" s="1"/>
      <c r="T1420" s="1" t="s">
        <v>1152</v>
      </c>
      <c r="U1420" s="1" t="s">
        <v>1456</v>
      </c>
      <c r="V1420" s="4" t="s">
        <v>7296</v>
      </c>
      <c r="W1420" s="1"/>
      <c r="X1420" s="18">
        <v>45889.0</v>
      </c>
      <c r="Y1420" s="1" t="s">
        <v>1152</v>
      </c>
      <c r="Z1420" s="1"/>
      <c r="AA1420" s="1"/>
      <c r="AB1420" s="1"/>
      <c r="AC1420" s="1" t="s">
        <v>1925</v>
      </c>
      <c r="AD1420" s="1"/>
      <c r="AE1420" s="1" t="s">
        <v>1152</v>
      </c>
      <c r="AF1420" s="1"/>
      <c r="AG1420" s="1"/>
      <c r="AH1420" s="1" t="s">
        <v>1152</v>
      </c>
      <c r="AI1420" s="1"/>
      <c r="AJ1420" s="1" t="s">
        <v>7295</v>
      </c>
      <c r="AK1420" s="1" t="s">
        <v>1152</v>
      </c>
      <c r="AL1420" s="6" t="str">
        <f t="array" ref="AL1420">IFERROR(IFS(XLOOKUP(B1420, 'Kit Delivery Status'!$U:$U, 'Kit Delivery Status'!$K:$K) = "Complete", "DELIVERED", XLOOKUP(B1420, 'Kit Delivery Status'!$U:$U, 'Kit Delivery Status'!$K:$K) = "Issue", "ISSUE"), "")</f>
        <v/>
      </c>
      <c r="AM1420" s="6"/>
    </row>
    <row r="1421">
      <c r="A1421" s="5" t="s">
        <v>7297</v>
      </c>
      <c r="B1421" s="1" t="s">
        <v>7298</v>
      </c>
      <c r="C1421" s="1" t="s">
        <v>7299</v>
      </c>
      <c r="D1421" s="2">
        <v>6.304186444E9</v>
      </c>
      <c r="E1421" s="1" t="s">
        <v>7300</v>
      </c>
      <c r="F1421" s="1" t="s">
        <v>7301</v>
      </c>
      <c r="G1421" s="1" t="s">
        <v>7302</v>
      </c>
      <c r="H1421" s="1" t="s">
        <v>1019</v>
      </c>
      <c r="I1421" s="1">
        <v>60523.0</v>
      </c>
      <c r="J1421" s="1" t="s">
        <v>752</v>
      </c>
      <c r="K1421" s="1" t="s">
        <v>51</v>
      </c>
      <c r="L1421" s="1" t="s">
        <v>5722</v>
      </c>
      <c r="M1421" s="1">
        <v>1.0</v>
      </c>
      <c r="N1421" s="1" t="s">
        <v>2487</v>
      </c>
      <c r="O1421" s="3"/>
      <c r="P1421" s="18">
        <v>45892.0</v>
      </c>
      <c r="Q1421" s="1" t="s">
        <v>2502</v>
      </c>
      <c r="R1421" s="1" t="s">
        <v>7301</v>
      </c>
      <c r="S1421" s="1" t="s">
        <v>124</v>
      </c>
      <c r="T1421" s="1" t="s">
        <v>2487</v>
      </c>
      <c r="U1421" s="1"/>
      <c r="V1421" s="4"/>
      <c r="W1421" s="1" t="s">
        <v>7301</v>
      </c>
      <c r="X1421" s="18">
        <v>45892.0</v>
      </c>
      <c r="Y1421" s="1" t="s">
        <v>2502</v>
      </c>
      <c r="Z1421" s="1"/>
      <c r="AA1421" s="1" t="s">
        <v>7301</v>
      </c>
      <c r="AB1421" s="1" t="s">
        <v>124</v>
      </c>
      <c r="AC1421" s="1" t="s">
        <v>1925</v>
      </c>
      <c r="AD1421" s="1"/>
      <c r="AE1421" s="1" t="s">
        <v>1152</v>
      </c>
      <c r="AF1421" s="1"/>
      <c r="AG1421" s="1"/>
      <c r="AH1421" s="1" t="s">
        <v>1152</v>
      </c>
      <c r="AI1421" s="1"/>
      <c r="AJ1421" s="1" t="s">
        <v>7300</v>
      </c>
      <c r="AK1421" s="1" t="s">
        <v>1152</v>
      </c>
      <c r="AL1421" s="6" t="str">
        <f t="array" ref="AL1421">IFERROR(IFS(XLOOKUP(B1421, 'Kit Delivery Status'!$U:$U, 'Kit Delivery Status'!$K:$K) = "Complete", "DELIVERED", XLOOKUP(B1421, 'Kit Delivery Status'!$U:$U, 'Kit Delivery Status'!$K:$K) = "Issue", "ISSUE"), "")</f>
        <v/>
      </c>
      <c r="AM1421" s="6"/>
    </row>
    <row r="1422">
      <c r="A1422" s="5" t="s">
        <v>7303</v>
      </c>
      <c r="B1422" s="1" t="s">
        <v>7304</v>
      </c>
      <c r="C1422" s="1" t="s">
        <v>7305</v>
      </c>
      <c r="D1422" s="2">
        <v>7.347076208E9</v>
      </c>
      <c r="E1422" s="1" t="s">
        <v>7306</v>
      </c>
      <c r="F1422" s="1"/>
      <c r="G1422" s="1" t="s">
        <v>7307</v>
      </c>
      <c r="H1422" s="1" t="s">
        <v>1691</v>
      </c>
      <c r="I1422" s="1">
        <v>48103.0</v>
      </c>
      <c r="J1422" s="1" t="s">
        <v>752</v>
      </c>
      <c r="K1422" s="1" t="s">
        <v>66</v>
      </c>
      <c r="L1422" s="1" t="s">
        <v>5833</v>
      </c>
      <c r="M1422" s="1">
        <v>65.0</v>
      </c>
      <c r="N1422" s="1" t="s">
        <v>1152</v>
      </c>
      <c r="O1422" s="3" t="s">
        <v>7308</v>
      </c>
      <c r="P1422" s="18">
        <v>45887.0</v>
      </c>
      <c r="Q1422" s="1" t="s">
        <v>1152</v>
      </c>
      <c r="R1422" s="1"/>
      <c r="S1422" s="1"/>
      <c r="T1422" s="1" t="s">
        <v>1152</v>
      </c>
      <c r="U1422" s="1" t="s">
        <v>1441</v>
      </c>
      <c r="V1422" s="4" t="s">
        <v>7308</v>
      </c>
      <c r="W1422" s="1"/>
      <c r="X1422" s="18">
        <v>45887.0</v>
      </c>
      <c r="Y1422" s="1" t="s">
        <v>1152</v>
      </c>
      <c r="Z1422" s="1"/>
      <c r="AA1422" s="1"/>
      <c r="AB1422" s="1"/>
      <c r="AC1422" s="1" t="s">
        <v>1925</v>
      </c>
      <c r="AD1422" s="1"/>
      <c r="AE1422" s="1" t="s">
        <v>1152</v>
      </c>
      <c r="AF1422" s="1"/>
      <c r="AG1422" s="1"/>
      <c r="AH1422" s="1" t="s">
        <v>1152</v>
      </c>
      <c r="AI1422" s="1"/>
      <c r="AJ1422" s="1" t="s">
        <v>7306</v>
      </c>
      <c r="AK1422" s="1" t="s">
        <v>1152</v>
      </c>
      <c r="AL1422" s="6" t="str">
        <f t="array" ref="AL1422">IFERROR(IFS(XLOOKUP(B1422, 'Kit Delivery Status'!$U:$U, 'Kit Delivery Status'!$K:$K) = "Complete", "DELIVERED", XLOOKUP(B1422, 'Kit Delivery Status'!$U:$U, 'Kit Delivery Status'!$K:$K) = "Issue", "ISSUE"), "")</f>
        <v/>
      </c>
      <c r="AM1422" s="6"/>
    </row>
    <row r="1423">
      <c r="A1423" s="5" t="s">
        <v>7309</v>
      </c>
      <c r="B1423" s="1" t="s">
        <v>7310</v>
      </c>
      <c r="C1423" s="1"/>
      <c r="D1423" s="2">
        <v>2.027519595E9</v>
      </c>
      <c r="E1423" s="1" t="s">
        <v>7311</v>
      </c>
      <c r="F1423" s="1"/>
      <c r="G1423" s="1" t="s">
        <v>980</v>
      </c>
      <c r="H1423" s="1" t="s">
        <v>1063</v>
      </c>
      <c r="I1423" s="1">
        <v>20019.0</v>
      </c>
      <c r="J1423" s="1" t="s">
        <v>752</v>
      </c>
      <c r="K1423" s="1" t="s">
        <v>51</v>
      </c>
      <c r="L1423" s="1" t="s">
        <v>5722</v>
      </c>
      <c r="M1423" s="1">
        <v>1.0</v>
      </c>
      <c r="N1423" s="1" t="s">
        <v>2461</v>
      </c>
      <c r="O1423" s="3" t="s">
        <v>7312</v>
      </c>
      <c r="P1423" s="18">
        <v>45892.0</v>
      </c>
      <c r="Q1423" s="1" t="s">
        <v>2852</v>
      </c>
      <c r="R1423" s="1"/>
      <c r="S1423" s="1" t="s">
        <v>52</v>
      </c>
      <c r="T1423" s="1" t="s">
        <v>2461</v>
      </c>
      <c r="U1423" s="1" t="s">
        <v>1021</v>
      </c>
      <c r="V1423" s="4" t="s">
        <v>7312</v>
      </c>
      <c r="W1423" s="1"/>
      <c r="X1423" s="18">
        <v>45892.0</v>
      </c>
      <c r="Y1423" s="1" t="s">
        <v>2852</v>
      </c>
      <c r="Z1423" s="1"/>
      <c r="AA1423" s="1"/>
      <c r="AB1423" s="1" t="s">
        <v>52</v>
      </c>
      <c r="AC1423" s="1" t="s">
        <v>1925</v>
      </c>
      <c r="AD1423" s="1"/>
      <c r="AE1423" s="1" t="s">
        <v>1152</v>
      </c>
      <c r="AF1423" s="1"/>
      <c r="AG1423" s="1"/>
      <c r="AH1423" s="1" t="s">
        <v>1152</v>
      </c>
      <c r="AI1423" s="1"/>
      <c r="AJ1423" s="1" t="s">
        <v>7311</v>
      </c>
      <c r="AK1423" s="1" t="s">
        <v>1152</v>
      </c>
      <c r="AL1423" s="6" t="str">
        <f t="array" ref="AL1423">IFERROR(IFS(XLOOKUP(B1423, 'Kit Delivery Status'!$U:$U, 'Kit Delivery Status'!$K:$K) = "Complete", "DELIVERED", XLOOKUP(B1423, 'Kit Delivery Status'!$U:$U, 'Kit Delivery Status'!$K:$K) = "Issue", "ISSUE"), "")</f>
        <v/>
      </c>
      <c r="AM1423" s="6"/>
    </row>
    <row r="1424">
      <c r="A1424" s="5" t="s">
        <v>7313</v>
      </c>
      <c r="B1424" s="1" t="s">
        <v>7314</v>
      </c>
      <c r="C1424" s="1" t="s">
        <v>7315</v>
      </c>
      <c r="D1424" s="2">
        <v>4.103754764E9</v>
      </c>
      <c r="E1424" s="1" t="s">
        <v>7316</v>
      </c>
      <c r="F1424" s="1" t="s">
        <v>7317</v>
      </c>
      <c r="G1424" s="1" t="s">
        <v>6156</v>
      </c>
      <c r="H1424" s="1" t="s">
        <v>1005</v>
      </c>
      <c r="I1424" s="1">
        <v>21208.0</v>
      </c>
      <c r="J1424" s="1" t="s">
        <v>752</v>
      </c>
      <c r="K1424" s="1" t="s">
        <v>51</v>
      </c>
      <c r="L1424" s="1" t="s">
        <v>5722</v>
      </c>
      <c r="M1424" s="1">
        <v>1.0</v>
      </c>
      <c r="N1424" s="1" t="s">
        <v>2487</v>
      </c>
      <c r="O1424" s="3"/>
      <c r="P1424" s="18">
        <v>45891.0</v>
      </c>
      <c r="Q1424" s="1" t="s">
        <v>2852</v>
      </c>
      <c r="R1424" s="1" t="s">
        <v>7317</v>
      </c>
      <c r="S1424" s="1" t="s">
        <v>124</v>
      </c>
      <c r="T1424" s="1" t="s">
        <v>2487</v>
      </c>
      <c r="U1424" s="1"/>
      <c r="V1424" s="4"/>
      <c r="W1424" s="1" t="s">
        <v>7317</v>
      </c>
      <c r="X1424" s="18">
        <v>45891.0</v>
      </c>
      <c r="Y1424" s="1" t="s">
        <v>2852</v>
      </c>
      <c r="Z1424" s="1"/>
      <c r="AA1424" s="1" t="s">
        <v>7317</v>
      </c>
      <c r="AB1424" s="1" t="s">
        <v>124</v>
      </c>
      <c r="AC1424" s="1" t="s">
        <v>1925</v>
      </c>
      <c r="AD1424" s="1"/>
      <c r="AE1424" s="1" t="s">
        <v>1152</v>
      </c>
      <c r="AF1424" s="1"/>
      <c r="AG1424" s="1"/>
      <c r="AH1424" s="1" t="s">
        <v>1152</v>
      </c>
      <c r="AI1424" s="1"/>
      <c r="AJ1424" s="1" t="s">
        <v>7316</v>
      </c>
      <c r="AK1424" s="1" t="s">
        <v>1152</v>
      </c>
      <c r="AL1424" s="6" t="str">
        <f t="array" ref="AL1424">IFERROR(IFS(XLOOKUP(B1424, 'Kit Delivery Status'!$U:$U, 'Kit Delivery Status'!$K:$K) = "Complete", "DELIVERED", XLOOKUP(B1424, 'Kit Delivery Status'!$U:$U, 'Kit Delivery Status'!$K:$K) = "Issue", "ISSUE"), "")</f>
        <v/>
      </c>
      <c r="AM1424" s="6"/>
    </row>
    <row r="1425">
      <c r="A1425" s="5" t="s">
        <v>7318</v>
      </c>
      <c r="B1425" s="1" t="s">
        <v>7319</v>
      </c>
      <c r="C1425" s="1" t="s">
        <v>7320</v>
      </c>
      <c r="D1425" s="2">
        <v>4.158068294E9</v>
      </c>
      <c r="E1425" s="1" t="s">
        <v>7321</v>
      </c>
      <c r="F1425" s="1"/>
      <c r="G1425" s="1" t="s">
        <v>7322</v>
      </c>
      <c r="H1425" s="1" t="s">
        <v>989</v>
      </c>
      <c r="I1425" s="1">
        <v>94941.0</v>
      </c>
      <c r="J1425" s="1" t="s">
        <v>752</v>
      </c>
      <c r="K1425" s="1" t="s">
        <v>66</v>
      </c>
      <c r="L1425" s="1" t="s">
        <v>5811</v>
      </c>
      <c r="M1425" s="1">
        <v>145.0</v>
      </c>
      <c r="N1425" s="1" t="s">
        <v>1152</v>
      </c>
      <c r="O1425" s="3" t="s">
        <v>4855</v>
      </c>
      <c r="P1425" s="18">
        <v>45891.0</v>
      </c>
      <c r="Q1425" s="1" t="s">
        <v>1152</v>
      </c>
      <c r="R1425" s="1"/>
      <c r="S1425" s="1"/>
      <c r="T1425" s="1" t="s">
        <v>1152</v>
      </c>
      <c r="U1425" s="1" t="s">
        <v>1456</v>
      </c>
      <c r="V1425" s="4" t="s">
        <v>4855</v>
      </c>
      <c r="W1425" s="1"/>
      <c r="X1425" s="18">
        <v>45891.0</v>
      </c>
      <c r="Y1425" s="1" t="s">
        <v>1152</v>
      </c>
      <c r="Z1425" s="1"/>
      <c r="AA1425" s="1"/>
      <c r="AB1425" s="1"/>
      <c r="AC1425" s="1" t="s">
        <v>1925</v>
      </c>
      <c r="AD1425" s="1"/>
      <c r="AE1425" s="1" t="s">
        <v>1152</v>
      </c>
      <c r="AF1425" s="1"/>
      <c r="AG1425" s="1"/>
      <c r="AH1425" s="1" t="s">
        <v>1152</v>
      </c>
      <c r="AI1425" s="1"/>
      <c r="AJ1425" s="1" t="s">
        <v>7323</v>
      </c>
      <c r="AK1425" s="1" t="s">
        <v>1152</v>
      </c>
      <c r="AL1425" s="6" t="str">
        <f t="array" ref="AL1425">IFERROR(IFS(XLOOKUP(B1425, 'Kit Delivery Status'!$U:$U, 'Kit Delivery Status'!$K:$K) = "Complete", "DELIVERED", XLOOKUP(B1425, 'Kit Delivery Status'!$U:$U, 'Kit Delivery Status'!$K:$K) = "Issue", "ISSUE"), "")</f>
        <v/>
      </c>
      <c r="AM1425" s="6"/>
    </row>
    <row r="1426">
      <c r="A1426" s="5" t="s">
        <v>7324</v>
      </c>
      <c r="B1426" s="1" t="s">
        <v>7325</v>
      </c>
      <c r="C1426" s="1" t="s">
        <v>7326</v>
      </c>
      <c r="D1426" s="2">
        <v>9.734492828E9</v>
      </c>
      <c r="E1426" s="1" t="s">
        <v>7327</v>
      </c>
      <c r="F1426" s="1" t="s">
        <v>7328</v>
      </c>
      <c r="G1426" s="1" t="s">
        <v>2350</v>
      </c>
      <c r="H1426" s="1" t="s">
        <v>1155</v>
      </c>
      <c r="I1426" s="1">
        <v>63112.0</v>
      </c>
      <c r="J1426" s="1" t="s">
        <v>752</v>
      </c>
      <c r="K1426" s="1" t="s">
        <v>51</v>
      </c>
      <c r="L1426" s="1" t="s">
        <v>5722</v>
      </c>
      <c r="M1426" s="1">
        <v>1.0</v>
      </c>
      <c r="N1426" s="1" t="s">
        <v>2487</v>
      </c>
      <c r="O1426" s="3"/>
      <c r="P1426" s="18">
        <v>45890.0</v>
      </c>
      <c r="Q1426" s="1" t="s">
        <v>3219</v>
      </c>
      <c r="R1426" s="1" t="s">
        <v>7328</v>
      </c>
      <c r="S1426" s="1" t="s">
        <v>124</v>
      </c>
      <c r="T1426" s="1" t="s">
        <v>2487</v>
      </c>
      <c r="U1426" s="1"/>
      <c r="V1426" s="4"/>
      <c r="W1426" s="1" t="s">
        <v>7328</v>
      </c>
      <c r="X1426" s="18">
        <v>45890.0</v>
      </c>
      <c r="Y1426" s="1" t="s">
        <v>3219</v>
      </c>
      <c r="Z1426" s="1"/>
      <c r="AA1426" s="1" t="s">
        <v>7328</v>
      </c>
      <c r="AB1426" s="1" t="s">
        <v>124</v>
      </c>
      <c r="AC1426" s="1" t="s">
        <v>1925</v>
      </c>
      <c r="AD1426" s="1"/>
      <c r="AE1426" s="1" t="s">
        <v>1152</v>
      </c>
      <c r="AF1426" s="1"/>
      <c r="AG1426" s="1"/>
      <c r="AH1426" s="1" t="s">
        <v>1152</v>
      </c>
      <c r="AI1426" s="1"/>
      <c r="AJ1426" s="1" t="s">
        <v>7329</v>
      </c>
      <c r="AK1426" s="1" t="s">
        <v>1152</v>
      </c>
      <c r="AL1426" s="6" t="str">
        <f t="array" ref="AL1426">IFERROR(IFS(XLOOKUP(B1426, 'Kit Delivery Status'!$U:$U, 'Kit Delivery Status'!$K:$K) = "Complete", "DELIVERED", XLOOKUP(B1426, 'Kit Delivery Status'!$U:$U, 'Kit Delivery Status'!$K:$K) = "Issue", "ISSUE"), "")</f>
        <v/>
      </c>
      <c r="AM1426" s="6"/>
    </row>
    <row r="1427">
      <c r="A1427" s="5" t="s">
        <v>7330</v>
      </c>
      <c r="B1427" s="1" t="s">
        <v>7331</v>
      </c>
      <c r="C1427" s="1" t="s">
        <v>7332</v>
      </c>
      <c r="D1427" s="2">
        <v>3.475142278E9</v>
      </c>
      <c r="E1427" s="1" t="s">
        <v>7333</v>
      </c>
      <c r="F1427" s="1"/>
      <c r="G1427" s="1" t="s">
        <v>751</v>
      </c>
      <c r="H1427" s="1" t="s">
        <v>751</v>
      </c>
      <c r="I1427" s="1">
        <v>10024.0</v>
      </c>
      <c r="J1427" s="1" t="s">
        <v>752</v>
      </c>
      <c r="K1427" s="1" t="s">
        <v>66</v>
      </c>
      <c r="L1427" s="1" t="s">
        <v>5811</v>
      </c>
      <c r="M1427" s="1">
        <v>145.0</v>
      </c>
      <c r="N1427" s="1" t="s">
        <v>1152</v>
      </c>
      <c r="O1427" s="3" t="s">
        <v>7334</v>
      </c>
      <c r="P1427" s="18">
        <v>45892.0</v>
      </c>
      <c r="Q1427" s="1" t="s">
        <v>1152</v>
      </c>
      <c r="R1427" s="1"/>
      <c r="S1427" s="1"/>
      <c r="T1427" s="1" t="s">
        <v>1152</v>
      </c>
      <c r="U1427" s="1" t="s">
        <v>1441</v>
      </c>
      <c r="V1427" s="4" t="s">
        <v>7334</v>
      </c>
      <c r="W1427" s="1"/>
      <c r="X1427" s="18">
        <v>45892.0</v>
      </c>
      <c r="Y1427" s="1" t="s">
        <v>1152</v>
      </c>
      <c r="Z1427" s="1"/>
      <c r="AA1427" s="1"/>
      <c r="AB1427" s="1"/>
      <c r="AC1427" s="1" t="s">
        <v>1925</v>
      </c>
      <c r="AD1427" s="1"/>
      <c r="AE1427" s="1" t="s">
        <v>1152</v>
      </c>
      <c r="AF1427" s="1"/>
      <c r="AG1427" s="1"/>
      <c r="AH1427" s="1" t="s">
        <v>1152</v>
      </c>
      <c r="AI1427" s="1"/>
      <c r="AJ1427" s="1" t="s">
        <v>7335</v>
      </c>
      <c r="AK1427" s="1" t="s">
        <v>1152</v>
      </c>
      <c r="AL1427" s="6" t="str">
        <f t="array" ref="AL1427">IFERROR(IFS(XLOOKUP(B1427, 'Kit Delivery Status'!$U:$U, 'Kit Delivery Status'!$K:$K) = "Complete", "DELIVERED", XLOOKUP(B1427, 'Kit Delivery Status'!$U:$U, 'Kit Delivery Status'!$K:$K) = "Issue", "ISSUE"), "")</f>
        <v/>
      </c>
      <c r="AM1427" s="6"/>
    </row>
    <row r="1428">
      <c r="A1428" s="5" t="s">
        <v>7336</v>
      </c>
      <c r="B1428" s="1" t="s">
        <v>7337</v>
      </c>
      <c r="C1428" s="1"/>
      <c r="D1428" s="2"/>
      <c r="E1428" s="1" t="s">
        <v>7338</v>
      </c>
      <c r="F1428" s="1"/>
      <c r="G1428" s="1" t="s">
        <v>2233</v>
      </c>
      <c r="H1428" s="1" t="s">
        <v>1583</v>
      </c>
      <c r="I1428" s="1">
        <v>77433.0</v>
      </c>
      <c r="J1428" s="1" t="s">
        <v>752</v>
      </c>
      <c r="K1428" s="1" t="s">
        <v>95</v>
      </c>
      <c r="L1428" s="1" t="s">
        <v>5820</v>
      </c>
      <c r="M1428" s="1">
        <v>49.0</v>
      </c>
      <c r="N1428" s="1" t="s">
        <v>2461</v>
      </c>
      <c r="O1428" s="3" t="s">
        <v>7339</v>
      </c>
      <c r="P1428" s="18">
        <v>45892.0</v>
      </c>
      <c r="Q1428" s="1" t="s">
        <v>2731</v>
      </c>
      <c r="R1428" s="1"/>
      <c r="S1428" s="1" t="s">
        <v>52</v>
      </c>
      <c r="T1428" s="1" t="s">
        <v>2461</v>
      </c>
      <c r="U1428" s="1" t="s">
        <v>2510</v>
      </c>
      <c r="V1428" s="4" t="s">
        <v>7339</v>
      </c>
      <c r="W1428" s="1"/>
      <c r="X1428" s="18">
        <v>45892.0</v>
      </c>
      <c r="Y1428" s="1" t="s">
        <v>2731</v>
      </c>
      <c r="Z1428" s="1"/>
      <c r="AA1428" s="1"/>
      <c r="AB1428" s="1" t="s">
        <v>52</v>
      </c>
      <c r="AC1428" s="1" t="s">
        <v>7340</v>
      </c>
      <c r="AD1428" s="1"/>
      <c r="AE1428" s="1" t="s">
        <v>1152</v>
      </c>
      <c r="AF1428" s="1"/>
      <c r="AG1428" s="1"/>
      <c r="AH1428" s="1" t="s">
        <v>1152</v>
      </c>
      <c r="AI1428" s="1"/>
      <c r="AJ1428" s="1" t="s">
        <v>7341</v>
      </c>
      <c r="AK1428" s="1" t="s">
        <v>1152</v>
      </c>
      <c r="AL1428" s="6" t="str">
        <f t="array" ref="AL1428">IFERROR(IFS(XLOOKUP(B1428, 'Kit Delivery Status'!$U:$U, 'Kit Delivery Status'!$K:$K) = "Complete", "DELIVERED", XLOOKUP(B1428, 'Kit Delivery Status'!$U:$U, 'Kit Delivery Status'!$K:$K) = "Issue", "ISSUE"), "")</f>
        <v/>
      </c>
      <c r="AM1428" s="6"/>
    </row>
    <row r="1429">
      <c r="A1429" s="5" t="s">
        <v>7342</v>
      </c>
      <c r="B1429" s="1" t="s">
        <v>7343</v>
      </c>
      <c r="C1429" s="1" t="s">
        <v>7344</v>
      </c>
      <c r="D1429" s="2" t="str">
        <v>#ERROR!</v>
      </c>
      <c r="E1429" s="1" t="s">
        <v>7345</v>
      </c>
      <c r="F1429" s="1"/>
      <c r="G1429" s="1" t="s">
        <v>751</v>
      </c>
      <c r="H1429" s="1" t="s">
        <v>751</v>
      </c>
      <c r="I1429" s="1">
        <v>10069.0</v>
      </c>
      <c r="J1429" s="1" t="s">
        <v>752</v>
      </c>
      <c r="K1429" s="1" t="s">
        <v>51</v>
      </c>
      <c r="L1429" s="1" t="s">
        <v>5722</v>
      </c>
      <c r="M1429" s="1">
        <v>1.0</v>
      </c>
      <c r="N1429" s="1" t="s">
        <v>2461</v>
      </c>
      <c r="O1429" s="3" t="s">
        <v>7346</v>
      </c>
      <c r="P1429" s="18">
        <v>45889.0</v>
      </c>
      <c r="Q1429" s="1" t="s">
        <v>2463</v>
      </c>
      <c r="R1429" s="1"/>
      <c r="S1429" s="1" t="s">
        <v>52</v>
      </c>
      <c r="T1429" s="1" t="s">
        <v>2461</v>
      </c>
      <c r="U1429" s="1" t="s">
        <v>2430</v>
      </c>
      <c r="V1429" s="4" t="s">
        <v>7346</v>
      </c>
      <c r="W1429" s="1"/>
      <c r="X1429" s="18">
        <v>45889.0</v>
      </c>
      <c r="Y1429" s="1" t="s">
        <v>2463</v>
      </c>
      <c r="Z1429" s="1"/>
      <c r="AA1429" s="1"/>
      <c r="AB1429" s="1" t="s">
        <v>52</v>
      </c>
      <c r="AC1429" s="1" t="s">
        <v>1925</v>
      </c>
      <c r="AD1429" s="1"/>
      <c r="AE1429" s="1" t="s">
        <v>1152</v>
      </c>
      <c r="AF1429" s="1"/>
      <c r="AG1429" s="1"/>
      <c r="AH1429" s="1" t="s">
        <v>1152</v>
      </c>
      <c r="AI1429" s="1"/>
      <c r="AJ1429" s="1" t="s">
        <v>7345</v>
      </c>
      <c r="AK1429" s="1" t="s">
        <v>1152</v>
      </c>
      <c r="AL1429" s="6" t="str">
        <f t="array" ref="AL1429">IFERROR(IFS(XLOOKUP(B1429, 'Kit Delivery Status'!$U:$U, 'Kit Delivery Status'!$K:$K) = "Complete", "DELIVERED", XLOOKUP(B1429, 'Kit Delivery Status'!$U:$U, 'Kit Delivery Status'!$K:$K) = "Issue", "ISSUE"), "")</f>
        <v/>
      </c>
      <c r="AM1429" s="6"/>
    </row>
    <row r="1430">
      <c r="A1430" s="5" t="s">
        <v>7347</v>
      </c>
      <c r="B1430" s="1" t="s">
        <v>7348</v>
      </c>
      <c r="C1430" s="1" t="s">
        <v>7349</v>
      </c>
      <c r="D1430" s="2">
        <v>5.133153885E9</v>
      </c>
      <c r="E1430" s="1" t="s">
        <v>7350</v>
      </c>
      <c r="F1430" s="1"/>
      <c r="G1430" s="1" t="s">
        <v>7351</v>
      </c>
      <c r="H1430" s="1" t="s">
        <v>2171</v>
      </c>
      <c r="I1430" s="1">
        <v>45243.0</v>
      </c>
      <c r="J1430" s="1" t="s">
        <v>752</v>
      </c>
      <c r="K1430" s="1" t="s">
        <v>51</v>
      </c>
      <c r="L1430" s="1" t="s">
        <v>5722</v>
      </c>
      <c r="M1430" s="1">
        <v>1.0</v>
      </c>
      <c r="N1430" s="1" t="s">
        <v>2461</v>
      </c>
      <c r="O1430" s="3" t="s">
        <v>4288</v>
      </c>
      <c r="P1430" s="18">
        <v>45888.0</v>
      </c>
      <c r="Q1430" s="1" t="s">
        <v>2463</v>
      </c>
      <c r="R1430" s="1"/>
      <c r="S1430" s="1" t="s">
        <v>52</v>
      </c>
      <c r="T1430" s="1" t="s">
        <v>2461</v>
      </c>
      <c r="U1430" s="1" t="s">
        <v>2437</v>
      </c>
      <c r="V1430" s="4" t="s">
        <v>4288</v>
      </c>
      <c r="W1430" s="1"/>
      <c r="X1430" s="18">
        <v>45888.0</v>
      </c>
      <c r="Y1430" s="1" t="s">
        <v>2463</v>
      </c>
      <c r="Z1430" s="1"/>
      <c r="AA1430" s="1"/>
      <c r="AB1430" s="1" t="s">
        <v>52</v>
      </c>
      <c r="AC1430" s="1" t="s">
        <v>1925</v>
      </c>
      <c r="AD1430" s="1"/>
      <c r="AE1430" s="1" t="s">
        <v>1152</v>
      </c>
      <c r="AF1430" s="1"/>
      <c r="AG1430" s="1"/>
      <c r="AH1430" s="1" t="s">
        <v>1152</v>
      </c>
      <c r="AI1430" s="1"/>
      <c r="AJ1430" s="1" t="s">
        <v>7350</v>
      </c>
      <c r="AK1430" s="1" t="s">
        <v>1152</v>
      </c>
      <c r="AL1430" s="6" t="str">
        <f t="array" ref="AL1430">IFERROR(IFS(XLOOKUP(B1430, 'Kit Delivery Status'!$U:$U, 'Kit Delivery Status'!$K:$K) = "Complete", "DELIVERED", XLOOKUP(B1430, 'Kit Delivery Status'!$U:$U, 'Kit Delivery Status'!$K:$K) = "Issue", "ISSUE"), "")</f>
        <v/>
      </c>
      <c r="AM1430" s="6"/>
    </row>
    <row r="1431">
      <c r="A1431" s="5" t="s">
        <v>7352</v>
      </c>
      <c r="B1431" s="1" t="s">
        <v>7353</v>
      </c>
      <c r="C1431" s="1"/>
      <c r="D1431" s="2">
        <v>7.032232616E9</v>
      </c>
      <c r="E1431" s="1" t="s">
        <v>4687</v>
      </c>
      <c r="F1431" s="1"/>
      <c r="G1431" s="1" t="s">
        <v>4688</v>
      </c>
      <c r="H1431" s="1" t="s">
        <v>1038</v>
      </c>
      <c r="I1431" s="1">
        <v>22032.0</v>
      </c>
      <c r="J1431" s="1" t="s">
        <v>752</v>
      </c>
      <c r="K1431" s="1" t="s">
        <v>66</v>
      </c>
      <c r="L1431" s="1" t="s">
        <v>5767</v>
      </c>
      <c r="M1431" s="1">
        <v>210.0</v>
      </c>
      <c r="N1431" s="1" t="s">
        <v>1152</v>
      </c>
      <c r="O1431" s="3" t="s">
        <v>4689</v>
      </c>
      <c r="P1431" s="18">
        <v>45891.0</v>
      </c>
      <c r="Q1431" s="1" t="s">
        <v>1152</v>
      </c>
      <c r="R1431" s="1"/>
      <c r="S1431" s="1"/>
      <c r="T1431" s="1" t="s">
        <v>1152</v>
      </c>
      <c r="U1431" s="1" t="s">
        <v>1794</v>
      </c>
      <c r="V1431" s="4" t="s">
        <v>4689</v>
      </c>
      <c r="W1431" s="1"/>
      <c r="X1431" s="18">
        <v>45891.0</v>
      </c>
      <c r="Y1431" s="1" t="s">
        <v>1152</v>
      </c>
      <c r="Z1431" s="1"/>
      <c r="AA1431" s="1"/>
      <c r="AB1431" s="1"/>
      <c r="AC1431" s="1" t="s">
        <v>1925</v>
      </c>
      <c r="AD1431" s="1"/>
      <c r="AE1431" s="1" t="s">
        <v>1152</v>
      </c>
      <c r="AF1431" s="1"/>
      <c r="AG1431" s="1"/>
      <c r="AH1431" s="1" t="s">
        <v>1152</v>
      </c>
      <c r="AI1431" s="1"/>
      <c r="AJ1431" s="1" t="s">
        <v>4687</v>
      </c>
      <c r="AK1431" s="1" t="s">
        <v>1152</v>
      </c>
      <c r="AL1431" s="6" t="str">
        <f t="array" ref="AL1431">IFERROR(IFS(XLOOKUP(B1431, 'Kit Delivery Status'!$U:$U, 'Kit Delivery Status'!$K:$K) = "Complete", "DELIVERED", XLOOKUP(B1431, 'Kit Delivery Status'!$U:$U, 'Kit Delivery Status'!$K:$K) = "Issue", "ISSUE"), "")</f>
        <v/>
      </c>
      <c r="AM1431" s="6"/>
    </row>
    <row r="1432">
      <c r="A1432" s="5" t="s">
        <v>7354</v>
      </c>
      <c r="B1432" s="1" t="s">
        <v>7355</v>
      </c>
      <c r="C1432" s="1" t="s">
        <v>7356</v>
      </c>
      <c r="D1432" s="2">
        <v>4.159885221E9</v>
      </c>
      <c r="E1432" s="1" t="s">
        <v>7357</v>
      </c>
      <c r="F1432" s="1" t="s">
        <v>7358</v>
      </c>
      <c r="G1432" s="1" t="s">
        <v>1562</v>
      </c>
      <c r="H1432" s="1" t="s">
        <v>989</v>
      </c>
      <c r="I1432" s="1">
        <v>94118.0</v>
      </c>
      <c r="J1432" s="1" t="s">
        <v>752</v>
      </c>
      <c r="K1432" s="1" t="s">
        <v>51</v>
      </c>
      <c r="L1432" s="1" t="s">
        <v>5722</v>
      </c>
      <c r="M1432" s="1">
        <v>1.0</v>
      </c>
      <c r="N1432" s="1" t="s">
        <v>2487</v>
      </c>
      <c r="O1432" s="3"/>
      <c r="P1432" s="18">
        <v>45891.0</v>
      </c>
      <c r="Q1432" s="1" t="s">
        <v>3418</v>
      </c>
      <c r="R1432" s="1" t="s">
        <v>7358</v>
      </c>
      <c r="S1432" s="1" t="s">
        <v>124</v>
      </c>
      <c r="T1432" s="1" t="s">
        <v>2487</v>
      </c>
      <c r="U1432" s="1"/>
      <c r="V1432" s="4"/>
      <c r="W1432" s="1" t="s">
        <v>7358</v>
      </c>
      <c r="X1432" s="18">
        <v>45891.0</v>
      </c>
      <c r="Y1432" s="1" t="s">
        <v>3418</v>
      </c>
      <c r="Z1432" s="1"/>
      <c r="AA1432" s="1" t="s">
        <v>7358</v>
      </c>
      <c r="AB1432" s="1" t="s">
        <v>124</v>
      </c>
      <c r="AC1432" s="1" t="s">
        <v>1925</v>
      </c>
      <c r="AD1432" s="1"/>
      <c r="AE1432" s="1" t="s">
        <v>1152</v>
      </c>
      <c r="AF1432" s="1"/>
      <c r="AG1432" s="1"/>
      <c r="AH1432" s="1" t="s">
        <v>1152</v>
      </c>
      <c r="AI1432" s="1"/>
      <c r="AJ1432" s="1" t="s">
        <v>7359</v>
      </c>
      <c r="AK1432" s="1" t="s">
        <v>1152</v>
      </c>
      <c r="AL1432" s="6" t="str">
        <f t="array" ref="AL1432">IFERROR(IFS(XLOOKUP(B1432, 'Kit Delivery Status'!$U:$U, 'Kit Delivery Status'!$K:$K) = "Complete", "DELIVERED", XLOOKUP(B1432, 'Kit Delivery Status'!$U:$U, 'Kit Delivery Status'!$K:$K) = "Issue", "ISSUE"), "")</f>
        <v/>
      </c>
      <c r="AM1432" s="6"/>
    </row>
    <row r="1433">
      <c r="A1433" s="5" t="s">
        <v>7360</v>
      </c>
      <c r="B1433" s="1" t="s">
        <v>7361</v>
      </c>
      <c r="C1433" s="1" t="s">
        <v>7362</v>
      </c>
      <c r="D1433" s="2">
        <v>3.149349561E9</v>
      </c>
      <c r="E1433" s="1" t="s">
        <v>7363</v>
      </c>
      <c r="F1433" s="1" t="s">
        <v>7364</v>
      </c>
      <c r="G1433" s="1" t="s">
        <v>3741</v>
      </c>
      <c r="H1433" s="1" t="s">
        <v>1155</v>
      </c>
      <c r="I1433" s="1">
        <v>63130.0</v>
      </c>
      <c r="J1433" s="1" t="s">
        <v>752</v>
      </c>
      <c r="K1433" s="1" t="s">
        <v>51</v>
      </c>
      <c r="L1433" s="1" t="s">
        <v>5722</v>
      </c>
      <c r="M1433" s="1">
        <v>1.0</v>
      </c>
      <c r="N1433" s="1" t="s">
        <v>2487</v>
      </c>
      <c r="O1433" s="3"/>
      <c r="P1433" s="18">
        <v>45892.0</v>
      </c>
      <c r="Q1433" s="1" t="s">
        <v>2463</v>
      </c>
      <c r="R1433" s="1" t="s">
        <v>7364</v>
      </c>
      <c r="S1433" s="1" t="s">
        <v>124</v>
      </c>
      <c r="T1433" s="1" t="s">
        <v>2487</v>
      </c>
      <c r="U1433" s="1"/>
      <c r="V1433" s="4"/>
      <c r="W1433" s="1" t="s">
        <v>7364</v>
      </c>
      <c r="X1433" s="18">
        <v>45892.0</v>
      </c>
      <c r="Y1433" s="1" t="s">
        <v>2463</v>
      </c>
      <c r="Z1433" s="1"/>
      <c r="AA1433" s="1" t="s">
        <v>7364</v>
      </c>
      <c r="AB1433" s="1" t="s">
        <v>124</v>
      </c>
      <c r="AC1433" s="1" t="s">
        <v>1925</v>
      </c>
      <c r="AD1433" s="1"/>
      <c r="AE1433" s="1" t="s">
        <v>1152</v>
      </c>
      <c r="AF1433" s="1"/>
      <c r="AG1433" s="1"/>
      <c r="AH1433" s="1" t="s">
        <v>1152</v>
      </c>
      <c r="AI1433" s="1"/>
      <c r="AJ1433" s="1" t="s">
        <v>7363</v>
      </c>
      <c r="AK1433" s="1" t="s">
        <v>1152</v>
      </c>
      <c r="AL1433" s="6" t="str">
        <f t="array" ref="AL1433">IFERROR(IFS(XLOOKUP(B1433, 'Kit Delivery Status'!$U:$U, 'Kit Delivery Status'!$K:$K) = "Complete", "DELIVERED", XLOOKUP(B1433, 'Kit Delivery Status'!$U:$U, 'Kit Delivery Status'!$K:$K) = "Issue", "ISSUE"), "")</f>
        <v/>
      </c>
      <c r="AM1433" s="6"/>
    </row>
    <row r="1434">
      <c r="A1434" s="5" t="s">
        <v>7365</v>
      </c>
      <c r="B1434" s="1" t="s">
        <v>7366</v>
      </c>
      <c r="C1434" s="1"/>
      <c r="D1434" s="2">
        <v>3.078232952E9</v>
      </c>
      <c r="E1434" s="1" t="s">
        <v>7367</v>
      </c>
      <c r="F1434" s="1"/>
      <c r="G1434" s="1" t="s">
        <v>7368</v>
      </c>
      <c r="H1434" s="1" t="s">
        <v>7369</v>
      </c>
      <c r="I1434" s="1">
        <v>82001.0</v>
      </c>
      <c r="J1434" s="1" t="s">
        <v>752</v>
      </c>
      <c r="K1434" s="1" t="s">
        <v>51</v>
      </c>
      <c r="L1434" s="1" t="s">
        <v>5722</v>
      </c>
      <c r="M1434" s="1">
        <v>1.0</v>
      </c>
      <c r="N1434" s="1" t="s">
        <v>2461</v>
      </c>
      <c r="O1434" s="3" t="s">
        <v>7370</v>
      </c>
      <c r="P1434" s="18">
        <v>45891.0</v>
      </c>
      <c r="Q1434" s="1" t="s">
        <v>3219</v>
      </c>
      <c r="R1434" s="1"/>
      <c r="S1434" s="1" t="s">
        <v>52</v>
      </c>
      <c r="T1434" s="1" t="s">
        <v>2461</v>
      </c>
      <c r="U1434" s="1" t="s">
        <v>1021</v>
      </c>
      <c r="V1434" s="4" t="s">
        <v>7370</v>
      </c>
      <c r="W1434" s="1"/>
      <c r="X1434" s="18">
        <v>45891.0</v>
      </c>
      <c r="Y1434" s="1" t="s">
        <v>3219</v>
      </c>
      <c r="Z1434" s="1"/>
      <c r="AA1434" s="1"/>
      <c r="AB1434" s="1" t="s">
        <v>52</v>
      </c>
      <c r="AC1434" s="1" t="s">
        <v>1925</v>
      </c>
      <c r="AD1434" s="1"/>
      <c r="AE1434" s="1" t="s">
        <v>1152</v>
      </c>
      <c r="AF1434" s="1"/>
      <c r="AG1434" s="1"/>
      <c r="AH1434" s="1" t="s">
        <v>1152</v>
      </c>
      <c r="AI1434" s="1"/>
      <c r="AJ1434" s="1" t="s">
        <v>7367</v>
      </c>
      <c r="AK1434" s="1" t="s">
        <v>1152</v>
      </c>
      <c r="AL1434" s="6" t="str">
        <f t="array" ref="AL1434">IFERROR(IFS(XLOOKUP(B1434, 'Kit Delivery Status'!$U:$U, 'Kit Delivery Status'!$K:$K) = "Complete", "DELIVERED", XLOOKUP(B1434, 'Kit Delivery Status'!$U:$U, 'Kit Delivery Status'!$K:$K) = "Issue", "ISSUE"), "")</f>
        <v/>
      </c>
      <c r="AM1434" s="6"/>
    </row>
    <row r="1435">
      <c r="A1435" s="5" t="s">
        <v>7371</v>
      </c>
      <c r="B1435" s="1" t="s">
        <v>7372</v>
      </c>
      <c r="C1435" s="1" t="s">
        <v>7373</v>
      </c>
      <c r="D1435" s="2">
        <v>3.148821693E9</v>
      </c>
      <c r="E1435" s="1" t="s">
        <v>7374</v>
      </c>
      <c r="F1435" s="1" t="s">
        <v>7375</v>
      </c>
      <c r="G1435" s="1" t="s">
        <v>1283</v>
      </c>
      <c r="H1435" s="1" t="s">
        <v>1155</v>
      </c>
      <c r="I1435" s="1">
        <v>63105.0</v>
      </c>
      <c r="J1435" s="1" t="s">
        <v>752</v>
      </c>
      <c r="K1435" s="1" t="s">
        <v>51</v>
      </c>
      <c r="L1435" s="1" t="s">
        <v>5722</v>
      </c>
      <c r="M1435" s="1">
        <v>1.0</v>
      </c>
      <c r="N1435" s="1" t="s">
        <v>2487</v>
      </c>
      <c r="O1435" s="3"/>
      <c r="P1435" s="18">
        <v>45892.0</v>
      </c>
      <c r="Q1435" s="1" t="s">
        <v>2731</v>
      </c>
      <c r="R1435" s="1" t="s">
        <v>7375</v>
      </c>
      <c r="S1435" s="1" t="s">
        <v>124</v>
      </c>
      <c r="T1435" s="1" t="s">
        <v>2487</v>
      </c>
      <c r="U1435" s="1"/>
      <c r="V1435" s="4"/>
      <c r="W1435" s="1" t="s">
        <v>7375</v>
      </c>
      <c r="X1435" s="18">
        <v>45892.0</v>
      </c>
      <c r="Y1435" s="1" t="s">
        <v>2731</v>
      </c>
      <c r="Z1435" s="1"/>
      <c r="AA1435" s="1" t="s">
        <v>7375</v>
      </c>
      <c r="AB1435" s="1" t="s">
        <v>124</v>
      </c>
      <c r="AC1435" s="1" t="s">
        <v>1925</v>
      </c>
      <c r="AD1435" s="1"/>
      <c r="AE1435" s="1" t="s">
        <v>1152</v>
      </c>
      <c r="AF1435" s="1"/>
      <c r="AG1435" s="1"/>
      <c r="AH1435" s="1" t="s">
        <v>1152</v>
      </c>
      <c r="AI1435" s="1"/>
      <c r="AJ1435" s="1" t="s">
        <v>7376</v>
      </c>
      <c r="AK1435" s="1" t="s">
        <v>1152</v>
      </c>
      <c r="AL1435" s="6" t="str">
        <f t="array" ref="AL1435">IFERROR(IFS(XLOOKUP(B1435, 'Kit Delivery Status'!$U:$U, 'Kit Delivery Status'!$K:$K) = "Complete", "DELIVERED", XLOOKUP(B1435, 'Kit Delivery Status'!$U:$U, 'Kit Delivery Status'!$K:$K) = "Issue", "ISSUE"), "")</f>
        <v/>
      </c>
      <c r="AM1435" s="6"/>
    </row>
    <row r="1436">
      <c r="A1436" s="5" t="s">
        <v>7377</v>
      </c>
      <c r="B1436" s="1" t="s">
        <v>7378</v>
      </c>
      <c r="C1436" s="1" t="s">
        <v>7379</v>
      </c>
      <c r="D1436" s="2">
        <v>8.149254159E9</v>
      </c>
      <c r="E1436" s="1" t="s">
        <v>7380</v>
      </c>
      <c r="F1436" s="1"/>
      <c r="G1436" s="1" t="s">
        <v>1283</v>
      </c>
      <c r="H1436" s="1" t="s">
        <v>1155</v>
      </c>
      <c r="I1436" s="1">
        <v>63130.0</v>
      </c>
      <c r="J1436" s="1" t="s">
        <v>752</v>
      </c>
      <c r="K1436" s="1" t="s">
        <v>51</v>
      </c>
      <c r="L1436" s="1" t="s">
        <v>5722</v>
      </c>
      <c r="M1436" s="1">
        <v>1.0</v>
      </c>
      <c r="N1436" s="1" t="s">
        <v>2461</v>
      </c>
      <c r="O1436" s="3" t="s">
        <v>2993</v>
      </c>
      <c r="P1436" s="18">
        <v>45890.0</v>
      </c>
      <c r="Q1436" s="1" t="s">
        <v>2463</v>
      </c>
      <c r="R1436" s="1"/>
      <c r="S1436" s="1" t="s">
        <v>52</v>
      </c>
      <c r="T1436" s="1" t="s">
        <v>2461</v>
      </c>
      <c r="U1436" s="1" t="s">
        <v>1021</v>
      </c>
      <c r="V1436" s="4" t="s">
        <v>2993</v>
      </c>
      <c r="W1436" s="1"/>
      <c r="X1436" s="18">
        <v>45890.0</v>
      </c>
      <c r="Y1436" s="1" t="s">
        <v>2463</v>
      </c>
      <c r="Z1436" s="1"/>
      <c r="AA1436" s="1"/>
      <c r="AB1436" s="1" t="s">
        <v>52</v>
      </c>
      <c r="AC1436" s="1" t="s">
        <v>1925</v>
      </c>
      <c r="AD1436" s="1"/>
      <c r="AE1436" s="1" t="s">
        <v>1152</v>
      </c>
      <c r="AF1436" s="1"/>
      <c r="AG1436" s="1"/>
      <c r="AH1436" s="1" t="s">
        <v>1152</v>
      </c>
      <c r="AI1436" s="1"/>
      <c r="AJ1436" s="1" t="s">
        <v>7381</v>
      </c>
      <c r="AK1436" s="1" t="s">
        <v>1152</v>
      </c>
      <c r="AL1436" s="6" t="str">
        <f t="array" ref="AL1436">IFERROR(IFS(XLOOKUP(B1436, 'Kit Delivery Status'!$U:$U, 'Kit Delivery Status'!$K:$K) = "Complete", "DELIVERED", XLOOKUP(B1436, 'Kit Delivery Status'!$U:$U, 'Kit Delivery Status'!$K:$K) = "Issue", "ISSUE"), "")</f>
        <v/>
      </c>
      <c r="AM1436" s="6"/>
    </row>
    <row r="1437">
      <c r="A1437" s="5" t="s">
        <v>7382</v>
      </c>
      <c r="B1437" s="1" t="s">
        <v>7383</v>
      </c>
      <c r="C1437" s="1"/>
      <c r="D1437" s="2">
        <v>9.145255121E9</v>
      </c>
      <c r="E1437" s="1" t="s">
        <v>7384</v>
      </c>
      <c r="F1437" s="1" t="s">
        <v>7385</v>
      </c>
      <c r="G1437" s="1" t="s">
        <v>1766</v>
      </c>
      <c r="H1437" s="1" t="s">
        <v>1078</v>
      </c>
      <c r="I1437" s="1">
        <v>6841.0</v>
      </c>
      <c r="J1437" s="1" t="s">
        <v>752</v>
      </c>
      <c r="K1437" s="1" t="s">
        <v>51</v>
      </c>
      <c r="L1437" s="1" t="s">
        <v>5722</v>
      </c>
      <c r="M1437" s="1">
        <v>1.0</v>
      </c>
      <c r="N1437" s="1" t="s">
        <v>2487</v>
      </c>
      <c r="O1437" s="3"/>
      <c r="P1437" s="18">
        <v>45890.0</v>
      </c>
      <c r="Q1437" s="1" t="s">
        <v>2463</v>
      </c>
      <c r="R1437" s="1" t="s">
        <v>7385</v>
      </c>
      <c r="S1437" s="1" t="s">
        <v>124</v>
      </c>
      <c r="T1437" s="1" t="s">
        <v>2487</v>
      </c>
      <c r="U1437" s="1"/>
      <c r="V1437" s="4"/>
      <c r="W1437" s="1" t="s">
        <v>7385</v>
      </c>
      <c r="X1437" s="18">
        <v>45890.0</v>
      </c>
      <c r="Y1437" s="1" t="s">
        <v>2463</v>
      </c>
      <c r="Z1437" s="1"/>
      <c r="AA1437" s="1" t="s">
        <v>7385</v>
      </c>
      <c r="AB1437" s="1" t="s">
        <v>124</v>
      </c>
      <c r="AC1437" s="1" t="s">
        <v>1925</v>
      </c>
      <c r="AD1437" s="1"/>
      <c r="AE1437" s="1" t="s">
        <v>1152</v>
      </c>
      <c r="AF1437" s="1"/>
      <c r="AG1437" s="1"/>
      <c r="AH1437" s="1" t="s">
        <v>1152</v>
      </c>
      <c r="AI1437" s="1"/>
      <c r="AJ1437" s="1" t="s">
        <v>7384</v>
      </c>
      <c r="AK1437" s="1" t="s">
        <v>1152</v>
      </c>
      <c r="AL1437" s="6" t="str">
        <f t="array" ref="AL1437">IFERROR(IFS(XLOOKUP(B1437, 'Kit Delivery Status'!$U:$U, 'Kit Delivery Status'!$K:$K) = "Complete", "DELIVERED", XLOOKUP(B1437, 'Kit Delivery Status'!$U:$U, 'Kit Delivery Status'!$K:$K) = "Issue", "ISSUE"), "")</f>
        <v/>
      </c>
      <c r="AM1437" s="6"/>
    </row>
    <row r="1438">
      <c r="A1438" s="5" t="s">
        <v>7386</v>
      </c>
      <c r="B1438" s="1" t="s">
        <v>7387</v>
      </c>
      <c r="C1438" s="1" t="s">
        <v>7388</v>
      </c>
      <c r="D1438" s="2">
        <v>7.033894355E9</v>
      </c>
      <c r="E1438" s="1" t="s">
        <v>7389</v>
      </c>
      <c r="F1438" s="1" t="s">
        <v>7390</v>
      </c>
      <c r="G1438" s="1" t="s">
        <v>7391</v>
      </c>
      <c r="H1438" s="1" t="s">
        <v>1038</v>
      </c>
      <c r="I1438" s="1">
        <v>20151.0</v>
      </c>
      <c r="J1438" s="1" t="s">
        <v>752</v>
      </c>
      <c r="K1438" s="1" t="s">
        <v>51</v>
      </c>
      <c r="L1438" s="1" t="s">
        <v>5722</v>
      </c>
      <c r="M1438" s="1">
        <v>1.0</v>
      </c>
      <c r="N1438" s="1" t="s">
        <v>2487</v>
      </c>
      <c r="O1438" s="3"/>
      <c r="P1438" s="18">
        <v>45889.0</v>
      </c>
      <c r="Q1438" s="1" t="s">
        <v>3219</v>
      </c>
      <c r="R1438" s="1" t="s">
        <v>7390</v>
      </c>
      <c r="S1438" s="1" t="s">
        <v>124</v>
      </c>
      <c r="T1438" s="1" t="s">
        <v>2487</v>
      </c>
      <c r="U1438" s="1"/>
      <c r="V1438" s="4"/>
      <c r="W1438" s="1" t="s">
        <v>7390</v>
      </c>
      <c r="X1438" s="18">
        <v>45889.0</v>
      </c>
      <c r="Y1438" s="1" t="s">
        <v>3219</v>
      </c>
      <c r="Z1438" s="1"/>
      <c r="AA1438" s="1" t="s">
        <v>7390</v>
      </c>
      <c r="AB1438" s="1" t="s">
        <v>124</v>
      </c>
      <c r="AC1438" s="1" t="s">
        <v>1925</v>
      </c>
      <c r="AD1438" s="1"/>
      <c r="AE1438" s="1" t="s">
        <v>1152</v>
      </c>
      <c r="AF1438" s="1"/>
      <c r="AG1438" s="1"/>
      <c r="AH1438" s="1" t="s">
        <v>1152</v>
      </c>
      <c r="AI1438" s="1"/>
      <c r="AJ1438" s="1" t="s">
        <v>7389</v>
      </c>
      <c r="AK1438" s="1" t="s">
        <v>1152</v>
      </c>
      <c r="AL1438" s="6" t="str">
        <f t="array" ref="AL1438">IFERROR(IFS(XLOOKUP(B1438, 'Kit Delivery Status'!$U:$U, 'Kit Delivery Status'!$K:$K) = "Complete", "DELIVERED", XLOOKUP(B1438, 'Kit Delivery Status'!$U:$U, 'Kit Delivery Status'!$K:$K) = "Issue", "ISSUE"), "")</f>
        <v/>
      </c>
      <c r="AM1438" s="6"/>
    </row>
    <row r="1439">
      <c r="A1439" s="5" t="s">
        <v>7392</v>
      </c>
      <c r="B1439" s="1" t="s">
        <v>7393</v>
      </c>
      <c r="C1439" s="1" t="s">
        <v>7394</v>
      </c>
      <c r="D1439" s="2">
        <v>6.108040945E9</v>
      </c>
      <c r="E1439" s="1" t="s">
        <v>7395</v>
      </c>
      <c r="F1439" s="1"/>
      <c r="G1439" s="1" t="s">
        <v>3403</v>
      </c>
      <c r="H1439" s="1" t="s">
        <v>1233</v>
      </c>
      <c r="I1439" s="1">
        <v>19081.0</v>
      </c>
      <c r="J1439" s="1" t="s">
        <v>752</v>
      </c>
      <c r="K1439" s="1" t="s">
        <v>51</v>
      </c>
      <c r="L1439" s="1" t="s">
        <v>5722</v>
      </c>
      <c r="M1439" s="1">
        <v>1.0</v>
      </c>
      <c r="N1439" s="1" t="s">
        <v>2461</v>
      </c>
      <c r="O1439" s="3" t="s">
        <v>7396</v>
      </c>
      <c r="P1439" s="18">
        <v>45890.0</v>
      </c>
      <c r="Q1439" s="1" t="s">
        <v>2852</v>
      </c>
      <c r="R1439" s="1"/>
      <c r="S1439" s="1" t="s">
        <v>52</v>
      </c>
      <c r="T1439" s="1" t="s">
        <v>2461</v>
      </c>
      <c r="U1439" s="1" t="s">
        <v>2236</v>
      </c>
      <c r="V1439" s="4" t="s">
        <v>7396</v>
      </c>
      <c r="W1439" s="1"/>
      <c r="X1439" s="18">
        <v>45890.0</v>
      </c>
      <c r="Y1439" s="1" t="s">
        <v>2852</v>
      </c>
      <c r="Z1439" s="1"/>
      <c r="AA1439" s="1"/>
      <c r="AB1439" s="1" t="s">
        <v>52</v>
      </c>
      <c r="AC1439" s="1" t="s">
        <v>1925</v>
      </c>
      <c r="AD1439" s="1"/>
      <c r="AE1439" s="1" t="s">
        <v>1152</v>
      </c>
      <c r="AF1439" s="1"/>
      <c r="AG1439" s="1"/>
      <c r="AH1439" s="1" t="s">
        <v>1152</v>
      </c>
      <c r="AI1439" s="1"/>
      <c r="AJ1439" s="1" t="s">
        <v>7397</v>
      </c>
      <c r="AK1439" s="1" t="s">
        <v>1152</v>
      </c>
      <c r="AL1439" s="6" t="str">
        <f t="array" ref="AL1439">IFERROR(IFS(XLOOKUP(B1439, 'Kit Delivery Status'!$U:$U, 'Kit Delivery Status'!$K:$K) = "Complete", "DELIVERED", XLOOKUP(B1439, 'Kit Delivery Status'!$U:$U, 'Kit Delivery Status'!$K:$K) = "Issue", "ISSUE"), "")</f>
        <v/>
      </c>
      <c r="AM1439" s="6"/>
    </row>
    <row r="1440">
      <c r="A1440" s="5" t="s">
        <v>7398</v>
      </c>
      <c r="B1440" s="1" t="s">
        <v>7399</v>
      </c>
      <c r="C1440" s="1" t="s">
        <v>7400</v>
      </c>
      <c r="D1440" s="2">
        <v>9.012990235E9</v>
      </c>
      <c r="E1440" s="1" t="s">
        <v>7401</v>
      </c>
      <c r="F1440" s="1"/>
      <c r="G1440" s="1" t="s">
        <v>7402</v>
      </c>
      <c r="H1440" s="1" t="s">
        <v>1598</v>
      </c>
      <c r="I1440" s="1">
        <v>38120.0</v>
      </c>
      <c r="J1440" s="1" t="s">
        <v>752</v>
      </c>
      <c r="K1440" s="1" t="s">
        <v>51</v>
      </c>
      <c r="L1440" s="1" t="s">
        <v>5722</v>
      </c>
      <c r="M1440" s="1">
        <v>1.0</v>
      </c>
      <c r="N1440" s="1" t="s">
        <v>2461</v>
      </c>
      <c r="O1440" s="3" t="s">
        <v>7403</v>
      </c>
      <c r="P1440" s="18">
        <v>45890.0</v>
      </c>
      <c r="Q1440" s="1" t="s">
        <v>2463</v>
      </c>
      <c r="R1440" s="1"/>
      <c r="S1440" s="1" t="s">
        <v>52</v>
      </c>
      <c r="T1440" s="1" t="s">
        <v>2461</v>
      </c>
      <c r="U1440" s="1" t="s">
        <v>1710</v>
      </c>
      <c r="V1440" s="4" t="s">
        <v>7403</v>
      </c>
      <c r="W1440" s="1"/>
      <c r="X1440" s="18">
        <v>45890.0</v>
      </c>
      <c r="Y1440" s="1" t="s">
        <v>2463</v>
      </c>
      <c r="Z1440" s="1"/>
      <c r="AA1440" s="1"/>
      <c r="AB1440" s="1" t="s">
        <v>52</v>
      </c>
      <c r="AC1440" s="1" t="s">
        <v>1925</v>
      </c>
      <c r="AD1440" s="1"/>
      <c r="AE1440" s="1" t="s">
        <v>1152</v>
      </c>
      <c r="AF1440" s="1"/>
      <c r="AG1440" s="1"/>
      <c r="AH1440" s="1" t="s">
        <v>1152</v>
      </c>
      <c r="AI1440" s="1"/>
      <c r="AJ1440" s="1" t="s">
        <v>7404</v>
      </c>
      <c r="AK1440" s="1" t="s">
        <v>1152</v>
      </c>
      <c r="AL1440" s="6" t="str">
        <f t="array" ref="AL1440">IFERROR(IFS(XLOOKUP(B1440, 'Kit Delivery Status'!$U:$U, 'Kit Delivery Status'!$K:$K) = "Complete", "DELIVERED", XLOOKUP(B1440, 'Kit Delivery Status'!$U:$U, 'Kit Delivery Status'!$K:$K) = "Issue", "ISSUE"), "")</f>
        <v/>
      </c>
      <c r="AM1440" s="6"/>
    </row>
    <row r="1441">
      <c r="A1441" s="5" t="s">
        <v>7405</v>
      </c>
      <c r="B1441" s="1" t="s">
        <v>7406</v>
      </c>
      <c r="C1441" s="1"/>
      <c r="D1441" s="2">
        <v>2.023941557E9</v>
      </c>
      <c r="E1441" s="1" t="s">
        <v>7407</v>
      </c>
      <c r="F1441" s="1" t="s">
        <v>7408</v>
      </c>
      <c r="G1441" s="1" t="s">
        <v>2986</v>
      </c>
      <c r="H1441" s="1" t="s">
        <v>1005</v>
      </c>
      <c r="I1441" s="1">
        <v>20910.0</v>
      </c>
      <c r="J1441" s="1" t="s">
        <v>752</v>
      </c>
      <c r="K1441" s="1" t="s">
        <v>51</v>
      </c>
      <c r="L1441" s="1" t="s">
        <v>5722</v>
      </c>
      <c r="M1441" s="1">
        <v>1.0</v>
      </c>
      <c r="N1441" s="1" t="s">
        <v>2487</v>
      </c>
      <c r="O1441" s="3"/>
      <c r="P1441" s="18">
        <v>45889.0</v>
      </c>
      <c r="Q1441" s="1" t="s">
        <v>2731</v>
      </c>
      <c r="R1441" s="1" t="s">
        <v>7408</v>
      </c>
      <c r="S1441" s="1" t="s">
        <v>124</v>
      </c>
      <c r="T1441" s="1" t="s">
        <v>2487</v>
      </c>
      <c r="U1441" s="1"/>
      <c r="V1441" s="4"/>
      <c r="W1441" s="1" t="s">
        <v>7408</v>
      </c>
      <c r="X1441" s="18">
        <v>45889.0</v>
      </c>
      <c r="Y1441" s="1" t="s">
        <v>2731</v>
      </c>
      <c r="Z1441" s="1"/>
      <c r="AA1441" s="1" t="s">
        <v>7408</v>
      </c>
      <c r="AB1441" s="1" t="s">
        <v>124</v>
      </c>
      <c r="AC1441" s="1" t="s">
        <v>1925</v>
      </c>
      <c r="AD1441" s="1"/>
      <c r="AE1441" s="1" t="s">
        <v>1152</v>
      </c>
      <c r="AF1441" s="1"/>
      <c r="AG1441" s="1"/>
      <c r="AH1441" s="1" t="s">
        <v>1152</v>
      </c>
      <c r="AI1441" s="1"/>
      <c r="AJ1441" s="1" t="s">
        <v>7407</v>
      </c>
      <c r="AK1441" s="1" t="s">
        <v>1152</v>
      </c>
      <c r="AL1441" s="6" t="str">
        <f t="array" ref="AL1441">IFERROR(IFS(XLOOKUP(B1441, 'Kit Delivery Status'!$U:$U, 'Kit Delivery Status'!$K:$K) = "Complete", "DELIVERED", XLOOKUP(B1441, 'Kit Delivery Status'!$U:$U, 'Kit Delivery Status'!$K:$K) = "Issue", "ISSUE"), "")</f>
        <v/>
      </c>
      <c r="AM1441" s="6"/>
    </row>
    <row r="1442">
      <c r="A1442" s="5" t="s">
        <v>7409</v>
      </c>
      <c r="B1442" s="1" t="s">
        <v>7410</v>
      </c>
      <c r="C1442" s="1" t="s">
        <v>7411</v>
      </c>
      <c r="D1442" s="2">
        <v>9.178628772E9</v>
      </c>
      <c r="E1442" s="1" t="s">
        <v>7412</v>
      </c>
      <c r="F1442" s="1"/>
      <c r="G1442" s="1" t="s">
        <v>7413</v>
      </c>
      <c r="H1442" s="1" t="s">
        <v>751</v>
      </c>
      <c r="I1442" s="1">
        <v>11976.0</v>
      </c>
      <c r="J1442" s="1" t="s">
        <v>752</v>
      </c>
      <c r="K1442" s="1" t="s">
        <v>51</v>
      </c>
      <c r="L1442" s="1" t="s">
        <v>5722</v>
      </c>
      <c r="M1442" s="1">
        <v>1.0</v>
      </c>
      <c r="N1442" s="1" t="s">
        <v>2461</v>
      </c>
      <c r="O1442" s="3" t="s">
        <v>7286</v>
      </c>
      <c r="P1442" s="18">
        <v>45890.0</v>
      </c>
      <c r="Q1442" s="1" t="s">
        <v>2463</v>
      </c>
      <c r="R1442" s="1"/>
      <c r="S1442" s="1" t="s">
        <v>52</v>
      </c>
      <c r="T1442" s="1" t="s">
        <v>2461</v>
      </c>
      <c r="U1442" s="1" t="s">
        <v>1399</v>
      </c>
      <c r="V1442" s="4" t="s">
        <v>7286</v>
      </c>
      <c r="W1442" s="1"/>
      <c r="X1442" s="18">
        <v>45890.0</v>
      </c>
      <c r="Y1442" s="1" t="s">
        <v>2463</v>
      </c>
      <c r="Z1442" s="1"/>
      <c r="AA1442" s="1"/>
      <c r="AB1442" s="1" t="s">
        <v>52</v>
      </c>
      <c r="AC1442" s="1" t="s">
        <v>1925</v>
      </c>
      <c r="AD1442" s="1"/>
      <c r="AE1442" s="1" t="s">
        <v>1152</v>
      </c>
      <c r="AF1442" s="1"/>
      <c r="AG1442" s="1"/>
      <c r="AH1442" s="1" t="s">
        <v>1152</v>
      </c>
      <c r="AI1442" s="1"/>
      <c r="AJ1442" s="1" t="s">
        <v>7414</v>
      </c>
      <c r="AK1442" s="1" t="s">
        <v>1152</v>
      </c>
      <c r="AL1442" s="6" t="str">
        <f t="array" ref="AL1442">IFERROR(IFS(XLOOKUP(B1442, 'Kit Delivery Status'!$U:$U, 'Kit Delivery Status'!$K:$K) = "Complete", "DELIVERED", XLOOKUP(B1442, 'Kit Delivery Status'!$U:$U, 'Kit Delivery Status'!$K:$K) = "Issue", "ISSUE"), "")</f>
        <v/>
      </c>
      <c r="AM1442" s="6"/>
    </row>
    <row r="1443">
      <c r="A1443" s="5" t="s">
        <v>7415</v>
      </c>
      <c r="B1443" s="1" t="s">
        <v>7416</v>
      </c>
      <c r="C1443" s="1" t="s">
        <v>7417</v>
      </c>
      <c r="D1443" s="2" t="str">
        <v>#ERROR!</v>
      </c>
      <c r="E1443" s="1" t="s">
        <v>7418</v>
      </c>
      <c r="F1443" s="1"/>
      <c r="G1443" s="1" t="s">
        <v>1131</v>
      </c>
      <c r="H1443" s="1" t="s">
        <v>751</v>
      </c>
      <c r="I1443" s="1" t="s">
        <v>7419</v>
      </c>
      <c r="J1443" s="1" t="s">
        <v>752</v>
      </c>
      <c r="K1443" s="1" t="s">
        <v>66</v>
      </c>
      <c r="L1443" s="1" t="s">
        <v>5736</v>
      </c>
      <c r="M1443" s="1">
        <v>115.0</v>
      </c>
      <c r="N1443" s="1" t="s">
        <v>1152</v>
      </c>
      <c r="O1443" s="3" t="s">
        <v>7420</v>
      </c>
      <c r="P1443" s="18">
        <v>45891.0</v>
      </c>
      <c r="Q1443" s="1" t="s">
        <v>1152</v>
      </c>
      <c r="R1443" s="1"/>
      <c r="S1443" s="1"/>
      <c r="T1443" s="1" t="s">
        <v>1152</v>
      </c>
      <c r="U1443" s="1" t="s">
        <v>1812</v>
      </c>
      <c r="V1443" s="4" t="s">
        <v>7420</v>
      </c>
      <c r="W1443" s="1"/>
      <c r="X1443" s="18">
        <v>45891.0</v>
      </c>
      <c r="Y1443" s="1" t="s">
        <v>1152</v>
      </c>
      <c r="Z1443" s="1"/>
      <c r="AA1443" s="1"/>
      <c r="AB1443" s="1"/>
      <c r="AC1443" s="1" t="s">
        <v>1925</v>
      </c>
      <c r="AD1443" s="1"/>
      <c r="AE1443" s="1" t="s">
        <v>1152</v>
      </c>
      <c r="AF1443" s="1"/>
      <c r="AG1443" s="1"/>
      <c r="AH1443" s="1" t="s">
        <v>1152</v>
      </c>
      <c r="AI1443" s="1"/>
      <c r="AJ1443" s="1" t="s">
        <v>4968</v>
      </c>
      <c r="AK1443" s="1" t="s">
        <v>1152</v>
      </c>
      <c r="AL1443" s="6" t="str">
        <f t="array" ref="AL1443">IFERROR(IFS(XLOOKUP(B1443, 'Kit Delivery Status'!$U:$U, 'Kit Delivery Status'!$K:$K) = "Complete", "DELIVERED", XLOOKUP(B1443, 'Kit Delivery Status'!$U:$U, 'Kit Delivery Status'!$K:$K) = "Issue", "ISSUE"), "")</f>
        <v/>
      </c>
      <c r="AM1443" s="6"/>
    </row>
    <row r="1444">
      <c r="A1444" s="5" t="s">
        <v>7421</v>
      </c>
      <c r="B1444" s="1" t="s">
        <v>7422</v>
      </c>
      <c r="C1444" s="1"/>
      <c r="D1444" s="2">
        <v>2.038181729E9</v>
      </c>
      <c r="E1444" s="1" t="s">
        <v>1998</v>
      </c>
      <c r="F1444" s="1"/>
      <c r="G1444" s="1" t="s">
        <v>1604</v>
      </c>
      <c r="H1444" s="1" t="s">
        <v>1078</v>
      </c>
      <c r="I1444" s="1">
        <v>6880.0</v>
      </c>
      <c r="J1444" s="1" t="s">
        <v>752</v>
      </c>
      <c r="K1444" s="1" t="s">
        <v>66</v>
      </c>
      <c r="L1444" s="1" t="s">
        <v>5736</v>
      </c>
      <c r="M1444" s="1">
        <v>115.0</v>
      </c>
      <c r="N1444" s="1" t="s">
        <v>1152</v>
      </c>
      <c r="O1444" s="3" t="s">
        <v>7423</v>
      </c>
      <c r="P1444" s="18">
        <v>45890.0</v>
      </c>
      <c r="Q1444" s="1" t="s">
        <v>1152</v>
      </c>
      <c r="R1444" s="1"/>
      <c r="S1444" s="1"/>
      <c r="T1444" s="1" t="s">
        <v>1152</v>
      </c>
      <c r="U1444" s="1" t="s">
        <v>1133</v>
      </c>
      <c r="V1444" s="4" t="s">
        <v>7423</v>
      </c>
      <c r="W1444" s="1"/>
      <c r="X1444" s="18">
        <v>45890.0</v>
      </c>
      <c r="Y1444" s="1" t="s">
        <v>1152</v>
      </c>
      <c r="Z1444" s="1"/>
      <c r="AA1444" s="1"/>
      <c r="AB1444" s="1"/>
      <c r="AC1444" s="1" t="s">
        <v>1925</v>
      </c>
      <c r="AD1444" s="1"/>
      <c r="AE1444" s="1" t="s">
        <v>1152</v>
      </c>
      <c r="AF1444" s="1"/>
      <c r="AG1444" s="1"/>
      <c r="AH1444" s="1" t="s">
        <v>1152</v>
      </c>
      <c r="AI1444" s="1"/>
      <c r="AJ1444" s="1" t="s">
        <v>1998</v>
      </c>
      <c r="AK1444" s="1" t="s">
        <v>1152</v>
      </c>
      <c r="AL1444" s="6" t="str">
        <f t="array" ref="AL1444">IFERROR(IFS(XLOOKUP(B1444, 'Kit Delivery Status'!$U:$U, 'Kit Delivery Status'!$K:$K) = "Complete", "DELIVERED", XLOOKUP(B1444, 'Kit Delivery Status'!$U:$U, 'Kit Delivery Status'!$K:$K) = "Issue", "ISSUE"), "")</f>
        <v/>
      </c>
      <c r="AM1444" s="6"/>
    </row>
    <row r="1445">
      <c r="A1445" s="5" t="s">
        <v>7424</v>
      </c>
      <c r="B1445" s="1" t="s">
        <v>7425</v>
      </c>
      <c r="C1445" s="1" t="s">
        <v>7426</v>
      </c>
      <c r="D1445" s="2">
        <v>5.128156391E9</v>
      </c>
      <c r="E1445" s="1" t="s">
        <v>6146</v>
      </c>
      <c r="F1445" s="1"/>
      <c r="G1445" s="1" t="s">
        <v>1582</v>
      </c>
      <c r="H1445" s="1" t="s">
        <v>1583</v>
      </c>
      <c r="I1445" s="1">
        <v>78703.0</v>
      </c>
      <c r="J1445" s="1" t="s">
        <v>752</v>
      </c>
      <c r="K1445" s="1" t="s">
        <v>66</v>
      </c>
      <c r="L1445" s="1" t="s">
        <v>5811</v>
      </c>
      <c r="M1445" s="1">
        <v>145.0</v>
      </c>
      <c r="N1445" s="1" t="s">
        <v>1152</v>
      </c>
      <c r="O1445" s="3" t="s">
        <v>7427</v>
      </c>
      <c r="P1445" s="18">
        <v>45890.0</v>
      </c>
      <c r="Q1445" s="1" t="s">
        <v>1152</v>
      </c>
      <c r="R1445" s="1"/>
      <c r="S1445" s="1"/>
      <c r="T1445" s="1" t="s">
        <v>1152</v>
      </c>
      <c r="U1445" s="1" t="s">
        <v>1642</v>
      </c>
      <c r="V1445" s="4" t="s">
        <v>7427</v>
      </c>
      <c r="W1445" s="1"/>
      <c r="X1445" s="18">
        <v>45890.0</v>
      </c>
      <c r="Y1445" s="1" t="s">
        <v>1152</v>
      </c>
      <c r="Z1445" s="1"/>
      <c r="AA1445" s="1"/>
      <c r="AB1445" s="1"/>
      <c r="AC1445" s="1" t="s">
        <v>1925</v>
      </c>
      <c r="AD1445" s="1"/>
      <c r="AE1445" s="1" t="s">
        <v>1152</v>
      </c>
      <c r="AF1445" s="1"/>
      <c r="AG1445" s="1"/>
      <c r="AH1445" s="1" t="s">
        <v>1152</v>
      </c>
      <c r="AI1445" s="1"/>
      <c r="AJ1445" s="1" t="s">
        <v>6146</v>
      </c>
      <c r="AK1445" s="1" t="s">
        <v>1152</v>
      </c>
      <c r="AL1445" s="6" t="str">
        <f t="array" ref="AL1445">IFERROR(IFS(XLOOKUP(B1445, 'Kit Delivery Status'!$U:$U, 'Kit Delivery Status'!$K:$K) = "Complete", "DELIVERED", XLOOKUP(B1445, 'Kit Delivery Status'!$U:$U, 'Kit Delivery Status'!$K:$K) = "Issue", "ISSUE"), "")</f>
        <v/>
      </c>
      <c r="AM1445" s="6"/>
    </row>
    <row r="1446">
      <c r="A1446" s="5" t="s">
        <v>7428</v>
      </c>
      <c r="B1446" s="1" t="s">
        <v>7429</v>
      </c>
      <c r="C1446" s="1" t="s">
        <v>7430</v>
      </c>
      <c r="D1446" s="2">
        <v>1.6125787412E10</v>
      </c>
      <c r="E1446" s="1" t="s">
        <v>7431</v>
      </c>
      <c r="F1446" s="1"/>
      <c r="G1446" s="1" t="s">
        <v>2998</v>
      </c>
      <c r="H1446" s="1" t="s">
        <v>2999</v>
      </c>
      <c r="I1446" s="1">
        <v>55424.0</v>
      </c>
      <c r="J1446" s="1" t="s">
        <v>752</v>
      </c>
      <c r="K1446" s="1" t="s">
        <v>66</v>
      </c>
      <c r="L1446" s="1" t="s">
        <v>5736</v>
      </c>
      <c r="M1446" s="1">
        <v>115.0</v>
      </c>
      <c r="N1446" s="1" t="s">
        <v>1152</v>
      </c>
      <c r="O1446" s="3" t="s">
        <v>2380</v>
      </c>
      <c r="P1446" s="18">
        <v>45890.0</v>
      </c>
      <c r="Q1446" s="1" t="s">
        <v>1152</v>
      </c>
      <c r="R1446" s="1"/>
      <c r="S1446" s="1"/>
      <c r="T1446" s="1" t="s">
        <v>1152</v>
      </c>
      <c r="U1446" s="1" t="s">
        <v>982</v>
      </c>
      <c r="V1446" s="4" t="s">
        <v>2380</v>
      </c>
      <c r="W1446" s="1"/>
      <c r="X1446" s="18">
        <v>45890.0</v>
      </c>
      <c r="Y1446" s="1" t="s">
        <v>1152</v>
      </c>
      <c r="Z1446" s="1"/>
      <c r="AA1446" s="1"/>
      <c r="AB1446" s="1"/>
      <c r="AC1446" s="1" t="s">
        <v>1925</v>
      </c>
      <c r="AD1446" s="1"/>
      <c r="AE1446" s="1" t="s">
        <v>1152</v>
      </c>
      <c r="AF1446" s="1"/>
      <c r="AG1446" s="1"/>
      <c r="AH1446" s="1" t="s">
        <v>1152</v>
      </c>
      <c r="AI1446" s="1"/>
      <c r="AJ1446" s="1" t="s">
        <v>7432</v>
      </c>
      <c r="AK1446" s="1" t="s">
        <v>1152</v>
      </c>
      <c r="AL1446" s="6" t="str">
        <f t="array" ref="AL1446">IFERROR(IFS(XLOOKUP(B1446, 'Kit Delivery Status'!$U:$U, 'Kit Delivery Status'!$K:$K) = "Complete", "DELIVERED", XLOOKUP(B1446, 'Kit Delivery Status'!$U:$U, 'Kit Delivery Status'!$K:$K) = "Issue", "ISSUE"), "")</f>
        <v/>
      </c>
      <c r="AM1446" s="6"/>
    </row>
    <row r="1447">
      <c r="A1447" s="5" t="s">
        <v>7433</v>
      </c>
      <c r="B1447" s="1" t="s">
        <v>7434</v>
      </c>
      <c r="C1447" s="1" t="s">
        <v>7435</v>
      </c>
      <c r="D1447" s="2">
        <v>6.263902905E9</v>
      </c>
      <c r="E1447" s="1" t="s">
        <v>7436</v>
      </c>
      <c r="F1447" s="1" t="s">
        <v>7437</v>
      </c>
      <c r="G1447" s="1" t="s">
        <v>3119</v>
      </c>
      <c r="H1447" s="1" t="s">
        <v>989</v>
      </c>
      <c r="I1447" s="1">
        <v>91104.0</v>
      </c>
      <c r="J1447" s="1" t="s">
        <v>752</v>
      </c>
      <c r="K1447" s="1" t="s">
        <v>51</v>
      </c>
      <c r="L1447" s="1" t="s">
        <v>5722</v>
      </c>
      <c r="M1447" s="1">
        <v>1.0</v>
      </c>
      <c r="N1447" s="1" t="s">
        <v>2487</v>
      </c>
      <c r="O1447" s="3"/>
      <c r="P1447" s="18">
        <v>45890.0</v>
      </c>
      <c r="Q1447" s="1" t="s">
        <v>2463</v>
      </c>
      <c r="R1447" s="1" t="s">
        <v>7437</v>
      </c>
      <c r="S1447" s="1" t="s">
        <v>124</v>
      </c>
      <c r="T1447" s="1" t="s">
        <v>2487</v>
      </c>
      <c r="U1447" s="1"/>
      <c r="V1447" s="4"/>
      <c r="W1447" s="1" t="s">
        <v>7437</v>
      </c>
      <c r="X1447" s="18">
        <v>45890.0</v>
      </c>
      <c r="Y1447" s="1" t="s">
        <v>2463</v>
      </c>
      <c r="Z1447" s="1"/>
      <c r="AA1447" s="1" t="s">
        <v>7437</v>
      </c>
      <c r="AB1447" s="1" t="s">
        <v>124</v>
      </c>
      <c r="AC1447" s="1" t="s">
        <v>1925</v>
      </c>
      <c r="AD1447" s="1"/>
      <c r="AE1447" s="1" t="s">
        <v>1152</v>
      </c>
      <c r="AF1447" s="1"/>
      <c r="AG1447" s="1"/>
      <c r="AH1447" s="1" t="s">
        <v>1152</v>
      </c>
      <c r="AI1447" s="1"/>
      <c r="AJ1447" s="1" t="s">
        <v>7438</v>
      </c>
      <c r="AK1447" s="1" t="s">
        <v>1152</v>
      </c>
      <c r="AL1447" s="6" t="str">
        <f t="array" ref="AL1447">IFERROR(IFS(XLOOKUP(B1447, 'Kit Delivery Status'!$U:$U, 'Kit Delivery Status'!$K:$K) = "Complete", "DELIVERED", XLOOKUP(B1447, 'Kit Delivery Status'!$U:$U, 'Kit Delivery Status'!$K:$K) = "Issue", "ISSUE"), "")</f>
        <v/>
      </c>
      <c r="AM1447" s="6"/>
    </row>
    <row r="1448">
      <c r="A1448" s="5" t="s">
        <v>7439</v>
      </c>
      <c r="B1448" s="1" t="s">
        <v>7440</v>
      </c>
      <c r="C1448" s="1" t="s">
        <v>7441</v>
      </c>
      <c r="D1448" s="2">
        <v>3.148278663E9</v>
      </c>
      <c r="E1448" s="1" t="s">
        <v>7442</v>
      </c>
      <c r="F1448" s="1"/>
      <c r="G1448" s="1" t="s">
        <v>1283</v>
      </c>
      <c r="H1448" s="1" t="s">
        <v>1155</v>
      </c>
      <c r="I1448" s="1">
        <v>63105.0</v>
      </c>
      <c r="J1448" s="1" t="s">
        <v>752</v>
      </c>
      <c r="K1448" s="1" t="s">
        <v>51</v>
      </c>
      <c r="L1448" s="1" t="s">
        <v>5722</v>
      </c>
      <c r="M1448" s="1">
        <v>1.0</v>
      </c>
      <c r="N1448" s="1" t="s">
        <v>2461</v>
      </c>
      <c r="O1448" s="3" t="s">
        <v>7443</v>
      </c>
      <c r="P1448" s="18">
        <v>45890.0</v>
      </c>
      <c r="Q1448" s="1" t="s">
        <v>3418</v>
      </c>
      <c r="R1448" s="1"/>
      <c r="S1448" s="1" t="s">
        <v>52</v>
      </c>
      <c r="T1448" s="1" t="s">
        <v>2461</v>
      </c>
      <c r="U1448" s="1" t="s">
        <v>1407</v>
      </c>
      <c r="V1448" s="4" t="s">
        <v>7443</v>
      </c>
      <c r="W1448" s="1"/>
      <c r="X1448" s="18">
        <v>45890.0</v>
      </c>
      <c r="Y1448" s="1" t="s">
        <v>3418</v>
      </c>
      <c r="Z1448" s="1"/>
      <c r="AA1448" s="1"/>
      <c r="AB1448" s="1" t="s">
        <v>52</v>
      </c>
      <c r="AC1448" s="1" t="s">
        <v>1925</v>
      </c>
      <c r="AD1448" s="1"/>
      <c r="AE1448" s="1" t="s">
        <v>1152</v>
      </c>
      <c r="AF1448" s="1"/>
      <c r="AG1448" s="1"/>
      <c r="AH1448" s="1" t="s">
        <v>1152</v>
      </c>
      <c r="AI1448" s="1"/>
      <c r="AJ1448" s="1" t="s">
        <v>7444</v>
      </c>
      <c r="AK1448" s="1" t="s">
        <v>1152</v>
      </c>
      <c r="AL1448" s="6" t="str">
        <f t="array" ref="AL1448">IFERROR(IFS(XLOOKUP(B1448, 'Kit Delivery Status'!$U:$U, 'Kit Delivery Status'!$K:$K) = "Complete", "DELIVERED", XLOOKUP(B1448, 'Kit Delivery Status'!$U:$U, 'Kit Delivery Status'!$K:$K) = "Issue", "ISSUE"), "")</f>
        <v/>
      </c>
      <c r="AM1448" s="6"/>
    </row>
    <row r="1449">
      <c r="A1449" s="5" t="s">
        <v>7445</v>
      </c>
      <c r="B1449" s="1" t="s">
        <v>7446</v>
      </c>
      <c r="C1449" s="1"/>
      <c r="D1449" s="2">
        <v>9.723633209E9</v>
      </c>
      <c r="E1449" s="1" t="s">
        <v>7447</v>
      </c>
      <c r="F1449" s="1" t="s">
        <v>7448</v>
      </c>
      <c r="G1449" s="1" t="s">
        <v>4744</v>
      </c>
      <c r="H1449" s="1" t="s">
        <v>1583</v>
      </c>
      <c r="I1449" s="1">
        <v>75078.0</v>
      </c>
      <c r="J1449" s="1" t="s">
        <v>752</v>
      </c>
      <c r="K1449" s="1" t="s">
        <v>51</v>
      </c>
      <c r="L1449" s="1" t="s">
        <v>5722</v>
      </c>
      <c r="M1449" s="1">
        <v>1.0</v>
      </c>
      <c r="N1449" s="1" t="s">
        <v>2487</v>
      </c>
      <c r="O1449" s="3"/>
      <c r="P1449" s="18">
        <v>45891.0</v>
      </c>
      <c r="Q1449" s="1" t="s">
        <v>2463</v>
      </c>
      <c r="R1449" s="1" t="s">
        <v>7448</v>
      </c>
      <c r="S1449" s="1" t="s">
        <v>124</v>
      </c>
      <c r="T1449" s="1" t="s">
        <v>2487</v>
      </c>
      <c r="U1449" s="1"/>
      <c r="V1449" s="4"/>
      <c r="W1449" s="1" t="s">
        <v>7448</v>
      </c>
      <c r="X1449" s="18">
        <v>45891.0</v>
      </c>
      <c r="Y1449" s="1" t="s">
        <v>2463</v>
      </c>
      <c r="Z1449" s="1"/>
      <c r="AA1449" s="1" t="s">
        <v>7448</v>
      </c>
      <c r="AB1449" s="1" t="s">
        <v>124</v>
      </c>
      <c r="AC1449" s="1" t="s">
        <v>1925</v>
      </c>
      <c r="AD1449" s="1"/>
      <c r="AE1449" s="1" t="s">
        <v>1152</v>
      </c>
      <c r="AF1449" s="1"/>
      <c r="AG1449" s="1"/>
      <c r="AH1449" s="1" t="s">
        <v>1152</v>
      </c>
      <c r="AI1449" s="1"/>
      <c r="AJ1449" s="1" t="s">
        <v>7447</v>
      </c>
      <c r="AK1449" s="1" t="s">
        <v>1152</v>
      </c>
      <c r="AL1449" s="6" t="str">
        <f t="array" ref="AL1449">IFERROR(IFS(XLOOKUP(B1449, 'Kit Delivery Status'!$U:$U, 'Kit Delivery Status'!$K:$K) = "Complete", "DELIVERED", XLOOKUP(B1449, 'Kit Delivery Status'!$U:$U, 'Kit Delivery Status'!$K:$K) = "Issue", "ISSUE"), "")</f>
        <v/>
      </c>
      <c r="AM1449" s="6"/>
    </row>
    <row r="1450">
      <c r="A1450" s="5" t="s">
        <v>7449</v>
      </c>
      <c r="B1450" s="1" t="s">
        <v>7450</v>
      </c>
      <c r="C1450" s="1"/>
      <c r="D1450" s="2">
        <v>8.583619963E9</v>
      </c>
      <c r="E1450" s="1" t="s">
        <v>6553</v>
      </c>
      <c r="F1450" s="1"/>
      <c r="G1450" s="1" t="s">
        <v>2417</v>
      </c>
      <c r="H1450" s="1" t="s">
        <v>989</v>
      </c>
      <c r="I1450" s="1">
        <v>92037.0</v>
      </c>
      <c r="J1450" s="1" t="s">
        <v>752</v>
      </c>
      <c r="K1450" s="1" t="s">
        <v>66</v>
      </c>
      <c r="L1450" s="1" t="s">
        <v>5767</v>
      </c>
      <c r="M1450" s="1">
        <v>210.0</v>
      </c>
      <c r="N1450" s="1" t="s">
        <v>1152</v>
      </c>
      <c r="O1450" s="3" t="s">
        <v>6554</v>
      </c>
      <c r="P1450" s="18">
        <v>45891.0</v>
      </c>
      <c r="Q1450" s="1" t="s">
        <v>1152</v>
      </c>
      <c r="R1450" s="1"/>
      <c r="S1450" s="1"/>
      <c r="T1450" s="1" t="s">
        <v>1152</v>
      </c>
      <c r="U1450" s="1" t="s">
        <v>1285</v>
      </c>
      <c r="V1450" s="4" t="s">
        <v>6554</v>
      </c>
      <c r="W1450" s="1"/>
      <c r="X1450" s="18">
        <v>45891.0</v>
      </c>
      <c r="Y1450" s="1" t="s">
        <v>1152</v>
      </c>
      <c r="Z1450" s="1"/>
      <c r="AA1450" s="1"/>
      <c r="AB1450" s="1"/>
      <c r="AC1450" s="1" t="s">
        <v>1925</v>
      </c>
      <c r="AD1450" s="1"/>
      <c r="AE1450" s="1" t="s">
        <v>1152</v>
      </c>
      <c r="AF1450" s="1"/>
      <c r="AG1450" s="1"/>
      <c r="AH1450" s="1" t="s">
        <v>1152</v>
      </c>
      <c r="AI1450" s="1"/>
      <c r="AJ1450" s="1" t="s">
        <v>6553</v>
      </c>
      <c r="AK1450" s="1" t="s">
        <v>1152</v>
      </c>
      <c r="AL1450" s="6" t="str">
        <f t="array" ref="AL1450">IFERROR(IFS(XLOOKUP(B1450, 'Kit Delivery Status'!$U:$U, 'Kit Delivery Status'!$K:$K) = "Complete", "DELIVERED", XLOOKUP(B1450, 'Kit Delivery Status'!$U:$U, 'Kit Delivery Status'!$K:$K) = "Issue", "ISSUE"), "")</f>
        <v/>
      </c>
      <c r="AM1450" s="6"/>
    </row>
    <row r="1451">
      <c r="A1451" s="5" t="s">
        <v>7451</v>
      </c>
      <c r="B1451" s="1" t="s">
        <v>7452</v>
      </c>
      <c r="C1451" s="1"/>
      <c r="D1451" s="2">
        <v>9.173551283E9</v>
      </c>
      <c r="E1451" s="1" t="s">
        <v>7453</v>
      </c>
      <c r="F1451" s="1"/>
      <c r="G1451" s="1" t="s">
        <v>1684</v>
      </c>
      <c r="H1451" s="1" t="s">
        <v>751</v>
      </c>
      <c r="I1451" s="1">
        <v>11215.0</v>
      </c>
      <c r="J1451" s="1" t="s">
        <v>752</v>
      </c>
      <c r="K1451" s="1" t="s">
        <v>66</v>
      </c>
      <c r="L1451" s="1" t="s">
        <v>5736</v>
      </c>
      <c r="M1451" s="1">
        <v>115.0</v>
      </c>
      <c r="N1451" s="1" t="s">
        <v>1152</v>
      </c>
      <c r="O1451" s="3" t="s">
        <v>4310</v>
      </c>
      <c r="P1451" s="18">
        <v>45892.0</v>
      </c>
      <c r="Q1451" s="1" t="s">
        <v>1152</v>
      </c>
      <c r="R1451" s="1"/>
      <c r="S1451" s="1"/>
      <c r="T1451" s="1" t="s">
        <v>1152</v>
      </c>
      <c r="U1451" s="1" t="s">
        <v>1642</v>
      </c>
      <c r="V1451" s="4" t="s">
        <v>4310</v>
      </c>
      <c r="W1451" s="1"/>
      <c r="X1451" s="18">
        <v>45892.0</v>
      </c>
      <c r="Y1451" s="1" t="s">
        <v>1152</v>
      </c>
      <c r="Z1451" s="1"/>
      <c r="AA1451" s="1"/>
      <c r="AB1451" s="1"/>
      <c r="AC1451" s="1" t="s">
        <v>1925</v>
      </c>
      <c r="AD1451" s="1"/>
      <c r="AE1451" s="1" t="s">
        <v>1152</v>
      </c>
      <c r="AF1451" s="1"/>
      <c r="AG1451" s="1"/>
      <c r="AH1451" s="1" t="s">
        <v>1152</v>
      </c>
      <c r="AI1451" s="1"/>
      <c r="AJ1451" s="1" t="s">
        <v>7453</v>
      </c>
      <c r="AK1451" s="1" t="s">
        <v>1152</v>
      </c>
      <c r="AL1451" s="6" t="str">
        <f t="array" ref="AL1451">IFERROR(IFS(XLOOKUP(B1451, 'Kit Delivery Status'!$U:$U, 'Kit Delivery Status'!$K:$K) = "Complete", "DELIVERED", XLOOKUP(B1451, 'Kit Delivery Status'!$U:$U, 'Kit Delivery Status'!$K:$K) = "Issue", "ISSUE"), "")</f>
        <v/>
      </c>
      <c r="AM1451" s="6"/>
    </row>
    <row r="1452">
      <c r="A1452" s="5" t="s">
        <v>7454</v>
      </c>
      <c r="B1452" s="1" t="s">
        <v>7455</v>
      </c>
      <c r="C1452" s="1" t="s">
        <v>7456</v>
      </c>
      <c r="D1452" s="2">
        <v>4.047490717E9</v>
      </c>
      <c r="E1452" s="1" t="s">
        <v>7457</v>
      </c>
      <c r="F1452" s="1"/>
      <c r="G1452" s="1" t="s">
        <v>1909</v>
      </c>
      <c r="H1452" s="1" t="s">
        <v>1438</v>
      </c>
      <c r="I1452" s="1">
        <v>27614.0</v>
      </c>
      <c r="J1452" s="1" t="s">
        <v>752</v>
      </c>
      <c r="K1452" s="1" t="s">
        <v>51</v>
      </c>
      <c r="L1452" s="1" t="s">
        <v>5722</v>
      </c>
      <c r="M1452" s="1">
        <v>1.0</v>
      </c>
      <c r="N1452" s="1" t="s">
        <v>2461</v>
      </c>
      <c r="O1452" s="3" t="s">
        <v>7458</v>
      </c>
      <c r="P1452" s="18">
        <v>45890.0</v>
      </c>
      <c r="Q1452" s="1" t="s">
        <v>3219</v>
      </c>
      <c r="R1452" s="1"/>
      <c r="S1452" s="1" t="s">
        <v>52</v>
      </c>
      <c r="T1452" s="1" t="s">
        <v>2461</v>
      </c>
      <c r="U1452" s="1" t="s">
        <v>1201</v>
      </c>
      <c r="V1452" s="4" t="s">
        <v>7458</v>
      </c>
      <c r="W1452" s="1"/>
      <c r="X1452" s="18">
        <v>45890.0</v>
      </c>
      <c r="Y1452" s="1" t="s">
        <v>3219</v>
      </c>
      <c r="Z1452" s="1"/>
      <c r="AA1452" s="1"/>
      <c r="AB1452" s="1" t="s">
        <v>52</v>
      </c>
      <c r="AC1452" s="1" t="s">
        <v>1925</v>
      </c>
      <c r="AD1452" s="1"/>
      <c r="AE1452" s="1" t="s">
        <v>1152</v>
      </c>
      <c r="AF1452" s="1"/>
      <c r="AG1452" s="1"/>
      <c r="AH1452" s="1" t="s">
        <v>1152</v>
      </c>
      <c r="AI1452" s="1"/>
      <c r="AJ1452" s="1" t="s">
        <v>7457</v>
      </c>
      <c r="AK1452" s="1" t="s">
        <v>1152</v>
      </c>
      <c r="AL1452" s="6" t="str">
        <f t="array" ref="AL1452">IFERROR(IFS(XLOOKUP(B1452, 'Kit Delivery Status'!$U:$U, 'Kit Delivery Status'!$K:$K) = "Complete", "DELIVERED", XLOOKUP(B1452, 'Kit Delivery Status'!$U:$U, 'Kit Delivery Status'!$K:$K) = "Issue", "ISSUE"), "")</f>
        <v/>
      </c>
      <c r="AM1452" s="6"/>
    </row>
    <row r="1453">
      <c r="A1453" s="5" t="s">
        <v>7459</v>
      </c>
      <c r="B1453" s="1" t="s">
        <v>7460</v>
      </c>
      <c r="C1453" s="1" t="s">
        <v>7461</v>
      </c>
      <c r="D1453" s="2">
        <v>6.468589769E9</v>
      </c>
      <c r="E1453" s="1" t="s">
        <v>7462</v>
      </c>
      <c r="F1453" s="1" t="s">
        <v>7463</v>
      </c>
      <c r="G1453" s="1" t="s">
        <v>7464</v>
      </c>
      <c r="H1453" s="1" t="s">
        <v>989</v>
      </c>
      <c r="I1453" s="1">
        <v>91604.0</v>
      </c>
      <c r="J1453" s="1" t="s">
        <v>752</v>
      </c>
      <c r="K1453" s="1" t="s">
        <v>51</v>
      </c>
      <c r="L1453" s="1" t="s">
        <v>5722</v>
      </c>
      <c r="M1453" s="1">
        <v>1.0</v>
      </c>
      <c r="N1453" s="1" t="s">
        <v>2487</v>
      </c>
      <c r="O1453" s="3"/>
      <c r="P1453" s="18">
        <v>45891.0</v>
      </c>
      <c r="Q1453" s="1" t="s">
        <v>3418</v>
      </c>
      <c r="R1453" s="1" t="s">
        <v>7463</v>
      </c>
      <c r="S1453" s="1" t="s">
        <v>124</v>
      </c>
      <c r="T1453" s="1" t="s">
        <v>2487</v>
      </c>
      <c r="U1453" s="1"/>
      <c r="V1453" s="4"/>
      <c r="W1453" s="1" t="s">
        <v>7463</v>
      </c>
      <c r="X1453" s="18">
        <v>45891.0</v>
      </c>
      <c r="Y1453" s="1" t="s">
        <v>3418</v>
      </c>
      <c r="Z1453" s="1"/>
      <c r="AA1453" s="1" t="s">
        <v>7463</v>
      </c>
      <c r="AB1453" s="1" t="s">
        <v>124</v>
      </c>
      <c r="AC1453" s="1" t="s">
        <v>1925</v>
      </c>
      <c r="AD1453" s="1"/>
      <c r="AE1453" s="1" t="s">
        <v>1152</v>
      </c>
      <c r="AF1453" s="1"/>
      <c r="AG1453" s="1"/>
      <c r="AH1453" s="1" t="s">
        <v>1152</v>
      </c>
      <c r="AI1453" s="1"/>
      <c r="AJ1453" s="1" t="s">
        <v>7462</v>
      </c>
      <c r="AK1453" s="1" t="s">
        <v>1152</v>
      </c>
      <c r="AL1453" s="6" t="str">
        <f t="array" ref="AL1453">IFERROR(IFS(XLOOKUP(B1453, 'Kit Delivery Status'!$U:$U, 'Kit Delivery Status'!$K:$K) = "Complete", "DELIVERED", XLOOKUP(B1453, 'Kit Delivery Status'!$U:$U, 'Kit Delivery Status'!$K:$K) = "Issue", "ISSUE"), "")</f>
        <v/>
      </c>
      <c r="AM1453" s="6"/>
    </row>
    <row r="1454">
      <c r="A1454" s="5" t="s">
        <v>7465</v>
      </c>
      <c r="B1454" s="1" t="s">
        <v>7466</v>
      </c>
      <c r="C1454" s="1"/>
      <c r="D1454" s="2">
        <v>9.177575261E9</v>
      </c>
      <c r="E1454" s="1" t="s">
        <v>7467</v>
      </c>
      <c r="F1454" s="1" t="s">
        <v>7468</v>
      </c>
      <c r="G1454" s="1" t="s">
        <v>3084</v>
      </c>
      <c r="H1454" s="1" t="s">
        <v>1053</v>
      </c>
      <c r="I1454" s="1">
        <v>7670.0</v>
      </c>
      <c r="J1454" s="1" t="s">
        <v>752</v>
      </c>
      <c r="K1454" s="1" t="s">
        <v>51</v>
      </c>
      <c r="L1454" s="1" t="s">
        <v>5722</v>
      </c>
      <c r="M1454" s="1">
        <v>1.0</v>
      </c>
      <c r="N1454" s="1" t="s">
        <v>2487</v>
      </c>
      <c r="O1454" s="3"/>
      <c r="P1454" s="18">
        <v>45891.0</v>
      </c>
      <c r="Q1454" s="1" t="s">
        <v>2463</v>
      </c>
      <c r="R1454" s="1" t="s">
        <v>7468</v>
      </c>
      <c r="S1454" s="1" t="s">
        <v>124</v>
      </c>
      <c r="T1454" s="1" t="s">
        <v>2487</v>
      </c>
      <c r="U1454" s="1"/>
      <c r="V1454" s="4"/>
      <c r="W1454" s="1" t="s">
        <v>7468</v>
      </c>
      <c r="X1454" s="18">
        <v>45891.0</v>
      </c>
      <c r="Y1454" s="1" t="s">
        <v>2463</v>
      </c>
      <c r="Z1454" s="1"/>
      <c r="AA1454" s="1" t="s">
        <v>7468</v>
      </c>
      <c r="AB1454" s="1" t="s">
        <v>124</v>
      </c>
      <c r="AC1454" s="1" t="s">
        <v>1925</v>
      </c>
      <c r="AD1454" s="1"/>
      <c r="AE1454" s="1" t="s">
        <v>1152</v>
      </c>
      <c r="AF1454" s="1"/>
      <c r="AG1454" s="1"/>
      <c r="AH1454" s="1" t="s">
        <v>1152</v>
      </c>
      <c r="AI1454" s="1"/>
      <c r="AJ1454" s="1" t="s">
        <v>7469</v>
      </c>
      <c r="AK1454" s="1" t="s">
        <v>1152</v>
      </c>
      <c r="AL1454" s="6" t="str">
        <f t="array" ref="AL1454">IFERROR(IFS(XLOOKUP(B1454, 'Kit Delivery Status'!$U:$U, 'Kit Delivery Status'!$K:$K) = "Complete", "DELIVERED", XLOOKUP(B1454, 'Kit Delivery Status'!$U:$U, 'Kit Delivery Status'!$K:$K) = "Issue", "ISSUE"), "")</f>
        <v/>
      </c>
      <c r="AM1454" s="6"/>
    </row>
    <row r="1455">
      <c r="A1455" s="5" t="s">
        <v>7470</v>
      </c>
      <c r="B1455" s="1" t="s">
        <v>7471</v>
      </c>
      <c r="C1455" s="1"/>
      <c r="D1455" s="2">
        <v>2.482606424E9</v>
      </c>
      <c r="E1455" s="1" t="s">
        <v>7472</v>
      </c>
      <c r="F1455" s="1"/>
      <c r="G1455" s="1" t="s">
        <v>7473</v>
      </c>
      <c r="H1455" s="1" t="s">
        <v>1691</v>
      </c>
      <c r="I1455" s="1">
        <v>48302.0</v>
      </c>
      <c r="J1455" s="1" t="s">
        <v>752</v>
      </c>
      <c r="K1455" s="1" t="s">
        <v>51</v>
      </c>
      <c r="L1455" s="1" t="s">
        <v>5722</v>
      </c>
      <c r="M1455" s="1">
        <v>1.0</v>
      </c>
      <c r="N1455" s="1" t="s">
        <v>2461</v>
      </c>
      <c r="O1455" s="3" t="s">
        <v>7474</v>
      </c>
      <c r="P1455" s="18">
        <v>45891.0</v>
      </c>
      <c r="Q1455" s="1" t="s">
        <v>2463</v>
      </c>
      <c r="R1455" s="1"/>
      <c r="S1455" s="1" t="s">
        <v>52</v>
      </c>
      <c r="T1455" s="1" t="s">
        <v>2461</v>
      </c>
      <c r="U1455" s="1" t="s">
        <v>1812</v>
      </c>
      <c r="V1455" s="4" t="s">
        <v>7474</v>
      </c>
      <c r="W1455" s="1"/>
      <c r="X1455" s="18">
        <v>45891.0</v>
      </c>
      <c r="Y1455" s="1" t="s">
        <v>2463</v>
      </c>
      <c r="Z1455" s="1"/>
      <c r="AA1455" s="1"/>
      <c r="AB1455" s="1" t="s">
        <v>52</v>
      </c>
      <c r="AC1455" s="1" t="s">
        <v>1925</v>
      </c>
      <c r="AD1455" s="1"/>
      <c r="AE1455" s="1" t="s">
        <v>1152</v>
      </c>
      <c r="AF1455" s="1"/>
      <c r="AG1455" s="1"/>
      <c r="AH1455" s="1" t="s">
        <v>1152</v>
      </c>
      <c r="AI1455" s="1"/>
      <c r="AJ1455" s="1" t="s">
        <v>7472</v>
      </c>
      <c r="AK1455" s="1" t="s">
        <v>1152</v>
      </c>
      <c r="AL1455" s="6" t="str">
        <f t="array" ref="AL1455">IFERROR(IFS(XLOOKUP(B1455, 'Kit Delivery Status'!$U:$U, 'Kit Delivery Status'!$K:$K) = "Complete", "DELIVERED", XLOOKUP(B1455, 'Kit Delivery Status'!$U:$U, 'Kit Delivery Status'!$K:$K) = "Issue", "ISSUE"), "")</f>
        <v/>
      </c>
      <c r="AM1455" s="6"/>
    </row>
    <row r="1456">
      <c r="A1456" s="5" t="s">
        <v>7475</v>
      </c>
      <c r="B1456" s="1" t="s">
        <v>7476</v>
      </c>
      <c r="C1456" s="1"/>
      <c r="D1456" s="2">
        <v>5.512408068E9</v>
      </c>
      <c r="E1456" s="1" t="s">
        <v>7477</v>
      </c>
      <c r="F1456" s="1"/>
      <c r="G1456" s="1" t="s">
        <v>7478</v>
      </c>
      <c r="H1456" s="1" t="s">
        <v>1053</v>
      </c>
      <c r="I1456" s="1">
        <v>7093.0</v>
      </c>
      <c r="J1456" s="1" t="s">
        <v>752</v>
      </c>
      <c r="K1456" s="1" t="s">
        <v>51</v>
      </c>
      <c r="L1456" s="1" t="s">
        <v>5722</v>
      </c>
      <c r="M1456" s="1">
        <v>1.0</v>
      </c>
      <c r="N1456" s="1" t="s">
        <v>2461</v>
      </c>
      <c r="O1456" s="3" t="s">
        <v>7479</v>
      </c>
      <c r="P1456" s="18">
        <v>45891.0</v>
      </c>
      <c r="Q1456" s="1" t="s">
        <v>2463</v>
      </c>
      <c r="R1456" s="1"/>
      <c r="S1456" s="1" t="s">
        <v>52</v>
      </c>
      <c r="T1456" s="1" t="s">
        <v>2461</v>
      </c>
      <c r="U1456" s="1" t="s">
        <v>1055</v>
      </c>
      <c r="V1456" s="4" t="s">
        <v>7479</v>
      </c>
      <c r="W1456" s="1"/>
      <c r="X1456" s="18">
        <v>45891.0</v>
      </c>
      <c r="Y1456" s="1" t="s">
        <v>2463</v>
      </c>
      <c r="Z1456" s="1"/>
      <c r="AA1456" s="1"/>
      <c r="AB1456" s="1" t="s">
        <v>52</v>
      </c>
      <c r="AC1456" s="1" t="s">
        <v>1925</v>
      </c>
      <c r="AD1456" s="1"/>
      <c r="AE1456" s="1" t="s">
        <v>1152</v>
      </c>
      <c r="AF1456" s="1"/>
      <c r="AG1456" s="1"/>
      <c r="AH1456" s="1" t="s">
        <v>1152</v>
      </c>
      <c r="AI1456" s="1"/>
      <c r="AJ1456" s="1" t="s">
        <v>7480</v>
      </c>
      <c r="AK1456" s="1" t="s">
        <v>1152</v>
      </c>
      <c r="AL1456" s="6" t="str">
        <f t="array" ref="AL1456">IFERROR(IFS(XLOOKUP(B1456, 'Kit Delivery Status'!$U:$U, 'Kit Delivery Status'!$K:$K) = "Complete", "DELIVERED", XLOOKUP(B1456, 'Kit Delivery Status'!$U:$U, 'Kit Delivery Status'!$K:$K) = "Issue", "ISSUE"), "")</f>
        <v/>
      </c>
      <c r="AM1456" s="6"/>
    </row>
    <row r="1457">
      <c r="A1457" s="5" t="s">
        <v>7481</v>
      </c>
      <c r="B1457" s="1" t="s">
        <v>7482</v>
      </c>
      <c r="C1457" s="1" t="s">
        <v>7483</v>
      </c>
      <c r="D1457" s="2">
        <v>8.572049908E9</v>
      </c>
      <c r="E1457" s="1" t="s">
        <v>7484</v>
      </c>
      <c r="F1457" s="1" t="s">
        <v>7485</v>
      </c>
      <c r="G1457" s="1" t="s">
        <v>3171</v>
      </c>
      <c r="H1457" s="1" t="s">
        <v>1121</v>
      </c>
      <c r="I1457" s="1">
        <v>2467.0</v>
      </c>
      <c r="J1457" s="1" t="s">
        <v>752</v>
      </c>
      <c r="K1457" s="1" t="s">
        <v>51</v>
      </c>
      <c r="L1457" s="1" t="s">
        <v>5722</v>
      </c>
      <c r="M1457" s="1">
        <v>1.0</v>
      </c>
      <c r="N1457" s="1" t="s">
        <v>2487</v>
      </c>
      <c r="O1457" s="3"/>
      <c r="P1457" s="18">
        <v>45890.0</v>
      </c>
      <c r="Q1457" s="1" t="s">
        <v>2463</v>
      </c>
      <c r="R1457" s="1" t="s">
        <v>7485</v>
      </c>
      <c r="S1457" s="1" t="s">
        <v>124</v>
      </c>
      <c r="T1457" s="1" t="s">
        <v>2487</v>
      </c>
      <c r="U1457" s="1"/>
      <c r="V1457" s="4"/>
      <c r="W1457" s="1" t="s">
        <v>7485</v>
      </c>
      <c r="X1457" s="18">
        <v>45890.0</v>
      </c>
      <c r="Y1457" s="1" t="s">
        <v>2463</v>
      </c>
      <c r="Z1457" s="1"/>
      <c r="AA1457" s="1" t="s">
        <v>7485</v>
      </c>
      <c r="AB1457" s="1" t="s">
        <v>124</v>
      </c>
      <c r="AC1457" s="1" t="s">
        <v>1925</v>
      </c>
      <c r="AD1457" s="1"/>
      <c r="AE1457" s="1" t="s">
        <v>1152</v>
      </c>
      <c r="AF1457" s="1"/>
      <c r="AG1457" s="1"/>
      <c r="AH1457" s="1" t="s">
        <v>1152</v>
      </c>
      <c r="AI1457" s="1"/>
      <c r="AJ1457" s="1" t="s">
        <v>7486</v>
      </c>
      <c r="AK1457" s="1" t="s">
        <v>1152</v>
      </c>
      <c r="AL1457" s="6" t="str">
        <f t="array" ref="AL1457">IFERROR(IFS(XLOOKUP(B1457, 'Kit Delivery Status'!$U:$U, 'Kit Delivery Status'!$K:$K) = "Complete", "DELIVERED", XLOOKUP(B1457, 'Kit Delivery Status'!$U:$U, 'Kit Delivery Status'!$K:$K) = "Issue", "ISSUE"), "")</f>
        <v/>
      </c>
      <c r="AM1457" s="6"/>
    </row>
    <row r="1458">
      <c r="A1458" s="5" t="s">
        <v>7487</v>
      </c>
      <c r="B1458" s="1" t="s">
        <v>7488</v>
      </c>
      <c r="C1458" s="1"/>
      <c r="D1458" s="2">
        <v>3.149040326E9</v>
      </c>
      <c r="E1458" s="1" t="s">
        <v>7489</v>
      </c>
      <c r="F1458" s="1"/>
      <c r="G1458" s="1" t="s">
        <v>1283</v>
      </c>
      <c r="H1458" s="1" t="s">
        <v>1155</v>
      </c>
      <c r="I1458" s="1">
        <v>63130.0</v>
      </c>
      <c r="J1458" s="1" t="s">
        <v>752</v>
      </c>
      <c r="K1458" s="1" t="s">
        <v>51</v>
      </c>
      <c r="L1458" s="1" t="s">
        <v>5722</v>
      </c>
      <c r="M1458" s="1">
        <v>1.0</v>
      </c>
      <c r="N1458" s="1" t="s">
        <v>2461</v>
      </c>
      <c r="O1458" s="3" t="s">
        <v>7490</v>
      </c>
      <c r="P1458" s="18">
        <v>45891.0</v>
      </c>
      <c r="Q1458" s="1" t="s">
        <v>2463</v>
      </c>
      <c r="R1458" s="1"/>
      <c r="S1458" s="1" t="s">
        <v>52</v>
      </c>
      <c r="T1458" s="1" t="s">
        <v>2461</v>
      </c>
      <c r="U1458" s="1" t="s">
        <v>7491</v>
      </c>
      <c r="V1458" s="4" t="s">
        <v>7490</v>
      </c>
      <c r="W1458" s="1"/>
      <c r="X1458" s="18">
        <v>45891.0</v>
      </c>
      <c r="Y1458" s="1" t="s">
        <v>2463</v>
      </c>
      <c r="Z1458" s="1"/>
      <c r="AA1458" s="1"/>
      <c r="AB1458" s="1" t="s">
        <v>52</v>
      </c>
      <c r="AC1458" s="1" t="s">
        <v>1925</v>
      </c>
      <c r="AD1458" s="1"/>
      <c r="AE1458" s="1" t="s">
        <v>1152</v>
      </c>
      <c r="AF1458" s="1"/>
      <c r="AG1458" s="1"/>
      <c r="AH1458" s="1" t="s">
        <v>1152</v>
      </c>
      <c r="AI1458" s="1"/>
      <c r="AJ1458" s="1" t="s">
        <v>7489</v>
      </c>
      <c r="AK1458" s="1" t="s">
        <v>1152</v>
      </c>
      <c r="AL1458" s="6" t="str">
        <f t="array" ref="AL1458">IFERROR(IFS(XLOOKUP(B1458, 'Kit Delivery Status'!$U:$U, 'Kit Delivery Status'!$K:$K) = "Complete", "DELIVERED", XLOOKUP(B1458, 'Kit Delivery Status'!$U:$U, 'Kit Delivery Status'!$K:$K) = "Issue", "ISSUE"), "")</f>
        <v/>
      </c>
      <c r="AM1458" s="6"/>
    </row>
    <row r="1459">
      <c r="A1459" s="5" t="s">
        <v>7492</v>
      </c>
      <c r="B1459" s="1" t="s">
        <v>7493</v>
      </c>
      <c r="C1459" s="1" t="s">
        <v>7494</v>
      </c>
      <c r="D1459" s="2">
        <v>5.163805E9</v>
      </c>
      <c r="E1459" s="1" t="s">
        <v>7495</v>
      </c>
      <c r="F1459" s="1" t="s">
        <v>7496</v>
      </c>
      <c r="G1459" s="1" t="s">
        <v>751</v>
      </c>
      <c r="H1459" s="1" t="s">
        <v>751</v>
      </c>
      <c r="I1459" s="1">
        <v>10028.0</v>
      </c>
      <c r="J1459" s="1" t="s">
        <v>752</v>
      </c>
      <c r="K1459" s="1" t="s">
        <v>51</v>
      </c>
      <c r="L1459" s="1" t="s">
        <v>5722</v>
      </c>
      <c r="M1459" s="1">
        <v>1.0</v>
      </c>
      <c r="N1459" s="1" t="s">
        <v>2487</v>
      </c>
      <c r="O1459" s="3"/>
      <c r="P1459" s="18">
        <v>45891.0</v>
      </c>
      <c r="Q1459" s="1" t="s">
        <v>3418</v>
      </c>
      <c r="R1459" s="1" t="s">
        <v>7496</v>
      </c>
      <c r="S1459" s="1" t="s">
        <v>124</v>
      </c>
      <c r="T1459" s="1" t="s">
        <v>2487</v>
      </c>
      <c r="U1459" s="1"/>
      <c r="V1459" s="4"/>
      <c r="W1459" s="1" t="s">
        <v>7496</v>
      </c>
      <c r="X1459" s="18">
        <v>45891.0</v>
      </c>
      <c r="Y1459" s="1" t="s">
        <v>3418</v>
      </c>
      <c r="Z1459" s="1"/>
      <c r="AA1459" s="1" t="s">
        <v>7496</v>
      </c>
      <c r="AB1459" s="1" t="s">
        <v>124</v>
      </c>
      <c r="AC1459" s="1" t="s">
        <v>1925</v>
      </c>
      <c r="AD1459" s="1"/>
      <c r="AE1459" s="1" t="s">
        <v>1152</v>
      </c>
      <c r="AF1459" s="1"/>
      <c r="AG1459" s="1"/>
      <c r="AH1459" s="1" t="s">
        <v>1152</v>
      </c>
      <c r="AI1459" s="1"/>
      <c r="AJ1459" s="1" t="s">
        <v>7497</v>
      </c>
      <c r="AK1459" s="1" t="s">
        <v>1152</v>
      </c>
      <c r="AL1459" s="6" t="str">
        <f t="array" ref="AL1459">IFERROR(IFS(XLOOKUP(B1459, 'Kit Delivery Status'!$U:$U, 'Kit Delivery Status'!$K:$K) = "Complete", "DELIVERED", XLOOKUP(B1459, 'Kit Delivery Status'!$U:$U, 'Kit Delivery Status'!$K:$K) = "Issue", "ISSUE"), "")</f>
        <v/>
      </c>
      <c r="AM1459" s="6"/>
    </row>
    <row r="1460">
      <c r="A1460" s="5" t="s">
        <v>7498</v>
      </c>
      <c r="B1460" s="1" t="s">
        <v>7499</v>
      </c>
      <c r="C1460" s="1" t="s">
        <v>7500</v>
      </c>
      <c r="D1460" s="2">
        <v>2.404057896E9</v>
      </c>
      <c r="E1460" s="1" t="s">
        <v>7501</v>
      </c>
      <c r="F1460" s="1" t="s">
        <v>7502</v>
      </c>
      <c r="G1460" s="1" t="s">
        <v>1261</v>
      </c>
      <c r="H1460" s="1" t="s">
        <v>1005</v>
      </c>
      <c r="I1460" s="1">
        <v>21701.0</v>
      </c>
      <c r="J1460" s="1" t="s">
        <v>752</v>
      </c>
      <c r="K1460" s="1" t="s">
        <v>51</v>
      </c>
      <c r="L1460" s="1" t="s">
        <v>5722</v>
      </c>
      <c r="M1460" s="1">
        <v>1.0</v>
      </c>
      <c r="N1460" s="1" t="s">
        <v>2487</v>
      </c>
      <c r="O1460" s="3"/>
      <c r="P1460" s="18">
        <v>45891.0</v>
      </c>
      <c r="Q1460" s="1" t="s">
        <v>3418</v>
      </c>
      <c r="R1460" s="1" t="s">
        <v>7502</v>
      </c>
      <c r="S1460" s="1" t="s">
        <v>124</v>
      </c>
      <c r="T1460" s="1" t="s">
        <v>2487</v>
      </c>
      <c r="U1460" s="1"/>
      <c r="V1460" s="4"/>
      <c r="W1460" s="1" t="s">
        <v>7502</v>
      </c>
      <c r="X1460" s="18">
        <v>45891.0</v>
      </c>
      <c r="Y1460" s="1" t="s">
        <v>3418</v>
      </c>
      <c r="Z1460" s="1"/>
      <c r="AA1460" s="1" t="s">
        <v>7502</v>
      </c>
      <c r="AB1460" s="1" t="s">
        <v>124</v>
      </c>
      <c r="AC1460" s="1" t="s">
        <v>1925</v>
      </c>
      <c r="AD1460" s="1"/>
      <c r="AE1460" s="1" t="s">
        <v>1152</v>
      </c>
      <c r="AF1460" s="1"/>
      <c r="AG1460" s="1"/>
      <c r="AH1460" s="1" t="s">
        <v>1152</v>
      </c>
      <c r="AI1460" s="1"/>
      <c r="AJ1460" s="1" t="s">
        <v>7503</v>
      </c>
      <c r="AK1460" s="1" t="s">
        <v>1152</v>
      </c>
      <c r="AL1460" s="6" t="str">
        <f t="array" ref="AL1460">IFERROR(IFS(XLOOKUP(B1460, 'Kit Delivery Status'!$U:$U, 'Kit Delivery Status'!$K:$K) = "Complete", "DELIVERED", XLOOKUP(B1460, 'Kit Delivery Status'!$U:$U, 'Kit Delivery Status'!$K:$K) = "Issue", "ISSUE"), "")</f>
        <v/>
      </c>
      <c r="AM1460" s="6"/>
    </row>
    <row r="1461">
      <c r="A1461" s="5" t="s">
        <v>7504</v>
      </c>
      <c r="B1461" s="1" t="s">
        <v>7505</v>
      </c>
      <c r="C1461" s="1" t="s">
        <v>7506</v>
      </c>
      <c r="D1461" s="2">
        <v>3.12286885E9</v>
      </c>
      <c r="E1461" s="1" t="s">
        <v>7507</v>
      </c>
      <c r="F1461" s="1"/>
      <c r="G1461" s="1" t="s">
        <v>1115</v>
      </c>
      <c r="H1461" s="1" t="s">
        <v>1019</v>
      </c>
      <c r="I1461" s="1">
        <v>60035.0</v>
      </c>
      <c r="J1461" s="1" t="s">
        <v>752</v>
      </c>
      <c r="K1461" s="1" t="s">
        <v>66</v>
      </c>
      <c r="L1461" s="1" t="s">
        <v>5811</v>
      </c>
      <c r="M1461" s="1">
        <v>145.0</v>
      </c>
      <c r="N1461" s="1" t="s">
        <v>1152</v>
      </c>
      <c r="O1461" s="3" t="s">
        <v>7508</v>
      </c>
      <c r="P1461" s="18">
        <v>45891.0</v>
      </c>
      <c r="Q1461" s="1" t="s">
        <v>1152</v>
      </c>
      <c r="R1461" s="1"/>
      <c r="S1461" s="1"/>
      <c r="T1461" s="1" t="s">
        <v>1152</v>
      </c>
      <c r="U1461" s="1" t="s">
        <v>1812</v>
      </c>
      <c r="V1461" s="4" t="s">
        <v>7508</v>
      </c>
      <c r="W1461" s="1"/>
      <c r="X1461" s="18">
        <v>45891.0</v>
      </c>
      <c r="Y1461" s="1" t="s">
        <v>1152</v>
      </c>
      <c r="Z1461" s="1"/>
      <c r="AA1461" s="1"/>
      <c r="AB1461" s="1"/>
      <c r="AC1461" s="1" t="s">
        <v>1925</v>
      </c>
      <c r="AD1461" s="1"/>
      <c r="AE1461" s="1" t="s">
        <v>1152</v>
      </c>
      <c r="AF1461" s="1"/>
      <c r="AG1461" s="1"/>
      <c r="AH1461" s="1" t="s">
        <v>1152</v>
      </c>
      <c r="AI1461" s="1"/>
      <c r="AJ1461" s="1" t="s">
        <v>7509</v>
      </c>
      <c r="AK1461" s="1" t="s">
        <v>1152</v>
      </c>
      <c r="AL1461" s="6" t="str">
        <f t="array" ref="AL1461">IFERROR(IFS(XLOOKUP(B1461, 'Kit Delivery Status'!$U:$U, 'Kit Delivery Status'!$K:$K) = "Complete", "DELIVERED", XLOOKUP(B1461, 'Kit Delivery Status'!$U:$U, 'Kit Delivery Status'!$K:$K) = "Issue", "ISSUE"), "")</f>
        <v/>
      </c>
      <c r="AM1461" s="6"/>
    </row>
    <row r="1462">
      <c r="A1462" s="5" t="s">
        <v>7510</v>
      </c>
      <c r="B1462" s="1" t="s">
        <v>7511</v>
      </c>
      <c r="C1462" s="1" t="s">
        <v>7512</v>
      </c>
      <c r="D1462" s="2">
        <v>1.6264658599E10</v>
      </c>
      <c r="E1462" s="1" t="s">
        <v>7513</v>
      </c>
      <c r="F1462" s="1"/>
      <c r="G1462" s="1" t="s">
        <v>7514</v>
      </c>
      <c r="H1462" s="1" t="s">
        <v>989</v>
      </c>
      <c r="I1462" s="1">
        <v>91745.0</v>
      </c>
      <c r="J1462" s="1" t="s">
        <v>752</v>
      </c>
      <c r="K1462" s="1" t="s">
        <v>51</v>
      </c>
      <c r="L1462" s="1" t="s">
        <v>5722</v>
      </c>
      <c r="M1462" s="1">
        <v>1.0</v>
      </c>
      <c r="N1462" s="1" t="s">
        <v>2461</v>
      </c>
      <c r="O1462" s="3" t="s">
        <v>7515</v>
      </c>
      <c r="P1462" s="18">
        <v>45892.0</v>
      </c>
      <c r="Q1462" s="1" t="s">
        <v>3418</v>
      </c>
      <c r="R1462" s="1"/>
      <c r="S1462" s="1" t="s">
        <v>52</v>
      </c>
      <c r="T1462" s="1" t="s">
        <v>2461</v>
      </c>
      <c r="U1462" s="1" t="s">
        <v>1812</v>
      </c>
      <c r="V1462" s="4" t="s">
        <v>7515</v>
      </c>
      <c r="W1462" s="1"/>
      <c r="X1462" s="18">
        <v>45892.0</v>
      </c>
      <c r="Y1462" s="1" t="s">
        <v>3418</v>
      </c>
      <c r="Z1462" s="1"/>
      <c r="AA1462" s="1"/>
      <c r="AB1462" s="1" t="s">
        <v>52</v>
      </c>
      <c r="AC1462" s="1" t="s">
        <v>1925</v>
      </c>
      <c r="AD1462" s="1"/>
      <c r="AE1462" s="1" t="s">
        <v>1152</v>
      </c>
      <c r="AF1462" s="1"/>
      <c r="AG1462" s="1"/>
      <c r="AH1462" s="1" t="s">
        <v>1152</v>
      </c>
      <c r="AI1462" s="1"/>
      <c r="AJ1462" s="1" t="s">
        <v>7513</v>
      </c>
      <c r="AK1462" s="1" t="s">
        <v>1152</v>
      </c>
      <c r="AL1462" s="6" t="str">
        <f t="array" ref="AL1462">IFERROR(IFS(XLOOKUP(B1462, 'Kit Delivery Status'!$U:$U, 'Kit Delivery Status'!$K:$K) = "Complete", "DELIVERED", XLOOKUP(B1462, 'Kit Delivery Status'!$U:$U, 'Kit Delivery Status'!$K:$K) = "Issue", "ISSUE"), "")</f>
        <v/>
      </c>
      <c r="AM1462" s="6"/>
    </row>
    <row r="1463">
      <c r="A1463" s="5" t="s">
        <v>7516</v>
      </c>
      <c r="B1463" s="1" t="s">
        <v>7517</v>
      </c>
      <c r="C1463" s="1"/>
      <c r="D1463" s="2">
        <v>3.143376999E9</v>
      </c>
      <c r="E1463" s="1" t="s">
        <v>7518</v>
      </c>
      <c r="F1463" s="1"/>
      <c r="G1463" s="1" t="s">
        <v>7519</v>
      </c>
      <c r="H1463" s="1" t="s">
        <v>3306</v>
      </c>
      <c r="I1463" s="1">
        <v>987.0</v>
      </c>
      <c r="J1463" s="1" t="s">
        <v>752</v>
      </c>
      <c r="K1463" s="1" t="s">
        <v>51</v>
      </c>
      <c r="L1463" s="1" t="s">
        <v>5722</v>
      </c>
      <c r="M1463" s="1">
        <v>1.0</v>
      </c>
      <c r="N1463" s="1" t="s">
        <v>2461</v>
      </c>
      <c r="O1463" s="3" t="s">
        <v>7520</v>
      </c>
      <c r="P1463" s="18">
        <v>45891.0</v>
      </c>
      <c r="Q1463" s="1" t="s">
        <v>2463</v>
      </c>
      <c r="R1463" s="1"/>
      <c r="S1463" s="1" t="s">
        <v>52</v>
      </c>
      <c r="T1463" s="1" t="s">
        <v>2461</v>
      </c>
      <c r="U1463" s="1" t="s">
        <v>2510</v>
      </c>
      <c r="V1463" s="4" t="s">
        <v>7520</v>
      </c>
      <c r="W1463" s="1"/>
      <c r="X1463" s="18">
        <v>45891.0</v>
      </c>
      <c r="Y1463" s="1" t="s">
        <v>2463</v>
      </c>
      <c r="Z1463" s="1"/>
      <c r="AA1463" s="1"/>
      <c r="AB1463" s="1" t="s">
        <v>52</v>
      </c>
      <c r="AC1463" s="1" t="s">
        <v>1925</v>
      </c>
      <c r="AD1463" s="1"/>
      <c r="AE1463" s="1" t="s">
        <v>1152</v>
      </c>
      <c r="AF1463" s="1"/>
      <c r="AG1463" s="1"/>
      <c r="AH1463" s="1" t="s">
        <v>1152</v>
      </c>
      <c r="AI1463" s="1"/>
      <c r="AJ1463" s="1" t="s">
        <v>7518</v>
      </c>
      <c r="AK1463" s="1" t="s">
        <v>1152</v>
      </c>
      <c r="AL1463" s="6" t="str">
        <f t="array" ref="AL1463">IFERROR(IFS(XLOOKUP(B1463, 'Kit Delivery Status'!$U:$U, 'Kit Delivery Status'!$K:$K) = "Complete", "DELIVERED", XLOOKUP(B1463, 'Kit Delivery Status'!$U:$U, 'Kit Delivery Status'!$K:$K) = "Issue", "ISSUE"), "")</f>
        <v/>
      </c>
      <c r="AM1463" s="6"/>
    </row>
    <row r="1464">
      <c r="A1464" s="5" t="s">
        <v>7521</v>
      </c>
      <c r="B1464" s="1" t="s">
        <v>7522</v>
      </c>
      <c r="C1464" s="1"/>
      <c r="D1464" s="2">
        <v>9.01545952E9</v>
      </c>
      <c r="E1464" s="1" t="s">
        <v>3141</v>
      </c>
      <c r="F1464" s="1"/>
      <c r="G1464" s="1" t="s">
        <v>1037</v>
      </c>
      <c r="H1464" s="1" t="s">
        <v>1598</v>
      </c>
      <c r="I1464" s="1">
        <v>38002.0</v>
      </c>
      <c r="J1464" s="1" t="s">
        <v>752</v>
      </c>
      <c r="K1464" s="1" t="s">
        <v>51</v>
      </c>
      <c r="L1464" s="1" t="s">
        <v>5722</v>
      </c>
      <c r="M1464" s="1">
        <v>1.0</v>
      </c>
      <c r="N1464" s="1" t="s">
        <v>2461</v>
      </c>
      <c r="O1464" s="3" t="s">
        <v>3142</v>
      </c>
      <c r="P1464" s="18">
        <v>45891.0</v>
      </c>
      <c r="Q1464" s="1" t="s">
        <v>2463</v>
      </c>
      <c r="R1464" s="1"/>
      <c r="S1464" s="1" t="s">
        <v>52</v>
      </c>
      <c r="T1464" s="1" t="s">
        <v>2461</v>
      </c>
      <c r="U1464" s="1" t="s">
        <v>1201</v>
      </c>
      <c r="V1464" s="4" t="s">
        <v>3142</v>
      </c>
      <c r="W1464" s="1"/>
      <c r="X1464" s="18">
        <v>45891.0</v>
      </c>
      <c r="Y1464" s="1" t="s">
        <v>2463</v>
      </c>
      <c r="Z1464" s="1"/>
      <c r="AA1464" s="1"/>
      <c r="AB1464" s="1" t="s">
        <v>52</v>
      </c>
      <c r="AC1464" s="1" t="s">
        <v>1925</v>
      </c>
      <c r="AD1464" s="1"/>
      <c r="AE1464" s="1" t="s">
        <v>1152</v>
      </c>
      <c r="AF1464" s="1"/>
      <c r="AG1464" s="1"/>
      <c r="AH1464" s="1" t="s">
        <v>1152</v>
      </c>
      <c r="AI1464" s="1"/>
      <c r="AJ1464" s="1" t="s">
        <v>7523</v>
      </c>
      <c r="AK1464" s="1" t="s">
        <v>1152</v>
      </c>
      <c r="AL1464" s="6" t="str">
        <f t="array" ref="AL1464">IFERROR(IFS(XLOOKUP(B1464, 'Kit Delivery Status'!$U:$U, 'Kit Delivery Status'!$K:$K) = "Complete", "DELIVERED", XLOOKUP(B1464, 'Kit Delivery Status'!$U:$U, 'Kit Delivery Status'!$K:$K) = "Issue", "ISSUE"), "")</f>
        <v/>
      </c>
      <c r="AM1464" s="6"/>
    </row>
    <row r="1465">
      <c r="A1465" s="5" t="s">
        <v>7524</v>
      </c>
      <c r="B1465" s="1" t="s">
        <v>7525</v>
      </c>
      <c r="C1465" s="1" t="s">
        <v>7526</v>
      </c>
      <c r="D1465" s="2">
        <v>8.478635399E9</v>
      </c>
      <c r="E1465" s="1" t="s">
        <v>7527</v>
      </c>
      <c r="F1465" s="1"/>
      <c r="G1465" s="1" t="s">
        <v>7528</v>
      </c>
      <c r="H1465" s="1" t="s">
        <v>1019</v>
      </c>
      <c r="I1465" s="1">
        <v>60047.0</v>
      </c>
      <c r="J1465" s="1" t="s">
        <v>752</v>
      </c>
      <c r="K1465" s="1" t="s">
        <v>66</v>
      </c>
      <c r="L1465" s="1" t="s">
        <v>5833</v>
      </c>
      <c r="M1465" s="1">
        <v>65.0</v>
      </c>
      <c r="N1465" s="1" t="s">
        <v>1152</v>
      </c>
      <c r="O1465" s="3" t="s">
        <v>7529</v>
      </c>
      <c r="P1465" s="18">
        <v>45891.0</v>
      </c>
      <c r="Q1465" s="1" t="s">
        <v>1152</v>
      </c>
      <c r="R1465" s="1"/>
      <c r="S1465" s="1"/>
      <c r="T1465" s="1" t="s">
        <v>1152</v>
      </c>
      <c r="U1465" s="1" t="s">
        <v>1174</v>
      </c>
      <c r="V1465" s="4" t="s">
        <v>7529</v>
      </c>
      <c r="W1465" s="1"/>
      <c r="X1465" s="18">
        <v>45891.0</v>
      </c>
      <c r="Y1465" s="1" t="s">
        <v>1152</v>
      </c>
      <c r="Z1465" s="1"/>
      <c r="AA1465" s="1"/>
      <c r="AB1465" s="1"/>
      <c r="AC1465" s="1" t="s">
        <v>1925</v>
      </c>
      <c r="AD1465" s="1"/>
      <c r="AE1465" s="1" t="s">
        <v>1152</v>
      </c>
      <c r="AF1465" s="1"/>
      <c r="AG1465" s="1"/>
      <c r="AH1465" s="1" t="s">
        <v>1152</v>
      </c>
      <c r="AI1465" s="1"/>
      <c r="AJ1465" s="1" t="s">
        <v>7527</v>
      </c>
      <c r="AK1465" s="1" t="s">
        <v>1152</v>
      </c>
      <c r="AL1465" s="6" t="str">
        <f t="array" ref="AL1465">IFERROR(IFS(XLOOKUP(B1465, 'Kit Delivery Status'!$U:$U, 'Kit Delivery Status'!$K:$K) = "Complete", "DELIVERED", XLOOKUP(B1465, 'Kit Delivery Status'!$U:$U, 'Kit Delivery Status'!$K:$K) = "Issue", "ISSUE"), "")</f>
        <v/>
      </c>
      <c r="AM1465" s="6"/>
    </row>
    <row r="1466">
      <c r="A1466" s="5" t="s">
        <v>7530</v>
      </c>
      <c r="B1466" s="1" t="s">
        <v>7531</v>
      </c>
      <c r="C1466" s="1" t="s">
        <v>7532</v>
      </c>
      <c r="D1466" s="2">
        <v>5.71234034E9</v>
      </c>
      <c r="E1466" s="1" t="s">
        <v>7533</v>
      </c>
      <c r="F1466" s="1"/>
      <c r="G1466" s="1" t="s">
        <v>7534</v>
      </c>
      <c r="H1466" s="1" t="s">
        <v>1038</v>
      </c>
      <c r="I1466" s="1">
        <v>22015.0</v>
      </c>
      <c r="J1466" s="1" t="s">
        <v>752</v>
      </c>
      <c r="K1466" s="1" t="s">
        <v>66</v>
      </c>
      <c r="L1466" s="1" t="s">
        <v>5811</v>
      </c>
      <c r="M1466" s="1">
        <v>145.0</v>
      </c>
      <c r="N1466" s="1" t="s">
        <v>1152</v>
      </c>
      <c r="O1466" s="3" t="s">
        <v>3587</v>
      </c>
      <c r="P1466" s="40">
        <v>45883.0</v>
      </c>
      <c r="Q1466" s="1" t="s">
        <v>1152</v>
      </c>
      <c r="R1466" s="1"/>
      <c r="S1466" s="1"/>
      <c r="T1466" s="1" t="s">
        <v>1152</v>
      </c>
      <c r="U1466" s="1" t="s">
        <v>1710</v>
      </c>
      <c r="V1466" s="4" t="s">
        <v>3587</v>
      </c>
      <c r="W1466" s="1"/>
      <c r="X1466" s="40">
        <v>45883.0</v>
      </c>
      <c r="Y1466" s="1" t="s">
        <v>1152</v>
      </c>
      <c r="Z1466" s="1"/>
      <c r="AA1466" s="1"/>
      <c r="AB1466" s="1"/>
      <c r="AC1466" s="1" t="s">
        <v>1925</v>
      </c>
      <c r="AD1466" s="1"/>
      <c r="AE1466" s="1" t="s">
        <v>1152</v>
      </c>
      <c r="AF1466" s="1"/>
      <c r="AG1466" s="1"/>
      <c r="AH1466" s="1" t="s">
        <v>1152</v>
      </c>
      <c r="AI1466" s="1"/>
      <c r="AJ1466" s="1" t="s">
        <v>7535</v>
      </c>
      <c r="AK1466" s="1" t="s">
        <v>1152</v>
      </c>
      <c r="AL1466" s="6" t="str">
        <f t="array" ref="AL1466">IFERROR(IFS(XLOOKUP(B1466, 'Kit Delivery Status'!$U:$U, 'Kit Delivery Status'!$K:$K) = "Complete", "DELIVERED", XLOOKUP(B1466, 'Kit Delivery Status'!$U:$U, 'Kit Delivery Status'!$K:$K) = "Issue", "ISSUE"), "")</f>
        <v/>
      </c>
      <c r="AM1466" s="6"/>
    </row>
    <row r="1467">
      <c r="A1467" s="5" t="s">
        <v>7536</v>
      </c>
      <c r="B1467" s="1" t="s">
        <v>7537</v>
      </c>
      <c r="C1467" s="1" t="s">
        <v>7538</v>
      </c>
      <c r="D1467" s="2">
        <v>2.677083492E9</v>
      </c>
      <c r="E1467" s="1" t="s">
        <v>7539</v>
      </c>
      <c r="F1467" s="1"/>
      <c r="G1467" s="1" t="s">
        <v>7540</v>
      </c>
      <c r="H1467" s="1" t="s">
        <v>1233</v>
      </c>
      <c r="I1467" s="1">
        <v>19426.0</v>
      </c>
      <c r="J1467" s="1" t="s">
        <v>752</v>
      </c>
      <c r="K1467" s="1" t="s">
        <v>51</v>
      </c>
      <c r="L1467" s="1" t="s">
        <v>5722</v>
      </c>
      <c r="M1467" s="1">
        <v>1.0</v>
      </c>
      <c r="N1467" s="1" t="s">
        <v>2461</v>
      </c>
      <c r="O1467" s="3" t="s">
        <v>7541</v>
      </c>
      <c r="P1467" s="18">
        <v>45891.0</v>
      </c>
      <c r="Q1467" s="1" t="s">
        <v>2463</v>
      </c>
      <c r="R1467" s="1"/>
      <c r="S1467" s="1" t="s">
        <v>52</v>
      </c>
      <c r="T1467" s="1" t="s">
        <v>2461</v>
      </c>
      <c r="U1467" s="1" t="s">
        <v>7542</v>
      </c>
      <c r="V1467" s="4" t="s">
        <v>7541</v>
      </c>
      <c r="W1467" s="1"/>
      <c r="X1467" s="18">
        <v>45891.0</v>
      </c>
      <c r="Y1467" s="1" t="s">
        <v>2463</v>
      </c>
      <c r="Z1467" s="1"/>
      <c r="AA1467" s="1"/>
      <c r="AB1467" s="1" t="s">
        <v>52</v>
      </c>
      <c r="AC1467" s="1" t="s">
        <v>1925</v>
      </c>
      <c r="AD1467" s="1"/>
      <c r="AE1467" s="1" t="s">
        <v>1152</v>
      </c>
      <c r="AF1467" s="1"/>
      <c r="AG1467" s="1"/>
      <c r="AH1467" s="1" t="s">
        <v>1152</v>
      </c>
      <c r="AI1467" s="1"/>
      <c r="AJ1467" s="1" t="s">
        <v>7543</v>
      </c>
      <c r="AK1467" s="1" t="s">
        <v>1152</v>
      </c>
      <c r="AL1467" s="6" t="str">
        <f t="array" ref="AL1467">IFERROR(IFS(XLOOKUP(B1467, 'Kit Delivery Status'!$U:$U, 'Kit Delivery Status'!$K:$K) = "Complete", "DELIVERED", XLOOKUP(B1467, 'Kit Delivery Status'!$U:$U, 'Kit Delivery Status'!$K:$K) = "Issue", "ISSUE"), "")</f>
        <v/>
      </c>
      <c r="AM1467" s="6"/>
    </row>
    <row r="1468">
      <c r="A1468" s="5" t="s">
        <v>7544</v>
      </c>
      <c r="B1468" s="1" t="s">
        <v>7545</v>
      </c>
      <c r="C1468" s="1" t="s">
        <v>2482</v>
      </c>
      <c r="D1468" s="2">
        <v>8.084892869E9</v>
      </c>
      <c r="E1468" s="1" t="s">
        <v>2483</v>
      </c>
      <c r="F1468" s="1" t="s">
        <v>7546</v>
      </c>
      <c r="G1468" s="1" t="s">
        <v>2350</v>
      </c>
      <c r="H1468" s="1" t="s">
        <v>1155</v>
      </c>
      <c r="I1468" s="1">
        <v>63105.0</v>
      </c>
      <c r="J1468" s="1" t="s">
        <v>752</v>
      </c>
      <c r="K1468" s="1" t="s">
        <v>51</v>
      </c>
      <c r="L1468" s="1" t="s">
        <v>5722</v>
      </c>
      <c r="M1468" s="1">
        <v>1.0</v>
      </c>
      <c r="N1468" s="1" t="s">
        <v>2487</v>
      </c>
      <c r="O1468" s="3"/>
      <c r="P1468" s="18">
        <v>45891.0</v>
      </c>
      <c r="Q1468" s="1" t="s">
        <v>2463</v>
      </c>
      <c r="R1468" s="1" t="s">
        <v>7546</v>
      </c>
      <c r="S1468" s="1" t="s">
        <v>124</v>
      </c>
      <c r="T1468" s="1" t="s">
        <v>2487</v>
      </c>
      <c r="U1468" s="1"/>
      <c r="V1468" s="4"/>
      <c r="W1468" s="1" t="s">
        <v>7546</v>
      </c>
      <c r="X1468" s="18">
        <v>45891.0</v>
      </c>
      <c r="Y1468" s="1" t="s">
        <v>2463</v>
      </c>
      <c r="Z1468" s="1"/>
      <c r="AA1468" s="1" t="s">
        <v>7546</v>
      </c>
      <c r="AB1468" s="1" t="s">
        <v>124</v>
      </c>
      <c r="AC1468" s="1" t="s">
        <v>1925</v>
      </c>
      <c r="AD1468" s="1"/>
      <c r="AE1468" s="1" t="s">
        <v>1152</v>
      </c>
      <c r="AF1468" s="1"/>
      <c r="AG1468" s="1"/>
      <c r="AH1468" s="1" t="s">
        <v>1152</v>
      </c>
      <c r="AI1468" s="1"/>
      <c r="AJ1468" s="1" t="s">
        <v>2483</v>
      </c>
      <c r="AK1468" s="1" t="s">
        <v>1152</v>
      </c>
      <c r="AL1468" s="6" t="str">
        <f t="array" ref="AL1468">IFERROR(IFS(XLOOKUP(B1468, 'Kit Delivery Status'!$U:$U, 'Kit Delivery Status'!$K:$K) = "Complete", "DELIVERED", XLOOKUP(B1468, 'Kit Delivery Status'!$U:$U, 'Kit Delivery Status'!$K:$K) = "Issue", "ISSUE"), "")</f>
        <v/>
      </c>
      <c r="AM1468" s="6"/>
    </row>
    <row r="1469">
      <c r="A1469" s="5" t="s">
        <v>7547</v>
      </c>
      <c r="B1469" s="1" t="s">
        <v>7548</v>
      </c>
      <c r="C1469" s="1" t="s">
        <v>7549</v>
      </c>
      <c r="D1469" s="2">
        <v>6.178609851E9</v>
      </c>
      <c r="E1469" s="1" t="s">
        <v>7550</v>
      </c>
      <c r="F1469" s="1"/>
      <c r="G1469" s="1" t="s">
        <v>7551</v>
      </c>
      <c r="H1469" s="1" t="s">
        <v>1121</v>
      </c>
      <c r="I1469" s="1">
        <v>2150.0</v>
      </c>
      <c r="J1469" s="1" t="s">
        <v>752</v>
      </c>
      <c r="K1469" s="1" t="s">
        <v>51</v>
      </c>
      <c r="L1469" s="1" t="s">
        <v>5722</v>
      </c>
      <c r="M1469" s="1">
        <v>1.0</v>
      </c>
      <c r="N1469" s="1" t="s">
        <v>2461</v>
      </c>
      <c r="O1469" s="3" t="s">
        <v>6709</v>
      </c>
      <c r="P1469" s="18">
        <v>45891.0</v>
      </c>
      <c r="Q1469" s="1" t="s">
        <v>2463</v>
      </c>
      <c r="R1469" s="1"/>
      <c r="S1469" s="1" t="s">
        <v>52</v>
      </c>
      <c r="T1469" s="1" t="s">
        <v>2461</v>
      </c>
      <c r="U1469" s="1" t="s">
        <v>2510</v>
      </c>
      <c r="V1469" s="4" t="s">
        <v>6709</v>
      </c>
      <c r="W1469" s="1"/>
      <c r="X1469" s="18">
        <v>45891.0</v>
      </c>
      <c r="Y1469" s="1" t="s">
        <v>2463</v>
      </c>
      <c r="Z1469" s="1"/>
      <c r="AA1469" s="1"/>
      <c r="AB1469" s="1" t="s">
        <v>52</v>
      </c>
      <c r="AC1469" s="1" t="s">
        <v>1925</v>
      </c>
      <c r="AD1469" s="1"/>
      <c r="AE1469" s="1" t="s">
        <v>1152</v>
      </c>
      <c r="AF1469" s="1"/>
      <c r="AG1469" s="1"/>
      <c r="AH1469" s="1" t="s">
        <v>1152</v>
      </c>
      <c r="AI1469" s="1"/>
      <c r="AJ1469" s="1" t="s">
        <v>7550</v>
      </c>
      <c r="AK1469" s="1" t="s">
        <v>1152</v>
      </c>
      <c r="AL1469" s="6" t="str">
        <f t="array" ref="AL1469">IFERROR(IFS(XLOOKUP(B1469, 'Kit Delivery Status'!$U:$U, 'Kit Delivery Status'!$K:$K) = "Complete", "DELIVERED", XLOOKUP(B1469, 'Kit Delivery Status'!$U:$U, 'Kit Delivery Status'!$K:$K) = "Issue", "ISSUE"), "")</f>
        <v/>
      </c>
      <c r="AM1469" s="6"/>
    </row>
    <row r="1470">
      <c r="A1470" s="5" t="s">
        <v>7552</v>
      </c>
      <c r="B1470" s="1" t="s">
        <v>7553</v>
      </c>
      <c r="C1470" s="1" t="s">
        <v>2433</v>
      </c>
      <c r="D1470" s="2">
        <v>9.179712001E9</v>
      </c>
      <c r="E1470" s="1" t="s">
        <v>2434</v>
      </c>
      <c r="F1470" s="1"/>
      <c r="G1470" s="1" t="s">
        <v>2435</v>
      </c>
      <c r="H1470" s="1" t="s">
        <v>751</v>
      </c>
      <c r="I1470" s="1">
        <v>10514.0</v>
      </c>
      <c r="J1470" s="1" t="s">
        <v>752</v>
      </c>
      <c r="K1470" s="1" t="s">
        <v>66</v>
      </c>
      <c r="L1470" s="1" t="s">
        <v>5811</v>
      </c>
      <c r="M1470" s="1">
        <v>145.0</v>
      </c>
      <c r="N1470" s="1" t="s">
        <v>1152</v>
      </c>
      <c r="O1470" s="3" t="s">
        <v>2436</v>
      </c>
      <c r="P1470" s="18">
        <v>45891.0</v>
      </c>
      <c r="Q1470" s="1" t="s">
        <v>1152</v>
      </c>
      <c r="R1470" s="1"/>
      <c r="S1470" s="1"/>
      <c r="T1470" s="1" t="s">
        <v>1152</v>
      </c>
      <c r="U1470" s="1" t="s">
        <v>3756</v>
      </c>
      <c r="V1470" s="4" t="s">
        <v>2436</v>
      </c>
      <c r="W1470" s="1"/>
      <c r="X1470" s="18">
        <v>45891.0</v>
      </c>
      <c r="Y1470" s="1" t="s">
        <v>1152</v>
      </c>
      <c r="Z1470" s="1"/>
      <c r="AA1470" s="1"/>
      <c r="AB1470" s="1"/>
      <c r="AC1470" s="1" t="s">
        <v>1925</v>
      </c>
      <c r="AD1470" s="1"/>
      <c r="AE1470" s="1" t="s">
        <v>1152</v>
      </c>
      <c r="AF1470" s="1"/>
      <c r="AG1470" s="1"/>
      <c r="AH1470" s="1" t="s">
        <v>1152</v>
      </c>
      <c r="AI1470" s="1"/>
      <c r="AJ1470" s="1" t="s">
        <v>7554</v>
      </c>
      <c r="AK1470" s="1" t="s">
        <v>1152</v>
      </c>
      <c r="AL1470" s="6" t="str">
        <f t="array" ref="AL1470">IFERROR(IFS(XLOOKUP(B1470, 'Kit Delivery Status'!$U:$U, 'Kit Delivery Status'!$K:$K) = "Complete", "DELIVERED", XLOOKUP(B1470, 'Kit Delivery Status'!$U:$U, 'Kit Delivery Status'!$K:$K) = "Issue", "ISSUE"), "")</f>
        <v/>
      </c>
      <c r="AM1470" s="6"/>
    </row>
    <row r="1471">
      <c r="A1471" s="5" t="s">
        <v>7555</v>
      </c>
      <c r="B1471" s="1" t="s">
        <v>7556</v>
      </c>
      <c r="C1471" s="1" t="s">
        <v>7557</v>
      </c>
      <c r="D1471" s="2">
        <v>6.175646314E9</v>
      </c>
      <c r="E1471" s="1" t="s">
        <v>7558</v>
      </c>
      <c r="F1471" s="1"/>
      <c r="G1471" s="1" t="s">
        <v>1354</v>
      </c>
      <c r="H1471" s="1" t="s">
        <v>1121</v>
      </c>
      <c r="I1471" s="1">
        <v>2458.0</v>
      </c>
      <c r="J1471" s="1" t="s">
        <v>752</v>
      </c>
      <c r="K1471" s="1" t="s">
        <v>51</v>
      </c>
      <c r="L1471" s="1" t="s">
        <v>5722</v>
      </c>
      <c r="M1471" s="1">
        <v>1.0</v>
      </c>
      <c r="N1471" s="1" t="s">
        <v>2461</v>
      </c>
      <c r="O1471" s="3" t="s">
        <v>3857</v>
      </c>
      <c r="P1471" s="18">
        <v>45891.0</v>
      </c>
      <c r="Q1471" s="1" t="s">
        <v>3219</v>
      </c>
      <c r="R1471" s="1"/>
      <c r="S1471" s="1" t="s">
        <v>52</v>
      </c>
      <c r="T1471" s="1" t="s">
        <v>2461</v>
      </c>
      <c r="U1471" s="1" t="s">
        <v>1441</v>
      </c>
      <c r="V1471" s="4" t="s">
        <v>3857</v>
      </c>
      <c r="W1471" s="1"/>
      <c r="X1471" s="18">
        <v>45891.0</v>
      </c>
      <c r="Y1471" s="1" t="s">
        <v>3219</v>
      </c>
      <c r="Z1471" s="1"/>
      <c r="AA1471" s="1"/>
      <c r="AB1471" s="1" t="s">
        <v>52</v>
      </c>
      <c r="AC1471" s="1" t="s">
        <v>1925</v>
      </c>
      <c r="AD1471" s="1"/>
      <c r="AE1471" s="1" t="s">
        <v>1152</v>
      </c>
      <c r="AF1471" s="1"/>
      <c r="AG1471" s="1"/>
      <c r="AH1471" s="1" t="s">
        <v>1152</v>
      </c>
      <c r="AI1471" s="1"/>
      <c r="AJ1471" s="1" t="s">
        <v>7558</v>
      </c>
      <c r="AK1471" s="1" t="s">
        <v>1152</v>
      </c>
      <c r="AL1471" s="6" t="str">
        <f t="array" ref="AL1471">IFERROR(IFS(XLOOKUP(B1471, 'Kit Delivery Status'!$U:$U, 'Kit Delivery Status'!$K:$K) = "Complete", "DELIVERED", XLOOKUP(B1471, 'Kit Delivery Status'!$U:$U, 'Kit Delivery Status'!$K:$K) = "Issue", "ISSUE"), "")</f>
        <v/>
      </c>
      <c r="AM1471" s="6"/>
    </row>
    <row r="1472">
      <c r="A1472" s="5" t="s">
        <v>7559</v>
      </c>
      <c r="B1472" s="1" t="s">
        <v>7560</v>
      </c>
      <c r="C1472" s="1"/>
      <c r="D1472" s="2">
        <v>2.158375659E9</v>
      </c>
      <c r="E1472" s="1" t="s">
        <v>5343</v>
      </c>
      <c r="F1472" s="1"/>
      <c r="G1472" s="1" t="s">
        <v>5344</v>
      </c>
      <c r="H1472" s="1" t="s">
        <v>1233</v>
      </c>
      <c r="I1472" s="1">
        <v>19440.0</v>
      </c>
      <c r="J1472" s="1" t="s">
        <v>752</v>
      </c>
      <c r="K1472" s="1" t="s">
        <v>51</v>
      </c>
      <c r="L1472" s="1" t="s">
        <v>5722</v>
      </c>
      <c r="M1472" s="1">
        <v>1.0</v>
      </c>
      <c r="N1472" s="1" t="s">
        <v>2461</v>
      </c>
      <c r="O1472" s="3" t="s">
        <v>5901</v>
      </c>
      <c r="P1472" s="18">
        <v>45891.0</v>
      </c>
      <c r="Q1472" s="1" t="s">
        <v>2463</v>
      </c>
      <c r="R1472" s="1"/>
      <c r="S1472" s="1" t="s">
        <v>52</v>
      </c>
      <c r="T1472" s="1" t="s">
        <v>2461</v>
      </c>
      <c r="U1472" s="1" t="s">
        <v>1812</v>
      </c>
      <c r="V1472" s="4" t="s">
        <v>5901</v>
      </c>
      <c r="W1472" s="1"/>
      <c r="X1472" s="18">
        <v>45891.0</v>
      </c>
      <c r="Y1472" s="1" t="s">
        <v>2463</v>
      </c>
      <c r="Z1472" s="1"/>
      <c r="AA1472" s="1"/>
      <c r="AB1472" s="1" t="s">
        <v>52</v>
      </c>
      <c r="AC1472" s="1" t="s">
        <v>1925</v>
      </c>
      <c r="AD1472" s="1"/>
      <c r="AE1472" s="1" t="s">
        <v>1152</v>
      </c>
      <c r="AF1472" s="1"/>
      <c r="AG1472" s="1"/>
      <c r="AH1472" s="1" t="s">
        <v>1152</v>
      </c>
      <c r="AI1472" s="1"/>
      <c r="AJ1472" s="1" t="s">
        <v>5343</v>
      </c>
      <c r="AK1472" s="1" t="s">
        <v>1152</v>
      </c>
      <c r="AL1472" s="6" t="str">
        <f t="array" ref="AL1472">IFERROR(IFS(XLOOKUP(B1472, 'Kit Delivery Status'!$U:$U, 'Kit Delivery Status'!$K:$K) = "Complete", "DELIVERED", XLOOKUP(B1472, 'Kit Delivery Status'!$U:$U, 'Kit Delivery Status'!$K:$K) = "Issue", "ISSUE"), "")</f>
        <v/>
      </c>
      <c r="AM1472" s="6"/>
    </row>
    <row r="1473">
      <c r="A1473" s="5" t="s">
        <v>7561</v>
      </c>
      <c r="B1473" s="1" t="s">
        <v>7562</v>
      </c>
      <c r="C1473" s="1" t="s">
        <v>7563</v>
      </c>
      <c r="D1473" s="2">
        <v>6.177313181E9</v>
      </c>
      <c r="E1473" s="1" t="s">
        <v>7564</v>
      </c>
      <c r="F1473" s="1"/>
      <c r="G1473" s="1" t="s">
        <v>4642</v>
      </c>
      <c r="H1473" s="1" t="s">
        <v>1121</v>
      </c>
      <c r="I1473" s="1">
        <v>2445.0</v>
      </c>
      <c r="J1473" s="1" t="s">
        <v>752</v>
      </c>
      <c r="K1473" s="1" t="s">
        <v>51</v>
      </c>
      <c r="L1473" s="1" t="s">
        <v>5722</v>
      </c>
      <c r="M1473" s="1">
        <v>1.0</v>
      </c>
      <c r="N1473" s="1" t="s">
        <v>2461</v>
      </c>
      <c r="O1473" s="3" t="s">
        <v>7565</v>
      </c>
      <c r="P1473" s="18">
        <v>45891.0</v>
      </c>
      <c r="Q1473" s="1" t="s">
        <v>2463</v>
      </c>
      <c r="R1473" s="1"/>
      <c r="S1473" s="1" t="s">
        <v>52</v>
      </c>
      <c r="T1473" s="1" t="s">
        <v>2461</v>
      </c>
      <c r="U1473" s="1" t="s">
        <v>1710</v>
      </c>
      <c r="V1473" s="4" t="s">
        <v>7565</v>
      </c>
      <c r="W1473" s="1"/>
      <c r="X1473" s="18">
        <v>45891.0</v>
      </c>
      <c r="Y1473" s="1" t="s">
        <v>2463</v>
      </c>
      <c r="Z1473" s="1"/>
      <c r="AA1473" s="1"/>
      <c r="AB1473" s="1" t="s">
        <v>52</v>
      </c>
      <c r="AC1473" s="1" t="s">
        <v>1925</v>
      </c>
      <c r="AD1473" s="1"/>
      <c r="AE1473" s="1" t="s">
        <v>1152</v>
      </c>
      <c r="AF1473" s="1"/>
      <c r="AG1473" s="1"/>
      <c r="AH1473" s="1" t="s">
        <v>1152</v>
      </c>
      <c r="AI1473" s="1"/>
      <c r="AJ1473" s="1" t="s">
        <v>7564</v>
      </c>
      <c r="AK1473" s="1" t="s">
        <v>1152</v>
      </c>
      <c r="AL1473" s="6" t="str">
        <f t="array" ref="AL1473">IFERROR(IFS(XLOOKUP(B1473, 'Kit Delivery Status'!$U:$U, 'Kit Delivery Status'!$K:$K) = "Complete", "DELIVERED", XLOOKUP(B1473, 'Kit Delivery Status'!$U:$U, 'Kit Delivery Status'!$K:$K) = "Issue", "ISSUE"), "")</f>
        <v/>
      </c>
      <c r="AM1473" s="6"/>
    </row>
    <row r="1474">
      <c r="A1474" s="5" t="s">
        <v>7566</v>
      </c>
      <c r="B1474" s="1" t="s">
        <v>7567</v>
      </c>
      <c r="C1474" s="1" t="s">
        <v>7568</v>
      </c>
      <c r="D1474" s="2">
        <v>7.737035158E9</v>
      </c>
      <c r="E1474" s="1" t="s">
        <v>7569</v>
      </c>
      <c r="F1474" s="1"/>
      <c r="G1474" s="1" t="s">
        <v>1072</v>
      </c>
      <c r="H1474" s="1" t="s">
        <v>1019</v>
      </c>
      <c r="I1474" s="1">
        <v>60660.0</v>
      </c>
      <c r="J1474" s="1" t="s">
        <v>752</v>
      </c>
      <c r="K1474" s="1" t="s">
        <v>51</v>
      </c>
      <c r="L1474" s="1" t="s">
        <v>5722</v>
      </c>
      <c r="M1474" s="1">
        <v>1.0</v>
      </c>
      <c r="N1474" s="1" t="s">
        <v>2461</v>
      </c>
      <c r="O1474" s="3" t="s">
        <v>7570</v>
      </c>
      <c r="P1474" s="18">
        <v>45891.0</v>
      </c>
      <c r="Q1474" s="1" t="s">
        <v>2852</v>
      </c>
      <c r="R1474" s="1"/>
      <c r="S1474" s="1" t="s">
        <v>52</v>
      </c>
      <c r="T1474" s="1" t="s">
        <v>2461</v>
      </c>
      <c r="U1474" s="1" t="s">
        <v>1174</v>
      </c>
      <c r="V1474" s="4" t="s">
        <v>7570</v>
      </c>
      <c r="W1474" s="1"/>
      <c r="X1474" s="18">
        <v>45891.0</v>
      </c>
      <c r="Y1474" s="1" t="s">
        <v>2852</v>
      </c>
      <c r="Z1474" s="1"/>
      <c r="AA1474" s="1"/>
      <c r="AB1474" s="1" t="s">
        <v>52</v>
      </c>
      <c r="AC1474" s="1" t="s">
        <v>1925</v>
      </c>
      <c r="AD1474" s="1"/>
      <c r="AE1474" s="1" t="s">
        <v>1152</v>
      </c>
      <c r="AF1474" s="1"/>
      <c r="AG1474" s="1"/>
      <c r="AH1474" s="1" t="s">
        <v>1152</v>
      </c>
      <c r="AI1474" s="1"/>
      <c r="AJ1474" s="1" t="s">
        <v>7571</v>
      </c>
      <c r="AK1474" s="1" t="s">
        <v>1152</v>
      </c>
      <c r="AL1474" s="6" t="str">
        <f t="array" ref="AL1474">IFERROR(IFS(XLOOKUP(B1474, 'Kit Delivery Status'!$U:$U, 'Kit Delivery Status'!$K:$K) = "Complete", "DELIVERED", XLOOKUP(B1474, 'Kit Delivery Status'!$U:$U, 'Kit Delivery Status'!$K:$K) = "Issue", "ISSUE"), "")</f>
        <v/>
      </c>
      <c r="AM1474" s="6"/>
    </row>
    <row r="1475">
      <c r="A1475" s="5" t="s">
        <v>7572</v>
      </c>
      <c r="B1475" s="1" t="s">
        <v>7573</v>
      </c>
      <c r="C1475" s="1" t="s">
        <v>7574</v>
      </c>
      <c r="D1475" s="2">
        <v>8.185619533E9</v>
      </c>
      <c r="E1475" s="1" t="s">
        <v>7575</v>
      </c>
      <c r="F1475" s="1"/>
      <c r="G1475" s="1" t="s">
        <v>1191</v>
      </c>
      <c r="H1475" s="1" t="s">
        <v>989</v>
      </c>
      <c r="I1475" s="1" t="s">
        <v>7576</v>
      </c>
      <c r="J1475" s="1" t="s">
        <v>752</v>
      </c>
      <c r="K1475" s="1" t="s">
        <v>66</v>
      </c>
      <c r="L1475" s="1" t="s">
        <v>5767</v>
      </c>
      <c r="M1475" s="1">
        <v>210.0</v>
      </c>
      <c r="N1475" s="1" t="s">
        <v>1152</v>
      </c>
      <c r="O1475" s="3" t="s">
        <v>7577</v>
      </c>
      <c r="P1475" s="18">
        <v>45892.0</v>
      </c>
      <c r="Q1475" s="1" t="s">
        <v>1152</v>
      </c>
      <c r="R1475" s="1"/>
      <c r="S1475" s="1"/>
      <c r="T1475" s="1" t="s">
        <v>1152</v>
      </c>
      <c r="U1475" s="1" t="s">
        <v>1642</v>
      </c>
      <c r="V1475" s="4" t="s">
        <v>7577</v>
      </c>
      <c r="W1475" s="1"/>
      <c r="X1475" s="18">
        <v>45892.0</v>
      </c>
      <c r="Y1475" s="1" t="s">
        <v>1152</v>
      </c>
      <c r="Z1475" s="1"/>
      <c r="AA1475" s="1"/>
      <c r="AB1475" s="1"/>
      <c r="AC1475" s="1" t="s">
        <v>1925</v>
      </c>
      <c r="AD1475" s="1"/>
      <c r="AE1475" s="1" t="s">
        <v>1152</v>
      </c>
      <c r="AF1475" s="1"/>
      <c r="AG1475" s="1"/>
      <c r="AH1475" s="1" t="s">
        <v>1152</v>
      </c>
      <c r="AI1475" s="1"/>
      <c r="AJ1475" s="1" t="s">
        <v>7575</v>
      </c>
      <c r="AK1475" s="1" t="s">
        <v>1152</v>
      </c>
      <c r="AL1475" s="6" t="str">
        <f t="array" ref="AL1475">IFERROR(IFS(XLOOKUP(B1475, 'Kit Delivery Status'!$U:$U, 'Kit Delivery Status'!$K:$K) = "Complete", "DELIVERED", XLOOKUP(B1475, 'Kit Delivery Status'!$U:$U, 'Kit Delivery Status'!$K:$K) = "Issue", "ISSUE"), "")</f>
        <v/>
      </c>
      <c r="AM1475" s="6"/>
    </row>
    <row r="1476">
      <c r="A1476" s="5" t="s">
        <v>7578</v>
      </c>
      <c r="B1476" s="1" t="s">
        <v>7579</v>
      </c>
      <c r="C1476" s="1"/>
      <c r="D1476" s="2">
        <v>3.078290361E9</v>
      </c>
      <c r="E1476" s="1" t="s">
        <v>5339</v>
      </c>
      <c r="F1476" s="1"/>
      <c r="G1476" s="1" t="s">
        <v>2932</v>
      </c>
      <c r="H1476" s="1" t="s">
        <v>1583</v>
      </c>
      <c r="I1476" s="1">
        <v>77401.0</v>
      </c>
      <c r="J1476" s="1" t="s">
        <v>752</v>
      </c>
      <c r="K1476" s="1" t="s">
        <v>66</v>
      </c>
      <c r="L1476" s="1" t="s">
        <v>5811</v>
      </c>
      <c r="M1476" s="1">
        <v>145.0</v>
      </c>
      <c r="N1476" s="1" t="s">
        <v>1152</v>
      </c>
      <c r="O1476" s="3" t="s">
        <v>7580</v>
      </c>
      <c r="P1476" s="18">
        <v>45892.0</v>
      </c>
      <c r="Q1476" s="1" t="s">
        <v>1152</v>
      </c>
      <c r="R1476" s="1"/>
      <c r="S1476" s="1"/>
      <c r="T1476" s="1" t="s">
        <v>1152</v>
      </c>
      <c r="U1476" s="1" t="s">
        <v>1642</v>
      </c>
      <c r="V1476" s="4" t="s">
        <v>7580</v>
      </c>
      <c r="W1476" s="1"/>
      <c r="X1476" s="18">
        <v>45892.0</v>
      </c>
      <c r="Y1476" s="1" t="s">
        <v>1152</v>
      </c>
      <c r="Z1476" s="1"/>
      <c r="AA1476" s="1"/>
      <c r="AB1476" s="1"/>
      <c r="AC1476" s="1" t="s">
        <v>1925</v>
      </c>
      <c r="AD1476" s="1"/>
      <c r="AE1476" s="1" t="s">
        <v>1152</v>
      </c>
      <c r="AF1476" s="1"/>
      <c r="AG1476" s="1"/>
      <c r="AH1476" s="1" t="s">
        <v>1152</v>
      </c>
      <c r="AI1476" s="1"/>
      <c r="AJ1476" s="1" t="s">
        <v>5339</v>
      </c>
      <c r="AK1476" s="1" t="s">
        <v>1152</v>
      </c>
      <c r="AL1476" s="6" t="str">
        <f t="array" ref="AL1476">IFERROR(IFS(XLOOKUP(B1476, 'Kit Delivery Status'!$U:$U, 'Kit Delivery Status'!$K:$K) = "Complete", "DELIVERED", XLOOKUP(B1476, 'Kit Delivery Status'!$U:$U, 'Kit Delivery Status'!$K:$K) = "Issue", "ISSUE"), "")</f>
        <v/>
      </c>
      <c r="AM1476" s="6"/>
    </row>
    <row r="1477">
      <c r="A1477" s="5" t="s">
        <v>7581</v>
      </c>
      <c r="B1477" s="1" t="s">
        <v>7582</v>
      </c>
      <c r="C1477" s="1"/>
      <c r="D1477" s="2">
        <v>9.498120605E9</v>
      </c>
      <c r="E1477" s="1" t="s">
        <v>3391</v>
      </c>
      <c r="F1477" s="1"/>
      <c r="G1477" s="1" t="s">
        <v>1983</v>
      </c>
      <c r="H1477" s="1" t="s">
        <v>989</v>
      </c>
      <c r="I1477" s="1">
        <v>92612.0</v>
      </c>
      <c r="J1477" s="1" t="s">
        <v>752</v>
      </c>
      <c r="K1477" s="1" t="s">
        <v>66</v>
      </c>
      <c r="L1477" s="1" t="s">
        <v>5811</v>
      </c>
      <c r="M1477" s="1">
        <v>145.0</v>
      </c>
      <c r="N1477" s="1" t="s">
        <v>1152</v>
      </c>
      <c r="O1477" s="3" t="s">
        <v>3392</v>
      </c>
      <c r="P1477" s="18">
        <v>45891.0</v>
      </c>
      <c r="Q1477" s="1" t="s">
        <v>1152</v>
      </c>
      <c r="R1477" s="1"/>
      <c r="S1477" s="1"/>
      <c r="T1477" s="1" t="s">
        <v>1152</v>
      </c>
      <c r="U1477" s="1" t="s">
        <v>1407</v>
      </c>
      <c r="V1477" s="4" t="s">
        <v>3392</v>
      </c>
      <c r="W1477" s="1"/>
      <c r="X1477" s="18">
        <v>45891.0</v>
      </c>
      <c r="Y1477" s="1" t="s">
        <v>1152</v>
      </c>
      <c r="Z1477" s="1"/>
      <c r="AA1477" s="1"/>
      <c r="AB1477" s="1"/>
      <c r="AC1477" s="1" t="s">
        <v>1925</v>
      </c>
      <c r="AD1477" s="1"/>
      <c r="AE1477" s="1" t="s">
        <v>1152</v>
      </c>
      <c r="AF1477" s="1"/>
      <c r="AG1477" s="1"/>
      <c r="AH1477" s="1" t="s">
        <v>1152</v>
      </c>
      <c r="AI1477" s="1"/>
      <c r="AJ1477" s="1" t="s">
        <v>3391</v>
      </c>
      <c r="AK1477" s="1" t="s">
        <v>1152</v>
      </c>
      <c r="AL1477" s="6" t="str">
        <f t="array" ref="AL1477">IFERROR(IFS(XLOOKUP(B1477, 'Kit Delivery Status'!$U:$U, 'Kit Delivery Status'!$K:$K) = "Complete", "DELIVERED", XLOOKUP(B1477, 'Kit Delivery Status'!$U:$U, 'Kit Delivery Status'!$K:$K) = "Issue", "ISSUE"), "")</f>
        <v/>
      </c>
      <c r="AM1477" s="6"/>
    </row>
    <row r="1478">
      <c r="A1478" s="5" t="s">
        <v>7583</v>
      </c>
      <c r="B1478" s="1" t="s">
        <v>7584</v>
      </c>
      <c r="C1478" s="1" t="s">
        <v>7585</v>
      </c>
      <c r="D1478" s="2">
        <v>1.052825901E9</v>
      </c>
      <c r="E1478" s="1" t="s">
        <v>7586</v>
      </c>
      <c r="F1478" s="1" t="s">
        <v>5040</v>
      </c>
      <c r="G1478" s="1" t="s">
        <v>7587</v>
      </c>
      <c r="H1478" s="1" t="s">
        <v>1964</v>
      </c>
      <c r="I1478" s="1">
        <v>6528.0</v>
      </c>
      <c r="J1478" s="1" t="s">
        <v>1965</v>
      </c>
      <c r="K1478" s="1" t="s">
        <v>51</v>
      </c>
      <c r="L1478" s="1" t="s">
        <v>5722</v>
      </c>
      <c r="M1478" s="1">
        <v>1.0</v>
      </c>
      <c r="N1478" s="1" t="s">
        <v>2487</v>
      </c>
      <c r="O1478" s="3"/>
      <c r="P1478" s="18">
        <v>45894.0</v>
      </c>
      <c r="Q1478" s="1" t="s">
        <v>7588</v>
      </c>
      <c r="R1478" s="1" t="s">
        <v>5040</v>
      </c>
      <c r="S1478" s="1" t="s">
        <v>124</v>
      </c>
      <c r="T1478" s="1" t="s">
        <v>2487</v>
      </c>
      <c r="U1478" s="1"/>
      <c r="V1478" s="4"/>
      <c r="W1478" s="1" t="s">
        <v>5040</v>
      </c>
      <c r="X1478" s="18">
        <v>45894.0</v>
      </c>
      <c r="Y1478" s="1" t="s">
        <v>7588</v>
      </c>
      <c r="Z1478" s="1"/>
      <c r="AA1478" s="1" t="s">
        <v>5040</v>
      </c>
      <c r="AB1478" s="1" t="s">
        <v>124</v>
      </c>
      <c r="AC1478" s="1" t="s">
        <v>1925</v>
      </c>
      <c r="AD1478" s="1"/>
      <c r="AE1478" s="1" t="s">
        <v>1152</v>
      </c>
      <c r="AF1478" s="1"/>
      <c r="AG1478" s="1"/>
      <c r="AH1478" s="1" t="s">
        <v>1152</v>
      </c>
      <c r="AI1478" s="1"/>
      <c r="AJ1478" s="1" t="s">
        <v>7586</v>
      </c>
      <c r="AK1478" s="1" t="s">
        <v>1152</v>
      </c>
      <c r="AL1478" s="6" t="str">
        <f t="array" ref="AL1478">IFERROR(IFS(XLOOKUP(B1478, 'Kit Delivery Status'!$U:$U, 'Kit Delivery Status'!$K:$K) = "Complete", "DELIVERED", XLOOKUP(B1478, 'Kit Delivery Status'!$U:$U, 'Kit Delivery Status'!$K:$K) = "Issue", "ISSUE"), "")</f>
        <v/>
      </c>
      <c r="AM1478" s="6"/>
    </row>
    <row r="1479">
      <c r="A1479" s="5" t="s">
        <v>7589</v>
      </c>
      <c r="B1479" s="1" t="s">
        <v>7590</v>
      </c>
      <c r="C1479" s="1" t="s">
        <v>7591</v>
      </c>
      <c r="D1479" s="2">
        <v>6.179992787E9</v>
      </c>
      <c r="E1479" s="1" t="s">
        <v>6936</v>
      </c>
      <c r="F1479" s="1" t="s">
        <v>7592</v>
      </c>
      <c r="G1479" s="1" t="s">
        <v>3741</v>
      </c>
      <c r="H1479" s="1" t="s">
        <v>1155</v>
      </c>
      <c r="I1479" s="1">
        <v>63130.0</v>
      </c>
      <c r="J1479" s="1" t="s">
        <v>752</v>
      </c>
      <c r="K1479" s="1" t="s">
        <v>51</v>
      </c>
      <c r="L1479" s="1" t="s">
        <v>5722</v>
      </c>
      <c r="M1479" s="1">
        <v>1.0</v>
      </c>
      <c r="N1479" s="1" t="s">
        <v>2487</v>
      </c>
      <c r="O1479" s="3"/>
      <c r="P1479" s="18">
        <v>45891.0</v>
      </c>
      <c r="Q1479" s="1" t="s">
        <v>3219</v>
      </c>
      <c r="R1479" s="1" t="s">
        <v>7592</v>
      </c>
      <c r="S1479" s="1" t="s">
        <v>124</v>
      </c>
      <c r="T1479" s="1" t="s">
        <v>2487</v>
      </c>
      <c r="U1479" s="1"/>
      <c r="V1479" s="4"/>
      <c r="W1479" s="1" t="s">
        <v>7592</v>
      </c>
      <c r="X1479" s="18">
        <v>45891.0</v>
      </c>
      <c r="Y1479" s="1" t="s">
        <v>3219</v>
      </c>
      <c r="Z1479" s="1"/>
      <c r="AA1479" s="1" t="s">
        <v>7592</v>
      </c>
      <c r="AB1479" s="1" t="s">
        <v>124</v>
      </c>
      <c r="AC1479" s="1" t="s">
        <v>1925</v>
      </c>
      <c r="AD1479" s="1"/>
      <c r="AE1479" s="1" t="s">
        <v>1152</v>
      </c>
      <c r="AF1479" s="1"/>
      <c r="AG1479" s="1"/>
      <c r="AH1479" s="1" t="s">
        <v>1152</v>
      </c>
      <c r="AI1479" s="1" t="s">
        <v>6938</v>
      </c>
      <c r="AJ1479" s="1" t="s">
        <v>7593</v>
      </c>
      <c r="AK1479" s="1" t="s">
        <v>1152</v>
      </c>
      <c r="AL1479" s="6" t="str">
        <f t="array" ref="AL1479">IFERROR(IFS(XLOOKUP(B1479, 'Kit Delivery Status'!$U:$U, 'Kit Delivery Status'!$K:$K) = "Complete", "DELIVERED", XLOOKUP(B1479, 'Kit Delivery Status'!$U:$U, 'Kit Delivery Status'!$K:$K) = "Issue", "ISSUE"), "")</f>
        <v/>
      </c>
      <c r="AM1479" s="6"/>
    </row>
    <row r="1480">
      <c r="A1480" s="5" t="s">
        <v>7594</v>
      </c>
      <c r="B1480" s="1" t="s">
        <v>7595</v>
      </c>
      <c r="C1480" s="1"/>
      <c r="D1480" s="2">
        <v>6.188183004E9</v>
      </c>
      <c r="E1480" s="1" t="s">
        <v>7596</v>
      </c>
      <c r="F1480" s="1"/>
      <c r="G1480" s="1" t="s">
        <v>1283</v>
      </c>
      <c r="H1480" s="1" t="s">
        <v>1155</v>
      </c>
      <c r="I1480" s="1">
        <v>63112.0</v>
      </c>
      <c r="J1480" s="1" t="s">
        <v>752</v>
      </c>
      <c r="K1480" s="1" t="s">
        <v>51</v>
      </c>
      <c r="L1480" s="1" t="s">
        <v>5722</v>
      </c>
      <c r="M1480" s="1">
        <v>1.0</v>
      </c>
      <c r="N1480" s="1" t="s">
        <v>2461</v>
      </c>
      <c r="O1480" s="3" t="s">
        <v>7597</v>
      </c>
      <c r="P1480" s="18">
        <v>45892.0</v>
      </c>
      <c r="Q1480" s="1" t="s">
        <v>2463</v>
      </c>
      <c r="R1480" s="1"/>
      <c r="S1480" s="1" t="s">
        <v>52</v>
      </c>
      <c r="T1480" s="1" t="s">
        <v>2461</v>
      </c>
      <c r="U1480" s="1" t="s">
        <v>6600</v>
      </c>
      <c r="V1480" s="4" t="s">
        <v>7597</v>
      </c>
      <c r="W1480" s="1"/>
      <c r="X1480" s="18">
        <v>45892.0</v>
      </c>
      <c r="Y1480" s="1" t="s">
        <v>2463</v>
      </c>
      <c r="Z1480" s="1"/>
      <c r="AA1480" s="1"/>
      <c r="AB1480" s="1" t="s">
        <v>52</v>
      </c>
      <c r="AC1480" s="1" t="s">
        <v>1925</v>
      </c>
      <c r="AD1480" s="1"/>
      <c r="AE1480" s="1" t="s">
        <v>1152</v>
      </c>
      <c r="AF1480" s="1"/>
      <c r="AG1480" s="1"/>
      <c r="AH1480" s="1" t="s">
        <v>1152</v>
      </c>
      <c r="AI1480" s="1"/>
      <c r="AJ1480" s="1" t="s">
        <v>7596</v>
      </c>
      <c r="AK1480" s="1" t="s">
        <v>1152</v>
      </c>
      <c r="AL1480" s="6" t="str">
        <f t="array" ref="AL1480">IFERROR(IFS(XLOOKUP(B1480, 'Kit Delivery Status'!$U:$U, 'Kit Delivery Status'!$K:$K) = "Complete", "DELIVERED", XLOOKUP(B1480, 'Kit Delivery Status'!$U:$U, 'Kit Delivery Status'!$K:$K) = "Issue", "ISSUE"), "")</f>
        <v/>
      </c>
      <c r="AM1480" s="6"/>
    </row>
    <row r="1481">
      <c r="A1481" s="5" t="s">
        <v>7598</v>
      </c>
      <c r="B1481" s="1" t="s">
        <v>7599</v>
      </c>
      <c r="C1481" s="1"/>
      <c r="D1481" s="2">
        <v>9.732234041E9</v>
      </c>
      <c r="E1481" s="1" t="s">
        <v>7600</v>
      </c>
      <c r="F1481" s="1"/>
      <c r="G1481" s="1" t="s">
        <v>7601</v>
      </c>
      <c r="H1481" s="1" t="s">
        <v>3776</v>
      </c>
      <c r="I1481" s="1">
        <v>66224.0</v>
      </c>
      <c r="J1481" s="1" t="s">
        <v>752</v>
      </c>
      <c r="K1481" s="1" t="s">
        <v>66</v>
      </c>
      <c r="L1481" s="1" t="s">
        <v>5767</v>
      </c>
      <c r="M1481" s="1">
        <v>210.0</v>
      </c>
      <c r="N1481" s="1" t="s">
        <v>1152</v>
      </c>
      <c r="O1481" s="3" t="s">
        <v>7602</v>
      </c>
      <c r="P1481" s="18">
        <v>45892.0</v>
      </c>
      <c r="Q1481" s="1" t="s">
        <v>1152</v>
      </c>
      <c r="R1481" s="1"/>
      <c r="S1481" s="1"/>
      <c r="T1481" s="1" t="s">
        <v>1152</v>
      </c>
      <c r="U1481" s="1" t="s">
        <v>1201</v>
      </c>
      <c r="V1481" s="4" t="s">
        <v>7602</v>
      </c>
      <c r="W1481" s="1"/>
      <c r="X1481" s="18">
        <v>45892.0</v>
      </c>
      <c r="Y1481" s="1" t="s">
        <v>1152</v>
      </c>
      <c r="Z1481" s="1"/>
      <c r="AA1481" s="1"/>
      <c r="AB1481" s="1"/>
      <c r="AC1481" s="1" t="s">
        <v>1925</v>
      </c>
      <c r="AD1481" s="1"/>
      <c r="AE1481" s="1" t="s">
        <v>1152</v>
      </c>
      <c r="AF1481" s="1"/>
      <c r="AG1481" s="1"/>
      <c r="AH1481" s="1" t="s">
        <v>1152</v>
      </c>
      <c r="AI1481" s="1"/>
      <c r="AJ1481" s="1" t="s">
        <v>7603</v>
      </c>
      <c r="AK1481" s="1" t="s">
        <v>1152</v>
      </c>
      <c r="AL1481" s="6" t="str">
        <f t="array" ref="AL1481">IFERROR(IFS(XLOOKUP(B1481, 'Kit Delivery Status'!$U:$U, 'Kit Delivery Status'!$K:$K) = "Complete", "DELIVERED", XLOOKUP(B1481, 'Kit Delivery Status'!$U:$U, 'Kit Delivery Status'!$K:$K) = "Issue", "ISSUE"), "")</f>
        <v/>
      </c>
      <c r="AM1481" s="6"/>
    </row>
    <row r="1482">
      <c r="A1482" s="5" t="s">
        <v>7604</v>
      </c>
      <c r="B1482" s="1" t="s">
        <v>7605</v>
      </c>
      <c r="C1482" s="1" t="s">
        <v>7606</v>
      </c>
      <c r="D1482" s="2">
        <v>6.415018333E9</v>
      </c>
      <c r="E1482" s="1" t="s">
        <v>7607</v>
      </c>
      <c r="F1482" s="1"/>
      <c r="G1482" s="1" t="s">
        <v>1283</v>
      </c>
      <c r="H1482" s="1" t="s">
        <v>1155</v>
      </c>
      <c r="I1482" s="1">
        <v>63112.0</v>
      </c>
      <c r="J1482" s="1" t="s">
        <v>752</v>
      </c>
      <c r="K1482" s="1" t="s">
        <v>51</v>
      </c>
      <c r="L1482" s="1" t="s">
        <v>5722</v>
      </c>
      <c r="M1482" s="1">
        <v>1.0</v>
      </c>
      <c r="N1482" s="1" t="s">
        <v>2461</v>
      </c>
      <c r="O1482" s="3" t="s">
        <v>7608</v>
      </c>
      <c r="P1482" s="18">
        <v>45892.0</v>
      </c>
      <c r="Q1482" s="1" t="s">
        <v>2463</v>
      </c>
      <c r="R1482" s="1"/>
      <c r="S1482" s="1" t="s">
        <v>52</v>
      </c>
      <c r="T1482" s="1" t="s">
        <v>2461</v>
      </c>
      <c r="U1482" s="1" t="s">
        <v>102</v>
      </c>
      <c r="V1482" s="4" t="s">
        <v>7608</v>
      </c>
      <c r="W1482" s="1"/>
      <c r="X1482" s="18">
        <v>45892.0</v>
      </c>
      <c r="Y1482" s="1" t="s">
        <v>2463</v>
      </c>
      <c r="Z1482" s="1"/>
      <c r="AA1482" s="1"/>
      <c r="AB1482" s="1" t="s">
        <v>52</v>
      </c>
      <c r="AC1482" s="1" t="s">
        <v>1925</v>
      </c>
      <c r="AD1482" s="1"/>
      <c r="AE1482" s="1" t="s">
        <v>1152</v>
      </c>
      <c r="AF1482" s="1"/>
      <c r="AG1482" s="1"/>
      <c r="AH1482" s="1" t="s">
        <v>1152</v>
      </c>
      <c r="AI1482" s="1"/>
      <c r="AJ1482" s="1" t="s">
        <v>7607</v>
      </c>
      <c r="AK1482" s="1" t="s">
        <v>1152</v>
      </c>
      <c r="AL1482" s="6" t="str">
        <f t="array" ref="AL1482">IFERROR(IFS(XLOOKUP(B1482, 'Kit Delivery Status'!$U:$U, 'Kit Delivery Status'!$K:$K) = "Complete", "DELIVERED", XLOOKUP(B1482, 'Kit Delivery Status'!$U:$U, 'Kit Delivery Status'!$K:$K) = "Issue", "ISSUE"), "")</f>
        <v/>
      </c>
      <c r="AM1482" s="6"/>
    </row>
    <row r="1483">
      <c r="A1483" s="5" t="s">
        <v>7609</v>
      </c>
      <c r="B1483" s="1" t="s">
        <v>7610</v>
      </c>
      <c r="C1483" s="1"/>
      <c r="D1483" s="2">
        <v>4.174502681E9</v>
      </c>
      <c r="E1483" s="1" t="s">
        <v>7611</v>
      </c>
      <c r="F1483" s="1"/>
      <c r="G1483" s="1" t="s">
        <v>4072</v>
      </c>
      <c r="H1483" s="1" t="s">
        <v>1155</v>
      </c>
      <c r="I1483" s="1">
        <v>65804.0</v>
      </c>
      <c r="J1483" s="1" t="s">
        <v>752</v>
      </c>
      <c r="K1483" s="1" t="s">
        <v>66</v>
      </c>
      <c r="L1483" s="1" t="s">
        <v>5811</v>
      </c>
      <c r="M1483" s="1">
        <v>145.0</v>
      </c>
      <c r="N1483" s="1" t="s">
        <v>1152</v>
      </c>
      <c r="O1483" s="3" t="s">
        <v>7612</v>
      </c>
      <c r="P1483" s="18">
        <v>45892.0</v>
      </c>
      <c r="Q1483" s="1" t="s">
        <v>1152</v>
      </c>
      <c r="R1483" s="1"/>
      <c r="S1483" s="1"/>
      <c r="T1483" s="1" t="s">
        <v>1152</v>
      </c>
      <c r="U1483" s="1" t="s">
        <v>1174</v>
      </c>
      <c r="V1483" s="4" t="s">
        <v>7612</v>
      </c>
      <c r="W1483" s="1"/>
      <c r="X1483" s="18">
        <v>45892.0</v>
      </c>
      <c r="Y1483" s="1" t="s">
        <v>1152</v>
      </c>
      <c r="Z1483" s="1"/>
      <c r="AA1483" s="1"/>
      <c r="AB1483" s="1"/>
      <c r="AC1483" s="1" t="s">
        <v>1925</v>
      </c>
      <c r="AD1483" s="1"/>
      <c r="AE1483" s="1" t="s">
        <v>1152</v>
      </c>
      <c r="AF1483" s="1"/>
      <c r="AG1483" s="1"/>
      <c r="AH1483" s="1" t="s">
        <v>1152</v>
      </c>
      <c r="AI1483" s="1"/>
      <c r="AJ1483" s="1" t="s">
        <v>7613</v>
      </c>
      <c r="AK1483" s="1" t="s">
        <v>1152</v>
      </c>
      <c r="AL1483" s="6" t="str">
        <f t="array" ref="AL1483">IFERROR(IFS(XLOOKUP(B1483, 'Kit Delivery Status'!$U:$U, 'Kit Delivery Status'!$K:$K) = "Complete", "DELIVERED", XLOOKUP(B1483, 'Kit Delivery Status'!$U:$U, 'Kit Delivery Status'!$K:$K) = "Issue", "ISSUE"), "")</f>
        <v/>
      </c>
      <c r="AM1483" s="6"/>
    </row>
    <row r="1484">
      <c r="A1484" s="5" t="s">
        <v>7614</v>
      </c>
      <c r="B1484" s="1" t="s">
        <v>7615</v>
      </c>
      <c r="C1484" s="1" t="s">
        <v>7616</v>
      </c>
      <c r="D1484" s="2">
        <v>5.164743388E9</v>
      </c>
      <c r="E1484" s="1" t="s">
        <v>1987</v>
      </c>
      <c r="F1484" s="1"/>
      <c r="G1484" s="1" t="s">
        <v>1697</v>
      </c>
      <c r="H1484" s="1" t="s">
        <v>751</v>
      </c>
      <c r="I1484" s="1">
        <v>11020.0</v>
      </c>
      <c r="J1484" s="1" t="s">
        <v>752</v>
      </c>
      <c r="K1484" s="1" t="s">
        <v>66</v>
      </c>
      <c r="L1484" s="1" t="s">
        <v>5833</v>
      </c>
      <c r="M1484" s="1">
        <v>65.0</v>
      </c>
      <c r="N1484" s="1" t="s">
        <v>1152</v>
      </c>
      <c r="O1484" s="3" t="s">
        <v>1432</v>
      </c>
      <c r="P1484" s="18">
        <v>45892.0</v>
      </c>
      <c r="Q1484" s="1" t="s">
        <v>1152</v>
      </c>
      <c r="R1484" s="1"/>
      <c r="S1484" s="1"/>
      <c r="T1484" s="1" t="s">
        <v>1152</v>
      </c>
      <c r="U1484" s="1" t="s">
        <v>1249</v>
      </c>
      <c r="V1484" s="4" t="s">
        <v>1432</v>
      </c>
      <c r="W1484" s="1"/>
      <c r="X1484" s="18">
        <v>45892.0</v>
      </c>
      <c r="Y1484" s="1" t="s">
        <v>1152</v>
      </c>
      <c r="Z1484" s="1"/>
      <c r="AA1484" s="1"/>
      <c r="AB1484" s="1"/>
      <c r="AC1484" s="1" t="s">
        <v>1925</v>
      </c>
      <c r="AD1484" s="1"/>
      <c r="AE1484" s="1" t="s">
        <v>1152</v>
      </c>
      <c r="AF1484" s="1"/>
      <c r="AG1484" s="1"/>
      <c r="AH1484" s="1" t="s">
        <v>1152</v>
      </c>
      <c r="AI1484" s="1"/>
      <c r="AJ1484" s="1" t="s">
        <v>1987</v>
      </c>
      <c r="AK1484" s="1" t="s">
        <v>1152</v>
      </c>
      <c r="AL1484" s="6" t="str">
        <f t="array" ref="AL1484">IFERROR(IFS(XLOOKUP(B1484, 'Kit Delivery Status'!$U:$U, 'Kit Delivery Status'!$K:$K) = "Complete", "DELIVERED", XLOOKUP(B1484, 'Kit Delivery Status'!$U:$U, 'Kit Delivery Status'!$K:$K) = "Issue", "ISSUE"), "")</f>
        <v/>
      </c>
      <c r="AM1484" s="6"/>
    </row>
    <row r="1485">
      <c r="A1485" s="5" t="s">
        <v>7617</v>
      </c>
      <c r="B1485" s="1" t="s">
        <v>7618</v>
      </c>
      <c r="C1485" s="1" t="s">
        <v>7619</v>
      </c>
      <c r="D1485" s="2">
        <v>3.144373166E9</v>
      </c>
      <c r="E1485" s="1" t="s">
        <v>7620</v>
      </c>
      <c r="F1485" s="1" t="s">
        <v>7621</v>
      </c>
      <c r="G1485" s="1" t="s">
        <v>1283</v>
      </c>
      <c r="H1485" s="1" t="s">
        <v>1155</v>
      </c>
      <c r="I1485" s="1">
        <v>63112.0</v>
      </c>
      <c r="J1485" s="1" t="s">
        <v>752</v>
      </c>
      <c r="K1485" s="1" t="s">
        <v>51</v>
      </c>
      <c r="L1485" s="1" t="s">
        <v>5722</v>
      </c>
      <c r="M1485" s="1">
        <v>1.0</v>
      </c>
      <c r="N1485" s="1" t="s">
        <v>2487</v>
      </c>
      <c r="O1485" s="3"/>
      <c r="P1485" s="18">
        <v>45892.0</v>
      </c>
      <c r="Q1485" s="1" t="s">
        <v>2463</v>
      </c>
      <c r="R1485" s="1" t="s">
        <v>7621</v>
      </c>
      <c r="S1485" s="1" t="s">
        <v>124</v>
      </c>
      <c r="T1485" s="1" t="s">
        <v>2487</v>
      </c>
      <c r="U1485" s="1"/>
      <c r="V1485" s="4"/>
      <c r="W1485" s="1" t="s">
        <v>7621</v>
      </c>
      <c r="X1485" s="18">
        <v>45892.0</v>
      </c>
      <c r="Y1485" s="1" t="s">
        <v>2463</v>
      </c>
      <c r="Z1485" s="1"/>
      <c r="AA1485" s="1" t="s">
        <v>7621</v>
      </c>
      <c r="AB1485" s="1" t="s">
        <v>124</v>
      </c>
      <c r="AC1485" s="1" t="s">
        <v>1925</v>
      </c>
      <c r="AD1485" s="1"/>
      <c r="AE1485" s="1" t="s">
        <v>1152</v>
      </c>
      <c r="AF1485" s="1"/>
      <c r="AG1485" s="1"/>
      <c r="AH1485" s="1" t="s">
        <v>1152</v>
      </c>
      <c r="AI1485" s="1"/>
      <c r="AJ1485" s="1" t="s">
        <v>7620</v>
      </c>
      <c r="AK1485" s="1" t="s">
        <v>1152</v>
      </c>
      <c r="AL1485" s="6" t="str">
        <f t="array" ref="AL1485">IFERROR(IFS(XLOOKUP(B1485, 'Kit Delivery Status'!$U:$U, 'Kit Delivery Status'!$K:$K) = "Complete", "DELIVERED", XLOOKUP(B1485, 'Kit Delivery Status'!$U:$U, 'Kit Delivery Status'!$K:$K) = "Issue", "ISSUE"), "")</f>
        <v/>
      </c>
      <c r="AM1485" s="6"/>
    </row>
    <row r="1486">
      <c r="A1486" s="5" t="s">
        <v>7622</v>
      </c>
      <c r="B1486" s="1" t="s">
        <v>7623</v>
      </c>
      <c r="C1486" s="1" t="s">
        <v>7624</v>
      </c>
      <c r="D1486" s="2">
        <v>8.136967037E9</v>
      </c>
      <c r="E1486" s="1" t="s">
        <v>7625</v>
      </c>
      <c r="F1486" s="1"/>
      <c r="G1486" s="1" t="s">
        <v>5313</v>
      </c>
      <c r="H1486" s="1" t="s">
        <v>1208</v>
      </c>
      <c r="I1486" s="1">
        <v>33547.0</v>
      </c>
      <c r="J1486" s="1" t="s">
        <v>752</v>
      </c>
      <c r="K1486" s="1" t="s">
        <v>51</v>
      </c>
      <c r="L1486" s="1" t="s">
        <v>5722</v>
      </c>
      <c r="M1486" s="1">
        <v>1.0</v>
      </c>
      <c r="N1486" s="1" t="s">
        <v>2461</v>
      </c>
      <c r="O1486" s="3" t="s">
        <v>7626</v>
      </c>
      <c r="P1486" s="18">
        <v>45892.0</v>
      </c>
      <c r="Q1486" s="1" t="s">
        <v>3418</v>
      </c>
      <c r="R1486" s="1"/>
      <c r="S1486" s="1" t="s">
        <v>52</v>
      </c>
      <c r="T1486" s="1" t="s">
        <v>2461</v>
      </c>
      <c r="U1486" s="1" t="s">
        <v>2510</v>
      </c>
      <c r="V1486" s="4" t="s">
        <v>7626</v>
      </c>
      <c r="W1486" s="1"/>
      <c r="X1486" s="18">
        <v>45892.0</v>
      </c>
      <c r="Y1486" s="1" t="s">
        <v>3418</v>
      </c>
      <c r="Z1486" s="1"/>
      <c r="AA1486" s="1"/>
      <c r="AB1486" s="1" t="s">
        <v>52</v>
      </c>
      <c r="AC1486" s="1" t="s">
        <v>1925</v>
      </c>
      <c r="AD1486" s="1"/>
      <c r="AE1486" s="1" t="s">
        <v>1152</v>
      </c>
      <c r="AF1486" s="1"/>
      <c r="AG1486" s="1"/>
      <c r="AH1486" s="1" t="s">
        <v>1152</v>
      </c>
      <c r="AI1486" s="1"/>
      <c r="AJ1486" s="1" t="s">
        <v>7627</v>
      </c>
      <c r="AK1486" s="1" t="s">
        <v>1152</v>
      </c>
      <c r="AL1486" s="6" t="str">
        <f t="array" ref="AL1486">IFERROR(IFS(XLOOKUP(B1486, 'Kit Delivery Status'!$U:$U, 'Kit Delivery Status'!$K:$K) = "Complete", "DELIVERED", XLOOKUP(B1486, 'Kit Delivery Status'!$U:$U, 'Kit Delivery Status'!$K:$K) = "Issue", "ISSUE"), "")</f>
        <v/>
      </c>
      <c r="AM1486" s="6"/>
    </row>
    <row r="1487">
      <c r="A1487" s="5" t="s">
        <v>7628</v>
      </c>
      <c r="B1487" s="1" t="s">
        <v>7629</v>
      </c>
      <c r="C1487" s="1" t="s">
        <v>7630</v>
      </c>
      <c r="D1487" s="2">
        <v>6.786979936E9</v>
      </c>
      <c r="E1487" s="1" t="s">
        <v>7631</v>
      </c>
      <c r="F1487" s="1"/>
      <c r="G1487" s="1" t="s">
        <v>1283</v>
      </c>
      <c r="H1487" s="1" t="s">
        <v>1155</v>
      </c>
      <c r="I1487" s="1">
        <v>63130.0</v>
      </c>
      <c r="J1487" s="1" t="s">
        <v>752</v>
      </c>
      <c r="K1487" s="1" t="s">
        <v>51</v>
      </c>
      <c r="L1487" s="1" t="s">
        <v>5722</v>
      </c>
      <c r="M1487" s="1">
        <v>1.0</v>
      </c>
      <c r="N1487" s="1" t="s">
        <v>2461</v>
      </c>
      <c r="O1487" s="3" t="s">
        <v>7632</v>
      </c>
      <c r="P1487" s="18">
        <v>45892.0</v>
      </c>
      <c r="Q1487" s="1" t="s">
        <v>2463</v>
      </c>
      <c r="R1487" s="1"/>
      <c r="S1487" s="1" t="s">
        <v>52</v>
      </c>
      <c r="T1487" s="1" t="s">
        <v>2461</v>
      </c>
      <c r="U1487" s="1" t="s">
        <v>2940</v>
      </c>
      <c r="V1487" s="4" t="s">
        <v>7632</v>
      </c>
      <c r="W1487" s="1"/>
      <c r="X1487" s="18">
        <v>45892.0</v>
      </c>
      <c r="Y1487" s="1" t="s">
        <v>2463</v>
      </c>
      <c r="Z1487" s="1"/>
      <c r="AA1487" s="1"/>
      <c r="AB1487" s="1" t="s">
        <v>52</v>
      </c>
      <c r="AC1487" s="1" t="s">
        <v>1925</v>
      </c>
      <c r="AD1487" s="1"/>
      <c r="AE1487" s="1" t="s">
        <v>1152</v>
      </c>
      <c r="AF1487" s="1"/>
      <c r="AG1487" s="1"/>
      <c r="AH1487" s="1" t="s">
        <v>1152</v>
      </c>
      <c r="AI1487" s="1"/>
      <c r="AJ1487" s="1" t="s">
        <v>7631</v>
      </c>
      <c r="AK1487" s="1" t="s">
        <v>1152</v>
      </c>
      <c r="AL1487" s="6" t="str">
        <f t="array" ref="AL1487">IFERROR(IFS(XLOOKUP(B1487, 'Kit Delivery Status'!$U:$U, 'Kit Delivery Status'!$K:$K) = "Complete", "DELIVERED", XLOOKUP(B1487, 'Kit Delivery Status'!$U:$U, 'Kit Delivery Status'!$K:$K) = "Issue", "ISSUE"), "")</f>
        <v/>
      </c>
      <c r="AM1487" s="6"/>
    </row>
    <row r="1488">
      <c r="A1488" s="5" t="s">
        <v>7633</v>
      </c>
      <c r="B1488" s="1" t="s">
        <v>7634</v>
      </c>
      <c r="C1488" s="1" t="s">
        <v>5597</v>
      </c>
      <c r="D1488" s="2">
        <v>6.463519518E9</v>
      </c>
      <c r="E1488" s="1" t="s">
        <v>5598</v>
      </c>
      <c r="F1488" s="1"/>
      <c r="G1488" s="1" t="s">
        <v>4154</v>
      </c>
      <c r="H1488" s="1" t="s">
        <v>1121</v>
      </c>
      <c r="I1488" s="1">
        <v>1778.0</v>
      </c>
      <c r="J1488" s="1" t="s">
        <v>752</v>
      </c>
      <c r="K1488" s="1" t="s">
        <v>66</v>
      </c>
      <c r="L1488" s="1" t="s">
        <v>5811</v>
      </c>
      <c r="M1488" s="1">
        <v>145.0</v>
      </c>
      <c r="N1488" s="1" t="s">
        <v>1152</v>
      </c>
      <c r="O1488" s="3" t="s">
        <v>2462</v>
      </c>
      <c r="P1488" s="18">
        <v>45892.0</v>
      </c>
      <c r="Q1488" s="1" t="s">
        <v>1152</v>
      </c>
      <c r="R1488" s="1"/>
      <c r="S1488" s="1"/>
      <c r="T1488" s="1" t="s">
        <v>1152</v>
      </c>
      <c r="U1488" s="1" t="s">
        <v>1794</v>
      </c>
      <c r="V1488" s="4" t="s">
        <v>2462</v>
      </c>
      <c r="W1488" s="1"/>
      <c r="X1488" s="18">
        <v>45892.0</v>
      </c>
      <c r="Y1488" s="1" t="s">
        <v>1152</v>
      </c>
      <c r="Z1488" s="1"/>
      <c r="AA1488" s="1"/>
      <c r="AB1488" s="1"/>
      <c r="AC1488" s="1" t="s">
        <v>1925</v>
      </c>
      <c r="AD1488" s="1"/>
      <c r="AE1488" s="1" t="s">
        <v>1152</v>
      </c>
      <c r="AF1488" s="1"/>
      <c r="AG1488" s="1"/>
      <c r="AH1488" s="1" t="s">
        <v>1152</v>
      </c>
      <c r="AI1488" s="1"/>
      <c r="AJ1488" s="1" t="s">
        <v>7635</v>
      </c>
      <c r="AK1488" s="1" t="s">
        <v>1152</v>
      </c>
      <c r="AL1488" s="6" t="str">
        <f t="array" ref="AL1488">IFERROR(IFS(XLOOKUP(B1488, 'Kit Delivery Status'!$U:$U, 'Kit Delivery Status'!$K:$K) = "Complete", "DELIVERED", XLOOKUP(B1488, 'Kit Delivery Status'!$U:$U, 'Kit Delivery Status'!$K:$K) = "Issue", "ISSUE"), "")</f>
        <v/>
      </c>
      <c r="AM1488" s="6"/>
    </row>
    <row r="1489">
      <c r="A1489" s="5" t="s">
        <v>7636</v>
      </c>
      <c r="B1489" s="1" t="s">
        <v>7637</v>
      </c>
      <c r="C1489" s="1" t="s">
        <v>7638</v>
      </c>
      <c r="D1489" s="2">
        <v>9.145887142E9</v>
      </c>
      <c r="E1489" s="1" t="s">
        <v>7639</v>
      </c>
      <c r="F1489" s="1" t="s">
        <v>7640</v>
      </c>
      <c r="G1489" s="1" t="s">
        <v>7641</v>
      </c>
      <c r="H1489" s="1" t="s">
        <v>1208</v>
      </c>
      <c r="I1489" s="1">
        <v>33480.0</v>
      </c>
      <c r="J1489" s="1" t="s">
        <v>752</v>
      </c>
      <c r="K1489" s="1" t="s">
        <v>51</v>
      </c>
      <c r="L1489" s="1" t="s">
        <v>5722</v>
      </c>
      <c r="M1489" s="1">
        <v>1.0</v>
      </c>
      <c r="N1489" s="1" t="s">
        <v>2487</v>
      </c>
      <c r="O1489" s="3"/>
      <c r="P1489" s="18">
        <v>45891.0</v>
      </c>
      <c r="Q1489" s="1" t="s">
        <v>7642</v>
      </c>
      <c r="R1489" s="1" t="s">
        <v>7640</v>
      </c>
      <c r="S1489" s="1" t="s">
        <v>124</v>
      </c>
      <c r="T1489" s="1" t="s">
        <v>2487</v>
      </c>
      <c r="U1489" s="1"/>
      <c r="V1489" s="4"/>
      <c r="W1489" s="1" t="s">
        <v>7640</v>
      </c>
      <c r="X1489" s="18">
        <v>45892.0</v>
      </c>
      <c r="Y1489" s="1" t="s">
        <v>2463</v>
      </c>
      <c r="Z1489" s="1"/>
      <c r="AA1489" s="1" t="s">
        <v>7640</v>
      </c>
      <c r="AB1489" s="1" t="s">
        <v>124</v>
      </c>
      <c r="AC1489" s="1" t="s">
        <v>1925</v>
      </c>
      <c r="AD1489" s="1"/>
      <c r="AE1489" s="1" t="s">
        <v>1152</v>
      </c>
      <c r="AF1489" s="1"/>
      <c r="AG1489" s="1"/>
      <c r="AH1489" s="1" t="s">
        <v>1152</v>
      </c>
      <c r="AI1489" s="1"/>
      <c r="AJ1489" s="1" t="s">
        <v>7639</v>
      </c>
      <c r="AK1489" s="1" t="s">
        <v>1152</v>
      </c>
      <c r="AL1489" s="6" t="str">
        <f t="array" ref="AL1489">IFERROR(IFS(XLOOKUP(B1489, 'Kit Delivery Status'!$U:$U, 'Kit Delivery Status'!$K:$K) = "Complete", "DELIVERED", XLOOKUP(B1489, 'Kit Delivery Status'!$U:$U, 'Kit Delivery Status'!$K:$K) = "Issue", "ISSUE"), "")</f>
        <v/>
      </c>
      <c r="AM1489" s="6"/>
    </row>
    <row r="1490">
      <c r="A1490" s="5" t="s">
        <v>7643</v>
      </c>
      <c r="B1490" s="1" t="s">
        <v>7644</v>
      </c>
      <c r="C1490" s="1"/>
      <c r="D1490" s="2">
        <v>3.612544279E9</v>
      </c>
      <c r="E1490" s="1" t="s">
        <v>7645</v>
      </c>
      <c r="F1490" s="1"/>
      <c r="G1490" s="1" t="s">
        <v>1609</v>
      </c>
      <c r="H1490" s="1" t="s">
        <v>1583</v>
      </c>
      <c r="I1490" s="1">
        <v>77006.0</v>
      </c>
      <c r="J1490" s="1" t="s">
        <v>752</v>
      </c>
      <c r="K1490" s="1" t="s">
        <v>51</v>
      </c>
      <c r="L1490" s="1" t="s">
        <v>5722</v>
      </c>
      <c r="M1490" s="1">
        <v>1.0</v>
      </c>
      <c r="N1490" s="1" t="s">
        <v>2461</v>
      </c>
      <c r="O1490" s="3" t="s">
        <v>1536</v>
      </c>
      <c r="P1490" s="18">
        <v>45892.0</v>
      </c>
      <c r="Q1490" s="1" t="s">
        <v>2463</v>
      </c>
      <c r="R1490" s="1"/>
      <c r="S1490" s="1" t="s">
        <v>52</v>
      </c>
      <c r="T1490" s="1" t="s">
        <v>2461</v>
      </c>
      <c r="U1490" s="1" t="s">
        <v>948</v>
      </c>
      <c r="V1490" s="4" t="s">
        <v>1536</v>
      </c>
      <c r="W1490" s="1"/>
      <c r="X1490" s="18">
        <v>45892.0</v>
      </c>
      <c r="Y1490" s="1" t="s">
        <v>2463</v>
      </c>
      <c r="Z1490" s="1"/>
      <c r="AA1490" s="1"/>
      <c r="AB1490" s="1" t="s">
        <v>52</v>
      </c>
      <c r="AC1490" s="1" t="s">
        <v>1925</v>
      </c>
      <c r="AD1490" s="1"/>
      <c r="AE1490" s="1" t="s">
        <v>1152</v>
      </c>
      <c r="AF1490" s="1"/>
      <c r="AG1490" s="1"/>
      <c r="AH1490" s="1" t="s">
        <v>1152</v>
      </c>
      <c r="AI1490" s="1"/>
      <c r="AJ1490" s="1" t="s">
        <v>7645</v>
      </c>
      <c r="AK1490" s="1" t="s">
        <v>1152</v>
      </c>
      <c r="AL1490" s="6" t="str">
        <f t="array" ref="AL1490">IFERROR(IFS(XLOOKUP(B1490, 'Kit Delivery Status'!$U:$U, 'Kit Delivery Status'!$K:$K) = "Complete", "DELIVERED", XLOOKUP(B1490, 'Kit Delivery Status'!$U:$U, 'Kit Delivery Status'!$K:$K) = "Issue", "ISSUE"), "")</f>
        <v/>
      </c>
      <c r="AM1490" s="6"/>
    </row>
    <row r="1491">
      <c r="A1491" s="5" t="s">
        <v>7646</v>
      </c>
      <c r="B1491" s="1" t="s">
        <v>7647</v>
      </c>
      <c r="C1491" s="1" t="s">
        <v>7648</v>
      </c>
      <c r="D1491" s="2">
        <v>3.147605934E9</v>
      </c>
      <c r="E1491" s="1" t="s">
        <v>7649</v>
      </c>
      <c r="F1491" s="1"/>
      <c r="G1491" s="1" t="s">
        <v>2350</v>
      </c>
      <c r="H1491" s="1" t="s">
        <v>1155</v>
      </c>
      <c r="I1491" s="1">
        <v>63105.0</v>
      </c>
      <c r="J1491" s="1" t="s">
        <v>752</v>
      </c>
      <c r="K1491" s="1" t="s">
        <v>51</v>
      </c>
      <c r="L1491" s="1" t="s">
        <v>5722</v>
      </c>
      <c r="M1491" s="1">
        <v>1.0</v>
      </c>
      <c r="N1491" s="1" t="s">
        <v>2461</v>
      </c>
      <c r="O1491" s="3" t="s">
        <v>7650</v>
      </c>
      <c r="P1491" s="18">
        <v>45894.0</v>
      </c>
      <c r="Q1491" s="1" t="s">
        <v>2502</v>
      </c>
      <c r="R1491" s="1"/>
      <c r="S1491" s="1" t="s">
        <v>52</v>
      </c>
      <c r="T1491" s="1" t="s">
        <v>2461</v>
      </c>
      <c r="U1491" s="1" t="s">
        <v>1642</v>
      </c>
      <c r="V1491" s="4" t="s">
        <v>7650</v>
      </c>
      <c r="W1491" s="1"/>
      <c r="X1491" s="18">
        <v>45894.0</v>
      </c>
      <c r="Y1491" s="1" t="s">
        <v>2502</v>
      </c>
      <c r="Z1491" s="1"/>
      <c r="AA1491" s="1"/>
      <c r="AB1491" s="1" t="s">
        <v>52</v>
      </c>
      <c r="AC1491" s="1" t="s">
        <v>1925</v>
      </c>
      <c r="AD1491" s="1"/>
      <c r="AE1491" s="1" t="s">
        <v>1152</v>
      </c>
      <c r="AF1491" s="1"/>
      <c r="AG1491" s="1"/>
      <c r="AH1491" s="1" t="s">
        <v>1152</v>
      </c>
      <c r="AI1491" s="1"/>
      <c r="AJ1491" s="1" t="s">
        <v>7649</v>
      </c>
      <c r="AK1491" s="1" t="s">
        <v>1152</v>
      </c>
      <c r="AL1491" s="6" t="str">
        <f t="array" ref="AL1491">IFERROR(IFS(XLOOKUP(B1491, 'Kit Delivery Status'!$U:$U, 'Kit Delivery Status'!$K:$K) = "Complete", "DELIVERED", XLOOKUP(B1491, 'Kit Delivery Status'!$U:$U, 'Kit Delivery Status'!$K:$K) = "Issue", "ISSUE"), "")</f>
        <v/>
      </c>
      <c r="AM1491" s="6"/>
    </row>
    <row r="1492">
      <c r="A1492" s="5" t="s">
        <v>7651</v>
      </c>
      <c r="B1492" s="1" t="s">
        <v>7652</v>
      </c>
      <c r="C1492" s="1" t="s">
        <v>7653</v>
      </c>
      <c r="D1492" s="2">
        <v>9.17566731E9</v>
      </c>
      <c r="E1492" s="1" t="s">
        <v>7654</v>
      </c>
      <c r="F1492" s="1"/>
      <c r="G1492" s="1" t="s">
        <v>7655</v>
      </c>
      <c r="H1492" s="1" t="s">
        <v>751</v>
      </c>
      <c r="I1492" s="1">
        <v>10514.0</v>
      </c>
      <c r="J1492" s="1" t="s">
        <v>752</v>
      </c>
      <c r="K1492" s="1" t="s">
        <v>66</v>
      </c>
      <c r="L1492" s="1" t="s">
        <v>5811</v>
      </c>
      <c r="M1492" s="1">
        <v>145.0</v>
      </c>
      <c r="N1492" s="1" t="s">
        <v>1152</v>
      </c>
      <c r="O1492" s="3" t="s">
        <v>1362</v>
      </c>
      <c r="P1492" s="18">
        <v>45892.0</v>
      </c>
      <c r="Q1492" s="1" t="s">
        <v>1152</v>
      </c>
      <c r="R1492" s="1"/>
      <c r="S1492" s="1"/>
      <c r="T1492" s="1" t="s">
        <v>1152</v>
      </c>
      <c r="U1492" s="1" t="s">
        <v>2236</v>
      </c>
      <c r="V1492" s="4" t="s">
        <v>1362</v>
      </c>
      <c r="W1492" s="1"/>
      <c r="X1492" s="18">
        <v>45892.0</v>
      </c>
      <c r="Y1492" s="1" t="s">
        <v>1152</v>
      </c>
      <c r="Z1492" s="1"/>
      <c r="AA1492" s="1"/>
      <c r="AB1492" s="1"/>
      <c r="AC1492" s="1" t="s">
        <v>1925</v>
      </c>
      <c r="AD1492" s="1"/>
      <c r="AE1492" s="1" t="s">
        <v>1152</v>
      </c>
      <c r="AF1492" s="1"/>
      <c r="AG1492" s="1"/>
      <c r="AH1492" s="1" t="s">
        <v>1152</v>
      </c>
      <c r="AI1492" s="1"/>
      <c r="AJ1492" s="1" t="s">
        <v>7656</v>
      </c>
      <c r="AK1492" s="1" t="s">
        <v>1152</v>
      </c>
      <c r="AL1492" s="6" t="str">
        <f t="array" ref="AL1492">IFERROR(IFS(XLOOKUP(B1492, 'Kit Delivery Status'!$U:$U, 'Kit Delivery Status'!$K:$K) = "Complete", "DELIVERED", XLOOKUP(B1492, 'Kit Delivery Status'!$U:$U, 'Kit Delivery Status'!$K:$K) = "Issue", "ISSUE"), "")</f>
        <v/>
      </c>
      <c r="AM1492" s="6"/>
    </row>
    <row r="1493">
      <c r="A1493" s="5" t="s">
        <v>7657</v>
      </c>
      <c r="B1493" s="1" t="s">
        <v>7658</v>
      </c>
      <c r="C1493" s="1"/>
      <c r="D1493" s="2">
        <v>7.817773187E9</v>
      </c>
      <c r="E1493" s="1" t="s">
        <v>7659</v>
      </c>
      <c r="F1493" s="1" t="s">
        <v>7660</v>
      </c>
      <c r="G1493" s="1" t="s">
        <v>2056</v>
      </c>
      <c r="H1493" s="1" t="s">
        <v>1121</v>
      </c>
      <c r="I1493" s="1">
        <v>2420.0</v>
      </c>
      <c r="J1493" s="1" t="s">
        <v>752</v>
      </c>
      <c r="K1493" s="1" t="s">
        <v>51</v>
      </c>
      <c r="L1493" s="1" t="s">
        <v>5722</v>
      </c>
      <c r="M1493" s="1">
        <v>1.0</v>
      </c>
      <c r="N1493" s="1" t="s">
        <v>2487</v>
      </c>
      <c r="O1493" s="3"/>
      <c r="P1493" s="18">
        <v>45894.0</v>
      </c>
      <c r="Q1493" s="1" t="s">
        <v>2731</v>
      </c>
      <c r="R1493" s="1" t="s">
        <v>7660</v>
      </c>
      <c r="S1493" s="1" t="s">
        <v>124</v>
      </c>
      <c r="T1493" s="1" t="s">
        <v>2487</v>
      </c>
      <c r="U1493" s="1"/>
      <c r="V1493" s="4"/>
      <c r="W1493" s="1" t="s">
        <v>7660</v>
      </c>
      <c r="X1493" s="18">
        <v>45894.0</v>
      </c>
      <c r="Y1493" s="1" t="s">
        <v>2731</v>
      </c>
      <c r="Z1493" s="1"/>
      <c r="AA1493" s="1" t="s">
        <v>7660</v>
      </c>
      <c r="AB1493" s="1" t="s">
        <v>124</v>
      </c>
      <c r="AC1493" s="1" t="s">
        <v>1925</v>
      </c>
      <c r="AD1493" s="1"/>
      <c r="AE1493" s="1" t="s">
        <v>1152</v>
      </c>
      <c r="AF1493" s="1"/>
      <c r="AG1493" s="1"/>
      <c r="AH1493" s="1" t="s">
        <v>1152</v>
      </c>
      <c r="AI1493" s="1"/>
      <c r="AJ1493" s="1" t="s">
        <v>7661</v>
      </c>
      <c r="AK1493" s="1" t="s">
        <v>1152</v>
      </c>
      <c r="AL1493" s="6" t="str">
        <f t="array" ref="AL1493">IFERROR(IFS(XLOOKUP(B1493, 'Kit Delivery Status'!$U:$U, 'Kit Delivery Status'!$K:$K) = "Complete", "DELIVERED", XLOOKUP(B1493, 'Kit Delivery Status'!$U:$U, 'Kit Delivery Status'!$K:$K) = "Issue", "ISSUE"), "")</f>
        <v/>
      </c>
      <c r="AM1493" s="6"/>
    </row>
    <row r="1494">
      <c r="A1494" s="5" t="s">
        <v>7662</v>
      </c>
      <c r="B1494" s="1" t="s">
        <v>7663</v>
      </c>
      <c r="C1494" s="1" t="s">
        <v>7664</v>
      </c>
      <c r="D1494" s="2">
        <v>3.14393624E9</v>
      </c>
      <c r="E1494" s="1" t="s">
        <v>7665</v>
      </c>
      <c r="F1494" s="1"/>
      <c r="G1494" s="1" t="s">
        <v>1283</v>
      </c>
      <c r="H1494" s="1" t="s">
        <v>1155</v>
      </c>
      <c r="I1494" s="1">
        <v>63130.0</v>
      </c>
      <c r="J1494" s="1" t="s">
        <v>752</v>
      </c>
      <c r="K1494" s="1" t="s">
        <v>51</v>
      </c>
      <c r="L1494" s="1" t="s">
        <v>5722</v>
      </c>
      <c r="M1494" s="1">
        <v>1.0</v>
      </c>
      <c r="N1494" s="1" t="s">
        <v>2461</v>
      </c>
      <c r="O1494" s="3" t="s">
        <v>7666</v>
      </c>
      <c r="P1494" s="18">
        <v>45894.0</v>
      </c>
      <c r="Q1494" s="1" t="s">
        <v>2463</v>
      </c>
      <c r="R1494" s="1"/>
      <c r="S1494" s="1" t="s">
        <v>52</v>
      </c>
      <c r="T1494" s="1" t="s">
        <v>2461</v>
      </c>
      <c r="U1494" s="1" t="s">
        <v>2940</v>
      </c>
      <c r="V1494" s="4" t="s">
        <v>7666</v>
      </c>
      <c r="W1494" s="1"/>
      <c r="X1494" s="18">
        <v>45894.0</v>
      </c>
      <c r="Y1494" s="1" t="s">
        <v>2463</v>
      </c>
      <c r="Z1494" s="1"/>
      <c r="AA1494" s="1"/>
      <c r="AB1494" s="1" t="s">
        <v>52</v>
      </c>
      <c r="AC1494" s="1" t="s">
        <v>1925</v>
      </c>
      <c r="AD1494" s="1"/>
      <c r="AE1494" s="1" t="s">
        <v>1152</v>
      </c>
      <c r="AF1494" s="1"/>
      <c r="AG1494" s="1"/>
      <c r="AH1494" s="1" t="s">
        <v>1152</v>
      </c>
      <c r="AI1494" s="1"/>
      <c r="AJ1494" s="1" t="s">
        <v>7667</v>
      </c>
      <c r="AK1494" s="1" t="s">
        <v>1152</v>
      </c>
      <c r="AL1494" s="6" t="str">
        <f t="array" ref="AL1494">IFERROR(IFS(XLOOKUP(B1494, 'Kit Delivery Status'!$U:$U, 'Kit Delivery Status'!$K:$K) = "Complete", "DELIVERED", XLOOKUP(B1494, 'Kit Delivery Status'!$U:$U, 'Kit Delivery Status'!$K:$K) = "Issue", "ISSUE"), "")</f>
        <v/>
      </c>
      <c r="AM1494" s="6"/>
    </row>
    <row r="1495">
      <c r="A1495" s="5" t="s">
        <v>7668</v>
      </c>
      <c r="B1495" s="1" t="s">
        <v>7669</v>
      </c>
      <c r="C1495" s="1" t="s">
        <v>7670</v>
      </c>
      <c r="D1495" s="2">
        <v>9.492449028E9</v>
      </c>
      <c r="E1495" s="1" t="s">
        <v>7671</v>
      </c>
      <c r="F1495" s="1"/>
      <c r="G1495" s="1" t="s">
        <v>1983</v>
      </c>
      <c r="H1495" s="1" t="s">
        <v>989</v>
      </c>
      <c r="I1495" s="1">
        <v>92618.0</v>
      </c>
      <c r="J1495" s="1" t="s">
        <v>752</v>
      </c>
      <c r="K1495" s="1" t="s">
        <v>51</v>
      </c>
      <c r="L1495" s="1" t="s">
        <v>5722</v>
      </c>
      <c r="M1495" s="1">
        <v>1.0</v>
      </c>
      <c r="N1495" s="1" t="s">
        <v>2461</v>
      </c>
      <c r="O1495" s="3" t="s">
        <v>7253</v>
      </c>
      <c r="P1495" s="18">
        <v>45892.0</v>
      </c>
      <c r="Q1495" s="1" t="s">
        <v>2463</v>
      </c>
      <c r="R1495" s="1"/>
      <c r="S1495" s="1" t="s">
        <v>52</v>
      </c>
      <c r="T1495" s="1" t="s">
        <v>2461</v>
      </c>
      <c r="U1495" s="1" t="s">
        <v>1936</v>
      </c>
      <c r="V1495" s="4" t="s">
        <v>7253</v>
      </c>
      <c r="W1495" s="1"/>
      <c r="X1495" s="18">
        <v>45892.0</v>
      </c>
      <c r="Y1495" s="1" t="s">
        <v>2463</v>
      </c>
      <c r="Z1495" s="1"/>
      <c r="AA1495" s="1"/>
      <c r="AB1495" s="1" t="s">
        <v>52</v>
      </c>
      <c r="AC1495" s="1" t="s">
        <v>1925</v>
      </c>
      <c r="AD1495" s="1"/>
      <c r="AE1495" s="1" t="s">
        <v>1152</v>
      </c>
      <c r="AF1495" s="1"/>
      <c r="AG1495" s="1"/>
      <c r="AH1495" s="1" t="s">
        <v>1152</v>
      </c>
      <c r="AI1495" s="1"/>
      <c r="AJ1495" s="1" t="s">
        <v>7672</v>
      </c>
      <c r="AK1495" s="1" t="s">
        <v>1152</v>
      </c>
      <c r="AL1495" s="6" t="str">
        <f t="array" ref="AL1495">IFERROR(IFS(XLOOKUP(B1495, 'Kit Delivery Status'!$U:$U, 'Kit Delivery Status'!$K:$K) = "Complete", "DELIVERED", XLOOKUP(B1495, 'Kit Delivery Status'!$U:$U, 'Kit Delivery Status'!$K:$K) = "Issue", "ISSUE"), "")</f>
        <v/>
      </c>
      <c r="AM1495" s="6"/>
    </row>
    <row r="1496">
      <c r="A1496" s="5" t="s">
        <v>7673</v>
      </c>
      <c r="B1496" s="1" t="s">
        <v>7674</v>
      </c>
      <c r="C1496" s="1" t="s">
        <v>7675</v>
      </c>
      <c r="D1496" s="2">
        <v>3.148279148E9</v>
      </c>
      <c r="E1496" s="1" t="s">
        <v>7676</v>
      </c>
      <c r="F1496" s="1" t="s">
        <v>7677</v>
      </c>
      <c r="G1496" s="1" t="s">
        <v>7678</v>
      </c>
      <c r="H1496" s="1" t="s">
        <v>1155</v>
      </c>
      <c r="I1496" s="1">
        <v>63130.0</v>
      </c>
      <c r="J1496" s="1" t="s">
        <v>752</v>
      </c>
      <c r="K1496" s="1" t="s">
        <v>51</v>
      </c>
      <c r="L1496" s="1" t="s">
        <v>5722</v>
      </c>
      <c r="M1496" s="1">
        <v>1.0</v>
      </c>
      <c r="N1496" s="1" t="s">
        <v>2487</v>
      </c>
      <c r="O1496" s="3"/>
      <c r="P1496" s="18">
        <v>45894.0</v>
      </c>
      <c r="Q1496" s="1" t="s">
        <v>2463</v>
      </c>
      <c r="R1496" s="1" t="s">
        <v>7677</v>
      </c>
      <c r="S1496" s="1" t="s">
        <v>124</v>
      </c>
      <c r="T1496" s="1" t="s">
        <v>2487</v>
      </c>
      <c r="U1496" s="1"/>
      <c r="V1496" s="4"/>
      <c r="W1496" s="1" t="s">
        <v>7677</v>
      </c>
      <c r="X1496" s="18">
        <v>45894.0</v>
      </c>
      <c r="Y1496" s="1" t="s">
        <v>2463</v>
      </c>
      <c r="Z1496" s="1"/>
      <c r="AA1496" s="1" t="s">
        <v>7677</v>
      </c>
      <c r="AB1496" s="1" t="s">
        <v>124</v>
      </c>
      <c r="AC1496" s="1" t="s">
        <v>1925</v>
      </c>
      <c r="AD1496" s="1"/>
      <c r="AE1496" s="1" t="s">
        <v>1152</v>
      </c>
      <c r="AF1496" s="1"/>
      <c r="AG1496" s="1"/>
      <c r="AH1496" s="1" t="s">
        <v>1152</v>
      </c>
      <c r="AI1496" s="1"/>
      <c r="AJ1496" s="1" t="s">
        <v>7679</v>
      </c>
      <c r="AK1496" s="1" t="s">
        <v>1152</v>
      </c>
      <c r="AL1496" s="6" t="str">
        <f t="array" ref="AL1496">IFERROR(IFS(XLOOKUP(B1496, 'Kit Delivery Status'!$U:$U, 'Kit Delivery Status'!$K:$K) = "Complete", "DELIVERED", XLOOKUP(B1496, 'Kit Delivery Status'!$U:$U, 'Kit Delivery Status'!$K:$K) = "Issue", "ISSUE"), "")</f>
        <v/>
      </c>
      <c r="AM1496" s="6"/>
    </row>
    <row r="1497">
      <c r="A1497" s="5" t="s">
        <v>7680</v>
      </c>
      <c r="B1497" s="1" t="s">
        <v>7681</v>
      </c>
      <c r="C1497" s="1" t="s">
        <v>7682</v>
      </c>
      <c r="D1497" s="2">
        <v>15714190463</v>
      </c>
      <c r="E1497" s="1" t="s">
        <v>7683</v>
      </c>
      <c r="F1497" s="1"/>
      <c r="G1497" s="1" t="s">
        <v>1037</v>
      </c>
      <c r="H1497" s="1" t="s">
        <v>1038</v>
      </c>
      <c r="I1497" s="1">
        <v>22207.0</v>
      </c>
      <c r="J1497" s="1" t="s">
        <v>752</v>
      </c>
      <c r="K1497" s="1" t="s">
        <v>51</v>
      </c>
      <c r="L1497" s="1" t="s">
        <v>5722</v>
      </c>
      <c r="M1497" s="1">
        <v>1.0</v>
      </c>
      <c r="N1497" s="1" t="s">
        <v>2461</v>
      </c>
      <c r="O1497" s="3" t="s">
        <v>7684</v>
      </c>
      <c r="P1497" s="18">
        <v>45894.0</v>
      </c>
      <c r="Q1497" s="1" t="s">
        <v>2463</v>
      </c>
      <c r="R1497" s="1"/>
      <c r="S1497" s="1" t="s">
        <v>52</v>
      </c>
      <c r="T1497" s="1" t="s">
        <v>2461</v>
      </c>
      <c r="U1497" s="1" t="s">
        <v>2437</v>
      </c>
      <c r="V1497" s="4" t="s">
        <v>7684</v>
      </c>
      <c r="W1497" s="1"/>
      <c r="X1497" s="18">
        <v>45894.0</v>
      </c>
      <c r="Y1497" s="1" t="s">
        <v>2463</v>
      </c>
      <c r="Z1497" s="1"/>
      <c r="AA1497" s="1"/>
      <c r="AB1497" s="1" t="s">
        <v>52</v>
      </c>
      <c r="AC1497" s="1" t="s">
        <v>1925</v>
      </c>
      <c r="AD1497" s="1"/>
      <c r="AE1497" s="1" t="s">
        <v>1152</v>
      </c>
      <c r="AF1497" s="1"/>
      <c r="AG1497" s="1"/>
      <c r="AH1497" s="1" t="s">
        <v>1152</v>
      </c>
      <c r="AI1497" s="1"/>
      <c r="AJ1497" s="1" t="s">
        <v>7685</v>
      </c>
      <c r="AK1497" s="1" t="s">
        <v>1152</v>
      </c>
      <c r="AL1497" s="6" t="str">
        <f t="array" ref="AL1497">IFERROR(IFS(XLOOKUP(B1497, 'Kit Delivery Status'!$U:$U, 'Kit Delivery Status'!$K:$K) = "Complete", "DELIVERED", XLOOKUP(B1497, 'Kit Delivery Status'!$U:$U, 'Kit Delivery Status'!$K:$K) = "Issue", "ISSUE"), "")</f>
        <v/>
      </c>
      <c r="AM1497" s="6"/>
    </row>
    <row r="1498">
      <c r="A1498" s="5" t="s">
        <v>7686</v>
      </c>
      <c r="B1498" s="1" t="s">
        <v>7687</v>
      </c>
      <c r="C1498" s="1"/>
      <c r="D1498" s="2">
        <v>8.184260756E9</v>
      </c>
      <c r="E1498" s="1" t="s">
        <v>7688</v>
      </c>
      <c r="F1498" s="1"/>
      <c r="G1498" s="1" t="s">
        <v>5113</v>
      </c>
      <c r="H1498" s="1" t="s">
        <v>989</v>
      </c>
      <c r="I1498" s="1">
        <v>91302.0</v>
      </c>
      <c r="J1498" s="1" t="s">
        <v>752</v>
      </c>
      <c r="K1498" s="1" t="s">
        <v>51</v>
      </c>
      <c r="L1498" s="1" t="s">
        <v>5722</v>
      </c>
      <c r="M1498" s="1">
        <v>1.0</v>
      </c>
      <c r="N1498" s="1" t="s">
        <v>2461</v>
      </c>
      <c r="O1498" s="3" t="s">
        <v>7689</v>
      </c>
      <c r="P1498" s="18">
        <v>45894.0</v>
      </c>
      <c r="Q1498" s="1" t="s">
        <v>2463</v>
      </c>
      <c r="R1498" s="1"/>
      <c r="S1498" s="1" t="s">
        <v>52</v>
      </c>
      <c r="T1498" s="1" t="s">
        <v>2461</v>
      </c>
      <c r="U1498" s="1" t="s">
        <v>2510</v>
      </c>
      <c r="V1498" s="4" t="s">
        <v>7689</v>
      </c>
      <c r="W1498" s="1"/>
      <c r="X1498" s="18">
        <v>45894.0</v>
      </c>
      <c r="Y1498" s="1" t="s">
        <v>2463</v>
      </c>
      <c r="Z1498" s="1"/>
      <c r="AA1498" s="1"/>
      <c r="AB1498" s="1" t="s">
        <v>52</v>
      </c>
      <c r="AC1498" s="1" t="s">
        <v>1925</v>
      </c>
      <c r="AD1498" s="1"/>
      <c r="AE1498" s="1" t="s">
        <v>1152</v>
      </c>
      <c r="AF1498" s="1"/>
      <c r="AG1498" s="1"/>
      <c r="AH1498" s="1" t="s">
        <v>1152</v>
      </c>
      <c r="AI1498" s="1"/>
      <c r="AJ1498" s="1" t="s">
        <v>7688</v>
      </c>
      <c r="AK1498" s="1" t="s">
        <v>1152</v>
      </c>
      <c r="AL1498" s="6" t="str">
        <f t="array" ref="AL1498">IFERROR(IFS(XLOOKUP(B1498, 'Kit Delivery Status'!$U:$U, 'Kit Delivery Status'!$K:$K) = "Complete", "DELIVERED", XLOOKUP(B1498, 'Kit Delivery Status'!$U:$U, 'Kit Delivery Status'!$K:$K) = "Issue", "ISSUE"), "")</f>
        <v/>
      </c>
      <c r="AM1498" s="6"/>
    </row>
    <row r="1499">
      <c r="A1499" s="5" t="s">
        <v>7690</v>
      </c>
      <c r="B1499" s="1" t="s">
        <v>7691</v>
      </c>
      <c r="C1499" s="1"/>
      <c r="D1499" s="2">
        <v>6.178753828E9</v>
      </c>
      <c r="E1499" s="1" t="s">
        <v>7692</v>
      </c>
      <c r="F1499" s="1"/>
      <c r="G1499" s="1" t="s">
        <v>1126</v>
      </c>
      <c r="H1499" s="1" t="s">
        <v>1121</v>
      </c>
      <c r="I1499" s="1">
        <v>1810.0</v>
      </c>
      <c r="J1499" s="1" t="s">
        <v>752</v>
      </c>
      <c r="K1499" s="1" t="s">
        <v>66</v>
      </c>
      <c r="L1499" s="1" t="s">
        <v>5736</v>
      </c>
      <c r="M1499" s="1">
        <v>115.0</v>
      </c>
      <c r="N1499" s="1" t="s">
        <v>1152</v>
      </c>
      <c r="O1499" s="3" t="s">
        <v>2981</v>
      </c>
      <c r="P1499" s="18">
        <v>45894.0</v>
      </c>
      <c r="Q1499" s="1" t="s">
        <v>1152</v>
      </c>
      <c r="R1499" s="1"/>
      <c r="S1499" s="1"/>
      <c r="T1499" s="1" t="s">
        <v>1152</v>
      </c>
      <c r="U1499" s="1" t="s">
        <v>3713</v>
      </c>
      <c r="V1499" s="4" t="s">
        <v>2981</v>
      </c>
      <c r="W1499" s="1"/>
      <c r="X1499" s="18">
        <v>45894.0</v>
      </c>
      <c r="Y1499" s="1" t="s">
        <v>1152</v>
      </c>
      <c r="Z1499" s="1"/>
      <c r="AA1499" s="1"/>
      <c r="AB1499" s="1"/>
      <c r="AC1499" s="1" t="s">
        <v>1925</v>
      </c>
      <c r="AD1499" s="1"/>
      <c r="AE1499" s="1" t="s">
        <v>1152</v>
      </c>
      <c r="AF1499" s="1"/>
      <c r="AG1499" s="1"/>
      <c r="AH1499" s="1" t="s">
        <v>1152</v>
      </c>
      <c r="AI1499" s="1"/>
      <c r="AJ1499" s="1" t="s">
        <v>7693</v>
      </c>
      <c r="AK1499" s="1" t="s">
        <v>1152</v>
      </c>
      <c r="AL1499" s="6" t="str">
        <f t="array" ref="AL1499">IFERROR(IFS(XLOOKUP(B1499, 'Kit Delivery Status'!$U:$U, 'Kit Delivery Status'!$K:$K) = "Complete", "DELIVERED", XLOOKUP(B1499, 'Kit Delivery Status'!$U:$U, 'Kit Delivery Status'!$K:$K) = "Issue", "ISSUE"), "")</f>
        <v/>
      </c>
      <c r="AM1499" s="6"/>
    </row>
    <row r="1500">
      <c r="A1500" s="5" t="s">
        <v>7694</v>
      </c>
      <c r="B1500" s="1" t="s">
        <v>7695</v>
      </c>
      <c r="C1500" s="1"/>
      <c r="D1500" s="2">
        <v>3.012761373E9</v>
      </c>
      <c r="E1500" s="1" t="s">
        <v>5900</v>
      </c>
      <c r="F1500" s="1"/>
      <c r="G1500" s="1" t="s">
        <v>4669</v>
      </c>
      <c r="H1500" s="1" t="s">
        <v>1005</v>
      </c>
      <c r="I1500" s="1">
        <v>20815.0</v>
      </c>
      <c r="J1500" s="1" t="s">
        <v>752</v>
      </c>
      <c r="K1500" s="1" t="s">
        <v>66</v>
      </c>
      <c r="L1500" s="1" t="s">
        <v>5736</v>
      </c>
      <c r="M1500" s="1">
        <v>115.0</v>
      </c>
      <c r="N1500" s="1" t="s">
        <v>1152</v>
      </c>
      <c r="O1500" s="3" t="s">
        <v>7696</v>
      </c>
      <c r="P1500" s="18">
        <v>45894.0</v>
      </c>
      <c r="Q1500" s="1" t="s">
        <v>1152</v>
      </c>
      <c r="R1500" s="1"/>
      <c r="S1500" s="1"/>
      <c r="T1500" s="1" t="s">
        <v>1152</v>
      </c>
      <c r="U1500" s="1" t="s">
        <v>1399</v>
      </c>
      <c r="V1500" s="4" t="s">
        <v>7696</v>
      </c>
      <c r="W1500" s="1"/>
      <c r="X1500" s="18">
        <v>45894.0</v>
      </c>
      <c r="Y1500" s="1" t="s">
        <v>1152</v>
      </c>
      <c r="Z1500" s="1"/>
      <c r="AA1500" s="1"/>
      <c r="AB1500" s="1"/>
      <c r="AC1500" s="1" t="s">
        <v>1925</v>
      </c>
      <c r="AD1500" s="1"/>
      <c r="AE1500" s="1" t="s">
        <v>1152</v>
      </c>
      <c r="AF1500" s="1"/>
      <c r="AG1500" s="1"/>
      <c r="AH1500" s="1" t="s">
        <v>1152</v>
      </c>
      <c r="AI1500" s="1"/>
      <c r="AJ1500" s="1" t="s">
        <v>5900</v>
      </c>
      <c r="AK1500" s="1" t="s">
        <v>1152</v>
      </c>
      <c r="AL1500" s="6" t="str">
        <f t="array" ref="AL1500">IFERROR(IFS(XLOOKUP(B1500, 'Kit Delivery Status'!$U:$U, 'Kit Delivery Status'!$K:$K) = "Complete", "DELIVERED", XLOOKUP(B1500, 'Kit Delivery Status'!$U:$U, 'Kit Delivery Status'!$K:$K) = "Issue", "ISSUE"), "")</f>
        <v/>
      </c>
      <c r="AM1500" s="6"/>
    </row>
    <row r="1501">
      <c r="A1501" s="5" t="s">
        <v>7697</v>
      </c>
      <c r="B1501" s="1" t="s">
        <v>7698</v>
      </c>
      <c r="C1501" s="1"/>
      <c r="D1501" s="2">
        <v>6.099175113E9</v>
      </c>
      <c r="E1501" s="1" t="s">
        <v>7699</v>
      </c>
      <c r="F1501" s="1"/>
      <c r="G1501" s="1" t="s">
        <v>7700</v>
      </c>
      <c r="H1501" s="1" t="s">
        <v>1053</v>
      </c>
      <c r="I1501" s="1">
        <v>8691.0</v>
      </c>
      <c r="J1501" s="1" t="s">
        <v>752</v>
      </c>
      <c r="K1501" s="1" t="s">
        <v>66</v>
      </c>
      <c r="L1501" s="1" t="s">
        <v>5811</v>
      </c>
      <c r="M1501" s="1">
        <v>145.0</v>
      </c>
      <c r="N1501" s="1" t="s">
        <v>1152</v>
      </c>
      <c r="O1501" s="3" t="s">
        <v>3907</v>
      </c>
      <c r="P1501" s="18">
        <v>45894.0</v>
      </c>
      <c r="Q1501" s="1" t="s">
        <v>1152</v>
      </c>
      <c r="R1501" s="1"/>
      <c r="S1501" s="1"/>
      <c r="T1501" s="1" t="s">
        <v>1152</v>
      </c>
      <c r="U1501" s="1" t="s">
        <v>1812</v>
      </c>
      <c r="V1501" s="4" t="s">
        <v>3907</v>
      </c>
      <c r="W1501" s="1"/>
      <c r="X1501" s="18">
        <v>45894.0</v>
      </c>
      <c r="Y1501" s="1" t="s">
        <v>1152</v>
      </c>
      <c r="Z1501" s="1"/>
      <c r="AA1501" s="1"/>
      <c r="AB1501" s="1"/>
      <c r="AC1501" s="1" t="s">
        <v>1925</v>
      </c>
      <c r="AD1501" s="1"/>
      <c r="AE1501" s="1" t="s">
        <v>1152</v>
      </c>
      <c r="AF1501" s="1"/>
      <c r="AG1501" s="1"/>
      <c r="AH1501" s="1" t="s">
        <v>1152</v>
      </c>
      <c r="AI1501" s="1"/>
      <c r="AJ1501" s="1" t="s">
        <v>7699</v>
      </c>
      <c r="AK1501" s="1" t="s">
        <v>1152</v>
      </c>
      <c r="AL1501" s="6" t="str">
        <f t="array" ref="AL1501">IFERROR(IFS(XLOOKUP(B1501, 'Kit Delivery Status'!$U:$U, 'Kit Delivery Status'!$K:$K) = "Complete", "DELIVERED", XLOOKUP(B1501, 'Kit Delivery Status'!$U:$U, 'Kit Delivery Status'!$K:$K) = "Issue", "ISSUE"), "")</f>
        <v/>
      </c>
      <c r="AM1501" s="6"/>
    </row>
    <row r="1502">
      <c r="A1502" s="5" t="s">
        <v>7701</v>
      </c>
      <c r="B1502" s="1" t="s">
        <v>7702</v>
      </c>
      <c r="C1502" s="1" t="s">
        <v>7703</v>
      </c>
      <c r="D1502" s="2">
        <v>3.107792869E9</v>
      </c>
      <c r="E1502" s="1" t="s">
        <v>7704</v>
      </c>
      <c r="F1502" s="1" t="s">
        <v>7705</v>
      </c>
      <c r="G1502" s="1" t="s">
        <v>7706</v>
      </c>
      <c r="H1502" s="1" t="s">
        <v>989</v>
      </c>
      <c r="I1502" s="1">
        <v>90272.0</v>
      </c>
      <c r="J1502" s="1" t="s">
        <v>752</v>
      </c>
      <c r="K1502" s="1" t="s">
        <v>51</v>
      </c>
      <c r="L1502" s="1" t="s">
        <v>5722</v>
      </c>
      <c r="M1502" s="1">
        <v>1.0</v>
      </c>
      <c r="N1502" s="1" t="s">
        <v>2487</v>
      </c>
      <c r="O1502" s="3"/>
      <c r="P1502" s="18">
        <v>45894.0</v>
      </c>
      <c r="Q1502" s="1" t="s">
        <v>2852</v>
      </c>
      <c r="R1502" s="1" t="s">
        <v>7705</v>
      </c>
      <c r="S1502" s="1" t="s">
        <v>124</v>
      </c>
      <c r="T1502" s="1" t="s">
        <v>2487</v>
      </c>
      <c r="U1502" s="1"/>
      <c r="V1502" s="4"/>
      <c r="W1502" s="1" t="s">
        <v>7705</v>
      </c>
      <c r="X1502" s="18">
        <v>45894.0</v>
      </c>
      <c r="Y1502" s="1" t="s">
        <v>2852</v>
      </c>
      <c r="Z1502" s="1"/>
      <c r="AA1502" s="1" t="s">
        <v>7705</v>
      </c>
      <c r="AB1502" s="1" t="s">
        <v>124</v>
      </c>
      <c r="AC1502" s="1" t="s">
        <v>1925</v>
      </c>
      <c r="AD1502" s="1"/>
      <c r="AE1502" s="1" t="s">
        <v>1152</v>
      </c>
      <c r="AF1502" s="1"/>
      <c r="AG1502" s="1"/>
      <c r="AH1502" s="1" t="s">
        <v>1152</v>
      </c>
      <c r="AI1502" s="1"/>
      <c r="AJ1502" s="1" t="s">
        <v>7707</v>
      </c>
      <c r="AK1502" s="1" t="s">
        <v>1152</v>
      </c>
      <c r="AL1502" s="6" t="str">
        <f t="array" ref="AL1502">IFERROR(IFS(XLOOKUP(B1502, 'Kit Delivery Status'!$U:$U, 'Kit Delivery Status'!$K:$K) = "Complete", "DELIVERED", XLOOKUP(B1502, 'Kit Delivery Status'!$U:$U, 'Kit Delivery Status'!$K:$K) = "Issue", "ISSUE"), "")</f>
        <v/>
      </c>
      <c r="AM1502" s="6"/>
    </row>
    <row r="1503">
      <c r="A1503" s="5" t="s">
        <v>7708</v>
      </c>
      <c r="B1503" s="1" t="s">
        <v>7709</v>
      </c>
      <c r="C1503" s="1"/>
      <c r="D1503" s="2">
        <v>2.81660986E9</v>
      </c>
      <c r="E1503" s="1" t="s">
        <v>7710</v>
      </c>
      <c r="F1503" s="1"/>
      <c r="G1503" s="1" t="s">
        <v>2932</v>
      </c>
      <c r="H1503" s="1" t="s">
        <v>1583</v>
      </c>
      <c r="I1503" s="1">
        <v>77401.0</v>
      </c>
      <c r="J1503" s="1" t="s">
        <v>752</v>
      </c>
      <c r="K1503" s="1" t="s">
        <v>51</v>
      </c>
      <c r="L1503" s="1" t="s">
        <v>5722</v>
      </c>
      <c r="M1503" s="1">
        <v>1.0</v>
      </c>
      <c r="N1503" s="1" t="s">
        <v>2461</v>
      </c>
      <c r="O1503" s="3" t="s">
        <v>7711</v>
      </c>
      <c r="P1503" s="18">
        <v>45894.0</v>
      </c>
      <c r="Q1503" s="1" t="s">
        <v>2463</v>
      </c>
      <c r="R1503" s="1"/>
      <c r="S1503" s="1" t="s">
        <v>52</v>
      </c>
      <c r="T1503" s="1" t="s">
        <v>2461</v>
      </c>
      <c r="U1503" s="1" t="s">
        <v>1021</v>
      </c>
      <c r="V1503" s="4" t="s">
        <v>7711</v>
      </c>
      <c r="W1503" s="1"/>
      <c r="X1503" s="18">
        <v>45894.0</v>
      </c>
      <c r="Y1503" s="1" t="s">
        <v>2463</v>
      </c>
      <c r="Z1503" s="1"/>
      <c r="AA1503" s="1"/>
      <c r="AB1503" s="1" t="s">
        <v>52</v>
      </c>
      <c r="AC1503" s="1" t="s">
        <v>1925</v>
      </c>
      <c r="AD1503" s="1"/>
      <c r="AE1503" s="1" t="s">
        <v>1152</v>
      </c>
      <c r="AF1503" s="1"/>
      <c r="AG1503" s="1"/>
      <c r="AH1503" s="1" t="s">
        <v>1152</v>
      </c>
      <c r="AI1503" s="1"/>
      <c r="AJ1503" s="1" t="s">
        <v>7710</v>
      </c>
      <c r="AK1503" s="1" t="s">
        <v>1152</v>
      </c>
      <c r="AL1503" s="6" t="str">
        <f t="array" ref="AL1503">IFERROR(IFS(XLOOKUP(B1503, 'Kit Delivery Status'!$U:$U, 'Kit Delivery Status'!$K:$K) = "Complete", "DELIVERED", XLOOKUP(B1503, 'Kit Delivery Status'!$U:$U, 'Kit Delivery Status'!$K:$K) = "Issue", "ISSUE"), "")</f>
        <v/>
      </c>
      <c r="AM1503" s="6"/>
    </row>
    <row r="1504">
      <c r="A1504" s="5" t="s">
        <v>7712</v>
      </c>
      <c r="B1504" s="1" t="s">
        <v>7713</v>
      </c>
      <c r="C1504" s="1" t="s">
        <v>7714</v>
      </c>
      <c r="D1504" s="2">
        <v>8.163772509E9</v>
      </c>
      <c r="E1504" s="1" t="s">
        <v>7715</v>
      </c>
      <c r="F1504" s="1"/>
      <c r="G1504" s="1" t="s">
        <v>6953</v>
      </c>
      <c r="H1504" s="1" t="s">
        <v>1155</v>
      </c>
      <c r="I1504" s="1">
        <v>64064.0</v>
      </c>
      <c r="J1504" s="1" t="s">
        <v>752</v>
      </c>
      <c r="K1504" s="1" t="s">
        <v>66</v>
      </c>
      <c r="L1504" s="1" t="s">
        <v>5811</v>
      </c>
      <c r="M1504" s="1">
        <v>145.0</v>
      </c>
      <c r="N1504" s="1" t="s">
        <v>1152</v>
      </c>
      <c r="O1504" s="3" t="s">
        <v>7716</v>
      </c>
      <c r="P1504" s="18">
        <v>45888.0</v>
      </c>
      <c r="Q1504" s="1" t="s">
        <v>1152</v>
      </c>
      <c r="R1504" s="1"/>
      <c r="S1504" s="1"/>
      <c r="T1504" s="1" t="s">
        <v>1152</v>
      </c>
      <c r="U1504" s="1" t="s">
        <v>1167</v>
      </c>
      <c r="V1504" s="4" t="s">
        <v>7716</v>
      </c>
      <c r="W1504" s="1"/>
      <c r="X1504" s="18">
        <v>45888.0</v>
      </c>
      <c r="Y1504" s="1" t="s">
        <v>1152</v>
      </c>
      <c r="Z1504" s="1"/>
      <c r="AA1504" s="1"/>
      <c r="AB1504" s="1"/>
      <c r="AC1504" s="1" t="s">
        <v>1925</v>
      </c>
      <c r="AD1504" s="1"/>
      <c r="AE1504" s="1" t="s">
        <v>1152</v>
      </c>
      <c r="AF1504" s="1"/>
      <c r="AG1504" s="1"/>
      <c r="AH1504" s="1" t="s">
        <v>1152</v>
      </c>
      <c r="AI1504" s="1"/>
      <c r="AJ1504" s="1" t="s">
        <v>7715</v>
      </c>
      <c r="AK1504" s="1" t="s">
        <v>1152</v>
      </c>
      <c r="AL1504" s="6" t="str">
        <f t="array" ref="AL1504">IFERROR(IFS(XLOOKUP(B1504, 'Kit Delivery Status'!$U:$U, 'Kit Delivery Status'!$K:$K) = "Complete", "DELIVERED", XLOOKUP(B1504, 'Kit Delivery Status'!$U:$U, 'Kit Delivery Status'!$K:$K) = "Issue", "ISSUE"), "")</f>
        <v/>
      </c>
      <c r="AM1504" s="6"/>
    </row>
    <row r="1505">
      <c r="A1505" s="5" t="s">
        <v>7717</v>
      </c>
      <c r="B1505" s="1" t="s">
        <v>7718</v>
      </c>
      <c r="C1505" s="1" t="s">
        <v>7719</v>
      </c>
      <c r="D1505" s="2">
        <v>9.179308115E9</v>
      </c>
      <c r="E1505" s="1" t="s">
        <v>7720</v>
      </c>
      <c r="F1505" s="1"/>
      <c r="G1505" s="1" t="s">
        <v>3171</v>
      </c>
      <c r="H1505" s="1" t="s">
        <v>1121</v>
      </c>
      <c r="I1505" s="1">
        <v>2467.0</v>
      </c>
      <c r="J1505" s="1" t="s">
        <v>752</v>
      </c>
      <c r="K1505" s="1" t="s">
        <v>66</v>
      </c>
      <c r="L1505" s="1" t="s">
        <v>5811</v>
      </c>
      <c r="M1505" s="1">
        <v>145.0</v>
      </c>
      <c r="N1505" s="1" t="s">
        <v>1152</v>
      </c>
      <c r="O1505" s="3" t="s">
        <v>7721</v>
      </c>
      <c r="P1505" s="18">
        <v>45894.0</v>
      </c>
      <c r="Q1505" s="1" t="s">
        <v>1152</v>
      </c>
      <c r="R1505" s="1"/>
      <c r="S1505" s="1"/>
      <c r="T1505" s="1" t="s">
        <v>1152</v>
      </c>
      <c r="U1505" s="1" t="s">
        <v>1174</v>
      </c>
      <c r="V1505" s="4" t="s">
        <v>7721</v>
      </c>
      <c r="W1505" s="1"/>
      <c r="X1505" s="18">
        <v>45894.0</v>
      </c>
      <c r="Y1505" s="1" t="s">
        <v>1152</v>
      </c>
      <c r="Z1505" s="1"/>
      <c r="AA1505" s="1"/>
      <c r="AB1505" s="1"/>
      <c r="AC1505" s="1" t="s">
        <v>1925</v>
      </c>
      <c r="AD1505" s="1"/>
      <c r="AE1505" s="1" t="s">
        <v>1152</v>
      </c>
      <c r="AF1505" s="1"/>
      <c r="AG1505" s="1"/>
      <c r="AH1505" s="1" t="s">
        <v>1152</v>
      </c>
      <c r="AI1505" s="1"/>
      <c r="AJ1505" s="1" t="s">
        <v>7722</v>
      </c>
      <c r="AK1505" s="1" t="s">
        <v>1152</v>
      </c>
      <c r="AL1505" s="6" t="str">
        <f t="array" ref="AL1505">IFERROR(IFS(XLOOKUP(B1505, 'Kit Delivery Status'!$U:$U, 'Kit Delivery Status'!$K:$K) = "Complete", "DELIVERED", XLOOKUP(B1505, 'Kit Delivery Status'!$U:$U, 'Kit Delivery Status'!$K:$K) = "Issue", "ISSUE"), "")</f>
        <v/>
      </c>
      <c r="AM1505" s="6"/>
    </row>
    <row r="1506">
      <c r="A1506" s="5" t="s">
        <v>7723</v>
      </c>
      <c r="B1506" s="1" t="s">
        <v>7724</v>
      </c>
      <c r="C1506" s="1"/>
      <c r="D1506" s="2">
        <v>5.616351769E9</v>
      </c>
      <c r="E1506" s="1" t="s">
        <v>7725</v>
      </c>
      <c r="F1506" s="1"/>
      <c r="G1506" s="1" t="s">
        <v>2074</v>
      </c>
      <c r="H1506" s="1" t="s">
        <v>1208</v>
      </c>
      <c r="I1506" s="1">
        <v>33410.0</v>
      </c>
      <c r="J1506" s="1" t="s">
        <v>752</v>
      </c>
      <c r="K1506" s="1" t="s">
        <v>66</v>
      </c>
      <c r="L1506" s="1" t="s">
        <v>5736</v>
      </c>
      <c r="M1506" s="1">
        <v>115.0</v>
      </c>
      <c r="N1506" s="1" t="s">
        <v>1152</v>
      </c>
      <c r="O1506" s="3" t="s">
        <v>1139</v>
      </c>
      <c r="P1506" s="18">
        <v>45894.0</v>
      </c>
      <c r="Q1506" s="1" t="s">
        <v>1152</v>
      </c>
      <c r="R1506" s="1"/>
      <c r="S1506" s="1"/>
      <c r="T1506" s="1" t="s">
        <v>1152</v>
      </c>
      <c r="U1506" s="1" t="s">
        <v>948</v>
      </c>
      <c r="V1506" s="4" t="s">
        <v>1139</v>
      </c>
      <c r="W1506" s="1"/>
      <c r="X1506" s="18">
        <v>45894.0</v>
      </c>
      <c r="Y1506" s="1" t="s">
        <v>1152</v>
      </c>
      <c r="Z1506" s="1"/>
      <c r="AA1506" s="1"/>
      <c r="AB1506" s="1"/>
      <c r="AC1506" s="1" t="s">
        <v>1925</v>
      </c>
      <c r="AD1506" s="1"/>
      <c r="AE1506" s="1" t="s">
        <v>1152</v>
      </c>
      <c r="AF1506" s="1"/>
      <c r="AG1506" s="1"/>
      <c r="AH1506" s="1" t="s">
        <v>1152</v>
      </c>
      <c r="AI1506" s="1"/>
      <c r="AJ1506" s="1" t="s">
        <v>7726</v>
      </c>
      <c r="AK1506" s="1" t="s">
        <v>1152</v>
      </c>
      <c r="AL1506" s="6" t="str">
        <f t="array" ref="AL1506">IFERROR(IFS(XLOOKUP(B1506, 'Kit Delivery Status'!$U:$U, 'Kit Delivery Status'!$K:$K) = "Complete", "DELIVERED", XLOOKUP(B1506, 'Kit Delivery Status'!$U:$U, 'Kit Delivery Status'!$K:$K) = "Issue", "ISSUE"), "")</f>
        <v/>
      </c>
      <c r="AM1506" s="6"/>
    </row>
    <row r="1507">
      <c r="A1507" s="5" t="s">
        <v>7727</v>
      </c>
      <c r="B1507" s="1" t="s">
        <v>7728</v>
      </c>
      <c r="C1507" s="1" t="s">
        <v>1504</v>
      </c>
      <c r="D1507" s="2">
        <v>5.033604485E9</v>
      </c>
      <c r="E1507" s="1" t="s">
        <v>1505</v>
      </c>
      <c r="F1507" s="1"/>
      <c r="G1507" s="1" t="s">
        <v>1421</v>
      </c>
      <c r="H1507" s="1" t="s">
        <v>1422</v>
      </c>
      <c r="I1507" s="1">
        <v>97229.0</v>
      </c>
      <c r="J1507" s="1" t="s">
        <v>752</v>
      </c>
      <c r="K1507" s="1" t="s">
        <v>66</v>
      </c>
      <c r="L1507" s="1" t="s">
        <v>5767</v>
      </c>
      <c r="M1507" s="1">
        <v>210.0</v>
      </c>
      <c r="N1507" s="1" t="s">
        <v>1152</v>
      </c>
      <c r="O1507" s="3" t="s">
        <v>1362</v>
      </c>
      <c r="P1507" s="18">
        <v>45894.0</v>
      </c>
      <c r="Q1507" s="1" t="s">
        <v>1152</v>
      </c>
      <c r="R1507" s="1"/>
      <c r="S1507" s="1"/>
      <c r="T1507" s="1" t="s">
        <v>1152</v>
      </c>
      <c r="U1507" s="1" t="s">
        <v>5506</v>
      </c>
      <c r="V1507" s="4" t="s">
        <v>1362</v>
      </c>
      <c r="W1507" s="1"/>
      <c r="X1507" s="18">
        <v>45894.0</v>
      </c>
      <c r="Y1507" s="1" t="s">
        <v>1152</v>
      </c>
      <c r="Z1507" s="1"/>
      <c r="AA1507" s="1"/>
      <c r="AB1507" s="1"/>
      <c r="AC1507" s="1" t="s">
        <v>1925</v>
      </c>
      <c r="AD1507" s="1"/>
      <c r="AE1507" s="1" t="s">
        <v>1152</v>
      </c>
      <c r="AF1507" s="1"/>
      <c r="AG1507" s="1"/>
      <c r="AH1507" s="1" t="s">
        <v>1152</v>
      </c>
      <c r="AI1507" s="1"/>
      <c r="AJ1507" s="1" t="s">
        <v>7729</v>
      </c>
      <c r="AK1507" s="1" t="s">
        <v>1152</v>
      </c>
      <c r="AL1507" s="6" t="str">
        <f t="array" ref="AL1507">IFERROR(IFS(XLOOKUP(B1507, 'Kit Delivery Status'!$U:$U, 'Kit Delivery Status'!$K:$K) = "Complete", "DELIVERED", XLOOKUP(B1507, 'Kit Delivery Status'!$U:$U, 'Kit Delivery Status'!$K:$K) = "Issue", "ISSUE"), "")</f>
        <v/>
      </c>
      <c r="AM1507" s="6"/>
    </row>
    <row r="1508">
      <c r="A1508" s="5" t="s">
        <v>7730</v>
      </c>
      <c r="B1508" s="1" t="s">
        <v>7731</v>
      </c>
      <c r="C1508" s="1" t="s">
        <v>7732</v>
      </c>
      <c r="D1508" s="2">
        <v>9.177506658E9</v>
      </c>
      <c r="E1508" s="1" t="s">
        <v>7733</v>
      </c>
      <c r="F1508" s="1"/>
      <c r="G1508" s="1" t="s">
        <v>751</v>
      </c>
      <c r="H1508" s="1" t="s">
        <v>751</v>
      </c>
      <c r="I1508" s="1">
        <v>10021.0</v>
      </c>
      <c r="J1508" s="1" t="s">
        <v>752</v>
      </c>
      <c r="K1508" s="1" t="s">
        <v>51</v>
      </c>
      <c r="L1508" s="1" t="s">
        <v>5722</v>
      </c>
      <c r="M1508" s="1">
        <v>1.0</v>
      </c>
      <c r="N1508" s="1" t="s">
        <v>2461</v>
      </c>
      <c r="O1508" s="3" t="s">
        <v>7734</v>
      </c>
      <c r="P1508" s="18">
        <v>45894.0</v>
      </c>
      <c r="Q1508" s="1" t="s">
        <v>3418</v>
      </c>
      <c r="R1508" s="1"/>
      <c r="S1508" s="1" t="s">
        <v>52</v>
      </c>
      <c r="T1508" s="1" t="s">
        <v>2461</v>
      </c>
      <c r="U1508" s="1" t="s">
        <v>1936</v>
      </c>
      <c r="V1508" s="4" t="s">
        <v>7734</v>
      </c>
      <c r="W1508" s="1"/>
      <c r="X1508" s="18">
        <v>45894.0</v>
      </c>
      <c r="Y1508" s="1" t="s">
        <v>3418</v>
      </c>
      <c r="Z1508" s="1"/>
      <c r="AA1508" s="1"/>
      <c r="AB1508" s="1" t="s">
        <v>52</v>
      </c>
      <c r="AC1508" s="1" t="s">
        <v>1925</v>
      </c>
      <c r="AD1508" s="1"/>
      <c r="AE1508" s="1" t="s">
        <v>1152</v>
      </c>
      <c r="AF1508" s="1"/>
      <c r="AG1508" s="1"/>
      <c r="AH1508" s="1" t="s">
        <v>1152</v>
      </c>
      <c r="AI1508" s="1"/>
      <c r="AJ1508" s="1" t="s">
        <v>7733</v>
      </c>
      <c r="AK1508" s="1" t="s">
        <v>1152</v>
      </c>
      <c r="AL1508" s="6" t="str">
        <f t="array" ref="AL1508">IFERROR(IFS(XLOOKUP(B1508, 'Kit Delivery Status'!$U:$U, 'Kit Delivery Status'!$K:$K) = "Complete", "DELIVERED", XLOOKUP(B1508, 'Kit Delivery Status'!$U:$U, 'Kit Delivery Status'!$K:$K) = "Issue", "ISSUE"), "")</f>
        <v/>
      </c>
      <c r="AM1508" s="6"/>
    </row>
    <row r="1509">
      <c r="A1509" s="5" t="s">
        <v>7735</v>
      </c>
      <c r="B1509" s="1" t="s">
        <v>7736</v>
      </c>
      <c r="C1509" s="1"/>
      <c r="D1509" s="2">
        <v>8.472263131E9</v>
      </c>
      <c r="E1509" s="1" t="s">
        <v>7737</v>
      </c>
      <c r="F1509" s="1"/>
      <c r="G1509" s="1" t="s">
        <v>7738</v>
      </c>
      <c r="H1509" s="1" t="s">
        <v>1019</v>
      </c>
      <c r="I1509" s="1">
        <v>60048.0</v>
      </c>
      <c r="J1509" s="1" t="s">
        <v>752</v>
      </c>
      <c r="K1509" s="1" t="s">
        <v>66</v>
      </c>
      <c r="L1509" s="1" t="s">
        <v>5736</v>
      </c>
      <c r="M1509" s="1">
        <v>115.0</v>
      </c>
      <c r="N1509" s="1" t="s">
        <v>1152</v>
      </c>
      <c r="O1509" s="3" t="s">
        <v>4597</v>
      </c>
      <c r="P1509" s="18">
        <v>45894.0</v>
      </c>
      <c r="Q1509" s="1" t="s">
        <v>1152</v>
      </c>
      <c r="R1509" s="1"/>
      <c r="S1509" s="1"/>
      <c r="T1509" s="1" t="s">
        <v>1152</v>
      </c>
      <c r="U1509" s="1" t="s">
        <v>1021</v>
      </c>
      <c r="V1509" s="4" t="s">
        <v>4597</v>
      </c>
      <c r="W1509" s="1"/>
      <c r="X1509" s="18">
        <v>45894.0</v>
      </c>
      <c r="Y1509" s="1" t="s">
        <v>1152</v>
      </c>
      <c r="Z1509" s="1"/>
      <c r="AA1509" s="1"/>
      <c r="AB1509" s="1"/>
      <c r="AC1509" s="1" t="s">
        <v>1925</v>
      </c>
      <c r="AD1509" s="1"/>
      <c r="AE1509" s="1" t="s">
        <v>1152</v>
      </c>
      <c r="AF1509" s="1"/>
      <c r="AG1509" s="1"/>
      <c r="AH1509" s="1" t="s">
        <v>1152</v>
      </c>
      <c r="AI1509" s="1"/>
      <c r="AJ1509" s="1" t="s">
        <v>7739</v>
      </c>
      <c r="AK1509" s="1" t="s">
        <v>1152</v>
      </c>
      <c r="AL1509" s="6" t="str">
        <f t="array" ref="AL1509">IFERROR(IFS(XLOOKUP(B1509, 'Kit Delivery Status'!$U:$U, 'Kit Delivery Status'!$K:$K) = "Complete", "DELIVERED", XLOOKUP(B1509, 'Kit Delivery Status'!$U:$U, 'Kit Delivery Status'!$K:$K) = "Issue", "ISSUE"), "")</f>
        <v/>
      </c>
      <c r="AM1509" s="6"/>
    </row>
    <row r="1510">
      <c r="A1510" s="5" t="s">
        <v>7740</v>
      </c>
      <c r="B1510" s="1" t="s">
        <v>7741</v>
      </c>
      <c r="C1510" s="1"/>
      <c r="D1510" s="2">
        <v>8.588228804E9</v>
      </c>
      <c r="E1510" s="1" t="s">
        <v>7742</v>
      </c>
      <c r="F1510" s="1"/>
      <c r="G1510" s="1" t="s">
        <v>7743</v>
      </c>
      <c r="H1510" s="1" t="s">
        <v>1616</v>
      </c>
      <c r="I1510" s="1">
        <v>3458.0</v>
      </c>
      <c r="J1510" s="1" t="s">
        <v>752</v>
      </c>
      <c r="K1510" s="1" t="s">
        <v>66</v>
      </c>
      <c r="L1510" s="1" t="s">
        <v>5736</v>
      </c>
      <c r="M1510" s="1">
        <v>115.0</v>
      </c>
      <c r="N1510" s="1" t="s">
        <v>1152</v>
      </c>
      <c r="O1510" s="3" t="s">
        <v>7744</v>
      </c>
      <c r="P1510" s="18">
        <v>45894.0</v>
      </c>
      <c r="Q1510" s="1" t="s">
        <v>1152</v>
      </c>
      <c r="R1510" s="1"/>
      <c r="S1510" s="1"/>
      <c r="T1510" s="1" t="s">
        <v>1152</v>
      </c>
      <c r="U1510" s="1" t="s">
        <v>1201</v>
      </c>
      <c r="V1510" s="4" t="s">
        <v>7744</v>
      </c>
      <c r="W1510" s="1"/>
      <c r="X1510" s="18">
        <v>45894.0</v>
      </c>
      <c r="Y1510" s="1" t="s">
        <v>1152</v>
      </c>
      <c r="Z1510" s="1"/>
      <c r="AA1510" s="1"/>
      <c r="AB1510" s="1"/>
      <c r="AC1510" s="1" t="s">
        <v>1925</v>
      </c>
      <c r="AD1510" s="1"/>
      <c r="AE1510" s="1" t="s">
        <v>1152</v>
      </c>
      <c r="AF1510" s="1"/>
      <c r="AG1510" s="1"/>
      <c r="AH1510" s="1" t="s">
        <v>1152</v>
      </c>
      <c r="AI1510" s="1"/>
      <c r="AJ1510" s="1" t="s">
        <v>7742</v>
      </c>
      <c r="AK1510" s="1" t="s">
        <v>1152</v>
      </c>
      <c r="AL1510" s="6" t="str">
        <f t="array" ref="AL1510">IFERROR(IFS(XLOOKUP(B1510, 'Kit Delivery Status'!$U:$U, 'Kit Delivery Status'!$K:$K) = "Complete", "DELIVERED", XLOOKUP(B1510, 'Kit Delivery Status'!$U:$U, 'Kit Delivery Status'!$K:$K) = "Issue", "ISSUE"), "")</f>
        <v/>
      </c>
      <c r="AM1510" s="6"/>
    </row>
    <row r="1511">
      <c r="A1511" s="5" t="s">
        <v>7745</v>
      </c>
      <c r="B1511" s="1" t="s">
        <v>7746</v>
      </c>
      <c r="C1511" s="1" t="s">
        <v>7747</v>
      </c>
      <c r="D1511" s="2">
        <v>9.783944861E9</v>
      </c>
      <c r="E1511" s="1" t="s">
        <v>7748</v>
      </c>
      <c r="F1511" s="1"/>
      <c r="G1511" s="1" t="s">
        <v>7749</v>
      </c>
      <c r="H1511" s="1" t="s">
        <v>1121</v>
      </c>
      <c r="I1511" s="1">
        <v>1824.0</v>
      </c>
      <c r="J1511" s="1" t="s">
        <v>752</v>
      </c>
      <c r="K1511" s="1" t="s">
        <v>66</v>
      </c>
      <c r="L1511" s="1" t="s">
        <v>5811</v>
      </c>
      <c r="M1511" s="1">
        <v>145.0</v>
      </c>
      <c r="N1511" s="1" t="s">
        <v>1152</v>
      </c>
      <c r="O1511" s="3" t="s">
        <v>7750</v>
      </c>
      <c r="P1511" s="18">
        <v>45894.0</v>
      </c>
      <c r="Q1511" s="1" t="s">
        <v>1152</v>
      </c>
      <c r="R1511" s="1"/>
      <c r="S1511" s="1"/>
      <c r="T1511" s="1" t="s">
        <v>1152</v>
      </c>
      <c r="U1511" s="1" t="s">
        <v>1407</v>
      </c>
      <c r="V1511" s="4" t="s">
        <v>7750</v>
      </c>
      <c r="W1511" s="1"/>
      <c r="X1511" s="18">
        <v>45894.0</v>
      </c>
      <c r="Y1511" s="1" t="s">
        <v>1152</v>
      </c>
      <c r="Z1511" s="1"/>
      <c r="AA1511" s="1"/>
      <c r="AB1511" s="1"/>
      <c r="AC1511" s="1" t="s">
        <v>1925</v>
      </c>
      <c r="AD1511" s="1"/>
      <c r="AE1511" s="1" t="s">
        <v>1152</v>
      </c>
      <c r="AF1511" s="1"/>
      <c r="AG1511" s="1"/>
      <c r="AH1511" s="1" t="s">
        <v>1152</v>
      </c>
      <c r="AI1511" s="1"/>
      <c r="AJ1511" s="1" t="s">
        <v>7751</v>
      </c>
      <c r="AK1511" s="1" t="s">
        <v>1152</v>
      </c>
      <c r="AL1511" s="6" t="str">
        <f t="array" ref="AL1511">IFERROR(IFS(XLOOKUP(B1511, 'Kit Delivery Status'!$U:$U, 'Kit Delivery Status'!$K:$K) = "Complete", "DELIVERED", XLOOKUP(B1511, 'Kit Delivery Status'!$U:$U, 'Kit Delivery Status'!$K:$K) = "Issue", "ISSUE"), "")</f>
        <v/>
      </c>
      <c r="AM1511" s="6"/>
    </row>
    <row r="1512">
      <c r="A1512" s="5" t="s">
        <v>7752</v>
      </c>
      <c r="B1512" s="1" t="s">
        <v>7753</v>
      </c>
      <c r="C1512" s="1" t="s">
        <v>7754</v>
      </c>
      <c r="D1512" s="2">
        <v>3.105706879E9</v>
      </c>
      <c r="E1512" s="1" t="s">
        <v>7755</v>
      </c>
      <c r="F1512" s="1"/>
      <c r="G1512" s="1" t="s">
        <v>7756</v>
      </c>
      <c r="H1512" s="1" t="s">
        <v>989</v>
      </c>
      <c r="I1512" s="1">
        <v>90402.0</v>
      </c>
      <c r="J1512" s="1" t="s">
        <v>752</v>
      </c>
      <c r="K1512" s="1" t="s">
        <v>51</v>
      </c>
      <c r="L1512" s="1" t="s">
        <v>5722</v>
      </c>
      <c r="M1512" s="1">
        <v>1.0</v>
      </c>
      <c r="N1512" s="1" t="s">
        <v>2461</v>
      </c>
      <c r="O1512" s="3" t="s">
        <v>7757</v>
      </c>
      <c r="P1512" s="18">
        <v>45894.0</v>
      </c>
      <c r="Q1512" s="1" t="s">
        <v>2463</v>
      </c>
      <c r="R1512" s="1"/>
      <c r="S1512" s="1" t="s">
        <v>52</v>
      </c>
      <c r="T1512" s="1" t="s">
        <v>2461</v>
      </c>
      <c r="U1512" s="1" t="s">
        <v>1055</v>
      </c>
      <c r="V1512" s="4" t="s">
        <v>7757</v>
      </c>
      <c r="W1512" s="1"/>
      <c r="X1512" s="18">
        <v>45894.0</v>
      </c>
      <c r="Y1512" s="1" t="s">
        <v>2463</v>
      </c>
      <c r="Z1512" s="1"/>
      <c r="AA1512" s="1"/>
      <c r="AB1512" s="1" t="s">
        <v>52</v>
      </c>
      <c r="AC1512" s="1" t="s">
        <v>1925</v>
      </c>
      <c r="AD1512" s="1"/>
      <c r="AE1512" s="1" t="s">
        <v>1152</v>
      </c>
      <c r="AF1512" s="1"/>
      <c r="AG1512" s="1"/>
      <c r="AH1512" s="1" t="s">
        <v>1152</v>
      </c>
      <c r="AI1512" s="1"/>
      <c r="AJ1512" s="1" t="s">
        <v>7755</v>
      </c>
      <c r="AK1512" s="1" t="s">
        <v>1152</v>
      </c>
      <c r="AL1512" s="6" t="str">
        <f t="array" ref="AL1512">IFERROR(IFS(XLOOKUP(B1512, 'Kit Delivery Status'!$U:$U, 'Kit Delivery Status'!$K:$K) = "Complete", "DELIVERED", XLOOKUP(B1512, 'Kit Delivery Status'!$U:$U, 'Kit Delivery Status'!$K:$K) = "Issue", "ISSUE"), "")</f>
        <v/>
      </c>
      <c r="AM1512" s="6"/>
    </row>
    <row r="1513">
      <c r="A1513" s="5" t="s">
        <v>7758</v>
      </c>
      <c r="B1513" s="1" t="s">
        <v>7759</v>
      </c>
      <c r="C1513" s="1" t="s">
        <v>5664</v>
      </c>
      <c r="D1513" s="2">
        <v>9.7388529E9</v>
      </c>
      <c r="E1513" s="1" t="s">
        <v>5665</v>
      </c>
      <c r="F1513" s="1"/>
      <c r="G1513" s="1" t="s">
        <v>1072</v>
      </c>
      <c r="H1513" s="1" t="s">
        <v>1019</v>
      </c>
      <c r="I1513" s="1">
        <v>60601.0</v>
      </c>
      <c r="J1513" s="1" t="s">
        <v>752</v>
      </c>
      <c r="K1513" s="1" t="s">
        <v>51</v>
      </c>
      <c r="L1513" s="1" t="s">
        <v>5722</v>
      </c>
      <c r="M1513" s="1">
        <v>1.0</v>
      </c>
      <c r="N1513" s="1" t="s">
        <v>2461</v>
      </c>
      <c r="O1513" s="3" t="s">
        <v>5666</v>
      </c>
      <c r="P1513" s="18">
        <v>45894.0</v>
      </c>
      <c r="Q1513" s="1" t="s">
        <v>2731</v>
      </c>
      <c r="R1513" s="1"/>
      <c r="S1513" s="1" t="s">
        <v>52</v>
      </c>
      <c r="T1513" s="1" t="s">
        <v>2461</v>
      </c>
      <c r="U1513" s="1" t="s">
        <v>1021</v>
      </c>
      <c r="V1513" s="4" t="s">
        <v>5666</v>
      </c>
      <c r="W1513" s="1"/>
      <c r="X1513" s="18">
        <v>45894.0</v>
      </c>
      <c r="Y1513" s="1" t="s">
        <v>2731</v>
      </c>
      <c r="Z1513" s="1"/>
      <c r="AA1513" s="1"/>
      <c r="AB1513" s="1" t="s">
        <v>52</v>
      </c>
      <c r="AC1513" s="1" t="s">
        <v>1925</v>
      </c>
      <c r="AD1513" s="1"/>
      <c r="AE1513" s="1" t="s">
        <v>1152</v>
      </c>
      <c r="AF1513" s="1"/>
      <c r="AG1513" s="1"/>
      <c r="AH1513" s="1" t="s">
        <v>1152</v>
      </c>
      <c r="AI1513" s="1"/>
      <c r="AJ1513" s="1" t="s">
        <v>7760</v>
      </c>
      <c r="AK1513" s="1" t="s">
        <v>1152</v>
      </c>
      <c r="AL1513" s="6" t="str">
        <f t="array" ref="AL1513">IFERROR(IFS(XLOOKUP(B1513, 'Kit Delivery Status'!$U:$U, 'Kit Delivery Status'!$K:$K) = "Complete", "DELIVERED", XLOOKUP(B1513, 'Kit Delivery Status'!$U:$U, 'Kit Delivery Status'!$K:$K) = "Issue", "ISSUE"), "")</f>
        <v/>
      </c>
      <c r="AM1513" s="6"/>
    </row>
    <row r="1514">
      <c r="A1514" s="5" t="s">
        <v>7761</v>
      </c>
      <c r="B1514" s="1" t="s">
        <v>7762</v>
      </c>
      <c r="C1514" s="1" t="s">
        <v>7763</v>
      </c>
      <c r="D1514" s="2">
        <v>1.086844181E9</v>
      </c>
      <c r="E1514" s="1" t="s">
        <v>7764</v>
      </c>
      <c r="F1514" s="1"/>
      <c r="G1514" s="1" t="s">
        <v>1964</v>
      </c>
      <c r="H1514" s="1" t="s">
        <v>1964</v>
      </c>
      <c r="I1514" s="1">
        <v>6509.0</v>
      </c>
      <c r="J1514" s="1" t="s">
        <v>1965</v>
      </c>
      <c r="K1514" s="1" t="s">
        <v>51</v>
      </c>
      <c r="L1514" s="1" t="s">
        <v>5722</v>
      </c>
      <c r="M1514" s="1">
        <v>1.0</v>
      </c>
      <c r="N1514" s="1" t="s">
        <v>2461</v>
      </c>
      <c r="O1514" s="3" t="s">
        <v>7765</v>
      </c>
      <c r="P1514" s="18">
        <v>45894.0</v>
      </c>
      <c r="Q1514" s="1" t="s">
        <v>2463</v>
      </c>
      <c r="R1514" s="1"/>
      <c r="S1514" s="1" t="s">
        <v>52</v>
      </c>
      <c r="T1514" s="1" t="s">
        <v>2461</v>
      </c>
      <c r="U1514" s="1" t="s">
        <v>2940</v>
      </c>
      <c r="V1514" s="4" t="s">
        <v>7765</v>
      </c>
      <c r="W1514" s="1"/>
      <c r="X1514" s="18">
        <v>45894.0</v>
      </c>
      <c r="Y1514" s="1" t="s">
        <v>2463</v>
      </c>
      <c r="Z1514" s="1"/>
      <c r="AA1514" s="1"/>
      <c r="AB1514" s="1" t="s">
        <v>52</v>
      </c>
      <c r="AC1514" s="1" t="s">
        <v>1925</v>
      </c>
      <c r="AD1514" s="1"/>
      <c r="AE1514" s="1" t="s">
        <v>1152</v>
      </c>
      <c r="AF1514" s="1"/>
      <c r="AG1514" s="1"/>
      <c r="AH1514" s="1" t="s">
        <v>1152</v>
      </c>
      <c r="AI1514" s="1"/>
      <c r="AJ1514" s="1" t="s">
        <v>7766</v>
      </c>
      <c r="AK1514" s="1" t="s">
        <v>1152</v>
      </c>
      <c r="AL1514" s="6" t="str">
        <f t="array" ref="AL1514">IFERROR(IFS(XLOOKUP(B1514, 'Kit Delivery Status'!$U:$U, 'Kit Delivery Status'!$K:$K) = "Complete", "DELIVERED", XLOOKUP(B1514, 'Kit Delivery Status'!$U:$U, 'Kit Delivery Status'!$K:$K) = "Issue", "ISSUE"), "")</f>
        <v/>
      </c>
      <c r="AM1514" s="6"/>
    </row>
    <row r="1515">
      <c r="A1515" s="5" t="s">
        <v>7767</v>
      </c>
      <c r="B1515" s="1" t="s">
        <v>7768</v>
      </c>
      <c r="C1515" s="1" t="s">
        <v>7769</v>
      </c>
      <c r="D1515" s="2">
        <v>15612894300</v>
      </c>
      <c r="E1515" s="1" t="s">
        <v>6905</v>
      </c>
      <c r="F1515" s="1"/>
      <c r="G1515" s="1" t="s">
        <v>1207</v>
      </c>
      <c r="H1515" s="1" t="s">
        <v>1208</v>
      </c>
      <c r="I1515" s="1">
        <v>33433.0</v>
      </c>
      <c r="J1515" s="1" t="s">
        <v>752</v>
      </c>
      <c r="K1515" s="1" t="s">
        <v>51</v>
      </c>
      <c r="L1515" s="1" t="s">
        <v>5722</v>
      </c>
      <c r="M1515" s="1">
        <v>1.0</v>
      </c>
      <c r="N1515" s="1" t="s">
        <v>2461</v>
      </c>
      <c r="O1515" s="3" t="s">
        <v>6906</v>
      </c>
      <c r="P1515" s="18">
        <v>45894.0</v>
      </c>
      <c r="Q1515" s="1" t="s">
        <v>2463</v>
      </c>
      <c r="R1515" s="1"/>
      <c r="S1515" s="1" t="s">
        <v>52</v>
      </c>
      <c r="T1515" s="1" t="s">
        <v>2461</v>
      </c>
      <c r="U1515" s="1" t="s">
        <v>2430</v>
      </c>
      <c r="V1515" s="4" t="s">
        <v>6906</v>
      </c>
      <c r="W1515" s="1"/>
      <c r="X1515" s="18">
        <v>45894.0</v>
      </c>
      <c r="Y1515" s="1" t="s">
        <v>2463</v>
      </c>
      <c r="Z1515" s="1"/>
      <c r="AA1515" s="1"/>
      <c r="AB1515" s="1" t="s">
        <v>52</v>
      </c>
      <c r="AC1515" s="1" t="s">
        <v>1925</v>
      </c>
      <c r="AD1515" s="1"/>
      <c r="AE1515" s="1" t="s">
        <v>1152</v>
      </c>
      <c r="AF1515" s="1"/>
      <c r="AG1515" s="1"/>
      <c r="AH1515" s="1" t="s">
        <v>1152</v>
      </c>
      <c r="AI1515" s="1"/>
      <c r="AJ1515" s="1" t="s">
        <v>6907</v>
      </c>
      <c r="AK1515" s="1" t="s">
        <v>1152</v>
      </c>
      <c r="AL1515" s="6" t="str">
        <f t="array" ref="AL1515">IFERROR(IFS(XLOOKUP(B1515, 'Kit Delivery Status'!$U:$U, 'Kit Delivery Status'!$K:$K) = "Complete", "DELIVERED", XLOOKUP(B1515, 'Kit Delivery Status'!$U:$U, 'Kit Delivery Status'!$K:$K) = "Issue", "ISSUE"), "")</f>
        <v/>
      </c>
      <c r="AM1515" s="6"/>
    </row>
    <row r="1516">
      <c r="A1516" s="5" t="s">
        <v>7770</v>
      </c>
      <c r="B1516" s="1" t="s">
        <v>7771</v>
      </c>
      <c r="C1516" s="1" t="s">
        <v>7772</v>
      </c>
      <c r="D1516" s="2">
        <v>3.148149677E9</v>
      </c>
      <c r="E1516" s="1" t="s">
        <v>7773</v>
      </c>
      <c r="F1516" s="1" t="s">
        <v>7774</v>
      </c>
      <c r="G1516" s="1" t="s">
        <v>1283</v>
      </c>
      <c r="H1516" s="1" t="s">
        <v>1155</v>
      </c>
      <c r="I1516" s="1">
        <v>63105.0</v>
      </c>
      <c r="J1516" s="1" t="s">
        <v>752</v>
      </c>
      <c r="K1516" s="1" t="s">
        <v>51</v>
      </c>
      <c r="L1516" s="1" t="s">
        <v>5722</v>
      </c>
      <c r="M1516" s="1">
        <v>1.0</v>
      </c>
      <c r="N1516" s="1" t="s">
        <v>2487</v>
      </c>
      <c r="O1516" s="3"/>
      <c r="P1516" s="18">
        <v>45894.0</v>
      </c>
      <c r="Q1516" s="1" t="s">
        <v>2463</v>
      </c>
      <c r="R1516" s="1" t="s">
        <v>7774</v>
      </c>
      <c r="S1516" s="1" t="s">
        <v>124</v>
      </c>
      <c r="T1516" s="1" t="s">
        <v>2487</v>
      </c>
      <c r="U1516" s="1"/>
      <c r="V1516" s="4"/>
      <c r="W1516" s="1" t="s">
        <v>7774</v>
      </c>
      <c r="X1516" s="18">
        <v>45894.0</v>
      </c>
      <c r="Y1516" s="1" t="s">
        <v>2463</v>
      </c>
      <c r="Z1516" s="1"/>
      <c r="AA1516" s="1" t="s">
        <v>7774</v>
      </c>
      <c r="AB1516" s="1" t="s">
        <v>124</v>
      </c>
      <c r="AC1516" s="1" t="s">
        <v>1925</v>
      </c>
      <c r="AD1516" s="1"/>
      <c r="AE1516" s="1" t="s">
        <v>1152</v>
      </c>
      <c r="AF1516" s="1"/>
      <c r="AG1516" s="1"/>
      <c r="AH1516" s="1" t="s">
        <v>1152</v>
      </c>
      <c r="AI1516" s="1"/>
      <c r="AJ1516" s="1" t="s">
        <v>7773</v>
      </c>
      <c r="AK1516" s="1" t="s">
        <v>1152</v>
      </c>
      <c r="AL1516" s="6" t="str">
        <f t="array" ref="AL1516">IFERROR(IFS(XLOOKUP(B1516, 'Kit Delivery Status'!$U:$U, 'Kit Delivery Status'!$K:$K) = "Complete", "DELIVERED", XLOOKUP(B1516, 'Kit Delivery Status'!$U:$U, 'Kit Delivery Status'!$K:$K) = "Issue", "ISSUE"), "")</f>
        <v/>
      </c>
      <c r="AM1516" s="6"/>
    </row>
    <row r="1517">
      <c r="A1517" s="5" t="s">
        <v>7775</v>
      </c>
      <c r="B1517" s="1" t="s">
        <v>7776</v>
      </c>
      <c r="C1517" s="1"/>
      <c r="D1517" s="2">
        <v>9.097614334E9</v>
      </c>
      <c r="E1517" s="1" t="s">
        <v>7777</v>
      </c>
      <c r="F1517" s="1" t="s">
        <v>4712</v>
      </c>
      <c r="G1517" s="1" t="s">
        <v>7778</v>
      </c>
      <c r="H1517" s="1" t="s">
        <v>989</v>
      </c>
      <c r="I1517" s="1">
        <v>92376.0</v>
      </c>
      <c r="J1517" s="1" t="s">
        <v>752</v>
      </c>
      <c r="K1517" s="1" t="s">
        <v>51</v>
      </c>
      <c r="L1517" s="1" t="s">
        <v>5722</v>
      </c>
      <c r="M1517" s="1">
        <v>1.0</v>
      </c>
      <c r="N1517" s="1" t="s">
        <v>2487</v>
      </c>
      <c r="O1517" s="3"/>
      <c r="P1517" s="18">
        <v>45893.0</v>
      </c>
      <c r="Q1517" s="1" t="s">
        <v>2463</v>
      </c>
      <c r="R1517" s="1" t="s">
        <v>4712</v>
      </c>
      <c r="S1517" s="1" t="s">
        <v>124</v>
      </c>
      <c r="T1517" s="1" t="s">
        <v>2487</v>
      </c>
      <c r="U1517" s="1"/>
      <c r="V1517" s="4"/>
      <c r="W1517" s="1" t="s">
        <v>4712</v>
      </c>
      <c r="X1517" s="18">
        <v>45898.0</v>
      </c>
      <c r="Y1517" s="1" t="s">
        <v>2463</v>
      </c>
      <c r="Z1517" s="1"/>
      <c r="AA1517" s="1" t="s">
        <v>4712</v>
      </c>
      <c r="AB1517" s="1" t="s">
        <v>124</v>
      </c>
      <c r="AC1517" s="1" t="s">
        <v>1925</v>
      </c>
      <c r="AD1517" s="1"/>
      <c r="AE1517" s="1" t="s">
        <v>1152</v>
      </c>
      <c r="AF1517" s="1"/>
      <c r="AG1517" s="1"/>
      <c r="AH1517" s="1" t="s">
        <v>1152</v>
      </c>
      <c r="AI1517" s="1"/>
      <c r="AJ1517" s="1" t="s">
        <v>7779</v>
      </c>
      <c r="AK1517" s="1" t="s">
        <v>1152</v>
      </c>
      <c r="AL1517" s="6" t="str">
        <f t="array" ref="AL1517">IFERROR(IFS(XLOOKUP(B1517, 'Kit Delivery Status'!$U:$U, 'Kit Delivery Status'!$K:$K) = "Complete", "DELIVERED", XLOOKUP(B1517, 'Kit Delivery Status'!$U:$U, 'Kit Delivery Status'!$K:$K) = "Issue", "ISSUE"), "")</f>
        <v/>
      </c>
      <c r="AM1517" s="6"/>
    </row>
    <row r="1518">
      <c r="A1518" s="5" t="s">
        <v>7780</v>
      </c>
      <c r="B1518" s="1" t="s">
        <v>7781</v>
      </c>
      <c r="C1518" s="1" t="s">
        <v>2268</v>
      </c>
      <c r="D1518" s="2">
        <v>6.186411334E9</v>
      </c>
      <c r="E1518" s="1" t="s">
        <v>3980</v>
      </c>
      <c r="F1518" s="1"/>
      <c r="G1518" s="1" t="s">
        <v>1283</v>
      </c>
      <c r="H1518" s="1" t="s">
        <v>1155</v>
      </c>
      <c r="I1518" s="1">
        <v>63143.0</v>
      </c>
      <c r="J1518" s="1" t="s">
        <v>752</v>
      </c>
      <c r="K1518" s="1" t="s">
        <v>2577</v>
      </c>
      <c r="L1518" s="1" t="s">
        <v>5882</v>
      </c>
      <c r="M1518" s="1">
        <v>1.0</v>
      </c>
      <c r="N1518" s="1" t="s">
        <v>2579</v>
      </c>
      <c r="O1518" s="3" t="s">
        <v>258</v>
      </c>
      <c r="P1518" s="18">
        <v>45886.0</v>
      </c>
      <c r="Q1518" s="1" t="s">
        <v>7782</v>
      </c>
      <c r="R1518" s="1"/>
      <c r="S1518" s="1"/>
      <c r="T1518" s="1" t="s">
        <v>2579</v>
      </c>
      <c r="U1518" s="1" t="s">
        <v>4637</v>
      </c>
      <c r="V1518" s="4" t="s">
        <v>258</v>
      </c>
      <c r="W1518" s="1"/>
      <c r="X1518" s="18">
        <v>45886.0</v>
      </c>
      <c r="Y1518" s="1" t="s">
        <v>7782</v>
      </c>
      <c r="Z1518" s="1"/>
      <c r="AA1518" s="1"/>
      <c r="AB1518" s="1"/>
      <c r="AC1518" s="1" t="s">
        <v>1925</v>
      </c>
      <c r="AD1518" s="1"/>
      <c r="AE1518" s="1" t="s">
        <v>1152</v>
      </c>
      <c r="AF1518" s="1"/>
      <c r="AG1518" s="1"/>
      <c r="AH1518" s="1" t="s">
        <v>1152</v>
      </c>
      <c r="AI1518" s="1" t="s">
        <v>7783</v>
      </c>
      <c r="AJ1518" s="1"/>
      <c r="AK1518" s="1" t="s">
        <v>5886</v>
      </c>
      <c r="AL1518" s="6" t="str">
        <f t="array" ref="AL1518">IFERROR(IFS(XLOOKUP(B1518, 'Kit Delivery Status'!$U:$U, 'Kit Delivery Status'!$K:$K) = "Complete", "DELIVERED", XLOOKUP(B1518, 'Kit Delivery Status'!$U:$U, 'Kit Delivery Status'!$K:$K) = "Issue", "ISSUE"), "")</f>
        <v/>
      </c>
      <c r="AM1518" s="6"/>
    </row>
    <row r="1519">
      <c r="A1519" s="5" t="s">
        <v>7784</v>
      </c>
      <c r="B1519" s="1" t="s">
        <v>7785</v>
      </c>
      <c r="C1519" s="1" t="s">
        <v>2268</v>
      </c>
      <c r="D1519" s="2">
        <v>6.186411334E9</v>
      </c>
      <c r="E1519" s="1" t="s">
        <v>3980</v>
      </c>
      <c r="F1519" s="1"/>
      <c r="G1519" s="1" t="s">
        <v>1283</v>
      </c>
      <c r="H1519" s="1" t="s">
        <v>1155</v>
      </c>
      <c r="I1519" s="1">
        <v>63143.0</v>
      </c>
      <c r="J1519" s="1" t="s">
        <v>752</v>
      </c>
      <c r="K1519" s="1" t="s">
        <v>2577</v>
      </c>
      <c r="L1519" s="1" t="s">
        <v>5882</v>
      </c>
      <c r="M1519" s="1">
        <v>1.0</v>
      </c>
      <c r="N1519" s="1" t="s">
        <v>2579</v>
      </c>
      <c r="O1519" s="3" t="s">
        <v>258</v>
      </c>
      <c r="P1519" s="18">
        <v>45889.0</v>
      </c>
      <c r="Q1519" s="1" t="s">
        <v>7786</v>
      </c>
      <c r="R1519" s="1"/>
      <c r="S1519" s="1"/>
      <c r="T1519" s="1" t="s">
        <v>2579</v>
      </c>
      <c r="U1519" s="1" t="s">
        <v>4637</v>
      </c>
      <c r="V1519" s="4" t="s">
        <v>258</v>
      </c>
      <c r="W1519" s="1"/>
      <c r="X1519" s="18">
        <v>45889.0</v>
      </c>
      <c r="Y1519" s="1" t="s">
        <v>7786</v>
      </c>
      <c r="Z1519" s="1"/>
      <c r="AA1519" s="1"/>
      <c r="AB1519" s="1"/>
      <c r="AC1519" s="1" t="s">
        <v>1925</v>
      </c>
      <c r="AD1519" s="1"/>
      <c r="AE1519" s="1" t="s">
        <v>1152</v>
      </c>
      <c r="AF1519" s="1"/>
      <c r="AG1519" s="1"/>
      <c r="AH1519" s="1" t="s">
        <v>1152</v>
      </c>
      <c r="AI1519" s="1" t="s">
        <v>7787</v>
      </c>
      <c r="AJ1519" s="1"/>
      <c r="AK1519" s="1" t="s">
        <v>5886</v>
      </c>
      <c r="AL1519" s="6" t="str">
        <f t="array" ref="AL1519">IFERROR(IFS(XLOOKUP(B1519, 'Kit Delivery Status'!$U:$U, 'Kit Delivery Status'!$K:$K) = "Complete", "DELIVERED", XLOOKUP(B1519, 'Kit Delivery Status'!$U:$U, 'Kit Delivery Status'!$K:$K) = "Issue", "ISSUE"), "")</f>
        <v/>
      </c>
      <c r="AM1519" s="6"/>
    </row>
    <row r="1520">
      <c r="A1520" s="5" t="s">
        <v>7788</v>
      </c>
      <c r="B1520" s="1" t="s">
        <v>7789</v>
      </c>
      <c r="C1520" s="1" t="s">
        <v>2268</v>
      </c>
      <c r="D1520" s="2">
        <v>6.186411334E9</v>
      </c>
      <c r="E1520" s="1" t="s">
        <v>3980</v>
      </c>
      <c r="F1520" s="1"/>
      <c r="G1520" s="1" t="s">
        <v>1283</v>
      </c>
      <c r="H1520" s="1" t="s">
        <v>1155</v>
      </c>
      <c r="I1520" s="1">
        <v>63143.0</v>
      </c>
      <c r="J1520" s="1" t="s">
        <v>752</v>
      </c>
      <c r="K1520" s="1" t="s">
        <v>2577</v>
      </c>
      <c r="L1520" s="1" t="s">
        <v>5882</v>
      </c>
      <c r="M1520" s="1">
        <v>1.0</v>
      </c>
      <c r="N1520" s="1" t="s">
        <v>2579</v>
      </c>
      <c r="O1520" s="3" t="s">
        <v>258</v>
      </c>
      <c r="P1520" s="18">
        <v>45890.0</v>
      </c>
      <c r="Q1520" s="1" t="s">
        <v>7790</v>
      </c>
      <c r="R1520" s="1"/>
      <c r="S1520" s="1"/>
      <c r="T1520" s="1" t="s">
        <v>2579</v>
      </c>
      <c r="U1520" s="1" t="s">
        <v>4637</v>
      </c>
      <c r="V1520" s="4" t="s">
        <v>258</v>
      </c>
      <c r="W1520" s="1"/>
      <c r="X1520" s="18">
        <v>45890.0</v>
      </c>
      <c r="Y1520" s="1" t="s">
        <v>7790</v>
      </c>
      <c r="Z1520" s="1"/>
      <c r="AA1520" s="1"/>
      <c r="AB1520" s="1"/>
      <c r="AC1520" s="1" t="s">
        <v>1925</v>
      </c>
      <c r="AD1520" s="1"/>
      <c r="AE1520" s="1" t="s">
        <v>1152</v>
      </c>
      <c r="AF1520" s="1"/>
      <c r="AG1520" s="1"/>
      <c r="AH1520" s="1" t="s">
        <v>1152</v>
      </c>
      <c r="AI1520" s="1" t="s">
        <v>7791</v>
      </c>
      <c r="AJ1520" s="1"/>
      <c r="AK1520" s="1" t="s">
        <v>5886</v>
      </c>
      <c r="AL1520" s="6" t="str">
        <f t="array" ref="AL1520">IFERROR(IFS(XLOOKUP(B1520, 'Kit Delivery Status'!$U:$U, 'Kit Delivery Status'!$K:$K) = "Complete", "DELIVERED", XLOOKUP(B1520, 'Kit Delivery Status'!$U:$U, 'Kit Delivery Status'!$K:$K) = "Issue", "ISSUE"), "")</f>
        <v/>
      </c>
      <c r="AM1520" s="6"/>
    </row>
    <row r="1521">
      <c r="A1521" s="5" t="s">
        <v>7792</v>
      </c>
      <c r="B1521" s="1" t="s">
        <v>7793</v>
      </c>
      <c r="C1521" s="1" t="s">
        <v>7794</v>
      </c>
      <c r="D1521" s="2">
        <v>7.183085618E9</v>
      </c>
      <c r="E1521" s="1" t="s">
        <v>7795</v>
      </c>
      <c r="F1521" s="1"/>
      <c r="G1521" s="1" t="s">
        <v>751</v>
      </c>
      <c r="H1521" s="1" t="s">
        <v>751</v>
      </c>
      <c r="I1521" s="1">
        <v>10031.0</v>
      </c>
      <c r="J1521" s="1" t="s">
        <v>752</v>
      </c>
      <c r="K1521" s="1" t="s">
        <v>66</v>
      </c>
      <c r="L1521" s="1" t="s">
        <v>5811</v>
      </c>
      <c r="M1521" s="1">
        <v>145.0</v>
      </c>
      <c r="N1521" s="1" t="s">
        <v>1152</v>
      </c>
      <c r="O1521" s="3" t="s">
        <v>5658</v>
      </c>
      <c r="P1521" s="18">
        <v>45894.0</v>
      </c>
      <c r="Q1521" s="1" t="s">
        <v>1152</v>
      </c>
      <c r="R1521" s="1"/>
      <c r="S1521" s="1"/>
      <c r="T1521" s="1" t="s">
        <v>1152</v>
      </c>
      <c r="U1521" s="1" t="s">
        <v>3713</v>
      </c>
      <c r="V1521" s="4" t="s">
        <v>5658</v>
      </c>
      <c r="W1521" s="1"/>
      <c r="X1521" s="18">
        <v>45894.0</v>
      </c>
      <c r="Y1521" s="1" t="s">
        <v>1152</v>
      </c>
      <c r="Z1521" s="1"/>
      <c r="AA1521" s="1"/>
      <c r="AB1521" s="1"/>
      <c r="AC1521" s="1" t="s">
        <v>1925</v>
      </c>
      <c r="AD1521" s="1"/>
      <c r="AE1521" s="1" t="s">
        <v>1152</v>
      </c>
      <c r="AF1521" s="1"/>
      <c r="AG1521" s="1"/>
      <c r="AH1521" s="1" t="s">
        <v>1152</v>
      </c>
      <c r="AI1521" s="1"/>
      <c r="AJ1521" s="1" t="s">
        <v>5657</v>
      </c>
      <c r="AK1521" s="1" t="s">
        <v>1152</v>
      </c>
      <c r="AL1521" s="6" t="str">
        <f t="array" ref="AL1521">IFERROR(IFS(XLOOKUP(B1521, 'Kit Delivery Status'!$U:$U, 'Kit Delivery Status'!$K:$K) = "Complete", "DELIVERED", XLOOKUP(B1521, 'Kit Delivery Status'!$U:$U, 'Kit Delivery Status'!$K:$K) = "Issue", "ISSUE"), "")</f>
        <v/>
      </c>
      <c r="AM1521" s="6"/>
    </row>
    <row r="1522">
      <c r="A1522" s="5" t="s">
        <v>7796</v>
      </c>
      <c r="B1522" s="1" t="s">
        <v>7797</v>
      </c>
      <c r="C1522" s="1" t="s">
        <v>7798</v>
      </c>
      <c r="D1522" s="2">
        <v>4.159488426E9</v>
      </c>
      <c r="E1522" s="1" t="s">
        <v>4663</v>
      </c>
      <c r="F1522" s="1"/>
      <c r="G1522" s="1" t="s">
        <v>2367</v>
      </c>
      <c r="H1522" s="1" t="s">
        <v>1005</v>
      </c>
      <c r="I1522" s="1">
        <v>21042.0</v>
      </c>
      <c r="J1522" s="1" t="s">
        <v>752</v>
      </c>
      <c r="K1522" s="1" t="s">
        <v>66</v>
      </c>
      <c r="L1522" s="1" t="s">
        <v>5811</v>
      </c>
      <c r="M1522" s="1">
        <v>145.0</v>
      </c>
      <c r="N1522" s="1" t="s">
        <v>1152</v>
      </c>
      <c r="O1522" s="3" t="s">
        <v>7799</v>
      </c>
      <c r="P1522" s="18">
        <v>45894.0</v>
      </c>
      <c r="Q1522" s="1" t="s">
        <v>1152</v>
      </c>
      <c r="R1522" s="1"/>
      <c r="S1522" s="1"/>
      <c r="T1522" s="1" t="s">
        <v>1152</v>
      </c>
      <c r="U1522" s="1" t="s">
        <v>948</v>
      </c>
      <c r="V1522" s="4" t="s">
        <v>7799</v>
      </c>
      <c r="W1522" s="1"/>
      <c r="X1522" s="18">
        <v>45894.0</v>
      </c>
      <c r="Y1522" s="1" t="s">
        <v>1152</v>
      </c>
      <c r="Z1522" s="1"/>
      <c r="AA1522" s="1"/>
      <c r="AB1522" s="1"/>
      <c r="AC1522" s="1" t="s">
        <v>1925</v>
      </c>
      <c r="AD1522" s="1"/>
      <c r="AE1522" s="1" t="s">
        <v>1152</v>
      </c>
      <c r="AF1522" s="1"/>
      <c r="AG1522" s="1"/>
      <c r="AH1522" s="1" t="s">
        <v>1152</v>
      </c>
      <c r="AI1522" s="1"/>
      <c r="AJ1522" s="1" t="s">
        <v>7800</v>
      </c>
      <c r="AK1522" s="1" t="s">
        <v>1152</v>
      </c>
      <c r="AL1522" s="6" t="str">
        <f t="array" ref="AL1522">IFERROR(IFS(XLOOKUP(B1522, 'Kit Delivery Status'!$U:$U, 'Kit Delivery Status'!$K:$K) = "Complete", "DELIVERED", XLOOKUP(B1522, 'Kit Delivery Status'!$U:$U, 'Kit Delivery Status'!$K:$K) = "Issue", "ISSUE"), "")</f>
        <v/>
      </c>
      <c r="AM1522" s="6"/>
    </row>
    <row r="1523">
      <c r="A1523" s="5" t="s">
        <v>7801</v>
      </c>
      <c r="B1523" s="1" t="s">
        <v>7802</v>
      </c>
      <c r="C1523" s="1"/>
      <c r="D1523" s="2">
        <v>4.425150724E9</v>
      </c>
      <c r="E1523" s="1" t="s">
        <v>7803</v>
      </c>
      <c r="F1523" s="1"/>
      <c r="G1523" s="1" t="s">
        <v>2350</v>
      </c>
      <c r="H1523" s="1" t="s">
        <v>1155</v>
      </c>
      <c r="I1523" s="1">
        <v>63130.0</v>
      </c>
      <c r="J1523" s="1" t="s">
        <v>752</v>
      </c>
      <c r="K1523" s="1" t="s">
        <v>66</v>
      </c>
      <c r="L1523" s="1" t="s">
        <v>5811</v>
      </c>
      <c r="M1523" s="1">
        <v>145.0</v>
      </c>
      <c r="N1523" s="1" t="s">
        <v>1152</v>
      </c>
      <c r="O1523" s="3" t="s">
        <v>3705</v>
      </c>
      <c r="P1523" s="18">
        <v>45894.0</v>
      </c>
      <c r="Q1523" s="1" t="s">
        <v>1152</v>
      </c>
      <c r="R1523" s="1"/>
      <c r="S1523" s="1"/>
      <c r="T1523" s="1" t="s">
        <v>1152</v>
      </c>
      <c r="U1523" s="1" t="s">
        <v>1415</v>
      </c>
      <c r="V1523" s="4" t="s">
        <v>3705</v>
      </c>
      <c r="W1523" s="1"/>
      <c r="X1523" s="18">
        <v>45894.0</v>
      </c>
      <c r="Y1523" s="1" t="s">
        <v>1152</v>
      </c>
      <c r="Z1523" s="1"/>
      <c r="AA1523" s="1"/>
      <c r="AB1523" s="1"/>
      <c r="AC1523" s="1" t="s">
        <v>1925</v>
      </c>
      <c r="AD1523" s="1"/>
      <c r="AE1523" s="1" t="s">
        <v>1152</v>
      </c>
      <c r="AF1523" s="1"/>
      <c r="AG1523" s="1"/>
      <c r="AH1523" s="1" t="s">
        <v>1152</v>
      </c>
      <c r="AI1523" s="1"/>
      <c r="AJ1523" s="1" t="s">
        <v>7803</v>
      </c>
      <c r="AK1523" s="1" t="s">
        <v>1152</v>
      </c>
      <c r="AL1523" s="6" t="str">
        <f t="array" ref="AL1523">IFERROR(IFS(XLOOKUP(B1523, 'Kit Delivery Status'!$U:$U, 'Kit Delivery Status'!$K:$K) = "Complete", "DELIVERED", XLOOKUP(B1523, 'Kit Delivery Status'!$U:$U, 'Kit Delivery Status'!$K:$K) = "Issue", "ISSUE"), "")</f>
        <v/>
      </c>
      <c r="AM1523" s="6"/>
    </row>
    <row r="1524">
      <c r="A1524" s="5" t="s">
        <v>7804</v>
      </c>
      <c r="B1524" s="1" t="s">
        <v>7805</v>
      </c>
      <c r="C1524" s="1" t="s">
        <v>7806</v>
      </c>
      <c r="D1524" s="2">
        <v>3.614430105E9</v>
      </c>
      <c r="E1524" s="1" t="s">
        <v>7807</v>
      </c>
      <c r="F1524" s="1"/>
      <c r="G1524" s="1" t="s">
        <v>7808</v>
      </c>
      <c r="H1524" s="1" t="s">
        <v>1028</v>
      </c>
      <c r="I1524" s="1">
        <v>87544.0</v>
      </c>
      <c r="J1524" s="1" t="s">
        <v>752</v>
      </c>
      <c r="K1524" s="1" t="s">
        <v>66</v>
      </c>
      <c r="L1524" s="1" t="s">
        <v>5811</v>
      </c>
      <c r="M1524" s="1">
        <v>145.0</v>
      </c>
      <c r="N1524" s="1" t="s">
        <v>1152</v>
      </c>
      <c r="O1524" s="3" t="s">
        <v>3166</v>
      </c>
      <c r="P1524" s="18">
        <v>45894.0</v>
      </c>
      <c r="Q1524" s="1" t="s">
        <v>1152</v>
      </c>
      <c r="R1524" s="1"/>
      <c r="S1524" s="1"/>
      <c r="T1524" s="1" t="s">
        <v>1152</v>
      </c>
      <c r="U1524" s="1" t="s">
        <v>1249</v>
      </c>
      <c r="V1524" s="4" t="s">
        <v>3166</v>
      </c>
      <c r="W1524" s="1"/>
      <c r="X1524" s="18">
        <v>45894.0</v>
      </c>
      <c r="Y1524" s="1" t="s">
        <v>1152</v>
      </c>
      <c r="Z1524" s="1"/>
      <c r="AA1524" s="1"/>
      <c r="AB1524" s="1"/>
      <c r="AC1524" s="1" t="s">
        <v>1925</v>
      </c>
      <c r="AD1524" s="1"/>
      <c r="AE1524" s="1" t="s">
        <v>1152</v>
      </c>
      <c r="AF1524" s="1"/>
      <c r="AG1524" s="1"/>
      <c r="AH1524" s="1" t="s">
        <v>1152</v>
      </c>
      <c r="AI1524" s="1"/>
      <c r="AJ1524" s="1" t="s">
        <v>7809</v>
      </c>
      <c r="AK1524" s="1" t="s">
        <v>1152</v>
      </c>
      <c r="AL1524" s="6" t="str">
        <f t="array" ref="AL1524">IFERROR(IFS(XLOOKUP(B1524, 'Kit Delivery Status'!$U:$U, 'Kit Delivery Status'!$K:$K) = "Complete", "DELIVERED", XLOOKUP(B1524, 'Kit Delivery Status'!$U:$U, 'Kit Delivery Status'!$K:$K) = "Issue", "ISSUE"), "")</f>
        <v/>
      </c>
      <c r="AM1524" s="6"/>
    </row>
    <row r="1525">
      <c r="A1525" s="5" t="s">
        <v>7810</v>
      </c>
      <c r="B1525" s="1" t="s">
        <v>7811</v>
      </c>
      <c r="C1525" s="1" t="s">
        <v>7812</v>
      </c>
      <c r="D1525" s="2">
        <v>7.814757421E9</v>
      </c>
      <c r="E1525" s="1" t="s">
        <v>7813</v>
      </c>
      <c r="F1525" s="1" t="s">
        <v>7814</v>
      </c>
      <c r="G1525" s="1" t="s">
        <v>1283</v>
      </c>
      <c r="H1525" s="1" t="s">
        <v>1155</v>
      </c>
      <c r="I1525" s="1">
        <v>63124.0</v>
      </c>
      <c r="J1525" s="1" t="s">
        <v>752</v>
      </c>
      <c r="K1525" s="1" t="s">
        <v>51</v>
      </c>
      <c r="L1525" s="1" t="s">
        <v>5722</v>
      </c>
      <c r="M1525" s="1">
        <v>1.0</v>
      </c>
      <c r="N1525" s="1" t="s">
        <v>2487</v>
      </c>
      <c r="O1525" s="3"/>
      <c r="P1525" s="18">
        <v>45894.0</v>
      </c>
      <c r="Q1525" s="1" t="s">
        <v>2463</v>
      </c>
      <c r="R1525" s="1" t="s">
        <v>7814</v>
      </c>
      <c r="S1525" s="1" t="s">
        <v>124</v>
      </c>
      <c r="T1525" s="1" t="s">
        <v>2487</v>
      </c>
      <c r="U1525" s="1"/>
      <c r="V1525" s="4"/>
      <c r="W1525" s="1" t="s">
        <v>7814</v>
      </c>
      <c r="X1525" s="18">
        <v>45894.0</v>
      </c>
      <c r="Y1525" s="1" t="s">
        <v>2463</v>
      </c>
      <c r="Z1525" s="1"/>
      <c r="AA1525" s="1" t="s">
        <v>7814</v>
      </c>
      <c r="AB1525" s="1" t="s">
        <v>124</v>
      </c>
      <c r="AC1525" s="1" t="s">
        <v>1925</v>
      </c>
      <c r="AD1525" s="1"/>
      <c r="AE1525" s="1" t="s">
        <v>1152</v>
      </c>
      <c r="AF1525" s="1"/>
      <c r="AG1525" s="1"/>
      <c r="AH1525" s="1" t="s">
        <v>1152</v>
      </c>
      <c r="AI1525" s="1"/>
      <c r="AJ1525" s="1" t="s">
        <v>7813</v>
      </c>
      <c r="AK1525" s="1" t="s">
        <v>1152</v>
      </c>
      <c r="AL1525" s="6" t="str">
        <f t="array" ref="AL1525">IFERROR(IFS(XLOOKUP(B1525, 'Kit Delivery Status'!$U:$U, 'Kit Delivery Status'!$K:$K) = "Complete", "DELIVERED", XLOOKUP(B1525, 'Kit Delivery Status'!$U:$U, 'Kit Delivery Status'!$K:$K) = "Issue", "ISSUE"), "")</f>
        <v/>
      </c>
      <c r="AM1525" s="6"/>
    </row>
    <row r="1526">
      <c r="A1526" s="5" t="s">
        <v>7815</v>
      </c>
      <c r="B1526" s="1" t="s">
        <v>7816</v>
      </c>
      <c r="C1526" s="1" t="s">
        <v>7817</v>
      </c>
      <c r="D1526" s="2">
        <v>5.052979003E9</v>
      </c>
      <c r="E1526" s="1" t="s">
        <v>7818</v>
      </c>
      <c r="F1526" s="1"/>
      <c r="G1526" s="1" t="s">
        <v>1027</v>
      </c>
      <c r="H1526" s="1" t="s">
        <v>1028</v>
      </c>
      <c r="I1526" s="1">
        <v>87111.0</v>
      </c>
      <c r="J1526" s="1" t="s">
        <v>752</v>
      </c>
      <c r="K1526" s="1" t="s">
        <v>51</v>
      </c>
      <c r="L1526" s="1" t="s">
        <v>5722</v>
      </c>
      <c r="M1526" s="1">
        <v>1.0</v>
      </c>
      <c r="N1526" s="1" t="s">
        <v>2461</v>
      </c>
      <c r="O1526" s="3" t="s">
        <v>7819</v>
      </c>
      <c r="P1526" s="18">
        <v>45894.0</v>
      </c>
      <c r="Q1526" s="1" t="s">
        <v>2463</v>
      </c>
      <c r="R1526" s="1"/>
      <c r="S1526" s="1" t="s">
        <v>52</v>
      </c>
      <c r="T1526" s="1" t="s">
        <v>2461</v>
      </c>
      <c r="U1526" s="1" t="s">
        <v>1812</v>
      </c>
      <c r="V1526" s="4" t="s">
        <v>7819</v>
      </c>
      <c r="W1526" s="1"/>
      <c r="X1526" s="18">
        <v>45894.0</v>
      </c>
      <c r="Y1526" s="1" t="s">
        <v>2463</v>
      </c>
      <c r="Z1526" s="1"/>
      <c r="AA1526" s="1"/>
      <c r="AB1526" s="1" t="s">
        <v>52</v>
      </c>
      <c r="AC1526" s="1" t="s">
        <v>1925</v>
      </c>
      <c r="AD1526" s="1"/>
      <c r="AE1526" s="1" t="s">
        <v>1152</v>
      </c>
      <c r="AF1526" s="1"/>
      <c r="AG1526" s="1"/>
      <c r="AH1526" s="1" t="s">
        <v>1152</v>
      </c>
      <c r="AI1526" s="1"/>
      <c r="AJ1526" s="1" t="s">
        <v>7818</v>
      </c>
      <c r="AK1526" s="1" t="s">
        <v>1152</v>
      </c>
      <c r="AL1526" s="6" t="str">
        <f t="array" ref="AL1526">IFERROR(IFS(XLOOKUP(B1526, 'Kit Delivery Status'!$U:$U, 'Kit Delivery Status'!$K:$K) = "Complete", "DELIVERED", XLOOKUP(B1526, 'Kit Delivery Status'!$U:$U, 'Kit Delivery Status'!$K:$K) = "Issue", "ISSUE"), "")</f>
        <v/>
      </c>
      <c r="AM1526" s="6"/>
    </row>
    <row r="1527">
      <c r="A1527" s="5" t="s">
        <v>7820</v>
      </c>
      <c r="B1527" s="1" t="s">
        <v>7821</v>
      </c>
      <c r="C1527" s="1"/>
      <c r="D1527" s="2">
        <v>3.475867319E9</v>
      </c>
      <c r="E1527" s="1" t="s">
        <v>7822</v>
      </c>
      <c r="F1527" s="1"/>
      <c r="G1527" s="1" t="s">
        <v>751</v>
      </c>
      <c r="H1527" s="1" t="s">
        <v>751</v>
      </c>
      <c r="I1527" s="1">
        <v>10030.0</v>
      </c>
      <c r="J1527" s="1" t="s">
        <v>752</v>
      </c>
      <c r="K1527" s="1" t="s">
        <v>51</v>
      </c>
      <c r="L1527" s="1" t="s">
        <v>5722</v>
      </c>
      <c r="M1527" s="1">
        <v>1.0</v>
      </c>
      <c r="N1527" s="1" t="s">
        <v>2461</v>
      </c>
      <c r="O1527" s="3" t="s">
        <v>7823</v>
      </c>
      <c r="P1527" s="18">
        <v>45894.0</v>
      </c>
      <c r="Q1527" s="1" t="s">
        <v>2463</v>
      </c>
      <c r="R1527" s="1"/>
      <c r="S1527" s="1" t="s">
        <v>52</v>
      </c>
      <c r="T1527" s="1" t="s">
        <v>2461</v>
      </c>
      <c r="U1527" s="1" t="s">
        <v>7088</v>
      </c>
      <c r="V1527" s="4" t="s">
        <v>7823</v>
      </c>
      <c r="W1527" s="1"/>
      <c r="X1527" s="18">
        <v>45894.0</v>
      </c>
      <c r="Y1527" s="1" t="s">
        <v>2463</v>
      </c>
      <c r="Z1527" s="1"/>
      <c r="AA1527" s="1"/>
      <c r="AB1527" s="1" t="s">
        <v>52</v>
      </c>
      <c r="AC1527" s="1" t="s">
        <v>1925</v>
      </c>
      <c r="AD1527" s="1"/>
      <c r="AE1527" s="1" t="s">
        <v>1152</v>
      </c>
      <c r="AF1527" s="1"/>
      <c r="AG1527" s="1"/>
      <c r="AH1527" s="1" t="s">
        <v>1152</v>
      </c>
      <c r="AI1527" s="1"/>
      <c r="AJ1527" s="1" t="s">
        <v>7822</v>
      </c>
      <c r="AK1527" s="1" t="s">
        <v>1152</v>
      </c>
      <c r="AL1527" s="6" t="str">
        <f t="array" ref="AL1527">IFERROR(IFS(XLOOKUP(B1527, 'Kit Delivery Status'!$U:$U, 'Kit Delivery Status'!$K:$K) = "Complete", "DELIVERED", XLOOKUP(B1527, 'Kit Delivery Status'!$U:$U, 'Kit Delivery Status'!$K:$K) = "Issue", "ISSUE"), "")</f>
        <v/>
      </c>
      <c r="AM1527" s="6"/>
    </row>
    <row r="1528">
      <c r="A1528" s="5" t="s">
        <v>7824</v>
      </c>
      <c r="B1528" s="1" t="s">
        <v>7825</v>
      </c>
      <c r="C1528" s="1"/>
      <c r="D1528" s="2">
        <v>18624286090</v>
      </c>
      <c r="E1528" s="1" t="s">
        <v>7826</v>
      </c>
      <c r="F1528" s="1"/>
      <c r="G1528" s="1" t="s">
        <v>7827</v>
      </c>
      <c r="H1528" s="1" t="s">
        <v>1053</v>
      </c>
      <c r="I1528" s="1">
        <v>7502.0</v>
      </c>
      <c r="J1528" s="1" t="s">
        <v>752</v>
      </c>
      <c r="K1528" s="1" t="s">
        <v>51</v>
      </c>
      <c r="L1528" s="1" t="s">
        <v>5722</v>
      </c>
      <c r="M1528" s="1">
        <v>1.0</v>
      </c>
      <c r="N1528" s="1" t="s">
        <v>2461</v>
      </c>
      <c r="O1528" s="3" t="s">
        <v>7828</v>
      </c>
      <c r="P1528" s="18">
        <v>45895.0</v>
      </c>
      <c r="Q1528" s="1" t="s">
        <v>2731</v>
      </c>
      <c r="R1528" s="1"/>
      <c r="S1528" s="1" t="s">
        <v>52</v>
      </c>
      <c r="T1528" s="1" t="s">
        <v>2461</v>
      </c>
      <c r="U1528" s="1" t="s">
        <v>2510</v>
      </c>
      <c r="V1528" s="4" t="s">
        <v>7828</v>
      </c>
      <c r="W1528" s="1"/>
      <c r="X1528" s="18">
        <v>45895.0</v>
      </c>
      <c r="Y1528" s="1" t="s">
        <v>2731</v>
      </c>
      <c r="Z1528" s="1"/>
      <c r="AA1528" s="1"/>
      <c r="AB1528" s="1" t="s">
        <v>52</v>
      </c>
      <c r="AC1528" s="1" t="s">
        <v>1925</v>
      </c>
      <c r="AD1528" s="1"/>
      <c r="AE1528" s="1" t="s">
        <v>1152</v>
      </c>
      <c r="AF1528" s="1"/>
      <c r="AG1528" s="1"/>
      <c r="AH1528" s="1" t="s">
        <v>1152</v>
      </c>
      <c r="AI1528" s="1"/>
      <c r="AJ1528" s="1" t="s">
        <v>7826</v>
      </c>
      <c r="AK1528" s="1" t="s">
        <v>1152</v>
      </c>
      <c r="AL1528" s="6" t="str">
        <f t="array" ref="AL1528">IFERROR(IFS(XLOOKUP(B1528, 'Kit Delivery Status'!$U:$U, 'Kit Delivery Status'!$K:$K) = "Complete", "DELIVERED", XLOOKUP(B1528, 'Kit Delivery Status'!$U:$U, 'Kit Delivery Status'!$K:$K) = "Issue", "ISSUE"), "")</f>
        <v/>
      </c>
      <c r="AM1528" s="6"/>
    </row>
    <row r="1529">
      <c r="A1529" s="5" t="s">
        <v>7829</v>
      </c>
      <c r="B1529" s="1" t="s">
        <v>7830</v>
      </c>
      <c r="C1529" s="1" t="s">
        <v>7831</v>
      </c>
      <c r="D1529" s="2">
        <v>7.817775096E9</v>
      </c>
      <c r="E1529" s="1" t="s">
        <v>7832</v>
      </c>
      <c r="F1529" s="1"/>
      <c r="G1529" s="1" t="s">
        <v>4775</v>
      </c>
      <c r="H1529" s="1" t="s">
        <v>1121</v>
      </c>
      <c r="I1529" s="1">
        <v>2138.0</v>
      </c>
      <c r="J1529" s="1" t="s">
        <v>752</v>
      </c>
      <c r="K1529" s="1" t="s">
        <v>66</v>
      </c>
      <c r="L1529" s="1" t="s">
        <v>5811</v>
      </c>
      <c r="M1529" s="1">
        <v>145.0</v>
      </c>
      <c r="N1529" s="1" t="s">
        <v>1152</v>
      </c>
      <c r="O1529" s="3" t="s">
        <v>7833</v>
      </c>
      <c r="P1529" s="18">
        <v>45895.0</v>
      </c>
      <c r="Q1529" s="1" t="s">
        <v>1152</v>
      </c>
      <c r="R1529" s="1"/>
      <c r="S1529" s="1"/>
      <c r="T1529" s="1" t="s">
        <v>1152</v>
      </c>
      <c r="U1529" s="1" t="s">
        <v>1021</v>
      </c>
      <c r="V1529" s="4" t="s">
        <v>7833</v>
      </c>
      <c r="W1529" s="1"/>
      <c r="X1529" s="18">
        <v>45895.0</v>
      </c>
      <c r="Y1529" s="1" t="s">
        <v>1152</v>
      </c>
      <c r="Z1529" s="1"/>
      <c r="AA1529" s="1"/>
      <c r="AB1529" s="1"/>
      <c r="AC1529" s="1" t="s">
        <v>1925</v>
      </c>
      <c r="AD1529" s="1"/>
      <c r="AE1529" s="1" t="s">
        <v>1152</v>
      </c>
      <c r="AF1529" s="1"/>
      <c r="AG1529" s="1"/>
      <c r="AH1529" s="1" t="s">
        <v>1152</v>
      </c>
      <c r="AI1529" s="1"/>
      <c r="AJ1529" s="1" t="s">
        <v>4774</v>
      </c>
      <c r="AK1529" s="1" t="s">
        <v>1152</v>
      </c>
      <c r="AL1529" s="6" t="str">
        <f t="array" ref="AL1529">IFERROR(IFS(XLOOKUP(B1529, 'Kit Delivery Status'!$U:$U, 'Kit Delivery Status'!$K:$K) = "Complete", "DELIVERED", XLOOKUP(B1529, 'Kit Delivery Status'!$U:$U, 'Kit Delivery Status'!$K:$K) = "Issue", "ISSUE"), "")</f>
        <v/>
      </c>
      <c r="AM1529" s="6"/>
    </row>
    <row r="1530">
      <c r="A1530" s="5" t="s">
        <v>7834</v>
      </c>
      <c r="B1530" s="1" t="s">
        <v>7835</v>
      </c>
      <c r="C1530" s="1" t="s">
        <v>7836</v>
      </c>
      <c r="D1530" s="2">
        <v>8.174546178E9</v>
      </c>
      <c r="E1530" s="1" t="s">
        <v>7837</v>
      </c>
      <c r="F1530" s="1"/>
      <c r="G1530" s="1" t="s">
        <v>6208</v>
      </c>
      <c r="H1530" s="1" t="s">
        <v>1583</v>
      </c>
      <c r="I1530" s="1">
        <v>76107.0</v>
      </c>
      <c r="J1530" s="1" t="s">
        <v>752</v>
      </c>
      <c r="K1530" s="1" t="s">
        <v>66</v>
      </c>
      <c r="L1530" s="1" t="s">
        <v>5811</v>
      </c>
      <c r="M1530" s="1">
        <v>145.0</v>
      </c>
      <c r="N1530" s="1" t="s">
        <v>1152</v>
      </c>
      <c r="O1530" s="3" t="s">
        <v>7838</v>
      </c>
      <c r="P1530" s="18">
        <v>45895.0</v>
      </c>
      <c r="Q1530" s="1" t="s">
        <v>1152</v>
      </c>
      <c r="R1530" s="1"/>
      <c r="S1530" s="1"/>
      <c r="T1530" s="1" t="s">
        <v>1152</v>
      </c>
      <c r="U1530" s="1" t="s">
        <v>1174</v>
      </c>
      <c r="V1530" s="4" t="s">
        <v>7838</v>
      </c>
      <c r="W1530" s="1"/>
      <c r="X1530" s="18">
        <v>45895.0</v>
      </c>
      <c r="Y1530" s="1" t="s">
        <v>1152</v>
      </c>
      <c r="Z1530" s="1"/>
      <c r="AA1530" s="1"/>
      <c r="AB1530" s="1"/>
      <c r="AC1530" s="1" t="s">
        <v>1925</v>
      </c>
      <c r="AD1530" s="1"/>
      <c r="AE1530" s="1" t="s">
        <v>1152</v>
      </c>
      <c r="AF1530" s="1"/>
      <c r="AG1530" s="1"/>
      <c r="AH1530" s="1" t="s">
        <v>1152</v>
      </c>
      <c r="AI1530" s="1"/>
      <c r="AJ1530" s="1" t="s">
        <v>7837</v>
      </c>
      <c r="AK1530" s="1" t="s">
        <v>1152</v>
      </c>
      <c r="AL1530" s="6" t="str">
        <f t="array" ref="AL1530">IFERROR(IFS(XLOOKUP(B1530, 'Kit Delivery Status'!$U:$U, 'Kit Delivery Status'!$K:$K) = "Complete", "DELIVERED", XLOOKUP(B1530, 'Kit Delivery Status'!$U:$U, 'Kit Delivery Status'!$K:$K) = "Issue", "ISSUE"), "")</f>
        <v/>
      </c>
      <c r="AM1530" s="6"/>
    </row>
    <row r="1531">
      <c r="A1531" s="5" t="s">
        <v>7839</v>
      </c>
      <c r="B1531" s="1" t="s">
        <v>7840</v>
      </c>
      <c r="C1531" s="1" t="s">
        <v>2268</v>
      </c>
      <c r="D1531" s="2">
        <v>6.186411334E9</v>
      </c>
      <c r="E1531" s="1" t="s">
        <v>3980</v>
      </c>
      <c r="F1531" s="1"/>
      <c r="G1531" s="1" t="s">
        <v>1283</v>
      </c>
      <c r="H1531" s="1" t="s">
        <v>1155</v>
      </c>
      <c r="I1531" s="1">
        <v>63143.0</v>
      </c>
      <c r="J1531" s="1" t="s">
        <v>752</v>
      </c>
      <c r="K1531" s="1" t="s">
        <v>2577</v>
      </c>
      <c r="L1531" s="1" t="s">
        <v>5882</v>
      </c>
      <c r="M1531" s="1">
        <v>1.0</v>
      </c>
      <c r="N1531" s="1" t="s">
        <v>2579</v>
      </c>
      <c r="O1531" s="3" t="s">
        <v>258</v>
      </c>
      <c r="P1531" s="18">
        <v>45892.0</v>
      </c>
      <c r="Q1531" s="1" t="s">
        <v>7841</v>
      </c>
      <c r="R1531" s="1"/>
      <c r="S1531" s="1"/>
      <c r="T1531" s="1" t="s">
        <v>2579</v>
      </c>
      <c r="U1531" s="1" t="s">
        <v>4637</v>
      </c>
      <c r="V1531" s="4" t="s">
        <v>258</v>
      </c>
      <c r="W1531" s="1"/>
      <c r="X1531" s="18">
        <v>45892.0</v>
      </c>
      <c r="Y1531" s="1" t="s">
        <v>7841</v>
      </c>
      <c r="Z1531" s="1"/>
      <c r="AA1531" s="1"/>
      <c r="AB1531" s="1"/>
      <c r="AC1531" s="1" t="s">
        <v>1925</v>
      </c>
      <c r="AD1531" s="1"/>
      <c r="AE1531" s="1" t="s">
        <v>1152</v>
      </c>
      <c r="AF1531" s="1"/>
      <c r="AG1531" s="1"/>
      <c r="AH1531" s="1" t="s">
        <v>1152</v>
      </c>
      <c r="AI1531" s="1" t="s">
        <v>7842</v>
      </c>
      <c r="AJ1531" s="1"/>
      <c r="AK1531" s="1" t="s">
        <v>5886</v>
      </c>
      <c r="AL1531" s="6" t="str">
        <f t="array" ref="AL1531">IFERROR(IFS(XLOOKUP(B1531, 'Kit Delivery Status'!$U:$U, 'Kit Delivery Status'!$K:$K) = "Complete", "DELIVERED", XLOOKUP(B1531, 'Kit Delivery Status'!$U:$U, 'Kit Delivery Status'!$K:$K) = "Issue", "ISSUE"), "")</f>
        <v/>
      </c>
      <c r="AM1531" s="6"/>
    </row>
    <row r="1532">
      <c r="A1532" s="5" t="s">
        <v>7843</v>
      </c>
      <c r="B1532" s="1" t="s">
        <v>7844</v>
      </c>
      <c r="C1532" s="1" t="s">
        <v>7845</v>
      </c>
      <c r="D1532" s="2">
        <v>4.158199354E9</v>
      </c>
      <c r="E1532" s="1" t="s">
        <v>7846</v>
      </c>
      <c r="F1532" s="1"/>
      <c r="G1532" s="1" t="s">
        <v>1562</v>
      </c>
      <c r="H1532" s="1" t="s">
        <v>989</v>
      </c>
      <c r="I1532" s="1">
        <v>94123.0</v>
      </c>
      <c r="J1532" s="1" t="s">
        <v>752</v>
      </c>
      <c r="K1532" s="1" t="s">
        <v>66</v>
      </c>
      <c r="L1532" s="1" t="s">
        <v>5767</v>
      </c>
      <c r="M1532" s="1">
        <v>210.0</v>
      </c>
      <c r="N1532" s="1" t="s">
        <v>1152</v>
      </c>
      <c r="O1532" s="3" t="s">
        <v>7847</v>
      </c>
      <c r="P1532" s="18">
        <v>45895.0</v>
      </c>
      <c r="Q1532" s="1" t="s">
        <v>1152</v>
      </c>
      <c r="R1532" s="1"/>
      <c r="S1532" s="1"/>
      <c r="T1532" s="1" t="s">
        <v>1152</v>
      </c>
      <c r="U1532" s="1" t="s">
        <v>1167</v>
      </c>
      <c r="V1532" s="4" t="s">
        <v>7847</v>
      </c>
      <c r="W1532" s="1"/>
      <c r="X1532" s="18">
        <v>45895.0</v>
      </c>
      <c r="Y1532" s="1" t="s">
        <v>1152</v>
      </c>
      <c r="Z1532" s="1"/>
      <c r="AA1532" s="1"/>
      <c r="AB1532" s="1"/>
      <c r="AC1532" s="1" t="s">
        <v>1925</v>
      </c>
      <c r="AD1532" s="1"/>
      <c r="AE1532" s="1" t="s">
        <v>1152</v>
      </c>
      <c r="AF1532" s="1"/>
      <c r="AG1532" s="1"/>
      <c r="AH1532" s="1" t="s">
        <v>1152</v>
      </c>
      <c r="AI1532" s="1"/>
      <c r="AJ1532" s="1" t="s">
        <v>7846</v>
      </c>
      <c r="AK1532" s="1" t="s">
        <v>1152</v>
      </c>
      <c r="AL1532" s="6" t="str">
        <f t="array" ref="AL1532">IFERROR(IFS(XLOOKUP(B1532, 'Kit Delivery Status'!$U:$U, 'Kit Delivery Status'!$K:$K) = "Complete", "DELIVERED", XLOOKUP(B1532, 'Kit Delivery Status'!$U:$U, 'Kit Delivery Status'!$K:$K) = "Issue", "ISSUE"), "")</f>
        <v/>
      </c>
      <c r="AM1532" s="6"/>
    </row>
    <row r="1533">
      <c r="A1533" s="5" t="s">
        <v>7848</v>
      </c>
      <c r="B1533" s="1" t="s">
        <v>7849</v>
      </c>
      <c r="C1533" s="1" t="s">
        <v>3716</v>
      </c>
      <c r="D1533" s="2">
        <v>6.602005421E9</v>
      </c>
      <c r="E1533" s="1" t="s">
        <v>7850</v>
      </c>
      <c r="F1533" s="1"/>
      <c r="G1533" s="1" t="s">
        <v>7851</v>
      </c>
      <c r="H1533" s="1" t="s">
        <v>1155</v>
      </c>
      <c r="I1533" s="1">
        <v>64722.0</v>
      </c>
      <c r="J1533" s="1" t="s">
        <v>752</v>
      </c>
      <c r="K1533" s="1" t="s">
        <v>51</v>
      </c>
      <c r="L1533" s="1" t="s">
        <v>5722</v>
      </c>
      <c r="M1533" s="1">
        <v>1.0</v>
      </c>
      <c r="N1533" s="1" t="s">
        <v>2461</v>
      </c>
      <c r="O1533" s="3" t="s">
        <v>3719</v>
      </c>
      <c r="P1533" s="18">
        <v>45896.0</v>
      </c>
      <c r="Q1533" s="1" t="s">
        <v>2502</v>
      </c>
      <c r="R1533" s="1"/>
      <c r="S1533" s="1" t="s">
        <v>52</v>
      </c>
      <c r="T1533" s="1" t="s">
        <v>2461</v>
      </c>
      <c r="U1533" s="1" t="s">
        <v>948</v>
      </c>
      <c r="V1533" s="4" t="s">
        <v>3719</v>
      </c>
      <c r="W1533" s="1"/>
      <c r="X1533" s="18">
        <v>45896.0</v>
      </c>
      <c r="Y1533" s="1" t="s">
        <v>2502</v>
      </c>
      <c r="Z1533" s="1"/>
      <c r="AA1533" s="1"/>
      <c r="AB1533" s="1" t="s">
        <v>52</v>
      </c>
      <c r="AC1533" s="1" t="s">
        <v>1925</v>
      </c>
      <c r="AD1533" s="1"/>
      <c r="AE1533" s="1" t="s">
        <v>1152</v>
      </c>
      <c r="AF1533" s="1"/>
      <c r="AG1533" s="1"/>
      <c r="AH1533" s="1" t="s">
        <v>1152</v>
      </c>
      <c r="AI1533" s="1"/>
      <c r="AJ1533" s="1" t="s">
        <v>7850</v>
      </c>
      <c r="AK1533" s="1" t="s">
        <v>1152</v>
      </c>
      <c r="AL1533" s="6" t="str">
        <f t="array" ref="AL1533">IFERROR(IFS(XLOOKUP(B1533, 'Kit Delivery Status'!$U:$U, 'Kit Delivery Status'!$K:$K) = "Complete", "DELIVERED", XLOOKUP(B1533, 'Kit Delivery Status'!$U:$U, 'Kit Delivery Status'!$K:$K) = "Issue", "ISSUE"), "")</f>
        <v/>
      </c>
      <c r="AM1533" s="6"/>
    </row>
    <row r="1534">
      <c r="A1534" s="5" t="s">
        <v>7852</v>
      </c>
      <c r="B1534" s="1" t="s">
        <v>7853</v>
      </c>
      <c r="C1534" s="1" t="s">
        <v>7854</v>
      </c>
      <c r="D1534" s="2">
        <v>4.698258771E9</v>
      </c>
      <c r="E1534" s="1" t="s">
        <v>7855</v>
      </c>
      <c r="F1534" s="1"/>
      <c r="G1534" s="1" t="s">
        <v>2508</v>
      </c>
      <c r="H1534" s="1" t="s">
        <v>1583</v>
      </c>
      <c r="I1534" s="1">
        <v>75093.0</v>
      </c>
      <c r="J1534" s="1" t="s">
        <v>752</v>
      </c>
      <c r="K1534" s="1" t="s">
        <v>66</v>
      </c>
      <c r="L1534" s="1" t="s">
        <v>5811</v>
      </c>
      <c r="M1534" s="1">
        <v>145.0</v>
      </c>
      <c r="N1534" s="1" t="s">
        <v>1152</v>
      </c>
      <c r="O1534" s="3" t="s">
        <v>7856</v>
      </c>
      <c r="P1534" s="18">
        <v>45895.0</v>
      </c>
      <c r="Q1534" s="1" t="s">
        <v>1152</v>
      </c>
      <c r="R1534" s="1"/>
      <c r="S1534" s="1"/>
      <c r="T1534" s="1" t="s">
        <v>1152</v>
      </c>
      <c r="U1534" s="1" t="s">
        <v>1749</v>
      </c>
      <c r="V1534" s="4" t="s">
        <v>7856</v>
      </c>
      <c r="W1534" s="1"/>
      <c r="X1534" s="18">
        <v>45895.0</v>
      </c>
      <c r="Y1534" s="1" t="s">
        <v>1152</v>
      </c>
      <c r="Z1534" s="1"/>
      <c r="AA1534" s="1"/>
      <c r="AB1534" s="1"/>
      <c r="AC1534" s="1" t="s">
        <v>1925</v>
      </c>
      <c r="AD1534" s="1"/>
      <c r="AE1534" s="1" t="s">
        <v>1152</v>
      </c>
      <c r="AF1534" s="1"/>
      <c r="AG1534" s="1"/>
      <c r="AH1534" s="1" t="s">
        <v>1152</v>
      </c>
      <c r="AI1534" s="1"/>
      <c r="AJ1534" s="1" t="s">
        <v>7855</v>
      </c>
      <c r="AK1534" s="1" t="s">
        <v>1152</v>
      </c>
      <c r="AL1534" s="6" t="str">
        <f t="array" ref="AL1534">IFERROR(IFS(XLOOKUP(B1534, 'Kit Delivery Status'!$U:$U, 'Kit Delivery Status'!$K:$K) = "Complete", "DELIVERED", XLOOKUP(B1534, 'Kit Delivery Status'!$U:$U, 'Kit Delivery Status'!$K:$K) = "Issue", "ISSUE"), "")</f>
        <v/>
      </c>
      <c r="AM1534" s="6"/>
    </row>
    <row r="1535">
      <c r="A1535" s="5" t="s">
        <v>7857</v>
      </c>
      <c r="B1535" s="1" t="s">
        <v>7858</v>
      </c>
      <c r="C1535" s="1"/>
      <c r="D1535" s="2">
        <v>3.143332601E9</v>
      </c>
      <c r="E1535" s="1" t="s">
        <v>7859</v>
      </c>
      <c r="F1535" s="1"/>
      <c r="G1535" s="1" t="s">
        <v>1283</v>
      </c>
      <c r="H1535" s="1" t="s">
        <v>1155</v>
      </c>
      <c r="I1535" s="1">
        <v>63105.0</v>
      </c>
      <c r="J1535" s="1" t="s">
        <v>752</v>
      </c>
      <c r="K1535" s="1" t="s">
        <v>66</v>
      </c>
      <c r="L1535" s="1" t="s">
        <v>5811</v>
      </c>
      <c r="M1535" s="1">
        <v>145.0</v>
      </c>
      <c r="N1535" s="1" t="s">
        <v>1152</v>
      </c>
      <c r="O1535" s="3" t="s">
        <v>7860</v>
      </c>
      <c r="P1535" s="18">
        <v>45898.0</v>
      </c>
      <c r="Q1535" s="1" t="s">
        <v>1152</v>
      </c>
      <c r="R1535" s="1"/>
      <c r="S1535" s="1"/>
      <c r="T1535" s="1" t="s">
        <v>1152</v>
      </c>
      <c r="U1535" s="1" t="s">
        <v>1487</v>
      </c>
      <c r="V1535" s="4" t="s">
        <v>7860</v>
      </c>
      <c r="W1535" s="1"/>
      <c r="X1535" s="18">
        <v>45898.0</v>
      </c>
      <c r="Y1535" s="1" t="s">
        <v>1152</v>
      </c>
      <c r="Z1535" s="1"/>
      <c r="AA1535" s="1"/>
      <c r="AB1535" s="1"/>
      <c r="AC1535" s="1" t="s">
        <v>1925</v>
      </c>
      <c r="AD1535" s="1"/>
      <c r="AE1535" s="1" t="s">
        <v>1152</v>
      </c>
      <c r="AF1535" s="1"/>
      <c r="AG1535" s="1"/>
      <c r="AH1535" s="1" t="s">
        <v>1152</v>
      </c>
      <c r="AI1535" s="1"/>
      <c r="AJ1535" s="1" t="s">
        <v>7859</v>
      </c>
      <c r="AK1535" s="1" t="s">
        <v>1152</v>
      </c>
      <c r="AL1535" s="6" t="str">
        <f t="array" ref="AL1535">IFERROR(IFS(XLOOKUP(B1535, 'Kit Delivery Status'!$U:$U, 'Kit Delivery Status'!$K:$K) = "Complete", "DELIVERED", XLOOKUP(B1535, 'Kit Delivery Status'!$U:$U, 'Kit Delivery Status'!$K:$K) = "Issue", "ISSUE"), "")</f>
        <v/>
      </c>
      <c r="AM1535" s="6"/>
    </row>
    <row r="1536">
      <c r="A1536" s="5" t="s">
        <v>7861</v>
      </c>
      <c r="B1536" s="1" t="s">
        <v>7862</v>
      </c>
      <c r="C1536" s="1"/>
      <c r="D1536" s="2">
        <v>8.589995331E9</v>
      </c>
      <c r="E1536" s="1" t="s">
        <v>2135</v>
      </c>
      <c r="F1536" s="1"/>
      <c r="G1536" s="1" t="s">
        <v>1283</v>
      </c>
      <c r="H1536" s="1" t="s">
        <v>1155</v>
      </c>
      <c r="I1536" s="1">
        <v>63105.0</v>
      </c>
      <c r="J1536" s="1" t="s">
        <v>752</v>
      </c>
      <c r="K1536" s="1" t="s">
        <v>42</v>
      </c>
      <c r="L1536" s="1" t="s">
        <v>7863</v>
      </c>
      <c r="M1536" s="1">
        <v>79.0</v>
      </c>
      <c r="N1536" s="1" t="s">
        <v>1152</v>
      </c>
      <c r="O1536" s="3" t="s">
        <v>7864</v>
      </c>
      <c r="P1536" s="1" t="s">
        <v>1152</v>
      </c>
      <c r="Q1536" s="1" t="s">
        <v>1152</v>
      </c>
      <c r="R1536" s="1"/>
      <c r="S1536" s="1"/>
      <c r="T1536" s="1" t="s">
        <v>1152</v>
      </c>
      <c r="U1536" s="1" t="s">
        <v>1031</v>
      </c>
      <c r="V1536" s="4" t="s">
        <v>7864</v>
      </c>
      <c r="W1536" s="1"/>
      <c r="X1536" s="1" t="s">
        <v>1152</v>
      </c>
      <c r="Y1536" s="1" t="s">
        <v>1152</v>
      </c>
      <c r="Z1536" s="1"/>
      <c r="AA1536" s="1"/>
      <c r="AB1536" s="1"/>
      <c r="AC1536" s="1" t="s">
        <v>1925</v>
      </c>
      <c r="AD1536" s="1"/>
      <c r="AE1536" s="18">
        <v>45898.0</v>
      </c>
      <c r="AF1536" s="1" t="s">
        <v>1455</v>
      </c>
      <c r="AG1536" s="1" t="s">
        <v>52</v>
      </c>
      <c r="AH1536" s="1" t="s">
        <v>1152</v>
      </c>
      <c r="AI1536" s="1"/>
      <c r="AJ1536" s="1" t="s">
        <v>7865</v>
      </c>
      <c r="AK1536" s="1" t="s">
        <v>1152</v>
      </c>
      <c r="AL1536" s="6" t="str">
        <f t="array" ref="AL1536">IFERROR(IFS(XLOOKUP(B1536, 'Kit Delivery Status'!$U:$U, 'Kit Delivery Status'!$K:$K) = "Complete", "DELIVERED", XLOOKUP(B1536, 'Kit Delivery Status'!$U:$U, 'Kit Delivery Status'!$K:$K) = "Issue", "ISSUE"), "")</f>
        <v/>
      </c>
      <c r="AM1536" s="6"/>
    </row>
    <row r="1537">
      <c r="A1537" s="5" t="s">
        <v>7866</v>
      </c>
      <c r="B1537" s="1" t="s">
        <v>7867</v>
      </c>
      <c r="C1537" s="1" t="s">
        <v>7868</v>
      </c>
      <c r="D1537" s="2">
        <v>6.468539122E9</v>
      </c>
      <c r="E1537" s="1" t="s">
        <v>7869</v>
      </c>
      <c r="F1537" s="1"/>
      <c r="G1537" s="1" t="s">
        <v>1755</v>
      </c>
      <c r="H1537" s="1" t="s">
        <v>751</v>
      </c>
      <c r="I1537" s="1">
        <v>11373.0</v>
      </c>
      <c r="J1537" s="1" t="s">
        <v>752</v>
      </c>
      <c r="K1537" s="1" t="s">
        <v>51</v>
      </c>
      <c r="L1537" s="1" t="s">
        <v>5722</v>
      </c>
      <c r="M1537" s="1">
        <v>1.0</v>
      </c>
      <c r="N1537" s="1" t="s">
        <v>2461</v>
      </c>
      <c r="O1537" s="3" t="s">
        <v>7870</v>
      </c>
      <c r="P1537" s="18">
        <v>45896.0</v>
      </c>
      <c r="Q1537" s="1" t="s">
        <v>2463</v>
      </c>
      <c r="R1537" s="1"/>
      <c r="S1537" s="1" t="s">
        <v>52</v>
      </c>
      <c r="T1537" s="1" t="s">
        <v>2461</v>
      </c>
      <c r="U1537" s="1" t="s">
        <v>1285</v>
      </c>
      <c r="V1537" s="4" t="s">
        <v>7870</v>
      </c>
      <c r="W1537" s="1"/>
      <c r="X1537" s="18">
        <v>45896.0</v>
      </c>
      <c r="Y1537" s="1" t="s">
        <v>2463</v>
      </c>
      <c r="Z1537" s="1"/>
      <c r="AA1537" s="1"/>
      <c r="AB1537" s="1" t="s">
        <v>52</v>
      </c>
      <c r="AC1537" s="1" t="s">
        <v>1925</v>
      </c>
      <c r="AD1537" s="1"/>
      <c r="AE1537" s="1" t="s">
        <v>1152</v>
      </c>
      <c r="AF1537" s="1"/>
      <c r="AG1537" s="1"/>
      <c r="AH1537" s="1" t="s">
        <v>1152</v>
      </c>
      <c r="AI1537" s="1"/>
      <c r="AJ1537" s="1" t="s">
        <v>7869</v>
      </c>
      <c r="AK1537" s="1" t="s">
        <v>1152</v>
      </c>
      <c r="AL1537" s="6" t="str">
        <f t="array" ref="AL1537">IFERROR(IFS(XLOOKUP(B1537, 'Kit Delivery Status'!$U:$U, 'Kit Delivery Status'!$K:$K) = "Complete", "DELIVERED", XLOOKUP(B1537, 'Kit Delivery Status'!$U:$U, 'Kit Delivery Status'!$K:$K) = "Issue", "ISSUE"), "")</f>
        <v/>
      </c>
      <c r="AM1537" s="6"/>
    </row>
    <row r="1538">
      <c r="A1538" s="5" t="s">
        <v>7871</v>
      </c>
      <c r="B1538" s="1" t="s">
        <v>7872</v>
      </c>
      <c r="C1538" s="1"/>
      <c r="D1538" s="2">
        <v>2.81660986E9</v>
      </c>
      <c r="E1538" s="1" t="s">
        <v>7710</v>
      </c>
      <c r="F1538" s="1"/>
      <c r="G1538" s="1" t="s">
        <v>2932</v>
      </c>
      <c r="H1538" s="1" t="s">
        <v>1583</v>
      </c>
      <c r="I1538" s="1">
        <v>77401.0</v>
      </c>
      <c r="J1538" s="1" t="s">
        <v>752</v>
      </c>
      <c r="K1538" s="1" t="s">
        <v>66</v>
      </c>
      <c r="L1538" s="1" t="s">
        <v>5811</v>
      </c>
      <c r="M1538" s="1">
        <v>145.0</v>
      </c>
      <c r="N1538" s="1" t="s">
        <v>1152</v>
      </c>
      <c r="O1538" s="3" t="s">
        <v>7711</v>
      </c>
      <c r="P1538" s="18">
        <v>45898.0</v>
      </c>
      <c r="Q1538" s="1" t="s">
        <v>1152</v>
      </c>
      <c r="R1538" s="1"/>
      <c r="S1538" s="1"/>
      <c r="T1538" s="1" t="s">
        <v>1152</v>
      </c>
      <c r="U1538" s="1" t="s">
        <v>1021</v>
      </c>
      <c r="V1538" s="4" t="s">
        <v>7711</v>
      </c>
      <c r="W1538" s="1"/>
      <c r="X1538" s="18">
        <v>45898.0</v>
      </c>
      <c r="Y1538" s="1" t="s">
        <v>1152</v>
      </c>
      <c r="Z1538" s="1"/>
      <c r="AA1538" s="1"/>
      <c r="AB1538" s="1"/>
      <c r="AC1538" s="1" t="s">
        <v>1925</v>
      </c>
      <c r="AD1538" s="1"/>
      <c r="AE1538" s="1" t="s">
        <v>1152</v>
      </c>
      <c r="AF1538" s="1"/>
      <c r="AG1538" s="1"/>
      <c r="AH1538" s="1" t="s">
        <v>1152</v>
      </c>
      <c r="AI1538" s="1"/>
      <c r="AJ1538" s="1" t="s">
        <v>7873</v>
      </c>
      <c r="AK1538" s="1" t="s">
        <v>1152</v>
      </c>
      <c r="AL1538" s="6" t="str">
        <f t="array" ref="AL1538">IFERROR(IFS(XLOOKUP(B1538, 'Kit Delivery Status'!$U:$U, 'Kit Delivery Status'!$K:$K) = "Complete", "DELIVERED", XLOOKUP(B1538, 'Kit Delivery Status'!$U:$U, 'Kit Delivery Status'!$K:$K) = "Issue", "ISSUE"), "")</f>
        <v/>
      </c>
      <c r="AM1538" s="6"/>
    </row>
    <row r="1539">
      <c r="A1539" s="5" t="s">
        <v>7874</v>
      </c>
      <c r="B1539" s="1" t="s">
        <v>7875</v>
      </c>
      <c r="C1539" s="1"/>
      <c r="D1539" s="2">
        <v>6.107512849E9</v>
      </c>
      <c r="E1539" s="1" t="s">
        <v>7876</v>
      </c>
      <c r="F1539" s="1" t="s">
        <v>7877</v>
      </c>
      <c r="G1539" s="1" t="s">
        <v>1283</v>
      </c>
      <c r="H1539" s="1" t="s">
        <v>1155</v>
      </c>
      <c r="I1539" s="1">
        <v>63110.0</v>
      </c>
      <c r="J1539" s="1" t="s">
        <v>752</v>
      </c>
      <c r="K1539" s="1" t="s">
        <v>51</v>
      </c>
      <c r="L1539" s="1" t="s">
        <v>5722</v>
      </c>
      <c r="M1539" s="1">
        <v>1.0</v>
      </c>
      <c r="N1539" s="1" t="s">
        <v>2487</v>
      </c>
      <c r="O1539" s="3"/>
      <c r="P1539" s="18">
        <v>45897.0</v>
      </c>
      <c r="Q1539" s="1" t="s">
        <v>2463</v>
      </c>
      <c r="R1539" s="1" t="s">
        <v>7877</v>
      </c>
      <c r="S1539" s="1" t="s">
        <v>124</v>
      </c>
      <c r="T1539" s="1" t="s">
        <v>2487</v>
      </c>
      <c r="U1539" s="1"/>
      <c r="V1539" s="4"/>
      <c r="W1539" s="1" t="s">
        <v>7877</v>
      </c>
      <c r="X1539" s="18">
        <v>45897.0</v>
      </c>
      <c r="Y1539" s="1" t="s">
        <v>2463</v>
      </c>
      <c r="Z1539" s="1"/>
      <c r="AA1539" s="1" t="s">
        <v>7877</v>
      </c>
      <c r="AB1539" s="1" t="s">
        <v>124</v>
      </c>
      <c r="AC1539" s="1" t="s">
        <v>1925</v>
      </c>
      <c r="AD1539" s="1"/>
      <c r="AE1539" s="1" t="s">
        <v>1152</v>
      </c>
      <c r="AF1539" s="1"/>
      <c r="AG1539" s="1"/>
      <c r="AH1539" s="1" t="s">
        <v>1152</v>
      </c>
      <c r="AI1539" s="1"/>
      <c r="AJ1539" s="1" t="s">
        <v>7876</v>
      </c>
      <c r="AK1539" s="1" t="s">
        <v>1152</v>
      </c>
      <c r="AL1539" s="6" t="str">
        <f t="array" ref="AL1539">IFERROR(IFS(XLOOKUP(B1539, 'Kit Delivery Status'!$U:$U, 'Kit Delivery Status'!$K:$K) = "Complete", "DELIVERED", XLOOKUP(B1539, 'Kit Delivery Status'!$U:$U, 'Kit Delivery Status'!$K:$K) = "Issue", "ISSUE"), "")</f>
        <v/>
      </c>
      <c r="AM1539" s="6"/>
    </row>
    <row r="1540">
      <c r="A1540" s="5" t="s">
        <v>7878</v>
      </c>
      <c r="B1540" s="1" t="s">
        <v>7879</v>
      </c>
      <c r="C1540" s="1" t="s">
        <v>2576</v>
      </c>
      <c r="D1540" s="2">
        <v>6.186411334E9</v>
      </c>
      <c r="E1540" s="1" t="s">
        <v>3980</v>
      </c>
      <c r="F1540" s="1"/>
      <c r="G1540" s="1" t="s">
        <v>1283</v>
      </c>
      <c r="H1540" s="1" t="s">
        <v>1155</v>
      </c>
      <c r="I1540" s="1">
        <v>63143.0</v>
      </c>
      <c r="J1540" s="1" t="s">
        <v>752</v>
      </c>
      <c r="K1540" s="1" t="s">
        <v>2577</v>
      </c>
      <c r="L1540" s="1" t="s">
        <v>5882</v>
      </c>
      <c r="M1540" s="1">
        <v>1.0</v>
      </c>
      <c r="N1540" s="1" t="s">
        <v>2579</v>
      </c>
      <c r="O1540" s="3" t="s">
        <v>258</v>
      </c>
      <c r="P1540" s="18">
        <v>45893.0</v>
      </c>
      <c r="Q1540" s="1" t="s">
        <v>7880</v>
      </c>
      <c r="R1540" s="1"/>
      <c r="S1540" s="1"/>
      <c r="T1540" s="1" t="s">
        <v>2579</v>
      </c>
      <c r="U1540" s="1" t="s">
        <v>4637</v>
      </c>
      <c r="V1540" s="4" t="s">
        <v>258</v>
      </c>
      <c r="W1540" s="1"/>
      <c r="X1540" s="18">
        <v>45893.0</v>
      </c>
      <c r="Y1540" s="1" t="s">
        <v>7880</v>
      </c>
      <c r="Z1540" s="1"/>
      <c r="AA1540" s="1"/>
      <c r="AB1540" s="1"/>
      <c r="AC1540" s="1" t="s">
        <v>1925</v>
      </c>
      <c r="AD1540" s="1"/>
      <c r="AE1540" s="1" t="s">
        <v>1152</v>
      </c>
      <c r="AF1540" s="1"/>
      <c r="AG1540" s="1"/>
      <c r="AH1540" s="1" t="s">
        <v>1152</v>
      </c>
      <c r="AI1540" s="1" t="s">
        <v>7881</v>
      </c>
      <c r="AJ1540" s="1"/>
      <c r="AK1540" s="1" t="s">
        <v>5886</v>
      </c>
      <c r="AL1540" s="6" t="str">
        <f t="array" ref="AL1540">IFERROR(IFS(XLOOKUP(B1540, 'Kit Delivery Status'!$U:$U, 'Kit Delivery Status'!$K:$K) = "Complete", "DELIVERED", XLOOKUP(B1540, 'Kit Delivery Status'!$U:$U, 'Kit Delivery Status'!$K:$K) = "Issue", "ISSUE"), "")</f>
        <v/>
      </c>
      <c r="AM1540" s="6"/>
    </row>
    <row r="1541">
      <c r="A1541" s="5" t="s">
        <v>7882</v>
      </c>
      <c r="B1541" s="1" t="s">
        <v>7883</v>
      </c>
      <c r="C1541" s="1" t="s">
        <v>2576</v>
      </c>
      <c r="D1541" s="2">
        <v>6.186411334E9</v>
      </c>
      <c r="E1541" s="1" t="s">
        <v>3980</v>
      </c>
      <c r="F1541" s="1"/>
      <c r="G1541" s="1" t="s">
        <v>1283</v>
      </c>
      <c r="H1541" s="1" t="s">
        <v>1155</v>
      </c>
      <c r="I1541" s="1">
        <v>63143.0</v>
      </c>
      <c r="J1541" s="1" t="s">
        <v>752</v>
      </c>
      <c r="K1541" s="1" t="s">
        <v>2577</v>
      </c>
      <c r="L1541" s="1" t="s">
        <v>5882</v>
      </c>
      <c r="M1541" s="1">
        <v>1.0</v>
      </c>
      <c r="N1541" s="1" t="s">
        <v>2579</v>
      </c>
      <c r="O1541" s="3" t="s">
        <v>258</v>
      </c>
      <c r="P1541" s="18">
        <v>45888.0</v>
      </c>
      <c r="Q1541" s="1" t="s">
        <v>7884</v>
      </c>
      <c r="R1541" s="1"/>
      <c r="S1541" s="1"/>
      <c r="T1541" s="1" t="s">
        <v>2579</v>
      </c>
      <c r="U1541" s="1" t="s">
        <v>4637</v>
      </c>
      <c r="V1541" s="4" t="s">
        <v>258</v>
      </c>
      <c r="W1541" s="1"/>
      <c r="X1541" s="18">
        <v>45888.0</v>
      </c>
      <c r="Y1541" s="1" t="s">
        <v>7884</v>
      </c>
      <c r="Z1541" s="1"/>
      <c r="AA1541" s="1"/>
      <c r="AB1541" s="1"/>
      <c r="AC1541" s="1" t="s">
        <v>1925</v>
      </c>
      <c r="AD1541" s="1"/>
      <c r="AE1541" s="1" t="s">
        <v>1152</v>
      </c>
      <c r="AF1541" s="1"/>
      <c r="AG1541" s="1"/>
      <c r="AH1541" s="1" t="s">
        <v>1152</v>
      </c>
      <c r="AI1541" s="1" t="s">
        <v>7885</v>
      </c>
      <c r="AJ1541" s="1"/>
      <c r="AK1541" s="1" t="s">
        <v>5886</v>
      </c>
      <c r="AL1541" s="6" t="str">
        <f t="array" ref="AL1541">IFERROR(IFS(XLOOKUP(B1541, 'Kit Delivery Status'!$U:$U, 'Kit Delivery Status'!$K:$K) = "Complete", "DELIVERED", XLOOKUP(B1541, 'Kit Delivery Status'!$U:$U, 'Kit Delivery Status'!$K:$K) = "Issue", "ISSUE"), "")</f>
        <v/>
      </c>
      <c r="AM1541" s="6"/>
    </row>
    <row r="1542">
      <c r="A1542" s="5" t="s">
        <v>7886</v>
      </c>
      <c r="B1542" s="1" t="s">
        <v>7887</v>
      </c>
      <c r="C1542" s="1" t="s">
        <v>2268</v>
      </c>
      <c r="D1542" s="2">
        <v>6.186411334E9</v>
      </c>
      <c r="E1542" s="1" t="s">
        <v>3980</v>
      </c>
      <c r="F1542" s="1"/>
      <c r="G1542" s="1" t="s">
        <v>1283</v>
      </c>
      <c r="H1542" s="1" t="s">
        <v>1155</v>
      </c>
      <c r="I1542" s="1">
        <v>63143.0</v>
      </c>
      <c r="J1542" s="1" t="s">
        <v>752</v>
      </c>
      <c r="K1542" s="1" t="s">
        <v>2577</v>
      </c>
      <c r="L1542" s="1" t="s">
        <v>5882</v>
      </c>
      <c r="M1542" s="1">
        <v>1.0</v>
      </c>
      <c r="N1542" s="1" t="s">
        <v>2579</v>
      </c>
      <c r="O1542" s="3" t="s">
        <v>258</v>
      </c>
      <c r="P1542" s="18">
        <v>45895.0</v>
      </c>
      <c r="Q1542" s="1" t="s">
        <v>7888</v>
      </c>
      <c r="R1542" s="1"/>
      <c r="S1542" s="1"/>
      <c r="T1542" s="1" t="s">
        <v>2579</v>
      </c>
      <c r="U1542" s="1" t="s">
        <v>4637</v>
      </c>
      <c r="V1542" s="4" t="s">
        <v>258</v>
      </c>
      <c r="W1542" s="1"/>
      <c r="X1542" s="18">
        <v>45895.0</v>
      </c>
      <c r="Y1542" s="1" t="s">
        <v>7888</v>
      </c>
      <c r="Z1542" s="1"/>
      <c r="AA1542" s="1"/>
      <c r="AB1542" s="1"/>
      <c r="AC1542" s="1" t="s">
        <v>1925</v>
      </c>
      <c r="AD1542" s="1"/>
      <c r="AE1542" s="1" t="s">
        <v>1152</v>
      </c>
      <c r="AF1542" s="1"/>
      <c r="AG1542" s="1"/>
      <c r="AH1542" s="1" t="s">
        <v>1152</v>
      </c>
      <c r="AI1542" s="1" t="s">
        <v>7889</v>
      </c>
      <c r="AJ1542" s="1"/>
      <c r="AK1542" s="1" t="s">
        <v>5886</v>
      </c>
      <c r="AL1542" s="6" t="str">
        <f t="array" ref="AL1542">IFERROR(IFS(XLOOKUP(B1542, 'Kit Delivery Status'!$U:$U, 'Kit Delivery Status'!$K:$K) = "Complete", "DELIVERED", XLOOKUP(B1542, 'Kit Delivery Status'!$U:$U, 'Kit Delivery Status'!$K:$K) = "Issue", "ISSUE"), "")</f>
        <v/>
      </c>
      <c r="AM1542" s="6"/>
    </row>
    <row r="1543">
      <c r="A1543" s="5" t="s">
        <v>7890</v>
      </c>
      <c r="B1543" s="1" t="s">
        <v>7891</v>
      </c>
      <c r="C1543" s="1"/>
      <c r="D1543" s="2">
        <v>3.146656647E9</v>
      </c>
      <c r="E1543" s="1" t="s">
        <v>7892</v>
      </c>
      <c r="F1543" s="1"/>
      <c r="G1543" s="1" t="s">
        <v>1283</v>
      </c>
      <c r="H1543" s="1" t="s">
        <v>1155</v>
      </c>
      <c r="I1543" s="1">
        <v>63130.0</v>
      </c>
      <c r="J1543" s="1" t="s">
        <v>752</v>
      </c>
      <c r="K1543" s="1" t="s">
        <v>66</v>
      </c>
      <c r="L1543" s="1" t="s">
        <v>5767</v>
      </c>
      <c r="M1543" s="1">
        <v>210.0</v>
      </c>
      <c r="N1543" s="1" t="s">
        <v>1152</v>
      </c>
      <c r="O1543" s="3" t="s">
        <v>2423</v>
      </c>
      <c r="P1543" s="18">
        <v>45897.0</v>
      </c>
      <c r="Q1543" s="1" t="s">
        <v>1152</v>
      </c>
      <c r="R1543" s="1"/>
      <c r="S1543" s="1"/>
      <c r="T1543" s="1" t="s">
        <v>1152</v>
      </c>
      <c r="U1543" s="1" t="s">
        <v>1021</v>
      </c>
      <c r="V1543" s="4" t="s">
        <v>2423</v>
      </c>
      <c r="W1543" s="1"/>
      <c r="X1543" s="18">
        <v>45897.0</v>
      </c>
      <c r="Y1543" s="1" t="s">
        <v>1152</v>
      </c>
      <c r="Z1543" s="1"/>
      <c r="AA1543" s="1"/>
      <c r="AB1543" s="1"/>
      <c r="AC1543" s="1" t="s">
        <v>1925</v>
      </c>
      <c r="AD1543" s="1"/>
      <c r="AE1543" s="1" t="s">
        <v>1152</v>
      </c>
      <c r="AF1543" s="1"/>
      <c r="AG1543" s="1"/>
      <c r="AH1543" s="1" t="s">
        <v>1152</v>
      </c>
      <c r="AI1543" s="1"/>
      <c r="AJ1543" s="1" t="s">
        <v>7892</v>
      </c>
      <c r="AK1543" s="1" t="s">
        <v>1152</v>
      </c>
      <c r="AL1543" s="6" t="str">
        <f t="array" ref="AL1543">IFERROR(IFS(XLOOKUP(B1543, 'Kit Delivery Status'!$U:$U, 'Kit Delivery Status'!$K:$K) = "Complete", "DELIVERED", XLOOKUP(B1543, 'Kit Delivery Status'!$U:$U, 'Kit Delivery Status'!$K:$K) = "Issue", "ISSUE"), "")</f>
        <v/>
      </c>
      <c r="AM1543" s="6"/>
    </row>
    <row r="1544">
      <c r="A1544" s="5" t="s">
        <v>7893</v>
      </c>
      <c r="B1544" s="1" t="s">
        <v>7894</v>
      </c>
      <c r="C1544" s="1" t="s">
        <v>7895</v>
      </c>
      <c r="D1544" s="2">
        <v>4.08359787E9</v>
      </c>
      <c r="E1544" s="1" t="s">
        <v>7896</v>
      </c>
      <c r="F1544" s="1"/>
      <c r="G1544" s="1" t="s">
        <v>3678</v>
      </c>
      <c r="H1544" s="1" t="s">
        <v>989</v>
      </c>
      <c r="I1544" s="1">
        <v>95070.0</v>
      </c>
      <c r="J1544" s="1" t="s">
        <v>752</v>
      </c>
      <c r="K1544" s="1" t="s">
        <v>66</v>
      </c>
      <c r="L1544" s="1" t="s">
        <v>5811</v>
      </c>
      <c r="M1544" s="1">
        <v>145.0</v>
      </c>
      <c r="N1544" s="1" t="s">
        <v>1152</v>
      </c>
      <c r="O1544" s="3" t="s">
        <v>2093</v>
      </c>
      <c r="P1544" s="18">
        <v>45897.0</v>
      </c>
      <c r="Q1544" s="1" t="s">
        <v>1152</v>
      </c>
      <c r="R1544" s="1"/>
      <c r="S1544" s="1"/>
      <c r="T1544" s="1" t="s">
        <v>1152</v>
      </c>
      <c r="U1544" s="1" t="s">
        <v>982</v>
      </c>
      <c r="V1544" s="4" t="s">
        <v>2093</v>
      </c>
      <c r="W1544" s="1"/>
      <c r="X1544" s="18">
        <v>45897.0</v>
      </c>
      <c r="Y1544" s="1" t="s">
        <v>1152</v>
      </c>
      <c r="Z1544" s="1"/>
      <c r="AA1544" s="1"/>
      <c r="AB1544" s="1"/>
      <c r="AC1544" s="1" t="s">
        <v>1925</v>
      </c>
      <c r="AD1544" s="1"/>
      <c r="AE1544" s="1" t="s">
        <v>1152</v>
      </c>
      <c r="AF1544" s="1"/>
      <c r="AG1544" s="1"/>
      <c r="AH1544" s="1" t="s">
        <v>1152</v>
      </c>
      <c r="AI1544" s="1"/>
      <c r="AJ1544" s="1" t="s">
        <v>7896</v>
      </c>
      <c r="AK1544" s="1" t="s">
        <v>1152</v>
      </c>
      <c r="AL1544" s="6" t="str">
        <f t="array" ref="AL1544">IFERROR(IFS(XLOOKUP(B1544, 'Kit Delivery Status'!$U:$U, 'Kit Delivery Status'!$K:$K) = "Complete", "DELIVERED", XLOOKUP(B1544, 'Kit Delivery Status'!$U:$U, 'Kit Delivery Status'!$K:$K) = "Issue", "ISSUE"), "")</f>
        <v/>
      </c>
      <c r="AM1544" s="6"/>
    </row>
    <row r="1545">
      <c r="A1545" s="5" t="s">
        <v>7897</v>
      </c>
      <c r="B1545" s="1" t="s">
        <v>7898</v>
      </c>
      <c r="C1545" s="1" t="s">
        <v>7899</v>
      </c>
      <c r="D1545" s="2"/>
      <c r="E1545" s="1" t="s">
        <v>7900</v>
      </c>
      <c r="F1545" s="1"/>
      <c r="G1545" s="1" t="s">
        <v>6400</v>
      </c>
      <c r="H1545" s="1" t="s">
        <v>1038</v>
      </c>
      <c r="I1545" s="1">
        <v>22180.0</v>
      </c>
      <c r="J1545" s="1" t="s">
        <v>752</v>
      </c>
      <c r="K1545" s="1" t="s">
        <v>95</v>
      </c>
      <c r="L1545" s="1" t="s">
        <v>5820</v>
      </c>
      <c r="M1545" s="1">
        <v>49.0</v>
      </c>
      <c r="N1545" s="1" t="s">
        <v>2461</v>
      </c>
      <c r="O1545" s="3" t="s">
        <v>2814</v>
      </c>
      <c r="P1545" s="18">
        <v>45898.0</v>
      </c>
      <c r="Q1545" s="1" t="s">
        <v>2463</v>
      </c>
      <c r="R1545" s="1"/>
      <c r="S1545" s="1" t="s">
        <v>52</v>
      </c>
      <c r="T1545" s="1" t="s">
        <v>2461</v>
      </c>
      <c r="U1545" s="1" t="s">
        <v>1065</v>
      </c>
      <c r="V1545" s="4" t="s">
        <v>2814</v>
      </c>
      <c r="W1545" s="1"/>
      <c r="X1545" s="18">
        <v>45898.0</v>
      </c>
      <c r="Y1545" s="1" t="s">
        <v>2463</v>
      </c>
      <c r="Z1545" s="1"/>
      <c r="AA1545" s="1"/>
      <c r="AB1545" s="1" t="s">
        <v>52</v>
      </c>
      <c r="AC1545" s="1" t="s">
        <v>7901</v>
      </c>
      <c r="AD1545" s="1"/>
      <c r="AE1545" s="1" t="s">
        <v>1152</v>
      </c>
      <c r="AF1545" s="1"/>
      <c r="AG1545" s="1"/>
      <c r="AH1545" s="1" t="s">
        <v>1152</v>
      </c>
      <c r="AI1545" s="1"/>
      <c r="AJ1545" s="1" t="s">
        <v>7900</v>
      </c>
      <c r="AK1545" s="1" t="s">
        <v>1152</v>
      </c>
      <c r="AL1545" s="6" t="str">
        <f t="array" ref="AL1545">IFERROR(IFS(XLOOKUP(B1545, 'Kit Delivery Status'!$U:$U, 'Kit Delivery Status'!$K:$K) = "Complete", "DELIVERED", XLOOKUP(B1545, 'Kit Delivery Status'!$U:$U, 'Kit Delivery Status'!$K:$K) = "Issue", "ISSUE"), "")</f>
        <v/>
      </c>
      <c r="AM1545" s="6"/>
    </row>
    <row r="1546">
      <c r="A1546" s="5" t="s">
        <v>7902</v>
      </c>
      <c r="B1546" s="1" t="s">
        <v>7903</v>
      </c>
      <c r="C1546" s="1" t="s">
        <v>7904</v>
      </c>
      <c r="D1546" s="2">
        <v>7.086393381E9</v>
      </c>
      <c r="E1546" s="1" t="s">
        <v>6150</v>
      </c>
      <c r="F1546" s="1"/>
      <c r="G1546" s="1" t="s">
        <v>6151</v>
      </c>
      <c r="H1546" s="1" t="s">
        <v>1019</v>
      </c>
      <c r="I1546" s="1">
        <v>60302.0</v>
      </c>
      <c r="J1546" s="1" t="s">
        <v>752</v>
      </c>
      <c r="K1546" s="1" t="s">
        <v>66</v>
      </c>
      <c r="L1546" s="1" t="s">
        <v>5811</v>
      </c>
      <c r="M1546" s="1">
        <v>145.0</v>
      </c>
      <c r="N1546" s="1" t="s">
        <v>1152</v>
      </c>
      <c r="O1546" s="3" t="s">
        <v>6152</v>
      </c>
      <c r="P1546" s="18">
        <v>45898.0</v>
      </c>
      <c r="Q1546" s="1" t="s">
        <v>1152</v>
      </c>
      <c r="R1546" s="1"/>
      <c r="S1546" s="1"/>
      <c r="T1546" s="1" t="s">
        <v>1152</v>
      </c>
      <c r="U1546" s="1" t="s">
        <v>1080</v>
      </c>
      <c r="V1546" s="4" t="s">
        <v>6152</v>
      </c>
      <c r="W1546" s="1"/>
      <c r="X1546" s="18">
        <v>45898.0</v>
      </c>
      <c r="Y1546" s="1" t="s">
        <v>1152</v>
      </c>
      <c r="Z1546" s="1"/>
      <c r="AA1546" s="1"/>
      <c r="AB1546" s="1"/>
      <c r="AC1546" s="1" t="s">
        <v>1925</v>
      </c>
      <c r="AD1546" s="1"/>
      <c r="AE1546" s="1" t="s">
        <v>1152</v>
      </c>
      <c r="AF1546" s="1"/>
      <c r="AG1546" s="1"/>
      <c r="AH1546" s="1" t="s">
        <v>1152</v>
      </c>
      <c r="AI1546" s="1"/>
      <c r="AJ1546" s="1" t="s">
        <v>6150</v>
      </c>
      <c r="AK1546" s="1" t="s">
        <v>1152</v>
      </c>
      <c r="AL1546" s="6" t="str">
        <f t="array" ref="AL1546">IFERROR(IFS(XLOOKUP(B1546, 'Kit Delivery Status'!$U:$U, 'Kit Delivery Status'!$K:$K) = "Complete", "DELIVERED", XLOOKUP(B1546, 'Kit Delivery Status'!$U:$U, 'Kit Delivery Status'!$K:$K) = "Issue", "ISSUE"), "")</f>
        <v/>
      </c>
      <c r="AM1546" s="6"/>
    </row>
    <row r="1547">
      <c r="A1547" s="5" t="s">
        <v>7905</v>
      </c>
      <c r="B1547" s="1" t="s">
        <v>7906</v>
      </c>
      <c r="C1547" s="1"/>
      <c r="D1547" s="2">
        <v>1.3507172225E10</v>
      </c>
      <c r="E1547" s="1" t="s">
        <v>7907</v>
      </c>
      <c r="F1547" s="1"/>
      <c r="G1547" s="1" t="s">
        <v>6582</v>
      </c>
      <c r="H1547" s="1" t="s">
        <v>6583</v>
      </c>
      <c r="I1547" s="1">
        <v>430022.0</v>
      </c>
      <c r="J1547" s="1" t="s">
        <v>5553</v>
      </c>
      <c r="K1547" s="1" t="s">
        <v>66</v>
      </c>
      <c r="L1547" s="1" t="s">
        <v>5811</v>
      </c>
      <c r="M1547" s="1">
        <v>145.0</v>
      </c>
      <c r="N1547" s="1" t="s">
        <v>1152</v>
      </c>
      <c r="O1547" s="3" t="s">
        <v>7908</v>
      </c>
      <c r="P1547" s="18">
        <v>45898.0</v>
      </c>
      <c r="Q1547" s="1" t="s">
        <v>1152</v>
      </c>
      <c r="R1547" s="1"/>
      <c r="S1547" s="1"/>
      <c r="T1547" s="1" t="s">
        <v>1152</v>
      </c>
      <c r="U1547" s="1" t="s">
        <v>7909</v>
      </c>
      <c r="V1547" s="4" t="s">
        <v>7908</v>
      </c>
      <c r="W1547" s="1"/>
      <c r="X1547" s="18">
        <v>45898.0</v>
      </c>
      <c r="Y1547" s="1" t="s">
        <v>1152</v>
      </c>
      <c r="Z1547" s="1"/>
      <c r="AA1547" s="1"/>
      <c r="AB1547" s="1"/>
      <c r="AC1547" s="1" t="s">
        <v>1925</v>
      </c>
      <c r="AD1547" s="1"/>
      <c r="AE1547" s="1" t="s">
        <v>1152</v>
      </c>
      <c r="AF1547" s="1"/>
      <c r="AG1547" s="1"/>
      <c r="AH1547" s="1" t="s">
        <v>1152</v>
      </c>
      <c r="AI1547" s="1"/>
      <c r="AJ1547" s="1" t="s">
        <v>7910</v>
      </c>
      <c r="AK1547" s="1" t="s">
        <v>1152</v>
      </c>
      <c r="AL1547" s="6" t="str">
        <f t="array" ref="AL1547">IFERROR(IFS(XLOOKUP(B1547, 'Kit Delivery Status'!$U:$U, 'Kit Delivery Status'!$K:$K) = "Complete", "DELIVERED", XLOOKUP(B1547, 'Kit Delivery Status'!$U:$U, 'Kit Delivery Status'!$K:$K) = "Issue", "ISSUE"), "")</f>
        <v/>
      </c>
      <c r="AM1547" s="6"/>
    </row>
    <row r="1548">
      <c r="A1548" s="5" t="s">
        <v>7911</v>
      </c>
      <c r="B1548" s="1" t="s">
        <v>7912</v>
      </c>
      <c r="C1548" s="1" t="s">
        <v>7913</v>
      </c>
      <c r="D1548" s="2">
        <v>1.8603186665E10</v>
      </c>
      <c r="E1548" s="1" t="s">
        <v>7914</v>
      </c>
      <c r="F1548" s="1"/>
      <c r="G1548" s="1" t="s">
        <v>7915</v>
      </c>
      <c r="H1548" s="1" t="s">
        <v>1078</v>
      </c>
      <c r="I1548" s="1">
        <v>6793.0</v>
      </c>
      <c r="J1548" s="1" t="s">
        <v>752</v>
      </c>
      <c r="K1548" s="1" t="s">
        <v>95</v>
      </c>
      <c r="L1548" s="1" t="s">
        <v>5820</v>
      </c>
      <c r="M1548" s="1">
        <v>49.0</v>
      </c>
      <c r="N1548" s="1" t="s">
        <v>2461</v>
      </c>
      <c r="O1548" s="3" t="s">
        <v>7916</v>
      </c>
      <c r="P1548" s="18">
        <v>45901.0</v>
      </c>
      <c r="Q1548" s="1" t="s">
        <v>2463</v>
      </c>
      <c r="R1548" s="1"/>
      <c r="S1548" s="1" t="s">
        <v>52</v>
      </c>
      <c r="T1548" s="1" t="s">
        <v>2461</v>
      </c>
      <c r="U1548" s="1" t="s">
        <v>1065</v>
      </c>
      <c r="V1548" s="4" t="s">
        <v>7916</v>
      </c>
      <c r="W1548" s="1"/>
      <c r="X1548" s="18">
        <v>45901.0</v>
      </c>
      <c r="Y1548" s="1" t="s">
        <v>2463</v>
      </c>
      <c r="Z1548" s="1"/>
      <c r="AA1548" s="1"/>
      <c r="AB1548" s="1" t="s">
        <v>52</v>
      </c>
      <c r="AC1548" s="1" t="s">
        <v>7917</v>
      </c>
      <c r="AD1548" s="1"/>
      <c r="AE1548" s="1" t="s">
        <v>1152</v>
      </c>
      <c r="AF1548" s="1"/>
      <c r="AG1548" s="1"/>
      <c r="AH1548" s="1" t="s">
        <v>1152</v>
      </c>
      <c r="AI1548" s="1"/>
      <c r="AJ1548" s="1" t="s">
        <v>7918</v>
      </c>
      <c r="AK1548" s="1" t="s">
        <v>1152</v>
      </c>
      <c r="AL1548" s="6" t="str">
        <f t="array" ref="AL1548">IFERROR(IFS(XLOOKUP(B1548, 'Kit Delivery Status'!$U:$U, 'Kit Delivery Status'!$K:$K) = "Complete", "DELIVERED", XLOOKUP(B1548, 'Kit Delivery Status'!$U:$U, 'Kit Delivery Status'!$K:$K) = "Issue", "ISSUE"), "")</f>
        <v/>
      </c>
      <c r="AM1548" s="6"/>
    </row>
    <row r="1549">
      <c r="A1549" s="5" t="s">
        <v>7919</v>
      </c>
      <c r="B1549" s="1" t="s">
        <v>7920</v>
      </c>
      <c r="C1549" s="1"/>
      <c r="D1549" s="2">
        <v>7.192279715E9</v>
      </c>
      <c r="E1549" s="1" t="s">
        <v>7921</v>
      </c>
      <c r="F1549" s="1"/>
      <c r="G1549" s="1" t="s">
        <v>4105</v>
      </c>
      <c r="H1549" s="1" t="s">
        <v>1891</v>
      </c>
      <c r="I1549" s="1">
        <v>80904.0</v>
      </c>
      <c r="J1549" s="1" t="s">
        <v>752</v>
      </c>
      <c r="K1549" s="1" t="s">
        <v>66</v>
      </c>
      <c r="L1549" s="1" t="s">
        <v>5811</v>
      </c>
      <c r="M1549" s="1">
        <v>145.0</v>
      </c>
      <c r="N1549" s="1" t="s">
        <v>1152</v>
      </c>
      <c r="O1549" s="3" t="s">
        <v>7308</v>
      </c>
      <c r="P1549" s="18">
        <v>45901.0</v>
      </c>
      <c r="Q1549" s="1" t="s">
        <v>1152</v>
      </c>
      <c r="R1549" s="1"/>
      <c r="S1549" s="1"/>
      <c r="T1549" s="1" t="s">
        <v>1152</v>
      </c>
      <c r="U1549" s="1" t="s">
        <v>1167</v>
      </c>
      <c r="V1549" s="4" t="s">
        <v>7308</v>
      </c>
      <c r="W1549" s="1"/>
      <c r="X1549" s="18">
        <v>45901.0</v>
      </c>
      <c r="Y1549" s="1" t="s">
        <v>1152</v>
      </c>
      <c r="Z1549" s="1"/>
      <c r="AA1549" s="1"/>
      <c r="AB1549" s="1"/>
      <c r="AC1549" s="1" t="s">
        <v>1925</v>
      </c>
      <c r="AD1549" s="1"/>
      <c r="AE1549" s="1" t="s">
        <v>1152</v>
      </c>
      <c r="AF1549" s="1"/>
      <c r="AG1549" s="1"/>
      <c r="AH1549" s="1" t="s">
        <v>1152</v>
      </c>
      <c r="AI1549" s="1"/>
      <c r="AJ1549" s="1" t="s">
        <v>7922</v>
      </c>
      <c r="AK1549" s="1" t="s">
        <v>1152</v>
      </c>
      <c r="AL1549" s="6" t="str">
        <f t="array" ref="AL1549">IFERROR(IFS(XLOOKUP(B1549, 'Kit Delivery Status'!$U:$U, 'Kit Delivery Status'!$K:$K) = "Complete", "DELIVERED", XLOOKUP(B1549, 'Kit Delivery Status'!$U:$U, 'Kit Delivery Status'!$K:$K) = "Issue", "ISSUE"), "")</f>
        <v/>
      </c>
      <c r="AM1549" s="6"/>
    </row>
    <row r="1550">
      <c r="A1550" s="5" t="s">
        <v>7923</v>
      </c>
      <c r="B1550" s="1" t="s">
        <v>7924</v>
      </c>
      <c r="C1550" s="1" t="s">
        <v>7925</v>
      </c>
      <c r="D1550" s="2">
        <v>9.392770567E9</v>
      </c>
      <c r="E1550" s="1" t="s">
        <v>7926</v>
      </c>
      <c r="F1550" s="1" t="s">
        <v>7927</v>
      </c>
      <c r="G1550" s="1" t="s">
        <v>1283</v>
      </c>
      <c r="H1550" s="1" t="s">
        <v>1155</v>
      </c>
      <c r="I1550" s="1">
        <v>63110.0</v>
      </c>
      <c r="J1550" s="1" t="s">
        <v>752</v>
      </c>
      <c r="K1550" s="1" t="s">
        <v>51</v>
      </c>
      <c r="L1550" s="1" t="s">
        <v>5722</v>
      </c>
      <c r="M1550" s="1">
        <v>1.0</v>
      </c>
      <c r="N1550" s="1" t="s">
        <v>2487</v>
      </c>
      <c r="O1550" s="3"/>
      <c r="P1550" s="18">
        <v>45906.0</v>
      </c>
      <c r="Q1550" s="1" t="s">
        <v>2852</v>
      </c>
      <c r="R1550" s="1" t="s">
        <v>7927</v>
      </c>
      <c r="S1550" s="1" t="s">
        <v>124</v>
      </c>
      <c r="T1550" s="1" t="s">
        <v>2487</v>
      </c>
      <c r="U1550" s="1"/>
      <c r="V1550" s="4"/>
      <c r="W1550" s="1" t="s">
        <v>7927</v>
      </c>
      <c r="X1550" s="18">
        <v>45906.0</v>
      </c>
      <c r="Y1550" s="1" t="s">
        <v>2852</v>
      </c>
      <c r="Z1550" s="1"/>
      <c r="AA1550" s="1" t="s">
        <v>7927</v>
      </c>
      <c r="AB1550" s="1" t="s">
        <v>124</v>
      </c>
      <c r="AC1550" s="1" t="s">
        <v>1925</v>
      </c>
      <c r="AD1550" s="1"/>
      <c r="AE1550" s="1" t="s">
        <v>1152</v>
      </c>
      <c r="AF1550" s="1"/>
      <c r="AG1550" s="1"/>
      <c r="AH1550" s="1" t="s">
        <v>1152</v>
      </c>
      <c r="AI1550" s="1"/>
      <c r="AJ1550" s="1" t="s">
        <v>7926</v>
      </c>
      <c r="AK1550" s="1" t="s">
        <v>1152</v>
      </c>
      <c r="AL1550" s="6" t="str">
        <f t="array" ref="AL1550">IFERROR(IFS(XLOOKUP(B1550, 'Kit Delivery Status'!$U:$U, 'Kit Delivery Status'!$K:$K) = "Complete", "DELIVERED", XLOOKUP(B1550, 'Kit Delivery Status'!$U:$U, 'Kit Delivery Status'!$K:$K) = "Issue", "ISSUE"), "")</f>
        <v/>
      </c>
      <c r="AM1550" s="6"/>
    </row>
    <row r="1551">
      <c r="A1551" s="5" t="s">
        <v>7928</v>
      </c>
      <c r="B1551" s="1" t="s">
        <v>7929</v>
      </c>
      <c r="C1551" s="1"/>
      <c r="D1551" s="2">
        <v>4.243843825E9</v>
      </c>
      <c r="E1551" s="1" t="s">
        <v>7930</v>
      </c>
      <c r="F1551" s="1"/>
      <c r="G1551" s="1" t="s">
        <v>2791</v>
      </c>
      <c r="H1551" s="1" t="s">
        <v>989</v>
      </c>
      <c r="I1551" s="1">
        <v>90405.0</v>
      </c>
      <c r="J1551" s="1" t="s">
        <v>752</v>
      </c>
      <c r="K1551" s="1" t="s">
        <v>66</v>
      </c>
      <c r="L1551" s="1" t="s">
        <v>5833</v>
      </c>
      <c r="M1551" s="1">
        <v>65.0</v>
      </c>
      <c r="N1551" s="1" t="s">
        <v>1152</v>
      </c>
      <c r="O1551" s="3" t="s">
        <v>7931</v>
      </c>
      <c r="P1551" s="18">
        <v>45903.0</v>
      </c>
      <c r="Q1551" s="1" t="s">
        <v>1152</v>
      </c>
      <c r="R1551" s="1"/>
      <c r="S1551" s="1"/>
      <c r="T1551" s="1" t="s">
        <v>1152</v>
      </c>
      <c r="U1551" s="1" t="s">
        <v>1343</v>
      </c>
      <c r="V1551" s="4" t="s">
        <v>7931</v>
      </c>
      <c r="W1551" s="1"/>
      <c r="X1551" s="18">
        <v>45903.0</v>
      </c>
      <c r="Y1551" s="1" t="s">
        <v>1152</v>
      </c>
      <c r="Z1551" s="1"/>
      <c r="AA1551" s="1"/>
      <c r="AB1551" s="1"/>
      <c r="AC1551" s="1" t="s">
        <v>1925</v>
      </c>
      <c r="AD1551" s="1"/>
      <c r="AE1551" s="1" t="s">
        <v>1152</v>
      </c>
      <c r="AF1551" s="1"/>
      <c r="AG1551" s="1"/>
      <c r="AH1551" s="1" t="s">
        <v>1152</v>
      </c>
      <c r="AI1551" s="1"/>
      <c r="AJ1551" s="1" t="s">
        <v>7932</v>
      </c>
      <c r="AK1551" s="1" t="s">
        <v>1152</v>
      </c>
      <c r="AL1551" s="6" t="str">
        <f t="array" ref="AL1551">IFERROR(IFS(XLOOKUP(B1551, 'Kit Delivery Status'!$U:$U, 'Kit Delivery Status'!$K:$K) = "Complete", "DELIVERED", XLOOKUP(B1551, 'Kit Delivery Status'!$U:$U, 'Kit Delivery Status'!$K:$K) = "Issue", "ISSUE"), "")</f>
        <v/>
      </c>
      <c r="AM1551" s="6"/>
    </row>
    <row r="1552">
      <c r="A1552" s="5" t="s">
        <v>7933</v>
      </c>
      <c r="B1552" s="1" t="s">
        <v>7934</v>
      </c>
      <c r="C1552" s="1"/>
      <c r="D1552" s="2">
        <v>9.706234067E9</v>
      </c>
      <c r="E1552" s="1" t="s">
        <v>7935</v>
      </c>
      <c r="F1552" s="1"/>
      <c r="G1552" s="1" t="s">
        <v>7936</v>
      </c>
      <c r="H1552" s="1" t="s">
        <v>1891</v>
      </c>
      <c r="I1552" s="1">
        <v>80104.0</v>
      </c>
      <c r="J1552" s="1" t="s">
        <v>752</v>
      </c>
      <c r="K1552" s="1" t="s">
        <v>66</v>
      </c>
      <c r="L1552" s="1" t="s">
        <v>5811</v>
      </c>
      <c r="M1552" s="1">
        <v>145.0</v>
      </c>
      <c r="N1552" s="1" t="s">
        <v>1152</v>
      </c>
      <c r="O1552" s="3" t="s">
        <v>7937</v>
      </c>
      <c r="P1552" s="18">
        <v>45903.0</v>
      </c>
      <c r="Q1552" s="1" t="s">
        <v>1152</v>
      </c>
      <c r="R1552" s="1"/>
      <c r="S1552" s="1"/>
      <c r="T1552" s="1" t="s">
        <v>1152</v>
      </c>
      <c r="U1552" s="1" t="s">
        <v>1167</v>
      </c>
      <c r="V1552" s="4" t="s">
        <v>7937</v>
      </c>
      <c r="W1552" s="1"/>
      <c r="X1552" s="18">
        <v>45903.0</v>
      </c>
      <c r="Y1552" s="1" t="s">
        <v>1152</v>
      </c>
      <c r="Z1552" s="1"/>
      <c r="AA1552" s="1"/>
      <c r="AB1552" s="1"/>
      <c r="AC1552" s="1" t="s">
        <v>1925</v>
      </c>
      <c r="AD1552" s="1"/>
      <c r="AE1552" s="1" t="s">
        <v>1152</v>
      </c>
      <c r="AF1552" s="1"/>
      <c r="AG1552" s="1"/>
      <c r="AH1552" s="1" t="s">
        <v>1152</v>
      </c>
      <c r="AI1552" s="1"/>
      <c r="AJ1552" s="1" t="s">
        <v>5680</v>
      </c>
      <c r="AK1552" s="1" t="s">
        <v>1152</v>
      </c>
      <c r="AL1552" s="6" t="str">
        <f t="array" ref="AL1552">IFERROR(IFS(XLOOKUP(B1552, 'Kit Delivery Status'!$U:$U, 'Kit Delivery Status'!$K:$K) = "Complete", "DELIVERED", XLOOKUP(B1552, 'Kit Delivery Status'!$U:$U, 'Kit Delivery Status'!$K:$K) = "Issue", "ISSUE"), "")</f>
        <v/>
      </c>
      <c r="AM1552" s="6"/>
    </row>
    <row r="1553">
      <c r="A1553" s="5" t="s">
        <v>7938</v>
      </c>
      <c r="B1553" s="1" t="s">
        <v>7939</v>
      </c>
      <c r="C1553" s="1" t="s">
        <v>7940</v>
      </c>
      <c r="D1553" s="2">
        <v>3.14570988E9</v>
      </c>
      <c r="E1553" s="1" t="s">
        <v>7941</v>
      </c>
      <c r="F1553" s="1"/>
      <c r="G1553" s="1" t="s">
        <v>1283</v>
      </c>
      <c r="H1553" s="1" t="s">
        <v>1155</v>
      </c>
      <c r="I1553" s="1">
        <v>63105.0</v>
      </c>
      <c r="J1553" s="1" t="s">
        <v>752</v>
      </c>
      <c r="K1553" s="1" t="s">
        <v>66</v>
      </c>
      <c r="L1553" s="1" t="s">
        <v>5811</v>
      </c>
      <c r="M1553" s="1">
        <v>145.0</v>
      </c>
      <c r="N1553" s="1" t="s">
        <v>1152</v>
      </c>
      <c r="O1553" s="3" t="s">
        <v>7942</v>
      </c>
      <c r="P1553" s="18">
        <v>45903.0</v>
      </c>
      <c r="Q1553" s="1" t="s">
        <v>1152</v>
      </c>
      <c r="R1553" s="1"/>
      <c r="S1553" s="1"/>
      <c r="T1553" s="1" t="s">
        <v>1152</v>
      </c>
      <c r="U1553" s="1" t="s">
        <v>1749</v>
      </c>
      <c r="V1553" s="4" t="s">
        <v>7942</v>
      </c>
      <c r="W1553" s="1"/>
      <c r="X1553" s="18">
        <v>45903.0</v>
      </c>
      <c r="Y1553" s="1" t="s">
        <v>1152</v>
      </c>
      <c r="Z1553" s="1"/>
      <c r="AA1553" s="1"/>
      <c r="AB1553" s="1"/>
      <c r="AC1553" s="1" t="s">
        <v>1925</v>
      </c>
      <c r="AD1553" s="1"/>
      <c r="AE1553" s="1" t="s">
        <v>1152</v>
      </c>
      <c r="AF1553" s="1"/>
      <c r="AG1553" s="1"/>
      <c r="AH1553" s="1" t="s">
        <v>1152</v>
      </c>
      <c r="AI1553" s="1"/>
      <c r="AJ1553" s="1" t="s">
        <v>7941</v>
      </c>
      <c r="AK1553" s="1" t="s">
        <v>1152</v>
      </c>
      <c r="AL1553" s="6" t="str">
        <f t="array" ref="AL1553">IFERROR(IFS(XLOOKUP(B1553, 'Kit Delivery Status'!$U:$U, 'Kit Delivery Status'!$K:$K) = "Complete", "DELIVERED", XLOOKUP(B1553, 'Kit Delivery Status'!$U:$U, 'Kit Delivery Status'!$K:$K) = "Issue", "ISSUE"), "")</f>
        <v/>
      </c>
      <c r="AM1553" s="6"/>
    </row>
    <row r="1554">
      <c r="A1554" s="5" t="s">
        <v>7943</v>
      </c>
      <c r="B1554" s="1" t="s">
        <v>7944</v>
      </c>
      <c r="C1554" s="1" t="s">
        <v>3014</v>
      </c>
      <c r="D1554" s="2">
        <v>8.589995331E9</v>
      </c>
      <c r="E1554" s="1" t="s">
        <v>2135</v>
      </c>
      <c r="F1554" s="1" t="s">
        <v>7945</v>
      </c>
      <c r="G1554" s="1" t="s">
        <v>2136</v>
      </c>
      <c r="H1554" s="1" t="s">
        <v>1155</v>
      </c>
      <c r="I1554" s="1">
        <v>63117.0</v>
      </c>
      <c r="J1554" s="1" t="s">
        <v>752</v>
      </c>
      <c r="K1554" s="1" t="s">
        <v>2577</v>
      </c>
      <c r="L1554" s="1" t="s">
        <v>7946</v>
      </c>
      <c r="M1554" s="1">
        <v>1.0</v>
      </c>
      <c r="N1554" s="1" t="s">
        <v>4609</v>
      </c>
      <c r="O1554" s="3"/>
      <c r="P1554" s="18">
        <v>45903.0</v>
      </c>
      <c r="Q1554" s="1" t="s">
        <v>4610</v>
      </c>
      <c r="R1554" s="1" t="s">
        <v>7945</v>
      </c>
      <c r="S1554" s="1"/>
      <c r="T1554" s="1" t="s">
        <v>4609</v>
      </c>
      <c r="U1554" s="1"/>
      <c r="V1554" s="4"/>
      <c r="W1554" s="1" t="s">
        <v>7945</v>
      </c>
      <c r="X1554" s="18">
        <v>45903.0</v>
      </c>
      <c r="Y1554" s="1" t="s">
        <v>4610</v>
      </c>
      <c r="Z1554" s="1"/>
      <c r="AA1554" s="1" t="s">
        <v>7945</v>
      </c>
      <c r="AB1554" s="1"/>
      <c r="AC1554" s="1" t="s">
        <v>1925</v>
      </c>
      <c r="AD1554" s="1"/>
      <c r="AE1554" s="1" t="s">
        <v>1152</v>
      </c>
      <c r="AF1554" s="1"/>
      <c r="AG1554" s="1"/>
      <c r="AH1554" s="1" t="s">
        <v>1152</v>
      </c>
      <c r="AI1554" s="1" t="s">
        <v>7947</v>
      </c>
      <c r="AJ1554" s="1"/>
      <c r="AK1554" s="1" t="s">
        <v>7948</v>
      </c>
      <c r="AL1554" s="6" t="str">
        <f t="array" ref="AL1554">IFERROR(IFS(XLOOKUP(B1554, 'Kit Delivery Status'!$U:$U, 'Kit Delivery Status'!$K:$K) = "Complete", "DELIVERED", XLOOKUP(B1554, 'Kit Delivery Status'!$U:$U, 'Kit Delivery Status'!$K:$K) = "Issue", "ISSUE"), "")</f>
        <v/>
      </c>
      <c r="AM1554" s="6"/>
    </row>
    <row r="1555">
      <c r="A1555" s="5" t="s">
        <v>7949</v>
      </c>
      <c r="B1555" s="1" t="s">
        <v>7950</v>
      </c>
      <c r="C1555" s="1" t="s">
        <v>7951</v>
      </c>
      <c r="D1555" s="2">
        <v>9.175334035E9</v>
      </c>
      <c r="E1555" s="1" t="s">
        <v>3476</v>
      </c>
      <c r="F1555" s="1"/>
      <c r="G1555" s="1" t="s">
        <v>1131</v>
      </c>
      <c r="H1555" s="1" t="s">
        <v>751</v>
      </c>
      <c r="I1555" s="1">
        <v>10538.0</v>
      </c>
      <c r="J1555" s="1" t="s">
        <v>752</v>
      </c>
      <c r="K1555" s="1" t="s">
        <v>5314</v>
      </c>
      <c r="L1555" s="1" t="s">
        <v>6819</v>
      </c>
      <c r="M1555" s="1">
        <v>49.0</v>
      </c>
      <c r="N1555" s="1" t="s">
        <v>1152</v>
      </c>
      <c r="O1555" s="3" t="s">
        <v>3477</v>
      </c>
      <c r="P1555" s="1" t="s">
        <v>1152</v>
      </c>
      <c r="Q1555" s="1" t="s">
        <v>1152</v>
      </c>
      <c r="R1555" s="1"/>
      <c r="S1555" s="1"/>
      <c r="T1555" s="1" t="s">
        <v>1152</v>
      </c>
      <c r="U1555" s="1" t="s">
        <v>1812</v>
      </c>
      <c r="V1555" s="4" t="s">
        <v>3477</v>
      </c>
      <c r="W1555" s="1"/>
      <c r="X1555" s="1" t="s">
        <v>1152</v>
      </c>
      <c r="Y1555" s="1" t="s">
        <v>1152</v>
      </c>
      <c r="Z1555" s="1"/>
      <c r="AA1555" s="1"/>
      <c r="AB1555" s="1"/>
      <c r="AC1555" s="1" t="s">
        <v>1925</v>
      </c>
      <c r="AD1555" s="1"/>
      <c r="AE1555" s="18">
        <v>45911.0</v>
      </c>
      <c r="AF1555" s="1" t="s">
        <v>1455</v>
      </c>
      <c r="AG1555" s="1" t="s">
        <v>52</v>
      </c>
      <c r="AH1555" s="1" t="s">
        <v>1152</v>
      </c>
      <c r="AI1555" s="1"/>
      <c r="AJ1555" s="1" t="s">
        <v>7952</v>
      </c>
      <c r="AK1555" s="1" t="s">
        <v>1152</v>
      </c>
      <c r="AL1555" s="6" t="str">
        <f t="array" ref="AL1555">IFERROR(IFS(XLOOKUP(B1555, 'Kit Delivery Status'!$U:$U, 'Kit Delivery Status'!$K:$K) = "Complete", "DELIVERED", XLOOKUP(B1555, 'Kit Delivery Status'!$U:$U, 'Kit Delivery Status'!$K:$K) = "Issue", "ISSUE"), "")</f>
        <v/>
      </c>
      <c r="AM1555" s="6"/>
    </row>
    <row r="1556">
      <c r="A1556" s="5" t="s">
        <v>7953</v>
      </c>
      <c r="B1556" s="1" t="s">
        <v>7954</v>
      </c>
      <c r="C1556" s="1" t="s">
        <v>2268</v>
      </c>
      <c r="D1556" s="2">
        <v>6.186411334E9</v>
      </c>
      <c r="E1556" s="1" t="s">
        <v>3980</v>
      </c>
      <c r="F1556" s="1"/>
      <c r="G1556" s="1" t="s">
        <v>1283</v>
      </c>
      <c r="H1556" s="1" t="s">
        <v>1155</v>
      </c>
      <c r="I1556" s="1">
        <v>63143.0</v>
      </c>
      <c r="J1556" s="1" t="s">
        <v>752</v>
      </c>
      <c r="K1556" s="1" t="s">
        <v>2577</v>
      </c>
      <c r="L1556" s="1" t="s">
        <v>5882</v>
      </c>
      <c r="M1556" s="1">
        <v>1.0</v>
      </c>
      <c r="N1556" s="1" t="s">
        <v>2579</v>
      </c>
      <c r="O1556" s="3" t="s">
        <v>258</v>
      </c>
      <c r="P1556" s="18">
        <v>45896.0</v>
      </c>
      <c r="Q1556" s="1" t="s">
        <v>7955</v>
      </c>
      <c r="R1556" s="1"/>
      <c r="S1556" s="1"/>
      <c r="T1556" s="1" t="s">
        <v>2579</v>
      </c>
      <c r="U1556" s="1" t="s">
        <v>4637</v>
      </c>
      <c r="V1556" s="4" t="s">
        <v>258</v>
      </c>
      <c r="W1556" s="1"/>
      <c r="X1556" s="18">
        <v>45896.0</v>
      </c>
      <c r="Y1556" s="1" t="s">
        <v>7955</v>
      </c>
      <c r="Z1556" s="1"/>
      <c r="AA1556" s="1"/>
      <c r="AB1556" s="1"/>
      <c r="AC1556" s="1" t="s">
        <v>1925</v>
      </c>
      <c r="AD1556" s="1"/>
      <c r="AE1556" s="1" t="s">
        <v>1152</v>
      </c>
      <c r="AF1556" s="1"/>
      <c r="AG1556" s="1"/>
      <c r="AH1556" s="1" t="s">
        <v>1152</v>
      </c>
      <c r="AI1556" s="1" t="s">
        <v>7956</v>
      </c>
      <c r="AJ1556" s="1"/>
      <c r="AK1556" s="1" t="s">
        <v>5886</v>
      </c>
      <c r="AL1556" s="6" t="str">
        <f t="array" ref="AL1556">IFERROR(IFS(XLOOKUP(B1556, 'Kit Delivery Status'!$U:$U, 'Kit Delivery Status'!$K:$K) = "Complete", "DELIVERED", XLOOKUP(B1556, 'Kit Delivery Status'!$U:$U, 'Kit Delivery Status'!$K:$K) = "Issue", "ISSUE"), "")</f>
        <v/>
      </c>
      <c r="AM1556" s="6"/>
    </row>
    <row r="1557">
      <c r="A1557" s="5" t="s">
        <v>7957</v>
      </c>
      <c r="B1557" s="1" t="s">
        <v>7958</v>
      </c>
      <c r="C1557" s="1" t="s">
        <v>2268</v>
      </c>
      <c r="D1557" s="2">
        <v>6.186411334E9</v>
      </c>
      <c r="E1557" s="1" t="s">
        <v>3980</v>
      </c>
      <c r="F1557" s="1"/>
      <c r="G1557" s="1" t="s">
        <v>1283</v>
      </c>
      <c r="H1557" s="1" t="s">
        <v>1155</v>
      </c>
      <c r="I1557" s="1">
        <v>63143.0</v>
      </c>
      <c r="J1557" s="1" t="s">
        <v>752</v>
      </c>
      <c r="K1557" s="1" t="s">
        <v>2577</v>
      </c>
      <c r="L1557" s="1" t="s">
        <v>7959</v>
      </c>
      <c r="M1557" s="1">
        <v>1.0</v>
      </c>
      <c r="N1557" s="1" t="s">
        <v>2579</v>
      </c>
      <c r="O1557" s="3" t="s">
        <v>964</v>
      </c>
      <c r="P1557" s="18">
        <v>45917.0</v>
      </c>
      <c r="Q1557" s="1" t="s">
        <v>7960</v>
      </c>
      <c r="R1557" s="1"/>
      <c r="S1557" s="1"/>
      <c r="T1557" s="1" t="s">
        <v>2579</v>
      </c>
      <c r="U1557" s="1" t="s">
        <v>1537</v>
      </c>
      <c r="V1557" s="4" t="s">
        <v>964</v>
      </c>
      <c r="W1557" s="1"/>
      <c r="X1557" s="18">
        <v>45917.0</v>
      </c>
      <c r="Y1557" s="1" t="s">
        <v>7960</v>
      </c>
      <c r="Z1557" s="1"/>
      <c r="AA1557" s="1"/>
      <c r="AB1557" s="1"/>
      <c r="AC1557" s="1" t="s">
        <v>1925</v>
      </c>
      <c r="AD1557" s="1"/>
      <c r="AE1557" s="1" t="s">
        <v>1152</v>
      </c>
      <c r="AF1557" s="1"/>
      <c r="AG1557" s="1"/>
      <c r="AH1557" s="1" t="s">
        <v>1152</v>
      </c>
      <c r="AI1557" s="1" t="s">
        <v>7961</v>
      </c>
      <c r="AJ1557" s="1"/>
      <c r="AK1557" s="1" t="s">
        <v>5886</v>
      </c>
      <c r="AL1557" s="6" t="str">
        <f t="array" ref="AL1557">IFERROR(IFS(XLOOKUP(B1557, 'Kit Delivery Status'!$U:$U, 'Kit Delivery Status'!$K:$K) = "Complete", "DELIVERED", XLOOKUP(B1557, 'Kit Delivery Status'!$U:$U, 'Kit Delivery Status'!$K:$K) = "Issue", "ISSUE"), "")</f>
        <v/>
      </c>
      <c r="AM1557" s="6"/>
    </row>
    <row r="1558">
      <c r="A1558" s="5" t="s">
        <v>7962</v>
      </c>
      <c r="B1558" s="1" t="s">
        <v>7963</v>
      </c>
      <c r="C1558" s="1" t="s">
        <v>7964</v>
      </c>
      <c r="D1558" s="2">
        <v>9.177330027E9</v>
      </c>
      <c r="E1558" s="1" t="s">
        <v>7965</v>
      </c>
      <c r="F1558" s="1"/>
      <c r="G1558" s="1" t="s">
        <v>751</v>
      </c>
      <c r="H1558" s="1" t="s">
        <v>751</v>
      </c>
      <c r="I1558" s="1">
        <v>10024.0</v>
      </c>
      <c r="J1558" s="1" t="s">
        <v>752</v>
      </c>
      <c r="K1558" s="1" t="s">
        <v>66</v>
      </c>
      <c r="L1558" s="1" t="s">
        <v>5833</v>
      </c>
      <c r="M1558" s="1">
        <v>65.0</v>
      </c>
      <c r="N1558" s="1" t="s">
        <v>1152</v>
      </c>
      <c r="O1558" s="3" t="s">
        <v>591</v>
      </c>
      <c r="P1558" s="18">
        <v>45920.0</v>
      </c>
      <c r="Q1558" s="1" t="s">
        <v>1152</v>
      </c>
      <c r="R1558" s="1"/>
      <c r="S1558" s="1"/>
      <c r="T1558" s="1" t="s">
        <v>1152</v>
      </c>
      <c r="U1558" s="1" t="s">
        <v>1277</v>
      </c>
      <c r="V1558" s="4" t="s">
        <v>591</v>
      </c>
      <c r="W1558" s="1"/>
      <c r="X1558" s="18">
        <v>45920.0</v>
      </c>
      <c r="Y1558" s="1" t="s">
        <v>1152</v>
      </c>
      <c r="Z1558" s="1"/>
      <c r="AA1558" s="1"/>
      <c r="AB1558" s="1"/>
      <c r="AC1558" s="1" t="s">
        <v>1925</v>
      </c>
      <c r="AD1558" s="1"/>
      <c r="AE1558" s="1" t="s">
        <v>1152</v>
      </c>
      <c r="AF1558" s="1"/>
      <c r="AG1558" s="1"/>
      <c r="AH1558" s="1" t="s">
        <v>1152</v>
      </c>
      <c r="AI1558" s="1"/>
      <c r="AJ1558" s="1" t="s">
        <v>7965</v>
      </c>
      <c r="AK1558" s="1" t="s">
        <v>1152</v>
      </c>
      <c r="AL1558" s="6" t="str">
        <f t="array" ref="AL1558">IFERROR(IFS(XLOOKUP(B1558, 'Kit Delivery Status'!$U:$U, 'Kit Delivery Status'!$K:$K) = "Complete", "DELIVERED", XLOOKUP(B1558, 'Kit Delivery Status'!$U:$U, 'Kit Delivery Status'!$K:$K) = "Issue", "ISSUE"), "")</f>
        <v/>
      </c>
      <c r="AM1558" s="6"/>
    </row>
    <row r="1559">
      <c r="A1559" s="5" t="s">
        <v>7966</v>
      </c>
      <c r="B1559" s="1" t="s">
        <v>7967</v>
      </c>
      <c r="C1559" s="1"/>
      <c r="D1559" s="2">
        <v>16179706590</v>
      </c>
      <c r="E1559" s="1" t="s">
        <v>7968</v>
      </c>
      <c r="F1559" s="1"/>
      <c r="G1559" s="1" t="s">
        <v>7969</v>
      </c>
      <c r="H1559" s="1" t="s">
        <v>1121</v>
      </c>
      <c r="I1559" s="1">
        <v>2493.0</v>
      </c>
      <c r="J1559" s="1" t="s">
        <v>752</v>
      </c>
      <c r="K1559" s="1" t="s">
        <v>66</v>
      </c>
      <c r="L1559" s="1" t="s">
        <v>5811</v>
      </c>
      <c r="M1559" s="1">
        <v>145.0</v>
      </c>
      <c r="N1559" s="1" t="s">
        <v>1152</v>
      </c>
      <c r="O1559" s="3" t="s">
        <v>7970</v>
      </c>
      <c r="P1559" s="18">
        <v>45930.0</v>
      </c>
      <c r="Q1559" s="1" t="s">
        <v>1152</v>
      </c>
      <c r="R1559" s="1"/>
      <c r="S1559" s="1"/>
      <c r="T1559" s="1" t="s">
        <v>1152</v>
      </c>
      <c r="U1559" s="1" t="s">
        <v>1407</v>
      </c>
      <c r="V1559" s="4" t="s">
        <v>7970</v>
      </c>
      <c r="W1559" s="1"/>
      <c r="X1559" s="18">
        <v>45930.0</v>
      </c>
      <c r="Y1559" s="1" t="s">
        <v>1152</v>
      </c>
      <c r="Z1559" s="1"/>
      <c r="AA1559" s="1"/>
      <c r="AB1559" s="1"/>
      <c r="AC1559" s="1" t="s">
        <v>1925</v>
      </c>
      <c r="AD1559" s="1"/>
      <c r="AE1559" s="1" t="s">
        <v>1152</v>
      </c>
      <c r="AF1559" s="1"/>
      <c r="AG1559" s="1"/>
      <c r="AH1559" s="1" t="s">
        <v>1152</v>
      </c>
      <c r="AI1559" s="1"/>
      <c r="AJ1559" s="1" t="s">
        <v>7971</v>
      </c>
      <c r="AK1559" s="1" t="s">
        <v>1152</v>
      </c>
      <c r="AL1559" s="6" t="str">
        <f t="array" ref="AL1559">IFERROR(IFS(XLOOKUP(B1559, 'Kit Delivery Status'!$U:$U, 'Kit Delivery Status'!$K:$K) = "Complete", "DELIVERED", XLOOKUP(B1559, 'Kit Delivery Status'!$U:$U, 'Kit Delivery Status'!$K:$K) = "Issue", "ISSUE"), "")</f>
        <v/>
      </c>
      <c r="AM1559" s="6"/>
    </row>
    <row r="1560">
      <c r="A1560" s="5" t="s">
        <v>7972</v>
      </c>
      <c r="B1560" s="1" t="s">
        <v>7973</v>
      </c>
      <c r="C1560" s="1" t="s">
        <v>7974</v>
      </c>
      <c r="D1560" s="2">
        <v>821047021643</v>
      </c>
      <c r="E1560" s="1" t="s">
        <v>7975</v>
      </c>
      <c r="F1560" s="1"/>
      <c r="G1560" s="1" t="s">
        <v>1964</v>
      </c>
      <c r="H1560" s="1" t="s">
        <v>1964</v>
      </c>
      <c r="I1560" s="1">
        <v>8862.0</v>
      </c>
      <c r="J1560" s="1" t="s">
        <v>1965</v>
      </c>
      <c r="K1560" s="1" t="s">
        <v>66</v>
      </c>
      <c r="L1560" s="1" t="s">
        <v>5767</v>
      </c>
      <c r="M1560" s="1">
        <v>210.0</v>
      </c>
      <c r="N1560" s="1" t="s">
        <v>1152</v>
      </c>
      <c r="O1560" s="3" t="s">
        <v>3154</v>
      </c>
      <c r="P1560" s="18">
        <v>45932.0</v>
      </c>
      <c r="Q1560" s="1" t="s">
        <v>1152</v>
      </c>
      <c r="R1560" s="1"/>
      <c r="S1560" s="1"/>
      <c r="T1560" s="1" t="s">
        <v>1152</v>
      </c>
      <c r="U1560" s="1" t="s">
        <v>982</v>
      </c>
      <c r="V1560" s="4" t="s">
        <v>3154</v>
      </c>
      <c r="W1560" s="1"/>
      <c r="X1560" s="18">
        <v>45932.0</v>
      </c>
      <c r="Y1560" s="1" t="s">
        <v>1152</v>
      </c>
      <c r="Z1560" s="1"/>
      <c r="AA1560" s="1"/>
      <c r="AB1560" s="1"/>
      <c r="AC1560" s="1" t="s">
        <v>1925</v>
      </c>
      <c r="AD1560" s="1"/>
      <c r="AE1560" s="1" t="s">
        <v>1152</v>
      </c>
      <c r="AF1560" s="1"/>
      <c r="AG1560" s="1"/>
      <c r="AH1560" s="1" t="s">
        <v>1152</v>
      </c>
      <c r="AI1560" s="1"/>
      <c r="AJ1560" s="1" t="s">
        <v>7976</v>
      </c>
      <c r="AK1560" s="1" t="s">
        <v>1152</v>
      </c>
      <c r="AL1560" s="6" t="str">
        <f t="array" ref="AL1560">IFERROR(IFS(XLOOKUP(B1560, 'Kit Delivery Status'!$U:$U, 'Kit Delivery Status'!$K:$K) = "Complete", "DELIVERED", XLOOKUP(B1560, 'Kit Delivery Status'!$U:$U, 'Kit Delivery Status'!$K:$K) = "Issue", "ISSUE"), "")</f>
        <v/>
      </c>
      <c r="AM1560" s="6"/>
    </row>
    <row r="1561">
      <c r="A1561" s="5" t="s">
        <v>7977</v>
      </c>
      <c r="B1561" s="1" t="s">
        <v>7978</v>
      </c>
      <c r="C1561" s="1" t="s">
        <v>7979</v>
      </c>
      <c r="D1561" s="2">
        <v>19177165165</v>
      </c>
      <c r="E1561" s="1" t="s">
        <v>7980</v>
      </c>
      <c r="F1561" s="1"/>
      <c r="G1561" s="1" t="s">
        <v>1480</v>
      </c>
      <c r="H1561" s="1" t="s">
        <v>751</v>
      </c>
      <c r="I1561" s="1">
        <v>11557.0</v>
      </c>
      <c r="J1561" s="1" t="s">
        <v>752</v>
      </c>
      <c r="K1561" s="1" t="s">
        <v>7981</v>
      </c>
      <c r="L1561" s="1" t="s">
        <v>7863</v>
      </c>
      <c r="M1561" s="1">
        <v>79.0</v>
      </c>
      <c r="N1561" s="1" t="s">
        <v>1152</v>
      </c>
      <c r="O1561" s="3" t="s">
        <v>1827</v>
      </c>
      <c r="P1561" s="1" t="s">
        <v>1152</v>
      </c>
      <c r="Q1561" s="1" t="s">
        <v>1152</v>
      </c>
      <c r="R1561" s="1"/>
      <c r="S1561" s="1"/>
      <c r="T1561" s="1" t="s">
        <v>1152</v>
      </c>
      <c r="U1561" s="1" t="s">
        <v>1828</v>
      </c>
      <c r="V1561" s="4" t="s">
        <v>1827</v>
      </c>
      <c r="W1561" s="1"/>
      <c r="X1561" s="1" t="s">
        <v>1152</v>
      </c>
      <c r="Y1561" s="1" t="s">
        <v>1152</v>
      </c>
      <c r="Z1561" s="1"/>
      <c r="AA1561" s="1"/>
      <c r="AB1561" s="1"/>
      <c r="AC1561" s="1" t="s">
        <v>1925</v>
      </c>
      <c r="AD1561" s="1"/>
      <c r="AE1561" s="36">
        <v>46008.0</v>
      </c>
      <c r="AF1561" s="1" t="s">
        <v>1030</v>
      </c>
      <c r="AG1561" s="1" t="s">
        <v>52</v>
      </c>
      <c r="AH1561" s="1" t="s">
        <v>1152</v>
      </c>
      <c r="AI1561" s="1"/>
      <c r="AJ1561" s="1" t="s">
        <v>7982</v>
      </c>
      <c r="AK1561" s="1" t="s">
        <v>1152</v>
      </c>
      <c r="AL1561" s="6" t="str">
        <f t="array" ref="AL1561">IFERROR(IFS(XLOOKUP(B1561, 'Kit Delivery Status'!$U:$U, 'Kit Delivery Status'!$K:$K) = "Complete", "DELIVERED", XLOOKUP(B1561, 'Kit Delivery Status'!$U:$U, 'Kit Delivery Status'!$K:$K) = "Issue", "ISSUE"), "")</f>
        <v/>
      </c>
      <c r="AM1561" s="6"/>
    </row>
    <row r="1562">
      <c r="A1562" s="5" t="s">
        <v>7983</v>
      </c>
      <c r="B1562" s="1" t="s">
        <v>7984</v>
      </c>
      <c r="C1562" s="1" t="s">
        <v>7985</v>
      </c>
      <c r="D1562" s="2">
        <v>821088286268</v>
      </c>
      <c r="E1562" s="1" t="s">
        <v>7986</v>
      </c>
      <c r="F1562" s="1"/>
      <c r="G1562" s="1" t="s">
        <v>7987</v>
      </c>
      <c r="H1562" s="1" t="s">
        <v>7988</v>
      </c>
      <c r="I1562" s="1">
        <v>13530.0</v>
      </c>
      <c r="J1562" s="1" t="s">
        <v>1965</v>
      </c>
      <c r="K1562" s="1" t="s">
        <v>7981</v>
      </c>
      <c r="L1562" s="1" t="s">
        <v>6819</v>
      </c>
      <c r="M1562" s="1">
        <v>49.0</v>
      </c>
      <c r="N1562" s="1" t="s">
        <v>1152</v>
      </c>
      <c r="O1562" s="3" t="s">
        <v>1432</v>
      </c>
      <c r="P1562" s="1" t="s">
        <v>1152</v>
      </c>
      <c r="Q1562" s="1" t="s">
        <v>1152</v>
      </c>
      <c r="R1562" s="1"/>
      <c r="S1562" s="1"/>
      <c r="T1562" s="1" t="s">
        <v>1152</v>
      </c>
      <c r="U1562" s="1" t="s">
        <v>1749</v>
      </c>
      <c r="V1562" s="4" t="s">
        <v>1432</v>
      </c>
      <c r="W1562" s="1"/>
      <c r="X1562" s="1" t="s">
        <v>1152</v>
      </c>
      <c r="Y1562" s="1" t="s">
        <v>1152</v>
      </c>
      <c r="Z1562" s="1"/>
      <c r="AA1562" s="1"/>
      <c r="AB1562" s="1"/>
      <c r="AC1562" s="1" t="s">
        <v>1925</v>
      </c>
      <c r="AD1562" s="1"/>
      <c r="AE1562" s="18">
        <v>45936.0</v>
      </c>
      <c r="AF1562" s="1" t="s">
        <v>1030</v>
      </c>
      <c r="AG1562" s="1" t="s">
        <v>52</v>
      </c>
      <c r="AH1562" s="1" t="s">
        <v>1152</v>
      </c>
      <c r="AI1562" s="1"/>
      <c r="AJ1562" s="1" t="s">
        <v>7986</v>
      </c>
      <c r="AK1562" s="1" t="s">
        <v>1152</v>
      </c>
      <c r="AL1562" s="6" t="str">
        <f t="array" ref="AL1562">IFERROR(IFS(XLOOKUP(B1562, 'Kit Delivery Status'!$U:$U, 'Kit Delivery Status'!$K:$K) = "Complete", "DELIVERED", XLOOKUP(B1562, 'Kit Delivery Status'!$U:$U, 'Kit Delivery Status'!$K:$K) = "Issue", "ISSUE"), "")</f>
        <v/>
      </c>
      <c r="AM1562" s="6"/>
    </row>
    <row r="1563">
      <c r="A1563" s="5" t="s">
        <v>7989</v>
      </c>
      <c r="B1563" s="1" t="s">
        <v>7990</v>
      </c>
      <c r="C1563" s="1"/>
      <c r="D1563" s="2">
        <v>18589995331</v>
      </c>
      <c r="E1563" s="1" t="s">
        <v>2135</v>
      </c>
      <c r="F1563" s="1"/>
      <c r="G1563" s="1" t="s">
        <v>2136</v>
      </c>
      <c r="H1563" s="1" t="s">
        <v>1155</v>
      </c>
      <c r="I1563" s="1">
        <v>63117.0</v>
      </c>
      <c r="J1563" s="1" t="s">
        <v>752</v>
      </c>
      <c r="K1563" s="1" t="s">
        <v>2131</v>
      </c>
      <c r="L1563" s="1" t="s">
        <v>5767</v>
      </c>
      <c r="M1563" s="1">
        <v>1.0</v>
      </c>
      <c r="N1563" s="1" t="s">
        <v>1152</v>
      </c>
      <c r="O1563" s="3" t="s">
        <v>7991</v>
      </c>
      <c r="P1563" s="1" t="s">
        <v>1152</v>
      </c>
      <c r="Q1563" s="1" t="s">
        <v>1152</v>
      </c>
      <c r="R1563" s="1"/>
      <c r="S1563" s="1"/>
      <c r="T1563" s="1" t="s">
        <v>1152</v>
      </c>
      <c r="U1563" s="1" t="s">
        <v>1343</v>
      </c>
      <c r="V1563" s="4" t="s">
        <v>7991</v>
      </c>
      <c r="W1563" s="1"/>
      <c r="X1563" s="1" t="s">
        <v>1152</v>
      </c>
      <c r="Y1563" s="1" t="s">
        <v>1152</v>
      </c>
      <c r="Z1563" s="1"/>
      <c r="AA1563" s="1"/>
      <c r="AB1563" s="1"/>
      <c r="AC1563" s="1" t="s">
        <v>1925</v>
      </c>
      <c r="AD1563" s="1"/>
      <c r="AE1563" s="36">
        <v>45940.0</v>
      </c>
      <c r="AF1563" s="1"/>
      <c r="AG1563" s="1"/>
      <c r="AH1563" s="1" t="s">
        <v>1152</v>
      </c>
      <c r="AI1563" s="1"/>
      <c r="AJ1563" s="1" t="s">
        <v>7992</v>
      </c>
      <c r="AK1563" s="1" t="s">
        <v>1152</v>
      </c>
      <c r="AL1563" s="6" t="str">
        <f t="array" ref="AL1563">IFERROR(IFS(XLOOKUP(B1563, 'Kit Delivery Status'!$U:$U, 'Kit Delivery Status'!$K:$K) = "Complete", "DELIVERED", XLOOKUP(B1563, 'Kit Delivery Status'!$U:$U, 'Kit Delivery Status'!$K:$K) = "Issue", "ISSUE"), "")</f>
        <v/>
      </c>
      <c r="AM1563" s="6"/>
    </row>
    <row r="1564">
      <c r="A1564" s="5" t="s">
        <v>7993</v>
      </c>
      <c r="B1564" s="1" t="s">
        <v>7994</v>
      </c>
      <c r="C1564" s="1"/>
      <c r="D1564" s="2">
        <v>16195973626</v>
      </c>
      <c r="E1564" s="1" t="s">
        <v>7995</v>
      </c>
      <c r="F1564" s="1" t="s">
        <v>7996</v>
      </c>
      <c r="G1564" s="1" t="s">
        <v>1283</v>
      </c>
      <c r="H1564" s="1" t="s">
        <v>1155</v>
      </c>
      <c r="I1564" s="1">
        <v>63110.0</v>
      </c>
      <c r="J1564" s="1" t="s">
        <v>752</v>
      </c>
      <c r="K1564" s="1" t="s">
        <v>51</v>
      </c>
      <c r="L1564" s="1" t="s">
        <v>5722</v>
      </c>
      <c r="M1564" s="1">
        <v>1.0</v>
      </c>
      <c r="N1564" s="1" t="s">
        <v>2487</v>
      </c>
      <c r="O1564" s="3"/>
      <c r="P1564" s="36">
        <v>45947.0</v>
      </c>
      <c r="Q1564" s="1" t="s">
        <v>2502</v>
      </c>
      <c r="R1564" s="1" t="s">
        <v>7996</v>
      </c>
      <c r="S1564" s="1" t="s">
        <v>124</v>
      </c>
      <c r="T1564" s="1" t="s">
        <v>2487</v>
      </c>
      <c r="U1564" s="1"/>
      <c r="V1564" s="4"/>
      <c r="W1564" s="1" t="s">
        <v>7996</v>
      </c>
      <c r="X1564" s="36">
        <v>45947.0</v>
      </c>
      <c r="Y1564" s="1" t="s">
        <v>2502</v>
      </c>
      <c r="Z1564" s="1"/>
      <c r="AA1564" s="1" t="s">
        <v>7996</v>
      </c>
      <c r="AB1564" s="1" t="s">
        <v>124</v>
      </c>
      <c r="AC1564" s="1" t="s">
        <v>1925</v>
      </c>
      <c r="AD1564" s="1"/>
      <c r="AE1564" s="1" t="s">
        <v>1152</v>
      </c>
      <c r="AF1564" s="1"/>
      <c r="AG1564" s="1"/>
      <c r="AH1564" s="1" t="s">
        <v>1152</v>
      </c>
      <c r="AI1564" s="1"/>
      <c r="AJ1564" s="1" t="s">
        <v>7995</v>
      </c>
      <c r="AK1564" s="1" t="s">
        <v>1152</v>
      </c>
      <c r="AL1564" s="6" t="str">
        <f t="array" ref="AL1564">IFERROR(IFS(XLOOKUP(B1564, 'Kit Delivery Status'!$U:$U, 'Kit Delivery Status'!$K:$K) = "Complete", "DELIVERED", XLOOKUP(B1564, 'Kit Delivery Status'!$U:$U, 'Kit Delivery Status'!$K:$K) = "Issue", "ISSUE"), "")</f>
        <v/>
      </c>
      <c r="AM1564" s="6"/>
    </row>
    <row r="1565">
      <c r="A1565" s="5" t="s">
        <v>7997</v>
      </c>
      <c r="B1565" s="1" t="s">
        <v>7998</v>
      </c>
      <c r="C1565" s="1" t="s">
        <v>7999</v>
      </c>
      <c r="D1565" s="2">
        <v>9.177100102E9</v>
      </c>
      <c r="E1565" s="1" t="s">
        <v>8000</v>
      </c>
      <c r="F1565" s="1"/>
      <c r="G1565" s="1" t="s">
        <v>751</v>
      </c>
      <c r="H1565" s="1" t="s">
        <v>751</v>
      </c>
      <c r="I1565" s="1">
        <v>10014.0</v>
      </c>
      <c r="J1565" s="1" t="s">
        <v>752</v>
      </c>
      <c r="K1565" s="1" t="s">
        <v>66</v>
      </c>
      <c r="L1565" s="1" t="s">
        <v>5767</v>
      </c>
      <c r="M1565" s="1">
        <v>210.0</v>
      </c>
      <c r="N1565" s="1" t="s">
        <v>1152</v>
      </c>
      <c r="O1565" s="3" t="s">
        <v>8001</v>
      </c>
      <c r="P1565" s="18">
        <v>45964.0</v>
      </c>
      <c r="Q1565" s="1" t="s">
        <v>1152</v>
      </c>
      <c r="R1565" s="1"/>
      <c r="S1565" s="1"/>
      <c r="T1565" s="1" t="s">
        <v>1152</v>
      </c>
      <c r="U1565" s="1" t="s">
        <v>1324</v>
      </c>
      <c r="V1565" s="4" t="s">
        <v>8001</v>
      </c>
      <c r="W1565" s="1"/>
      <c r="X1565" s="18">
        <v>45964.0</v>
      </c>
      <c r="Y1565" s="1" t="s">
        <v>1152</v>
      </c>
      <c r="Z1565" s="1"/>
      <c r="AA1565" s="1"/>
      <c r="AB1565" s="1"/>
      <c r="AC1565" s="1" t="s">
        <v>1925</v>
      </c>
      <c r="AD1565" s="1"/>
      <c r="AE1565" s="1" t="s">
        <v>1152</v>
      </c>
      <c r="AF1565" s="1"/>
      <c r="AG1565" s="1"/>
      <c r="AH1565" s="1" t="s">
        <v>1152</v>
      </c>
      <c r="AI1565" s="1"/>
      <c r="AJ1565" s="1" t="s">
        <v>8002</v>
      </c>
      <c r="AK1565" s="1" t="s">
        <v>1152</v>
      </c>
      <c r="AL1565" s="6" t="str">
        <f t="array" ref="AL1565">IFERROR(IFS(XLOOKUP(B1565, 'Kit Delivery Status'!$U:$U, 'Kit Delivery Status'!$K:$K) = "Complete", "DELIVERED", XLOOKUP(B1565, 'Kit Delivery Status'!$U:$U, 'Kit Delivery Status'!$K:$K) = "Issue", "ISSUE"), "")</f>
        <v/>
      </c>
      <c r="AM1565" s="6"/>
    </row>
    <row r="1566">
      <c r="A1566" s="5" t="s">
        <v>8003</v>
      </c>
      <c r="B1566" s="1" t="s">
        <v>8004</v>
      </c>
      <c r="C1566" s="1" t="s">
        <v>91</v>
      </c>
      <c r="D1566" s="2">
        <v>2.014007616E9</v>
      </c>
      <c r="E1566" s="1" t="s">
        <v>93</v>
      </c>
      <c r="F1566" s="1" t="s">
        <v>8005</v>
      </c>
      <c r="G1566" s="1" t="s">
        <v>1810</v>
      </c>
      <c r="H1566" s="1" t="s">
        <v>1053</v>
      </c>
      <c r="I1566" s="1">
        <v>7079.0</v>
      </c>
      <c r="J1566" s="1" t="s">
        <v>752</v>
      </c>
      <c r="K1566" s="1" t="s">
        <v>892</v>
      </c>
      <c r="L1566" s="1" t="s">
        <v>8006</v>
      </c>
      <c r="M1566" s="1">
        <v>49.0</v>
      </c>
      <c r="N1566" s="1" t="s">
        <v>1152</v>
      </c>
      <c r="O1566" s="3"/>
      <c r="P1566" s="1" t="s">
        <v>1152</v>
      </c>
      <c r="Q1566" s="1" t="s">
        <v>1152</v>
      </c>
      <c r="R1566" s="1" t="s">
        <v>8005</v>
      </c>
      <c r="S1566" s="1"/>
      <c r="T1566" s="1" t="s">
        <v>1152</v>
      </c>
      <c r="U1566" s="1"/>
      <c r="V1566" s="4"/>
      <c r="W1566" s="1" t="s">
        <v>8005</v>
      </c>
      <c r="X1566" s="1" t="s">
        <v>1152</v>
      </c>
      <c r="Y1566" s="1" t="s">
        <v>1152</v>
      </c>
      <c r="Z1566" s="1"/>
      <c r="AA1566" s="1" t="s">
        <v>8005</v>
      </c>
      <c r="AB1566" s="1"/>
      <c r="AC1566" s="1" t="s">
        <v>1925</v>
      </c>
      <c r="AD1566" s="1"/>
      <c r="AE1566" s="36">
        <v>46002.0</v>
      </c>
      <c r="AF1566" s="1" t="s">
        <v>1455</v>
      </c>
      <c r="AG1566" s="1" t="s">
        <v>124</v>
      </c>
      <c r="AH1566" s="1" t="s">
        <v>8007</v>
      </c>
      <c r="AI1566" s="1"/>
      <c r="AJ1566" s="1" t="s">
        <v>93</v>
      </c>
      <c r="AK1566" s="1" t="s">
        <v>1152</v>
      </c>
      <c r="AL1566" s="6" t="str">
        <f t="array" ref="AL1566">IFERROR(IFS(XLOOKUP(B1566, 'Kit Delivery Status'!$U:$U, 'Kit Delivery Status'!$K:$K) = "Complete", "DELIVERED", XLOOKUP(B1566, 'Kit Delivery Status'!$U:$U, 'Kit Delivery Status'!$K:$K) = "Issue", "ISSUE"), "")</f>
        <v/>
      </c>
      <c r="AM1566" s="6"/>
    </row>
    <row r="1567">
      <c r="A1567" s="5" t="s">
        <v>8008</v>
      </c>
      <c r="B1567" s="1" t="s">
        <v>8009</v>
      </c>
      <c r="C1567" s="1" t="s">
        <v>272</v>
      </c>
      <c r="D1567" s="2" t="s">
        <v>273</v>
      </c>
      <c r="E1567" s="1" t="s">
        <v>274</v>
      </c>
      <c r="F1567" s="1"/>
      <c r="G1567" s="1" t="s">
        <v>8010</v>
      </c>
      <c r="H1567" s="1" t="s">
        <v>1053</v>
      </c>
      <c r="I1567" s="1">
        <v>7069.0</v>
      </c>
      <c r="J1567" s="1" t="s">
        <v>752</v>
      </c>
      <c r="K1567" s="1" t="s">
        <v>892</v>
      </c>
      <c r="L1567" s="1" t="s">
        <v>8006</v>
      </c>
      <c r="M1567" s="1">
        <v>49.0</v>
      </c>
      <c r="N1567" s="1" t="s">
        <v>1152</v>
      </c>
      <c r="O1567" s="3" t="s">
        <v>277</v>
      </c>
      <c r="P1567" s="1" t="s">
        <v>1152</v>
      </c>
      <c r="Q1567" s="1" t="s">
        <v>1152</v>
      </c>
      <c r="R1567" s="1"/>
      <c r="S1567" s="1"/>
      <c r="T1567" s="1" t="s">
        <v>1152</v>
      </c>
      <c r="U1567" s="1" t="s">
        <v>6158</v>
      </c>
      <c r="V1567" s="4" t="s">
        <v>277</v>
      </c>
      <c r="W1567" s="1"/>
      <c r="X1567" s="1" t="s">
        <v>1152</v>
      </c>
      <c r="Y1567" s="1" t="s">
        <v>1152</v>
      </c>
      <c r="Z1567" s="1"/>
      <c r="AA1567" s="1"/>
      <c r="AB1567" s="1"/>
      <c r="AC1567" s="1" t="s">
        <v>1925</v>
      </c>
      <c r="AD1567" s="1"/>
      <c r="AE1567" s="36">
        <v>46006.0</v>
      </c>
      <c r="AF1567" s="1" t="s">
        <v>1630</v>
      </c>
      <c r="AG1567" s="1" t="s">
        <v>52</v>
      </c>
      <c r="AH1567" s="1" t="s">
        <v>8011</v>
      </c>
      <c r="AI1567" s="1"/>
      <c r="AJ1567" s="1" t="s">
        <v>829</v>
      </c>
      <c r="AK1567" s="1" t="s">
        <v>1152</v>
      </c>
      <c r="AL1567" s="6" t="str">
        <f t="array" ref="AL1567">IFERROR(IFS(XLOOKUP(B1567, 'Kit Delivery Status'!$U:$U, 'Kit Delivery Status'!$K:$K) = "Complete", "DELIVERED", XLOOKUP(B1567, 'Kit Delivery Status'!$U:$U, 'Kit Delivery Status'!$K:$K) = "Issue", "ISSUE"), "")</f>
        <v/>
      </c>
      <c r="AM1567" s="6"/>
    </row>
    <row r="1568">
      <c r="A1568" s="5" t="s">
        <v>8012</v>
      </c>
      <c r="B1568" s="1" t="s">
        <v>8013</v>
      </c>
      <c r="C1568" s="1" t="s">
        <v>8014</v>
      </c>
      <c r="D1568" s="2">
        <v>9.788061822E9</v>
      </c>
      <c r="E1568" s="1" t="s">
        <v>8015</v>
      </c>
      <c r="F1568" s="1"/>
      <c r="G1568" s="1" t="s">
        <v>1126</v>
      </c>
      <c r="H1568" s="1" t="s">
        <v>1121</v>
      </c>
      <c r="I1568" s="1">
        <v>1810.0</v>
      </c>
      <c r="J1568" s="1" t="s">
        <v>752</v>
      </c>
      <c r="K1568" s="1" t="s">
        <v>7981</v>
      </c>
      <c r="L1568" s="1" t="s">
        <v>6819</v>
      </c>
      <c r="M1568" s="1">
        <v>49.0</v>
      </c>
      <c r="N1568" s="1" t="s">
        <v>1152</v>
      </c>
      <c r="O1568" s="3" t="s">
        <v>8016</v>
      </c>
      <c r="P1568" s="1" t="s">
        <v>1152</v>
      </c>
      <c r="Q1568" s="1" t="s">
        <v>1152</v>
      </c>
      <c r="R1568" s="1"/>
      <c r="S1568" s="1"/>
      <c r="T1568" s="1" t="s">
        <v>1152</v>
      </c>
      <c r="U1568" s="1" t="s">
        <v>1021</v>
      </c>
      <c r="V1568" s="4" t="s">
        <v>8016</v>
      </c>
      <c r="W1568" s="1"/>
      <c r="X1568" s="1" t="s">
        <v>1152</v>
      </c>
      <c r="Y1568" s="1" t="s">
        <v>1152</v>
      </c>
      <c r="Z1568" s="1"/>
      <c r="AA1568" s="1"/>
      <c r="AB1568" s="1"/>
      <c r="AC1568" s="1" t="s">
        <v>1925</v>
      </c>
      <c r="AD1568" s="1"/>
      <c r="AE1568" s="18">
        <v>45997.0</v>
      </c>
      <c r="AF1568" s="1" t="s">
        <v>1030</v>
      </c>
      <c r="AG1568" s="1" t="s">
        <v>52</v>
      </c>
      <c r="AH1568" s="1" t="s">
        <v>1152</v>
      </c>
      <c r="AI1568" s="1"/>
      <c r="AJ1568" s="1" t="s">
        <v>8015</v>
      </c>
      <c r="AK1568" s="1" t="s">
        <v>1152</v>
      </c>
      <c r="AL1568" s="6" t="str">
        <f t="array" ref="AL1568">IFERROR(IFS(XLOOKUP(B1568, 'Kit Delivery Status'!$U:$U, 'Kit Delivery Status'!$K:$K) = "Complete", "DELIVERED", XLOOKUP(B1568, 'Kit Delivery Status'!$U:$U, 'Kit Delivery Status'!$K:$K) = "Issue", "ISSUE"), "")</f>
        <v/>
      </c>
      <c r="AM1568" s="6"/>
    </row>
    <row r="1569">
      <c r="A1569" s="5" t="s">
        <v>8017</v>
      </c>
      <c r="B1569" s="1" t="s">
        <v>8018</v>
      </c>
      <c r="C1569" s="1"/>
      <c r="D1569" s="2">
        <v>2.162584095E9</v>
      </c>
      <c r="E1569" s="1" t="s">
        <v>8019</v>
      </c>
      <c r="F1569" s="1"/>
      <c r="G1569" s="1" t="s">
        <v>5057</v>
      </c>
      <c r="H1569" s="1" t="s">
        <v>2171</v>
      </c>
      <c r="I1569" s="1">
        <v>44118.0</v>
      </c>
      <c r="J1569" s="1" t="s">
        <v>752</v>
      </c>
      <c r="K1569" s="1" t="s">
        <v>7981</v>
      </c>
      <c r="L1569" s="1" t="s">
        <v>7863</v>
      </c>
      <c r="M1569" s="1">
        <v>79.0</v>
      </c>
      <c r="N1569" s="1" t="s">
        <v>1152</v>
      </c>
      <c r="O1569" s="3" t="s">
        <v>8020</v>
      </c>
      <c r="P1569" s="1" t="s">
        <v>1152</v>
      </c>
      <c r="Q1569" s="1" t="s">
        <v>1152</v>
      </c>
      <c r="R1569" s="1"/>
      <c r="S1569" s="1"/>
      <c r="T1569" s="1" t="s">
        <v>1152</v>
      </c>
      <c r="U1569" s="1" t="s">
        <v>1710</v>
      </c>
      <c r="V1569" s="4" t="s">
        <v>8020</v>
      </c>
      <c r="W1569" s="1"/>
      <c r="X1569" s="1" t="s">
        <v>1152</v>
      </c>
      <c r="Y1569" s="1" t="s">
        <v>1152</v>
      </c>
      <c r="Z1569" s="1"/>
      <c r="AA1569" s="1"/>
      <c r="AB1569" s="1"/>
      <c r="AC1569" s="1" t="s">
        <v>1925</v>
      </c>
      <c r="AD1569" s="1"/>
      <c r="AE1569" s="36">
        <v>46008.0</v>
      </c>
      <c r="AF1569" s="1" t="s">
        <v>1030</v>
      </c>
      <c r="AG1569" s="1" t="s">
        <v>52</v>
      </c>
      <c r="AH1569" s="1" t="s">
        <v>1152</v>
      </c>
      <c r="AI1569" s="1"/>
      <c r="AJ1569" s="1" t="s">
        <v>8019</v>
      </c>
      <c r="AK1569" s="1" t="s">
        <v>1152</v>
      </c>
      <c r="AL1569" s="6" t="str">
        <f t="array" ref="AL1569">IFERROR(IFS(XLOOKUP(B1569, 'Kit Delivery Status'!$U:$U, 'Kit Delivery Status'!$K:$K) = "Complete", "DELIVERED", XLOOKUP(B1569, 'Kit Delivery Status'!$U:$U, 'Kit Delivery Status'!$K:$K) = "Issue", "ISSUE"), "")</f>
        <v/>
      </c>
      <c r="AM1569" s="6"/>
    </row>
    <row r="1570">
      <c r="A1570" s="5" t="s">
        <v>8021</v>
      </c>
      <c r="B1570" s="1" t="s">
        <v>8022</v>
      </c>
      <c r="C1570" s="1"/>
      <c r="D1570" s="2">
        <v>6.103689007E9</v>
      </c>
      <c r="E1570" s="1" t="s">
        <v>3402</v>
      </c>
      <c r="F1570" s="1"/>
      <c r="G1570" s="1" t="s">
        <v>3403</v>
      </c>
      <c r="H1570" s="1" t="s">
        <v>1233</v>
      </c>
      <c r="I1570" s="1">
        <v>19081.0</v>
      </c>
      <c r="J1570" s="1" t="s">
        <v>752</v>
      </c>
      <c r="K1570" s="1" t="s">
        <v>7981</v>
      </c>
      <c r="L1570" s="1" t="s">
        <v>6819</v>
      </c>
      <c r="M1570" s="1">
        <v>49.0</v>
      </c>
      <c r="N1570" s="1" t="s">
        <v>1152</v>
      </c>
      <c r="O1570" s="3" t="s">
        <v>3365</v>
      </c>
      <c r="P1570" s="1" t="s">
        <v>1152</v>
      </c>
      <c r="Q1570" s="1" t="s">
        <v>1152</v>
      </c>
      <c r="R1570" s="1"/>
      <c r="S1570" s="1"/>
      <c r="T1570" s="1" t="s">
        <v>1152</v>
      </c>
      <c r="U1570" s="1" t="s">
        <v>1441</v>
      </c>
      <c r="V1570" s="4" t="s">
        <v>3365</v>
      </c>
      <c r="W1570" s="1"/>
      <c r="X1570" s="1" t="s">
        <v>1152</v>
      </c>
      <c r="Y1570" s="1" t="s">
        <v>1152</v>
      </c>
      <c r="Z1570" s="1"/>
      <c r="AA1570" s="1"/>
      <c r="AB1570" s="1"/>
      <c r="AC1570" s="1" t="s">
        <v>1925</v>
      </c>
      <c r="AD1570" s="1"/>
      <c r="AE1570" s="36">
        <v>46007.0</v>
      </c>
      <c r="AF1570" s="1" t="s">
        <v>1030</v>
      </c>
      <c r="AG1570" s="1" t="s">
        <v>52</v>
      </c>
      <c r="AH1570" s="1" t="s">
        <v>1152</v>
      </c>
      <c r="AI1570" s="1"/>
      <c r="AJ1570" s="1" t="s">
        <v>8023</v>
      </c>
      <c r="AK1570" s="1" t="s">
        <v>1152</v>
      </c>
      <c r="AL1570" s="6" t="str">
        <f t="array" ref="AL1570">IFERROR(IFS(XLOOKUP(B1570, 'Kit Delivery Status'!$U:$U, 'Kit Delivery Status'!$K:$K) = "Complete", "DELIVERED", XLOOKUP(B1570, 'Kit Delivery Status'!$U:$U, 'Kit Delivery Status'!$K:$K) = "Issue", "ISSUE"), "")</f>
        <v/>
      </c>
      <c r="AM1570" s="6"/>
    </row>
    <row r="1571">
      <c r="A1571" s="5" t="s">
        <v>8024</v>
      </c>
      <c r="B1571" s="1" t="s">
        <v>8025</v>
      </c>
      <c r="C1571" s="1" t="s">
        <v>8026</v>
      </c>
      <c r="D1571" s="2">
        <v>4.156291757E9</v>
      </c>
      <c r="E1571" s="1" t="s">
        <v>3124</v>
      </c>
      <c r="F1571" s="1"/>
      <c r="G1571" s="1" t="s">
        <v>8027</v>
      </c>
      <c r="H1571" s="1" t="s">
        <v>989</v>
      </c>
      <c r="I1571" s="1" t="s">
        <v>8028</v>
      </c>
      <c r="J1571" s="1" t="s">
        <v>752</v>
      </c>
      <c r="K1571" s="1" t="s">
        <v>7981</v>
      </c>
      <c r="L1571" s="1" t="s">
        <v>6819</v>
      </c>
      <c r="M1571" s="1">
        <v>49.0</v>
      </c>
      <c r="N1571" s="1" t="s">
        <v>1152</v>
      </c>
      <c r="O1571" s="3" t="s">
        <v>8029</v>
      </c>
      <c r="P1571" s="1" t="s">
        <v>1152</v>
      </c>
      <c r="Q1571" s="1" t="s">
        <v>1152</v>
      </c>
      <c r="R1571" s="1"/>
      <c r="S1571" s="1"/>
      <c r="T1571" s="1" t="s">
        <v>1152</v>
      </c>
      <c r="U1571" s="1" t="s">
        <v>1456</v>
      </c>
      <c r="V1571" s="4" t="s">
        <v>8029</v>
      </c>
      <c r="W1571" s="1"/>
      <c r="X1571" s="1" t="s">
        <v>1152</v>
      </c>
      <c r="Y1571" s="1" t="s">
        <v>1152</v>
      </c>
      <c r="Z1571" s="1"/>
      <c r="AA1571" s="1"/>
      <c r="AB1571" s="1"/>
      <c r="AC1571" s="1" t="s">
        <v>1925</v>
      </c>
      <c r="AD1571" s="1"/>
      <c r="AE1571" s="36">
        <v>46006.0</v>
      </c>
      <c r="AF1571" s="1" t="s">
        <v>1630</v>
      </c>
      <c r="AG1571" s="1" t="s">
        <v>52</v>
      </c>
      <c r="AH1571" s="1" t="s">
        <v>1152</v>
      </c>
      <c r="AI1571" s="1"/>
      <c r="AJ1571" s="1" t="s">
        <v>3124</v>
      </c>
      <c r="AK1571" s="1" t="s">
        <v>1152</v>
      </c>
      <c r="AL1571" s="6" t="str">
        <f t="array" ref="AL1571">IFERROR(IFS(XLOOKUP(B1571, 'Kit Delivery Status'!$U:$U, 'Kit Delivery Status'!$K:$K) = "Complete", "DELIVERED", XLOOKUP(B1571, 'Kit Delivery Status'!$U:$U, 'Kit Delivery Status'!$K:$K) = "Issue", "ISSUE"), "")</f>
        <v/>
      </c>
      <c r="AM1571" s="6"/>
    </row>
    <row r="1572">
      <c r="A1572" s="5" t="s">
        <v>8030</v>
      </c>
      <c r="B1572" s="1" t="s">
        <v>8031</v>
      </c>
      <c r="C1572" s="1" t="s">
        <v>8026</v>
      </c>
      <c r="D1572" s="2">
        <v>4.156291757E9</v>
      </c>
      <c r="E1572" s="1" t="s">
        <v>3124</v>
      </c>
      <c r="F1572" s="1"/>
      <c r="G1572" s="1" t="s">
        <v>8027</v>
      </c>
      <c r="H1572" s="1" t="s">
        <v>989</v>
      </c>
      <c r="I1572" s="1" t="s">
        <v>8028</v>
      </c>
      <c r="J1572" s="1" t="s">
        <v>752</v>
      </c>
      <c r="K1572" s="1" t="s">
        <v>2131</v>
      </c>
      <c r="L1572" s="1" t="s">
        <v>5811</v>
      </c>
      <c r="M1572" s="1">
        <v>1.0</v>
      </c>
      <c r="N1572" s="1" t="s">
        <v>1152</v>
      </c>
      <c r="O1572" s="3" t="s">
        <v>8029</v>
      </c>
      <c r="P1572" s="1" t="s">
        <v>1152</v>
      </c>
      <c r="Q1572" s="1" t="s">
        <v>1152</v>
      </c>
      <c r="R1572" s="1"/>
      <c r="S1572" s="1"/>
      <c r="T1572" s="1" t="s">
        <v>1152</v>
      </c>
      <c r="U1572" s="1" t="s">
        <v>1456</v>
      </c>
      <c r="V1572" s="4" t="s">
        <v>8029</v>
      </c>
      <c r="W1572" s="1"/>
      <c r="X1572" s="1" t="s">
        <v>1152</v>
      </c>
      <c r="Y1572" s="1" t="s">
        <v>1152</v>
      </c>
      <c r="Z1572" s="1"/>
      <c r="AA1572" s="1"/>
      <c r="AB1572" s="1"/>
      <c r="AC1572" s="1" t="s">
        <v>1925</v>
      </c>
      <c r="AD1572" s="1"/>
      <c r="AE1572" s="36">
        <v>46006.0</v>
      </c>
      <c r="AF1572" s="1"/>
      <c r="AG1572" s="1"/>
      <c r="AH1572" s="1" t="s">
        <v>1152</v>
      </c>
      <c r="AI1572" s="1"/>
      <c r="AJ1572" s="1" t="s">
        <v>3124</v>
      </c>
      <c r="AK1572" s="1" t="s">
        <v>1152</v>
      </c>
      <c r="AL1572" s="6" t="str">
        <f t="array" ref="AL1572">IFERROR(IFS(XLOOKUP(B1572, 'Kit Delivery Status'!$U:$U, 'Kit Delivery Status'!$K:$K) = "Complete", "DELIVERED", XLOOKUP(B1572, 'Kit Delivery Status'!$U:$U, 'Kit Delivery Status'!$K:$K) = "Issue", "ISSUE"), "")</f>
        <v/>
      </c>
      <c r="AM1572" s="6"/>
    </row>
    <row r="1573">
      <c r="A1573" s="5" t="s">
        <v>8032</v>
      </c>
      <c r="B1573" s="1" t="s">
        <v>8033</v>
      </c>
      <c r="C1573" s="1" t="s">
        <v>8034</v>
      </c>
      <c r="D1573" s="2">
        <v>6.469464044E9</v>
      </c>
      <c r="E1573" s="1" t="s">
        <v>8035</v>
      </c>
      <c r="F1573" s="1"/>
      <c r="G1573" s="1" t="s">
        <v>751</v>
      </c>
      <c r="H1573" s="1" t="s">
        <v>751</v>
      </c>
      <c r="I1573" s="1">
        <v>10023.0</v>
      </c>
      <c r="J1573" s="1" t="s">
        <v>752</v>
      </c>
      <c r="K1573" s="1" t="s">
        <v>7981</v>
      </c>
      <c r="L1573" s="1" t="s">
        <v>6819</v>
      </c>
      <c r="M1573" s="1">
        <v>49.0</v>
      </c>
      <c r="N1573" s="1" t="s">
        <v>1152</v>
      </c>
      <c r="O1573" s="3" t="s">
        <v>8036</v>
      </c>
      <c r="P1573" s="1" t="s">
        <v>1152</v>
      </c>
      <c r="Q1573" s="1" t="s">
        <v>1152</v>
      </c>
      <c r="R1573" s="1"/>
      <c r="S1573" s="1"/>
      <c r="T1573" s="1" t="s">
        <v>1152</v>
      </c>
      <c r="U1573" s="1" t="s">
        <v>1936</v>
      </c>
      <c r="V1573" s="4" t="s">
        <v>8036</v>
      </c>
      <c r="W1573" s="1"/>
      <c r="X1573" s="1" t="s">
        <v>1152</v>
      </c>
      <c r="Y1573" s="1" t="s">
        <v>1152</v>
      </c>
      <c r="Z1573" s="1"/>
      <c r="AA1573" s="1"/>
      <c r="AB1573" s="1"/>
      <c r="AC1573" s="1" t="s">
        <v>1925</v>
      </c>
      <c r="AD1573" s="1"/>
      <c r="AE1573" s="36">
        <v>46008.0</v>
      </c>
      <c r="AF1573" s="1" t="s">
        <v>1030</v>
      </c>
      <c r="AG1573" s="1" t="s">
        <v>52</v>
      </c>
      <c r="AH1573" s="1" t="s">
        <v>1152</v>
      </c>
      <c r="AI1573" s="1"/>
      <c r="AJ1573" s="1" t="s">
        <v>8037</v>
      </c>
      <c r="AK1573" s="1" t="s">
        <v>1152</v>
      </c>
      <c r="AL1573" s="6" t="str">
        <f t="array" ref="AL1573">IFERROR(IFS(XLOOKUP(B1573, 'Kit Delivery Status'!$U:$U, 'Kit Delivery Status'!$K:$K) = "Complete", "DELIVERED", XLOOKUP(B1573, 'Kit Delivery Status'!$U:$U, 'Kit Delivery Status'!$K:$K) = "Issue", "ISSUE"), "")</f>
        <v/>
      </c>
      <c r="AM1573" s="6"/>
    </row>
    <row r="1574">
      <c r="A1574" s="5" t="s">
        <v>8038</v>
      </c>
      <c r="B1574" s="1" t="s">
        <v>8039</v>
      </c>
      <c r="C1574" s="1" t="s">
        <v>3275</v>
      </c>
      <c r="D1574" s="2">
        <v>9.176136594E9</v>
      </c>
      <c r="E1574" s="1" t="s">
        <v>3276</v>
      </c>
      <c r="F1574" s="1"/>
      <c r="G1574" s="1" t="s">
        <v>751</v>
      </c>
      <c r="H1574" s="1" t="s">
        <v>751</v>
      </c>
      <c r="I1574" s="1">
        <v>10075.0</v>
      </c>
      <c r="J1574" s="1" t="s">
        <v>752</v>
      </c>
      <c r="K1574" s="1" t="s">
        <v>7981</v>
      </c>
      <c r="L1574" s="1" t="s">
        <v>6819</v>
      </c>
      <c r="M1574" s="1">
        <v>49.0</v>
      </c>
      <c r="N1574" s="1" t="s">
        <v>1152</v>
      </c>
      <c r="O1574" s="3" t="s">
        <v>1029</v>
      </c>
      <c r="P1574" s="1" t="s">
        <v>1152</v>
      </c>
      <c r="Q1574" s="1" t="s">
        <v>1152</v>
      </c>
      <c r="R1574" s="1"/>
      <c r="S1574" s="1"/>
      <c r="T1574" s="1" t="s">
        <v>1152</v>
      </c>
      <c r="U1574" s="1" t="s">
        <v>2430</v>
      </c>
      <c r="V1574" s="4" t="s">
        <v>1029</v>
      </c>
      <c r="W1574" s="1"/>
      <c r="X1574" s="1" t="s">
        <v>1152</v>
      </c>
      <c r="Y1574" s="1" t="s">
        <v>1152</v>
      </c>
      <c r="Z1574" s="1"/>
      <c r="AA1574" s="1"/>
      <c r="AB1574" s="1"/>
      <c r="AC1574" s="1" t="s">
        <v>1925</v>
      </c>
      <c r="AD1574" s="1"/>
      <c r="AE1574" s="36">
        <v>46008.0</v>
      </c>
      <c r="AF1574" s="1" t="s">
        <v>1030</v>
      </c>
      <c r="AG1574" s="1" t="s">
        <v>52</v>
      </c>
      <c r="AH1574" s="1" t="s">
        <v>1152</v>
      </c>
      <c r="AI1574" s="1"/>
      <c r="AJ1574" s="1" t="s">
        <v>8040</v>
      </c>
      <c r="AK1574" s="1" t="s">
        <v>1152</v>
      </c>
      <c r="AL1574" s="6" t="str">
        <f t="array" ref="AL1574">IFERROR(IFS(XLOOKUP(B1574, 'Kit Delivery Status'!$U:$U, 'Kit Delivery Status'!$K:$K) = "Complete", "DELIVERED", XLOOKUP(B1574, 'Kit Delivery Status'!$U:$U, 'Kit Delivery Status'!$K:$K) = "Issue", "ISSUE"), "")</f>
        <v/>
      </c>
      <c r="AM1574" s="6"/>
    </row>
    <row r="1575">
      <c r="A1575" s="5" t="s">
        <v>8041</v>
      </c>
      <c r="B1575" s="1" t="s">
        <v>8042</v>
      </c>
      <c r="C1575" s="1" t="s">
        <v>8043</v>
      </c>
      <c r="D1575" s="2">
        <v>6.304858286E9</v>
      </c>
      <c r="E1575" s="1" t="s">
        <v>8044</v>
      </c>
      <c r="F1575" s="1"/>
      <c r="G1575" s="1" t="s">
        <v>8045</v>
      </c>
      <c r="H1575" s="1" t="s">
        <v>1438</v>
      </c>
      <c r="I1575" s="1">
        <v>27707.0</v>
      </c>
      <c r="J1575" s="1" t="s">
        <v>752</v>
      </c>
      <c r="K1575" s="1" t="s">
        <v>7981</v>
      </c>
      <c r="L1575" s="1" t="s">
        <v>6819</v>
      </c>
      <c r="M1575" s="1">
        <v>49.0</v>
      </c>
      <c r="N1575" s="1" t="s">
        <v>1152</v>
      </c>
      <c r="O1575" s="3" t="s">
        <v>2351</v>
      </c>
      <c r="P1575" s="1" t="s">
        <v>1152</v>
      </c>
      <c r="Q1575" s="1" t="s">
        <v>1152</v>
      </c>
      <c r="R1575" s="1"/>
      <c r="S1575" s="1"/>
      <c r="T1575" s="1" t="s">
        <v>1152</v>
      </c>
      <c r="U1575" s="1" t="s">
        <v>1710</v>
      </c>
      <c r="V1575" s="4" t="s">
        <v>2351</v>
      </c>
      <c r="W1575" s="1"/>
      <c r="X1575" s="1" t="s">
        <v>1152</v>
      </c>
      <c r="Y1575" s="1" t="s">
        <v>1152</v>
      </c>
      <c r="Z1575" s="1"/>
      <c r="AA1575" s="1"/>
      <c r="AB1575" s="1"/>
      <c r="AC1575" s="1" t="s">
        <v>1925</v>
      </c>
      <c r="AD1575" s="1"/>
      <c r="AE1575" s="36">
        <v>46008.0</v>
      </c>
      <c r="AF1575" s="1" t="s">
        <v>1030</v>
      </c>
      <c r="AG1575" s="1" t="s">
        <v>52</v>
      </c>
      <c r="AH1575" s="1" t="s">
        <v>1152</v>
      </c>
      <c r="AI1575" s="1"/>
      <c r="AJ1575" s="1" t="s">
        <v>8044</v>
      </c>
      <c r="AK1575" s="1" t="s">
        <v>1152</v>
      </c>
      <c r="AL1575" s="6" t="str">
        <f t="array" ref="AL1575">IFERROR(IFS(XLOOKUP(B1575, 'Kit Delivery Status'!$U:$U, 'Kit Delivery Status'!$K:$K) = "Complete", "DELIVERED", XLOOKUP(B1575, 'Kit Delivery Status'!$U:$U, 'Kit Delivery Status'!$K:$K) = "Issue", "ISSUE"), "")</f>
        <v/>
      </c>
      <c r="AM1575" s="6"/>
    </row>
    <row r="1576">
      <c r="A1576" s="5" t="s">
        <v>8046</v>
      </c>
      <c r="B1576" s="1" t="s">
        <v>8047</v>
      </c>
      <c r="C1576" s="1"/>
      <c r="D1576" s="2">
        <v>2.014248765E9</v>
      </c>
      <c r="E1576" s="1" t="s">
        <v>8048</v>
      </c>
      <c r="F1576" s="1"/>
      <c r="G1576" s="1" t="s">
        <v>8049</v>
      </c>
      <c r="H1576" s="1" t="s">
        <v>1053</v>
      </c>
      <c r="I1576" s="1">
        <v>7869.0</v>
      </c>
      <c r="J1576" s="1" t="s">
        <v>752</v>
      </c>
      <c r="K1576" s="1" t="s">
        <v>7981</v>
      </c>
      <c r="L1576" s="1" t="s">
        <v>7863</v>
      </c>
      <c r="M1576" s="1">
        <v>79.0</v>
      </c>
      <c r="N1576" s="1" t="s">
        <v>1152</v>
      </c>
      <c r="O1576" s="3" t="s">
        <v>3705</v>
      </c>
      <c r="P1576" s="1" t="s">
        <v>1152</v>
      </c>
      <c r="Q1576" s="1" t="s">
        <v>1152</v>
      </c>
      <c r="R1576" s="1"/>
      <c r="S1576" s="1"/>
      <c r="T1576" s="1" t="s">
        <v>1152</v>
      </c>
      <c r="U1576" s="1" t="s">
        <v>1828</v>
      </c>
      <c r="V1576" s="4" t="s">
        <v>3705</v>
      </c>
      <c r="W1576" s="1"/>
      <c r="X1576" s="1" t="s">
        <v>1152</v>
      </c>
      <c r="Y1576" s="1" t="s">
        <v>1152</v>
      </c>
      <c r="Z1576" s="1"/>
      <c r="AA1576" s="1"/>
      <c r="AB1576" s="1"/>
      <c r="AC1576" s="1" t="s">
        <v>1925</v>
      </c>
      <c r="AD1576" s="1"/>
      <c r="AE1576" s="36">
        <v>46009.0</v>
      </c>
      <c r="AF1576" s="1" t="s">
        <v>3186</v>
      </c>
      <c r="AG1576" s="1" t="s">
        <v>52</v>
      </c>
      <c r="AH1576" s="1" t="s">
        <v>1152</v>
      </c>
      <c r="AI1576" s="1"/>
      <c r="AJ1576" s="1" t="s">
        <v>3343</v>
      </c>
      <c r="AK1576" s="1" t="s">
        <v>1152</v>
      </c>
      <c r="AL1576" s="6" t="str">
        <f t="array" ref="AL1576">IFERROR(IFS(XLOOKUP(B1576, 'Kit Delivery Status'!$U:$U, 'Kit Delivery Status'!$K:$K) = "Complete", "DELIVERED", XLOOKUP(B1576, 'Kit Delivery Status'!$U:$U, 'Kit Delivery Status'!$K:$K) = "Issue", "ISSUE"), "")</f>
        <v/>
      </c>
      <c r="AM1576" s="6"/>
    </row>
    <row r="1577">
      <c r="A1577" s="5" t="s">
        <v>8050</v>
      </c>
      <c r="B1577" s="1" t="s">
        <v>8051</v>
      </c>
      <c r="C1577" s="1" t="s">
        <v>3889</v>
      </c>
      <c r="D1577" s="2">
        <v>9.149878671E9</v>
      </c>
      <c r="E1577" s="1" t="s">
        <v>3890</v>
      </c>
      <c r="F1577" s="1"/>
      <c r="G1577" s="1" t="s">
        <v>3891</v>
      </c>
      <c r="H1577" s="1" t="s">
        <v>751</v>
      </c>
      <c r="I1577" s="1">
        <v>10510.0</v>
      </c>
      <c r="J1577" s="1" t="s">
        <v>752</v>
      </c>
      <c r="K1577" s="1" t="s">
        <v>7981</v>
      </c>
      <c r="L1577" s="1" t="s">
        <v>6819</v>
      </c>
      <c r="M1577" s="1">
        <v>49.0</v>
      </c>
      <c r="N1577" s="1" t="s">
        <v>1152</v>
      </c>
      <c r="O1577" s="3" t="s">
        <v>3587</v>
      </c>
      <c r="P1577" s="1" t="s">
        <v>1152</v>
      </c>
      <c r="Q1577" s="1" t="s">
        <v>1152</v>
      </c>
      <c r="R1577" s="1"/>
      <c r="S1577" s="1"/>
      <c r="T1577" s="1" t="s">
        <v>1152</v>
      </c>
      <c r="U1577" s="1" t="s">
        <v>1021</v>
      </c>
      <c r="V1577" s="4" t="s">
        <v>3587</v>
      </c>
      <c r="W1577" s="1"/>
      <c r="X1577" s="1" t="s">
        <v>1152</v>
      </c>
      <c r="Y1577" s="1" t="s">
        <v>1152</v>
      </c>
      <c r="Z1577" s="1"/>
      <c r="AA1577" s="1"/>
      <c r="AB1577" s="1"/>
      <c r="AC1577" s="1" t="s">
        <v>1925</v>
      </c>
      <c r="AD1577" s="1"/>
      <c r="AE1577" s="36">
        <v>46009.0</v>
      </c>
      <c r="AF1577" s="1" t="s">
        <v>1030</v>
      </c>
      <c r="AG1577" s="1" t="s">
        <v>52</v>
      </c>
      <c r="AH1577" s="1" t="s">
        <v>1152</v>
      </c>
      <c r="AI1577" s="1"/>
      <c r="AJ1577" s="1" t="s">
        <v>3890</v>
      </c>
      <c r="AK1577" s="1" t="s">
        <v>1152</v>
      </c>
      <c r="AL1577" s="6" t="str">
        <f t="array" ref="AL1577">IFERROR(IFS(XLOOKUP(B1577, 'Kit Delivery Status'!$U:$U, 'Kit Delivery Status'!$K:$K) = "Complete", "DELIVERED", XLOOKUP(B1577, 'Kit Delivery Status'!$U:$U, 'Kit Delivery Status'!$K:$K) = "Issue", "ISSUE"), "")</f>
        <v/>
      </c>
      <c r="AM1577" s="6"/>
    </row>
    <row r="1578">
      <c r="A1578" s="5" t="s">
        <v>8052</v>
      </c>
      <c r="B1578" s="1" t="s">
        <v>8053</v>
      </c>
      <c r="C1578" s="1" t="s">
        <v>8054</v>
      </c>
      <c r="D1578" s="2">
        <v>7.814589001E9</v>
      </c>
      <c r="E1578" s="1" t="s">
        <v>8055</v>
      </c>
      <c r="F1578" s="1"/>
      <c r="G1578" s="1" t="s">
        <v>2350</v>
      </c>
      <c r="H1578" s="1" t="s">
        <v>1155</v>
      </c>
      <c r="I1578" s="1" t="s">
        <v>8056</v>
      </c>
      <c r="J1578" s="1" t="s">
        <v>752</v>
      </c>
      <c r="K1578" s="1" t="s">
        <v>7981</v>
      </c>
      <c r="L1578" s="1" t="s">
        <v>6819</v>
      </c>
      <c r="M1578" s="1">
        <v>49.0</v>
      </c>
      <c r="N1578" s="1" t="s">
        <v>1152</v>
      </c>
      <c r="O1578" s="3" t="s">
        <v>8057</v>
      </c>
      <c r="P1578" s="1" t="s">
        <v>1152</v>
      </c>
      <c r="Q1578" s="1" t="s">
        <v>1152</v>
      </c>
      <c r="R1578" s="1"/>
      <c r="S1578" s="1"/>
      <c r="T1578" s="1" t="s">
        <v>1152</v>
      </c>
      <c r="U1578" s="1" t="s">
        <v>2940</v>
      </c>
      <c r="V1578" s="4" t="s">
        <v>8057</v>
      </c>
      <c r="W1578" s="1"/>
      <c r="X1578" s="1" t="s">
        <v>1152</v>
      </c>
      <c r="Y1578" s="1" t="s">
        <v>1152</v>
      </c>
      <c r="Z1578" s="1"/>
      <c r="AA1578" s="1"/>
      <c r="AB1578" s="1"/>
      <c r="AC1578" s="1" t="s">
        <v>1925</v>
      </c>
      <c r="AD1578" s="1"/>
      <c r="AE1578" s="36">
        <v>46006.0</v>
      </c>
      <c r="AF1578" s="1" t="s">
        <v>1349</v>
      </c>
      <c r="AG1578" s="1" t="s">
        <v>52</v>
      </c>
      <c r="AH1578" s="1" t="s">
        <v>1152</v>
      </c>
      <c r="AI1578" s="1"/>
      <c r="AJ1578" s="1" t="s">
        <v>8055</v>
      </c>
      <c r="AK1578" s="1" t="s">
        <v>1152</v>
      </c>
      <c r="AL1578" s="6" t="str">
        <f t="array" ref="AL1578">IFERROR(IFS(XLOOKUP(B1578, 'Kit Delivery Status'!$U:$U, 'Kit Delivery Status'!$K:$K) = "Complete", "DELIVERED", XLOOKUP(B1578, 'Kit Delivery Status'!$U:$U, 'Kit Delivery Status'!$K:$K) = "Issue", "ISSUE"), "")</f>
        <v/>
      </c>
      <c r="AM1578" s="6"/>
    </row>
    <row r="1579">
      <c r="A1579" s="5" t="s">
        <v>8058</v>
      </c>
      <c r="B1579" s="1" t="s">
        <v>8059</v>
      </c>
      <c r="C1579" s="1" t="s">
        <v>8060</v>
      </c>
      <c r="D1579" s="2">
        <v>5.137078259E9</v>
      </c>
      <c r="E1579" s="1" t="s">
        <v>8061</v>
      </c>
      <c r="F1579" s="1"/>
      <c r="G1579" s="1" t="s">
        <v>8062</v>
      </c>
      <c r="H1579" s="1" t="s">
        <v>2171</v>
      </c>
      <c r="I1579" s="1">
        <v>45065.0</v>
      </c>
      <c r="J1579" s="1" t="s">
        <v>752</v>
      </c>
      <c r="K1579" s="1" t="s">
        <v>7981</v>
      </c>
      <c r="L1579" s="1" t="s">
        <v>6819</v>
      </c>
      <c r="M1579" s="1">
        <v>49.0</v>
      </c>
      <c r="N1579" s="1" t="s">
        <v>1152</v>
      </c>
      <c r="O1579" s="3" t="s">
        <v>8063</v>
      </c>
      <c r="P1579" s="1" t="s">
        <v>1152</v>
      </c>
      <c r="Q1579" s="1" t="s">
        <v>1152</v>
      </c>
      <c r="R1579" s="1"/>
      <c r="S1579" s="1"/>
      <c r="T1579" s="1" t="s">
        <v>1152</v>
      </c>
      <c r="U1579" s="1" t="s">
        <v>1710</v>
      </c>
      <c r="V1579" s="4" t="s">
        <v>8063</v>
      </c>
      <c r="W1579" s="1"/>
      <c r="X1579" s="1" t="s">
        <v>1152</v>
      </c>
      <c r="Y1579" s="1" t="s">
        <v>1152</v>
      </c>
      <c r="Z1579" s="1"/>
      <c r="AA1579" s="1"/>
      <c r="AB1579" s="1"/>
      <c r="AC1579" s="1" t="s">
        <v>1925</v>
      </c>
      <c r="AD1579" s="1"/>
      <c r="AE1579" s="36">
        <v>46009.0</v>
      </c>
      <c r="AF1579" s="1" t="s">
        <v>1030</v>
      </c>
      <c r="AG1579" s="1" t="s">
        <v>52</v>
      </c>
      <c r="AH1579" s="1" t="s">
        <v>1152</v>
      </c>
      <c r="AI1579" s="1"/>
      <c r="AJ1579" s="1" t="s">
        <v>8061</v>
      </c>
      <c r="AK1579" s="1" t="s">
        <v>1152</v>
      </c>
      <c r="AL1579" s="6" t="str">
        <f t="array" ref="AL1579">IFERROR(IFS(XLOOKUP(B1579, 'Kit Delivery Status'!$U:$U, 'Kit Delivery Status'!$K:$K) = "Complete", "DELIVERED", XLOOKUP(B1579, 'Kit Delivery Status'!$U:$U, 'Kit Delivery Status'!$K:$K) = "Issue", "ISSUE"), "")</f>
        <v/>
      </c>
      <c r="AM1579" s="6"/>
    </row>
    <row r="1580">
      <c r="A1580" s="5" t="s">
        <v>8064</v>
      </c>
      <c r="B1580" s="1" t="s">
        <v>8065</v>
      </c>
      <c r="C1580" s="1" t="s">
        <v>8066</v>
      </c>
      <c r="D1580" s="2">
        <v>7.272207525E9</v>
      </c>
      <c r="E1580" s="1" t="s">
        <v>8067</v>
      </c>
      <c r="F1580" s="1" t="s">
        <v>8068</v>
      </c>
      <c r="G1580" s="1" t="s">
        <v>2068</v>
      </c>
      <c r="H1580" s="1" t="s">
        <v>1208</v>
      </c>
      <c r="I1580" s="1">
        <v>33707.0</v>
      </c>
      <c r="J1580" s="1" t="s">
        <v>752</v>
      </c>
      <c r="K1580" s="1" t="s">
        <v>892</v>
      </c>
      <c r="L1580" s="1" t="s">
        <v>8006</v>
      </c>
      <c r="M1580" s="1">
        <v>49.0</v>
      </c>
      <c r="N1580" s="1" t="s">
        <v>1152</v>
      </c>
      <c r="O1580" s="3"/>
      <c r="P1580" s="1" t="s">
        <v>1152</v>
      </c>
      <c r="Q1580" s="1" t="s">
        <v>1152</v>
      </c>
      <c r="R1580" s="1" t="s">
        <v>8068</v>
      </c>
      <c r="S1580" s="1"/>
      <c r="T1580" s="1" t="s">
        <v>1152</v>
      </c>
      <c r="U1580" s="1"/>
      <c r="V1580" s="4"/>
      <c r="W1580" s="1" t="s">
        <v>8068</v>
      </c>
      <c r="X1580" s="1" t="s">
        <v>1152</v>
      </c>
      <c r="Y1580" s="1" t="s">
        <v>1152</v>
      </c>
      <c r="Z1580" s="1"/>
      <c r="AA1580" s="1" t="s">
        <v>8068</v>
      </c>
      <c r="AB1580" s="1"/>
      <c r="AC1580" s="1" t="s">
        <v>1925</v>
      </c>
      <c r="AD1580" s="1"/>
      <c r="AE1580" s="36">
        <v>46009.0</v>
      </c>
      <c r="AF1580" s="1" t="s">
        <v>1455</v>
      </c>
      <c r="AG1580" s="1" t="s">
        <v>124</v>
      </c>
      <c r="AH1580" s="1" t="s">
        <v>8069</v>
      </c>
      <c r="AI1580" s="1"/>
      <c r="AJ1580" s="1" t="s">
        <v>8067</v>
      </c>
      <c r="AK1580" s="1" t="s">
        <v>1152</v>
      </c>
      <c r="AL1580" s="6" t="str">
        <f t="array" ref="AL1580">IFERROR(IFS(XLOOKUP(B1580, 'Kit Delivery Status'!$U:$U, 'Kit Delivery Status'!$K:$K) = "Complete", "DELIVERED", XLOOKUP(B1580, 'Kit Delivery Status'!$U:$U, 'Kit Delivery Status'!$K:$K) = "Issue", "ISSUE"), "")</f>
        <v/>
      </c>
      <c r="AM1580" s="6"/>
    </row>
    <row r="1581">
      <c r="A1581" s="5" t="s">
        <v>8070</v>
      </c>
      <c r="B1581" s="1" t="s">
        <v>8071</v>
      </c>
      <c r="C1581" s="1" t="s">
        <v>241</v>
      </c>
      <c r="D1581" s="2">
        <v>8.473056032E9</v>
      </c>
      <c r="E1581" s="1" t="s">
        <v>8072</v>
      </c>
      <c r="F1581" s="1"/>
      <c r="G1581" s="1" t="s">
        <v>8073</v>
      </c>
      <c r="H1581" s="1" t="s">
        <v>1891</v>
      </c>
      <c r="I1581" s="1">
        <v>80122.0</v>
      </c>
      <c r="J1581" s="1" t="s">
        <v>752</v>
      </c>
      <c r="K1581" s="1" t="s">
        <v>66</v>
      </c>
      <c r="L1581" s="1" t="s">
        <v>5833</v>
      </c>
      <c r="M1581" s="1">
        <v>65.0</v>
      </c>
      <c r="N1581" s="1" t="s">
        <v>1152</v>
      </c>
      <c r="O1581" s="3" t="s">
        <v>8074</v>
      </c>
      <c r="P1581" s="18">
        <v>45992.0</v>
      </c>
      <c r="Q1581" s="1" t="s">
        <v>1152</v>
      </c>
      <c r="R1581" s="1"/>
      <c r="S1581" s="1"/>
      <c r="T1581" s="1" t="s">
        <v>1152</v>
      </c>
      <c r="U1581" s="1" t="s">
        <v>1537</v>
      </c>
      <c r="V1581" s="4" t="s">
        <v>8074</v>
      </c>
      <c r="W1581" s="1"/>
      <c r="X1581" s="18">
        <v>45992.0</v>
      </c>
      <c r="Y1581" s="1" t="s">
        <v>1152</v>
      </c>
      <c r="Z1581" s="1"/>
      <c r="AA1581" s="1"/>
      <c r="AB1581" s="1"/>
      <c r="AC1581" s="1" t="s">
        <v>1925</v>
      </c>
      <c r="AD1581" s="1"/>
      <c r="AE1581" s="1" t="s">
        <v>1152</v>
      </c>
      <c r="AF1581" s="1"/>
      <c r="AG1581" s="1"/>
      <c r="AH1581" s="1" t="s">
        <v>1152</v>
      </c>
      <c r="AI1581" s="1"/>
      <c r="AJ1581" s="1" t="s">
        <v>8072</v>
      </c>
      <c r="AK1581" s="1" t="s">
        <v>1152</v>
      </c>
      <c r="AL1581" s="6" t="str">
        <f t="array" ref="AL1581">IFERROR(IFS(XLOOKUP(B1581, 'Kit Delivery Status'!$U:$U, 'Kit Delivery Status'!$K:$K) = "Complete", "DELIVERED", XLOOKUP(B1581, 'Kit Delivery Status'!$U:$U, 'Kit Delivery Status'!$K:$K) = "Issue", "ISSUE"), "")</f>
        <v/>
      </c>
      <c r="AM1581" s="6"/>
    </row>
    <row r="1582">
      <c r="A1582" s="5" t="s">
        <v>8075</v>
      </c>
      <c r="B1582" s="1" t="s">
        <v>8076</v>
      </c>
      <c r="C1582" s="1" t="s">
        <v>5130</v>
      </c>
      <c r="D1582" s="2">
        <v>2.03814425E9</v>
      </c>
      <c r="E1582" s="1" t="s">
        <v>8077</v>
      </c>
      <c r="F1582" s="1"/>
      <c r="G1582" s="1" t="s">
        <v>2040</v>
      </c>
      <c r="H1582" s="1" t="s">
        <v>1078</v>
      </c>
      <c r="I1582" s="1">
        <v>6883.0</v>
      </c>
      <c r="J1582" s="1" t="s">
        <v>752</v>
      </c>
      <c r="K1582" s="1" t="s">
        <v>7981</v>
      </c>
      <c r="L1582" s="1" t="s">
        <v>6819</v>
      </c>
      <c r="M1582" s="1">
        <v>49.0</v>
      </c>
      <c r="N1582" s="1" t="s">
        <v>1152</v>
      </c>
      <c r="O1582" s="3" t="s">
        <v>8078</v>
      </c>
      <c r="P1582" s="1" t="s">
        <v>1152</v>
      </c>
      <c r="Q1582" s="1" t="s">
        <v>1152</v>
      </c>
      <c r="R1582" s="1"/>
      <c r="S1582" s="1"/>
      <c r="T1582" s="1" t="s">
        <v>1152</v>
      </c>
      <c r="U1582" s="1" t="s">
        <v>1710</v>
      </c>
      <c r="V1582" s="4" t="s">
        <v>8078</v>
      </c>
      <c r="W1582" s="1"/>
      <c r="X1582" s="1" t="s">
        <v>1152</v>
      </c>
      <c r="Y1582" s="1" t="s">
        <v>1152</v>
      </c>
      <c r="Z1582" s="1"/>
      <c r="AA1582" s="1"/>
      <c r="AB1582" s="1"/>
      <c r="AC1582" s="1" t="s">
        <v>1925</v>
      </c>
      <c r="AD1582" s="1"/>
      <c r="AE1582" s="18">
        <v>46000.0</v>
      </c>
      <c r="AF1582" s="1" t="s">
        <v>1030</v>
      </c>
      <c r="AG1582" s="1" t="s">
        <v>52</v>
      </c>
      <c r="AH1582" s="1" t="s">
        <v>1152</v>
      </c>
      <c r="AI1582" s="1"/>
      <c r="AJ1582" s="1" t="s">
        <v>2701</v>
      </c>
      <c r="AK1582" s="1" t="s">
        <v>1152</v>
      </c>
      <c r="AL1582" s="6" t="str">
        <f t="array" ref="AL1582">IFERROR(IFS(XLOOKUP(B1582, 'Kit Delivery Status'!$U:$U, 'Kit Delivery Status'!$K:$K) = "Complete", "DELIVERED", XLOOKUP(B1582, 'Kit Delivery Status'!$U:$U, 'Kit Delivery Status'!$K:$K) = "Issue", "ISSUE"), "")</f>
        <v/>
      </c>
      <c r="AM1582" s="6"/>
    </row>
    <row r="1583">
      <c r="A1583" s="5" t="s">
        <v>8079</v>
      </c>
      <c r="B1583" s="1" t="s">
        <v>8080</v>
      </c>
      <c r="C1583" s="1"/>
      <c r="D1583" s="2">
        <v>6.576312278E9</v>
      </c>
      <c r="E1583" s="1" t="s">
        <v>8081</v>
      </c>
      <c r="F1583" s="1"/>
      <c r="G1583" s="1" t="s">
        <v>1283</v>
      </c>
      <c r="H1583" s="1" t="s">
        <v>1155</v>
      </c>
      <c r="I1583" s="1">
        <v>63130.0</v>
      </c>
      <c r="J1583" s="1" t="s">
        <v>752</v>
      </c>
      <c r="K1583" s="1" t="s">
        <v>5314</v>
      </c>
      <c r="L1583" s="1" t="s">
        <v>6819</v>
      </c>
      <c r="M1583" s="1">
        <v>49.0</v>
      </c>
      <c r="N1583" s="1" t="s">
        <v>1152</v>
      </c>
      <c r="O1583" s="3" t="s">
        <v>8082</v>
      </c>
      <c r="P1583" s="1" t="s">
        <v>1152</v>
      </c>
      <c r="Q1583" s="1" t="s">
        <v>1152</v>
      </c>
      <c r="R1583" s="1"/>
      <c r="S1583" s="1"/>
      <c r="T1583" s="1" t="s">
        <v>1152</v>
      </c>
      <c r="U1583" s="1" t="s">
        <v>1710</v>
      </c>
      <c r="V1583" s="4" t="s">
        <v>8082</v>
      </c>
      <c r="W1583" s="1"/>
      <c r="X1583" s="1" t="s">
        <v>1152</v>
      </c>
      <c r="Y1583" s="1" t="s">
        <v>1152</v>
      </c>
      <c r="Z1583" s="1"/>
      <c r="AA1583" s="1"/>
      <c r="AB1583" s="1"/>
      <c r="AC1583" s="1" t="s">
        <v>1925</v>
      </c>
      <c r="AD1583" s="1"/>
      <c r="AE1583" s="36">
        <v>46006.0</v>
      </c>
      <c r="AF1583" s="1" t="s">
        <v>1030</v>
      </c>
      <c r="AG1583" s="1" t="s">
        <v>52</v>
      </c>
      <c r="AH1583" s="1" t="s">
        <v>1152</v>
      </c>
      <c r="AI1583" s="1"/>
      <c r="AJ1583" s="1" t="s">
        <v>8081</v>
      </c>
      <c r="AK1583" s="1" t="s">
        <v>1152</v>
      </c>
      <c r="AL1583" s="6" t="str">
        <f t="array" ref="AL1583">IFERROR(IFS(XLOOKUP(B1583, 'Kit Delivery Status'!$U:$U, 'Kit Delivery Status'!$K:$K) = "Complete", "DELIVERED", XLOOKUP(B1583, 'Kit Delivery Status'!$U:$U, 'Kit Delivery Status'!$K:$K) = "Issue", "ISSUE"), "")</f>
        <v/>
      </c>
      <c r="AM1583" s="6"/>
    </row>
    <row r="1584">
      <c r="A1584" s="5" t="s">
        <v>8083</v>
      </c>
      <c r="B1584" s="1" t="s">
        <v>8084</v>
      </c>
      <c r="C1584" s="1" t="s">
        <v>4917</v>
      </c>
      <c r="D1584" s="2">
        <v>9.176983349E9</v>
      </c>
      <c r="E1584" s="1" t="s">
        <v>8085</v>
      </c>
      <c r="F1584" s="1"/>
      <c r="G1584" s="1" t="s">
        <v>751</v>
      </c>
      <c r="H1584" s="1" t="s">
        <v>751</v>
      </c>
      <c r="I1584" s="1" t="s">
        <v>8086</v>
      </c>
      <c r="J1584" s="1" t="s">
        <v>752</v>
      </c>
      <c r="K1584" s="1" t="s">
        <v>7981</v>
      </c>
      <c r="L1584" s="1" t="s">
        <v>7863</v>
      </c>
      <c r="M1584" s="1">
        <v>79.0</v>
      </c>
      <c r="N1584" s="1" t="s">
        <v>1152</v>
      </c>
      <c r="O1584" s="3" t="s">
        <v>8087</v>
      </c>
      <c r="P1584" s="1" t="s">
        <v>1152</v>
      </c>
      <c r="Q1584" s="1" t="s">
        <v>1152</v>
      </c>
      <c r="R1584" s="1"/>
      <c r="S1584" s="1"/>
      <c r="T1584" s="1" t="s">
        <v>1152</v>
      </c>
      <c r="U1584" s="1" t="s">
        <v>1710</v>
      </c>
      <c r="V1584" s="4" t="s">
        <v>8087</v>
      </c>
      <c r="W1584" s="1"/>
      <c r="X1584" s="1" t="s">
        <v>1152</v>
      </c>
      <c r="Y1584" s="1" t="s">
        <v>1152</v>
      </c>
      <c r="Z1584" s="1"/>
      <c r="AA1584" s="1"/>
      <c r="AB1584" s="1"/>
      <c r="AC1584" s="1" t="s">
        <v>1925</v>
      </c>
      <c r="AD1584" s="1"/>
      <c r="AE1584" s="36">
        <v>46001.0</v>
      </c>
      <c r="AF1584" s="1" t="s">
        <v>1103</v>
      </c>
      <c r="AG1584" s="1" t="s">
        <v>52</v>
      </c>
      <c r="AH1584" s="1" t="s">
        <v>1152</v>
      </c>
      <c r="AI1584" s="1"/>
      <c r="AJ1584" s="1" t="s">
        <v>4918</v>
      </c>
      <c r="AK1584" s="1" t="s">
        <v>1152</v>
      </c>
      <c r="AL1584" s="6" t="str">
        <f t="array" ref="AL1584">IFERROR(IFS(XLOOKUP(B1584, 'Kit Delivery Status'!$U:$U, 'Kit Delivery Status'!$K:$K) = "Complete", "DELIVERED", XLOOKUP(B1584, 'Kit Delivery Status'!$U:$U, 'Kit Delivery Status'!$K:$K) = "Issue", "ISSUE"), "")</f>
        <v/>
      </c>
      <c r="AM1584" s="6"/>
    </row>
    <row r="1585">
      <c r="A1585" s="5" t="s">
        <v>8088</v>
      </c>
      <c r="B1585" s="1" t="s">
        <v>8089</v>
      </c>
      <c r="C1585" s="1" t="s">
        <v>8090</v>
      </c>
      <c r="D1585" s="2">
        <v>5.622993367E9</v>
      </c>
      <c r="E1585" s="1" t="s">
        <v>8091</v>
      </c>
      <c r="F1585" s="1"/>
      <c r="G1585" s="1" t="s">
        <v>8092</v>
      </c>
      <c r="H1585" s="1" t="s">
        <v>989</v>
      </c>
      <c r="I1585" s="1">
        <v>90703.0</v>
      </c>
      <c r="J1585" s="1" t="s">
        <v>752</v>
      </c>
      <c r="K1585" s="1" t="s">
        <v>892</v>
      </c>
      <c r="L1585" s="1" t="s">
        <v>8006</v>
      </c>
      <c r="M1585" s="1">
        <v>49.0</v>
      </c>
      <c r="N1585" s="1" t="s">
        <v>1152</v>
      </c>
      <c r="O1585" s="3" t="s">
        <v>8093</v>
      </c>
      <c r="P1585" s="1" t="s">
        <v>1152</v>
      </c>
      <c r="Q1585" s="1" t="s">
        <v>1152</v>
      </c>
      <c r="R1585" s="1"/>
      <c r="S1585" s="1"/>
      <c r="T1585" s="1" t="s">
        <v>1152</v>
      </c>
      <c r="U1585" s="1" t="s">
        <v>2510</v>
      </c>
      <c r="V1585" s="4" t="s">
        <v>8093</v>
      </c>
      <c r="W1585" s="1"/>
      <c r="X1585" s="1" t="s">
        <v>1152</v>
      </c>
      <c r="Y1585" s="1" t="s">
        <v>1152</v>
      </c>
      <c r="Z1585" s="1"/>
      <c r="AA1585" s="1"/>
      <c r="AB1585" s="1"/>
      <c r="AC1585" s="1" t="s">
        <v>1925</v>
      </c>
      <c r="AD1585" s="1"/>
      <c r="AE1585" s="36">
        <v>46008.0</v>
      </c>
      <c r="AF1585" s="1" t="s">
        <v>1440</v>
      </c>
      <c r="AG1585" s="1" t="s">
        <v>52</v>
      </c>
      <c r="AH1585" s="1" t="s">
        <v>8094</v>
      </c>
      <c r="AI1585" s="1"/>
      <c r="AJ1585" s="1" t="s">
        <v>8091</v>
      </c>
      <c r="AK1585" s="1" t="s">
        <v>1152</v>
      </c>
      <c r="AL1585" s="6" t="str">
        <f t="array" ref="AL1585">IFERROR(IFS(XLOOKUP(B1585, 'Kit Delivery Status'!$U:$U, 'Kit Delivery Status'!$K:$K) = "Complete", "DELIVERED", XLOOKUP(B1585, 'Kit Delivery Status'!$U:$U, 'Kit Delivery Status'!$K:$K) = "Issue", "ISSUE"), "")</f>
        <v/>
      </c>
      <c r="AM1585" s="6"/>
    </row>
    <row r="1586">
      <c r="A1586" s="5" t="s">
        <v>8095</v>
      </c>
      <c r="B1586" s="1" t="s">
        <v>8096</v>
      </c>
      <c r="C1586" s="1"/>
      <c r="D1586" s="2">
        <v>4.757774245E9</v>
      </c>
      <c r="E1586" s="1" t="s">
        <v>8097</v>
      </c>
      <c r="F1586" s="1"/>
      <c r="G1586" s="1" t="s">
        <v>2630</v>
      </c>
      <c r="H1586" s="1" t="s">
        <v>1038</v>
      </c>
      <c r="I1586" s="1">
        <v>23221.0</v>
      </c>
      <c r="J1586" s="1" t="s">
        <v>752</v>
      </c>
      <c r="K1586" s="1" t="s">
        <v>892</v>
      </c>
      <c r="L1586" s="1" t="s">
        <v>8006</v>
      </c>
      <c r="M1586" s="1">
        <v>49.0</v>
      </c>
      <c r="N1586" s="1" t="s">
        <v>1152</v>
      </c>
      <c r="O1586" s="3" t="s">
        <v>2814</v>
      </c>
      <c r="P1586" s="1" t="s">
        <v>1152</v>
      </c>
      <c r="Q1586" s="1" t="s">
        <v>1152</v>
      </c>
      <c r="R1586" s="1"/>
      <c r="S1586" s="1"/>
      <c r="T1586" s="1" t="s">
        <v>1152</v>
      </c>
      <c r="U1586" s="1" t="s">
        <v>2510</v>
      </c>
      <c r="V1586" s="4" t="s">
        <v>2814</v>
      </c>
      <c r="W1586" s="1"/>
      <c r="X1586" s="1" t="s">
        <v>1152</v>
      </c>
      <c r="Y1586" s="1" t="s">
        <v>1152</v>
      </c>
      <c r="Z1586" s="1"/>
      <c r="AA1586" s="1"/>
      <c r="AB1586" s="1"/>
      <c r="AC1586" s="1" t="s">
        <v>1925</v>
      </c>
      <c r="AD1586" s="1"/>
      <c r="AE1586" s="36">
        <v>46006.0</v>
      </c>
      <c r="AF1586" s="1" t="s">
        <v>1030</v>
      </c>
      <c r="AG1586" s="1" t="s">
        <v>52</v>
      </c>
      <c r="AH1586" s="1" t="s">
        <v>8098</v>
      </c>
      <c r="AI1586" s="1"/>
      <c r="AJ1586" s="1" t="s">
        <v>8097</v>
      </c>
      <c r="AK1586" s="1" t="s">
        <v>1152</v>
      </c>
      <c r="AL1586" s="6" t="str">
        <f t="array" ref="AL1586">IFERROR(IFS(XLOOKUP(B1586, 'Kit Delivery Status'!$U:$U, 'Kit Delivery Status'!$K:$K) = "Complete", "DELIVERED", XLOOKUP(B1586, 'Kit Delivery Status'!$U:$U, 'Kit Delivery Status'!$K:$K) = "Issue", "ISSUE"), "")</f>
        <v/>
      </c>
      <c r="AM1586" s="6"/>
    </row>
    <row r="1587">
      <c r="A1587" s="5" t="s">
        <v>8099</v>
      </c>
      <c r="B1587" s="1" t="s">
        <v>8100</v>
      </c>
      <c r="C1587" s="1" t="s">
        <v>8101</v>
      </c>
      <c r="D1587" s="2">
        <v>3.106145209E9</v>
      </c>
      <c r="E1587" s="1" t="s">
        <v>2011</v>
      </c>
      <c r="F1587" s="1"/>
      <c r="G1587" s="1" t="s">
        <v>2012</v>
      </c>
      <c r="H1587" s="1" t="s">
        <v>989</v>
      </c>
      <c r="I1587" s="1">
        <v>91301.0</v>
      </c>
      <c r="J1587" s="1" t="s">
        <v>752</v>
      </c>
      <c r="K1587" s="1" t="s">
        <v>2131</v>
      </c>
      <c r="L1587" s="1" t="s">
        <v>5811</v>
      </c>
      <c r="M1587" s="1">
        <v>1.0</v>
      </c>
      <c r="N1587" s="1" t="s">
        <v>1152</v>
      </c>
      <c r="O1587" s="3" t="s">
        <v>2013</v>
      </c>
      <c r="P1587" s="1" t="s">
        <v>1152</v>
      </c>
      <c r="Q1587" s="1" t="s">
        <v>1152</v>
      </c>
      <c r="R1587" s="1"/>
      <c r="S1587" s="1"/>
      <c r="T1587" s="1" t="s">
        <v>1152</v>
      </c>
      <c r="U1587" s="1" t="s">
        <v>3713</v>
      </c>
      <c r="V1587" s="4" t="s">
        <v>2013</v>
      </c>
      <c r="W1587" s="1"/>
      <c r="X1587" s="1" t="s">
        <v>1152</v>
      </c>
      <c r="Y1587" s="1" t="s">
        <v>1152</v>
      </c>
      <c r="Z1587" s="1"/>
      <c r="AA1587" s="1"/>
      <c r="AB1587" s="1"/>
      <c r="AC1587" s="1" t="s">
        <v>1925</v>
      </c>
      <c r="AD1587" s="1"/>
      <c r="AE1587" s="36">
        <v>46010.0</v>
      </c>
      <c r="AF1587" s="1"/>
      <c r="AG1587" s="1"/>
      <c r="AH1587" s="1" t="s">
        <v>1152</v>
      </c>
      <c r="AI1587" s="1"/>
      <c r="AJ1587" s="1" t="s">
        <v>8102</v>
      </c>
      <c r="AK1587" s="1" t="s">
        <v>1152</v>
      </c>
      <c r="AL1587" s="6" t="str">
        <f t="array" ref="AL1587">IFERROR(IFS(XLOOKUP(B1587, 'Kit Delivery Status'!$U:$U, 'Kit Delivery Status'!$K:$K) = "Complete", "DELIVERED", XLOOKUP(B1587, 'Kit Delivery Status'!$U:$U, 'Kit Delivery Status'!$K:$K) = "Issue", "ISSUE"), "")</f>
        <v/>
      </c>
      <c r="AM1587" s="6"/>
    </row>
    <row r="1588">
      <c r="A1588" s="5" t="s">
        <v>8103</v>
      </c>
      <c r="B1588" s="1" t="s">
        <v>8104</v>
      </c>
      <c r="C1588" s="1" t="s">
        <v>8101</v>
      </c>
      <c r="D1588" s="2">
        <v>3.106145209E9</v>
      </c>
      <c r="E1588" s="1" t="s">
        <v>2011</v>
      </c>
      <c r="F1588" s="1"/>
      <c r="G1588" s="1" t="s">
        <v>2012</v>
      </c>
      <c r="H1588" s="1" t="s">
        <v>989</v>
      </c>
      <c r="I1588" s="1">
        <v>91301.0</v>
      </c>
      <c r="J1588" s="1" t="s">
        <v>752</v>
      </c>
      <c r="K1588" s="1" t="s">
        <v>892</v>
      </c>
      <c r="L1588" s="1" t="s">
        <v>8006</v>
      </c>
      <c r="M1588" s="1">
        <v>49.0</v>
      </c>
      <c r="N1588" s="1" t="s">
        <v>1152</v>
      </c>
      <c r="O1588" s="3" t="s">
        <v>2013</v>
      </c>
      <c r="P1588" s="1" t="s">
        <v>1152</v>
      </c>
      <c r="Q1588" s="1" t="s">
        <v>1152</v>
      </c>
      <c r="R1588" s="1"/>
      <c r="S1588" s="1"/>
      <c r="T1588" s="1" t="s">
        <v>1152</v>
      </c>
      <c r="U1588" s="1" t="s">
        <v>3713</v>
      </c>
      <c r="V1588" s="4" t="s">
        <v>2013</v>
      </c>
      <c r="W1588" s="1"/>
      <c r="X1588" s="1" t="s">
        <v>1152</v>
      </c>
      <c r="Y1588" s="1" t="s">
        <v>1152</v>
      </c>
      <c r="Z1588" s="1"/>
      <c r="AA1588" s="1"/>
      <c r="AB1588" s="1"/>
      <c r="AC1588" s="1" t="s">
        <v>1925</v>
      </c>
      <c r="AD1588" s="1"/>
      <c r="AE1588" s="36">
        <v>46010.0</v>
      </c>
      <c r="AF1588" s="1" t="s">
        <v>1030</v>
      </c>
      <c r="AG1588" s="1" t="s">
        <v>52</v>
      </c>
      <c r="AH1588" s="1" t="s">
        <v>8105</v>
      </c>
      <c r="AI1588" s="1"/>
      <c r="AJ1588" s="1" t="s">
        <v>8102</v>
      </c>
      <c r="AK1588" s="1" t="s">
        <v>1152</v>
      </c>
      <c r="AL1588" s="6" t="str">
        <f t="array" ref="AL1588">IFERROR(IFS(XLOOKUP(B1588, 'Kit Delivery Status'!$U:$U, 'Kit Delivery Status'!$K:$K) = "Complete", "DELIVERED", XLOOKUP(B1588, 'Kit Delivery Status'!$U:$U, 'Kit Delivery Status'!$K:$K) = "Issue", "ISSUE"), "")</f>
        <v/>
      </c>
      <c r="AM1588" s="6"/>
    </row>
    <row r="1589">
      <c r="A1589" s="5" t="s">
        <v>8106</v>
      </c>
      <c r="B1589" s="1" t="s">
        <v>8107</v>
      </c>
      <c r="C1589" s="1"/>
      <c r="D1589" s="2">
        <v>6.123250023E9</v>
      </c>
      <c r="E1589" s="1" t="s">
        <v>8108</v>
      </c>
      <c r="F1589" s="1"/>
      <c r="G1589" s="1" t="s">
        <v>5841</v>
      </c>
      <c r="H1589" s="1" t="s">
        <v>1155</v>
      </c>
      <c r="I1589" s="1">
        <v>63105.0</v>
      </c>
      <c r="J1589" s="1" t="s">
        <v>752</v>
      </c>
      <c r="K1589" s="1" t="s">
        <v>7981</v>
      </c>
      <c r="L1589" s="1" t="s">
        <v>6819</v>
      </c>
      <c r="M1589" s="1">
        <v>49.0</v>
      </c>
      <c r="N1589" s="1" t="s">
        <v>1152</v>
      </c>
      <c r="O1589" s="3" t="s">
        <v>8109</v>
      </c>
      <c r="P1589" s="1" t="s">
        <v>1152</v>
      </c>
      <c r="Q1589" s="1" t="s">
        <v>1152</v>
      </c>
      <c r="R1589" s="1"/>
      <c r="S1589" s="1"/>
      <c r="T1589" s="1" t="s">
        <v>1152</v>
      </c>
      <c r="U1589" s="1" t="s">
        <v>1065</v>
      </c>
      <c r="V1589" s="4" t="s">
        <v>8109</v>
      </c>
      <c r="W1589" s="1"/>
      <c r="X1589" s="1" t="s">
        <v>1152</v>
      </c>
      <c r="Y1589" s="1" t="s">
        <v>1152</v>
      </c>
      <c r="Z1589" s="1"/>
      <c r="AA1589" s="1"/>
      <c r="AB1589" s="1"/>
      <c r="AC1589" s="1" t="s">
        <v>1925</v>
      </c>
      <c r="AD1589" s="1"/>
      <c r="AE1589" s="36">
        <v>46008.0</v>
      </c>
      <c r="AF1589" s="1" t="s">
        <v>1103</v>
      </c>
      <c r="AG1589" s="1" t="s">
        <v>52</v>
      </c>
      <c r="AH1589" s="1" t="s">
        <v>1152</v>
      </c>
      <c r="AI1589" s="1"/>
      <c r="AJ1589" s="1" t="s">
        <v>8108</v>
      </c>
      <c r="AK1589" s="1" t="s">
        <v>1152</v>
      </c>
      <c r="AL1589" s="6" t="str">
        <f t="array" ref="AL1589">IFERROR(IFS(XLOOKUP(B1589, 'Kit Delivery Status'!$U:$U, 'Kit Delivery Status'!$K:$K) = "Complete", "DELIVERED", XLOOKUP(B1589, 'Kit Delivery Status'!$U:$U, 'Kit Delivery Status'!$K:$K) = "Issue", "ISSUE"), "")</f>
        <v/>
      </c>
      <c r="AM1589" s="6"/>
    </row>
    <row r="1590">
      <c r="A1590" s="5" t="s">
        <v>8110</v>
      </c>
      <c r="B1590" s="1" t="s">
        <v>8111</v>
      </c>
      <c r="C1590" s="1" t="s">
        <v>1049</v>
      </c>
      <c r="D1590" s="2">
        <v>8.56630452E9</v>
      </c>
      <c r="E1590" s="1" t="s">
        <v>1050</v>
      </c>
      <c r="F1590" s="1"/>
      <c r="G1590" s="1" t="s">
        <v>1052</v>
      </c>
      <c r="H1590" s="1" t="s">
        <v>1053</v>
      </c>
      <c r="I1590" s="1">
        <v>8048.0</v>
      </c>
      <c r="J1590" s="1" t="s">
        <v>752</v>
      </c>
      <c r="K1590" s="1" t="s">
        <v>7981</v>
      </c>
      <c r="L1590" s="1" t="s">
        <v>6819</v>
      </c>
      <c r="M1590" s="1">
        <v>49.0</v>
      </c>
      <c r="N1590" s="1" t="s">
        <v>1152</v>
      </c>
      <c r="O1590" s="3" t="s">
        <v>8112</v>
      </c>
      <c r="P1590" s="1" t="s">
        <v>1152</v>
      </c>
      <c r="Q1590" s="1" t="s">
        <v>1152</v>
      </c>
      <c r="R1590" s="1"/>
      <c r="S1590" s="1"/>
      <c r="T1590" s="1" t="s">
        <v>1152</v>
      </c>
      <c r="U1590" s="1" t="s">
        <v>1055</v>
      </c>
      <c r="V1590" s="4" t="s">
        <v>8112</v>
      </c>
      <c r="W1590" s="1"/>
      <c r="X1590" s="1" t="s">
        <v>1152</v>
      </c>
      <c r="Y1590" s="1" t="s">
        <v>1152</v>
      </c>
      <c r="Z1590" s="1"/>
      <c r="AA1590" s="1"/>
      <c r="AB1590" s="1"/>
      <c r="AC1590" s="1" t="s">
        <v>1925</v>
      </c>
      <c r="AD1590" s="1"/>
      <c r="AE1590" s="36">
        <v>46010.0</v>
      </c>
      <c r="AF1590" s="1" t="s">
        <v>1030</v>
      </c>
      <c r="AG1590" s="1" t="s">
        <v>52</v>
      </c>
      <c r="AH1590" s="1" t="s">
        <v>1152</v>
      </c>
      <c r="AI1590" s="1"/>
      <c r="AJ1590" s="1" t="s">
        <v>1050</v>
      </c>
      <c r="AK1590" s="1" t="s">
        <v>1152</v>
      </c>
      <c r="AL1590" s="6" t="str">
        <f t="array" ref="AL1590">IFERROR(IFS(XLOOKUP(B1590, 'Kit Delivery Status'!$U:$U, 'Kit Delivery Status'!$K:$K) = "Complete", "DELIVERED", XLOOKUP(B1590, 'Kit Delivery Status'!$U:$U, 'Kit Delivery Status'!$K:$K) = "Issue", "ISSUE"), "")</f>
        <v/>
      </c>
      <c r="AM1590" s="6"/>
    </row>
    <row r="1591">
      <c r="A1591" s="5" t="s">
        <v>8113</v>
      </c>
      <c r="B1591" s="1" t="s">
        <v>8114</v>
      </c>
      <c r="C1591" s="1" t="s">
        <v>8115</v>
      </c>
      <c r="D1591" s="2">
        <v>2.035244382E9</v>
      </c>
      <c r="E1591" s="1" t="s">
        <v>8116</v>
      </c>
      <c r="F1591" s="1"/>
      <c r="G1591" s="1" t="s">
        <v>1766</v>
      </c>
      <c r="H1591" s="1" t="s">
        <v>1078</v>
      </c>
      <c r="I1591" s="1">
        <v>6831.0</v>
      </c>
      <c r="J1591" s="1" t="s">
        <v>752</v>
      </c>
      <c r="K1591" s="1" t="s">
        <v>7981</v>
      </c>
      <c r="L1591" s="1" t="s">
        <v>7863</v>
      </c>
      <c r="M1591" s="1">
        <v>79.0</v>
      </c>
      <c r="N1591" s="1" t="s">
        <v>1152</v>
      </c>
      <c r="O1591" s="3" t="s">
        <v>7396</v>
      </c>
      <c r="P1591" s="1" t="s">
        <v>1152</v>
      </c>
      <c r="Q1591" s="1" t="s">
        <v>1152</v>
      </c>
      <c r="R1591" s="1"/>
      <c r="S1591" s="1"/>
      <c r="T1591" s="1" t="s">
        <v>1152</v>
      </c>
      <c r="U1591" s="1" t="s">
        <v>1456</v>
      </c>
      <c r="V1591" s="4" t="s">
        <v>7396</v>
      </c>
      <c r="W1591" s="1"/>
      <c r="X1591" s="1" t="s">
        <v>1152</v>
      </c>
      <c r="Y1591" s="1" t="s">
        <v>1152</v>
      </c>
      <c r="Z1591" s="1"/>
      <c r="AA1591" s="1"/>
      <c r="AB1591" s="1"/>
      <c r="AC1591" s="1" t="s">
        <v>1925</v>
      </c>
      <c r="AD1591" s="1"/>
      <c r="AE1591" s="18">
        <v>45997.0</v>
      </c>
      <c r="AF1591" s="1" t="s">
        <v>1030</v>
      </c>
      <c r="AG1591" s="1" t="s">
        <v>52</v>
      </c>
      <c r="AH1591" s="1" t="s">
        <v>1152</v>
      </c>
      <c r="AI1591" s="1"/>
      <c r="AJ1591" s="1" t="s">
        <v>8117</v>
      </c>
      <c r="AK1591" s="1" t="s">
        <v>1152</v>
      </c>
      <c r="AL1591" s="6" t="str">
        <f t="array" ref="AL1591">IFERROR(IFS(XLOOKUP(B1591, 'Kit Delivery Status'!$U:$U, 'Kit Delivery Status'!$K:$K) = "Complete", "DELIVERED", XLOOKUP(B1591, 'Kit Delivery Status'!$U:$U, 'Kit Delivery Status'!$K:$K) = "Issue", "ISSUE"), "")</f>
        <v/>
      </c>
      <c r="AM1591" s="6"/>
    </row>
    <row r="1592">
      <c r="A1592" s="5" t="s">
        <v>8118</v>
      </c>
      <c r="B1592" s="1" t="s">
        <v>8119</v>
      </c>
      <c r="C1592" s="1" t="s">
        <v>8120</v>
      </c>
      <c r="D1592" s="2">
        <v>6.466603552E9</v>
      </c>
      <c r="E1592" s="1" t="s">
        <v>8121</v>
      </c>
      <c r="F1592" s="1"/>
      <c r="G1592" s="1" t="s">
        <v>3741</v>
      </c>
      <c r="H1592" s="1" t="s">
        <v>1155</v>
      </c>
      <c r="I1592" s="1">
        <v>63130.0</v>
      </c>
      <c r="J1592" s="1" t="s">
        <v>752</v>
      </c>
      <c r="K1592" s="1" t="s">
        <v>892</v>
      </c>
      <c r="L1592" s="1" t="s">
        <v>8006</v>
      </c>
      <c r="M1592" s="1">
        <v>49.0</v>
      </c>
      <c r="N1592" s="1" t="s">
        <v>1152</v>
      </c>
      <c r="O1592" s="3" t="s">
        <v>4814</v>
      </c>
      <c r="P1592" s="1" t="s">
        <v>1152</v>
      </c>
      <c r="Q1592" s="1" t="s">
        <v>1152</v>
      </c>
      <c r="R1592" s="1"/>
      <c r="S1592" s="1"/>
      <c r="T1592" s="1" t="s">
        <v>1152</v>
      </c>
      <c r="U1592" s="1" t="s">
        <v>1828</v>
      </c>
      <c r="V1592" s="4" t="s">
        <v>4814</v>
      </c>
      <c r="W1592" s="1"/>
      <c r="X1592" s="1" t="s">
        <v>1152</v>
      </c>
      <c r="Y1592" s="1" t="s">
        <v>1152</v>
      </c>
      <c r="Z1592" s="1"/>
      <c r="AA1592" s="1"/>
      <c r="AB1592" s="1"/>
      <c r="AC1592" s="1" t="s">
        <v>1925</v>
      </c>
      <c r="AD1592" s="1"/>
      <c r="AE1592" s="36">
        <v>46003.0</v>
      </c>
      <c r="AF1592" s="1" t="s">
        <v>1030</v>
      </c>
      <c r="AG1592" s="1" t="s">
        <v>52</v>
      </c>
      <c r="AH1592" s="1" t="s">
        <v>8122</v>
      </c>
      <c r="AI1592" s="1"/>
      <c r="AJ1592" s="1" t="s">
        <v>8121</v>
      </c>
      <c r="AK1592" s="1" t="s">
        <v>1152</v>
      </c>
      <c r="AL1592" s="6" t="str">
        <f t="array" ref="AL1592">IFERROR(IFS(XLOOKUP(B1592, 'Kit Delivery Status'!$U:$U, 'Kit Delivery Status'!$K:$K) = "Complete", "DELIVERED", XLOOKUP(B1592, 'Kit Delivery Status'!$U:$U, 'Kit Delivery Status'!$K:$K) = "Issue", "ISSUE"), "")</f>
        <v/>
      </c>
      <c r="AM1592" s="6"/>
    </row>
    <row r="1593">
      <c r="A1593" s="5" t="s">
        <v>8123</v>
      </c>
      <c r="B1593" s="1" t="s">
        <v>8124</v>
      </c>
      <c r="C1593" s="1" t="s">
        <v>8125</v>
      </c>
      <c r="D1593" s="2" t="str">
        <v>#ERROR!</v>
      </c>
      <c r="E1593" s="1" t="s">
        <v>8126</v>
      </c>
      <c r="F1593" s="1"/>
      <c r="G1593" s="1" t="s">
        <v>2715</v>
      </c>
      <c r="H1593" s="1" t="s">
        <v>1583</v>
      </c>
      <c r="I1593" s="1">
        <v>75240.0</v>
      </c>
      <c r="J1593" s="1" t="s">
        <v>752</v>
      </c>
      <c r="K1593" s="1" t="s">
        <v>892</v>
      </c>
      <c r="L1593" s="1" t="s">
        <v>8006</v>
      </c>
      <c r="M1593" s="1">
        <v>49.0</v>
      </c>
      <c r="N1593" s="1" t="s">
        <v>1152</v>
      </c>
      <c r="O1593" s="3" t="s">
        <v>8127</v>
      </c>
      <c r="P1593" s="1" t="s">
        <v>1152</v>
      </c>
      <c r="Q1593" s="1" t="s">
        <v>1152</v>
      </c>
      <c r="R1593" s="1"/>
      <c r="S1593" s="1"/>
      <c r="T1593" s="1" t="s">
        <v>1152</v>
      </c>
      <c r="U1593" s="1" t="s">
        <v>3713</v>
      </c>
      <c r="V1593" s="4" t="s">
        <v>8127</v>
      </c>
      <c r="W1593" s="1"/>
      <c r="X1593" s="1" t="s">
        <v>1152</v>
      </c>
      <c r="Y1593" s="1" t="s">
        <v>1152</v>
      </c>
      <c r="Z1593" s="1"/>
      <c r="AA1593" s="1"/>
      <c r="AB1593" s="1"/>
      <c r="AC1593" s="1" t="s">
        <v>1925</v>
      </c>
      <c r="AD1593" s="1"/>
      <c r="AE1593" s="36">
        <v>46006.0</v>
      </c>
      <c r="AF1593" s="1" t="s">
        <v>1630</v>
      </c>
      <c r="AG1593" s="1" t="s">
        <v>52</v>
      </c>
      <c r="AH1593" s="1" t="s">
        <v>8128</v>
      </c>
      <c r="AI1593" s="1"/>
      <c r="AJ1593" s="1" t="s">
        <v>8129</v>
      </c>
      <c r="AK1593" s="1" t="s">
        <v>1152</v>
      </c>
      <c r="AL1593" s="6" t="str">
        <f t="array" ref="AL1593">IFERROR(IFS(XLOOKUP(B1593, 'Kit Delivery Status'!$U:$U, 'Kit Delivery Status'!$K:$K) = "Complete", "DELIVERED", XLOOKUP(B1593, 'Kit Delivery Status'!$U:$U, 'Kit Delivery Status'!$K:$K) = "Issue", "ISSUE"), "")</f>
        <v/>
      </c>
      <c r="AM1593" s="6"/>
    </row>
    <row r="1594">
      <c r="A1594" s="5" t="s">
        <v>8130</v>
      </c>
      <c r="B1594" s="1" t="s">
        <v>8131</v>
      </c>
      <c r="C1594" s="1" t="s">
        <v>8132</v>
      </c>
      <c r="D1594" s="2">
        <v>6.505754445E9</v>
      </c>
      <c r="E1594" s="1" t="s">
        <v>8133</v>
      </c>
      <c r="F1594" s="1"/>
      <c r="G1594" s="1" t="s">
        <v>2219</v>
      </c>
      <c r="H1594" s="1" t="s">
        <v>989</v>
      </c>
      <c r="I1594" s="1">
        <v>94306.0</v>
      </c>
      <c r="J1594" s="1" t="s">
        <v>752</v>
      </c>
      <c r="K1594" s="1" t="s">
        <v>892</v>
      </c>
      <c r="L1594" s="1" t="s">
        <v>8134</v>
      </c>
      <c r="M1594" s="1">
        <v>79.0</v>
      </c>
      <c r="N1594" s="1" t="s">
        <v>1152</v>
      </c>
      <c r="O1594" s="3" t="s">
        <v>8135</v>
      </c>
      <c r="P1594" s="1" t="s">
        <v>1152</v>
      </c>
      <c r="Q1594" s="1" t="s">
        <v>1152</v>
      </c>
      <c r="R1594" s="1"/>
      <c r="S1594" s="1"/>
      <c r="T1594" s="1" t="s">
        <v>1152</v>
      </c>
      <c r="U1594" s="1" t="s">
        <v>1812</v>
      </c>
      <c r="V1594" s="4" t="s">
        <v>8135</v>
      </c>
      <c r="W1594" s="1"/>
      <c r="X1594" s="1" t="s">
        <v>1152</v>
      </c>
      <c r="Y1594" s="1" t="s">
        <v>1152</v>
      </c>
      <c r="Z1594" s="1"/>
      <c r="AA1594" s="1"/>
      <c r="AB1594" s="1"/>
      <c r="AC1594" s="1" t="s">
        <v>1925</v>
      </c>
      <c r="AD1594" s="1"/>
      <c r="AE1594" s="36">
        <v>46008.0</v>
      </c>
      <c r="AF1594" s="1" t="s">
        <v>1349</v>
      </c>
      <c r="AG1594" s="1" t="s">
        <v>52</v>
      </c>
      <c r="AH1594" s="1" t="s">
        <v>8136</v>
      </c>
      <c r="AI1594" s="1"/>
      <c r="AJ1594" s="1" t="s">
        <v>8133</v>
      </c>
      <c r="AK1594" s="1" t="s">
        <v>1152</v>
      </c>
      <c r="AL1594" s="6" t="str">
        <f t="array" ref="AL1594">IFERROR(IFS(XLOOKUP(B1594, 'Kit Delivery Status'!$U:$U, 'Kit Delivery Status'!$K:$K) = "Complete", "DELIVERED", XLOOKUP(B1594, 'Kit Delivery Status'!$U:$U, 'Kit Delivery Status'!$K:$K) = "Issue", "ISSUE"), "")</f>
        <v/>
      </c>
      <c r="AM1594" s="6"/>
    </row>
    <row r="1595">
      <c r="A1595" s="5" t="s">
        <v>8137</v>
      </c>
      <c r="B1595" s="1" t="s">
        <v>8138</v>
      </c>
      <c r="C1595" s="1" t="s">
        <v>8139</v>
      </c>
      <c r="D1595" s="2">
        <v>6.463428128E9</v>
      </c>
      <c r="E1595" s="1" t="s">
        <v>8140</v>
      </c>
      <c r="F1595" s="1"/>
      <c r="G1595" s="1" t="s">
        <v>4072</v>
      </c>
      <c r="H1595" s="1" t="s">
        <v>1053</v>
      </c>
      <c r="I1595" s="1">
        <v>7081.0</v>
      </c>
      <c r="J1595" s="1" t="s">
        <v>752</v>
      </c>
      <c r="K1595" s="1" t="s">
        <v>7981</v>
      </c>
      <c r="L1595" s="1" t="s">
        <v>6819</v>
      </c>
      <c r="M1595" s="1">
        <v>49.0</v>
      </c>
      <c r="N1595" s="1" t="s">
        <v>1152</v>
      </c>
      <c r="O1595" s="3" t="s">
        <v>8141</v>
      </c>
      <c r="P1595" s="1" t="s">
        <v>1152</v>
      </c>
      <c r="Q1595" s="1" t="s">
        <v>1152</v>
      </c>
      <c r="R1595" s="1"/>
      <c r="S1595" s="1"/>
      <c r="T1595" s="1" t="s">
        <v>1152</v>
      </c>
      <c r="U1595" s="1" t="s">
        <v>1710</v>
      </c>
      <c r="V1595" s="4" t="s">
        <v>8141</v>
      </c>
      <c r="W1595" s="1"/>
      <c r="X1595" s="1" t="s">
        <v>1152</v>
      </c>
      <c r="Y1595" s="1" t="s">
        <v>1152</v>
      </c>
      <c r="Z1595" s="1"/>
      <c r="AA1595" s="1"/>
      <c r="AB1595" s="1"/>
      <c r="AC1595" s="1" t="s">
        <v>1925</v>
      </c>
      <c r="AD1595" s="1"/>
      <c r="AE1595" s="36">
        <v>46007.0</v>
      </c>
      <c r="AF1595" s="1" t="s">
        <v>1030</v>
      </c>
      <c r="AG1595" s="1" t="s">
        <v>52</v>
      </c>
      <c r="AH1595" s="1" t="s">
        <v>1152</v>
      </c>
      <c r="AI1595" s="1"/>
      <c r="AJ1595" s="1" t="s">
        <v>8142</v>
      </c>
      <c r="AK1595" s="1" t="s">
        <v>1152</v>
      </c>
      <c r="AL1595" s="6" t="str">
        <f t="array" ref="AL1595">IFERROR(IFS(XLOOKUP(B1595, 'Kit Delivery Status'!$U:$U, 'Kit Delivery Status'!$K:$K) = "Complete", "DELIVERED", XLOOKUP(B1595, 'Kit Delivery Status'!$U:$U, 'Kit Delivery Status'!$K:$K) = "Issue", "ISSUE"), "")</f>
        <v/>
      </c>
      <c r="AM1595" s="6"/>
    </row>
    <row r="1596">
      <c r="A1596" s="5" t="s">
        <v>8143</v>
      </c>
      <c r="B1596" s="1" t="s">
        <v>8144</v>
      </c>
      <c r="C1596" s="1" t="s">
        <v>8145</v>
      </c>
      <c r="D1596" s="2">
        <v>8.186204788E9</v>
      </c>
      <c r="E1596" s="1" t="s">
        <v>5112</v>
      </c>
      <c r="F1596" s="1"/>
      <c r="G1596" s="1" t="s">
        <v>5113</v>
      </c>
      <c r="H1596" s="1" t="s">
        <v>989</v>
      </c>
      <c r="I1596" s="1">
        <v>91302.0</v>
      </c>
      <c r="J1596" s="1" t="s">
        <v>752</v>
      </c>
      <c r="K1596" s="1" t="s">
        <v>7981</v>
      </c>
      <c r="L1596" s="1" t="s">
        <v>6819</v>
      </c>
      <c r="M1596" s="1">
        <v>49.0</v>
      </c>
      <c r="N1596" s="1" t="s">
        <v>1152</v>
      </c>
      <c r="O1596" s="3" t="s">
        <v>5114</v>
      </c>
      <c r="P1596" s="1" t="s">
        <v>1152</v>
      </c>
      <c r="Q1596" s="1" t="s">
        <v>1152</v>
      </c>
      <c r="R1596" s="1"/>
      <c r="S1596" s="1"/>
      <c r="T1596" s="1" t="s">
        <v>1152</v>
      </c>
      <c r="U1596" s="1" t="s">
        <v>2940</v>
      </c>
      <c r="V1596" s="4" t="s">
        <v>5114</v>
      </c>
      <c r="W1596" s="1"/>
      <c r="X1596" s="1" t="s">
        <v>1152</v>
      </c>
      <c r="Y1596" s="1" t="s">
        <v>1152</v>
      </c>
      <c r="Z1596" s="1"/>
      <c r="AA1596" s="1"/>
      <c r="AB1596" s="1"/>
      <c r="AC1596" s="1" t="s">
        <v>1925</v>
      </c>
      <c r="AD1596" s="1"/>
      <c r="AE1596" s="36">
        <v>46009.0</v>
      </c>
      <c r="AF1596" s="1" t="s">
        <v>1630</v>
      </c>
      <c r="AG1596" s="1" t="s">
        <v>52</v>
      </c>
      <c r="AH1596" s="1" t="s">
        <v>1152</v>
      </c>
      <c r="AI1596" s="1"/>
      <c r="AJ1596" s="1" t="s">
        <v>5112</v>
      </c>
      <c r="AK1596" s="1" t="s">
        <v>1152</v>
      </c>
      <c r="AL1596" s="6" t="str">
        <f t="array" ref="AL1596">IFERROR(IFS(XLOOKUP(B1596, 'Kit Delivery Status'!$U:$U, 'Kit Delivery Status'!$K:$K) = "Complete", "DELIVERED", XLOOKUP(B1596, 'Kit Delivery Status'!$U:$U, 'Kit Delivery Status'!$K:$K) = "Issue", "ISSUE"), "")</f>
        <v/>
      </c>
      <c r="AM1596" s="6"/>
    </row>
    <row r="1597">
      <c r="A1597" s="5" t="s">
        <v>8146</v>
      </c>
      <c r="B1597" s="1" t="s">
        <v>8147</v>
      </c>
      <c r="C1597" s="1" t="s">
        <v>8148</v>
      </c>
      <c r="D1597" s="2">
        <v>6.508689006E9</v>
      </c>
      <c r="E1597" s="1" t="s">
        <v>8149</v>
      </c>
      <c r="F1597" s="1"/>
      <c r="G1597" s="1" t="s">
        <v>8150</v>
      </c>
      <c r="H1597" s="1" t="s">
        <v>989</v>
      </c>
      <c r="I1597" s="1">
        <v>95051.0</v>
      </c>
      <c r="J1597" s="1" t="s">
        <v>752</v>
      </c>
      <c r="K1597" s="1" t="s">
        <v>7981</v>
      </c>
      <c r="L1597" s="1" t="s">
        <v>6819</v>
      </c>
      <c r="M1597" s="1">
        <v>49.0</v>
      </c>
      <c r="N1597" s="1" t="s">
        <v>1152</v>
      </c>
      <c r="O1597" s="3" t="s">
        <v>8151</v>
      </c>
      <c r="P1597" s="1" t="s">
        <v>1152</v>
      </c>
      <c r="Q1597" s="1" t="s">
        <v>1152</v>
      </c>
      <c r="R1597" s="1"/>
      <c r="S1597" s="1"/>
      <c r="T1597" s="1" t="s">
        <v>1152</v>
      </c>
      <c r="U1597" s="1" t="s">
        <v>1828</v>
      </c>
      <c r="V1597" s="4" t="s">
        <v>8151</v>
      </c>
      <c r="W1597" s="1"/>
      <c r="X1597" s="1" t="s">
        <v>1152</v>
      </c>
      <c r="Y1597" s="1" t="s">
        <v>1152</v>
      </c>
      <c r="Z1597" s="1"/>
      <c r="AA1597" s="1"/>
      <c r="AB1597" s="1"/>
      <c r="AC1597" s="1" t="s">
        <v>1925</v>
      </c>
      <c r="AD1597" s="1"/>
      <c r="AE1597" s="36">
        <v>46003.0</v>
      </c>
      <c r="AF1597" s="1" t="s">
        <v>1349</v>
      </c>
      <c r="AG1597" s="1" t="s">
        <v>52</v>
      </c>
      <c r="AH1597" s="1" t="s">
        <v>1152</v>
      </c>
      <c r="AI1597" s="1"/>
      <c r="AJ1597" s="1" t="s">
        <v>8152</v>
      </c>
      <c r="AK1597" s="1" t="s">
        <v>1152</v>
      </c>
      <c r="AL1597" s="6" t="str">
        <f t="array" ref="AL1597">IFERROR(IFS(XLOOKUP(B1597, 'Kit Delivery Status'!$U:$U, 'Kit Delivery Status'!$K:$K) = "Complete", "DELIVERED", XLOOKUP(B1597, 'Kit Delivery Status'!$U:$U, 'Kit Delivery Status'!$K:$K) = "Issue", "ISSUE"), "")</f>
        <v/>
      </c>
      <c r="AM1597" s="6"/>
    </row>
    <row r="1598">
      <c r="A1598" s="5" t="s">
        <v>8153</v>
      </c>
      <c r="B1598" s="1" t="s">
        <v>8154</v>
      </c>
      <c r="C1598" s="1" t="s">
        <v>8155</v>
      </c>
      <c r="D1598" s="2">
        <v>3.106143925E9</v>
      </c>
      <c r="E1598" s="1" t="s">
        <v>8156</v>
      </c>
      <c r="F1598" s="1"/>
      <c r="G1598" s="1" t="s">
        <v>1179</v>
      </c>
      <c r="H1598" s="1" t="s">
        <v>989</v>
      </c>
      <c r="I1598" s="1">
        <v>90272.0</v>
      </c>
      <c r="J1598" s="1" t="s">
        <v>752</v>
      </c>
      <c r="K1598" s="1" t="s">
        <v>892</v>
      </c>
      <c r="L1598" s="1" t="s">
        <v>8006</v>
      </c>
      <c r="M1598" s="1">
        <v>49.0</v>
      </c>
      <c r="N1598" s="1" t="s">
        <v>1152</v>
      </c>
      <c r="O1598" s="3" t="s">
        <v>1029</v>
      </c>
      <c r="P1598" s="1" t="s">
        <v>1152</v>
      </c>
      <c r="Q1598" s="1" t="s">
        <v>1152</v>
      </c>
      <c r="R1598" s="1"/>
      <c r="S1598" s="1"/>
      <c r="T1598" s="1" t="s">
        <v>1152</v>
      </c>
      <c r="U1598" s="1" t="s">
        <v>2430</v>
      </c>
      <c r="V1598" s="4" t="s">
        <v>1029</v>
      </c>
      <c r="W1598" s="1"/>
      <c r="X1598" s="1" t="s">
        <v>1152</v>
      </c>
      <c r="Y1598" s="1" t="s">
        <v>1152</v>
      </c>
      <c r="Z1598" s="1"/>
      <c r="AA1598" s="1"/>
      <c r="AB1598" s="1"/>
      <c r="AC1598" s="1" t="s">
        <v>1925</v>
      </c>
      <c r="AD1598" s="1"/>
      <c r="AE1598" s="36">
        <v>46006.0</v>
      </c>
      <c r="AF1598" s="1" t="s">
        <v>1103</v>
      </c>
      <c r="AG1598" s="1" t="s">
        <v>52</v>
      </c>
      <c r="AH1598" s="1" t="s">
        <v>8157</v>
      </c>
      <c r="AI1598" s="1"/>
      <c r="AJ1598" s="1" t="s">
        <v>8156</v>
      </c>
      <c r="AK1598" s="1" t="s">
        <v>1152</v>
      </c>
      <c r="AL1598" s="6" t="str">
        <f t="array" ref="AL1598">IFERROR(IFS(XLOOKUP(B1598, 'Kit Delivery Status'!$U:$U, 'Kit Delivery Status'!$K:$K) = "Complete", "DELIVERED", XLOOKUP(B1598, 'Kit Delivery Status'!$U:$U, 'Kit Delivery Status'!$K:$K) = "Issue", "ISSUE"), "")</f>
        <v/>
      </c>
      <c r="AM1598" s="6"/>
    </row>
    <row r="1599">
      <c r="A1599" s="5" t="s">
        <v>8158</v>
      </c>
      <c r="B1599" s="1" t="s">
        <v>8159</v>
      </c>
      <c r="C1599" s="1" t="s">
        <v>8155</v>
      </c>
      <c r="D1599" s="2">
        <v>3.106143925E9</v>
      </c>
      <c r="E1599" s="1" t="s">
        <v>8156</v>
      </c>
      <c r="F1599" s="1"/>
      <c r="G1599" s="1" t="s">
        <v>1179</v>
      </c>
      <c r="H1599" s="1" t="s">
        <v>989</v>
      </c>
      <c r="I1599" s="1">
        <v>90272.0</v>
      </c>
      <c r="J1599" s="1" t="s">
        <v>752</v>
      </c>
      <c r="K1599" s="1" t="s">
        <v>7981</v>
      </c>
      <c r="L1599" s="1" t="s">
        <v>6819</v>
      </c>
      <c r="M1599" s="1">
        <v>49.0</v>
      </c>
      <c r="N1599" s="1" t="s">
        <v>1152</v>
      </c>
      <c r="O1599" s="3" t="s">
        <v>1029</v>
      </c>
      <c r="P1599" s="1" t="s">
        <v>1152</v>
      </c>
      <c r="Q1599" s="1" t="s">
        <v>1152</v>
      </c>
      <c r="R1599" s="1"/>
      <c r="S1599" s="1"/>
      <c r="T1599" s="1" t="s">
        <v>1152</v>
      </c>
      <c r="U1599" s="1" t="s">
        <v>2430</v>
      </c>
      <c r="V1599" s="4" t="s">
        <v>1029</v>
      </c>
      <c r="W1599" s="1"/>
      <c r="X1599" s="1" t="s">
        <v>1152</v>
      </c>
      <c r="Y1599" s="1" t="s">
        <v>1152</v>
      </c>
      <c r="Z1599" s="1"/>
      <c r="AA1599" s="1"/>
      <c r="AB1599" s="1"/>
      <c r="AC1599" s="1" t="s">
        <v>1925</v>
      </c>
      <c r="AD1599" s="1"/>
      <c r="AE1599" s="36">
        <v>46006.0</v>
      </c>
      <c r="AF1599" s="1" t="s">
        <v>1103</v>
      </c>
      <c r="AG1599" s="1" t="s">
        <v>52</v>
      </c>
      <c r="AH1599" s="1" t="s">
        <v>1152</v>
      </c>
      <c r="AI1599" s="1"/>
      <c r="AJ1599" s="1" t="s">
        <v>8156</v>
      </c>
      <c r="AK1599" s="1" t="s">
        <v>1152</v>
      </c>
      <c r="AL1599" s="6" t="str">
        <f t="array" ref="AL1599">IFERROR(IFS(XLOOKUP(B1599, 'Kit Delivery Status'!$U:$U, 'Kit Delivery Status'!$K:$K) = "Complete", "DELIVERED", XLOOKUP(B1599, 'Kit Delivery Status'!$U:$U, 'Kit Delivery Status'!$K:$K) = "Issue", "ISSUE"), "")</f>
        <v/>
      </c>
      <c r="AM1599" s="6"/>
    </row>
    <row r="1600">
      <c r="A1600" s="5" t="s">
        <v>8160</v>
      </c>
      <c r="B1600" s="1" t="s">
        <v>8161</v>
      </c>
      <c r="C1600" s="1" t="s">
        <v>8162</v>
      </c>
      <c r="D1600" s="2">
        <v>9.178281862E9</v>
      </c>
      <c r="E1600" s="1" t="s">
        <v>8163</v>
      </c>
      <c r="F1600" s="1"/>
      <c r="G1600" s="1" t="s">
        <v>1766</v>
      </c>
      <c r="H1600" s="1" t="s">
        <v>1078</v>
      </c>
      <c r="I1600" s="1">
        <v>6830.0</v>
      </c>
      <c r="J1600" s="1" t="s">
        <v>752</v>
      </c>
      <c r="K1600" s="1" t="s">
        <v>892</v>
      </c>
      <c r="L1600" s="1" t="s">
        <v>8006</v>
      </c>
      <c r="M1600" s="1">
        <v>49.0</v>
      </c>
      <c r="N1600" s="1" t="s">
        <v>1152</v>
      </c>
      <c r="O1600" s="3" t="s">
        <v>1767</v>
      </c>
      <c r="P1600" s="1" t="s">
        <v>1152</v>
      </c>
      <c r="Q1600" s="1" t="s">
        <v>1152</v>
      </c>
      <c r="R1600" s="1"/>
      <c r="S1600" s="1"/>
      <c r="T1600" s="1" t="s">
        <v>1152</v>
      </c>
      <c r="U1600" s="1" t="s">
        <v>1133</v>
      </c>
      <c r="V1600" s="4" t="s">
        <v>1767</v>
      </c>
      <c r="W1600" s="1"/>
      <c r="X1600" s="1" t="s">
        <v>1152</v>
      </c>
      <c r="Y1600" s="1" t="s">
        <v>1152</v>
      </c>
      <c r="Z1600" s="1"/>
      <c r="AA1600" s="1"/>
      <c r="AB1600" s="1"/>
      <c r="AC1600" s="1" t="s">
        <v>1925</v>
      </c>
      <c r="AD1600" s="1"/>
      <c r="AE1600" s="36">
        <v>46004.0</v>
      </c>
      <c r="AF1600" s="1" t="s">
        <v>1349</v>
      </c>
      <c r="AG1600" s="1" t="s">
        <v>52</v>
      </c>
      <c r="AH1600" s="1" t="s">
        <v>8164</v>
      </c>
      <c r="AI1600" s="1"/>
      <c r="AJ1600" s="1" t="s">
        <v>8163</v>
      </c>
      <c r="AK1600" s="1" t="s">
        <v>1152</v>
      </c>
      <c r="AL1600" s="6" t="str">
        <f t="array" ref="AL1600">IFERROR(IFS(XLOOKUP(B1600, 'Kit Delivery Status'!$U:$U, 'Kit Delivery Status'!$K:$K) = "Complete", "DELIVERED", XLOOKUP(B1600, 'Kit Delivery Status'!$U:$U, 'Kit Delivery Status'!$K:$K) = "Issue", "ISSUE"), "")</f>
        <v/>
      </c>
      <c r="AM1600" s="6"/>
    </row>
    <row r="1601">
      <c r="A1601" s="5" t="s">
        <v>8165</v>
      </c>
      <c r="B1601" s="1" t="s">
        <v>8166</v>
      </c>
      <c r="C1601" s="1" t="s">
        <v>8167</v>
      </c>
      <c r="D1601" s="2"/>
      <c r="E1601" s="1" t="s">
        <v>8168</v>
      </c>
      <c r="F1601" s="1" t="s">
        <v>8169</v>
      </c>
      <c r="G1601" s="1" t="s">
        <v>8170</v>
      </c>
      <c r="H1601" s="1" t="s">
        <v>989</v>
      </c>
      <c r="I1601" s="1">
        <v>91355.0</v>
      </c>
      <c r="J1601" s="1" t="s">
        <v>752</v>
      </c>
      <c r="K1601" s="1" t="s">
        <v>892</v>
      </c>
      <c r="L1601" s="1" t="s">
        <v>6946</v>
      </c>
      <c r="M1601" s="1">
        <v>49.0</v>
      </c>
      <c r="N1601" s="1" t="s">
        <v>1152</v>
      </c>
      <c r="O1601" s="3"/>
      <c r="P1601" s="1" t="s">
        <v>1152</v>
      </c>
      <c r="Q1601" s="1" t="s">
        <v>1152</v>
      </c>
      <c r="R1601" s="1" t="s">
        <v>8169</v>
      </c>
      <c r="S1601" s="1"/>
      <c r="T1601" s="1" t="s">
        <v>1152</v>
      </c>
      <c r="U1601" s="1"/>
      <c r="V1601" s="4"/>
      <c r="W1601" s="1" t="s">
        <v>8169</v>
      </c>
      <c r="X1601" s="1" t="s">
        <v>1152</v>
      </c>
      <c r="Y1601" s="1" t="s">
        <v>1152</v>
      </c>
      <c r="Z1601" s="1"/>
      <c r="AA1601" s="1" t="s">
        <v>8169</v>
      </c>
      <c r="AB1601" s="1"/>
      <c r="AC1601" s="1" t="s">
        <v>1925</v>
      </c>
      <c r="AD1601" s="1"/>
      <c r="AE1601" s="36">
        <v>46002.0</v>
      </c>
      <c r="AF1601" s="1" t="s">
        <v>1349</v>
      </c>
      <c r="AG1601" s="1" t="s">
        <v>124</v>
      </c>
      <c r="AH1601" s="1" t="s">
        <v>8171</v>
      </c>
      <c r="AI1601" s="1"/>
      <c r="AJ1601" s="1" t="s">
        <v>8168</v>
      </c>
      <c r="AK1601" s="1" t="s">
        <v>1152</v>
      </c>
      <c r="AL1601" s="6" t="str">
        <f t="array" ref="AL1601">IFERROR(IFS(XLOOKUP(B1601, 'Kit Delivery Status'!$U:$U, 'Kit Delivery Status'!$K:$K) = "Complete", "DELIVERED", XLOOKUP(B1601, 'Kit Delivery Status'!$U:$U, 'Kit Delivery Status'!$K:$K) = "Issue", "ISSUE"), "")</f>
        <v/>
      </c>
      <c r="AM1601" s="6"/>
    </row>
    <row r="1602">
      <c r="A1602" s="5" t="s">
        <v>8172</v>
      </c>
      <c r="B1602" s="1" t="s">
        <v>8173</v>
      </c>
      <c r="C1602" s="1" t="s">
        <v>8174</v>
      </c>
      <c r="D1602" s="2">
        <v>3.10729396E9</v>
      </c>
      <c r="E1602" s="1" t="s">
        <v>2938</v>
      </c>
      <c r="F1602" s="1"/>
      <c r="G1602" s="1" t="s">
        <v>2791</v>
      </c>
      <c r="H1602" s="1" t="s">
        <v>989</v>
      </c>
      <c r="I1602" s="1">
        <v>90402.0</v>
      </c>
      <c r="J1602" s="1" t="s">
        <v>752</v>
      </c>
      <c r="K1602" s="1" t="s">
        <v>7981</v>
      </c>
      <c r="L1602" s="1" t="s">
        <v>6819</v>
      </c>
      <c r="M1602" s="1">
        <v>49.0</v>
      </c>
      <c r="N1602" s="1" t="s">
        <v>1152</v>
      </c>
      <c r="O1602" s="3" t="s">
        <v>8175</v>
      </c>
      <c r="P1602" s="1" t="s">
        <v>1152</v>
      </c>
      <c r="Q1602" s="1" t="s">
        <v>1152</v>
      </c>
      <c r="R1602" s="1"/>
      <c r="S1602" s="1"/>
      <c r="T1602" s="1" t="s">
        <v>1152</v>
      </c>
      <c r="U1602" s="1" t="s">
        <v>2940</v>
      </c>
      <c r="V1602" s="4" t="s">
        <v>8175</v>
      </c>
      <c r="W1602" s="1"/>
      <c r="X1602" s="1" t="s">
        <v>1152</v>
      </c>
      <c r="Y1602" s="1" t="s">
        <v>1152</v>
      </c>
      <c r="Z1602" s="1"/>
      <c r="AA1602" s="1"/>
      <c r="AB1602" s="1"/>
      <c r="AC1602" s="1" t="s">
        <v>1925</v>
      </c>
      <c r="AD1602" s="1"/>
      <c r="AE1602" s="36">
        <v>46008.0</v>
      </c>
      <c r="AF1602" s="1" t="s">
        <v>1030</v>
      </c>
      <c r="AG1602" s="1" t="s">
        <v>52</v>
      </c>
      <c r="AH1602" s="1" t="s">
        <v>1152</v>
      </c>
      <c r="AI1602" s="1"/>
      <c r="AJ1602" s="1" t="s">
        <v>2938</v>
      </c>
      <c r="AK1602" s="1" t="s">
        <v>1152</v>
      </c>
      <c r="AL1602" s="6" t="str">
        <f t="array" ref="AL1602">IFERROR(IFS(XLOOKUP(B1602, 'Kit Delivery Status'!$U:$U, 'Kit Delivery Status'!$K:$K) = "Complete", "DELIVERED", XLOOKUP(B1602, 'Kit Delivery Status'!$U:$U, 'Kit Delivery Status'!$K:$K) = "Issue", "ISSUE"), "")</f>
        <v/>
      </c>
      <c r="AM1602" s="6"/>
    </row>
    <row r="1603">
      <c r="A1603" s="5" t="s">
        <v>8176</v>
      </c>
      <c r="B1603" s="1" t="s">
        <v>8177</v>
      </c>
      <c r="C1603" s="1" t="s">
        <v>8178</v>
      </c>
      <c r="D1603" s="2">
        <v>5.103581873E9</v>
      </c>
      <c r="E1603" s="1" t="s">
        <v>8179</v>
      </c>
      <c r="F1603" s="1"/>
      <c r="G1603" s="1" t="s">
        <v>1562</v>
      </c>
      <c r="H1603" s="1" t="s">
        <v>989</v>
      </c>
      <c r="I1603" s="1">
        <v>94107.0</v>
      </c>
      <c r="J1603" s="1" t="s">
        <v>752</v>
      </c>
      <c r="K1603" s="1" t="s">
        <v>42</v>
      </c>
      <c r="L1603" s="1" t="s">
        <v>6819</v>
      </c>
      <c r="M1603" s="1">
        <v>49.0</v>
      </c>
      <c r="N1603" s="1" t="s">
        <v>1152</v>
      </c>
      <c r="O1603" s="3" t="s">
        <v>7908</v>
      </c>
      <c r="P1603" s="1" t="s">
        <v>1152</v>
      </c>
      <c r="Q1603" s="1" t="s">
        <v>1152</v>
      </c>
      <c r="R1603" s="1"/>
      <c r="S1603" s="1"/>
      <c r="T1603" s="1" t="s">
        <v>1152</v>
      </c>
      <c r="U1603" s="1" t="s">
        <v>1710</v>
      </c>
      <c r="V1603" s="4" t="s">
        <v>7908</v>
      </c>
      <c r="W1603" s="1"/>
      <c r="X1603" s="1" t="s">
        <v>1152</v>
      </c>
      <c r="Y1603" s="1" t="s">
        <v>1152</v>
      </c>
      <c r="Z1603" s="1"/>
      <c r="AA1603" s="1"/>
      <c r="AB1603" s="1"/>
      <c r="AC1603" s="1" t="s">
        <v>1925</v>
      </c>
      <c r="AD1603" s="1"/>
      <c r="AE1603" s="36">
        <v>46006.0</v>
      </c>
      <c r="AF1603" s="1" t="s">
        <v>1103</v>
      </c>
      <c r="AG1603" s="1" t="s">
        <v>52</v>
      </c>
      <c r="AH1603" s="1" t="s">
        <v>1152</v>
      </c>
      <c r="AI1603" s="1"/>
      <c r="AJ1603" s="1" t="s">
        <v>8179</v>
      </c>
      <c r="AK1603" s="1" t="s">
        <v>1152</v>
      </c>
      <c r="AL1603" s="6" t="str">
        <f t="array" ref="AL1603">IFERROR(IFS(XLOOKUP(B1603, 'Kit Delivery Status'!$U:$U, 'Kit Delivery Status'!$K:$K) = "Complete", "DELIVERED", XLOOKUP(B1603, 'Kit Delivery Status'!$U:$U, 'Kit Delivery Status'!$K:$K) = "Issue", "ISSUE"), "")</f>
        <v/>
      </c>
      <c r="AM1603" s="6"/>
    </row>
    <row r="1604">
      <c r="A1604" s="5" t="s">
        <v>8180</v>
      </c>
      <c r="B1604" s="1" t="s">
        <v>8181</v>
      </c>
      <c r="C1604" s="1" t="s">
        <v>8182</v>
      </c>
      <c r="D1604" s="2">
        <v>6.464042721E9</v>
      </c>
      <c r="E1604" s="1" t="s">
        <v>5558</v>
      </c>
      <c r="F1604" s="1"/>
      <c r="G1604" s="1" t="s">
        <v>751</v>
      </c>
      <c r="H1604" s="1" t="s">
        <v>751</v>
      </c>
      <c r="I1604" s="1">
        <v>10069.0</v>
      </c>
      <c r="J1604" s="1" t="s">
        <v>752</v>
      </c>
      <c r="K1604" s="1" t="s">
        <v>7981</v>
      </c>
      <c r="L1604" s="1" t="s">
        <v>6819</v>
      </c>
      <c r="M1604" s="1">
        <v>49.0</v>
      </c>
      <c r="N1604" s="1" t="s">
        <v>1152</v>
      </c>
      <c r="O1604" s="3" t="s">
        <v>5559</v>
      </c>
      <c r="P1604" s="1" t="s">
        <v>1152</v>
      </c>
      <c r="Q1604" s="1" t="s">
        <v>1152</v>
      </c>
      <c r="R1604" s="1"/>
      <c r="S1604" s="1"/>
      <c r="T1604" s="1" t="s">
        <v>1152</v>
      </c>
      <c r="U1604" s="1" t="s">
        <v>1522</v>
      </c>
      <c r="V1604" s="4" t="s">
        <v>5559</v>
      </c>
      <c r="W1604" s="1"/>
      <c r="X1604" s="1" t="s">
        <v>1152</v>
      </c>
      <c r="Y1604" s="1" t="s">
        <v>1152</v>
      </c>
      <c r="Z1604" s="1"/>
      <c r="AA1604" s="1"/>
      <c r="AB1604" s="1"/>
      <c r="AC1604" s="1" t="s">
        <v>1925</v>
      </c>
      <c r="AD1604" s="1"/>
      <c r="AE1604" s="36">
        <v>46007.0</v>
      </c>
      <c r="AF1604" s="1" t="s">
        <v>1455</v>
      </c>
      <c r="AG1604" s="1" t="s">
        <v>52</v>
      </c>
      <c r="AH1604" s="1" t="s">
        <v>1152</v>
      </c>
      <c r="AI1604" s="1"/>
      <c r="AJ1604" s="1" t="s">
        <v>8183</v>
      </c>
      <c r="AK1604" s="1" t="s">
        <v>1152</v>
      </c>
      <c r="AL1604" s="6" t="str">
        <f t="array" ref="AL1604">IFERROR(IFS(XLOOKUP(B1604, 'Kit Delivery Status'!$U:$U, 'Kit Delivery Status'!$K:$K) = "Complete", "DELIVERED", XLOOKUP(B1604, 'Kit Delivery Status'!$U:$U, 'Kit Delivery Status'!$K:$K) = "Issue", "ISSUE"), "")</f>
        <v/>
      </c>
      <c r="AM1604" s="6"/>
    </row>
    <row r="1605">
      <c r="A1605" s="5" t="s">
        <v>8184</v>
      </c>
      <c r="B1605" s="1" t="s">
        <v>8185</v>
      </c>
      <c r="C1605" s="1" t="s">
        <v>8186</v>
      </c>
      <c r="D1605" s="2" t="s">
        <v>8187</v>
      </c>
      <c r="E1605" s="1" t="s">
        <v>6665</v>
      </c>
      <c r="F1605" s="1"/>
      <c r="G1605" s="1" t="s">
        <v>1179</v>
      </c>
      <c r="H1605" s="1" t="s">
        <v>989</v>
      </c>
      <c r="I1605" s="1">
        <v>90049.0</v>
      </c>
      <c r="J1605" s="1" t="s">
        <v>752</v>
      </c>
      <c r="K1605" s="1" t="s">
        <v>7981</v>
      </c>
      <c r="L1605" s="1" t="s">
        <v>6819</v>
      </c>
      <c r="M1605" s="1">
        <v>49.0</v>
      </c>
      <c r="N1605" s="1" t="s">
        <v>1152</v>
      </c>
      <c r="O1605" s="3" t="s">
        <v>3791</v>
      </c>
      <c r="P1605" s="1" t="s">
        <v>1152</v>
      </c>
      <c r="Q1605" s="1" t="s">
        <v>1152</v>
      </c>
      <c r="R1605" s="1"/>
      <c r="S1605" s="1"/>
      <c r="T1605" s="1" t="s">
        <v>1152</v>
      </c>
      <c r="U1605" s="1" t="s">
        <v>2430</v>
      </c>
      <c r="V1605" s="4" t="s">
        <v>3791</v>
      </c>
      <c r="W1605" s="1"/>
      <c r="X1605" s="1" t="s">
        <v>1152</v>
      </c>
      <c r="Y1605" s="1" t="s">
        <v>1152</v>
      </c>
      <c r="Z1605" s="1"/>
      <c r="AA1605" s="1"/>
      <c r="AB1605" s="1"/>
      <c r="AC1605" s="1" t="s">
        <v>1925</v>
      </c>
      <c r="AD1605" s="1"/>
      <c r="AE1605" s="36">
        <v>46009.0</v>
      </c>
      <c r="AF1605" s="1" t="s">
        <v>1030</v>
      </c>
      <c r="AG1605" s="1" t="s">
        <v>52</v>
      </c>
      <c r="AH1605" s="1" t="s">
        <v>1152</v>
      </c>
      <c r="AI1605" s="1"/>
      <c r="AJ1605" s="1" t="s">
        <v>6667</v>
      </c>
      <c r="AK1605" s="1" t="s">
        <v>1152</v>
      </c>
      <c r="AL1605" s="6" t="str">
        <f t="array" ref="AL1605">IFERROR(IFS(XLOOKUP(B1605, 'Kit Delivery Status'!$U:$U, 'Kit Delivery Status'!$K:$K) = "Complete", "DELIVERED", XLOOKUP(B1605, 'Kit Delivery Status'!$U:$U, 'Kit Delivery Status'!$K:$K) = "Issue", "ISSUE"), "")</f>
        <v/>
      </c>
      <c r="AM1605" s="6"/>
    </row>
    <row r="1606">
      <c r="A1606" s="5" t="s">
        <v>8188</v>
      </c>
      <c r="B1606" s="1" t="s">
        <v>8189</v>
      </c>
      <c r="C1606" s="1" t="s">
        <v>8190</v>
      </c>
      <c r="D1606" s="2">
        <v>9.178428585E9</v>
      </c>
      <c r="E1606" s="1" t="s">
        <v>2401</v>
      </c>
      <c r="F1606" s="1"/>
      <c r="G1606" s="1" t="s">
        <v>751</v>
      </c>
      <c r="H1606" s="1" t="s">
        <v>751</v>
      </c>
      <c r="I1606" s="1">
        <v>10025.0</v>
      </c>
      <c r="J1606" s="1" t="s">
        <v>752</v>
      </c>
      <c r="K1606" s="1" t="s">
        <v>2131</v>
      </c>
      <c r="L1606" s="1" t="s">
        <v>5736</v>
      </c>
      <c r="M1606" s="1">
        <v>1.0</v>
      </c>
      <c r="N1606" s="1" t="s">
        <v>1152</v>
      </c>
      <c r="O1606" s="3" t="s">
        <v>2402</v>
      </c>
      <c r="P1606" s="1" t="s">
        <v>1152</v>
      </c>
      <c r="Q1606" s="1" t="s">
        <v>1152</v>
      </c>
      <c r="R1606" s="1"/>
      <c r="S1606" s="1"/>
      <c r="T1606" s="1" t="s">
        <v>1152</v>
      </c>
      <c r="U1606" s="1" t="s">
        <v>1456</v>
      </c>
      <c r="V1606" s="4" t="s">
        <v>2402</v>
      </c>
      <c r="W1606" s="1"/>
      <c r="X1606" s="1" t="s">
        <v>1152</v>
      </c>
      <c r="Y1606" s="1" t="s">
        <v>1152</v>
      </c>
      <c r="Z1606" s="1"/>
      <c r="AA1606" s="1"/>
      <c r="AB1606" s="1"/>
      <c r="AC1606" s="1" t="s">
        <v>1925</v>
      </c>
      <c r="AD1606" s="1"/>
      <c r="AE1606" s="36">
        <v>46002.0</v>
      </c>
      <c r="AF1606" s="1"/>
      <c r="AG1606" s="1"/>
      <c r="AH1606" s="1" t="s">
        <v>1152</v>
      </c>
      <c r="AI1606" s="1"/>
      <c r="AJ1606" s="1" t="s">
        <v>2401</v>
      </c>
      <c r="AK1606" s="1" t="s">
        <v>1152</v>
      </c>
      <c r="AL1606" s="6" t="str">
        <f t="array" ref="AL1606">IFERROR(IFS(XLOOKUP(B1606, 'Kit Delivery Status'!$U:$U, 'Kit Delivery Status'!$K:$K) = "Complete", "DELIVERED", XLOOKUP(B1606, 'Kit Delivery Status'!$U:$U, 'Kit Delivery Status'!$K:$K) = "Issue", "ISSUE"), "")</f>
        <v/>
      </c>
      <c r="AM1606" s="6"/>
    </row>
    <row r="1607">
      <c r="A1607" s="5" t="s">
        <v>8191</v>
      </c>
      <c r="B1607" s="1" t="s">
        <v>8192</v>
      </c>
      <c r="C1607" s="1" t="s">
        <v>8193</v>
      </c>
      <c r="D1607" s="2">
        <v>9.179138501E9</v>
      </c>
      <c r="E1607" s="1" t="s">
        <v>8194</v>
      </c>
      <c r="F1607" s="1"/>
      <c r="G1607" s="1" t="s">
        <v>1684</v>
      </c>
      <c r="H1607" s="1" t="s">
        <v>751</v>
      </c>
      <c r="I1607" s="1">
        <v>11209.0</v>
      </c>
      <c r="J1607" s="1" t="s">
        <v>752</v>
      </c>
      <c r="K1607" s="1" t="s">
        <v>892</v>
      </c>
      <c r="L1607" s="1" t="s">
        <v>8006</v>
      </c>
      <c r="M1607" s="1">
        <v>49.0</v>
      </c>
      <c r="N1607" s="1" t="s">
        <v>1152</v>
      </c>
      <c r="O1607" s="3" t="s">
        <v>8195</v>
      </c>
      <c r="P1607" s="1" t="s">
        <v>1152</v>
      </c>
      <c r="Q1607" s="1" t="s">
        <v>1152</v>
      </c>
      <c r="R1607" s="1"/>
      <c r="S1607" s="1"/>
      <c r="T1607" s="1" t="s">
        <v>1152</v>
      </c>
      <c r="U1607" s="1" t="s">
        <v>1456</v>
      </c>
      <c r="V1607" s="4" t="s">
        <v>8195</v>
      </c>
      <c r="W1607" s="1"/>
      <c r="X1607" s="1" t="s">
        <v>1152</v>
      </c>
      <c r="Y1607" s="1" t="s">
        <v>1152</v>
      </c>
      <c r="Z1607" s="1"/>
      <c r="AA1607" s="1"/>
      <c r="AB1607" s="1"/>
      <c r="AC1607" s="1" t="s">
        <v>1925</v>
      </c>
      <c r="AD1607" s="1"/>
      <c r="AE1607" s="36">
        <v>46007.0</v>
      </c>
      <c r="AF1607" s="1" t="s">
        <v>3186</v>
      </c>
      <c r="AG1607" s="1" t="s">
        <v>52</v>
      </c>
      <c r="AH1607" s="1" t="s">
        <v>8196</v>
      </c>
      <c r="AI1607" s="1"/>
      <c r="AJ1607" s="1" t="s">
        <v>8194</v>
      </c>
      <c r="AK1607" s="1" t="s">
        <v>1152</v>
      </c>
      <c r="AL1607" s="6" t="str">
        <f t="array" ref="AL1607">IFERROR(IFS(XLOOKUP(B1607, 'Kit Delivery Status'!$U:$U, 'Kit Delivery Status'!$K:$K) = "Complete", "DELIVERED", XLOOKUP(B1607, 'Kit Delivery Status'!$U:$U, 'Kit Delivery Status'!$K:$K) = "Issue", "ISSUE"), "")</f>
        <v/>
      </c>
      <c r="AM1607" s="6"/>
    </row>
    <row r="1608">
      <c r="A1608" s="5" t="s">
        <v>8197</v>
      </c>
      <c r="B1608" s="1" t="s">
        <v>8198</v>
      </c>
      <c r="C1608" s="1" t="s">
        <v>8199</v>
      </c>
      <c r="D1608" s="2">
        <v>2.069990937E9</v>
      </c>
      <c r="E1608" s="1" t="s">
        <v>8200</v>
      </c>
      <c r="F1608" s="1"/>
      <c r="G1608" s="1" t="s">
        <v>1848</v>
      </c>
      <c r="H1608" s="1" t="s">
        <v>980</v>
      </c>
      <c r="I1608" s="1">
        <v>98116.0</v>
      </c>
      <c r="J1608" s="1" t="s">
        <v>752</v>
      </c>
      <c r="K1608" s="1" t="s">
        <v>892</v>
      </c>
      <c r="L1608" s="1" t="s">
        <v>8006</v>
      </c>
      <c r="M1608" s="1">
        <v>49.0</v>
      </c>
      <c r="N1608" s="1" t="s">
        <v>1152</v>
      </c>
      <c r="O1608" s="3" t="s">
        <v>3705</v>
      </c>
      <c r="P1608" s="1" t="s">
        <v>1152</v>
      </c>
      <c r="Q1608" s="1" t="s">
        <v>1152</v>
      </c>
      <c r="R1608" s="1"/>
      <c r="S1608" s="1"/>
      <c r="T1608" s="1" t="s">
        <v>1152</v>
      </c>
      <c r="U1608" s="1" t="s">
        <v>1065</v>
      </c>
      <c r="V1608" s="4" t="s">
        <v>3705</v>
      </c>
      <c r="W1608" s="1"/>
      <c r="X1608" s="1" t="s">
        <v>1152</v>
      </c>
      <c r="Y1608" s="1" t="s">
        <v>1152</v>
      </c>
      <c r="Z1608" s="1"/>
      <c r="AA1608" s="1"/>
      <c r="AB1608" s="1"/>
      <c r="AC1608" s="1" t="s">
        <v>1925</v>
      </c>
      <c r="AD1608" s="1"/>
      <c r="AE1608" s="36">
        <v>46009.0</v>
      </c>
      <c r="AF1608" s="1" t="s">
        <v>1030</v>
      </c>
      <c r="AG1608" s="1" t="s">
        <v>52</v>
      </c>
      <c r="AH1608" s="1" t="s">
        <v>8201</v>
      </c>
      <c r="AI1608" s="1"/>
      <c r="AJ1608" s="1" t="s">
        <v>8202</v>
      </c>
      <c r="AK1608" s="1" t="s">
        <v>1152</v>
      </c>
      <c r="AL1608" s="6" t="str">
        <f t="array" ref="AL1608">IFERROR(IFS(XLOOKUP(B1608, 'Kit Delivery Status'!$U:$U, 'Kit Delivery Status'!$K:$K) = "Complete", "DELIVERED", XLOOKUP(B1608, 'Kit Delivery Status'!$U:$U, 'Kit Delivery Status'!$K:$K) = "Issue", "ISSUE"), "")</f>
        <v/>
      </c>
      <c r="AM1608" s="6"/>
    </row>
    <row r="1609">
      <c r="A1609" s="5" t="s">
        <v>8203</v>
      </c>
      <c r="B1609" s="1" t="s">
        <v>8204</v>
      </c>
      <c r="C1609" s="1" t="s">
        <v>1060</v>
      </c>
      <c r="D1609" s="2">
        <v>2.025782256E9</v>
      </c>
      <c r="E1609" s="1" t="s">
        <v>1061</v>
      </c>
      <c r="F1609" s="1"/>
      <c r="G1609" s="1" t="s">
        <v>980</v>
      </c>
      <c r="H1609" s="1" t="s">
        <v>1063</v>
      </c>
      <c r="I1609" s="1">
        <v>20016.0</v>
      </c>
      <c r="J1609" s="1" t="s">
        <v>752</v>
      </c>
      <c r="K1609" s="1" t="s">
        <v>2131</v>
      </c>
      <c r="L1609" s="1" t="s">
        <v>5811</v>
      </c>
      <c r="M1609" s="1">
        <v>1.0</v>
      </c>
      <c r="N1609" s="1" t="s">
        <v>1152</v>
      </c>
      <c r="O1609" s="3" t="s">
        <v>8205</v>
      </c>
      <c r="P1609" s="1" t="s">
        <v>1152</v>
      </c>
      <c r="Q1609" s="1" t="s">
        <v>1152</v>
      </c>
      <c r="R1609" s="1"/>
      <c r="S1609" s="1"/>
      <c r="T1609" s="1" t="s">
        <v>1152</v>
      </c>
      <c r="U1609" s="1" t="s">
        <v>1065</v>
      </c>
      <c r="V1609" s="4" t="s">
        <v>8205</v>
      </c>
      <c r="W1609" s="1"/>
      <c r="X1609" s="1" t="s">
        <v>1152</v>
      </c>
      <c r="Y1609" s="1" t="s">
        <v>1152</v>
      </c>
      <c r="Z1609" s="1"/>
      <c r="AA1609" s="1"/>
      <c r="AB1609" s="1"/>
      <c r="AC1609" s="1" t="s">
        <v>1925</v>
      </c>
      <c r="AD1609" s="1"/>
      <c r="AE1609" s="36">
        <v>46004.0</v>
      </c>
      <c r="AF1609" s="1"/>
      <c r="AG1609" s="1"/>
      <c r="AH1609" s="1" t="s">
        <v>1152</v>
      </c>
      <c r="AI1609" s="1"/>
      <c r="AJ1609" s="1" t="s">
        <v>1061</v>
      </c>
      <c r="AK1609" s="1" t="s">
        <v>1152</v>
      </c>
      <c r="AL1609" s="6" t="str">
        <f t="array" ref="AL1609">IFERROR(IFS(XLOOKUP(B1609, 'Kit Delivery Status'!$U:$U, 'Kit Delivery Status'!$K:$K) = "Complete", "DELIVERED", XLOOKUP(B1609, 'Kit Delivery Status'!$U:$U, 'Kit Delivery Status'!$K:$K) = "Issue", "ISSUE"), "")</f>
        <v/>
      </c>
      <c r="AM1609" s="6"/>
    </row>
    <row r="1610">
      <c r="A1610" s="5" t="s">
        <v>8206</v>
      </c>
      <c r="B1610" s="1" t="s">
        <v>8207</v>
      </c>
      <c r="C1610" s="1" t="s">
        <v>7899</v>
      </c>
      <c r="D1610" s="2">
        <v>7.039452974E9</v>
      </c>
      <c r="E1610" s="1" t="s">
        <v>7900</v>
      </c>
      <c r="F1610" s="1"/>
      <c r="G1610" s="1" t="s">
        <v>6400</v>
      </c>
      <c r="H1610" s="1" t="s">
        <v>1038</v>
      </c>
      <c r="I1610" s="1">
        <v>22180.0</v>
      </c>
      <c r="J1610" s="1" t="s">
        <v>752</v>
      </c>
      <c r="K1610" s="1" t="s">
        <v>892</v>
      </c>
      <c r="L1610" s="1" t="s">
        <v>8006</v>
      </c>
      <c r="M1610" s="1">
        <v>49.0</v>
      </c>
      <c r="N1610" s="1" t="s">
        <v>1152</v>
      </c>
      <c r="O1610" s="3" t="s">
        <v>2814</v>
      </c>
      <c r="P1610" s="1" t="s">
        <v>1152</v>
      </c>
      <c r="Q1610" s="1" t="s">
        <v>1152</v>
      </c>
      <c r="R1610" s="1"/>
      <c r="S1610" s="1"/>
      <c r="T1610" s="1" t="s">
        <v>1152</v>
      </c>
      <c r="U1610" s="1" t="s">
        <v>1065</v>
      </c>
      <c r="V1610" s="4" t="s">
        <v>2814</v>
      </c>
      <c r="W1610" s="1"/>
      <c r="X1610" s="1" t="s">
        <v>1152</v>
      </c>
      <c r="Y1610" s="1" t="s">
        <v>1152</v>
      </c>
      <c r="Z1610" s="1"/>
      <c r="AA1610" s="1"/>
      <c r="AB1610" s="1"/>
      <c r="AC1610" s="1" t="s">
        <v>1925</v>
      </c>
      <c r="AD1610" s="1"/>
      <c r="AE1610" s="36">
        <v>46008.0</v>
      </c>
      <c r="AF1610" s="1" t="s">
        <v>3186</v>
      </c>
      <c r="AG1610" s="1" t="s">
        <v>52</v>
      </c>
      <c r="AH1610" s="1" t="s">
        <v>8208</v>
      </c>
      <c r="AI1610" s="1"/>
      <c r="AJ1610" s="1" t="s">
        <v>7900</v>
      </c>
      <c r="AK1610" s="1" t="s">
        <v>1152</v>
      </c>
      <c r="AL1610" s="6" t="str">
        <f t="array" ref="AL1610">IFERROR(IFS(XLOOKUP(B1610, 'Kit Delivery Status'!$U:$U, 'Kit Delivery Status'!$K:$K) = "Complete", "DELIVERED", XLOOKUP(B1610, 'Kit Delivery Status'!$U:$U, 'Kit Delivery Status'!$K:$K) = "Issue", "ISSUE"), "")</f>
        <v/>
      </c>
      <c r="AM1610" s="6"/>
    </row>
    <row r="1611">
      <c r="A1611" s="5" t="s">
        <v>8209</v>
      </c>
      <c r="B1611" s="1" t="s">
        <v>8210</v>
      </c>
      <c r="C1611" s="1" t="s">
        <v>3009</v>
      </c>
      <c r="D1611" s="2">
        <v>5.034845278E9</v>
      </c>
      <c r="E1611" s="1" t="s">
        <v>8211</v>
      </c>
      <c r="F1611" s="1"/>
      <c r="G1611" s="1" t="s">
        <v>1421</v>
      </c>
      <c r="H1611" s="1" t="s">
        <v>1422</v>
      </c>
      <c r="I1611" s="1" t="s">
        <v>3010</v>
      </c>
      <c r="J1611" s="1" t="s">
        <v>752</v>
      </c>
      <c r="K1611" s="1" t="s">
        <v>2131</v>
      </c>
      <c r="L1611" s="1" t="s">
        <v>5811</v>
      </c>
      <c r="M1611" s="1">
        <v>1.0</v>
      </c>
      <c r="N1611" s="1" t="s">
        <v>1152</v>
      </c>
      <c r="O1611" s="3" t="s">
        <v>8212</v>
      </c>
      <c r="P1611" s="1" t="s">
        <v>1152</v>
      </c>
      <c r="Q1611" s="1" t="s">
        <v>1152</v>
      </c>
      <c r="R1611" s="1"/>
      <c r="S1611" s="1"/>
      <c r="T1611" s="1" t="s">
        <v>1152</v>
      </c>
      <c r="U1611" s="1" t="s">
        <v>1065</v>
      </c>
      <c r="V1611" s="4" t="s">
        <v>8212</v>
      </c>
      <c r="W1611" s="1"/>
      <c r="X1611" s="1" t="s">
        <v>1152</v>
      </c>
      <c r="Y1611" s="1" t="s">
        <v>1152</v>
      </c>
      <c r="Z1611" s="1"/>
      <c r="AA1611" s="1"/>
      <c r="AB1611" s="1"/>
      <c r="AC1611" s="1" t="s">
        <v>1925</v>
      </c>
      <c r="AD1611" s="1"/>
      <c r="AE1611" s="36">
        <v>46006.0</v>
      </c>
      <c r="AF1611" s="1"/>
      <c r="AG1611" s="1"/>
      <c r="AH1611" s="1" t="s">
        <v>1152</v>
      </c>
      <c r="AI1611" s="1"/>
      <c r="AJ1611" s="1" t="s">
        <v>643</v>
      </c>
      <c r="AK1611" s="1" t="s">
        <v>1152</v>
      </c>
      <c r="AL1611" s="6" t="str">
        <f t="array" ref="AL1611">IFERROR(IFS(XLOOKUP(B1611, 'Kit Delivery Status'!$U:$U, 'Kit Delivery Status'!$K:$K) = "Complete", "DELIVERED", XLOOKUP(B1611, 'Kit Delivery Status'!$U:$U, 'Kit Delivery Status'!$K:$K) = "Issue", "ISSUE"), "")</f>
        <v/>
      </c>
      <c r="AM1611" s="6"/>
    </row>
    <row r="1612">
      <c r="A1612" s="5" t="s">
        <v>8213</v>
      </c>
      <c r="B1612" s="1" t="s">
        <v>8214</v>
      </c>
      <c r="C1612" s="1"/>
      <c r="D1612" s="2">
        <v>9.179752699E9</v>
      </c>
      <c r="E1612" s="1" t="s">
        <v>6548</v>
      </c>
      <c r="F1612" s="1"/>
      <c r="G1612" s="1" t="s">
        <v>1283</v>
      </c>
      <c r="H1612" s="1" t="s">
        <v>1155</v>
      </c>
      <c r="I1612" s="1">
        <v>63105.0</v>
      </c>
      <c r="J1612" s="1" t="s">
        <v>752</v>
      </c>
      <c r="K1612" s="1" t="s">
        <v>6515</v>
      </c>
      <c r="L1612" s="1" t="s">
        <v>8215</v>
      </c>
      <c r="M1612" s="1">
        <v>430.0</v>
      </c>
      <c r="N1612" s="1" t="s">
        <v>1152</v>
      </c>
      <c r="O1612" s="3"/>
      <c r="P1612" s="1" t="s">
        <v>1152</v>
      </c>
      <c r="Q1612" s="1" t="s">
        <v>1152</v>
      </c>
      <c r="R1612" s="1"/>
      <c r="S1612" s="1"/>
      <c r="T1612" s="1" t="s">
        <v>1152</v>
      </c>
      <c r="U1612" s="1"/>
      <c r="V1612" s="4"/>
      <c r="W1612" s="1"/>
      <c r="X1612" s="1" t="s">
        <v>1152</v>
      </c>
      <c r="Y1612" s="1" t="s">
        <v>1152</v>
      </c>
      <c r="Z1612" s="1"/>
      <c r="AA1612" s="1"/>
      <c r="AB1612" s="1"/>
      <c r="AC1612" s="1" t="s">
        <v>8216</v>
      </c>
      <c r="AD1612" s="1"/>
      <c r="AE1612" s="18">
        <v>46030.0</v>
      </c>
      <c r="AF1612" s="1"/>
      <c r="AG1612" s="1"/>
      <c r="AH1612" s="1" t="s">
        <v>8217</v>
      </c>
      <c r="AI1612" s="1" t="s">
        <v>8218</v>
      </c>
      <c r="AJ1612" s="1"/>
      <c r="AK1612" s="1" t="s">
        <v>8219</v>
      </c>
      <c r="AL1612" s="6" t="str">
        <f t="array" ref="AL1612">IFERROR(IFS(XLOOKUP(B1612, 'Kit Delivery Status'!$U:$U, 'Kit Delivery Status'!$K:$K) = "Complete", "DELIVERED", XLOOKUP(B1612, 'Kit Delivery Status'!$U:$U, 'Kit Delivery Status'!$K:$K) = "Issue", "ISSUE"), "")</f>
        <v/>
      </c>
      <c r="AM1612" s="6"/>
    </row>
    <row r="1613">
      <c r="A1613" s="5" t="s">
        <v>8220</v>
      </c>
      <c r="B1613" s="1" t="s">
        <v>8221</v>
      </c>
      <c r="C1613" s="1" t="s">
        <v>8222</v>
      </c>
      <c r="D1613" s="2">
        <v>5.612254772E9</v>
      </c>
      <c r="E1613" s="1" t="s">
        <v>4423</v>
      </c>
      <c r="F1613" s="1"/>
      <c r="G1613" s="1" t="s">
        <v>4424</v>
      </c>
      <c r="H1613" s="1" t="s">
        <v>1208</v>
      </c>
      <c r="I1613" s="1">
        <v>33458.0</v>
      </c>
      <c r="J1613" s="1" t="s">
        <v>752</v>
      </c>
      <c r="K1613" s="1" t="s">
        <v>6515</v>
      </c>
      <c r="L1613" s="1" t="s">
        <v>8223</v>
      </c>
      <c r="M1613" s="1">
        <v>400.0</v>
      </c>
      <c r="N1613" s="1" t="s">
        <v>1152</v>
      </c>
      <c r="O1613" s="3"/>
      <c r="P1613" s="1" t="s">
        <v>1152</v>
      </c>
      <c r="Q1613" s="1" t="s">
        <v>1152</v>
      </c>
      <c r="R1613" s="1"/>
      <c r="S1613" s="1"/>
      <c r="T1613" s="1" t="s">
        <v>1152</v>
      </c>
      <c r="U1613" s="1"/>
      <c r="V1613" s="4"/>
      <c r="W1613" s="1"/>
      <c r="X1613" s="1" t="s">
        <v>1152</v>
      </c>
      <c r="Y1613" s="1" t="s">
        <v>1152</v>
      </c>
      <c r="Z1613" s="1"/>
      <c r="AA1613" s="1"/>
      <c r="AB1613" s="1"/>
      <c r="AC1613" s="1" t="s">
        <v>8224</v>
      </c>
      <c r="AD1613" s="1"/>
      <c r="AE1613" s="18">
        <v>46030.0</v>
      </c>
      <c r="AF1613" s="1"/>
      <c r="AG1613" s="1"/>
      <c r="AH1613" s="1" t="s">
        <v>8225</v>
      </c>
      <c r="AI1613" s="1" t="s">
        <v>8226</v>
      </c>
      <c r="AJ1613" s="1"/>
      <c r="AK1613" s="1" t="s">
        <v>8227</v>
      </c>
      <c r="AL1613" s="6" t="str">
        <f t="array" ref="AL1613">IFERROR(IFS(XLOOKUP(B1613, 'Kit Delivery Status'!$U:$U, 'Kit Delivery Status'!$K:$K) = "Complete", "DELIVERED", XLOOKUP(B1613, 'Kit Delivery Status'!$U:$U, 'Kit Delivery Status'!$K:$K) = "Issue", "ISSUE"), "")</f>
        <v/>
      </c>
      <c r="AM1613" s="6"/>
    </row>
    <row r="1614">
      <c r="A1614" s="5" t="s">
        <v>8228</v>
      </c>
      <c r="B1614" s="1" t="s">
        <v>8229</v>
      </c>
      <c r="C1614" s="1"/>
      <c r="D1614" s="2">
        <v>5.713408186E9</v>
      </c>
      <c r="E1614" s="1" t="s">
        <v>8230</v>
      </c>
      <c r="F1614" s="1"/>
      <c r="G1614" s="1" t="s">
        <v>1037</v>
      </c>
      <c r="H1614" s="1" t="s">
        <v>1038</v>
      </c>
      <c r="I1614" s="1">
        <v>22207.0</v>
      </c>
      <c r="J1614" s="1" t="s">
        <v>752</v>
      </c>
      <c r="K1614" s="1" t="s">
        <v>7981</v>
      </c>
      <c r="L1614" s="1" t="s">
        <v>6819</v>
      </c>
      <c r="M1614" s="1">
        <v>49.0</v>
      </c>
      <c r="N1614" s="1" t="s">
        <v>1152</v>
      </c>
      <c r="O1614" s="3" t="s">
        <v>8231</v>
      </c>
      <c r="P1614" s="1" t="s">
        <v>1152</v>
      </c>
      <c r="Q1614" s="1" t="s">
        <v>1152</v>
      </c>
      <c r="R1614" s="1"/>
      <c r="S1614" s="1"/>
      <c r="T1614" s="1" t="s">
        <v>1152</v>
      </c>
      <c r="U1614" s="1" t="s">
        <v>1828</v>
      </c>
      <c r="V1614" s="4" t="s">
        <v>8231</v>
      </c>
      <c r="W1614" s="1"/>
      <c r="X1614" s="1" t="s">
        <v>1152</v>
      </c>
      <c r="Y1614" s="1" t="s">
        <v>1152</v>
      </c>
      <c r="Z1614" s="1"/>
      <c r="AA1614" s="1"/>
      <c r="AB1614" s="1"/>
      <c r="AC1614" s="1" t="s">
        <v>1925</v>
      </c>
      <c r="AD1614" s="1"/>
      <c r="AE1614" s="36">
        <v>46008.0</v>
      </c>
      <c r="AF1614" s="1" t="s">
        <v>1030</v>
      </c>
      <c r="AG1614" s="1" t="s">
        <v>52</v>
      </c>
      <c r="AH1614" s="1" t="s">
        <v>1152</v>
      </c>
      <c r="AI1614" s="1"/>
      <c r="AJ1614" s="1" t="s">
        <v>8230</v>
      </c>
      <c r="AK1614" s="1" t="s">
        <v>1152</v>
      </c>
      <c r="AL1614" s="6" t="str">
        <f t="array" ref="AL1614">IFERROR(IFS(XLOOKUP(B1614, 'Kit Delivery Status'!$U:$U, 'Kit Delivery Status'!$K:$K) = "Complete", "DELIVERED", XLOOKUP(B1614, 'Kit Delivery Status'!$U:$U, 'Kit Delivery Status'!$K:$K) = "Issue", "ISSUE"), "")</f>
        <v/>
      </c>
      <c r="AM1614" s="6"/>
    </row>
    <row r="1615">
      <c r="A1615" s="5" t="s">
        <v>8232</v>
      </c>
      <c r="B1615" s="1" t="s">
        <v>8233</v>
      </c>
      <c r="C1615" s="1" t="s">
        <v>8234</v>
      </c>
      <c r="D1615" s="2">
        <v>9.179747536E9</v>
      </c>
      <c r="E1615" s="1" t="s">
        <v>8235</v>
      </c>
      <c r="F1615" s="1" t="s">
        <v>8236</v>
      </c>
      <c r="G1615" s="1" t="s">
        <v>3790</v>
      </c>
      <c r="H1615" s="1" t="s">
        <v>751</v>
      </c>
      <c r="I1615" s="1">
        <v>10001.0</v>
      </c>
      <c r="J1615" s="1" t="s">
        <v>752</v>
      </c>
      <c r="K1615" s="1" t="s">
        <v>7981</v>
      </c>
      <c r="L1615" s="1" t="s">
        <v>6819</v>
      </c>
      <c r="M1615" s="1">
        <v>49.0</v>
      </c>
      <c r="N1615" s="1" t="s">
        <v>1152</v>
      </c>
      <c r="O1615" s="3"/>
      <c r="P1615" s="1" t="s">
        <v>1152</v>
      </c>
      <c r="Q1615" s="1" t="s">
        <v>1152</v>
      </c>
      <c r="R1615" s="1" t="s">
        <v>8236</v>
      </c>
      <c r="S1615" s="1"/>
      <c r="T1615" s="1" t="s">
        <v>1152</v>
      </c>
      <c r="U1615" s="1"/>
      <c r="V1615" s="4"/>
      <c r="W1615" s="1" t="s">
        <v>8236</v>
      </c>
      <c r="X1615" s="1" t="s">
        <v>1152</v>
      </c>
      <c r="Y1615" s="1" t="s">
        <v>1152</v>
      </c>
      <c r="Z1615" s="1"/>
      <c r="AA1615" s="1" t="s">
        <v>8236</v>
      </c>
      <c r="AB1615" s="1"/>
      <c r="AC1615" s="1" t="s">
        <v>1925</v>
      </c>
      <c r="AD1615" s="1"/>
      <c r="AE1615" s="36">
        <v>46007.0</v>
      </c>
      <c r="AF1615" s="1" t="s">
        <v>1030</v>
      </c>
      <c r="AG1615" s="1" t="s">
        <v>124</v>
      </c>
      <c r="AH1615" s="1" t="s">
        <v>1152</v>
      </c>
      <c r="AI1615" s="1"/>
      <c r="AJ1615" s="1" t="s">
        <v>8235</v>
      </c>
      <c r="AK1615" s="1" t="s">
        <v>1152</v>
      </c>
      <c r="AL1615" s="6" t="str">
        <f t="array" ref="AL1615">IFERROR(IFS(XLOOKUP(B1615, 'Kit Delivery Status'!$U:$U, 'Kit Delivery Status'!$K:$K) = "Complete", "DELIVERED", XLOOKUP(B1615, 'Kit Delivery Status'!$U:$U, 'Kit Delivery Status'!$K:$K) = "Issue", "ISSUE"), "")</f>
        <v/>
      </c>
      <c r="AM1615" s="6"/>
    </row>
    <row r="1616">
      <c r="A1616" s="5" t="s">
        <v>8237</v>
      </c>
      <c r="B1616" s="1" t="s">
        <v>8238</v>
      </c>
      <c r="C1616" s="1"/>
      <c r="D1616" s="2">
        <v>6.615995133E9</v>
      </c>
      <c r="E1616" s="1" t="s">
        <v>8239</v>
      </c>
      <c r="F1616" s="1"/>
      <c r="G1616" s="1" t="s">
        <v>8170</v>
      </c>
      <c r="H1616" s="1" t="s">
        <v>989</v>
      </c>
      <c r="I1616" s="1">
        <v>91354.0</v>
      </c>
      <c r="J1616" s="1" t="s">
        <v>752</v>
      </c>
      <c r="K1616" s="1" t="s">
        <v>51</v>
      </c>
      <c r="L1616" s="1" t="s">
        <v>5722</v>
      </c>
      <c r="M1616" s="1">
        <v>1.0</v>
      </c>
      <c r="N1616" s="1" t="s">
        <v>2461</v>
      </c>
      <c r="O1616" s="3" t="s">
        <v>8240</v>
      </c>
      <c r="P1616" s="18">
        <v>46031.0</v>
      </c>
      <c r="Q1616" s="1" t="s">
        <v>2463</v>
      </c>
      <c r="R1616" s="1"/>
      <c r="S1616" s="1" t="s">
        <v>52</v>
      </c>
      <c r="T1616" s="1" t="s">
        <v>2461</v>
      </c>
      <c r="U1616" s="1" t="s">
        <v>3946</v>
      </c>
      <c r="V1616" s="4" t="s">
        <v>8240</v>
      </c>
      <c r="W1616" s="1"/>
      <c r="X1616" s="18">
        <v>46031.0</v>
      </c>
      <c r="Y1616" s="1" t="s">
        <v>2463</v>
      </c>
      <c r="Z1616" s="1"/>
      <c r="AA1616" s="1"/>
      <c r="AB1616" s="1" t="s">
        <v>52</v>
      </c>
      <c r="AC1616" s="1" t="s">
        <v>1925</v>
      </c>
      <c r="AD1616" s="1"/>
      <c r="AE1616" s="1" t="s">
        <v>1152</v>
      </c>
      <c r="AF1616" s="1"/>
      <c r="AG1616" s="1"/>
      <c r="AH1616" s="1" t="s">
        <v>1152</v>
      </c>
      <c r="AI1616" s="1"/>
      <c r="AJ1616" s="1" t="s">
        <v>8241</v>
      </c>
      <c r="AK1616" s="1" t="s">
        <v>1152</v>
      </c>
      <c r="AL1616" s="6" t="str">
        <f t="array" ref="AL1616">IFERROR(IFS(XLOOKUP(B1616, 'Kit Delivery Status'!$U:$U, 'Kit Delivery Status'!$K:$K) = "Complete", "DELIVERED", XLOOKUP(B1616, 'Kit Delivery Status'!$U:$U, 'Kit Delivery Status'!$K:$K) = "Issue", "ISSUE"), "")</f>
        <v/>
      </c>
      <c r="AM1616" s="6"/>
    </row>
    <row r="1617">
      <c r="A1617" s="5" t="s">
        <v>8242</v>
      </c>
      <c r="B1617" s="1" t="s">
        <v>8243</v>
      </c>
      <c r="C1617" s="1" t="s">
        <v>8244</v>
      </c>
      <c r="D1617" s="2">
        <v>5.166682454E9</v>
      </c>
      <c r="E1617" s="1" t="s">
        <v>8245</v>
      </c>
      <c r="F1617" s="1"/>
      <c r="G1617" s="1" t="s">
        <v>751</v>
      </c>
      <c r="H1617" s="1" t="s">
        <v>751</v>
      </c>
      <c r="I1617" s="1">
        <v>10024.0</v>
      </c>
      <c r="J1617" s="1" t="s">
        <v>752</v>
      </c>
      <c r="K1617" s="1" t="s">
        <v>7981</v>
      </c>
      <c r="L1617" s="1" t="s">
        <v>6819</v>
      </c>
      <c r="M1617" s="1">
        <v>49.0</v>
      </c>
      <c r="N1617" s="1" t="s">
        <v>1152</v>
      </c>
      <c r="O1617" s="3" t="s">
        <v>8246</v>
      </c>
      <c r="P1617" s="1" t="s">
        <v>1152</v>
      </c>
      <c r="Q1617" s="1" t="s">
        <v>1152</v>
      </c>
      <c r="R1617" s="1"/>
      <c r="S1617" s="1"/>
      <c r="T1617" s="1" t="s">
        <v>1152</v>
      </c>
      <c r="U1617" s="1" t="s">
        <v>2940</v>
      </c>
      <c r="V1617" s="4" t="s">
        <v>8246</v>
      </c>
      <c r="W1617" s="1"/>
      <c r="X1617" s="1" t="s">
        <v>1152</v>
      </c>
      <c r="Y1617" s="1" t="s">
        <v>1152</v>
      </c>
      <c r="Z1617" s="1"/>
      <c r="AA1617" s="1"/>
      <c r="AB1617" s="1"/>
      <c r="AC1617" s="1" t="s">
        <v>1925</v>
      </c>
      <c r="AD1617" s="1"/>
      <c r="AE1617" s="36">
        <v>46008.0</v>
      </c>
      <c r="AF1617" s="1" t="s">
        <v>1440</v>
      </c>
      <c r="AG1617" s="1" t="s">
        <v>52</v>
      </c>
      <c r="AH1617" s="1" t="s">
        <v>1152</v>
      </c>
      <c r="AI1617" s="1"/>
      <c r="AJ1617" s="1" t="s">
        <v>8247</v>
      </c>
      <c r="AK1617" s="1" t="s">
        <v>1152</v>
      </c>
      <c r="AL1617" s="6" t="str">
        <f t="array" ref="AL1617">IFERROR(IFS(XLOOKUP(B1617, 'Kit Delivery Status'!$U:$U, 'Kit Delivery Status'!$K:$K) = "Complete", "DELIVERED", XLOOKUP(B1617, 'Kit Delivery Status'!$U:$U, 'Kit Delivery Status'!$K:$K) = "Issue", "ISSUE"), "")</f>
        <v/>
      </c>
      <c r="AM1617" s="6"/>
    </row>
    <row r="1618">
      <c r="A1618" s="5" t="s">
        <v>8248</v>
      </c>
      <c r="B1618" s="1" t="s">
        <v>8249</v>
      </c>
      <c r="C1618" s="1" t="s">
        <v>8250</v>
      </c>
      <c r="D1618" s="2"/>
      <c r="E1618" s="1" t="s">
        <v>8251</v>
      </c>
      <c r="F1618" s="1"/>
      <c r="G1618" s="1" t="s">
        <v>751</v>
      </c>
      <c r="H1618" s="1" t="s">
        <v>751</v>
      </c>
      <c r="I1618" s="1">
        <v>10282.0</v>
      </c>
      <c r="J1618" s="1" t="s">
        <v>752</v>
      </c>
      <c r="K1618" s="1" t="s">
        <v>892</v>
      </c>
      <c r="L1618" s="1" t="s">
        <v>8134</v>
      </c>
      <c r="M1618" s="1">
        <v>79.0</v>
      </c>
      <c r="N1618" s="1" t="s">
        <v>1152</v>
      </c>
      <c r="O1618" s="3" t="s">
        <v>3705</v>
      </c>
      <c r="P1618" s="1" t="s">
        <v>1152</v>
      </c>
      <c r="Q1618" s="1" t="s">
        <v>1152</v>
      </c>
      <c r="R1618" s="1"/>
      <c r="S1618" s="1"/>
      <c r="T1618" s="1" t="s">
        <v>1152</v>
      </c>
      <c r="U1618" s="1" t="s">
        <v>1055</v>
      </c>
      <c r="V1618" s="4" t="s">
        <v>3705</v>
      </c>
      <c r="W1618" s="1"/>
      <c r="X1618" s="1" t="s">
        <v>1152</v>
      </c>
      <c r="Y1618" s="1" t="s">
        <v>1152</v>
      </c>
      <c r="Z1618" s="1"/>
      <c r="AA1618" s="1"/>
      <c r="AB1618" s="1"/>
      <c r="AC1618" s="1" t="s">
        <v>1925</v>
      </c>
      <c r="AD1618" s="1"/>
      <c r="AE1618" s="36">
        <v>46008.0</v>
      </c>
      <c r="AF1618" s="1" t="s">
        <v>1349</v>
      </c>
      <c r="AG1618" s="1" t="s">
        <v>52</v>
      </c>
      <c r="AH1618" s="1" t="s">
        <v>8252</v>
      </c>
      <c r="AI1618" s="1"/>
      <c r="AJ1618" s="1" t="s">
        <v>8251</v>
      </c>
      <c r="AK1618" s="1" t="s">
        <v>1152</v>
      </c>
      <c r="AL1618" s="6" t="str">
        <f t="array" ref="AL1618">IFERROR(IFS(XLOOKUP(B1618, 'Kit Delivery Status'!$U:$U, 'Kit Delivery Status'!$K:$K) = "Complete", "DELIVERED", XLOOKUP(B1618, 'Kit Delivery Status'!$U:$U, 'Kit Delivery Status'!$K:$K) = "Issue", "ISSUE"), "")</f>
        <v/>
      </c>
      <c r="AM1618" s="6"/>
    </row>
    <row r="1619">
      <c r="A1619" s="5" t="s">
        <v>8253</v>
      </c>
      <c r="B1619" s="1" t="s">
        <v>8254</v>
      </c>
      <c r="C1619" s="1" t="s">
        <v>1049</v>
      </c>
      <c r="D1619" s="2">
        <v>8.56630452E9</v>
      </c>
      <c r="E1619" s="1" t="s">
        <v>1050</v>
      </c>
      <c r="F1619" s="1"/>
      <c r="G1619" s="1" t="s">
        <v>1052</v>
      </c>
      <c r="H1619" s="1" t="s">
        <v>1053</v>
      </c>
      <c r="I1619" s="1">
        <v>8048.0</v>
      </c>
      <c r="J1619" s="1" t="s">
        <v>752</v>
      </c>
      <c r="K1619" s="1" t="s">
        <v>892</v>
      </c>
      <c r="L1619" s="1" t="s">
        <v>6946</v>
      </c>
      <c r="M1619" s="1">
        <v>49.0</v>
      </c>
      <c r="N1619" s="1" t="s">
        <v>1152</v>
      </c>
      <c r="O1619" s="3" t="s">
        <v>8112</v>
      </c>
      <c r="P1619" s="1" t="s">
        <v>1152</v>
      </c>
      <c r="Q1619" s="1" t="s">
        <v>1152</v>
      </c>
      <c r="R1619" s="1"/>
      <c r="S1619" s="1"/>
      <c r="T1619" s="1" t="s">
        <v>1152</v>
      </c>
      <c r="U1619" s="1" t="s">
        <v>1055</v>
      </c>
      <c r="V1619" s="4" t="s">
        <v>8112</v>
      </c>
      <c r="W1619" s="1"/>
      <c r="X1619" s="1" t="s">
        <v>1152</v>
      </c>
      <c r="Y1619" s="1" t="s">
        <v>1152</v>
      </c>
      <c r="Z1619" s="1"/>
      <c r="AA1619" s="1"/>
      <c r="AB1619" s="1"/>
      <c r="AC1619" s="1" t="s">
        <v>1925</v>
      </c>
      <c r="AD1619" s="1"/>
      <c r="AE1619" s="36">
        <v>46010.0</v>
      </c>
      <c r="AF1619" s="1" t="s">
        <v>1030</v>
      </c>
      <c r="AG1619" s="1" t="s">
        <v>52</v>
      </c>
      <c r="AH1619" s="1" t="s">
        <v>8255</v>
      </c>
      <c r="AI1619" s="1"/>
      <c r="AJ1619" s="1" t="s">
        <v>1050</v>
      </c>
      <c r="AK1619" s="1" t="s">
        <v>1152</v>
      </c>
      <c r="AL1619" s="6" t="str">
        <f t="array" ref="AL1619">IFERROR(IFS(XLOOKUP(B1619, 'Kit Delivery Status'!$U:$U, 'Kit Delivery Status'!$K:$K) = "Complete", "DELIVERED", XLOOKUP(B1619, 'Kit Delivery Status'!$U:$U, 'Kit Delivery Status'!$K:$K) = "Issue", "ISSUE"), "")</f>
        <v/>
      </c>
      <c r="AM1619" s="6"/>
    </row>
    <row r="1620">
      <c r="A1620" s="5" t="s">
        <v>8256</v>
      </c>
      <c r="B1620" s="1" t="s">
        <v>8257</v>
      </c>
      <c r="C1620" s="1" t="s">
        <v>4674</v>
      </c>
      <c r="D1620" s="2">
        <v>6.504228482E9</v>
      </c>
      <c r="E1620" s="1" t="s">
        <v>8258</v>
      </c>
      <c r="F1620" s="1"/>
      <c r="G1620" s="1" t="s">
        <v>2998</v>
      </c>
      <c r="H1620" s="1" t="s">
        <v>2999</v>
      </c>
      <c r="I1620" s="1">
        <v>55405.0</v>
      </c>
      <c r="J1620" s="1" t="s">
        <v>752</v>
      </c>
      <c r="K1620" s="1" t="s">
        <v>6515</v>
      </c>
      <c r="L1620" s="1" t="s">
        <v>8223</v>
      </c>
      <c r="M1620" s="1">
        <v>400.0</v>
      </c>
      <c r="N1620" s="1" t="s">
        <v>1152</v>
      </c>
      <c r="O1620" s="3"/>
      <c r="P1620" s="1" t="s">
        <v>1152</v>
      </c>
      <c r="Q1620" s="1" t="s">
        <v>1152</v>
      </c>
      <c r="R1620" s="1"/>
      <c r="S1620" s="1"/>
      <c r="T1620" s="1" t="s">
        <v>1152</v>
      </c>
      <c r="U1620" s="1"/>
      <c r="V1620" s="4"/>
      <c r="W1620" s="1"/>
      <c r="X1620" s="1" t="s">
        <v>1152</v>
      </c>
      <c r="Y1620" s="1" t="s">
        <v>1152</v>
      </c>
      <c r="Z1620" s="1"/>
      <c r="AA1620" s="1"/>
      <c r="AB1620" s="1"/>
      <c r="AC1620" s="1" t="s">
        <v>8259</v>
      </c>
      <c r="AD1620" s="1"/>
      <c r="AE1620" s="18">
        <v>46030.0</v>
      </c>
      <c r="AF1620" s="1"/>
      <c r="AG1620" s="1"/>
      <c r="AH1620" s="1" t="s">
        <v>8260</v>
      </c>
      <c r="AI1620" s="1" t="s">
        <v>8261</v>
      </c>
      <c r="AJ1620" s="1"/>
      <c r="AK1620" s="1" t="s">
        <v>8262</v>
      </c>
      <c r="AL1620" s="6" t="str">
        <f t="array" ref="AL1620">IFERROR(IFS(XLOOKUP(B1620, 'Kit Delivery Status'!$U:$U, 'Kit Delivery Status'!$K:$K) = "Complete", "DELIVERED", XLOOKUP(B1620, 'Kit Delivery Status'!$U:$U, 'Kit Delivery Status'!$K:$K) = "Issue", "ISSUE"), "")</f>
        <v/>
      </c>
      <c r="AM1620" s="6"/>
    </row>
    <row r="1621">
      <c r="A1621" s="5" t="s">
        <v>8263</v>
      </c>
      <c r="B1621" s="1" t="s">
        <v>8264</v>
      </c>
      <c r="C1621" s="1" t="s">
        <v>7010</v>
      </c>
      <c r="D1621" s="2">
        <v>4.15425478E9</v>
      </c>
      <c r="E1621" s="1" t="s">
        <v>7011</v>
      </c>
      <c r="F1621" s="1"/>
      <c r="G1621" s="1" t="s">
        <v>1562</v>
      </c>
      <c r="H1621" s="1" t="s">
        <v>989</v>
      </c>
      <c r="I1621" s="1">
        <v>94116.0</v>
      </c>
      <c r="J1621" s="1" t="s">
        <v>752</v>
      </c>
      <c r="K1621" s="1" t="s">
        <v>892</v>
      </c>
      <c r="L1621" s="1" t="s">
        <v>8006</v>
      </c>
      <c r="M1621" s="1">
        <v>49.0</v>
      </c>
      <c r="N1621" s="1" t="s">
        <v>1152</v>
      </c>
      <c r="O1621" s="3" t="s">
        <v>6687</v>
      </c>
      <c r="P1621" s="1" t="s">
        <v>1152</v>
      </c>
      <c r="Q1621" s="1" t="s">
        <v>1152</v>
      </c>
      <c r="R1621" s="1"/>
      <c r="S1621" s="1"/>
      <c r="T1621" s="1" t="s">
        <v>1152</v>
      </c>
      <c r="U1621" s="1" t="s">
        <v>1936</v>
      </c>
      <c r="V1621" s="4" t="s">
        <v>6687</v>
      </c>
      <c r="W1621" s="1"/>
      <c r="X1621" s="1" t="s">
        <v>1152</v>
      </c>
      <c r="Y1621" s="1" t="s">
        <v>1152</v>
      </c>
      <c r="Z1621" s="1"/>
      <c r="AA1621" s="1"/>
      <c r="AB1621" s="1"/>
      <c r="AC1621" s="1" t="s">
        <v>1925</v>
      </c>
      <c r="AD1621" s="1"/>
      <c r="AE1621" s="36">
        <v>46009.0</v>
      </c>
      <c r="AF1621" s="1" t="s">
        <v>1349</v>
      </c>
      <c r="AG1621" s="1" t="s">
        <v>52</v>
      </c>
      <c r="AH1621" s="1" t="s">
        <v>8265</v>
      </c>
      <c r="AI1621" s="1"/>
      <c r="AJ1621" s="1" t="s">
        <v>7011</v>
      </c>
      <c r="AK1621" s="1" t="s">
        <v>1152</v>
      </c>
      <c r="AL1621" s="6" t="str">
        <f t="array" ref="AL1621">IFERROR(IFS(XLOOKUP(B1621, 'Kit Delivery Status'!$U:$U, 'Kit Delivery Status'!$K:$K) = "Complete", "DELIVERED", XLOOKUP(B1621, 'Kit Delivery Status'!$U:$U, 'Kit Delivery Status'!$K:$K) = "Issue", "ISSUE"), "")</f>
        <v/>
      </c>
      <c r="AM1621" s="6"/>
    </row>
    <row r="1622">
      <c r="A1622" s="5" t="s">
        <v>8266</v>
      </c>
      <c r="B1622" s="1" t="s">
        <v>8267</v>
      </c>
      <c r="C1622" s="1"/>
      <c r="D1622" s="2">
        <v>5.075129905E9</v>
      </c>
      <c r="E1622" s="1" t="s">
        <v>8268</v>
      </c>
      <c r="F1622" s="1"/>
      <c r="G1622" s="1" t="s">
        <v>8269</v>
      </c>
      <c r="H1622" s="1" t="s">
        <v>2999</v>
      </c>
      <c r="I1622" s="1">
        <v>55902.0</v>
      </c>
      <c r="J1622" s="1" t="s">
        <v>752</v>
      </c>
      <c r="K1622" s="1" t="s">
        <v>51</v>
      </c>
      <c r="L1622" s="1" t="s">
        <v>5722</v>
      </c>
      <c r="M1622" s="1">
        <v>1.0</v>
      </c>
      <c r="N1622" s="1" t="s">
        <v>2461</v>
      </c>
      <c r="O1622" s="3" t="s">
        <v>8270</v>
      </c>
      <c r="P1622" s="18">
        <v>46029.0</v>
      </c>
      <c r="Q1622" s="1" t="s">
        <v>2463</v>
      </c>
      <c r="R1622" s="1"/>
      <c r="S1622" s="1" t="s">
        <v>52</v>
      </c>
      <c r="T1622" s="1" t="s">
        <v>2461</v>
      </c>
      <c r="U1622" s="1" t="s">
        <v>1710</v>
      </c>
      <c r="V1622" s="4" t="s">
        <v>8270</v>
      </c>
      <c r="W1622" s="1"/>
      <c r="X1622" s="18">
        <v>46029.0</v>
      </c>
      <c r="Y1622" s="1" t="s">
        <v>2463</v>
      </c>
      <c r="Z1622" s="1"/>
      <c r="AA1622" s="1"/>
      <c r="AB1622" s="1" t="s">
        <v>52</v>
      </c>
      <c r="AC1622" s="1" t="s">
        <v>1925</v>
      </c>
      <c r="AD1622" s="1"/>
      <c r="AE1622" s="1" t="s">
        <v>1152</v>
      </c>
      <c r="AF1622" s="1"/>
      <c r="AG1622" s="1"/>
      <c r="AH1622" s="1" t="s">
        <v>1152</v>
      </c>
      <c r="AI1622" s="1"/>
      <c r="AJ1622" s="1" t="s">
        <v>8268</v>
      </c>
      <c r="AK1622" s="1" t="s">
        <v>1152</v>
      </c>
      <c r="AL1622" s="6" t="str">
        <f t="array" ref="AL1622">IFERROR(IFS(XLOOKUP(B1622, 'Kit Delivery Status'!$U:$U, 'Kit Delivery Status'!$K:$K) = "Complete", "DELIVERED", XLOOKUP(B1622, 'Kit Delivery Status'!$U:$U, 'Kit Delivery Status'!$K:$K) = "Issue", "ISSUE"), "")</f>
        <v/>
      </c>
      <c r="AM1622" s="6"/>
    </row>
    <row r="1623">
      <c r="A1623" s="5" t="s">
        <v>8271</v>
      </c>
      <c r="B1623" s="1" t="s">
        <v>8272</v>
      </c>
      <c r="C1623" s="1" t="s">
        <v>2457</v>
      </c>
      <c r="D1623" s="2">
        <v>9.142239682E9</v>
      </c>
      <c r="E1623" s="1" t="s">
        <v>2458</v>
      </c>
      <c r="F1623" s="1"/>
      <c r="G1623" s="1" t="s">
        <v>2459</v>
      </c>
      <c r="H1623" s="1" t="s">
        <v>1121</v>
      </c>
      <c r="I1623" s="1">
        <v>2186.0</v>
      </c>
      <c r="J1623" s="1" t="s">
        <v>752</v>
      </c>
      <c r="K1623" s="1" t="s">
        <v>2131</v>
      </c>
      <c r="L1623" s="1" t="s">
        <v>5833</v>
      </c>
      <c r="M1623" s="1">
        <v>1.0</v>
      </c>
      <c r="N1623" s="1" t="s">
        <v>1152</v>
      </c>
      <c r="O1623" s="3" t="s">
        <v>2462</v>
      </c>
      <c r="P1623" s="1" t="s">
        <v>1152</v>
      </c>
      <c r="Q1623" s="1" t="s">
        <v>1152</v>
      </c>
      <c r="R1623" s="1"/>
      <c r="S1623" s="1"/>
      <c r="T1623" s="1" t="s">
        <v>1152</v>
      </c>
      <c r="U1623" s="1" t="s">
        <v>1794</v>
      </c>
      <c r="V1623" s="4" t="s">
        <v>2462</v>
      </c>
      <c r="W1623" s="1"/>
      <c r="X1623" s="1" t="s">
        <v>1152</v>
      </c>
      <c r="Y1623" s="1" t="s">
        <v>1152</v>
      </c>
      <c r="Z1623" s="1"/>
      <c r="AA1623" s="1"/>
      <c r="AB1623" s="1"/>
      <c r="AC1623" s="1" t="s">
        <v>1925</v>
      </c>
      <c r="AD1623" s="1"/>
      <c r="AE1623" s="36">
        <v>46008.0</v>
      </c>
      <c r="AF1623" s="1"/>
      <c r="AG1623" s="1"/>
      <c r="AH1623" s="1" t="s">
        <v>1152</v>
      </c>
      <c r="AI1623" s="1"/>
      <c r="AJ1623" s="1" t="s">
        <v>2458</v>
      </c>
      <c r="AK1623" s="1" t="s">
        <v>1152</v>
      </c>
      <c r="AL1623" s="6" t="str">
        <f t="array" ref="AL1623">IFERROR(IFS(XLOOKUP(B1623, 'Kit Delivery Status'!$U:$U, 'Kit Delivery Status'!$K:$K) = "Complete", "DELIVERED", XLOOKUP(B1623, 'Kit Delivery Status'!$U:$U, 'Kit Delivery Status'!$K:$K) = "Issue", "ISSUE"), "")</f>
        <v/>
      </c>
      <c r="AM1623" s="6"/>
    </row>
    <row r="1624">
      <c r="A1624" s="5" t="s">
        <v>8273</v>
      </c>
      <c r="B1624" s="1" t="s">
        <v>8274</v>
      </c>
      <c r="C1624" s="1" t="s">
        <v>8275</v>
      </c>
      <c r="D1624" s="2" t="s">
        <v>8276</v>
      </c>
      <c r="E1624" s="1" t="s">
        <v>8277</v>
      </c>
      <c r="F1624" s="1"/>
      <c r="G1624" s="1" t="s">
        <v>8278</v>
      </c>
      <c r="H1624" s="1" t="s">
        <v>751</v>
      </c>
      <c r="I1624" s="1">
        <v>11572.0</v>
      </c>
      <c r="J1624" s="1" t="s">
        <v>752</v>
      </c>
      <c r="K1624" s="1" t="s">
        <v>51</v>
      </c>
      <c r="L1624" s="1" t="s">
        <v>5722</v>
      </c>
      <c r="M1624" s="1">
        <v>1.0</v>
      </c>
      <c r="N1624" s="1" t="s">
        <v>2461</v>
      </c>
      <c r="O1624" s="3" t="s">
        <v>5386</v>
      </c>
      <c r="P1624" s="18">
        <v>46028.0</v>
      </c>
      <c r="Q1624" s="1" t="s">
        <v>2463</v>
      </c>
      <c r="R1624" s="1"/>
      <c r="S1624" s="1" t="s">
        <v>52</v>
      </c>
      <c r="T1624" s="1" t="s">
        <v>2461</v>
      </c>
      <c r="U1624" s="1" t="s">
        <v>7491</v>
      </c>
      <c r="V1624" s="4" t="s">
        <v>5386</v>
      </c>
      <c r="W1624" s="1"/>
      <c r="X1624" s="18">
        <v>46028.0</v>
      </c>
      <c r="Y1624" s="1" t="s">
        <v>2463</v>
      </c>
      <c r="Z1624" s="1"/>
      <c r="AA1624" s="1"/>
      <c r="AB1624" s="1" t="s">
        <v>52</v>
      </c>
      <c r="AC1624" s="1" t="s">
        <v>1925</v>
      </c>
      <c r="AD1624" s="1"/>
      <c r="AE1624" s="1" t="s">
        <v>1152</v>
      </c>
      <c r="AF1624" s="1"/>
      <c r="AG1624" s="1"/>
      <c r="AH1624" s="1" t="s">
        <v>1152</v>
      </c>
      <c r="AI1624" s="1"/>
      <c r="AJ1624" s="1" t="s">
        <v>8277</v>
      </c>
      <c r="AK1624" s="1" t="s">
        <v>1152</v>
      </c>
      <c r="AL1624" s="6" t="str">
        <f t="array" ref="AL1624">IFERROR(IFS(XLOOKUP(B1624, 'Kit Delivery Status'!$U:$U, 'Kit Delivery Status'!$K:$K) = "Complete", "DELIVERED", XLOOKUP(B1624, 'Kit Delivery Status'!$U:$U, 'Kit Delivery Status'!$K:$K) = "Issue", "ISSUE"), "")</f>
        <v/>
      </c>
      <c r="AM1624" s="6"/>
    </row>
    <row r="1625">
      <c r="A1625" s="5" t="s">
        <v>8279</v>
      </c>
      <c r="B1625" s="1" t="s">
        <v>8280</v>
      </c>
      <c r="C1625" s="1" t="s">
        <v>7794</v>
      </c>
      <c r="D1625" s="2">
        <v>7.183085618E9</v>
      </c>
      <c r="E1625" s="1" t="s">
        <v>7795</v>
      </c>
      <c r="F1625" s="1"/>
      <c r="G1625" s="1" t="s">
        <v>751</v>
      </c>
      <c r="H1625" s="1" t="s">
        <v>751</v>
      </c>
      <c r="I1625" s="1">
        <v>10031.0</v>
      </c>
      <c r="J1625" s="1" t="s">
        <v>752</v>
      </c>
      <c r="K1625" s="1" t="s">
        <v>2131</v>
      </c>
      <c r="L1625" s="1" t="s">
        <v>5811</v>
      </c>
      <c r="M1625" s="1">
        <v>1.0</v>
      </c>
      <c r="N1625" s="1" t="s">
        <v>1152</v>
      </c>
      <c r="O1625" s="3" t="s">
        <v>5658</v>
      </c>
      <c r="P1625" s="1" t="s">
        <v>1152</v>
      </c>
      <c r="Q1625" s="1" t="s">
        <v>1152</v>
      </c>
      <c r="R1625" s="1"/>
      <c r="S1625" s="1"/>
      <c r="T1625" s="1" t="s">
        <v>1152</v>
      </c>
      <c r="U1625" s="1" t="s">
        <v>3713</v>
      </c>
      <c r="V1625" s="4" t="s">
        <v>5658</v>
      </c>
      <c r="W1625" s="1"/>
      <c r="X1625" s="1" t="s">
        <v>1152</v>
      </c>
      <c r="Y1625" s="1" t="s">
        <v>1152</v>
      </c>
      <c r="Z1625" s="1"/>
      <c r="AA1625" s="1"/>
      <c r="AB1625" s="1"/>
      <c r="AC1625" s="1" t="s">
        <v>1925</v>
      </c>
      <c r="AD1625" s="1"/>
      <c r="AE1625" s="36">
        <v>46009.0</v>
      </c>
      <c r="AF1625" s="1"/>
      <c r="AG1625" s="1"/>
      <c r="AH1625" s="1" t="s">
        <v>1152</v>
      </c>
      <c r="AI1625" s="1"/>
      <c r="AJ1625" s="1" t="s">
        <v>5657</v>
      </c>
      <c r="AK1625" s="1" t="s">
        <v>1152</v>
      </c>
      <c r="AL1625" s="6" t="str">
        <f t="array" ref="AL1625">IFERROR(IFS(XLOOKUP(B1625, 'Kit Delivery Status'!$U:$U, 'Kit Delivery Status'!$K:$K) = "Complete", "DELIVERED", XLOOKUP(B1625, 'Kit Delivery Status'!$U:$U, 'Kit Delivery Status'!$K:$K) = "Issue", "ISSUE"), "")</f>
        <v/>
      </c>
      <c r="AM1625" s="6"/>
    </row>
    <row r="1626">
      <c r="A1626" s="5" t="s">
        <v>8281</v>
      </c>
      <c r="B1626" s="1" t="s">
        <v>8282</v>
      </c>
      <c r="C1626" s="1"/>
      <c r="D1626" s="2">
        <v>13146806397</v>
      </c>
      <c r="E1626" s="1" t="s">
        <v>6818</v>
      </c>
      <c r="F1626" s="1"/>
      <c r="G1626" s="1" t="s">
        <v>8283</v>
      </c>
      <c r="H1626" s="1" t="s">
        <v>3580</v>
      </c>
      <c r="I1626" s="1" t="s">
        <v>8284</v>
      </c>
      <c r="J1626" s="1" t="s">
        <v>3582</v>
      </c>
      <c r="K1626" s="1" t="s">
        <v>42</v>
      </c>
      <c r="L1626" s="1" t="s">
        <v>6819</v>
      </c>
      <c r="M1626" s="1">
        <v>49.0</v>
      </c>
      <c r="N1626" s="1" t="s">
        <v>1152</v>
      </c>
      <c r="O1626" s="3" t="s">
        <v>6957</v>
      </c>
      <c r="P1626" s="1" t="s">
        <v>1152</v>
      </c>
      <c r="Q1626" s="1" t="s">
        <v>1152</v>
      </c>
      <c r="R1626" s="1"/>
      <c r="S1626" s="1"/>
      <c r="T1626" s="1" t="s">
        <v>1152</v>
      </c>
      <c r="U1626" s="1" t="s">
        <v>1812</v>
      </c>
      <c r="V1626" s="4" t="s">
        <v>6957</v>
      </c>
      <c r="W1626" s="1"/>
      <c r="X1626" s="1" t="s">
        <v>1152</v>
      </c>
      <c r="Y1626" s="1" t="s">
        <v>1152</v>
      </c>
      <c r="Z1626" s="1"/>
      <c r="AA1626" s="1"/>
      <c r="AB1626" s="1"/>
      <c r="AC1626" s="1" t="s">
        <v>1925</v>
      </c>
      <c r="AD1626" s="1"/>
      <c r="AE1626" s="36">
        <v>46009.0</v>
      </c>
      <c r="AF1626" s="1" t="s">
        <v>1030</v>
      </c>
      <c r="AG1626" s="1" t="s">
        <v>52</v>
      </c>
      <c r="AH1626" s="1" t="s">
        <v>1152</v>
      </c>
      <c r="AI1626" s="1"/>
      <c r="AJ1626" s="1" t="s">
        <v>6818</v>
      </c>
      <c r="AK1626" s="1" t="s">
        <v>1152</v>
      </c>
      <c r="AL1626" s="6" t="str">
        <f t="array" ref="AL1626">IFERROR(IFS(XLOOKUP(B1626, 'Kit Delivery Status'!$U:$U, 'Kit Delivery Status'!$K:$K) = "Complete", "DELIVERED", XLOOKUP(B1626, 'Kit Delivery Status'!$U:$U, 'Kit Delivery Status'!$K:$K) = "Issue", "ISSUE"), "")</f>
        <v/>
      </c>
      <c r="AM1626" s="6"/>
    </row>
    <row r="1627">
      <c r="A1627" s="5" t="s">
        <v>8285</v>
      </c>
      <c r="B1627" s="1" t="s">
        <v>8286</v>
      </c>
      <c r="C1627" s="1"/>
      <c r="D1627" s="2">
        <v>5.617044339E9</v>
      </c>
      <c r="E1627" s="1" t="s">
        <v>8287</v>
      </c>
      <c r="F1627" s="1"/>
      <c r="G1627" s="1" t="s">
        <v>5467</v>
      </c>
      <c r="H1627" s="1" t="s">
        <v>1208</v>
      </c>
      <c r="I1627" s="1">
        <v>33435.0</v>
      </c>
      <c r="J1627" s="1" t="s">
        <v>752</v>
      </c>
      <c r="K1627" s="1" t="s">
        <v>2131</v>
      </c>
      <c r="L1627" s="1" t="s">
        <v>5767</v>
      </c>
      <c r="M1627" s="1">
        <v>1.0</v>
      </c>
      <c r="N1627" s="1" t="s">
        <v>1152</v>
      </c>
      <c r="O1627" s="3" t="s">
        <v>3311</v>
      </c>
      <c r="P1627" s="1" t="s">
        <v>1152</v>
      </c>
      <c r="Q1627" s="1" t="s">
        <v>1152</v>
      </c>
      <c r="R1627" s="1"/>
      <c r="S1627" s="1"/>
      <c r="T1627" s="1" t="s">
        <v>1152</v>
      </c>
      <c r="U1627" s="1" t="s">
        <v>3713</v>
      </c>
      <c r="V1627" s="4" t="s">
        <v>3311</v>
      </c>
      <c r="W1627" s="1"/>
      <c r="X1627" s="1" t="s">
        <v>1152</v>
      </c>
      <c r="Y1627" s="1" t="s">
        <v>1152</v>
      </c>
      <c r="Z1627" s="1"/>
      <c r="AA1627" s="1"/>
      <c r="AB1627" s="1"/>
      <c r="AC1627" s="1" t="s">
        <v>1925</v>
      </c>
      <c r="AD1627" s="1"/>
      <c r="AE1627" s="36">
        <v>46010.0</v>
      </c>
      <c r="AF1627" s="1"/>
      <c r="AG1627" s="1"/>
      <c r="AH1627" s="1" t="s">
        <v>1152</v>
      </c>
      <c r="AI1627" s="1"/>
      <c r="AJ1627" s="1" t="s">
        <v>815</v>
      </c>
      <c r="AK1627" s="1" t="s">
        <v>1152</v>
      </c>
      <c r="AL1627" s="6" t="str">
        <f t="array" ref="AL1627">IFERROR(IFS(XLOOKUP(B1627, 'Kit Delivery Status'!$U:$U, 'Kit Delivery Status'!$K:$K) = "Complete", "DELIVERED", XLOOKUP(B1627, 'Kit Delivery Status'!$U:$U, 'Kit Delivery Status'!$K:$K) = "Issue", "ISSUE"), "")</f>
        <v/>
      </c>
      <c r="AM1627" s="6"/>
    </row>
    <row r="1628">
      <c r="A1628" s="5" t="s">
        <v>8288</v>
      </c>
      <c r="B1628" s="1" t="s">
        <v>8289</v>
      </c>
      <c r="C1628" s="1" t="s">
        <v>8290</v>
      </c>
      <c r="D1628" s="2">
        <v>4.702495506E9</v>
      </c>
      <c r="E1628" s="1" t="s">
        <v>8291</v>
      </c>
      <c r="F1628" s="1" t="s">
        <v>8292</v>
      </c>
      <c r="G1628" s="1" t="s">
        <v>2179</v>
      </c>
      <c r="H1628" s="1" t="s">
        <v>946</v>
      </c>
      <c r="I1628" s="1">
        <v>30327.0</v>
      </c>
      <c r="J1628" s="1" t="s">
        <v>752</v>
      </c>
      <c r="K1628" s="1" t="s">
        <v>892</v>
      </c>
      <c r="L1628" s="1" t="s">
        <v>8006</v>
      </c>
      <c r="M1628" s="1">
        <v>49.0</v>
      </c>
      <c r="N1628" s="1" t="s">
        <v>1152</v>
      </c>
      <c r="O1628" s="3"/>
      <c r="P1628" s="1" t="s">
        <v>1152</v>
      </c>
      <c r="Q1628" s="1" t="s">
        <v>1152</v>
      </c>
      <c r="R1628" s="1" t="s">
        <v>8292</v>
      </c>
      <c r="S1628" s="1"/>
      <c r="T1628" s="1" t="s">
        <v>1152</v>
      </c>
      <c r="U1628" s="1"/>
      <c r="V1628" s="4"/>
      <c r="W1628" s="1" t="s">
        <v>8292</v>
      </c>
      <c r="X1628" s="1" t="s">
        <v>1152</v>
      </c>
      <c r="Y1628" s="1" t="s">
        <v>1152</v>
      </c>
      <c r="Z1628" s="1"/>
      <c r="AA1628" s="1" t="s">
        <v>8292</v>
      </c>
      <c r="AB1628" s="1"/>
      <c r="AC1628" s="1" t="s">
        <v>1925</v>
      </c>
      <c r="AD1628" s="1"/>
      <c r="AE1628" s="36">
        <v>46011.0</v>
      </c>
      <c r="AF1628" s="1" t="s">
        <v>1030</v>
      </c>
      <c r="AG1628" s="1" t="s">
        <v>124</v>
      </c>
      <c r="AH1628" s="1" t="s">
        <v>8293</v>
      </c>
      <c r="AI1628" s="1"/>
      <c r="AJ1628" s="1" t="s">
        <v>8294</v>
      </c>
      <c r="AK1628" s="1" t="s">
        <v>1152</v>
      </c>
      <c r="AL1628" s="6" t="str">
        <f t="array" ref="AL1628">IFERROR(IFS(XLOOKUP(B1628, 'Kit Delivery Status'!$U:$U, 'Kit Delivery Status'!$K:$K) = "Complete", "DELIVERED", XLOOKUP(B1628, 'Kit Delivery Status'!$U:$U, 'Kit Delivery Status'!$K:$K) = "Issue", "ISSUE"), "")</f>
        <v/>
      </c>
      <c r="AM1628" s="6"/>
    </row>
    <row r="1629">
      <c r="A1629" s="5" t="s">
        <v>8295</v>
      </c>
      <c r="B1629" s="1" t="s">
        <v>8296</v>
      </c>
      <c r="C1629" s="1" t="s">
        <v>8297</v>
      </c>
      <c r="D1629" s="2">
        <v>3.478860321E9</v>
      </c>
      <c r="E1629" s="1" t="s">
        <v>8298</v>
      </c>
      <c r="F1629" s="1"/>
      <c r="G1629" s="1" t="s">
        <v>8299</v>
      </c>
      <c r="H1629" s="1" t="s">
        <v>751</v>
      </c>
      <c r="I1629" s="1">
        <v>11743.0</v>
      </c>
      <c r="J1629" s="1" t="s">
        <v>752</v>
      </c>
      <c r="K1629" s="1" t="s">
        <v>51</v>
      </c>
      <c r="L1629" s="1" t="s">
        <v>5722</v>
      </c>
      <c r="M1629" s="1">
        <v>1.0</v>
      </c>
      <c r="N1629" s="1" t="s">
        <v>2461</v>
      </c>
      <c r="O1629" s="3" t="s">
        <v>8300</v>
      </c>
      <c r="P1629" s="18">
        <v>46030.0</v>
      </c>
      <c r="Q1629" s="1" t="s">
        <v>3418</v>
      </c>
      <c r="R1629" s="1"/>
      <c r="S1629" s="1" t="s">
        <v>52</v>
      </c>
      <c r="T1629" s="1" t="s">
        <v>2461</v>
      </c>
      <c r="U1629" s="1" t="s">
        <v>1456</v>
      </c>
      <c r="V1629" s="4" t="s">
        <v>8300</v>
      </c>
      <c r="W1629" s="1"/>
      <c r="X1629" s="18">
        <v>46030.0</v>
      </c>
      <c r="Y1629" s="1" t="s">
        <v>3418</v>
      </c>
      <c r="Z1629" s="1"/>
      <c r="AA1629" s="1"/>
      <c r="AB1629" s="1" t="s">
        <v>52</v>
      </c>
      <c r="AC1629" s="1" t="s">
        <v>1925</v>
      </c>
      <c r="AD1629" s="1"/>
      <c r="AE1629" s="1" t="s">
        <v>1152</v>
      </c>
      <c r="AF1629" s="1"/>
      <c r="AG1629" s="1"/>
      <c r="AH1629" s="1" t="s">
        <v>1152</v>
      </c>
      <c r="AI1629" s="1"/>
      <c r="AJ1629" s="1" t="s">
        <v>8298</v>
      </c>
      <c r="AK1629" s="1" t="s">
        <v>1152</v>
      </c>
      <c r="AL1629" s="6" t="str">
        <f t="array" ref="AL1629">IFERROR(IFS(XLOOKUP(B1629, 'Kit Delivery Status'!$U:$U, 'Kit Delivery Status'!$K:$K) = "Complete", "DELIVERED", XLOOKUP(B1629, 'Kit Delivery Status'!$U:$U, 'Kit Delivery Status'!$K:$K) = "Issue", "ISSUE"), "")</f>
        <v/>
      </c>
      <c r="AM1629" s="6"/>
    </row>
    <row r="1630">
      <c r="A1630" s="5" t="s">
        <v>8301</v>
      </c>
      <c r="B1630" s="1" t="s">
        <v>8302</v>
      </c>
      <c r="C1630" s="1"/>
      <c r="D1630" s="2">
        <v>9.175334035E9</v>
      </c>
      <c r="E1630" s="1" t="s">
        <v>3476</v>
      </c>
      <c r="F1630" s="1"/>
      <c r="G1630" s="1" t="s">
        <v>1131</v>
      </c>
      <c r="H1630" s="1" t="s">
        <v>751</v>
      </c>
      <c r="I1630" s="1">
        <v>10538.0</v>
      </c>
      <c r="J1630" s="1" t="s">
        <v>752</v>
      </c>
      <c r="K1630" s="1" t="s">
        <v>51</v>
      </c>
      <c r="L1630" s="1" t="s">
        <v>5722</v>
      </c>
      <c r="M1630" s="1">
        <v>1.0</v>
      </c>
      <c r="N1630" s="1" t="s">
        <v>2461</v>
      </c>
      <c r="O1630" s="3" t="s">
        <v>8303</v>
      </c>
      <c r="P1630" s="18">
        <v>46027.0</v>
      </c>
      <c r="Q1630" s="1" t="s">
        <v>2463</v>
      </c>
      <c r="R1630" s="1"/>
      <c r="S1630" s="1" t="s">
        <v>52</v>
      </c>
      <c r="T1630" s="1" t="s">
        <v>2461</v>
      </c>
      <c r="U1630" s="1" t="s">
        <v>1812</v>
      </c>
      <c r="V1630" s="4" t="s">
        <v>8303</v>
      </c>
      <c r="W1630" s="1"/>
      <c r="X1630" s="18">
        <v>46027.0</v>
      </c>
      <c r="Y1630" s="1" t="s">
        <v>2463</v>
      </c>
      <c r="Z1630" s="1"/>
      <c r="AA1630" s="1"/>
      <c r="AB1630" s="1" t="s">
        <v>52</v>
      </c>
      <c r="AC1630" s="1" t="s">
        <v>1925</v>
      </c>
      <c r="AD1630" s="1"/>
      <c r="AE1630" s="1" t="s">
        <v>1152</v>
      </c>
      <c r="AF1630" s="1"/>
      <c r="AG1630" s="1"/>
      <c r="AH1630" s="1" t="s">
        <v>1152</v>
      </c>
      <c r="AI1630" s="1"/>
      <c r="AJ1630" s="1" t="s">
        <v>8304</v>
      </c>
      <c r="AK1630" s="1" t="s">
        <v>1152</v>
      </c>
      <c r="AL1630" s="6" t="str">
        <f t="array" ref="AL1630">IFERROR(IFS(XLOOKUP(B1630, 'Kit Delivery Status'!$U:$U, 'Kit Delivery Status'!$K:$K) = "Complete", "DELIVERED", XLOOKUP(B1630, 'Kit Delivery Status'!$U:$U, 'Kit Delivery Status'!$K:$K) = "Issue", "ISSUE"), "")</f>
        <v/>
      </c>
      <c r="AM1630" s="6"/>
    </row>
    <row r="1631">
      <c r="A1631" s="5" t="s">
        <v>8305</v>
      </c>
      <c r="B1631" s="1" t="s">
        <v>8306</v>
      </c>
      <c r="C1631" s="1" t="s">
        <v>8162</v>
      </c>
      <c r="D1631" s="2">
        <v>9.178281862E9</v>
      </c>
      <c r="E1631" s="1" t="s">
        <v>8163</v>
      </c>
      <c r="F1631" s="1"/>
      <c r="G1631" s="1" t="s">
        <v>1766</v>
      </c>
      <c r="H1631" s="1" t="s">
        <v>1078</v>
      </c>
      <c r="I1631" s="1">
        <v>6830.0</v>
      </c>
      <c r="J1631" s="1" t="s">
        <v>752</v>
      </c>
      <c r="K1631" s="1" t="s">
        <v>95</v>
      </c>
      <c r="L1631" s="1" t="s">
        <v>5820</v>
      </c>
      <c r="M1631" s="1">
        <v>49.0</v>
      </c>
      <c r="N1631" s="1" t="s">
        <v>2461</v>
      </c>
      <c r="O1631" s="3" t="s">
        <v>1767</v>
      </c>
      <c r="P1631" s="18">
        <v>46034.0</v>
      </c>
      <c r="Q1631" s="1" t="s">
        <v>2852</v>
      </c>
      <c r="R1631" s="1"/>
      <c r="S1631" s="1" t="s">
        <v>52</v>
      </c>
      <c r="T1631" s="1" t="s">
        <v>2461</v>
      </c>
      <c r="U1631" s="1" t="s">
        <v>1133</v>
      </c>
      <c r="V1631" s="4" t="s">
        <v>1767</v>
      </c>
      <c r="W1631" s="1"/>
      <c r="X1631" s="18">
        <v>46034.0</v>
      </c>
      <c r="Y1631" s="1" t="s">
        <v>2852</v>
      </c>
      <c r="Z1631" s="1"/>
      <c r="AA1631" s="1"/>
      <c r="AB1631" s="1" t="s">
        <v>52</v>
      </c>
      <c r="AC1631" s="1" t="s">
        <v>8307</v>
      </c>
      <c r="AD1631" s="1"/>
      <c r="AE1631" s="1" t="s">
        <v>1152</v>
      </c>
      <c r="AF1631" s="1"/>
      <c r="AG1631" s="1"/>
      <c r="AH1631" s="1" t="s">
        <v>1152</v>
      </c>
      <c r="AI1631" s="1"/>
      <c r="AJ1631" s="1" t="s">
        <v>8163</v>
      </c>
      <c r="AK1631" s="1" t="s">
        <v>1152</v>
      </c>
      <c r="AL1631" s="6" t="str">
        <f t="array" ref="AL1631">IFERROR(IFS(XLOOKUP(B1631, 'Kit Delivery Status'!$U:$U, 'Kit Delivery Status'!$K:$K) = "Complete", "DELIVERED", XLOOKUP(B1631, 'Kit Delivery Status'!$U:$U, 'Kit Delivery Status'!$K:$K) = "Issue", "ISSUE"), "")</f>
        <v/>
      </c>
      <c r="AM1631" s="6"/>
    </row>
    <row r="1632">
      <c r="A1632" s="5" t="s">
        <v>8308</v>
      </c>
      <c r="B1632" s="1" t="s">
        <v>8309</v>
      </c>
      <c r="C1632" s="1" t="s">
        <v>8310</v>
      </c>
      <c r="D1632" s="2">
        <v>5.105088122E9</v>
      </c>
      <c r="E1632" s="1" t="s">
        <v>8311</v>
      </c>
      <c r="F1632" s="1" t="s">
        <v>8312</v>
      </c>
      <c r="G1632" s="1" t="s">
        <v>2350</v>
      </c>
      <c r="H1632" s="1" t="s">
        <v>1155</v>
      </c>
      <c r="I1632" s="1">
        <v>63130.0</v>
      </c>
      <c r="J1632" s="1" t="s">
        <v>752</v>
      </c>
      <c r="K1632" s="1" t="s">
        <v>51</v>
      </c>
      <c r="L1632" s="1" t="s">
        <v>5722</v>
      </c>
      <c r="M1632" s="1">
        <v>1.0</v>
      </c>
      <c r="N1632" s="1" t="s">
        <v>2487</v>
      </c>
      <c r="O1632" s="3"/>
      <c r="P1632" s="18">
        <v>46032.0</v>
      </c>
      <c r="Q1632" s="1" t="s">
        <v>2502</v>
      </c>
      <c r="R1632" s="1" t="s">
        <v>8312</v>
      </c>
      <c r="S1632" s="1" t="s">
        <v>124</v>
      </c>
      <c r="T1632" s="1" t="s">
        <v>2487</v>
      </c>
      <c r="U1632" s="1"/>
      <c r="V1632" s="4"/>
      <c r="W1632" s="1" t="s">
        <v>8312</v>
      </c>
      <c r="X1632" s="18">
        <v>46032.0</v>
      </c>
      <c r="Y1632" s="1" t="s">
        <v>2502</v>
      </c>
      <c r="Z1632" s="1"/>
      <c r="AA1632" s="1" t="s">
        <v>8312</v>
      </c>
      <c r="AB1632" s="1" t="s">
        <v>124</v>
      </c>
      <c r="AC1632" s="1" t="s">
        <v>1925</v>
      </c>
      <c r="AD1632" s="1"/>
      <c r="AE1632" s="1" t="s">
        <v>1152</v>
      </c>
      <c r="AF1632" s="1"/>
      <c r="AG1632" s="1"/>
      <c r="AH1632" s="1" t="s">
        <v>1152</v>
      </c>
      <c r="AI1632" s="1"/>
      <c r="AJ1632" s="1" t="s">
        <v>8311</v>
      </c>
      <c r="AK1632" s="1" t="s">
        <v>1152</v>
      </c>
      <c r="AL1632" s="6" t="str">
        <f t="array" ref="AL1632">IFERROR(IFS(XLOOKUP(B1632, 'Kit Delivery Status'!$U:$U, 'Kit Delivery Status'!$K:$K) = "Complete", "DELIVERED", XLOOKUP(B1632, 'Kit Delivery Status'!$U:$U, 'Kit Delivery Status'!$K:$K) = "Issue", "ISSUE"), "")</f>
        <v/>
      </c>
      <c r="AM1632" s="6"/>
    </row>
    <row r="1633">
      <c r="A1633" s="5" t="s">
        <v>8313</v>
      </c>
      <c r="B1633" s="1" t="s">
        <v>8314</v>
      </c>
      <c r="C1633" s="1" t="s">
        <v>8315</v>
      </c>
      <c r="D1633" s="2" t="s">
        <v>8316</v>
      </c>
      <c r="E1633" s="1" t="s">
        <v>8317</v>
      </c>
      <c r="F1633" s="1"/>
      <c r="G1633" s="1" t="s">
        <v>8318</v>
      </c>
      <c r="H1633" s="1" t="s">
        <v>1891</v>
      </c>
      <c r="I1633" s="1">
        <v>80235.0</v>
      </c>
      <c r="J1633" s="1" t="s">
        <v>752</v>
      </c>
      <c r="K1633" s="1" t="s">
        <v>42</v>
      </c>
      <c r="L1633" s="1" t="s">
        <v>6819</v>
      </c>
      <c r="M1633" s="1">
        <v>49.0</v>
      </c>
      <c r="N1633" s="1" t="s">
        <v>1152</v>
      </c>
      <c r="O1633" s="3" t="s">
        <v>8319</v>
      </c>
      <c r="P1633" s="1" t="s">
        <v>1152</v>
      </c>
      <c r="Q1633" s="1" t="s">
        <v>1152</v>
      </c>
      <c r="R1633" s="1"/>
      <c r="S1633" s="1"/>
      <c r="T1633" s="1" t="s">
        <v>1152</v>
      </c>
      <c r="U1633" s="1" t="s">
        <v>1376</v>
      </c>
      <c r="V1633" s="4" t="s">
        <v>8319</v>
      </c>
      <c r="W1633" s="1"/>
      <c r="X1633" s="1" t="s">
        <v>1152</v>
      </c>
      <c r="Y1633" s="1" t="s">
        <v>1152</v>
      </c>
      <c r="Z1633" s="1"/>
      <c r="AA1633" s="1"/>
      <c r="AB1633" s="1"/>
      <c r="AC1633" s="1" t="s">
        <v>1925</v>
      </c>
      <c r="AD1633" s="1"/>
      <c r="AE1633" s="18">
        <v>46148.0</v>
      </c>
      <c r="AF1633" s="1" t="s">
        <v>1440</v>
      </c>
      <c r="AG1633" s="1" t="s">
        <v>52</v>
      </c>
      <c r="AH1633" s="1" t="s">
        <v>1152</v>
      </c>
      <c r="AI1633" s="1"/>
      <c r="AJ1633" s="1" t="s">
        <v>8320</v>
      </c>
      <c r="AK1633" s="1" t="s">
        <v>1152</v>
      </c>
      <c r="AL1633" s="6" t="str">
        <f t="array" ref="AL1633">IFERROR(IFS(XLOOKUP(B1633, 'Kit Delivery Status'!$U:$U, 'Kit Delivery Status'!$K:$K) = "Complete", "DELIVERED", XLOOKUP(B1633, 'Kit Delivery Status'!$U:$U, 'Kit Delivery Status'!$K:$K) = "Issue", "ISSUE"), "")</f>
        <v/>
      </c>
      <c r="AM1633" s="6"/>
    </row>
    <row r="1634">
      <c r="A1634" s="5" t="s">
        <v>8321</v>
      </c>
      <c r="B1634" s="1" t="s">
        <v>8322</v>
      </c>
      <c r="C1634" s="1" t="s">
        <v>8323</v>
      </c>
      <c r="D1634" s="2">
        <v>2.403703817E9</v>
      </c>
      <c r="E1634" s="1" t="s">
        <v>8324</v>
      </c>
      <c r="F1634" s="1"/>
      <c r="G1634" s="1" t="s">
        <v>5161</v>
      </c>
      <c r="H1634" s="1" t="s">
        <v>1005</v>
      </c>
      <c r="I1634" s="1">
        <v>20874.0</v>
      </c>
      <c r="J1634" s="1" t="s">
        <v>752</v>
      </c>
      <c r="K1634" s="1" t="s">
        <v>51</v>
      </c>
      <c r="L1634" s="1" t="s">
        <v>5722</v>
      </c>
      <c r="M1634" s="1">
        <v>1.0</v>
      </c>
      <c r="N1634" s="1" t="s">
        <v>2461</v>
      </c>
      <c r="O1634" s="3" t="s">
        <v>3434</v>
      </c>
      <c r="P1634" s="18">
        <v>46029.0</v>
      </c>
      <c r="Q1634" s="1" t="s">
        <v>2502</v>
      </c>
      <c r="R1634" s="1"/>
      <c r="S1634" s="1" t="s">
        <v>52</v>
      </c>
      <c r="T1634" s="1" t="s">
        <v>2461</v>
      </c>
      <c r="U1634" s="1" t="s">
        <v>2940</v>
      </c>
      <c r="V1634" s="4" t="s">
        <v>3434</v>
      </c>
      <c r="W1634" s="1"/>
      <c r="X1634" s="18">
        <v>46029.0</v>
      </c>
      <c r="Y1634" s="1" t="s">
        <v>2502</v>
      </c>
      <c r="Z1634" s="1"/>
      <c r="AA1634" s="1"/>
      <c r="AB1634" s="1" t="s">
        <v>52</v>
      </c>
      <c r="AC1634" s="1" t="s">
        <v>1925</v>
      </c>
      <c r="AD1634" s="1"/>
      <c r="AE1634" s="1" t="s">
        <v>1152</v>
      </c>
      <c r="AF1634" s="1"/>
      <c r="AG1634" s="1"/>
      <c r="AH1634" s="1" t="s">
        <v>1152</v>
      </c>
      <c r="AI1634" s="1"/>
      <c r="AJ1634" s="1" t="s">
        <v>8324</v>
      </c>
      <c r="AK1634" s="1" t="s">
        <v>1152</v>
      </c>
      <c r="AL1634" s="6" t="str">
        <f t="array" ref="AL1634">IFERROR(IFS(XLOOKUP(B1634, 'Kit Delivery Status'!$U:$U, 'Kit Delivery Status'!$K:$K) = "Complete", "DELIVERED", XLOOKUP(B1634, 'Kit Delivery Status'!$U:$U, 'Kit Delivery Status'!$K:$K) = "Issue", "ISSUE"), "")</f>
        <v/>
      </c>
      <c r="AM1634" s="6"/>
    </row>
    <row r="1635">
      <c r="A1635" s="5" t="s">
        <v>8325</v>
      </c>
      <c r="B1635" s="1" t="s">
        <v>8326</v>
      </c>
      <c r="C1635" s="1"/>
      <c r="D1635" s="2">
        <v>4.158028428E9</v>
      </c>
      <c r="E1635" s="1" t="s">
        <v>3856</v>
      </c>
      <c r="F1635" s="1"/>
      <c r="G1635" s="1" t="s">
        <v>1562</v>
      </c>
      <c r="H1635" s="1" t="s">
        <v>989</v>
      </c>
      <c r="I1635" s="1">
        <v>94123.0</v>
      </c>
      <c r="J1635" s="1" t="s">
        <v>752</v>
      </c>
      <c r="K1635" s="1" t="s">
        <v>51</v>
      </c>
      <c r="L1635" s="1" t="s">
        <v>5722</v>
      </c>
      <c r="M1635" s="1">
        <v>1.0</v>
      </c>
      <c r="N1635" s="1" t="s">
        <v>2461</v>
      </c>
      <c r="O1635" s="3" t="s">
        <v>6584</v>
      </c>
      <c r="P1635" s="18">
        <v>46028.0</v>
      </c>
      <c r="Q1635" s="1" t="s">
        <v>2463</v>
      </c>
      <c r="R1635" s="1"/>
      <c r="S1635" s="1" t="s">
        <v>52</v>
      </c>
      <c r="T1635" s="1" t="s">
        <v>2461</v>
      </c>
      <c r="U1635" s="1" t="s">
        <v>1794</v>
      </c>
      <c r="V1635" s="4" t="s">
        <v>6584</v>
      </c>
      <c r="W1635" s="1"/>
      <c r="X1635" s="18">
        <v>46028.0</v>
      </c>
      <c r="Y1635" s="1" t="s">
        <v>2463</v>
      </c>
      <c r="Z1635" s="1"/>
      <c r="AA1635" s="1"/>
      <c r="AB1635" s="1" t="s">
        <v>52</v>
      </c>
      <c r="AC1635" s="1" t="s">
        <v>1925</v>
      </c>
      <c r="AD1635" s="1"/>
      <c r="AE1635" s="1" t="s">
        <v>1152</v>
      </c>
      <c r="AF1635" s="1"/>
      <c r="AG1635" s="1"/>
      <c r="AH1635" s="1" t="s">
        <v>1152</v>
      </c>
      <c r="AI1635" s="1"/>
      <c r="AJ1635" s="1" t="s">
        <v>3856</v>
      </c>
      <c r="AK1635" s="1" t="s">
        <v>1152</v>
      </c>
      <c r="AL1635" s="6" t="str">
        <f t="array" ref="AL1635">IFERROR(IFS(XLOOKUP(B1635, 'Kit Delivery Status'!$U:$U, 'Kit Delivery Status'!$K:$K) = "Complete", "DELIVERED", XLOOKUP(B1635, 'Kit Delivery Status'!$U:$U, 'Kit Delivery Status'!$K:$K) = "Issue", "ISSUE"), "")</f>
        <v/>
      </c>
      <c r="AM1635" s="6"/>
    </row>
    <row r="1636">
      <c r="A1636" s="5" t="s">
        <v>8327</v>
      </c>
      <c r="B1636" s="1" t="s">
        <v>8328</v>
      </c>
      <c r="C1636" s="1"/>
      <c r="D1636" s="2">
        <v>1.8201276197E10</v>
      </c>
      <c r="E1636" s="1" t="s">
        <v>8329</v>
      </c>
      <c r="F1636" s="1"/>
      <c r="G1636" s="1" t="s">
        <v>5552</v>
      </c>
      <c r="H1636" s="1" t="s">
        <v>5552</v>
      </c>
      <c r="I1636" s="1">
        <v>100076.0</v>
      </c>
      <c r="J1636" s="1" t="s">
        <v>5553</v>
      </c>
      <c r="K1636" s="1" t="s">
        <v>51</v>
      </c>
      <c r="L1636" s="1" t="s">
        <v>5722</v>
      </c>
      <c r="M1636" s="1">
        <v>1.0</v>
      </c>
      <c r="N1636" s="1" t="s">
        <v>2461</v>
      </c>
      <c r="O1636" s="3" t="s">
        <v>8330</v>
      </c>
      <c r="P1636" s="18">
        <v>46030.0</v>
      </c>
      <c r="Q1636" s="1" t="s">
        <v>2463</v>
      </c>
      <c r="R1636" s="1"/>
      <c r="S1636" s="1" t="s">
        <v>52</v>
      </c>
      <c r="T1636" s="1" t="s">
        <v>2461</v>
      </c>
      <c r="U1636" s="1" t="s">
        <v>1285</v>
      </c>
      <c r="V1636" s="4" t="s">
        <v>8330</v>
      </c>
      <c r="W1636" s="1"/>
      <c r="X1636" s="18">
        <v>46030.0</v>
      </c>
      <c r="Y1636" s="1" t="s">
        <v>2463</v>
      </c>
      <c r="Z1636" s="1"/>
      <c r="AA1636" s="1"/>
      <c r="AB1636" s="1" t="s">
        <v>52</v>
      </c>
      <c r="AC1636" s="1" t="s">
        <v>1925</v>
      </c>
      <c r="AD1636" s="1"/>
      <c r="AE1636" s="1" t="s">
        <v>1152</v>
      </c>
      <c r="AF1636" s="1"/>
      <c r="AG1636" s="1"/>
      <c r="AH1636" s="1" t="s">
        <v>1152</v>
      </c>
      <c r="AI1636" s="1"/>
      <c r="AJ1636" s="1" t="s">
        <v>8329</v>
      </c>
      <c r="AK1636" s="1" t="s">
        <v>1152</v>
      </c>
      <c r="AL1636" s="6" t="str">
        <f t="array" ref="AL1636">IFERROR(IFS(XLOOKUP(B1636, 'Kit Delivery Status'!$U:$U, 'Kit Delivery Status'!$K:$K) = "Complete", "DELIVERED", XLOOKUP(B1636, 'Kit Delivery Status'!$U:$U, 'Kit Delivery Status'!$K:$K) = "Issue", "ISSUE"), "")</f>
        <v/>
      </c>
      <c r="AM1636" s="6"/>
    </row>
    <row r="1637">
      <c r="A1637" s="5" t="s">
        <v>8331</v>
      </c>
      <c r="B1637" s="1" t="s">
        <v>8332</v>
      </c>
      <c r="C1637" s="1"/>
      <c r="D1637" s="2">
        <v>3.17250013E9</v>
      </c>
      <c r="E1637" s="1" t="s">
        <v>8333</v>
      </c>
      <c r="F1637" s="1"/>
      <c r="G1637" s="1" t="s">
        <v>2241</v>
      </c>
      <c r="H1637" s="1" t="s">
        <v>2242</v>
      </c>
      <c r="I1637" s="1">
        <v>46250.0</v>
      </c>
      <c r="J1637" s="1" t="s">
        <v>752</v>
      </c>
      <c r="K1637" s="1" t="s">
        <v>66</v>
      </c>
      <c r="L1637" s="1" t="s">
        <v>5767</v>
      </c>
      <c r="M1637" s="1">
        <v>210.0</v>
      </c>
      <c r="N1637" s="1" t="s">
        <v>1152</v>
      </c>
      <c r="O1637" s="3" t="s">
        <v>103</v>
      </c>
      <c r="P1637" s="18">
        <v>46248.0</v>
      </c>
      <c r="Q1637" s="1" t="s">
        <v>1152</v>
      </c>
      <c r="R1637" s="1"/>
      <c r="S1637" s="1"/>
      <c r="T1637" s="1" t="s">
        <v>1152</v>
      </c>
      <c r="U1637" s="1" t="s">
        <v>102</v>
      </c>
      <c r="V1637" s="4" t="s">
        <v>103</v>
      </c>
      <c r="W1637" s="1"/>
      <c r="X1637" s="18">
        <v>46248.0</v>
      </c>
      <c r="Y1637" s="1" t="s">
        <v>1152</v>
      </c>
      <c r="Z1637" s="1"/>
      <c r="AA1637" s="1"/>
      <c r="AB1637" s="1"/>
      <c r="AC1637" s="1" t="s">
        <v>1925</v>
      </c>
      <c r="AD1637" s="1"/>
      <c r="AE1637" s="1" t="s">
        <v>1152</v>
      </c>
      <c r="AF1637" s="1"/>
      <c r="AG1637" s="1"/>
      <c r="AH1637" s="1" t="s">
        <v>1152</v>
      </c>
      <c r="AI1637" s="1"/>
      <c r="AJ1637" s="1" t="s">
        <v>8334</v>
      </c>
      <c r="AK1637" s="1" t="s">
        <v>1152</v>
      </c>
      <c r="AL1637" s="6" t="str">
        <f t="array" ref="AL1637">IFERROR(IFS(XLOOKUP(B1637, 'Kit Delivery Status'!$U:$U, 'Kit Delivery Status'!$K:$K) = "Complete", "DELIVERED", XLOOKUP(B1637, 'Kit Delivery Status'!$U:$U, 'Kit Delivery Status'!$K:$K) = "Issue", "ISSUE"), "")</f>
        <v/>
      </c>
      <c r="AM1637" s="6"/>
    </row>
    <row r="1638">
      <c r="A1638" s="5" t="s">
        <v>8335</v>
      </c>
      <c r="B1638" s="1" t="s">
        <v>8336</v>
      </c>
      <c r="C1638" s="1" t="s">
        <v>8337</v>
      </c>
      <c r="D1638" s="2">
        <v>5.166976116E9</v>
      </c>
      <c r="E1638" s="1" t="s">
        <v>8338</v>
      </c>
      <c r="F1638" s="1"/>
      <c r="G1638" s="1" t="s">
        <v>8339</v>
      </c>
      <c r="H1638" s="1" t="s">
        <v>751</v>
      </c>
      <c r="I1638" s="1">
        <v>11024.0</v>
      </c>
      <c r="J1638" s="1" t="s">
        <v>752</v>
      </c>
      <c r="K1638" s="1" t="s">
        <v>51</v>
      </c>
      <c r="L1638" s="1" t="s">
        <v>5722</v>
      </c>
      <c r="M1638" s="1">
        <v>1.0</v>
      </c>
      <c r="N1638" s="1" t="s">
        <v>2461</v>
      </c>
      <c r="O1638" s="3" t="s">
        <v>8340</v>
      </c>
      <c r="P1638" s="18">
        <v>46031.0</v>
      </c>
      <c r="Q1638" s="1" t="s">
        <v>2731</v>
      </c>
      <c r="R1638" s="1"/>
      <c r="S1638" s="1" t="s">
        <v>52</v>
      </c>
      <c r="T1638" s="1" t="s">
        <v>2461</v>
      </c>
      <c r="U1638" s="1" t="s">
        <v>1710</v>
      </c>
      <c r="V1638" s="4" t="s">
        <v>8340</v>
      </c>
      <c r="W1638" s="1"/>
      <c r="X1638" s="18">
        <v>46031.0</v>
      </c>
      <c r="Y1638" s="1" t="s">
        <v>2731</v>
      </c>
      <c r="Z1638" s="1"/>
      <c r="AA1638" s="1"/>
      <c r="AB1638" s="1" t="s">
        <v>52</v>
      </c>
      <c r="AC1638" s="1" t="s">
        <v>1925</v>
      </c>
      <c r="AD1638" s="1"/>
      <c r="AE1638" s="1" t="s">
        <v>1152</v>
      </c>
      <c r="AF1638" s="1"/>
      <c r="AG1638" s="1"/>
      <c r="AH1638" s="1" t="s">
        <v>1152</v>
      </c>
      <c r="AI1638" s="1"/>
      <c r="AJ1638" s="1" t="s">
        <v>8338</v>
      </c>
      <c r="AK1638" s="1" t="s">
        <v>1152</v>
      </c>
      <c r="AL1638" s="6" t="str">
        <f t="array" ref="AL1638">IFERROR(IFS(XLOOKUP(B1638, 'Kit Delivery Status'!$U:$U, 'Kit Delivery Status'!$K:$K) = "Complete", "DELIVERED", XLOOKUP(B1638, 'Kit Delivery Status'!$U:$U, 'Kit Delivery Status'!$K:$K) = "Issue", "ISSUE"), "")</f>
        <v/>
      </c>
      <c r="AM1638" s="6"/>
    </row>
    <row r="1639">
      <c r="A1639" s="5" t="s">
        <v>8341</v>
      </c>
      <c r="B1639" s="1" t="s">
        <v>8342</v>
      </c>
      <c r="C1639" s="1"/>
      <c r="D1639" s="2">
        <v>9.143432526E9</v>
      </c>
      <c r="E1639" s="1" t="s">
        <v>8343</v>
      </c>
      <c r="F1639" s="1"/>
      <c r="G1639" s="1" t="s">
        <v>1382</v>
      </c>
      <c r="H1639" s="1" t="s">
        <v>751</v>
      </c>
      <c r="I1639" s="1">
        <v>10583.0</v>
      </c>
      <c r="J1639" s="1" t="s">
        <v>752</v>
      </c>
      <c r="K1639" s="1" t="s">
        <v>51</v>
      </c>
      <c r="L1639" s="1" t="s">
        <v>5722</v>
      </c>
      <c r="M1639" s="1">
        <v>1.0</v>
      </c>
      <c r="N1639" s="1" t="s">
        <v>2461</v>
      </c>
      <c r="O1639" s="3" t="s">
        <v>8344</v>
      </c>
      <c r="P1639" s="18">
        <v>46031.0</v>
      </c>
      <c r="Q1639" s="1" t="s">
        <v>2463</v>
      </c>
      <c r="R1639" s="1"/>
      <c r="S1639" s="1" t="s">
        <v>52</v>
      </c>
      <c r="T1639" s="1" t="s">
        <v>2461</v>
      </c>
      <c r="U1639" s="1" t="s">
        <v>1021</v>
      </c>
      <c r="V1639" s="4" t="s">
        <v>8344</v>
      </c>
      <c r="W1639" s="1"/>
      <c r="X1639" s="18">
        <v>46031.0</v>
      </c>
      <c r="Y1639" s="1" t="s">
        <v>2463</v>
      </c>
      <c r="Z1639" s="1"/>
      <c r="AA1639" s="1"/>
      <c r="AB1639" s="1" t="s">
        <v>52</v>
      </c>
      <c r="AC1639" s="1" t="s">
        <v>1925</v>
      </c>
      <c r="AD1639" s="1"/>
      <c r="AE1639" s="1" t="s">
        <v>1152</v>
      </c>
      <c r="AF1639" s="1"/>
      <c r="AG1639" s="1"/>
      <c r="AH1639" s="1" t="s">
        <v>1152</v>
      </c>
      <c r="AI1639" s="1"/>
      <c r="AJ1639" s="1" t="s">
        <v>8343</v>
      </c>
      <c r="AK1639" s="1" t="s">
        <v>1152</v>
      </c>
      <c r="AL1639" s="6" t="str">
        <f t="array" ref="AL1639">IFERROR(IFS(XLOOKUP(B1639, 'Kit Delivery Status'!$U:$U, 'Kit Delivery Status'!$K:$K) = "Complete", "DELIVERED", XLOOKUP(B1639, 'Kit Delivery Status'!$U:$U, 'Kit Delivery Status'!$K:$K) = "Issue", "ISSUE"), "")</f>
        <v/>
      </c>
      <c r="AM1639" s="6"/>
    </row>
    <row r="1640">
      <c r="A1640" s="5" t="s">
        <v>8345</v>
      </c>
      <c r="B1640" s="1" t="s">
        <v>8346</v>
      </c>
      <c r="C1640" s="1"/>
      <c r="D1640" s="2">
        <v>3.392214449E9</v>
      </c>
      <c r="E1640" s="1" t="s">
        <v>8347</v>
      </c>
      <c r="F1640" s="1" t="s">
        <v>8348</v>
      </c>
      <c r="G1640" s="1" t="s">
        <v>1976</v>
      </c>
      <c r="H1640" s="1" t="s">
        <v>1121</v>
      </c>
      <c r="I1640" s="1">
        <v>1890.0</v>
      </c>
      <c r="J1640" s="1" t="s">
        <v>752</v>
      </c>
      <c r="K1640" s="1" t="s">
        <v>51</v>
      </c>
      <c r="L1640" s="1" t="s">
        <v>5722</v>
      </c>
      <c r="M1640" s="1">
        <v>1.0</v>
      </c>
      <c r="N1640" s="1" t="s">
        <v>2487</v>
      </c>
      <c r="O1640" s="3"/>
      <c r="P1640" s="18">
        <v>46032.0</v>
      </c>
      <c r="Q1640" s="1" t="s">
        <v>3418</v>
      </c>
      <c r="R1640" s="1" t="s">
        <v>8348</v>
      </c>
      <c r="S1640" s="1" t="s">
        <v>124</v>
      </c>
      <c r="T1640" s="1" t="s">
        <v>2487</v>
      </c>
      <c r="U1640" s="1"/>
      <c r="V1640" s="4"/>
      <c r="W1640" s="1" t="s">
        <v>8348</v>
      </c>
      <c r="X1640" s="18">
        <v>46032.0</v>
      </c>
      <c r="Y1640" s="1" t="s">
        <v>3418</v>
      </c>
      <c r="Z1640" s="1"/>
      <c r="AA1640" s="1" t="s">
        <v>8348</v>
      </c>
      <c r="AB1640" s="1" t="s">
        <v>124</v>
      </c>
      <c r="AC1640" s="1" t="s">
        <v>1925</v>
      </c>
      <c r="AD1640" s="1"/>
      <c r="AE1640" s="1" t="s">
        <v>1152</v>
      </c>
      <c r="AF1640" s="1"/>
      <c r="AG1640" s="1"/>
      <c r="AH1640" s="1" t="s">
        <v>1152</v>
      </c>
      <c r="AI1640" s="1"/>
      <c r="AJ1640" s="1" t="s">
        <v>8349</v>
      </c>
      <c r="AK1640" s="1" t="s">
        <v>1152</v>
      </c>
      <c r="AL1640" s="6" t="str">
        <f t="array" ref="AL1640">IFERROR(IFS(XLOOKUP(B1640, 'Kit Delivery Status'!$U:$U, 'Kit Delivery Status'!$K:$K) = "Complete", "DELIVERED", XLOOKUP(B1640, 'Kit Delivery Status'!$U:$U, 'Kit Delivery Status'!$K:$K) = "Issue", "ISSUE"), "")</f>
        <v/>
      </c>
      <c r="AM1640" s="6"/>
    </row>
    <row r="1641">
      <c r="A1641" s="5" t="s">
        <v>8350</v>
      </c>
      <c r="B1641" s="1" t="s">
        <v>8351</v>
      </c>
      <c r="C1641" s="1" t="s">
        <v>8352</v>
      </c>
      <c r="D1641" s="2">
        <v>6.177752178E9</v>
      </c>
      <c r="E1641" s="1" t="s">
        <v>8353</v>
      </c>
      <c r="F1641" s="1" t="s">
        <v>8354</v>
      </c>
      <c r="G1641" s="1" t="s">
        <v>1448</v>
      </c>
      <c r="H1641" s="1" t="s">
        <v>1121</v>
      </c>
      <c r="I1641" s="1">
        <v>2482.0</v>
      </c>
      <c r="J1641" s="1" t="s">
        <v>752</v>
      </c>
      <c r="K1641" s="1" t="s">
        <v>51</v>
      </c>
      <c r="L1641" s="1" t="s">
        <v>5722</v>
      </c>
      <c r="M1641" s="1">
        <v>1.0</v>
      </c>
      <c r="N1641" s="1" t="s">
        <v>2487</v>
      </c>
      <c r="O1641" s="3"/>
      <c r="P1641" s="18">
        <v>46034.0</v>
      </c>
      <c r="Q1641" s="1" t="s">
        <v>2731</v>
      </c>
      <c r="R1641" s="1" t="s">
        <v>8354</v>
      </c>
      <c r="S1641" s="1" t="s">
        <v>124</v>
      </c>
      <c r="T1641" s="1" t="s">
        <v>2487</v>
      </c>
      <c r="U1641" s="1"/>
      <c r="V1641" s="4"/>
      <c r="W1641" s="1" t="s">
        <v>8354</v>
      </c>
      <c r="X1641" s="18">
        <v>46034.0</v>
      </c>
      <c r="Y1641" s="1" t="s">
        <v>2731</v>
      </c>
      <c r="Z1641" s="1"/>
      <c r="AA1641" s="1" t="s">
        <v>8354</v>
      </c>
      <c r="AB1641" s="1" t="s">
        <v>124</v>
      </c>
      <c r="AC1641" s="1" t="s">
        <v>1925</v>
      </c>
      <c r="AD1641" s="1"/>
      <c r="AE1641" s="1" t="s">
        <v>1152</v>
      </c>
      <c r="AF1641" s="1"/>
      <c r="AG1641" s="1"/>
      <c r="AH1641" s="1" t="s">
        <v>1152</v>
      </c>
      <c r="AI1641" s="1"/>
      <c r="AJ1641" s="1" t="s">
        <v>8353</v>
      </c>
      <c r="AK1641" s="1" t="s">
        <v>1152</v>
      </c>
      <c r="AL1641" s="6" t="str">
        <f t="array" ref="AL1641">IFERROR(IFS(XLOOKUP(B1641, 'Kit Delivery Status'!$U:$U, 'Kit Delivery Status'!$K:$K) = "Complete", "DELIVERED", XLOOKUP(B1641, 'Kit Delivery Status'!$U:$U, 'Kit Delivery Status'!$K:$K) = "Issue", "ISSUE"), "")</f>
        <v/>
      </c>
      <c r="AM1641" s="6"/>
    </row>
    <row r="1642">
      <c r="A1642" s="5" t="s">
        <v>8355</v>
      </c>
      <c r="B1642" s="1" t="s">
        <v>8356</v>
      </c>
      <c r="C1642" s="1" t="s">
        <v>8357</v>
      </c>
      <c r="D1642" s="2" t="str">
        <v>#ERROR!</v>
      </c>
      <c r="E1642" s="1" t="s">
        <v>8358</v>
      </c>
      <c r="F1642" s="1"/>
      <c r="G1642" s="1" t="s">
        <v>8359</v>
      </c>
      <c r="H1642" s="1" t="s">
        <v>1053</v>
      </c>
      <c r="I1642" s="1">
        <v>7928.0</v>
      </c>
      <c r="J1642" s="1" t="s">
        <v>752</v>
      </c>
      <c r="K1642" s="1" t="s">
        <v>66</v>
      </c>
      <c r="L1642" s="1" t="s">
        <v>5811</v>
      </c>
      <c r="M1642" s="1">
        <v>145.0</v>
      </c>
      <c r="N1642" s="1" t="s">
        <v>1152</v>
      </c>
      <c r="O1642" s="3" t="s">
        <v>3568</v>
      </c>
      <c r="P1642" s="18">
        <v>46034.0</v>
      </c>
      <c r="Q1642" s="1" t="s">
        <v>1152</v>
      </c>
      <c r="R1642" s="1"/>
      <c r="S1642" s="1"/>
      <c r="T1642" s="1" t="s">
        <v>1152</v>
      </c>
      <c r="U1642" s="1" t="s">
        <v>1324</v>
      </c>
      <c r="V1642" s="4" t="s">
        <v>3568</v>
      </c>
      <c r="W1642" s="1"/>
      <c r="X1642" s="18">
        <v>46034.0</v>
      </c>
      <c r="Y1642" s="1" t="s">
        <v>1152</v>
      </c>
      <c r="Z1642" s="1"/>
      <c r="AA1642" s="1"/>
      <c r="AB1642" s="1"/>
      <c r="AC1642" s="1" t="s">
        <v>1925</v>
      </c>
      <c r="AD1642" s="1"/>
      <c r="AE1642" s="1" t="s">
        <v>1152</v>
      </c>
      <c r="AF1642" s="1"/>
      <c r="AG1642" s="1"/>
      <c r="AH1642" s="1" t="s">
        <v>1152</v>
      </c>
      <c r="AI1642" s="1"/>
      <c r="AJ1642" s="1" t="s">
        <v>8358</v>
      </c>
      <c r="AK1642" s="1" t="s">
        <v>1152</v>
      </c>
      <c r="AL1642" s="6" t="str">
        <f t="array" ref="AL1642">IFERROR(IFS(XLOOKUP(B1642, 'Kit Delivery Status'!$U:$U, 'Kit Delivery Status'!$K:$K) = "Complete", "DELIVERED", XLOOKUP(B1642, 'Kit Delivery Status'!$U:$U, 'Kit Delivery Status'!$K:$K) = "Issue", "ISSUE"), "")</f>
        <v/>
      </c>
      <c r="AM1642" s="6"/>
    </row>
    <row r="1643">
      <c r="A1643" s="5" t="s">
        <v>8360</v>
      </c>
      <c r="B1643" s="1" t="s">
        <v>8361</v>
      </c>
      <c r="C1643" s="1" t="s">
        <v>4629</v>
      </c>
      <c r="D1643" s="2">
        <v>2.012804707E9</v>
      </c>
      <c r="E1643" s="1" t="s">
        <v>8362</v>
      </c>
      <c r="F1643" s="1"/>
      <c r="G1643" s="1" t="s">
        <v>4631</v>
      </c>
      <c r="H1643" s="1" t="s">
        <v>1053</v>
      </c>
      <c r="I1643" s="1">
        <v>7024.0</v>
      </c>
      <c r="J1643" s="1" t="s">
        <v>752</v>
      </c>
      <c r="K1643" s="1" t="s">
        <v>892</v>
      </c>
      <c r="L1643" s="1" t="s">
        <v>6946</v>
      </c>
      <c r="M1643" s="1">
        <v>49.0</v>
      </c>
      <c r="N1643" s="1" t="s">
        <v>1152</v>
      </c>
      <c r="O1643" s="3" t="s">
        <v>8363</v>
      </c>
      <c r="P1643" s="1" t="s">
        <v>1152</v>
      </c>
      <c r="Q1643" s="1" t="s">
        <v>1152</v>
      </c>
      <c r="R1643" s="1"/>
      <c r="S1643" s="1"/>
      <c r="T1643" s="1" t="s">
        <v>1152</v>
      </c>
      <c r="U1643" s="1" t="s">
        <v>7909</v>
      </c>
      <c r="V1643" s="4" t="s">
        <v>8363</v>
      </c>
      <c r="W1643" s="1"/>
      <c r="X1643" s="1" t="s">
        <v>1152</v>
      </c>
      <c r="Y1643" s="1" t="s">
        <v>1152</v>
      </c>
      <c r="Z1643" s="1"/>
      <c r="AA1643" s="1"/>
      <c r="AB1643" s="1"/>
      <c r="AC1643" s="1" t="s">
        <v>1925</v>
      </c>
      <c r="AD1643" s="1"/>
      <c r="AE1643" s="18">
        <v>46034.0</v>
      </c>
      <c r="AF1643" s="1" t="s">
        <v>1030</v>
      </c>
      <c r="AG1643" s="1" t="s">
        <v>52</v>
      </c>
      <c r="AH1643" s="1" t="s">
        <v>8364</v>
      </c>
      <c r="AI1643" s="1"/>
      <c r="AJ1643" s="1" t="s">
        <v>8362</v>
      </c>
      <c r="AK1643" s="1" t="s">
        <v>1152</v>
      </c>
      <c r="AL1643" s="6" t="str">
        <f t="array" ref="AL1643">IFERROR(IFS(XLOOKUP(B1643, 'Kit Delivery Status'!$U:$U, 'Kit Delivery Status'!$K:$K) = "Complete", "DELIVERED", XLOOKUP(B1643, 'Kit Delivery Status'!$U:$U, 'Kit Delivery Status'!$K:$K) = "Issue", "ISSUE"), "")</f>
        <v/>
      </c>
      <c r="AM1643" s="6"/>
    </row>
    <row r="1644">
      <c r="A1644" s="5" t="s">
        <v>8360</v>
      </c>
      <c r="B1644" s="1" t="s">
        <v>8361</v>
      </c>
      <c r="C1644" s="1" t="s">
        <v>4629</v>
      </c>
      <c r="D1644" s="2">
        <v>2.012804707E9</v>
      </c>
      <c r="E1644" s="1" t="s">
        <v>8362</v>
      </c>
      <c r="F1644" s="1"/>
      <c r="G1644" s="1" t="s">
        <v>4631</v>
      </c>
      <c r="H1644" s="1" t="s">
        <v>1053</v>
      </c>
      <c r="I1644" s="1">
        <v>7024.0</v>
      </c>
      <c r="J1644" s="1" t="s">
        <v>752</v>
      </c>
      <c r="K1644" s="1" t="s">
        <v>5314</v>
      </c>
      <c r="L1644" s="1" t="s">
        <v>8365</v>
      </c>
      <c r="M1644" s="1">
        <v>49.0</v>
      </c>
      <c r="N1644" s="1" t="s">
        <v>1152</v>
      </c>
      <c r="O1644" s="3" t="s">
        <v>8363</v>
      </c>
      <c r="P1644" s="1" t="s">
        <v>1152</v>
      </c>
      <c r="Q1644" s="1" t="s">
        <v>1152</v>
      </c>
      <c r="R1644" s="1"/>
      <c r="S1644" s="1"/>
      <c r="T1644" s="1" t="s">
        <v>1152</v>
      </c>
      <c r="U1644" s="1" t="s">
        <v>7909</v>
      </c>
      <c r="V1644" s="4" t="s">
        <v>8363</v>
      </c>
      <c r="W1644" s="1"/>
      <c r="X1644" s="1" t="s">
        <v>1152</v>
      </c>
      <c r="Y1644" s="1" t="s">
        <v>1152</v>
      </c>
      <c r="Z1644" s="1"/>
      <c r="AA1644" s="1"/>
      <c r="AB1644" s="1"/>
      <c r="AC1644" s="1" t="s">
        <v>1925</v>
      </c>
      <c r="AD1644" s="1"/>
      <c r="AE1644" s="18">
        <v>46034.0</v>
      </c>
      <c r="AF1644" s="1" t="s">
        <v>1030</v>
      </c>
      <c r="AG1644" s="1" t="s">
        <v>52</v>
      </c>
      <c r="AH1644" s="1" t="s">
        <v>1152</v>
      </c>
      <c r="AI1644" s="1"/>
      <c r="AJ1644" s="1" t="s">
        <v>8362</v>
      </c>
      <c r="AK1644" s="1" t="s">
        <v>1152</v>
      </c>
      <c r="AL1644" s="6" t="str">
        <f t="array" ref="AL1644">IFERROR(IFS(XLOOKUP(B1644, 'Kit Delivery Status'!$U:$U, 'Kit Delivery Status'!$K:$K) = "Complete", "DELIVERED", XLOOKUP(B1644, 'Kit Delivery Status'!$U:$U, 'Kit Delivery Status'!$K:$K) = "Issue", "ISSUE"), "")</f>
        <v/>
      </c>
      <c r="AM1644" s="6"/>
    </row>
    <row r="1645">
      <c r="A1645" s="5" t="s">
        <v>8366</v>
      </c>
      <c r="B1645" s="1" t="s">
        <v>8367</v>
      </c>
      <c r="C1645" s="1"/>
      <c r="D1645" s="2">
        <v>6.46254271E9</v>
      </c>
      <c r="E1645" s="1" t="s">
        <v>2427</v>
      </c>
      <c r="F1645" s="1"/>
      <c r="G1645" s="1" t="s">
        <v>2428</v>
      </c>
      <c r="H1645" s="1" t="s">
        <v>751</v>
      </c>
      <c r="I1645" s="1">
        <v>10475.0</v>
      </c>
      <c r="J1645" s="1" t="s">
        <v>752</v>
      </c>
      <c r="K1645" s="1" t="s">
        <v>2131</v>
      </c>
      <c r="L1645" s="1" t="s">
        <v>5811</v>
      </c>
      <c r="M1645" s="1">
        <v>1.0</v>
      </c>
      <c r="N1645" s="1" t="s">
        <v>1152</v>
      </c>
      <c r="O1645" s="3" t="s">
        <v>2429</v>
      </c>
      <c r="P1645" s="1" t="s">
        <v>1152</v>
      </c>
      <c r="Q1645" s="1" t="s">
        <v>1152</v>
      </c>
      <c r="R1645" s="1"/>
      <c r="S1645" s="1"/>
      <c r="T1645" s="1" t="s">
        <v>1152</v>
      </c>
      <c r="U1645" s="1" t="s">
        <v>2430</v>
      </c>
      <c r="V1645" s="4" t="s">
        <v>2429</v>
      </c>
      <c r="W1645" s="1"/>
      <c r="X1645" s="1" t="s">
        <v>1152</v>
      </c>
      <c r="Y1645" s="1" t="s">
        <v>1152</v>
      </c>
      <c r="Z1645" s="1"/>
      <c r="AA1645" s="1"/>
      <c r="AB1645" s="1"/>
      <c r="AC1645" s="1" t="s">
        <v>1925</v>
      </c>
      <c r="AD1645" s="1"/>
      <c r="AE1645" s="18">
        <v>46034.0</v>
      </c>
      <c r="AF1645" s="1"/>
      <c r="AG1645" s="1"/>
      <c r="AH1645" s="1" t="s">
        <v>1152</v>
      </c>
      <c r="AI1645" s="1"/>
      <c r="AJ1645" s="1" t="s">
        <v>2427</v>
      </c>
      <c r="AK1645" s="1" t="s">
        <v>1152</v>
      </c>
      <c r="AL1645" s="6" t="str">
        <f t="array" ref="AL1645">IFERROR(IFS(XLOOKUP(B1645, 'Kit Delivery Status'!$U:$U, 'Kit Delivery Status'!$K:$K) = "Complete", "DELIVERED", XLOOKUP(B1645, 'Kit Delivery Status'!$U:$U, 'Kit Delivery Status'!$K:$K) = "Issue", "ISSUE"), "")</f>
        <v/>
      </c>
      <c r="AM1645" s="6"/>
    </row>
    <row r="1646">
      <c r="A1646" s="5" t="s">
        <v>8368</v>
      </c>
      <c r="B1646" s="1" t="s">
        <v>8369</v>
      </c>
      <c r="C1646" s="1" t="s">
        <v>8370</v>
      </c>
      <c r="D1646" s="2">
        <v>3.392214449E9</v>
      </c>
      <c r="E1646" s="1" t="s">
        <v>8347</v>
      </c>
      <c r="F1646" s="1" t="s">
        <v>8371</v>
      </c>
      <c r="G1646" s="1" t="s">
        <v>1976</v>
      </c>
      <c r="H1646" s="1" t="s">
        <v>1121</v>
      </c>
      <c r="I1646" s="1">
        <v>1890.0</v>
      </c>
      <c r="J1646" s="1" t="s">
        <v>752</v>
      </c>
      <c r="K1646" s="1" t="s">
        <v>51</v>
      </c>
      <c r="L1646" s="1" t="s">
        <v>5722</v>
      </c>
      <c r="M1646" s="1">
        <v>1.0</v>
      </c>
      <c r="N1646" s="1" t="s">
        <v>2487</v>
      </c>
      <c r="O1646" s="3"/>
      <c r="P1646" s="18">
        <v>46034.0</v>
      </c>
      <c r="Q1646" s="1" t="s">
        <v>3418</v>
      </c>
      <c r="R1646" s="1" t="s">
        <v>8371</v>
      </c>
      <c r="S1646" s="1" t="s">
        <v>124</v>
      </c>
      <c r="T1646" s="1" t="s">
        <v>2487</v>
      </c>
      <c r="U1646" s="1"/>
      <c r="V1646" s="4"/>
      <c r="W1646" s="1" t="s">
        <v>8371</v>
      </c>
      <c r="X1646" s="18">
        <v>46034.0</v>
      </c>
      <c r="Y1646" s="1" t="s">
        <v>3418</v>
      </c>
      <c r="Z1646" s="1"/>
      <c r="AA1646" s="1" t="s">
        <v>8371</v>
      </c>
      <c r="AB1646" s="1" t="s">
        <v>124</v>
      </c>
      <c r="AC1646" s="1" t="s">
        <v>1925</v>
      </c>
      <c r="AD1646" s="1"/>
      <c r="AE1646" s="1" t="s">
        <v>1152</v>
      </c>
      <c r="AF1646" s="1"/>
      <c r="AG1646" s="1"/>
      <c r="AH1646" s="1" t="s">
        <v>1152</v>
      </c>
      <c r="AI1646" s="1"/>
      <c r="AJ1646" s="1" t="s">
        <v>8347</v>
      </c>
      <c r="AK1646" s="1" t="s">
        <v>1152</v>
      </c>
      <c r="AL1646" s="6" t="str">
        <f t="array" ref="AL1646">IFERROR(IFS(XLOOKUP(B1646, 'Kit Delivery Status'!$U:$U, 'Kit Delivery Status'!$K:$K) = "Complete", "DELIVERED", XLOOKUP(B1646, 'Kit Delivery Status'!$U:$U, 'Kit Delivery Status'!$K:$K) = "Issue", "ISSUE"), "")</f>
        <v/>
      </c>
      <c r="AM1646" s="6"/>
    </row>
    <row r="1647">
      <c r="A1647" s="5" t="s">
        <v>8372</v>
      </c>
      <c r="B1647" s="1" t="s">
        <v>8373</v>
      </c>
      <c r="C1647" s="1"/>
      <c r="D1647" s="2">
        <v>9.143309695E9</v>
      </c>
      <c r="E1647" s="1" t="s">
        <v>8374</v>
      </c>
      <c r="F1647" s="1"/>
      <c r="G1647" s="1" t="s">
        <v>1283</v>
      </c>
      <c r="H1647" s="1" t="s">
        <v>1155</v>
      </c>
      <c r="I1647" s="1">
        <v>63105.0</v>
      </c>
      <c r="J1647" s="1" t="s">
        <v>752</v>
      </c>
      <c r="K1647" s="1" t="s">
        <v>66</v>
      </c>
      <c r="L1647" s="1" t="s">
        <v>5736</v>
      </c>
      <c r="M1647" s="1">
        <v>115.0</v>
      </c>
      <c r="N1647" s="1" t="s">
        <v>1152</v>
      </c>
      <c r="O1647" s="3" t="s">
        <v>8375</v>
      </c>
      <c r="P1647" s="18">
        <v>46034.0</v>
      </c>
      <c r="Q1647" s="1" t="s">
        <v>1152</v>
      </c>
      <c r="R1647" s="1"/>
      <c r="S1647" s="1"/>
      <c r="T1647" s="1" t="s">
        <v>1152</v>
      </c>
      <c r="U1647" s="1" t="s">
        <v>1167</v>
      </c>
      <c r="V1647" s="4" t="s">
        <v>8375</v>
      </c>
      <c r="W1647" s="1"/>
      <c r="X1647" s="18">
        <v>46034.0</v>
      </c>
      <c r="Y1647" s="1" t="s">
        <v>1152</v>
      </c>
      <c r="Z1647" s="1"/>
      <c r="AA1647" s="1"/>
      <c r="AB1647" s="1"/>
      <c r="AC1647" s="1" t="s">
        <v>1925</v>
      </c>
      <c r="AD1647" s="1"/>
      <c r="AE1647" s="1" t="s">
        <v>1152</v>
      </c>
      <c r="AF1647" s="1"/>
      <c r="AG1647" s="1"/>
      <c r="AH1647" s="1" t="s">
        <v>1152</v>
      </c>
      <c r="AI1647" s="1"/>
      <c r="AJ1647" s="1" t="s">
        <v>8374</v>
      </c>
      <c r="AK1647" s="1" t="s">
        <v>1152</v>
      </c>
      <c r="AL1647" s="6" t="str">
        <f t="array" ref="AL1647">IFERROR(IFS(XLOOKUP(B1647, 'Kit Delivery Status'!$U:$U, 'Kit Delivery Status'!$K:$K) = "Complete", "DELIVERED", XLOOKUP(B1647, 'Kit Delivery Status'!$U:$U, 'Kit Delivery Status'!$K:$K) = "Issue", "ISSUE"), "")</f>
        <v/>
      </c>
      <c r="AM1647" s="6"/>
    </row>
    <row r="1648">
      <c r="A1648" s="5" t="s">
        <v>8376</v>
      </c>
      <c r="B1648" s="1" t="s">
        <v>8377</v>
      </c>
      <c r="C1648" s="1"/>
      <c r="D1648" s="2">
        <v>6.78325846E9</v>
      </c>
      <c r="E1648" s="1" t="s">
        <v>8378</v>
      </c>
      <c r="F1648" s="1"/>
      <c r="G1648" s="1" t="s">
        <v>8379</v>
      </c>
      <c r="H1648" s="1" t="s">
        <v>946</v>
      </c>
      <c r="I1648" s="1">
        <v>30344.0</v>
      </c>
      <c r="J1648" s="1" t="s">
        <v>752</v>
      </c>
      <c r="K1648" s="1" t="s">
        <v>42</v>
      </c>
      <c r="L1648" s="1" t="s">
        <v>6819</v>
      </c>
      <c r="M1648" s="1">
        <v>49.0</v>
      </c>
      <c r="N1648" s="1" t="s">
        <v>1152</v>
      </c>
      <c r="O1648" s="3" t="s">
        <v>3510</v>
      </c>
      <c r="P1648" s="1" t="s">
        <v>1152</v>
      </c>
      <c r="Q1648" s="1" t="s">
        <v>1152</v>
      </c>
      <c r="R1648" s="1"/>
      <c r="S1648" s="1"/>
      <c r="T1648" s="1" t="s">
        <v>1152</v>
      </c>
      <c r="U1648" s="1" t="s">
        <v>1537</v>
      </c>
      <c r="V1648" s="4" t="s">
        <v>3510</v>
      </c>
      <c r="W1648" s="1"/>
      <c r="X1648" s="1" t="s">
        <v>1152</v>
      </c>
      <c r="Y1648" s="1" t="s">
        <v>1152</v>
      </c>
      <c r="Z1648" s="1"/>
      <c r="AA1648" s="1"/>
      <c r="AB1648" s="1"/>
      <c r="AC1648" s="1" t="s">
        <v>1925</v>
      </c>
      <c r="AD1648" s="1"/>
      <c r="AE1648" s="18">
        <v>46148.0</v>
      </c>
      <c r="AF1648" s="1" t="s">
        <v>1030</v>
      </c>
      <c r="AG1648" s="1" t="s">
        <v>52</v>
      </c>
      <c r="AH1648" s="1" t="s">
        <v>1152</v>
      </c>
      <c r="AI1648" s="1"/>
      <c r="AJ1648" s="1" t="s">
        <v>8380</v>
      </c>
      <c r="AK1648" s="1" t="s">
        <v>1152</v>
      </c>
      <c r="AL1648" s="6" t="str">
        <f t="array" ref="AL1648">IFERROR(IFS(XLOOKUP(B1648, 'Kit Delivery Status'!$U:$U, 'Kit Delivery Status'!$K:$K) = "Complete", "DELIVERED", XLOOKUP(B1648, 'Kit Delivery Status'!$U:$U, 'Kit Delivery Status'!$K:$K) = "Issue", "ISSUE"), "")</f>
        <v/>
      </c>
      <c r="AM1648" s="6"/>
    </row>
    <row r="1649">
      <c r="A1649" s="5" t="s">
        <v>8381</v>
      </c>
      <c r="B1649" s="1" t="s">
        <v>8382</v>
      </c>
      <c r="C1649" s="1"/>
      <c r="D1649" s="2">
        <v>8.572250313E9</v>
      </c>
      <c r="E1649" s="1" t="s">
        <v>8383</v>
      </c>
      <c r="F1649" s="1"/>
      <c r="G1649" s="1" t="s">
        <v>4642</v>
      </c>
      <c r="H1649" s="1" t="s">
        <v>1121</v>
      </c>
      <c r="I1649" s="1">
        <v>2445.0</v>
      </c>
      <c r="J1649" s="1" t="s">
        <v>752</v>
      </c>
      <c r="K1649" s="1" t="s">
        <v>5314</v>
      </c>
      <c r="L1649" s="1" t="s">
        <v>6819</v>
      </c>
      <c r="M1649" s="1">
        <v>49.0</v>
      </c>
      <c r="N1649" s="1" t="s">
        <v>1152</v>
      </c>
      <c r="O1649" s="3" t="s">
        <v>7565</v>
      </c>
      <c r="P1649" s="1" t="s">
        <v>1152</v>
      </c>
      <c r="Q1649" s="1" t="s">
        <v>1152</v>
      </c>
      <c r="R1649" s="1"/>
      <c r="S1649" s="1"/>
      <c r="T1649" s="1" t="s">
        <v>1152</v>
      </c>
      <c r="U1649" s="1" t="s">
        <v>1710</v>
      </c>
      <c r="V1649" s="4" t="s">
        <v>7565</v>
      </c>
      <c r="W1649" s="1"/>
      <c r="X1649" s="1" t="s">
        <v>1152</v>
      </c>
      <c r="Y1649" s="1" t="s">
        <v>1152</v>
      </c>
      <c r="Z1649" s="1"/>
      <c r="AA1649" s="1"/>
      <c r="AB1649" s="1"/>
      <c r="AC1649" s="1" t="s">
        <v>1925</v>
      </c>
      <c r="AD1649" s="1"/>
      <c r="AE1649" s="18">
        <v>46036.0</v>
      </c>
      <c r="AF1649" s="1" t="s">
        <v>1455</v>
      </c>
      <c r="AG1649" s="1" t="s">
        <v>52</v>
      </c>
      <c r="AH1649" s="1" t="s">
        <v>1152</v>
      </c>
      <c r="AI1649" s="1"/>
      <c r="AJ1649" s="1" t="s">
        <v>7564</v>
      </c>
      <c r="AK1649" s="1" t="s">
        <v>1152</v>
      </c>
      <c r="AL1649" s="6" t="str">
        <f t="array" ref="AL1649">IFERROR(IFS(XLOOKUP(B1649, 'Kit Delivery Status'!$U:$U, 'Kit Delivery Status'!$K:$K) = "Complete", "DELIVERED", XLOOKUP(B1649, 'Kit Delivery Status'!$U:$U, 'Kit Delivery Status'!$K:$K) = "Issue", "ISSUE"), "")</f>
        <v/>
      </c>
      <c r="AM1649" s="6"/>
    </row>
    <row r="1650">
      <c r="A1650" s="5" t="s">
        <v>8384</v>
      </c>
      <c r="B1650" s="1" t="s">
        <v>8385</v>
      </c>
      <c r="C1650" s="1" t="s">
        <v>2849</v>
      </c>
      <c r="D1650" s="2">
        <v>9.522200874E9</v>
      </c>
      <c r="E1650" s="1" t="s">
        <v>2850</v>
      </c>
      <c r="F1650" s="1"/>
      <c r="G1650" s="1" t="s">
        <v>2350</v>
      </c>
      <c r="H1650" s="1" t="s">
        <v>1155</v>
      </c>
      <c r="I1650" s="1">
        <v>63105.0</v>
      </c>
      <c r="J1650" s="1" t="s">
        <v>752</v>
      </c>
      <c r="K1650" s="1" t="s">
        <v>2131</v>
      </c>
      <c r="L1650" s="1" t="s">
        <v>6107</v>
      </c>
      <c r="M1650" s="1">
        <v>1.0</v>
      </c>
      <c r="N1650" s="1" t="s">
        <v>1152</v>
      </c>
      <c r="O1650" s="3" t="s">
        <v>2851</v>
      </c>
      <c r="P1650" s="1" t="s">
        <v>1152</v>
      </c>
      <c r="Q1650" s="1" t="s">
        <v>1152</v>
      </c>
      <c r="R1650" s="1"/>
      <c r="S1650" s="1"/>
      <c r="T1650" s="1" t="s">
        <v>1152</v>
      </c>
      <c r="U1650" s="1" t="s">
        <v>948</v>
      </c>
      <c r="V1650" s="4" t="s">
        <v>2851</v>
      </c>
      <c r="W1650" s="1"/>
      <c r="X1650" s="1" t="s">
        <v>1152</v>
      </c>
      <c r="Y1650" s="1" t="s">
        <v>1152</v>
      </c>
      <c r="Z1650" s="1"/>
      <c r="AA1650" s="1"/>
      <c r="AB1650" s="1"/>
      <c r="AC1650" s="1" t="s">
        <v>1925</v>
      </c>
      <c r="AD1650" s="1"/>
      <c r="AE1650" s="18">
        <v>46035.0</v>
      </c>
      <c r="AF1650" s="1"/>
      <c r="AG1650" s="1"/>
      <c r="AH1650" s="1" t="s">
        <v>1152</v>
      </c>
      <c r="AI1650" s="1"/>
      <c r="AJ1650" s="1" t="s">
        <v>2850</v>
      </c>
      <c r="AK1650" s="1" t="s">
        <v>1152</v>
      </c>
      <c r="AL1650" s="6" t="str">
        <f t="array" ref="AL1650">IFERROR(IFS(XLOOKUP(B1650, 'Kit Delivery Status'!$U:$U, 'Kit Delivery Status'!$K:$K) = "Complete", "DELIVERED", XLOOKUP(B1650, 'Kit Delivery Status'!$U:$U, 'Kit Delivery Status'!$K:$K) = "Issue", "ISSUE"), "")</f>
        <v/>
      </c>
      <c r="AM1650" s="6"/>
    </row>
    <row r="1651">
      <c r="A1651" s="5" t="s">
        <v>8386</v>
      </c>
      <c r="B1651" s="1" t="s">
        <v>8387</v>
      </c>
      <c r="C1651" s="1"/>
      <c r="D1651" s="2">
        <v>5.166976116E9</v>
      </c>
      <c r="E1651" s="1" t="s">
        <v>8338</v>
      </c>
      <c r="F1651" s="1"/>
      <c r="G1651" s="1" t="s">
        <v>8339</v>
      </c>
      <c r="H1651" s="1" t="s">
        <v>751</v>
      </c>
      <c r="I1651" s="1">
        <v>11024.0</v>
      </c>
      <c r="J1651" s="1" t="s">
        <v>752</v>
      </c>
      <c r="K1651" s="1" t="s">
        <v>66</v>
      </c>
      <c r="L1651" s="1" t="s">
        <v>6107</v>
      </c>
      <c r="M1651" s="1">
        <v>180.0</v>
      </c>
      <c r="N1651" s="1" t="s">
        <v>1152</v>
      </c>
      <c r="O1651" s="3" t="s">
        <v>8388</v>
      </c>
      <c r="P1651" s="18">
        <v>46036.0</v>
      </c>
      <c r="Q1651" s="1" t="s">
        <v>1152</v>
      </c>
      <c r="R1651" s="1"/>
      <c r="S1651" s="1"/>
      <c r="T1651" s="1" t="s">
        <v>1152</v>
      </c>
      <c r="U1651" s="1" t="s">
        <v>1710</v>
      </c>
      <c r="V1651" s="4" t="s">
        <v>8388</v>
      </c>
      <c r="W1651" s="1"/>
      <c r="X1651" s="18">
        <v>46036.0</v>
      </c>
      <c r="Y1651" s="1" t="s">
        <v>1152</v>
      </c>
      <c r="Z1651" s="1"/>
      <c r="AA1651" s="1"/>
      <c r="AB1651" s="1"/>
      <c r="AC1651" s="1" t="s">
        <v>1925</v>
      </c>
      <c r="AD1651" s="1"/>
      <c r="AE1651" s="1" t="s">
        <v>1152</v>
      </c>
      <c r="AF1651" s="1"/>
      <c r="AG1651" s="1"/>
      <c r="AH1651" s="1" t="s">
        <v>1152</v>
      </c>
      <c r="AI1651" s="1"/>
      <c r="AJ1651" s="1" t="s">
        <v>8338</v>
      </c>
      <c r="AK1651" s="1" t="s">
        <v>1152</v>
      </c>
      <c r="AL1651" s="6" t="str">
        <f t="array" ref="AL1651">IFERROR(IFS(XLOOKUP(B1651, 'Kit Delivery Status'!$U:$U, 'Kit Delivery Status'!$K:$K) = "Complete", "DELIVERED", XLOOKUP(B1651, 'Kit Delivery Status'!$U:$U, 'Kit Delivery Status'!$K:$K) = "Issue", "ISSUE"), "")</f>
        <v/>
      </c>
      <c r="AM1651" s="6"/>
    </row>
    <row r="1652">
      <c r="A1652" s="5" t="s">
        <v>8389</v>
      </c>
      <c r="B1652" s="1" t="s">
        <v>8390</v>
      </c>
      <c r="C1652" s="1" t="s">
        <v>8391</v>
      </c>
      <c r="D1652" s="2">
        <v>9.17282103E9</v>
      </c>
      <c r="E1652" s="1" t="s">
        <v>8392</v>
      </c>
      <c r="F1652" s="1"/>
      <c r="G1652" s="1" t="s">
        <v>1382</v>
      </c>
      <c r="H1652" s="1" t="s">
        <v>751</v>
      </c>
      <c r="I1652" s="1">
        <v>10583.0</v>
      </c>
      <c r="J1652" s="1" t="s">
        <v>752</v>
      </c>
      <c r="K1652" s="1" t="s">
        <v>5314</v>
      </c>
      <c r="L1652" s="1" t="s">
        <v>8393</v>
      </c>
      <c r="M1652" s="1">
        <v>109.0</v>
      </c>
      <c r="N1652" s="1" t="s">
        <v>1152</v>
      </c>
      <c r="O1652" s="3" t="s">
        <v>8394</v>
      </c>
      <c r="P1652" s="1" t="s">
        <v>1152</v>
      </c>
      <c r="Q1652" s="1" t="s">
        <v>1152</v>
      </c>
      <c r="R1652" s="1"/>
      <c r="S1652" s="1"/>
      <c r="T1652" s="1" t="s">
        <v>1152</v>
      </c>
      <c r="U1652" s="1" t="s">
        <v>1812</v>
      </c>
      <c r="V1652" s="4" t="s">
        <v>8394</v>
      </c>
      <c r="W1652" s="1"/>
      <c r="X1652" s="1" t="s">
        <v>1152</v>
      </c>
      <c r="Y1652" s="1" t="s">
        <v>1152</v>
      </c>
      <c r="Z1652" s="1"/>
      <c r="AA1652" s="1"/>
      <c r="AB1652" s="1"/>
      <c r="AC1652" s="1" t="s">
        <v>1925</v>
      </c>
      <c r="AD1652" s="1"/>
      <c r="AE1652" s="18">
        <v>46041.0</v>
      </c>
      <c r="AF1652" s="1" t="s">
        <v>1030</v>
      </c>
      <c r="AG1652" s="1" t="s">
        <v>52</v>
      </c>
      <c r="AH1652" s="1" t="s">
        <v>1152</v>
      </c>
      <c r="AI1652" s="1"/>
      <c r="AJ1652" s="1" t="s">
        <v>8395</v>
      </c>
      <c r="AK1652" s="1" t="s">
        <v>1152</v>
      </c>
      <c r="AL1652" s="6" t="str">
        <f t="array" ref="AL1652">IFERROR(IFS(XLOOKUP(B1652, 'Kit Delivery Status'!$U:$U, 'Kit Delivery Status'!$K:$K) = "Complete", "DELIVERED", XLOOKUP(B1652, 'Kit Delivery Status'!$U:$U, 'Kit Delivery Status'!$K:$K) = "Issue", "ISSUE"), "")</f>
        <v/>
      </c>
      <c r="AM1652" s="6"/>
    </row>
    <row r="1653">
      <c r="A1653" s="5" t="s">
        <v>8396</v>
      </c>
      <c r="B1653" s="1" t="s">
        <v>8397</v>
      </c>
      <c r="C1653" s="1" t="s">
        <v>1136</v>
      </c>
      <c r="D1653" s="2">
        <v>6.788768713E9</v>
      </c>
      <c r="E1653" s="1" t="s">
        <v>8398</v>
      </c>
      <c r="F1653" s="1"/>
      <c r="G1653" s="1" t="s">
        <v>1138</v>
      </c>
      <c r="H1653" s="1" t="s">
        <v>946</v>
      </c>
      <c r="I1653" s="1">
        <v>30043.0</v>
      </c>
      <c r="J1653" s="1" t="s">
        <v>752</v>
      </c>
      <c r="K1653" s="1" t="s">
        <v>2131</v>
      </c>
      <c r="L1653" s="1" t="s">
        <v>5811</v>
      </c>
      <c r="M1653" s="1">
        <v>1.0</v>
      </c>
      <c r="N1653" s="1" t="s">
        <v>1152</v>
      </c>
      <c r="O1653" s="3" t="s">
        <v>1139</v>
      </c>
      <c r="P1653" s="1" t="s">
        <v>1152</v>
      </c>
      <c r="Q1653" s="1" t="s">
        <v>1152</v>
      </c>
      <c r="R1653" s="1"/>
      <c r="S1653" s="1"/>
      <c r="T1653" s="1" t="s">
        <v>1152</v>
      </c>
      <c r="U1653" s="1" t="s">
        <v>1285</v>
      </c>
      <c r="V1653" s="4" t="s">
        <v>1139</v>
      </c>
      <c r="W1653" s="1"/>
      <c r="X1653" s="1" t="s">
        <v>1152</v>
      </c>
      <c r="Y1653" s="1" t="s">
        <v>1152</v>
      </c>
      <c r="Z1653" s="1"/>
      <c r="AA1653" s="1"/>
      <c r="AB1653" s="1"/>
      <c r="AC1653" s="1" t="s">
        <v>1925</v>
      </c>
      <c r="AD1653" s="1"/>
      <c r="AE1653" s="18">
        <v>46037.0</v>
      </c>
      <c r="AF1653" s="1"/>
      <c r="AG1653" s="1"/>
      <c r="AH1653" s="1" t="s">
        <v>1152</v>
      </c>
      <c r="AI1653" s="1"/>
      <c r="AJ1653" s="1" t="s">
        <v>8398</v>
      </c>
      <c r="AK1653" s="1" t="s">
        <v>1152</v>
      </c>
      <c r="AL1653" s="6" t="str">
        <f t="array" ref="AL1653">IFERROR(IFS(XLOOKUP(B1653, 'Kit Delivery Status'!$U:$U, 'Kit Delivery Status'!$K:$K) = "Complete", "DELIVERED", XLOOKUP(B1653, 'Kit Delivery Status'!$U:$U, 'Kit Delivery Status'!$K:$K) = "Issue", "ISSUE"), "")</f>
        <v/>
      </c>
      <c r="AM1653" s="6"/>
    </row>
    <row r="1654">
      <c r="A1654" s="5" t="s">
        <v>8399</v>
      </c>
      <c r="B1654" s="1" t="s">
        <v>8400</v>
      </c>
      <c r="C1654" s="1" t="s">
        <v>8401</v>
      </c>
      <c r="D1654" s="2">
        <v>3.142259876E9</v>
      </c>
      <c r="E1654" s="1" t="s">
        <v>8402</v>
      </c>
      <c r="F1654" s="1" t="s">
        <v>8403</v>
      </c>
      <c r="G1654" s="1" t="s">
        <v>3741</v>
      </c>
      <c r="H1654" s="1" t="s">
        <v>1155</v>
      </c>
      <c r="I1654" s="1">
        <v>63130.0</v>
      </c>
      <c r="J1654" s="1" t="s">
        <v>752</v>
      </c>
      <c r="K1654" s="1" t="s">
        <v>892</v>
      </c>
      <c r="L1654" s="1" t="s">
        <v>8006</v>
      </c>
      <c r="M1654" s="1">
        <v>49.0</v>
      </c>
      <c r="N1654" s="1" t="s">
        <v>1152</v>
      </c>
      <c r="O1654" s="3"/>
      <c r="P1654" s="1" t="s">
        <v>1152</v>
      </c>
      <c r="Q1654" s="1" t="s">
        <v>1152</v>
      </c>
      <c r="R1654" s="1" t="s">
        <v>8403</v>
      </c>
      <c r="S1654" s="1"/>
      <c r="T1654" s="1" t="s">
        <v>1152</v>
      </c>
      <c r="U1654" s="1"/>
      <c r="V1654" s="4"/>
      <c r="W1654" s="1" t="s">
        <v>8403</v>
      </c>
      <c r="X1654" s="1" t="s">
        <v>1152</v>
      </c>
      <c r="Y1654" s="1" t="s">
        <v>1152</v>
      </c>
      <c r="Z1654" s="1"/>
      <c r="AA1654" s="1" t="s">
        <v>8403</v>
      </c>
      <c r="AB1654" s="1"/>
      <c r="AC1654" s="1" t="s">
        <v>1925</v>
      </c>
      <c r="AD1654" s="1"/>
      <c r="AE1654" s="18">
        <v>46044.0</v>
      </c>
      <c r="AF1654" s="1" t="s">
        <v>1630</v>
      </c>
      <c r="AG1654" s="1" t="s">
        <v>124</v>
      </c>
      <c r="AH1654" s="1" t="s">
        <v>8404</v>
      </c>
      <c r="AI1654" s="1"/>
      <c r="AJ1654" s="1" t="s">
        <v>8402</v>
      </c>
      <c r="AK1654" s="1" t="s">
        <v>1152</v>
      </c>
      <c r="AL1654" s="6" t="str">
        <f t="array" ref="AL1654">IFERROR(IFS(XLOOKUP(B1654, 'Kit Delivery Status'!$U:$U, 'Kit Delivery Status'!$K:$K) = "Complete", "DELIVERED", XLOOKUP(B1654, 'Kit Delivery Status'!$U:$U, 'Kit Delivery Status'!$K:$K) = "Issue", "ISSUE"), "")</f>
        <v/>
      </c>
      <c r="AM1654" s="6"/>
    </row>
    <row r="1655">
      <c r="A1655" s="5" t="s">
        <v>8405</v>
      </c>
      <c r="B1655" s="1" t="s">
        <v>8406</v>
      </c>
      <c r="C1655" s="1"/>
      <c r="D1655" s="2">
        <v>2.014245137E9</v>
      </c>
      <c r="E1655" s="1" t="s">
        <v>8407</v>
      </c>
      <c r="F1655" s="1"/>
      <c r="G1655" s="1" t="s">
        <v>1405</v>
      </c>
      <c r="H1655" s="1" t="s">
        <v>751</v>
      </c>
      <c r="I1655" s="1">
        <v>11753.0</v>
      </c>
      <c r="J1655" s="1" t="s">
        <v>752</v>
      </c>
      <c r="K1655" s="1" t="s">
        <v>892</v>
      </c>
      <c r="L1655" s="1" t="s">
        <v>8006</v>
      </c>
      <c r="M1655" s="1">
        <v>49.0</v>
      </c>
      <c r="N1655" s="1" t="s">
        <v>1152</v>
      </c>
      <c r="O1655" s="3" t="s">
        <v>8408</v>
      </c>
      <c r="P1655" s="1" t="s">
        <v>1152</v>
      </c>
      <c r="Q1655" s="1" t="s">
        <v>1152</v>
      </c>
      <c r="R1655" s="1"/>
      <c r="S1655" s="1"/>
      <c r="T1655" s="1" t="s">
        <v>1152</v>
      </c>
      <c r="U1655" s="1" t="s">
        <v>1407</v>
      </c>
      <c r="V1655" s="4" t="s">
        <v>8408</v>
      </c>
      <c r="W1655" s="1"/>
      <c r="X1655" s="1" t="s">
        <v>1152</v>
      </c>
      <c r="Y1655" s="1" t="s">
        <v>1152</v>
      </c>
      <c r="Z1655" s="1"/>
      <c r="AA1655" s="1"/>
      <c r="AB1655" s="1"/>
      <c r="AC1655" s="1" t="s">
        <v>1925</v>
      </c>
      <c r="AD1655" s="1"/>
      <c r="AE1655" s="18">
        <v>46037.0</v>
      </c>
      <c r="AF1655" s="1" t="s">
        <v>1030</v>
      </c>
      <c r="AG1655" s="1" t="s">
        <v>52</v>
      </c>
      <c r="AH1655" s="1" t="s">
        <v>8409</v>
      </c>
      <c r="AI1655" s="1"/>
      <c r="AJ1655" s="1" t="s">
        <v>8410</v>
      </c>
      <c r="AK1655" s="1" t="s">
        <v>1152</v>
      </c>
      <c r="AL1655" s="6" t="str">
        <f t="array" ref="AL1655">IFERROR(IFS(XLOOKUP(B1655, 'Kit Delivery Status'!$U:$U, 'Kit Delivery Status'!$K:$K) = "Complete", "DELIVERED", XLOOKUP(B1655, 'Kit Delivery Status'!$U:$U, 'Kit Delivery Status'!$K:$K) = "Issue", "ISSUE"), "")</f>
        <v/>
      </c>
      <c r="AM1655" s="6"/>
    </row>
    <row r="1656">
      <c r="A1656" s="5" t="s">
        <v>8411</v>
      </c>
      <c r="B1656" s="1" t="s">
        <v>8412</v>
      </c>
      <c r="C1656" s="1" t="s">
        <v>1914</v>
      </c>
      <c r="D1656" s="2">
        <v>5.16606386E9</v>
      </c>
      <c r="E1656" s="1" t="s">
        <v>432</v>
      </c>
      <c r="F1656" s="1"/>
      <c r="G1656" s="1" t="s">
        <v>1697</v>
      </c>
      <c r="H1656" s="1" t="s">
        <v>751</v>
      </c>
      <c r="I1656" s="1">
        <v>11023.0</v>
      </c>
      <c r="J1656" s="1" t="s">
        <v>752</v>
      </c>
      <c r="K1656" s="1" t="s">
        <v>42</v>
      </c>
      <c r="L1656" s="1" t="s">
        <v>6819</v>
      </c>
      <c r="M1656" s="1">
        <v>49.0</v>
      </c>
      <c r="N1656" s="1" t="s">
        <v>1152</v>
      </c>
      <c r="O1656" s="3" t="s">
        <v>434</v>
      </c>
      <c r="P1656" s="1" t="s">
        <v>1152</v>
      </c>
      <c r="Q1656" s="1" t="s">
        <v>1152</v>
      </c>
      <c r="R1656" s="1"/>
      <c r="S1656" s="1"/>
      <c r="T1656" s="1" t="s">
        <v>1152</v>
      </c>
      <c r="U1656" s="1" t="s">
        <v>1487</v>
      </c>
      <c r="V1656" s="4" t="s">
        <v>434</v>
      </c>
      <c r="W1656" s="1"/>
      <c r="X1656" s="1" t="s">
        <v>1152</v>
      </c>
      <c r="Y1656" s="1" t="s">
        <v>1152</v>
      </c>
      <c r="Z1656" s="1"/>
      <c r="AA1656" s="1"/>
      <c r="AB1656" s="1"/>
      <c r="AC1656" s="1" t="s">
        <v>1925</v>
      </c>
      <c r="AD1656" s="1"/>
      <c r="AE1656" s="18">
        <v>46148.0</v>
      </c>
      <c r="AF1656" s="1" t="s">
        <v>1030</v>
      </c>
      <c r="AG1656" s="1" t="s">
        <v>52</v>
      </c>
      <c r="AH1656" s="1" t="s">
        <v>1152</v>
      </c>
      <c r="AI1656" s="1"/>
      <c r="AJ1656" s="1" t="s">
        <v>432</v>
      </c>
      <c r="AK1656" s="1" t="s">
        <v>1152</v>
      </c>
      <c r="AL1656" s="6" t="str">
        <f t="array" ref="AL1656">IFERROR(IFS(XLOOKUP(B1656, 'Kit Delivery Status'!$U:$U, 'Kit Delivery Status'!$K:$K) = "Complete", "DELIVERED", XLOOKUP(B1656, 'Kit Delivery Status'!$U:$U, 'Kit Delivery Status'!$K:$K) = "Issue", "ISSUE"), "")</f>
        <v/>
      </c>
      <c r="AM1656" s="6"/>
    </row>
    <row r="1657">
      <c r="A1657" s="5" t="s">
        <v>8411</v>
      </c>
      <c r="B1657" s="1" t="s">
        <v>8412</v>
      </c>
      <c r="C1657" s="1" t="s">
        <v>1914</v>
      </c>
      <c r="D1657" s="2">
        <v>5.16606386E9</v>
      </c>
      <c r="E1657" s="1" t="s">
        <v>432</v>
      </c>
      <c r="F1657" s="1"/>
      <c r="G1657" s="1" t="s">
        <v>1697</v>
      </c>
      <c r="H1657" s="1" t="s">
        <v>751</v>
      </c>
      <c r="I1657" s="1">
        <v>11023.0</v>
      </c>
      <c r="J1657" s="1" t="s">
        <v>752</v>
      </c>
      <c r="K1657" s="1" t="s">
        <v>2131</v>
      </c>
      <c r="L1657" s="1" t="s">
        <v>5736</v>
      </c>
      <c r="M1657" s="1">
        <v>1.0</v>
      </c>
      <c r="N1657" s="1" t="s">
        <v>1152</v>
      </c>
      <c r="O1657" s="3" t="s">
        <v>434</v>
      </c>
      <c r="P1657" s="1" t="s">
        <v>1152</v>
      </c>
      <c r="Q1657" s="1" t="s">
        <v>1152</v>
      </c>
      <c r="R1657" s="1"/>
      <c r="S1657" s="1"/>
      <c r="T1657" s="1" t="s">
        <v>1152</v>
      </c>
      <c r="U1657" s="1" t="s">
        <v>1487</v>
      </c>
      <c r="V1657" s="4" t="s">
        <v>434</v>
      </c>
      <c r="W1657" s="1"/>
      <c r="X1657" s="1" t="s">
        <v>1152</v>
      </c>
      <c r="Y1657" s="1" t="s">
        <v>1152</v>
      </c>
      <c r="Z1657" s="1"/>
      <c r="AA1657" s="1"/>
      <c r="AB1657" s="1"/>
      <c r="AC1657" s="1" t="s">
        <v>1925</v>
      </c>
      <c r="AD1657" s="1"/>
      <c r="AE1657" s="18">
        <v>46148.0</v>
      </c>
      <c r="AF1657" s="1"/>
      <c r="AG1657" s="1"/>
      <c r="AH1657" s="1" t="s">
        <v>1152</v>
      </c>
      <c r="AI1657" s="1"/>
      <c r="AJ1657" s="1" t="s">
        <v>432</v>
      </c>
      <c r="AK1657" s="1" t="s">
        <v>1152</v>
      </c>
      <c r="AL1657" s="6" t="str">
        <f t="array" ref="AL1657">IFERROR(IFS(XLOOKUP(B1657, 'Kit Delivery Status'!$U:$U, 'Kit Delivery Status'!$K:$K) = "Complete", "DELIVERED", XLOOKUP(B1657, 'Kit Delivery Status'!$U:$U, 'Kit Delivery Status'!$K:$K) = "Issue", "ISSUE"), "")</f>
        <v/>
      </c>
      <c r="AM1657" s="6"/>
    </row>
    <row r="1658">
      <c r="A1658" s="5" t="s">
        <v>8413</v>
      </c>
      <c r="B1658" s="1" t="s">
        <v>8414</v>
      </c>
      <c r="C1658" s="1" t="s">
        <v>8415</v>
      </c>
      <c r="D1658" s="2" t="str">
        <v>#ERROR!</v>
      </c>
      <c r="E1658" s="1" t="s">
        <v>1353</v>
      </c>
      <c r="F1658" s="1"/>
      <c r="G1658" s="1" t="s">
        <v>1354</v>
      </c>
      <c r="H1658" s="1" t="s">
        <v>1121</v>
      </c>
      <c r="I1658" s="1">
        <v>2458.0</v>
      </c>
      <c r="J1658" s="1" t="s">
        <v>752</v>
      </c>
      <c r="K1658" s="1" t="s">
        <v>42</v>
      </c>
      <c r="L1658" s="1" t="s">
        <v>6819</v>
      </c>
      <c r="M1658" s="1">
        <v>49.0</v>
      </c>
      <c r="N1658" s="1" t="s">
        <v>1152</v>
      </c>
      <c r="O1658" s="3" t="s">
        <v>311</v>
      </c>
      <c r="P1658" s="1" t="s">
        <v>1152</v>
      </c>
      <c r="Q1658" s="1" t="s">
        <v>1152</v>
      </c>
      <c r="R1658" s="1"/>
      <c r="S1658" s="1"/>
      <c r="T1658" s="1" t="s">
        <v>1152</v>
      </c>
      <c r="U1658" s="1" t="s">
        <v>956</v>
      </c>
      <c r="V1658" s="4" t="s">
        <v>311</v>
      </c>
      <c r="W1658" s="1"/>
      <c r="X1658" s="1" t="s">
        <v>1152</v>
      </c>
      <c r="Y1658" s="1" t="s">
        <v>1152</v>
      </c>
      <c r="Z1658" s="1"/>
      <c r="AA1658" s="1"/>
      <c r="AB1658" s="1"/>
      <c r="AC1658" s="1" t="s">
        <v>1925</v>
      </c>
      <c r="AD1658" s="1"/>
      <c r="AE1658" s="18">
        <v>46149.0</v>
      </c>
      <c r="AF1658" s="1" t="s">
        <v>1103</v>
      </c>
      <c r="AG1658" s="1" t="s">
        <v>52</v>
      </c>
      <c r="AH1658" s="1" t="s">
        <v>1152</v>
      </c>
      <c r="AI1658" s="1"/>
      <c r="AJ1658" s="1" t="s">
        <v>309</v>
      </c>
      <c r="AK1658" s="1" t="s">
        <v>1152</v>
      </c>
      <c r="AL1658" s="6" t="str">
        <f t="array" ref="AL1658">IFERROR(IFS(XLOOKUP(B1658, 'Kit Delivery Status'!$U:$U, 'Kit Delivery Status'!$K:$K) = "Complete", "DELIVERED", XLOOKUP(B1658, 'Kit Delivery Status'!$U:$U, 'Kit Delivery Status'!$K:$K) = "Issue", "ISSUE"), "")</f>
        <v/>
      </c>
      <c r="AM1658" s="6"/>
    </row>
    <row r="1659">
      <c r="A1659" s="5" t="s">
        <v>8416</v>
      </c>
      <c r="B1659" s="1" t="s">
        <v>8417</v>
      </c>
      <c r="C1659" s="1" t="s">
        <v>8391</v>
      </c>
      <c r="D1659" s="2">
        <v>9.17282103E9</v>
      </c>
      <c r="E1659" s="1" t="s">
        <v>8392</v>
      </c>
      <c r="F1659" s="1"/>
      <c r="G1659" s="1" t="s">
        <v>1382</v>
      </c>
      <c r="H1659" s="1" t="s">
        <v>751</v>
      </c>
      <c r="I1659" s="1">
        <v>10583.0</v>
      </c>
      <c r="J1659" s="1" t="s">
        <v>752</v>
      </c>
      <c r="K1659" s="1" t="s">
        <v>892</v>
      </c>
      <c r="L1659" s="1" t="s">
        <v>8006</v>
      </c>
      <c r="M1659" s="1">
        <v>49.0</v>
      </c>
      <c r="N1659" s="1" t="s">
        <v>1152</v>
      </c>
      <c r="O1659" s="3" t="s">
        <v>8394</v>
      </c>
      <c r="P1659" s="1" t="s">
        <v>1152</v>
      </c>
      <c r="Q1659" s="1" t="s">
        <v>1152</v>
      </c>
      <c r="R1659" s="1"/>
      <c r="S1659" s="1"/>
      <c r="T1659" s="1" t="s">
        <v>1152</v>
      </c>
      <c r="U1659" s="1" t="s">
        <v>1812</v>
      </c>
      <c r="V1659" s="4" t="s">
        <v>8394</v>
      </c>
      <c r="W1659" s="1"/>
      <c r="X1659" s="1" t="s">
        <v>1152</v>
      </c>
      <c r="Y1659" s="1" t="s">
        <v>1152</v>
      </c>
      <c r="Z1659" s="1"/>
      <c r="AA1659" s="1"/>
      <c r="AB1659" s="1"/>
      <c r="AC1659" s="1" t="s">
        <v>1925</v>
      </c>
      <c r="AD1659" s="1"/>
      <c r="AE1659" s="18">
        <v>46041.0</v>
      </c>
      <c r="AF1659" s="1" t="s">
        <v>1030</v>
      </c>
      <c r="AG1659" s="1" t="s">
        <v>52</v>
      </c>
      <c r="AH1659" s="1" t="s">
        <v>8418</v>
      </c>
      <c r="AI1659" s="1"/>
      <c r="AJ1659" s="1" t="s">
        <v>8395</v>
      </c>
      <c r="AK1659" s="1" t="s">
        <v>1152</v>
      </c>
      <c r="AL1659" s="6" t="str">
        <f t="array" ref="AL1659">IFERROR(IFS(XLOOKUP(B1659, 'Kit Delivery Status'!$U:$U, 'Kit Delivery Status'!$K:$K) = "Complete", "DELIVERED", XLOOKUP(B1659, 'Kit Delivery Status'!$U:$U, 'Kit Delivery Status'!$K:$K) = "Issue", "ISSUE"), "")</f>
        <v/>
      </c>
      <c r="AM1659" s="6"/>
    </row>
    <row r="1660">
      <c r="A1660" s="5" t="s">
        <v>8419</v>
      </c>
      <c r="B1660" s="1" t="s">
        <v>8420</v>
      </c>
      <c r="C1660" s="1" t="s">
        <v>8421</v>
      </c>
      <c r="D1660" s="2">
        <v>3.149403811E9</v>
      </c>
      <c r="E1660" s="1" t="s">
        <v>8422</v>
      </c>
      <c r="F1660" s="1"/>
      <c r="G1660" s="1" t="s">
        <v>3741</v>
      </c>
      <c r="H1660" s="1" t="s">
        <v>1155</v>
      </c>
      <c r="I1660" s="1">
        <v>63130.0</v>
      </c>
      <c r="J1660" s="1" t="s">
        <v>752</v>
      </c>
      <c r="K1660" s="1" t="s">
        <v>6515</v>
      </c>
      <c r="L1660" s="1" t="s">
        <v>6516</v>
      </c>
      <c r="M1660" s="1">
        <v>400.0</v>
      </c>
      <c r="N1660" s="1" t="s">
        <v>1152</v>
      </c>
      <c r="O1660" s="3"/>
      <c r="P1660" s="1" t="s">
        <v>1152</v>
      </c>
      <c r="Q1660" s="1" t="s">
        <v>1152</v>
      </c>
      <c r="R1660" s="1"/>
      <c r="S1660" s="1"/>
      <c r="T1660" s="1" t="s">
        <v>1152</v>
      </c>
      <c r="U1660" s="1"/>
      <c r="V1660" s="4"/>
      <c r="W1660" s="1"/>
      <c r="X1660" s="1" t="s">
        <v>1152</v>
      </c>
      <c r="Y1660" s="1" t="s">
        <v>1152</v>
      </c>
      <c r="Z1660" s="1"/>
      <c r="AA1660" s="1"/>
      <c r="AB1660" s="1"/>
      <c r="AC1660" s="1" t="s">
        <v>8423</v>
      </c>
      <c r="AD1660" s="1"/>
      <c r="AE1660" s="18">
        <v>46055.0</v>
      </c>
      <c r="AF1660" s="1"/>
      <c r="AG1660" s="1"/>
      <c r="AH1660" s="1" t="s">
        <v>8424</v>
      </c>
      <c r="AI1660" s="1" t="s">
        <v>8425</v>
      </c>
      <c r="AJ1660" s="1"/>
      <c r="AK1660" s="1" t="s">
        <v>8426</v>
      </c>
      <c r="AL1660" s="6" t="str">
        <f t="array" ref="AL1660">IFERROR(IFS(XLOOKUP(B1660, 'Kit Delivery Status'!$U:$U, 'Kit Delivery Status'!$K:$K) = "Complete", "DELIVERED", XLOOKUP(B1660, 'Kit Delivery Status'!$U:$U, 'Kit Delivery Status'!$K:$K) = "Issue", "ISSUE"), "")</f>
        <v/>
      </c>
      <c r="AM1660" s="6"/>
    </row>
    <row r="1661">
      <c r="A1661" s="5" t="s">
        <v>8427</v>
      </c>
      <c r="B1661" s="1" t="s">
        <v>8428</v>
      </c>
      <c r="C1661" s="1" t="s">
        <v>8429</v>
      </c>
      <c r="D1661" s="2" t="str">
        <v>#ERROR!</v>
      </c>
      <c r="E1661" s="1" t="s">
        <v>177</v>
      </c>
      <c r="F1661" s="1"/>
      <c r="G1661" s="1" t="s">
        <v>4330</v>
      </c>
      <c r="H1661" s="1" t="s">
        <v>989</v>
      </c>
      <c r="I1661" s="1">
        <v>90272.0</v>
      </c>
      <c r="J1661" s="1" t="s">
        <v>752</v>
      </c>
      <c r="K1661" s="1" t="s">
        <v>892</v>
      </c>
      <c r="L1661" s="1" t="s">
        <v>8134</v>
      </c>
      <c r="M1661" s="1">
        <v>79.0</v>
      </c>
      <c r="N1661" s="1" t="s">
        <v>1152</v>
      </c>
      <c r="O1661" s="3" t="s">
        <v>5635</v>
      </c>
      <c r="P1661" s="1" t="s">
        <v>1152</v>
      </c>
      <c r="Q1661" s="1" t="s">
        <v>1152</v>
      </c>
      <c r="R1661" s="1"/>
      <c r="S1661" s="1"/>
      <c r="T1661" s="1" t="s">
        <v>1152</v>
      </c>
      <c r="U1661" s="1" t="s">
        <v>5702</v>
      </c>
      <c r="V1661" s="4" t="s">
        <v>5635</v>
      </c>
      <c r="W1661" s="1"/>
      <c r="X1661" s="1" t="s">
        <v>1152</v>
      </c>
      <c r="Y1661" s="1" t="s">
        <v>1152</v>
      </c>
      <c r="Z1661" s="1"/>
      <c r="AA1661" s="1"/>
      <c r="AB1661" s="1"/>
      <c r="AC1661" s="1" t="s">
        <v>1925</v>
      </c>
      <c r="AD1661" s="1"/>
      <c r="AE1661" s="18">
        <v>46048.0</v>
      </c>
      <c r="AF1661" s="1" t="s">
        <v>1030</v>
      </c>
      <c r="AG1661" s="1" t="s">
        <v>52</v>
      </c>
      <c r="AH1661" s="1" t="s">
        <v>8430</v>
      </c>
      <c r="AI1661" s="1"/>
      <c r="AJ1661" s="1" t="s">
        <v>937</v>
      </c>
      <c r="AK1661" s="1" t="s">
        <v>1152</v>
      </c>
      <c r="AL1661" s="6" t="str">
        <f t="array" ref="AL1661">IFERROR(IFS(XLOOKUP(B1661, 'Kit Delivery Status'!$U:$U, 'Kit Delivery Status'!$K:$K) = "Complete", "DELIVERED", XLOOKUP(B1661, 'Kit Delivery Status'!$U:$U, 'Kit Delivery Status'!$K:$K) = "Issue", "ISSUE"), "")</f>
        <v/>
      </c>
      <c r="AM1661" s="6"/>
    </row>
    <row r="1662">
      <c r="A1662" s="5" t="s">
        <v>8431</v>
      </c>
      <c r="B1662" s="1" t="s">
        <v>8432</v>
      </c>
      <c r="C1662" s="1" t="s">
        <v>72</v>
      </c>
      <c r="D1662" s="2">
        <v>9.178254484E9</v>
      </c>
      <c r="E1662" s="1" t="s">
        <v>2873</v>
      </c>
      <c r="F1662" s="1"/>
      <c r="G1662" s="1" t="s">
        <v>1382</v>
      </c>
      <c r="H1662" s="1" t="s">
        <v>751</v>
      </c>
      <c r="I1662" s="1">
        <v>10583.0</v>
      </c>
      <c r="J1662" s="1" t="s">
        <v>752</v>
      </c>
      <c r="K1662" s="1" t="s">
        <v>42</v>
      </c>
      <c r="L1662" s="1" t="s">
        <v>6819</v>
      </c>
      <c r="M1662" s="1">
        <v>49.0</v>
      </c>
      <c r="N1662" s="1" t="s">
        <v>1152</v>
      </c>
      <c r="O1662" s="3" t="s">
        <v>77</v>
      </c>
      <c r="P1662" s="1" t="s">
        <v>1152</v>
      </c>
      <c r="Q1662" s="1" t="s">
        <v>1152</v>
      </c>
      <c r="R1662" s="1"/>
      <c r="S1662" s="1"/>
      <c r="T1662" s="1" t="s">
        <v>1152</v>
      </c>
      <c r="U1662" s="1" t="s">
        <v>1133</v>
      </c>
      <c r="V1662" s="4" t="s">
        <v>77</v>
      </c>
      <c r="W1662" s="1"/>
      <c r="X1662" s="1" t="s">
        <v>1152</v>
      </c>
      <c r="Y1662" s="1" t="s">
        <v>1152</v>
      </c>
      <c r="Z1662" s="1"/>
      <c r="AA1662" s="1"/>
      <c r="AB1662" s="1"/>
      <c r="AC1662" s="1" t="s">
        <v>1925</v>
      </c>
      <c r="AD1662" s="1"/>
      <c r="AE1662" s="18">
        <v>46149.0</v>
      </c>
      <c r="AF1662" s="1" t="s">
        <v>1030</v>
      </c>
      <c r="AG1662" s="1" t="s">
        <v>52</v>
      </c>
      <c r="AH1662" s="1" t="s">
        <v>1152</v>
      </c>
      <c r="AI1662" s="1"/>
      <c r="AJ1662" s="1" t="s">
        <v>74</v>
      </c>
      <c r="AK1662" s="1" t="s">
        <v>1152</v>
      </c>
      <c r="AL1662" s="6" t="str">
        <f t="array" ref="AL1662">IFERROR(IFS(XLOOKUP(B1662, 'Kit Delivery Status'!$U:$U, 'Kit Delivery Status'!$K:$K) = "Complete", "DELIVERED", XLOOKUP(B1662, 'Kit Delivery Status'!$U:$U, 'Kit Delivery Status'!$K:$K) = "Issue", "ISSUE"), "")</f>
        <v/>
      </c>
      <c r="AM1662" s="6"/>
    </row>
    <row r="1663">
      <c r="A1663" s="5" t="s">
        <v>8433</v>
      </c>
      <c r="B1663" s="1" t="s">
        <v>8434</v>
      </c>
      <c r="C1663" s="1"/>
      <c r="D1663" s="2">
        <v>2.012744645E9</v>
      </c>
      <c r="E1663" s="1" t="s">
        <v>695</v>
      </c>
      <c r="F1663" s="1"/>
      <c r="G1663" s="1" t="s">
        <v>1467</v>
      </c>
      <c r="H1663" s="1" t="s">
        <v>1053</v>
      </c>
      <c r="I1663" s="1">
        <v>7039.0</v>
      </c>
      <c r="J1663" s="1" t="s">
        <v>752</v>
      </c>
      <c r="K1663" s="1" t="s">
        <v>42</v>
      </c>
      <c r="L1663" s="1" t="s">
        <v>6819</v>
      </c>
      <c r="M1663" s="1">
        <v>49.0</v>
      </c>
      <c r="N1663" s="1" t="s">
        <v>1152</v>
      </c>
      <c r="O1663" s="3" t="s">
        <v>8435</v>
      </c>
      <c r="P1663" s="1" t="s">
        <v>1152</v>
      </c>
      <c r="Q1663" s="1" t="s">
        <v>1152</v>
      </c>
      <c r="R1663" s="1"/>
      <c r="S1663" s="1"/>
      <c r="T1663" s="1" t="s">
        <v>1152</v>
      </c>
      <c r="U1663" s="1" t="s">
        <v>1039</v>
      </c>
      <c r="V1663" s="4" t="s">
        <v>8435</v>
      </c>
      <c r="W1663" s="1"/>
      <c r="X1663" s="1" t="s">
        <v>1152</v>
      </c>
      <c r="Y1663" s="1" t="s">
        <v>1152</v>
      </c>
      <c r="Z1663" s="1"/>
      <c r="AA1663" s="1"/>
      <c r="AB1663" s="1"/>
      <c r="AC1663" s="1" t="s">
        <v>1925</v>
      </c>
      <c r="AD1663" s="1"/>
      <c r="AE1663" s="18">
        <v>46149.0</v>
      </c>
      <c r="AF1663" s="1" t="s">
        <v>1349</v>
      </c>
      <c r="AG1663" s="1" t="s">
        <v>52</v>
      </c>
      <c r="AH1663" s="1" t="s">
        <v>1152</v>
      </c>
      <c r="AI1663" s="1"/>
      <c r="AJ1663" s="1" t="s">
        <v>695</v>
      </c>
      <c r="AK1663" s="1" t="s">
        <v>1152</v>
      </c>
      <c r="AL1663" s="6" t="str">
        <f t="array" ref="AL1663">IFERROR(IFS(XLOOKUP(B1663, 'Kit Delivery Status'!$U:$U, 'Kit Delivery Status'!$K:$K) = "Complete", "DELIVERED", XLOOKUP(B1663, 'Kit Delivery Status'!$U:$U, 'Kit Delivery Status'!$K:$K) = "Issue", "ISSUE"), "")</f>
        <v/>
      </c>
      <c r="AM1663" s="6"/>
    </row>
    <row r="1664">
      <c r="A1664" s="5" t="s">
        <v>8433</v>
      </c>
      <c r="B1664" s="1" t="s">
        <v>8434</v>
      </c>
      <c r="C1664" s="1"/>
      <c r="D1664" s="2">
        <v>2.012744645E9</v>
      </c>
      <c r="E1664" s="1" t="s">
        <v>695</v>
      </c>
      <c r="F1664" s="1"/>
      <c r="G1664" s="1" t="s">
        <v>1467</v>
      </c>
      <c r="H1664" s="1" t="s">
        <v>1053</v>
      </c>
      <c r="I1664" s="1">
        <v>7039.0</v>
      </c>
      <c r="J1664" s="1" t="s">
        <v>752</v>
      </c>
      <c r="K1664" s="1" t="s">
        <v>892</v>
      </c>
      <c r="L1664" s="1" t="s">
        <v>8006</v>
      </c>
      <c r="M1664" s="1">
        <v>49.0</v>
      </c>
      <c r="N1664" s="1" t="s">
        <v>1152</v>
      </c>
      <c r="O1664" s="3" t="s">
        <v>8435</v>
      </c>
      <c r="P1664" s="1" t="s">
        <v>1152</v>
      </c>
      <c r="Q1664" s="1" t="s">
        <v>1152</v>
      </c>
      <c r="R1664" s="1"/>
      <c r="S1664" s="1"/>
      <c r="T1664" s="1" t="s">
        <v>1152</v>
      </c>
      <c r="U1664" s="1" t="s">
        <v>1039</v>
      </c>
      <c r="V1664" s="4" t="s">
        <v>8435</v>
      </c>
      <c r="W1664" s="1"/>
      <c r="X1664" s="1" t="s">
        <v>1152</v>
      </c>
      <c r="Y1664" s="1" t="s">
        <v>1152</v>
      </c>
      <c r="Z1664" s="1"/>
      <c r="AA1664" s="1"/>
      <c r="AB1664" s="1"/>
      <c r="AC1664" s="1" t="s">
        <v>1925</v>
      </c>
      <c r="AD1664" s="1"/>
      <c r="AE1664" s="18">
        <v>46149.0</v>
      </c>
      <c r="AF1664" s="1" t="s">
        <v>1349</v>
      </c>
      <c r="AG1664" s="1" t="s">
        <v>52</v>
      </c>
      <c r="AH1664" s="1" t="s">
        <v>8436</v>
      </c>
      <c r="AI1664" s="1"/>
      <c r="AJ1664" s="1" t="s">
        <v>695</v>
      </c>
      <c r="AK1664" s="1" t="s">
        <v>1152</v>
      </c>
      <c r="AL1664" s="6" t="str">
        <f t="array" ref="AL1664">IFERROR(IFS(XLOOKUP(B1664, 'Kit Delivery Status'!$U:$U, 'Kit Delivery Status'!$K:$K) = "Complete", "DELIVERED", XLOOKUP(B1664, 'Kit Delivery Status'!$U:$U, 'Kit Delivery Status'!$K:$K) = "Issue", "ISSUE"), "")</f>
        <v/>
      </c>
      <c r="AM1664" s="6"/>
    </row>
    <row r="1665">
      <c r="A1665" s="5" t="s">
        <v>8437</v>
      </c>
      <c r="B1665" s="1" t="s">
        <v>8438</v>
      </c>
      <c r="C1665" s="1" t="s">
        <v>2661</v>
      </c>
      <c r="D1665" s="2">
        <v>3.10295778E9</v>
      </c>
      <c r="E1665" s="1" t="s">
        <v>177</v>
      </c>
      <c r="F1665" s="1"/>
      <c r="G1665" s="1" t="s">
        <v>1179</v>
      </c>
      <c r="H1665" s="1" t="s">
        <v>989</v>
      </c>
      <c r="I1665" s="1">
        <v>90272.0</v>
      </c>
      <c r="J1665" s="1" t="s">
        <v>752</v>
      </c>
      <c r="K1665" s="1" t="s">
        <v>2131</v>
      </c>
      <c r="L1665" s="1" t="s">
        <v>5767</v>
      </c>
      <c r="M1665" s="1">
        <v>1.0</v>
      </c>
      <c r="N1665" s="1" t="s">
        <v>1152</v>
      </c>
      <c r="O1665" s="3" t="s">
        <v>5635</v>
      </c>
      <c r="P1665" s="1" t="s">
        <v>1152</v>
      </c>
      <c r="Q1665" s="1" t="s">
        <v>1152</v>
      </c>
      <c r="R1665" s="1"/>
      <c r="S1665" s="1"/>
      <c r="T1665" s="1" t="s">
        <v>1152</v>
      </c>
      <c r="U1665" s="1" t="s">
        <v>5702</v>
      </c>
      <c r="V1665" s="4" t="s">
        <v>5635</v>
      </c>
      <c r="W1665" s="1"/>
      <c r="X1665" s="1" t="s">
        <v>1152</v>
      </c>
      <c r="Y1665" s="1" t="s">
        <v>1152</v>
      </c>
      <c r="Z1665" s="1"/>
      <c r="AA1665" s="1"/>
      <c r="AB1665" s="1"/>
      <c r="AC1665" s="1" t="s">
        <v>1925</v>
      </c>
      <c r="AD1665" s="1"/>
      <c r="AE1665" s="18">
        <v>46050.0</v>
      </c>
      <c r="AF1665" s="1"/>
      <c r="AG1665" s="1"/>
      <c r="AH1665" s="1" t="s">
        <v>1152</v>
      </c>
      <c r="AI1665" s="1"/>
      <c r="AJ1665" s="1" t="s">
        <v>937</v>
      </c>
      <c r="AK1665" s="1" t="s">
        <v>1152</v>
      </c>
      <c r="AL1665" s="6" t="str">
        <f t="array" ref="AL1665">IFERROR(IFS(XLOOKUP(B1665, 'Kit Delivery Status'!$U:$U, 'Kit Delivery Status'!$K:$K) = "Complete", "DELIVERED", XLOOKUP(B1665, 'Kit Delivery Status'!$U:$U, 'Kit Delivery Status'!$K:$K) = "Issue", "ISSUE"), "")</f>
        <v/>
      </c>
      <c r="AM1665" s="6"/>
    </row>
    <row r="1666">
      <c r="A1666" s="5" t="s">
        <v>8439</v>
      </c>
      <c r="B1666" s="1" t="s">
        <v>8440</v>
      </c>
      <c r="C1666" s="1" t="s">
        <v>4411</v>
      </c>
      <c r="D1666" s="2">
        <v>2.173693983E9</v>
      </c>
      <c r="E1666" s="1" t="s">
        <v>4412</v>
      </c>
      <c r="F1666" s="1"/>
      <c r="G1666" s="1" t="s">
        <v>4413</v>
      </c>
      <c r="H1666" s="1" t="s">
        <v>1019</v>
      </c>
      <c r="I1666" s="1">
        <v>61822.0</v>
      </c>
      <c r="J1666" s="1" t="s">
        <v>752</v>
      </c>
      <c r="K1666" s="1" t="s">
        <v>2131</v>
      </c>
      <c r="L1666" s="1" t="s">
        <v>5811</v>
      </c>
      <c r="M1666" s="1">
        <v>1.0</v>
      </c>
      <c r="N1666" s="1" t="s">
        <v>1152</v>
      </c>
      <c r="O1666" s="3" t="s">
        <v>3032</v>
      </c>
      <c r="P1666" s="1" t="s">
        <v>1152</v>
      </c>
      <c r="Q1666" s="1" t="s">
        <v>1152</v>
      </c>
      <c r="R1666" s="1"/>
      <c r="S1666" s="1"/>
      <c r="T1666" s="1" t="s">
        <v>1152</v>
      </c>
      <c r="U1666" s="1" t="s">
        <v>1441</v>
      </c>
      <c r="V1666" s="4" t="s">
        <v>3032</v>
      </c>
      <c r="W1666" s="1"/>
      <c r="X1666" s="1" t="s">
        <v>1152</v>
      </c>
      <c r="Y1666" s="1" t="s">
        <v>1152</v>
      </c>
      <c r="Z1666" s="1"/>
      <c r="AA1666" s="1"/>
      <c r="AB1666" s="1"/>
      <c r="AC1666" s="1" t="s">
        <v>1925</v>
      </c>
      <c r="AD1666" s="1"/>
      <c r="AE1666" s="18">
        <v>46055.0</v>
      </c>
      <c r="AF1666" s="1"/>
      <c r="AG1666" s="1"/>
      <c r="AH1666" s="1" t="s">
        <v>1152</v>
      </c>
      <c r="AI1666" s="1"/>
      <c r="AJ1666" s="1" t="s">
        <v>4412</v>
      </c>
      <c r="AK1666" s="1" t="s">
        <v>1152</v>
      </c>
      <c r="AL1666" s="6" t="str">
        <f t="array" ref="AL1666">IFERROR(IFS(XLOOKUP(B1666, 'Kit Delivery Status'!$U:$U, 'Kit Delivery Status'!$K:$K) = "Complete", "DELIVERED", XLOOKUP(B1666, 'Kit Delivery Status'!$U:$U, 'Kit Delivery Status'!$K:$K) = "Issue", "ISSUE"), "")</f>
        <v/>
      </c>
      <c r="AM1666" s="6"/>
    </row>
    <row r="1667">
      <c r="A1667" s="5" t="s">
        <v>8441</v>
      </c>
      <c r="B1667" s="1" t="s">
        <v>8442</v>
      </c>
      <c r="C1667" s="1" t="s">
        <v>2795</v>
      </c>
      <c r="D1667" s="2">
        <v>8.325713206E9</v>
      </c>
      <c r="E1667" s="1" t="s">
        <v>2796</v>
      </c>
      <c r="F1667" s="1"/>
      <c r="G1667" s="1" t="s">
        <v>2797</v>
      </c>
      <c r="H1667" s="1" t="s">
        <v>1583</v>
      </c>
      <c r="I1667" s="1">
        <v>79106.0</v>
      </c>
      <c r="J1667" s="1" t="s">
        <v>752</v>
      </c>
      <c r="K1667" s="1" t="s">
        <v>42</v>
      </c>
      <c r="L1667" s="1" t="s">
        <v>6819</v>
      </c>
      <c r="M1667" s="1">
        <v>49.0</v>
      </c>
      <c r="N1667" s="1" t="s">
        <v>1152</v>
      </c>
      <c r="O1667" s="3" t="s">
        <v>2798</v>
      </c>
      <c r="P1667" s="1" t="s">
        <v>1152</v>
      </c>
      <c r="Q1667" s="1" t="s">
        <v>1152</v>
      </c>
      <c r="R1667" s="1"/>
      <c r="S1667" s="1"/>
      <c r="T1667" s="1" t="s">
        <v>1152</v>
      </c>
      <c r="U1667" s="1" t="s">
        <v>7909</v>
      </c>
      <c r="V1667" s="4" t="s">
        <v>2798</v>
      </c>
      <c r="W1667" s="1"/>
      <c r="X1667" s="1" t="s">
        <v>1152</v>
      </c>
      <c r="Y1667" s="1" t="s">
        <v>1152</v>
      </c>
      <c r="Z1667" s="1"/>
      <c r="AA1667" s="1"/>
      <c r="AB1667" s="1"/>
      <c r="AC1667" s="1" t="s">
        <v>1925</v>
      </c>
      <c r="AD1667" s="1"/>
      <c r="AE1667" s="18">
        <v>46149.0</v>
      </c>
      <c r="AF1667" s="1" t="s">
        <v>1030</v>
      </c>
      <c r="AG1667" s="1" t="s">
        <v>52</v>
      </c>
      <c r="AH1667" s="1" t="s">
        <v>1152</v>
      </c>
      <c r="AI1667" s="1"/>
      <c r="AJ1667" s="1" t="s">
        <v>2796</v>
      </c>
      <c r="AK1667" s="1" t="s">
        <v>1152</v>
      </c>
      <c r="AL1667" s="6" t="str">
        <f t="array" ref="AL1667">IFERROR(IFS(XLOOKUP(B1667, 'Kit Delivery Status'!$U:$U, 'Kit Delivery Status'!$K:$K) = "Complete", "DELIVERED", XLOOKUP(B1667, 'Kit Delivery Status'!$U:$U, 'Kit Delivery Status'!$K:$K) = "Issue", "ISSUE"), "")</f>
        <v/>
      </c>
      <c r="AM1667" s="6"/>
    </row>
    <row r="1668">
      <c r="A1668" s="5" t="s">
        <v>8443</v>
      </c>
      <c r="B1668" s="1" t="s">
        <v>8444</v>
      </c>
      <c r="C1668" s="1" t="s">
        <v>8445</v>
      </c>
      <c r="D1668" s="2">
        <v>7.819645636E9</v>
      </c>
      <c r="E1668" s="1" t="s">
        <v>3354</v>
      </c>
      <c r="F1668" s="1"/>
      <c r="G1668" s="1" t="s">
        <v>3355</v>
      </c>
      <c r="H1668" s="1" t="s">
        <v>1616</v>
      </c>
      <c r="I1668" s="1">
        <v>3249.0</v>
      </c>
      <c r="J1668" s="1" t="s">
        <v>752</v>
      </c>
      <c r="K1668" s="1" t="s">
        <v>42</v>
      </c>
      <c r="L1668" s="1" t="s">
        <v>6819</v>
      </c>
      <c r="M1668" s="1">
        <v>49.0</v>
      </c>
      <c r="N1668" s="1" t="s">
        <v>1152</v>
      </c>
      <c r="O1668" s="3" t="s">
        <v>1398</v>
      </c>
      <c r="P1668" s="1" t="s">
        <v>1152</v>
      </c>
      <c r="Q1668" s="1" t="s">
        <v>1152</v>
      </c>
      <c r="R1668" s="1"/>
      <c r="S1668" s="1"/>
      <c r="T1668" s="1" t="s">
        <v>1152</v>
      </c>
      <c r="U1668" s="1" t="s">
        <v>1441</v>
      </c>
      <c r="V1668" s="4" t="s">
        <v>1398</v>
      </c>
      <c r="W1668" s="1"/>
      <c r="X1668" s="1" t="s">
        <v>1152</v>
      </c>
      <c r="Y1668" s="1" t="s">
        <v>1152</v>
      </c>
      <c r="Z1668" s="1"/>
      <c r="AA1668" s="1"/>
      <c r="AB1668" s="1"/>
      <c r="AC1668" s="1" t="s">
        <v>1925</v>
      </c>
      <c r="AD1668" s="1"/>
      <c r="AE1668" s="18">
        <v>46157.0</v>
      </c>
      <c r="AF1668" s="1" t="s">
        <v>1030</v>
      </c>
      <c r="AG1668" s="1" t="s">
        <v>52</v>
      </c>
      <c r="AH1668" s="1" t="s">
        <v>1152</v>
      </c>
      <c r="AI1668" s="1"/>
      <c r="AJ1668" s="1" t="s">
        <v>6757</v>
      </c>
      <c r="AK1668" s="1" t="s">
        <v>1152</v>
      </c>
      <c r="AL1668" s="6" t="str">
        <f t="array" ref="AL1668">IFERROR(IFS(XLOOKUP(B1668, 'Kit Delivery Status'!$U:$U, 'Kit Delivery Status'!$K:$K) = "Complete", "DELIVERED", XLOOKUP(B1668, 'Kit Delivery Status'!$U:$U, 'Kit Delivery Status'!$K:$K) = "Issue", "ISSUE"), "")</f>
        <v/>
      </c>
      <c r="AM1668" s="6"/>
    </row>
    <row r="1669">
      <c r="A1669" s="5" t="s">
        <v>8446</v>
      </c>
      <c r="B1669" s="1" t="s">
        <v>8447</v>
      </c>
      <c r="C1669" s="1" t="s">
        <v>8448</v>
      </c>
      <c r="D1669" s="2">
        <v>9.175660907E9</v>
      </c>
      <c r="E1669" s="1" t="s">
        <v>556</v>
      </c>
      <c r="F1669" s="1"/>
      <c r="G1669" s="1" t="s">
        <v>1382</v>
      </c>
      <c r="H1669" s="1" t="s">
        <v>751</v>
      </c>
      <c r="I1669" s="1">
        <v>10583.0</v>
      </c>
      <c r="J1669" s="1" t="s">
        <v>752</v>
      </c>
      <c r="K1669" s="1" t="s">
        <v>42</v>
      </c>
      <c r="L1669" s="1" t="s">
        <v>6819</v>
      </c>
      <c r="M1669" s="1">
        <v>49.0</v>
      </c>
      <c r="N1669" s="1" t="s">
        <v>1152</v>
      </c>
      <c r="O1669" s="3" t="s">
        <v>270</v>
      </c>
      <c r="P1669" s="1" t="s">
        <v>1152</v>
      </c>
      <c r="Q1669" s="1" t="s">
        <v>1152</v>
      </c>
      <c r="R1669" s="1"/>
      <c r="S1669" s="1"/>
      <c r="T1669" s="1" t="s">
        <v>1152</v>
      </c>
      <c r="U1669" s="1" t="s">
        <v>956</v>
      </c>
      <c r="V1669" s="4" t="s">
        <v>270</v>
      </c>
      <c r="W1669" s="1"/>
      <c r="X1669" s="1" t="s">
        <v>1152</v>
      </c>
      <c r="Y1669" s="1" t="s">
        <v>1152</v>
      </c>
      <c r="Z1669" s="1"/>
      <c r="AA1669" s="1"/>
      <c r="AB1669" s="1"/>
      <c r="AC1669" s="1" t="s">
        <v>1925</v>
      </c>
      <c r="AD1669" s="1"/>
      <c r="AE1669" s="18">
        <v>46147.0</v>
      </c>
      <c r="AF1669" s="1" t="s">
        <v>1103</v>
      </c>
      <c r="AG1669" s="1" t="s">
        <v>52</v>
      </c>
      <c r="AH1669" s="1" t="s">
        <v>1152</v>
      </c>
      <c r="AI1669" s="1"/>
      <c r="AJ1669" s="1" t="s">
        <v>556</v>
      </c>
      <c r="AK1669" s="1" t="s">
        <v>1152</v>
      </c>
      <c r="AL1669" s="6" t="str">
        <f t="array" ref="AL1669">IFERROR(IFS(XLOOKUP(B1669, 'Kit Delivery Status'!$U:$U, 'Kit Delivery Status'!$K:$K) = "Complete", "DELIVERED", XLOOKUP(B1669, 'Kit Delivery Status'!$U:$U, 'Kit Delivery Status'!$K:$K) = "Issue", "ISSUE"), "")</f>
        <v/>
      </c>
      <c r="AM1669" s="6"/>
    </row>
    <row r="1670">
      <c r="A1670" s="5" t="s">
        <v>8449</v>
      </c>
      <c r="B1670" s="1" t="s">
        <v>8450</v>
      </c>
      <c r="C1670" s="1" t="s">
        <v>668</v>
      </c>
      <c r="D1670" s="2">
        <v>9.179410655E9</v>
      </c>
      <c r="E1670" s="1" t="s">
        <v>669</v>
      </c>
      <c r="F1670" s="1"/>
      <c r="G1670" s="1" t="s">
        <v>8451</v>
      </c>
      <c r="H1670" s="1" t="s">
        <v>751</v>
      </c>
      <c r="I1670" s="1">
        <v>10024.0</v>
      </c>
      <c r="J1670" s="1" t="s">
        <v>752</v>
      </c>
      <c r="K1670" s="1" t="s">
        <v>42</v>
      </c>
      <c r="L1670" s="1" t="s">
        <v>6819</v>
      </c>
      <c r="M1670" s="1">
        <v>49.0</v>
      </c>
      <c r="N1670" s="1" t="s">
        <v>1152</v>
      </c>
      <c r="O1670" s="3" t="s">
        <v>2132</v>
      </c>
      <c r="P1670" s="1" t="s">
        <v>1152</v>
      </c>
      <c r="Q1670" s="1" t="s">
        <v>1152</v>
      </c>
      <c r="R1670" s="1"/>
      <c r="S1670" s="1"/>
      <c r="T1670" s="1" t="s">
        <v>1152</v>
      </c>
      <c r="U1670" s="1" t="s">
        <v>7909</v>
      </c>
      <c r="V1670" s="4" t="s">
        <v>2132</v>
      </c>
      <c r="W1670" s="1"/>
      <c r="X1670" s="1" t="s">
        <v>1152</v>
      </c>
      <c r="Y1670" s="1" t="s">
        <v>1152</v>
      </c>
      <c r="Z1670" s="1"/>
      <c r="AA1670" s="1"/>
      <c r="AB1670" s="1"/>
      <c r="AC1670" s="1" t="s">
        <v>1925</v>
      </c>
      <c r="AD1670" s="1"/>
      <c r="AE1670" s="18">
        <v>46150.0</v>
      </c>
      <c r="AF1670" s="1" t="s">
        <v>1030</v>
      </c>
      <c r="AG1670" s="1" t="s">
        <v>52</v>
      </c>
      <c r="AH1670" s="1" t="s">
        <v>1152</v>
      </c>
      <c r="AI1670" s="1"/>
      <c r="AJ1670" s="1" t="s">
        <v>669</v>
      </c>
      <c r="AK1670" s="1" t="s">
        <v>1152</v>
      </c>
      <c r="AL1670" s="6" t="str">
        <f t="array" ref="AL1670">IFERROR(IFS(XLOOKUP(B1670, 'Kit Delivery Status'!$U:$U, 'Kit Delivery Status'!$K:$K) = "Complete", "DELIVERED", XLOOKUP(B1670, 'Kit Delivery Status'!$U:$U, 'Kit Delivery Status'!$K:$K) = "Issue", "ISSUE"), "")</f>
        <v/>
      </c>
      <c r="AM1670" s="6"/>
    </row>
    <row r="1671">
      <c r="A1671" s="5" t="s">
        <v>8452</v>
      </c>
      <c r="B1671" s="1" t="s">
        <v>8453</v>
      </c>
      <c r="C1671" s="1" t="s">
        <v>8454</v>
      </c>
      <c r="D1671" s="2">
        <v>9.548065446E9</v>
      </c>
      <c r="E1671" s="1" t="s">
        <v>6351</v>
      </c>
      <c r="F1671" s="1"/>
      <c r="G1671" s="1" t="s">
        <v>2819</v>
      </c>
      <c r="H1671" s="1" t="s">
        <v>751</v>
      </c>
      <c r="I1671" s="1" t="s">
        <v>6357</v>
      </c>
      <c r="J1671" s="1" t="s">
        <v>752</v>
      </c>
      <c r="K1671" s="1" t="s">
        <v>42</v>
      </c>
      <c r="L1671" s="1" t="s">
        <v>6819</v>
      </c>
      <c r="M1671" s="1">
        <v>49.0</v>
      </c>
      <c r="N1671" s="1" t="s">
        <v>1152</v>
      </c>
      <c r="O1671" s="3" t="s">
        <v>6353</v>
      </c>
      <c r="P1671" s="1" t="s">
        <v>1152</v>
      </c>
      <c r="Q1671" s="1" t="s">
        <v>1152</v>
      </c>
      <c r="R1671" s="1"/>
      <c r="S1671" s="1"/>
      <c r="T1671" s="1" t="s">
        <v>1152</v>
      </c>
      <c r="U1671" s="1" t="s">
        <v>1812</v>
      </c>
      <c r="V1671" s="4" t="s">
        <v>6353</v>
      </c>
      <c r="W1671" s="1"/>
      <c r="X1671" s="1" t="s">
        <v>1152</v>
      </c>
      <c r="Y1671" s="1" t="s">
        <v>1152</v>
      </c>
      <c r="Z1671" s="1"/>
      <c r="AA1671" s="1"/>
      <c r="AB1671" s="1"/>
      <c r="AC1671" s="1" t="s">
        <v>1925</v>
      </c>
      <c r="AD1671" s="1"/>
      <c r="AE1671" s="18">
        <v>46146.0</v>
      </c>
      <c r="AF1671" s="1" t="s">
        <v>1030</v>
      </c>
      <c r="AG1671" s="1" t="s">
        <v>52</v>
      </c>
      <c r="AH1671" s="1" t="s">
        <v>1152</v>
      </c>
      <c r="AI1671" s="1"/>
      <c r="AJ1671" s="1" t="s">
        <v>6354</v>
      </c>
      <c r="AK1671" s="1" t="s">
        <v>1152</v>
      </c>
      <c r="AL1671" s="6" t="str">
        <f t="array" ref="AL1671">IFERROR(IFS(XLOOKUP(B1671, 'Kit Delivery Status'!$U:$U, 'Kit Delivery Status'!$K:$K) = "Complete", "DELIVERED", XLOOKUP(B1671, 'Kit Delivery Status'!$U:$U, 'Kit Delivery Status'!$K:$K) = "Issue", "ISSUE"), "")</f>
        <v/>
      </c>
      <c r="AM1671" s="6"/>
    </row>
    <row r="1672">
      <c r="A1672" s="5" t="s">
        <v>8455</v>
      </c>
      <c r="B1672" s="1" t="s">
        <v>8456</v>
      </c>
      <c r="C1672" s="1" t="s">
        <v>5287</v>
      </c>
      <c r="D1672" s="2">
        <v>3.126228414E9</v>
      </c>
      <c r="E1672" s="1" t="s">
        <v>8457</v>
      </c>
      <c r="F1672" s="1"/>
      <c r="G1672" s="1" t="s">
        <v>1072</v>
      </c>
      <c r="H1672" s="1" t="s">
        <v>1019</v>
      </c>
      <c r="I1672" s="1">
        <v>60615.0</v>
      </c>
      <c r="J1672" s="1" t="s">
        <v>752</v>
      </c>
      <c r="K1672" s="1" t="s">
        <v>42</v>
      </c>
      <c r="L1672" s="1" t="s">
        <v>6819</v>
      </c>
      <c r="M1672" s="1">
        <v>49.0</v>
      </c>
      <c r="N1672" s="1" t="s">
        <v>1152</v>
      </c>
      <c r="O1672" s="3" t="s">
        <v>8458</v>
      </c>
      <c r="P1672" s="1" t="s">
        <v>1152</v>
      </c>
      <c r="Q1672" s="1" t="s">
        <v>1152</v>
      </c>
      <c r="R1672" s="1"/>
      <c r="S1672" s="1"/>
      <c r="T1672" s="1" t="s">
        <v>1152</v>
      </c>
      <c r="U1672" s="1" t="s">
        <v>1441</v>
      </c>
      <c r="V1672" s="4" t="s">
        <v>8458</v>
      </c>
      <c r="W1672" s="1"/>
      <c r="X1672" s="1" t="s">
        <v>1152</v>
      </c>
      <c r="Y1672" s="1" t="s">
        <v>1152</v>
      </c>
      <c r="Z1672" s="1"/>
      <c r="AA1672" s="1"/>
      <c r="AB1672" s="1"/>
      <c r="AC1672" s="1" t="s">
        <v>1925</v>
      </c>
      <c r="AD1672" s="1"/>
      <c r="AE1672" s="18">
        <v>46150.0</v>
      </c>
      <c r="AF1672" s="1" t="s">
        <v>1103</v>
      </c>
      <c r="AG1672" s="1" t="s">
        <v>52</v>
      </c>
      <c r="AH1672" s="1" t="s">
        <v>1152</v>
      </c>
      <c r="AI1672" s="1"/>
      <c r="AJ1672" s="1" t="s">
        <v>8459</v>
      </c>
      <c r="AK1672" s="1" t="s">
        <v>1152</v>
      </c>
      <c r="AL1672" s="6" t="str">
        <f t="array" ref="AL1672">IFERROR(IFS(XLOOKUP(B1672, 'Kit Delivery Status'!$U:$U, 'Kit Delivery Status'!$K:$K) = "Complete", "DELIVERED", XLOOKUP(B1672, 'Kit Delivery Status'!$U:$U, 'Kit Delivery Status'!$K:$K) = "Issue", "ISSUE"), "")</f>
        <v/>
      </c>
      <c r="AM1672" s="6"/>
    </row>
    <row r="1673">
      <c r="A1673" s="5" t="s">
        <v>8460</v>
      </c>
      <c r="B1673" s="1" t="s">
        <v>8461</v>
      </c>
      <c r="C1673" s="1" t="s">
        <v>8462</v>
      </c>
      <c r="D1673" s="2">
        <v>3.235744978E9</v>
      </c>
      <c r="E1673" s="1" t="s">
        <v>8463</v>
      </c>
      <c r="F1673" s="1"/>
      <c r="G1673" s="1" t="s">
        <v>3191</v>
      </c>
      <c r="H1673" s="1" t="s">
        <v>989</v>
      </c>
      <c r="I1673" s="1">
        <v>90266.0</v>
      </c>
      <c r="J1673" s="1" t="s">
        <v>752</v>
      </c>
      <c r="K1673" s="1" t="s">
        <v>42</v>
      </c>
      <c r="L1673" s="1" t="s">
        <v>8393</v>
      </c>
      <c r="M1673" s="1">
        <v>109.0</v>
      </c>
      <c r="N1673" s="1" t="s">
        <v>1152</v>
      </c>
      <c r="O1673" s="3" t="s">
        <v>4855</v>
      </c>
      <c r="P1673" s="1" t="s">
        <v>1152</v>
      </c>
      <c r="Q1673" s="1" t="s">
        <v>1152</v>
      </c>
      <c r="R1673" s="1"/>
      <c r="S1673" s="1"/>
      <c r="T1673" s="1" t="s">
        <v>1152</v>
      </c>
      <c r="U1673" s="1" t="s">
        <v>1456</v>
      </c>
      <c r="V1673" s="4" t="s">
        <v>4855</v>
      </c>
      <c r="W1673" s="1"/>
      <c r="X1673" s="1" t="s">
        <v>1152</v>
      </c>
      <c r="Y1673" s="1" t="s">
        <v>1152</v>
      </c>
      <c r="Z1673" s="1"/>
      <c r="AA1673" s="1"/>
      <c r="AB1673" s="1"/>
      <c r="AC1673" s="1" t="s">
        <v>1925</v>
      </c>
      <c r="AD1673" s="1"/>
      <c r="AE1673" s="18">
        <v>46147.0</v>
      </c>
      <c r="AF1673" s="1" t="s">
        <v>1349</v>
      </c>
      <c r="AG1673" s="1" t="s">
        <v>52</v>
      </c>
      <c r="AH1673" s="1" t="s">
        <v>1152</v>
      </c>
      <c r="AI1673" s="1"/>
      <c r="AJ1673" s="1" t="s">
        <v>8464</v>
      </c>
      <c r="AK1673" s="1" t="s">
        <v>1152</v>
      </c>
      <c r="AL1673" s="6" t="str">
        <f t="array" ref="AL1673">IFERROR(IFS(XLOOKUP(B1673, 'Kit Delivery Status'!$U:$U, 'Kit Delivery Status'!$K:$K) = "Complete", "DELIVERED", XLOOKUP(B1673, 'Kit Delivery Status'!$U:$U, 'Kit Delivery Status'!$K:$K) = "Issue", "ISSUE"), "")</f>
        <v/>
      </c>
      <c r="AM1673" s="6"/>
    </row>
    <row r="1674">
      <c r="A1674" s="5" t="s">
        <v>8465</v>
      </c>
      <c r="B1674" s="1" t="s">
        <v>8466</v>
      </c>
      <c r="C1674" s="1" t="s">
        <v>8467</v>
      </c>
      <c r="D1674" s="2">
        <v>7.144828812E9</v>
      </c>
      <c r="E1674" s="1" t="s">
        <v>2396</v>
      </c>
      <c r="F1674" s="1"/>
      <c r="G1674" s="1" t="s">
        <v>2397</v>
      </c>
      <c r="H1674" s="1" t="s">
        <v>989</v>
      </c>
      <c r="I1674" s="1">
        <v>92821.0</v>
      </c>
      <c r="J1674" s="1" t="s">
        <v>752</v>
      </c>
      <c r="K1674" s="1" t="s">
        <v>42</v>
      </c>
      <c r="L1674" s="1" t="s">
        <v>6819</v>
      </c>
      <c r="M1674" s="1">
        <v>49.0</v>
      </c>
      <c r="N1674" s="1" t="s">
        <v>1152</v>
      </c>
      <c r="O1674" s="3" t="s">
        <v>742</v>
      </c>
      <c r="P1674" s="1" t="s">
        <v>1152</v>
      </c>
      <c r="Q1674" s="1" t="s">
        <v>1152</v>
      </c>
      <c r="R1674" s="1"/>
      <c r="S1674" s="1"/>
      <c r="T1674" s="1" t="s">
        <v>1152</v>
      </c>
      <c r="U1674" s="1" t="s">
        <v>551</v>
      </c>
      <c r="V1674" s="4" t="s">
        <v>742</v>
      </c>
      <c r="W1674" s="1"/>
      <c r="X1674" s="1" t="s">
        <v>1152</v>
      </c>
      <c r="Y1674" s="1" t="s">
        <v>1152</v>
      </c>
      <c r="Z1674" s="1"/>
      <c r="AA1674" s="1"/>
      <c r="AB1674" s="1"/>
      <c r="AC1674" s="1" t="s">
        <v>1925</v>
      </c>
      <c r="AD1674" s="1"/>
      <c r="AE1674" s="18">
        <v>46149.0</v>
      </c>
      <c r="AF1674" s="1" t="s">
        <v>1030</v>
      </c>
      <c r="AG1674" s="1" t="s">
        <v>52</v>
      </c>
      <c r="AH1674" s="1" t="s">
        <v>1152</v>
      </c>
      <c r="AI1674" s="1"/>
      <c r="AJ1674" s="1" t="s">
        <v>2396</v>
      </c>
      <c r="AK1674" s="1" t="s">
        <v>1152</v>
      </c>
      <c r="AL1674" s="6" t="str">
        <f t="array" ref="AL1674">IFERROR(IFS(XLOOKUP(B1674, 'Kit Delivery Status'!$U:$U, 'Kit Delivery Status'!$K:$K) = "Complete", "DELIVERED", XLOOKUP(B1674, 'Kit Delivery Status'!$U:$U, 'Kit Delivery Status'!$K:$K) = "Issue", "ISSUE"), "")</f>
        <v/>
      </c>
      <c r="AM1674" s="6"/>
    </row>
    <row r="1675">
      <c r="A1675" s="5" t="s">
        <v>8468</v>
      </c>
      <c r="B1675" s="1" t="s">
        <v>8469</v>
      </c>
      <c r="C1675" s="1" t="s">
        <v>8470</v>
      </c>
      <c r="D1675" s="2">
        <v>9.089021218E9</v>
      </c>
      <c r="E1675" s="1" t="s">
        <v>8471</v>
      </c>
      <c r="F1675" s="1"/>
      <c r="G1675" s="1" t="s">
        <v>5672</v>
      </c>
      <c r="H1675" s="1" t="s">
        <v>1053</v>
      </c>
      <c r="I1675" s="1">
        <v>7920.0</v>
      </c>
      <c r="J1675" s="1" t="s">
        <v>752</v>
      </c>
      <c r="K1675" s="1" t="s">
        <v>42</v>
      </c>
      <c r="L1675" s="1" t="s">
        <v>6819</v>
      </c>
      <c r="M1675" s="1">
        <v>49.0</v>
      </c>
      <c r="N1675" s="1" t="s">
        <v>1152</v>
      </c>
      <c r="O1675" s="3" t="s">
        <v>475</v>
      </c>
      <c r="P1675" s="1" t="s">
        <v>1152</v>
      </c>
      <c r="Q1675" s="1" t="s">
        <v>1152</v>
      </c>
      <c r="R1675" s="1"/>
      <c r="S1675" s="1"/>
      <c r="T1675" s="1" t="s">
        <v>1152</v>
      </c>
      <c r="U1675" s="1" t="s">
        <v>956</v>
      </c>
      <c r="V1675" s="4" t="s">
        <v>475</v>
      </c>
      <c r="W1675" s="1"/>
      <c r="X1675" s="1" t="s">
        <v>1152</v>
      </c>
      <c r="Y1675" s="1" t="s">
        <v>1152</v>
      </c>
      <c r="Z1675" s="1"/>
      <c r="AA1675" s="1"/>
      <c r="AB1675" s="1"/>
      <c r="AC1675" s="1" t="s">
        <v>1925</v>
      </c>
      <c r="AD1675" s="1"/>
      <c r="AE1675" s="18">
        <v>46149.0</v>
      </c>
      <c r="AF1675" s="1" t="s">
        <v>1030</v>
      </c>
      <c r="AG1675" s="1" t="s">
        <v>52</v>
      </c>
      <c r="AH1675" s="1" t="s">
        <v>1152</v>
      </c>
      <c r="AI1675" s="1"/>
      <c r="AJ1675" s="1" t="s">
        <v>8471</v>
      </c>
      <c r="AK1675" s="1" t="s">
        <v>1152</v>
      </c>
      <c r="AL1675" s="6" t="str">
        <f t="array" ref="AL1675">IFERROR(IFS(XLOOKUP(B1675, 'Kit Delivery Status'!$U:$U, 'Kit Delivery Status'!$K:$K) = "Complete", "DELIVERED", XLOOKUP(B1675, 'Kit Delivery Status'!$U:$U, 'Kit Delivery Status'!$K:$K) = "Issue", "ISSUE"), "")</f>
        <v/>
      </c>
      <c r="AM1675" s="6"/>
    </row>
    <row r="1676">
      <c r="A1676" s="5" t="s">
        <v>8468</v>
      </c>
      <c r="B1676" s="1" t="s">
        <v>8469</v>
      </c>
      <c r="C1676" s="1" t="s">
        <v>8470</v>
      </c>
      <c r="D1676" s="2">
        <v>9.089021218E9</v>
      </c>
      <c r="E1676" s="1" t="s">
        <v>8471</v>
      </c>
      <c r="F1676" s="1"/>
      <c r="G1676" s="1" t="s">
        <v>5672</v>
      </c>
      <c r="H1676" s="1" t="s">
        <v>1053</v>
      </c>
      <c r="I1676" s="1">
        <v>7920.0</v>
      </c>
      <c r="J1676" s="1" t="s">
        <v>752</v>
      </c>
      <c r="K1676" s="1" t="s">
        <v>42</v>
      </c>
      <c r="L1676" s="1" t="s">
        <v>6819</v>
      </c>
      <c r="M1676" s="1">
        <v>49.0</v>
      </c>
      <c r="N1676" s="1" t="s">
        <v>1152</v>
      </c>
      <c r="O1676" s="3" t="s">
        <v>475</v>
      </c>
      <c r="P1676" s="1" t="s">
        <v>1152</v>
      </c>
      <c r="Q1676" s="1" t="s">
        <v>1152</v>
      </c>
      <c r="R1676" s="1"/>
      <c r="S1676" s="1"/>
      <c r="T1676" s="1" t="s">
        <v>1152</v>
      </c>
      <c r="U1676" s="1" t="s">
        <v>956</v>
      </c>
      <c r="V1676" s="4" t="s">
        <v>475</v>
      </c>
      <c r="W1676" s="1"/>
      <c r="X1676" s="1" t="s">
        <v>1152</v>
      </c>
      <c r="Y1676" s="1" t="s">
        <v>1152</v>
      </c>
      <c r="Z1676" s="1"/>
      <c r="AA1676" s="1"/>
      <c r="AB1676" s="1"/>
      <c r="AC1676" s="1" t="s">
        <v>1925</v>
      </c>
      <c r="AD1676" s="1"/>
      <c r="AE1676" s="18">
        <v>46149.0</v>
      </c>
      <c r="AF1676" s="1" t="s">
        <v>1030</v>
      </c>
      <c r="AG1676" s="1" t="s">
        <v>52</v>
      </c>
      <c r="AH1676" s="1" t="s">
        <v>1152</v>
      </c>
      <c r="AI1676" s="1"/>
      <c r="AJ1676" s="1" t="s">
        <v>8471</v>
      </c>
      <c r="AK1676" s="1" t="s">
        <v>1152</v>
      </c>
      <c r="AL1676" s="6" t="str">
        <f t="array" ref="AL1676">IFERROR(IFS(XLOOKUP(B1676, 'Kit Delivery Status'!$U:$U, 'Kit Delivery Status'!$K:$K) = "Complete", "DELIVERED", XLOOKUP(B1676, 'Kit Delivery Status'!$U:$U, 'Kit Delivery Status'!$K:$K) = "Issue", "ISSUE"), "")</f>
        <v/>
      </c>
      <c r="AM1676" s="6"/>
    </row>
    <row r="1677">
      <c r="A1677" s="5" t="s">
        <v>8472</v>
      </c>
      <c r="B1677" s="1" t="s">
        <v>8473</v>
      </c>
      <c r="C1677" s="1" t="s">
        <v>8474</v>
      </c>
      <c r="D1677" s="2">
        <v>9.178426437E9</v>
      </c>
      <c r="E1677" s="1" t="s">
        <v>5927</v>
      </c>
      <c r="F1677" s="1"/>
      <c r="G1677" s="1" t="s">
        <v>1766</v>
      </c>
      <c r="H1677" s="1" t="s">
        <v>1078</v>
      </c>
      <c r="I1677" s="1">
        <v>6807.0</v>
      </c>
      <c r="J1677" s="1" t="s">
        <v>752</v>
      </c>
      <c r="K1677" s="1" t="s">
        <v>42</v>
      </c>
      <c r="L1677" s="1" t="s">
        <v>6819</v>
      </c>
      <c r="M1677" s="1">
        <v>49.0</v>
      </c>
      <c r="N1677" s="1" t="s">
        <v>1152</v>
      </c>
      <c r="O1677" s="3" t="s">
        <v>8475</v>
      </c>
      <c r="P1677" s="1" t="s">
        <v>1152</v>
      </c>
      <c r="Q1677" s="1" t="s">
        <v>1152</v>
      </c>
      <c r="R1677" s="1"/>
      <c r="S1677" s="1"/>
      <c r="T1677" s="1" t="s">
        <v>1152</v>
      </c>
      <c r="U1677" s="1" t="s">
        <v>1710</v>
      </c>
      <c r="V1677" s="4" t="s">
        <v>8475</v>
      </c>
      <c r="W1677" s="1"/>
      <c r="X1677" s="1" t="s">
        <v>1152</v>
      </c>
      <c r="Y1677" s="1" t="s">
        <v>1152</v>
      </c>
      <c r="Z1677" s="1"/>
      <c r="AA1677" s="1"/>
      <c r="AB1677" s="1"/>
      <c r="AC1677" s="1" t="s">
        <v>1925</v>
      </c>
      <c r="AD1677" s="1"/>
      <c r="AE1677" s="18">
        <v>46147.0</v>
      </c>
      <c r="AF1677" s="1" t="s">
        <v>1030</v>
      </c>
      <c r="AG1677" s="1" t="s">
        <v>52</v>
      </c>
      <c r="AH1677" s="1" t="s">
        <v>1152</v>
      </c>
      <c r="AI1677" s="1"/>
      <c r="AJ1677" s="1" t="s">
        <v>5930</v>
      </c>
      <c r="AK1677" s="1" t="s">
        <v>1152</v>
      </c>
      <c r="AL1677" s="6" t="str">
        <f t="array" ref="AL1677">IFERROR(IFS(XLOOKUP(B1677, 'Kit Delivery Status'!$U:$U, 'Kit Delivery Status'!$K:$K) = "Complete", "DELIVERED", XLOOKUP(B1677, 'Kit Delivery Status'!$U:$U, 'Kit Delivery Status'!$K:$K) = "Issue", "ISSUE"), "")</f>
        <v/>
      </c>
      <c r="AM1677" s="6"/>
    </row>
    <row r="1678">
      <c r="A1678" s="5" t="s">
        <v>8476</v>
      </c>
      <c r="B1678" s="1" t="s">
        <v>8477</v>
      </c>
      <c r="C1678" s="1" t="s">
        <v>6800</v>
      </c>
      <c r="D1678" s="2">
        <v>6.179491472E9</v>
      </c>
      <c r="E1678" s="1" t="s">
        <v>6801</v>
      </c>
      <c r="F1678" s="1"/>
      <c r="G1678" s="1" t="s">
        <v>1615</v>
      </c>
      <c r="H1678" s="1" t="s">
        <v>1616</v>
      </c>
      <c r="I1678" s="1">
        <v>3748.0</v>
      </c>
      <c r="J1678" s="1" t="s">
        <v>752</v>
      </c>
      <c r="K1678" s="1" t="s">
        <v>42</v>
      </c>
      <c r="L1678" s="1" t="s">
        <v>7863</v>
      </c>
      <c r="M1678" s="1">
        <v>79.0</v>
      </c>
      <c r="N1678" s="1" t="s">
        <v>1152</v>
      </c>
      <c r="O1678" s="3" t="s">
        <v>2274</v>
      </c>
      <c r="P1678" s="1" t="s">
        <v>1152</v>
      </c>
      <c r="Q1678" s="1" t="s">
        <v>1152</v>
      </c>
      <c r="R1678" s="1"/>
      <c r="S1678" s="1"/>
      <c r="T1678" s="1" t="s">
        <v>1152</v>
      </c>
      <c r="U1678" s="1" t="s">
        <v>1039</v>
      </c>
      <c r="V1678" s="4" t="s">
        <v>2274</v>
      </c>
      <c r="W1678" s="1"/>
      <c r="X1678" s="1" t="s">
        <v>1152</v>
      </c>
      <c r="Y1678" s="1" t="s">
        <v>1152</v>
      </c>
      <c r="Z1678" s="1"/>
      <c r="AA1678" s="1"/>
      <c r="AB1678" s="1"/>
      <c r="AC1678" s="1" t="s">
        <v>1925</v>
      </c>
      <c r="AD1678" s="1"/>
      <c r="AE1678" s="18">
        <v>46150.0</v>
      </c>
      <c r="AF1678" s="1" t="s">
        <v>1349</v>
      </c>
      <c r="AG1678" s="1" t="s">
        <v>52</v>
      </c>
      <c r="AH1678" s="1" t="s">
        <v>1152</v>
      </c>
      <c r="AI1678" s="1"/>
      <c r="AJ1678" s="1" t="s">
        <v>6802</v>
      </c>
      <c r="AK1678" s="1" t="s">
        <v>1152</v>
      </c>
      <c r="AL1678" s="6" t="str">
        <f t="array" ref="AL1678">IFERROR(IFS(XLOOKUP(B1678, 'Kit Delivery Status'!$U:$U, 'Kit Delivery Status'!$K:$K) = "Complete", "DELIVERED", XLOOKUP(B1678, 'Kit Delivery Status'!$U:$U, 'Kit Delivery Status'!$K:$K) = "Issue", "ISSUE"), "")</f>
        <v/>
      </c>
      <c r="AM1678" s="6"/>
    </row>
    <row r="1679">
      <c r="A1679" s="5" t="s">
        <v>8478</v>
      </c>
      <c r="B1679" s="1" t="s">
        <v>8479</v>
      </c>
      <c r="C1679" s="1" t="s">
        <v>8480</v>
      </c>
      <c r="D1679" s="2">
        <v>9.177973844E9</v>
      </c>
      <c r="E1679" s="1" t="s">
        <v>8481</v>
      </c>
      <c r="F1679" s="1"/>
      <c r="G1679" s="1" t="s">
        <v>1207</v>
      </c>
      <c r="H1679" s="1" t="s">
        <v>1208</v>
      </c>
      <c r="I1679" s="1">
        <v>33432.0</v>
      </c>
      <c r="J1679" s="1" t="s">
        <v>752</v>
      </c>
      <c r="K1679" s="1" t="s">
        <v>6515</v>
      </c>
      <c r="L1679" s="1" t="s">
        <v>8482</v>
      </c>
      <c r="M1679" s="1">
        <v>400.0</v>
      </c>
      <c r="N1679" s="1" t="s">
        <v>1152</v>
      </c>
      <c r="O1679" s="3"/>
      <c r="P1679" s="1" t="s">
        <v>1152</v>
      </c>
      <c r="Q1679" s="1" t="s">
        <v>1152</v>
      </c>
      <c r="R1679" s="1"/>
      <c r="S1679" s="1"/>
      <c r="T1679" s="1" t="s">
        <v>1152</v>
      </c>
      <c r="U1679" s="1"/>
      <c r="V1679" s="4"/>
      <c r="W1679" s="1"/>
      <c r="X1679" s="1" t="s">
        <v>1152</v>
      </c>
      <c r="Y1679" s="1" t="s">
        <v>1152</v>
      </c>
      <c r="Z1679" s="1"/>
      <c r="AA1679" s="1"/>
      <c r="AB1679" s="1"/>
      <c r="AC1679" s="1" t="s">
        <v>8483</v>
      </c>
      <c r="AD1679" s="1"/>
      <c r="AE1679" s="18">
        <v>46058.0</v>
      </c>
      <c r="AF1679" s="1"/>
      <c r="AG1679" s="1"/>
      <c r="AH1679" s="1" t="s">
        <v>8484</v>
      </c>
      <c r="AI1679" s="1" t="s">
        <v>8485</v>
      </c>
      <c r="AJ1679" s="1"/>
      <c r="AK1679" s="1" t="s">
        <v>8486</v>
      </c>
      <c r="AL1679" s="6" t="str">
        <f t="array" ref="AL1679">IFERROR(IFS(XLOOKUP(B1679, 'Kit Delivery Status'!$U:$U, 'Kit Delivery Status'!$K:$K) = "Complete", "DELIVERED", XLOOKUP(B1679, 'Kit Delivery Status'!$U:$U, 'Kit Delivery Status'!$K:$K) = "Issue", "ISSUE"), "")</f>
        <v/>
      </c>
      <c r="AM1679" s="6"/>
    </row>
    <row r="1680">
      <c r="A1680" s="5" t="s">
        <v>8487</v>
      </c>
      <c r="B1680" s="1" t="s">
        <v>8488</v>
      </c>
      <c r="C1680" s="1" t="s">
        <v>3020</v>
      </c>
      <c r="D1680" s="2">
        <v>5.125527826E9</v>
      </c>
      <c r="E1680" s="1" t="s">
        <v>8489</v>
      </c>
      <c r="F1680" s="1"/>
      <c r="G1680" s="1" t="s">
        <v>1582</v>
      </c>
      <c r="H1680" s="1" t="s">
        <v>1583</v>
      </c>
      <c r="I1680" s="1">
        <v>78759.0</v>
      </c>
      <c r="J1680" s="1" t="s">
        <v>752</v>
      </c>
      <c r="K1680" s="1" t="s">
        <v>42</v>
      </c>
      <c r="L1680" s="1" t="s">
        <v>6819</v>
      </c>
      <c r="M1680" s="1">
        <v>49.0</v>
      </c>
      <c r="N1680" s="1" t="s">
        <v>1152</v>
      </c>
      <c r="O1680" s="3" t="s">
        <v>3300</v>
      </c>
      <c r="P1680" s="1" t="s">
        <v>1152</v>
      </c>
      <c r="Q1680" s="1" t="s">
        <v>1152</v>
      </c>
      <c r="R1680" s="1"/>
      <c r="S1680" s="1"/>
      <c r="T1680" s="1" t="s">
        <v>1152</v>
      </c>
      <c r="U1680" s="1" t="s">
        <v>1021</v>
      </c>
      <c r="V1680" s="4" t="s">
        <v>3300</v>
      </c>
      <c r="W1680" s="1"/>
      <c r="X1680" s="1" t="s">
        <v>1152</v>
      </c>
      <c r="Y1680" s="1" t="s">
        <v>1152</v>
      </c>
      <c r="Z1680" s="1"/>
      <c r="AA1680" s="1"/>
      <c r="AB1680" s="1"/>
      <c r="AC1680" s="1" t="s">
        <v>1925</v>
      </c>
      <c r="AD1680" s="1"/>
      <c r="AE1680" s="18">
        <v>46149.0</v>
      </c>
      <c r="AF1680" s="1" t="s">
        <v>1349</v>
      </c>
      <c r="AG1680" s="1" t="s">
        <v>52</v>
      </c>
      <c r="AH1680" s="1" t="s">
        <v>1152</v>
      </c>
      <c r="AI1680" s="1"/>
      <c r="AJ1680" s="1" t="s">
        <v>3021</v>
      </c>
      <c r="AK1680" s="1" t="s">
        <v>1152</v>
      </c>
      <c r="AL1680" s="6" t="str">
        <f t="array" ref="AL1680">IFERROR(IFS(XLOOKUP(B1680, 'Kit Delivery Status'!$U:$U, 'Kit Delivery Status'!$K:$K) = "Complete", "DELIVERED", XLOOKUP(B1680, 'Kit Delivery Status'!$U:$U, 'Kit Delivery Status'!$K:$K) = "Issue", "ISSUE"), "")</f>
        <v/>
      </c>
      <c r="AM1680" s="6"/>
    </row>
    <row r="1681">
      <c r="A1681" s="5" t="s">
        <v>8490</v>
      </c>
      <c r="B1681" s="1" t="s">
        <v>8491</v>
      </c>
      <c r="C1681" s="1" t="s">
        <v>8492</v>
      </c>
      <c r="D1681" s="2" t="s">
        <v>8493</v>
      </c>
      <c r="E1681" s="1" t="s">
        <v>6155</v>
      </c>
      <c r="F1681" s="1"/>
      <c r="G1681" s="1" t="s">
        <v>6156</v>
      </c>
      <c r="H1681" s="1" t="s">
        <v>1005</v>
      </c>
      <c r="I1681" s="1">
        <v>21209.0</v>
      </c>
      <c r="J1681" s="1" t="s">
        <v>752</v>
      </c>
      <c r="K1681" s="1" t="s">
        <v>42</v>
      </c>
      <c r="L1681" s="1" t="s">
        <v>6819</v>
      </c>
      <c r="M1681" s="1">
        <v>49.0</v>
      </c>
      <c r="N1681" s="1" t="s">
        <v>1152</v>
      </c>
      <c r="O1681" s="3" t="s">
        <v>8494</v>
      </c>
      <c r="P1681" s="1" t="s">
        <v>1152</v>
      </c>
      <c r="Q1681" s="1" t="s">
        <v>1152</v>
      </c>
      <c r="R1681" s="1"/>
      <c r="S1681" s="1"/>
      <c r="T1681" s="1" t="s">
        <v>1152</v>
      </c>
      <c r="U1681" s="1" t="s">
        <v>6158</v>
      </c>
      <c r="V1681" s="4" t="s">
        <v>8494</v>
      </c>
      <c r="W1681" s="1"/>
      <c r="X1681" s="1" t="s">
        <v>1152</v>
      </c>
      <c r="Y1681" s="1" t="s">
        <v>1152</v>
      </c>
      <c r="Z1681" s="1"/>
      <c r="AA1681" s="1"/>
      <c r="AB1681" s="1"/>
      <c r="AC1681" s="1" t="s">
        <v>1925</v>
      </c>
      <c r="AD1681" s="1"/>
      <c r="AE1681" s="18">
        <v>46147.0</v>
      </c>
      <c r="AF1681" s="1" t="s">
        <v>1349</v>
      </c>
      <c r="AG1681" s="1" t="s">
        <v>52</v>
      </c>
      <c r="AH1681" s="1" t="s">
        <v>1152</v>
      </c>
      <c r="AI1681" s="1"/>
      <c r="AJ1681" s="1" t="s">
        <v>8495</v>
      </c>
      <c r="AK1681" s="1" t="s">
        <v>1152</v>
      </c>
      <c r="AL1681" s="6" t="str">
        <f t="array" ref="AL1681">IFERROR(IFS(XLOOKUP(B1681, 'Kit Delivery Status'!$U:$U, 'Kit Delivery Status'!$K:$K) = "Complete", "DELIVERED", XLOOKUP(B1681, 'Kit Delivery Status'!$U:$U, 'Kit Delivery Status'!$K:$K) = "Issue", "ISSUE"), "")</f>
        <v/>
      </c>
      <c r="AM1681" s="6"/>
    </row>
    <row r="1682">
      <c r="A1682" s="5" t="s">
        <v>8496</v>
      </c>
      <c r="B1682" s="1" t="s">
        <v>8497</v>
      </c>
      <c r="C1682" s="1"/>
      <c r="D1682" s="2">
        <v>3.147064136E9</v>
      </c>
      <c r="E1682" s="1" t="s">
        <v>8498</v>
      </c>
      <c r="F1682" s="1"/>
      <c r="G1682" s="1" t="s">
        <v>2350</v>
      </c>
      <c r="H1682" s="1" t="s">
        <v>1155</v>
      </c>
      <c r="I1682" s="1">
        <v>63105.0</v>
      </c>
      <c r="J1682" s="1" t="s">
        <v>752</v>
      </c>
      <c r="K1682" s="1" t="s">
        <v>42</v>
      </c>
      <c r="L1682" s="1" t="s">
        <v>6819</v>
      </c>
      <c r="M1682" s="1">
        <v>49.0</v>
      </c>
      <c r="N1682" s="1" t="s">
        <v>1152</v>
      </c>
      <c r="O1682" s="3" t="s">
        <v>2180</v>
      </c>
      <c r="P1682" s="1" t="s">
        <v>1152</v>
      </c>
      <c r="Q1682" s="1" t="s">
        <v>1152</v>
      </c>
      <c r="R1682" s="1"/>
      <c r="S1682" s="1"/>
      <c r="T1682" s="1" t="s">
        <v>1152</v>
      </c>
      <c r="U1682" s="1" t="s">
        <v>1148</v>
      </c>
      <c r="V1682" s="4" t="s">
        <v>2180</v>
      </c>
      <c r="W1682" s="1"/>
      <c r="X1682" s="1" t="s">
        <v>1152</v>
      </c>
      <c r="Y1682" s="1" t="s">
        <v>1152</v>
      </c>
      <c r="Z1682" s="1"/>
      <c r="AA1682" s="1"/>
      <c r="AB1682" s="1"/>
      <c r="AC1682" s="1" t="s">
        <v>1925</v>
      </c>
      <c r="AD1682" s="1"/>
      <c r="AE1682" s="18">
        <v>46147.0</v>
      </c>
      <c r="AF1682" s="1" t="s">
        <v>3186</v>
      </c>
      <c r="AG1682" s="1" t="s">
        <v>52</v>
      </c>
      <c r="AH1682" s="1" t="s">
        <v>1152</v>
      </c>
      <c r="AI1682" s="1"/>
      <c r="AJ1682" s="1" t="s">
        <v>8499</v>
      </c>
      <c r="AK1682" s="1" t="s">
        <v>1152</v>
      </c>
      <c r="AL1682" s="6" t="str">
        <f t="array" ref="AL1682">IFERROR(IFS(XLOOKUP(B1682, 'Kit Delivery Status'!$U:$U, 'Kit Delivery Status'!$K:$K) = "Complete", "DELIVERED", XLOOKUP(B1682, 'Kit Delivery Status'!$U:$U, 'Kit Delivery Status'!$K:$K) = "Issue", "ISSUE"), "")</f>
        <v/>
      </c>
      <c r="AM1682" s="6"/>
    </row>
    <row r="1683">
      <c r="A1683" s="5" t="s">
        <v>8500</v>
      </c>
      <c r="B1683" s="1" t="s">
        <v>8501</v>
      </c>
      <c r="C1683" s="1" t="s">
        <v>8502</v>
      </c>
      <c r="D1683" s="2">
        <v>3.475867319E9</v>
      </c>
      <c r="E1683" s="1" t="s">
        <v>7822</v>
      </c>
      <c r="F1683" s="1"/>
      <c r="G1683" s="1" t="s">
        <v>751</v>
      </c>
      <c r="H1683" s="1" t="s">
        <v>751</v>
      </c>
      <c r="I1683" s="1">
        <v>10030.0</v>
      </c>
      <c r="J1683" s="1" t="s">
        <v>752</v>
      </c>
      <c r="K1683" s="1" t="s">
        <v>5314</v>
      </c>
      <c r="L1683" s="1" t="s">
        <v>8503</v>
      </c>
      <c r="M1683" s="1">
        <v>79.0</v>
      </c>
      <c r="N1683" s="1" t="s">
        <v>1152</v>
      </c>
      <c r="O1683" s="3" t="s">
        <v>8504</v>
      </c>
      <c r="P1683" s="1" t="s">
        <v>1152</v>
      </c>
      <c r="Q1683" s="1" t="s">
        <v>1152</v>
      </c>
      <c r="R1683" s="1"/>
      <c r="S1683" s="1"/>
      <c r="T1683" s="1" t="s">
        <v>1152</v>
      </c>
      <c r="U1683" s="1" t="s">
        <v>7088</v>
      </c>
      <c r="V1683" s="4" t="s">
        <v>8504</v>
      </c>
      <c r="W1683" s="1"/>
      <c r="X1683" s="1" t="s">
        <v>1152</v>
      </c>
      <c r="Y1683" s="1" t="s">
        <v>1152</v>
      </c>
      <c r="Z1683" s="1"/>
      <c r="AA1683" s="1"/>
      <c r="AB1683" s="1"/>
      <c r="AC1683" s="1" t="s">
        <v>1925</v>
      </c>
      <c r="AD1683" s="1"/>
      <c r="AE1683" s="18">
        <v>46062.0</v>
      </c>
      <c r="AF1683" s="1" t="s">
        <v>1030</v>
      </c>
      <c r="AG1683" s="1" t="s">
        <v>52</v>
      </c>
      <c r="AH1683" s="1" t="s">
        <v>1152</v>
      </c>
      <c r="AI1683" s="1"/>
      <c r="AJ1683" s="1" t="s">
        <v>8505</v>
      </c>
      <c r="AK1683" s="1" t="s">
        <v>1152</v>
      </c>
      <c r="AL1683" s="6" t="str">
        <f t="array" ref="AL1683">IFERROR(IFS(XLOOKUP(B1683, 'Kit Delivery Status'!$U:$U, 'Kit Delivery Status'!$K:$K) = "Complete", "DELIVERED", XLOOKUP(B1683, 'Kit Delivery Status'!$U:$U, 'Kit Delivery Status'!$K:$K) = "Issue", "ISSUE"), "")</f>
        <v/>
      </c>
      <c r="AM1683" s="6"/>
    </row>
    <row r="1684">
      <c r="A1684" s="5" t="s">
        <v>8506</v>
      </c>
      <c r="B1684" s="1" t="s">
        <v>8507</v>
      </c>
      <c r="C1684" s="1"/>
      <c r="D1684" s="2">
        <v>2.146866499E9</v>
      </c>
      <c r="E1684" s="1" t="s">
        <v>8508</v>
      </c>
      <c r="F1684" s="1"/>
      <c r="G1684" s="1" t="s">
        <v>8509</v>
      </c>
      <c r="H1684" s="1" t="s">
        <v>1583</v>
      </c>
      <c r="I1684" s="1" t="s">
        <v>8510</v>
      </c>
      <c r="J1684" s="1" t="s">
        <v>752</v>
      </c>
      <c r="K1684" s="1" t="s">
        <v>42</v>
      </c>
      <c r="L1684" s="1" t="s">
        <v>6819</v>
      </c>
      <c r="M1684" s="1">
        <v>49.0</v>
      </c>
      <c r="N1684" s="1" t="s">
        <v>1152</v>
      </c>
      <c r="O1684" s="3" t="s">
        <v>1450</v>
      </c>
      <c r="P1684" s="1" t="s">
        <v>1152</v>
      </c>
      <c r="Q1684" s="1" t="s">
        <v>1152</v>
      </c>
      <c r="R1684" s="1"/>
      <c r="S1684" s="1"/>
      <c r="T1684" s="1" t="s">
        <v>1152</v>
      </c>
      <c r="U1684" s="1" t="s">
        <v>1080</v>
      </c>
      <c r="V1684" s="4" t="s">
        <v>1450</v>
      </c>
      <c r="W1684" s="1"/>
      <c r="X1684" s="1" t="s">
        <v>1152</v>
      </c>
      <c r="Y1684" s="1" t="s">
        <v>1152</v>
      </c>
      <c r="Z1684" s="1"/>
      <c r="AA1684" s="1"/>
      <c r="AB1684" s="1"/>
      <c r="AC1684" s="1" t="s">
        <v>1925</v>
      </c>
      <c r="AD1684" s="1"/>
      <c r="AE1684" s="18">
        <v>46146.0</v>
      </c>
      <c r="AF1684" s="1" t="s">
        <v>1349</v>
      </c>
      <c r="AG1684" s="1" t="s">
        <v>52</v>
      </c>
      <c r="AH1684" s="1" t="s">
        <v>1152</v>
      </c>
      <c r="AI1684" s="1"/>
      <c r="AJ1684" s="1" t="s">
        <v>8511</v>
      </c>
      <c r="AK1684" s="1" t="s">
        <v>1152</v>
      </c>
      <c r="AL1684" s="6" t="str">
        <f t="array" ref="AL1684">IFERROR(IFS(XLOOKUP(B1684, 'Kit Delivery Status'!$U:$U, 'Kit Delivery Status'!$K:$K) = "Complete", "DELIVERED", XLOOKUP(B1684, 'Kit Delivery Status'!$U:$U, 'Kit Delivery Status'!$K:$K) = "Issue", "ISSUE"), "")</f>
        <v/>
      </c>
      <c r="AM1684" s="6"/>
    </row>
    <row r="1685">
      <c r="A1685" s="5" t="s">
        <v>8512</v>
      </c>
      <c r="B1685" s="1" t="s">
        <v>8513</v>
      </c>
      <c r="C1685" s="1" t="s">
        <v>8514</v>
      </c>
      <c r="D1685" s="2">
        <v>7.146255442E9</v>
      </c>
      <c r="E1685" s="1" t="s">
        <v>799</v>
      </c>
      <c r="F1685" s="1"/>
      <c r="G1685" s="1" t="s">
        <v>2350</v>
      </c>
      <c r="H1685" s="1" t="s">
        <v>1155</v>
      </c>
      <c r="I1685" s="1" t="s">
        <v>8515</v>
      </c>
      <c r="J1685" s="1" t="s">
        <v>752</v>
      </c>
      <c r="K1685" s="1" t="s">
        <v>42</v>
      </c>
      <c r="L1685" s="1" t="s">
        <v>7863</v>
      </c>
      <c r="M1685" s="1">
        <v>79.0</v>
      </c>
      <c r="N1685" s="1" t="s">
        <v>1152</v>
      </c>
      <c r="O1685" s="3" t="s">
        <v>2035</v>
      </c>
      <c r="P1685" s="1" t="s">
        <v>1152</v>
      </c>
      <c r="Q1685" s="1" t="s">
        <v>1152</v>
      </c>
      <c r="R1685" s="1"/>
      <c r="S1685" s="1"/>
      <c r="T1685" s="1" t="s">
        <v>1152</v>
      </c>
      <c r="U1685" s="1" t="s">
        <v>1148</v>
      </c>
      <c r="V1685" s="4" t="s">
        <v>2035</v>
      </c>
      <c r="W1685" s="1"/>
      <c r="X1685" s="1" t="s">
        <v>1152</v>
      </c>
      <c r="Y1685" s="1" t="s">
        <v>1152</v>
      </c>
      <c r="Z1685" s="1"/>
      <c r="AA1685" s="1"/>
      <c r="AB1685" s="1"/>
      <c r="AC1685" s="1" t="s">
        <v>1925</v>
      </c>
      <c r="AD1685" s="1"/>
      <c r="AE1685" s="18">
        <v>46148.0</v>
      </c>
      <c r="AF1685" s="1" t="s">
        <v>1030</v>
      </c>
      <c r="AG1685" s="1" t="s">
        <v>52</v>
      </c>
      <c r="AH1685" s="1" t="s">
        <v>1152</v>
      </c>
      <c r="AI1685" s="1"/>
      <c r="AJ1685" s="1" t="s">
        <v>799</v>
      </c>
      <c r="AK1685" s="1" t="s">
        <v>1152</v>
      </c>
      <c r="AL1685" s="6" t="str">
        <f t="array" ref="AL1685">IFERROR(IFS(XLOOKUP(B1685, 'Kit Delivery Status'!$U:$U, 'Kit Delivery Status'!$K:$K) = "Complete", "DELIVERED", XLOOKUP(B1685, 'Kit Delivery Status'!$U:$U, 'Kit Delivery Status'!$K:$K) = "Issue", "ISSUE"), "")</f>
        <v/>
      </c>
      <c r="AM1685" s="6"/>
    </row>
    <row r="1686">
      <c r="A1686" s="5" t="s">
        <v>8516</v>
      </c>
      <c r="B1686" s="1" t="s">
        <v>8517</v>
      </c>
      <c r="C1686" s="1" t="s">
        <v>8518</v>
      </c>
      <c r="D1686" s="2">
        <v>3.147064136E9</v>
      </c>
      <c r="E1686" s="1" t="s">
        <v>8498</v>
      </c>
      <c r="F1686" s="1"/>
      <c r="G1686" s="1" t="s">
        <v>2350</v>
      </c>
      <c r="H1686" s="1" t="s">
        <v>1155</v>
      </c>
      <c r="I1686" s="1">
        <v>63105.0</v>
      </c>
      <c r="J1686" s="1" t="s">
        <v>752</v>
      </c>
      <c r="K1686" s="1" t="s">
        <v>42</v>
      </c>
      <c r="L1686" s="1" t="s">
        <v>6819</v>
      </c>
      <c r="M1686" s="1">
        <v>49.0</v>
      </c>
      <c r="N1686" s="1" t="s">
        <v>1152</v>
      </c>
      <c r="O1686" s="3" t="s">
        <v>2180</v>
      </c>
      <c r="P1686" s="1" t="s">
        <v>1152</v>
      </c>
      <c r="Q1686" s="1" t="s">
        <v>1152</v>
      </c>
      <c r="R1686" s="1"/>
      <c r="S1686" s="1"/>
      <c r="T1686" s="1" t="s">
        <v>1152</v>
      </c>
      <c r="U1686" s="1" t="s">
        <v>1148</v>
      </c>
      <c r="V1686" s="4" t="s">
        <v>2180</v>
      </c>
      <c r="W1686" s="1"/>
      <c r="X1686" s="1" t="s">
        <v>1152</v>
      </c>
      <c r="Y1686" s="1" t="s">
        <v>1152</v>
      </c>
      <c r="Z1686" s="1"/>
      <c r="AA1686" s="1"/>
      <c r="AB1686" s="1"/>
      <c r="AC1686" s="1" t="s">
        <v>1925</v>
      </c>
      <c r="AD1686" s="1"/>
      <c r="AE1686" s="18">
        <v>46147.0</v>
      </c>
      <c r="AF1686" s="1" t="s">
        <v>1440</v>
      </c>
      <c r="AG1686" s="1" t="s">
        <v>52</v>
      </c>
      <c r="AH1686" s="1" t="s">
        <v>1152</v>
      </c>
      <c r="AI1686" s="1"/>
      <c r="AJ1686" s="1" t="s">
        <v>8499</v>
      </c>
      <c r="AK1686" s="1" t="s">
        <v>1152</v>
      </c>
      <c r="AL1686" s="6" t="str">
        <f t="array" ref="AL1686">IFERROR(IFS(XLOOKUP(B1686, 'Kit Delivery Status'!$U:$U, 'Kit Delivery Status'!$K:$K) = "Complete", "DELIVERED", XLOOKUP(B1686, 'Kit Delivery Status'!$U:$U, 'Kit Delivery Status'!$K:$K) = "Issue", "ISSUE"), "")</f>
        <v/>
      </c>
      <c r="AM1686" s="6"/>
    </row>
    <row r="1687">
      <c r="A1687" s="5" t="s">
        <v>8519</v>
      </c>
      <c r="B1687" s="1" t="s">
        <v>8520</v>
      </c>
      <c r="C1687" s="1" t="s">
        <v>8521</v>
      </c>
      <c r="D1687" s="2">
        <v>9.179292134E9</v>
      </c>
      <c r="E1687" s="1" t="s">
        <v>6406</v>
      </c>
      <c r="F1687" s="1"/>
      <c r="G1687" s="1" t="s">
        <v>751</v>
      </c>
      <c r="H1687" s="1" t="s">
        <v>751</v>
      </c>
      <c r="I1687" s="1">
        <v>10023.0</v>
      </c>
      <c r="J1687" s="1" t="s">
        <v>752</v>
      </c>
      <c r="K1687" s="1" t="s">
        <v>42</v>
      </c>
      <c r="L1687" s="1" t="s">
        <v>6819</v>
      </c>
      <c r="M1687" s="1">
        <v>49.0</v>
      </c>
      <c r="N1687" s="1" t="s">
        <v>1152</v>
      </c>
      <c r="O1687" s="3" t="s">
        <v>8522</v>
      </c>
      <c r="P1687" s="1" t="s">
        <v>1152</v>
      </c>
      <c r="Q1687" s="1" t="s">
        <v>1152</v>
      </c>
      <c r="R1687" s="1"/>
      <c r="S1687" s="1"/>
      <c r="T1687" s="1" t="s">
        <v>1152</v>
      </c>
      <c r="U1687" s="1" t="s">
        <v>2510</v>
      </c>
      <c r="V1687" s="4" t="s">
        <v>8522</v>
      </c>
      <c r="W1687" s="1"/>
      <c r="X1687" s="1" t="s">
        <v>1152</v>
      </c>
      <c r="Y1687" s="1" t="s">
        <v>1152</v>
      </c>
      <c r="Z1687" s="1"/>
      <c r="AA1687" s="1"/>
      <c r="AB1687" s="1"/>
      <c r="AC1687" s="1" t="s">
        <v>1925</v>
      </c>
      <c r="AD1687" s="1"/>
      <c r="AE1687" s="18">
        <v>46144.0</v>
      </c>
      <c r="AF1687" s="1" t="s">
        <v>1030</v>
      </c>
      <c r="AG1687" s="1" t="s">
        <v>52</v>
      </c>
      <c r="AH1687" s="1" t="s">
        <v>1152</v>
      </c>
      <c r="AI1687" s="1"/>
      <c r="AJ1687" s="1" t="s">
        <v>6408</v>
      </c>
      <c r="AK1687" s="1" t="s">
        <v>1152</v>
      </c>
      <c r="AL1687" s="6" t="str">
        <f t="array" ref="AL1687">IFERROR(IFS(XLOOKUP(B1687, 'Kit Delivery Status'!$U:$U, 'Kit Delivery Status'!$K:$K) = "Complete", "DELIVERED", XLOOKUP(B1687, 'Kit Delivery Status'!$U:$U, 'Kit Delivery Status'!$K:$K) = "Issue", "ISSUE"), "")</f>
        <v/>
      </c>
      <c r="AM1687" s="6"/>
    </row>
    <row r="1688">
      <c r="A1688" s="5" t="s">
        <v>8523</v>
      </c>
      <c r="B1688" s="1" t="s">
        <v>8524</v>
      </c>
      <c r="C1688" s="1" t="s">
        <v>8525</v>
      </c>
      <c r="D1688" s="2">
        <v>3.14448927E9</v>
      </c>
      <c r="E1688" s="1" t="s">
        <v>8329</v>
      </c>
      <c r="F1688" s="1"/>
      <c r="G1688" s="1" t="s">
        <v>1283</v>
      </c>
      <c r="H1688" s="1" t="s">
        <v>1155</v>
      </c>
      <c r="I1688" s="1">
        <v>63130.0</v>
      </c>
      <c r="J1688" s="1" t="s">
        <v>752</v>
      </c>
      <c r="K1688" s="1" t="s">
        <v>42</v>
      </c>
      <c r="L1688" s="1" t="s">
        <v>6819</v>
      </c>
      <c r="M1688" s="1">
        <v>49.0</v>
      </c>
      <c r="N1688" s="1" t="s">
        <v>1152</v>
      </c>
      <c r="O1688" s="3" t="s">
        <v>3154</v>
      </c>
      <c r="P1688" s="1" t="s">
        <v>1152</v>
      </c>
      <c r="Q1688" s="1" t="s">
        <v>1152</v>
      </c>
      <c r="R1688" s="1"/>
      <c r="S1688" s="1"/>
      <c r="T1688" s="1" t="s">
        <v>1152</v>
      </c>
      <c r="U1688" s="1" t="s">
        <v>1285</v>
      </c>
      <c r="V1688" s="4" t="s">
        <v>3154</v>
      </c>
      <c r="W1688" s="1"/>
      <c r="X1688" s="1" t="s">
        <v>1152</v>
      </c>
      <c r="Y1688" s="1" t="s">
        <v>1152</v>
      </c>
      <c r="Z1688" s="1"/>
      <c r="AA1688" s="1"/>
      <c r="AB1688" s="1"/>
      <c r="AC1688" s="1" t="s">
        <v>1925</v>
      </c>
      <c r="AD1688" s="1"/>
      <c r="AE1688" s="18">
        <v>46148.0</v>
      </c>
      <c r="AF1688" s="1" t="s">
        <v>1030</v>
      </c>
      <c r="AG1688" s="1" t="s">
        <v>52</v>
      </c>
      <c r="AH1688" s="1" t="s">
        <v>1152</v>
      </c>
      <c r="AI1688" s="1"/>
      <c r="AJ1688" s="1" t="s">
        <v>8329</v>
      </c>
      <c r="AK1688" s="1" t="s">
        <v>1152</v>
      </c>
      <c r="AL1688" s="6" t="str">
        <f t="array" ref="AL1688">IFERROR(IFS(XLOOKUP(B1688, 'Kit Delivery Status'!$U:$U, 'Kit Delivery Status'!$K:$K) = "Complete", "DELIVERED", XLOOKUP(B1688, 'Kit Delivery Status'!$U:$U, 'Kit Delivery Status'!$K:$K) = "Issue", "ISSUE"), "")</f>
        <v/>
      </c>
      <c r="AM1688" s="6"/>
    </row>
    <row r="1689">
      <c r="A1689" s="5" t="s">
        <v>8526</v>
      </c>
      <c r="B1689" s="1" t="s">
        <v>8527</v>
      </c>
      <c r="C1689" s="1" t="s">
        <v>8528</v>
      </c>
      <c r="D1689" s="2">
        <v>6.174616197E9</v>
      </c>
      <c r="E1689" s="1" t="s">
        <v>8529</v>
      </c>
      <c r="F1689" s="1"/>
      <c r="G1689" s="1" t="s">
        <v>2056</v>
      </c>
      <c r="H1689" s="1" t="s">
        <v>1121</v>
      </c>
      <c r="I1689" s="1">
        <v>2420.0</v>
      </c>
      <c r="J1689" s="1" t="s">
        <v>752</v>
      </c>
      <c r="K1689" s="1" t="s">
        <v>42</v>
      </c>
      <c r="L1689" s="1" t="s">
        <v>6819</v>
      </c>
      <c r="M1689" s="1">
        <v>49.0</v>
      </c>
      <c r="N1689" s="1" t="s">
        <v>1152</v>
      </c>
      <c r="O1689" s="3" t="s">
        <v>8530</v>
      </c>
      <c r="P1689" s="1" t="s">
        <v>1152</v>
      </c>
      <c r="Q1689" s="1" t="s">
        <v>1152</v>
      </c>
      <c r="R1689" s="1"/>
      <c r="S1689" s="1"/>
      <c r="T1689" s="1" t="s">
        <v>1152</v>
      </c>
      <c r="U1689" s="1" t="s">
        <v>1415</v>
      </c>
      <c r="V1689" s="4" t="s">
        <v>8530</v>
      </c>
      <c r="W1689" s="1"/>
      <c r="X1689" s="1" t="s">
        <v>1152</v>
      </c>
      <c r="Y1689" s="1" t="s">
        <v>1152</v>
      </c>
      <c r="Z1689" s="1"/>
      <c r="AA1689" s="1"/>
      <c r="AB1689" s="1"/>
      <c r="AC1689" s="1" t="s">
        <v>1925</v>
      </c>
      <c r="AD1689" s="1"/>
      <c r="AE1689" s="18">
        <v>46160.0</v>
      </c>
      <c r="AF1689" s="1" t="s">
        <v>1030</v>
      </c>
      <c r="AG1689" s="1" t="s">
        <v>52</v>
      </c>
      <c r="AH1689" s="1" t="s">
        <v>1152</v>
      </c>
      <c r="AI1689" s="1"/>
      <c r="AJ1689" s="1" t="s">
        <v>8531</v>
      </c>
      <c r="AK1689" s="1" t="s">
        <v>1152</v>
      </c>
      <c r="AL1689" s="6" t="str">
        <f t="array" ref="AL1689">IFERROR(IFS(XLOOKUP(B1689, 'Kit Delivery Status'!$U:$U, 'Kit Delivery Status'!$K:$K) = "Complete", "DELIVERED", XLOOKUP(B1689, 'Kit Delivery Status'!$U:$U, 'Kit Delivery Status'!$K:$K) = "Issue", "ISSUE"), "")</f>
        <v/>
      </c>
      <c r="AM1689" s="6"/>
    </row>
    <row r="1690">
      <c r="A1690" s="5" t="s">
        <v>8532</v>
      </c>
      <c r="B1690" s="1" t="s">
        <v>8533</v>
      </c>
      <c r="C1690" s="1" t="s">
        <v>8534</v>
      </c>
      <c r="D1690" s="2">
        <v>4.04314066E9</v>
      </c>
      <c r="E1690" s="1" t="s">
        <v>8535</v>
      </c>
      <c r="F1690" s="1"/>
      <c r="G1690" s="1" t="s">
        <v>8536</v>
      </c>
      <c r="H1690" s="1" t="s">
        <v>946</v>
      </c>
      <c r="I1690" s="1">
        <v>30068.0</v>
      </c>
      <c r="J1690" s="1" t="s">
        <v>752</v>
      </c>
      <c r="K1690" s="1" t="s">
        <v>42</v>
      </c>
      <c r="L1690" s="1" t="s">
        <v>6819</v>
      </c>
      <c r="M1690" s="1">
        <v>49.0</v>
      </c>
      <c r="N1690" s="1" t="s">
        <v>1152</v>
      </c>
      <c r="O1690" s="3" t="s">
        <v>8537</v>
      </c>
      <c r="P1690" s="1" t="s">
        <v>1152</v>
      </c>
      <c r="Q1690" s="1" t="s">
        <v>1152</v>
      </c>
      <c r="R1690" s="1"/>
      <c r="S1690" s="1"/>
      <c r="T1690" s="1" t="s">
        <v>1152</v>
      </c>
      <c r="U1690" s="1" t="s">
        <v>1055</v>
      </c>
      <c r="V1690" s="4" t="s">
        <v>8537</v>
      </c>
      <c r="W1690" s="1"/>
      <c r="X1690" s="1" t="s">
        <v>1152</v>
      </c>
      <c r="Y1690" s="1" t="s">
        <v>1152</v>
      </c>
      <c r="Z1690" s="1"/>
      <c r="AA1690" s="1"/>
      <c r="AB1690" s="1"/>
      <c r="AC1690" s="1" t="s">
        <v>1925</v>
      </c>
      <c r="AD1690" s="1"/>
      <c r="AE1690" s="18">
        <v>46149.0</v>
      </c>
      <c r="AF1690" s="1" t="s">
        <v>1349</v>
      </c>
      <c r="AG1690" s="1" t="s">
        <v>52</v>
      </c>
      <c r="AH1690" s="1" t="s">
        <v>1152</v>
      </c>
      <c r="AI1690" s="1"/>
      <c r="AJ1690" s="1" t="s">
        <v>8535</v>
      </c>
      <c r="AK1690" s="1" t="s">
        <v>1152</v>
      </c>
      <c r="AL1690" s="6" t="str">
        <f t="array" ref="AL1690">IFERROR(IFS(XLOOKUP(B1690, 'Kit Delivery Status'!$U:$U, 'Kit Delivery Status'!$K:$K) = "Complete", "DELIVERED", XLOOKUP(B1690, 'Kit Delivery Status'!$U:$U, 'Kit Delivery Status'!$K:$K) = "Issue", "ISSUE"), "")</f>
        <v/>
      </c>
      <c r="AM1690" s="6"/>
    </row>
    <row r="1691">
      <c r="A1691" s="5" t="s">
        <v>8538</v>
      </c>
      <c r="B1691" s="1" t="s">
        <v>8539</v>
      </c>
      <c r="C1691" s="1" t="s">
        <v>8540</v>
      </c>
      <c r="D1691" s="2">
        <v>5.05280261E9</v>
      </c>
      <c r="E1691" s="1" t="s">
        <v>8541</v>
      </c>
      <c r="F1691" s="1"/>
      <c r="G1691" s="1" t="s">
        <v>1027</v>
      </c>
      <c r="H1691" s="1" t="s">
        <v>1028</v>
      </c>
      <c r="I1691" s="1">
        <v>87114.0</v>
      </c>
      <c r="J1691" s="1" t="s">
        <v>752</v>
      </c>
      <c r="K1691" s="1" t="s">
        <v>42</v>
      </c>
      <c r="L1691" s="1" t="s">
        <v>6819</v>
      </c>
      <c r="M1691" s="1">
        <v>49.0</v>
      </c>
      <c r="N1691" s="1" t="s">
        <v>1152</v>
      </c>
      <c r="O1691" s="3" t="s">
        <v>1741</v>
      </c>
      <c r="P1691" s="1" t="s">
        <v>1152</v>
      </c>
      <c r="Q1691" s="1" t="s">
        <v>1152</v>
      </c>
      <c r="R1691" s="1"/>
      <c r="S1691" s="1"/>
      <c r="T1691" s="1" t="s">
        <v>1152</v>
      </c>
      <c r="U1691" s="1" t="s">
        <v>1133</v>
      </c>
      <c r="V1691" s="4" t="s">
        <v>1741</v>
      </c>
      <c r="W1691" s="1"/>
      <c r="X1691" s="1" t="s">
        <v>1152</v>
      </c>
      <c r="Y1691" s="1" t="s">
        <v>1152</v>
      </c>
      <c r="Z1691" s="1"/>
      <c r="AA1691" s="1"/>
      <c r="AB1691" s="1"/>
      <c r="AC1691" s="1" t="s">
        <v>1925</v>
      </c>
      <c r="AD1691" s="1"/>
      <c r="AE1691" s="18">
        <v>46147.0</v>
      </c>
      <c r="AF1691" s="1" t="s">
        <v>3186</v>
      </c>
      <c r="AG1691" s="1" t="s">
        <v>52</v>
      </c>
      <c r="AH1691" s="1" t="s">
        <v>1152</v>
      </c>
      <c r="AI1691" s="1"/>
      <c r="AJ1691" s="1" t="s">
        <v>8542</v>
      </c>
      <c r="AK1691" s="1" t="s">
        <v>1152</v>
      </c>
      <c r="AL1691" s="6" t="str">
        <f t="array" ref="AL1691">IFERROR(IFS(XLOOKUP(B1691, 'Kit Delivery Status'!$U:$U, 'Kit Delivery Status'!$K:$K) = "Complete", "DELIVERED", XLOOKUP(B1691, 'Kit Delivery Status'!$U:$U, 'Kit Delivery Status'!$K:$K) = "Issue", "ISSUE"), "")</f>
        <v/>
      </c>
      <c r="AM1691" s="6"/>
    </row>
    <row r="1692">
      <c r="A1692" s="5" t="s">
        <v>8543</v>
      </c>
      <c r="B1692" s="1" t="s">
        <v>8544</v>
      </c>
      <c r="C1692" s="1" t="s">
        <v>3950</v>
      </c>
      <c r="D1692" s="2">
        <v>8.014145532E9</v>
      </c>
      <c r="E1692" s="1" t="s">
        <v>3951</v>
      </c>
      <c r="F1692" s="1"/>
      <c r="G1692" s="1" t="s">
        <v>3952</v>
      </c>
      <c r="H1692" s="1" t="s">
        <v>3953</v>
      </c>
      <c r="I1692" s="1">
        <v>84092.0</v>
      </c>
      <c r="J1692" s="1" t="s">
        <v>752</v>
      </c>
      <c r="K1692" s="1" t="s">
        <v>42</v>
      </c>
      <c r="L1692" s="1" t="s">
        <v>6819</v>
      </c>
      <c r="M1692" s="1">
        <v>49.0</v>
      </c>
      <c r="N1692" s="1" t="s">
        <v>1152</v>
      </c>
      <c r="O1692" s="3" t="s">
        <v>3954</v>
      </c>
      <c r="P1692" s="1" t="s">
        <v>1152</v>
      </c>
      <c r="Q1692" s="1" t="s">
        <v>1152</v>
      </c>
      <c r="R1692" s="1"/>
      <c r="S1692" s="1"/>
      <c r="T1692" s="1" t="s">
        <v>1152</v>
      </c>
      <c r="U1692" s="1" t="s">
        <v>982</v>
      </c>
      <c r="V1692" s="4" t="s">
        <v>3954</v>
      </c>
      <c r="W1692" s="1"/>
      <c r="X1692" s="1" t="s">
        <v>1152</v>
      </c>
      <c r="Y1692" s="1" t="s">
        <v>1152</v>
      </c>
      <c r="Z1692" s="1"/>
      <c r="AA1692" s="1"/>
      <c r="AB1692" s="1"/>
      <c r="AC1692" s="1" t="s">
        <v>1925</v>
      </c>
      <c r="AD1692" s="1"/>
      <c r="AE1692" s="18">
        <v>46149.0</v>
      </c>
      <c r="AF1692" s="1" t="s">
        <v>1349</v>
      </c>
      <c r="AG1692" s="1" t="s">
        <v>52</v>
      </c>
      <c r="AH1692" s="1" t="s">
        <v>1152</v>
      </c>
      <c r="AI1692" s="1"/>
      <c r="AJ1692" s="1" t="s">
        <v>8545</v>
      </c>
      <c r="AK1692" s="1" t="s">
        <v>1152</v>
      </c>
      <c r="AL1692" s="6" t="str">
        <f t="array" ref="AL1692">IFERROR(IFS(XLOOKUP(B1692, 'Kit Delivery Status'!$U:$U, 'Kit Delivery Status'!$K:$K) = "Complete", "DELIVERED", XLOOKUP(B1692, 'Kit Delivery Status'!$U:$U, 'Kit Delivery Status'!$K:$K) = "Issue", "ISSUE"), "")</f>
        <v/>
      </c>
      <c r="AM1692" s="6"/>
    </row>
    <row r="1693">
      <c r="A1693" s="5" t="s">
        <v>8546</v>
      </c>
      <c r="B1693" s="1" t="s">
        <v>8547</v>
      </c>
      <c r="C1693" s="1" t="s">
        <v>8548</v>
      </c>
      <c r="D1693" s="2">
        <v>3.142037289E9</v>
      </c>
      <c r="E1693" s="1" t="s">
        <v>8549</v>
      </c>
      <c r="F1693" s="1"/>
      <c r="G1693" s="1" t="s">
        <v>2350</v>
      </c>
      <c r="H1693" s="1" t="s">
        <v>1155</v>
      </c>
      <c r="I1693" s="1">
        <v>63105.0</v>
      </c>
      <c r="J1693" s="1" t="s">
        <v>752</v>
      </c>
      <c r="K1693" s="1" t="s">
        <v>42</v>
      </c>
      <c r="L1693" s="1" t="s">
        <v>7863</v>
      </c>
      <c r="M1693" s="1">
        <v>79.0</v>
      </c>
      <c r="N1693" s="1" t="s">
        <v>1152</v>
      </c>
      <c r="O1693" s="3" t="s">
        <v>8550</v>
      </c>
      <c r="P1693" s="1" t="s">
        <v>1152</v>
      </c>
      <c r="Q1693" s="1" t="s">
        <v>1152</v>
      </c>
      <c r="R1693" s="1"/>
      <c r="S1693" s="1"/>
      <c r="T1693" s="1" t="s">
        <v>1152</v>
      </c>
      <c r="U1693" s="1" t="s">
        <v>1277</v>
      </c>
      <c r="V1693" s="4" t="s">
        <v>8550</v>
      </c>
      <c r="W1693" s="1"/>
      <c r="X1693" s="1" t="s">
        <v>1152</v>
      </c>
      <c r="Y1693" s="1" t="s">
        <v>1152</v>
      </c>
      <c r="Z1693" s="1"/>
      <c r="AA1693" s="1"/>
      <c r="AB1693" s="1"/>
      <c r="AC1693" s="1" t="s">
        <v>1925</v>
      </c>
      <c r="AD1693" s="1"/>
      <c r="AE1693" s="18">
        <v>46150.0</v>
      </c>
      <c r="AF1693" s="1" t="s">
        <v>1455</v>
      </c>
      <c r="AG1693" s="1" t="s">
        <v>52</v>
      </c>
      <c r="AH1693" s="1" t="s">
        <v>1152</v>
      </c>
      <c r="AI1693" s="1"/>
      <c r="AJ1693" s="1" t="s">
        <v>8549</v>
      </c>
      <c r="AK1693" s="1" t="s">
        <v>1152</v>
      </c>
      <c r="AL1693" s="6" t="str">
        <f t="array" ref="AL1693">IFERROR(IFS(XLOOKUP(B1693, 'Kit Delivery Status'!$U:$U, 'Kit Delivery Status'!$K:$K) = "Complete", "DELIVERED", XLOOKUP(B1693, 'Kit Delivery Status'!$U:$U, 'Kit Delivery Status'!$K:$K) = "Issue", "ISSUE"), "")</f>
        <v/>
      </c>
      <c r="AM1693" s="6"/>
    </row>
    <row r="1694">
      <c r="A1694" s="5" t="s">
        <v>8551</v>
      </c>
      <c r="B1694" s="1" t="s">
        <v>8552</v>
      </c>
      <c r="C1694" s="1" t="s">
        <v>942</v>
      </c>
      <c r="D1694" s="2">
        <v>4.703647022E9</v>
      </c>
      <c r="E1694" s="1" t="s">
        <v>943</v>
      </c>
      <c r="F1694" s="1"/>
      <c r="G1694" s="1" t="s">
        <v>945</v>
      </c>
      <c r="H1694" s="1" t="s">
        <v>946</v>
      </c>
      <c r="I1694" s="1">
        <v>30097.0</v>
      </c>
      <c r="J1694" s="1" t="s">
        <v>752</v>
      </c>
      <c r="K1694" s="1" t="s">
        <v>42</v>
      </c>
      <c r="L1694" s="1" t="s">
        <v>6819</v>
      </c>
      <c r="M1694" s="1">
        <v>49.0</v>
      </c>
      <c r="N1694" s="1" t="s">
        <v>1152</v>
      </c>
      <c r="O1694" s="3" t="s">
        <v>947</v>
      </c>
      <c r="P1694" s="1" t="s">
        <v>1152</v>
      </c>
      <c r="Q1694" s="1" t="s">
        <v>1152</v>
      </c>
      <c r="R1694" s="1"/>
      <c r="S1694" s="1"/>
      <c r="T1694" s="1" t="s">
        <v>1152</v>
      </c>
      <c r="U1694" s="1" t="s">
        <v>948</v>
      </c>
      <c r="V1694" s="4" t="s">
        <v>947</v>
      </c>
      <c r="W1694" s="1"/>
      <c r="X1694" s="1" t="s">
        <v>1152</v>
      </c>
      <c r="Y1694" s="1" t="s">
        <v>1152</v>
      </c>
      <c r="Z1694" s="1"/>
      <c r="AA1694" s="1"/>
      <c r="AB1694" s="1"/>
      <c r="AC1694" s="1" t="s">
        <v>1925</v>
      </c>
      <c r="AD1694" s="1"/>
      <c r="AE1694" s="18">
        <v>46149.0</v>
      </c>
      <c r="AF1694" s="1" t="s">
        <v>1103</v>
      </c>
      <c r="AG1694" s="1" t="s">
        <v>52</v>
      </c>
      <c r="AH1694" s="1" t="s">
        <v>1152</v>
      </c>
      <c r="AI1694" s="1"/>
      <c r="AJ1694" s="1" t="s">
        <v>943</v>
      </c>
      <c r="AK1694" s="1" t="s">
        <v>1152</v>
      </c>
      <c r="AL1694" s="6" t="str">
        <f t="array" ref="AL1694">IFERROR(IFS(XLOOKUP(B1694, 'Kit Delivery Status'!$U:$U, 'Kit Delivery Status'!$K:$K) = "Complete", "DELIVERED", XLOOKUP(B1694, 'Kit Delivery Status'!$U:$U, 'Kit Delivery Status'!$K:$K) = "Issue", "ISSUE"), "")</f>
        <v/>
      </c>
      <c r="AM1694" s="6"/>
    </row>
    <row r="1695">
      <c r="A1695" s="5" t="s">
        <v>8553</v>
      </c>
      <c r="B1695" s="1" t="s">
        <v>8554</v>
      </c>
      <c r="C1695" s="1" t="s">
        <v>8555</v>
      </c>
      <c r="D1695" s="2">
        <v>9.17626254E9</v>
      </c>
      <c r="E1695" s="1" t="s">
        <v>1798</v>
      </c>
      <c r="F1695" s="1"/>
      <c r="G1695" s="1" t="s">
        <v>3084</v>
      </c>
      <c r="H1695" s="1" t="s">
        <v>1053</v>
      </c>
      <c r="I1695" s="1" t="s">
        <v>8556</v>
      </c>
      <c r="J1695" s="1" t="s">
        <v>752</v>
      </c>
      <c r="K1695" s="1" t="s">
        <v>42</v>
      </c>
      <c r="L1695" s="1" t="s">
        <v>6819</v>
      </c>
      <c r="M1695" s="1">
        <v>49.0</v>
      </c>
      <c r="N1695" s="1" t="s">
        <v>1152</v>
      </c>
      <c r="O1695" s="3" t="s">
        <v>1800</v>
      </c>
      <c r="P1695" s="1" t="s">
        <v>1152</v>
      </c>
      <c r="Q1695" s="1" t="s">
        <v>1152</v>
      </c>
      <c r="R1695" s="1"/>
      <c r="S1695" s="1"/>
      <c r="T1695" s="1" t="s">
        <v>1152</v>
      </c>
      <c r="U1695" s="1" t="s">
        <v>1249</v>
      </c>
      <c r="V1695" s="4" t="s">
        <v>1800</v>
      </c>
      <c r="W1695" s="1"/>
      <c r="X1695" s="1" t="s">
        <v>1152</v>
      </c>
      <c r="Y1695" s="1" t="s">
        <v>1152</v>
      </c>
      <c r="Z1695" s="1"/>
      <c r="AA1695" s="1"/>
      <c r="AB1695" s="1"/>
      <c r="AC1695" s="1" t="s">
        <v>1925</v>
      </c>
      <c r="AD1695" s="1"/>
      <c r="AE1695" s="18">
        <v>46148.0</v>
      </c>
      <c r="AF1695" s="1" t="s">
        <v>1440</v>
      </c>
      <c r="AG1695" s="1" t="s">
        <v>52</v>
      </c>
      <c r="AH1695" s="1" t="s">
        <v>1152</v>
      </c>
      <c r="AI1695" s="1"/>
      <c r="AJ1695" s="1" t="s">
        <v>8557</v>
      </c>
      <c r="AK1695" s="1" t="s">
        <v>1152</v>
      </c>
      <c r="AL1695" s="6" t="str">
        <f t="array" ref="AL1695">IFERROR(IFS(XLOOKUP(B1695, 'Kit Delivery Status'!$U:$U, 'Kit Delivery Status'!$K:$K) = "Complete", "DELIVERED", XLOOKUP(B1695, 'Kit Delivery Status'!$U:$U, 'Kit Delivery Status'!$K:$K) = "Issue", "ISSUE"), "")</f>
        <v/>
      </c>
      <c r="AM1695" s="6"/>
    </row>
    <row r="1696">
      <c r="A1696" s="5" t="s">
        <v>8558</v>
      </c>
      <c r="B1696" s="1" t="s">
        <v>8559</v>
      </c>
      <c r="C1696" s="1" t="s">
        <v>8560</v>
      </c>
      <c r="D1696" s="2">
        <v>4.074062737E9</v>
      </c>
      <c r="E1696" s="1" t="s">
        <v>8561</v>
      </c>
      <c r="F1696" s="1"/>
      <c r="G1696" s="1" t="s">
        <v>8562</v>
      </c>
      <c r="H1696" s="1" t="s">
        <v>1208</v>
      </c>
      <c r="I1696" s="1">
        <v>34746.0</v>
      </c>
      <c r="J1696" s="1" t="s">
        <v>752</v>
      </c>
      <c r="K1696" s="1" t="s">
        <v>42</v>
      </c>
      <c r="L1696" s="1" t="s">
        <v>7863</v>
      </c>
      <c r="M1696" s="1">
        <v>79.0</v>
      </c>
      <c r="N1696" s="1" t="s">
        <v>1152</v>
      </c>
      <c r="O1696" s="3" t="s">
        <v>8563</v>
      </c>
      <c r="P1696" s="1" t="s">
        <v>1152</v>
      </c>
      <c r="Q1696" s="1" t="s">
        <v>1152</v>
      </c>
      <c r="R1696" s="1"/>
      <c r="S1696" s="1"/>
      <c r="T1696" s="1" t="s">
        <v>1152</v>
      </c>
      <c r="U1696" s="1" t="s">
        <v>1749</v>
      </c>
      <c r="V1696" s="4" t="s">
        <v>8563</v>
      </c>
      <c r="W1696" s="1"/>
      <c r="X1696" s="1" t="s">
        <v>1152</v>
      </c>
      <c r="Y1696" s="1" t="s">
        <v>1152</v>
      </c>
      <c r="Z1696" s="1"/>
      <c r="AA1696" s="1"/>
      <c r="AB1696" s="1"/>
      <c r="AC1696" s="1" t="s">
        <v>1925</v>
      </c>
      <c r="AD1696" s="1"/>
      <c r="AE1696" s="18">
        <v>46148.0</v>
      </c>
      <c r="AF1696" s="1" t="s">
        <v>1030</v>
      </c>
      <c r="AG1696" s="1" t="s">
        <v>52</v>
      </c>
      <c r="AH1696" s="1" t="s">
        <v>1152</v>
      </c>
      <c r="AI1696" s="1"/>
      <c r="AJ1696" s="1" t="s">
        <v>8564</v>
      </c>
      <c r="AK1696" s="1" t="s">
        <v>1152</v>
      </c>
      <c r="AL1696" s="6" t="str">
        <f t="array" ref="AL1696">IFERROR(IFS(XLOOKUP(B1696, 'Kit Delivery Status'!$U:$U, 'Kit Delivery Status'!$K:$K) = "Complete", "DELIVERED", XLOOKUP(B1696, 'Kit Delivery Status'!$U:$U, 'Kit Delivery Status'!$K:$K) = "Issue", "ISSUE"), "")</f>
        <v/>
      </c>
      <c r="AM1696" s="6"/>
    </row>
    <row r="1697">
      <c r="A1697" s="5" t="s">
        <v>8565</v>
      </c>
      <c r="B1697" s="1" t="s">
        <v>8566</v>
      </c>
      <c r="C1697" s="1" t="s">
        <v>8567</v>
      </c>
      <c r="D1697" s="2">
        <v>1.8611807888E10</v>
      </c>
      <c r="E1697" s="1" t="s">
        <v>8568</v>
      </c>
      <c r="F1697" s="1"/>
      <c r="G1697" s="1" t="s">
        <v>5552</v>
      </c>
      <c r="H1697" s="1" t="s">
        <v>5552</v>
      </c>
      <c r="I1697" s="1">
        <v>100025.0</v>
      </c>
      <c r="J1697" s="1" t="s">
        <v>5553</v>
      </c>
      <c r="K1697" s="1" t="s">
        <v>42</v>
      </c>
      <c r="L1697" s="1" t="s">
        <v>6819</v>
      </c>
      <c r="M1697" s="1">
        <v>49.0</v>
      </c>
      <c r="N1697" s="1" t="s">
        <v>1152</v>
      </c>
      <c r="O1697" s="3" t="s">
        <v>4406</v>
      </c>
      <c r="P1697" s="1" t="s">
        <v>1152</v>
      </c>
      <c r="Q1697" s="1" t="s">
        <v>1152</v>
      </c>
      <c r="R1697" s="1"/>
      <c r="S1697" s="1"/>
      <c r="T1697" s="1" t="s">
        <v>1152</v>
      </c>
      <c r="U1697" s="1" t="s">
        <v>1487</v>
      </c>
      <c r="V1697" s="4" t="s">
        <v>4406</v>
      </c>
      <c r="W1697" s="1"/>
      <c r="X1697" s="1" t="s">
        <v>1152</v>
      </c>
      <c r="Y1697" s="1" t="s">
        <v>1152</v>
      </c>
      <c r="Z1697" s="1"/>
      <c r="AA1697" s="1"/>
      <c r="AB1697" s="1"/>
      <c r="AC1697" s="1" t="s">
        <v>1925</v>
      </c>
      <c r="AD1697" s="1"/>
      <c r="AE1697" s="18">
        <v>46149.0</v>
      </c>
      <c r="AF1697" s="1" t="s">
        <v>1030</v>
      </c>
      <c r="AG1697" s="1" t="s">
        <v>52</v>
      </c>
      <c r="AH1697" s="1" t="s">
        <v>1152</v>
      </c>
      <c r="AI1697" s="1"/>
      <c r="AJ1697" s="1" t="s">
        <v>8569</v>
      </c>
      <c r="AK1697" s="1" t="s">
        <v>1152</v>
      </c>
      <c r="AL1697" s="6" t="str">
        <f t="array" ref="AL1697">IFERROR(IFS(XLOOKUP(B1697, 'Kit Delivery Status'!$U:$U, 'Kit Delivery Status'!$K:$K) = "Complete", "DELIVERED", XLOOKUP(B1697, 'Kit Delivery Status'!$U:$U, 'Kit Delivery Status'!$K:$K) = "Issue", "ISSUE"), "")</f>
        <v/>
      </c>
      <c r="AM1697" s="6"/>
    </row>
    <row r="1698">
      <c r="A1698" s="5" t="s">
        <v>8570</v>
      </c>
      <c r="B1698" s="1" t="s">
        <v>8571</v>
      </c>
      <c r="C1698" s="1" t="s">
        <v>6047</v>
      </c>
      <c r="D1698" s="2">
        <v>3.147174118E9</v>
      </c>
      <c r="E1698" s="1" t="s">
        <v>6054</v>
      </c>
      <c r="F1698" s="1"/>
      <c r="G1698" s="1" t="s">
        <v>1283</v>
      </c>
      <c r="H1698" s="1" t="s">
        <v>1155</v>
      </c>
      <c r="I1698" s="1">
        <v>63105.0</v>
      </c>
      <c r="J1698" s="1" t="s">
        <v>752</v>
      </c>
      <c r="K1698" s="1" t="s">
        <v>42</v>
      </c>
      <c r="L1698" s="1" t="s">
        <v>7863</v>
      </c>
      <c r="M1698" s="1">
        <v>79.0</v>
      </c>
      <c r="N1698" s="1" t="s">
        <v>1152</v>
      </c>
      <c r="O1698" s="3" t="s">
        <v>6051</v>
      </c>
      <c r="P1698" s="1" t="s">
        <v>1152</v>
      </c>
      <c r="Q1698" s="1" t="s">
        <v>1152</v>
      </c>
      <c r="R1698" s="1"/>
      <c r="S1698" s="1"/>
      <c r="T1698" s="1" t="s">
        <v>1152</v>
      </c>
      <c r="U1698" s="1" t="s">
        <v>6053</v>
      </c>
      <c r="V1698" s="4" t="s">
        <v>6051</v>
      </c>
      <c r="W1698" s="1"/>
      <c r="X1698" s="1" t="s">
        <v>1152</v>
      </c>
      <c r="Y1698" s="1" t="s">
        <v>1152</v>
      </c>
      <c r="Z1698" s="1"/>
      <c r="AA1698" s="1"/>
      <c r="AB1698" s="1"/>
      <c r="AC1698" s="1" t="s">
        <v>1925</v>
      </c>
      <c r="AD1698" s="1"/>
      <c r="AE1698" s="18">
        <v>46148.0</v>
      </c>
      <c r="AF1698" s="1" t="s">
        <v>1103</v>
      </c>
      <c r="AG1698" s="1" t="s">
        <v>52</v>
      </c>
      <c r="AH1698" s="1" t="s">
        <v>1152</v>
      </c>
      <c r="AI1698" s="1"/>
      <c r="AJ1698" s="1" t="s">
        <v>6054</v>
      </c>
      <c r="AK1698" s="1" t="s">
        <v>1152</v>
      </c>
      <c r="AL1698" s="6" t="str">
        <f t="array" ref="AL1698">IFERROR(IFS(XLOOKUP(B1698, 'Kit Delivery Status'!$U:$U, 'Kit Delivery Status'!$K:$K) = "Complete", "DELIVERED", XLOOKUP(B1698, 'Kit Delivery Status'!$U:$U, 'Kit Delivery Status'!$K:$K) = "Issue", "ISSUE"), "")</f>
        <v/>
      </c>
      <c r="AM1698" s="6"/>
    </row>
    <row r="1699">
      <c r="A1699" s="5" t="s">
        <v>8572</v>
      </c>
      <c r="B1699" s="1" t="s">
        <v>8573</v>
      </c>
      <c r="C1699" s="1" t="s">
        <v>8574</v>
      </c>
      <c r="D1699" s="2"/>
      <c r="E1699" s="1" t="s">
        <v>8575</v>
      </c>
      <c r="F1699" s="1"/>
      <c r="G1699" s="1" t="s">
        <v>5877</v>
      </c>
      <c r="H1699" s="1" t="s">
        <v>1053</v>
      </c>
      <c r="I1699" s="1">
        <v>7666.0</v>
      </c>
      <c r="J1699" s="1" t="s">
        <v>752</v>
      </c>
      <c r="K1699" s="1" t="s">
        <v>42</v>
      </c>
      <c r="L1699" s="1" t="s">
        <v>6819</v>
      </c>
      <c r="M1699" s="1">
        <v>49.0</v>
      </c>
      <c r="N1699" s="1" t="s">
        <v>1152</v>
      </c>
      <c r="O1699" s="3" t="s">
        <v>422</v>
      </c>
      <c r="P1699" s="1" t="s">
        <v>1152</v>
      </c>
      <c r="Q1699" s="1" t="s">
        <v>1152</v>
      </c>
      <c r="R1699" s="1"/>
      <c r="S1699" s="1"/>
      <c r="T1699" s="1" t="s">
        <v>1152</v>
      </c>
      <c r="U1699" s="1" t="s">
        <v>1148</v>
      </c>
      <c r="V1699" s="4" t="s">
        <v>422</v>
      </c>
      <c r="W1699" s="1"/>
      <c r="X1699" s="1" t="s">
        <v>1152</v>
      </c>
      <c r="Y1699" s="1" t="s">
        <v>1152</v>
      </c>
      <c r="Z1699" s="1"/>
      <c r="AA1699" s="1"/>
      <c r="AB1699" s="1"/>
      <c r="AC1699" s="1" t="s">
        <v>1925</v>
      </c>
      <c r="AD1699" s="1"/>
      <c r="AE1699" s="18">
        <v>46143.0</v>
      </c>
      <c r="AF1699" s="1" t="s">
        <v>1630</v>
      </c>
      <c r="AG1699" s="1" t="s">
        <v>52</v>
      </c>
      <c r="AH1699" s="1" t="s">
        <v>1152</v>
      </c>
      <c r="AI1699" s="1"/>
      <c r="AJ1699" s="1" t="s">
        <v>479</v>
      </c>
      <c r="AK1699" s="1" t="s">
        <v>1152</v>
      </c>
      <c r="AL1699" s="6" t="str">
        <f t="array" ref="AL1699">IFERROR(IFS(XLOOKUP(B1699, 'Kit Delivery Status'!$U:$U, 'Kit Delivery Status'!$K:$K) = "Complete", "DELIVERED", XLOOKUP(B1699, 'Kit Delivery Status'!$U:$U, 'Kit Delivery Status'!$K:$K) = "Issue", "ISSUE"), "")</f>
        <v/>
      </c>
      <c r="AM1699" s="6"/>
    </row>
    <row r="1700">
      <c r="A1700" s="5" t="s">
        <v>8576</v>
      </c>
      <c r="B1700" s="1" t="s">
        <v>8577</v>
      </c>
      <c r="C1700" s="1" t="s">
        <v>8578</v>
      </c>
      <c r="D1700" s="2"/>
      <c r="E1700" s="1" t="s">
        <v>8579</v>
      </c>
      <c r="F1700" s="1"/>
      <c r="G1700" s="1" t="s">
        <v>2350</v>
      </c>
      <c r="H1700" s="1" t="s">
        <v>1155</v>
      </c>
      <c r="I1700" s="1">
        <v>63105.0</v>
      </c>
      <c r="J1700" s="1" t="s">
        <v>752</v>
      </c>
      <c r="K1700" s="1" t="s">
        <v>42</v>
      </c>
      <c r="L1700" s="1" t="s">
        <v>6819</v>
      </c>
      <c r="M1700" s="1">
        <v>49.0</v>
      </c>
      <c r="N1700" s="1" t="s">
        <v>1152</v>
      </c>
      <c r="O1700" s="3" t="s">
        <v>2521</v>
      </c>
      <c r="P1700" s="1" t="s">
        <v>1152</v>
      </c>
      <c r="Q1700" s="1" t="s">
        <v>1152</v>
      </c>
      <c r="R1700" s="1"/>
      <c r="S1700" s="1"/>
      <c r="T1700" s="1" t="s">
        <v>1152</v>
      </c>
      <c r="U1700" s="1" t="s">
        <v>1407</v>
      </c>
      <c r="V1700" s="4" t="s">
        <v>2521</v>
      </c>
      <c r="W1700" s="1"/>
      <c r="X1700" s="1" t="s">
        <v>1152</v>
      </c>
      <c r="Y1700" s="1" t="s">
        <v>1152</v>
      </c>
      <c r="Z1700" s="1"/>
      <c r="AA1700" s="1"/>
      <c r="AB1700" s="1"/>
      <c r="AC1700" s="1" t="s">
        <v>1925</v>
      </c>
      <c r="AD1700" s="1"/>
      <c r="AE1700" s="18">
        <v>46144.0</v>
      </c>
      <c r="AF1700" s="1" t="s">
        <v>1349</v>
      </c>
      <c r="AG1700" s="1" t="s">
        <v>52</v>
      </c>
      <c r="AH1700" s="1" t="s">
        <v>1152</v>
      </c>
      <c r="AI1700" s="1"/>
      <c r="AJ1700" s="1" t="s">
        <v>8580</v>
      </c>
      <c r="AK1700" s="1" t="s">
        <v>1152</v>
      </c>
      <c r="AL1700" s="6" t="str">
        <f t="array" ref="AL1700">IFERROR(IFS(XLOOKUP(B1700, 'Kit Delivery Status'!$U:$U, 'Kit Delivery Status'!$K:$K) = "Complete", "DELIVERED", XLOOKUP(B1700, 'Kit Delivery Status'!$U:$U, 'Kit Delivery Status'!$K:$K) = "Issue", "ISSUE"), "")</f>
        <v/>
      </c>
      <c r="AM1700" s="6"/>
    </row>
    <row r="1701">
      <c r="A1701" s="5" t="s">
        <v>8581</v>
      </c>
      <c r="B1701" s="1" t="s">
        <v>8582</v>
      </c>
      <c r="C1701" s="1" t="s">
        <v>8583</v>
      </c>
      <c r="D1701" s="2">
        <v>9.176694873E9</v>
      </c>
      <c r="E1701" s="1" t="s">
        <v>8584</v>
      </c>
      <c r="F1701" s="1"/>
      <c r="G1701" s="1" t="s">
        <v>2355</v>
      </c>
      <c r="H1701" s="1" t="s">
        <v>2242</v>
      </c>
      <c r="I1701" s="1">
        <v>47401.0</v>
      </c>
      <c r="J1701" s="1" t="s">
        <v>752</v>
      </c>
      <c r="K1701" s="1" t="s">
        <v>42</v>
      </c>
      <c r="L1701" s="1" t="s">
        <v>6819</v>
      </c>
      <c r="M1701" s="1">
        <v>49.0</v>
      </c>
      <c r="N1701" s="1" t="s">
        <v>1152</v>
      </c>
      <c r="O1701" s="3" t="s">
        <v>792</v>
      </c>
      <c r="P1701" s="1" t="s">
        <v>1152</v>
      </c>
      <c r="Q1701" s="1" t="s">
        <v>1152</v>
      </c>
      <c r="R1701" s="1"/>
      <c r="S1701" s="1"/>
      <c r="T1701" s="1" t="s">
        <v>1152</v>
      </c>
      <c r="U1701" s="1" t="s">
        <v>1021</v>
      </c>
      <c r="V1701" s="4" t="s">
        <v>792</v>
      </c>
      <c r="W1701" s="1"/>
      <c r="X1701" s="1" t="s">
        <v>1152</v>
      </c>
      <c r="Y1701" s="1" t="s">
        <v>1152</v>
      </c>
      <c r="Z1701" s="1"/>
      <c r="AA1701" s="1"/>
      <c r="AB1701" s="1"/>
      <c r="AC1701" s="1" t="s">
        <v>1925</v>
      </c>
      <c r="AD1701" s="1"/>
      <c r="AE1701" s="18">
        <v>46146.0</v>
      </c>
      <c r="AF1701" s="1" t="s">
        <v>1030</v>
      </c>
      <c r="AG1701" s="1" t="s">
        <v>52</v>
      </c>
      <c r="AH1701" s="1" t="s">
        <v>1152</v>
      </c>
      <c r="AI1701" s="1"/>
      <c r="AJ1701" s="1" t="s">
        <v>8585</v>
      </c>
      <c r="AK1701" s="1" t="s">
        <v>1152</v>
      </c>
      <c r="AL1701" s="6" t="str">
        <f t="array" ref="AL1701">IFERROR(IFS(XLOOKUP(B1701, 'Kit Delivery Status'!$U:$U, 'Kit Delivery Status'!$K:$K) = "Complete", "DELIVERED", XLOOKUP(B1701, 'Kit Delivery Status'!$U:$U, 'Kit Delivery Status'!$K:$K) = "Issue", "ISSUE"), "")</f>
        <v/>
      </c>
      <c r="AM1701" s="6"/>
    </row>
    <row r="1702">
      <c r="A1702" s="5" t="s">
        <v>8586</v>
      </c>
      <c r="B1702" s="1" t="s">
        <v>8587</v>
      </c>
      <c r="C1702" s="1" t="s">
        <v>493</v>
      </c>
      <c r="D1702" s="2">
        <v>9.176129737E9</v>
      </c>
      <c r="E1702" s="1" t="s">
        <v>495</v>
      </c>
      <c r="F1702" s="1"/>
      <c r="G1702" s="1" t="s">
        <v>7137</v>
      </c>
      <c r="H1702" s="1" t="s">
        <v>751</v>
      </c>
      <c r="I1702" s="1">
        <v>10580.0</v>
      </c>
      <c r="J1702" s="1" t="s">
        <v>752</v>
      </c>
      <c r="K1702" s="1" t="s">
        <v>42</v>
      </c>
      <c r="L1702" s="1" t="s">
        <v>6819</v>
      </c>
      <c r="M1702" s="1">
        <v>49.0</v>
      </c>
      <c r="N1702" s="1" t="s">
        <v>1152</v>
      </c>
      <c r="O1702" s="3" t="s">
        <v>497</v>
      </c>
      <c r="P1702" s="1" t="s">
        <v>1152</v>
      </c>
      <c r="Q1702" s="1" t="s">
        <v>1152</v>
      </c>
      <c r="R1702" s="1"/>
      <c r="S1702" s="1"/>
      <c r="T1702" s="1" t="s">
        <v>1152</v>
      </c>
      <c r="U1702" s="1" t="s">
        <v>1080</v>
      </c>
      <c r="V1702" s="4" t="s">
        <v>497</v>
      </c>
      <c r="W1702" s="1"/>
      <c r="X1702" s="1" t="s">
        <v>1152</v>
      </c>
      <c r="Y1702" s="1" t="s">
        <v>1152</v>
      </c>
      <c r="Z1702" s="1"/>
      <c r="AA1702" s="1"/>
      <c r="AB1702" s="1"/>
      <c r="AC1702" s="1" t="s">
        <v>1925</v>
      </c>
      <c r="AD1702" s="1"/>
      <c r="AE1702" s="18">
        <v>46148.0</v>
      </c>
      <c r="AF1702" s="1" t="s">
        <v>1349</v>
      </c>
      <c r="AG1702" s="1" t="s">
        <v>52</v>
      </c>
      <c r="AH1702" s="1" t="s">
        <v>1152</v>
      </c>
      <c r="AI1702" s="1"/>
      <c r="AJ1702" s="1" t="s">
        <v>8588</v>
      </c>
      <c r="AK1702" s="1" t="s">
        <v>1152</v>
      </c>
      <c r="AL1702" s="6" t="str">
        <f t="array" ref="AL1702">IFERROR(IFS(XLOOKUP(B1702, 'Kit Delivery Status'!$U:$U, 'Kit Delivery Status'!$K:$K) = "Complete", "DELIVERED", XLOOKUP(B1702, 'Kit Delivery Status'!$U:$U, 'Kit Delivery Status'!$K:$K) = "Issue", "ISSUE"), "")</f>
        <v/>
      </c>
      <c r="AM1702" s="6"/>
    </row>
    <row r="1703">
      <c r="A1703" s="5" t="s">
        <v>8589</v>
      </c>
      <c r="B1703" s="1" t="s">
        <v>8590</v>
      </c>
      <c r="C1703" s="1" t="s">
        <v>1163</v>
      </c>
      <c r="D1703" s="2">
        <v>3.02233479E9</v>
      </c>
      <c r="E1703" s="1" t="s">
        <v>8591</v>
      </c>
      <c r="F1703" s="1"/>
      <c r="G1703" s="1" t="s">
        <v>1165</v>
      </c>
      <c r="H1703" s="1" t="s">
        <v>1038</v>
      </c>
      <c r="I1703" s="1">
        <v>22554.0</v>
      </c>
      <c r="J1703" s="1" t="s">
        <v>752</v>
      </c>
      <c r="K1703" s="1" t="s">
        <v>42</v>
      </c>
      <c r="L1703" s="1" t="s">
        <v>7863</v>
      </c>
      <c r="M1703" s="1">
        <v>79.0</v>
      </c>
      <c r="N1703" s="1" t="s">
        <v>1152</v>
      </c>
      <c r="O1703" s="3" t="s">
        <v>8592</v>
      </c>
      <c r="P1703" s="1" t="s">
        <v>1152</v>
      </c>
      <c r="Q1703" s="1" t="s">
        <v>1152</v>
      </c>
      <c r="R1703" s="1"/>
      <c r="S1703" s="1"/>
      <c r="T1703" s="1" t="s">
        <v>1152</v>
      </c>
      <c r="U1703" s="1" t="s">
        <v>1167</v>
      </c>
      <c r="V1703" s="4" t="s">
        <v>8592</v>
      </c>
      <c r="W1703" s="1"/>
      <c r="X1703" s="1" t="s">
        <v>1152</v>
      </c>
      <c r="Y1703" s="1" t="s">
        <v>1152</v>
      </c>
      <c r="Z1703" s="1"/>
      <c r="AA1703" s="1"/>
      <c r="AB1703" s="1"/>
      <c r="AC1703" s="1" t="s">
        <v>1925</v>
      </c>
      <c r="AD1703" s="1"/>
      <c r="AE1703" s="18">
        <v>46149.0</v>
      </c>
      <c r="AF1703" s="1" t="s">
        <v>1030</v>
      </c>
      <c r="AG1703" s="1" t="s">
        <v>52</v>
      </c>
      <c r="AH1703" s="1" t="s">
        <v>1152</v>
      </c>
      <c r="AI1703" s="1"/>
      <c r="AJ1703" s="1" t="s">
        <v>8591</v>
      </c>
      <c r="AK1703" s="1" t="s">
        <v>1152</v>
      </c>
      <c r="AL1703" s="6" t="str">
        <f t="array" ref="AL1703">IFERROR(IFS(XLOOKUP(B1703, 'Kit Delivery Status'!$U:$U, 'Kit Delivery Status'!$K:$K) = "Complete", "DELIVERED", XLOOKUP(B1703, 'Kit Delivery Status'!$U:$U, 'Kit Delivery Status'!$K:$K) = "Issue", "ISSUE"), "")</f>
        <v/>
      </c>
      <c r="AM1703" s="6"/>
    </row>
    <row r="1704">
      <c r="A1704" s="5" t="s">
        <v>8593</v>
      </c>
      <c r="B1704" s="1" t="s">
        <v>8594</v>
      </c>
      <c r="C1704" s="1" t="s">
        <v>8595</v>
      </c>
      <c r="D1704" s="2">
        <v>8.173044296E9</v>
      </c>
      <c r="E1704" s="1" t="s">
        <v>8596</v>
      </c>
      <c r="F1704" s="1"/>
      <c r="G1704" s="1" t="s">
        <v>6208</v>
      </c>
      <c r="H1704" s="1" t="s">
        <v>1583</v>
      </c>
      <c r="I1704" s="1">
        <v>76120.0</v>
      </c>
      <c r="J1704" s="1" t="s">
        <v>752</v>
      </c>
      <c r="K1704" s="1" t="s">
        <v>42</v>
      </c>
      <c r="L1704" s="1" t="s">
        <v>6819</v>
      </c>
      <c r="M1704" s="1">
        <v>49.0</v>
      </c>
      <c r="N1704" s="1" t="s">
        <v>1152</v>
      </c>
      <c r="O1704" s="3" t="s">
        <v>8408</v>
      </c>
      <c r="P1704" s="1" t="s">
        <v>1152</v>
      </c>
      <c r="Q1704" s="1" t="s">
        <v>1152</v>
      </c>
      <c r="R1704" s="1"/>
      <c r="S1704" s="1"/>
      <c r="T1704" s="1" t="s">
        <v>1152</v>
      </c>
      <c r="U1704" s="1" t="s">
        <v>1794</v>
      </c>
      <c r="V1704" s="4" t="s">
        <v>8408</v>
      </c>
      <c r="W1704" s="1"/>
      <c r="X1704" s="1" t="s">
        <v>1152</v>
      </c>
      <c r="Y1704" s="1" t="s">
        <v>1152</v>
      </c>
      <c r="Z1704" s="1"/>
      <c r="AA1704" s="1"/>
      <c r="AB1704" s="1"/>
      <c r="AC1704" s="1" t="s">
        <v>1925</v>
      </c>
      <c r="AD1704" s="1"/>
      <c r="AE1704" s="18">
        <v>46148.0</v>
      </c>
      <c r="AF1704" s="1" t="s">
        <v>1030</v>
      </c>
      <c r="AG1704" s="1" t="s">
        <v>52</v>
      </c>
      <c r="AH1704" s="1" t="s">
        <v>1152</v>
      </c>
      <c r="AI1704" s="1"/>
      <c r="AJ1704" s="1" t="s">
        <v>8596</v>
      </c>
      <c r="AK1704" s="1" t="s">
        <v>1152</v>
      </c>
      <c r="AL1704" s="6" t="str">
        <f t="array" ref="AL1704">IFERROR(IFS(XLOOKUP(B1704, 'Kit Delivery Status'!$U:$U, 'Kit Delivery Status'!$K:$K) = "Complete", "DELIVERED", XLOOKUP(B1704, 'Kit Delivery Status'!$U:$U, 'Kit Delivery Status'!$K:$K) = "Issue", "ISSUE"), "")</f>
        <v/>
      </c>
      <c r="AM1704" s="6"/>
    </row>
    <row r="1705">
      <c r="A1705" s="5" t="s">
        <v>8597</v>
      </c>
      <c r="B1705" s="1" t="s">
        <v>8598</v>
      </c>
      <c r="C1705" s="1" t="s">
        <v>8599</v>
      </c>
      <c r="D1705" s="2">
        <v>3.146578093E9</v>
      </c>
      <c r="E1705" s="1" t="s">
        <v>8600</v>
      </c>
      <c r="F1705" s="1"/>
      <c r="G1705" s="1" t="s">
        <v>2857</v>
      </c>
      <c r="H1705" s="1" t="s">
        <v>1155</v>
      </c>
      <c r="I1705" s="1">
        <v>63105.0</v>
      </c>
      <c r="J1705" s="1" t="s">
        <v>752</v>
      </c>
      <c r="K1705" s="1" t="s">
        <v>42</v>
      </c>
      <c r="L1705" s="1" t="s">
        <v>6819</v>
      </c>
      <c r="M1705" s="1">
        <v>49.0</v>
      </c>
      <c r="N1705" s="1" t="s">
        <v>1152</v>
      </c>
      <c r="O1705" s="3" t="s">
        <v>8601</v>
      </c>
      <c r="P1705" s="1" t="s">
        <v>1152</v>
      </c>
      <c r="Q1705" s="1" t="s">
        <v>1152</v>
      </c>
      <c r="R1705" s="1"/>
      <c r="S1705" s="1"/>
      <c r="T1705" s="1" t="s">
        <v>1152</v>
      </c>
      <c r="U1705" s="1" t="s">
        <v>1249</v>
      </c>
      <c r="V1705" s="4" t="s">
        <v>8601</v>
      </c>
      <c r="W1705" s="1"/>
      <c r="X1705" s="1" t="s">
        <v>1152</v>
      </c>
      <c r="Y1705" s="1" t="s">
        <v>1152</v>
      </c>
      <c r="Z1705" s="1"/>
      <c r="AA1705" s="1"/>
      <c r="AB1705" s="1"/>
      <c r="AC1705" s="1" t="s">
        <v>1925</v>
      </c>
      <c r="AD1705" s="1"/>
      <c r="AE1705" s="18">
        <v>46146.0</v>
      </c>
      <c r="AF1705" s="1" t="s">
        <v>1349</v>
      </c>
      <c r="AG1705" s="1" t="s">
        <v>52</v>
      </c>
      <c r="AH1705" s="1" t="s">
        <v>1152</v>
      </c>
      <c r="AI1705" s="1"/>
      <c r="AJ1705" s="1" t="s">
        <v>8600</v>
      </c>
      <c r="AK1705" s="1" t="s">
        <v>1152</v>
      </c>
      <c r="AL1705" s="6" t="str">
        <f t="array" ref="AL1705">IFERROR(IFS(XLOOKUP(B1705, 'Kit Delivery Status'!$U:$U, 'Kit Delivery Status'!$K:$K) = "Complete", "DELIVERED", XLOOKUP(B1705, 'Kit Delivery Status'!$U:$U, 'Kit Delivery Status'!$K:$K) = "Issue", "ISSUE"), "")</f>
        <v/>
      </c>
      <c r="AM1705" s="6"/>
    </row>
    <row r="1706">
      <c r="A1706" s="5" t="s">
        <v>8602</v>
      </c>
      <c r="B1706" s="1" t="s">
        <v>8603</v>
      </c>
      <c r="C1706" s="1"/>
      <c r="D1706" s="2">
        <v>4.102586632E9</v>
      </c>
      <c r="E1706" s="1" t="s">
        <v>3785</v>
      </c>
      <c r="F1706" s="1"/>
      <c r="G1706" s="1" t="s">
        <v>8604</v>
      </c>
      <c r="H1706" s="1" t="s">
        <v>1005</v>
      </c>
      <c r="I1706" s="1">
        <v>21146.0</v>
      </c>
      <c r="J1706" s="1" t="s">
        <v>752</v>
      </c>
      <c r="K1706" s="1" t="s">
        <v>42</v>
      </c>
      <c r="L1706" s="1" t="s">
        <v>8393</v>
      </c>
      <c r="M1706" s="1">
        <v>109.0</v>
      </c>
      <c r="N1706" s="1" t="s">
        <v>1152</v>
      </c>
      <c r="O1706" s="3" t="s">
        <v>8605</v>
      </c>
      <c r="P1706" s="1" t="s">
        <v>1152</v>
      </c>
      <c r="Q1706" s="1" t="s">
        <v>1152</v>
      </c>
      <c r="R1706" s="1"/>
      <c r="S1706" s="1"/>
      <c r="T1706" s="1" t="s">
        <v>1152</v>
      </c>
      <c r="U1706" s="1" t="s">
        <v>1201</v>
      </c>
      <c r="V1706" s="4" t="s">
        <v>8605</v>
      </c>
      <c r="W1706" s="1"/>
      <c r="X1706" s="1" t="s">
        <v>1152</v>
      </c>
      <c r="Y1706" s="1" t="s">
        <v>1152</v>
      </c>
      <c r="Z1706" s="1"/>
      <c r="AA1706" s="1"/>
      <c r="AB1706" s="1"/>
      <c r="AC1706" s="1" t="s">
        <v>1925</v>
      </c>
      <c r="AD1706" s="1"/>
      <c r="AE1706" s="18">
        <v>46149.0</v>
      </c>
      <c r="AF1706" s="1" t="s">
        <v>1103</v>
      </c>
      <c r="AG1706" s="1" t="s">
        <v>52</v>
      </c>
      <c r="AH1706" s="1" t="s">
        <v>1152</v>
      </c>
      <c r="AI1706" s="1"/>
      <c r="AJ1706" s="1" t="s">
        <v>8606</v>
      </c>
      <c r="AK1706" s="1" t="s">
        <v>1152</v>
      </c>
      <c r="AL1706" s="6" t="str">
        <f t="array" ref="AL1706">IFERROR(IFS(XLOOKUP(B1706, 'Kit Delivery Status'!$U:$U, 'Kit Delivery Status'!$K:$K) = "Complete", "DELIVERED", XLOOKUP(B1706, 'Kit Delivery Status'!$U:$U, 'Kit Delivery Status'!$K:$K) = "Issue", "ISSUE"), "")</f>
        <v/>
      </c>
      <c r="AM1706" s="6"/>
    </row>
    <row r="1707">
      <c r="A1707" s="5" t="s">
        <v>8607</v>
      </c>
      <c r="B1707" s="1" t="s">
        <v>8608</v>
      </c>
      <c r="C1707" s="1" t="s">
        <v>164</v>
      </c>
      <c r="D1707" s="2">
        <v>3.12351071E9</v>
      </c>
      <c r="E1707" s="1" t="s">
        <v>166</v>
      </c>
      <c r="F1707" s="1"/>
      <c r="G1707" s="1" t="s">
        <v>1115</v>
      </c>
      <c r="H1707" s="1" t="s">
        <v>1019</v>
      </c>
      <c r="I1707" s="1">
        <v>60035.0</v>
      </c>
      <c r="J1707" s="1" t="s">
        <v>752</v>
      </c>
      <c r="K1707" s="1" t="s">
        <v>42</v>
      </c>
      <c r="L1707" s="1" t="s">
        <v>7863</v>
      </c>
      <c r="M1707" s="1">
        <v>79.0</v>
      </c>
      <c r="N1707" s="1" t="s">
        <v>1152</v>
      </c>
      <c r="O1707" s="3" t="s">
        <v>8609</v>
      </c>
      <c r="P1707" s="1" t="s">
        <v>1152</v>
      </c>
      <c r="Q1707" s="1" t="s">
        <v>1152</v>
      </c>
      <c r="R1707" s="1"/>
      <c r="S1707" s="1"/>
      <c r="T1707" s="1" t="s">
        <v>1152</v>
      </c>
      <c r="U1707" s="1" t="s">
        <v>1039</v>
      </c>
      <c r="V1707" s="4" t="s">
        <v>8609</v>
      </c>
      <c r="W1707" s="1"/>
      <c r="X1707" s="1" t="s">
        <v>1152</v>
      </c>
      <c r="Y1707" s="1" t="s">
        <v>1152</v>
      </c>
      <c r="Z1707" s="1"/>
      <c r="AA1707" s="1"/>
      <c r="AB1707" s="1"/>
      <c r="AC1707" s="1" t="s">
        <v>1925</v>
      </c>
      <c r="AD1707" s="1"/>
      <c r="AE1707" s="18">
        <v>46147.0</v>
      </c>
      <c r="AF1707" s="1" t="s">
        <v>1030</v>
      </c>
      <c r="AG1707" s="1" t="s">
        <v>52</v>
      </c>
      <c r="AH1707" s="1" t="s">
        <v>1152</v>
      </c>
      <c r="AI1707" s="1"/>
      <c r="AJ1707" s="1" t="s">
        <v>166</v>
      </c>
      <c r="AK1707" s="1" t="s">
        <v>1152</v>
      </c>
      <c r="AL1707" s="6" t="str">
        <f t="array" ref="AL1707">IFERROR(IFS(XLOOKUP(B1707, 'Kit Delivery Status'!$U:$U, 'Kit Delivery Status'!$K:$K) = "Complete", "DELIVERED", XLOOKUP(B1707, 'Kit Delivery Status'!$U:$U, 'Kit Delivery Status'!$K:$K) = "Issue", "ISSUE"), "")</f>
        <v/>
      </c>
      <c r="AM1707" s="6"/>
    </row>
    <row r="1708">
      <c r="A1708" s="5" t="s">
        <v>8610</v>
      </c>
      <c r="B1708" s="1" t="s">
        <v>8611</v>
      </c>
      <c r="C1708" s="1" t="s">
        <v>8612</v>
      </c>
      <c r="D1708" s="2">
        <v>9.094458382E9</v>
      </c>
      <c r="E1708" s="1" t="s">
        <v>4463</v>
      </c>
      <c r="F1708" s="1"/>
      <c r="G1708" s="1" t="s">
        <v>4464</v>
      </c>
      <c r="H1708" s="1" t="s">
        <v>989</v>
      </c>
      <c r="I1708" s="1">
        <v>91711.0</v>
      </c>
      <c r="J1708" s="1" t="s">
        <v>752</v>
      </c>
      <c r="K1708" s="1" t="s">
        <v>42</v>
      </c>
      <c r="L1708" s="1" t="s">
        <v>6819</v>
      </c>
      <c r="M1708" s="1">
        <v>49.0</v>
      </c>
      <c r="N1708" s="1" t="s">
        <v>1152</v>
      </c>
      <c r="O1708" s="3" t="s">
        <v>8613</v>
      </c>
      <c r="P1708" s="1" t="s">
        <v>1152</v>
      </c>
      <c r="Q1708" s="1" t="s">
        <v>1152</v>
      </c>
      <c r="R1708" s="1"/>
      <c r="S1708" s="1"/>
      <c r="T1708" s="1" t="s">
        <v>1152</v>
      </c>
      <c r="U1708" s="1" t="s">
        <v>1174</v>
      </c>
      <c r="V1708" s="4" t="s">
        <v>8613</v>
      </c>
      <c r="W1708" s="1"/>
      <c r="X1708" s="1" t="s">
        <v>1152</v>
      </c>
      <c r="Y1708" s="1" t="s">
        <v>1152</v>
      </c>
      <c r="Z1708" s="1"/>
      <c r="AA1708" s="1"/>
      <c r="AB1708" s="1"/>
      <c r="AC1708" s="1" t="s">
        <v>1925</v>
      </c>
      <c r="AD1708" s="1"/>
      <c r="AE1708" s="18">
        <v>46148.0</v>
      </c>
      <c r="AF1708" s="1" t="s">
        <v>1030</v>
      </c>
      <c r="AG1708" s="1" t="s">
        <v>52</v>
      </c>
      <c r="AH1708" s="1" t="s">
        <v>1152</v>
      </c>
      <c r="AI1708" s="1"/>
      <c r="AJ1708" s="1" t="s">
        <v>8614</v>
      </c>
      <c r="AK1708" s="1" t="s">
        <v>1152</v>
      </c>
      <c r="AL1708" s="6" t="str">
        <f t="array" ref="AL1708">IFERROR(IFS(XLOOKUP(B1708, 'Kit Delivery Status'!$U:$U, 'Kit Delivery Status'!$K:$K) = "Complete", "DELIVERED", XLOOKUP(B1708, 'Kit Delivery Status'!$U:$U, 'Kit Delivery Status'!$K:$K) = "Issue", "ISSUE"), "")</f>
        <v/>
      </c>
      <c r="AM1708" s="6"/>
    </row>
    <row r="1709">
      <c r="A1709" s="5" t="s">
        <v>8615</v>
      </c>
      <c r="B1709" s="1" t="s">
        <v>8616</v>
      </c>
      <c r="C1709" s="1" t="s">
        <v>8617</v>
      </c>
      <c r="D1709" s="2">
        <v>3.015125184E9</v>
      </c>
      <c r="E1709" s="1" t="s">
        <v>928</v>
      </c>
      <c r="F1709" s="1"/>
      <c r="G1709" s="1" t="s">
        <v>1299</v>
      </c>
      <c r="H1709" s="1" t="s">
        <v>1005</v>
      </c>
      <c r="I1709" s="1">
        <v>20817.0</v>
      </c>
      <c r="J1709" s="1" t="s">
        <v>752</v>
      </c>
      <c r="K1709" s="1" t="s">
        <v>42</v>
      </c>
      <c r="L1709" s="1" t="s">
        <v>7863</v>
      </c>
      <c r="M1709" s="1">
        <v>79.0</v>
      </c>
      <c r="N1709" s="1" t="s">
        <v>1152</v>
      </c>
      <c r="O1709" s="3" t="s">
        <v>287</v>
      </c>
      <c r="P1709" s="1" t="s">
        <v>1152</v>
      </c>
      <c r="Q1709" s="1" t="s">
        <v>1152</v>
      </c>
      <c r="R1709" s="1"/>
      <c r="S1709" s="1"/>
      <c r="T1709" s="1" t="s">
        <v>1152</v>
      </c>
      <c r="U1709" s="1" t="s">
        <v>1080</v>
      </c>
      <c r="V1709" s="4" t="s">
        <v>287</v>
      </c>
      <c r="W1709" s="1"/>
      <c r="X1709" s="1" t="s">
        <v>1152</v>
      </c>
      <c r="Y1709" s="1" t="s">
        <v>1152</v>
      </c>
      <c r="Z1709" s="1"/>
      <c r="AA1709" s="1"/>
      <c r="AB1709" s="1"/>
      <c r="AC1709" s="1" t="s">
        <v>1925</v>
      </c>
      <c r="AD1709" s="1"/>
      <c r="AE1709" s="18">
        <v>46147.0</v>
      </c>
      <c r="AF1709" s="1" t="s">
        <v>1349</v>
      </c>
      <c r="AG1709" s="1" t="s">
        <v>52</v>
      </c>
      <c r="AH1709" s="1" t="s">
        <v>1152</v>
      </c>
      <c r="AI1709" s="1"/>
      <c r="AJ1709" s="1" t="s">
        <v>928</v>
      </c>
      <c r="AK1709" s="1" t="s">
        <v>1152</v>
      </c>
      <c r="AL1709" s="6" t="str">
        <f t="array" ref="AL1709">IFERROR(IFS(XLOOKUP(B1709, 'Kit Delivery Status'!$U:$U, 'Kit Delivery Status'!$K:$K) = "Complete", "DELIVERED", XLOOKUP(B1709, 'Kit Delivery Status'!$U:$U, 'Kit Delivery Status'!$K:$K) = "Issue", "ISSUE"), "")</f>
        <v/>
      </c>
      <c r="AM1709" s="6"/>
    </row>
    <row r="1710">
      <c r="A1710" s="5" t="s">
        <v>8618</v>
      </c>
      <c r="B1710" s="1" t="s">
        <v>8619</v>
      </c>
      <c r="C1710" s="1" t="s">
        <v>8620</v>
      </c>
      <c r="D1710" s="2">
        <v>5.165546187E9</v>
      </c>
      <c r="E1710" s="1" t="s">
        <v>8621</v>
      </c>
      <c r="F1710" s="1"/>
      <c r="G1710" s="1" t="s">
        <v>1283</v>
      </c>
      <c r="H1710" s="1" t="s">
        <v>1155</v>
      </c>
      <c r="I1710" s="1">
        <v>63105.0</v>
      </c>
      <c r="J1710" s="1" t="s">
        <v>752</v>
      </c>
      <c r="K1710" s="1" t="s">
        <v>42</v>
      </c>
      <c r="L1710" s="1" t="s">
        <v>7863</v>
      </c>
      <c r="M1710" s="1">
        <v>79.0</v>
      </c>
      <c r="N1710" s="1" t="s">
        <v>1152</v>
      </c>
      <c r="O1710" s="3" t="s">
        <v>5438</v>
      </c>
      <c r="P1710" s="1" t="s">
        <v>1152</v>
      </c>
      <c r="Q1710" s="1" t="s">
        <v>1152</v>
      </c>
      <c r="R1710" s="1"/>
      <c r="S1710" s="1"/>
      <c r="T1710" s="1" t="s">
        <v>1152</v>
      </c>
      <c r="U1710" s="1" t="s">
        <v>1080</v>
      </c>
      <c r="V1710" s="4" t="s">
        <v>5438</v>
      </c>
      <c r="W1710" s="1"/>
      <c r="X1710" s="1" t="s">
        <v>1152</v>
      </c>
      <c r="Y1710" s="1" t="s">
        <v>1152</v>
      </c>
      <c r="Z1710" s="1"/>
      <c r="AA1710" s="1"/>
      <c r="AB1710" s="1"/>
      <c r="AC1710" s="1" t="s">
        <v>1925</v>
      </c>
      <c r="AD1710" s="1"/>
      <c r="AE1710" s="18">
        <v>46149.0</v>
      </c>
      <c r="AF1710" s="1" t="s">
        <v>1455</v>
      </c>
      <c r="AG1710" s="1" t="s">
        <v>52</v>
      </c>
      <c r="AH1710" s="1" t="s">
        <v>1152</v>
      </c>
      <c r="AI1710" s="1"/>
      <c r="AJ1710" s="1" t="s">
        <v>8621</v>
      </c>
      <c r="AK1710" s="1" t="s">
        <v>1152</v>
      </c>
      <c r="AL1710" s="6" t="str">
        <f t="array" ref="AL1710">IFERROR(IFS(XLOOKUP(B1710, 'Kit Delivery Status'!$U:$U, 'Kit Delivery Status'!$K:$K) = "Complete", "DELIVERED", XLOOKUP(B1710, 'Kit Delivery Status'!$U:$U, 'Kit Delivery Status'!$K:$K) = "Issue", "ISSUE"), "")</f>
        <v/>
      </c>
      <c r="AM1710" s="6"/>
    </row>
    <row r="1711">
      <c r="A1711" s="5" t="s">
        <v>8622</v>
      </c>
      <c r="B1711" s="1" t="s">
        <v>8623</v>
      </c>
      <c r="C1711" s="1" t="s">
        <v>8624</v>
      </c>
      <c r="D1711" s="2">
        <v>7.637424532E9</v>
      </c>
      <c r="E1711" s="1" t="s">
        <v>5251</v>
      </c>
      <c r="F1711" s="1"/>
      <c r="G1711" s="1" t="s">
        <v>5252</v>
      </c>
      <c r="H1711" s="1" t="s">
        <v>2999</v>
      </c>
      <c r="I1711" s="1">
        <v>55434.0</v>
      </c>
      <c r="J1711" s="1" t="s">
        <v>752</v>
      </c>
      <c r="K1711" s="1" t="s">
        <v>42</v>
      </c>
      <c r="L1711" s="1" t="s">
        <v>6819</v>
      </c>
      <c r="M1711" s="1">
        <v>49.0</v>
      </c>
      <c r="N1711" s="1" t="s">
        <v>1152</v>
      </c>
      <c r="O1711" s="3" t="s">
        <v>2869</v>
      </c>
      <c r="P1711" s="1" t="s">
        <v>1152</v>
      </c>
      <c r="Q1711" s="1" t="s">
        <v>1152</v>
      </c>
      <c r="R1711" s="1"/>
      <c r="S1711" s="1"/>
      <c r="T1711" s="1" t="s">
        <v>1152</v>
      </c>
      <c r="U1711" s="1" t="s">
        <v>1277</v>
      </c>
      <c r="V1711" s="4" t="s">
        <v>2869</v>
      </c>
      <c r="W1711" s="1"/>
      <c r="X1711" s="1" t="s">
        <v>1152</v>
      </c>
      <c r="Y1711" s="1" t="s">
        <v>1152</v>
      </c>
      <c r="Z1711" s="1"/>
      <c r="AA1711" s="1"/>
      <c r="AB1711" s="1"/>
      <c r="AC1711" s="1" t="s">
        <v>1925</v>
      </c>
      <c r="AD1711" s="1"/>
      <c r="AE1711" s="18">
        <v>46147.0</v>
      </c>
      <c r="AF1711" s="1" t="s">
        <v>1349</v>
      </c>
      <c r="AG1711" s="1" t="s">
        <v>52</v>
      </c>
      <c r="AH1711" s="1" t="s">
        <v>1152</v>
      </c>
      <c r="AI1711" s="1"/>
      <c r="AJ1711" s="1" t="s">
        <v>5251</v>
      </c>
      <c r="AK1711" s="1" t="s">
        <v>1152</v>
      </c>
      <c r="AL1711" s="6" t="str">
        <f t="array" ref="AL1711">IFERROR(IFS(XLOOKUP(B1711, 'Kit Delivery Status'!$U:$U, 'Kit Delivery Status'!$K:$K) = "Complete", "DELIVERED", XLOOKUP(B1711, 'Kit Delivery Status'!$U:$U, 'Kit Delivery Status'!$K:$K) = "Issue", "ISSUE"), "")</f>
        <v/>
      </c>
      <c r="AM1711" s="6"/>
    </row>
    <row r="1712">
      <c r="A1712" s="5" t="s">
        <v>8625</v>
      </c>
      <c r="B1712" s="1" t="s">
        <v>8626</v>
      </c>
      <c r="C1712" s="1" t="s">
        <v>8627</v>
      </c>
      <c r="D1712" s="2">
        <v>1.516612426E10</v>
      </c>
      <c r="E1712" s="1" t="s">
        <v>8628</v>
      </c>
      <c r="F1712" s="1"/>
      <c r="G1712" s="1" t="s">
        <v>1480</v>
      </c>
      <c r="H1712" s="1" t="s">
        <v>751</v>
      </c>
      <c r="I1712" s="1">
        <v>11557.0</v>
      </c>
      <c r="J1712" s="1" t="s">
        <v>752</v>
      </c>
      <c r="K1712" s="1" t="s">
        <v>42</v>
      </c>
      <c r="L1712" s="1" t="s">
        <v>6819</v>
      </c>
      <c r="M1712" s="1">
        <v>49.0</v>
      </c>
      <c r="N1712" s="1" t="s">
        <v>1152</v>
      </c>
      <c r="O1712" s="3" t="s">
        <v>293</v>
      </c>
      <c r="P1712" s="1" t="s">
        <v>1152</v>
      </c>
      <c r="Q1712" s="1" t="s">
        <v>1152</v>
      </c>
      <c r="R1712" s="1"/>
      <c r="S1712" s="1"/>
      <c r="T1712" s="1" t="s">
        <v>1152</v>
      </c>
      <c r="U1712" s="1" t="s">
        <v>1080</v>
      </c>
      <c r="V1712" s="4" t="s">
        <v>293</v>
      </c>
      <c r="W1712" s="1"/>
      <c r="X1712" s="1" t="s">
        <v>1152</v>
      </c>
      <c r="Y1712" s="1" t="s">
        <v>1152</v>
      </c>
      <c r="Z1712" s="1"/>
      <c r="AA1712" s="1"/>
      <c r="AB1712" s="1"/>
      <c r="AC1712" s="1" t="s">
        <v>1925</v>
      </c>
      <c r="AD1712" s="1"/>
      <c r="AE1712" s="18">
        <v>46147.0</v>
      </c>
      <c r="AF1712" s="1" t="s">
        <v>3186</v>
      </c>
      <c r="AG1712" s="1" t="s">
        <v>52</v>
      </c>
      <c r="AH1712" s="1" t="s">
        <v>1152</v>
      </c>
      <c r="AI1712" s="1"/>
      <c r="AJ1712" s="1" t="s">
        <v>1479</v>
      </c>
      <c r="AK1712" s="1" t="s">
        <v>1152</v>
      </c>
      <c r="AL1712" s="6" t="str">
        <f t="array" ref="AL1712">IFERROR(IFS(XLOOKUP(B1712, 'Kit Delivery Status'!$U:$U, 'Kit Delivery Status'!$K:$K) = "Complete", "DELIVERED", XLOOKUP(B1712, 'Kit Delivery Status'!$U:$U, 'Kit Delivery Status'!$K:$K) = "Issue", "ISSUE"), "")</f>
        <v/>
      </c>
      <c r="AM1712" s="6"/>
    </row>
    <row r="1713">
      <c r="A1713" s="5" t="s">
        <v>8629</v>
      </c>
      <c r="B1713" s="1" t="s">
        <v>8630</v>
      </c>
      <c r="C1713" s="1" t="s">
        <v>8631</v>
      </c>
      <c r="D1713" s="2">
        <v>6.178693695E9</v>
      </c>
      <c r="E1713" s="1" t="s">
        <v>8632</v>
      </c>
      <c r="F1713" s="1"/>
      <c r="G1713" s="1" t="s">
        <v>3171</v>
      </c>
      <c r="H1713" s="1" t="s">
        <v>1121</v>
      </c>
      <c r="I1713" s="1">
        <v>2467.0</v>
      </c>
      <c r="J1713" s="1" t="s">
        <v>752</v>
      </c>
      <c r="K1713" s="1" t="s">
        <v>42</v>
      </c>
      <c r="L1713" s="1" t="s">
        <v>6819</v>
      </c>
      <c r="M1713" s="1">
        <v>49.0</v>
      </c>
      <c r="N1713" s="1" t="s">
        <v>1152</v>
      </c>
      <c r="O1713" s="3" t="s">
        <v>264</v>
      </c>
      <c r="P1713" s="1" t="s">
        <v>1152</v>
      </c>
      <c r="Q1713" s="1" t="s">
        <v>1152</v>
      </c>
      <c r="R1713" s="1"/>
      <c r="S1713" s="1"/>
      <c r="T1713" s="1" t="s">
        <v>1152</v>
      </c>
      <c r="U1713" s="1" t="s">
        <v>1039</v>
      </c>
      <c r="V1713" s="4" t="s">
        <v>264</v>
      </c>
      <c r="W1713" s="1"/>
      <c r="X1713" s="1" t="s">
        <v>1152</v>
      </c>
      <c r="Y1713" s="1" t="s">
        <v>1152</v>
      </c>
      <c r="Z1713" s="1"/>
      <c r="AA1713" s="1"/>
      <c r="AB1713" s="1"/>
      <c r="AC1713" s="1" t="s">
        <v>1925</v>
      </c>
      <c r="AD1713" s="1"/>
      <c r="AE1713" s="18">
        <v>46148.0</v>
      </c>
      <c r="AF1713" s="1" t="s">
        <v>1030</v>
      </c>
      <c r="AG1713" s="1" t="s">
        <v>52</v>
      </c>
      <c r="AH1713" s="1" t="s">
        <v>1152</v>
      </c>
      <c r="AI1713" s="1"/>
      <c r="AJ1713" s="1" t="s">
        <v>8633</v>
      </c>
      <c r="AK1713" s="1" t="s">
        <v>1152</v>
      </c>
      <c r="AL1713" s="6" t="str">
        <f t="array" ref="AL1713">IFERROR(IFS(XLOOKUP(B1713, 'Kit Delivery Status'!$U:$U, 'Kit Delivery Status'!$K:$K) = "Complete", "DELIVERED", XLOOKUP(B1713, 'Kit Delivery Status'!$U:$U, 'Kit Delivery Status'!$K:$K) = "Issue", "ISSUE"), "")</f>
        <v/>
      </c>
      <c r="AM1713" s="6"/>
    </row>
    <row r="1714">
      <c r="A1714" s="5" t="s">
        <v>8634</v>
      </c>
      <c r="B1714" s="1" t="s">
        <v>8635</v>
      </c>
      <c r="C1714" s="1" t="s">
        <v>3442</v>
      </c>
      <c r="D1714" s="2">
        <v>9.178549554E9</v>
      </c>
      <c r="E1714" s="1" t="s">
        <v>3443</v>
      </c>
      <c r="F1714" s="1"/>
      <c r="G1714" s="1" t="s">
        <v>751</v>
      </c>
      <c r="H1714" s="1" t="s">
        <v>751</v>
      </c>
      <c r="I1714" s="1">
        <v>10023.0</v>
      </c>
      <c r="J1714" s="1" t="s">
        <v>752</v>
      </c>
      <c r="K1714" s="1" t="s">
        <v>42</v>
      </c>
      <c r="L1714" s="1" t="s">
        <v>6819</v>
      </c>
      <c r="M1714" s="1">
        <v>49.0</v>
      </c>
      <c r="N1714" s="1" t="s">
        <v>1152</v>
      </c>
      <c r="O1714" s="3" t="s">
        <v>591</v>
      </c>
      <c r="P1714" s="1" t="s">
        <v>1152</v>
      </c>
      <c r="Q1714" s="1" t="s">
        <v>1152</v>
      </c>
      <c r="R1714" s="1"/>
      <c r="S1714" s="1"/>
      <c r="T1714" s="1" t="s">
        <v>1152</v>
      </c>
      <c r="U1714" s="1" t="s">
        <v>1749</v>
      </c>
      <c r="V1714" s="4" t="s">
        <v>591</v>
      </c>
      <c r="W1714" s="1"/>
      <c r="X1714" s="1" t="s">
        <v>1152</v>
      </c>
      <c r="Y1714" s="1" t="s">
        <v>1152</v>
      </c>
      <c r="Z1714" s="1"/>
      <c r="AA1714" s="1"/>
      <c r="AB1714" s="1"/>
      <c r="AC1714" s="1" t="s">
        <v>1925</v>
      </c>
      <c r="AD1714" s="1"/>
      <c r="AE1714" s="18">
        <v>46147.0</v>
      </c>
      <c r="AF1714" s="1" t="s">
        <v>1349</v>
      </c>
      <c r="AG1714" s="1" t="s">
        <v>52</v>
      </c>
      <c r="AH1714" s="1" t="s">
        <v>1152</v>
      </c>
      <c r="AI1714" s="1"/>
      <c r="AJ1714" s="1" t="s">
        <v>8636</v>
      </c>
      <c r="AK1714" s="1" t="s">
        <v>1152</v>
      </c>
      <c r="AL1714" s="6" t="str">
        <f t="array" ref="AL1714">IFERROR(IFS(XLOOKUP(B1714, 'Kit Delivery Status'!$U:$U, 'Kit Delivery Status'!$K:$K) = "Complete", "DELIVERED", XLOOKUP(B1714, 'Kit Delivery Status'!$U:$U, 'Kit Delivery Status'!$K:$K) = "Issue", "ISSUE"), "")</f>
        <v/>
      </c>
      <c r="AM1714" s="6"/>
    </row>
    <row r="1715">
      <c r="A1715" s="5" t="s">
        <v>8637</v>
      </c>
      <c r="B1715" s="1" t="s">
        <v>8638</v>
      </c>
      <c r="C1715" s="1" t="s">
        <v>8639</v>
      </c>
      <c r="D1715" s="2">
        <v>9.293539947E9</v>
      </c>
      <c r="E1715" s="1" t="s">
        <v>8640</v>
      </c>
      <c r="F1715" s="1"/>
      <c r="G1715" s="1" t="s">
        <v>5093</v>
      </c>
      <c r="H1715" s="1" t="s">
        <v>751</v>
      </c>
      <c r="I1715" s="1">
        <v>11435.0</v>
      </c>
      <c r="J1715" s="1" t="s">
        <v>752</v>
      </c>
      <c r="K1715" s="1" t="s">
        <v>42</v>
      </c>
      <c r="L1715" s="1" t="s">
        <v>6819</v>
      </c>
      <c r="M1715" s="1">
        <v>49.0</v>
      </c>
      <c r="N1715" s="1" t="s">
        <v>1152</v>
      </c>
      <c r="O1715" s="3" t="s">
        <v>4549</v>
      </c>
      <c r="P1715" s="1" t="s">
        <v>1152</v>
      </c>
      <c r="Q1715" s="1" t="s">
        <v>1152</v>
      </c>
      <c r="R1715" s="1"/>
      <c r="S1715" s="1"/>
      <c r="T1715" s="1" t="s">
        <v>1152</v>
      </c>
      <c r="U1715" s="1" t="s">
        <v>1487</v>
      </c>
      <c r="V1715" s="4" t="s">
        <v>4549</v>
      </c>
      <c r="W1715" s="1"/>
      <c r="X1715" s="1" t="s">
        <v>1152</v>
      </c>
      <c r="Y1715" s="1" t="s">
        <v>1152</v>
      </c>
      <c r="Z1715" s="1"/>
      <c r="AA1715" s="1"/>
      <c r="AB1715" s="1"/>
      <c r="AC1715" s="1" t="s">
        <v>1925</v>
      </c>
      <c r="AD1715" s="1"/>
      <c r="AE1715" s="18">
        <v>46149.0</v>
      </c>
      <c r="AF1715" s="1" t="s">
        <v>1030</v>
      </c>
      <c r="AG1715" s="1" t="s">
        <v>52</v>
      </c>
      <c r="AH1715" s="1" t="s">
        <v>1152</v>
      </c>
      <c r="AI1715" s="1"/>
      <c r="AJ1715" s="1" t="s">
        <v>8640</v>
      </c>
      <c r="AK1715" s="1" t="s">
        <v>1152</v>
      </c>
      <c r="AL1715" s="6" t="str">
        <f t="array" ref="AL1715">IFERROR(IFS(XLOOKUP(B1715, 'Kit Delivery Status'!$U:$U, 'Kit Delivery Status'!$K:$K) = "Complete", "DELIVERED", XLOOKUP(B1715, 'Kit Delivery Status'!$U:$U, 'Kit Delivery Status'!$K:$K) = "Issue", "ISSUE"), "")</f>
        <v/>
      </c>
      <c r="AM1715" s="6"/>
    </row>
    <row r="1716">
      <c r="A1716" s="5" t="s">
        <v>8641</v>
      </c>
      <c r="B1716" s="1" t="s">
        <v>8642</v>
      </c>
      <c r="C1716" s="1" t="s">
        <v>2415</v>
      </c>
      <c r="D1716" s="2">
        <v>6.462400383E9</v>
      </c>
      <c r="E1716" s="1" t="s">
        <v>2416</v>
      </c>
      <c r="F1716" s="1"/>
      <c r="G1716" s="1" t="s">
        <v>2417</v>
      </c>
      <c r="H1716" s="1" t="s">
        <v>989</v>
      </c>
      <c r="I1716" s="1">
        <v>92130.0</v>
      </c>
      <c r="J1716" s="1" t="s">
        <v>752</v>
      </c>
      <c r="K1716" s="1" t="s">
        <v>42</v>
      </c>
      <c r="L1716" s="1" t="s">
        <v>6819</v>
      </c>
      <c r="M1716" s="1">
        <v>49.0</v>
      </c>
      <c r="N1716" s="1" t="s">
        <v>1152</v>
      </c>
      <c r="O1716" s="3" t="s">
        <v>2418</v>
      </c>
      <c r="P1716" s="1" t="s">
        <v>1152</v>
      </c>
      <c r="Q1716" s="1" t="s">
        <v>1152</v>
      </c>
      <c r="R1716" s="1"/>
      <c r="S1716" s="1"/>
      <c r="T1716" s="1" t="s">
        <v>1152</v>
      </c>
      <c r="U1716" s="1" t="s">
        <v>7909</v>
      </c>
      <c r="V1716" s="4" t="s">
        <v>2418</v>
      </c>
      <c r="W1716" s="1"/>
      <c r="X1716" s="1" t="s">
        <v>1152</v>
      </c>
      <c r="Y1716" s="1" t="s">
        <v>1152</v>
      </c>
      <c r="Z1716" s="1"/>
      <c r="AA1716" s="1"/>
      <c r="AB1716" s="1"/>
      <c r="AC1716" s="1" t="s">
        <v>1925</v>
      </c>
      <c r="AD1716" s="1"/>
      <c r="AE1716" s="18">
        <v>46149.0</v>
      </c>
      <c r="AF1716" s="1" t="s">
        <v>1030</v>
      </c>
      <c r="AG1716" s="1" t="s">
        <v>52</v>
      </c>
      <c r="AH1716" s="1" t="s">
        <v>1152</v>
      </c>
      <c r="AI1716" s="1"/>
      <c r="AJ1716" s="1" t="s">
        <v>8643</v>
      </c>
      <c r="AK1716" s="1" t="s">
        <v>1152</v>
      </c>
      <c r="AL1716" s="6" t="str">
        <f t="array" ref="AL1716">IFERROR(IFS(XLOOKUP(B1716, 'Kit Delivery Status'!$U:$U, 'Kit Delivery Status'!$K:$K) = "Complete", "DELIVERED", XLOOKUP(B1716, 'Kit Delivery Status'!$U:$U, 'Kit Delivery Status'!$K:$K) = "Issue", "ISSUE"), "")</f>
        <v/>
      </c>
      <c r="AM1716" s="6"/>
    </row>
    <row r="1717">
      <c r="A1717" s="5" t="s">
        <v>8644</v>
      </c>
      <c r="B1717" s="1" t="s">
        <v>8645</v>
      </c>
      <c r="C1717" s="1" t="s">
        <v>8646</v>
      </c>
      <c r="D1717" s="2">
        <v>4.255779063E9</v>
      </c>
      <c r="E1717" s="1" t="s">
        <v>6561</v>
      </c>
      <c r="F1717" s="1"/>
      <c r="G1717" s="1" t="s">
        <v>2965</v>
      </c>
      <c r="H1717" s="1" t="s">
        <v>980</v>
      </c>
      <c r="I1717" s="1">
        <v>98008.0</v>
      </c>
      <c r="J1717" s="1" t="s">
        <v>752</v>
      </c>
      <c r="K1717" s="1" t="s">
        <v>42</v>
      </c>
      <c r="L1717" s="1" t="s">
        <v>6819</v>
      </c>
      <c r="M1717" s="1">
        <v>49.0</v>
      </c>
      <c r="N1717" s="1" t="s">
        <v>1152</v>
      </c>
      <c r="O1717" s="3" t="s">
        <v>8647</v>
      </c>
      <c r="P1717" s="1" t="s">
        <v>1152</v>
      </c>
      <c r="Q1717" s="1" t="s">
        <v>1152</v>
      </c>
      <c r="R1717" s="1"/>
      <c r="S1717" s="1"/>
      <c r="T1717" s="1" t="s">
        <v>1152</v>
      </c>
      <c r="U1717" s="1" t="s">
        <v>1441</v>
      </c>
      <c r="V1717" s="4" t="s">
        <v>8647</v>
      </c>
      <c r="W1717" s="1"/>
      <c r="X1717" s="1" t="s">
        <v>1152</v>
      </c>
      <c r="Y1717" s="1" t="s">
        <v>1152</v>
      </c>
      <c r="Z1717" s="1"/>
      <c r="AA1717" s="1"/>
      <c r="AB1717" s="1"/>
      <c r="AC1717" s="1" t="s">
        <v>1925</v>
      </c>
      <c r="AD1717" s="1"/>
      <c r="AE1717" s="18">
        <v>46149.0</v>
      </c>
      <c r="AF1717" s="1" t="s">
        <v>1030</v>
      </c>
      <c r="AG1717" s="1" t="s">
        <v>52</v>
      </c>
      <c r="AH1717" s="1" t="s">
        <v>1152</v>
      </c>
      <c r="AI1717" s="1"/>
      <c r="AJ1717" s="1" t="s">
        <v>6561</v>
      </c>
      <c r="AK1717" s="1" t="s">
        <v>1152</v>
      </c>
      <c r="AL1717" s="6" t="str">
        <f t="array" ref="AL1717">IFERROR(IFS(XLOOKUP(B1717, 'Kit Delivery Status'!$U:$U, 'Kit Delivery Status'!$K:$K) = "Complete", "DELIVERED", XLOOKUP(B1717, 'Kit Delivery Status'!$U:$U, 'Kit Delivery Status'!$K:$K) = "Issue", "ISSUE"), "")</f>
        <v/>
      </c>
      <c r="AM1717" s="6"/>
    </row>
    <row r="1718">
      <c r="A1718" s="5" t="s">
        <v>8648</v>
      </c>
      <c r="B1718" s="1" t="s">
        <v>8649</v>
      </c>
      <c r="C1718" s="1" t="s">
        <v>8650</v>
      </c>
      <c r="D1718" s="2">
        <v>5.153375274E9</v>
      </c>
      <c r="E1718" s="1" t="s">
        <v>8651</v>
      </c>
      <c r="F1718" s="1"/>
      <c r="G1718" s="1" t="s">
        <v>1283</v>
      </c>
      <c r="H1718" s="1" t="s">
        <v>1155</v>
      </c>
      <c r="I1718" s="1">
        <v>63112.0</v>
      </c>
      <c r="J1718" s="1" t="s">
        <v>752</v>
      </c>
      <c r="K1718" s="1" t="s">
        <v>42</v>
      </c>
      <c r="L1718" s="1" t="s">
        <v>7863</v>
      </c>
      <c r="M1718" s="1">
        <v>79.0</v>
      </c>
      <c r="N1718" s="1" t="s">
        <v>1152</v>
      </c>
      <c r="O1718" s="3" t="s">
        <v>8652</v>
      </c>
      <c r="P1718" s="1" t="s">
        <v>1152</v>
      </c>
      <c r="Q1718" s="1" t="s">
        <v>1152</v>
      </c>
      <c r="R1718" s="1"/>
      <c r="S1718" s="1"/>
      <c r="T1718" s="1" t="s">
        <v>1152</v>
      </c>
      <c r="U1718" s="1" t="s">
        <v>6967</v>
      </c>
      <c r="V1718" s="4" t="s">
        <v>8652</v>
      </c>
      <c r="W1718" s="1"/>
      <c r="X1718" s="1" t="s">
        <v>1152</v>
      </c>
      <c r="Y1718" s="1" t="s">
        <v>1152</v>
      </c>
      <c r="Z1718" s="1"/>
      <c r="AA1718" s="1"/>
      <c r="AB1718" s="1"/>
      <c r="AC1718" s="1" t="s">
        <v>1925</v>
      </c>
      <c r="AD1718" s="1"/>
      <c r="AE1718" s="18">
        <v>46162.0</v>
      </c>
      <c r="AF1718" s="1" t="s">
        <v>1349</v>
      </c>
      <c r="AG1718" s="1" t="s">
        <v>52</v>
      </c>
      <c r="AH1718" s="1" t="s">
        <v>1152</v>
      </c>
      <c r="AI1718" s="1"/>
      <c r="AJ1718" s="1" t="s">
        <v>8653</v>
      </c>
      <c r="AK1718" s="1" t="s">
        <v>1152</v>
      </c>
      <c r="AL1718" s="6" t="str">
        <f t="array" ref="AL1718">IFERROR(IFS(XLOOKUP(B1718, 'Kit Delivery Status'!$U:$U, 'Kit Delivery Status'!$K:$K) = "Complete", "DELIVERED", XLOOKUP(B1718, 'Kit Delivery Status'!$U:$U, 'Kit Delivery Status'!$K:$K) = "Issue", "ISSUE"), "")</f>
        <v/>
      </c>
      <c r="AM1718" s="6"/>
    </row>
    <row r="1719">
      <c r="A1719" s="5" t="s">
        <v>8654</v>
      </c>
      <c r="B1719" s="1" t="s">
        <v>8655</v>
      </c>
      <c r="C1719" s="1" t="s">
        <v>8656</v>
      </c>
      <c r="D1719" s="2">
        <v>9.143648E9</v>
      </c>
      <c r="E1719" s="1" t="s">
        <v>3465</v>
      </c>
      <c r="F1719" s="1"/>
      <c r="G1719" s="1" t="s">
        <v>1382</v>
      </c>
      <c r="H1719" s="1" t="s">
        <v>751</v>
      </c>
      <c r="I1719" s="1">
        <v>10583.0</v>
      </c>
      <c r="J1719" s="1" t="s">
        <v>752</v>
      </c>
      <c r="K1719" s="1" t="s">
        <v>42</v>
      </c>
      <c r="L1719" s="1" t="s">
        <v>6819</v>
      </c>
      <c r="M1719" s="1">
        <v>49.0</v>
      </c>
      <c r="N1719" s="1" t="s">
        <v>1152</v>
      </c>
      <c r="O1719" s="3" t="s">
        <v>8657</v>
      </c>
      <c r="P1719" s="1" t="s">
        <v>1152</v>
      </c>
      <c r="Q1719" s="1" t="s">
        <v>1152</v>
      </c>
      <c r="R1719" s="1"/>
      <c r="S1719" s="1"/>
      <c r="T1719" s="1" t="s">
        <v>1152</v>
      </c>
      <c r="U1719" s="1" t="s">
        <v>1277</v>
      </c>
      <c r="V1719" s="4" t="s">
        <v>8657</v>
      </c>
      <c r="W1719" s="1"/>
      <c r="X1719" s="1" t="s">
        <v>1152</v>
      </c>
      <c r="Y1719" s="1" t="s">
        <v>1152</v>
      </c>
      <c r="Z1719" s="1"/>
      <c r="AA1719" s="1"/>
      <c r="AB1719" s="1"/>
      <c r="AC1719" s="1" t="s">
        <v>1925</v>
      </c>
      <c r="AD1719" s="1"/>
      <c r="AE1719" s="18">
        <v>46144.0</v>
      </c>
      <c r="AF1719" s="1" t="s">
        <v>1030</v>
      </c>
      <c r="AG1719" s="1" t="s">
        <v>52</v>
      </c>
      <c r="AH1719" s="1" t="s">
        <v>1152</v>
      </c>
      <c r="AI1719" s="1"/>
      <c r="AJ1719" s="1" t="s">
        <v>3465</v>
      </c>
      <c r="AK1719" s="1" t="s">
        <v>1152</v>
      </c>
      <c r="AL1719" s="6" t="str">
        <f t="array" ref="AL1719">IFERROR(IFS(XLOOKUP(B1719, 'Kit Delivery Status'!$U:$U, 'Kit Delivery Status'!$K:$K) = "Complete", "DELIVERED", XLOOKUP(B1719, 'Kit Delivery Status'!$U:$U, 'Kit Delivery Status'!$K:$K) = "Issue", "ISSUE"), "")</f>
        <v/>
      </c>
      <c r="AM1719" s="6"/>
    </row>
    <row r="1720">
      <c r="A1720" s="5" t="s">
        <v>8658</v>
      </c>
      <c r="B1720" s="1" t="s">
        <v>8659</v>
      </c>
      <c r="C1720" s="1" t="s">
        <v>8660</v>
      </c>
      <c r="D1720" s="2">
        <v>3.123710971E9</v>
      </c>
      <c r="E1720" s="1" t="s">
        <v>8661</v>
      </c>
      <c r="F1720" s="1"/>
      <c r="G1720" s="1" t="s">
        <v>1755</v>
      </c>
      <c r="H1720" s="1" t="s">
        <v>1019</v>
      </c>
      <c r="I1720" s="1">
        <v>60126.0</v>
      </c>
      <c r="J1720" s="1" t="s">
        <v>752</v>
      </c>
      <c r="K1720" s="1" t="s">
        <v>42</v>
      </c>
      <c r="L1720" s="1" t="s">
        <v>6819</v>
      </c>
      <c r="M1720" s="1">
        <v>49.0</v>
      </c>
      <c r="N1720" s="1" t="s">
        <v>1152</v>
      </c>
      <c r="O1720" s="3" t="s">
        <v>1255</v>
      </c>
      <c r="P1720" s="1" t="s">
        <v>1152</v>
      </c>
      <c r="Q1720" s="1" t="s">
        <v>1152</v>
      </c>
      <c r="R1720" s="1"/>
      <c r="S1720" s="1"/>
      <c r="T1720" s="1" t="s">
        <v>1152</v>
      </c>
      <c r="U1720" s="1" t="s">
        <v>956</v>
      </c>
      <c r="V1720" s="4" t="s">
        <v>1255</v>
      </c>
      <c r="W1720" s="1"/>
      <c r="X1720" s="1" t="s">
        <v>1152</v>
      </c>
      <c r="Y1720" s="1" t="s">
        <v>1152</v>
      </c>
      <c r="Z1720" s="1"/>
      <c r="AA1720" s="1"/>
      <c r="AB1720" s="1"/>
      <c r="AC1720" s="1" t="s">
        <v>1925</v>
      </c>
      <c r="AD1720" s="1"/>
      <c r="AE1720" s="18">
        <v>46148.0</v>
      </c>
      <c r="AF1720" s="1" t="s">
        <v>1030</v>
      </c>
      <c r="AG1720" s="1" t="s">
        <v>52</v>
      </c>
      <c r="AH1720" s="1" t="s">
        <v>1152</v>
      </c>
      <c r="AI1720" s="1"/>
      <c r="AJ1720" s="1" t="s">
        <v>1754</v>
      </c>
      <c r="AK1720" s="1" t="s">
        <v>1152</v>
      </c>
      <c r="AL1720" s="6" t="str">
        <f t="array" ref="AL1720">IFERROR(IFS(XLOOKUP(B1720, 'Kit Delivery Status'!$U:$U, 'Kit Delivery Status'!$K:$K) = "Complete", "DELIVERED", XLOOKUP(B1720, 'Kit Delivery Status'!$U:$U, 'Kit Delivery Status'!$K:$K) = "Issue", "ISSUE"), "")</f>
        <v/>
      </c>
      <c r="AM1720" s="6"/>
    </row>
    <row r="1721">
      <c r="A1721" s="5" t="s">
        <v>8662</v>
      </c>
      <c r="B1721" s="1" t="s">
        <v>8663</v>
      </c>
      <c r="C1721" s="1" t="s">
        <v>682</v>
      </c>
      <c r="D1721" s="2" t="s">
        <v>683</v>
      </c>
      <c r="E1721" s="1" t="s">
        <v>2709</v>
      </c>
      <c r="F1721" s="1"/>
      <c r="G1721" s="1" t="s">
        <v>751</v>
      </c>
      <c r="H1721" s="1" t="s">
        <v>751</v>
      </c>
      <c r="I1721" s="1">
        <v>10075.0</v>
      </c>
      <c r="J1721" s="1" t="s">
        <v>752</v>
      </c>
      <c r="K1721" s="1" t="s">
        <v>42</v>
      </c>
      <c r="L1721" s="1" t="s">
        <v>6819</v>
      </c>
      <c r="M1721" s="1">
        <v>49.0</v>
      </c>
      <c r="N1721" s="1" t="s">
        <v>1152</v>
      </c>
      <c r="O1721" s="3" t="s">
        <v>8664</v>
      </c>
      <c r="P1721" s="1" t="s">
        <v>1152</v>
      </c>
      <c r="Q1721" s="1" t="s">
        <v>1152</v>
      </c>
      <c r="R1721" s="1"/>
      <c r="S1721" s="1"/>
      <c r="T1721" s="1" t="s">
        <v>1152</v>
      </c>
      <c r="U1721" s="1" t="s">
        <v>2510</v>
      </c>
      <c r="V1721" s="4" t="s">
        <v>8664</v>
      </c>
      <c r="W1721" s="1"/>
      <c r="X1721" s="1" t="s">
        <v>1152</v>
      </c>
      <c r="Y1721" s="1" t="s">
        <v>1152</v>
      </c>
      <c r="Z1721" s="1"/>
      <c r="AA1721" s="1"/>
      <c r="AB1721" s="1"/>
      <c r="AC1721" s="1" t="s">
        <v>1925</v>
      </c>
      <c r="AD1721" s="1"/>
      <c r="AE1721" s="18">
        <v>46147.0</v>
      </c>
      <c r="AF1721" s="1" t="s">
        <v>1030</v>
      </c>
      <c r="AG1721" s="1" t="s">
        <v>52</v>
      </c>
      <c r="AH1721" s="1" t="s">
        <v>1152</v>
      </c>
      <c r="AI1721" s="1"/>
      <c r="AJ1721" s="1" t="s">
        <v>684</v>
      </c>
      <c r="AK1721" s="1" t="s">
        <v>1152</v>
      </c>
      <c r="AL1721" s="6" t="str">
        <f t="array" ref="AL1721">IFERROR(IFS(XLOOKUP(B1721, 'Kit Delivery Status'!$U:$U, 'Kit Delivery Status'!$K:$K) = "Complete", "DELIVERED", XLOOKUP(B1721, 'Kit Delivery Status'!$U:$U, 'Kit Delivery Status'!$K:$K) = "Issue", "ISSUE"), "")</f>
        <v/>
      </c>
      <c r="AM1721" s="6"/>
    </row>
    <row r="1722">
      <c r="A1722" s="5" t="s">
        <v>8665</v>
      </c>
      <c r="B1722" s="1" t="s">
        <v>8666</v>
      </c>
      <c r="C1722" s="1" t="s">
        <v>8667</v>
      </c>
      <c r="D1722" s="2">
        <v>8.187513679E9</v>
      </c>
      <c r="E1722" s="1" t="s">
        <v>8668</v>
      </c>
      <c r="F1722" s="1" t="s">
        <v>8669</v>
      </c>
      <c r="G1722" s="1" t="s">
        <v>1283</v>
      </c>
      <c r="H1722" s="1" t="s">
        <v>1155</v>
      </c>
      <c r="I1722" s="1" t="s">
        <v>8670</v>
      </c>
      <c r="J1722" s="1" t="s">
        <v>752</v>
      </c>
      <c r="K1722" s="1" t="s">
        <v>42</v>
      </c>
      <c r="L1722" s="1" t="s">
        <v>6819</v>
      </c>
      <c r="M1722" s="1">
        <v>49.0</v>
      </c>
      <c r="N1722" s="1" t="s">
        <v>1152</v>
      </c>
      <c r="O1722" s="3"/>
      <c r="P1722" s="1" t="s">
        <v>1152</v>
      </c>
      <c r="Q1722" s="1" t="s">
        <v>1152</v>
      </c>
      <c r="R1722" s="1" t="s">
        <v>8669</v>
      </c>
      <c r="S1722" s="1"/>
      <c r="T1722" s="1" t="s">
        <v>1152</v>
      </c>
      <c r="U1722" s="1"/>
      <c r="V1722" s="4"/>
      <c r="W1722" s="1" t="s">
        <v>8669</v>
      </c>
      <c r="X1722" s="1" t="s">
        <v>1152</v>
      </c>
      <c r="Y1722" s="1" t="s">
        <v>1152</v>
      </c>
      <c r="Z1722" s="1"/>
      <c r="AA1722" s="1" t="s">
        <v>8669</v>
      </c>
      <c r="AB1722" s="1"/>
      <c r="AC1722" s="1" t="s">
        <v>1925</v>
      </c>
      <c r="AD1722" s="1"/>
      <c r="AE1722" s="18">
        <v>46139.0</v>
      </c>
      <c r="AF1722" s="1" t="s">
        <v>1030</v>
      </c>
      <c r="AG1722" s="1" t="s">
        <v>124</v>
      </c>
      <c r="AH1722" s="1" t="s">
        <v>1152</v>
      </c>
      <c r="AI1722" s="1"/>
      <c r="AJ1722" s="1" t="s">
        <v>8668</v>
      </c>
      <c r="AK1722" s="1" t="s">
        <v>1152</v>
      </c>
      <c r="AL1722" s="6" t="str">
        <f t="array" ref="AL1722">IFERROR(IFS(XLOOKUP(B1722, 'Kit Delivery Status'!$U:$U, 'Kit Delivery Status'!$K:$K) = "Complete", "DELIVERED", XLOOKUP(B1722, 'Kit Delivery Status'!$U:$U, 'Kit Delivery Status'!$K:$K) = "Issue", "ISSUE"), "")</f>
        <v/>
      </c>
      <c r="AM1722" s="6"/>
    </row>
    <row r="1723">
      <c r="A1723" s="5" t="s">
        <v>8671</v>
      </c>
      <c r="B1723" s="1" t="s">
        <v>8672</v>
      </c>
      <c r="C1723" s="1" t="s">
        <v>8673</v>
      </c>
      <c r="D1723" s="2">
        <v>6.177518602E9</v>
      </c>
      <c r="E1723" s="1" t="s">
        <v>8674</v>
      </c>
      <c r="F1723" s="1"/>
      <c r="G1723" s="1" t="s">
        <v>8675</v>
      </c>
      <c r="H1723" s="1" t="s">
        <v>1121</v>
      </c>
      <c r="I1723" s="1">
        <v>2445.0</v>
      </c>
      <c r="J1723" s="1" t="s">
        <v>752</v>
      </c>
      <c r="K1723" s="1" t="s">
        <v>42</v>
      </c>
      <c r="L1723" s="1" t="s">
        <v>8393</v>
      </c>
      <c r="M1723" s="1">
        <v>109.0</v>
      </c>
      <c r="N1723" s="1" t="s">
        <v>1152</v>
      </c>
      <c r="O1723" s="3" t="s">
        <v>1703</v>
      </c>
      <c r="P1723" s="1" t="s">
        <v>1152</v>
      </c>
      <c r="Q1723" s="1" t="s">
        <v>1152</v>
      </c>
      <c r="R1723" s="1"/>
      <c r="S1723" s="1"/>
      <c r="T1723" s="1" t="s">
        <v>1152</v>
      </c>
      <c r="U1723" s="1" t="s">
        <v>1277</v>
      </c>
      <c r="V1723" s="4" t="s">
        <v>1703</v>
      </c>
      <c r="W1723" s="1"/>
      <c r="X1723" s="1" t="s">
        <v>1152</v>
      </c>
      <c r="Y1723" s="1" t="s">
        <v>1152</v>
      </c>
      <c r="Z1723" s="1"/>
      <c r="AA1723" s="1"/>
      <c r="AB1723" s="1"/>
      <c r="AC1723" s="1" t="s">
        <v>1925</v>
      </c>
      <c r="AD1723" s="1"/>
      <c r="AE1723" s="18">
        <v>46147.0</v>
      </c>
      <c r="AF1723" s="1" t="s">
        <v>1455</v>
      </c>
      <c r="AG1723" s="1" t="s">
        <v>52</v>
      </c>
      <c r="AH1723" s="1" t="s">
        <v>1152</v>
      </c>
      <c r="AI1723" s="1"/>
      <c r="AJ1723" s="1" t="s">
        <v>8676</v>
      </c>
      <c r="AK1723" s="1" t="s">
        <v>1152</v>
      </c>
      <c r="AL1723" s="6" t="str">
        <f t="array" ref="AL1723">IFERROR(IFS(XLOOKUP(B1723, 'Kit Delivery Status'!$U:$U, 'Kit Delivery Status'!$K:$K) = "Complete", "DELIVERED", XLOOKUP(B1723, 'Kit Delivery Status'!$U:$U, 'Kit Delivery Status'!$K:$K) = "Issue", "ISSUE"), "")</f>
        <v/>
      </c>
      <c r="AM1723" s="6"/>
    </row>
    <row r="1724">
      <c r="A1724" s="5" t="s">
        <v>8677</v>
      </c>
      <c r="B1724" s="1" t="s">
        <v>8678</v>
      </c>
      <c r="C1724" s="1" t="s">
        <v>8679</v>
      </c>
      <c r="D1724" s="2">
        <v>3.14226756E9</v>
      </c>
      <c r="E1724" s="1" t="s">
        <v>8680</v>
      </c>
      <c r="F1724" s="1"/>
      <c r="G1724" s="1" t="s">
        <v>8150</v>
      </c>
      <c r="H1724" s="1" t="s">
        <v>989</v>
      </c>
      <c r="I1724" s="1">
        <v>95051.0</v>
      </c>
      <c r="J1724" s="1" t="s">
        <v>752</v>
      </c>
      <c r="K1724" s="1" t="s">
        <v>42</v>
      </c>
      <c r="L1724" s="1" t="s">
        <v>6819</v>
      </c>
      <c r="M1724" s="1">
        <v>49.0</v>
      </c>
      <c r="N1724" s="1" t="s">
        <v>1152</v>
      </c>
      <c r="O1724" s="3" t="s">
        <v>4549</v>
      </c>
      <c r="P1724" s="1" t="s">
        <v>1152</v>
      </c>
      <c r="Q1724" s="1" t="s">
        <v>1152</v>
      </c>
      <c r="R1724" s="1"/>
      <c r="S1724" s="1"/>
      <c r="T1724" s="1" t="s">
        <v>1152</v>
      </c>
      <c r="U1724" s="1" t="s">
        <v>1277</v>
      </c>
      <c r="V1724" s="4" t="s">
        <v>4549</v>
      </c>
      <c r="W1724" s="1"/>
      <c r="X1724" s="1" t="s">
        <v>1152</v>
      </c>
      <c r="Y1724" s="1" t="s">
        <v>1152</v>
      </c>
      <c r="Z1724" s="1"/>
      <c r="AA1724" s="1"/>
      <c r="AB1724" s="1"/>
      <c r="AC1724" s="1" t="s">
        <v>1925</v>
      </c>
      <c r="AD1724" s="1"/>
      <c r="AE1724" s="18">
        <v>46149.0</v>
      </c>
      <c r="AF1724" s="1" t="s">
        <v>1030</v>
      </c>
      <c r="AG1724" s="1" t="s">
        <v>52</v>
      </c>
      <c r="AH1724" s="1" t="s">
        <v>1152</v>
      </c>
      <c r="AI1724" s="1"/>
      <c r="AJ1724" s="1" t="s">
        <v>8680</v>
      </c>
      <c r="AK1724" s="1" t="s">
        <v>1152</v>
      </c>
      <c r="AL1724" s="6" t="str">
        <f t="array" ref="AL1724">IFERROR(IFS(XLOOKUP(B1724, 'Kit Delivery Status'!$U:$U, 'Kit Delivery Status'!$K:$K) = "Complete", "DELIVERED", XLOOKUP(B1724, 'Kit Delivery Status'!$U:$U, 'Kit Delivery Status'!$K:$K) = "Issue", "ISSUE"), "")</f>
        <v/>
      </c>
      <c r="AM1724" s="6"/>
    </row>
    <row r="1725">
      <c r="A1725" s="5" t="s">
        <v>8681</v>
      </c>
      <c r="B1725" s="1" t="s">
        <v>8682</v>
      </c>
      <c r="C1725" s="1" t="s">
        <v>7951</v>
      </c>
      <c r="D1725" s="2">
        <v>9.175334035E9</v>
      </c>
      <c r="E1725" s="1" t="s">
        <v>3476</v>
      </c>
      <c r="F1725" s="1"/>
      <c r="G1725" s="1" t="s">
        <v>1131</v>
      </c>
      <c r="H1725" s="1" t="s">
        <v>751</v>
      </c>
      <c r="I1725" s="1">
        <v>10538.0</v>
      </c>
      <c r="J1725" s="1" t="s">
        <v>752</v>
      </c>
      <c r="K1725" s="1" t="s">
        <v>42</v>
      </c>
      <c r="L1725" s="1" t="s">
        <v>6819</v>
      </c>
      <c r="M1725" s="1">
        <v>49.0</v>
      </c>
      <c r="N1725" s="1" t="s">
        <v>1152</v>
      </c>
      <c r="O1725" s="3" t="s">
        <v>3477</v>
      </c>
      <c r="P1725" s="1" t="s">
        <v>1152</v>
      </c>
      <c r="Q1725" s="1" t="s">
        <v>1152</v>
      </c>
      <c r="R1725" s="1"/>
      <c r="S1725" s="1"/>
      <c r="T1725" s="1" t="s">
        <v>1152</v>
      </c>
      <c r="U1725" s="1" t="s">
        <v>1812</v>
      </c>
      <c r="V1725" s="4" t="s">
        <v>3477</v>
      </c>
      <c r="W1725" s="1"/>
      <c r="X1725" s="1" t="s">
        <v>1152</v>
      </c>
      <c r="Y1725" s="1" t="s">
        <v>1152</v>
      </c>
      <c r="Z1725" s="1"/>
      <c r="AA1725" s="1"/>
      <c r="AB1725" s="1"/>
      <c r="AC1725" s="1" t="s">
        <v>1925</v>
      </c>
      <c r="AD1725" s="1"/>
      <c r="AE1725" s="18">
        <v>46151.0</v>
      </c>
      <c r="AF1725" s="1" t="s">
        <v>1030</v>
      </c>
      <c r="AG1725" s="1" t="s">
        <v>52</v>
      </c>
      <c r="AH1725" s="1" t="s">
        <v>1152</v>
      </c>
      <c r="AI1725" s="1"/>
      <c r="AJ1725" s="1" t="s">
        <v>8683</v>
      </c>
      <c r="AK1725" s="1" t="s">
        <v>1152</v>
      </c>
      <c r="AL1725" s="6" t="str">
        <f t="array" ref="AL1725">IFERROR(IFS(XLOOKUP(B1725, 'Kit Delivery Status'!$U:$U, 'Kit Delivery Status'!$K:$K) = "Complete", "DELIVERED", XLOOKUP(B1725, 'Kit Delivery Status'!$U:$U, 'Kit Delivery Status'!$K:$K) = "Issue", "ISSUE"), "")</f>
        <v/>
      </c>
      <c r="AM1725" s="6"/>
    </row>
    <row r="1726">
      <c r="A1726" s="5" t="s">
        <v>8684</v>
      </c>
      <c r="B1726" s="1" t="s">
        <v>8685</v>
      </c>
      <c r="C1726" s="1" t="s">
        <v>8686</v>
      </c>
      <c r="D1726" s="2">
        <v>6.163282714E9</v>
      </c>
      <c r="E1726" s="1" t="s">
        <v>8687</v>
      </c>
      <c r="F1726" s="1"/>
      <c r="G1726" s="1" t="s">
        <v>8688</v>
      </c>
      <c r="H1726" s="1" t="s">
        <v>1691</v>
      </c>
      <c r="I1726" s="1">
        <v>49506.0</v>
      </c>
      <c r="J1726" s="1" t="s">
        <v>752</v>
      </c>
      <c r="K1726" s="1" t="s">
        <v>42</v>
      </c>
      <c r="L1726" s="1" t="s">
        <v>8365</v>
      </c>
      <c r="M1726" s="1">
        <v>49.0</v>
      </c>
      <c r="N1726" s="1" t="s">
        <v>1152</v>
      </c>
      <c r="O1726" s="3" t="s">
        <v>4371</v>
      </c>
      <c r="P1726" s="1" t="s">
        <v>1152</v>
      </c>
      <c r="Q1726" s="1" t="s">
        <v>1152</v>
      </c>
      <c r="R1726" s="1"/>
      <c r="S1726" s="1"/>
      <c r="T1726" s="1" t="s">
        <v>1152</v>
      </c>
      <c r="U1726" s="1" t="s">
        <v>1080</v>
      </c>
      <c r="V1726" s="4" t="s">
        <v>4371</v>
      </c>
      <c r="W1726" s="1"/>
      <c r="X1726" s="1" t="s">
        <v>1152</v>
      </c>
      <c r="Y1726" s="1" t="s">
        <v>1152</v>
      </c>
      <c r="Z1726" s="1"/>
      <c r="AA1726" s="1"/>
      <c r="AB1726" s="1"/>
      <c r="AC1726" s="1" t="s">
        <v>1925</v>
      </c>
      <c r="AD1726" s="1"/>
      <c r="AE1726" s="18">
        <v>46151.0</v>
      </c>
      <c r="AF1726" s="1" t="s">
        <v>1630</v>
      </c>
      <c r="AG1726" s="1" t="s">
        <v>52</v>
      </c>
      <c r="AH1726" s="1" t="s">
        <v>1152</v>
      </c>
      <c r="AI1726" s="1"/>
      <c r="AJ1726" s="1" t="s">
        <v>8687</v>
      </c>
      <c r="AK1726" s="1" t="s">
        <v>1152</v>
      </c>
      <c r="AL1726" s="6" t="str">
        <f t="array" ref="AL1726">IFERROR(IFS(XLOOKUP(B1726, 'Kit Delivery Status'!$U:$U, 'Kit Delivery Status'!$K:$K) = "Complete", "DELIVERED", XLOOKUP(B1726, 'Kit Delivery Status'!$U:$U, 'Kit Delivery Status'!$K:$K) = "Issue", "ISSUE"), "")</f>
        <v/>
      </c>
      <c r="AM1726" s="6"/>
    </row>
    <row r="1727">
      <c r="A1727" s="5" t="s">
        <v>8689</v>
      </c>
      <c r="B1727" s="1" t="s">
        <v>8690</v>
      </c>
      <c r="C1727" s="1" t="s">
        <v>8691</v>
      </c>
      <c r="D1727" s="2">
        <v>5.163590784E9</v>
      </c>
      <c r="E1727" s="1" t="s">
        <v>8692</v>
      </c>
      <c r="F1727" s="1"/>
      <c r="G1727" s="1" t="s">
        <v>8693</v>
      </c>
      <c r="H1727" s="1" t="s">
        <v>751</v>
      </c>
      <c r="I1727" s="1" t="s">
        <v>8694</v>
      </c>
      <c r="J1727" s="1" t="s">
        <v>752</v>
      </c>
      <c r="K1727" s="1" t="s">
        <v>42</v>
      </c>
      <c r="L1727" s="1" t="s">
        <v>6819</v>
      </c>
      <c r="M1727" s="1">
        <v>49.0</v>
      </c>
      <c r="N1727" s="1" t="s">
        <v>1152</v>
      </c>
      <c r="O1727" s="3" t="s">
        <v>8695</v>
      </c>
      <c r="P1727" s="1" t="s">
        <v>1152</v>
      </c>
      <c r="Q1727" s="1" t="s">
        <v>1152</v>
      </c>
      <c r="R1727" s="1"/>
      <c r="S1727" s="1"/>
      <c r="T1727" s="1" t="s">
        <v>1152</v>
      </c>
      <c r="U1727" s="1" t="s">
        <v>1039</v>
      </c>
      <c r="V1727" s="4" t="s">
        <v>8695</v>
      </c>
      <c r="W1727" s="1"/>
      <c r="X1727" s="1" t="s">
        <v>1152</v>
      </c>
      <c r="Y1727" s="1" t="s">
        <v>1152</v>
      </c>
      <c r="Z1727" s="1"/>
      <c r="AA1727" s="1"/>
      <c r="AB1727" s="1"/>
      <c r="AC1727" s="1" t="s">
        <v>1925</v>
      </c>
      <c r="AD1727" s="1"/>
      <c r="AE1727" s="18">
        <v>46137.0</v>
      </c>
      <c r="AF1727" s="1" t="s">
        <v>1349</v>
      </c>
      <c r="AG1727" s="1" t="s">
        <v>52</v>
      </c>
      <c r="AH1727" s="1" t="s">
        <v>1152</v>
      </c>
      <c r="AI1727" s="1"/>
      <c r="AJ1727" s="1" t="s">
        <v>65</v>
      </c>
      <c r="AK1727" s="1" t="s">
        <v>1152</v>
      </c>
      <c r="AL1727" s="6" t="str">
        <f t="array" ref="AL1727">IFERROR(IFS(XLOOKUP(B1727, 'Kit Delivery Status'!$U:$U, 'Kit Delivery Status'!$K:$K) = "Complete", "DELIVERED", XLOOKUP(B1727, 'Kit Delivery Status'!$U:$U, 'Kit Delivery Status'!$K:$K) = "Issue", "ISSUE"), "")</f>
        <v/>
      </c>
      <c r="AM1727" s="6"/>
    </row>
    <row r="1728">
      <c r="A1728" s="5" t="s">
        <v>8696</v>
      </c>
      <c r="B1728" s="1" t="s">
        <v>8697</v>
      </c>
      <c r="C1728" s="1" t="s">
        <v>8698</v>
      </c>
      <c r="D1728" s="2">
        <v>7.724974219E9</v>
      </c>
      <c r="E1728" s="1" t="s">
        <v>8699</v>
      </c>
      <c r="F1728" s="1"/>
      <c r="G1728" s="1" t="s">
        <v>4572</v>
      </c>
      <c r="H1728" s="1" t="s">
        <v>1208</v>
      </c>
      <c r="I1728" s="1">
        <v>34990.0</v>
      </c>
      <c r="J1728" s="1" t="s">
        <v>752</v>
      </c>
      <c r="K1728" s="1" t="s">
        <v>42</v>
      </c>
      <c r="L1728" s="1" t="s">
        <v>8393</v>
      </c>
      <c r="M1728" s="1">
        <v>109.0</v>
      </c>
      <c r="N1728" s="1" t="s">
        <v>1152</v>
      </c>
      <c r="O1728" s="3" t="s">
        <v>4573</v>
      </c>
      <c r="P1728" s="1" t="s">
        <v>1152</v>
      </c>
      <c r="Q1728" s="1" t="s">
        <v>1152</v>
      </c>
      <c r="R1728" s="1"/>
      <c r="S1728" s="1"/>
      <c r="T1728" s="1" t="s">
        <v>1152</v>
      </c>
      <c r="U1728" s="1" t="s">
        <v>2510</v>
      </c>
      <c r="V1728" s="4" t="s">
        <v>4573</v>
      </c>
      <c r="W1728" s="1"/>
      <c r="X1728" s="1" t="s">
        <v>1152</v>
      </c>
      <c r="Y1728" s="1" t="s">
        <v>1152</v>
      </c>
      <c r="Z1728" s="1"/>
      <c r="AA1728" s="1"/>
      <c r="AB1728" s="1"/>
      <c r="AC1728" s="1" t="s">
        <v>1925</v>
      </c>
      <c r="AD1728" s="1"/>
      <c r="AE1728" s="18">
        <v>46150.0</v>
      </c>
      <c r="AF1728" s="1" t="s">
        <v>1030</v>
      </c>
      <c r="AG1728" s="1" t="s">
        <v>52</v>
      </c>
      <c r="AH1728" s="1" t="s">
        <v>1152</v>
      </c>
      <c r="AI1728" s="1"/>
      <c r="AJ1728" s="1" t="s">
        <v>4571</v>
      </c>
      <c r="AK1728" s="1" t="s">
        <v>1152</v>
      </c>
      <c r="AL1728" s="6" t="str">
        <f t="array" ref="AL1728">IFERROR(IFS(XLOOKUP(B1728, 'Kit Delivery Status'!$U:$U, 'Kit Delivery Status'!$K:$K) = "Complete", "DELIVERED", XLOOKUP(B1728, 'Kit Delivery Status'!$U:$U, 'Kit Delivery Status'!$K:$K) = "Issue", "ISSUE"), "")</f>
        <v/>
      </c>
      <c r="AM1728" s="6"/>
    </row>
    <row r="1729">
      <c r="A1729" s="5" t="s">
        <v>8700</v>
      </c>
      <c r="B1729" s="1" t="s">
        <v>8701</v>
      </c>
      <c r="C1729" s="1"/>
      <c r="D1729" s="2">
        <v>9.495001022E9</v>
      </c>
      <c r="E1729" s="1" t="s">
        <v>8702</v>
      </c>
      <c r="F1729" s="1"/>
      <c r="G1729" s="1" t="s">
        <v>1983</v>
      </c>
      <c r="H1729" s="1" t="s">
        <v>989</v>
      </c>
      <c r="I1729" s="1">
        <v>92603.0</v>
      </c>
      <c r="J1729" s="1" t="s">
        <v>752</v>
      </c>
      <c r="K1729" s="1" t="s">
        <v>42</v>
      </c>
      <c r="L1729" s="1" t="s">
        <v>8703</v>
      </c>
      <c r="M1729" s="1">
        <v>169.0</v>
      </c>
      <c r="N1729" s="1" t="s">
        <v>1152</v>
      </c>
      <c r="O1729" s="3" t="s">
        <v>154</v>
      </c>
      <c r="P1729" s="1" t="s">
        <v>1152</v>
      </c>
      <c r="Q1729" s="1" t="s">
        <v>1152</v>
      </c>
      <c r="R1729" s="1"/>
      <c r="S1729" s="1"/>
      <c r="T1729" s="1" t="s">
        <v>1152</v>
      </c>
      <c r="U1729" s="1" t="s">
        <v>982</v>
      </c>
      <c r="V1729" s="4" t="s">
        <v>154</v>
      </c>
      <c r="W1729" s="1"/>
      <c r="X1729" s="1" t="s">
        <v>1152</v>
      </c>
      <c r="Y1729" s="1" t="s">
        <v>1152</v>
      </c>
      <c r="Z1729" s="1"/>
      <c r="AA1729" s="1"/>
      <c r="AB1729" s="1"/>
      <c r="AC1729" s="1" t="s">
        <v>1925</v>
      </c>
      <c r="AD1729" s="1"/>
      <c r="AE1729" s="18">
        <v>46149.0</v>
      </c>
      <c r="AF1729" s="1" t="s">
        <v>1349</v>
      </c>
      <c r="AG1729" s="1" t="s">
        <v>52</v>
      </c>
      <c r="AH1729" s="1" t="s">
        <v>1152</v>
      </c>
      <c r="AI1729" s="1"/>
      <c r="AJ1729" s="1" t="s">
        <v>151</v>
      </c>
      <c r="AK1729" s="1" t="s">
        <v>1152</v>
      </c>
      <c r="AL1729" s="6" t="str">
        <f t="array" ref="AL1729">IFERROR(IFS(XLOOKUP(B1729, 'Kit Delivery Status'!$U:$U, 'Kit Delivery Status'!$K:$K) = "Complete", "DELIVERED", XLOOKUP(B1729, 'Kit Delivery Status'!$U:$U, 'Kit Delivery Status'!$K:$K) = "Issue", "ISSUE"), "")</f>
        <v/>
      </c>
      <c r="AM1729" s="6"/>
    </row>
    <row r="1730">
      <c r="A1730" s="5" t="s">
        <v>8704</v>
      </c>
      <c r="B1730" s="1" t="s">
        <v>8705</v>
      </c>
      <c r="C1730" s="1"/>
      <c r="D1730" s="2">
        <v>9.177447372E9</v>
      </c>
      <c r="E1730" s="1" t="s">
        <v>3780</v>
      </c>
      <c r="F1730" s="1"/>
      <c r="G1730" s="1" t="s">
        <v>8706</v>
      </c>
      <c r="H1730" s="1" t="s">
        <v>751</v>
      </c>
      <c r="I1730" s="1">
        <v>11771.0</v>
      </c>
      <c r="J1730" s="1" t="s">
        <v>752</v>
      </c>
      <c r="K1730" s="1" t="s">
        <v>42</v>
      </c>
      <c r="L1730" s="1" t="s">
        <v>6819</v>
      </c>
      <c r="M1730" s="1">
        <v>49.0</v>
      </c>
      <c r="N1730" s="1" t="s">
        <v>1152</v>
      </c>
      <c r="O1730" s="3" t="s">
        <v>3782</v>
      </c>
      <c r="P1730" s="1" t="s">
        <v>1152</v>
      </c>
      <c r="Q1730" s="1" t="s">
        <v>1152</v>
      </c>
      <c r="R1730" s="1"/>
      <c r="S1730" s="1"/>
      <c r="T1730" s="1" t="s">
        <v>1152</v>
      </c>
      <c r="U1730" s="1" t="s">
        <v>1399</v>
      </c>
      <c r="V1730" s="4" t="s">
        <v>3782</v>
      </c>
      <c r="W1730" s="1"/>
      <c r="X1730" s="1" t="s">
        <v>1152</v>
      </c>
      <c r="Y1730" s="1" t="s">
        <v>1152</v>
      </c>
      <c r="Z1730" s="1"/>
      <c r="AA1730" s="1"/>
      <c r="AB1730" s="1"/>
      <c r="AC1730" s="1" t="s">
        <v>1925</v>
      </c>
      <c r="AD1730" s="1"/>
      <c r="AE1730" s="18">
        <v>46146.0</v>
      </c>
      <c r="AF1730" s="1" t="s">
        <v>1030</v>
      </c>
      <c r="AG1730" s="1" t="s">
        <v>52</v>
      </c>
      <c r="AH1730" s="1" t="s">
        <v>1152</v>
      </c>
      <c r="AI1730" s="1"/>
      <c r="AJ1730" s="1" t="s">
        <v>8707</v>
      </c>
      <c r="AK1730" s="1" t="s">
        <v>1152</v>
      </c>
      <c r="AL1730" s="6" t="str">
        <f t="array" ref="AL1730">IFERROR(IFS(XLOOKUP(B1730, 'Kit Delivery Status'!$U:$U, 'Kit Delivery Status'!$K:$K) = "Complete", "DELIVERED", XLOOKUP(B1730, 'Kit Delivery Status'!$U:$U, 'Kit Delivery Status'!$K:$K) = "Issue", "ISSUE"), "")</f>
        <v/>
      </c>
      <c r="AM1730" s="6"/>
    </row>
    <row r="1731">
      <c r="A1731" s="5" t="s">
        <v>8708</v>
      </c>
      <c r="B1731" s="1" t="s">
        <v>8709</v>
      </c>
      <c r="C1731" s="1" t="s">
        <v>8710</v>
      </c>
      <c r="D1731" s="2">
        <v>8.329528794E9</v>
      </c>
      <c r="E1731" s="1" t="s">
        <v>8711</v>
      </c>
      <c r="F1731" s="1"/>
      <c r="G1731" s="1" t="s">
        <v>6043</v>
      </c>
      <c r="H1731" s="1" t="s">
        <v>1583</v>
      </c>
      <c r="I1731" s="1">
        <v>77493.0</v>
      </c>
      <c r="J1731" s="1" t="s">
        <v>752</v>
      </c>
      <c r="K1731" s="1" t="s">
        <v>42</v>
      </c>
      <c r="L1731" s="1" t="s">
        <v>7863</v>
      </c>
      <c r="M1731" s="1">
        <v>79.0</v>
      </c>
      <c r="N1731" s="1" t="s">
        <v>1152</v>
      </c>
      <c r="O1731" s="3" t="s">
        <v>1741</v>
      </c>
      <c r="P1731" s="1" t="s">
        <v>1152</v>
      </c>
      <c r="Q1731" s="1" t="s">
        <v>1152</v>
      </c>
      <c r="R1731" s="1"/>
      <c r="S1731" s="1"/>
      <c r="T1731" s="1" t="s">
        <v>1152</v>
      </c>
      <c r="U1731" s="1" t="s">
        <v>956</v>
      </c>
      <c r="V1731" s="4" t="s">
        <v>1741</v>
      </c>
      <c r="W1731" s="1"/>
      <c r="X1731" s="1" t="s">
        <v>1152</v>
      </c>
      <c r="Y1731" s="1" t="s">
        <v>1152</v>
      </c>
      <c r="Z1731" s="1"/>
      <c r="AA1731" s="1"/>
      <c r="AB1731" s="1"/>
      <c r="AC1731" s="1" t="s">
        <v>1925</v>
      </c>
      <c r="AD1731" s="1"/>
      <c r="AE1731" s="18">
        <v>46148.0</v>
      </c>
      <c r="AF1731" s="1" t="s">
        <v>1030</v>
      </c>
      <c r="AG1731" s="1" t="s">
        <v>52</v>
      </c>
      <c r="AH1731" s="1" t="s">
        <v>1152</v>
      </c>
      <c r="AI1731" s="1"/>
      <c r="AJ1731" s="1" t="s">
        <v>8711</v>
      </c>
      <c r="AK1731" s="1" t="s">
        <v>1152</v>
      </c>
      <c r="AL1731" s="6" t="str">
        <f t="array" ref="AL1731">IFERROR(IFS(XLOOKUP(B1731, 'Kit Delivery Status'!$U:$U, 'Kit Delivery Status'!$K:$K) = "Complete", "DELIVERED", XLOOKUP(B1731, 'Kit Delivery Status'!$U:$U, 'Kit Delivery Status'!$K:$K) = "Issue", "ISSUE"), "")</f>
        <v/>
      </c>
      <c r="AM1731" s="6"/>
    </row>
    <row r="1732">
      <c r="A1732" s="5" t="s">
        <v>8712</v>
      </c>
      <c r="B1732" s="1" t="s">
        <v>8713</v>
      </c>
      <c r="C1732" s="1"/>
      <c r="D1732" s="2">
        <v>7.132137252E9</v>
      </c>
      <c r="E1732" s="1" t="s">
        <v>8714</v>
      </c>
      <c r="F1732" s="1"/>
      <c r="G1732" s="1" t="s">
        <v>1817</v>
      </c>
      <c r="H1732" s="1" t="s">
        <v>1598</v>
      </c>
      <c r="I1732" s="1">
        <v>37027.0</v>
      </c>
      <c r="J1732" s="1" t="s">
        <v>752</v>
      </c>
      <c r="K1732" s="1" t="s">
        <v>42</v>
      </c>
      <c r="L1732" s="1" t="s">
        <v>8715</v>
      </c>
      <c r="M1732" s="1">
        <v>139.0</v>
      </c>
      <c r="N1732" s="1" t="s">
        <v>1152</v>
      </c>
      <c r="O1732" s="3" t="s">
        <v>8716</v>
      </c>
      <c r="P1732" s="1" t="s">
        <v>1152</v>
      </c>
      <c r="Q1732" s="1" t="s">
        <v>1152</v>
      </c>
      <c r="R1732" s="1"/>
      <c r="S1732" s="1"/>
      <c r="T1732" s="1" t="s">
        <v>1152</v>
      </c>
      <c r="U1732" s="1" t="s">
        <v>1021</v>
      </c>
      <c r="V1732" s="4" t="s">
        <v>8716</v>
      </c>
      <c r="W1732" s="1"/>
      <c r="X1732" s="1" t="s">
        <v>1152</v>
      </c>
      <c r="Y1732" s="1" t="s">
        <v>1152</v>
      </c>
      <c r="Z1732" s="1"/>
      <c r="AA1732" s="1"/>
      <c r="AB1732" s="1"/>
      <c r="AC1732" s="1" t="s">
        <v>1925</v>
      </c>
      <c r="AD1732" s="1"/>
      <c r="AE1732" s="18">
        <v>46146.0</v>
      </c>
      <c r="AF1732" s="1" t="s">
        <v>1030</v>
      </c>
      <c r="AG1732" s="1" t="s">
        <v>52</v>
      </c>
      <c r="AH1732" s="1" t="s">
        <v>1152</v>
      </c>
      <c r="AI1732" s="1"/>
      <c r="AJ1732" s="1" t="s">
        <v>8714</v>
      </c>
      <c r="AK1732" s="1" t="s">
        <v>1152</v>
      </c>
      <c r="AL1732" s="6" t="str">
        <f t="array" ref="AL1732">IFERROR(IFS(XLOOKUP(B1732, 'Kit Delivery Status'!$U:$U, 'Kit Delivery Status'!$K:$K) = "Complete", "DELIVERED", XLOOKUP(B1732, 'Kit Delivery Status'!$U:$U, 'Kit Delivery Status'!$K:$K) = "Issue", "ISSUE"), "")</f>
        <v/>
      </c>
      <c r="AM1732" s="6"/>
    </row>
    <row r="1733">
      <c r="A1733" s="5" t="s">
        <v>8717</v>
      </c>
      <c r="B1733" s="1" t="s">
        <v>8718</v>
      </c>
      <c r="C1733" s="1" t="s">
        <v>8719</v>
      </c>
      <c r="D1733" s="2" t="str">
        <v>#ERROR!</v>
      </c>
      <c r="E1733" s="1" t="s">
        <v>8720</v>
      </c>
      <c r="F1733" s="1"/>
      <c r="G1733" s="1" t="s">
        <v>8721</v>
      </c>
      <c r="H1733" s="1" t="s">
        <v>1005</v>
      </c>
      <c r="I1733" s="1">
        <v>20853.0</v>
      </c>
      <c r="J1733" s="1" t="s">
        <v>752</v>
      </c>
      <c r="K1733" s="1" t="s">
        <v>42</v>
      </c>
      <c r="L1733" s="1" t="s">
        <v>6819</v>
      </c>
      <c r="M1733" s="1">
        <v>49.0</v>
      </c>
      <c r="N1733" s="1" t="s">
        <v>1152</v>
      </c>
      <c r="O1733" s="3" t="s">
        <v>2193</v>
      </c>
      <c r="P1733" s="1" t="s">
        <v>1152</v>
      </c>
      <c r="Q1733" s="1" t="s">
        <v>1152</v>
      </c>
      <c r="R1733" s="1"/>
      <c r="S1733" s="1"/>
      <c r="T1733" s="1" t="s">
        <v>1152</v>
      </c>
      <c r="U1733" s="1" t="s">
        <v>1277</v>
      </c>
      <c r="V1733" s="4" t="s">
        <v>2193</v>
      </c>
      <c r="W1733" s="1"/>
      <c r="X1733" s="1" t="s">
        <v>1152</v>
      </c>
      <c r="Y1733" s="1" t="s">
        <v>1152</v>
      </c>
      <c r="Z1733" s="1"/>
      <c r="AA1733" s="1"/>
      <c r="AB1733" s="1"/>
      <c r="AC1733" s="1" t="s">
        <v>1925</v>
      </c>
      <c r="AD1733" s="1"/>
      <c r="AE1733" s="18">
        <v>46151.0</v>
      </c>
      <c r="AF1733" s="1" t="s">
        <v>1455</v>
      </c>
      <c r="AG1733" s="1" t="s">
        <v>52</v>
      </c>
      <c r="AH1733" s="1" t="s">
        <v>1152</v>
      </c>
      <c r="AI1733" s="1"/>
      <c r="AJ1733" s="1" t="s">
        <v>8722</v>
      </c>
      <c r="AK1733" s="1" t="s">
        <v>1152</v>
      </c>
      <c r="AL1733" s="6" t="str">
        <f t="array" ref="AL1733">IFERROR(IFS(XLOOKUP(B1733, 'Kit Delivery Status'!$U:$U, 'Kit Delivery Status'!$K:$K) = "Complete", "DELIVERED", XLOOKUP(B1733, 'Kit Delivery Status'!$U:$U, 'Kit Delivery Status'!$K:$K) = "Issue", "ISSUE"), "")</f>
        <v/>
      </c>
      <c r="AM1733" s="6"/>
    </row>
    <row r="1734">
      <c r="A1734" s="5" t="s">
        <v>8723</v>
      </c>
      <c r="B1734" s="1" t="s">
        <v>8724</v>
      </c>
      <c r="C1734" s="1" t="s">
        <v>8725</v>
      </c>
      <c r="D1734" s="2">
        <v>6.467404868E9</v>
      </c>
      <c r="E1734" s="1" t="s">
        <v>8726</v>
      </c>
      <c r="F1734" s="1"/>
      <c r="G1734" s="1" t="s">
        <v>751</v>
      </c>
      <c r="H1734" s="1" t="s">
        <v>751</v>
      </c>
      <c r="I1734" s="1">
        <v>10023.0</v>
      </c>
      <c r="J1734" s="1" t="s">
        <v>752</v>
      </c>
      <c r="K1734" s="1" t="s">
        <v>892</v>
      </c>
      <c r="L1734" s="1" t="s">
        <v>8006</v>
      </c>
      <c r="M1734" s="1">
        <v>49.0</v>
      </c>
      <c r="N1734" s="1" t="s">
        <v>1152</v>
      </c>
      <c r="O1734" s="3" t="s">
        <v>1398</v>
      </c>
      <c r="P1734" s="1" t="s">
        <v>1152</v>
      </c>
      <c r="Q1734" s="1" t="s">
        <v>1152</v>
      </c>
      <c r="R1734" s="1"/>
      <c r="S1734" s="1"/>
      <c r="T1734" s="1" t="s">
        <v>1152</v>
      </c>
      <c r="U1734" s="1" t="s">
        <v>1710</v>
      </c>
      <c r="V1734" s="4" t="s">
        <v>1398</v>
      </c>
      <c r="W1734" s="1"/>
      <c r="X1734" s="1" t="s">
        <v>1152</v>
      </c>
      <c r="Y1734" s="1" t="s">
        <v>1152</v>
      </c>
      <c r="Z1734" s="1"/>
      <c r="AA1734" s="1"/>
      <c r="AB1734" s="1"/>
      <c r="AC1734" s="1" t="s">
        <v>1925</v>
      </c>
      <c r="AD1734" s="1"/>
      <c r="AE1734" s="18">
        <v>46160.0</v>
      </c>
      <c r="AF1734" s="1" t="s">
        <v>1103</v>
      </c>
      <c r="AG1734" s="1" t="s">
        <v>52</v>
      </c>
      <c r="AH1734" s="1" t="s">
        <v>8727</v>
      </c>
      <c r="AI1734" s="1"/>
      <c r="AJ1734" s="1" t="s">
        <v>8726</v>
      </c>
      <c r="AK1734" s="1" t="s">
        <v>1152</v>
      </c>
      <c r="AL1734" s="6" t="str">
        <f t="array" ref="AL1734">IFERROR(IFS(XLOOKUP(B1734, 'Kit Delivery Status'!$U:$U, 'Kit Delivery Status'!$K:$K) = "Complete", "DELIVERED", XLOOKUP(B1734, 'Kit Delivery Status'!$U:$U, 'Kit Delivery Status'!$K:$K) = "Issue", "ISSUE"), "")</f>
        <v/>
      </c>
      <c r="AM1734" s="6"/>
    </row>
    <row r="1735">
      <c r="A1735" s="5" t="s">
        <v>8728</v>
      </c>
      <c r="B1735" s="1" t="s">
        <v>8729</v>
      </c>
      <c r="C1735" s="1" t="s">
        <v>8730</v>
      </c>
      <c r="D1735" s="2">
        <v>9.179213448E9</v>
      </c>
      <c r="E1735" s="1" t="s">
        <v>8731</v>
      </c>
      <c r="F1735" s="1"/>
      <c r="G1735" s="1" t="s">
        <v>8732</v>
      </c>
      <c r="H1735" s="1" t="s">
        <v>1053</v>
      </c>
      <c r="I1735" s="1">
        <v>7417.0</v>
      </c>
      <c r="J1735" s="1" t="s">
        <v>752</v>
      </c>
      <c r="K1735" s="1" t="s">
        <v>75</v>
      </c>
      <c r="L1735" s="1" t="s">
        <v>8733</v>
      </c>
      <c r="M1735" s="1">
        <v>49.0</v>
      </c>
      <c r="N1735" s="1" t="s">
        <v>2461</v>
      </c>
      <c r="O1735" s="3" t="s">
        <v>258</v>
      </c>
      <c r="P1735" s="18">
        <v>46248.0</v>
      </c>
      <c r="Q1735" s="1" t="s">
        <v>1152</v>
      </c>
      <c r="R1735" s="1"/>
      <c r="S1735" s="1" t="s">
        <v>52</v>
      </c>
      <c r="T1735" s="1" t="s">
        <v>2461</v>
      </c>
      <c r="U1735" s="1" t="s">
        <v>102</v>
      </c>
      <c r="V1735" s="4" t="s">
        <v>258</v>
      </c>
      <c r="W1735" s="1"/>
      <c r="X1735" s="18">
        <v>46248.0</v>
      </c>
      <c r="Y1735" s="1" t="s">
        <v>1152</v>
      </c>
      <c r="Z1735" s="1"/>
      <c r="AA1735" s="1"/>
      <c r="AB1735" s="1" t="s">
        <v>52</v>
      </c>
      <c r="AC1735" s="1" t="s">
        <v>1925</v>
      </c>
      <c r="AD1735" s="1" t="s">
        <v>8734</v>
      </c>
      <c r="AE1735" s="1" t="s">
        <v>1152</v>
      </c>
      <c r="AF1735" s="1"/>
      <c r="AG1735" s="1"/>
      <c r="AH1735" s="1" t="s">
        <v>1152</v>
      </c>
      <c r="AI1735" s="1"/>
      <c r="AJ1735" s="1" t="s">
        <v>8735</v>
      </c>
      <c r="AK1735" s="1" t="s">
        <v>1152</v>
      </c>
      <c r="AL1735" s="6" t="str">
        <f t="array" ref="AL1735">IFERROR(IFS(XLOOKUP(B1735, 'Kit Delivery Status'!$U:$U, 'Kit Delivery Status'!$K:$K) = "Complete", "DELIVERED", XLOOKUP(B1735, 'Kit Delivery Status'!$U:$U, 'Kit Delivery Status'!$K:$K) = "Issue", "ISSUE"), "")</f>
        <v/>
      </c>
      <c r="AM1735" s="6"/>
    </row>
    <row r="1736">
      <c r="A1736" s="5" t="s">
        <v>8736</v>
      </c>
      <c r="B1736" s="1" t="s">
        <v>8737</v>
      </c>
      <c r="C1736" s="1" t="s">
        <v>4657</v>
      </c>
      <c r="D1736" s="2">
        <v>7.13321044E9</v>
      </c>
      <c r="E1736" s="1" t="s">
        <v>8738</v>
      </c>
      <c r="F1736" s="1"/>
      <c r="G1736" s="1" t="s">
        <v>1609</v>
      </c>
      <c r="H1736" s="1" t="s">
        <v>1583</v>
      </c>
      <c r="I1736" s="1">
        <v>77024.0</v>
      </c>
      <c r="J1736" s="1" t="s">
        <v>752</v>
      </c>
      <c r="K1736" s="1" t="s">
        <v>42</v>
      </c>
      <c r="L1736" s="1" t="s">
        <v>7863</v>
      </c>
      <c r="M1736" s="1">
        <v>79.0</v>
      </c>
      <c r="N1736" s="1" t="s">
        <v>1152</v>
      </c>
      <c r="O1736" s="3" t="s">
        <v>8739</v>
      </c>
      <c r="P1736" s="1" t="s">
        <v>1152</v>
      </c>
      <c r="Q1736" s="1" t="s">
        <v>1152</v>
      </c>
      <c r="R1736" s="1"/>
      <c r="S1736" s="1"/>
      <c r="T1736" s="1" t="s">
        <v>1152</v>
      </c>
      <c r="U1736" s="1" t="s">
        <v>2510</v>
      </c>
      <c r="V1736" s="4" t="s">
        <v>8739</v>
      </c>
      <c r="W1736" s="1"/>
      <c r="X1736" s="1" t="s">
        <v>1152</v>
      </c>
      <c r="Y1736" s="1" t="s">
        <v>1152</v>
      </c>
      <c r="Z1736" s="1"/>
      <c r="AA1736" s="1"/>
      <c r="AB1736" s="1"/>
      <c r="AC1736" s="1" t="s">
        <v>1925</v>
      </c>
      <c r="AD1736" s="1"/>
      <c r="AE1736" s="18">
        <v>46143.0</v>
      </c>
      <c r="AF1736" s="1" t="s">
        <v>1455</v>
      </c>
      <c r="AG1736" s="1" t="s">
        <v>52</v>
      </c>
      <c r="AH1736" s="1" t="s">
        <v>1152</v>
      </c>
      <c r="AI1736" s="1"/>
      <c r="AJ1736" s="1" t="s">
        <v>4658</v>
      </c>
      <c r="AK1736" s="1" t="s">
        <v>1152</v>
      </c>
      <c r="AL1736" s="6" t="str">
        <f t="array" ref="AL1736">IFERROR(IFS(XLOOKUP(B1736, 'Kit Delivery Status'!$U:$U, 'Kit Delivery Status'!$K:$K) = "Complete", "DELIVERED", XLOOKUP(B1736, 'Kit Delivery Status'!$U:$U, 'Kit Delivery Status'!$K:$K) = "Issue", "ISSUE"), "")</f>
        <v/>
      </c>
      <c r="AM1736" s="6"/>
    </row>
    <row r="1737">
      <c r="A1737" s="5" t="s">
        <v>8740</v>
      </c>
      <c r="B1737" s="1" t="s">
        <v>8741</v>
      </c>
      <c r="C1737" s="1" t="s">
        <v>466</v>
      </c>
      <c r="D1737" s="2">
        <v>2.017794859E9</v>
      </c>
      <c r="E1737" s="1" t="s">
        <v>8742</v>
      </c>
      <c r="F1737" s="1"/>
      <c r="G1737" s="1" t="s">
        <v>2150</v>
      </c>
      <c r="H1737" s="1" t="s">
        <v>1053</v>
      </c>
      <c r="I1737" s="1">
        <v>7924.0</v>
      </c>
      <c r="J1737" s="1" t="s">
        <v>752</v>
      </c>
      <c r="K1737" s="1" t="s">
        <v>42</v>
      </c>
      <c r="L1737" s="1" t="s">
        <v>6819</v>
      </c>
      <c r="M1737" s="1">
        <v>49.0</v>
      </c>
      <c r="N1737" s="1" t="s">
        <v>1152</v>
      </c>
      <c r="O1737" s="3" t="s">
        <v>117</v>
      </c>
      <c r="P1737" s="1" t="s">
        <v>1152</v>
      </c>
      <c r="Q1737" s="1" t="s">
        <v>1152</v>
      </c>
      <c r="R1737" s="1"/>
      <c r="S1737" s="1"/>
      <c r="T1737" s="1" t="s">
        <v>1152</v>
      </c>
      <c r="U1737" s="1" t="s">
        <v>1039</v>
      </c>
      <c r="V1737" s="4" t="s">
        <v>117</v>
      </c>
      <c r="W1737" s="1"/>
      <c r="X1737" s="1" t="s">
        <v>1152</v>
      </c>
      <c r="Y1737" s="1" t="s">
        <v>1152</v>
      </c>
      <c r="Z1737" s="1"/>
      <c r="AA1737" s="1"/>
      <c r="AB1737" s="1"/>
      <c r="AC1737" s="1" t="s">
        <v>1925</v>
      </c>
      <c r="AD1737" s="1"/>
      <c r="AE1737" s="18">
        <v>46150.0</v>
      </c>
      <c r="AF1737" s="1" t="s">
        <v>1030</v>
      </c>
      <c r="AG1737" s="1" t="s">
        <v>52</v>
      </c>
      <c r="AH1737" s="1" t="s">
        <v>1152</v>
      </c>
      <c r="AI1737" s="1"/>
      <c r="AJ1737" s="1" t="s">
        <v>2149</v>
      </c>
      <c r="AK1737" s="1" t="s">
        <v>1152</v>
      </c>
      <c r="AL1737" s="6" t="str">
        <f t="array" ref="AL1737">IFERROR(IFS(XLOOKUP(B1737, 'Kit Delivery Status'!$U:$U, 'Kit Delivery Status'!$K:$K) = "Complete", "DELIVERED", XLOOKUP(B1737, 'Kit Delivery Status'!$U:$U, 'Kit Delivery Status'!$K:$K) = "Issue", "ISSUE"), "")</f>
        <v/>
      </c>
      <c r="AM1737" s="6"/>
    </row>
    <row r="1738">
      <c r="A1738" s="5" t="s">
        <v>8743</v>
      </c>
      <c r="B1738" s="1" t="s">
        <v>8744</v>
      </c>
      <c r="C1738" s="1" t="s">
        <v>8745</v>
      </c>
      <c r="D1738" s="2">
        <v>9.545484359E9</v>
      </c>
      <c r="E1738" s="1" t="s">
        <v>8746</v>
      </c>
      <c r="F1738" s="1"/>
      <c r="G1738" s="1" t="s">
        <v>8747</v>
      </c>
      <c r="H1738" s="1" t="s">
        <v>1208</v>
      </c>
      <c r="I1738" s="1">
        <v>33073.0</v>
      </c>
      <c r="J1738" s="1" t="s">
        <v>752</v>
      </c>
      <c r="K1738" s="1" t="s">
        <v>42</v>
      </c>
      <c r="L1738" s="1" t="s">
        <v>6819</v>
      </c>
      <c r="M1738" s="1">
        <v>49.0</v>
      </c>
      <c r="N1738" s="1" t="s">
        <v>1152</v>
      </c>
      <c r="O1738" s="3" t="s">
        <v>3867</v>
      </c>
      <c r="P1738" s="1" t="s">
        <v>1152</v>
      </c>
      <c r="Q1738" s="1" t="s">
        <v>1152</v>
      </c>
      <c r="R1738" s="1"/>
      <c r="S1738" s="1"/>
      <c r="T1738" s="1" t="s">
        <v>1152</v>
      </c>
      <c r="U1738" s="1" t="s">
        <v>1441</v>
      </c>
      <c r="V1738" s="4" t="s">
        <v>3867</v>
      </c>
      <c r="W1738" s="1"/>
      <c r="X1738" s="1" t="s">
        <v>1152</v>
      </c>
      <c r="Y1738" s="1" t="s">
        <v>1152</v>
      </c>
      <c r="Z1738" s="1"/>
      <c r="AA1738" s="1"/>
      <c r="AB1738" s="1"/>
      <c r="AC1738" s="1" t="s">
        <v>1925</v>
      </c>
      <c r="AD1738" s="1"/>
      <c r="AE1738" s="18">
        <v>46150.0</v>
      </c>
      <c r="AF1738" s="1" t="s">
        <v>1030</v>
      </c>
      <c r="AG1738" s="1" t="s">
        <v>52</v>
      </c>
      <c r="AH1738" s="1" t="s">
        <v>1152</v>
      </c>
      <c r="AI1738" s="1"/>
      <c r="AJ1738" s="1" t="s">
        <v>8748</v>
      </c>
      <c r="AK1738" s="1" t="s">
        <v>1152</v>
      </c>
      <c r="AL1738" s="6" t="str">
        <f t="array" ref="AL1738">IFERROR(IFS(XLOOKUP(B1738, 'Kit Delivery Status'!$U:$U, 'Kit Delivery Status'!$K:$K) = "Complete", "DELIVERED", XLOOKUP(B1738, 'Kit Delivery Status'!$U:$U, 'Kit Delivery Status'!$K:$K) = "Issue", "ISSUE"), "")</f>
        <v/>
      </c>
      <c r="AM1738" s="6"/>
    </row>
    <row r="1739">
      <c r="A1739" s="5" t="s">
        <v>8749</v>
      </c>
      <c r="B1739" s="1" t="s">
        <v>8750</v>
      </c>
      <c r="C1739" s="1"/>
      <c r="D1739" s="2">
        <v>2.019789863E9</v>
      </c>
      <c r="E1739" s="1" t="s">
        <v>8751</v>
      </c>
      <c r="F1739" s="1"/>
      <c r="G1739" s="1" t="s">
        <v>8752</v>
      </c>
      <c r="H1739" s="1" t="s">
        <v>1053</v>
      </c>
      <c r="I1739" s="1">
        <v>7677.0</v>
      </c>
      <c r="J1739" s="1" t="s">
        <v>752</v>
      </c>
      <c r="K1739" s="1" t="s">
        <v>75</v>
      </c>
      <c r="L1739" s="1" t="s">
        <v>8733</v>
      </c>
      <c r="M1739" s="1">
        <v>49.0</v>
      </c>
      <c r="N1739" s="1" t="s">
        <v>2461</v>
      </c>
      <c r="O1739" s="3" t="s">
        <v>452</v>
      </c>
      <c r="P1739" s="18">
        <v>46248.0</v>
      </c>
      <c r="Q1739" s="1" t="s">
        <v>1152</v>
      </c>
      <c r="R1739" s="1"/>
      <c r="S1739" s="1" t="s">
        <v>52</v>
      </c>
      <c r="T1739" s="1" t="s">
        <v>2461</v>
      </c>
      <c r="U1739" s="1" t="s">
        <v>102</v>
      </c>
      <c r="V1739" s="4" t="s">
        <v>452</v>
      </c>
      <c r="W1739" s="1"/>
      <c r="X1739" s="18">
        <v>46248.0</v>
      </c>
      <c r="Y1739" s="1" t="s">
        <v>1152</v>
      </c>
      <c r="Z1739" s="1"/>
      <c r="AA1739" s="1"/>
      <c r="AB1739" s="1" t="s">
        <v>52</v>
      </c>
      <c r="AC1739" s="1" t="s">
        <v>1925</v>
      </c>
      <c r="AD1739" s="1" t="s">
        <v>8753</v>
      </c>
      <c r="AE1739" s="1" t="s">
        <v>1152</v>
      </c>
      <c r="AF1739" s="1"/>
      <c r="AG1739" s="1"/>
      <c r="AH1739" s="1" t="s">
        <v>1152</v>
      </c>
      <c r="AI1739" s="1"/>
      <c r="AJ1739" s="1" t="s">
        <v>8754</v>
      </c>
      <c r="AK1739" s="1" t="s">
        <v>1152</v>
      </c>
      <c r="AL1739" s="6" t="str">
        <f t="array" ref="AL1739">IFERROR(IFS(XLOOKUP(B1739, 'Kit Delivery Status'!$U:$U, 'Kit Delivery Status'!$K:$K) = "Complete", "DELIVERED", XLOOKUP(B1739, 'Kit Delivery Status'!$U:$U, 'Kit Delivery Status'!$K:$K) = "Issue", "ISSUE"), "")</f>
        <v/>
      </c>
      <c r="AM1739" s="6"/>
    </row>
    <row r="1740">
      <c r="A1740" s="5" t="s">
        <v>8755</v>
      </c>
      <c r="B1740" s="1" t="s">
        <v>8756</v>
      </c>
      <c r="C1740" s="1" t="s">
        <v>8757</v>
      </c>
      <c r="D1740" s="2">
        <v>9.493794575E9</v>
      </c>
      <c r="E1740" s="1" t="s">
        <v>5187</v>
      </c>
      <c r="F1740" s="1"/>
      <c r="G1740" s="1" t="s">
        <v>1215</v>
      </c>
      <c r="H1740" s="1" t="s">
        <v>989</v>
      </c>
      <c r="I1740" s="1">
        <v>92660.0</v>
      </c>
      <c r="J1740" s="1" t="s">
        <v>752</v>
      </c>
      <c r="K1740" s="1" t="s">
        <v>42</v>
      </c>
      <c r="L1740" s="1" t="s">
        <v>7863</v>
      </c>
      <c r="M1740" s="1">
        <v>79.0</v>
      </c>
      <c r="N1740" s="1" t="s">
        <v>1152</v>
      </c>
      <c r="O1740" s="3" t="s">
        <v>1818</v>
      </c>
      <c r="P1740" s="1" t="s">
        <v>1152</v>
      </c>
      <c r="Q1740" s="1" t="s">
        <v>1152</v>
      </c>
      <c r="R1740" s="1"/>
      <c r="S1740" s="1"/>
      <c r="T1740" s="1" t="s">
        <v>1152</v>
      </c>
      <c r="U1740" s="1" t="s">
        <v>7909</v>
      </c>
      <c r="V1740" s="4" t="s">
        <v>1818</v>
      </c>
      <c r="W1740" s="1"/>
      <c r="X1740" s="1" t="s">
        <v>1152</v>
      </c>
      <c r="Y1740" s="1" t="s">
        <v>1152</v>
      </c>
      <c r="Z1740" s="1"/>
      <c r="AA1740" s="1"/>
      <c r="AB1740" s="1"/>
      <c r="AC1740" s="1" t="s">
        <v>1925</v>
      </c>
      <c r="AD1740" s="1"/>
      <c r="AE1740" s="18">
        <v>46149.0</v>
      </c>
      <c r="AF1740" s="1" t="s">
        <v>1030</v>
      </c>
      <c r="AG1740" s="1" t="s">
        <v>52</v>
      </c>
      <c r="AH1740" s="1" t="s">
        <v>1152</v>
      </c>
      <c r="AI1740" s="1"/>
      <c r="AJ1740" s="1" t="s">
        <v>8758</v>
      </c>
      <c r="AK1740" s="1" t="s">
        <v>1152</v>
      </c>
      <c r="AL1740" s="6" t="str">
        <f t="array" ref="AL1740">IFERROR(IFS(XLOOKUP(B1740, 'Kit Delivery Status'!$U:$U, 'Kit Delivery Status'!$K:$K) = "Complete", "DELIVERED", XLOOKUP(B1740, 'Kit Delivery Status'!$U:$U, 'Kit Delivery Status'!$K:$K) = "Issue", "ISSUE"), "")</f>
        <v/>
      </c>
      <c r="AM1740" s="6"/>
    </row>
    <row r="1741">
      <c r="A1741" s="5" t="s">
        <v>8759</v>
      </c>
      <c r="B1741" s="1" t="s">
        <v>8760</v>
      </c>
      <c r="C1741" s="1"/>
      <c r="D1741" s="2">
        <v>9.492300616E9</v>
      </c>
      <c r="E1741" s="1" t="s">
        <v>8761</v>
      </c>
      <c r="F1741" s="1"/>
      <c r="G1741" s="1" t="s">
        <v>8762</v>
      </c>
      <c r="H1741" s="1" t="s">
        <v>989</v>
      </c>
      <c r="I1741" s="1">
        <v>92625.0</v>
      </c>
      <c r="J1741" s="1" t="s">
        <v>752</v>
      </c>
      <c r="K1741" s="1" t="s">
        <v>42</v>
      </c>
      <c r="L1741" s="1" t="s">
        <v>7863</v>
      </c>
      <c r="M1741" s="1">
        <v>79.0</v>
      </c>
      <c r="N1741" s="1" t="s">
        <v>1152</v>
      </c>
      <c r="O1741" s="3" t="s">
        <v>8763</v>
      </c>
      <c r="P1741" s="1" t="s">
        <v>1152</v>
      </c>
      <c r="Q1741" s="1" t="s">
        <v>1152</v>
      </c>
      <c r="R1741" s="1"/>
      <c r="S1741" s="1"/>
      <c r="T1741" s="1" t="s">
        <v>1152</v>
      </c>
      <c r="U1741" s="1" t="s">
        <v>1201</v>
      </c>
      <c r="V1741" s="4" t="s">
        <v>8763</v>
      </c>
      <c r="W1741" s="1"/>
      <c r="X1741" s="1" t="s">
        <v>1152</v>
      </c>
      <c r="Y1741" s="1" t="s">
        <v>1152</v>
      </c>
      <c r="Z1741" s="1"/>
      <c r="AA1741" s="1"/>
      <c r="AB1741" s="1"/>
      <c r="AC1741" s="1" t="s">
        <v>1925</v>
      </c>
      <c r="AD1741" s="1"/>
      <c r="AE1741" s="18">
        <v>46140.0</v>
      </c>
      <c r="AF1741" s="1" t="s">
        <v>1349</v>
      </c>
      <c r="AG1741" s="1" t="s">
        <v>52</v>
      </c>
      <c r="AH1741" s="1" t="s">
        <v>1152</v>
      </c>
      <c r="AI1741" s="1"/>
      <c r="AJ1741" s="1" t="s">
        <v>8764</v>
      </c>
      <c r="AK1741" s="1" t="s">
        <v>1152</v>
      </c>
      <c r="AL1741" s="6" t="str">
        <f t="array" ref="AL1741">IFERROR(IFS(XLOOKUP(B1741, 'Kit Delivery Status'!$U:$U, 'Kit Delivery Status'!$K:$K) = "Complete", "DELIVERED", XLOOKUP(B1741, 'Kit Delivery Status'!$U:$U, 'Kit Delivery Status'!$K:$K) = "Issue", "ISSUE"), "")</f>
        <v/>
      </c>
      <c r="AM1741" s="6"/>
    </row>
    <row r="1742">
      <c r="A1742" s="5" t="s">
        <v>8759</v>
      </c>
      <c r="B1742" s="1" t="s">
        <v>8760</v>
      </c>
      <c r="C1742" s="1"/>
      <c r="D1742" s="2">
        <v>9.492300616E9</v>
      </c>
      <c r="E1742" s="1" t="s">
        <v>8761</v>
      </c>
      <c r="F1742" s="1"/>
      <c r="G1742" s="1" t="s">
        <v>8762</v>
      </c>
      <c r="H1742" s="1" t="s">
        <v>989</v>
      </c>
      <c r="I1742" s="1">
        <v>92625.0</v>
      </c>
      <c r="J1742" s="1" t="s">
        <v>752</v>
      </c>
      <c r="K1742" s="1" t="s">
        <v>42</v>
      </c>
      <c r="L1742" s="1" t="s">
        <v>7863</v>
      </c>
      <c r="M1742" s="1">
        <v>79.0</v>
      </c>
      <c r="N1742" s="1" t="s">
        <v>1152</v>
      </c>
      <c r="O1742" s="3" t="s">
        <v>8765</v>
      </c>
      <c r="P1742" s="1" t="s">
        <v>1152</v>
      </c>
      <c r="Q1742" s="1" t="s">
        <v>1152</v>
      </c>
      <c r="R1742" s="1"/>
      <c r="S1742" s="1"/>
      <c r="T1742" s="1" t="s">
        <v>1152</v>
      </c>
      <c r="U1742" s="1" t="s">
        <v>1201</v>
      </c>
      <c r="V1742" s="4" t="s">
        <v>8765</v>
      </c>
      <c r="W1742" s="1"/>
      <c r="X1742" s="1" t="s">
        <v>1152</v>
      </c>
      <c r="Y1742" s="1" t="s">
        <v>1152</v>
      </c>
      <c r="Z1742" s="1"/>
      <c r="AA1742" s="1"/>
      <c r="AB1742" s="1"/>
      <c r="AC1742" s="1" t="s">
        <v>1925</v>
      </c>
      <c r="AD1742" s="1"/>
      <c r="AE1742" s="18">
        <v>46140.0</v>
      </c>
      <c r="AF1742" s="1" t="s">
        <v>1349</v>
      </c>
      <c r="AG1742" s="1" t="s">
        <v>52</v>
      </c>
      <c r="AH1742" s="1" t="s">
        <v>1152</v>
      </c>
      <c r="AI1742" s="1"/>
      <c r="AJ1742" s="1" t="s">
        <v>8764</v>
      </c>
      <c r="AK1742" s="1" t="s">
        <v>1152</v>
      </c>
      <c r="AL1742" s="6" t="str">
        <f t="array" ref="AL1742">IFERROR(IFS(XLOOKUP(B1742, 'Kit Delivery Status'!$U:$U, 'Kit Delivery Status'!$K:$K) = "Complete", "DELIVERED", XLOOKUP(B1742, 'Kit Delivery Status'!$U:$U, 'Kit Delivery Status'!$K:$K) = "Issue", "ISSUE"), "")</f>
        <v/>
      </c>
      <c r="AM1742" s="6"/>
    </row>
    <row r="1743">
      <c r="A1743" s="5" t="s">
        <v>8766</v>
      </c>
      <c r="B1743" s="1" t="s">
        <v>8767</v>
      </c>
      <c r="C1743" s="1" t="s">
        <v>734</v>
      </c>
      <c r="D1743" s="2">
        <v>8.439062372E9</v>
      </c>
      <c r="E1743" s="1" t="s">
        <v>4060</v>
      </c>
      <c r="F1743" s="1"/>
      <c r="G1743" s="1" t="s">
        <v>4061</v>
      </c>
      <c r="H1743" s="1" t="s">
        <v>2762</v>
      </c>
      <c r="I1743" s="1">
        <v>29461.0</v>
      </c>
      <c r="J1743" s="1" t="s">
        <v>752</v>
      </c>
      <c r="K1743" s="1" t="s">
        <v>2131</v>
      </c>
      <c r="L1743" s="1" t="s">
        <v>5767</v>
      </c>
      <c r="M1743" s="1">
        <v>1.0</v>
      </c>
      <c r="N1743" s="1" t="s">
        <v>1152</v>
      </c>
      <c r="O1743" s="3" t="s">
        <v>8768</v>
      </c>
      <c r="P1743" s="1" t="s">
        <v>1152</v>
      </c>
      <c r="Q1743" s="1" t="s">
        <v>1152</v>
      </c>
      <c r="R1743" s="1"/>
      <c r="S1743" s="1"/>
      <c r="T1743" s="1" t="s">
        <v>1152</v>
      </c>
      <c r="U1743" s="1" t="s">
        <v>1201</v>
      </c>
      <c r="V1743" s="4" t="s">
        <v>8768</v>
      </c>
      <c r="W1743" s="1"/>
      <c r="X1743" s="1" t="s">
        <v>1152</v>
      </c>
      <c r="Y1743" s="1" t="s">
        <v>1152</v>
      </c>
      <c r="Z1743" s="1"/>
      <c r="AA1743" s="1"/>
      <c r="AB1743" s="1"/>
      <c r="AC1743" s="1" t="s">
        <v>1925</v>
      </c>
      <c r="AD1743" s="1"/>
      <c r="AE1743" s="18">
        <v>46143.0</v>
      </c>
      <c r="AF1743" s="1"/>
      <c r="AG1743" s="1"/>
      <c r="AH1743" s="1" t="s">
        <v>1152</v>
      </c>
      <c r="AI1743" s="1"/>
      <c r="AJ1743" s="1" t="s">
        <v>8769</v>
      </c>
      <c r="AK1743" s="1" t="s">
        <v>1152</v>
      </c>
      <c r="AL1743" s="6" t="str">
        <f t="array" ref="AL1743">IFERROR(IFS(XLOOKUP(B1743, 'Kit Delivery Status'!$U:$U, 'Kit Delivery Status'!$K:$K) = "Complete", "DELIVERED", XLOOKUP(B1743, 'Kit Delivery Status'!$U:$U, 'Kit Delivery Status'!$K:$K) = "Issue", "ISSUE"), "")</f>
        <v/>
      </c>
      <c r="AM1743" s="6"/>
    </row>
    <row r="1744">
      <c r="A1744" s="5" t="s">
        <v>8766</v>
      </c>
      <c r="B1744" s="1" t="s">
        <v>8767</v>
      </c>
      <c r="C1744" s="1" t="s">
        <v>734</v>
      </c>
      <c r="D1744" s="2">
        <v>8.439062372E9</v>
      </c>
      <c r="E1744" s="1" t="s">
        <v>4060</v>
      </c>
      <c r="F1744" s="1"/>
      <c r="G1744" s="1" t="s">
        <v>4061</v>
      </c>
      <c r="H1744" s="1" t="s">
        <v>2762</v>
      </c>
      <c r="I1744" s="1">
        <v>29461.0</v>
      </c>
      <c r="J1744" s="1" t="s">
        <v>752</v>
      </c>
      <c r="K1744" s="1" t="s">
        <v>42</v>
      </c>
      <c r="L1744" s="1" t="s">
        <v>8715</v>
      </c>
      <c r="M1744" s="1">
        <v>139.0</v>
      </c>
      <c r="N1744" s="1" t="s">
        <v>1152</v>
      </c>
      <c r="O1744" s="3" t="s">
        <v>8768</v>
      </c>
      <c r="P1744" s="1" t="s">
        <v>1152</v>
      </c>
      <c r="Q1744" s="1" t="s">
        <v>1152</v>
      </c>
      <c r="R1744" s="1"/>
      <c r="S1744" s="1"/>
      <c r="T1744" s="1" t="s">
        <v>1152</v>
      </c>
      <c r="U1744" s="1" t="s">
        <v>1201</v>
      </c>
      <c r="V1744" s="4" t="s">
        <v>8768</v>
      </c>
      <c r="W1744" s="1"/>
      <c r="X1744" s="1" t="s">
        <v>1152</v>
      </c>
      <c r="Y1744" s="1" t="s">
        <v>1152</v>
      </c>
      <c r="Z1744" s="1"/>
      <c r="AA1744" s="1"/>
      <c r="AB1744" s="1"/>
      <c r="AC1744" s="1" t="s">
        <v>1925</v>
      </c>
      <c r="AD1744" s="1"/>
      <c r="AE1744" s="18">
        <v>46143.0</v>
      </c>
      <c r="AF1744" s="1" t="s">
        <v>1030</v>
      </c>
      <c r="AG1744" s="1" t="s">
        <v>52</v>
      </c>
      <c r="AH1744" s="1" t="s">
        <v>1152</v>
      </c>
      <c r="AI1744" s="1"/>
      <c r="AJ1744" s="1" t="s">
        <v>735</v>
      </c>
      <c r="AK1744" s="1" t="s">
        <v>1152</v>
      </c>
      <c r="AL1744" s="6" t="str">
        <f t="array" ref="AL1744">IFERROR(IFS(XLOOKUP(B1744, 'Kit Delivery Status'!$U:$U, 'Kit Delivery Status'!$K:$K) = "Complete", "DELIVERED", XLOOKUP(B1744, 'Kit Delivery Status'!$U:$U, 'Kit Delivery Status'!$K:$K) = "Issue", "ISSUE"), "")</f>
        <v/>
      </c>
      <c r="AM1744" s="6"/>
    </row>
    <row r="1745">
      <c r="A1745" s="5" t="s">
        <v>8770</v>
      </c>
      <c r="B1745" s="1" t="s">
        <v>8771</v>
      </c>
      <c r="C1745" s="1"/>
      <c r="D1745" s="2">
        <v>7.472298328E9</v>
      </c>
      <c r="E1745" s="1" t="s">
        <v>8772</v>
      </c>
      <c r="F1745" s="1"/>
      <c r="G1745" s="1" t="s">
        <v>8773</v>
      </c>
      <c r="H1745" s="1" t="s">
        <v>989</v>
      </c>
      <c r="I1745" s="1">
        <v>91501.0</v>
      </c>
      <c r="J1745" s="1" t="s">
        <v>752</v>
      </c>
      <c r="K1745" s="1" t="s">
        <v>66</v>
      </c>
      <c r="L1745" s="1" t="s">
        <v>6107</v>
      </c>
      <c r="M1745" s="1">
        <v>180.0</v>
      </c>
      <c r="N1745" s="1" t="s">
        <v>1152</v>
      </c>
      <c r="O1745" s="3" t="s">
        <v>8774</v>
      </c>
      <c r="P1745" s="18">
        <v>46095.0</v>
      </c>
      <c r="Q1745" s="1" t="s">
        <v>1152</v>
      </c>
      <c r="R1745" s="1"/>
      <c r="S1745" s="1"/>
      <c r="T1745" s="1" t="s">
        <v>1152</v>
      </c>
      <c r="U1745" s="1" t="s">
        <v>1080</v>
      </c>
      <c r="V1745" s="4" t="s">
        <v>8774</v>
      </c>
      <c r="W1745" s="1"/>
      <c r="X1745" s="18">
        <v>46095.0</v>
      </c>
      <c r="Y1745" s="1" t="s">
        <v>1152</v>
      </c>
      <c r="Z1745" s="1"/>
      <c r="AA1745" s="1"/>
      <c r="AB1745" s="1"/>
      <c r="AC1745" s="1" t="s">
        <v>1925</v>
      </c>
      <c r="AD1745" s="1"/>
      <c r="AE1745" s="1" t="s">
        <v>1152</v>
      </c>
      <c r="AF1745" s="1"/>
      <c r="AG1745" s="1"/>
      <c r="AH1745" s="1" t="s">
        <v>1152</v>
      </c>
      <c r="AI1745" s="1"/>
      <c r="AJ1745" s="1" t="s">
        <v>8775</v>
      </c>
      <c r="AK1745" s="1" t="s">
        <v>1152</v>
      </c>
      <c r="AL1745" s="6" t="str">
        <f t="array" ref="AL1745">IFERROR(IFS(XLOOKUP(B1745, 'Kit Delivery Status'!$U:$U, 'Kit Delivery Status'!$K:$K) = "Complete", "DELIVERED", XLOOKUP(B1745, 'Kit Delivery Status'!$U:$U, 'Kit Delivery Status'!$K:$K) = "Issue", "ISSUE"), "")</f>
        <v/>
      </c>
      <c r="AM1745" s="6"/>
    </row>
    <row r="1746">
      <c r="A1746" s="5" t="s">
        <v>8776</v>
      </c>
      <c r="B1746" s="1" t="s">
        <v>8777</v>
      </c>
      <c r="C1746" s="1"/>
      <c r="D1746" s="2">
        <v>9.84960909E9</v>
      </c>
      <c r="E1746" s="1" t="s">
        <v>8778</v>
      </c>
      <c r="F1746" s="1"/>
      <c r="G1746" s="1" t="s">
        <v>1909</v>
      </c>
      <c r="H1746" s="1" t="s">
        <v>1438</v>
      </c>
      <c r="I1746" s="1">
        <v>27613.0</v>
      </c>
      <c r="J1746" s="1" t="s">
        <v>752</v>
      </c>
      <c r="K1746" s="1" t="s">
        <v>42</v>
      </c>
      <c r="L1746" s="1" t="s">
        <v>6819</v>
      </c>
      <c r="M1746" s="1">
        <v>49.0</v>
      </c>
      <c r="N1746" s="1" t="s">
        <v>1152</v>
      </c>
      <c r="O1746" s="3" t="s">
        <v>1910</v>
      </c>
      <c r="P1746" s="1" t="s">
        <v>1152</v>
      </c>
      <c r="Q1746" s="1" t="s">
        <v>1152</v>
      </c>
      <c r="R1746" s="1"/>
      <c r="S1746" s="1"/>
      <c r="T1746" s="1" t="s">
        <v>1152</v>
      </c>
      <c r="U1746" s="1" t="s">
        <v>982</v>
      </c>
      <c r="V1746" s="4" t="s">
        <v>1910</v>
      </c>
      <c r="W1746" s="1"/>
      <c r="X1746" s="1" t="s">
        <v>1152</v>
      </c>
      <c r="Y1746" s="1" t="s">
        <v>1152</v>
      </c>
      <c r="Z1746" s="1"/>
      <c r="AA1746" s="1"/>
      <c r="AB1746" s="1"/>
      <c r="AC1746" s="1" t="s">
        <v>1925</v>
      </c>
      <c r="AD1746" s="1"/>
      <c r="AE1746" s="18">
        <v>46142.0</v>
      </c>
      <c r="AF1746" s="1" t="s">
        <v>1455</v>
      </c>
      <c r="AG1746" s="1" t="s">
        <v>52</v>
      </c>
      <c r="AH1746" s="1" t="s">
        <v>1152</v>
      </c>
      <c r="AI1746" s="1"/>
      <c r="AJ1746" s="1" t="s">
        <v>8778</v>
      </c>
      <c r="AK1746" s="1" t="s">
        <v>1152</v>
      </c>
      <c r="AL1746" s="6" t="str">
        <f t="array" ref="AL1746">IFERROR(IFS(XLOOKUP(B1746, 'Kit Delivery Status'!$U:$U, 'Kit Delivery Status'!$K:$K) = "Complete", "DELIVERED", XLOOKUP(B1746, 'Kit Delivery Status'!$U:$U, 'Kit Delivery Status'!$K:$K) = "Issue", "ISSUE"), "")</f>
        <v/>
      </c>
      <c r="AM1746" s="6"/>
    </row>
    <row r="1747">
      <c r="A1747" s="5" t="s">
        <v>8779</v>
      </c>
      <c r="B1747" s="1" t="s">
        <v>8780</v>
      </c>
      <c r="C1747" s="1" t="s">
        <v>8781</v>
      </c>
      <c r="D1747" s="2">
        <v>9.178067198E9</v>
      </c>
      <c r="E1747" s="1" t="s">
        <v>8782</v>
      </c>
      <c r="F1747" s="1"/>
      <c r="G1747" s="1" t="s">
        <v>1604</v>
      </c>
      <c r="H1747" s="1" t="s">
        <v>1078</v>
      </c>
      <c r="I1747" s="1" t="s">
        <v>8783</v>
      </c>
      <c r="J1747" s="1" t="s">
        <v>752</v>
      </c>
      <c r="K1747" s="1" t="s">
        <v>42</v>
      </c>
      <c r="L1747" s="1" t="s">
        <v>8784</v>
      </c>
      <c r="M1747" s="1">
        <v>109.0</v>
      </c>
      <c r="N1747" s="1" t="s">
        <v>1152</v>
      </c>
      <c r="O1747" s="3" t="s">
        <v>8785</v>
      </c>
      <c r="P1747" s="1" t="s">
        <v>1152</v>
      </c>
      <c r="Q1747" s="1" t="s">
        <v>1152</v>
      </c>
      <c r="R1747" s="1"/>
      <c r="S1747" s="1"/>
      <c r="T1747" s="1" t="s">
        <v>1152</v>
      </c>
      <c r="U1747" s="1" t="s">
        <v>1080</v>
      </c>
      <c r="V1747" s="4" t="s">
        <v>8785</v>
      </c>
      <c r="W1747" s="1"/>
      <c r="X1747" s="1" t="s">
        <v>1152</v>
      </c>
      <c r="Y1747" s="1" t="s">
        <v>1152</v>
      </c>
      <c r="Z1747" s="1"/>
      <c r="AA1747" s="1"/>
      <c r="AB1747" s="1"/>
      <c r="AC1747" s="1" t="s">
        <v>1925</v>
      </c>
      <c r="AD1747" s="1"/>
      <c r="AE1747" s="18">
        <v>46149.0</v>
      </c>
      <c r="AF1747" s="1" t="s">
        <v>1630</v>
      </c>
      <c r="AG1747" s="1" t="s">
        <v>52</v>
      </c>
      <c r="AH1747" s="1" t="s">
        <v>1152</v>
      </c>
      <c r="AI1747" s="1"/>
      <c r="AJ1747" s="1" t="s">
        <v>438</v>
      </c>
      <c r="AK1747" s="1" t="s">
        <v>1152</v>
      </c>
      <c r="AL1747" s="6" t="str">
        <f t="array" ref="AL1747">IFERROR(IFS(XLOOKUP(B1747, 'Kit Delivery Status'!$U:$U, 'Kit Delivery Status'!$K:$K) = "Complete", "DELIVERED", XLOOKUP(B1747, 'Kit Delivery Status'!$U:$U, 'Kit Delivery Status'!$K:$K) = "Issue", "ISSUE"), "")</f>
        <v/>
      </c>
      <c r="AM1747" s="6"/>
    </row>
    <row r="1748">
      <c r="A1748" s="5" t="s">
        <v>8779</v>
      </c>
      <c r="B1748" s="1" t="s">
        <v>8780</v>
      </c>
      <c r="C1748" s="1" t="s">
        <v>8781</v>
      </c>
      <c r="D1748" s="2">
        <v>9.178067198E9</v>
      </c>
      <c r="E1748" s="1" t="s">
        <v>8782</v>
      </c>
      <c r="F1748" s="1"/>
      <c r="G1748" s="1" t="s">
        <v>1604</v>
      </c>
      <c r="H1748" s="1" t="s">
        <v>1078</v>
      </c>
      <c r="I1748" s="1" t="s">
        <v>8783</v>
      </c>
      <c r="J1748" s="1" t="s">
        <v>752</v>
      </c>
      <c r="K1748" s="1" t="s">
        <v>42</v>
      </c>
      <c r="L1748" s="1" t="s">
        <v>8784</v>
      </c>
      <c r="M1748" s="1">
        <v>109.0</v>
      </c>
      <c r="N1748" s="1" t="s">
        <v>1152</v>
      </c>
      <c r="O1748" s="3" t="s">
        <v>8785</v>
      </c>
      <c r="P1748" s="1" t="s">
        <v>1152</v>
      </c>
      <c r="Q1748" s="1" t="s">
        <v>1152</v>
      </c>
      <c r="R1748" s="1"/>
      <c r="S1748" s="1"/>
      <c r="T1748" s="1" t="s">
        <v>1152</v>
      </c>
      <c r="U1748" s="1" t="s">
        <v>1080</v>
      </c>
      <c r="V1748" s="4" t="s">
        <v>8785</v>
      </c>
      <c r="W1748" s="1"/>
      <c r="X1748" s="1" t="s">
        <v>1152</v>
      </c>
      <c r="Y1748" s="1" t="s">
        <v>1152</v>
      </c>
      <c r="Z1748" s="1"/>
      <c r="AA1748" s="1"/>
      <c r="AB1748" s="1"/>
      <c r="AC1748" s="1" t="s">
        <v>1925</v>
      </c>
      <c r="AD1748" s="1"/>
      <c r="AE1748" s="18">
        <v>46149.0</v>
      </c>
      <c r="AF1748" s="1" t="s">
        <v>1630</v>
      </c>
      <c r="AG1748" s="1" t="s">
        <v>52</v>
      </c>
      <c r="AH1748" s="1" t="s">
        <v>1152</v>
      </c>
      <c r="AI1748" s="1"/>
      <c r="AJ1748" s="1" t="s">
        <v>438</v>
      </c>
      <c r="AK1748" s="1" t="s">
        <v>1152</v>
      </c>
      <c r="AL1748" s="6" t="str">
        <f t="array" ref="AL1748">IFERROR(IFS(XLOOKUP(B1748, 'Kit Delivery Status'!$U:$U, 'Kit Delivery Status'!$K:$K) = "Complete", "DELIVERED", XLOOKUP(B1748, 'Kit Delivery Status'!$U:$U, 'Kit Delivery Status'!$K:$K) = "Issue", "ISSUE"), "")</f>
        <v/>
      </c>
      <c r="AM1748" s="6"/>
    </row>
    <row r="1749">
      <c r="A1749" s="5" t="s">
        <v>8786</v>
      </c>
      <c r="B1749" s="1" t="s">
        <v>8787</v>
      </c>
      <c r="C1749" s="1"/>
      <c r="D1749" s="2">
        <v>6.504683885E9</v>
      </c>
      <c r="E1749" s="1" t="s">
        <v>8788</v>
      </c>
      <c r="F1749" s="1"/>
      <c r="G1749" s="1" t="s">
        <v>1131</v>
      </c>
      <c r="H1749" s="1" t="s">
        <v>751</v>
      </c>
      <c r="I1749" s="1">
        <v>10538.0</v>
      </c>
      <c r="J1749" s="1" t="s">
        <v>752</v>
      </c>
      <c r="K1749" s="1" t="s">
        <v>42</v>
      </c>
      <c r="L1749" s="1" t="s">
        <v>6819</v>
      </c>
      <c r="M1749" s="1">
        <v>49.0</v>
      </c>
      <c r="N1749" s="1" t="s">
        <v>1152</v>
      </c>
      <c r="O1749" s="3" t="s">
        <v>1132</v>
      </c>
      <c r="P1749" s="1" t="s">
        <v>1152</v>
      </c>
      <c r="Q1749" s="1" t="s">
        <v>1152</v>
      </c>
      <c r="R1749" s="1"/>
      <c r="S1749" s="1"/>
      <c r="T1749" s="1" t="s">
        <v>1152</v>
      </c>
      <c r="U1749" s="1" t="s">
        <v>1133</v>
      </c>
      <c r="V1749" s="4" t="s">
        <v>1132</v>
      </c>
      <c r="W1749" s="1"/>
      <c r="X1749" s="1" t="s">
        <v>1152</v>
      </c>
      <c r="Y1749" s="1" t="s">
        <v>1152</v>
      </c>
      <c r="Z1749" s="1"/>
      <c r="AA1749" s="1"/>
      <c r="AB1749" s="1"/>
      <c r="AC1749" s="1" t="s">
        <v>1925</v>
      </c>
      <c r="AD1749" s="1"/>
      <c r="AE1749" s="18">
        <v>46148.0</v>
      </c>
      <c r="AF1749" s="1" t="s">
        <v>1030</v>
      </c>
      <c r="AG1749" s="1" t="s">
        <v>52</v>
      </c>
      <c r="AH1749" s="1" t="s">
        <v>1152</v>
      </c>
      <c r="AI1749" s="1"/>
      <c r="AJ1749" s="1" t="s">
        <v>8789</v>
      </c>
      <c r="AK1749" s="1" t="s">
        <v>1152</v>
      </c>
      <c r="AL1749" s="6" t="str">
        <f t="array" ref="AL1749">IFERROR(IFS(XLOOKUP(B1749, 'Kit Delivery Status'!$U:$U, 'Kit Delivery Status'!$K:$K) = "Complete", "DELIVERED", XLOOKUP(B1749, 'Kit Delivery Status'!$U:$U, 'Kit Delivery Status'!$K:$K) = "Issue", "ISSUE"), "")</f>
        <v/>
      </c>
      <c r="AM1749" s="6"/>
    </row>
    <row r="1750">
      <c r="A1750" s="5" t="s">
        <v>8790</v>
      </c>
      <c r="B1750" s="1" t="s">
        <v>8791</v>
      </c>
      <c r="C1750" s="1" t="s">
        <v>1510</v>
      </c>
      <c r="D1750" s="2">
        <v>6.504683885E9</v>
      </c>
      <c r="E1750" s="1" t="s">
        <v>8788</v>
      </c>
      <c r="F1750" s="1"/>
      <c r="G1750" s="1" t="s">
        <v>1131</v>
      </c>
      <c r="H1750" s="1" t="s">
        <v>751</v>
      </c>
      <c r="I1750" s="1">
        <v>10538.0</v>
      </c>
      <c r="J1750" s="1" t="s">
        <v>752</v>
      </c>
      <c r="K1750" s="1" t="s">
        <v>42</v>
      </c>
      <c r="L1750" s="1" t="s">
        <v>6819</v>
      </c>
      <c r="M1750" s="1">
        <v>49.0</v>
      </c>
      <c r="N1750" s="1" t="s">
        <v>1152</v>
      </c>
      <c r="O1750" s="3" t="s">
        <v>3705</v>
      </c>
      <c r="P1750" s="1" t="s">
        <v>1152</v>
      </c>
      <c r="Q1750" s="1" t="s">
        <v>1152</v>
      </c>
      <c r="R1750" s="1"/>
      <c r="S1750" s="1"/>
      <c r="T1750" s="1" t="s">
        <v>1152</v>
      </c>
      <c r="U1750" s="1" t="s">
        <v>1456</v>
      </c>
      <c r="V1750" s="4" t="s">
        <v>3705</v>
      </c>
      <c r="W1750" s="1"/>
      <c r="X1750" s="1" t="s">
        <v>1152</v>
      </c>
      <c r="Y1750" s="1" t="s">
        <v>1152</v>
      </c>
      <c r="Z1750" s="1"/>
      <c r="AA1750" s="1"/>
      <c r="AB1750" s="1"/>
      <c r="AC1750" s="1" t="s">
        <v>1925</v>
      </c>
      <c r="AD1750" s="1"/>
      <c r="AE1750" s="18">
        <v>46158.0</v>
      </c>
      <c r="AF1750" s="1" t="s">
        <v>1349</v>
      </c>
      <c r="AG1750" s="1" t="s">
        <v>52</v>
      </c>
      <c r="AH1750" s="1" t="s">
        <v>1152</v>
      </c>
      <c r="AI1750" s="1"/>
      <c r="AJ1750" s="1" t="s">
        <v>8792</v>
      </c>
      <c r="AK1750" s="1" t="s">
        <v>1152</v>
      </c>
      <c r="AL1750" s="6" t="str">
        <f t="array" ref="AL1750">IFERROR(IFS(XLOOKUP(B1750, 'Kit Delivery Status'!$U:$U, 'Kit Delivery Status'!$K:$K) = "Complete", "DELIVERED", XLOOKUP(B1750, 'Kit Delivery Status'!$U:$U, 'Kit Delivery Status'!$K:$K) = "Issue", "ISSUE"), "")</f>
        <v/>
      </c>
      <c r="AM1750" s="6"/>
    </row>
    <row r="1751">
      <c r="A1751" s="5" t="s">
        <v>8793</v>
      </c>
      <c r="B1751" s="1" t="s">
        <v>8794</v>
      </c>
      <c r="C1751" s="1" t="s">
        <v>48</v>
      </c>
      <c r="D1751" s="2">
        <v>8.572188168E9</v>
      </c>
      <c r="E1751" s="1" t="s">
        <v>50</v>
      </c>
      <c r="F1751" s="1"/>
      <c r="G1751" s="1" t="s">
        <v>4642</v>
      </c>
      <c r="H1751" s="1" t="s">
        <v>1121</v>
      </c>
      <c r="I1751" s="1">
        <v>2446.0</v>
      </c>
      <c r="J1751" s="1" t="s">
        <v>752</v>
      </c>
      <c r="K1751" s="1" t="s">
        <v>892</v>
      </c>
      <c r="L1751" s="1" t="s">
        <v>6946</v>
      </c>
      <c r="M1751" s="1">
        <v>49.0</v>
      </c>
      <c r="N1751" s="1" t="s">
        <v>1152</v>
      </c>
      <c r="O1751" s="3" t="s">
        <v>8795</v>
      </c>
      <c r="P1751" s="1" t="s">
        <v>1152</v>
      </c>
      <c r="Q1751" s="1" t="s">
        <v>1152</v>
      </c>
      <c r="R1751" s="1"/>
      <c r="S1751" s="1"/>
      <c r="T1751" s="1" t="s">
        <v>1152</v>
      </c>
      <c r="U1751" s="1" t="s">
        <v>2510</v>
      </c>
      <c r="V1751" s="4" t="s">
        <v>8795</v>
      </c>
      <c r="W1751" s="1"/>
      <c r="X1751" s="1" t="s">
        <v>1152</v>
      </c>
      <c r="Y1751" s="1" t="s">
        <v>1152</v>
      </c>
      <c r="Z1751" s="1"/>
      <c r="AA1751" s="1"/>
      <c r="AB1751" s="1"/>
      <c r="AC1751" s="1" t="s">
        <v>1925</v>
      </c>
      <c r="AD1751" s="1"/>
      <c r="AE1751" s="18">
        <v>46158.0</v>
      </c>
      <c r="AF1751" s="1" t="s">
        <v>1349</v>
      </c>
      <c r="AG1751" s="1" t="s">
        <v>52</v>
      </c>
      <c r="AH1751" s="1" t="s">
        <v>8796</v>
      </c>
      <c r="AI1751" s="1"/>
      <c r="AJ1751" s="1" t="s">
        <v>50</v>
      </c>
      <c r="AK1751" s="1" t="s">
        <v>1152</v>
      </c>
      <c r="AL1751" s="6" t="str">
        <f t="array" ref="AL1751">IFERROR(IFS(XLOOKUP(B1751, 'Kit Delivery Status'!$U:$U, 'Kit Delivery Status'!$K:$K) = "Complete", "DELIVERED", XLOOKUP(B1751, 'Kit Delivery Status'!$U:$U, 'Kit Delivery Status'!$K:$K) = "Issue", "ISSUE"), "")</f>
        <v/>
      </c>
      <c r="AM1751" s="6"/>
    </row>
    <row r="1752">
      <c r="A1752" s="5" t="s">
        <v>8797</v>
      </c>
      <c r="B1752" s="1" t="s">
        <v>8798</v>
      </c>
      <c r="C1752" s="1" t="s">
        <v>8799</v>
      </c>
      <c r="D1752" s="2">
        <v>12027662257</v>
      </c>
      <c r="E1752" s="1" t="s">
        <v>8800</v>
      </c>
      <c r="F1752" s="1"/>
      <c r="G1752" s="1" t="s">
        <v>8801</v>
      </c>
      <c r="H1752" s="1" t="s">
        <v>1038</v>
      </c>
      <c r="I1752" s="1">
        <v>22043.0</v>
      </c>
      <c r="J1752" s="1" t="s">
        <v>752</v>
      </c>
      <c r="K1752" s="1" t="s">
        <v>2131</v>
      </c>
      <c r="L1752" s="1" t="s">
        <v>5767</v>
      </c>
      <c r="M1752" s="1">
        <v>1.0</v>
      </c>
      <c r="N1752" s="1" t="s">
        <v>1152</v>
      </c>
      <c r="O1752" s="3" t="s">
        <v>1012</v>
      </c>
      <c r="P1752" s="1" t="s">
        <v>1152</v>
      </c>
      <c r="Q1752" s="1" t="s">
        <v>1152</v>
      </c>
      <c r="R1752" s="1"/>
      <c r="S1752" s="1"/>
      <c r="T1752" s="1" t="s">
        <v>1152</v>
      </c>
      <c r="U1752" s="1" t="s">
        <v>956</v>
      </c>
      <c r="V1752" s="4" t="s">
        <v>1012</v>
      </c>
      <c r="W1752" s="1"/>
      <c r="X1752" s="1" t="s">
        <v>1152</v>
      </c>
      <c r="Y1752" s="1" t="s">
        <v>1152</v>
      </c>
      <c r="Z1752" s="1"/>
      <c r="AA1752" s="1"/>
      <c r="AB1752" s="1"/>
      <c r="AC1752" s="1" t="s">
        <v>1925</v>
      </c>
      <c r="AD1752" s="1"/>
      <c r="AE1752" s="18">
        <v>46148.0</v>
      </c>
      <c r="AF1752" s="1"/>
      <c r="AG1752" s="1"/>
      <c r="AH1752" s="1" t="s">
        <v>1152</v>
      </c>
      <c r="AI1752" s="1"/>
      <c r="AJ1752" s="1" t="s">
        <v>8802</v>
      </c>
      <c r="AK1752" s="1" t="s">
        <v>1152</v>
      </c>
      <c r="AL1752" s="6" t="str">
        <f t="array" ref="AL1752">IFERROR(IFS(XLOOKUP(B1752, 'Kit Delivery Status'!$U:$U, 'Kit Delivery Status'!$K:$K) = "Complete", "DELIVERED", XLOOKUP(B1752, 'Kit Delivery Status'!$U:$U, 'Kit Delivery Status'!$K:$K) = "Issue", "ISSUE"), "")</f>
        <v/>
      </c>
      <c r="AM1752" s="6"/>
    </row>
    <row r="1753">
      <c r="A1753" s="5" t="s">
        <v>8797</v>
      </c>
      <c r="B1753" s="1" t="s">
        <v>8798</v>
      </c>
      <c r="C1753" s="1" t="s">
        <v>8799</v>
      </c>
      <c r="D1753" s="2">
        <v>12027662257</v>
      </c>
      <c r="E1753" s="1" t="s">
        <v>8800</v>
      </c>
      <c r="F1753" s="1"/>
      <c r="G1753" s="1" t="s">
        <v>8801</v>
      </c>
      <c r="H1753" s="1" t="s">
        <v>1038</v>
      </c>
      <c r="I1753" s="1">
        <v>22043.0</v>
      </c>
      <c r="J1753" s="1" t="s">
        <v>752</v>
      </c>
      <c r="K1753" s="1" t="s">
        <v>42</v>
      </c>
      <c r="L1753" s="1" t="s">
        <v>6819</v>
      </c>
      <c r="M1753" s="1">
        <v>49.0</v>
      </c>
      <c r="N1753" s="1" t="s">
        <v>1152</v>
      </c>
      <c r="O1753" s="3" t="s">
        <v>1012</v>
      </c>
      <c r="P1753" s="1" t="s">
        <v>1152</v>
      </c>
      <c r="Q1753" s="1" t="s">
        <v>1152</v>
      </c>
      <c r="R1753" s="1"/>
      <c r="S1753" s="1"/>
      <c r="T1753" s="1" t="s">
        <v>1152</v>
      </c>
      <c r="U1753" s="1" t="s">
        <v>956</v>
      </c>
      <c r="V1753" s="4" t="s">
        <v>1012</v>
      </c>
      <c r="W1753" s="1"/>
      <c r="X1753" s="1" t="s">
        <v>1152</v>
      </c>
      <c r="Y1753" s="1" t="s">
        <v>1152</v>
      </c>
      <c r="Z1753" s="1"/>
      <c r="AA1753" s="1"/>
      <c r="AB1753" s="1"/>
      <c r="AC1753" s="1" t="s">
        <v>1925</v>
      </c>
      <c r="AD1753" s="1"/>
      <c r="AE1753" s="18">
        <v>46149.0</v>
      </c>
      <c r="AF1753" s="1" t="s">
        <v>1455</v>
      </c>
      <c r="AG1753" s="1" t="s">
        <v>52</v>
      </c>
      <c r="AH1753" s="1" t="s">
        <v>1152</v>
      </c>
      <c r="AI1753" s="1"/>
      <c r="AJ1753" s="1" t="s">
        <v>8802</v>
      </c>
      <c r="AK1753" s="1" t="s">
        <v>1152</v>
      </c>
      <c r="AL1753" s="6" t="str">
        <f t="array" ref="AL1753">IFERROR(IFS(XLOOKUP(B1753, 'Kit Delivery Status'!$U:$U, 'Kit Delivery Status'!$K:$K) = "Complete", "DELIVERED", XLOOKUP(B1753, 'Kit Delivery Status'!$U:$U, 'Kit Delivery Status'!$K:$K) = "Issue", "ISSUE"), "")</f>
        <v/>
      </c>
      <c r="AM1753" s="6"/>
    </row>
    <row r="1754">
      <c r="A1754" s="5" t="s">
        <v>8803</v>
      </c>
      <c r="B1754" s="1" t="s">
        <v>8804</v>
      </c>
      <c r="C1754" s="1" t="s">
        <v>8805</v>
      </c>
      <c r="D1754" s="2" t="str">
        <v>#ERROR!</v>
      </c>
      <c r="E1754" s="1" t="s">
        <v>8806</v>
      </c>
      <c r="F1754" s="1"/>
      <c r="G1754" s="1" t="s">
        <v>8807</v>
      </c>
      <c r="H1754" s="1" t="s">
        <v>1208</v>
      </c>
      <c r="I1754" s="1">
        <v>33330.0</v>
      </c>
      <c r="J1754" s="1" t="s">
        <v>752</v>
      </c>
      <c r="K1754" s="1" t="s">
        <v>42</v>
      </c>
      <c r="L1754" s="1" t="s">
        <v>6819</v>
      </c>
      <c r="M1754" s="1">
        <v>49.0</v>
      </c>
      <c r="N1754" s="1" t="s">
        <v>1152</v>
      </c>
      <c r="O1754" s="3" t="s">
        <v>8808</v>
      </c>
      <c r="P1754" s="1" t="s">
        <v>1152</v>
      </c>
      <c r="Q1754" s="1" t="s">
        <v>1152</v>
      </c>
      <c r="R1754" s="1"/>
      <c r="S1754" s="1"/>
      <c r="T1754" s="1" t="s">
        <v>1152</v>
      </c>
      <c r="U1754" s="1" t="s">
        <v>1407</v>
      </c>
      <c r="V1754" s="4" t="s">
        <v>8808</v>
      </c>
      <c r="W1754" s="1"/>
      <c r="X1754" s="1" t="s">
        <v>1152</v>
      </c>
      <c r="Y1754" s="1" t="s">
        <v>1152</v>
      </c>
      <c r="Z1754" s="1"/>
      <c r="AA1754" s="1"/>
      <c r="AB1754" s="1"/>
      <c r="AC1754" s="1" t="s">
        <v>1925</v>
      </c>
      <c r="AD1754" s="1"/>
      <c r="AE1754" s="18">
        <v>46149.0</v>
      </c>
      <c r="AF1754" s="1" t="s">
        <v>1630</v>
      </c>
      <c r="AG1754" s="1" t="s">
        <v>52</v>
      </c>
      <c r="AH1754" s="1" t="s">
        <v>1152</v>
      </c>
      <c r="AI1754" s="1"/>
      <c r="AJ1754" s="1" t="s">
        <v>8809</v>
      </c>
      <c r="AK1754" s="1" t="s">
        <v>1152</v>
      </c>
      <c r="AL1754" s="6" t="str">
        <f t="array" ref="AL1754">IFERROR(IFS(XLOOKUP(B1754, 'Kit Delivery Status'!$U:$U, 'Kit Delivery Status'!$K:$K) = "Complete", "DELIVERED", XLOOKUP(B1754, 'Kit Delivery Status'!$U:$U, 'Kit Delivery Status'!$K:$K) = "Issue", "ISSUE"), "")</f>
        <v/>
      </c>
      <c r="AM1754" s="6"/>
    </row>
    <row r="1755">
      <c r="A1755" s="5" t="s">
        <v>8810</v>
      </c>
      <c r="B1755" s="1" t="s">
        <v>8811</v>
      </c>
      <c r="C1755" s="1" t="s">
        <v>8812</v>
      </c>
      <c r="D1755" s="2">
        <v>6.464133872E9</v>
      </c>
      <c r="E1755" s="1" t="s">
        <v>8813</v>
      </c>
      <c r="F1755" s="1"/>
      <c r="G1755" s="1" t="s">
        <v>8814</v>
      </c>
      <c r="H1755" s="1" t="s">
        <v>1233</v>
      </c>
      <c r="I1755" s="1">
        <v>19341.0</v>
      </c>
      <c r="J1755" s="1" t="s">
        <v>752</v>
      </c>
      <c r="K1755" s="1" t="s">
        <v>42</v>
      </c>
      <c r="L1755" s="1" t="s">
        <v>6819</v>
      </c>
      <c r="M1755" s="1">
        <v>49.0</v>
      </c>
      <c r="N1755" s="1" t="s">
        <v>1152</v>
      </c>
      <c r="O1755" s="3" t="s">
        <v>8815</v>
      </c>
      <c r="P1755" s="1" t="s">
        <v>1152</v>
      </c>
      <c r="Q1755" s="1" t="s">
        <v>1152</v>
      </c>
      <c r="R1755" s="1"/>
      <c r="S1755" s="1"/>
      <c r="T1755" s="1" t="s">
        <v>1152</v>
      </c>
      <c r="U1755" s="1" t="s">
        <v>1039</v>
      </c>
      <c r="V1755" s="4" t="s">
        <v>8815</v>
      </c>
      <c r="W1755" s="1"/>
      <c r="X1755" s="1" t="s">
        <v>1152</v>
      </c>
      <c r="Y1755" s="1" t="s">
        <v>1152</v>
      </c>
      <c r="Z1755" s="1"/>
      <c r="AA1755" s="1"/>
      <c r="AB1755" s="1"/>
      <c r="AC1755" s="1" t="s">
        <v>1925</v>
      </c>
      <c r="AD1755" s="1"/>
      <c r="AE1755" s="18">
        <v>46149.0</v>
      </c>
      <c r="AF1755" s="1" t="s">
        <v>1030</v>
      </c>
      <c r="AG1755" s="1" t="s">
        <v>52</v>
      </c>
      <c r="AH1755" s="1" t="s">
        <v>1152</v>
      </c>
      <c r="AI1755" s="1"/>
      <c r="AJ1755" s="1" t="s">
        <v>8816</v>
      </c>
      <c r="AK1755" s="1" t="s">
        <v>1152</v>
      </c>
      <c r="AL1755" s="6" t="str">
        <f t="array" ref="AL1755">IFERROR(IFS(XLOOKUP(B1755, 'Kit Delivery Status'!$U:$U, 'Kit Delivery Status'!$K:$K) = "Complete", "DELIVERED", XLOOKUP(B1755, 'Kit Delivery Status'!$U:$U, 'Kit Delivery Status'!$K:$K) = "Issue", "ISSUE"), "")</f>
        <v/>
      </c>
      <c r="AM1755" s="6"/>
    </row>
    <row r="1756">
      <c r="A1756" s="5" t="s">
        <v>8817</v>
      </c>
      <c r="B1756" s="1" t="s">
        <v>8818</v>
      </c>
      <c r="C1756" s="1" t="s">
        <v>8819</v>
      </c>
      <c r="D1756" s="2">
        <v>3.145365123E9</v>
      </c>
      <c r="E1756" s="1" t="s">
        <v>6842</v>
      </c>
      <c r="F1756" s="1"/>
      <c r="G1756" s="1" t="s">
        <v>2350</v>
      </c>
      <c r="H1756" s="1" t="s">
        <v>1155</v>
      </c>
      <c r="I1756" s="1">
        <v>63105.0</v>
      </c>
      <c r="J1756" s="1" t="s">
        <v>752</v>
      </c>
      <c r="K1756" s="1" t="s">
        <v>42</v>
      </c>
      <c r="L1756" s="1" t="s">
        <v>7863</v>
      </c>
      <c r="M1756" s="1">
        <v>79.0</v>
      </c>
      <c r="N1756" s="1" t="s">
        <v>1152</v>
      </c>
      <c r="O1756" s="3" t="s">
        <v>3712</v>
      </c>
      <c r="P1756" s="1" t="s">
        <v>1152</v>
      </c>
      <c r="Q1756" s="1" t="s">
        <v>1152</v>
      </c>
      <c r="R1756" s="1"/>
      <c r="S1756" s="1"/>
      <c r="T1756" s="1" t="s">
        <v>1152</v>
      </c>
      <c r="U1756" s="1" t="s">
        <v>6053</v>
      </c>
      <c r="V1756" s="4" t="s">
        <v>3712</v>
      </c>
      <c r="W1756" s="1"/>
      <c r="X1756" s="1" t="s">
        <v>1152</v>
      </c>
      <c r="Y1756" s="1" t="s">
        <v>1152</v>
      </c>
      <c r="Z1756" s="1"/>
      <c r="AA1756" s="1"/>
      <c r="AB1756" s="1"/>
      <c r="AC1756" s="1" t="s">
        <v>1925</v>
      </c>
      <c r="AD1756" s="1"/>
      <c r="AE1756" s="18">
        <v>46147.0</v>
      </c>
      <c r="AF1756" s="1" t="s">
        <v>1030</v>
      </c>
      <c r="AG1756" s="1" t="s">
        <v>52</v>
      </c>
      <c r="AH1756" s="1" t="s">
        <v>1152</v>
      </c>
      <c r="AI1756" s="1"/>
      <c r="AJ1756" s="1" t="s">
        <v>6842</v>
      </c>
      <c r="AK1756" s="1" t="s">
        <v>1152</v>
      </c>
      <c r="AL1756" s="6" t="str">
        <f t="array" ref="AL1756">IFERROR(IFS(XLOOKUP(B1756, 'Kit Delivery Status'!$U:$U, 'Kit Delivery Status'!$K:$K) = "Complete", "DELIVERED", XLOOKUP(B1756, 'Kit Delivery Status'!$U:$U, 'Kit Delivery Status'!$K:$K) = "Issue", "ISSUE"), "")</f>
        <v/>
      </c>
      <c r="AM1756" s="6"/>
    </row>
    <row r="1757">
      <c r="A1757" s="5" t="s">
        <v>8820</v>
      </c>
      <c r="B1757" s="1" t="s">
        <v>8821</v>
      </c>
      <c r="C1757" s="1"/>
      <c r="D1757" s="2">
        <v>9.737052053E9</v>
      </c>
      <c r="E1757" s="1" t="s">
        <v>1429</v>
      </c>
      <c r="F1757" s="1"/>
      <c r="G1757" s="1" t="s">
        <v>8822</v>
      </c>
      <c r="H1757" s="1" t="s">
        <v>1053</v>
      </c>
      <c r="I1757" s="1">
        <v>8825.0</v>
      </c>
      <c r="J1757" s="1" t="s">
        <v>752</v>
      </c>
      <c r="K1757" s="1" t="s">
        <v>42</v>
      </c>
      <c r="L1757" s="1" t="s">
        <v>6819</v>
      </c>
      <c r="M1757" s="1">
        <v>49.0</v>
      </c>
      <c r="N1757" s="1" t="s">
        <v>1152</v>
      </c>
      <c r="O1757" s="3" t="s">
        <v>1432</v>
      </c>
      <c r="P1757" s="1" t="s">
        <v>1152</v>
      </c>
      <c r="Q1757" s="1" t="s">
        <v>1152</v>
      </c>
      <c r="R1757" s="1"/>
      <c r="S1757" s="1"/>
      <c r="T1757" s="1" t="s">
        <v>1152</v>
      </c>
      <c r="U1757" s="1" t="s">
        <v>1376</v>
      </c>
      <c r="V1757" s="4" t="s">
        <v>1432</v>
      </c>
      <c r="W1757" s="1"/>
      <c r="X1757" s="1" t="s">
        <v>1152</v>
      </c>
      <c r="Y1757" s="1" t="s">
        <v>1152</v>
      </c>
      <c r="Z1757" s="1"/>
      <c r="AA1757" s="1"/>
      <c r="AB1757" s="1"/>
      <c r="AC1757" s="1" t="s">
        <v>1925</v>
      </c>
      <c r="AD1757" s="1"/>
      <c r="AE1757" s="18">
        <v>46146.0</v>
      </c>
      <c r="AF1757" s="1" t="s">
        <v>1030</v>
      </c>
      <c r="AG1757" s="1" t="s">
        <v>52</v>
      </c>
      <c r="AH1757" s="1" t="s">
        <v>1152</v>
      </c>
      <c r="AI1757" s="1"/>
      <c r="AJ1757" s="1" t="s">
        <v>490</v>
      </c>
      <c r="AK1757" s="1" t="s">
        <v>1152</v>
      </c>
      <c r="AL1757" s="6" t="str">
        <f t="array" ref="AL1757">IFERROR(IFS(XLOOKUP(B1757, 'Kit Delivery Status'!$U:$U, 'Kit Delivery Status'!$K:$K) = "Complete", "DELIVERED", XLOOKUP(B1757, 'Kit Delivery Status'!$U:$U, 'Kit Delivery Status'!$K:$K) = "Issue", "ISSUE"), "")</f>
        <v/>
      </c>
      <c r="AM1757" s="6"/>
    </row>
    <row r="1758">
      <c r="A1758" s="5" t="s">
        <v>8820</v>
      </c>
      <c r="B1758" s="1" t="s">
        <v>8821</v>
      </c>
      <c r="C1758" s="1"/>
      <c r="D1758" s="2">
        <v>9.737052053E9</v>
      </c>
      <c r="E1758" s="1" t="s">
        <v>1429</v>
      </c>
      <c r="F1758" s="1"/>
      <c r="G1758" s="1" t="s">
        <v>8822</v>
      </c>
      <c r="H1758" s="1" t="s">
        <v>1053</v>
      </c>
      <c r="I1758" s="1">
        <v>8825.0</v>
      </c>
      <c r="J1758" s="1" t="s">
        <v>752</v>
      </c>
      <c r="K1758" s="1" t="s">
        <v>2131</v>
      </c>
      <c r="L1758" s="1" t="s">
        <v>5736</v>
      </c>
      <c r="M1758" s="1">
        <v>1.0</v>
      </c>
      <c r="N1758" s="1" t="s">
        <v>1152</v>
      </c>
      <c r="O1758" s="3" t="s">
        <v>1432</v>
      </c>
      <c r="P1758" s="1" t="s">
        <v>1152</v>
      </c>
      <c r="Q1758" s="1" t="s">
        <v>1152</v>
      </c>
      <c r="R1758" s="1"/>
      <c r="S1758" s="1"/>
      <c r="T1758" s="1" t="s">
        <v>1152</v>
      </c>
      <c r="U1758" s="1" t="s">
        <v>1376</v>
      </c>
      <c r="V1758" s="4" t="s">
        <v>1432</v>
      </c>
      <c r="W1758" s="1"/>
      <c r="X1758" s="1" t="s">
        <v>1152</v>
      </c>
      <c r="Y1758" s="1" t="s">
        <v>1152</v>
      </c>
      <c r="Z1758" s="1"/>
      <c r="AA1758" s="1"/>
      <c r="AB1758" s="1"/>
      <c r="AC1758" s="1" t="s">
        <v>1925</v>
      </c>
      <c r="AD1758" s="1"/>
      <c r="AE1758" s="18">
        <v>46146.0</v>
      </c>
      <c r="AF1758" s="1"/>
      <c r="AG1758" s="1"/>
      <c r="AH1758" s="1" t="s">
        <v>1152</v>
      </c>
      <c r="AI1758" s="1"/>
      <c r="AJ1758" s="1" t="s">
        <v>490</v>
      </c>
      <c r="AK1758" s="1" t="s">
        <v>1152</v>
      </c>
      <c r="AL1758" s="6" t="str">
        <f t="array" ref="AL1758">IFERROR(IFS(XLOOKUP(B1758, 'Kit Delivery Status'!$U:$U, 'Kit Delivery Status'!$K:$K) = "Complete", "DELIVERED", XLOOKUP(B1758, 'Kit Delivery Status'!$U:$U, 'Kit Delivery Status'!$K:$K) = "Issue", "ISSUE"), "")</f>
        <v/>
      </c>
      <c r="AM1758" s="6"/>
    </row>
    <row r="1759">
      <c r="A1759" s="5" t="s">
        <v>8823</v>
      </c>
      <c r="B1759" s="1" t="s">
        <v>8824</v>
      </c>
      <c r="C1759" s="1" t="s">
        <v>3362</v>
      </c>
      <c r="D1759" s="2">
        <v>5.166597079E9</v>
      </c>
      <c r="E1759" s="1" t="s">
        <v>3363</v>
      </c>
      <c r="F1759" s="1"/>
      <c r="G1759" s="1" t="s">
        <v>1405</v>
      </c>
      <c r="H1759" s="1" t="s">
        <v>751</v>
      </c>
      <c r="I1759" s="1">
        <v>11753.0</v>
      </c>
      <c r="J1759" s="1" t="s">
        <v>752</v>
      </c>
      <c r="K1759" s="1" t="s">
        <v>42</v>
      </c>
      <c r="L1759" s="1" t="s">
        <v>6819</v>
      </c>
      <c r="M1759" s="1">
        <v>49.0</v>
      </c>
      <c r="N1759" s="1" t="s">
        <v>1152</v>
      </c>
      <c r="O1759" s="3" t="s">
        <v>3365</v>
      </c>
      <c r="P1759" s="1" t="s">
        <v>1152</v>
      </c>
      <c r="Q1759" s="1" t="s">
        <v>1152</v>
      </c>
      <c r="R1759" s="1"/>
      <c r="S1759" s="1"/>
      <c r="T1759" s="1" t="s">
        <v>1152</v>
      </c>
      <c r="U1759" s="1" t="s">
        <v>1812</v>
      </c>
      <c r="V1759" s="4" t="s">
        <v>3365</v>
      </c>
      <c r="W1759" s="1"/>
      <c r="X1759" s="1" t="s">
        <v>1152</v>
      </c>
      <c r="Y1759" s="1" t="s">
        <v>1152</v>
      </c>
      <c r="Z1759" s="1"/>
      <c r="AA1759" s="1"/>
      <c r="AB1759" s="1"/>
      <c r="AC1759" s="1" t="s">
        <v>1925</v>
      </c>
      <c r="AD1759" s="1"/>
      <c r="AE1759" s="18">
        <v>46146.0</v>
      </c>
      <c r="AF1759" s="1" t="s">
        <v>1030</v>
      </c>
      <c r="AG1759" s="1" t="s">
        <v>52</v>
      </c>
      <c r="AH1759" s="1" t="s">
        <v>1152</v>
      </c>
      <c r="AI1759" s="1"/>
      <c r="AJ1759" s="1" t="s">
        <v>3363</v>
      </c>
      <c r="AK1759" s="1" t="s">
        <v>1152</v>
      </c>
      <c r="AL1759" s="6" t="str">
        <f t="array" ref="AL1759">IFERROR(IFS(XLOOKUP(B1759, 'Kit Delivery Status'!$U:$U, 'Kit Delivery Status'!$K:$K) = "Complete", "DELIVERED", XLOOKUP(B1759, 'Kit Delivery Status'!$U:$U, 'Kit Delivery Status'!$K:$K) = "Issue", "ISSUE"), "")</f>
        <v/>
      </c>
      <c r="AM1759" s="6"/>
    </row>
    <row r="1760">
      <c r="A1760" s="5" t="s">
        <v>8825</v>
      </c>
      <c r="B1760" s="1" t="s">
        <v>8826</v>
      </c>
      <c r="C1760" s="1"/>
      <c r="D1760" s="2">
        <v>2.163337757E9</v>
      </c>
      <c r="E1760" s="1" t="s">
        <v>8827</v>
      </c>
      <c r="F1760" s="1"/>
      <c r="G1760" s="1" t="s">
        <v>6438</v>
      </c>
      <c r="H1760" s="1" t="s">
        <v>2171</v>
      </c>
      <c r="I1760" s="1">
        <v>44040.0</v>
      </c>
      <c r="J1760" s="1" t="s">
        <v>752</v>
      </c>
      <c r="K1760" s="1" t="s">
        <v>42</v>
      </c>
      <c r="L1760" s="1" t="s">
        <v>6819</v>
      </c>
      <c r="M1760" s="1">
        <v>49.0</v>
      </c>
      <c r="N1760" s="1" t="s">
        <v>1152</v>
      </c>
      <c r="O1760" s="3" t="s">
        <v>8828</v>
      </c>
      <c r="P1760" s="1" t="s">
        <v>1152</v>
      </c>
      <c r="Q1760" s="1" t="s">
        <v>1152</v>
      </c>
      <c r="R1760" s="1"/>
      <c r="S1760" s="1"/>
      <c r="T1760" s="1" t="s">
        <v>1152</v>
      </c>
      <c r="U1760" s="1" t="s">
        <v>1277</v>
      </c>
      <c r="V1760" s="4" t="s">
        <v>8828</v>
      </c>
      <c r="W1760" s="1"/>
      <c r="X1760" s="1" t="s">
        <v>1152</v>
      </c>
      <c r="Y1760" s="1" t="s">
        <v>1152</v>
      </c>
      <c r="Z1760" s="1"/>
      <c r="AA1760" s="1"/>
      <c r="AB1760" s="1"/>
      <c r="AC1760" s="1" t="s">
        <v>1925</v>
      </c>
      <c r="AD1760" s="1"/>
      <c r="AE1760" s="18">
        <v>46146.0</v>
      </c>
      <c r="AF1760" s="1" t="s">
        <v>1630</v>
      </c>
      <c r="AG1760" s="1" t="s">
        <v>52</v>
      </c>
      <c r="AH1760" s="1" t="s">
        <v>1152</v>
      </c>
      <c r="AI1760" s="1"/>
      <c r="AJ1760" s="1" t="s">
        <v>6439</v>
      </c>
      <c r="AK1760" s="1" t="s">
        <v>1152</v>
      </c>
      <c r="AL1760" s="6" t="str">
        <f t="array" ref="AL1760">IFERROR(IFS(XLOOKUP(B1760, 'Kit Delivery Status'!$U:$U, 'Kit Delivery Status'!$K:$K) = "Complete", "DELIVERED", XLOOKUP(B1760, 'Kit Delivery Status'!$U:$U, 'Kit Delivery Status'!$K:$K) = "Issue", "ISSUE"), "")</f>
        <v/>
      </c>
      <c r="AM1760" s="6"/>
    </row>
    <row r="1761">
      <c r="A1761" s="5" t="s">
        <v>8829</v>
      </c>
      <c r="B1761" s="1" t="s">
        <v>8830</v>
      </c>
      <c r="C1761" s="1" t="s">
        <v>5570</v>
      </c>
      <c r="D1761" s="2">
        <v>2.066613897E9</v>
      </c>
      <c r="E1761" s="1" t="s">
        <v>8831</v>
      </c>
      <c r="F1761" s="1"/>
      <c r="G1761" s="1" t="s">
        <v>8832</v>
      </c>
      <c r="H1761" s="1" t="s">
        <v>980</v>
      </c>
      <c r="I1761" s="1">
        <v>98040.0</v>
      </c>
      <c r="J1761" s="1" t="s">
        <v>752</v>
      </c>
      <c r="K1761" s="1" t="s">
        <v>42</v>
      </c>
      <c r="L1761" s="1" t="s">
        <v>7863</v>
      </c>
      <c r="M1761" s="1">
        <v>79.0</v>
      </c>
      <c r="N1761" s="1" t="s">
        <v>1152</v>
      </c>
      <c r="O1761" s="3" t="s">
        <v>2710</v>
      </c>
      <c r="P1761" s="1" t="s">
        <v>1152</v>
      </c>
      <c r="Q1761" s="1" t="s">
        <v>1152</v>
      </c>
      <c r="R1761" s="1"/>
      <c r="S1761" s="1"/>
      <c r="T1761" s="1" t="s">
        <v>1152</v>
      </c>
      <c r="U1761" s="1" t="s">
        <v>1415</v>
      </c>
      <c r="V1761" s="4" t="s">
        <v>2710</v>
      </c>
      <c r="W1761" s="1"/>
      <c r="X1761" s="1" t="s">
        <v>1152</v>
      </c>
      <c r="Y1761" s="1" t="s">
        <v>1152</v>
      </c>
      <c r="Z1761" s="1"/>
      <c r="AA1761" s="1"/>
      <c r="AB1761" s="1"/>
      <c r="AC1761" s="1" t="s">
        <v>1925</v>
      </c>
      <c r="AD1761" s="1"/>
      <c r="AE1761" s="18">
        <v>46150.0</v>
      </c>
      <c r="AF1761" s="1" t="s">
        <v>1030</v>
      </c>
      <c r="AG1761" s="1" t="s">
        <v>52</v>
      </c>
      <c r="AH1761" s="1" t="s">
        <v>1152</v>
      </c>
      <c r="AI1761" s="1"/>
      <c r="AJ1761" s="1" t="s">
        <v>8833</v>
      </c>
      <c r="AK1761" s="1" t="s">
        <v>1152</v>
      </c>
      <c r="AL1761" s="6" t="str">
        <f t="array" ref="AL1761">IFERROR(IFS(XLOOKUP(B1761, 'Kit Delivery Status'!$U:$U, 'Kit Delivery Status'!$K:$K) = "Complete", "DELIVERED", XLOOKUP(B1761, 'Kit Delivery Status'!$U:$U, 'Kit Delivery Status'!$K:$K) = "Issue", "ISSUE"), "")</f>
        <v/>
      </c>
      <c r="AM1761" s="6"/>
    </row>
    <row r="1762">
      <c r="A1762" s="5" t="s">
        <v>8834</v>
      </c>
      <c r="B1762" s="1" t="s">
        <v>8835</v>
      </c>
      <c r="C1762" s="1" t="s">
        <v>8836</v>
      </c>
      <c r="D1762" s="2">
        <v>5.162417683E9</v>
      </c>
      <c r="E1762" s="1" t="s">
        <v>8277</v>
      </c>
      <c r="F1762" s="1"/>
      <c r="G1762" s="1" t="s">
        <v>8278</v>
      </c>
      <c r="H1762" s="1" t="s">
        <v>751</v>
      </c>
      <c r="I1762" s="1">
        <v>11572.0</v>
      </c>
      <c r="J1762" s="1" t="s">
        <v>752</v>
      </c>
      <c r="K1762" s="1" t="s">
        <v>42</v>
      </c>
      <c r="L1762" s="1" t="s">
        <v>6819</v>
      </c>
      <c r="M1762" s="1">
        <v>49.0</v>
      </c>
      <c r="N1762" s="1" t="s">
        <v>1152</v>
      </c>
      <c r="O1762" s="3" t="s">
        <v>8837</v>
      </c>
      <c r="P1762" s="1" t="s">
        <v>1152</v>
      </c>
      <c r="Q1762" s="1" t="s">
        <v>1152</v>
      </c>
      <c r="R1762" s="1"/>
      <c r="S1762" s="1"/>
      <c r="T1762" s="1" t="s">
        <v>1152</v>
      </c>
      <c r="U1762" s="1" t="s">
        <v>7491</v>
      </c>
      <c r="V1762" s="4" t="s">
        <v>8837</v>
      </c>
      <c r="W1762" s="1"/>
      <c r="X1762" s="1" t="s">
        <v>1152</v>
      </c>
      <c r="Y1762" s="1" t="s">
        <v>1152</v>
      </c>
      <c r="Z1762" s="1"/>
      <c r="AA1762" s="1"/>
      <c r="AB1762" s="1"/>
      <c r="AC1762" s="1" t="s">
        <v>1925</v>
      </c>
      <c r="AD1762" s="1"/>
      <c r="AE1762" s="18">
        <v>46139.0</v>
      </c>
      <c r="AF1762" s="1" t="s">
        <v>1030</v>
      </c>
      <c r="AG1762" s="1" t="s">
        <v>52</v>
      </c>
      <c r="AH1762" s="1" t="s">
        <v>1152</v>
      </c>
      <c r="AI1762" s="1"/>
      <c r="AJ1762" s="1" t="s">
        <v>8277</v>
      </c>
      <c r="AK1762" s="1" t="s">
        <v>1152</v>
      </c>
      <c r="AL1762" s="6" t="str">
        <f t="array" ref="AL1762">IFERROR(IFS(XLOOKUP(B1762, 'Kit Delivery Status'!$U:$U, 'Kit Delivery Status'!$K:$K) = "Complete", "DELIVERED", XLOOKUP(B1762, 'Kit Delivery Status'!$U:$U, 'Kit Delivery Status'!$K:$K) = "Issue", "ISSUE"), "")</f>
        <v/>
      </c>
      <c r="AM1762" s="6"/>
    </row>
    <row r="1763">
      <c r="A1763" s="5" t="s">
        <v>8838</v>
      </c>
      <c r="B1763" s="1" t="s">
        <v>8839</v>
      </c>
      <c r="C1763" s="1" t="s">
        <v>8840</v>
      </c>
      <c r="D1763" s="2">
        <v>7.472468413E9</v>
      </c>
      <c r="E1763" s="1" t="s">
        <v>8841</v>
      </c>
      <c r="F1763" s="1"/>
      <c r="G1763" s="1" t="s">
        <v>8842</v>
      </c>
      <c r="H1763" s="1" t="s">
        <v>989</v>
      </c>
      <c r="I1763" s="1">
        <v>91342.0</v>
      </c>
      <c r="J1763" s="1" t="s">
        <v>752</v>
      </c>
      <c r="K1763" s="1" t="s">
        <v>42</v>
      </c>
      <c r="L1763" s="1" t="s">
        <v>6819</v>
      </c>
      <c r="M1763" s="1">
        <v>49.0</v>
      </c>
      <c r="N1763" s="1" t="s">
        <v>1152</v>
      </c>
      <c r="O1763" s="3" t="s">
        <v>3705</v>
      </c>
      <c r="P1763" s="1" t="s">
        <v>1152</v>
      </c>
      <c r="Q1763" s="1" t="s">
        <v>1152</v>
      </c>
      <c r="R1763" s="1"/>
      <c r="S1763" s="1"/>
      <c r="T1763" s="1" t="s">
        <v>1152</v>
      </c>
      <c r="U1763" s="1" t="s">
        <v>1249</v>
      </c>
      <c r="V1763" s="4" t="s">
        <v>3705</v>
      </c>
      <c r="W1763" s="1"/>
      <c r="X1763" s="1" t="s">
        <v>1152</v>
      </c>
      <c r="Y1763" s="1" t="s">
        <v>1152</v>
      </c>
      <c r="Z1763" s="1"/>
      <c r="AA1763" s="1"/>
      <c r="AB1763" s="1"/>
      <c r="AC1763" s="1" t="s">
        <v>1925</v>
      </c>
      <c r="AD1763" s="1"/>
      <c r="AE1763" s="18">
        <v>46148.0</v>
      </c>
      <c r="AF1763" s="1" t="s">
        <v>1103</v>
      </c>
      <c r="AG1763" s="1" t="s">
        <v>52</v>
      </c>
      <c r="AH1763" s="1" t="s">
        <v>1152</v>
      </c>
      <c r="AI1763" s="1"/>
      <c r="AJ1763" s="1" t="s">
        <v>8843</v>
      </c>
      <c r="AK1763" s="1" t="s">
        <v>1152</v>
      </c>
      <c r="AL1763" s="6" t="str">
        <f t="array" ref="AL1763">IFERROR(IFS(XLOOKUP(B1763, 'Kit Delivery Status'!$U:$U, 'Kit Delivery Status'!$K:$K) = "Complete", "DELIVERED", XLOOKUP(B1763, 'Kit Delivery Status'!$U:$U, 'Kit Delivery Status'!$K:$K) = "Issue", "ISSUE"), "")</f>
        <v/>
      </c>
      <c r="AM1763" s="6"/>
    </row>
    <row r="1764">
      <c r="A1764" s="5" t="s">
        <v>8844</v>
      </c>
      <c r="B1764" s="1" t="s">
        <v>8845</v>
      </c>
      <c r="C1764" s="1"/>
      <c r="D1764" s="2">
        <v>2.144032341E9</v>
      </c>
      <c r="E1764" s="1" t="s">
        <v>4780</v>
      </c>
      <c r="F1764" s="1"/>
      <c r="G1764" s="1" t="s">
        <v>2715</v>
      </c>
      <c r="H1764" s="1" t="s">
        <v>1583</v>
      </c>
      <c r="I1764" s="1">
        <v>75227.0</v>
      </c>
      <c r="J1764" s="1" t="s">
        <v>752</v>
      </c>
      <c r="K1764" s="1" t="s">
        <v>42</v>
      </c>
      <c r="L1764" s="1" t="s">
        <v>6819</v>
      </c>
      <c r="M1764" s="1">
        <v>49.0</v>
      </c>
      <c r="N1764" s="1" t="s">
        <v>1152</v>
      </c>
      <c r="O1764" s="3" t="s">
        <v>5682</v>
      </c>
      <c r="P1764" s="1" t="s">
        <v>1152</v>
      </c>
      <c r="Q1764" s="1" t="s">
        <v>1152</v>
      </c>
      <c r="R1764" s="1"/>
      <c r="S1764" s="1"/>
      <c r="T1764" s="1" t="s">
        <v>1152</v>
      </c>
      <c r="U1764" s="1" t="s">
        <v>1812</v>
      </c>
      <c r="V1764" s="4" t="s">
        <v>5682</v>
      </c>
      <c r="W1764" s="1"/>
      <c r="X1764" s="1" t="s">
        <v>1152</v>
      </c>
      <c r="Y1764" s="1" t="s">
        <v>1152</v>
      </c>
      <c r="Z1764" s="1"/>
      <c r="AA1764" s="1"/>
      <c r="AB1764" s="1"/>
      <c r="AC1764" s="1" t="s">
        <v>1925</v>
      </c>
      <c r="AD1764" s="1"/>
      <c r="AE1764" s="18">
        <v>46148.0</v>
      </c>
      <c r="AF1764" s="1" t="s">
        <v>1030</v>
      </c>
      <c r="AG1764" s="1" t="s">
        <v>52</v>
      </c>
      <c r="AH1764" s="1" t="s">
        <v>1152</v>
      </c>
      <c r="AI1764" s="1"/>
      <c r="AJ1764" s="1" t="s">
        <v>4780</v>
      </c>
      <c r="AK1764" s="1" t="s">
        <v>1152</v>
      </c>
      <c r="AL1764" s="6" t="str">
        <f t="array" ref="AL1764">IFERROR(IFS(XLOOKUP(B1764, 'Kit Delivery Status'!$U:$U, 'Kit Delivery Status'!$K:$K) = "Complete", "DELIVERED", XLOOKUP(B1764, 'Kit Delivery Status'!$U:$U, 'Kit Delivery Status'!$K:$K) = "Issue", "ISSUE"), "")</f>
        <v/>
      </c>
      <c r="AM1764" s="6"/>
    </row>
    <row r="1765">
      <c r="A1765" s="5" t="s">
        <v>8846</v>
      </c>
      <c r="B1765" s="1" t="s">
        <v>8847</v>
      </c>
      <c r="C1765" s="1" t="s">
        <v>8848</v>
      </c>
      <c r="D1765" s="2">
        <v>5.054149711E9</v>
      </c>
      <c r="E1765" s="1" t="s">
        <v>8849</v>
      </c>
      <c r="F1765" s="1"/>
      <c r="G1765" s="1" t="s">
        <v>1027</v>
      </c>
      <c r="H1765" s="1" t="s">
        <v>1028</v>
      </c>
      <c r="I1765" s="1" t="s">
        <v>8850</v>
      </c>
      <c r="J1765" s="1" t="s">
        <v>752</v>
      </c>
      <c r="K1765" s="1" t="s">
        <v>42</v>
      </c>
      <c r="L1765" s="1" t="s">
        <v>6819</v>
      </c>
      <c r="M1765" s="1">
        <v>49.0</v>
      </c>
      <c r="N1765" s="1" t="s">
        <v>1152</v>
      </c>
      <c r="O1765" s="3" t="s">
        <v>8851</v>
      </c>
      <c r="P1765" s="1" t="s">
        <v>1152</v>
      </c>
      <c r="Q1765" s="1" t="s">
        <v>1152</v>
      </c>
      <c r="R1765" s="1"/>
      <c r="S1765" s="1"/>
      <c r="T1765" s="1" t="s">
        <v>1152</v>
      </c>
      <c r="U1765" s="1" t="s">
        <v>1080</v>
      </c>
      <c r="V1765" s="4" t="s">
        <v>8851</v>
      </c>
      <c r="W1765" s="1"/>
      <c r="X1765" s="1" t="s">
        <v>1152</v>
      </c>
      <c r="Y1765" s="1" t="s">
        <v>1152</v>
      </c>
      <c r="Z1765" s="1"/>
      <c r="AA1765" s="1"/>
      <c r="AB1765" s="1"/>
      <c r="AC1765" s="1" t="s">
        <v>1925</v>
      </c>
      <c r="AD1765" s="1"/>
      <c r="AE1765" s="18">
        <v>46146.0</v>
      </c>
      <c r="AF1765" s="1" t="s">
        <v>1455</v>
      </c>
      <c r="AG1765" s="1" t="s">
        <v>52</v>
      </c>
      <c r="AH1765" s="1" t="s">
        <v>1152</v>
      </c>
      <c r="AI1765" s="1"/>
      <c r="AJ1765" s="1" t="s">
        <v>8852</v>
      </c>
      <c r="AK1765" s="1" t="s">
        <v>1152</v>
      </c>
      <c r="AL1765" s="6" t="str">
        <f t="array" ref="AL1765">IFERROR(IFS(XLOOKUP(B1765, 'Kit Delivery Status'!$U:$U, 'Kit Delivery Status'!$K:$K) = "Complete", "DELIVERED", XLOOKUP(B1765, 'Kit Delivery Status'!$U:$U, 'Kit Delivery Status'!$K:$K) = "Issue", "ISSUE"), "")</f>
        <v/>
      </c>
      <c r="AM1765" s="6"/>
    </row>
    <row r="1766">
      <c r="A1766" s="5" t="s">
        <v>8853</v>
      </c>
      <c r="B1766" s="1" t="s">
        <v>8854</v>
      </c>
      <c r="C1766" s="1"/>
      <c r="D1766" s="2">
        <v>2.409944982E9</v>
      </c>
      <c r="E1766" s="1" t="s">
        <v>8855</v>
      </c>
      <c r="F1766" s="1"/>
      <c r="G1766" s="1" t="s">
        <v>5431</v>
      </c>
      <c r="H1766" s="1" t="s">
        <v>1005</v>
      </c>
      <c r="I1766" s="1">
        <v>20854.0</v>
      </c>
      <c r="J1766" s="1" t="s">
        <v>752</v>
      </c>
      <c r="K1766" s="1" t="s">
        <v>42</v>
      </c>
      <c r="L1766" s="1" t="s">
        <v>6819</v>
      </c>
      <c r="M1766" s="1">
        <v>49.0</v>
      </c>
      <c r="N1766" s="1" t="s">
        <v>1152</v>
      </c>
      <c r="O1766" s="3" t="s">
        <v>8856</v>
      </c>
      <c r="P1766" s="1" t="s">
        <v>1152</v>
      </c>
      <c r="Q1766" s="1" t="s">
        <v>1152</v>
      </c>
      <c r="R1766" s="1"/>
      <c r="S1766" s="1"/>
      <c r="T1766" s="1" t="s">
        <v>1152</v>
      </c>
      <c r="U1766" s="1" t="s">
        <v>956</v>
      </c>
      <c r="V1766" s="4" t="s">
        <v>8856</v>
      </c>
      <c r="W1766" s="1"/>
      <c r="X1766" s="1" t="s">
        <v>1152</v>
      </c>
      <c r="Y1766" s="1" t="s">
        <v>1152</v>
      </c>
      <c r="Z1766" s="1"/>
      <c r="AA1766" s="1"/>
      <c r="AB1766" s="1"/>
      <c r="AC1766" s="1" t="s">
        <v>1925</v>
      </c>
      <c r="AD1766" s="1"/>
      <c r="AE1766" s="18">
        <v>46139.0</v>
      </c>
      <c r="AF1766" s="1" t="s">
        <v>1630</v>
      </c>
      <c r="AG1766" s="1" t="s">
        <v>52</v>
      </c>
      <c r="AH1766" s="1" t="s">
        <v>1152</v>
      </c>
      <c r="AI1766" s="1"/>
      <c r="AJ1766" s="1" t="s">
        <v>8857</v>
      </c>
      <c r="AK1766" s="1" t="s">
        <v>1152</v>
      </c>
      <c r="AL1766" s="6" t="str">
        <f t="array" ref="AL1766">IFERROR(IFS(XLOOKUP(B1766, 'Kit Delivery Status'!$U:$U, 'Kit Delivery Status'!$K:$K) = "Complete", "DELIVERED", XLOOKUP(B1766, 'Kit Delivery Status'!$U:$U, 'Kit Delivery Status'!$K:$K) = "Issue", "ISSUE"), "")</f>
        <v/>
      </c>
      <c r="AM1766" s="6"/>
    </row>
    <row r="1767">
      <c r="A1767" s="5" t="s">
        <v>8858</v>
      </c>
      <c r="B1767" s="1" t="s">
        <v>8859</v>
      </c>
      <c r="C1767" s="1" t="s">
        <v>8860</v>
      </c>
      <c r="D1767" s="2">
        <v>6.785305599E9</v>
      </c>
      <c r="E1767" s="1" t="s">
        <v>2679</v>
      </c>
      <c r="F1767" s="1"/>
      <c r="G1767" s="1" t="s">
        <v>1283</v>
      </c>
      <c r="H1767" s="1" t="s">
        <v>1155</v>
      </c>
      <c r="I1767" s="1">
        <v>63105.0</v>
      </c>
      <c r="J1767" s="1" t="s">
        <v>752</v>
      </c>
      <c r="K1767" s="1" t="s">
        <v>42</v>
      </c>
      <c r="L1767" s="1" t="s">
        <v>6819</v>
      </c>
      <c r="M1767" s="1">
        <v>49.0</v>
      </c>
      <c r="N1767" s="1" t="s">
        <v>1152</v>
      </c>
      <c r="O1767" s="3" t="s">
        <v>2681</v>
      </c>
      <c r="P1767" s="1" t="s">
        <v>1152</v>
      </c>
      <c r="Q1767" s="1" t="s">
        <v>1152</v>
      </c>
      <c r="R1767" s="1"/>
      <c r="S1767" s="1"/>
      <c r="T1767" s="1" t="s">
        <v>1152</v>
      </c>
      <c r="U1767" s="1" t="s">
        <v>1021</v>
      </c>
      <c r="V1767" s="4" t="s">
        <v>2681</v>
      </c>
      <c r="W1767" s="1"/>
      <c r="X1767" s="1" t="s">
        <v>1152</v>
      </c>
      <c r="Y1767" s="1" t="s">
        <v>1152</v>
      </c>
      <c r="Z1767" s="1"/>
      <c r="AA1767" s="1"/>
      <c r="AB1767" s="1"/>
      <c r="AC1767" s="1" t="s">
        <v>1925</v>
      </c>
      <c r="AD1767" s="1"/>
      <c r="AE1767" s="18">
        <v>46148.0</v>
      </c>
      <c r="AF1767" s="1" t="s">
        <v>1030</v>
      </c>
      <c r="AG1767" s="1" t="s">
        <v>52</v>
      </c>
      <c r="AH1767" s="1" t="s">
        <v>1152</v>
      </c>
      <c r="AI1767" s="1"/>
      <c r="AJ1767" s="1" t="s">
        <v>2679</v>
      </c>
      <c r="AK1767" s="1" t="s">
        <v>1152</v>
      </c>
      <c r="AL1767" s="6" t="str">
        <f t="array" ref="AL1767">IFERROR(IFS(XLOOKUP(B1767, 'Kit Delivery Status'!$U:$U, 'Kit Delivery Status'!$K:$K) = "Complete", "DELIVERED", XLOOKUP(B1767, 'Kit Delivery Status'!$U:$U, 'Kit Delivery Status'!$K:$K) = "Issue", "ISSUE"), "")</f>
        <v/>
      </c>
      <c r="AM1767" s="6"/>
    </row>
    <row r="1768">
      <c r="A1768" s="5" t="s">
        <v>8861</v>
      </c>
      <c r="B1768" s="1" t="s">
        <v>8862</v>
      </c>
      <c r="C1768" s="1" t="s">
        <v>711</v>
      </c>
      <c r="D1768" s="2">
        <v>4.439707907E9</v>
      </c>
      <c r="E1768" s="1" t="s">
        <v>712</v>
      </c>
      <c r="F1768" s="1"/>
      <c r="G1768" s="1" t="s">
        <v>2862</v>
      </c>
      <c r="H1768" s="1" t="s">
        <v>1005</v>
      </c>
      <c r="I1768" s="1">
        <v>21093.0</v>
      </c>
      <c r="J1768" s="1" t="s">
        <v>752</v>
      </c>
      <c r="K1768" s="1" t="s">
        <v>42</v>
      </c>
      <c r="L1768" s="1" t="s">
        <v>8715</v>
      </c>
      <c r="M1768" s="1">
        <v>139.0</v>
      </c>
      <c r="N1768" s="1" t="s">
        <v>1152</v>
      </c>
      <c r="O1768" s="3" t="s">
        <v>5588</v>
      </c>
      <c r="P1768" s="1" t="s">
        <v>1152</v>
      </c>
      <c r="Q1768" s="1" t="s">
        <v>1152</v>
      </c>
      <c r="R1768" s="1"/>
      <c r="S1768" s="1"/>
      <c r="T1768" s="1" t="s">
        <v>1152</v>
      </c>
      <c r="U1768" s="1" t="s">
        <v>1812</v>
      </c>
      <c r="V1768" s="4" t="s">
        <v>5588</v>
      </c>
      <c r="W1768" s="1"/>
      <c r="X1768" s="1" t="s">
        <v>1152</v>
      </c>
      <c r="Y1768" s="1" t="s">
        <v>1152</v>
      </c>
      <c r="Z1768" s="1"/>
      <c r="AA1768" s="1"/>
      <c r="AB1768" s="1"/>
      <c r="AC1768" s="1" t="s">
        <v>1925</v>
      </c>
      <c r="AD1768" s="1"/>
      <c r="AE1768" s="18">
        <v>46146.0</v>
      </c>
      <c r="AF1768" s="1" t="s">
        <v>1030</v>
      </c>
      <c r="AG1768" s="1" t="s">
        <v>52</v>
      </c>
      <c r="AH1768" s="1" t="s">
        <v>1152</v>
      </c>
      <c r="AI1768" s="1"/>
      <c r="AJ1768" s="1" t="s">
        <v>712</v>
      </c>
      <c r="AK1768" s="1" t="s">
        <v>1152</v>
      </c>
      <c r="AL1768" s="6" t="str">
        <f t="array" ref="AL1768">IFERROR(IFS(XLOOKUP(B1768, 'Kit Delivery Status'!$U:$U, 'Kit Delivery Status'!$K:$K) = "Complete", "DELIVERED", XLOOKUP(B1768, 'Kit Delivery Status'!$U:$U, 'Kit Delivery Status'!$K:$K) = "Issue", "ISSUE"), "")</f>
        <v/>
      </c>
      <c r="AM1768" s="6"/>
    </row>
    <row r="1769">
      <c r="A1769" s="5" t="s">
        <v>8863</v>
      </c>
      <c r="B1769" s="1" t="s">
        <v>8864</v>
      </c>
      <c r="C1769" s="1" t="s">
        <v>8865</v>
      </c>
      <c r="D1769" s="2">
        <v>5.719994644E9</v>
      </c>
      <c r="E1769" s="1" t="s">
        <v>4683</v>
      </c>
      <c r="F1769" s="1"/>
      <c r="G1769" s="1" t="s">
        <v>8866</v>
      </c>
      <c r="H1769" s="1" t="s">
        <v>1038</v>
      </c>
      <c r="I1769" s="1">
        <v>22207.0</v>
      </c>
      <c r="J1769" s="1" t="s">
        <v>752</v>
      </c>
      <c r="K1769" s="1" t="s">
        <v>42</v>
      </c>
      <c r="L1769" s="1" t="s">
        <v>7863</v>
      </c>
      <c r="M1769" s="1">
        <v>79.0</v>
      </c>
      <c r="N1769" s="1" t="s">
        <v>1152</v>
      </c>
      <c r="O1769" s="3" t="s">
        <v>2763</v>
      </c>
      <c r="P1769" s="1" t="s">
        <v>1152</v>
      </c>
      <c r="Q1769" s="1" t="s">
        <v>1152</v>
      </c>
      <c r="R1769" s="1"/>
      <c r="S1769" s="1"/>
      <c r="T1769" s="1" t="s">
        <v>1152</v>
      </c>
      <c r="U1769" s="1" t="s">
        <v>1133</v>
      </c>
      <c r="V1769" s="4" t="s">
        <v>2763</v>
      </c>
      <c r="W1769" s="1"/>
      <c r="X1769" s="1" t="s">
        <v>1152</v>
      </c>
      <c r="Y1769" s="1" t="s">
        <v>1152</v>
      </c>
      <c r="Z1769" s="1"/>
      <c r="AA1769" s="1"/>
      <c r="AB1769" s="1"/>
      <c r="AC1769" s="1" t="s">
        <v>1925</v>
      </c>
      <c r="AD1769" s="1"/>
      <c r="AE1769" s="18">
        <v>46148.0</v>
      </c>
      <c r="AF1769" s="1" t="s">
        <v>3186</v>
      </c>
      <c r="AG1769" s="1" t="s">
        <v>52</v>
      </c>
      <c r="AH1769" s="1" t="s">
        <v>1152</v>
      </c>
      <c r="AI1769" s="1"/>
      <c r="AJ1769" s="1" t="s">
        <v>4683</v>
      </c>
      <c r="AK1769" s="1" t="s">
        <v>1152</v>
      </c>
      <c r="AL1769" s="6" t="str">
        <f t="array" ref="AL1769">IFERROR(IFS(XLOOKUP(B1769, 'Kit Delivery Status'!$U:$U, 'Kit Delivery Status'!$K:$K) = "Complete", "DELIVERED", XLOOKUP(B1769, 'Kit Delivery Status'!$U:$U, 'Kit Delivery Status'!$K:$K) = "Issue", "ISSUE"), "")</f>
        <v/>
      </c>
      <c r="AM1769" s="6"/>
    </row>
    <row r="1770">
      <c r="A1770" s="5" t="s">
        <v>8867</v>
      </c>
      <c r="B1770" s="1" t="s">
        <v>8868</v>
      </c>
      <c r="C1770" s="1"/>
      <c r="D1770" s="2">
        <v>6.784277093E9</v>
      </c>
      <c r="E1770" s="1" t="s">
        <v>820</v>
      </c>
      <c r="F1770" s="1"/>
      <c r="G1770" s="1" t="s">
        <v>6565</v>
      </c>
      <c r="H1770" s="1" t="s">
        <v>946</v>
      </c>
      <c r="I1770" s="1">
        <v>30030.0</v>
      </c>
      <c r="J1770" s="1" t="s">
        <v>752</v>
      </c>
      <c r="K1770" s="1" t="s">
        <v>42</v>
      </c>
      <c r="L1770" s="1" t="s">
        <v>6819</v>
      </c>
      <c r="M1770" s="1">
        <v>49.0</v>
      </c>
      <c r="N1770" s="1" t="s">
        <v>1152</v>
      </c>
      <c r="O1770" s="3" t="s">
        <v>8869</v>
      </c>
      <c r="P1770" s="1" t="s">
        <v>1152</v>
      </c>
      <c r="Q1770" s="1" t="s">
        <v>1152</v>
      </c>
      <c r="R1770" s="1"/>
      <c r="S1770" s="1"/>
      <c r="T1770" s="1" t="s">
        <v>1152</v>
      </c>
      <c r="U1770" s="1" t="s">
        <v>1080</v>
      </c>
      <c r="V1770" s="4" t="s">
        <v>8869</v>
      </c>
      <c r="W1770" s="1"/>
      <c r="X1770" s="1" t="s">
        <v>1152</v>
      </c>
      <c r="Y1770" s="1" t="s">
        <v>1152</v>
      </c>
      <c r="Z1770" s="1"/>
      <c r="AA1770" s="1"/>
      <c r="AB1770" s="1"/>
      <c r="AC1770" s="1" t="s">
        <v>1925</v>
      </c>
      <c r="AD1770" s="1"/>
      <c r="AE1770" s="18">
        <v>46149.0</v>
      </c>
      <c r="AF1770" s="1" t="s">
        <v>1630</v>
      </c>
      <c r="AG1770" s="1" t="s">
        <v>52</v>
      </c>
      <c r="AH1770" s="1" t="s">
        <v>1152</v>
      </c>
      <c r="AI1770" s="1"/>
      <c r="AJ1770" s="1" t="s">
        <v>8870</v>
      </c>
      <c r="AK1770" s="1" t="s">
        <v>1152</v>
      </c>
      <c r="AL1770" s="6" t="str">
        <f t="array" ref="AL1770">IFERROR(IFS(XLOOKUP(B1770, 'Kit Delivery Status'!$U:$U, 'Kit Delivery Status'!$K:$K) = "Complete", "DELIVERED", XLOOKUP(B1770, 'Kit Delivery Status'!$U:$U, 'Kit Delivery Status'!$K:$K) = "Issue", "ISSUE"), "")</f>
        <v/>
      </c>
      <c r="AM1770" s="6"/>
    </row>
    <row r="1771">
      <c r="A1771" s="5" t="s">
        <v>8871</v>
      </c>
      <c r="B1771" s="1" t="s">
        <v>8872</v>
      </c>
      <c r="C1771" s="1" t="s">
        <v>218</v>
      </c>
      <c r="D1771" s="2">
        <v>14043457378</v>
      </c>
      <c r="E1771" s="1" t="s">
        <v>220</v>
      </c>
      <c r="F1771" s="1"/>
      <c r="G1771" s="1" t="s">
        <v>2179</v>
      </c>
      <c r="H1771" s="1" t="s">
        <v>946</v>
      </c>
      <c r="I1771" s="1">
        <v>30327.0</v>
      </c>
      <c r="J1771" s="1" t="s">
        <v>752</v>
      </c>
      <c r="K1771" s="1" t="s">
        <v>42</v>
      </c>
      <c r="L1771" s="1" t="s">
        <v>6819</v>
      </c>
      <c r="M1771" s="1">
        <v>49.0</v>
      </c>
      <c r="N1771" s="1" t="s">
        <v>1152</v>
      </c>
      <c r="O1771" s="3" t="s">
        <v>8458</v>
      </c>
      <c r="P1771" s="1" t="s">
        <v>1152</v>
      </c>
      <c r="Q1771" s="1" t="s">
        <v>1152</v>
      </c>
      <c r="R1771" s="1"/>
      <c r="S1771" s="1"/>
      <c r="T1771" s="1" t="s">
        <v>1152</v>
      </c>
      <c r="U1771" s="1" t="s">
        <v>1021</v>
      </c>
      <c r="V1771" s="4" t="s">
        <v>8458</v>
      </c>
      <c r="W1771" s="1"/>
      <c r="X1771" s="1" t="s">
        <v>1152</v>
      </c>
      <c r="Y1771" s="1" t="s">
        <v>1152</v>
      </c>
      <c r="Z1771" s="1"/>
      <c r="AA1771" s="1"/>
      <c r="AB1771" s="1"/>
      <c r="AC1771" s="1" t="s">
        <v>1925</v>
      </c>
      <c r="AD1771" s="1"/>
      <c r="AE1771" s="18">
        <v>46143.0</v>
      </c>
      <c r="AF1771" s="1" t="s">
        <v>1349</v>
      </c>
      <c r="AG1771" s="1" t="s">
        <v>52</v>
      </c>
      <c r="AH1771" s="1" t="s">
        <v>1152</v>
      </c>
      <c r="AI1771" s="1"/>
      <c r="AJ1771" s="1" t="s">
        <v>220</v>
      </c>
      <c r="AK1771" s="1" t="s">
        <v>1152</v>
      </c>
      <c r="AL1771" s="6" t="str">
        <f t="array" ref="AL1771">IFERROR(IFS(XLOOKUP(B1771, 'Kit Delivery Status'!$U:$U, 'Kit Delivery Status'!$K:$K) = "Complete", "DELIVERED", XLOOKUP(B1771, 'Kit Delivery Status'!$U:$U, 'Kit Delivery Status'!$K:$K) = "Issue", "ISSUE"), "")</f>
        <v/>
      </c>
      <c r="AM1771" s="6"/>
    </row>
    <row r="1772">
      <c r="A1772" s="5" t="s">
        <v>8873</v>
      </c>
      <c r="B1772" s="1" t="s">
        <v>8874</v>
      </c>
      <c r="C1772" s="1"/>
      <c r="D1772" s="2">
        <v>8.476124001E9</v>
      </c>
      <c r="E1772" s="1" t="s">
        <v>8875</v>
      </c>
      <c r="F1772" s="1"/>
      <c r="G1772" s="1" t="s">
        <v>5641</v>
      </c>
      <c r="H1772" s="1" t="s">
        <v>1019</v>
      </c>
      <c r="I1772" s="1">
        <v>60062.0</v>
      </c>
      <c r="J1772" s="1" t="s">
        <v>752</v>
      </c>
      <c r="K1772" s="1" t="s">
        <v>42</v>
      </c>
      <c r="L1772" s="1" t="s">
        <v>6819</v>
      </c>
      <c r="M1772" s="1">
        <v>49.0</v>
      </c>
      <c r="N1772" s="1" t="s">
        <v>1152</v>
      </c>
      <c r="O1772" s="3" t="s">
        <v>7696</v>
      </c>
      <c r="P1772" s="1" t="s">
        <v>1152</v>
      </c>
      <c r="Q1772" s="1" t="s">
        <v>1152</v>
      </c>
      <c r="R1772" s="1"/>
      <c r="S1772" s="1"/>
      <c r="T1772" s="1" t="s">
        <v>1152</v>
      </c>
      <c r="U1772" s="1" t="s">
        <v>6053</v>
      </c>
      <c r="V1772" s="4" t="s">
        <v>7696</v>
      </c>
      <c r="W1772" s="1"/>
      <c r="X1772" s="1" t="s">
        <v>1152</v>
      </c>
      <c r="Y1772" s="1" t="s">
        <v>1152</v>
      </c>
      <c r="Z1772" s="1"/>
      <c r="AA1772" s="1"/>
      <c r="AB1772" s="1"/>
      <c r="AC1772" s="1" t="s">
        <v>1925</v>
      </c>
      <c r="AD1772" s="1"/>
      <c r="AE1772" s="18">
        <v>46146.0</v>
      </c>
      <c r="AF1772" s="1" t="s">
        <v>1103</v>
      </c>
      <c r="AG1772" s="1" t="s">
        <v>52</v>
      </c>
      <c r="AH1772" s="1" t="s">
        <v>1152</v>
      </c>
      <c r="AI1772" s="1"/>
      <c r="AJ1772" s="1" t="s">
        <v>8876</v>
      </c>
      <c r="AK1772" s="1" t="s">
        <v>1152</v>
      </c>
      <c r="AL1772" s="6" t="str">
        <f t="array" ref="AL1772">IFERROR(IFS(XLOOKUP(B1772, 'Kit Delivery Status'!$U:$U, 'Kit Delivery Status'!$K:$K) = "Complete", "DELIVERED", XLOOKUP(B1772, 'Kit Delivery Status'!$U:$U, 'Kit Delivery Status'!$K:$K) = "Issue", "ISSUE"), "")</f>
        <v/>
      </c>
      <c r="AM1772" s="6"/>
    </row>
    <row r="1773">
      <c r="A1773" s="5" t="s">
        <v>8877</v>
      </c>
      <c r="B1773" s="1" t="s">
        <v>8878</v>
      </c>
      <c r="C1773" s="1" t="s">
        <v>8879</v>
      </c>
      <c r="D1773" s="2">
        <v>9.547436742E9</v>
      </c>
      <c r="E1773" s="1" t="s">
        <v>6293</v>
      </c>
      <c r="F1773" s="1"/>
      <c r="G1773" s="1" t="s">
        <v>6292</v>
      </c>
      <c r="H1773" s="1" t="s">
        <v>1208</v>
      </c>
      <c r="I1773" s="1">
        <v>33026.0</v>
      </c>
      <c r="J1773" s="1" t="s">
        <v>752</v>
      </c>
      <c r="K1773" s="1" t="s">
        <v>42</v>
      </c>
      <c r="L1773" s="1" t="s">
        <v>6819</v>
      </c>
      <c r="M1773" s="1">
        <v>49.0</v>
      </c>
      <c r="N1773" s="1" t="s">
        <v>1152</v>
      </c>
      <c r="O1773" s="3" t="s">
        <v>8880</v>
      </c>
      <c r="P1773" s="1" t="s">
        <v>1152</v>
      </c>
      <c r="Q1773" s="1" t="s">
        <v>1152</v>
      </c>
      <c r="R1773" s="1"/>
      <c r="S1773" s="1"/>
      <c r="T1773" s="1" t="s">
        <v>1152</v>
      </c>
      <c r="U1773" s="1" t="s">
        <v>1065</v>
      </c>
      <c r="V1773" s="4" t="s">
        <v>8880</v>
      </c>
      <c r="W1773" s="1"/>
      <c r="X1773" s="1" t="s">
        <v>1152</v>
      </c>
      <c r="Y1773" s="1" t="s">
        <v>1152</v>
      </c>
      <c r="Z1773" s="1"/>
      <c r="AA1773" s="1"/>
      <c r="AB1773" s="1"/>
      <c r="AC1773" s="1" t="s">
        <v>1925</v>
      </c>
      <c r="AD1773" s="1"/>
      <c r="AE1773" s="18">
        <v>46149.0</v>
      </c>
      <c r="AF1773" s="1" t="s">
        <v>1030</v>
      </c>
      <c r="AG1773" s="1" t="s">
        <v>52</v>
      </c>
      <c r="AH1773" s="1" t="s">
        <v>1152</v>
      </c>
      <c r="AI1773" s="1"/>
      <c r="AJ1773" s="1" t="s">
        <v>6293</v>
      </c>
      <c r="AK1773" s="1" t="s">
        <v>1152</v>
      </c>
      <c r="AL1773" s="6" t="str">
        <f t="array" ref="AL1773">IFERROR(IFS(XLOOKUP(B1773, 'Kit Delivery Status'!$U:$U, 'Kit Delivery Status'!$K:$K) = "Complete", "DELIVERED", XLOOKUP(B1773, 'Kit Delivery Status'!$U:$U, 'Kit Delivery Status'!$K:$K) = "Issue", "ISSUE"), "")</f>
        <v/>
      </c>
      <c r="AM1773" s="6"/>
    </row>
    <row r="1774">
      <c r="A1774" s="5" t="s">
        <v>8881</v>
      </c>
      <c r="B1774" s="1" t="s">
        <v>8882</v>
      </c>
      <c r="C1774" s="1" t="s">
        <v>8883</v>
      </c>
      <c r="D1774" s="2">
        <v>2.012648488E9</v>
      </c>
      <c r="E1774" s="1" t="s">
        <v>456</v>
      </c>
      <c r="F1774" s="1"/>
      <c r="G1774" s="1" t="s">
        <v>8884</v>
      </c>
      <c r="H1774" s="1" t="s">
        <v>1053</v>
      </c>
      <c r="I1774" s="1">
        <v>7644.0</v>
      </c>
      <c r="J1774" s="1" t="s">
        <v>752</v>
      </c>
      <c r="K1774" s="1" t="s">
        <v>892</v>
      </c>
      <c r="L1774" s="1" t="s">
        <v>8134</v>
      </c>
      <c r="M1774" s="1">
        <v>79.0</v>
      </c>
      <c r="N1774" s="1" t="s">
        <v>1152</v>
      </c>
      <c r="O1774" s="3" t="s">
        <v>459</v>
      </c>
      <c r="P1774" s="1" t="s">
        <v>1152</v>
      </c>
      <c r="Q1774" s="1" t="s">
        <v>1152</v>
      </c>
      <c r="R1774" s="1"/>
      <c r="S1774" s="1"/>
      <c r="T1774" s="1" t="s">
        <v>1152</v>
      </c>
      <c r="U1774" s="1" t="s">
        <v>1456</v>
      </c>
      <c r="V1774" s="4" t="s">
        <v>459</v>
      </c>
      <c r="W1774" s="1"/>
      <c r="X1774" s="1" t="s">
        <v>1152</v>
      </c>
      <c r="Y1774" s="1" t="s">
        <v>1152</v>
      </c>
      <c r="Z1774" s="1"/>
      <c r="AA1774" s="1"/>
      <c r="AB1774" s="1"/>
      <c r="AC1774" s="1" t="s">
        <v>1925</v>
      </c>
      <c r="AD1774" s="1"/>
      <c r="AE1774" s="18">
        <v>46158.0</v>
      </c>
      <c r="AF1774" s="1" t="s">
        <v>1030</v>
      </c>
      <c r="AG1774" s="1" t="s">
        <v>52</v>
      </c>
      <c r="AH1774" s="1" t="s">
        <v>8885</v>
      </c>
      <c r="AI1774" s="1"/>
      <c r="AJ1774" s="1" t="s">
        <v>8886</v>
      </c>
      <c r="AK1774" s="1" t="s">
        <v>1152</v>
      </c>
      <c r="AL1774" s="6" t="str">
        <f t="array" ref="AL1774">IFERROR(IFS(XLOOKUP(B1774, 'Kit Delivery Status'!$U:$U, 'Kit Delivery Status'!$K:$K) = "Complete", "DELIVERED", XLOOKUP(B1774, 'Kit Delivery Status'!$U:$U, 'Kit Delivery Status'!$K:$K) = "Issue", "ISSUE"), "")</f>
        <v/>
      </c>
      <c r="AM1774" s="6"/>
    </row>
    <row r="1775">
      <c r="A1775" s="5" t="s">
        <v>8887</v>
      </c>
      <c r="B1775" s="1" t="s">
        <v>8888</v>
      </c>
      <c r="C1775" s="1" t="s">
        <v>1336</v>
      </c>
      <c r="D1775" s="2">
        <v>9.14602624E9</v>
      </c>
      <c r="E1775" s="1" t="s">
        <v>8889</v>
      </c>
      <c r="F1775" s="1"/>
      <c r="G1775" s="1" t="s">
        <v>1339</v>
      </c>
      <c r="H1775" s="1" t="s">
        <v>751</v>
      </c>
      <c r="I1775" s="1">
        <v>10536.0</v>
      </c>
      <c r="J1775" s="1" t="s">
        <v>752</v>
      </c>
      <c r="K1775" s="1" t="s">
        <v>42</v>
      </c>
      <c r="L1775" s="1" t="s">
        <v>6819</v>
      </c>
      <c r="M1775" s="1">
        <v>49.0</v>
      </c>
      <c r="N1775" s="1" t="s">
        <v>1152</v>
      </c>
      <c r="O1775" s="3" t="s">
        <v>1342</v>
      </c>
      <c r="P1775" s="1" t="s">
        <v>1152</v>
      </c>
      <c r="Q1775" s="1" t="s">
        <v>1152</v>
      </c>
      <c r="R1775" s="1"/>
      <c r="S1775" s="1"/>
      <c r="T1775" s="1" t="s">
        <v>1152</v>
      </c>
      <c r="U1775" s="1" t="s">
        <v>1343</v>
      </c>
      <c r="V1775" s="4" t="s">
        <v>1342</v>
      </c>
      <c r="W1775" s="1"/>
      <c r="X1775" s="1" t="s">
        <v>1152</v>
      </c>
      <c r="Y1775" s="1" t="s">
        <v>1152</v>
      </c>
      <c r="Z1775" s="1"/>
      <c r="AA1775" s="1"/>
      <c r="AB1775" s="1"/>
      <c r="AC1775" s="1" t="s">
        <v>1925</v>
      </c>
      <c r="AD1775" s="1"/>
      <c r="AE1775" s="18">
        <v>46149.0</v>
      </c>
      <c r="AF1775" s="1" t="s">
        <v>1030</v>
      </c>
      <c r="AG1775" s="1" t="s">
        <v>52</v>
      </c>
      <c r="AH1775" s="1" t="s">
        <v>1152</v>
      </c>
      <c r="AI1775" s="1"/>
      <c r="AJ1775" s="1" t="s">
        <v>1337</v>
      </c>
      <c r="AK1775" s="1" t="s">
        <v>1152</v>
      </c>
      <c r="AL1775" s="6" t="str">
        <f t="array" ref="AL1775">IFERROR(IFS(XLOOKUP(B1775, 'Kit Delivery Status'!$U:$U, 'Kit Delivery Status'!$K:$K) = "Complete", "DELIVERED", XLOOKUP(B1775, 'Kit Delivery Status'!$U:$U, 'Kit Delivery Status'!$K:$K) = "Issue", "ISSUE"), "")</f>
        <v/>
      </c>
      <c r="AM1775" s="6"/>
    </row>
    <row r="1776">
      <c r="A1776" s="5" t="s">
        <v>8890</v>
      </c>
      <c r="B1776" s="1" t="s">
        <v>8891</v>
      </c>
      <c r="C1776" s="1" t="s">
        <v>8892</v>
      </c>
      <c r="D1776" s="2">
        <v>9.175709951E9</v>
      </c>
      <c r="E1776" s="1" t="s">
        <v>1696</v>
      </c>
      <c r="F1776" s="1"/>
      <c r="G1776" s="1" t="s">
        <v>1697</v>
      </c>
      <c r="H1776" s="1" t="s">
        <v>751</v>
      </c>
      <c r="I1776" s="1">
        <v>11021.0</v>
      </c>
      <c r="J1776" s="1" t="s">
        <v>752</v>
      </c>
      <c r="K1776" s="1" t="s">
        <v>42</v>
      </c>
      <c r="L1776" s="1" t="s">
        <v>6819</v>
      </c>
      <c r="M1776" s="1">
        <v>49.0</v>
      </c>
      <c r="N1776" s="1" t="s">
        <v>1152</v>
      </c>
      <c r="O1776" s="3" t="s">
        <v>2946</v>
      </c>
      <c r="P1776" s="1" t="s">
        <v>1152</v>
      </c>
      <c r="Q1776" s="1" t="s">
        <v>1152</v>
      </c>
      <c r="R1776" s="1"/>
      <c r="S1776" s="1"/>
      <c r="T1776" s="1" t="s">
        <v>1152</v>
      </c>
      <c r="U1776" s="1" t="s">
        <v>1699</v>
      </c>
      <c r="V1776" s="4" t="s">
        <v>2946</v>
      </c>
      <c r="W1776" s="1"/>
      <c r="X1776" s="1" t="s">
        <v>1152</v>
      </c>
      <c r="Y1776" s="1" t="s">
        <v>1152</v>
      </c>
      <c r="Z1776" s="1"/>
      <c r="AA1776" s="1"/>
      <c r="AB1776" s="1"/>
      <c r="AC1776" s="1" t="s">
        <v>1925</v>
      </c>
      <c r="AD1776" s="1"/>
      <c r="AE1776" s="18">
        <v>46148.0</v>
      </c>
      <c r="AF1776" s="1" t="s">
        <v>3186</v>
      </c>
      <c r="AG1776" s="1" t="s">
        <v>52</v>
      </c>
      <c r="AH1776" s="1" t="s">
        <v>1152</v>
      </c>
      <c r="AI1776" s="1"/>
      <c r="AJ1776" s="1" t="s">
        <v>8893</v>
      </c>
      <c r="AK1776" s="1" t="s">
        <v>1152</v>
      </c>
      <c r="AL1776" s="6" t="str">
        <f t="array" ref="AL1776">IFERROR(IFS(XLOOKUP(B1776, 'Kit Delivery Status'!$U:$U, 'Kit Delivery Status'!$K:$K) = "Complete", "DELIVERED", XLOOKUP(B1776, 'Kit Delivery Status'!$U:$U, 'Kit Delivery Status'!$K:$K) = "Issue", "ISSUE"), "")</f>
        <v/>
      </c>
      <c r="AM1776" s="6"/>
    </row>
    <row r="1777">
      <c r="A1777" s="5" t="s">
        <v>8894</v>
      </c>
      <c r="B1777" s="1" t="s">
        <v>8895</v>
      </c>
      <c r="C1777" s="1" t="s">
        <v>2513</v>
      </c>
      <c r="D1777" s="2">
        <v>9.49887555E9</v>
      </c>
      <c r="E1777" s="1" t="s">
        <v>8896</v>
      </c>
      <c r="F1777" s="1"/>
      <c r="G1777" s="1" t="s">
        <v>1215</v>
      </c>
      <c r="H1777" s="1" t="s">
        <v>989</v>
      </c>
      <c r="I1777" s="1">
        <v>92660.0</v>
      </c>
      <c r="J1777" s="1" t="s">
        <v>752</v>
      </c>
      <c r="K1777" s="1" t="s">
        <v>6515</v>
      </c>
      <c r="L1777" s="1" t="s">
        <v>8897</v>
      </c>
      <c r="M1777" s="1">
        <v>490.0</v>
      </c>
      <c r="N1777" s="1" t="s">
        <v>1152</v>
      </c>
      <c r="O1777" s="3"/>
      <c r="P1777" s="1" t="s">
        <v>1152</v>
      </c>
      <c r="Q1777" s="1" t="s">
        <v>1152</v>
      </c>
      <c r="R1777" s="1"/>
      <c r="S1777" s="1"/>
      <c r="T1777" s="1" t="s">
        <v>1152</v>
      </c>
      <c r="U1777" s="1"/>
      <c r="V1777" s="4"/>
      <c r="W1777" s="1"/>
      <c r="X1777" s="1" t="s">
        <v>1152</v>
      </c>
      <c r="Y1777" s="1" t="s">
        <v>1152</v>
      </c>
      <c r="Z1777" s="1"/>
      <c r="AA1777" s="1"/>
      <c r="AB1777" s="1"/>
      <c r="AC1777" s="1" t="s">
        <v>8898</v>
      </c>
      <c r="AD1777" s="1"/>
      <c r="AE1777" s="18">
        <v>46094.0</v>
      </c>
      <c r="AF1777" s="1"/>
      <c r="AG1777" s="1"/>
      <c r="AH1777" s="1" t="s">
        <v>8899</v>
      </c>
      <c r="AI1777" s="1" t="s">
        <v>8900</v>
      </c>
      <c r="AJ1777" s="1"/>
      <c r="AK1777" s="1" t="s">
        <v>8901</v>
      </c>
      <c r="AL1777" s="6" t="str">
        <f t="array" ref="AL1777">IFERROR(IFS(XLOOKUP(B1777, 'Kit Delivery Status'!$U:$U, 'Kit Delivery Status'!$K:$K) = "Complete", "DELIVERED", XLOOKUP(B1777, 'Kit Delivery Status'!$U:$U, 'Kit Delivery Status'!$K:$K) = "Issue", "ISSUE"), "")</f>
        <v/>
      </c>
      <c r="AM1777" s="6"/>
    </row>
    <row r="1778">
      <c r="A1778" s="5" t="s">
        <v>8894</v>
      </c>
      <c r="B1778" s="1" t="s">
        <v>8895</v>
      </c>
      <c r="C1778" s="1" t="s">
        <v>2513</v>
      </c>
      <c r="D1778" s="2">
        <v>9.49887555E9</v>
      </c>
      <c r="E1778" s="1" t="s">
        <v>8896</v>
      </c>
      <c r="F1778" s="1"/>
      <c r="G1778" s="1" t="s">
        <v>1215</v>
      </c>
      <c r="H1778" s="1" t="s">
        <v>989</v>
      </c>
      <c r="I1778" s="1">
        <v>92660.0</v>
      </c>
      <c r="J1778" s="1" t="s">
        <v>752</v>
      </c>
      <c r="K1778" s="1" t="s">
        <v>892</v>
      </c>
      <c r="L1778" s="1" t="s">
        <v>8006</v>
      </c>
      <c r="M1778" s="1">
        <v>49.0</v>
      </c>
      <c r="N1778" s="1" t="s">
        <v>1152</v>
      </c>
      <c r="O1778" s="3" t="s">
        <v>8902</v>
      </c>
      <c r="P1778" s="1" t="s">
        <v>1152</v>
      </c>
      <c r="Q1778" s="1" t="s">
        <v>1152</v>
      </c>
      <c r="R1778" s="1"/>
      <c r="S1778" s="1"/>
      <c r="T1778" s="1" t="s">
        <v>1152</v>
      </c>
      <c r="U1778" s="1" t="s">
        <v>1277</v>
      </c>
      <c r="V1778" s="4" t="s">
        <v>8902</v>
      </c>
      <c r="W1778" s="1"/>
      <c r="X1778" s="1" t="s">
        <v>1152</v>
      </c>
      <c r="Y1778" s="1" t="s">
        <v>1152</v>
      </c>
      <c r="Z1778" s="1"/>
      <c r="AA1778" s="1"/>
      <c r="AB1778" s="1"/>
      <c r="AC1778" s="1" t="s">
        <v>1925</v>
      </c>
      <c r="AD1778" s="1"/>
      <c r="AE1778" s="18">
        <v>46149.0</v>
      </c>
      <c r="AF1778" s="1" t="s">
        <v>1349</v>
      </c>
      <c r="AG1778" s="1" t="s">
        <v>52</v>
      </c>
      <c r="AH1778" s="1" t="s">
        <v>8903</v>
      </c>
      <c r="AI1778" s="1"/>
      <c r="AJ1778" s="1" t="s">
        <v>8904</v>
      </c>
      <c r="AK1778" s="1" t="s">
        <v>1152</v>
      </c>
      <c r="AL1778" s="6" t="str">
        <f t="array" ref="AL1778">IFERROR(IFS(XLOOKUP(B1778, 'Kit Delivery Status'!$U:$U, 'Kit Delivery Status'!$K:$K) = "Complete", "DELIVERED", XLOOKUP(B1778, 'Kit Delivery Status'!$U:$U, 'Kit Delivery Status'!$K:$K) = "Issue", "ISSUE"), "")</f>
        <v/>
      </c>
      <c r="AM1778" s="6"/>
    </row>
    <row r="1779">
      <c r="A1779" s="5" t="s">
        <v>8894</v>
      </c>
      <c r="B1779" s="1" t="s">
        <v>8895</v>
      </c>
      <c r="C1779" s="1" t="s">
        <v>2513</v>
      </c>
      <c r="D1779" s="2">
        <v>9.49887555E9</v>
      </c>
      <c r="E1779" s="1" t="s">
        <v>8896</v>
      </c>
      <c r="F1779" s="1"/>
      <c r="G1779" s="1" t="s">
        <v>1215</v>
      </c>
      <c r="H1779" s="1" t="s">
        <v>989</v>
      </c>
      <c r="I1779" s="1">
        <v>92660.0</v>
      </c>
      <c r="J1779" s="1" t="s">
        <v>752</v>
      </c>
      <c r="K1779" s="1" t="s">
        <v>42</v>
      </c>
      <c r="L1779" s="1" t="s">
        <v>8393</v>
      </c>
      <c r="M1779" s="1">
        <v>109.0</v>
      </c>
      <c r="N1779" s="1" t="s">
        <v>1152</v>
      </c>
      <c r="O1779" s="3" t="s">
        <v>8902</v>
      </c>
      <c r="P1779" s="1" t="s">
        <v>1152</v>
      </c>
      <c r="Q1779" s="1" t="s">
        <v>1152</v>
      </c>
      <c r="R1779" s="1"/>
      <c r="S1779" s="1"/>
      <c r="T1779" s="1" t="s">
        <v>1152</v>
      </c>
      <c r="U1779" s="1" t="s">
        <v>1277</v>
      </c>
      <c r="V1779" s="4" t="s">
        <v>8902</v>
      </c>
      <c r="W1779" s="1"/>
      <c r="X1779" s="1" t="s">
        <v>1152</v>
      </c>
      <c r="Y1779" s="1" t="s">
        <v>1152</v>
      </c>
      <c r="Z1779" s="1"/>
      <c r="AA1779" s="1"/>
      <c r="AB1779" s="1"/>
      <c r="AC1779" s="1" t="s">
        <v>1925</v>
      </c>
      <c r="AD1779" s="1"/>
      <c r="AE1779" s="18">
        <v>46149.0</v>
      </c>
      <c r="AF1779" s="1" t="s">
        <v>1349</v>
      </c>
      <c r="AG1779" s="1" t="s">
        <v>52</v>
      </c>
      <c r="AH1779" s="1" t="s">
        <v>1152</v>
      </c>
      <c r="AI1779" s="1"/>
      <c r="AJ1779" s="1" t="s">
        <v>8904</v>
      </c>
      <c r="AK1779" s="1" t="s">
        <v>1152</v>
      </c>
      <c r="AL1779" s="6" t="str">
        <f t="array" ref="AL1779">IFERROR(IFS(XLOOKUP(B1779, 'Kit Delivery Status'!$U:$U, 'Kit Delivery Status'!$K:$K) = "Complete", "DELIVERED", XLOOKUP(B1779, 'Kit Delivery Status'!$U:$U, 'Kit Delivery Status'!$K:$K) = "Issue", "ISSUE"), "")</f>
        <v/>
      </c>
      <c r="AM1779" s="6"/>
    </row>
    <row r="1780">
      <c r="A1780" s="5" t="s">
        <v>8905</v>
      </c>
      <c r="B1780" s="1" t="s">
        <v>8906</v>
      </c>
      <c r="C1780" s="1"/>
      <c r="D1780" s="2">
        <v>9.175922703E9</v>
      </c>
      <c r="E1780" s="1" t="s">
        <v>8907</v>
      </c>
      <c r="F1780" s="1"/>
      <c r="G1780" s="1" t="s">
        <v>8908</v>
      </c>
      <c r="H1780" s="1" t="s">
        <v>751</v>
      </c>
      <c r="I1780" s="1">
        <v>11596.0</v>
      </c>
      <c r="J1780" s="1" t="s">
        <v>752</v>
      </c>
      <c r="K1780" s="1" t="s">
        <v>42</v>
      </c>
      <c r="L1780" s="1" t="s">
        <v>6819</v>
      </c>
      <c r="M1780" s="1">
        <v>49.0</v>
      </c>
      <c r="N1780" s="1" t="s">
        <v>1152</v>
      </c>
      <c r="O1780" s="3" t="s">
        <v>1185</v>
      </c>
      <c r="P1780" s="1" t="s">
        <v>1152</v>
      </c>
      <c r="Q1780" s="1" t="s">
        <v>1152</v>
      </c>
      <c r="R1780" s="1"/>
      <c r="S1780" s="1"/>
      <c r="T1780" s="1" t="s">
        <v>1152</v>
      </c>
      <c r="U1780" s="1" t="s">
        <v>1324</v>
      </c>
      <c r="V1780" s="4" t="s">
        <v>1185</v>
      </c>
      <c r="W1780" s="1"/>
      <c r="X1780" s="1" t="s">
        <v>1152</v>
      </c>
      <c r="Y1780" s="1" t="s">
        <v>1152</v>
      </c>
      <c r="Z1780" s="1"/>
      <c r="AA1780" s="1"/>
      <c r="AB1780" s="1"/>
      <c r="AC1780" s="1" t="s">
        <v>1925</v>
      </c>
      <c r="AD1780" s="1"/>
      <c r="AE1780" s="18">
        <v>46149.0</v>
      </c>
      <c r="AF1780" s="1" t="s">
        <v>1030</v>
      </c>
      <c r="AG1780" s="1" t="s">
        <v>52</v>
      </c>
      <c r="AH1780" s="1" t="s">
        <v>1152</v>
      </c>
      <c r="AI1780" s="1"/>
      <c r="AJ1780" s="1" t="s">
        <v>8909</v>
      </c>
      <c r="AK1780" s="1" t="s">
        <v>1152</v>
      </c>
      <c r="AL1780" s="6" t="str">
        <f t="array" ref="AL1780">IFERROR(IFS(XLOOKUP(B1780, 'Kit Delivery Status'!$U:$U, 'Kit Delivery Status'!$K:$K) = "Complete", "DELIVERED", XLOOKUP(B1780, 'Kit Delivery Status'!$U:$U, 'Kit Delivery Status'!$K:$K) = "Issue", "ISSUE"), "")</f>
        <v/>
      </c>
      <c r="AM1780" s="6"/>
    </row>
    <row r="1781">
      <c r="A1781" s="5" t="s">
        <v>8910</v>
      </c>
      <c r="B1781" s="1" t="s">
        <v>8911</v>
      </c>
      <c r="C1781" s="1"/>
      <c r="D1781" s="2">
        <v>7.038995059E9</v>
      </c>
      <c r="E1781" s="1" t="s">
        <v>8912</v>
      </c>
      <c r="F1781" s="1"/>
      <c r="G1781" s="1" t="s">
        <v>8801</v>
      </c>
      <c r="H1781" s="1" t="s">
        <v>1038</v>
      </c>
      <c r="I1781" s="1">
        <v>22043.0</v>
      </c>
      <c r="J1781" s="1" t="s">
        <v>752</v>
      </c>
      <c r="K1781" s="1" t="s">
        <v>42</v>
      </c>
      <c r="L1781" s="1" t="s">
        <v>6819</v>
      </c>
      <c r="M1781" s="1">
        <v>49.0</v>
      </c>
      <c r="N1781" s="1" t="s">
        <v>1152</v>
      </c>
      <c r="O1781" s="3" t="s">
        <v>8913</v>
      </c>
      <c r="P1781" s="1" t="s">
        <v>1152</v>
      </c>
      <c r="Q1781" s="1" t="s">
        <v>1152</v>
      </c>
      <c r="R1781" s="1"/>
      <c r="S1781" s="1"/>
      <c r="T1781" s="1" t="s">
        <v>1152</v>
      </c>
      <c r="U1781" s="1" t="s">
        <v>6053</v>
      </c>
      <c r="V1781" s="4" t="s">
        <v>8913</v>
      </c>
      <c r="W1781" s="1"/>
      <c r="X1781" s="1" t="s">
        <v>1152</v>
      </c>
      <c r="Y1781" s="1" t="s">
        <v>1152</v>
      </c>
      <c r="Z1781" s="1"/>
      <c r="AA1781" s="1"/>
      <c r="AB1781" s="1"/>
      <c r="AC1781" s="1" t="s">
        <v>1925</v>
      </c>
      <c r="AD1781" s="1"/>
      <c r="AE1781" s="18">
        <v>46150.0</v>
      </c>
      <c r="AF1781" s="1" t="s">
        <v>1030</v>
      </c>
      <c r="AG1781" s="1" t="s">
        <v>52</v>
      </c>
      <c r="AH1781" s="1" t="s">
        <v>1152</v>
      </c>
      <c r="AI1781" s="1"/>
      <c r="AJ1781" s="1" t="s">
        <v>8914</v>
      </c>
      <c r="AK1781" s="1" t="s">
        <v>1152</v>
      </c>
      <c r="AL1781" s="6" t="str">
        <f t="array" ref="AL1781">IFERROR(IFS(XLOOKUP(B1781, 'Kit Delivery Status'!$U:$U, 'Kit Delivery Status'!$K:$K) = "Complete", "DELIVERED", XLOOKUP(B1781, 'Kit Delivery Status'!$U:$U, 'Kit Delivery Status'!$K:$K) = "Issue", "ISSUE"), "")</f>
        <v/>
      </c>
      <c r="AM1781" s="6"/>
    </row>
    <row r="1782">
      <c r="A1782" s="5" t="s">
        <v>8915</v>
      </c>
      <c r="B1782" s="1" t="s">
        <v>8916</v>
      </c>
      <c r="C1782" s="1" t="s">
        <v>8917</v>
      </c>
      <c r="D1782" s="2">
        <v>7.135430173E9</v>
      </c>
      <c r="E1782" s="1" t="s">
        <v>8918</v>
      </c>
      <c r="F1782" s="1"/>
      <c r="G1782" s="1" t="s">
        <v>1609</v>
      </c>
      <c r="H1782" s="1" t="s">
        <v>1583</v>
      </c>
      <c r="I1782" s="1">
        <v>77099.0</v>
      </c>
      <c r="J1782" s="1" t="s">
        <v>752</v>
      </c>
      <c r="K1782" s="1" t="s">
        <v>42</v>
      </c>
      <c r="L1782" s="1" t="s">
        <v>6819</v>
      </c>
      <c r="M1782" s="1">
        <v>49.0</v>
      </c>
      <c r="N1782" s="1" t="s">
        <v>1152</v>
      </c>
      <c r="O1782" s="3" t="s">
        <v>3154</v>
      </c>
      <c r="P1782" s="1" t="s">
        <v>1152</v>
      </c>
      <c r="Q1782" s="1" t="s">
        <v>1152</v>
      </c>
      <c r="R1782" s="1"/>
      <c r="S1782" s="1"/>
      <c r="T1782" s="1" t="s">
        <v>1152</v>
      </c>
      <c r="U1782" s="1" t="s">
        <v>1537</v>
      </c>
      <c r="V1782" s="4" t="s">
        <v>3154</v>
      </c>
      <c r="W1782" s="1"/>
      <c r="X1782" s="1" t="s">
        <v>1152</v>
      </c>
      <c r="Y1782" s="1" t="s">
        <v>1152</v>
      </c>
      <c r="Z1782" s="1"/>
      <c r="AA1782" s="1"/>
      <c r="AB1782" s="1"/>
      <c r="AC1782" s="1" t="s">
        <v>1925</v>
      </c>
      <c r="AD1782" s="1"/>
      <c r="AE1782" s="18">
        <v>46146.0</v>
      </c>
      <c r="AF1782" s="1" t="s">
        <v>1349</v>
      </c>
      <c r="AG1782" s="1" t="s">
        <v>52</v>
      </c>
      <c r="AH1782" s="1" t="s">
        <v>1152</v>
      </c>
      <c r="AI1782" s="1"/>
      <c r="AJ1782" s="1" t="s">
        <v>8918</v>
      </c>
      <c r="AK1782" s="1" t="s">
        <v>1152</v>
      </c>
      <c r="AL1782" s="6" t="str">
        <f t="array" ref="AL1782">IFERROR(IFS(XLOOKUP(B1782, 'Kit Delivery Status'!$U:$U, 'Kit Delivery Status'!$K:$K) = "Complete", "DELIVERED", XLOOKUP(B1782, 'Kit Delivery Status'!$U:$U, 'Kit Delivery Status'!$K:$K) = "Issue", "ISSUE"), "")</f>
        <v/>
      </c>
      <c r="AM1782" s="6"/>
    </row>
    <row r="1783">
      <c r="A1783" s="5" t="s">
        <v>8919</v>
      </c>
      <c r="B1783" s="1" t="s">
        <v>8920</v>
      </c>
      <c r="C1783" s="1" t="s">
        <v>7999</v>
      </c>
      <c r="D1783" s="2">
        <v>9.177100102E9</v>
      </c>
      <c r="E1783" s="1" t="s">
        <v>8000</v>
      </c>
      <c r="F1783" s="1"/>
      <c r="G1783" s="1" t="s">
        <v>751</v>
      </c>
      <c r="H1783" s="1" t="s">
        <v>751</v>
      </c>
      <c r="I1783" s="1">
        <v>10014.0</v>
      </c>
      <c r="J1783" s="1" t="s">
        <v>752</v>
      </c>
      <c r="K1783" s="1" t="s">
        <v>892</v>
      </c>
      <c r="L1783" s="1" t="s">
        <v>8134</v>
      </c>
      <c r="M1783" s="1">
        <v>79.0</v>
      </c>
      <c r="N1783" s="1" t="s">
        <v>1152</v>
      </c>
      <c r="O1783" s="3" t="s">
        <v>8001</v>
      </c>
      <c r="P1783" s="1" t="s">
        <v>1152</v>
      </c>
      <c r="Q1783" s="1" t="s">
        <v>1152</v>
      </c>
      <c r="R1783" s="1"/>
      <c r="S1783" s="1"/>
      <c r="T1783" s="1" t="s">
        <v>1152</v>
      </c>
      <c r="U1783" s="1" t="s">
        <v>1324</v>
      </c>
      <c r="V1783" s="4" t="s">
        <v>8001</v>
      </c>
      <c r="W1783" s="1"/>
      <c r="X1783" s="1" t="s">
        <v>1152</v>
      </c>
      <c r="Y1783" s="1" t="s">
        <v>1152</v>
      </c>
      <c r="Z1783" s="1"/>
      <c r="AA1783" s="1"/>
      <c r="AB1783" s="1"/>
      <c r="AC1783" s="1" t="s">
        <v>1925</v>
      </c>
      <c r="AD1783" s="1"/>
      <c r="AE1783" s="18">
        <v>46144.0</v>
      </c>
      <c r="AF1783" s="1" t="s">
        <v>8921</v>
      </c>
      <c r="AG1783" s="1" t="s">
        <v>52</v>
      </c>
      <c r="AH1783" s="1" t="s">
        <v>8922</v>
      </c>
      <c r="AI1783" s="1"/>
      <c r="AJ1783" s="1" t="s">
        <v>8923</v>
      </c>
      <c r="AK1783" s="1" t="s">
        <v>1152</v>
      </c>
      <c r="AL1783" s="6" t="str">
        <f t="array" ref="AL1783">IFERROR(IFS(XLOOKUP(B1783, 'Kit Delivery Status'!$U:$U, 'Kit Delivery Status'!$K:$K) = "Complete", "DELIVERED", XLOOKUP(B1783, 'Kit Delivery Status'!$U:$U, 'Kit Delivery Status'!$K:$K) = "Issue", "ISSUE"), "")</f>
        <v/>
      </c>
      <c r="AM1783" s="6"/>
    </row>
    <row r="1784">
      <c r="A1784" s="5" t="s">
        <v>8924</v>
      </c>
      <c r="B1784" s="1" t="s">
        <v>8925</v>
      </c>
      <c r="C1784" s="1" t="s">
        <v>8926</v>
      </c>
      <c r="D1784" s="2" t="s">
        <v>8927</v>
      </c>
      <c r="E1784" s="1" t="s">
        <v>8928</v>
      </c>
      <c r="F1784" s="1"/>
      <c r="G1784" s="1" t="s">
        <v>2965</v>
      </c>
      <c r="H1784" s="1" t="s">
        <v>980</v>
      </c>
      <c r="I1784" s="1">
        <v>98006.0</v>
      </c>
      <c r="J1784" s="1" t="s">
        <v>752</v>
      </c>
      <c r="K1784" s="1" t="s">
        <v>892</v>
      </c>
      <c r="L1784" s="1" t="s">
        <v>8134</v>
      </c>
      <c r="M1784" s="1">
        <v>79.0</v>
      </c>
      <c r="N1784" s="1" t="s">
        <v>1152</v>
      </c>
      <c r="O1784" s="3" t="s">
        <v>8504</v>
      </c>
      <c r="P1784" s="1" t="s">
        <v>1152</v>
      </c>
      <c r="Q1784" s="1" t="s">
        <v>1152</v>
      </c>
      <c r="R1784" s="1"/>
      <c r="S1784" s="1"/>
      <c r="T1784" s="1" t="s">
        <v>1152</v>
      </c>
      <c r="U1784" s="1" t="s">
        <v>2957</v>
      </c>
      <c r="V1784" s="4" t="s">
        <v>8504</v>
      </c>
      <c r="W1784" s="1"/>
      <c r="X1784" s="1" t="s">
        <v>1152</v>
      </c>
      <c r="Y1784" s="1" t="s">
        <v>1152</v>
      </c>
      <c r="Z1784" s="1"/>
      <c r="AA1784" s="1"/>
      <c r="AB1784" s="1"/>
      <c r="AC1784" s="1" t="s">
        <v>1925</v>
      </c>
      <c r="AD1784" s="1"/>
      <c r="AE1784" s="18">
        <v>46157.0</v>
      </c>
      <c r="AF1784" s="1" t="s">
        <v>1349</v>
      </c>
      <c r="AG1784" s="1" t="s">
        <v>52</v>
      </c>
      <c r="AH1784" s="1" t="s">
        <v>8929</v>
      </c>
      <c r="AI1784" s="1"/>
      <c r="AJ1784" s="1" t="s">
        <v>8928</v>
      </c>
      <c r="AK1784" s="1" t="s">
        <v>1152</v>
      </c>
      <c r="AL1784" s="6" t="str">
        <f t="array" ref="AL1784">IFERROR(IFS(XLOOKUP(B1784, 'Kit Delivery Status'!$U:$U, 'Kit Delivery Status'!$K:$K) = "Complete", "DELIVERED", XLOOKUP(B1784, 'Kit Delivery Status'!$U:$U, 'Kit Delivery Status'!$K:$K) = "Issue", "ISSUE"), "")</f>
        <v/>
      </c>
      <c r="AM1784" s="6"/>
    </row>
    <row r="1785">
      <c r="A1785" s="5" t="s">
        <v>8930</v>
      </c>
      <c r="B1785" s="1" t="s">
        <v>8931</v>
      </c>
      <c r="C1785" s="1" t="s">
        <v>3228</v>
      </c>
      <c r="D1785" s="2">
        <v>9.176897822E9</v>
      </c>
      <c r="E1785" s="1" t="s">
        <v>3229</v>
      </c>
      <c r="F1785" s="1"/>
      <c r="G1785" s="1" t="s">
        <v>751</v>
      </c>
      <c r="H1785" s="1" t="s">
        <v>751</v>
      </c>
      <c r="I1785" s="1" t="s">
        <v>8932</v>
      </c>
      <c r="J1785" s="1" t="s">
        <v>752</v>
      </c>
      <c r="K1785" s="1" t="s">
        <v>2131</v>
      </c>
      <c r="L1785" s="1" t="s">
        <v>5767</v>
      </c>
      <c r="M1785" s="1">
        <v>1.0</v>
      </c>
      <c r="N1785" s="1" t="s">
        <v>1152</v>
      </c>
      <c r="O1785" s="3" t="s">
        <v>5827</v>
      </c>
      <c r="P1785" s="1" t="s">
        <v>1152</v>
      </c>
      <c r="Q1785" s="1" t="s">
        <v>1152</v>
      </c>
      <c r="R1785" s="1"/>
      <c r="S1785" s="1"/>
      <c r="T1785" s="1" t="s">
        <v>1152</v>
      </c>
      <c r="U1785" s="1" t="s">
        <v>1174</v>
      </c>
      <c r="V1785" s="4" t="s">
        <v>5827</v>
      </c>
      <c r="W1785" s="1"/>
      <c r="X1785" s="1" t="s">
        <v>1152</v>
      </c>
      <c r="Y1785" s="1" t="s">
        <v>1152</v>
      </c>
      <c r="Z1785" s="1"/>
      <c r="AA1785" s="1"/>
      <c r="AB1785" s="1"/>
      <c r="AC1785" s="1" t="s">
        <v>1925</v>
      </c>
      <c r="AD1785" s="1"/>
      <c r="AE1785" s="18">
        <v>46146.0</v>
      </c>
      <c r="AF1785" s="1"/>
      <c r="AG1785" s="1"/>
      <c r="AH1785" s="1" t="s">
        <v>1152</v>
      </c>
      <c r="AI1785" s="1"/>
      <c r="AJ1785" s="1" t="s">
        <v>1460</v>
      </c>
      <c r="AK1785" s="1" t="s">
        <v>1152</v>
      </c>
      <c r="AL1785" s="6" t="str">
        <f t="array" ref="AL1785">IFERROR(IFS(XLOOKUP(B1785, 'Kit Delivery Status'!$U:$U, 'Kit Delivery Status'!$K:$K) = "Complete", "DELIVERED", XLOOKUP(B1785, 'Kit Delivery Status'!$U:$U, 'Kit Delivery Status'!$K:$K) = "Issue", "ISSUE"), "")</f>
        <v/>
      </c>
      <c r="AM1785" s="6"/>
    </row>
    <row r="1786">
      <c r="A1786" s="5" t="s">
        <v>8930</v>
      </c>
      <c r="B1786" s="1" t="s">
        <v>8931</v>
      </c>
      <c r="C1786" s="1" t="s">
        <v>3228</v>
      </c>
      <c r="D1786" s="2">
        <v>9.176897822E9</v>
      </c>
      <c r="E1786" s="1" t="s">
        <v>3229</v>
      </c>
      <c r="F1786" s="1"/>
      <c r="G1786" s="1" t="s">
        <v>751</v>
      </c>
      <c r="H1786" s="1" t="s">
        <v>751</v>
      </c>
      <c r="I1786" s="1" t="s">
        <v>8932</v>
      </c>
      <c r="J1786" s="1" t="s">
        <v>752</v>
      </c>
      <c r="K1786" s="1" t="s">
        <v>42</v>
      </c>
      <c r="L1786" s="1" t="s">
        <v>7863</v>
      </c>
      <c r="M1786" s="1">
        <v>79.0</v>
      </c>
      <c r="N1786" s="1" t="s">
        <v>1152</v>
      </c>
      <c r="O1786" s="3" t="s">
        <v>5827</v>
      </c>
      <c r="P1786" s="1" t="s">
        <v>1152</v>
      </c>
      <c r="Q1786" s="1" t="s">
        <v>1152</v>
      </c>
      <c r="R1786" s="1"/>
      <c r="S1786" s="1"/>
      <c r="T1786" s="1" t="s">
        <v>1152</v>
      </c>
      <c r="U1786" s="1" t="s">
        <v>1174</v>
      </c>
      <c r="V1786" s="4" t="s">
        <v>5827</v>
      </c>
      <c r="W1786" s="1"/>
      <c r="X1786" s="1" t="s">
        <v>1152</v>
      </c>
      <c r="Y1786" s="1" t="s">
        <v>1152</v>
      </c>
      <c r="Z1786" s="1"/>
      <c r="AA1786" s="1"/>
      <c r="AB1786" s="1"/>
      <c r="AC1786" s="1" t="s">
        <v>1925</v>
      </c>
      <c r="AD1786" s="1"/>
      <c r="AE1786" s="18">
        <v>46146.0</v>
      </c>
      <c r="AF1786" s="1" t="s">
        <v>1030</v>
      </c>
      <c r="AG1786" s="1" t="s">
        <v>52</v>
      </c>
      <c r="AH1786" s="1" t="s">
        <v>1152</v>
      </c>
      <c r="AI1786" s="1"/>
      <c r="AJ1786" s="1" t="s">
        <v>1460</v>
      </c>
      <c r="AK1786" s="1" t="s">
        <v>1152</v>
      </c>
      <c r="AL1786" s="6" t="str">
        <f t="array" ref="AL1786">IFERROR(IFS(XLOOKUP(B1786, 'Kit Delivery Status'!$U:$U, 'Kit Delivery Status'!$K:$K) = "Complete", "DELIVERED", XLOOKUP(B1786, 'Kit Delivery Status'!$U:$U, 'Kit Delivery Status'!$K:$K) = "Issue", "ISSUE"), "")</f>
        <v/>
      </c>
      <c r="AM1786" s="6"/>
    </row>
    <row r="1787">
      <c r="A1787" s="5" t="s">
        <v>8933</v>
      </c>
      <c r="B1787" s="1" t="s">
        <v>8934</v>
      </c>
      <c r="C1787" s="1" t="s">
        <v>128</v>
      </c>
      <c r="D1787" s="2">
        <v>5.712755119E9</v>
      </c>
      <c r="E1787" s="1" t="s">
        <v>8935</v>
      </c>
      <c r="F1787" s="1"/>
      <c r="G1787" s="1" t="s">
        <v>2857</v>
      </c>
      <c r="H1787" s="1" t="s">
        <v>1155</v>
      </c>
      <c r="I1787" s="1">
        <v>63105.0</v>
      </c>
      <c r="J1787" s="1" t="s">
        <v>752</v>
      </c>
      <c r="K1787" s="1" t="s">
        <v>42</v>
      </c>
      <c r="L1787" s="1" t="s">
        <v>6819</v>
      </c>
      <c r="M1787" s="1">
        <v>49.0</v>
      </c>
      <c r="N1787" s="1" t="s">
        <v>1152</v>
      </c>
      <c r="O1787" s="3" t="s">
        <v>133</v>
      </c>
      <c r="P1787" s="1" t="s">
        <v>1152</v>
      </c>
      <c r="Q1787" s="1" t="s">
        <v>1152</v>
      </c>
      <c r="R1787" s="1"/>
      <c r="S1787" s="1"/>
      <c r="T1787" s="1" t="s">
        <v>1152</v>
      </c>
      <c r="U1787" s="1" t="s">
        <v>1249</v>
      </c>
      <c r="V1787" s="4" t="s">
        <v>133</v>
      </c>
      <c r="W1787" s="1"/>
      <c r="X1787" s="1" t="s">
        <v>1152</v>
      </c>
      <c r="Y1787" s="1" t="s">
        <v>1152</v>
      </c>
      <c r="Z1787" s="1"/>
      <c r="AA1787" s="1"/>
      <c r="AB1787" s="1"/>
      <c r="AC1787" s="1" t="s">
        <v>1925</v>
      </c>
      <c r="AD1787" s="1"/>
      <c r="AE1787" s="18">
        <v>46149.0</v>
      </c>
      <c r="AF1787" s="1" t="s">
        <v>1030</v>
      </c>
      <c r="AG1787" s="1" t="s">
        <v>52</v>
      </c>
      <c r="AH1787" s="1" t="s">
        <v>1152</v>
      </c>
      <c r="AI1787" s="1"/>
      <c r="AJ1787" s="1" t="s">
        <v>130</v>
      </c>
      <c r="AK1787" s="1" t="s">
        <v>1152</v>
      </c>
      <c r="AL1787" s="6" t="str">
        <f t="array" ref="AL1787">IFERROR(IFS(XLOOKUP(B1787, 'Kit Delivery Status'!$U:$U, 'Kit Delivery Status'!$K:$K) = "Complete", "DELIVERED", XLOOKUP(B1787, 'Kit Delivery Status'!$U:$U, 'Kit Delivery Status'!$K:$K) = "Issue", "ISSUE"), "")</f>
        <v/>
      </c>
      <c r="AM1787" s="6"/>
    </row>
    <row r="1788">
      <c r="A1788" s="5" t="s">
        <v>8936</v>
      </c>
      <c r="B1788" s="1" t="s">
        <v>8937</v>
      </c>
      <c r="C1788" s="1" t="s">
        <v>8938</v>
      </c>
      <c r="D1788" s="2">
        <v>5.163805641E9</v>
      </c>
      <c r="E1788" s="1" t="s">
        <v>4270</v>
      </c>
      <c r="F1788" s="1"/>
      <c r="G1788" s="1" t="s">
        <v>751</v>
      </c>
      <c r="H1788" s="1" t="s">
        <v>751</v>
      </c>
      <c r="I1788" s="1">
        <v>10591.0</v>
      </c>
      <c r="J1788" s="1" t="s">
        <v>752</v>
      </c>
      <c r="K1788" s="1" t="s">
        <v>42</v>
      </c>
      <c r="L1788" s="1" t="s">
        <v>7863</v>
      </c>
      <c r="M1788" s="1">
        <v>79.0</v>
      </c>
      <c r="N1788" s="1" t="s">
        <v>1152</v>
      </c>
      <c r="O1788" s="3" t="s">
        <v>2035</v>
      </c>
      <c r="P1788" s="1" t="s">
        <v>1152</v>
      </c>
      <c r="Q1788" s="1" t="s">
        <v>1152</v>
      </c>
      <c r="R1788" s="1"/>
      <c r="S1788" s="1"/>
      <c r="T1788" s="1" t="s">
        <v>1152</v>
      </c>
      <c r="U1788" s="1" t="s">
        <v>1080</v>
      </c>
      <c r="V1788" s="4" t="s">
        <v>2035</v>
      </c>
      <c r="W1788" s="1"/>
      <c r="X1788" s="1" t="s">
        <v>1152</v>
      </c>
      <c r="Y1788" s="1" t="s">
        <v>1152</v>
      </c>
      <c r="Z1788" s="1"/>
      <c r="AA1788" s="1"/>
      <c r="AB1788" s="1"/>
      <c r="AC1788" s="1" t="s">
        <v>1925</v>
      </c>
      <c r="AD1788" s="1"/>
      <c r="AE1788" s="18">
        <v>46148.0</v>
      </c>
      <c r="AF1788" s="1" t="s">
        <v>1030</v>
      </c>
      <c r="AG1788" s="1" t="s">
        <v>52</v>
      </c>
      <c r="AH1788" s="1" t="s">
        <v>1152</v>
      </c>
      <c r="AI1788" s="1"/>
      <c r="AJ1788" s="1" t="s">
        <v>533</v>
      </c>
      <c r="AK1788" s="1" t="s">
        <v>1152</v>
      </c>
      <c r="AL1788" s="6" t="str">
        <f t="array" ref="AL1788">IFERROR(IFS(XLOOKUP(B1788, 'Kit Delivery Status'!$U:$U, 'Kit Delivery Status'!$K:$K) = "Complete", "DELIVERED", XLOOKUP(B1788, 'Kit Delivery Status'!$U:$U, 'Kit Delivery Status'!$K:$K) = "Issue", "ISSUE"), "")</f>
        <v/>
      </c>
      <c r="AM1788" s="6"/>
    </row>
    <row r="1789">
      <c r="A1789" s="5" t="s">
        <v>8939</v>
      </c>
      <c r="B1789" s="1" t="s">
        <v>8940</v>
      </c>
      <c r="C1789" s="1" t="s">
        <v>1689</v>
      </c>
      <c r="D1789" s="2">
        <v>9.892958435E9</v>
      </c>
      <c r="E1789" s="1" t="s">
        <v>1690</v>
      </c>
      <c r="F1789" s="1"/>
      <c r="G1789" s="1" t="s">
        <v>1085</v>
      </c>
      <c r="H1789" s="1" t="s">
        <v>1691</v>
      </c>
      <c r="I1789" s="1">
        <v>48009.0</v>
      </c>
      <c r="J1789" s="1" t="s">
        <v>752</v>
      </c>
      <c r="K1789" s="1" t="s">
        <v>42</v>
      </c>
      <c r="L1789" s="1" t="s">
        <v>6819</v>
      </c>
      <c r="M1789" s="1">
        <v>49.0</v>
      </c>
      <c r="N1789" s="1" t="s">
        <v>1152</v>
      </c>
      <c r="O1789" s="3" t="s">
        <v>8941</v>
      </c>
      <c r="P1789" s="1" t="s">
        <v>1152</v>
      </c>
      <c r="Q1789" s="1" t="s">
        <v>1152</v>
      </c>
      <c r="R1789" s="1"/>
      <c r="S1789" s="1"/>
      <c r="T1789" s="1" t="s">
        <v>1152</v>
      </c>
      <c r="U1789" s="1" t="s">
        <v>1039</v>
      </c>
      <c r="V1789" s="4" t="s">
        <v>8941</v>
      </c>
      <c r="W1789" s="1"/>
      <c r="X1789" s="1" t="s">
        <v>1152</v>
      </c>
      <c r="Y1789" s="1" t="s">
        <v>1152</v>
      </c>
      <c r="Z1789" s="1"/>
      <c r="AA1789" s="1"/>
      <c r="AB1789" s="1"/>
      <c r="AC1789" s="1" t="s">
        <v>1925</v>
      </c>
      <c r="AD1789" s="1"/>
      <c r="AE1789" s="18">
        <v>46148.0</v>
      </c>
      <c r="AF1789" s="1" t="s">
        <v>1349</v>
      </c>
      <c r="AG1789" s="1" t="s">
        <v>52</v>
      </c>
      <c r="AH1789" s="1" t="s">
        <v>1152</v>
      </c>
      <c r="AI1789" s="1"/>
      <c r="AJ1789" s="1" t="s">
        <v>8942</v>
      </c>
      <c r="AK1789" s="1" t="s">
        <v>1152</v>
      </c>
      <c r="AL1789" s="6" t="str">
        <f t="array" ref="AL1789">IFERROR(IFS(XLOOKUP(B1789, 'Kit Delivery Status'!$U:$U, 'Kit Delivery Status'!$K:$K) = "Complete", "DELIVERED", XLOOKUP(B1789, 'Kit Delivery Status'!$U:$U, 'Kit Delivery Status'!$K:$K) = "Issue", "ISSUE"), "")</f>
        <v/>
      </c>
      <c r="AM1789" s="6"/>
    </row>
    <row r="1790">
      <c r="A1790" s="5" t="s">
        <v>8943</v>
      </c>
      <c r="B1790" s="1" t="s">
        <v>8944</v>
      </c>
      <c r="C1790" s="1"/>
      <c r="D1790" s="2">
        <v>9.735908461E9</v>
      </c>
      <c r="E1790" s="1" t="s">
        <v>8945</v>
      </c>
      <c r="F1790" s="1"/>
      <c r="G1790" s="1" t="s">
        <v>8049</v>
      </c>
      <c r="H1790" s="1" t="s">
        <v>1053</v>
      </c>
      <c r="I1790" s="1">
        <v>7869.0</v>
      </c>
      <c r="J1790" s="1" t="s">
        <v>752</v>
      </c>
      <c r="K1790" s="1" t="s">
        <v>42</v>
      </c>
      <c r="L1790" s="1" t="s">
        <v>6819</v>
      </c>
      <c r="M1790" s="1">
        <v>49.0</v>
      </c>
      <c r="N1790" s="1" t="s">
        <v>1152</v>
      </c>
      <c r="O1790" s="3" t="s">
        <v>1391</v>
      </c>
      <c r="P1790" s="1" t="s">
        <v>1152</v>
      </c>
      <c r="Q1790" s="1" t="s">
        <v>1152</v>
      </c>
      <c r="R1790" s="1"/>
      <c r="S1790" s="1"/>
      <c r="T1790" s="1" t="s">
        <v>1152</v>
      </c>
      <c r="U1790" s="1" t="s">
        <v>1080</v>
      </c>
      <c r="V1790" s="4" t="s">
        <v>1391</v>
      </c>
      <c r="W1790" s="1"/>
      <c r="X1790" s="1" t="s">
        <v>1152</v>
      </c>
      <c r="Y1790" s="1" t="s">
        <v>1152</v>
      </c>
      <c r="Z1790" s="1"/>
      <c r="AA1790" s="1"/>
      <c r="AB1790" s="1"/>
      <c r="AC1790" s="1" t="s">
        <v>1925</v>
      </c>
      <c r="AD1790" s="1"/>
      <c r="AE1790" s="18">
        <v>46149.0</v>
      </c>
      <c r="AF1790" s="1" t="s">
        <v>1030</v>
      </c>
      <c r="AG1790" s="1" t="s">
        <v>52</v>
      </c>
      <c r="AH1790" s="1" t="s">
        <v>1152</v>
      </c>
      <c r="AI1790" s="1"/>
      <c r="AJ1790" s="1" t="s">
        <v>8946</v>
      </c>
      <c r="AK1790" s="1" t="s">
        <v>1152</v>
      </c>
      <c r="AL1790" s="6" t="str">
        <f t="array" ref="AL1790">IFERROR(IFS(XLOOKUP(B1790, 'Kit Delivery Status'!$U:$U, 'Kit Delivery Status'!$K:$K) = "Complete", "DELIVERED", XLOOKUP(B1790, 'Kit Delivery Status'!$U:$U, 'Kit Delivery Status'!$K:$K) = "Issue", "ISSUE"), "")</f>
        <v/>
      </c>
      <c r="AM1790" s="6"/>
    </row>
    <row r="1791">
      <c r="A1791" s="5" t="s">
        <v>8947</v>
      </c>
      <c r="B1791" s="1" t="s">
        <v>8948</v>
      </c>
      <c r="C1791" s="1" t="s">
        <v>8949</v>
      </c>
      <c r="D1791" s="2">
        <v>1.6156090081E10</v>
      </c>
      <c r="E1791" s="1" t="s">
        <v>1803</v>
      </c>
      <c r="F1791" s="1"/>
      <c r="G1791" s="1" t="s">
        <v>1804</v>
      </c>
      <c r="H1791" s="1" t="s">
        <v>1598</v>
      </c>
      <c r="I1791" s="1">
        <v>37204.0</v>
      </c>
      <c r="J1791" s="1" t="s">
        <v>752</v>
      </c>
      <c r="K1791" s="1" t="s">
        <v>42</v>
      </c>
      <c r="L1791" s="1" t="s">
        <v>7863</v>
      </c>
      <c r="M1791" s="1">
        <v>79.0</v>
      </c>
      <c r="N1791" s="1" t="s">
        <v>1152</v>
      </c>
      <c r="O1791" s="3" t="s">
        <v>1806</v>
      </c>
      <c r="P1791" s="1" t="s">
        <v>1152</v>
      </c>
      <c r="Q1791" s="1" t="s">
        <v>1152</v>
      </c>
      <c r="R1791" s="1"/>
      <c r="S1791" s="1"/>
      <c r="T1791" s="1" t="s">
        <v>1152</v>
      </c>
      <c r="U1791" s="1" t="s">
        <v>1407</v>
      </c>
      <c r="V1791" s="4" t="s">
        <v>1806</v>
      </c>
      <c r="W1791" s="1"/>
      <c r="X1791" s="1" t="s">
        <v>1152</v>
      </c>
      <c r="Y1791" s="1" t="s">
        <v>1152</v>
      </c>
      <c r="Z1791" s="1"/>
      <c r="AA1791" s="1"/>
      <c r="AB1791" s="1"/>
      <c r="AC1791" s="1" t="s">
        <v>1925</v>
      </c>
      <c r="AD1791" s="1"/>
      <c r="AE1791" s="18">
        <v>46146.0</v>
      </c>
      <c r="AF1791" s="1" t="s">
        <v>1030</v>
      </c>
      <c r="AG1791" s="1" t="s">
        <v>52</v>
      </c>
      <c r="AH1791" s="1" t="s">
        <v>1152</v>
      </c>
      <c r="AI1791" s="1"/>
      <c r="AJ1791" s="1" t="s">
        <v>8950</v>
      </c>
      <c r="AK1791" s="1" t="s">
        <v>1152</v>
      </c>
      <c r="AL1791" s="6" t="str">
        <f t="array" ref="AL1791">IFERROR(IFS(XLOOKUP(B1791, 'Kit Delivery Status'!$U:$U, 'Kit Delivery Status'!$K:$K) = "Complete", "DELIVERED", XLOOKUP(B1791, 'Kit Delivery Status'!$U:$U, 'Kit Delivery Status'!$K:$K) = "Issue", "ISSUE"), "")</f>
        <v/>
      </c>
      <c r="AM1791" s="6"/>
    </row>
    <row r="1792">
      <c r="A1792" s="5" t="s">
        <v>8951</v>
      </c>
      <c r="B1792" s="1" t="s">
        <v>8952</v>
      </c>
      <c r="C1792" s="1"/>
      <c r="D1792" s="2">
        <v>3.107499227E9</v>
      </c>
      <c r="E1792" s="1" t="s">
        <v>3646</v>
      </c>
      <c r="F1792" s="1"/>
      <c r="G1792" s="1" t="s">
        <v>3647</v>
      </c>
      <c r="H1792" s="1" t="s">
        <v>989</v>
      </c>
      <c r="I1792" s="1">
        <v>91607.0</v>
      </c>
      <c r="J1792" s="1" t="s">
        <v>752</v>
      </c>
      <c r="K1792" s="1" t="s">
        <v>42</v>
      </c>
      <c r="L1792" s="1" t="s">
        <v>8503</v>
      </c>
      <c r="M1792" s="1">
        <v>79.0</v>
      </c>
      <c r="N1792" s="1" t="s">
        <v>1152</v>
      </c>
      <c r="O1792" s="3" t="s">
        <v>8953</v>
      </c>
      <c r="P1792" s="1" t="s">
        <v>1152</v>
      </c>
      <c r="Q1792" s="1" t="s">
        <v>1152</v>
      </c>
      <c r="R1792" s="1"/>
      <c r="S1792" s="1"/>
      <c r="T1792" s="1" t="s">
        <v>1152</v>
      </c>
      <c r="U1792" s="1" t="s">
        <v>1441</v>
      </c>
      <c r="V1792" s="4" t="s">
        <v>8953</v>
      </c>
      <c r="W1792" s="1"/>
      <c r="X1792" s="1" t="s">
        <v>1152</v>
      </c>
      <c r="Y1792" s="1" t="s">
        <v>1152</v>
      </c>
      <c r="Z1792" s="1"/>
      <c r="AA1792" s="1"/>
      <c r="AB1792" s="1"/>
      <c r="AC1792" s="1" t="s">
        <v>1925</v>
      </c>
      <c r="AD1792" s="1"/>
      <c r="AE1792" s="18">
        <v>46149.0</v>
      </c>
      <c r="AF1792" s="1" t="s">
        <v>1030</v>
      </c>
      <c r="AG1792" s="1" t="s">
        <v>52</v>
      </c>
      <c r="AH1792" s="1" t="s">
        <v>1152</v>
      </c>
      <c r="AI1792" s="1"/>
      <c r="AJ1792" s="1" t="s">
        <v>8954</v>
      </c>
      <c r="AK1792" s="1" t="s">
        <v>1152</v>
      </c>
      <c r="AL1792" s="6" t="str">
        <f t="array" ref="AL1792">IFERROR(IFS(XLOOKUP(B1792, 'Kit Delivery Status'!$U:$U, 'Kit Delivery Status'!$K:$K) = "Complete", "DELIVERED", XLOOKUP(B1792, 'Kit Delivery Status'!$U:$U, 'Kit Delivery Status'!$K:$K) = "Issue", "ISSUE"), "")</f>
        <v/>
      </c>
      <c r="AM1792" s="6"/>
    </row>
    <row r="1793">
      <c r="A1793" s="5" t="s">
        <v>8955</v>
      </c>
      <c r="B1793" s="1" t="s">
        <v>8956</v>
      </c>
      <c r="C1793" s="1" t="s">
        <v>8957</v>
      </c>
      <c r="D1793" s="2">
        <v>3.146590828E9</v>
      </c>
      <c r="E1793" s="1" t="s">
        <v>8958</v>
      </c>
      <c r="F1793" s="1"/>
      <c r="G1793" s="1" t="s">
        <v>8959</v>
      </c>
      <c r="H1793" s="1" t="s">
        <v>1155</v>
      </c>
      <c r="I1793" s="1">
        <v>63105.0</v>
      </c>
      <c r="J1793" s="1" t="s">
        <v>752</v>
      </c>
      <c r="K1793" s="1" t="s">
        <v>42</v>
      </c>
      <c r="L1793" s="1" t="s">
        <v>6819</v>
      </c>
      <c r="M1793" s="1">
        <v>49.0</v>
      </c>
      <c r="N1793" s="1" t="s">
        <v>1152</v>
      </c>
      <c r="O1793" s="3" t="s">
        <v>8960</v>
      </c>
      <c r="P1793" s="1" t="s">
        <v>1152</v>
      </c>
      <c r="Q1793" s="1" t="s">
        <v>1152</v>
      </c>
      <c r="R1793" s="1"/>
      <c r="S1793" s="1"/>
      <c r="T1793" s="1" t="s">
        <v>1152</v>
      </c>
      <c r="U1793" s="1" t="s">
        <v>1249</v>
      </c>
      <c r="V1793" s="4" t="s">
        <v>8960</v>
      </c>
      <c r="W1793" s="1"/>
      <c r="X1793" s="1" t="s">
        <v>1152</v>
      </c>
      <c r="Y1793" s="1" t="s">
        <v>1152</v>
      </c>
      <c r="Z1793" s="1"/>
      <c r="AA1793" s="1"/>
      <c r="AB1793" s="1"/>
      <c r="AC1793" s="1" t="s">
        <v>1925</v>
      </c>
      <c r="AD1793" s="1"/>
      <c r="AE1793" s="18">
        <v>46146.0</v>
      </c>
      <c r="AF1793" s="1" t="s">
        <v>1030</v>
      </c>
      <c r="AG1793" s="1" t="s">
        <v>52</v>
      </c>
      <c r="AH1793" s="1" t="s">
        <v>1152</v>
      </c>
      <c r="AI1793" s="1"/>
      <c r="AJ1793" s="1" t="s">
        <v>8961</v>
      </c>
      <c r="AK1793" s="1" t="s">
        <v>1152</v>
      </c>
      <c r="AL1793" s="6" t="str">
        <f t="array" ref="AL1793">IFERROR(IFS(XLOOKUP(B1793, 'Kit Delivery Status'!$U:$U, 'Kit Delivery Status'!$K:$K) = "Complete", "DELIVERED", XLOOKUP(B1793, 'Kit Delivery Status'!$U:$U, 'Kit Delivery Status'!$K:$K) = "Issue", "ISSUE"), "")</f>
        <v/>
      </c>
      <c r="AM1793" s="6"/>
    </row>
    <row r="1794">
      <c r="A1794" s="5" t="s">
        <v>8962</v>
      </c>
      <c r="B1794" s="1" t="s">
        <v>8963</v>
      </c>
      <c r="C1794" s="1" t="s">
        <v>8964</v>
      </c>
      <c r="D1794" s="2">
        <v>4.434727823E9</v>
      </c>
      <c r="E1794" s="1" t="s">
        <v>8965</v>
      </c>
      <c r="F1794" s="1" t="s">
        <v>8966</v>
      </c>
      <c r="G1794" s="1" t="s">
        <v>8967</v>
      </c>
      <c r="H1794" s="1" t="s">
        <v>1005</v>
      </c>
      <c r="I1794" s="1">
        <v>21029.0</v>
      </c>
      <c r="J1794" s="1" t="s">
        <v>752</v>
      </c>
      <c r="K1794" s="1" t="s">
        <v>892</v>
      </c>
      <c r="L1794" s="1" t="s">
        <v>8134</v>
      </c>
      <c r="M1794" s="1">
        <v>79.0</v>
      </c>
      <c r="N1794" s="1" t="s">
        <v>1152</v>
      </c>
      <c r="O1794" s="3"/>
      <c r="P1794" s="1" t="s">
        <v>1152</v>
      </c>
      <c r="Q1794" s="1" t="s">
        <v>1152</v>
      </c>
      <c r="R1794" s="1" t="s">
        <v>8966</v>
      </c>
      <c r="S1794" s="1"/>
      <c r="T1794" s="1" t="s">
        <v>1152</v>
      </c>
      <c r="U1794" s="1"/>
      <c r="V1794" s="4"/>
      <c r="W1794" s="1" t="s">
        <v>8966</v>
      </c>
      <c r="X1794" s="1" t="s">
        <v>1152</v>
      </c>
      <c r="Y1794" s="1" t="s">
        <v>1152</v>
      </c>
      <c r="Z1794" s="1"/>
      <c r="AA1794" s="1" t="s">
        <v>8966</v>
      </c>
      <c r="AB1794" s="1"/>
      <c r="AC1794" s="1" t="s">
        <v>1925</v>
      </c>
      <c r="AD1794" s="1"/>
      <c r="AE1794" s="18">
        <v>46158.0</v>
      </c>
      <c r="AF1794" s="1" t="s">
        <v>1030</v>
      </c>
      <c r="AG1794" s="1" t="s">
        <v>124</v>
      </c>
      <c r="AH1794" s="1" t="s">
        <v>8968</v>
      </c>
      <c r="AI1794" s="1"/>
      <c r="AJ1794" s="1" t="s">
        <v>8969</v>
      </c>
      <c r="AK1794" s="1" t="s">
        <v>1152</v>
      </c>
      <c r="AL1794" s="6" t="str">
        <f t="array" ref="AL1794">IFERROR(IFS(XLOOKUP(B1794, 'Kit Delivery Status'!$U:$U, 'Kit Delivery Status'!$K:$K) = "Complete", "DELIVERED", XLOOKUP(B1794, 'Kit Delivery Status'!$U:$U, 'Kit Delivery Status'!$K:$K) = "Issue", "ISSUE"), "")</f>
        <v/>
      </c>
      <c r="AM1794" s="6"/>
    </row>
    <row r="1795">
      <c r="A1795" s="5" t="s">
        <v>8970</v>
      </c>
      <c r="B1795" s="1" t="s">
        <v>8971</v>
      </c>
      <c r="C1795" s="1" t="s">
        <v>2902</v>
      </c>
      <c r="D1795" s="2">
        <v>4.158479046E9</v>
      </c>
      <c r="E1795" s="1" t="s">
        <v>2903</v>
      </c>
      <c r="F1795" s="1"/>
      <c r="G1795" s="1" t="s">
        <v>2904</v>
      </c>
      <c r="H1795" s="1" t="s">
        <v>989</v>
      </c>
      <c r="I1795" s="1">
        <v>94960.0</v>
      </c>
      <c r="J1795" s="1" t="s">
        <v>752</v>
      </c>
      <c r="K1795" s="1" t="s">
        <v>42</v>
      </c>
      <c r="L1795" s="1" t="s">
        <v>6819</v>
      </c>
      <c r="M1795" s="1">
        <v>49.0</v>
      </c>
      <c r="N1795" s="1" t="s">
        <v>1152</v>
      </c>
      <c r="O1795" s="3" t="s">
        <v>2905</v>
      </c>
      <c r="P1795" s="1" t="s">
        <v>1152</v>
      </c>
      <c r="Q1795" s="1" t="s">
        <v>1152</v>
      </c>
      <c r="R1795" s="1"/>
      <c r="S1795" s="1"/>
      <c r="T1795" s="1" t="s">
        <v>1152</v>
      </c>
      <c r="U1795" s="1" t="s">
        <v>1174</v>
      </c>
      <c r="V1795" s="4" t="s">
        <v>2905</v>
      </c>
      <c r="W1795" s="1"/>
      <c r="X1795" s="1" t="s">
        <v>1152</v>
      </c>
      <c r="Y1795" s="1" t="s">
        <v>1152</v>
      </c>
      <c r="Z1795" s="1"/>
      <c r="AA1795" s="1"/>
      <c r="AB1795" s="1"/>
      <c r="AC1795" s="1" t="s">
        <v>1925</v>
      </c>
      <c r="AD1795" s="1"/>
      <c r="AE1795" s="18">
        <v>46149.0</v>
      </c>
      <c r="AF1795" s="1" t="s">
        <v>3186</v>
      </c>
      <c r="AG1795" s="1" t="s">
        <v>52</v>
      </c>
      <c r="AH1795" s="1" t="s">
        <v>1152</v>
      </c>
      <c r="AI1795" s="1"/>
      <c r="AJ1795" s="1" t="s">
        <v>2903</v>
      </c>
      <c r="AK1795" s="1" t="s">
        <v>1152</v>
      </c>
      <c r="AL1795" s="6" t="str">
        <f t="array" ref="AL1795">IFERROR(IFS(XLOOKUP(B1795, 'Kit Delivery Status'!$U:$U, 'Kit Delivery Status'!$K:$K) = "Complete", "DELIVERED", XLOOKUP(B1795, 'Kit Delivery Status'!$U:$U, 'Kit Delivery Status'!$K:$K) = "Issue", "ISSUE"), "")</f>
        <v/>
      </c>
      <c r="AM1795" s="6"/>
    </row>
    <row r="1796">
      <c r="A1796" s="5" t="s">
        <v>8972</v>
      </c>
      <c r="B1796" s="1" t="s">
        <v>8973</v>
      </c>
      <c r="C1796" s="1" t="s">
        <v>8974</v>
      </c>
      <c r="D1796" s="2">
        <v>3.033458925E9</v>
      </c>
      <c r="E1796" s="1" t="s">
        <v>8975</v>
      </c>
      <c r="F1796" s="1"/>
      <c r="G1796" s="1" t="s">
        <v>2609</v>
      </c>
      <c r="H1796" s="1" t="s">
        <v>1891</v>
      </c>
      <c r="I1796" s="1">
        <v>80238.0</v>
      </c>
      <c r="J1796" s="1" t="s">
        <v>752</v>
      </c>
      <c r="K1796" s="1" t="s">
        <v>42</v>
      </c>
      <c r="L1796" s="1" t="s">
        <v>6819</v>
      </c>
      <c r="M1796" s="1">
        <v>49.0</v>
      </c>
      <c r="N1796" s="1" t="s">
        <v>1152</v>
      </c>
      <c r="O1796" s="3" t="s">
        <v>4033</v>
      </c>
      <c r="P1796" s="1" t="s">
        <v>1152</v>
      </c>
      <c r="Q1796" s="1" t="s">
        <v>1152</v>
      </c>
      <c r="R1796" s="1"/>
      <c r="S1796" s="1"/>
      <c r="T1796" s="1" t="s">
        <v>1152</v>
      </c>
      <c r="U1796" s="1" t="s">
        <v>1407</v>
      </c>
      <c r="V1796" s="4" t="s">
        <v>4033</v>
      </c>
      <c r="W1796" s="1"/>
      <c r="X1796" s="1" t="s">
        <v>1152</v>
      </c>
      <c r="Y1796" s="1" t="s">
        <v>1152</v>
      </c>
      <c r="Z1796" s="1"/>
      <c r="AA1796" s="1"/>
      <c r="AB1796" s="1"/>
      <c r="AC1796" s="1" t="s">
        <v>1925</v>
      </c>
      <c r="AD1796" s="1"/>
      <c r="AE1796" s="18">
        <v>46148.0</v>
      </c>
      <c r="AF1796" s="1" t="s">
        <v>1030</v>
      </c>
      <c r="AG1796" s="1" t="s">
        <v>52</v>
      </c>
      <c r="AH1796" s="1" t="s">
        <v>1152</v>
      </c>
      <c r="AI1796" s="1"/>
      <c r="AJ1796" s="1" t="s">
        <v>8975</v>
      </c>
      <c r="AK1796" s="1" t="s">
        <v>1152</v>
      </c>
      <c r="AL1796" s="6" t="str">
        <f t="array" ref="AL1796">IFERROR(IFS(XLOOKUP(B1796, 'Kit Delivery Status'!$U:$U, 'Kit Delivery Status'!$K:$K) = "Complete", "DELIVERED", XLOOKUP(B1796, 'Kit Delivery Status'!$U:$U, 'Kit Delivery Status'!$K:$K) = "Issue", "ISSUE"), "")</f>
        <v/>
      </c>
      <c r="AM1796" s="6"/>
    </row>
    <row r="1797">
      <c r="A1797" s="5" t="s">
        <v>8976</v>
      </c>
      <c r="B1797" s="1" t="s">
        <v>8977</v>
      </c>
      <c r="C1797" s="1" t="s">
        <v>8978</v>
      </c>
      <c r="D1797" s="2">
        <v>6.077937487E9</v>
      </c>
      <c r="E1797" s="1" t="s">
        <v>3332</v>
      </c>
      <c r="F1797" s="1"/>
      <c r="G1797" s="1" t="s">
        <v>2609</v>
      </c>
      <c r="H1797" s="1" t="s">
        <v>1891</v>
      </c>
      <c r="I1797" s="1">
        <v>80220.0</v>
      </c>
      <c r="J1797" s="1" t="s">
        <v>752</v>
      </c>
      <c r="K1797" s="1" t="s">
        <v>42</v>
      </c>
      <c r="L1797" s="1" t="s">
        <v>8503</v>
      </c>
      <c r="M1797" s="1">
        <v>79.0</v>
      </c>
      <c r="N1797" s="1" t="s">
        <v>1152</v>
      </c>
      <c r="O1797" s="3" t="s">
        <v>384</v>
      </c>
      <c r="P1797" s="1" t="s">
        <v>1152</v>
      </c>
      <c r="Q1797" s="1" t="s">
        <v>1152</v>
      </c>
      <c r="R1797" s="1"/>
      <c r="S1797" s="1"/>
      <c r="T1797" s="1" t="s">
        <v>1152</v>
      </c>
      <c r="U1797" s="1" t="s">
        <v>1133</v>
      </c>
      <c r="V1797" s="4" t="s">
        <v>384</v>
      </c>
      <c r="W1797" s="1"/>
      <c r="X1797" s="1" t="s">
        <v>1152</v>
      </c>
      <c r="Y1797" s="1" t="s">
        <v>1152</v>
      </c>
      <c r="Z1797" s="1"/>
      <c r="AA1797" s="1"/>
      <c r="AB1797" s="1"/>
      <c r="AC1797" s="1" t="s">
        <v>1925</v>
      </c>
      <c r="AD1797" s="1"/>
      <c r="AE1797" s="18">
        <v>46148.0</v>
      </c>
      <c r="AF1797" s="1" t="s">
        <v>1455</v>
      </c>
      <c r="AG1797" s="1" t="s">
        <v>52</v>
      </c>
      <c r="AH1797" s="1" t="s">
        <v>1152</v>
      </c>
      <c r="AI1797" s="1"/>
      <c r="AJ1797" s="1" t="s">
        <v>726</v>
      </c>
      <c r="AK1797" s="1" t="s">
        <v>1152</v>
      </c>
      <c r="AL1797" s="6" t="str">
        <f t="array" ref="AL1797">IFERROR(IFS(XLOOKUP(B1797, 'Kit Delivery Status'!$U:$U, 'Kit Delivery Status'!$K:$K) = "Complete", "DELIVERED", XLOOKUP(B1797, 'Kit Delivery Status'!$U:$U, 'Kit Delivery Status'!$K:$K) = "Issue", "ISSUE"), "")</f>
        <v/>
      </c>
      <c r="AM1797" s="6"/>
    </row>
    <row r="1798">
      <c r="A1798" s="5" t="s">
        <v>8979</v>
      </c>
      <c r="B1798" s="1" t="s">
        <v>8980</v>
      </c>
      <c r="C1798" s="1" t="s">
        <v>8981</v>
      </c>
      <c r="D1798" s="2">
        <v>7.739652345E9</v>
      </c>
      <c r="E1798" s="1" t="s">
        <v>8982</v>
      </c>
      <c r="F1798" s="1"/>
      <c r="G1798" s="1" t="s">
        <v>1072</v>
      </c>
      <c r="H1798" s="1" t="s">
        <v>1019</v>
      </c>
      <c r="I1798" s="1">
        <v>60614.0</v>
      </c>
      <c r="J1798" s="1" t="s">
        <v>752</v>
      </c>
      <c r="K1798" s="1" t="s">
        <v>42</v>
      </c>
      <c r="L1798" s="1" t="s">
        <v>7863</v>
      </c>
      <c r="M1798" s="1">
        <v>79.0</v>
      </c>
      <c r="N1798" s="1" t="s">
        <v>1152</v>
      </c>
      <c r="O1798" s="3" t="s">
        <v>4310</v>
      </c>
      <c r="P1798" s="1" t="s">
        <v>1152</v>
      </c>
      <c r="Q1798" s="1" t="s">
        <v>1152</v>
      </c>
      <c r="R1798" s="1"/>
      <c r="S1798" s="1"/>
      <c r="T1798" s="1" t="s">
        <v>1152</v>
      </c>
      <c r="U1798" s="1" t="s">
        <v>6053</v>
      </c>
      <c r="V1798" s="4" t="s">
        <v>4310</v>
      </c>
      <c r="W1798" s="1"/>
      <c r="X1798" s="1" t="s">
        <v>1152</v>
      </c>
      <c r="Y1798" s="1" t="s">
        <v>1152</v>
      </c>
      <c r="Z1798" s="1"/>
      <c r="AA1798" s="1"/>
      <c r="AB1798" s="1"/>
      <c r="AC1798" s="1" t="s">
        <v>1925</v>
      </c>
      <c r="AD1798" s="1"/>
      <c r="AE1798" s="18">
        <v>46149.0</v>
      </c>
      <c r="AF1798" s="1" t="s">
        <v>3186</v>
      </c>
      <c r="AG1798" s="1" t="s">
        <v>52</v>
      </c>
      <c r="AH1798" s="1" t="s">
        <v>1152</v>
      </c>
      <c r="AI1798" s="1"/>
      <c r="AJ1798" s="1" t="s">
        <v>8983</v>
      </c>
      <c r="AK1798" s="1" t="s">
        <v>1152</v>
      </c>
      <c r="AL1798" s="6" t="str">
        <f t="array" ref="AL1798">IFERROR(IFS(XLOOKUP(B1798, 'Kit Delivery Status'!$U:$U, 'Kit Delivery Status'!$K:$K) = "Complete", "DELIVERED", XLOOKUP(B1798, 'Kit Delivery Status'!$U:$U, 'Kit Delivery Status'!$K:$K) = "Issue", "ISSUE"), "")</f>
        <v/>
      </c>
      <c r="AM1798" s="6"/>
    </row>
    <row r="1799">
      <c r="A1799" s="5" t="s">
        <v>8984</v>
      </c>
      <c r="B1799" s="1" t="s">
        <v>8985</v>
      </c>
      <c r="C1799" s="1" t="s">
        <v>8986</v>
      </c>
      <c r="D1799" s="2">
        <v>5.772139303E9</v>
      </c>
      <c r="E1799" s="1" t="s">
        <v>8987</v>
      </c>
      <c r="F1799" s="1"/>
      <c r="G1799" s="1" t="s">
        <v>7678</v>
      </c>
      <c r="H1799" s="1" t="s">
        <v>1155</v>
      </c>
      <c r="I1799" s="1">
        <v>63105.0</v>
      </c>
      <c r="J1799" s="1" t="s">
        <v>752</v>
      </c>
      <c r="K1799" s="1" t="s">
        <v>42</v>
      </c>
      <c r="L1799" s="1" t="s">
        <v>6819</v>
      </c>
      <c r="M1799" s="1">
        <v>49.0</v>
      </c>
      <c r="N1799" s="1" t="s">
        <v>1152</v>
      </c>
      <c r="O1799" s="3" t="s">
        <v>8988</v>
      </c>
      <c r="P1799" s="1" t="s">
        <v>1152</v>
      </c>
      <c r="Q1799" s="1" t="s">
        <v>1152</v>
      </c>
      <c r="R1799" s="1"/>
      <c r="S1799" s="1"/>
      <c r="T1799" s="1" t="s">
        <v>1152</v>
      </c>
      <c r="U1799" s="1" t="s">
        <v>6053</v>
      </c>
      <c r="V1799" s="4" t="s">
        <v>8988</v>
      </c>
      <c r="W1799" s="1"/>
      <c r="X1799" s="1" t="s">
        <v>1152</v>
      </c>
      <c r="Y1799" s="1" t="s">
        <v>1152</v>
      </c>
      <c r="Z1799" s="1"/>
      <c r="AA1799" s="1"/>
      <c r="AB1799" s="1"/>
      <c r="AC1799" s="1" t="s">
        <v>1925</v>
      </c>
      <c r="AD1799" s="1"/>
      <c r="AE1799" s="18">
        <v>46139.0</v>
      </c>
      <c r="AF1799" s="1" t="s">
        <v>3186</v>
      </c>
      <c r="AG1799" s="1" t="s">
        <v>52</v>
      </c>
      <c r="AH1799" s="1" t="s">
        <v>1152</v>
      </c>
      <c r="AI1799" s="1"/>
      <c r="AJ1799" s="1" t="s">
        <v>8989</v>
      </c>
      <c r="AK1799" s="1" t="s">
        <v>1152</v>
      </c>
      <c r="AL1799" s="6" t="str">
        <f t="array" ref="AL1799">IFERROR(IFS(XLOOKUP(B1799, 'Kit Delivery Status'!$U:$U, 'Kit Delivery Status'!$K:$K) = "Complete", "DELIVERED", XLOOKUP(B1799, 'Kit Delivery Status'!$U:$U, 'Kit Delivery Status'!$K:$K) = "Issue", "ISSUE"), "")</f>
        <v/>
      </c>
      <c r="AM1799" s="6"/>
    </row>
    <row r="1800">
      <c r="A1800" s="5" t="s">
        <v>8990</v>
      </c>
      <c r="B1800" s="1" t="s">
        <v>8991</v>
      </c>
      <c r="C1800" s="1"/>
      <c r="D1800" s="2">
        <v>7.274181417E9</v>
      </c>
      <c r="E1800" s="1" t="s">
        <v>5562</v>
      </c>
      <c r="F1800" s="1"/>
      <c r="G1800" s="1" t="s">
        <v>8992</v>
      </c>
      <c r="H1800" s="1" t="s">
        <v>1208</v>
      </c>
      <c r="I1800" s="1">
        <v>33957.0</v>
      </c>
      <c r="J1800" s="1" t="s">
        <v>752</v>
      </c>
      <c r="K1800" s="1" t="s">
        <v>42</v>
      </c>
      <c r="L1800" s="1" t="s">
        <v>7863</v>
      </c>
      <c r="M1800" s="1">
        <v>79.0</v>
      </c>
      <c r="N1800" s="1" t="s">
        <v>1152</v>
      </c>
      <c r="O1800" s="3" t="s">
        <v>5564</v>
      </c>
      <c r="P1800" s="1" t="s">
        <v>1152</v>
      </c>
      <c r="Q1800" s="1" t="s">
        <v>1152</v>
      </c>
      <c r="R1800" s="1"/>
      <c r="S1800" s="1"/>
      <c r="T1800" s="1" t="s">
        <v>1152</v>
      </c>
      <c r="U1800" s="1" t="s">
        <v>1794</v>
      </c>
      <c r="V1800" s="4" t="s">
        <v>5564</v>
      </c>
      <c r="W1800" s="1"/>
      <c r="X1800" s="1" t="s">
        <v>1152</v>
      </c>
      <c r="Y1800" s="1" t="s">
        <v>1152</v>
      </c>
      <c r="Z1800" s="1"/>
      <c r="AA1800" s="1"/>
      <c r="AB1800" s="1"/>
      <c r="AC1800" s="1" t="s">
        <v>1925</v>
      </c>
      <c r="AD1800" s="1"/>
      <c r="AE1800" s="18">
        <v>46150.0</v>
      </c>
      <c r="AF1800" s="1" t="s">
        <v>1440</v>
      </c>
      <c r="AG1800" s="1" t="s">
        <v>52</v>
      </c>
      <c r="AH1800" s="1" t="s">
        <v>1152</v>
      </c>
      <c r="AI1800" s="1"/>
      <c r="AJ1800" s="1" t="s">
        <v>8993</v>
      </c>
      <c r="AK1800" s="1" t="s">
        <v>1152</v>
      </c>
      <c r="AL1800" s="6" t="str">
        <f t="array" ref="AL1800">IFERROR(IFS(XLOOKUP(B1800, 'Kit Delivery Status'!$U:$U, 'Kit Delivery Status'!$K:$K) = "Complete", "DELIVERED", XLOOKUP(B1800, 'Kit Delivery Status'!$U:$U, 'Kit Delivery Status'!$K:$K) = "Issue", "ISSUE"), "")</f>
        <v/>
      </c>
      <c r="AM1800" s="6"/>
    </row>
    <row r="1801">
      <c r="A1801" s="5" t="s">
        <v>8990</v>
      </c>
      <c r="B1801" s="1" t="s">
        <v>8991</v>
      </c>
      <c r="C1801" s="1"/>
      <c r="D1801" s="2">
        <v>7.274181417E9</v>
      </c>
      <c r="E1801" s="1" t="s">
        <v>5562</v>
      </c>
      <c r="F1801" s="1"/>
      <c r="G1801" s="1" t="s">
        <v>8992</v>
      </c>
      <c r="H1801" s="1" t="s">
        <v>1208</v>
      </c>
      <c r="I1801" s="1">
        <v>33957.0</v>
      </c>
      <c r="J1801" s="1" t="s">
        <v>752</v>
      </c>
      <c r="K1801" s="1" t="s">
        <v>42</v>
      </c>
      <c r="L1801" s="1" t="s">
        <v>6819</v>
      </c>
      <c r="M1801" s="1">
        <v>49.0</v>
      </c>
      <c r="N1801" s="1" t="s">
        <v>1152</v>
      </c>
      <c r="O1801" s="3" t="s">
        <v>5564</v>
      </c>
      <c r="P1801" s="1" t="s">
        <v>1152</v>
      </c>
      <c r="Q1801" s="1" t="s">
        <v>1152</v>
      </c>
      <c r="R1801" s="1"/>
      <c r="S1801" s="1"/>
      <c r="T1801" s="1" t="s">
        <v>1152</v>
      </c>
      <c r="U1801" s="1" t="s">
        <v>1794</v>
      </c>
      <c r="V1801" s="4" t="s">
        <v>5564</v>
      </c>
      <c r="W1801" s="1"/>
      <c r="X1801" s="1" t="s">
        <v>1152</v>
      </c>
      <c r="Y1801" s="1" t="s">
        <v>1152</v>
      </c>
      <c r="Z1801" s="1"/>
      <c r="AA1801" s="1"/>
      <c r="AB1801" s="1"/>
      <c r="AC1801" s="1" t="s">
        <v>1925</v>
      </c>
      <c r="AD1801" s="1"/>
      <c r="AE1801" s="18">
        <v>46150.0</v>
      </c>
      <c r="AF1801" s="1" t="s">
        <v>1440</v>
      </c>
      <c r="AG1801" s="1" t="s">
        <v>52</v>
      </c>
      <c r="AH1801" s="1" t="s">
        <v>1152</v>
      </c>
      <c r="AI1801" s="1"/>
      <c r="AJ1801" s="1" t="s">
        <v>8993</v>
      </c>
      <c r="AK1801" s="1" t="s">
        <v>1152</v>
      </c>
      <c r="AL1801" s="6" t="str">
        <f t="array" ref="AL1801">IFERROR(IFS(XLOOKUP(B1801, 'Kit Delivery Status'!$U:$U, 'Kit Delivery Status'!$K:$K) = "Complete", "DELIVERED", XLOOKUP(B1801, 'Kit Delivery Status'!$U:$U, 'Kit Delivery Status'!$K:$K) = "Issue", "ISSUE"), "")</f>
        <v/>
      </c>
      <c r="AM1801" s="6"/>
    </row>
    <row r="1802">
      <c r="A1802" s="5" t="s">
        <v>8994</v>
      </c>
      <c r="B1802" s="1" t="s">
        <v>8995</v>
      </c>
      <c r="C1802" s="1" t="s">
        <v>8996</v>
      </c>
      <c r="D1802" s="2">
        <v>7.812268576E9</v>
      </c>
      <c r="E1802" s="1" t="s">
        <v>8997</v>
      </c>
      <c r="F1802" s="1"/>
      <c r="G1802" s="1" t="s">
        <v>1283</v>
      </c>
      <c r="H1802" s="1" t="s">
        <v>1155</v>
      </c>
      <c r="I1802" s="1">
        <v>63105.0</v>
      </c>
      <c r="J1802" s="1" t="s">
        <v>752</v>
      </c>
      <c r="K1802" s="1" t="s">
        <v>42</v>
      </c>
      <c r="L1802" s="1" t="s">
        <v>6819</v>
      </c>
      <c r="M1802" s="1">
        <v>49.0</v>
      </c>
      <c r="N1802" s="1" t="s">
        <v>1152</v>
      </c>
      <c r="O1802" s="3" t="s">
        <v>8998</v>
      </c>
      <c r="P1802" s="1" t="s">
        <v>1152</v>
      </c>
      <c r="Q1802" s="1" t="s">
        <v>1152</v>
      </c>
      <c r="R1802" s="1"/>
      <c r="S1802" s="1"/>
      <c r="T1802" s="1" t="s">
        <v>1152</v>
      </c>
      <c r="U1802" s="1" t="s">
        <v>1249</v>
      </c>
      <c r="V1802" s="4" t="s">
        <v>8998</v>
      </c>
      <c r="W1802" s="1"/>
      <c r="X1802" s="1" t="s">
        <v>1152</v>
      </c>
      <c r="Y1802" s="1" t="s">
        <v>1152</v>
      </c>
      <c r="Z1802" s="1"/>
      <c r="AA1802" s="1"/>
      <c r="AB1802" s="1"/>
      <c r="AC1802" s="1" t="s">
        <v>1925</v>
      </c>
      <c r="AD1802" s="1"/>
      <c r="AE1802" s="18">
        <v>46139.0</v>
      </c>
      <c r="AF1802" s="1" t="s">
        <v>1030</v>
      </c>
      <c r="AG1802" s="1" t="s">
        <v>52</v>
      </c>
      <c r="AH1802" s="1" t="s">
        <v>1152</v>
      </c>
      <c r="AI1802" s="1"/>
      <c r="AJ1802" s="1" t="s">
        <v>8997</v>
      </c>
      <c r="AK1802" s="1" t="s">
        <v>1152</v>
      </c>
      <c r="AL1802" s="6" t="str">
        <f t="array" ref="AL1802">IFERROR(IFS(XLOOKUP(B1802, 'Kit Delivery Status'!$U:$U, 'Kit Delivery Status'!$K:$K) = "Complete", "DELIVERED", XLOOKUP(B1802, 'Kit Delivery Status'!$U:$U, 'Kit Delivery Status'!$K:$K) = "Issue", "ISSUE"), "")</f>
        <v/>
      </c>
      <c r="AM1802" s="6"/>
    </row>
    <row r="1803">
      <c r="A1803" s="5" t="s">
        <v>8999</v>
      </c>
      <c r="B1803" s="1" t="s">
        <v>9000</v>
      </c>
      <c r="C1803" s="1" t="s">
        <v>9001</v>
      </c>
      <c r="D1803" s="2">
        <v>9.172732413E9</v>
      </c>
      <c r="E1803" s="1" t="s">
        <v>9002</v>
      </c>
      <c r="F1803" s="1"/>
      <c r="G1803" s="1" t="s">
        <v>751</v>
      </c>
      <c r="H1803" s="1" t="s">
        <v>751</v>
      </c>
      <c r="I1803" s="1" t="s">
        <v>9003</v>
      </c>
      <c r="J1803" s="1" t="s">
        <v>752</v>
      </c>
      <c r="K1803" s="1" t="s">
        <v>42</v>
      </c>
      <c r="L1803" s="1" t="s">
        <v>8503</v>
      </c>
      <c r="M1803" s="1">
        <v>79.0</v>
      </c>
      <c r="N1803" s="1" t="s">
        <v>1152</v>
      </c>
      <c r="O1803" s="3" t="s">
        <v>596</v>
      </c>
      <c r="P1803" s="1" t="s">
        <v>1152</v>
      </c>
      <c r="Q1803" s="1" t="s">
        <v>1152</v>
      </c>
      <c r="R1803" s="1"/>
      <c r="S1803" s="1"/>
      <c r="T1803" s="1" t="s">
        <v>1152</v>
      </c>
      <c r="U1803" s="1" t="s">
        <v>6053</v>
      </c>
      <c r="V1803" s="4" t="s">
        <v>596</v>
      </c>
      <c r="W1803" s="1"/>
      <c r="X1803" s="1" t="s">
        <v>1152</v>
      </c>
      <c r="Y1803" s="1" t="s">
        <v>1152</v>
      </c>
      <c r="Z1803" s="1"/>
      <c r="AA1803" s="1"/>
      <c r="AB1803" s="1"/>
      <c r="AC1803" s="1" t="s">
        <v>1925</v>
      </c>
      <c r="AD1803" s="1"/>
      <c r="AE1803" s="18">
        <v>46150.0</v>
      </c>
      <c r="AF1803" s="1" t="s">
        <v>1030</v>
      </c>
      <c r="AG1803" s="1" t="s">
        <v>52</v>
      </c>
      <c r="AH1803" s="1" t="s">
        <v>1152</v>
      </c>
      <c r="AI1803" s="1"/>
      <c r="AJ1803" s="1" t="s">
        <v>595</v>
      </c>
      <c r="AK1803" s="1" t="s">
        <v>1152</v>
      </c>
      <c r="AL1803" s="6" t="str">
        <f t="array" ref="AL1803">IFERROR(IFS(XLOOKUP(B1803, 'Kit Delivery Status'!$U:$U, 'Kit Delivery Status'!$K:$K) = "Complete", "DELIVERED", XLOOKUP(B1803, 'Kit Delivery Status'!$U:$U, 'Kit Delivery Status'!$K:$K) = "Issue", "ISSUE"), "")</f>
        <v/>
      </c>
      <c r="AM1803" s="6"/>
    </row>
    <row r="1804">
      <c r="A1804" s="5" t="s">
        <v>9004</v>
      </c>
      <c r="B1804" s="1" t="s">
        <v>9005</v>
      </c>
      <c r="C1804" s="1" t="s">
        <v>1895</v>
      </c>
      <c r="D1804" s="2">
        <v>2.038879903E9</v>
      </c>
      <c r="E1804" s="1" t="s">
        <v>1896</v>
      </c>
      <c r="F1804" s="1"/>
      <c r="G1804" s="1" t="s">
        <v>1897</v>
      </c>
      <c r="H1804" s="1" t="s">
        <v>1078</v>
      </c>
      <c r="I1804" s="1">
        <v>6410.0</v>
      </c>
      <c r="J1804" s="1" t="s">
        <v>752</v>
      </c>
      <c r="K1804" s="1" t="s">
        <v>892</v>
      </c>
      <c r="L1804" s="1" t="s">
        <v>8006</v>
      </c>
      <c r="M1804" s="1">
        <v>49.0</v>
      </c>
      <c r="N1804" s="1" t="s">
        <v>1152</v>
      </c>
      <c r="O1804" s="3" t="s">
        <v>627</v>
      </c>
      <c r="P1804" s="1" t="s">
        <v>1152</v>
      </c>
      <c r="Q1804" s="1" t="s">
        <v>1152</v>
      </c>
      <c r="R1804" s="1"/>
      <c r="S1804" s="1"/>
      <c r="T1804" s="1" t="s">
        <v>1152</v>
      </c>
      <c r="U1804" s="1" t="s">
        <v>1080</v>
      </c>
      <c r="V1804" s="4" t="s">
        <v>627</v>
      </c>
      <c r="W1804" s="1"/>
      <c r="X1804" s="1" t="s">
        <v>1152</v>
      </c>
      <c r="Y1804" s="1" t="s">
        <v>1152</v>
      </c>
      <c r="Z1804" s="1"/>
      <c r="AA1804" s="1"/>
      <c r="AB1804" s="1"/>
      <c r="AC1804" s="1" t="s">
        <v>1925</v>
      </c>
      <c r="AD1804" s="1"/>
      <c r="AE1804" s="18">
        <v>46147.0</v>
      </c>
      <c r="AF1804" s="1" t="s">
        <v>1349</v>
      </c>
      <c r="AG1804" s="1" t="s">
        <v>52</v>
      </c>
      <c r="AH1804" s="1" t="s">
        <v>9006</v>
      </c>
      <c r="AI1804" s="1"/>
      <c r="AJ1804" s="1" t="s">
        <v>9007</v>
      </c>
      <c r="AK1804" s="1" t="s">
        <v>1152</v>
      </c>
      <c r="AL1804" s="6" t="str">
        <f t="array" ref="AL1804">IFERROR(IFS(XLOOKUP(B1804, 'Kit Delivery Status'!$U:$U, 'Kit Delivery Status'!$K:$K) = "Complete", "DELIVERED", XLOOKUP(B1804, 'Kit Delivery Status'!$U:$U, 'Kit Delivery Status'!$K:$K) = "Issue", "ISSUE"), "")</f>
        <v/>
      </c>
      <c r="AM1804" s="6"/>
    </row>
    <row r="1805">
      <c r="A1805" s="5" t="s">
        <v>9008</v>
      </c>
      <c r="B1805" s="1" t="s">
        <v>9009</v>
      </c>
      <c r="C1805" s="1"/>
      <c r="D1805" s="2">
        <v>5.308484692E9</v>
      </c>
      <c r="E1805" s="1" t="s">
        <v>9010</v>
      </c>
      <c r="F1805" s="1"/>
      <c r="G1805" s="1" t="s">
        <v>9011</v>
      </c>
      <c r="H1805" s="1" t="s">
        <v>751</v>
      </c>
      <c r="I1805" s="1">
        <v>10543.0</v>
      </c>
      <c r="J1805" s="1" t="s">
        <v>752</v>
      </c>
      <c r="K1805" s="1" t="s">
        <v>42</v>
      </c>
      <c r="L1805" s="1" t="s">
        <v>6819</v>
      </c>
      <c r="M1805" s="1">
        <v>49.0</v>
      </c>
      <c r="N1805" s="1" t="s">
        <v>1152</v>
      </c>
      <c r="O1805" s="3" t="s">
        <v>6716</v>
      </c>
      <c r="P1805" s="1" t="s">
        <v>1152</v>
      </c>
      <c r="Q1805" s="1" t="s">
        <v>1152</v>
      </c>
      <c r="R1805" s="1"/>
      <c r="S1805" s="1"/>
      <c r="T1805" s="1" t="s">
        <v>1152</v>
      </c>
      <c r="U1805" s="1" t="s">
        <v>1039</v>
      </c>
      <c r="V1805" s="4" t="s">
        <v>6716</v>
      </c>
      <c r="W1805" s="1"/>
      <c r="X1805" s="1" t="s">
        <v>1152</v>
      </c>
      <c r="Y1805" s="1" t="s">
        <v>1152</v>
      </c>
      <c r="Z1805" s="1"/>
      <c r="AA1805" s="1"/>
      <c r="AB1805" s="1"/>
      <c r="AC1805" s="1" t="s">
        <v>1925</v>
      </c>
      <c r="AD1805" s="1"/>
      <c r="AE1805" s="18">
        <v>46148.0</v>
      </c>
      <c r="AF1805" s="1" t="s">
        <v>3186</v>
      </c>
      <c r="AG1805" s="1" t="s">
        <v>52</v>
      </c>
      <c r="AH1805" s="1" t="s">
        <v>1152</v>
      </c>
      <c r="AI1805" s="1"/>
      <c r="AJ1805" s="1" t="s">
        <v>9012</v>
      </c>
      <c r="AK1805" s="1" t="s">
        <v>1152</v>
      </c>
      <c r="AL1805" s="6" t="str">
        <f t="array" ref="AL1805">IFERROR(IFS(XLOOKUP(B1805, 'Kit Delivery Status'!$U:$U, 'Kit Delivery Status'!$K:$K) = "Complete", "DELIVERED", XLOOKUP(B1805, 'Kit Delivery Status'!$U:$U, 'Kit Delivery Status'!$K:$K) = "Issue", "ISSUE"), "")</f>
        <v/>
      </c>
      <c r="AM1805" s="6"/>
    </row>
    <row r="1806">
      <c r="A1806" s="5" t="s">
        <v>9013</v>
      </c>
      <c r="B1806" s="1" t="s">
        <v>9014</v>
      </c>
      <c r="C1806" s="1"/>
      <c r="D1806" s="2">
        <v>6.176310203E9</v>
      </c>
      <c r="E1806" s="1" t="s">
        <v>9015</v>
      </c>
      <c r="F1806" s="1"/>
      <c r="G1806" s="1" t="s">
        <v>4578</v>
      </c>
      <c r="H1806" s="1" t="s">
        <v>1121</v>
      </c>
      <c r="I1806" s="1">
        <v>2478.0</v>
      </c>
      <c r="J1806" s="1" t="s">
        <v>752</v>
      </c>
      <c r="K1806" s="1" t="s">
        <v>892</v>
      </c>
      <c r="L1806" s="1" t="s">
        <v>8134</v>
      </c>
      <c r="M1806" s="1">
        <v>79.0</v>
      </c>
      <c r="N1806" s="1" t="s">
        <v>1152</v>
      </c>
      <c r="O1806" s="3" t="s">
        <v>9016</v>
      </c>
      <c r="P1806" s="1" t="s">
        <v>1152</v>
      </c>
      <c r="Q1806" s="1" t="s">
        <v>1152</v>
      </c>
      <c r="R1806" s="1"/>
      <c r="S1806" s="1"/>
      <c r="T1806" s="1" t="s">
        <v>1152</v>
      </c>
      <c r="U1806" s="1" t="s">
        <v>1828</v>
      </c>
      <c r="V1806" s="4" t="s">
        <v>9016</v>
      </c>
      <c r="W1806" s="1"/>
      <c r="X1806" s="1" t="s">
        <v>1152</v>
      </c>
      <c r="Y1806" s="1" t="s">
        <v>1152</v>
      </c>
      <c r="Z1806" s="1"/>
      <c r="AA1806" s="1"/>
      <c r="AB1806" s="1"/>
      <c r="AC1806" s="1" t="s">
        <v>1925</v>
      </c>
      <c r="AD1806" s="1"/>
      <c r="AE1806" s="18">
        <v>46158.0</v>
      </c>
      <c r="AF1806" s="1" t="s">
        <v>1349</v>
      </c>
      <c r="AG1806" s="1" t="s">
        <v>52</v>
      </c>
      <c r="AH1806" s="1" t="s">
        <v>9017</v>
      </c>
      <c r="AI1806" s="1"/>
      <c r="AJ1806" s="1" t="s">
        <v>9015</v>
      </c>
      <c r="AK1806" s="1" t="s">
        <v>1152</v>
      </c>
      <c r="AL1806" s="6" t="str">
        <f t="array" ref="AL1806">IFERROR(IFS(XLOOKUP(B1806, 'Kit Delivery Status'!$U:$U, 'Kit Delivery Status'!$K:$K) = "Complete", "DELIVERED", XLOOKUP(B1806, 'Kit Delivery Status'!$U:$U, 'Kit Delivery Status'!$K:$K) = "Issue", "ISSUE"), "")</f>
        <v/>
      </c>
      <c r="AM1806" s="6"/>
    </row>
    <row r="1807">
      <c r="A1807" s="5" t="s">
        <v>9018</v>
      </c>
      <c r="B1807" s="1" t="s">
        <v>9019</v>
      </c>
      <c r="C1807" s="1" t="s">
        <v>3623</v>
      </c>
      <c r="D1807" s="2">
        <v>3.149140704E9</v>
      </c>
      <c r="E1807" s="1" t="s">
        <v>3624</v>
      </c>
      <c r="F1807" s="1"/>
      <c r="G1807" s="1" t="s">
        <v>2350</v>
      </c>
      <c r="H1807" s="1" t="s">
        <v>1155</v>
      </c>
      <c r="I1807" s="1">
        <v>63130.0</v>
      </c>
      <c r="J1807" s="1" t="s">
        <v>752</v>
      </c>
      <c r="K1807" s="1" t="s">
        <v>42</v>
      </c>
      <c r="L1807" s="1" t="s">
        <v>6819</v>
      </c>
      <c r="M1807" s="1">
        <v>49.0</v>
      </c>
      <c r="N1807" s="1" t="s">
        <v>1152</v>
      </c>
      <c r="O1807" s="3" t="s">
        <v>2132</v>
      </c>
      <c r="P1807" s="1" t="s">
        <v>1152</v>
      </c>
      <c r="Q1807" s="1" t="s">
        <v>1152</v>
      </c>
      <c r="R1807" s="1"/>
      <c r="S1807" s="1"/>
      <c r="T1807" s="1" t="s">
        <v>1152</v>
      </c>
      <c r="U1807" s="1" t="s">
        <v>1021</v>
      </c>
      <c r="V1807" s="4" t="s">
        <v>2132</v>
      </c>
      <c r="W1807" s="1"/>
      <c r="X1807" s="1" t="s">
        <v>1152</v>
      </c>
      <c r="Y1807" s="1" t="s">
        <v>1152</v>
      </c>
      <c r="Z1807" s="1"/>
      <c r="AA1807" s="1"/>
      <c r="AB1807" s="1"/>
      <c r="AC1807" s="1" t="s">
        <v>1925</v>
      </c>
      <c r="AD1807" s="1"/>
      <c r="AE1807" s="18">
        <v>46149.0</v>
      </c>
      <c r="AF1807" s="1" t="s">
        <v>1030</v>
      </c>
      <c r="AG1807" s="1" t="s">
        <v>52</v>
      </c>
      <c r="AH1807" s="1" t="s">
        <v>1152</v>
      </c>
      <c r="AI1807" s="1"/>
      <c r="AJ1807" s="1" t="s">
        <v>3624</v>
      </c>
      <c r="AK1807" s="1" t="s">
        <v>1152</v>
      </c>
      <c r="AL1807" s="6" t="str">
        <f t="array" ref="AL1807">IFERROR(IFS(XLOOKUP(B1807, 'Kit Delivery Status'!$U:$U, 'Kit Delivery Status'!$K:$K) = "Complete", "DELIVERED", XLOOKUP(B1807, 'Kit Delivery Status'!$U:$U, 'Kit Delivery Status'!$K:$K) = "Issue", "ISSUE"), "")</f>
        <v/>
      </c>
      <c r="AM1807" s="6"/>
    </row>
    <row r="1808">
      <c r="A1808" s="5" t="s">
        <v>9020</v>
      </c>
      <c r="B1808" s="1" t="s">
        <v>9021</v>
      </c>
      <c r="C1808" s="1" t="s">
        <v>9022</v>
      </c>
      <c r="D1808" s="2">
        <v>6.787799677E9</v>
      </c>
      <c r="E1808" s="1" t="s">
        <v>9023</v>
      </c>
      <c r="F1808" s="1"/>
      <c r="G1808" s="1" t="s">
        <v>1640</v>
      </c>
      <c r="H1808" s="1" t="s">
        <v>946</v>
      </c>
      <c r="I1808" s="1">
        <v>30024.0</v>
      </c>
      <c r="J1808" s="1" t="s">
        <v>752</v>
      </c>
      <c r="K1808" s="1" t="s">
        <v>42</v>
      </c>
      <c r="L1808" s="1" t="s">
        <v>6819</v>
      </c>
      <c r="M1808" s="1">
        <v>49.0</v>
      </c>
      <c r="N1808" s="1" t="s">
        <v>1152</v>
      </c>
      <c r="O1808" s="3" t="s">
        <v>3796</v>
      </c>
      <c r="P1808" s="1" t="s">
        <v>1152</v>
      </c>
      <c r="Q1808" s="1" t="s">
        <v>1152</v>
      </c>
      <c r="R1808" s="1"/>
      <c r="S1808" s="1"/>
      <c r="T1808" s="1" t="s">
        <v>1152</v>
      </c>
      <c r="U1808" s="1" t="s">
        <v>956</v>
      </c>
      <c r="V1808" s="4" t="s">
        <v>3796</v>
      </c>
      <c r="W1808" s="1"/>
      <c r="X1808" s="1" t="s">
        <v>1152</v>
      </c>
      <c r="Y1808" s="1" t="s">
        <v>1152</v>
      </c>
      <c r="Z1808" s="1"/>
      <c r="AA1808" s="1"/>
      <c r="AB1808" s="1"/>
      <c r="AC1808" s="1" t="s">
        <v>1925</v>
      </c>
      <c r="AD1808" s="1"/>
      <c r="AE1808" s="18">
        <v>46142.0</v>
      </c>
      <c r="AF1808" s="1" t="s">
        <v>1440</v>
      </c>
      <c r="AG1808" s="1" t="s">
        <v>52</v>
      </c>
      <c r="AH1808" s="1" t="s">
        <v>1152</v>
      </c>
      <c r="AI1808" s="1"/>
      <c r="AJ1808" s="1" t="s">
        <v>9024</v>
      </c>
      <c r="AK1808" s="1" t="s">
        <v>1152</v>
      </c>
      <c r="AL1808" s="6" t="str">
        <f t="array" ref="AL1808">IFERROR(IFS(XLOOKUP(B1808, 'Kit Delivery Status'!$U:$U, 'Kit Delivery Status'!$K:$K) = "Complete", "DELIVERED", XLOOKUP(B1808, 'Kit Delivery Status'!$U:$U, 'Kit Delivery Status'!$K:$K) = "Issue", "ISSUE"), "")</f>
        <v/>
      </c>
      <c r="AM1808" s="6"/>
    </row>
    <row r="1809">
      <c r="A1809" s="5" t="s">
        <v>9025</v>
      </c>
      <c r="B1809" s="1" t="s">
        <v>9026</v>
      </c>
      <c r="C1809" s="1" t="s">
        <v>870</v>
      </c>
      <c r="D1809" s="2">
        <v>1.8183140867E10</v>
      </c>
      <c r="E1809" s="1" t="s">
        <v>351</v>
      </c>
      <c r="F1809" s="1"/>
      <c r="G1809" s="1" t="s">
        <v>5051</v>
      </c>
      <c r="H1809" s="1" t="s">
        <v>989</v>
      </c>
      <c r="I1809" s="1" t="s">
        <v>9027</v>
      </c>
      <c r="J1809" s="1" t="s">
        <v>752</v>
      </c>
      <c r="K1809" s="1" t="s">
        <v>42</v>
      </c>
      <c r="L1809" s="1" t="s">
        <v>6819</v>
      </c>
      <c r="M1809" s="1">
        <v>49.0</v>
      </c>
      <c r="N1809" s="1" t="s">
        <v>1152</v>
      </c>
      <c r="O1809" s="3" t="s">
        <v>353</v>
      </c>
      <c r="P1809" s="1" t="s">
        <v>1152</v>
      </c>
      <c r="Q1809" s="1" t="s">
        <v>1152</v>
      </c>
      <c r="R1809" s="1"/>
      <c r="S1809" s="1"/>
      <c r="T1809" s="1" t="s">
        <v>1152</v>
      </c>
      <c r="U1809" s="1" t="s">
        <v>956</v>
      </c>
      <c r="V1809" s="4" t="s">
        <v>353</v>
      </c>
      <c r="W1809" s="1"/>
      <c r="X1809" s="1" t="s">
        <v>1152</v>
      </c>
      <c r="Y1809" s="1" t="s">
        <v>1152</v>
      </c>
      <c r="Z1809" s="1"/>
      <c r="AA1809" s="1"/>
      <c r="AB1809" s="1"/>
      <c r="AC1809" s="1" t="s">
        <v>1925</v>
      </c>
      <c r="AD1809" s="1"/>
      <c r="AE1809" s="18">
        <v>46143.0</v>
      </c>
      <c r="AF1809" s="1" t="s">
        <v>3186</v>
      </c>
      <c r="AG1809" s="1" t="s">
        <v>52</v>
      </c>
      <c r="AH1809" s="1" t="s">
        <v>1152</v>
      </c>
      <c r="AI1809" s="1"/>
      <c r="AJ1809" s="1" t="s">
        <v>351</v>
      </c>
      <c r="AK1809" s="1" t="s">
        <v>1152</v>
      </c>
      <c r="AL1809" s="6" t="str">
        <f t="array" ref="AL1809">IFERROR(IFS(XLOOKUP(B1809, 'Kit Delivery Status'!$U:$U, 'Kit Delivery Status'!$K:$K) = "Complete", "DELIVERED", XLOOKUP(B1809, 'Kit Delivery Status'!$U:$U, 'Kit Delivery Status'!$K:$K) = "Issue", "ISSUE"), "")</f>
        <v/>
      </c>
      <c r="AM1809" s="6"/>
    </row>
    <row r="1810">
      <c r="A1810" s="5" t="s">
        <v>9028</v>
      </c>
      <c r="B1810" s="1" t="s">
        <v>9029</v>
      </c>
      <c r="C1810" s="1" t="s">
        <v>870</v>
      </c>
      <c r="D1810" s="2">
        <v>1.8183140867E10</v>
      </c>
      <c r="E1810" s="1" t="s">
        <v>351</v>
      </c>
      <c r="F1810" s="1"/>
      <c r="G1810" s="1" t="s">
        <v>5051</v>
      </c>
      <c r="H1810" s="1" t="s">
        <v>989</v>
      </c>
      <c r="I1810" s="1" t="s">
        <v>9027</v>
      </c>
      <c r="J1810" s="1" t="s">
        <v>752</v>
      </c>
      <c r="K1810" s="1" t="s">
        <v>2131</v>
      </c>
      <c r="L1810" s="1" t="s">
        <v>5767</v>
      </c>
      <c r="M1810" s="1">
        <v>1.0</v>
      </c>
      <c r="N1810" s="1" t="s">
        <v>1152</v>
      </c>
      <c r="O1810" s="3" t="s">
        <v>353</v>
      </c>
      <c r="P1810" s="1" t="s">
        <v>1152</v>
      </c>
      <c r="Q1810" s="1" t="s">
        <v>1152</v>
      </c>
      <c r="R1810" s="1"/>
      <c r="S1810" s="1"/>
      <c r="T1810" s="1" t="s">
        <v>1152</v>
      </c>
      <c r="U1810" s="1" t="s">
        <v>956</v>
      </c>
      <c r="V1810" s="4" t="s">
        <v>353</v>
      </c>
      <c r="W1810" s="1"/>
      <c r="X1810" s="1" t="s">
        <v>1152</v>
      </c>
      <c r="Y1810" s="1" t="s">
        <v>1152</v>
      </c>
      <c r="Z1810" s="1"/>
      <c r="AA1810" s="1"/>
      <c r="AB1810" s="1"/>
      <c r="AC1810" s="1" t="s">
        <v>1925</v>
      </c>
      <c r="AD1810" s="1"/>
      <c r="AE1810" s="18">
        <v>46143.0</v>
      </c>
      <c r="AF1810" s="1"/>
      <c r="AG1810" s="1"/>
      <c r="AH1810" s="1" t="s">
        <v>1152</v>
      </c>
      <c r="AI1810" s="1"/>
      <c r="AJ1810" s="1" t="s">
        <v>351</v>
      </c>
      <c r="AK1810" s="1" t="s">
        <v>1152</v>
      </c>
      <c r="AL1810" s="6" t="str">
        <f t="array" ref="AL1810">IFERROR(IFS(XLOOKUP(B1810, 'Kit Delivery Status'!$U:$U, 'Kit Delivery Status'!$K:$K) = "Complete", "DELIVERED", XLOOKUP(B1810, 'Kit Delivery Status'!$U:$U, 'Kit Delivery Status'!$K:$K) = "Issue", "ISSUE"), "")</f>
        <v/>
      </c>
      <c r="AM1810" s="6"/>
    </row>
    <row r="1811">
      <c r="A1811" s="5" t="s">
        <v>9030</v>
      </c>
      <c r="B1811" s="1" t="s">
        <v>9031</v>
      </c>
      <c r="C1811" s="1" t="s">
        <v>1739</v>
      </c>
      <c r="D1811" s="2">
        <v>3.109623501E9</v>
      </c>
      <c r="E1811" s="1" t="s">
        <v>1740</v>
      </c>
      <c r="F1811" s="1"/>
      <c r="G1811" s="1" t="s">
        <v>1179</v>
      </c>
      <c r="H1811" s="1" t="s">
        <v>989</v>
      </c>
      <c r="I1811" s="1">
        <v>90034.0</v>
      </c>
      <c r="J1811" s="1" t="s">
        <v>752</v>
      </c>
      <c r="K1811" s="1" t="s">
        <v>42</v>
      </c>
      <c r="L1811" s="1" t="s">
        <v>8393</v>
      </c>
      <c r="M1811" s="1">
        <v>109.0</v>
      </c>
      <c r="N1811" s="1" t="s">
        <v>1152</v>
      </c>
      <c r="O1811" s="3" t="s">
        <v>1741</v>
      </c>
      <c r="P1811" s="1" t="s">
        <v>1152</v>
      </c>
      <c r="Q1811" s="1" t="s">
        <v>1152</v>
      </c>
      <c r="R1811" s="1"/>
      <c r="S1811" s="1"/>
      <c r="T1811" s="1" t="s">
        <v>1152</v>
      </c>
      <c r="U1811" s="1" t="s">
        <v>956</v>
      </c>
      <c r="V1811" s="4" t="s">
        <v>1741</v>
      </c>
      <c r="W1811" s="1"/>
      <c r="X1811" s="1" t="s">
        <v>1152</v>
      </c>
      <c r="Y1811" s="1" t="s">
        <v>1152</v>
      </c>
      <c r="Z1811" s="1"/>
      <c r="AA1811" s="1"/>
      <c r="AB1811" s="1"/>
      <c r="AC1811" s="1" t="s">
        <v>1925</v>
      </c>
      <c r="AD1811" s="1"/>
      <c r="AE1811" s="18">
        <v>46147.0</v>
      </c>
      <c r="AF1811" s="1" t="s">
        <v>1103</v>
      </c>
      <c r="AG1811" s="1" t="s">
        <v>52</v>
      </c>
      <c r="AH1811" s="1" t="s">
        <v>1152</v>
      </c>
      <c r="AI1811" s="1"/>
      <c r="AJ1811" s="1" t="s">
        <v>1740</v>
      </c>
      <c r="AK1811" s="1" t="s">
        <v>1152</v>
      </c>
      <c r="AL1811" s="6" t="str">
        <f t="array" ref="AL1811">IFERROR(IFS(XLOOKUP(B1811, 'Kit Delivery Status'!$U:$U, 'Kit Delivery Status'!$K:$K) = "Complete", "DELIVERED", XLOOKUP(B1811, 'Kit Delivery Status'!$U:$U, 'Kit Delivery Status'!$K:$K) = "Issue", "ISSUE"), "")</f>
        <v/>
      </c>
      <c r="AM1811" s="6"/>
    </row>
    <row r="1812">
      <c r="A1812" s="5" t="s">
        <v>9032</v>
      </c>
      <c r="B1812" s="1" t="s">
        <v>9033</v>
      </c>
      <c r="C1812" s="1" t="s">
        <v>4674</v>
      </c>
      <c r="D1812" s="2">
        <v>6.504228482E9</v>
      </c>
      <c r="E1812" s="1" t="s">
        <v>6266</v>
      </c>
      <c r="F1812" s="1"/>
      <c r="G1812" s="1" t="s">
        <v>2998</v>
      </c>
      <c r="H1812" s="1" t="s">
        <v>2999</v>
      </c>
      <c r="I1812" s="1">
        <v>55405.0</v>
      </c>
      <c r="J1812" s="1" t="s">
        <v>752</v>
      </c>
      <c r="K1812" s="1" t="s">
        <v>892</v>
      </c>
      <c r="L1812" s="1" t="s">
        <v>8006</v>
      </c>
      <c r="M1812" s="1">
        <v>49.0</v>
      </c>
      <c r="N1812" s="1" t="s">
        <v>1152</v>
      </c>
      <c r="O1812" s="3" t="s">
        <v>6906</v>
      </c>
      <c r="P1812" s="1" t="s">
        <v>1152</v>
      </c>
      <c r="Q1812" s="1" t="s">
        <v>1152</v>
      </c>
      <c r="R1812" s="1"/>
      <c r="S1812" s="1"/>
      <c r="T1812" s="1" t="s">
        <v>1152</v>
      </c>
      <c r="U1812" s="1" t="s">
        <v>1065</v>
      </c>
      <c r="V1812" s="4" t="s">
        <v>6906</v>
      </c>
      <c r="W1812" s="1"/>
      <c r="X1812" s="1" t="s">
        <v>1152</v>
      </c>
      <c r="Y1812" s="1" t="s">
        <v>1152</v>
      </c>
      <c r="Z1812" s="1"/>
      <c r="AA1812" s="1"/>
      <c r="AB1812" s="1"/>
      <c r="AC1812" s="1" t="s">
        <v>1925</v>
      </c>
      <c r="AD1812" s="1"/>
      <c r="AE1812" s="18">
        <v>46150.0</v>
      </c>
      <c r="AF1812" s="1" t="s">
        <v>3186</v>
      </c>
      <c r="AG1812" s="1" t="s">
        <v>52</v>
      </c>
      <c r="AH1812" s="1" t="s">
        <v>9034</v>
      </c>
      <c r="AI1812" s="1"/>
      <c r="AJ1812" s="1" t="s">
        <v>6266</v>
      </c>
      <c r="AK1812" s="1" t="s">
        <v>1152</v>
      </c>
      <c r="AL1812" s="6" t="str">
        <f t="array" ref="AL1812">IFERROR(IFS(XLOOKUP(B1812, 'Kit Delivery Status'!$U:$U, 'Kit Delivery Status'!$K:$K) = "Complete", "DELIVERED", XLOOKUP(B1812, 'Kit Delivery Status'!$U:$U, 'Kit Delivery Status'!$K:$K) = "Issue", "ISSUE"), "")</f>
        <v/>
      </c>
      <c r="AM1812" s="6"/>
    </row>
    <row r="1813">
      <c r="A1813" s="5" t="s">
        <v>9032</v>
      </c>
      <c r="B1813" s="1" t="s">
        <v>9033</v>
      </c>
      <c r="C1813" s="1" t="s">
        <v>4674</v>
      </c>
      <c r="D1813" s="2">
        <v>6.504228482E9</v>
      </c>
      <c r="E1813" s="1" t="s">
        <v>6266</v>
      </c>
      <c r="F1813" s="1"/>
      <c r="G1813" s="1" t="s">
        <v>2998</v>
      </c>
      <c r="H1813" s="1" t="s">
        <v>2999</v>
      </c>
      <c r="I1813" s="1">
        <v>55405.0</v>
      </c>
      <c r="J1813" s="1" t="s">
        <v>752</v>
      </c>
      <c r="K1813" s="1" t="s">
        <v>42</v>
      </c>
      <c r="L1813" s="1" t="s">
        <v>6819</v>
      </c>
      <c r="M1813" s="1">
        <v>49.0</v>
      </c>
      <c r="N1813" s="1" t="s">
        <v>1152</v>
      </c>
      <c r="O1813" s="3" t="s">
        <v>6906</v>
      </c>
      <c r="P1813" s="1" t="s">
        <v>1152</v>
      </c>
      <c r="Q1813" s="1" t="s">
        <v>1152</v>
      </c>
      <c r="R1813" s="1"/>
      <c r="S1813" s="1"/>
      <c r="T1813" s="1" t="s">
        <v>1152</v>
      </c>
      <c r="U1813" s="1" t="s">
        <v>1065</v>
      </c>
      <c r="V1813" s="4" t="s">
        <v>6906</v>
      </c>
      <c r="W1813" s="1"/>
      <c r="X1813" s="1" t="s">
        <v>1152</v>
      </c>
      <c r="Y1813" s="1" t="s">
        <v>1152</v>
      </c>
      <c r="Z1813" s="1"/>
      <c r="AA1813" s="1"/>
      <c r="AB1813" s="1"/>
      <c r="AC1813" s="1" t="s">
        <v>1925</v>
      </c>
      <c r="AD1813" s="1"/>
      <c r="AE1813" s="18">
        <v>46150.0</v>
      </c>
      <c r="AF1813" s="1" t="s">
        <v>3186</v>
      </c>
      <c r="AG1813" s="1" t="s">
        <v>52</v>
      </c>
      <c r="AH1813" s="1" t="s">
        <v>1152</v>
      </c>
      <c r="AI1813" s="1"/>
      <c r="AJ1813" s="1" t="s">
        <v>6266</v>
      </c>
      <c r="AK1813" s="1" t="s">
        <v>1152</v>
      </c>
      <c r="AL1813" s="6" t="str">
        <f t="array" ref="AL1813">IFERROR(IFS(XLOOKUP(B1813, 'Kit Delivery Status'!$U:$U, 'Kit Delivery Status'!$K:$K) = "Complete", "DELIVERED", XLOOKUP(B1813, 'Kit Delivery Status'!$U:$U, 'Kit Delivery Status'!$K:$K) = "Issue", "ISSUE"), "")</f>
        <v/>
      </c>
      <c r="AM1813" s="6"/>
    </row>
    <row r="1814">
      <c r="A1814" s="5" t="s">
        <v>9035</v>
      </c>
      <c r="B1814" s="1" t="s">
        <v>9036</v>
      </c>
      <c r="C1814" s="1" t="s">
        <v>2305</v>
      </c>
      <c r="D1814" s="2">
        <v>4.848322036E9</v>
      </c>
      <c r="E1814" s="1" t="s">
        <v>9037</v>
      </c>
      <c r="F1814" s="1"/>
      <c r="G1814" s="1" t="s">
        <v>2307</v>
      </c>
      <c r="H1814" s="1" t="s">
        <v>1233</v>
      </c>
      <c r="I1814" s="1">
        <v>19010.0</v>
      </c>
      <c r="J1814" s="1" t="s">
        <v>752</v>
      </c>
      <c r="K1814" s="1" t="s">
        <v>42</v>
      </c>
      <c r="L1814" s="1" t="s">
        <v>6819</v>
      </c>
      <c r="M1814" s="1">
        <v>49.0</v>
      </c>
      <c r="N1814" s="1" t="s">
        <v>1152</v>
      </c>
      <c r="O1814" s="3" t="s">
        <v>2309</v>
      </c>
      <c r="P1814" s="1" t="s">
        <v>1152</v>
      </c>
      <c r="Q1814" s="1" t="s">
        <v>1152</v>
      </c>
      <c r="R1814" s="1"/>
      <c r="S1814" s="1"/>
      <c r="T1814" s="1" t="s">
        <v>1152</v>
      </c>
      <c r="U1814" s="1" t="s">
        <v>1039</v>
      </c>
      <c r="V1814" s="4" t="s">
        <v>2309</v>
      </c>
      <c r="W1814" s="1"/>
      <c r="X1814" s="1" t="s">
        <v>1152</v>
      </c>
      <c r="Y1814" s="1" t="s">
        <v>1152</v>
      </c>
      <c r="Z1814" s="1"/>
      <c r="AA1814" s="1"/>
      <c r="AB1814" s="1"/>
      <c r="AC1814" s="1" t="s">
        <v>1925</v>
      </c>
      <c r="AD1814" s="1"/>
      <c r="AE1814" s="18">
        <v>46148.0</v>
      </c>
      <c r="AF1814" s="1" t="s">
        <v>1030</v>
      </c>
      <c r="AG1814" s="1" t="s">
        <v>52</v>
      </c>
      <c r="AH1814" s="1" t="s">
        <v>1152</v>
      </c>
      <c r="AI1814" s="1"/>
      <c r="AJ1814" s="1" t="s">
        <v>2306</v>
      </c>
      <c r="AK1814" s="1" t="s">
        <v>1152</v>
      </c>
      <c r="AL1814" s="6" t="str">
        <f t="array" ref="AL1814">IFERROR(IFS(XLOOKUP(B1814, 'Kit Delivery Status'!$U:$U, 'Kit Delivery Status'!$K:$K) = "Complete", "DELIVERED", XLOOKUP(B1814, 'Kit Delivery Status'!$U:$U, 'Kit Delivery Status'!$K:$K) = "Issue", "ISSUE"), "")</f>
        <v/>
      </c>
      <c r="AM1814" s="6"/>
    </row>
    <row r="1815">
      <c r="A1815" s="5" t="s">
        <v>9038</v>
      </c>
      <c r="B1815" s="1" t="s">
        <v>9039</v>
      </c>
      <c r="C1815" s="1" t="s">
        <v>4217</v>
      </c>
      <c r="D1815" s="2">
        <v>3.128341503E9</v>
      </c>
      <c r="E1815" s="1" t="s">
        <v>4218</v>
      </c>
      <c r="F1815" s="1"/>
      <c r="G1815" s="1" t="s">
        <v>1072</v>
      </c>
      <c r="H1815" s="1" t="s">
        <v>1019</v>
      </c>
      <c r="I1815" s="1">
        <v>60618.0</v>
      </c>
      <c r="J1815" s="1" t="s">
        <v>752</v>
      </c>
      <c r="K1815" s="1" t="s">
        <v>42</v>
      </c>
      <c r="L1815" s="1" t="s">
        <v>6819</v>
      </c>
      <c r="M1815" s="1">
        <v>49.0</v>
      </c>
      <c r="N1815" s="1" t="s">
        <v>1152</v>
      </c>
      <c r="O1815" s="3" t="s">
        <v>9040</v>
      </c>
      <c r="P1815" s="1" t="s">
        <v>1152</v>
      </c>
      <c r="Q1815" s="1" t="s">
        <v>1152</v>
      </c>
      <c r="R1815" s="1"/>
      <c r="S1815" s="1"/>
      <c r="T1815" s="1" t="s">
        <v>1152</v>
      </c>
      <c r="U1815" s="1" t="s">
        <v>948</v>
      </c>
      <c r="V1815" s="4" t="s">
        <v>9040</v>
      </c>
      <c r="W1815" s="1"/>
      <c r="X1815" s="1" t="s">
        <v>1152</v>
      </c>
      <c r="Y1815" s="1" t="s">
        <v>1152</v>
      </c>
      <c r="Z1815" s="1"/>
      <c r="AA1815" s="1"/>
      <c r="AB1815" s="1"/>
      <c r="AC1815" s="1" t="s">
        <v>1925</v>
      </c>
      <c r="AD1815" s="1"/>
      <c r="AE1815" s="18">
        <v>46150.0</v>
      </c>
      <c r="AF1815" s="1" t="s">
        <v>1030</v>
      </c>
      <c r="AG1815" s="1" t="s">
        <v>52</v>
      </c>
      <c r="AH1815" s="1" t="s">
        <v>1152</v>
      </c>
      <c r="AI1815" s="1"/>
      <c r="AJ1815" s="1" t="s">
        <v>4218</v>
      </c>
      <c r="AK1815" s="1" t="s">
        <v>1152</v>
      </c>
      <c r="AL1815" s="6" t="str">
        <f t="array" ref="AL1815">IFERROR(IFS(XLOOKUP(B1815, 'Kit Delivery Status'!$U:$U, 'Kit Delivery Status'!$K:$K) = "Complete", "DELIVERED", XLOOKUP(B1815, 'Kit Delivery Status'!$U:$U, 'Kit Delivery Status'!$K:$K) = "Issue", "ISSUE"), "")</f>
        <v/>
      </c>
      <c r="AM1815" s="6"/>
    </row>
    <row r="1816">
      <c r="A1816" s="5" t="s">
        <v>9041</v>
      </c>
      <c r="B1816" s="1" t="s">
        <v>9042</v>
      </c>
      <c r="C1816" s="1" t="s">
        <v>9043</v>
      </c>
      <c r="D1816" s="2">
        <v>2.039123958E9</v>
      </c>
      <c r="E1816" s="1" t="s">
        <v>9044</v>
      </c>
      <c r="F1816" s="1"/>
      <c r="G1816" s="1" t="s">
        <v>9045</v>
      </c>
      <c r="H1816" s="1" t="s">
        <v>1078</v>
      </c>
      <c r="I1816" s="1">
        <v>6897.0</v>
      </c>
      <c r="J1816" s="1" t="s">
        <v>752</v>
      </c>
      <c r="K1816" s="1" t="s">
        <v>42</v>
      </c>
      <c r="L1816" s="1" t="s">
        <v>6819</v>
      </c>
      <c r="M1816" s="1">
        <v>49.0</v>
      </c>
      <c r="N1816" s="1" t="s">
        <v>1152</v>
      </c>
      <c r="O1816" s="3" t="s">
        <v>7856</v>
      </c>
      <c r="P1816" s="1" t="s">
        <v>1152</v>
      </c>
      <c r="Q1816" s="1" t="s">
        <v>1152</v>
      </c>
      <c r="R1816" s="1"/>
      <c r="S1816" s="1"/>
      <c r="T1816" s="1" t="s">
        <v>1152</v>
      </c>
      <c r="U1816" s="1" t="s">
        <v>1324</v>
      </c>
      <c r="V1816" s="4" t="s">
        <v>7856</v>
      </c>
      <c r="W1816" s="1"/>
      <c r="X1816" s="1" t="s">
        <v>1152</v>
      </c>
      <c r="Y1816" s="1" t="s">
        <v>1152</v>
      </c>
      <c r="Z1816" s="1"/>
      <c r="AA1816" s="1"/>
      <c r="AB1816" s="1"/>
      <c r="AC1816" s="1" t="s">
        <v>1925</v>
      </c>
      <c r="AD1816" s="1"/>
      <c r="AE1816" s="18">
        <v>46143.0</v>
      </c>
      <c r="AF1816" s="1" t="s">
        <v>1349</v>
      </c>
      <c r="AG1816" s="1" t="s">
        <v>52</v>
      </c>
      <c r="AH1816" s="1" t="s">
        <v>1152</v>
      </c>
      <c r="AI1816" s="1"/>
      <c r="AJ1816" s="1" t="s">
        <v>9046</v>
      </c>
      <c r="AK1816" s="1" t="s">
        <v>1152</v>
      </c>
      <c r="AL1816" s="6" t="str">
        <f t="array" ref="AL1816">IFERROR(IFS(XLOOKUP(B1816, 'Kit Delivery Status'!$U:$U, 'Kit Delivery Status'!$K:$K) = "Complete", "DELIVERED", XLOOKUP(B1816, 'Kit Delivery Status'!$U:$U, 'Kit Delivery Status'!$K:$K) = "Issue", "ISSUE"), "")</f>
        <v/>
      </c>
      <c r="AM1816" s="6"/>
    </row>
    <row r="1817">
      <c r="A1817" s="5" t="s">
        <v>9047</v>
      </c>
      <c r="B1817" s="1" t="s">
        <v>9048</v>
      </c>
      <c r="C1817" s="1"/>
      <c r="D1817" s="2">
        <v>3.104182714E9</v>
      </c>
      <c r="E1817" s="1" t="s">
        <v>1009</v>
      </c>
      <c r="F1817" s="1"/>
      <c r="G1817" s="1" t="s">
        <v>988</v>
      </c>
      <c r="H1817" s="1" t="s">
        <v>989</v>
      </c>
      <c r="I1817" s="1">
        <v>91367.0</v>
      </c>
      <c r="J1817" s="1" t="s">
        <v>752</v>
      </c>
      <c r="K1817" s="1" t="s">
        <v>42</v>
      </c>
      <c r="L1817" s="1" t="s">
        <v>6819</v>
      </c>
      <c r="M1817" s="1">
        <v>49.0</v>
      </c>
      <c r="N1817" s="1" t="s">
        <v>1152</v>
      </c>
      <c r="O1817" s="3" t="s">
        <v>1012</v>
      </c>
      <c r="P1817" s="1" t="s">
        <v>1152</v>
      </c>
      <c r="Q1817" s="1" t="s">
        <v>1152</v>
      </c>
      <c r="R1817" s="1"/>
      <c r="S1817" s="1"/>
      <c r="T1817" s="1" t="s">
        <v>1152</v>
      </c>
      <c r="U1817" s="1" t="s">
        <v>956</v>
      </c>
      <c r="V1817" s="4" t="s">
        <v>1012</v>
      </c>
      <c r="W1817" s="1"/>
      <c r="X1817" s="1" t="s">
        <v>1152</v>
      </c>
      <c r="Y1817" s="1" t="s">
        <v>1152</v>
      </c>
      <c r="Z1817" s="1"/>
      <c r="AA1817" s="1"/>
      <c r="AB1817" s="1"/>
      <c r="AC1817" s="1" t="s">
        <v>1925</v>
      </c>
      <c r="AD1817" s="1"/>
      <c r="AE1817" s="18">
        <v>46149.0</v>
      </c>
      <c r="AF1817" s="1" t="s">
        <v>1030</v>
      </c>
      <c r="AG1817" s="1" t="s">
        <v>52</v>
      </c>
      <c r="AH1817" s="1" t="s">
        <v>1152</v>
      </c>
      <c r="AI1817" s="1"/>
      <c r="AJ1817" s="1" t="s">
        <v>5050</v>
      </c>
      <c r="AK1817" s="1" t="s">
        <v>1152</v>
      </c>
      <c r="AL1817" s="6" t="str">
        <f t="array" ref="AL1817">IFERROR(IFS(XLOOKUP(B1817, 'Kit Delivery Status'!$U:$U, 'Kit Delivery Status'!$K:$K) = "Complete", "DELIVERED", XLOOKUP(B1817, 'Kit Delivery Status'!$U:$U, 'Kit Delivery Status'!$K:$K) = "Issue", "ISSUE"), "")</f>
        <v/>
      </c>
      <c r="AM1817" s="6"/>
    </row>
    <row r="1818">
      <c r="A1818" s="5" t="s">
        <v>9049</v>
      </c>
      <c r="B1818" s="1" t="s">
        <v>9050</v>
      </c>
      <c r="C1818" s="1" t="s">
        <v>7135</v>
      </c>
      <c r="D1818" s="2">
        <v>9.142630578E9</v>
      </c>
      <c r="E1818" s="1" t="s">
        <v>7136</v>
      </c>
      <c r="F1818" s="1"/>
      <c r="G1818" s="1" t="s">
        <v>7137</v>
      </c>
      <c r="H1818" s="1" t="s">
        <v>751</v>
      </c>
      <c r="I1818" s="1">
        <v>10580.0</v>
      </c>
      <c r="J1818" s="1" t="s">
        <v>752</v>
      </c>
      <c r="K1818" s="1" t="s">
        <v>42</v>
      </c>
      <c r="L1818" s="1" t="s">
        <v>6819</v>
      </c>
      <c r="M1818" s="1">
        <v>49.0</v>
      </c>
      <c r="N1818" s="1" t="s">
        <v>1152</v>
      </c>
      <c r="O1818" s="3" t="s">
        <v>7138</v>
      </c>
      <c r="P1818" s="1" t="s">
        <v>1152</v>
      </c>
      <c r="Q1818" s="1" t="s">
        <v>1152</v>
      </c>
      <c r="R1818" s="1"/>
      <c r="S1818" s="1"/>
      <c r="T1818" s="1" t="s">
        <v>1152</v>
      </c>
      <c r="U1818" s="1" t="s">
        <v>1407</v>
      </c>
      <c r="V1818" s="4" t="s">
        <v>7138</v>
      </c>
      <c r="W1818" s="1"/>
      <c r="X1818" s="1" t="s">
        <v>1152</v>
      </c>
      <c r="Y1818" s="1" t="s">
        <v>1152</v>
      </c>
      <c r="Z1818" s="1"/>
      <c r="AA1818" s="1"/>
      <c r="AB1818" s="1"/>
      <c r="AC1818" s="1" t="s">
        <v>1925</v>
      </c>
      <c r="AD1818" s="1"/>
      <c r="AE1818" s="18">
        <v>46149.0</v>
      </c>
      <c r="AF1818" s="1" t="s">
        <v>1103</v>
      </c>
      <c r="AG1818" s="1" t="s">
        <v>52</v>
      </c>
      <c r="AH1818" s="1" t="s">
        <v>1152</v>
      </c>
      <c r="AI1818" s="1"/>
      <c r="AJ1818" s="1" t="s">
        <v>7136</v>
      </c>
      <c r="AK1818" s="1" t="s">
        <v>1152</v>
      </c>
      <c r="AL1818" s="6" t="str">
        <f t="array" ref="AL1818">IFERROR(IFS(XLOOKUP(B1818, 'Kit Delivery Status'!$U:$U, 'Kit Delivery Status'!$K:$K) = "Complete", "DELIVERED", XLOOKUP(B1818, 'Kit Delivery Status'!$U:$U, 'Kit Delivery Status'!$K:$K) = "Issue", "ISSUE"), "")</f>
        <v/>
      </c>
      <c r="AM1818" s="6"/>
    </row>
    <row r="1819">
      <c r="A1819" s="5" t="s">
        <v>9051</v>
      </c>
      <c r="B1819" s="1" t="s">
        <v>9052</v>
      </c>
      <c r="C1819" s="1" t="s">
        <v>9053</v>
      </c>
      <c r="D1819" s="2">
        <v>5.613130033E9</v>
      </c>
      <c r="E1819" s="1" t="s">
        <v>9054</v>
      </c>
      <c r="F1819" s="1"/>
      <c r="G1819" s="1" t="s">
        <v>6400</v>
      </c>
      <c r="H1819" s="1" t="s">
        <v>1038</v>
      </c>
      <c r="I1819" s="1">
        <v>22180.0</v>
      </c>
      <c r="J1819" s="1" t="s">
        <v>752</v>
      </c>
      <c r="K1819" s="1" t="s">
        <v>42</v>
      </c>
      <c r="L1819" s="1" t="s">
        <v>6819</v>
      </c>
      <c r="M1819" s="1">
        <v>49.0</v>
      </c>
      <c r="N1819" s="1" t="s">
        <v>1152</v>
      </c>
      <c r="O1819" s="3" t="s">
        <v>4190</v>
      </c>
      <c r="P1819" s="1" t="s">
        <v>1152</v>
      </c>
      <c r="Q1819" s="1" t="s">
        <v>1152</v>
      </c>
      <c r="R1819" s="1"/>
      <c r="S1819" s="1"/>
      <c r="T1819" s="1" t="s">
        <v>1152</v>
      </c>
      <c r="U1819" s="1" t="s">
        <v>1441</v>
      </c>
      <c r="V1819" s="4" t="s">
        <v>4190</v>
      </c>
      <c r="W1819" s="1"/>
      <c r="X1819" s="1" t="s">
        <v>1152</v>
      </c>
      <c r="Y1819" s="1" t="s">
        <v>1152</v>
      </c>
      <c r="Z1819" s="1"/>
      <c r="AA1819" s="1"/>
      <c r="AB1819" s="1"/>
      <c r="AC1819" s="1" t="s">
        <v>1925</v>
      </c>
      <c r="AD1819" s="1"/>
      <c r="AE1819" s="18">
        <v>46148.0</v>
      </c>
      <c r="AF1819" s="1" t="s">
        <v>1030</v>
      </c>
      <c r="AG1819" s="1" t="s">
        <v>52</v>
      </c>
      <c r="AH1819" s="1" t="s">
        <v>1152</v>
      </c>
      <c r="AI1819" s="1"/>
      <c r="AJ1819" s="1" t="s">
        <v>4188</v>
      </c>
      <c r="AK1819" s="1" t="s">
        <v>1152</v>
      </c>
      <c r="AL1819" s="6" t="str">
        <f t="array" ref="AL1819">IFERROR(IFS(XLOOKUP(B1819, 'Kit Delivery Status'!$U:$U, 'Kit Delivery Status'!$K:$K) = "Complete", "DELIVERED", XLOOKUP(B1819, 'Kit Delivery Status'!$U:$U, 'Kit Delivery Status'!$K:$K) = "Issue", "ISSUE"), "")</f>
        <v/>
      </c>
      <c r="AM1819" s="6"/>
    </row>
    <row r="1820">
      <c r="A1820" s="5" t="s">
        <v>9055</v>
      </c>
      <c r="B1820" s="1" t="s">
        <v>9056</v>
      </c>
      <c r="C1820" s="1" t="s">
        <v>524</v>
      </c>
      <c r="D1820" s="2" t="s">
        <v>525</v>
      </c>
      <c r="E1820" s="1" t="s">
        <v>526</v>
      </c>
      <c r="F1820" s="1" t="s">
        <v>9057</v>
      </c>
      <c r="G1820" s="1" t="s">
        <v>1348</v>
      </c>
      <c r="H1820" s="1" t="s">
        <v>751</v>
      </c>
      <c r="I1820" s="1">
        <v>10573.0</v>
      </c>
      <c r="J1820" s="1" t="s">
        <v>752</v>
      </c>
      <c r="K1820" s="1" t="s">
        <v>892</v>
      </c>
      <c r="L1820" s="1" t="s">
        <v>8006</v>
      </c>
      <c r="M1820" s="1">
        <v>49.0</v>
      </c>
      <c r="N1820" s="1" t="s">
        <v>1152</v>
      </c>
      <c r="O1820" s="3"/>
      <c r="P1820" s="1" t="s">
        <v>1152</v>
      </c>
      <c r="Q1820" s="1" t="s">
        <v>1152</v>
      </c>
      <c r="R1820" s="1" t="s">
        <v>9057</v>
      </c>
      <c r="S1820" s="1"/>
      <c r="T1820" s="1" t="s">
        <v>1152</v>
      </c>
      <c r="U1820" s="1"/>
      <c r="V1820" s="4"/>
      <c r="W1820" s="1" t="s">
        <v>9057</v>
      </c>
      <c r="X1820" s="1" t="s">
        <v>1152</v>
      </c>
      <c r="Y1820" s="1" t="s">
        <v>1152</v>
      </c>
      <c r="Z1820" s="1"/>
      <c r="AA1820" s="1" t="s">
        <v>9057</v>
      </c>
      <c r="AB1820" s="1"/>
      <c r="AC1820" s="1" t="s">
        <v>1925</v>
      </c>
      <c r="AD1820" s="1"/>
      <c r="AE1820" s="18">
        <v>46160.0</v>
      </c>
      <c r="AF1820" s="1" t="s">
        <v>1455</v>
      </c>
      <c r="AG1820" s="1" t="s">
        <v>124</v>
      </c>
      <c r="AH1820" s="1" t="s">
        <v>9058</v>
      </c>
      <c r="AI1820" s="1"/>
      <c r="AJ1820" s="1" t="s">
        <v>9059</v>
      </c>
      <c r="AK1820" s="1" t="s">
        <v>1152</v>
      </c>
      <c r="AL1820" s="6" t="str">
        <f t="array" ref="AL1820">IFERROR(IFS(XLOOKUP(B1820, 'Kit Delivery Status'!$U:$U, 'Kit Delivery Status'!$K:$K) = "Complete", "DELIVERED", XLOOKUP(B1820, 'Kit Delivery Status'!$U:$U, 'Kit Delivery Status'!$K:$K) = "Issue", "ISSUE"), "")</f>
        <v/>
      </c>
      <c r="AM1820" s="6"/>
    </row>
    <row r="1821">
      <c r="A1821" s="5" t="s">
        <v>9060</v>
      </c>
      <c r="B1821" s="1" t="s">
        <v>9061</v>
      </c>
      <c r="C1821" s="1" t="s">
        <v>9062</v>
      </c>
      <c r="D1821" s="2">
        <v>9.142919464E9</v>
      </c>
      <c r="E1821" s="1" t="s">
        <v>925</v>
      </c>
      <c r="F1821" s="1"/>
      <c r="G1821" s="1" t="s">
        <v>1131</v>
      </c>
      <c r="H1821" s="1" t="s">
        <v>751</v>
      </c>
      <c r="I1821" s="1">
        <v>10538.0</v>
      </c>
      <c r="J1821" s="1" t="s">
        <v>752</v>
      </c>
      <c r="K1821" s="1" t="s">
        <v>42</v>
      </c>
      <c r="L1821" s="1" t="s">
        <v>6819</v>
      </c>
      <c r="M1821" s="1">
        <v>49.0</v>
      </c>
      <c r="N1821" s="1" t="s">
        <v>1152</v>
      </c>
      <c r="O1821" s="3" t="s">
        <v>9063</v>
      </c>
      <c r="P1821" s="1" t="s">
        <v>1152</v>
      </c>
      <c r="Q1821" s="1" t="s">
        <v>1152</v>
      </c>
      <c r="R1821" s="1"/>
      <c r="S1821" s="1"/>
      <c r="T1821" s="1" t="s">
        <v>1152</v>
      </c>
      <c r="U1821" s="1" t="s">
        <v>1039</v>
      </c>
      <c r="V1821" s="4" t="s">
        <v>9063</v>
      </c>
      <c r="W1821" s="1"/>
      <c r="X1821" s="1" t="s">
        <v>1152</v>
      </c>
      <c r="Y1821" s="1" t="s">
        <v>1152</v>
      </c>
      <c r="Z1821" s="1"/>
      <c r="AA1821" s="1"/>
      <c r="AB1821" s="1"/>
      <c r="AC1821" s="1" t="s">
        <v>1925</v>
      </c>
      <c r="AD1821" s="1"/>
      <c r="AE1821" s="18">
        <v>46149.0</v>
      </c>
      <c r="AF1821" s="1" t="s">
        <v>1630</v>
      </c>
      <c r="AG1821" s="1" t="s">
        <v>52</v>
      </c>
      <c r="AH1821" s="1" t="s">
        <v>1152</v>
      </c>
      <c r="AI1821" s="1"/>
      <c r="AJ1821" s="1" t="s">
        <v>925</v>
      </c>
      <c r="AK1821" s="1" t="s">
        <v>1152</v>
      </c>
      <c r="AL1821" s="6" t="str">
        <f t="array" ref="AL1821">IFERROR(IFS(XLOOKUP(B1821, 'Kit Delivery Status'!$U:$U, 'Kit Delivery Status'!$K:$K) = "Complete", "DELIVERED", XLOOKUP(B1821, 'Kit Delivery Status'!$U:$U, 'Kit Delivery Status'!$K:$K) = "Issue", "ISSUE"), "")</f>
        <v/>
      </c>
      <c r="AM1821" s="6"/>
    </row>
    <row r="1822">
      <c r="A1822" s="5" t="s">
        <v>9064</v>
      </c>
      <c r="B1822" s="1" t="s">
        <v>9065</v>
      </c>
      <c r="C1822" s="1"/>
      <c r="D1822" s="2">
        <v>2.014480298E9</v>
      </c>
      <c r="E1822" s="1" t="s">
        <v>9066</v>
      </c>
      <c r="F1822" s="1"/>
      <c r="G1822" s="1" t="s">
        <v>9067</v>
      </c>
      <c r="H1822" s="1" t="s">
        <v>1053</v>
      </c>
      <c r="I1822" s="1">
        <v>7648.0</v>
      </c>
      <c r="J1822" s="1" t="s">
        <v>752</v>
      </c>
      <c r="K1822" s="1" t="s">
        <v>42</v>
      </c>
      <c r="L1822" s="1" t="s">
        <v>6819</v>
      </c>
      <c r="M1822" s="1">
        <v>49.0</v>
      </c>
      <c r="N1822" s="1" t="s">
        <v>1152</v>
      </c>
      <c r="O1822" s="3" t="s">
        <v>9068</v>
      </c>
      <c r="P1822" s="1" t="s">
        <v>1152</v>
      </c>
      <c r="Q1822" s="1" t="s">
        <v>1152</v>
      </c>
      <c r="R1822" s="1"/>
      <c r="S1822" s="1"/>
      <c r="T1822" s="1" t="s">
        <v>1152</v>
      </c>
      <c r="U1822" s="1" t="s">
        <v>9069</v>
      </c>
      <c r="V1822" s="4" t="s">
        <v>9068</v>
      </c>
      <c r="W1822" s="1"/>
      <c r="X1822" s="1" t="s">
        <v>1152</v>
      </c>
      <c r="Y1822" s="1" t="s">
        <v>1152</v>
      </c>
      <c r="Z1822" s="1"/>
      <c r="AA1822" s="1"/>
      <c r="AB1822" s="1"/>
      <c r="AC1822" s="1" t="s">
        <v>1925</v>
      </c>
      <c r="AD1822" s="1"/>
      <c r="AE1822" s="18">
        <v>46150.0</v>
      </c>
      <c r="AF1822" s="1" t="s">
        <v>1030</v>
      </c>
      <c r="AG1822" s="1" t="s">
        <v>52</v>
      </c>
      <c r="AH1822" s="1" t="s">
        <v>1152</v>
      </c>
      <c r="AI1822" s="1"/>
      <c r="AJ1822" s="1" t="s">
        <v>9066</v>
      </c>
      <c r="AK1822" s="1" t="s">
        <v>1152</v>
      </c>
      <c r="AL1822" s="6" t="str">
        <f t="array" ref="AL1822">IFERROR(IFS(XLOOKUP(B1822, 'Kit Delivery Status'!$U:$U, 'Kit Delivery Status'!$K:$K) = "Complete", "DELIVERED", XLOOKUP(B1822, 'Kit Delivery Status'!$U:$U, 'Kit Delivery Status'!$K:$K) = "Issue", "ISSUE"), "")</f>
        <v/>
      </c>
      <c r="AM1822" s="6"/>
    </row>
    <row r="1823">
      <c r="A1823" s="5" t="s">
        <v>9070</v>
      </c>
      <c r="B1823" s="1" t="s">
        <v>9071</v>
      </c>
      <c r="C1823" s="1" t="s">
        <v>9072</v>
      </c>
      <c r="D1823" s="2">
        <v>9.3844487E7</v>
      </c>
      <c r="E1823" s="1" t="s">
        <v>9073</v>
      </c>
      <c r="F1823" s="1"/>
      <c r="G1823" s="1" t="s">
        <v>9074</v>
      </c>
      <c r="H1823" s="1"/>
      <c r="I1823" s="1">
        <v>98022.0</v>
      </c>
      <c r="J1823" s="1" t="s">
        <v>9074</v>
      </c>
      <c r="K1823" s="1" t="s">
        <v>42</v>
      </c>
      <c r="L1823" s="1" t="s">
        <v>6819</v>
      </c>
      <c r="M1823" s="1">
        <v>49.0</v>
      </c>
      <c r="N1823" s="1" t="s">
        <v>1152</v>
      </c>
      <c r="O1823" s="3" t="s">
        <v>3597</v>
      </c>
      <c r="P1823" s="1" t="s">
        <v>1152</v>
      </c>
      <c r="Q1823" s="1" t="s">
        <v>1152</v>
      </c>
      <c r="R1823" s="1"/>
      <c r="S1823" s="1"/>
      <c r="T1823" s="1" t="s">
        <v>1152</v>
      </c>
      <c r="U1823" s="1" t="s">
        <v>1039</v>
      </c>
      <c r="V1823" s="4" t="s">
        <v>3597</v>
      </c>
      <c r="W1823" s="1"/>
      <c r="X1823" s="1" t="s">
        <v>1152</v>
      </c>
      <c r="Y1823" s="1" t="s">
        <v>1152</v>
      </c>
      <c r="Z1823" s="1"/>
      <c r="AA1823" s="1"/>
      <c r="AB1823" s="1"/>
      <c r="AC1823" s="1" t="s">
        <v>1925</v>
      </c>
      <c r="AD1823" s="1"/>
      <c r="AE1823" s="18">
        <v>46149.0</v>
      </c>
      <c r="AF1823" s="1" t="s">
        <v>1030</v>
      </c>
      <c r="AG1823" s="1" t="s">
        <v>52</v>
      </c>
      <c r="AH1823" s="1" t="s">
        <v>1152</v>
      </c>
      <c r="AI1823" s="1"/>
      <c r="AJ1823" s="1" t="s">
        <v>9073</v>
      </c>
      <c r="AK1823" s="1" t="s">
        <v>1152</v>
      </c>
      <c r="AL1823" s="6" t="str">
        <f t="array" ref="AL1823">IFERROR(IFS(XLOOKUP(B1823, 'Kit Delivery Status'!$U:$U, 'Kit Delivery Status'!$K:$K) = "Complete", "DELIVERED", XLOOKUP(B1823, 'Kit Delivery Status'!$U:$U, 'Kit Delivery Status'!$K:$K) = "Issue", "ISSUE"), "")</f>
        <v/>
      </c>
      <c r="AM1823" s="6"/>
    </row>
    <row r="1824">
      <c r="A1824" s="5" t="s">
        <v>9075</v>
      </c>
      <c r="B1824" s="1" t="s">
        <v>9076</v>
      </c>
      <c r="C1824" s="1"/>
      <c r="D1824" s="2">
        <v>9.01356683E9</v>
      </c>
      <c r="E1824" s="1" t="s">
        <v>9077</v>
      </c>
      <c r="F1824" s="1"/>
      <c r="G1824" s="1" t="s">
        <v>5161</v>
      </c>
      <c r="H1824" s="1" t="s">
        <v>1598</v>
      </c>
      <c r="I1824" s="1">
        <v>38138.0</v>
      </c>
      <c r="J1824" s="1" t="s">
        <v>752</v>
      </c>
      <c r="K1824" s="1" t="s">
        <v>51</v>
      </c>
      <c r="L1824" s="1" t="s">
        <v>5722</v>
      </c>
      <c r="M1824" s="1">
        <v>1.0</v>
      </c>
      <c r="N1824" s="1" t="s">
        <v>2461</v>
      </c>
      <c r="O1824" s="3" t="s">
        <v>9078</v>
      </c>
      <c r="P1824" s="18">
        <v>46263.0</v>
      </c>
      <c r="Q1824" s="1" t="s">
        <v>2731</v>
      </c>
      <c r="R1824" s="1"/>
      <c r="S1824" s="1" t="s">
        <v>52</v>
      </c>
      <c r="T1824" s="1" t="s">
        <v>2461</v>
      </c>
      <c r="U1824" s="1" t="s">
        <v>2510</v>
      </c>
      <c r="V1824" s="4" t="s">
        <v>9078</v>
      </c>
      <c r="W1824" s="1"/>
      <c r="X1824" s="18">
        <v>46263.0</v>
      </c>
      <c r="Y1824" s="1" t="s">
        <v>2731</v>
      </c>
      <c r="Z1824" s="1"/>
      <c r="AA1824" s="1"/>
      <c r="AB1824" s="1" t="s">
        <v>52</v>
      </c>
      <c r="AC1824" s="1" t="s">
        <v>1925</v>
      </c>
      <c r="AD1824" s="1"/>
      <c r="AE1824" s="1" t="s">
        <v>1152</v>
      </c>
      <c r="AF1824" s="1"/>
      <c r="AG1824" s="1"/>
      <c r="AH1824" s="1" t="s">
        <v>1152</v>
      </c>
      <c r="AI1824" s="1"/>
      <c r="AJ1824" s="1" t="s">
        <v>9079</v>
      </c>
      <c r="AK1824" s="1" t="s">
        <v>1152</v>
      </c>
      <c r="AL1824" s="6" t="str">
        <f t="array" ref="AL1824">IFERROR(IFS(XLOOKUP(B1824, 'Kit Delivery Status'!$U:$U, 'Kit Delivery Status'!$K:$K) = "Complete", "DELIVERED", XLOOKUP(B1824, 'Kit Delivery Status'!$U:$U, 'Kit Delivery Status'!$K:$K) = "Issue", "ISSUE"), "")</f>
        <v/>
      </c>
      <c r="AM1824" s="6"/>
    </row>
    <row r="1825">
      <c r="A1825" s="5" t="s">
        <v>9075</v>
      </c>
      <c r="B1825" s="1" t="s">
        <v>9076</v>
      </c>
      <c r="C1825" s="1"/>
      <c r="D1825" s="2">
        <v>9.01356683E9</v>
      </c>
      <c r="E1825" s="1" t="s">
        <v>9077</v>
      </c>
      <c r="F1825" s="1"/>
      <c r="G1825" s="1" t="s">
        <v>5161</v>
      </c>
      <c r="H1825" s="1" t="s">
        <v>1598</v>
      </c>
      <c r="I1825" s="1">
        <v>38138.0</v>
      </c>
      <c r="J1825" s="1" t="s">
        <v>752</v>
      </c>
      <c r="K1825" s="1" t="s">
        <v>42</v>
      </c>
      <c r="L1825" s="1" t="s">
        <v>6819</v>
      </c>
      <c r="M1825" s="1">
        <v>49.0</v>
      </c>
      <c r="N1825" s="1" t="s">
        <v>1152</v>
      </c>
      <c r="O1825" s="3" t="s">
        <v>2193</v>
      </c>
      <c r="P1825" s="1" t="s">
        <v>1152</v>
      </c>
      <c r="Q1825" s="1" t="s">
        <v>1152</v>
      </c>
      <c r="R1825" s="1"/>
      <c r="S1825" s="1"/>
      <c r="T1825" s="1" t="s">
        <v>1152</v>
      </c>
      <c r="U1825" s="1" t="s">
        <v>948</v>
      </c>
      <c r="V1825" s="4" t="s">
        <v>2193</v>
      </c>
      <c r="W1825" s="1"/>
      <c r="X1825" s="1" t="s">
        <v>1152</v>
      </c>
      <c r="Y1825" s="1" t="s">
        <v>1152</v>
      </c>
      <c r="Z1825" s="1"/>
      <c r="AA1825" s="1"/>
      <c r="AB1825" s="1"/>
      <c r="AC1825" s="1" t="s">
        <v>1925</v>
      </c>
      <c r="AD1825" s="1"/>
      <c r="AE1825" s="18">
        <v>46148.0</v>
      </c>
      <c r="AF1825" s="1" t="s">
        <v>1030</v>
      </c>
      <c r="AG1825" s="1" t="s">
        <v>52</v>
      </c>
      <c r="AH1825" s="1" t="s">
        <v>1152</v>
      </c>
      <c r="AI1825" s="1"/>
      <c r="AJ1825" s="1" t="s">
        <v>9077</v>
      </c>
      <c r="AK1825" s="1" t="s">
        <v>1152</v>
      </c>
      <c r="AL1825" s="6" t="str">
        <f t="array" ref="AL1825">IFERROR(IFS(XLOOKUP(B1825, 'Kit Delivery Status'!$U:$U, 'Kit Delivery Status'!$K:$K) = "Complete", "DELIVERED", XLOOKUP(B1825, 'Kit Delivery Status'!$U:$U, 'Kit Delivery Status'!$K:$K) = "Issue", "ISSUE"), "")</f>
        <v/>
      </c>
      <c r="AM1825" s="6"/>
    </row>
    <row r="1826">
      <c r="A1826" s="5" t="s">
        <v>9080</v>
      </c>
      <c r="B1826" s="1" t="s">
        <v>9081</v>
      </c>
      <c r="C1826" s="1" t="s">
        <v>9082</v>
      </c>
      <c r="D1826" s="2">
        <v>3.143194069E9</v>
      </c>
      <c r="E1826" s="1" t="s">
        <v>9083</v>
      </c>
      <c r="F1826" s="1"/>
      <c r="G1826" s="1" t="s">
        <v>1283</v>
      </c>
      <c r="H1826" s="1" t="s">
        <v>1155</v>
      </c>
      <c r="I1826" s="1">
        <v>63105.0</v>
      </c>
      <c r="J1826" s="1" t="s">
        <v>752</v>
      </c>
      <c r="K1826" s="1" t="s">
        <v>42</v>
      </c>
      <c r="L1826" s="1" t="s">
        <v>8393</v>
      </c>
      <c r="M1826" s="1">
        <v>109.0</v>
      </c>
      <c r="N1826" s="1" t="s">
        <v>1152</v>
      </c>
      <c r="O1826" s="3" t="s">
        <v>9084</v>
      </c>
      <c r="P1826" s="1" t="s">
        <v>1152</v>
      </c>
      <c r="Q1826" s="1" t="s">
        <v>1152</v>
      </c>
      <c r="R1826" s="1"/>
      <c r="S1826" s="1"/>
      <c r="T1826" s="1" t="s">
        <v>1152</v>
      </c>
      <c r="U1826" s="1" t="s">
        <v>1080</v>
      </c>
      <c r="V1826" s="4" t="s">
        <v>9084</v>
      </c>
      <c r="W1826" s="1"/>
      <c r="X1826" s="1" t="s">
        <v>1152</v>
      </c>
      <c r="Y1826" s="1" t="s">
        <v>1152</v>
      </c>
      <c r="Z1826" s="1"/>
      <c r="AA1826" s="1"/>
      <c r="AB1826" s="1"/>
      <c r="AC1826" s="1" t="s">
        <v>1925</v>
      </c>
      <c r="AD1826" s="1"/>
      <c r="AE1826" s="18">
        <v>46144.0</v>
      </c>
      <c r="AF1826" s="1" t="s">
        <v>1349</v>
      </c>
      <c r="AG1826" s="1" t="s">
        <v>52</v>
      </c>
      <c r="AH1826" s="1" t="s">
        <v>1152</v>
      </c>
      <c r="AI1826" s="1"/>
      <c r="AJ1826" s="1" t="s">
        <v>9083</v>
      </c>
      <c r="AK1826" s="1" t="s">
        <v>1152</v>
      </c>
      <c r="AL1826" s="6" t="str">
        <f t="array" ref="AL1826">IFERROR(IFS(XLOOKUP(B1826, 'Kit Delivery Status'!$U:$U, 'Kit Delivery Status'!$K:$K) = "Complete", "DELIVERED", XLOOKUP(B1826, 'Kit Delivery Status'!$U:$U, 'Kit Delivery Status'!$K:$K) = "Issue", "ISSUE"), "")</f>
        <v/>
      </c>
      <c r="AM1826" s="6"/>
    </row>
    <row r="1827">
      <c r="A1827" s="5" t="s">
        <v>9085</v>
      </c>
      <c r="B1827" s="1" t="s">
        <v>9086</v>
      </c>
      <c r="C1827" s="1"/>
      <c r="D1827" s="2">
        <v>8.474719752E9</v>
      </c>
      <c r="E1827" s="1" t="s">
        <v>7278</v>
      </c>
      <c r="F1827" s="1"/>
      <c r="G1827" s="1" t="s">
        <v>1269</v>
      </c>
      <c r="H1827" s="1" t="s">
        <v>1019</v>
      </c>
      <c r="I1827" s="1">
        <v>60022.0</v>
      </c>
      <c r="J1827" s="1" t="s">
        <v>752</v>
      </c>
      <c r="K1827" s="1" t="s">
        <v>42</v>
      </c>
      <c r="L1827" s="1" t="s">
        <v>6819</v>
      </c>
      <c r="M1827" s="1">
        <v>49.0</v>
      </c>
      <c r="N1827" s="1" t="s">
        <v>1152</v>
      </c>
      <c r="O1827" s="3" t="s">
        <v>1823</v>
      </c>
      <c r="P1827" s="1" t="s">
        <v>1152</v>
      </c>
      <c r="Q1827" s="1" t="s">
        <v>1152</v>
      </c>
      <c r="R1827" s="1"/>
      <c r="S1827" s="1"/>
      <c r="T1827" s="1" t="s">
        <v>1152</v>
      </c>
      <c r="U1827" s="1" t="s">
        <v>1441</v>
      </c>
      <c r="V1827" s="4" t="s">
        <v>1823</v>
      </c>
      <c r="W1827" s="1"/>
      <c r="X1827" s="1" t="s">
        <v>1152</v>
      </c>
      <c r="Y1827" s="1" t="s">
        <v>1152</v>
      </c>
      <c r="Z1827" s="1"/>
      <c r="AA1827" s="1"/>
      <c r="AB1827" s="1"/>
      <c r="AC1827" s="1" t="s">
        <v>1925</v>
      </c>
      <c r="AD1827" s="1"/>
      <c r="AE1827" s="18">
        <v>46149.0</v>
      </c>
      <c r="AF1827" s="1" t="s">
        <v>1030</v>
      </c>
      <c r="AG1827" s="1" t="s">
        <v>52</v>
      </c>
      <c r="AH1827" s="1" t="s">
        <v>1152</v>
      </c>
      <c r="AI1827" s="1"/>
      <c r="AJ1827" s="1" t="s">
        <v>7278</v>
      </c>
      <c r="AK1827" s="1" t="s">
        <v>1152</v>
      </c>
      <c r="AL1827" s="6" t="str">
        <f t="array" ref="AL1827">IFERROR(IFS(XLOOKUP(B1827, 'Kit Delivery Status'!$U:$U, 'Kit Delivery Status'!$K:$K) = "Complete", "DELIVERED", XLOOKUP(B1827, 'Kit Delivery Status'!$U:$U, 'Kit Delivery Status'!$K:$K) = "Issue", "ISSUE"), "")</f>
        <v/>
      </c>
      <c r="AM1827" s="6"/>
    </row>
    <row r="1828">
      <c r="A1828" s="5" t="s">
        <v>9087</v>
      </c>
      <c r="B1828" s="1" t="s">
        <v>9088</v>
      </c>
      <c r="C1828" s="1"/>
      <c r="D1828" s="2">
        <v>6.462718626E9</v>
      </c>
      <c r="E1828" s="1" t="s">
        <v>1864</v>
      </c>
      <c r="F1828" s="1"/>
      <c r="G1828" s="1" t="s">
        <v>1865</v>
      </c>
      <c r="H1828" s="1" t="s">
        <v>1053</v>
      </c>
      <c r="I1828" s="1">
        <v>7078.0</v>
      </c>
      <c r="J1828" s="1" t="s">
        <v>752</v>
      </c>
      <c r="K1828" s="1" t="s">
        <v>42</v>
      </c>
      <c r="L1828" s="1" t="s">
        <v>6819</v>
      </c>
      <c r="M1828" s="1">
        <v>49.0</v>
      </c>
      <c r="N1828" s="1" t="s">
        <v>1152</v>
      </c>
      <c r="O1828" s="3" t="s">
        <v>1635</v>
      </c>
      <c r="P1828" s="1" t="s">
        <v>1152</v>
      </c>
      <c r="Q1828" s="1" t="s">
        <v>1152</v>
      </c>
      <c r="R1828" s="1"/>
      <c r="S1828" s="1"/>
      <c r="T1828" s="1" t="s">
        <v>1152</v>
      </c>
      <c r="U1828" s="1" t="s">
        <v>1133</v>
      </c>
      <c r="V1828" s="4" t="s">
        <v>1635</v>
      </c>
      <c r="W1828" s="1"/>
      <c r="X1828" s="1" t="s">
        <v>1152</v>
      </c>
      <c r="Y1828" s="1" t="s">
        <v>1152</v>
      </c>
      <c r="Z1828" s="1"/>
      <c r="AA1828" s="1"/>
      <c r="AB1828" s="1"/>
      <c r="AC1828" s="1" t="s">
        <v>1925</v>
      </c>
      <c r="AD1828" s="1"/>
      <c r="AE1828" s="18">
        <v>46147.0</v>
      </c>
      <c r="AF1828" s="1" t="s">
        <v>1440</v>
      </c>
      <c r="AG1828" s="1" t="s">
        <v>52</v>
      </c>
      <c r="AH1828" s="1" t="s">
        <v>1152</v>
      </c>
      <c r="AI1828" s="1"/>
      <c r="AJ1828" s="1" t="s">
        <v>1864</v>
      </c>
      <c r="AK1828" s="1" t="s">
        <v>1152</v>
      </c>
      <c r="AL1828" s="6" t="str">
        <f t="array" ref="AL1828">IFERROR(IFS(XLOOKUP(B1828, 'Kit Delivery Status'!$U:$U, 'Kit Delivery Status'!$K:$K) = "Complete", "DELIVERED", XLOOKUP(B1828, 'Kit Delivery Status'!$U:$U, 'Kit Delivery Status'!$K:$K) = "Issue", "ISSUE"), "")</f>
        <v/>
      </c>
      <c r="AM1828" s="6"/>
    </row>
    <row r="1829">
      <c r="A1829" s="5" t="s">
        <v>9089</v>
      </c>
      <c r="B1829" s="1" t="s">
        <v>9090</v>
      </c>
      <c r="C1829" s="1" t="s">
        <v>1034</v>
      </c>
      <c r="D1829" s="2">
        <v>2.023022986E9</v>
      </c>
      <c r="E1829" s="1" t="s">
        <v>1035</v>
      </c>
      <c r="F1829" s="1"/>
      <c r="G1829" s="1" t="s">
        <v>1037</v>
      </c>
      <c r="H1829" s="1" t="s">
        <v>1038</v>
      </c>
      <c r="I1829" s="1">
        <v>22207.0</v>
      </c>
      <c r="J1829" s="1" t="s">
        <v>752</v>
      </c>
      <c r="K1829" s="1" t="s">
        <v>42</v>
      </c>
      <c r="L1829" s="1" t="s">
        <v>8715</v>
      </c>
      <c r="M1829" s="1">
        <v>139.0</v>
      </c>
      <c r="N1829" s="1" t="s">
        <v>1152</v>
      </c>
      <c r="O1829" s="3" t="s">
        <v>270</v>
      </c>
      <c r="P1829" s="1" t="s">
        <v>1152</v>
      </c>
      <c r="Q1829" s="1" t="s">
        <v>1152</v>
      </c>
      <c r="R1829" s="1"/>
      <c r="S1829" s="1"/>
      <c r="T1829" s="1" t="s">
        <v>1152</v>
      </c>
      <c r="U1829" s="1" t="s">
        <v>1039</v>
      </c>
      <c r="V1829" s="4" t="s">
        <v>270</v>
      </c>
      <c r="W1829" s="1"/>
      <c r="X1829" s="1" t="s">
        <v>1152</v>
      </c>
      <c r="Y1829" s="1" t="s">
        <v>1152</v>
      </c>
      <c r="Z1829" s="1"/>
      <c r="AA1829" s="1"/>
      <c r="AB1829" s="1"/>
      <c r="AC1829" s="1" t="s">
        <v>1925</v>
      </c>
      <c r="AD1829" s="1"/>
      <c r="AE1829" s="18">
        <v>46149.0</v>
      </c>
      <c r="AF1829" s="1" t="s">
        <v>1030</v>
      </c>
      <c r="AG1829" s="1" t="s">
        <v>52</v>
      </c>
      <c r="AH1829" s="1" t="s">
        <v>1152</v>
      </c>
      <c r="AI1829" s="1"/>
      <c r="AJ1829" s="1" t="s">
        <v>9091</v>
      </c>
      <c r="AK1829" s="1" t="s">
        <v>1152</v>
      </c>
      <c r="AL1829" s="6" t="str">
        <f t="array" ref="AL1829">IFERROR(IFS(XLOOKUP(B1829, 'Kit Delivery Status'!$U:$U, 'Kit Delivery Status'!$K:$K) = "Complete", "DELIVERED", XLOOKUP(B1829, 'Kit Delivery Status'!$U:$U, 'Kit Delivery Status'!$K:$K) = "Issue", "ISSUE"), "")</f>
        <v/>
      </c>
      <c r="AM1829" s="6"/>
    </row>
    <row r="1830">
      <c r="A1830" s="5" t="s">
        <v>9089</v>
      </c>
      <c r="B1830" s="1" t="s">
        <v>9090</v>
      </c>
      <c r="C1830" s="1" t="s">
        <v>1034</v>
      </c>
      <c r="D1830" s="2">
        <v>2.023022986E9</v>
      </c>
      <c r="E1830" s="1" t="s">
        <v>1035</v>
      </c>
      <c r="F1830" s="1"/>
      <c r="G1830" s="1" t="s">
        <v>1037</v>
      </c>
      <c r="H1830" s="1" t="s">
        <v>1038</v>
      </c>
      <c r="I1830" s="1">
        <v>22207.0</v>
      </c>
      <c r="J1830" s="1" t="s">
        <v>752</v>
      </c>
      <c r="K1830" s="1" t="s">
        <v>42</v>
      </c>
      <c r="L1830" s="1" t="s">
        <v>9092</v>
      </c>
      <c r="M1830" s="1">
        <v>109.0</v>
      </c>
      <c r="N1830" s="1" t="s">
        <v>1152</v>
      </c>
      <c r="O1830" s="3" t="s">
        <v>270</v>
      </c>
      <c r="P1830" s="1" t="s">
        <v>1152</v>
      </c>
      <c r="Q1830" s="1" t="s">
        <v>1152</v>
      </c>
      <c r="R1830" s="1"/>
      <c r="S1830" s="1"/>
      <c r="T1830" s="1" t="s">
        <v>1152</v>
      </c>
      <c r="U1830" s="1" t="s">
        <v>1039</v>
      </c>
      <c r="V1830" s="4" t="s">
        <v>270</v>
      </c>
      <c r="W1830" s="1"/>
      <c r="X1830" s="1" t="s">
        <v>1152</v>
      </c>
      <c r="Y1830" s="1" t="s">
        <v>1152</v>
      </c>
      <c r="Z1830" s="1"/>
      <c r="AA1830" s="1"/>
      <c r="AB1830" s="1"/>
      <c r="AC1830" s="1" t="s">
        <v>1925</v>
      </c>
      <c r="AD1830" s="1"/>
      <c r="AE1830" s="18">
        <v>46149.0</v>
      </c>
      <c r="AF1830" s="1" t="s">
        <v>1030</v>
      </c>
      <c r="AG1830" s="1" t="s">
        <v>52</v>
      </c>
      <c r="AH1830" s="1" t="s">
        <v>1152</v>
      </c>
      <c r="AI1830" s="1"/>
      <c r="AJ1830" s="1" t="s">
        <v>9093</v>
      </c>
      <c r="AK1830" s="1" t="s">
        <v>1152</v>
      </c>
      <c r="AL1830" s="6" t="str">
        <f t="array" ref="AL1830">IFERROR(IFS(XLOOKUP(B1830, 'Kit Delivery Status'!$U:$U, 'Kit Delivery Status'!$K:$K) = "Complete", "DELIVERED", XLOOKUP(B1830, 'Kit Delivery Status'!$U:$U, 'Kit Delivery Status'!$K:$K) = "Issue", "ISSUE"), "")</f>
        <v/>
      </c>
      <c r="AM1830" s="6"/>
    </row>
    <row r="1831">
      <c r="A1831" s="5" t="s">
        <v>9094</v>
      </c>
      <c r="B1831" s="1" t="s">
        <v>9095</v>
      </c>
      <c r="C1831" s="1" t="s">
        <v>9096</v>
      </c>
      <c r="D1831" s="2">
        <v>8.084920384E9</v>
      </c>
      <c r="E1831" s="1" t="s">
        <v>9097</v>
      </c>
      <c r="F1831" s="1"/>
      <c r="G1831" s="1" t="s">
        <v>9098</v>
      </c>
      <c r="H1831" s="1" t="s">
        <v>2486</v>
      </c>
      <c r="I1831" s="1">
        <v>96789.0</v>
      </c>
      <c r="J1831" s="1" t="s">
        <v>752</v>
      </c>
      <c r="K1831" s="1" t="s">
        <v>42</v>
      </c>
      <c r="L1831" s="1" t="s">
        <v>6819</v>
      </c>
      <c r="M1831" s="1">
        <v>49.0</v>
      </c>
      <c r="N1831" s="1" t="s">
        <v>1152</v>
      </c>
      <c r="O1831" s="3" t="s">
        <v>9099</v>
      </c>
      <c r="P1831" s="1" t="s">
        <v>1152</v>
      </c>
      <c r="Q1831" s="1" t="s">
        <v>1152</v>
      </c>
      <c r="R1831" s="1"/>
      <c r="S1831" s="1"/>
      <c r="T1831" s="1" t="s">
        <v>1152</v>
      </c>
      <c r="U1831" s="1" t="s">
        <v>1080</v>
      </c>
      <c r="V1831" s="4" t="s">
        <v>9099</v>
      </c>
      <c r="W1831" s="1"/>
      <c r="X1831" s="1" t="s">
        <v>1152</v>
      </c>
      <c r="Y1831" s="1" t="s">
        <v>1152</v>
      </c>
      <c r="Z1831" s="1"/>
      <c r="AA1831" s="1"/>
      <c r="AB1831" s="1"/>
      <c r="AC1831" s="1" t="s">
        <v>1925</v>
      </c>
      <c r="AD1831" s="1"/>
      <c r="AE1831" s="18">
        <v>46148.0</v>
      </c>
      <c r="AF1831" s="1" t="s">
        <v>1455</v>
      </c>
      <c r="AG1831" s="1" t="s">
        <v>52</v>
      </c>
      <c r="AH1831" s="1" t="s">
        <v>1152</v>
      </c>
      <c r="AI1831" s="1"/>
      <c r="AJ1831" s="1" t="s">
        <v>9097</v>
      </c>
      <c r="AK1831" s="1" t="s">
        <v>1152</v>
      </c>
      <c r="AL1831" s="6" t="str">
        <f t="array" ref="AL1831">IFERROR(IFS(XLOOKUP(B1831, 'Kit Delivery Status'!$U:$U, 'Kit Delivery Status'!$K:$K) = "Complete", "DELIVERED", XLOOKUP(B1831, 'Kit Delivery Status'!$U:$U, 'Kit Delivery Status'!$K:$K) = "Issue", "ISSUE"), "")</f>
        <v/>
      </c>
      <c r="AM1831" s="6"/>
    </row>
    <row r="1832">
      <c r="A1832" s="5" t="s">
        <v>9100</v>
      </c>
      <c r="B1832" s="1" t="s">
        <v>9101</v>
      </c>
      <c r="C1832" s="1" t="s">
        <v>4541</v>
      </c>
      <c r="D1832" s="2">
        <v>8.328982565E9</v>
      </c>
      <c r="E1832" s="1" t="s">
        <v>4542</v>
      </c>
      <c r="F1832" s="1"/>
      <c r="G1832" s="1" t="s">
        <v>1609</v>
      </c>
      <c r="H1832" s="1" t="s">
        <v>1583</v>
      </c>
      <c r="I1832" s="1">
        <v>77005.0</v>
      </c>
      <c r="J1832" s="1" t="s">
        <v>752</v>
      </c>
      <c r="K1832" s="1" t="s">
        <v>42</v>
      </c>
      <c r="L1832" s="1" t="s">
        <v>6819</v>
      </c>
      <c r="M1832" s="1">
        <v>49.0</v>
      </c>
      <c r="N1832" s="1" t="s">
        <v>1152</v>
      </c>
      <c r="O1832" s="3" t="s">
        <v>9102</v>
      </c>
      <c r="P1832" s="1" t="s">
        <v>1152</v>
      </c>
      <c r="Q1832" s="1" t="s">
        <v>1152</v>
      </c>
      <c r="R1832" s="1"/>
      <c r="S1832" s="1"/>
      <c r="T1832" s="1" t="s">
        <v>1152</v>
      </c>
      <c r="U1832" s="1" t="s">
        <v>1794</v>
      </c>
      <c r="V1832" s="4" t="s">
        <v>9102</v>
      </c>
      <c r="W1832" s="1"/>
      <c r="X1832" s="1" t="s">
        <v>1152</v>
      </c>
      <c r="Y1832" s="1" t="s">
        <v>1152</v>
      </c>
      <c r="Z1832" s="1"/>
      <c r="AA1832" s="1"/>
      <c r="AB1832" s="1"/>
      <c r="AC1832" s="1" t="s">
        <v>1925</v>
      </c>
      <c r="AD1832" s="1"/>
      <c r="AE1832" s="18">
        <v>46147.0</v>
      </c>
      <c r="AF1832" s="1" t="s">
        <v>1349</v>
      </c>
      <c r="AG1832" s="1" t="s">
        <v>52</v>
      </c>
      <c r="AH1832" s="1" t="s">
        <v>1152</v>
      </c>
      <c r="AI1832" s="1"/>
      <c r="AJ1832" s="1" t="s">
        <v>9103</v>
      </c>
      <c r="AK1832" s="1" t="s">
        <v>1152</v>
      </c>
      <c r="AL1832" s="6" t="str">
        <f t="array" ref="AL1832">IFERROR(IFS(XLOOKUP(B1832, 'Kit Delivery Status'!$U:$U, 'Kit Delivery Status'!$K:$K) = "Complete", "DELIVERED", XLOOKUP(B1832, 'Kit Delivery Status'!$U:$U, 'Kit Delivery Status'!$K:$K) = "Issue", "ISSUE"), "")</f>
        <v/>
      </c>
      <c r="AM1832" s="6"/>
    </row>
    <row r="1833">
      <c r="A1833" s="5" t="s">
        <v>9104</v>
      </c>
      <c r="B1833" s="1" t="s">
        <v>9105</v>
      </c>
      <c r="C1833" s="1" t="s">
        <v>9106</v>
      </c>
      <c r="D1833" s="2">
        <v>9.198897336E9</v>
      </c>
      <c r="E1833" s="1" t="s">
        <v>9107</v>
      </c>
      <c r="F1833" s="1"/>
      <c r="G1833" s="1" t="s">
        <v>5832</v>
      </c>
      <c r="H1833" s="1" t="s">
        <v>1438</v>
      </c>
      <c r="I1833" s="1">
        <v>27511.0</v>
      </c>
      <c r="J1833" s="1" t="s">
        <v>752</v>
      </c>
      <c r="K1833" s="1" t="s">
        <v>42</v>
      </c>
      <c r="L1833" s="1" t="s">
        <v>6819</v>
      </c>
      <c r="M1833" s="1">
        <v>49.0</v>
      </c>
      <c r="N1833" s="1" t="s">
        <v>1152</v>
      </c>
      <c r="O1833" s="3" t="s">
        <v>1767</v>
      </c>
      <c r="P1833" s="1" t="s">
        <v>1152</v>
      </c>
      <c r="Q1833" s="1" t="s">
        <v>1152</v>
      </c>
      <c r="R1833" s="1"/>
      <c r="S1833" s="1"/>
      <c r="T1833" s="1" t="s">
        <v>1152</v>
      </c>
      <c r="U1833" s="1" t="s">
        <v>1148</v>
      </c>
      <c r="V1833" s="4" t="s">
        <v>1767</v>
      </c>
      <c r="W1833" s="1"/>
      <c r="X1833" s="1" t="s">
        <v>1152</v>
      </c>
      <c r="Y1833" s="1" t="s">
        <v>1152</v>
      </c>
      <c r="Z1833" s="1"/>
      <c r="AA1833" s="1"/>
      <c r="AB1833" s="1"/>
      <c r="AC1833" s="1" t="s">
        <v>1925</v>
      </c>
      <c r="AD1833" s="1"/>
      <c r="AE1833" s="18">
        <v>46148.0</v>
      </c>
      <c r="AF1833" s="1" t="s">
        <v>1030</v>
      </c>
      <c r="AG1833" s="1" t="s">
        <v>52</v>
      </c>
      <c r="AH1833" s="1" t="s">
        <v>1152</v>
      </c>
      <c r="AI1833" s="1"/>
      <c r="AJ1833" s="1" t="s">
        <v>9107</v>
      </c>
      <c r="AK1833" s="1" t="s">
        <v>1152</v>
      </c>
      <c r="AL1833" s="6" t="str">
        <f t="array" ref="AL1833">IFERROR(IFS(XLOOKUP(B1833, 'Kit Delivery Status'!$U:$U, 'Kit Delivery Status'!$K:$K) = "Complete", "DELIVERED", XLOOKUP(B1833, 'Kit Delivery Status'!$U:$U, 'Kit Delivery Status'!$K:$K) = "Issue", "ISSUE"), "")</f>
        <v/>
      </c>
      <c r="AM1833" s="6"/>
    </row>
    <row r="1834">
      <c r="A1834" s="5" t="s">
        <v>9108</v>
      </c>
      <c r="B1834" s="1" t="s">
        <v>9109</v>
      </c>
      <c r="C1834" s="1" t="s">
        <v>1090</v>
      </c>
      <c r="D1834" s="2">
        <v>3.12599353E9</v>
      </c>
      <c r="E1834" s="1" t="s">
        <v>1091</v>
      </c>
      <c r="F1834" s="1"/>
      <c r="G1834" s="1" t="s">
        <v>1072</v>
      </c>
      <c r="H1834" s="1" t="s">
        <v>1019</v>
      </c>
      <c r="I1834" s="1">
        <v>60630.0</v>
      </c>
      <c r="J1834" s="1" t="s">
        <v>752</v>
      </c>
      <c r="K1834" s="1" t="s">
        <v>42</v>
      </c>
      <c r="L1834" s="1" t="s">
        <v>6819</v>
      </c>
      <c r="M1834" s="1">
        <v>49.0</v>
      </c>
      <c r="N1834" s="1" t="s">
        <v>1152</v>
      </c>
      <c r="O1834" s="3" t="s">
        <v>1093</v>
      </c>
      <c r="P1834" s="1" t="s">
        <v>1152</v>
      </c>
      <c r="Q1834" s="1" t="s">
        <v>1152</v>
      </c>
      <c r="R1834" s="1"/>
      <c r="S1834" s="1"/>
      <c r="T1834" s="1" t="s">
        <v>1152</v>
      </c>
      <c r="U1834" s="1" t="s">
        <v>4879</v>
      </c>
      <c r="V1834" s="4" t="s">
        <v>1093</v>
      </c>
      <c r="W1834" s="1"/>
      <c r="X1834" s="1" t="s">
        <v>1152</v>
      </c>
      <c r="Y1834" s="1" t="s">
        <v>1152</v>
      </c>
      <c r="Z1834" s="1"/>
      <c r="AA1834" s="1"/>
      <c r="AB1834" s="1"/>
      <c r="AC1834" s="1" t="s">
        <v>1925</v>
      </c>
      <c r="AD1834" s="1"/>
      <c r="AE1834" s="18">
        <v>46150.0</v>
      </c>
      <c r="AF1834" s="1" t="s">
        <v>1349</v>
      </c>
      <c r="AG1834" s="1" t="s">
        <v>52</v>
      </c>
      <c r="AH1834" s="1" t="s">
        <v>1152</v>
      </c>
      <c r="AI1834" s="1"/>
      <c r="AJ1834" s="1" t="s">
        <v>1091</v>
      </c>
      <c r="AK1834" s="1" t="s">
        <v>1152</v>
      </c>
      <c r="AL1834" s="6" t="str">
        <f t="array" ref="AL1834">IFERROR(IFS(XLOOKUP(B1834, 'Kit Delivery Status'!$U:$U, 'Kit Delivery Status'!$K:$K) = "Complete", "DELIVERED", XLOOKUP(B1834, 'Kit Delivery Status'!$U:$U, 'Kit Delivery Status'!$K:$K) = "Issue", "ISSUE"), "")</f>
        <v/>
      </c>
      <c r="AM1834" s="6"/>
    </row>
    <row r="1835">
      <c r="A1835" s="5" t="s">
        <v>9110</v>
      </c>
      <c r="B1835" s="1" t="s">
        <v>9111</v>
      </c>
      <c r="C1835" s="1" t="s">
        <v>559</v>
      </c>
      <c r="D1835" s="2">
        <v>2.039136275E9</v>
      </c>
      <c r="E1835" s="1" t="s">
        <v>561</v>
      </c>
      <c r="F1835" s="1"/>
      <c r="G1835" s="1" t="s">
        <v>1766</v>
      </c>
      <c r="H1835" s="1" t="s">
        <v>1078</v>
      </c>
      <c r="I1835" s="1" t="s">
        <v>9112</v>
      </c>
      <c r="J1835" s="1" t="s">
        <v>752</v>
      </c>
      <c r="K1835" s="1" t="s">
        <v>42</v>
      </c>
      <c r="L1835" s="1" t="s">
        <v>6819</v>
      </c>
      <c r="M1835" s="1">
        <v>49.0</v>
      </c>
      <c r="N1835" s="1" t="s">
        <v>1152</v>
      </c>
      <c r="O1835" s="3" t="s">
        <v>563</v>
      </c>
      <c r="P1835" s="1" t="s">
        <v>1152</v>
      </c>
      <c r="Q1835" s="1" t="s">
        <v>1152</v>
      </c>
      <c r="R1835" s="1"/>
      <c r="S1835" s="1"/>
      <c r="T1835" s="1" t="s">
        <v>1152</v>
      </c>
      <c r="U1835" s="1" t="s">
        <v>1133</v>
      </c>
      <c r="V1835" s="4" t="s">
        <v>563</v>
      </c>
      <c r="W1835" s="1"/>
      <c r="X1835" s="1" t="s">
        <v>1152</v>
      </c>
      <c r="Y1835" s="1" t="s">
        <v>1152</v>
      </c>
      <c r="Z1835" s="1"/>
      <c r="AA1835" s="1"/>
      <c r="AB1835" s="1"/>
      <c r="AC1835" s="1" t="s">
        <v>1925</v>
      </c>
      <c r="AD1835" s="1"/>
      <c r="AE1835" s="18">
        <v>46146.0</v>
      </c>
      <c r="AF1835" s="1" t="s">
        <v>1030</v>
      </c>
      <c r="AG1835" s="1" t="s">
        <v>52</v>
      </c>
      <c r="AH1835" s="1" t="s">
        <v>1152</v>
      </c>
      <c r="AI1835" s="1"/>
      <c r="AJ1835" s="1" t="s">
        <v>9113</v>
      </c>
      <c r="AK1835" s="1" t="s">
        <v>1152</v>
      </c>
      <c r="AL1835" s="6" t="str">
        <f t="array" ref="AL1835">IFERROR(IFS(XLOOKUP(B1835, 'Kit Delivery Status'!$U:$U, 'Kit Delivery Status'!$K:$K) = "Complete", "DELIVERED", XLOOKUP(B1835, 'Kit Delivery Status'!$U:$U, 'Kit Delivery Status'!$K:$K) = "Issue", "ISSUE"), "")</f>
        <v/>
      </c>
      <c r="AM1835" s="6"/>
    </row>
    <row r="1836">
      <c r="A1836" s="5" t="s">
        <v>9114</v>
      </c>
      <c r="B1836" s="1" t="s">
        <v>9115</v>
      </c>
      <c r="C1836" s="1" t="s">
        <v>9116</v>
      </c>
      <c r="D1836" s="2">
        <v>9.175848891E9</v>
      </c>
      <c r="E1836" s="1" t="s">
        <v>1366</v>
      </c>
      <c r="F1836" s="1"/>
      <c r="G1836" s="1" t="s">
        <v>751</v>
      </c>
      <c r="H1836" s="1" t="s">
        <v>751</v>
      </c>
      <c r="I1836" s="1">
        <v>10023.0</v>
      </c>
      <c r="J1836" s="1" t="s">
        <v>752</v>
      </c>
      <c r="K1836" s="1" t="s">
        <v>42</v>
      </c>
      <c r="L1836" s="1" t="s">
        <v>6819</v>
      </c>
      <c r="M1836" s="1">
        <v>49.0</v>
      </c>
      <c r="N1836" s="1" t="s">
        <v>1152</v>
      </c>
      <c r="O1836" s="3" t="s">
        <v>3684</v>
      </c>
      <c r="P1836" s="1" t="s">
        <v>1152</v>
      </c>
      <c r="Q1836" s="1" t="s">
        <v>1152</v>
      </c>
      <c r="R1836" s="1"/>
      <c r="S1836" s="1"/>
      <c r="T1836" s="1" t="s">
        <v>1152</v>
      </c>
      <c r="U1836" s="1" t="s">
        <v>1324</v>
      </c>
      <c r="V1836" s="4" t="s">
        <v>3684</v>
      </c>
      <c r="W1836" s="1"/>
      <c r="X1836" s="1" t="s">
        <v>1152</v>
      </c>
      <c r="Y1836" s="1" t="s">
        <v>1152</v>
      </c>
      <c r="Z1836" s="1"/>
      <c r="AA1836" s="1"/>
      <c r="AB1836" s="1"/>
      <c r="AC1836" s="1" t="s">
        <v>1925</v>
      </c>
      <c r="AD1836" s="1"/>
      <c r="AE1836" s="18">
        <v>46148.0</v>
      </c>
      <c r="AF1836" s="1" t="s">
        <v>1455</v>
      </c>
      <c r="AG1836" s="1" t="s">
        <v>52</v>
      </c>
      <c r="AH1836" s="1" t="s">
        <v>1152</v>
      </c>
      <c r="AI1836" s="1"/>
      <c r="AJ1836" s="1" t="s">
        <v>9117</v>
      </c>
      <c r="AK1836" s="1" t="s">
        <v>1152</v>
      </c>
      <c r="AL1836" s="6" t="str">
        <f t="array" ref="AL1836">IFERROR(IFS(XLOOKUP(B1836, 'Kit Delivery Status'!$U:$U, 'Kit Delivery Status'!$K:$K) = "Complete", "DELIVERED", XLOOKUP(B1836, 'Kit Delivery Status'!$U:$U, 'Kit Delivery Status'!$K:$K) = "Issue", "ISSUE"), "")</f>
        <v/>
      </c>
      <c r="AM1836" s="6"/>
    </row>
    <row r="1837">
      <c r="A1837" s="5" t="s">
        <v>9118</v>
      </c>
      <c r="B1837" s="1" t="s">
        <v>9119</v>
      </c>
      <c r="C1837" s="1" t="s">
        <v>9120</v>
      </c>
      <c r="D1837" s="2">
        <v>9.255499908E9</v>
      </c>
      <c r="E1837" s="1" t="s">
        <v>4818</v>
      </c>
      <c r="F1837" s="1"/>
      <c r="G1837" s="1" t="s">
        <v>4819</v>
      </c>
      <c r="H1837" s="1" t="s">
        <v>989</v>
      </c>
      <c r="I1837" s="1">
        <v>94568.0</v>
      </c>
      <c r="J1837" s="1" t="s">
        <v>752</v>
      </c>
      <c r="K1837" s="1" t="s">
        <v>42</v>
      </c>
      <c r="L1837" s="1" t="s">
        <v>6819</v>
      </c>
      <c r="M1837" s="1">
        <v>49.0</v>
      </c>
      <c r="N1837" s="1" t="s">
        <v>1152</v>
      </c>
      <c r="O1837" s="3" t="s">
        <v>9121</v>
      </c>
      <c r="P1837" s="1" t="s">
        <v>1152</v>
      </c>
      <c r="Q1837" s="1" t="s">
        <v>1152</v>
      </c>
      <c r="R1837" s="1"/>
      <c r="S1837" s="1"/>
      <c r="T1837" s="1" t="s">
        <v>1152</v>
      </c>
      <c r="U1837" s="1" t="s">
        <v>2510</v>
      </c>
      <c r="V1837" s="4" t="s">
        <v>9121</v>
      </c>
      <c r="W1837" s="1"/>
      <c r="X1837" s="1" t="s">
        <v>1152</v>
      </c>
      <c r="Y1837" s="1" t="s">
        <v>1152</v>
      </c>
      <c r="Z1837" s="1"/>
      <c r="AA1837" s="1"/>
      <c r="AB1837" s="1"/>
      <c r="AC1837" s="1" t="s">
        <v>1925</v>
      </c>
      <c r="AD1837" s="1"/>
      <c r="AE1837" s="18">
        <v>46144.0</v>
      </c>
      <c r="AF1837" s="1" t="s">
        <v>1349</v>
      </c>
      <c r="AG1837" s="1" t="s">
        <v>52</v>
      </c>
      <c r="AH1837" s="1" t="s">
        <v>1152</v>
      </c>
      <c r="AI1837" s="1"/>
      <c r="AJ1837" s="1" t="s">
        <v>4818</v>
      </c>
      <c r="AK1837" s="1" t="s">
        <v>1152</v>
      </c>
      <c r="AL1837" s="6" t="str">
        <f t="array" ref="AL1837">IFERROR(IFS(XLOOKUP(B1837, 'Kit Delivery Status'!$U:$U, 'Kit Delivery Status'!$K:$K) = "Complete", "DELIVERED", XLOOKUP(B1837, 'Kit Delivery Status'!$U:$U, 'Kit Delivery Status'!$K:$K) = "Issue", "ISSUE"), "")</f>
        <v/>
      </c>
      <c r="AM1837" s="6"/>
    </row>
    <row r="1838">
      <c r="A1838" s="5" t="s">
        <v>9122</v>
      </c>
      <c r="B1838" s="1" t="s">
        <v>9123</v>
      </c>
      <c r="C1838" s="1" t="s">
        <v>9124</v>
      </c>
      <c r="D1838" s="2">
        <v>7.818646269E9</v>
      </c>
      <c r="E1838" s="1" t="s">
        <v>9125</v>
      </c>
      <c r="F1838" s="1"/>
      <c r="G1838" s="1" t="s">
        <v>1976</v>
      </c>
      <c r="H1838" s="1" t="s">
        <v>1121</v>
      </c>
      <c r="I1838" s="1">
        <v>1890.0</v>
      </c>
      <c r="J1838" s="1" t="s">
        <v>752</v>
      </c>
      <c r="K1838" s="1" t="s">
        <v>42</v>
      </c>
      <c r="L1838" s="1" t="s">
        <v>6819</v>
      </c>
      <c r="M1838" s="1">
        <v>49.0</v>
      </c>
      <c r="N1838" s="1" t="s">
        <v>1152</v>
      </c>
      <c r="O1838" s="3" t="s">
        <v>9126</v>
      </c>
      <c r="P1838" s="1" t="s">
        <v>1152</v>
      </c>
      <c r="Q1838" s="1" t="s">
        <v>1152</v>
      </c>
      <c r="R1838" s="1"/>
      <c r="S1838" s="1"/>
      <c r="T1838" s="1" t="s">
        <v>1152</v>
      </c>
      <c r="U1838" s="1" t="s">
        <v>1080</v>
      </c>
      <c r="V1838" s="4" t="s">
        <v>9126</v>
      </c>
      <c r="W1838" s="1"/>
      <c r="X1838" s="1" t="s">
        <v>1152</v>
      </c>
      <c r="Y1838" s="1" t="s">
        <v>1152</v>
      </c>
      <c r="Z1838" s="1"/>
      <c r="AA1838" s="1"/>
      <c r="AB1838" s="1"/>
      <c r="AC1838" s="1" t="s">
        <v>1925</v>
      </c>
      <c r="AD1838" s="1"/>
      <c r="AE1838" s="18">
        <v>46148.0</v>
      </c>
      <c r="AF1838" s="1" t="s">
        <v>3186</v>
      </c>
      <c r="AG1838" s="1" t="s">
        <v>52</v>
      </c>
      <c r="AH1838" s="1" t="s">
        <v>1152</v>
      </c>
      <c r="AI1838" s="1"/>
      <c r="AJ1838" s="1" t="s">
        <v>9127</v>
      </c>
      <c r="AK1838" s="1" t="s">
        <v>1152</v>
      </c>
      <c r="AL1838" s="6" t="str">
        <f t="array" ref="AL1838">IFERROR(IFS(XLOOKUP(B1838, 'Kit Delivery Status'!$U:$U, 'Kit Delivery Status'!$K:$K) = "Complete", "DELIVERED", XLOOKUP(B1838, 'Kit Delivery Status'!$U:$U, 'Kit Delivery Status'!$K:$K) = "Issue", "ISSUE"), "")</f>
        <v/>
      </c>
      <c r="AM1838" s="6"/>
    </row>
    <row r="1839">
      <c r="A1839" s="5" t="s">
        <v>9128</v>
      </c>
      <c r="B1839" s="1" t="s">
        <v>9129</v>
      </c>
      <c r="C1839" s="1" t="s">
        <v>9130</v>
      </c>
      <c r="D1839" s="2">
        <v>2.159070064E9</v>
      </c>
      <c r="E1839" s="1" t="s">
        <v>2944</v>
      </c>
      <c r="F1839" s="1"/>
      <c r="G1839" s="1" t="s">
        <v>2350</v>
      </c>
      <c r="H1839" s="1" t="s">
        <v>1155</v>
      </c>
      <c r="I1839" s="1">
        <v>63130.0</v>
      </c>
      <c r="J1839" s="1" t="s">
        <v>752</v>
      </c>
      <c r="K1839" s="1" t="s">
        <v>42</v>
      </c>
      <c r="L1839" s="1" t="s">
        <v>7863</v>
      </c>
      <c r="M1839" s="1">
        <v>79.0</v>
      </c>
      <c r="N1839" s="1" t="s">
        <v>1152</v>
      </c>
      <c r="O1839" s="3" t="s">
        <v>1029</v>
      </c>
      <c r="P1839" s="1" t="s">
        <v>1152</v>
      </c>
      <c r="Q1839" s="1" t="s">
        <v>1152</v>
      </c>
      <c r="R1839" s="1"/>
      <c r="S1839" s="1"/>
      <c r="T1839" s="1" t="s">
        <v>1152</v>
      </c>
      <c r="U1839" s="1" t="s">
        <v>1699</v>
      </c>
      <c r="V1839" s="4" t="s">
        <v>1029</v>
      </c>
      <c r="W1839" s="1"/>
      <c r="X1839" s="1" t="s">
        <v>1152</v>
      </c>
      <c r="Y1839" s="1" t="s">
        <v>1152</v>
      </c>
      <c r="Z1839" s="1"/>
      <c r="AA1839" s="1"/>
      <c r="AB1839" s="1"/>
      <c r="AC1839" s="1" t="s">
        <v>1925</v>
      </c>
      <c r="AD1839" s="1"/>
      <c r="AE1839" s="18">
        <v>46149.0</v>
      </c>
      <c r="AF1839" s="1" t="s">
        <v>1349</v>
      </c>
      <c r="AG1839" s="1" t="s">
        <v>52</v>
      </c>
      <c r="AH1839" s="1" t="s">
        <v>1152</v>
      </c>
      <c r="AI1839" s="1"/>
      <c r="AJ1839" s="1" t="s">
        <v>2944</v>
      </c>
      <c r="AK1839" s="1" t="s">
        <v>1152</v>
      </c>
      <c r="AL1839" s="6" t="str">
        <f t="array" ref="AL1839">IFERROR(IFS(XLOOKUP(B1839, 'Kit Delivery Status'!$U:$U, 'Kit Delivery Status'!$K:$K) = "Complete", "DELIVERED", XLOOKUP(B1839, 'Kit Delivery Status'!$U:$U, 'Kit Delivery Status'!$K:$K) = "Issue", "ISSUE"), "")</f>
        <v/>
      </c>
      <c r="AM1839" s="6"/>
    </row>
    <row r="1840">
      <c r="A1840" s="5" t="s">
        <v>9131</v>
      </c>
      <c r="B1840" s="1" t="s">
        <v>9132</v>
      </c>
      <c r="C1840" s="1"/>
      <c r="D1840" s="2">
        <v>8.063493688E9</v>
      </c>
      <c r="E1840" s="1" t="s">
        <v>3358</v>
      </c>
      <c r="F1840" s="1" t="s">
        <v>9133</v>
      </c>
      <c r="G1840" s="1" t="s">
        <v>2797</v>
      </c>
      <c r="H1840" s="1" t="s">
        <v>1583</v>
      </c>
      <c r="I1840" s="1">
        <v>79124.0</v>
      </c>
      <c r="J1840" s="1" t="s">
        <v>752</v>
      </c>
      <c r="K1840" s="1" t="s">
        <v>42</v>
      </c>
      <c r="L1840" s="1" t="s">
        <v>6819</v>
      </c>
      <c r="M1840" s="1">
        <v>49.0</v>
      </c>
      <c r="N1840" s="1" t="s">
        <v>1152</v>
      </c>
      <c r="O1840" s="3"/>
      <c r="P1840" s="1" t="s">
        <v>1152</v>
      </c>
      <c r="Q1840" s="1" t="s">
        <v>1152</v>
      </c>
      <c r="R1840" s="1" t="s">
        <v>9133</v>
      </c>
      <c r="S1840" s="1"/>
      <c r="T1840" s="1" t="s">
        <v>1152</v>
      </c>
      <c r="U1840" s="1"/>
      <c r="V1840" s="4"/>
      <c r="W1840" s="1" t="s">
        <v>9133</v>
      </c>
      <c r="X1840" s="1" t="s">
        <v>1152</v>
      </c>
      <c r="Y1840" s="1" t="s">
        <v>1152</v>
      </c>
      <c r="Z1840" s="1"/>
      <c r="AA1840" s="1" t="s">
        <v>9133</v>
      </c>
      <c r="AB1840" s="1"/>
      <c r="AC1840" s="1" t="s">
        <v>1925</v>
      </c>
      <c r="AD1840" s="1"/>
      <c r="AE1840" s="18">
        <v>46157.0</v>
      </c>
      <c r="AF1840" s="1" t="s">
        <v>1030</v>
      </c>
      <c r="AG1840" s="1" t="s">
        <v>124</v>
      </c>
      <c r="AH1840" s="1" t="s">
        <v>1152</v>
      </c>
      <c r="AI1840" s="1"/>
      <c r="AJ1840" s="1" t="s">
        <v>3358</v>
      </c>
      <c r="AK1840" s="1" t="s">
        <v>1152</v>
      </c>
      <c r="AL1840" s="6" t="str">
        <f t="array" ref="AL1840">IFERROR(IFS(XLOOKUP(B1840, 'Kit Delivery Status'!$U:$U, 'Kit Delivery Status'!$K:$K) = "Complete", "DELIVERED", XLOOKUP(B1840, 'Kit Delivery Status'!$U:$U, 'Kit Delivery Status'!$K:$K) = "Issue", "ISSUE"), "")</f>
        <v/>
      </c>
      <c r="AM1840" s="6"/>
    </row>
    <row r="1841">
      <c r="A1841" s="5" t="s">
        <v>9134</v>
      </c>
      <c r="B1841" s="1" t="s">
        <v>9135</v>
      </c>
      <c r="C1841" s="1" t="s">
        <v>266</v>
      </c>
      <c r="D1841" s="2">
        <v>9.176034125E9</v>
      </c>
      <c r="E1841" s="1" t="s">
        <v>268</v>
      </c>
      <c r="F1841" s="1"/>
      <c r="G1841" s="1" t="s">
        <v>751</v>
      </c>
      <c r="H1841" s="1" t="s">
        <v>751</v>
      </c>
      <c r="I1841" s="1">
        <v>10024.0</v>
      </c>
      <c r="J1841" s="1" t="s">
        <v>752</v>
      </c>
      <c r="K1841" s="1" t="s">
        <v>42</v>
      </c>
      <c r="L1841" s="1" t="s">
        <v>6819</v>
      </c>
      <c r="M1841" s="1">
        <v>49.0</v>
      </c>
      <c r="N1841" s="1" t="s">
        <v>1152</v>
      </c>
      <c r="O1841" s="3" t="s">
        <v>270</v>
      </c>
      <c r="P1841" s="1" t="s">
        <v>1152</v>
      </c>
      <c r="Q1841" s="1" t="s">
        <v>1152</v>
      </c>
      <c r="R1841" s="1"/>
      <c r="S1841" s="1"/>
      <c r="T1841" s="1" t="s">
        <v>1152</v>
      </c>
      <c r="U1841" s="1" t="s">
        <v>956</v>
      </c>
      <c r="V1841" s="4" t="s">
        <v>270</v>
      </c>
      <c r="W1841" s="1"/>
      <c r="X1841" s="1" t="s">
        <v>1152</v>
      </c>
      <c r="Y1841" s="1" t="s">
        <v>1152</v>
      </c>
      <c r="Z1841" s="1"/>
      <c r="AA1841" s="1"/>
      <c r="AB1841" s="1"/>
      <c r="AC1841" s="1" t="s">
        <v>1925</v>
      </c>
      <c r="AD1841" s="1"/>
      <c r="AE1841" s="18">
        <v>46143.0</v>
      </c>
      <c r="AF1841" s="1" t="s">
        <v>1030</v>
      </c>
      <c r="AG1841" s="1" t="s">
        <v>52</v>
      </c>
      <c r="AH1841" s="1" t="s">
        <v>1152</v>
      </c>
      <c r="AI1841" s="1"/>
      <c r="AJ1841" s="1" t="s">
        <v>268</v>
      </c>
      <c r="AK1841" s="1" t="s">
        <v>1152</v>
      </c>
      <c r="AL1841" s="6" t="str">
        <f t="array" ref="AL1841">IFERROR(IFS(XLOOKUP(B1841, 'Kit Delivery Status'!$U:$U, 'Kit Delivery Status'!$K:$K) = "Complete", "DELIVERED", XLOOKUP(B1841, 'Kit Delivery Status'!$U:$U, 'Kit Delivery Status'!$K:$K) = "Issue", "ISSUE"), "")</f>
        <v/>
      </c>
      <c r="AM1841" s="6"/>
    </row>
    <row r="1842">
      <c r="A1842" s="5" t="s">
        <v>9136</v>
      </c>
      <c r="B1842" s="1" t="s">
        <v>9137</v>
      </c>
      <c r="C1842" s="1"/>
      <c r="D1842" s="2">
        <v>5.202381522E9</v>
      </c>
      <c r="E1842" s="1" t="s">
        <v>9138</v>
      </c>
      <c r="F1842" s="1"/>
      <c r="G1842" s="1" t="s">
        <v>2673</v>
      </c>
      <c r="H1842" s="1" t="s">
        <v>1535</v>
      </c>
      <c r="I1842" s="1">
        <v>85043.0</v>
      </c>
      <c r="J1842" s="1" t="s">
        <v>752</v>
      </c>
      <c r="K1842" s="1" t="s">
        <v>42</v>
      </c>
      <c r="L1842" s="1" t="s">
        <v>7863</v>
      </c>
      <c r="M1842" s="1">
        <v>79.0</v>
      </c>
      <c r="N1842" s="1" t="s">
        <v>1152</v>
      </c>
      <c r="O1842" s="3" t="s">
        <v>9139</v>
      </c>
      <c r="P1842" s="1" t="s">
        <v>1152</v>
      </c>
      <c r="Q1842" s="1" t="s">
        <v>1152</v>
      </c>
      <c r="R1842" s="1"/>
      <c r="S1842" s="1"/>
      <c r="T1842" s="1" t="s">
        <v>1152</v>
      </c>
      <c r="U1842" s="1" t="s">
        <v>6053</v>
      </c>
      <c r="V1842" s="4" t="s">
        <v>9139</v>
      </c>
      <c r="W1842" s="1"/>
      <c r="X1842" s="1" t="s">
        <v>1152</v>
      </c>
      <c r="Y1842" s="1" t="s">
        <v>1152</v>
      </c>
      <c r="Z1842" s="1"/>
      <c r="AA1842" s="1"/>
      <c r="AB1842" s="1"/>
      <c r="AC1842" s="1" t="s">
        <v>1925</v>
      </c>
      <c r="AD1842" s="1"/>
      <c r="AE1842" s="18">
        <v>46141.0</v>
      </c>
      <c r="AF1842" s="1" t="s">
        <v>1030</v>
      </c>
      <c r="AG1842" s="1" t="s">
        <v>52</v>
      </c>
      <c r="AH1842" s="1" t="s">
        <v>1152</v>
      </c>
      <c r="AI1842" s="1"/>
      <c r="AJ1842" s="1" t="s">
        <v>9140</v>
      </c>
      <c r="AK1842" s="1" t="s">
        <v>1152</v>
      </c>
      <c r="AL1842" s="6" t="str">
        <f t="array" ref="AL1842">IFERROR(IFS(XLOOKUP(B1842, 'Kit Delivery Status'!$U:$U, 'Kit Delivery Status'!$K:$K) = "Complete", "DELIVERED", XLOOKUP(B1842, 'Kit Delivery Status'!$U:$U, 'Kit Delivery Status'!$K:$K) = "Issue", "ISSUE"), "")</f>
        <v/>
      </c>
      <c r="AM1842" s="6"/>
    </row>
    <row r="1843">
      <c r="A1843" s="5" t="s">
        <v>9141</v>
      </c>
      <c r="B1843" s="1" t="s">
        <v>9142</v>
      </c>
      <c r="C1843" s="1" t="s">
        <v>9143</v>
      </c>
      <c r="D1843" s="2">
        <v>3.145027725E9</v>
      </c>
      <c r="E1843" s="1" t="s">
        <v>9144</v>
      </c>
      <c r="F1843" s="1"/>
      <c r="G1843" s="1" t="s">
        <v>1760</v>
      </c>
      <c r="H1843" s="1" t="s">
        <v>1155</v>
      </c>
      <c r="I1843" s="1">
        <v>63105.0</v>
      </c>
      <c r="J1843" s="1" t="s">
        <v>752</v>
      </c>
      <c r="K1843" s="1" t="s">
        <v>42</v>
      </c>
      <c r="L1843" s="1" t="s">
        <v>7863</v>
      </c>
      <c r="M1843" s="1">
        <v>79.0</v>
      </c>
      <c r="N1843" s="1" t="s">
        <v>1152</v>
      </c>
      <c r="O1843" s="3" t="s">
        <v>9145</v>
      </c>
      <c r="P1843" s="1" t="s">
        <v>1152</v>
      </c>
      <c r="Q1843" s="1" t="s">
        <v>1152</v>
      </c>
      <c r="R1843" s="1"/>
      <c r="S1843" s="1"/>
      <c r="T1843" s="1" t="s">
        <v>1152</v>
      </c>
      <c r="U1843" s="1" t="s">
        <v>1376</v>
      </c>
      <c r="V1843" s="4" t="s">
        <v>9145</v>
      </c>
      <c r="W1843" s="1"/>
      <c r="X1843" s="1" t="s">
        <v>1152</v>
      </c>
      <c r="Y1843" s="1" t="s">
        <v>1152</v>
      </c>
      <c r="Z1843" s="1"/>
      <c r="AA1843" s="1"/>
      <c r="AB1843" s="1"/>
      <c r="AC1843" s="1" t="s">
        <v>1925</v>
      </c>
      <c r="AD1843" s="1"/>
      <c r="AE1843" s="18">
        <v>46148.0</v>
      </c>
      <c r="AF1843" s="1" t="s">
        <v>1349</v>
      </c>
      <c r="AG1843" s="1" t="s">
        <v>52</v>
      </c>
      <c r="AH1843" s="1" t="s">
        <v>1152</v>
      </c>
      <c r="AI1843" s="1"/>
      <c r="AJ1843" s="1" t="s">
        <v>9146</v>
      </c>
      <c r="AK1843" s="1" t="s">
        <v>1152</v>
      </c>
      <c r="AL1843" s="6" t="str">
        <f t="array" ref="AL1843">IFERROR(IFS(XLOOKUP(B1843, 'Kit Delivery Status'!$U:$U, 'Kit Delivery Status'!$K:$K) = "Complete", "DELIVERED", XLOOKUP(B1843, 'Kit Delivery Status'!$U:$U, 'Kit Delivery Status'!$K:$K) = "Issue", "ISSUE"), "")</f>
        <v/>
      </c>
      <c r="AM1843" s="6"/>
    </row>
    <row r="1844">
      <c r="A1844" s="5" t="s">
        <v>9147</v>
      </c>
      <c r="B1844" s="1" t="s">
        <v>9148</v>
      </c>
      <c r="C1844" s="1" t="s">
        <v>9149</v>
      </c>
      <c r="D1844" s="2">
        <v>8.082568944E9</v>
      </c>
      <c r="E1844" s="1" t="s">
        <v>9150</v>
      </c>
      <c r="F1844" s="1"/>
      <c r="G1844" s="1" t="s">
        <v>2485</v>
      </c>
      <c r="H1844" s="1" t="s">
        <v>2486</v>
      </c>
      <c r="I1844" s="1">
        <v>96814.0</v>
      </c>
      <c r="J1844" s="1" t="s">
        <v>752</v>
      </c>
      <c r="K1844" s="1" t="s">
        <v>42</v>
      </c>
      <c r="L1844" s="1" t="s">
        <v>6819</v>
      </c>
      <c r="M1844" s="1">
        <v>49.0</v>
      </c>
      <c r="N1844" s="1" t="s">
        <v>1152</v>
      </c>
      <c r="O1844" s="3" t="s">
        <v>1292</v>
      </c>
      <c r="P1844" s="1" t="s">
        <v>1152</v>
      </c>
      <c r="Q1844" s="1" t="s">
        <v>1152</v>
      </c>
      <c r="R1844" s="1"/>
      <c r="S1844" s="1"/>
      <c r="T1844" s="1" t="s">
        <v>1152</v>
      </c>
      <c r="U1844" s="1" t="s">
        <v>1343</v>
      </c>
      <c r="V1844" s="4" t="s">
        <v>1292</v>
      </c>
      <c r="W1844" s="1"/>
      <c r="X1844" s="1" t="s">
        <v>1152</v>
      </c>
      <c r="Y1844" s="1" t="s">
        <v>1152</v>
      </c>
      <c r="Z1844" s="1"/>
      <c r="AA1844" s="1"/>
      <c r="AB1844" s="1"/>
      <c r="AC1844" s="1" t="s">
        <v>1925</v>
      </c>
      <c r="AD1844" s="1"/>
      <c r="AE1844" s="18">
        <v>46149.0</v>
      </c>
      <c r="AF1844" s="1" t="s">
        <v>1030</v>
      </c>
      <c r="AG1844" s="1" t="s">
        <v>52</v>
      </c>
      <c r="AH1844" s="1" t="s">
        <v>1152</v>
      </c>
      <c r="AI1844" s="1"/>
      <c r="AJ1844" s="1" t="s">
        <v>9150</v>
      </c>
      <c r="AK1844" s="1" t="s">
        <v>1152</v>
      </c>
      <c r="AL1844" s="6" t="str">
        <f t="array" ref="AL1844">IFERROR(IFS(XLOOKUP(B1844, 'Kit Delivery Status'!$U:$U, 'Kit Delivery Status'!$K:$K) = "Complete", "DELIVERED", XLOOKUP(B1844, 'Kit Delivery Status'!$U:$U, 'Kit Delivery Status'!$K:$K) = "Issue", "ISSUE"), "")</f>
        <v/>
      </c>
      <c r="AM1844" s="6"/>
    </row>
    <row r="1845">
      <c r="A1845" s="5" t="s">
        <v>9151</v>
      </c>
      <c r="B1845" s="1" t="s">
        <v>9152</v>
      </c>
      <c r="C1845" s="1"/>
      <c r="D1845" s="2">
        <v>2.816368843E9</v>
      </c>
      <c r="E1845" s="1" t="s">
        <v>2105</v>
      </c>
      <c r="F1845" s="1"/>
      <c r="G1845" s="1" t="s">
        <v>1609</v>
      </c>
      <c r="H1845" s="1" t="s">
        <v>1583</v>
      </c>
      <c r="I1845" s="1">
        <v>77019.0</v>
      </c>
      <c r="J1845" s="1" t="s">
        <v>752</v>
      </c>
      <c r="K1845" s="1" t="s">
        <v>2131</v>
      </c>
      <c r="L1845" s="1" t="s">
        <v>5767</v>
      </c>
      <c r="M1845" s="1">
        <v>1.0</v>
      </c>
      <c r="N1845" s="1" t="s">
        <v>1152</v>
      </c>
      <c r="O1845" s="3" t="s">
        <v>418</v>
      </c>
      <c r="P1845" s="1" t="s">
        <v>1152</v>
      </c>
      <c r="Q1845" s="1" t="s">
        <v>1152</v>
      </c>
      <c r="R1845" s="1"/>
      <c r="S1845" s="1"/>
      <c r="T1845" s="1" t="s">
        <v>1152</v>
      </c>
      <c r="U1845" s="1" t="s">
        <v>956</v>
      </c>
      <c r="V1845" s="4" t="s">
        <v>418</v>
      </c>
      <c r="W1845" s="1"/>
      <c r="X1845" s="1" t="s">
        <v>1152</v>
      </c>
      <c r="Y1845" s="1" t="s">
        <v>1152</v>
      </c>
      <c r="Z1845" s="1"/>
      <c r="AA1845" s="1"/>
      <c r="AB1845" s="1"/>
      <c r="AC1845" s="1" t="s">
        <v>1925</v>
      </c>
      <c r="AD1845" s="1"/>
      <c r="AE1845" s="18">
        <v>46148.0</v>
      </c>
      <c r="AF1845" s="1"/>
      <c r="AG1845" s="1"/>
      <c r="AH1845" s="1" t="s">
        <v>1152</v>
      </c>
      <c r="AI1845" s="1"/>
      <c r="AJ1845" s="1" t="s">
        <v>9153</v>
      </c>
      <c r="AK1845" s="1" t="s">
        <v>1152</v>
      </c>
      <c r="AL1845" s="6" t="str">
        <f t="array" ref="AL1845">IFERROR(IFS(XLOOKUP(B1845, 'Kit Delivery Status'!$U:$U, 'Kit Delivery Status'!$K:$K) = "Complete", "DELIVERED", XLOOKUP(B1845, 'Kit Delivery Status'!$U:$U, 'Kit Delivery Status'!$K:$K) = "Issue", "ISSUE"), "")</f>
        <v/>
      </c>
      <c r="AM1845" s="6"/>
    </row>
    <row r="1846">
      <c r="A1846" s="5" t="s">
        <v>9154</v>
      </c>
      <c r="B1846" s="1" t="s">
        <v>9155</v>
      </c>
      <c r="C1846" s="1" t="s">
        <v>1790</v>
      </c>
      <c r="D1846" s="2">
        <v>8.454439805E9</v>
      </c>
      <c r="E1846" s="1" t="s">
        <v>9156</v>
      </c>
      <c r="F1846" s="1"/>
      <c r="G1846" s="1" t="s">
        <v>5681</v>
      </c>
      <c r="H1846" s="1" t="s">
        <v>1691</v>
      </c>
      <c r="I1846" s="1">
        <v>48116.0</v>
      </c>
      <c r="J1846" s="1" t="s">
        <v>752</v>
      </c>
      <c r="K1846" s="1" t="s">
        <v>42</v>
      </c>
      <c r="L1846" s="1" t="s">
        <v>8784</v>
      </c>
      <c r="M1846" s="1">
        <v>109.0</v>
      </c>
      <c r="N1846" s="1" t="s">
        <v>1152</v>
      </c>
      <c r="O1846" s="3" t="s">
        <v>1793</v>
      </c>
      <c r="P1846" s="1" t="s">
        <v>1152</v>
      </c>
      <c r="Q1846" s="1" t="s">
        <v>1152</v>
      </c>
      <c r="R1846" s="1"/>
      <c r="S1846" s="1"/>
      <c r="T1846" s="1" t="s">
        <v>1152</v>
      </c>
      <c r="U1846" s="1" t="s">
        <v>1794</v>
      </c>
      <c r="V1846" s="4" t="s">
        <v>1793</v>
      </c>
      <c r="W1846" s="1"/>
      <c r="X1846" s="1" t="s">
        <v>1152</v>
      </c>
      <c r="Y1846" s="1" t="s">
        <v>1152</v>
      </c>
      <c r="Z1846" s="1"/>
      <c r="AA1846" s="1"/>
      <c r="AB1846" s="1"/>
      <c r="AC1846" s="1" t="s">
        <v>1925</v>
      </c>
      <c r="AD1846" s="1"/>
      <c r="AE1846" s="18">
        <v>46141.0</v>
      </c>
      <c r="AF1846" s="1" t="s">
        <v>1030</v>
      </c>
      <c r="AG1846" s="1" t="s">
        <v>52</v>
      </c>
      <c r="AH1846" s="1" t="s">
        <v>1152</v>
      </c>
      <c r="AI1846" s="1"/>
      <c r="AJ1846" s="1" t="s">
        <v>1791</v>
      </c>
      <c r="AK1846" s="1" t="s">
        <v>1152</v>
      </c>
      <c r="AL1846" s="6" t="str">
        <f t="array" ref="AL1846">IFERROR(IFS(XLOOKUP(B1846, 'Kit Delivery Status'!$U:$U, 'Kit Delivery Status'!$K:$K) = "Complete", "DELIVERED", XLOOKUP(B1846, 'Kit Delivery Status'!$U:$U, 'Kit Delivery Status'!$K:$K) = "Issue", "ISSUE"), "")</f>
        <v/>
      </c>
      <c r="AM1846" s="6"/>
    </row>
    <row r="1847">
      <c r="A1847" s="5" t="s">
        <v>9157</v>
      </c>
      <c r="B1847" s="1" t="s">
        <v>9158</v>
      </c>
      <c r="C1847" s="1" t="s">
        <v>9159</v>
      </c>
      <c r="D1847" s="2">
        <v>3.142961232E9</v>
      </c>
      <c r="E1847" s="1" t="s">
        <v>1759</v>
      </c>
      <c r="F1847" s="1"/>
      <c r="G1847" s="1" t="s">
        <v>2350</v>
      </c>
      <c r="H1847" s="1" t="s">
        <v>1155</v>
      </c>
      <c r="I1847" s="1">
        <v>63105.0</v>
      </c>
      <c r="J1847" s="1" t="s">
        <v>752</v>
      </c>
      <c r="K1847" s="1" t="s">
        <v>42</v>
      </c>
      <c r="L1847" s="1" t="s">
        <v>9092</v>
      </c>
      <c r="M1847" s="1">
        <v>109.0</v>
      </c>
      <c r="N1847" s="1" t="s">
        <v>1152</v>
      </c>
      <c r="O1847" s="3" t="s">
        <v>8550</v>
      </c>
      <c r="P1847" s="1" t="s">
        <v>1152</v>
      </c>
      <c r="Q1847" s="1" t="s">
        <v>1152</v>
      </c>
      <c r="R1847" s="1"/>
      <c r="S1847" s="1"/>
      <c r="T1847" s="1" t="s">
        <v>1152</v>
      </c>
      <c r="U1847" s="1" t="s">
        <v>1487</v>
      </c>
      <c r="V1847" s="4" t="s">
        <v>8550</v>
      </c>
      <c r="W1847" s="1"/>
      <c r="X1847" s="1" t="s">
        <v>1152</v>
      </c>
      <c r="Y1847" s="1" t="s">
        <v>1152</v>
      </c>
      <c r="Z1847" s="1"/>
      <c r="AA1847" s="1"/>
      <c r="AB1847" s="1"/>
      <c r="AC1847" s="1" t="s">
        <v>1925</v>
      </c>
      <c r="AD1847" s="1"/>
      <c r="AE1847" s="18">
        <v>46149.0</v>
      </c>
      <c r="AF1847" s="1" t="s">
        <v>1030</v>
      </c>
      <c r="AG1847" s="1" t="s">
        <v>52</v>
      </c>
      <c r="AH1847" s="1" t="s">
        <v>1152</v>
      </c>
      <c r="AI1847" s="1"/>
      <c r="AJ1847" s="1" t="s">
        <v>9160</v>
      </c>
      <c r="AK1847" s="1" t="s">
        <v>1152</v>
      </c>
      <c r="AL1847" s="6" t="str">
        <f t="array" ref="AL1847">IFERROR(IFS(XLOOKUP(B1847, 'Kit Delivery Status'!$U:$U, 'Kit Delivery Status'!$K:$K) = "Complete", "DELIVERED", XLOOKUP(B1847, 'Kit Delivery Status'!$U:$U, 'Kit Delivery Status'!$K:$K) = "Issue", "ISSUE"), "")</f>
        <v/>
      </c>
      <c r="AM1847" s="6"/>
    </row>
    <row r="1848">
      <c r="A1848" s="5" t="s">
        <v>9161</v>
      </c>
      <c r="B1848" s="1" t="s">
        <v>9162</v>
      </c>
      <c r="C1848" s="1" t="s">
        <v>9163</v>
      </c>
      <c r="D1848" s="2">
        <v>9.14522341E9</v>
      </c>
      <c r="E1848" s="1" t="s">
        <v>6484</v>
      </c>
      <c r="F1848" s="1"/>
      <c r="G1848" s="1" t="s">
        <v>1766</v>
      </c>
      <c r="H1848" s="1" t="s">
        <v>1078</v>
      </c>
      <c r="I1848" s="1">
        <v>6831.0</v>
      </c>
      <c r="J1848" s="1" t="s">
        <v>752</v>
      </c>
      <c r="K1848" s="1" t="s">
        <v>42</v>
      </c>
      <c r="L1848" s="1" t="s">
        <v>7863</v>
      </c>
      <c r="M1848" s="1">
        <v>79.0</v>
      </c>
      <c r="N1848" s="1" t="s">
        <v>1152</v>
      </c>
      <c r="O1848" s="3" t="s">
        <v>3796</v>
      </c>
      <c r="P1848" s="1" t="s">
        <v>1152</v>
      </c>
      <c r="Q1848" s="1" t="s">
        <v>1152</v>
      </c>
      <c r="R1848" s="1"/>
      <c r="S1848" s="1"/>
      <c r="T1848" s="1" t="s">
        <v>1152</v>
      </c>
      <c r="U1848" s="1" t="s">
        <v>1080</v>
      </c>
      <c r="V1848" s="4" t="s">
        <v>3796</v>
      </c>
      <c r="W1848" s="1"/>
      <c r="X1848" s="1" t="s">
        <v>1152</v>
      </c>
      <c r="Y1848" s="1" t="s">
        <v>1152</v>
      </c>
      <c r="Z1848" s="1"/>
      <c r="AA1848" s="1"/>
      <c r="AB1848" s="1"/>
      <c r="AC1848" s="1" t="s">
        <v>1925</v>
      </c>
      <c r="AD1848" s="1"/>
      <c r="AE1848" s="18">
        <v>46144.0</v>
      </c>
      <c r="AF1848" s="1" t="s">
        <v>1349</v>
      </c>
      <c r="AG1848" s="1" t="s">
        <v>52</v>
      </c>
      <c r="AH1848" s="1" t="s">
        <v>1152</v>
      </c>
      <c r="AI1848" s="1"/>
      <c r="AJ1848" s="1" t="s">
        <v>6484</v>
      </c>
      <c r="AK1848" s="1" t="s">
        <v>1152</v>
      </c>
      <c r="AL1848" s="6" t="str">
        <f t="array" ref="AL1848">IFERROR(IFS(XLOOKUP(B1848, 'Kit Delivery Status'!$U:$U, 'Kit Delivery Status'!$K:$K) = "Complete", "DELIVERED", XLOOKUP(B1848, 'Kit Delivery Status'!$U:$U, 'Kit Delivery Status'!$K:$K) = "Issue", "ISSUE"), "")</f>
        <v/>
      </c>
      <c r="AM1848" s="6"/>
    </row>
    <row r="1849">
      <c r="A1849" s="5" t="s">
        <v>9164</v>
      </c>
      <c r="B1849" s="1" t="s">
        <v>9165</v>
      </c>
      <c r="C1849" s="1"/>
      <c r="D1849" s="2">
        <v>3.107015685E9</v>
      </c>
      <c r="E1849" s="1" t="s">
        <v>9166</v>
      </c>
      <c r="F1849" s="1"/>
      <c r="G1849" s="1" t="s">
        <v>1534</v>
      </c>
      <c r="H1849" s="1" t="s">
        <v>1535</v>
      </c>
      <c r="I1849" s="1">
        <v>85255.0</v>
      </c>
      <c r="J1849" s="1" t="s">
        <v>752</v>
      </c>
      <c r="K1849" s="1" t="s">
        <v>42</v>
      </c>
      <c r="L1849" s="1" t="s">
        <v>7863</v>
      </c>
      <c r="M1849" s="1">
        <v>79.0</v>
      </c>
      <c r="N1849" s="1" t="s">
        <v>1152</v>
      </c>
      <c r="O1849" s="3" t="s">
        <v>1731</v>
      </c>
      <c r="P1849" s="1" t="s">
        <v>1152</v>
      </c>
      <c r="Q1849" s="1" t="s">
        <v>1152</v>
      </c>
      <c r="R1849" s="1"/>
      <c r="S1849" s="1"/>
      <c r="T1849" s="1" t="s">
        <v>1152</v>
      </c>
      <c r="U1849" s="1" t="s">
        <v>6053</v>
      </c>
      <c r="V1849" s="4" t="s">
        <v>1731</v>
      </c>
      <c r="W1849" s="1"/>
      <c r="X1849" s="1" t="s">
        <v>1152</v>
      </c>
      <c r="Y1849" s="1" t="s">
        <v>1152</v>
      </c>
      <c r="Z1849" s="1"/>
      <c r="AA1849" s="1"/>
      <c r="AB1849" s="1"/>
      <c r="AC1849" s="1" t="s">
        <v>1925</v>
      </c>
      <c r="AD1849" s="1"/>
      <c r="AE1849" s="18">
        <v>46147.0</v>
      </c>
      <c r="AF1849" s="1" t="s">
        <v>1103</v>
      </c>
      <c r="AG1849" s="1" t="s">
        <v>52</v>
      </c>
      <c r="AH1849" s="1" t="s">
        <v>1152</v>
      </c>
      <c r="AI1849" s="1"/>
      <c r="AJ1849" s="1" t="s">
        <v>9167</v>
      </c>
      <c r="AK1849" s="1" t="s">
        <v>1152</v>
      </c>
      <c r="AL1849" s="6" t="str">
        <f t="array" ref="AL1849">IFERROR(IFS(XLOOKUP(B1849, 'Kit Delivery Status'!$U:$U, 'Kit Delivery Status'!$K:$K) = "Complete", "DELIVERED", XLOOKUP(B1849, 'Kit Delivery Status'!$U:$U, 'Kit Delivery Status'!$K:$K) = "Issue", "ISSUE"), "")</f>
        <v/>
      </c>
      <c r="AM1849" s="6"/>
    </row>
    <row r="1850">
      <c r="A1850" s="5" t="s">
        <v>9168</v>
      </c>
      <c r="B1850" s="1" t="s">
        <v>9169</v>
      </c>
      <c r="C1850" s="1" t="s">
        <v>9170</v>
      </c>
      <c r="D1850" s="2">
        <v>9.179742642E9</v>
      </c>
      <c r="E1850" s="1" t="s">
        <v>9171</v>
      </c>
      <c r="F1850" s="1"/>
      <c r="G1850" s="1" t="s">
        <v>1382</v>
      </c>
      <c r="H1850" s="1" t="s">
        <v>751</v>
      </c>
      <c r="I1850" s="1" t="s">
        <v>9172</v>
      </c>
      <c r="J1850" s="1" t="s">
        <v>752</v>
      </c>
      <c r="K1850" s="1" t="s">
        <v>75</v>
      </c>
      <c r="L1850" s="1" t="s">
        <v>8733</v>
      </c>
      <c r="M1850" s="1">
        <v>49.0</v>
      </c>
      <c r="N1850" s="1" t="s">
        <v>2461</v>
      </c>
      <c r="O1850" s="3" t="s">
        <v>258</v>
      </c>
      <c r="P1850" s="18">
        <v>46247.0</v>
      </c>
      <c r="Q1850" s="1" t="s">
        <v>1152</v>
      </c>
      <c r="R1850" s="1"/>
      <c r="S1850" s="1" t="s">
        <v>52</v>
      </c>
      <c r="T1850" s="1" t="s">
        <v>2461</v>
      </c>
      <c r="U1850" s="1" t="s">
        <v>102</v>
      </c>
      <c r="V1850" s="4" t="s">
        <v>258</v>
      </c>
      <c r="W1850" s="1"/>
      <c r="X1850" s="18">
        <v>46247.0</v>
      </c>
      <c r="Y1850" s="1" t="s">
        <v>1152</v>
      </c>
      <c r="Z1850" s="1"/>
      <c r="AA1850" s="1"/>
      <c r="AB1850" s="1" t="s">
        <v>52</v>
      </c>
      <c r="AC1850" s="1" t="s">
        <v>1925</v>
      </c>
      <c r="AD1850" s="1" t="s">
        <v>9173</v>
      </c>
      <c r="AE1850" s="1" t="s">
        <v>1152</v>
      </c>
      <c r="AF1850" s="1"/>
      <c r="AG1850" s="1"/>
      <c r="AH1850" s="1" t="s">
        <v>1152</v>
      </c>
      <c r="AI1850" s="1"/>
      <c r="AJ1850" s="1" t="s">
        <v>9174</v>
      </c>
      <c r="AK1850" s="1" t="s">
        <v>1152</v>
      </c>
      <c r="AL1850" s="6" t="str">
        <f t="array" ref="AL1850">IFERROR(IFS(XLOOKUP(B1850, 'Kit Delivery Status'!$U:$U, 'Kit Delivery Status'!$K:$K) = "Complete", "DELIVERED", XLOOKUP(B1850, 'Kit Delivery Status'!$U:$U, 'Kit Delivery Status'!$K:$K) = "Issue", "ISSUE"), "")</f>
        <v/>
      </c>
      <c r="AM1850" s="6"/>
    </row>
    <row r="1851">
      <c r="A1851" s="5" t="s">
        <v>9175</v>
      </c>
      <c r="B1851" s="1" t="s">
        <v>9176</v>
      </c>
      <c r="C1851" s="1" t="s">
        <v>1387</v>
      </c>
      <c r="D1851" s="2">
        <v>3.128041544E9</v>
      </c>
      <c r="E1851" s="1" t="s">
        <v>1388</v>
      </c>
      <c r="F1851" s="1"/>
      <c r="G1851" s="1" t="s">
        <v>1390</v>
      </c>
      <c r="H1851" s="1" t="s">
        <v>1019</v>
      </c>
      <c r="I1851" s="1">
        <v>60201.0</v>
      </c>
      <c r="J1851" s="1" t="s">
        <v>752</v>
      </c>
      <c r="K1851" s="1" t="s">
        <v>42</v>
      </c>
      <c r="L1851" s="1" t="s">
        <v>8393</v>
      </c>
      <c r="M1851" s="1">
        <v>109.0</v>
      </c>
      <c r="N1851" s="1" t="s">
        <v>1152</v>
      </c>
      <c r="O1851" s="3" t="s">
        <v>1391</v>
      </c>
      <c r="P1851" s="1" t="s">
        <v>1152</v>
      </c>
      <c r="Q1851" s="1" t="s">
        <v>1152</v>
      </c>
      <c r="R1851" s="1"/>
      <c r="S1851" s="1"/>
      <c r="T1851" s="1" t="s">
        <v>1152</v>
      </c>
      <c r="U1851" s="1" t="s">
        <v>1080</v>
      </c>
      <c r="V1851" s="4" t="s">
        <v>1391</v>
      </c>
      <c r="W1851" s="1"/>
      <c r="X1851" s="1" t="s">
        <v>1152</v>
      </c>
      <c r="Y1851" s="1" t="s">
        <v>1152</v>
      </c>
      <c r="Z1851" s="1"/>
      <c r="AA1851" s="1"/>
      <c r="AB1851" s="1"/>
      <c r="AC1851" s="1" t="s">
        <v>1925</v>
      </c>
      <c r="AD1851" s="1"/>
      <c r="AE1851" s="18">
        <v>46149.0</v>
      </c>
      <c r="AF1851" s="1" t="s">
        <v>1030</v>
      </c>
      <c r="AG1851" s="1" t="s">
        <v>52</v>
      </c>
      <c r="AH1851" s="1" t="s">
        <v>1152</v>
      </c>
      <c r="AI1851" s="1"/>
      <c r="AJ1851" s="1" t="s">
        <v>9177</v>
      </c>
      <c r="AK1851" s="1" t="s">
        <v>1152</v>
      </c>
      <c r="AL1851" s="6" t="str">
        <f t="array" ref="AL1851">IFERROR(IFS(XLOOKUP(B1851, 'Kit Delivery Status'!$U:$U, 'Kit Delivery Status'!$K:$K) = "Complete", "DELIVERED", XLOOKUP(B1851, 'Kit Delivery Status'!$U:$U, 'Kit Delivery Status'!$K:$K) = "Issue", "ISSUE"), "")</f>
        <v/>
      </c>
      <c r="AM1851" s="6"/>
    </row>
    <row r="1852">
      <c r="A1852" s="5" t="s">
        <v>9175</v>
      </c>
      <c r="B1852" s="1" t="s">
        <v>9176</v>
      </c>
      <c r="C1852" s="1" t="s">
        <v>1387</v>
      </c>
      <c r="D1852" s="2">
        <v>3.128041544E9</v>
      </c>
      <c r="E1852" s="1" t="s">
        <v>1388</v>
      </c>
      <c r="F1852" s="1"/>
      <c r="G1852" s="1" t="s">
        <v>1390</v>
      </c>
      <c r="H1852" s="1" t="s">
        <v>1019</v>
      </c>
      <c r="I1852" s="1">
        <v>60201.0</v>
      </c>
      <c r="J1852" s="1" t="s">
        <v>752</v>
      </c>
      <c r="K1852" s="1" t="s">
        <v>2131</v>
      </c>
      <c r="L1852" s="1" t="s">
        <v>5767</v>
      </c>
      <c r="M1852" s="1">
        <v>1.0</v>
      </c>
      <c r="N1852" s="1" t="s">
        <v>1152</v>
      </c>
      <c r="O1852" s="3" t="s">
        <v>1391</v>
      </c>
      <c r="P1852" s="1" t="s">
        <v>1152</v>
      </c>
      <c r="Q1852" s="1" t="s">
        <v>1152</v>
      </c>
      <c r="R1852" s="1"/>
      <c r="S1852" s="1"/>
      <c r="T1852" s="1" t="s">
        <v>1152</v>
      </c>
      <c r="U1852" s="1" t="s">
        <v>1080</v>
      </c>
      <c r="V1852" s="4" t="s">
        <v>1391</v>
      </c>
      <c r="W1852" s="1"/>
      <c r="X1852" s="1" t="s">
        <v>1152</v>
      </c>
      <c r="Y1852" s="1" t="s">
        <v>1152</v>
      </c>
      <c r="Z1852" s="1"/>
      <c r="AA1852" s="1"/>
      <c r="AB1852" s="1"/>
      <c r="AC1852" s="1" t="s">
        <v>1925</v>
      </c>
      <c r="AD1852" s="1"/>
      <c r="AE1852" s="18">
        <v>46149.0</v>
      </c>
      <c r="AF1852" s="1"/>
      <c r="AG1852" s="1"/>
      <c r="AH1852" s="1" t="s">
        <v>1152</v>
      </c>
      <c r="AI1852" s="1"/>
      <c r="AJ1852" s="1" t="s">
        <v>9177</v>
      </c>
      <c r="AK1852" s="1" t="s">
        <v>1152</v>
      </c>
      <c r="AL1852" s="6" t="str">
        <f t="array" ref="AL1852">IFERROR(IFS(XLOOKUP(B1852, 'Kit Delivery Status'!$U:$U, 'Kit Delivery Status'!$K:$K) = "Complete", "DELIVERED", XLOOKUP(B1852, 'Kit Delivery Status'!$U:$U, 'Kit Delivery Status'!$K:$K) = "Issue", "ISSUE"), "")</f>
        <v/>
      </c>
      <c r="AM1852" s="6"/>
    </row>
    <row r="1853">
      <c r="A1853" s="5" t="s">
        <v>9178</v>
      </c>
      <c r="B1853" s="1" t="s">
        <v>9179</v>
      </c>
      <c r="C1853" s="1" t="s">
        <v>9180</v>
      </c>
      <c r="D1853" s="2">
        <v>6.786376847E9</v>
      </c>
      <c r="E1853" s="1" t="s">
        <v>697</v>
      </c>
      <c r="F1853" s="1"/>
      <c r="G1853" s="1" t="s">
        <v>9181</v>
      </c>
      <c r="H1853" s="1" t="s">
        <v>946</v>
      </c>
      <c r="I1853" s="1">
        <v>30087.0</v>
      </c>
      <c r="J1853" s="1" t="s">
        <v>752</v>
      </c>
      <c r="K1853" s="1" t="s">
        <v>42</v>
      </c>
      <c r="L1853" s="1" t="s">
        <v>6819</v>
      </c>
      <c r="M1853" s="1">
        <v>49.0</v>
      </c>
      <c r="N1853" s="1" t="s">
        <v>1152</v>
      </c>
      <c r="O1853" s="3" t="s">
        <v>187</v>
      </c>
      <c r="P1853" s="1" t="s">
        <v>1152</v>
      </c>
      <c r="Q1853" s="1" t="s">
        <v>1152</v>
      </c>
      <c r="R1853" s="1"/>
      <c r="S1853" s="1"/>
      <c r="T1853" s="1" t="s">
        <v>1152</v>
      </c>
      <c r="U1853" s="1" t="s">
        <v>956</v>
      </c>
      <c r="V1853" s="4" t="s">
        <v>187</v>
      </c>
      <c r="W1853" s="1"/>
      <c r="X1853" s="1" t="s">
        <v>1152</v>
      </c>
      <c r="Y1853" s="1" t="s">
        <v>1152</v>
      </c>
      <c r="Z1853" s="1"/>
      <c r="AA1853" s="1"/>
      <c r="AB1853" s="1"/>
      <c r="AC1853" s="1" t="s">
        <v>1925</v>
      </c>
      <c r="AD1853" s="1"/>
      <c r="AE1853" s="18">
        <v>46147.0</v>
      </c>
      <c r="AF1853" s="1" t="s">
        <v>1440</v>
      </c>
      <c r="AG1853" s="1" t="s">
        <v>52</v>
      </c>
      <c r="AH1853" s="1" t="s">
        <v>1152</v>
      </c>
      <c r="AI1853" s="1"/>
      <c r="AJ1853" s="1" t="s">
        <v>697</v>
      </c>
      <c r="AK1853" s="1" t="s">
        <v>1152</v>
      </c>
      <c r="AL1853" s="6" t="str">
        <f t="array" ref="AL1853">IFERROR(IFS(XLOOKUP(B1853, 'Kit Delivery Status'!$U:$U, 'Kit Delivery Status'!$K:$K) = "Complete", "DELIVERED", XLOOKUP(B1853, 'Kit Delivery Status'!$U:$U, 'Kit Delivery Status'!$K:$K) = "Issue", "ISSUE"), "")</f>
        <v/>
      </c>
      <c r="AM1853" s="6"/>
    </row>
    <row r="1854">
      <c r="A1854" s="5" t="s">
        <v>9182</v>
      </c>
      <c r="B1854" s="1" t="s">
        <v>9183</v>
      </c>
      <c r="C1854" s="1" t="s">
        <v>9184</v>
      </c>
      <c r="D1854" s="2" t="s">
        <v>9185</v>
      </c>
      <c r="E1854" s="1" t="s">
        <v>9186</v>
      </c>
      <c r="F1854" s="1"/>
      <c r="G1854" s="1" t="s">
        <v>3158</v>
      </c>
      <c r="H1854" s="1" t="s">
        <v>1583</v>
      </c>
      <c r="I1854" s="1" t="s">
        <v>9187</v>
      </c>
      <c r="J1854" s="1" t="s">
        <v>752</v>
      </c>
      <c r="K1854" s="1" t="s">
        <v>892</v>
      </c>
      <c r="L1854" s="1" t="s">
        <v>8134</v>
      </c>
      <c r="M1854" s="1">
        <v>79.0</v>
      </c>
      <c r="N1854" s="1" t="s">
        <v>1152</v>
      </c>
      <c r="O1854" s="3" t="s">
        <v>3159</v>
      </c>
      <c r="P1854" s="1" t="s">
        <v>1152</v>
      </c>
      <c r="Q1854" s="1" t="s">
        <v>1152</v>
      </c>
      <c r="R1854" s="1"/>
      <c r="S1854" s="1"/>
      <c r="T1854" s="1" t="s">
        <v>1152</v>
      </c>
      <c r="U1854" s="1" t="s">
        <v>982</v>
      </c>
      <c r="V1854" s="4" t="s">
        <v>3159</v>
      </c>
      <c r="W1854" s="1"/>
      <c r="X1854" s="1" t="s">
        <v>1152</v>
      </c>
      <c r="Y1854" s="1" t="s">
        <v>1152</v>
      </c>
      <c r="Z1854" s="1"/>
      <c r="AA1854" s="1"/>
      <c r="AB1854" s="1"/>
      <c r="AC1854" s="1" t="s">
        <v>1925</v>
      </c>
      <c r="AD1854" s="1"/>
      <c r="AE1854" s="18">
        <v>46160.0</v>
      </c>
      <c r="AF1854" s="1" t="s">
        <v>1030</v>
      </c>
      <c r="AG1854" s="1" t="s">
        <v>52</v>
      </c>
      <c r="AH1854" s="1" t="s">
        <v>9188</v>
      </c>
      <c r="AI1854" s="1"/>
      <c r="AJ1854" s="1" t="s">
        <v>3157</v>
      </c>
      <c r="AK1854" s="1" t="s">
        <v>1152</v>
      </c>
      <c r="AL1854" s="6" t="str">
        <f t="array" ref="AL1854">IFERROR(IFS(XLOOKUP(B1854, 'Kit Delivery Status'!$U:$U, 'Kit Delivery Status'!$K:$K) = "Complete", "DELIVERED", XLOOKUP(B1854, 'Kit Delivery Status'!$U:$U, 'Kit Delivery Status'!$K:$K) = "Issue", "ISSUE"), "")</f>
        <v/>
      </c>
      <c r="AM1854" s="6"/>
    </row>
    <row r="1855">
      <c r="A1855" s="5" t="s">
        <v>9182</v>
      </c>
      <c r="B1855" s="1" t="s">
        <v>9183</v>
      </c>
      <c r="C1855" s="1" t="s">
        <v>9184</v>
      </c>
      <c r="D1855" s="2" t="s">
        <v>9185</v>
      </c>
      <c r="E1855" s="1" t="s">
        <v>9186</v>
      </c>
      <c r="F1855" s="1"/>
      <c r="G1855" s="1" t="s">
        <v>3158</v>
      </c>
      <c r="H1855" s="1" t="s">
        <v>1583</v>
      </c>
      <c r="I1855" s="1" t="s">
        <v>9187</v>
      </c>
      <c r="J1855" s="1" t="s">
        <v>752</v>
      </c>
      <c r="K1855" s="1" t="s">
        <v>42</v>
      </c>
      <c r="L1855" s="1" t="s">
        <v>8393</v>
      </c>
      <c r="M1855" s="1">
        <v>109.0</v>
      </c>
      <c r="N1855" s="1" t="s">
        <v>1152</v>
      </c>
      <c r="O1855" s="3" t="s">
        <v>3159</v>
      </c>
      <c r="P1855" s="1" t="s">
        <v>1152</v>
      </c>
      <c r="Q1855" s="1" t="s">
        <v>1152</v>
      </c>
      <c r="R1855" s="1"/>
      <c r="S1855" s="1"/>
      <c r="T1855" s="1" t="s">
        <v>1152</v>
      </c>
      <c r="U1855" s="1" t="s">
        <v>982</v>
      </c>
      <c r="V1855" s="4" t="s">
        <v>3159</v>
      </c>
      <c r="W1855" s="1"/>
      <c r="X1855" s="1" t="s">
        <v>1152</v>
      </c>
      <c r="Y1855" s="1" t="s">
        <v>1152</v>
      </c>
      <c r="Z1855" s="1"/>
      <c r="AA1855" s="1"/>
      <c r="AB1855" s="1"/>
      <c r="AC1855" s="1" t="s">
        <v>1925</v>
      </c>
      <c r="AD1855" s="1"/>
      <c r="AE1855" s="18">
        <v>46160.0</v>
      </c>
      <c r="AF1855" s="1" t="s">
        <v>1030</v>
      </c>
      <c r="AG1855" s="1" t="s">
        <v>52</v>
      </c>
      <c r="AH1855" s="1" t="s">
        <v>1152</v>
      </c>
      <c r="AI1855" s="1"/>
      <c r="AJ1855" s="1" t="s">
        <v>3157</v>
      </c>
      <c r="AK1855" s="1" t="s">
        <v>1152</v>
      </c>
      <c r="AL1855" s="6" t="str">
        <f t="array" ref="AL1855">IFERROR(IFS(XLOOKUP(B1855, 'Kit Delivery Status'!$U:$U, 'Kit Delivery Status'!$K:$K) = "Complete", "DELIVERED", XLOOKUP(B1855, 'Kit Delivery Status'!$U:$U, 'Kit Delivery Status'!$K:$K) = "Issue", "ISSUE"), "")</f>
        <v/>
      </c>
      <c r="AM1855" s="6"/>
    </row>
    <row r="1856">
      <c r="A1856" s="5" t="s">
        <v>9189</v>
      </c>
      <c r="B1856" s="1" t="s">
        <v>9190</v>
      </c>
      <c r="C1856" s="1" t="s">
        <v>9191</v>
      </c>
      <c r="D1856" s="2">
        <v>9.173750383E9</v>
      </c>
      <c r="E1856" s="1" t="s">
        <v>9192</v>
      </c>
      <c r="F1856" s="1"/>
      <c r="G1856" s="1" t="s">
        <v>1858</v>
      </c>
      <c r="H1856" s="1" t="s">
        <v>1019</v>
      </c>
      <c r="I1856" s="1">
        <v>60093.0</v>
      </c>
      <c r="J1856" s="1" t="s">
        <v>752</v>
      </c>
      <c r="K1856" s="1" t="s">
        <v>2131</v>
      </c>
      <c r="L1856" s="1" t="s">
        <v>5767</v>
      </c>
      <c r="M1856" s="1">
        <v>1.0</v>
      </c>
      <c r="N1856" s="1" t="s">
        <v>1152</v>
      </c>
      <c r="O1856" s="3" t="s">
        <v>9193</v>
      </c>
      <c r="P1856" s="1" t="s">
        <v>1152</v>
      </c>
      <c r="Q1856" s="1" t="s">
        <v>1152</v>
      </c>
      <c r="R1856" s="1"/>
      <c r="S1856" s="1"/>
      <c r="T1856" s="1" t="s">
        <v>1152</v>
      </c>
      <c r="U1856" s="1" t="s">
        <v>1537</v>
      </c>
      <c r="V1856" s="4" t="s">
        <v>9193</v>
      </c>
      <c r="W1856" s="1"/>
      <c r="X1856" s="1" t="s">
        <v>1152</v>
      </c>
      <c r="Y1856" s="1" t="s">
        <v>1152</v>
      </c>
      <c r="Z1856" s="1"/>
      <c r="AA1856" s="1"/>
      <c r="AB1856" s="1"/>
      <c r="AC1856" s="1" t="s">
        <v>1925</v>
      </c>
      <c r="AD1856" s="1"/>
      <c r="AE1856" s="18">
        <v>46144.0</v>
      </c>
      <c r="AF1856" s="1"/>
      <c r="AG1856" s="1"/>
      <c r="AH1856" s="1" t="s">
        <v>1152</v>
      </c>
      <c r="AI1856" s="1"/>
      <c r="AJ1856" s="1" t="s">
        <v>369</v>
      </c>
      <c r="AK1856" s="1" t="s">
        <v>1152</v>
      </c>
      <c r="AL1856" s="6" t="str">
        <f t="array" ref="AL1856">IFERROR(IFS(XLOOKUP(B1856, 'Kit Delivery Status'!$U:$U, 'Kit Delivery Status'!$K:$K) = "Complete", "DELIVERED", XLOOKUP(B1856, 'Kit Delivery Status'!$U:$U, 'Kit Delivery Status'!$K:$K) = "Issue", "ISSUE"), "")</f>
        <v/>
      </c>
      <c r="AM1856" s="6"/>
    </row>
    <row r="1857">
      <c r="A1857" s="5" t="s">
        <v>9189</v>
      </c>
      <c r="B1857" s="1" t="s">
        <v>9190</v>
      </c>
      <c r="C1857" s="1" t="s">
        <v>9191</v>
      </c>
      <c r="D1857" s="2">
        <v>9.173750383E9</v>
      </c>
      <c r="E1857" s="1" t="s">
        <v>9192</v>
      </c>
      <c r="F1857" s="1"/>
      <c r="G1857" s="1" t="s">
        <v>1858</v>
      </c>
      <c r="H1857" s="1" t="s">
        <v>1019</v>
      </c>
      <c r="I1857" s="1">
        <v>60093.0</v>
      </c>
      <c r="J1857" s="1" t="s">
        <v>752</v>
      </c>
      <c r="K1857" s="1" t="s">
        <v>42</v>
      </c>
      <c r="L1857" s="1" t="s">
        <v>8715</v>
      </c>
      <c r="M1857" s="1">
        <v>139.0</v>
      </c>
      <c r="N1857" s="1" t="s">
        <v>1152</v>
      </c>
      <c r="O1857" s="3" t="s">
        <v>9194</v>
      </c>
      <c r="P1857" s="1" t="s">
        <v>1152</v>
      </c>
      <c r="Q1857" s="1" t="s">
        <v>1152</v>
      </c>
      <c r="R1857" s="1"/>
      <c r="S1857" s="1"/>
      <c r="T1857" s="1" t="s">
        <v>1152</v>
      </c>
      <c r="U1857" s="1" t="s">
        <v>1537</v>
      </c>
      <c r="V1857" s="4" t="s">
        <v>9194</v>
      </c>
      <c r="W1857" s="1"/>
      <c r="X1857" s="1" t="s">
        <v>1152</v>
      </c>
      <c r="Y1857" s="1" t="s">
        <v>1152</v>
      </c>
      <c r="Z1857" s="1"/>
      <c r="AA1857" s="1"/>
      <c r="AB1857" s="1"/>
      <c r="AC1857" s="1" t="s">
        <v>1925</v>
      </c>
      <c r="AD1857" s="1"/>
      <c r="AE1857" s="18">
        <v>46144.0</v>
      </c>
      <c r="AF1857" s="1" t="s">
        <v>1630</v>
      </c>
      <c r="AG1857" s="1" t="s">
        <v>52</v>
      </c>
      <c r="AH1857" s="1" t="s">
        <v>1152</v>
      </c>
      <c r="AI1857" s="1"/>
      <c r="AJ1857" s="1" t="s">
        <v>369</v>
      </c>
      <c r="AK1857" s="1" t="s">
        <v>1152</v>
      </c>
      <c r="AL1857" s="6" t="str">
        <f t="array" ref="AL1857">IFERROR(IFS(XLOOKUP(B1857, 'Kit Delivery Status'!$U:$U, 'Kit Delivery Status'!$K:$K) = "Complete", "DELIVERED", XLOOKUP(B1857, 'Kit Delivery Status'!$U:$U, 'Kit Delivery Status'!$K:$K) = "Issue", "ISSUE"), "")</f>
        <v/>
      </c>
      <c r="AM1857" s="6"/>
    </row>
    <row r="1858">
      <c r="A1858" s="5" t="s">
        <v>9195</v>
      </c>
      <c r="B1858" s="1" t="s">
        <v>9196</v>
      </c>
      <c r="C1858" s="1" t="s">
        <v>9197</v>
      </c>
      <c r="D1858" s="2">
        <v>3.059058849E9</v>
      </c>
      <c r="E1858" s="1" t="s">
        <v>9198</v>
      </c>
      <c r="F1858" s="1"/>
      <c r="G1858" s="1" t="s">
        <v>9199</v>
      </c>
      <c r="H1858" s="1" t="s">
        <v>1208</v>
      </c>
      <c r="I1858" s="1">
        <v>33174.0</v>
      </c>
      <c r="J1858" s="1" t="s">
        <v>752</v>
      </c>
      <c r="K1858" s="1" t="s">
        <v>42</v>
      </c>
      <c r="L1858" s="1" t="s">
        <v>6819</v>
      </c>
      <c r="M1858" s="1">
        <v>49.0</v>
      </c>
      <c r="N1858" s="1" t="s">
        <v>1152</v>
      </c>
      <c r="O1858" s="3" t="s">
        <v>3510</v>
      </c>
      <c r="P1858" s="1" t="s">
        <v>1152</v>
      </c>
      <c r="Q1858" s="1" t="s">
        <v>1152</v>
      </c>
      <c r="R1858" s="1"/>
      <c r="S1858" s="1"/>
      <c r="T1858" s="1" t="s">
        <v>1152</v>
      </c>
      <c r="U1858" s="1" t="s">
        <v>1277</v>
      </c>
      <c r="V1858" s="4" t="s">
        <v>3510</v>
      </c>
      <c r="W1858" s="1"/>
      <c r="X1858" s="1" t="s">
        <v>1152</v>
      </c>
      <c r="Y1858" s="1" t="s">
        <v>1152</v>
      </c>
      <c r="Z1858" s="1"/>
      <c r="AA1858" s="1"/>
      <c r="AB1858" s="1"/>
      <c r="AC1858" s="1" t="s">
        <v>1925</v>
      </c>
      <c r="AD1858" s="1"/>
      <c r="AE1858" s="18">
        <v>46148.0</v>
      </c>
      <c r="AF1858" s="1" t="s">
        <v>1030</v>
      </c>
      <c r="AG1858" s="1" t="s">
        <v>52</v>
      </c>
      <c r="AH1858" s="1" t="s">
        <v>1152</v>
      </c>
      <c r="AI1858" s="1"/>
      <c r="AJ1858" s="1" t="s">
        <v>9198</v>
      </c>
      <c r="AK1858" s="1" t="s">
        <v>1152</v>
      </c>
      <c r="AL1858" s="6" t="str">
        <f t="array" ref="AL1858">IFERROR(IFS(XLOOKUP(B1858, 'Kit Delivery Status'!$U:$U, 'Kit Delivery Status'!$K:$K) = "Complete", "DELIVERED", XLOOKUP(B1858, 'Kit Delivery Status'!$U:$U, 'Kit Delivery Status'!$K:$K) = "Issue", "ISSUE"), "")</f>
        <v/>
      </c>
      <c r="AM1858" s="6"/>
    </row>
    <row r="1859">
      <c r="A1859" s="5" t="s">
        <v>9200</v>
      </c>
      <c r="B1859" s="1" t="s">
        <v>9201</v>
      </c>
      <c r="C1859" s="1" t="s">
        <v>9202</v>
      </c>
      <c r="D1859" s="2">
        <v>9.253341357E9</v>
      </c>
      <c r="E1859" s="1" t="s">
        <v>769</v>
      </c>
      <c r="F1859" s="1"/>
      <c r="G1859" s="1" t="s">
        <v>1154</v>
      </c>
      <c r="H1859" s="1" t="s">
        <v>989</v>
      </c>
      <c r="I1859" s="1">
        <v>94549.0</v>
      </c>
      <c r="J1859" s="1" t="s">
        <v>752</v>
      </c>
      <c r="K1859" s="1" t="s">
        <v>42</v>
      </c>
      <c r="L1859" s="1" t="s">
        <v>6819</v>
      </c>
      <c r="M1859" s="1">
        <v>49.0</v>
      </c>
      <c r="N1859" s="1" t="s">
        <v>1152</v>
      </c>
      <c r="O1859" s="3" t="s">
        <v>9203</v>
      </c>
      <c r="P1859" s="1" t="s">
        <v>1152</v>
      </c>
      <c r="Q1859" s="1" t="s">
        <v>1152</v>
      </c>
      <c r="R1859" s="1"/>
      <c r="S1859" s="1"/>
      <c r="T1859" s="1" t="s">
        <v>1152</v>
      </c>
      <c r="U1859" s="1" t="s">
        <v>1201</v>
      </c>
      <c r="V1859" s="4" t="s">
        <v>9203</v>
      </c>
      <c r="W1859" s="1"/>
      <c r="X1859" s="1" t="s">
        <v>1152</v>
      </c>
      <c r="Y1859" s="1" t="s">
        <v>1152</v>
      </c>
      <c r="Z1859" s="1"/>
      <c r="AA1859" s="1"/>
      <c r="AB1859" s="1"/>
      <c r="AC1859" s="1" t="s">
        <v>1925</v>
      </c>
      <c r="AD1859" s="1"/>
      <c r="AE1859" s="18">
        <v>46143.0</v>
      </c>
      <c r="AF1859" s="1" t="s">
        <v>1030</v>
      </c>
      <c r="AG1859" s="1" t="s">
        <v>52</v>
      </c>
      <c r="AH1859" s="1" t="s">
        <v>1152</v>
      </c>
      <c r="AI1859" s="1"/>
      <c r="AJ1859" s="1" t="s">
        <v>769</v>
      </c>
      <c r="AK1859" s="1" t="s">
        <v>1152</v>
      </c>
      <c r="AL1859" s="6" t="str">
        <f t="array" ref="AL1859">IFERROR(IFS(XLOOKUP(B1859, 'Kit Delivery Status'!$U:$U, 'Kit Delivery Status'!$K:$K) = "Complete", "DELIVERED", XLOOKUP(B1859, 'Kit Delivery Status'!$U:$U, 'Kit Delivery Status'!$K:$K) = "Issue", "ISSUE"), "")</f>
        <v/>
      </c>
      <c r="AM1859" s="6"/>
    </row>
    <row r="1860">
      <c r="A1860" s="5" t="s">
        <v>9204</v>
      </c>
      <c r="B1860" s="1" t="s">
        <v>9205</v>
      </c>
      <c r="C1860" s="1" t="s">
        <v>9206</v>
      </c>
      <c r="D1860" s="2">
        <v>5.513021447E9</v>
      </c>
      <c r="E1860" s="1" t="s">
        <v>9207</v>
      </c>
      <c r="F1860" s="1"/>
      <c r="G1860" s="1" t="s">
        <v>4975</v>
      </c>
      <c r="H1860" s="1" t="s">
        <v>751</v>
      </c>
      <c r="I1860" s="1">
        <v>10024.0</v>
      </c>
      <c r="J1860" s="1" t="s">
        <v>752</v>
      </c>
      <c r="K1860" s="1" t="s">
        <v>42</v>
      </c>
      <c r="L1860" s="1" t="s">
        <v>6819</v>
      </c>
      <c r="M1860" s="1">
        <v>49.0</v>
      </c>
      <c r="N1860" s="1" t="s">
        <v>1152</v>
      </c>
      <c r="O1860" s="3" t="s">
        <v>418</v>
      </c>
      <c r="P1860" s="1" t="s">
        <v>1152</v>
      </c>
      <c r="Q1860" s="1" t="s">
        <v>1152</v>
      </c>
      <c r="R1860" s="1"/>
      <c r="S1860" s="1"/>
      <c r="T1860" s="1" t="s">
        <v>1152</v>
      </c>
      <c r="U1860" s="1" t="s">
        <v>1080</v>
      </c>
      <c r="V1860" s="4" t="s">
        <v>418</v>
      </c>
      <c r="W1860" s="1"/>
      <c r="X1860" s="1" t="s">
        <v>1152</v>
      </c>
      <c r="Y1860" s="1" t="s">
        <v>1152</v>
      </c>
      <c r="Z1860" s="1"/>
      <c r="AA1860" s="1"/>
      <c r="AB1860" s="1"/>
      <c r="AC1860" s="1" t="s">
        <v>1925</v>
      </c>
      <c r="AD1860" s="1"/>
      <c r="AE1860" s="18">
        <v>46148.0</v>
      </c>
      <c r="AF1860" s="1" t="s">
        <v>1103</v>
      </c>
      <c r="AG1860" s="1" t="s">
        <v>52</v>
      </c>
      <c r="AH1860" s="1" t="s">
        <v>1152</v>
      </c>
      <c r="AI1860" s="1"/>
      <c r="AJ1860" s="1" t="s">
        <v>9207</v>
      </c>
      <c r="AK1860" s="1" t="s">
        <v>1152</v>
      </c>
      <c r="AL1860" s="6" t="str">
        <f t="array" ref="AL1860">IFERROR(IFS(XLOOKUP(B1860, 'Kit Delivery Status'!$U:$U, 'Kit Delivery Status'!$K:$K) = "Complete", "DELIVERED", XLOOKUP(B1860, 'Kit Delivery Status'!$U:$U, 'Kit Delivery Status'!$K:$K) = "Issue", "ISSUE"), "")</f>
        <v/>
      </c>
      <c r="AM1860" s="6"/>
    </row>
    <row r="1861">
      <c r="A1861" s="5" t="s">
        <v>9208</v>
      </c>
      <c r="B1861" s="1" t="s">
        <v>9209</v>
      </c>
      <c r="C1861" s="1" t="s">
        <v>9210</v>
      </c>
      <c r="D1861" s="2">
        <v>3.147173921E9</v>
      </c>
      <c r="E1861" s="1" t="s">
        <v>9211</v>
      </c>
      <c r="F1861" s="1"/>
      <c r="G1861" s="1" t="s">
        <v>2350</v>
      </c>
      <c r="H1861" s="1" t="s">
        <v>1155</v>
      </c>
      <c r="I1861" s="1">
        <v>63105.0</v>
      </c>
      <c r="J1861" s="1" t="s">
        <v>752</v>
      </c>
      <c r="K1861" s="1" t="s">
        <v>42</v>
      </c>
      <c r="L1861" s="1" t="s">
        <v>7863</v>
      </c>
      <c r="M1861" s="1">
        <v>79.0</v>
      </c>
      <c r="N1861" s="1" t="s">
        <v>1152</v>
      </c>
      <c r="O1861" s="3" t="s">
        <v>9212</v>
      </c>
      <c r="P1861" s="1" t="s">
        <v>1152</v>
      </c>
      <c r="Q1861" s="1" t="s">
        <v>1152</v>
      </c>
      <c r="R1861" s="1"/>
      <c r="S1861" s="1"/>
      <c r="T1861" s="1" t="s">
        <v>1152</v>
      </c>
      <c r="U1861" s="1" t="s">
        <v>982</v>
      </c>
      <c r="V1861" s="4" t="s">
        <v>9212</v>
      </c>
      <c r="W1861" s="1"/>
      <c r="X1861" s="1" t="s">
        <v>1152</v>
      </c>
      <c r="Y1861" s="1" t="s">
        <v>1152</v>
      </c>
      <c r="Z1861" s="1"/>
      <c r="AA1861" s="1"/>
      <c r="AB1861" s="1"/>
      <c r="AC1861" s="1" t="s">
        <v>1925</v>
      </c>
      <c r="AD1861" s="1"/>
      <c r="AE1861" s="18">
        <v>46147.0</v>
      </c>
      <c r="AF1861" s="1" t="s">
        <v>1349</v>
      </c>
      <c r="AG1861" s="1" t="s">
        <v>52</v>
      </c>
      <c r="AH1861" s="1" t="s">
        <v>1152</v>
      </c>
      <c r="AI1861" s="1"/>
      <c r="AJ1861" s="1" t="s">
        <v>9211</v>
      </c>
      <c r="AK1861" s="1" t="s">
        <v>1152</v>
      </c>
      <c r="AL1861" s="6" t="str">
        <f t="array" ref="AL1861">IFERROR(IFS(XLOOKUP(B1861, 'Kit Delivery Status'!$U:$U, 'Kit Delivery Status'!$K:$K) = "Complete", "DELIVERED", XLOOKUP(B1861, 'Kit Delivery Status'!$U:$U, 'Kit Delivery Status'!$K:$K) = "Issue", "ISSUE"), "")</f>
        <v/>
      </c>
      <c r="AM1861" s="6"/>
    </row>
    <row r="1862">
      <c r="A1862" s="5" t="s">
        <v>9213</v>
      </c>
      <c r="B1862" s="1" t="s">
        <v>9214</v>
      </c>
      <c r="C1862" s="1"/>
      <c r="D1862" s="2">
        <v>6.462299224E9</v>
      </c>
      <c r="E1862" s="1" t="s">
        <v>9215</v>
      </c>
      <c r="F1862" s="1"/>
      <c r="G1862" s="1" t="s">
        <v>1405</v>
      </c>
      <c r="H1862" s="1" t="s">
        <v>751</v>
      </c>
      <c r="I1862" s="1">
        <v>11753.0</v>
      </c>
      <c r="J1862" s="1" t="s">
        <v>752</v>
      </c>
      <c r="K1862" s="1" t="s">
        <v>42</v>
      </c>
      <c r="L1862" s="1" t="s">
        <v>6819</v>
      </c>
      <c r="M1862" s="1">
        <v>49.0</v>
      </c>
      <c r="N1862" s="1" t="s">
        <v>1152</v>
      </c>
      <c r="O1862" s="3" t="s">
        <v>198</v>
      </c>
      <c r="P1862" s="1" t="s">
        <v>1152</v>
      </c>
      <c r="Q1862" s="1" t="s">
        <v>1152</v>
      </c>
      <c r="R1862" s="1"/>
      <c r="S1862" s="1"/>
      <c r="T1862" s="1" t="s">
        <v>1152</v>
      </c>
      <c r="U1862" s="1" t="s">
        <v>1039</v>
      </c>
      <c r="V1862" s="4" t="s">
        <v>198</v>
      </c>
      <c r="W1862" s="1"/>
      <c r="X1862" s="1" t="s">
        <v>1152</v>
      </c>
      <c r="Y1862" s="1" t="s">
        <v>1152</v>
      </c>
      <c r="Z1862" s="1"/>
      <c r="AA1862" s="1"/>
      <c r="AB1862" s="1"/>
      <c r="AC1862" s="1" t="s">
        <v>1925</v>
      </c>
      <c r="AD1862" s="1"/>
      <c r="AE1862" s="18">
        <v>46148.0</v>
      </c>
      <c r="AF1862" s="1" t="s">
        <v>1030</v>
      </c>
      <c r="AG1862" s="1" t="s">
        <v>52</v>
      </c>
      <c r="AH1862" s="1" t="s">
        <v>1152</v>
      </c>
      <c r="AI1862" s="1"/>
      <c r="AJ1862" s="1" t="s">
        <v>9215</v>
      </c>
      <c r="AK1862" s="1" t="s">
        <v>1152</v>
      </c>
      <c r="AL1862" s="6" t="str">
        <f t="array" ref="AL1862">IFERROR(IFS(XLOOKUP(B1862, 'Kit Delivery Status'!$U:$U, 'Kit Delivery Status'!$K:$K) = "Complete", "DELIVERED", XLOOKUP(B1862, 'Kit Delivery Status'!$U:$U, 'Kit Delivery Status'!$K:$K) = "Issue", "ISSUE"), "")</f>
        <v/>
      </c>
      <c r="AM1862" s="6"/>
    </row>
    <row r="1863">
      <c r="A1863" s="5" t="s">
        <v>9216</v>
      </c>
      <c r="B1863" s="1" t="s">
        <v>9217</v>
      </c>
      <c r="C1863" s="1" t="s">
        <v>2217</v>
      </c>
      <c r="D1863" s="2">
        <v>6.50241876E9</v>
      </c>
      <c r="E1863" s="1" t="s">
        <v>2218</v>
      </c>
      <c r="F1863" s="1"/>
      <c r="G1863" s="1" t="s">
        <v>2219</v>
      </c>
      <c r="H1863" s="1" t="s">
        <v>989</v>
      </c>
      <c r="I1863" s="1">
        <v>94306.0</v>
      </c>
      <c r="J1863" s="1" t="s">
        <v>752</v>
      </c>
      <c r="K1863" s="1" t="s">
        <v>42</v>
      </c>
      <c r="L1863" s="1" t="s">
        <v>6819</v>
      </c>
      <c r="M1863" s="1">
        <v>49.0</v>
      </c>
      <c r="N1863" s="1" t="s">
        <v>1152</v>
      </c>
      <c r="O1863" s="3" t="s">
        <v>9218</v>
      </c>
      <c r="P1863" s="1" t="s">
        <v>1152</v>
      </c>
      <c r="Q1863" s="1" t="s">
        <v>1152</v>
      </c>
      <c r="R1863" s="1"/>
      <c r="S1863" s="1"/>
      <c r="T1863" s="1" t="s">
        <v>1152</v>
      </c>
      <c r="U1863" s="1" t="s">
        <v>1537</v>
      </c>
      <c r="V1863" s="4" t="s">
        <v>9218</v>
      </c>
      <c r="W1863" s="1"/>
      <c r="X1863" s="1" t="s">
        <v>1152</v>
      </c>
      <c r="Y1863" s="1" t="s">
        <v>1152</v>
      </c>
      <c r="Z1863" s="1"/>
      <c r="AA1863" s="1"/>
      <c r="AB1863" s="1"/>
      <c r="AC1863" s="1" t="s">
        <v>1925</v>
      </c>
      <c r="AD1863" s="1"/>
      <c r="AE1863" s="18">
        <v>46148.0</v>
      </c>
      <c r="AF1863" s="1" t="s">
        <v>1103</v>
      </c>
      <c r="AG1863" s="1" t="s">
        <v>52</v>
      </c>
      <c r="AH1863" s="1" t="s">
        <v>1152</v>
      </c>
      <c r="AI1863" s="1"/>
      <c r="AJ1863" s="1" t="s">
        <v>9219</v>
      </c>
      <c r="AK1863" s="1" t="s">
        <v>1152</v>
      </c>
      <c r="AL1863" s="6" t="str">
        <f t="array" ref="AL1863">IFERROR(IFS(XLOOKUP(B1863, 'Kit Delivery Status'!$U:$U, 'Kit Delivery Status'!$K:$K) = "Complete", "DELIVERED", XLOOKUP(B1863, 'Kit Delivery Status'!$U:$U, 'Kit Delivery Status'!$K:$K) = "Issue", "ISSUE"), "")</f>
        <v/>
      </c>
      <c r="AM1863" s="6"/>
    </row>
    <row r="1864">
      <c r="A1864" s="5" t="s">
        <v>9220</v>
      </c>
      <c r="B1864" s="1" t="s">
        <v>9221</v>
      </c>
      <c r="C1864" s="1"/>
      <c r="D1864" s="2">
        <v>5.16296899E9</v>
      </c>
      <c r="E1864" s="1" t="s">
        <v>9222</v>
      </c>
      <c r="F1864" s="1"/>
      <c r="G1864" s="1" t="s">
        <v>8693</v>
      </c>
      <c r="H1864" s="1" t="s">
        <v>751</v>
      </c>
      <c r="I1864" s="1">
        <v>11566.0</v>
      </c>
      <c r="J1864" s="1" t="s">
        <v>752</v>
      </c>
      <c r="K1864" s="1" t="s">
        <v>75</v>
      </c>
      <c r="L1864" s="1" t="s">
        <v>8733</v>
      </c>
      <c r="M1864" s="1">
        <v>49.0</v>
      </c>
      <c r="N1864" s="1" t="s">
        <v>2461</v>
      </c>
      <c r="O1864" s="3" t="s">
        <v>103</v>
      </c>
      <c r="P1864" s="18">
        <v>46248.0</v>
      </c>
      <c r="Q1864" s="1" t="s">
        <v>1152</v>
      </c>
      <c r="R1864" s="1"/>
      <c r="S1864" s="1" t="s">
        <v>52</v>
      </c>
      <c r="T1864" s="1" t="s">
        <v>2461</v>
      </c>
      <c r="U1864" s="1" t="s">
        <v>102</v>
      </c>
      <c r="V1864" s="4" t="s">
        <v>103</v>
      </c>
      <c r="W1864" s="1"/>
      <c r="X1864" s="18">
        <v>46248.0</v>
      </c>
      <c r="Y1864" s="1" t="s">
        <v>1152</v>
      </c>
      <c r="Z1864" s="1"/>
      <c r="AA1864" s="1"/>
      <c r="AB1864" s="1" t="s">
        <v>52</v>
      </c>
      <c r="AC1864" s="1" t="s">
        <v>1925</v>
      </c>
      <c r="AD1864" s="1" t="s">
        <v>9223</v>
      </c>
      <c r="AE1864" s="1" t="s">
        <v>1152</v>
      </c>
      <c r="AF1864" s="1"/>
      <c r="AG1864" s="1"/>
      <c r="AH1864" s="1" t="s">
        <v>1152</v>
      </c>
      <c r="AI1864" s="1"/>
      <c r="AJ1864" s="1" t="s">
        <v>9222</v>
      </c>
      <c r="AK1864" s="1" t="s">
        <v>1152</v>
      </c>
      <c r="AL1864" s="6" t="str">
        <f t="array" ref="AL1864">IFERROR(IFS(XLOOKUP(B1864, 'Kit Delivery Status'!$U:$U, 'Kit Delivery Status'!$K:$K) = "Complete", "DELIVERED", XLOOKUP(B1864, 'Kit Delivery Status'!$U:$U, 'Kit Delivery Status'!$K:$K) = "Issue", "ISSUE"), "")</f>
        <v/>
      </c>
      <c r="AM1864" s="6"/>
    </row>
    <row r="1865">
      <c r="A1865" s="5" t="s">
        <v>9224</v>
      </c>
      <c r="B1865" s="1" t="s">
        <v>9225</v>
      </c>
      <c r="C1865" s="1" t="s">
        <v>9226</v>
      </c>
      <c r="D1865" s="2">
        <v>4.157474619E9</v>
      </c>
      <c r="E1865" s="1" t="s">
        <v>9227</v>
      </c>
      <c r="F1865" s="1"/>
      <c r="G1865" s="1" t="s">
        <v>6062</v>
      </c>
      <c r="H1865" s="1" t="s">
        <v>1078</v>
      </c>
      <c r="I1865" s="1">
        <v>6612.0</v>
      </c>
      <c r="J1865" s="1" t="s">
        <v>752</v>
      </c>
      <c r="K1865" s="1" t="s">
        <v>42</v>
      </c>
      <c r="L1865" s="1" t="s">
        <v>6819</v>
      </c>
      <c r="M1865" s="1">
        <v>49.0</v>
      </c>
      <c r="N1865" s="1" t="s">
        <v>1152</v>
      </c>
      <c r="O1865" s="3" t="s">
        <v>6353</v>
      </c>
      <c r="P1865" s="1" t="s">
        <v>1152</v>
      </c>
      <c r="Q1865" s="1" t="s">
        <v>1152</v>
      </c>
      <c r="R1865" s="1"/>
      <c r="S1865" s="1"/>
      <c r="T1865" s="1" t="s">
        <v>1152</v>
      </c>
      <c r="U1865" s="1" t="s">
        <v>1407</v>
      </c>
      <c r="V1865" s="4" t="s">
        <v>6353</v>
      </c>
      <c r="W1865" s="1"/>
      <c r="X1865" s="1" t="s">
        <v>1152</v>
      </c>
      <c r="Y1865" s="1" t="s">
        <v>1152</v>
      </c>
      <c r="Z1865" s="1"/>
      <c r="AA1865" s="1"/>
      <c r="AB1865" s="1"/>
      <c r="AC1865" s="1" t="s">
        <v>1925</v>
      </c>
      <c r="AD1865" s="1"/>
      <c r="AE1865" s="18">
        <v>46149.0</v>
      </c>
      <c r="AF1865" s="1" t="s">
        <v>1030</v>
      </c>
      <c r="AG1865" s="1" t="s">
        <v>52</v>
      </c>
      <c r="AH1865" s="1" t="s">
        <v>1152</v>
      </c>
      <c r="AI1865" s="1"/>
      <c r="AJ1865" s="1" t="s">
        <v>9228</v>
      </c>
      <c r="AK1865" s="1" t="s">
        <v>1152</v>
      </c>
      <c r="AL1865" s="6" t="str">
        <f t="array" ref="AL1865">IFERROR(IFS(XLOOKUP(B1865, 'Kit Delivery Status'!$U:$U, 'Kit Delivery Status'!$K:$K) = "Complete", "DELIVERED", XLOOKUP(B1865, 'Kit Delivery Status'!$U:$U, 'Kit Delivery Status'!$K:$K) = "Issue", "ISSUE"), "")</f>
        <v/>
      </c>
      <c r="AM1865" s="6"/>
    </row>
    <row r="1866">
      <c r="A1866" s="5" t="s">
        <v>9229</v>
      </c>
      <c r="B1866" s="1" t="s">
        <v>9230</v>
      </c>
      <c r="C1866" s="1" t="s">
        <v>967</v>
      </c>
      <c r="D1866" s="2"/>
      <c r="E1866" s="1" t="s">
        <v>969</v>
      </c>
      <c r="F1866" s="1"/>
      <c r="G1866" s="1" t="s">
        <v>971</v>
      </c>
      <c r="H1866" s="1" t="s">
        <v>751</v>
      </c>
      <c r="I1866" s="1">
        <v>11050.0</v>
      </c>
      <c r="J1866" s="1" t="s">
        <v>752</v>
      </c>
      <c r="K1866" s="1" t="s">
        <v>892</v>
      </c>
      <c r="L1866" s="1" t="s">
        <v>8006</v>
      </c>
      <c r="M1866" s="1">
        <v>49.0</v>
      </c>
      <c r="N1866" s="1" t="s">
        <v>1152</v>
      </c>
      <c r="O1866" s="3" t="s">
        <v>972</v>
      </c>
      <c r="P1866" s="1" t="s">
        <v>1152</v>
      </c>
      <c r="Q1866" s="1" t="s">
        <v>1152</v>
      </c>
      <c r="R1866" s="1"/>
      <c r="S1866" s="1"/>
      <c r="T1866" s="1" t="s">
        <v>1152</v>
      </c>
      <c r="U1866" s="1" t="s">
        <v>1133</v>
      </c>
      <c r="V1866" s="4" t="s">
        <v>972</v>
      </c>
      <c r="W1866" s="1"/>
      <c r="X1866" s="1" t="s">
        <v>1152</v>
      </c>
      <c r="Y1866" s="1" t="s">
        <v>1152</v>
      </c>
      <c r="Z1866" s="1"/>
      <c r="AA1866" s="1"/>
      <c r="AB1866" s="1"/>
      <c r="AC1866" s="1" t="s">
        <v>1925</v>
      </c>
      <c r="AD1866" s="1"/>
      <c r="AE1866" s="18">
        <v>46147.0</v>
      </c>
      <c r="AF1866" s="1" t="s">
        <v>1030</v>
      </c>
      <c r="AG1866" s="1" t="s">
        <v>52</v>
      </c>
      <c r="AH1866" s="1" t="s">
        <v>9231</v>
      </c>
      <c r="AI1866" s="1"/>
      <c r="AJ1866" s="1" t="s">
        <v>9232</v>
      </c>
      <c r="AK1866" s="1" t="s">
        <v>1152</v>
      </c>
      <c r="AL1866" s="6" t="str">
        <f t="array" ref="AL1866">IFERROR(IFS(XLOOKUP(B1866, 'Kit Delivery Status'!$U:$U, 'Kit Delivery Status'!$K:$K) = "Complete", "DELIVERED", XLOOKUP(B1866, 'Kit Delivery Status'!$U:$U, 'Kit Delivery Status'!$K:$K) = "Issue", "ISSUE"), "")</f>
        <v/>
      </c>
      <c r="AM1866" s="6"/>
    </row>
    <row r="1867">
      <c r="A1867" s="5" t="s">
        <v>9229</v>
      </c>
      <c r="B1867" s="1" t="s">
        <v>9230</v>
      </c>
      <c r="C1867" s="1" t="s">
        <v>967</v>
      </c>
      <c r="D1867" s="2"/>
      <c r="E1867" s="1" t="s">
        <v>969</v>
      </c>
      <c r="F1867" s="1"/>
      <c r="G1867" s="1" t="s">
        <v>971</v>
      </c>
      <c r="H1867" s="1" t="s">
        <v>751</v>
      </c>
      <c r="I1867" s="1">
        <v>11050.0</v>
      </c>
      <c r="J1867" s="1" t="s">
        <v>752</v>
      </c>
      <c r="K1867" s="1" t="s">
        <v>42</v>
      </c>
      <c r="L1867" s="1" t="s">
        <v>6819</v>
      </c>
      <c r="M1867" s="1">
        <v>49.0</v>
      </c>
      <c r="N1867" s="1" t="s">
        <v>1152</v>
      </c>
      <c r="O1867" s="3" t="s">
        <v>972</v>
      </c>
      <c r="P1867" s="1" t="s">
        <v>1152</v>
      </c>
      <c r="Q1867" s="1" t="s">
        <v>1152</v>
      </c>
      <c r="R1867" s="1"/>
      <c r="S1867" s="1"/>
      <c r="T1867" s="1" t="s">
        <v>1152</v>
      </c>
      <c r="U1867" s="1" t="s">
        <v>1133</v>
      </c>
      <c r="V1867" s="4" t="s">
        <v>972</v>
      </c>
      <c r="W1867" s="1"/>
      <c r="X1867" s="1" t="s">
        <v>1152</v>
      </c>
      <c r="Y1867" s="1" t="s">
        <v>1152</v>
      </c>
      <c r="Z1867" s="1"/>
      <c r="AA1867" s="1"/>
      <c r="AB1867" s="1"/>
      <c r="AC1867" s="1" t="s">
        <v>1925</v>
      </c>
      <c r="AD1867" s="1"/>
      <c r="AE1867" s="18">
        <v>46148.0</v>
      </c>
      <c r="AF1867" s="1" t="s">
        <v>1030</v>
      </c>
      <c r="AG1867" s="1" t="s">
        <v>52</v>
      </c>
      <c r="AH1867" s="1" t="s">
        <v>1152</v>
      </c>
      <c r="AI1867" s="1"/>
      <c r="AJ1867" s="1" t="s">
        <v>9232</v>
      </c>
      <c r="AK1867" s="1" t="s">
        <v>1152</v>
      </c>
      <c r="AL1867" s="6" t="str">
        <f t="array" ref="AL1867">IFERROR(IFS(XLOOKUP(B1867, 'Kit Delivery Status'!$U:$U, 'Kit Delivery Status'!$K:$K) = "Complete", "DELIVERED", XLOOKUP(B1867, 'Kit Delivery Status'!$U:$U, 'Kit Delivery Status'!$K:$K) = "Issue", "ISSUE"), "")</f>
        <v/>
      </c>
      <c r="AM1867" s="6"/>
    </row>
    <row r="1868">
      <c r="A1868" s="5" t="s">
        <v>9233</v>
      </c>
      <c r="B1868" s="1" t="s">
        <v>9234</v>
      </c>
      <c r="C1868" s="1"/>
      <c r="D1868" s="2">
        <v>1.054911922E9</v>
      </c>
      <c r="E1868" s="1" t="s">
        <v>852</v>
      </c>
      <c r="F1868" s="1"/>
      <c r="G1868" s="1" t="s">
        <v>1964</v>
      </c>
      <c r="H1868" s="1" t="s">
        <v>1964</v>
      </c>
      <c r="I1868" s="1">
        <v>6292.0</v>
      </c>
      <c r="J1868" s="1" t="s">
        <v>1965</v>
      </c>
      <c r="K1868" s="1" t="s">
        <v>42</v>
      </c>
      <c r="L1868" s="1" t="s">
        <v>6819</v>
      </c>
      <c r="M1868" s="1">
        <v>49.0</v>
      </c>
      <c r="N1868" s="1" t="s">
        <v>1152</v>
      </c>
      <c r="O1868" s="3" t="s">
        <v>9235</v>
      </c>
      <c r="P1868" s="1" t="s">
        <v>1152</v>
      </c>
      <c r="Q1868" s="1" t="s">
        <v>1152</v>
      </c>
      <c r="R1868" s="1"/>
      <c r="S1868" s="1"/>
      <c r="T1868" s="1" t="s">
        <v>1152</v>
      </c>
      <c r="U1868" s="1" t="s">
        <v>1065</v>
      </c>
      <c r="V1868" s="4" t="s">
        <v>9235</v>
      </c>
      <c r="W1868" s="1"/>
      <c r="X1868" s="1" t="s">
        <v>1152</v>
      </c>
      <c r="Y1868" s="1" t="s">
        <v>1152</v>
      </c>
      <c r="Z1868" s="1"/>
      <c r="AA1868" s="1"/>
      <c r="AB1868" s="1"/>
      <c r="AC1868" s="1" t="s">
        <v>1925</v>
      </c>
      <c r="AD1868" s="1"/>
      <c r="AE1868" s="18">
        <v>46146.0</v>
      </c>
      <c r="AF1868" s="1" t="s">
        <v>1030</v>
      </c>
      <c r="AG1868" s="1" t="s">
        <v>52</v>
      </c>
      <c r="AH1868" s="1" t="s">
        <v>1152</v>
      </c>
      <c r="AI1868" s="1"/>
      <c r="AJ1868" s="1" t="s">
        <v>9236</v>
      </c>
      <c r="AK1868" s="1" t="s">
        <v>1152</v>
      </c>
      <c r="AL1868" s="6" t="str">
        <f t="array" ref="AL1868">IFERROR(IFS(XLOOKUP(B1868, 'Kit Delivery Status'!$U:$U, 'Kit Delivery Status'!$K:$K) = "Complete", "DELIVERED", XLOOKUP(B1868, 'Kit Delivery Status'!$U:$U, 'Kit Delivery Status'!$K:$K) = "Issue", "ISSUE"), "")</f>
        <v/>
      </c>
      <c r="AM1868" s="6"/>
    </row>
    <row r="1869">
      <c r="A1869" s="5" t="s">
        <v>9237</v>
      </c>
      <c r="B1869" s="1" t="s">
        <v>9238</v>
      </c>
      <c r="C1869" s="1" t="s">
        <v>9239</v>
      </c>
      <c r="D1869" s="2" t="s">
        <v>9240</v>
      </c>
      <c r="E1869" s="1" t="s">
        <v>9241</v>
      </c>
      <c r="F1869" s="1"/>
      <c r="G1869" s="1" t="s">
        <v>4744</v>
      </c>
      <c r="H1869" s="1" t="s">
        <v>1583</v>
      </c>
      <c r="I1869" s="1">
        <v>75078.0</v>
      </c>
      <c r="J1869" s="1" t="s">
        <v>752</v>
      </c>
      <c r="K1869" s="1" t="s">
        <v>42</v>
      </c>
      <c r="L1869" s="1" t="s">
        <v>6819</v>
      </c>
      <c r="M1869" s="1">
        <v>49.0</v>
      </c>
      <c r="N1869" s="1" t="s">
        <v>1152</v>
      </c>
      <c r="O1869" s="3" t="s">
        <v>9242</v>
      </c>
      <c r="P1869" s="1" t="s">
        <v>1152</v>
      </c>
      <c r="Q1869" s="1" t="s">
        <v>1152</v>
      </c>
      <c r="R1869" s="1"/>
      <c r="S1869" s="1"/>
      <c r="T1869" s="1" t="s">
        <v>1152</v>
      </c>
      <c r="U1869" s="1" t="s">
        <v>1828</v>
      </c>
      <c r="V1869" s="4" t="s">
        <v>9242</v>
      </c>
      <c r="W1869" s="1"/>
      <c r="X1869" s="1" t="s">
        <v>1152</v>
      </c>
      <c r="Y1869" s="1" t="s">
        <v>1152</v>
      </c>
      <c r="Z1869" s="1"/>
      <c r="AA1869" s="1"/>
      <c r="AB1869" s="1"/>
      <c r="AC1869" s="1" t="s">
        <v>1925</v>
      </c>
      <c r="AD1869" s="1"/>
      <c r="AE1869" s="18">
        <v>46147.0</v>
      </c>
      <c r="AF1869" s="1" t="s">
        <v>1630</v>
      </c>
      <c r="AG1869" s="1" t="s">
        <v>52</v>
      </c>
      <c r="AH1869" s="1" t="s">
        <v>1152</v>
      </c>
      <c r="AI1869" s="1"/>
      <c r="AJ1869" s="1" t="s">
        <v>9243</v>
      </c>
      <c r="AK1869" s="1" t="s">
        <v>1152</v>
      </c>
      <c r="AL1869" s="6" t="str">
        <f t="array" ref="AL1869">IFERROR(IFS(XLOOKUP(B1869, 'Kit Delivery Status'!$U:$U, 'Kit Delivery Status'!$K:$K) = "Complete", "DELIVERED", XLOOKUP(B1869, 'Kit Delivery Status'!$U:$U, 'Kit Delivery Status'!$K:$K) = "Issue", "ISSUE"), "")</f>
        <v/>
      </c>
      <c r="AM1869" s="6"/>
    </row>
    <row r="1870">
      <c r="A1870" s="5" t="s">
        <v>9244</v>
      </c>
      <c r="B1870" s="1" t="s">
        <v>9245</v>
      </c>
      <c r="C1870" s="1" t="s">
        <v>9246</v>
      </c>
      <c r="D1870" s="2">
        <v>5.617891135E9</v>
      </c>
      <c r="E1870" s="1" t="s">
        <v>9247</v>
      </c>
      <c r="F1870" s="1"/>
      <c r="G1870" s="1" t="s">
        <v>1499</v>
      </c>
      <c r="H1870" s="1" t="s">
        <v>751</v>
      </c>
      <c r="I1870" s="1">
        <v>11576.0</v>
      </c>
      <c r="J1870" s="1" t="s">
        <v>752</v>
      </c>
      <c r="K1870" s="1" t="s">
        <v>95</v>
      </c>
      <c r="L1870" s="1" t="s">
        <v>5820</v>
      </c>
      <c r="M1870" s="1">
        <v>49.0</v>
      </c>
      <c r="N1870" s="1" t="s">
        <v>2461</v>
      </c>
      <c r="O1870" s="3" t="s">
        <v>103</v>
      </c>
      <c r="P1870" s="18">
        <v>46248.0</v>
      </c>
      <c r="Q1870" s="1" t="s">
        <v>2463</v>
      </c>
      <c r="R1870" s="1"/>
      <c r="S1870" s="1" t="s">
        <v>52</v>
      </c>
      <c r="T1870" s="1" t="s">
        <v>2461</v>
      </c>
      <c r="U1870" s="1" t="s">
        <v>102</v>
      </c>
      <c r="V1870" s="4" t="s">
        <v>103</v>
      </c>
      <c r="W1870" s="1"/>
      <c r="X1870" s="18">
        <v>46248.0</v>
      </c>
      <c r="Y1870" s="1" t="s">
        <v>2463</v>
      </c>
      <c r="Z1870" s="1"/>
      <c r="AA1870" s="1"/>
      <c r="AB1870" s="1" t="s">
        <v>52</v>
      </c>
      <c r="AC1870" s="1" t="s">
        <v>9248</v>
      </c>
      <c r="AD1870" s="1"/>
      <c r="AE1870" s="1" t="s">
        <v>1152</v>
      </c>
      <c r="AF1870" s="1"/>
      <c r="AG1870" s="1"/>
      <c r="AH1870" s="1" t="s">
        <v>1152</v>
      </c>
      <c r="AI1870" s="1"/>
      <c r="AJ1870" s="1" t="s">
        <v>9249</v>
      </c>
      <c r="AK1870" s="1" t="s">
        <v>1152</v>
      </c>
      <c r="AL1870" s="6" t="str">
        <f t="array" ref="AL1870">IFERROR(IFS(XLOOKUP(B1870, 'Kit Delivery Status'!$U:$U, 'Kit Delivery Status'!$K:$K) = "Complete", "DELIVERED", XLOOKUP(B1870, 'Kit Delivery Status'!$U:$U, 'Kit Delivery Status'!$K:$K) = "Issue", "ISSUE"), "")</f>
        <v/>
      </c>
      <c r="AM1870" s="6"/>
    </row>
    <row r="1871">
      <c r="A1871" s="5" t="s">
        <v>9250</v>
      </c>
      <c r="B1871" s="1" t="s">
        <v>9251</v>
      </c>
      <c r="C1871" s="1"/>
      <c r="D1871" s="2">
        <v>9.095186068E9</v>
      </c>
      <c r="E1871" s="1" t="s">
        <v>9252</v>
      </c>
      <c r="F1871" s="1"/>
      <c r="G1871" s="1" t="s">
        <v>9253</v>
      </c>
      <c r="H1871" s="1" t="s">
        <v>989</v>
      </c>
      <c r="I1871" s="1">
        <v>91773.0</v>
      </c>
      <c r="J1871" s="1" t="s">
        <v>752</v>
      </c>
      <c r="K1871" s="1" t="s">
        <v>42</v>
      </c>
      <c r="L1871" s="1" t="s">
        <v>6819</v>
      </c>
      <c r="M1871" s="1">
        <v>49.0</v>
      </c>
      <c r="N1871" s="1" t="s">
        <v>1152</v>
      </c>
      <c r="O1871" s="3" t="s">
        <v>4502</v>
      </c>
      <c r="P1871" s="1" t="s">
        <v>1152</v>
      </c>
      <c r="Q1871" s="1" t="s">
        <v>1152</v>
      </c>
      <c r="R1871" s="1"/>
      <c r="S1871" s="1"/>
      <c r="T1871" s="1" t="s">
        <v>1152</v>
      </c>
      <c r="U1871" s="1" t="s">
        <v>1441</v>
      </c>
      <c r="V1871" s="4" t="s">
        <v>4502</v>
      </c>
      <c r="W1871" s="1"/>
      <c r="X1871" s="1" t="s">
        <v>1152</v>
      </c>
      <c r="Y1871" s="1" t="s">
        <v>1152</v>
      </c>
      <c r="Z1871" s="1"/>
      <c r="AA1871" s="1"/>
      <c r="AB1871" s="1"/>
      <c r="AC1871" s="1" t="s">
        <v>1925</v>
      </c>
      <c r="AD1871" s="1"/>
      <c r="AE1871" s="18">
        <v>46150.0</v>
      </c>
      <c r="AF1871" s="1" t="s">
        <v>1030</v>
      </c>
      <c r="AG1871" s="1" t="s">
        <v>52</v>
      </c>
      <c r="AH1871" s="1" t="s">
        <v>1152</v>
      </c>
      <c r="AI1871" s="1"/>
      <c r="AJ1871" s="1" t="s">
        <v>9252</v>
      </c>
      <c r="AK1871" s="1" t="s">
        <v>1152</v>
      </c>
      <c r="AL1871" s="6" t="str">
        <f t="array" ref="AL1871">IFERROR(IFS(XLOOKUP(B1871, 'Kit Delivery Status'!$U:$U, 'Kit Delivery Status'!$K:$K) = "Complete", "DELIVERED", XLOOKUP(B1871, 'Kit Delivery Status'!$U:$U, 'Kit Delivery Status'!$K:$K) = "Issue", "ISSUE"), "")</f>
        <v/>
      </c>
      <c r="AM1871" s="6"/>
    </row>
    <row r="1872">
      <c r="A1872" s="5" t="s">
        <v>9254</v>
      </c>
      <c r="B1872" s="1" t="s">
        <v>9255</v>
      </c>
      <c r="C1872" s="1" t="s">
        <v>7964</v>
      </c>
      <c r="D1872" s="2">
        <v>9.177330027E9</v>
      </c>
      <c r="E1872" s="1" t="s">
        <v>589</v>
      </c>
      <c r="F1872" s="1"/>
      <c r="G1872" s="1" t="s">
        <v>751</v>
      </c>
      <c r="H1872" s="1" t="s">
        <v>751</v>
      </c>
      <c r="I1872" s="1">
        <v>10024.0</v>
      </c>
      <c r="J1872" s="1" t="s">
        <v>752</v>
      </c>
      <c r="K1872" s="1" t="s">
        <v>42</v>
      </c>
      <c r="L1872" s="1" t="s">
        <v>6819</v>
      </c>
      <c r="M1872" s="1">
        <v>49.0</v>
      </c>
      <c r="N1872" s="1" t="s">
        <v>1152</v>
      </c>
      <c r="O1872" s="3" t="s">
        <v>9256</v>
      </c>
      <c r="P1872" s="1" t="s">
        <v>1152</v>
      </c>
      <c r="Q1872" s="1" t="s">
        <v>1152</v>
      </c>
      <c r="R1872" s="1"/>
      <c r="S1872" s="1"/>
      <c r="T1872" s="1" t="s">
        <v>1152</v>
      </c>
      <c r="U1872" s="1" t="s">
        <v>1277</v>
      </c>
      <c r="V1872" s="4" t="s">
        <v>9256</v>
      </c>
      <c r="W1872" s="1"/>
      <c r="X1872" s="1" t="s">
        <v>1152</v>
      </c>
      <c r="Y1872" s="1" t="s">
        <v>1152</v>
      </c>
      <c r="Z1872" s="1"/>
      <c r="AA1872" s="1"/>
      <c r="AB1872" s="1"/>
      <c r="AC1872" s="1" t="s">
        <v>1925</v>
      </c>
      <c r="AD1872" s="1"/>
      <c r="AE1872" s="18">
        <v>46148.0</v>
      </c>
      <c r="AF1872" s="1" t="s">
        <v>1030</v>
      </c>
      <c r="AG1872" s="1" t="s">
        <v>52</v>
      </c>
      <c r="AH1872" s="1" t="s">
        <v>1152</v>
      </c>
      <c r="AI1872" s="1"/>
      <c r="AJ1872" s="1" t="s">
        <v>9257</v>
      </c>
      <c r="AK1872" s="1" t="s">
        <v>1152</v>
      </c>
      <c r="AL1872" s="6" t="str">
        <f t="array" ref="AL1872">IFERROR(IFS(XLOOKUP(B1872, 'Kit Delivery Status'!$U:$U, 'Kit Delivery Status'!$K:$K) = "Complete", "DELIVERED", XLOOKUP(B1872, 'Kit Delivery Status'!$U:$U, 'Kit Delivery Status'!$K:$K) = "Issue", "ISSUE"), "")</f>
        <v/>
      </c>
      <c r="AM1872" s="6"/>
    </row>
    <row r="1873">
      <c r="A1873" s="5" t="s">
        <v>9258</v>
      </c>
      <c r="B1873" s="1" t="s">
        <v>9259</v>
      </c>
      <c r="C1873" s="1" t="s">
        <v>9260</v>
      </c>
      <c r="D1873" s="2">
        <v>9.175533135E9</v>
      </c>
      <c r="E1873" s="1" t="s">
        <v>6422</v>
      </c>
      <c r="F1873" s="1"/>
      <c r="G1873" s="1" t="s">
        <v>1283</v>
      </c>
      <c r="H1873" s="1" t="s">
        <v>1155</v>
      </c>
      <c r="I1873" s="1">
        <v>63130.0</v>
      </c>
      <c r="J1873" s="1" t="s">
        <v>752</v>
      </c>
      <c r="K1873" s="1" t="s">
        <v>42</v>
      </c>
      <c r="L1873" s="1" t="s">
        <v>7863</v>
      </c>
      <c r="M1873" s="1">
        <v>79.0</v>
      </c>
      <c r="N1873" s="1" t="s">
        <v>1152</v>
      </c>
      <c r="O1873" s="3" t="s">
        <v>9261</v>
      </c>
      <c r="P1873" s="1" t="s">
        <v>1152</v>
      </c>
      <c r="Q1873" s="1" t="s">
        <v>1152</v>
      </c>
      <c r="R1873" s="1"/>
      <c r="S1873" s="1"/>
      <c r="T1873" s="1" t="s">
        <v>1152</v>
      </c>
      <c r="U1873" s="1" t="s">
        <v>2430</v>
      </c>
      <c r="V1873" s="4" t="s">
        <v>9261</v>
      </c>
      <c r="W1873" s="1"/>
      <c r="X1873" s="1" t="s">
        <v>1152</v>
      </c>
      <c r="Y1873" s="1" t="s">
        <v>1152</v>
      </c>
      <c r="Z1873" s="1"/>
      <c r="AA1873" s="1"/>
      <c r="AB1873" s="1"/>
      <c r="AC1873" s="1" t="s">
        <v>1925</v>
      </c>
      <c r="AD1873" s="1"/>
      <c r="AE1873" s="18">
        <v>46146.0</v>
      </c>
      <c r="AF1873" s="1" t="s">
        <v>1030</v>
      </c>
      <c r="AG1873" s="1" t="s">
        <v>52</v>
      </c>
      <c r="AH1873" s="1" t="s">
        <v>1152</v>
      </c>
      <c r="AI1873" s="1"/>
      <c r="AJ1873" s="1" t="s">
        <v>6422</v>
      </c>
      <c r="AK1873" s="1" t="s">
        <v>1152</v>
      </c>
      <c r="AL1873" s="6" t="str">
        <f t="array" ref="AL1873">IFERROR(IFS(XLOOKUP(B1873, 'Kit Delivery Status'!$U:$U, 'Kit Delivery Status'!$K:$K) = "Complete", "DELIVERED", XLOOKUP(B1873, 'Kit Delivery Status'!$U:$U, 'Kit Delivery Status'!$K:$K) = "Issue", "ISSUE"), "")</f>
        <v/>
      </c>
      <c r="AM1873" s="6"/>
    </row>
    <row r="1874">
      <c r="A1874" s="5" t="s">
        <v>9262</v>
      </c>
      <c r="B1874" s="1" t="s">
        <v>9263</v>
      </c>
      <c r="C1874" s="1"/>
      <c r="D1874" s="2">
        <v>3.012761373E9</v>
      </c>
      <c r="E1874" s="1" t="s">
        <v>5900</v>
      </c>
      <c r="F1874" s="1"/>
      <c r="G1874" s="1" t="s">
        <v>4669</v>
      </c>
      <c r="H1874" s="1" t="s">
        <v>1005</v>
      </c>
      <c r="I1874" s="1">
        <v>20815.0</v>
      </c>
      <c r="J1874" s="1" t="s">
        <v>752</v>
      </c>
      <c r="K1874" s="1" t="s">
        <v>42</v>
      </c>
      <c r="L1874" s="1" t="s">
        <v>8393</v>
      </c>
      <c r="M1874" s="1">
        <v>109.0</v>
      </c>
      <c r="N1874" s="1" t="s">
        <v>1152</v>
      </c>
      <c r="O1874" s="3" t="s">
        <v>5233</v>
      </c>
      <c r="P1874" s="1" t="s">
        <v>1152</v>
      </c>
      <c r="Q1874" s="1" t="s">
        <v>1152</v>
      </c>
      <c r="R1874" s="1"/>
      <c r="S1874" s="1"/>
      <c r="T1874" s="1" t="s">
        <v>1152</v>
      </c>
      <c r="U1874" s="1" t="s">
        <v>1399</v>
      </c>
      <c r="V1874" s="4" t="s">
        <v>5233</v>
      </c>
      <c r="W1874" s="1"/>
      <c r="X1874" s="1" t="s">
        <v>1152</v>
      </c>
      <c r="Y1874" s="1" t="s">
        <v>1152</v>
      </c>
      <c r="Z1874" s="1"/>
      <c r="AA1874" s="1"/>
      <c r="AB1874" s="1"/>
      <c r="AC1874" s="1" t="s">
        <v>1925</v>
      </c>
      <c r="AD1874" s="1"/>
      <c r="AE1874" s="18">
        <v>46146.0</v>
      </c>
      <c r="AF1874" s="1" t="s">
        <v>1349</v>
      </c>
      <c r="AG1874" s="1" t="s">
        <v>52</v>
      </c>
      <c r="AH1874" s="1" t="s">
        <v>1152</v>
      </c>
      <c r="AI1874" s="1"/>
      <c r="AJ1874" s="1" t="s">
        <v>5900</v>
      </c>
      <c r="AK1874" s="1" t="s">
        <v>1152</v>
      </c>
      <c r="AL1874" s="6" t="str">
        <f t="array" ref="AL1874">IFERROR(IFS(XLOOKUP(B1874, 'Kit Delivery Status'!$U:$U, 'Kit Delivery Status'!$K:$K) = "Complete", "DELIVERED", XLOOKUP(B1874, 'Kit Delivery Status'!$U:$U, 'Kit Delivery Status'!$K:$K) = "Issue", "ISSUE"), "")</f>
        <v/>
      </c>
      <c r="AM1874" s="6"/>
    </row>
    <row r="1875">
      <c r="A1875" s="5" t="s">
        <v>9264</v>
      </c>
      <c r="B1875" s="1" t="s">
        <v>9265</v>
      </c>
      <c r="C1875" s="1" t="s">
        <v>6167</v>
      </c>
      <c r="D1875" s="2"/>
      <c r="E1875" s="1" t="s">
        <v>6168</v>
      </c>
      <c r="F1875" s="1"/>
      <c r="G1875" s="1" t="s">
        <v>6169</v>
      </c>
      <c r="H1875" s="1" t="s">
        <v>1121</v>
      </c>
      <c r="I1875" s="1">
        <v>1730.0</v>
      </c>
      <c r="J1875" s="1" t="s">
        <v>752</v>
      </c>
      <c r="K1875" s="1" t="s">
        <v>2131</v>
      </c>
      <c r="L1875" s="1" t="s">
        <v>5767</v>
      </c>
      <c r="M1875" s="1">
        <v>1.0</v>
      </c>
      <c r="N1875" s="1" t="s">
        <v>1152</v>
      </c>
      <c r="O1875" s="3" t="s">
        <v>8109</v>
      </c>
      <c r="P1875" s="1" t="s">
        <v>1152</v>
      </c>
      <c r="Q1875" s="1" t="s">
        <v>1152</v>
      </c>
      <c r="R1875" s="1"/>
      <c r="S1875" s="1"/>
      <c r="T1875" s="1" t="s">
        <v>1152</v>
      </c>
      <c r="U1875" s="1" t="s">
        <v>2430</v>
      </c>
      <c r="V1875" s="4" t="s">
        <v>8109</v>
      </c>
      <c r="W1875" s="1"/>
      <c r="X1875" s="1" t="s">
        <v>1152</v>
      </c>
      <c r="Y1875" s="1" t="s">
        <v>1152</v>
      </c>
      <c r="Z1875" s="1"/>
      <c r="AA1875" s="1"/>
      <c r="AB1875" s="1"/>
      <c r="AC1875" s="1" t="s">
        <v>1925</v>
      </c>
      <c r="AD1875" s="1"/>
      <c r="AE1875" s="18">
        <v>46116.0</v>
      </c>
      <c r="AF1875" s="1"/>
      <c r="AG1875" s="1"/>
      <c r="AH1875" s="1" t="s">
        <v>1152</v>
      </c>
      <c r="AI1875" s="1"/>
      <c r="AJ1875" s="1" t="s">
        <v>6168</v>
      </c>
      <c r="AK1875" s="1" t="s">
        <v>1152</v>
      </c>
      <c r="AL1875" s="6" t="str">
        <f t="array" ref="AL1875">IFERROR(IFS(XLOOKUP(B1875, 'Kit Delivery Status'!$U:$U, 'Kit Delivery Status'!$K:$K) = "Complete", "DELIVERED", XLOOKUP(B1875, 'Kit Delivery Status'!$U:$U, 'Kit Delivery Status'!$K:$K) = "Issue", "ISSUE"), "")</f>
        <v/>
      </c>
      <c r="AM1875" s="6"/>
    </row>
    <row r="1876">
      <c r="A1876" s="5" t="s">
        <v>9266</v>
      </c>
      <c r="B1876" s="1" t="s">
        <v>9267</v>
      </c>
      <c r="C1876" s="1"/>
      <c r="D1876" s="2"/>
      <c r="E1876" s="1" t="s">
        <v>9268</v>
      </c>
      <c r="F1876" s="1"/>
      <c r="G1876" s="1" t="s">
        <v>2769</v>
      </c>
      <c r="H1876" s="1" t="s">
        <v>1208</v>
      </c>
      <c r="I1876" s="1">
        <v>33027.0</v>
      </c>
      <c r="J1876" s="1" t="s">
        <v>752</v>
      </c>
      <c r="K1876" s="1" t="s">
        <v>42</v>
      </c>
      <c r="L1876" s="1" t="s">
        <v>6819</v>
      </c>
      <c r="M1876" s="1">
        <v>49.0</v>
      </c>
      <c r="N1876" s="1" t="s">
        <v>1152</v>
      </c>
      <c r="O1876" s="3" t="s">
        <v>270</v>
      </c>
      <c r="P1876" s="1" t="s">
        <v>1152</v>
      </c>
      <c r="Q1876" s="1" t="s">
        <v>1152</v>
      </c>
      <c r="R1876" s="1"/>
      <c r="S1876" s="1"/>
      <c r="T1876" s="1" t="s">
        <v>1152</v>
      </c>
      <c r="U1876" s="1" t="s">
        <v>1080</v>
      </c>
      <c r="V1876" s="4" t="s">
        <v>270</v>
      </c>
      <c r="W1876" s="1"/>
      <c r="X1876" s="1" t="s">
        <v>1152</v>
      </c>
      <c r="Y1876" s="1" t="s">
        <v>1152</v>
      </c>
      <c r="Z1876" s="1"/>
      <c r="AA1876" s="1"/>
      <c r="AB1876" s="1"/>
      <c r="AC1876" s="1" t="s">
        <v>1925</v>
      </c>
      <c r="AD1876" s="1"/>
      <c r="AE1876" s="18">
        <v>46149.0</v>
      </c>
      <c r="AF1876" s="1" t="s">
        <v>1030</v>
      </c>
      <c r="AG1876" s="1" t="s">
        <v>52</v>
      </c>
      <c r="AH1876" s="1" t="s">
        <v>1152</v>
      </c>
      <c r="AI1876" s="1"/>
      <c r="AJ1876" s="1" t="s">
        <v>9268</v>
      </c>
      <c r="AK1876" s="1" t="s">
        <v>1152</v>
      </c>
      <c r="AL1876" s="6" t="str">
        <f t="array" ref="AL1876">IFERROR(IFS(XLOOKUP(B1876, 'Kit Delivery Status'!$U:$U, 'Kit Delivery Status'!$K:$K) = "Complete", "DELIVERED", XLOOKUP(B1876, 'Kit Delivery Status'!$U:$U, 'Kit Delivery Status'!$K:$K) = "Issue", "ISSUE"), "")</f>
        <v/>
      </c>
      <c r="AM1876" s="6"/>
    </row>
    <row r="1877">
      <c r="A1877" s="5" t="s">
        <v>9269</v>
      </c>
      <c r="B1877" s="1" t="s">
        <v>9270</v>
      </c>
      <c r="C1877" s="1" t="s">
        <v>9271</v>
      </c>
      <c r="D1877" s="2">
        <v>3.045332912E9</v>
      </c>
      <c r="E1877" s="1" t="s">
        <v>9272</v>
      </c>
      <c r="F1877" s="1"/>
      <c r="G1877" s="1" t="s">
        <v>9273</v>
      </c>
      <c r="H1877" s="1" t="s">
        <v>1038</v>
      </c>
      <c r="I1877" s="1">
        <v>23456.0</v>
      </c>
      <c r="J1877" s="1" t="s">
        <v>752</v>
      </c>
      <c r="K1877" s="1" t="s">
        <v>42</v>
      </c>
      <c r="L1877" s="1" t="s">
        <v>6819</v>
      </c>
      <c r="M1877" s="1">
        <v>49.0</v>
      </c>
      <c r="N1877" s="1" t="s">
        <v>1152</v>
      </c>
      <c r="O1877" s="3" t="s">
        <v>9099</v>
      </c>
      <c r="P1877" s="1" t="s">
        <v>1152</v>
      </c>
      <c r="Q1877" s="1" t="s">
        <v>1152</v>
      </c>
      <c r="R1877" s="1"/>
      <c r="S1877" s="1"/>
      <c r="T1877" s="1" t="s">
        <v>1152</v>
      </c>
      <c r="U1877" s="1" t="s">
        <v>1080</v>
      </c>
      <c r="V1877" s="4" t="s">
        <v>9099</v>
      </c>
      <c r="W1877" s="1"/>
      <c r="X1877" s="1" t="s">
        <v>1152</v>
      </c>
      <c r="Y1877" s="1" t="s">
        <v>1152</v>
      </c>
      <c r="Z1877" s="1"/>
      <c r="AA1877" s="1"/>
      <c r="AB1877" s="1"/>
      <c r="AC1877" s="1" t="s">
        <v>1925</v>
      </c>
      <c r="AD1877" s="1"/>
      <c r="AE1877" s="18">
        <v>46144.0</v>
      </c>
      <c r="AF1877" s="1" t="s">
        <v>3186</v>
      </c>
      <c r="AG1877" s="1" t="s">
        <v>52</v>
      </c>
      <c r="AH1877" s="1" t="s">
        <v>1152</v>
      </c>
      <c r="AI1877" s="1"/>
      <c r="AJ1877" s="1" t="s">
        <v>9272</v>
      </c>
      <c r="AK1877" s="1" t="s">
        <v>1152</v>
      </c>
      <c r="AL1877" s="6" t="str">
        <f t="array" ref="AL1877">IFERROR(IFS(XLOOKUP(B1877, 'Kit Delivery Status'!$U:$U, 'Kit Delivery Status'!$K:$K) = "Complete", "DELIVERED", XLOOKUP(B1877, 'Kit Delivery Status'!$U:$U, 'Kit Delivery Status'!$K:$K) = "Issue", "ISSUE"), "")</f>
        <v/>
      </c>
      <c r="AM1877" s="6"/>
    </row>
    <row r="1878">
      <c r="A1878" s="5" t="s">
        <v>9274</v>
      </c>
      <c r="B1878" s="1" t="s">
        <v>9275</v>
      </c>
      <c r="C1878" s="1" t="s">
        <v>319</v>
      </c>
      <c r="D1878" s="2">
        <v>1.6174547962E10</v>
      </c>
      <c r="E1878" s="1" t="s">
        <v>321</v>
      </c>
      <c r="F1878" s="1"/>
      <c r="G1878" s="1" t="s">
        <v>3171</v>
      </c>
      <c r="H1878" s="1" t="s">
        <v>1121</v>
      </c>
      <c r="I1878" s="1" t="s">
        <v>9276</v>
      </c>
      <c r="J1878" s="1" t="s">
        <v>752</v>
      </c>
      <c r="K1878" s="1" t="s">
        <v>42</v>
      </c>
      <c r="L1878" s="1" t="s">
        <v>6819</v>
      </c>
      <c r="M1878" s="1">
        <v>49.0</v>
      </c>
      <c r="N1878" s="1" t="s">
        <v>1152</v>
      </c>
      <c r="O1878" s="3" t="s">
        <v>323</v>
      </c>
      <c r="P1878" s="1" t="s">
        <v>1152</v>
      </c>
      <c r="Q1878" s="1" t="s">
        <v>1152</v>
      </c>
      <c r="R1878" s="1"/>
      <c r="S1878" s="1"/>
      <c r="T1878" s="1" t="s">
        <v>1152</v>
      </c>
      <c r="U1878" s="1" t="s">
        <v>956</v>
      </c>
      <c r="V1878" s="4" t="s">
        <v>323</v>
      </c>
      <c r="W1878" s="1"/>
      <c r="X1878" s="1" t="s">
        <v>1152</v>
      </c>
      <c r="Y1878" s="1" t="s">
        <v>1152</v>
      </c>
      <c r="Z1878" s="1"/>
      <c r="AA1878" s="1"/>
      <c r="AB1878" s="1"/>
      <c r="AC1878" s="1" t="s">
        <v>1925</v>
      </c>
      <c r="AD1878" s="1"/>
      <c r="AE1878" s="18">
        <v>46147.0</v>
      </c>
      <c r="AF1878" s="1" t="s">
        <v>1440</v>
      </c>
      <c r="AG1878" s="1" t="s">
        <v>52</v>
      </c>
      <c r="AH1878" s="1" t="s">
        <v>1152</v>
      </c>
      <c r="AI1878" s="1"/>
      <c r="AJ1878" s="1" t="s">
        <v>321</v>
      </c>
      <c r="AK1878" s="1" t="s">
        <v>1152</v>
      </c>
      <c r="AL1878" s="6" t="str">
        <f t="array" ref="AL1878">IFERROR(IFS(XLOOKUP(B1878, 'Kit Delivery Status'!$U:$U, 'Kit Delivery Status'!$K:$K) = "Complete", "DELIVERED", XLOOKUP(B1878, 'Kit Delivery Status'!$U:$U, 'Kit Delivery Status'!$K:$K) = "Issue", "ISSUE"), "")</f>
        <v/>
      </c>
      <c r="AM1878" s="6"/>
    </row>
    <row r="1879">
      <c r="A1879" s="5" t="s">
        <v>9277</v>
      </c>
      <c r="B1879" s="1" t="s">
        <v>9278</v>
      </c>
      <c r="C1879" s="1" t="s">
        <v>9279</v>
      </c>
      <c r="D1879" s="2">
        <v>3.104150928E9</v>
      </c>
      <c r="E1879" s="1" t="s">
        <v>6572</v>
      </c>
      <c r="F1879" s="1"/>
      <c r="G1879" s="1" t="s">
        <v>6573</v>
      </c>
      <c r="H1879" s="1" t="s">
        <v>989</v>
      </c>
      <c r="I1879" s="1">
        <v>94904.0</v>
      </c>
      <c r="J1879" s="1" t="s">
        <v>752</v>
      </c>
      <c r="K1879" s="1" t="s">
        <v>2131</v>
      </c>
      <c r="L1879" s="1" t="s">
        <v>5767</v>
      </c>
      <c r="M1879" s="1">
        <v>1.0</v>
      </c>
      <c r="N1879" s="1" t="s">
        <v>1152</v>
      </c>
      <c r="O1879" s="3" t="s">
        <v>418</v>
      </c>
      <c r="P1879" s="1" t="s">
        <v>1152</v>
      </c>
      <c r="Q1879" s="1" t="s">
        <v>1152</v>
      </c>
      <c r="R1879" s="1"/>
      <c r="S1879" s="1"/>
      <c r="T1879" s="1" t="s">
        <v>1152</v>
      </c>
      <c r="U1879" s="1" t="s">
        <v>1039</v>
      </c>
      <c r="V1879" s="4" t="s">
        <v>418</v>
      </c>
      <c r="W1879" s="1"/>
      <c r="X1879" s="1" t="s">
        <v>1152</v>
      </c>
      <c r="Y1879" s="1" t="s">
        <v>1152</v>
      </c>
      <c r="Z1879" s="1"/>
      <c r="AA1879" s="1"/>
      <c r="AB1879" s="1"/>
      <c r="AC1879" s="1" t="s">
        <v>1925</v>
      </c>
      <c r="AD1879" s="1"/>
      <c r="AE1879" s="18">
        <v>46148.0</v>
      </c>
      <c r="AF1879" s="1"/>
      <c r="AG1879" s="1"/>
      <c r="AH1879" s="1" t="s">
        <v>1152</v>
      </c>
      <c r="AI1879" s="1"/>
      <c r="AJ1879" s="1" t="s">
        <v>9280</v>
      </c>
      <c r="AK1879" s="1" t="s">
        <v>1152</v>
      </c>
      <c r="AL1879" s="6" t="str">
        <f t="array" ref="AL1879">IFERROR(IFS(XLOOKUP(B1879, 'Kit Delivery Status'!$U:$U, 'Kit Delivery Status'!$K:$K) = "Complete", "DELIVERED", XLOOKUP(B1879, 'Kit Delivery Status'!$U:$U, 'Kit Delivery Status'!$K:$K) = "Issue", "ISSUE"), "")</f>
        <v/>
      </c>
      <c r="AM1879" s="6"/>
    </row>
    <row r="1880">
      <c r="A1880" s="5" t="s">
        <v>9277</v>
      </c>
      <c r="B1880" s="1" t="s">
        <v>9278</v>
      </c>
      <c r="C1880" s="1" t="s">
        <v>9279</v>
      </c>
      <c r="D1880" s="2">
        <v>3.104150928E9</v>
      </c>
      <c r="E1880" s="1" t="s">
        <v>6572</v>
      </c>
      <c r="F1880" s="1"/>
      <c r="G1880" s="1" t="s">
        <v>6573</v>
      </c>
      <c r="H1880" s="1" t="s">
        <v>989</v>
      </c>
      <c r="I1880" s="1">
        <v>94904.0</v>
      </c>
      <c r="J1880" s="1" t="s">
        <v>752</v>
      </c>
      <c r="K1880" s="1" t="s">
        <v>42</v>
      </c>
      <c r="L1880" s="1" t="s">
        <v>6819</v>
      </c>
      <c r="M1880" s="1">
        <v>49.0</v>
      </c>
      <c r="N1880" s="1" t="s">
        <v>1152</v>
      </c>
      <c r="O1880" s="3" t="s">
        <v>418</v>
      </c>
      <c r="P1880" s="1" t="s">
        <v>1152</v>
      </c>
      <c r="Q1880" s="1" t="s">
        <v>1152</v>
      </c>
      <c r="R1880" s="1"/>
      <c r="S1880" s="1"/>
      <c r="T1880" s="1" t="s">
        <v>1152</v>
      </c>
      <c r="U1880" s="1" t="s">
        <v>1039</v>
      </c>
      <c r="V1880" s="4" t="s">
        <v>418</v>
      </c>
      <c r="W1880" s="1"/>
      <c r="X1880" s="1" t="s">
        <v>1152</v>
      </c>
      <c r="Y1880" s="1" t="s">
        <v>1152</v>
      </c>
      <c r="Z1880" s="1"/>
      <c r="AA1880" s="1"/>
      <c r="AB1880" s="1"/>
      <c r="AC1880" s="1" t="s">
        <v>1925</v>
      </c>
      <c r="AD1880" s="1"/>
      <c r="AE1880" s="18">
        <v>46147.0</v>
      </c>
      <c r="AF1880" s="1" t="s">
        <v>1103</v>
      </c>
      <c r="AG1880" s="1" t="s">
        <v>52</v>
      </c>
      <c r="AH1880" s="1" t="s">
        <v>1152</v>
      </c>
      <c r="AI1880" s="1"/>
      <c r="AJ1880" s="1" t="s">
        <v>9280</v>
      </c>
      <c r="AK1880" s="1" t="s">
        <v>1152</v>
      </c>
      <c r="AL1880" s="6" t="str">
        <f t="array" ref="AL1880">IFERROR(IFS(XLOOKUP(B1880, 'Kit Delivery Status'!$U:$U, 'Kit Delivery Status'!$K:$K) = "Complete", "DELIVERED", XLOOKUP(B1880, 'Kit Delivery Status'!$U:$U, 'Kit Delivery Status'!$K:$K) = "Issue", "ISSUE"), "")</f>
        <v/>
      </c>
      <c r="AM1880" s="6"/>
    </row>
    <row r="1881">
      <c r="A1881" s="5" t="s">
        <v>9281</v>
      </c>
      <c r="B1881" s="1" t="s">
        <v>9282</v>
      </c>
      <c r="C1881" s="1" t="s">
        <v>3136</v>
      </c>
      <c r="D1881" s="2"/>
      <c r="E1881" s="1" t="s">
        <v>3137</v>
      </c>
      <c r="F1881" s="1"/>
      <c r="G1881" s="1" t="s">
        <v>2109</v>
      </c>
      <c r="H1881" s="1" t="s">
        <v>1208</v>
      </c>
      <c r="I1881" s="1">
        <v>33133.0</v>
      </c>
      <c r="J1881" s="1" t="s">
        <v>752</v>
      </c>
      <c r="K1881" s="1" t="s">
        <v>42</v>
      </c>
      <c r="L1881" s="1" t="s">
        <v>6819</v>
      </c>
      <c r="M1881" s="1">
        <v>49.0</v>
      </c>
      <c r="N1881" s="1" t="s">
        <v>1152</v>
      </c>
      <c r="O1881" s="3" t="s">
        <v>972</v>
      </c>
      <c r="P1881" s="1" t="s">
        <v>1152</v>
      </c>
      <c r="Q1881" s="1" t="s">
        <v>1152</v>
      </c>
      <c r="R1881" s="1"/>
      <c r="S1881" s="1"/>
      <c r="T1881" s="1" t="s">
        <v>1152</v>
      </c>
      <c r="U1881" s="1" t="s">
        <v>1133</v>
      </c>
      <c r="V1881" s="4" t="s">
        <v>972</v>
      </c>
      <c r="W1881" s="1"/>
      <c r="X1881" s="1" t="s">
        <v>1152</v>
      </c>
      <c r="Y1881" s="1" t="s">
        <v>1152</v>
      </c>
      <c r="Z1881" s="1"/>
      <c r="AA1881" s="1"/>
      <c r="AB1881" s="1"/>
      <c r="AC1881" s="1" t="s">
        <v>1925</v>
      </c>
      <c r="AD1881" s="1"/>
      <c r="AE1881" s="18">
        <v>46143.0</v>
      </c>
      <c r="AF1881" s="1" t="s">
        <v>1349</v>
      </c>
      <c r="AG1881" s="1" t="s">
        <v>52</v>
      </c>
      <c r="AH1881" s="1" t="s">
        <v>1152</v>
      </c>
      <c r="AI1881" s="1"/>
      <c r="AJ1881" s="1" t="s">
        <v>9283</v>
      </c>
      <c r="AK1881" s="1" t="s">
        <v>1152</v>
      </c>
      <c r="AL1881" s="6" t="str">
        <f t="array" ref="AL1881">IFERROR(IFS(XLOOKUP(B1881, 'Kit Delivery Status'!$U:$U, 'Kit Delivery Status'!$K:$K) = "Complete", "DELIVERED", XLOOKUP(B1881, 'Kit Delivery Status'!$U:$U, 'Kit Delivery Status'!$K:$K) = "Issue", "ISSUE"), "")</f>
        <v/>
      </c>
      <c r="AM1881" s="6"/>
    </row>
    <row r="1882">
      <c r="A1882" s="5" t="s">
        <v>9284</v>
      </c>
      <c r="B1882" s="1" t="s">
        <v>9285</v>
      </c>
      <c r="C1882" s="1" t="s">
        <v>9286</v>
      </c>
      <c r="D1882" s="2">
        <v>6.465993393E9</v>
      </c>
      <c r="E1882" s="1" t="s">
        <v>9287</v>
      </c>
      <c r="F1882" s="1"/>
      <c r="G1882" s="1" t="s">
        <v>751</v>
      </c>
      <c r="H1882" s="1" t="s">
        <v>751</v>
      </c>
      <c r="I1882" s="1">
        <v>10004.0</v>
      </c>
      <c r="J1882" s="1" t="s">
        <v>752</v>
      </c>
      <c r="K1882" s="1" t="s">
        <v>42</v>
      </c>
      <c r="L1882" s="1" t="s">
        <v>7863</v>
      </c>
      <c r="M1882" s="1">
        <v>79.0</v>
      </c>
      <c r="N1882" s="1" t="s">
        <v>1152</v>
      </c>
      <c r="O1882" s="3" t="s">
        <v>753</v>
      </c>
      <c r="P1882" s="1" t="s">
        <v>1152</v>
      </c>
      <c r="Q1882" s="1" t="s">
        <v>1152</v>
      </c>
      <c r="R1882" s="1"/>
      <c r="S1882" s="1"/>
      <c r="T1882" s="1" t="s">
        <v>1152</v>
      </c>
      <c r="U1882" s="1" t="s">
        <v>956</v>
      </c>
      <c r="V1882" s="4" t="s">
        <v>753</v>
      </c>
      <c r="W1882" s="1"/>
      <c r="X1882" s="1" t="s">
        <v>1152</v>
      </c>
      <c r="Y1882" s="1" t="s">
        <v>1152</v>
      </c>
      <c r="Z1882" s="1"/>
      <c r="AA1882" s="1"/>
      <c r="AB1882" s="1"/>
      <c r="AC1882" s="1" t="s">
        <v>1925</v>
      </c>
      <c r="AD1882" s="1"/>
      <c r="AE1882" s="18">
        <v>46143.0</v>
      </c>
      <c r="AF1882" s="1" t="s">
        <v>3186</v>
      </c>
      <c r="AG1882" s="1" t="s">
        <v>52</v>
      </c>
      <c r="AH1882" s="1" t="s">
        <v>1152</v>
      </c>
      <c r="AI1882" s="1"/>
      <c r="AJ1882" s="1" t="s">
        <v>9287</v>
      </c>
      <c r="AK1882" s="1" t="s">
        <v>1152</v>
      </c>
      <c r="AL1882" s="6" t="str">
        <f t="array" ref="AL1882">IFERROR(IFS(XLOOKUP(B1882, 'Kit Delivery Status'!$U:$U, 'Kit Delivery Status'!$K:$K) = "Complete", "DELIVERED", XLOOKUP(B1882, 'Kit Delivery Status'!$U:$U, 'Kit Delivery Status'!$K:$K) = "Issue", "ISSUE"), "")</f>
        <v/>
      </c>
      <c r="AM1882" s="6"/>
    </row>
    <row r="1883">
      <c r="A1883" s="5" t="s">
        <v>9288</v>
      </c>
      <c r="B1883" s="1" t="s">
        <v>9289</v>
      </c>
      <c r="C1883" s="1"/>
      <c r="D1883" s="2">
        <v>19146108725</v>
      </c>
      <c r="E1883" s="1" t="s">
        <v>612</v>
      </c>
      <c r="F1883" s="1"/>
      <c r="G1883" s="1" t="s">
        <v>9011</v>
      </c>
      <c r="H1883" s="1" t="s">
        <v>751</v>
      </c>
      <c r="I1883" s="1">
        <v>10543.0</v>
      </c>
      <c r="J1883" s="1" t="s">
        <v>752</v>
      </c>
      <c r="K1883" s="1" t="s">
        <v>892</v>
      </c>
      <c r="L1883" s="1" t="s">
        <v>8006</v>
      </c>
      <c r="M1883" s="1">
        <v>49.0</v>
      </c>
      <c r="N1883" s="1" t="s">
        <v>1152</v>
      </c>
      <c r="O1883" s="3" t="s">
        <v>6716</v>
      </c>
      <c r="P1883" s="1" t="s">
        <v>1152</v>
      </c>
      <c r="Q1883" s="1" t="s">
        <v>1152</v>
      </c>
      <c r="R1883" s="1"/>
      <c r="S1883" s="1"/>
      <c r="T1883" s="1" t="s">
        <v>1152</v>
      </c>
      <c r="U1883" s="1" t="s">
        <v>1039</v>
      </c>
      <c r="V1883" s="4" t="s">
        <v>6716</v>
      </c>
      <c r="W1883" s="1"/>
      <c r="X1883" s="1" t="s">
        <v>1152</v>
      </c>
      <c r="Y1883" s="1" t="s">
        <v>1152</v>
      </c>
      <c r="Z1883" s="1"/>
      <c r="AA1883" s="1"/>
      <c r="AB1883" s="1"/>
      <c r="AC1883" s="1" t="s">
        <v>1925</v>
      </c>
      <c r="AD1883" s="1"/>
      <c r="AE1883" s="18">
        <v>46148.0</v>
      </c>
      <c r="AF1883" s="1" t="s">
        <v>1349</v>
      </c>
      <c r="AG1883" s="1" t="s">
        <v>52</v>
      </c>
      <c r="AH1883" s="1" t="s">
        <v>9290</v>
      </c>
      <c r="AI1883" s="1"/>
      <c r="AJ1883" s="1" t="s">
        <v>9012</v>
      </c>
      <c r="AK1883" s="1" t="s">
        <v>1152</v>
      </c>
      <c r="AL1883" s="6" t="str">
        <f t="array" ref="AL1883">IFERROR(IFS(XLOOKUP(B1883, 'Kit Delivery Status'!$U:$U, 'Kit Delivery Status'!$K:$K) = "Complete", "DELIVERED", XLOOKUP(B1883, 'Kit Delivery Status'!$U:$U, 'Kit Delivery Status'!$K:$K) = "Issue", "ISSUE"), "")</f>
        <v/>
      </c>
      <c r="AM1883" s="6"/>
    </row>
    <row r="1884">
      <c r="A1884" s="5" t="s">
        <v>9291</v>
      </c>
      <c r="B1884" s="1" t="s">
        <v>9292</v>
      </c>
      <c r="C1884" s="1" t="s">
        <v>3336</v>
      </c>
      <c r="D1884" s="2">
        <v>7.147460017E9</v>
      </c>
      <c r="E1884" s="1" t="s">
        <v>3337</v>
      </c>
      <c r="F1884" s="1"/>
      <c r="G1884" s="1" t="s">
        <v>3338</v>
      </c>
      <c r="H1884" s="1" t="s">
        <v>989</v>
      </c>
      <c r="I1884" s="1" t="s">
        <v>9293</v>
      </c>
      <c r="J1884" s="1" t="s">
        <v>752</v>
      </c>
      <c r="K1884" s="1" t="s">
        <v>42</v>
      </c>
      <c r="L1884" s="1" t="s">
        <v>6819</v>
      </c>
      <c r="M1884" s="1">
        <v>49.0</v>
      </c>
      <c r="N1884" s="1" t="s">
        <v>1152</v>
      </c>
      <c r="O1884" s="3" t="s">
        <v>7529</v>
      </c>
      <c r="P1884" s="1" t="s">
        <v>1152</v>
      </c>
      <c r="Q1884" s="1" t="s">
        <v>1152</v>
      </c>
      <c r="R1884" s="1"/>
      <c r="S1884" s="1"/>
      <c r="T1884" s="1" t="s">
        <v>1152</v>
      </c>
      <c r="U1884" s="1" t="s">
        <v>1021</v>
      </c>
      <c r="V1884" s="4" t="s">
        <v>7529</v>
      </c>
      <c r="W1884" s="1"/>
      <c r="X1884" s="1" t="s">
        <v>1152</v>
      </c>
      <c r="Y1884" s="1" t="s">
        <v>1152</v>
      </c>
      <c r="Z1884" s="1"/>
      <c r="AA1884" s="1"/>
      <c r="AB1884" s="1"/>
      <c r="AC1884" s="1" t="s">
        <v>1925</v>
      </c>
      <c r="AD1884" s="1"/>
      <c r="AE1884" s="18">
        <v>46149.0</v>
      </c>
      <c r="AF1884" s="1" t="s">
        <v>1630</v>
      </c>
      <c r="AG1884" s="1" t="s">
        <v>52</v>
      </c>
      <c r="AH1884" s="1" t="s">
        <v>1152</v>
      </c>
      <c r="AI1884" s="1"/>
      <c r="AJ1884" s="1" t="s">
        <v>3337</v>
      </c>
      <c r="AK1884" s="1" t="s">
        <v>1152</v>
      </c>
      <c r="AL1884" s="6" t="str">
        <f t="array" ref="AL1884">IFERROR(IFS(XLOOKUP(B1884, 'Kit Delivery Status'!$U:$U, 'Kit Delivery Status'!$K:$K) = "Complete", "DELIVERED", XLOOKUP(B1884, 'Kit Delivery Status'!$U:$U, 'Kit Delivery Status'!$K:$K) = "Issue", "ISSUE"), "")</f>
        <v/>
      </c>
      <c r="AM1884" s="6"/>
    </row>
    <row r="1885">
      <c r="A1885" s="5" t="s">
        <v>9294</v>
      </c>
      <c r="B1885" s="1" t="s">
        <v>9295</v>
      </c>
      <c r="C1885" s="1" t="s">
        <v>9296</v>
      </c>
      <c r="D1885" s="2"/>
      <c r="E1885" s="1" t="s">
        <v>3265</v>
      </c>
      <c r="F1885" s="1"/>
      <c r="G1885" s="1" t="s">
        <v>2932</v>
      </c>
      <c r="H1885" s="1" t="s">
        <v>1583</v>
      </c>
      <c r="I1885" s="1">
        <v>77401.0</v>
      </c>
      <c r="J1885" s="1" t="s">
        <v>752</v>
      </c>
      <c r="K1885" s="1" t="s">
        <v>2131</v>
      </c>
      <c r="L1885" s="1" t="s">
        <v>5767</v>
      </c>
      <c r="M1885" s="1">
        <v>1.0</v>
      </c>
      <c r="N1885" s="1" t="s">
        <v>1152</v>
      </c>
      <c r="O1885" s="3" t="s">
        <v>378</v>
      </c>
      <c r="P1885" s="1" t="s">
        <v>1152</v>
      </c>
      <c r="Q1885" s="1" t="s">
        <v>1152</v>
      </c>
      <c r="R1885" s="1"/>
      <c r="S1885" s="1"/>
      <c r="T1885" s="1" t="s">
        <v>1152</v>
      </c>
      <c r="U1885" s="1" t="s">
        <v>948</v>
      </c>
      <c r="V1885" s="4" t="s">
        <v>378</v>
      </c>
      <c r="W1885" s="1"/>
      <c r="X1885" s="1" t="s">
        <v>1152</v>
      </c>
      <c r="Y1885" s="1" t="s">
        <v>1152</v>
      </c>
      <c r="Z1885" s="1"/>
      <c r="AA1885" s="1"/>
      <c r="AB1885" s="1"/>
      <c r="AC1885" s="1" t="s">
        <v>1925</v>
      </c>
      <c r="AD1885" s="1"/>
      <c r="AE1885" s="18">
        <v>46149.0</v>
      </c>
      <c r="AF1885" s="1"/>
      <c r="AG1885" s="1"/>
      <c r="AH1885" s="1" t="s">
        <v>1152</v>
      </c>
      <c r="AI1885" s="1"/>
      <c r="AJ1885" s="1" t="s">
        <v>9297</v>
      </c>
      <c r="AK1885" s="1" t="s">
        <v>1152</v>
      </c>
      <c r="AL1885" s="6" t="str">
        <f t="array" ref="AL1885">IFERROR(IFS(XLOOKUP(B1885, 'Kit Delivery Status'!$U:$U, 'Kit Delivery Status'!$K:$K) = "Complete", "DELIVERED", XLOOKUP(B1885, 'Kit Delivery Status'!$U:$U, 'Kit Delivery Status'!$K:$K) = "Issue", "ISSUE"), "")</f>
        <v/>
      </c>
      <c r="AM1885" s="6"/>
    </row>
    <row r="1886">
      <c r="A1886" s="5" t="s">
        <v>9294</v>
      </c>
      <c r="B1886" s="1" t="s">
        <v>9295</v>
      </c>
      <c r="C1886" s="1" t="s">
        <v>9296</v>
      </c>
      <c r="D1886" s="2"/>
      <c r="E1886" s="1" t="s">
        <v>3265</v>
      </c>
      <c r="F1886" s="1"/>
      <c r="G1886" s="1" t="s">
        <v>2932</v>
      </c>
      <c r="H1886" s="1" t="s">
        <v>1583</v>
      </c>
      <c r="I1886" s="1">
        <v>77401.0</v>
      </c>
      <c r="J1886" s="1" t="s">
        <v>752</v>
      </c>
      <c r="K1886" s="1" t="s">
        <v>42</v>
      </c>
      <c r="L1886" s="1" t="s">
        <v>6819</v>
      </c>
      <c r="M1886" s="1">
        <v>49.0</v>
      </c>
      <c r="N1886" s="1" t="s">
        <v>1152</v>
      </c>
      <c r="O1886" s="3" t="s">
        <v>378</v>
      </c>
      <c r="P1886" s="1" t="s">
        <v>1152</v>
      </c>
      <c r="Q1886" s="1" t="s">
        <v>1152</v>
      </c>
      <c r="R1886" s="1"/>
      <c r="S1886" s="1"/>
      <c r="T1886" s="1" t="s">
        <v>1152</v>
      </c>
      <c r="U1886" s="1" t="s">
        <v>948</v>
      </c>
      <c r="V1886" s="4" t="s">
        <v>378</v>
      </c>
      <c r="W1886" s="1"/>
      <c r="X1886" s="1" t="s">
        <v>1152</v>
      </c>
      <c r="Y1886" s="1" t="s">
        <v>1152</v>
      </c>
      <c r="Z1886" s="1"/>
      <c r="AA1886" s="1"/>
      <c r="AB1886" s="1"/>
      <c r="AC1886" s="1" t="s">
        <v>1925</v>
      </c>
      <c r="AD1886" s="1"/>
      <c r="AE1886" s="18">
        <v>46149.0</v>
      </c>
      <c r="AF1886" s="1" t="s">
        <v>1030</v>
      </c>
      <c r="AG1886" s="1" t="s">
        <v>52</v>
      </c>
      <c r="AH1886" s="1" t="s">
        <v>1152</v>
      </c>
      <c r="AI1886" s="1"/>
      <c r="AJ1886" s="1" t="s">
        <v>9297</v>
      </c>
      <c r="AK1886" s="1" t="s">
        <v>1152</v>
      </c>
      <c r="AL1886" s="6" t="str">
        <f t="array" ref="AL1886">IFERROR(IFS(XLOOKUP(B1886, 'Kit Delivery Status'!$U:$U, 'Kit Delivery Status'!$K:$K) = "Complete", "DELIVERED", XLOOKUP(B1886, 'Kit Delivery Status'!$U:$U, 'Kit Delivery Status'!$K:$K) = "Issue", "ISSUE"), "")</f>
        <v/>
      </c>
      <c r="AM1886" s="6"/>
    </row>
    <row r="1887">
      <c r="A1887" s="5" t="s">
        <v>9298</v>
      </c>
      <c r="B1887" s="1" t="s">
        <v>9299</v>
      </c>
      <c r="C1887" s="1" t="s">
        <v>6769</v>
      </c>
      <c r="D1887" s="2">
        <v>3.108835579E9</v>
      </c>
      <c r="E1887" s="1" t="s">
        <v>6770</v>
      </c>
      <c r="F1887" s="1" t="s">
        <v>9300</v>
      </c>
      <c r="G1887" s="1" t="s">
        <v>2350</v>
      </c>
      <c r="H1887" s="1" t="s">
        <v>1155</v>
      </c>
      <c r="I1887" s="1">
        <v>63130.0</v>
      </c>
      <c r="J1887" s="1" t="s">
        <v>752</v>
      </c>
      <c r="K1887" s="1" t="s">
        <v>892</v>
      </c>
      <c r="L1887" s="1" t="s">
        <v>8006</v>
      </c>
      <c r="M1887" s="1">
        <v>49.0</v>
      </c>
      <c r="N1887" s="1" t="s">
        <v>1152</v>
      </c>
      <c r="O1887" s="3"/>
      <c r="P1887" s="1" t="s">
        <v>1152</v>
      </c>
      <c r="Q1887" s="1" t="s">
        <v>1152</v>
      </c>
      <c r="R1887" s="1" t="s">
        <v>9300</v>
      </c>
      <c r="S1887" s="1"/>
      <c r="T1887" s="1" t="s">
        <v>1152</v>
      </c>
      <c r="U1887" s="1"/>
      <c r="V1887" s="4"/>
      <c r="W1887" s="1" t="s">
        <v>9300</v>
      </c>
      <c r="X1887" s="1" t="s">
        <v>1152</v>
      </c>
      <c r="Y1887" s="1" t="s">
        <v>1152</v>
      </c>
      <c r="Z1887" s="1"/>
      <c r="AA1887" s="1" t="s">
        <v>9300</v>
      </c>
      <c r="AB1887" s="1"/>
      <c r="AC1887" s="1" t="s">
        <v>1925</v>
      </c>
      <c r="AD1887" s="1"/>
      <c r="AE1887" s="18">
        <v>46154.0</v>
      </c>
      <c r="AF1887" s="1" t="s">
        <v>1349</v>
      </c>
      <c r="AG1887" s="1" t="s">
        <v>124</v>
      </c>
      <c r="AH1887" s="1" t="s">
        <v>9301</v>
      </c>
      <c r="AI1887" s="1"/>
      <c r="AJ1887" s="1" t="s">
        <v>6770</v>
      </c>
      <c r="AK1887" s="1" t="s">
        <v>1152</v>
      </c>
      <c r="AL1887" s="6" t="str">
        <f t="array" ref="AL1887">IFERROR(IFS(XLOOKUP(B1887, 'Kit Delivery Status'!$U:$U, 'Kit Delivery Status'!$K:$K) = "Complete", "DELIVERED", XLOOKUP(B1887, 'Kit Delivery Status'!$U:$U, 'Kit Delivery Status'!$K:$K) = "Issue", "ISSUE"), "")</f>
        <v/>
      </c>
      <c r="AM1887" s="6"/>
    </row>
    <row r="1888">
      <c r="A1888" s="5" t="s">
        <v>9302</v>
      </c>
      <c r="B1888" s="1" t="s">
        <v>9303</v>
      </c>
      <c r="C1888" s="1" t="s">
        <v>9304</v>
      </c>
      <c r="D1888" s="2">
        <v>9.084723133E9</v>
      </c>
      <c r="E1888" s="1" t="s">
        <v>549</v>
      </c>
      <c r="F1888" s="1"/>
      <c r="G1888" s="1" t="s">
        <v>5135</v>
      </c>
      <c r="H1888" s="1" t="s">
        <v>1053</v>
      </c>
      <c r="I1888" s="1">
        <v>7901.0</v>
      </c>
      <c r="J1888" s="1" t="s">
        <v>752</v>
      </c>
      <c r="K1888" s="1" t="s">
        <v>892</v>
      </c>
      <c r="L1888" s="1" t="s">
        <v>8006</v>
      </c>
      <c r="M1888" s="1">
        <v>49.0</v>
      </c>
      <c r="N1888" s="1" t="s">
        <v>1152</v>
      </c>
      <c r="O1888" s="3" t="s">
        <v>2830</v>
      </c>
      <c r="P1888" s="1" t="s">
        <v>1152</v>
      </c>
      <c r="Q1888" s="1" t="s">
        <v>1152</v>
      </c>
      <c r="R1888" s="1"/>
      <c r="S1888" s="1"/>
      <c r="T1888" s="1" t="s">
        <v>1152</v>
      </c>
      <c r="U1888" s="1" t="s">
        <v>1407</v>
      </c>
      <c r="V1888" s="4" t="s">
        <v>2830</v>
      </c>
      <c r="W1888" s="1"/>
      <c r="X1888" s="1" t="s">
        <v>1152</v>
      </c>
      <c r="Y1888" s="1" t="s">
        <v>1152</v>
      </c>
      <c r="Z1888" s="1"/>
      <c r="AA1888" s="1"/>
      <c r="AB1888" s="1"/>
      <c r="AC1888" s="1" t="s">
        <v>1925</v>
      </c>
      <c r="AD1888" s="1"/>
      <c r="AE1888" s="18">
        <v>46149.0</v>
      </c>
      <c r="AF1888" s="1" t="s">
        <v>1349</v>
      </c>
      <c r="AG1888" s="1" t="s">
        <v>52</v>
      </c>
      <c r="AH1888" s="1" t="s">
        <v>9305</v>
      </c>
      <c r="AI1888" s="1"/>
      <c r="AJ1888" s="1" t="s">
        <v>549</v>
      </c>
      <c r="AK1888" s="1" t="s">
        <v>1152</v>
      </c>
      <c r="AL1888" s="6" t="str">
        <f t="array" ref="AL1888">IFERROR(IFS(XLOOKUP(B1888, 'Kit Delivery Status'!$U:$U, 'Kit Delivery Status'!$K:$K) = "Complete", "DELIVERED", XLOOKUP(B1888, 'Kit Delivery Status'!$U:$U, 'Kit Delivery Status'!$K:$K) = "Issue", "ISSUE"), "")</f>
        <v/>
      </c>
      <c r="AM1888" s="6"/>
    </row>
    <row r="1889">
      <c r="A1889" s="5" t="s">
        <v>9306</v>
      </c>
      <c r="B1889" s="1" t="s">
        <v>9307</v>
      </c>
      <c r="C1889" s="1" t="s">
        <v>9308</v>
      </c>
      <c r="D1889" s="2" t="s">
        <v>9309</v>
      </c>
      <c r="E1889" s="1" t="s">
        <v>8764</v>
      </c>
      <c r="F1889" s="1" t="s">
        <v>9310</v>
      </c>
      <c r="G1889" s="1" t="s">
        <v>8762</v>
      </c>
      <c r="H1889" s="1" t="s">
        <v>989</v>
      </c>
      <c r="I1889" s="1">
        <v>92625.0</v>
      </c>
      <c r="J1889" s="1" t="s">
        <v>752</v>
      </c>
      <c r="K1889" s="1" t="s">
        <v>42</v>
      </c>
      <c r="L1889" s="1" t="s">
        <v>9311</v>
      </c>
      <c r="M1889" s="1">
        <v>49.0</v>
      </c>
      <c r="N1889" s="1"/>
      <c r="O1889" s="3" t="s">
        <v>9312</v>
      </c>
      <c r="P1889" s="1"/>
      <c r="Q1889" s="1"/>
      <c r="R1889" s="1"/>
      <c r="S1889" s="1"/>
      <c r="T1889" s="1"/>
      <c r="U1889" s="1" t="s">
        <v>737</v>
      </c>
      <c r="V1889" s="4" t="s">
        <v>9312</v>
      </c>
      <c r="W1889" s="1"/>
      <c r="X1889" s="1"/>
      <c r="Y1889" s="1"/>
      <c r="Z1889" s="1"/>
      <c r="AA1889" s="1"/>
      <c r="AB1889" s="1"/>
      <c r="AC1889" s="1"/>
      <c r="AD1889" s="1"/>
      <c r="AE1889" s="18">
        <v>46140.0</v>
      </c>
      <c r="AF1889" s="1" t="s">
        <v>1349</v>
      </c>
      <c r="AG1889" s="1" t="s">
        <v>52</v>
      </c>
      <c r="AH1889" s="1"/>
      <c r="AI1889" s="1"/>
      <c r="AJ1889" s="1" t="s">
        <v>8764</v>
      </c>
      <c r="AK1889" s="1"/>
      <c r="AL1889" s="6" t="str">
        <f t="array" ref="AL1889">IFERROR(IFS(XLOOKUP(B1889, 'Kit Delivery Status'!$U:$U, 'Kit Delivery Status'!$K:$K) = "Complete", "DELIVERED", XLOOKUP(B1889, 'Kit Delivery Status'!$U:$U, 'Kit Delivery Status'!$K:$K) = "Issue", "ISSUE"), "")</f>
        <v/>
      </c>
      <c r="AM1889" s="6"/>
    </row>
    <row r="1890">
      <c r="A1890" s="5" t="s">
        <v>9313</v>
      </c>
      <c r="B1890" s="1" t="s">
        <v>9314</v>
      </c>
      <c r="C1890" s="1" t="s">
        <v>241</v>
      </c>
      <c r="D1890" s="2">
        <v>8.473056032E9</v>
      </c>
      <c r="E1890" s="1" t="s">
        <v>8072</v>
      </c>
      <c r="F1890" s="1"/>
      <c r="G1890" s="1" t="s">
        <v>8073</v>
      </c>
      <c r="H1890" s="1" t="s">
        <v>1891</v>
      </c>
      <c r="I1890" s="1">
        <v>80122.0</v>
      </c>
      <c r="J1890" s="1" t="s">
        <v>752</v>
      </c>
      <c r="K1890" s="1" t="s">
        <v>2131</v>
      </c>
      <c r="L1890" s="1" t="s">
        <v>5833</v>
      </c>
      <c r="M1890" s="1">
        <v>1.0</v>
      </c>
      <c r="N1890" s="1" t="s">
        <v>1152</v>
      </c>
      <c r="O1890" s="3" t="s">
        <v>246</v>
      </c>
      <c r="P1890" s="1" t="s">
        <v>1152</v>
      </c>
      <c r="Q1890" s="1" t="s">
        <v>1152</v>
      </c>
      <c r="R1890" s="1"/>
      <c r="S1890" s="1"/>
      <c r="T1890" s="1" t="s">
        <v>1152</v>
      </c>
      <c r="U1890" s="1" t="s">
        <v>1537</v>
      </c>
      <c r="V1890" s="4" t="s">
        <v>246</v>
      </c>
      <c r="W1890" s="1"/>
      <c r="X1890" s="1" t="s">
        <v>1152</v>
      </c>
      <c r="Y1890" s="1" t="s">
        <v>1152</v>
      </c>
      <c r="Z1890" s="1"/>
      <c r="AA1890" s="1"/>
      <c r="AB1890" s="1"/>
      <c r="AC1890" s="1" t="s">
        <v>1925</v>
      </c>
      <c r="AD1890" s="1"/>
      <c r="AE1890" s="18">
        <v>46149.0</v>
      </c>
      <c r="AF1890" s="1"/>
      <c r="AG1890" s="1"/>
      <c r="AH1890" s="1" t="s">
        <v>1152</v>
      </c>
      <c r="AI1890" s="1"/>
      <c r="AJ1890" s="1" t="s">
        <v>8072</v>
      </c>
      <c r="AK1890" s="1" t="s">
        <v>1152</v>
      </c>
      <c r="AL1890" s="6" t="str">
        <f t="array" ref="AL1890">IFERROR(IFS(XLOOKUP(B1890, 'Kit Delivery Status'!$U:$U, 'Kit Delivery Status'!$K:$K) = "Complete", "DELIVERED", XLOOKUP(B1890, 'Kit Delivery Status'!$U:$U, 'Kit Delivery Status'!$K:$K) = "Issue", "ISSUE"), "")</f>
        <v/>
      </c>
      <c r="AM1890" s="6"/>
    </row>
    <row r="1891">
      <c r="A1891" s="5" t="s">
        <v>9313</v>
      </c>
      <c r="B1891" s="1" t="s">
        <v>9314</v>
      </c>
      <c r="C1891" s="1" t="s">
        <v>241</v>
      </c>
      <c r="D1891" s="2">
        <v>8.473056032E9</v>
      </c>
      <c r="E1891" s="1" t="s">
        <v>8072</v>
      </c>
      <c r="F1891" s="1"/>
      <c r="G1891" s="1" t="s">
        <v>8073</v>
      </c>
      <c r="H1891" s="1" t="s">
        <v>1891</v>
      </c>
      <c r="I1891" s="1">
        <v>80122.0</v>
      </c>
      <c r="J1891" s="1" t="s">
        <v>752</v>
      </c>
      <c r="K1891" s="1" t="s">
        <v>42</v>
      </c>
      <c r="L1891" s="1" t="s">
        <v>6819</v>
      </c>
      <c r="M1891" s="1">
        <v>49.0</v>
      </c>
      <c r="N1891" s="1" t="s">
        <v>1152</v>
      </c>
      <c r="O1891" s="3" t="s">
        <v>246</v>
      </c>
      <c r="P1891" s="1" t="s">
        <v>1152</v>
      </c>
      <c r="Q1891" s="1" t="s">
        <v>1152</v>
      </c>
      <c r="R1891" s="1"/>
      <c r="S1891" s="1"/>
      <c r="T1891" s="1" t="s">
        <v>1152</v>
      </c>
      <c r="U1891" s="1" t="s">
        <v>1537</v>
      </c>
      <c r="V1891" s="4" t="s">
        <v>246</v>
      </c>
      <c r="W1891" s="1"/>
      <c r="X1891" s="1" t="s">
        <v>1152</v>
      </c>
      <c r="Y1891" s="1" t="s">
        <v>1152</v>
      </c>
      <c r="Z1891" s="1"/>
      <c r="AA1891" s="1"/>
      <c r="AB1891" s="1"/>
      <c r="AC1891" s="1" t="s">
        <v>1925</v>
      </c>
      <c r="AD1891" s="1"/>
      <c r="AE1891" s="18">
        <v>46149.0</v>
      </c>
      <c r="AF1891" s="1" t="s">
        <v>3186</v>
      </c>
      <c r="AG1891" s="1" t="s">
        <v>52</v>
      </c>
      <c r="AH1891" s="1" t="s">
        <v>1152</v>
      </c>
      <c r="AI1891" s="1"/>
      <c r="AJ1891" s="1" t="s">
        <v>8072</v>
      </c>
      <c r="AK1891" s="1" t="s">
        <v>1152</v>
      </c>
      <c r="AL1891" s="6" t="str">
        <f t="array" ref="AL1891">IFERROR(IFS(XLOOKUP(B1891, 'Kit Delivery Status'!$U:$U, 'Kit Delivery Status'!$K:$K) = "Complete", "DELIVERED", XLOOKUP(B1891, 'Kit Delivery Status'!$U:$U, 'Kit Delivery Status'!$K:$K) = "Issue", "ISSUE"), "")</f>
        <v/>
      </c>
      <c r="AM1891" s="6"/>
    </row>
    <row r="1892">
      <c r="A1892" s="5" t="s">
        <v>9315</v>
      </c>
      <c r="B1892" s="1" t="s">
        <v>9316</v>
      </c>
      <c r="C1892" s="1" t="s">
        <v>98</v>
      </c>
      <c r="D1892" s="2">
        <v>3.12344005E9</v>
      </c>
      <c r="E1892" s="1" t="s">
        <v>100</v>
      </c>
      <c r="F1892" s="1"/>
      <c r="G1892" s="1" t="s">
        <v>1254</v>
      </c>
      <c r="H1892" s="1" t="s">
        <v>1233</v>
      </c>
      <c r="I1892" s="1">
        <v>19380.0</v>
      </c>
      <c r="J1892" s="1" t="s">
        <v>752</v>
      </c>
      <c r="K1892" s="1" t="s">
        <v>42</v>
      </c>
      <c r="L1892" s="1" t="s">
        <v>6819</v>
      </c>
      <c r="M1892" s="1">
        <v>49.0</v>
      </c>
      <c r="N1892" s="1" t="s">
        <v>1152</v>
      </c>
      <c r="O1892" s="3" t="s">
        <v>1255</v>
      </c>
      <c r="P1892" s="1" t="s">
        <v>1152</v>
      </c>
      <c r="Q1892" s="1" t="s">
        <v>1152</v>
      </c>
      <c r="R1892" s="1"/>
      <c r="S1892" s="1"/>
      <c r="T1892" s="1" t="s">
        <v>1152</v>
      </c>
      <c r="U1892" s="1" t="s">
        <v>1133</v>
      </c>
      <c r="V1892" s="4" t="s">
        <v>1255</v>
      </c>
      <c r="W1892" s="1"/>
      <c r="X1892" s="1" t="s">
        <v>1152</v>
      </c>
      <c r="Y1892" s="1" t="s">
        <v>1152</v>
      </c>
      <c r="Z1892" s="1"/>
      <c r="AA1892" s="1"/>
      <c r="AB1892" s="1"/>
      <c r="AC1892" s="1" t="s">
        <v>1925</v>
      </c>
      <c r="AD1892" s="1"/>
      <c r="AE1892" s="18">
        <v>46148.0</v>
      </c>
      <c r="AF1892" s="1" t="s">
        <v>1630</v>
      </c>
      <c r="AG1892" s="1" t="s">
        <v>52</v>
      </c>
      <c r="AH1892" s="1" t="s">
        <v>1152</v>
      </c>
      <c r="AI1892" s="1"/>
      <c r="AJ1892" s="1" t="s">
        <v>9317</v>
      </c>
      <c r="AK1892" s="1" t="s">
        <v>1152</v>
      </c>
      <c r="AL1892" s="6" t="str">
        <f t="array" ref="AL1892">IFERROR(IFS(XLOOKUP(B1892, 'Kit Delivery Status'!$U:$U, 'Kit Delivery Status'!$K:$K) = "Complete", "DELIVERED", XLOOKUP(B1892, 'Kit Delivery Status'!$U:$U, 'Kit Delivery Status'!$K:$K) = "Issue", "ISSUE"), "")</f>
        <v/>
      </c>
      <c r="AM1892" s="6"/>
    </row>
    <row r="1893">
      <c r="A1893" s="5" t="s">
        <v>9318</v>
      </c>
      <c r="B1893" s="1" t="s">
        <v>9319</v>
      </c>
      <c r="C1893" s="1"/>
      <c r="D1893" s="2"/>
      <c r="E1893" s="1" t="s">
        <v>9320</v>
      </c>
      <c r="F1893" s="1"/>
      <c r="G1893" s="1" t="s">
        <v>1634</v>
      </c>
      <c r="H1893" s="1" t="s">
        <v>1019</v>
      </c>
      <c r="I1893" s="1">
        <v>60015.0</v>
      </c>
      <c r="J1893" s="1" t="s">
        <v>752</v>
      </c>
      <c r="K1893" s="1" t="s">
        <v>42</v>
      </c>
      <c r="L1893" s="1" t="s">
        <v>6819</v>
      </c>
      <c r="M1893" s="1">
        <v>49.0</v>
      </c>
      <c r="N1893" s="1" t="s">
        <v>1152</v>
      </c>
      <c r="O1893" s="3" t="s">
        <v>1635</v>
      </c>
      <c r="P1893" s="1" t="s">
        <v>1152</v>
      </c>
      <c r="Q1893" s="1" t="s">
        <v>1152</v>
      </c>
      <c r="R1893" s="1"/>
      <c r="S1893" s="1"/>
      <c r="T1893" s="1" t="s">
        <v>1152</v>
      </c>
      <c r="U1893" s="1" t="s">
        <v>1133</v>
      </c>
      <c r="V1893" s="4" t="s">
        <v>1635</v>
      </c>
      <c r="W1893" s="1"/>
      <c r="X1893" s="1" t="s">
        <v>1152</v>
      </c>
      <c r="Y1893" s="1" t="s">
        <v>1152</v>
      </c>
      <c r="Z1893" s="1"/>
      <c r="AA1893" s="1"/>
      <c r="AB1893" s="1"/>
      <c r="AC1893" s="1" t="s">
        <v>1925</v>
      </c>
      <c r="AD1893" s="1"/>
      <c r="AE1893" s="18">
        <v>46147.0</v>
      </c>
      <c r="AF1893" s="1" t="s">
        <v>1349</v>
      </c>
      <c r="AG1893" s="1" t="s">
        <v>52</v>
      </c>
      <c r="AH1893" s="1" t="s">
        <v>1152</v>
      </c>
      <c r="AI1893" s="1"/>
      <c r="AJ1893" s="1" t="s">
        <v>9320</v>
      </c>
      <c r="AK1893" s="1" t="s">
        <v>1152</v>
      </c>
      <c r="AL1893" s="6" t="str">
        <f t="array" ref="AL1893">IFERROR(IFS(XLOOKUP(B1893, 'Kit Delivery Status'!$U:$U, 'Kit Delivery Status'!$K:$K) = "Complete", "DELIVERED", XLOOKUP(B1893, 'Kit Delivery Status'!$U:$U, 'Kit Delivery Status'!$K:$K) = "Issue", "ISSUE"), "")</f>
        <v/>
      </c>
      <c r="AM1893" s="6"/>
    </row>
    <row r="1894">
      <c r="A1894" s="5" t="s">
        <v>9321</v>
      </c>
      <c r="B1894" s="1" t="s">
        <v>9322</v>
      </c>
      <c r="C1894" s="1" t="s">
        <v>9323</v>
      </c>
      <c r="D1894" s="2">
        <v>4.159919104E9</v>
      </c>
      <c r="E1894" s="1" t="s">
        <v>9324</v>
      </c>
      <c r="F1894" s="1"/>
      <c r="G1894" s="1" t="s">
        <v>2904</v>
      </c>
      <c r="H1894" s="1" t="s">
        <v>989</v>
      </c>
      <c r="I1894" s="1">
        <v>94960.0</v>
      </c>
      <c r="J1894" s="1" t="s">
        <v>752</v>
      </c>
      <c r="K1894" s="1" t="s">
        <v>42</v>
      </c>
      <c r="L1894" s="1" t="s">
        <v>6819</v>
      </c>
      <c r="M1894" s="1">
        <v>49.0</v>
      </c>
      <c r="N1894" s="1" t="s">
        <v>1152</v>
      </c>
      <c r="O1894" s="3" t="s">
        <v>311</v>
      </c>
      <c r="P1894" s="1" t="s">
        <v>1152</v>
      </c>
      <c r="Q1894" s="1" t="s">
        <v>1152</v>
      </c>
      <c r="R1894" s="1"/>
      <c r="S1894" s="1"/>
      <c r="T1894" s="1" t="s">
        <v>1152</v>
      </c>
      <c r="U1894" s="1" t="s">
        <v>956</v>
      </c>
      <c r="V1894" s="4" t="s">
        <v>311</v>
      </c>
      <c r="W1894" s="1"/>
      <c r="X1894" s="1" t="s">
        <v>1152</v>
      </c>
      <c r="Y1894" s="1" t="s">
        <v>1152</v>
      </c>
      <c r="Z1894" s="1"/>
      <c r="AA1894" s="1"/>
      <c r="AB1894" s="1"/>
      <c r="AC1894" s="1" t="s">
        <v>1925</v>
      </c>
      <c r="AD1894" s="1"/>
      <c r="AE1894" s="18">
        <v>46143.0</v>
      </c>
      <c r="AF1894" s="1" t="s">
        <v>3186</v>
      </c>
      <c r="AG1894" s="1" t="s">
        <v>52</v>
      </c>
      <c r="AH1894" s="1" t="s">
        <v>1152</v>
      </c>
      <c r="AI1894" s="1"/>
      <c r="AJ1894" s="1" t="s">
        <v>9324</v>
      </c>
      <c r="AK1894" s="1" t="s">
        <v>1152</v>
      </c>
      <c r="AL1894" s="6" t="str">
        <f t="array" ref="AL1894">IFERROR(IFS(XLOOKUP(B1894, 'Kit Delivery Status'!$U:$U, 'Kit Delivery Status'!$K:$K) = "Complete", "DELIVERED", XLOOKUP(B1894, 'Kit Delivery Status'!$U:$U, 'Kit Delivery Status'!$K:$K) = "Issue", "ISSUE"), "")</f>
        <v/>
      </c>
      <c r="AM1894" s="6"/>
    </row>
    <row r="1895">
      <c r="A1895" s="5" t="s">
        <v>9325</v>
      </c>
      <c r="B1895" s="1" t="s">
        <v>9326</v>
      </c>
      <c r="C1895" s="1" t="s">
        <v>9327</v>
      </c>
      <c r="D1895" s="2"/>
      <c r="E1895" s="1" t="s">
        <v>9328</v>
      </c>
      <c r="F1895" s="1"/>
      <c r="G1895" s="1" t="s">
        <v>9329</v>
      </c>
      <c r="H1895" s="1" t="s">
        <v>1208</v>
      </c>
      <c r="I1895" s="1">
        <v>32827.0</v>
      </c>
      <c r="J1895" s="1" t="s">
        <v>752</v>
      </c>
      <c r="K1895" s="1" t="s">
        <v>42</v>
      </c>
      <c r="L1895" s="1" t="s">
        <v>6819</v>
      </c>
      <c r="M1895" s="1">
        <v>49.0</v>
      </c>
      <c r="N1895" s="1" t="s">
        <v>1152</v>
      </c>
      <c r="O1895" s="3" t="s">
        <v>1185</v>
      </c>
      <c r="P1895" s="1" t="s">
        <v>1152</v>
      </c>
      <c r="Q1895" s="1" t="s">
        <v>1152</v>
      </c>
      <c r="R1895" s="1"/>
      <c r="S1895" s="1"/>
      <c r="T1895" s="1" t="s">
        <v>1152</v>
      </c>
      <c r="U1895" s="1" t="s">
        <v>1376</v>
      </c>
      <c r="V1895" s="4" t="s">
        <v>1185</v>
      </c>
      <c r="W1895" s="1"/>
      <c r="X1895" s="1" t="s">
        <v>1152</v>
      </c>
      <c r="Y1895" s="1" t="s">
        <v>1152</v>
      </c>
      <c r="Z1895" s="1"/>
      <c r="AA1895" s="1"/>
      <c r="AB1895" s="1"/>
      <c r="AC1895" s="1" t="s">
        <v>1925</v>
      </c>
      <c r="AD1895" s="1"/>
      <c r="AE1895" s="18">
        <v>46149.0</v>
      </c>
      <c r="AF1895" s="1" t="s">
        <v>1030</v>
      </c>
      <c r="AG1895" s="1" t="s">
        <v>52</v>
      </c>
      <c r="AH1895" s="1" t="s">
        <v>1152</v>
      </c>
      <c r="AI1895" s="1"/>
      <c r="AJ1895" s="1" t="s">
        <v>9330</v>
      </c>
      <c r="AK1895" s="1" t="s">
        <v>1152</v>
      </c>
      <c r="AL1895" s="6" t="str">
        <f t="array" ref="AL1895">IFERROR(IFS(XLOOKUP(B1895, 'Kit Delivery Status'!$U:$U, 'Kit Delivery Status'!$K:$K) = "Complete", "DELIVERED", XLOOKUP(B1895, 'Kit Delivery Status'!$U:$U, 'Kit Delivery Status'!$K:$K) = "Issue", "ISSUE"), "")</f>
        <v/>
      </c>
      <c r="AM1895" s="6"/>
    </row>
    <row r="1896">
      <c r="A1896" s="5" t="s">
        <v>9331</v>
      </c>
      <c r="B1896" s="1" t="s">
        <v>9332</v>
      </c>
      <c r="C1896" s="1" t="s">
        <v>9333</v>
      </c>
      <c r="D1896" s="2">
        <v>6.03730754E9</v>
      </c>
      <c r="E1896" s="1" t="s">
        <v>9334</v>
      </c>
      <c r="F1896" s="1" t="s">
        <v>9335</v>
      </c>
      <c r="G1896" s="1" t="s">
        <v>751</v>
      </c>
      <c r="H1896" s="1" t="s">
        <v>751</v>
      </c>
      <c r="I1896" s="1">
        <v>10022.0</v>
      </c>
      <c r="J1896" s="1" t="s">
        <v>752</v>
      </c>
      <c r="K1896" s="1" t="s">
        <v>892</v>
      </c>
      <c r="L1896" s="1" t="s">
        <v>9336</v>
      </c>
      <c r="M1896" s="1">
        <v>109.0</v>
      </c>
      <c r="N1896" s="1" t="s">
        <v>1152</v>
      </c>
      <c r="O1896" s="3"/>
      <c r="P1896" s="1" t="s">
        <v>1152</v>
      </c>
      <c r="Q1896" s="1" t="s">
        <v>1152</v>
      </c>
      <c r="R1896" s="1" t="s">
        <v>9335</v>
      </c>
      <c r="S1896" s="1"/>
      <c r="T1896" s="1" t="s">
        <v>1152</v>
      </c>
      <c r="U1896" s="1"/>
      <c r="V1896" s="4"/>
      <c r="W1896" s="1" t="s">
        <v>9335</v>
      </c>
      <c r="X1896" s="1" t="s">
        <v>1152</v>
      </c>
      <c r="Y1896" s="1" t="s">
        <v>1152</v>
      </c>
      <c r="Z1896" s="1"/>
      <c r="AA1896" s="1" t="s">
        <v>9335</v>
      </c>
      <c r="AB1896" s="1"/>
      <c r="AC1896" s="1" t="s">
        <v>1925</v>
      </c>
      <c r="AD1896" s="1"/>
      <c r="AE1896" s="18">
        <v>46158.0</v>
      </c>
      <c r="AF1896" s="1" t="s">
        <v>1349</v>
      </c>
      <c r="AG1896" s="1" t="s">
        <v>124</v>
      </c>
      <c r="AH1896" s="1" t="s">
        <v>9337</v>
      </c>
      <c r="AI1896" s="1"/>
      <c r="AJ1896" s="1" t="s">
        <v>9338</v>
      </c>
      <c r="AK1896" s="1" t="s">
        <v>1152</v>
      </c>
      <c r="AL1896" s="6" t="str">
        <f t="array" ref="AL1896">IFERROR(IFS(XLOOKUP(B1896, 'Kit Delivery Status'!$U:$U, 'Kit Delivery Status'!$K:$K) = "Complete", "DELIVERED", XLOOKUP(B1896, 'Kit Delivery Status'!$U:$U, 'Kit Delivery Status'!$K:$K) = "Issue", "ISSUE"), "")</f>
        <v/>
      </c>
      <c r="AM1896" s="6"/>
    </row>
    <row r="1897">
      <c r="A1897" s="5" t="s">
        <v>9339</v>
      </c>
      <c r="B1897" s="1" t="s">
        <v>9340</v>
      </c>
      <c r="C1897" s="1" t="s">
        <v>9341</v>
      </c>
      <c r="D1897" s="2">
        <v>4.087991099E9</v>
      </c>
      <c r="E1897" s="1" t="s">
        <v>9342</v>
      </c>
      <c r="F1897" s="1"/>
      <c r="G1897" s="1" t="s">
        <v>1556</v>
      </c>
      <c r="H1897" s="1" t="s">
        <v>989</v>
      </c>
      <c r="I1897" s="1" t="s">
        <v>9343</v>
      </c>
      <c r="J1897" s="1" t="s">
        <v>752</v>
      </c>
      <c r="K1897" s="1" t="s">
        <v>42</v>
      </c>
      <c r="L1897" s="1" t="s">
        <v>6819</v>
      </c>
      <c r="M1897" s="1">
        <v>49.0</v>
      </c>
      <c r="N1897" s="1" t="s">
        <v>1152</v>
      </c>
      <c r="O1897" s="3" t="s">
        <v>1557</v>
      </c>
      <c r="P1897" s="1" t="s">
        <v>1152</v>
      </c>
      <c r="Q1897" s="1" t="s">
        <v>1152</v>
      </c>
      <c r="R1897" s="1"/>
      <c r="S1897" s="1"/>
      <c r="T1897" s="1" t="s">
        <v>1152</v>
      </c>
      <c r="U1897" s="1" t="s">
        <v>982</v>
      </c>
      <c r="V1897" s="4" t="s">
        <v>1557</v>
      </c>
      <c r="W1897" s="1"/>
      <c r="X1897" s="1" t="s">
        <v>1152</v>
      </c>
      <c r="Y1897" s="1" t="s">
        <v>1152</v>
      </c>
      <c r="Z1897" s="1"/>
      <c r="AA1897" s="1"/>
      <c r="AB1897" s="1"/>
      <c r="AC1897" s="1" t="s">
        <v>1925</v>
      </c>
      <c r="AD1897" s="1"/>
      <c r="AE1897" s="18">
        <v>46140.0</v>
      </c>
      <c r="AF1897" s="1" t="s">
        <v>1349</v>
      </c>
      <c r="AG1897" s="1" t="s">
        <v>52</v>
      </c>
      <c r="AH1897" s="1" t="s">
        <v>1152</v>
      </c>
      <c r="AI1897" s="1"/>
      <c r="AJ1897" s="1" t="s">
        <v>1555</v>
      </c>
      <c r="AK1897" s="1" t="s">
        <v>1152</v>
      </c>
      <c r="AL1897" s="6" t="str">
        <f t="array" ref="AL1897">IFERROR(IFS(XLOOKUP(B1897, 'Kit Delivery Status'!$U:$U, 'Kit Delivery Status'!$K:$K) = "Complete", "DELIVERED", XLOOKUP(B1897, 'Kit Delivery Status'!$U:$U, 'Kit Delivery Status'!$K:$K) = "Issue", "ISSUE"), "")</f>
        <v/>
      </c>
      <c r="AM1897" s="6"/>
    </row>
    <row r="1898">
      <c r="A1898" s="5" t="s">
        <v>9344</v>
      </c>
      <c r="B1898" s="1" t="s">
        <v>9345</v>
      </c>
      <c r="C1898" s="1" t="s">
        <v>9346</v>
      </c>
      <c r="D1898" s="2">
        <v>9.49254816E9</v>
      </c>
      <c r="E1898" s="1" t="s">
        <v>250</v>
      </c>
      <c r="F1898" s="1"/>
      <c r="G1898" s="1" t="s">
        <v>1983</v>
      </c>
      <c r="H1898" s="1" t="s">
        <v>989</v>
      </c>
      <c r="I1898" s="1">
        <v>92618.0</v>
      </c>
      <c r="J1898" s="1" t="s">
        <v>752</v>
      </c>
      <c r="K1898" s="1" t="s">
        <v>2131</v>
      </c>
      <c r="L1898" s="1" t="s">
        <v>5767</v>
      </c>
      <c r="M1898" s="1">
        <v>1.0</v>
      </c>
      <c r="N1898" s="1" t="s">
        <v>1152</v>
      </c>
      <c r="O1898" s="3" t="s">
        <v>204</v>
      </c>
      <c r="P1898" s="1" t="s">
        <v>1152</v>
      </c>
      <c r="Q1898" s="1" t="s">
        <v>1152</v>
      </c>
      <c r="R1898" s="1"/>
      <c r="S1898" s="1"/>
      <c r="T1898" s="1" t="s">
        <v>1152</v>
      </c>
      <c r="U1898" s="1" t="s">
        <v>1148</v>
      </c>
      <c r="V1898" s="4" t="s">
        <v>204</v>
      </c>
      <c r="W1898" s="1"/>
      <c r="X1898" s="1" t="s">
        <v>1152</v>
      </c>
      <c r="Y1898" s="1" t="s">
        <v>1152</v>
      </c>
      <c r="Z1898" s="1"/>
      <c r="AA1898" s="1"/>
      <c r="AB1898" s="1"/>
      <c r="AC1898" s="1" t="s">
        <v>1925</v>
      </c>
      <c r="AD1898" s="1"/>
      <c r="AE1898" s="18">
        <v>46160.0</v>
      </c>
      <c r="AF1898" s="1"/>
      <c r="AG1898" s="1"/>
      <c r="AH1898" s="1" t="s">
        <v>1152</v>
      </c>
      <c r="AI1898" s="1"/>
      <c r="AJ1898" s="1" t="s">
        <v>886</v>
      </c>
      <c r="AK1898" s="1" t="s">
        <v>1152</v>
      </c>
      <c r="AL1898" s="6" t="str">
        <f t="array" ref="AL1898">IFERROR(IFS(XLOOKUP(B1898, 'Kit Delivery Status'!$U:$U, 'Kit Delivery Status'!$K:$K) = "Complete", "DELIVERED", XLOOKUP(B1898, 'Kit Delivery Status'!$U:$U, 'Kit Delivery Status'!$K:$K) = "Issue", "ISSUE"), "")</f>
        <v/>
      </c>
      <c r="AM1898" s="6"/>
    </row>
    <row r="1899">
      <c r="A1899" s="5" t="s">
        <v>9344</v>
      </c>
      <c r="B1899" s="1" t="s">
        <v>9345</v>
      </c>
      <c r="C1899" s="1" t="s">
        <v>9346</v>
      </c>
      <c r="D1899" s="2">
        <v>9.49254816E9</v>
      </c>
      <c r="E1899" s="1" t="s">
        <v>250</v>
      </c>
      <c r="F1899" s="1"/>
      <c r="G1899" s="1" t="s">
        <v>1983</v>
      </c>
      <c r="H1899" s="1" t="s">
        <v>989</v>
      </c>
      <c r="I1899" s="1">
        <v>92618.0</v>
      </c>
      <c r="J1899" s="1" t="s">
        <v>752</v>
      </c>
      <c r="K1899" s="1" t="s">
        <v>42</v>
      </c>
      <c r="L1899" s="1" t="s">
        <v>6819</v>
      </c>
      <c r="M1899" s="1">
        <v>49.0</v>
      </c>
      <c r="N1899" s="1" t="s">
        <v>1152</v>
      </c>
      <c r="O1899" s="3" t="s">
        <v>204</v>
      </c>
      <c r="P1899" s="1" t="s">
        <v>1152</v>
      </c>
      <c r="Q1899" s="1" t="s">
        <v>1152</v>
      </c>
      <c r="R1899" s="1"/>
      <c r="S1899" s="1"/>
      <c r="T1899" s="1" t="s">
        <v>1152</v>
      </c>
      <c r="U1899" s="1" t="s">
        <v>1148</v>
      </c>
      <c r="V1899" s="4" t="s">
        <v>204</v>
      </c>
      <c r="W1899" s="1"/>
      <c r="X1899" s="1" t="s">
        <v>1152</v>
      </c>
      <c r="Y1899" s="1" t="s">
        <v>1152</v>
      </c>
      <c r="Z1899" s="1"/>
      <c r="AA1899" s="1"/>
      <c r="AB1899" s="1"/>
      <c r="AC1899" s="1" t="s">
        <v>1925</v>
      </c>
      <c r="AD1899" s="1"/>
      <c r="AE1899" s="18">
        <v>46160.0</v>
      </c>
      <c r="AF1899" s="1" t="s">
        <v>1030</v>
      </c>
      <c r="AG1899" s="1" t="s">
        <v>52</v>
      </c>
      <c r="AH1899" s="1" t="s">
        <v>1152</v>
      </c>
      <c r="AI1899" s="1"/>
      <c r="AJ1899" s="1" t="s">
        <v>886</v>
      </c>
      <c r="AK1899" s="1" t="s">
        <v>1152</v>
      </c>
      <c r="AL1899" s="6" t="str">
        <f t="array" ref="AL1899">IFERROR(IFS(XLOOKUP(B1899, 'Kit Delivery Status'!$U:$U, 'Kit Delivery Status'!$K:$K) = "Complete", "DELIVERED", XLOOKUP(B1899, 'Kit Delivery Status'!$U:$U, 'Kit Delivery Status'!$K:$K) = "Issue", "ISSUE"), "")</f>
        <v/>
      </c>
      <c r="AM1899" s="6"/>
    </row>
    <row r="1900">
      <c r="A1900" s="5" t="s">
        <v>9347</v>
      </c>
      <c r="B1900" s="1" t="s">
        <v>9348</v>
      </c>
      <c r="C1900" s="1" t="s">
        <v>9349</v>
      </c>
      <c r="D1900" s="2">
        <v>3.202671696E9</v>
      </c>
      <c r="E1900" s="1" t="s">
        <v>9350</v>
      </c>
      <c r="F1900" s="1"/>
      <c r="G1900" s="1" t="s">
        <v>2074</v>
      </c>
      <c r="H1900" s="1" t="s">
        <v>1208</v>
      </c>
      <c r="I1900" s="1">
        <v>33418.0</v>
      </c>
      <c r="J1900" s="1" t="s">
        <v>752</v>
      </c>
      <c r="K1900" s="1" t="s">
        <v>42</v>
      </c>
      <c r="L1900" s="1" t="s">
        <v>7863</v>
      </c>
      <c r="M1900" s="1">
        <v>79.0</v>
      </c>
      <c r="N1900" s="1" t="s">
        <v>1152</v>
      </c>
      <c r="O1900" s="3" t="s">
        <v>4871</v>
      </c>
      <c r="P1900" s="1" t="s">
        <v>1152</v>
      </c>
      <c r="Q1900" s="1" t="s">
        <v>1152</v>
      </c>
      <c r="R1900" s="1"/>
      <c r="S1900" s="1"/>
      <c r="T1900" s="1" t="s">
        <v>1152</v>
      </c>
      <c r="U1900" s="1" t="s">
        <v>7909</v>
      </c>
      <c r="V1900" s="4" t="s">
        <v>4871</v>
      </c>
      <c r="W1900" s="1"/>
      <c r="X1900" s="1" t="s">
        <v>1152</v>
      </c>
      <c r="Y1900" s="1" t="s">
        <v>1152</v>
      </c>
      <c r="Z1900" s="1"/>
      <c r="AA1900" s="1"/>
      <c r="AB1900" s="1"/>
      <c r="AC1900" s="1" t="s">
        <v>1925</v>
      </c>
      <c r="AD1900" s="1"/>
      <c r="AE1900" s="18">
        <v>46149.0</v>
      </c>
      <c r="AF1900" s="1" t="s">
        <v>1030</v>
      </c>
      <c r="AG1900" s="1" t="s">
        <v>52</v>
      </c>
      <c r="AH1900" s="1" t="s">
        <v>1152</v>
      </c>
      <c r="AI1900" s="1"/>
      <c r="AJ1900" s="1" t="s">
        <v>4380</v>
      </c>
      <c r="AK1900" s="1" t="s">
        <v>1152</v>
      </c>
      <c r="AL1900" s="6" t="str">
        <f t="array" ref="AL1900">IFERROR(IFS(XLOOKUP(B1900, 'Kit Delivery Status'!$U:$U, 'Kit Delivery Status'!$K:$K) = "Complete", "DELIVERED", XLOOKUP(B1900, 'Kit Delivery Status'!$U:$U, 'Kit Delivery Status'!$K:$K) = "Issue", "ISSUE"), "")</f>
        <v/>
      </c>
      <c r="AM1900" s="6"/>
    </row>
    <row r="1901">
      <c r="A1901" s="5" t="s">
        <v>9351</v>
      </c>
      <c r="B1901" s="1" t="s">
        <v>9352</v>
      </c>
      <c r="C1901" s="1"/>
      <c r="D1901" s="2"/>
      <c r="E1901" s="1" t="s">
        <v>9353</v>
      </c>
      <c r="F1901" s="1"/>
      <c r="G1901" s="1" t="s">
        <v>1528</v>
      </c>
      <c r="H1901" s="1" t="s">
        <v>1053</v>
      </c>
      <c r="I1901" s="1">
        <v>7631.0</v>
      </c>
      <c r="J1901" s="1" t="s">
        <v>752</v>
      </c>
      <c r="K1901" s="1" t="s">
        <v>42</v>
      </c>
      <c r="L1901" s="1" t="s">
        <v>7863</v>
      </c>
      <c r="M1901" s="1">
        <v>79.0</v>
      </c>
      <c r="N1901" s="1" t="s">
        <v>1152</v>
      </c>
      <c r="O1901" s="3" t="s">
        <v>9354</v>
      </c>
      <c r="P1901" s="1" t="s">
        <v>1152</v>
      </c>
      <c r="Q1901" s="1" t="s">
        <v>1152</v>
      </c>
      <c r="R1901" s="1"/>
      <c r="S1901" s="1"/>
      <c r="T1901" s="1" t="s">
        <v>1152</v>
      </c>
      <c r="U1901" s="1" t="s">
        <v>982</v>
      </c>
      <c r="V1901" s="4" t="s">
        <v>9354</v>
      </c>
      <c r="W1901" s="1"/>
      <c r="X1901" s="1" t="s">
        <v>1152</v>
      </c>
      <c r="Y1901" s="1" t="s">
        <v>1152</v>
      </c>
      <c r="Z1901" s="1"/>
      <c r="AA1901" s="1"/>
      <c r="AB1901" s="1"/>
      <c r="AC1901" s="1" t="s">
        <v>1925</v>
      </c>
      <c r="AD1901" s="1"/>
      <c r="AE1901" s="18">
        <v>46148.0</v>
      </c>
      <c r="AF1901" s="1" t="s">
        <v>1349</v>
      </c>
      <c r="AG1901" s="1" t="s">
        <v>52</v>
      </c>
      <c r="AH1901" s="1" t="s">
        <v>1152</v>
      </c>
      <c r="AI1901" s="1"/>
      <c r="AJ1901" s="1" t="s">
        <v>9353</v>
      </c>
      <c r="AK1901" s="1" t="s">
        <v>1152</v>
      </c>
      <c r="AL1901" s="6" t="str">
        <f t="array" ref="AL1901">IFERROR(IFS(XLOOKUP(B1901, 'Kit Delivery Status'!$U:$U, 'Kit Delivery Status'!$K:$K) = "Complete", "DELIVERED", XLOOKUP(B1901, 'Kit Delivery Status'!$U:$U, 'Kit Delivery Status'!$K:$K) = "Issue", "ISSUE"), "")</f>
        <v/>
      </c>
      <c r="AM1901" s="6"/>
    </row>
    <row r="1902">
      <c r="A1902" s="5" t="s">
        <v>9355</v>
      </c>
      <c r="B1902" s="1" t="s">
        <v>9356</v>
      </c>
      <c r="C1902" s="1" t="s">
        <v>4204</v>
      </c>
      <c r="D1902" s="2">
        <v>2.025909778E9</v>
      </c>
      <c r="E1902" s="1" t="s">
        <v>9357</v>
      </c>
      <c r="F1902" s="1"/>
      <c r="G1902" s="1" t="s">
        <v>4206</v>
      </c>
      <c r="H1902" s="1" t="s">
        <v>1053</v>
      </c>
      <c r="I1902" s="1">
        <v>8690.0</v>
      </c>
      <c r="J1902" s="1" t="s">
        <v>752</v>
      </c>
      <c r="K1902" s="1" t="s">
        <v>42</v>
      </c>
      <c r="L1902" s="1" t="s">
        <v>6819</v>
      </c>
      <c r="M1902" s="1">
        <v>49.0</v>
      </c>
      <c r="N1902" s="1" t="s">
        <v>1152</v>
      </c>
      <c r="O1902" s="3" t="s">
        <v>3684</v>
      </c>
      <c r="P1902" s="1" t="s">
        <v>1152</v>
      </c>
      <c r="Q1902" s="1" t="s">
        <v>1152</v>
      </c>
      <c r="R1902" s="1"/>
      <c r="S1902" s="1"/>
      <c r="T1902" s="1" t="s">
        <v>1152</v>
      </c>
      <c r="U1902" s="1" t="s">
        <v>948</v>
      </c>
      <c r="V1902" s="4" t="s">
        <v>3684</v>
      </c>
      <c r="W1902" s="1"/>
      <c r="X1902" s="1" t="s">
        <v>1152</v>
      </c>
      <c r="Y1902" s="1" t="s">
        <v>1152</v>
      </c>
      <c r="Z1902" s="1"/>
      <c r="AA1902" s="1"/>
      <c r="AB1902" s="1"/>
      <c r="AC1902" s="1" t="s">
        <v>1925</v>
      </c>
      <c r="AD1902" s="1"/>
      <c r="AE1902" s="18">
        <v>46149.0</v>
      </c>
      <c r="AF1902" s="1" t="s">
        <v>1630</v>
      </c>
      <c r="AG1902" s="1" t="s">
        <v>52</v>
      </c>
      <c r="AH1902" s="1" t="s">
        <v>1152</v>
      </c>
      <c r="AI1902" s="1"/>
      <c r="AJ1902" s="1" t="s">
        <v>9357</v>
      </c>
      <c r="AK1902" s="1" t="s">
        <v>1152</v>
      </c>
      <c r="AL1902" s="6" t="str">
        <f t="array" ref="AL1902">IFERROR(IFS(XLOOKUP(B1902, 'Kit Delivery Status'!$U:$U, 'Kit Delivery Status'!$K:$K) = "Complete", "DELIVERED", XLOOKUP(B1902, 'Kit Delivery Status'!$U:$U, 'Kit Delivery Status'!$K:$K) = "Issue", "ISSUE"), "")</f>
        <v/>
      </c>
      <c r="AM1902" s="6"/>
    </row>
    <row r="1903">
      <c r="A1903" s="5" t="s">
        <v>9358</v>
      </c>
      <c r="B1903" s="1" t="s">
        <v>9359</v>
      </c>
      <c r="C1903" s="1" t="s">
        <v>194</v>
      </c>
      <c r="D1903" s="2"/>
      <c r="E1903" s="1" t="s">
        <v>9360</v>
      </c>
      <c r="F1903" s="1"/>
      <c r="G1903" s="1" t="s">
        <v>9361</v>
      </c>
      <c r="H1903" s="1" t="s">
        <v>989</v>
      </c>
      <c r="I1903" s="1">
        <v>90274.0</v>
      </c>
      <c r="J1903" s="1" t="s">
        <v>752</v>
      </c>
      <c r="K1903" s="1" t="s">
        <v>42</v>
      </c>
      <c r="L1903" s="1" t="s">
        <v>6819</v>
      </c>
      <c r="M1903" s="1">
        <v>49.0</v>
      </c>
      <c r="N1903" s="1" t="s">
        <v>1152</v>
      </c>
      <c r="O1903" s="3" t="s">
        <v>9362</v>
      </c>
      <c r="P1903" s="1" t="s">
        <v>1152</v>
      </c>
      <c r="Q1903" s="1" t="s">
        <v>1152</v>
      </c>
      <c r="R1903" s="1"/>
      <c r="S1903" s="1"/>
      <c r="T1903" s="1" t="s">
        <v>1152</v>
      </c>
      <c r="U1903" s="1" t="s">
        <v>956</v>
      </c>
      <c r="V1903" s="4" t="s">
        <v>9362</v>
      </c>
      <c r="W1903" s="1"/>
      <c r="X1903" s="1" t="s">
        <v>1152</v>
      </c>
      <c r="Y1903" s="1" t="s">
        <v>1152</v>
      </c>
      <c r="Z1903" s="1"/>
      <c r="AA1903" s="1"/>
      <c r="AB1903" s="1"/>
      <c r="AC1903" s="1" t="s">
        <v>1925</v>
      </c>
      <c r="AD1903" s="1"/>
      <c r="AE1903" s="18">
        <v>46149.0</v>
      </c>
      <c r="AF1903" s="1" t="s">
        <v>1440</v>
      </c>
      <c r="AG1903" s="1" t="s">
        <v>52</v>
      </c>
      <c r="AH1903" s="1" t="s">
        <v>1152</v>
      </c>
      <c r="AI1903" s="1"/>
      <c r="AJ1903" s="1" t="s">
        <v>196</v>
      </c>
      <c r="AK1903" s="1" t="s">
        <v>1152</v>
      </c>
      <c r="AL1903" s="6" t="str">
        <f t="array" ref="AL1903">IFERROR(IFS(XLOOKUP(B1903, 'Kit Delivery Status'!$U:$U, 'Kit Delivery Status'!$K:$K) = "Complete", "DELIVERED", XLOOKUP(B1903, 'Kit Delivery Status'!$U:$U, 'Kit Delivery Status'!$K:$K) = "Issue", "ISSUE"), "")</f>
        <v/>
      </c>
      <c r="AM1903" s="6"/>
    </row>
    <row r="1904">
      <c r="A1904" s="5" t="s">
        <v>9363</v>
      </c>
      <c r="B1904" s="1" t="s">
        <v>9364</v>
      </c>
      <c r="C1904" s="1" t="s">
        <v>9365</v>
      </c>
      <c r="D1904" s="2">
        <v>9.148498141E9</v>
      </c>
      <c r="E1904" s="1" t="s">
        <v>463</v>
      </c>
      <c r="F1904" s="1"/>
      <c r="G1904" s="1" t="s">
        <v>9366</v>
      </c>
      <c r="H1904" s="1" t="s">
        <v>751</v>
      </c>
      <c r="I1904" s="1">
        <v>10549.0</v>
      </c>
      <c r="J1904" s="1" t="s">
        <v>752</v>
      </c>
      <c r="K1904" s="1" t="s">
        <v>42</v>
      </c>
      <c r="L1904" s="1" t="s">
        <v>6819</v>
      </c>
      <c r="M1904" s="1">
        <v>49.0</v>
      </c>
      <c r="N1904" s="1" t="s">
        <v>1152</v>
      </c>
      <c r="O1904" s="3" t="s">
        <v>77</v>
      </c>
      <c r="P1904" s="1" t="s">
        <v>1152</v>
      </c>
      <c r="Q1904" s="1" t="s">
        <v>1152</v>
      </c>
      <c r="R1904" s="1"/>
      <c r="S1904" s="1"/>
      <c r="T1904" s="1" t="s">
        <v>1152</v>
      </c>
      <c r="U1904" s="1" t="s">
        <v>1133</v>
      </c>
      <c r="V1904" s="4" t="s">
        <v>77</v>
      </c>
      <c r="W1904" s="1"/>
      <c r="X1904" s="1" t="s">
        <v>1152</v>
      </c>
      <c r="Y1904" s="1" t="s">
        <v>1152</v>
      </c>
      <c r="Z1904" s="1"/>
      <c r="AA1904" s="1"/>
      <c r="AB1904" s="1"/>
      <c r="AC1904" s="1" t="s">
        <v>1925</v>
      </c>
      <c r="AD1904" s="1"/>
      <c r="AE1904" s="18">
        <v>46148.0</v>
      </c>
      <c r="AF1904" s="1" t="s">
        <v>1030</v>
      </c>
      <c r="AG1904" s="1" t="s">
        <v>52</v>
      </c>
      <c r="AH1904" s="1" t="s">
        <v>1152</v>
      </c>
      <c r="AI1904" s="1"/>
      <c r="AJ1904" s="1" t="s">
        <v>463</v>
      </c>
      <c r="AK1904" s="1" t="s">
        <v>1152</v>
      </c>
      <c r="AL1904" s="6" t="str">
        <f t="array" ref="AL1904">IFERROR(IFS(XLOOKUP(B1904, 'Kit Delivery Status'!$U:$U, 'Kit Delivery Status'!$K:$K) = "Complete", "DELIVERED", XLOOKUP(B1904, 'Kit Delivery Status'!$U:$U, 'Kit Delivery Status'!$K:$K) = "Issue", "ISSUE"), "")</f>
        <v/>
      </c>
      <c r="AM1904" s="6"/>
    </row>
    <row r="1905">
      <c r="A1905" s="5" t="s">
        <v>9367</v>
      </c>
      <c r="B1905" s="1" t="s">
        <v>9368</v>
      </c>
      <c r="C1905" s="1"/>
      <c r="D1905" s="2">
        <v>4.258007251E9</v>
      </c>
      <c r="E1905" s="1" t="s">
        <v>4045</v>
      </c>
      <c r="F1905" s="1"/>
      <c r="G1905" s="1" t="s">
        <v>4046</v>
      </c>
      <c r="H1905" s="1" t="s">
        <v>980</v>
      </c>
      <c r="I1905" s="1">
        <v>98004.0</v>
      </c>
      <c r="J1905" s="1" t="s">
        <v>752</v>
      </c>
      <c r="K1905" s="1" t="s">
        <v>892</v>
      </c>
      <c r="L1905" s="1" t="s">
        <v>8006</v>
      </c>
      <c r="M1905" s="1">
        <v>49.0</v>
      </c>
      <c r="N1905" s="1" t="s">
        <v>1152</v>
      </c>
      <c r="O1905" s="3" t="s">
        <v>1881</v>
      </c>
      <c r="P1905" s="1" t="s">
        <v>1152</v>
      </c>
      <c r="Q1905" s="1" t="s">
        <v>1152</v>
      </c>
      <c r="R1905" s="1"/>
      <c r="S1905" s="1"/>
      <c r="T1905" s="1" t="s">
        <v>1152</v>
      </c>
      <c r="U1905" s="1" t="s">
        <v>1277</v>
      </c>
      <c r="V1905" s="4" t="s">
        <v>1881</v>
      </c>
      <c r="W1905" s="1"/>
      <c r="X1905" s="1" t="s">
        <v>1152</v>
      </c>
      <c r="Y1905" s="1" t="s">
        <v>1152</v>
      </c>
      <c r="Z1905" s="1"/>
      <c r="AA1905" s="1"/>
      <c r="AB1905" s="1"/>
      <c r="AC1905" s="1" t="s">
        <v>1925</v>
      </c>
      <c r="AD1905" s="1"/>
      <c r="AE1905" s="18">
        <v>46148.0</v>
      </c>
      <c r="AF1905" s="1" t="s">
        <v>1030</v>
      </c>
      <c r="AG1905" s="1" t="s">
        <v>52</v>
      </c>
      <c r="AH1905" s="1" t="s">
        <v>9369</v>
      </c>
      <c r="AI1905" s="1"/>
      <c r="AJ1905" s="1" t="s">
        <v>4045</v>
      </c>
      <c r="AK1905" s="1" t="s">
        <v>1152</v>
      </c>
      <c r="AL1905" s="6" t="str">
        <f t="array" ref="AL1905">IFERROR(IFS(XLOOKUP(B1905, 'Kit Delivery Status'!$U:$U, 'Kit Delivery Status'!$K:$K) = "Complete", "DELIVERED", XLOOKUP(B1905, 'Kit Delivery Status'!$U:$U, 'Kit Delivery Status'!$K:$K) = "Issue", "ISSUE"), "")</f>
        <v/>
      </c>
      <c r="AM1905" s="6"/>
    </row>
    <row r="1906">
      <c r="A1906" s="5" t="s">
        <v>9367</v>
      </c>
      <c r="B1906" s="1" t="s">
        <v>9368</v>
      </c>
      <c r="C1906" s="1"/>
      <c r="D1906" s="2">
        <v>4.258007251E9</v>
      </c>
      <c r="E1906" s="1" t="s">
        <v>4045</v>
      </c>
      <c r="F1906" s="1"/>
      <c r="G1906" s="1" t="s">
        <v>4046</v>
      </c>
      <c r="H1906" s="1" t="s">
        <v>980</v>
      </c>
      <c r="I1906" s="1">
        <v>98004.0</v>
      </c>
      <c r="J1906" s="1" t="s">
        <v>752</v>
      </c>
      <c r="K1906" s="1" t="s">
        <v>42</v>
      </c>
      <c r="L1906" s="1" t="s">
        <v>7863</v>
      </c>
      <c r="M1906" s="1">
        <v>79.0</v>
      </c>
      <c r="N1906" s="1" t="s">
        <v>1152</v>
      </c>
      <c r="O1906" s="3" t="s">
        <v>1881</v>
      </c>
      <c r="P1906" s="1" t="s">
        <v>1152</v>
      </c>
      <c r="Q1906" s="1" t="s">
        <v>1152</v>
      </c>
      <c r="R1906" s="1"/>
      <c r="S1906" s="1"/>
      <c r="T1906" s="1" t="s">
        <v>1152</v>
      </c>
      <c r="U1906" s="1" t="s">
        <v>1277</v>
      </c>
      <c r="V1906" s="4" t="s">
        <v>1881</v>
      </c>
      <c r="W1906" s="1"/>
      <c r="X1906" s="1" t="s">
        <v>1152</v>
      </c>
      <c r="Y1906" s="1" t="s">
        <v>1152</v>
      </c>
      <c r="Z1906" s="1"/>
      <c r="AA1906" s="1"/>
      <c r="AB1906" s="1"/>
      <c r="AC1906" s="1" t="s">
        <v>1925</v>
      </c>
      <c r="AD1906" s="1"/>
      <c r="AE1906" s="18">
        <v>46148.0</v>
      </c>
      <c r="AF1906" s="1" t="s">
        <v>1030</v>
      </c>
      <c r="AG1906" s="1" t="s">
        <v>52</v>
      </c>
      <c r="AH1906" s="1" t="s">
        <v>1152</v>
      </c>
      <c r="AI1906" s="1"/>
      <c r="AJ1906" s="1" t="s">
        <v>4045</v>
      </c>
      <c r="AK1906" s="1" t="s">
        <v>1152</v>
      </c>
      <c r="AL1906" s="6" t="str">
        <f t="array" ref="AL1906">IFERROR(IFS(XLOOKUP(B1906, 'Kit Delivery Status'!$U:$U, 'Kit Delivery Status'!$K:$K) = "Complete", "DELIVERED", XLOOKUP(B1906, 'Kit Delivery Status'!$U:$U, 'Kit Delivery Status'!$K:$K) = "Issue", "ISSUE"), "")</f>
        <v/>
      </c>
      <c r="AM1906" s="6"/>
    </row>
    <row r="1907">
      <c r="A1907" s="5" t="s">
        <v>9370</v>
      </c>
      <c r="B1907" s="1" t="s">
        <v>9371</v>
      </c>
      <c r="C1907" s="1" t="s">
        <v>471</v>
      </c>
      <c r="D1907" s="2">
        <v>4.752832419E9</v>
      </c>
      <c r="E1907" s="1" t="s">
        <v>473</v>
      </c>
      <c r="F1907" s="1"/>
      <c r="G1907" s="1" t="s">
        <v>1604</v>
      </c>
      <c r="H1907" s="1" t="s">
        <v>1078</v>
      </c>
      <c r="I1907" s="1">
        <v>6880.0</v>
      </c>
      <c r="J1907" s="1" t="s">
        <v>752</v>
      </c>
      <c r="K1907" s="1" t="s">
        <v>42</v>
      </c>
      <c r="L1907" s="1" t="s">
        <v>7863</v>
      </c>
      <c r="M1907" s="1">
        <v>79.0</v>
      </c>
      <c r="N1907" s="1" t="s">
        <v>1152</v>
      </c>
      <c r="O1907" s="3" t="s">
        <v>475</v>
      </c>
      <c r="P1907" s="1" t="s">
        <v>1152</v>
      </c>
      <c r="Q1907" s="1" t="s">
        <v>1152</v>
      </c>
      <c r="R1907" s="1"/>
      <c r="S1907" s="1"/>
      <c r="T1907" s="1" t="s">
        <v>1152</v>
      </c>
      <c r="U1907" s="1" t="s">
        <v>1148</v>
      </c>
      <c r="V1907" s="4" t="s">
        <v>475</v>
      </c>
      <c r="W1907" s="1"/>
      <c r="X1907" s="1" t="s">
        <v>1152</v>
      </c>
      <c r="Y1907" s="1" t="s">
        <v>1152</v>
      </c>
      <c r="Z1907" s="1"/>
      <c r="AA1907" s="1"/>
      <c r="AB1907" s="1"/>
      <c r="AC1907" s="1" t="s">
        <v>1925</v>
      </c>
      <c r="AD1907" s="1"/>
      <c r="AE1907" s="18">
        <v>46146.0</v>
      </c>
      <c r="AF1907" s="1" t="s">
        <v>1030</v>
      </c>
      <c r="AG1907" s="1" t="s">
        <v>52</v>
      </c>
      <c r="AH1907" s="1" t="s">
        <v>1152</v>
      </c>
      <c r="AI1907" s="1" t="s">
        <v>9372</v>
      </c>
      <c r="AJ1907" s="1" t="s">
        <v>9373</v>
      </c>
      <c r="AK1907" s="1" t="s">
        <v>1152</v>
      </c>
      <c r="AL1907" s="6" t="str">
        <f t="array" ref="AL1907">IFERROR(IFS(XLOOKUP(B1907, 'Kit Delivery Status'!$U:$U, 'Kit Delivery Status'!$K:$K) = "Complete", "DELIVERED", XLOOKUP(B1907, 'Kit Delivery Status'!$U:$U, 'Kit Delivery Status'!$K:$K) = "Issue", "ISSUE"), "")</f>
        <v/>
      </c>
      <c r="AM1907" s="6"/>
    </row>
    <row r="1908">
      <c r="A1908" s="5" t="s">
        <v>9374</v>
      </c>
      <c r="B1908" s="1" t="s">
        <v>9375</v>
      </c>
      <c r="C1908" s="1" t="s">
        <v>9376</v>
      </c>
      <c r="D1908" s="2">
        <v>6.172855518E9</v>
      </c>
      <c r="E1908" s="1" t="s">
        <v>9377</v>
      </c>
      <c r="F1908" s="1"/>
      <c r="G1908" s="1" t="s">
        <v>2625</v>
      </c>
      <c r="H1908" s="1" t="s">
        <v>1121</v>
      </c>
      <c r="I1908" s="1">
        <v>2492.0</v>
      </c>
      <c r="J1908" s="1" t="s">
        <v>752</v>
      </c>
      <c r="K1908" s="1" t="s">
        <v>42</v>
      </c>
      <c r="L1908" s="1" t="s">
        <v>6819</v>
      </c>
      <c r="M1908" s="1">
        <v>49.0</v>
      </c>
      <c r="N1908" s="1" t="s">
        <v>1152</v>
      </c>
      <c r="O1908" s="3" t="s">
        <v>9378</v>
      </c>
      <c r="P1908" s="1" t="s">
        <v>1152</v>
      </c>
      <c r="Q1908" s="1" t="s">
        <v>1152</v>
      </c>
      <c r="R1908" s="1"/>
      <c r="S1908" s="1"/>
      <c r="T1908" s="1" t="s">
        <v>1152</v>
      </c>
      <c r="U1908" s="1" t="s">
        <v>956</v>
      </c>
      <c r="V1908" s="4" t="s">
        <v>9378</v>
      </c>
      <c r="W1908" s="1"/>
      <c r="X1908" s="1" t="s">
        <v>1152</v>
      </c>
      <c r="Y1908" s="1" t="s">
        <v>1152</v>
      </c>
      <c r="Z1908" s="1"/>
      <c r="AA1908" s="1"/>
      <c r="AB1908" s="1"/>
      <c r="AC1908" s="1" t="s">
        <v>1925</v>
      </c>
      <c r="AD1908" s="1"/>
      <c r="AE1908" s="18">
        <v>46148.0</v>
      </c>
      <c r="AF1908" s="1" t="s">
        <v>1630</v>
      </c>
      <c r="AG1908" s="1" t="s">
        <v>52</v>
      </c>
      <c r="AH1908" s="1" t="s">
        <v>1152</v>
      </c>
      <c r="AI1908" s="1"/>
      <c r="AJ1908" s="1" t="s">
        <v>345</v>
      </c>
      <c r="AK1908" s="1" t="s">
        <v>1152</v>
      </c>
      <c r="AL1908" s="6" t="str">
        <f t="array" ref="AL1908">IFERROR(IFS(XLOOKUP(B1908, 'Kit Delivery Status'!$U:$U, 'Kit Delivery Status'!$K:$K) = "Complete", "DELIVERED", XLOOKUP(B1908, 'Kit Delivery Status'!$U:$U, 'Kit Delivery Status'!$K:$K) = "Issue", "ISSUE"), "")</f>
        <v/>
      </c>
      <c r="AM1908" s="6"/>
    </row>
    <row r="1909">
      <c r="A1909" s="5" t="s">
        <v>9379</v>
      </c>
      <c r="B1909" s="1" t="s">
        <v>9380</v>
      </c>
      <c r="C1909" s="1"/>
      <c r="D1909" s="2">
        <v>7.089816391E9</v>
      </c>
      <c r="E1909" s="1" t="s">
        <v>1426</v>
      </c>
      <c r="F1909" s="1"/>
      <c r="G1909" s="1" t="s">
        <v>1291</v>
      </c>
      <c r="H1909" s="1" t="s">
        <v>1019</v>
      </c>
      <c r="I1909" s="1">
        <v>60467.0</v>
      </c>
      <c r="J1909" s="1" t="s">
        <v>752</v>
      </c>
      <c r="K1909" s="1" t="s">
        <v>42</v>
      </c>
      <c r="L1909" s="1" t="s">
        <v>6819</v>
      </c>
      <c r="M1909" s="1">
        <v>49.0</v>
      </c>
      <c r="N1909" s="1" t="s">
        <v>1152</v>
      </c>
      <c r="O1909" s="3" t="s">
        <v>1292</v>
      </c>
      <c r="P1909" s="1" t="s">
        <v>1152</v>
      </c>
      <c r="Q1909" s="1" t="s">
        <v>1152</v>
      </c>
      <c r="R1909" s="1"/>
      <c r="S1909" s="1"/>
      <c r="T1909" s="1" t="s">
        <v>1152</v>
      </c>
      <c r="U1909" s="1" t="s">
        <v>1249</v>
      </c>
      <c r="V1909" s="4" t="s">
        <v>1292</v>
      </c>
      <c r="W1909" s="1"/>
      <c r="X1909" s="1" t="s">
        <v>1152</v>
      </c>
      <c r="Y1909" s="1" t="s">
        <v>1152</v>
      </c>
      <c r="Z1909" s="1"/>
      <c r="AA1909" s="1"/>
      <c r="AB1909" s="1"/>
      <c r="AC1909" s="1" t="s">
        <v>1925</v>
      </c>
      <c r="AD1909" s="1"/>
      <c r="AE1909" s="18">
        <v>46147.0</v>
      </c>
      <c r="AF1909" s="1" t="s">
        <v>1103</v>
      </c>
      <c r="AG1909" s="1" t="s">
        <v>52</v>
      </c>
      <c r="AH1909" s="1" t="s">
        <v>1152</v>
      </c>
      <c r="AI1909" s="1"/>
      <c r="AJ1909" s="1" t="s">
        <v>1426</v>
      </c>
      <c r="AK1909" s="1" t="s">
        <v>1152</v>
      </c>
      <c r="AL1909" s="6" t="str">
        <f t="array" ref="AL1909">IFERROR(IFS(XLOOKUP(B1909, 'Kit Delivery Status'!$U:$U, 'Kit Delivery Status'!$K:$K) = "Complete", "DELIVERED", XLOOKUP(B1909, 'Kit Delivery Status'!$U:$U, 'Kit Delivery Status'!$K:$K) = "Issue", "ISSUE"), "")</f>
        <v/>
      </c>
      <c r="AM1909" s="6"/>
    </row>
    <row r="1910">
      <c r="A1910" s="5" t="s">
        <v>9381</v>
      </c>
      <c r="B1910" s="1" t="s">
        <v>9382</v>
      </c>
      <c r="C1910" s="1" t="s">
        <v>9383</v>
      </c>
      <c r="D1910" s="2"/>
      <c r="E1910" s="1" t="s">
        <v>9384</v>
      </c>
      <c r="F1910" s="1"/>
      <c r="G1910" s="1" t="s">
        <v>751</v>
      </c>
      <c r="H1910" s="1" t="s">
        <v>751</v>
      </c>
      <c r="I1910" s="1">
        <v>10024.0</v>
      </c>
      <c r="J1910" s="1" t="s">
        <v>752</v>
      </c>
      <c r="K1910" s="1" t="s">
        <v>42</v>
      </c>
      <c r="L1910" s="1" t="s">
        <v>6819</v>
      </c>
      <c r="M1910" s="1">
        <v>49.0</v>
      </c>
      <c r="N1910" s="1" t="s">
        <v>1152</v>
      </c>
      <c r="O1910" s="3" t="s">
        <v>5432</v>
      </c>
      <c r="P1910" s="1" t="s">
        <v>1152</v>
      </c>
      <c r="Q1910" s="1" t="s">
        <v>1152</v>
      </c>
      <c r="R1910" s="1"/>
      <c r="S1910" s="1"/>
      <c r="T1910" s="1" t="s">
        <v>1152</v>
      </c>
      <c r="U1910" s="1" t="s">
        <v>1487</v>
      </c>
      <c r="V1910" s="4" t="s">
        <v>5432</v>
      </c>
      <c r="W1910" s="1"/>
      <c r="X1910" s="1" t="s">
        <v>1152</v>
      </c>
      <c r="Y1910" s="1" t="s">
        <v>1152</v>
      </c>
      <c r="Z1910" s="1"/>
      <c r="AA1910" s="1"/>
      <c r="AB1910" s="1"/>
      <c r="AC1910" s="1" t="s">
        <v>1925</v>
      </c>
      <c r="AD1910" s="1"/>
      <c r="AE1910" s="18">
        <v>46148.0</v>
      </c>
      <c r="AF1910" s="1" t="s">
        <v>3186</v>
      </c>
      <c r="AG1910" s="1" t="s">
        <v>52</v>
      </c>
      <c r="AH1910" s="1" t="s">
        <v>1152</v>
      </c>
      <c r="AI1910" s="1"/>
      <c r="AJ1910" s="1" t="s">
        <v>9385</v>
      </c>
      <c r="AK1910" s="1" t="s">
        <v>1152</v>
      </c>
      <c r="AL1910" s="6" t="str">
        <f t="array" ref="AL1910">IFERROR(IFS(XLOOKUP(B1910, 'Kit Delivery Status'!$U:$U, 'Kit Delivery Status'!$K:$K) = "Complete", "DELIVERED", XLOOKUP(B1910, 'Kit Delivery Status'!$U:$U, 'Kit Delivery Status'!$K:$K) = "Issue", "ISSUE"), "")</f>
        <v/>
      </c>
      <c r="AM1910" s="6"/>
    </row>
    <row r="1911">
      <c r="A1911" s="5" t="s">
        <v>9386</v>
      </c>
      <c r="B1911" s="1" t="s">
        <v>9387</v>
      </c>
      <c r="C1911" s="1" t="s">
        <v>9388</v>
      </c>
      <c r="D1911" s="2">
        <v>4.255328703E9</v>
      </c>
      <c r="E1911" s="1" t="s">
        <v>9389</v>
      </c>
      <c r="F1911" s="1"/>
      <c r="G1911" s="1" t="s">
        <v>9390</v>
      </c>
      <c r="H1911" s="1" t="s">
        <v>980</v>
      </c>
      <c r="I1911" s="1">
        <v>98033.0</v>
      </c>
      <c r="J1911" s="1" t="s">
        <v>752</v>
      </c>
      <c r="K1911" s="1" t="s">
        <v>42</v>
      </c>
      <c r="L1911" s="1" t="s">
        <v>6819</v>
      </c>
      <c r="M1911" s="1">
        <v>49.0</v>
      </c>
      <c r="N1911" s="1" t="s">
        <v>1152</v>
      </c>
      <c r="O1911" s="3" t="s">
        <v>3796</v>
      </c>
      <c r="P1911" s="1" t="s">
        <v>1152</v>
      </c>
      <c r="Q1911" s="1" t="s">
        <v>1152</v>
      </c>
      <c r="R1911" s="1"/>
      <c r="S1911" s="1"/>
      <c r="T1911" s="1" t="s">
        <v>1152</v>
      </c>
      <c r="U1911" s="1" t="s">
        <v>1148</v>
      </c>
      <c r="V1911" s="4" t="s">
        <v>3796</v>
      </c>
      <c r="W1911" s="1"/>
      <c r="X1911" s="1" t="s">
        <v>1152</v>
      </c>
      <c r="Y1911" s="1" t="s">
        <v>1152</v>
      </c>
      <c r="Z1911" s="1"/>
      <c r="AA1911" s="1"/>
      <c r="AB1911" s="1"/>
      <c r="AC1911" s="1" t="s">
        <v>1925</v>
      </c>
      <c r="AD1911" s="1"/>
      <c r="AE1911" s="18">
        <v>46149.0</v>
      </c>
      <c r="AF1911" s="1" t="s">
        <v>1030</v>
      </c>
      <c r="AG1911" s="1" t="s">
        <v>52</v>
      </c>
      <c r="AH1911" s="1" t="s">
        <v>1152</v>
      </c>
      <c r="AI1911" s="1"/>
      <c r="AJ1911" s="1" t="s">
        <v>9391</v>
      </c>
      <c r="AK1911" s="1" t="s">
        <v>1152</v>
      </c>
      <c r="AL1911" s="6" t="str">
        <f t="array" ref="AL1911">IFERROR(IFS(XLOOKUP(B1911, 'Kit Delivery Status'!$U:$U, 'Kit Delivery Status'!$K:$K) = "Complete", "DELIVERED", XLOOKUP(B1911, 'Kit Delivery Status'!$U:$U, 'Kit Delivery Status'!$K:$K) = "Issue", "ISSUE"), "")</f>
        <v/>
      </c>
      <c r="AM1911" s="6"/>
    </row>
    <row r="1912">
      <c r="A1912" s="5" t="s">
        <v>9392</v>
      </c>
      <c r="B1912" s="1" t="s">
        <v>9393</v>
      </c>
      <c r="C1912" s="1" t="s">
        <v>9394</v>
      </c>
      <c r="D1912" s="2">
        <v>9.14208607E9</v>
      </c>
      <c r="E1912" s="1" t="s">
        <v>9395</v>
      </c>
      <c r="F1912" s="1" t="s">
        <v>9396</v>
      </c>
      <c r="G1912" s="1" t="s">
        <v>3891</v>
      </c>
      <c r="H1912" s="1" t="s">
        <v>751</v>
      </c>
      <c r="I1912" s="1">
        <v>10510.0</v>
      </c>
      <c r="J1912" s="1" t="s">
        <v>752</v>
      </c>
      <c r="K1912" s="1" t="s">
        <v>892</v>
      </c>
      <c r="L1912" s="1" t="s">
        <v>8134</v>
      </c>
      <c r="M1912" s="1">
        <v>79.0</v>
      </c>
      <c r="N1912" s="1" t="s">
        <v>1152</v>
      </c>
      <c r="O1912" s="3"/>
      <c r="P1912" s="1" t="s">
        <v>1152</v>
      </c>
      <c r="Q1912" s="1" t="s">
        <v>1152</v>
      </c>
      <c r="R1912" s="1" t="s">
        <v>9396</v>
      </c>
      <c r="S1912" s="1"/>
      <c r="T1912" s="1" t="s">
        <v>1152</v>
      </c>
      <c r="U1912" s="1"/>
      <c r="V1912" s="4"/>
      <c r="W1912" s="1" t="s">
        <v>9396</v>
      </c>
      <c r="X1912" s="1" t="s">
        <v>1152</v>
      </c>
      <c r="Y1912" s="1" t="s">
        <v>1152</v>
      </c>
      <c r="Z1912" s="1"/>
      <c r="AA1912" s="1" t="s">
        <v>9396</v>
      </c>
      <c r="AB1912" s="1"/>
      <c r="AC1912" s="1" t="s">
        <v>1925</v>
      </c>
      <c r="AD1912" s="1"/>
      <c r="AE1912" s="18">
        <v>46158.0</v>
      </c>
      <c r="AF1912" s="1" t="s">
        <v>1103</v>
      </c>
      <c r="AG1912" s="1" t="s">
        <v>124</v>
      </c>
      <c r="AH1912" s="1" t="s">
        <v>9397</v>
      </c>
      <c r="AI1912" s="1"/>
      <c r="AJ1912" s="1" t="s">
        <v>9395</v>
      </c>
      <c r="AK1912" s="1" t="s">
        <v>1152</v>
      </c>
      <c r="AL1912" s="6" t="str">
        <f t="array" ref="AL1912">IFERROR(IFS(XLOOKUP(B1912, 'Kit Delivery Status'!$U:$U, 'Kit Delivery Status'!$K:$K) = "Complete", "DELIVERED", XLOOKUP(B1912, 'Kit Delivery Status'!$U:$U, 'Kit Delivery Status'!$K:$K) = "Issue", "ISSUE"), "")</f>
        <v/>
      </c>
      <c r="AM1912" s="6"/>
    </row>
    <row r="1913">
      <c r="A1913" s="5" t="s">
        <v>9398</v>
      </c>
      <c r="B1913" s="1" t="s">
        <v>9399</v>
      </c>
      <c r="C1913" s="1" t="s">
        <v>9400</v>
      </c>
      <c r="D1913" s="2">
        <v>5.619619128E9</v>
      </c>
      <c r="E1913" s="1" t="s">
        <v>9401</v>
      </c>
      <c r="F1913" s="1"/>
      <c r="G1913" s="1" t="s">
        <v>2350</v>
      </c>
      <c r="H1913" s="1" t="s">
        <v>1155</v>
      </c>
      <c r="I1913" s="1">
        <v>63105.0</v>
      </c>
      <c r="J1913" s="1" t="s">
        <v>752</v>
      </c>
      <c r="K1913" s="1" t="s">
        <v>6515</v>
      </c>
      <c r="L1913" s="1" t="s">
        <v>6516</v>
      </c>
      <c r="M1913" s="1">
        <v>400.0</v>
      </c>
      <c r="N1913" s="1" t="s">
        <v>1152</v>
      </c>
      <c r="O1913" s="3"/>
      <c r="P1913" s="1" t="s">
        <v>1152</v>
      </c>
      <c r="Q1913" s="1" t="s">
        <v>1152</v>
      </c>
      <c r="R1913" s="1"/>
      <c r="S1913" s="1"/>
      <c r="T1913" s="1" t="s">
        <v>1152</v>
      </c>
      <c r="U1913" s="1"/>
      <c r="V1913" s="4"/>
      <c r="W1913" s="1"/>
      <c r="X1913" s="1" t="s">
        <v>1152</v>
      </c>
      <c r="Y1913" s="1" t="s">
        <v>1152</v>
      </c>
      <c r="Z1913" s="1"/>
      <c r="AA1913" s="1"/>
      <c r="AB1913" s="1"/>
      <c r="AC1913" s="1" t="s">
        <v>9402</v>
      </c>
      <c r="AD1913" s="1"/>
      <c r="AE1913" s="18">
        <v>46158.0</v>
      </c>
      <c r="AF1913" s="1"/>
      <c r="AG1913" s="1"/>
      <c r="AH1913" s="1" t="s">
        <v>9403</v>
      </c>
      <c r="AI1913" s="1" t="s">
        <v>9404</v>
      </c>
      <c r="AJ1913" s="1"/>
      <c r="AK1913" s="1" t="s">
        <v>9405</v>
      </c>
      <c r="AL1913" s="6" t="str">
        <f t="array" ref="AL1913">IFERROR(IFS(XLOOKUP(B1913, 'Kit Delivery Status'!$U:$U, 'Kit Delivery Status'!$K:$K) = "Complete", "DELIVERED", XLOOKUP(B1913, 'Kit Delivery Status'!$U:$U, 'Kit Delivery Status'!$K:$K) = "Issue", "ISSUE"), "")</f>
        <v/>
      </c>
      <c r="AM1913" s="6"/>
    </row>
    <row r="1914">
      <c r="A1914" s="5" t="s">
        <v>9406</v>
      </c>
      <c r="B1914" s="1" t="s">
        <v>9407</v>
      </c>
      <c r="C1914" s="1" t="s">
        <v>9408</v>
      </c>
      <c r="D1914" s="2">
        <v>7.032232446E9</v>
      </c>
      <c r="E1914" s="1" t="s">
        <v>9409</v>
      </c>
      <c r="F1914" s="1"/>
      <c r="G1914" s="1" t="s">
        <v>6400</v>
      </c>
      <c r="H1914" s="1" t="s">
        <v>1038</v>
      </c>
      <c r="I1914" s="1">
        <v>22180.0</v>
      </c>
      <c r="J1914" s="1" t="s">
        <v>752</v>
      </c>
      <c r="K1914" s="1" t="s">
        <v>2131</v>
      </c>
      <c r="L1914" s="1" t="s">
        <v>5767</v>
      </c>
      <c r="M1914" s="1">
        <v>1.0</v>
      </c>
      <c r="N1914" s="1" t="s">
        <v>1152</v>
      </c>
      <c r="O1914" s="3" t="s">
        <v>9410</v>
      </c>
      <c r="P1914" s="1" t="s">
        <v>1152</v>
      </c>
      <c r="Q1914" s="1" t="s">
        <v>1152</v>
      </c>
      <c r="R1914" s="1"/>
      <c r="S1914" s="1"/>
      <c r="T1914" s="1" t="s">
        <v>1152</v>
      </c>
      <c r="U1914" s="1" t="s">
        <v>1080</v>
      </c>
      <c r="V1914" s="4" t="s">
        <v>9410</v>
      </c>
      <c r="W1914" s="1"/>
      <c r="X1914" s="1" t="s">
        <v>1152</v>
      </c>
      <c r="Y1914" s="1" t="s">
        <v>1152</v>
      </c>
      <c r="Z1914" s="1"/>
      <c r="AA1914" s="1"/>
      <c r="AB1914" s="1"/>
      <c r="AC1914" s="1" t="s">
        <v>1925</v>
      </c>
      <c r="AD1914" s="1"/>
      <c r="AE1914" s="18">
        <v>46146.0</v>
      </c>
      <c r="AF1914" s="1"/>
      <c r="AG1914" s="1"/>
      <c r="AH1914" s="1" t="s">
        <v>1152</v>
      </c>
      <c r="AI1914" s="1"/>
      <c r="AJ1914" s="1" t="s">
        <v>6403</v>
      </c>
      <c r="AK1914" s="1" t="s">
        <v>1152</v>
      </c>
      <c r="AL1914" s="6" t="str">
        <f t="array" ref="AL1914">IFERROR(IFS(XLOOKUP(B1914, 'Kit Delivery Status'!$U:$U, 'Kit Delivery Status'!$K:$K) = "Complete", "DELIVERED", XLOOKUP(B1914, 'Kit Delivery Status'!$U:$U, 'Kit Delivery Status'!$K:$K) = "Issue", "ISSUE"), "")</f>
        <v/>
      </c>
      <c r="AM1914" s="6"/>
    </row>
    <row r="1915">
      <c r="A1915" s="5" t="s">
        <v>9406</v>
      </c>
      <c r="B1915" s="1" t="s">
        <v>9407</v>
      </c>
      <c r="C1915" s="1" t="s">
        <v>9408</v>
      </c>
      <c r="D1915" s="2">
        <v>7.032232446E9</v>
      </c>
      <c r="E1915" s="1" t="s">
        <v>9409</v>
      </c>
      <c r="F1915" s="1"/>
      <c r="G1915" s="1" t="s">
        <v>6400</v>
      </c>
      <c r="H1915" s="1" t="s">
        <v>1038</v>
      </c>
      <c r="I1915" s="1">
        <v>22180.0</v>
      </c>
      <c r="J1915" s="1" t="s">
        <v>752</v>
      </c>
      <c r="K1915" s="1" t="s">
        <v>42</v>
      </c>
      <c r="L1915" s="1" t="s">
        <v>8393</v>
      </c>
      <c r="M1915" s="1">
        <v>109.0</v>
      </c>
      <c r="N1915" s="1" t="s">
        <v>1152</v>
      </c>
      <c r="O1915" s="3" t="s">
        <v>9410</v>
      </c>
      <c r="P1915" s="1" t="s">
        <v>1152</v>
      </c>
      <c r="Q1915" s="1" t="s">
        <v>1152</v>
      </c>
      <c r="R1915" s="1"/>
      <c r="S1915" s="1"/>
      <c r="T1915" s="1" t="s">
        <v>1152</v>
      </c>
      <c r="U1915" s="1" t="s">
        <v>1080</v>
      </c>
      <c r="V1915" s="4" t="s">
        <v>9410</v>
      </c>
      <c r="W1915" s="1"/>
      <c r="X1915" s="1" t="s">
        <v>1152</v>
      </c>
      <c r="Y1915" s="1" t="s">
        <v>1152</v>
      </c>
      <c r="Z1915" s="1"/>
      <c r="AA1915" s="1"/>
      <c r="AB1915" s="1"/>
      <c r="AC1915" s="1" t="s">
        <v>1925</v>
      </c>
      <c r="AD1915" s="1"/>
      <c r="AE1915" s="18">
        <v>46146.0</v>
      </c>
      <c r="AF1915" s="1" t="s">
        <v>1030</v>
      </c>
      <c r="AG1915" s="1" t="s">
        <v>52</v>
      </c>
      <c r="AH1915" s="1" t="s">
        <v>1152</v>
      </c>
      <c r="AI1915" s="1"/>
      <c r="AJ1915" s="1" t="s">
        <v>6403</v>
      </c>
      <c r="AK1915" s="1" t="s">
        <v>1152</v>
      </c>
      <c r="AL1915" s="6" t="str">
        <f t="array" ref="AL1915">IFERROR(IFS(XLOOKUP(B1915, 'Kit Delivery Status'!$U:$U, 'Kit Delivery Status'!$K:$K) = "Complete", "DELIVERED", XLOOKUP(B1915, 'Kit Delivery Status'!$U:$U, 'Kit Delivery Status'!$K:$K) = "Issue", "ISSUE"), "")</f>
        <v/>
      </c>
      <c r="AM1915" s="6"/>
    </row>
    <row r="1916">
      <c r="A1916" s="5" t="s">
        <v>9411</v>
      </c>
      <c r="B1916" s="1" t="s">
        <v>9412</v>
      </c>
      <c r="C1916" s="1"/>
      <c r="D1916" s="2">
        <v>2.022765494E9</v>
      </c>
      <c r="E1916" s="1" t="s">
        <v>9413</v>
      </c>
      <c r="F1916" s="1"/>
      <c r="G1916" s="1" t="s">
        <v>980</v>
      </c>
      <c r="H1916" s="1" t="s">
        <v>1063</v>
      </c>
      <c r="I1916" s="1">
        <v>20007.0</v>
      </c>
      <c r="J1916" s="1" t="s">
        <v>752</v>
      </c>
      <c r="K1916" s="1" t="s">
        <v>892</v>
      </c>
      <c r="L1916" s="1" t="s">
        <v>8006</v>
      </c>
      <c r="M1916" s="1">
        <v>49.0</v>
      </c>
      <c r="N1916" s="1" t="s">
        <v>1152</v>
      </c>
      <c r="O1916" s="3" t="s">
        <v>9414</v>
      </c>
      <c r="P1916" s="1" t="s">
        <v>1152</v>
      </c>
      <c r="Q1916" s="1" t="s">
        <v>1152</v>
      </c>
      <c r="R1916" s="1"/>
      <c r="S1916" s="1"/>
      <c r="T1916" s="1" t="s">
        <v>1152</v>
      </c>
      <c r="U1916" s="1" t="s">
        <v>1456</v>
      </c>
      <c r="V1916" s="4" t="s">
        <v>9414</v>
      </c>
      <c r="W1916" s="1"/>
      <c r="X1916" s="1" t="s">
        <v>1152</v>
      </c>
      <c r="Y1916" s="1" t="s">
        <v>1152</v>
      </c>
      <c r="Z1916" s="1"/>
      <c r="AA1916" s="1"/>
      <c r="AB1916" s="1"/>
      <c r="AC1916" s="1" t="s">
        <v>1925</v>
      </c>
      <c r="AD1916" s="1"/>
      <c r="AE1916" s="18">
        <v>46147.0</v>
      </c>
      <c r="AF1916" s="1" t="s">
        <v>1030</v>
      </c>
      <c r="AG1916" s="1" t="s">
        <v>52</v>
      </c>
      <c r="AH1916" s="1" t="s">
        <v>9415</v>
      </c>
      <c r="AI1916" s="1"/>
      <c r="AJ1916" s="1" t="s">
        <v>9413</v>
      </c>
      <c r="AK1916" s="1" t="s">
        <v>1152</v>
      </c>
      <c r="AL1916" s="6" t="str">
        <f t="array" ref="AL1916">IFERROR(IFS(XLOOKUP(B1916, 'Kit Delivery Status'!$U:$U, 'Kit Delivery Status'!$K:$K) = "Complete", "DELIVERED", XLOOKUP(B1916, 'Kit Delivery Status'!$U:$U, 'Kit Delivery Status'!$K:$K) = "Issue", "ISSUE"), "")</f>
        <v/>
      </c>
      <c r="AM1916" s="6"/>
    </row>
    <row r="1917">
      <c r="A1917" s="5" t="s">
        <v>9411</v>
      </c>
      <c r="B1917" s="1" t="s">
        <v>9412</v>
      </c>
      <c r="C1917" s="1"/>
      <c r="D1917" s="2">
        <v>2.022765494E9</v>
      </c>
      <c r="E1917" s="1" t="s">
        <v>9413</v>
      </c>
      <c r="F1917" s="1"/>
      <c r="G1917" s="1" t="s">
        <v>980</v>
      </c>
      <c r="H1917" s="1" t="s">
        <v>1063</v>
      </c>
      <c r="I1917" s="1">
        <v>20007.0</v>
      </c>
      <c r="J1917" s="1" t="s">
        <v>752</v>
      </c>
      <c r="K1917" s="1" t="s">
        <v>7981</v>
      </c>
      <c r="L1917" s="1" t="s">
        <v>6819</v>
      </c>
      <c r="M1917" s="1">
        <v>49.0</v>
      </c>
      <c r="N1917" s="1" t="s">
        <v>1152</v>
      </c>
      <c r="O1917" s="3" t="s">
        <v>9414</v>
      </c>
      <c r="P1917" s="1" t="s">
        <v>1152</v>
      </c>
      <c r="Q1917" s="1" t="s">
        <v>1152</v>
      </c>
      <c r="R1917" s="1"/>
      <c r="S1917" s="1"/>
      <c r="T1917" s="1" t="s">
        <v>1152</v>
      </c>
      <c r="U1917" s="1" t="s">
        <v>1456</v>
      </c>
      <c r="V1917" s="4" t="s">
        <v>9414</v>
      </c>
      <c r="W1917" s="1"/>
      <c r="X1917" s="1" t="s">
        <v>1152</v>
      </c>
      <c r="Y1917" s="1" t="s">
        <v>1152</v>
      </c>
      <c r="Z1917" s="1"/>
      <c r="AA1917" s="1"/>
      <c r="AB1917" s="1"/>
      <c r="AC1917" s="1" t="s">
        <v>1925</v>
      </c>
      <c r="AD1917" s="1"/>
      <c r="AE1917" s="18">
        <v>46147.0</v>
      </c>
      <c r="AF1917" s="1" t="s">
        <v>1030</v>
      </c>
      <c r="AG1917" s="1" t="s">
        <v>52</v>
      </c>
      <c r="AH1917" s="1" t="s">
        <v>1152</v>
      </c>
      <c r="AI1917" s="1"/>
      <c r="AJ1917" s="1" t="s">
        <v>9413</v>
      </c>
      <c r="AK1917" s="1" t="s">
        <v>1152</v>
      </c>
      <c r="AL1917" s="6" t="str">
        <f t="array" ref="AL1917">IFERROR(IFS(XLOOKUP(B1917, 'Kit Delivery Status'!$U:$U, 'Kit Delivery Status'!$K:$K) = "Complete", "DELIVERED", XLOOKUP(B1917, 'Kit Delivery Status'!$U:$U, 'Kit Delivery Status'!$K:$K) = "Issue", "ISSUE"), "")</f>
        <v/>
      </c>
      <c r="AM1917" s="6"/>
    </row>
    <row r="1918">
      <c r="A1918" s="5" t="s">
        <v>9416</v>
      </c>
      <c r="B1918" s="1" t="s">
        <v>9417</v>
      </c>
      <c r="C1918" s="1" t="s">
        <v>9418</v>
      </c>
      <c r="D1918" s="2"/>
      <c r="E1918" s="1" t="s">
        <v>9419</v>
      </c>
      <c r="F1918" s="1"/>
      <c r="G1918" s="1" t="s">
        <v>1582</v>
      </c>
      <c r="H1918" s="1" t="s">
        <v>1583</v>
      </c>
      <c r="I1918" s="1">
        <v>78704.0</v>
      </c>
      <c r="J1918" s="1" t="s">
        <v>752</v>
      </c>
      <c r="K1918" s="1" t="s">
        <v>42</v>
      </c>
      <c r="L1918" s="1" t="s">
        <v>7863</v>
      </c>
      <c r="M1918" s="1">
        <v>79.0</v>
      </c>
      <c r="N1918" s="1" t="s">
        <v>1152</v>
      </c>
      <c r="O1918" s="3" t="s">
        <v>9420</v>
      </c>
      <c r="P1918" s="1" t="s">
        <v>1152</v>
      </c>
      <c r="Q1918" s="1" t="s">
        <v>1152</v>
      </c>
      <c r="R1918" s="1"/>
      <c r="S1918" s="1"/>
      <c r="T1918" s="1" t="s">
        <v>1152</v>
      </c>
      <c r="U1918" s="1" t="s">
        <v>1065</v>
      </c>
      <c r="V1918" s="4" t="s">
        <v>9420</v>
      </c>
      <c r="W1918" s="1"/>
      <c r="X1918" s="1" t="s">
        <v>1152</v>
      </c>
      <c r="Y1918" s="1" t="s">
        <v>1152</v>
      </c>
      <c r="Z1918" s="1"/>
      <c r="AA1918" s="1"/>
      <c r="AB1918" s="1"/>
      <c r="AC1918" s="1" t="s">
        <v>1925</v>
      </c>
      <c r="AD1918" s="1"/>
      <c r="AE1918" s="18">
        <v>46148.0</v>
      </c>
      <c r="AF1918" s="1" t="s">
        <v>1030</v>
      </c>
      <c r="AG1918" s="1" t="s">
        <v>52</v>
      </c>
      <c r="AH1918" s="1" t="s">
        <v>1152</v>
      </c>
      <c r="AI1918" s="1"/>
      <c r="AJ1918" s="1" t="s">
        <v>9421</v>
      </c>
      <c r="AK1918" s="1" t="s">
        <v>1152</v>
      </c>
      <c r="AL1918" s="6" t="str">
        <f t="array" ref="AL1918">IFERROR(IFS(XLOOKUP(B1918, 'Kit Delivery Status'!$U:$U, 'Kit Delivery Status'!$K:$K) = "Complete", "DELIVERED", XLOOKUP(B1918, 'Kit Delivery Status'!$U:$U, 'Kit Delivery Status'!$K:$K) = "Issue", "ISSUE"), "")</f>
        <v/>
      </c>
      <c r="AM1918" s="6"/>
    </row>
    <row r="1919">
      <c r="A1919" s="5" t="s">
        <v>9422</v>
      </c>
      <c r="B1919" s="1" t="s">
        <v>9423</v>
      </c>
      <c r="C1919" s="1"/>
      <c r="D1919" s="2">
        <v>3.234014182E9</v>
      </c>
      <c r="E1919" s="1" t="s">
        <v>9424</v>
      </c>
      <c r="F1919" s="1"/>
      <c r="G1919" s="1" t="s">
        <v>1179</v>
      </c>
      <c r="H1919" s="1" t="s">
        <v>989</v>
      </c>
      <c r="I1919" s="1" t="s">
        <v>9425</v>
      </c>
      <c r="J1919" s="1" t="s">
        <v>752</v>
      </c>
      <c r="K1919" s="1" t="s">
        <v>42</v>
      </c>
      <c r="L1919" s="1" t="s">
        <v>8715</v>
      </c>
      <c r="M1919" s="1">
        <v>139.0</v>
      </c>
      <c r="N1919" s="1" t="s">
        <v>1152</v>
      </c>
      <c r="O1919" s="3" t="s">
        <v>6044</v>
      </c>
      <c r="P1919" s="1" t="s">
        <v>1152</v>
      </c>
      <c r="Q1919" s="1" t="s">
        <v>1152</v>
      </c>
      <c r="R1919" s="1"/>
      <c r="S1919" s="1"/>
      <c r="T1919" s="1" t="s">
        <v>1152</v>
      </c>
      <c r="U1919" s="1" t="s">
        <v>1039</v>
      </c>
      <c r="V1919" s="4" t="s">
        <v>6044</v>
      </c>
      <c r="W1919" s="1"/>
      <c r="X1919" s="1" t="s">
        <v>1152</v>
      </c>
      <c r="Y1919" s="1" t="s">
        <v>1152</v>
      </c>
      <c r="Z1919" s="1"/>
      <c r="AA1919" s="1"/>
      <c r="AB1919" s="1"/>
      <c r="AC1919" s="1" t="s">
        <v>1925</v>
      </c>
      <c r="AD1919" s="1"/>
      <c r="AE1919" s="18">
        <v>46141.0</v>
      </c>
      <c r="AF1919" s="1" t="s">
        <v>1030</v>
      </c>
      <c r="AG1919" s="1" t="s">
        <v>52</v>
      </c>
      <c r="AH1919" s="1" t="s">
        <v>1152</v>
      </c>
      <c r="AI1919" s="1"/>
      <c r="AJ1919" s="1" t="s">
        <v>9424</v>
      </c>
      <c r="AK1919" s="1" t="s">
        <v>1152</v>
      </c>
      <c r="AL1919" s="6" t="str">
        <f t="array" ref="AL1919">IFERROR(IFS(XLOOKUP(B1919, 'Kit Delivery Status'!$U:$U, 'Kit Delivery Status'!$K:$K) = "Complete", "DELIVERED", XLOOKUP(B1919, 'Kit Delivery Status'!$U:$U, 'Kit Delivery Status'!$K:$K) = "Issue", "ISSUE"), "")</f>
        <v/>
      </c>
      <c r="AM1919" s="6"/>
    </row>
    <row r="1920">
      <c r="A1920" s="5" t="s">
        <v>9426</v>
      </c>
      <c r="B1920" s="1" t="s">
        <v>9427</v>
      </c>
      <c r="C1920" s="1"/>
      <c r="D1920" s="2">
        <v>9.177347179E9</v>
      </c>
      <c r="E1920" s="1" t="s">
        <v>9428</v>
      </c>
      <c r="F1920" s="1"/>
      <c r="G1920" s="1" t="s">
        <v>1131</v>
      </c>
      <c r="H1920" s="1" t="s">
        <v>751</v>
      </c>
      <c r="I1920" s="1">
        <v>10538.0</v>
      </c>
      <c r="J1920" s="1" t="s">
        <v>752</v>
      </c>
      <c r="K1920" s="1" t="s">
        <v>42</v>
      </c>
      <c r="L1920" s="1" t="s">
        <v>6819</v>
      </c>
      <c r="M1920" s="1">
        <v>49.0</v>
      </c>
      <c r="N1920" s="1" t="s">
        <v>1152</v>
      </c>
      <c r="O1920" s="3" t="s">
        <v>1132</v>
      </c>
      <c r="P1920" s="1" t="s">
        <v>1152</v>
      </c>
      <c r="Q1920" s="1" t="s">
        <v>1152</v>
      </c>
      <c r="R1920" s="1"/>
      <c r="S1920" s="1"/>
      <c r="T1920" s="1" t="s">
        <v>1152</v>
      </c>
      <c r="U1920" s="1" t="s">
        <v>1133</v>
      </c>
      <c r="V1920" s="4" t="s">
        <v>1132</v>
      </c>
      <c r="W1920" s="1"/>
      <c r="X1920" s="1" t="s">
        <v>1152</v>
      </c>
      <c r="Y1920" s="1" t="s">
        <v>1152</v>
      </c>
      <c r="Z1920" s="1"/>
      <c r="AA1920" s="1"/>
      <c r="AB1920" s="1"/>
      <c r="AC1920" s="1" t="s">
        <v>1925</v>
      </c>
      <c r="AD1920" s="1"/>
      <c r="AE1920" s="39">
        <v>46150.0</v>
      </c>
      <c r="AF1920" s="1" t="s">
        <v>1030</v>
      </c>
      <c r="AG1920" s="1" t="s">
        <v>52</v>
      </c>
      <c r="AH1920" s="1" t="s">
        <v>1152</v>
      </c>
      <c r="AI1920" s="1"/>
      <c r="AJ1920" s="1" t="s">
        <v>9429</v>
      </c>
      <c r="AK1920" s="1" t="s">
        <v>1152</v>
      </c>
      <c r="AL1920" s="6" t="str">
        <f t="array" ref="AL1920">IFERROR(IFS(XLOOKUP(B1920, 'Kit Delivery Status'!$U:$U, 'Kit Delivery Status'!$K:$K) = "Complete", "DELIVERED", XLOOKUP(B1920, 'Kit Delivery Status'!$U:$U, 'Kit Delivery Status'!$K:$K) = "Issue", "ISSUE"), "")</f>
        <v/>
      </c>
      <c r="AM1920" s="6"/>
    </row>
    <row r="1921">
      <c r="A1921" s="5" t="s">
        <v>9430</v>
      </c>
      <c r="B1921" s="1" t="s">
        <v>9431</v>
      </c>
      <c r="C1921" s="1" t="s">
        <v>9432</v>
      </c>
      <c r="D1921" s="2">
        <v>6.12741083E9</v>
      </c>
      <c r="E1921" s="1" t="s">
        <v>9433</v>
      </c>
      <c r="F1921" s="1" t="s">
        <v>9434</v>
      </c>
      <c r="G1921" s="1" t="s">
        <v>9435</v>
      </c>
      <c r="H1921" s="1" t="s">
        <v>2999</v>
      </c>
      <c r="I1921" s="1">
        <v>55446.0</v>
      </c>
      <c r="J1921" s="1" t="s">
        <v>752</v>
      </c>
      <c r="K1921" s="1" t="s">
        <v>892</v>
      </c>
      <c r="L1921" s="1" t="s">
        <v>43</v>
      </c>
      <c r="M1921" s="1">
        <v>49.0</v>
      </c>
      <c r="N1921" s="1" t="s">
        <v>1152</v>
      </c>
      <c r="O1921" s="3"/>
      <c r="P1921" s="1" t="s">
        <v>1152</v>
      </c>
      <c r="Q1921" s="1" t="s">
        <v>1152</v>
      </c>
      <c r="R1921" s="1" t="s">
        <v>9434</v>
      </c>
      <c r="S1921" s="1"/>
      <c r="T1921" s="1" t="s">
        <v>1152</v>
      </c>
      <c r="U1921" s="1"/>
      <c r="V1921" s="4"/>
      <c r="W1921" s="1" t="s">
        <v>9434</v>
      </c>
      <c r="X1921" s="1" t="s">
        <v>1152</v>
      </c>
      <c r="Y1921" s="1" t="s">
        <v>1152</v>
      </c>
      <c r="Z1921" s="1"/>
      <c r="AA1921" s="1" t="s">
        <v>9434</v>
      </c>
      <c r="AB1921" s="1"/>
      <c r="AC1921" s="1" t="s">
        <v>1925</v>
      </c>
      <c r="AD1921" s="1"/>
      <c r="AE1921" s="36">
        <v>46158.0</v>
      </c>
      <c r="AF1921" s="1" t="s">
        <v>1030</v>
      </c>
      <c r="AG1921" s="1" t="s">
        <v>124</v>
      </c>
      <c r="AH1921" s="1" t="s">
        <v>9436</v>
      </c>
      <c r="AI1921" s="41" t="s">
        <v>9437</v>
      </c>
      <c r="AJ1921" s="1" t="s">
        <v>9438</v>
      </c>
      <c r="AK1921" s="1" t="s">
        <v>1152</v>
      </c>
      <c r="AL1921" s="6" t="str">
        <f t="array" ref="AL1921">IFERROR(IFS(XLOOKUP(B1921, 'Kit Delivery Status'!$U:$U, 'Kit Delivery Status'!$K:$K) = "Complete", "DELIVERED", XLOOKUP(B1921, 'Kit Delivery Status'!$U:$U, 'Kit Delivery Status'!$K:$K) = "Issue", "ISSUE"), "")</f>
        <v/>
      </c>
      <c r="AM1921" s="6"/>
    </row>
    <row r="1922">
      <c r="A1922" s="5" t="s">
        <v>9439</v>
      </c>
      <c r="B1922" s="1" t="s">
        <v>9440</v>
      </c>
      <c r="C1922" s="1"/>
      <c r="D1922" s="2"/>
      <c r="E1922" s="1" t="s">
        <v>4526</v>
      </c>
      <c r="F1922" s="1"/>
      <c r="G1922" s="1" t="s">
        <v>4477</v>
      </c>
      <c r="H1922" s="1" t="s">
        <v>1233</v>
      </c>
      <c r="I1922" s="1">
        <v>19144.0</v>
      </c>
      <c r="J1922" s="1" t="s">
        <v>752</v>
      </c>
      <c r="K1922" s="1" t="s">
        <v>42</v>
      </c>
      <c r="L1922" s="1" t="s">
        <v>7863</v>
      </c>
      <c r="M1922" s="1">
        <v>79.0</v>
      </c>
      <c r="N1922" s="1" t="s">
        <v>1152</v>
      </c>
      <c r="O1922" s="3" t="s">
        <v>9441</v>
      </c>
      <c r="P1922" s="1" t="s">
        <v>1152</v>
      </c>
      <c r="Q1922" s="1" t="s">
        <v>1152</v>
      </c>
      <c r="R1922" s="1"/>
      <c r="S1922" s="1"/>
      <c r="T1922" s="1" t="s">
        <v>1152</v>
      </c>
      <c r="U1922" s="1" t="s">
        <v>1794</v>
      </c>
      <c r="V1922" s="4" t="s">
        <v>9441</v>
      </c>
      <c r="W1922" s="1"/>
      <c r="X1922" s="1" t="s">
        <v>1152</v>
      </c>
      <c r="Y1922" s="1" t="s">
        <v>1152</v>
      </c>
      <c r="Z1922" s="1"/>
      <c r="AA1922" s="1"/>
      <c r="AB1922" s="1"/>
      <c r="AC1922" s="1" t="s">
        <v>1925</v>
      </c>
      <c r="AD1922" s="1"/>
      <c r="AE1922" s="18">
        <v>46149.0</v>
      </c>
      <c r="AF1922" s="1" t="s">
        <v>1030</v>
      </c>
      <c r="AG1922" s="1" t="s">
        <v>52</v>
      </c>
      <c r="AH1922" s="1" t="s">
        <v>1152</v>
      </c>
      <c r="AI1922" s="1"/>
      <c r="AJ1922" s="1" t="s">
        <v>9442</v>
      </c>
      <c r="AK1922" s="1" t="s">
        <v>1152</v>
      </c>
      <c r="AL1922" s="6" t="str">
        <f t="array" ref="AL1922">IFERROR(IFS(XLOOKUP(B1922, 'Kit Delivery Status'!$U:$U, 'Kit Delivery Status'!$K:$K) = "Complete", "DELIVERED", XLOOKUP(B1922, 'Kit Delivery Status'!$U:$U, 'Kit Delivery Status'!$K:$K) = "Issue", "ISSUE"), "")</f>
        <v/>
      </c>
      <c r="AM1922" s="6"/>
    </row>
    <row r="1923">
      <c r="A1923" s="5" t="s">
        <v>9443</v>
      </c>
      <c r="B1923" s="1" t="s">
        <v>9444</v>
      </c>
      <c r="C1923" s="1" t="s">
        <v>9445</v>
      </c>
      <c r="D1923" s="2">
        <v>6.468979027E9</v>
      </c>
      <c r="E1923" s="1" t="s">
        <v>9446</v>
      </c>
      <c r="F1923" s="1"/>
      <c r="G1923" s="1" t="s">
        <v>1976</v>
      </c>
      <c r="H1923" s="1" t="s">
        <v>1121</v>
      </c>
      <c r="I1923" s="1">
        <v>1890.0</v>
      </c>
      <c r="J1923" s="1" t="s">
        <v>752</v>
      </c>
      <c r="K1923" s="1" t="s">
        <v>42</v>
      </c>
      <c r="L1923" s="1" t="s">
        <v>6819</v>
      </c>
      <c r="M1923" s="1">
        <v>49.0</v>
      </c>
      <c r="N1923" s="1" t="s">
        <v>1152</v>
      </c>
      <c r="O1923" s="3" t="s">
        <v>9447</v>
      </c>
      <c r="P1923" s="1" t="s">
        <v>1152</v>
      </c>
      <c r="Q1923" s="1" t="s">
        <v>1152</v>
      </c>
      <c r="R1923" s="1"/>
      <c r="S1923" s="1"/>
      <c r="T1923" s="1" t="s">
        <v>1152</v>
      </c>
      <c r="U1923" s="1" t="s">
        <v>1407</v>
      </c>
      <c r="V1923" s="4" t="s">
        <v>9447</v>
      </c>
      <c r="W1923" s="1"/>
      <c r="X1923" s="1" t="s">
        <v>1152</v>
      </c>
      <c r="Y1923" s="1" t="s">
        <v>1152</v>
      </c>
      <c r="Z1923" s="1"/>
      <c r="AA1923" s="1"/>
      <c r="AB1923" s="1"/>
      <c r="AC1923" s="1" t="s">
        <v>1925</v>
      </c>
      <c r="AD1923" s="1"/>
      <c r="AE1923" s="18">
        <v>46148.0</v>
      </c>
      <c r="AF1923" s="1" t="s">
        <v>1030</v>
      </c>
      <c r="AG1923" s="1" t="s">
        <v>52</v>
      </c>
      <c r="AH1923" s="1" t="s">
        <v>1152</v>
      </c>
      <c r="AI1923" s="1"/>
      <c r="AJ1923" s="1" t="s">
        <v>3471</v>
      </c>
      <c r="AK1923" s="1" t="s">
        <v>1152</v>
      </c>
      <c r="AL1923" s="6" t="str">
        <f t="array" ref="AL1923">IFERROR(IFS(XLOOKUP(B1923, 'Kit Delivery Status'!$U:$U, 'Kit Delivery Status'!$K:$K) = "Complete", "DELIVERED", XLOOKUP(B1923, 'Kit Delivery Status'!$U:$U, 'Kit Delivery Status'!$K:$K) = "Issue", "ISSUE"), "")</f>
        <v/>
      </c>
      <c r="AM1923" s="6"/>
    </row>
    <row r="1924">
      <c r="A1924" s="5" t="s">
        <v>9448</v>
      </c>
      <c r="B1924" s="1" t="s">
        <v>9449</v>
      </c>
      <c r="C1924" s="1" t="s">
        <v>9450</v>
      </c>
      <c r="D1924" s="2">
        <v>5.169415108E9</v>
      </c>
      <c r="E1924" s="1" t="s">
        <v>9451</v>
      </c>
      <c r="F1924" s="1"/>
      <c r="G1924" s="1" t="s">
        <v>4110</v>
      </c>
      <c r="H1924" s="1" t="s">
        <v>751</v>
      </c>
      <c r="I1924" s="1">
        <v>11783.0</v>
      </c>
      <c r="J1924" s="1" t="s">
        <v>752</v>
      </c>
      <c r="K1924" s="1" t="s">
        <v>42</v>
      </c>
      <c r="L1924" s="1" t="s">
        <v>6819</v>
      </c>
      <c r="M1924" s="1">
        <v>49.0</v>
      </c>
      <c r="N1924" s="1" t="s">
        <v>1152</v>
      </c>
      <c r="O1924" s="3" t="s">
        <v>4111</v>
      </c>
      <c r="P1924" s="1" t="s">
        <v>1152</v>
      </c>
      <c r="Q1924" s="1" t="s">
        <v>1152</v>
      </c>
      <c r="R1924" s="1"/>
      <c r="S1924" s="1"/>
      <c r="T1924" s="1" t="s">
        <v>1152</v>
      </c>
      <c r="U1924" s="1" t="s">
        <v>1794</v>
      </c>
      <c r="V1924" s="4" t="s">
        <v>4111</v>
      </c>
      <c r="W1924" s="1"/>
      <c r="X1924" s="1" t="s">
        <v>1152</v>
      </c>
      <c r="Y1924" s="1" t="s">
        <v>1152</v>
      </c>
      <c r="Z1924" s="1"/>
      <c r="AA1924" s="1"/>
      <c r="AB1924" s="1"/>
      <c r="AC1924" s="1" t="s">
        <v>1925</v>
      </c>
      <c r="AD1924" s="1"/>
      <c r="AE1924" s="18">
        <v>46150.0</v>
      </c>
      <c r="AF1924" s="1" t="s">
        <v>1030</v>
      </c>
      <c r="AG1924" s="1" t="s">
        <v>52</v>
      </c>
      <c r="AH1924" s="1" t="s">
        <v>1152</v>
      </c>
      <c r="AI1924" s="1"/>
      <c r="AJ1924" s="1" t="s">
        <v>9452</v>
      </c>
      <c r="AK1924" s="1" t="s">
        <v>1152</v>
      </c>
      <c r="AL1924" s="6" t="str">
        <f t="array" ref="AL1924">IFERROR(IFS(XLOOKUP(B1924, 'Kit Delivery Status'!$U:$U, 'Kit Delivery Status'!$K:$K) = "Complete", "DELIVERED", XLOOKUP(B1924, 'Kit Delivery Status'!$U:$U, 'Kit Delivery Status'!$K:$K) = "Issue", "ISSUE"), "")</f>
        <v/>
      </c>
      <c r="AM1924" s="6"/>
    </row>
    <row r="1925">
      <c r="A1925" s="5" t="s">
        <v>9453</v>
      </c>
      <c r="B1925" s="1" t="s">
        <v>9454</v>
      </c>
      <c r="C1925" s="1"/>
      <c r="D1925" s="2">
        <v>2.143369342E9</v>
      </c>
      <c r="E1925" s="1" t="s">
        <v>9455</v>
      </c>
      <c r="F1925" s="1"/>
      <c r="G1925" s="1" t="s">
        <v>9456</v>
      </c>
      <c r="H1925" s="1" t="s">
        <v>1583</v>
      </c>
      <c r="I1925" s="1">
        <v>75093.0</v>
      </c>
      <c r="J1925" s="1" t="s">
        <v>752</v>
      </c>
      <c r="K1925" s="1" t="s">
        <v>42</v>
      </c>
      <c r="L1925" s="1" t="s">
        <v>6819</v>
      </c>
      <c r="M1925" s="1">
        <v>49.0</v>
      </c>
      <c r="N1925" s="1" t="s">
        <v>1152</v>
      </c>
      <c r="O1925" s="3" t="s">
        <v>233</v>
      </c>
      <c r="P1925" s="1" t="s">
        <v>1152</v>
      </c>
      <c r="Q1925" s="1" t="s">
        <v>1152</v>
      </c>
      <c r="R1925" s="1"/>
      <c r="S1925" s="1"/>
      <c r="T1925" s="1" t="s">
        <v>1152</v>
      </c>
      <c r="U1925" s="1" t="s">
        <v>1080</v>
      </c>
      <c r="V1925" s="4" t="s">
        <v>233</v>
      </c>
      <c r="W1925" s="1"/>
      <c r="X1925" s="1" t="s">
        <v>1152</v>
      </c>
      <c r="Y1925" s="1" t="s">
        <v>1152</v>
      </c>
      <c r="Z1925" s="1"/>
      <c r="AA1925" s="1"/>
      <c r="AB1925" s="1"/>
      <c r="AC1925" s="1" t="s">
        <v>1925</v>
      </c>
      <c r="AD1925" s="1"/>
      <c r="AE1925" s="18">
        <v>46142.0</v>
      </c>
      <c r="AF1925" s="1" t="s">
        <v>1030</v>
      </c>
      <c r="AG1925" s="1" t="s">
        <v>52</v>
      </c>
      <c r="AH1925" s="1" t="s">
        <v>1152</v>
      </c>
      <c r="AI1925" s="41" t="s">
        <v>9457</v>
      </c>
      <c r="AJ1925" s="1" t="s">
        <v>9458</v>
      </c>
      <c r="AK1925" s="1" t="s">
        <v>1152</v>
      </c>
      <c r="AL1925" s="6" t="str">
        <f t="array" ref="AL1925">IFERROR(IFS(XLOOKUP(B1925, 'Kit Delivery Status'!$U:$U, 'Kit Delivery Status'!$K:$K) = "Complete", "DELIVERED", XLOOKUP(B1925, 'Kit Delivery Status'!$U:$U, 'Kit Delivery Status'!$K:$K) = "Issue", "ISSUE"), "")</f>
        <v/>
      </c>
      <c r="AM1925" s="6"/>
    </row>
    <row r="1926">
      <c r="A1926" s="5" t="s">
        <v>9459</v>
      </c>
      <c r="B1926" s="1" t="s">
        <v>9460</v>
      </c>
      <c r="C1926" s="1"/>
      <c r="D1926" s="2">
        <v>6.615995133E9</v>
      </c>
      <c r="E1926" s="1" t="s">
        <v>8239</v>
      </c>
      <c r="F1926" s="1"/>
      <c r="G1926" s="1" t="s">
        <v>9461</v>
      </c>
      <c r="H1926" s="1" t="s">
        <v>989</v>
      </c>
      <c r="I1926" s="1">
        <v>91354.0</v>
      </c>
      <c r="J1926" s="1" t="s">
        <v>752</v>
      </c>
      <c r="K1926" s="1" t="s">
        <v>42</v>
      </c>
      <c r="L1926" s="1" t="s">
        <v>6819</v>
      </c>
      <c r="M1926" s="1">
        <v>49.0</v>
      </c>
      <c r="N1926" s="1" t="s">
        <v>1152</v>
      </c>
      <c r="O1926" s="3" t="s">
        <v>9462</v>
      </c>
      <c r="P1926" s="1" t="s">
        <v>1152</v>
      </c>
      <c r="Q1926" s="1" t="s">
        <v>1152</v>
      </c>
      <c r="R1926" s="1"/>
      <c r="S1926" s="1"/>
      <c r="T1926" s="1" t="s">
        <v>1152</v>
      </c>
      <c r="U1926" s="1" t="s">
        <v>3946</v>
      </c>
      <c r="V1926" s="4" t="s">
        <v>9462</v>
      </c>
      <c r="W1926" s="1"/>
      <c r="X1926" s="1" t="s">
        <v>1152</v>
      </c>
      <c r="Y1926" s="1" t="s">
        <v>1152</v>
      </c>
      <c r="Z1926" s="1"/>
      <c r="AA1926" s="1"/>
      <c r="AB1926" s="1"/>
      <c r="AC1926" s="1" t="s">
        <v>1925</v>
      </c>
      <c r="AD1926" s="1"/>
      <c r="AE1926" s="18">
        <v>46146.0</v>
      </c>
      <c r="AF1926" s="1" t="s">
        <v>1030</v>
      </c>
      <c r="AG1926" s="1" t="s">
        <v>52</v>
      </c>
      <c r="AH1926" s="1" t="s">
        <v>1152</v>
      </c>
      <c r="AI1926" s="1"/>
      <c r="AJ1926" s="1" t="s">
        <v>8241</v>
      </c>
      <c r="AK1926" s="1" t="s">
        <v>1152</v>
      </c>
      <c r="AL1926" s="6" t="str">
        <f t="array" ref="AL1926">IFERROR(IFS(XLOOKUP(B1926, 'Kit Delivery Status'!$U:$U, 'Kit Delivery Status'!$K:$K) = "Complete", "DELIVERED", XLOOKUP(B1926, 'Kit Delivery Status'!$U:$U, 'Kit Delivery Status'!$K:$K) = "Issue", "ISSUE"), "")</f>
        <v/>
      </c>
      <c r="AM1926" s="6"/>
    </row>
    <row r="1927">
      <c r="A1927" s="5" t="s">
        <v>9463</v>
      </c>
      <c r="B1927" s="1" t="s">
        <v>9464</v>
      </c>
      <c r="C1927" s="1" t="s">
        <v>9465</v>
      </c>
      <c r="D1927" s="2">
        <v>2.094852901E9</v>
      </c>
      <c r="E1927" s="1" t="s">
        <v>6731</v>
      </c>
      <c r="F1927" s="1"/>
      <c r="G1927" s="1" t="s">
        <v>6732</v>
      </c>
      <c r="H1927" s="1" t="s">
        <v>989</v>
      </c>
      <c r="I1927" s="1">
        <v>95380.0</v>
      </c>
      <c r="J1927" s="1" t="s">
        <v>752</v>
      </c>
      <c r="K1927" s="1" t="s">
        <v>42</v>
      </c>
      <c r="L1927" s="1" t="s">
        <v>7863</v>
      </c>
      <c r="M1927" s="1">
        <v>79.0</v>
      </c>
      <c r="N1927" s="1" t="s">
        <v>1152</v>
      </c>
      <c r="O1927" s="3" t="s">
        <v>6733</v>
      </c>
      <c r="P1927" s="1" t="s">
        <v>1152</v>
      </c>
      <c r="Q1927" s="1" t="s">
        <v>1152</v>
      </c>
      <c r="R1927" s="1"/>
      <c r="S1927" s="1"/>
      <c r="T1927" s="1" t="s">
        <v>1152</v>
      </c>
      <c r="U1927" s="1" t="s">
        <v>6053</v>
      </c>
      <c r="V1927" s="4" t="s">
        <v>6733</v>
      </c>
      <c r="W1927" s="1"/>
      <c r="X1927" s="1" t="s">
        <v>1152</v>
      </c>
      <c r="Y1927" s="1" t="s">
        <v>1152</v>
      </c>
      <c r="Z1927" s="1"/>
      <c r="AA1927" s="1"/>
      <c r="AB1927" s="1"/>
      <c r="AC1927" s="1" t="s">
        <v>1925</v>
      </c>
      <c r="AD1927" s="1"/>
      <c r="AE1927" s="18">
        <v>46149.0</v>
      </c>
      <c r="AF1927" s="1" t="s">
        <v>1030</v>
      </c>
      <c r="AG1927" s="1" t="s">
        <v>52</v>
      </c>
      <c r="AH1927" s="1" t="s">
        <v>1152</v>
      </c>
      <c r="AI1927" s="1"/>
      <c r="AJ1927" s="1" t="s">
        <v>6734</v>
      </c>
      <c r="AK1927" s="1" t="s">
        <v>1152</v>
      </c>
      <c r="AL1927" s="6" t="str">
        <f t="array" ref="AL1927">IFERROR(IFS(XLOOKUP(B1927, 'Kit Delivery Status'!$U:$U, 'Kit Delivery Status'!$K:$K) = "Complete", "DELIVERED", XLOOKUP(B1927, 'Kit Delivery Status'!$U:$U, 'Kit Delivery Status'!$K:$K) = "Issue", "ISSUE"), "")</f>
        <v/>
      </c>
      <c r="AM1927" s="6"/>
    </row>
    <row r="1928">
      <c r="A1928" s="5" t="s">
        <v>9466</v>
      </c>
      <c r="B1928" s="1" t="s">
        <v>9467</v>
      </c>
      <c r="C1928" s="1" t="s">
        <v>211</v>
      </c>
      <c r="D1928" s="2">
        <v>9.174551134E9</v>
      </c>
      <c r="E1928" s="1" t="s">
        <v>213</v>
      </c>
      <c r="F1928" s="1"/>
      <c r="G1928" s="1" t="s">
        <v>751</v>
      </c>
      <c r="H1928" s="1" t="s">
        <v>751</v>
      </c>
      <c r="I1928" s="1">
        <v>10024.0</v>
      </c>
      <c r="J1928" s="1" t="s">
        <v>752</v>
      </c>
      <c r="K1928" s="1" t="s">
        <v>42</v>
      </c>
      <c r="L1928" s="1" t="s">
        <v>7863</v>
      </c>
      <c r="M1928" s="1">
        <v>79.0</v>
      </c>
      <c r="N1928" s="1" t="s">
        <v>1152</v>
      </c>
      <c r="O1928" s="3" t="s">
        <v>216</v>
      </c>
      <c r="P1928" s="1" t="s">
        <v>1152</v>
      </c>
      <c r="Q1928" s="1" t="s">
        <v>1152</v>
      </c>
      <c r="R1928" s="1"/>
      <c r="S1928" s="1"/>
      <c r="T1928" s="1" t="s">
        <v>1152</v>
      </c>
      <c r="U1928" s="1" t="s">
        <v>7909</v>
      </c>
      <c r="V1928" s="4" t="s">
        <v>216</v>
      </c>
      <c r="W1928" s="1"/>
      <c r="X1928" s="1" t="s">
        <v>1152</v>
      </c>
      <c r="Y1928" s="1" t="s">
        <v>1152</v>
      </c>
      <c r="Z1928" s="1"/>
      <c r="AA1928" s="1"/>
      <c r="AB1928" s="1"/>
      <c r="AC1928" s="1" t="s">
        <v>1925</v>
      </c>
      <c r="AD1928" s="1"/>
      <c r="AE1928" s="18">
        <v>46150.0</v>
      </c>
      <c r="AF1928" s="1" t="s">
        <v>1030</v>
      </c>
      <c r="AG1928" s="1" t="s">
        <v>52</v>
      </c>
      <c r="AH1928" s="1" t="s">
        <v>1152</v>
      </c>
      <c r="AI1928" s="1"/>
      <c r="AJ1928" s="1" t="s">
        <v>213</v>
      </c>
      <c r="AK1928" s="1" t="s">
        <v>1152</v>
      </c>
      <c r="AL1928" s="6" t="str">
        <f t="array" ref="AL1928">IFERROR(IFS(XLOOKUP(B1928, 'Kit Delivery Status'!$U:$U, 'Kit Delivery Status'!$K:$K) = "Complete", "DELIVERED", XLOOKUP(B1928, 'Kit Delivery Status'!$U:$U, 'Kit Delivery Status'!$K:$K) = "Issue", "ISSUE"), "")</f>
        <v/>
      </c>
      <c r="AM1928" s="6"/>
    </row>
    <row r="1929">
      <c r="A1929" s="5" t="s">
        <v>9466</v>
      </c>
      <c r="B1929" s="1" t="s">
        <v>9467</v>
      </c>
      <c r="C1929" s="1" t="s">
        <v>211</v>
      </c>
      <c r="D1929" s="2">
        <v>9.174551134E9</v>
      </c>
      <c r="E1929" s="1" t="s">
        <v>213</v>
      </c>
      <c r="F1929" s="1"/>
      <c r="G1929" s="1" t="s">
        <v>751</v>
      </c>
      <c r="H1929" s="1" t="s">
        <v>751</v>
      </c>
      <c r="I1929" s="1">
        <v>10024.0</v>
      </c>
      <c r="J1929" s="1" t="s">
        <v>752</v>
      </c>
      <c r="K1929" s="1" t="s">
        <v>892</v>
      </c>
      <c r="L1929" s="1" t="s">
        <v>8006</v>
      </c>
      <c r="M1929" s="1">
        <v>49.0</v>
      </c>
      <c r="N1929" s="1" t="s">
        <v>1152</v>
      </c>
      <c r="O1929" s="3" t="s">
        <v>216</v>
      </c>
      <c r="P1929" s="1" t="s">
        <v>1152</v>
      </c>
      <c r="Q1929" s="1" t="s">
        <v>1152</v>
      </c>
      <c r="R1929" s="1"/>
      <c r="S1929" s="1"/>
      <c r="T1929" s="1" t="s">
        <v>1152</v>
      </c>
      <c r="U1929" s="1" t="s">
        <v>7909</v>
      </c>
      <c r="V1929" s="4" t="s">
        <v>216</v>
      </c>
      <c r="W1929" s="1"/>
      <c r="X1929" s="1" t="s">
        <v>1152</v>
      </c>
      <c r="Y1929" s="1" t="s">
        <v>1152</v>
      </c>
      <c r="Z1929" s="1"/>
      <c r="AA1929" s="1"/>
      <c r="AB1929" s="1"/>
      <c r="AC1929" s="1" t="s">
        <v>1925</v>
      </c>
      <c r="AD1929" s="1"/>
      <c r="AE1929" s="18">
        <v>46150.0</v>
      </c>
      <c r="AF1929" s="1" t="s">
        <v>1030</v>
      </c>
      <c r="AG1929" s="1" t="s">
        <v>52</v>
      </c>
      <c r="AH1929" s="1" t="s">
        <v>9468</v>
      </c>
      <c r="AI1929" s="1"/>
      <c r="AJ1929" s="1" t="s">
        <v>213</v>
      </c>
      <c r="AK1929" s="1" t="s">
        <v>1152</v>
      </c>
      <c r="AL1929" s="6" t="str">
        <f t="array" ref="AL1929">IFERROR(IFS(XLOOKUP(B1929, 'Kit Delivery Status'!$U:$U, 'Kit Delivery Status'!$K:$K) = "Complete", "DELIVERED", XLOOKUP(B1929, 'Kit Delivery Status'!$U:$U, 'Kit Delivery Status'!$K:$K) = "Issue", "ISSUE"), "")</f>
        <v/>
      </c>
      <c r="AM1929" s="6"/>
    </row>
    <row r="1930">
      <c r="A1930" s="5" t="s">
        <v>9469</v>
      </c>
      <c r="B1930" s="1" t="s">
        <v>9470</v>
      </c>
      <c r="C1930" s="1"/>
      <c r="D1930" s="2">
        <v>2.029576757E9</v>
      </c>
      <c r="E1930" s="1" t="s">
        <v>9471</v>
      </c>
      <c r="F1930" s="1"/>
      <c r="G1930" s="1" t="s">
        <v>1299</v>
      </c>
      <c r="H1930" s="1" t="s">
        <v>1005</v>
      </c>
      <c r="I1930" s="1">
        <v>20814.0</v>
      </c>
      <c r="J1930" s="1" t="s">
        <v>752</v>
      </c>
      <c r="K1930" s="1" t="s">
        <v>42</v>
      </c>
      <c r="L1930" s="1" t="s">
        <v>6819</v>
      </c>
      <c r="M1930" s="1">
        <v>49.0</v>
      </c>
      <c r="N1930" s="1" t="s">
        <v>1152</v>
      </c>
      <c r="O1930" s="3" t="s">
        <v>9472</v>
      </c>
      <c r="P1930" s="1" t="s">
        <v>1152</v>
      </c>
      <c r="Q1930" s="1" t="s">
        <v>1152</v>
      </c>
      <c r="R1930" s="1"/>
      <c r="S1930" s="1"/>
      <c r="T1930" s="1" t="s">
        <v>1152</v>
      </c>
      <c r="U1930" s="1" t="s">
        <v>6053</v>
      </c>
      <c r="V1930" s="4" t="s">
        <v>9472</v>
      </c>
      <c r="W1930" s="1"/>
      <c r="X1930" s="1" t="s">
        <v>1152</v>
      </c>
      <c r="Y1930" s="1" t="s">
        <v>1152</v>
      </c>
      <c r="Z1930" s="1"/>
      <c r="AA1930" s="1"/>
      <c r="AB1930" s="1"/>
      <c r="AC1930" s="1" t="s">
        <v>1925</v>
      </c>
      <c r="AD1930" s="1"/>
      <c r="AE1930" s="18">
        <v>46148.0</v>
      </c>
      <c r="AF1930" s="1" t="s">
        <v>1349</v>
      </c>
      <c r="AG1930" s="1" t="s">
        <v>52</v>
      </c>
      <c r="AH1930" s="1" t="s">
        <v>1152</v>
      </c>
      <c r="AI1930" s="1"/>
      <c r="AJ1930" s="1" t="s">
        <v>9471</v>
      </c>
      <c r="AK1930" s="1" t="s">
        <v>1152</v>
      </c>
      <c r="AL1930" s="6" t="str">
        <f t="array" ref="AL1930">IFERROR(IFS(XLOOKUP(B1930, 'Kit Delivery Status'!$U:$U, 'Kit Delivery Status'!$K:$K) = "Complete", "DELIVERED", XLOOKUP(B1930, 'Kit Delivery Status'!$U:$U, 'Kit Delivery Status'!$K:$K) = "Issue", "ISSUE"), "")</f>
        <v/>
      </c>
      <c r="AM1930" s="6"/>
    </row>
    <row r="1931">
      <c r="A1931" s="5" t="s">
        <v>9473</v>
      </c>
      <c r="B1931" s="1" t="s">
        <v>9474</v>
      </c>
      <c r="C1931" s="1" t="s">
        <v>9475</v>
      </c>
      <c r="D1931" s="2"/>
      <c r="E1931" s="1" t="s">
        <v>9476</v>
      </c>
      <c r="F1931" s="1"/>
      <c r="G1931" s="1" t="s">
        <v>2350</v>
      </c>
      <c r="H1931" s="1" t="s">
        <v>1155</v>
      </c>
      <c r="I1931" s="1">
        <v>63130.0</v>
      </c>
      <c r="J1931" s="1" t="s">
        <v>752</v>
      </c>
      <c r="K1931" s="1" t="s">
        <v>42</v>
      </c>
      <c r="L1931" s="1" t="s">
        <v>6819</v>
      </c>
      <c r="M1931" s="1">
        <v>49.0</v>
      </c>
      <c r="N1931" s="1" t="s">
        <v>1152</v>
      </c>
      <c r="O1931" s="3" t="s">
        <v>9477</v>
      </c>
      <c r="P1931" s="1" t="s">
        <v>1152</v>
      </c>
      <c r="Q1931" s="1" t="s">
        <v>1152</v>
      </c>
      <c r="R1931" s="1"/>
      <c r="S1931" s="1"/>
      <c r="T1931" s="1" t="s">
        <v>1152</v>
      </c>
      <c r="U1931" s="1" t="s">
        <v>2430</v>
      </c>
      <c r="V1931" s="4" t="s">
        <v>9477</v>
      </c>
      <c r="W1931" s="1"/>
      <c r="X1931" s="1" t="s">
        <v>1152</v>
      </c>
      <c r="Y1931" s="1" t="s">
        <v>1152</v>
      </c>
      <c r="Z1931" s="1"/>
      <c r="AA1931" s="1"/>
      <c r="AB1931" s="1"/>
      <c r="AC1931" s="1" t="s">
        <v>1925</v>
      </c>
      <c r="AD1931" s="1"/>
      <c r="AE1931" s="18">
        <v>46158.0</v>
      </c>
      <c r="AF1931" s="1" t="s">
        <v>1349</v>
      </c>
      <c r="AG1931" s="1" t="s">
        <v>52</v>
      </c>
      <c r="AH1931" s="1" t="s">
        <v>1152</v>
      </c>
      <c r="AI1931" s="1"/>
      <c r="AJ1931" s="1" t="s">
        <v>9476</v>
      </c>
      <c r="AK1931" s="1" t="s">
        <v>1152</v>
      </c>
      <c r="AL1931" s="6" t="str">
        <f t="array" ref="AL1931">IFERROR(IFS(XLOOKUP(B1931, 'Kit Delivery Status'!$U:$U, 'Kit Delivery Status'!$K:$K) = "Complete", "DELIVERED", XLOOKUP(B1931, 'Kit Delivery Status'!$U:$U, 'Kit Delivery Status'!$K:$K) = "Issue", "ISSUE"), "")</f>
        <v/>
      </c>
      <c r="AM1931" s="6"/>
    </row>
    <row r="1932">
      <c r="A1932" s="5" t="s">
        <v>9478</v>
      </c>
      <c r="B1932" s="1" t="s">
        <v>9479</v>
      </c>
      <c r="C1932" s="1" t="s">
        <v>9480</v>
      </c>
      <c r="D1932" s="2">
        <v>5.572289736E9</v>
      </c>
      <c r="E1932" s="1" t="s">
        <v>9481</v>
      </c>
      <c r="F1932" s="1"/>
      <c r="G1932" s="1" t="s">
        <v>1760</v>
      </c>
      <c r="H1932" s="1" t="s">
        <v>1155</v>
      </c>
      <c r="I1932" s="1">
        <v>63105.0</v>
      </c>
      <c r="J1932" s="1" t="s">
        <v>752</v>
      </c>
      <c r="K1932" s="1" t="s">
        <v>42</v>
      </c>
      <c r="L1932" s="1" t="s">
        <v>7863</v>
      </c>
      <c r="M1932" s="1">
        <v>79.0</v>
      </c>
      <c r="N1932" s="1" t="s">
        <v>1152</v>
      </c>
      <c r="O1932" s="3" t="s">
        <v>5062</v>
      </c>
      <c r="P1932" s="1" t="s">
        <v>1152</v>
      </c>
      <c r="Q1932" s="1" t="s">
        <v>1152</v>
      </c>
      <c r="R1932" s="1"/>
      <c r="S1932" s="1"/>
      <c r="T1932" s="1" t="s">
        <v>1152</v>
      </c>
      <c r="U1932" s="1" t="s">
        <v>1376</v>
      </c>
      <c r="V1932" s="4" t="s">
        <v>5062</v>
      </c>
      <c r="W1932" s="1"/>
      <c r="X1932" s="1" t="s">
        <v>1152</v>
      </c>
      <c r="Y1932" s="1" t="s">
        <v>1152</v>
      </c>
      <c r="Z1932" s="1"/>
      <c r="AA1932" s="1"/>
      <c r="AB1932" s="1"/>
      <c r="AC1932" s="1" t="s">
        <v>1925</v>
      </c>
      <c r="AD1932" s="1"/>
      <c r="AE1932" s="18">
        <v>46141.0</v>
      </c>
      <c r="AF1932" s="1" t="s">
        <v>3186</v>
      </c>
      <c r="AG1932" s="1" t="s">
        <v>52</v>
      </c>
      <c r="AH1932" s="1" t="s">
        <v>1152</v>
      </c>
      <c r="AI1932" s="1"/>
      <c r="AJ1932" s="1" t="s">
        <v>9482</v>
      </c>
      <c r="AK1932" s="1" t="s">
        <v>1152</v>
      </c>
      <c r="AL1932" s="6" t="str">
        <f t="array" ref="AL1932">IFERROR(IFS(XLOOKUP(B1932, 'Kit Delivery Status'!$U:$U, 'Kit Delivery Status'!$K:$K) = "Complete", "DELIVERED", XLOOKUP(B1932, 'Kit Delivery Status'!$U:$U, 'Kit Delivery Status'!$K:$K) = "Issue", "ISSUE"), "")</f>
        <v/>
      </c>
      <c r="AM1932" s="6"/>
    </row>
    <row r="1933">
      <c r="A1933" s="5" t="s">
        <v>9483</v>
      </c>
      <c r="B1933" s="1" t="s">
        <v>9484</v>
      </c>
      <c r="C1933" s="1"/>
      <c r="D1933" s="2"/>
      <c r="E1933" s="1" t="s">
        <v>9485</v>
      </c>
      <c r="F1933" s="1" t="s">
        <v>9486</v>
      </c>
      <c r="G1933" s="1" t="s">
        <v>2857</v>
      </c>
      <c r="H1933" s="1" t="s">
        <v>1155</v>
      </c>
      <c r="I1933" s="1">
        <v>63112.0</v>
      </c>
      <c r="J1933" s="1" t="s">
        <v>752</v>
      </c>
      <c r="K1933" s="1" t="s">
        <v>42</v>
      </c>
      <c r="L1933" s="1" t="s">
        <v>6819</v>
      </c>
      <c r="M1933" s="1">
        <v>49.0</v>
      </c>
      <c r="N1933" s="1" t="s">
        <v>1152</v>
      </c>
      <c r="O1933" s="3"/>
      <c r="P1933" s="1" t="s">
        <v>1152</v>
      </c>
      <c r="Q1933" s="1" t="s">
        <v>1152</v>
      </c>
      <c r="R1933" s="1" t="s">
        <v>9486</v>
      </c>
      <c r="S1933" s="1"/>
      <c r="T1933" s="1" t="s">
        <v>1152</v>
      </c>
      <c r="U1933" s="1"/>
      <c r="V1933" s="4"/>
      <c r="W1933" s="1" t="s">
        <v>9486</v>
      </c>
      <c r="X1933" s="1" t="s">
        <v>1152</v>
      </c>
      <c r="Y1933" s="1" t="s">
        <v>1152</v>
      </c>
      <c r="Z1933" s="1"/>
      <c r="AA1933" s="1" t="s">
        <v>9486</v>
      </c>
      <c r="AB1933" s="1"/>
      <c r="AC1933" s="1" t="s">
        <v>1925</v>
      </c>
      <c r="AD1933" s="1"/>
      <c r="AE1933" s="18">
        <v>46158.0</v>
      </c>
      <c r="AF1933" s="1" t="s">
        <v>1030</v>
      </c>
      <c r="AG1933" s="1" t="s">
        <v>124</v>
      </c>
      <c r="AH1933" s="1" t="s">
        <v>1152</v>
      </c>
      <c r="AI1933" s="1"/>
      <c r="AJ1933" s="1" t="s">
        <v>9487</v>
      </c>
      <c r="AK1933" s="1" t="s">
        <v>1152</v>
      </c>
      <c r="AL1933" s="6" t="str">
        <f t="array" ref="AL1933">IFERROR(IFS(XLOOKUP(B1933, 'Kit Delivery Status'!$U:$U, 'Kit Delivery Status'!$K:$K) = "Complete", "DELIVERED", XLOOKUP(B1933, 'Kit Delivery Status'!$U:$U, 'Kit Delivery Status'!$K:$K) = "Issue", "ISSUE"), "")</f>
        <v/>
      </c>
      <c r="AM1933" s="6"/>
    </row>
    <row r="1934">
      <c r="A1934" s="5" t="s">
        <v>9488</v>
      </c>
      <c r="B1934" s="1" t="s">
        <v>9489</v>
      </c>
      <c r="C1934" s="1" t="s">
        <v>9490</v>
      </c>
      <c r="D1934" s="2">
        <v>6.179702248E9</v>
      </c>
      <c r="E1934" s="1" t="s">
        <v>9491</v>
      </c>
      <c r="F1934" s="1"/>
      <c r="G1934" s="1" t="s">
        <v>1354</v>
      </c>
      <c r="H1934" s="1" t="s">
        <v>1121</v>
      </c>
      <c r="I1934" s="1">
        <v>2459.0</v>
      </c>
      <c r="J1934" s="1" t="s">
        <v>752</v>
      </c>
      <c r="K1934" s="1" t="s">
        <v>42</v>
      </c>
      <c r="L1934" s="1" t="s">
        <v>6819</v>
      </c>
      <c r="M1934" s="1">
        <v>49.0</v>
      </c>
      <c r="N1934" s="1" t="s">
        <v>1152</v>
      </c>
      <c r="O1934" s="3" t="s">
        <v>1012</v>
      </c>
      <c r="P1934" s="1" t="s">
        <v>1152</v>
      </c>
      <c r="Q1934" s="1" t="s">
        <v>1152</v>
      </c>
      <c r="R1934" s="1"/>
      <c r="S1934" s="1"/>
      <c r="T1934" s="1" t="s">
        <v>1152</v>
      </c>
      <c r="U1934" s="1" t="s">
        <v>1039</v>
      </c>
      <c r="V1934" s="4" t="s">
        <v>1012</v>
      </c>
      <c r="W1934" s="1"/>
      <c r="X1934" s="1" t="s">
        <v>1152</v>
      </c>
      <c r="Y1934" s="1" t="s">
        <v>1152</v>
      </c>
      <c r="Z1934" s="1"/>
      <c r="AA1934" s="1"/>
      <c r="AB1934" s="1"/>
      <c r="AC1934" s="1" t="s">
        <v>1925</v>
      </c>
      <c r="AD1934" s="1"/>
      <c r="AE1934" s="18">
        <v>46144.0</v>
      </c>
      <c r="AF1934" s="1" t="s">
        <v>3186</v>
      </c>
      <c r="AG1934" s="1" t="s">
        <v>52</v>
      </c>
      <c r="AH1934" s="1" t="s">
        <v>1152</v>
      </c>
      <c r="AI1934" s="1"/>
      <c r="AJ1934" s="1" t="s">
        <v>9491</v>
      </c>
      <c r="AK1934" s="1" t="s">
        <v>1152</v>
      </c>
      <c r="AL1934" s="6" t="str">
        <f t="array" ref="AL1934">IFERROR(IFS(XLOOKUP(B1934, 'Kit Delivery Status'!$U:$U, 'Kit Delivery Status'!$K:$K) = "Complete", "DELIVERED", XLOOKUP(B1934, 'Kit Delivery Status'!$U:$U, 'Kit Delivery Status'!$K:$K) = "Issue", "ISSUE"), "")</f>
        <v/>
      </c>
      <c r="AM1934" s="6"/>
    </row>
    <row r="1935">
      <c r="A1935" s="5" t="s">
        <v>9492</v>
      </c>
      <c r="B1935" s="1" t="s">
        <v>9493</v>
      </c>
      <c r="C1935" s="1" t="s">
        <v>9494</v>
      </c>
      <c r="D1935" s="2"/>
      <c r="E1935" s="1" t="s">
        <v>9495</v>
      </c>
      <c r="F1935" s="1"/>
      <c r="G1935" s="1" t="s">
        <v>4737</v>
      </c>
      <c r="H1935" s="1" t="s">
        <v>989</v>
      </c>
      <c r="I1935" s="1">
        <v>94539.0</v>
      </c>
      <c r="J1935" s="1" t="s">
        <v>752</v>
      </c>
      <c r="K1935" s="1" t="s">
        <v>42</v>
      </c>
      <c r="L1935" s="1" t="s">
        <v>6819</v>
      </c>
      <c r="M1935" s="1">
        <v>49.0</v>
      </c>
      <c r="N1935" s="1" t="s">
        <v>1152</v>
      </c>
      <c r="O1935" s="3" t="s">
        <v>9496</v>
      </c>
      <c r="P1935" s="1" t="s">
        <v>1152</v>
      </c>
      <c r="Q1935" s="1" t="s">
        <v>1152</v>
      </c>
      <c r="R1935" s="1"/>
      <c r="S1935" s="1"/>
      <c r="T1935" s="1" t="s">
        <v>1152</v>
      </c>
      <c r="U1935" s="1" t="s">
        <v>1812</v>
      </c>
      <c r="V1935" s="4" t="s">
        <v>9496</v>
      </c>
      <c r="W1935" s="1"/>
      <c r="X1935" s="1" t="s">
        <v>1152</v>
      </c>
      <c r="Y1935" s="1" t="s">
        <v>1152</v>
      </c>
      <c r="Z1935" s="1"/>
      <c r="AA1935" s="1"/>
      <c r="AB1935" s="1"/>
      <c r="AC1935" s="1" t="s">
        <v>1925</v>
      </c>
      <c r="AD1935" s="1"/>
      <c r="AE1935" s="18">
        <v>46149.0</v>
      </c>
      <c r="AF1935" s="1" t="s">
        <v>1103</v>
      </c>
      <c r="AG1935" s="1" t="s">
        <v>52</v>
      </c>
      <c r="AH1935" s="1" t="s">
        <v>1152</v>
      </c>
      <c r="AI1935" s="1" t="s">
        <v>9497</v>
      </c>
      <c r="AJ1935" s="1" t="s">
        <v>9498</v>
      </c>
      <c r="AK1935" s="1" t="s">
        <v>1152</v>
      </c>
      <c r="AL1935" s="6" t="str">
        <f t="array" ref="AL1935">IFERROR(IFS(XLOOKUP(B1935, 'Kit Delivery Status'!$U:$U, 'Kit Delivery Status'!$K:$K) = "Complete", "DELIVERED", XLOOKUP(B1935, 'Kit Delivery Status'!$U:$U, 'Kit Delivery Status'!$K:$K) = "Issue", "ISSUE"), "")</f>
        <v/>
      </c>
      <c r="AM1935" s="6"/>
    </row>
    <row r="1936">
      <c r="A1936" s="5" t="s">
        <v>9499</v>
      </c>
      <c r="B1936" s="1" t="s">
        <v>9500</v>
      </c>
      <c r="C1936" s="1" t="s">
        <v>2949</v>
      </c>
      <c r="D1936" s="2">
        <v>9.735188085E9</v>
      </c>
      <c r="E1936" s="1" t="s">
        <v>9501</v>
      </c>
      <c r="F1936" s="1"/>
      <c r="G1936" s="1" t="s">
        <v>2950</v>
      </c>
      <c r="H1936" s="1" t="s">
        <v>1053</v>
      </c>
      <c r="I1936" s="1">
        <v>7760.0</v>
      </c>
      <c r="J1936" s="1" t="s">
        <v>752</v>
      </c>
      <c r="K1936" s="1" t="s">
        <v>42</v>
      </c>
      <c r="L1936" s="1" t="s">
        <v>9502</v>
      </c>
      <c r="M1936" s="1">
        <v>79.0</v>
      </c>
      <c r="N1936" s="1" t="s">
        <v>1152</v>
      </c>
      <c r="O1936" s="3" t="s">
        <v>2951</v>
      </c>
      <c r="P1936" s="1" t="s">
        <v>1152</v>
      </c>
      <c r="Q1936" s="1" t="s">
        <v>1152</v>
      </c>
      <c r="R1936" s="1"/>
      <c r="S1936" s="1"/>
      <c r="T1936" s="1" t="s">
        <v>1152</v>
      </c>
      <c r="U1936" s="1" t="s">
        <v>1828</v>
      </c>
      <c r="V1936" s="4" t="s">
        <v>2951</v>
      </c>
      <c r="W1936" s="1"/>
      <c r="X1936" s="1" t="s">
        <v>1152</v>
      </c>
      <c r="Y1936" s="1" t="s">
        <v>1152</v>
      </c>
      <c r="Z1936" s="1"/>
      <c r="AA1936" s="1"/>
      <c r="AB1936" s="1"/>
      <c r="AC1936" s="1" t="s">
        <v>1925</v>
      </c>
      <c r="AD1936" s="1"/>
      <c r="AE1936" s="18">
        <v>46149.0</v>
      </c>
      <c r="AF1936" s="1" t="s">
        <v>1349</v>
      </c>
      <c r="AG1936" s="1" t="s">
        <v>52</v>
      </c>
      <c r="AH1936" s="1" t="s">
        <v>1152</v>
      </c>
      <c r="AI1936" s="1"/>
      <c r="AJ1936" s="1" t="s">
        <v>9503</v>
      </c>
      <c r="AK1936" s="1" t="s">
        <v>1152</v>
      </c>
      <c r="AL1936" s="6" t="str">
        <f t="array" ref="AL1936">IFERROR(IFS(XLOOKUP(B1936, 'Kit Delivery Status'!$U:$U, 'Kit Delivery Status'!$K:$K) = "Complete", "DELIVERED", XLOOKUP(B1936, 'Kit Delivery Status'!$U:$U, 'Kit Delivery Status'!$K:$K) = "Issue", "ISSUE"), "")</f>
        <v/>
      </c>
      <c r="AM1936" s="6"/>
    </row>
    <row r="1937">
      <c r="A1937" s="5" t="s">
        <v>9499</v>
      </c>
      <c r="B1937" s="1" t="s">
        <v>9500</v>
      </c>
      <c r="C1937" s="1" t="s">
        <v>2949</v>
      </c>
      <c r="D1937" s="2">
        <v>9.735188085E9</v>
      </c>
      <c r="E1937" s="1" t="s">
        <v>9501</v>
      </c>
      <c r="F1937" s="1"/>
      <c r="G1937" s="1" t="s">
        <v>2950</v>
      </c>
      <c r="H1937" s="1" t="s">
        <v>1053</v>
      </c>
      <c r="I1937" s="1">
        <v>7760.0</v>
      </c>
      <c r="J1937" s="1" t="s">
        <v>752</v>
      </c>
      <c r="K1937" s="1" t="s">
        <v>892</v>
      </c>
      <c r="L1937" s="1" t="s">
        <v>8006</v>
      </c>
      <c r="M1937" s="1">
        <v>49.0</v>
      </c>
      <c r="N1937" s="1" t="s">
        <v>1152</v>
      </c>
      <c r="O1937" s="3" t="s">
        <v>2951</v>
      </c>
      <c r="P1937" s="1" t="s">
        <v>1152</v>
      </c>
      <c r="Q1937" s="1" t="s">
        <v>1152</v>
      </c>
      <c r="R1937" s="1"/>
      <c r="S1937" s="1"/>
      <c r="T1937" s="1" t="s">
        <v>1152</v>
      </c>
      <c r="U1937" s="1" t="s">
        <v>1828</v>
      </c>
      <c r="V1937" s="4" t="s">
        <v>2951</v>
      </c>
      <c r="W1937" s="1"/>
      <c r="X1937" s="1" t="s">
        <v>1152</v>
      </c>
      <c r="Y1937" s="1" t="s">
        <v>1152</v>
      </c>
      <c r="Z1937" s="1"/>
      <c r="AA1937" s="1"/>
      <c r="AB1937" s="1"/>
      <c r="AC1937" s="1" t="s">
        <v>1925</v>
      </c>
      <c r="AD1937" s="1"/>
      <c r="AE1937" s="18">
        <v>46149.0</v>
      </c>
      <c r="AF1937" s="1" t="s">
        <v>1349</v>
      </c>
      <c r="AG1937" s="1" t="s">
        <v>52</v>
      </c>
      <c r="AH1937" s="1" t="s">
        <v>9504</v>
      </c>
      <c r="AI1937" s="1"/>
      <c r="AJ1937" s="1" t="s">
        <v>9503</v>
      </c>
      <c r="AK1937" s="1" t="s">
        <v>1152</v>
      </c>
      <c r="AL1937" s="6" t="str">
        <f t="array" ref="AL1937">IFERROR(IFS(XLOOKUP(B1937, 'Kit Delivery Status'!$U:$U, 'Kit Delivery Status'!$K:$K) = "Complete", "DELIVERED", XLOOKUP(B1937, 'Kit Delivery Status'!$U:$U, 'Kit Delivery Status'!$K:$K) = "Issue", "ISSUE"), "")</f>
        <v/>
      </c>
      <c r="AM1937" s="6"/>
    </row>
    <row r="1938">
      <c r="A1938" s="5" t="s">
        <v>9505</v>
      </c>
      <c r="B1938" s="1" t="s">
        <v>9506</v>
      </c>
      <c r="C1938" s="1" t="s">
        <v>9507</v>
      </c>
      <c r="D1938" s="2">
        <v>9.175093592E9</v>
      </c>
      <c r="E1938" s="1" t="s">
        <v>4994</v>
      </c>
      <c r="F1938" s="1"/>
      <c r="G1938" s="1" t="s">
        <v>2715</v>
      </c>
      <c r="H1938" s="1" t="s">
        <v>1583</v>
      </c>
      <c r="I1938" s="1">
        <v>75287.0</v>
      </c>
      <c r="J1938" s="1" t="s">
        <v>752</v>
      </c>
      <c r="K1938" s="1" t="s">
        <v>42</v>
      </c>
      <c r="L1938" s="1" t="s">
        <v>6819</v>
      </c>
      <c r="M1938" s="1">
        <v>49.0</v>
      </c>
      <c r="N1938" s="1" t="s">
        <v>1152</v>
      </c>
      <c r="O1938" s="3" t="s">
        <v>9508</v>
      </c>
      <c r="P1938" s="1" t="s">
        <v>1152</v>
      </c>
      <c r="Q1938" s="1" t="s">
        <v>1152</v>
      </c>
      <c r="R1938" s="1"/>
      <c r="S1938" s="1"/>
      <c r="T1938" s="1" t="s">
        <v>1152</v>
      </c>
      <c r="U1938" s="1" t="s">
        <v>948</v>
      </c>
      <c r="V1938" s="4" t="s">
        <v>9508</v>
      </c>
      <c r="W1938" s="1"/>
      <c r="X1938" s="1" t="s">
        <v>1152</v>
      </c>
      <c r="Y1938" s="1" t="s">
        <v>1152</v>
      </c>
      <c r="Z1938" s="1"/>
      <c r="AA1938" s="1"/>
      <c r="AB1938" s="1"/>
      <c r="AC1938" s="1" t="s">
        <v>1925</v>
      </c>
      <c r="AD1938" s="1"/>
      <c r="AE1938" s="18">
        <v>46142.0</v>
      </c>
      <c r="AF1938" s="1" t="s">
        <v>1030</v>
      </c>
      <c r="AG1938" s="1" t="s">
        <v>52</v>
      </c>
      <c r="AH1938" s="1" t="s">
        <v>1152</v>
      </c>
      <c r="AI1938" s="1"/>
      <c r="AJ1938" s="1" t="s">
        <v>9509</v>
      </c>
      <c r="AK1938" s="1" t="s">
        <v>1152</v>
      </c>
      <c r="AL1938" s="6" t="str">
        <f t="array" ref="AL1938">IFERROR(IFS(XLOOKUP(B1938, 'Kit Delivery Status'!$U:$U, 'Kit Delivery Status'!$K:$K) = "Complete", "DELIVERED", XLOOKUP(B1938, 'Kit Delivery Status'!$U:$U, 'Kit Delivery Status'!$K:$K) = "Issue", "ISSUE"), "")</f>
        <v/>
      </c>
      <c r="AM1938" s="6"/>
    </row>
    <row r="1939">
      <c r="A1939" s="5" t="s">
        <v>9510</v>
      </c>
      <c r="B1939" s="1" t="s">
        <v>9511</v>
      </c>
      <c r="C1939" s="1" t="s">
        <v>9512</v>
      </c>
      <c r="D1939" s="2">
        <v>9.177034377E9</v>
      </c>
      <c r="E1939" s="1" t="s">
        <v>1076</v>
      </c>
      <c r="F1939" s="1"/>
      <c r="G1939" s="1" t="s">
        <v>751</v>
      </c>
      <c r="H1939" s="1" t="s">
        <v>751</v>
      </c>
      <c r="I1939" s="1">
        <v>10028.0</v>
      </c>
      <c r="J1939" s="1" t="s">
        <v>752</v>
      </c>
      <c r="K1939" s="1" t="s">
        <v>42</v>
      </c>
      <c r="L1939" s="1" t="s">
        <v>6819</v>
      </c>
      <c r="M1939" s="1">
        <v>49.0</v>
      </c>
      <c r="N1939" s="1" t="s">
        <v>1152</v>
      </c>
      <c r="O1939" s="3" t="s">
        <v>1079</v>
      </c>
      <c r="P1939" s="1" t="s">
        <v>1152</v>
      </c>
      <c r="Q1939" s="1" t="s">
        <v>1152</v>
      </c>
      <c r="R1939" s="1"/>
      <c r="S1939" s="1"/>
      <c r="T1939" s="1" t="s">
        <v>1152</v>
      </c>
      <c r="U1939" s="1" t="s">
        <v>1080</v>
      </c>
      <c r="V1939" s="4" t="s">
        <v>1079</v>
      </c>
      <c r="W1939" s="1"/>
      <c r="X1939" s="1" t="s">
        <v>1152</v>
      </c>
      <c r="Y1939" s="1" t="s">
        <v>1152</v>
      </c>
      <c r="Z1939" s="1"/>
      <c r="AA1939" s="1"/>
      <c r="AB1939" s="1"/>
      <c r="AC1939" s="1" t="s">
        <v>1925</v>
      </c>
      <c r="AD1939" s="1"/>
      <c r="AE1939" s="18">
        <v>46143.0</v>
      </c>
      <c r="AF1939" s="1" t="s">
        <v>1349</v>
      </c>
      <c r="AG1939" s="1" t="s">
        <v>52</v>
      </c>
      <c r="AH1939" s="1" t="s">
        <v>1152</v>
      </c>
      <c r="AI1939" s="1"/>
      <c r="AJ1939" s="1" t="s">
        <v>9513</v>
      </c>
      <c r="AK1939" s="1" t="s">
        <v>1152</v>
      </c>
      <c r="AL1939" s="6" t="str">
        <f t="array" ref="AL1939">IFERROR(IFS(XLOOKUP(B1939, 'Kit Delivery Status'!$U:$U, 'Kit Delivery Status'!$K:$K) = "Complete", "DELIVERED", XLOOKUP(B1939, 'Kit Delivery Status'!$U:$U, 'Kit Delivery Status'!$K:$K) = "Issue", "ISSUE"), "")</f>
        <v/>
      </c>
      <c r="AM1939" s="6"/>
    </row>
    <row r="1940">
      <c r="A1940" s="5" t="s">
        <v>9514</v>
      </c>
      <c r="B1940" s="1" t="s">
        <v>9515</v>
      </c>
      <c r="C1940" s="1" t="s">
        <v>917</v>
      </c>
      <c r="D1940" s="2">
        <v>9.144326482E9</v>
      </c>
      <c r="E1940" s="1" t="s">
        <v>9516</v>
      </c>
      <c r="F1940" s="1"/>
      <c r="G1940" s="1" t="s">
        <v>9517</v>
      </c>
      <c r="H1940" s="1" t="s">
        <v>751</v>
      </c>
      <c r="I1940" s="1">
        <v>10570.0</v>
      </c>
      <c r="J1940" s="1" t="s">
        <v>752</v>
      </c>
      <c r="K1940" s="1" t="s">
        <v>42</v>
      </c>
      <c r="L1940" s="1" t="s">
        <v>8365</v>
      </c>
      <c r="M1940" s="1">
        <v>49.0</v>
      </c>
      <c r="N1940" s="1" t="s">
        <v>1152</v>
      </c>
      <c r="O1940" s="3" t="s">
        <v>540</v>
      </c>
      <c r="P1940" s="1" t="s">
        <v>1152</v>
      </c>
      <c r="Q1940" s="1" t="s">
        <v>1152</v>
      </c>
      <c r="R1940" s="1"/>
      <c r="S1940" s="1"/>
      <c r="T1940" s="1" t="s">
        <v>1152</v>
      </c>
      <c r="U1940" s="1" t="s">
        <v>1277</v>
      </c>
      <c r="V1940" s="4" t="s">
        <v>540</v>
      </c>
      <c r="W1940" s="1"/>
      <c r="X1940" s="1" t="s">
        <v>1152</v>
      </c>
      <c r="Y1940" s="1" t="s">
        <v>1152</v>
      </c>
      <c r="Z1940" s="1"/>
      <c r="AA1940" s="1"/>
      <c r="AB1940" s="1"/>
      <c r="AC1940" s="1" t="s">
        <v>1925</v>
      </c>
      <c r="AD1940" s="1"/>
      <c r="AE1940" s="18">
        <v>46146.0</v>
      </c>
      <c r="AF1940" s="1" t="s">
        <v>1455</v>
      </c>
      <c r="AG1940" s="1" t="s">
        <v>52</v>
      </c>
      <c r="AH1940" s="1" t="s">
        <v>1152</v>
      </c>
      <c r="AI1940" s="1" t="s">
        <v>9518</v>
      </c>
      <c r="AJ1940" s="1" t="s">
        <v>538</v>
      </c>
      <c r="AK1940" s="1" t="s">
        <v>1152</v>
      </c>
      <c r="AL1940" s="6" t="str">
        <f t="array" ref="AL1940">IFERROR(IFS(XLOOKUP(B1940, 'Kit Delivery Status'!$U:$U, 'Kit Delivery Status'!$K:$K) = "Complete", "DELIVERED", XLOOKUP(B1940, 'Kit Delivery Status'!$U:$U, 'Kit Delivery Status'!$K:$K) = "Issue", "ISSUE"), "")</f>
        <v/>
      </c>
      <c r="AM1940" s="6"/>
    </row>
    <row r="1941">
      <c r="A1941" s="5" t="s">
        <v>9519</v>
      </c>
      <c r="B1941" s="1" t="s">
        <v>9520</v>
      </c>
      <c r="C1941" s="1" t="s">
        <v>1188</v>
      </c>
      <c r="D1941" s="2">
        <v>3.107019782E9</v>
      </c>
      <c r="E1941" s="1" t="s">
        <v>9521</v>
      </c>
      <c r="F1941" s="1"/>
      <c r="G1941" s="1" t="s">
        <v>1191</v>
      </c>
      <c r="H1941" s="1" t="s">
        <v>989</v>
      </c>
      <c r="I1941" s="1">
        <v>91423.0</v>
      </c>
      <c r="J1941" s="1" t="s">
        <v>752</v>
      </c>
      <c r="K1941" s="1" t="s">
        <v>42</v>
      </c>
      <c r="L1941" s="1" t="s">
        <v>6819</v>
      </c>
      <c r="M1941" s="1">
        <v>49.0</v>
      </c>
      <c r="N1941" s="1" t="s">
        <v>1152</v>
      </c>
      <c r="O1941" s="3" t="s">
        <v>9522</v>
      </c>
      <c r="P1941" s="1" t="s">
        <v>1152</v>
      </c>
      <c r="Q1941" s="1" t="s">
        <v>1152</v>
      </c>
      <c r="R1941" s="1"/>
      <c r="S1941" s="1"/>
      <c r="T1941" s="1" t="s">
        <v>1152</v>
      </c>
      <c r="U1941" s="1" t="s">
        <v>6053</v>
      </c>
      <c r="V1941" s="4" t="s">
        <v>9522</v>
      </c>
      <c r="W1941" s="1"/>
      <c r="X1941" s="1" t="s">
        <v>1152</v>
      </c>
      <c r="Y1941" s="1" t="s">
        <v>1152</v>
      </c>
      <c r="Z1941" s="1"/>
      <c r="AA1941" s="1"/>
      <c r="AB1941" s="1"/>
      <c r="AC1941" s="1" t="s">
        <v>1925</v>
      </c>
      <c r="AD1941" s="1"/>
      <c r="AE1941" s="18">
        <v>46147.0</v>
      </c>
      <c r="AF1941" s="1" t="s">
        <v>1030</v>
      </c>
      <c r="AG1941" s="1" t="s">
        <v>52</v>
      </c>
      <c r="AH1941" s="1" t="s">
        <v>1152</v>
      </c>
      <c r="AI1941" s="1"/>
      <c r="AJ1941" s="1" t="s">
        <v>9523</v>
      </c>
      <c r="AK1941" s="1" t="s">
        <v>1152</v>
      </c>
      <c r="AL1941" s="6" t="str">
        <f t="array" ref="AL1941">IFERROR(IFS(XLOOKUP(B1941, 'Kit Delivery Status'!$U:$U, 'Kit Delivery Status'!$K:$K) = "Complete", "DELIVERED", XLOOKUP(B1941, 'Kit Delivery Status'!$U:$U, 'Kit Delivery Status'!$K:$K) = "Issue", "ISSUE"), "")</f>
        <v/>
      </c>
      <c r="AM1941" s="6"/>
    </row>
    <row r="1942">
      <c r="A1942" s="5" t="s">
        <v>9524</v>
      </c>
      <c r="B1942" s="1" t="s">
        <v>9525</v>
      </c>
      <c r="C1942" s="1" t="s">
        <v>9526</v>
      </c>
      <c r="D1942" s="2">
        <v>9.179225452E9</v>
      </c>
      <c r="E1942" s="1" t="s">
        <v>9527</v>
      </c>
      <c r="F1942" s="1"/>
      <c r="G1942" s="1" t="s">
        <v>2819</v>
      </c>
      <c r="H1942" s="1" t="s">
        <v>751</v>
      </c>
      <c r="I1942" s="1">
        <v>10014.0</v>
      </c>
      <c r="J1942" s="1" t="s">
        <v>752</v>
      </c>
      <c r="K1942" s="1" t="s">
        <v>42</v>
      </c>
      <c r="L1942" s="1" t="s">
        <v>7863</v>
      </c>
      <c r="M1942" s="1">
        <v>79.0</v>
      </c>
      <c r="N1942" s="1" t="s">
        <v>1152</v>
      </c>
      <c r="O1942" s="3" t="s">
        <v>3587</v>
      </c>
      <c r="P1942" s="1" t="s">
        <v>1152</v>
      </c>
      <c r="Q1942" s="1" t="s">
        <v>1152</v>
      </c>
      <c r="R1942" s="1"/>
      <c r="S1942" s="1"/>
      <c r="T1942" s="1" t="s">
        <v>1152</v>
      </c>
      <c r="U1942" s="1" t="s">
        <v>1794</v>
      </c>
      <c r="V1942" s="4" t="s">
        <v>3587</v>
      </c>
      <c r="W1942" s="1"/>
      <c r="X1942" s="1" t="s">
        <v>1152</v>
      </c>
      <c r="Y1942" s="1" t="s">
        <v>1152</v>
      </c>
      <c r="Z1942" s="1"/>
      <c r="AA1942" s="1"/>
      <c r="AB1942" s="1"/>
      <c r="AC1942" s="1" t="s">
        <v>1925</v>
      </c>
      <c r="AD1942" s="1"/>
      <c r="AE1942" s="18">
        <v>46148.0</v>
      </c>
      <c r="AF1942" s="1" t="s">
        <v>1349</v>
      </c>
      <c r="AG1942" s="1" t="s">
        <v>52</v>
      </c>
      <c r="AH1942" s="1" t="s">
        <v>1152</v>
      </c>
      <c r="AI1942" s="1"/>
      <c r="AJ1942" s="1" t="s">
        <v>9527</v>
      </c>
      <c r="AK1942" s="1" t="s">
        <v>1152</v>
      </c>
      <c r="AL1942" s="6" t="str">
        <f t="array" ref="AL1942">IFERROR(IFS(XLOOKUP(B1942, 'Kit Delivery Status'!$U:$U, 'Kit Delivery Status'!$K:$K) = "Complete", "DELIVERED", XLOOKUP(B1942, 'Kit Delivery Status'!$U:$U, 'Kit Delivery Status'!$K:$K) = "Issue", "ISSUE"), "")</f>
        <v/>
      </c>
      <c r="AM1942" s="6"/>
    </row>
    <row r="1943">
      <c r="A1943" s="5" t="s">
        <v>9528</v>
      </c>
      <c r="B1943" s="1" t="s">
        <v>9529</v>
      </c>
      <c r="C1943" s="1"/>
      <c r="D1943" s="2">
        <v>9.143576469E9</v>
      </c>
      <c r="E1943" s="1" t="s">
        <v>1725</v>
      </c>
      <c r="F1943" s="1"/>
      <c r="G1943" s="1" t="s">
        <v>1726</v>
      </c>
      <c r="H1943" s="1" t="s">
        <v>751</v>
      </c>
      <c r="I1943" s="1">
        <v>10533.0</v>
      </c>
      <c r="J1943" s="1" t="s">
        <v>752</v>
      </c>
      <c r="K1943" s="1" t="s">
        <v>42</v>
      </c>
      <c r="L1943" s="1" t="s">
        <v>6819</v>
      </c>
      <c r="M1943" s="1">
        <v>49.0</v>
      </c>
      <c r="N1943" s="1" t="s">
        <v>1152</v>
      </c>
      <c r="O1943" s="3" t="s">
        <v>1727</v>
      </c>
      <c r="P1943" s="1" t="s">
        <v>1152</v>
      </c>
      <c r="Q1943" s="1" t="s">
        <v>1152</v>
      </c>
      <c r="R1943" s="1"/>
      <c r="S1943" s="1"/>
      <c r="T1943" s="1" t="s">
        <v>1152</v>
      </c>
      <c r="U1943" s="1" t="s">
        <v>1080</v>
      </c>
      <c r="V1943" s="4" t="s">
        <v>1727</v>
      </c>
      <c r="W1943" s="1"/>
      <c r="X1943" s="1" t="s">
        <v>1152</v>
      </c>
      <c r="Y1943" s="1" t="s">
        <v>1152</v>
      </c>
      <c r="Z1943" s="1"/>
      <c r="AA1943" s="1"/>
      <c r="AB1943" s="1"/>
      <c r="AC1943" s="1" t="s">
        <v>1925</v>
      </c>
      <c r="AD1943" s="1"/>
      <c r="AE1943" s="18">
        <v>46143.0</v>
      </c>
      <c r="AF1943" s="1" t="s">
        <v>1455</v>
      </c>
      <c r="AG1943" s="1" t="s">
        <v>52</v>
      </c>
      <c r="AH1943" s="1" t="s">
        <v>1152</v>
      </c>
      <c r="AI1943" s="1"/>
      <c r="AJ1943" s="1" t="s">
        <v>1725</v>
      </c>
      <c r="AK1943" s="1" t="s">
        <v>1152</v>
      </c>
      <c r="AL1943" s="6" t="str">
        <f t="array" ref="AL1943">IFERROR(IFS(XLOOKUP(B1943, 'Kit Delivery Status'!$U:$U, 'Kit Delivery Status'!$K:$K) = "Complete", "DELIVERED", XLOOKUP(B1943, 'Kit Delivery Status'!$U:$U, 'Kit Delivery Status'!$K:$K) = "Issue", "ISSUE"), "")</f>
        <v/>
      </c>
      <c r="AM1943" s="6"/>
    </row>
    <row r="1944">
      <c r="A1944" s="5" t="s">
        <v>9530</v>
      </c>
      <c r="B1944" s="1" t="s">
        <v>9531</v>
      </c>
      <c r="C1944" s="1" t="s">
        <v>9532</v>
      </c>
      <c r="D1944" s="2">
        <v>9.174801265E9</v>
      </c>
      <c r="E1944" s="1" t="s">
        <v>4553</v>
      </c>
      <c r="F1944" s="1"/>
      <c r="G1944" s="1" t="s">
        <v>1382</v>
      </c>
      <c r="H1944" s="1" t="s">
        <v>751</v>
      </c>
      <c r="I1944" s="1">
        <v>10583.0</v>
      </c>
      <c r="J1944" s="1" t="s">
        <v>752</v>
      </c>
      <c r="K1944" s="1" t="s">
        <v>42</v>
      </c>
      <c r="L1944" s="1" t="s">
        <v>6819</v>
      </c>
      <c r="M1944" s="1">
        <v>49.0</v>
      </c>
      <c r="N1944" s="1" t="s">
        <v>1152</v>
      </c>
      <c r="O1944" s="3" t="s">
        <v>2763</v>
      </c>
      <c r="P1944" s="1" t="s">
        <v>1152</v>
      </c>
      <c r="Q1944" s="1" t="s">
        <v>1152</v>
      </c>
      <c r="R1944" s="1"/>
      <c r="S1944" s="1"/>
      <c r="T1944" s="1" t="s">
        <v>1152</v>
      </c>
      <c r="U1944" s="1" t="s">
        <v>1039</v>
      </c>
      <c r="V1944" s="4" t="s">
        <v>2763</v>
      </c>
      <c r="W1944" s="1"/>
      <c r="X1944" s="1" t="s">
        <v>1152</v>
      </c>
      <c r="Y1944" s="1" t="s">
        <v>1152</v>
      </c>
      <c r="Z1944" s="1"/>
      <c r="AA1944" s="1"/>
      <c r="AB1944" s="1"/>
      <c r="AC1944" s="1" t="s">
        <v>1925</v>
      </c>
      <c r="AD1944" s="1"/>
      <c r="AE1944" s="18">
        <v>46147.0</v>
      </c>
      <c r="AF1944" s="1" t="s">
        <v>1440</v>
      </c>
      <c r="AG1944" s="1" t="s">
        <v>52</v>
      </c>
      <c r="AH1944" s="1" t="s">
        <v>1152</v>
      </c>
      <c r="AI1944" s="1"/>
      <c r="AJ1944" s="1" t="s">
        <v>4553</v>
      </c>
      <c r="AK1944" s="1" t="s">
        <v>1152</v>
      </c>
      <c r="AL1944" s="6" t="str">
        <f t="array" ref="AL1944">IFERROR(IFS(XLOOKUP(B1944, 'Kit Delivery Status'!$U:$U, 'Kit Delivery Status'!$K:$K) = "Complete", "DELIVERED", XLOOKUP(B1944, 'Kit Delivery Status'!$U:$U, 'Kit Delivery Status'!$K:$K) = "Issue", "ISSUE"), "")</f>
        <v/>
      </c>
      <c r="AM1944" s="6"/>
    </row>
    <row r="1945">
      <c r="A1945" s="5" t="s">
        <v>9533</v>
      </c>
      <c r="B1945" s="1" t="s">
        <v>9534</v>
      </c>
      <c r="C1945" s="1"/>
      <c r="D1945" s="2">
        <v>7.046920035E9</v>
      </c>
      <c r="E1945" s="1" t="s">
        <v>1435</v>
      </c>
      <c r="F1945" s="1"/>
      <c r="G1945" s="1" t="s">
        <v>1437</v>
      </c>
      <c r="H1945" s="1" t="s">
        <v>1438</v>
      </c>
      <c r="I1945" s="1">
        <v>28150.0</v>
      </c>
      <c r="J1945" s="1" t="s">
        <v>752</v>
      </c>
      <c r="K1945" s="1" t="s">
        <v>42</v>
      </c>
      <c r="L1945" s="1" t="s">
        <v>6819</v>
      </c>
      <c r="M1945" s="1">
        <v>49.0</v>
      </c>
      <c r="N1945" s="1" t="s">
        <v>1152</v>
      </c>
      <c r="O1945" s="3" t="s">
        <v>1439</v>
      </c>
      <c r="P1945" s="1" t="s">
        <v>1152</v>
      </c>
      <c r="Q1945" s="1" t="s">
        <v>1152</v>
      </c>
      <c r="R1945" s="1"/>
      <c r="S1945" s="1"/>
      <c r="T1945" s="1" t="s">
        <v>1152</v>
      </c>
      <c r="U1945" s="1" t="s">
        <v>1441</v>
      </c>
      <c r="V1945" s="4" t="s">
        <v>1439</v>
      </c>
      <c r="W1945" s="1"/>
      <c r="X1945" s="1" t="s">
        <v>1152</v>
      </c>
      <c r="Y1945" s="1" t="s">
        <v>1152</v>
      </c>
      <c r="Z1945" s="1"/>
      <c r="AA1945" s="1"/>
      <c r="AB1945" s="1"/>
      <c r="AC1945" s="1" t="s">
        <v>1925</v>
      </c>
      <c r="AD1945" s="1"/>
      <c r="AE1945" s="18">
        <v>46150.0</v>
      </c>
      <c r="AF1945" s="1" t="s">
        <v>1030</v>
      </c>
      <c r="AG1945" s="1" t="s">
        <v>52</v>
      </c>
      <c r="AH1945" s="1" t="s">
        <v>1152</v>
      </c>
      <c r="AI1945" s="1" t="s">
        <v>9535</v>
      </c>
      <c r="AJ1945" s="1" t="s">
        <v>840</v>
      </c>
      <c r="AK1945" s="1" t="s">
        <v>1152</v>
      </c>
      <c r="AL1945" s="6" t="str">
        <f t="array" ref="AL1945">IFERROR(IFS(XLOOKUP(B1945, 'Kit Delivery Status'!$U:$U, 'Kit Delivery Status'!$K:$K) = "Complete", "DELIVERED", XLOOKUP(B1945, 'Kit Delivery Status'!$U:$U, 'Kit Delivery Status'!$K:$K) = "Issue", "ISSUE"), "")</f>
        <v/>
      </c>
      <c r="AM1945" s="6"/>
    </row>
    <row r="1946">
      <c r="A1946" s="5" t="s">
        <v>9536</v>
      </c>
      <c r="B1946" s="1" t="s">
        <v>9537</v>
      </c>
      <c r="C1946" s="1" t="s">
        <v>9538</v>
      </c>
      <c r="D1946" s="2">
        <v>8.167057088E9</v>
      </c>
      <c r="E1946" s="1" t="s">
        <v>9539</v>
      </c>
      <c r="F1946" s="1"/>
      <c r="G1946" s="1" t="s">
        <v>1886</v>
      </c>
      <c r="H1946" s="1" t="s">
        <v>1155</v>
      </c>
      <c r="I1946" s="1">
        <v>64152.0</v>
      </c>
      <c r="J1946" s="1" t="s">
        <v>752</v>
      </c>
      <c r="K1946" s="1" t="s">
        <v>42</v>
      </c>
      <c r="L1946" s="1" t="s">
        <v>7863</v>
      </c>
      <c r="M1946" s="1">
        <v>79.0</v>
      </c>
      <c r="N1946" s="1" t="s">
        <v>1152</v>
      </c>
      <c r="O1946" s="3" t="s">
        <v>1648</v>
      </c>
      <c r="P1946" s="1" t="s">
        <v>1152</v>
      </c>
      <c r="Q1946" s="1" t="s">
        <v>1152</v>
      </c>
      <c r="R1946" s="1"/>
      <c r="S1946" s="1"/>
      <c r="T1946" s="1" t="s">
        <v>1152</v>
      </c>
      <c r="U1946" s="1" t="s">
        <v>982</v>
      </c>
      <c r="V1946" s="4" t="s">
        <v>1648</v>
      </c>
      <c r="W1946" s="1"/>
      <c r="X1946" s="1" t="s">
        <v>1152</v>
      </c>
      <c r="Y1946" s="1" t="s">
        <v>1152</v>
      </c>
      <c r="Z1946" s="1"/>
      <c r="AA1946" s="1"/>
      <c r="AB1946" s="1"/>
      <c r="AC1946" s="1" t="s">
        <v>1925</v>
      </c>
      <c r="AD1946" s="1"/>
      <c r="AE1946" s="18">
        <v>46146.0</v>
      </c>
      <c r="AF1946" s="1" t="s">
        <v>1630</v>
      </c>
      <c r="AG1946" s="1" t="s">
        <v>52</v>
      </c>
      <c r="AH1946" s="1" t="s">
        <v>1152</v>
      </c>
      <c r="AI1946" s="1"/>
      <c r="AJ1946" s="1" t="s">
        <v>9539</v>
      </c>
      <c r="AK1946" s="1" t="s">
        <v>1152</v>
      </c>
      <c r="AL1946" s="6" t="str">
        <f t="array" ref="AL1946">IFERROR(IFS(XLOOKUP(B1946, 'Kit Delivery Status'!$U:$U, 'Kit Delivery Status'!$K:$K) = "Complete", "DELIVERED", XLOOKUP(B1946, 'Kit Delivery Status'!$U:$U, 'Kit Delivery Status'!$K:$K) = "Issue", "ISSUE"), "")</f>
        <v/>
      </c>
      <c r="AM1946" s="6"/>
    </row>
    <row r="1947">
      <c r="A1947" s="5" t="s">
        <v>9540</v>
      </c>
      <c r="B1947" s="1" t="s">
        <v>9541</v>
      </c>
      <c r="C1947" s="1" t="s">
        <v>9542</v>
      </c>
      <c r="D1947" s="2">
        <v>3.146299959E9</v>
      </c>
      <c r="E1947" s="1" t="s">
        <v>4309</v>
      </c>
      <c r="F1947" s="1"/>
      <c r="G1947" s="1" t="s">
        <v>2350</v>
      </c>
      <c r="H1947" s="1" t="s">
        <v>1155</v>
      </c>
      <c r="I1947" s="1">
        <v>63130.0</v>
      </c>
      <c r="J1947" s="1" t="s">
        <v>752</v>
      </c>
      <c r="K1947" s="1" t="s">
        <v>42</v>
      </c>
      <c r="L1947" s="1" t="s">
        <v>7863</v>
      </c>
      <c r="M1947" s="1">
        <v>79.0</v>
      </c>
      <c r="N1947" s="1" t="s">
        <v>1152</v>
      </c>
      <c r="O1947" s="3" t="s">
        <v>4310</v>
      </c>
      <c r="P1947" s="1" t="s">
        <v>1152</v>
      </c>
      <c r="Q1947" s="1" t="s">
        <v>1152</v>
      </c>
      <c r="R1947" s="1"/>
      <c r="S1947" s="1"/>
      <c r="T1947" s="1" t="s">
        <v>1152</v>
      </c>
      <c r="U1947" s="1" t="s">
        <v>1021</v>
      </c>
      <c r="V1947" s="4" t="s">
        <v>4310</v>
      </c>
      <c r="W1947" s="1"/>
      <c r="X1947" s="1" t="s">
        <v>1152</v>
      </c>
      <c r="Y1947" s="1" t="s">
        <v>1152</v>
      </c>
      <c r="Z1947" s="1"/>
      <c r="AA1947" s="1"/>
      <c r="AB1947" s="1"/>
      <c r="AC1947" s="1" t="s">
        <v>1925</v>
      </c>
      <c r="AD1947" s="1"/>
      <c r="AE1947" s="18">
        <v>46149.0</v>
      </c>
      <c r="AF1947" s="1" t="s">
        <v>1455</v>
      </c>
      <c r="AG1947" s="1" t="s">
        <v>52</v>
      </c>
      <c r="AH1947" s="1" t="s">
        <v>1152</v>
      </c>
      <c r="AI1947" s="1"/>
      <c r="AJ1947" s="1" t="s">
        <v>4309</v>
      </c>
      <c r="AK1947" s="1" t="s">
        <v>1152</v>
      </c>
      <c r="AL1947" s="6" t="str">
        <f t="array" ref="AL1947">IFERROR(IFS(XLOOKUP(B1947, 'Kit Delivery Status'!$U:$U, 'Kit Delivery Status'!$K:$K) = "Complete", "DELIVERED", XLOOKUP(B1947, 'Kit Delivery Status'!$U:$U, 'Kit Delivery Status'!$K:$K) = "Issue", "ISSUE"), "")</f>
        <v/>
      </c>
      <c r="AM1947" s="6"/>
    </row>
    <row r="1948">
      <c r="A1948" s="5" t="s">
        <v>9543</v>
      </c>
      <c r="B1948" s="1" t="s">
        <v>9544</v>
      </c>
      <c r="C1948" s="1" t="s">
        <v>9545</v>
      </c>
      <c r="D1948" s="2">
        <v>2.063219512E9</v>
      </c>
      <c r="E1948" s="1" t="s">
        <v>9546</v>
      </c>
      <c r="F1948" s="1"/>
      <c r="G1948" s="1" t="s">
        <v>5324</v>
      </c>
      <c r="H1948" s="1" t="s">
        <v>980</v>
      </c>
      <c r="I1948" s="1">
        <v>98040.0</v>
      </c>
      <c r="J1948" s="1" t="s">
        <v>752</v>
      </c>
      <c r="K1948" s="1" t="s">
        <v>42</v>
      </c>
      <c r="L1948" s="1" t="s">
        <v>6819</v>
      </c>
      <c r="M1948" s="1">
        <v>49.0</v>
      </c>
      <c r="N1948" s="1" t="s">
        <v>1152</v>
      </c>
      <c r="O1948" s="3" t="s">
        <v>5228</v>
      </c>
      <c r="P1948" s="1" t="s">
        <v>1152</v>
      </c>
      <c r="Q1948" s="1" t="s">
        <v>1152</v>
      </c>
      <c r="R1948" s="1"/>
      <c r="S1948" s="1"/>
      <c r="T1948" s="1" t="s">
        <v>1152</v>
      </c>
      <c r="U1948" s="1" t="s">
        <v>1376</v>
      </c>
      <c r="V1948" s="4" t="s">
        <v>5228</v>
      </c>
      <c r="W1948" s="1"/>
      <c r="X1948" s="1" t="s">
        <v>1152</v>
      </c>
      <c r="Y1948" s="1" t="s">
        <v>1152</v>
      </c>
      <c r="Z1948" s="1"/>
      <c r="AA1948" s="1"/>
      <c r="AB1948" s="1"/>
      <c r="AC1948" s="1" t="s">
        <v>1925</v>
      </c>
      <c r="AD1948" s="1"/>
      <c r="AE1948" s="18">
        <v>46148.0</v>
      </c>
      <c r="AF1948" s="1" t="s">
        <v>1030</v>
      </c>
      <c r="AG1948" s="1" t="s">
        <v>52</v>
      </c>
      <c r="AH1948" s="1" t="s">
        <v>1152</v>
      </c>
      <c r="AI1948" s="1"/>
      <c r="AJ1948" s="1" t="s">
        <v>9547</v>
      </c>
      <c r="AK1948" s="1" t="s">
        <v>1152</v>
      </c>
      <c r="AL1948" s="6" t="str">
        <f t="array" ref="AL1948">IFERROR(IFS(XLOOKUP(B1948, 'Kit Delivery Status'!$U:$U, 'Kit Delivery Status'!$K:$K) = "Complete", "DELIVERED", XLOOKUP(B1948, 'Kit Delivery Status'!$U:$U, 'Kit Delivery Status'!$K:$K) = "Issue", "ISSUE"), "")</f>
        <v/>
      </c>
      <c r="AM1948" s="6"/>
    </row>
    <row r="1949">
      <c r="A1949" s="5" t="s">
        <v>9548</v>
      </c>
      <c r="B1949" s="1" t="s">
        <v>9549</v>
      </c>
      <c r="C1949" s="1" t="s">
        <v>9550</v>
      </c>
      <c r="D1949" s="2">
        <v>7.302268851E9</v>
      </c>
      <c r="E1949" s="1" t="s">
        <v>9551</v>
      </c>
      <c r="F1949" s="1" t="s">
        <v>9552</v>
      </c>
      <c r="G1949" s="1" t="s">
        <v>1283</v>
      </c>
      <c r="H1949" s="1" t="s">
        <v>1155</v>
      </c>
      <c r="I1949" s="1">
        <v>63105.0</v>
      </c>
      <c r="J1949" s="1" t="s">
        <v>752</v>
      </c>
      <c r="K1949" s="1" t="s">
        <v>7981</v>
      </c>
      <c r="L1949" s="1" t="s">
        <v>6819</v>
      </c>
      <c r="M1949" s="1">
        <v>49.0</v>
      </c>
      <c r="N1949" s="1" t="s">
        <v>1152</v>
      </c>
      <c r="O1949" s="3"/>
      <c r="P1949" s="1" t="s">
        <v>1152</v>
      </c>
      <c r="Q1949" s="1" t="s">
        <v>1152</v>
      </c>
      <c r="R1949" s="1" t="s">
        <v>9553</v>
      </c>
      <c r="S1949" s="1"/>
      <c r="T1949" s="1" t="s">
        <v>1152</v>
      </c>
      <c r="U1949" s="1"/>
      <c r="V1949" s="4"/>
      <c r="W1949" s="1" t="s">
        <v>9553</v>
      </c>
      <c r="X1949" s="1" t="s">
        <v>1152</v>
      </c>
      <c r="Y1949" s="1" t="s">
        <v>1152</v>
      </c>
      <c r="Z1949" s="1"/>
      <c r="AA1949" s="1" t="s">
        <v>9553</v>
      </c>
      <c r="AB1949" s="1"/>
      <c r="AC1949" s="1" t="s">
        <v>1925</v>
      </c>
      <c r="AD1949" s="1"/>
      <c r="AE1949" s="18">
        <v>46139.0</v>
      </c>
      <c r="AF1949" s="1" t="s">
        <v>1030</v>
      </c>
      <c r="AG1949" s="1" t="s">
        <v>124</v>
      </c>
      <c r="AH1949" s="1" t="s">
        <v>1152</v>
      </c>
      <c r="AI1949" s="1" t="s">
        <v>9553</v>
      </c>
      <c r="AJ1949" s="1" t="s">
        <v>9554</v>
      </c>
      <c r="AK1949" s="1" t="s">
        <v>1152</v>
      </c>
      <c r="AL1949" s="6" t="str">
        <f t="array" ref="AL1949">IFERROR(IFS(XLOOKUP(B1949, 'Kit Delivery Status'!$U:$U, 'Kit Delivery Status'!$K:$K) = "Complete", "DELIVERED", XLOOKUP(B1949, 'Kit Delivery Status'!$U:$U, 'Kit Delivery Status'!$K:$K) = "Issue", "ISSUE"), "")</f>
        <v/>
      </c>
      <c r="AM1949" s="6"/>
    </row>
    <row r="1950">
      <c r="A1950" s="5" t="s">
        <v>9555</v>
      </c>
      <c r="B1950" s="1" t="s">
        <v>9556</v>
      </c>
      <c r="C1950" s="1" t="s">
        <v>9557</v>
      </c>
      <c r="D1950" s="2">
        <v>9.175796873E9</v>
      </c>
      <c r="E1950" s="1" t="s">
        <v>9558</v>
      </c>
      <c r="F1950" s="1"/>
      <c r="G1950" s="1" t="s">
        <v>1382</v>
      </c>
      <c r="H1950" s="1" t="s">
        <v>751</v>
      </c>
      <c r="I1950" s="1">
        <v>10583.0</v>
      </c>
      <c r="J1950" s="1" t="s">
        <v>752</v>
      </c>
      <c r="K1950" s="1" t="s">
        <v>42</v>
      </c>
      <c r="L1950" s="1" t="s">
        <v>6819</v>
      </c>
      <c r="M1950" s="1">
        <v>49.0</v>
      </c>
      <c r="N1950" s="1" t="s">
        <v>1152</v>
      </c>
      <c r="O1950" s="3" t="s">
        <v>6179</v>
      </c>
      <c r="P1950" s="1" t="s">
        <v>1152</v>
      </c>
      <c r="Q1950" s="1" t="s">
        <v>1152</v>
      </c>
      <c r="R1950" s="1"/>
      <c r="S1950" s="1"/>
      <c r="T1950" s="1" t="s">
        <v>1152</v>
      </c>
      <c r="U1950" s="1" t="s">
        <v>1812</v>
      </c>
      <c r="V1950" s="4" t="s">
        <v>6179</v>
      </c>
      <c r="W1950" s="1"/>
      <c r="X1950" s="1" t="s">
        <v>1152</v>
      </c>
      <c r="Y1950" s="1" t="s">
        <v>1152</v>
      </c>
      <c r="Z1950" s="1"/>
      <c r="AA1950" s="1"/>
      <c r="AB1950" s="1"/>
      <c r="AC1950" s="1" t="s">
        <v>1925</v>
      </c>
      <c r="AD1950" s="1"/>
      <c r="AE1950" s="18">
        <v>46147.0</v>
      </c>
      <c r="AF1950" s="1" t="s">
        <v>1030</v>
      </c>
      <c r="AG1950" s="1" t="s">
        <v>52</v>
      </c>
      <c r="AH1950" s="1" t="s">
        <v>1152</v>
      </c>
      <c r="AI1950" s="1"/>
      <c r="AJ1950" s="1" t="s">
        <v>9559</v>
      </c>
      <c r="AK1950" s="1" t="s">
        <v>1152</v>
      </c>
      <c r="AL1950" s="6" t="str">
        <f t="array" ref="AL1950">IFERROR(IFS(XLOOKUP(B1950, 'Kit Delivery Status'!$U:$U, 'Kit Delivery Status'!$K:$K) = "Complete", "DELIVERED", XLOOKUP(B1950, 'Kit Delivery Status'!$U:$U, 'Kit Delivery Status'!$K:$K) = "Issue", "ISSUE"), "")</f>
        <v/>
      </c>
      <c r="AM1950" s="6"/>
    </row>
    <row r="1951">
      <c r="A1951" s="5" t="s">
        <v>9560</v>
      </c>
      <c r="B1951" s="1" t="s">
        <v>9561</v>
      </c>
      <c r="C1951" s="1"/>
      <c r="D1951" s="2">
        <v>9.142681108E9</v>
      </c>
      <c r="E1951" s="1" t="s">
        <v>4471</v>
      </c>
      <c r="F1951" s="1"/>
      <c r="G1951" s="1" t="s">
        <v>4472</v>
      </c>
      <c r="H1951" s="1" t="s">
        <v>1053</v>
      </c>
      <c r="I1951" s="1">
        <v>7506.0</v>
      </c>
      <c r="J1951" s="1" t="s">
        <v>752</v>
      </c>
      <c r="K1951" s="1" t="s">
        <v>42</v>
      </c>
      <c r="L1951" s="1" t="s">
        <v>6819</v>
      </c>
      <c r="M1951" s="1">
        <v>49.0</v>
      </c>
      <c r="N1951" s="1" t="s">
        <v>1152</v>
      </c>
      <c r="O1951" s="3" t="s">
        <v>4310</v>
      </c>
      <c r="P1951" s="1" t="s">
        <v>1152</v>
      </c>
      <c r="Q1951" s="1" t="s">
        <v>1152</v>
      </c>
      <c r="R1951" s="1"/>
      <c r="S1951" s="1"/>
      <c r="T1951" s="1" t="s">
        <v>1152</v>
      </c>
      <c r="U1951" s="1" t="s">
        <v>1812</v>
      </c>
      <c r="V1951" s="4" t="s">
        <v>4310</v>
      </c>
      <c r="W1951" s="1"/>
      <c r="X1951" s="1" t="s">
        <v>1152</v>
      </c>
      <c r="Y1951" s="1" t="s">
        <v>1152</v>
      </c>
      <c r="Z1951" s="1"/>
      <c r="AA1951" s="1"/>
      <c r="AB1951" s="1"/>
      <c r="AC1951" s="1" t="s">
        <v>1925</v>
      </c>
      <c r="AD1951" s="1"/>
      <c r="AE1951" s="18">
        <v>46148.0</v>
      </c>
      <c r="AF1951" s="1" t="s">
        <v>1030</v>
      </c>
      <c r="AG1951" s="1" t="s">
        <v>52</v>
      </c>
      <c r="AH1951" s="1" t="s">
        <v>1152</v>
      </c>
      <c r="AI1951" s="1"/>
      <c r="AJ1951" s="1" t="s">
        <v>4471</v>
      </c>
      <c r="AK1951" s="1" t="s">
        <v>1152</v>
      </c>
      <c r="AL1951" s="6" t="str">
        <f t="array" ref="AL1951">IFERROR(IFS(XLOOKUP(B1951, 'Kit Delivery Status'!$U:$U, 'Kit Delivery Status'!$K:$K) = "Complete", "DELIVERED", XLOOKUP(B1951, 'Kit Delivery Status'!$U:$U, 'Kit Delivery Status'!$K:$K) = "Issue", "ISSUE"), "")</f>
        <v/>
      </c>
      <c r="AM1951" s="6"/>
    </row>
    <row r="1952">
      <c r="A1952" s="5" t="s">
        <v>9562</v>
      </c>
      <c r="B1952" s="1" t="s">
        <v>9563</v>
      </c>
      <c r="C1952" s="1" t="s">
        <v>9564</v>
      </c>
      <c r="D1952" s="2">
        <v>2.144509358E9</v>
      </c>
      <c r="E1952" s="1" t="s">
        <v>9565</v>
      </c>
      <c r="F1952" s="1"/>
      <c r="G1952" s="1" t="s">
        <v>9566</v>
      </c>
      <c r="H1952" s="1" t="s">
        <v>989</v>
      </c>
      <c r="I1952" s="1">
        <v>93619.0</v>
      </c>
      <c r="J1952" s="1" t="s">
        <v>752</v>
      </c>
      <c r="K1952" s="1" t="s">
        <v>42</v>
      </c>
      <c r="L1952" s="1" t="s">
        <v>6819</v>
      </c>
      <c r="M1952" s="1">
        <v>49.0</v>
      </c>
      <c r="N1952" s="1" t="s">
        <v>1152</v>
      </c>
      <c r="O1952" s="3" t="s">
        <v>7025</v>
      </c>
      <c r="P1952" s="1" t="s">
        <v>1152</v>
      </c>
      <c r="Q1952" s="1" t="s">
        <v>1152</v>
      </c>
      <c r="R1952" s="1"/>
      <c r="S1952" s="1"/>
      <c r="T1952" s="1" t="s">
        <v>1152</v>
      </c>
      <c r="U1952" s="1" t="s">
        <v>1080</v>
      </c>
      <c r="V1952" s="4" t="s">
        <v>7025</v>
      </c>
      <c r="W1952" s="1"/>
      <c r="X1952" s="1" t="s">
        <v>1152</v>
      </c>
      <c r="Y1952" s="1" t="s">
        <v>1152</v>
      </c>
      <c r="Z1952" s="1"/>
      <c r="AA1952" s="1"/>
      <c r="AB1952" s="1"/>
      <c r="AC1952" s="1" t="s">
        <v>1925</v>
      </c>
      <c r="AD1952" s="1"/>
      <c r="AE1952" s="18">
        <v>46148.0</v>
      </c>
      <c r="AF1952" s="1" t="s">
        <v>1030</v>
      </c>
      <c r="AG1952" s="1" t="s">
        <v>52</v>
      </c>
      <c r="AH1952" s="1" t="s">
        <v>1152</v>
      </c>
      <c r="AI1952" s="1"/>
      <c r="AJ1952" s="1" t="s">
        <v>9567</v>
      </c>
      <c r="AK1952" s="1" t="s">
        <v>1152</v>
      </c>
      <c r="AL1952" s="6" t="str">
        <f t="array" ref="AL1952">IFERROR(IFS(XLOOKUP(B1952, 'Kit Delivery Status'!$U:$U, 'Kit Delivery Status'!$K:$K) = "Complete", "DELIVERED", XLOOKUP(B1952, 'Kit Delivery Status'!$U:$U, 'Kit Delivery Status'!$K:$K) = "Issue", "ISSUE"), "")</f>
        <v/>
      </c>
      <c r="AM1952" s="6"/>
    </row>
    <row r="1953">
      <c r="A1953" s="5" t="s">
        <v>9568</v>
      </c>
      <c r="B1953" s="1" t="s">
        <v>9569</v>
      </c>
      <c r="C1953" s="1"/>
      <c r="D1953" s="2">
        <v>7.862086117E9</v>
      </c>
      <c r="E1953" s="1" t="s">
        <v>9570</v>
      </c>
      <c r="F1953" s="1"/>
      <c r="G1953" s="1" t="s">
        <v>9571</v>
      </c>
      <c r="H1953" s="1" t="s">
        <v>1208</v>
      </c>
      <c r="I1953" s="1">
        <v>33180.0</v>
      </c>
      <c r="J1953" s="1" t="s">
        <v>752</v>
      </c>
      <c r="K1953" s="1" t="s">
        <v>42</v>
      </c>
      <c r="L1953" s="1" t="s">
        <v>7863</v>
      </c>
      <c r="M1953" s="1">
        <v>79.0</v>
      </c>
      <c r="N1953" s="1" t="s">
        <v>1152</v>
      </c>
      <c r="O1953" s="3" t="s">
        <v>4888</v>
      </c>
      <c r="P1953" s="1" t="s">
        <v>1152</v>
      </c>
      <c r="Q1953" s="1" t="s">
        <v>1152</v>
      </c>
      <c r="R1953" s="1"/>
      <c r="S1953" s="1"/>
      <c r="T1953" s="1" t="s">
        <v>1152</v>
      </c>
      <c r="U1953" s="1" t="s">
        <v>6053</v>
      </c>
      <c r="V1953" s="4" t="s">
        <v>4888</v>
      </c>
      <c r="W1953" s="1"/>
      <c r="X1953" s="1" t="s">
        <v>1152</v>
      </c>
      <c r="Y1953" s="1" t="s">
        <v>1152</v>
      </c>
      <c r="Z1953" s="1"/>
      <c r="AA1953" s="1"/>
      <c r="AB1953" s="1"/>
      <c r="AC1953" s="1" t="s">
        <v>1925</v>
      </c>
      <c r="AD1953" s="1"/>
      <c r="AE1953" s="18">
        <v>46147.0</v>
      </c>
      <c r="AF1953" s="1" t="s">
        <v>1349</v>
      </c>
      <c r="AG1953" s="1" t="s">
        <v>52</v>
      </c>
      <c r="AH1953" s="1" t="s">
        <v>1152</v>
      </c>
      <c r="AI1953" s="1"/>
      <c r="AJ1953" s="1" t="s">
        <v>9572</v>
      </c>
      <c r="AK1953" s="1" t="s">
        <v>1152</v>
      </c>
      <c r="AL1953" s="6" t="str">
        <f t="array" ref="AL1953">IFERROR(IFS(XLOOKUP(B1953, 'Kit Delivery Status'!$U:$U, 'Kit Delivery Status'!$K:$K) = "Complete", "DELIVERED", XLOOKUP(B1953, 'Kit Delivery Status'!$U:$U, 'Kit Delivery Status'!$K:$K) = "Issue", "ISSUE"), "")</f>
        <v/>
      </c>
      <c r="AM1953" s="6"/>
    </row>
    <row r="1954">
      <c r="A1954" s="5" t="s">
        <v>9573</v>
      </c>
      <c r="B1954" s="1" t="s">
        <v>9574</v>
      </c>
      <c r="C1954" s="1" t="s">
        <v>9575</v>
      </c>
      <c r="D1954" s="2">
        <v>3.522262436E9</v>
      </c>
      <c r="E1954" s="1" t="s">
        <v>9576</v>
      </c>
      <c r="F1954" s="1"/>
      <c r="G1954" s="1" t="s">
        <v>2192</v>
      </c>
      <c r="H1954" s="1" t="s">
        <v>1208</v>
      </c>
      <c r="I1954" s="1">
        <v>32606.0</v>
      </c>
      <c r="J1954" s="1" t="s">
        <v>752</v>
      </c>
      <c r="K1954" s="1" t="s">
        <v>42</v>
      </c>
      <c r="L1954" s="1" t="s">
        <v>6819</v>
      </c>
      <c r="M1954" s="1">
        <v>49.0</v>
      </c>
      <c r="N1954" s="1" t="s">
        <v>1152</v>
      </c>
      <c r="O1954" s="3" t="s">
        <v>9577</v>
      </c>
      <c r="P1954" s="1" t="s">
        <v>1152</v>
      </c>
      <c r="Q1954" s="1" t="s">
        <v>1152</v>
      </c>
      <c r="R1954" s="1"/>
      <c r="S1954" s="1"/>
      <c r="T1954" s="1" t="s">
        <v>1152</v>
      </c>
      <c r="U1954" s="1" t="s">
        <v>982</v>
      </c>
      <c r="V1954" s="4" t="s">
        <v>9577</v>
      </c>
      <c r="W1954" s="1"/>
      <c r="X1954" s="1" t="s">
        <v>1152</v>
      </c>
      <c r="Y1954" s="1" t="s">
        <v>1152</v>
      </c>
      <c r="Z1954" s="1"/>
      <c r="AA1954" s="1"/>
      <c r="AB1954" s="1"/>
      <c r="AC1954" s="1" t="s">
        <v>1925</v>
      </c>
      <c r="AD1954" s="1"/>
      <c r="AE1954" s="18">
        <v>46144.0</v>
      </c>
      <c r="AF1954" s="1" t="s">
        <v>1455</v>
      </c>
      <c r="AG1954" s="1" t="s">
        <v>52</v>
      </c>
      <c r="AH1954" s="1" t="s">
        <v>1152</v>
      </c>
      <c r="AI1954" s="1"/>
      <c r="AJ1954" s="1" t="s">
        <v>9576</v>
      </c>
      <c r="AK1954" s="1" t="s">
        <v>1152</v>
      </c>
      <c r="AL1954" s="6" t="str">
        <f t="array" ref="AL1954">IFERROR(IFS(XLOOKUP(B1954, 'Kit Delivery Status'!$U:$U, 'Kit Delivery Status'!$K:$K) = "Complete", "DELIVERED", XLOOKUP(B1954, 'Kit Delivery Status'!$U:$U, 'Kit Delivery Status'!$K:$K) = "Issue", "ISSUE"), "")</f>
        <v/>
      </c>
      <c r="AM1954" s="6"/>
    </row>
    <row r="1955">
      <c r="A1955" s="5" t="s">
        <v>9578</v>
      </c>
      <c r="B1955" s="1" t="s">
        <v>9579</v>
      </c>
      <c r="C1955" s="1"/>
      <c r="D1955" s="2">
        <v>6.468325628E9</v>
      </c>
      <c r="E1955" s="1" t="s">
        <v>9580</v>
      </c>
      <c r="F1955" s="1"/>
      <c r="G1955" s="1" t="s">
        <v>751</v>
      </c>
      <c r="H1955" s="1" t="s">
        <v>751</v>
      </c>
      <c r="I1955" s="1">
        <v>10025.0</v>
      </c>
      <c r="J1955" s="1" t="s">
        <v>752</v>
      </c>
      <c r="K1955" s="1" t="s">
        <v>42</v>
      </c>
      <c r="L1955" s="1" t="s">
        <v>6819</v>
      </c>
      <c r="M1955" s="1">
        <v>49.0</v>
      </c>
      <c r="N1955" s="1" t="s">
        <v>1152</v>
      </c>
      <c r="O1955" s="3" t="s">
        <v>6716</v>
      </c>
      <c r="P1955" s="1" t="s">
        <v>1152</v>
      </c>
      <c r="Q1955" s="1" t="s">
        <v>1152</v>
      </c>
      <c r="R1955" s="1"/>
      <c r="S1955" s="1"/>
      <c r="T1955" s="1" t="s">
        <v>1152</v>
      </c>
      <c r="U1955" s="1" t="s">
        <v>1039</v>
      </c>
      <c r="V1955" s="4" t="s">
        <v>6716</v>
      </c>
      <c r="W1955" s="1"/>
      <c r="X1955" s="1" t="s">
        <v>1152</v>
      </c>
      <c r="Y1955" s="1" t="s">
        <v>1152</v>
      </c>
      <c r="Z1955" s="1"/>
      <c r="AA1955" s="1"/>
      <c r="AB1955" s="1"/>
      <c r="AC1955" s="1" t="s">
        <v>1925</v>
      </c>
      <c r="AD1955" s="1"/>
      <c r="AE1955" s="18">
        <v>46147.0</v>
      </c>
      <c r="AF1955" s="1" t="s">
        <v>1440</v>
      </c>
      <c r="AG1955" s="1" t="s">
        <v>52</v>
      </c>
      <c r="AH1955" s="1" t="s">
        <v>1152</v>
      </c>
      <c r="AI1955" s="1"/>
      <c r="AJ1955" s="1" t="s">
        <v>9581</v>
      </c>
      <c r="AK1955" s="1" t="s">
        <v>1152</v>
      </c>
      <c r="AL1955" s="6" t="str">
        <f t="array" ref="AL1955">IFERROR(IFS(XLOOKUP(B1955, 'Kit Delivery Status'!$U:$U, 'Kit Delivery Status'!$K:$K) = "Complete", "DELIVERED", XLOOKUP(B1955, 'Kit Delivery Status'!$U:$U, 'Kit Delivery Status'!$K:$K) = "Issue", "ISSUE"), "")</f>
        <v/>
      </c>
      <c r="AM1955" s="6"/>
    </row>
    <row r="1956">
      <c r="A1956" s="5" t="s">
        <v>9582</v>
      </c>
      <c r="B1956" s="1" t="s">
        <v>9583</v>
      </c>
      <c r="C1956" s="1" t="s">
        <v>806</v>
      </c>
      <c r="D1956" s="2">
        <v>9.176867838E9</v>
      </c>
      <c r="E1956" s="1" t="s">
        <v>807</v>
      </c>
      <c r="F1956" s="1"/>
      <c r="G1956" s="1" t="s">
        <v>751</v>
      </c>
      <c r="H1956" s="1" t="s">
        <v>751</v>
      </c>
      <c r="I1956" s="1">
        <v>10024.0</v>
      </c>
      <c r="J1956" s="1" t="s">
        <v>752</v>
      </c>
      <c r="K1956" s="1" t="s">
        <v>892</v>
      </c>
      <c r="L1956" s="1" t="s">
        <v>8006</v>
      </c>
      <c r="M1956" s="1">
        <v>49.0</v>
      </c>
      <c r="N1956" s="1" t="s">
        <v>1152</v>
      </c>
      <c r="O1956" s="3" t="s">
        <v>809</v>
      </c>
      <c r="P1956" s="1" t="s">
        <v>1152</v>
      </c>
      <c r="Q1956" s="1" t="s">
        <v>1152</v>
      </c>
      <c r="R1956" s="1"/>
      <c r="S1956" s="1"/>
      <c r="T1956" s="1" t="s">
        <v>1152</v>
      </c>
      <c r="U1956" s="1" t="s">
        <v>1487</v>
      </c>
      <c r="V1956" s="4" t="s">
        <v>809</v>
      </c>
      <c r="W1956" s="1"/>
      <c r="X1956" s="1" t="s">
        <v>1152</v>
      </c>
      <c r="Y1956" s="1" t="s">
        <v>1152</v>
      </c>
      <c r="Z1956" s="1"/>
      <c r="AA1956" s="1"/>
      <c r="AB1956" s="1"/>
      <c r="AC1956" s="1" t="s">
        <v>1925</v>
      </c>
      <c r="AD1956" s="1"/>
      <c r="AE1956" s="18">
        <v>46148.0</v>
      </c>
      <c r="AF1956" s="1" t="s">
        <v>1103</v>
      </c>
      <c r="AG1956" s="1" t="s">
        <v>52</v>
      </c>
      <c r="AH1956" s="1" t="s">
        <v>9584</v>
      </c>
      <c r="AI1956" s="1"/>
      <c r="AJ1956" s="1" t="s">
        <v>9585</v>
      </c>
      <c r="AK1956" s="1" t="s">
        <v>1152</v>
      </c>
      <c r="AL1956" s="6" t="str">
        <f t="array" ref="AL1956">IFERROR(IFS(XLOOKUP(B1956, 'Kit Delivery Status'!$U:$U, 'Kit Delivery Status'!$K:$K) = "Complete", "DELIVERED", XLOOKUP(B1956, 'Kit Delivery Status'!$U:$U, 'Kit Delivery Status'!$K:$K) = "Issue", "ISSUE"), "")</f>
        <v/>
      </c>
      <c r="AM1956" s="6"/>
    </row>
    <row r="1957">
      <c r="A1957" s="5" t="s">
        <v>9582</v>
      </c>
      <c r="B1957" s="1" t="s">
        <v>9583</v>
      </c>
      <c r="C1957" s="1" t="s">
        <v>806</v>
      </c>
      <c r="D1957" s="2">
        <v>9.176867838E9</v>
      </c>
      <c r="E1957" s="1" t="s">
        <v>807</v>
      </c>
      <c r="F1957" s="1"/>
      <c r="G1957" s="1" t="s">
        <v>751</v>
      </c>
      <c r="H1957" s="1" t="s">
        <v>751</v>
      </c>
      <c r="I1957" s="1">
        <v>10024.0</v>
      </c>
      <c r="J1957" s="1" t="s">
        <v>752</v>
      </c>
      <c r="K1957" s="1" t="s">
        <v>42</v>
      </c>
      <c r="L1957" s="1" t="s">
        <v>6819</v>
      </c>
      <c r="M1957" s="1">
        <v>49.0</v>
      </c>
      <c r="N1957" s="1" t="s">
        <v>1152</v>
      </c>
      <c r="O1957" s="3" t="s">
        <v>809</v>
      </c>
      <c r="P1957" s="1" t="s">
        <v>1152</v>
      </c>
      <c r="Q1957" s="1" t="s">
        <v>1152</v>
      </c>
      <c r="R1957" s="1"/>
      <c r="S1957" s="1"/>
      <c r="T1957" s="1" t="s">
        <v>1152</v>
      </c>
      <c r="U1957" s="1" t="s">
        <v>1487</v>
      </c>
      <c r="V1957" s="4" t="s">
        <v>809</v>
      </c>
      <c r="W1957" s="1"/>
      <c r="X1957" s="1" t="s">
        <v>1152</v>
      </c>
      <c r="Y1957" s="1" t="s">
        <v>1152</v>
      </c>
      <c r="Z1957" s="1"/>
      <c r="AA1957" s="1"/>
      <c r="AB1957" s="1"/>
      <c r="AC1957" s="1" t="s">
        <v>1925</v>
      </c>
      <c r="AD1957" s="1"/>
      <c r="AE1957" s="18">
        <v>46148.0</v>
      </c>
      <c r="AF1957" s="1" t="s">
        <v>1103</v>
      </c>
      <c r="AG1957" s="1" t="s">
        <v>52</v>
      </c>
      <c r="AH1957" s="1" t="s">
        <v>1152</v>
      </c>
      <c r="AI1957" s="1"/>
      <c r="AJ1957" s="1" t="s">
        <v>9585</v>
      </c>
      <c r="AK1957" s="1" t="s">
        <v>1152</v>
      </c>
      <c r="AL1957" s="6" t="str">
        <f t="array" ref="AL1957">IFERROR(IFS(XLOOKUP(B1957, 'Kit Delivery Status'!$U:$U, 'Kit Delivery Status'!$K:$K) = "Complete", "DELIVERED", XLOOKUP(B1957, 'Kit Delivery Status'!$U:$U, 'Kit Delivery Status'!$K:$K) = "Issue", "ISSUE"), "")</f>
        <v/>
      </c>
      <c r="AM1957" s="6"/>
    </row>
    <row r="1958">
      <c r="A1958" s="5" t="s">
        <v>9586</v>
      </c>
      <c r="B1958" s="1" t="s">
        <v>9587</v>
      </c>
      <c r="C1958" s="1" t="s">
        <v>9588</v>
      </c>
      <c r="D1958" s="2">
        <v>3.107955251E9</v>
      </c>
      <c r="E1958" s="1" t="s">
        <v>9589</v>
      </c>
      <c r="F1958" s="1"/>
      <c r="G1958" s="1" t="s">
        <v>2791</v>
      </c>
      <c r="H1958" s="1" t="s">
        <v>989</v>
      </c>
      <c r="I1958" s="1">
        <v>90404.0</v>
      </c>
      <c r="J1958" s="1" t="s">
        <v>752</v>
      </c>
      <c r="K1958" s="1" t="s">
        <v>42</v>
      </c>
      <c r="L1958" s="1" t="s">
        <v>8715</v>
      </c>
      <c r="M1958" s="1">
        <v>139.0</v>
      </c>
      <c r="N1958" s="1" t="s">
        <v>1152</v>
      </c>
      <c r="O1958" s="3" t="s">
        <v>9590</v>
      </c>
      <c r="P1958" s="1" t="s">
        <v>1152</v>
      </c>
      <c r="Q1958" s="1" t="s">
        <v>1152</v>
      </c>
      <c r="R1958" s="1"/>
      <c r="S1958" s="1"/>
      <c r="T1958" s="1" t="s">
        <v>1152</v>
      </c>
      <c r="U1958" s="1" t="s">
        <v>1456</v>
      </c>
      <c r="V1958" s="4" t="s">
        <v>9590</v>
      </c>
      <c r="W1958" s="1"/>
      <c r="X1958" s="1" t="s">
        <v>1152</v>
      </c>
      <c r="Y1958" s="1" t="s">
        <v>1152</v>
      </c>
      <c r="Z1958" s="1"/>
      <c r="AA1958" s="1"/>
      <c r="AB1958" s="1"/>
      <c r="AC1958" s="1" t="s">
        <v>1925</v>
      </c>
      <c r="AD1958" s="1"/>
      <c r="AE1958" s="36">
        <v>46148.0</v>
      </c>
      <c r="AF1958" s="1" t="s">
        <v>1030</v>
      </c>
      <c r="AG1958" s="1" t="s">
        <v>52</v>
      </c>
      <c r="AH1958" s="1" t="s">
        <v>1152</v>
      </c>
      <c r="AI1958" s="1"/>
      <c r="AJ1958" s="1"/>
      <c r="AK1958" s="1" t="s">
        <v>1152</v>
      </c>
      <c r="AL1958" s="6" t="str">
        <f t="array" ref="AL1958">IFERROR(IFS(XLOOKUP(B1958, 'Kit Delivery Status'!$U:$U, 'Kit Delivery Status'!$K:$K) = "Complete", "DELIVERED", XLOOKUP(B1958, 'Kit Delivery Status'!$U:$U, 'Kit Delivery Status'!$K:$K) = "Issue", "ISSUE"), "")</f>
        <v/>
      </c>
      <c r="AM1958" s="6"/>
    </row>
    <row r="1959">
      <c r="A1959" s="5" t="s">
        <v>9591</v>
      </c>
      <c r="B1959" s="1" t="s">
        <v>9592</v>
      </c>
      <c r="C1959" s="1" t="s">
        <v>9593</v>
      </c>
      <c r="D1959" s="2">
        <v>8.613911331289E12</v>
      </c>
      <c r="E1959" s="1" t="s">
        <v>7150</v>
      </c>
      <c r="F1959" s="1"/>
      <c r="G1959" s="1" t="s">
        <v>5552</v>
      </c>
      <c r="H1959" s="1" t="s">
        <v>5552</v>
      </c>
      <c r="I1959" s="1">
        <v>100022.0</v>
      </c>
      <c r="J1959" s="1" t="s">
        <v>5553</v>
      </c>
      <c r="K1959" s="1" t="s">
        <v>42</v>
      </c>
      <c r="L1959" s="1" t="s">
        <v>6819</v>
      </c>
      <c r="M1959" s="1">
        <v>49.0</v>
      </c>
      <c r="N1959" s="1" t="s">
        <v>1152</v>
      </c>
      <c r="O1959" s="3" t="s">
        <v>1698</v>
      </c>
      <c r="P1959" s="1" t="s">
        <v>1152</v>
      </c>
      <c r="Q1959" s="1" t="s">
        <v>1152</v>
      </c>
      <c r="R1959" s="1"/>
      <c r="S1959" s="1"/>
      <c r="T1959" s="1" t="s">
        <v>1152</v>
      </c>
      <c r="U1959" s="1" t="s">
        <v>4879</v>
      </c>
      <c r="V1959" s="4" t="s">
        <v>1698</v>
      </c>
      <c r="W1959" s="1"/>
      <c r="X1959" s="1" t="s">
        <v>1152</v>
      </c>
      <c r="Y1959" s="1" t="s">
        <v>1152</v>
      </c>
      <c r="Z1959" s="1"/>
      <c r="AA1959" s="1"/>
      <c r="AB1959" s="1"/>
      <c r="AC1959" s="1" t="s">
        <v>1925</v>
      </c>
      <c r="AD1959" s="1"/>
      <c r="AE1959" s="18">
        <v>46139.0</v>
      </c>
      <c r="AF1959" s="1" t="s">
        <v>1103</v>
      </c>
      <c r="AG1959" s="1" t="s">
        <v>52</v>
      </c>
      <c r="AH1959" s="1" t="s">
        <v>1152</v>
      </c>
      <c r="AI1959" s="1"/>
      <c r="AJ1959" s="1" t="s">
        <v>7152</v>
      </c>
      <c r="AK1959" s="1" t="s">
        <v>1152</v>
      </c>
      <c r="AL1959" s="6" t="str">
        <f t="array" ref="AL1959">IFERROR(IFS(XLOOKUP(B1959, 'Kit Delivery Status'!$U:$U, 'Kit Delivery Status'!$K:$K) = "Complete", "DELIVERED", XLOOKUP(B1959, 'Kit Delivery Status'!$U:$U, 'Kit Delivery Status'!$K:$K) = "Issue", "ISSUE"), "")</f>
        <v/>
      </c>
      <c r="AM1959" s="6"/>
    </row>
    <row r="1960">
      <c r="A1960" s="5" t="s">
        <v>9594</v>
      </c>
      <c r="B1960" s="1" t="s">
        <v>9595</v>
      </c>
      <c r="C1960" s="1"/>
      <c r="D1960" s="2">
        <v>9.174068542E9</v>
      </c>
      <c r="E1960" s="1" t="s">
        <v>9596</v>
      </c>
      <c r="F1960" s="1"/>
      <c r="G1960" s="1" t="s">
        <v>9366</v>
      </c>
      <c r="H1960" s="1" t="s">
        <v>751</v>
      </c>
      <c r="I1960" s="1">
        <v>10549.0</v>
      </c>
      <c r="J1960" s="1" t="s">
        <v>752</v>
      </c>
      <c r="K1960" s="1" t="s">
        <v>75</v>
      </c>
      <c r="L1960" s="1" t="s">
        <v>8733</v>
      </c>
      <c r="M1960" s="1">
        <v>49.0</v>
      </c>
      <c r="N1960" s="1" t="s">
        <v>2461</v>
      </c>
      <c r="O1960" s="3" t="s">
        <v>103</v>
      </c>
      <c r="P1960" s="18">
        <v>46248.0</v>
      </c>
      <c r="Q1960" s="1" t="s">
        <v>1152</v>
      </c>
      <c r="R1960" s="1"/>
      <c r="S1960" s="1" t="s">
        <v>52</v>
      </c>
      <c r="T1960" s="1" t="s">
        <v>2461</v>
      </c>
      <c r="U1960" s="1" t="s">
        <v>102</v>
      </c>
      <c r="V1960" s="4" t="s">
        <v>103</v>
      </c>
      <c r="W1960" s="1"/>
      <c r="X1960" s="18">
        <v>46248.0</v>
      </c>
      <c r="Y1960" s="1" t="s">
        <v>1152</v>
      </c>
      <c r="Z1960" s="1"/>
      <c r="AA1960" s="1"/>
      <c r="AB1960" s="1" t="s">
        <v>52</v>
      </c>
      <c r="AC1960" s="1" t="s">
        <v>1925</v>
      </c>
      <c r="AD1960" s="1" t="s">
        <v>9597</v>
      </c>
      <c r="AE1960" s="1" t="s">
        <v>1152</v>
      </c>
      <c r="AF1960" s="1"/>
      <c r="AG1960" s="1"/>
      <c r="AH1960" s="1" t="s">
        <v>1152</v>
      </c>
      <c r="AI1960" s="1"/>
      <c r="AJ1960" s="1" t="s">
        <v>9596</v>
      </c>
      <c r="AK1960" s="1" t="s">
        <v>1152</v>
      </c>
      <c r="AL1960" s="6" t="str">
        <f t="array" ref="AL1960">IFERROR(IFS(XLOOKUP(B1960, 'Kit Delivery Status'!$U:$U, 'Kit Delivery Status'!$K:$K) = "Complete", "DELIVERED", XLOOKUP(B1960, 'Kit Delivery Status'!$U:$U, 'Kit Delivery Status'!$K:$K) = "Issue", "ISSUE"), "")</f>
        <v/>
      </c>
      <c r="AM1960" s="6"/>
    </row>
    <row r="1961">
      <c r="A1961" s="5" t="s">
        <v>9598</v>
      </c>
      <c r="B1961" s="1" t="s">
        <v>9599</v>
      </c>
      <c r="C1961" s="1" t="s">
        <v>9600</v>
      </c>
      <c r="D1961" s="2">
        <v>4.143667976E9</v>
      </c>
      <c r="E1961" s="1" t="s">
        <v>9601</v>
      </c>
      <c r="F1961" s="1"/>
      <c r="G1961" s="1" t="s">
        <v>9602</v>
      </c>
      <c r="H1961" s="1" t="s">
        <v>4448</v>
      </c>
      <c r="I1961" s="1">
        <v>53132.0</v>
      </c>
      <c r="J1961" s="1" t="s">
        <v>752</v>
      </c>
      <c r="K1961" s="1" t="s">
        <v>42</v>
      </c>
      <c r="L1961" s="1" t="s">
        <v>7863</v>
      </c>
      <c r="M1961" s="1">
        <v>79.0</v>
      </c>
      <c r="N1961" s="1" t="s">
        <v>1152</v>
      </c>
      <c r="O1961" s="3" t="s">
        <v>9603</v>
      </c>
      <c r="P1961" s="1" t="s">
        <v>1152</v>
      </c>
      <c r="Q1961" s="1" t="s">
        <v>1152</v>
      </c>
      <c r="R1961" s="1"/>
      <c r="S1961" s="1"/>
      <c r="T1961" s="1" t="s">
        <v>1152</v>
      </c>
      <c r="U1961" s="1" t="s">
        <v>1080</v>
      </c>
      <c r="V1961" s="4" t="s">
        <v>9603</v>
      </c>
      <c r="W1961" s="1"/>
      <c r="X1961" s="1" t="s">
        <v>1152</v>
      </c>
      <c r="Y1961" s="1" t="s">
        <v>1152</v>
      </c>
      <c r="Z1961" s="1"/>
      <c r="AA1961" s="1"/>
      <c r="AB1961" s="1"/>
      <c r="AC1961" s="1" t="s">
        <v>1925</v>
      </c>
      <c r="AD1961" s="1"/>
      <c r="AE1961" s="18">
        <v>46147.0</v>
      </c>
      <c r="AF1961" s="1" t="s">
        <v>1630</v>
      </c>
      <c r="AG1961" s="1" t="s">
        <v>52</v>
      </c>
      <c r="AH1961" s="1" t="s">
        <v>1152</v>
      </c>
      <c r="AI1961" s="1"/>
      <c r="AJ1961" s="1" t="s">
        <v>9601</v>
      </c>
      <c r="AK1961" s="1" t="s">
        <v>1152</v>
      </c>
      <c r="AL1961" s="6" t="str">
        <f t="array" ref="AL1961">IFERROR(IFS(XLOOKUP(B1961, 'Kit Delivery Status'!$U:$U, 'Kit Delivery Status'!$K:$K) = "Complete", "DELIVERED", XLOOKUP(B1961, 'Kit Delivery Status'!$U:$U, 'Kit Delivery Status'!$K:$K) = "Issue", "ISSUE"), "")</f>
        <v/>
      </c>
      <c r="AM1961" s="6"/>
    </row>
    <row r="1962">
      <c r="A1962" s="5" t="s">
        <v>9604</v>
      </c>
      <c r="B1962" s="1" t="s">
        <v>9605</v>
      </c>
      <c r="C1962" s="1" t="s">
        <v>9606</v>
      </c>
      <c r="D1962" s="2">
        <v>7.817721571E9</v>
      </c>
      <c r="E1962" s="1" t="s">
        <v>9607</v>
      </c>
      <c r="F1962" s="1" t="s">
        <v>9608</v>
      </c>
      <c r="G1962" s="1" t="s">
        <v>1448</v>
      </c>
      <c r="H1962" s="1" t="s">
        <v>1121</v>
      </c>
      <c r="I1962" s="1">
        <v>2482.0</v>
      </c>
      <c r="J1962" s="1" t="s">
        <v>752</v>
      </c>
      <c r="K1962" s="1" t="s">
        <v>42</v>
      </c>
      <c r="L1962" s="1" t="s">
        <v>6819</v>
      </c>
      <c r="M1962" s="1">
        <v>49.0</v>
      </c>
      <c r="N1962" s="1" t="s">
        <v>1152</v>
      </c>
      <c r="O1962" s="3"/>
      <c r="P1962" s="1" t="s">
        <v>1152</v>
      </c>
      <c r="Q1962" s="1" t="s">
        <v>1152</v>
      </c>
      <c r="R1962" s="1" t="s">
        <v>9608</v>
      </c>
      <c r="S1962" s="1"/>
      <c r="T1962" s="1" t="s">
        <v>1152</v>
      </c>
      <c r="U1962" s="1"/>
      <c r="V1962" s="4"/>
      <c r="W1962" s="1" t="s">
        <v>9608</v>
      </c>
      <c r="X1962" s="1" t="s">
        <v>1152</v>
      </c>
      <c r="Y1962" s="1" t="s">
        <v>1152</v>
      </c>
      <c r="Z1962" s="1"/>
      <c r="AA1962" s="1" t="s">
        <v>9608</v>
      </c>
      <c r="AB1962" s="1"/>
      <c r="AC1962" s="1" t="s">
        <v>1925</v>
      </c>
      <c r="AD1962" s="1"/>
      <c r="AE1962" s="18">
        <v>46147.0</v>
      </c>
      <c r="AF1962" s="1" t="s">
        <v>1440</v>
      </c>
      <c r="AG1962" s="1" t="s">
        <v>124</v>
      </c>
      <c r="AH1962" s="1" t="s">
        <v>1152</v>
      </c>
      <c r="AI1962" s="1" t="s">
        <v>9609</v>
      </c>
      <c r="AJ1962" s="1" t="s">
        <v>8353</v>
      </c>
      <c r="AK1962" s="1" t="s">
        <v>1152</v>
      </c>
      <c r="AL1962" s="6" t="str">
        <f t="array" ref="AL1962">IFERROR(IFS(XLOOKUP(B1962, 'Kit Delivery Status'!$U:$U, 'Kit Delivery Status'!$K:$K) = "Complete", "DELIVERED", XLOOKUP(B1962, 'Kit Delivery Status'!$U:$U, 'Kit Delivery Status'!$K:$K) = "Issue", "ISSUE"), "")</f>
        <v/>
      </c>
      <c r="AM1962" s="6"/>
    </row>
    <row r="1963">
      <c r="A1963" s="5" t="s">
        <v>9610</v>
      </c>
      <c r="B1963" s="1" t="s">
        <v>9611</v>
      </c>
      <c r="C1963" s="1" t="s">
        <v>1042</v>
      </c>
      <c r="D1963" s="2">
        <v>4.153078559E9</v>
      </c>
      <c r="E1963" s="1" t="s">
        <v>3687</v>
      </c>
      <c r="F1963" s="1"/>
      <c r="G1963" s="1" t="s">
        <v>1045</v>
      </c>
      <c r="H1963" s="1" t="s">
        <v>989</v>
      </c>
      <c r="I1963" s="1">
        <v>94563.0</v>
      </c>
      <c r="J1963" s="1" t="s">
        <v>752</v>
      </c>
      <c r="K1963" s="1" t="s">
        <v>42</v>
      </c>
      <c r="L1963" s="1" t="s">
        <v>8503</v>
      </c>
      <c r="M1963" s="1">
        <v>79.0</v>
      </c>
      <c r="N1963" s="1" t="s">
        <v>1152</v>
      </c>
      <c r="O1963" s="3" t="s">
        <v>1046</v>
      </c>
      <c r="P1963" s="1" t="s">
        <v>1152</v>
      </c>
      <c r="Q1963" s="1" t="s">
        <v>1152</v>
      </c>
      <c r="R1963" s="1"/>
      <c r="S1963" s="1"/>
      <c r="T1963" s="1" t="s">
        <v>1152</v>
      </c>
      <c r="U1963" s="1" t="s">
        <v>982</v>
      </c>
      <c r="V1963" s="4" t="s">
        <v>1046</v>
      </c>
      <c r="W1963" s="1"/>
      <c r="X1963" s="1" t="s">
        <v>1152</v>
      </c>
      <c r="Y1963" s="1" t="s">
        <v>1152</v>
      </c>
      <c r="Z1963" s="1"/>
      <c r="AA1963" s="1"/>
      <c r="AB1963" s="1"/>
      <c r="AC1963" s="1" t="s">
        <v>1925</v>
      </c>
      <c r="AD1963" s="1"/>
      <c r="AE1963" s="18">
        <v>46147.0</v>
      </c>
      <c r="AF1963" s="1" t="s">
        <v>1349</v>
      </c>
      <c r="AG1963" s="1" t="s">
        <v>52</v>
      </c>
      <c r="AH1963" s="1" t="s">
        <v>1152</v>
      </c>
      <c r="AI1963" s="1"/>
      <c r="AJ1963" s="1" t="s">
        <v>1043</v>
      </c>
      <c r="AK1963" s="1" t="s">
        <v>1152</v>
      </c>
      <c r="AL1963" s="6" t="str">
        <f t="array" ref="AL1963">IFERROR(IFS(XLOOKUP(B1963, 'Kit Delivery Status'!$U:$U, 'Kit Delivery Status'!$K:$K) = "Complete", "DELIVERED", XLOOKUP(B1963, 'Kit Delivery Status'!$U:$U, 'Kit Delivery Status'!$K:$K) = "Issue", "ISSUE"), "")</f>
        <v/>
      </c>
      <c r="AM1963" s="6"/>
    </row>
    <row r="1964">
      <c r="A1964" s="5" t="s">
        <v>9612</v>
      </c>
      <c r="B1964" s="1" t="s">
        <v>9613</v>
      </c>
      <c r="C1964" s="1" t="s">
        <v>1836</v>
      </c>
      <c r="D1964" s="2">
        <v>8.478340792E9</v>
      </c>
      <c r="E1964" s="1" t="s">
        <v>1837</v>
      </c>
      <c r="F1964" s="1"/>
      <c r="G1964" s="1" t="s">
        <v>1838</v>
      </c>
      <c r="H1964" s="1" t="s">
        <v>1019</v>
      </c>
      <c r="I1964" s="1">
        <v>60026.0</v>
      </c>
      <c r="J1964" s="1" t="s">
        <v>752</v>
      </c>
      <c r="K1964" s="1" t="s">
        <v>2131</v>
      </c>
      <c r="L1964" s="1" t="s">
        <v>5811</v>
      </c>
      <c r="M1964" s="1">
        <v>1.0</v>
      </c>
      <c r="N1964" s="1" t="s">
        <v>1152</v>
      </c>
      <c r="O1964" s="3" t="s">
        <v>1839</v>
      </c>
      <c r="P1964" s="1" t="s">
        <v>1152</v>
      </c>
      <c r="Q1964" s="1" t="s">
        <v>1152</v>
      </c>
      <c r="R1964" s="1"/>
      <c r="S1964" s="1"/>
      <c r="T1964" s="1" t="s">
        <v>1152</v>
      </c>
      <c r="U1964" s="1" t="s">
        <v>1407</v>
      </c>
      <c r="V1964" s="4" t="s">
        <v>1839</v>
      </c>
      <c r="W1964" s="1"/>
      <c r="X1964" s="1" t="s">
        <v>1152</v>
      </c>
      <c r="Y1964" s="1" t="s">
        <v>1152</v>
      </c>
      <c r="Z1964" s="1"/>
      <c r="AA1964" s="1"/>
      <c r="AB1964" s="1"/>
      <c r="AC1964" s="1" t="s">
        <v>1925</v>
      </c>
      <c r="AD1964" s="1"/>
      <c r="AE1964" s="18">
        <v>46149.0</v>
      </c>
      <c r="AF1964" s="1"/>
      <c r="AG1964" s="1"/>
      <c r="AH1964" s="1" t="s">
        <v>1152</v>
      </c>
      <c r="AI1964" s="1" t="s">
        <v>9614</v>
      </c>
      <c r="AJ1964" s="1" t="s">
        <v>9615</v>
      </c>
      <c r="AK1964" s="1" t="s">
        <v>1152</v>
      </c>
      <c r="AL1964" s="6" t="str">
        <f t="array" ref="AL1964">IFERROR(IFS(XLOOKUP(B1964, 'Kit Delivery Status'!$U:$U, 'Kit Delivery Status'!$K:$K) = "Complete", "DELIVERED", XLOOKUP(B1964, 'Kit Delivery Status'!$U:$U, 'Kit Delivery Status'!$K:$K) = "Issue", "ISSUE"), "")</f>
        <v/>
      </c>
      <c r="AM1964" s="6"/>
    </row>
    <row r="1965">
      <c r="A1965" s="5" t="s">
        <v>9616</v>
      </c>
      <c r="B1965" s="1" t="s">
        <v>9617</v>
      </c>
      <c r="C1965" s="1"/>
      <c r="D1965" s="2">
        <v>9.174402109E9</v>
      </c>
      <c r="E1965" s="1" t="s">
        <v>9618</v>
      </c>
      <c r="F1965" s="1"/>
      <c r="G1965" s="1" t="s">
        <v>1382</v>
      </c>
      <c r="H1965" s="1" t="s">
        <v>751</v>
      </c>
      <c r="I1965" s="1">
        <v>10583.0</v>
      </c>
      <c r="J1965" s="1" t="s">
        <v>752</v>
      </c>
      <c r="K1965" s="1" t="s">
        <v>75</v>
      </c>
      <c r="L1965" s="1" t="s">
        <v>8733</v>
      </c>
      <c r="M1965" s="1">
        <v>49.0</v>
      </c>
      <c r="N1965" s="1" t="s">
        <v>2461</v>
      </c>
      <c r="O1965" s="3" t="s">
        <v>452</v>
      </c>
      <c r="P1965" s="18">
        <v>46248.0</v>
      </c>
      <c r="Q1965" s="1" t="s">
        <v>1152</v>
      </c>
      <c r="R1965" s="1"/>
      <c r="S1965" s="1" t="s">
        <v>52</v>
      </c>
      <c r="T1965" s="1" t="s">
        <v>2461</v>
      </c>
      <c r="U1965" s="1" t="s">
        <v>102</v>
      </c>
      <c r="V1965" s="4" t="s">
        <v>452</v>
      </c>
      <c r="W1965" s="1"/>
      <c r="X1965" s="18">
        <v>46248.0</v>
      </c>
      <c r="Y1965" s="1" t="s">
        <v>1152</v>
      </c>
      <c r="Z1965" s="1"/>
      <c r="AA1965" s="1"/>
      <c r="AB1965" s="1" t="s">
        <v>52</v>
      </c>
      <c r="AC1965" s="1" t="s">
        <v>1925</v>
      </c>
      <c r="AD1965" s="1" t="s">
        <v>9619</v>
      </c>
      <c r="AE1965" s="1" t="s">
        <v>1152</v>
      </c>
      <c r="AF1965" s="1"/>
      <c r="AG1965" s="1"/>
      <c r="AH1965" s="1" t="s">
        <v>1152</v>
      </c>
      <c r="AI1965" s="1"/>
      <c r="AJ1965" s="1" t="s">
        <v>9620</v>
      </c>
      <c r="AK1965" s="1" t="s">
        <v>1152</v>
      </c>
      <c r="AL1965" s="6" t="str">
        <f t="array" ref="AL1965">IFERROR(IFS(XLOOKUP(B1965, 'Kit Delivery Status'!$U:$U, 'Kit Delivery Status'!$K:$K) = "Complete", "DELIVERED", XLOOKUP(B1965, 'Kit Delivery Status'!$U:$U, 'Kit Delivery Status'!$K:$K) = "Issue", "ISSUE"), "")</f>
        <v/>
      </c>
      <c r="AM1965" s="6"/>
    </row>
    <row r="1966">
      <c r="A1966" s="5" t="s">
        <v>9621</v>
      </c>
      <c r="B1966" s="1" t="s">
        <v>9622</v>
      </c>
      <c r="C1966" s="1" t="s">
        <v>9623</v>
      </c>
      <c r="D1966" s="2">
        <v>3.145707369E9</v>
      </c>
      <c r="E1966" s="1" t="s">
        <v>1940</v>
      </c>
      <c r="F1966" s="1"/>
      <c r="G1966" s="1" t="s">
        <v>1941</v>
      </c>
      <c r="H1966" s="1" t="s">
        <v>1155</v>
      </c>
      <c r="I1966" s="1">
        <v>63341.0</v>
      </c>
      <c r="J1966" s="1" t="s">
        <v>752</v>
      </c>
      <c r="K1966" s="1" t="s">
        <v>2131</v>
      </c>
      <c r="L1966" s="1" t="s">
        <v>5767</v>
      </c>
      <c r="M1966" s="1">
        <v>1.0</v>
      </c>
      <c r="N1966" s="1" t="s">
        <v>1152</v>
      </c>
      <c r="O1966" s="3" t="s">
        <v>5588</v>
      </c>
      <c r="P1966" s="1" t="s">
        <v>1152</v>
      </c>
      <c r="Q1966" s="1" t="s">
        <v>1152</v>
      </c>
      <c r="R1966" s="1"/>
      <c r="S1966" s="1"/>
      <c r="T1966" s="1" t="s">
        <v>1152</v>
      </c>
      <c r="U1966" s="1" t="s">
        <v>6053</v>
      </c>
      <c r="V1966" s="4" t="s">
        <v>5588</v>
      </c>
      <c r="W1966" s="1"/>
      <c r="X1966" s="1" t="s">
        <v>1152</v>
      </c>
      <c r="Y1966" s="1" t="s">
        <v>1152</v>
      </c>
      <c r="Z1966" s="1"/>
      <c r="AA1966" s="1"/>
      <c r="AB1966" s="1"/>
      <c r="AC1966" s="1" t="s">
        <v>1925</v>
      </c>
      <c r="AD1966" s="1"/>
      <c r="AE1966" s="18">
        <v>46148.0</v>
      </c>
      <c r="AF1966" s="1"/>
      <c r="AG1966" s="1"/>
      <c r="AH1966" s="1" t="s">
        <v>1152</v>
      </c>
      <c r="AI1966" s="1"/>
      <c r="AJ1966" s="1" t="s">
        <v>1940</v>
      </c>
      <c r="AK1966" s="1" t="s">
        <v>1152</v>
      </c>
      <c r="AL1966" s="6" t="str">
        <f t="array" ref="AL1966">IFERROR(IFS(XLOOKUP(B1966, 'Kit Delivery Status'!$U:$U, 'Kit Delivery Status'!$K:$K) = "Complete", "DELIVERED", XLOOKUP(B1966, 'Kit Delivery Status'!$U:$U, 'Kit Delivery Status'!$K:$K) = "Issue", "ISSUE"), "")</f>
        <v/>
      </c>
      <c r="AM1966" s="6"/>
    </row>
    <row r="1967">
      <c r="A1967" s="5" t="s">
        <v>9624</v>
      </c>
      <c r="B1967" s="1" t="s">
        <v>9625</v>
      </c>
      <c r="C1967" s="1"/>
      <c r="D1967" s="2">
        <v>9.175756966E9</v>
      </c>
      <c r="E1967" s="1" t="s">
        <v>9626</v>
      </c>
      <c r="F1967" s="1" t="s">
        <v>9627</v>
      </c>
      <c r="G1967" s="1" t="s">
        <v>751</v>
      </c>
      <c r="H1967" s="1" t="s">
        <v>751</v>
      </c>
      <c r="I1967" s="1">
        <v>10013.0</v>
      </c>
      <c r="J1967" s="1" t="s">
        <v>752</v>
      </c>
      <c r="K1967" s="1" t="s">
        <v>892</v>
      </c>
      <c r="L1967" s="1" t="s">
        <v>8134</v>
      </c>
      <c r="M1967" s="1">
        <v>79.0</v>
      </c>
      <c r="N1967" s="1" t="s">
        <v>1152</v>
      </c>
      <c r="O1967" s="3"/>
      <c r="P1967" s="1" t="s">
        <v>1152</v>
      </c>
      <c r="Q1967" s="1" t="s">
        <v>1152</v>
      </c>
      <c r="R1967" s="1" t="s">
        <v>9627</v>
      </c>
      <c r="S1967" s="1"/>
      <c r="T1967" s="1" t="s">
        <v>1152</v>
      </c>
      <c r="U1967" s="1"/>
      <c r="V1967" s="4"/>
      <c r="W1967" s="1" t="s">
        <v>9627</v>
      </c>
      <c r="X1967" s="1" t="s">
        <v>1152</v>
      </c>
      <c r="Y1967" s="1" t="s">
        <v>1152</v>
      </c>
      <c r="Z1967" s="1"/>
      <c r="AA1967" s="1" t="s">
        <v>9627</v>
      </c>
      <c r="AB1967" s="1"/>
      <c r="AC1967" s="1" t="s">
        <v>1925</v>
      </c>
      <c r="AD1967" s="1"/>
      <c r="AE1967" s="18">
        <v>46160.0</v>
      </c>
      <c r="AF1967" s="1" t="s">
        <v>1440</v>
      </c>
      <c r="AG1967" s="1" t="s">
        <v>124</v>
      </c>
      <c r="AH1967" s="1" t="s">
        <v>9628</v>
      </c>
      <c r="AI1967" s="1"/>
      <c r="AJ1967" s="1" t="s">
        <v>9629</v>
      </c>
      <c r="AK1967" s="1" t="s">
        <v>1152</v>
      </c>
      <c r="AL1967" s="6" t="str">
        <f t="array" ref="AL1967">IFERROR(IFS(XLOOKUP(B1967, 'Kit Delivery Status'!$U:$U, 'Kit Delivery Status'!$K:$K) = "Complete", "DELIVERED", XLOOKUP(B1967, 'Kit Delivery Status'!$U:$U, 'Kit Delivery Status'!$K:$K) = "Issue", "ISSUE"), "")</f>
        <v/>
      </c>
      <c r="AM1967" s="6"/>
    </row>
    <row r="1968">
      <c r="A1968" s="5" t="s">
        <v>9630</v>
      </c>
      <c r="B1968" s="1" t="s">
        <v>9631</v>
      </c>
      <c r="C1968" s="1"/>
      <c r="D1968" s="2">
        <v>8.177053126E9</v>
      </c>
      <c r="E1968" s="1" t="s">
        <v>9632</v>
      </c>
      <c r="F1968" s="1"/>
      <c r="G1968" s="1" t="s">
        <v>2301</v>
      </c>
      <c r="H1968" s="1" t="s">
        <v>1583</v>
      </c>
      <c r="I1968" s="1">
        <v>76092.0</v>
      </c>
      <c r="J1968" s="1" t="s">
        <v>752</v>
      </c>
      <c r="K1968" s="1" t="s">
        <v>42</v>
      </c>
      <c r="L1968" s="1" t="s">
        <v>6819</v>
      </c>
      <c r="M1968" s="1">
        <v>49.0</v>
      </c>
      <c r="N1968" s="1" t="s">
        <v>1152</v>
      </c>
      <c r="O1968" s="3" t="s">
        <v>2302</v>
      </c>
      <c r="P1968" s="1" t="s">
        <v>1152</v>
      </c>
      <c r="Q1968" s="1" t="s">
        <v>1152</v>
      </c>
      <c r="R1968" s="1"/>
      <c r="S1968" s="1"/>
      <c r="T1968" s="1" t="s">
        <v>1152</v>
      </c>
      <c r="U1968" s="1" t="s">
        <v>6053</v>
      </c>
      <c r="V1968" s="4" t="s">
        <v>2302</v>
      </c>
      <c r="W1968" s="1"/>
      <c r="X1968" s="1" t="s">
        <v>1152</v>
      </c>
      <c r="Y1968" s="1" t="s">
        <v>1152</v>
      </c>
      <c r="Z1968" s="1"/>
      <c r="AA1968" s="1"/>
      <c r="AB1968" s="1"/>
      <c r="AC1968" s="1" t="s">
        <v>1925</v>
      </c>
      <c r="AD1968" s="1"/>
      <c r="AE1968" s="18">
        <v>46149.0</v>
      </c>
      <c r="AF1968" s="1" t="s">
        <v>1030</v>
      </c>
      <c r="AG1968" s="1" t="s">
        <v>52</v>
      </c>
      <c r="AH1968" s="1" t="s">
        <v>1152</v>
      </c>
      <c r="AI1968" s="1"/>
      <c r="AJ1968" s="1" t="s">
        <v>9633</v>
      </c>
      <c r="AK1968" s="1" t="s">
        <v>1152</v>
      </c>
      <c r="AL1968" s="6" t="str">
        <f t="array" ref="AL1968">IFERROR(IFS(XLOOKUP(B1968, 'Kit Delivery Status'!$U:$U, 'Kit Delivery Status'!$K:$K) = "Complete", "DELIVERED", XLOOKUP(B1968, 'Kit Delivery Status'!$U:$U, 'Kit Delivery Status'!$K:$K) = "Issue", "ISSUE"), "")</f>
        <v/>
      </c>
      <c r="AM1968" s="6"/>
    </row>
    <row r="1969">
      <c r="A1969" s="5" t="s">
        <v>9634</v>
      </c>
      <c r="B1969" s="1" t="s">
        <v>9635</v>
      </c>
      <c r="C1969" s="1" t="s">
        <v>9636</v>
      </c>
      <c r="D1969" s="2">
        <v>9.01545952E9</v>
      </c>
      <c r="E1969" s="1" t="s">
        <v>3141</v>
      </c>
      <c r="F1969" s="1"/>
      <c r="G1969" s="1" t="s">
        <v>1037</v>
      </c>
      <c r="H1969" s="1" t="s">
        <v>1598</v>
      </c>
      <c r="I1969" s="1">
        <v>38002.0</v>
      </c>
      <c r="J1969" s="1" t="s">
        <v>752</v>
      </c>
      <c r="K1969" s="1" t="s">
        <v>42</v>
      </c>
      <c r="L1969" s="1" t="s">
        <v>6819</v>
      </c>
      <c r="M1969" s="1">
        <v>49.0</v>
      </c>
      <c r="N1969" s="1" t="s">
        <v>1152</v>
      </c>
      <c r="O1969" s="3" t="s">
        <v>3142</v>
      </c>
      <c r="P1969" s="1" t="s">
        <v>1152</v>
      </c>
      <c r="Q1969" s="1" t="s">
        <v>1152</v>
      </c>
      <c r="R1969" s="1"/>
      <c r="S1969" s="1"/>
      <c r="T1969" s="1" t="s">
        <v>1152</v>
      </c>
      <c r="U1969" s="1" t="s">
        <v>1201</v>
      </c>
      <c r="V1969" s="4" t="s">
        <v>3142</v>
      </c>
      <c r="W1969" s="1"/>
      <c r="X1969" s="1" t="s">
        <v>1152</v>
      </c>
      <c r="Y1969" s="1" t="s">
        <v>1152</v>
      </c>
      <c r="Z1969" s="1"/>
      <c r="AA1969" s="1"/>
      <c r="AB1969" s="1"/>
      <c r="AC1969" s="1" t="s">
        <v>1925</v>
      </c>
      <c r="AD1969" s="1"/>
      <c r="AE1969" s="18">
        <v>46149.0</v>
      </c>
      <c r="AF1969" s="1" t="s">
        <v>1030</v>
      </c>
      <c r="AG1969" s="1" t="s">
        <v>52</v>
      </c>
      <c r="AH1969" s="1" t="s">
        <v>1152</v>
      </c>
      <c r="AI1969" s="1"/>
      <c r="AJ1969" s="1" t="s">
        <v>9637</v>
      </c>
      <c r="AK1969" s="1" t="s">
        <v>1152</v>
      </c>
      <c r="AL1969" s="6" t="str">
        <f t="array" ref="AL1969">IFERROR(IFS(XLOOKUP(B1969, 'Kit Delivery Status'!$U:$U, 'Kit Delivery Status'!$K:$K) = "Complete", "DELIVERED", XLOOKUP(B1969, 'Kit Delivery Status'!$U:$U, 'Kit Delivery Status'!$K:$K) = "Issue", "ISSUE"), "")</f>
        <v/>
      </c>
      <c r="AM1969" s="6"/>
    </row>
    <row r="1970">
      <c r="A1970" s="5" t="s">
        <v>9638</v>
      </c>
      <c r="B1970" s="1" t="s">
        <v>9639</v>
      </c>
      <c r="C1970" s="1" t="s">
        <v>206</v>
      </c>
      <c r="D1970" s="2">
        <v>9.084187448E9</v>
      </c>
      <c r="E1970" s="1" t="s">
        <v>9640</v>
      </c>
      <c r="F1970" s="1"/>
      <c r="G1970" s="1" t="s">
        <v>3586</v>
      </c>
      <c r="H1970" s="1" t="s">
        <v>1053</v>
      </c>
      <c r="I1970" s="1">
        <v>7960.0</v>
      </c>
      <c r="J1970" s="1" t="s">
        <v>752</v>
      </c>
      <c r="K1970" s="1" t="s">
        <v>42</v>
      </c>
      <c r="L1970" s="1" t="s">
        <v>6819</v>
      </c>
      <c r="M1970" s="1">
        <v>49.0</v>
      </c>
      <c r="N1970" s="1" t="s">
        <v>1152</v>
      </c>
      <c r="O1970" s="3" t="s">
        <v>3587</v>
      </c>
      <c r="P1970" s="1" t="s">
        <v>1152</v>
      </c>
      <c r="Q1970" s="1" t="s">
        <v>1152</v>
      </c>
      <c r="R1970" s="1"/>
      <c r="S1970" s="1"/>
      <c r="T1970" s="1" t="s">
        <v>1152</v>
      </c>
      <c r="U1970" s="1" t="s">
        <v>6053</v>
      </c>
      <c r="V1970" s="4" t="s">
        <v>3587</v>
      </c>
      <c r="W1970" s="1"/>
      <c r="X1970" s="1" t="s">
        <v>1152</v>
      </c>
      <c r="Y1970" s="1" t="s">
        <v>1152</v>
      </c>
      <c r="Z1970" s="1"/>
      <c r="AA1970" s="1"/>
      <c r="AB1970" s="1"/>
      <c r="AC1970" s="1" t="s">
        <v>1925</v>
      </c>
      <c r="AD1970" s="1"/>
      <c r="AE1970" s="18">
        <v>46147.0</v>
      </c>
      <c r="AF1970" s="1" t="s">
        <v>1030</v>
      </c>
      <c r="AG1970" s="1" t="s">
        <v>52</v>
      </c>
      <c r="AH1970" s="1" t="s">
        <v>1152</v>
      </c>
      <c r="AI1970" s="1"/>
      <c r="AJ1970" s="1" t="s">
        <v>208</v>
      </c>
      <c r="AK1970" s="1" t="s">
        <v>1152</v>
      </c>
      <c r="AL1970" s="6" t="str">
        <f t="array" ref="AL1970">IFERROR(IFS(XLOOKUP(B1970, 'Kit Delivery Status'!$U:$U, 'Kit Delivery Status'!$K:$K) = "Complete", "DELIVERED", XLOOKUP(B1970, 'Kit Delivery Status'!$U:$U, 'Kit Delivery Status'!$K:$K) = "Issue", "ISSUE"), "")</f>
        <v/>
      </c>
      <c r="AM1970" s="6"/>
    </row>
    <row r="1971">
      <c r="A1971" s="5" t="s">
        <v>9641</v>
      </c>
      <c r="B1971" s="1" t="s">
        <v>9642</v>
      </c>
      <c r="C1971" s="1" t="s">
        <v>5124</v>
      </c>
      <c r="D1971" s="2">
        <v>2.485612354E9</v>
      </c>
      <c r="E1971" s="1" t="s">
        <v>9643</v>
      </c>
      <c r="F1971" s="1" t="s">
        <v>9644</v>
      </c>
      <c r="G1971" s="1" t="s">
        <v>1085</v>
      </c>
      <c r="H1971" s="1" t="s">
        <v>1691</v>
      </c>
      <c r="I1971" s="1">
        <v>48009.0</v>
      </c>
      <c r="J1971" s="1" t="s">
        <v>752</v>
      </c>
      <c r="K1971" s="1" t="s">
        <v>42</v>
      </c>
      <c r="L1971" s="1" t="s">
        <v>8365</v>
      </c>
      <c r="M1971" s="1">
        <v>49.0</v>
      </c>
      <c r="N1971" s="1" t="s">
        <v>1152</v>
      </c>
      <c r="O1971" s="3"/>
      <c r="P1971" s="1" t="s">
        <v>1152</v>
      </c>
      <c r="Q1971" s="1" t="s">
        <v>1152</v>
      </c>
      <c r="R1971" s="1" t="s">
        <v>9644</v>
      </c>
      <c r="S1971" s="1"/>
      <c r="T1971" s="1" t="s">
        <v>1152</v>
      </c>
      <c r="U1971" s="1"/>
      <c r="V1971" s="4"/>
      <c r="W1971" s="1" t="s">
        <v>9644</v>
      </c>
      <c r="X1971" s="1" t="s">
        <v>1152</v>
      </c>
      <c r="Y1971" s="1" t="s">
        <v>1152</v>
      </c>
      <c r="Z1971" s="1"/>
      <c r="AA1971" s="1" t="s">
        <v>9644</v>
      </c>
      <c r="AB1971" s="1"/>
      <c r="AC1971" s="1" t="s">
        <v>1925</v>
      </c>
      <c r="AD1971" s="1"/>
      <c r="AE1971" s="18">
        <v>46118.0</v>
      </c>
      <c r="AF1971" s="1" t="s">
        <v>1030</v>
      </c>
      <c r="AG1971" s="1" t="s">
        <v>124</v>
      </c>
      <c r="AH1971" s="1" t="s">
        <v>1152</v>
      </c>
      <c r="AI1971" s="1" t="s">
        <v>9645</v>
      </c>
      <c r="AJ1971" s="1" t="s">
        <v>9646</v>
      </c>
      <c r="AK1971" s="1" t="s">
        <v>1152</v>
      </c>
      <c r="AL1971" s="6" t="str">
        <f t="array" ref="AL1971">IFERROR(IFS(XLOOKUP(B1971, 'Kit Delivery Status'!$U:$U, 'Kit Delivery Status'!$K:$K) = "Complete", "DELIVERED", XLOOKUP(B1971, 'Kit Delivery Status'!$U:$U, 'Kit Delivery Status'!$K:$K) = "Issue", "ISSUE"), "")</f>
        <v/>
      </c>
      <c r="AM1971" s="6"/>
    </row>
    <row r="1972">
      <c r="A1972" s="5" t="s">
        <v>9647</v>
      </c>
      <c r="B1972" s="1" t="s">
        <v>9648</v>
      </c>
      <c r="C1972" s="1" t="s">
        <v>9649</v>
      </c>
      <c r="D1972" s="2">
        <v>5.034099798E9</v>
      </c>
      <c r="E1972" s="1" t="s">
        <v>9650</v>
      </c>
      <c r="F1972" s="1"/>
      <c r="G1972" s="1" t="s">
        <v>9651</v>
      </c>
      <c r="H1972" s="1" t="s">
        <v>1422</v>
      </c>
      <c r="I1972" s="1">
        <v>97302.0</v>
      </c>
      <c r="J1972" s="1" t="s">
        <v>752</v>
      </c>
      <c r="K1972" s="1" t="s">
        <v>42</v>
      </c>
      <c r="L1972" s="1" t="s">
        <v>6819</v>
      </c>
      <c r="M1972" s="1">
        <v>49.0</v>
      </c>
      <c r="N1972" s="1" t="s">
        <v>1152</v>
      </c>
      <c r="O1972" s="3" t="s">
        <v>9652</v>
      </c>
      <c r="P1972" s="1" t="s">
        <v>1152</v>
      </c>
      <c r="Q1972" s="1" t="s">
        <v>1152</v>
      </c>
      <c r="R1972" s="1"/>
      <c r="S1972" s="1"/>
      <c r="T1972" s="1" t="s">
        <v>1152</v>
      </c>
      <c r="U1972" s="1" t="s">
        <v>1201</v>
      </c>
      <c r="V1972" s="4" t="s">
        <v>9652</v>
      </c>
      <c r="W1972" s="1"/>
      <c r="X1972" s="1" t="s">
        <v>1152</v>
      </c>
      <c r="Y1972" s="1" t="s">
        <v>1152</v>
      </c>
      <c r="Z1972" s="1"/>
      <c r="AA1972" s="1"/>
      <c r="AB1972" s="1"/>
      <c r="AC1972" s="1" t="s">
        <v>1925</v>
      </c>
      <c r="AD1972" s="1"/>
      <c r="AE1972" s="18">
        <v>46147.0</v>
      </c>
      <c r="AF1972" s="1" t="s">
        <v>1103</v>
      </c>
      <c r="AG1972" s="1" t="s">
        <v>52</v>
      </c>
      <c r="AH1972" s="1" t="s">
        <v>1152</v>
      </c>
      <c r="AI1972" s="1"/>
      <c r="AJ1972" s="1" t="s">
        <v>9653</v>
      </c>
      <c r="AK1972" s="1" t="s">
        <v>1152</v>
      </c>
      <c r="AL1972" s="6" t="str">
        <f t="array" ref="AL1972">IFERROR(IFS(XLOOKUP(B1972, 'Kit Delivery Status'!$U:$U, 'Kit Delivery Status'!$K:$K) = "Complete", "DELIVERED", XLOOKUP(B1972, 'Kit Delivery Status'!$U:$U, 'Kit Delivery Status'!$K:$K) = "Issue", "ISSUE"), "")</f>
        <v/>
      </c>
      <c r="AM1972" s="6"/>
    </row>
    <row r="1973">
      <c r="A1973" s="5" t="s">
        <v>9654</v>
      </c>
      <c r="B1973" s="1" t="s">
        <v>9655</v>
      </c>
      <c r="C1973" s="1"/>
      <c r="D1973" s="2">
        <v>9.196007031E9</v>
      </c>
      <c r="E1973" s="1" t="s">
        <v>9656</v>
      </c>
      <c r="F1973" s="1"/>
      <c r="G1973" s="1" t="s">
        <v>5832</v>
      </c>
      <c r="H1973" s="1" t="s">
        <v>1438</v>
      </c>
      <c r="I1973" s="1" t="s">
        <v>9657</v>
      </c>
      <c r="J1973" s="1" t="s">
        <v>752</v>
      </c>
      <c r="K1973" s="1" t="s">
        <v>42</v>
      </c>
      <c r="L1973" s="1" t="s">
        <v>6819</v>
      </c>
      <c r="M1973" s="1">
        <v>49.0</v>
      </c>
      <c r="N1973" s="1" t="s">
        <v>1152</v>
      </c>
      <c r="O1973" s="3" t="s">
        <v>1767</v>
      </c>
      <c r="P1973" s="1" t="s">
        <v>1152</v>
      </c>
      <c r="Q1973" s="1" t="s">
        <v>1152</v>
      </c>
      <c r="R1973" s="1"/>
      <c r="S1973" s="1"/>
      <c r="T1973" s="1" t="s">
        <v>1152</v>
      </c>
      <c r="U1973" s="1" t="s">
        <v>1148</v>
      </c>
      <c r="V1973" s="4" t="s">
        <v>1767</v>
      </c>
      <c r="W1973" s="1"/>
      <c r="X1973" s="1" t="s">
        <v>1152</v>
      </c>
      <c r="Y1973" s="1" t="s">
        <v>1152</v>
      </c>
      <c r="Z1973" s="1"/>
      <c r="AA1973" s="1"/>
      <c r="AB1973" s="1"/>
      <c r="AC1973" s="1" t="s">
        <v>1925</v>
      </c>
      <c r="AD1973" s="1"/>
      <c r="AE1973" s="18">
        <v>46147.0</v>
      </c>
      <c r="AF1973" s="1" t="s">
        <v>1440</v>
      </c>
      <c r="AG1973" s="1" t="s">
        <v>52</v>
      </c>
      <c r="AH1973" s="1" t="s">
        <v>1152</v>
      </c>
      <c r="AI1973" s="1"/>
      <c r="AJ1973" s="1" t="s">
        <v>9656</v>
      </c>
      <c r="AK1973" s="1" t="s">
        <v>1152</v>
      </c>
      <c r="AL1973" s="6" t="str">
        <f t="array" ref="AL1973">IFERROR(IFS(XLOOKUP(B1973, 'Kit Delivery Status'!$U:$U, 'Kit Delivery Status'!$K:$K) = "Complete", "DELIVERED", XLOOKUP(B1973, 'Kit Delivery Status'!$U:$U, 'Kit Delivery Status'!$K:$K) = "Issue", "ISSUE"), "")</f>
        <v/>
      </c>
      <c r="AM1973" s="6"/>
    </row>
    <row r="1974">
      <c r="A1974" s="5" t="s">
        <v>9658</v>
      </c>
      <c r="B1974" s="1" t="s">
        <v>9659</v>
      </c>
      <c r="C1974" s="1" t="s">
        <v>9660</v>
      </c>
      <c r="D1974" s="2">
        <v>2.028129294E9</v>
      </c>
      <c r="E1974" s="1" t="s">
        <v>3078</v>
      </c>
      <c r="F1974" s="1"/>
      <c r="G1974" s="1" t="s">
        <v>980</v>
      </c>
      <c r="H1974" s="1" t="s">
        <v>1063</v>
      </c>
      <c r="I1974" s="1">
        <v>20015.0</v>
      </c>
      <c r="J1974" s="1" t="s">
        <v>752</v>
      </c>
      <c r="K1974" s="1" t="s">
        <v>42</v>
      </c>
      <c r="L1974" s="1" t="s">
        <v>6819</v>
      </c>
      <c r="M1974" s="1">
        <v>49.0</v>
      </c>
      <c r="N1974" s="1" t="s">
        <v>1152</v>
      </c>
      <c r="O1974" s="3" t="s">
        <v>3079</v>
      </c>
      <c r="P1974" s="1" t="s">
        <v>1152</v>
      </c>
      <c r="Q1974" s="1" t="s">
        <v>1152</v>
      </c>
      <c r="R1974" s="1"/>
      <c r="S1974" s="1"/>
      <c r="T1974" s="1" t="s">
        <v>1152</v>
      </c>
      <c r="U1974" s="1" t="s">
        <v>982</v>
      </c>
      <c r="V1974" s="4" t="s">
        <v>3079</v>
      </c>
      <c r="W1974" s="1"/>
      <c r="X1974" s="1" t="s">
        <v>1152</v>
      </c>
      <c r="Y1974" s="1" t="s">
        <v>1152</v>
      </c>
      <c r="Z1974" s="1"/>
      <c r="AA1974" s="1"/>
      <c r="AB1974" s="1"/>
      <c r="AC1974" s="1" t="s">
        <v>1925</v>
      </c>
      <c r="AD1974" s="1"/>
      <c r="AE1974" s="18">
        <v>46148.0</v>
      </c>
      <c r="AF1974" s="1" t="s">
        <v>1349</v>
      </c>
      <c r="AG1974" s="1" t="s">
        <v>52</v>
      </c>
      <c r="AH1974" s="1" t="s">
        <v>1152</v>
      </c>
      <c r="AI1974" s="1"/>
      <c r="AJ1974" s="1" t="s">
        <v>3078</v>
      </c>
      <c r="AK1974" s="1" t="s">
        <v>1152</v>
      </c>
      <c r="AL1974" s="6" t="str">
        <f t="array" ref="AL1974">IFERROR(IFS(XLOOKUP(B1974, 'Kit Delivery Status'!$U:$U, 'Kit Delivery Status'!$K:$K) = "Complete", "DELIVERED", XLOOKUP(B1974, 'Kit Delivery Status'!$U:$U, 'Kit Delivery Status'!$K:$K) = "Issue", "ISSUE"), "")</f>
        <v/>
      </c>
      <c r="AM1974" s="6"/>
    </row>
    <row r="1975">
      <c r="A1975" s="5" t="s">
        <v>9661</v>
      </c>
      <c r="B1975" s="1" t="s">
        <v>9662</v>
      </c>
      <c r="C1975" s="1"/>
      <c r="D1975" s="2">
        <v>8.455964595E9</v>
      </c>
      <c r="E1975" s="1" t="s">
        <v>9663</v>
      </c>
      <c r="F1975" s="1"/>
      <c r="G1975" s="1" t="s">
        <v>5620</v>
      </c>
      <c r="H1975" s="1" t="s">
        <v>751</v>
      </c>
      <c r="I1975" s="1">
        <v>10901.0</v>
      </c>
      <c r="J1975" s="1" t="s">
        <v>752</v>
      </c>
      <c r="K1975" s="1" t="s">
        <v>42</v>
      </c>
      <c r="L1975" s="1" t="s">
        <v>6819</v>
      </c>
      <c r="M1975" s="1">
        <v>49.0</v>
      </c>
      <c r="N1975" s="1" t="s">
        <v>1152</v>
      </c>
      <c r="O1975" s="3" t="s">
        <v>1255</v>
      </c>
      <c r="P1975" s="1" t="s">
        <v>1152</v>
      </c>
      <c r="Q1975" s="1" t="s">
        <v>1152</v>
      </c>
      <c r="R1975" s="1"/>
      <c r="S1975" s="1"/>
      <c r="T1975" s="1" t="s">
        <v>1152</v>
      </c>
      <c r="U1975" s="1" t="s">
        <v>1080</v>
      </c>
      <c r="V1975" s="4" t="s">
        <v>1255</v>
      </c>
      <c r="W1975" s="1"/>
      <c r="X1975" s="1" t="s">
        <v>1152</v>
      </c>
      <c r="Y1975" s="1" t="s">
        <v>1152</v>
      </c>
      <c r="Z1975" s="1"/>
      <c r="AA1975" s="1"/>
      <c r="AB1975" s="1"/>
      <c r="AC1975" s="1" t="s">
        <v>1925</v>
      </c>
      <c r="AD1975" s="1"/>
      <c r="AE1975" s="18">
        <v>46148.0</v>
      </c>
      <c r="AF1975" s="1" t="s">
        <v>1030</v>
      </c>
      <c r="AG1975" s="1" t="s">
        <v>52</v>
      </c>
      <c r="AH1975" s="1" t="s">
        <v>1152</v>
      </c>
      <c r="AI1975" s="1"/>
      <c r="AJ1975" s="1" t="s">
        <v>9664</v>
      </c>
      <c r="AK1975" s="1" t="s">
        <v>1152</v>
      </c>
      <c r="AL1975" s="6" t="str">
        <f t="array" ref="AL1975">IFERROR(IFS(XLOOKUP(B1975, 'Kit Delivery Status'!$U:$U, 'Kit Delivery Status'!$K:$K) = "Complete", "DELIVERED", XLOOKUP(B1975, 'Kit Delivery Status'!$U:$U, 'Kit Delivery Status'!$K:$K) = "Issue", "ISSUE"), "")</f>
        <v/>
      </c>
      <c r="AM1975" s="6"/>
    </row>
    <row r="1976">
      <c r="A1976" s="5" t="s">
        <v>9665</v>
      </c>
      <c r="B1976" s="1" t="s">
        <v>9666</v>
      </c>
      <c r="C1976" s="1" t="s">
        <v>5297</v>
      </c>
      <c r="D1976" s="2">
        <v>7.203693946E9</v>
      </c>
      <c r="E1976" s="1" t="s">
        <v>5298</v>
      </c>
      <c r="F1976" s="1"/>
      <c r="G1976" s="1" t="s">
        <v>4352</v>
      </c>
      <c r="H1976" s="1" t="s">
        <v>1891</v>
      </c>
      <c r="I1976" s="1">
        <v>80305.0</v>
      </c>
      <c r="J1976" s="1" t="s">
        <v>752</v>
      </c>
      <c r="K1976" s="1" t="s">
        <v>42</v>
      </c>
      <c r="L1976" s="1" t="s">
        <v>6819</v>
      </c>
      <c r="M1976" s="1">
        <v>49.0</v>
      </c>
      <c r="N1976" s="1" t="s">
        <v>1152</v>
      </c>
      <c r="O1976" s="3" t="s">
        <v>3944</v>
      </c>
      <c r="P1976" s="1" t="s">
        <v>1152</v>
      </c>
      <c r="Q1976" s="1" t="s">
        <v>1152</v>
      </c>
      <c r="R1976" s="1"/>
      <c r="S1976" s="1"/>
      <c r="T1976" s="1" t="s">
        <v>1152</v>
      </c>
      <c r="U1976" s="1" t="s">
        <v>3946</v>
      </c>
      <c r="V1976" s="4" t="s">
        <v>3944</v>
      </c>
      <c r="W1976" s="1"/>
      <c r="X1976" s="1" t="s">
        <v>1152</v>
      </c>
      <c r="Y1976" s="1" t="s">
        <v>1152</v>
      </c>
      <c r="Z1976" s="1"/>
      <c r="AA1976" s="1"/>
      <c r="AB1976" s="1"/>
      <c r="AC1976" s="1" t="s">
        <v>1925</v>
      </c>
      <c r="AD1976" s="1"/>
      <c r="AE1976" s="18">
        <v>46149.0</v>
      </c>
      <c r="AF1976" s="1" t="s">
        <v>1440</v>
      </c>
      <c r="AG1976" s="1" t="s">
        <v>52</v>
      </c>
      <c r="AH1976" s="1" t="s">
        <v>1152</v>
      </c>
      <c r="AI1976" s="1"/>
      <c r="AJ1976" s="1" t="s">
        <v>5298</v>
      </c>
      <c r="AK1976" s="1" t="s">
        <v>1152</v>
      </c>
      <c r="AL1976" s="6" t="str">
        <f t="array" ref="AL1976">IFERROR(IFS(XLOOKUP(B1976, 'Kit Delivery Status'!$U:$U, 'Kit Delivery Status'!$K:$K) = "Complete", "DELIVERED", XLOOKUP(B1976, 'Kit Delivery Status'!$U:$U, 'Kit Delivery Status'!$K:$K) = "Issue", "ISSUE"), "")</f>
        <v/>
      </c>
      <c r="AM1976" s="6"/>
    </row>
    <row r="1977">
      <c r="A1977" s="5" t="s">
        <v>9667</v>
      </c>
      <c r="B1977" s="1" t="s">
        <v>9668</v>
      </c>
      <c r="C1977" s="1" t="s">
        <v>9669</v>
      </c>
      <c r="D1977" s="2">
        <v>4.153174959E9</v>
      </c>
      <c r="E1977" s="1" t="s">
        <v>9670</v>
      </c>
      <c r="F1977" s="1"/>
      <c r="G1977" s="1" t="s">
        <v>1562</v>
      </c>
      <c r="H1977" s="1" t="s">
        <v>989</v>
      </c>
      <c r="I1977" s="1">
        <v>94116.0</v>
      </c>
      <c r="J1977" s="1" t="s">
        <v>752</v>
      </c>
      <c r="K1977" s="1" t="s">
        <v>42</v>
      </c>
      <c r="L1977" s="1" t="s">
        <v>6819</v>
      </c>
      <c r="M1977" s="1">
        <v>49.0</v>
      </c>
      <c r="N1977" s="1" t="s">
        <v>1152</v>
      </c>
      <c r="O1977" s="3" t="s">
        <v>9671</v>
      </c>
      <c r="P1977" s="1" t="s">
        <v>1152</v>
      </c>
      <c r="Q1977" s="1" t="s">
        <v>1152</v>
      </c>
      <c r="R1977" s="1"/>
      <c r="S1977" s="1"/>
      <c r="T1977" s="1" t="s">
        <v>1152</v>
      </c>
      <c r="U1977" s="1" t="s">
        <v>1201</v>
      </c>
      <c r="V1977" s="4" t="s">
        <v>9671</v>
      </c>
      <c r="W1977" s="1"/>
      <c r="X1977" s="1" t="s">
        <v>1152</v>
      </c>
      <c r="Y1977" s="1" t="s">
        <v>1152</v>
      </c>
      <c r="Z1977" s="1"/>
      <c r="AA1977" s="1"/>
      <c r="AB1977" s="1"/>
      <c r="AC1977" s="1" t="s">
        <v>1925</v>
      </c>
      <c r="AD1977" s="1"/>
      <c r="AE1977" s="18">
        <v>46149.0</v>
      </c>
      <c r="AF1977" s="1" t="s">
        <v>1030</v>
      </c>
      <c r="AG1977" s="1" t="s">
        <v>52</v>
      </c>
      <c r="AH1977" s="1" t="s">
        <v>1152</v>
      </c>
      <c r="AI1977" s="1"/>
      <c r="AJ1977" s="1" t="s">
        <v>9672</v>
      </c>
      <c r="AK1977" s="1" t="s">
        <v>1152</v>
      </c>
      <c r="AL1977" s="6" t="str">
        <f t="array" ref="AL1977">IFERROR(IFS(XLOOKUP(B1977, 'Kit Delivery Status'!$U:$U, 'Kit Delivery Status'!$K:$K) = "Complete", "DELIVERED", XLOOKUP(B1977, 'Kit Delivery Status'!$U:$U, 'Kit Delivery Status'!$K:$K) = "Issue", "ISSUE"), "")</f>
        <v/>
      </c>
      <c r="AM1977" s="6"/>
    </row>
    <row r="1978">
      <c r="A1978" s="5" t="s">
        <v>9673</v>
      </c>
      <c r="B1978" s="1" t="s">
        <v>9674</v>
      </c>
      <c r="C1978" s="1"/>
      <c r="D1978" s="2">
        <v>9.178474451E9</v>
      </c>
      <c r="E1978" s="1" t="s">
        <v>9675</v>
      </c>
      <c r="F1978" s="1"/>
      <c r="G1978" s="1" t="s">
        <v>2428</v>
      </c>
      <c r="H1978" s="1" t="s">
        <v>751</v>
      </c>
      <c r="I1978" s="1">
        <v>10471.0</v>
      </c>
      <c r="J1978" s="1" t="s">
        <v>752</v>
      </c>
      <c r="K1978" s="1" t="s">
        <v>42</v>
      </c>
      <c r="L1978" s="1" t="s">
        <v>6819</v>
      </c>
      <c r="M1978" s="1">
        <v>49.0</v>
      </c>
      <c r="N1978" s="1" t="s">
        <v>1152</v>
      </c>
      <c r="O1978" s="3" t="s">
        <v>6709</v>
      </c>
      <c r="P1978" s="1" t="s">
        <v>1152</v>
      </c>
      <c r="Q1978" s="1" t="s">
        <v>1152</v>
      </c>
      <c r="R1978" s="1"/>
      <c r="S1978" s="1"/>
      <c r="T1978" s="1" t="s">
        <v>1152</v>
      </c>
      <c r="U1978" s="1" t="s">
        <v>1065</v>
      </c>
      <c r="V1978" s="4" t="s">
        <v>6709</v>
      </c>
      <c r="W1978" s="1"/>
      <c r="X1978" s="1" t="s">
        <v>1152</v>
      </c>
      <c r="Y1978" s="1" t="s">
        <v>1152</v>
      </c>
      <c r="Z1978" s="1"/>
      <c r="AA1978" s="1"/>
      <c r="AB1978" s="1"/>
      <c r="AC1978" s="1" t="s">
        <v>1925</v>
      </c>
      <c r="AD1978" s="1"/>
      <c r="AE1978" s="18">
        <v>46149.0</v>
      </c>
      <c r="AF1978" s="1" t="s">
        <v>1030</v>
      </c>
      <c r="AG1978" s="1" t="s">
        <v>52</v>
      </c>
      <c r="AH1978" s="1" t="s">
        <v>1152</v>
      </c>
      <c r="AI1978" s="1" t="s">
        <v>9676</v>
      </c>
      <c r="AJ1978" s="1" t="s">
        <v>9677</v>
      </c>
      <c r="AK1978" s="1" t="s">
        <v>1152</v>
      </c>
      <c r="AL1978" s="6" t="str">
        <f t="array" ref="AL1978">IFERROR(IFS(XLOOKUP(B1978, 'Kit Delivery Status'!$U:$U, 'Kit Delivery Status'!$K:$K) = "Complete", "DELIVERED", XLOOKUP(B1978, 'Kit Delivery Status'!$U:$U, 'Kit Delivery Status'!$K:$K) = "Issue", "ISSUE"), "")</f>
        <v/>
      </c>
      <c r="AM1978" s="6"/>
    </row>
    <row r="1979">
      <c r="A1979" s="5" t="s">
        <v>9678</v>
      </c>
      <c r="B1979" s="1" t="s">
        <v>9679</v>
      </c>
      <c r="C1979" s="1" t="s">
        <v>6031</v>
      </c>
      <c r="D1979" s="2">
        <v>2.068503099E9</v>
      </c>
      <c r="E1979" s="1" t="s">
        <v>9680</v>
      </c>
      <c r="F1979" s="1"/>
      <c r="G1979" s="1" t="s">
        <v>9681</v>
      </c>
      <c r="H1979" s="1" t="s">
        <v>980</v>
      </c>
      <c r="I1979" s="1">
        <v>98011.0</v>
      </c>
      <c r="J1979" s="1" t="s">
        <v>752</v>
      </c>
      <c r="K1979" s="1" t="s">
        <v>42</v>
      </c>
      <c r="L1979" s="1" t="s">
        <v>6819</v>
      </c>
      <c r="M1979" s="1">
        <v>49.0</v>
      </c>
      <c r="N1979" s="1" t="s">
        <v>1152</v>
      </c>
      <c r="O1979" s="3" t="s">
        <v>981</v>
      </c>
      <c r="P1979" s="1" t="s">
        <v>1152</v>
      </c>
      <c r="Q1979" s="1" t="s">
        <v>1152</v>
      </c>
      <c r="R1979" s="1"/>
      <c r="S1979" s="1"/>
      <c r="T1979" s="1" t="s">
        <v>1152</v>
      </c>
      <c r="U1979" s="1" t="s">
        <v>982</v>
      </c>
      <c r="V1979" s="4" t="s">
        <v>981</v>
      </c>
      <c r="W1979" s="1"/>
      <c r="X1979" s="1" t="s">
        <v>1152</v>
      </c>
      <c r="Y1979" s="1" t="s">
        <v>1152</v>
      </c>
      <c r="Z1979" s="1"/>
      <c r="AA1979" s="1"/>
      <c r="AB1979" s="1"/>
      <c r="AC1979" s="1" t="s">
        <v>1925</v>
      </c>
      <c r="AD1979" s="1"/>
      <c r="AE1979" s="18">
        <v>46149.0</v>
      </c>
      <c r="AF1979" s="1" t="s">
        <v>1440</v>
      </c>
      <c r="AG1979" s="1" t="s">
        <v>52</v>
      </c>
      <c r="AH1979" s="1" t="s">
        <v>1152</v>
      </c>
      <c r="AI1979" s="1"/>
      <c r="AJ1979" s="1" t="s">
        <v>6033</v>
      </c>
      <c r="AK1979" s="1" t="s">
        <v>1152</v>
      </c>
      <c r="AL1979" s="6" t="str">
        <f t="array" ref="AL1979">IFERROR(IFS(XLOOKUP(B1979, 'Kit Delivery Status'!$U:$U, 'Kit Delivery Status'!$K:$K) = "Complete", "DELIVERED", XLOOKUP(B1979, 'Kit Delivery Status'!$U:$U, 'Kit Delivery Status'!$K:$K) = "Issue", "ISSUE"), "")</f>
        <v/>
      </c>
      <c r="AM1979" s="6"/>
    </row>
    <row r="1980">
      <c r="A1980" s="5" t="s">
        <v>9682</v>
      </c>
      <c r="B1980" s="1" t="s">
        <v>9683</v>
      </c>
      <c r="C1980" s="1"/>
      <c r="D1980" s="2">
        <v>9.254087907E9</v>
      </c>
      <c r="E1980" s="1" t="s">
        <v>2960</v>
      </c>
      <c r="F1980" s="1"/>
      <c r="G1980" s="1" t="s">
        <v>1154</v>
      </c>
      <c r="H1980" s="1" t="s">
        <v>989</v>
      </c>
      <c r="I1980" s="1">
        <v>94549.0</v>
      </c>
      <c r="J1980" s="1" t="s">
        <v>752</v>
      </c>
      <c r="K1980" s="1" t="s">
        <v>42</v>
      </c>
      <c r="L1980" s="1" t="s">
        <v>9092</v>
      </c>
      <c r="M1980" s="1">
        <v>109.0</v>
      </c>
      <c r="N1980" s="1" t="s">
        <v>1152</v>
      </c>
      <c r="O1980" s="3" t="s">
        <v>1046</v>
      </c>
      <c r="P1980" s="1" t="s">
        <v>1152</v>
      </c>
      <c r="Q1980" s="1" t="s">
        <v>1152</v>
      </c>
      <c r="R1980" s="1"/>
      <c r="S1980" s="1"/>
      <c r="T1980" s="1" t="s">
        <v>1152</v>
      </c>
      <c r="U1980" s="1" t="s">
        <v>982</v>
      </c>
      <c r="V1980" s="4" t="s">
        <v>1046</v>
      </c>
      <c r="W1980" s="1"/>
      <c r="X1980" s="1" t="s">
        <v>1152</v>
      </c>
      <c r="Y1980" s="1" t="s">
        <v>1152</v>
      </c>
      <c r="Z1980" s="1"/>
      <c r="AA1980" s="1"/>
      <c r="AB1980" s="1"/>
      <c r="AC1980" s="1" t="s">
        <v>1925</v>
      </c>
      <c r="AD1980" s="1"/>
      <c r="AE1980" s="18">
        <v>46146.0</v>
      </c>
      <c r="AF1980" s="1" t="s">
        <v>1030</v>
      </c>
      <c r="AG1980" s="1" t="s">
        <v>52</v>
      </c>
      <c r="AH1980" s="1" t="s">
        <v>1152</v>
      </c>
      <c r="AI1980" s="1"/>
      <c r="AJ1980" s="1" t="s">
        <v>9684</v>
      </c>
      <c r="AK1980" s="1" t="s">
        <v>1152</v>
      </c>
      <c r="AL1980" s="6" t="str">
        <f t="array" ref="AL1980">IFERROR(IFS(XLOOKUP(B1980, 'Kit Delivery Status'!$U:$U, 'Kit Delivery Status'!$K:$K) = "Complete", "DELIVERED", XLOOKUP(B1980, 'Kit Delivery Status'!$U:$U, 'Kit Delivery Status'!$K:$K) = "Issue", "ISSUE"), "")</f>
        <v/>
      </c>
      <c r="AM1980" s="6"/>
    </row>
    <row r="1981">
      <c r="A1981" s="5" t="s">
        <v>9685</v>
      </c>
      <c r="B1981" s="1" t="s">
        <v>9686</v>
      </c>
      <c r="C1981" s="1" t="s">
        <v>9687</v>
      </c>
      <c r="D1981" s="2">
        <v>6.465285819E9</v>
      </c>
      <c r="E1981" s="1" t="s">
        <v>2813</v>
      </c>
      <c r="F1981" s="1"/>
      <c r="G1981" s="1" t="s">
        <v>751</v>
      </c>
      <c r="H1981" s="1" t="s">
        <v>751</v>
      </c>
      <c r="I1981" s="1">
        <v>10028.0</v>
      </c>
      <c r="J1981" s="1" t="s">
        <v>752</v>
      </c>
      <c r="K1981" s="1" t="s">
        <v>42</v>
      </c>
      <c r="L1981" s="1" t="s">
        <v>6819</v>
      </c>
      <c r="M1981" s="1">
        <v>49.0</v>
      </c>
      <c r="N1981" s="1" t="s">
        <v>1152</v>
      </c>
      <c r="O1981" s="3" t="s">
        <v>2814</v>
      </c>
      <c r="P1981" s="1" t="s">
        <v>1152</v>
      </c>
      <c r="Q1981" s="1" t="s">
        <v>1152</v>
      </c>
      <c r="R1981" s="1"/>
      <c r="S1981" s="1"/>
      <c r="T1981" s="1" t="s">
        <v>1152</v>
      </c>
      <c r="U1981" s="1" t="s">
        <v>2430</v>
      </c>
      <c r="V1981" s="4" t="s">
        <v>2814</v>
      </c>
      <c r="W1981" s="1"/>
      <c r="X1981" s="1" t="s">
        <v>1152</v>
      </c>
      <c r="Y1981" s="1" t="s">
        <v>1152</v>
      </c>
      <c r="Z1981" s="1"/>
      <c r="AA1981" s="1"/>
      <c r="AB1981" s="1"/>
      <c r="AC1981" s="1" t="s">
        <v>1925</v>
      </c>
      <c r="AD1981" s="1"/>
      <c r="AE1981" s="18">
        <v>46146.0</v>
      </c>
      <c r="AF1981" s="1" t="s">
        <v>1030</v>
      </c>
      <c r="AG1981" s="1" t="s">
        <v>52</v>
      </c>
      <c r="AH1981" s="1" t="s">
        <v>1152</v>
      </c>
      <c r="AI1981" s="1"/>
      <c r="AJ1981" s="1" t="s">
        <v>9688</v>
      </c>
      <c r="AK1981" s="1" t="s">
        <v>1152</v>
      </c>
      <c r="AL1981" s="6" t="str">
        <f t="array" ref="AL1981">IFERROR(IFS(XLOOKUP(B1981, 'Kit Delivery Status'!$U:$U, 'Kit Delivery Status'!$K:$K) = "Complete", "DELIVERED", XLOOKUP(B1981, 'Kit Delivery Status'!$U:$U, 'Kit Delivery Status'!$K:$K) = "Issue", "ISSUE"), "")</f>
        <v/>
      </c>
      <c r="AM1981" s="6"/>
    </row>
    <row r="1982">
      <c r="A1982" s="5" t="s">
        <v>9689</v>
      </c>
      <c r="B1982" s="1" t="s">
        <v>9690</v>
      </c>
      <c r="C1982" s="1"/>
      <c r="D1982" s="2">
        <v>5.859050703E9</v>
      </c>
      <c r="E1982" s="1" t="s">
        <v>9691</v>
      </c>
      <c r="F1982" s="1"/>
      <c r="G1982" s="1" t="s">
        <v>9692</v>
      </c>
      <c r="H1982" s="1" t="s">
        <v>751</v>
      </c>
      <c r="I1982" s="1">
        <v>14424.0</v>
      </c>
      <c r="J1982" s="1" t="s">
        <v>752</v>
      </c>
      <c r="K1982" s="1" t="s">
        <v>42</v>
      </c>
      <c r="L1982" s="1" t="s">
        <v>6819</v>
      </c>
      <c r="M1982" s="1">
        <v>49.0</v>
      </c>
      <c r="N1982" s="1" t="s">
        <v>1152</v>
      </c>
      <c r="O1982" s="3" t="s">
        <v>264</v>
      </c>
      <c r="P1982" s="1" t="s">
        <v>1152</v>
      </c>
      <c r="Q1982" s="1" t="s">
        <v>1152</v>
      </c>
      <c r="R1982" s="1"/>
      <c r="S1982" s="1"/>
      <c r="T1982" s="1" t="s">
        <v>1152</v>
      </c>
      <c r="U1982" s="1" t="s">
        <v>1148</v>
      </c>
      <c r="V1982" s="4" t="s">
        <v>264</v>
      </c>
      <c r="W1982" s="1"/>
      <c r="X1982" s="1" t="s">
        <v>1152</v>
      </c>
      <c r="Y1982" s="1" t="s">
        <v>1152</v>
      </c>
      <c r="Z1982" s="1"/>
      <c r="AA1982" s="1"/>
      <c r="AB1982" s="1"/>
      <c r="AC1982" s="1" t="s">
        <v>1925</v>
      </c>
      <c r="AD1982" s="1"/>
      <c r="AE1982" s="18">
        <v>46148.0</v>
      </c>
      <c r="AF1982" s="1" t="s">
        <v>1349</v>
      </c>
      <c r="AG1982" s="1" t="s">
        <v>52</v>
      </c>
      <c r="AH1982" s="1" t="s">
        <v>1152</v>
      </c>
      <c r="AI1982" s="1"/>
      <c r="AJ1982" s="1" t="s">
        <v>9693</v>
      </c>
      <c r="AK1982" s="1" t="s">
        <v>1152</v>
      </c>
      <c r="AL1982" s="6" t="str">
        <f t="array" ref="AL1982">IFERROR(IFS(XLOOKUP(B1982, 'Kit Delivery Status'!$U:$U, 'Kit Delivery Status'!$K:$K) = "Complete", "DELIVERED", XLOOKUP(B1982, 'Kit Delivery Status'!$U:$U, 'Kit Delivery Status'!$K:$K) = "Issue", "ISSUE"), "")</f>
        <v/>
      </c>
      <c r="AM1982" s="6"/>
    </row>
    <row r="1983">
      <c r="A1983" s="5" t="s">
        <v>9694</v>
      </c>
      <c r="B1983" s="1" t="s">
        <v>9695</v>
      </c>
      <c r="C1983" s="1" t="s">
        <v>3437</v>
      </c>
      <c r="D1983" s="2">
        <v>3.14537675E9</v>
      </c>
      <c r="E1983" s="1" t="s">
        <v>3438</v>
      </c>
      <c r="F1983" s="1"/>
      <c r="G1983" s="1" t="s">
        <v>1283</v>
      </c>
      <c r="H1983" s="1" t="s">
        <v>1155</v>
      </c>
      <c r="I1983" s="1">
        <v>63105.0</v>
      </c>
      <c r="J1983" s="1" t="s">
        <v>752</v>
      </c>
      <c r="K1983" s="1" t="s">
        <v>42</v>
      </c>
      <c r="L1983" s="1" t="s">
        <v>6819</v>
      </c>
      <c r="M1983" s="1">
        <v>49.0</v>
      </c>
      <c r="N1983" s="1" t="s">
        <v>1152</v>
      </c>
      <c r="O1983" s="3" t="s">
        <v>3439</v>
      </c>
      <c r="P1983" s="1" t="s">
        <v>1152</v>
      </c>
      <c r="Q1983" s="1" t="s">
        <v>1152</v>
      </c>
      <c r="R1983" s="1"/>
      <c r="S1983" s="1"/>
      <c r="T1983" s="1" t="s">
        <v>1152</v>
      </c>
      <c r="U1983" s="1" t="s">
        <v>1794</v>
      </c>
      <c r="V1983" s="4" t="s">
        <v>3439</v>
      </c>
      <c r="W1983" s="1"/>
      <c r="X1983" s="1" t="s">
        <v>1152</v>
      </c>
      <c r="Y1983" s="1" t="s">
        <v>1152</v>
      </c>
      <c r="Z1983" s="1"/>
      <c r="AA1983" s="1"/>
      <c r="AB1983" s="1"/>
      <c r="AC1983" s="1" t="s">
        <v>1925</v>
      </c>
      <c r="AD1983" s="1"/>
      <c r="AE1983" s="18">
        <v>46150.0</v>
      </c>
      <c r="AF1983" s="1" t="s">
        <v>1030</v>
      </c>
      <c r="AG1983" s="1" t="s">
        <v>52</v>
      </c>
      <c r="AH1983" s="1" t="s">
        <v>1152</v>
      </c>
      <c r="AI1983" s="1"/>
      <c r="AJ1983" s="1" t="s">
        <v>3438</v>
      </c>
      <c r="AK1983" s="1" t="s">
        <v>1152</v>
      </c>
      <c r="AL1983" s="6" t="str">
        <f t="array" ref="AL1983">IFERROR(IFS(XLOOKUP(B1983, 'Kit Delivery Status'!$U:$U, 'Kit Delivery Status'!$K:$K) = "Complete", "DELIVERED", XLOOKUP(B1983, 'Kit Delivery Status'!$U:$U, 'Kit Delivery Status'!$K:$K) = "Issue", "ISSUE"), "")</f>
        <v/>
      </c>
      <c r="AM1983" s="6"/>
    </row>
    <row r="1984">
      <c r="A1984" s="5" t="s">
        <v>9696</v>
      </c>
      <c r="B1984" s="1" t="s">
        <v>9697</v>
      </c>
      <c r="C1984" s="1" t="s">
        <v>9698</v>
      </c>
      <c r="D1984" s="2">
        <v>6.503097068E9</v>
      </c>
      <c r="E1984" s="1" t="s">
        <v>5943</v>
      </c>
      <c r="F1984" s="1"/>
      <c r="G1984" s="1" t="s">
        <v>2350</v>
      </c>
      <c r="H1984" s="1" t="s">
        <v>1155</v>
      </c>
      <c r="I1984" s="1">
        <v>63105.0</v>
      </c>
      <c r="J1984" s="1" t="s">
        <v>752</v>
      </c>
      <c r="K1984" s="1" t="s">
        <v>42</v>
      </c>
      <c r="L1984" s="1" t="s">
        <v>6819</v>
      </c>
      <c r="M1984" s="1">
        <v>49.0</v>
      </c>
      <c r="N1984" s="1" t="s">
        <v>1152</v>
      </c>
      <c r="O1984" s="3" t="s">
        <v>3154</v>
      </c>
      <c r="P1984" s="1" t="s">
        <v>1152</v>
      </c>
      <c r="Q1984" s="1" t="s">
        <v>1152</v>
      </c>
      <c r="R1984" s="1"/>
      <c r="S1984" s="1"/>
      <c r="T1984" s="1" t="s">
        <v>1152</v>
      </c>
      <c r="U1984" s="1" t="s">
        <v>1249</v>
      </c>
      <c r="V1984" s="4" t="s">
        <v>3154</v>
      </c>
      <c r="W1984" s="1"/>
      <c r="X1984" s="1" t="s">
        <v>1152</v>
      </c>
      <c r="Y1984" s="1" t="s">
        <v>1152</v>
      </c>
      <c r="Z1984" s="1"/>
      <c r="AA1984" s="1"/>
      <c r="AB1984" s="1"/>
      <c r="AC1984" s="1" t="s">
        <v>1925</v>
      </c>
      <c r="AD1984" s="1"/>
      <c r="AE1984" s="18">
        <v>46144.0</v>
      </c>
      <c r="AF1984" s="1" t="s">
        <v>1455</v>
      </c>
      <c r="AG1984" s="1" t="s">
        <v>52</v>
      </c>
      <c r="AH1984" s="1" t="s">
        <v>1152</v>
      </c>
      <c r="AI1984" s="1"/>
      <c r="AJ1984" s="1" t="s">
        <v>5943</v>
      </c>
      <c r="AK1984" s="1" t="s">
        <v>1152</v>
      </c>
      <c r="AL1984" s="6" t="str">
        <f t="array" ref="AL1984">IFERROR(IFS(XLOOKUP(B1984, 'Kit Delivery Status'!$U:$U, 'Kit Delivery Status'!$K:$K) = "Complete", "DELIVERED", XLOOKUP(B1984, 'Kit Delivery Status'!$U:$U, 'Kit Delivery Status'!$K:$K) = "Issue", "ISSUE"), "")</f>
        <v/>
      </c>
      <c r="AM1984" s="6"/>
    </row>
    <row r="1985">
      <c r="A1985" s="5" t="s">
        <v>9696</v>
      </c>
      <c r="B1985" s="1" t="s">
        <v>9697</v>
      </c>
      <c r="C1985" s="1" t="s">
        <v>9698</v>
      </c>
      <c r="D1985" s="2">
        <v>6.503097068E9</v>
      </c>
      <c r="E1985" s="1" t="s">
        <v>5943</v>
      </c>
      <c r="F1985" s="1"/>
      <c r="G1985" s="1" t="s">
        <v>2350</v>
      </c>
      <c r="H1985" s="1" t="s">
        <v>1155</v>
      </c>
      <c r="I1985" s="1">
        <v>63105.0</v>
      </c>
      <c r="J1985" s="1" t="s">
        <v>752</v>
      </c>
      <c r="K1985" s="1" t="s">
        <v>2131</v>
      </c>
      <c r="L1985" s="1" t="s">
        <v>5736</v>
      </c>
      <c r="M1985" s="1">
        <v>1.0</v>
      </c>
      <c r="N1985" s="1" t="s">
        <v>1152</v>
      </c>
      <c r="O1985" s="3" t="s">
        <v>3154</v>
      </c>
      <c r="P1985" s="1" t="s">
        <v>1152</v>
      </c>
      <c r="Q1985" s="1" t="s">
        <v>1152</v>
      </c>
      <c r="R1985" s="1"/>
      <c r="S1985" s="1"/>
      <c r="T1985" s="1" t="s">
        <v>1152</v>
      </c>
      <c r="U1985" s="1" t="s">
        <v>1249</v>
      </c>
      <c r="V1985" s="4" t="s">
        <v>3154</v>
      </c>
      <c r="W1985" s="1"/>
      <c r="X1985" s="1" t="s">
        <v>1152</v>
      </c>
      <c r="Y1985" s="1" t="s">
        <v>1152</v>
      </c>
      <c r="Z1985" s="1"/>
      <c r="AA1985" s="1"/>
      <c r="AB1985" s="1"/>
      <c r="AC1985" s="1" t="s">
        <v>1925</v>
      </c>
      <c r="AD1985" s="1"/>
      <c r="AE1985" s="18">
        <v>46144.0</v>
      </c>
      <c r="AF1985" s="1"/>
      <c r="AG1985" s="1"/>
      <c r="AH1985" s="1" t="s">
        <v>1152</v>
      </c>
      <c r="AI1985" s="1"/>
      <c r="AJ1985" s="1" t="s">
        <v>5943</v>
      </c>
      <c r="AK1985" s="1" t="s">
        <v>1152</v>
      </c>
      <c r="AL1985" s="6" t="str">
        <f t="array" ref="AL1985">IFERROR(IFS(XLOOKUP(B1985, 'Kit Delivery Status'!$U:$U, 'Kit Delivery Status'!$K:$K) = "Complete", "DELIVERED", XLOOKUP(B1985, 'Kit Delivery Status'!$U:$U, 'Kit Delivery Status'!$K:$K) = "Issue", "ISSUE"), "")</f>
        <v/>
      </c>
      <c r="AM1985" s="6"/>
    </row>
    <row r="1986">
      <c r="A1986" s="5" t="s">
        <v>9699</v>
      </c>
      <c r="B1986" s="1" t="s">
        <v>9700</v>
      </c>
      <c r="C1986" s="1" t="s">
        <v>9701</v>
      </c>
      <c r="D1986" s="2">
        <v>6.504395227E9</v>
      </c>
      <c r="E1986" s="1" t="s">
        <v>9702</v>
      </c>
      <c r="F1986" s="1"/>
      <c r="G1986" s="1" t="s">
        <v>3454</v>
      </c>
      <c r="H1986" s="1" t="s">
        <v>989</v>
      </c>
      <c r="I1986" s="1">
        <v>94041.0</v>
      </c>
      <c r="J1986" s="1" t="s">
        <v>752</v>
      </c>
      <c r="K1986" s="1" t="s">
        <v>42</v>
      </c>
      <c r="L1986" s="1" t="s">
        <v>6819</v>
      </c>
      <c r="M1986" s="1">
        <v>49.0</v>
      </c>
      <c r="N1986" s="1" t="s">
        <v>1152</v>
      </c>
      <c r="O1986" s="3" t="s">
        <v>9703</v>
      </c>
      <c r="P1986" s="1" t="s">
        <v>1152</v>
      </c>
      <c r="Q1986" s="1" t="s">
        <v>1152</v>
      </c>
      <c r="R1986" s="1"/>
      <c r="S1986" s="1"/>
      <c r="T1986" s="1" t="s">
        <v>1152</v>
      </c>
      <c r="U1986" s="1" t="s">
        <v>1039</v>
      </c>
      <c r="V1986" s="4" t="s">
        <v>9703</v>
      </c>
      <c r="W1986" s="1"/>
      <c r="X1986" s="1" t="s">
        <v>1152</v>
      </c>
      <c r="Y1986" s="1" t="s">
        <v>1152</v>
      </c>
      <c r="Z1986" s="1"/>
      <c r="AA1986" s="1"/>
      <c r="AB1986" s="1"/>
      <c r="AC1986" s="1" t="s">
        <v>1925</v>
      </c>
      <c r="AD1986" s="1"/>
      <c r="AE1986" s="18">
        <v>46146.0</v>
      </c>
      <c r="AF1986" s="1" t="s">
        <v>1030</v>
      </c>
      <c r="AG1986" s="1" t="s">
        <v>52</v>
      </c>
      <c r="AH1986" s="1" t="s">
        <v>1152</v>
      </c>
      <c r="AI1986" s="1"/>
      <c r="AJ1986" s="1" t="s">
        <v>9704</v>
      </c>
      <c r="AK1986" s="1" t="s">
        <v>1152</v>
      </c>
      <c r="AL1986" s="6" t="str">
        <f t="array" ref="AL1986">IFERROR(IFS(XLOOKUP(B1986, 'Kit Delivery Status'!$U:$U, 'Kit Delivery Status'!$K:$K) = "Complete", "DELIVERED", XLOOKUP(B1986, 'Kit Delivery Status'!$U:$U, 'Kit Delivery Status'!$K:$K) = "Issue", "ISSUE"), "")</f>
        <v/>
      </c>
      <c r="AM1986" s="6"/>
    </row>
    <row r="1987">
      <c r="A1987" s="5" t="s">
        <v>9705</v>
      </c>
      <c r="B1987" s="1" t="s">
        <v>9706</v>
      </c>
      <c r="C1987" s="1" t="s">
        <v>3681</v>
      </c>
      <c r="D1987" s="2">
        <v>8.476918994E9</v>
      </c>
      <c r="E1987" s="1" t="s">
        <v>6454</v>
      </c>
      <c r="F1987" s="1"/>
      <c r="G1987" s="1" t="s">
        <v>3683</v>
      </c>
      <c r="H1987" s="1" t="s">
        <v>1019</v>
      </c>
      <c r="I1987" s="1">
        <v>60047.0</v>
      </c>
      <c r="J1987" s="1" t="s">
        <v>752</v>
      </c>
      <c r="K1987" s="1" t="s">
        <v>42</v>
      </c>
      <c r="L1987" s="1" t="s">
        <v>6819</v>
      </c>
      <c r="M1987" s="1">
        <v>49.0</v>
      </c>
      <c r="N1987" s="1" t="s">
        <v>1152</v>
      </c>
      <c r="O1987" s="3" t="s">
        <v>3684</v>
      </c>
      <c r="P1987" s="1" t="s">
        <v>1152</v>
      </c>
      <c r="Q1987" s="1" t="s">
        <v>1152</v>
      </c>
      <c r="R1987" s="1"/>
      <c r="S1987" s="1"/>
      <c r="T1987" s="1" t="s">
        <v>1152</v>
      </c>
      <c r="U1987" s="1" t="s">
        <v>1249</v>
      </c>
      <c r="V1987" s="4" t="s">
        <v>3684</v>
      </c>
      <c r="W1987" s="1"/>
      <c r="X1987" s="1" t="s">
        <v>1152</v>
      </c>
      <c r="Y1987" s="1" t="s">
        <v>1152</v>
      </c>
      <c r="Z1987" s="1"/>
      <c r="AA1987" s="1"/>
      <c r="AB1987" s="1"/>
      <c r="AC1987" s="1" t="s">
        <v>1925</v>
      </c>
      <c r="AD1987" s="1"/>
      <c r="AE1987" s="18">
        <v>46144.0</v>
      </c>
      <c r="AF1987" s="1" t="s">
        <v>1349</v>
      </c>
      <c r="AG1987" s="1" t="s">
        <v>52</v>
      </c>
      <c r="AH1987" s="1" t="s">
        <v>1152</v>
      </c>
      <c r="AI1987" s="1"/>
      <c r="AJ1987" s="1" t="s">
        <v>6455</v>
      </c>
      <c r="AK1987" s="1" t="s">
        <v>1152</v>
      </c>
      <c r="AL1987" s="6" t="str">
        <f t="array" ref="AL1987">IFERROR(IFS(XLOOKUP(B1987, 'Kit Delivery Status'!$U:$U, 'Kit Delivery Status'!$K:$K) = "Complete", "DELIVERED", XLOOKUP(B1987, 'Kit Delivery Status'!$U:$U, 'Kit Delivery Status'!$K:$K) = "Issue", "ISSUE"), "")</f>
        <v/>
      </c>
      <c r="AM1987" s="6"/>
    </row>
    <row r="1988">
      <c r="A1988" s="5" t="s">
        <v>9707</v>
      </c>
      <c r="B1988" s="1" t="s">
        <v>9708</v>
      </c>
      <c r="C1988" s="1" t="s">
        <v>9709</v>
      </c>
      <c r="D1988" s="2">
        <v>3.142671228E9</v>
      </c>
      <c r="E1988" s="1" t="s">
        <v>9710</v>
      </c>
      <c r="F1988" s="1"/>
      <c r="G1988" s="1" t="s">
        <v>1072</v>
      </c>
      <c r="H1988" s="1" t="s">
        <v>1019</v>
      </c>
      <c r="I1988" s="1">
        <v>60661.0</v>
      </c>
      <c r="J1988" s="1" t="s">
        <v>752</v>
      </c>
      <c r="K1988" s="1" t="s">
        <v>42</v>
      </c>
      <c r="L1988" s="1" t="s">
        <v>6819</v>
      </c>
      <c r="M1988" s="1">
        <v>49.0</v>
      </c>
      <c r="N1988" s="1" t="s">
        <v>1152</v>
      </c>
      <c r="O1988" s="3" t="s">
        <v>2946</v>
      </c>
      <c r="P1988" s="1" t="s">
        <v>1152</v>
      </c>
      <c r="Q1988" s="1" t="s">
        <v>1152</v>
      </c>
      <c r="R1988" s="1"/>
      <c r="S1988" s="1"/>
      <c r="T1988" s="1" t="s">
        <v>1152</v>
      </c>
      <c r="U1988" s="1" t="s">
        <v>1249</v>
      </c>
      <c r="V1988" s="4" t="s">
        <v>2946</v>
      </c>
      <c r="W1988" s="1"/>
      <c r="X1988" s="1" t="s">
        <v>1152</v>
      </c>
      <c r="Y1988" s="1" t="s">
        <v>1152</v>
      </c>
      <c r="Z1988" s="1"/>
      <c r="AA1988" s="1"/>
      <c r="AB1988" s="1"/>
      <c r="AC1988" s="1" t="s">
        <v>1925</v>
      </c>
      <c r="AD1988" s="1"/>
      <c r="AE1988" s="18">
        <v>46149.0</v>
      </c>
      <c r="AF1988" s="1" t="s">
        <v>1349</v>
      </c>
      <c r="AG1988" s="1" t="s">
        <v>52</v>
      </c>
      <c r="AH1988" s="1" t="s">
        <v>1152</v>
      </c>
      <c r="AI1988" s="1"/>
      <c r="AJ1988" s="1" t="s">
        <v>9711</v>
      </c>
      <c r="AK1988" s="1" t="s">
        <v>1152</v>
      </c>
      <c r="AL1988" s="6" t="str">
        <f t="array" ref="AL1988">IFERROR(IFS(XLOOKUP(B1988, 'Kit Delivery Status'!$U:$U, 'Kit Delivery Status'!$K:$K) = "Complete", "DELIVERED", XLOOKUP(B1988, 'Kit Delivery Status'!$U:$U, 'Kit Delivery Status'!$K:$K) = "Issue", "ISSUE"), "")</f>
        <v/>
      </c>
      <c r="AM1988" s="6"/>
    </row>
    <row r="1989">
      <c r="A1989" s="5" t="s">
        <v>9712</v>
      </c>
      <c r="B1989" s="1" t="s">
        <v>9713</v>
      </c>
      <c r="C1989" s="1" t="s">
        <v>9714</v>
      </c>
      <c r="D1989" s="2">
        <v>9.173317745E9</v>
      </c>
      <c r="E1989" s="1" t="s">
        <v>9715</v>
      </c>
      <c r="F1989" s="1"/>
      <c r="G1989" s="1" t="s">
        <v>751</v>
      </c>
      <c r="H1989" s="1" t="s">
        <v>751</v>
      </c>
      <c r="I1989" s="1">
        <v>10021.0</v>
      </c>
      <c r="J1989" s="1" t="s">
        <v>752</v>
      </c>
      <c r="K1989" s="1" t="s">
        <v>42</v>
      </c>
      <c r="L1989" s="1" t="s">
        <v>6819</v>
      </c>
      <c r="M1989" s="1">
        <v>49.0</v>
      </c>
      <c r="N1989" s="1" t="s">
        <v>1152</v>
      </c>
      <c r="O1989" s="3" t="s">
        <v>6386</v>
      </c>
      <c r="P1989" s="1" t="s">
        <v>1152</v>
      </c>
      <c r="Q1989" s="1" t="s">
        <v>1152</v>
      </c>
      <c r="R1989" s="1"/>
      <c r="S1989" s="1"/>
      <c r="T1989" s="1" t="s">
        <v>1152</v>
      </c>
      <c r="U1989" s="1" t="s">
        <v>1080</v>
      </c>
      <c r="V1989" s="4" t="s">
        <v>6386</v>
      </c>
      <c r="W1989" s="1"/>
      <c r="X1989" s="1" t="s">
        <v>1152</v>
      </c>
      <c r="Y1989" s="1" t="s">
        <v>1152</v>
      </c>
      <c r="Z1989" s="1"/>
      <c r="AA1989" s="1"/>
      <c r="AB1989" s="1"/>
      <c r="AC1989" s="1" t="s">
        <v>1925</v>
      </c>
      <c r="AD1989" s="1"/>
      <c r="AE1989" s="18">
        <v>46150.0</v>
      </c>
      <c r="AF1989" s="1" t="s">
        <v>1030</v>
      </c>
      <c r="AG1989" s="1" t="s">
        <v>52</v>
      </c>
      <c r="AH1989" s="1" t="s">
        <v>1152</v>
      </c>
      <c r="AI1989" s="1"/>
      <c r="AJ1989" s="1" t="s">
        <v>9715</v>
      </c>
      <c r="AK1989" s="1" t="s">
        <v>1152</v>
      </c>
      <c r="AL1989" s="6" t="str">
        <f t="array" ref="AL1989">IFERROR(IFS(XLOOKUP(B1989, 'Kit Delivery Status'!$U:$U, 'Kit Delivery Status'!$K:$K) = "Complete", "DELIVERED", XLOOKUP(B1989, 'Kit Delivery Status'!$U:$U, 'Kit Delivery Status'!$K:$K) = "Issue", "ISSUE"), "")</f>
        <v/>
      </c>
      <c r="AM1989" s="6"/>
    </row>
    <row r="1990">
      <c r="A1990" s="5" t="s">
        <v>9716</v>
      </c>
      <c r="B1990" s="1" t="s">
        <v>9717</v>
      </c>
      <c r="C1990" s="1"/>
      <c r="D1990" s="2">
        <v>2.167779895E9</v>
      </c>
      <c r="E1990" s="1" t="s">
        <v>4500</v>
      </c>
      <c r="F1990" s="1"/>
      <c r="G1990" s="1" t="s">
        <v>9718</v>
      </c>
      <c r="H1990" s="1" t="s">
        <v>2171</v>
      </c>
      <c r="I1990" s="1">
        <v>44147.0</v>
      </c>
      <c r="J1990" s="1" t="s">
        <v>752</v>
      </c>
      <c r="K1990" s="1" t="s">
        <v>42</v>
      </c>
      <c r="L1990" s="1" t="s">
        <v>6819</v>
      </c>
      <c r="M1990" s="1">
        <v>49.0</v>
      </c>
      <c r="N1990" s="1" t="s">
        <v>1152</v>
      </c>
      <c r="O1990" s="3" t="s">
        <v>4502</v>
      </c>
      <c r="P1990" s="1" t="s">
        <v>1152</v>
      </c>
      <c r="Q1990" s="1" t="s">
        <v>1152</v>
      </c>
      <c r="R1990" s="1"/>
      <c r="S1990" s="1"/>
      <c r="T1990" s="1" t="s">
        <v>1152</v>
      </c>
      <c r="U1990" s="1" t="s">
        <v>1441</v>
      </c>
      <c r="V1990" s="4" t="s">
        <v>4502</v>
      </c>
      <c r="W1990" s="1"/>
      <c r="X1990" s="1" t="s">
        <v>1152</v>
      </c>
      <c r="Y1990" s="1" t="s">
        <v>1152</v>
      </c>
      <c r="Z1990" s="1"/>
      <c r="AA1990" s="1"/>
      <c r="AB1990" s="1"/>
      <c r="AC1990" s="1" t="s">
        <v>1925</v>
      </c>
      <c r="AD1990" s="1"/>
      <c r="AE1990" s="18">
        <v>46149.0</v>
      </c>
      <c r="AF1990" s="1" t="s">
        <v>1349</v>
      </c>
      <c r="AG1990" s="1" t="s">
        <v>52</v>
      </c>
      <c r="AH1990" s="1" t="s">
        <v>1152</v>
      </c>
      <c r="AI1990" s="1"/>
      <c r="AJ1990" s="1" t="s">
        <v>4500</v>
      </c>
      <c r="AK1990" s="1" t="s">
        <v>1152</v>
      </c>
      <c r="AL1990" s="6" t="str">
        <f t="array" ref="AL1990">IFERROR(IFS(XLOOKUP(B1990, 'Kit Delivery Status'!$U:$U, 'Kit Delivery Status'!$K:$K) = "Complete", "DELIVERED", XLOOKUP(B1990, 'Kit Delivery Status'!$U:$U, 'Kit Delivery Status'!$K:$K) = "Issue", "ISSUE"), "")</f>
        <v/>
      </c>
      <c r="AM1990" s="6"/>
    </row>
    <row r="1991">
      <c r="A1991" s="5" t="s">
        <v>9719</v>
      </c>
      <c r="B1991" s="1" t="s">
        <v>9720</v>
      </c>
      <c r="C1991" s="1"/>
      <c r="D1991" s="2">
        <v>8.062399265E9</v>
      </c>
      <c r="E1991" s="1" t="s">
        <v>5103</v>
      </c>
      <c r="F1991" s="1"/>
      <c r="G1991" s="1" t="s">
        <v>5104</v>
      </c>
      <c r="H1991" s="1" t="s">
        <v>1583</v>
      </c>
      <c r="I1991" s="1">
        <v>79423.0</v>
      </c>
      <c r="J1991" s="1" t="s">
        <v>752</v>
      </c>
      <c r="K1991" s="1" t="s">
        <v>42</v>
      </c>
      <c r="L1991" s="1" t="s">
        <v>6819</v>
      </c>
      <c r="M1991" s="1">
        <v>49.0</v>
      </c>
      <c r="N1991" s="1" t="s">
        <v>1152</v>
      </c>
      <c r="O1991" s="3" t="s">
        <v>3510</v>
      </c>
      <c r="P1991" s="1" t="s">
        <v>1152</v>
      </c>
      <c r="Q1991" s="1" t="s">
        <v>1152</v>
      </c>
      <c r="R1991" s="1"/>
      <c r="S1991" s="1"/>
      <c r="T1991" s="1" t="s">
        <v>1152</v>
      </c>
      <c r="U1991" s="1" t="s">
        <v>948</v>
      </c>
      <c r="V1991" s="4" t="s">
        <v>3510</v>
      </c>
      <c r="W1991" s="1"/>
      <c r="X1991" s="1" t="s">
        <v>1152</v>
      </c>
      <c r="Y1991" s="1" t="s">
        <v>1152</v>
      </c>
      <c r="Z1991" s="1"/>
      <c r="AA1991" s="1"/>
      <c r="AB1991" s="1"/>
      <c r="AC1991" s="1" t="s">
        <v>1925</v>
      </c>
      <c r="AD1991" s="1"/>
      <c r="AE1991" s="18">
        <v>46148.0</v>
      </c>
      <c r="AF1991" s="1" t="s">
        <v>3186</v>
      </c>
      <c r="AG1991" s="1" t="s">
        <v>52</v>
      </c>
      <c r="AH1991" s="1" t="s">
        <v>1152</v>
      </c>
      <c r="AI1991" s="1"/>
      <c r="AJ1991" s="1" t="s">
        <v>5103</v>
      </c>
      <c r="AK1991" s="1" t="s">
        <v>1152</v>
      </c>
      <c r="AL1991" s="6" t="str">
        <f t="array" ref="AL1991">IFERROR(IFS(XLOOKUP(B1991, 'Kit Delivery Status'!$U:$U, 'Kit Delivery Status'!$K:$K) = "Complete", "DELIVERED", XLOOKUP(B1991, 'Kit Delivery Status'!$U:$U, 'Kit Delivery Status'!$K:$K) = "Issue", "ISSUE"), "")</f>
        <v/>
      </c>
      <c r="AM1991" s="6"/>
    </row>
    <row r="1992">
      <c r="A1992" s="5" t="s">
        <v>9721</v>
      </c>
      <c r="B1992" s="1" t="s">
        <v>9722</v>
      </c>
      <c r="C1992" s="1" t="s">
        <v>9723</v>
      </c>
      <c r="D1992" s="2">
        <v>9.179727858E9</v>
      </c>
      <c r="E1992" s="1" t="s">
        <v>9724</v>
      </c>
      <c r="F1992" s="1"/>
      <c r="G1992" s="1" t="s">
        <v>751</v>
      </c>
      <c r="H1992" s="1" t="s">
        <v>751</v>
      </c>
      <c r="I1992" s="1">
        <v>10017.0</v>
      </c>
      <c r="J1992" s="1" t="s">
        <v>752</v>
      </c>
      <c r="K1992" s="1" t="s">
        <v>42</v>
      </c>
      <c r="L1992" s="1" t="s">
        <v>6819</v>
      </c>
      <c r="M1992" s="1">
        <v>49.0</v>
      </c>
      <c r="N1992" s="1" t="s">
        <v>1152</v>
      </c>
      <c r="O1992" s="3" t="s">
        <v>4855</v>
      </c>
      <c r="P1992" s="1" t="s">
        <v>1152</v>
      </c>
      <c r="Q1992" s="1" t="s">
        <v>1152</v>
      </c>
      <c r="R1992" s="1"/>
      <c r="S1992" s="1"/>
      <c r="T1992" s="1" t="s">
        <v>1152</v>
      </c>
      <c r="U1992" s="1" t="s">
        <v>1456</v>
      </c>
      <c r="V1992" s="4" t="s">
        <v>4855</v>
      </c>
      <c r="W1992" s="1"/>
      <c r="X1992" s="1" t="s">
        <v>1152</v>
      </c>
      <c r="Y1992" s="1" t="s">
        <v>1152</v>
      </c>
      <c r="Z1992" s="1"/>
      <c r="AA1992" s="1"/>
      <c r="AB1992" s="1"/>
      <c r="AC1992" s="1" t="s">
        <v>1925</v>
      </c>
      <c r="AD1992" s="1"/>
      <c r="AE1992" s="18">
        <v>46148.0</v>
      </c>
      <c r="AF1992" s="1" t="s">
        <v>1630</v>
      </c>
      <c r="AG1992" s="1" t="s">
        <v>52</v>
      </c>
      <c r="AH1992" s="1" t="s">
        <v>1152</v>
      </c>
      <c r="AI1992" s="1"/>
      <c r="AJ1992" s="1" t="s">
        <v>9725</v>
      </c>
      <c r="AK1992" s="1" t="s">
        <v>1152</v>
      </c>
      <c r="AL1992" s="6" t="str">
        <f t="array" ref="AL1992">IFERROR(IFS(XLOOKUP(B1992, 'Kit Delivery Status'!$U:$U, 'Kit Delivery Status'!$K:$K) = "Complete", "DELIVERED", XLOOKUP(B1992, 'Kit Delivery Status'!$U:$U, 'Kit Delivery Status'!$K:$K) = "Issue", "ISSUE"), "")</f>
        <v/>
      </c>
      <c r="AM1992" s="6"/>
    </row>
    <row r="1993">
      <c r="A1993" s="5" t="s">
        <v>9726</v>
      </c>
      <c r="B1993" s="1" t="s">
        <v>9727</v>
      </c>
      <c r="C1993" s="1"/>
      <c r="D1993" s="2">
        <v>3.142020471E9</v>
      </c>
      <c r="E1993" s="1" t="s">
        <v>2184</v>
      </c>
      <c r="F1993" s="1"/>
      <c r="G1993" s="1" t="s">
        <v>2857</v>
      </c>
      <c r="H1993" s="1" t="s">
        <v>1155</v>
      </c>
      <c r="I1993" s="1">
        <v>63105.0</v>
      </c>
      <c r="J1993" s="1" t="s">
        <v>752</v>
      </c>
      <c r="K1993" s="1" t="s">
        <v>42</v>
      </c>
      <c r="L1993" s="1" t="s">
        <v>6819</v>
      </c>
      <c r="M1993" s="1">
        <v>49.0</v>
      </c>
      <c r="N1993" s="1" t="s">
        <v>1152</v>
      </c>
      <c r="O1993" s="3" t="s">
        <v>2188</v>
      </c>
      <c r="P1993" s="1" t="s">
        <v>1152</v>
      </c>
      <c r="Q1993" s="1" t="s">
        <v>1152</v>
      </c>
      <c r="R1993" s="1"/>
      <c r="S1993" s="1"/>
      <c r="T1993" s="1" t="s">
        <v>1152</v>
      </c>
      <c r="U1993" s="1" t="s">
        <v>982</v>
      </c>
      <c r="V1993" s="4" t="s">
        <v>2188</v>
      </c>
      <c r="W1993" s="1"/>
      <c r="X1993" s="1" t="s">
        <v>1152</v>
      </c>
      <c r="Y1993" s="1" t="s">
        <v>1152</v>
      </c>
      <c r="Z1993" s="1"/>
      <c r="AA1993" s="1"/>
      <c r="AB1993" s="1"/>
      <c r="AC1993" s="1" t="s">
        <v>1925</v>
      </c>
      <c r="AD1993" s="1"/>
      <c r="AE1993" s="18">
        <v>46149.0</v>
      </c>
      <c r="AF1993" s="1" t="s">
        <v>1030</v>
      </c>
      <c r="AG1993" s="1" t="s">
        <v>52</v>
      </c>
      <c r="AH1993" s="1" t="s">
        <v>1152</v>
      </c>
      <c r="AI1993" s="1"/>
      <c r="AJ1993" s="1" t="s">
        <v>9728</v>
      </c>
      <c r="AK1993" s="1" t="s">
        <v>1152</v>
      </c>
      <c r="AL1993" s="6" t="str">
        <f t="array" ref="AL1993">IFERROR(IFS(XLOOKUP(B1993, 'Kit Delivery Status'!$U:$U, 'Kit Delivery Status'!$K:$K) = "Complete", "DELIVERED", XLOOKUP(B1993, 'Kit Delivery Status'!$U:$U, 'Kit Delivery Status'!$K:$K) = "Issue", "ISSUE"), "")</f>
        <v/>
      </c>
      <c r="AM1993" s="6"/>
    </row>
    <row r="1994">
      <c r="A1994" s="5" t="s">
        <v>9729</v>
      </c>
      <c r="B1994" s="1" t="s">
        <v>9730</v>
      </c>
      <c r="C1994" s="1"/>
      <c r="D1994" s="2">
        <v>3.142020471E9</v>
      </c>
      <c r="E1994" s="1" t="s">
        <v>2184</v>
      </c>
      <c r="F1994" s="1"/>
      <c r="G1994" s="1" t="s">
        <v>2857</v>
      </c>
      <c r="H1994" s="1" t="s">
        <v>1155</v>
      </c>
      <c r="I1994" s="1">
        <v>63105.0</v>
      </c>
      <c r="J1994" s="1" t="s">
        <v>752</v>
      </c>
      <c r="K1994" s="1" t="s">
        <v>2131</v>
      </c>
      <c r="L1994" s="1" t="s">
        <v>5767</v>
      </c>
      <c r="M1994" s="1">
        <v>1.0</v>
      </c>
      <c r="N1994" s="1" t="s">
        <v>1152</v>
      </c>
      <c r="O1994" s="3" t="s">
        <v>2188</v>
      </c>
      <c r="P1994" s="1" t="s">
        <v>1152</v>
      </c>
      <c r="Q1994" s="1" t="s">
        <v>1152</v>
      </c>
      <c r="R1994" s="1"/>
      <c r="S1994" s="1"/>
      <c r="T1994" s="1" t="s">
        <v>1152</v>
      </c>
      <c r="U1994" s="1" t="s">
        <v>982</v>
      </c>
      <c r="V1994" s="4" t="s">
        <v>2188</v>
      </c>
      <c r="W1994" s="1"/>
      <c r="X1994" s="1" t="s">
        <v>1152</v>
      </c>
      <c r="Y1994" s="1" t="s">
        <v>1152</v>
      </c>
      <c r="Z1994" s="1"/>
      <c r="AA1994" s="1"/>
      <c r="AB1994" s="1"/>
      <c r="AC1994" s="1" t="s">
        <v>1925</v>
      </c>
      <c r="AD1994" s="1"/>
      <c r="AE1994" s="18">
        <v>46148.0</v>
      </c>
      <c r="AF1994" s="1"/>
      <c r="AG1994" s="1"/>
      <c r="AH1994" s="1" t="s">
        <v>1152</v>
      </c>
      <c r="AI1994" s="1"/>
      <c r="AJ1994" s="1" t="s">
        <v>9731</v>
      </c>
      <c r="AK1994" s="1" t="s">
        <v>1152</v>
      </c>
      <c r="AL1994" s="6" t="str">
        <f t="array" ref="AL1994">IFERROR(IFS(XLOOKUP(B1994, 'Kit Delivery Status'!$U:$U, 'Kit Delivery Status'!$K:$K) = "Complete", "DELIVERED", XLOOKUP(B1994, 'Kit Delivery Status'!$U:$U, 'Kit Delivery Status'!$K:$K) = "Issue", "ISSUE"), "")</f>
        <v/>
      </c>
      <c r="AM1994" s="6"/>
    </row>
    <row r="1995">
      <c r="A1995" s="5" t="s">
        <v>9732</v>
      </c>
      <c r="B1995" s="1" t="s">
        <v>9733</v>
      </c>
      <c r="C1995" s="1" t="s">
        <v>975</v>
      </c>
      <c r="D1995" s="2">
        <v>2.068503099E9</v>
      </c>
      <c r="E1995" s="1" t="s">
        <v>977</v>
      </c>
      <c r="F1995" s="1"/>
      <c r="G1995" s="1" t="s">
        <v>6032</v>
      </c>
      <c r="H1995" s="1" t="s">
        <v>980</v>
      </c>
      <c r="I1995" s="1">
        <v>98011.0</v>
      </c>
      <c r="J1995" s="1" t="s">
        <v>752</v>
      </c>
      <c r="K1995" s="1" t="s">
        <v>2131</v>
      </c>
      <c r="L1995" s="1" t="s">
        <v>5811</v>
      </c>
      <c r="M1995" s="1">
        <v>1.0</v>
      </c>
      <c r="N1995" s="1" t="s">
        <v>1152</v>
      </c>
      <c r="O1995" s="3" t="s">
        <v>981</v>
      </c>
      <c r="P1995" s="1" t="s">
        <v>1152</v>
      </c>
      <c r="Q1995" s="1" t="s">
        <v>1152</v>
      </c>
      <c r="R1995" s="1"/>
      <c r="S1995" s="1"/>
      <c r="T1995" s="1" t="s">
        <v>1152</v>
      </c>
      <c r="U1995" s="1" t="s">
        <v>982</v>
      </c>
      <c r="V1995" s="4" t="s">
        <v>981</v>
      </c>
      <c r="W1995" s="1"/>
      <c r="X1995" s="1" t="s">
        <v>1152</v>
      </c>
      <c r="Y1995" s="1" t="s">
        <v>1152</v>
      </c>
      <c r="Z1995" s="1"/>
      <c r="AA1995" s="1"/>
      <c r="AB1995" s="1"/>
      <c r="AC1995" s="1" t="s">
        <v>1925</v>
      </c>
      <c r="AD1995" s="1"/>
      <c r="AE1995" s="18">
        <v>46149.0</v>
      </c>
      <c r="AF1995" s="1"/>
      <c r="AG1995" s="1"/>
      <c r="AH1995" s="1" t="s">
        <v>1152</v>
      </c>
      <c r="AI1995" s="1"/>
      <c r="AJ1995" s="1" t="s">
        <v>6033</v>
      </c>
      <c r="AK1995" s="1" t="s">
        <v>1152</v>
      </c>
      <c r="AL1995" s="6" t="str">
        <f t="array" ref="AL1995">IFERROR(IFS(XLOOKUP(B1995, 'Kit Delivery Status'!$U:$U, 'Kit Delivery Status'!$K:$K) = "Complete", "DELIVERED", XLOOKUP(B1995, 'Kit Delivery Status'!$U:$U, 'Kit Delivery Status'!$K:$K) = "Issue", "ISSUE"), "")</f>
        <v/>
      </c>
      <c r="AM1995" s="6"/>
    </row>
    <row r="1996">
      <c r="A1996" s="5" t="s">
        <v>9734</v>
      </c>
      <c r="B1996" s="1" t="s">
        <v>9735</v>
      </c>
      <c r="C1996" s="1" t="s">
        <v>9736</v>
      </c>
      <c r="D1996" s="2">
        <v>2.157964125E9</v>
      </c>
      <c r="E1996" s="1" t="s">
        <v>9737</v>
      </c>
      <c r="F1996" s="1"/>
      <c r="G1996" s="1" t="s">
        <v>1929</v>
      </c>
      <c r="H1996" s="1" t="s">
        <v>1233</v>
      </c>
      <c r="I1996" s="1">
        <v>19035.0</v>
      </c>
      <c r="J1996" s="1" t="s">
        <v>752</v>
      </c>
      <c r="K1996" s="1" t="s">
        <v>42</v>
      </c>
      <c r="L1996" s="1" t="s">
        <v>6819</v>
      </c>
      <c r="M1996" s="1">
        <v>49.0</v>
      </c>
      <c r="N1996" s="1" t="s">
        <v>1152</v>
      </c>
      <c r="O1996" s="3" t="s">
        <v>1930</v>
      </c>
      <c r="P1996" s="1" t="s">
        <v>1152</v>
      </c>
      <c r="Q1996" s="1" t="s">
        <v>1152</v>
      </c>
      <c r="R1996" s="1"/>
      <c r="S1996" s="1"/>
      <c r="T1996" s="1" t="s">
        <v>1152</v>
      </c>
      <c r="U1996" s="1" t="s">
        <v>1812</v>
      </c>
      <c r="V1996" s="4" t="s">
        <v>1930</v>
      </c>
      <c r="W1996" s="1"/>
      <c r="X1996" s="1" t="s">
        <v>1152</v>
      </c>
      <c r="Y1996" s="1" t="s">
        <v>1152</v>
      </c>
      <c r="Z1996" s="1"/>
      <c r="AA1996" s="1"/>
      <c r="AB1996" s="1"/>
      <c r="AC1996" s="1" t="s">
        <v>1925</v>
      </c>
      <c r="AD1996" s="1"/>
      <c r="AE1996" s="18">
        <v>46149.0</v>
      </c>
      <c r="AF1996" s="1" t="s">
        <v>1030</v>
      </c>
      <c r="AG1996" s="1" t="s">
        <v>52</v>
      </c>
      <c r="AH1996" s="1" t="s">
        <v>1152</v>
      </c>
      <c r="AI1996" s="1"/>
      <c r="AJ1996" s="1" t="s">
        <v>9738</v>
      </c>
      <c r="AK1996" s="1" t="s">
        <v>1152</v>
      </c>
      <c r="AL1996" s="6" t="str">
        <f t="array" ref="AL1996">IFERROR(IFS(XLOOKUP(B1996, 'Kit Delivery Status'!$U:$U, 'Kit Delivery Status'!$K:$K) = "Complete", "DELIVERED", XLOOKUP(B1996, 'Kit Delivery Status'!$U:$U, 'Kit Delivery Status'!$K:$K) = "Issue", "ISSUE"), "")</f>
        <v/>
      </c>
      <c r="AM1996" s="6"/>
    </row>
    <row r="1997">
      <c r="A1997" s="5" t="s">
        <v>9739</v>
      </c>
      <c r="B1997" s="1" t="s">
        <v>9740</v>
      </c>
      <c r="C1997" s="1" t="s">
        <v>9741</v>
      </c>
      <c r="D1997" s="2">
        <v>9.179915326E9</v>
      </c>
      <c r="E1997" s="1" t="s">
        <v>6258</v>
      </c>
      <c r="F1997" s="1"/>
      <c r="G1997" s="1" t="s">
        <v>751</v>
      </c>
      <c r="H1997" s="1" t="s">
        <v>751</v>
      </c>
      <c r="I1997" s="1">
        <v>10024.0</v>
      </c>
      <c r="J1997" s="1" t="s">
        <v>752</v>
      </c>
      <c r="K1997" s="1" t="s">
        <v>42</v>
      </c>
      <c r="L1997" s="1" t="s">
        <v>6819</v>
      </c>
      <c r="M1997" s="1">
        <v>49.0</v>
      </c>
      <c r="N1997" s="1" t="s">
        <v>1152</v>
      </c>
      <c r="O1997" s="3" t="s">
        <v>5521</v>
      </c>
      <c r="P1997" s="1" t="s">
        <v>1152</v>
      </c>
      <c r="Q1997" s="1" t="s">
        <v>1152</v>
      </c>
      <c r="R1997" s="1"/>
      <c r="S1997" s="1"/>
      <c r="T1997" s="1" t="s">
        <v>1152</v>
      </c>
      <c r="U1997" s="1" t="s">
        <v>1812</v>
      </c>
      <c r="V1997" s="4" t="s">
        <v>5521</v>
      </c>
      <c r="W1997" s="1"/>
      <c r="X1997" s="1" t="s">
        <v>1152</v>
      </c>
      <c r="Y1997" s="1" t="s">
        <v>1152</v>
      </c>
      <c r="Z1997" s="1"/>
      <c r="AA1997" s="1"/>
      <c r="AB1997" s="1"/>
      <c r="AC1997" s="1" t="s">
        <v>1925</v>
      </c>
      <c r="AD1997" s="1"/>
      <c r="AE1997" s="18">
        <v>46148.0</v>
      </c>
      <c r="AF1997" s="1" t="s">
        <v>1349</v>
      </c>
      <c r="AG1997" s="1" t="s">
        <v>52</v>
      </c>
      <c r="AH1997" s="1" t="s">
        <v>1152</v>
      </c>
      <c r="AI1997" s="1"/>
      <c r="AJ1997" s="1" t="s">
        <v>6258</v>
      </c>
      <c r="AK1997" s="1" t="s">
        <v>1152</v>
      </c>
      <c r="AL1997" s="6" t="str">
        <f t="array" ref="AL1997">IFERROR(IFS(XLOOKUP(B1997, 'Kit Delivery Status'!$U:$U, 'Kit Delivery Status'!$K:$K) = "Complete", "DELIVERED", XLOOKUP(B1997, 'Kit Delivery Status'!$U:$U, 'Kit Delivery Status'!$K:$K) = "Issue", "ISSUE"), "")</f>
        <v/>
      </c>
      <c r="AM1997" s="6"/>
    </row>
    <row r="1998">
      <c r="A1998" s="5" t="s">
        <v>9742</v>
      </c>
      <c r="B1998" s="1" t="s">
        <v>9743</v>
      </c>
      <c r="C1998" s="1" t="s">
        <v>9744</v>
      </c>
      <c r="D1998" s="2">
        <v>7.033093337E9</v>
      </c>
      <c r="E1998" s="1" t="s">
        <v>9745</v>
      </c>
      <c r="F1998" s="1"/>
      <c r="G1998" s="1" t="s">
        <v>7391</v>
      </c>
      <c r="H1998" s="1" t="s">
        <v>1038</v>
      </c>
      <c r="I1998" s="1">
        <v>20151.0</v>
      </c>
      <c r="J1998" s="1" t="s">
        <v>752</v>
      </c>
      <c r="K1998" s="1" t="s">
        <v>42</v>
      </c>
      <c r="L1998" s="1" t="s">
        <v>7863</v>
      </c>
      <c r="M1998" s="1">
        <v>79.0</v>
      </c>
      <c r="N1998" s="1" t="s">
        <v>1152</v>
      </c>
      <c r="O1998" s="3" t="s">
        <v>3510</v>
      </c>
      <c r="P1998" s="1" t="s">
        <v>1152</v>
      </c>
      <c r="Q1998" s="1" t="s">
        <v>1152</v>
      </c>
      <c r="R1998" s="1"/>
      <c r="S1998" s="1"/>
      <c r="T1998" s="1" t="s">
        <v>1152</v>
      </c>
      <c r="U1998" s="1" t="s">
        <v>948</v>
      </c>
      <c r="V1998" s="4" t="s">
        <v>3510</v>
      </c>
      <c r="W1998" s="1"/>
      <c r="X1998" s="1" t="s">
        <v>1152</v>
      </c>
      <c r="Y1998" s="1" t="s">
        <v>1152</v>
      </c>
      <c r="Z1998" s="1"/>
      <c r="AA1998" s="1"/>
      <c r="AB1998" s="1"/>
      <c r="AC1998" s="1" t="s">
        <v>1925</v>
      </c>
      <c r="AD1998" s="1"/>
      <c r="AE1998" s="18">
        <v>46148.0</v>
      </c>
      <c r="AF1998" s="1" t="s">
        <v>1440</v>
      </c>
      <c r="AG1998" s="1" t="s">
        <v>52</v>
      </c>
      <c r="AH1998" s="1" t="s">
        <v>1152</v>
      </c>
      <c r="AI1998" s="41" t="s">
        <v>9746</v>
      </c>
      <c r="AJ1998" s="1" t="s">
        <v>9745</v>
      </c>
      <c r="AK1998" s="1" t="s">
        <v>1152</v>
      </c>
      <c r="AL1998" s="6" t="str">
        <f t="array" ref="AL1998">IFERROR(IFS(XLOOKUP(B1998, 'Kit Delivery Status'!$U:$U, 'Kit Delivery Status'!$K:$K) = "Complete", "DELIVERED", XLOOKUP(B1998, 'Kit Delivery Status'!$U:$U, 'Kit Delivery Status'!$K:$K) = "Issue", "ISSUE"), "")</f>
        <v/>
      </c>
      <c r="AM1998" s="6"/>
    </row>
    <row r="1999">
      <c r="A1999" s="5" t="s">
        <v>9747</v>
      </c>
      <c r="B1999" s="1" t="s">
        <v>9748</v>
      </c>
      <c r="C1999" s="1" t="s">
        <v>9749</v>
      </c>
      <c r="D1999" s="2">
        <v>5.054010255E9</v>
      </c>
      <c r="E1999" s="1" t="s">
        <v>9750</v>
      </c>
      <c r="F1999" s="1"/>
      <c r="G1999" s="1" t="s">
        <v>1027</v>
      </c>
      <c r="H1999" s="1" t="s">
        <v>1028</v>
      </c>
      <c r="I1999" s="1">
        <v>87112.0</v>
      </c>
      <c r="J1999" s="1" t="s">
        <v>752</v>
      </c>
      <c r="K1999" s="1" t="s">
        <v>42</v>
      </c>
      <c r="L1999" s="1" t="s">
        <v>6819</v>
      </c>
      <c r="M1999" s="1">
        <v>49.0</v>
      </c>
      <c r="N1999" s="1" t="s">
        <v>1152</v>
      </c>
      <c r="O1999" s="3" t="s">
        <v>9751</v>
      </c>
      <c r="P1999" s="1" t="s">
        <v>1152</v>
      </c>
      <c r="Q1999" s="1" t="s">
        <v>1152</v>
      </c>
      <c r="R1999" s="1"/>
      <c r="S1999" s="1"/>
      <c r="T1999" s="1" t="s">
        <v>1152</v>
      </c>
      <c r="U1999" s="1" t="s">
        <v>6053</v>
      </c>
      <c r="V1999" s="4" t="s">
        <v>9751</v>
      </c>
      <c r="W1999" s="1"/>
      <c r="X1999" s="1" t="s">
        <v>1152</v>
      </c>
      <c r="Y1999" s="1" t="s">
        <v>1152</v>
      </c>
      <c r="Z1999" s="1"/>
      <c r="AA1999" s="1"/>
      <c r="AB1999" s="1"/>
      <c r="AC1999" s="1" t="s">
        <v>1925</v>
      </c>
      <c r="AD1999" s="1"/>
      <c r="AE1999" s="18">
        <v>46149.0</v>
      </c>
      <c r="AF1999" s="1" t="s">
        <v>1030</v>
      </c>
      <c r="AG1999" s="1" t="s">
        <v>52</v>
      </c>
      <c r="AH1999" s="1" t="s">
        <v>1152</v>
      </c>
      <c r="AI1999" s="1"/>
      <c r="AJ1999" s="1" t="s">
        <v>1025</v>
      </c>
      <c r="AK1999" s="1" t="s">
        <v>1152</v>
      </c>
      <c r="AL1999" s="6" t="str">
        <f t="array" ref="AL1999">IFERROR(IFS(XLOOKUP(B1999, 'Kit Delivery Status'!$U:$U, 'Kit Delivery Status'!$K:$K) = "Complete", "DELIVERED", XLOOKUP(B1999, 'Kit Delivery Status'!$U:$U, 'Kit Delivery Status'!$K:$K) = "Issue", "ISSUE"), "")</f>
        <v/>
      </c>
      <c r="AM1999" s="6"/>
    </row>
    <row r="2000">
      <c r="A2000" s="5" t="s">
        <v>9752</v>
      </c>
      <c r="B2000" s="1" t="s">
        <v>9753</v>
      </c>
      <c r="C2000" s="1"/>
      <c r="D2000" s="2">
        <v>3.054318757E9</v>
      </c>
      <c r="E2000" s="1" t="s">
        <v>9283</v>
      </c>
      <c r="F2000" s="1"/>
      <c r="G2000" s="1" t="s">
        <v>2109</v>
      </c>
      <c r="H2000" s="1" t="s">
        <v>1208</v>
      </c>
      <c r="I2000" s="1">
        <v>33133.0</v>
      </c>
      <c r="J2000" s="1" t="s">
        <v>752</v>
      </c>
      <c r="K2000" s="1" t="s">
        <v>892</v>
      </c>
      <c r="L2000" s="1" t="s">
        <v>8006</v>
      </c>
      <c r="M2000" s="1">
        <v>49.0</v>
      </c>
      <c r="N2000" s="1" t="s">
        <v>1152</v>
      </c>
      <c r="O2000" s="3" t="s">
        <v>972</v>
      </c>
      <c r="P2000" s="1" t="s">
        <v>1152</v>
      </c>
      <c r="Q2000" s="1" t="s">
        <v>1152</v>
      </c>
      <c r="R2000" s="1"/>
      <c r="S2000" s="1"/>
      <c r="T2000" s="1" t="s">
        <v>1152</v>
      </c>
      <c r="U2000" s="1" t="s">
        <v>1133</v>
      </c>
      <c r="V2000" s="4" t="s">
        <v>972</v>
      </c>
      <c r="W2000" s="1"/>
      <c r="X2000" s="1" t="s">
        <v>1152</v>
      </c>
      <c r="Y2000" s="1" t="s">
        <v>1152</v>
      </c>
      <c r="Z2000" s="1"/>
      <c r="AA2000" s="1"/>
      <c r="AB2000" s="1"/>
      <c r="AC2000" s="1" t="s">
        <v>1925</v>
      </c>
      <c r="AD2000" s="1"/>
      <c r="AE2000" s="18">
        <v>46146.0</v>
      </c>
      <c r="AF2000" s="1" t="s">
        <v>1630</v>
      </c>
      <c r="AG2000" s="1" t="s">
        <v>52</v>
      </c>
      <c r="AH2000" s="1" t="s">
        <v>9754</v>
      </c>
      <c r="AI2000" s="1"/>
      <c r="AJ2000" s="1" t="s">
        <v>9755</v>
      </c>
      <c r="AK2000" s="1" t="s">
        <v>1152</v>
      </c>
      <c r="AL2000" s="6" t="str">
        <f t="array" ref="AL2000">IFERROR(IFS(XLOOKUP(B2000, 'Kit Delivery Status'!$U:$U, 'Kit Delivery Status'!$K:$K) = "Complete", "DELIVERED", XLOOKUP(B2000, 'Kit Delivery Status'!$U:$U, 'Kit Delivery Status'!$K:$K) = "Issue", "ISSUE"), "")</f>
        <v/>
      </c>
      <c r="AM2000" s="6"/>
    </row>
    <row r="2001">
      <c r="A2001" s="5" t="s">
        <v>9752</v>
      </c>
      <c r="B2001" s="1" t="s">
        <v>9753</v>
      </c>
      <c r="C2001" s="1"/>
      <c r="D2001" s="2">
        <v>3.054318757E9</v>
      </c>
      <c r="E2001" s="1" t="s">
        <v>9283</v>
      </c>
      <c r="F2001" s="1"/>
      <c r="G2001" s="1" t="s">
        <v>2109</v>
      </c>
      <c r="H2001" s="1" t="s">
        <v>1208</v>
      </c>
      <c r="I2001" s="1">
        <v>33133.0</v>
      </c>
      <c r="J2001" s="1" t="s">
        <v>752</v>
      </c>
      <c r="K2001" s="1" t="s">
        <v>42</v>
      </c>
      <c r="L2001" s="1" t="s">
        <v>6819</v>
      </c>
      <c r="M2001" s="1">
        <v>49.0</v>
      </c>
      <c r="N2001" s="1" t="s">
        <v>1152</v>
      </c>
      <c r="O2001" s="3" t="s">
        <v>972</v>
      </c>
      <c r="P2001" s="1" t="s">
        <v>1152</v>
      </c>
      <c r="Q2001" s="1" t="s">
        <v>1152</v>
      </c>
      <c r="R2001" s="1"/>
      <c r="S2001" s="1"/>
      <c r="T2001" s="1" t="s">
        <v>1152</v>
      </c>
      <c r="U2001" s="1" t="s">
        <v>1133</v>
      </c>
      <c r="V2001" s="4" t="s">
        <v>972</v>
      </c>
      <c r="W2001" s="1"/>
      <c r="X2001" s="1" t="s">
        <v>1152</v>
      </c>
      <c r="Y2001" s="1" t="s">
        <v>1152</v>
      </c>
      <c r="Z2001" s="1"/>
      <c r="AA2001" s="1"/>
      <c r="AB2001" s="1"/>
      <c r="AC2001" s="1" t="s">
        <v>1925</v>
      </c>
      <c r="AD2001" s="1"/>
      <c r="AE2001" s="18">
        <v>46146.0</v>
      </c>
      <c r="AF2001" s="1" t="s">
        <v>1630</v>
      </c>
      <c r="AG2001" s="1" t="s">
        <v>52</v>
      </c>
      <c r="AH2001" s="1" t="s">
        <v>1152</v>
      </c>
      <c r="AI2001" s="1"/>
      <c r="AJ2001" s="1" t="s">
        <v>9755</v>
      </c>
      <c r="AK2001" s="1" t="s">
        <v>1152</v>
      </c>
      <c r="AL2001" s="6" t="str">
        <f t="array" ref="AL2001">IFERROR(IFS(XLOOKUP(B2001, 'Kit Delivery Status'!$U:$U, 'Kit Delivery Status'!$K:$K) = "Complete", "DELIVERED", XLOOKUP(B2001, 'Kit Delivery Status'!$U:$U, 'Kit Delivery Status'!$K:$K) = "Issue", "ISSUE"), "")</f>
        <v/>
      </c>
      <c r="AM2001" s="6"/>
    </row>
    <row r="2002">
      <c r="A2002" s="5" t="s">
        <v>9756</v>
      </c>
      <c r="B2002" s="1" t="s">
        <v>9757</v>
      </c>
      <c r="C2002" s="1" t="s">
        <v>7029</v>
      </c>
      <c r="D2002" s="2">
        <v>9.195618234E9</v>
      </c>
      <c r="E2002" s="1" t="s">
        <v>7030</v>
      </c>
      <c r="F2002" s="1"/>
      <c r="G2002" s="1" t="s">
        <v>7031</v>
      </c>
      <c r="H2002" s="1" t="s">
        <v>1438</v>
      </c>
      <c r="I2002" s="1">
        <v>27587.0</v>
      </c>
      <c r="J2002" s="1" t="s">
        <v>752</v>
      </c>
      <c r="K2002" s="1" t="s">
        <v>42</v>
      </c>
      <c r="L2002" s="1" t="s">
        <v>8365</v>
      </c>
      <c r="M2002" s="1">
        <v>49.0</v>
      </c>
      <c r="N2002" s="1" t="s">
        <v>1152</v>
      </c>
      <c r="O2002" s="3" t="s">
        <v>3346</v>
      </c>
      <c r="P2002" s="1" t="s">
        <v>1152</v>
      </c>
      <c r="Q2002" s="1" t="s">
        <v>1152</v>
      </c>
      <c r="R2002" s="1"/>
      <c r="S2002" s="1"/>
      <c r="T2002" s="1" t="s">
        <v>1152</v>
      </c>
      <c r="U2002" s="1" t="s">
        <v>2940</v>
      </c>
      <c r="V2002" s="4" t="s">
        <v>3346</v>
      </c>
      <c r="W2002" s="1"/>
      <c r="X2002" s="1" t="s">
        <v>1152</v>
      </c>
      <c r="Y2002" s="1" t="s">
        <v>1152</v>
      </c>
      <c r="Z2002" s="1"/>
      <c r="AA2002" s="1"/>
      <c r="AB2002" s="1"/>
      <c r="AC2002" s="1" t="s">
        <v>1925</v>
      </c>
      <c r="AD2002" s="1"/>
      <c r="AE2002" s="18">
        <v>46140.0</v>
      </c>
      <c r="AF2002" s="1" t="s">
        <v>1349</v>
      </c>
      <c r="AG2002" s="1" t="s">
        <v>52</v>
      </c>
      <c r="AH2002" s="1" t="s">
        <v>1152</v>
      </c>
      <c r="AI2002" s="1"/>
      <c r="AJ2002" s="1" t="s">
        <v>7033</v>
      </c>
      <c r="AK2002" s="1" t="s">
        <v>1152</v>
      </c>
      <c r="AL2002" s="6" t="str">
        <f t="array" ref="AL2002">IFERROR(IFS(XLOOKUP(B2002, 'Kit Delivery Status'!$U:$U, 'Kit Delivery Status'!$K:$K) = "Complete", "DELIVERED", XLOOKUP(B2002, 'Kit Delivery Status'!$U:$U, 'Kit Delivery Status'!$K:$K) = "Issue", "ISSUE"), "")</f>
        <v/>
      </c>
      <c r="AM2002" s="6"/>
    </row>
    <row r="2003">
      <c r="A2003" s="5" t="s">
        <v>9758</v>
      </c>
      <c r="B2003" s="1" t="s">
        <v>9759</v>
      </c>
      <c r="C2003" s="1" t="s">
        <v>9760</v>
      </c>
      <c r="D2003" s="2">
        <v>2.014660281E9</v>
      </c>
      <c r="E2003" s="1" t="s">
        <v>227</v>
      </c>
      <c r="F2003" s="1"/>
      <c r="G2003" s="1" t="s">
        <v>1382</v>
      </c>
      <c r="H2003" s="1" t="s">
        <v>751</v>
      </c>
      <c r="I2003" s="1">
        <v>10583.0</v>
      </c>
      <c r="J2003" s="1" t="s">
        <v>752</v>
      </c>
      <c r="K2003" s="1" t="s">
        <v>42</v>
      </c>
      <c r="L2003" s="1" t="s">
        <v>6819</v>
      </c>
      <c r="M2003" s="1">
        <v>49.0</v>
      </c>
      <c r="N2003" s="1" t="s">
        <v>1152</v>
      </c>
      <c r="O2003" s="3" t="s">
        <v>174</v>
      </c>
      <c r="P2003" s="1" t="s">
        <v>1152</v>
      </c>
      <c r="Q2003" s="1" t="s">
        <v>1152</v>
      </c>
      <c r="R2003" s="1"/>
      <c r="S2003" s="1"/>
      <c r="T2003" s="1" t="s">
        <v>1152</v>
      </c>
      <c r="U2003" s="1" t="s">
        <v>1148</v>
      </c>
      <c r="V2003" s="4" t="s">
        <v>174</v>
      </c>
      <c r="W2003" s="1"/>
      <c r="X2003" s="1" t="s">
        <v>1152</v>
      </c>
      <c r="Y2003" s="1" t="s">
        <v>1152</v>
      </c>
      <c r="Z2003" s="1"/>
      <c r="AA2003" s="1"/>
      <c r="AB2003" s="1"/>
      <c r="AC2003" s="1" t="s">
        <v>1925</v>
      </c>
      <c r="AD2003" s="1"/>
      <c r="AE2003" s="18">
        <v>46148.0</v>
      </c>
      <c r="AF2003" s="1" t="s">
        <v>3186</v>
      </c>
      <c r="AG2003" s="1" t="s">
        <v>52</v>
      </c>
      <c r="AH2003" s="1" t="s">
        <v>1152</v>
      </c>
      <c r="AI2003" s="1"/>
      <c r="AJ2003" s="1" t="s">
        <v>227</v>
      </c>
      <c r="AK2003" s="1" t="s">
        <v>1152</v>
      </c>
      <c r="AL2003" s="6" t="str">
        <f t="array" ref="AL2003">IFERROR(IFS(XLOOKUP(B2003, 'Kit Delivery Status'!$U:$U, 'Kit Delivery Status'!$K:$K) = "Complete", "DELIVERED", XLOOKUP(B2003, 'Kit Delivery Status'!$U:$U, 'Kit Delivery Status'!$K:$K) = "Issue", "ISSUE"), "")</f>
        <v/>
      </c>
      <c r="AM2003" s="6"/>
    </row>
    <row r="2004">
      <c r="A2004" s="5" t="s">
        <v>9761</v>
      </c>
      <c r="B2004" s="1" t="s">
        <v>9762</v>
      </c>
      <c r="C2004" s="1" t="s">
        <v>9763</v>
      </c>
      <c r="D2004" s="2">
        <v>9.149549029E9</v>
      </c>
      <c r="E2004" s="1" t="s">
        <v>9764</v>
      </c>
      <c r="F2004" s="1"/>
      <c r="G2004" s="1" t="s">
        <v>2350</v>
      </c>
      <c r="H2004" s="1" t="s">
        <v>1155</v>
      </c>
      <c r="I2004" s="1">
        <v>63105.0</v>
      </c>
      <c r="J2004" s="1" t="s">
        <v>752</v>
      </c>
      <c r="K2004" s="1" t="s">
        <v>42</v>
      </c>
      <c r="L2004" s="1" t="s">
        <v>7863</v>
      </c>
      <c r="M2004" s="1">
        <v>79.0</v>
      </c>
      <c r="N2004" s="1" t="s">
        <v>1152</v>
      </c>
      <c r="O2004" s="3" t="s">
        <v>9765</v>
      </c>
      <c r="P2004" s="1" t="s">
        <v>1152</v>
      </c>
      <c r="Q2004" s="1" t="s">
        <v>1152</v>
      </c>
      <c r="R2004" s="1"/>
      <c r="S2004" s="1"/>
      <c r="T2004" s="1" t="s">
        <v>1152</v>
      </c>
      <c r="U2004" s="1" t="s">
        <v>1133</v>
      </c>
      <c r="V2004" s="4" t="s">
        <v>9765</v>
      </c>
      <c r="W2004" s="1"/>
      <c r="X2004" s="1" t="s">
        <v>1152</v>
      </c>
      <c r="Y2004" s="1" t="s">
        <v>1152</v>
      </c>
      <c r="Z2004" s="1"/>
      <c r="AA2004" s="1"/>
      <c r="AB2004" s="1"/>
      <c r="AC2004" s="1" t="s">
        <v>1925</v>
      </c>
      <c r="AD2004" s="1"/>
      <c r="AE2004" s="18">
        <v>46148.0</v>
      </c>
      <c r="AF2004" s="1" t="s">
        <v>1030</v>
      </c>
      <c r="AG2004" s="1" t="s">
        <v>52</v>
      </c>
      <c r="AH2004" s="1" t="s">
        <v>1152</v>
      </c>
      <c r="AI2004" s="1"/>
      <c r="AJ2004" s="1" t="s">
        <v>9764</v>
      </c>
      <c r="AK2004" s="1" t="s">
        <v>1152</v>
      </c>
      <c r="AL2004" s="6" t="str">
        <f t="array" ref="AL2004">IFERROR(IFS(XLOOKUP(B2004, 'Kit Delivery Status'!$U:$U, 'Kit Delivery Status'!$K:$K) = "Complete", "DELIVERED", XLOOKUP(B2004, 'Kit Delivery Status'!$U:$U, 'Kit Delivery Status'!$K:$K) = "Issue", "ISSUE"), "")</f>
        <v/>
      </c>
      <c r="AM2004" s="6"/>
    </row>
    <row r="2005">
      <c r="A2005" s="5" t="s">
        <v>9766</v>
      </c>
      <c r="B2005" s="1" t="s">
        <v>9767</v>
      </c>
      <c r="C2005" s="1"/>
      <c r="D2005" s="2">
        <v>9.179400929E9</v>
      </c>
      <c r="E2005" s="1" t="s">
        <v>9768</v>
      </c>
      <c r="F2005" s="1"/>
      <c r="G2005" s="1" t="s">
        <v>9769</v>
      </c>
      <c r="H2005" s="1" t="s">
        <v>751</v>
      </c>
      <c r="I2005" s="1">
        <v>11360.0</v>
      </c>
      <c r="J2005" s="1" t="s">
        <v>752</v>
      </c>
      <c r="K2005" s="1" t="s">
        <v>42</v>
      </c>
      <c r="L2005" s="1" t="s">
        <v>6819</v>
      </c>
      <c r="M2005" s="1">
        <v>49.0</v>
      </c>
      <c r="N2005" s="1" t="s">
        <v>1152</v>
      </c>
      <c r="O2005" s="3" t="s">
        <v>9770</v>
      </c>
      <c r="P2005" s="1" t="s">
        <v>1152</v>
      </c>
      <c r="Q2005" s="1" t="s">
        <v>1152</v>
      </c>
      <c r="R2005" s="1"/>
      <c r="S2005" s="1"/>
      <c r="T2005" s="1" t="s">
        <v>1152</v>
      </c>
      <c r="U2005" s="1" t="s">
        <v>948</v>
      </c>
      <c r="V2005" s="4" t="s">
        <v>9770</v>
      </c>
      <c r="W2005" s="1"/>
      <c r="X2005" s="1" t="s">
        <v>1152</v>
      </c>
      <c r="Y2005" s="1" t="s">
        <v>1152</v>
      </c>
      <c r="Z2005" s="1"/>
      <c r="AA2005" s="1"/>
      <c r="AB2005" s="1"/>
      <c r="AC2005" s="1" t="s">
        <v>1925</v>
      </c>
      <c r="AD2005" s="1"/>
      <c r="AE2005" s="18">
        <v>46157.0</v>
      </c>
      <c r="AF2005" s="1" t="s">
        <v>1030</v>
      </c>
      <c r="AG2005" s="1" t="s">
        <v>52</v>
      </c>
      <c r="AH2005" s="1" t="s">
        <v>1152</v>
      </c>
      <c r="AI2005" s="1"/>
      <c r="AJ2005" s="1" t="s">
        <v>9768</v>
      </c>
      <c r="AK2005" s="1" t="s">
        <v>1152</v>
      </c>
      <c r="AL2005" s="6" t="str">
        <f t="array" ref="AL2005">IFERROR(IFS(XLOOKUP(B2005, 'Kit Delivery Status'!$U:$U, 'Kit Delivery Status'!$K:$K) = "Complete", "DELIVERED", XLOOKUP(B2005, 'Kit Delivery Status'!$U:$U, 'Kit Delivery Status'!$K:$K) = "Issue", "ISSUE"), "")</f>
        <v/>
      </c>
      <c r="AM2005" s="6"/>
    </row>
    <row r="2006">
      <c r="A2006" s="5" t="s">
        <v>9771</v>
      </c>
      <c r="B2006" s="1" t="s">
        <v>9772</v>
      </c>
      <c r="C2006" s="1" t="s">
        <v>9773</v>
      </c>
      <c r="D2006" s="2">
        <v>7.733438085E9</v>
      </c>
      <c r="E2006" s="1" t="s">
        <v>9774</v>
      </c>
      <c r="F2006" s="1"/>
      <c r="G2006" s="1" t="s">
        <v>1072</v>
      </c>
      <c r="H2006" s="1" t="s">
        <v>1019</v>
      </c>
      <c r="I2006" s="1">
        <v>60615.0</v>
      </c>
      <c r="J2006" s="1" t="s">
        <v>752</v>
      </c>
      <c r="K2006" s="1" t="s">
        <v>42</v>
      </c>
      <c r="L2006" s="1" t="s">
        <v>8784</v>
      </c>
      <c r="M2006" s="1">
        <v>109.0</v>
      </c>
      <c r="N2006" s="1" t="s">
        <v>1152</v>
      </c>
      <c r="O2006" s="3" t="s">
        <v>9775</v>
      </c>
      <c r="P2006" s="1" t="s">
        <v>1152</v>
      </c>
      <c r="Q2006" s="1" t="s">
        <v>1152</v>
      </c>
      <c r="R2006" s="1"/>
      <c r="S2006" s="1"/>
      <c r="T2006" s="1" t="s">
        <v>1152</v>
      </c>
      <c r="U2006" s="1" t="s">
        <v>1441</v>
      </c>
      <c r="V2006" s="4" t="s">
        <v>9775</v>
      </c>
      <c r="W2006" s="1"/>
      <c r="X2006" s="1" t="s">
        <v>1152</v>
      </c>
      <c r="Y2006" s="1" t="s">
        <v>1152</v>
      </c>
      <c r="Z2006" s="1"/>
      <c r="AA2006" s="1"/>
      <c r="AB2006" s="1"/>
      <c r="AC2006" s="1" t="s">
        <v>1925</v>
      </c>
      <c r="AD2006" s="1"/>
      <c r="AE2006" s="18">
        <v>46148.0</v>
      </c>
      <c r="AF2006" s="1" t="s">
        <v>1030</v>
      </c>
      <c r="AG2006" s="1" t="s">
        <v>52</v>
      </c>
      <c r="AH2006" s="1" t="s">
        <v>1152</v>
      </c>
      <c r="AI2006" s="1"/>
      <c r="AJ2006" s="1" t="s">
        <v>9776</v>
      </c>
      <c r="AK2006" s="1" t="s">
        <v>1152</v>
      </c>
      <c r="AL2006" s="6" t="str">
        <f t="array" ref="AL2006">IFERROR(IFS(XLOOKUP(B2006, 'Kit Delivery Status'!$U:$U, 'Kit Delivery Status'!$K:$K) = "Complete", "DELIVERED", XLOOKUP(B2006, 'Kit Delivery Status'!$U:$U, 'Kit Delivery Status'!$K:$K) = "Issue", "ISSUE"), "")</f>
        <v/>
      </c>
      <c r="AM2006" s="6"/>
    </row>
    <row r="2007">
      <c r="A2007" s="5" t="s">
        <v>9777</v>
      </c>
      <c r="B2007" s="1" t="s">
        <v>9778</v>
      </c>
      <c r="C2007" s="1" t="s">
        <v>1821</v>
      </c>
      <c r="D2007" s="2">
        <v>7.18715543E9</v>
      </c>
      <c r="E2007" s="1" t="s">
        <v>9779</v>
      </c>
      <c r="F2007" s="1"/>
      <c r="G2007" s="1" t="s">
        <v>751</v>
      </c>
      <c r="H2007" s="1" t="s">
        <v>751</v>
      </c>
      <c r="I2007" s="1">
        <v>10025.0</v>
      </c>
      <c r="J2007" s="1" t="s">
        <v>752</v>
      </c>
      <c r="K2007" s="1" t="s">
        <v>42</v>
      </c>
      <c r="L2007" s="1" t="s">
        <v>6819</v>
      </c>
      <c r="M2007" s="1">
        <v>49.0</v>
      </c>
      <c r="N2007" s="1" t="s">
        <v>1152</v>
      </c>
      <c r="O2007" s="3" t="s">
        <v>1823</v>
      </c>
      <c r="P2007" s="1" t="s">
        <v>1152</v>
      </c>
      <c r="Q2007" s="1" t="s">
        <v>1152</v>
      </c>
      <c r="R2007" s="1"/>
      <c r="S2007" s="1"/>
      <c r="T2007" s="1" t="s">
        <v>1152</v>
      </c>
      <c r="U2007" s="1" t="s">
        <v>1812</v>
      </c>
      <c r="V2007" s="4" t="s">
        <v>1823</v>
      </c>
      <c r="W2007" s="1"/>
      <c r="X2007" s="1" t="s">
        <v>1152</v>
      </c>
      <c r="Y2007" s="1" t="s">
        <v>1152</v>
      </c>
      <c r="Z2007" s="1"/>
      <c r="AA2007" s="1"/>
      <c r="AB2007" s="1"/>
      <c r="AC2007" s="1" t="s">
        <v>1925</v>
      </c>
      <c r="AD2007" s="1"/>
      <c r="AE2007" s="18">
        <v>46147.0</v>
      </c>
      <c r="AF2007" s="1" t="s">
        <v>1030</v>
      </c>
      <c r="AG2007" s="1" t="s">
        <v>52</v>
      </c>
      <c r="AH2007" s="1" t="s">
        <v>1152</v>
      </c>
      <c r="AI2007" s="1"/>
      <c r="AJ2007" s="1" t="s">
        <v>9779</v>
      </c>
      <c r="AK2007" s="1" t="s">
        <v>1152</v>
      </c>
      <c r="AL2007" s="6" t="str">
        <f t="array" ref="AL2007">IFERROR(IFS(XLOOKUP(B2007, 'Kit Delivery Status'!$U:$U, 'Kit Delivery Status'!$K:$K) = "Complete", "DELIVERED", XLOOKUP(B2007, 'Kit Delivery Status'!$U:$U, 'Kit Delivery Status'!$K:$K) = "Issue", "ISSUE"), "")</f>
        <v/>
      </c>
      <c r="AM2007" s="6"/>
    </row>
    <row r="2008">
      <c r="A2008" s="5" t="s">
        <v>9780</v>
      </c>
      <c r="B2008" s="1" t="s">
        <v>9781</v>
      </c>
      <c r="C2008" s="1" t="s">
        <v>9782</v>
      </c>
      <c r="D2008" s="2">
        <v>9.178215595E9</v>
      </c>
      <c r="E2008" s="1" t="s">
        <v>262</v>
      </c>
      <c r="F2008" s="1"/>
      <c r="G2008" s="1" t="s">
        <v>751</v>
      </c>
      <c r="H2008" s="1" t="s">
        <v>751</v>
      </c>
      <c r="I2008" s="1">
        <v>10028.0</v>
      </c>
      <c r="J2008" s="1" t="s">
        <v>752</v>
      </c>
      <c r="K2008" s="1" t="s">
        <v>42</v>
      </c>
      <c r="L2008" s="1" t="s">
        <v>6819</v>
      </c>
      <c r="M2008" s="1">
        <v>49.0</v>
      </c>
      <c r="N2008" s="1" t="s">
        <v>1152</v>
      </c>
      <c r="O2008" s="3" t="s">
        <v>264</v>
      </c>
      <c r="P2008" s="1" t="s">
        <v>1152</v>
      </c>
      <c r="Q2008" s="1" t="s">
        <v>1152</v>
      </c>
      <c r="R2008" s="1"/>
      <c r="S2008" s="1"/>
      <c r="T2008" s="1" t="s">
        <v>1152</v>
      </c>
      <c r="U2008" s="1" t="s">
        <v>956</v>
      </c>
      <c r="V2008" s="4" t="s">
        <v>264</v>
      </c>
      <c r="W2008" s="1"/>
      <c r="X2008" s="1" t="s">
        <v>1152</v>
      </c>
      <c r="Y2008" s="1" t="s">
        <v>1152</v>
      </c>
      <c r="Z2008" s="1"/>
      <c r="AA2008" s="1"/>
      <c r="AB2008" s="1"/>
      <c r="AC2008" s="1" t="s">
        <v>1925</v>
      </c>
      <c r="AD2008" s="1"/>
      <c r="AE2008" s="18">
        <v>46144.0</v>
      </c>
      <c r="AF2008" s="1" t="s">
        <v>1630</v>
      </c>
      <c r="AG2008" s="1" t="s">
        <v>52</v>
      </c>
      <c r="AH2008" s="1" t="s">
        <v>1152</v>
      </c>
      <c r="AI2008" s="1"/>
      <c r="AJ2008" s="1" t="s">
        <v>9783</v>
      </c>
      <c r="AK2008" s="1" t="s">
        <v>1152</v>
      </c>
      <c r="AL2008" s="6" t="str">
        <f t="array" ref="AL2008">IFERROR(IFS(XLOOKUP(B2008, 'Kit Delivery Status'!$U:$U, 'Kit Delivery Status'!$K:$K) = "Complete", "DELIVERED", XLOOKUP(B2008, 'Kit Delivery Status'!$U:$U, 'Kit Delivery Status'!$K:$K) = "Issue", "ISSUE"), "")</f>
        <v/>
      </c>
      <c r="AM2008" s="6"/>
    </row>
    <row r="2009">
      <c r="A2009" s="5" t="s">
        <v>9784</v>
      </c>
      <c r="B2009" s="1" t="s">
        <v>9785</v>
      </c>
      <c r="C2009" s="1" t="s">
        <v>9786</v>
      </c>
      <c r="D2009" s="2">
        <v>9.179217804E9</v>
      </c>
      <c r="E2009" s="1" t="s">
        <v>9787</v>
      </c>
      <c r="F2009" s="1"/>
      <c r="G2009" s="1" t="s">
        <v>751</v>
      </c>
      <c r="H2009" s="1" t="s">
        <v>751</v>
      </c>
      <c r="I2009" s="1">
        <v>10128.0</v>
      </c>
      <c r="J2009" s="1" t="s">
        <v>752</v>
      </c>
      <c r="K2009" s="1" t="s">
        <v>42</v>
      </c>
      <c r="L2009" s="1" t="s">
        <v>6819</v>
      </c>
      <c r="M2009" s="1">
        <v>49.0</v>
      </c>
      <c r="N2009" s="1" t="s">
        <v>1152</v>
      </c>
      <c r="O2009" s="3" t="s">
        <v>9788</v>
      </c>
      <c r="P2009" s="1" t="s">
        <v>1152</v>
      </c>
      <c r="Q2009" s="1" t="s">
        <v>1152</v>
      </c>
      <c r="R2009" s="1"/>
      <c r="S2009" s="1"/>
      <c r="T2009" s="1" t="s">
        <v>1152</v>
      </c>
      <c r="U2009" s="1" t="s">
        <v>1407</v>
      </c>
      <c r="V2009" s="4" t="s">
        <v>9788</v>
      </c>
      <c r="W2009" s="1"/>
      <c r="X2009" s="1" t="s">
        <v>1152</v>
      </c>
      <c r="Y2009" s="1" t="s">
        <v>1152</v>
      </c>
      <c r="Z2009" s="1"/>
      <c r="AA2009" s="1"/>
      <c r="AB2009" s="1"/>
      <c r="AC2009" s="1" t="s">
        <v>1925</v>
      </c>
      <c r="AD2009" s="1"/>
      <c r="AE2009" s="18">
        <v>46148.0</v>
      </c>
      <c r="AF2009" s="1" t="s">
        <v>1030</v>
      </c>
      <c r="AG2009" s="1" t="s">
        <v>52</v>
      </c>
      <c r="AH2009" s="1" t="s">
        <v>1152</v>
      </c>
      <c r="AI2009" s="1"/>
      <c r="AJ2009" s="1" t="s">
        <v>9787</v>
      </c>
      <c r="AK2009" s="1" t="s">
        <v>1152</v>
      </c>
      <c r="AL2009" s="6" t="str">
        <f t="array" ref="AL2009">IFERROR(IFS(XLOOKUP(B2009, 'Kit Delivery Status'!$U:$U, 'Kit Delivery Status'!$K:$K) = "Complete", "DELIVERED", XLOOKUP(B2009, 'Kit Delivery Status'!$U:$U, 'Kit Delivery Status'!$K:$K) = "Issue", "ISSUE"), "")</f>
        <v/>
      </c>
      <c r="AM2009" s="6"/>
    </row>
    <row r="2010">
      <c r="A2010" s="5" t="s">
        <v>9789</v>
      </c>
      <c r="B2010" s="1" t="s">
        <v>9790</v>
      </c>
      <c r="C2010" s="1"/>
      <c r="D2010" s="2">
        <v>8.472871066E9</v>
      </c>
      <c r="E2010" s="1" t="s">
        <v>1785</v>
      </c>
      <c r="F2010" s="1"/>
      <c r="G2010" s="1" t="s">
        <v>1072</v>
      </c>
      <c r="H2010" s="1" t="s">
        <v>1019</v>
      </c>
      <c r="I2010" s="1">
        <v>60657.0</v>
      </c>
      <c r="J2010" s="1" t="s">
        <v>752</v>
      </c>
      <c r="K2010" s="1" t="s">
        <v>42</v>
      </c>
      <c r="L2010" s="1" t="s">
        <v>6819</v>
      </c>
      <c r="M2010" s="1">
        <v>49.0</v>
      </c>
      <c r="N2010" s="1" t="s">
        <v>1152</v>
      </c>
      <c r="O2010" s="3" t="s">
        <v>168</v>
      </c>
      <c r="P2010" s="1" t="s">
        <v>1152</v>
      </c>
      <c r="Q2010" s="1" t="s">
        <v>1152</v>
      </c>
      <c r="R2010" s="1"/>
      <c r="S2010" s="1"/>
      <c r="T2010" s="1" t="s">
        <v>1152</v>
      </c>
      <c r="U2010" s="1" t="s">
        <v>1039</v>
      </c>
      <c r="V2010" s="4" t="s">
        <v>168</v>
      </c>
      <c r="W2010" s="1"/>
      <c r="X2010" s="1" t="s">
        <v>1152</v>
      </c>
      <c r="Y2010" s="1" t="s">
        <v>1152</v>
      </c>
      <c r="Z2010" s="1"/>
      <c r="AA2010" s="1"/>
      <c r="AB2010" s="1"/>
      <c r="AC2010" s="1" t="s">
        <v>1925</v>
      </c>
      <c r="AD2010" s="1"/>
      <c r="AE2010" s="18">
        <v>46143.0</v>
      </c>
      <c r="AF2010" s="1" t="s">
        <v>1103</v>
      </c>
      <c r="AG2010" s="1" t="s">
        <v>52</v>
      </c>
      <c r="AH2010" s="1" t="s">
        <v>1152</v>
      </c>
      <c r="AI2010" s="1"/>
      <c r="AJ2010" s="1" t="s">
        <v>9791</v>
      </c>
      <c r="AK2010" s="1" t="s">
        <v>1152</v>
      </c>
      <c r="AL2010" s="6" t="str">
        <f t="array" ref="AL2010">IFERROR(IFS(XLOOKUP(B2010, 'Kit Delivery Status'!$U:$U, 'Kit Delivery Status'!$K:$K) = "Complete", "DELIVERED", XLOOKUP(B2010, 'Kit Delivery Status'!$U:$U, 'Kit Delivery Status'!$K:$K) = "Issue", "ISSUE"), "")</f>
        <v/>
      </c>
      <c r="AM2010" s="6"/>
    </row>
    <row r="2011">
      <c r="A2011" s="5" t="s">
        <v>9792</v>
      </c>
      <c r="B2011" s="1" t="s">
        <v>9793</v>
      </c>
      <c r="C2011" s="1" t="s">
        <v>9794</v>
      </c>
      <c r="D2011" s="2">
        <v>9.175074499E9</v>
      </c>
      <c r="E2011" s="1" t="s">
        <v>9795</v>
      </c>
      <c r="F2011" s="1"/>
      <c r="G2011" s="1" t="s">
        <v>751</v>
      </c>
      <c r="H2011" s="1" t="s">
        <v>751</v>
      </c>
      <c r="I2011" s="1">
        <v>10128.0</v>
      </c>
      <c r="J2011" s="1" t="s">
        <v>752</v>
      </c>
      <c r="K2011" s="1" t="s">
        <v>42</v>
      </c>
      <c r="L2011" s="1" t="s">
        <v>6819</v>
      </c>
      <c r="M2011" s="1">
        <v>49.0</v>
      </c>
      <c r="N2011" s="1" t="s">
        <v>1152</v>
      </c>
      <c r="O2011" s="3" t="s">
        <v>7396</v>
      </c>
      <c r="P2011" s="1" t="s">
        <v>1152</v>
      </c>
      <c r="Q2011" s="1" t="s">
        <v>1152</v>
      </c>
      <c r="R2011" s="1"/>
      <c r="S2011" s="1"/>
      <c r="T2011" s="1" t="s">
        <v>1152</v>
      </c>
      <c r="U2011" s="1" t="s">
        <v>1456</v>
      </c>
      <c r="V2011" s="4" t="s">
        <v>7396</v>
      </c>
      <c r="W2011" s="1"/>
      <c r="X2011" s="1" t="s">
        <v>1152</v>
      </c>
      <c r="Y2011" s="1" t="s">
        <v>1152</v>
      </c>
      <c r="Z2011" s="1"/>
      <c r="AA2011" s="1"/>
      <c r="AB2011" s="1"/>
      <c r="AC2011" s="1" t="s">
        <v>1925</v>
      </c>
      <c r="AD2011" s="1"/>
      <c r="AE2011" s="18">
        <v>46148.0</v>
      </c>
      <c r="AF2011" s="1" t="s">
        <v>1630</v>
      </c>
      <c r="AG2011" s="1" t="s">
        <v>52</v>
      </c>
      <c r="AH2011" s="1" t="s">
        <v>1152</v>
      </c>
      <c r="AI2011" s="1"/>
      <c r="AJ2011" s="1" t="s">
        <v>9795</v>
      </c>
      <c r="AK2011" s="1" t="s">
        <v>1152</v>
      </c>
      <c r="AL2011" s="6" t="str">
        <f t="array" ref="AL2011">IFERROR(IFS(XLOOKUP(B2011, 'Kit Delivery Status'!$U:$U, 'Kit Delivery Status'!$K:$K) = "Complete", "DELIVERED", XLOOKUP(B2011, 'Kit Delivery Status'!$U:$U, 'Kit Delivery Status'!$K:$K) = "Issue", "ISSUE"), "")</f>
        <v/>
      </c>
      <c r="AM2011" s="6"/>
    </row>
    <row r="2012">
      <c r="A2012" s="5" t="s">
        <v>9796</v>
      </c>
      <c r="B2012" s="1" t="s">
        <v>9797</v>
      </c>
      <c r="C2012" s="1" t="s">
        <v>3823</v>
      </c>
      <c r="D2012" s="2">
        <v>9.17453863E9</v>
      </c>
      <c r="E2012" s="1" t="s">
        <v>3824</v>
      </c>
      <c r="F2012" s="1"/>
      <c r="G2012" s="1" t="s">
        <v>2350</v>
      </c>
      <c r="H2012" s="1" t="s">
        <v>1155</v>
      </c>
      <c r="I2012" s="1">
        <v>63105.0</v>
      </c>
      <c r="J2012" s="1" t="s">
        <v>752</v>
      </c>
      <c r="K2012" s="1" t="s">
        <v>42</v>
      </c>
      <c r="L2012" s="1" t="s">
        <v>7863</v>
      </c>
      <c r="M2012" s="1">
        <v>79.0</v>
      </c>
      <c r="N2012" s="1" t="s">
        <v>1152</v>
      </c>
      <c r="O2012" s="3" t="s">
        <v>9798</v>
      </c>
      <c r="P2012" s="1" t="s">
        <v>1152</v>
      </c>
      <c r="Q2012" s="1" t="s">
        <v>1152</v>
      </c>
      <c r="R2012" s="1"/>
      <c r="S2012" s="1"/>
      <c r="T2012" s="1" t="s">
        <v>1152</v>
      </c>
      <c r="U2012" s="1" t="s">
        <v>1324</v>
      </c>
      <c r="V2012" s="4" t="s">
        <v>9798</v>
      </c>
      <c r="W2012" s="1"/>
      <c r="X2012" s="1" t="s">
        <v>1152</v>
      </c>
      <c r="Y2012" s="1" t="s">
        <v>1152</v>
      </c>
      <c r="Z2012" s="1"/>
      <c r="AA2012" s="1"/>
      <c r="AB2012" s="1"/>
      <c r="AC2012" s="1" t="s">
        <v>1925</v>
      </c>
      <c r="AD2012" s="1"/>
      <c r="AE2012" s="18">
        <v>46147.0</v>
      </c>
      <c r="AF2012" s="1" t="s">
        <v>1030</v>
      </c>
      <c r="AG2012" s="1" t="s">
        <v>52</v>
      </c>
      <c r="AH2012" s="1" t="s">
        <v>1152</v>
      </c>
      <c r="AI2012" s="1"/>
      <c r="AJ2012" s="1" t="s">
        <v>3824</v>
      </c>
      <c r="AK2012" s="1" t="s">
        <v>1152</v>
      </c>
      <c r="AL2012" s="6" t="str">
        <f t="array" ref="AL2012">IFERROR(IFS(XLOOKUP(B2012, 'Kit Delivery Status'!$U:$U, 'Kit Delivery Status'!$K:$K) = "Complete", "DELIVERED", XLOOKUP(B2012, 'Kit Delivery Status'!$U:$U, 'Kit Delivery Status'!$K:$K) = "Issue", "ISSUE"), "")</f>
        <v/>
      </c>
      <c r="AM2012" s="6"/>
    </row>
    <row r="2013">
      <c r="A2013" s="5" t="s">
        <v>9799</v>
      </c>
      <c r="B2013" s="1" t="s">
        <v>9800</v>
      </c>
      <c r="C2013" s="1"/>
      <c r="D2013" s="2">
        <v>5.169455306E9</v>
      </c>
      <c r="E2013" s="1" t="s">
        <v>9801</v>
      </c>
      <c r="F2013" s="1"/>
      <c r="G2013" s="1" t="s">
        <v>1499</v>
      </c>
      <c r="H2013" s="1" t="s">
        <v>751</v>
      </c>
      <c r="I2013" s="1">
        <v>11576.0</v>
      </c>
      <c r="J2013" s="1" t="s">
        <v>752</v>
      </c>
      <c r="K2013" s="1" t="s">
        <v>42</v>
      </c>
      <c r="L2013" s="1" t="s">
        <v>6819</v>
      </c>
      <c r="M2013" s="1">
        <v>49.0</v>
      </c>
      <c r="N2013" s="1" t="s">
        <v>1152</v>
      </c>
      <c r="O2013" s="3" t="s">
        <v>9802</v>
      </c>
      <c r="P2013" s="1" t="s">
        <v>1152</v>
      </c>
      <c r="Q2013" s="1" t="s">
        <v>1152</v>
      </c>
      <c r="R2013" s="1"/>
      <c r="S2013" s="1"/>
      <c r="T2013" s="1" t="s">
        <v>1152</v>
      </c>
      <c r="U2013" s="1" t="s">
        <v>1487</v>
      </c>
      <c r="V2013" s="4" t="s">
        <v>9802</v>
      </c>
      <c r="W2013" s="1"/>
      <c r="X2013" s="1" t="s">
        <v>1152</v>
      </c>
      <c r="Y2013" s="1" t="s">
        <v>1152</v>
      </c>
      <c r="Z2013" s="1"/>
      <c r="AA2013" s="1"/>
      <c r="AB2013" s="1"/>
      <c r="AC2013" s="1" t="s">
        <v>1925</v>
      </c>
      <c r="AD2013" s="1"/>
      <c r="AE2013" s="18">
        <v>46147.0</v>
      </c>
      <c r="AF2013" s="1" t="s">
        <v>1103</v>
      </c>
      <c r="AG2013" s="1" t="s">
        <v>52</v>
      </c>
      <c r="AH2013" s="1" t="s">
        <v>1152</v>
      </c>
      <c r="AI2013" s="1"/>
      <c r="AJ2013" s="1" t="s">
        <v>1498</v>
      </c>
      <c r="AK2013" s="1" t="s">
        <v>1152</v>
      </c>
      <c r="AL2013" s="6" t="str">
        <f t="array" ref="AL2013">IFERROR(IFS(XLOOKUP(B2013, 'Kit Delivery Status'!$U:$U, 'Kit Delivery Status'!$K:$K) = "Complete", "DELIVERED", XLOOKUP(B2013, 'Kit Delivery Status'!$U:$U, 'Kit Delivery Status'!$K:$K) = "Issue", "ISSUE"), "")</f>
        <v/>
      </c>
      <c r="AM2013" s="6"/>
    </row>
    <row r="2014">
      <c r="A2014" s="5" t="s">
        <v>9799</v>
      </c>
      <c r="B2014" s="1" t="s">
        <v>9800</v>
      </c>
      <c r="C2014" s="1"/>
      <c r="D2014" s="2">
        <v>5.169455306E9</v>
      </c>
      <c r="E2014" s="1" t="s">
        <v>9801</v>
      </c>
      <c r="F2014" s="1"/>
      <c r="G2014" s="1" t="s">
        <v>1499</v>
      </c>
      <c r="H2014" s="1" t="s">
        <v>751</v>
      </c>
      <c r="I2014" s="1">
        <v>11576.0</v>
      </c>
      <c r="J2014" s="1" t="s">
        <v>752</v>
      </c>
      <c r="K2014" s="1" t="s">
        <v>2131</v>
      </c>
      <c r="L2014" s="1" t="s">
        <v>5767</v>
      </c>
      <c r="M2014" s="1">
        <v>1.0</v>
      </c>
      <c r="N2014" s="1" t="s">
        <v>1152</v>
      </c>
      <c r="O2014" s="3" t="s">
        <v>9802</v>
      </c>
      <c r="P2014" s="1" t="s">
        <v>1152</v>
      </c>
      <c r="Q2014" s="1" t="s">
        <v>1152</v>
      </c>
      <c r="R2014" s="1"/>
      <c r="S2014" s="1"/>
      <c r="T2014" s="1" t="s">
        <v>1152</v>
      </c>
      <c r="U2014" s="1" t="s">
        <v>1487</v>
      </c>
      <c r="V2014" s="4" t="s">
        <v>9802</v>
      </c>
      <c r="W2014" s="1"/>
      <c r="X2014" s="1" t="s">
        <v>1152</v>
      </c>
      <c r="Y2014" s="1" t="s">
        <v>1152</v>
      </c>
      <c r="Z2014" s="1"/>
      <c r="AA2014" s="1"/>
      <c r="AB2014" s="1"/>
      <c r="AC2014" s="1" t="s">
        <v>1925</v>
      </c>
      <c r="AD2014" s="1"/>
      <c r="AE2014" s="18">
        <v>46147.0</v>
      </c>
      <c r="AF2014" s="1"/>
      <c r="AG2014" s="1"/>
      <c r="AH2014" s="1" t="s">
        <v>1152</v>
      </c>
      <c r="AI2014" s="1"/>
      <c r="AJ2014" s="1" t="s">
        <v>1498</v>
      </c>
      <c r="AK2014" s="1" t="s">
        <v>1152</v>
      </c>
      <c r="AL2014" s="6" t="str">
        <f t="array" ref="AL2014">IFERROR(IFS(XLOOKUP(B2014, 'Kit Delivery Status'!$U:$U, 'Kit Delivery Status'!$K:$K) = "Complete", "DELIVERED", XLOOKUP(B2014, 'Kit Delivery Status'!$U:$U, 'Kit Delivery Status'!$K:$K) = "Issue", "ISSUE"), "")</f>
        <v/>
      </c>
      <c r="AM2014" s="6"/>
    </row>
    <row r="2015">
      <c r="A2015" s="5" t="s">
        <v>9803</v>
      </c>
      <c r="B2015" s="1" t="s">
        <v>9804</v>
      </c>
      <c r="C2015" s="1" t="s">
        <v>2849</v>
      </c>
      <c r="D2015" s="2">
        <v>9.522200874E9</v>
      </c>
      <c r="E2015" s="1" t="s">
        <v>2850</v>
      </c>
      <c r="F2015" s="1"/>
      <c r="G2015" s="1" t="s">
        <v>2350</v>
      </c>
      <c r="H2015" s="1" t="s">
        <v>1155</v>
      </c>
      <c r="I2015" s="1">
        <v>63105.0</v>
      </c>
      <c r="J2015" s="1" t="s">
        <v>752</v>
      </c>
      <c r="K2015" s="1" t="s">
        <v>42</v>
      </c>
      <c r="L2015" s="1" t="s">
        <v>6819</v>
      </c>
      <c r="M2015" s="1">
        <v>49.0</v>
      </c>
      <c r="N2015" s="1" t="s">
        <v>1152</v>
      </c>
      <c r="O2015" s="3" t="s">
        <v>1292</v>
      </c>
      <c r="P2015" s="1" t="s">
        <v>1152</v>
      </c>
      <c r="Q2015" s="1" t="s">
        <v>1152</v>
      </c>
      <c r="R2015" s="1"/>
      <c r="S2015" s="1"/>
      <c r="T2015" s="1" t="s">
        <v>1152</v>
      </c>
      <c r="U2015" s="1" t="s">
        <v>2236</v>
      </c>
      <c r="V2015" s="4" t="s">
        <v>1292</v>
      </c>
      <c r="W2015" s="1"/>
      <c r="X2015" s="1" t="s">
        <v>1152</v>
      </c>
      <c r="Y2015" s="1" t="s">
        <v>1152</v>
      </c>
      <c r="Z2015" s="1"/>
      <c r="AA2015" s="1"/>
      <c r="AB2015" s="1"/>
      <c r="AC2015" s="1" t="s">
        <v>1925</v>
      </c>
      <c r="AD2015" s="1"/>
      <c r="AE2015" s="18">
        <v>46150.0</v>
      </c>
      <c r="AF2015" s="1" t="s">
        <v>1030</v>
      </c>
      <c r="AG2015" s="1" t="s">
        <v>52</v>
      </c>
      <c r="AH2015" s="1" t="s">
        <v>1152</v>
      </c>
      <c r="AI2015" s="1"/>
      <c r="AJ2015" s="1" t="s">
        <v>2850</v>
      </c>
      <c r="AK2015" s="1" t="s">
        <v>1152</v>
      </c>
      <c r="AL2015" s="6" t="str">
        <f t="array" ref="AL2015">IFERROR(IFS(XLOOKUP(B2015, 'Kit Delivery Status'!$U:$U, 'Kit Delivery Status'!$K:$K) = "Complete", "DELIVERED", XLOOKUP(B2015, 'Kit Delivery Status'!$U:$U, 'Kit Delivery Status'!$K:$K) = "Issue", "ISSUE"), "")</f>
        <v/>
      </c>
      <c r="AM2015" s="6"/>
    </row>
    <row r="2016">
      <c r="A2016" s="5" t="s">
        <v>9805</v>
      </c>
      <c r="B2016" s="1" t="s">
        <v>9806</v>
      </c>
      <c r="C2016" s="1" t="s">
        <v>3494</v>
      </c>
      <c r="D2016" s="2">
        <v>1.039438367E9</v>
      </c>
      <c r="E2016" s="1" t="s">
        <v>3495</v>
      </c>
      <c r="F2016" s="1"/>
      <c r="G2016" s="1" t="s">
        <v>1964</v>
      </c>
      <c r="H2016" s="1" t="s">
        <v>1964</v>
      </c>
      <c r="I2016" s="1">
        <v>6629.0</v>
      </c>
      <c r="J2016" s="1" t="s">
        <v>1965</v>
      </c>
      <c r="K2016" s="1" t="s">
        <v>42</v>
      </c>
      <c r="L2016" s="1" t="s">
        <v>6819</v>
      </c>
      <c r="M2016" s="1">
        <v>49.0</v>
      </c>
      <c r="N2016" s="1" t="s">
        <v>1152</v>
      </c>
      <c r="O2016" s="3" t="s">
        <v>6974</v>
      </c>
      <c r="P2016" s="1" t="s">
        <v>1152</v>
      </c>
      <c r="Q2016" s="1" t="s">
        <v>1152</v>
      </c>
      <c r="R2016" s="1"/>
      <c r="S2016" s="1"/>
      <c r="T2016" s="1" t="s">
        <v>1152</v>
      </c>
      <c r="U2016" s="1" t="s">
        <v>1055</v>
      </c>
      <c r="V2016" s="4" t="s">
        <v>6974</v>
      </c>
      <c r="W2016" s="1"/>
      <c r="X2016" s="1" t="s">
        <v>1152</v>
      </c>
      <c r="Y2016" s="1" t="s">
        <v>1152</v>
      </c>
      <c r="Z2016" s="1"/>
      <c r="AA2016" s="1"/>
      <c r="AB2016" s="1"/>
      <c r="AC2016" s="1" t="s">
        <v>1925</v>
      </c>
      <c r="AD2016" s="1"/>
      <c r="AE2016" s="18">
        <v>46136.0</v>
      </c>
      <c r="AF2016" s="1" t="s">
        <v>1030</v>
      </c>
      <c r="AG2016" s="1" t="s">
        <v>52</v>
      </c>
      <c r="AH2016" s="1" t="s">
        <v>1152</v>
      </c>
      <c r="AI2016" s="1"/>
      <c r="AJ2016" s="1" t="s">
        <v>7026</v>
      </c>
      <c r="AK2016" s="1" t="s">
        <v>1152</v>
      </c>
      <c r="AL2016" s="6" t="str">
        <f t="array" ref="AL2016">IFERROR(IFS(XLOOKUP(B2016, 'Kit Delivery Status'!$U:$U, 'Kit Delivery Status'!$K:$K) = "Complete", "DELIVERED", XLOOKUP(B2016, 'Kit Delivery Status'!$U:$U, 'Kit Delivery Status'!$K:$K) = "Issue", "ISSUE"), "")</f>
        <v/>
      </c>
      <c r="AM2016" s="6"/>
    </row>
    <row r="2017">
      <c r="A2017" s="5" t="s">
        <v>9807</v>
      </c>
      <c r="B2017" s="1" t="s">
        <v>9808</v>
      </c>
      <c r="C2017" s="1"/>
      <c r="D2017" s="2">
        <v>8.172395173E9</v>
      </c>
      <c r="E2017" s="1" t="s">
        <v>9809</v>
      </c>
      <c r="F2017" s="1"/>
      <c r="G2017" s="1" t="s">
        <v>9810</v>
      </c>
      <c r="H2017" s="1" t="s">
        <v>1583</v>
      </c>
      <c r="I2017" s="1">
        <v>76262.0</v>
      </c>
      <c r="J2017" s="1" t="s">
        <v>752</v>
      </c>
      <c r="K2017" s="1" t="s">
        <v>42</v>
      </c>
      <c r="L2017" s="1" t="s">
        <v>7863</v>
      </c>
      <c r="M2017" s="1">
        <v>79.0</v>
      </c>
      <c r="N2017" s="1" t="s">
        <v>1152</v>
      </c>
      <c r="O2017" s="3" t="s">
        <v>8592</v>
      </c>
      <c r="P2017" s="1" t="s">
        <v>1152</v>
      </c>
      <c r="Q2017" s="1" t="s">
        <v>1152</v>
      </c>
      <c r="R2017" s="1"/>
      <c r="S2017" s="1"/>
      <c r="T2017" s="1" t="s">
        <v>1152</v>
      </c>
      <c r="U2017" s="1" t="s">
        <v>6053</v>
      </c>
      <c r="V2017" s="4" t="s">
        <v>8592</v>
      </c>
      <c r="W2017" s="1"/>
      <c r="X2017" s="1" t="s">
        <v>1152</v>
      </c>
      <c r="Y2017" s="1" t="s">
        <v>1152</v>
      </c>
      <c r="Z2017" s="1"/>
      <c r="AA2017" s="1"/>
      <c r="AB2017" s="1"/>
      <c r="AC2017" s="1" t="s">
        <v>1925</v>
      </c>
      <c r="AD2017" s="1"/>
      <c r="AE2017" s="18">
        <v>46139.0</v>
      </c>
      <c r="AF2017" s="1" t="s">
        <v>1349</v>
      </c>
      <c r="AG2017" s="1" t="s">
        <v>52</v>
      </c>
      <c r="AH2017" s="1" t="s">
        <v>1152</v>
      </c>
      <c r="AI2017" s="1" t="s">
        <v>9811</v>
      </c>
      <c r="AJ2017" s="1" t="s">
        <v>9809</v>
      </c>
      <c r="AK2017" s="1" t="s">
        <v>1152</v>
      </c>
      <c r="AL2017" s="6" t="str">
        <f t="array" ref="AL2017">IFERROR(IFS(XLOOKUP(B2017, 'Kit Delivery Status'!$U:$U, 'Kit Delivery Status'!$K:$K) = "Complete", "DELIVERED", XLOOKUP(B2017, 'Kit Delivery Status'!$U:$U, 'Kit Delivery Status'!$K:$K) = "Issue", "ISSUE"), "")</f>
        <v/>
      </c>
      <c r="AM2017" s="6"/>
    </row>
    <row r="2018">
      <c r="A2018" s="5" t="s">
        <v>9812</v>
      </c>
      <c r="B2018" s="1" t="s">
        <v>9813</v>
      </c>
      <c r="C2018" s="1"/>
      <c r="D2018" s="2">
        <v>6.462475498E9</v>
      </c>
      <c r="E2018" s="1" t="s">
        <v>9814</v>
      </c>
      <c r="F2018" s="1"/>
      <c r="G2018" s="1" t="s">
        <v>751</v>
      </c>
      <c r="H2018" s="1" t="s">
        <v>751</v>
      </c>
      <c r="I2018" s="1" t="s">
        <v>9815</v>
      </c>
      <c r="J2018" s="1" t="s">
        <v>752</v>
      </c>
      <c r="K2018" s="1" t="s">
        <v>42</v>
      </c>
      <c r="L2018" s="1" t="s">
        <v>9092</v>
      </c>
      <c r="M2018" s="1">
        <v>109.0</v>
      </c>
      <c r="N2018" s="1" t="s">
        <v>1152</v>
      </c>
      <c r="O2018" s="3" t="s">
        <v>9816</v>
      </c>
      <c r="P2018" s="1" t="s">
        <v>1152</v>
      </c>
      <c r="Q2018" s="1" t="s">
        <v>1152</v>
      </c>
      <c r="R2018" s="1"/>
      <c r="S2018" s="1"/>
      <c r="T2018" s="1" t="s">
        <v>1152</v>
      </c>
      <c r="U2018" s="1" t="s">
        <v>1794</v>
      </c>
      <c r="V2018" s="4" t="s">
        <v>9816</v>
      </c>
      <c r="W2018" s="1"/>
      <c r="X2018" s="1" t="s">
        <v>1152</v>
      </c>
      <c r="Y2018" s="1" t="s">
        <v>1152</v>
      </c>
      <c r="Z2018" s="1"/>
      <c r="AA2018" s="1"/>
      <c r="AB2018" s="1"/>
      <c r="AC2018" s="1" t="s">
        <v>1925</v>
      </c>
      <c r="AD2018" s="1"/>
      <c r="AE2018" s="18">
        <v>46149.0</v>
      </c>
      <c r="AF2018" s="1" t="s">
        <v>1630</v>
      </c>
      <c r="AG2018" s="1" t="s">
        <v>52</v>
      </c>
      <c r="AH2018" s="1" t="s">
        <v>1152</v>
      </c>
      <c r="AI2018" s="1"/>
      <c r="AJ2018" s="1" t="s">
        <v>9817</v>
      </c>
      <c r="AK2018" s="1" t="s">
        <v>1152</v>
      </c>
      <c r="AL2018" s="6" t="str">
        <f t="array" ref="AL2018">IFERROR(IFS(XLOOKUP(B2018, 'Kit Delivery Status'!$U:$U, 'Kit Delivery Status'!$K:$K) = "Complete", "DELIVERED", XLOOKUP(B2018, 'Kit Delivery Status'!$U:$U, 'Kit Delivery Status'!$K:$K) = "Issue", "ISSUE"), "")</f>
        <v/>
      </c>
      <c r="AM2018" s="6"/>
    </row>
    <row r="2019">
      <c r="A2019" s="5" t="s">
        <v>9812</v>
      </c>
      <c r="B2019" s="1" t="s">
        <v>9813</v>
      </c>
      <c r="C2019" s="1"/>
      <c r="D2019" s="2">
        <v>6.462475498E9</v>
      </c>
      <c r="E2019" s="1" t="s">
        <v>9814</v>
      </c>
      <c r="F2019" s="1"/>
      <c r="G2019" s="1" t="s">
        <v>751</v>
      </c>
      <c r="H2019" s="1" t="s">
        <v>751</v>
      </c>
      <c r="I2019" s="1" t="s">
        <v>9815</v>
      </c>
      <c r="J2019" s="1" t="s">
        <v>752</v>
      </c>
      <c r="K2019" s="1" t="s">
        <v>42</v>
      </c>
      <c r="L2019" s="1" t="s">
        <v>8503</v>
      </c>
      <c r="M2019" s="1">
        <v>79.0</v>
      </c>
      <c r="N2019" s="1" t="s">
        <v>1152</v>
      </c>
      <c r="O2019" s="3" t="s">
        <v>9816</v>
      </c>
      <c r="P2019" s="1" t="s">
        <v>1152</v>
      </c>
      <c r="Q2019" s="1" t="s">
        <v>1152</v>
      </c>
      <c r="R2019" s="1"/>
      <c r="S2019" s="1"/>
      <c r="T2019" s="1" t="s">
        <v>1152</v>
      </c>
      <c r="U2019" s="1" t="s">
        <v>1794</v>
      </c>
      <c r="V2019" s="4" t="s">
        <v>9816</v>
      </c>
      <c r="W2019" s="1"/>
      <c r="X2019" s="1" t="s">
        <v>1152</v>
      </c>
      <c r="Y2019" s="1" t="s">
        <v>1152</v>
      </c>
      <c r="Z2019" s="1"/>
      <c r="AA2019" s="1"/>
      <c r="AB2019" s="1"/>
      <c r="AC2019" s="1" t="s">
        <v>1925</v>
      </c>
      <c r="AD2019" s="1"/>
      <c r="AE2019" s="18">
        <v>46149.0</v>
      </c>
      <c r="AF2019" s="1" t="s">
        <v>1630</v>
      </c>
      <c r="AG2019" s="1" t="s">
        <v>52</v>
      </c>
      <c r="AH2019" s="1" t="s">
        <v>1152</v>
      </c>
      <c r="AI2019" s="1"/>
      <c r="AJ2019" s="1" t="s">
        <v>9817</v>
      </c>
      <c r="AK2019" s="1" t="s">
        <v>1152</v>
      </c>
      <c r="AL2019" s="6" t="str">
        <f t="array" ref="AL2019">IFERROR(IFS(XLOOKUP(B2019, 'Kit Delivery Status'!$U:$U, 'Kit Delivery Status'!$K:$K) = "Complete", "DELIVERED", XLOOKUP(B2019, 'Kit Delivery Status'!$U:$U, 'Kit Delivery Status'!$K:$K) = "Issue", "ISSUE"), "")</f>
        <v/>
      </c>
      <c r="AM2019" s="6"/>
    </row>
    <row r="2020">
      <c r="A2020" s="5" t="s">
        <v>9818</v>
      </c>
      <c r="B2020" s="1" t="s">
        <v>9819</v>
      </c>
      <c r="C2020" s="1"/>
      <c r="D2020" s="2">
        <v>9.144670019E9</v>
      </c>
      <c r="E2020" s="1" t="s">
        <v>9820</v>
      </c>
      <c r="F2020" s="1" t="s">
        <v>9821</v>
      </c>
      <c r="G2020" s="1" t="s">
        <v>2435</v>
      </c>
      <c r="H2020" s="1" t="s">
        <v>751</v>
      </c>
      <c r="I2020" s="1">
        <v>10514.0</v>
      </c>
      <c r="J2020" s="1" t="s">
        <v>752</v>
      </c>
      <c r="K2020" s="1" t="s">
        <v>892</v>
      </c>
      <c r="L2020" s="1" t="s">
        <v>8006</v>
      </c>
      <c r="M2020" s="1">
        <v>49.0</v>
      </c>
      <c r="N2020" s="1" t="s">
        <v>1152</v>
      </c>
      <c r="O2020" s="3"/>
      <c r="P2020" s="1" t="s">
        <v>1152</v>
      </c>
      <c r="Q2020" s="1" t="s">
        <v>1152</v>
      </c>
      <c r="R2020" s="1" t="s">
        <v>9821</v>
      </c>
      <c r="S2020" s="1"/>
      <c r="T2020" s="1" t="s">
        <v>1152</v>
      </c>
      <c r="U2020" s="1"/>
      <c r="V2020" s="4"/>
      <c r="W2020" s="1" t="s">
        <v>9821</v>
      </c>
      <c r="X2020" s="1" t="s">
        <v>1152</v>
      </c>
      <c r="Y2020" s="1" t="s">
        <v>1152</v>
      </c>
      <c r="Z2020" s="1"/>
      <c r="AA2020" s="1" t="s">
        <v>9821</v>
      </c>
      <c r="AB2020" s="1"/>
      <c r="AC2020" s="1" t="s">
        <v>1925</v>
      </c>
      <c r="AD2020" s="1"/>
      <c r="AE2020" s="18">
        <v>46160.0</v>
      </c>
      <c r="AF2020" s="1" t="s">
        <v>44</v>
      </c>
      <c r="AG2020" s="1" t="s">
        <v>124</v>
      </c>
      <c r="AH2020" s="1" t="s">
        <v>9822</v>
      </c>
      <c r="AI2020" s="1"/>
      <c r="AJ2020" s="1" t="s">
        <v>9820</v>
      </c>
      <c r="AK2020" s="1" t="s">
        <v>1152</v>
      </c>
      <c r="AL2020" s="6" t="str">
        <f t="array" ref="AL2020">IFERROR(IFS(XLOOKUP(B2020, 'Kit Delivery Status'!$U:$U, 'Kit Delivery Status'!$K:$K) = "Complete", "DELIVERED", XLOOKUP(B2020, 'Kit Delivery Status'!$U:$U, 'Kit Delivery Status'!$K:$K) = "Issue", "ISSUE"), "")</f>
        <v/>
      </c>
      <c r="AM2020" s="6"/>
    </row>
    <row r="2021">
      <c r="A2021" s="5" t="s">
        <v>9823</v>
      </c>
      <c r="B2021" s="1" t="s">
        <v>9824</v>
      </c>
      <c r="C2021" s="1" t="s">
        <v>9825</v>
      </c>
      <c r="D2021" s="2">
        <v>2.138401616E9</v>
      </c>
      <c r="E2021" s="1" t="s">
        <v>9826</v>
      </c>
      <c r="F2021" s="1"/>
      <c r="G2021" s="1" t="s">
        <v>1684</v>
      </c>
      <c r="H2021" s="1" t="s">
        <v>751</v>
      </c>
      <c r="I2021" s="1">
        <v>11215.0</v>
      </c>
      <c r="J2021" s="1" t="s">
        <v>752</v>
      </c>
      <c r="K2021" s="1" t="s">
        <v>42</v>
      </c>
      <c r="L2021" s="1" t="s">
        <v>6819</v>
      </c>
      <c r="M2021" s="1">
        <v>49.0</v>
      </c>
      <c r="N2021" s="1" t="s">
        <v>1152</v>
      </c>
      <c r="O2021" s="3" t="s">
        <v>2622</v>
      </c>
      <c r="P2021" s="1" t="s">
        <v>1152</v>
      </c>
      <c r="Q2021" s="1" t="s">
        <v>1152</v>
      </c>
      <c r="R2021" s="1"/>
      <c r="S2021" s="1"/>
      <c r="T2021" s="1" t="s">
        <v>1152</v>
      </c>
      <c r="U2021" s="1" t="s">
        <v>1148</v>
      </c>
      <c r="V2021" s="4" t="s">
        <v>2622</v>
      </c>
      <c r="W2021" s="1"/>
      <c r="X2021" s="1" t="s">
        <v>1152</v>
      </c>
      <c r="Y2021" s="1" t="s">
        <v>1152</v>
      </c>
      <c r="Z2021" s="1"/>
      <c r="AA2021" s="1"/>
      <c r="AB2021" s="1"/>
      <c r="AC2021" s="1" t="s">
        <v>1925</v>
      </c>
      <c r="AD2021" s="1"/>
      <c r="AE2021" s="18">
        <v>46148.0</v>
      </c>
      <c r="AF2021" s="1" t="s">
        <v>1630</v>
      </c>
      <c r="AG2021" s="1" t="s">
        <v>52</v>
      </c>
      <c r="AH2021" s="1" t="s">
        <v>1152</v>
      </c>
      <c r="AI2021" s="1"/>
      <c r="AJ2021" s="1" t="s">
        <v>9827</v>
      </c>
      <c r="AK2021" s="1" t="s">
        <v>1152</v>
      </c>
      <c r="AL2021" s="6" t="str">
        <f t="array" ref="AL2021">IFERROR(IFS(XLOOKUP(B2021, 'Kit Delivery Status'!$U:$U, 'Kit Delivery Status'!$K:$K) = "Complete", "DELIVERED", XLOOKUP(B2021, 'Kit Delivery Status'!$U:$U, 'Kit Delivery Status'!$K:$K) = "Issue", "ISSUE"), "")</f>
        <v/>
      </c>
      <c r="AM2021" s="6"/>
    </row>
    <row r="2022">
      <c r="A2022" s="5" t="s">
        <v>9828</v>
      </c>
      <c r="B2022" s="1" t="s">
        <v>9829</v>
      </c>
      <c r="C2022" s="1" t="s">
        <v>9830</v>
      </c>
      <c r="D2022" s="2">
        <v>6.785581035E9</v>
      </c>
      <c r="E2022" s="1" t="s">
        <v>3045</v>
      </c>
      <c r="F2022" s="1"/>
      <c r="G2022" s="1" t="s">
        <v>2179</v>
      </c>
      <c r="H2022" s="1" t="s">
        <v>946</v>
      </c>
      <c r="I2022" s="1" t="s">
        <v>9831</v>
      </c>
      <c r="J2022" s="1" t="s">
        <v>752</v>
      </c>
      <c r="K2022" s="1" t="s">
        <v>2131</v>
      </c>
      <c r="L2022" s="1" t="s">
        <v>5767</v>
      </c>
      <c r="M2022" s="1">
        <v>1.0</v>
      </c>
      <c r="N2022" s="1" t="s">
        <v>1152</v>
      </c>
      <c r="O2022" s="3" t="s">
        <v>3046</v>
      </c>
      <c r="P2022" s="1" t="s">
        <v>1152</v>
      </c>
      <c r="Q2022" s="1" t="s">
        <v>1152</v>
      </c>
      <c r="R2022" s="1"/>
      <c r="S2022" s="1"/>
      <c r="T2022" s="1" t="s">
        <v>1152</v>
      </c>
      <c r="U2022" s="1" t="s">
        <v>1407</v>
      </c>
      <c r="V2022" s="4" t="s">
        <v>3046</v>
      </c>
      <c r="W2022" s="1"/>
      <c r="X2022" s="1" t="s">
        <v>1152</v>
      </c>
      <c r="Y2022" s="1" t="s">
        <v>1152</v>
      </c>
      <c r="Z2022" s="1"/>
      <c r="AA2022" s="1"/>
      <c r="AB2022" s="1"/>
      <c r="AC2022" s="1" t="s">
        <v>1925</v>
      </c>
      <c r="AD2022" s="1"/>
      <c r="AE2022" s="18">
        <v>46149.0</v>
      </c>
      <c r="AF2022" s="1"/>
      <c r="AG2022" s="1"/>
      <c r="AH2022" s="1" t="s">
        <v>1152</v>
      </c>
      <c r="AI2022" s="1"/>
      <c r="AJ2022" s="1" t="s">
        <v>3045</v>
      </c>
      <c r="AK2022" s="1" t="s">
        <v>1152</v>
      </c>
      <c r="AL2022" s="6" t="str">
        <f t="array" ref="AL2022">IFERROR(IFS(XLOOKUP(B2022, 'Kit Delivery Status'!$U:$U, 'Kit Delivery Status'!$K:$K) = "Complete", "DELIVERED", XLOOKUP(B2022, 'Kit Delivery Status'!$U:$U, 'Kit Delivery Status'!$K:$K) = "Issue", "ISSUE"), "")</f>
        <v/>
      </c>
      <c r="AM2022" s="6"/>
    </row>
    <row r="2023">
      <c r="A2023" s="5" t="s">
        <v>9828</v>
      </c>
      <c r="B2023" s="1" t="s">
        <v>9829</v>
      </c>
      <c r="C2023" s="1" t="s">
        <v>9830</v>
      </c>
      <c r="D2023" s="2">
        <v>6.785581035E9</v>
      </c>
      <c r="E2023" s="1" t="s">
        <v>3045</v>
      </c>
      <c r="F2023" s="1"/>
      <c r="G2023" s="1" t="s">
        <v>2179</v>
      </c>
      <c r="H2023" s="1" t="s">
        <v>946</v>
      </c>
      <c r="I2023" s="1" t="s">
        <v>9831</v>
      </c>
      <c r="J2023" s="1" t="s">
        <v>752</v>
      </c>
      <c r="K2023" s="1" t="s">
        <v>892</v>
      </c>
      <c r="L2023" s="1" t="s">
        <v>8006</v>
      </c>
      <c r="M2023" s="1">
        <v>49.0</v>
      </c>
      <c r="N2023" s="1" t="s">
        <v>1152</v>
      </c>
      <c r="O2023" s="3" t="s">
        <v>3046</v>
      </c>
      <c r="P2023" s="1" t="s">
        <v>1152</v>
      </c>
      <c r="Q2023" s="1" t="s">
        <v>1152</v>
      </c>
      <c r="R2023" s="1"/>
      <c r="S2023" s="1"/>
      <c r="T2023" s="1" t="s">
        <v>1152</v>
      </c>
      <c r="U2023" s="1" t="s">
        <v>1407</v>
      </c>
      <c r="V2023" s="4" t="s">
        <v>3046</v>
      </c>
      <c r="W2023" s="1"/>
      <c r="X2023" s="1" t="s">
        <v>1152</v>
      </c>
      <c r="Y2023" s="1" t="s">
        <v>1152</v>
      </c>
      <c r="Z2023" s="1"/>
      <c r="AA2023" s="1"/>
      <c r="AB2023" s="1"/>
      <c r="AC2023" s="1" t="s">
        <v>1925</v>
      </c>
      <c r="AD2023" s="1"/>
      <c r="AE2023" s="18">
        <v>46149.0</v>
      </c>
      <c r="AF2023" s="1" t="s">
        <v>1030</v>
      </c>
      <c r="AG2023" s="1" t="s">
        <v>52</v>
      </c>
      <c r="AH2023" s="1" t="s">
        <v>9832</v>
      </c>
      <c r="AI2023" s="1"/>
      <c r="AJ2023" s="1" t="s">
        <v>3045</v>
      </c>
      <c r="AK2023" s="1" t="s">
        <v>1152</v>
      </c>
      <c r="AL2023" s="6" t="str">
        <f t="array" ref="AL2023">IFERROR(IFS(XLOOKUP(B2023, 'Kit Delivery Status'!$U:$U, 'Kit Delivery Status'!$K:$K) = "Complete", "DELIVERED", XLOOKUP(B2023, 'Kit Delivery Status'!$U:$U, 'Kit Delivery Status'!$K:$K) = "Issue", "ISSUE"), "")</f>
        <v/>
      </c>
      <c r="AM2023" s="6"/>
    </row>
    <row r="2024">
      <c r="A2024" s="5" t="s">
        <v>9833</v>
      </c>
      <c r="B2024" s="1" t="s">
        <v>9834</v>
      </c>
      <c r="C2024" s="1" t="s">
        <v>9835</v>
      </c>
      <c r="D2024" s="2">
        <v>8.02734432E9</v>
      </c>
      <c r="E2024" s="1" t="s">
        <v>4130</v>
      </c>
      <c r="F2024" s="1"/>
      <c r="G2024" s="1" t="s">
        <v>4131</v>
      </c>
      <c r="H2024" s="1" t="s">
        <v>3153</v>
      </c>
      <c r="I2024" s="1">
        <v>5403.0</v>
      </c>
      <c r="J2024" s="1" t="s">
        <v>752</v>
      </c>
      <c r="K2024" s="1" t="s">
        <v>42</v>
      </c>
      <c r="L2024" s="1" t="s">
        <v>6819</v>
      </c>
      <c r="M2024" s="1">
        <v>49.0</v>
      </c>
      <c r="N2024" s="1" t="s">
        <v>1152</v>
      </c>
      <c r="O2024" s="3" t="s">
        <v>2309</v>
      </c>
      <c r="P2024" s="1" t="s">
        <v>1152</v>
      </c>
      <c r="Q2024" s="1" t="s">
        <v>1152</v>
      </c>
      <c r="R2024" s="1"/>
      <c r="S2024" s="1"/>
      <c r="T2024" s="1" t="s">
        <v>1152</v>
      </c>
      <c r="U2024" s="1" t="s">
        <v>956</v>
      </c>
      <c r="V2024" s="4" t="s">
        <v>2309</v>
      </c>
      <c r="W2024" s="1"/>
      <c r="X2024" s="1" t="s">
        <v>1152</v>
      </c>
      <c r="Y2024" s="1" t="s">
        <v>1152</v>
      </c>
      <c r="Z2024" s="1"/>
      <c r="AA2024" s="1"/>
      <c r="AB2024" s="1"/>
      <c r="AC2024" s="1" t="s">
        <v>1925</v>
      </c>
      <c r="AD2024" s="1"/>
      <c r="AE2024" s="18">
        <v>46148.0</v>
      </c>
      <c r="AF2024" s="1" t="s">
        <v>1455</v>
      </c>
      <c r="AG2024" s="1" t="s">
        <v>52</v>
      </c>
      <c r="AH2024" s="1" t="s">
        <v>1152</v>
      </c>
      <c r="AI2024" s="1"/>
      <c r="AJ2024" s="1" t="s">
        <v>4130</v>
      </c>
      <c r="AK2024" s="1" t="s">
        <v>1152</v>
      </c>
      <c r="AL2024" s="6" t="str">
        <f t="array" ref="AL2024">IFERROR(IFS(XLOOKUP(B2024, 'Kit Delivery Status'!$U:$U, 'Kit Delivery Status'!$K:$K) = "Complete", "DELIVERED", XLOOKUP(B2024, 'Kit Delivery Status'!$U:$U, 'Kit Delivery Status'!$K:$K) = "Issue", "ISSUE"), "")</f>
        <v/>
      </c>
      <c r="AM2024" s="6"/>
    </row>
    <row r="2025">
      <c r="A2025" s="5" t="s">
        <v>9836</v>
      </c>
      <c r="B2025" s="1" t="s">
        <v>9837</v>
      </c>
      <c r="C2025" s="1" t="s">
        <v>9838</v>
      </c>
      <c r="D2025" s="2">
        <v>8.185152142E9</v>
      </c>
      <c r="E2025" s="1" t="s">
        <v>9839</v>
      </c>
      <c r="F2025" s="1" t="s">
        <v>9840</v>
      </c>
      <c r="G2025" s="1" t="s">
        <v>2350</v>
      </c>
      <c r="H2025" s="1" t="s">
        <v>1155</v>
      </c>
      <c r="I2025" s="1">
        <v>63130.0</v>
      </c>
      <c r="J2025" s="1" t="s">
        <v>752</v>
      </c>
      <c r="K2025" s="1" t="s">
        <v>892</v>
      </c>
      <c r="L2025" s="1" t="s">
        <v>8134</v>
      </c>
      <c r="M2025" s="1">
        <v>79.0</v>
      </c>
      <c r="N2025" s="1" t="s">
        <v>1152</v>
      </c>
      <c r="O2025" s="3"/>
      <c r="P2025" s="1" t="s">
        <v>1152</v>
      </c>
      <c r="Q2025" s="1" t="s">
        <v>1152</v>
      </c>
      <c r="R2025" s="1" t="s">
        <v>9840</v>
      </c>
      <c r="S2025" s="1"/>
      <c r="T2025" s="1" t="s">
        <v>1152</v>
      </c>
      <c r="U2025" s="1"/>
      <c r="V2025" s="4"/>
      <c r="W2025" s="1" t="s">
        <v>9840</v>
      </c>
      <c r="X2025" s="1" t="s">
        <v>1152</v>
      </c>
      <c r="Y2025" s="1" t="s">
        <v>1152</v>
      </c>
      <c r="Z2025" s="1"/>
      <c r="AA2025" s="1" t="s">
        <v>9840</v>
      </c>
      <c r="AB2025" s="1"/>
      <c r="AC2025" s="1" t="s">
        <v>1925</v>
      </c>
      <c r="AD2025" s="1"/>
      <c r="AE2025" s="18">
        <v>46156.0</v>
      </c>
      <c r="AF2025" s="35">
        <v>0.6666666666666666</v>
      </c>
      <c r="AG2025" s="1" t="s">
        <v>124</v>
      </c>
      <c r="AH2025" s="1" t="s">
        <v>9841</v>
      </c>
      <c r="AI2025" s="1" t="s">
        <v>9842</v>
      </c>
      <c r="AJ2025" s="1" t="s">
        <v>9839</v>
      </c>
      <c r="AK2025" s="1" t="s">
        <v>1152</v>
      </c>
      <c r="AL2025" s="6" t="str">
        <f t="array" ref="AL2025">IFERROR(IFS(XLOOKUP(B2025, 'Kit Delivery Status'!$U:$U, 'Kit Delivery Status'!$K:$K) = "Complete", "DELIVERED", XLOOKUP(B2025, 'Kit Delivery Status'!$U:$U, 'Kit Delivery Status'!$K:$K) = "Issue", "ISSUE"), "")</f>
        <v/>
      </c>
      <c r="AM2025" s="6"/>
    </row>
    <row r="2026">
      <c r="A2026" s="5" t="s">
        <v>9843</v>
      </c>
      <c r="B2026" s="1" t="s">
        <v>9844</v>
      </c>
      <c r="C2026" s="1"/>
      <c r="D2026" s="2">
        <v>9.176127037E9</v>
      </c>
      <c r="E2026" s="1" t="s">
        <v>858</v>
      </c>
      <c r="F2026" s="1"/>
      <c r="G2026" s="1" t="s">
        <v>9845</v>
      </c>
      <c r="H2026" s="1" t="s">
        <v>751</v>
      </c>
      <c r="I2026" s="1">
        <v>10956.0</v>
      </c>
      <c r="J2026" s="1" t="s">
        <v>752</v>
      </c>
      <c r="K2026" s="1" t="s">
        <v>42</v>
      </c>
      <c r="L2026" s="1" t="s">
        <v>6819</v>
      </c>
      <c r="M2026" s="1">
        <v>49.0</v>
      </c>
      <c r="N2026" s="1" t="s">
        <v>1152</v>
      </c>
      <c r="O2026" s="3" t="s">
        <v>187</v>
      </c>
      <c r="P2026" s="1" t="s">
        <v>1152</v>
      </c>
      <c r="Q2026" s="1" t="s">
        <v>1152</v>
      </c>
      <c r="R2026" s="1"/>
      <c r="S2026" s="1"/>
      <c r="T2026" s="1" t="s">
        <v>1152</v>
      </c>
      <c r="U2026" s="1" t="s">
        <v>1148</v>
      </c>
      <c r="V2026" s="4" t="s">
        <v>187</v>
      </c>
      <c r="W2026" s="1"/>
      <c r="X2026" s="1" t="s">
        <v>1152</v>
      </c>
      <c r="Y2026" s="1" t="s">
        <v>1152</v>
      </c>
      <c r="Z2026" s="1"/>
      <c r="AA2026" s="1"/>
      <c r="AB2026" s="1"/>
      <c r="AC2026" s="1" t="s">
        <v>1925</v>
      </c>
      <c r="AD2026" s="1"/>
      <c r="AE2026" s="18">
        <v>46148.0</v>
      </c>
      <c r="AF2026" s="1" t="s">
        <v>1455</v>
      </c>
      <c r="AG2026" s="1" t="s">
        <v>52</v>
      </c>
      <c r="AH2026" s="1" t="s">
        <v>1152</v>
      </c>
      <c r="AI2026" s="1" t="s">
        <v>9846</v>
      </c>
      <c r="AJ2026" s="1" t="s">
        <v>304</v>
      </c>
      <c r="AK2026" s="1" t="s">
        <v>1152</v>
      </c>
      <c r="AL2026" s="6" t="str">
        <f t="array" ref="AL2026">IFERROR(IFS(XLOOKUP(B2026, 'Kit Delivery Status'!$U:$U, 'Kit Delivery Status'!$K:$K) = "Complete", "DELIVERED", XLOOKUP(B2026, 'Kit Delivery Status'!$U:$U, 'Kit Delivery Status'!$K:$K) = "Issue", "ISSUE"), "")</f>
        <v/>
      </c>
      <c r="AM2026" s="6"/>
    </row>
    <row r="2027">
      <c r="A2027" s="5" t="s">
        <v>9847</v>
      </c>
      <c r="B2027" s="1" t="s">
        <v>9848</v>
      </c>
      <c r="C2027" s="1"/>
      <c r="D2027" s="2">
        <v>6.175823313E9</v>
      </c>
      <c r="E2027" s="1" t="s">
        <v>9849</v>
      </c>
      <c r="F2027" s="1"/>
      <c r="G2027" s="1" t="s">
        <v>3171</v>
      </c>
      <c r="H2027" s="1" t="s">
        <v>1121</v>
      </c>
      <c r="I2027" s="1">
        <v>2467.0</v>
      </c>
      <c r="J2027" s="1" t="s">
        <v>752</v>
      </c>
      <c r="K2027" s="1" t="s">
        <v>42</v>
      </c>
      <c r="L2027" s="1" t="s">
        <v>6819</v>
      </c>
      <c r="M2027" s="1">
        <v>49.0</v>
      </c>
      <c r="N2027" s="1" t="s">
        <v>1152</v>
      </c>
      <c r="O2027" s="3" t="s">
        <v>7224</v>
      </c>
      <c r="P2027" s="1" t="s">
        <v>1152</v>
      </c>
      <c r="Q2027" s="1" t="s">
        <v>1152</v>
      </c>
      <c r="R2027" s="1"/>
      <c r="S2027" s="1"/>
      <c r="T2027" s="1" t="s">
        <v>1152</v>
      </c>
      <c r="U2027" s="1" t="s">
        <v>1277</v>
      </c>
      <c r="V2027" s="4" t="s">
        <v>7224</v>
      </c>
      <c r="W2027" s="1"/>
      <c r="X2027" s="1" t="s">
        <v>1152</v>
      </c>
      <c r="Y2027" s="1" t="s">
        <v>1152</v>
      </c>
      <c r="Z2027" s="1"/>
      <c r="AA2027" s="1"/>
      <c r="AB2027" s="1"/>
      <c r="AC2027" s="1" t="s">
        <v>1925</v>
      </c>
      <c r="AD2027" s="1"/>
      <c r="AE2027" s="18">
        <v>46144.0</v>
      </c>
      <c r="AF2027" s="1" t="s">
        <v>1455</v>
      </c>
      <c r="AG2027" s="1" t="s">
        <v>52</v>
      </c>
      <c r="AH2027" s="1" t="s">
        <v>1152</v>
      </c>
      <c r="AI2027" s="1"/>
      <c r="AJ2027" s="1" t="s">
        <v>9849</v>
      </c>
      <c r="AK2027" s="1" t="s">
        <v>1152</v>
      </c>
      <c r="AL2027" s="6" t="str">
        <f t="array" ref="AL2027">IFERROR(IFS(XLOOKUP(B2027, 'Kit Delivery Status'!$U:$U, 'Kit Delivery Status'!$K:$K) = "Complete", "DELIVERED", XLOOKUP(B2027, 'Kit Delivery Status'!$U:$U, 'Kit Delivery Status'!$K:$K) = "Issue", "ISSUE"), "")</f>
        <v/>
      </c>
      <c r="AM2027" s="6"/>
    </row>
    <row r="2028">
      <c r="A2028" s="5" t="s">
        <v>9850</v>
      </c>
      <c r="B2028" s="1" t="s">
        <v>9851</v>
      </c>
      <c r="C2028" s="1"/>
      <c r="D2028" s="2">
        <v>2.038879903E9</v>
      </c>
      <c r="E2028" s="1" t="s">
        <v>1896</v>
      </c>
      <c r="F2028" s="1"/>
      <c r="G2028" s="1" t="s">
        <v>1897</v>
      </c>
      <c r="H2028" s="1" t="s">
        <v>1078</v>
      </c>
      <c r="I2028" s="1">
        <v>6410.0</v>
      </c>
      <c r="J2028" s="1" t="s">
        <v>752</v>
      </c>
      <c r="K2028" s="1" t="s">
        <v>42</v>
      </c>
      <c r="L2028" s="1" t="s">
        <v>6819</v>
      </c>
      <c r="M2028" s="1">
        <v>49.0</v>
      </c>
      <c r="N2028" s="1" t="s">
        <v>1152</v>
      </c>
      <c r="O2028" s="3" t="s">
        <v>627</v>
      </c>
      <c r="P2028" s="1" t="s">
        <v>1152</v>
      </c>
      <c r="Q2028" s="1" t="s">
        <v>1152</v>
      </c>
      <c r="R2028" s="1"/>
      <c r="S2028" s="1"/>
      <c r="T2028" s="1" t="s">
        <v>1152</v>
      </c>
      <c r="U2028" s="1" t="s">
        <v>1080</v>
      </c>
      <c r="V2028" s="4" t="s">
        <v>627</v>
      </c>
      <c r="W2028" s="1"/>
      <c r="X2028" s="1" t="s">
        <v>1152</v>
      </c>
      <c r="Y2028" s="1" t="s">
        <v>1152</v>
      </c>
      <c r="Z2028" s="1"/>
      <c r="AA2028" s="1"/>
      <c r="AB2028" s="1"/>
      <c r="AC2028" s="1" t="s">
        <v>1925</v>
      </c>
      <c r="AD2028" s="1"/>
      <c r="AE2028" s="18">
        <v>46148.0</v>
      </c>
      <c r="AF2028" s="1" t="s">
        <v>1030</v>
      </c>
      <c r="AG2028" s="1" t="s">
        <v>52</v>
      </c>
      <c r="AH2028" s="1" t="s">
        <v>1152</v>
      </c>
      <c r="AI2028" s="1"/>
      <c r="AJ2028" s="1" t="s">
        <v>9007</v>
      </c>
      <c r="AK2028" s="1" t="s">
        <v>1152</v>
      </c>
      <c r="AL2028" s="6" t="str">
        <f t="array" ref="AL2028">IFERROR(IFS(XLOOKUP(B2028, 'Kit Delivery Status'!$U:$U, 'Kit Delivery Status'!$K:$K) = "Complete", "DELIVERED", XLOOKUP(B2028, 'Kit Delivery Status'!$U:$U, 'Kit Delivery Status'!$K:$K) = "Issue", "ISSUE"), "")</f>
        <v/>
      </c>
      <c r="AM2028" s="6"/>
    </row>
    <row r="2029">
      <c r="A2029" s="5" t="s">
        <v>9852</v>
      </c>
      <c r="B2029" s="1" t="s">
        <v>9853</v>
      </c>
      <c r="C2029" s="1" t="s">
        <v>1954</v>
      </c>
      <c r="D2029" s="2">
        <v>1.818319301E10</v>
      </c>
      <c r="E2029" s="1" t="s">
        <v>1955</v>
      </c>
      <c r="F2029" s="1"/>
      <c r="G2029" s="1" t="s">
        <v>1956</v>
      </c>
      <c r="H2029" s="1" t="s">
        <v>989</v>
      </c>
      <c r="I2029" s="1">
        <v>91011.0</v>
      </c>
      <c r="J2029" s="1" t="s">
        <v>752</v>
      </c>
      <c r="K2029" s="1" t="s">
        <v>42</v>
      </c>
      <c r="L2029" s="1" t="s">
        <v>6819</v>
      </c>
      <c r="M2029" s="1">
        <v>49.0</v>
      </c>
      <c r="N2029" s="1" t="s">
        <v>1152</v>
      </c>
      <c r="O2029" s="3" t="s">
        <v>2830</v>
      </c>
      <c r="P2029" s="1" t="s">
        <v>1152</v>
      </c>
      <c r="Q2029" s="1" t="s">
        <v>1152</v>
      </c>
      <c r="R2029" s="1"/>
      <c r="S2029" s="1"/>
      <c r="T2029" s="1" t="s">
        <v>1152</v>
      </c>
      <c r="U2029" s="1" t="s">
        <v>956</v>
      </c>
      <c r="V2029" s="4" t="s">
        <v>2830</v>
      </c>
      <c r="W2029" s="1"/>
      <c r="X2029" s="1" t="s">
        <v>1152</v>
      </c>
      <c r="Y2029" s="1" t="s">
        <v>1152</v>
      </c>
      <c r="Z2029" s="1"/>
      <c r="AA2029" s="1"/>
      <c r="AB2029" s="1"/>
      <c r="AC2029" s="1" t="s">
        <v>1925</v>
      </c>
      <c r="AD2029" s="1"/>
      <c r="AE2029" s="18">
        <v>46146.0</v>
      </c>
      <c r="AF2029" s="1" t="s">
        <v>1103</v>
      </c>
      <c r="AG2029" s="1" t="s">
        <v>52</v>
      </c>
      <c r="AH2029" s="1" t="s">
        <v>1152</v>
      </c>
      <c r="AI2029" s="1"/>
      <c r="AJ2029" s="1" t="s">
        <v>9854</v>
      </c>
      <c r="AK2029" s="1" t="s">
        <v>1152</v>
      </c>
      <c r="AL2029" s="6" t="str">
        <f t="array" ref="AL2029">IFERROR(IFS(XLOOKUP(B2029, 'Kit Delivery Status'!$U:$U, 'Kit Delivery Status'!$K:$K) = "Complete", "DELIVERED", XLOOKUP(B2029, 'Kit Delivery Status'!$U:$U, 'Kit Delivery Status'!$K:$K) = "Issue", "ISSUE"), "")</f>
        <v/>
      </c>
      <c r="AM2029" s="6"/>
    </row>
    <row r="2030">
      <c r="A2030" s="5" t="s">
        <v>9855</v>
      </c>
      <c r="B2030" s="1" t="s">
        <v>9856</v>
      </c>
      <c r="C2030" s="1" t="s">
        <v>9857</v>
      </c>
      <c r="D2030" s="2">
        <v>9.179071764E9</v>
      </c>
      <c r="E2030" s="1" t="s">
        <v>9858</v>
      </c>
      <c r="F2030" s="1"/>
      <c r="G2030" s="1" t="s">
        <v>1684</v>
      </c>
      <c r="H2030" s="1" t="s">
        <v>751</v>
      </c>
      <c r="I2030" s="1">
        <v>11249.0</v>
      </c>
      <c r="J2030" s="1" t="s">
        <v>752</v>
      </c>
      <c r="K2030" s="1" t="s">
        <v>42</v>
      </c>
      <c r="L2030" s="1" t="s">
        <v>9502</v>
      </c>
      <c r="M2030" s="1">
        <v>79.0</v>
      </c>
      <c r="N2030" s="1" t="s">
        <v>1152</v>
      </c>
      <c r="O2030" s="3" t="s">
        <v>4981</v>
      </c>
      <c r="P2030" s="1" t="s">
        <v>1152</v>
      </c>
      <c r="Q2030" s="1" t="s">
        <v>1152</v>
      </c>
      <c r="R2030" s="1"/>
      <c r="S2030" s="1"/>
      <c r="T2030" s="1" t="s">
        <v>1152</v>
      </c>
      <c r="U2030" s="1" t="s">
        <v>1456</v>
      </c>
      <c r="V2030" s="4" t="s">
        <v>4981</v>
      </c>
      <c r="W2030" s="1"/>
      <c r="X2030" s="1" t="s">
        <v>1152</v>
      </c>
      <c r="Y2030" s="1" t="s">
        <v>1152</v>
      </c>
      <c r="Z2030" s="1"/>
      <c r="AA2030" s="1"/>
      <c r="AB2030" s="1"/>
      <c r="AC2030" s="1" t="s">
        <v>1925</v>
      </c>
      <c r="AD2030" s="1"/>
      <c r="AE2030" s="18">
        <v>46148.0</v>
      </c>
      <c r="AF2030" s="1" t="s">
        <v>1349</v>
      </c>
      <c r="AG2030" s="1" t="s">
        <v>52</v>
      </c>
      <c r="AH2030" s="1" t="s">
        <v>1152</v>
      </c>
      <c r="AI2030" s="1"/>
      <c r="AJ2030" s="1" t="s">
        <v>9858</v>
      </c>
      <c r="AK2030" s="1" t="s">
        <v>1152</v>
      </c>
      <c r="AL2030" s="6" t="str">
        <f t="array" ref="AL2030">IFERROR(IFS(XLOOKUP(B2030, 'Kit Delivery Status'!$U:$U, 'Kit Delivery Status'!$K:$K) = "Complete", "DELIVERED", XLOOKUP(B2030, 'Kit Delivery Status'!$U:$U, 'Kit Delivery Status'!$K:$K) = "Issue", "ISSUE"), "")</f>
        <v/>
      </c>
      <c r="AM2030" s="6"/>
    </row>
    <row r="2031">
      <c r="A2031" s="5" t="s">
        <v>9859</v>
      </c>
      <c r="B2031" s="1" t="s">
        <v>9860</v>
      </c>
      <c r="C2031" s="1" t="s">
        <v>9861</v>
      </c>
      <c r="D2031" s="2">
        <v>2.038148546E9</v>
      </c>
      <c r="E2031" s="1" t="s">
        <v>3704</v>
      </c>
      <c r="F2031" s="1"/>
      <c r="G2031" s="1" t="s">
        <v>1604</v>
      </c>
      <c r="H2031" s="1" t="s">
        <v>1078</v>
      </c>
      <c r="I2031" s="1">
        <v>6880.0</v>
      </c>
      <c r="J2031" s="1" t="s">
        <v>752</v>
      </c>
      <c r="K2031" s="1" t="s">
        <v>42</v>
      </c>
      <c r="L2031" s="1" t="s">
        <v>7863</v>
      </c>
      <c r="M2031" s="1">
        <v>79.0</v>
      </c>
      <c r="N2031" s="1" t="s">
        <v>1152</v>
      </c>
      <c r="O2031" s="3" t="s">
        <v>3705</v>
      </c>
      <c r="P2031" s="1" t="s">
        <v>1152</v>
      </c>
      <c r="Q2031" s="1" t="s">
        <v>1152</v>
      </c>
      <c r="R2031" s="1"/>
      <c r="S2031" s="1"/>
      <c r="T2031" s="1" t="s">
        <v>1152</v>
      </c>
      <c r="U2031" s="1" t="s">
        <v>1343</v>
      </c>
      <c r="V2031" s="4" t="s">
        <v>3705</v>
      </c>
      <c r="W2031" s="1"/>
      <c r="X2031" s="1" t="s">
        <v>1152</v>
      </c>
      <c r="Y2031" s="1" t="s">
        <v>1152</v>
      </c>
      <c r="Z2031" s="1"/>
      <c r="AA2031" s="1"/>
      <c r="AB2031" s="1"/>
      <c r="AC2031" s="1" t="s">
        <v>1925</v>
      </c>
      <c r="AD2031" s="1"/>
      <c r="AE2031" s="18">
        <v>46146.0</v>
      </c>
      <c r="AF2031" s="1" t="s">
        <v>1030</v>
      </c>
      <c r="AG2031" s="1" t="s">
        <v>52</v>
      </c>
      <c r="AH2031" s="1" t="s">
        <v>1152</v>
      </c>
      <c r="AI2031" s="1"/>
      <c r="AJ2031" s="1" t="s">
        <v>3704</v>
      </c>
      <c r="AK2031" s="1" t="s">
        <v>1152</v>
      </c>
      <c r="AL2031" s="6" t="str">
        <f t="array" ref="AL2031">IFERROR(IFS(XLOOKUP(B2031, 'Kit Delivery Status'!$U:$U, 'Kit Delivery Status'!$K:$K) = "Complete", "DELIVERED", XLOOKUP(B2031, 'Kit Delivery Status'!$U:$U, 'Kit Delivery Status'!$K:$K) = "Issue", "ISSUE"), "")</f>
        <v/>
      </c>
      <c r="AM2031" s="6"/>
    </row>
    <row r="2032">
      <c r="A2032" s="5" t="s">
        <v>9862</v>
      </c>
      <c r="B2032" s="1" t="s">
        <v>9863</v>
      </c>
      <c r="C2032" s="1" t="s">
        <v>9864</v>
      </c>
      <c r="D2032" s="2">
        <v>9.175769331E9</v>
      </c>
      <c r="E2032" s="1" t="s">
        <v>9865</v>
      </c>
      <c r="F2032" s="1"/>
      <c r="G2032" s="1" t="s">
        <v>1684</v>
      </c>
      <c r="H2032" s="1" t="s">
        <v>751</v>
      </c>
      <c r="I2032" s="1">
        <v>11231.0</v>
      </c>
      <c r="J2032" s="1" t="s">
        <v>752</v>
      </c>
      <c r="K2032" s="1" t="s">
        <v>42</v>
      </c>
      <c r="L2032" s="1" t="s">
        <v>6819</v>
      </c>
      <c r="M2032" s="1">
        <v>49.0</v>
      </c>
      <c r="N2032" s="1" t="s">
        <v>1152</v>
      </c>
      <c r="O2032" s="3" t="s">
        <v>5852</v>
      </c>
      <c r="P2032" s="1" t="s">
        <v>1152</v>
      </c>
      <c r="Q2032" s="1" t="s">
        <v>1152</v>
      </c>
      <c r="R2032" s="1"/>
      <c r="S2032" s="1"/>
      <c r="T2032" s="1" t="s">
        <v>1152</v>
      </c>
      <c r="U2032" s="1" t="s">
        <v>1249</v>
      </c>
      <c r="V2032" s="4" t="s">
        <v>5852</v>
      </c>
      <c r="W2032" s="1"/>
      <c r="X2032" s="1" t="s">
        <v>1152</v>
      </c>
      <c r="Y2032" s="1" t="s">
        <v>1152</v>
      </c>
      <c r="Z2032" s="1"/>
      <c r="AA2032" s="1"/>
      <c r="AB2032" s="1"/>
      <c r="AC2032" s="1" t="s">
        <v>1925</v>
      </c>
      <c r="AD2032" s="1"/>
      <c r="AE2032" s="18">
        <v>46146.0</v>
      </c>
      <c r="AF2032" s="1" t="s">
        <v>1030</v>
      </c>
      <c r="AG2032" s="1" t="s">
        <v>52</v>
      </c>
      <c r="AH2032" s="1" t="s">
        <v>1152</v>
      </c>
      <c r="AI2032" s="1" t="s">
        <v>9866</v>
      </c>
      <c r="AJ2032" s="1" t="s">
        <v>9867</v>
      </c>
      <c r="AK2032" s="1" t="s">
        <v>1152</v>
      </c>
      <c r="AL2032" s="6" t="str">
        <f t="array" ref="AL2032">IFERROR(IFS(XLOOKUP(B2032, 'Kit Delivery Status'!$U:$U, 'Kit Delivery Status'!$K:$K) = "Complete", "DELIVERED", XLOOKUP(B2032, 'Kit Delivery Status'!$U:$U, 'Kit Delivery Status'!$K:$K) = "Issue", "ISSUE"), "")</f>
        <v/>
      </c>
      <c r="AM2032" s="6"/>
    </row>
    <row r="2033">
      <c r="A2033" s="5" t="s">
        <v>9868</v>
      </c>
      <c r="B2033" s="1" t="s">
        <v>9869</v>
      </c>
      <c r="C2033" s="1" t="s">
        <v>9870</v>
      </c>
      <c r="D2033" s="2">
        <v>4.439155111E9</v>
      </c>
      <c r="E2033" s="1" t="s">
        <v>9871</v>
      </c>
      <c r="F2033" s="1"/>
      <c r="G2033" s="1" t="s">
        <v>1760</v>
      </c>
      <c r="H2033" s="1" t="s">
        <v>1155</v>
      </c>
      <c r="I2033" s="1">
        <v>63105.0</v>
      </c>
      <c r="J2033" s="1" t="s">
        <v>752</v>
      </c>
      <c r="K2033" s="1" t="s">
        <v>892</v>
      </c>
      <c r="L2033" s="1" t="s">
        <v>8006</v>
      </c>
      <c r="M2033" s="1">
        <v>49.0</v>
      </c>
      <c r="N2033" s="1" t="s">
        <v>1152</v>
      </c>
      <c r="O2033" s="3" t="s">
        <v>1147</v>
      </c>
      <c r="P2033" s="1" t="s">
        <v>1152</v>
      </c>
      <c r="Q2033" s="1" t="s">
        <v>1152</v>
      </c>
      <c r="R2033" s="1"/>
      <c r="S2033" s="1"/>
      <c r="T2033" s="1" t="s">
        <v>1152</v>
      </c>
      <c r="U2033" s="1" t="s">
        <v>1148</v>
      </c>
      <c r="V2033" s="4" t="s">
        <v>1147</v>
      </c>
      <c r="W2033" s="1"/>
      <c r="X2033" s="1" t="s">
        <v>1152</v>
      </c>
      <c r="Y2033" s="1" t="s">
        <v>1152</v>
      </c>
      <c r="Z2033" s="1"/>
      <c r="AA2033" s="1"/>
      <c r="AB2033" s="1"/>
      <c r="AC2033" s="1" t="s">
        <v>1925</v>
      </c>
      <c r="AD2033" s="1"/>
      <c r="AE2033" s="18">
        <v>46144.0</v>
      </c>
      <c r="AF2033" s="1" t="s">
        <v>1455</v>
      </c>
      <c r="AG2033" s="1" t="s">
        <v>52</v>
      </c>
      <c r="AH2033" s="1" t="s">
        <v>9872</v>
      </c>
      <c r="AI2033" s="1"/>
      <c r="AJ2033" s="1" t="s">
        <v>9871</v>
      </c>
      <c r="AK2033" s="1" t="s">
        <v>1152</v>
      </c>
      <c r="AL2033" s="6" t="str">
        <f t="array" ref="AL2033">IFERROR(IFS(XLOOKUP(B2033, 'Kit Delivery Status'!$U:$U, 'Kit Delivery Status'!$K:$K) = "Complete", "DELIVERED", XLOOKUP(B2033, 'Kit Delivery Status'!$U:$U, 'Kit Delivery Status'!$K:$K) = "Issue", "ISSUE"), "")</f>
        <v/>
      </c>
      <c r="AM2033" s="6"/>
    </row>
    <row r="2034">
      <c r="A2034" s="5" t="s">
        <v>9868</v>
      </c>
      <c r="B2034" s="1" t="s">
        <v>9869</v>
      </c>
      <c r="C2034" s="1" t="s">
        <v>9870</v>
      </c>
      <c r="D2034" s="2">
        <v>4.439155111E9</v>
      </c>
      <c r="E2034" s="1" t="s">
        <v>9871</v>
      </c>
      <c r="F2034" s="1"/>
      <c r="G2034" s="1" t="s">
        <v>1760</v>
      </c>
      <c r="H2034" s="1" t="s">
        <v>1155</v>
      </c>
      <c r="I2034" s="1">
        <v>63105.0</v>
      </c>
      <c r="J2034" s="1" t="s">
        <v>752</v>
      </c>
      <c r="K2034" s="1" t="s">
        <v>2131</v>
      </c>
      <c r="L2034" s="1" t="s">
        <v>5767</v>
      </c>
      <c r="M2034" s="1">
        <v>1.0</v>
      </c>
      <c r="N2034" s="1" t="s">
        <v>1152</v>
      </c>
      <c r="O2034" s="3" t="s">
        <v>1147</v>
      </c>
      <c r="P2034" s="1" t="s">
        <v>1152</v>
      </c>
      <c r="Q2034" s="1" t="s">
        <v>1152</v>
      </c>
      <c r="R2034" s="1"/>
      <c r="S2034" s="1"/>
      <c r="T2034" s="1" t="s">
        <v>1152</v>
      </c>
      <c r="U2034" s="1" t="s">
        <v>1148</v>
      </c>
      <c r="V2034" s="4" t="s">
        <v>1147</v>
      </c>
      <c r="W2034" s="1"/>
      <c r="X2034" s="1" t="s">
        <v>1152</v>
      </c>
      <c r="Y2034" s="1" t="s">
        <v>1152</v>
      </c>
      <c r="Z2034" s="1"/>
      <c r="AA2034" s="1"/>
      <c r="AB2034" s="1"/>
      <c r="AC2034" s="1" t="s">
        <v>1925</v>
      </c>
      <c r="AD2034" s="1"/>
      <c r="AE2034" s="18">
        <v>46144.0</v>
      </c>
      <c r="AF2034" s="1"/>
      <c r="AG2034" s="1"/>
      <c r="AH2034" s="1" t="s">
        <v>1152</v>
      </c>
      <c r="AI2034" s="1"/>
      <c r="AJ2034" s="1" t="s">
        <v>9871</v>
      </c>
      <c r="AK2034" s="1" t="s">
        <v>1152</v>
      </c>
      <c r="AL2034" s="6" t="str">
        <f t="array" ref="AL2034">IFERROR(IFS(XLOOKUP(B2034, 'Kit Delivery Status'!$U:$U, 'Kit Delivery Status'!$K:$K) = "Complete", "DELIVERED", XLOOKUP(B2034, 'Kit Delivery Status'!$U:$U, 'Kit Delivery Status'!$K:$K) = "Issue", "ISSUE"), "")</f>
        <v/>
      </c>
      <c r="AM2034" s="6"/>
    </row>
    <row r="2035">
      <c r="A2035" s="5" t="s">
        <v>9873</v>
      </c>
      <c r="B2035" s="1" t="s">
        <v>9874</v>
      </c>
      <c r="C2035" s="1"/>
      <c r="D2035" s="2">
        <v>3.016516144E9</v>
      </c>
      <c r="E2035" s="1" t="s">
        <v>9875</v>
      </c>
      <c r="F2035" s="1"/>
      <c r="G2035" s="1" t="s">
        <v>1299</v>
      </c>
      <c r="H2035" s="1" t="s">
        <v>1005</v>
      </c>
      <c r="I2035" s="1">
        <v>20814.0</v>
      </c>
      <c r="J2035" s="1" t="s">
        <v>752</v>
      </c>
      <c r="K2035" s="1" t="s">
        <v>42</v>
      </c>
      <c r="L2035" s="1" t="s">
        <v>7863</v>
      </c>
      <c r="M2035" s="1">
        <v>79.0</v>
      </c>
      <c r="N2035" s="1" t="s">
        <v>1152</v>
      </c>
      <c r="O2035" s="3" t="s">
        <v>9876</v>
      </c>
      <c r="P2035" s="1" t="s">
        <v>1152</v>
      </c>
      <c r="Q2035" s="1" t="s">
        <v>1152</v>
      </c>
      <c r="R2035" s="1"/>
      <c r="S2035" s="1"/>
      <c r="T2035" s="1" t="s">
        <v>1152</v>
      </c>
      <c r="U2035" s="1" t="s">
        <v>1080</v>
      </c>
      <c r="V2035" s="4" t="s">
        <v>9876</v>
      </c>
      <c r="W2035" s="1"/>
      <c r="X2035" s="1" t="s">
        <v>1152</v>
      </c>
      <c r="Y2035" s="1" t="s">
        <v>1152</v>
      </c>
      <c r="Z2035" s="1"/>
      <c r="AA2035" s="1"/>
      <c r="AB2035" s="1"/>
      <c r="AC2035" s="1" t="s">
        <v>1925</v>
      </c>
      <c r="AD2035" s="1"/>
      <c r="AE2035" s="18">
        <v>46148.0</v>
      </c>
      <c r="AF2035" s="1" t="s">
        <v>1030</v>
      </c>
      <c r="AG2035" s="1" t="s">
        <v>52</v>
      </c>
      <c r="AH2035" s="1" t="s">
        <v>1152</v>
      </c>
      <c r="AI2035" s="1"/>
      <c r="AJ2035" s="1" t="s">
        <v>9877</v>
      </c>
      <c r="AK2035" s="1" t="s">
        <v>1152</v>
      </c>
      <c r="AL2035" s="6" t="str">
        <f t="array" ref="AL2035">IFERROR(IFS(XLOOKUP(B2035, 'Kit Delivery Status'!$U:$U, 'Kit Delivery Status'!$K:$K) = "Complete", "DELIVERED", XLOOKUP(B2035, 'Kit Delivery Status'!$U:$U, 'Kit Delivery Status'!$K:$K) = "Issue", "ISSUE"), "")</f>
        <v/>
      </c>
      <c r="AM2035" s="6"/>
    </row>
    <row r="2036">
      <c r="A2036" s="5" t="s">
        <v>9878</v>
      </c>
      <c r="B2036" s="1" t="s">
        <v>9879</v>
      </c>
      <c r="C2036" s="1"/>
      <c r="D2036" s="2">
        <v>9.179212278E9</v>
      </c>
      <c r="E2036" s="1" t="s">
        <v>9880</v>
      </c>
      <c r="F2036" s="1"/>
      <c r="G2036" s="1" t="s">
        <v>751</v>
      </c>
      <c r="H2036" s="1" t="s">
        <v>751</v>
      </c>
      <c r="I2036" s="1">
        <v>10065.0</v>
      </c>
      <c r="J2036" s="1" t="s">
        <v>752</v>
      </c>
      <c r="K2036" s="1" t="s">
        <v>42</v>
      </c>
      <c r="L2036" s="1" t="s">
        <v>6819</v>
      </c>
      <c r="M2036" s="1">
        <v>49.0</v>
      </c>
      <c r="N2036" s="1" t="s">
        <v>1152</v>
      </c>
      <c r="O2036" s="3" t="s">
        <v>9881</v>
      </c>
      <c r="P2036" s="1" t="s">
        <v>1152</v>
      </c>
      <c r="Q2036" s="1" t="s">
        <v>1152</v>
      </c>
      <c r="R2036" s="1"/>
      <c r="S2036" s="1"/>
      <c r="T2036" s="1" t="s">
        <v>1152</v>
      </c>
      <c r="U2036" s="1" t="s">
        <v>982</v>
      </c>
      <c r="V2036" s="4" t="s">
        <v>9881</v>
      </c>
      <c r="W2036" s="1"/>
      <c r="X2036" s="1" t="s">
        <v>1152</v>
      </c>
      <c r="Y2036" s="1" t="s">
        <v>1152</v>
      </c>
      <c r="Z2036" s="1"/>
      <c r="AA2036" s="1"/>
      <c r="AB2036" s="1"/>
      <c r="AC2036" s="1" t="s">
        <v>1925</v>
      </c>
      <c r="AD2036" s="1"/>
      <c r="AE2036" s="18">
        <v>46149.0</v>
      </c>
      <c r="AF2036" s="1" t="s">
        <v>1349</v>
      </c>
      <c r="AG2036" s="1" t="s">
        <v>52</v>
      </c>
      <c r="AH2036" s="1" t="s">
        <v>1152</v>
      </c>
      <c r="AI2036" s="41" t="s">
        <v>9882</v>
      </c>
      <c r="AJ2036" s="1" t="s">
        <v>444</v>
      </c>
      <c r="AK2036" s="1" t="s">
        <v>1152</v>
      </c>
      <c r="AL2036" s="6" t="str">
        <f t="array" ref="AL2036">IFERROR(IFS(XLOOKUP(B2036, 'Kit Delivery Status'!$U:$U, 'Kit Delivery Status'!$K:$K) = "Complete", "DELIVERED", XLOOKUP(B2036, 'Kit Delivery Status'!$U:$U, 'Kit Delivery Status'!$K:$K) = "Issue", "ISSUE"), "")</f>
        <v/>
      </c>
      <c r="AM2036" s="6"/>
    </row>
    <row r="2037">
      <c r="A2037" s="5" t="s">
        <v>9883</v>
      </c>
      <c r="B2037" s="1" t="s">
        <v>9884</v>
      </c>
      <c r="C2037" s="1"/>
      <c r="D2037" s="2">
        <v>4.156524942E9</v>
      </c>
      <c r="E2037" s="1" t="s">
        <v>3815</v>
      </c>
      <c r="F2037" s="1"/>
      <c r="G2037" s="1" t="s">
        <v>1562</v>
      </c>
      <c r="H2037" s="1" t="s">
        <v>989</v>
      </c>
      <c r="I2037" s="1">
        <v>94110.0</v>
      </c>
      <c r="J2037" s="1" t="s">
        <v>752</v>
      </c>
      <c r="K2037" s="1" t="s">
        <v>2131</v>
      </c>
      <c r="L2037" s="1" t="s">
        <v>5811</v>
      </c>
      <c r="M2037" s="1">
        <v>1.0</v>
      </c>
      <c r="N2037" s="1" t="s">
        <v>1152</v>
      </c>
      <c r="O2037" s="3" t="s">
        <v>2008</v>
      </c>
      <c r="P2037" s="1" t="s">
        <v>1152</v>
      </c>
      <c r="Q2037" s="1" t="s">
        <v>1152</v>
      </c>
      <c r="R2037" s="1"/>
      <c r="S2037" s="1"/>
      <c r="T2037" s="1" t="s">
        <v>1152</v>
      </c>
      <c r="U2037" s="1" t="s">
        <v>1794</v>
      </c>
      <c r="V2037" s="4" t="s">
        <v>2008</v>
      </c>
      <c r="W2037" s="1"/>
      <c r="X2037" s="1" t="s">
        <v>1152</v>
      </c>
      <c r="Y2037" s="1" t="s">
        <v>1152</v>
      </c>
      <c r="Z2037" s="1"/>
      <c r="AA2037" s="1"/>
      <c r="AB2037" s="1"/>
      <c r="AC2037" s="1" t="s">
        <v>1925</v>
      </c>
      <c r="AD2037" s="1"/>
      <c r="AE2037" s="18">
        <v>46161.0</v>
      </c>
      <c r="AF2037" s="1"/>
      <c r="AG2037" s="1"/>
      <c r="AH2037" s="1" t="s">
        <v>1152</v>
      </c>
      <c r="AI2037" s="1"/>
      <c r="AJ2037" s="1" t="s">
        <v>3815</v>
      </c>
      <c r="AK2037" s="1" t="s">
        <v>1152</v>
      </c>
      <c r="AL2037" s="6" t="str">
        <f t="array" ref="AL2037">IFERROR(IFS(XLOOKUP(B2037, 'Kit Delivery Status'!$U:$U, 'Kit Delivery Status'!$K:$K) = "Complete", "DELIVERED", XLOOKUP(B2037, 'Kit Delivery Status'!$U:$U, 'Kit Delivery Status'!$K:$K) = "Issue", "ISSUE"), "")</f>
        <v/>
      </c>
      <c r="AM2037" s="6"/>
    </row>
    <row r="2038">
      <c r="A2038" s="5" t="s">
        <v>9885</v>
      </c>
      <c r="B2038" s="1" t="s">
        <v>9886</v>
      </c>
      <c r="C2038" s="1" t="s">
        <v>677</v>
      </c>
      <c r="D2038" s="2">
        <v>3.015298187E9</v>
      </c>
      <c r="E2038" s="1" t="s">
        <v>9887</v>
      </c>
      <c r="F2038" s="1"/>
      <c r="G2038" s="1" t="s">
        <v>5431</v>
      </c>
      <c r="H2038" s="1" t="s">
        <v>1005</v>
      </c>
      <c r="I2038" s="1">
        <v>20854.0</v>
      </c>
      <c r="J2038" s="1" t="s">
        <v>752</v>
      </c>
      <c r="K2038" s="1" t="s">
        <v>42</v>
      </c>
      <c r="L2038" s="1" t="s">
        <v>7863</v>
      </c>
      <c r="M2038" s="1">
        <v>79.0</v>
      </c>
      <c r="N2038" s="1" t="s">
        <v>1152</v>
      </c>
      <c r="O2038" s="3" t="s">
        <v>9888</v>
      </c>
      <c r="P2038" s="1" t="s">
        <v>1152</v>
      </c>
      <c r="Q2038" s="1" t="s">
        <v>1152</v>
      </c>
      <c r="R2038" s="1"/>
      <c r="S2038" s="1"/>
      <c r="T2038" s="1" t="s">
        <v>1152</v>
      </c>
      <c r="U2038" s="1" t="s">
        <v>1812</v>
      </c>
      <c r="V2038" s="4" t="s">
        <v>9888</v>
      </c>
      <c r="W2038" s="1"/>
      <c r="X2038" s="1" t="s">
        <v>1152</v>
      </c>
      <c r="Y2038" s="1" t="s">
        <v>1152</v>
      </c>
      <c r="Z2038" s="1"/>
      <c r="AA2038" s="1"/>
      <c r="AB2038" s="1"/>
      <c r="AC2038" s="1" t="s">
        <v>1925</v>
      </c>
      <c r="AD2038" s="1"/>
      <c r="AE2038" s="18">
        <v>46146.0</v>
      </c>
      <c r="AF2038" s="1" t="s">
        <v>1030</v>
      </c>
      <c r="AG2038" s="1" t="s">
        <v>52</v>
      </c>
      <c r="AH2038" s="1" t="s">
        <v>1152</v>
      </c>
      <c r="AI2038" s="1"/>
      <c r="AJ2038" s="1" t="s">
        <v>678</v>
      </c>
      <c r="AK2038" s="1" t="s">
        <v>1152</v>
      </c>
      <c r="AL2038" s="6" t="str">
        <f t="array" ref="AL2038">IFERROR(IFS(XLOOKUP(B2038, 'Kit Delivery Status'!$U:$U, 'Kit Delivery Status'!$K:$K) = "Complete", "DELIVERED", XLOOKUP(B2038, 'Kit Delivery Status'!$U:$U, 'Kit Delivery Status'!$K:$K) = "Issue", "ISSUE"), "")</f>
        <v/>
      </c>
      <c r="AM2038" s="6"/>
    </row>
    <row r="2039">
      <c r="A2039" s="5" t="s">
        <v>9889</v>
      </c>
      <c r="B2039" s="1" t="s">
        <v>9890</v>
      </c>
      <c r="C2039" s="1" t="s">
        <v>4967</v>
      </c>
      <c r="D2039" s="2">
        <v>9.145259746E9</v>
      </c>
      <c r="E2039" s="1" t="s">
        <v>9891</v>
      </c>
      <c r="F2039" s="1"/>
      <c r="G2039" s="1" t="s">
        <v>1131</v>
      </c>
      <c r="H2039" s="1" t="s">
        <v>751</v>
      </c>
      <c r="I2039" s="1">
        <v>10538.0</v>
      </c>
      <c r="J2039" s="1" t="s">
        <v>752</v>
      </c>
      <c r="K2039" s="1" t="s">
        <v>2131</v>
      </c>
      <c r="L2039" s="1" t="s">
        <v>5736</v>
      </c>
      <c r="M2039" s="1">
        <v>1.0</v>
      </c>
      <c r="N2039" s="1" t="s">
        <v>1152</v>
      </c>
      <c r="O2039" s="3" t="s">
        <v>9892</v>
      </c>
      <c r="P2039" s="1" t="s">
        <v>1152</v>
      </c>
      <c r="Q2039" s="1" t="s">
        <v>1152</v>
      </c>
      <c r="R2039" s="1"/>
      <c r="S2039" s="1"/>
      <c r="T2039" s="1" t="s">
        <v>1152</v>
      </c>
      <c r="U2039" s="1" t="s">
        <v>1812</v>
      </c>
      <c r="V2039" s="4" t="s">
        <v>9892</v>
      </c>
      <c r="W2039" s="1"/>
      <c r="X2039" s="1" t="s">
        <v>1152</v>
      </c>
      <c r="Y2039" s="1" t="s">
        <v>1152</v>
      </c>
      <c r="Z2039" s="1"/>
      <c r="AA2039" s="1"/>
      <c r="AB2039" s="1"/>
      <c r="AC2039" s="1" t="s">
        <v>1925</v>
      </c>
      <c r="AD2039" s="1"/>
      <c r="AE2039" s="18">
        <v>46141.0</v>
      </c>
      <c r="AF2039" s="1"/>
      <c r="AG2039" s="1"/>
      <c r="AH2039" s="1" t="s">
        <v>1152</v>
      </c>
      <c r="AI2039" s="1"/>
      <c r="AJ2039" s="1" t="s">
        <v>4968</v>
      </c>
      <c r="AK2039" s="1" t="s">
        <v>1152</v>
      </c>
      <c r="AL2039" s="6" t="str">
        <f t="array" ref="AL2039">IFERROR(IFS(XLOOKUP(B2039, 'Kit Delivery Status'!$U:$U, 'Kit Delivery Status'!$K:$K) = "Complete", "DELIVERED", XLOOKUP(B2039, 'Kit Delivery Status'!$U:$U, 'Kit Delivery Status'!$K:$K) = "Issue", "ISSUE"), "")</f>
        <v/>
      </c>
      <c r="AM2039" s="6"/>
    </row>
    <row r="2040">
      <c r="A2040" s="5" t="s">
        <v>9889</v>
      </c>
      <c r="B2040" s="1" t="s">
        <v>9890</v>
      </c>
      <c r="C2040" s="1" t="s">
        <v>4967</v>
      </c>
      <c r="D2040" s="2">
        <v>9.145259746E9</v>
      </c>
      <c r="E2040" s="1" t="s">
        <v>9891</v>
      </c>
      <c r="F2040" s="1"/>
      <c r="G2040" s="1" t="s">
        <v>1131</v>
      </c>
      <c r="H2040" s="1" t="s">
        <v>751</v>
      </c>
      <c r="I2040" s="1">
        <v>10538.0</v>
      </c>
      <c r="J2040" s="1" t="s">
        <v>752</v>
      </c>
      <c r="K2040" s="1" t="s">
        <v>892</v>
      </c>
      <c r="L2040" s="1" t="s">
        <v>8006</v>
      </c>
      <c r="M2040" s="1">
        <v>49.0</v>
      </c>
      <c r="N2040" s="1" t="s">
        <v>1152</v>
      </c>
      <c r="O2040" s="3" t="s">
        <v>9892</v>
      </c>
      <c r="P2040" s="1" t="s">
        <v>1152</v>
      </c>
      <c r="Q2040" s="1" t="s">
        <v>1152</v>
      </c>
      <c r="R2040" s="1"/>
      <c r="S2040" s="1"/>
      <c r="T2040" s="1" t="s">
        <v>1152</v>
      </c>
      <c r="U2040" s="1" t="s">
        <v>1812</v>
      </c>
      <c r="V2040" s="4" t="s">
        <v>9892</v>
      </c>
      <c r="W2040" s="1"/>
      <c r="X2040" s="1" t="s">
        <v>1152</v>
      </c>
      <c r="Y2040" s="1" t="s">
        <v>1152</v>
      </c>
      <c r="Z2040" s="1"/>
      <c r="AA2040" s="1"/>
      <c r="AB2040" s="1"/>
      <c r="AC2040" s="1" t="s">
        <v>1925</v>
      </c>
      <c r="AD2040" s="1"/>
      <c r="AE2040" s="18">
        <v>46141.0</v>
      </c>
      <c r="AF2040" s="1" t="s">
        <v>1103</v>
      </c>
      <c r="AG2040" s="1" t="s">
        <v>52</v>
      </c>
      <c r="AH2040" s="1" t="s">
        <v>9893</v>
      </c>
      <c r="AI2040" s="1"/>
      <c r="AJ2040" s="1" t="s">
        <v>4968</v>
      </c>
      <c r="AK2040" s="1" t="s">
        <v>1152</v>
      </c>
      <c r="AL2040" s="6" t="str">
        <f t="array" ref="AL2040">IFERROR(IFS(XLOOKUP(B2040, 'Kit Delivery Status'!$U:$U, 'Kit Delivery Status'!$K:$K) = "Complete", "DELIVERED", XLOOKUP(B2040, 'Kit Delivery Status'!$U:$U, 'Kit Delivery Status'!$K:$K) = "Issue", "ISSUE"), "")</f>
        <v/>
      </c>
      <c r="AM2040" s="6"/>
    </row>
    <row r="2041">
      <c r="A2041" s="5" t="s">
        <v>9889</v>
      </c>
      <c r="B2041" s="1" t="s">
        <v>9890</v>
      </c>
      <c r="C2041" s="1" t="s">
        <v>4967</v>
      </c>
      <c r="D2041" s="2">
        <v>9.145259746E9</v>
      </c>
      <c r="E2041" s="1" t="s">
        <v>9891</v>
      </c>
      <c r="F2041" s="1"/>
      <c r="G2041" s="1" t="s">
        <v>1131</v>
      </c>
      <c r="H2041" s="1" t="s">
        <v>751</v>
      </c>
      <c r="I2041" s="1">
        <v>10538.0</v>
      </c>
      <c r="J2041" s="1" t="s">
        <v>752</v>
      </c>
      <c r="K2041" s="1" t="s">
        <v>42</v>
      </c>
      <c r="L2041" s="1" t="s">
        <v>6819</v>
      </c>
      <c r="M2041" s="1">
        <v>49.0</v>
      </c>
      <c r="N2041" s="1" t="s">
        <v>1152</v>
      </c>
      <c r="O2041" s="3" t="s">
        <v>9892</v>
      </c>
      <c r="P2041" s="1" t="s">
        <v>1152</v>
      </c>
      <c r="Q2041" s="1" t="s">
        <v>1152</v>
      </c>
      <c r="R2041" s="1"/>
      <c r="S2041" s="1"/>
      <c r="T2041" s="1" t="s">
        <v>1152</v>
      </c>
      <c r="U2041" s="1" t="s">
        <v>1812</v>
      </c>
      <c r="V2041" s="4" t="s">
        <v>9892</v>
      </c>
      <c r="W2041" s="1"/>
      <c r="X2041" s="1" t="s">
        <v>1152</v>
      </c>
      <c r="Y2041" s="1" t="s">
        <v>1152</v>
      </c>
      <c r="Z2041" s="1"/>
      <c r="AA2041" s="1"/>
      <c r="AB2041" s="1"/>
      <c r="AC2041" s="1" t="s">
        <v>1925</v>
      </c>
      <c r="AD2041" s="1"/>
      <c r="AE2041" s="18">
        <v>46141.0</v>
      </c>
      <c r="AF2041" s="1" t="s">
        <v>1030</v>
      </c>
      <c r="AG2041" s="1" t="s">
        <v>52</v>
      </c>
      <c r="AH2041" s="1" t="s">
        <v>1152</v>
      </c>
      <c r="AI2041" s="1" t="s">
        <v>9894</v>
      </c>
      <c r="AJ2041" s="1" t="s">
        <v>4968</v>
      </c>
      <c r="AK2041" s="1" t="s">
        <v>1152</v>
      </c>
      <c r="AL2041" s="6" t="str">
        <f t="array" ref="AL2041">IFERROR(IFS(XLOOKUP(B2041, 'Kit Delivery Status'!$U:$U, 'Kit Delivery Status'!$K:$K) = "Complete", "DELIVERED", XLOOKUP(B2041, 'Kit Delivery Status'!$U:$U, 'Kit Delivery Status'!$K:$K) = "Issue", "ISSUE"), "")</f>
        <v/>
      </c>
      <c r="AM2041" s="6"/>
    </row>
    <row r="2042">
      <c r="A2042" s="5" t="s">
        <v>9895</v>
      </c>
      <c r="B2042" s="1" t="s">
        <v>9896</v>
      </c>
      <c r="C2042" s="1" t="s">
        <v>9897</v>
      </c>
      <c r="D2042" s="2">
        <v>9.17609601E9</v>
      </c>
      <c r="E2042" s="1" t="s">
        <v>9898</v>
      </c>
      <c r="F2042" s="1"/>
      <c r="G2042" s="1" t="s">
        <v>1684</v>
      </c>
      <c r="H2042" s="1" t="s">
        <v>751</v>
      </c>
      <c r="I2042" s="1">
        <v>11218.0</v>
      </c>
      <c r="J2042" s="1" t="s">
        <v>752</v>
      </c>
      <c r="K2042" s="1" t="s">
        <v>42</v>
      </c>
      <c r="L2042" s="1" t="s">
        <v>6819</v>
      </c>
      <c r="M2042" s="1">
        <v>49.0</v>
      </c>
      <c r="N2042" s="1" t="s">
        <v>1152</v>
      </c>
      <c r="O2042" s="3" t="s">
        <v>2313</v>
      </c>
      <c r="P2042" s="1" t="s">
        <v>1152</v>
      </c>
      <c r="Q2042" s="1" t="s">
        <v>1152</v>
      </c>
      <c r="R2042" s="1"/>
      <c r="S2042" s="1"/>
      <c r="T2042" s="1" t="s">
        <v>1152</v>
      </c>
      <c r="U2042" s="1" t="s">
        <v>1065</v>
      </c>
      <c r="V2042" s="4" t="s">
        <v>2313</v>
      </c>
      <c r="W2042" s="1"/>
      <c r="X2042" s="1" t="s">
        <v>1152</v>
      </c>
      <c r="Y2042" s="1" t="s">
        <v>1152</v>
      </c>
      <c r="Z2042" s="1"/>
      <c r="AA2042" s="1"/>
      <c r="AB2042" s="1"/>
      <c r="AC2042" s="1" t="s">
        <v>1925</v>
      </c>
      <c r="AD2042" s="1"/>
      <c r="AE2042" s="18">
        <v>46147.0</v>
      </c>
      <c r="AF2042" s="1" t="s">
        <v>1349</v>
      </c>
      <c r="AG2042" s="1" t="s">
        <v>52</v>
      </c>
      <c r="AH2042" s="1" t="s">
        <v>1152</v>
      </c>
      <c r="AI2042" s="1"/>
      <c r="AJ2042" s="1" t="s">
        <v>2312</v>
      </c>
      <c r="AK2042" s="1" t="s">
        <v>1152</v>
      </c>
      <c r="AL2042" s="6" t="str">
        <f t="array" ref="AL2042">IFERROR(IFS(XLOOKUP(B2042, 'Kit Delivery Status'!$U:$U, 'Kit Delivery Status'!$K:$K) = "Complete", "DELIVERED", XLOOKUP(B2042, 'Kit Delivery Status'!$U:$U, 'Kit Delivery Status'!$K:$K) = "Issue", "ISSUE"), "")</f>
        <v/>
      </c>
      <c r="AM2042" s="6"/>
    </row>
    <row r="2043">
      <c r="A2043" s="5" t="s">
        <v>9899</v>
      </c>
      <c r="B2043" s="1" t="s">
        <v>9900</v>
      </c>
      <c r="C2043" s="1" t="s">
        <v>9901</v>
      </c>
      <c r="D2043" s="2">
        <v>3.146654598E9</v>
      </c>
      <c r="E2043" s="1" t="s">
        <v>9902</v>
      </c>
      <c r="F2043" s="1"/>
      <c r="G2043" s="1" t="s">
        <v>2350</v>
      </c>
      <c r="H2043" s="1" t="s">
        <v>1155</v>
      </c>
      <c r="I2043" s="1">
        <v>63105.0</v>
      </c>
      <c r="J2043" s="1" t="s">
        <v>752</v>
      </c>
      <c r="K2043" s="1" t="s">
        <v>42</v>
      </c>
      <c r="L2043" s="1" t="s">
        <v>6819</v>
      </c>
      <c r="M2043" s="1">
        <v>49.0</v>
      </c>
      <c r="N2043" s="1" t="s">
        <v>1152</v>
      </c>
      <c r="O2043" s="3" t="s">
        <v>168</v>
      </c>
      <c r="P2043" s="1" t="s">
        <v>1152</v>
      </c>
      <c r="Q2043" s="1" t="s">
        <v>1152</v>
      </c>
      <c r="R2043" s="1"/>
      <c r="S2043" s="1"/>
      <c r="T2043" s="1" t="s">
        <v>1152</v>
      </c>
      <c r="U2043" s="1" t="s">
        <v>1148</v>
      </c>
      <c r="V2043" s="4" t="s">
        <v>168</v>
      </c>
      <c r="W2043" s="1"/>
      <c r="X2043" s="1" t="s">
        <v>1152</v>
      </c>
      <c r="Y2043" s="1" t="s">
        <v>1152</v>
      </c>
      <c r="Z2043" s="1"/>
      <c r="AA2043" s="1"/>
      <c r="AB2043" s="1"/>
      <c r="AC2043" s="1" t="s">
        <v>1925</v>
      </c>
      <c r="AD2043" s="1"/>
      <c r="AE2043" s="18">
        <v>46144.0</v>
      </c>
      <c r="AF2043" s="1" t="s">
        <v>1440</v>
      </c>
      <c r="AG2043" s="1" t="s">
        <v>52</v>
      </c>
      <c r="AH2043" s="1" t="s">
        <v>1152</v>
      </c>
      <c r="AI2043" s="1"/>
      <c r="AJ2043" s="1" t="s">
        <v>9902</v>
      </c>
      <c r="AK2043" s="1" t="s">
        <v>1152</v>
      </c>
      <c r="AL2043" s="6" t="str">
        <f t="array" ref="AL2043">IFERROR(IFS(XLOOKUP(B2043, 'Kit Delivery Status'!$U:$U, 'Kit Delivery Status'!$K:$K) = "Complete", "DELIVERED", XLOOKUP(B2043, 'Kit Delivery Status'!$U:$U, 'Kit Delivery Status'!$K:$K) = "Issue", "ISSUE"), "")</f>
        <v/>
      </c>
      <c r="AM2043" s="6"/>
    </row>
    <row r="2044">
      <c r="A2044" s="5" t="s">
        <v>9903</v>
      </c>
      <c r="B2044" s="1" t="s">
        <v>9904</v>
      </c>
      <c r="C2044" s="1"/>
      <c r="D2044" s="2">
        <v>9.12730456E9</v>
      </c>
      <c r="E2044" s="1" t="s">
        <v>9905</v>
      </c>
      <c r="F2044" s="1"/>
      <c r="G2044" s="1" t="s">
        <v>2350</v>
      </c>
      <c r="H2044" s="1" t="s">
        <v>1155</v>
      </c>
      <c r="I2044" s="1">
        <v>63105.0</v>
      </c>
      <c r="J2044" s="1" t="s">
        <v>752</v>
      </c>
      <c r="K2044" s="1" t="s">
        <v>42</v>
      </c>
      <c r="L2044" s="1" t="s">
        <v>6819</v>
      </c>
      <c r="M2044" s="1">
        <v>49.0</v>
      </c>
      <c r="N2044" s="1" t="s">
        <v>1152</v>
      </c>
      <c r="O2044" s="3" t="s">
        <v>1930</v>
      </c>
      <c r="P2044" s="1" t="s">
        <v>1152</v>
      </c>
      <c r="Q2044" s="1" t="s">
        <v>1152</v>
      </c>
      <c r="R2044" s="1"/>
      <c r="S2044" s="1"/>
      <c r="T2044" s="1" t="s">
        <v>1152</v>
      </c>
      <c r="U2044" s="1" t="s">
        <v>1133</v>
      </c>
      <c r="V2044" s="4" t="s">
        <v>1930</v>
      </c>
      <c r="W2044" s="1"/>
      <c r="X2044" s="1" t="s">
        <v>1152</v>
      </c>
      <c r="Y2044" s="1" t="s">
        <v>1152</v>
      </c>
      <c r="Z2044" s="1"/>
      <c r="AA2044" s="1"/>
      <c r="AB2044" s="1"/>
      <c r="AC2044" s="1" t="s">
        <v>1925</v>
      </c>
      <c r="AD2044" s="1"/>
      <c r="AE2044" s="18">
        <v>46147.0</v>
      </c>
      <c r="AF2044" s="1" t="s">
        <v>1630</v>
      </c>
      <c r="AG2044" s="1" t="s">
        <v>52</v>
      </c>
      <c r="AH2044" s="1" t="s">
        <v>1152</v>
      </c>
      <c r="AI2044" s="1"/>
      <c r="AJ2044" s="1" t="s">
        <v>9905</v>
      </c>
      <c r="AK2044" s="1" t="s">
        <v>1152</v>
      </c>
      <c r="AL2044" s="6" t="str">
        <f t="array" ref="AL2044">IFERROR(IFS(XLOOKUP(B2044, 'Kit Delivery Status'!$U:$U, 'Kit Delivery Status'!$K:$K) = "Complete", "DELIVERED", XLOOKUP(B2044, 'Kit Delivery Status'!$U:$U, 'Kit Delivery Status'!$K:$K) = "Issue", "ISSUE"), "")</f>
        <v/>
      </c>
      <c r="AM2044" s="6"/>
    </row>
    <row r="2045">
      <c r="A2045" s="5" t="s">
        <v>9906</v>
      </c>
      <c r="B2045" s="1" t="s">
        <v>9907</v>
      </c>
      <c r="C2045" s="1"/>
      <c r="D2045" s="2">
        <v>9.175583799E9</v>
      </c>
      <c r="E2045" s="1" t="s">
        <v>9908</v>
      </c>
      <c r="F2045" s="1"/>
      <c r="G2045" s="1" t="s">
        <v>9909</v>
      </c>
      <c r="H2045" s="1" t="s">
        <v>1053</v>
      </c>
      <c r="I2045" s="1">
        <v>7458.0</v>
      </c>
      <c r="J2045" s="1" t="s">
        <v>752</v>
      </c>
      <c r="K2045" s="1" t="s">
        <v>42</v>
      </c>
      <c r="L2045" s="1" t="s">
        <v>6819</v>
      </c>
      <c r="M2045" s="1">
        <v>49.0</v>
      </c>
      <c r="N2045" s="1" t="s">
        <v>1152</v>
      </c>
      <c r="O2045" s="3" t="s">
        <v>6849</v>
      </c>
      <c r="P2045" s="1" t="s">
        <v>1152</v>
      </c>
      <c r="Q2045" s="1" t="s">
        <v>1152</v>
      </c>
      <c r="R2045" s="1"/>
      <c r="S2045" s="1"/>
      <c r="T2045" s="1" t="s">
        <v>1152</v>
      </c>
      <c r="U2045" s="1" t="s">
        <v>1039</v>
      </c>
      <c r="V2045" s="4" t="s">
        <v>6849</v>
      </c>
      <c r="W2045" s="1"/>
      <c r="X2045" s="1" t="s">
        <v>1152</v>
      </c>
      <c r="Y2045" s="1" t="s">
        <v>1152</v>
      </c>
      <c r="Z2045" s="1"/>
      <c r="AA2045" s="1"/>
      <c r="AB2045" s="1"/>
      <c r="AC2045" s="1" t="s">
        <v>1925</v>
      </c>
      <c r="AD2045" s="1"/>
      <c r="AE2045" s="18">
        <v>46146.0</v>
      </c>
      <c r="AF2045" s="1" t="s">
        <v>1103</v>
      </c>
      <c r="AG2045" s="1" t="s">
        <v>52</v>
      </c>
      <c r="AH2045" s="1" t="s">
        <v>1152</v>
      </c>
      <c r="AI2045" s="1"/>
      <c r="AJ2045" s="1" t="s">
        <v>9910</v>
      </c>
      <c r="AK2045" s="1" t="s">
        <v>1152</v>
      </c>
      <c r="AL2045" s="6" t="str">
        <f t="array" ref="AL2045">IFERROR(IFS(XLOOKUP(B2045, 'Kit Delivery Status'!$U:$U, 'Kit Delivery Status'!$K:$K) = "Complete", "DELIVERED", XLOOKUP(B2045, 'Kit Delivery Status'!$U:$U, 'Kit Delivery Status'!$K:$K) = "Issue", "ISSUE"), "")</f>
        <v/>
      </c>
      <c r="AM2045" s="6"/>
    </row>
    <row r="2046">
      <c r="A2046" s="5" t="s">
        <v>9911</v>
      </c>
      <c r="B2046" s="1" t="s">
        <v>9912</v>
      </c>
      <c r="C2046" s="1" t="s">
        <v>9913</v>
      </c>
      <c r="D2046" s="2">
        <v>3.143911462E9</v>
      </c>
      <c r="E2046" s="1" t="s">
        <v>7026</v>
      </c>
      <c r="F2046" s="1"/>
      <c r="G2046" s="1" t="s">
        <v>1283</v>
      </c>
      <c r="H2046" s="1" t="s">
        <v>1155</v>
      </c>
      <c r="I2046" s="1">
        <v>63105.0</v>
      </c>
      <c r="J2046" s="1" t="s">
        <v>752</v>
      </c>
      <c r="K2046" s="1" t="s">
        <v>2131</v>
      </c>
      <c r="L2046" s="1" t="s">
        <v>5811</v>
      </c>
      <c r="M2046" s="1">
        <v>1.0</v>
      </c>
      <c r="N2046" s="1" t="s">
        <v>1152</v>
      </c>
      <c r="O2046" s="3" t="s">
        <v>7025</v>
      </c>
      <c r="P2046" s="1" t="s">
        <v>1152</v>
      </c>
      <c r="Q2046" s="1" t="s">
        <v>1152</v>
      </c>
      <c r="R2046" s="1"/>
      <c r="S2046" s="1"/>
      <c r="T2046" s="1" t="s">
        <v>1152</v>
      </c>
      <c r="U2046" s="1" t="s">
        <v>1133</v>
      </c>
      <c r="V2046" s="4" t="s">
        <v>7025</v>
      </c>
      <c r="W2046" s="1"/>
      <c r="X2046" s="1" t="s">
        <v>1152</v>
      </c>
      <c r="Y2046" s="1" t="s">
        <v>1152</v>
      </c>
      <c r="Z2046" s="1"/>
      <c r="AA2046" s="1"/>
      <c r="AB2046" s="1"/>
      <c r="AC2046" s="1" t="s">
        <v>1925</v>
      </c>
      <c r="AD2046" s="1"/>
      <c r="AE2046" s="18">
        <v>46148.0</v>
      </c>
      <c r="AF2046" s="1"/>
      <c r="AG2046" s="1"/>
      <c r="AH2046" s="1" t="s">
        <v>1152</v>
      </c>
      <c r="AI2046" s="1"/>
      <c r="AJ2046" s="1" t="s">
        <v>7026</v>
      </c>
      <c r="AK2046" s="1" t="s">
        <v>1152</v>
      </c>
      <c r="AL2046" s="6" t="str">
        <f t="array" ref="AL2046">IFERROR(IFS(XLOOKUP(B2046, 'Kit Delivery Status'!$U:$U, 'Kit Delivery Status'!$K:$K) = "Complete", "DELIVERED", XLOOKUP(B2046, 'Kit Delivery Status'!$U:$U, 'Kit Delivery Status'!$K:$K) = "Issue", "ISSUE"), "")</f>
        <v/>
      </c>
      <c r="AM2046" s="6"/>
    </row>
    <row r="2047">
      <c r="A2047" s="5" t="s">
        <v>9914</v>
      </c>
      <c r="B2047" s="1" t="s">
        <v>9915</v>
      </c>
      <c r="C2047" s="1" t="s">
        <v>9913</v>
      </c>
      <c r="D2047" s="2">
        <v>3.143911462E9</v>
      </c>
      <c r="E2047" s="1" t="s">
        <v>7026</v>
      </c>
      <c r="F2047" s="1"/>
      <c r="G2047" s="1" t="s">
        <v>1283</v>
      </c>
      <c r="H2047" s="1" t="s">
        <v>1155</v>
      </c>
      <c r="I2047" s="1">
        <v>63105.0</v>
      </c>
      <c r="J2047" s="1" t="s">
        <v>752</v>
      </c>
      <c r="K2047" s="1" t="s">
        <v>42</v>
      </c>
      <c r="L2047" s="1" t="s">
        <v>6819</v>
      </c>
      <c r="M2047" s="1">
        <v>49.0</v>
      </c>
      <c r="N2047" s="1" t="s">
        <v>1152</v>
      </c>
      <c r="O2047" s="3" t="s">
        <v>7025</v>
      </c>
      <c r="P2047" s="1" t="s">
        <v>1152</v>
      </c>
      <c r="Q2047" s="1" t="s">
        <v>1152</v>
      </c>
      <c r="R2047" s="1"/>
      <c r="S2047" s="1"/>
      <c r="T2047" s="1" t="s">
        <v>1152</v>
      </c>
      <c r="U2047" s="1" t="s">
        <v>1133</v>
      </c>
      <c r="V2047" s="4" t="s">
        <v>7025</v>
      </c>
      <c r="W2047" s="1"/>
      <c r="X2047" s="1" t="s">
        <v>1152</v>
      </c>
      <c r="Y2047" s="1" t="s">
        <v>1152</v>
      </c>
      <c r="Z2047" s="1"/>
      <c r="AA2047" s="1"/>
      <c r="AB2047" s="1"/>
      <c r="AC2047" s="1" t="s">
        <v>1925</v>
      </c>
      <c r="AD2047" s="1"/>
      <c r="AE2047" s="18">
        <v>46149.0</v>
      </c>
      <c r="AF2047" s="1" t="s">
        <v>1030</v>
      </c>
      <c r="AG2047" s="1" t="s">
        <v>52</v>
      </c>
      <c r="AH2047" s="1" t="s">
        <v>1152</v>
      </c>
      <c r="AI2047" s="1"/>
      <c r="AJ2047" s="1" t="s">
        <v>7026</v>
      </c>
      <c r="AK2047" s="1" t="s">
        <v>1152</v>
      </c>
      <c r="AL2047" s="6" t="str">
        <f t="array" ref="AL2047">IFERROR(IFS(XLOOKUP(B2047, 'Kit Delivery Status'!$U:$U, 'Kit Delivery Status'!$K:$K) = "Complete", "DELIVERED", XLOOKUP(B2047, 'Kit Delivery Status'!$U:$U, 'Kit Delivery Status'!$K:$K) = "Issue", "ISSUE"), "")</f>
        <v/>
      </c>
      <c r="AM2047" s="6"/>
    </row>
    <row r="2048">
      <c r="A2048" s="5" t="s">
        <v>9916</v>
      </c>
      <c r="B2048" s="1" t="s">
        <v>9917</v>
      </c>
      <c r="C2048" s="1" t="s">
        <v>5918</v>
      </c>
      <c r="D2048" s="2">
        <v>3.142295158E9</v>
      </c>
      <c r="E2048" s="1" t="s">
        <v>9918</v>
      </c>
      <c r="F2048" s="1"/>
      <c r="G2048" s="1" t="s">
        <v>2350</v>
      </c>
      <c r="H2048" s="1" t="s">
        <v>1155</v>
      </c>
      <c r="I2048" s="1">
        <v>63105.0</v>
      </c>
      <c r="J2048" s="1" t="s">
        <v>752</v>
      </c>
      <c r="K2048" s="1" t="s">
        <v>42</v>
      </c>
      <c r="L2048" s="1" t="s">
        <v>6819</v>
      </c>
      <c r="M2048" s="1">
        <v>49.0</v>
      </c>
      <c r="N2048" s="1" t="s">
        <v>1152</v>
      </c>
      <c r="O2048" s="3" t="s">
        <v>3085</v>
      </c>
      <c r="P2048" s="1" t="s">
        <v>1152</v>
      </c>
      <c r="Q2048" s="1" t="s">
        <v>1152</v>
      </c>
      <c r="R2048" s="1"/>
      <c r="S2048" s="1"/>
      <c r="T2048" s="1" t="s">
        <v>1152</v>
      </c>
      <c r="U2048" s="1" t="s">
        <v>1407</v>
      </c>
      <c r="V2048" s="4" t="s">
        <v>3085</v>
      </c>
      <c r="W2048" s="1"/>
      <c r="X2048" s="1" t="s">
        <v>1152</v>
      </c>
      <c r="Y2048" s="1" t="s">
        <v>1152</v>
      </c>
      <c r="Z2048" s="1"/>
      <c r="AA2048" s="1"/>
      <c r="AB2048" s="1"/>
      <c r="AC2048" s="1" t="s">
        <v>1925</v>
      </c>
      <c r="AD2048" s="1"/>
      <c r="AE2048" s="18">
        <v>46149.0</v>
      </c>
      <c r="AF2048" s="1" t="s">
        <v>1030</v>
      </c>
      <c r="AG2048" s="1" t="s">
        <v>52</v>
      </c>
      <c r="AH2048" s="1" t="s">
        <v>1152</v>
      </c>
      <c r="AI2048" s="1"/>
      <c r="AJ2048" s="1" t="s">
        <v>9918</v>
      </c>
      <c r="AK2048" s="1" t="s">
        <v>1152</v>
      </c>
      <c r="AL2048" s="6" t="str">
        <f t="array" ref="AL2048">IFERROR(IFS(XLOOKUP(B2048, 'Kit Delivery Status'!$U:$U, 'Kit Delivery Status'!$K:$K) = "Complete", "DELIVERED", XLOOKUP(B2048, 'Kit Delivery Status'!$U:$U, 'Kit Delivery Status'!$K:$K) = "Issue", "ISSUE"), "")</f>
        <v/>
      </c>
      <c r="AM2048" s="6"/>
    </row>
    <row r="2049">
      <c r="A2049" s="5" t="s">
        <v>9919</v>
      </c>
      <c r="B2049" s="1" t="s">
        <v>9920</v>
      </c>
      <c r="C2049" s="1" t="s">
        <v>9921</v>
      </c>
      <c r="D2049" s="2">
        <v>9.729461383E9</v>
      </c>
      <c r="E2049" s="1" t="s">
        <v>9922</v>
      </c>
      <c r="F2049" s="1"/>
      <c r="G2049" s="1" t="s">
        <v>9923</v>
      </c>
      <c r="H2049" s="1" t="s">
        <v>1583</v>
      </c>
      <c r="I2049" s="1">
        <v>75043.0</v>
      </c>
      <c r="J2049" s="1" t="s">
        <v>752</v>
      </c>
      <c r="K2049" s="1" t="s">
        <v>42</v>
      </c>
      <c r="L2049" s="1" t="s">
        <v>6819</v>
      </c>
      <c r="M2049" s="1">
        <v>49.0</v>
      </c>
      <c r="N2049" s="1" t="s">
        <v>1152</v>
      </c>
      <c r="O2049" s="3" t="s">
        <v>3954</v>
      </c>
      <c r="P2049" s="1" t="s">
        <v>1152</v>
      </c>
      <c r="Q2049" s="1" t="s">
        <v>1152</v>
      </c>
      <c r="R2049" s="1"/>
      <c r="S2049" s="1"/>
      <c r="T2049" s="1" t="s">
        <v>1152</v>
      </c>
      <c r="U2049" s="1" t="s">
        <v>1487</v>
      </c>
      <c r="V2049" s="4" t="s">
        <v>3954</v>
      </c>
      <c r="W2049" s="1"/>
      <c r="X2049" s="1" t="s">
        <v>1152</v>
      </c>
      <c r="Y2049" s="1" t="s">
        <v>1152</v>
      </c>
      <c r="Z2049" s="1"/>
      <c r="AA2049" s="1"/>
      <c r="AB2049" s="1"/>
      <c r="AC2049" s="1" t="s">
        <v>1925</v>
      </c>
      <c r="AD2049" s="1"/>
      <c r="AE2049" s="18">
        <v>46147.0</v>
      </c>
      <c r="AF2049" s="1" t="s">
        <v>3186</v>
      </c>
      <c r="AG2049" s="1" t="s">
        <v>52</v>
      </c>
      <c r="AH2049" s="1" t="s">
        <v>1152</v>
      </c>
      <c r="AI2049" s="1"/>
      <c r="AJ2049" s="1" t="s">
        <v>9924</v>
      </c>
      <c r="AK2049" s="1" t="s">
        <v>1152</v>
      </c>
      <c r="AL2049" s="6" t="str">
        <f t="array" ref="AL2049">IFERROR(IFS(XLOOKUP(B2049, 'Kit Delivery Status'!$U:$U, 'Kit Delivery Status'!$K:$K) = "Complete", "DELIVERED", XLOOKUP(B2049, 'Kit Delivery Status'!$U:$U, 'Kit Delivery Status'!$K:$K) = "Issue", "ISSUE"), "")</f>
        <v/>
      </c>
      <c r="AM2049" s="6"/>
    </row>
    <row r="2050">
      <c r="A2050" s="5" t="s">
        <v>9925</v>
      </c>
      <c r="B2050" s="1" t="s">
        <v>9926</v>
      </c>
      <c r="C2050" s="1"/>
      <c r="D2050" s="2">
        <v>13235788317</v>
      </c>
      <c r="E2050" s="1" t="s">
        <v>9927</v>
      </c>
      <c r="F2050" s="1"/>
      <c r="G2050" s="1" t="s">
        <v>1179</v>
      </c>
      <c r="H2050" s="1" t="s">
        <v>989</v>
      </c>
      <c r="I2050" s="1">
        <v>90004.0</v>
      </c>
      <c r="J2050" s="1" t="s">
        <v>752</v>
      </c>
      <c r="K2050" s="1" t="s">
        <v>42</v>
      </c>
      <c r="L2050" s="1" t="s">
        <v>6819</v>
      </c>
      <c r="M2050" s="1">
        <v>49.0</v>
      </c>
      <c r="N2050" s="1" t="s">
        <v>1152</v>
      </c>
      <c r="O2050" s="3" t="s">
        <v>3481</v>
      </c>
      <c r="P2050" s="1" t="s">
        <v>1152</v>
      </c>
      <c r="Q2050" s="1" t="s">
        <v>1152</v>
      </c>
      <c r="R2050" s="1"/>
      <c r="S2050" s="1"/>
      <c r="T2050" s="1" t="s">
        <v>1152</v>
      </c>
      <c r="U2050" s="1" t="s">
        <v>956</v>
      </c>
      <c r="V2050" s="4" t="s">
        <v>3481</v>
      </c>
      <c r="W2050" s="1"/>
      <c r="X2050" s="1" t="s">
        <v>1152</v>
      </c>
      <c r="Y2050" s="1" t="s">
        <v>1152</v>
      </c>
      <c r="Z2050" s="1"/>
      <c r="AA2050" s="1"/>
      <c r="AB2050" s="1"/>
      <c r="AC2050" s="1" t="s">
        <v>1925</v>
      </c>
      <c r="AD2050" s="1"/>
      <c r="AE2050" s="18">
        <v>46150.0</v>
      </c>
      <c r="AF2050" s="1" t="s">
        <v>1030</v>
      </c>
      <c r="AG2050" s="1" t="s">
        <v>52</v>
      </c>
      <c r="AH2050" s="1" t="s">
        <v>1152</v>
      </c>
      <c r="AI2050" s="1"/>
      <c r="AJ2050" s="1" t="s">
        <v>9928</v>
      </c>
      <c r="AK2050" s="1" t="s">
        <v>1152</v>
      </c>
      <c r="AL2050" s="6" t="str">
        <f t="array" ref="AL2050">IFERROR(IFS(XLOOKUP(B2050, 'Kit Delivery Status'!$U:$U, 'Kit Delivery Status'!$K:$K) = "Complete", "DELIVERED", XLOOKUP(B2050, 'Kit Delivery Status'!$U:$U, 'Kit Delivery Status'!$K:$K) = "Issue", "ISSUE"), "")</f>
        <v/>
      </c>
      <c r="AM2050" s="6"/>
    </row>
    <row r="2051">
      <c r="A2051" s="5" t="s">
        <v>9929</v>
      </c>
      <c r="B2051" s="1" t="s">
        <v>9930</v>
      </c>
      <c r="C2051" s="1" t="s">
        <v>9931</v>
      </c>
      <c r="D2051" s="2">
        <v>2.404178083E9</v>
      </c>
      <c r="E2051" s="1" t="s">
        <v>9932</v>
      </c>
      <c r="F2051" s="1" t="s">
        <v>9933</v>
      </c>
      <c r="G2051" s="1" t="s">
        <v>5431</v>
      </c>
      <c r="H2051" s="1" t="s">
        <v>1005</v>
      </c>
      <c r="I2051" s="1">
        <v>20854.0</v>
      </c>
      <c r="J2051" s="1" t="s">
        <v>752</v>
      </c>
      <c r="K2051" s="1" t="s">
        <v>892</v>
      </c>
      <c r="L2051" s="1" t="s">
        <v>8006</v>
      </c>
      <c r="M2051" s="1">
        <v>49.0</v>
      </c>
      <c r="N2051" s="1" t="s">
        <v>1152</v>
      </c>
      <c r="O2051" s="3"/>
      <c r="P2051" s="1" t="s">
        <v>1152</v>
      </c>
      <c r="Q2051" s="1" t="s">
        <v>1152</v>
      </c>
      <c r="R2051" s="1" t="s">
        <v>9933</v>
      </c>
      <c r="S2051" s="1"/>
      <c r="T2051" s="1" t="s">
        <v>1152</v>
      </c>
      <c r="U2051" s="1"/>
      <c r="V2051" s="4"/>
      <c r="W2051" s="1" t="s">
        <v>9933</v>
      </c>
      <c r="X2051" s="1" t="s">
        <v>1152</v>
      </c>
      <c r="Y2051" s="1" t="s">
        <v>1152</v>
      </c>
      <c r="Z2051" s="1"/>
      <c r="AA2051" s="1" t="s">
        <v>9933</v>
      </c>
      <c r="AB2051" s="1"/>
      <c r="AC2051" s="1" t="s">
        <v>1925</v>
      </c>
      <c r="AD2051" s="1"/>
      <c r="AE2051" s="18">
        <v>46163.0</v>
      </c>
      <c r="AF2051" s="1" t="s">
        <v>1103</v>
      </c>
      <c r="AG2051" s="1" t="s">
        <v>124</v>
      </c>
      <c r="AH2051" s="1" t="s">
        <v>9934</v>
      </c>
      <c r="AI2051" s="1"/>
      <c r="AJ2051" s="1" t="s">
        <v>9935</v>
      </c>
      <c r="AK2051" s="1" t="s">
        <v>1152</v>
      </c>
      <c r="AL2051" s="6" t="str">
        <f t="array" ref="AL2051">IFERROR(IFS(XLOOKUP(B2051, 'Kit Delivery Status'!$U:$U, 'Kit Delivery Status'!$K:$K) = "Complete", "DELIVERED", XLOOKUP(B2051, 'Kit Delivery Status'!$U:$U, 'Kit Delivery Status'!$K:$K) = "Issue", "ISSUE"), "")</f>
        <v/>
      </c>
      <c r="AM2051" s="6"/>
    </row>
    <row r="2052">
      <c r="A2052" s="5" t="s">
        <v>9936</v>
      </c>
      <c r="B2052" s="1" t="s">
        <v>9937</v>
      </c>
      <c r="C2052" s="1"/>
      <c r="D2052" s="2">
        <v>7.875528399E9</v>
      </c>
      <c r="E2052" s="1" t="s">
        <v>9938</v>
      </c>
      <c r="F2052" s="1"/>
      <c r="G2052" s="1" t="s">
        <v>9939</v>
      </c>
      <c r="H2052" s="1" t="s">
        <v>3306</v>
      </c>
      <c r="I2052" s="1">
        <v>976.0</v>
      </c>
      <c r="J2052" s="1" t="s">
        <v>752</v>
      </c>
      <c r="K2052" s="1" t="s">
        <v>42</v>
      </c>
      <c r="L2052" s="1" t="s">
        <v>6819</v>
      </c>
      <c r="M2052" s="1">
        <v>49.0</v>
      </c>
      <c r="N2052" s="1" t="s">
        <v>1152</v>
      </c>
      <c r="O2052" s="3" t="s">
        <v>809</v>
      </c>
      <c r="P2052" s="1" t="s">
        <v>1152</v>
      </c>
      <c r="Q2052" s="1" t="s">
        <v>1152</v>
      </c>
      <c r="R2052" s="1"/>
      <c r="S2052" s="1"/>
      <c r="T2052" s="1" t="s">
        <v>1152</v>
      </c>
      <c r="U2052" s="1" t="s">
        <v>1487</v>
      </c>
      <c r="V2052" s="4" t="s">
        <v>809</v>
      </c>
      <c r="W2052" s="1"/>
      <c r="X2052" s="1" t="s">
        <v>1152</v>
      </c>
      <c r="Y2052" s="1" t="s">
        <v>1152</v>
      </c>
      <c r="Z2052" s="1"/>
      <c r="AA2052" s="1"/>
      <c r="AB2052" s="1"/>
      <c r="AC2052" s="1" t="s">
        <v>1925</v>
      </c>
      <c r="AD2052" s="1"/>
      <c r="AE2052" s="18">
        <v>46148.0</v>
      </c>
      <c r="AF2052" s="1" t="s">
        <v>3186</v>
      </c>
      <c r="AG2052" s="1" t="s">
        <v>52</v>
      </c>
      <c r="AH2052" s="1" t="s">
        <v>1152</v>
      </c>
      <c r="AI2052" s="1"/>
      <c r="AJ2052" s="1" t="s">
        <v>9940</v>
      </c>
      <c r="AK2052" s="1" t="s">
        <v>1152</v>
      </c>
      <c r="AL2052" s="6" t="str">
        <f t="array" ref="AL2052">IFERROR(IFS(XLOOKUP(B2052, 'Kit Delivery Status'!$U:$U, 'Kit Delivery Status'!$K:$K) = "Complete", "DELIVERED", XLOOKUP(B2052, 'Kit Delivery Status'!$U:$U, 'Kit Delivery Status'!$K:$K) = "Issue", "ISSUE"), "")</f>
        <v/>
      </c>
      <c r="AM2052" s="6"/>
    </row>
    <row r="2053">
      <c r="A2053" s="5" t="s">
        <v>9941</v>
      </c>
      <c r="B2053" s="1" t="s">
        <v>9942</v>
      </c>
      <c r="C2053" s="1" t="s">
        <v>9943</v>
      </c>
      <c r="D2053" s="2">
        <v>9.179036245E9</v>
      </c>
      <c r="E2053" s="1" t="s">
        <v>2344</v>
      </c>
      <c r="F2053" s="1" t="s">
        <v>9944</v>
      </c>
      <c r="G2053" s="1" t="s">
        <v>1382</v>
      </c>
      <c r="H2053" s="1" t="s">
        <v>751</v>
      </c>
      <c r="I2053" s="1">
        <v>10583.0</v>
      </c>
      <c r="J2053" s="1" t="s">
        <v>752</v>
      </c>
      <c r="K2053" s="1" t="s">
        <v>892</v>
      </c>
      <c r="L2053" s="1" t="s">
        <v>8006</v>
      </c>
      <c r="M2053" s="1">
        <v>49.0</v>
      </c>
      <c r="N2053" s="1" t="s">
        <v>1152</v>
      </c>
      <c r="O2053" s="3"/>
      <c r="P2053" s="1" t="s">
        <v>1152</v>
      </c>
      <c r="Q2053" s="1" t="s">
        <v>1152</v>
      </c>
      <c r="R2053" s="1" t="s">
        <v>9944</v>
      </c>
      <c r="S2053" s="1"/>
      <c r="T2053" s="1" t="s">
        <v>1152</v>
      </c>
      <c r="U2053" s="1"/>
      <c r="V2053" s="4"/>
      <c r="W2053" s="1" t="s">
        <v>9944</v>
      </c>
      <c r="X2053" s="1" t="s">
        <v>1152</v>
      </c>
      <c r="Y2053" s="1" t="s">
        <v>1152</v>
      </c>
      <c r="Z2053" s="1"/>
      <c r="AA2053" s="1" t="s">
        <v>9944</v>
      </c>
      <c r="AB2053" s="1"/>
      <c r="AC2053" s="1" t="s">
        <v>1925</v>
      </c>
      <c r="AD2053" s="1"/>
      <c r="AE2053" s="18">
        <v>46158.0</v>
      </c>
      <c r="AF2053" s="1" t="s">
        <v>1103</v>
      </c>
      <c r="AG2053" s="1" t="s">
        <v>124</v>
      </c>
      <c r="AH2053" s="1" t="s">
        <v>9945</v>
      </c>
      <c r="AI2053" s="1"/>
      <c r="AJ2053" s="1" t="s">
        <v>9946</v>
      </c>
      <c r="AK2053" s="1" t="s">
        <v>1152</v>
      </c>
      <c r="AL2053" s="6" t="str">
        <f t="array" ref="AL2053">IFERROR(IFS(XLOOKUP(B2053, 'Kit Delivery Status'!$U:$U, 'Kit Delivery Status'!$K:$K) = "Complete", "DELIVERED", XLOOKUP(B2053, 'Kit Delivery Status'!$U:$U, 'Kit Delivery Status'!$K:$K) = "Issue", "ISSUE"), "")</f>
        <v/>
      </c>
      <c r="AM2053" s="6"/>
    </row>
    <row r="2054">
      <c r="A2054" s="5" t="s">
        <v>9947</v>
      </c>
      <c r="B2054" s="1" t="s">
        <v>9948</v>
      </c>
      <c r="C2054" s="1" t="s">
        <v>9949</v>
      </c>
      <c r="D2054" s="2">
        <v>4.073388172E9</v>
      </c>
      <c r="E2054" s="1" t="s">
        <v>9950</v>
      </c>
      <c r="F2054" s="1"/>
      <c r="G2054" s="1" t="s">
        <v>9951</v>
      </c>
      <c r="H2054" s="1" t="s">
        <v>1208</v>
      </c>
      <c r="I2054" s="1">
        <v>34747.0</v>
      </c>
      <c r="J2054" s="1" t="s">
        <v>752</v>
      </c>
      <c r="K2054" s="1" t="s">
        <v>42</v>
      </c>
      <c r="L2054" s="1" t="s">
        <v>7863</v>
      </c>
      <c r="M2054" s="1">
        <v>79.0</v>
      </c>
      <c r="N2054" s="1" t="s">
        <v>1152</v>
      </c>
      <c r="O2054" s="3" t="s">
        <v>9952</v>
      </c>
      <c r="P2054" s="1" t="s">
        <v>1152</v>
      </c>
      <c r="Q2054" s="1" t="s">
        <v>1152</v>
      </c>
      <c r="R2054" s="1"/>
      <c r="S2054" s="1"/>
      <c r="T2054" s="1" t="s">
        <v>1152</v>
      </c>
      <c r="U2054" s="1" t="s">
        <v>1021</v>
      </c>
      <c r="V2054" s="4" t="s">
        <v>9952</v>
      </c>
      <c r="W2054" s="1"/>
      <c r="X2054" s="1" t="s">
        <v>1152</v>
      </c>
      <c r="Y2054" s="1" t="s">
        <v>1152</v>
      </c>
      <c r="Z2054" s="1"/>
      <c r="AA2054" s="1"/>
      <c r="AB2054" s="1"/>
      <c r="AC2054" s="1" t="s">
        <v>1925</v>
      </c>
      <c r="AD2054" s="1"/>
      <c r="AE2054" s="18">
        <v>46151.0</v>
      </c>
      <c r="AF2054" s="1" t="s">
        <v>1630</v>
      </c>
      <c r="AG2054" s="1" t="s">
        <v>52</v>
      </c>
      <c r="AH2054" s="1" t="s">
        <v>1152</v>
      </c>
      <c r="AI2054" s="1"/>
      <c r="AJ2054" s="1" t="s">
        <v>9953</v>
      </c>
      <c r="AK2054" s="1" t="s">
        <v>1152</v>
      </c>
      <c r="AL2054" s="6" t="str">
        <f t="array" ref="AL2054">IFERROR(IFS(XLOOKUP(B2054, 'Kit Delivery Status'!$U:$U, 'Kit Delivery Status'!$K:$K) = "Complete", "DELIVERED", XLOOKUP(B2054, 'Kit Delivery Status'!$U:$U, 'Kit Delivery Status'!$K:$K) = "Issue", "ISSUE"), "")</f>
        <v/>
      </c>
      <c r="AM2054" s="6"/>
    </row>
    <row r="2055">
      <c r="A2055" s="5" t="s">
        <v>9954</v>
      </c>
      <c r="B2055" s="1" t="s">
        <v>9955</v>
      </c>
      <c r="C2055" s="1" t="s">
        <v>9956</v>
      </c>
      <c r="D2055" s="2">
        <v>5.163447738E9</v>
      </c>
      <c r="E2055" s="1" t="s">
        <v>6686</v>
      </c>
      <c r="F2055" s="1"/>
      <c r="G2055" s="1" t="s">
        <v>1405</v>
      </c>
      <c r="H2055" s="1" t="s">
        <v>751</v>
      </c>
      <c r="I2055" s="1">
        <v>11753.0</v>
      </c>
      <c r="J2055" s="1" t="s">
        <v>752</v>
      </c>
      <c r="K2055" s="1" t="s">
        <v>42</v>
      </c>
      <c r="L2055" s="1" t="s">
        <v>6819</v>
      </c>
      <c r="M2055" s="1">
        <v>49.0</v>
      </c>
      <c r="N2055" s="1" t="s">
        <v>1152</v>
      </c>
      <c r="O2055" s="3" t="s">
        <v>9957</v>
      </c>
      <c r="P2055" s="1" t="s">
        <v>1152</v>
      </c>
      <c r="Q2055" s="1" t="s">
        <v>1152</v>
      </c>
      <c r="R2055" s="1"/>
      <c r="S2055" s="1"/>
      <c r="T2055" s="1" t="s">
        <v>1152</v>
      </c>
      <c r="U2055" s="1" t="s">
        <v>1828</v>
      </c>
      <c r="V2055" s="4" t="s">
        <v>9957</v>
      </c>
      <c r="W2055" s="1"/>
      <c r="X2055" s="1" t="s">
        <v>1152</v>
      </c>
      <c r="Y2055" s="1" t="s">
        <v>1152</v>
      </c>
      <c r="Z2055" s="1"/>
      <c r="AA2055" s="1"/>
      <c r="AB2055" s="1"/>
      <c r="AC2055" s="1" t="s">
        <v>1925</v>
      </c>
      <c r="AD2055" s="1"/>
      <c r="AE2055" s="18">
        <v>46144.0</v>
      </c>
      <c r="AF2055" s="1" t="s">
        <v>1030</v>
      </c>
      <c r="AG2055" s="1" t="s">
        <v>52</v>
      </c>
      <c r="AH2055" s="1" t="s">
        <v>1152</v>
      </c>
      <c r="AI2055" s="1"/>
      <c r="AJ2055" s="1" t="s">
        <v>6686</v>
      </c>
      <c r="AK2055" s="1" t="s">
        <v>1152</v>
      </c>
      <c r="AL2055" s="6" t="str">
        <f t="array" ref="AL2055">IFERROR(IFS(XLOOKUP(B2055, 'Kit Delivery Status'!$U:$U, 'Kit Delivery Status'!$K:$K) = "Complete", "DELIVERED", XLOOKUP(B2055, 'Kit Delivery Status'!$U:$U, 'Kit Delivery Status'!$K:$K) = "Issue", "ISSUE"), "")</f>
        <v/>
      </c>
      <c r="AM2055" s="6"/>
    </row>
    <row r="2056">
      <c r="A2056" s="5" t="s">
        <v>9958</v>
      </c>
      <c r="B2056" s="1" t="s">
        <v>9959</v>
      </c>
      <c r="C2056" s="1"/>
      <c r="D2056" s="2">
        <v>8.326234945E9</v>
      </c>
      <c r="E2056" s="1" t="s">
        <v>9960</v>
      </c>
      <c r="F2056" s="1"/>
      <c r="G2056" s="1" t="s">
        <v>5935</v>
      </c>
      <c r="H2056" s="1" t="s">
        <v>1583</v>
      </c>
      <c r="I2056" s="1">
        <v>77382.0</v>
      </c>
      <c r="J2056" s="1" t="s">
        <v>752</v>
      </c>
      <c r="K2056" s="1" t="s">
        <v>42</v>
      </c>
      <c r="L2056" s="1" t="s">
        <v>6819</v>
      </c>
      <c r="M2056" s="1">
        <v>49.0</v>
      </c>
      <c r="N2056" s="1" t="s">
        <v>1152</v>
      </c>
      <c r="O2056" s="3" t="s">
        <v>1012</v>
      </c>
      <c r="P2056" s="1" t="s">
        <v>1152</v>
      </c>
      <c r="Q2056" s="1" t="s">
        <v>1152</v>
      </c>
      <c r="R2056" s="1"/>
      <c r="S2056" s="1"/>
      <c r="T2056" s="1" t="s">
        <v>1152</v>
      </c>
      <c r="U2056" s="1" t="s">
        <v>1080</v>
      </c>
      <c r="V2056" s="4" t="s">
        <v>1012</v>
      </c>
      <c r="W2056" s="1"/>
      <c r="X2056" s="1" t="s">
        <v>1152</v>
      </c>
      <c r="Y2056" s="1" t="s">
        <v>1152</v>
      </c>
      <c r="Z2056" s="1"/>
      <c r="AA2056" s="1"/>
      <c r="AB2056" s="1"/>
      <c r="AC2056" s="1" t="s">
        <v>1925</v>
      </c>
      <c r="AD2056" s="1"/>
      <c r="AE2056" s="18">
        <v>46150.0</v>
      </c>
      <c r="AF2056" s="1" t="s">
        <v>1349</v>
      </c>
      <c r="AG2056" s="1" t="s">
        <v>52</v>
      </c>
      <c r="AH2056" s="1" t="s">
        <v>1152</v>
      </c>
      <c r="AI2056" s="1"/>
      <c r="AJ2056" s="1" t="s">
        <v>9960</v>
      </c>
      <c r="AK2056" s="1" t="s">
        <v>1152</v>
      </c>
      <c r="AL2056" s="6" t="str">
        <f t="array" ref="AL2056">IFERROR(IFS(XLOOKUP(B2056, 'Kit Delivery Status'!$U:$U, 'Kit Delivery Status'!$K:$K) = "Complete", "DELIVERED", XLOOKUP(B2056, 'Kit Delivery Status'!$U:$U, 'Kit Delivery Status'!$K:$K) = "Issue", "ISSUE"), "")</f>
        <v/>
      </c>
      <c r="AM2056" s="6"/>
    </row>
    <row r="2057">
      <c r="A2057" s="5" t="s">
        <v>9961</v>
      </c>
      <c r="B2057" s="1" t="s">
        <v>9962</v>
      </c>
      <c r="C2057" s="1" t="s">
        <v>9963</v>
      </c>
      <c r="D2057" s="2">
        <v>9.179236964E9</v>
      </c>
      <c r="E2057" s="1" t="s">
        <v>9964</v>
      </c>
      <c r="F2057" s="1"/>
      <c r="G2057" s="1" t="s">
        <v>751</v>
      </c>
      <c r="H2057" s="1" t="s">
        <v>751</v>
      </c>
      <c r="I2057" s="1">
        <v>10280.0</v>
      </c>
      <c r="J2057" s="1" t="s">
        <v>752</v>
      </c>
      <c r="K2057" s="1" t="s">
        <v>42</v>
      </c>
      <c r="L2057" s="1" t="s">
        <v>6819</v>
      </c>
      <c r="M2057" s="1">
        <v>49.0</v>
      </c>
      <c r="N2057" s="1" t="s">
        <v>1152</v>
      </c>
      <c r="O2057" s="3" t="s">
        <v>1698</v>
      </c>
      <c r="P2057" s="1" t="s">
        <v>1152</v>
      </c>
      <c r="Q2057" s="1" t="s">
        <v>1152</v>
      </c>
      <c r="R2057" s="1"/>
      <c r="S2057" s="1"/>
      <c r="T2057" s="1" t="s">
        <v>1152</v>
      </c>
      <c r="U2057" s="1" t="s">
        <v>1699</v>
      </c>
      <c r="V2057" s="4" t="s">
        <v>1698</v>
      </c>
      <c r="W2057" s="1"/>
      <c r="X2057" s="1" t="s">
        <v>1152</v>
      </c>
      <c r="Y2057" s="1" t="s">
        <v>1152</v>
      </c>
      <c r="Z2057" s="1"/>
      <c r="AA2057" s="1"/>
      <c r="AB2057" s="1"/>
      <c r="AC2057" s="1" t="s">
        <v>1925</v>
      </c>
      <c r="AD2057" s="1"/>
      <c r="AE2057" s="18">
        <v>46147.0</v>
      </c>
      <c r="AF2057" s="1" t="s">
        <v>1349</v>
      </c>
      <c r="AG2057" s="1" t="s">
        <v>52</v>
      </c>
      <c r="AH2057" s="1" t="s">
        <v>1152</v>
      </c>
      <c r="AI2057" s="1"/>
      <c r="AJ2057" s="1" t="s">
        <v>9965</v>
      </c>
      <c r="AK2057" s="1" t="s">
        <v>1152</v>
      </c>
      <c r="AL2057" s="6" t="str">
        <f t="array" ref="AL2057">IFERROR(IFS(XLOOKUP(B2057, 'Kit Delivery Status'!$U:$U, 'Kit Delivery Status'!$K:$K) = "Complete", "DELIVERED", XLOOKUP(B2057, 'Kit Delivery Status'!$U:$U, 'Kit Delivery Status'!$K:$K) = "Issue", "ISSUE"), "")</f>
        <v/>
      </c>
      <c r="AM2057" s="6"/>
    </row>
    <row r="2058">
      <c r="A2058" s="5" t="s">
        <v>9966</v>
      </c>
      <c r="B2058" s="1" t="s">
        <v>9967</v>
      </c>
      <c r="C2058" s="1" t="s">
        <v>9968</v>
      </c>
      <c r="D2058" s="2">
        <v>3.054394279E9</v>
      </c>
      <c r="E2058" s="1" t="s">
        <v>2108</v>
      </c>
      <c r="F2058" s="1"/>
      <c r="G2058" s="1" t="s">
        <v>9969</v>
      </c>
      <c r="H2058" s="1" t="s">
        <v>1208</v>
      </c>
      <c r="I2058" s="1">
        <v>33156.0</v>
      </c>
      <c r="J2058" s="1" t="s">
        <v>752</v>
      </c>
      <c r="K2058" s="1" t="s">
        <v>42</v>
      </c>
      <c r="L2058" s="1" t="s">
        <v>7863</v>
      </c>
      <c r="M2058" s="1">
        <v>79.0</v>
      </c>
      <c r="N2058" s="1" t="s">
        <v>1152</v>
      </c>
      <c r="O2058" s="3" t="s">
        <v>2064</v>
      </c>
      <c r="P2058" s="1" t="s">
        <v>1152</v>
      </c>
      <c r="Q2058" s="1" t="s">
        <v>1152</v>
      </c>
      <c r="R2058" s="1"/>
      <c r="S2058" s="1"/>
      <c r="T2058" s="1" t="s">
        <v>1152</v>
      </c>
      <c r="U2058" s="1" t="s">
        <v>6053</v>
      </c>
      <c r="V2058" s="4" t="s">
        <v>2064</v>
      </c>
      <c r="W2058" s="1"/>
      <c r="X2058" s="1" t="s">
        <v>1152</v>
      </c>
      <c r="Y2058" s="1" t="s">
        <v>1152</v>
      </c>
      <c r="Z2058" s="1"/>
      <c r="AA2058" s="1"/>
      <c r="AB2058" s="1"/>
      <c r="AC2058" s="1" t="s">
        <v>1925</v>
      </c>
      <c r="AD2058" s="1"/>
      <c r="AE2058" s="18">
        <v>46149.0</v>
      </c>
      <c r="AF2058" s="1" t="s">
        <v>1630</v>
      </c>
      <c r="AG2058" s="1" t="s">
        <v>52</v>
      </c>
      <c r="AH2058" s="1" t="s">
        <v>1152</v>
      </c>
      <c r="AI2058" s="1"/>
      <c r="AJ2058" s="1" t="s">
        <v>2120</v>
      </c>
      <c r="AK2058" s="1" t="s">
        <v>1152</v>
      </c>
      <c r="AL2058" s="6" t="str">
        <f t="array" ref="AL2058">IFERROR(IFS(XLOOKUP(B2058, 'Kit Delivery Status'!$U:$U, 'Kit Delivery Status'!$K:$K) = "Complete", "DELIVERED", XLOOKUP(B2058, 'Kit Delivery Status'!$U:$U, 'Kit Delivery Status'!$K:$K) = "Issue", "ISSUE"), "")</f>
        <v/>
      </c>
      <c r="AM2058" s="6"/>
    </row>
    <row r="2059">
      <c r="A2059" s="5" t="s">
        <v>9970</v>
      </c>
      <c r="B2059" s="1" t="s">
        <v>9971</v>
      </c>
      <c r="C2059" s="1" t="s">
        <v>9972</v>
      </c>
      <c r="D2059" s="2">
        <v>6.782969135E9</v>
      </c>
      <c r="E2059" s="1" t="s">
        <v>9973</v>
      </c>
      <c r="F2059" s="1"/>
      <c r="G2059" s="1" t="s">
        <v>9974</v>
      </c>
      <c r="H2059" s="1" t="s">
        <v>2171</v>
      </c>
      <c r="I2059" s="1" t="s">
        <v>9975</v>
      </c>
      <c r="J2059" s="1" t="s">
        <v>752</v>
      </c>
      <c r="K2059" s="1" t="s">
        <v>66</v>
      </c>
      <c r="L2059" s="1" t="s">
        <v>5767</v>
      </c>
      <c r="M2059" s="1">
        <v>210.0</v>
      </c>
      <c r="N2059" s="1" t="s">
        <v>1152</v>
      </c>
      <c r="O2059" s="3" t="s">
        <v>103</v>
      </c>
      <c r="P2059" s="18">
        <v>46255.0</v>
      </c>
      <c r="Q2059" s="1" t="s">
        <v>1152</v>
      </c>
      <c r="R2059" s="1"/>
      <c r="S2059" s="1"/>
      <c r="T2059" s="1" t="s">
        <v>1152</v>
      </c>
      <c r="U2059" s="1" t="s">
        <v>1812</v>
      </c>
      <c r="V2059" s="4" t="s">
        <v>103</v>
      </c>
      <c r="W2059" s="1"/>
      <c r="X2059" s="18">
        <v>46255.0</v>
      </c>
      <c r="Y2059" s="1" t="s">
        <v>1152</v>
      </c>
      <c r="Z2059" s="1"/>
      <c r="AA2059" s="1"/>
      <c r="AB2059" s="1"/>
      <c r="AC2059" s="1" t="s">
        <v>1925</v>
      </c>
      <c r="AD2059" s="1"/>
      <c r="AE2059" s="1" t="s">
        <v>1152</v>
      </c>
      <c r="AF2059" s="1"/>
      <c r="AG2059" s="1"/>
      <c r="AH2059" s="1" t="s">
        <v>1152</v>
      </c>
      <c r="AI2059" s="1"/>
      <c r="AJ2059" s="1" t="s">
        <v>9976</v>
      </c>
      <c r="AK2059" s="1" t="s">
        <v>1152</v>
      </c>
      <c r="AL2059" s="6" t="str">
        <f t="array" ref="AL2059">IFERROR(IFS(XLOOKUP(B2059, 'Kit Delivery Status'!$U:$U, 'Kit Delivery Status'!$K:$K) = "Complete", "DELIVERED", XLOOKUP(B2059, 'Kit Delivery Status'!$U:$U, 'Kit Delivery Status'!$K:$K) = "Issue", "ISSUE"), "")</f>
        <v/>
      </c>
      <c r="AM2059" s="6"/>
    </row>
    <row r="2060">
      <c r="A2060" s="5" t="s">
        <v>9977</v>
      </c>
      <c r="B2060" s="1" t="s">
        <v>9978</v>
      </c>
      <c r="C2060" s="1" t="s">
        <v>2613</v>
      </c>
      <c r="D2060" s="2">
        <v>8.479772174E9</v>
      </c>
      <c r="E2060" s="1" t="s">
        <v>2614</v>
      </c>
      <c r="F2060" s="1"/>
      <c r="G2060" s="1" t="s">
        <v>2615</v>
      </c>
      <c r="H2060" s="1" t="s">
        <v>1019</v>
      </c>
      <c r="I2060" s="1">
        <v>60061.0</v>
      </c>
      <c r="J2060" s="1" t="s">
        <v>752</v>
      </c>
      <c r="K2060" s="1" t="s">
        <v>42</v>
      </c>
      <c r="L2060" s="1" t="s">
        <v>6819</v>
      </c>
      <c r="M2060" s="1">
        <v>49.0</v>
      </c>
      <c r="N2060" s="1" t="s">
        <v>1152</v>
      </c>
      <c r="O2060" s="3" t="s">
        <v>2616</v>
      </c>
      <c r="P2060" s="1" t="s">
        <v>1152</v>
      </c>
      <c r="Q2060" s="1" t="s">
        <v>1152</v>
      </c>
      <c r="R2060" s="1"/>
      <c r="S2060" s="1"/>
      <c r="T2060" s="1" t="s">
        <v>1152</v>
      </c>
      <c r="U2060" s="1" t="s">
        <v>1080</v>
      </c>
      <c r="V2060" s="4" t="s">
        <v>2616</v>
      </c>
      <c r="W2060" s="1"/>
      <c r="X2060" s="1" t="s">
        <v>1152</v>
      </c>
      <c r="Y2060" s="1" t="s">
        <v>1152</v>
      </c>
      <c r="Z2060" s="1"/>
      <c r="AA2060" s="1"/>
      <c r="AB2060" s="1"/>
      <c r="AC2060" s="1" t="s">
        <v>1925</v>
      </c>
      <c r="AD2060" s="1"/>
      <c r="AE2060" s="18">
        <v>46148.0</v>
      </c>
      <c r="AF2060" s="1" t="s">
        <v>3186</v>
      </c>
      <c r="AG2060" s="1" t="s">
        <v>52</v>
      </c>
      <c r="AH2060" s="1" t="s">
        <v>1152</v>
      </c>
      <c r="AI2060" s="1"/>
      <c r="AJ2060" s="1" t="s">
        <v>9979</v>
      </c>
      <c r="AK2060" s="1" t="s">
        <v>1152</v>
      </c>
      <c r="AL2060" s="6" t="str">
        <f t="array" ref="AL2060">IFERROR(IFS(XLOOKUP(B2060, 'Kit Delivery Status'!$U:$U, 'Kit Delivery Status'!$K:$K) = "Complete", "DELIVERED", XLOOKUP(B2060, 'Kit Delivery Status'!$U:$U, 'Kit Delivery Status'!$K:$K) = "Issue", "ISSUE"), "")</f>
        <v/>
      </c>
      <c r="AM2060" s="6"/>
    </row>
    <row r="2061">
      <c r="A2061" s="5" t="s">
        <v>9980</v>
      </c>
      <c r="B2061" s="1" t="s">
        <v>9981</v>
      </c>
      <c r="C2061" s="1"/>
      <c r="D2061" s="2">
        <v>15127882282</v>
      </c>
      <c r="E2061" s="1" t="s">
        <v>9982</v>
      </c>
      <c r="F2061" s="1"/>
      <c r="G2061" s="1" t="s">
        <v>1582</v>
      </c>
      <c r="H2061" s="1" t="s">
        <v>1583</v>
      </c>
      <c r="I2061" s="1">
        <v>78733.0</v>
      </c>
      <c r="J2061" s="1" t="s">
        <v>752</v>
      </c>
      <c r="K2061" s="1" t="s">
        <v>42</v>
      </c>
      <c r="L2061" s="1" t="s">
        <v>6819</v>
      </c>
      <c r="M2061" s="1">
        <v>49.0</v>
      </c>
      <c r="N2061" s="1" t="s">
        <v>1152</v>
      </c>
      <c r="O2061" s="3" t="s">
        <v>3568</v>
      </c>
      <c r="P2061" s="1" t="s">
        <v>1152</v>
      </c>
      <c r="Q2061" s="1" t="s">
        <v>1152</v>
      </c>
      <c r="R2061" s="1"/>
      <c r="S2061" s="1"/>
      <c r="T2061" s="1" t="s">
        <v>1152</v>
      </c>
      <c r="U2061" s="1" t="s">
        <v>982</v>
      </c>
      <c r="V2061" s="4" t="s">
        <v>3568</v>
      </c>
      <c r="W2061" s="1"/>
      <c r="X2061" s="1" t="s">
        <v>1152</v>
      </c>
      <c r="Y2061" s="1" t="s">
        <v>1152</v>
      </c>
      <c r="Z2061" s="1"/>
      <c r="AA2061" s="1"/>
      <c r="AB2061" s="1"/>
      <c r="AC2061" s="1" t="s">
        <v>1925</v>
      </c>
      <c r="AD2061" s="1"/>
      <c r="AE2061" s="18">
        <v>46149.0</v>
      </c>
      <c r="AF2061" s="1" t="s">
        <v>1440</v>
      </c>
      <c r="AG2061" s="1" t="s">
        <v>52</v>
      </c>
      <c r="AH2061" s="1" t="s">
        <v>1152</v>
      </c>
      <c r="AI2061" s="1"/>
      <c r="AJ2061" s="1" t="s">
        <v>3567</v>
      </c>
      <c r="AK2061" s="1" t="s">
        <v>1152</v>
      </c>
      <c r="AL2061" s="6" t="str">
        <f t="array" ref="AL2061">IFERROR(IFS(XLOOKUP(B2061, 'Kit Delivery Status'!$U:$U, 'Kit Delivery Status'!$K:$K) = "Complete", "DELIVERED", XLOOKUP(B2061, 'Kit Delivery Status'!$U:$U, 'Kit Delivery Status'!$K:$K) = "Issue", "ISSUE"), "")</f>
        <v/>
      </c>
      <c r="AM2061" s="6"/>
    </row>
    <row r="2062">
      <c r="A2062" s="5" t="s">
        <v>9983</v>
      </c>
      <c r="B2062" s="1" t="s">
        <v>9984</v>
      </c>
      <c r="C2062" s="1"/>
      <c r="D2062" s="2">
        <v>9.73876106E9</v>
      </c>
      <c r="E2062" s="1" t="s">
        <v>5436</v>
      </c>
      <c r="F2062" s="1"/>
      <c r="G2062" s="1" t="s">
        <v>5437</v>
      </c>
      <c r="H2062" s="1" t="s">
        <v>1053</v>
      </c>
      <c r="I2062" s="1">
        <v>8502.0</v>
      </c>
      <c r="J2062" s="1" t="s">
        <v>752</v>
      </c>
      <c r="K2062" s="1" t="s">
        <v>42</v>
      </c>
      <c r="L2062" s="1" t="s">
        <v>6819</v>
      </c>
      <c r="M2062" s="1">
        <v>49.0</v>
      </c>
      <c r="N2062" s="1" t="s">
        <v>1152</v>
      </c>
      <c r="O2062" s="3" t="s">
        <v>5438</v>
      </c>
      <c r="P2062" s="1" t="s">
        <v>1152</v>
      </c>
      <c r="Q2062" s="1" t="s">
        <v>1152</v>
      </c>
      <c r="R2062" s="1"/>
      <c r="S2062" s="1"/>
      <c r="T2062" s="1" t="s">
        <v>1152</v>
      </c>
      <c r="U2062" s="1" t="s">
        <v>956</v>
      </c>
      <c r="V2062" s="4" t="s">
        <v>5438</v>
      </c>
      <c r="W2062" s="1"/>
      <c r="X2062" s="1" t="s">
        <v>1152</v>
      </c>
      <c r="Y2062" s="1" t="s">
        <v>1152</v>
      </c>
      <c r="Z2062" s="1"/>
      <c r="AA2062" s="1"/>
      <c r="AB2062" s="1"/>
      <c r="AC2062" s="1" t="s">
        <v>1925</v>
      </c>
      <c r="AD2062" s="1"/>
      <c r="AE2062" s="18">
        <v>46149.0</v>
      </c>
      <c r="AF2062" s="1" t="s">
        <v>3186</v>
      </c>
      <c r="AG2062" s="1" t="s">
        <v>52</v>
      </c>
      <c r="AH2062" s="1" t="s">
        <v>1152</v>
      </c>
      <c r="AI2062" s="1"/>
      <c r="AJ2062" s="1" t="s">
        <v>9985</v>
      </c>
      <c r="AK2062" s="1" t="s">
        <v>1152</v>
      </c>
      <c r="AL2062" s="6" t="str">
        <f t="array" ref="AL2062">IFERROR(IFS(XLOOKUP(B2062, 'Kit Delivery Status'!$U:$U, 'Kit Delivery Status'!$K:$K) = "Complete", "DELIVERED", XLOOKUP(B2062, 'Kit Delivery Status'!$U:$U, 'Kit Delivery Status'!$K:$K) = "Issue", "ISSUE"), "")</f>
        <v/>
      </c>
      <c r="AM2062" s="6"/>
    </row>
    <row r="2063">
      <c r="A2063" s="5" t="s">
        <v>9986</v>
      </c>
      <c r="B2063" s="1" t="s">
        <v>9987</v>
      </c>
      <c r="C2063" s="1" t="s">
        <v>9988</v>
      </c>
      <c r="D2063" s="2">
        <v>5.572289739E9</v>
      </c>
      <c r="E2063" s="1" t="s">
        <v>9989</v>
      </c>
      <c r="F2063" s="1"/>
      <c r="G2063" s="1" t="s">
        <v>2350</v>
      </c>
      <c r="H2063" s="1" t="s">
        <v>1155</v>
      </c>
      <c r="I2063" s="1">
        <v>63105.0</v>
      </c>
      <c r="J2063" s="1" t="s">
        <v>752</v>
      </c>
      <c r="K2063" s="1" t="s">
        <v>42</v>
      </c>
      <c r="L2063" s="1" t="s">
        <v>7863</v>
      </c>
      <c r="M2063" s="1">
        <v>79.0</v>
      </c>
      <c r="N2063" s="1" t="s">
        <v>1152</v>
      </c>
      <c r="O2063" s="3" t="s">
        <v>5062</v>
      </c>
      <c r="P2063" s="1" t="s">
        <v>1152</v>
      </c>
      <c r="Q2063" s="1" t="s">
        <v>1152</v>
      </c>
      <c r="R2063" s="1"/>
      <c r="S2063" s="1"/>
      <c r="T2063" s="1" t="s">
        <v>1152</v>
      </c>
      <c r="U2063" s="1" t="s">
        <v>1376</v>
      </c>
      <c r="V2063" s="4" t="s">
        <v>5062</v>
      </c>
      <c r="W2063" s="1"/>
      <c r="X2063" s="1" t="s">
        <v>1152</v>
      </c>
      <c r="Y2063" s="1" t="s">
        <v>1152</v>
      </c>
      <c r="Z2063" s="1"/>
      <c r="AA2063" s="1"/>
      <c r="AB2063" s="1"/>
      <c r="AC2063" s="1" t="s">
        <v>1925</v>
      </c>
      <c r="AD2063" s="1"/>
      <c r="AE2063" s="18">
        <v>46144.0</v>
      </c>
      <c r="AF2063" s="1" t="s">
        <v>1349</v>
      </c>
      <c r="AG2063" s="1" t="s">
        <v>52</v>
      </c>
      <c r="AH2063" s="1" t="s">
        <v>1152</v>
      </c>
      <c r="AI2063" s="1"/>
      <c r="AJ2063" s="1" t="s">
        <v>9989</v>
      </c>
      <c r="AK2063" s="1" t="s">
        <v>1152</v>
      </c>
      <c r="AL2063" s="6" t="str">
        <f t="array" ref="AL2063">IFERROR(IFS(XLOOKUP(B2063, 'Kit Delivery Status'!$U:$U, 'Kit Delivery Status'!$K:$K) = "Complete", "DELIVERED", XLOOKUP(B2063, 'Kit Delivery Status'!$U:$U, 'Kit Delivery Status'!$K:$K) = "Issue", "ISSUE"), "")</f>
        <v/>
      </c>
      <c r="AM2063" s="6"/>
    </row>
    <row r="2064">
      <c r="A2064" s="5" t="s">
        <v>9990</v>
      </c>
      <c r="B2064" s="1" t="s">
        <v>9991</v>
      </c>
      <c r="C2064" s="1" t="s">
        <v>5777</v>
      </c>
      <c r="D2064" s="2">
        <v>9.173916026E9</v>
      </c>
      <c r="E2064" s="1" t="s">
        <v>9992</v>
      </c>
      <c r="F2064" s="1"/>
      <c r="G2064" s="1" t="s">
        <v>1684</v>
      </c>
      <c r="H2064" s="1" t="s">
        <v>751</v>
      </c>
      <c r="I2064" s="1">
        <v>11210.0</v>
      </c>
      <c r="J2064" s="1" t="s">
        <v>752</v>
      </c>
      <c r="K2064" s="1" t="s">
        <v>42</v>
      </c>
      <c r="L2064" s="1" t="s">
        <v>6819</v>
      </c>
      <c r="M2064" s="1">
        <v>49.0</v>
      </c>
      <c r="N2064" s="1" t="s">
        <v>1152</v>
      </c>
      <c r="O2064" s="3" t="s">
        <v>5779</v>
      </c>
      <c r="P2064" s="1" t="s">
        <v>1152</v>
      </c>
      <c r="Q2064" s="1" t="s">
        <v>1152</v>
      </c>
      <c r="R2064" s="1"/>
      <c r="S2064" s="1"/>
      <c r="T2064" s="1" t="s">
        <v>1152</v>
      </c>
      <c r="U2064" s="1" t="s">
        <v>948</v>
      </c>
      <c r="V2064" s="4" t="s">
        <v>5779</v>
      </c>
      <c r="W2064" s="1"/>
      <c r="X2064" s="1" t="s">
        <v>1152</v>
      </c>
      <c r="Y2064" s="1" t="s">
        <v>1152</v>
      </c>
      <c r="Z2064" s="1"/>
      <c r="AA2064" s="1"/>
      <c r="AB2064" s="1"/>
      <c r="AC2064" s="1" t="s">
        <v>1925</v>
      </c>
      <c r="AD2064" s="1"/>
      <c r="AE2064" s="18">
        <v>46146.0</v>
      </c>
      <c r="AF2064" s="1" t="s">
        <v>1440</v>
      </c>
      <c r="AG2064" s="1" t="s">
        <v>52</v>
      </c>
      <c r="AH2064" s="1" t="s">
        <v>1152</v>
      </c>
      <c r="AI2064" s="1"/>
      <c r="AJ2064" s="1" t="s">
        <v>9992</v>
      </c>
      <c r="AK2064" s="1" t="s">
        <v>1152</v>
      </c>
      <c r="AL2064" s="6" t="str">
        <f t="array" ref="AL2064">IFERROR(IFS(XLOOKUP(B2064, 'Kit Delivery Status'!$U:$U, 'Kit Delivery Status'!$K:$K) = "Complete", "DELIVERED", XLOOKUP(B2064, 'Kit Delivery Status'!$U:$U, 'Kit Delivery Status'!$K:$K) = "Issue", "ISSUE"), "")</f>
        <v/>
      </c>
      <c r="AM2064" s="6"/>
    </row>
    <row r="2065">
      <c r="A2065" s="5" t="s">
        <v>9993</v>
      </c>
      <c r="B2065" s="1" t="s">
        <v>9994</v>
      </c>
      <c r="C2065" s="1"/>
      <c r="D2065" s="2">
        <v>7.745025038E9</v>
      </c>
      <c r="E2065" s="1" t="s">
        <v>7237</v>
      </c>
      <c r="F2065" s="1" t="s">
        <v>9995</v>
      </c>
      <c r="G2065" s="1" t="s">
        <v>7239</v>
      </c>
      <c r="H2065" s="1" t="s">
        <v>1121</v>
      </c>
      <c r="I2065" s="1">
        <v>1074.0</v>
      </c>
      <c r="J2065" s="1" t="s">
        <v>752</v>
      </c>
      <c r="K2065" s="1" t="s">
        <v>42</v>
      </c>
      <c r="L2065" s="1" t="s">
        <v>6819</v>
      </c>
      <c r="M2065" s="1">
        <v>49.0</v>
      </c>
      <c r="N2065" s="1" t="s">
        <v>1152</v>
      </c>
      <c r="O2065" s="3"/>
      <c r="P2065" s="1" t="s">
        <v>1152</v>
      </c>
      <c r="Q2065" s="1" t="s">
        <v>1152</v>
      </c>
      <c r="R2065" s="1" t="s">
        <v>9995</v>
      </c>
      <c r="S2065" s="1"/>
      <c r="T2065" s="1" t="s">
        <v>1152</v>
      </c>
      <c r="U2065" s="1"/>
      <c r="V2065" s="4"/>
      <c r="W2065" s="1" t="s">
        <v>9995</v>
      </c>
      <c r="X2065" s="1" t="s">
        <v>1152</v>
      </c>
      <c r="Y2065" s="1" t="s">
        <v>1152</v>
      </c>
      <c r="Z2065" s="1"/>
      <c r="AA2065" s="1" t="s">
        <v>9995</v>
      </c>
      <c r="AB2065" s="1"/>
      <c r="AC2065" s="1" t="s">
        <v>1925</v>
      </c>
      <c r="AD2065" s="1"/>
      <c r="AE2065" s="18">
        <v>46157.0</v>
      </c>
      <c r="AF2065" s="1" t="s">
        <v>1455</v>
      </c>
      <c r="AG2065" s="1" t="s">
        <v>124</v>
      </c>
      <c r="AH2065" s="1" t="s">
        <v>1152</v>
      </c>
      <c r="AI2065" s="1"/>
      <c r="AJ2065" s="1" t="s">
        <v>7237</v>
      </c>
      <c r="AK2065" s="1" t="s">
        <v>1152</v>
      </c>
      <c r="AL2065" s="6" t="str">
        <f t="array" ref="AL2065">IFERROR(IFS(XLOOKUP(B2065, 'Kit Delivery Status'!$U:$U, 'Kit Delivery Status'!$K:$K) = "Complete", "DELIVERED", XLOOKUP(B2065, 'Kit Delivery Status'!$U:$U, 'Kit Delivery Status'!$K:$K) = "Issue", "ISSUE"), "")</f>
        <v/>
      </c>
      <c r="AM2065" s="6"/>
    </row>
    <row r="2066">
      <c r="A2066" s="5" t="s">
        <v>9996</v>
      </c>
      <c r="B2066" s="1" t="s">
        <v>9997</v>
      </c>
      <c r="C2066" s="1" t="s">
        <v>9998</v>
      </c>
      <c r="D2066" s="2">
        <v>7.542642584E9</v>
      </c>
      <c r="E2066" s="1" t="s">
        <v>6920</v>
      </c>
      <c r="F2066" s="1"/>
      <c r="G2066" s="1" t="s">
        <v>1154</v>
      </c>
      <c r="H2066" s="1" t="s">
        <v>6248</v>
      </c>
      <c r="I2066" s="1">
        <v>70508.0</v>
      </c>
      <c r="J2066" s="1" t="s">
        <v>752</v>
      </c>
      <c r="K2066" s="1" t="s">
        <v>42</v>
      </c>
      <c r="L2066" s="1" t="s">
        <v>7863</v>
      </c>
      <c r="M2066" s="1">
        <v>79.0</v>
      </c>
      <c r="N2066" s="1" t="s">
        <v>1152</v>
      </c>
      <c r="O2066" s="3" t="s">
        <v>9999</v>
      </c>
      <c r="P2066" s="1" t="s">
        <v>1152</v>
      </c>
      <c r="Q2066" s="1" t="s">
        <v>1152</v>
      </c>
      <c r="R2066" s="1"/>
      <c r="S2066" s="1"/>
      <c r="T2066" s="1" t="s">
        <v>1152</v>
      </c>
      <c r="U2066" s="1" t="s">
        <v>1936</v>
      </c>
      <c r="V2066" s="4" t="s">
        <v>9999</v>
      </c>
      <c r="W2066" s="1"/>
      <c r="X2066" s="1" t="s">
        <v>1152</v>
      </c>
      <c r="Y2066" s="1" t="s">
        <v>1152</v>
      </c>
      <c r="Z2066" s="1"/>
      <c r="AA2066" s="1"/>
      <c r="AB2066" s="1"/>
      <c r="AC2066" s="1" t="s">
        <v>1925</v>
      </c>
      <c r="AD2066" s="1"/>
      <c r="AE2066" s="18">
        <v>46125.0</v>
      </c>
      <c r="AF2066" s="1" t="s">
        <v>3186</v>
      </c>
      <c r="AG2066" s="1" t="s">
        <v>52</v>
      </c>
      <c r="AH2066" s="1" t="s">
        <v>1152</v>
      </c>
      <c r="AI2066" s="1"/>
      <c r="AJ2066" s="1" t="s">
        <v>6923</v>
      </c>
      <c r="AK2066" s="1" t="s">
        <v>1152</v>
      </c>
      <c r="AL2066" s="6" t="str">
        <f t="array" ref="AL2066">IFERROR(IFS(XLOOKUP(B2066, 'Kit Delivery Status'!$U:$U, 'Kit Delivery Status'!$K:$K) = "Complete", "DELIVERED", XLOOKUP(B2066, 'Kit Delivery Status'!$U:$U, 'Kit Delivery Status'!$K:$K) = "Issue", "ISSUE"), "")</f>
        <v/>
      </c>
      <c r="AM2066" s="6"/>
    </row>
    <row r="2067">
      <c r="A2067" s="5" t="s">
        <v>10000</v>
      </c>
      <c r="B2067" s="1" t="s">
        <v>10001</v>
      </c>
      <c r="C2067" s="1" t="s">
        <v>5670</v>
      </c>
      <c r="D2067" s="2">
        <v>3.14319707E9</v>
      </c>
      <c r="E2067" s="1" t="s">
        <v>5671</v>
      </c>
      <c r="F2067" s="1"/>
      <c r="G2067" s="1" t="s">
        <v>2350</v>
      </c>
      <c r="H2067" s="1" t="s">
        <v>1155</v>
      </c>
      <c r="I2067" s="1">
        <v>63130.0</v>
      </c>
      <c r="J2067" s="1" t="s">
        <v>752</v>
      </c>
      <c r="K2067" s="1" t="s">
        <v>42</v>
      </c>
      <c r="L2067" s="1" t="s">
        <v>6819</v>
      </c>
      <c r="M2067" s="1">
        <v>49.0</v>
      </c>
      <c r="N2067" s="1" t="s">
        <v>1152</v>
      </c>
      <c r="O2067" s="3" t="s">
        <v>2132</v>
      </c>
      <c r="P2067" s="1" t="s">
        <v>1152</v>
      </c>
      <c r="Q2067" s="1" t="s">
        <v>1152</v>
      </c>
      <c r="R2067" s="1"/>
      <c r="S2067" s="1"/>
      <c r="T2067" s="1" t="s">
        <v>1152</v>
      </c>
      <c r="U2067" s="1" t="s">
        <v>1812</v>
      </c>
      <c r="V2067" s="4" t="s">
        <v>2132</v>
      </c>
      <c r="W2067" s="1"/>
      <c r="X2067" s="1" t="s">
        <v>1152</v>
      </c>
      <c r="Y2067" s="1" t="s">
        <v>1152</v>
      </c>
      <c r="Z2067" s="1"/>
      <c r="AA2067" s="1"/>
      <c r="AB2067" s="1"/>
      <c r="AC2067" s="1" t="s">
        <v>1925</v>
      </c>
      <c r="AD2067" s="1"/>
      <c r="AE2067" s="18">
        <v>46143.0</v>
      </c>
      <c r="AF2067" s="1" t="s">
        <v>1030</v>
      </c>
      <c r="AG2067" s="1" t="s">
        <v>52</v>
      </c>
      <c r="AH2067" s="1" t="s">
        <v>1152</v>
      </c>
      <c r="AI2067" s="1"/>
      <c r="AJ2067" s="1" t="s">
        <v>10002</v>
      </c>
      <c r="AK2067" s="1" t="s">
        <v>1152</v>
      </c>
      <c r="AL2067" s="6" t="str">
        <f t="array" ref="AL2067">IFERROR(IFS(XLOOKUP(B2067, 'Kit Delivery Status'!$U:$U, 'Kit Delivery Status'!$K:$K) = "Complete", "DELIVERED", XLOOKUP(B2067, 'Kit Delivery Status'!$U:$U, 'Kit Delivery Status'!$K:$K) = "Issue", "ISSUE"), "")</f>
        <v/>
      </c>
      <c r="AM2067" s="6"/>
    </row>
    <row r="2068">
      <c r="A2068" s="5" t="s">
        <v>10003</v>
      </c>
      <c r="B2068" s="1" t="s">
        <v>10004</v>
      </c>
      <c r="C2068" s="1" t="s">
        <v>10005</v>
      </c>
      <c r="D2068" s="2">
        <v>2.179796836E9</v>
      </c>
      <c r="E2068" s="1" t="s">
        <v>2658</v>
      </c>
      <c r="F2068" s="1"/>
      <c r="G2068" s="1" t="s">
        <v>2350</v>
      </c>
      <c r="H2068" s="1" t="s">
        <v>1155</v>
      </c>
      <c r="I2068" s="1">
        <v>63130.0</v>
      </c>
      <c r="J2068" s="1" t="s">
        <v>752</v>
      </c>
      <c r="K2068" s="1" t="s">
        <v>42</v>
      </c>
      <c r="L2068" s="1" t="s">
        <v>6819</v>
      </c>
      <c r="M2068" s="1">
        <v>49.0</v>
      </c>
      <c r="N2068" s="1" t="s">
        <v>1152</v>
      </c>
      <c r="O2068" s="3" t="s">
        <v>1292</v>
      </c>
      <c r="P2068" s="1" t="s">
        <v>1152</v>
      </c>
      <c r="Q2068" s="1" t="s">
        <v>1152</v>
      </c>
      <c r="R2068" s="1"/>
      <c r="S2068" s="1"/>
      <c r="T2068" s="1" t="s">
        <v>1152</v>
      </c>
      <c r="U2068" s="1" t="s">
        <v>1828</v>
      </c>
      <c r="V2068" s="4" t="s">
        <v>1292</v>
      </c>
      <c r="W2068" s="1"/>
      <c r="X2068" s="1" t="s">
        <v>1152</v>
      </c>
      <c r="Y2068" s="1" t="s">
        <v>1152</v>
      </c>
      <c r="Z2068" s="1"/>
      <c r="AA2068" s="1"/>
      <c r="AB2068" s="1"/>
      <c r="AC2068" s="1" t="s">
        <v>1925</v>
      </c>
      <c r="AD2068" s="1"/>
      <c r="AE2068" s="18">
        <v>46157.0</v>
      </c>
      <c r="AF2068" s="1" t="s">
        <v>1349</v>
      </c>
      <c r="AG2068" s="1" t="s">
        <v>52</v>
      </c>
      <c r="AH2068" s="1" t="s">
        <v>1152</v>
      </c>
      <c r="AI2068" s="1"/>
      <c r="AJ2068" s="1" t="s">
        <v>2658</v>
      </c>
      <c r="AK2068" s="1" t="s">
        <v>1152</v>
      </c>
      <c r="AL2068" s="6" t="str">
        <f t="array" ref="AL2068">IFERROR(IFS(XLOOKUP(B2068, 'Kit Delivery Status'!$U:$U, 'Kit Delivery Status'!$K:$K) = "Complete", "DELIVERED", XLOOKUP(B2068, 'Kit Delivery Status'!$U:$U, 'Kit Delivery Status'!$K:$K) = "Issue", "ISSUE"), "")</f>
        <v/>
      </c>
      <c r="AM2068" s="6"/>
    </row>
    <row r="2069">
      <c r="A2069" s="5" t="s">
        <v>10006</v>
      </c>
      <c r="B2069" s="1" t="s">
        <v>10007</v>
      </c>
      <c r="C2069" s="1"/>
      <c r="D2069" s="2">
        <v>8.574721138E9</v>
      </c>
      <c r="E2069" s="1" t="s">
        <v>10008</v>
      </c>
      <c r="F2069" s="1"/>
      <c r="G2069" s="1" t="s">
        <v>5404</v>
      </c>
      <c r="H2069" s="1" t="s">
        <v>1121</v>
      </c>
      <c r="I2069" s="1">
        <v>2481.0</v>
      </c>
      <c r="J2069" s="1" t="s">
        <v>752</v>
      </c>
      <c r="K2069" s="1" t="s">
        <v>42</v>
      </c>
      <c r="L2069" s="1" t="s">
        <v>7863</v>
      </c>
      <c r="M2069" s="1">
        <v>79.0</v>
      </c>
      <c r="N2069" s="1" t="s">
        <v>1152</v>
      </c>
      <c r="O2069" s="3" t="s">
        <v>9703</v>
      </c>
      <c r="P2069" s="1" t="s">
        <v>1152</v>
      </c>
      <c r="Q2069" s="1" t="s">
        <v>1152</v>
      </c>
      <c r="R2069" s="1"/>
      <c r="S2069" s="1"/>
      <c r="T2069" s="1" t="s">
        <v>1152</v>
      </c>
      <c r="U2069" s="1" t="s">
        <v>1133</v>
      </c>
      <c r="V2069" s="4" t="s">
        <v>9703</v>
      </c>
      <c r="W2069" s="1"/>
      <c r="X2069" s="1" t="s">
        <v>1152</v>
      </c>
      <c r="Y2069" s="1" t="s">
        <v>1152</v>
      </c>
      <c r="Z2069" s="1"/>
      <c r="AA2069" s="1"/>
      <c r="AB2069" s="1"/>
      <c r="AC2069" s="1" t="s">
        <v>1925</v>
      </c>
      <c r="AD2069" s="1"/>
      <c r="AE2069" s="18">
        <v>46149.0</v>
      </c>
      <c r="AF2069" s="1" t="s">
        <v>1030</v>
      </c>
      <c r="AG2069" s="1" t="s">
        <v>52</v>
      </c>
      <c r="AH2069" s="1" t="s">
        <v>1152</v>
      </c>
      <c r="AI2069" s="1"/>
      <c r="AJ2069" s="1" t="s">
        <v>5403</v>
      </c>
      <c r="AK2069" s="1" t="s">
        <v>1152</v>
      </c>
      <c r="AL2069" s="6" t="str">
        <f t="array" ref="AL2069">IFERROR(IFS(XLOOKUP(B2069, 'Kit Delivery Status'!$U:$U, 'Kit Delivery Status'!$K:$K) = "Complete", "DELIVERED", XLOOKUP(B2069, 'Kit Delivery Status'!$U:$U, 'Kit Delivery Status'!$K:$K) = "Issue", "ISSUE"), "")</f>
        <v/>
      </c>
      <c r="AM2069" s="6"/>
    </row>
    <row r="2070">
      <c r="A2070" s="5" t="s">
        <v>10009</v>
      </c>
      <c r="B2070" s="1" t="s">
        <v>10010</v>
      </c>
      <c r="C2070" s="1" t="s">
        <v>10011</v>
      </c>
      <c r="D2070" s="2">
        <v>8.322072972E9</v>
      </c>
      <c r="E2070" s="1" t="s">
        <v>10012</v>
      </c>
      <c r="F2070" s="1"/>
      <c r="G2070" s="1" t="s">
        <v>1609</v>
      </c>
      <c r="H2070" s="1" t="s">
        <v>1583</v>
      </c>
      <c r="I2070" s="1">
        <v>77044.0</v>
      </c>
      <c r="J2070" s="1" t="s">
        <v>752</v>
      </c>
      <c r="K2070" s="1" t="s">
        <v>42</v>
      </c>
      <c r="L2070" s="1" t="s">
        <v>6819</v>
      </c>
      <c r="M2070" s="1">
        <v>49.0</v>
      </c>
      <c r="N2070" s="1" t="s">
        <v>1152</v>
      </c>
      <c r="O2070" s="3" t="s">
        <v>10013</v>
      </c>
      <c r="P2070" s="1" t="s">
        <v>1152</v>
      </c>
      <c r="Q2070" s="1" t="s">
        <v>1152</v>
      </c>
      <c r="R2070" s="1"/>
      <c r="S2070" s="1"/>
      <c r="T2070" s="1" t="s">
        <v>1152</v>
      </c>
      <c r="U2070" s="1" t="s">
        <v>1039</v>
      </c>
      <c r="V2070" s="4" t="s">
        <v>10013</v>
      </c>
      <c r="W2070" s="1"/>
      <c r="X2070" s="1" t="s">
        <v>1152</v>
      </c>
      <c r="Y2070" s="1" t="s">
        <v>1152</v>
      </c>
      <c r="Z2070" s="1"/>
      <c r="AA2070" s="1"/>
      <c r="AB2070" s="1"/>
      <c r="AC2070" s="1" t="s">
        <v>1925</v>
      </c>
      <c r="AD2070" s="1"/>
      <c r="AE2070" s="18">
        <v>46148.0</v>
      </c>
      <c r="AF2070" s="1" t="s">
        <v>1349</v>
      </c>
      <c r="AG2070" s="1" t="s">
        <v>52</v>
      </c>
      <c r="AH2070" s="1" t="s">
        <v>1152</v>
      </c>
      <c r="AI2070" s="1"/>
      <c r="AJ2070" s="1" t="s">
        <v>10012</v>
      </c>
      <c r="AK2070" s="1" t="s">
        <v>1152</v>
      </c>
      <c r="AL2070" s="6" t="str">
        <f t="array" ref="AL2070">IFERROR(IFS(XLOOKUP(B2070, 'Kit Delivery Status'!$U:$U, 'Kit Delivery Status'!$K:$K) = "Complete", "DELIVERED", XLOOKUP(B2070, 'Kit Delivery Status'!$U:$U, 'Kit Delivery Status'!$K:$K) = "Issue", "ISSUE"), "")</f>
        <v/>
      </c>
      <c r="AM2070" s="6"/>
    </row>
    <row r="2071">
      <c r="A2071" s="5" t="s">
        <v>10014</v>
      </c>
      <c r="B2071" s="1" t="s">
        <v>10015</v>
      </c>
      <c r="C2071" s="1" t="s">
        <v>3259</v>
      </c>
      <c r="D2071" s="2">
        <v>9.178591903E9</v>
      </c>
      <c r="E2071" s="1" t="s">
        <v>3260</v>
      </c>
      <c r="F2071" s="1"/>
      <c r="G2071" s="1" t="s">
        <v>2361</v>
      </c>
      <c r="H2071" s="1" t="s">
        <v>1053</v>
      </c>
      <c r="I2071" s="1">
        <v>7028.0</v>
      </c>
      <c r="J2071" s="1" t="s">
        <v>752</v>
      </c>
      <c r="K2071" s="1" t="s">
        <v>42</v>
      </c>
      <c r="L2071" s="1" t="s">
        <v>6819</v>
      </c>
      <c r="M2071" s="1">
        <v>49.0</v>
      </c>
      <c r="N2071" s="1" t="s">
        <v>1152</v>
      </c>
      <c r="O2071" s="3" t="s">
        <v>10016</v>
      </c>
      <c r="P2071" s="1" t="s">
        <v>1152</v>
      </c>
      <c r="Q2071" s="1" t="s">
        <v>1152</v>
      </c>
      <c r="R2071" s="1"/>
      <c r="S2071" s="1"/>
      <c r="T2071" s="1" t="s">
        <v>1152</v>
      </c>
      <c r="U2071" s="1" t="s">
        <v>1055</v>
      </c>
      <c r="V2071" s="4" t="s">
        <v>10016</v>
      </c>
      <c r="W2071" s="1"/>
      <c r="X2071" s="1" t="s">
        <v>1152</v>
      </c>
      <c r="Y2071" s="1" t="s">
        <v>1152</v>
      </c>
      <c r="Z2071" s="1"/>
      <c r="AA2071" s="1"/>
      <c r="AB2071" s="1"/>
      <c r="AC2071" s="1" t="s">
        <v>1925</v>
      </c>
      <c r="AD2071" s="1"/>
      <c r="AE2071" s="18">
        <v>46149.0</v>
      </c>
      <c r="AF2071" s="1" t="s">
        <v>1440</v>
      </c>
      <c r="AG2071" s="1" t="s">
        <v>52</v>
      </c>
      <c r="AH2071" s="1" t="s">
        <v>1152</v>
      </c>
      <c r="AI2071" s="1"/>
      <c r="AJ2071" s="1" t="s">
        <v>3260</v>
      </c>
      <c r="AK2071" s="1" t="s">
        <v>1152</v>
      </c>
      <c r="AL2071" s="6" t="str">
        <f t="array" ref="AL2071">IFERROR(IFS(XLOOKUP(B2071, 'Kit Delivery Status'!$U:$U, 'Kit Delivery Status'!$K:$K) = "Complete", "DELIVERED", XLOOKUP(B2071, 'Kit Delivery Status'!$U:$U, 'Kit Delivery Status'!$K:$K) = "Issue", "ISSUE"), "")</f>
        <v/>
      </c>
      <c r="AM2071" s="6"/>
    </row>
    <row r="2072">
      <c r="A2072" s="5" t="s">
        <v>10017</v>
      </c>
      <c r="B2072" s="1" t="s">
        <v>10018</v>
      </c>
      <c r="C2072" s="1" t="s">
        <v>10019</v>
      </c>
      <c r="D2072" s="2">
        <v>6.787839777E9</v>
      </c>
      <c r="E2072" s="1" t="s">
        <v>10020</v>
      </c>
      <c r="F2072" s="1"/>
      <c r="G2072" s="1" t="s">
        <v>10021</v>
      </c>
      <c r="H2072" s="1" t="s">
        <v>946</v>
      </c>
      <c r="I2072" s="1">
        <v>30068.0</v>
      </c>
      <c r="J2072" s="1" t="s">
        <v>752</v>
      </c>
      <c r="K2072" s="1" t="s">
        <v>42</v>
      </c>
      <c r="L2072" s="1" t="s">
        <v>8365</v>
      </c>
      <c r="M2072" s="1">
        <v>49.0</v>
      </c>
      <c r="N2072" s="1" t="s">
        <v>1152</v>
      </c>
      <c r="O2072" s="3" t="s">
        <v>10022</v>
      </c>
      <c r="P2072" s="1" t="s">
        <v>1152</v>
      </c>
      <c r="Q2072" s="1" t="s">
        <v>1152</v>
      </c>
      <c r="R2072" s="1"/>
      <c r="S2072" s="1"/>
      <c r="T2072" s="1" t="s">
        <v>1152</v>
      </c>
      <c r="U2072" s="1" t="s">
        <v>1749</v>
      </c>
      <c r="V2072" s="4" t="s">
        <v>10022</v>
      </c>
      <c r="W2072" s="1"/>
      <c r="X2072" s="1" t="s">
        <v>1152</v>
      </c>
      <c r="Y2072" s="1" t="s">
        <v>1152</v>
      </c>
      <c r="Z2072" s="1"/>
      <c r="AA2072" s="1"/>
      <c r="AB2072" s="1"/>
      <c r="AC2072" s="1" t="s">
        <v>1925</v>
      </c>
      <c r="AD2072" s="1"/>
      <c r="AE2072" s="18">
        <v>46149.0</v>
      </c>
      <c r="AF2072" s="1" t="s">
        <v>1440</v>
      </c>
      <c r="AG2072" s="1" t="s">
        <v>52</v>
      </c>
      <c r="AH2072" s="1" t="s">
        <v>1152</v>
      </c>
      <c r="AI2072" s="1"/>
      <c r="AJ2072" s="1" t="s">
        <v>10020</v>
      </c>
      <c r="AK2072" s="1" t="s">
        <v>1152</v>
      </c>
      <c r="AL2072" s="6" t="str">
        <f t="array" ref="AL2072">IFERROR(IFS(XLOOKUP(B2072, 'Kit Delivery Status'!$U:$U, 'Kit Delivery Status'!$K:$K) = "Complete", "DELIVERED", XLOOKUP(B2072, 'Kit Delivery Status'!$U:$U, 'Kit Delivery Status'!$K:$K) = "Issue", "ISSUE"), "")</f>
        <v/>
      </c>
      <c r="AM2072" s="6"/>
    </row>
    <row r="2073">
      <c r="A2073" s="5" t="s">
        <v>10023</v>
      </c>
      <c r="B2073" s="1" t="s">
        <v>10024</v>
      </c>
      <c r="C2073" s="1" t="s">
        <v>10025</v>
      </c>
      <c r="D2073" s="2">
        <v>6.4655256E9</v>
      </c>
      <c r="E2073" s="1" t="s">
        <v>10026</v>
      </c>
      <c r="F2073" s="1"/>
      <c r="G2073" s="1" t="s">
        <v>751</v>
      </c>
      <c r="H2073" s="1" t="s">
        <v>751</v>
      </c>
      <c r="I2073" s="1">
        <v>10128.0</v>
      </c>
      <c r="J2073" s="1" t="s">
        <v>752</v>
      </c>
      <c r="K2073" s="1" t="s">
        <v>42</v>
      </c>
      <c r="L2073" s="1" t="s">
        <v>6819</v>
      </c>
      <c r="M2073" s="1">
        <v>49.0</v>
      </c>
      <c r="N2073" s="1" t="s">
        <v>1152</v>
      </c>
      <c r="O2073" s="3" t="s">
        <v>10027</v>
      </c>
      <c r="P2073" s="1" t="s">
        <v>1152</v>
      </c>
      <c r="Q2073" s="1" t="s">
        <v>1152</v>
      </c>
      <c r="R2073" s="1"/>
      <c r="S2073" s="1"/>
      <c r="T2073" s="1" t="s">
        <v>1152</v>
      </c>
      <c r="U2073" s="1" t="s">
        <v>1710</v>
      </c>
      <c r="V2073" s="4" t="s">
        <v>10027</v>
      </c>
      <c r="W2073" s="1"/>
      <c r="X2073" s="1" t="s">
        <v>1152</v>
      </c>
      <c r="Y2073" s="1" t="s">
        <v>1152</v>
      </c>
      <c r="Z2073" s="1"/>
      <c r="AA2073" s="1"/>
      <c r="AB2073" s="1"/>
      <c r="AC2073" s="1" t="s">
        <v>1925</v>
      </c>
      <c r="AD2073" s="1"/>
      <c r="AE2073" s="18">
        <v>46146.0</v>
      </c>
      <c r="AF2073" s="1" t="s">
        <v>1030</v>
      </c>
      <c r="AG2073" s="1" t="s">
        <v>52</v>
      </c>
      <c r="AH2073" s="1" t="s">
        <v>1152</v>
      </c>
      <c r="AI2073" s="1"/>
      <c r="AJ2073" s="1" t="s">
        <v>10028</v>
      </c>
      <c r="AK2073" s="1" t="s">
        <v>1152</v>
      </c>
      <c r="AL2073" s="6" t="str">
        <f t="array" ref="AL2073">IFERROR(IFS(XLOOKUP(B2073, 'Kit Delivery Status'!$U:$U, 'Kit Delivery Status'!$K:$K) = "Complete", "DELIVERED", XLOOKUP(B2073, 'Kit Delivery Status'!$U:$U, 'Kit Delivery Status'!$K:$K) = "Issue", "ISSUE"), "")</f>
        <v/>
      </c>
      <c r="AM2073" s="6"/>
    </row>
    <row r="2074">
      <c r="A2074" s="5" t="s">
        <v>10029</v>
      </c>
      <c r="B2074" s="1" t="s">
        <v>10030</v>
      </c>
      <c r="C2074" s="1"/>
      <c r="D2074" s="2">
        <v>4.158068294E9</v>
      </c>
      <c r="E2074" s="1" t="s">
        <v>7321</v>
      </c>
      <c r="F2074" s="1"/>
      <c r="G2074" s="1" t="s">
        <v>7322</v>
      </c>
      <c r="H2074" s="1" t="s">
        <v>989</v>
      </c>
      <c r="I2074" s="1" t="s">
        <v>10031</v>
      </c>
      <c r="J2074" s="1" t="s">
        <v>752</v>
      </c>
      <c r="K2074" s="1" t="s">
        <v>42</v>
      </c>
      <c r="L2074" s="1" t="s">
        <v>6819</v>
      </c>
      <c r="M2074" s="1">
        <v>49.0</v>
      </c>
      <c r="N2074" s="1" t="s">
        <v>1152</v>
      </c>
      <c r="O2074" s="3" t="s">
        <v>10032</v>
      </c>
      <c r="P2074" s="1" t="s">
        <v>1152</v>
      </c>
      <c r="Q2074" s="1" t="s">
        <v>1152</v>
      </c>
      <c r="R2074" s="1"/>
      <c r="S2074" s="1"/>
      <c r="T2074" s="1" t="s">
        <v>1152</v>
      </c>
      <c r="U2074" s="1" t="s">
        <v>1456</v>
      </c>
      <c r="V2074" s="4" t="s">
        <v>10032</v>
      </c>
      <c r="W2074" s="1"/>
      <c r="X2074" s="1" t="s">
        <v>1152</v>
      </c>
      <c r="Y2074" s="1" t="s">
        <v>1152</v>
      </c>
      <c r="Z2074" s="1"/>
      <c r="AA2074" s="1"/>
      <c r="AB2074" s="1"/>
      <c r="AC2074" s="1" t="s">
        <v>1925</v>
      </c>
      <c r="AD2074" s="1"/>
      <c r="AE2074" s="18">
        <v>46148.0</v>
      </c>
      <c r="AF2074" s="1" t="s">
        <v>1440</v>
      </c>
      <c r="AG2074" s="1" t="s">
        <v>52</v>
      </c>
      <c r="AH2074" s="1" t="s">
        <v>1152</v>
      </c>
      <c r="AI2074" s="1" t="s">
        <v>10033</v>
      </c>
      <c r="AJ2074" s="1" t="s">
        <v>7323</v>
      </c>
      <c r="AK2074" s="1" t="s">
        <v>1152</v>
      </c>
      <c r="AL2074" s="6" t="str">
        <f t="array" ref="AL2074">IFERROR(IFS(XLOOKUP(B2074, 'Kit Delivery Status'!$U:$U, 'Kit Delivery Status'!$K:$K) = "Complete", "DELIVERED", XLOOKUP(B2074, 'Kit Delivery Status'!$U:$U, 'Kit Delivery Status'!$K:$K) = "Issue", "ISSUE"), "")</f>
        <v/>
      </c>
      <c r="AM2074" s="6"/>
    </row>
    <row r="2075">
      <c r="A2075" s="5" t="s">
        <v>10034</v>
      </c>
      <c r="B2075" s="1" t="s">
        <v>10035</v>
      </c>
      <c r="C2075" s="1" t="s">
        <v>10036</v>
      </c>
      <c r="D2075" s="2">
        <v>6.507887852E9</v>
      </c>
      <c r="E2075" s="1" t="s">
        <v>10037</v>
      </c>
      <c r="F2075" s="1"/>
      <c r="G2075" s="1" t="s">
        <v>10038</v>
      </c>
      <c r="H2075" s="1" t="s">
        <v>989</v>
      </c>
      <c r="I2075" s="1">
        <v>94027.0</v>
      </c>
      <c r="J2075" s="1" t="s">
        <v>752</v>
      </c>
      <c r="K2075" s="1" t="s">
        <v>42</v>
      </c>
      <c r="L2075" s="1" t="s">
        <v>6819</v>
      </c>
      <c r="M2075" s="1">
        <v>49.0</v>
      </c>
      <c r="N2075" s="1" t="s">
        <v>1152</v>
      </c>
      <c r="O2075" s="3" t="s">
        <v>2442</v>
      </c>
      <c r="P2075" s="1" t="s">
        <v>1152</v>
      </c>
      <c r="Q2075" s="1" t="s">
        <v>1152</v>
      </c>
      <c r="R2075" s="1"/>
      <c r="S2075" s="1"/>
      <c r="T2075" s="1" t="s">
        <v>1152</v>
      </c>
      <c r="U2075" s="1" t="s">
        <v>1039</v>
      </c>
      <c r="V2075" s="4" t="s">
        <v>2442</v>
      </c>
      <c r="W2075" s="1"/>
      <c r="X2075" s="1" t="s">
        <v>1152</v>
      </c>
      <c r="Y2075" s="1" t="s">
        <v>1152</v>
      </c>
      <c r="Z2075" s="1"/>
      <c r="AA2075" s="1"/>
      <c r="AB2075" s="1"/>
      <c r="AC2075" s="1" t="s">
        <v>1925</v>
      </c>
      <c r="AD2075" s="1"/>
      <c r="AE2075" s="18">
        <v>46147.0</v>
      </c>
      <c r="AF2075" s="1" t="s">
        <v>1440</v>
      </c>
      <c r="AG2075" s="1" t="s">
        <v>52</v>
      </c>
      <c r="AH2075" s="1" t="s">
        <v>1152</v>
      </c>
      <c r="AI2075" s="1"/>
      <c r="AJ2075" s="1" t="s">
        <v>10037</v>
      </c>
      <c r="AK2075" s="1" t="s">
        <v>1152</v>
      </c>
      <c r="AL2075" s="6" t="str">
        <f t="array" ref="AL2075">IFERROR(IFS(XLOOKUP(B2075, 'Kit Delivery Status'!$U:$U, 'Kit Delivery Status'!$K:$K) = "Complete", "DELIVERED", XLOOKUP(B2075, 'Kit Delivery Status'!$U:$U, 'Kit Delivery Status'!$K:$K) = "Issue", "ISSUE"), "")</f>
        <v/>
      </c>
      <c r="AM2075" s="6"/>
    </row>
    <row r="2076">
      <c r="A2076" s="5" t="s">
        <v>10039</v>
      </c>
      <c r="B2076" s="1" t="s">
        <v>10040</v>
      </c>
      <c r="C2076" s="1" t="s">
        <v>10041</v>
      </c>
      <c r="D2076" s="2">
        <v>5.093320955E9</v>
      </c>
      <c r="E2076" s="1" t="s">
        <v>10042</v>
      </c>
      <c r="F2076" s="1"/>
      <c r="G2076" s="1" t="s">
        <v>4020</v>
      </c>
      <c r="H2076" s="1" t="s">
        <v>980</v>
      </c>
      <c r="I2076" s="1">
        <v>99163.0</v>
      </c>
      <c r="J2076" s="1" t="s">
        <v>752</v>
      </c>
      <c r="K2076" s="1" t="s">
        <v>42</v>
      </c>
      <c r="L2076" s="1" t="s">
        <v>6819</v>
      </c>
      <c r="M2076" s="1">
        <v>49.0</v>
      </c>
      <c r="N2076" s="1" t="s">
        <v>1152</v>
      </c>
      <c r="O2076" s="3" t="s">
        <v>10043</v>
      </c>
      <c r="P2076" s="1" t="s">
        <v>1152</v>
      </c>
      <c r="Q2076" s="1" t="s">
        <v>1152</v>
      </c>
      <c r="R2076" s="1"/>
      <c r="S2076" s="1"/>
      <c r="T2076" s="1" t="s">
        <v>1152</v>
      </c>
      <c r="U2076" s="1" t="s">
        <v>1249</v>
      </c>
      <c r="V2076" s="4" t="s">
        <v>10043</v>
      </c>
      <c r="W2076" s="1"/>
      <c r="X2076" s="1" t="s">
        <v>1152</v>
      </c>
      <c r="Y2076" s="1" t="s">
        <v>1152</v>
      </c>
      <c r="Z2076" s="1"/>
      <c r="AA2076" s="1"/>
      <c r="AB2076" s="1"/>
      <c r="AC2076" s="1" t="s">
        <v>1925</v>
      </c>
      <c r="AD2076" s="1"/>
      <c r="AE2076" s="18">
        <v>46147.0</v>
      </c>
      <c r="AF2076" s="1" t="s">
        <v>1103</v>
      </c>
      <c r="AG2076" s="1" t="s">
        <v>52</v>
      </c>
      <c r="AH2076" s="1" t="s">
        <v>1152</v>
      </c>
      <c r="AI2076" s="1"/>
      <c r="AJ2076" s="1" t="s">
        <v>4019</v>
      </c>
      <c r="AK2076" s="1" t="s">
        <v>1152</v>
      </c>
      <c r="AL2076" s="6" t="str">
        <f t="array" ref="AL2076">IFERROR(IFS(XLOOKUP(B2076, 'Kit Delivery Status'!$U:$U, 'Kit Delivery Status'!$K:$K) = "Complete", "DELIVERED", XLOOKUP(B2076, 'Kit Delivery Status'!$U:$U, 'Kit Delivery Status'!$K:$K) = "Issue", "ISSUE"), "")</f>
        <v/>
      </c>
      <c r="AM2076" s="6"/>
    </row>
    <row r="2077">
      <c r="A2077" s="5" t="s">
        <v>10044</v>
      </c>
      <c r="B2077" s="1" t="s">
        <v>10045</v>
      </c>
      <c r="C2077" s="1"/>
      <c r="D2077" s="2">
        <v>5.732590239E9</v>
      </c>
      <c r="E2077" s="1" t="s">
        <v>10046</v>
      </c>
      <c r="F2077" s="1"/>
      <c r="G2077" s="1" t="s">
        <v>10047</v>
      </c>
      <c r="H2077" s="1" t="s">
        <v>1155</v>
      </c>
      <c r="I2077" s="1">
        <v>65355.0</v>
      </c>
      <c r="J2077" s="1" t="s">
        <v>752</v>
      </c>
      <c r="K2077" s="1" t="s">
        <v>42</v>
      </c>
      <c r="L2077" s="1" t="s">
        <v>6819</v>
      </c>
      <c r="M2077" s="1">
        <v>49.0</v>
      </c>
      <c r="N2077" s="1" t="s">
        <v>1152</v>
      </c>
      <c r="O2077" s="3" t="s">
        <v>8647</v>
      </c>
      <c r="P2077" s="1" t="s">
        <v>1152</v>
      </c>
      <c r="Q2077" s="1" t="s">
        <v>1152</v>
      </c>
      <c r="R2077" s="1"/>
      <c r="S2077" s="1"/>
      <c r="T2077" s="1" t="s">
        <v>1152</v>
      </c>
      <c r="U2077" s="1" t="s">
        <v>1710</v>
      </c>
      <c r="V2077" s="4" t="s">
        <v>8647</v>
      </c>
      <c r="W2077" s="1"/>
      <c r="X2077" s="1" t="s">
        <v>1152</v>
      </c>
      <c r="Y2077" s="1" t="s">
        <v>1152</v>
      </c>
      <c r="Z2077" s="1"/>
      <c r="AA2077" s="1"/>
      <c r="AB2077" s="1"/>
      <c r="AC2077" s="1" t="s">
        <v>1925</v>
      </c>
      <c r="AD2077" s="1"/>
      <c r="AE2077" s="18">
        <v>46140.0</v>
      </c>
      <c r="AF2077" s="1" t="s">
        <v>1030</v>
      </c>
      <c r="AG2077" s="1" t="s">
        <v>52</v>
      </c>
      <c r="AH2077" s="1" t="s">
        <v>1152</v>
      </c>
      <c r="AI2077" s="1"/>
      <c r="AJ2077" s="1" t="s">
        <v>10048</v>
      </c>
      <c r="AK2077" s="1" t="s">
        <v>1152</v>
      </c>
      <c r="AL2077" s="6" t="str">
        <f t="array" ref="AL2077">IFERROR(IFS(XLOOKUP(B2077, 'Kit Delivery Status'!$U:$U, 'Kit Delivery Status'!$K:$K) = "Complete", "DELIVERED", XLOOKUP(B2077, 'Kit Delivery Status'!$U:$U, 'Kit Delivery Status'!$K:$K) = "Issue", "ISSUE"), "")</f>
        <v/>
      </c>
      <c r="AM2077" s="6"/>
    </row>
    <row r="2078">
      <c r="A2078" s="5" t="s">
        <v>10049</v>
      </c>
      <c r="B2078" s="1" t="s">
        <v>10050</v>
      </c>
      <c r="C2078" s="1"/>
      <c r="D2078" s="2">
        <v>4.802827475E9</v>
      </c>
      <c r="E2078" s="1" t="s">
        <v>10051</v>
      </c>
      <c r="F2078" s="1"/>
      <c r="G2078" s="1" t="s">
        <v>3325</v>
      </c>
      <c r="H2078" s="1" t="s">
        <v>1535</v>
      </c>
      <c r="I2078" s="1">
        <v>85142.0</v>
      </c>
      <c r="J2078" s="1" t="s">
        <v>752</v>
      </c>
      <c r="K2078" s="1" t="s">
        <v>42</v>
      </c>
      <c r="L2078" s="1" t="s">
        <v>7863</v>
      </c>
      <c r="M2078" s="1">
        <v>79.0</v>
      </c>
      <c r="N2078" s="1" t="s">
        <v>1152</v>
      </c>
      <c r="O2078" s="3" t="s">
        <v>3326</v>
      </c>
      <c r="P2078" s="1" t="s">
        <v>1152</v>
      </c>
      <c r="Q2078" s="1" t="s">
        <v>1152</v>
      </c>
      <c r="R2078" s="1"/>
      <c r="S2078" s="1"/>
      <c r="T2078" s="1" t="s">
        <v>1152</v>
      </c>
      <c r="U2078" s="1" t="s">
        <v>1749</v>
      </c>
      <c r="V2078" s="4" t="s">
        <v>3326</v>
      </c>
      <c r="W2078" s="1"/>
      <c r="X2078" s="1" t="s">
        <v>1152</v>
      </c>
      <c r="Y2078" s="1" t="s">
        <v>1152</v>
      </c>
      <c r="Z2078" s="1"/>
      <c r="AA2078" s="1"/>
      <c r="AB2078" s="1"/>
      <c r="AC2078" s="1" t="s">
        <v>1925</v>
      </c>
      <c r="AD2078" s="1"/>
      <c r="AE2078" s="18">
        <v>46154.0</v>
      </c>
      <c r="AF2078" s="1" t="s">
        <v>1440</v>
      </c>
      <c r="AG2078" s="1" t="s">
        <v>52</v>
      </c>
      <c r="AH2078" s="1" t="s">
        <v>1152</v>
      </c>
      <c r="AI2078" s="1"/>
      <c r="AJ2078" s="1" t="s">
        <v>3324</v>
      </c>
      <c r="AK2078" s="1" t="s">
        <v>1152</v>
      </c>
      <c r="AL2078" s="6" t="str">
        <f t="array" ref="AL2078">IFERROR(IFS(XLOOKUP(B2078, 'Kit Delivery Status'!$U:$U, 'Kit Delivery Status'!$K:$K) = "Complete", "DELIVERED", XLOOKUP(B2078, 'Kit Delivery Status'!$U:$U, 'Kit Delivery Status'!$K:$K) = "Issue", "ISSUE"), "")</f>
        <v/>
      </c>
      <c r="AM2078" s="6"/>
    </row>
    <row r="2079">
      <c r="A2079" s="5" t="s">
        <v>10052</v>
      </c>
      <c r="B2079" s="1" t="s">
        <v>10053</v>
      </c>
      <c r="C2079" s="1" t="s">
        <v>10054</v>
      </c>
      <c r="D2079" s="2">
        <v>4.695125718E9</v>
      </c>
      <c r="E2079" s="1" t="s">
        <v>10055</v>
      </c>
      <c r="F2079" s="1"/>
      <c r="G2079" s="1" t="s">
        <v>2715</v>
      </c>
      <c r="H2079" s="1" t="s">
        <v>1583</v>
      </c>
      <c r="I2079" s="1">
        <v>75230.0</v>
      </c>
      <c r="J2079" s="1" t="s">
        <v>752</v>
      </c>
      <c r="K2079" s="1" t="s">
        <v>42</v>
      </c>
      <c r="L2079" s="1" t="s">
        <v>6819</v>
      </c>
      <c r="M2079" s="1">
        <v>49.0</v>
      </c>
      <c r="N2079" s="1" t="s">
        <v>1152</v>
      </c>
      <c r="O2079" s="3" t="s">
        <v>2697</v>
      </c>
      <c r="P2079" s="1" t="s">
        <v>1152</v>
      </c>
      <c r="Q2079" s="1" t="s">
        <v>1152</v>
      </c>
      <c r="R2079" s="1"/>
      <c r="S2079" s="1"/>
      <c r="T2079" s="1" t="s">
        <v>1152</v>
      </c>
      <c r="U2079" s="1" t="s">
        <v>1249</v>
      </c>
      <c r="V2079" s="4" t="s">
        <v>2697</v>
      </c>
      <c r="W2079" s="1"/>
      <c r="X2079" s="1" t="s">
        <v>1152</v>
      </c>
      <c r="Y2079" s="1" t="s">
        <v>1152</v>
      </c>
      <c r="Z2079" s="1"/>
      <c r="AA2079" s="1"/>
      <c r="AB2079" s="1"/>
      <c r="AC2079" s="1" t="s">
        <v>1925</v>
      </c>
      <c r="AD2079" s="1"/>
      <c r="AE2079" s="18">
        <v>46147.0</v>
      </c>
      <c r="AF2079" s="1" t="s">
        <v>1349</v>
      </c>
      <c r="AG2079" s="1" t="s">
        <v>52</v>
      </c>
      <c r="AH2079" s="1" t="s">
        <v>1152</v>
      </c>
      <c r="AI2079" s="1"/>
      <c r="AJ2079" s="1" t="s">
        <v>10055</v>
      </c>
      <c r="AK2079" s="1" t="s">
        <v>1152</v>
      </c>
      <c r="AL2079" s="6" t="str">
        <f t="array" ref="AL2079">IFERROR(IFS(XLOOKUP(B2079, 'Kit Delivery Status'!$U:$U, 'Kit Delivery Status'!$K:$K) = "Complete", "DELIVERED", XLOOKUP(B2079, 'Kit Delivery Status'!$U:$U, 'Kit Delivery Status'!$K:$K) = "Issue", "ISSUE"), "")</f>
        <v/>
      </c>
      <c r="AM2079" s="6"/>
    </row>
    <row r="2080">
      <c r="A2080" s="5" t="s">
        <v>10056</v>
      </c>
      <c r="B2080" s="1" t="s">
        <v>10057</v>
      </c>
      <c r="C2080" s="1"/>
      <c r="D2080" s="2">
        <v>9.732161992E9</v>
      </c>
      <c r="E2080" s="1" t="s">
        <v>10058</v>
      </c>
      <c r="F2080" s="1"/>
      <c r="G2080" s="1" t="s">
        <v>1467</v>
      </c>
      <c r="H2080" s="1" t="s">
        <v>1053</v>
      </c>
      <c r="I2080" s="1">
        <v>7039.0</v>
      </c>
      <c r="J2080" s="1" t="s">
        <v>752</v>
      </c>
      <c r="K2080" s="1" t="s">
        <v>75</v>
      </c>
      <c r="L2080" s="1" t="s">
        <v>8733</v>
      </c>
      <c r="M2080" s="1">
        <v>49.0</v>
      </c>
      <c r="N2080" s="1" t="s">
        <v>2461</v>
      </c>
      <c r="O2080" s="3" t="s">
        <v>103</v>
      </c>
      <c r="P2080" s="18">
        <v>46247.0</v>
      </c>
      <c r="Q2080" s="1" t="s">
        <v>1152</v>
      </c>
      <c r="R2080" s="1"/>
      <c r="S2080" s="1" t="s">
        <v>52</v>
      </c>
      <c r="T2080" s="1" t="s">
        <v>2461</v>
      </c>
      <c r="U2080" s="1" t="s">
        <v>102</v>
      </c>
      <c r="V2080" s="4" t="s">
        <v>103</v>
      </c>
      <c r="W2080" s="1"/>
      <c r="X2080" s="18">
        <v>46247.0</v>
      </c>
      <c r="Y2080" s="1" t="s">
        <v>1152</v>
      </c>
      <c r="Z2080" s="1"/>
      <c r="AA2080" s="1"/>
      <c r="AB2080" s="1" t="s">
        <v>52</v>
      </c>
      <c r="AC2080" s="1" t="s">
        <v>1925</v>
      </c>
      <c r="AD2080" s="1" t="s">
        <v>10059</v>
      </c>
      <c r="AE2080" s="1" t="s">
        <v>1152</v>
      </c>
      <c r="AF2080" s="1"/>
      <c r="AG2080" s="1"/>
      <c r="AH2080" s="1" t="s">
        <v>1152</v>
      </c>
      <c r="AI2080" s="1" t="s">
        <v>1152</v>
      </c>
      <c r="AJ2080" s="1" t="s">
        <v>10058</v>
      </c>
      <c r="AK2080" s="1" t="s">
        <v>1152</v>
      </c>
      <c r="AL2080" s="6" t="str">
        <f t="array" ref="AL2080">IFERROR(IFS(XLOOKUP(B2080, 'Kit Delivery Status'!$U:$U, 'Kit Delivery Status'!$K:$K) = "Complete", "DELIVERED", XLOOKUP(B2080, 'Kit Delivery Status'!$U:$U, 'Kit Delivery Status'!$K:$K) = "Issue", "ISSUE"), "")</f>
        <v/>
      </c>
      <c r="AM2080" s="6"/>
    </row>
    <row r="2081">
      <c r="A2081" s="5" t="s">
        <v>10060</v>
      </c>
      <c r="B2081" s="1" t="s">
        <v>10061</v>
      </c>
      <c r="C2081" s="1"/>
      <c r="D2081" s="2">
        <v>6.045519618E9</v>
      </c>
      <c r="E2081" s="1" t="s">
        <v>10062</v>
      </c>
      <c r="F2081" s="1"/>
      <c r="G2081" s="1" t="s">
        <v>10063</v>
      </c>
      <c r="H2081" s="1" t="s">
        <v>4559</v>
      </c>
      <c r="I2081" s="1" t="s">
        <v>10064</v>
      </c>
      <c r="J2081" s="1" t="s">
        <v>3582</v>
      </c>
      <c r="K2081" s="1" t="s">
        <v>42</v>
      </c>
      <c r="L2081" s="1" t="s">
        <v>6819</v>
      </c>
      <c r="M2081" s="1">
        <v>49.0</v>
      </c>
      <c r="N2081" s="1" t="s">
        <v>1152</v>
      </c>
      <c r="O2081" s="3" t="s">
        <v>8550</v>
      </c>
      <c r="P2081" s="1" t="s">
        <v>1152</v>
      </c>
      <c r="Q2081" s="1" t="s">
        <v>1152</v>
      </c>
      <c r="R2081" s="1"/>
      <c r="S2081" s="1"/>
      <c r="T2081" s="1" t="s">
        <v>1152</v>
      </c>
      <c r="U2081" s="1" t="s">
        <v>982</v>
      </c>
      <c r="V2081" s="4" t="s">
        <v>8550</v>
      </c>
      <c r="W2081" s="1"/>
      <c r="X2081" s="1" t="s">
        <v>1152</v>
      </c>
      <c r="Y2081" s="1" t="s">
        <v>1152</v>
      </c>
      <c r="Z2081" s="1"/>
      <c r="AA2081" s="1"/>
      <c r="AB2081" s="1"/>
      <c r="AC2081" s="1" t="s">
        <v>1925</v>
      </c>
      <c r="AD2081" s="1"/>
      <c r="AE2081" s="18">
        <v>46150.0</v>
      </c>
      <c r="AF2081" s="1" t="s">
        <v>1455</v>
      </c>
      <c r="AG2081" s="1" t="s">
        <v>52</v>
      </c>
      <c r="AH2081" s="1" t="s">
        <v>1152</v>
      </c>
      <c r="AI2081" s="1" t="s">
        <v>1152</v>
      </c>
      <c r="AJ2081" s="1" t="s">
        <v>10065</v>
      </c>
      <c r="AK2081" s="1" t="s">
        <v>1152</v>
      </c>
      <c r="AL2081" s="6" t="str">
        <f t="array" ref="AL2081">IFERROR(IFS(XLOOKUP(B2081, 'Kit Delivery Status'!$U:$U, 'Kit Delivery Status'!$K:$K) = "Complete", "DELIVERED", XLOOKUP(B2081, 'Kit Delivery Status'!$U:$U, 'Kit Delivery Status'!$K:$K) = "Issue", "ISSUE"), "")</f>
        <v/>
      </c>
      <c r="AM2081" s="6"/>
    </row>
    <row r="2082">
      <c r="A2082" s="5" t="s">
        <v>10066</v>
      </c>
      <c r="B2082" s="1" t="s">
        <v>10067</v>
      </c>
      <c r="C2082" s="1" t="s">
        <v>7076</v>
      </c>
      <c r="D2082" s="2">
        <v>5.027026505E9</v>
      </c>
      <c r="E2082" s="1" t="s">
        <v>10068</v>
      </c>
      <c r="F2082" s="1"/>
      <c r="G2082" s="1" t="s">
        <v>2350</v>
      </c>
      <c r="H2082" s="1" t="s">
        <v>1155</v>
      </c>
      <c r="I2082" s="1">
        <v>63105.0</v>
      </c>
      <c r="J2082" s="1" t="s">
        <v>752</v>
      </c>
      <c r="K2082" s="1" t="s">
        <v>42</v>
      </c>
      <c r="L2082" s="1" t="s">
        <v>7863</v>
      </c>
      <c r="M2082" s="1">
        <v>79.0</v>
      </c>
      <c r="N2082" s="1" t="s">
        <v>1152</v>
      </c>
      <c r="O2082" s="3" t="s">
        <v>3954</v>
      </c>
      <c r="P2082" s="1" t="s">
        <v>1152</v>
      </c>
      <c r="Q2082" s="1" t="s">
        <v>1152</v>
      </c>
      <c r="R2082" s="1"/>
      <c r="S2082" s="1"/>
      <c r="T2082" s="1" t="s">
        <v>1152</v>
      </c>
      <c r="U2082" s="1" t="s">
        <v>1537</v>
      </c>
      <c r="V2082" s="4" t="s">
        <v>3954</v>
      </c>
      <c r="W2082" s="1"/>
      <c r="X2082" s="1" t="s">
        <v>1152</v>
      </c>
      <c r="Y2082" s="1" t="s">
        <v>1152</v>
      </c>
      <c r="Z2082" s="1"/>
      <c r="AA2082" s="1"/>
      <c r="AB2082" s="1"/>
      <c r="AC2082" s="1" t="s">
        <v>1925</v>
      </c>
      <c r="AD2082" s="1"/>
      <c r="AE2082" s="18">
        <v>46143.0</v>
      </c>
      <c r="AF2082" s="1" t="s">
        <v>1103</v>
      </c>
      <c r="AG2082" s="1" t="s">
        <v>52</v>
      </c>
      <c r="AH2082" s="1" t="s">
        <v>1152</v>
      </c>
      <c r="AI2082" s="1" t="s">
        <v>1152</v>
      </c>
      <c r="AJ2082" s="1" t="s">
        <v>10068</v>
      </c>
      <c r="AK2082" s="1" t="s">
        <v>1152</v>
      </c>
      <c r="AL2082" s="6" t="str">
        <f t="array" ref="AL2082">IFERROR(IFS(XLOOKUP(B2082, 'Kit Delivery Status'!$U:$U, 'Kit Delivery Status'!$K:$K) = "Complete", "DELIVERED", XLOOKUP(B2082, 'Kit Delivery Status'!$U:$U, 'Kit Delivery Status'!$K:$K) = "Issue", "ISSUE"), "")</f>
        <v/>
      </c>
      <c r="AM2082" s="6"/>
    </row>
    <row r="2083">
      <c r="A2083" s="5" t="s">
        <v>10069</v>
      </c>
      <c r="B2083" s="1" t="s">
        <v>10070</v>
      </c>
      <c r="C2083" s="1"/>
      <c r="D2083" s="2">
        <v>8.124490494E9</v>
      </c>
      <c r="E2083" s="1" t="s">
        <v>10071</v>
      </c>
      <c r="F2083" s="1"/>
      <c r="G2083" s="1" t="s">
        <v>10072</v>
      </c>
      <c r="H2083" s="1" t="s">
        <v>2242</v>
      </c>
      <c r="I2083" s="1">
        <v>47630.0</v>
      </c>
      <c r="J2083" s="1" t="s">
        <v>752</v>
      </c>
      <c r="K2083" s="1" t="s">
        <v>42</v>
      </c>
      <c r="L2083" s="1" t="s">
        <v>6819</v>
      </c>
      <c r="M2083" s="1">
        <v>49.0</v>
      </c>
      <c r="N2083" s="1" t="s">
        <v>1152</v>
      </c>
      <c r="O2083" s="3" t="s">
        <v>10073</v>
      </c>
      <c r="P2083" s="1" t="s">
        <v>1152</v>
      </c>
      <c r="Q2083" s="1" t="s">
        <v>1152</v>
      </c>
      <c r="R2083" s="1"/>
      <c r="S2083" s="1"/>
      <c r="T2083" s="1" t="s">
        <v>1152</v>
      </c>
      <c r="U2083" s="1" t="s">
        <v>6053</v>
      </c>
      <c r="V2083" s="4" t="s">
        <v>10073</v>
      </c>
      <c r="W2083" s="1"/>
      <c r="X2083" s="1" t="s">
        <v>1152</v>
      </c>
      <c r="Y2083" s="1" t="s">
        <v>1152</v>
      </c>
      <c r="Z2083" s="1"/>
      <c r="AA2083" s="1"/>
      <c r="AB2083" s="1"/>
      <c r="AC2083" s="1" t="s">
        <v>1925</v>
      </c>
      <c r="AD2083" s="1"/>
      <c r="AE2083" s="18">
        <v>46149.0</v>
      </c>
      <c r="AF2083" s="1" t="s">
        <v>1103</v>
      </c>
      <c r="AG2083" s="1" t="s">
        <v>52</v>
      </c>
      <c r="AH2083" s="1" t="s">
        <v>1152</v>
      </c>
      <c r="AI2083" s="1" t="s">
        <v>10074</v>
      </c>
      <c r="AJ2083" s="1" t="s">
        <v>400</v>
      </c>
      <c r="AK2083" s="1" t="s">
        <v>1152</v>
      </c>
      <c r="AL2083" s="6" t="str">
        <f t="array" ref="AL2083">IFERROR(IFS(XLOOKUP(B2083, 'Kit Delivery Status'!$U:$U, 'Kit Delivery Status'!$K:$K) = "Complete", "DELIVERED", XLOOKUP(B2083, 'Kit Delivery Status'!$U:$U, 'Kit Delivery Status'!$K:$K) = "Issue", "ISSUE"), "")</f>
        <v/>
      </c>
      <c r="AM2083" s="6"/>
    </row>
    <row r="2084">
      <c r="A2084" s="5" t="s">
        <v>10075</v>
      </c>
      <c r="B2084" s="1" t="s">
        <v>10076</v>
      </c>
      <c r="C2084" s="1" t="s">
        <v>6060</v>
      </c>
      <c r="D2084" s="2">
        <v>6.177339661E9</v>
      </c>
      <c r="E2084" s="1" t="s">
        <v>10077</v>
      </c>
      <c r="F2084" s="1"/>
      <c r="G2084" s="1" t="s">
        <v>6062</v>
      </c>
      <c r="H2084" s="1" t="s">
        <v>1121</v>
      </c>
      <c r="I2084" s="1">
        <v>2375.0</v>
      </c>
      <c r="J2084" s="1" t="s">
        <v>752</v>
      </c>
      <c r="K2084" s="1" t="s">
        <v>42</v>
      </c>
      <c r="L2084" s="1" t="s">
        <v>7863</v>
      </c>
      <c r="M2084" s="1">
        <v>79.0</v>
      </c>
      <c r="N2084" s="1" t="s">
        <v>1152</v>
      </c>
      <c r="O2084" s="3" t="s">
        <v>6063</v>
      </c>
      <c r="P2084" s="1" t="s">
        <v>1152</v>
      </c>
      <c r="Q2084" s="1" t="s">
        <v>1152</v>
      </c>
      <c r="R2084" s="1"/>
      <c r="S2084" s="1"/>
      <c r="T2084" s="1" t="s">
        <v>1152</v>
      </c>
      <c r="U2084" s="1" t="s">
        <v>1441</v>
      </c>
      <c r="V2084" s="4" t="s">
        <v>6063</v>
      </c>
      <c r="W2084" s="1"/>
      <c r="X2084" s="1" t="s">
        <v>1152</v>
      </c>
      <c r="Y2084" s="1" t="s">
        <v>1152</v>
      </c>
      <c r="Z2084" s="1"/>
      <c r="AA2084" s="1"/>
      <c r="AB2084" s="1"/>
      <c r="AC2084" s="1" t="s">
        <v>1925</v>
      </c>
      <c r="AD2084" s="1"/>
      <c r="AE2084" s="18">
        <v>46144.0</v>
      </c>
      <c r="AF2084" s="1" t="s">
        <v>1349</v>
      </c>
      <c r="AG2084" s="1" t="s">
        <v>52</v>
      </c>
      <c r="AH2084" s="1" t="s">
        <v>1152</v>
      </c>
      <c r="AI2084" s="1" t="s">
        <v>1152</v>
      </c>
      <c r="AJ2084" s="1" t="s">
        <v>6061</v>
      </c>
      <c r="AK2084" s="1" t="s">
        <v>1152</v>
      </c>
      <c r="AL2084" s="6" t="str">
        <f t="array" ref="AL2084">IFERROR(IFS(XLOOKUP(B2084, 'Kit Delivery Status'!$U:$U, 'Kit Delivery Status'!$K:$K) = "Complete", "DELIVERED", XLOOKUP(B2084, 'Kit Delivery Status'!$U:$U, 'Kit Delivery Status'!$K:$K) = "Issue", "ISSUE"), "")</f>
        <v/>
      </c>
      <c r="AM2084" s="6"/>
    </row>
    <row r="2085">
      <c r="A2085" s="5" t="s">
        <v>10078</v>
      </c>
      <c r="B2085" s="1" t="s">
        <v>10079</v>
      </c>
      <c r="C2085" s="1"/>
      <c r="D2085" s="2">
        <v>7.812666995E9</v>
      </c>
      <c r="E2085" s="1" t="s">
        <v>10080</v>
      </c>
      <c r="F2085" s="1"/>
      <c r="G2085" s="1" t="s">
        <v>2056</v>
      </c>
      <c r="H2085" s="1" t="s">
        <v>1121</v>
      </c>
      <c r="I2085" s="1">
        <v>2420.0</v>
      </c>
      <c r="J2085" s="1" t="s">
        <v>752</v>
      </c>
      <c r="K2085" s="1" t="s">
        <v>42</v>
      </c>
      <c r="L2085" s="1" t="s">
        <v>8393</v>
      </c>
      <c r="M2085" s="1">
        <v>109.0</v>
      </c>
      <c r="N2085" s="1" t="s">
        <v>1152</v>
      </c>
      <c r="O2085" s="3" t="s">
        <v>3481</v>
      </c>
      <c r="P2085" s="1" t="s">
        <v>1152</v>
      </c>
      <c r="Q2085" s="1" t="s">
        <v>1152</v>
      </c>
      <c r="R2085" s="1"/>
      <c r="S2085" s="1"/>
      <c r="T2085" s="1" t="s">
        <v>1152</v>
      </c>
      <c r="U2085" s="1" t="s">
        <v>1080</v>
      </c>
      <c r="V2085" s="4" t="s">
        <v>3481</v>
      </c>
      <c r="W2085" s="1"/>
      <c r="X2085" s="1" t="s">
        <v>1152</v>
      </c>
      <c r="Y2085" s="1" t="s">
        <v>1152</v>
      </c>
      <c r="Z2085" s="1"/>
      <c r="AA2085" s="1"/>
      <c r="AB2085" s="1"/>
      <c r="AC2085" s="1" t="s">
        <v>1925</v>
      </c>
      <c r="AD2085" s="1"/>
      <c r="AE2085" s="18">
        <v>46147.0</v>
      </c>
      <c r="AF2085" s="1" t="s">
        <v>1349</v>
      </c>
      <c r="AG2085" s="1" t="s">
        <v>52</v>
      </c>
      <c r="AH2085" s="1" t="s">
        <v>1152</v>
      </c>
      <c r="AI2085" s="1" t="s">
        <v>1152</v>
      </c>
      <c r="AJ2085" s="1" t="s">
        <v>10080</v>
      </c>
      <c r="AK2085" s="1" t="s">
        <v>1152</v>
      </c>
      <c r="AL2085" s="6" t="str">
        <f t="array" ref="AL2085">IFERROR(IFS(XLOOKUP(B2085, 'Kit Delivery Status'!$U:$U, 'Kit Delivery Status'!$K:$K) = "Complete", "DELIVERED", XLOOKUP(B2085, 'Kit Delivery Status'!$U:$U, 'Kit Delivery Status'!$K:$K) = "Issue", "ISSUE"), "")</f>
        <v/>
      </c>
      <c r="AM2085" s="6"/>
    </row>
    <row r="2086">
      <c r="A2086" s="5" t="s">
        <v>10081</v>
      </c>
      <c r="B2086" s="1" t="s">
        <v>10082</v>
      </c>
      <c r="C2086" s="1" t="s">
        <v>5055</v>
      </c>
      <c r="D2086" s="2">
        <v>2.165518808E9</v>
      </c>
      <c r="E2086" s="1" t="s">
        <v>5056</v>
      </c>
      <c r="F2086" s="1"/>
      <c r="G2086" s="1" t="s">
        <v>5057</v>
      </c>
      <c r="H2086" s="1" t="s">
        <v>2171</v>
      </c>
      <c r="I2086" s="1">
        <v>44122.0</v>
      </c>
      <c r="J2086" s="1" t="s">
        <v>752</v>
      </c>
      <c r="K2086" s="1" t="s">
        <v>42</v>
      </c>
      <c r="L2086" s="1" t="s">
        <v>6819</v>
      </c>
      <c r="M2086" s="1">
        <v>49.0</v>
      </c>
      <c r="N2086" s="1" t="s">
        <v>1152</v>
      </c>
      <c r="O2086" s="3" t="s">
        <v>3501</v>
      </c>
      <c r="P2086" s="1" t="s">
        <v>1152</v>
      </c>
      <c r="Q2086" s="1" t="s">
        <v>1152</v>
      </c>
      <c r="R2086" s="1"/>
      <c r="S2086" s="1"/>
      <c r="T2086" s="1" t="s">
        <v>1152</v>
      </c>
      <c r="U2086" s="1" t="s">
        <v>1055</v>
      </c>
      <c r="V2086" s="4" t="s">
        <v>3501</v>
      </c>
      <c r="W2086" s="1"/>
      <c r="X2086" s="1" t="s">
        <v>1152</v>
      </c>
      <c r="Y2086" s="1" t="s">
        <v>1152</v>
      </c>
      <c r="Z2086" s="1"/>
      <c r="AA2086" s="1"/>
      <c r="AB2086" s="1"/>
      <c r="AC2086" s="1" t="s">
        <v>1925</v>
      </c>
      <c r="AD2086" s="1"/>
      <c r="AE2086" s="18">
        <v>46149.0</v>
      </c>
      <c r="AF2086" s="1" t="s">
        <v>1455</v>
      </c>
      <c r="AG2086" s="1" t="s">
        <v>52</v>
      </c>
      <c r="AH2086" s="1" t="s">
        <v>1152</v>
      </c>
      <c r="AI2086" s="1" t="s">
        <v>1152</v>
      </c>
      <c r="AJ2086" s="1" t="s">
        <v>10083</v>
      </c>
      <c r="AK2086" s="1" t="s">
        <v>1152</v>
      </c>
      <c r="AL2086" s="6" t="str">
        <f t="array" ref="AL2086">IFERROR(IFS(XLOOKUP(B2086, 'Kit Delivery Status'!$U:$U, 'Kit Delivery Status'!$K:$K) = "Complete", "DELIVERED", XLOOKUP(B2086, 'Kit Delivery Status'!$U:$U, 'Kit Delivery Status'!$K:$K) = "Issue", "ISSUE"), "")</f>
        <v/>
      </c>
      <c r="AM2086" s="6"/>
    </row>
    <row r="2087">
      <c r="A2087" s="5" t="s">
        <v>10084</v>
      </c>
      <c r="B2087" s="1" t="s">
        <v>10085</v>
      </c>
      <c r="C2087" s="1" t="s">
        <v>10086</v>
      </c>
      <c r="D2087" s="2">
        <v>3.146469956E9</v>
      </c>
      <c r="E2087" s="1" t="s">
        <v>10087</v>
      </c>
      <c r="F2087" s="1"/>
      <c r="G2087" s="1" t="s">
        <v>2350</v>
      </c>
      <c r="H2087" s="1" t="s">
        <v>1155</v>
      </c>
      <c r="I2087" s="1">
        <v>63105.0</v>
      </c>
      <c r="J2087" s="1" t="s">
        <v>752</v>
      </c>
      <c r="K2087" s="1" t="s">
        <v>42</v>
      </c>
      <c r="L2087" s="1" t="s">
        <v>6819</v>
      </c>
      <c r="M2087" s="1">
        <v>49.0</v>
      </c>
      <c r="N2087" s="1" t="s">
        <v>1152</v>
      </c>
      <c r="O2087" s="3" t="s">
        <v>168</v>
      </c>
      <c r="P2087" s="1" t="s">
        <v>1152</v>
      </c>
      <c r="Q2087" s="1" t="s">
        <v>1152</v>
      </c>
      <c r="R2087" s="1"/>
      <c r="S2087" s="1"/>
      <c r="T2087" s="1" t="s">
        <v>1152</v>
      </c>
      <c r="U2087" s="1" t="s">
        <v>1148</v>
      </c>
      <c r="V2087" s="4" t="s">
        <v>168</v>
      </c>
      <c r="W2087" s="1"/>
      <c r="X2087" s="1" t="s">
        <v>1152</v>
      </c>
      <c r="Y2087" s="1" t="s">
        <v>1152</v>
      </c>
      <c r="Z2087" s="1"/>
      <c r="AA2087" s="1"/>
      <c r="AB2087" s="1"/>
      <c r="AC2087" s="1" t="s">
        <v>1925</v>
      </c>
      <c r="AD2087" s="1"/>
      <c r="AE2087" s="18">
        <v>46146.0</v>
      </c>
      <c r="AF2087" s="1" t="s">
        <v>1440</v>
      </c>
      <c r="AG2087" s="1" t="s">
        <v>52</v>
      </c>
      <c r="AH2087" s="1" t="s">
        <v>1152</v>
      </c>
      <c r="AI2087" s="1" t="s">
        <v>1152</v>
      </c>
      <c r="AJ2087" s="1" t="s">
        <v>10087</v>
      </c>
      <c r="AK2087" s="1" t="s">
        <v>1152</v>
      </c>
      <c r="AL2087" s="6" t="str">
        <f t="array" ref="AL2087">IFERROR(IFS(XLOOKUP(B2087, 'Kit Delivery Status'!$U:$U, 'Kit Delivery Status'!$K:$K) = "Complete", "DELIVERED", XLOOKUP(B2087, 'Kit Delivery Status'!$U:$U, 'Kit Delivery Status'!$K:$K) = "Issue", "ISSUE"), "")</f>
        <v/>
      </c>
      <c r="AM2087" s="6"/>
    </row>
    <row r="2088">
      <c r="A2088" s="5" t="s">
        <v>10088</v>
      </c>
      <c r="B2088" s="1" t="s">
        <v>10089</v>
      </c>
      <c r="C2088" s="1" t="s">
        <v>10090</v>
      </c>
      <c r="D2088" s="2">
        <v>2.018447205E9</v>
      </c>
      <c r="E2088" s="1" t="s">
        <v>10091</v>
      </c>
      <c r="F2088" s="1"/>
      <c r="G2088" s="1" t="s">
        <v>1865</v>
      </c>
      <c r="H2088" s="1" t="s">
        <v>1053</v>
      </c>
      <c r="I2088" s="1">
        <v>7078.0</v>
      </c>
      <c r="J2088" s="1" t="s">
        <v>752</v>
      </c>
      <c r="K2088" s="1" t="s">
        <v>42</v>
      </c>
      <c r="L2088" s="1" t="s">
        <v>6819</v>
      </c>
      <c r="M2088" s="1">
        <v>49.0</v>
      </c>
      <c r="N2088" s="1" t="s">
        <v>1152</v>
      </c>
      <c r="O2088" s="3" t="s">
        <v>972</v>
      </c>
      <c r="P2088" s="1" t="s">
        <v>1152</v>
      </c>
      <c r="Q2088" s="1" t="s">
        <v>1152</v>
      </c>
      <c r="R2088" s="1"/>
      <c r="S2088" s="1"/>
      <c r="T2088" s="1" t="s">
        <v>1152</v>
      </c>
      <c r="U2088" s="1" t="s">
        <v>1080</v>
      </c>
      <c r="V2088" s="4" t="s">
        <v>972</v>
      </c>
      <c r="W2088" s="1"/>
      <c r="X2088" s="1" t="s">
        <v>1152</v>
      </c>
      <c r="Y2088" s="1" t="s">
        <v>1152</v>
      </c>
      <c r="Z2088" s="1"/>
      <c r="AA2088" s="1"/>
      <c r="AB2088" s="1"/>
      <c r="AC2088" s="1" t="s">
        <v>1925</v>
      </c>
      <c r="AD2088" s="1"/>
      <c r="AE2088" s="18">
        <v>46146.0</v>
      </c>
      <c r="AF2088" s="1" t="s">
        <v>1349</v>
      </c>
      <c r="AG2088" s="1" t="s">
        <v>52</v>
      </c>
      <c r="AH2088" s="1" t="s">
        <v>1152</v>
      </c>
      <c r="AI2088" s="1" t="s">
        <v>1152</v>
      </c>
      <c r="AJ2088" s="1" t="s">
        <v>10091</v>
      </c>
      <c r="AK2088" s="1" t="s">
        <v>1152</v>
      </c>
      <c r="AL2088" s="6" t="str">
        <f t="array" ref="AL2088">IFERROR(IFS(XLOOKUP(B2088, 'Kit Delivery Status'!$U:$U, 'Kit Delivery Status'!$K:$K) = "Complete", "DELIVERED", XLOOKUP(B2088, 'Kit Delivery Status'!$U:$U, 'Kit Delivery Status'!$K:$K) = "Issue", "ISSUE"), "")</f>
        <v/>
      </c>
      <c r="AM2088" s="6"/>
    </row>
    <row r="2089">
      <c r="A2089" s="5" t="s">
        <v>10092</v>
      </c>
      <c r="B2089" s="1" t="s">
        <v>10093</v>
      </c>
      <c r="C2089" s="1" t="s">
        <v>10094</v>
      </c>
      <c r="D2089" s="2">
        <v>2.173697499E9</v>
      </c>
      <c r="E2089" s="1" t="s">
        <v>10095</v>
      </c>
      <c r="F2089" s="1"/>
      <c r="G2089" s="1" t="s">
        <v>9517</v>
      </c>
      <c r="H2089" s="1" t="s">
        <v>751</v>
      </c>
      <c r="I2089" s="1">
        <v>10570.0</v>
      </c>
      <c r="J2089" s="1" t="s">
        <v>752</v>
      </c>
      <c r="K2089" s="1" t="s">
        <v>42</v>
      </c>
      <c r="L2089" s="1" t="s">
        <v>6819</v>
      </c>
      <c r="M2089" s="1">
        <v>49.0</v>
      </c>
      <c r="N2089" s="1" t="s">
        <v>1152</v>
      </c>
      <c r="O2089" s="3" t="s">
        <v>964</v>
      </c>
      <c r="P2089" s="1" t="s">
        <v>1152</v>
      </c>
      <c r="Q2089" s="1" t="s">
        <v>1152</v>
      </c>
      <c r="R2089" s="1"/>
      <c r="S2089" s="1"/>
      <c r="T2089" s="1" t="s">
        <v>1152</v>
      </c>
      <c r="U2089" s="1" t="s">
        <v>1487</v>
      </c>
      <c r="V2089" s="4" t="s">
        <v>964</v>
      </c>
      <c r="W2089" s="1"/>
      <c r="X2089" s="1" t="s">
        <v>1152</v>
      </c>
      <c r="Y2089" s="1" t="s">
        <v>1152</v>
      </c>
      <c r="Z2089" s="1"/>
      <c r="AA2089" s="1"/>
      <c r="AB2089" s="1"/>
      <c r="AC2089" s="1" t="s">
        <v>1925</v>
      </c>
      <c r="AD2089" s="1"/>
      <c r="AE2089" s="18">
        <v>46147.0</v>
      </c>
      <c r="AF2089" s="1" t="s">
        <v>1455</v>
      </c>
      <c r="AG2089" s="1" t="s">
        <v>52</v>
      </c>
      <c r="AH2089" s="1" t="s">
        <v>1152</v>
      </c>
      <c r="AI2089" s="1" t="s">
        <v>1152</v>
      </c>
      <c r="AJ2089" s="1" t="s">
        <v>10096</v>
      </c>
      <c r="AK2089" s="1" t="s">
        <v>1152</v>
      </c>
      <c r="AL2089" s="6" t="str">
        <f t="array" ref="AL2089">IFERROR(IFS(XLOOKUP(B2089, 'Kit Delivery Status'!$U:$U, 'Kit Delivery Status'!$K:$K) = "Complete", "DELIVERED", XLOOKUP(B2089, 'Kit Delivery Status'!$U:$U, 'Kit Delivery Status'!$K:$K) = "Issue", "ISSUE"), "")</f>
        <v/>
      </c>
      <c r="AM2089" s="6"/>
    </row>
    <row r="2090">
      <c r="A2090" s="5" t="s">
        <v>10097</v>
      </c>
      <c r="B2090" s="1" t="s">
        <v>10098</v>
      </c>
      <c r="C2090" s="1" t="s">
        <v>10099</v>
      </c>
      <c r="D2090" s="2">
        <v>4.155398239E9</v>
      </c>
      <c r="E2090" s="1" t="s">
        <v>10100</v>
      </c>
      <c r="F2090" s="1"/>
      <c r="G2090" s="1" t="s">
        <v>1562</v>
      </c>
      <c r="H2090" s="1" t="s">
        <v>989</v>
      </c>
      <c r="I2090" s="1">
        <v>94118.0</v>
      </c>
      <c r="J2090" s="1" t="s">
        <v>752</v>
      </c>
      <c r="K2090" s="1" t="s">
        <v>42</v>
      </c>
      <c r="L2090" s="1" t="s">
        <v>6819</v>
      </c>
      <c r="M2090" s="1">
        <v>49.0</v>
      </c>
      <c r="N2090" s="1" t="s">
        <v>1152</v>
      </c>
      <c r="O2090" s="3" t="s">
        <v>10101</v>
      </c>
      <c r="P2090" s="1" t="s">
        <v>1152</v>
      </c>
      <c r="Q2090" s="1" t="s">
        <v>1152</v>
      </c>
      <c r="R2090" s="1"/>
      <c r="S2090" s="1"/>
      <c r="T2090" s="1" t="s">
        <v>1152</v>
      </c>
      <c r="U2090" s="1" t="s">
        <v>1201</v>
      </c>
      <c r="V2090" s="4" t="s">
        <v>10101</v>
      </c>
      <c r="W2090" s="1"/>
      <c r="X2090" s="1" t="s">
        <v>1152</v>
      </c>
      <c r="Y2090" s="1" t="s">
        <v>1152</v>
      </c>
      <c r="Z2090" s="1"/>
      <c r="AA2090" s="1"/>
      <c r="AB2090" s="1"/>
      <c r="AC2090" s="1" t="s">
        <v>1925</v>
      </c>
      <c r="AD2090" s="1"/>
      <c r="AE2090" s="18">
        <v>46143.0</v>
      </c>
      <c r="AF2090" s="1" t="s">
        <v>1030</v>
      </c>
      <c r="AG2090" s="1" t="s">
        <v>52</v>
      </c>
      <c r="AH2090" s="1" t="s">
        <v>1152</v>
      </c>
      <c r="AI2090" s="1" t="s">
        <v>1152</v>
      </c>
      <c r="AJ2090" s="1" t="s">
        <v>10100</v>
      </c>
      <c r="AK2090" s="1" t="s">
        <v>1152</v>
      </c>
      <c r="AL2090" s="6" t="str">
        <f t="array" ref="AL2090">IFERROR(IFS(XLOOKUP(B2090, 'Kit Delivery Status'!$U:$U, 'Kit Delivery Status'!$K:$K) = "Complete", "DELIVERED", XLOOKUP(B2090, 'Kit Delivery Status'!$U:$U, 'Kit Delivery Status'!$K:$K) = "Issue", "ISSUE"), "")</f>
        <v/>
      </c>
      <c r="AM2090" s="6"/>
    </row>
    <row r="2091">
      <c r="A2091" s="5" t="s">
        <v>10102</v>
      </c>
      <c r="B2091" s="1" t="s">
        <v>10103</v>
      </c>
      <c r="C2091" s="1"/>
      <c r="D2091" s="2">
        <v>3.123399797E9</v>
      </c>
      <c r="E2091" s="1" t="s">
        <v>10104</v>
      </c>
      <c r="F2091" s="1"/>
      <c r="G2091" s="1" t="s">
        <v>1072</v>
      </c>
      <c r="H2091" s="1" t="s">
        <v>1019</v>
      </c>
      <c r="I2091" s="1">
        <v>60601.0</v>
      </c>
      <c r="J2091" s="1" t="s">
        <v>752</v>
      </c>
      <c r="K2091" s="1" t="s">
        <v>42</v>
      </c>
      <c r="L2091" s="1" t="s">
        <v>7863</v>
      </c>
      <c r="M2091" s="1">
        <v>79.0</v>
      </c>
      <c r="N2091" s="1" t="s">
        <v>1152</v>
      </c>
      <c r="O2091" s="3" t="s">
        <v>563</v>
      </c>
      <c r="P2091" s="1" t="s">
        <v>1152</v>
      </c>
      <c r="Q2091" s="1" t="s">
        <v>1152</v>
      </c>
      <c r="R2091" s="1"/>
      <c r="S2091" s="1"/>
      <c r="T2091" s="1" t="s">
        <v>1152</v>
      </c>
      <c r="U2091" s="1" t="s">
        <v>1039</v>
      </c>
      <c r="V2091" s="4" t="s">
        <v>563</v>
      </c>
      <c r="W2091" s="1"/>
      <c r="X2091" s="1" t="s">
        <v>1152</v>
      </c>
      <c r="Y2091" s="1" t="s">
        <v>1152</v>
      </c>
      <c r="Z2091" s="1"/>
      <c r="AA2091" s="1"/>
      <c r="AB2091" s="1"/>
      <c r="AC2091" s="1" t="s">
        <v>1925</v>
      </c>
      <c r="AD2091" s="1"/>
      <c r="AE2091" s="18">
        <v>46144.0</v>
      </c>
      <c r="AF2091" s="1" t="s">
        <v>1349</v>
      </c>
      <c r="AG2091" s="1" t="s">
        <v>52</v>
      </c>
      <c r="AH2091" s="1" t="s">
        <v>1152</v>
      </c>
      <c r="AI2091" s="1" t="s">
        <v>1152</v>
      </c>
      <c r="AJ2091" s="1" t="s">
        <v>10105</v>
      </c>
      <c r="AK2091" s="1" t="s">
        <v>1152</v>
      </c>
      <c r="AL2091" s="6" t="str">
        <f t="array" ref="AL2091">IFERROR(IFS(XLOOKUP(B2091, 'Kit Delivery Status'!$U:$U, 'Kit Delivery Status'!$K:$K) = "Complete", "DELIVERED", XLOOKUP(B2091, 'Kit Delivery Status'!$U:$U, 'Kit Delivery Status'!$K:$K) = "Issue", "ISSUE"), "")</f>
        <v/>
      </c>
      <c r="AM2091" s="6"/>
    </row>
    <row r="2092">
      <c r="A2092" s="5" t="s">
        <v>10106</v>
      </c>
      <c r="B2092" s="1" t="s">
        <v>10107</v>
      </c>
      <c r="C2092" s="1" t="s">
        <v>10108</v>
      </c>
      <c r="D2092" s="2">
        <v>3.367792186E9</v>
      </c>
      <c r="E2092" s="1" t="s">
        <v>10109</v>
      </c>
      <c r="F2092" s="1"/>
      <c r="G2092" s="1" t="s">
        <v>1283</v>
      </c>
      <c r="H2092" s="1" t="s">
        <v>1155</v>
      </c>
      <c r="I2092" s="1">
        <v>63105.0</v>
      </c>
      <c r="J2092" s="1" t="s">
        <v>752</v>
      </c>
      <c r="K2092" s="1" t="s">
        <v>42</v>
      </c>
      <c r="L2092" s="1" t="s">
        <v>8393</v>
      </c>
      <c r="M2092" s="1">
        <v>109.0</v>
      </c>
      <c r="N2092" s="1" t="s">
        <v>1152</v>
      </c>
      <c r="O2092" s="3" t="s">
        <v>10110</v>
      </c>
      <c r="P2092" s="1" t="s">
        <v>1152</v>
      </c>
      <c r="Q2092" s="1" t="s">
        <v>1152</v>
      </c>
      <c r="R2092" s="1"/>
      <c r="S2092" s="1"/>
      <c r="T2092" s="1" t="s">
        <v>1152</v>
      </c>
      <c r="U2092" s="1" t="s">
        <v>6053</v>
      </c>
      <c r="V2092" s="4" t="s">
        <v>10110</v>
      </c>
      <c r="W2092" s="1"/>
      <c r="X2092" s="1" t="s">
        <v>1152</v>
      </c>
      <c r="Y2092" s="1" t="s">
        <v>1152</v>
      </c>
      <c r="Z2092" s="1"/>
      <c r="AA2092" s="1"/>
      <c r="AB2092" s="1"/>
      <c r="AC2092" s="1" t="s">
        <v>1925</v>
      </c>
      <c r="AD2092" s="1"/>
      <c r="AE2092" s="18">
        <v>46149.0</v>
      </c>
      <c r="AF2092" s="1" t="s">
        <v>1030</v>
      </c>
      <c r="AG2092" s="1" t="s">
        <v>52</v>
      </c>
      <c r="AH2092" s="1" t="s">
        <v>1152</v>
      </c>
      <c r="AI2092" s="1" t="s">
        <v>10111</v>
      </c>
      <c r="AJ2092" s="1" t="s">
        <v>10109</v>
      </c>
      <c r="AK2092" s="1" t="s">
        <v>1152</v>
      </c>
      <c r="AL2092" s="6" t="str">
        <f t="array" ref="AL2092">IFERROR(IFS(XLOOKUP(B2092, 'Kit Delivery Status'!$U:$U, 'Kit Delivery Status'!$K:$K) = "Complete", "DELIVERED", XLOOKUP(B2092, 'Kit Delivery Status'!$U:$U, 'Kit Delivery Status'!$K:$K) = "Issue", "ISSUE"), "")</f>
        <v/>
      </c>
      <c r="AM2092" s="6"/>
    </row>
    <row r="2093">
      <c r="A2093" s="5" t="s">
        <v>10112</v>
      </c>
      <c r="B2093" s="1" t="s">
        <v>10113</v>
      </c>
      <c r="C2093" s="1" t="s">
        <v>10114</v>
      </c>
      <c r="D2093" s="2">
        <v>9.292131708E9</v>
      </c>
      <c r="E2093" s="1" t="s">
        <v>1880</v>
      </c>
      <c r="F2093" s="1"/>
      <c r="G2093" s="1" t="s">
        <v>751</v>
      </c>
      <c r="H2093" s="1" t="s">
        <v>751</v>
      </c>
      <c r="I2093" s="1">
        <v>10128.0</v>
      </c>
      <c r="J2093" s="1" t="s">
        <v>752</v>
      </c>
      <c r="K2093" s="1" t="s">
        <v>892</v>
      </c>
      <c r="L2093" s="1" t="s">
        <v>8134</v>
      </c>
      <c r="M2093" s="1">
        <v>79.0</v>
      </c>
      <c r="N2093" s="1" t="s">
        <v>1152</v>
      </c>
      <c r="O2093" s="3" t="s">
        <v>1881</v>
      </c>
      <c r="P2093" s="1" t="s">
        <v>1152</v>
      </c>
      <c r="Q2093" s="1" t="s">
        <v>1152</v>
      </c>
      <c r="R2093" s="1"/>
      <c r="S2093" s="1"/>
      <c r="T2093" s="1" t="s">
        <v>1152</v>
      </c>
      <c r="U2093" s="1" t="s">
        <v>1537</v>
      </c>
      <c r="V2093" s="4" t="s">
        <v>1881</v>
      </c>
      <c r="W2093" s="1"/>
      <c r="X2093" s="1" t="s">
        <v>1152</v>
      </c>
      <c r="Y2093" s="1" t="s">
        <v>1152</v>
      </c>
      <c r="Z2093" s="1"/>
      <c r="AA2093" s="1"/>
      <c r="AB2093" s="1"/>
      <c r="AC2093" s="1" t="s">
        <v>1925</v>
      </c>
      <c r="AD2093" s="1"/>
      <c r="AE2093" s="18">
        <v>46149.0</v>
      </c>
      <c r="AF2093" s="1" t="s">
        <v>1349</v>
      </c>
      <c r="AG2093" s="1" t="s">
        <v>52</v>
      </c>
      <c r="AH2093" s="1" t="s">
        <v>10115</v>
      </c>
      <c r="AI2093" s="1" t="s">
        <v>1152</v>
      </c>
      <c r="AJ2093" s="1" t="s">
        <v>1880</v>
      </c>
      <c r="AK2093" s="1" t="s">
        <v>1152</v>
      </c>
      <c r="AL2093" s="6" t="str">
        <f t="array" ref="AL2093">IFERROR(IFS(XLOOKUP(B2093, 'Kit Delivery Status'!$U:$U, 'Kit Delivery Status'!$K:$K) = "Complete", "DELIVERED", XLOOKUP(B2093, 'Kit Delivery Status'!$U:$U, 'Kit Delivery Status'!$K:$K) = "Issue", "ISSUE"), "")</f>
        <v/>
      </c>
      <c r="AM2093" s="6"/>
    </row>
    <row r="2094">
      <c r="A2094" s="5" t="s">
        <v>10116</v>
      </c>
      <c r="B2094" s="1" t="s">
        <v>10117</v>
      </c>
      <c r="C2094" s="1"/>
      <c r="D2094" s="2">
        <v>4.847522285E9</v>
      </c>
      <c r="E2094" s="1" t="s">
        <v>10118</v>
      </c>
      <c r="F2094" s="1"/>
      <c r="G2094" s="1" t="s">
        <v>7678</v>
      </c>
      <c r="H2094" s="1" t="s">
        <v>1155</v>
      </c>
      <c r="I2094" s="1">
        <v>63105.0</v>
      </c>
      <c r="J2094" s="1" t="s">
        <v>752</v>
      </c>
      <c r="K2094" s="1" t="s">
        <v>42</v>
      </c>
      <c r="L2094" s="1" t="s">
        <v>6819</v>
      </c>
      <c r="M2094" s="1">
        <v>49.0</v>
      </c>
      <c r="N2094" s="1" t="s">
        <v>1152</v>
      </c>
      <c r="O2094" s="3" t="s">
        <v>1972</v>
      </c>
      <c r="P2094" s="1" t="s">
        <v>1152</v>
      </c>
      <c r="Q2094" s="1" t="s">
        <v>1152</v>
      </c>
      <c r="R2094" s="1"/>
      <c r="S2094" s="1"/>
      <c r="T2094" s="1" t="s">
        <v>1152</v>
      </c>
      <c r="U2094" s="1" t="s">
        <v>956</v>
      </c>
      <c r="V2094" s="4" t="s">
        <v>1972</v>
      </c>
      <c r="W2094" s="1"/>
      <c r="X2094" s="1" t="s">
        <v>1152</v>
      </c>
      <c r="Y2094" s="1" t="s">
        <v>1152</v>
      </c>
      <c r="Z2094" s="1"/>
      <c r="AA2094" s="1"/>
      <c r="AB2094" s="1"/>
      <c r="AC2094" s="1" t="s">
        <v>1925</v>
      </c>
      <c r="AD2094" s="1"/>
      <c r="AE2094" s="18">
        <v>46146.0</v>
      </c>
      <c r="AF2094" s="1" t="s">
        <v>1103</v>
      </c>
      <c r="AG2094" s="1" t="s">
        <v>52</v>
      </c>
      <c r="AH2094" s="1" t="s">
        <v>1152</v>
      </c>
      <c r="AI2094" s="1" t="s">
        <v>10119</v>
      </c>
      <c r="AJ2094" s="1" t="s">
        <v>10120</v>
      </c>
      <c r="AK2094" s="1" t="s">
        <v>1152</v>
      </c>
      <c r="AL2094" s="6" t="str">
        <f t="array" ref="AL2094">IFERROR(IFS(XLOOKUP(B2094, 'Kit Delivery Status'!$U:$U, 'Kit Delivery Status'!$K:$K) = "Complete", "DELIVERED", XLOOKUP(B2094, 'Kit Delivery Status'!$U:$U, 'Kit Delivery Status'!$K:$K) = "Issue", "ISSUE"), "")</f>
        <v/>
      </c>
      <c r="AM2094" s="6"/>
    </row>
    <row r="2095">
      <c r="A2095" s="5" t="s">
        <v>10121</v>
      </c>
      <c r="B2095" s="1" t="s">
        <v>10122</v>
      </c>
      <c r="C2095" s="1"/>
      <c r="D2095" s="2">
        <v>2.016697605E9</v>
      </c>
      <c r="E2095" s="1" t="s">
        <v>1746</v>
      </c>
      <c r="F2095" s="1"/>
      <c r="G2095" s="1" t="s">
        <v>1747</v>
      </c>
      <c r="H2095" s="1" t="s">
        <v>1053</v>
      </c>
      <c r="I2095" s="1">
        <v>7628.0</v>
      </c>
      <c r="J2095" s="1" t="s">
        <v>752</v>
      </c>
      <c r="K2095" s="1" t="s">
        <v>42</v>
      </c>
      <c r="L2095" s="1" t="s">
        <v>6819</v>
      </c>
      <c r="M2095" s="1">
        <v>49.0</v>
      </c>
      <c r="N2095" s="1" t="s">
        <v>1152</v>
      </c>
      <c r="O2095" s="3" t="s">
        <v>1342</v>
      </c>
      <c r="P2095" s="1" t="s">
        <v>1152</v>
      </c>
      <c r="Q2095" s="1" t="s">
        <v>1152</v>
      </c>
      <c r="R2095" s="1"/>
      <c r="S2095" s="1"/>
      <c r="T2095" s="1" t="s">
        <v>1152</v>
      </c>
      <c r="U2095" s="1" t="s">
        <v>1749</v>
      </c>
      <c r="V2095" s="4" t="s">
        <v>1342</v>
      </c>
      <c r="W2095" s="1"/>
      <c r="X2095" s="1" t="s">
        <v>1152</v>
      </c>
      <c r="Y2095" s="1" t="s">
        <v>1152</v>
      </c>
      <c r="Z2095" s="1"/>
      <c r="AA2095" s="1"/>
      <c r="AB2095" s="1"/>
      <c r="AC2095" s="1" t="s">
        <v>1925</v>
      </c>
      <c r="AD2095" s="1"/>
      <c r="AE2095" s="18">
        <v>46147.0</v>
      </c>
      <c r="AF2095" s="1" t="s">
        <v>1030</v>
      </c>
      <c r="AG2095" s="1" t="s">
        <v>52</v>
      </c>
      <c r="AH2095" s="1" t="s">
        <v>1152</v>
      </c>
      <c r="AI2095" s="1" t="s">
        <v>1152</v>
      </c>
      <c r="AJ2095" s="1" t="s">
        <v>1746</v>
      </c>
      <c r="AK2095" s="1" t="s">
        <v>1152</v>
      </c>
      <c r="AL2095" s="6" t="str">
        <f t="array" ref="AL2095">IFERROR(IFS(XLOOKUP(B2095, 'Kit Delivery Status'!$U:$U, 'Kit Delivery Status'!$K:$K) = "Complete", "DELIVERED", XLOOKUP(B2095, 'Kit Delivery Status'!$U:$U, 'Kit Delivery Status'!$K:$K) = "Issue", "ISSUE"), "")</f>
        <v/>
      </c>
      <c r="AM2095" s="6"/>
    </row>
    <row r="2096">
      <c r="A2096" s="5" t="s">
        <v>10123</v>
      </c>
      <c r="B2096" s="1" t="s">
        <v>10124</v>
      </c>
      <c r="C2096" s="1" t="s">
        <v>542</v>
      </c>
      <c r="D2096" s="2">
        <v>13475576359</v>
      </c>
      <c r="E2096" s="1" t="s">
        <v>544</v>
      </c>
      <c r="F2096" s="1"/>
      <c r="G2096" s="1" t="s">
        <v>2428</v>
      </c>
      <c r="H2096" s="1" t="s">
        <v>751</v>
      </c>
      <c r="I2096" s="1">
        <v>10452.0</v>
      </c>
      <c r="J2096" s="1" t="s">
        <v>752</v>
      </c>
      <c r="K2096" s="1" t="s">
        <v>42</v>
      </c>
      <c r="L2096" s="1" t="s">
        <v>6819</v>
      </c>
      <c r="M2096" s="1">
        <v>49.0</v>
      </c>
      <c r="N2096" s="1" t="s">
        <v>1152</v>
      </c>
      <c r="O2096" s="3" t="s">
        <v>10125</v>
      </c>
      <c r="P2096" s="1" t="s">
        <v>1152</v>
      </c>
      <c r="Q2096" s="1" t="s">
        <v>1152</v>
      </c>
      <c r="R2096" s="1"/>
      <c r="S2096" s="1"/>
      <c r="T2096" s="1" t="s">
        <v>1152</v>
      </c>
      <c r="U2096" s="1" t="s">
        <v>1148</v>
      </c>
      <c r="V2096" s="4" t="s">
        <v>10125</v>
      </c>
      <c r="W2096" s="1"/>
      <c r="X2096" s="1" t="s">
        <v>1152</v>
      </c>
      <c r="Y2096" s="1" t="s">
        <v>1152</v>
      </c>
      <c r="Z2096" s="1"/>
      <c r="AA2096" s="1"/>
      <c r="AB2096" s="1"/>
      <c r="AC2096" s="1" t="s">
        <v>1925</v>
      </c>
      <c r="AD2096" s="1"/>
      <c r="AE2096" s="18">
        <v>46148.0</v>
      </c>
      <c r="AF2096" s="1" t="s">
        <v>1630</v>
      </c>
      <c r="AG2096" s="1" t="s">
        <v>52</v>
      </c>
      <c r="AH2096" s="1" t="s">
        <v>1152</v>
      </c>
      <c r="AI2096" s="1" t="s">
        <v>1152</v>
      </c>
      <c r="AJ2096" s="1" t="s">
        <v>10126</v>
      </c>
      <c r="AK2096" s="1" t="s">
        <v>1152</v>
      </c>
      <c r="AL2096" s="6" t="str">
        <f t="array" ref="AL2096">IFERROR(IFS(XLOOKUP(B2096, 'Kit Delivery Status'!$U:$U, 'Kit Delivery Status'!$K:$K) = "Complete", "DELIVERED", XLOOKUP(B2096, 'Kit Delivery Status'!$U:$U, 'Kit Delivery Status'!$K:$K) = "Issue", "ISSUE"), "")</f>
        <v/>
      </c>
      <c r="AM2096" s="6"/>
    </row>
    <row r="2097">
      <c r="A2097" s="5" t="s">
        <v>10127</v>
      </c>
      <c r="B2097" s="1" t="s">
        <v>10128</v>
      </c>
      <c r="C2097" s="1" t="s">
        <v>10129</v>
      </c>
      <c r="D2097" s="2">
        <v>2.023090321E9</v>
      </c>
      <c r="E2097" s="1" t="s">
        <v>10130</v>
      </c>
      <c r="F2097" s="1" t="s">
        <v>10131</v>
      </c>
      <c r="G2097" s="1" t="s">
        <v>10132</v>
      </c>
      <c r="H2097" s="1" t="s">
        <v>989</v>
      </c>
      <c r="I2097" s="1">
        <v>90254.0</v>
      </c>
      <c r="J2097" s="1" t="s">
        <v>752</v>
      </c>
      <c r="K2097" s="1" t="s">
        <v>892</v>
      </c>
      <c r="L2097" s="1" t="s">
        <v>8134</v>
      </c>
      <c r="M2097" s="1">
        <v>79.0</v>
      </c>
      <c r="N2097" s="1" t="s">
        <v>1152</v>
      </c>
      <c r="O2097" s="3"/>
      <c r="P2097" s="1" t="s">
        <v>1152</v>
      </c>
      <c r="Q2097" s="1" t="s">
        <v>1152</v>
      </c>
      <c r="R2097" s="1" t="s">
        <v>10131</v>
      </c>
      <c r="S2097" s="1"/>
      <c r="T2097" s="1" t="s">
        <v>1152</v>
      </c>
      <c r="U2097" s="1"/>
      <c r="V2097" s="4"/>
      <c r="W2097" s="1" t="s">
        <v>10131</v>
      </c>
      <c r="X2097" s="1" t="s">
        <v>1152</v>
      </c>
      <c r="Y2097" s="1" t="s">
        <v>1152</v>
      </c>
      <c r="Z2097" s="1"/>
      <c r="AA2097" s="1" t="s">
        <v>10131</v>
      </c>
      <c r="AB2097" s="1"/>
      <c r="AC2097" s="1" t="s">
        <v>1925</v>
      </c>
      <c r="AD2097" s="1"/>
      <c r="AE2097" s="18">
        <v>46158.0</v>
      </c>
      <c r="AF2097" s="1" t="s">
        <v>1349</v>
      </c>
      <c r="AG2097" s="1" t="s">
        <v>124</v>
      </c>
      <c r="AH2097" s="1" t="s">
        <v>10133</v>
      </c>
      <c r="AI2097" s="1" t="s">
        <v>1152</v>
      </c>
      <c r="AJ2097" s="1" t="s">
        <v>10134</v>
      </c>
      <c r="AK2097" s="1" t="s">
        <v>1152</v>
      </c>
      <c r="AL2097" s="6" t="str">
        <f t="array" ref="AL2097">IFERROR(IFS(XLOOKUP(B2097, 'Kit Delivery Status'!$U:$U, 'Kit Delivery Status'!$K:$K) = "Complete", "DELIVERED", XLOOKUP(B2097, 'Kit Delivery Status'!$U:$U, 'Kit Delivery Status'!$K:$K) = "Issue", "ISSUE"), "")</f>
        <v/>
      </c>
      <c r="AM2097" s="6"/>
    </row>
    <row r="2098">
      <c r="A2098" s="5" t="s">
        <v>10135</v>
      </c>
      <c r="B2098" s="1" t="s">
        <v>10136</v>
      </c>
      <c r="C2098" s="1" t="s">
        <v>10137</v>
      </c>
      <c r="D2098" s="2">
        <v>9.175185793E9</v>
      </c>
      <c r="E2098" s="1" t="s">
        <v>10138</v>
      </c>
      <c r="F2098" s="1"/>
      <c r="G2098" s="1" t="s">
        <v>1684</v>
      </c>
      <c r="H2098" s="1" t="s">
        <v>751</v>
      </c>
      <c r="I2098" s="1">
        <v>11219.0</v>
      </c>
      <c r="J2098" s="1" t="s">
        <v>752</v>
      </c>
      <c r="K2098" s="1" t="s">
        <v>42</v>
      </c>
      <c r="L2098" s="1" t="s">
        <v>6819</v>
      </c>
      <c r="M2098" s="1">
        <v>49.0</v>
      </c>
      <c r="N2098" s="1" t="s">
        <v>1152</v>
      </c>
      <c r="O2098" s="3" t="s">
        <v>2035</v>
      </c>
      <c r="P2098" s="1" t="s">
        <v>1152</v>
      </c>
      <c r="Q2098" s="1" t="s">
        <v>1152</v>
      </c>
      <c r="R2098" s="1"/>
      <c r="S2098" s="1"/>
      <c r="T2098" s="1" t="s">
        <v>1152</v>
      </c>
      <c r="U2098" s="1" t="s">
        <v>956</v>
      </c>
      <c r="V2098" s="4" t="s">
        <v>2035</v>
      </c>
      <c r="W2098" s="1"/>
      <c r="X2098" s="1" t="s">
        <v>1152</v>
      </c>
      <c r="Y2098" s="1" t="s">
        <v>1152</v>
      </c>
      <c r="Z2098" s="1"/>
      <c r="AA2098" s="1"/>
      <c r="AB2098" s="1"/>
      <c r="AC2098" s="1" t="s">
        <v>1925</v>
      </c>
      <c r="AD2098" s="1"/>
      <c r="AE2098" s="18">
        <v>46149.0</v>
      </c>
      <c r="AF2098" s="1" t="s">
        <v>1103</v>
      </c>
      <c r="AG2098" s="1" t="s">
        <v>52</v>
      </c>
      <c r="AH2098" s="1" t="s">
        <v>1152</v>
      </c>
      <c r="AI2098" s="1" t="s">
        <v>10139</v>
      </c>
      <c r="AJ2098" s="1" t="s">
        <v>10138</v>
      </c>
      <c r="AK2098" s="1" t="s">
        <v>1152</v>
      </c>
      <c r="AL2098" s="6" t="str">
        <f t="array" ref="AL2098">IFERROR(IFS(XLOOKUP(B2098, 'Kit Delivery Status'!$U:$U, 'Kit Delivery Status'!$K:$K) = "Complete", "DELIVERED", XLOOKUP(B2098, 'Kit Delivery Status'!$U:$U, 'Kit Delivery Status'!$K:$K) = "Issue", "ISSUE"), "")</f>
        <v/>
      </c>
      <c r="AM2098" s="6"/>
    </row>
    <row r="2099">
      <c r="A2099" s="5" t="s">
        <v>10140</v>
      </c>
      <c r="B2099" s="1" t="s">
        <v>10141</v>
      </c>
      <c r="C2099" s="1" t="s">
        <v>10142</v>
      </c>
      <c r="D2099" s="2">
        <v>9.178896149E9</v>
      </c>
      <c r="E2099" s="1" t="s">
        <v>10143</v>
      </c>
      <c r="F2099" s="1"/>
      <c r="G2099" s="1" t="s">
        <v>751</v>
      </c>
      <c r="H2099" s="1" t="s">
        <v>751</v>
      </c>
      <c r="I2099" s="1">
        <v>10451.0</v>
      </c>
      <c r="J2099" s="1" t="s">
        <v>752</v>
      </c>
      <c r="K2099" s="1" t="s">
        <v>42</v>
      </c>
      <c r="L2099" s="1" t="s">
        <v>6819</v>
      </c>
      <c r="M2099" s="1">
        <v>49.0</v>
      </c>
      <c r="N2099" s="1" t="s">
        <v>1152</v>
      </c>
      <c r="O2099" s="3" t="s">
        <v>10144</v>
      </c>
      <c r="P2099" s="1" t="s">
        <v>1152</v>
      </c>
      <c r="Q2099" s="1" t="s">
        <v>1152</v>
      </c>
      <c r="R2099" s="1"/>
      <c r="S2099" s="1"/>
      <c r="T2099" s="1" t="s">
        <v>1152</v>
      </c>
      <c r="U2099" s="1" t="s">
        <v>1080</v>
      </c>
      <c r="V2099" s="4" t="s">
        <v>10144</v>
      </c>
      <c r="W2099" s="1"/>
      <c r="X2099" s="1" t="s">
        <v>1152</v>
      </c>
      <c r="Y2099" s="1" t="s">
        <v>1152</v>
      </c>
      <c r="Z2099" s="1"/>
      <c r="AA2099" s="1"/>
      <c r="AB2099" s="1"/>
      <c r="AC2099" s="1" t="s">
        <v>1925</v>
      </c>
      <c r="AD2099" s="1"/>
      <c r="AE2099" s="18">
        <v>46148.0</v>
      </c>
      <c r="AF2099" s="1" t="s">
        <v>1030</v>
      </c>
      <c r="AG2099" s="1" t="s">
        <v>52</v>
      </c>
      <c r="AH2099" s="1" t="s">
        <v>1152</v>
      </c>
      <c r="AI2099" s="1" t="s">
        <v>1152</v>
      </c>
      <c r="AJ2099" s="1" t="s">
        <v>10145</v>
      </c>
      <c r="AK2099" s="1" t="s">
        <v>1152</v>
      </c>
      <c r="AL2099" s="6" t="str">
        <f t="array" ref="AL2099">IFERROR(IFS(XLOOKUP(B2099, 'Kit Delivery Status'!$U:$U, 'Kit Delivery Status'!$K:$K) = "Complete", "DELIVERED", XLOOKUP(B2099, 'Kit Delivery Status'!$U:$U, 'Kit Delivery Status'!$K:$K) = "Issue", "ISSUE"), "")</f>
        <v/>
      </c>
      <c r="AM2099" s="6"/>
    </row>
    <row r="2100">
      <c r="A2100" s="5" t="s">
        <v>10146</v>
      </c>
      <c r="B2100" s="1" t="s">
        <v>10147</v>
      </c>
      <c r="C2100" s="1" t="s">
        <v>10148</v>
      </c>
      <c r="D2100" s="2">
        <v>7.032037971E9</v>
      </c>
      <c r="E2100" s="1" t="s">
        <v>6647</v>
      </c>
      <c r="F2100" s="1"/>
      <c r="G2100" s="1" t="s">
        <v>6648</v>
      </c>
      <c r="H2100" s="1" t="s">
        <v>1038</v>
      </c>
      <c r="I2100" s="1">
        <v>22101.0</v>
      </c>
      <c r="J2100" s="1" t="s">
        <v>752</v>
      </c>
      <c r="K2100" s="1" t="s">
        <v>42</v>
      </c>
      <c r="L2100" s="1" t="s">
        <v>6819</v>
      </c>
      <c r="M2100" s="1">
        <v>49.0</v>
      </c>
      <c r="N2100" s="1" t="s">
        <v>1152</v>
      </c>
      <c r="O2100" s="3" t="s">
        <v>4178</v>
      </c>
      <c r="P2100" s="1" t="s">
        <v>1152</v>
      </c>
      <c r="Q2100" s="1" t="s">
        <v>1152</v>
      </c>
      <c r="R2100" s="1"/>
      <c r="S2100" s="1"/>
      <c r="T2100" s="1" t="s">
        <v>1152</v>
      </c>
      <c r="U2100" s="1" t="s">
        <v>1167</v>
      </c>
      <c r="V2100" s="4" t="s">
        <v>4178</v>
      </c>
      <c r="W2100" s="1"/>
      <c r="X2100" s="1" t="s">
        <v>1152</v>
      </c>
      <c r="Y2100" s="1" t="s">
        <v>1152</v>
      </c>
      <c r="Z2100" s="1"/>
      <c r="AA2100" s="1"/>
      <c r="AB2100" s="1"/>
      <c r="AC2100" s="1" t="s">
        <v>1925</v>
      </c>
      <c r="AD2100" s="1"/>
      <c r="AE2100" s="18">
        <v>46148.0</v>
      </c>
      <c r="AF2100" s="1" t="s">
        <v>1030</v>
      </c>
      <c r="AG2100" s="1" t="s">
        <v>52</v>
      </c>
      <c r="AH2100" s="1" t="s">
        <v>1152</v>
      </c>
      <c r="AI2100" s="1" t="s">
        <v>1152</v>
      </c>
      <c r="AJ2100" s="1" t="s">
        <v>6647</v>
      </c>
      <c r="AK2100" s="1" t="s">
        <v>1152</v>
      </c>
      <c r="AL2100" s="6" t="str">
        <f t="array" ref="AL2100">IFERROR(IFS(XLOOKUP(B2100, 'Kit Delivery Status'!$U:$U, 'Kit Delivery Status'!$K:$K) = "Complete", "DELIVERED", XLOOKUP(B2100, 'Kit Delivery Status'!$U:$U, 'Kit Delivery Status'!$K:$K) = "Issue", "ISSUE"), "")</f>
        <v/>
      </c>
      <c r="AM2100" s="6"/>
    </row>
    <row r="2101">
      <c r="A2101" s="5" t="s">
        <v>10149</v>
      </c>
      <c r="B2101" s="1" t="s">
        <v>10150</v>
      </c>
      <c r="C2101" s="1" t="s">
        <v>10151</v>
      </c>
      <c r="D2101" s="2">
        <v>2.014077942E9</v>
      </c>
      <c r="E2101" s="1" t="s">
        <v>10152</v>
      </c>
      <c r="F2101" s="1"/>
      <c r="G2101" s="1" t="s">
        <v>10153</v>
      </c>
      <c r="H2101" s="1" t="s">
        <v>1053</v>
      </c>
      <c r="I2101" s="1">
        <v>7746.0</v>
      </c>
      <c r="J2101" s="1" t="s">
        <v>752</v>
      </c>
      <c r="K2101" s="1" t="s">
        <v>42</v>
      </c>
      <c r="L2101" s="1" t="s">
        <v>7863</v>
      </c>
      <c r="M2101" s="1">
        <v>79.0</v>
      </c>
      <c r="N2101" s="1" t="s">
        <v>1152</v>
      </c>
      <c r="O2101" s="3" t="s">
        <v>1398</v>
      </c>
      <c r="P2101" s="1" t="s">
        <v>1152</v>
      </c>
      <c r="Q2101" s="1" t="s">
        <v>1152</v>
      </c>
      <c r="R2101" s="1"/>
      <c r="S2101" s="1"/>
      <c r="T2101" s="1" t="s">
        <v>1152</v>
      </c>
      <c r="U2101" s="1" t="s">
        <v>1399</v>
      </c>
      <c r="V2101" s="4" t="s">
        <v>1398</v>
      </c>
      <c r="W2101" s="1"/>
      <c r="X2101" s="1" t="s">
        <v>1152</v>
      </c>
      <c r="Y2101" s="1" t="s">
        <v>1152</v>
      </c>
      <c r="Z2101" s="1"/>
      <c r="AA2101" s="1"/>
      <c r="AB2101" s="1"/>
      <c r="AC2101" s="1" t="s">
        <v>1925</v>
      </c>
      <c r="AD2101" s="1"/>
      <c r="AE2101" s="18">
        <v>46148.0</v>
      </c>
      <c r="AF2101" s="1" t="s">
        <v>1030</v>
      </c>
      <c r="AG2101" s="1" t="s">
        <v>52</v>
      </c>
      <c r="AH2101" s="1" t="s">
        <v>1152</v>
      </c>
      <c r="AI2101" s="1" t="s">
        <v>10154</v>
      </c>
      <c r="AJ2101" s="1" t="s">
        <v>10152</v>
      </c>
      <c r="AK2101" s="1" t="s">
        <v>1152</v>
      </c>
      <c r="AL2101" s="6" t="str">
        <f t="array" ref="AL2101">IFERROR(IFS(XLOOKUP(B2101, 'Kit Delivery Status'!$U:$U, 'Kit Delivery Status'!$K:$K) = "Complete", "DELIVERED", XLOOKUP(B2101, 'Kit Delivery Status'!$U:$U, 'Kit Delivery Status'!$K:$K) = "Issue", "ISSUE"), "")</f>
        <v/>
      </c>
      <c r="AM2101" s="6"/>
    </row>
    <row r="2102">
      <c r="A2102" s="5" t="s">
        <v>10155</v>
      </c>
      <c r="B2102" s="1" t="s">
        <v>10156</v>
      </c>
      <c r="C2102" s="1" t="s">
        <v>10157</v>
      </c>
      <c r="D2102" s="2">
        <v>9.178823912E9</v>
      </c>
      <c r="E2102" s="1" t="s">
        <v>10158</v>
      </c>
      <c r="F2102" s="1"/>
      <c r="G2102" s="1" t="s">
        <v>4824</v>
      </c>
      <c r="H2102" s="1" t="s">
        <v>1053</v>
      </c>
      <c r="I2102" s="1">
        <v>7627.0</v>
      </c>
      <c r="J2102" s="1" t="s">
        <v>752</v>
      </c>
      <c r="K2102" s="1" t="s">
        <v>42</v>
      </c>
      <c r="L2102" s="1" t="s">
        <v>6819</v>
      </c>
      <c r="M2102" s="1">
        <v>49.0</v>
      </c>
      <c r="N2102" s="1" t="s">
        <v>1152</v>
      </c>
      <c r="O2102" s="3" t="s">
        <v>8082</v>
      </c>
      <c r="P2102" s="1" t="s">
        <v>1152</v>
      </c>
      <c r="Q2102" s="1" t="s">
        <v>1152</v>
      </c>
      <c r="R2102" s="1"/>
      <c r="S2102" s="1"/>
      <c r="T2102" s="1" t="s">
        <v>1152</v>
      </c>
      <c r="U2102" s="1" t="s">
        <v>1794</v>
      </c>
      <c r="V2102" s="4" t="s">
        <v>8082</v>
      </c>
      <c r="W2102" s="1"/>
      <c r="X2102" s="1" t="s">
        <v>1152</v>
      </c>
      <c r="Y2102" s="1" t="s">
        <v>1152</v>
      </c>
      <c r="Z2102" s="1"/>
      <c r="AA2102" s="1"/>
      <c r="AB2102" s="1"/>
      <c r="AC2102" s="1" t="s">
        <v>1925</v>
      </c>
      <c r="AD2102" s="1"/>
      <c r="AE2102" s="18">
        <v>46148.0</v>
      </c>
      <c r="AF2102" s="1" t="s">
        <v>1630</v>
      </c>
      <c r="AG2102" s="1" t="s">
        <v>52</v>
      </c>
      <c r="AH2102" s="1" t="s">
        <v>1152</v>
      </c>
      <c r="AI2102" s="1" t="s">
        <v>10159</v>
      </c>
      <c r="AJ2102" s="1" t="s">
        <v>10160</v>
      </c>
      <c r="AK2102" s="1" t="s">
        <v>1152</v>
      </c>
      <c r="AL2102" s="6" t="str">
        <f t="array" ref="AL2102">IFERROR(IFS(XLOOKUP(B2102, 'Kit Delivery Status'!$U:$U, 'Kit Delivery Status'!$K:$K) = "Complete", "DELIVERED", XLOOKUP(B2102, 'Kit Delivery Status'!$U:$U, 'Kit Delivery Status'!$K:$K) = "Issue", "ISSUE"), "")</f>
        <v/>
      </c>
      <c r="AM2102" s="6"/>
    </row>
    <row r="2103">
      <c r="A2103" s="5" t="s">
        <v>10161</v>
      </c>
      <c r="B2103" s="1" t="s">
        <v>10162</v>
      </c>
      <c r="C2103" s="1" t="s">
        <v>2924</v>
      </c>
      <c r="D2103" s="2">
        <v>7.866672127E9</v>
      </c>
      <c r="E2103" s="1" t="s">
        <v>4214</v>
      </c>
      <c r="F2103" s="1"/>
      <c r="G2103" s="1" t="s">
        <v>2109</v>
      </c>
      <c r="H2103" s="1" t="s">
        <v>1208</v>
      </c>
      <c r="I2103" s="1">
        <v>33133.0</v>
      </c>
      <c r="J2103" s="1" t="s">
        <v>752</v>
      </c>
      <c r="K2103" s="1" t="s">
        <v>42</v>
      </c>
      <c r="L2103" s="1" t="s">
        <v>7863</v>
      </c>
      <c r="M2103" s="1">
        <v>79.0</v>
      </c>
      <c r="N2103" s="1" t="s">
        <v>1152</v>
      </c>
      <c r="O2103" s="3" t="s">
        <v>2915</v>
      </c>
      <c r="P2103" s="1" t="s">
        <v>1152</v>
      </c>
      <c r="Q2103" s="1" t="s">
        <v>1152</v>
      </c>
      <c r="R2103" s="1"/>
      <c r="S2103" s="1"/>
      <c r="T2103" s="1" t="s">
        <v>1152</v>
      </c>
      <c r="U2103" s="1" t="s">
        <v>1167</v>
      </c>
      <c r="V2103" s="4" t="s">
        <v>2915</v>
      </c>
      <c r="W2103" s="1"/>
      <c r="X2103" s="1" t="s">
        <v>1152</v>
      </c>
      <c r="Y2103" s="1" t="s">
        <v>1152</v>
      </c>
      <c r="Z2103" s="1"/>
      <c r="AA2103" s="1"/>
      <c r="AB2103" s="1"/>
      <c r="AC2103" s="1" t="s">
        <v>1925</v>
      </c>
      <c r="AD2103" s="1"/>
      <c r="AE2103" s="18">
        <v>46149.0</v>
      </c>
      <c r="AF2103" s="1" t="s">
        <v>1440</v>
      </c>
      <c r="AG2103" s="1" t="s">
        <v>52</v>
      </c>
      <c r="AH2103" s="1" t="s">
        <v>1152</v>
      </c>
      <c r="AI2103" s="1" t="s">
        <v>1152</v>
      </c>
      <c r="AJ2103" s="1" t="s">
        <v>10163</v>
      </c>
      <c r="AK2103" s="1" t="s">
        <v>1152</v>
      </c>
      <c r="AL2103" s="6" t="str">
        <f t="array" ref="AL2103">IFERROR(IFS(XLOOKUP(B2103, 'Kit Delivery Status'!$U:$U, 'Kit Delivery Status'!$K:$K) = "Complete", "DELIVERED", XLOOKUP(B2103, 'Kit Delivery Status'!$U:$U, 'Kit Delivery Status'!$K:$K) = "Issue", "ISSUE"), "")</f>
        <v/>
      </c>
      <c r="AM2103" s="6"/>
    </row>
    <row r="2104">
      <c r="A2104" s="5" t="s">
        <v>10164</v>
      </c>
      <c r="B2104" s="1" t="s">
        <v>10165</v>
      </c>
      <c r="C2104" s="1" t="s">
        <v>10166</v>
      </c>
      <c r="D2104" s="2">
        <v>1.3610287912E10</v>
      </c>
      <c r="E2104" s="1" t="s">
        <v>10167</v>
      </c>
      <c r="F2104" s="1"/>
      <c r="G2104" s="1" t="s">
        <v>10168</v>
      </c>
      <c r="H2104" s="1" t="s">
        <v>10169</v>
      </c>
      <c r="I2104" s="1">
        <v>510630.0</v>
      </c>
      <c r="J2104" s="1" t="s">
        <v>5553</v>
      </c>
      <c r="K2104" s="1" t="s">
        <v>42</v>
      </c>
      <c r="L2104" s="1" t="s">
        <v>6819</v>
      </c>
      <c r="M2104" s="1">
        <v>49.0</v>
      </c>
      <c r="N2104" s="1" t="s">
        <v>1152</v>
      </c>
      <c r="O2104" s="3" t="s">
        <v>10170</v>
      </c>
      <c r="P2104" s="1" t="s">
        <v>1152</v>
      </c>
      <c r="Q2104" s="1" t="s">
        <v>1152</v>
      </c>
      <c r="R2104" s="1"/>
      <c r="S2104" s="1"/>
      <c r="T2104" s="1" t="s">
        <v>1152</v>
      </c>
      <c r="U2104" s="1" t="s">
        <v>1133</v>
      </c>
      <c r="V2104" s="4" t="s">
        <v>10170</v>
      </c>
      <c r="W2104" s="1"/>
      <c r="X2104" s="1" t="s">
        <v>1152</v>
      </c>
      <c r="Y2104" s="1" t="s">
        <v>1152</v>
      </c>
      <c r="Z2104" s="1"/>
      <c r="AA2104" s="1"/>
      <c r="AB2104" s="1"/>
      <c r="AC2104" s="1" t="s">
        <v>1925</v>
      </c>
      <c r="AD2104" s="1"/>
      <c r="AE2104" s="18">
        <v>46149.0</v>
      </c>
      <c r="AF2104" s="1" t="s">
        <v>1030</v>
      </c>
      <c r="AG2104" s="1" t="s">
        <v>52</v>
      </c>
      <c r="AH2104" s="1" t="s">
        <v>1152</v>
      </c>
      <c r="AI2104" s="1" t="s">
        <v>1152</v>
      </c>
      <c r="AJ2104" s="1" t="s">
        <v>10167</v>
      </c>
      <c r="AK2104" s="1" t="s">
        <v>1152</v>
      </c>
      <c r="AL2104" s="6" t="str">
        <f t="array" ref="AL2104">IFERROR(IFS(XLOOKUP(B2104, 'Kit Delivery Status'!$U:$U, 'Kit Delivery Status'!$K:$K) = "Complete", "DELIVERED", XLOOKUP(B2104, 'Kit Delivery Status'!$U:$U, 'Kit Delivery Status'!$K:$K) = "Issue", "ISSUE"), "")</f>
        <v/>
      </c>
      <c r="AM2104" s="6"/>
    </row>
    <row r="2105">
      <c r="A2105" s="5" t="s">
        <v>10171</v>
      </c>
      <c r="B2105" s="1" t="s">
        <v>10172</v>
      </c>
      <c r="C2105" s="1" t="s">
        <v>10173</v>
      </c>
      <c r="D2105" s="2">
        <v>4.042107273E9</v>
      </c>
      <c r="E2105" s="1" t="s">
        <v>10174</v>
      </c>
      <c r="F2105" s="1"/>
      <c r="G2105" s="1" t="s">
        <v>2179</v>
      </c>
      <c r="H2105" s="1" t="s">
        <v>946</v>
      </c>
      <c r="I2105" s="1">
        <v>30342.0</v>
      </c>
      <c r="J2105" s="1" t="s">
        <v>752</v>
      </c>
      <c r="K2105" s="1" t="s">
        <v>42</v>
      </c>
      <c r="L2105" s="1" t="s">
        <v>6819</v>
      </c>
      <c r="M2105" s="1">
        <v>49.0</v>
      </c>
      <c r="N2105" s="1" t="s">
        <v>1152</v>
      </c>
      <c r="O2105" s="3" t="s">
        <v>1132</v>
      </c>
      <c r="P2105" s="1" t="s">
        <v>1152</v>
      </c>
      <c r="Q2105" s="1" t="s">
        <v>1152</v>
      </c>
      <c r="R2105" s="1"/>
      <c r="S2105" s="1"/>
      <c r="T2105" s="1" t="s">
        <v>1152</v>
      </c>
      <c r="U2105" s="1" t="s">
        <v>1148</v>
      </c>
      <c r="V2105" s="4" t="s">
        <v>1132</v>
      </c>
      <c r="W2105" s="1"/>
      <c r="X2105" s="1" t="s">
        <v>1152</v>
      </c>
      <c r="Y2105" s="1" t="s">
        <v>1152</v>
      </c>
      <c r="Z2105" s="1"/>
      <c r="AA2105" s="1"/>
      <c r="AB2105" s="1"/>
      <c r="AC2105" s="1" t="s">
        <v>1925</v>
      </c>
      <c r="AD2105" s="1"/>
      <c r="AE2105" s="18">
        <v>46148.0</v>
      </c>
      <c r="AF2105" s="1" t="s">
        <v>1030</v>
      </c>
      <c r="AG2105" s="1" t="s">
        <v>52</v>
      </c>
      <c r="AH2105" s="1" t="s">
        <v>1152</v>
      </c>
      <c r="AI2105" s="1" t="s">
        <v>10175</v>
      </c>
      <c r="AJ2105" s="1" t="s">
        <v>10176</v>
      </c>
      <c r="AK2105" s="1" t="s">
        <v>1152</v>
      </c>
      <c r="AL2105" s="6" t="str">
        <f t="array" ref="AL2105">IFERROR(IFS(XLOOKUP(B2105, 'Kit Delivery Status'!$U:$U, 'Kit Delivery Status'!$K:$K) = "Complete", "DELIVERED", XLOOKUP(B2105, 'Kit Delivery Status'!$U:$U, 'Kit Delivery Status'!$K:$K) = "Issue", "ISSUE"), "")</f>
        <v/>
      </c>
      <c r="AM2105" s="6"/>
    </row>
    <row r="2106">
      <c r="A2106" s="5" t="s">
        <v>10177</v>
      </c>
      <c r="B2106" s="1" t="s">
        <v>10178</v>
      </c>
      <c r="C2106" s="1"/>
      <c r="D2106" s="2">
        <v>6.305612081E9</v>
      </c>
      <c r="E2106" s="1" t="s">
        <v>2390</v>
      </c>
      <c r="F2106" s="1"/>
      <c r="G2106" s="1" t="s">
        <v>2391</v>
      </c>
      <c r="H2106" s="1" t="s">
        <v>1019</v>
      </c>
      <c r="I2106" s="1">
        <v>60521.0</v>
      </c>
      <c r="J2106" s="1" t="s">
        <v>752</v>
      </c>
      <c r="K2106" s="1" t="s">
        <v>42</v>
      </c>
      <c r="L2106" s="1" t="s">
        <v>6819</v>
      </c>
      <c r="M2106" s="1">
        <v>49.0</v>
      </c>
      <c r="N2106" s="1" t="s">
        <v>1152</v>
      </c>
      <c r="O2106" s="3" t="s">
        <v>10179</v>
      </c>
      <c r="P2106" s="1" t="s">
        <v>1152</v>
      </c>
      <c r="Q2106" s="1" t="s">
        <v>1152</v>
      </c>
      <c r="R2106" s="1"/>
      <c r="S2106" s="1"/>
      <c r="T2106" s="1" t="s">
        <v>1152</v>
      </c>
      <c r="U2106" s="1" t="s">
        <v>1021</v>
      </c>
      <c r="V2106" s="4" t="s">
        <v>10179</v>
      </c>
      <c r="W2106" s="1"/>
      <c r="X2106" s="1" t="s">
        <v>1152</v>
      </c>
      <c r="Y2106" s="1" t="s">
        <v>1152</v>
      </c>
      <c r="Z2106" s="1"/>
      <c r="AA2106" s="1"/>
      <c r="AB2106" s="1"/>
      <c r="AC2106" s="1" t="s">
        <v>1925</v>
      </c>
      <c r="AD2106" s="1"/>
      <c r="AE2106" s="18">
        <v>46149.0</v>
      </c>
      <c r="AF2106" s="1" t="s">
        <v>1030</v>
      </c>
      <c r="AG2106" s="1" t="s">
        <v>52</v>
      </c>
      <c r="AH2106" s="1" t="s">
        <v>1152</v>
      </c>
      <c r="AI2106" s="1" t="s">
        <v>10180</v>
      </c>
      <c r="AJ2106" s="1" t="s">
        <v>10181</v>
      </c>
      <c r="AK2106" s="1" t="s">
        <v>1152</v>
      </c>
      <c r="AL2106" s="6" t="str">
        <f t="array" ref="AL2106">IFERROR(IFS(XLOOKUP(B2106, 'Kit Delivery Status'!$U:$U, 'Kit Delivery Status'!$K:$K) = "Complete", "DELIVERED", XLOOKUP(B2106, 'Kit Delivery Status'!$U:$U, 'Kit Delivery Status'!$K:$K) = "Issue", "ISSUE"), "")</f>
        <v/>
      </c>
      <c r="AM2106" s="6"/>
    </row>
    <row r="2107">
      <c r="A2107" s="5" t="s">
        <v>10182</v>
      </c>
      <c r="B2107" s="1" t="s">
        <v>10183</v>
      </c>
      <c r="C2107" s="1" t="s">
        <v>3727</v>
      </c>
      <c r="D2107" s="2">
        <v>8.6259653E9</v>
      </c>
      <c r="E2107" s="1" t="s">
        <v>3728</v>
      </c>
      <c r="F2107" s="1"/>
      <c r="G2107" s="1" t="s">
        <v>3729</v>
      </c>
      <c r="H2107" s="1" t="s">
        <v>1053</v>
      </c>
      <c r="I2107" s="1">
        <v>7043.0</v>
      </c>
      <c r="J2107" s="1" t="s">
        <v>752</v>
      </c>
      <c r="K2107" s="1" t="s">
        <v>42</v>
      </c>
      <c r="L2107" s="1" t="s">
        <v>6819</v>
      </c>
      <c r="M2107" s="1">
        <v>49.0</v>
      </c>
      <c r="N2107" s="1" t="s">
        <v>1152</v>
      </c>
      <c r="O2107" s="3" t="s">
        <v>2716</v>
      </c>
      <c r="P2107" s="1" t="s">
        <v>1152</v>
      </c>
      <c r="Q2107" s="1" t="s">
        <v>1152</v>
      </c>
      <c r="R2107" s="1"/>
      <c r="S2107" s="1"/>
      <c r="T2107" s="1" t="s">
        <v>1152</v>
      </c>
      <c r="U2107" s="1" t="s">
        <v>948</v>
      </c>
      <c r="V2107" s="4" t="s">
        <v>2716</v>
      </c>
      <c r="W2107" s="1"/>
      <c r="X2107" s="1" t="s">
        <v>1152</v>
      </c>
      <c r="Y2107" s="1" t="s">
        <v>1152</v>
      </c>
      <c r="Z2107" s="1"/>
      <c r="AA2107" s="1"/>
      <c r="AB2107" s="1"/>
      <c r="AC2107" s="1" t="s">
        <v>1925</v>
      </c>
      <c r="AD2107" s="1"/>
      <c r="AE2107" s="18">
        <v>46150.0</v>
      </c>
      <c r="AF2107" s="1" t="s">
        <v>1030</v>
      </c>
      <c r="AG2107" s="1" t="s">
        <v>52</v>
      </c>
      <c r="AH2107" s="1" t="s">
        <v>1152</v>
      </c>
      <c r="AI2107" s="1" t="s">
        <v>1152</v>
      </c>
      <c r="AJ2107" s="1" t="s">
        <v>3728</v>
      </c>
      <c r="AK2107" s="1" t="s">
        <v>1152</v>
      </c>
      <c r="AL2107" s="6" t="str">
        <f t="array" ref="AL2107">IFERROR(IFS(XLOOKUP(B2107, 'Kit Delivery Status'!$U:$U, 'Kit Delivery Status'!$K:$K) = "Complete", "DELIVERED", XLOOKUP(B2107, 'Kit Delivery Status'!$U:$U, 'Kit Delivery Status'!$K:$K) = "Issue", "ISSUE"), "")</f>
        <v/>
      </c>
      <c r="AM2107" s="6"/>
    </row>
    <row r="2108">
      <c r="A2108" s="5" t="s">
        <v>10184</v>
      </c>
      <c r="B2108" s="1" t="s">
        <v>10185</v>
      </c>
      <c r="C2108" s="1" t="s">
        <v>5825</v>
      </c>
      <c r="D2108" s="2">
        <v>6.466181335E9</v>
      </c>
      <c r="E2108" s="1" t="s">
        <v>5826</v>
      </c>
      <c r="F2108" s="1"/>
      <c r="G2108" s="1" t="s">
        <v>751</v>
      </c>
      <c r="H2108" s="1" t="s">
        <v>751</v>
      </c>
      <c r="I2108" s="1">
        <v>10025.0</v>
      </c>
      <c r="J2108" s="1" t="s">
        <v>752</v>
      </c>
      <c r="K2108" s="1" t="s">
        <v>42</v>
      </c>
      <c r="L2108" s="1" t="s">
        <v>6819</v>
      </c>
      <c r="M2108" s="1">
        <v>49.0</v>
      </c>
      <c r="N2108" s="1" t="s">
        <v>1152</v>
      </c>
      <c r="O2108" s="3" t="s">
        <v>3382</v>
      </c>
      <c r="P2108" s="1" t="s">
        <v>1152</v>
      </c>
      <c r="Q2108" s="1" t="s">
        <v>1152</v>
      </c>
      <c r="R2108" s="1"/>
      <c r="S2108" s="1"/>
      <c r="T2108" s="1" t="s">
        <v>1152</v>
      </c>
      <c r="U2108" s="1" t="s">
        <v>1794</v>
      </c>
      <c r="V2108" s="4" t="s">
        <v>3382</v>
      </c>
      <c r="W2108" s="1"/>
      <c r="X2108" s="1" t="s">
        <v>1152</v>
      </c>
      <c r="Y2108" s="1" t="s">
        <v>1152</v>
      </c>
      <c r="Z2108" s="1"/>
      <c r="AA2108" s="1"/>
      <c r="AB2108" s="1"/>
      <c r="AC2108" s="1" t="s">
        <v>1925</v>
      </c>
      <c r="AD2108" s="1"/>
      <c r="AE2108" s="18">
        <v>46149.0</v>
      </c>
      <c r="AF2108" s="1" t="s">
        <v>1630</v>
      </c>
      <c r="AG2108" s="1" t="s">
        <v>52</v>
      </c>
      <c r="AH2108" s="1" t="s">
        <v>1152</v>
      </c>
      <c r="AI2108" s="1" t="s">
        <v>1152</v>
      </c>
      <c r="AJ2108" s="1" t="s">
        <v>5826</v>
      </c>
      <c r="AK2108" s="1" t="s">
        <v>1152</v>
      </c>
      <c r="AL2108" s="6" t="str">
        <f t="array" ref="AL2108">IFERROR(IFS(XLOOKUP(B2108, 'Kit Delivery Status'!$U:$U, 'Kit Delivery Status'!$K:$K) = "Complete", "DELIVERED", XLOOKUP(B2108, 'Kit Delivery Status'!$U:$U, 'Kit Delivery Status'!$K:$K) = "Issue", "ISSUE"), "")</f>
        <v/>
      </c>
      <c r="AM2108" s="6"/>
    </row>
    <row r="2109">
      <c r="A2109" s="5" t="s">
        <v>10186</v>
      </c>
      <c r="B2109" s="1" t="s">
        <v>10187</v>
      </c>
      <c r="C2109" s="1" t="s">
        <v>10188</v>
      </c>
      <c r="D2109" s="2">
        <v>4.24303052E9</v>
      </c>
      <c r="E2109" s="1" t="s">
        <v>10189</v>
      </c>
      <c r="F2109" s="1"/>
      <c r="G2109" s="1" t="s">
        <v>1179</v>
      </c>
      <c r="H2109" s="1" t="s">
        <v>989</v>
      </c>
      <c r="I2109" s="1">
        <v>90035.0</v>
      </c>
      <c r="J2109" s="1" t="s">
        <v>752</v>
      </c>
      <c r="K2109" s="1" t="s">
        <v>42</v>
      </c>
      <c r="L2109" s="1" t="s">
        <v>6819</v>
      </c>
      <c r="M2109" s="1">
        <v>49.0</v>
      </c>
      <c r="N2109" s="1" t="s">
        <v>1152</v>
      </c>
      <c r="O2109" s="3" t="s">
        <v>323</v>
      </c>
      <c r="P2109" s="1" t="s">
        <v>1152</v>
      </c>
      <c r="Q2109" s="1" t="s">
        <v>1152</v>
      </c>
      <c r="R2109" s="1"/>
      <c r="S2109" s="1"/>
      <c r="T2109" s="1" t="s">
        <v>1152</v>
      </c>
      <c r="U2109" s="1" t="s">
        <v>956</v>
      </c>
      <c r="V2109" s="4" t="s">
        <v>323</v>
      </c>
      <c r="W2109" s="1"/>
      <c r="X2109" s="1" t="s">
        <v>1152</v>
      </c>
      <c r="Y2109" s="1" t="s">
        <v>1152</v>
      </c>
      <c r="Z2109" s="1"/>
      <c r="AA2109" s="1"/>
      <c r="AB2109" s="1"/>
      <c r="AC2109" s="1" t="s">
        <v>1925</v>
      </c>
      <c r="AD2109" s="1"/>
      <c r="AE2109" s="18">
        <v>46141.0</v>
      </c>
      <c r="AF2109" s="1" t="s">
        <v>1349</v>
      </c>
      <c r="AG2109" s="1" t="s">
        <v>52</v>
      </c>
      <c r="AH2109" s="1" t="s">
        <v>1152</v>
      </c>
      <c r="AI2109" s="1" t="s">
        <v>1152</v>
      </c>
      <c r="AJ2109" s="1" t="s">
        <v>10189</v>
      </c>
      <c r="AK2109" s="1" t="s">
        <v>1152</v>
      </c>
      <c r="AL2109" s="6" t="str">
        <f t="array" ref="AL2109">IFERROR(IFS(XLOOKUP(B2109, 'Kit Delivery Status'!$U:$U, 'Kit Delivery Status'!$K:$K) = "Complete", "DELIVERED", XLOOKUP(B2109, 'Kit Delivery Status'!$U:$U, 'Kit Delivery Status'!$K:$K) = "Issue", "ISSUE"), "")</f>
        <v/>
      </c>
      <c r="AM2109" s="6"/>
    </row>
    <row r="2110">
      <c r="A2110" s="5" t="s">
        <v>10190</v>
      </c>
      <c r="B2110" s="1" t="s">
        <v>10191</v>
      </c>
      <c r="C2110" s="1" t="s">
        <v>10192</v>
      </c>
      <c r="D2110" s="2">
        <v>9.733427712E9</v>
      </c>
      <c r="E2110" s="1" t="s">
        <v>10193</v>
      </c>
      <c r="F2110" s="1"/>
      <c r="G2110" s="1" t="s">
        <v>1430</v>
      </c>
      <c r="H2110" s="1" t="s">
        <v>1053</v>
      </c>
      <c r="I2110" s="1">
        <v>7107.0</v>
      </c>
      <c r="J2110" s="1" t="s">
        <v>752</v>
      </c>
      <c r="K2110" s="1" t="s">
        <v>42</v>
      </c>
      <c r="L2110" s="1" t="s">
        <v>6819</v>
      </c>
      <c r="M2110" s="1">
        <v>49.0</v>
      </c>
      <c r="N2110" s="1" t="s">
        <v>1152</v>
      </c>
      <c r="O2110" s="3" t="s">
        <v>10194</v>
      </c>
      <c r="P2110" s="1" t="s">
        <v>1152</v>
      </c>
      <c r="Q2110" s="1" t="s">
        <v>1152</v>
      </c>
      <c r="R2110" s="1"/>
      <c r="S2110" s="1"/>
      <c r="T2110" s="1" t="s">
        <v>1152</v>
      </c>
      <c r="U2110" s="1" t="s">
        <v>1249</v>
      </c>
      <c r="V2110" s="4" t="s">
        <v>10194</v>
      </c>
      <c r="W2110" s="1"/>
      <c r="X2110" s="1" t="s">
        <v>1152</v>
      </c>
      <c r="Y2110" s="1" t="s">
        <v>1152</v>
      </c>
      <c r="Z2110" s="1"/>
      <c r="AA2110" s="1"/>
      <c r="AB2110" s="1"/>
      <c r="AC2110" s="1" t="s">
        <v>1925</v>
      </c>
      <c r="AD2110" s="1"/>
      <c r="AE2110" s="18">
        <v>46160.0</v>
      </c>
      <c r="AF2110" s="1" t="s">
        <v>1630</v>
      </c>
      <c r="AG2110" s="1" t="s">
        <v>52</v>
      </c>
      <c r="AH2110" s="1" t="s">
        <v>1152</v>
      </c>
      <c r="AI2110" s="1" t="s">
        <v>1152</v>
      </c>
      <c r="AJ2110" s="1" t="s">
        <v>10195</v>
      </c>
      <c r="AK2110" s="1" t="s">
        <v>1152</v>
      </c>
      <c r="AL2110" s="6"/>
      <c r="AM2110" s="6"/>
    </row>
    <row r="2111">
      <c r="A2111" s="5" t="s">
        <v>10196</v>
      </c>
      <c r="B2111" s="1" t="s">
        <v>10197</v>
      </c>
      <c r="C2111" s="1" t="s">
        <v>10198</v>
      </c>
      <c r="D2111" s="2">
        <v>3.10462273E9</v>
      </c>
      <c r="E2111" s="1" t="s">
        <v>10199</v>
      </c>
      <c r="F2111" s="1"/>
      <c r="G2111" s="1" t="s">
        <v>1179</v>
      </c>
      <c r="H2111" s="1" t="s">
        <v>989</v>
      </c>
      <c r="I2111" s="1">
        <v>90056.0</v>
      </c>
      <c r="J2111" s="1" t="s">
        <v>752</v>
      </c>
      <c r="K2111" s="1" t="s">
        <v>42</v>
      </c>
      <c r="L2111" s="1" t="s">
        <v>6819</v>
      </c>
      <c r="M2111" s="1">
        <v>49.0</v>
      </c>
      <c r="N2111" s="1" t="s">
        <v>1152</v>
      </c>
      <c r="O2111" s="3" t="s">
        <v>10200</v>
      </c>
      <c r="P2111" s="1" t="s">
        <v>1152</v>
      </c>
      <c r="Q2111" s="1" t="s">
        <v>1152</v>
      </c>
      <c r="R2111" s="1"/>
      <c r="S2111" s="1"/>
      <c r="T2111" s="1" t="s">
        <v>1152</v>
      </c>
      <c r="U2111" s="1" t="s">
        <v>982</v>
      </c>
      <c r="V2111" s="4" t="s">
        <v>10200</v>
      </c>
      <c r="W2111" s="1"/>
      <c r="X2111" s="1" t="s">
        <v>1152</v>
      </c>
      <c r="Y2111" s="1" t="s">
        <v>1152</v>
      </c>
      <c r="Z2111" s="1"/>
      <c r="AA2111" s="1"/>
      <c r="AB2111" s="1"/>
      <c r="AC2111" s="1" t="s">
        <v>1925</v>
      </c>
      <c r="AD2111" s="1"/>
      <c r="AE2111" s="18">
        <v>46143.0</v>
      </c>
      <c r="AF2111" s="1" t="s">
        <v>1455</v>
      </c>
      <c r="AG2111" s="1" t="s">
        <v>52</v>
      </c>
      <c r="AH2111" s="1" t="s">
        <v>1152</v>
      </c>
      <c r="AI2111" s="1" t="s">
        <v>1152</v>
      </c>
      <c r="AJ2111" s="1" t="s">
        <v>10201</v>
      </c>
      <c r="AK2111" s="1" t="s">
        <v>1152</v>
      </c>
      <c r="AL2111" s="6"/>
      <c r="AM2111" s="6"/>
    </row>
    <row r="2112">
      <c r="A2112" s="5" t="s">
        <v>10202</v>
      </c>
      <c r="B2112" s="1" t="s">
        <v>10203</v>
      </c>
      <c r="C2112" s="1"/>
      <c r="D2112" s="2">
        <v>9.179752699E9</v>
      </c>
      <c r="E2112" s="1" t="s">
        <v>6548</v>
      </c>
      <c r="F2112" s="1"/>
      <c r="G2112" s="1" t="s">
        <v>3790</v>
      </c>
      <c r="H2112" s="1" t="s">
        <v>751</v>
      </c>
      <c r="I2112" s="1">
        <v>10007.0</v>
      </c>
      <c r="J2112" s="1" t="s">
        <v>752</v>
      </c>
      <c r="K2112" s="1" t="s">
        <v>42</v>
      </c>
      <c r="L2112" s="1" t="s">
        <v>6819</v>
      </c>
      <c r="M2112" s="1">
        <v>49.0</v>
      </c>
      <c r="N2112" s="1" t="s">
        <v>1152</v>
      </c>
      <c r="O2112" s="3" t="s">
        <v>10204</v>
      </c>
      <c r="P2112" s="1" t="s">
        <v>1152</v>
      </c>
      <c r="Q2112" s="1" t="s">
        <v>1152</v>
      </c>
      <c r="R2112" s="1"/>
      <c r="S2112" s="1"/>
      <c r="T2112" s="1" t="s">
        <v>1152</v>
      </c>
      <c r="U2112" s="1" t="s">
        <v>1065</v>
      </c>
      <c r="V2112" s="4" t="s">
        <v>10204</v>
      </c>
      <c r="W2112" s="1"/>
      <c r="X2112" s="1" t="s">
        <v>1152</v>
      </c>
      <c r="Y2112" s="1" t="s">
        <v>1152</v>
      </c>
      <c r="Z2112" s="1"/>
      <c r="AA2112" s="1"/>
      <c r="AB2112" s="1"/>
      <c r="AC2112" s="1" t="s">
        <v>1925</v>
      </c>
      <c r="AD2112" s="1"/>
      <c r="AE2112" s="18">
        <v>46149.0</v>
      </c>
      <c r="AF2112" s="1" t="s">
        <v>1030</v>
      </c>
      <c r="AG2112" s="1" t="s">
        <v>52</v>
      </c>
      <c r="AH2112" s="1" t="s">
        <v>1152</v>
      </c>
      <c r="AI2112" s="1" t="s">
        <v>1152</v>
      </c>
      <c r="AJ2112" s="1" t="s">
        <v>6548</v>
      </c>
      <c r="AK2112" s="1" t="s">
        <v>1152</v>
      </c>
      <c r="AL2112" s="6"/>
      <c r="AM2112" s="6"/>
    </row>
    <row r="2113">
      <c r="A2113" s="5" t="s">
        <v>10205</v>
      </c>
      <c r="B2113" s="1" t="s">
        <v>10206</v>
      </c>
      <c r="C2113" s="1" t="s">
        <v>10207</v>
      </c>
      <c r="D2113" s="2">
        <v>8.328153736E9</v>
      </c>
      <c r="E2113" s="1" t="s">
        <v>10208</v>
      </c>
      <c r="F2113" s="1"/>
      <c r="G2113" s="1" t="s">
        <v>1609</v>
      </c>
      <c r="H2113" s="1" t="s">
        <v>1583</v>
      </c>
      <c r="I2113" s="1">
        <v>77073.0</v>
      </c>
      <c r="J2113" s="1" t="s">
        <v>752</v>
      </c>
      <c r="K2113" s="1" t="s">
        <v>42</v>
      </c>
      <c r="L2113" s="1" t="s">
        <v>6819</v>
      </c>
      <c r="M2113" s="1">
        <v>49.0</v>
      </c>
      <c r="N2113" s="1" t="s">
        <v>1152</v>
      </c>
      <c r="O2113" s="3" t="s">
        <v>10209</v>
      </c>
      <c r="P2113" s="1" t="s">
        <v>1152</v>
      </c>
      <c r="Q2113" s="1" t="s">
        <v>1152</v>
      </c>
      <c r="R2113" s="1"/>
      <c r="S2113" s="1"/>
      <c r="T2113" s="1" t="s">
        <v>1152</v>
      </c>
      <c r="U2113" s="1" t="s">
        <v>2430</v>
      </c>
      <c r="V2113" s="4" t="s">
        <v>10209</v>
      </c>
      <c r="W2113" s="1"/>
      <c r="X2113" s="1" t="s">
        <v>1152</v>
      </c>
      <c r="Y2113" s="1" t="s">
        <v>1152</v>
      </c>
      <c r="Z2113" s="1"/>
      <c r="AA2113" s="1"/>
      <c r="AB2113" s="1"/>
      <c r="AC2113" s="1" t="s">
        <v>1925</v>
      </c>
      <c r="AD2113" s="1"/>
      <c r="AE2113" s="18">
        <v>46147.0</v>
      </c>
      <c r="AF2113" s="1" t="s">
        <v>1030</v>
      </c>
      <c r="AG2113" s="1" t="s">
        <v>52</v>
      </c>
      <c r="AH2113" s="1" t="s">
        <v>1152</v>
      </c>
      <c r="AI2113" s="1" t="s">
        <v>1152</v>
      </c>
      <c r="AJ2113" s="1" t="s">
        <v>10208</v>
      </c>
      <c r="AK2113" s="1" t="s">
        <v>1152</v>
      </c>
      <c r="AL2113" s="6"/>
      <c r="AM2113" s="6"/>
    </row>
    <row r="2114">
      <c r="A2114" s="5" t="s">
        <v>10210</v>
      </c>
      <c r="B2114" s="1" t="s">
        <v>10211</v>
      </c>
      <c r="C2114" s="1" t="s">
        <v>3519</v>
      </c>
      <c r="D2114" s="2">
        <v>5.166260596E9</v>
      </c>
      <c r="E2114" s="1" t="s">
        <v>10212</v>
      </c>
      <c r="F2114" s="1"/>
      <c r="G2114" s="1" t="s">
        <v>4486</v>
      </c>
      <c r="H2114" s="1" t="s">
        <v>751</v>
      </c>
      <c r="I2114" s="1">
        <v>11545.0</v>
      </c>
      <c r="J2114" s="1" t="s">
        <v>752</v>
      </c>
      <c r="K2114" s="1" t="s">
        <v>892</v>
      </c>
      <c r="L2114" s="1" t="s">
        <v>8134</v>
      </c>
      <c r="M2114" s="1">
        <v>79.0</v>
      </c>
      <c r="N2114" s="1" t="s">
        <v>1152</v>
      </c>
      <c r="O2114" s="3" t="s">
        <v>4895</v>
      </c>
      <c r="P2114" s="1" t="s">
        <v>1152</v>
      </c>
      <c r="Q2114" s="1" t="s">
        <v>1152</v>
      </c>
      <c r="R2114" s="1"/>
      <c r="S2114" s="1"/>
      <c r="T2114" s="1" t="s">
        <v>1152</v>
      </c>
      <c r="U2114" s="1" t="s">
        <v>1812</v>
      </c>
      <c r="V2114" s="4" t="s">
        <v>4895</v>
      </c>
      <c r="W2114" s="1"/>
      <c r="X2114" s="1" t="s">
        <v>1152</v>
      </c>
      <c r="Y2114" s="1" t="s">
        <v>1152</v>
      </c>
      <c r="Z2114" s="1"/>
      <c r="AA2114" s="1"/>
      <c r="AB2114" s="1"/>
      <c r="AC2114" s="1" t="s">
        <v>1925</v>
      </c>
      <c r="AD2114" s="1"/>
      <c r="AE2114" s="18">
        <v>46149.0</v>
      </c>
      <c r="AF2114" s="1" t="s">
        <v>1349</v>
      </c>
      <c r="AG2114" s="1" t="s">
        <v>52</v>
      </c>
      <c r="AH2114" s="1" t="s">
        <v>10213</v>
      </c>
      <c r="AI2114" s="1" t="s">
        <v>1152</v>
      </c>
      <c r="AJ2114" s="1" t="s">
        <v>3520</v>
      </c>
      <c r="AK2114" s="1" t="s">
        <v>1152</v>
      </c>
      <c r="AL2114" s="6"/>
      <c r="AM2114" s="6"/>
    </row>
    <row r="2115">
      <c r="A2115" s="5" t="s">
        <v>10210</v>
      </c>
      <c r="B2115" s="1" t="s">
        <v>10211</v>
      </c>
      <c r="C2115" s="1" t="s">
        <v>3519</v>
      </c>
      <c r="D2115" s="2">
        <v>5.166260596E9</v>
      </c>
      <c r="E2115" s="1" t="s">
        <v>10212</v>
      </c>
      <c r="F2115" s="1"/>
      <c r="G2115" s="1" t="s">
        <v>4486</v>
      </c>
      <c r="H2115" s="1" t="s">
        <v>751</v>
      </c>
      <c r="I2115" s="1">
        <v>11545.0</v>
      </c>
      <c r="J2115" s="1" t="s">
        <v>752</v>
      </c>
      <c r="K2115" s="1" t="s">
        <v>42</v>
      </c>
      <c r="L2115" s="1" t="s">
        <v>7863</v>
      </c>
      <c r="M2115" s="1">
        <v>79.0</v>
      </c>
      <c r="N2115" s="1" t="s">
        <v>1152</v>
      </c>
      <c r="O2115" s="3" t="s">
        <v>4895</v>
      </c>
      <c r="P2115" s="1" t="s">
        <v>1152</v>
      </c>
      <c r="Q2115" s="1" t="s">
        <v>1152</v>
      </c>
      <c r="R2115" s="1"/>
      <c r="S2115" s="1"/>
      <c r="T2115" s="1" t="s">
        <v>1152</v>
      </c>
      <c r="U2115" s="1" t="s">
        <v>1812</v>
      </c>
      <c r="V2115" s="4" t="s">
        <v>4895</v>
      </c>
      <c r="W2115" s="1"/>
      <c r="X2115" s="1" t="s">
        <v>1152</v>
      </c>
      <c r="Y2115" s="1" t="s">
        <v>1152</v>
      </c>
      <c r="Z2115" s="1"/>
      <c r="AA2115" s="1"/>
      <c r="AB2115" s="1"/>
      <c r="AC2115" s="1" t="s">
        <v>1925</v>
      </c>
      <c r="AD2115" s="1"/>
      <c r="AE2115" s="18">
        <v>46149.0</v>
      </c>
      <c r="AF2115" s="1" t="s">
        <v>1349</v>
      </c>
      <c r="AG2115" s="1" t="s">
        <v>52</v>
      </c>
      <c r="AH2115" s="1" t="s">
        <v>1152</v>
      </c>
      <c r="AI2115" s="1" t="s">
        <v>1152</v>
      </c>
      <c r="AJ2115" s="1" t="s">
        <v>3520</v>
      </c>
      <c r="AK2115" s="1" t="s">
        <v>1152</v>
      </c>
      <c r="AL2115" s="6"/>
      <c r="AM2115" s="6"/>
    </row>
    <row r="2116">
      <c r="A2116" s="5" t="s">
        <v>10214</v>
      </c>
      <c r="B2116" s="1" t="s">
        <v>10215</v>
      </c>
      <c r="C2116" s="1" t="s">
        <v>10216</v>
      </c>
      <c r="D2116" s="2">
        <v>3.478860321E9</v>
      </c>
      <c r="E2116" s="1" t="s">
        <v>8298</v>
      </c>
      <c r="F2116" s="1"/>
      <c r="G2116" s="1" t="s">
        <v>10217</v>
      </c>
      <c r="H2116" s="1" t="s">
        <v>751</v>
      </c>
      <c r="I2116" s="1">
        <v>11743.0</v>
      </c>
      <c r="J2116" s="1" t="s">
        <v>752</v>
      </c>
      <c r="K2116" s="1" t="s">
        <v>42</v>
      </c>
      <c r="L2116" s="1" t="s">
        <v>6819</v>
      </c>
      <c r="M2116" s="1">
        <v>49.0</v>
      </c>
      <c r="N2116" s="1" t="s">
        <v>1152</v>
      </c>
      <c r="O2116" s="3" t="s">
        <v>10218</v>
      </c>
      <c r="P2116" s="1" t="s">
        <v>1152</v>
      </c>
      <c r="Q2116" s="1" t="s">
        <v>1152</v>
      </c>
      <c r="R2116" s="1"/>
      <c r="S2116" s="1"/>
      <c r="T2116" s="1" t="s">
        <v>1152</v>
      </c>
      <c r="U2116" s="1" t="s">
        <v>1456</v>
      </c>
      <c r="V2116" s="4" t="s">
        <v>10218</v>
      </c>
      <c r="W2116" s="1"/>
      <c r="X2116" s="1" t="s">
        <v>1152</v>
      </c>
      <c r="Y2116" s="1" t="s">
        <v>1152</v>
      </c>
      <c r="Z2116" s="1"/>
      <c r="AA2116" s="1"/>
      <c r="AB2116" s="1"/>
      <c r="AC2116" s="1" t="s">
        <v>1925</v>
      </c>
      <c r="AD2116" s="1"/>
      <c r="AE2116" s="18">
        <v>46147.0</v>
      </c>
      <c r="AF2116" s="1" t="s">
        <v>1030</v>
      </c>
      <c r="AG2116" s="1" t="s">
        <v>52</v>
      </c>
      <c r="AH2116" s="1" t="s">
        <v>1152</v>
      </c>
      <c r="AI2116" s="1" t="s">
        <v>1152</v>
      </c>
      <c r="AJ2116" s="1" t="s">
        <v>10219</v>
      </c>
      <c r="AK2116" s="1" t="s">
        <v>1152</v>
      </c>
      <c r="AL2116" s="6"/>
      <c r="AM2116" s="6"/>
    </row>
    <row r="2117">
      <c r="A2117" s="5" t="s">
        <v>10220</v>
      </c>
      <c r="B2117" s="1" t="s">
        <v>10221</v>
      </c>
      <c r="C2117" s="1" t="s">
        <v>2457</v>
      </c>
      <c r="D2117" s="2">
        <v>9.142239682E9</v>
      </c>
      <c r="E2117" s="1" t="s">
        <v>2458</v>
      </c>
      <c r="F2117" s="1"/>
      <c r="G2117" s="1" t="s">
        <v>2459</v>
      </c>
      <c r="H2117" s="1" t="s">
        <v>1121</v>
      </c>
      <c r="I2117" s="1">
        <v>2186.0</v>
      </c>
      <c r="J2117" s="1" t="s">
        <v>752</v>
      </c>
      <c r="K2117" s="1" t="s">
        <v>42</v>
      </c>
      <c r="L2117" s="1" t="s">
        <v>6819</v>
      </c>
      <c r="M2117" s="1">
        <v>49.0</v>
      </c>
      <c r="N2117" s="1" t="s">
        <v>1152</v>
      </c>
      <c r="O2117" s="3" t="s">
        <v>10222</v>
      </c>
      <c r="P2117" s="1" t="s">
        <v>1152</v>
      </c>
      <c r="Q2117" s="1" t="s">
        <v>1152</v>
      </c>
      <c r="R2117" s="1"/>
      <c r="S2117" s="1"/>
      <c r="T2117" s="1" t="s">
        <v>1152</v>
      </c>
      <c r="U2117" s="1" t="s">
        <v>1456</v>
      </c>
      <c r="V2117" s="4" t="s">
        <v>10222</v>
      </c>
      <c r="W2117" s="1"/>
      <c r="X2117" s="1" t="s">
        <v>1152</v>
      </c>
      <c r="Y2117" s="1" t="s">
        <v>1152</v>
      </c>
      <c r="Z2117" s="1"/>
      <c r="AA2117" s="1"/>
      <c r="AB2117" s="1"/>
      <c r="AC2117" s="1" t="s">
        <v>1925</v>
      </c>
      <c r="AD2117" s="1"/>
      <c r="AE2117" s="18">
        <v>46149.0</v>
      </c>
      <c r="AF2117" s="1" t="s">
        <v>1030</v>
      </c>
      <c r="AG2117" s="1" t="s">
        <v>52</v>
      </c>
      <c r="AH2117" s="1" t="s">
        <v>1152</v>
      </c>
      <c r="AI2117" s="1" t="s">
        <v>1152</v>
      </c>
      <c r="AJ2117" s="1" t="s">
        <v>2458</v>
      </c>
      <c r="AK2117" s="1" t="s">
        <v>1152</v>
      </c>
      <c r="AL2117" s="6"/>
      <c r="AM2117" s="6"/>
    </row>
    <row r="2118">
      <c r="A2118" s="5" t="s">
        <v>10223</v>
      </c>
      <c r="B2118" s="1" t="s">
        <v>10224</v>
      </c>
      <c r="C2118" s="1" t="s">
        <v>4364</v>
      </c>
      <c r="D2118" s="2">
        <v>3.108908697E9</v>
      </c>
      <c r="E2118" s="1" t="s">
        <v>4365</v>
      </c>
      <c r="F2118" s="1"/>
      <c r="G2118" s="1" t="s">
        <v>10225</v>
      </c>
      <c r="H2118" s="1" t="s">
        <v>989</v>
      </c>
      <c r="I2118" s="1">
        <v>90291.0</v>
      </c>
      <c r="J2118" s="1" t="s">
        <v>752</v>
      </c>
      <c r="K2118" s="1" t="s">
        <v>42</v>
      </c>
      <c r="L2118" s="1" t="s">
        <v>7863</v>
      </c>
      <c r="M2118" s="1">
        <v>79.0</v>
      </c>
      <c r="N2118" s="1" t="s">
        <v>1152</v>
      </c>
      <c r="O2118" s="3" t="s">
        <v>10226</v>
      </c>
      <c r="P2118" s="1" t="s">
        <v>1152</v>
      </c>
      <c r="Q2118" s="1" t="s">
        <v>1152</v>
      </c>
      <c r="R2118" s="1"/>
      <c r="S2118" s="1"/>
      <c r="T2118" s="1" t="s">
        <v>1152</v>
      </c>
      <c r="U2118" s="1" t="s">
        <v>1021</v>
      </c>
      <c r="V2118" s="4" t="s">
        <v>10226</v>
      </c>
      <c r="W2118" s="1"/>
      <c r="X2118" s="1" t="s">
        <v>1152</v>
      </c>
      <c r="Y2118" s="1" t="s">
        <v>1152</v>
      </c>
      <c r="Z2118" s="1"/>
      <c r="AA2118" s="1"/>
      <c r="AB2118" s="1"/>
      <c r="AC2118" s="1" t="s">
        <v>1925</v>
      </c>
      <c r="AD2118" s="1"/>
      <c r="AE2118" s="18">
        <v>46153.0</v>
      </c>
      <c r="AF2118" s="1" t="s">
        <v>1030</v>
      </c>
      <c r="AG2118" s="1" t="s">
        <v>52</v>
      </c>
      <c r="AH2118" s="1" t="s">
        <v>1152</v>
      </c>
      <c r="AI2118" s="1" t="s">
        <v>1152</v>
      </c>
      <c r="AJ2118" s="1" t="s">
        <v>4365</v>
      </c>
      <c r="AK2118" s="1" t="s">
        <v>1152</v>
      </c>
      <c r="AL2118" s="6"/>
      <c r="AM2118" s="6"/>
    </row>
    <row r="2119">
      <c r="A2119" s="5" t="s">
        <v>10227</v>
      </c>
      <c r="B2119" s="1" t="s">
        <v>10228</v>
      </c>
      <c r="C2119" s="1" t="s">
        <v>2490</v>
      </c>
      <c r="D2119" s="2">
        <v>3.104872592E9</v>
      </c>
      <c r="E2119" s="1" t="s">
        <v>2491</v>
      </c>
      <c r="F2119" s="1"/>
      <c r="G2119" s="1" t="s">
        <v>1179</v>
      </c>
      <c r="H2119" s="1" t="s">
        <v>989</v>
      </c>
      <c r="I2119" s="1">
        <v>90049.0</v>
      </c>
      <c r="J2119" s="1" t="s">
        <v>752</v>
      </c>
      <c r="K2119" s="1" t="s">
        <v>42</v>
      </c>
      <c r="L2119" s="1" t="s">
        <v>7863</v>
      </c>
      <c r="M2119" s="1">
        <v>79.0</v>
      </c>
      <c r="N2119" s="1" t="s">
        <v>1152</v>
      </c>
      <c r="O2119" s="3" t="s">
        <v>2492</v>
      </c>
      <c r="P2119" s="1" t="s">
        <v>1152</v>
      </c>
      <c r="Q2119" s="1" t="s">
        <v>1152</v>
      </c>
      <c r="R2119" s="1"/>
      <c r="S2119" s="1"/>
      <c r="T2119" s="1" t="s">
        <v>1152</v>
      </c>
      <c r="U2119" s="1" t="s">
        <v>1407</v>
      </c>
      <c r="V2119" s="4" t="s">
        <v>2492</v>
      </c>
      <c r="W2119" s="1"/>
      <c r="X2119" s="1" t="s">
        <v>1152</v>
      </c>
      <c r="Y2119" s="1" t="s">
        <v>1152</v>
      </c>
      <c r="Z2119" s="1"/>
      <c r="AA2119" s="1"/>
      <c r="AB2119" s="1"/>
      <c r="AC2119" s="1" t="s">
        <v>1925</v>
      </c>
      <c r="AD2119" s="1"/>
      <c r="AE2119" s="18">
        <v>46149.0</v>
      </c>
      <c r="AF2119" s="1" t="s">
        <v>1030</v>
      </c>
      <c r="AG2119" s="1" t="s">
        <v>52</v>
      </c>
      <c r="AH2119" s="1" t="s">
        <v>1152</v>
      </c>
      <c r="AI2119" s="1" t="s">
        <v>1152</v>
      </c>
      <c r="AJ2119" s="1" t="s">
        <v>10229</v>
      </c>
      <c r="AK2119" s="1" t="s">
        <v>1152</v>
      </c>
      <c r="AL2119" s="6"/>
      <c r="AM2119" s="6"/>
    </row>
    <row r="2120">
      <c r="A2120" s="5" t="s">
        <v>10230</v>
      </c>
      <c r="B2120" s="1" t="s">
        <v>10231</v>
      </c>
      <c r="C2120" s="1" t="s">
        <v>3287</v>
      </c>
      <c r="D2120" s="2">
        <v>3.392354784E9</v>
      </c>
      <c r="E2120" s="1" t="s">
        <v>10232</v>
      </c>
      <c r="F2120" s="1"/>
      <c r="G2120" s="1" t="s">
        <v>10233</v>
      </c>
      <c r="H2120" s="1" t="s">
        <v>1616</v>
      </c>
      <c r="I2120" s="1">
        <v>3257.0</v>
      </c>
      <c r="J2120" s="1" t="s">
        <v>752</v>
      </c>
      <c r="K2120" s="1" t="s">
        <v>42</v>
      </c>
      <c r="L2120" s="1" t="s">
        <v>6819</v>
      </c>
      <c r="M2120" s="1">
        <v>49.0</v>
      </c>
      <c r="N2120" s="1" t="s">
        <v>1152</v>
      </c>
      <c r="O2120" s="3" t="s">
        <v>10234</v>
      </c>
      <c r="P2120" s="1" t="s">
        <v>1152</v>
      </c>
      <c r="Q2120" s="1" t="s">
        <v>1152</v>
      </c>
      <c r="R2120" s="1"/>
      <c r="S2120" s="1"/>
      <c r="T2120" s="1" t="s">
        <v>1152</v>
      </c>
      <c r="U2120" s="1" t="s">
        <v>1399</v>
      </c>
      <c r="V2120" s="4" t="s">
        <v>10234</v>
      </c>
      <c r="W2120" s="1"/>
      <c r="X2120" s="1" t="s">
        <v>1152</v>
      </c>
      <c r="Y2120" s="1" t="s">
        <v>1152</v>
      </c>
      <c r="Z2120" s="1"/>
      <c r="AA2120" s="1"/>
      <c r="AB2120" s="1"/>
      <c r="AC2120" s="1" t="s">
        <v>1925</v>
      </c>
      <c r="AD2120" s="1"/>
      <c r="AE2120" s="18">
        <v>46149.0</v>
      </c>
      <c r="AF2120" s="1" t="s">
        <v>1030</v>
      </c>
      <c r="AG2120" s="1" t="s">
        <v>52</v>
      </c>
      <c r="AH2120" s="1" t="s">
        <v>1152</v>
      </c>
      <c r="AI2120" s="1" t="s">
        <v>1152</v>
      </c>
      <c r="AJ2120" s="1" t="s">
        <v>10235</v>
      </c>
      <c r="AK2120" s="1" t="s">
        <v>1152</v>
      </c>
      <c r="AL2120" s="6"/>
      <c r="AM2120" s="6"/>
    </row>
    <row r="2121">
      <c r="A2121" s="5" t="s">
        <v>10236</v>
      </c>
      <c r="B2121" s="1" t="s">
        <v>10237</v>
      </c>
      <c r="C2121" s="1"/>
      <c r="D2121" s="2">
        <v>3.312389291E9</v>
      </c>
      <c r="E2121" s="1" t="s">
        <v>3636</v>
      </c>
      <c r="F2121" s="1"/>
      <c r="G2121" s="1" t="s">
        <v>7302</v>
      </c>
      <c r="H2121" s="1" t="s">
        <v>1019</v>
      </c>
      <c r="I2121" s="1" t="s">
        <v>10238</v>
      </c>
      <c r="J2121" s="1" t="s">
        <v>752</v>
      </c>
      <c r="K2121" s="1" t="s">
        <v>42</v>
      </c>
      <c r="L2121" s="1" t="s">
        <v>6819</v>
      </c>
      <c r="M2121" s="1">
        <v>49.0</v>
      </c>
      <c r="N2121" s="1" t="s">
        <v>1152</v>
      </c>
      <c r="O2121" s="3" t="s">
        <v>1806</v>
      </c>
      <c r="P2121" s="1" t="s">
        <v>1152</v>
      </c>
      <c r="Q2121" s="1" t="s">
        <v>1152</v>
      </c>
      <c r="R2121" s="1"/>
      <c r="S2121" s="1"/>
      <c r="T2121" s="1" t="s">
        <v>1152</v>
      </c>
      <c r="U2121" s="1" t="s">
        <v>6053</v>
      </c>
      <c r="V2121" s="4" t="s">
        <v>1806</v>
      </c>
      <c r="W2121" s="1"/>
      <c r="X2121" s="1" t="s">
        <v>1152</v>
      </c>
      <c r="Y2121" s="1" t="s">
        <v>1152</v>
      </c>
      <c r="Z2121" s="1"/>
      <c r="AA2121" s="1"/>
      <c r="AB2121" s="1"/>
      <c r="AC2121" s="1" t="s">
        <v>1925</v>
      </c>
      <c r="AD2121" s="1"/>
      <c r="AE2121" s="18">
        <v>46153.0</v>
      </c>
      <c r="AF2121" s="1" t="s">
        <v>1349</v>
      </c>
      <c r="AG2121" s="1" t="s">
        <v>52</v>
      </c>
      <c r="AH2121" s="1" t="s">
        <v>1152</v>
      </c>
      <c r="AI2121" s="1" t="s">
        <v>1152</v>
      </c>
      <c r="AJ2121" s="1" t="s">
        <v>3636</v>
      </c>
      <c r="AK2121" s="1" t="s">
        <v>1152</v>
      </c>
      <c r="AL2121" s="6"/>
      <c r="AM2121" s="6"/>
    </row>
    <row r="2122">
      <c r="A2122" s="5" t="s">
        <v>10239</v>
      </c>
      <c r="B2122" s="1" t="s">
        <v>10240</v>
      </c>
      <c r="C2122" s="1" t="s">
        <v>10241</v>
      </c>
      <c r="D2122" s="2">
        <v>2.405431264E9</v>
      </c>
      <c r="E2122" s="1" t="s">
        <v>10242</v>
      </c>
      <c r="F2122" s="1"/>
      <c r="G2122" s="1" t="s">
        <v>1299</v>
      </c>
      <c r="H2122" s="1" t="s">
        <v>1005</v>
      </c>
      <c r="I2122" s="1">
        <v>20817.0</v>
      </c>
      <c r="J2122" s="1" t="s">
        <v>752</v>
      </c>
      <c r="K2122" s="1" t="s">
        <v>42</v>
      </c>
      <c r="L2122" s="1" t="s">
        <v>6819</v>
      </c>
      <c r="M2122" s="1">
        <v>49.0</v>
      </c>
      <c r="N2122" s="1" t="s">
        <v>1152</v>
      </c>
      <c r="O2122" s="3" t="s">
        <v>1185</v>
      </c>
      <c r="P2122" s="1" t="s">
        <v>1152</v>
      </c>
      <c r="Q2122" s="1" t="s">
        <v>1152</v>
      </c>
      <c r="R2122" s="1"/>
      <c r="S2122" s="1"/>
      <c r="T2122" s="1" t="s">
        <v>1152</v>
      </c>
      <c r="U2122" s="1" t="s">
        <v>1277</v>
      </c>
      <c r="V2122" s="4" t="s">
        <v>1185</v>
      </c>
      <c r="W2122" s="1"/>
      <c r="X2122" s="1" t="s">
        <v>1152</v>
      </c>
      <c r="Y2122" s="1" t="s">
        <v>1152</v>
      </c>
      <c r="Z2122" s="1"/>
      <c r="AA2122" s="1"/>
      <c r="AB2122" s="1"/>
      <c r="AC2122" s="1" t="s">
        <v>1925</v>
      </c>
      <c r="AD2122" s="1"/>
      <c r="AE2122" s="18">
        <v>46149.0</v>
      </c>
      <c r="AF2122" s="1" t="s">
        <v>1030</v>
      </c>
      <c r="AG2122" s="1" t="s">
        <v>52</v>
      </c>
      <c r="AH2122" s="1" t="s">
        <v>1152</v>
      </c>
      <c r="AI2122" s="1" t="s">
        <v>1152</v>
      </c>
      <c r="AJ2122" s="1" t="s">
        <v>10243</v>
      </c>
      <c r="AK2122" s="1" t="s">
        <v>1152</v>
      </c>
      <c r="AL2122" s="6"/>
      <c r="AM2122" s="6"/>
    </row>
    <row r="2123">
      <c r="A2123" s="5" t="s">
        <v>10244</v>
      </c>
      <c r="B2123" s="1" t="s">
        <v>10245</v>
      </c>
      <c r="C2123" s="1" t="s">
        <v>10246</v>
      </c>
      <c r="D2123" s="2">
        <v>9.179712001E9</v>
      </c>
      <c r="E2123" s="1" t="s">
        <v>2434</v>
      </c>
      <c r="F2123" s="1"/>
      <c r="G2123" s="1" t="s">
        <v>2435</v>
      </c>
      <c r="H2123" s="1" t="s">
        <v>751</v>
      </c>
      <c r="I2123" s="1">
        <v>10514.0</v>
      </c>
      <c r="J2123" s="1" t="s">
        <v>752</v>
      </c>
      <c r="K2123" s="1" t="s">
        <v>42</v>
      </c>
      <c r="L2123" s="1" t="s">
        <v>6819</v>
      </c>
      <c r="M2123" s="1">
        <v>49.0</v>
      </c>
      <c r="N2123" s="1" t="s">
        <v>1152</v>
      </c>
      <c r="O2123" s="3" t="s">
        <v>2436</v>
      </c>
      <c r="P2123" s="1" t="s">
        <v>1152</v>
      </c>
      <c r="Q2123" s="1" t="s">
        <v>1152</v>
      </c>
      <c r="R2123" s="1"/>
      <c r="S2123" s="1"/>
      <c r="T2123" s="1" t="s">
        <v>1152</v>
      </c>
      <c r="U2123" s="1" t="s">
        <v>2437</v>
      </c>
      <c r="V2123" s="4" t="s">
        <v>2436</v>
      </c>
      <c r="W2123" s="1"/>
      <c r="X2123" s="1" t="s">
        <v>1152</v>
      </c>
      <c r="Y2123" s="1" t="s">
        <v>1152</v>
      </c>
      <c r="Z2123" s="1"/>
      <c r="AA2123" s="1"/>
      <c r="AB2123" s="1"/>
      <c r="AC2123" s="1" t="s">
        <v>1925</v>
      </c>
      <c r="AD2123" s="1"/>
      <c r="AE2123" s="18">
        <v>46146.0</v>
      </c>
      <c r="AF2123" s="1" t="s">
        <v>1630</v>
      </c>
      <c r="AG2123" s="1" t="s">
        <v>52</v>
      </c>
      <c r="AH2123" s="1" t="s">
        <v>1152</v>
      </c>
      <c r="AI2123" s="1" t="s">
        <v>1152</v>
      </c>
      <c r="AJ2123" s="1" t="s">
        <v>7554</v>
      </c>
      <c r="AK2123" s="1" t="s">
        <v>1152</v>
      </c>
      <c r="AL2123" s="6"/>
      <c r="AM2123" s="6"/>
    </row>
    <row r="2124">
      <c r="A2124" s="5" t="s">
        <v>10247</v>
      </c>
      <c r="B2124" s="1" t="s">
        <v>10248</v>
      </c>
      <c r="C2124" s="1"/>
      <c r="D2124" s="2">
        <v>9.179934166E9</v>
      </c>
      <c r="E2124" s="1" t="s">
        <v>6379</v>
      </c>
      <c r="F2124" s="1"/>
      <c r="G2124" s="1" t="s">
        <v>751</v>
      </c>
      <c r="H2124" s="1" t="s">
        <v>751</v>
      </c>
      <c r="I2124" s="1">
        <v>10011.0</v>
      </c>
      <c r="J2124" s="1" t="s">
        <v>752</v>
      </c>
      <c r="K2124" s="1" t="s">
        <v>42</v>
      </c>
      <c r="L2124" s="1" t="s">
        <v>7863</v>
      </c>
      <c r="M2124" s="1">
        <v>79.0</v>
      </c>
      <c r="N2124" s="1" t="s">
        <v>1152</v>
      </c>
      <c r="O2124" s="3" t="s">
        <v>964</v>
      </c>
      <c r="P2124" s="1" t="s">
        <v>1152</v>
      </c>
      <c r="Q2124" s="1" t="s">
        <v>1152</v>
      </c>
      <c r="R2124" s="1"/>
      <c r="S2124" s="1"/>
      <c r="T2124" s="1" t="s">
        <v>1152</v>
      </c>
      <c r="U2124" s="1" t="s">
        <v>982</v>
      </c>
      <c r="V2124" s="4" t="s">
        <v>964</v>
      </c>
      <c r="W2124" s="1"/>
      <c r="X2124" s="1" t="s">
        <v>1152</v>
      </c>
      <c r="Y2124" s="1" t="s">
        <v>1152</v>
      </c>
      <c r="Z2124" s="1"/>
      <c r="AA2124" s="1"/>
      <c r="AB2124" s="1"/>
      <c r="AC2124" s="1" t="s">
        <v>1925</v>
      </c>
      <c r="AD2124" s="1"/>
      <c r="AE2124" s="18">
        <v>46144.0</v>
      </c>
      <c r="AF2124" s="1" t="s">
        <v>1349</v>
      </c>
      <c r="AG2124" s="1" t="s">
        <v>52</v>
      </c>
      <c r="AH2124" s="1" t="s">
        <v>1152</v>
      </c>
      <c r="AI2124" s="1" t="s">
        <v>1152</v>
      </c>
      <c r="AJ2124" s="1" t="s">
        <v>6379</v>
      </c>
      <c r="AK2124" s="1" t="s">
        <v>1152</v>
      </c>
      <c r="AL2124" s="6"/>
      <c r="AM2124" s="6"/>
    </row>
    <row r="2125">
      <c r="A2125" s="5" t="s">
        <v>10249</v>
      </c>
      <c r="B2125" s="1" t="s">
        <v>10250</v>
      </c>
      <c r="C2125" s="1" t="s">
        <v>373</v>
      </c>
      <c r="D2125" s="2">
        <v>7.722249328E9</v>
      </c>
      <c r="E2125" s="1" t="s">
        <v>375</v>
      </c>
      <c r="F2125" s="1"/>
      <c r="G2125" s="1" t="s">
        <v>10251</v>
      </c>
      <c r="H2125" s="1" t="s">
        <v>1208</v>
      </c>
      <c r="I2125" s="1">
        <v>33470.0</v>
      </c>
      <c r="J2125" s="1" t="s">
        <v>752</v>
      </c>
      <c r="K2125" s="1" t="s">
        <v>892</v>
      </c>
      <c r="L2125" s="1" t="s">
        <v>8006</v>
      </c>
      <c r="M2125" s="1">
        <v>49.0</v>
      </c>
      <c r="N2125" s="1" t="s">
        <v>1152</v>
      </c>
      <c r="O2125" s="3" t="s">
        <v>378</v>
      </c>
      <c r="P2125" s="1" t="s">
        <v>1152</v>
      </c>
      <c r="Q2125" s="1" t="s">
        <v>1152</v>
      </c>
      <c r="R2125" s="1"/>
      <c r="S2125" s="1"/>
      <c r="T2125" s="1" t="s">
        <v>1152</v>
      </c>
      <c r="U2125" s="1" t="s">
        <v>1936</v>
      </c>
      <c r="V2125" s="4" t="s">
        <v>378</v>
      </c>
      <c r="W2125" s="1"/>
      <c r="X2125" s="1" t="s">
        <v>1152</v>
      </c>
      <c r="Y2125" s="1" t="s">
        <v>1152</v>
      </c>
      <c r="Z2125" s="1"/>
      <c r="AA2125" s="1"/>
      <c r="AB2125" s="1"/>
      <c r="AC2125" s="1" t="s">
        <v>1925</v>
      </c>
      <c r="AD2125" s="1"/>
      <c r="AE2125" s="18">
        <v>46158.0</v>
      </c>
      <c r="AF2125" s="1" t="s">
        <v>1030</v>
      </c>
      <c r="AG2125" s="1" t="s">
        <v>52</v>
      </c>
      <c r="AH2125" s="1" t="s">
        <v>10252</v>
      </c>
      <c r="AI2125" s="1" t="s">
        <v>1152</v>
      </c>
      <c r="AJ2125" s="1" t="s">
        <v>375</v>
      </c>
      <c r="AK2125" s="1" t="s">
        <v>1152</v>
      </c>
      <c r="AL2125" s="6"/>
      <c r="AM2125" s="6"/>
    </row>
    <row r="2126">
      <c r="A2126" s="5" t="s">
        <v>10253</v>
      </c>
      <c r="B2126" s="1" t="s">
        <v>10254</v>
      </c>
      <c r="C2126" s="1" t="s">
        <v>10255</v>
      </c>
      <c r="D2126" s="2">
        <v>8.479463671E9</v>
      </c>
      <c r="E2126" s="1" t="s">
        <v>10256</v>
      </c>
      <c r="F2126" s="1"/>
      <c r="G2126" s="1" t="s">
        <v>3683</v>
      </c>
      <c r="H2126" s="1" t="s">
        <v>1019</v>
      </c>
      <c r="I2126" s="1">
        <v>60047.0</v>
      </c>
      <c r="J2126" s="1" t="s">
        <v>752</v>
      </c>
      <c r="K2126" s="1" t="s">
        <v>42</v>
      </c>
      <c r="L2126" s="1" t="s">
        <v>10257</v>
      </c>
      <c r="M2126" s="1">
        <v>139.0</v>
      </c>
      <c r="N2126" s="1" t="s">
        <v>1152</v>
      </c>
      <c r="O2126" s="3" t="s">
        <v>10258</v>
      </c>
      <c r="P2126" s="1" t="s">
        <v>1152</v>
      </c>
      <c r="Q2126" s="1" t="s">
        <v>1152</v>
      </c>
      <c r="R2126" s="1"/>
      <c r="S2126" s="1"/>
      <c r="T2126" s="1" t="s">
        <v>1152</v>
      </c>
      <c r="U2126" s="1" t="s">
        <v>1080</v>
      </c>
      <c r="V2126" s="4" t="s">
        <v>10258</v>
      </c>
      <c r="W2126" s="1"/>
      <c r="X2126" s="1" t="s">
        <v>1152</v>
      </c>
      <c r="Y2126" s="1" t="s">
        <v>1152</v>
      </c>
      <c r="Z2126" s="1"/>
      <c r="AA2126" s="1"/>
      <c r="AB2126" s="1"/>
      <c r="AC2126" s="1" t="s">
        <v>1925</v>
      </c>
      <c r="AD2126" s="1"/>
      <c r="AE2126" s="18">
        <v>46149.0</v>
      </c>
      <c r="AF2126" s="1" t="s">
        <v>1030</v>
      </c>
      <c r="AG2126" s="1" t="s">
        <v>52</v>
      </c>
      <c r="AH2126" s="1" t="s">
        <v>1152</v>
      </c>
      <c r="AI2126" s="1" t="s">
        <v>1152</v>
      </c>
      <c r="AJ2126" s="1" t="s">
        <v>10259</v>
      </c>
      <c r="AK2126" s="1" t="s">
        <v>1152</v>
      </c>
      <c r="AL2126" s="6"/>
      <c r="AM2126" s="6"/>
    </row>
    <row r="2127">
      <c r="A2127" s="5" t="s">
        <v>10260</v>
      </c>
      <c r="B2127" s="1" t="s">
        <v>10261</v>
      </c>
      <c r="C2127" s="1"/>
      <c r="D2127" s="2">
        <v>9.17414012E9</v>
      </c>
      <c r="E2127" s="1" t="s">
        <v>10262</v>
      </c>
      <c r="F2127" s="1"/>
      <c r="G2127" s="1" t="s">
        <v>3790</v>
      </c>
      <c r="H2127" s="1" t="s">
        <v>751</v>
      </c>
      <c r="I2127" s="1">
        <v>10036.0</v>
      </c>
      <c r="J2127" s="1" t="s">
        <v>752</v>
      </c>
      <c r="K2127" s="1" t="s">
        <v>42</v>
      </c>
      <c r="L2127" s="1" t="s">
        <v>6819</v>
      </c>
      <c r="M2127" s="1">
        <v>49.0</v>
      </c>
      <c r="N2127" s="1" t="s">
        <v>1152</v>
      </c>
      <c r="O2127" s="3" t="s">
        <v>10263</v>
      </c>
      <c r="P2127" s="1" t="s">
        <v>1152</v>
      </c>
      <c r="Q2127" s="1" t="s">
        <v>1152</v>
      </c>
      <c r="R2127" s="1"/>
      <c r="S2127" s="1"/>
      <c r="T2127" s="1" t="s">
        <v>1152</v>
      </c>
      <c r="U2127" s="1" t="s">
        <v>982</v>
      </c>
      <c r="V2127" s="4" t="s">
        <v>10263</v>
      </c>
      <c r="W2127" s="1"/>
      <c r="X2127" s="1" t="s">
        <v>1152</v>
      </c>
      <c r="Y2127" s="1" t="s">
        <v>1152</v>
      </c>
      <c r="Z2127" s="1"/>
      <c r="AA2127" s="1"/>
      <c r="AB2127" s="1"/>
      <c r="AC2127" s="1" t="s">
        <v>1925</v>
      </c>
      <c r="AD2127" s="1"/>
      <c r="AE2127" s="18">
        <v>46141.0</v>
      </c>
      <c r="AF2127" s="1" t="s">
        <v>1349</v>
      </c>
      <c r="AG2127" s="1" t="s">
        <v>52</v>
      </c>
      <c r="AH2127" s="1" t="s">
        <v>1152</v>
      </c>
      <c r="AI2127" s="1" t="s">
        <v>1152</v>
      </c>
      <c r="AJ2127" s="1" t="s">
        <v>10264</v>
      </c>
      <c r="AK2127" s="1" t="s">
        <v>1152</v>
      </c>
      <c r="AL2127" s="6"/>
      <c r="AM2127" s="6"/>
    </row>
    <row r="2128">
      <c r="A2128" s="5" t="s">
        <v>10265</v>
      </c>
      <c r="B2128" s="1" t="s">
        <v>10266</v>
      </c>
      <c r="C2128" s="1" t="s">
        <v>10267</v>
      </c>
      <c r="D2128" s="2">
        <v>2.368691848E9</v>
      </c>
      <c r="E2128" s="1" t="s">
        <v>10268</v>
      </c>
      <c r="F2128" s="1"/>
      <c r="G2128" s="1" t="s">
        <v>4558</v>
      </c>
      <c r="H2128" s="1" t="s">
        <v>4559</v>
      </c>
      <c r="I2128" s="1" t="s">
        <v>4560</v>
      </c>
      <c r="J2128" s="1" t="s">
        <v>3582</v>
      </c>
      <c r="K2128" s="1" t="s">
        <v>42</v>
      </c>
      <c r="L2128" s="1" t="s">
        <v>7863</v>
      </c>
      <c r="M2128" s="1">
        <v>79.0</v>
      </c>
      <c r="N2128" s="1" t="s">
        <v>1152</v>
      </c>
      <c r="O2128" s="3" t="s">
        <v>1741</v>
      </c>
      <c r="P2128" s="1" t="s">
        <v>1152</v>
      </c>
      <c r="Q2128" s="1" t="s">
        <v>1152</v>
      </c>
      <c r="R2128" s="1"/>
      <c r="S2128" s="1"/>
      <c r="T2128" s="1" t="s">
        <v>1152</v>
      </c>
      <c r="U2128" s="1" t="s">
        <v>1080</v>
      </c>
      <c r="V2128" s="4" t="s">
        <v>1741</v>
      </c>
      <c r="W2128" s="1"/>
      <c r="X2128" s="1" t="s">
        <v>1152</v>
      </c>
      <c r="Y2128" s="1" t="s">
        <v>1152</v>
      </c>
      <c r="Z2128" s="1"/>
      <c r="AA2128" s="1"/>
      <c r="AB2128" s="1"/>
      <c r="AC2128" s="1" t="s">
        <v>1925</v>
      </c>
      <c r="AD2128" s="1"/>
      <c r="AE2128" s="18">
        <v>46148.0</v>
      </c>
      <c r="AF2128" s="1" t="s">
        <v>1349</v>
      </c>
      <c r="AG2128" s="1" t="s">
        <v>52</v>
      </c>
      <c r="AH2128" s="1" t="s">
        <v>1152</v>
      </c>
      <c r="AI2128" s="1" t="s">
        <v>1152</v>
      </c>
      <c r="AJ2128" s="1" t="s">
        <v>10268</v>
      </c>
      <c r="AK2128" s="1" t="s">
        <v>1152</v>
      </c>
      <c r="AL2128" s="6"/>
      <c r="AM2128" s="6"/>
    </row>
    <row r="2129">
      <c r="A2129" s="5" t="s">
        <v>10269</v>
      </c>
      <c r="B2129" s="1" t="s">
        <v>10270</v>
      </c>
      <c r="C2129" s="1" t="s">
        <v>10271</v>
      </c>
      <c r="D2129" s="2">
        <v>9.177155789E9</v>
      </c>
      <c r="E2129" s="1" t="s">
        <v>1720</v>
      </c>
      <c r="F2129" s="1"/>
      <c r="G2129" s="1" t="s">
        <v>751</v>
      </c>
      <c r="H2129" s="1" t="s">
        <v>751</v>
      </c>
      <c r="I2129" s="1">
        <v>10013.0</v>
      </c>
      <c r="J2129" s="1" t="s">
        <v>752</v>
      </c>
      <c r="K2129" s="1" t="s">
        <v>42</v>
      </c>
      <c r="L2129" s="1" t="s">
        <v>7863</v>
      </c>
      <c r="M2129" s="1">
        <v>79.0</v>
      </c>
      <c r="N2129" s="1" t="s">
        <v>1152</v>
      </c>
      <c r="O2129" s="3" t="s">
        <v>9603</v>
      </c>
      <c r="P2129" s="1" t="s">
        <v>1152</v>
      </c>
      <c r="Q2129" s="1" t="s">
        <v>1152</v>
      </c>
      <c r="R2129" s="1"/>
      <c r="S2129" s="1"/>
      <c r="T2129" s="1" t="s">
        <v>1152</v>
      </c>
      <c r="U2129" s="1" t="s">
        <v>1080</v>
      </c>
      <c r="V2129" s="4" t="s">
        <v>9603</v>
      </c>
      <c r="W2129" s="1"/>
      <c r="X2129" s="1" t="s">
        <v>1152</v>
      </c>
      <c r="Y2129" s="1" t="s">
        <v>1152</v>
      </c>
      <c r="Z2129" s="1"/>
      <c r="AA2129" s="1"/>
      <c r="AB2129" s="1"/>
      <c r="AC2129" s="1" t="s">
        <v>1925</v>
      </c>
      <c r="AD2129" s="1"/>
      <c r="AE2129" s="18">
        <v>46144.0</v>
      </c>
      <c r="AF2129" s="1" t="s">
        <v>1030</v>
      </c>
      <c r="AG2129" s="1" t="s">
        <v>52</v>
      </c>
      <c r="AH2129" s="1" t="s">
        <v>1152</v>
      </c>
      <c r="AI2129" s="1" t="s">
        <v>1152</v>
      </c>
      <c r="AJ2129" s="1" t="s">
        <v>10272</v>
      </c>
      <c r="AK2129" s="1" t="s">
        <v>1152</v>
      </c>
      <c r="AL2129" s="6"/>
      <c r="AM2129" s="6"/>
    </row>
    <row r="2130">
      <c r="A2130" s="5" t="s">
        <v>10273</v>
      </c>
      <c r="B2130" s="1" t="s">
        <v>10274</v>
      </c>
      <c r="C2130" s="1" t="s">
        <v>10275</v>
      </c>
      <c r="D2130" s="2">
        <v>5.572042367E9</v>
      </c>
      <c r="E2130" s="1" t="s">
        <v>10276</v>
      </c>
      <c r="F2130" s="1"/>
      <c r="G2130" s="1" t="s">
        <v>1283</v>
      </c>
      <c r="H2130" s="1" t="s">
        <v>1155</v>
      </c>
      <c r="I2130" s="1">
        <v>63105.0</v>
      </c>
      <c r="J2130" s="1" t="s">
        <v>752</v>
      </c>
      <c r="K2130" s="1" t="s">
        <v>42</v>
      </c>
      <c r="L2130" s="1" t="s">
        <v>6819</v>
      </c>
      <c r="M2130" s="1">
        <v>49.0</v>
      </c>
      <c r="N2130" s="1" t="s">
        <v>1152</v>
      </c>
      <c r="O2130" s="3" t="s">
        <v>10277</v>
      </c>
      <c r="P2130" s="1" t="s">
        <v>1152</v>
      </c>
      <c r="Q2130" s="1" t="s">
        <v>1152</v>
      </c>
      <c r="R2130" s="1"/>
      <c r="S2130" s="1"/>
      <c r="T2130" s="1" t="s">
        <v>1152</v>
      </c>
      <c r="U2130" s="1" t="s">
        <v>982</v>
      </c>
      <c r="V2130" s="4" t="s">
        <v>10277</v>
      </c>
      <c r="W2130" s="1"/>
      <c r="X2130" s="1" t="s">
        <v>1152</v>
      </c>
      <c r="Y2130" s="1" t="s">
        <v>1152</v>
      </c>
      <c r="Z2130" s="1"/>
      <c r="AA2130" s="1"/>
      <c r="AB2130" s="1"/>
      <c r="AC2130" s="1" t="s">
        <v>1925</v>
      </c>
      <c r="AD2130" s="1"/>
      <c r="AE2130" s="18">
        <v>46147.0</v>
      </c>
      <c r="AF2130" s="1" t="s">
        <v>1030</v>
      </c>
      <c r="AG2130" s="1" t="s">
        <v>52</v>
      </c>
      <c r="AH2130" s="1" t="s">
        <v>1152</v>
      </c>
      <c r="AI2130" s="1" t="s">
        <v>1152</v>
      </c>
      <c r="AJ2130" s="1" t="s">
        <v>10276</v>
      </c>
      <c r="AK2130" s="1" t="s">
        <v>1152</v>
      </c>
      <c r="AL2130" s="6"/>
      <c r="AM2130" s="6"/>
    </row>
    <row r="2131">
      <c r="A2131" s="5" t="s">
        <v>10278</v>
      </c>
      <c r="B2131" s="1" t="s">
        <v>10279</v>
      </c>
      <c r="C2131" s="1" t="s">
        <v>3060</v>
      </c>
      <c r="D2131" s="2">
        <v>3.025881466E9</v>
      </c>
      <c r="E2131" s="1" t="s">
        <v>5567</v>
      </c>
      <c r="F2131" s="1"/>
      <c r="G2131" s="1" t="s">
        <v>3830</v>
      </c>
      <c r="H2131" s="1" t="s">
        <v>3063</v>
      </c>
      <c r="I2131" s="1">
        <v>19807.0</v>
      </c>
      <c r="J2131" s="1" t="s">
        <v>752</v>
      </c>
      <c r="K2131" s="1" t="s">
        <v>42</v>
      </c>
      <c r="L2131" s="1" t="s">
        <v>6819</v>
      </c>
      <c r="M2131" s="1">
        <v>49.0</v>
      </c>
      <c r="N2131" s="1" t="s">
        <v>1152</v>
      </c>
      <c r="O2131" s="3" t="s">
        <v>3064</v>
      </c>
      <c r="P2131" s="1" t="s">
        <v>1152</v>
      </c>
      <c r="Q2131" s="1" t="s">
        <v>1152</v>
      </c>
      <c r="R2131" s="1"/>
      <c r="S2131" s="1"/>
      <c r="T2131" s="1" t="s">
        <v>1152</v>
      </c>
      <c r="U2131" s="1" t="s">
        <v>1441</v>
      </c>
      <c r="V2131" s="4" t="s">
        <v>3064</v>
      </c>
      <c r="W2131" s="1"/>
      <c r="X2131" s="1" t="s">
        <v>1152</v>
      </c>
      <c r="Y2131" s="1" t="s">
        <v>1152</v>
      </c>
      <c r="Z2131" s="1"/>
      <c r="AA2131" s="1"/>
      <c r="AB2131" s="1"/>
      <c r="AC2131" s="1" t="s">
        <v>1925</v>
      </c>
      <c r="AD2131" s="1"/>
      <c r="AE2131" s="18">
        <v>46149.0</v>
      </c>
      <c r="AF2131" s="1" t="s">
        <v>1030</v>
      </c>
      <c r="AG2131" s="1" t="s">
        <v>52</v>
      </c>
      <c r="AH2131" s="1" t="s">
        <v>1152</v>
      </c>
      <c r="AI2131" s="1" t="s">
        <v>1152</v>
      </c>
      <c r="AJ2131" s="1" t="s">
        <v>3061</v>
      </c>
      <c r="AK2131" s="1" t="s">
        <v>1152</v>
      </c>
      <c r="AL2131" s="6"/>
      <c r="AM2131" s="6"/>
    </row>
    <row r="2132">
      <c r="A2132" s="5" t="s">
        <v>10280</v>
      </c>
      <c r="B2132" s="1" t="s">
        <v>10281</v>
      </c>
      <c r="C2132" s="1"/>
      <c r="D2132" s="2">
        <v>8.145066887E9</v>
      </c>
      <c r="E2132" s="1" t="s">
        <v>10282</v>
      </c>
      <c r="F2132" s="1"/>
      <c r="G2132" s="1" t="s">
        <v>4413</v>
      </c>
      <c r="H2132" s="1" t="s">
        <v>1019</v>
      </c>
      <c r="I2132" s="1">
        <v>61820.0</v>
      </c>
      <c r="J2132" s="1" t="s">
        <v>752</v>
      </c>
      <c r="K2132" s="1" t="s">
        <v>42</v>
      </c>
      <c r="L2132" s="1" t="s">
        <v>6819</v>
      </c>
      <c r="M2132" s="1">
        <v>49.0</v>
      </c>
      <c r="N2132" s="1" t="s">
        <v>1152</v>
      </c>
      <c r="O2132" s="3" t="s">
        <v>4406</v>
      </c>
      <c r="P2132" s="1" t="s">
        <v>1152</v>
      </c>
      <c r="Q2132" s="1" t="s">
        <v>1152</v>
      </c>
      <c r="R2132" s="1"/>
      <c r="S2132" s="1"/>
      <c r="T2132" s="1" t="s">
        <v>1152</v>
      </c>
      <c r="U2132" s="1" t="s">
        <v>1376</v>
      </c>
      <c r="V2132" s="4" t="s">
        <v>4406</v>
      </c>
      <c r="W2132" s="1"/>
      <c r="X2132" s="1" t="s">
        <v>1152</v>
      </c>
      <c r="Y2132" s="1" t="s">
        <v>1152</v>
      </c>
      <c r="Z2132" s="1"/>
      <c r="AA2132" s="1"/>
      <c r="AB2132" s="1"/>
      <c r="AC2132" s="1" t="s">
        <v>1925</v>
      </c>
      <c r="AD2132" s="1"/>
      <c r="AE2132" s="18">
        <v>46148.0</v>
      </c>
      <c r="AF2132" s="1" t="s">
        <v>1030</v>
      </c>
      <c r="AG2132" s="1" t="s">
        <v>52</v>
      </c>
      <c r="AH2132" s="1" t="s">
        <v>1152</v>
      </c>
      <c r="AI2132" s="1" t="s">
        <v>1152</v>
      </c>
      <c r="AJ2132" s="1" t="s">
        <v>10282</v>
      </c>
      <c r="AK2132" s="1" t="s">
        <v>1152</v>
      </c>
      <c r="AL2132" s="6"/>
      <c r="AM2132" s="6"/>
    </row>
    <row r="2133">
      <c r="A2133" s="5" t="s">
        <v>10283</v>
      </c>
      <c r="B2133" s="1" t="s">
        <v>10284</v>
      </c>
      <c r="C2133" s="1" t="s">
        <v>10285</v>
      </c>
      <c r="D2133" s="2">
        <v>3.148280597E9</v>
      </c>
      <c r="E2133" s="1" t="s">
        <v>10286</v>
      </c>
      <c r="F2133" s="1"/>
      <c r="G2133" s="1" t="s">
        <v>2857</v>
      </c>
      <c r="H2133" s="1" t="s">
        <v>1155</v>
      </c>
      <c r="I2133" s="1">
        <v>63105.0</v>
      </c>
      <c r="J2133" s="1" t="s">
        <v>752</v>
      </c>
      <c r="K2133" s="1" t="s">
        <v>42</v>
      </c>
      <c r="L2133" s="1" t="s">
        <v>6819</v>
      </c>
      <c r="M2133" s="1">
        <v>49.0</v>
      </c>
      <c r="N2133" s="1" t="s">
        <v>1152</v>
      </c>
      <c r="O2133" s="3" t="s">
        <v>10287</v>
      </c>
      <c r="P2133" s="1" t="s">
        <v>1152</v>
      </c>
      <c r="Q2133" s="1" t="s">
        <v>1152</v>
      </c>
      <c r="R2133" s="1"/>
      <c r="S2133" s="1"/>
      <c r="T2133" s="1" t="s">
        <v>1152</v>
      </c>
      <c r="U2133" s="1" t="s">
        <v>1794</v>
      </c>
      <c r="V2133" s="4" t="s">
        <v>10287</v>
      </c>
      <c r="W2133" s="1"/>
      <c r="X2133" s="1" t="s">
        <v>1152</v>
      </c>
      <c r="Y2133" s="1" t="s">
        <v>1152</v>
      </c>
      <c r="Z2133" s="1"/>
      <c r="AA2133" s="1"/>
      <c r="AB2133" s="1"/>
      <c r="AC2133" s="1" t="s">
        <v>1925</v>
      </c>
      <c r="AD2133" s="1"/>
      <c r="AE2133" s="18">
        <v>46149.0</v>
      </c>
      <c r="AF2133" s="1" t="s">
        <v>1030</v>
      </c>
      <c r="AG2133" s="1" t="s">
        <v>52</v>
      </c>
      <c r="AH2133" s="1" t="s">
        <v>1152</v>
      </c>
      <c r="AI2133" s="1" t="s">
        <v>1152</v>
      </c>
      <c r="AJ2133" s="1" t="s">
        <v>10286</v>
      </c>
      <c r="AK2133" s="1" t="s">
        <v>1152</v>
      </c>
      <c r="AL2133" s="6"/>
      <c r="AM2133" s="6"/>
    </row>
    <row r="2134">
      <c r="A2134" s="5" t="s">
        <v>10288</v>
      </c>
      <c r="B2134" s="1" t="s">
        <v>10289</v>
      </c>
      <c r="C2134" s="1" t="s">
        <v>10290</v>
      </c>
      <c r="D2134" s="2">
        <v>2.014035599E9</v>
      </c>
      <c r="E2134" s="1" t="s">
        <v>10291</v>
      </c>
      <c r="F2134" s="1" t="s">
        <v>10292</v>
      </c>
      <c r="G2134" s="1" t="s">
        <v>2350</v>
      </c>
      <c r="H2134" s="1" t="s">
        <v>1155</v>
      </c>
      <c r="I2134" s="1">
        <v>63105.0</v>
      </c>
      <c r="J2134" s="1" t="s">
        <v>752</v>
      </c>
      <c r="K2134" s="1" t="s">
        <v>892</v>
      </c>
      <c r="L2134" s="1" t="s">
        <v>8006</v>
      </c>
      <c r="M2134" s="1">
        <v>49.0</v>
      </c>
      <c r="N2134" s="1" t="s">
        <v>1152</v>
      </c>
      <c r="O2134" s="3"/>
      <c r="P2134" s="1" t="s">
        <v>1152</v>
      </c>
      <c r="Q2134" s="1" t="s">
        <v>1152</v>
      </c>
      <c r="R2134" s="1" t="s">
        <v>10292</v>
      </c>
      <c r="S2134" s="1"/>
      <c r="T2134" s="1" t="s">
        <v>1152</v>
      </c>
      <c r="U2134" s="1"/>
      <c r="V2134" s="4"/>
      <c r="W2134" s="1" t="s">
        <v>10292</v>
      </c>
      <c r="X2134" s="1" t="s">
        <v>1152</v>
      </c>
      <c r="Y2134" s="1" t="s">
        <v>1152</v>
      </c>
      <c r="Z2134" s="1"/>
      <c r="AA2134" s="1" t="s">
        <v>10292</v>
      </c>
      <c r="AB2134" s="1"/>
      <c r="AC2134" s="1" t="s">
        <v>1925</v>
      </c>
      <c r="AD2134" s="1"/>
      <c r="AE2134" s="18">
        <v>46154.0</v>
      </c>
      <c r="AF2134" s="1" t="s">
        <v>1030</v>
      </c>
      <c r="AG2134" s="1" t="s">
        <v>124</v>
      </c>
      <c r="AH2134" s="1" t="s">
        <v>10293</v>
      </c>
      <c r="AI2134" s="1" t="s">
        <v>1152</v>
      </c>
      <c r="AJ2134" s="1" t="s">
        <v>10291</v>
      </c>
      <c r="AK2134" s="1" t="s">
        <v>1152</v>
      </c>
      <c r="AL2134" s="6"/>
      <c r="AM2134" s="6"/>
    </row>
    <row r="2135">
      <c r="A2135" s="5" t="s">
        <v>10294</v>
      </c>
      <c r="B2135" s="1" t="s">
        <v>10295</v>
      </c>
      <c r="C2135" s="1" t="s">
        <v>10296</v>
      </c>
      <c r="D2135" s="2">
        <v>6.468894671E9</v>
      </c>
      <c r="E2135" s="1" t="s">
        <v>10297</v>
      </c>
      <c r="F2135" s="1"/>
      <c r="G2135" s="1" t="s">
        <v>751</v>
      </c>
      <c r="H2135" s="1" t="s">
        <v>751</v>
      </c>
      <c r="I2135" s="1">
        <v>10023.0</v>
      </c>
      <c r="J2135" s="1" t="s">
        <v>752</v>
      </c>
      <c r="K2135" s="1" t="s">
        <v>42</v>
      </c>
      <c r="L2135" s="1" t="s">
        <v>6819</v>
      </c>
      <c r="M2135" s="1">
        <v>49.0</v>
      </c>
      <c r="N2135" s="1" t="s">
        <v>1152</v>
      </c>
      <c r="O2135" s="3" t="s">
        <v>1450</v>
      </c>
      <c r="P2135" s="1" t="s">
        <v>1152</v>
      </c>
      <c r="Q2135" s="1" t="s">
        <v>1152</v>
      </c>
      <c r="R2135" s="1"/>
      <c r="S2135" s="1"/>
      <c r="T2135" s="1" t="s">
        <v>1152</v>
      </c>
      <c r="U2135" s="1" t="s">
        <v>956</v>
      </c>
      <c r="V2135" s="4" t="s">
        <v>1450</v>
      </c>
      <c r="W2135" s="1"/>
      <c r="X2135" s="1" t="s">
        <v>1152</v>
      </c>
      <c r="Y2135" s="1" t="s">
        <v>1152</v>
      </c>
      <c r="Z2135" s="1"/>
      <c r="AA2135" s="1"/>
      <c r="AB2135" s="1"/>
      <c r="AC2135" s="1" t="s">
        <v>1925</v>
      </c>
      <c r="AD2135" s="1"/>
      <c r="AE2135" s="18">
        <v>46146.0</v>
      </c>
      <c r="AF2135" s="1" t="s">
        <v>1455</v>
      </c>
      <c r="AG2135" s="1" t="s">
        <v>52</v>
      </c>
      <c r="AH2135" s="1" t="s">
        <v>1152</v>
      </c>
      <c r="AI2135" s="1" t="s">
        <v>1152</v>
      </c>
      <c r="AJ2135" s="1" t="s">
        <v>10297</v>
      </c>
      <c r="AK2135" s="1" t="s">
        <v>1152</v>
      </c>
      <c r="AL2135" s="6"/>
      <c r="AM2135" s="6"/>
    </row>
    <row r="2136">
      <c r="A2136" s="5" t="s">
        <v>10298</v>
      </c>
      <c r="B2136" s="1" t="s">
        <v>10299</v>
      </c>
      <c r="C2136" s="1" t="s">
        <v>10300</v>
      </c>
      <c r="D2136" s="2">
        <v>6.185090791E9</v>
      </c>
      <c r="E2136" s="1" t="s">
        <v>6246</v>
      </c>
      <c r="F2136" s="1"/>
      <c r="G2136" s="1" t="s">
        <v>6247</v>
      </c>
      <c r="H2136" s="1" t="s">
        <v>6248</v>
      </c>
      <c r="I2136" s="1">
        <v>70122.0</v>
      </c>
      <c r="J2136" s="1" t="s">
        <v>752</v>
      </c>
      <c r="K2136" s="1" t="s">
        <v>2131</v>
      </c>
      <c r="L2136" s="1" t="s">
        <v>5811</v>
      </c>
      <c r="M2136" s="1">
        <v>1.0</v>
      </c>
      <c r="N2136" s="1" t="s">
        <v>1152</v>
      </c>
      <c r="O2136" s="3" t="s">
        <v>2442</v>
      </c>
      <c r="P2136" s="1" t="s">
        <v>1152</v>
      </c>
      <c r="Q2136" s="1" t="s">
        <v>1152</v>
      </c>
      <c r="R2136" s="1"/>
      <c r="S2136" s="1"/>
      <c r="T2136" s="1" t="s">
        <v>1152</v>
      </c>
      <c r="U2136" s="1" t="s">
        <v>956</v>
      </c>
      <c r="V2136" s="4" t="s">
        <v>2442</v>
      </c>
      <c r="W2136" s="1"/>
      <c r="X2136" s="1" t="s">
        <v>1152</v>
      </c>
      <c r="Y2136" s="1" t="s">
        <v>1152</v>
      </c>
      <c r="Z2136" s="1"/>
      <c r="AA2136" s="1"/>
      <c r="AB2136" s="1"/>
      <c r="AC2136" s="1" t="s">
        <v>1925</v>
      </c>
      <c r="AD2136" s="1"/>
      <c r="AE2136" s="18">
        <v>46149.0</v>
      </c>
      <c r="AF2136" s="1"/>
      <c r="AG2136" s="1"/>
      <c r="AH2136" s="1" t="s">
        <v>1152</v>
      </c>
      <c r="AI2136" s="1" t="s">
        <v>1152</v>
      </c>
      <c r="AJ2136" s="1" t="s">
        <v>6246</v>
      </c>
      <c r="AK2136" s="1" t="s">
        <v>1152</v>
      </c>
      <c r="AL2136" s="6"/>
      <c r="AM2136" s="6"/>
    </row>
    <row r="2137">
      <c r="A2137" s="5" t="s">
        <v>10301</v>
      </c>
      <c r="B2137" s="1" t="s">
        <v>10302</v>
      </c>
      <c r="C2137" s="1" t="s">
        <v>10303</v>
      </c>
      <c r="D2137" s="2">
        <v>7.169067664E9</v>
      </c>
      <c r="E2137" s="1" t="s">
        <v>10304</v>
      </c>
      <c r="F2137" s="1"/>
      <c r="G2137" s="1" t="s">
        <v>2452</v>
      </c>
      <c r="H2137" s="1" t="s">
        <v>1208</v>
      </c>
      <c r="I2137" s="1">
        <v>33647.0</v>
      </c>
      <c r="J2137" s="1" t="s">
        <v>752</v>
      </c>
      <c r="K2137" s="1" t="s">
        <v>42</v>
      </c>
      <c r="L2137" s="1" t="s">
        <v>6819</v>
      </c>
      <c r="M2137" s="1">
        <v>49.0</v>
      </c>
      <c r="N2137" s="1" t="s">
        <v>1152</v>
      </c>
      <c r="O2137" s="3" t="s">
        <v>6353</v>
      </c>
      <c r="P2137" s="1" t="s">
        <v>1152</v>
      </c>
      <c r="Q2137" s="1" t="s">
        <v>1152</v>
      </c>
      <c r="R2137" s="1"/>
      <c r="S2137" s="1"/>
      <c r="T2137" s="1" t="s">
        <v>1152</v>
      </c>
      <c r="U2137" s="1" t="s">
        <v>1174</v>
      </c>
      <c r="V2137" s="4" t="s">
        <v>6353</v>
      </c>
      <c r="W2137" s="1"/>
      <c r="X2137" s="1" t="s">
        <v>1152</v>
      </c>
      <c r="Y2137" s="1" t="s">
        <v>1152</v>
      </c>
      <c r="Z2137" s="1"/>
      <c r="AA2137" s="1"/>
      <c r="AB2137" s="1"/>
      <c r="AC2137" s="1" t="s">
        <v>1925</v>
      </c>
      <c r="AD2137" s="1"/>
      <c r="AE2137" s="18">
        <v>46149.0</v>
      </c>
      <c r="AF2137" s="1" t="s">
        <v>1030</v>
      </c>
      <c r="AG2137" s="1" t="s">
        <v>52</v>
      </c>
      <c r="AH2137" s="1" t="s">
        <v>1152</v>
      </c>
      <c r="AI2137" s="1" t="s">
        <v>1152</v>
      </c>
      <c r="AJ2137" s="1" t="s">
        <v>10304</v>
      </c>
      <c r="AK2137" s="1" t="s">
        <v>1152</v>
      </c>
      <c r="AL2137" s="6"/>
      <c r="AM2137" s="6"/>
    </row>
    <row r="2138">
      <c r="A2138" s="5" t="s">
        <v>10305</v>
      </c>
      <c r="B2138" s="1" t="s">
        <v>10306</v>
      </c>
      <c r="C2138" s="1" t="s">
        <v>10307</v>
      </c>
      <c r="D2138" s="2">
        <v>6.469570605E9</v>
      </c>
      <c r="E2138" s="1" t="s">
        <v>10308</v>
      </c>
      <c r="F2138" s="1"/>
      <c r="G2138" s="1" t="s">
        <v>1467</v>
      </c>
      <c r="H2138" s="1" t="s">
        <v>1053</v>
      </c>
      <c r="I2138" s="1">
        <v>7039.0</v>
      </c>
      <c r="J2138" s="1" t="s">
        <v>752</v>
      </c>
      <c r="K2138" s="1" t="s">
        <v>42</v>
      </c>
      <c r="L2138" s="1" t="s">
        <v>9502</v>
      </c>
      <c r="M2138" s="1">
        <v>79.0</v>
      </c>
      <c r="N2138" s="1" t="s">
        <v>1152</v>
      </c>
      <c r="O2138" s="3" t="s">
        <v>696</v>
      </c>
      <c r="P2138" s="1" t="s">
        <v>1152</v>
      </c>
      <c r="Q2138" s="1" t="s">
        <v>1152</v>
      </c>
      <c r="R2138" s="1"/>
      <c r="S2138" s="1"/>
      <c r="T2138" s="1" t="s">
        <v>1152</v>
      </c>
      <c r="U2138" s="1" t="s">
        <v>1039</v>
      </c>
      <c r="V2138" s="4" t="s">
        <v>696</v>
      </c>
      <c r="W2138" s="1"/>
      <c r="X2138" s="1" t="s">
        <v>1152</v>
      </c>
      <c r="Y2138" s="1" t="s">
        <v>1152</v>
      </c>
      <c r="Z2138" s="1"/>
      <c r="AA2138" s="1"/>
      <c r="AB2138" s="1"/>
      <c r="AC2138" s="1" t="s">
        <v>1925</v>
      </c>
      <c r="AD2138" s="1"/>
      <c r="AE2138" s="18">
        <v>46149.0</v>
      </c>
      <c r="AF2138" s="1" t="s">
        <v>1030</v>
      </c>
      <c r="AG2138" s="1" t="s">
        <v>52</v>
      </c>
      <c r="AH2138" s="1" t="s">
        <v>1152</v>
      </c>
      <c r="AI2138" s="1" t="s">
        <v>10309</v>
      </c>
      <c r="AJ2138" s="1" t="s">
        <v>10310</v>
      </c>
      <c r="AK2138" s="1" t="s">
        <v>1152</v>
      </c>
      <c r="AL2138" s="6"/>
      <c r="AM2138" s="6"/>
    </row>
    <row r="2139">
      <c r="A2139" s="5" t="s">
        <v>10311</v>
      </c>
      <c r="B2139" s="1" t="s">
        <v>10312</v>
      </c>
      <c r="C2139" s="1"/>
      <c r="D2139" s="2">
        <v>9.172326716E9</v>
      </c>
      <c r="E2139" s="1" t="s">
        <v>1853</v>
      </c>
      <c r="F2139" s="1"/>
      <c r="G2139" s="1" t="s">
        <v>751</v>
      </c>
      <c r="H2139" s="1" t="s">
        <v>751</v>
      </c>
      <c r="I2139" s="1">
        <v>10028.0</v>
      </c>
      <c r="J2139" s="1" t="s">
        <v>752</v>
      </c>
      <c r="K2139" s="1" t="s">
        <v>42</v>
      </c>
      <c r="L2139" s="1" t="s">
        <v>6819</v>
      </c>
      <c r="M2139" s="1">
        <v>49.0</v>
      </c>
      <c r="N2139" s="1" t="s">
        <v>1152</v>
      </c>
      <c r="O2139" s="3" t="s">
        <v>1854</v>
      </c>
      <c r="P2139" s="1" t="s">
        <v>1152</v>
      </c>
      <c r="Q2139" s="1" t="s">
        <v>1152</v>
      </c>
      <c r="R2139" s="1"/>
      <c r="S2139" s="1"/>
      <c r="T2139" s="1" t="s">
        <v>1152</v>
      </c>
      <c r="U2139" s="1" t="s">
        <v>1201</v>
      </c>
      <c r="V2139" s="4" t="s">
        <v>1854</v>
      </c>
      <c r="W2139" s="1"/>
      <c r="X2139" s="1" t="s">
        <v>1152</v>
      </c>
      <c r="Y2139" s="1" t="s">
        <v>1152</v>
      </c>
      <c r="Z2139" s="1"/>
      <c r="AA2139" s="1"/>
      <c r="AB2139" s="1"/>
      <c r="AC2139" s="1" t="s">
        <v>1925</v>
      </c>
      <c r="AD2139" s="1"/>
      <c r="AE2139" s="18">
        <v>46149.0</v>
      </c>
      <c r="AF2139" s="1" t="s">
        <v>1030</v>
      </c>
      <c r="AG2139" s="1" t="s">
        <v>52</v>
      </c>
      <c r="AH2139" s="1" t="s">
        <v>1152</v>
      </c>
      <c r="AI2139" s="1" t="s">
        <v>10313</v>
      </c>
      <c r="AJ2139" s="1" t="s">
        <v>1853</v>
      </c>
      <c r="AK2139" s="1" t="s">
        <v>1152</v>
      </c>
      <c r="AL2139" s="6"/>
      <c r="AM2139" s="6"/>
    </row>
    <row r="2140">
      <c r="A2140" s="5" t="s">
        <v>10314</v>
      </c>
      <c r="B2140" s="1" t="s">
        <v>10315</v>
      </c>
      <c r="C2140" s="1" t="s">
        <v>10316</v>
      </c>
      <c r="D2140" s="2">
        <v>3.107401036E9</v>
      </c>
      <c r="E2140" s="1" t="s">
        <v>10317</v>
      </c>
      <c r="F2140" s="1"/>
      <c r="G2140" s="1" t="s">
        <v>1179</v>
      </c>
      <c r="H2140" s="1" t="s">
        <v>989</v>
      </c>
      <c r="I2140" s="1">
        <v>90049.0</v>
      </c>
      <c r="J2140" s="1" t="s">
        <v>752</v>
      </c>
      <c r="K2140" s="1" t="s">
        <v>42</v>
      </c>
      <c r="L2140" s="1" t="s">
        <v>7863</v>
      </c>
      <c r="M2140" s="1">
        <v>79.0</v>
      </c>
      <c r="N2140" s="1" t="s">
        <v>1152</v>
      </c>
      <c r="O2140" s="3" t="s">
        <v>1414</v>
      </c>
      <c r="P2140" s="1" t="s">
        <v>1152</v>
      </c>
      <c r="Q2140" s="1" t="s">
        <v>1152</v>
      </c>
      <c r="R2140" s="1"/>
      <c r="S2140" s="1"/>
      <c r="T2140" s="1" t="s">
        <v>1152</v>
      </c>
      <c r="U2140" s="1" t="s">
        <v>1415</v>
      </c>
      <c r="V2140" s="4" t="s">
        <v>1414</v>
      </c>
      <c r="W2140" s="1"/>
      <c r="X2140" s="1" t="s">
        <v>1152</v>
      </c>
      <c r="Y2140" s="1" t="s">
        <v>1152</v>
      </c>
      <c r="Z2140" s="1"/>
      <c r="AA2140" s="1"/>
      <c r="AB2140" s="1"/>
      <c r="AC2140" s="1" t="s">
        <v>1925</v>
      </c>
      <c r="AD2140" s="1"/>
      <c r="AE2140" s="18">
        <v>46143.0</v>
      </c>
      <c r="AF2140" s="1" t="s">
        <v>1030</v>
      </c>
      <c r="AG2140" s="1" t="s">
        <v>52</v>
      </c>
      <c r="AH2140" s="1" t="s">
        <v>1152</v>
      </c>
      <c r="AI2140" s="1" t="s">
        <v>10318</v>
      </c>
      <c r="AJ2140" s="1" t="s">
        <v>1412</v>
      </c>
      <c r="AK2140" s="1" t="s">
        <v>1152</v>
      </c>
      <c r="AL2140" s="6"/>
      <c r="AM2140" s="6"/>
    </row>
    <row r="2141">
      <c r="A2141" s="5" t="s">
        <v>10319</v>
      </c>
      <c r="B2141" s="1" t="s">
        <v>10320</v>
      </c>
      <c r="C2141" s="1" t="s">
        <v>2843</v>
      </c>
      <c r="D2141" s="2">
        <v>8.323291499E9</v>
      </c>
      <c r="E2141" s="1" t="s">
        <v>2844</v>
      </c>
      <c r="F2141" s="1"/>
      <c r="G2141" s="1" t="s">
        <v>2845</v>
      </c>
      <c r="H2141" s="1" t="s">
        <v>1078</v>
      </c>
      <c r="I2141" s="1">
        <v>6525.0</v>
      </c>
      <c r="J2141" s="1" t="s">
        <v>752</v>
      </c>
      <c r="K2141" s="1" t="s">
        <v>42</v>
      </c>
      <c r="L2141" s="1" t="s">
        <v>6819</v>
      </c>
      <c r="M2141" s="1">
        <v>49.0</v>
      </c>
      <c r="N2141" s="1" t="s">
        <v>1152</v>
      </c>
      <c r="O2141" s="3" t="s">
        <v>2846</v>
      </c>
      <c r="P2141" s="1" t="s">
        <v>1152</v>
      </c>
      <c r="Q2141" s="1" t="s">
        <v>1152</v>
      </c>
      <c r="R2141" s="1"/>
      <c r="S2141" s="1"/>
      <c r="T2141" s="1" t="s">
        <v>1152</v>
      </c>
      <c r="U2141" s="1" t="s">
        <v>1812</v>
      </c>
      <c r="V2141" s="4" t="s">
        <v>2846</v>
      </c>
      <c r="W2141" s="1"/>
      <c r="X2141" s="1" t="s">
        <v>1152</v>
      </c>
      <c r="Y2141" s="1" t="s">
        <v>1152</v>
      </c>
      <c r="Z2141" s="1"/>
      <c r="AA2141" s="1"/>
      <c r="AB2141" s="1"/>
      <c r="AC2141" s="1" t="s">
        <v>1925</v>
      </c>
      <c r="AD2141" s="1"/>
      <c r="AE2141" s="18">
        <v>46149.0</v>
      </c>
      <c r="AF2141" s="1" t="s">
        <v>1030</v>
      </c>
      <c r="AG2141" s="1" t="s">
        <v>52</v>
      </c>
      <c r="AH2141" s="1" t="s">
        <v>1152</v>
      </c>
      <c r="AI2141" s="1" t="s">
        <v>1152</v>
      </c>
      <c r="AJ2141" s="1" t="s">
        <v>2844</v>
      </c>
      <c r="AK2141" s="1" t="s">
        <v>1152</v>
      </c>
      <c r="AL2141" s="6"/>
      <c r="AM2141" s="6"/>
    </row>
    <row r="2142">
      <c r="A2142" s="5" t="s">
        <v>10321</v>
      </c>
      <c r="B2142" s="1" t="s">
        <v>10322</v>
      </c>
      <c r="C2142" s="1"/>
      <c r="D2142" s="2">
        <v>9.178644154E9</v>
      </c>
      <c r="E2142" s="1" t="s">
        <v>3242</v>
      </c>
      <c r="F2142" s="1"/>
      <c r="G2142" s="1" t="s">
        <v>751</v>
      </c>
      <c r="H2142" s="1" t="s">
        <v>751</v>
      </c>
      <c r="I2142" s="1">
        <v>10021.0</v>
      </c>
      <c r="J2142" s="1" t="s">
        <v>752</v>
      </c>
      <c r="K2142" s="1" t="s">
        <v>42</v>
      </c>
      <c r="L2142" s="1" t="s">
        <v>6819</v>
      </c>
      <c r="M2142" s="1">
        <v>49.0</v>
      </c>
      <c r="N2142" s="1" t="s">
        <v>1152</v>
      </c>
      <c r="O2142" s="3" t="s">
        <v>10323</v>
      </c>
      <c r="P2142" s="1" t="s">
        <v>1152</v>
      </c>
      <c r="Q2142" s="1" t="s">
        <v>1152</v>
      </c>
      <c r="R2142" s="1"/>
      <c r="S2142" s="1"/>
      <c r="T2142" s="1" t="s">
        <v>1152</v>
      </c>
      <c r="U2142" s="1" t="s">
        <v>1277</v>
      </c>
      <c r="V2142" s="4" t="s">
        <v>10323</v>
      </c>
      <c r="W2142" s="1"/>
      <c r="X2142" s="1" t="s">
        <v>1152</v>
      </c>
      <c r="Y2142" s="1" t="s">
        <v>1152</v>
      </c>
      <c r="Z2142" s="1"/>
      <c r="AA2142" s="1"/>
      <c r="AB2142" s="1"/>
      <c r="AC2142" s="1" t="s">
        <v>1925</v>
      </c>
      <c r="AD2142" s="1"/>
      <c r="AE2142" s="18">
        <v>46147.0</v>
      </c>
      <c r="AF2142" s="1" t="s">
        <v>1030</v>
      </c>
      <c r="AG2142" s="1" t="s">
        <v>52</v>
      </c>
      <c r="AH2142" s="1" t="s">
        <v>1152</v>
      </c>
      <c r="AI2142" s="1" t="s">
        <v>1152</v>
      </c>
      <c r="AJ2142" s="1" t="s">
        <v>10324</v>
      </c>
      <c r="AK2142" s="1" t="s">
        <v>1152</v>
      </c>
      <c r="AL2142" s="6"/>
      <c r="AM2142" s="6"/>
    </row>
    <row r="2143">
      <c r="A2143" s="5" t="s">
        <v>10325</v>
      </c>
      <c r="B2143" s="1" t="s">
        <v>10326</v>
      </c>
      <c r="C2143" s="1" t="s">
        <v>10327</v>
      </c>
      <c r="D2143" s="2">
        <v>3.109636636E9</v>
      </c>
      <c r="E2143" s="1" t="s">
        <v>10328</v>
      </c>
      <c r="F2143" s="1"/>
      <c r="G2143" s="1" t="s">
        <v>2791</v>
      </c>
      <c r="H2143" s="1" t="s">
        <v>989</v>
      </c>
      <c r="I2143" s="1">
        <v>90405.0</v>
      </c>
      <c r="J2143" s="1" t="s">
        <v>752</v>
      </c>
      <c r="K2143" s="1" t="s">
        <v>42</v>
      </c>
      <c r="L2143" s="1" t="s">
        <v>7863</v>
      </c>
      <c r="M2143" s="1">
        <v>79.0</v>
      </c>
      <c r="N2143" s="1" t="s">
        <v>1152</v>
      </c>
      <c r="O2143" s="3" t="s">
        <v>10329</v>
      </c>
      <c r="P2143" s="1" t="s">
        <v>1152</v>
      </c>
      <c r="Q2143" s="1" t="s">
        <v>1152</v>
      </c>
      <c r="R2143" s="1"/>
      <c r="S2143" s="1"/>
      <c r="T2143" s="1" t="s">
        <v>1152</v>
      </c>
      <c r="U2143" s="1" t="s">
        <v>1487</v>
      </c>
      <c r="V2143" s="4" t="s">
        <v>10329</v>
      </c>
      <c r="W2143" s="1"/>
      <c r="X2143" s="1" t="s">
        <v>1152</v>
      </c>
      <c r="Y2143" s="1" t="s">
        <v>1152</v>
      </c>
      <c r="Z2143" s="1"/>
      <c r="AA2143" s="1"/>
      <c r="AB2143" s="1"/>
      <c r="AC2143" s="1" t="s">
        <v>1925</v>
      </c>
      <c r="AD2143" s="1"/>
      <c r="AE2143" s="18">
        <v>46148.0</v>
      </c>
      <c r="AF2143" s="1" t="s">
        <v>1030</v>
      </c>
      <c r="AG2143" s="1" t="s">
        <v>52</v>
      </c>
      <c r="AH2143" s="1" t="s">
        <v>1152</v>
      </c>
      <c r="AI2143" s="1" t="s">
        <v>10330</v>
      </c>
      <c r="AJ2143" s="1" t="s">
        <v>297</v>
      </c>
      <c r="AK2143" s="1" t="s">
        <v>1152</v>
      </c>
      <c r="AL2143" s="6"/>
      <c r="AM2143" s="6"/>
    </row>
    <row r="2144">
      <c r="A2144" s="5" t="s">
        <v>10325</v>
      </c>
      <c r="B2144" s="1" t="s">
        <v>10326</v>
      </c>
      <c r="C2144" s="1" t="s">
        <v>10327</v>
      </c>
      <c r="D2144" s="2">
        <v>3.109636636E9</v>
      </c>
      <c r="E2144" s="1" t="s">
        <v>10328</v>
      </c>
      <c r="F2144" s="1"/>
      <c r="G2144" s="1" t="s">
        <v>2791</v>
      </c>
      <c r="H2144" s="1" t="s">
        <v>989</v>
      </c>
      <c r="I2144" s="1">
        <v>90405.0</v>
      </c>
      <c r="J2144" s="1" t="s">
        <v>752</v>
      </c>
      <c r="K2144" s="1" t="s">
        <v>51</v>
      </c>
      <c r="L2144" s="1" t="s">
        <v>5722</v>
      </c>
      <c r="M2144" s="1">
        <v>1.0</v>
      </c>
      <c r="N2144" s="1" t="s">
        <v>2461</v>
      </c>
      <c r="O2144" s="3" t="s">
        <v>10331</v>
      </c>
      <c r="P2144" s="18">
        <v>46254.0</v>
      </c>
      <c r="Q2144" s="1" t="s">
        <v>2463</v>
      </c>
      <c r="R2144" s="1"/>
      <c r="S2144" s="1" t="s">
        <v>52</v>
      </c>
      <c r="T2144" s="1" t="s">
        <v>2461</v>
      </c>
      <c r="U2144" s="1" t="s">
        <v>1812</v>
      </c>
      <c r="V2144" s="4" t="s">
        <v>10331</v>
      </c>
      <c r="W2144" s="1"/>
      <c r="X2144" s="18">
        <v>46254.0</v>
      </c>
      <c r="Y2144" s="1" t="s">
        <v>2463</v>
      </c>
      <c r="Z2144" s="1"/>
      <c r="AA2144" s="1"/>
      <c r="AB2144" s="1" t="s">
        <v>52</v>
      </c>
      <c r="AC2144" s="1" t="s">
        <v>1925</v>
      </c>
      <c r="AD2144" s="1"/>
      <c r="AE2144" s="1" t="s">
        <v>1152</v>
      </c>
      <c r="AF2144" s="1"/>
      <c r="AG2144" s="1"/>
      <c r="AH2144" s="1" t="s">
        <v>1152</v>
      </c>
      <c r="AI2144" s="1" t="s">
        <v>10330</v>
      </c>
      <c r="AJ2144" s="1" t="s">
        <v>297</v>
      </c>
      <c r="AK2144" s="1" t="s">
        <v>1152</v>
      </c>
      <c r="AL2144" s="6"/>
      <c r="AM2144" s="6"/>
    </row>
    <row r="2145">
      <c r="A2145" s="5" t="s">
        <v>10332</v>
      </c>
      <c r="B2145" s="1" t="s">
        <v>10333</v>
      </c>
      <c r="C2145" s="1"/>
      <c r="D2145" s="2">
        <v>6.508627039E9</v>
      </c>
      <c r="E2145" s="1" t="s">
        <v>10334</v>
      </c>
      <c r="F2145" s="1"/>
      <c r="G2145" s="1" t="s">
        <v>10335</v>
      </c>
      <c r="H2145" s="1" t="s">
        <v>989</v>
      </c>
      <c r="I2145" s="1">
        <v>94305.0</v>
      </c>
      <c r="J2145" s="1" t="s">
        <v>752</v>
      </c>
      <c r="K2145" s="1" t="s">
        <v>42</v>
      </c>
      <c r="L2145" s="1" t="s">
        <v>6819</v>
      </c>
      <c r="M2145" s="1">
        <v>49.0</v>
      </c>
      <c r="N2145" s="1" t="s">
        <v>1152</v>
      </c>
      <c r="O2145" s="3" t="s">
        <v>2442</v>
      </c>
      <c r="P2145" s="1" t="s">
        <v>1152</v>
      </c>
      <c r="Q2145" s="1" t="s">
        <v>1152</v>
      </c>
      <c r="R2145" s="1"/>
      <c r="S2145" s="1"/>
      <c r="T2145" s="1" t="s">
        <v>1152</v>
      </c>
      <c r="U2145" s="1" t="s">
        <v>1133</v>
      </c>
      <c r="V2145" s="4" t="s">
        <v>2442</v>
      </c>
      <c r="W2145" s="1"/>
      <c r="X2145" s="1" t="s">
        <v>1152</v>
      </c>
      <c r="Y2145" s="1" t="s">
        <v>1152</v>
      </c>
      <c r="Z2145" s="1"/>
      <c r="AA2145" s="1"/>
      <c r="AB2145" s="1"/>
      <c r="AC2145" s="1" t="s">
        <v>1925</v>
      </c>
      <c r="AD2145" s="1"/>
      <c r="AE2145" s="18">
        <v>46148.0</v>
      </c>
      <c r="AF2145" s="1" t="s">
        <v>1349</v>
      </c>
      <c r="AG2145" s="1" t="s">
        <v>52</v>
      </c>
      <c r="AH2145" s="1" t="s">
        <v>1152</v>
      </c>
      <c r="AI2145" s="1" t="s">
        <v>1152</v>
      </c>
      <c r="AJ2145" s="1" t="s">
        <v>10334</v>
      </c>
      <c r="AK2145" s="1" t="s">
        <v>1152</v>
      </c>
      <c r="AL2145" s="6"/>
      <c r="AM2145" s="6"/>
    </row>
    <row r="2146">
      <c r="A2146" s="5" t="s">
        <v>10336</v>
      </c>
      <c r="B2146" s="1" t="s">
        <v>10337</v>
      </c>
      <c r="C2146" s="1"/>
      <c r="D2146" s="2">
        <v>9.492998167E9</v>
      </c>
      <c r="E2146" s="1" t="s">
        <v>10338</v>
      </c>
      <c r="F2146" s="1"/>
      <c r="G2146" s="1" t="s">
        <v>1983</v>
      </c>
      <c r="H2146" s="1" t="s">
        <v>989</v>
      </c>
      <c r="I2146" s="1">
        <v>92614.0</v>
      </c>
      <c r="J2146" s="1" t="s">
        <v>752</v>
      </c>
      <c r="K2146" s="1" t="s">
        <v>42</v>
      </c>
      <c r="L2146" s="1" t="s">
        <v>6819</v>
      </c>
      <c r="M2146" s="1">
        <v>49.0</v>
      </c>
      <c r="N2146" s="1" t="s">
        <v>1152</v>
      </c>
      <c r="O2146" s="3" t="s">
        <v>540</v>
      </c>
      <c r="P2146" s="1" t="s">
        <v>1152</v>
      </c>
      <c r="Q2146" s="1" t="s">
        <v>1152</v>
      </c>
      <c r="R2146" s="1"/>
      <c r="S2146" s="1"/>
      <c r="T2146" s="1" t="s">
        <v>1152</v>
      </c>
      <c r="U2146" s="1" t="s">
        <v>1487</v>
      </c>
      <c r="V2146" s="4" t="s">
        <v>540</v>
      </c>
      <c r="W2146" s="1"/>
      <c r="X2146" s="1" t="s">
        <v>1152</v>
      </c>
      <c r="Y2146" s="1" t="s">
        <v>1152</v>
      </c>
      <c r="Z2146" s="1"/>
      <c r="AA2146" s="1"/>
      <c r="AB2146" s="1"/>
      <c r="AC2146" s="1" t="s">
        <v>1925</v>
      </c>
      <c r="AD2146" s="1"/>
      <c r="AE2146" s="18">
        <v>46148.0</v>
      </c>
      <c r="AF2146" s="1" t="s">
        <v>1030</v>
      </c>
      <c r="AG2146" s="1" t="s">
        <v>52</v>
      </c>
      <c r="AH2146" s="1" t="s">
        <v>1152</v>
      </c>
      <c r="AI2146" s="1" t="s">
        <v>1152</v>
      </c>
      <c r="AJ2146" s="1" t="s">
        <v>10338</v>
      </c>
      <c r="AK2146" s="1" t="s">
        <v>1152</v>
      </c>
      <c r="AL2146" s="6"/>
      <c r="AM2146" s="6"/>
    </row>
    <row r="2147">
      <c r="A2147" s="5" t="s">
        <v>10339</v>
      </c>
      <c r="B2147" s="1" t="s">
        <v>10340</v>
      </c>
      <c r="C2147" s="1" t="s">
        <v>582</v>
      </c>
      <c r="D2147" s="2">
        <v>9.176968178E9</v>
      </c>
      <c r="E2147" s="1" t="s">
        <v>584</v>
      </c>
      <c r="F2147" s="1"/>
      <c r="G2147" s="1" t="s">
        <v>1131</v>
      </c>
      <c r="H2147" s="1" t="s">
        <v>751</v>
      </c>
      <c r="I2147" s="1">
        <v>10538.0</v>
      </c>
      <c r="J2147" s="1" t="s">
        <v>752</v>
      </c>
      <c r="K2147" s="1" t="s">
        <v>42</v>
      </c>
      <c r="L2147" s="1" t="s">
        <v>6819</v>
      </c>
      <c r="M2147" s="1">
        <v>49.0</v>
      </c>
      <c r="N2147" s="1" t="s">
        <v>1152</v>
      </c>
      <c r="O2147" s="3" t="s">
        <v>10341</v>
      </c>
      <c r="P2147" s="1" t="s">
        <v>1152</v>
      </c>
      <c r="Q2147" s="1" t="s">
        <v>1152</v>
      </c>
      <c r="R2147" s="1"/>
      <c r="S2147" s="1"/>
      <c r="T2147" s="1" t="s">
        <v>1152</v>
      </c>
      <c r="U2147" s="1" t="s">
        <v>1487</v>
      </c>
      <c r="V2147" s="4" t="s">
        <v>10341</v>
      </c>
      <c r="W2147" s="1"/>
      <c r="X2147" s="1" t="s">
        <v>1152</v>
      </c>
      <c r="Y2147" s="1" t="s">
        <v>1152</v>
      </c>
      <c r="Z2147" s="1"/>
      <c r="AA2147" s="1"/>
      <c r="AB2147" s="1"/>
      <c r="AC2147" s="1" t="s">
        <v>1925</v>
      </c>
      <c r="AD2147" s="1"/>
      <c r="AE2147" s="18">
        <v>46128.0</v>
      </c>
      <c r="AF2147" s="1" t="s">
        <v>3186</v>
      </c>
      <c r="AG2147" s="1" t="s">
        <v>52</v>
      </c>
      <c r="AH2147" s="1" t="s">
        <v>1152</v>
      </c>
      <c r="AI2147" s="1" t="s">
        <v>10342</v>
      </c>
      <c r="AJ2147" s="1" t="s">
        <v>10343</v>
      </c>
      <c r="AK2147" s="1" t="s">
        <v>1152</v>
      </c>
      <c r="AL2147" s="6"/>
      <c r="AM2147" s="6"/>
    </row>
    <row r="2148">
      <c r="A2148" s="5" t="s">
        <v>10344</v>
      </c>
      <c r="B2148" s="1" t="s">
        <v>10345</v>
      </c>
      <c r="C2148" s="1" t="s">
        <v>2217</v>
      </c>
      <c r="D2148" s="2">
        <v>6.50241876E9</v>
      </c>
      <c r="E2148" s="1" t="s">
        <v>2218</v>
      </c>
      <c r="F2148" s="1"/>
      <c r="G2148" s="1" t="s">
        <v>2219</v>
      </c>
      <c r="H2148" s="1" t="s">
        <v>989</v>
      </c>
      <c r="I2148" s="1">
        <v>94306.0</v>
      </c>
      <c r="J2148" s="1" t="s">
        <v>752</v>
      </c>
      <c r="K2148" s="1" t="s">
        <v>892</v>
      </c>
      <c r="L2148" s="1" t="s">
        <v>8006</v>
      </c>
      <c r="M2148" s="1">
        <v>49.0</v>
      </c>
      <c r="N2148" s="1" t="s">
        <v>1152</v>
      </c>
      <c r="O2148" s="3" t="s">
        <v>9218</v>
      </c>
      <c r="P2148" s="1" t="s">
        <v>1152</v>
      </c>
      <c r="Q2148" s="1" t="s">
        <v>1152</v>
      </c>
      <c r="R2148" s="1"/>
      <c r="S2148" s="1"/>
      <c r="T2148" s="1" t="s">
        <v>1152</v>
      </c>
      <c r="U2148" s="1" t="s">
        <v>1537</v>
      </c>
      <c r="V2148" s="4" t="s">
        <v>9218</v>
      </c>
      <c r="W2148" s="1"/>
      <c r="X2148" s="1" t="s">
        <v>1152</v>
      </c>
      <c r="Y2148" s="1" t="s">
        <v>1152</v>
      </c>
      <c r="Z2148" s="1"/>
      <c r="AA2148" s="1"/>
      <c r="AB2148" s="1"/>
      <c r="AC2148" s="1" t="s">
        <v>1925</v>
      </c>
      <c r="AD2148" s="1"/>
      <c r="AE2148" s="18">
        <v>46141.0</v>
      </c>
      <c r="AF2148" s="1" t="s">
        <v>1630</v>
      </c>
      <c r="AG2148" s="1" t="s">
        <v>52</v>
      </c>
      <c r="AH2148" s="1" t="s">
        <v>10346</v>
      </c>
      <c r="AI2148" s="1" t="s">
        <v>10347</v>
      </c>
      <c r="AJ2148" s="1" t="s">
        <v>9219</v>
      </c>
      <c r="AK2148" s="1" t="s">
        <v>1152</v>
      </c>
      <c r="AL2148" s="6"/>
      <c r="AM2148" s="6"/>
    </row>
    <row r="2149">
      <c r="A2149" s="5" t="s">
        <v>10348</v>
      </c>
      <c r="B2149" s="1" t="s">
        <v>10349</v>
      </c>
      <c r="C2149" s="1" t="s">
        <v>6350</v>
      </c>
      <c r="D2149" s="2">
        <v>9.548065446E9</v>
      </c>
      <c r="E2149" s="1" t="s">
        <v>6351</v>
      </c>
      <c r="F2149" s="1" t="s">
        <v>10350</v>
      </c>
      <c r="G2149" s="1" t="s">
        <v>2819</v>
      </c>
      <c r="H2149" s="1" t="s">
        <v>751</v>
      </c>
      <c r="I2149" s="1" t="s">
        <v>6357</v>
      </c>
      <c r="J2149" s="1" t="s">
        <v>752</v>
      </c>
      <c r="K2149" s="1" t="s">
        <v>892</v>
      </c>
      <c r="L2149" s="1" t="s">
        <v>8006</v>
      </c>
      <c r="M2149" s="1">
        <v>49.0</v>
      </c>
      <c r="N2149" s="1" t="s">
        <v>1152</v>
      </c>
      <c r="O2149" s="3"/>
      <c r="P2149" s="1" t="s">
        <v>1152</v>
      </c>
      <c r="Q2149" s="1" t="s">
        <v>1152</v>
      </c>
      <c r="R2149" s="1" t="s">
        <v>10350</v>
      </c>
      <c r="S2149" s="1"/>
      <c r="T2149" s="1" t="s">
        <v>1152</v>
      </c>
      <c r="U2149" s="1"/>
      <c r="V2149" s="4"/>
      <c r="W2149" s="1" t="s">
        <v>10350</v>
      </c>
      <c r="X2149" s="1" t="s">
        <v>1152</v>
      </c>
      <c r="Y2149" s="1" t="s">
        <v>1152</v>
      </c>
      <c r="Z2149" s="1"/>
      <c r="AA2149" s="1" t="s">
        <v>10350</v>
      </c>
      <c r="AB2149" s="1"/>
      <c r="AC2149" s="1" t="s">
        <v>1925</v>
      </c>
      <c r="AD2149" s="1"/>
      <c r="AE2149" s="18">
        <v>46158.0</v>
      </c>
      <c r="AF2149" s="1" t="s">
        <v>1030</v>
      </c>
      <c r="AG2149" s="1" t="s">
        <v>124</v>
      </c>
      <c r="AH2149" s="1" t="s">
        <v>10351</v>
      </c>
      <c r="AI2149" s="1" t="s">
        <v>1152</v>
      </c>
      <c r="AJ2149" s="1" t="s">
        <v>10352</v>
      </c>
      <c r="AK2149" s="1" t="s">
        <v>1152</v>
      </c>
      <c r="AL2149" s="6"/>
      <c r="AM2149" s="6"/>
    </row>
    <row r="2150">
      <c r="A2150" s="5" t="s">
        <v>10353</v>
      </c>
      <c r="B2150" s="1" t="s">
        <v>10354</v>
      </c>
      <c r="C2150" s="1" t="s">
        <v>10355</v>
      </c>
      <c r="D2150" s="2">
        <v>3.142034028E9</v>
      </c>
      <c r="E2150" s="1" t="s">
        <v>10356</v>
      </c>
      <c r="F2150" s="1"/>
      <c r="G2150" s="1" t="s">
        <v>2350</v>
      </c>
      <c r="H2150" s="1" t="s">
        <v>1155</v>
      </c>
      <c r="I2150" s="1">
        <v>63105.0</v>
      </c>
      <c r="J2150" s="1" t="s">
        <v>752</v>
      </c>
      <c r="K2150" s="1" t="s">
        <v>42</v>
      </c>
      <c r="L2150" s="1" t="s">
        <v>8365</v>
      </c>
      <c r="M2150" s="1">
        <v>49.0</v>
      </c>
      <c r="N2150" s="1" t="s">
        <v>1152</v>
      </c>
      <c r="O2150" s="3" t="s">
        <v>10357</v>
      </c>
      <c r="P2150" s="1" t="s">
        <v>1152</v>
      </c>
      <c r="Q2150" s="1" t="s">
        <v>1152</v>
      </c>
      <c r="R2150" s="1"/>
      <c r="S2150" s="1"/>
      <c r="T2150" s="1" t="s">
        <v>1152</v>
      </c>
      <c r="U2150" s="1" t="s">
        <v>982</v>
      </c>
      <c r="V2150" s="4" t="s">
        <v>10357</v>
      </c>
      <c r="W2150" s="1"/>
      <c r="X2150" s="1" t="s">
        <v>1152</v>
      </c>
      <c r="Y2150" s="1" t="s">
        <v>1152</v>
      </c>
      <c r="Z2150" s="1"/>
      <c r="AA2150" s="1"/>
      <c r="AB2150" s="1"/>
      <c r="AC2150" s="1" t="s">
        <v>1925</v>
      </c>
      <c r="AD2150" s="1"/>
      <c r="AE2150" s="18">
        <v>46146.0</v>
      </c>
      <c r="AF2150" s="1" t="s">
        <v>1440</v>
      </c>
      <c r="AG2150" s="1" t="s">
        <v>52</v>
      </c>
      <c r="AH2150" s="1" t="s">
        <v>1152</v>
      </c>
      <c r="AI2150" s="1" t="s">
        <v>1152</v>
      </c>
      <c r="AJ2150" s="1" t="s">
        <v>10356</v>
      </c>
      <c r="AK2150" s="1" t="s">
        <v>1152</v>
      </c>
      <c r="AL2150" s="6"/>
      <c r="AM2150" s="6"/>
    </row>
    <row r="2151">
      <c r="A2151" s="5" t="s">
        <v>10358</v>
      </c>
      <c r="B2151" s="1" t="s">
        <v>10359</v>
      </c>
      <c r="C2151" s="1" t="s">
        <v>10360</v>
      </c>
      <c r="D2151" s="2">
        <v>5.714947273E9</v>
      </c>
      <c r="E2151" s="1" t="s">
        <v>10361</v>
      </c>
      <c r="F2151" s="1"/>
      <c r="G2151" s="1" t="s">
        <v>10362</v>
      </c>
      <c r="H2151" s="1" t="s">
        <v>1155</v>
      </c>
      <c r="I2151" s="1">
        <v>63105.0</v>
      </c>
      <c r="J2151" s="1" t="s">
        <v>752</v>
      </c>
      <c r="K2151" s="1" t="s">
        <v>42</v>
      </c>
      <c r="L2151" s="1" t="s">
        <v>6819</v>
      </c>
      <c r="M2151" s="1">
        <v>49.0</v>
      </c>
      <c r="N2151" s="1" t="s">
        <v>1152</v>
      </c>
      <c r="O2151" s="3" t="s">
        <v>7828</v>
      </c>
      <c r="P2151" s="1" t="s">
        <v>1152</v>
      </c>
      <c r="Q2151" s="1" t="s">
        <v>1152</v>
      </c>
      <c r="R2151" s="1"/>
      <c r="S2151" s="1"/>
      <c r="T2151" s="1" t="s">
        <v>1152</v>
      </c>
      <c r="U2151" s="1" t="s">
        <v>1749</v>
      </c>
      <c r="V2151" s="4" t="s">
        <v>7828</v>
      </c>
      <c r="W2151" s="1"/>
      <c r="X2151" s="1" t="s">
        <v>1152</v>
      </c>
      <c r="Y2151" s="1" t="s">
        <v>1152</v>
      </c>
      <c r="Z2151" s="1"/>
      <c r="AA2151" s="1"/>
      <c r="AB2151" s="1"/>
      <c r="AC2151" s="1" t="s">
        <v>1925</v>
      </c>
      <c r="AD2151" s="1"/>
      <c r="AE2151" s="18">
        <v>46150.0</v>
      </c>
      <c r="AF2151" s="1" t="s">
        <v>1030</v>
      </c>
      <c r="AG2151" s="1" t="s">
        <v>52</v>
      </c>
      <c r="AH2151" s="1" t="s">
        <v>1152</v>
      </c>
      <c r="AI2151" s="1"/>
      <c r="AJ2151" s="1" t="s">
        <v>10361</v>
      </c>
      <c r="AK2151" s="1" t="s">
        <v>1152</v>
      </c>
      <c r="AL2151" s="6" t="str">
        <f t="array" ref="AL2151">IFERROR(IFS(XLOOKUP(B2151, 'Kit Delivery Status'!$U:$U, 'Kit Delivery Status'!$K:$K) = "Complete", "DELIVERED", XLOOKUP(B2151, 'Kit Delivery Status'!$U:$U, 'Kit Delivery Status'!$K:$K) = "Issue", "ISSUE"), "")</f>
        <v/>
      </c>
      <c r="AM2151" s="6"/>
    </row>
    <row r="2152">
      <c r="A2152" s="5" t="s">
        <v>10363</v>
      </c>
      <c r="B2152" s="1" t="s">
        <v>10364</v>
      </c>
      <c r="C2152" s="1" t="s">
        <v>10365</v>
      </c>
      <c r="D2152" s="2">
        <v>6.467172614E9</v>
      </c>
      <c r="E2152" s="1" t="s">
        <v>10366</v>
      </c>
      <c r="F2152" s="1"/>
      <c r="G2152" s="1" t="s">
        <v>1179</v>
      </c>
      <c r="H2152" s="1" t="s">
        <v>989</v>
      </c>
      <c r="I2152" s="1">
        <v>90027.0</v>
      </c>
      <c r="J2152" s="1" t="s">
        <v>752</v>
      </c>
      <c r="K2152" s="1" t="s">
        <v>42</v>
      </c>
      <c r="L2152" s="1" t="s">
        <v>7863</v>
      </c>
      <c r="M2152" s="1">
        <v>79.0</v>
      </c>
      <c r="N2152" s="1" t="s">
        <v>1152</v>
      </c>
      <c r="O2152" s="3" t="s">
        <v>10367</v>
      </c>
      <c r="P2152" s="1" t="s">
        <v>1152</v>
      </c>
      <c r="Q2152" s="1" t="s">
        <v>1152</v>
      </c>
      <c r="R2152" s="1"/>
      <c r="S2152" s="1"/>
      <c r="T2152" s="1" t="s">
        <v>1152</v>
      </c>
      <c r="U2152" s="1" t="s">
        <v>1277</v>
      </c>
      <c r="V2152" s="4" t="s">
        <v>10367</v>
      </c>
      <c r="W2152" s="1"/>
      <c r="X2152" s="1" t="s">
        <v>1152</v>
      </c>
      <c r="Y2152" s="1" t="s">
        <v>1152</v>
      </c>
      <c r="Z2152" s="1"/>
      <c r="AA2152" s="1"/>
      <c r="AB2152" s="1"/>
      <c r="AC2152" s="1" t="s">
        <v>1925</v>
      </c>
      <c r="AD2152" s="1"/>
      <c r="AE2152" s="18">
        <v>46146.0</v>
      </c>
      <c r="AF2152" s="1" t="s">
        <v>1630</v>
      </c>
      <c r="AG2152" s="1" t="s">
        <v>52</v>
      </c>
      <c r="AH2152" s="1" t="s">
        <v>1152</v>
      </c>
      <c r="AI2152" s="1" t="s">
        <v>1152</v>
      </c>
      <c r="AJ2152" s="1" t="s">
        <v>10368</v>
      </c>
      <c r="AK2152" s="1" t="s">
        <v>1152</v>
      </c>
      <c r="AL2152" s="6"/>
      <c r="AM2152" s="6"/>
    </row>
    <row r="2153">
      <c r="A2153" s="5" t="s">
        <v>10369</v>
      </c>
      <c r="B2153" s="1" t="s">
        <v>10370</v>
      </c>
      <c r="C2153" s="1" t="s">
        <v>1258</v>
      </c>
      <c r="D2153" s="2">
        <v>9.193338112E9</v>
      </c>
      <c r="E2153" s="1" t="s">
        <v>10371</v>
      </c>
      <c r="F2153" s="1"/>
      <c r="G2153" s="1" t="s">
        <v>1261</v>
      </c>
      <c r="H2153" s="1" t="s">
        <v>1005</v>
      </c>
      <c r="I2153" s="1">
        <v>21702.0</v>
      </c>
      <c r="J2153" s="1" t="s">
        <v>752</v>
      </c>
      <c r="K2153" s="1" t="s">
        <v>42</v>
      </c>
      <c r="L2153" s="1" t="s">
        <v>7863</v>
      </c>
      <c r="M2153" s="1">
        <v>79.0</v>
      </c>
      <c r="N2153" s="1" t="s">
        <v>1152</v>
      </c>
      <c r="O2153" s="3" t="s">
        <v>10372</v>
      </c>
      <c r="P2153" s="1" t="s">
        <v>1152</v>
      </c>
      <c r="Q2153" s="1" t="s">
        <v>1152</v>
      </c>
      <c r="R2153" s="1"/>
      <c r="S2153" s="1"/>
      <c r="T2153" s="1" t="s">
        <v>1152</v>
      </c>
      <c r="U2153" s="1" t="s">
        <v>982</v>
      </c>
      <c r="V2153" s="4" t="s">
        <v>10372</v>
      </c>
      <c r="W2153" s="1"/>
      <c r="X2153" s="1" t="s">
        <v>1152</v>
      </c>
      <c r="Y2153" s="1" t="s">
        <v>1152</v>
      </c>
      <c r="Z2153" s="1"/>
      <c r="AA2153" s="1"/>
      <c r="AB2153" s="1"/>
      <c r="AC2153" s="1" t="s">
        <v>1925</v>
      </c>
      <c r="AD2153" s="1"/>
      <c r="AE2153" s="18">
        <v>46148.0</v>
      </c>
      <c r="AF2153" s="1" t="s">
        <v>1455</v>
      </c>
      <c r="AG2153" s="1" t="s">
        <v>52</v>
      </c>
      <c r="AH2153" s="1" t="s">
        <v>1152</v>
      </c>
      <c r="AI2153" s="1" t="s">
        <v>1152</v>
      </c>
      <c r="AJ2153" s="1" t="s">
        <v>10373</v>
      </c>
      <c r="AK2153" s="1" t="s">
        <v>1152</v>
      </c>
      <c r="AL2153" s="6"/>
      <c r="AM2153" s="6"/>
    </row>
    <row r="2154">
      <c r="A2154" s="5" t="s">
        <v>10374</v>
      </c>
      <c r="B2154" s="1" t="s">
        <v>10375</v>
      </c>
      <c r="C2154" s="1" t="s">
        <v>10376</v>
      </c>
      <c r="D2154" s="2">
        <v>6.46706176E9</v>
      </c>
      <c r="E2154" s="1" t="s">
        <v>10377</v>
      </c>
      <c r="F2154" s="1"/>
      <c r="G2154" s="1" t="s">
        <v>2417</v>
      </c>
      <c r="H2154" s="1" t="s">
        <v>989</v>
      </c>
      <c r="I2154" s="1">
        <v>92130.0</v>
      </c>
      <c r="J2154" s="1" t="s">
        <v>752</v>
      </c>
      <c r="K2154" s="1" t="s">
        <v>42</v>
      </c>
      <c r="L2154" s="1" t="s">
        <v>6819</v>
      </c>
      <c r="M2154" s="1">
        <v>49.0</v>
      </c>
      <c r="N2154" s="1" t="s">
        <v>1152</v>
      </c>
      <c r="O2154" s="3" t="s">
        <v>3684</v>
      </c>
      <c r="P2154" s="1" t="s">
        <v>1152</v>
      </c>
      <c r="Q2154" s="1" t="s">
        <v>1152</v>
      </c>
      <c r="R2154" s="1"/>
      <c r="S2154" s="1"/>
      <c r="T2154" s="1" t="s">
        <v>1152</v>
      </c>
      <c r="U2154" s="1" t="s">
        <v>1249</v>
      </c>
      <c r="V2154" s="4" t="s">
        <v>3684</v>
      </c>
      <c r="W2154" s="1"/>
      <c r="X2154" s="1" t="s">
        <v>1152</v>
      </c>
      <c r="Y2154" s="1" t="s">
        <v>1152</v>
      </c>
      <c r="Z2154" s="1"/>
      <c r="AA2154" s="1"/>
      <c r="AB2154" s="1"/>
      <c r="AC2154" s="1" t="s">
        <v>1925</v>
      </c>
      <c r="AD2154" s="1"/>
      <c r="AE2154" s="18">
        <v>46149.0</v>
      </c>
      <c r="AF2154" s="1" t="s">
        <v>1030</v>
      </c>
      <c r="AG2154" s="1" t="s">
        <v>52</v>
      </c>
      <c r="AH2154" s="1" t="s">
        <v>1152</v>
      </c>
      <c r="AI2154" s="1" t="s">
        <v>1152</v>
      </c>
      <c r="AJ2154" s="1" t="s">
        <v>10378</v>
      </c>
      <c r="AK2154" s="1" t="s">
        <v>1152</v>
      </c>
      <c r="AL2154" s="6"/>
      <c r="AM2154" s="6"/>
    </row>
    <row r="2155">
      <c r="A2155" s="5" t="s">
        <v>10379</v>
      </c>
      <c r="B2155" s="1" t="s">
        <v>10380</v>
      </c>
      <c r="C2155" s="1" t="s">
        <v>3275</v>
      </c>
      <c r="D2155" s="2">
        <v>9.176136594E9</v>
      </c>
      <c r="E2155" s="1" t="s">
        <v>3276</v>
      </c>
      <c r="F2155" s="1" t="s">
        <v>10381</v>
      </c>
      <c r="G2155" s="1" t="s">
        <v>751</v>
      </c>
      <c r="H2155" s="1" t="s">
        <v>751</v>
      </c>
      <c r="I2155" s="1">
        <v>10075.0</v>
      </c>
      <c r="J2155" s="1" t="s">
        <v>752</v>
      </c>
      <c r="K2155" s="1" t="s">
        <v>51</v>
      </c>
      <c r="L2155" s="1" t="s">
        <v>5722</v>
      </c>
      <c r="M2155" s="1">
        <v>1.0</v>
      </c>
      <c r="N2155" s="1" t="s">
        <v>2487</v>
      </c>
      <c r="O2155" s="3"/>
      <c r="P2155" s="18">
        <v>46255.0</v>
      </c>
      <c r="Q2155" s="1" t="s">
        <v>2731</v>
      </c>
      <c r="R2155" s="1" t="s">
        <v>10381</v>
      </c>
      <c r="S2155" s="1" t="s">
        <v>124</v>
      </c>
      <c r="T2155" s="1" t="s">
        <v>2487</v>
      </c>
      <c r="U2155" s="1"/>
      <c r="V2155" s="4"/>
      <c r="W2155" s="1" t="s">
        <v>10381</v>
      </c>
      <c r="X2155" s="18">
        <v>46255.0</v>
      </c>
      <c r="Y2155" s="1" t="s">
        <v>2731</v>
      </c>
      <c r="Z2155" s="1"/>
      <c r="AA2155" s="1" t="s">
        <v>10381</v>
      </c>
      <c r="AB2155" s="1" t="s">
        <v>124</v>
      </c>
      <c r="AC2155" s="1" t="s">
        <v>1925</v>
      </c>
      <c r="AD2155" s="1"/>
      <c r="AE2155" s="1" t="s">
        <v>1152</v>
      </c>
      <c r="AF2155" s="1"/>
      <c r="AG2155" s="1"/>
      <c r="AH2155" s="1" t="s">
        <v>1152</v>
      </c>
      <c r="AI2155" s="1" t="s">
        <v>1152</v>
      </c>
      <c r="AJ2155" s="1" t="s">
        <v>8040</v>
      </c>
      <c r="AK2155" s="1" t="s">
        <v>1152</v>
      </c>
      <c r="AL2155" s="6"/>
      <c r="AM2155" s="6"/>
    </row>
    <row r="2156">
      <c r="A2156" s="5" t="s">
        <v>10382</v>
      </c>
      <c r="B2156" s="1" t="s">
        <v>10383</v>
      </c>
      <c r="C2156" s="1" t="s">
        <v>10384</v>
      </c>
      <c r="D2156" s="2">
        <v>3.473702637E9</v>
      </c>
      <c r="E2156" s="1" t="s">
        <v>10385</v>
      </c>
      <c r="F2156" s="1"/>
      <c r="G2156" s="1" t="s">
        <v>2157</v>
      </c>
      <c r="H2156" s="1" t="s">
        <v>751</v>
      </c>
      <c r="I2156" s="1">
        <v>11518.0</v>
      </c>
      <c r="J2156" s="1" t="s">
        <v>752</v>
      </c>
      <c r="K2156" s="1" t="s">
        <v>42</v>
      </c>
      <c r="L2156" s="1" t="s">
        <v>7863</v>
      </c>
      <c r="M2156" s="1">
        <v>79.0</v>
      </c>
      <c r="N2156" s="1" t="s">
        <v>1152</v>
      </c>
      <c r="O2156" s="3" t="s">
        <v>3597</v>
      </c>
      <c r="P2156" s="1" t="s">
        <v>1152</v>
      </c>
      <c r="Q2156" s="1" t="s">
        <v>1152</v>
      </c>
      <c r="R2156" s="1"/>
      <c r="S2156" s="1"/>
      <c r="T2156" s="1" t="s">
        <v>1152</v>
      </c>
      <c r="U2156" s="1" t="s">
        <v>956</v>
      </c>
      <c r="V2156" s="4" t="s">
        <v>3597</v>
      </c>
      <c r="W2156" s="1"/>
      <c r="X2156" s="1" t="s">
        <v>1152</v>
      </c>
      <c r="Y2156" s="1" t="s">
        <v>1152</v>
      </c>
      <c r="Z2156" s="1"/>
      <c r="AA2156" s="1"/>
      <c r="AB2156" s="1"/>
      <c r="AC2156" s="1" t="s">
        <v>1925</v>
      </c>
      <c r="AD2156" s="1"/>
      <c r="AE2156" s="18">
        <v>46149.0</v>
      </c>
      <c r="AF2156" s="1" t="s">
        <v>1030</v>
      </c>
      <c r="AG2156" s="1" t="s">
        <v>52</v>
      </c>
      <c r="AH2156" s="1" t="s">
        <v>1152</v>
      </c>
      <c r="AI2156" s="1" t="s">
        <v>1152</v>
      </c>
      <c r="AJ2156" s="1" t="s">
        <v>10386</v>
      </c>
      <c r="AK2156" s="1" t="s">
        <v>1152</v>
      </c>
      <c r="AL2156" s="6"/>
      <c r="AM2156" s="6"/>
    </row>
    <row r="2157">
      <c r="A2157" s="5" t="s">
        <v>10387</v>
      </c>
      <c r="B2157" s="1" t="s">
        <v>10388</v>
      </c>
      <c r="C2157" s="1" t="s">
        <v>4530</v>
      </c>
      <c r="D2157" s="2">
        <v>8.052845691E9</v>
      </c>
      <c r="E2157" s="1" t="s">
        <v>4531</v>
      </c>
      <c r="F2157" s="1"/>
      <c r="G2157" s="1" t="s">
        <v>4532</v>
      </c>
      <c r="H2157" s="1" t="s">
        <v>989</v>
      </c>
      <c r="I2157" s="1">
        <v>93463.0</v>
      </c>
      <c r="J2157" s="1" t="s">
        <v>752</v>
      </c>
      <c r="K2157" s="1" t="s">
        <v>42</v>
      </c>
      <c r="L2157" s="1" t="s">
        <v>6819</v>
      </c>
      <c r="M2157" s="1">
        <v>49.0</v>
      </c>
      <c r="N2157" s="1" t="s">
        <v>1152</v>
      </c>
      <c r="O2157" s="3" t="s">
        <v>3166</v>
      </c>
      <c r="P2157" s="1" t="s">
        <v>1152</v>
      </c>
      <c r="Q2157" s="1" t="s">
        <v>1152</v>
      </c>
      <c r="R2157" s="1"/>
      <c r="S2157" s="1"/>
      <c r="T2157" s="1" t="s">
        <v>1152</v>
      </c>
      <c r="U2157" s="1" t="s">
        <v>2236</v>
      </c>
      <c r="V2157" s="4" t="s">
        <v>3166</v>
      </c>
      <c r="W2157" s="1"/>
      <c r="X2157" s="1" t="s">
        <v>1152</v>
      </c>
      <c r="Y2157" s="1" t="s">
        <v>1152</v>
      </c>
      <c r="Z2157" s="1"/>
      <c r="AA2157" s="1"/>
      <c r="AB2157" s="1"/>
      <c r="AC2157" s="1" t="s">
        <v>1925</v>
      </c>
      <c r="AD2157" s="1"/>
      <c r="AE2157" s="18">
        <v>46142.0</v>
      </c>
      <c r="AF2157" s="1" t="s">
        <v>1030</v>
      </c>
      <c r="AG2157" s="1" t="s">
        <v>52</v>
      </c>
      <c r="AH2157" s="1" t="s">
        <v>1152</v>
      </c>
      <c r="AI2157" s="1" t="s">
        <v>1152</v>
      </c>
      <c r="AJ2157" s="1" t="s">
        <v>10389</v>
      </c>
      <c r="AK2157" s="1" t="s">
        <v>1152</v>
      </c>
      <c r="AL2157" s="6"/>
      <c r="AM2157" s="6"/>
    </row>
    <row r="2158">
      <c r="A2158" s="5" t="s">
        <v>10390</v>
      </c>
      <c r="B2158" s="1" t="s">
        <v>10391</v>
      </c>
      <c r="C2158" s="1"/>
      <c r="D2158" s="2">
        <v>4.752618419E9</v>
      </c>
      <c r="E2158" s="1" t="s">
        <v>10392</v>
      </c>
      <c r="F2158" s="1"/>
      <c r="G2158" s="1" t="s">
        <v>2350</v>
      </c>
      <c r="H2158" s="1" t="s">
        <v>1155</v>
      </c>
      <c r="I2158" s="1">
        <v>63105.0</v>
      </c>
      <c r="J2158" s="1" t="s">
        <v>752</v>
      </c>
      <c r="K2158" s="1" t="s">
        <v>42</v>
      </c>
      <c r="L2158" s="1" t="s">
        <v>6819</v>
      </c>
      <c r="M2158" s="1">
        <v>49.0</v>
      </c>
      <c r="N2158" s="1" t="s">
        <v>1152</v>
      </c>
      <c r="O2158" s="3" t="s">
        <v>10393</v>
      </c>
      <c r="P2158" s="1" t="s">
        <v>1152</v>
      </c>
      <c r="Q2158" s="1" t="s">
        <v>1152</v>
      </c>
      <c r="R2158" s="1"/>
      <c r="S2158" s="1"/>
      <c r="T2158" s="1" t="s">
        <v>1152</v>
      </c>
      <c r="U2158" s="1" t="s">
        <v>1376</v>
      </c>
      <c r="V2158" s="4" t="s">
        <v>10393</v>
      </c>
      <c r="W2158" s="1"/>
      <c r="X2158" s="1" t="s">
        <v>1152</v>
      </c>
      <c r="Y2158" s="1" t="s">
        <v>1152</v>
      </c>
      <c r="Z2158" s="1"/>
      <c r="AA2158" s="1"/>
      <c r="AB2158" s="1"/>
      <c r="AC2158" s="1" t="s">
        <v>1925</v>
      </c>
      <c r="AD2158" s="1"/>
      <c r="AE2158" s="18">
        <v>46143.0</v>
      </c>
      <c r="AF2158" s="1" t="s">
        <v>1030</v>
      </c>
      <c r="AG2158" s="1" t="s">
        <v>52</v>
      </c>
      <c r="AH2158" s="1" t="s">
        <v>1152</v>
      </c>
      <c r="AI2158" s="1" t="s">
        <v>1152</v>
      </c>
      <c r="AJ2158" s="1" t="s">
        <v>10394</v>
      </c>
      <c r="AK2158" s="1" t="s">
        <v>1152</v>
      </c>
      <c r="AL2158" s="6"/>
      <c r="AM2158" s="6"/>
    </row>
    <row r="2159">
      <c r="A2159" s="5" t="s">
        <v>10395</v>
      </c>
      <c r="B2159" s="1" t="s">
        <v>10396</v>
      </c>
      <c r="C2159" s="1" t="s">
        <v>906</v>
      </c>
      <c r="D2159" s="2">
        <v>9.176892557E9</v>
      </c>
      <c r="E2159" s="1" t="s">
        <v>2441</v>
      </c>
      <c r="F2159" s="1"/>
      <c r="G2159" s="1" t="s">
        <v>1382</v>
      </c>
      <c r="H2159" s="1" t="s">
        <v>751</v>
      </c>
      <c r="I2159" s="1">
        <v>10583.0</v>
      </c>
      <c r="J2159" s="1" t="s">
        <v>752</v>
      </c>
      <c r="K2159" s="1" t="s">
        <v>42</v>
      </c>
      <c r="L2159" s="1" t="s">
        <v>6819</v>
      </c>
      <c r="M2159" s="1">
        <v>49.0</v>
      </c>
      <c r="N2159" s="1" t="s">
        <v>1152</v>
      </c>
      <c r="O2159" s="3" t="s">
        <v>2442</v>
      </c>
      <c r="P2159" s="1" t="s">
        <v>1152</v>
      </c>
      <c r="Q2159" s="1" t="s">
        <v>1152</v>
      </c>
      <c r="R2159" s="1"/>
      <c r="S2159" s="1"/>
      <c r="T2159" s="1" t="s">
        <v>1152</v>
      </c>
      <c r="U2159" s="1" t="s">
        <v>1148</v>
      </c>
      <c r="V2159" s="4" t="s">
        <v>2442</v>
      </c>
      <c r="W2159" s="1"/>
      <c r="X2159" s="1" t="s">
        <v>1152</v>
      </c>
      <c r="Y2159" s="1" t="s">
        <v>1152</v>
      </c>
      <c r="Z2159" s="1"/>
      <c r="AA2159" s="1"/>
      <c r="AB2159" s="1"/>
      <c r="AC2159" s="1" t="s">
        <v>1925</v>
      </c>
      <c r="AD2159" s="1"/>
      <c r="AE2159" s="18">
        <v>46147.0</v>
      </c>
      <c r="AF2159" s="1" t="s">
        <v>1349</v>
      </c>
      <c r="AG2159" s="1" t="s">
        <v>52</v>
      </c>
      <c r="AH2159" s="1" t="s">
        <v>1152</v>
      </c>
      <c r="AI2159" s="1" t="s">
        <v>1152</v>
      </c>
      <c r="AJ2159" s="1" t="s">
        <v>907</v>
      </c>
      <c r="AK2159" s="1" t="s">
        <v>1152</v>
      </c>
      <c r="AL2159" s="6"/>
      <c r="AM2159" s="12">
        <v>9.14374685E9</v>
      </c>
    </row>
    <row r="2160">
      <c r="A2160" s="5" t="s">
        <v>10397</v>
      </c>
      <c r="B2160" s="1" t="s">
        <v>10398</v>
      </c>
      <c r="C2160" s="1" t="s">
        <v>8034</v>
      </c>
      <c r="D2160" s="2">
        <v>6.469464044E9</v>
      </c>
      <c r="E2160" s="1" t="s">
        <v>10399</v>
      </c>
      <c r="F2160" s="1" t="s">
        <v>10400</v>
      </c>
      <c r="G2160" s="1" t="s">
        <v>751</v>
      </c>
      <c r="H2160" s="1" t="s">
        <v>751</v>
      </c>
      <c r="I2160" s="1">
        <v>10023.0</v>
      </c>
      <c r="J2160" s="1" t="s">
        <v>752</v>
      </c>
      <c r="K2160" s="1" t="s">
        <v>51</v>
      </c>
      <c r="L2160" s="1" t="s">
        <v>5722</v>
      </c>
      <c r="M2160" s="1">
        <v>1.0</v>
      </c>
      <c r="N2160" s="1" t="s">
        <v>2487</v>
      </c>
      <c r="O2160" s="3"/>
      <c r="P2160" s="18">
        <v>46175.0</v>
      </c>
      <c r="Q2160" s="1" t="s">
        <v>2731</v>
      </c>
      <c r="R2160" s="1" t="s">
        <v>10400</v>
      </c>
      <c r="S2160" s="1" t="s">
        <v>124</v>
      </c>
      <c r="T2160" s="1" t="s">
        <v>2487</v>
      </c>
      <c r="U2160" s="1"/>
      <c r="V2160" s="4"/>
      <c r="W2160" s="1" t="s">
        <v>10400</v>
      </c>
      <c r="X2160" s="18">
        <v>46175.0</v>
      </c>
      <c r="Y2160" s="1" t="s">
        <v>2731</v>
      </c>
      <c r="Z2160" s="1"/>
      <c r="AA2160" s="1" t="s">
        <v>10400</v>
      </c>
      <c r="AB2160" s="1" t="s">
        <v>124</v>
      </c>
      <c r="AC2160" s="1" t="s">
        <v>1925</v>
      </c>
      <c r="AD2160" s="1"/>
      <c r="AE2160" s="1" t="s">
        <v>1152</v>
      </c>
      <c r="AF2160" s="1"/>
      <c r="AG2160" s="1"/>
      <c r="AH2160" s="1" t="s">
        <v>1152</v>
      </c>
      <c r="AI2160" s="1" t="s">
        <v>10401</v>
      </c>
      <c r="AJ2160" s="1" t="s">
        <v>8037</v>
      </c>
      <c r="AK2160" s="1" t="s">
        <v>1152</v>
      </c>
      <c r="AL2160" s="6"/>
      <c r="AM2160" s="12">
        <v>6.469464044E9</v>
      </c>
    </row>
    <row r="2161">
      <c r="A2161" s="5" t="s">
        <v>10402</v>
      </c>
      <c r="B2161" s="1" t="s">
        <v>10403</v>
      </c>
      <c r="C2161" s="1" t="s">
        <v>10404</v>
      </c>
      <c r="D2161" s="2">
        <v>3.146597964E9</v>
      </c>
      <c r="E2161" s="1" t="s">
        <v>10405</v>
      </c>
      <c r="F2161" s="1"/>
      <c r="G2161" s="1" t="s">
        <v>2350</v>
      </c>
      <c r="H2161" s="1" t="s">
        <v>1155</v>
      </c>
      <c r="I2161" s="1">
        <v>63130.0</v>
      </c>
      <c r="J2161" s="1" t="s">
        <v>752</v>
      </c>
      <c r="K2161" s="1" t="s">
        <v>42</v>
      </c>
      <c r="L2161" s="1" t="s">
        <v>6819</v>
      </c>
      <c r="M2161" s="1">
        <v>49.0</v>
      </c>
      <c r="N2161" s="1" t="s">
        <v>1152</v>
      </c>
      <c r="O2161" s="3" t="s">
        <v>522</v>
      </c>
      <c r="P2161" s="1" t="s">
        <v>1152</v>
      </c>
      <c r="Q2161" s="1" t="s">
        <v>1152</v>
      </c>
      <c r="R2161" s="1"/>
      <c r="S2161" s="1"/>
      <c r="T2161" s="1" t="s">
        <v>1152</v>
      </c>
      <c r="U2161" s="1" t="s">
        <v>1039</v>
      </c>
      <c r="V2161" s="4" t="s">
        <v>522</v>
      </c>
      <c r="W2161" s="1"/>
      <c r="X2161" s="1" t="s">
        <v>1152</v>
      </c>
      <c r="Y2161" s="1" t="s">
        <v>1152</v>
      </c>
      <c r="Z2161" s="1"/>
      <c r="AA2161" s="1"/>
      <c r="AB2161" s="1"/>
      <c r="AC2161" s="1" t="s">
        <v>1925</v>
      </c>
      <c r="AD2161" s="1"/>
      <c r="AE2161" s="18">
        <v>46149.0</v>
      </c>
      <c r="AF2161" s="1" t="s">
        <v>3186</v>
      </c>
      <c r="AG2161" s="1" t="s">
        <v>52</v>
      </c>
      <c r="AH2161" s="1" t="s">
        <v>1152</v>
      </c>
      <c r="AI2161" s="1" t="s">
        <v>1152</v>
      </c>
      <c r="AJ2161" s="1" t="s">
        <v>10405</v>
      </c>
      <c r="AK2161" s="1" t="s">
        <v>1152</v>
      </c>
      <c r="AL2161" s="6"/>
      <c r="AM2161" s="12" t="s">
        <v>1925</v>
      </c>
    </row>
    <row r="2162">
      <c r="A2162" s="5" t="s">
        <v>10406</v>
      </c>
      <c r="B2162" s="1" t="s">
        <v>10407</v>
      </c>
      <c r="C2162" s="1" t="s">
        <v>10408</v>
      </c>
      <c r="D2162" s="2">
        <v>9.739819603E9</v>
      </c>
      <c r="E2162" s="1" t="s">
        <v>10409</v>
      </c>
      <c r="F2162" s="1"/>
      <c r="G2162" s="1" t="s">
        <v>1430</v>
      </c>
      <c r="H2162" s="1" t="s">
        <v>1053</v>
      </c>
      <c r="I2162" s="1">
        <v>7104.0</v>
      </c>
      <c r="J2162" s="1" t="s">
        <v>752</v>
      </c>
      <c r="K2162" s="1" t="s">
        <v>6515</v>
      </c>
      <c r="L2162" s="1" t="s">
        <v>6516</v>
      </c>
      <c r="M2162" s="1">
        <v>400.0</v>
      </c>
      <c r="N2162" s="1" t="s">
        <v>1152</v>
      </c>
      <c r="O2162" s="3"/>
      <c r="P2162" s="1" t="s">
        <v>1152</v>
      </c>
      <c r="Q2162" s="1" t="s">
        <v>1152</v>
      </c>
      <c r="R2162" s="1"/>
      <c r="S2162" s="1"/>
      <c r="T2162" s="1" t="s">
        <v>1152</v>
      </c>
      <c r="U2162" s="1"/>
      <c r="V2162" s="4"/>
      <c r="W2162" s="1"/>
      <c r="X2162" s="1" t="s">
        <v>1152</v>
      </c>
      <c r="Y2162" s="1" t="s">
        <v>1152</v>
      </c>
      <c r="Z2162" s="1"/>
      <c r="AA2162" s="1"/>
      <c r="AB2162" s="1"/>
      <c r="AC2162" s="1" t="s">
        <v>10410</v>
      </c>
      <c r="AD2162" s="1"/>
      <c r="AE2162" s="18">
        <v>46149.0</v>
      </c>
      <c r="AF2162" s="1"/>
      <c r="AG2162" s="1"/>
      <c r="AH2162" s="1" t="s">
        <v>10411</v>
      </c>
      <c r="AI2162" s="1" t="s">
        <v>1152</v>
      </c>
      <c r="AJ2162" s="1"/>
      <c r="AK2162" s="1" t="s">
        <v>10412</v>
      </c>
      <c r="AL2162" s="6"/>
      <c r="AM2162" s="12">
        <v>9.739819603E9</v>
      </c>
    </row>
    <row r="2163">
      <c r="A2163" s="5" t="s">
        <v>10413</v>
      </c>
      <c r="B2163" s="1" t="s">
        <v>10414</v>
      </c>
      <c r="C2163" s="1" t="s">
        <v>10415</v>
      </c>
      <c r="D2163" s="2">
        <v>3.123998535E9</v>
      </c>
      <c r="E2163" s="1" t="s">
        <v>10416</v>
      </c>
      <c r="F2163" s="1"/>
      <c r="G2163" s="1" t="s">
        <v>10417</v>
      </c>
      <c r="H2163" s="1" t="s">
        <v>1019</v>
      </c>
      <c r="I2163" s="1" t="s">
        <v>10418</v>
      </c>
      <c r="J2163" s="1" t="s">
        <v>752</v>
      </c>
      <c r="K2163" s="1" t="s">
        <v>42</v>
      </c>
      <c r="L2163" s="1" t="s">
        <v>8365</v>
      </c>
      <c r="M2163" s="1">
        <v>49.0</v>
      </c>
      <c r="N2163" s="1" t="s">
        <v>1152</v>
      </c>
      <c r="O2163" s="3" t="s">
        <v>2545</v>
      </c>
      <c r="P2163" s="1" t="s">
        <v>1152</v>
      </c>
      <c r="Q2163" s="1" t="s">
        <v>1152</v>
      </c>
      <c r="R2163" s="1"/>
      <c r="S2163" s="1"/>
      <c r="T2163" s="1" t="s">
        <v>1152</v>
      </c>
      <c r="U2163" s="1" t="s">
        <v>1148</v>
      </c>
      <c r="V2163" s="4" t="s">
        <v>2545</v>
      </c>
      <c r="W2163" s="1"/>
      <c r="X2163" s="1" t="s">
        <v>1152</v>
      </c>
      <c r="Y2163" s="1" t="s">
        <v>1152</v>
      </c>
      <c r="Z2163" s="1"/>
      <c r="AA2163" s="1"/>
      <c r="AB2163" s="1"/>
      <c r="AC2163" s="1" t="s">
        <v>1925</v>
      </c>
      <c r="AD2163" s="1"/>
      <c r="AE2163" s="18">
        <v>46144.0</v>
      </c>
      <c r="AF2163" s="1" t="s">
        <v>3186</v>
      </c>
      <c r="AG2163" s="1" t="s">
        <v>52</v>
      </c>
      <c r="AH2163" s="1" t="s">
        <v>1152</v>
      </c>
      <c r="AI2163" s="1" t="s">
        <v>1152</v>
      </c>
      <c r="AJ2163" s="1" t="s">
        <v>10416</v>
      </c>
      <c r="AK2163" s="1" t="s">
        <v>1152</v>
      </c>
      <c r="AL2163" s="6"/>
      <c r="AM2163" s="12" t="s">
        <v>1925</v>
      </c>
    </row>
    <row r="2164">
      <c r="A2164" s="5" t="s">
        <v>10419</v>
      </c>
      <c r="B2164" s="1" t="s">
        <v>10420</v>
      </c>
      <c r="C2164" s="1" t="s">
        <v>10421</v>
      </c>
      <c r="D2164" s="2">
        <v>19784579679</v>
      </c>
      <c r="E2164" s="1" t="s">
        <v>10422</v>
      </c>
      <c r="F2164" s="1"/>
      <c r="G2164" s="1" t="s">
        <v>2350</v>
      </c>
      <c r="H2164" s="1" t="s">
        <v>1155</v>
      </c>
      <c r="I2164" s="1">
        <v>63105.0</v>
      </c>
      <c r="J2164" s="1" t="s">
        <v>752</v>
      </c>
      <c r="K2164" s="1" t="s">
        <v>42</v>
      </c>
      <c r="L2164" s="1" t="s">
        <v>6819</v>
      </c>
      <c r="M2164" s="1">
        <v>49.0</v>
      </c>
      <c r="N2164" s="1" t="s">
        <v>1152</v>
      </c>
      <c r="O2164" s="3" t="s">
        <v>10423</v>
      </c>
      <c r="P2164" s="1" t="s">
        <v>1152</v>
      </c>
      <c r="Q2164" s="1" t="s">
        <v>1152</v>
      </c>
      <c r="R2164" s="1"/>
      <c r="S2164" s="1"/>
      <c r="T2164" s="1" t="s">
        <v>1152</v>
      </c>
      <c r="U2164" s="1" t="s">
        <v>1324</v>
      </c>
      <c r="V2164" s="4" t="s">
        <v>10423</v>
      </c>
      <c r="W2164" s="1"/>
      <c r="X2164" s="1" t="s">
        <v>1152</v>
      </c>
      <c r="Y2164" s="1" t="s">
        <v>1152</v>
      </c>
      <c r="Z2164" s="1"/>
      <c r="AA2164" s="1"/>
      <c r="AB2164" s="1"/>
      <c r="AC2164" s="1" t="s">
        <v>1925</v>
      </c>
      <c r="AD2164" s="1"/>
      <c r="AE2164" s="18">
        <v>46148.0</v>
      </c>
      <c r="AF2164" s="1" t="s">
        <v>1349</v>
      </c>
      <c r="AG2164" s="1" t="s">
        <v>52</v>
      </c>
      <c r="AH2164" s="1" t="s">
        <v>1152</v>
      </c>
      <c r="AI2164" s="1" t="s">
        <v>1152</v>
      </c>
      <c r="AJ2164" s="1" t="s">
        <v>10422</v>
      </c>
      <c r="AK2164" s="1" t="s">
        <v>1152</v>
      </c>
      <c r="AL2164" s="6"/>
      <c r="AM2164" s="12">
        <v>9.784579679E9</v>
      </c>
    </row>
    <row r="2165">
      <c r="A2165" s="5" t="s">
        <v>10424</v>
      </c>
      <c r="B2165" s="1" t="s">
        <v>10425</v>
      </c>
      <c r="C2165" s="1" t="s">
        <v>361</v>
      </c>
      <c r="D2165" s="2">
        <v>8.174803764E9</v>
      </c>
      <c r="E2165" s="1" t="s">
        <v>363</v>
      </c>
      <c r="F2165" s="1"/>
      <c r="G2165" s="1" t="s">
        <v>2301</v>
      </c>
      <c r="H2165" s="1" t="s">
        <v>1583</v>
      </c>
      <c r="I2165" s="1">
        <v>76092.0</v>
      </c>
      <c r="J2165" s="1" t="s">
        <v>752</v>
      </c>
      <c r="K2165" s="1" t="s">
        <v>42</v>
      </c>
      <c r="L2165" s="1" t="s">
        <v>6819</v>
      </c>
      <c r="M2165" s="1">
        <v>49.0</v>
      </c>
      <c r="N2165" s="1" t="s">
        <v>1152</v>
      </c>
      <c r="O2165" s="3" t="s">
        <v>365</v>
      </c>
      <c r="P2165" s="1" t="s">
        <v>1152</v>
      </c>
      <c r="Q2165" s="1" t="s">
        <v>1152</v>
      </c>
      <c r="R2165" s="1"/>
      <c r="S2165" s="1"/>
      <c r="T2165" s="1" t="s">
        <v>1152</v>
      </c>
      <c r="U2165" s="1" t="s">
        <v>1148</v>
      </c>
      <c r="V2165" s="4" t="s">
        <v>365</v>
      </c>
      <c r="W2165" s="1"/>
      <c r="X2165" s="1" t="s">
        <v>1152</v>
      </c>
      <c r="Y2165" s="1" t="s">
        <v>1152</v>
      </c>
      <c r="Z2165" s="1"/>
      <c r="AA2165" s="1"/>
      <c r="AB2165" s="1"/>
      <c r="AC2165" s="1" t="s">
        <v>1925</v>
      </c>
      <c r="AD2165" s="1"/>
      <c r="AE2165" s="18">
        <v>46140.0</v>
      </c>
      <c r="AF2165" s="1" t="s">
        <v>1455</v>
      </c>
      <c r="AG2165" s="1" t="s">
        <v>52</v>
      </c>
      <c r="AH2165" s="1" t="s">
        <v>1152</v>
      </c>
      <c r="AI2165" s="1" t="s">
        <v>1152</v>
      </c>
      <c r="AJ2165" s="1" t="s">
        <v>10426</v>
      </c>
      <c r="AK2165" s="1" t="s">
        <v>1152</v>
      </c>
      <c r="AL2165" s="6"/>
      <c r="AM2165" s="12" t="s">
        <v>1925</v>
      </c>
    </row>
    <row r="2166">
      <c r="A2166" s="5" t="s">
        <v>10427</v>
      </c>
      <c r="B2166" s="1" t="s">
        <v>10428</v>
      </c>
      <c r="C2166" s="1" t="s">
        <v>10429</v>
      </c>
      <c r="D2166" s="2">
        <v>9.176890085E9</v>
      </c>
      <c r="E2166" s="1" t="s">
        <v>10430</v>
      </c>
      <c r="F2166" s="1"/>
      <c r="G2166" s="1" t="s">
        <v>1684</v>
      </c>
      <c r="H2166" s="1" t="s">
        <v>751</v>
      </c>
      <c r="I2166" s="1">
        <v>11215.0</v>
      </c>
      <c r="J2166" s="1" t="s">
        <v>752</v>
      </c>
      <c r="K2166" s="1" t="s">
        <v>42</v>
      </c>
      <c r="L2166" s="1" t="s">
        <v>7863</v>
      </c>
      <c r="M2166" s="1">
        <v>79.0</v>
      </c>
      <c r="N2166" s="1" t="s">
        <v>1152</v>
      </c>
      <c r="O2166" s="3" t="s">
        <v>753</v>
      </c>
      <c r="P2166" s="1" t="s">
        <v>1152</v>
      </c>
      <c r="Q2166" s="1" t="s">
        <v>1152</v>
      </c>
      <c r="R2166" s="1"/>
      <c r="S2166" s="1"/>
      <c r="T2166" s="1" t="s">
        <v>1152</v>
      </c>
      <c r="U2166" s="1" t="s">
        <v>956</v>
      </c>
      <c r="V2166" s="4" t="s">
        <v>753</v>
      </c>
      <c r="W2166" s="1"/>
      <c r="X2166" s="1" t="s">
        <v>1152</v>
      </c>
      <c r="Y2166" s="1" t="s">
        <v>1152</v>
      </c>
      <c r="Z2166" s="1"/>
      <c r="AA2166" s="1"/>
      <c r="AB2166" s="1"/>
      <c r="AC2166" s="1" t="s">
        <v>1925</v>
      </c>
      <c r="AD2166" s="1"/>
      <c r="AE2166" s="18">
        <v>46143.0</v>
      </c>
      <c r="AF2166" s="1" t="s">
        <v>1440</v>
      </c>
      <c r="AG2166" s="1" t="s">
        <v>52</v>
      </c>
      <c r="AH2166" s="1" t="s">
        <v>1152</v>
      </c>
      <c r="AI2166" s="1" t="s">
        <v>1152</v>
      </c>
      <c r="AJ2166" s="1" t="s">
        <v>10430</v>
      </c>
      <c r="AK2166" s="1" t="s">
        <v>1152</v>
      </c>
      <c r="AL2166" s="6"/>
      <c r="AM2166" s="12">
        <v>9.176890085E9</v>
      </c>
    </row>
    <row r="2167">
      <c r="A2167" s="5" t="s">
        <v>10431</v>
      </c>
      <c r="B2167" s="1" t="s">
        <v>10432</v>
      </c>
      <c r="C2167" s="1" t="s">
        <v>3561</v>
      </c>
      <c r="D2167" s="2">
        <v>9.166999502E9</v>
      </c>
      <c r="E2167" s="1" t="s">
        <v>3562</v>
      </c>
      <c r="F2167" s="1"/>
      <c r="G2167" s="1" t="s">
        <v>3563</v>
      </c>
      <c r="H2167" s="1" t="s">
        <v>989</v>
      </c>
      <c r="I2167" s="1">
        <v>95648.0</v>
      </c>
      <c r="J2167" s="1" t="s">
        <v>752</v>
      </c>
      <c r="K2167" s="1" t="s">
        <v>42</v>
      </c>
      <c r="L2167" s="1" t="s">
        <v>6819</v>
      </c>
      <c r="M2167" s="1">
        <v>49.0</v>
      </c>
      <c r="N2167" s="1" t="s">
        <v>1152</v>
      </c>
      <c r="O2167" s="3" t="s">
        <v>10433</v>
      </c>
      <c r="P2167" s="1" t="s">
        <v>1152</v>
      </c>
      <c r="Q2167" s="1" t="s">
        <v>1152</v>
      </c>
      <c r="R2167" s="1"/>
      <c r="S2167" s="1"/>
      <c r="T2167" s="1" t="s">
        <v>1152</v>
      </c>
      <c r="U2167" s="1" t="s">
        <v>1407</v>
      </c>
      <c r="V2167" s="4" t="s">
        <v>10433</v>
      </c>
      <c r="W2167" s="1"/>
      <c r="X2167" s="1" t="s">
        <v>1152</v>
      </c>
      <c r="Y2167" s="1" t="s">
        <v>1152</v>
      </c>
      <c r="Z2167" s="1"/>
      <c r="AA2167" s="1"/>
      <c r="AB2167" s="1"/>
      <c r="AC2167" s="1" t="s">
        <v>1925</v>
      </c>
      <c r="AD2167" s="1"/>
      <c r="AE2167" s="18">
        <v>46149.0</v>
      </c>
      <c r="AF2167" s="1" t="s">
        <v>1440</v>
      </c>
      <c r="AG2167" s="1" t="s">
        <v>52</v>
      </c>
      <c r="AH2167" s="1" t="s">
        <v>1152</v>
      </c>
      <c r="AI2167" s="1" t="s">
        <v>10434</v>
      </c>
      <c r="AJ2167" s="1" t="s">
        <v>3562</v>
      </c>
      <c r="AK2167" s="1" t="s">
        <v>1152</v>
      </c>
      <c r="AL2167" s="6"/>
      <c r="AM2167" s="12">
        <v>9.166999502E9</v>
      </c>
    </row>
    <row r="2168">
      <c r="A2168" s="5" t="s">
        <v>10435</v>
      </c>
      <c r="B2168" s="1" t="s">
        <v>10436</v>
      </c>
      <c r="C2168" s="1" t="s">
        <v>10437</v>
      </c>
      <c r="D2168" s="2">
        <v>3.147991686E9</v>
      </c>
      <c r="E2168" s="1" t="s">
        <v>10438</v>
      </c>
      <c r="F2168" s="1"/>
      <c r="G2168" s="1" t="s">
        <v>2350</v>
      </c>
      <c r="H2168" s="1" t="s">
        <v>1155</v>
      </c>
      <c r="I2168" s="1">
        <v>63105.0</v>
      </c>
      <c r="J2168" s="1" t="s">
        <v>752</v>
      </c>
      <c r="K2168" s="1" t="s">
        <v>42</v>
      </c>
      <c r="L2168" s="1" t="s">
        <v>7863</v>
      </c>
      <c r="M2168" s="1">
        <v>79.0</v>
      </c>
      <c r="N2168" s="1" t="s">
        <v>1152</v>
      </c>
      <c r="O2168" s="3" t="s">
        <v>4406</v>
      </c>
      <c r="P2168" s="1" t="s">
        <v>1152</v>
      </c>
      <c r="Q2168" s="1" t="s">
        <v>1152</v>
      </c>
      <c r="R2168" s="1"/>
      <c r="S2168" s="1"/>
      <c r="T2168" s="1" t="s">
        <v>1152</v>
      </c>
      <c r="U2168" s="1" t="s">
        <v>1324</v>
      </c>
      <c r="V2168" s="4" t="s">
        <v>4406</v>
      </c>
      <c r="W2168" s="1"/>
      <c r="X2168" s="1" t="s">
        <v>1152</v>
      </c>
      <c r="Y2168" s="1" t="s">
        <v>1152</v>
      </c>
      <c r="Z2168" s="1"/>
      <c r="AA2168" s="1"/>
      <c r="AB2168" s="1"/>
      <c r="AC2168" s="1" t="s">
        <v>1925</v>
      </c>
      <c r="AD2168" s="1"/>
      <c r="AE2168" s="18">
        <v>46147.0</v>
      </c>
      <c r="AF2168" s="1" t="s">
        <v>1349</v>
      </c>
      <c r="AG2168" s="1" t="s">
        <v>52</v>
      </c>
      <c r="AH2168" s="1" t="s">
        <v>1152</v>
      </c>
      <c r="AI2168" s="1" t="s">
        <v>1152</v>
      </c>
      <c r="AJ2168" s="1" t="s">
        <v>10438</v>
      </c>
      <c r="AK2168" s="1" t="s">
        <v>1152</v>
      </c>
      <c r="AL2168" s="6"/>
      <c r="AM2168" s="12">
        <v>3.147991686E9</v>
      </c>
    </row>
    <row r="2169">
      <c r="A2169" s="5" t="s">
        <v>10439</v>
      </c>
      <c r="B2169" s="1" t="s">
        <v>10440</v>
      </c>
      <c r="C2169" s="1" t="s">
        <v>10441</v>
      </c>
      <c r="D2169" s="2">
        <v>9.178683484E9</v>
      </c>
      <c r="E2169" s="1" t="s">
        <v>4980</v>
      </c>
      <c r="F2169" s="1"/>
      <c r="G2169" s="1" t="s">
        <v>1684</v>
      </c>
      <c r="H2169" s="1" t="s">
        <v>751</v>
      </c>
      <c r="I2169" s="1">
        <v>11231.0</v>
      </c>
      <c r="J2169" s="1" t="s">
        <v>752</v>
      </c>
      <c r="K2169" s="1" t="s">
        <v>42</v>
      </c>
      <c r="L2169" s="1" t="s">
        <v>6819</v>
      </c>
      <c r="M2169" s="1">
        <v>49.0</v>
      </c>
      <c r="N2169" s="1" t="s">
        <v>1152</v>
      </c>
      <c r="O2169" s="3" t="s">
        <v>4981</v>
      </c>
      <c r="P2169" s="1" t="s">
        <v>1152</v>
      </c>
      <c r="Q2169" s="1" t="s">
        <v>1152</v>
      </c>
      <c r="R2169" s="1"/>
      <c r="S2169" s="1"/>
      <c r="T2169" s="1" t="s">
        <v>1152</v>
      </c>
      <c r="U2169" s="1" t="s">
        <v>1065</v>
      </c>
      <c r="V2169" s="4" t="s">
        <v>4981</v>
      </c>
      <c r="W2169" s="1"/>
      <c r="X2169" s="1" t="s">
        <v>1152</v>
      </c>
      <c r="Y2169" s="1" t="s">
        <v>1152</v>
      </c>
      <c r="Z2169" s="1"/>
      <c r="AA2169" s="1"/>
      <c r="AB2169" s="1"/>
      <c r="AC2169" s="1" t="s">
        <v>1925</v>
      </c>
      <c r="AD2169" s="1"/>
      <c r="AE2169" s="18">
        <v>46147.0</v>
      </c>
      <c r="AF2169" s="1" t="s">
        <v>1103</v>
      </c>
      <c r="AG2169" s="1" t="s">
        <v>52</v>
      </c>
      <c r="AH2169" s="1" t="s">
        <v>1152</v>
      </c>
      <c r="AI2169" s="1" t="s">
        <v>1152</v>
      </c>
      <c r="AJ2169" s="1" t="s">
        <v>4980</v>
      </c>
      <c r="AK2169" s="1" t="s">
        <v>1152</v>
      </c>
      <c r="AL2169" s="6"/>
      <c r="AM2169" s="12">
        <v>9.178683484E9</v>
      </c>
    </row>
    <row r="2170">
      <c r="A2170" s="5" t="s">
        <v>10442</v>
      </c>
      <c r="B2170" s="1" t="s">
        <v>10443</v>
      </c>
      <c r="C2170" s="1" t="s">
        <v>10444</v>
      </c>
      <c r="D2170" s="2">
        <v>4.157946556E9</v>
      </c>
      <c r="E2170" s="1" t="s">
        <v>334</v>
      </c>
      <c r="F2170" s="1"/>
      <c r="G2170" s="1" t="s">
        <v>6156</v>
      </c>
      <c r="H2170" s="1" t="s">
        <v>1005</v>
      </c>
      <c r="I2170" s="1">
        <v>21217.0</v>
      </c>
      <c r="J2170" s="1" t="s">
        <v>752</v>
      </c>
      <c r="K2170" s="1" t="s">
        <v>42</v>
      </c>
      <c r="L2170" s="1" t="s">
        <v>6819</v>
      </c>
      <c r="M2170" s="1">
        <v>49.0</v>
      </c>
      <c r="N2170" s="1" t="s">
        <v>1152</v>
      </c>
      <c r="O2170" s="3" t="s">
        <v>3907</v>
      </c>
      <c r="P2170" s="1" t="s">
        <v>1152</v>
      </c>
      <c r="Q2170" s="1" t="s">
        <v>1152</v>
      </c>
      <c r="R2170" s="1"/>
      <c r="S2170" s="1"/>
      <c r="T2170" s="1" t="s">
        <v>1152</v>
      </c>
      <c r="U2170" s="1" t="s">
        <v>6053</v>
      </c>
      <c r="V2170" s="4" t="s">
        <v>3907</v>
      </c>
      <c r="W2170" s="1"/>
      <c r="X2170" s="1" t="s">
        <v>1152</v>
      </c>
      <c r="Y2170" s="1" t="s">
        <v>1152</v>
      </c>
      <c r="Z2170" s="1"/>
      <c r="AA2170" s="1"/>
      <c r="AB2170" s="1"/>
      <c r="AC2170" s="1" t="s">
        <v>1925</v>
      </c>
      <c r="AD2170" s="1"/>
      <c r="AE2170" s="18">
        <v>46147.0</v>
      </c>
      <c r="AF2170" s="1" t="s">
        <v>1103</v>
      </c>
      <c r="AG2170" s="1" t="s">
        <v>52</v>
      </c>
      <c r="AH2170" s="1" t="s">
        <v>1152</v>
      </c>
      <c r="AI2170" s="1" t="s">
        <v>1152</v>
      </c>
      <c r="AJ2170" s="1" t="s">
        <v>10445</v>
      </c>
      <c r="AK2170" s="1" t="s">
        <v>1152</v>
      </c>
      <c r="AL2170" s="6"/>
      <c r="AM2170" s="12">
        <v>4.438000389E9</v>
      </c>
    </row>
    <row r="2171">
      <c r="A2171" s="5" t="s">
        <v>10446</v>
      </c>
      <c r="B2171" s="1" t="s">
        <v>10447</v>
      </c>
      <c r="C2171" s="1" t="s">
        <v>112</v>
      </c>
      <c r="D2171" s="2">
        <v>3.158028983E9</v>
      </c>
      <c r="E2171" s="1" t="s">
        <v>114</v>
      </c>
      <c r="F2171" s="1"/>
      <c r="G2171" s="1" t="s">
        <v>10448</v>
      </c>
      <c r="H2171" s="1" t="s">
        <v>751</v>
      </c>
      <c r="I2171" s="1">
        <v>13035.0</v>
      </c>
      <c r="J2171" s="1" t="s">
        <v>752</v>
      </c>
      <c r="K2171" s="1" t="s">
        <v>2131</v>
      </c>
      <c r="L2171" s="1" t="s">
        <v>5767</v>
      </c>
      <c r="M2171" s="1">
        <v>1.0</v>
      </c>
      <c r="N2171" s="1" t="s">
        <v>1152</v>
      </c>
      <c r="O2171" s="3" t="s">
        <v>117</v>
      </c>
      <c r="P2171" s="1" t="s">
        <v>1152</v>
      </c>
      <c r="Q2171" s="1" t="s">
        <v>1152</v>
      </c>
      <c r="R2171" s="1"/>
      <c r="S2171" s="1"/>
      <c r="T2171" s="1" t="s">
        <v>1152</v>
      </c>
      <c r="U2171" s="1" t="s">
        <v>1148</v>
      </c>
      <c r="V2171" s="4" t="s">
        <v>117</v>
      </c>
      <c r="W2171" s="1"/>
      <c r="X2171" s="1" t="s">
        <v>1152</v>
      </c>
      <c r="Y2171" s="1" t="s">
        <v>1152</v>
      </c>
      <c r="Z2171" s="1"/>
      <c r="AA2171" s="1"/>
      <c r="AB2171" s="1"/>
      <c r="AC2171" s="1" t="s">
        <v>1925</v>
      </c>
      <c r="AD2171" s="1"/>
      <c r="AE2171" s="18">
        <v>46148.0</v>
      </c>
      <c r="AF2171" s="1"/>
      <c r="AG2171" s="1"/>
      <c r="AH2171" s="1" t="s">
        <v>1152</v>
      </c>
      <c r="AI2171" s="1" t="s">
        <v>1152</v>
      </c>
      <c r="AJ2171" s="1" t="s">
        <v>114</v>
      </c>
      <c r="AK2171" s="1" t="s">
        <v>1152</v>
      </c>
      <c r="AL2171" s="6"/>
      <c r="AM2171" s="12" t="s">
        <v>1925</v>
      </c>
    </row>
    <row r="2172">
      <c r="A2172" s="5" t="s">
        <v>10446</v>
      </c>
      <c r="B2172" s="1" t="s">
        <v>10447</v>
      </c>
      <c r="C2172" s="1" t="s">
        <v>112</v>
      </c>
      <c r="D2172" s="2">
        <v>3.158028983E9</v>
      </c>
      <c r="E2172" s="1" t="s">
        <v>114</v>
      </c>
      <c r="F2172" s="1"/>
      <c r="G2172" s="1" t="s">
        <v>10448</v>
      </c>
      <c r="H2172" s="1" t="s">
        <v>751</v>
      </c>
      <c r="I2172" s="1">
        <v>13035.0</v>
      </c>
      <c r="J2172" s="1" t="s">
        <v>752</v>
      </c>
      <c r="K2172" s="1" t="s">
        <v>42</v>
      </c>
      <c r="L2172" s="1" t="s">
        <v>6819</v>
      </c>
      <c r="M2172" s="1">
        <v>49.0</v>
      </c>
      <c r="N2172" s="1" t="s">
        <v>1152</v>
      </c>
      <c r="O2172" s="3" t="s">
        <v>117</v>
      </c>
      <c r="P2172" s="1" t="s">
        <v>1152</v>
      </c>
      <c r="Q2172" s="1" t="s">
        <v>1152</v>
      </c>
      <c r="R2172" s="1"/>
      <c r="S2172" s="1"/>
      <c r="T2172" s="1" t="s">
        <v>1152</v>
      </c>
      <c r="U2172" s="1" t="s">
        <v>1148</v>
      </c>
      <c r="V2172" s="4" t="s">
        <v>117</v>
      </c>
      <c r="W2172" s="1"/>
      <c r="X2172" s="1" t="s">
        <v>1152</v>
      </c>
      <c r="Y2172" s="1" t="s">
        <v>1152</v>
      </c>
      <c r="Z2172" s="1"/>
      <c r="AA2172" s="1"/>
      <c r="AB2172" s="1"/>
      <c r="AC2172" s="1" t="s">
        <v>1925</v>
      </c>
      <c r="AD2172" s="1"/>
      <c r="AE2172" s="18">
        <v>46148.0</v>
      </c>
      <c r="AF2172" s="1" t="s">
        <v>1455</v>
      </c>
      <c r="AG2172" s="1" t="s">
        <v>52</v>
      </c>
      <c r="AH2172" s="1" t="s">
        <v>1152</v>
      </c>
      <c r="AI2172" s="1" t="s">
        <v>1152</v>
      </c>
      <c r="AJ2172" s="1" t="s">
        <v>114</v>
      </c>
      <c r="AK2172" s="1" t="s">
        <v>1152</v>
      </c>
      <c r="AL2172" s="6"/>
      <c r="AM2172" s="12" t="s">
        <v>1925</v>
      </c>
    </row>
    <row r="2173">
      <c r="A2173" s="5" t="s">
        <v>10449</v>
      </c>
      <c r="B2173" s="1" t="s">
        <v>10450</v>
      </c>
      <c r="C2173" s="1" t="s">
        <v>10451</v>
      </c>
      <c r="D2173" s="2">
        <v>8.326911231E9</v>
      </c>
      <c r="E2173" s="1" t="s">
        <v>10452</v>
      </c>
      <c r="F2173" s="1"/>
      <c r="G2173" s="1" t="s">
        <v>2932</v>
      </c>
      <c r="H2173" s="1" t="s">
        <v>1583</v>
      </c>
      <c r="I2173" s="1">
        <v>77401.0</v>
      </c>
      <c r="J2173" s="1" t="s">
        <v>752</v>
      </c>
      <c r="K2173" s="1" t="s">
        <v>892</v>
      </c>
      <c r="L2173" s="1" t="s">
        <v>8006</v>
      </c>
      <c r="M2173" s="1">
        <v>49.0</v>
      </c>
      <c r="N2173" s="1" t="s">
        <v>1152</v>
      </c>
      <c r="O2173" s="3" t="s">
        <v>9876</v>
      </c>
      <c r="P2173" s="1" t="s">
        <v>1152</v>
      </c>
      <c r="Q2173" s="1" t="s">
        <v>1152</v>
      </c>
      <c r="R2173" s="1"/>
      <c r="S2173" s="1"/>
      <c r="T2173" s="1" t="s">
        <v>1152</v>
      </c>
      <c r="U2173" s="1" t="s">
        <v>1080</v>
      </c>
      <c r="V2173" s="4" t="s">
        <v>9876</v>
      </c>
      <c r="W2173" s="1"/>
      <c r="X2173" s="1" t="s">
        <v>1152</v>
      </c>
      <c r="Y2173" s="1" t="s">
        <v>1152</v>
      </c>
      <c r="Z2173" s="1"/>
      <c r="AA2173" s="1"/>
      <c r="AB2173" s="1"/>
      <c r="AC2173" s="1" t="s">
        <v>1925</v>
      </c>
      <c r="AD2173" s="1"/>
      <c r="AE2173" s="18">
        <v>46148.0</v>
      </c>
      <c r="AF2173" s="1" t="s">
        <v>1030</v>
      </c>
      <c r="AG2173" s="1" t="s">
        <v>52</v>
      </c>
      <c r="AH2173" s="1" t="s">
        <v>10453</v>
      </c>
      <c r="AI2173" s="1" t="s">
        <v>1152</v>
      </c>
      <c r="AJ2173" s="1" t="s">
        <v>10452</v>
      </c>
      <c r="AK2173" s="1" t="s">
        <v>1152</v>
      </c>
      <c r="AL2173" s="6"/>
      <c r="AM2173" s="12">
        <v>8.326911231E9</v>
      </c>
    </row>
    <row r="2174">
      <c r="A2174" s="5" t="s">
        <v>10449</v>
      </c>
      <c r="B2174" s="1" t="s">
        <v>10450</v>
      </c>
      <c r="C2174" s="1" t="s">
        <v>10451</v>
      </c>
      <c r="D2174" s="2">
        <v>8.326911231E9</v>
      </c>
      <c r="E2174" s="1" t="s">
        <v>10452</v>
      </c>
      <c r="F2174" s="1"/>
      <c r="G2174" s="1" t="s">
        <v>2932</v>
      </c>
      <c r="H2174" s="1" t="s">
        <v>1583</v>
      </c>
      <c r="I2174" s="1">
        <v>77401.0</v>
      </c>
      <c r="J2174" s="1" t="s">
        <v>752</v>
      </c>
      <c r="K2174" s="1" t="s">
        <v>42</v>
      </c>
      <c r="L2174" s="1" t="s">
        <v>9502</v>
      </c>
      <c r="M2174" s="1">
        <v>79.0</v>
      </c>
      <c r="N2174" s="1" t="s">
        <v>1152</v>
      </c>
      <c r="O2174" s="3" t="s">
        <v>9876</v>
      </c>
      <c r="P2174" s="1" t="s">
        <v>1152</v>
      </c>
      <c r="Q2174" s="1" t="s">
        <v>1152</v>
      </c>
      <c r="R2174" s="1"/>
      <c r="S2174" s="1"/>
      <c r="T2174" s="1" t="s">
        <v>1152</v>
      </c>
      <c r="U2174" s="1" t="s">
        <v>1080</v>
      </c>
      <c r="V2174" s="4" t="s">
        <v>9876</v>
      </c>
      <c r="W2174" s="1"/>
      <c r="X2174" s="1" t="s">
        <v>1152</v>
      </c>
      <c r="Y2174" s="1" t="s">
        <v>1152</v>
      </c>
      <c r="Z2174" s="1"/>
      <c r="AA2174" s="1"/>
      <c r="AB2174" s="1"/>
      <c r="AC2174" s="1" t="s">
        <v>1925</v>
      </c>
      <c r="AD2174" s="1"/>
      <c r="AE2174" s="18">
        <v>46148.0</v>
      </c>
      <c r="AF2174" s="1" t="s">
        <v>1030</v>
      </c>
      <c r="AG2174" s="1" t="s">
        <v>52</v>
      </c>
      <c r="AH2174" s="1" t="s">
        <v>1152</v>
      </c>
      <c r="AI2174" s="1" t="s">
        <v>1152</v>
      </c>
      <c r="AJ2174" s="1" t="s">
        <v>10452</v>
      </c>
      <c r="AK2174" s="1" t="s">
        <v>1152</v>
      </c>
      <c r="AL2174" s="6"/>
      <c r="AM2174" s="12">
        <v>8.326911231E9</v>
      </c>
    </row>
    <row r="2175">
      <c r="A2175" s="5" t="s">
        <v>10454</v>
      </c>
      <c r="B2175" s="1" t="s">
        <v>10455</v>
      </c>
      <c r="C2175" s="1" t="s">
        <v>10456</v>
      </c>
      <c r="D2175" s="2">
        <v>4.407490966E9</v>
      </c>
      <c r="E2175" s="1" t="s">
        <v>10457</v>
      </c>
      <c r="F2175" s="1"/>
      <c r="G2175" s="1" t="s">
        <v>10458</v>
      </c>
      <c r="H2175" s="1" t="s">
        <v>2171</v>
      </c>
      <c r="I2175" s="1">
        <v>44022.0</v>
      </c>
      <c r="J2175" s="1" t="s">
        <v>752</v>
      </c>
      <c r="K2175" s="1" t="s">
        <v>95</v>
      </c>
      <c r="L2175" s="1" t="s">
        <v>5820</v>
      </c>
      <c r="M2175" s="1">
        <v>49.0</v>
      </c>
      <c r="N2175" s="1" t="s">
        <v>2461</v>
      </c>
      <c r="O2175" s="3" t="s">
        <v>103</v>
      </c>
      <c r="P2175" s="18">
        <v>46249.0</v>
      </c>
      <c r="Q2175" s="1" t="s">
        <v>2463</v>
      </c>
      <c r="R2175" s="1"/>
      <c r="S2175" s="1" t="s">
        <v>52</v>
      </c>
      <c r="T2175" s="1" t="s">
        <v>2461</v>
      </c>
      <c r="U2175" s="1" t="s">
        <v>102</v>
      </c>
      <c r="V2175" s="4" t="s">
        <v>103</v>
      </c>
      <c r="W2175" s="1"/>
      <c r="X2175" s="18">
        <v>46249.0</v>
      </c>
      <c r="Y2175" s="1" t="s">
        <v>2463</v>
      </c>
      <c r="Z2175" s="1"/>
      <c r="AA2175" s="1"/>
      <c r="AB2175" s="1" t="s">
        <v>52</v>
      </c>
      <c r="AC2175" s="1" t="s">
        <v>10459</v>
      </c>
      <c r="AD2175" s="1"/>
      <c r="AE2175" s="1" t="s">
        <v>1152</v>
      </c>
      <c r="AF2175" s="1"/>
      <c r="AG2175" s="1"/>
      <c r="AH2175" s="1" t="s">
        <v>1152</v>
      </c>
      <c r="AI2175" s="1" t="s">
        <v>10460</v>
      </c>
      <c r="AJ2175" s="1" t="s">
        <v>10461</v>
      </c>
      <c r="AK2175" s="1" t="s">
        <v>1152</v>
      </c>
      <c r="AL2175" s="6"/>
      <c r="AM2175" s="12" t="s">
        <v>1925</v>
      </c>
    </row>
    <row r="2176">
      <c r="A2176" s="5" t="s">
        <v>10462</v>
      </c>
      <c r="B2176" s="1" t="s">
        <v>10463</v>
      </c>
      <c r="C2176" s="1" t="s">
        <v>5038</v>
      </c>
      <c r="D2176" s="2">
        <v>7.03859443E9</v>
      </c>
      <c r="E2176" s="1" t="s">
        <v>10464</v>
      </c>
      <c r="F2176" s="1" t="s">
        <v>10465</v>
      </c>
      <c r="G2176" s="1" t="s">
        <v>5041</v>
      </c>
      <c r="H2176" s="1" t="s">
        <v>1038</v>
      </c>
      <c r="I2176" s="1">
        <v>22124.0</v>
      </c>
      <c r="J2176" s="1" t="s">
        <v>752</v>
      </c>
      <c r="K2176" s="1" t="s">
        <v>42</v>
      </c>
      <c r="L2176" s="1" t="s">
        <v>6819</v>
      </c>
      <c r="M2176" s="1">
        <v>49.0</v>
      </c>
      <c r="N2176" s="1" t="s">
        <v>1152</v>
      </c>
      <c r="O2176" s="3"/>
      <c r="P2176" s="1" t="s">
        <v>1152</v>
      </c>
      <c r="Q2176" s="1" t="s">
        <v>1152</v>
      </c>
      <c r="R2176" s="1" t="s">
        <v>10465</v>
      </c>
      <c r="S2176" s="1"/>
      <c r="T2176" s="1" t="s">
        <v>1152</v>
      </c>
      <c r="U2176" s="1"/>
      <c r="V2176" s="4"/>
      <c r="W2176" s="1" t="s">
        <v>10465</v>
      </c>
      <c r="X2176" s="1" t="s">
        <v>1152</v>
      </c>
      <c r="Y2176" s="1" t="s">
        <v>1152</v>
      </c>
      <c r="Z2176" s="1"/>
      <c r="AA2176" s="1" t="s">
        <v>10465</v>
      </c>
      <c r="AB2176" s="1"/>
      <c r="AC2176" s="1" t="s">
        <v>1925</v>
      </c>
      <c r="AD2176" s="1"/>
      <c r="AE2176" s="18">
        <v>46146.0</v>
      </c>
      <c r="AF2176" s="1" t="s">
        <v>1455</v>
      </c>
      <c r="AG2176" s="1" t="s">
        <v>124</v>
      </c>
      <c r="AH2176" s="1" t="s">
        <v>1152</v>
      </c>
      <c r="AI2176" s="1" t="s">
        <v>1152</v>
      </c>
      <c r="AJ2176" s="1" t="s">
        <v>10464</v>
      </c>
      <c r="AK2176" s="1" t="s">
        <v>1152</v>
      </c>
      <c r="AL2176" s="6"/>
      <c r="AM2176" s="12">
        <v>7.03859443E9</v>
      </c>
    </row>
    <row r="2177">
      <c r="A2177" s="5" t="s">
        <v>10466</v>
      </c>
      <c r="B2177" s="1" t="s">
        <v>10467</v>
      </c>
      <c r="C2177" s="1" t="s">
        <v>10468</v>
      </c>
      <c r="D2177" s="2">
        <v>9.079031835E9</v>
      </c>
      <c r="E2177" s="1" t="s">
        <v>5243</v>
      </c>
      <c r="F2177" s="1"/>
      <c r="G2177" s="1" t="s">
        <v>4105</v>
      </c>
      <c r="H2177" s="1" t="s">
        <v>1891</v>
      </c>
      <c r="I2177" s="1">
        <v>80921.0</v>
      </c>
      <c r="J2177" s="1" t="s">
        <v>752</v>
      </c>
      <c r="K2177" s="1" t="s">
        <v>2131</v>
      </c>
      <c r="L2177" s="1" t="s">
        <v>5811</v>
      </c>
      <c r="M2177" s="1">
        <v>1.0</v>
      </c>
      <c r="N2177" s="1" t="s">
        <v>1152</v>
      </c>
      <c r="O2177" s="3" t="s">
        <v>10469</v>
      </c>
      <c r="P2177" s="1" t="s">
        <v>1152</v>
      </c>
      <c r="Q2177" s="1" t="s">
        <v>1152</v>
      </c>
      <c r="R2177" s="1"/>
      <c r="S2177" s="1"/>
      <c r="T2177" s="1" t="s">
        <v>1152</v>
      </c>
      <c r="U2177" s="1" t="s">
        <v>1080</v>
      </c>
      <c r="V2177" s="4" t="s">
        <v>10469</v>
      </c>
      <c r="W2177" s="1"/>
      <c r="X2177" s="1" t="s">
        <v>1152</v>
      </c>
      <c r="Y2177" s="1" t="s">
        <v>1152</v>
      </c>
      <c r="Z2177" s="1"/>
      <c r="AA2177" s="1"/>
      <c r="AB2177" s="1"/>
      <c r="AC2177" s="1" t="s">
        <v>1925</v>
      </c>
      <c r="AD2177" s="1"/>
      <c r="AE2177" s="18">
        <v>46148.0</v>
      </c>
      <c r="AF2177" s="1"/>
      <c r="AG2177" s="1"/>
      <c r="AH2177" s="1" t="s">
        <v>1152</v>
      </c>
      <c r="AI2177" s="1" t="s">
        <v>10470</v>
      </c>
      <c r="AJ2177" s="1" t="s">
        <v>10471</v>
      </c>
      <c r="AK2177" s="1" t="s">
        <v>1152</v>
      </c>
      <c r="AL2177" s="6"/>
      <c r="AM2177" s="12">
        <v>9.07903059E9</v>
      </c>
    </row>
    <row r="2178">
      <c r="A2178" s="5" t="s">
        <v>10466</v>
      </c>
      <c r="B2178" s="1" t="s">
        <v>10467</v>
      </c>
      <c r="C2178" s="1" t="s">
        <v>10468</v>
      </c>
      <c r="D2178" s="2">
        <v>9.079031835E9</v>
      </c>
      <c r="E2178" s="1" t="s">
        <v>5243</v>
      </c>
      <c r="F2178" s="1"/>
      <c r="G2178" s="1" t="s">
        <v>4105</v>
      </c>
      <c r="H2178" s="1" t="s">
        <v>1891</v>
      </c>
      <c r="I2178" s="1">
        <v>80921.0</v>
      </c>
      <c r="J2178" s="1" t="s">
        <v>752</v>
      </c>
      <c r="K2178" s="1" t="s">
        <v>42</v>
      </c>
      <c r="L2178" s="1" t="s">
        <v>7863</v>
      </c>
      <c r="M2178" s="1">
        <v>79.0</v>
      </c>
      <c r="N2178" s="1" t="s">
        <v>1152</v>
      </c>
      <c r="O2178" s="3" t="s">
        <v>10469</v>
      </c>
      <c r="P2178" s="1" t="s">
        <v>1152</v>
      </c>
      <c r="Q2178" s="1" t="s">
        <v>1152</v>
      </c>
      <c r="R2178" s="1"/>
      <c r="S2178" s="1"/>
      <c r="T2178" s="1" t="s">
        <v>1152</v>
      </c>
      <c r="U2178" s="1" t="s">
        <v>1080</v>
      </c>
      <c r="V2178" s="4" t="s">
        <v>10469</v>
      </c>
      <c r="W2178" s="1"/>
      <c r="X2178" s="1" t="s">
        <v>1152</v>
      </c>
      <c r="Y2178" s="1" t="s">
        <v>1152</v>
      </c>
      <c r="Z2178" s="1"/>
      <c r="AA2178" s="1"/>
      <c r="AB2178" s="1"/>
      <c r="AC2178" s="1" t="s">
        <v>1925</v>
      </c>
      <c r="AD2178" s="1"/>
      <c r="AE2178" s="18">
        <v>46148.0</v>
      </c>
      <c r="AF2178" s="1" t="s">
        <v>1455</v>
      </c>
      <c r="AG2178" s="1" t="s">
        <v>52</v>
      </c>
      <c r="AH2178" s="1" t="s">
        <v>1152</v>
      </c>
      <c r="AI2178" s="1" t="s">
        <v>10470</v>
      </c>
      <c r="AJ2178" s="1" t="s">
        <v>10471</v>
      </c>
      <c r="AK2178" s="1" t="s">
        <v>1152</v>
      </c>
      <c r="AL2178" s="6"/>
      <c r="AM2178" s="12">
        <v>9.07903059E9</v>
      </c>
    </row>
    <row r="2179">
      <c r="A2179" s="5" t="s">
        <v>10472</v>
      </c>
      <c r="B2179" s="1" t="s">
        <v>10473</v>
      </c>
      <c r="C2179" s="1" t="s">
        <v>10474</v>
      </c>
      <c r="D2179" s="2">
        <v>9.175763017E9</v>
      </c>
      <c r="E2179" s="1" t="s">
        <v>10475</v>
      </c>
      <c r="F2179" s="1"/>
      <c r="G2179" s="1" t="s">
        <v>1684</v>
      </c>
      <c r="H2179" s="1" t="s">
        <v>751</v>
      </c>
      <c r="I2179" s="1">
        <v>11232.0</v>
      </c>
      <c r="J2179" s="1" t="s">
        <v>752</v>
      </c>
      <c r="K2179" s="1" t="s">
        <v>42</v>
      </c>
      <c r="L2179" s="1" t="s">
        <v>6819</v>
      </c>
      <c r="M2179" s="1">
        <v>49.0</v>
      </c>
      <c r="N2179" s="1" t="s">
        <v>1152</v>
      </c>
      <c r="O2179" s="3" t="s">
        <v>1716</v>
      </c>
      <c r="P2179" s="1" t="s">
        <v>1152</v>
      </c>
      <c r="Q2179" s="1" t="s">
        <v>1152</v>
      </c>
      <c r="R2179" s="1"/>
      <c r="S2179" s="1"/>
      <c r="T2179" s="1" t="s">
        <v>1152</v>
      </c>
      <c r="U2179" s="1" t="s">
        <v>1133</v>
      </c>
      <c r="V2179" s="4" t="s">
        <v>1716</v>
      </c>
      <c r="W2179" s="1"/>
      <c r="X2179" s="1" t="s">
        <v>1152</v>
      </c>
      <c r="Y2179" s="1" t="s">
        <v>1152</v>
      </c>
      <c r="Z2179" s="1"/>
      <c r="AA2179" s="1"/>
      <c r="AB2179" s="1"/>
      <c r="AC2179" s="1" t="s">
        <v>1925</v>
      </c>
      <c r="AD2179" s="1"/>
      <c r="AE2179" s="18">
        <v>46146.0</v>
      </c>
      <c r="AF2179" s="1" t="s">
        <v>1030</v>
      </c>
      <c r="AG2179" s="1" t="s">
        <v>52</v>
      </c>
      <c r="AH2179" s="1" t="s">
        <v>1152</v>
      </c>
      <c r="AI2179" s="1" t="s">
        <v>10476</v>
      </c>
      <c r="AJ2179" s="1" t="s">
        <v>10477</v>
      </c>
      <c r="AK2179" s="1" t="s">
        <v>1152</v>
      </c>
      <c r="AL2179" s="6"/>
      <c r="AM2179" s="12" t="s">
        <v>1925</v>
      </c>
    </row>
    <row r="2180">
      <c r="A2180" s="5" t="s">
        <v>10478</v>
      </c>
      <c r="B2180" s="1" t="s">
        <v>10479</v>
      </c>
      <c r="C2180" s="1" t="s">
        <v>10480</v>
      </c>
      <c r="D2180" s="2">
        <v>8.402056469E9</v>
      </c>
      <c r="E2180" s="1" t="s">
        <v>158</v>
      </c>
      <c r="F2180" s="1"/>
      <c r="G2180" s="1" t="s">
        <v>2857</v>
      </c>
      <c r="H2180" s="1" t="s">
        <v>1155</v>
      </c>
      <c r="I2180" s="1">
        <v>63105.0</v>
      </c>
      <c r="J2180" s="1" t="s">
        <v>752</v>
      </c>
      <c r="K2180" s="1" t="s">
        <v>42</v>
      </c>
      <c r="L2180" s="1" t="s">
        <v>6819</v>
      </c>
      <c r="M2180" s="1">
        <v>49.0</v>
      </c>
      <c r="N2180" s="1" t="s">
        <v>1152</v>
      </c>
      <c r="O2180" s="3" t="s">
        <v>162</v>
      </c>
      <c r="P2180" s="1" t="s">
        <v>1152</v>
      </c>
      <c r="Q2180" s="1" t="s">
        <v>1152</v>
      </c>
      <c r="R2180" s="1"/>
      <c r="S2180" s="1"/>
      <c r="T2180" s="1" t="s">
        <v>1152</v>
      </c>
      <c r="U2180" s="1" t="s">
        <v>1749</v>
      </c>
      <c r="V2180" s="4" t="s">
        <v>162</v>
      </c>
      <c r="W2180" s="1"/>
      <c r="X2180" s="1" t="s">
        <v>1152</v>
      </c>
      <c r="Y2180" s="1" t="s">
        <v>1152</v>
      </c>
      <c r="Z2180" s="1"/>
      <c r="AA2180" s="1"/>
      <c r="AB2180" s="1"/>
      <c r="AC2180" s="1" t="s">
        <v>1925</v>
      </c>
      <c r="AD2180" s="1"/>
      <c r="AE2180" s="18">
        <v>46142.0</v>
      </c>
      <c r="AF2180" s="1" t="s">
        <v>1349</v>
      </c>
      <c r="AG2180" s="1" t="s">
        <v>52</v>
      </c>
      <c r="AH2180" s="1" t="s">
        <v>1152</v>
      </c>
      <c r="AI2180" s="1" t="s">
        <v>1152</v>
      </c>
      <c r="AJ2180" s="1" t="s">
        <v>158</v>
      </c>
      <c r="AK2180" s="1" t="s">
        <v>1152</v>
      </c>
      <c r="AL2180" s="6"/>
      <c r="AM2180" s="12" t="s">
        <v>1925</v>
      </c>
    </row>
    <row r="2181">
      <c r="A2181" s="5" t="s">
        <v>10481</v>
      </c>
      <c r="B2181" s="1" t="s">
        <v>10482</v>
      </c>
      <c r="C2181" s="1" t="s">
        <v>10480</v>
      </c>
      <c r="D2181" s="2">
        <v>8.402056469E9</v>
      </c>
      <c r="E2181" s="1" t="s">
        <v>158</v>
      </c>
      <c r="F2181" s="1"/>
      <c r="G2181" s="1" t="s">
        <v>2857</v>
      </c>
      <c r="H2181" s="1" t="s">
        <v>1155</v>
      </c>
      <c r="I2181" s="1">
        <v>63105.0</v>
      </c>
      <c r="J2181" s="1" t="s">
        <v>752</v>
      </c>
      <c r="K2181" s="1" t="s">
        <v>2131</v>
      </c>
      <c r="L2181" s="1" t="s">
        <v>6107</v>
      </c>
      <c r="M2181" s="1">
        <v>1.0</v>
      </c>
      <c r="N2181" s="1" t="s">
        <v>1152</v>
      </c>
      <c r="O2181" s="3" t="s">
        <v>162</v>
      </c>
      <c r="P2181" s="1" t="s">
        <v>1152</v>
      </c>
      <c r="Q2181" s="1" t="s">
        <v>1152</v>
      </c>
      <c r="R2181" s="1"/>
      <c r="S2181" s="1"/>
      <c r="T2181" s="1" t="s">
        <v>1152</v>
      </c>
      <c r="U2181" s="1" t="s">
        <v>1749</v>
      </c>
      <c r="V2181" s="4" t="s">
        <v>162</v>
      </c>
      <c r="W2181" s="1"/>
      <c r="X2181" s="1" t="s">
        <v>1152</v>
      </c>
      <c r="Y2181" s="1" t="s">
        <v>1152</v>
      </c>
      <c r="Z2181" s="1"/>
      <c r="AA2181" s="1"/>
      <c r="AB2181" s="1"/>
      <c r="AC2181" s="1" t="s">
        <v>1925</v>
      </c>
      <c r="AD2181" s="1"/>
      <c r="AE2181" s="18">
        <v>46142.0</v>
      </c>
      <c r="AF2181" s="1"/>
      <c r="AG2181" s="1"/>
      <c r="AH2181" s="1" t="s">
        <v>1152</v>
      </c>
      <c r="AI2181" s="1" t="s">
        <v>1152</v>
      </c>
      <c r="AJ2181" s="1" t="s">
        <v>158</v>
      </c>
      <c r="AK2181" s="1" t="s">
        <v>1152</v>
      </c>
      <c r="AL2181" s="6"/>
      <c r="AM2181" s="12">
        <v>8.402056469E9</v>
      </c>
    </row>
    <row r="2182">
      <c r="A2182" s="5" t="s">
        <v>10483</v>
      </c>
      <c r="B2182" s="1" t="s">
        <v>10484</v>
      </c>
      <c r="C2182" s="1" t="s">
        <v>10485</v>
      </c>
      <c r="D2182" s="2">
        <v>7.813255368E9</v>
      </c>
      <c r="E2182" s="1" t="s">
        <v>2055</v>
      </c>
      <c r="F2182" s="1"/>
      <c r="G2182" s="1" t="s">
        <v>2056</v>
      </c>
      <c r="H2182" s="1" t="s">
        <v>1121</v>
      </c>
      <c r="I2182" s="1">
        <v>2421.0</v>
      </c>
      <c r="J2182" s="1" t="s">
        <v>752</v>
      </c>
      <c r="K2182" s="1" t="s">
        <v>42</v>
      </c>
      <c r="L2182" s="1" t="s">
        <v>6819</v>
      </c>
      <c r="M2182" s="1">
        <v>49.0</v>
      </c>
      <c r="N2182" s="1" t="s">
        <v>1152</v>
      </c>
      <c r="O2182" s="3" t="s">
        <v>10013</v>
      </c>
      <c r="P2182" s="1" t="s">
        <v>1152</v>
      </c>
      <c r="Q2182" s="1" t="s">
        <v>1152</v>
      </c>
      <c r="R2182" s="1"/>
      <c r="S2182" s="1"/>
      <c r="T2182" s="1" t="s">
        <v>1152</v>
      </c>
      <c r="U2182" s="1" t="s">
        <v>1133</v>
      </c>
      <c r="V2182" s="4" t="s">
        <v>10013</v>
      </c>
      <c r="W2182" s="1"/>
      <c r="X2182" s="1" t="s">
        <v>1152</v>
      </c>
      <c r="Y2182" s="1" t="s">
        <v>1152</v>
      </c>
      <c r="Z2182" s="1"/>
      <c r="AA2182" s="1"/>
      <c r="AB2182" s="1"/>
      <c r="AC2182" s="1" t="s">
        <v>1925</v>
      </c>
      <c r="AD2182" s="1"/>
      <c r="AE2182" s="18">
        <v>46149.0</v>
      </c>
      <c r="AF2182" s="1" t="s">
        <v>1630</v>
      </c>
      <c r="AG2182" s="1" t="s">
        <v>52</v>
      </c>
      <c r="AH2182" s="1" t="s">
        <v>1152</v>
      </c>
      <c r="AI2182" s="1" t="s">
        <v>1152</v>
      </c>
      <c r="AJ2182" s="1" t="s">
        <v>2055</v>
      </c>
      <c r="AK2182" s="1" t="s">
        <v>1152</v>
      </c>
      <c r="AL2182" s="6"/>
      <c r="AM2182" s="12">
        <v>7.813255368E9</v>
      </c>
    </row>
    <row r="2183">
      <c r="A2183" s="5" t="s">
        <v>10486</v>
      </c>
      <c r="B2183" s="1" t="s">
        <v>10487</v>
      </c>
      <c r="C2183" s="1" t="s">
        <v>10488</v>
      </c>
      <c r="D2183" s="2">
        <v>4.107079917E9</v>
      </c>
      <c r="E2183" s="1" t="s">
        <v>2735</v>
      </c>
      <c r="F2183" s="1"/>
      <c r="G2183" s="1" t="s">
        <v>2736</v>
      </c>
      <c r="H2183" s="1" t="s">
        <v>1005</v>
      </c>
      <c r="I2183" s="1">
        <v>21286.0</v>
      </c>
      <c r="J2183" s="1" t="s">
        <v>752</v>
      </c>
      <c r="K2183" s="1" t="s">
        <v>42</v>
      </c>
      <c r="L2183" s="1" t="s">
        <v>6819</v>
      </c>
      <c r="M2183" s="1">
        <v>49.0</v>
      </c>
      <c r="N2183" s="1" t="s">
        <v>1152</v>
      </c>
      <c r="O2183" s="3" t="s">
        <v>2436</v>
      </c>
      <c r="P2183" s="1" t="s">
        <v>1152</v>
      </c>
      <c r="Q2183" s="1" t="s">
        <v>1152</v>
      </c>
      <c r="R2183" s="1"/>
      <c r="S2183" s="1"/>
      <c r="T2183" s="1" t="s">
        <v>1152</v>
      </c>
      <c r="U2183" s="1" t="s">
        <v>1343</v>
      </c>
      <c r="V2183" s="4" t="s">
        <v>2436</v>
      </c>
      <c r="W2183" s="1"/>
      <c r="X2183" s="1" t="s">
        <v>1152</v>
      </c>
      <c r="Y2183" s="1" t="s">
        <v>1152</v>
      </c>
      <c r="Z2183" s="1"/>
      <c r="AA2183" s="1"/>
      <c r="AB2183" s="1"/>
      <c r="AC2183" s="1" t="s">
        <v>1925</v>
      </c>
      <c r="AD2183" s="1"/>
      <c r="AE2183" s="18">
        <v>46149.0</v>
      </c>
      <c r="AF2183" s="1" t="s">
        <v>1030</v>
      </c>
      <c r="AG2183" s="1" t="s">
        <v>52</v>
      </c>
      <c r="AH2183" s="1" t="s">
        <v>1152</v>
      </c>
      <c r="AI2183" s="1" t="s">
        <v>10489</v>
      </c>
      <c r="AJ2183" s="1" t="s">
        <v>10490</v>
      </c>
      <c r="AK2183" s="1" t="s">
        <v>1152</v>
      </c>
      <c r="AL2183" s="6"/>
      <c r="AM2183" s="12">
        <v>4.437455617E9</v>
      </c>
    </row>
    <row r="2184">
      <c r="A2184" s="5" t="s">
        <v>10491</v>
      </c>
      <c r="B2184" s="1" t="s">
        <v>10492</v>
      </c>
      <c r="C2184" s="1" t="s">
        <v>10493</v>
      </c>
      <c r="D2184" s="2">
        <v>7.347809985E9</v>
      </c>
      <c r="E2184" s="1" t="s">
        <v>10494</v>
      </c>
      <c r="F2184" s="1"/>
      <c r="G2184" s="1" t="s">
        <v>2350</v>
      </c>
      <c r="H2184" s="1" t="s">
        <v>1155</v>
      </c>
      <c r="I2184" s="1">
        <v>63105.0</v>
      </c>
      <c r="J2184" s="1" t="s">
        <v>752</v>
      </c>
      <c r="K2184" s="1" t="s">
        <v>42</v>
      </c>
      <c r="L2184" s="1" t="s">
        <v>6819</v>
      </c>
      <c r="M2184" s="1">
        <v>49.0</v>
      </c>
      <c r="N2184" s="1" t="s">
        <v>1152</v>
      </c>
      <c r="O2184" s="3" t="s">
        <v>7856</v>
      </c>
      <c r="P2184" s="1" t="s">
        <v>1152</v>
      </c>
      <c r="Q2184" s="1" t="s">
        <v>1152</v>
      </c>
      <c r="R2184" s="1"/>
      <c r="S2184" s="1"/>
      <c r="T2184" s="1" t="s">
        <v>1152</v>
      </c>
      <c r="U2184" s="1" t="s">
        <v>1376</v>
      </c>
      <c r="V2184" s="4" t="s">
        <v>7856</v>
      </c>
      <c r="W2184" s="1"/>
      <c r="X2184" s="1" t="s">
        <v>1152</v>
      </c>
      <c r="Y2184" s="1" t="s">
        <v>1152</v>
      </c>
      <c r="Z2184" s="1"/>
      <c r="AA2184" s="1"/>
      <c r="AB2184" s="1"/>
      <c r="AC2184" s="1" t="s">
        <v>1925</v>
      </c>
      <c r="AD2184" s="1"/>
      <c r="AE2184" s="18">
        <v>46149.0</v>
      </c>
      <c r="AF2184" s="1" t="s">
        <v>1030</v>
      </c>
      <c r="AG2184" s="1" t="s">
        <v>52</v>
      </c>
      <c r="AH2184" s="1" t="s">
        <v>1152</v>
      </c>
      <c r="AI2184" s="1" t="s">
        <v>1152</v>
      </c>
      <c r="AJ2184" s="1" t="s">
        <v>10494</v>
      </c>
      <c r="AK2184" s="1" t="s">
        <v>1152</v>
      </c>
      <c r="AL2184" s="6"/>
      <c r="AM2184" s="12" t="s">
        <v>1925</v>
      </c>
    </row>
    <row r="2185">
      <c r="A2185" s="5" t="s">
        <v>10495</v>
      </c>
      <c r="B2185" s="1" t="s">
        <v>10496</v>
      </c>
      <c r="C2185" s="1" t="s">
        <v>10497</v>
      </c>
      <c r="D2185" s="2">
        <v>9.144817179E9</v>
      </c>
      <c r="E2185" s="1" t="s">
        <v>10160</v>
      </c>
      <c r="F2185" s="1"/>
      <c r="G2185" s="1" t="s">
        <v>4824</v>
      </c>
      <c r="H2185" s="1" t="s">
        <v>1053</v>
      </c>
      <c r="I2185" s="1">
        <v>7627.0</v>
      </c>
      <c r="J2185" s="1" t="s">
        <v>752</v>
      </c>
      <c r="K2185" s="1" t="s">
        <v>892</v>
      </c>
      <c r="L2185" s="1" t="s">
        <v>8006</v>
      </c>
      <c r="M2185" s="1">
        <v>49.0</v>
      </c>
      <c r="N2185" s="1" t="s">
        <v>1152</v>
      </c>
      <c r="O2185" s="3" t="s">
        <v>8082</v>
      </c>
      <c r="P2185" s="1" t="s">
        <v>1152</v>
      </c>
      <c r="Q2185" s="1" t="s">
        <v>1152</v>
      </c>
      <c r="R2185" s="1"/>
      <c r="S2185" s="1"/>
      <c r="T2185" s="1" t="s">
        <v>1152</v>
      </c>
      <c r="U2185" s="1" t="s">
        <v>1794</v>
      </c>
      <c r="V2185" s="4" t="s">
        <v>8082</v>
      </c>
      <c r="W2185" s="1"/>
      <c r="X2185" s="1" t="s">
        <v>1152</v>
      </c>
      <c r="Y2185" s="1" t="s">
        <v>1152</v>
      </c>
      <c r="Z2185" s="1"/>
      <c r="AA2185" s="1"/>
      <c r="AB2185" s="1"/>
      <c r="AC2185" s="1" t="s">
        <v>1925</v>
      </c>
      <c r="AD2185" s="1"/>
      <c r="AE2185" s="18">
        <v>46148.0</v>
      </c>
      <c r="AF2185" s="1" t="s">
        <v>1455</v>
      </c>
      <c r="AG2185" s="1" t="s">
        <v>52</v>
      </c>
      <c r="AH2185" s="1" t="s">
        <v>10498</v>
      </c>
      <c r="AI2185" s="1" t="s">
        <v>1152</v>
      </c>
      <c r="AJ2185" s="1" t="s">
        <v>10499</v>
      </c>
      <c r="AK2185" s="1" t="s">
        <v>1152</v>
      </c>
      <c r="AL2185" s="6"/>
      <c r="AM2185" s="12">
        <v>9.144817179E9</v>
      </c>
    </row>
    <row r="2186">
      <c r="A2186" s="5" t="s">
        <v>10500</v>
      </c>
      <c r="B2186" s="1" t="s">
        <v>10501</v>
      </c>
      <c r="C2186" s="1" t="s">
        <v>10502</v>
      </c>
      <c r="D2186" s="2">
        <v>3.478310009E9</v>
      </c>
      <c r="E2186" s="1" t="s">
        <v>5686</v>
      </c>
      <c r="F2186" s="1"/>
      <c r="G2186" s="1" t="s">
        <v>751</v>
      </c>
      <c r="H2186" s="1" t="s">
        <v>751</v>
      </c>
      <c r="I2186" s="1">
        <v>10024.0</v>
      </c>
      <c r="J2186" s="1" t="s">
        <v>752</v>
      </c>
      <c r="K2186" s="1" t="s">
        <v>42</v>
      </c>
      <c r="L2186" s="1" t="s">
        <v>8503</v>
      </c>
      <c r="M2186" s="1">
        <v>79.0</v>
      </c>
      <c r="N2186" s="1" t="s">
        <v>1152</v>
      </c>
      <c r="O2186" s="3" t="s">
        <v>4855</v>
      </c>
      <c r="P2186" s="1" t="s">
        <v>1152</v>
      </c>
      <c r="Q2186" s="1" t="s">
        <v>1152</v>
      </c>
      <c r="R2186" s="1"/>
      <c r="S2186" s="1"/>
      <c r="T2186" s="1" t="s">
        <v>1152</v>
      </c>
      <c r="U2186" s="1" t="s">
        <v>1456</v>
      </c>
      <c r="V2186" s="4" t="s">
        <v>4855</v>
      </c>
      <c r="W2186" s="1"/>
      <c r="X2186" s="1" t="s">
        <v>1152</v>
      </c>
      <c r="Y2186" s="1" t="s">
        <v>1152</v>
      </c>
      <c r="Z2186" s="1"/>
      <c r="AA2186" s="1"/>
      <c r="AB2186" s="1"/>
      <c r="AC2186" s="1" t="s">
        <v>1925</v>
      </c>
      <c r="AD2186" s="1"/>
      <c r="AE2186" s="18">
        <v>46147.0</v>
      </c>
      <c r="AF2186" s="1" t="s">
        <v>1349</v>
      </c>
      <c r="AG2186" s="1" t="s">
        <v>52</v>
      </c>
      <c r="AH2186" s="1" t="s">
        <v>1152</v>
      </c>
      <c r="AI2186" s="1" t="s">
        <v>10503</v>
      </c>
      <c r="AJ2186" s="1" t="s">
        <v>10504</v>
      </c>
      <c r="AK2186" s="1" t="s">
        <v>1152</v>
      </c>
      <c r="AL2186" s="6"/>
      <c r="AM2186" s="12">
        <v>7.187474256E9</v>
      </c>
    </row>
    <row r="2187">
      <c r="A2187" s="5" t="s">
        <v>10500</v>
      </c>
      <c r="B2187" s="1" t="s">
        <v>10501</v>
      </c>
      <c r="C2187" s="1" t="s">
        <v>10502</v>
      </c>
      <c r="D2187" s="2">
        <v>3.478310009E9</v>
      </c>
      <c r="E2187" s="1" t="s">
        <v>5686</v>
      </c>
      <c r="F2187" s="1"/>
      <c r="G2187" s="1" t="s">
        <v>751</v>
      </c>
      <c r="H2187" s="1" t="s">
        <v>751</v>
      </c>
      <c r="I2187" s="1">
        <v>10024.0</v>
      </c>
      <c r="J2187" s="1" t="s">
        <v>752</v>
      </c>
      <c r="K2187" s="1" t="s">
        <v>892</v>
      </c>
      <c r="L2187" s="1" t="s">
        <v>8006</v>
      </c>
      <c r="M2187" s="1">
        <v>49.0</v>
      </c>
      <c r="N2187" s="1" t="s">
        <v>1152</v>
      </c>
      <c r="O2187" s="3" t="s">
        <v>4855</v>
      </c>
      <c r="P2187" s="1" t="s">
        <v>1152</v>
      </c>
      <c r="Q2187" s="1" t="s">
        <v>1152</v>
      </c>
      <c r="R2187" s="1"/>
      <c r="S2187" s="1"/>
      <c r="T2187" s="1" t="s">
        <v>1152</v>
      </c>
      <c r="U2187" s="1" t="s">
        <v>1456</v>
      </c>
      <c r="V2187" s="4" t="s">
        <v>4855</v>
      </c>
      <c r="W2187" s="1"/>
      <c r="X2187" s="1" t="s">
        <v>1152</v>
      </c>
      <c r="Y2187" s="1" t="s">
        <v>1152</v>
      </c>
      <c r="Z2187" s="1"/>
      <c r="AA2187" s="1"/>
      <c r="AB2187" s="1"/>
      <c r="AC2187" s="1" t="s">
        <v>1925</v>
      </c>
      <c r="AD2187" s="1"/>
      <c r="AE2187" s="18">
        <v>46147.0</v>
      </c>
      <c r="AF2187" s="1" t="s">
        <v>1349</v>
      </c>
      <c r="AG2187" s="1" t="s">
        <v>52</v>
      </c>
      <c r="AH2187" s="1" t="s">
        <v>10505</v>
      </c>
      <c r="AI2187" s="1" t="s">
        <v>10503</v>
      </c>
      <c r="AJ2187" s="1" t="s">
        <v>10504</v>
      </c>
      <c r="AK2187" s="1" t="s">
        <v>1152</v>
      </c>
      <c r="AL2187" s="6"/>
      <c r="AM2187" s="12">
        <v>7.187474256E9</v>
      </c>
    </row>
    <row r="2188">
      <c r="A2188" s="5" t="s">
        <v>10506</v>
      </c>
      <c r="B2188" s="1" t="s">
        <v>10507</v>
      </c>
      <c r="C2188" s="1" t="s">
        <v>10508</v>
      </c>
      <c r="D2188" s="2">
        <v>2.027469044E9</v>
      </c>
      <c r="E2188" s="1" t="s">
        <v>10509</v>
      </c>
      <c r="F2188" s="1"/>
      <c r="G2188" s="1" t="s">
        <v>2630</v>
      </c>
      <c r="H2188" s="1" t="s">
        <v>1583</v>
      </c>
      <c r="I2188" s="1">
        <v>77406.0</v>
      </c>
      <c r="J2188" s="1" t="s">
        <v>752</v>
      </c>
      <c r="K2188" s="1" t="s">
        <v>42</v>
      </c>
      <c r="L2188" s="1" t="s">
        <v>6819</v>
      </c>
      <c r="M2188" s="1">
        <v>49.0</v>
      </c>
      <c r="N2188" s="1" t="s">
        <v>1152</v>
      </c>
      <c r="O2188" s="3" t="s">
        <v>8941</v>
      </c>
      <c r="P2188" s="1" t="s">
        <v>1152</v>
      </c>
      <c r="Q2188" s="1" t="s">
        <v>1152</v>
      </c>
      <c r="R2188" s="1"/>
      <c r="S2188" s="1"/>
      <c r="T2188" s="1" t="s">
        <v>1152</v>
      </c>
      <c r="U2188" s="1" t="s">
        <v>956</v>
      </c>
      <c r="V2188" s="4" t="s">
        <v>8941</v>
      </c>
      <c r="W2188" s="1"/>
      <c r="X2188" s="1" t="s">
        <v>1152</v>
      </c>
      <c r="Y2188" s="1" t="s">
        <v>1152</v>
      </c>
      <c r="Z2188" s="1"/>
      <c r="AA2188" s="1"/>
      <c r="AB2188" s="1"/>
      <c r="AC2188" s="1" t="s">
        <v>1925</v>
      </c>
      <c r="AD2188" s="1"/>
      <c r="AE2188" s="18">
        <v>46149.0</v>
      </c>
      <c r="AF2188" s="1" t="s">
        <v>1630</v>
      </c>
      <c r="AG2188" s="1" t="s">
        <v>52</v>
      </c>
      <c r="AH2188" s="1" t="s">
        <v>1152</v>
      </c>
      <c r="AI2188" s="1" t="s">
        <v>1152</v>
      </c>
      <c r="AJ2188" s="1" t="s">
        <v>10509</v>
      </c>
      <c r="AK2188" s="1" t="s">
        <v>1152</v>
      </c>
      <c r="AL2188" s="6"/>
      <c r="AM2188" s="12">
        <v>2.817505301E9</v>
      </c>
    </row>
    <row r="2189">
      <c r="A2189" s="5" t="s">
        <v>10510</v>
      </c>
      <c r="B2189" s="1" t="s">
        <v>10511</v>
      </c>
      <c r="C2189" s="1" t="s">
        <v>10512</v>
      </c>
      <c r="D2189" s="2">
        <v>6.464838117E9</v>
      </c>
      <c r="E2189" s="1" t="s">
        <v>2882</v>
      </c>
      <c r="F2189" s="1"/>
      <c r="G2189" s="1" t="s">
        <v>2883</v>
      </c>
      <c r="H2189" s="1" t="s">
        <v>1053</v>
      </c>
      <c r="I2189" s="1">
        <v>8033.0</v>
      </c>
      <c r="J2189" s="1" t="s">
        <v>752</v>
      </c>
      <c r="K2189" s="1" t="s">
        <v>42</v>
      </c>
      <c r="L2189" s="1" t="s">
        <v>6819</v>
      </c>
      <c r="M2189" s="1">
        <v>49.0</v>
      </c>
      <c r="N2189" s="1" t="s">
        <v>1152</v>
      </c>
      <c r="O2189" s="3" t="s">
        <v>446</v>
      </c>
      <c r="P2189" s="1" t="s">
        <v>1152</v>
      </c>
      <c r="Q2189" s="1" t="s">
        <v>1152</v>
      </c>
      <c r="R2189" s="1"/>
      <c r="S2189" s="1"/>
      <c r="T2189" s="1" t="s">
        <v>1152</v>
      </c>
      <c r="U2189" s="1" t="s">
        <v>948</v>
      </c>
      <c r="V2189" s="4" t="s">
        <v>446</v>
      </c>
      <c r="W2189" s="1"/>
      <c r="X2189" s="1" t="s">
        <v>1152</v>
      </c>
      <c r="Y2189" s="1" t="s">
        <v>1152</v>
      </c>
      <c r="Z2189" s="1"/>
      <c r="AA2189" s="1"/>
      <c r="AB2189" s="1"/>
      <c r="AC2189" s="1" t="s">
        <v>1925</v>
      </c>
      <c r="AD2189" s="1"/>
      <c r="AE2189" s="18">
        <v>46148.0</v>
      </c>
      <c r="AF2189" s="1" t="s">
        <v>1030</v>
      </c>
      <c r="AG2189" s="1" t="s">
        <v>52</v>
      </c>
      <c r="AH2189" s="1" t="s">
        <v>1152</v>
      </c>
      <c r="AI2189" s="1" t="s">
        <v>1152</v>
      </c>
      <c r="AJ2189" s="1" t="s">
        <v>10513</v>
      </c>
      <c r="AK2189" s="1" t="s">
        <v>1152</v>
      </c>
      <c r="AL2189" s="6"/>
      <c r="AM2189" s="12">
        <v>6.092562682E9</v>
      </c>
    </row>
    <row r="2190">
      <c r="A2190" s="5" t="s">
        <v>10514</v>
      </c>
      <c r="B2190" s="1" t="s">
        <v>10515</v>
      </c>
      <c r="C2190" s="1" t="s">
        <v>7831</v>
      </c>
      <c r="D2190" s="2">
        <v>6.502697346E9</v>
      </c>
      <c r="E2190" s="1" t="s">
        <v>10516</v>
      </c>
      <c r="F2190" s="1"/>
      <c r="G2190" s="1" t="s">
        <v>4775</v>
      </c>
      <c r="H2190" s="1" t="s">
        <v>1121</v>
      </c>
      <c r="I2190" s="1">
        <v>2138.0</v>
      </c>
      <c r="J2190" s="1" t="s">
        <v>752</v>
      </c>
      <c r="K2190" s="1" t="s">
        <v>42</v>
      </c>
      <c r="L2190" s="1" t="s">
        <v>6819</v>
      </c>
      <c r="M2190" s="1">
        <v>49.0</v>
      </c>
      <c r="N2190" s="1" t="s">
        <v>1152</v>
      </c>
      <c r="O2190" s="3" t="s">
        <v>10517</v>
      </c>
      <c r="P2190" s="1" t="s">
        <v>1152</v>
      </c>
      <c r="Q2190" s="1" t="s">
        <v>1152</v>
      </c>
      <c r="R2190" s="1"/>
      <c r="S2190" s="1"/>
      <c r="T2190" s="1" t="s">
        <v>1152</v>
      </c>
      <c r="U2190" s="1" t="s">
        <v>1021</v>
      </c>
      <c r="V2190" s="4" t="s">
        <v>10517</v>
      </c>
      <c r="W2190" s="1"/>
      <c r="X2190" s="1" t="s">
        <v>1152</v>
      </c>
      <c r="Y2190" s="1" t="s">
        <v>1152</v>
      </c>
      <c r="Z2190" s="1"/>
      <c r="AA2190" s="1"/>
      <c r="AB2190" s="1"/>
      <c r="AC2190" s="1" t="s">
        <v>1925</v>
      </c>
      <c r="AD2190" s="1"/>
      <c r="AE2190" s="18">
        <v>46149.0</v>
      </c>
      <c r="AF2190" s="1" t="s">
        <v>1030</v>
      </c>
      <c r="AG2190" s="1" t="s">
        <v>52</v>
      </c>
      <c r="AH2190" s="1" t="s">
        <v>1152</v>
      </c>
      <c r="AI2190" s="1" t="s">
        <v>1152</v>
      </c>
      <c r="AJ2190" s="1" t="s">
        <v>4774</v>
      </c>
      <c r="AK2190" s="1" t="s">
        <v>1152</v>
      </c>
      <c r="AL2190" s="6"/>
      <c r="AM2190" s="12">
        <v>7.817775096E9</v>
      </c>
    </row>
    <row r="2191">
      <c r="A2191" s="5" t="s">
        <v>10518</v>
      </c>
      <c r="B2191" s="1" t="s">
        <v>10519</v>
      </c>
      <c r="C2191" s="1" t="s">
        <v>10520</v>
      </c>
      <c r="D2191" s="2">
        <v>9.175206775E9</v>
      </c>
      <c r="E2191" s="1" t="s">
        <v>10521</v>
      </c>
      <c r="F2191" s="1"/>
      <c r="G2191" s="1" t="s">
        <v>1684</v>
      </c>
      <c r="H2191" s="1" t="s">
        <v>751</v>
      </c>
      <c r="I2191" s="1">
        <v>11201.0</v>
      </c>
      <c r="J2191" s="1" t="s">
        <v>752</v>
      </c>
      <c r="K2191" s="1" t="s">
        <v>42</v>
      </c>
      <c r="L2191" s="1" t="s">
        <v>6819</v>
      </c>
      <c r="M2191" s="1">
        <v>49.0</v>
      </c>
      <c r="N2191" s="1" t="s">
        <v>1152</v>
      </c>
      <c r="O2191" s="3" t="s">
        <v>627</v>
      </c>
      <c r="P2191" s="1" t="s">
        <v>1152</v>
      </c>
      <c r="Q2191" s="1" t="s">
        <v>1152</v>
      </c>
      <c r="R2191" s="1"/>
      <c r="S2191" s="1"/>
      <c r="T2191" s="1" t="s">
        <v>1152</v>
      </c>
      <c r="U2191" s="1" t="s">
        <v>1039</v>
      </c>
      <c r="V2191" s="4" t="s">
        <v>627</v>
      </c>
      <c r="W2191" s="1"/>
      <c r="X2191" s="1" t="s">
        <v>1152</v>
      </c>
      <c r="Y2191" s="1" t="s">
        <v>1152</v>
      </c>
      <c r="Z2191" s="1"/>
      <c r="AA2191" s="1"/>
      <c r="AB2191" s="1"/>
      <c r="AC2191" s="1" t="s">
        <v>1925</v>
      </c>
      <c r="AD2191" s="1"/>
      <c r="AE2191" s="18">
        <v>46148.0</v>
      </c>
      <c r="AF2191" s="1" t="s">
        <v>1349</v>
      </c>
      <c r="AG2191" s="1" t="s">
        <v>52</v>
      </c>
      <c r="AH2191" s="1" t="s">
        <v>1152</v>
      </c>
      <c r="AI2191" s="1" t="s">
        <v>1152</v>
      </c>
      <c r="AJ2191" s="1" t="s">
        <v>10521</v>
      </c>
      <c r="AK2191" s="1" t="s">
        <v>1152</v>
      </c>
      <c r="AL2191" s="6"/>
      <c r="AM2191" s="12">
        <v>9.175206775E9</v>
      </c>
    </row>
    <row r="2192">
      <c r="A2192" s="5" t="s">
        <v>10522</v>
      </c>
      <c r="B2192" s="1" t="s">
        <v>10523</v>
      </c>
      <c r="C2192" s="1" t="s">
        <v>10524</v>
      </c>
      <c r="D2192" s="2">
        <v>3.392224332E9</v>
      </c>
      <c r="E2192" s="1" t="s">
        <v>10525</v>
      </c>
      <c r="F2192" s="1"/>
      <c r="G2192" s="1" t="s">
        <v>1037</v>
      </c>
      <c r="H2192" s="1" t="s">
        <v>1121</v>
      </c>
      <c r="I2192" s="1">
        <v>2474.0</v>
      </c>
      <c r="J2192" s="1" t="s">
        <v>752</v>
      </c>
      <c r="K2192" s="1" t="s">
        <v>42</v>
      </c>
      <c r="L2192" s="1" t="s">
        <v>6819</v>
      </c>
      <c r="M2192" s="1">
        <v>49.0</v>
      </c>
      <c r="N2192" s="1" t="s">
        <v>1152</v>
      </c>
      <c r="O2192" s="3" t="s">
        <v>5386</v>
      </c>
      <c r="P2192" s="1" t="s">
        <v>1152</v>
      </c>
      <c r="Q2192" s="1" t="s">
        <v>1152</v>
      </c>
      <c r="R2192" s="1"/>
      <c r="S2192" s="1"/>
      <c r="T2192" s="1" t="s">
        <v>1152</v>
      </c>
      <c r="U2192" s="1" t="s">
        <v>3946</v>
      </c>
      <c r="V2192" s="4" t="s">
        <v>5386</v>
      </c>
      <c r="W2192" s="1"/>
      <c r="X2192" s="1" t="s">
        <v>1152</v>
      </c>
      <c r="Y2192" s="1" t="s">
        <v>1152</v>
      </c>
      <c r="Z2192" s="1"/>
      <c r="AA2192" s="1"/>
      <c r="AB2192" s="1"/>
      <c r="AC2192" s="1" t="s">
        <v>1925</v>
      </c>
      <c r="AD2192" s="1"/>
      <c r="AE2192" s="18">
        <v>46149.0</v>
      </c>
      <c r="AF2192" s="1" t="s">
        <v>1349</v>
      </c>
      <c r="AG2192" s="1" t="s">
        <v>52</v>
      </c>
      <c r="AH2192" s="1" t="s">
        <v>1152</v>
      </c>
      <c r="AI2192" s="1" t="s">
        <v>1152</v>
      </c>
      <c r="AJ2192" s="1" t="s">
        <v>10525</v>
      </c>
      <c r="AK2192" s="1" t="s">
        <v>1152</v>
      </c>
      <c r="AL2192" s="6"/>
      <c r="AM2192" s="12">
        <v>3.392224332E9</v>
      </c>
    </row>
    <row r="2193">
      <c r="A2193" s="5" t="s">
        <v>10522</v>
      </c>
      <c r="B2193" s="1" t="s">
        <v>10523</v>
      </c>
      <c r="C2193" s="1" t="s">
        <v>10524</v>
      </c>
      <c r="D2193" s="2">
        <v>3.392224332E9</v>
      </c>
      <c r="E2193" s="1" t="s">
        <v>10525</v>
      </c>
      <c r="F2193" s="1"/>
      <c r="G2193" s="1" t="s">
        <v>1037</v>
      </c>
      <c r="H2193" s="1" t="s">
        <v>1121</v>
      </c>
      <c r="I2193" s="1">
        <v>2474.0</v>
      </c>
      <c r="J2193" s="1" t="s">
        <v>752</v>
      </c>
      <c r="K2193" s="1" t="s">
        <v>892</v>
      </c>
      <c r="L2193" s="1" t="s">
        <v>8006</v>
      </c>
      <c r="M2193" s="1">
        <v>49.0</v>
      </c>
      <c r="N2193" s="1" t="s">
        <v>1152</v>
      </c>
      <c r="O2193" s="3" t="s">
        <v>5386</v>
      </c>
      <c r="P2193" s="1" t="s">
        <v>1152</v>
      </c>
      <c r="Q2193" s="1" t="s">
        <v>1152</v>
      </c>
      <c r="R2193" s="1"/>
      <c r="S2193" s="1"/>
      <c r="T2193" s="1" t="s">
        <v>1152</v>
      </c>
      <c r="U2193" s="1" t="s">
        <v>3946</v>
      </c>
      <c r="V2193" s="4" t="s">
        <v>5386</v>
      </c>
      <c r="W2193" s="1"/>
      <c r="X2193" s="1" t="s">
        <v>1152</v>
      </c>
      <c r="Y2193" s="1" t="s">
        <v>1152</v>
      </c>
      <c r="Z2193" s="1"/>
      <c r="AA2193" s="1"/>
      <c r="AB2193" s="1"/>
      <c r="AC2193" s="1" t="s">
        <v>1925</v>
      </c>
      <c r="AD2193" s="1"/>
      <c r="AE2193" s="18">
        <v>46149.0</v>
      </c>
      <c r="AF2193" s="1" t="s">
        <v>1349</v>
      </c>
      <c r="AG2193" s="1" t="s">
        <v>52</v>
      </c>
      <c r="AH2193" s="1" t="s">
        <v>10526</v>
      </c>
      <c r="AI2193" s="1" t="s">
        <v>1152</v>
      </c>
      <c r="AJ2193" s="1" t="s">
        <v>10525</v>
      </c>
      <c r="AK2193" s="1" t="s">
        <v>1152</v>
      </c>
      <c r="AL2193" s="6"/>
      <c r="AM2193" s="12">
        <v>3.392224332E9</v>
      </c>
    </row>
    <row r="2194">
      <c r="A2194" s="5" t="s">
        <v>10527</v>
      </c>
      <c r="B2194" s="1" t="s">
        <v>10528</v>
      </c>
      <c r="C2194" s="1" t="s">
        <v>10529</v>
      </c>
      <c r="D2194" s="2">
        <v>9.082108801E9</v>
      </c>
      <c r="E2194" s="1" t="s">
        <v>3835</v>
      </c>
      <c r="F2194" s="1"/>
      <c r="G2194" s="1" t="s">
        <v>3836</v>
      </c>
      <c r="H2194" s="1" t="s">
        <v>1053</v>
      </c>
      <c r="I2194" s="1">
        <v>8876.0</v>
      </c>
      <c r="J2194" s="1" t="s">
        <v>752</v>
      </c>
      <c r="K2194" s="1" t="s">
        <v>42</v>
      </c>
      <c r="L2194" s="1" t="s">
        <v>6819</v>
      </c>
      <c r="M2194" s="1">
        <v>49.0</v>
      </c>
      <c r="N2194" s="1" t="s">
        <v>1152</v>
      </c>
      <c r="O2194" s="3" t="s">
        <v>3857</v>
      </c>
      <c r="P2194" s="1" t="s">
        <v>1152</v>
      </c>
      <c r="Q2194" s="1" t="s">
        <v>1152</v>
      </c>
      <c r="R2194" s="1"/>
      <c r="S2194" s="1"/>
      <c r="T2194" s="1" t="s">
        <v>1152</v>
      </c>
      <c r="U2194" s="1" t="s">
        <v>1710</v>
      </c>
      <c r="V2194" s="4" t="s">
        <v>3857</v>
      </c>
      <c r="W2194" s="1"/>
      <c r="X2194" s="1" t="s">
        <v>1152</v>
      </c>
      <c r="Y2194" s="1" t="s">
        <v>1152</v>
      </c>
      <c r="Z2194" s="1"/>
      <c r="AA2194" s="1"/>
      <c r="AB2194" s="1"/>
      <c r="AC2194" s="1" t="s">
        <v>1925</v>
      </c>
      <c r="AD2194" s="1"/>
      <c r="AE2194" s="18">
        <v>46147.0</v>
      </c>
      <c r="AF2194" s="1" t="s">
        <v>1030</v>
      </c>
      <c r="AG2194" s="1" t="s">
        <v>52</v>
      </c>
      <c r="AH2194" s="1" t="s">
        <v>1152</v>
      </c>
      <c r="AI2194" s="1" t="s">
        <v>1152</v>
      </c>
      <c r="AJ2194" s="1" t="s">
        <v>3835</v>
      </c>
      <c r="AK2194" s="1" t="s">
        <v>1152</v>
      </c>
      <c r="AL2194" s="6"/>
      <c r="AM2194" s="12">
        <v>9.082108801E9</v>
      </c>
    </row>
    <row r="2195">
      <c r="A2195" s="5" t="s">
        <v>10530</v>
      </c>
      <c r="B2195" s="1" t="s">
        <v>10531</v>
      </c>
      <c r="C2195" s="1" t="s">
        <v>10532</v>
      </c>
      <c r="D2195" s="2">
        <v>3.054976707E9</v>
      </c>
      <c r="E2195" s="1" t="s">
        <v>10533</v>
      </c>
      <c r="F2195" s="1"/>
      <c r="G2195" s="1" t="s">
        <v>2109</v>
      </c>
      <c r="H2195" s="1" t="s">
        <v>1208</v>
      </c>
      <c r="I2195" s="1">
        <v>33133.0</v>
      </c>
      <c r="J2195" s="1" t="s">
        <v>752</v>
      </c>
      <c r="K2195" s="1" t="s">
        <v>42</v>
      </c>
      <c r="L2195" s="1" t="s">
        <v>6819</v>
      </c>
      <c r="M2195" s="1">
        <v>49.0</v>
      </c>
      <c r="N2195" s="1" t="s">
        <v>1152</v>
      </c>
      <c r="O2195" s="3" t="s">
        <v>293</v>
      </c>
      <c r="P2195" s="1" t="s">
        <v>1152</v>
      </c>
      <c r="Q2195" s="1" t="s">
        <v>1152</v>
      </c>
      <c r="R2195" s="1"/>
      <c r="S2195" s="1"/>
      <c r="T2195" s="1" t="s">
        <v>1152</v>
      </c>
      <c r="U2195" s="1" t="s">
        <v>1039</v>
      </c>
      <c r="V2195" s="4" t="s">
        <v>293</v>
      </c>
      <c r="W2195" s="1"/>
      <c r="X2195" s="1" t="s">
        <v>1152</v>
      </c>
      <c r="Y2195" s="1" t="s">
        <v>1152</v>
      </c>
      <c r="Z2195" s="1"/>
      <c r="AA2195" s="1"/>
      <c r="AB2195" s="1"/>
      <c r="AC2195" s="1" t="s">
        <v>1925</v>
      </c>
      <c r="AD2195" s="1"/>
      <c r="AE2195" s="18">
        <v>46148.0</v>
      </c>
      <c r="AF2195" s="1" t="s">
        <v>1349</v>
      </c>
      <c r="AG2195" s="1" t="s">
        <v>52</v>
      </c>
      <c r="AH2195" s="1" t="s">
        <v>1152</v>
      </c>
      <c r="AI2195" s="1" t="s">
        <v>1152</v>
      </c>
      <c r="AJ2195" s="1" t="s">
        <v>10533</v>
      </c>
      <c r="AK2195" s="1" t="s">
        <v>1152</v>
      </c>
      <c r="AL2195" s="6"/>
      <c r="AM2195" s="12">
        <v>1.0</v>
      </c>
    </row>
    <row r="2196">
      <c r="A2196" s="5" t="s">
        <v>10534</v>
      </c>
      <c r="B2196" s="1" t="s">
        <v>10535</v>
      </c>
      <c r="C2196" s="1" t="s">
        <v>10536</v>
      </c>
      <c r="D2196" s="2">
        <v>2.152018284E9</v>
      </c>
      <c r="E2196" s="1" t="s">
        <v>2210</v>
      </c>
      <c r="F2196" s="1"/>
      <c r="G2196" s="1" t="s">
        <v>2211</v>
      </c>
      <c r="H2196" s="1" t="s">
        <v>1233</v>
      </c>
      <c r="I2196" s="1">
        <v>19038.0</v>
      </c>
      <c r="J2196" s="1" t="s">
        <v>752</v>
      </c>
      <c r="K2196" s="1" t="s">
        <v>42</v>
      </c>
      <c r="L2196" s="1" t="s">
        <v>6819</v>
      </c>
      <c r="M2196" s="1">
        <v>49.0</v>
      </c>
      <c r="N2196" s="1" t="s">
        <v>1152</v>
      </c>
      <c r="O2196" s="3" t="s">
        <v>1972</v>
      </c>
      <c r="P2196" s="1" t="s">
        <v>1152</v>
      </c>
      <c r="Q2196" s="1" t="s">
        <v>1152</v>
      </c>
      <c r="R2196" s="1"/>
      <c r="S2196" s="1"/>
      <c r="T2196" s="1" t="s">
        <v>1152</v>
      </c>
      <c r="U2196" s="1" t="s">
        <v>1039</v>
      </c>
      <c r="V2196" s="4" t="s">
        <v>1972</v>
      </c>
      <c r="W2196" s="1"/>
      <c r="X2196" s="1" t="s">
        <v>1152</v>
      </c>
      <c r="Y2196" s="1" t="s">
        <v>1152</v>
      </c>
      <c r="Z2196" s="1"/>
      <c r="AA2196" s="1"/>
      <c r="AB2196" s="1"/>
      <c r="AC2196" s="1" t="s">
        <v>1925</v>
      </c>
      <c r="AD2196" s="1"/>
      <c r="AE2196" s="18">
        <v>46137.0</v>
      </c>
      <c r="AF2196" s="1" t="s">
        <v>1349</v>
      </c>
      <c r="AG2196" s="1" t="s">
        <v>52</v>
      </c>
      <c r="AH2196" s="1" t="s">
        <v>1152</v>
      </c>
      <c r="AI2196" s="1" t="s">
        <v>1152</v>
      </c>
      <c r="AJ2196" s="1" t="s">
        <v>10537</v>
      </c>
      <c r="AK2196" s="1" t="s">
        <v>1152</v>
      </c>
      <c r="AL2196" s="6"/>
      <c r="AM2196" s="12" t="s">
        <v>1925</v>
      </c>
    </row>
    <row r="2197">
      <c r="A2197" s="5" t="s">
        <v>10538</v>
      </c>
      <c r="B2197" s="1" t="s">
        <v>10539</v>
      </c>
      <c r="C2197" s="1" t="s">
        <v>10540</v>
      </c>
      <c r="D2197" s="2">
        <v>3.177499742E9</v>
      </c>
      <c r="E2197" s="1" t="s">
        <v>10541</v>
      </c>
      <c r="F2197" s="1"/>
      <c r="G2197" s="1" t="s">
        <v>2241</v>
      </c>
      <c r="H2197" s="1" t="s">
        <v>2242</v>
      </c>
      <c r="I2197" s="1">
        <v>46240.0</v>
      </c>
      <c r="J2197" s="1" t="s">
        <v>752</v>
      </c>
      <c r="K2197" s="1" t="s">
        <v>2131</v>
      </c>
      <c r="L2197" s="1" t="s">
        <v>5767</v>
      </c>
      <c r="M2197" s="1">
        <v>1.0</v>
      </c>
      <c r="N2197" s="1" t="s">
        <v>1152</v>
      </c>
      <c r="O2197" s="3" t="s">
        <v>7565</v>
      </c>
      <c r="P2197" s="1" t="s">
        <v>1152</v>
      </c>
      <c r="Q2197" s="1" t="s">
        <v>1152</v>
      </c>
      <c r="R2197" s="1"/>
      <c r="S2197" s="1"/>
      <c r="T2197" s="1" t="s">
        <v>1152</v>
      </c>
      <c r="U2197" s="1" t="s">
        <v>6053</v>
      </c>
      <c r="V2197" s="4" t="s">
        <v>7565</v>
      </c>
      <c r="W2197" s="1"/>
      <c r="X2197" s="1" t="s">
        <v>1152</v>
      </c>
      <c r="Y2197" s="1" t="s">
        <v>1152</v>
      </c>
      <c r="Z2197" s="1"/>
      <c r="AA2197" s="1"/>
      <c r="AB2197" s="1"/>
      <c r="AC2197" s="1" t="s">
        <v>1925</v>
      </c>
      <c r="AD2197" s="1"/>
      <c r="AE2197" s="18">
        <v>46148.0</v>
      </c>
      <c r="AF2197" s="1"/>
      <c r="AG2197" s="1"/>
      <c r="AH2197" s="1" t="s">
        <v>1152</v>
      </c>
      <c r="AI2197" s="1" t="s">
        <v>1152</v>
      </c>
      <c r="AJ2197" s="1" t="s">
        <v>10542</v>
      </c>
      <c r="AK2197" s="1" t="s">
        <v>1152</v>
      </c>
      <c r="AL2197" s="6"/>
      <c r="AM2197" s="12">
        <v>6.12270213E9</v>
      </c>
    </row>
    <row r="2198">
      <c r="A2198" s="5" t="s">
        <v>10543</v>
      </c>
      <c r="B2198" s="1" t="s">
        <v>10544</v>
      </c>
      <c r="C2198" s="1" t="s">
        <v>10545</v>
      </c>
      <c r="D2198" s="2">
        <v>6.506448954E9</v>
      </c>
      <c r="E2198" s="1" t="s">
        <v>10546</v>
      </c>
      <c r="F2198" s="1"/>
      <c r="G2198" s="1" t="s">
        <v>4642</v>
      </c>
      <c r="H2198" s="1" t="s">
        <v>1121</v>
      </c>
      <c r="I2198" s="1">
        <v>2445.0</v>
      </c>
      <c r="J2198" s="1" t="s">
        <v>752</v>
      </c>
      <c r="K2198" s="1" t="s">
        <v>42</v>
      </c>
      <c r="L2198" s="1" t="s">
        <v>6819</v>
      </c>
      <c r="M2198" s="1">
        <v>49.0</v>
      </c>
      <c r="N2198" s="1" t="s">
        <v>1152</v>
      </c>
      <c r="O2198" s="3" t="s">
        <v>4305</v>
      </c>
      <c r="P2198" s="1" t="s">
        <v>1152</v>
      </c>
      <c r="Q2198" s="1" t="s">
        <v>1152</v>
      </c>
      <c r="R2198" s="1"/>
      <c r="S2198" s="1"/>
      <c r="T2198" s="1" t="s">
        <v>1152</v>
      </c>
      <c r="U2198" s="1" t="s">
        <v>1039</v>
      </c>
      <c r="V2198" s="4" t="s">
        <v>4305</v>
      </c>
      <c r="W2198" s="1"/>
      <c r="X2198" s="1" t="s">
        <v>1152</v>
      </c>
      <c r="Y2198" s="1" t="s">
        <v>1152</v>
      </c>
      <c r="Z2198" s="1"/>
      <c r="AA2198" s="1"/>
      <c r="AB2198" s="1"/>
      <c r="AC2198" s="1" t="s">
        <v>1925</v>
      </c>
      <c r="AD2198" s="1"/>
      <c r="AE2198" s="18">
        <v>46149.0</v>
      </c>
      <c r="AF2198" s="1" t="s">
        <v>1630</v>
      </c>
      <c r="AG2198" s="1" t="s">
        <v>52</v>
      </c>
      <c r="AH2198" s="1" t="s">
        <v>1152</v>
      </c>
      <c r="AI2198" s="1" t="s">
        <v>10547</v>
      </c>
      <c r="AJ2198" s="1" t="s">
        <v>4641</v>
      </c>
      <c r="AK2198" s="1" t="s">
        <v>1152</v>
      </c>
      <c r="AL2198" s="6"/>
      <c r="AM2198" s="12">
        <v>6.176376746E9</v>
      </c>
    </row>
    <row r="2199">
      <c r="A2199" s="5" t="s">
        <v>10548</v>
      </c>
      <c r="B2199" s="1" t="s">
        <v>10549</v>
      </c>
      <c r="C2199" s="1" t="s">
        <v>10550</v>
      </c>
      <c r="D2199" s="2">
        <v>6.465651495E9</v>
      </c>
      <c r="E2199" s="1" t="s">
        <v>4989</v>
      </c>
      <c r="F2199" s="1" t="s">
        <v>10551</v>
      </c>
      <c r="G2199" s="1" t="s">
        <v>2435</v>
      </c>
      <c r="H2199" s="1" t="s">
        <v>751</v>
      </c>
      <c r="I2199" s="1">
        <v>10514.0</v>
      </c>
      <c r="J2199" s="1" t="s">
        <v>752</v>
      </c>
      <c r="K2199" s="1" t="s">
        <v>892</v>
      </c>
      <c r="L2199" s="1" t="s">
        <v>8006</v>
      </c>
      <c r="M2199" s="1">
        <v>49.0</v>
      </c>
      <c r="N2199" s="1" t="s">
        <v>1152</v>
      </c>
      <c r="O2199" s="3"/>
      <c r="P2199" s="1" t="s">
        <v>1152</v>
      </c>
      <c r="Q2199" s="1" t="s">
        <v>1152</v>
      </c>
      <c r="R2199" s="1" t="s">
        <v>10551</v>
      </c>
      <c r="S2199" s="1"/>
      <c r="T2199" s="1" t="s">
        <v>1152</v>
      </c>
      <c r="U2199" s="1"/>
      <c r="V2199" s="4"/>
      <c r="W2199" s="1" t="s">
        <v>10551</v>
      </c>
      <c r="X2199" s="1" t="s">
        <v>1152</v>
      </c>
      <c r="Y2199" s="1" t="s">
        <v>1152</v>
      </c>
      <c r="Z2199" s="1"/>
      <c r="AA2199" s="1" t="s">
        <v>10551</v>
      </c>
      <c r="AB2199" s="1"/>
      <c r="AC2199" s="1" t="s">
        <v>1925</v>
      </c>
      <c r="AD2199" s="1"/>
      <c r="AE2199" s="18">
        <v>46158.0</v>
      </c>
      <c r="AF2199" s="1" t="s">
        <v>1630</v>
      </c>
      <c r="AG2199" s="1" t="s">
        <v>124</v>
      </c>
      <c r="AH2199" s="1" t="s">
        <v>10552</v>
      </c>
      <c r="AI2199" s="1" t="s">
        <v>1152</v>
      </c>
      <c r="AJ2199" s="1" t="s">
        <v>4989</v>
      </c>
      <c r="AK2199" s="1" t="s">
        <v>1152</v>
      </c>
      <c r="AL2199" s="6"/>
      <c r="AM2199" s="12">
        <v>6.465651495E9</v>
      </c>
    </row>
    <row r="2200">
      <c r="A2200" s="5" t="s">
        <v>10553</v>
      </c>
      <c r="B2200" s="1" t="s">
        <v>10554</v>
      </c>
      <c r="C2200" s="1" t="s">
        <v>10555</v>
      </c>
      <c r="D2200" s="2">
        <v>3.146578516E9</v>
      </c>
      <c r="E2200" s="1" t="s">
        <v>10556</v>
      </c>
      <c r="F2200" s="1"/>
      <c r="G2200" s="1" t="s">
        <v>2350</v>
      </c>
      <c r="H2200" s="1" t="s">
        <v>1155</v>
      </c>
      <c r="I2200" s="1">
        <v>63105.0</v>
      </c>
      <c r="J2200" s="1" t="s">
        <v>752</v>
      </c>
      <c r="K2200" s="1" t="s">
        <v>42</v>
      </c>
      <c r="L2200" s="1" t="s">
        <v>6819</v>
      </c>
      <c r="M2200" s="1">
        <v>49.0</v>
      </c>
      <c r="N2200" s="1" t="s">
        <v>1152</v>
      </c>
      <c r="O2200" s="3" t="s">
        <v>10013</v>
      </c>
      <c r="P2200" s="1" t="s">
        <v>1152</v>
      </c>
      <c r="Q2200" s="1" t="s">
        <v>1152</v>
      </c>
      <c r="R2200" s="1"/>
      <c r="S2200" s="1"/>
      <c r="T2200" s="1" t="s">
        <v>1152</v>
      </c>
      <c r="U2200" s="1" t="s">
        <v>1148</v>
      </c>
      <c r="V2200" s="4" t="s">
        <v>10013</v>
      </c>
      <c r="W2200" s="1"/>
      <c r="X2200" s="1" t="s">
        <v>1152</v>
      </c>
      <c r="Y2200" s="1" t="s">
        <v>1152</v>
      </c>
      <c r="Z2200" s="1"/>
      <c r="AA2200" s="1"/>
      <c r="AB2200" s="1"/>
      <c r="AC2200" s="1" t="s">
        <v>1925</v>
      </c>
      <c r="AD2200" s="1"/>
      <c r="AE2200" s="18">
        <v>46147.0</v>
      </c>
      <c r="AF2200" s="1" t="s">
        <v>1630</v>
      </c>
      <c r="AG2200" s="1" t="s">
        <v>52</v>
      </c>
      <c r="AH2200" s="1" t="s">
        <v>1152</v>
      </c>
      <c r="AI2200" s="1" t="s">
        <v>1152</v>
      </c>
      <c r="AJ2200" s="1" t="s">
        <v>10556</v>
      </c>
      <c r="AK2200" s="1" t="s">
        <v>1152</v>
      </c>
      <c r="AL2200" s="6"/>
      <c r="AM2200" s="12">
        <v>3.146578516E9</v>
      </c>
    </row>
    <row r="2201">
      <c r="A2201" s="5" t="s">
        <v>10557</v>
      </c>
      <c r="B2201" s="1" t="s">
        <v>10558</v>
      </c>
      <c r="C2201" s="1" t="s">
        <v>10559</v>
      </c>
      <c r="D2201" s="2">
        <v>9.174471523E9</v>
      </c>
      <c r="E2201" s="1" t="s">
        <v>10560</v>
      </c>
      <c r="F2201" s="1"/>
      <c r="G2201" s="1" t="s">
        <v>10561</v>
      </c>
      <c r="H2201" s="1" t="s">
        <v>1053</v>
      </c>
      <c r="I2201" s="1">
        <v>7645.0</v>
      </c>
      <c r="J2201" s="1" t="s">
        <v>752</v>
      </c>
      <c r="K2201" s="1" t="s">
        <v>42</v>
      </c>
      <c r="L2201" s="1" t="s">
        <v>6819</v>
      </c>
      <c r="M2201" s="1">
        <v>49.0</v>
      </c>
      <c r="N2201" s="1" t="s">
        <v>1152</v>
      </c>
      <c r="O2201" s="3" t="s">
        <v>1685</v>
      </c>
      <c r="P2201" s="1" t="s">
        <v>1152</v>
      </c>
      <c r="Q2201" s="1" t="s">
        <v>1152</v>
      </c>
      <c r="R2201" s="1"/>
      <c r="S2201" s="1"/>
      <c r="T2201" s="1" t="s">
        <v>1152</v>
      </c>
      <c r="U2201" s="1" t="s">
        <v>1080</v>
      </c>
      <c r="V2201" s="4" t="s">
        <v>1685</v>
      </c>
      <c r="W2201" s="1"/>
      <c r="X2201" s="1" t="s">
        <v>1152</v>
      </c>
      <c r="Y2201" s="1" t="s">
        <v>1152</v>
      </c>
      <c r="Z2201" s="1"/>
      <c r="AA2201" s="1"/>
      <c r="AB2201" s="1"/>
      <c r="AC2201" s="1" t="s">
        <v>1925</v>
      </c>
      <c r="AD2201" s="1"/>
      <c r="AE2201" s="18">
        <v>46137.0</v>
      </c>
      <c r="AF2201" s="1" t="s">
        <v>1030</v>
      </c>
      <c r="AG2201" s="1" t="s">
        <v>52</v>
      </c>
      <c r="AH2201" s="1" t="s">
        <v>1152</v>
      </c>
      <c r="AI2201" s="1" t="s">
        <v>1152</v>
      </c>
      <c r="AJ2201" s="1" t="s">
        <v>10562</v>
      </c>
      <c r="AK2201" s="1" t="s">
        <v>1152</v>
      </c>
      <c r="AL2201" s="6"/>
      <c r="AM2201" s="12" t="s">
        <v>1925</v>
      </c>
    </row>
    <row r="2202">
      <c r="A2202" s="5" t="s">
        <v>10563</v>
      </c>
      <c r="B2202" s="1" t="s">
        <v>10564</v>
      </c>
      <c r="C2202" s="1" t="s">
        <v>10565</v>
      </c>
      <c r="D2202" s="2">
        <v>4.045786708E9</v>
      </c>
      <c r="E2202" s="1" t="s">
        <v>10566</v>
      </c>
      <c r="F2202" s="1"/>
      <c r="G2202" s="1" t="s">
        <v>2179</v>
      </c>
      <c r="H2202" s="1" t="s">
        <v>946</v>
      </c>
      <c r="I2202" s="1">
        <v>30327.0</v>
      </c>
      <c r="J2202" s="1" t="s">
        <v>752</v>
      </c>
      <c r="K2202" s="1" t="s">
        <v>42</v>
      </c>
      <c r="L2202" s="1" t="s">
        <v>6819</v>
      </c>
      <c r="M2202" s="1">
        <v>49.0</v>
      </c>
      <c r="N2202" s="1" t="s">
        <v>1152</v>
      </c>
      <c r="O2202" s="3" t="s">
        <v>997</v>
      </c>
      <c r="P2202" s="1" t="s">
        <v>1152</v>
      </c>
      <c r="Q2202" s="1" t="s">
        <v>1152</v>
      </c>
      <c r="R2202" s="1"/>
      <c r="S2202" s="1"/>
      <c r="T2202" s="1" t="s">
        <v>1152</v>
      </c>
      <c r="U2202" s="1" t="s">
        <v>1277</v>
      </c>
      <c r="V2202" s="4" t="s">
        <v>997</v>
      </c>
      <c r="W2202" s="1"/>
      <c r="X2202" s="1" t="s">
        <v>1152</v>
      </c>
      <c r="Y2202" s="1" t="s">
        <v>1152</v>
      </c>
      <c r="Z2202" s="1"/>
      <c r="AA2202" s="1"/>
      <c r="AB2202" s="1"/>
      <c r="AC2202" s="1" t="s">
        <v>1925</v>
      </c>
      <c r="AD2202" s="1"/>
      <c r="AE2202" s="18">
        <v>46143.0</v>
      </c>
      <c r="AF2202" s="1" t="s">
        <v>1630</v>
      </c>
      <c r="AG2202" s="1" t="s">
        <v>52</v>
      </c>
      <c r="AH2202" s="1" t="s">
        <v>1152</v>
      </c>
      <c r="AI2202" s="1" t="s">
        <v>1152</v>
      </c>
      <c r="AJ2202" s="1" t="s">
        <v>10567</v>
      </c>
      <c r="AK2202" s="1" t="s">
        <v>1152</v>
      </c>
      <c r="AL2202" s="6"/>
      <c r="AM2202" s="12">
        <v>4.043751245E9</v>
      </c>
    </row>
    <row r="2203">
      <c r="A2203" s="5" t="s">
        <v>10568</v>
      </c>
      <c r="B2203" s="1" t="s">
        <v>10569</v>
      </c>
      <c r="C2203" s="1" t="s">
        <v>10570</v>
      </c>
      <c r="D2203" s="2">
        <v>3.142676104E9</v>
      </c>
      <c r="E2203" s="1" t="s">
        <v>10571</v>
      </c>
      <c r="F2203" s="1"/>
      <c r="G2203" s="1" t="s">
        <v>1283</v>
      </c>
      <c r="H2203" s="1" t="s">
        <v>1155</v>
      </c>
      <c r="I2203" s="1">
        <v>63130.0</v>
      </c>
      <c r="J2203" s="1" t="s">
        <v>752</v>
      </c>
      <c r="K2203" s="1" t="s">
        <v>42</v>
      </c>
      <c r="L2203" s="1" t="s">
        <v>6819</v>
      </c>
      <c r="M2203" s="1">
        <v>49.0</v>
      </c>
      <c r="N2203" s="1" t="s">
        <v>1152</v>
      </c>
      <c r="O2203" s="3" t="s">
        <v>3166</v>
      </c>
      <c r="P2203" s="1" t="s">
        <v>1152</v>
      </c>
      <c r="Q2203" s="1" t="s">
        <v>1152</v>
      </c>
      <c r="R2203" s="1"/>
      <c r="S2203" s="1"/>
      <c r="T2203" s="1" t="s">
        <v>1152</v>
      </c>
      <c r="U2203" s="1" t="s">
        <v>4879</v>
      </c>
      <c r="V2203" s="4" t="s">
        <v>3166</v>
      </c>
      <c r="W2203" s="1"/>
      <c r="X2203" s="1" t="s">
        <v>1152</v>
      </c>
      <c r="Y2203" s="1" t="s">
        <v>1152</v>
      </c>
      <c r="Z2203" s="1"/>
      <c r="AA2203" s="1"/>
      <c r="AB2203" s="1"/>
      <c r="AC2203" s="1" t="s">
        <v>1925</v>
      </c>
      <c r="AD2203" s="1"/>
      <c r="AE2203" s="18">
        <v>46148.0</v>
      </c>
      <c r="AF2203" s="1" t="s">
        <v>1349</v>
      </c>
      <c r="AG2203" s="1" t="s">
        <v>52</v>
      </c>
      <c r="AH2203" s="1" t="s">
        <v>1152</v>
      </c>
      <c r="AI2203" s="1" t="s">
        <v>1152</v>
      </c>
      <c r="AJ2203" s="1" t="s">
        <v>10571</v>
      </c>
      <c r="AK2203" s="1" t="s">
        <v>1152</v>
      </c>
      <c r="AL2203" s="6"/>
      <c r="AM2203" s="12">
        <v>3.142676104E9</v>
      </c>
    </row>
    <row r="2204">
      <c r="A2204" s="5" t="s">
        <v>10572</v>
      </c>
      <c r="B2204" s="1" t="s">
        <v>10573</v>
      </c>
      <c r="C2204" s="1" t="s">
        <v>8162</v>
      </c>
      <c r="D2204" s="2">
        <v>9.178288162E9</v>
      </c>
      <c r="E2204" s="1" t="s">
        <v>8163</v>
      </c>
      <c r="F2204" s="1"/>
      <c r="G2204" s="1" t="s">
        <v>1766</v>
      </c>
      <c r="H2204" s="1" t="s">
        <v>1078</v>
      </c>
      <c r="I2204" s="1">
        <v>6830.0</v>
      </c>
      <c r="J2204" s="1" t="s">
        <v>752</v>
      </c>
      <c r="K2204" s="1" t="s">
        <v>892</v>
      </c>
      <c r="L2204" s="1" t="s">
        <v>8006</v>
      </c>
      <c r="M2204" s="1">
        <v>49.0</v>
      </c>
      <c r="N2204" s="1" t="s">
        <v>1152</v>
      </c>
      <c r="O2204" s="3" t="s">
        <v>1767</v>
      </c>
      <c r="P2204" s="1" t="s">
        <v>1152</v>
      </c>
      <c r="Q2204" s="1" t="s">
        <v>1152</v>
      </c>
      <c r="R2204" s="1"/>
      <c r="S2204" s="1"/>
      <c r="T2204" s="1" t="s">
        <v>1152</v>
      </c>
      <c r="U2204" s="1" t="s">
        <v>1133</v>
      </c>
      <c r="V2204" s="4" t="s">
        <v>1767</v>
      </c>
      <c r="W2204" s="1"/>
      <c r="X2204" s="1" t="s">
        <v>1152</v>
      </c>
      <c r="Y2204" s="1" t="s">
        <v>1152</v>
      </c>
      <c r="Z2204" s="1"/>
      <c r="AA2204" s="1"/>
      <c r="AB2204" s="1"/>
      <c r="AC2204" s="1" t="s">
        <v>1925</v>
      </c>
      <c r="AD2204" s="1"/>
      <c r="AE2204" s="18">
        <v>46146.0</v>
      </c>
      <c r="AF2204" s="1" t="s">
        <v>1349</v>
      </c>
      <c r="AG2204" s="1" t="s">
        <v>52</v>
      </c>
      <c r="AH2204" s="1" t="s">
        <v>10574</v>
      </c>
      <c r="AI2204" s="1" t="s">
        <v>1152</v>
      </c>
      <c r="AJ2204" s="1" t="s">
        <v>8163</v>
      </c>
      <c r="AK2204" s="1" t="s">
        <v>1152</v>
      </c>
      <c r="AL2204" s="6"/>
      <c r="AM2204" s="12">
        <v>9.178281862E9</v>
      </c>
    </row>
    <row r="2205">
      <c r="A2205" s="5" t="s">
        <v>10575</v>
      </c>
      <c r="B2205" s="1" t="s">
        <v>10576</v>
      </c>
      <c r="C2205" s="1" t="s">
        <v>10577</v>
      </c>
      <c r="D2205" s="2">
        <v>9.499333467E9</v>
      </c>
      <c r="E2205" s="1" t="s">
        <v>10578</v>
      </c>
      <c r="F2205" s="1"/>
      <c r="G2205" s="1" t="s">
        <v>1215</v>
      </c>
      <c r="H2205" s="1" t="s">
        <v>989</v>
      </c>
      <c r="I2205" s="1">
        <v>92660.0</v>
      </c>
      <c r="J2205" s="1" t="s">
        <v>752</v>
      </c>
      <c r="K2205" s="1" t="s">
        <v>42</v>
      </c>
      <c r="L2205" s="1" t="s">
        <v>6819</v>
      </c>
      <c r="M2205" s="1">
        <v>49.0</v>
      </c>
      <c r="N2205" s="1" t="s">
        <v>1152</v>
      </c>
      <c r="O2205" s="3" t="s">
        <v>2946</v>
      </c>
      <c r="P2205" s="1" t="s">
        <v>1152</v>
      </c>
      <c r="Q2205" s="1" t="s">
        <v>1152</v>
      </c>
      <c r="R2205" s="1"/>
      <c r="S2205" s="1"/>
      <c r="T2205" s="1" t="s">
        <v>1152</v>
      </c>
      <c r="U2205" s="1" t="s">
        <v>1343</v>
      </c>
      <c r="V2205" s="4" t="s">
        <v>2946</v>
      </c>
      <c r="W2205" s="1"/>
      <c r="X2205" s="1" t="s">
        <v>1152</v>
      </c>
      <c r="Y2205" s="1" t="s">
        <v>1152</v>
      </c>
      <c r="Z2205" s="1"/>
      <c r="AA2205" s="1"/>
      <c r="AB2205" s="1"/>
      <c r="AC2205" s="1" t="s">
        <v>1925</v>
      </c>
      <c r="AD2205" s="1"/>
      <c r="AE2205" s="18">
        <v>46148.0</v>
      </c>
      <c r="AF2205" s="1" t="s">
        <v>1349</v>
      </c>
      <c r="AG2205" s="1" t="s">
        <v>52</v>
      </c>
      <c r="AH2205" s="1" t="s">
        <v>1152</v>
      </c>
      <c r="AI2205" s="1" t="s">
        <v>1152</v>
      </c>
      <c r="AJ2205" s="1" t="s">
        <v>10579</v>
      </c>
      <c r="AK2205" s="1" t="s">
        <v>1152</v>
      </c>
      <c r="AL2205" s="6"/>
      <c r="AM2205" s="12">
        <v>9.499333467E9</v>
      </c>
    </row>
    <row r="2206">
      <c r="A2206" s="5" t="s">
        <v>10580</v>
      </c>
      <c r="B2206" s="1" t="s">
        <v>10581</v>
      </c>
      <c r="C2206" s="1" t="s">
        <v>10582</v>
      </c>
      <c r="D2206" s="2">
        <v>9.177251154E9</v>
      </c>
      <c r="E2206" s="1" t="s">
        <v>4481</v>
      </c>
      <c r="F2206" s="1"/>
      <c r="G2206" s="1" t="s">
        <v>751</v>
      </c>
      <c r="H2206" s="1" t="s">
        <v>751</v>
      </c>
      <c r="I2206" s="1">
        <v>10028.0</v>
      </c>
      <c r="J2206" s="1" t="s">
        <v>752</v>
      </c>
      <c r="K2206" s="1" t="s">
        <v>42</v>
      </c>
      <c r="L2206" s="1" t="s">
        <v>8393</v>
      </c>
      <c r="M2206" s="1">
        <v>109.0</v>
      </c>
      <c r="N2206" s="1" t="s">
        <v>1152</v>
      </c>
      <c r="O2206" s="3" t="s">
        <v>10583</v>
      </c>
      <c r="P2206" s="1" t="s">
        <v>1152</v>
      </c>
      <c r="Q2206" s="1" t="s">
        <v>1152</v>
      </c>
      <c r="R2206" s="1"/>
      <c r="S2206" s="1"/>
      <c r="T2206" s="1" t="s">
        <v>1152</v>
      </c>
      <c r="U2206" s="1" t="s">
        <v>1812</v>
      </c>
      <c r="V2206" s="4" t="s">
        <v>10583</v>
      </c>
      <c r="W2206" s="1"/>
      <c r="X2206" s="1" t="s">
        <v>1152</v>
      </c>
      <c r="Y2206" s="1" t="s">
        <v>1152</v>
      </c>
      <c r="Z2206" s="1"/>
      <c r="AA2206" s="1"/>
      <c r="AB2206" s="1"/>
      <c r="AC2206" s="1" t="s">
        <v>1925</v>
      </c>
      <c r="AD2206" s="1"/>
      <c r="AE2206" s="18">
        <v>46150.0</v>
      </c>
      <c r="AF2206" s="1" t="s">
        <v>1103</v>
      </c>
      <c r="AG2206" s="1" t="s">
        <v>52</v>
      </c>
      <c r="AH2206" s="1" t="s">
        <v>1152</v>
      </c>
      <c r="AI2206" s="1" t="s">
        <v>1152</v>
      </c>
      <c r="AJ2206" s="1" t="s">
        <v>4481</v>
      </c>
      <c r="AK2206" s="1" t="s">
        <v>1152</v>
      </c>
      <c r="AL2206" s="6"/>
      <c r="AM2206" s="12">
        <v>9.177251154E9</v>
      </c>
    </row>
    <row r="2207">
      <c r="A2207" s="5" t="s">
        <v>10584</v>
      </c>
      <c r="B2207" s="1" t="s">
        <v>10585</v>
      </c>
      <c r="C2207" s="1" t="s">
        <v>10586</v>
      </c>
      <c r="D2207" s="2">
        <v>3.123392715E9</v>
      </c>
      <c r="E2207" s="1" t="s">
        <v>5166</v>
      </c>
      <c r="F2207" s="1"/>
      <c r="G2207" s="1" t="s">
        <v>1634</v>
      </c>
      <c r="H2207" s="1" t="s">
        <v>1019</v>
      </c>
      <c r="I2207" s="1">
        <v>60015.0</v>
      </c>
      <c r="J2207" s="1" t="s">
        <v>752</v>
      </c>
      <c r="K2207" s="1" t="s">
        <v>42</v>
      </c>
      <c r="L2207" s="1" t="s">
        <v>7863</v>
      </c>
      <c r="M2207" s="1">
        <v>79.0</v>
      </c>
      <c r="N2207" s="1" t="s">
        <v>1152</v>
      </c>
      <c r="O2207" s="3" t="s">
        <v>5233</v>
      </c>
      <c r="P2207" s="1" t="s">
        <v>1152</v>
      </c>
      <c r="Q2207" s="1" t="s">
        <v>1152</v>
      </c>
      <c r="R2207" s="1"/>
      <c r="S2207" s="1"/>
      <c r="T2207" s="1" t="s">
        <v>1152</v>
      </c>
      <c r="U2207" s="1" t="s">
        <v>1812</v>
      </c>
      <c r="V2207" s="4" t="s">
        <v>5233</v>
      </c>
      <c r="W2207" s="1"/>
      <c r="X2207" s="1" t="s">
        <v>1152</v>
      </c>
      <c r="Y2207" s="1" t="s">
        <v>1152</v>
      </c>
      <c r="Z2207" s="1"/>
      <c r="AA2207" s="1"/>
      <c r="AB2207" s="1"/>
      <c r="AC2207" s="1" t="s">
        <v>1925</v>
      </c>
      <c r="AD2207" s="1"/>
      <c r="AE2207" s="18">
        <v>46147.0</v>
      </c>
      <c r="AF2207" s="1" t="s">
        <v>1440</v>
      </c>
      <c r="AG2207" s="1" t="s">
        <v>52</v>
      </c>
      <c r="AH2207" s="1" t="s">
        <v>1152</v>
      </c>
      <c r="AI2207" s="1" t="s">
        <v>1152</v>
      </c>
      <c r="AJ2207" s="1" t="s">
        <v>10587</v>
      </c>
      <c r="AK2207" s="1" t="s">
        <v>1152</v>
      </c>
      <c r="AL2207" s="6"/>
      <c r="AM2207" s="12">
        <v>8.479771792E9</v>
      </c>
    </row>
    <row r="2208">
      <c r="A2208" s="5" t="s">
        <v>10588</v>
      </c>
      <c r="B2208" s="1" t="s">
        <v>10589</v>
      </c>
      <c r="C2208" s="1" t="s">
        <v>10590</v>
      </c>
      <c r="D2208" s="2">
        <v>9.193979888E9</v>
      </c>
      <c r="E2208" s="1" t="s">
        <v>10591</v>
      </c>
      <c r="F2208" s="1" t="s">
        <v>10592</v>
      </c>
      <c r="G2208" s="1" t="s">
        <v>2350</v>
      </c>
      <c r="H2208" s="1" t="s">
        <v>1155</v>
      </c>
      <c r="I2208" s="1">
        <v>63130.0</v>
      </c>
      <c r="J2208" s="1" t="s">
        <v>752</v>
      </c>
      <c r="K2208" s="1" t="s">
        <v>42</v>
      </c>
      <c r="L2208" s="1" t="s">
        <v>6819</v>
      </c>
      <c r="M2208" s="1">
        <v>49.0</v>
      </c>
      <c r="N2208" s="1" t="s">
        <v>1152</v>
      </c>
      <c r="O2208" s="3"/>
      <c r="P2208" s="1" t="s">
        <v>1152</v>
      </c>
      <c r="Q2208" s="1" t="s">
        <v>1152</v>
      </c>
      <c r="R2208" s="1" t="s">
        <v>10592</v>
      </c>
      <c r="S2208" s="1"/>
      <c r="T2208" s="1" t="s">
        <v>1152</v>
      </c>
      <c r="U2208" s="1"/>
      <c r="V2208" s="4"/>
      <c r="W2208" s="1" t="s">
        <v>10592</v>
      </c>
      <c r="X2208" s="1" t="s">
        <v>1152</v>
      </c>
      <c r="Y2208" s="1" t="s">
        <v>1152</v>
      </c>
      <c r="Z2208" s="1"/>
      <c r="AA2208" s="1" t="s">
        <v>10592</v>
      </c>
      <c r="AB2208" s="1"/>
      <c r="AC2208" s="1" t="s">
        <v>1925</v>
      </c>
      <c r="AD2208" s="1"/>
      <c r="AE2208" s="18">
        <v>46148.0</v>
      </c>
      <c r="AF2208" s="1" t="s">
        <v>1030</v>
      </c>
      <c r="AG2208" s="1" t="s">
        <v>124</v>
      </c>
      <c r="AH2208" s="1" t="s">
        <v>1152</v>
      </c>
      <c r="AI2208" s="1" t="s">
        <v>1152</v>
      </c>
      <c r="AJ2208" s="1" t="s">
        <v>10591</v>
      </c>
      <c r="AK2208" s="1" t="s">
        <v>1152</v>
      </c>
      <c r="AL2208" s="6"/>
      <c r="AM2208" s="12">
        <v>9.193979888E9</v>
      </c>
    </row>
    <row r="2209">
      <c r="A2209" s="5" t="s">
        <v>10593</v>
      </c>
      <c r="B2209" s="1" t="s">
        <v>10594</v>
      </c>
      <c r="C2209" s="1" t="s">
        <v>10590</v>
      </c>
      <c r="D2209" s="2">
        <v>9.193979888E9</v>
      </c>
      <c r="E2209" s="1" t="s">
        <v>10591</v>
      </c>
      <c r="F2209" s="1"/>
      <c r="G2209" s="1" t="s">
        <v>2350</v>
      </c>
      <c r="H2209" s="1" t="s">
        <v>1155</v>
      </c>
      <c r="I2209" s="1">
        <v>63130.0</v>
      </c>
      <c r="J2209" s="1" t="s">
        <v>752</v>
      </c>
      <c r="K2209" s="1" t="s">
        <v>51</v>
      </c>
      <c r="L2209" s="1" t="s">
        <v>5722</v>
      </c>
      <c r="M2209" s="1">
        <v>1.0</v>
      </c>
      <c r="N2209" s="1" t="s">
        <v>2461</v>
      </c>
      <c r="O2209" s="3" t="s">
        <v>10595</v>
      </c>
      <c r="P2209" s="18">
        <v>46255.0</v>
      </c>
      <c r="Q2209" s="1" t="s">
        <v>2463</v>
      </c>
      <c r="R2209" s="1"/>
      <c r="S2209" s="1" t="s">
        <v>52</v>
      </c>
      <c r="T2209" s="1" t="s">
        <v>2461</v>
      </c>
      <c r="U2209" s="1" t="s">
        <v>1936</v>
      </c>
      <c r="V2209" s="4" t="s">
        <v>10595</v>
      </c>
      <c r="W2209" s="1"/>
      <c r="X2209" s="18">
        <v>46255.0</v>
      </c>
      <c r="Y2209" s="1" t="s">
        <v>2463</v>
      </c>
      <c r="Z2209" s="1"/>
      <c r="AA2209" s="1"/>
      <c r="AB2209" s="1" t="s">
        <v>52</v>
      </c>
      <c r="AC2209" s="1" t="s">
        <v>1925</v>
      </c>
      <c r="AD2209" s="1"/>
      <c r="AE2209" s="1" t="s">
        <v>1152</v>
      </c>
      <c r="AF2209" s="1"/>
      <c r="AG2209" s="1"/>
      <c r="AH2209" s="1" t="s">
        <v>1152</v>
      </c>
      <c r="AI2209" s="1" t="s">
        <v>1152</v>
      </c>
      <c r="AJ2209" s="1" t="s">
        <v>10591</v>
      </c>
      <c r="AK2209" s="1" t="s">
        <v>1152</v>
      </c>
      <c r="AL2209" s="6"/>
      <c r="AM2209" s="12">
        <v>9.193979888E9</v>
      </c>
    </row>
    <row r="2210">
      <c r="A2210" s="5" t="s">
        <v>10596</v>
      </c>
      <c r="B2210" s="1" t="s">
        <v>10597</v>
      </c>
      <c r="C2210" s="1" t="s">
        <v>10598</v>
      </c>
      <c r="D2210" s="2">
        <v>8.472263131E9</v>
      </c>
      <c r="E2210" s="1" t="s">
        <v>7737</v>
      </c>
      <c r="F2210" s="1"/>
      <c r="G2210" s="1" t="s">
        <v>7738</v>
      </c>
      <c r="H2210" s="1" t="s">
        <v>1019</v>
      </c>
      <c r="I2210" s="1">
        <v>60048.0</v>
      </c>
      <c r="J2210" s="1" t="s">
        <v>752</v>
      </c>
      <c r="K2210" s="1" t="s">
        <v>42</v>
      </c>
      <c r="L2210" s="1" t="s">
        <v>7863</v>
      </c>
      <c r="M2210" s="1">
        <v>79.0</v>
      </c>
      <c r="N2210" s="1" t="s">
        <v>1152</v>
      </c>
      <c r="O2210" s="3" t="s">
        <v>4597</v>
      </c>
      <c r="P2210" s="1" t="s">
        <v>1152</v>
      </c>
      <c r="Q2210" s="1" t="s">
        <v>1152</v>
      </c>
      <c r="R2210" s="1"/>
      <c r="S2210" s="1"/>
      <c r="T2210" s="1" t="s">
        <v>1152</v>
      </c>
      <c r="U2210" s="1" t="s">
        <v>1021</v>
      </c>
      <c r="V2210" s="4" t="s">
        <v>4597</v>
      </c>
      <c r="W2210" s="1"/>
      <c r="X2210" s="1" t="s">
        <v>1152</v>
      </c>
      <c r="Y2210" s="1" t="s">
        <v>1152</v>
      </c>
      <c r="Z2210" s="1"/>
      <c r="AA2210" s="1"/>
      <c r="AB2210" s="1"/>
      <c r="AC2210" s="1" t="s">
        <v>1925</v>
      </c>
      <c r="AD2210" s="1"/>
      <c r="AE2210" s="18">
        <v>46149.0</v>
      </c>
      <c r="AF2210" s="1" t="s">
        <v>1455</v>
      </c>
      <c r="AG2210" s="1" t="s">
        <v>52</v>
      </c>
      <c r="AH2210" s="1" t="s">
        <v>1152</v>
      </c>
      <c r="AI2210" s="1" t="s">
        <v>1152</v>
      </c>
      <c r="AJ2210" s="1" t="s">
        <v>7739</v>
      </c>
      <c r="AK2210" s="1" t="s">
        <v>1152</v>
      </c>
      <c r="AL2210" s="6"/>
      <c r="AM2210" s="12">
        <v>8.472264233E9</v>
      </c>
    </row>
    <row r="2211">
      <c r="A2211" s="5" t="s">
        <v>10599</v>
      </c>
      <c r="B2211" s="1" t="s">
        <v>10600</v>
      </c>
      <c r="C2211" s="1" t="s">
        <v>10601</v>
      </c>
      <c r="D2211" s="2">
        <v>5.169028488E9</v>
      </c>
      <c r="E2211" s="1" t="s">
        <v>2893</v>
      </c>
      <c r="F2211" s="1"/>
      <c r="G2211" s="1" t="s">
        <v>10602</v>
      </c>
      <c r="H2211" s="1" t="s">
        <v>751</v>
      </c>
      <c r="I2211" s="1">
        <v>11510.0</v>
      </c>
      <c r="J2211" s="1" t="s">
        <v>752</v>
      </c>
      <c r="K2211" s="1" t="s">
        <v>42</v>
      </c>
      <c r="L2211" s="1" t="s">
        <v>6819</v>
      </c>
      <c r="M2211" s="1">
        <v>49.0</v>
      </c>
      <c r="N2211" s="1" t="s">
        <v>1152</v>
      </c>
      <c r="O2211" s="3" t="s">
        <v>2895</v>
      </c>
      <c r="P2211" s="1" t="s">
        <v>1152</v>
      </c>
      <c r="Q2211" s="1" t="s">
        <v>1152</v>
      </c>
      <c r="R2211" s="1"/>
      <c r="S2211" s="1"/>
      <c r="T2211" s="1" t="s">
        <v>1152</v>
      </c>
      <c r="U2211" s="1" t="s">
        <v>1201</v>
      </c>
      <c r="V2211" s="4" t="s">
        <v>2895</v>
      </c>
      <c r="W2211" s="1"/>
      <c r="X2211" s="1" t="s">
        <v>1152</v>
      </c>
      <c r="Y2211" s="1" t="s">
        <v>1152</v>
      </c>
      <c r="Z2211" s="1"/>
      <c r="AA2211" s="1"/>
      <c r="AB2211" s="1"/>
      <c r="AC2211" s="1" t="s">
        <v>1925</v>
      </c>
      <c r="AD2211" s="1"/>
      <c r="AE2211" s="18">
        <v>46148.0</v>
      </c>
      <c r="AF2211" s="1" t="s">
        <v>1349</v>
      </c>
      <c r="AG2211" s="1" t="s">
        <v>52</v>
      </c>
      <c r="AH2211" s="1" t="s">
        <v>1152</v>
      </c>
      <c r="AI2211" s="1" t="s">
        <v>1152</v>
      </c>
      <c r="AJ2211" s="1" t="s">
        <v>2893</v>
      </c>
      <c r="AK2211" s="1" t="s">
        <v>1152</v>
      </c>
      <c r="AL2211" s="6"/>
      <c r="AM2211" s="12">
        <v>5.169028488E9</v>
      </c>
    </row>
    <row r="2212">
      <c r="A2212" s="5" t="s">
        <v>10603</v>
      </c>
      <c r="B2212" s="1" t="s">
        <v>10604</v>
      </c>
      <c r="C2212" s="1" t="s">
        <v>10605</v>
      </c>
      <c r="D2212" s="2">
        <v>9.292724687E9</v>
      </c>
      <c r="E2212" s="1" t="s">
        <v>10606</v>
      </c>
      <c r="F2212" s="1"/>
      <c r="G2212" s="1" t="s">
        <v>751</v>
      </c>
      <c r="H2212" s="1" t="s">
        <v>751</v>
      </c>
      <c r="I2212" s="1">
        <v>10075.0</v>
      </c>
      <c r="J2212" s="1" t="s">
        <v>752</v>
      </c>
      <c r="K2212" s="1" t="s">
        <v>42</v>
      </c>
      <c r="L2212" s="1" t="s">
        <v>6819</v>
      </c>
      <c r="M2212" s="1">
        <v>49.0</v>
      </c>
      <c r="N2212" s="1" t="s">
        <v>1152</v>
      </c>
      <c r="O2212" s="3" t="s">
        <v>3477</v>
      </c>
      <c r="P2212" s="1" t="s">
        <v>1152</v>
      </c>
      <c r="Q2212" s="1" t="s">
        <v>1152</v>
      </c>
      <c r="R2212" s="1"/>
      <c r="S2212" s="1"/>
      <c r="T2212" s="1" t="s">
        <v>1152</v>
      </c>
      <c r="U2212" s="1" t="s">
        <v>1167</v>
      </c>
      <c r="V2212" s="4" t="s">
        <v>3477</v>
      </c>
      <c r="W2212" s="1"/>
      <c r="X2212" s="1" t="s">
        <v>1152</v>
      </c>
      <c r="Y2212" s="1" t="s">
        <v>1152</v>
      </c>
      <c r="Z2212" s="1"/>
      <c r="AA2212" s="1"/>
      <c r="AB2212" s="1"/>
      <c r="AC2212" s="1" t="s">
        <v>1925</v>
      </c>
      <c r="AD2212" s="1"/>
      <c r="AE2212" s="18">
        <v>46144.0</v>
      </c>
      <c r="AF2212" s="1" t="s">
        <v>1030</v>
      </c>
      <c r="AG2212" s="1" t="s">
        <v>52</v>
      </c>
      <c r="AH2212" s="1" t="s">
        <v>1152</v>
      </c>
      <c r="AI2212" s="1" t="s">
        <v>1152</v>
      </c>
      <c r="AJ2212" s="1" t="s">
        <v>10606</v>
      </c>
      <c r="AK2212" s="1" t="s">
        <v>1152</v>
      </c>
      <c r="AL2212" s="6"/>
      <c r="AM2212" s="12" t="s">
        <v>1925</v>
      </c>
    </row>
    <row r="2213">
      <c r="A2213" s="5" t="s">
        <v>10607</v>
      </c>
      <c r="B2213" s="1" t="s">
        <v>10608</v>
      </c>
      <c r="C2213" s="1" t="s">
        <v>9507</v>
      </c>
      <c r="D2213" s="2">
        <v>9.175093592E9</v>
      </c>
      <c r="E2213" s="1" t="s">
        <v>4994</v>
      </c>
      <c r="F2213" s="1"/>
      <c r="G2213" s="1" t="s">
        <v>2715</v>
      </c>
      <c r="H2213" s="1" t="s">
        <v>1583</v>
      </c>
      <c r="I2213" s="1">
        <v>75287.0</v>
      </c>
      <c r="J2213" s="1" t="s">
        <v>752</v>
      </c>
      <c r="K2213" s="1" t="s">
        <v>892</v>
      </c>
      <c r="L2213" s="1" t="s">
        <v>8006</v>
      </c>
      <c r="M2213" s="1">
        <v>49.0</v>
      </c>
      <c r="N2213" s="1" t="s">
        <v>1152</v>
      </c>
      <c r="O2213" s="3" t="s">
        <v>9508</v>
      </c>
      <c r="P2213" s="1" t="s">
        <v>1152</v>
      </c>
      <c r="Q2213" s="1" t="s">
        <v>1152</v>
      </c>
      <c r="R2213" s="1"/>
      <c r="S2213" s="1"/>
      <c r="T2213" s="1" t="s">
        <v>1152</v>
      </c>
      <c r="U2213" s="1" t="s">
        <v>948</v>
      </c>
      <c r="V2213" s="4" t="s">
        <v>9508</v>
      </c>
      <c r="W2213" s="1"/>
      <c r="X2213" s="1" t="s">
        <v>1152</v>
      </c>
      <c r="Y2213" s="1" t="s">
        <v>1152</v>
      </c>
      <c r="Z2213" s="1"/>
      <c r="AA2213" s="1"/>
      <c r="AB2213" s="1"/>
      <c r="AC2213" s="1" t="s">
        <v>1925</v>
      </c>
      <c r="AD2213" s="1"/>
      <c r="AE2213" s="18">
        <v>46143.0</v>
      </c>
      <c r="AF2213" s="1" t="s">
        <v>1440</v>
      </c>
      <c r="AG2213" s="1" t="s">
        <v>52</v>
      </c>
      <c r="AH2213" s="1" t="s">
        <v>10609</v>
      </c>
      <c r="AI2213" s="1" t="s">
        <v>1152</v>
      </c>
      <c r="AJ2213" s="1" t="s">
        <v>9509</v>
      </c>
      <c r="AK2213" s="1" t="s">
        <v>1152</v>
      </c>
      <c r="AL2213" s="6"/>
      <c r="AM2213" s="12">
        <v>2.146741134E9</v>
      </c>
    </row>
    <row r="2214">
      <c r="A2214" s="5" t="s">
        <v>10610</v>
      </c>
      <c r="B2214" s="1" t="s">
        <v>10611</v>
      </c>
      <c r="C2214" s="1" t="s">
        <v>10612</v>
      </c>
      <c r="D2214" s="2">
        <v>3.392063556E9</v>
      </c>
      <c r="E2214" s="1" t="s">
        <v>10613</v>
      </c>
      <c r="F2214" s="1"/>
      <c r="G2214" s="1" t="s">
        <v>4092</v>
      </c>
      <c r="H2214" s="1" t="s">
        <v>1121</v>
      </c>
      <c r="I2214" s="1">
        <v>2067.0</v>
      </c>
      <c r="J2214" s="1" t="s">
        <v>752</v>
      </c>
      <c r="K2214" s="1" t="s">
        <v>42</v>
      </c>
      <c r="L2214" s="1" t="s">
        <v>6819</v>
      </c>
      <c r="M2214" s="1">
        <v>49.0</v>
      </c>
      <c r="N2214" s="1" t="s">
        <v>1152</v>
      </c>
      <c r="O2214" s="3" t="s">
        <v>10614</v>
      </c>
      <c r="P2214" s="1" t="s">
        <v>1152</v>
      </c>
      <c r="Q2214" s="1" t="s">
        <v>1152</v>
      </c>
      <c r="R2214" s="1"/>
      <c r="S2214" s="1"/>
      <c r="T2214" s="1" t="s">
        <v>1152</v>
      </c>
      <c r="U2214" s="1" t="s">
        <v>1407</v>
      </c>
      <c r="V2214" s="4" t="s">
        <v>10614</v>
      </c>
      <c r="W2214" s="1"/>
      <c r="X2214" s="1" t="s">
        <v>1152</v>
      </c>
      <c r="Y2214" s="1" t="s">
        <v>1152</v>
      </c>
      <c r="Z2214" s="1"/>
      <c r="AA2214" s="1"/>
      <c r="AB2214" s="1"/>
      <c r="AC2214" s="1" t="s">
        <v>1925</v>
      </c>
      <c r="AD2214" s="1"/>
      <c r="AE2214" s="18">
        <v>46149.0</v>
      </c>
      <c r="AF2214" s="1" t="s">
        <v>1030</v>
      </c>
      <c r="AG2214" s="1" t="s">
        <v>52</v>
      </c>
      <c r="AH2214" s="1" t="s">
        <v>1152</v>
      </c>
      <c r="AI2214" s="1" t="s">
        <v>10615</v>
      </c>
      <c r="AJ2214" s="1" t="s">
        <v>10613</v>
      </c>
      <c r="AK2214" s="1" t="s">
        <v>1152</v>
      </c>
      <c r="AL2214" s="6"/>
      <c r="AM2214" s="12">
        <v>3.392063556E9</v>
      </c>
    </row>
    <row r="2215">
      <c r="A2215" s="5" t="s">
        <v>10616</v>
      </c>
      <c r="B2215" s="1" t="s">
        <v>10617</v>
      </c>
      <c r="C2215" s="1" t="s">
        <v>623</v>
      </c>
      <c r="D2215" s="2">
        <v>6.46745612E9</v>
      </c>
      <c r="E2215" s="1" t="s">
        <v>625</v>
      </c>
      <c r="F2215" s="1"/>
      <c r="G2215" s="1" t="s">
        <v>10618</v>
      </c>
      <c r="H2215" s="1" t="s">
        <v>751</v>
      </c>
      <c r="I2215" s="1">
        <v>10128.0</v>
      </c>
      <c r="J2215" s="1" t="s">
        <v>752</v>
      </c>
      <c r="K2215" s="1" t="s">
        <v>42</v>
      </c>
      <c r="L2215" s="1" t="s">
        <v>6819</v>
      </c>
      <c r="M2215" s="1">
        <v>49.0</v>
      </c>
      <c r="N2215" s="1" t="s">
        <v>1152</v>
      </c>
      <c r="O2215" s="3" t="s">
        <v>627</v>
      </c>
      <c r="P2215" s="1" t="s">
        <v>1152</v>
      </c>
      <c r="Q2215" s="1" t="s">
        <v>1152</v>
      </c>
      <c r="R2215" s="1"/>
      <c r="S2215" s="1"/>
      <c r="T2215" s="1" t="s">
        <v>1152</v>
      </c>
      <c r="U2215" s="1" t="s">
        <v>1039</v>
      </c>
      <c r="V2215" s="4" t="s">
        <v>627</v>
      </c>
      <c r="W2215" s="1"/>
      <c r="X2215" s="1" t="s">
        <v>1152</v>
      </c>
      <c r="Y2215" s="1" t="s">
        <v>1152</v>
      </c>
      <c r="Z2215" s="1"/>
      <c r="AA2215" s="1"/>
      <c r="AB2215" s="1"/>
      <c r="AC2215" s="1" t="s">
        <v>1925</v>
      </c>
      <c r="AD2215" s="1"/>
      <c r="AE2215" s="18">
        <v>46143.0</v>
      </c>
      <c r="AF2215" s="1" t="s">
        <v>1349</v>
      </c>
      <c r="AG2215" s="1" t="s">
        <v>52</v>
      </c>
      <c r="AH2215" s="1" t="s">
        <v>1152</v>
      </c>
      <c r="AI2215" s="1" t="s">
        <v>1152</v>
      </c>
      <c r="AJ2215" s="1" t="s">
        <v>625</v>
      </c>
      <c r="AK2215" s="1" t="s">
        <v>1152</v>
      </c>
      <c r="AL2215" s="6"/>
      <c r="AM2215" s="12">
        <v>6.46745612E9</v>
      </c>
    </row>
    <row r="2216">
      <c r="A2216" s="5" t="s">
        <v>10619</v>
      </c>
      <c r="B2216" s="1" t="s">
        <v>10620</v>
      </c>
      <c r="C2216" s="1" t="s">
        <v>10621</v>
      </c>
      <c r="D2216" s="2">
        <v>9.293750172E9</v>
      </c>
      <c r="E2216" s="1" t="s">
        <v>10622</v>
      </c>
      <c r="F2216" s="1"/>
      <c r="G2216" s="1" t="s">
        <v>751</v>
      </c>
      <c r="H2216" s="1" t="s">
        <v>751</v>
      </c>
      <c r="I2216" s="1">
        <v>10128.0</v>
      </c>
      <c r="J2216" s="1" t="s">
        <v>752</v>
      </c>
      <c r="K2216" s="1" t="s">
        <v>42</v>
      </c>
      <c r="L2216" s="1" t="s">
        <v>6819</v>
      </c>
      <c r="M2216" s="1">
        <v>49.0</v>
      </c>
      <c r="N2216" s="1" t="s">
        <v>1152</v>
      </c>
      <c r="O2216" s="3" t="s">
        <v>5289</v>
      </c>
      <c r="P2216" s="1" t="s">
        <v>1152</v>
      </c>
      <c r="Q2216" s="1" t="s">
        <v>1152</v>
      </c>
      <c r="R2216" s="1"/>
      <c r="S2216" s="1"/>
      <c r="T2216" s="1" t="s">
        <v>1152</v>
      </c>
      <c r="U2216" s="1" t="s">
        <v>982</v>
      </c>
      <c r="V2216" s="4" t="s">
        <v>5289</v>
      </c>
      <c r="W2216" s="1"/>
      <c r="X2216" s="1" t="s">
        <v>1152</v>
      </c>
      <c r="Y2216" s="1" t="s">
        <v>1152</v>
      </c>
      <c r="Z2216" s="1"/>
      <c r="AA2216" s="1"/>
      <c r="AB2216" s="1"/>
      <c r="AC2216" s="1" t="s">
        <v>1925</v>
      </c>
      <c r="AD2216" s="1"/>
      <c r="AE2216" s="18">
        <v>46143.0</v>
      </c>
      <c r="AF2216" s="1" t="s">
        <v>1630</v>
      </c>
      <c r="AG2216" s="1" t="s">
        <v>52</v>
      </c>
      <c r="AH2216" s="1" t="s">
        <v>1152</v>
      </c>
      <c r="AI2216" s="1" t="s">
        <v>1152</v>
      </c>
      <c r="AJ2216" s="1" t="s">
        <v>10623</v>
      </c>
      <c r="AK2216" s="1" t="s">
        <v>1152</v>
      </c>
      <c r="AL2216" s="6"/>
      <c r="AM2216" s="12">
        <v>9.293750172E9</v>
      </c>
    </row>
    <row r="2217">
      <c r="A2217" s="5" t="s">
        <v>10624</v>
      </c>
      <c r="B2217" s="1" t="s">
        <v>10625</v>
      </c>
      <c r="C2217" s="1" t="s">
        <v>10626</v>
      </c>
      <c r="D2217" s="2">
        <v>9.085528213E9</v>
      </c>
      <c r="E2217" s="1" t="s">
        <v>10627</v>
      </c>
      <c r="F2217" s="1"/>
      <c r="G2217" s="1" t="s">
        <v>2350</v>
      </c>
      <c r="H2217" s="1" t="s">
        <v>1155</v>
      </c>
      <c r="I2217" s="1">
        <v>63105.0</v>
      </c>
      <c r="J2217" s="1" t="s">
        <v>752</v>
      </c>
      <c r="K2217" s="1" t="s">
        <v>42</v>
      </c>
      <c r="L2217" s="1" t="s">
        <v>6819</v>
      </c>
      <c r="M2217" s="1">
        <v>49.0</v>
      </c>
      <c r="N2217" s="1" t="s">
        <v>1152</v>
      </c>
      <c r="O2217" s="3" t="s">
        <v>2830</v>
      </c>
      <c r="P2217" s="1" t="s">
        <v>1152</v>
      </c>
      <c r="Q2217" s="1" t="s">
        <v>1152</v>
      </c>
      <c r="R2217" s="1"/>
      <c r="S2217" s="1"/>
      <c r="T2217" s="1" t="s">
        <v>1152</v>
      </c>
      <c r="U2217" s="1" t="s">
        <v>956</v>
      </c>
      <c r="V2217" s="4" t="s">
        <v>2830</v>
      </c>
      <c r="W2217" s="1"/>
      <c r="X2217" s="1" t="s">
        <v>1152</v>
      </c>
      <c r="Y2217" s="1" t="s">
        <v>1152</v>
      </c>
      <c r="Z2217" s="1"/>
      <c r="AA2217" s="1"/>
      <c r="AB2217" s="1"/>
      <c r="AC2217" s="1" t="s">
        <v>1925</v>
      </c>
      <c r="AD2217" s="1"/>
      <c r="AE2217" s="18">
        <v>46148.0</v>
      </c>
      <c r="AF2217" s="1" t="s">
        <v>1030</v>
      </c>
      <c r="AG2217" s="1" t="s">
        <v>52</v>
      </c>
      <c r="AH2217" s="1" t="s">
        <v>1152</v>
      </c>
      <c r="AI2217" s="1" t="s">
        <v>1152</v>
      </c>
      <c r="AJ2217" s="1" t="s">
        <v>10627</v>
      </c>
      <c r="AK2217" s="1" t="s">
        <v>1152</v>
      </c>
      <c r="AL2217" s="6"/>
      <c r="AM2217" s="12">
        <v>9.085528213E9</v>
      </c>
    </row>
    <row r="2218">
      <c r="A2218" s="5" t="s">
        <v>10628</v>
      </c>
      <c r="B2218" s="1" t="s">
        <v>10629</v>
      </c>
      <c r="C2218" s="1" t="s">
        <v>985</v>
      </c>
      <c r="D2218" s="2">
        <v>8.189201726E9</v>
      </c>
      <c r="E2218" s="1" t="s">
        <v>5061</v>
      </c>
      <c r="F2218" s="1"/>
      <c r="G2218" s="1" t="s">
        <v>988</v>
      </c>
      <c r="H2218" s="1" t="s">
        <v>989</v>
      </c>
      <c r="I2218" s="1">
        <v>91367.0</v>
      </c>
      <c r="J2218" s="1" t="s">
        <v>752</v>
      </c>
      <c r="K2218" s="1" t="s">
        <v>42</v>
      </c>
      <c r="L2218" s="1" t="s">
        <v>6819</v>
      </c>
      <c r="M2218" s="1">
        <v>49.0</v>
      </c>
      <c r="N2218" s="1" t="s">
        <v>1152</v>
      </c>
      <c r="O2218" s="3" t="s">
        <v>5062</v>
      </c>
      <c r="P2218" s="1" t="s">
        <v>1152</v>
      </c>
      <c r="Q2218" s="1" t="s">
        <v>1152</v>
      </c>
      <c r="R2218" s="1"/>
      <c r="S2218" s="1"/>
      <c r="T2218" s="1" t="s">
        <v>1152</v>
      </c>
      <c r="U2218" s="1" t="s">
        <v>982</v>
      </c>
      <c r="V2218" s="4" t="s">
        <v>5062</v>
      </c>
      <c r="W2218" s="1"/>
      <c r="X2218" s="1" t="s">
        <v>1152</v>
      </c>
      <c r="Y2218" s="1" t="s">
        <v>1152</v>
      </c>
      <c r="Z2218" s="1"/>
      <c r="AA2218" s="1"/>
      <c r="AB2218" s="1"/>
      <c r="AC2218" s="1" t="s">
        <v>1925</v>
      </c>
      <c r="AD2218" s="1"/>
      <c r="AE2218" s="18">
        <v>46143.0</v>
      </c>
      <c r="AF2218" s="1" t="s">
        <v>1349</v>
      </c>
      <c r="AG2218" s="1" t="s">
        <v>52</v>
      </c>
      <c r="AH2218" s="1" t="s">
        <v>1152</v>
      </c>
      <c r="AI2218" s="1" t="s">
        <v>1152</v>
      </c>
      <c r="AJ2218" s="1" t="s">
        <v>986</v>
      </c>
      <c r="AK2218" s="1" t="s">
        <v>1152</v>
      </c>
      <c r="AL2218" s="6"/>
      <c r="AM2218" s="12">
        <v>8.189328111E9</v>
      </c>
    </row>
    <row r="2219">
      <c r="A2219" s="5" t="s">
        <v>10630</v>
      </c>
      <c r="B2219" s="1" t="s">
        <v>10631</v>
      </c>
      <c r="C2219" s="1" t="s">
        <v>6578</v>
      </c>
      <c r="D2219" s="2">
        <v>3.147325905E9</v>
      </c>
      <c r="E2219" s="1" t="s">
        <v>7910</v>
      </c>
      <c r="F2219" s="1"/>
      <c r="G2219" s="1" t="s">
        <v>2350</v>
      </c>
      <c r="H2219" s="1" t="s">
        <v>1155</v>
      </c>
      <c r="I2219" s="1">
        <v>63105.0</v>
      </c>
      <c r="J2219" s="1" t="s">
        <v>752</v>
      </c>
      <c r="K2219" s="1" t="s">
        <v>42</v>
      </c>
      <c r="L2219" s="1" t="s">
        <v>6819</v>
      </c>
      <c r="M2219" s="1">
        <v>49.0</v>
      </c>
      <c r="N2219" s="1" t="s">
        <v>1152</v>
      </c>
      <c r="O2219" s="3" t="s">
        <v>596</v>
      </c>
      <c r="P2219" s="1" t="s">
        <v>1152</v>
      </c>
      <c r="Q2219" s="1" t="s">
        <v>1152</v>
      </c>
      <c r="R2219" s="1"/>
      <c r="S2219" s="1"/>
      <c r="T2219" s="1" t="s">
        <v>1152</v>
      </c>
      <c r="U2219" s="1" t="s">
        <v>7909</v>
      </c>
      <c r="V2219" s="4" t="s">
        <v>596</v>
      </c>
      <c r="W2219" s="1"/>
      <c r="X2219" s="1" t="s">
        <v>1152</v>
      </c>
      <c r="Y2219" s="1" t="s">
        <v>1152</v>
      </c>
      <c r="Z2219" s="1"/>
      <c r="AA2219" s="1"/>
      <c r="AB2219" s="1"/>
      <c r="AC2219" s="1" t="s">
        <v>1925</v>
      </c>
      <c r="AD2219" s="1"/>
      <c r="AE2219" s="18">
        <v>46140.0</v>
      </c>
      <c r="AF2219" s="1" t="s">
        <v>1455</v>
      </c>
      <c r="AG2219" s="1" t="s">
        <v>52</v>
      </c>
      <c r="AH2219" s="1" t="s">
        <v>1152</v>
      </c>
      <c r="AI2219" s="1" t="s">
        <v>1152</v>
      </c>
      <c r="AJ2219" s="1" t="s">
        <v>7910</v>
      </c>
      <c r="AK2219" s="1" t="s">
        <v>1152</v>
      </c>
      <c r="AL2219" s="6"/>
      <c r="AM2219" s="12">
        <v>3.147325905E9</v>
      </c>
    </row>
    <row r="2220">
      <c r="A2220" s="5" t="s">
        <v>10632</v>
      </c>
      <c r="B2220" s="1" t="s">
        <v>10633</v>
      </c>
      <c r="C2220" s="1" t="s">
        <v>10634</v>
      </c>
      <c r="D2220" s="2">
        <v>6.504047282E9</v>
      </c>
      <c r="E2220" s="1" t="s">
        <v>10635</v>
      </c>
      <c r="F2220" s="1"/>
      <c r="G2220" s="1" t="s">
        <v>1474</v>
      </c>
      <c r="H2220" s="1" t="s">
        <v>989</v>
      </c>
      <c r="I2220" s="1">
        <v>94022.0</v>
      </c>
      <c r="J2220" s="1" t="s">
        <v>752</v>
      </c>
      <c r="K2220" s="1" t="s">
        <v>42</v>
      </c>
      <c r="L2220" s="1" t="s">
        <v>6819</v>
      </c>
      <c r="M2220" s="1">
        <v>49.0</v>
      </c>
      <c r="N2220" s="1" t="s">
        <v>1152</v>
      </c>
      <c r="O2220" s="3" t="s">
        <v>2117</v>
      </c>
      <c r="P2220" s="1" t="s">
        <v>1152</v>
      </c>
      <c r="Q2220" s="1" t="s">
        <v>1152</v>
      </c>
      <c r="R2220" s="1"/>
      <c r="S2220" s="1"/>
      <c r="T2220" s="1" t="s">
        <v>1152</v>
      </c>
      <c r="U2220" s="1" t="s">
        <v>6053</v>
      </c>
      <c r="V2220" s="4" t="s">
        <v>2117</v>
      </c>
      <c r="W2220" s="1"/>
      <c r="X2220" s="1" t="s">
        <v>1152</v>
      </c>
      <c r="Y2220" s="1" t="s">
        <v>1152</v>
      </c>
      <c r="Z2220" s="1"/>
      <c r="AA2220" s="1"/>
      <c r="AB2220" s="1"/>
      <c r="AC2220" s="1" t="s">
        <v>1925</v>
      </c>
      <c r="AD2220" s="1"/>
      <c r="AE2220" s="18">
        <v>46148.0</v>
      </c>
      <c r="AF2220" s="1" t="s">
        <v>3186</v>
      </c>
      <c r="AG2220" s="1" t="s">
        <v>52</v>
      </c>
      <c r="AH2220" s="1" t="s">
        <v>1152</v>
      </c>
      <c r="AI2220" s="1" t="s">
        <v>1152</v>
      </c>
      <c r="AJ2220" s="1" t="s">
        <v>10635</v>
      </c>
      <c r="AK2220" s="1" t="s">
        <v>1152</v>
      </c>
      <c r="AL2220" s="6"/>
      <c r="AM2220" s="12" t="s">
        <v>1925</v>
      </c>
    </row>
    <row r="2221">
      <c r="A2221" s="5" t="s">
        <v>10636</v>
      </c>
      <c r="B2221" s="1" t="s">
        <v>10637</v>
      </c>
      <c r="C2221" s="1" t="s">
        <v>10638</v>
      </c>
      <c r="D2221" s="2">
        <v>3.147326554E9</v>
      </c>
      <c r="E2221" s="1" t="s">
        <v>1870</v>
      </c>
      <c r="F2221" s="1"/>
      <c r="G2221" s="1" t="s">
        <v>2350</v>
      </c>
      <c r="H2221" s="1" t="s">
        <v>1155</v>
      </c>
      <c r="I2221" s="1">
        <v>63105.0</v>
      </c>
      <c r="J2221" s="1" t="s">
        <v>752</v>
      </c>
      <c r="K2221" s="1" t="s">
        <v>42</v>
      </c>
      <c r="L2221" s="1" t="s">
        <v>7863</v>
      </c>
      <c r="M2221" s="1">
        <v>79.0</v>
      </c>
      <c r="N2221" s="1" t="s">
        <v>1152</v>
      </c>
      <c r="O2221" s="3" t="s">
        <v>5588</v>
      </c>
      <c r="P2221" s="1" t="s">
        <v>1152</v>
      </c>
      <c r="Q2221" s="1" t="s">
        <v>1152</v>
      </c>
      <c r="R2221" s="1"/>
      <c r="S2221" s="1"/>
      <c r="T2221" s="1" t="s">
        <v>1152</v>
      </c>
      <c r="U2221" s="1" t="s">
        <v>1407</v>
      </c>
      <c r="V2221" s="4" t="s">
        <v>5588</v>
      </c>
      <c r="W2221" s="1"/>
      <c r="X2221" s="1" t="s">
        <v>1152</v>
      </c>
      <c r="Y2221" s="1" t="s">
        <v>1152</v>
      </c>
      <c r="Z2221" s="1"/>
      <c r="AA2221" s="1"/>
      <c r="AB2221" s="1"/>
      <c r="AC2221" s="1" t="s">
        <v>1925</v>
      </c>
      <c r="AD2221" s="1"/>
      <c r="AE2221" s="18">
        <v>46149.0</v>
      </c>
      <c r="AF2221" s="1" t="s">
        <v>1030</v>
      </c>
      <c r="AG2221" s="1" t="s">
        <v>52</v>
      </c>
      <c r="AH2221" s="1" t="s">
        <v>1152</v>
      </c>
      <c r="AI2221" s="1" t="s">
        <v>10639</v>
      </c>
      <c r="AJ2221" s="1" t="s">
        <v>10640</v>
      </c>
      <c r="AK2221" s="1" t="s">
        <v>1152</v>
      </c>
      <c r="AL2221" s="6"/>
      <c r="AM2221" s="12">
        <v>3.147326554E9</v>
      </c>
    </row>
    <row r="2222">
      <c r="A2222" s="5" t="s">
        <v>10641</v>
      </c>
      <c r="B2222" s="1" t="s">
        <v>10642</v>
      </c>
      <c r="C2222" s="1" t="s">
        <v>5264</v>
      </c>
      <c r="D2222" s="2">
        <v>4.145874195E9</v>
      </c>
      <c r="E2222" s="1" t="s">
        <v>5265</v>
      </c>
      <c r="F2222" s="1"/>
      <c r="G2222" s="1" t="s">
        <v>10643</v>
      </c>
      <c r="H2222" s="1" t="s">
        <v>4448</v>
      </c>
      <c r="I2222" s="1">
        <v>53092.0</v>
      </c>
      <c r="J2222" s="1" t="s">
        <v>752</v>
      </c>
      <c r="K2222" s="1" t="s">
        <v>42</v>
      </c>
      <c r="L2222" s="1" t="s">
        <v>6819</v>
      </c>
      <c r="M2222" s="1">
        <v>49.0</v>
      </c>
      <c r="N2222" s="1" t="s">
        <v>1152</v>
      </c>
      <c r="O2222" s="3" t="s">
        <v>4288</v>
      </c>
      <c r="P2222" s="1" t="s">
        <v>1152</v>
      </c>
      <c r="Q2222" s="1" t="s">
        <v>1152</v>
      </c>
      <c r="R2222" s="1"/>
      <c r="S2222" s="1"/>
      <c r="T2222" s="1" t="s">
        <v>1152</v>
      </c>
      <c r="U2222" s="1" t="s">
        <v>1249</v>
      </c>
      <c r="V2222" s="4" t="s">
        <v>4288</v>
      </c>
      <c r="W2222" s="1"/>
      <c r="X2222" s="1" t="s">
        <v>1152</v>
      </c>
      <c r="Y2222" s="1" t="s">
        <v>1152</v>
      </c>
      <c r="Z2222" s="1"/>
      <c r="AA2222" s="1"/>
      <c r="AB2222" s="1"/>
      <c r="AC2222" s="1" t="s">
        <v>1925</v>
      </c>
      <c r="AD2222" s="1"/>
      <c r="AE2222" s="18">
        <v>46148.0</v>
      </c>
      <c r="AF2222" s="1" t="s">
        <v>1103</v>
      </c>
      <c r="AG2222" s="1" t="s">
        <v>52</v>
      </c>
      <c r="AH2222" s="1" t="s">
        <v>1152</v>
      </c>
      <c r="AI2222" s="1" t="s">
        <v>1152</v>
      </c>
      <c r="AJ2222" s="1" t="s">
        <v>10644</v>
      </c>
      <c r="AK2222" s="1" t="s">
        <v>1152</v>
      </c>
      <c r="AL2222" s="6"/>
      <c r="AM2222" s="12">
        <v>4.149319292E9</v>
      </c>
    </row>
    <row r="2223">
      <c r="A2223" s="5" t="s">
        <v>10645</v>
      </c>
      <c r="B2223" s="1" t="s">
        <v>10646</v>
      </c>
      <c r="C2223" s="1" t="s">
        <v>10647</v>
      </c>
      <c r="D2223" s="2">
        <v>8.722205605E9</v>
      </c>
      <c r="E2223" s="1" t="s">
        <v>10648</v>
      </c>
      <c r="F2223" s="1"/>
      <c r="G2223" s="1" t="s">
        <v>1072</v>
      </c>
      <c r="H2223" s="1" t="s">
        <v>1019</v>
      </c>
      <c r="I2223" s="1">
        <v>60614.0</v>
      </c>
      <c r="J2223" s="1" t="s">
        <v>752</v>
      </c>
      <c r="K2223" s="1" t="s">
        <v>42</v>
      </c>
      <c r="L2223" s="1" t="s">
        <v>6819</v>
      </c>
      <c r="M2223" s="1">
        <v>49.0</v>
      </c>
      <c r="N2223" s="1" t="s">
        <v>1152</v>
      </c>
      <c r="O2223" s="3" t="s">
        <v>8550</v>
      </c>
      <c r="P2223" s="1" t="s">
        <v>1152</v>
      </c>
      <c r="Q2223" s="1" t="s">
        <v>1152</v>
      </c>
      <c r="R2223" s="1"/>
      <c r="S2223" s="1"/>
      <c r="T2223" s="1" t="s">
        <v>1152</v>
      </c>
      <c r="U2223" s="1" t="s">
        <v>1749</v>
      </c>
      <c r="V2223" s="4" t="s">
        <v>8550</v>
      </c>
      <c r="W2223" s="1"/>
      <c r="X2223" s="1" t="s">
        <v>1152</v>
      </c>
      <c r="Y2223" s="1" t="s">
        <v>1152</v>
      </c>
      <c r="Z2223" s="1"/>
      <c r="AA2223" s="1"/>
      <c r="AB2223" s="1"/>
      <c r="AC2223" s="1" t="s">
        <v>1925</v>
      </c>
      <c r="AD2223" s="1"/>
      <c r="AE2223" s="18">
        <v>46147.0</v>
      </c>
      <c r="AF2223" s="1" t="s">
        <v>3186</v>
      </c>
      <c r="AG2223" s="1" t="s">
        <v>52</v>
      </c>
      <c r="AH2223" s="1" t="s">
        <v>1152</v>
      </c>
      <c r="AI2223" s="1" t="s">
        <v>1152</v>
      </c>
      <c r="AJ2223" s="1" t="s">
        <v>10649</v>
      </c>
      <c r="AK2223" s="1" t="s">
        <v>1152</v>
      </c>
      <c r="AL2223" s="6"/>
      <c r="AM2223" s="12">
        <v>8.726002341E9</v>
      </c>
    </row>
    <row r="2224">
      <c r="A2224" s="5" t="s">
        <v>10650</v>
      </c>
      <c r="B2224" s="1" t="s">
        <v>10651</v>
      </c>
      <c r="C2224" s="1" t="s">
        <v>10652</v>
      </c>
      <c r="D2224" s="2">
        <v>6.466177915E9</v>
      </c>
      <c r="E2224" s="1" t="s">
        <v>10653</v>
      </c>
      <c r="F2224" s="1"/>
      <c r="G2224" s="1" t="s">
        <v>2428</v>
      </c>
      <c r="H2224" s="1" t="s">
        <v>751</v>
      </c>
      <c r="I2224" s="1">
        <v>10469.0</v>
      </c>
      <c r="J2224" s="1" t="s">
        <v>752</v>
      </c>
      <c r="K2224" s="1" t="s">
        <v>42</v>
      </c>
      <c r="L2224" s="1" t="s">
        <v>6819</v>
      </c>
      <c r="M2224" s="1">
        <v>49.0</v>
      </c>
      <c r="N2224" s="1" t="s">
        <v>1152</v>
      </c>
      <c r="O2224" s="3" t="s">
        <v>10654</v>
      </c>
      <c r="P2224" s="1" t="s">
        <v>1152</v>
      </c>
      <c r="Q2224" s="1" t="s">
        <v>1152</v>
      </c>
      <c r="R2224" s="1"/>
      <c r="S2224" s="1"/>
      <c r="T2224" s="1" t="s">
        <v>1152</v>
      </c>
      <c r="U2224" s="1" t="s">
        <v>1080</v>
      </c>
      <c r="V2224" s="4" t="s">
        <v>10654</v>
      </c>
      <c r="W2224" s="1"/>
      <c r="X2224" s="1" t="s">
        <v>1152</v>
      </c>
      <c r="Y2224" s="1" t="s">
        <v>1152</v>
      </c>
      <c r="Z2224" s="1"/>
      <c r="AA2224" s="1"/>
      <c r="AB2224" s="1"/>
      <c r="AC2224" s="1" t="s">
        <v>1925</v>
      </c>
      <c r="AD2224" s="1"/>
      <c r="AE2224" s="18">
        <v>46148.0</v>
      </c>
      <c r="AF2224" s="1" t="s">
        <v>3186</v>
      </c>
      <c r="AG2224" s="1" t="s">
        <v>52</v>
      </c>
      <c r="AH2224" s="1" t="s">
        <v>1152</v>
      </c>
      <c r="AI2224" s="1" t="s">
        <v>1152</v>
      </c>
      <c r="AJ2224" s="1" t="s">
        <v>10655</v>
      </c>
      <c r="AK2224" s="1" t="s">
        <v>1152</v>
      </c>
      <c r="AL2224" s="6"/>
      <c r="AM2224" s="12">
        <v>3.47873766E9</v>
      </c>
    </row>
    <row r="2225">
      <c r="A2225" s="5" t="s">
        <v>10656</v>
      </c>
      <c r="B2225" s="1" t="s">
        <v>10657</v>
      </c>
      <c r="C2225" s="1" t="s">
        <v>10658</v>
      </c>
      <c r="D2225" s="2">
        <v>8.086926846E9</v>
      </c>
      <c r="E2225" s="1" t="s">
        <v>10659</v>
      </c>
      <c r="F2225" s="1"/>
      <c r="G2225" s="1" t="s">
        <v>2485</v>
      </c>
      <c r="H2225" s="1" t="s">
        <v>2486</v>
      </c>
      <c r="I2225" s="1">
        <v>96815.0</v>
      </c>
      <c r="J2225" s="1" t="s">
        <v>752</v>
      </c>
      <c r="K2225" s="1" t="s">
        <v>42</v>
      </c>
      <c r="L2225" s="1" t="s">
        <v>6819</v>
      </c>
      <c r="M2225" s="1">
        <v>49.0</v>
      </c>
      <c r="N2225" s="1" t="s">
        <v>1152</v>
      </c>
      <c r="O2225" s="3" t="s">
        <v>1423</v>
      </c>
      <c r="P2225" s="1" t="s">
        <v>1152</v>
      </c>
      <c r="Q2225" s="1" t="s">
        <v>1152</v>
      </c>
      <c r="R2225" s="1"/>
      <c r="S2225" s="1"/>
      <c r="T2225" s="1" t="s">
        <v>1152</v>
      </c>
      <c r="U2225" s="1" t="s">
        <v>1376</v>
      </c>
      <c r="V2225" s="4" t="s">
        <v>1423</v>
      </c>
      <c r="W2225" s="1"/>
      <c r="X2225" s="1" t="s">
        <v>1152</v>
      </c>
      <c r="Y2225" s="1" t="s">
        <v>1152</v>
      </c>
      <c r="Z2225" s="1"/>
      <c r="AA2225" s="1"/>
      <c r="AB2225" s="1"/>
      <c r="AC2225" s="1" t="s">
        <v>1925</v>
      </c>
      <c r="AD2225" s="1"/>
      <c r="AE2225" s="18">
        <v>46147.0</v>
      </c>
      <c r="AF2225" s="1" t="s">
        <v>1349</v>
      </c>
      <c r="AG2225" s="1" t="s">
        <v>52</v>
      </c>
      <c r="AH2225" s="1" t="s">
        <v>1152</v>
      </c>
      <c r="AI2225" s="1" t="s">
        <v>1152</v>
      </c>
      <c r="AJ2225" s="1" t="s">
        <v>10659</v>
      </c>
      <c r="AK2225" s="1" t="s">
        <v>1152</v>
      </c>
      <c r="AL2225" s="6"/>
      <c r="AM2225" s="12">
        <v>8.086926846E9</v>
      </c>
    </row>
    <row r="2226">
      <c r="A2226" s="5" t="s">
        <v>10660</v>
      </c>
      <c r="B2226" s="1" t="s">
        <v>10661</v>
      </c>
      <c r="C2226" s="1" t="s">
        <v>10662</v>
      </c>
      <c r="D2226" s="2">
        <v>5.572148981E9</v>
      </c>
      <c r="E2226" s="1" t="s">
        <v>10663</v>
      </c>
      <c r="F2226" s="1"/>
      <c r="G2226" s="1" t="s">
        <v>2350</v>
      </c>
      <c r="H2226" s="1" t="s">
        <v>1155</v>
      </c>
      <c r="I2226" s="1">
        <v>63130.0</v>
      </c>
      <c r="J2226" s="1" t="s">
        <v>752</v>
      </c>
      <c r="K2226" s="1" t="s">
        <v>42</v>
      </c>
      <c r="L2226" s="1" t="s">
        <v>6819</v>
      </c>
      <c r="M2226" s="1">
        <v>49.0</v>
      </c>
      <c r="N2226" s="1" t="s">
        <v>1152</v>
      </c>
      <c r="O2226" s="3" t="s">
        <v>1924</v>
      </c>
      <c r="P2226" s="1" t="s">
        <v>1152</v>
      </c>
      <c r="Q2226" s="1" t="s">
        <v>1152</v>
      </c>
      <c r="R2226" s="1"/>
      <c r="S2226" s="1"/>
      <c r="T2226" s="1" t="s">
        <v>1152</v>
      </c>
      <c r="U2226" s="1" t="s">
        <v>1749</v>
      </c>
      <c r="V2226" s="4" t="s">
        <v>1924</v>
      </c>
      <c r="W2226" s="1"/>
      <c r="X2226" s="1" t="s">
        <v>1152</v>
      </c>
      <c r="Y2226" s="1" t="s">
        <v>1152</v>
      </c>
      <c r="Z2226" s="1"/>
      <c r="AA2226" s="1"/>
      <c r="AB2226" s="1"/>
      <c r="AC2226" s="1" t="s">
        <v>1925</v>
      </c>
      <c r="AD2226" s="1"/>
      <c r="AE2226" s="18">
        <v>46148.0</v>
      </c>
      <c r="AF2226" s="1" t="s">
        <v>1440</v>
      </c>
      <c r="AG2226" s="1" t="s">
        <v>52</v>
      </c>
      <c r="AH2226" s="1" t="s">
        <v>1152</v>
      </c>
      <c r="AI2226" s="1" t="s">
        <v>1152</v>
      </c>
      <c r="AJ2226" s="1" t="s">
        <v>10663</v>
      </c>
      <c r="AK2226" s="1" t="s">
        <v>1152</v>
      </c>
      <c r="AL2226" s="6"/>
      <c r="AM2226" s="12">
        <v>5.572148981E9</v>
      </c>
    </row>
    <row r="2227">
      <c r="A2227" s="5" t="s">
        <v>10664</v>
      </c>
      <c r="B2227" s="1" t="s">
        <v>10665</v>
      </c>
      <c r="C2227" s="1" t="s">
        <v>7141</v>
      </c>
      <c r="D2227" s="2">
        <v>3.109624564E9</v>
      </c>
      <c r="E2227" s="1" t="s">
        <v>10666</v>
      </c>
      <c r="F2227" s="1"/>
      <c r="G2227" s="1" t="s">
        <v>10667</v>
      </c>
      <c r="H2227" s="1" t="s">
        <v>989</v>
      </c>
      <c r="I2227" s="1">
        <v>90212.0</v>
      </c>
      <c r="J2227" s="1" t="s">
        <v>752</v>
      </c>
      <c r="K2227" s="1" t="s">
        <v>42</v>
      </c>
      <c r="L2227" s="1" t="s">
        <v>6819</v>
      </c>
      <c r="M2227" s="1">
        <v>49.0</v>
      </c>
      <c r="N2227" s="1" t="s">
        <v>1152</v>
      </c>
      <c r="O2227" s="3" t="s">
        <v>77</v>
      </c>
      <c r="P2227" s="1" t="s">
        <v>1152</v>
      </c>
      <c r="Q2227" s="1" t="s">
        <v>1152</v>
      </c>
      <c r="R2227" s="1"/>
      <c r="S2227" s="1"/>
      <c r="T2227" s="1" t="s">
        <v>1152</v>
      </c>
      <c r="U2227" s="1" t="s">
        <v>1080</v>
      </c>
      <c r="V2227" s="4" t="s">
        <v>77</v>
      </c>
      <c r="W2227" s="1"/>
      <c r="X2227" s="1" t="s">
        <v>1152</v>
      </c>
      <c r="Y2227" s="1" t="s">
        <v>1152</v>
      </c>
      <c r="Z2227" s="1"/>
      <c r="AA2227" s="1"/>
      <c r="AB2227" s="1"/>
      <c r="AC2227" s="1" t="s">
        <v>1925</v>
      </c>
      <c r="AD2227" s="1"/>
      <c r="AE2227" s="18">
        <v>46143.0</v>
      </c>
      <c r="AF2227" s="1" t="s">
        <v>1030</v>
      </c>
      <c r="AG2227" s="1" t="s">
        <v>52</v>
      </c>
      <c r="AH2227" s="1" t="s">
        <v>1152</v>
      </c>
      <c r="AI2227" s="1" t="s">
        <v>1152</v>
      </c>
      <c r="AJ2227" s="1" t="s">
        <v>3118</v>
      </c>
      <c r="AK2227" s="1" t="s">
        <v>1152</v>
      </c>
      <c r="AL2227" s="6"/>
      <c r="AM2227" s="12">
        <v>3.109624564E9</v>
      </c>
    </row>
    <row r="2228">
      <c r="A2228" s="5" t="s">
        <v>10668</v>
      </c>
      <c r="B2228" s="1" t="s">
        <v>10669</v>
      </c>
      <c r="C2228" s="1" t="s">
        <v>10670</v>
      </c>
      <c r="D2228" s="2">
        <v>6.466259442E9</v>
      </c>
      <c r="E2228" s="1" t="s">
        <v>2475</v>
      </c>
      <c r="F2228" s="1"/>
      <c r="G2228" s="1" t="s">
        <v>3230</v>
      </c>
      <c r="H2228" s="1" t="s">
        <v>751</v>
      </c>
      <c r="I2228" s="1" t="s">
        <v>10671</v>
      </c>
      <c r="J2228" s="1" t="s">
        <v>752</v>
      </c>
      <c r="K2228" s="1" t="s">
        <v>42</v>
      </c>
      <c r="L2228" s="1" t="s">
        <v>6819</v>
      </c>
      <c r="M2228" s="1">
        <v>49.0</v>
      </c>
      <c r="N2228" s="1" t="s">
        <v>1152</v>
      </c>
      <c r="O2228" s="3" t="s">
        <v>10672</v>
      </c>
      <c r="P2228" s="1" t="s">
        <v>1152</v>
      </c>
      <c r="Q2228" s="1" t="s">
        <v>1152</v>
      </c>
      <c r="R2228" s="1"/>
      <c r="S2228" s="1"/>
      <c r="T2228" s="1" t="s">
        <v>1152</v>
      </c>
      <c r="U2228" s="1" t="s">
        <v>1277</v>
      </c>
      <c r="V2228" s="4" t="s">
        <v>10672</v>
      </c>
      <c r="W2228" s="1"/>
      <c r="X2228" s="1" t="s">
        <v>1152</v>
      </c>
      <c r="Y2228" s="1" t="s">
        <v>1152</v>
      </c>
      <c r="Z2228" s="1"/>
      <c r="AA2228" s="1"/>
      <c r="AB2228" s="1"/>
      <c r="AC2228" s="1" t="s">
        <v>1925</v>
      </c>
      <c r="AD2228" s="1"/>
      <c r="AE2228" s="18">
        <v>46144.0</v>
      </c>
      <c r="AF2228" s="1" t="s">
        <v>3186</v>
      </c>
      <c r="AG2228" s="1" t="s">
        <v>52</v>
      </c>
      <c r="AH2228" s="1" t="s">
        <v>1152</v>
      </c>
      <c r="AI2228" s="1" t="s">
        <v>1152</v>
      </c>
      <c r="AJ2228" s="1" t="s">
        <v>10673</v>
      </c>
      <c r="AK2228" s="1" t="s">
        <v>1152</v>
      </c>
      <c r="AL2228" s="6"/>
      <c r="AM2228" s="12">
        <v>6.468328376E9</v>
      </c>
    </row>
    <row r="2229">
      <c r="A2229" s="5" t="s">
        <v>10674</v>
      </c>
      <c r="B2229" s="1" t="s">
        <v>10675</v>
      </c>
      <c r="C2229" s="1" t="s">
        <v>10676</v>
      </c>
      <c r="D2229" s="2">
        <v>5.164580892E9</v>
      </c>
      <c r="E2229" s="1" t="s">
        <v>10677</v>
      </c>
      <c r="F2229" s="1" t="s">
        <v>10678</v>
      </c>
      <c r="G2229" s="1" t="s">
        <v>10679</v>
      </c>
      <c r="H2229" s="1" t="s">
        <v>751</v>
      </c>
      <c r="I2229" s="1">
        <v>11030.0</v>
      </c>
      <c r="J2229" s="1" t="s">
        <v>752</v>
      </c>
      <c r="K2229" s="1" t="s">
        <v>892</v>
      </c>
      <c r="L2229" s="1" t="s">
        <v>8006</v>
      </c>
      <c r="M2229" s="1">
        <v>49.0</v>
      </c>
      <c r="N2229" s="1" t="s">
        <v>1152</v>
      </c>
      <c r="O2229" s="3"/>
      <c r="P2229" s="1" t="s">
        <v>1152</v>
      </c>
      <c r="Q2229" s="1" t="s">
        <v>1152</v>
      </c>
      <c r="R2229" s="1" t="s">
        <v>10678</v>
      </c>
      <c r="S2229" s="1"/>
      <c r="T2229" s="1" t="s">
        <v>1152</v>
      </c>
      <c r="U2229" s="1"/>
      <c r="V2229" s="4"/>
      <c r="W2229" s="1" t="s">
        <v>10678</v>
      </c>
      <c r="X2229" s="1" t="s">
        <v>1152</v>
      </c>
      <c r="Y2229" s="1" t="s">
        <v>1152</v>
      </c>
      <c r="Z2229" s="1"/>
      <c r="AA2229" s="1" t="s">
        <v>10678</v>
      </c>
      <c r="AB2229" s="1"/>
      <c r="AC2229" s="1" t="s">
        <v>1925</v>
      </c>
      <c r="AD2229" s="1"/>
      <c r="AE2229" s="18">
        <v>46160.0</v>
      </c>
      <c r="AF2229" s="1" t="s">
        <v>1030</v>
      </c>
      <c r="AG2229" s="1" t="s">
        <v>124</v>
      </c>
      <c r="AH2229" s="1" t="s">
        <v>10680</v>
      </c>
      <c r="AI2229" s="1" t="s">
        <v>10681</v>
      </c>
      <c r="AJ2229" s="1" t="s">
        <v>10677</v>
      </c>
      <c r="AK2229" s="1" t="s">
        <v>1152</v>
      </c>
      <c r="AL2229" s="6"/>
      <c r="AM2229" s="12">
        <v>5.164580892E9</v>
      </c>
    </row>
    <row r="2230">
      <c r="A2230" s="5" t="s">
        <v>10682</v>
      </c>
      <c r="B2230" s="1" t="s">
        <v>10683</v>
      </c>
      <c r="C2230" s="1" t="s">
        <v>10684</v>
      </c>
      <c r="D2230" s="2">
        <v>4.155318474E9</v>
      </c>
      <c r="E2230" s="1" t="s">
        <v>10685</v>
      </c>
      <c r="F2230" s="1"/>
      <c r="G2230" s="1" t="s">
        <v>7322</v>
      </c>
      <c r="H2230" s="1" t="s">
        <v>989</v>
      </c>
      <c r="I2230" s="1">
        <v>94941.0</v>
      </c>
      <c r="J2230" s="1" t="s">
        <v>752</v>
      </c>
      <c r="K2230" s="1" t="s">
        <v>42</v>
      </c>
      <c r="L2230" s="1" t="s">
        <v>7863</v>
      </c>
      <c r="M2230" s="1">
        <v>79.0</v>
      </c>
      <c r="N2230" s="1" t="s">
        <v>1152</v>
      </c>
      <c r="O2230" s="3" t="s">
        <v>10686</v>
      </c>
      <c r="P2230" s="1" t="s">
        <v>1152</v>
      </c>
      <c r="Q2230" s="1" t="s">
        <v>1152</v>
      </c>
      <c r="R2230" s="1"/>
      <c r="S2230" s="1"/>
      <c r="T2230" s="1" t="s">
        <v>1152</v>
      </c>
      <c r="U2230" s="1" t="s">
        <v>1324</v>
      </c>
      <c r="V2230" s="4" t="s">
        <v>10686</v>
      </c>
      <c r="W2230" s="1"/>
      <c r="X2230" s="1" t="s">
        <v>1152</v>
      </c>
      <c r="Y2230" s="1" t="s">
        <v>1152</v>
      </c>
      <c r="Z2230" s="1"/>
      <c r="AA2230" s="1"/>
      <c r="AB2230" s="1"/>
      <c r="AC2230" s="1" t="s">
        <v>1925</v>
      </c>
      <c r="AD2230" s="1"/>
      <c r="AE2230" s="18">
        <v>46144.0</v>
      </c>
      <c r="AF2230" s="1" t="s">
        <v>1030</v>
      </c>
      <c r="AG2230" s="1" t="s">
        <v>52</v>
      </c>
      <c r="AH2230" s="1" t="s">
        <v>1152</v>
      </c>
      <c r="AI2230" s="1" t="s">
        <v>10687</v>
      </c>
      <c r="AJ2230" s="1" t="s">
        <v>10688</v>
      </c>
      <c r="AK2230" s="1" t="s">
        <v>1152</v>
      </c>
      <c r="AL2230" s="6"/>
      <c r="AM2230" s="12">
        <v>4.15531361E9</v>
      </c>
    </row>
    <row r="2231">
      <c r="A2231" s="5" t="s">
        <v>10689</v>
      </c>
      <c r="B2231" s="1" t="s">
        <v>10690</v>
      </c>
      <c r="C2231" s="1" t="s">
        <v>10691</v>
      </c>
      <c r="D2231" s="2">
        <v>8.173132347E9</v>
      </c>
      <c r="E2231" s="1" t="s">
        <v>10692</v>
      </c>
      <c r="F2231" s="1"/>
      <c r="G2231" s="1" t="s">
        <v>5653</v>
      </c>
      <c r="H2231" s="1" t="s">
        <v>1583</v>
      </c>
      <c r="I2231" s="1">
        <v>76034.0</v>
      </c>
      <c r="J2231" s="1" t="s">
        <v>752</v>
      </c>
      <c r="K2231" s="1" t="s">
        <v>42</v>
      </c>
      <c r="L2231" s="1" t="s">
        <v>6819</v>
      </c>
      <c r="M2231" s="1">
        <v>49.0</v>
      </c>
      <c r="N2231" s="1" t="s">
        <v>1152</v>
      </c>
      <c r="O2231" s="3" t="s">
        <v>1432</v>
      </c>
      <c r="P2231" s="1" t="s">
        <v>1152</v>
      </c>
      <c r="Q2231" s="1" t="s">
        <v>1152</v>
      </c>
      <c r="R2231" s="1"/>
      <c r="S2231" s="1"/>
      <c r="T2231" s="1" t="s">
        <v>1152</v>
      </c>
      <c r="U2231" s="1" t="s">
        <v>1487</v>
      </c>
      <c r="V2231" s="4" t="s">
        <v>1432</v>
      </c>
      <c r="W2231" s="1"/>
      <c r="X2231" s="1" t="s">
        <v>1152</v>
      </c>
      <c r="Y2231" s="1" t="s">
        <v>1152</v>
      </c>
      <c r="Z2231" s="1"/>
      <c r="AA2231" s="1"/>
      <c r="AB2231" s="1"/>
      <c r="AC2231" s="1" t="s">
        <v>1925</v>
      </c>
      <c r="AD2231" s="1"/>
      <c r="AE2231" s="18">
        <v>46148.0</v>
      </c>
      <c r="AF2231" s="1" t="s">
        <v>1630</v>
      </c>
      <c r="AG2231" s="1" t="s">
        <v>52</v>
      </c>
      <c r="AH2231" s="1" t="s">
        <v>1152</v>
      </c>
      <c r="AI2231" s="1" t="s">
        <v>1152</v>
      </c>
      <c r="AJ2231" s="1" t="s">
        <v>5652</v>
      </c>
      <c r="AK2231" s="1" t="s">
        <v>1152</v>
      </c>
      <c r="AL2231" s="6"/>
      <c r="AM2231" s="12">
        <v>8.173132347E9</v>
      </c>
    </row>
    <row r="2232">
      <c r="A2232" s="5" t="s">
        <v>10693</v>
      </c>
      <c r="B2232" s="1" t="s">
        <v>10694</v>
      </c>
      <c r="C2232" s="1" t="s">
        <v>10695</v>
      </c>
      <c r="D2232" s="2">
        <v>6.467570626E9</v>
      </c>
      <c r="E2232" s="1" t="s">
        <v>6118</v>
      </c>
      <c r="F2232" s="1" t="s">
        <v>10696</v>
      </c>
      <c r="G2232" s="1" t="s">
        <v>5877</v>
      </c>
      <c r="H2232" s="1" t="s">
        <v>1053</v>
      </c>
      <c r="I2232" s="1">
        <v>7666.0</v>
      </c>
      <c r="J2232" s="1" t="s">
        <v>752</v>
      </c>
      <c r="K2232" s="1" t="s">
        <v>892</v>
      </c>
      <c r="L2232" s="1" t="s">
        <v>6946</v>
      </c>
      <c r="M2232" s="1">
        <v>49.0</v>
      </c>
      <c r="N2232" s="1" t="s">
        <v>1152</v>
      </c>
      <c r="O2232" s="3"/>
      <c r="P2232" s="1" t="s">
        <v>1152</v>
      </c>
      <c r="Q2232" s="1" t="s">
        <v>1152</v>
      </c>
      <c r="R2232" s="1" t="s">
        <v>10696</v>
      </c>
      <c r="S2232" s="1"/>
      <c r="T2232" s="1" t="s">
        <v>1152</v>
      </c>
      <c r="U2232" s="1"/>
      <c r="V2232" s="4"/>
      <c r="W2232" s="1" t="s">
        <v>10696</v>
      </c>
      <c r="X2232" s="1" t="s">
        <v>1152</v>
      </c>
      <c r="Y2232" s="1" t="s">
        <v>1152</v>
      </c>
      <c r="Z2232" s="1"/>
      <c r="AA2232" s="1" t="s">
        <v>10696</v>
      </c>
      <c r="AB2232" s="1"/>
      <c r="AC2232" s="1" t="s">
        <v>1925</v>
      </c>
      <c r="AD2232" s="1"/>
      <c r="AE2232" s="18">
        <v>46160.0</v>
      </c>
      <c r="AF2232" s="1" t="s">
        <v>1630</v>
      </c>
      <c r="AG2232" s="1" t="s">
        <v>124</v>
      </c>
      <c r="AH2232" s="1" t="s">
        <v>10697</v>
      </c>
      <c r="AI2232" s="1" t="s">
        <v>1152</v>
      </c>
      <c r="AJ2232" s="1" t="s">
        <v>6118</v>
      </c>
      <c r="AK2232" s="1" t="s">
        <v>1152</v>
      </c>
      <c r="AL2232" s="6"/>
      <c r="AM2232" s="12">
        <v>6.467570626E9</v>
      </c>
    </row>
    <row r="2233">
      <c r="A2233" s="5" t="s">
        <v>10698</v>
      </c>
      <c r="B2233" s="1" t="s">
        <v>10699</v>
      </c>
      <c r="C2233" s="1" t="s">
        <v>10700</v>
      </c>
      <c r="D2233" s="2">
        <v>7.342105336E9</v>
      </c>
      <c r="E2233" s="1" t="s">
        <v>10701</v>
      </c>
      <c r="F2233" s="1"/>
      <c r="G2233" s="1" t="s">
        <v>7307</v>
      </c>
      <c r="H2233" s="1" t="s">
        <v>1691</v>
      </c>
      <c r="I2233" s="1">
        <v>48103.0</v>
      </c>
      <c r="J2233" s="1" t="s">
        <v>752</v>
      </c>
      <c r="K2233" s="1" t="s">
        <v>42</v>
      </c>
      <c r="L2233" s="1" t="s">
        <v>6819</v>
      </c>
      <c r="M2233" s="1">
        <v>49.0</v>
      </c>
      <c r="N2233" s="1" t="s">
        <v>1152</v>
      </c>
      <c r="O2233" s="3" t="s">
        <v>1709</v>
      </c>
      <c r="P2233" s="1" t="s">
        <v>1152</v>
      </c>
      <c r="Q2233" s="1" t="s">
        <v>1152</v>
      </c>
      <c r="R2233" s="1"/>
      <c r="S2233" s="1"/>
      <c r="T2233" s="1" t="s">
        <v>1152</v>
      </c>
      <c r="U2233" s="1" t="s">
        <v>1407</v>
      </c>
      <c r="V2233" s="4" t="s">
        <v>1709</v>
      </c>
      <c r="W2233" s="1"/>
      <c r="X2233" s="1" t="s">
        <v>1152</v>
      </c>
      <c r="Y2233" s="1" t="s">
        <v>1152</v>
      </c>
      <c r="Z2233" s="1"/>
      <c r="AA2233" s="1"/>
      <c r="AB2233" s="1"/>
      <c r="AC2233" s="1" t="s">
        <v>1925</v>
      </c>
      <c r="AD2233" s="1"/>
      <c r="AE2233" s="18">
        <v>46146.0</v>
      </c>
      <c r="AF2233" s="1" t="s">
        <v>1630</v>
      </c>
      <c r="AG2233" s="1" t="s">
        <v>52</v>
      </c>
      <c r="AH2233" s="1" t="s">
        <v>1152</v>
      </c>
      <c r="AI2233" s="1" t="s">
        <v>1152</v>
      </c>
      <c r="AJ2233" s="1" t="s">
        <v>10702</v>
      </c>
      <c r="AK2233" s="1" t="s">
        <v>1152</v>
      </c>
      <c r="AL2233" s="6"/>
      <c r="AM2233" s="12">
        <v>7.342105336E9</v>
      </c>
    </row>
    <row r="2234">
      <c r="A2234" s="5" t="s">
        <v>10703</v>
      </c>
      <c r="B2234" s="1" t="s">
        <v>10704</v>
      </c>
      <c r="C2234" s="1" t="s">
        <v>10705</v>
      </c>
      <c r="D2234" s="2">
        <v>6.045519618E9</v>
      </c>
      <c r="E2234" s="1" t="s">
        <v>10062</v>
      </c>
      <c r="F2234" s="1"/>
      <c r="G2234" s="1" t="s">
        <v>10063</v>
      </c>
      <c r="H2234" s="1" t="s">
        <v>4559</v>
      </c>
      <c r="I2234" s="1" t="s">
        <v>10064</v>
      </c>
      <c r="J2234" s="1" t="s">
        <v>3582</v>
      </c>
      <c r="K2234" s="1" t="s">
        <v>42</v>
      </c>
      <c r="L2234" s="1" t="s">
        <v>6819</v>
      </c>
      <c r="M2234" s="1">
        <v>49.0</v>
      </c>
      <c r="N2234" s="1" t="s">
        <v>1152</v>
      </c>
      <c r="O2234" s="3" t="s">
        <v>8550</v>
      </c>
      <c r="P2234" s="1" t="s">
        <v>1152</v>
      </c>
      <c r="Q2234" s="1" t="s">
        <v>1152</v>
      </c>
      <c r="R2234" s="1"/>
      <c r="S2234" s="1"/>
      <c r="T2234" s="1" t="s">
        <v>1152</v>
      </c>
      <c r="U2234" s="1" t="s">
        <v>982</v>
      </c>
      <c r="V2234" s="4" t="s">
        <v>8550</v>
      </c>
      <c r="W2234" s="1"/>
      <c r="X2234" s="1" t="s">
        <v>1152</v>
      </c>
      <c r="Y2234" s="1" t="s">
        <v>1152</v>
      </c>
      <c r="Z2234" s="1"/>
      <c r="AA2234" s="1"/>
      <c r="AB2234" s="1"/>
      <c r="AC2234" s="1" t="s">
        <v>1925</v>
      </c>
      <c r="AD2234" s="1"/>
      <c r="AE2234" s="18">
        <v>46149.0</v>
      </c>
      <c r="AF2234" s="1" t="s">
        <v>1630</v>
      </c>
      <c r="AG2234" s="1" t="s">
        <v>52</v>
      </c>
      <c r="AH2234" s="1" t="s">
        <v>1152</v>
      </c>
      <c r="AI2234" s="1" t="s">
        <v>1152</v>
      </c>
      <c r="AJ2234" s="1" t="s">
        <v>10065</v>
      </c>
      <c r="AK2234" s="1" t="s">
        <v>1152</v>
      </c>
      <c r="AL2234" s="6"/>
      <c r="AM2234" s="12">
        <v>3.142694295E9</v>
      </c>
    </row>
    <row r="2235">
      <c r="A2235" s="5" t="s">
        <v>10706</v>
      </c>
      <c r="B2235" s="1" t="s">
        <v>10707</v>
      </c>
      <c r="C2235" s="1" t="s">
        <v>10708</v>
      </c>
      <c r="D2235" s="2">
        <v>6.615053724E9</v>
      </c>
      <c r="E2235" s="1" t="s">
        <v>6623</v>
      </c>
      <c r="F2235" s="1"/>
      <c r="G2235" s="1" t="s">
        <v>6624</v>
      </c>
      <c r="H2235" s="1" t="s">
        <v>989</v>
      </c>
      <c r="I2235" s="1">
        <v>91381.0</v>
      </c>
      <c r="J2235" s="1" t="s">
        <v>752</v>
      </c>
      <c r="K2235" s="1" t="s">
        <v>42</v>
      </c>
      <c r="L2235" s="1" t="s">
        <v>6819</v>
      </c>
      <c r="M2235" s="1">
        <v>49.0</v>
      </c>
      <c r="N2235" s="1" t="s">
        <v>1152</v>
      </c>
      <c r="O2235" s="3" t="s">
        <v>2763</v>
      </c>
      <c r="P2235" s="1" t="s">
        <v>1152</v>
      </c>
      <c r="Q2235" s="1" t="s">
        <v>1152</v>
      </c>
      <c r="R2235" s="1"/>
      <c r="S2235" s="1"/>
      <c r="T2235" s="1" t="s">
        <v>1152</v>
      </c>
      <c r="U2235" s="1" t="s">
        <v>1080</v>
      </c>
      <c r="V2235" s="4" t="s">
        <v>2763</v>
      </c>
      <c r="W2235" s="1"/>
      <c r="X2235" s="1" t="s">
        <v>1152</v>
      </c>
      <c r="Y2235" s="1" t="s">
        <v>1152</v>
      </c>
      <c r="Z2235" s="1"/>
      <c r="AA2235" s="1"/>
      <c r="AB2235" s="1"/>
      <c r="AC2235" s="1" t="s">
        <v>1925</v>
      </c>
      <c r="AD2235" s="1"/>
      <c r="AE2235" s="18">
        <v>46146.0</v>
      </c>
      <c r="AF2235" s="1" t="s">
        <v>1030</v>
      </c>
      <c r="AG2235" s="1" t="s">
        <v>52</v>
      </c>
      <c r="AH2235" s="1" t="s">
        <v>1152</v>
      </c>
      <c r="AI2235" s="1" t="s">
        <v>1152</v>
      </c>
      <c r="AJ2235" s="1" t="s">
        <v>6625</v>
      </c>
      <c r="AK2235" s="1" t="s">
        <v>1152</v>
      </c>
      <c r="AL2235" s="6"/>
      <c r="AM2235" s="12" t="s">
        <v>1925</v>
      </c>
    </row>
    <row r="2236">
      <c r="A2236" s="5" t="s">
        <v>10709</v>
      </c>
      <c r="B2236" s="1" t="s">
        <v>10710</v>
      </c>
      <c r="C2236" s="1" t="s">
        <v>10711</v>
      </c>
      <c r="D2236" s="2">
        <v>4.177666098E9</v>
      </c>
      <c r="E2236" s="1" t="s">
        <v>10712</v>
      </c>
      <c r="F2236" s="1"/>
      <c r="G2236" s="1" t="s">
        <v>4072</v>
      </c>
      <c r="H2236" s="1" t="s">
        <v>1155</v>
      </c>
      <c r="I2236" s="1">
        <v>65802.0</v>
      </c>
      <c r="J2236" s="1" t="s">
        <v>752</v>
      </c>
      <c r="K2236" s="1" t="s">
        <v>42</v>
      </c>
      <c r="L2236" s="1" t="s">
        <v>6819</v>
      </c>
      <c r="M2236" s="1">
        <v>49.0</v>
      </c>
      <c r="N2236" s="1" t="s">
        <v>1152</v>
      </c>
      <c r="O2236" s="3" t="s">
        <v>591</v>
      </c>
      <c r="P2236" s="1" t="s">
        <v>1152</v>
      </c>
      <c r="Q2236" s="1" t="s">
        <v>1152</v>
      </c>
      <c r="R2236" s="1"/>
      <c r="S2236" s="1"/>
      <c r="T2236" s="1" t="s">
        <v>1152</v>
      </c>
      <c r="U2236" s="1" t="s">
        <v>1324</v>
      </c>
      <c r="V2236" s="4" t="s">
        <v>591</v>
      </c>
      <c r="W2236" s="1"/>
      <c r="X2236" s="1" t="s">
        <v>1152</v>
      </c>
      <c r="Y2236" s="1" t="s">
        <v>1152</v>
      </c>
      <c r="Z2236" s="1"/>
      <c r="AA2236" s="1"/>
      <c r="AB2236" s="1"/>
      <c r="AC2236" s="1" t="s">
        <v>1925</v>
      </c>
      <c r="AD2236" s="1"/>
      <c r="AE2236" s="18">
        <v>46143.0</v>
      </c>
      <c r="AF2236" s="1" t="s">
        <v>3186</v>
      </c>
      <c r="AG2236" s="1" t="s">
        <v>52</v>
      </c>
      <c r="AH2236" s="1" t="s">
        <v>1152</v>
      </c>
      <c r="AI2236" s="1" t="s">
        <v>1152</v>
      </c>
      <c r="AJ2236" s="1" t="s">
        <v>10712</v>
      </c>
      <c r="AK2236" s="1" t="s">
        <v>1152</v>
      </c>
      <c r="AL2236" s="6"/>
      <c r="AM2236" s="12">
        <v>4.177666098E9</v>
      </c>
    </row>
    <row r="2237">
      <c r="A2237" s="5" t="s">
        <v>10713</v>
      </c>
      <c r="B2237" s="1" t="s">
        <v>10714</v>
      </c>
      <c r="C2237" s="1" t="s">
        <v>10715</v>
      </c>
      <c r="D2237" s="2">
        <v>6.035571581E9</v>
      </c>
      <c r="E2237" s="1" t="s">
        <v>5367</v>
      </c>
      <c r="F2237" s="1"/>
      <c r="G2237" s="1" t="s">
        <v>5368</v>
      </c>
      <c r="H2237" s="1" t="s">
        <v>1616</v>
      </c>
      <c r="I2237" s="1">
        <v>3060.0</v>
      </c>
      <c r="J2237" s="1" t="s">
        <v>752</v>
      </c>
      <c r="K2237" s="1" t="s">
        <v>2131</v>
      </c>
      <c r="L2237" s="1" t="s">
        <v>5767</v>
      </c>
      <c r="M2237" s="1">
        <v>1.0</v>
      </c>
      <c r="N2237" s="1" t="s">
        <v>1152</v>
      </c>
      <c r="O2237" s="3" t="s">
        <v>440</v>
      </c>
      <c r="P2237" s="1" t="s">
        <v>1152</v>
      </c>
      <c r="Q2237" s="1" t="s">
        <v>1152</v>
      </c>
      <c r="R2237" s="1"/>
      <c r="S2237" s="1"/>
      <c r="T2237" s="1" t="s">
        <v>1152</v>
      </c>
      <c r="U2237" s="1" t="s">
        <v>956</v>
      </c>
      <c r="V2237" s="4" t="s">
        <v>440</v>
      </c>
      <c r="W2237" s="1"/>
      <c r="X2237" s="1" t="s">
        <v>1152</v>
      </c>
      <c r="Y2237" s="1" t="s">
        <v>1152</v>
      </c>
      <c r="Z2237" s="1"/>
      <c r="AA2237" s="1"/>
      <c r="AB2237" s="1"/>
      <c r="AC2237" s="1" t="s">
        <v>1925</v>
      </c>
      <c r="AD2237" s="1"/>
      <c r="AE2237" s="18">
        <v>46149.0</v>
      </c>
      <c r="AF2237" s="1"/>
      <c r="AG2237" s="1"/>
      <c r="AH2237" s="1" t="s">
        <v>1152</v>
      </c>
      <c r="AI2237" s="1" t="s">
        <v>1152</v>
      </c>
      <c r="AJ2237" s="1" t="s">
        <v>5367</v>
      </c>
      <c r="AK2237" s="1" t="s">
        <v>1152</v>
      </c>
      <c r="AL2237" s="6"/>
      <c r="AM2237" s="12">
        <v>6.035571581E9</v>
      </c>
    </row>
    <row r="2238">
      <c r="A2238" s="5" t="s">
        <v>10716</v>
      </c>
      <c r="B2238" s="1" t="s">
        <v>10717</v>
      </c>
      <c r="C2238" s="1" t="s">
        <v>10718</v>
      </c>
      <c r="D2238" s="2">
        <v>3.473644427E9</v>
      </c>
      <c r="E2238" s="1" t="s">
        <v>10719</v>
      </c>
      <c r="F2238" s="1"/>
      <c r="G2238" s="1" t="s">
        <v>751</v>
      </c>
      <c r="H2238" s="1" t="s">
        <v>751</v>
      </c>
      <c r="I2238" s="1">
        <v>10031.0</v>
      </c>
      <c r="J2238" s="1" t="s">
        <v>752</v>
      </c>
      <c r="K2238" s="1" t="s">
        <v>42</v>
      </c>
      <c r="L2238" s="1" t="s">
        <v>6819</v>
      </c>
      <c r="M2238" s="1">
        <v>49.0</v>
      </c>
      <c r="N2238" s="1" t="s">
        <v>1152</v>
      </c>
      <c r="O2238" s="3" t="s">
        <v>5510</v>
      </c>
      <c r="P2238" s="1" t="s">
        <v>1152</v>
      </c>
      <c r="Q2238" s="1" t="s">
        <v>1152</v>
      </c>
      <c r="R2238" s="1"/>
      <c r="S2238" s="1"/>
      <c r="T2238" s="1" t="s">
        <v>1152</v>
      </c>
      <c r="U2238" s="1" t="s">
        <v>1133</v>
      </c>
      <c r="V2238" s="4" t="s">
        <v>5510</v>
      </c>
      <c r="W2238" s="1"/>
      <c r="X2238" s="1" t="s">
        <v>1152</v>
      </c>
      <c r="Y2238" s="1" t="s">
        <v>1152</v>
      </c>
      <c r="Z2238" s="1"/>
      <c r="AA2238" s="1"/>
      <c r="AB2238" s="1"/>
      <c r="AC2238" s="1" t="s">
        <v>1925</v>
      </c>
      <c r="AD2238" s="1"/>
      <c r="AE2238" s="18">
        <v>46147.0</v>
      </c>
      <c r="AF2238" s="1" t="s">
        <v>1630</v>
      </c>
      <c r="AG2238" s="1" t="s">
        <v>52</v>
      </c>
      <c r="AH2238" s="1" t="s">
        <v>1152</v>
      </c>
      <c r="AI2238" s="1" t="s">
        <v>1152</v>
      </c>
      <c r="AJ2238" s="1" t="s">
        <v>10720</v>
      </c>
      <c r="AK2238" s="1" t="s">
        <v>1152</v>
      </c>
      <c r="AL2238" s="6"/>
      <c r="AM2238" s="12">
        <v>3.473644427E9</v>
      </c>
    </row>
    <row r="2239">
      <c r="A2239" s="5" t="s">
        <v>10721</v>
      </c>
      <c r="B2239" s="1" t="s">
        <v>10722</v>
      </c>
      <c r="C2239" s="1" t="s">
        <v>10723</v>
      </c>
      <c r="D2239" s="2">
        <v>9.176475824E9</v>
      </c>
      <c r="E2239" s="1" t="s">
        <v>10724</v>
      </c>
      <c r="F2239" s="1"/>
      <c r="G2239" s="1" t="s">
        <v>1382</v>
      </c>
      <c r="H2239" s="1" t="s">
        <v>751</v>
      </c>
      <c r="I2239" s="1">
        <v>10583.0</v>
      </c>
      <c r="J2239" s="1" t="s">
        <v>752</v>
      </c>
      <c r="K2239" s="1" t="s">
        <v>42</v>
      </c>
      <c r="L2239" s="1" t="s">
        <v>9092</v>
      </c>
      <c r="M2239" s="1">
        <v>109.0</v>
      </c>
      <c r="N2239" s="1" t="s">
        <v>1152</v>
      </c>
      <c r="O2239" s="3" t="s">
        <v>10725</v>
      </c>
      <c r="P2239" s="1" t="s">
        <v>1152</v>
      </c>
      <c r="Q2239" s="1" t="s">
        <v>1152</v>
      </c>
      <c r="R2239" s="1"/>
      <c r="S2239" s="1"/>
      <c r="T2239" s="1" t="s">
        <v>1152</v>
      </c>
      <c r="U2239" s="1" t="s">
        <v>1324</v>
      </c>
      <c r="V2239" s="4" t="s">
        <v>10725</v>
      </c>
      <c r="W2239" s="1"/>
      <c r="X2239" s="1" t="s">
        <v>1152</v>
      </c>
      <c r="Y2239" s="1" t="s">
        <v>1152</v>
      </c>
      <c r="Z2239" s="1"/>
      <c r="AA2239" s="1"/>
      <c r="AB2239" s="1"/>
      <c r="AC2239" s="1" t="s">
        <v>1925</v>
      </c>
      <c r="AD2239" s="1"/>
      <c r="AE2239" s="18">
        <v>46148.0</v>
      </c>
      <c r="AF2239" s="1" t="s">
        <v>1030</v>
      </c>
      <c r="AG2239" s="1" t="s">
        <v>52</v>
      </c>
      <c r="AH2239" s="1" t="s">
        <v>1152</v>
      </c>
      <c r="AI2239" s="1" t="s">
        <v>10726</v>
      </c>
      <c r="AJ2239" s="1" t="s">
        <v>10727</v>
      </c>
      <c r="AK2239" s="1" t="s">
        <v>1152</v>
      </c>
      <c r="AL2239" s="6"/>
      <c r="AM2239" s="12">
        <v>9.148260095E9</v>
      </c>
    </row>
    <row r="2240">
      <c r="A2240" s="5" t="s">
        <v>10728</v>
      </c>
      <c r="B2240" s="1" t="s">
        <v>10729</v>
      </c>
      <c r="C2240" s="1" t="s">
        <v>10730</v>
      </c>
      <c r="D2240" s="2">
        <v>8.623387181E9</v>
      </c>
      <c r="E2240" s="1" t="s">
        <v>10731</v>
      </c>
      <c r="F2240" s="1"/>
      <c r="G2240" s="1" t="s">
        <v>751</v>
      </c>
      <c r="H2240" s="1" t="s">
        <v>751</v>
      </c>
      <c r="I2240" s="1">
        <v>10031.0</v>
      </c>
      <c r="J2240" s="1" t="s">
        <v>752</v>
      </c>
      <c r="K2240" s="1" t="s">
        <v>42</v>
      </c>
      <c r="L2240" s="1" t="s">
        <v>6819</v>
      </c>
      <c r="M2240" s="1">
        <v>49.0</v>
      </c>
      <c r="N2240" s="1" t="s">
        <v>1152</v>
      </c>
      <c r="O2240" s="3" t="s">
        <v>8941</v>
      </c>
      <c r="P2240" s="1" t="s">
        <v>1152</v>
      </c>
      <c r="Q2240" s="1" t="s">
        <v>1152</v>
      </c>
      <c r="R2240" s="1"/>
      <c r="S2240" s="1"/>
      <c r="T2240" s="1" t="s">
        <v>1152</v>
      </c>
      <c r="U2240" s="1" t="s">
        <v>1039</v>
      </c>
      <c r="V2240" s="4" t="s">
        <v>8941</v>
      </c>
      <c r="W2240" s="1"/>
      <c r="X2240" s="1" t="s">
        <v>1152</v>
      </c>
      <c r="Y2240" s="1" t="s">
        <v>1152</v>
      </c>
      <c r="Z2240" s="1"/>
      <c r="AA2240" s="1"/>
      <c r="AB2240" s="1"/>
      <c r="AC2240" s="1" t="s">
        <v>1925</v>
      </c>
      <c r="AD2240" s="1"/>
      <c r="AE2240" s="18">
        <v>46149.0</v>
      </c>
      <c r="AF2240" s="1" t="s">
        <v>1030</v>
      </c>
      <c r="AG2240" s="1" t="s">
        <v>52</v>
      </c>
      <c r="AH2240" s="1" t="s">
        <v>1152</v>
      </c>
      <c r="AI2240" s="1" t="s">
        <v>1152</v>
      </c>
      <c r="AJ2240" s="1" t="s">
        <v>10731</v>
      </c>
      <c r="AK2240" s="1" t="s">
        <v>1152</v>
      </c>
      <c r="AL2240" s="6"/>
      <c r="AM2240" s="12">
        <v>8.623387181E9</v>
      </c>
    </row>
    <row r="2241">
      <c r="A2241" s="5" t="s">
        <v>10732</v>
      </c>
      <c r="B2241" s="1" t="s">
        <v>10733</v>
      </c>
      <c r="C2241" s="1" t="s">
        <v>10734</v>
      </c>
      <c r="D2241" s="2">
        <v>3.108030065E9</v>
      </c>
      <c r="E2241" s="1" t="s">
        <v>2199</v>
      </c>
      <c r="F2241" s="1"/>
      <c r="G2241" s="1" t="s">
        <v>10735</v>
      </c>
      <c r="H2241" s="1" t="s">
        <v>989</v>
      </c>
      <c r="I2241" s="1">
        <v>94024.0</v>
      </c>
      <c r="J2241" s="1" t="s">
        <v>752</v>
      </c>
      <c r="K2241" s="1" t="s">
        <v>42</v>
      </c>
      <c r="L2241" s="1" t="s">
        <v>6819</v>
      </c>
      <c r="M2241" s="1">
        <v>49.0</v>
      </c>
      <c r="N2241" s="1" t="s">
        <v>1152</v>
      </c>
      <c r="O2241" s="3" t="s">
        <v>2200</v>
      </c>
      <c r="P2241" s="1" t="s">
        <v>1152</v>
      </c>
      <c r="Q2241" s="1" t="s">
        <v>1152</v>
      </c>
      <c r="R2241" s="1"/>
      <c r="S2241" s="1"/>
      <c r="T2241" s="1" t="s">
        <v>1152</v>
      </c>
      <c r="U2241" s="1" t="s">
        <v>1148</v>
      </c>
      <c r="V2241" s="4" t="s">
        <v>2200</v>
      </c>
      <c r="W2241" s="1"/>
      <c r="X2241" s="1" t="s">
        <v>1152</v>
      </c>
      <c r="Y2241" s="1" t="s">
        <v>1152</v>
      </c>
      <c r="Z2241" s="1"/>
      <c r="AA2241" s="1"/>
      <c r="AB2241" s="1"/>
      <c r="AC2241" s="1" t="s">
        <v>1925</v>
      </c>
      <c r="AD2241" s="1"/>
      <c r="AE2241" s="18">
        <v>46148.0</v>
      </c>
      <c r="AF2241" s="1" t="s">
        <v>1030</v>
      </c>
      <c r="AG2241" s="1" t="s">
        <v>52</v>
      </c>
      <c r="AH2241" s="1" t="s">
        <v>1152</v>
      </c>
      <c r="AI2241" s="1" t="s">
        <v>1152</v>
      </c>
      <c r="AJ2241" s="1" t="s">
        <v>10736</v>
      </c>
      <c r="AK2241" s="1" t="s">
        <v>1152</v>
      </c>
      <c r="AL2241" s="6"/>
      <c r="AM2241" s="12">
        <v>6.506805727E9</v>
      </c>
    </row>
    <row r="2242">
      <c r="A2242" s="5" t="s">
        <v>10737</v>
      </c>
      <c r="B2242" s="1" t="s">
        <v>10738</v>
      </c>
      <c r="C2242" s="1" t="s">
        <v>10739</v>
      </c>
      <c r="D2242" s="2">
        <v>5.209884904E9</v>
      </c>
      <c r="E2242" s="1" t="s">
        <v>10740</v>
      </c>
      <c r="F2242" s="1"/>
      <c r="G2242" s="1" t="s">
        <v>5515</v>
      </c>
      <c r="H2242" s="1" t="s">
        <v>1535</v>
      </c>
      <c r="I2242" s="1">
        <v>85648.0</v>
      </c>
      <c r="J2242" s="1" t="s">
        <v>752</v>
      </c>
      <c r="K2242" s="1" t="s">
        <v>42</v>
      </c>
      <c r="L2242" s="1" t="s">
        <v>6819</v>
      </c>
      <c r="M2242" s="1">
        <v>49.0</v>
      </c>
      <c r="N2242" s="1" t="s">
        <v>1152</v>
      </c>
      <c r="O2242" s="3" t="s">
        <v>2550</v>
      </c>
      <c r="P2242" s="1" t="s">
        <v>1152</v>
      </c>
      <c r="Q2242" s="1" t="s">
        <v>1152</v>
      </c>
      <c r="R2242" s="1"/>
      <c r="S2242" s="1"/>
      <c r="T2242" s="1" t="s">
        <v>1152</v>
      </c>
      <c r="U2242" s="1" t="s">
        <v>1080</v>
      </c>
      <c r="V2242" s="4" t="s">
        <v>2550</v>
      </c>
      <c r="W2242" s="1"/>
      <c r="X2242" s="1" t="s">
        <v>1152</v>
      </c>
      <c r="Y2242" s="1" t="s">
        <v>1152</v>
      </c>
      <c r="Z2242" s="1"/>
      <c r="AA2242" s="1"/>
      <c r="AB2242" s="1"/>
      <c r="AC2242" s="1" t="s">
        <v>1925</v>
      </c>
      <c r="AD2242" s="1"/>
      <c r="AE2242" s="18">
        <v>46147.0</v>
      </c>
      <c r="AF2242" s="1" t="s">
        <v>1440</v>
      </c>
      <c r="AG2242" s="1" t="s">
        <v>52</v>
      </c>
      <c r="AH2242" s="1" t="s">
        <v>1152</v>
      </c>
      <c r="AI2242" s="1" t="s">
        <v>1152</v>
      </c>
      <c r="AJ2242" s="1" t="s">
        <v>10741</v>
      </c>
      <c r="AK2242" s="1" t="s">
        <v>1152</v>
      </c>
      <c r="AL2242" s="6"/>
      <c r="AM2242" s="12">
        <v>5.202857394E9</v>
      </c>
    </row>
    <row r="2243">
      <c r="A2243" s="5" t="s">
        <v>10742</v>
      </c>
      <c r="B2243" s="1" t="s">
        <v>10743</v>
      </c>
      <c r="C2243" s="1" t="s">
        <v>10744</v>
      </c>
      <c r="D2243" s="2">
        <v>7.817773568E9</v>
      </c>
      <c r="E2243" s="1" t="s">
        <v>10745</v>
      </c>
      <c r="F2243" s="1"/>
      <c r="G2243" s="1" t="s">
        <v>2056</v>
      </c>
      <c r="H2243" s="1" t="s">
        <v>1121</v>
      </c>
      <c r="I2243" s="1">
        <v>2420.0</v>
      </c>
      <c r="J2243" s="1" t="s">
        <v>752</v>
      </c>
      <c r="K2243" s="1" t="s">
        <v>2131</v>
      </c>
      <c r="L2243" s="1" t="s">
        <v>5767</v>
      </c>
      <c r="M2243" s="1">
        <v>1.0</v>
      </c>
      <c r="N2243" s="1" t="s">
        <v>1152</v>
      </c>
      <c r="O2243" s="3" t="s">
        <v>2763</v>
      </c>
      <c r="P2243" s="1" t="s">
        <v>1152</v>
      </c>
      <c r="Q2243" s="1" t="s">
        <v>1152</v>
      </c>
      <c r="R2243" s="1"/>
      <c r="S2243" s="1"/>
      <c r="T2243" s="1" t="s">
        <v>1152</v>
      </c>
      <c r="U2243" s="1" t="s">
        <v>956</v>
      </c>
      <c r="V2243" s="4" t="s">
        <v>2763</v>
      </c>
      <c r="W2243" s="1"/>
      <c r="X2243" s="1" t="s">
        <v>1152</v>
      </c>
      <c r="Y2243" s="1" t="s">
        <v>1152</v>
      </c>
      <c r="Z2243" s="1"/>
      <c r="AA2243" s="1"/>
      <c r="AB2243" s="1"/>
      <c r="AC2243" s="1" t="s">
        <v>1925</v>
      </c>
      <c r="AD2243" s="1"/>
      <c r="AE2243" s="18">
        <v>46147.0</v>
      </c>
      <c r="AF2243" s="1"/>
      <c r="AG2243" s="1"/>
      <c r="AH2243" s="1" t="s">
        <v>1152</v>
      </c>
      <c r="AI2243" s="1" t="s">
        <v>1152</v>
      </c>
      <c r="AJ2243" s="1" t="s">
        <v>10745</v>
      </c>
      <c r="AK2243" s="1" t="s">
        <v>1152</v>
      </c>
      <c r="AL2243" s="6"/>
      <c r="AM2243" s="12">
        <v>7.817773568E9</v>
      </c>
    </row>
    <row r="2244">
      <c r="A2244" s="5" t="s">
        <v>10746</v>
      </c>
      <c r="B2244" s="1" t="s">
        <v>10747</v>
      </c>
      <c r="C2244" s="1" t="s">
        <v>7095</v>
      </c>
      <c r="D2244" s="2">
        <v>6.304801301E9</v>
      </c>
      <c r="E2244" s="1" t="s">
        <v>7096</v>
      </c>
      <c r="F2244" s="1"/>
      <c r="G2244" s="1" t="s">
        <v>2350</v>
      </c>
      <c r="H2244" s="1" t="s">
        <v>1155</v>
      </c>
      <c r="I2244" s="1">
        <v>63105.0</v>
      </c>
      <c r="J2244" s="1" t="s">
        <v>752</v>
      </c>
      <c r="K2244" s="1" t="s">
        <v>2131</v>
      </c>
      <c r="L2244" s="1" t="s">
        <v>5833</v>
      </c>
      <c r="M2244" s="1">
        <v>1.0</v>
      </c>
      <c r="N2244" s="1" t="s">
        <v>1152</v>
      </c>
      <c r="O2244" s="3" t="s">
        <v>2442</v>
      </c>
      <c r="P2244" s="1" t="s">
        <v>1152</v>
      </c>
      <c r="Q2244" s="1" t="s">
        <v>1152</v>
      </c>
      <c r="R2244" s="1"/>
      <c r="S2244" s="1"/>
      <c r="T2244" s="1" t="s">
        <v>1152</v>
      </c>
      <c r="U2244" s="1" t="s">
        <v>956</v>
      </c>
      <c r="V2244" s="4" t="s">
        <v>2442</v>
      </c>
      <c r="W2244" s="1"/>
      <c r="X2244" s="1" t="s">
        <v>1152</v>
      </c>
      <c r="Y2244" s="1" t="s">
        <v>1152</v>
      </c>
      <c r="Z2244" s="1"/>
      <c r="AA2244" s="1"/>
      <c r="AB2244" s="1"/>
      <c r="AC2244" s="1" t="s">
        <v>1925</v>
      </c>
      <c r="AD2244" s="1"/>
      <c r="AE2244" s="18">
        <v>46149.0</v>
      </c>
      <c r="AF2244" s="1"/>
      <c r="AG2244" s="1"/>
      <c r="AH2244" s="1" t="s">
        <v>1152</v>
      </c>
      <c r="AI2244" s="1" t="s">
        <v>1152</v>
      </c>
      <c r="AJ2244" s="1" t="s">
        <v>7096</v>
      </c>
      <c r="AK2244" s="1" t="s">
        <v>1152</v>
      </c>
      <c r="AL2244" s="6"/>
      <c r="AM2244" s="12">
        <v>6.304801301E9</v>
      </c>
    </row>
    <row r="2245">
      <c r="A2245" s="5" t="s">
        <v>10748</v>
      </c>
      <c r="B2245" s="1" t="s">
        <v>10749</v>
      </c>
      <c r="C2245" s="1" t="s">
        <v>10750</v>
      </c>
      <c r="D2245" s="2">
        <v>9.178365787E9</v>
      </c>
      <c r="E2245" s="1" t="s">
        <v>10751</v>
      </c>
      <c r="F2245" s="1"/>
      <c r="G2245" s="1" t="s">
        <v>10752</v>
      </c>
      <c r="H2245" s="1" t="s">
        <v>751</v>
      </c>
      <c r="I2245" s="1">
        <v>11713.0</v>
      </c>
      <c r="J2245" s="1" t="s">
        <v>752</v>
      </c>
      <c r="K2245" s="1" t="s">
        <v>42</v>
      </c>
      <c r="L2245" s="1" t="s">
        <v>7863</v>
      </c>
      <c r="M2245" s="1">
        <v>79.0</v>
      </c>
      <c r="N2245" s="1" t="s">
        <v>1152</v>
      </c>
      <c r="O2245" s="3" t="s">
        <v>10753</v>
      </c>
      <c r="P2245" s="1" t="s">
        <v>1152</v>
      </c>
      <c r="Q2245" s="1" t="s">
        <v>1152</v>
      </c>
      <c r="R2245" s="1"/>
      <c r="S2245" s="1"/>
      <c r="T2245" s="1" t="s">
        <v>1152</v>
      </c>
      <c r="U2245" s="1" t="s">
        <v>1055</v>
      </c>
      <c r="V2245" s="4" t="s">
        <v>10753</v>
      </c>
      <c r="W2245" s="1"/>
      <c r="X2245" s="1" t="s">
        <v>1152</v>
      </c>
      <c r="Y2245" s="1" t="s">
        <v>1152</v>
      </c>
      <c r="Z2245" s="1"/>
      <c r="AA2245" s="1"/>
      <c r="AB2245" s="1"/>
      <c r="AC2245" s="1" t="s">
        <v>1925</v>
      </c>
      <c r="AD2245" s="1"/>
      <c r="AE2245" s="18">
        <v>46150.0</v>
      </c>
      <c r="AF2245" s="1" t="s">
        <v>1440</v>
      </c>
      <c r="AG2245" s="1" t="s">
        <v>52</v>
      </c>
      <c r="AH2245" s="1" t="s">
        <v>1152</v>
      </c>
      <c r="AI2245" s="1" t="s">
        <v>1152</v>
      </c>
      <c r="AJ2245" s="1" t="s">
        <v>10754</v>
      </c>
      <c r="AK2245" s="1" t="s">
        <v>1152</v>
      </c>
      <c r="AL2245" s="6"/>
      <c r="AM2245" s="12">
        <v>6.316051231E9</v>
      </c>
    </row>
    <row r="2246">
      <c r="A2246" s="5" t="s">
        <v>10755</v>
      </c>
      <c r="B2246" s="1" t="s">
        <v>10756</v>
      </c>
      <c r="C2246" s="1" t="s">
        <v>10757</v>
      </c>
      <c r="D2246" s="2">
        <v>1.2023085714E10</v>
      </c>
      <c r="E2246" s="1" t="s">
        <v>5202</v>
      </c>
      <c r="F2246" s="1"/>
      <c r="G2246" s="1" t="s">
        <v>1299</v>
      </c>
      <c r="H2246" s="1" t="s">
        <v>1005</v>
      </c>
      <c r="I2246" s="1">
        <v>20817.0</v>
      </c>
      <c r="J2246" s="1" t="s">
        <v>752</v>
      </c>
      <c r="K2246" s="1" t="s">
        <v>42</v>
      </c>
      <c r="L2246" s="1" t="s">
        <v>6819</v>
      </c>
      <c r="M2246" s="1">
        <v>49.0</v>
      </c>
      <c r="N2246" s="1" t="s">
        <v>1152</v>
      </c>
      <c r="O2246" s="3" t="s">
        <v>2008</v>
      </c>
      <c r="P2246" s="1" t="s">
        <v>1152</v>
      </c>
      <c r="Q2246" s="1" t="s">
        <v>1152</v>
      </c>
      <c r="R2246" s="1"/>
      <c r="S2246" s="1"/>
      <c r="T2246" s="1" t="s">
        <v>1152</v>
      </c>
      <c r="U2246" s="1" t="s">
        <v>1441</v>
      </c>
      <c r="V2246" s="4" t="s">
        <v>2008</v>
      </c>
      <c r="W2246" s="1"/>
      <c r="X2246" s="1" t="s">
        <v>1152</v>
      </c>
      <c r="Y2246" s="1" t="s">
        <v>1152</v>
      </c>
      <c r="Z2246" s="1"/>
      <c r="AA2246" s="1"/>
      <c r="AB2246" s="1"/>
      <c r="AC2246" s="1" t="s">
        <v>1925</v>
      </c>
      <c r="AD2246" s="1"/>
      <c r="AE2246" s="18">
        <v>46146.0</v>
      </c>
      <c r="AF2246" s="1" t="s">
        <v>1349</v>
      </c>
      <c r="AG2246" s="1" t="s">
        <v>52</v>
      </c>
      <c r="AH2246" s="1" t="s">
        <v>1152</v>
      </c>
      <c r="AI2246" s="1" t="s">
        <v>1152</v>
      </c>
      <c r="AJ2246" s="1" t="s">
        <v>5202</v>
      </c>
      <c r="AK2246" s="1" t="s">
        <v>1152</v>
      </c>
      <c r="AL2246" s="6"/>
      <c r="AM2246" s="12">
        <v>2.023085714E9</v>
      </c>
    </row>
    <row r="2247">
      <c r="A2247" s="5" t="s">
        <v>10758</v>
      </c>
      <c r="B2247" s="1" t="s">
        <v>10759</v>
      </c>
      <c r="C2247" s="1" t="s">
        <v>10760</v>
      </c>
      <c r="D2247" s="2">
        <v>3.137192929E9</v>
      </c>
      <c r="E2247" s="1" t="s">
        <v>4369</v>
      </c>
      <c r="F2247" s="1"/>
      <c r="G2247" s="1" t="s">
        <v>1085</v>
      </c>
      <c r="H2247" s="1" t="s">
        <v>1691</v>
      </c>
      <c r="I2247" s="1">
        <v>48009.0</v>
      </c>
      <c r="J2247" s="1" t="s">
        <v>752</v>
      </c>
      <c r="K2247" s="1" t="s">
        <v>42</v>
      </c>
      <c r="L2247" s="1" t="s">
        <v>6819</v>
      </c>
      <c r="M2247" s="1">
        <v>49.0</v>
      </c>
      <c r="N2247" s="1" t="s">
        <v>1152</v>
      </c>
      <c r="O2247" s="3" t="s">
        <v>4371</v>
      </c>
      <c r="P2247" s="1" t="s">
        <v>1152</v>
      </c>
      <c r="Q2247" s="1" t="s">
        <v>1152</v>
      </c>
      <c r="R2247" s="1"/>
      <c r="S2247" s="1"/>
      <c r="T2247" s="1" t="s">
        <v>1152</v>
      </c>
      <c r="U2247" s="1" t="s">
        <v>1080</v>
      </c>
      <c r="V2247" s="4" t="s">
        <v>4371</v>
      </c>
      <c r="W2247" s="1"/>
      <c r="X2247" s="1" t="s">
        <v>1152</v>
      </c>
      <c r="Y2247" s="1" t="s">
        <v>1152</v>
      </c>
      <c r="Z2247" s="1"/>
      <c r="AA2247" s="1"/>
      <c r="AB2247" s="1"/>
      <c r="AC2247" s="1" t="s">
        <v>1925</v>
      </c>
      <c r="AD2247" s="1"/>
      <c r="AE2247" s="18">
        <v>46147.0</v>
      </c>
      <c r="AF2247" s="1" t="s">
        <v>1630</v>
      </c>
      <c r="AG2247" s="1" t="s">
        <v>52</v>
      </c>
      <c r="AH2247" s="1" t="s">
        <v>1152</v>
      </c>
      <c r="AI2247" s="1" t="s">
        <v>1152</v>
      </c>
      <c r="AJ2247" s="1" t="s">
        <v>10761</v>
      </c>
      <c r="AK2247" s="1" t="s">
        <v>1152</v>
      </c>
      <c r="AL2247" s="6"/>
      <c r="AM2247" s="12">
        <v>2.485905519E9</v>
      </c>
    </row>
    <row r="2248">
      <c r="A2248" s="5" t="s">
        <v>10762</v>
      </c>
      <c r="B2248" s="1" t="s">
        <v>10763</v>
      </c>
      <c r="C2248" s="1" t="s">
        <v>10764</v>
      </c>
      <c r="D2248" s="2">
        <v>6.092750621E9</v>
      </c>
      <c r="E2248" s="1" t="s">
        <v>10765</v>
      </c>
      <c r="F2248" s="1"/>
      <c r="G2248" s="1" t="s">
        <v>10766</v>
      </c>
      <c r="H2248" s="1" t="s">
        <v>1053</v>
      </c>
      <c r="I2248" s="1">
        <v>8536.0</v>
      </c>
      <c r="J2248" s="1" t="s">
        <v>752</v>
      </c>
      <c r="K2248" s="1" t="s">
        <v>42</v>
      </c>
      <c r="L2248" s="1" t="s">
        <v>6819</v>
      </c>
      <c r="M2248" s="1">
        <v>49.0</v>
      </c>
      <c r="N2248" s="1" t="s">
        <v>1152</v>
      </c>
      <c r="O2248" s="3" t="s">
        <v>576</v>
      </c>
      <c r="P2248" s="1" t="s">
        <v>1152</v>
      </c>
      <c r="Q2248" s="1" t="s">
        <v>1152</v>
      </c>
      <c r="R2248" s="1"/>
      <c r="S2248" s="1"/>
      <c r="T2248" s="1" t="s">
        <v>1152</v>
      </c>
      <c r="U2248" s="1" t="s">
        <v>1148</v>
      </c>
      <c r="V2248" s="4" t="s">
        <v>576</v>
      </c>
      <c r="W2248" s="1"/>
      <c r="X2248" s="1" t="s">
        <v>1152</v>
      </c>
      <c r="Y2248" s="1" t="s">
        <v>1152</v>
      </c>
      <c r="Z2248" s="1"/>
      <c r="AA2248" s="1"/>
      <c r="AB2248" s="1"/>
      <c r="AC2248" s="1" t="s">
        <v>1925</v>
      </c>
      <c r="AD2248" s="1"/>
      <c r="AE2248" s="18">
        <v>46148.0</v>
      </c>
      <c r="AF2248" s="1" t="s">
        <v>1030</v>
      </c>
      <c r="AG2248" s="1" t="s">
        <v>52</v>
      </c>
      <c r="AH2248" s="1" t="s">
        <v>1152</v>
      </c>
      <c r="AI2248" s="1" t="s">
        <v>1152</v>
      </c>
      <c r="AJ2248" s="1" t="s">
        <v>10767</v>
      </c>
      <c r="AK2248" s="1" t="s">
        <v>1152</v>
      </c>
      <c r="AL2248" s="6"/>
      <c r="AM2248" s="12">
        <v>6.097214127E9</v>
      </c>
    </row>
    <row r="2249">
      <c r="A2249" s="5" t="s">
        <v>10768</v>
      </c>
      <c r="B2249" s="1" t="s">
        <v>10769</v>
      </c>
      <c r="C2249" s="1" t="s">
        <v>10770</v>
      </c>
      <c r="D2249" s="2">
        <v>3.03921278E9</v>
      </c>
      <c r="E2249" s="1" t="s">
        <v>4200</v>
      </c>
      <c r="F2249" s="1"/>
      <c r="G2249" s="1" t="s">
        <v>1528</v>
      </c>
      <c r="H2249" s="1" t="s">
        <v>1891</v>
      </c>
      <c r="I2249" s="1">
        <v>80111.0</v>
      </c>
      <c r="J2249" s="1" t="s">
        <v>752</v>
      </c>
      <c r="K2249" s="1" t="s">
        <v>42</v>
      </c>
      <c r="L2249" s="1" t="s">
        <v>6819</v>
      </c>
      <c r="M2249" s="1">
        <v>49.0</v>
      </c>
      <c r="N2249" s="1" t="s">
        <v>1152</v>
      </c>
      <c r="O2249" s="3" t="s">
        <v>353</v>
      </c>
      <c r="P2249" s="1" t="s">
        <v>1152</v>
      </c>
      <c r="Q2249" s="1" t="s">
        <v>1152</v>
      </c>
      <c r="R2249" s="1"/>
      <c r="S2249" s="1"/>
      <c r="T2249" s="1" t="s">
        <v>1152</v>
      </c>
      <c r="U2249" s="1" t="s">
        <v>1039</v>
      </c>
      <c r="V2249" s="4" t="s">
        <v>353</v>
      </c>
      <c r="W2249" s="1"/>
      <c r="X2249" s="1" t="s">
        <v>1152</v>
      </c>
      <c r="Y2249" s="1" t="s">
        <v>1152</v>
      </c>
      <c r="Z2249" s="1"/>
      <c r="AA2249" s="1"/>
      <c r="AB2249" s="1"/>
      <c r="AC2249" s="1" t="s">
        <v>1925</v>
      </c>
      <c r="AD2249" s="1"/>
      <c r="AE2249" s="18">
        <v>46148.0</v>
      </c>
      <c r="AF2249" s="1" t="s">
        <v>1440</v>
      </c>
      <c r="AG2249" s="1" t="s">
        <v>52</v>
      </c>
      <c r="AH2249" s="1" t="s">
        <v>1152</v>
      </c>
      <c r="AI2249" s="1" t="s">
        <v>1152</v>
      </c>
      <c r="AJ2249" s="1" t="s">
        <v>10771</v>
      </c>
      <c r="AK2249" s="1" t="s">
        <v>1152</v>
      </c>
      <c r="AL2249" s="6"/>
      <c r="AM2249" s="12">
        <v>3.039193625E9</v>
      </c>
    </row>
    <row r="2250">
      <c r="A2250" s="5" t="s">
        <v>10772</v>
      </c>
      <c r="B2250" s="1" t="s">
        <v>10773</v>
      </c>
      <c r="C2250" s="1" t="s">
        <v>10774</v>
      </c>
      <c r="D2250" s="2">
        <v>3.142241746E9</v>
      </c>
      <c r="E2250" s="1" t="s">
        <v>10775</v>
      </c>
      <c r="F2250" s="1"/>
      <c r="G2250" s="1" t="s">
        <v>1283</v>
      </c>
      <c r="H2250" s="1" t="s">
        <v>1155</v>
      </c>
      <c r="I2250" s="1">
        <v>63105.0</v>
      </c>
      <c r="J2250" s="1" t="s">
        <v>752</v>
      </c>
      <c r="K2250" s="1" t="s">
        <v>42</v>
      </c>
      <c r="L2250" s="1" t="s">
        <v>7863</v>
      </c>
      <c r="M2250" s="1">
        <v>79.0</v>
      </c>
      <c r="N2250" s="1" t="s">
        <v>1152</v>
      </c>
      <c r="O2250" s="3" t="s">
        <v>3092</v>
      </c>
      <c r="P2250" s="1" t="s">
        <v>1152</v>
      </c>
      <c r="Q2250" s="1" t="s">
        <v>1152</v>
      </c>
      <c r="R2250" s="1"/>
      <c r="S2250" s="1"/>
      <c r="T2250" s="1" t="s">
        <v>1152</v>
      </c>
      <c r="U2250" s="1" t="s">
        <v>766</v>
      </c>
      <c r="V2250" s="4" t="s">
        <v>3092</v>
      </c>
      <c r="W2250" s="1"/>
      <c r="X2250" s="1" t="s">
        <v>1152</v>
      </c>
      <c r="Y2250" s="1" t="s">
        <v>1152</v>
      </c>
      <c r="Z2250" s="1"/>
      <c r="AA2250" s="1"/>
      <c r="AB2250" s="1"/>
      <c r="AC2250" s="1" t="s">
        <v>1925</v>
      </c>
      <c r="AD2250" s="1"/>
      <c r="AE2250" s="18">
        <v>46148.0</v>
      </c>
      <c r="AF2250" s="1" t="s">
        <v>1349</v>
      </c>
      <c r="AG2250" s="1" t="s">
        <v>52</v>
      </c>
      <c r="AH2250" s="1" t="s">
        <v>1152</v>
      </c>
      <c r="AI2250" s="1" t="s">
        <v>1152</v>
      </c>
      <c r="AJ2250" s="1" t="s">
        <v>10775</v>
      </c>
      <c r="AK2250" s="1" t="s">
        <v>1152</v>
      </c>
      <c r="AL2250" s="6"/>
      <c r="AM2250" s="12">
        <v>3.142241746E9</v>
      </c>
    </row>
    <row r="2251">
      <c r="A2251" s="5" t="s">
        <v>10776</v>
      </c>
      <c r="B2251" s="1" t="s">
        <v>10777</v>
      </c>
      <c r="C2251" s="1" t="s">
        <v>636</v>
      </c>
      <c r="D2251" s="2">
        <v>5.106760531E9</v>
      </c>
      <c r="E2251" s="1" t="s">
        <v>10778</v>
      </c>
      <c r="F2251" s="1"/>
      <c r="G2251" s="1" t="s">
        <v>4737</v>
      </c>
      <c r="H2251" s="1" t="s">
        <v>989</v>
      </c>
      <c r="I2251" s="1">
        <v>94539.0</v>
      </c>
      <c r="J2251" s="1" t="s">
        <v>752</v>
      </c>
      <c r="K2251" s="1" t="s">
        <v>42</v>
      </c>
      <c r="L2251" s="1" t="s">
        <v>6819</v>
      </c>
      <c r="M2251" s="1">
        <v>49.0</v>
      </c>
      <c r="N2251" s="1" t="s">
        <v>1152</v>
      </c>
      <c r="O2251" s="3" t="s">
        <v>10779</v>
      </c>
      <c r="P2251" s="1" t="s">
        <v>1152</v>
      </c>
      <c r="Q2251" s="1" t="s">
        <v>1152</v>
      </c>
      <c r="R2251" s="1"/>
      <c r="S2251" s="1"/>
      <c r="T2251" s="1" t="s">
        <v>1152</v>
      </c>
      <c r="U2251" s="1" t="s">
        <v>1167</v>
      </c>
      <c r="V2251" s="4" t="s">
        <v>10779</v>
      </c>
      <c r="W2251" s="1"/>
      <c r="X2251" s="1" t="s">
        <v>1152</v>
      </c>
      <c r="Y2251" s="1" t="s">
        <v>1152</v>
      </c>
      <c r="Z2251" s="1"/>
      <c r="AA2251" s="1"/>
      <c r="AB2251" s="1"/>
      <c r="AC2251" s="1" t="s">
        <v>1925</v>
      </c>
      <c r="AD2251" s="1"/>
      <c r="AE2251" s="18">
        <v>46150.0</v>
      </c>
      <c r="AF2251" s="1" t="s">
        <v>1030</v>
      </c>
      <c r="AG2251" s="1" t="s">
        <v>52</v>
      </c>
      <c r="AH2251" s="1" t="s">
        <v>1152</v>
      </c>
      <c r="AI2251" s="1" t="s">
        <v>1152</v>
      </c>
      <c r="AJ2251" s="1" t="s">
        <v>637</v>
      </c>
      <c r="AK2251" s="1" t="s">
        <v>1152</v>
      </c>
      <c r="AL2251" s="6"/>
      <c r="AM2251" s="12">
        <v>5.10676664E9</v>
      </c>
    </row>
    <row r="2252">
      <c r="A2252" s="5" t="s">
        <v>10776</v>
      </c>
      <c r="B2252" s="1" t="s">
        <v>10777</v>
      </c>
      <c r="C2252" s="1" t="s">
        <v>636</v>
      </c>
      <c r="D2252" s="2">
        <v>5.106760531E9</v>
      </c>
      <c r="E2252" s="1" t="s">
        <v>10778</v>
      </c>
      <c r="F2252" s="1"/>
      <c r="G2252" s="1" t="s">
        <v>4737</v>
      </c>
      <c r="H2252" s="1" t="s">
        <v>989</v>
      </c>
      <c r="I2252" s="1">
        <v>94539.0</v>
      </c>
      <c r="J2252" s="1" t="s">
        <v>752</v>
      </c>
      <c r="K2252" s="1" t="s">
        <v>2131</v>
      </c>
      <c r="L2252" s="1" t="s">
        <v>5767</v>
      </c>
      <c r="M2252" s="1">
        <v>1.0</v>
      </c>
      <c r="N2252" s="1" t="s">
        <v>1152</v>
      </c>
      <c r="O2252" s="3" t="s">
        <v>10779</v>
      </c>
      <c r="P2252" s="1" t="s">
        <v>1152</v>
      </c>
      <c r="Q2252" s="1" t="s">
        <v>1152</v>
      </c>
      <c r="R2252" s="1"/>
      <c r="S2252" s="1"/>
      <c r="T2252" s="1" t="s">
        <v>1152</v>
      </c>
      <c r="U2252" s="1" t="s">
        <v>1167</v>
      </c>
      <c r="V2252" s="4" t="s">
        <v>10779</v>
      </c>
      <c r="W2252" s="1"/>
      <c r="X2252" s="1" t="s">
        <v>1152</v>
      </c>
      <c r="Y2252" s="1" t="s">
        <v>1152</v>
      </c>
      <c r="Z2252" s="1"/>
      <c r="AA2252" s="1"/>
      <c r="AB2252" s="1"/>
      <c r="AC2252" s="1" t="s">
        <v>1925</v>
      </c>
      <c r="AD2252" s="1"/>
      <c r="AE2252" s="18">
        <v>46150.0</v>
      </c>
      <c r="AF2252" s="1"/>
      <c r="AG2252" s="1"/>
      <c r="AH2252" s="1" t="s">
        <v>1152</v>
      </c>
      <c r="AI2252" s="1" t="s">
        <v>1152</v>
      </c>
      <c r="AJ2252" s="1" t="s">
        <v>637</v>
      </c>
      <c r="AK2252" s="1" t="s">
        <v>1152</v>
      </c>
      <c r="AL2252" s="6"/>
      <c r="AM2252" s="12">
        <v>5.10676664E9</v>
      </c>
    </row>
    <row r="2253">
      <c r="A2253" s="5" t="s">
        <v>10780</v>
      </c>
      <c r="B2253" s="1" t="s">
        <v>10781</v>
      </c>
      <c r="C2253" s="1" t="s">
        <v>10782</v>
      </c>
      <c r="D2253" s="2">
        <v>9.192687045E9</v>
      </c>
      <c r="E2253" s="1" t="s">
        <v>1589</v>
      </c>
      <c r="F2253" s="1"/>
      <c r="G2253" s="1" t="s">
        <v>1283</v>
      </c>
      <c r="H2253" s="1" t="s">
        <v>1155</v>
      </c>
      <c r="I2253" s="1">
        <v>63105.0</v>
      </c>
      <c r="J2253" s="1" t="s">
        <v>752</v>
      </c>
      <c r="K2253" s="1" t="s">
        <v>42</v>
      </c>
      <c r="L2253" s="1" t="s">
        <v>6819</v>
      </c>
      <c r="M2253" s="1">
        <v>49.0</v>
      </c>
      <c r="N2253" s="1" t="s">
        <v>1152</v>
      </c>
      <c r="O2253" s="3" t="s">
        <v>3705</v>
      </c>
      <c r="P2253" s="1" t="s">
        <v>1152</v>
      </c>
      <c r="Q2253" s="1" t="s">
        <v>1152</v>
      </c>
      <c r="R2253" s="1"/>
      <c r="S2253" s="1"/>
      <c r="T2253" s="1" t="s">
        <v>1152</v>
      </c>
      <c r="U2253" s="1" t="s">
        <v>1249</v>
      </c>
      <c r="V2253" s="4" t="s">
        <v>3705</v>
      </c>
      <c r="W2253" s="1"/>
      <c r="X2253" s="1" t="s">
        <v>1152</v>
      </c>
      <c r="Y2253" s="1" t="s">
        <v>1152</v>
      </c>
      <c r="Z2253" s="1"/>
      <c r="AA2253" s="1"/>
      <c r="AB2253" s="1"/>
      <c r="AC2253" s="1" t="s">
        <v>1925</v>
      </c>
      <c r="AD2253" s="1"/>
      <c r="AE2253" s="18">
        <v>46148.0</v>
      </c>
      <c r="AF2253" s="1" t="s">
        <v>1103</v>
      </c>
      <c r="AG2253" s="1" t="s">
        <v>52</v>
      </c>
      <c r="AH2253" s="1" t="s">
        <v>1152</v>
      </c>
      <c r="AI2253" s="1" t="s">
        <v>1152</v>
      </c>
      <c r="AJ2253" s="1" t="s">
        <v>10783</v>
      </c>
      <c r="AK2253" s="1" t="s">
        <v>1152</v>
      </c>
      <c r="AL2253" s="6"/>
      <c r="AM2253" s="12">
        <v>9.192687045E9</v>
      </c>
    </row>
    <row r="2254">
      <c r="A2254" s="5" t="s">
        <v>10784</v>
      </c>
      <c r="B2254" s="1" t="s">
        <v>10785</v>
      </c>
      <c r="C2254" s="1" t="s">
        <v>1000</v>
      </c>
      <c r="D2254" s="2">
        <v>2.406201906E9</v>
      </c>
      <c r="E2254" s="1" t="s">
        <v>1002</v>
      </c>
      <c r="F2254" s="1"/>
      <c r="G2254" s="1" t="s">
        <v>5624</v>
      </c>
      <c r="H2254" s="1" t="s">
        <v>1005</v>
      </c>
      <c r="I2254" s="1">
        <v>20895.0</v>
      </c>
      <c r="J2254" s="1" t="s">
        <v>752</v>
      </c>
      <c r="K2254" s="1" t="s">
        <v>42</v>
      </c>
      <c r="L2254" s="1" t="s">
        <v>6819</v>
      </c>
      <c r="M2254" s="1">
        <v>49.0</v>
      </c>
      <c r="N2254" s="1" t="s">
        <v>1152</v>
      </c>
      <c r="O2254" s="3" t="s">
        <v>422</v>
      </c>
      <c r="P2254" s="1" t="s">
        <v>1152</v>
      </c>
      <c r="Q2254" s="1" t="s">
        <v>1152</v>
      </c>
      <c r="R2254" s="1"/>
      <c r="S2254" s="1"/>
      <c r="T2254" s="1" t="s">
        <v>1152</v>
      </c>
      <c r="U2254" s="1" t="s">
        <v>1148</v>
      </c>
      <c r="V2254" s="4" t="s">
        <v>422</v>
      </c>
      <c r="W2254" s="1"/>
      <c r="X2254" s="1" t="s">
        <v>1152</v>
      </c>
      <c r="Y2254" s="1" t="s">
        <v>1152</v>
      </c>
      <c r="Z2254" s="1"/>
      <c r="AA2254" s="1"/>
      <c r="AB2254" s="1"/>
      <c r="AC2254" s="1" t="s">
        <v>1925</v>
      </c>
      <c r="AD2254" s="1"/>
      <c r="AE2254" s="18">
        <v>46148.0</v>
      </c>
      <c r="AF2254" s="1" t="s">
        <v>1630</v>
      </c>
      <c r="AG2254" s="1" t="s">
        <v>52</v>
      </c>
      <c r="AH2254" s="1" t="s">
        <v>1152</v>
      </c>
      <c r="AI2254" s="1" t="s">
        <v>1152</v>
      </c>
      <c r="AJ2254" s="1" t="s">
        <v>1002</v>
      </c>
      <c r="AK2254" s="1" t="s">
        <v>1152</v>
      </c>
      <c r="AL2254" s="6"/>
      <c r="AM2254" s="12" t="s">
        <v>1925</v>
      </c>
    </row>
    <row r="2255">
      <c r="A2255" s="5" t="s">
        <v>10786</v>
      </c>
      <c r="B2255" s="1" t="s">
        <v>10787</v>
      </c>
      <c r="C2255" s="1" t="s">
        <v>7506</v>
      </c>
      <c r="D2255" s="2">
        <v>8.476916696E9</v>
      </c>
      <c r="E2255" s="1" t="s">
        <v>7509</v>
      </c>
      <c r="F2255" s="1"/>
      <c r="G2255" s="1" t="s">
        <v>1115</v>
      </c>
      <c r="H2255" s="1" t="s">
        <v>1019</v>
      </c>
      <c r="I2255" s="1">
        <v>60035.0</v>
      </c>
      <c r="J2255" s="1" t="s">
        <v>752</v>
      </c>
      <c r="K2255" s="1" t="s">
        <v>42</v>
      </c>
      <c r="L2255" s="1" t="s">
        <v>6819</v>
      </c>
      <c r="M2255" s="1">
        <v>49.0</v>
      </c>
      <c r="N2255" s="1" t="s">
        <v>1152</v>
      </c>
      <c r="O2255" s="3" t="s">
        <v>7508</v>
      </c>
      <c r="P2255" s="1" t="s">
        <v>1152</v>
      </c>
      <c r="Q2255" s="1" t="s">
        <v>1152</v>
      </c>
      <c r="R2255" s="1"/>
      <c r="S2255" s="1"/>
      <c r="T2255" s="1" t="s">
        <v>1152</v>
      </c>
      <c r="U2255" s="1" t="s">
        <v>1812</v>
      </c>
      <c r="V2255" s="4" t="s">
        <v>7508</v>
      </c>
      <c r="W2255" s="1"/>
      <c r="X2255" s="1" t="s">
        <v>1152</v>
      </c>
      <c r="Y2255" s="1" t="s">
        <v>1152</v>
      </c>
      <c r="Z2255" s="1"/>
      <c r="AA2255" s="1"/>
      <c r="AB2255" s="1"/>
      <c r="AC2255" s="1" t="s">
        <v>1925</v>
      </c>
      <c r="AD2255" s="1"/>
      <c r="AE2255" s="18">
        <v>46147.0</v>
      </c>
      <c r="AF2255" s="1" t="s">
        <v>1030</v>
      </c>
      <c r="AG2255" s="1" t="s">
        <v>52</v>
      </c>
      <c r="AH2255" s="1" t="s">
        <v>1152</v>
      </c>
      <c r="AI2255" s="1" t="s">
        <v>1152</v>
      </c>
      <c r="AJ2255" s="1" t="s">
        <v>7509</v>
      </c>
      <c r="AK2255" s="1" t="s">
        <v>1152</v>
      </c>
      <c r="AL2255" s="6"/>
      <c r="AM2255" s="12">
        <v>8.476916696E9</v>
      </c>
    </row>
    <row r="2256">
      <c r="A2256" s="5" t="s">
        <v>10788</v>
      </c>
      <c r="B2256" s="1" t="s">
        <v>10789</v>
      </c>
      <c r="C2256" s="1" t="s">
        <v>10790</v>
      </c>
      <c r="D2256" s="2">
        <v>7.047969606E9</v>
      </c>
      <c r="E2256" s="1" t="s">
        <v>10791</v>
      </c>
      <c r="F2256" s="1"/>
      <c r="G2256" s="1" t="s">
        <v>10792</v>
      </c>
      <c r="H2256" s="1" t="s">
        <v>1438</v>
      </c>
      <c r="I2256" s="1">
        <v>28104.0</v>
      </c>
      <c r="J2256" s="1" t="s">
        <v>752</v>
      </c>
      <c r="K2256" s="1" t="s">
        <v>42</v>
      </c>
      <c r="L2256" s="1" t="s">
        <v>6819</v>
      </c>
      <c r="M2256" s="1">
        <v>49.0</v>
      </c>
      <c r="N2256" s="1" t="s">
        <v>1152</v>
      </c>
      <c r="O2256" s="3" t="s">
        <v>378</v>
      </c>
      <c r="P2256" s="1" t="s">
        <v>1152</v>
      </c>
      <c r="Q2256" s="1" t="s">
        <v>1152</v>
      </c>
      <c r="R2256" s="1"/>
      <c r="S2256" s="1"/>
      <c r="T2256" s="1" t="s">
        <v>1152</v>
      </c>
      <c r="U2256" s="1" t="s">
        <v>1376</v>
      </c>
      <c r="V2256" s="4" t="s">
        <v>378</v>
      </c>
      <c r="W2256" s="1"/>
      <c r="X2256" s="1" t="s">
        <v>1152</v>
      </c>
      <c r="Y2256" s="1" t="s">
        <v>1152</v>
      </c>
      <c r="Z2256" s="1"/>
      <c r="AA2256" s="1"/>
      <c r="AB2256" s="1"/>
      <c r="AC2256" s="1" t="s">
        <v>1925</v>
      </c>
      <c r="AD2256" s="1"/>
      <c r="AE2256" s="18">
        <v>46149.0</v>
      </c>
      <c r="AF2256" s="1" t="s">
        <v>1630</v>
      </c>
      <c r="AG2256" s="1" t="s">
        <v>52</v>
      </c>
      <c r="AH2256" s="1" t="s">
        <v>1152</v>
      </c>
      <c r="AI2256" s="1" t="s">
        <v>1152</v>
      </c>
      <c r="AJ2256" s="1" t="s">
        <v>10791</v>
      </c>
      <c r="AK2256" s="1" t="s">
        <v>1152</v>
      </c>
      <c r="AL2256" s="6"/>
      <c r="AM2256" s="12">
        <v>7.047969606E9</v>
      </c>
    </row>
    <row r="2257">
      <c r="A2257" s="5" t="s">
        <v>10793</v>
      </c>
      <c r="B2257" s="1" t="s">
        <v>10794</v>
      </c>
      <c r="C2257" s="1" t="s">
        <v>10795</v>
      </c>
      <c r="D2257" s="2">
        <v>9.146567811E9</v>
      </c>
      <c r="E2257" s="1" t="s">
        <v>10796</v>
      </c>
      <c r="F2257" s="1"/>
      <c r="G2257" s="1" t="s">
        <v>10797</v>
      </c>
      <c r="H2257" s="1" t="s">
        <v>751</v>
      </c>
      <c r="I2257" s="1">
        <v>10706.0</v>
      </c>
      <c r="J2257" s="1" t="s">
        <v>752</v>
      </c>
      <c r="K2257" s="1" t="s">
        <v>42</v>
      </c>
      <c r="L2257" s="1" t="s">
        <v>7863</v>
      </c>
      <c r="M2257" s="1">
        <v>79.0</v>
      </c>
      <c r="N2257" s="1" t="s">
        <v>1152</v>
      </c>
      <c r="O2257" s="3" t="s">
        <v>5432</v>
      </c>
      <c r="P2257" s="1" t="s">
        <v>1152</v>
      </c>
      <c r="Q2257" s="1" t="s">
        <v>1152</v>
      </c>
      <c r="R2257" s="1"/>
      <c r="S2257" s="1"/>
      <c r="T2257" s="1" t="s">
        <v>1152</v>
      </c>
      <c r="U2257" s="1" t="s">
        <v>1324</v>
      </c>
      <c r="V2257" s="4" t="s">
        <v>5432</v>
      </c>
      <c r="W2257" s="1"/>
      <c r="X2257" s="1" t="s">
        <v>1152</v>
      </c>
      <c r="Y2257" s="1" t="s">
        <v>1152</v>
      </c>
      <c r="Z2257" s="1"/>
      <c r="AA2257" s="1"/>
      <c r="AB2257" s="1"/>
      <c r="AC2257" s="1" t="s">
        <v>1925</v>
      </c>
      <c r="AD2257" s="1"/>
      <c r="AE2257" s="18">
        <v>46146.0</v>
      </c>
      <c r="AF2257" s="1" t="s">
        <v>1030</v>
      </c>
      <c r="AG2257" s="1" t="s">
        <v>52</v>
      </c>
      <c r="AH2257" s="1" t="s">
        <v>1152</v>
      </c>
      <c r="AI2257" s="1" t="s">
        <v>1152</v>
      </c>
      <c r="AJ2257" s="1" t="s">
        <v>10796</v>
      </c>
      <c r="AK2257" s="1" t="s">
        <v>1152</v>
      </c>
      <c r="AL2257" s="6"/>
      <c r="AM2257" s="12">
        <v>9.146567811E9</v>
      </c>
    </row>
    <row r="2258">
      <c r="A2258" s="5" t="s">
        <v>10798</v>
      </c>
      <c r="B2258" s="1" t="s">
        <v>10799</v>
      </c>
      <c r="C2258" s="1" t="s">
        <v>10800</v>
      </c>
      <c r="D2258" s="2">
        <v>6.787906381E9</v>
      </c>
      <c r="E2258" s="1" t="s">
        <v>10801</v>
      </c>
      <c r="F2258" s="1"/>
      <c r="G2258" s="1" t="s">
        <v>2179</v>
      </c>
      <c r="H2258" s="1" t="s">
        <v>946</v>
      </c>
      <c r="I2258" s="1">
        <v>30310.0</v>
      </c>
      <c r="J2258" s="1" t="s">
        <v>752</v>
      </c>
      <c r="K2258" s="1" t="s">
        <v>42</v>
      </c>
      <c r="L2258" s="1" t="s">
        <v>6819</v>
      </c>
      <c r="M2258" s="1">
        <v>49.0</v>
      </c>
      <c r="N2258" s="1" t="s">
        <v>1152</v>
      </c>
      <c r="O2258" s="3" t="s">
        <v>2193</v>
      </c>
      <c r="P2258" s="1" t="s">
        <v>1152</v>
      </c>
      <c r="Q2258" s="1" t="s">
        <v>1152</v>
      </c>
      <c r="R2258" s="1"/>
      <c r="S2258" s="1"/>
      <c r="T2258" s="1" t="s">
        <v>1152</v>
      </c>
      <c r="U2258" s="1" t="s">
        <v>982</v>
      </c>
      <c r="V2258" s="4" t="s">
        <v>2193</v>
      </c>
      <c r="W2258" s="1"/>
      <c r="X2258" s="1" t="s">
        <v>1152</v>
      </c>
      <c r="Y2258" s="1" t="s">
        <v>1152</v>
      </c>
      <c r="Z2258" s="1"/>
      <c r="AA2258" s="1"/>
      <c r="AB2258" s="1"/>
      <c r="AC2258" s="1" t="s">
        <v>1925</v>
      </c>
      <c r="AD2258" s="1"/>
      <c r="AE2258" s="18">
        <v>46147.0</v>
      </c>
      <c r="AF2258" s="1" t="s">
        <v>1349</v>
      </c>
      <c r="AG2258" s="1" t="s">
        <v>52</v>
      </c>
      <c r="AH2258" s="1" t="s">
        <v>1152</v>
      </c>
      <c r="AI2258" s="1" t="s">
        <v>1152</v>
      </c>
      <c r="AJ2258" s="1" t="s">
        <v>10801</v>
      </c>
      <c r="AK2258" s="1" t="s">
        <v>1152</v>
      </c>
      <c r="AL2258" s="6"/>
      <c r="AM2258" s="12">
        <v>6.787906381E9</v>
      </c>
    </row>
    <row r="2259">
      <c r="A2259" s="5" t="s">
        <v>10802</v>
      </c>
      <c r="B2259" s="1" t="s">
        <v>10803</v>
      </c>
      <c r="C2259" s="1" t="s">
        <v>10804</v>
      </c>
      <c r="D2259" s="2">
        <v>3.123077614E9</v>
      </c>
      <c r="E2259" s="1" t="s">
        <v>10805</v>
      </c>
      <c r="F2259" s="1" t="s">
        <v>10806</v>
      </c>
      <c r="G2259" s="1" t="s">
        <v>1072</v>
      </c>
      <c r="H2259" s="1" t="s">
        <v>1019</v>
      </c>
      <c r="I2259" s="1">
        <v>60614.0</v>
      </c>
      <c r="J2259" s="1" t="s">
        <v>752</v>
      </c>
      <c r="K2259" s="1" t="s">
        <v>42</v>
      </c>
      <c r="L2259" s="1" t="s">
        <v>7863</v>
      </c>
      <c r="M2259" s="1">
        <v>79.0</v>
      </c>
      <c r="N2259" s="1" t="s">
        <v>1152</v>
      </c>
      <c r="O2259" s="3"/>
      <c r="P2259" s="1" t="s">
        <v>1152</v>
      </c>
      <c r="Q2259" s="1" t="s">
        <v>1152</v>
      </c>
      <c r="R2259" s="1" t="s">
        <v>10806</v>
      </c>
      <c r="S2259" s="1"/>
      <c r="T2259" s="1" t="s">
        <v>1152</v>
      </c>
      <c r="U2259" s="1"/>
      <c r="V2259" s="4"/>
      <c r="W2259" s="1" t="s">
        <v>10806</v>
      </c>
      <c r="X2259" s="1" t="s">
        <v>1152</v>
      </c>
      <c r="Y2259" s="1" t="s">
        <v>1152</v>
      </c>
      <c r="Z2259" s="1"/>
      <c r="AA2259" s="1" t="s">
        <v>10806</v>
      </c>
      <c r="AB2259" s="1"/>
      <c r="AC2259" s="1" t="s">
        <v>1925</v>
      </c>
      <c r="AD2259" s="1"/>
      <c r="AE2259" s="18">
        <v>46149.0</v>
      </c>
      <c r="AF2259" s="1" t="s">
        <v>44</v>
      </c>
      <c r="AG2259" s="1" t="s">
        <v>124</v>
      </c>
      <c r="AH2259" s="1" t="s">
        <v>1152</v>
      </c>
      <c r="AI2259" s="1" t="s">
        <v>1152</v>
      </c>
      <c r="AJ2259" s="1" t="s">
        <v>10805</v>
      </c>
      <c r="AK2259" s="1" t="s">
        <v>1152</v>
      </c>
      <c r="AL2259" s="6"/>
      <c r="AM2259" s="12">
        <v>3.123077614E9</v>
      </c>
    </row>
    <row r="2260">
      <c r="A2260" s="5" t="s">
        <v>10807</v>
      </c>
      <c r="B2260" s="1" t="s">
        <v>10808</v>
      </c>
      <c r="C2260" s="1" t="s">
        <v>10809</v>
      </c>
      <c r="D2260" s="2">
        <v>6.103577127E9</v>
      </c>
      <c r="E2260" s="1" t="s">
        <v>4416</v>
      </c>
      <c r="F2260" s="1"/>
      <c r="G2260" s="1" t="s">
        <v>2307</v>
      </c>
      <c r="H2260" s="1" t="s">
        <v>1233</v>
      </c>
      <c r="I2260" s="1">
        <v>19010.0</v>
      </c>
      <c r="J2260" s="1" t="s">
        <v>752</v>
      </c>
      <c r="K2260" s="1" t="s">
        <v>42</v>
      </c>
      <c r="L2260" s="1" t="s">
        <v>7863</v>
      </c>
      <c r="M2260" s="1">
        <v>79.0</v>
      </c>
      <c r="N2260" s="1" t="s">
        <v>1152</v>
      </c>
      <c r="O2260" s="3" t="s">
        <v>10810</v>
      </c>
      <c r="P2260" s="1" t="s">
        <v>1152</v>
      </c>
      <c r="Q2260" s="1" t="s">
        <v>1152</v>
      </c>
      <c r="R2260" s="1"/>
      <c r="S2260" s="1"/>
      <c r="T2260" s="1" t="s">
        <v>1152</v>
      </c>
      <c r="U2260" s="1" t="s">
        <v>6053</v>
      </c>
      <c r="V2260" s="4" t="s">
        <v>10810</v>
      </c>
      <c r="W2260" s="1"/>
      <c r="X2260" s="1" t="s">
        <v>1152</v>
      </c>
      <c r="Y2260" s="1" t="s">
        <v>1152</v>
      </c>
      <c r="Z2260" s="1"/>
      <c r="AA2260" s="1"/>
      <c r="AB2260" s="1"/>
      <c r="AC2260" s="1" t="s">
        <v>1925</v>
      </c>
      <c r="AD2260" s="1"/>
      <c r="AE2260" s="18">
        <v>46149.0</v>
      </c>
      <c r="AF2260" s="1" t="s">
        <v>1349</v>
      </c>
      <c r="AG2260" s="1" t="s">
        <v>52</v>
      </c>
      <c r="AH2260" s="1" t="s">
        <v>1152</v>
      </c>
      <c r="AI2260" s="1" t="s">
        <v>1152</v>
      </c>
      <c r="AJ2260" s="1" t="s">
        <v>10811</v>
      </c>
      <c r="AK2260" s="1" t="s">
        <v>1152</v>
      </c>
      <c r="AL2260" s="6"/>
      <c r="AM2260" s="12">
        <v>6.103570021E9</v>
      </c>
    </row>
    <row r="2261">
      <c r="A2261" s="5" t="s">
        <v>10812</v>
      </c>
      <c r="B2261" s="1" t="s">
        <v>10813</v>
      </c>
      <c r="C2261" s="1" t="s">
        <v>9931</v>
      </c>
      <c r="D2261" s="2">
        <v>12404178083</v>
      </c>
      <c r="E2261" s="1" t="s">
        <v>10814</v>
      </c>
      <c r="F2261" s="1" t="s">
        <v>10815</v>
      </c>
      <c r="G2261" s="1" t="s">
        <v>10816</v>
      </c>
      <c r="H2261" s="1" t="s">
        <v>1005</v>
      </c>
      <c r="I2261" s="1" t="s">
        <v>10817</v>
      </c>
      <c r="J2261" s="1" t="s">
        <v>752</v>
      </c>
      <c r="K2261" s="1" t="s">
        <v>892</v>
      </c>
      <c r="L2261" s="1" t="s">
        <v>8006</v>
      </c>
      <c r="M2261" s="1">
        <v>49.0</v>
      </c>
      <c r="N2261" s="1" t="s">
        <v>1152</v>
      </c>
      <c r="O2261" s="3"/>
      <c r="P2261" s="1" t="s">
        <v>1152</v>
      </c>
      <c r="Q2261" s="1" t="s">
        <v>1152</v>
      </c>
      <c r="R2261" s="1" t="s">
        <v>10815</v>
      </c>
      <c r="S2261" s="1"/>
      <c r="T2261" s="1" t="s">
        <v>1152</v>
      </c>
      <c r="U2261" s="1"/>
      <c r="V2261" s="4"/>
      <c r="W2261" s="1" t="s">
        <v>10815</v>
      </c>
      <c r="X2261" s="1" t="s">
        <v>1152</v>
      </c>
      <c r="Y2261" s="1" t="s">
        <v>1152</v>
      </c>
      <c r="Z2261" s="1"/>
      <c r="AA2261" s="1" t="s">
        <v>10815</v>
      </c>
      <c r="AB2261" s="1"/>
      <c r="AC2261" s="1" t="s">
        <v>1925</v>
      </c>
      <c r="AD2261" s="1"/>
      <c r="AE2261" s="18">
        <v>46164.0</v>
      </c>
      <c r="AF2261" s="1" t="s">
        <v>1349</v>
      </c>
      <c r="AG2261" s="1" t="s">
        <v>124</v>
      </c>
      <c r="AH2261" s="1" t="s">
        <v>10818</v>
      </c>
      <c r="AI2261" s="1" t="s">
        <v>1152</v>
      </c>
      <c r="AJ2261" s="1" t="s">
        <v>9935</v>
      </c>
      <c r="AK2261" s="1" t="s">
        <v>1152</v>
      </c>
      <c r="AL2261" s="6"/>
      <c r="AM2261" s="12">
        <v>3.01300043E9</v>
      </c>
    </row>
    <row r="2262">
      <c r="A2262" s="5" t="s">
        <v>10819</v>
      </c>
      <c r="B2262" s="1" t="s">
        <v>10820</v>
      </c>
      <c r="C2262" s="1" t="s">
        <v>10821</v>
      </c>
      <c r="D2262" s="2">
        <v>6.282198206E9</v>
      </c>
      <c r="E2262" s="1" t="s">
        <v>388</v>
      </c>
      <c r="F2262" s="1"/>
      <c r="G2262" s="1" t="s">
        <v>3678</v>
      </c>
      <c r="H2262" s="1" t="s">
        <v>989</v>
      </c>
      <c r="I2262" s="1">
        <v>95070.0</v>
      </c>
      <c r="J2262" s="1" t="s">
        <v>752</v>
      </c>
      <c r="K2262" s="1" t="s">
        <v>42</v>
      </c>
      <c r="L2262" s="1" t="s">
        <v>6819</v>
      </c>
      <c r="M2262" s="1">
        <v>49.0</v>
      </c>
      <c r="N2262" s="1" t="s">
        <v>1152</v>
      </c>
      <c r="O2262" s="3" t="s">
        <v>2351</v>
      </c>
      <c r="P2262" s="1" t="s">
        <v>1152</v>
      </c>
      <c r="Q2262" s="1" t="s">
        <v>1152</v>
      </c>
      <c r="R2262" s="1"/>
      <c r="S2262" s="1"/>
      <c r="T2262" s="1" t="s">
        <v>1152</v>
      </c>
      <c r="U2262" s="1" t="s">
        <v>6053</v>
      </c>
      <c r="V2262" s="4" t="s">
        <v>2351</v>
      </c>
      <c r="W2262" s="1"/>
      <c r="X2262" s="1" t="s">
        <v>1152</v>
      </c>
      <c r="Y2262" s="1" t="s">
        <v>1152</v>
      </c>
      <c r="Z2262" s="1"/>
      <c r="AA2262" s="1"/>
      <c r="AB2262" s="1"/>
      <c r="AC2262" s="1" t="s">
        <v>1925</v>
      </c>
      <c r="AD2262" s="1"/>
      <c r="AE2262" s="18">
        <v>46148.0</v>
      </c>
      <c r="AF2262" s="1" t="s">
        <v>1349</v>
      </c>
      <c r="AG2262" s="1" t="s">
        <v>52</v>
      </c>
      <c r="AH2262" s="1" t="s">
        <v>1152</v>
      </c>
      <c r="AI2262" s="1" t="s">
        <v>1152</v>
      </c>
      <c r="AJ2262" s="1" t="s">
        <v>388</v>
      </c>
      <c r="AK2262" s="1" t="s">
        <v>1152</v>
      </c>
      <c r="AL2262" s="6"/>
      <c r="AM2262" s="12">
        <v>6.282198206E9</v>
      </c>
    </row>
    <row r="2263">
      <c r="A2263" s="5" t="s">
        <v>10822</v>
      </c>
      <c r="B2263" s="1" t="s">
        <v>10823</v>
      </c>
      <c r="C2263" s="1" t="s">
        <v>10824</v>
      </c>
      <c r="D2263" s="2">
        <v>8.622060481E9</v>
      </c>
      <c r="E2263" s="1" t="s">
        <v>4716</v>
      </c>
      <c r="F2263" s="1"/>
      <c r="G2263" s="1" t="s">
        <v>4759</v>
      </c>
      <c r="H2263" s="1" t="s">
        <v>1053</v>
      </c>
      <c r="I2263" s="1">
        <v>7928.0</v>
      </c>
      <c r="J2263" s="1" t="s">
        <v>752</v>
      </c>
      <c r="K2263" s="1" t="s">
        <v>892</v>
      </c>
      <c r="L2263" s="1" t="s">
        <v>8006</v>
      </c>
      <c r="M2263" s="1">
        <v>49.0</v>
      </c>
      <c r="N2263" s="1" t="s">
        <v>1152</v>
      </c>
      <c r="O2263" s="3" t="s">
        <v>10825</v>
      </c>
      <c r="P2263" s="1" t="s">
        <v>1152</v>
      </c>
      <c r="Q2263" s="1" t="s">
        <v>1152</v>
      </c>
      <c r="R2263" s="1"/>
      <c r="S2263" s="1"/>
      <c r="T2263" s="1" t="s">
        <v>1152</v>
      </c>
      <c r="U2263" s="1" t="s">
        <v>1201</v>
      </c>
      <c r="V2263" s="4" t="s">
        <v>10825</v>
      </c>
      <c r="W2263" s="1"/>
      <c r="X2263" s="1" t="s">
        <v>1152</v>
      </c>
      <c r="Y2263" s="1" t="s">
        <v>1152</v>
      </c>
      <c r="Z2263" s="1"/>
      <c r="AA2263" s="1"/>
      <c r="AB2263" s="1"/>
      <c r="AC2263" s="1" t="s">
        <v>1925</v>
      </c>
      <c r="AD2263" s="1"/>
      <c r="AE2263" s="18">
        <v>46146.0</v>
      </c>
      <c r="AF2263" s="1" t="s">
        <v>1630</v>
      </c>
      <c r="AG2263" s="1" t="s">
        <v>52</v>
      </c>
      <c r="AH2263" s="1" t="s">
        <v>10826</v>
      </c>
      <c r="AI2263" s="1" t="s">
        <v>1152</v>
      </c>
      <c r="AJ2263" s="1" t="s">
        <v>4716</v>
      </c>
      <c r="AK2263" s="1" t="s">
        <v>1152</v>
      </c>
      <c r="AL2263" s="6"/>
      <c r="AM2263" s="12">
        <v>8.622060481E9</v>
      </c>
    </row>
    <row r="2264">
      <c r="A2264" s="5" t="s">
        <v>10827</v>
      </c>
      <c r="B2264" s="1" t="s">
        <v>10828</v>
      </c>
      <c r="C2264" s="1" t="s">
        <v>10829</v>
      </c>
      <c r="D2264" s="2">
        <v>8.083438168E9</v>
      </c>
      <c r="E2264" s="1" t="s">
        <v>10830</v>
      </c>
      <c r="F2264" s="1"/>
      <c r="G2264" s="1" t="s">
        <v>10831</v>
      </c>
      <c r="H2264" s="1" t="s">
        <v>2486</v>
      </c>
      <c r="I2264" s="1">
        <v>96706.0</v>
      </c>
      <c r="J2264" s="1" t="s">
        <v>752</v>
      </c>
      <c r="K2264" s="1" t="s">
        <v>42</v>
      </c>
      <c r="L2264" s="1" t="s">
        <v>6819</v>
      </c>
      <c r="M2264" s="1">
        <v>49.0</v>
      </c>
      <c r="N2264" s="1" t="s">
        <v>1152</v>
      </c>
      <c r="O2264" s="3" t="s">
        <v>10832</v>
      </c>
      <c r="P2264" s="1" t="s">
        <v>1152</v>
      </c>
      <c r="Q2264" s="1" t="s">
        <v>1152</v>
      </c>
      <c r="R2264" s="1"/>
      <c r="S2264" s="1"/>
      <c r="T2264" s="1" t="s">
        <v>1152</v>
      </c>
      <c r="U2264" s="1" t="s">
        <v>7909</v>
      </c>
      <c r="V2264" s="4" t="s">
        <v>10832</v>
      </c>
      <c r="W2264" s="1"/>
      <c r="X2264" s="1" t="s">
        <v>1152</v>
      </c>
      <c r="Y2264" s="1" t="s">
        <v>1152</v>
      </c>
      <c r="Z2264" s="1"/>
      <c r="AA2264" s="1"/>
      <c r="AB2264" s="1"/>
      <c r="AC2264" s="1" t="s">
        <v>1925</v>
      </c>
      <c r="AD2264" s="1"/>
      <c r="AE2264" s="18">
        <v>46144.0</v>
      </c>
      <c r="AF2264" s="1" t="s">
        <v>1030</v>
      </c>
      <c r="AG2264" s="1" t="s">
        <v>52</v>
      </c>
      <c r="AH2264" s="1" t="s">
        <v>1152</v>
      </c>
      <c r="AI2264" s="1" t="s">
        <v>1152</v>
      </c>
      <c r="AJ2264" s="1" t="s">
        <v>10830</v>
      </c>
      <c r="AK2264" s="1" t="s">
        <v>1152</v>
      </c>
      <c r="AL2264" s="6"/>
      <c r="AM2264" s="12">
        <v>8.083438168E9</v>
      </c>
    </row>
    <row r="2265">
      <c r="A2265" s="5" t="s">
        <v>10833</v>
      </c>
      <c r="B2265" s="1" t="s">
        <v>10834</v>
      </c>
      <c r="C2265" s="1" t="s">
        <v>1997</v>
      </c>
      <c r="D2265" s="2">
        <v>2.038181729E9</v>
      </c>
      <c r="E2265" s="1" t="s">
        <v>1998</v>
      </c>
      <c r="F2265" s="1"/>
      <c r="G2265" s="1" t="s">
        <v>1604</v>
      </c>
      <c r="H2265" s="1" t="s">
        <v>1078</v>
      </c>
      <c r="I2265" s="1">
        <v>6880.0</v>
      </c>
      <c r="J2265" s="1" t="s">
        <v>752</v>
      </c>
      <c r="K2265" s="1" t="s">
        <v>2131</v>
      </c>
      <c r="L2265" s="1" t="s">
        <v>5736</v>
      </c>
      <c r="M2265" s="1">
        <v>1.0</v>
      </c>
      <c r="N2265" s="1" t="s">
        <v>1152</v>
      </c>
      <c r="O2265" s="3" t="s">
        <v>174</v>
      </c>
      <c r="P2265" s="1" t="s">
        <v>1152</v>
      </c>
      <c r="Q2265" s="1" t="s">
        <v>1152</v>
      </c>
      <c r="R2265" s="1"/>
      <c r="S2265" s="1"/>
      <c r="T2265" s="1" t="s">
        <v>1152</v>
      </c>
      <c r="U2265" s="1" t="s">
        <v>1133</v>
      </c>
      <c r="V2265" s="4" t="s">
        <v>174</v>
      </c>
      <c r="W2265" s="1"/>
      <c r="X2265" s="1" t="s">
        <v>1152</v>
      </c>
      <c r="Y2265" s="1" t="s">
        <v>1152</v>
      </c>
      <c r="Z2265" s="1"/>
      <c r="AA2265" s="1"/>
      <c r="AB2265" s="1"/>
      <c r="AC2265" s="1" t="s">
        <v>1925</v>
      </c>
      <c r="AD2265" s="1"/>
      <c r="AE2265" s="18">
        <v>46141.0</v>
      </c>
      <c r="AF2265" s="1"/>
      <c r="AG2265" s="1"/>
      <c r="AH2265" s="1" t="s">
        <v>1152</v>
      </c>
      <c r="AI2265" s="1" t="s">
        <v>1152</v>
      </c>
      <c r="AJ2265" s="1" t="s">
        <v>1998</v>
      </c>
      <c r="AK2265" s="1" t="s">
        <v>1152</v>
      </c>
      <c r="AL2265" s="6"/>
      <c r="AM2265" s="12">
        <v>2.038181729E9</v>
      </c>
    </row>
    <row r="2266">
      <c r="A2266" s="5" t="s">
        <v>10835</v>
      </c>
      <c r="B2266" s="1" t="s">
        <v>10836</v>
      </c>
      <c r="C2266" s="1" t="s">
        <v>1997</v>
      </c>
      <c r="D2266" s="2">
        <v>2.038181729E9</v>
      </c>
      <c r="E2266" s="1" t="s">
        <v>1998</v>
      </c>
      <c r="F2266" s="1"/>
      <c r="G2266" s="1" t="s">
        <v>1604</v>
      </c>
      <c r="H2266" s="1" t="s">
        <v>1078</v>
      </c>
      <c r="I2266" s="1">
        <v>6880.0</v>
      </c>
      <c r="J2266" s="1" t="s">
        <v>752</v>
      </c>
      <c r="K2266" s="1" t="s">
        <v>42</v>
      </c>
      <c r="L2266" s="1" t="s">
        <v>6819</v>
      </c>
      <c r="M2266" s="1">
        <v>49.0</v>
      </c>
      <c r="N2266" s="1" t="s">
        <v>1152</v>
      </c>
      <c r="O2266" s="3" t="s">
        <v>174</v>
      </c>
      <c r="P2266" s="1" t="s">
        <v>1152</v>
      </c>
      <c r="Q2266" s="1" t="s">
        <v>1152</v>
      </c>
      <c r="R2266" s="1"/>
      <c r="S2266" s="1"/>
      <c r="T2266" s="1" t="s">
        <v>1152</v>
      </c>
      <c r="U2266" s="1" t="s">
        <v>1133</v>
      </c>
      <c r="V2266" s="4" t="s">
        <v>174</v>
      </c>
      <c r="W2266" s="1"/>
      <c r="X2266" s="1" t="s">
        <v>1152</v>
      </c>
      <c r="Y2266" s="1" t="s">
        <v>1152</v>
      </c>
      <c r="Z2266" s="1"/>
      <c r="AA2266" s="1"/>
      <c r="AB2266" s="1"/>
      <c r="AC2266" s="1" t="s">
        <v>1925</v>
      </c>
      <c r="AD2266" s="1"/>
      <c r="AE2266" s="18">
        <v>46141.0</v>
      </c>
      <c r="AF2266" s="1" t="s">
        <v>1030</v>
      </c>
      <c r="AG2266" s="1" t="s">
        <v>52</v>
      </c>
      <c r="AH2266" s="1" t="s">
        <v>1152</v>
      </c>
      <c r="AI2266" s="1" t="s">
        <v>1152</v>
      </c>
      <c r="AJ2266" s="1" t="s">
        <v>1998</v>
      </c>
      <c r="AK2266" s="1" t="s">
        <v>1152</v>
      </c>
      <c r="AL2266" s="6"/>
      <c r="AM2266" s="12">
        <v>2.038181729E9</v>
      </c>
    </row>
    <row r="2267">
      <c r="A2267" s="5" t="s">
        <v>10837</v>
      </c>
      <c r="B2267" s="1" t="s">
        <v>10838</v>
      </c>
      <c r="C2267" s="1" t="s">
        <v>5690</v>
      </c>
      <c r="D2267" s="2">
        <v>9.783990241E9</v>
      </c>
      <c r="E2267" s="1" t="s">
        <v>5691</v>
      </c>
      <c r="F2267" s="1"/>
      <c r="G2267" s="1" t="s">
        <v>5692</v>
      </c>
      <c r="H2267" s="1" t="s">
        <v>1121</v>
      </c>
      <c r="I2267" s="1">
        <v>1886.0</v>
      </c>
      <c r="J2267" s="1" t="s">
        <v>752</v>
      </c>
      <c r="K2267" s="1" t="s">
        <v>42</v>
      </c>
      <c r="L2267" s="1" t="s">
        <v>6819</v>
      </c>
      <c r="M2267" s="1">
        <v>49.0</v>
      </c>
      <c r="N2267" s="1" t="s">
        <v>1152</v>
      </c>
      <c r="O2267" s="3" t="s">
        <v>5693</v>
      </c>
      <c r="P2267" s="1" t="s">
        <v>1152</v>
      </c>
      <c r="Q2267" s="1" t="s">
        <v>1152</v>
      </c>
      <c r="R2267" s="1"/>
      <c r="S2267" s="1"/>
      <c r="T2267" s="1" t="s">
        <v>1152</v>
      </c>
      <c r="U2267" s="1" t="s">
        <v>1749</v>
      </c>
      <c r="V2267" s="4" t="s">
        <v>5693</v>
      </c>
      <c r="W2267" s="1"/>
      <c r="X2267" s="1" t="s">
        <v>1152</v>
      </c>
      <c r="Y2267" s="1" t="s">
        <v>1152</v>
      </c>
      <c r="Z2267" s="1"/>
      <c r="AA2267" s="1"/>
      <c r="AB2267" s="1"/>
      <c r="AC2267" s="1" t="s">
        <v>1925</v>
      </c>
      <c r="AD2267" s="1"/>
      <c r="AE2267" s="18">
        <v>46147.0</v>
      </c>
      <c r="AF2267" s="1" t="s">
        <v>1103</v>
      </c>
      <c r="AG2267" s="1" t="s">
        <v>52</v>
      </c>
      <c r="AH2267" s="1" t="s">
        <v>1152</v>
      </c>
      <c r="AI2267" s="1" t="s">
        <v>1152</v>
      </c>
      <c r="AJ2267" s="1" t="s">
        <v>10839</v>
      </c>
      <c r="AK2267" s="1" t="s">
        <v>1152</v>
      </c>
      <c r="AL2267" s="6"/>
      <c r="AM2267" s="12">
        <v>9.788502258E9</v>
      </c>
    </row>
    <row r="2268">
      <c r="A2268" s="5" t="s">
        <v>10840</v>
      </c>
      <c r="B2268" s="1" t="s">
        <v>10841</v>
      </c>
      <c r="C2268" s="1" t="s">
        <v>4249</v>
      </c>
      <c r="D2268" s="2">
        <v>4.109633683E9</v>
      </c>
      <c r="E2268" s="1" t="s">
        <v>4250</v>
      </c>
      <c r="F2268" s="1"/>
      <c r="G2268" s="1" t="s">
        <v>4251</v>
      </c>
      <c r="H2268" s="1" t="s">
        <v>1005</v>
      </c>
      <c r="I2268" s="1">
        <v>21136.0</v>
      </c>
      <c r="J2268" s="1" t="s">
        <v>752</v>
      </c>
      <c r="K2268" s="1" t="s">
        <v>42</v>
      </c>
      <c r="L2268" s="1" t="s">
        <v>6819</v>
      </c>
      <c r="M2268" s="1">
        <v>49.0</v>
      </c>
      <c r="N2268" s="1" t="s">
        <v>1152</v>
      </c>
      <c r="O2268" s="3" t="s">
        <v>10842</v>
      </c>
      <c r="P2268" s="1" t="s">
        <v>1152</v>
      </c>
      <c r="Q2268" s="1" t="s">
        <v>1152</v>
      </c>
      <c r="R2268" s="1"/>
      <c r="S2268" s="1"/>
      <c r="T2268" s="1" t="s">
        <v>1152</v>
      </c>
      <c r="U2268" s="1" t="s">
        <v>1148</v>
      </c>
      <c r="V2268" s="4" t="s">
        <v>10842</v>
      </c>
      <c r="W2268" s="1"/>
      <c r="X2268" s="1" t="s">
        <v>1152</v>
      </c>
      <c r="Y2268" s="1" t="s">
        <v>1152</v>
      </c>
      <c r="Z2268" s="1"/>
      <c r="AA2268" s="1"/>
      <c r="AB2268" s="1"/>
      <c r="AC2268" s="1" t="s">
        <v>1925</v>
      </c>
      <c r="AD2268" s="1"/>
      <c r="AE2268" s="18">
        <v>46149.0</v>
      </c>
      <c r="AF2268" s="1" t="s">
        <v>1349</v>
      </c>
      <c r="AG2268" s="1" t="s">
        <v>52</v>
      </c>
      <c r="AH2268" s="1" t="s">
        <v>1152</v>
      </c>
      <c r="AI2268" s="1" t="s">
        <v>1152</v>
      </c>
      <c r="AJ2268" s="1" t="s">
        <v>10843</v>
      </c>
      <c r="AK2268" s="1" t="s">
        <v>1152</v>
      </c>
      <c r="AL2268" s="6"/>
      <c r="AM2268" s="12">
        <v>4.439898256E9</v>
      </c>
    </row>
    <row r="2269">
      <c r="A2269" s="5" t="s">
        <v>10844</v>
      </c>
      <c r="B2269" s="1" t="s">
        <v>10845</v>
      </c>
      <c r="C2269" s="1" t="s">
        <v>6310</v>
      </c>
      <c r="D2269" s="2">
        <v>6.268315472E9</v>
      </c>
      <c r="E2269" s="1" t="s">
        <v>4124</v>
      </c>
      <c r="F2269" s="1"/>
      <c r="G2269" s="1" t="s">
        <v>3119</v>
      </c>
      <c r="H2269" s="1" t="s">
        <v>989</v>
      </c>
      <c r="I2269" s="1">
        <v>91106.0</v>
      </c>
      <c r="J2269" s="1" t="s">
        <v>752</v>
      </c>
      <c r="K2269" s="1" t="s">
        <v>892</v>
      </c>
      <c r="L2269" s="1" t="s">
        <v>8006</v>
      </c>
      <c r="M2269" s="1">
        <v>49.0</v>
      </c>
      <c r="N2269" s="1" t="s">
        <v>1152</v>
      </c>
      <c r="O2269" s="3" t="s">
        <v>4087</v>
      </c>
      <c r="P2269" s="1" t="s">
        <v>1152</v>
      </c>
      <c r="Q2269" s="1" t="s">
        <v>1152</v>
      </c>
      <c r="R2269" s="1"/>
      <c r="S2269" s="1"/>
      <c r="T2269" s="1" t="s">
        <v>1152</v>
      </c>
      <c r="U2269" s="1" t="s">
        <v>1167</v>
      </c>
      <c r="V2269" s="4" t="s">
        <v>4087</v>
      </c>
      <c r="W2269" s="1"/>
      <c r="X2269" s="1" t="s">
        <v>1152</v>
      </c>
      <c r="Y2269" s="1" t="s">
        <v>1152</v>
      </c>
      <c r="Z2269" s="1"/>
      <c r="AA2269" s="1"/>
      <c r="AB2269" s="1"/>
      <c r="AC2269" s="1" t="s">
        <v>1925</v>
      </c>
      <c r="AD2269" s="1"/>
      <c r="AE2269" s="18">
        <v>46149.0</v>
      </c>
      <c r="AF2269" s="1" t="s">
        <v>1349</v>
      </c>
      <c r="AG2269" s="1" t="s">
        <v>52</v>
      </c>
      <c r="AH2269" s="1" t="s">
        <v>10846</v>
      </c>
      <c r="AI2269" s="1" t="s">
        <v>1152</v>
      </c>
      <c r="AJ2269" s="1" t="s">
        <v>4124</v>
      </c>
      <c r="AK2269" s="1" t="s">
        <v>1152</v>
      </c>
      <c r="AL2269" s="6"/>
      <c r="AM2269" s="12">
        <v>6.265506233E9</v>
      </c>
    </row>
    <row r="2270">
      <c r="A2270" s="5" t="s">
        <v>10847</v>
      </c>
      <c r="B2270" s="1" t="s">
        <v>10848</v>
      </c>
      <c r="C2270" s="1" t="s">
        <v>10849</v>
      </c>
      <c r="D2270" s="2">
        <v>3.144482959E9</v>
      </c>
      <c r="E2270" s="1" t="s">
        <v>7766</v>
      </c>
      <c r="F2270" s="1"/>
      <c r="G2270" s="1" t="s">
        <v>2350</v>
      </c>
      <c r="H2270" s="1" t="s">
        <v>1155</v>
      </c>
      <c r="I2270" s="1">
        <v>63130.0</v>
      </c>
      <c r="J2270" s="1" t="s">
        <v>752</v>
      </c>
      <c r="K2270" s="1" t="s">
        <v>42</v>
      </c>
      <c r="L2270" s="1" t="s">
        <v>7863</v>
      </c>
      <c r="M2270" s="1">
        <v>79.0</v>
      </c>
      <c r="N2270" s="1" t="s">
        <v>1152</v>
      </c>
      <c r="O2270" s="3" t="s">
        <v>6550</v>
      </c>
      <c r="P2270" s="1" t="s">
        <v>1152</v>
      </c>
      <c r="Q2270" s="1" t="s">
        <v>1152</v>
      </c>
      <c r="R2270" s="1"/>
      <c r="S2270" s="1"/>
      <c r="T2270" s="1" t="s">
        <v>1152</v>
      </c>
      <c r="U2270" s="1" t="s">
        <v>2940</v>
      </c>
      <c r="V2270" s="4" t="s">
        <v>6550</v>
      </c>
      <c r="W2270" s="1"/>
      <c r="X2270" s="1" t="s">
        <v>1152</v>
      </c>
      <c r="Y2270" s="1" t="s">
        <v>1152</v>
      </c>
      <c r="Z2270" s="1"/>
      <c r="AA2270" s="1"/>
      <c r="AB2270" s="1"/>
      <c r="AC2270" s="1" t="s">
        <v>1925</v>
      </c>
      <c r="AD2270" s="1"/>
      <c r="AE2270" s="18">
        <v>46143.0</v>
      </c>
      <c r="AF2270" s="1" t="s">
        <v>1349</v>
      </c>
      <c r="AG2270" s="1" t="s">
        <v>52</v>
      </c>
      <c r="AH2270" s="1" t="s">
        <v>1152</v>
      </c>
      <c r="AI2270" s="1" t="s">
        <v>1152</v>
      </c>
      <c r="AJ2270" s="1" t="s">
        <v>7766</v>
      </c>
      <c r="AK2270" s="1" t="s">
        <v>1152</v>
      </c>
      <c r="AL2270" s="6"/>
      <c r="AM2270" s="12">
        <v>3.144482959E9</v>
      </c>
    </row>
    <row r="2271">
      <c r="A2271" s="5" t="s">
        <v>10850</v>
      </c>
      <c r="B2271" s="1" t="s">
        <v>10851</v>
      </c>
      <c r="C2271" s="1" t="s">
        <v>10852</v>
      </c>
      <c r="D2271" s="2">
        <v>3.145655716E9</v>
      </c>
      <c r="E2271" s="1" t="s">
        <v>10853</v>
      </c>
      <c r="F2271" s="1"/>
      <c r="G2271" s="1" t="s">
        <v>1283</v>
      </c>
      <c r="H2271" s="1" t="s">
        <v>1155</v>
      </c>
      <c r="I2271" s="1">
        <v>63105.0</v>
      </c>
      <c r="J2271" s="1" t="s">
        <v>752</v>
      </c>
      <c r="K2271" s="1" t="s">
        <v>42</v>
      </c>
      <c r="L2271" s="1" t="s">
        <v>6819</v>
      </c>
      <c r="M2271" s="1">
        <v>49.0</v>
      </c>
      <c r="N2271" s="1" t="s">
        <v>1152</v>
      </c>
      <c r="O2271" s="3" t="s">
        <v>2927</v>
      </c>
      <c r="P2271" s="1" t="s">
        <v>1152</v>
      </c>
      <c r="Q2271" s="1" t="s">
        <v>1152</v>
      </c>
      <c r="R2271" s="1"/>
      <c r="S2271" s="1"/>
      <c r="T2271" s="1" t="s">
        <v>1152</v>
      </c>
      <c r="U2271" s="1" t="s">
        <v>1021</v>
      </c>
      <c r="V2271" s="4" t="s">
        <v>2927</v>
      </c>
      <c r="W2271" s="1"/>
      <c r="X2271" s="1" t="s">
        <v>1152</v>
      </c>
      <c r="Y2271" s="1" t="s">
        <v>1152</v>
      </c>
      <c r="Z2271" s="1"/>
      <c r="AA2271" s="1"/>
      <c r="AB2271" s="1"/>
      <c r="AC2271" s="1" t="s">
        <v>1925</v>
      </c>
      <c r="AD2271" s="1"/>
      <c r="AE2271" s="18">
        <v>46148.0</v>
      </c>
      <c r="AF2271" s="1" t="s">
        <v>1630</v>
      </c>
      <c r="AG2271" s="1" t="s">
        <v>52</v>
      </c>
      <c r="AH2271" s="1" t="s">
        <v>1152</v>
      </c>
      <c r="AI2271" s="1" t="s">
        <v>1152</v>
      </c>
      <c r="AJ2271" s="1" t="s">
        <v>10853</v>
      </c>
      <c r="AK2271" s="1" t="s">
        <v>1152</v>
      </c>
      <c r="AL2271" s="6"/>
      <c r="AM2271" s="12">
        <v>3.145655716E9</v>
      </c>
    </row>
    <row r="2272">
      <c r="A2272" s="5" t="s">
        <v>10854</v>
      </c>
      <c r="B2272" s="1" t="s">
        <v>10855</v>
      </c>
      <c r="C2272" s="1" t="s">
        <v>10856</v>
      </c>
      <c r="D2272" s="2">
        <v>9.176793079E9</v>
      </c>
      <c r="E2272" s="1" t="s">
        <v>10857</v>
      </c>
      <c r="F2272" s="1"/>
      <c r="G2272" s="1" t="s">
        <v>1684</v>
      </c>
      <c r="H2272" s="1" t="s">
        <v>751</v>
      </c>
      <c r="I2272" s="1">
        <v>11205.0</v>
      </c>
      <c r="J2272" s="1" t="s">
        <v>752</v>
      </c>
      <c r="K2272" s="1" t="s">
        <v>42</v>
      </c>
      <c r="L2272" s="1" t="s">
        <v>6819</v>
      </c>
      <c r="M2272" s="1">
        <v>49.0</v>
      </c>
      <c r="N2272" s="1" t="s">
        <v>1152</v>
      </c>
      <c r="O2272" s="3" t="s">
        <v>10858</v>
      </c>
      <c r="P2272" s="1" t="s">
        <v>1152</v>
      </c>
      <c r="Q2272" s="1" t="s">
        <v>1152</v>
      </c>
      <c r="R2272" s="1"/>
      <c r="S2272" s="1"/>
      <c r="T2272" s="1" t="s">
        <v>1152</v>
      </c>
      <c r="U2272" s="1" t="s">
        <v>1794</v>
      </c>
      <c r="V2272" s="4" t="s">
        <v>10858</v>
      </c>
      <c r="W2272" s="1"/>
      <c r="X2272" s="1" t="s">
        <v>1152</v>
      </c>
      <c r="Y2272" s="1" t="s">
        <v>1152</v>
      </c>
      <c r="Z2272" s="1"/>
      <c r="AA2272" s="1"/>
      <c r="AB2272" s="1"/>
      <c r="AC2272" s="1" t="s">
        <v>1925</v>
      </c>
      <c r="AD2272" s="1"/>
      <c r="AE2272" s="18">
        <v>46144.0</v>
      </c>
      <c r="AF2272" s="1" t="s">
        <v>1030</v>
      </c>
      <c r="AG2272" s="1" t="s">
        <v>52</v>
      </c>
      <c r="AH2272" s="1" t="s">
        <v>1152</v>
      </c>
      <c r="AI2272" s="1" t="s">
        <v>1152</v>
      </c>
      <c r="AJ2272" s="1" t="s">
        <v>10857</v>
      </c>
      <c r="AK2272" s="1" t="s">
        <v>1152</v>
      </c>
      <c r="AL2272" s="6"/>
      <c r="AM2272" s="12">
        <v>9.176793079E9</v>
      </c>
    </row>
    <row r="2273">
      <c r="A2273" s="5" t="s">
        <v>10859</v>
      </c>
      <c r="B2273" s="1" t="s">
        <v>10860</v>
      </c>
      <c r="C2273" s="1" t="s">
        <v>1118</v>
      </c>
      <c r="D2273" s="2">
        <v>6.175153061E9</v>
      </c>
      <c r="E2273" s="1" t="s">
        <v>10861</v>
      </c>
      <c r="F2273" s="1"/>
      <c r="G2273" s="1" t="s">
        <v>1120</v>
      </c>
      <c r="H2273" s="1" t="s">
        <v>1121</v>
      </c>
      <c r="I2273" s="1">
        <v>2132.0</v>
      </c>
      <c r="J2273" s="1" t="s">
        <v>752</v>
      </c>
      <c r="K2273" s="1" t="s">
        <v>42</v>
      </c>
      <c r="L2273" s="1" t="s">
        <v>7863</v>
      </c>
      <c r="M2273" s="1">
        <v>79.0</v>
      </c>
      <c r="N2273" s="1" t="s">
        <v>1152</v>
      </c>
      <c r="O2273" s="3" t="s">
        <v>45</v>
      </c>
      <c r="P2273" s="1" t="s">
        <v>1152</v>
      </c>
      <c r="Q2273" s="1" t="s">
        <v>1152</v>
      </c>
      <c r="R2273" s="1"/>
      <c r="S2273" s="1"/>
      <c r="T2273" s="1" t="s">
        <v>1152</v>
      </c>
      <c r="U2273" s="1" t="s">
        <v>6053</v>
      </c>
      <c r="V2273" s="4" t="s">
        <v>45</v>
      </c>
      <c r="W2273" s="1"/>
      <c r="X2273" s="1" t="s">
        <v>1152</v>
      </c>
      <c r="Y2273" s="1" t="s">
        <v>1152</v>
      </c>
      <c r="Z2273" s="1"/>
      <c r="AA2273" s="1"/>
      <c r="AB2273" s="1"/>
      <c r="AC2273" s="1" t="s">
        <v>1925</v>
      </c>
      <c r="AD2273" s="1"/>
      <c r="AE2273" s="18">
        <v>46148.0</v>
      </c>
      <c r="AF2273" s="1" t="s">
        <v>1030</v>
      </c>
      <c r="AG2273" s="1" t="s">
        <v>52</v>
      </c>
      <c r="AH2273" s="1" t="s">
        <v>1152</v>
      </c>
      <c r="AI2273" s="1" t="s">
        <v>1152</v>
      </c>
      <c r="AJ2273" s="1" t="s">
        <v>10862</v>
      </c>
      <c r="AK2273" s="1" t="s">
        <v>1152</v>
      </c>
      <c r="AL2273" s="6"/>
      <c r="AM2273" s="12">
        <v>8.573600811E9</v>
      </c>
    </row>
    <row r="2274">
      <c r="A2274" s="5" t="s">
        <v>10863</v>
      </c>
      <c r="B2274" s="1" t="s">
        <v>10864</v>
      </c>
      <c r="C2274" s="1" t="s">
        <v>2780</v>
      </c>
      <c r="D2274" s="2">
        <v>9.178415578E9</v>
      </c>
      <c r="E2274" s="1" t="s">
        <v>2781</v>
      </c>
      <c r="F2274" s="1"/>
      <c r="G2274" s="1" t="s">
        <v>751</v>
      </c>
      <c r="H2274" s="1" t="s">
        <v>751</v>
      </c>
      <c r="I2274" s="1">
        <v>10023.0</v>
      </c>
      <c r="J2274" s="1" t="s">
        <v>752</v>
      </c>
      <c r="K2274" s="1" t="s">
        <v>42</v>
      </c>
      <c r="L2274" s="1" t="s">
        <v>6819</v>
      </c>
      <c r="M2274" s="1">
        <v>49.0</v>
      </c>
      <c r="N2274" s="1" t="s">
        <v>1152</v>
      </c>
      <c r="O2274" s="3" t="s">
        <v>5635</v>
      </c>
      <c r="P2274" s="1" t="s">
        <v>1152</v>
      </c>
      <c r="Q2274" s="1" t="s">
        <v>1152</v>
      </c>
      <c r="R2274" s="1"/>
      <c r="S2274" s="1"/>
      <c r="T2274" s="1" t="s">
        <v>1152</v>
      </c>
      <c r="U2274" s="1" t="s">
        <v>1812</v>
      </c>
      <c r="V2274" s="4" t="s">
        <v>5635</v>
      </c>
      <c r="W2274" s="1"/>
      <c r="X2274" s="1" t="s">
        <v>1152</v>
      </c>
      <c r="Y2274" s="1" t="s">
        <v>1152</v>
      </c>
      <c r="Z2274" s="1"/>
      <c r="AA2274" s="1"/>
      <c r="AB2274" s="1"/>
      <c r="AC2274" s="1" t="s">
        <v>1925</v>
      </c>
      <c r="AD2274" s="1"/>
      <c r="AE2274" s="18">
        <v>46148.0</v>
      </c>
      <c r="AF2274" s="1" t="s">
        <v>1030</v>
      </c>
      <c r="AG2274" s="1" t="s">
        <v>52</v>
      </c>
      <c r="AH2274" s="1" t="s">
        <v>1152</v>
      </c>
      <c r="AI2274" s="1" t="s">
        <v>1152</v>
      </c>
      <c r="AJ2274" s="1" t="s">
        <v>6337</v>
      </c>
      <c r="AK2274" s="1" t="s">
        <v>1152</v>
      </c>
      <c r="AL2274" s="6"/>
      <c r="AM2274" s="12">
        <v>6.469392603E9</v>
      </c>
    </row>
    <row r="2275">
      <c r="A2275" s="5" t="s">
        <v>10865</v>
      </c>
      <c r="B2275" s="1" t="s">
        <v>10866</v>
      </c>
      <c r="C2275" s="1" t="s">
        <v>10867</v>
      </c>
      <c r="D2275" s="2">
        <v>2.678221995E9</v>
      </c>
      <c r="E2275" s="1" t="s">
        <v>1568</v>
      </c>
      <c r="F2275" s="1"/>
      <c r="G2275" s="1" t="s">
        <v>10868</v>
      </c>
      <c r="H2275" s="1" t="s">
        <v>1233</v>
      </c>
      <c r="I2275" s="1">
        <v>19444.0</v>
      </c>
      <c r="J2275" s="1" t="s">
        <v>752</v>
      </c>
      <c r="K2275" s="1" t="s">
        <v>42</v>
      </c>
      <c r="L2275" s="1" t="s">
        <v>6819</v>
      </c>
      <c r="M2275" s="1">
        <v>49.0</v>
      </c>
      <c r="N2275" s="1" t="s">
        <v>1152</v>
      </c>
      <c r="O2275" s="3" t="s">
        <v>3568</v>
      </c>
      <c r="P2275" s="1" t="s">
        <v>1152</v>
      </c>
      <c r="Q2275" s="1" t="s">
        <v>1152</v>
      </c>
      <c r="R2275" s="1"/>
      <c r="S2275" s="1"/>
      <c r="T2275" s="1" t="s">
        <v>1152</v>
      </c>
      <c r="U2275" s="1" t="s">
        <v>1324</v>
      </c>
      <c r="V2275" s="4" t="s">
        <v>3568</v>
      </c>
      <c r="W2275" s="1"/>
      <c r="X2275" s="1" t="s">
        <v>1152</v>
      </c>
      <c r="Y2275" s="1" t="s">
        <v>1152</v>
      </c>
      <c r="Z2275" s="1"/>
      <c r="AA2275" s="1"/>
      <c r="AB2275" s="1"/>
      <c r="AC2275" s="1" t="s">
        <v>1925</v>
      </c>
      <c r="AD2275" s="1"/>
      <c r="AE2275" s="18">
        <v>46149.0</v>
      </c>
      <c r="AF2275" s="1" t="s">
        <v>1349</v>
      </c>
      <c r="AG2275" s="1" t="s">
        <v>52</v>
      </c>
      <c r="AH2275" s="1" t="s">
        <v>1152</v>
      </c>
      <c r="AI2275" s="1" t="s">
        <v>1152</v>
      </c>
      <c r="AJ2275" s="1" t="s">
        <v>1568</v>
      </c>
      <c r="AK2275" s="1" t="s">
        <v>1152</v>
      </c>
      <c r="AL2275" s="6"/>
      <c r="AM2275" s="12">
        <v>2.678221995E9</v>
      </c>
    </row>
    <row r="2276">
      <c r="A2276" s="5" t="s">
        <v>10869</v>
      </c>
      <c r="B2276" s="1" t="s">
        <v>10870</v>
      </c>
      <c r="C2276" s="1" t="s">
        <v>10871</v>
      </c>
      <c r="D2276" s="2">
        <v>9.706234067E9</v>
      </c>
      <c r="E2276" s="1" t="s">
        <v>7935</v>
      </c>
      <c r="F2276" s="1"/>
      <c r="G2276" s="1" t="s">
        <v>7936</v>
      </c>
      <c r="H2276" s="1" t="s">
        <v>1891</v>
      </c>
      <c r="I2276" s="1">
        <v>80104.0</v>
      </c>
      <c r="J2276" s="1" t="s">
        <v>752</v>
      </c>
      <c r="K2276" s="1" t="s">
        <v>42</v>
      </c>
      <c r="L2276" s="1" t="s">
        <v>6819</v>
      </c>
      <c r="M2276" s="1">
        <v>49.0</v>
      </c>
      <c r="N2276" s="1" t="s">
        <v>1152</v>
      </c>
      <c r="O2276" s="3" t="s">
        <v>10872</v>
      </c>
      <c r="P2276" s="1" t="s">
        <v>1152</v>
      </c>
      <c r="Q2276" s="1" t="s">
        <v>1152</v>
      </c>
      <c r="R2276" s="1"/>
      <c r="S2276" s="1"/>
      <c r="T2276" s="1" t="s">
        <v>1152</v>
      </c>
      <c r="U2276" s="1" t="s">
        <v>1167</v>
      </c>
      <c r="V2276" s="4" t="s">
        <v>10872</v>
      </c>
      <c r="W2276" s="1"/>
      <c r="X2276" s="1" t="s">
        <v>1152</v>
      </c>
      <c r="Y2276" s="1" t="s">
        <v>1152</v>
      </c>
      <c r="Z2276" s="1"/>
      <c r="AA2276" s="1"/>
      <c r="AB2276" s="1"/>
      <c r="AC2276" s="1" t="s">
        <v>1925</v>
      </c>
      <c r="AD2276" s="1"/>
      <c r="AE2276" s="18">
        <v>46148.0</v>
      </c>
      <c r="AF2276" s="1" t="s">
        <v>1349</v>
      </c>
      <c r="AG2276" s="1" t="s">
        <v>52</v>
      </c>
      <c r="AH2276" s="1" t="s">
        <v>1152</v>
      </c>
      <c r="AI2276" s="1" t="s">
        <v>1152</v>
      </c>
      <c r="AJ2276" s="1" t="s">
        <v>5680</v>
      </c>
      <c r="AK2276" s="1" t="s">
        <v>1152</v>
      </c>
      <c r="AL2276" s="6"/>
      <c r="AM2276" s="12">
        <v>9.707613003E9</v>
      </c>
    </row>
    <row r="2277">
      <c r="A2277" s="5" t="s">
        <v>10873</v>
      </c>
      <c r="B2277" s="1" t="s">
        <v>10874</v>
      </c>
      <c r="C2277" s="1" t="s">
        <v>870</v>
      </c>
      <c r="D2277" s="2">
        <v>8.183140867E9</v>
      </c>
      <c r="E2277" s="1" t="s">
        <v>351</v>
      </c>
      <c r="F2277" s="1"/>
      <c r="G2277" s="1" t="s">
        <v>5051</v>
      </c>
      <c r="H2277" s="1" t="s">
        <v>989</v>
      </c>
      <c r="I2277" s="1">
        <v>91436.0</v>
      </c>
      <c r="J2277" s="1" t="s">
        <v>752</v>
      </c>
      <c r="K2277" s="1" t="s">
        <v>2131</v>
      </c>
      <c r="L2277" s="1" t="s">
        <v>5767</v>
      </c>
      <c r="M2277" s="1">
        <v>1.0</v>
      </c>
      <c r="N2277" s="1" t="s">
        <v>1152</v>
      </c>
      <c r="O2277" s="3" t="s">
        <v>353</v>
      </c>
      <c r="P2277" s="1" t="s">
        <v>1152</v>
      </c>
      <c r="Q2277" s="1" t="s">
        <v>1152</v>
      </c>
      <c r="R2277" s="1"/>
      <c r="S2277" s="1"/>
      <c r="T2277" s="1" t="s">
        <v>1152</v>
      </c>
      <c r="U2277" s="1" t="s">
        <v>956</v>
      </c>
      <c r="V2277" s="4" t="s">
        <v>353</v>
      </c>
      <c r="W2277" s="1"/>
      <c r="X2277" s="1" t="s">
        <v>1152</v>
      </c>
      <c r="Y2277" s="1" t="s">
        <v>1152</v>
      </c>
      <c r="Z2277" s="1"/>
      <c r="AA2277" s="1"/>
      <c r="AB2277" s="1"/>
      <c r="AC2277" s="1" t="s">
        <v>1925</v>
      </c>
      <c r="AD2277" s="1"/>
      <c r="AE2277" s="18">
        <v>46143.0</v>
      </c>
      <c r="AF2277" s="1"/>
      <c r="AG2277" s="1"/>
      <c r="AH2277" s="1" t="s">
        <v>1152</v>
      </c>
      <c r="AI2277" s="1" t="s">
        <v>1152</v>
      </c>
      <c r="AJ2277" s="1" t="s">
        <v>351</v>
      </c>
      <c r="AK2277" s="1" t="s">
        <v>1152</v>
      </c>
      <c r="AL2277" s="6"/>
      <c r="AM2277" s="12">
        <v>8.183140867E9</v>
      </c>
    </row>
    <row r="2278">
      <c r="A2278" s="5" t="s">
        <v>10875</v>
      </c>
      <c r="B2278" s="1" t="s">
        <v>10876</v>
      </c>
      <c r="C2278" s="1" t="s">
        <v>1627</v>
      </c>
      <c r="D2278" s="2">
        <v>6.503092445E9</v>
      </c>
      <c r="E2278" s="1" t="s">
        <v>1628</v>
      </c>
      <c r="F2278" s="1"/>
      <c r="G2278" s="1" t="s">
        <v>1474</v>
      </c>
      <c r="H2278" s="1" t="s">
        <v>989</v>
      </c>
      <c r="I2278" s="1">
        <v>94024.0</v>
      </c>
      <c r="J2278" s="1" t="s">
        <v>752</v>
      </c>
      <c r="K2278" s="1" t="s">
        <v>42</v>
      </c>
      <c r="L2278" s="1" t="s">
        <v>6819</v>
      </c>
      <c r="M2278" s="1">
        <v>49.0</v>
      </c>
      <c r="N2278" s="1" t="s">
        <v>1152</v>
      </c>
      <c r="O2278" s="3" t="s">
        <v>1629</v>
      </c>
      <c r="P2278" s="1" t="s">
        <v>1152</v>
      </c>
      <c r="Q2278" s="1" t="s">
        <v>1152</v>
      </c>
      <c r="R2278" s="1"/>
      <c r="S2278" s="1"/>
      <c r="T2278" s="1" t="s">
        <v>1152</v>
      </c>
      <c r="U2278" s="1" t="s">
        <v>1407</v>
      </c>
      <c r="V2278" s="4" t="s">
        <v>1629</v>
      </c>
      <c r="W2278" s="1"/>
      <c r="X2278" s="1" t="s">
        <v>1152</v>
      </c>
      <c r="Y2278" s="1" t="s">
        <v>1152</v>
      </c>
      <c r="Z2278" s="1"/>
      <c r="AA2278" s="1"/>
      <c r="AB2278" s="1"/>
      <c r="AC2278" s="1" t="s">
        <v>1925</v>
      </c>
      <c r="AD2278" s="1"/>
      <c r="AE2278" s="18">
        <v>46151.0</v>
      </c>
      <c r="AF2278" s="1" t="s">
        <v>1630</v>
      </c>
      <c r="AG2278" s="1" t="s">
        <v>52</v>
      </c>
      <c r="AH2278" s="1" t="s">
        <v>1152</v>
      </c>
      <c r="AI2278" s="1" t="s">
        <v>1152</v>
      </c>
      <c r="AJ2278" s="1" t="s">
        <v>1628</v>
      </c>
      <c r="AK2278" s="1" t="s">
        <v>1152</v>
      </c>
      <c r="AL2278" s="6"/>
      <c r="AM2278" s="12">
        <v>6.503092445E9</v>
      </c>
    </row>
    <row r="2279">
      <c r="A2279" s="5" t="s">
        <v>10877</v>
      </c>
      <c r="B2279" s="1" t="s">
        <v>10878</v>
      </c>
      <c r="C2279" s="1" t="s">
        <v>5664</v>
      </c>
      <c r="D2279" s="2">
        <v>9.7388529E9</v>
      </c>
      <c r="E2279" s="1" t="s">
        <v>5665</v>
      </c>
      <c r="F2279" s="1"/>
      <c r="G2279" s="1" t="s">
        <v>2350</v>
      </c>
      <c r="H2279" s="1" t="s">
        <v>1155</v>
      </c>
      <c r="I2279" s="1">
        <v>63130.0</v>
      </c>
      <c r="J2279" s="1" t="s">
        <v>752</v>
      </c>
      <c r="K2279" s="1" t="s">
        <v>42</v>
      </c>
      <c r="L2279" s="1" t="s">
        <v>6819</v>
      </c>
      <c r="M2279" s="1">
        <v>49.0</v>
      </c>
      <c r="N2279" s="1" t="s">
        <v>1152</v>
      </c>
      <c r="O2279" s="3" t="s">
        <v>5666</v>
      </c>
      <c r="P2279" s="1" t="s">
        <v>1152</v>
      </c>
      <c r="Q2279" s="1" t="s">
        <v>1152</v>
      </c>
      <c r="R2279" s="1"/>
      <c r="S2279" s="1"/>
      <c r="T2279" s="1" t="s">
        <v>1152</v>
      </c>
      <c r="U2279" s="1" t="s">
        <v>1021</v>
      </c>
      <c r="V2279" s="4" t="s">
        <v>5666</v>
      </c>
      <c r="W2279" s="1"/>
      <c r="X2279" s="1" t="s">
        <v>1152</v>
      </c>
      <c r="Y2279" s="1" t="s">
        <v>1152</v>
      </c>
      <c r="Z2279" s="1"/>
      <c r="AA2279" s="1"/>
      <c r="AB2279" s="1"/>
      <c r="AC2279" s="1" t="s">
        <v>1925</v>
      </c>
      <c r="AD2279" s="1"/>
      <c r="AE2279" s="18">
        <v>46157.0</v>
      </c>
      <c r="AF2279" s="1" t="s">
        <v>1349</v>
      </c>
      <c r="AG2279" s="1" t="s">
        <v>52</v>
      </c>
      <c r="AH2279" s="1" t="s">
        <v>1152</v>
      </c>
      <c r="AI2279" s="1" t="s">
        <v>1152</v>
      </c>
      <c r="AJ2279" s="1" t="s">
        <v>10879</v>
      </c>
      <c r="AK2279" s="1" t="s">
        <v>1152</v>
      </c>
      <c r="AL2279" s="6"/>
      <c r="AM2279" s="12">
        <v>9.7388529E9</v>
      </c>
    </row>
    <row r="2280">
      <c r="A2280" s="5" t="s">
        <v>10880</v>
      </c>
      <c r="B2280" s="1" t="s">
        <v>10881</v>
      </c>
      <c r="C2280" s="1" t="s">
        <v>10882</v>
      </c>
      <c r="D2280" s="2">
        <v>8.149254159E9</v>
      </c>
      <c r="E2280" s="1" t="s">
        <v>7380</v>
      </c>
      <c r="F2280" s="1"/>
      <c r="G2280" s="1" t="s">
        <v>2350</v>
      </c>
      <c r="H2280" s="1" t="s">
        <v>1155</v>
      </c>
      <c r="I2280" s="1">
        <v>63130.0</v>
      </c>
      <c r="J2280" s="1" t="s">
        <v>752</v>
      </c>
      <c r="K2280" s="1" t="s">
        <v>42</v>
      </c>
      <c r="L2280" s="1" t="s">
        <v>6819</v>
      </c>
      <c r="M2280" s="1">
        <v>49.0</v>
      </c>
      <c r="N2280" s="1" t="s">
        <v>1152</v>
      </c>
      <c r="O2280" s="3" t="s">
        <v>742</v>
      </c>
      <c r="P2280" s="1" t="s">
        <v>1152</v>
      </c>
      <c r="Q2280" s="1" t="s">
        <v>1152</v>
      </c>
      <c r="R2280" s="1"/>
      <c r="S2280" s="1"/>
      <c r="T2280" s="1" t="s">
        <v>1152</v>
      </c>
      <c r="U2280" s="1" t="s">
        <v>1021</v>
      </c>
      <c r="V2280" s="4" t="s">
        <v>742</v>
      </c>
      <c r="W2280" s="1"/>
      <c r="X2280" s="1" t="s">
        <v>1152</v>
      </c>
      <c r="Y2280" s="1" t="s">
        <v>1152</v>
      </c>
      <c r="Z2280" s="1"/>
      <c r="AA2280" s="1"/>
      <c r="AB2280" s="1"/>
      <c r="AC2280" s="1" t="s">
        <v>1925</v>
      </c>
      <c r="AD2280" s="1"/>
      <c r="AE2280" s="18">
        <v>46149.0</v>
      </c>
      <c r="AF2280" s="1" t="s">
        <v>1030</v>
      </c>
      <c r="AG2280" s="1" t="s">
        <v>52</v>
      </c>
      <c r="AH2280" s="1" t="s">
        <v>1152</v>
      </c>
      <c r="AI2280" s="1" t="s">
        <v>1152</v>
      </c>
      <c r="AJ2280" s="1" t="s">
        <v>7381</v>
      </c>
      <c r="AK2280" s="1" t="s">
        <v>1152</v>
      </c>
      <c r="AL2280" s="6"/>
      <c r="AM2280" s="12">
        <v>8.149254159E9</v>
      </c>
    </row>
    <row r="2281">
      <c r="A2281" s="5" t="s">
        <v>10883</v>
      </c>
      <c r="B2281" s="1" t="s">
        <v>10884</v>
      </c>
      <c r="C2281" s="1" t="s">
        <v>5133</v>
      </c>
      <c r="D2281" s="2">
        <v>9.083770194E9</v>
      </c>
      <c r="E2281" s="1" t="s">
        <v>5134</v>
      </c>
      <c r="F2281" s="1"/>
      <c r="G2281" s="1" t="s">
        <v>5135</v>
      </c>
      <c r="H2281" s="1" t="s">
        <v>1053</v>
      </c>
      <c r="I2281" s="1">
        <v>7901.0</v>
      </c>
      <c r="J2281" s="1" t="s">
        <v>752</v>
      </c>
      <c r="K2281" s="1" t="s">
        <v>892</v>
      </c>
      <c r="L2281" s="1" t="s">
        <v>8006</v>
      </c>
      <c r="M2281" s="1">
        <v>49.0</v>
      </c>
      <c r="N2281" s="1" t="s">
        <v>1152</v>
      </c>
      <c r="O2281" s="3" t="s">
        <v>2302</v>
      </c>
      <c r="P2281" s="1" t="s">
        <v>1152</v>
      </c>
      <c r="Q2281" s="1" t="s">
        <v>1152</v>
      </c>
      <c r="R2281" s="1"/>
      <c r="S2281" s="1"/>
      <c r="T2281" s="1" t="s">
        <v>1152</v>
      </c>
      <c r="U2281" s="1" t="s">
        <v>1399</v>
      </c>
      <c r="V2281" s="4" t="s">
        <v>2302</v>
      </c>
      <c r="W2281" s="1"/>
      <c r="X2281" s="1" t="s">
        <v>1152</v>
      </c>
      <c r="Y2281" s="1" t="s">
        <v>1152</v>
      </c>
      <c r="Z2281" s="1"/>
      <c r="AA2281" s="1"/>
      <c r="AB2281" s="1"/>
      <c r="AC2281" s="1" t="s">
        <v>1925</v>
      </c>
      <c r="AD2281" s="1"/>
      <c r="AE2281" s="18">
        <v>46146.0</v>
      </c>
      <c r="AF2281" s="1" t="s">
        <v>1103</v>
      </c>
      <c r="AG2281" s="1" t="s">
        <v>52</v>
      </c>
      <c r="AH2281" s="1" t="s">
        <v>10885</v>
      </c>
      <c r="AI2281" s="1" t="s">
        <v>1152</v>
      </c>
      <c r="AJ2281" s="1" t="s">
        <v>10886</v>
      </c>
      <c r="AK2281" s="1" t="s">
        <v>1152</v>
      </c>
      <c r="AL2281" s="6"/>
      <c r="AM2281" s="12">
        <v>9.08447452E9</v>
      </c>
    </row>
    <row r="2282">
      <c r="A2282" s="5" t="s">
        <v>10887</v>
      </c>
      <c r="B2282" s="1" t="s">
        <v>10888</v>
      </c>
      <c r="C2282" s="1" t="s">
        <v>5133</v>
      </c>
      <c r="D2282" s="2">
        <v>9.083770194E9</v>
      </c>
      <c r="E2282" s="1" t="s">
        <v>5134</v>
      </c>
      <c r="F2282" s="1"/>
      <c r="G2282" s="1" t="s">
        <v>5135</v>
      </c>
      <c r="H2282" s="1" t="s">
        <v>1053</v>
      </c>
      <c r="I2282" s="1">
        <v>7901.0</v>
      </c>
      <c r="J2282" s="1" t="s">
        <v>752</v>
      </c>
      <c r="K2282" s="1" t="s">
        <v>42</v>
      </c>
      <c r="L2282" s="1" t="s">
        <v>6819</v>
      </c>
      <c r="M2282" s="1">
        <v>49.0</v>
      </c>
      <c r="N2282" s="1" t="s">
        <v>1152</v>
      </c>
      <c r="O2282" s="3" t="s">
        <v>2302</v>
      </c>
      <c r="P2282" s="1" t="s">
        <v>1152</v>
      </c>
      <c r="Q2282" s="1" t="s">
        <v>1152</v>
      </c>
      <c r="R2282" s="1"/>
      <c r="S2282" s="1"/>
      <c r="T2282" s="1" t="s">
        <v>1152</v>
      </c>
      <c r="U2282" s="1" t="s">
        <v>1399</v>
      </c>
      <c r="V2282" s="4" t="s">
        <v>2302</v>
      </c>
      <c r="W2282" s="1"/>
      <c r="X2282" s="1" t="s">
        <v>1152</v>
      </c>
      <c r="Y2282" s="1" t="s">
        <v>1152</v>
      </c>
      <c r="Z2282" s="1"/>
      <c r="AA2282" s="1"/>
      <c r="AB2282" s="1"/>
      <c r="AC2282" s="1" t="s">
        <v>1925</v>
      </c>
      <c r="AD2282" s="1"/>
      <c r="AE2282" s="18">
        <v>46146.0</v>
      </c>
      <c r="AF2282" s="1" t="s">
        <v>1103</v>
      </c>
      <c r="AG2282" s="1" t="s">
        <v>52</v>
      </c>
      <c r="AH2282" s="1" t="s">
        <v>1152</v>
      </c>
      <c r="AI2282" s="1" t="s">
        <v>10889</v>
      </c>
      <c r="AJ2282" s="1" t="s">
        <v>10886</v>
      </c>
      <c r="AK2282" s="1" t="s">
        <v>1152</v>
      </c>
      <c r="AL2282" s="6"/>
      <c r="AM2282" s="12">
        <v>9.08447452E9</v>
      </c>
    </row>
    <row r="2283">
      <c r="A2283" s="5" t="s">
        <v>10890</v>
      </c>
      <c r="B2283" s="1" t="s">
        <v>10891</v>
      </c>
      <c r="C2283" s="1" t="s">
        <v>1042</v>
      </c>
      <c r="D2283" s="2">
        <v>4.153078559E9</v>
      </c>
      <c r="E2283" s="1" t="s">
        <v>3687</v>
      </c>
      <c r="F2283" s="1"/>
      <c r="G2283" s="1" t="s">
        <v>1045</v>
      </c>
      <c r="H2283" s="1" t="s">
        <v>989</v>
      </c>
      <c r="I2283" s="1">
        <v>94563.0</v>
      </c>
      <c r="J2283" s="1" t="s">
        <v>752</v>
      </c>
      <c r="K2283" s="1" t="s">
        <v>892</v>
      </c>
      <c r="L2283" s="1" t="s">
        <v>6946</v>
      </c>
      <c r="M2283" s="1">
        <v>49.0</v>
      </c>
      <c r="N2283" s="1" t="s">
        <v>1152</v>
      </c>
      <c r="O2283" s="3" t="s">
        <v>1046</v>
      </c>
      <c r="P2283" s="1" t="s">
        <v>1152</v>
      </c>
      <c r="Q2283" s="1" t="s">
        <v>1152</v>
      </c>
      <c r="R2283" s="1"/>
      <c r="S2283" s="1"/>
      <c r="T2283" s="1" t="s">
        <v>1152</v>
      </c>
      <c r="U2283" s="1" t="s">
        <v>982</v>
      </c>
      <c r="V2283" s="4" t="s">
        <v>1046</v>
      </c>
      <c r="W2283" s="1"/>
      <c r="X2283" s="1" t="s">
        <v>1152</v>
      </c>
      <c r="Y2283" s="1" t="s">
        <v>1152</v>
      </c>
      <c r="Z2283" s="1"/>
      <c r="AA2283" s="1"/>
      <c r="AB2283" s="1"/>
      <c r="AC2283" s="1" t="s">
        <v>1925</v>
      </c>
      <c r="AD2283" s="1"/>
      <c r="AE2283" s="18">
        <v>46147.0</v>
      </c>
      <c r="AF2283" s="1" t="s">
        <v>1349</v>
      </c>
      <c r="AG2283" s="1" t="s">
        <v>52</v>
      </c>
      <c r="AH2283" s="1" t="s">
        <v>10892</v>
      </c>
      <c r="AI2283" s="1" t="s">
        <v>10893</v>
      </c>
      <c r="AJ2283" s="1" t="s">
        <v>1043</v>
      </c>
      <c r="AK2283" s="1" t="s">
        <v>1152</v>
      </c>
      <c r="AL2283" s="6"/>
      <c r="AM2283" s="12">
        <v>9.254516951E9</v>
      </c>
    </row>
    <row r="2284">
      <c r="A2284" s="5" t="s">
        <v>10894</v>
      </c>
      <c r="B2284" s="1" t="s">
        <v>10895</v>
      </c>
      <c r="C2284" s="1" t="s">
        <v>10896</v>
      </c>
      <c r="D2284" s="2">
        <v>3.14598943E9</v>
      </c>
      <c r="E2284" s="1" t="s">
        <v>10897</v>
      </c>
      <c r="F2284" s="1"/>
      <c r="G2284" s="1" t="s">
        <v>6549</v>
      </c>
      <c r="H2284" s="1" t="s">
        <v>1155</v>
      </c>
      <c r="I2284" s="1">
        <v>63105.0</v>
      </c>
      <c r="J2284" s="1" t="s">
        <v>752</v>
      </c>
      <c r="K2284" s="1" t="s">
        <v>42</v>
      </c>
      <c r="L2284" s="1" t="s">
        <v>6819</v>
      </c>
      <c r="M2284" s="1">
        <v>49.0</v>
      </c>
      <c r="N2284" s="1" t="s">
        <v>1152</v>
      </c>
      <c r="O2284" s="3" t="s">
        <v>10898</v>
      </c>
      <c r="P2284" s="1" t="s">
        <v>1152</v>
      </c>
      <c r="Q2284" s="1" t="s">
        <v>1152</v>
      </c>
      <c r="R2284" s="1"/>
      <c r="S2284" s="1"/>
      <c r="T2284" s="1" t="s">
        <v>1152</v>
      </c>
      <c r="U2284" s="1" t="s">
        <v>6053</v>
      </c>
      <c r="V2284" s="4" t="s">
        <v>10898</v>
      </c>
      <c r="W2284" s="1"/>
      <c r="X2284" s="1" t="s">
        <v>1152</v>
      </c>
      <c r="Y2284" s="1" t="s">
        <v>1152</v>
      </c>
      <c r="Z2284" s="1"/>
      <c r="AA2284" s="1"/>
      <c r="AB2284" s="1"/>
      <c r="AC2284" s="1" t="s">
        <v>1925</v>
      </c>
      <c r="AD2284" s="1"/>
      <c r="AE2284" s="18">
        <v>46149.0</v>
      </c>
      <c r="AF2284" s="1" t="s">
        <v>1440</v>
      </c>
      <c r="AG2284" s="1" t="s">
        <v>52</v>
      </c>
      <c r="AH2284" s="1" t="s">
        <v>1152</v>
      </c>
      <c r="AI2284" s="1" t="s">
        <v>1152</v>
      </c>
      <c r="AJ2284" s="1" t="s">
        <v>10897</v>
      </c>
      <c r="AK2284" s="1" t="s">
        <v>1152</v>
      </c>
      <c r="AL2284" s="6"/>
      <c r="AM2284" s="12">
        <v>3.14598943E9</v>
      </c>
    </row>
    <row r="2285">
      <c r="A2285" s="5" t="s">
        <v>10899</v>
      </c>
      <c r="B2285" s="1" t="s">
        <v>10900</v>
      </c>
      <c r="C2285" s="1" t="s">
        <v>3692</v>
      </c>
      <c r="D2285" s="2">
        <v>7.203471708E9</v>
      </c>
      <c r="E2285" s="1" t="s">
        <v>3693</v>
      </c>
      <c r="F2285" s="1"/>
      <c r="G2285" s="1" t="s">
        <v>1947</v>
      </c>
      <c r="H2285" s="1" t="s">
        <v>1891</v>
      </c>
      <c r="I2285" s="1">
        <v>80011.0</v>
      </c>
      <c r="J2285" s="1" t="s">
        <v>752</v>
      </c>
      <c r="K2285" s="1" t="s">
        <v>892</v>
      </c>
      <c r="L2285" s="1" t="s">
        <v>8006</v>
      </c>
      <c r="M2285" s="1">
        <v>49.0</v>
      </c>
      <c r="N2285" s="1" t="s">
        <v>1152</v>
      </c>
      <c r="O2285" s="3" t="s">
        <v>3694</v>
      </c>
      <c r="P2285" s="1" t="s">
        <v>1152</v>
      </c>
      <c r="Q2285" s="1" t="s">
        <v>1152</v>
      </c>
      <c r="R2285" s="1"/>
      <c r="S2285" s="1"/>
      <c r="T2285" s="1" t="s">
        <v>1152</v>
      </c>
      <c r="U2285" s="1" t="s">
        <v>2510</v>
      </c>
      <c r="V2285" s="4" t="s">
        <v>3694</v>
      </c>
      <c r="W2285" s="1"/>
      <c r="X2285" s="1" t="s">
        <v>1152</v>
      </c>
      <c r="Y2285" s="1" t="s">
        <v>1152</v>
      </c>
      <c r="Z2285" s="1"/>
      <c r="AA2285" s="1"/>
      <c r="AB2285" s="1"/>
      <c r="AC2285" s="1" t="s">
        <v>1925</v>
      </c>
      <c r="AD2285" s="1"/>
      <c r="AE2285" s="18">
        <v>46151.0</v>
      </c>
      <c r="AF2285" s="1" t="s">
        <v>1030</v>
      </c>
      <c r="AG2285" s="1" t="s">
        <v>52</v>
      </c>
      <c r="AH2285" s="1" t="s">
        <v>10901</v>
      </c>
      <c r="AI2285" s="1" t="s">
        <v>1152</v>
      </c>
      <c r="AJ2285" s="1" t="s">
        <v>3693</v>
      </c>
      <c r="AK2285" s="1" t="s">
        <v>1152</v>
      </c>
      <c r="AL2285" s="6"/>
      <c r="AM2285" s="12">
        <v>7.203471708E9</v>
      </c>
    </row>
    <row r="2286">
      <c r="A2286" s="5" t="s">
        <v>10902</v>
      </c>
      <c r="B2286" s="1" t="s">
        <v>10903</v>
      </c>
      <c r="C2286" s="1" t="s">
        <v>10904</v>
      </c>
      <c r="D2286" s="2">
        <v>8.14293636E9</v>
      </c>
      <c r="E2286" s="1" t="s">
        <v>10905</v>
      </c>
      <c r="F2286" s="1"/>
      <c r="G2286" s="1" t="s">
        <v>10906</v>
      </c>
      <c r="H2286" s="1" t="s">
        <v>1233</v>
      </c>
      <c r="I2286" s="1">
        <v>16652.0</v>
      </c>
      <c r="J2286" s="1" t="s">
        <v>752</v>
      </c>
      <c r="K2286" s="1" t="s">
        <v>95</v>
      </c>
      <c r="L2286" s="1" t="s">
        <v>5820</v>
      </c>
      <c r="M2286" s="1">
        <v>49.0</v>
      </c>
      <c r="N2286" s="1" t="s">
        <v>2461</v>
      </c>
      <c r="O2286" s="3" t="s">
        <v>103</v>
      </c>
      <c r="P2286" s="18">
        <v>46256.0</v>
      </c>
      <c r="Q2286" s="1" t="s">
        <v>3219</v>
      </c>
      <c r="R2286" s="1"/>
      <c r="S2286" s="1" t="s">
        <v>52</v>
      </c>
      <c r="T2286" s="1" t="s">
        <v>2461</v>
      </c>
      <c r="U2286" s="1" t="s">
        <v>102</v>
      </c>
      <c r="V2286" s="4" t="s">
        <v>103</v>
      </c>
      <c r="W2286" s="1"/>
      <c r="X2286" s="18">
        <v>46256.0</v>
      </c>
      <c r="Y2286" s="1" t="s">
        <v>3219</v>
      </c>
      <c r="Z2286" s="1"/>
      <c r="AA2286" s="1"/>
      <c r="AB2286" s="1" t="s">
        <v>52</v>
      </c>
      <c r="AC2286" s="1" t="s">
        <v>10907</v>
      </c>
      <c r="AD2286" s="1"/>
      <c r="AE2286" s="1" t="s">
        <v>1152</v>
      </c>
      <c r="AF2286" s="1"/>
      <c r="AG2286" s="1"/>
      <c r="AH2286" s="1" t="s">
        <v>1152</v>
      </c>
      <c r="AI2286" s="1" t="s">
        <v>10908</v>
      </c>
      <c r="AJ2286" s="1" t="s">
        <v>10905</v>
      </c>
      <c r="AK2286" s="1" t="s">
        <v>1152</v>
      </c>
      <c r="AL2286" s="6"/>
      <c r="AM2286" s="12">
        <v>8.14293636E9</v>
      </c>
    </row>
    <row r="2287">
      <c r="A2287" s="5" t="s">
        <v>10909</v>
      </c>
      <c r="B2287" s="1" t="s">
        <v>10910</v>
      </c>
      <c r="C2287" s="1" t="s">
        <v>4090</v>
      </c>
      <c r="D2287" s="2">
        <v>6.176335474E9</v>
      </c>
      <c r="E2287" s="1" t="s">
        <v>10911</v>
      </c>
      <c r="F2287" s="1"/>
      <c r="G2287" s="1" t="s">
        <v>4092</v>
      </c>
      <c r="H2287" s="1" t="s">
        <v>1121</v>
      </c>
      <c r="I2287" s="1">
        <v>2067.0</v>
      </c>
      <c r="J2287" s="1" t="s">
        <v>752</v>
      </c>
      <c r="K2287" s="1" t="s">
        <v>42</v>
      </c>
      <c r="L2287" s="1" t="s">
        <v>6819</v>
      </c>
      <c r="M2287" s="1">
        <v>49.0</v>
      </c>
      <c r="N2287" s="1" t="s">
        <v>1152</v>
      </c>
      <c r="O2287" s="3" t="s">
        <v>4190</v>
      </c>
      <c r="P2287" s="1" t="s">
        <v>1152</v>
      </c>
      <c r="Q2287" s="1" t="s">
        <v>1152</v>
      </c>
      <c r="R2287" s="1"/>
      <c r="S2287" s="1"/>
      <c r="T2287" s="1" t="s">
        <v>1152</v>
      </c>
      <c r="U2287" s="1" t="s">
        <v>1021</v>
      </c>
      <c r="V2287" s="4" t="s">
        <v>4190</v>
      </c>
      <c r="W2287" s="1"/>
      <c r="X2287" s="1" t="s">
        <v>1152</v>
      </c>
      <c r="Y2287" s="1" t="s">
        <v>1152</v>
      </c>
      <c r="Z2287" s="1"/>
      <c r="AA2287" s="1"/>
      <c r="AB2287" s="1"/>
      <c r="AC2287" s="1" t="s">
        <v>1925</v>
      </c>
      <c r="AD2287" s="1"/>
      <c r="AE2287" s="18">
        <v>46146.0</v>
      </c>
      <c r="AF2287" s="1" t="s">
        <v>3186</v>
      </c>
      <c r="AG2287" s="1" t="s">
        <v>52</v>
      </c>
      <c r="AH2287" s="1" t="s">
        <v>1152</v>
      </c>
      <c r="AI2287" s="1" t="s">
        <v>1152</v>
      </c>
      <c r="AJ2287" s="1" t="s">
        <v>10912</v>
      </c>
      <c r="AK2287" s="1" t="s">
        <v>1152</v>
      </c>
      <c r="AL2287" s="6"/>
      <c r="AM2287" s="12">
        <v>6.176105223E9</v>
      </c>
    </row>
    <row r="2288">
      <c r="A2288" s="5" t="s">
        <v>10913</v>
      </c>
      <c r="B2288" s="1" t="s">
        <v>10914</v>
      </c>
      <c r="C2288" s="1" t="s">
        <v>10915</v>
      </c>
      <c r="D2288" s="2">
        <v>9.176694027E9</v>
      </c>
      <c r="E2288" s="1" t="s">
        <v>10916</v>
      </c>
      <c r="F2288" s="1"/>
      <c r="G2288" s="1" t="s">
        <v>1684</v>
      </c>
      <c r="H2288" s="1" t="s">
        <v>751</v>
      </c>
      <c r="I2288" s="1">
        <v>11205.0</v>
      </c>
      <c r="J2288" s="1" t="s">
        <v>752</v>
      </c>
      <c r="K2288" s="1" t="s">
        <v>42</v>
      </c>
      <c r="L2288" s="1" t="s">
        <v>7863</v>
      </c>
      <c r="M2288" s="1">
        <v>79.0</v>
      </c>
      <c r="N2288" s="1" t="s">
        <v>1152</v>
      </c>
      <c r="O2288" s="3" t="s">
        <v>1685</v>
      </c>
      <c r="P2288" s="1" t="s">
        <v>1152</v>
      </c>
      <c r="Q2288" s="1" t="s">
        <v>1152</v>
      </c>
      <c r="R2288" s="1"/>
      <c r="S2288" s="1"/>
      <c r="T2288" s="1" t="s">
        <v>1152</v>
      </c>
      <c r="U2288" s="1" t="s">
        <v>1080</v>
      </c>
      <c r="V2288" s="4" t="s">
        <v>1685</v>
      </c>
      <c r="W2288" s="1"/>
      <c r="X2288" s="1" t="s">
        <v>1152</v>
      </c>
      <c r="Y2288" s="1" t="s">
        <v>1152</v>
      </c>
      <c r="Z2288" s="1"/>
      <c r="AA2288" s="1"/>
      <c r="AB2288" s="1"/>
      <c r="AC2288" s="1" t="s">
        <v>1925</v>
      </c>
      <c r="AD2288" s="1"/>
      <c r="AE2288" s="18">
        <v>46140.0</v>
      </c>
      <c r="AF2288" s="1" t="s">
        <v>1030</v>
      </c>
      <c r="AG2288" s="1" t="s">
        <v>52</v>
      </c>
      <c r="AH2288" s="1" t="s">
        <v>1152</v>
      </c>
      <c r="AI2288" s="1" t="s">
        <v>1152</v>
      </c>
      <c r="AJ2288" s="1" t="s">
        <v>10917</v>
      </c>
      <c r="AK2288" s="1" t="s">
        <v>1152</v>
      </c>
      <c r="AL2288" s="6"/>
      <c r="AM2288" s="12">
        <v>9.174557355E9</v>
      </c>
    </row>
    <row r="2289">
      <c r="A2289" s="5" t="s">
        <v>10918</v>
      </c>
      <c r="B2289" s="1" t="s">
        <v>10919</v>
      </c>
      <c r="C2289" s="1" t="s">
        <v>10920</v>
      </c>
      <c r="D2289" s="2">
        <v>4.155319804E9</v>
      </c>
      <c r="E2289" s="1" t="s">
        <v>10921</v>
      </c>
      <c r="F2289" s="1"/>
      <c r="G2289" s="1" t="s">
        <v>1562</v>
      </c>
      <c r="H2289" s="1" t="s">
        <v>989</v>
      </c>
      <c r="I2289" s="1">
        <v>94118.0</v>
      </c>
      <c r="J2289" s="1" t="s">
        <v>752</v>
      </c>
      <c r="K2289" s="1" t="s">
        <v>42</v>
      </c>
      <c r="L2289" s="1" t="s">
        <v>6819</v>
      </c>
      <c r="M2289" s="1">
        <v>49.0</v>
      </c>
      <c r="N2289" s="1" t="s">
        <v>1152</v>
      </c>
      <c r="O2289" s="3" t="s">
        <v>964</v>
      </c>
      <c r="P2289" s="1" t="s">
        <v>1152</v>
      </c>
      <c r="Q2289" s="1" t="s">
        <v>1152</v>
      </c>
      <c r="R2289" s="1"/>
      <c r="S2289" s="1"/>
      <c r="T2289" s="1" t="s">
        <v>1152</v>
      </c>
      <c r="U2289" s="1" t="s">
        <v>982</v>
      </c>
      <c r="V2289" s="4" t="s">
        <v>964</v>
      </c>
      <c r="W2289" s="1"/>
      <c r="X2289" s="1" t="s">
        <v>1152</v>
      </c>
      <c r="Y2289" s="1" t="s">
        <v>1152</v>
      </c>
      <c r="Z2289" s="1"/>
      <c r="AA2289" s="1"/>
      <c r="AB2289" s="1"/>
      <c r="AC2289" s="1" t="s">
        <v>1925</v>
      </c>
      <c r="AD2289" s="1"/>
      <c r="AE2289" s="18">
        <v>46144.0</v>
      </c>
      <c r="AF2289" s="1" t="s">
        <v>1103</v>
      </c>
      <c r="AG2289" s="1" t="s">
        <v>52</v>
      </c>
      <c r="AH2289" s="1" t="s">
        <v>1152</v>
      </c>
      <c r="AI2289" s="1" t="s">
        <v>1152</v>
      </c>
      <c r="AJ2289" s="1" t="s">
        <v>10921</v>
      </c>
      <c r="AK2289" s="1" t="s">
        <v>1152</v>
      </c>
      <c r="AL2289" s="6"/>
      <c r="AM2289" s="12">
        <v>4.155319804E9</v>
      </c>
    </row>
    <row r="2290">
      <c r="A2290" s="5" t="s">
        <v>10922</v>
      </c>
      <c r="B2290" s="1" t="s">
        <v>10923</v>
      </c>
      <c r="C2290" s="1" t="s">
        <v>2807</v>
      </c>
      <c r="D2290" s="2">
        <v>19147770990</v>
      </c>
      <c r="E2290" s="1" t="s">
        <v>10924</v>
      </c>
      <c r="F2290" s="1"/>
      <c r="G2290" s="1" t="s">
        <v>1382</v>
      </c>
      <c r="H2290" s="1" t="s">
        <v>751</v>
      </c>
      <c r="I2290" s="1">
        <v>10583.0</v>
      </c>
      <c r="J2290" s="1" t="s">
        <v>752</v>
      </c>
      <c r="K2290" s="1" t="s">
        <v>42</v>
      </c>
      <c r="L2290" s="1" t="s">
        <v>6819</v>
      </c>
      <c r="M2290" s="1">
        <v>49.0</v>
      </c>
      <c r="N2290" s="1" t="s">
        <v>1152</v>
      </c>
      <c r="O2290" s="3" t="s">
        <v>6386</v>
      </c>
      <c r="P2290" s="1" t="s">
        <v>1152</v>
      </c>
      <c r="Q2290" s="1" t="s">
        <v>1152</v>
      </c>
      <c r="R2290" s="1"/>
      <c r="S2290" s="1"/>
      <c r="T2290" s="1" t="s">
        <v>1152</v>
      </c>
      <c r="U2290" s="1" t="s">
        <v>1133</v>
      </c>
      <c r="V2290" s="4" t="s">
        <v>6386</v>
      </c>
      <c r="W2290" s="1"/>
      <c r="X2290" s="1" t="s">
        <v>1152</v>
      </c>
      <c r="Y2290" s="1" t="s">
        <v>1152</v>
      </c>
      <c r="Z2290" s="1"/>
      <c r="AA2290" s="1"/>
      <c r="AB2290" s="1"/>
      <c r="AC2290" s="1" t="s">
        <v>1925</v>
      </c>
      <c r="AD2290" s="1"/>
      <c r="AE2290" s="18">
        <v>46143.0</v>
      </c>
      <c r="AF2290" s="1" t="s">
        <v>1440</v>
      </c>
      <c r="AG2290" s="1" t="s">
        <v>52</v>
      </c>
      <c r="AH2290" s="1" t="s">
        <v>1152</v>
      </c>
      <c r="AI2290" s="1" t="s">
        <v>1152</v>
      </c>
      <c r="AJ2290" s="1" t="s">
        <v>6387</v>
      </c>
      <c r="AK2290" s="1" t="s">
        <v>1152</v>
      </c>
      <c r="AL2290" s="6"/>
      <c r="AM2290" s="12">
        <v>9.146489852E9</v>
      </c>
    </row>
    <row r="2291">
      <c r="A2291" s="5" t="s">
        <v>10925</v>
      </c>
      <c r="B2291" s="1" t="s">
        <v>10926</v>
      </c>
      <c r="C2291" s="1" t="s">
        <v>6977</v>
      </c>
      <c r="D2291" s="2">
        <v>2.026970061E9</v>
      </c>
      <c r="E2291" s="1" t="s">
        <v>6978</v>
      </c>
      <c r="F2291" s="1"/>
      <c r="G2291" s="1" t="s">
        <v>5431</v>
      </c>
      <c r="H2291" s="1" t="s">
        <v>1005</v>
      </c>
      <c r="I2291" s="1">
        <v>20854.0</v>
      </c>
      <c r="J2291" s="1" t="s">
        <v>752</v>
      </c>
      <c r="K2291" s="1" t="s">
        <v>42</v>
      </c>
      <c r="L2291" s="1" t="s">
        <v>6819</v>
      </c>
      <c r="M2291" s="1">
        <v>49.0</v>
      </c>
      <c r="N2291" s="1" t="s">
        <v>1152</v>
      </c>
      <c r="O2291" s="3" t="s">
        <v>10927</v>
      </c>
      <c r="P2291" s="1" t="s">
        <v>1152</v>
      </c>
      <c r="Q2291" s="1" t="s">
        <v>1152</v>
      </c>
      <c r="R2291" s="1"/>
      <c r="S2291" s="1"/>
      <c r="T2291" s="1" t="s">
        <v>1152</v>
      </c>
      <c r="U2291" s="1" t="s">
        <v>1201</v>
      </c>
      <c r="V2291" s="4" t="s">
        <v>10927</v>
      </c>
      <c r="W2291" s="1"/>
      <c r="X2291" s="1" t="s">
        <v>1152</v>
      </c>
      <c r="Y2291" s="1" t="s">
        <v>1152</v>
      </c>
      <c r="Z2291" s="1"/>
      <c r="AA2291" s="1"/>
      <c r="AB2291" s="1"/>
      <c r="AC2291" s="1" t="s">
        <v>1925</v>
      </c>
      <c r="AD2291" s="1"/>
      <c r="AE2291" s="18">
        <v>46146.0</v>
      </c>
      <c r="AF2291" s="1" t="s">
        <v>1030</v>
      </c>
      <c r="AG2291" s="1" t="s">
        <v>52</v>
      </c>
      <c r="AH2291" s="1" t="s">
        <v>1152</v>
      </c>
      <c r="AI2291" s="1" t="s">
        <v>1152</v>
      </c>
      <c r="AJ2291" s="1" t="s">
        <v>6978</v>
      </c>
      <c r="AK2291" s="1" t="s">
        <v>1152</v>
      </c>
      <c r="AL2291" s="6"/>
      <c r="AM2291" s="12">
        <v>2.026970061E9</v>
      </c>
    </row>
    <row r="2292">
      <c r="A2292" s="5" t="s">
        <v>10928</v>
      </c>
      <c r="B2292" s="1" t="s">
        <v>10929</v>
      </c>
      <c r="C2292" s="1" t="s">
        <v>4458</v>
      </c>
      <c r="D2292" s="2">
        <v>7.742705618E9</v>
      </c>
      <c r="E2292" s="1" t="s">
        <v>10930</v>
      </c>
      <c r="F2292" s="1"/>
      <c r="G2292" s="1" t="s">
        <v>2625</v>
      </c>
      <c r="H2292" s="1" t="s">
        <v>1121</v>
      </c>
      <c r="I2292" s="1">
        <v>2492.0</v>
      </c>
      <c r="J2292" s="1" t="s">
        <v>752</v>
      </c>
      <c r="K2292" s="1" t="s">
        <v>42</v>
      </c>
      <c r="L2292" s="1" t="s">
        <v>6819</v>
      </c>
      <c r="M2292" s="1">
        <v>49.0</v>
      </c>
      <c r="N2292" s="1" t="s">
        <v>1152</v>
      </c>
      <c r="O2292" s="3" t="s">
        <v>3251</v>
      </c>
      <c r="P2292" s="1" t="s">
        <v>1152</v>
      </c>
      <c r="Q2292" s="1" t="s">
        <v>1152</v>
      </c>
      <c r="R2292" s="1"/>
      <c r="S2292" s="1"/>
      <c r="T2292" s="1" t="s">
        <v>1152</v>
      </c>
      <c r="U2292" s="1" t="s">
        <v>1441</v>
      </c>
      <c r="V2292" s="4" t="s">
        <v>3251</v>
      </c>
      <c r="W2292" s="1"/>
      <c r="X2292" s="1" t="s">
        <v>1152</v>
      </c>
      <c r="Y2292" s="1" t="s">
        <v>1152</v>
      </c>
      <c r="Z2292" s="1"/>
      <c r="AA2292" s="1"/>
      <c r="AB2292" s="1"/>
      <c r="AC2292" s="1" t="s">
        <v>1925</v>
      </c>
      <c r="AD2292" s="1"/>
      <c r="AE2292" s="18">
        <v>46148.0</v>
      </c>
      <c r="AF2292" s="1" t="s">
        <v>1030</v>
      </c>
      <c r="AG2292" s="1" t="s">
        <v>52</v>
      </c>
      <c r="AH2292" s="1" t="s">
        <v>1152</v>
      </c>
      <c r="AI2292" s="1" t="s">
        <v>1152</v>
      </c>
      <c r="AJ2292" s="1" t="s">
        <v>10930</v>
      </c>
      <c r="AK2292" s="1" t="s">
        <v>1152</v>
      </c>
      <c r="AL2292" s="6"/>
      <c r="AM2292" s="12">
        <v>7.742705618E9</v>
      </c>
    </row>
    <row r="2293">
      <c r="A2293" s="5" t="s">
        <v>10931</v>
      </c>
      <c r="B2293" s="1" t="s">
        <v>10932</v>
      </c>
      <c r="C2293" s="1" t="s">
        <v>4313</v>
      </c>
      <c r="D2293" s="2">
        <v>7.18551122E9</v>
      </c>
      <c r="E2293" s="1" t="s">
        <v>10933</v>
      </c>
      <c r="F2293" s="1"/>
      <c r="G2293" s="1" t="s">
        <v>1684</v>
      </c>
      <c r="H2293" s="1" t="s">
        <v>751</v>
      </c>
      <c r="I2293" s="1">
        <v>11229.0</v>
      </c>
      <c r="J2293" s="1" t="s">
        <v>752</v>
      </c>
      <c r="K2293" s="1" t="s">
        <v>42</v>
      </c>
      <c r="L2293" s="1" t="s">
        <v>7863</v>
      </c>
      <c r="M2293" s="1">
        <v>79.0</v>
      </c>
      <c r="N2293" s="1" t="s">
        <v>1152</v>
      </c>
      <c r="O2293" s="3" t="s">
        <v>2235</v>
      </c>
      <c r="P2293" s="1" t="s">
        <v>1152</v>
      </c>
      <c r="Q2293" s="1" t="s">
        <v>1152</v>
      </c>
      <c r="R2293" s="1"/>
      <c r="S2293" s="1"/>
      <c r="T2293" s="1" t="s">
        <v>1152</v>
      </c>
      <c r="U2293" s="1" t="s">
        <v>1415</v>
      </c>
      <c r="V2293" s="4" t="s">
        <v>2235</v>
      </c>
      <c r="W2293" s="1"/>
      <c r="X2293" s="1" t="s">
        <v>1152</v>
      </c>
      <c r="Y2293" s="1" t="s">
        <v>1152</v>
      </c>
      <c r="Z2293" s="1"/>
      <c r="AA2293" s="1"/>
      <c r="AB2293" s="1"/>
      <c r="AC2293" s="1" t="s">
        <v>1925</v>
      </c>
      <c r="AD2293" s="1"/>
      <c r="AE2293" s="18">
        <v>46148.0</v>
      </c>
      <c r="AF2293" s="1" t="s">
        <v>3186</v>
      </c>
      <c r="AG2293" s="1" t="s">
        <v>52</v>
      </c>
      <c r="AH2293" s="1" t="s">
        <v>1152</v>
      </c>
      <c r="AI2293" s="1" t="s">
        <v>1152</v>
      </c>
      <c r="AJ2293" s="1" t="s">
        <v>10933</v>
      </c>
      <c r="AK2293" s="1" t="s">
        <v>1152</v>
      </c>
      <c r="AL2293" s="6"/>
      <c r="AM2293" s="12">
        <v>7.18551122E9</v>
      </c>
    </row>
    <row r="2294">
      <c r="A2294" s="5" t="s">
        <v>10934</v>
      </c>
      <c r="B2294" s="1" t="s">
        <v>10935</v>
      </c>
      <c r="C2294" s="1" t="s">
        <v>4152</v>
      </c>
      <c r="D2294" s="2">
        <v>5.086546802E9</v>
      </c>
      <c r="E2294" s="1" t="s">
        <v>5598</v>
      </c>
      <c r="F2294" s="1"/>
      <c r="G2294" s="1" t="s">
        <v>4154</v>
      </c>
      <c r="H2294" s="1" t="s">
        <v>1121</v>
      </c>
      <c r="I2294" s="1">
        <v>1778.0</v>
      </c>
      <c r="J2294" s="1" t="s">
        <v>752</v>
      </c>
      <c r="K2294" s="1" t="s">
        <v>42</v>
      </c>
      <c r="L2294" s="1" t="s">
        <v>7863</v>
      </c>
      <c r="M2294" s="1">
        <v>79.0</v>
      </c>
      <c r="N2294" s="1" t="s">
        <v>1152</v>
      </c>
      <c r="O2294" s="3" t="s">
        <v>10936</v>
      </c>
      <c r="P2294" s="1" t="s">
        <v>1152</v>
      </c>
      <c r="Q2294" s="1" t="s">
        <v>1152</v>
      </c>
      <c r="R2294" s="1"/>
      <c r="S2294" s="1"/>
      <c r="T2294" s="1" t="s">
        <v>1152</v>
      </c>
      <c r="U2294" s="1" t="s">
        <v>1456</v>
      </c>
      <c r="V2294" s="4" t="s">
        <v>10936</v>
      </c>
      <c r="W2294" s="1"/>
      <c r="X2294" s="1" t="s">
        <v>1152</v>
      </c>
      <c r="Y2294" s="1" t="s">
        <v>1152</v>
      </c>
      <c r="Z2294" s="1"/>
      <c r="AA2294" s="1"/>
      <c r="AB2294" s="1"/>
      <c r="AC2294" s="1" t="s">
        <v>1925</v>
      </c>
      <c r="AD2294" s="1"/>
      <c r="AE2294" s="18">
        <v>46146.0</v>
      </c>
      <c r="AF2294" s="1" t="s">
        <v>1030</v>
      </c>
      <c r="AG2294" s="1" t="s">
        <v>52</v>
      </c>
      <c r="AH2294" s="1" t="s">
        <v>1152</v>
      </c>
      <c r="AI2294" s="1" t="s">
        <v>1152</v>
      </c>
      <c r="AJ2294" s="1" t="s">
        <v>4153</v>
      </c>
      <c r="AK2294" s="1" t="s">
        <v>1152</v>
      </c>
      <c r="AL2294" s="6"/>
      <c r="AM2294" s="12">
        <v>5.086546802E9</v>
      </c>
    </row>
    <row r="2295">
      <c r="A2295" s="5" t="s">
        <v>10937</v>
      </c>
      <c r="B2295" s="1" t="s">
        <v>10938</v>
      </c>
      <c r="C2295" s="1" t="s">
        <v>10939</v>
      </c>
      <c r="D2295" s="2">
        <v>6.098654486E9</v>
      </c>
      <c r="E2295" s="1" t="s">
        <v>10940</v>
      </c>
      <c r="F2295" s="1" t="s">
        <v>10941</v>
      </c>
      <c r="G2295" s="1" t="s">
        <v>10942</v>
      </c>
      <c r="H2295" s="1" t="s">
        <v>1053</v>
      </c>
      <c r="I2295" s="1">
        <v>8534.0</v>
      </c>
      <c r="J2295" s="1" t="s">
        <v>752</v>
      </c>
      <c r="K2295" s="1" t="s">
        <v>892</v>
      </c>
      <c r="L2295" s="1" t="s">
        <v>8134</v>
      </c>
      <c r="M2295" s="1">
        <v>79.0</v>
      </c>
      <c r="N2295" s="1" t="s">
        <v>1152</v>
      </c>
      <c r="O2295" s="3"/>
      <c r="P2295" s="1" t="s">
        <v>1152</v>
      </c>
      <c r="Q2295" s="1" t="s">
        <v>1152</v>
      </c>
      <c r="R2295" s="1" t="s">
        <v>10941</v>
      </c>
      <c r="S2295" s="1"/>
      <c r="T2295" s="1" t="s">
        <v>1152</v>
      </c>
      <c r="U2295" s="1"/>
      <c r="V2295" s="4"/>
      <c r="W2295" s="1" t="s">
        <v>10941</v>
      </c>
      <c r="X2295" s="1" t="s">
        <v>1152</v>
      </c>
      <c r="Y2295" s="1" t="s">
        <v>1152</v>
      </c>
      <c r="Z2295" s="1"/>
      <c r="AA2295" s="1" t="s">
        <v>10941</v>
      </c>
      <c r="AB2295" s="1"/>
      <c r="AC2295" s="1" t="s">
        <v>1925</v>
      </c>
      <c r="AD2295" s="1"/>
      <c r="AE2295" s="18">
        <v>46168.0</v>
      </c>
      <c r="AF2295" s="1" t="s">
        <v>1030</v>
      </c>
      <c r="AG2295" s="1" t="s">
        <v>124</v>
      </c>
      <c r="AH2295" s="1" t="s">
        <v>10943</v>
      </c>
      <c r="AI2295" s="1" t="s">
        <v>1152</v>
      </c>
      <c r="AJ2295" s="1" t="s">
        <v>10944</v>
      </c>
      <c r="AK2295" s="1" t="s">
        <v>1152</v>
      </c>
      <c r="AL2295" s="6"/>
      <c r="AM2295" s="12">
        <v>4.43827681E9</v>
      </c>
    </row>
    <row r="2296">
      <c r="A2296" s="5" t="s">
        <v>10945</v>
      </c>
      <c r="B2296" s="1" t="s">
        <v>10946</v>
      </c>
      <c r="C2296" s="1" t="s">
        <v>4404</v>
      </c>
      <c r="D2296" s="2">
        <v>5.126942421E9</v>
      </c>
      <c r="E2296" s="1" t="s">
        <v>10947</v>
      </c>
      <c r="F2296" s="1"/>
      <c r="G2296" s="1" t="s">
        <v>1582</v>
      </c>
      <c r="H2296" s="1" t="s">
        <v>1583</v>
      </c>
      <c r="I2296" s="1">
        <v>78746.0</v>
      </c>
      <c r="J2296" s="1" t="s">
        <v>752</v>
      </c>
      <c r="K2296" s="1" t="s">
        <v>2131</v>
      </c>
      <c r="L2296" s="1" t="s">
        <v>5811</v>
      </c>
      <c r="M2296" s="1">
        <v>1.0</v>
      </c>
      <c r="N2296" s="1" t="s">
        <v>1152</v>
      </c>
      <c r="O2296" s="3" t="s">
        <v>10948</v>
      </c>
      <c r="P2296" s="1" t="s">
        <v>1152</v>
      </c>
      <c r="Q2296" s="1" t="s">
        <v>1152</v>
      </c>
      <c r="R2296" s="1"/>
      <c r="S2296" s="1"/>
      <c r="T2296" s="1" t="s">
        <v>1152</v>
      </c>
      <c r="U2296" s="1" t="s">
        <v>1456</v>
      </c>
      <c r="V2296" s="4" t="s">
        <v>10948</v>
      </c>
      <c r="W2296" s="1"/>
      <c r="X2296" s="1" t="s">
        <v>1152</v>
      </c>
      <c r="Y2296" s="1" t="s">
        <v>1152</v>
      </c>
      <c r="Z2296" s="1"/>
      <c r="AA2296" s="1"/>
      <c r="AB2296" s="1"/>
      <c r="AC2296" s="1" t="s">
        <v>1925</v>
      </c>
      <c r="AD2296" s="1"/>
      <c r="AE2296" s="18">
        <v>46137.0</v>
      </c>
      <c r="AF2296" s="1"/>
      <c r="AG2296" s="1"/>
      <c r="AH2296" s="1" t="s">
        <v>1152</v>
      </c>
      <c r="AI2296" s="1" t="s">
        <v>1152</v>
      </c>
      <c r="AJ2296" s="1" t="s">
        <v>10949</v>
      </c>
      <c r="AK2296" s="1" t="s">
        <v>1152</v>
      </c>
      <c r="AL2296" s="6"/>
      <c r="AM2296" s="12">
        <v>5.125529768E9</v>
      </c>
    </row>
    <row r="2297">
      <c r="A2297" s="5" t="s">
        <v>10950</v>
      </c>
      <c r="B2297" s="1" t="s">
        <v>10951</v>
      </c>
      <c r="C2297" s="1" t="s">
        <v>10952</v>
      </c>
      <c r="D2297" s="2">
        <v>2.065654698E9</v>
      </c>
      <c r="E2297" s="1" t="s">
        <v>10953</v>
      </c>
      <c r="F2297" s="1"/>
      <c r="G2297" s="1" t="s">
        <v>2350</v>
      </c>
      <c r="H2297" s="1" t="s">
        <v>1155</v>
      </c>
      <c r="I2297" s="1">
        <v>63105.0</v>
      </c>
      <c r="J2297" s="1" t="s">
        <v>752</v>
      </c>
      <c r="K2297" s="1" t="s">
        <v>42</v>
      </c>
      <c r="L2297" s="1" t="s">
        <v>6819</v>
      </c>
      <c r="M2297" s="1">
        <v>49.0</v>
      </c>
      <c r="N2297" s="1" t="s">
        <v>1152</v>
      </c>
      <c r="O2297" s="3" t="s">
        <v>6283</v>
      </c>
      <c r="P2297" s="1" t="s">
        <v>1152</v>
      </c>
      <c r="Q2297" s="1" t="s">
        <v>1152</v>
      </c>
      <c r="R2297" s="1"/>
      <c r="S2297" s="1"/>
      <c r="T2297" s="1" t="s">
        <v>1152</v>
      </c>
      <c r="U2297" s="1" t="s">
        <v>956</v>
      </c>
      <c r="V2297" s="4" t="s">
        <v>6283</v>
      </c>
      <c r="W2297" s="1"/>
      <c r="X2297" s="1" t="s">
        <v>1152</v>
      </c>
      <c r="Y2297" s="1" t="s">
        <v>1152</v>
      </c>
      <c r="Z2297" s="1"/>
      <c r="AA2297" s="1"/>
      <c r="AB2297" s="1"/>
      <c r="AC2297" s="1" t="s">
        <v>1925</v>
      </c>
      <c r="AD2297" s="1"/>
      <c r="AE2297" s="18">
        <v>46147.0</v>
      </c>
      <c r="AF2297" s="1" t="s">
        <v>1455</v>
      </c>
      <c r="AG2297" s="1" t="s">
        <v>52</v>
      </c>
      <c r="AH2297" s="1" t="s">
        <v>1152</v>
      </c>
      <c r="AI2297" s="1" t="s">
        <v>1152</v>
      </c>
      <c r="AJ2297" s="1" t="s">
        <v>10953</v>
      </c>
      <c r="AK2297" s="1" t="s">
        <v>1152</v>
      </c>
      <c r="AL2297" s="6"/>
      <c r="AM2297" s="12">
        <v>2.06565467E9</v>
      </c>
    </row>
    <row r="2298">
      <c r="A2298" s="5" t="s">
        <v>10954</v>
      </c>
      <c r="B2298" s="1" t="s">
        <v>10955</v>
      </c>
      <c r="C2298" s="1" t="s">
        <v>10956</v>
      </c>
      <c r="D2298" s="2">
        <v>8.588228804E9</v>
      </c>
      <c r="E2298" s="1" t="s">
        <v>7742</v>
      </c>
      <c r="F2298" s="1"/>
      <c r="G2298" s="1" t="s">
        <v>7743</v>
      </c>
      <c r="H2298" s="1" t="s">
        <v>1616</v>
      </c>
      <c r="I2298" s="1">
        <v>3458.0</v>
      </c>
      <c r="J2298" s="1" t="s">
        <v>752</v>
      </c>
      <c r="K2298" s="1" t="s">
        <v>42</v>
      </c>
      <c r="L2298" s="1" t="s">
        <v>6819</v>
      </c>
      <c r="M2298" s="1">
        <v>49.0</v>
      </c>
      <c r="N2298" s="1" t="s">
        <v>1152</v>
      </c>
      <c r="O2298" s="3" t="s">
        <v>7744</v>
      </c>
      <c r="P2298" s="1" t="s">
        <v>1152</v>
      </c>
      <c r="Q2298" s="1" t="s">
        <v>1152</v>
      </c>
      <c r="R2298" s="1"/>
      <c r="S2298" s="1"/>
      <c r="T2298" s="1" t="s">
        <v>1152</v>
      </c>
      <c r="U2298" s="1" t="s">
        <v>1201</v>
      </c>
      <c r="V2298" s="4" t="s">
        <v>7744</v>
      </c>
      <c r="W2298" s="1"/>
      <c r="X2298" s="1" t="s">
        <v>1152</v>
      </c>
      <c r="Y2298" s="1" t="s">
        <v>1152</v>
      </c>
      <c r="Z2298" s="1"/>
      <c r="AA2298" s="1"/>
      <c r="AB2298" s="1"/>
      <c r="AC2298" s="1" t="s">
        <v>1925</v>
      </c>
      <c r="AD2298" s="1"/>
      <c r="AE2298" s="18">
        <v>46147.0</v>
      </c>
      <c r="AF2298" s="1" t="s">
        <v>1349</v>
      </c>
      <c r="AG2298" s="1" t="s">
        <v>52</v>
      </c>
      <c r="AH2298" s="1" t="s">
        <v>1152</v>
      </c>
      <c r="AI2298" s="1" t="s">
        <v>1152</v>
      </c>
      <c r="AJ2298" s="1" t="s">
        <v>7742</v>
      </c>
      <c r="AK2298" s="1" t="s">
        <v>1152</v>
      </c>
      <c r="AL2298" s="6"/>
      <c r="AM2298" s="12">
        <v>8.588228804E9</v>
      </c>
    </row>
    <row r="2299">
      <c r="A2299" s="5" t="s">
        <v>10957</v>
      </c>
      <c r="B2299" s="1" t="s">
        <v>10958</v>
      </c>
      <c r="C2299" s="1" t="s">
        <v>4646</v>
      </c>
      <c r="D2299" s="2">
        <v>9.172460728E9</v>
      </c>
      <c r="E2299" s="1" t="s">
        <v>4647</v>
      </c>
      <c r="F2299" s="1"/>
      <c r="G2299" s="1" t="s">
        <v>3230</v>
      </c>
      <c r="H2299" s="1" t="s">
        <v>751</v>
      </c>
      <c r="I2299" s="1">
        <v>10013.0</v>
      </c>
      <c r="J2299" s="1" t="s">
        <v>752</v>
      </c>
      <c r="K2299" s="1" t="s">
        <v>42</v>
      </c>
      <c r="L2299" s="1" t="s">
        <v>6819</v>
      </c>
      <c r="M2299" s="1">
        <v>49.0</v>
      </c>
      <c r="N2299" s="1" t="s">
        <v>1152</v>
      </c>
      <c r="O2299" s="3" t="s">
        <v>1832</v>
      </c>
      <c r="P2299" s="1" t="s">
        <v>1152</v>
      </c>
      <c r="Q2299" s="1" t="s">
        <v>1152</v>
      </c>
      <c r="R2299" s="1"/>
      <c r="S2299" s="1"/>
      <c r="T2299" s="1" t="s">
        <v>1152</v>
      </c>
      <c r="U2299" s="1" t="s">
        <v>1399</v>
      </c>
      <c r="V2299" s="4" t="s">
        <v>1832</v>
      </c>
      <c r="W2299" s="1"/>
      <c r="X2299" s="1" t="s">
        <v>1152</v>
      </c>
      <c r="Y2299" s="1" t="s">
        <v>1152</v>
      </c>
      <c r="Z2299" s="1"/>
      <c r="AA2299" s="1"/>
      <c r="AB2299" s="1"/>
      <c r="AC2299" s="1" t="s">
        <v>1925</v>
      </c>
      <c r="AD2299" s="1"/>
      <c r="AE2299" s="18">
        <v>46149.0</v>
      </c>
      <c r="AF2299" s="1" t="s">
        <v>1030</v>
      </c>
      <c r="AG2299" s="1" t="s">
        <v>52</v>
      </c>
      <c r="AH2299" s="1" t="s">
        <v>1152</v>
      </c>
      <c r="AI2299" s="1" t="s">
        <v>1152</v>
      </c>
      <c r="AJ2299" s="1" t="s">
        <v>4647</v>
      </c>
      <c r="AK2299" s="1" t="s">
        <v>1152</v>
      </c>
      <c r="AL2299" s="6"/>
      <c r="AM2299" s="12">
        <v>9.172460728E9</v>
      </c>
    </row>
    <row r="2300">
      <c r="A2300" s="5" t="s">
        <v>10959</v>
      </c>
      <c r="B2300" s="1" t="s">
        <v>10960</v>
      </c>
      <c r="C2300" s="1" t="s">
        <v>668</v>
      </c>
      <c r="D2300" s="2">
        <v>9.179410655E9</v>
      </c>
      <c r="E2300" s="1" t="s">
        <v>669</v>
      </c>
      <c r="F2300" s="1"/>
      <c r="G2300" s="1" t="s">
        <v>751</v>
      </c>
      <c r="H2300" s="1" t="s">
        <v>751</v>
      </c>
      <c r="I2300" s="1">
        <v>10024.0</v>
      </c>
      <c r="J2300" s="1" t="s">
        <v>752</v>
      </c>
      <c r="K2300" s="1" t="s">
        <v>892</v>
      </c>
      <c r="L2300" s="1" t="s">
        <v>8006</v>
      </c>
      <c r="M2300" s="1">
        <v>49.0</v>
      </c>
      <c r="N2300" s="1" t="s">
        <v>1152</v>
      </c>
      <c r="O2300" s="3" t="s">
        <v>2132</v>
      </c>
      <c r="P2300" s="1" t="s">
        <v>1152</v>
      </c>
      <c r="Q2300" s="1" t="s">
        <v>1152</v>
      </c>
      <c r="R2300" s="1"/>
      <c r="S2300" s="1"/>
      <c r="T2300" s="1" t="s">
        <v>1152</v>
      </c>
      <c r="U2300" s="1" t="s">
        <v>7909</v>
      </c>
      <c r="V2300" s="4" t="s">
        <v>2132</v>
      </c>
      <c r="W2300" s="1"/>
      <c r="X2300" s="1" t="s">
        <v>1152</v>
      </c>
      <c r="Y2300" s="1" t="s">
        <v>1152</v>
      </c>
      <c r="Z2300" s="1"/>
      <c r="AA2300" s="1"/>
      <c r="AB2300" s="1"/>
      <c r="AC2300" s="1" t="s">
        <v>1925</v>
      </c>
      <c r="AD2300" s="1"/>
      <c r="AE2300" s="18">
        <v>46150.0</v>
      </c>
      <c r="AF2300" s="1" t="s">
        <v>1030</v>
      </c>
      <c r="AG2300" s="1" t="s">
        <v>52</v>
      </c>
      <c r="AH2300" s="1" t="s">
        <v>10961</v>
      </c>
      <c r="AI2300" s="1" t="s">
        <v>1152</v>
      </c>
      <c r="AJ2300" s="1" t="s">
        <v>669</v>
      </c>
      <c r="AK2300" s="1" t="s">
        <v>1152</v>
      </c>
      <c r="AL2300" s="6"/>
      <c r="AM2300" s="12">
        <v>9.179410655E9</v>
      </c>
    </row>
    <row r="2301">
      <c r="A2301" s="5" t="s">
        <v>10962</v>
      </c>
      <c r="B2301" s="1" t="s">
        <v>10963</v>
      </c>
      <c r="C2301" s="1" t="s">
        <v>10964</v>
      </c>
      <c r="D2301" s="2">
        <v>2.022808249E9</v>
      </c>
      <c r="E2301" s="1" t="s">
        <v>10965</v>
      </c>
      <c r="F2301" s="1"/>
      <c r="G2301" s="1" t="s">
        <v>2367</v>
      </c>
      <c r="H2301" s="1" t="s">
        <v>1005</v>
      </c>
      <c r="I2301" s="1">
        <v>21042.0</v>
      </c>
      <c r="J2301" s="1" t="s">
        <v>752</v>
      </c>
      <c r="K2301" s="1" t="s">
        <v>42</v>
      </c>
      <c r="L2301" s="1" t="s">
        <v>7863</v>
      </c>
      <c r="M2301" s="1">
        <v>79.0</v>
      </c>
      <c r="N2301" s="1" t="s">
        <v>1152</v>
      </c>
      <c r="O2301" s="3" t="s">
        <v>434</v>
      </c>
      <c r="P2301" s="1" t="s">
        <v>1152</v>
      </c>
      <c r="Q2301" s="1" t="s">
        <v>1152</v>
      </c>
      <c r="R2301" s="1"/>
      <c r="S2301" s="1"/>
      <c r="T2301" s="1" t="s">
        <v>1152</v>
      </c>
      <c r="U2301" s="1" t="s">
        <v>1277</v>
      </c>
      <c r="V2301" s="4" t="s">
        <v>434</v>
      </c>
      <c r="W2301" s="1"/>
      <c r="X2301" s="1" t="s">
        <v>1152</v>
      </c>
      <c r="Y2301" s="1" t="s">
        <v>1152</v>
      </c>
      <c r="Z2301" s="1"/>
      <c r="AA2301" s="1"/>
      <c r="AB2301" s="1"/>
      <c r="AC2301" s="1" t="s">
        <v>1925</v>
      </c>
      <c r="AD2301" s="1"/>
      <c r="AE2301" s="18">
        <v>46148.0</v>
      </c>
      <c r="AF2301" s="1" t="s">
        <v>1030</v>
      </c>
      <c r="AG2301" s="1" t="s">
        <v>52</v>
      </c>
      <c r="AH2301" s="1" t="s">
        <v>1152</v>
      </c>
      <c r="AI2301" s="1" t="s">
        <v>1152</v>
      </c>
      <c r="AJ2301" s="1" t="s">
        <v>10966</v>
      </c>
      <c r="AK2301" s="1" t="s">
        <v>1152</v>
      </c>
      <c r="AL2301" s="6"/>
      <c r="AM2301" s="12">
        <v>2.022808249E9</v>
      </c>
    </row>
    <row r="2302">
      <c r="A2302" s="5" t="s">
        <v>10967</v>
      </c>
      <c r="B2302" s="1" t="s">
        <v>10968</v>
      </c>
      <c r="C2302" s="1" t="s">
        <v>10969</v>
      </c>
      <c r="D2302" s="2">
        <v>5.572185472E9</v>
      </c>
      <c r="E2302" s="1" t="s">
        <v>10970</v>
      </c>
      <c r="F2302" s="1"/>
      <c r="G2302" s="1" t="s">
        <v>2350</v>
      </c>
      <c r="H2302" s="1" t="s">
        <v>1155</v>
      </c>
      <c r="I2302" s="1">
        <v>63105.0</v>
      </c>
      <c r="J2302" s="1" t="s">
        <v>752</v>
      </c>
      <c r="K2302" s="1" t="s">
        <v>42</v>
      </c>
      <c r="L2302" s="1" t="s">
        <v>6819</v>
      </c>
      <c r="M2302" s="1">
        <v>49.0</v>
      </c>
      <c r="N2302" s="1" t="s">
        <v>1152</v>
      </c>
      <c r="O2302" s="3" t="s">
        <v>10971</v>
      </c>
      <c r="P2302" s="1" t="s">
        <v>1152</v>
      </c>
      <c r="Q2302" s="1" t="s">
        <v>1152</v>
      </c>
      <c r="R2302" s="1"/>
      <c r="S2302" s="1"/>
      <c r="T2302" s="1" t="s">
        <v>1152</v>
      </c>
      <c r="U2302" s="1" t="s">
        <v>1039</v>
      </c>
      <c r="V2302" s="4" t="s">
        <v>10971</v>
      </c>
      <c r="W2302" s="1"/>
      <c r="X2302" s="1" t="s">
        <v>1152</v>
      </c>
      <c r="Y2302" s="1" t="s">
        <v>1152</v>
      </c>
      <c r="Z2302" s="1"/>
      <c r="AA2302" s="1"/>
      <c r="AB2302" s="1"/>
      <c r="AC2302" s="1" t="s">
        <v>1925</v>
      </c>
      <c r="AD2302" s="1"/>
      <c r="AE2302" s="18">
        <v>46148.0</v>
      </c>
      <c r="AF2302" s="1" t="s">
        <v>1440</v>
      </c>
      <c r="AG2302" s="1" t="s">
        <v>52</v>
      </c>
      <c r="AH2302" s="1" t="s">
        <v>1152</v>
      </c>
      <c r="AI2302" s="1" t="s">
        <v>1152</v>
      </c>
      <c r="AJ2302" s="1" t="s">
        <v>10972</v>
      </c>
      <c r="AK2302" s="1" t="s">
        <v>1152</v>
      </c>
      <c r="AL2302" s="6"/>
      <c r="AM2302" s="12">
        <v>5.572185472E9</v>
      </c>
    </row>
    <row r="2303">
      <c r="A2303" s="5" t="s">
        <v>10973</v>
      </c>
      <c r="B2303" s="1" t="s">
        <v>10974</v>
      </c>
      <c r="C2303" s="1" t="s">
        <v>10975</v>
      </c>
      <c r="D2303" s="2">
        <v>6.468724314E9</v>
      </c>
      <c r="E2303" s="1" t="s">
        <v>10976</v>
      </c>
      <c r="F2303" s="1"/>
      <c r="G2303" s="1" t="s">
        <v>3729</v>
      </c>
      <c r="H2303" s="1" t="s">
        <v>1053</v>
      </c>
      <c r="I2303" s="1">
        <v>7042.0</v>
      </c>
      <c r="J2303" s="1" t="s">
        <v>752</v>
      </c>
      <c r="K2303" s="1" t="s">
        <v>42</v>
      </c>
      <c r="L2303" s="1" t="s">
        <v>6819</v>
      </c>
      <c r="M2303" s="1">
        <v>49.0</v>
      </c>
      <c r="N2303" s="1" t="s">
        <v>1152</v>
      </c>
      <c r="O2303" s="3" t="s">
        <v>10977</v>
      </c>
      <c r="P2303" s="1" t="s">
        <v>1152</v>
      </c>
      <c r="Q2303" s="1" t="s">
        <v>1152</v>
      </c>
      <c r="R2303" s="1"/>
      <c r="S2303" s="1"/>
      <c r="T2303" s="1" t="s">
        <v>1152</v>
      </c>
      <c r="U2303" s="1" t="s">
        <v>1148</v>
      </c>
      <c r="V2303" s="4" t="s">
        <v>10977</v>
      </c>
      <c r="W2303" s="1"/>
      <c r="X2303" s="1" t="s">
        <v>1152</v>
      </c>
      <c r="Y2303" s="1" t="s">
        <v>1152</v>
      </c>
      <c r="Z2303" s="1"/>
      <c r="AA2303" s="1"/>
      <c r="AB2303" s="1"/>
      <c r="AC2303" s="1" t="s">
        <v>1925</v>
      </c>
      <c r="AD2303" s="1"/>
      <c r="AE2303" s="18">
        <v>46147.0</v>
      </c>
      <c r="AF2303" s="1" t="s">
        <v>1030</v>
      </c>
      <c r="AG2303" s="1" t="s">
        <v>52</v>
      </c>
      <c r="AH2303" s="1" t="s">
        <v>1152</v>
      </c>
      <c r="AI2303" s="1" t="s">
        <v>1152</v>
      </c>
      <c r="AJ2303" s="1" t="s">
        <v>10978</v>
      </c>
      <c r="AK2303" s="1" t="s">
        <v>1152</v>
      </c>
      <c r="AL2303" s="6"/>
      <c r="AM2303" s="12">
        <v>8.627034066E9</v>
      </c>
    </row>
    <row r="2304">
      <c r="A2304" s="5" t="s">
        <v>10979</v>
      </c>
      <c r="B2304" s="1" t="s">
        <v>10980</v>
      </c>
      <c r="C2304" s="1" t="s">
        <v>10981</v>
      </c>
      <c r="D2304" s="2">
        <v>3.052154001E9</v>
      </c>
      <c r="E2304" s="1" t="s">
        <v>10982</v>
      </c>
      <c r="F2304" s="1"/>
      <c r="G2304" s="1" t="s">
        <v>10983</v>
      </c>
      <c r="H2304" s="1" t="s">
        <v>1208</v>
      </c>
      <c r="I2304" s="1">
        <v>33154.0</v>
      </c>
      <c r="J2304" s="1" t="s">
        <v>752</v>
      </c>
      <c r="K2304" s="1" t="s">
        <v>42</v>
      </c>
      <c r="L2304" s="1" t="s">
        <v>6819</v>
      </c>
      <c r="M2304" s="1">
        <v>49.0</v>
      </c>
      <c r="N2304" s="1" t="s">
        <v>1152</v>
      </c>
      <c r="O2304" s="3" t="s">
        <v>10984</v>
      </c>
      <c r="P2304" s="1" t="s">
        <v>1152</v>
      </c>
      <c r="Q2304" s="1" t="s">
        <v>1152</v>
      </c>
      <c r="R2304" s="1"/>
      <c r="S2304" s="1"/>
      <c r="T2304" s="1" t="s">
        <v>1152</v>
      </c>
      <c r="U2304" s="1" t="s">
        <v>982</v>
      </c>
      <c r="V2304" s="4" t="s">
        <v>10984</v>
      </c>
      <c r="W2304" s="1"/>
      <c r="X2304" s="1" t="s">
        <v>1152</v>
      </c>
      <c r="Y2304" s="1" t="s">
        <v>1152</v>
      </c>
      <c r="Z2304" s="1"/>
      <c r="AA2304" s="1"/>
      <c r="AB2304" s="1"/>
      <c r="AC2304" s="1" t="s">
        <v>1925</v>
      </c>
      <c r="AD2304" s="1"/>
      <c r="AE2304" s="18">
        <v>46148.0</v>
      </c>
      <c r="AF2304" s="1" t="s">
        <v>1030</v>
      </c>
      <c r="AG2304" s="1" t="s">
        <v>52</v>
      </c>
      <c r="AH2304" s="1" t="s">
        <v>1152</v>
      </c>
      <c r="AI2304" s="1" t="s">
        <v>1152</v>
      </c>
      <c r="AJ2304" s="1" t="s">
        <v>10985</v>
      </c>
      <c r="AK2304" s="1" t="s">
        <v>1152</v>
      </c>
      <c r="AL2304" s="6"/>
      <c r="AM2304" s="12">
        <v>3.052154001E9</v>
      </c>
    </row>
    <row r="2305">
      <c r="A2305" s="5" t="s">
        <v>10986</v>
      </c>
      <c r="B2305" s="1" t="s">
        <v>10987</v>
      </c>
      <c r="C2305" s="1" t="s">
        <v>7001</v>
      </c>
      <c r="D2305" s="2">
        <v>9.178819128E9</v>
      </c>
      <c r="E2305" s="1" t="s">
        <v>7002</v>
      </c>
      <c r="F2305" s="1"/>
      <c r="G2305" s="1" t="s">
        <v>10988</v>
      </c>
      <c r="H2305" s="1" t="s">
        <v>1053</v>
      </c>
      <c r="I2305" s="1">
        <v>7078.0</v>
      </c>
      <c r="J2305" s="1" t="s">
        <v>752</v>
      </c>
      <c r="K2305" s="1" t="s">
        <v>42</v>
      </c>
      <c r="L2305" s="1" t="s">
        <v>8393</v>
      </c>
      <c r="M2305" s="1">
        <v>109.0</v>
      </c>
      <c r="N2305" s="1" t="s">
        <v>1152</v>
      </c>
      <c r="O2305" s="3" t="s">
        <v>4357</v>
      </c>
      <c r="P2305" s="1" t="s">
        <v>1152</v>
      </c>
      <c r="Q2305" s="1" t="s">
        <v>1152</v>
      </c>
      <c r="R2305" s="1"/>
      <c r="S2305" s="1"/>
      <c r="T2305" s="1" t="s">
        <v>1152</v>
      </c>
      <c r="U2305" s="1" t="s">
        <v>1812</v>
      </c>
      <c r="V2305" s="4" t="s">
        <v>4357</v>
      </c>
      <c r="W2305" s="1"/>
      <c r="X2305" s="1" t="s">
        <v>1152</v>
      </c>
      <c r="Y2305" s="1" t="s">
        <v>1152</v>
      </c>
      <c r="Z2305" s="1"/>
      <c r="AA2305" s="1"/>
      <c r="AB2305" s="1"/>
      <c r="AC2305" s="1" t="s">
        <v>1925</v>
      </c>
      <c r="AD2305" s="1"/>
      <c r="AE2305" s="18">
        <v>46149.0</v>
      </c>
      <c r="AF2305" s="1" t="s">
        <v>1030</v>
      </c>
      <c r="AG2305" s="1" t="s">
        <v>52</v>
      </c>
      <c r="AH2305" s="1" t="s">
        <v>1152</v>
      </c>
      <c r="AI2305" s="1" t="s">
        <v>1152</v>
      </c>
      <c r="AJ2305" s="1" t="s">
        <v>7003</v>
      </c>
      <c r="AK2305" s="1" t="s">
        <v>1152</v>
      </c>
      <c r="AL2305" s="6"/>
      <c r="AM2305" s="12">
        <v>9.176129283E9</v>
      </c>
    </row>
    <row r="2306">
      <c r="A2306" s="5" t="s">
        <v>10989</v>
      </c>
      <c r="B2306" s="1" t="s">
        <v>10990</v>
      </c>
      <c r="C2306" s="1" t="s">
        <v>10991</v>
      </c>
      <c r="D2306" s="2">
        <v>3.146558325E9</v>
      </c>
      <c r="E2306" s="1" t="s">
        <v>10992</v>
      </c>
      <c r="F2306" s="1"/>
      <c r="G2306" s="1" t="s">
        <v>2350</v>
      </c>
      <c r="H2306" s="1" t="s">
        <v>1155</v>
      </c>
      <c r="I2306" s="1">
        <v>63105.0</v>
      </c>
      <c r="J2306" s="1" t="s">
        <v>752</v>
      </c>
      <c r="K2306" s="1" t="s">
        <v>42</v>
      </c>
      <c r="L2306" s="1" t="s">
        <v>6819</v>
      </c>
      <c r="M2306" s="1">
        <v>49.0</v>
      </c>
      <c r="N2306" s="1" t="s">
        <v>1152</v>
      </c>
      <c r="O2306" s="3" t="s">
        <v>4310</v>
      </c>
      <c r="P2306" s="1" t="s">
        <v>1152</v>
      </c>
      <c r="Q2306" s="1" t="s">
        <v>1152</v>
      </c>
      <c r="R2306" s="1"/>
      <c r="S2306" s="1"/>
      <c r="T2306" s="1" t="s">
        <v>1152</v>
      </c>
      <c r="U2306" s="1" t="s">
        <v>1407</v>
      </c>
      <c r="V2306" s="4" t="s">
        <v>4310</v>
      </c>
      <c r="W2306" s="1"/>
      <c r="X2306" s="1" t="s">
        <v>1152</v>
      </c>
      <c r="Y2306" s="1" t="s">
        <v>1152</v>
      </c>
      <c r="Z2306" s="1"/>
      <c r="AA2306" s="1"/>
      <c r="AB2306" s="1"/>
      <c r="AC2306" s="1" t="s">
        <v>1925</v>
      </c>
      <c r="AD2306" s="1"/>
      <c r="AE2306" s="18">
        <v>46149.0</v>
      </c>
      <c r="AF2306" s="1" t="s">
        <v>1440</v>
      </c>
      <c r="AG2306" s="1" t="s">
        <v>52</v>
      </c>
      <c r="AH2306" s="1" t="s">
        <v>1152</v>
      </c>
      <c r="AI2306" s="1" t="s">
        <v>1152</v>
      </c>
      <c r="AJ2306" s="1" t="s">
        <v>10992</v>
      </c>
      <c r="AK2306" s="1" t="s">
        <v>1152</v>
      </c>
      <c r="AL2306" s="6"/>
      <c r="AM2306" s="12">
        <v>3.146558325E9</v>
      </c>
    </row>
    <row r="2307">
      <c r="A2307" s="5" t="s">
        <v>10993</v>
      </c>
      <c r="B2307" s="1" t="s">
        <v>10994</v>
      </c>
      <c r="C2307" s="1" t="s">
        <v>10995</v>
      </c>
      <c r="D2307" s="2">
        <v>4.695362299E9</v>
      </c>
      <c r="E2307" s="1" t="s">
        <v>10996</v>
      </c>
      <c r="F2307" s="1"/>
      <c r="G2307" s="1" t="s">
        <v>5223</v>
      </c>
      <c r="H2307" s="1" t="s">
        <v>1583</v>
      </c>
      <c r="I2307" s="1">
        <v>75035.0</v>
      </c>
      <c r="J2307" s="1" t="s">
        <v>752</v>
      </c>
      <c r="K2307" s="1" t="s">
        <v>42</v>
      </c>
      <c r="L2307" s="1" t="s">
        <v>6819</v>
      </c>
      <c r="M2307" s="1">
        <v>49.0</v>
      </c>
      <c r="N2307" s="1" t="s">
        <v>1152</v>
      </c>
      <c r="O2307" s="3" t="s">
        <v>10393</v>
      </c>
      <c r="P2307" s="1" t="s">
        <v>1152</v>
      </c>
      <c r="Q2307" s="1" t="s">
        <v>1152</v>
      </c>
      <c r="R2307" s="1"/>
      <c r="S2307" s="1"/>
      <c r="T2307" s="1" t="s">
        <v>1152</v>
      </c>
      <c r="U2307" s="1" t="s">
        <v>1324</v>
      </c>
      <c r="V2307" s="4" t="s">
        <v>10393</v>
      </c>
      <c r="W2307" s="1"/>
      <c r="X2307" s="1" t="s">
        <v>1152</v>
      </c>
      <c r="Y2307" s="1" t="s">
        <v>1152</v>
      </c>
      <c r="Z2307" s="1"/>
      <c r="AA2307" s="1"/>
      <c r="AB2307" s="1"/>
      <c r="AC2307" s="1" t="s">
        <v>1925</v>
      </c>
      <c r="AD2307" s="1"/>
      <c r="AE2307" s="18">
        <v>46148.0</v>
      </c>
      <c r="AF2307" s="1" t="s">
        <v>1440</v>
      </c>
      <c r="AG2307" s="1" t="s">
        <v>52</v>
      </c>
      <c r="AH2307" s="1" t="s">
        <v>1152</v>
      </c>
      <c r="AI2307" s="1" t="s">
        <v>1152</v>
      </c>
      <c r="AJ2307" s="1" t="s">
        <v>10996</v>
      </c>
      <c r="AK2307" s="1" t="s">
        <v>1152</v>
      </c>
      <c r="AL2307" s="6"/>
      <c r="AM2307" s="12">
        <v>4.695362299E9</v>
      </c>
    </row>
    <row r="2308">
      <c r="A2308" s="5" t="s">
        <v>10997</v>
      </c>
      <c r="B2308" s="1" t="s">
        <v>10998</v>
      </c>
      <c r="C2308" s="1" t="s">
        <v>10999</v>
      </c>
      <c r="D2308" s="2">
        <v>9.497057772E9</v>
      </c>
      <c r="E2308" s="1" t="s">
        <v>11000</v>
      </c>
      <c r="F2308" s="1" t="s">
        <v>11001</v>
      </c>
      <c r="G2308" s="1" t="s">
        <v>2350</v>
      </c>
      <c r="H2308" s="1" t="s">
        <v>1155</v>
      </c>
      <c r="I2308" s="1">
        <v>63112.0</v>
      </c>
      <c r="J2308" s="1" t="s">
        <v>752</v>
      </c>
      <c r="K2308" s="1" t="s">
        <v>892</v>
      </c>
      <c r="L2308" s="1" t="s">
        <v>8006</v>
      </c>
      <c r="M2308" s="1">
        <v>49.0</v>
      </c>
      <c r="N2308" s="1" t="s">
        <v>1152</v>
      </c>
      <c r="O2308" s="3"/>
      <c r="P2308" s="1" t="s">
        <v>1152</v>
      </c>
      <c r="Q2308" s="1" t="s">
        <v>1152</v>
      </c>
      <c r="R2308" s="1" t="s">
        <v>11001</v>
      </c>
      <c r="S2308" s="1"/>
      <c r="T2308" s="1" t="s">
        <v>1152</v>
      </c>
      <c r="U2308" s="1"/>
      <c r="V2308" s="4"/>
      <c r="W2308" s="1" t="s">
        <v>11001</v>
      </c>
      <c r="X2308" s="1" t="s">
        <v>1152</v>
      </c>
      <c r="Y2308" s="1" t="s">
        <v>1152</v>
      </c>
      <c r="Z2308" s="1"/>
      <c r="AA2308" s="1" t="s">
        <v>11001</v>
      </c>
      <c r="AB2308" s="1"/>
      <c r="AC2308" s="1" t="s">
        <v>1925</v>
      </c>
      <c r="AD2308" s="1"/>
      <c r="AE2308" s="18">
        <v>46140.0</v>
      </c>
      <c r="AF2308" s="1" t="s">
        <v>1030</v>
      </c>
      <c r="AG2308" s="1" t="s">
        <v>124</v>
      </c>
      <c r="AH2308" s="1" t="s">
        <v>11002</v>
      </c>
      <c r="AI2308" s="1" t="s">
        <v>1152</v>
      </c>
      <c r="AJ2308" s="1" t="s">
        <v>11003</v>
      </c>
      <c r="AK2308" s="1" t="s">
        <v>1152</v>
      </c>
      <c r="AL2308" s="6"/>
      <c r="AM2308" s="12">
        <v>9.497057772E9</v>
      </c>
    </row>
    <row r="2309">
      <c r="A2309" s="5" t="s">
        <v>11004</v>
      </c>
      <c r="B2309" s="1" t="s">
        <v>11005</v>
      </c>
      <c r="C2309" s="1" t="s">
        <v>11006</v>
      </c>
      <c r="D2309" s="2" t="s">
        <v>11007</v>
      </c>
      <c r="E2309" s="1" t="s">
        <v>11008</v>
      </c>
      <c r="F2309" s="1" t="s">
        <v>11009</v>
      </c>
      <c r="G2309" s="1" t="s">
        <v>2857</v>
      </c>
      <c r="H2309" s="1" t="s">
        <v>1155</v>
      </c>
      <c r="I2309" s="1">
        <v>63130.0</v>
      </c>
      <c r="J2309" s="1" t="s">
        <v>752</v>
      </c>
      <c r="K2309" s="1" t="s">
        <v>892</v>
      </c>
      <c r="L2309" s="1" t="s">
        <v>8006</v>
      </c>
      <c r="M2309" s="1">
        <v>49.0</v>
      </c>
      <c r="N2309" s="1"/>
      <c r="O2309" s="3"/>
      <c r="P2309" s="1"/>
      <c r="Q2309" s="1"/>
      <c r="R2309" s="1" t="s">
        <v>11010</v>
      </c>
      <c r="S2309" s="1"/>
      <c r="T2309" s="1"/>
      <c r="U2309" s="1"/>
      <c r="V2309" s="4"/>
      <c r="W2309" s="1" t="s">
        <v>11010</v>
      </c>
      <c r="X2309" s="1"/>
      <c r="Y2309" s="1"/>
      <c r="Z2309" s="1"/>
      <c r="AA2309" s="1" t="s">
        <v>11010</v>
      </c>
      <c r="AB2309" s="1"/>
      <c r="AC2309" s="1"/>
      <c r="AD2309" s="1"/>
      <c r="AE2309" s="18">
        <v>46154.0</v>
      </c>
      <c r="AF2309" s="1" t="s">
        <v>329</v>
      </c>
      <c r="AG2309" s="1" t="s">
        <v>124</v>
      </c>
      <c r="AH2309" s="1" t="s">
        <v>11011</v>
      </c>
      <c r="AI2309" s="1"/>
      <c r="AJ2309" s="1" t="s">
        <v>11012</v>
      </c>
      <c r="AK2309" s="1"/>
      <c r="AL2309" s="6"/>
      <c r="AM2309" s="12">
        <v>9.172320427E9</v>
      </c>
    </row>
    <row r="2310">
      <c r="A2310" s="5" t="s">
        <v>11013</v>
      </c>
      <c r="B2310" s="1" t="s">
        <v>11014</v>
      </c>
      <c r="C2310" s="1" t="s">
        <v>3818</v>
      </c>
      <c r="D2310" s="2">
        <v>6.097214127E9</v>
      </c>
      <c r="E2310" s="1" t="s">
        <v>10767</v>
      </c>
      <c r="F2310" s="1"/>
      <c r="G2310" s="1" t="s">
        <v>10766</v>
      </c>
      <c r="H2310" s="1" t="s">
        <v>1053</v>
      </c>
      <c r="I2310" s="1">
        <v>8536.0</v>
      </c>
      <c r="J2310" s="1" t="s">
        <v>752</v>
      </c>
      <c r="K2310" s="1" t="s">
        <v>2131</v>
      </c>
      <c r="L2310" s="1" t="s">
        <v>5767</v>
      </c>
      <c r="M2310" s="1">
        <v>1.0</v>
      </c>
      <c r="N2310" s="1" t="s">
        <v>1152</v>
      </c>
      <c r="O2310" s="3" t="s">
        <v>576</v>
      </c>
      <c r="P2310" s="1" t="s">
        <v>1152</v>
      </c>
      <c r="Q2310" s="1" t="s">
        <v>1152</v>
      </c>
      <c r="R2310" s="1"/>
      <c r="S2310" s="1"/>
      <c r="T2310" s="1" t="s">
        <v>1152</v>
      </c>
      <c r="U2310" s="1" t="s">
        <v>1148</v>
      </c>
      <c r="V2310" s="4" t="s">
        <v>576</v>
      </c>
      <c r="W2310" s="1"/>
      <c r="X2310" s="1" t="s">
        <v>1152</v>
      </c>
      <c r="Y2310" s="1" t="s">
        <v>1152</v>
      </c>
      <c r="Z2310" s="1"/>
      <c r="AA2310" s="1"/>
      <c r="AB2310" s="1"/>
      <c r="AC2310" s="1" t="s">
        <v>1925</v>
      </c>
      <c r="AD2310" s="1"/>
      <c r="AE2310" s="18">
        <v>46149.0</v>
      </c>
      <c r="AF2310" s="1"/>
      <c r="AG2310" s="1"/>
      <c r="AH2310" s="1" t="s">
        <v>1152</v>
      </c>
      <c r="AI2310" s="1" t="s">
        <v>1152</v>
      </c>
      <c r="AJ2310" s="1" t="s">
        <v>10767</v>
      </c>
      <c r="AK2310" s="1" t="s">
        <v>1152</v>
      </c>
      <c r="AL2310" s="6"/>
      <c r="AM2310" s="12">
        <v>6.097214127E9</v>
      </c>
    </row>
    <row r="2311">
      <c r="A2311" s="5" t="s">
        <v>11015</v>
      </c>
      <c r="B2311" s="1" t="s">
        <v>11016</v>
      </c>
      <c r="C2311" s="1" t="s">
        <v>919</v>
      </c>
      <c r="D2311" s="2">
        <v>9.17570488E9</v>
      </c>
      <c r="E2311" s="1" t="s">
        <v>920</v>
      </c>
      <c r="F2311" s="1"/>
      <c r="G2311" s="1" t="s">
        <v>1354</v>
      </c>
      <c r="H2311" s="1" t="s">
        <v>1121</v>
      </c>
      <c r="I2311" s="1">
        <v>2465.0</v>
      </c>
      <c r="J2311" s="1" t="s">
        <v>752</v>
      </c>
      <c r="K2311" s="1" t="s">
        <v>42</v>
      </c>
      <c r="L2311" s="1" t="s">
        <v>7863</v>
      </c>
      <c r="M2311" s="1">
        <v>79.0</v>
      </c>
      <c r="N2311" s="1" t="s">
        <v>1152</v>
      </c>
      <c r="O2311" s="3" t="s">
        <v>10367</v>
      </c>
      <c r="P2311" s="1" t="s">
        <v>1152</v>
      </c>
      <c r="Q2311" s="1" t="s">
        <v>1152</v>
      </c>
      <c r="R2311" s="1"/>
      <c r="S2311" s="1"/>
      <c r="T2311" s="1" t="s">
        <v>1152</v>
      </c>
      <c r="U2311" s="1" t="s">
        <v>1324</v>
      </c>
      <c r="V2311" s="4" t="s">
        <v>10367</v>
      </c>
      <c r="W2311" s="1"/>
      <c r="X2311" s="1" t="s">
        <v>1152</v>
      </c>
      <c r="Y2311" s="1" t="s">
        <v>1152</v>
      </c>
      <c r="Z2311" s="1"/>
      <c r="AA2311" s="1"/>
      <c r="AB2311" s="1"/>
      <c r="AC2311" s="1" t="s">
        <v>1925</v>
      </c>
      <c r="AD2311" s="1"/>
      <c r="AE2311" s="18">
        <v>46149.0</v>
      </c>
      <c r="AF2311" s="1" t="s">
        <v>1103</v>
      </c>
      <c r="AG2311" s="1" t="s">
        <v>52</v>
      </c>
      <c r="AH2311" s="1" t="s">
        <v>1152</v>
      </c>
      <c r="AI2311" s="1" t="s">
        <v>1152</v>
      </c>
      <c r="AJ2311" s="1" t="s">
        <v>11017</v>
      </c>
      <c r="AK2311" s="1" t="s">
        <v>1152</v>
      </c>
      <c r="AL2311" s="6"/>
      <c r="AM2311" s="12">
        <v>6.178932403E9</v>
      </c>
    </row>
    <row r="2312">
      <c r="A2312" s="5" t="s">
        <v>11018</v>
      </c>
      <c r="B2312" s="1" t="s">
        <v>11019</v>
      </c>
      <c r="C2312" s="1" t="s">
        <v>11020</v>
      </c>
      <c r="D2312" s="2">
        <v>3.102463451E9</v>
      </c>
      <c r="E2312" s="1" t="s">
        <v>11021</v>
      </c>
      <c r="F2312" s="1"/>
      <c r="G2312" s="1" t="s">
        <v>1247</v>
      </c>
      <c r="H2312" s="1" t="s">
        <v>989</v>
      </c>
      <c r="I2312" s="1">
        <v>90212.0</v>
      </c>
      <c r="J2312" s="1" t="s">
        <v>752</v>
      </c>
      <c r="K2312" s="1" t="s">
        <v>42</v>
      </c>
      <c r="L2312" s="1" t="s">
        <v>7863</v>
      </c>
      <c r="M2312" s="1">
        <v>79.0</v>
      </c>
      <c r="N2312" s="1" t="s">
        <v>1152</v>
      </c>
      <c r="O2312" s="3" t="s">
        <v>2368</v>
      </c>
      <c r="P2312" s="1" t="s">
        <v>1152</v>
      </c>
      <c r="Q2312" s="1" t="s">
        <v>1152</v>
      </c>
      <c r="R2312" s="1"/>
      <c r="S2312" s="1"/>
      <c r="T2312" s="1" t="s">
        <v>1152</v>
      </c>
      <c r="U2312" s="1" t="s">
        <v>1249</v>
      </c>
      <c r="V2312" s="4" t="s">
        <v>2368</v>
      </c>
      <c r="W2312" s="1"/>
      <c r="X2312" s="1" t="s">
        <v>1152</v>
      </c>
      <c r="Y2312" s="1" t="s">
        <v>1152</v>
      </c>
      <c r="Z2312" s="1"/>
      <c r="AA2312" s="1"/>
      <c r="AB2312" s="1"/>
      <c r="AC2312" s="1" t="s">
        <v>1925</v>
      </c>
      <c r="AD2312" s="1"/>
      <c r="AE2312" s="18">
        <v>46148.0</v>
      </c>
      <c r="AF2312" s="1" t="s">
        <v>1349</v>
      </c>
      <c r="AG2312" s="1" t="s">
        <v>52</v>
      </c>
      <c r="AH2312" s="1" t="s">
        <v>1152</v>
      </c>
      <c r="AI2312" s="1" t="s">
        <v>1152</v>
      </c>
      <c r="AJ2312" s="1" t="s">
        <v>11022</v>
      </c>
      <c r="AK2312" s="1" t="s">
        <v>1152</v>
      </c>
      <c r="AL2312" s="6"/>
      <c r="AM2312" s="12">
        <v>3.108804805E9</v>
      </c>
    </row>
    <row r="2313">
      <c r="A2313" s="5" t="s">
        <v>11023</v>
      </c>
      <c r="B2313" s="1" t="s">
        <v>11024</v>
      </c>
      <c r="C2313" s="1" t="s">
        <v>11025</v>
      </c>
      <c r="D2313" s="2">
        <v>9.292909646E9</v>
      </c>
      <c r="E2313" s="1" t="s">
        <v>11026</v>
      </c>
      <c r="F2313" s="1"/>
      <c r="G2313" s="1" t="s">
        <v>751</v>
      </c>
      <c r="H2313" s="1" t="s">
        <v>751</v>
      </c>
      <c r="I2313" s="1">
        <v>10023.0</v>
      </c>
      <c r="J2313" s="1" t="s">
        <v>752</v>
      </c>
      <c r="K2313" s="1" t="s">
        <v>42</v>
      </c>
      <c r="L2313" s="1" t="s">
        <v>6819</v>
      </c>
      <c r="M2313" s="1">
        <v>49.0</v>
      </c>
      <c r="N2313" s="1" t="s">
        <v>1152</v>
      </c>
      <c r="O2313" s="3" t="s">
        <v>11027</v>
      </c>
      <c r="P2313" s="1" t="s">
        <v>1152</v>
      </c>
      <c r="Q2313" s="1" t="s">
        <v>1152</v>
      </c>
      <c r="R2313" s="1"/>
      <c r="S2313" s="1"/>
      <c r="T2313" s="1" t="s">
        <v>1152</v>
      </c>
      <c r="U2313" s="1" t="s">
        <v>1812</v>
      </c>
      <c r="V2313" s="4" t="s">
        <v>11027</v>
      </c>
      <c r="W2313" s="1"/>
      <c r="X2313" s="1" t="s">
        <v>1152</v>
      </c>
      <c r="Y2313" s="1" t="s">
        <v>1152</v>
      </c>
      <c r="Z2313" s="1"/>
      <c r="AA2313" s="1"/>
      <c r="AB2313" s="1"/>
      <c r="AC2313" s="1" t="s">
        <v>1925</v>
      </c>
      <c r="AD2313" s="1"/>
      <c r="AE2313" s="18">
        <v>46148.0</v>
      </c>
      <c r="AF2313" s="1" t="s">
        <v>1030</v>
      </c>
      <c r="AG2313" s="1" t="s">
        <v>52</v>
      </c>
      <c r="AH2313" s="1" t="s">
        <v>1152</v>
      </c>
      <c r="AI2313" s="1" t="s">
        <v>1152</v>
      </c>
      <c r="AJ2313" s="1" t="s">
        <v>11026</v>
      </c>
      <c r="AK2313" s="1" t="s">
        <v>1152</v>
      </c>
      <c r="AL2313" s="6"/>
      <c r="AM2313" s="12">
        <v>9.292909646E9</v>
      </c>
    </row>
    <row r="2314">
      <c r="A2314" s="5" t="s">
        <v>11028</v>
      </c>
      <c r="B2314" s="1" t="s">
        <v>11029</v>
      </c>
      <c r="C2314" s="1" t="s">
        <v>11030</v>
      </c>
      <c r="D2314" s="2">
        <v>9.294718915E9</v>
      </c>
      <c r="E2314" s="1" t="s">
        <v>11031</v>
      </c>
      <c r="F2314" s="1"/>
      <c r="G2314" s="1" t="s">
        <v>11032</v>
      </c>
      <c r="H2314" s="1" t="s">
        <v>751</v>
      </c>
      <c r="I2314" s="1">
        <v>11368.0</v>
      </c>
      <c r="J2314" s="1" t="s">
        <v>752</v>
      </c>
      <c r="K2314" s="1" t="s">
        <v>42</v>
      </c>
      <c r="L2314" s="1" t="s">
        <v>6819</v>
      </c>
      <c r="M2314" s="1">
        <v>49.0</v>
      </c>
      <c r="N2314" s="1" t="s">
        <v>1152</v>
      </c>
      <c r="O2314" s="3" t="s">
        <v>1703</v>
      </c>
      <c r="P2314" s="1" t="s">
        <v>1152</v>
      </c>
      <c r="Q2314" s="1" t="s">
        <v>1152</v>
      </c>
      <c r="R2314" s="1"/>
      <c r="S2314" s="1"/>
      <c r="T2314" s="1" t="s">
        <v>1152</v>
      </c>
      <c r="U2314" s="1" t="s">
        <v>1324</v>
      </c>
      <c r="V2314" s="4" t="s">
        <v>1703</v>
      </c>
      <c r="W2314" s="1"/>
      <c r="X2314" s="1" t="s">
        <v>1152</v>
      </c>
      <c r="Y2314" s="1" t="s">
        <v>1152</v>
      </c>
      <c r="Z2314" s="1"/>
      <c r="AA2314" s="1"/>
      <c r="AB2314" s="1"/>
      <c r="AC2314" s="1" t="s">
        <v>1925</v>
      </c>
      <c r="AD2314" s="1"/>
      <c r="AE2314" s="18">
        <v>46149.0</v>
      </c>
      <c r="AF2314" s="1" t="s">
        <v>1030</v>
      </c>
      <c r="AG2314" s="1" t="s">
        <v>52</v>
      </c>
      <c r="AH2314" s="1" t="s">
        <v>1152</v>
      </c>
      <c r="AI2314" s="1" t="s">
        <v>1152</v>
      </c>
      <c r="AJ2314" s="1" t="s">
        <v>11033</v>
      </c>
      <c r="AK2314" s="1" t="s">
        <v>1152</v>
      </c>
      <c r="AL2314" s="6"/>
      <c r="AM2314" s="12">
        <v>9.294718915E9</v>
      </c>
    </row>
    <row r="2315">
      <c r="A2315" s="5" t="s">
        <v>11034</v>
      </c>
      <c r="B2315" s="1" t="s">
        <v>11035</v>
      </c>
      <c r="C2315" s="1" t="s">
        <v>4894</v>
      </c>
      <c r="D2315" s="2">
        <v>3.144371708E9</v>
      </c>
      <c r="E2315" s="1" t="s">
        <v>2006</v>
      </c>
      <c r="F2315" s="1"/>
      <c r="G2315" s="1" t="s">
        <v>2350</v>
      </c>
      <c r="H2315" s="1" t="s">
        <v>1155</v>
      </c>
      <c r="I2315" s="1">
        <v>63130.0</v>
      </c>
      <c r="J2315" s="1" t="s">
        <v>752</v>
      </c>
      <c r="K2315" s="1" t="s">
        <v>42</v>
      </c>
      <c r="L2315" s="1" t="s">
        <v>6819</v>
      </c>
      <c r="M2315" s="1">
        <v>49.0</v>
      </c>
      <c r="N2315" s="1" t="s">
        <v>1152</v>
      </c>
      <c r="O2315" s="3" t="s">
        <v>4895</v>
      </c>
      <c r="P2315" s="1" t="s">
        <v>1152</v>
      </c>
      <c r="Q2315" s="1" t="s">
        <v>1152</v>
      </c>
      <c r="R2315" s="1"/>
      <c r="S2315" s="1"/>
      <c r="T2315" s="1" t="s">
        <v>1152</v>
      </c>
      <c r="U2315" s="1" t="s">
        <v>1021</v>
      </c>
      <c r="V2315" s="4" t="s">
        <v>4895</v>
      </c>
      <c r="W2315" s="1"/>
      <c r="X2315" s="1" t="s">
        <v>1152</v>
      </c>
      <c r="Y2315" s="1" t="s">
        <v>1152</v>
      </c>
      <c r="Z2315" s="1"/>
      <c r="AA2315" s="1"/>
      <c r="AB2315" s="1"/>
      <c r="AC2315" s="1" t="s">
        <v>1925</v>
      </c>
      <c r="AD2315" s="1"/>
      <c r="AE2315" s="18">
        <v>46146.0</v>
      </c>
      <c r="AF2315" s="1" t="s">
        <v>1030</v>
      </c>
      <c r="AG2315" s="1" t="s">
        <v>52</v>
      </c>
      <c r="AH2315" s="1" t="s">
        <v>1152</v>
      </c>
      <c r="AI2315" s="1" t="s">
        <v>1152</v>
      </c>
      <c r="AJ2315" s="1" t="s">
        <v>2006</v>
      </c>
      <c r="AK2315" s="1" t="s">
        <v>1152</v>
      </c>
      <c r="AL2315" s="6"/>
      <c r="AM2315" s="12">
        <v>3.144371708E9</v>
      </c>
    </row>
    <row r="2316">
      <c r="A2316" s="5" t="s">
        <v>11036</v>
      </c>
      <c r="B2316" s="1" t="s">
        <v>11037</v>
      </c>
      <c r="C2316" s="1" t="s">
        <v>11038</v>
      </c>
      <c r="D2316" s="2">
        <v>3.142039831E9</v>
      </c>
      <c r="E2316" s="1" t="s">
        <v>11039</v>
      </c>
      <c r="F2316" s="1"/>
      <c r="G2316" s="1" t="s">
        <v>2350</v>
      </c>
      <c r="H2316" s="1" t="s">
        <v>1155</v>
      </c>
      <c r="I2316" s="1">
        <v>63105.0</v>
      </c>
      <c r="J2316" s="1" t="s">
        <v>752</v>
      </c>
      <c r="K2316" s="1" t="s">
        <v>42</v>
      </c>
      <c r="L2316" s="1" t="s">
        <v>6819</v>
      </c>
      <c r="M2316" s="1">
        <v>49.0</v>
      </c>
      <c r="N2316" s="1" t="s">
        <v>1152</v>
      </c>
      <c r="O2316" s="3" t="s">
        <v>4406</v>
      </c>
      <c r="P2316" s="1" t="s">
        <v>1152</v>
      </c>
      <c r="Q2316" s="1" t="s">
        <v>1152</v>
      </c>
      <c r="R2316" s="1"/>
      <c r="S2316" s="1"/>
      <c r="T2316" s="1" t="s">
        <v>1152</v>
      </c>
      <c r="U2316" s="1" t="s">
        <v>1376</v>
      </c>
      <c r="V2316" s="4" t="s">
        <v>4406</v>
      </c>
      <c r="W2316" s="1"/>
      <c r="X2316" s="1" t="s">
        <v>1152</v>
      </c>
      <c r="Y2316" s="1" t="s">
        <v>1152</v>
      </c>
      <c r="Z2316" s="1"/>
      <c r="AA2316" s="1"/>
      <c r="AB2316" s="1"/>
      <c r="AC2316" s="1" t="s">
        <v>1925</v>
      </c>
      <c r="AD2316" s="1"/>
      <c r="AE2316" s="18">
        <v>46149.0</v>
      </c>
      <c r="AF2316" s="1" t="s">
        <v>1030</v>
      </c>
      <c r="AG2316" s="1" t="s">
        <v>52</v>
      </c>
      <c r="AH2316" s="1" t="s">
        <v>1152</v>
      </c>
      <c r="AI2316" s="1" t="s">
        <v>1152</v>
      </c>
      <c r="AJ2316" s="1" t="s">
        <v>11039</v>
      </c>
      <c r="AK2316" s="1" t="s">
        <v>1152</v>
      </c>
      <c r="AL2316" s="6"/>
      <c r="AM2316" s="12" t="s">
        <v>1925</v>
      </c>
    </row>
    <row r="2317">
      <c r="A2317" s="5" t="s">
        <v>11040</v>
      </c>
      <c r="B2317" s="1" t="s">
        <v>11041</v>
      </c>
      <c r="C2317" s="1" t="s">
        <v>11042</v>
      </c>
      <c r="D2317" s="2">
        <v>6.50250676E9</v>
      </c>
      <c r="E2317" s="1" t="s">
        <v>11043</v>
      </c>
      <c r="F2317" s="1"/>
      <c r="G2317" s="1" t="s">
        <v>11044</v>
      </c>
      <c r="H2317" s="1" t="s">
        <v>5149</v>
      </c>
      <c r="I2317" s="1">
        <v>89523.0</v>
      </c>
      <c r="J2317" s="1" t="s">
        <v>752</v>
      </c>
      <c r="K2317" s="1" t="s">
        <v>42</v>
      </c>
      <c r="L2317" s="1" t="s">
        <v>8503</v>
      </c>
      <c r="M2317" s="1">
        <v>79.0</v>
      </c>
      <c r="N2317" s="1" t="s">
        <v>1152</v>
      </c>
      <c r="O2317" s="3" t="s">
        <v>7198</v>
      </c>
      <c r="P2317" s="1" t="s">
        <v>1152</v>
      </c>
      <c r="Q2317" s="1" t="s">
        <v>1152</v>
      </c>
      <c r="R2317" s="1"/>
      <c r="S2317" s="1"/>
      <c r="T2317" s="1" t="s">
        <v>1152</v>
      </c>
      <c r="U2317" s="1" t="s">
        <v>1148</v>
      </c>
      <c r="V2317" s="4" t="s">
        <v>7198</v>
      </c>
      <c r="W2317" s="1"/>
      <c r="X2317" s="1" t="s">
        <v>1152</v>
      </c>
      <c r="Y2317" s="1" t="s">
        <v>1152</v>
      </c>
      <c r="Z2317" s="1"/>
      <c r="AA2317" s="1"/>
      <c r="AB2317" s="1"/>
      <c r="AC2317" s="1" t="s">
        <v>1925</v>
      </c>
      <c r="AD2317" s="1"/>
      <c r="AE2317" s="18">
        <v>46147.0</v>
      </c>
      <c r="AF2317" s="1" t="s">
        <v>1030</v>
      </c>
      <c r="AG2317" s="1" t="s">
        <v>52</v>
      </c>
      <c r="AH2317" s="1" t="s">
        <v>1152</v>
      </c>
      <c r="AI2317" s="1" t="s">
        <v>1152</v>
      </c>
      <c r="AJ2317" s="1" t="s">
        <v>11045</v>
      </c>
      <c r="AK2317" s="1" t="s">
        <v>1152</v>
      </c>
      <c r="AL2317" s="6"/>
      <c r="AM2317" s="12">
        <v>6.50250676E9</v>
      </c>
    </row>
    <row r="2318">
      <c r="A2318" s="5" t="s">
        <v>11046</v>
      </c>
      <c r="B2318" s="1" t="s">
        <v>11047</v>
      </c>
      <c r="C2318" s="1" t="s">
        <v>11048</v>
      </c>
      <c r="D2318" s="2">
        <v>7.033078619E9</v>
      </c>
      <c r="E2318" s="1" t="s">
        <v>281</v>
      </c>
      <c r="F2318" s="1"/>
      <c r="G2318" s="1" t="s">
        <v>1299</v>
      </c>
      <c r="H2318" s="1" t="s">
        <v>1005</v>
      </c>
      <c r="I2318" s="1">
        <v>20817.0</v>
      </c>
      <c r="J2318" s="1" t="s">
        <v>752</v>
      </c>
      <c r="K2318" s="1" t="s">
        <v>42</v>
      </c>
      <c r="L2318" s="1" t="s">
        <v>6819</v>
      </c>
      <c r="M2318" s="1">
        <v>49.0</v>
      </c>
      <c r="N2318" s="1" t="s">
        <v>1152</v>
      </c>
      <c r="O2318" s="3" t="s">
        <v>964</v>
      </c>
      <c r="P2318" s="1" t="s">
        <v>1152</v>
      </c>
      <c r="Q2318" s="1" t="s">
        <v>1152</v>
      </c>
      <c r="R2318" s="1"/>
      <c r="S2318" s="1"/>
      <c r="T2318" s="1" t="s">
        <v>1152</v>
      </c>
      <c r="U2318" s="1" t="s">
        <v>1277</v>
      </c>
      <c r="V2318" s="4" t="s">
        <v>964</v>
      </c>
      <c r="W2318" s="1"/>
      <c r="X2318" s="1" t="s">
        <v>1152</v>
      </c>
      <c r="Y2318" s="1" t="s">
        <v>1152</v>
      </c>
      <c r="Z2318" s="1"/>
      <c r="AA2318" s="1"/>
      <c r="AB2318" s="1"/>
      <c r="AC2318" s="1" t="s">
        <v>1925</v>
      </c>
      <c r="AD2318" s="1"/>
      <c r="AE2318" s="18">
        <v>46149.0</v>
      </c>
      <c r="AF2318" s="1" t="s">
        <v>1030</v>
      </c>
      <c r="AG2318" s="1" t="s">
        <v>52</v>
      </c>
      <c r="AH2318" s="1" t="s">
        <v>1152</v>
      </c>
      <c r="AI2318" s="1" t="s">
        <v>1152</v>
      </c>
      <c r="AJ2318" s="1" t="s">
        <v>11049</v>
      </c>
      <c r="AK2318" s="1" t="s">
        <v>1152</v>
      </c>
      <c r="AL2318" s="6"/>
      <c r="AM2318" s="12">
        <v>3.013003708E9</v>
      </c>
    </row>
    <row r="2319">
      <c r="A2319" s="5" t="s">
        <v>11050</v>
      </c>
      <c r="B2319" s="1" t="s">
        <v>11051</v>
      </c>
      <c r="C2319" s="1" t="s">
        <v>11052</v>
      </c>
      <c r="D2319" s="2">
        <v>3.147289647E9</v>
      </c>
      <c r="E2319" s="1" t="s">
        <v>11053</v>
      </c>
      <c r="F2319" s="1"/>
      <c r="G2319" s="1" t="s">
        <v>2350</v>
      </c>
      <c r="H2319" s="1" t="s">
        <v>1155</v>
      </c>
      <c r="I2319" s="1">
        <v>63105.0</v>
      </c>
      <c r="J2319" s="1" t="s">
        <v>752</v>
      </c>
      <c r="K2319" s="1" t="s">
        <v>42</v>
      </c>
      <c r="L2319" s="1" t="s">
        <v>6819</v>
      </c>
      <c r="M2319" s="1">
        <v>49.0</v>
      </c>
      <c r="N2319" s="1" t="s">
        <v>1152</v>
      </c>
      <c r="O2319" s="3" t="s">
        <v>2274</v>
      </c>
      <c r="P2319" s="1" t="s">
        <v>1152</v>
      </c>
      <c r="Q2319" s="1" t="s">
        <v>1152</v>
      </c>
      <c r="R2319" s="1"/>
      <c r="S2319" s="1"/>
      <c r="T2319" s="1" t="s">
        <v>1152</v>
      </c>
      <c r="U2319" s="1" t="s">
        <v>1441</v>
      </c>
      <c r="V2319" s="4" t="s">
        <v>2274</v>
      </c>
      <c r="W2319" s="1"/>
      <c r="X2319" s="1" t="s">
        <v>1152</v>
      </c>
      <c r="Y2319" s="1" t="s">
        <v>1152</v>
      </c>
      <c r="Z2319" s="1"/>
      <c r="AA2319" s="1"/>
      <c r="AB2319" s="1"/>
      <c r="AC2319" s="1" t="s">
        <v>1925</v>
      </c>
      <c r="AD2319" s="1"/>
      <c r="AE2319" s="18">
        <v>46148.0</v>
      </c>
      <c r="AF2319" s="1" t="s">
        <v>1030</v>
      </c>
      <c r="AG2319" s="1" t="s">
        <v>52</v>
      </c>
      <c r="AH2319" s="1" t="s">
        <v>1152</v>
      </c>
      <c r="AI2319" s="1" t="s">
        <v>1152</v>
      </c>
      <c r="AJ2319" s="1" t="s">
        <v>11054</v>
      </c>
      <c r="AK2319" s="1" t="s">
        <v>1152</v>
      </c>
      <c r="AL2319" s="6"/>
      <c r="AM2319" s="12">
        <v>3.147289647E9</v>
      </c>
    </row>
    <row r="2320">
      <c r="A2320" s="5" t="s">
        <v>11055</v>
      </c>
      <c r="B2320" s="1" t="s">
        <v>11056</v>
      </c>
      <c r="C2320" s="1" t="s">
        <v>11057</v>
      </c>
      <c r="D2320" s="2">
        <v>2.145927361E9</v>
      </c>
      <c r="E2320" s="1" t="s">
        <v>11058</v>
      </c>
      <c r="F2320" s="1"/>
      <c r="G2320" s="1" t="s">
        <v>1843</v>
      </c>
      <c r="H2320" s="1" t="s">
        <v>1583</v>
      </c>
      <c r="I2320" s="1">
        <v>75063.0</v>
      </c>
      <c r="J2320" s="1" t="s">
        <v>752</v>
      </c>
      <c r="K2320" s="1" t="s">
        <v>42</v>
      </c>
      <c r="L2320" s="1" t="s">
        <v>6819</v>
      </c>
      <c r="M2320" s="1">
        <v>49.0</v>
      </c>
      <c r="N2320" s="1" t="s">
        <v>1152</v>
      </c>
      <c r="O2320" s="3" t="s">
        <v>1844</v>
      </c>
      <c r="P2320" s="1" t="s">
        <v>1152</v>
      </c>
      <c r="Q2320" s="1" t="s">
        <v>1152</v>
      </c>
      <c r="R2320" s="1"/>
      <c r="S2320" s="1"/>
      <c r="T2320" s="1" t="s">
        <v>1152</v>
      </c>
      <c r="U2320" s="1" t="s">
        <v>1039</v>
      </c>
      <c r="V2320" s="4" t="s">
        <v>1844</v>
      </c>
      <c r="W2320" s="1"/>
      <c r="X2320" s="1" t="s">
        <v>1152</v>
      </c>
      <c r="Y2320" s="1" t="s">
        <v>1152</v>
      </c>
      <c r="Z2320" s="1"/>
      <c r="AA2320" s="1"/>
      <c r="AB2320" s="1"/>
      <c r="AC2320" s="1" t="s">
        <v>1925</v>
      </c>
      <c r="AD2320" s="1"/>
      <c r="AE2320" s="18">
        <v>46148.0</v>
      </c>
      <c r="AF2320" s="1" t="s">
        <v>1030</v>
      </c>
      <c r="AG2320" s="1" t="s">
        <v>52</v>
      </c>
      <c r="AH2320" s="1" t="s">
        <v>1152</v>
      </c>
      <c r="AI2320" s="1" t="s">
        <v>1152</v>
      </c>
      <c r="AJ2320" s="1" t="s">
        <v>11058</v>
      </c>
      <c r="AK2320" s="1" t="s">
        <v>1152</v>
      </c>
      <c r="AL2320" s="6"/>
      <c r="AM2320" s="12">
        <v>2.14592736E9</v>
      </c>
    </row>
    <row r="2321">
      <c r="A2321" s="5" t="s">
        <v>11059</v>
      </c>
      <c r="B2321" s="1" t="s">
        <v>11060</v>
      </c>
      <c r="C2321" s="1" t="s">
        <v>11061</v>
      </c>
      <c r="D2321" s="2">
        <v>5.125850522E9</v>
      </c>
      <c r="E2321" s="1" t="s">
        <v>4913</v>
      </c>
      <c r="F2321" s="1"/>
      <c r="G2321" s="1" t="s">
        <v>1582</v>
      </c>
      <c r="H2321" s="1" t="s">
        <v>1583</v>
      </c>
      <c r="I2321" s="1">
        <v>78730.0</v>
      </c>
      <c r="J2321" s="1" t="s">
        <v>752</v>
      </c>
      <c r="K2321" s="1" t="s">
        <v>892</v>
      </c>
      <c r="L2321" s="1" t="s">
        <v>11062</v>
      </c>
      <c r="M2321" s="1">
        <v>79.0</v>
      </c>
      <c r="N2321" s="1" t="s">
        <v>1152</v>
      </c>
      <c r="O2321" s="3" t="s">
        <v>353</v>
      </c>
      <c r="P2321" s="1" t="s">
        <v>1152</v>
      </c>
      <c r="Q2321" s="1" t="s">
        <v>1152</v>
      </c>
      <c r="R2321" s="1"/>
      <c r="S2321" s="1"/>
      <c r="T2321" s="1" t="s">
        <v>1152</v>
      </c>
      <c r="U2321" s="1" t="s">
        <v>1039</v>
      </c>
      <c r="V2321" s="4" t="s">
        <v>353</v>
      </c>
      <c r="W2321" s="1"/>
      <c r="X2321" s="1" t="s">
        <v>1152</v>
      </c>
      <c r="Y2321" s="1" t="s">
        <v>1152</v>
      </c>
      <c r="Z2321" s="1"/>
      <c r="AA2321" s="1"/>
      <c r="AB2321" s="1"/>
      <c r="AC2321" s="1" t="s">
        <v>1925</v>
      </c>
      <c r="AD2321" s="1"/>
      <c r="AE2321" s="18">
        <v>46146.0</v>
      </c>
      <c r="AF2321" s="1" t="s">
        <v>1030</v>
      </c>
      <c r="AG2321" s="1" t="s">
        <v>52</v>
      </c>
      <c r="AH2321" s="1" t="s">
        <v>11063</v>
      </c>
      <c r="AI2321" s="1" t="s">
        <v>1152</v>
      </c>
      <c r="AJ2321" s="1" t="s">
        <v>1876</v>
      </c>
      <c r="AK2321" s="1" t="s">
        <v>1152</v>
      </c>
      <c r="AL2321" s="6"/>
      <c r="AM2321" s="12">
        <v>5.125850522E9</v>
      </c>
    </row>
    <row r="2322">
      <c r="A2322" s="5" t="s">
        <v>11064</v>
      </c>
      <c r="B2322" s="1" t="s">
        <v>11065</v>
      </c>
      <c r="C2322" s="1" t="s">
        <v>11066</v>
      </c>
      <c r="D2322" s="2">
        <v>9.176567311E9</v>
      </c>
      <c r="E2322" s="1" t="s">
        <v>11067</v>
      </c>
      <c r="F2322" s="1" t="s">
        <v>11068</v>
      </c>
      <c r="G2322" s="1" t="s">
        <v>751</v>
      </c>
      <c r="H2322" s="1" t="s">
        <v>751</v>
      </c>
      <c r="I2322" s="1">
        <v>10128.0</v>
      </c>
      <c r="J2322" s="1" t="s">
        <v>752</v>
      </c>
      <c r="K2322" s="1" t="s">
        <v>892</v>
      </c>
      <c r="L2322" s="1" t="s">
        <v>8006</v>
      </c>
      <c r="M2322" s="1">
        <v>49.0</v>
      </c>
      <c r="N2322" s="1" t="s">
        <v>1152</v>
      </c>
      <c r="O2322" s="3"/>
      <c r="P2322" s="1" t="s">
        <v>1152</v>
      </c>
      <c r="Q2322" s="1" t="s">
        <v>1152</v>
      </c>
      <c r="R2322" s="1" t="s">
        <v>11068</v>
      </c>
      <c r="S2322" s="1"/>
      <c r="T2322" s="1" t="s">
        <v>1152</v>
      </c>
      <c r="U2322" s="1"/>
      <c r="V2322" s="4"/>
      <c r="W2322" s="1" t="s">
        <v>11068</v>
      </c>
      <c r="X2322" s="1" t="s">
        <v>1152</v>
      </c>
      <c r="Y2322" s="1" t="s">
        <v>1152</v>
      </c>
      <c r="Z2322" s="1"/>
      <c r="AA2322" s="1" t="s">
        <v>11068</v>
      </c>
      <c r="AB2322" s="1"/>
      <c r="AC2322" s="1" t="s">
        <v>1925</v>
      </c>
      <c r="AD2322" s="1"/>
      <c r="AE2322" s="18">
        <v>46155.0</v>
      </c>
      <c r="AF2322" s="1" t="s">
        <v>1349</v>
      </c>
      <c r="AG2322" s="1" t="s">
        <v>124</v>
      </c>
      <c r="AH2322" s="1" t="s">
        <v>11069</v>
      </c>
      <c r="AI2322" s="1" t="s">
        <v>1152</v>
      </c>
      <c r="AJ2322" s="1" t="s">
        <v>11067</v>
      </c>
      <c r="AK2322" s="1" t="s">
        <v>1152</v>
      </c>
      <c r="AL2322" s="6"/>
      <c r="AM2322" s="12">
        <v>9.176567311E9</v>
      </c>
    </row>
    <row r="2323">
      <c r="A2323" s="5" t="s">
        <v>11070</v>
      </c>
      <c r="B2323" s="1" t="s">
        <v>11071</v>
      </c>
      <c r="C2323" s="1" t="s">
        <v>11072</v>
      </c>
      <c r="D2323" s="2">
        <v>3.142558138E9</v>
      </c>
      <c r="E2323" s="1" t="s">
        <v>11073</v>
      </c>
      <c r="F2323" s="1"/>
      <c r="G2323" s="1" t="s">
        <v>2350</v>
      </c>
      <c r="H2323" s="1" t="s">
        <v>1155</v>
      </c>
      <c r="I2323" s="1">
        <v>63105.0</v>
      </c>
      <c r="J2323" s="1" t="s">
        <v>752</v>
      </c>
      <c r="K2323" s="1" t="s">
        <v>42</v>
      </c>
      <c r="L2323" s="1" t="s">
        <v>6819</v>
      </c>
      <c r="M2323" s="1">
        <v>49.0</v>
      </c>
      <c r="N2323" s="1" t="s">
        <v>1152</v>
      </c>
      <c r="O2323" s="3" t="s">
        <v>6115</v>
      </c>
      <c r="P2323" s="1" t="s">
        <v>1152</v>
      </c>
      <c r="Q2323" s="1" t="s">
        <v>1152</v>
      </c>
      <c r="R2323" s="1"/>
      <c r="S2323" s="1"/>
      <c r="T2323" s="1" t="s">
        <v>1152</v>
      </c>
      <c r="U2323" s="1" t="s">
        <v>982</v>
      </c>
      <c r="V2323" s="4" t="s">
        <v>6115</v>
      </c>
      <c r="W2323" s="1"/>
      <c r="X2323" s="1" t="s">
        <v>1152</v>
      </c>
      <c r="Y2323" s="1" t="s">
        <v>1152</v>
      </c>
      <c r="Z2323" s="1"/>
      <c r="AA2323" s="1"/>
      <c r="AB2323" s="1"/>
      <c r="AC2323" s="1" t="s">
        <v>1925</v>
      </c>
      <c r="AD2323" s="1"/>
      <c r="AE2323" s="18">
        <v>46148.0</v>
      </c>
      <c r="AF2323" s="1" t="s">
        <v>1455</v>
      </c>
      <c r="AG2323" s="1" t="s">
        <v>52</v>
      </c>
      <c r="AH2323" s="1" t="s">
        <v>1152</v>
      </c>
      <c r="AI2323" s="1" t="s">
        <v>1152</v>
      </c>
      <c r="AJ2323" s="1" t="s">
        <v>11074</v>
      </c>
      <c r="AK2323" s="1" t="s">
        <v>1152</v>
      </c>
      <c r="AL2323" s="6"/>
      <c r="AM2323" s="12" t="s">
        <v>1925</v>
      </c>
    </row>
    <row r="2324">
      <c r="A2324" s="5" t="s">
        <v>11075</v>
      </c>
      <c r="B2324" s="1" t="s">
        <v>11076</v>
      </c>
      <c r="C2324" s="1" t="s">
        <v>11077</v>
      </c>
      <c r="D2324" s="2">
        <v>16507879908</v>
      </c>
      <c r="E2324" s="1" t="s">
        <v>11078</v>
      </c>
      <c r="F2324" s="1"/>
      <c r="G2324" s="1" t="s">
        <v>11079</v>
      </c>
      <c r="H2324" s="1" t="s">
        <v>989</v>
      </c>
      <c r="I2324" s="1">
        <v>94010.0</v>
      </c>
      <c r="J2324" s="1" t="s">
        <v>752</v>
      </c>
      <c r="K2324" s="1" t="s">
        <v>42</v>
      </c>
      <c r="L2324" s="1" t="s">
        <v>6819</v>
      </c>
      <c r="M2324" s="1">
        <v>49.0</v>
      </c>
      <c r="N2324" s="1" t="s">
        <v>1152</v>
      </c>
      <c r="O2324" s="3" t="s">
        <v>6746</v>
      </c>
      <c r="P2324" s="1" t="s">
        <v>1152</v>
      </c>
      <c r="Q2324" s="1" t="s">
        <v>1152</v>
      </c>
      <c r="R2324" s="1"/>
      <c r="S2324" s="1"/>
      <c r="T2324" s="1" t="s">
        <v>1152</v>
      </c>
      <c r="U2324" s="1" t="s">
        <v>1174</v>
      </c>
      <c r="V2324" s="4" t="s">
        <v>6746</v>
      </c>
      <c r="W2324" s="1"/>
      <c r="X2324" s="1" t="s">
        <v>1152</v>
      </c>
      <c r="Y2324" s="1" t="s">
        <v>1152</v>
      </c>
      <c r="Z2324" s="1"/>
      <c r="AA2324" s="1"/>
      <c r="AB2324" s="1"/>
      <c r="AC2324" s="1" t="s">
        <v>1925</v>
      </c>
      <c r="AD2324" s="1"/>
      <c r="AE2324" s="18">
        <v>46140.0</v>
      </c>
      <c r="AF2324" s="1" t="s">
        <v>1103</v>
      </c>
      <c r="AG2324" s="1" t="s">
        <v>52</v>
      </c>
      <c r="AH2324" s="1" t="s">
        <v>1152</v>
      </c>
      <c r="AI2324" s="1" t="s">
        <v>1152</v>
      </c>
      <c r="AJ2324" s="1" t="s">
        <v>11078</v>
      </c>
      <c r="AK2324" s="1" t="s">
        <v>1152</v>
      </c>
      <c r="AL2324" s="6"/>
      <c r="AM2324" s="12">
        <v>6.507879908E9</v>
      </c>
    </row>
    <row r="2325">
      <c r="A2325" s="5" t="s">
        <v>11080</v>
      </c>
      <c r="B2325" s="1" t="s">
        <v>11081</v>
      </c>
      <c r="C2325" s="1" t="s">
        <v>11082</v>
      </c>
      <c r="D2325" s="2">
        <v>3.102925626E9</v>
      </c>
      <c r="E2325" s="1" t="s">
        <v>7217</v>
      </c>
      <c r="F2325" s="1"/>
      <c r="G2325" s="1" t="s">
        <v>11083</v>
      </c>
      <c r="H2325" s="1" t="s">
        <v>989</v>
      </c>
      <c r="I2325" s="1">
        <v>90035.0</v>
      </c>
      <c r="J2325" s="1" t="s">
        <v>752</v>
      </c>
      <c r="K2325" s="1" t="s">
        <v>42</v>
      </c>
      <c r="L2325" s="1" t="s">
        <v>6819</v>
      </c>
      <c r="M2325" s="1">
        <v>49.0</v>
      </c>
      <c r="N2325" s="1" t="s">
        <v>1152</v>
      </c>
      <c r="O2325" s="3" t="s">
        <v>5713</v>
      </c>
      <c r="P2325" s="1" t="s">
        <v>1152</v>
      </c>
      <c r="Q2325" s="1" t="s">
        <v>1152</v>
      </c>
      <c r="R2325" s="1"/>
      <c r="S2325" s="1"/>
      <c r="T2325" s="1" t="s">
        <v>1152</v>
      </c>
      <c r="U2325" s="1" t="s">
        <v>1441</v>
      </c>
      <c r="V2325" s="4" t="s">
        <v>5713</v>
      </c>
      <c r="W2325" s="1"/>
      <c r="X2325" s="1" t="s">
        <v>1152</v>
      </c>
      <c r="Y2325" s="1" t="s">
        <v>1152</v>
      </c>
      <c r="Z2325" s="1"/>
      <c r="AA2325" s="1"/>
      <c r="AB2325" s="1"/>
      <c r="AC2325" s="1" t="s">
        <v>1925</v>
      </c>
      <c r="AD2325" s="1"/>
      <c r="AE2325" s="18">
        <v>46149.0</v>
      </c>
      <c r="AF2325" s="1" t="s">
        <v>3186</v>
      </c>
      <c r="AG2325" s="1" t="s">
        <v>52</v>
      </c>
      <c r="AH2325" s="1" t="s">
        <v>1152</v>
      </c>
      <c r="AI2325" s="1" t="s">
        <v>1152</v>
      </c>
      <c r="AJ2325" s="1" t="s">
        <v>7217</v>
      </c>
      <c r="AK2325" s="1" t="s">
        <v>1152</v>
      </c>
      <c r="AL2325" s="6"/>
      <c r="AM2325" s="12">
        <v>3.102925626E9</v>
      </c>
    </row>
    <row r="2326">
      <c r="A2326" s="5" t="s">
        <v>11084</v>
      </c>
      <c r="B2326" s="1" t="s">
        <v>11085</v>
      </c>
      <c r="C2326" s="1" t="s">
        <v>392</v>
      </c>
      <c r="D2326" s="2">
        <v>2.039273986E9</v>
      </c>
      <c r="E2326" s="1" t="s">
        <v>2695</v>
      </c>
      <c r="F2326" s="1"/>
      <c r="G2326" s="1" t="s">
        <v>2696</v>
      </c>
      <c r="H2326" s="1" t="s">
        <v>1005</v>
      </c>
      <c r="I2326" s="1">
        <v>21208.0</v>
      </c>
      <c r="J2326" s="1" t="s">
        <v>752</v>
      </c>
      <c r="K2326" s="1" t="s">
        <v>42</v>
      </c>
      <c r="L2326" s="1" t="s">
        <v>6819</v>
      </c>
      <c r="M2326" s="1">
        <v>49.0</v>
      </c>
      <c r="N2326" s="1" t="s">
        <v>1152</v>
      </c>
      <c r="O2326" s="3" t="s">
        <v>11086</v>
      </c>
      <c r="P2326" s="1" t="s">
        <v>1152</v>
      </c>
      <c r="Q2326" s="1" t="s">
        <v>1152</v>
      </c>
      <c r="R2326" s="1"/>
      <c r="S2326" s="1"/>
      <c r="T2326" s="1" t="s">
        <v>1152</v>
      </c>
      <c r="U2326" s="1" t="s">
        <v>1249</v>
      </c>
      <c r="V2326" s="4" t="s">
        <v>11086</v>
      </c>
      <c r="W2326" s="1"/>
      <c r="X2326" s="1" t="s">
        <v>1152</v>
      </c>
      <c r="Y2326" s="1" t="s">
        <v>1152</v>
      </c>
      <c r="Z2326" s="1"/>
      <c r="AA2326" s="1"/>
      <c r="AB2326" s="1"/>
      <c r="AC2326" s="1" t="s">
        <v>1925</v>
      </c>
      <c r="AD2326" s="1"/>
      <c r="AE2326" s="18">
        <v>46149.0</v>
      </c>
      <c r="AF2326" s="1" t="s">
        <v>1030</v>
      </c>
      <c r="AG2326" s="1" t="s">
        <v>52</v>
      </c>
      <c r="AH2326" s="1" t="s">
        <v>1152</v>
      </c>
      <c r="AI2326" s="1" t="s">
        <v>1152</v>
      </c>
      <c r="AJ2326" s="1" t="s">
        <v>394</v>
      </c>
      <c r="AK2326" s="1" t="s">
        <v>1152</v>
      </c>
      <c r="AL2326" s="6"/>
      <c r="AM2326" s="12">
        <v>6.679670212E9</v>
      </c>
    </row>
    <row r="2327">
      <c r="A2327" s="5" t="s">
        <v>11087</v>
      </c>
      <c r="B2327" s="1" t="s">
        <v>11088</v>
      </c>
      <c r="C2327" s="1" t="s">
        <v>11089</v>
      </c>
      <c r="D2327" s="2">
        <v>3.107795102E9</v>
      </c>
      <c r="E2327" s="1" t="s">
        <v>11090</v>
      </c>
      <c r="F2327" s="1"/>
      <c r="G2327" s="1" t="s">
        <v>11091</v>
      </c>
      <c r="H2327" s="1" t="s">
        <v>989</v>
      </c>
      <c r="I2327" s="1">
        <v>90277.0</v>
      </c>
      <c r="J2327" s="1" t="s">
        <v>752</v>
      </c>
      <c r="K2327" s="1" t="s">
        <v>42</v>
      </c>
      <c r="L2327" s="1" t="s">
        <v>6819</v>
      </c>
      <c r="M2327" s="1">
        <v>49.0</v>
      </c>
      <c r="N2327" s="1" t="s">
        <v>1152</v>
      </c>
      <c r="O2327" s="3" t="s">
        <v>1461</v>
      </c>
      <c r="P2327" s="1" t="s">
        <v>1152</v>
      </c>
      <c r="Q2327" s="1" t="s">
        <v>1152</v>
      </c>
      <c r="R2327" s="1"/>
      <c r="S2327" s="1"/>
      <c r="T2327" s="1" t="s">
        <v>1152</v>
      </c>
      <c r="U2327" s="1" t="s">
        <v>1794</v>
      </c>
      <c r="V2327" s="4" t="s">
        <v>1461</v>
      </c>
      <c r="W2327" s="1"/>
      <c r="X2327" s="1" t="s">
        <v>1152</v>
      </c>
      <c r="Y2327" s="1" t="s">
        <v>1152</v>
      </c>
      <c r="Z2327" s="1"/>
      <c r="AA2327" s="1"/>
      <c r="AB2327" s="1"/>
      <c r="AC2327" s="1" t="s">
        <v>1925</v>
      </c>
      <c r="AD2327" s="1"/>
      <c r="AE2327" s="18">
        <v>46143.0</v>
      </c>
      <c r="AF2327" s="1" t="s">
        <v>3186</v>
      </c>
      <c r="AG2327" s="1" t="s">
        <v>52</v>
      </c>
      <c r="AH2327" s="1" t="s">
        <v>1152</v>
      </c>
      <c r="AI2327" s="1" t="s">
        <v>1152</v>
      </c>
      <c r="AJ2327" s="1" t="s">
        <v>11090</v>
      </c>
      <c r="AK2327" s="1" t="s">
        <v>1152</v>
      </c>
      <c r="AL2327" s="6"/>
      <c r="AM2327" s="12" t="s">
        <v>1925</v>
      </c>
    </row>
    <row r="2328">
      <c r="A2328" s="5" t="s">
        <v>11092</v>
      </c>
      <c r="B2328" s="1" t="s">
        <v>11093</v>
      </c>
      <c r="C2328" s="1" t="s">
        <v>2144</v>
      </c>
      <c r="D2328" s="2">
        <v>3.108498258E9</v>
      </c>
      <c r="E2328" s="1" t="s">
        <v>11094</v>
      </c>
      <c r="F2328" s="1"/>
      <c r="G2328" s="1" t="s">
        <v>1179</v>
      </c>
      <c r="H2328" s="1" t="s">
        <v>989</v>
      </c>
      <c r="I2328" s="1">
        <v>90064.0</v>
      </c>
      <c r="J2328" s="1" t="s">
        <v>752</v>
      </c>
      <c r="K2328" s="1" t="s">
        <v>42</v>
      </c>
      <c r="L2328" s="1" t="s">
        <v>6819</v>
      </c>
      <c r="M2328" s="1">
        <v>49.0</v>
      </c>
      <c r="N2328" s="1" t="s">
        <v>1152</v>
      </c>
      <c r="O2328" s="3" t="s">
        <v>2146</v>
      </c>
      <c r="P2328" s="1" t="s">
        <v>1152</v>
      </c>
      <c r="Q2328" s="1" t="s">
        <v>1152</v>
      </c>
      <c r="R2328" s="1"/>
      <c r="S2328" s="1"/>
      <c r="T2328" s="1" t="s">
        <v>1152</v>
      </c>
      <c r="U2328" s="1" t="s">
        <v>1148</v>
      </c>
      <c r="V2328" s="4" t="s">
        <v>2146</v>
      </c>
      <c r="W2328" s="1"/>
      <c r="X2328" s="1" t="s">
        <v>1152</v>
      </c>
      <c r="Y2328" s="1" t="s">
        <v>1152</v>
      </c>
      <c r="Z2328" s="1"/>
      <c r="AA2328" s="1"/>
      <c r="AB2328" s="1"/>
      <c r="AC2328" s="1" t="s">
        <v>1925</v>
      </c>
      <c r="AD2328" s="1"/>
      <c r="AE2328" s="18">
        <v>46149.0</v>
      </c>
      <c r="AF2328" s="1" t="s">
        <v>3186</v>
      </c>
      <c r="AG2328" s="1" t="s">
        <v>52</v>
      </c>
      <c r="AH2328" s="1" t="s">
        <v>1152</v>
      </c>
      <c r="AI2328" s="1" t="s">
        <v>11095</v>
      </c>
      <c r="AJ2328" s="1" t="s">
        <v>5496</v>
      </c>
      <c r="AK2328" s="1" t="s">
        <v>1152</v>
      </c>
      <c r="AL2328" s="6"/>
      <c r="AM2328" s="12">
        <v>3.238614407E9</v>
      </c>
    </row>
    <row r="2329">
      <c r="A2329" s="5" t="s">
        <v>11096</v>
      </c>
      <c r="B2329" s="1" t="s">
        <v>11097</v>
      </c>
      <c r="C2329" s="1" t="s">
        <v>11098</v>
      </c>
      <c r="D2329" s="2">
        <v>8.139566708E9</v>
      </c>
      <c r="E2329" s="1" t="s">
        <v>11099</v>
      </c>
      <c r="F2329" s="1"/>
      <c r="G2329" s="1" t="s">
        <v>11100</v>
      </c>
      <c r="H2329" s="1" t="s">
        <v>1208</v>
      </c>
      <c r="I2329" s="1">
        <v>34652.0</v>
      </c>
      <c r="J2329" s="1" t="s">
        <v>752</v>
      </c>
      <c r="K2329" s="1" t="s">
        <v>42</v>
      </c>
      <c r="L2329" s="1" t="s">
        <v>6819</v>
      </c>
      <c r="M2329" s="1">
        <v>49.0</v>
      </c>
      <c r="N2329" s="1" t="s">
        <v>1152</v>
      </c>
      <c r="O2329" s="3" t="s">
        <v>11101</v>
      </c>
      <c r="P2329" s="1" t="s">
        <v>1152</v>
      </c>
      <c r="Q2329" s="1" t="s">
        <v>1152</v>
      </c>
      <c r="R2329" s="1"/>
      <c r="S2329" s="1"/>
      <c r="T2329" s="1" t="s">
        <v>1152</v>
      </c>
      <c r="U2329" s="1" t="s">
        <v>1133</v>
      </c>
      <c r="V2329" s="4" t="s">
        <v>11101</v>
      </c>
      <c r="W2329" s="1"/>
      <c r="X2329" s="1" t="s">
        <v>1152</v>
      </c>
      <c r="Y2329" s="1" t="s">
        <v>1152</v>
      </c>
      <c r="Z2329" s="1"/>
      <c r="AA2329" s="1"/>
      <c r="AB2329" s="1"/>
      <c r="AC2329" s="1" t="s">
        <v>1925</v>
      </c>
      <c r="AD2329" s="1"/>
      <c r="AE2329" s="18">
        <v>46147.0</v>
      </c>
      <c r="AF2329" s="1" t="s">
        <v>1103</v>
      </c>
      <c r="AG2329" s="1" t="s">
        <v>52</v>
      </c>
      <c r="AH2329" s="1" t="s">
        <v>1152</v>
      </c>
      <c r="AI2329" s="1" t="s">
        <v>1152</v>
      </c>
      <c r="AJ2329" s="1" t="s">
        <v>11099</v>
      </c>
      <c r="AK2329" s="1" t="s">
        <v>1152</v>
      </c>
      <c r="AL2329" s="6"/>
      <c r="AM2329" s="12" t="s">
        <v>1925</v>
      </c>
    </row>
    <row r="2330">
      <c r="A2330" s="5" t="s">
        <v>11102</v>
      </c>
      <c r="B2330" s="1" t="s">
        <v>11103</v>
      </c>
      <c r="C2330" s="1" t="s">
        <v>11104</v>
      </c>
      <c r="D2330" s="2">
        <v>9.252868104E9</v>
      </c>
      <c r="E2330" s="1" t="s">
        <v>11105</v>
      </c>
      <c r="F2330" s="1"/>
      <c r="G2330" s="1" t="s">
        <v>1045</v>
      </c>
      <c r="H2330" s="1" t="s">
        <v>989</v>
      </c>
      <c r="I2330" s="1" t="s">
        <v>11106</v>
      </c>
      <c r="J2330" s="1" t="s">
        <v>752</v>
      </c>
      <c r="K2330" s="1" t="s">
        <v>6515</v>
      </c>
      <c r="L2330" s="1" t="s">
        <v>8215</v>
      </c>
      <c r="M2330" s="1">
        <v>450.0</v>
      </c>
      <c r="N2330" s="1" t="s">
        <v>1152</v>
      </c>
      <c r="O2330" s="3"/>
      <c r="P2330" s="1" t="s">
        <v>1152</v>
      </c>
      <c r="Q2330" s="1" t="s">
        <v>1152</v>
      </c>
      <c r="R2330" s="1"/>
      <c r="S2330" s="1"/>
      <c r="T2330" s="1" t="s">
        <v>1152</v>
      </c>
      <c r="U2330" s="1"/>
      <c r="V2330" s="4"/>
      <c r="W2330" s="1"/>
      <c r="X2330" s="1" t="s">
        <v>1152</v>
      </c>
      <c r="Y2330" s="1" t="s">
        <v>1152</v>
      </c>
      <c r="Z2330" s="1"/>
      <c r="AA2330" s="1"/>
      <c r="AB2330" s="1"/>
      <c r="AC2330" s="1" t="s">
        <v>11107</v>
      </c>
      <c r="AD2330" s="1"/>
      <c r="AE2330" s="18">
        <v>46149.0</v>
      </c>
      <c r="AF2330" s="1"/>
      <c r="AG2330" s="1"/>
      <c r="AH2330" s="1" t="s">
        <v>11108</v>
      </c>
      <c r="AI2330" s="1" t="s">
        <v>11109</v>
      </c>
      <c r="AJ2330" s="1"/>
      <c r="AK2330" s="1" t="s">
        <v>11110</v>
      </c>
      <c r="AL2330" s="6"/>
      <c r="AM2330" s="12">
        <v>9.258859084E9</v>
      </c>
    </row>
    <row r="2331">
      <c r="A2331" s="5" t="s">
        <v>11111</v>
      </c>
      <c r="B2331" s="1" t="s">
        <v>11112</v>
      </c>
      <c r="C2331" s="1" t="s">
        <v>11113</v>
      </c>
      <c r="D2331" s="2">
        <v>6.10608914E9</v>
      </c>
      <c r="E2331" s="1" t="s">
        <v>11114</v>
      </c>
      <c r="F2331" s="1"/>
      <c r="G2331" s="1" t="s">
        <v>1311</v>
      </c>
      <c r="H2331" s="1" t="s">
        <v>1233</v>
      </c>
      <c r="I2331" s="1">
        <v>19072.0</v>
      </c>
      <c r="J2331" s="1" t="s">
        <v>752</v>
      </c>
      <c r="K2331" s="1" t="s">
        <v>892</v>
      </c>
      <c r="L2331" s="1" t="s">
        <v>8006</v>
      </c>
      <c r="M2331" s="1">
        <v>49.0</v>
      </c>
      <c r="N2331" s="1" t="s">
        <v>1152</v>
      </c>
      <c r="O2331" s="3" t="s">
        <v>11115</v>
      </c>
      <c r="P2331" s="1" t="s">
        <v>1152</v>
      </c>
      <c r="Q2331" s="1" t="s">
        <v>1152</v>
      </c>
      <c r="R2331" s="1"/>
      <c r="S2331" s="1"/>
      <c r="T2331" s="1" t="s">
        <v>1152</v>
      </c>
      <c r="U2331" s="1" t="s">
        <v>1277</v>
      </c>
      <c r="V2331" s="4" t="s">
        <v>11115</v>
      </c>
      <c r="W2331" s="1"/>
      <c r="X2331" s="1" t="s">
        <v>1152</v>
      </c>
      <c r="Y2331" s="1" t="s">
        <v>1152</v>
      </c>
      <c r="Z2331" s="1"/>
      <c r="AA2331" s="1"/>
      <c r="AB2331" s="1"/>
      <c r="AC2331" s="1" t="s">
        <v>1925</v>
      </c>
      <c r="AD2331" s="1"/>
      <c r="AE2331" s="18">
        <v>46147.0</v>
      </c>
      <c r="AF2331" s="1" t="s">
        <v>1455</v>
      </c>
      <c r="AG2331" s="1" t="s">
        <v>52</v>
      </c>
      <c r="AH2331" s="1" t="s">
        <v>11116</v>
      </c>
      <c r="AI2331" s="1" t="s">
        <v>1152</v>
      </c>
      <c r="AJ2331" s="1" t="s">
        <v>11114</v>
      </c>
      <c r="AK2331" s="1" t="s">
        <v>1152</v>
      </c>
      <c r="AL2331" s="6"/>
      <c r="AM2331" s="12">
        <v>6.10608914E9</v>
      </c>
    </row>
    <row r="2332">
      <c r="A2332" s="5" t="s">
        <v>11117</v>
      </c>
      <c r="B2332" s="1" t="s">
        <v>11118</v>
      </c>
      <c r="C2332" s="1" t="s">
        <v>11119</v>
      </c>
      <c r="D2332" s="2">
        <v>3.106124462E9</v>
      </c>
      <c r="E2332" s="1" t="s">
        <v>11120</v>
      </c>
      <c r="F2332" s="1"/>
      <c r="G2332" s="1" t="s">
        <v>2715</v>
      </c>
      <c r="H2332" s="1" t="s">
        <v>1583</v>
      </c>
      <c r="I2332" s="1">
        <v>75230.0</v>
      </c>
      <c r="J2332" s="1" t="s">
        <v>752</v>
      </c>
      <c r="K2332" s="1" t="s">
        <v>42</v>
      </c>
      <c r="L2332" s="1" t="s">
        <v>6819</v>
      </c>
      <c r="M2332" s="1">
        <v>49.0</v>
      </c>
      <c r="N2332" s="1" t="s">
        <v>1152</v>
      </c>
      <c r="O2332" s="3" t="s">
        <v>378</v>
      </c>
      <c r="P2332" s="1" t="s">
        <v>1152</v>
      </c>
      <c r="Q2332" s="1" t="s">
        <v>1152</v>
      </c>
      <c r="R2332" s="1"/>
      <c r="S2332" s="1"/>
      <c r="T2332" s="1" t="s">
        <v>1152</v>
      </c>
      <c r="U2332" s="1" t="s">
        <v>1537</v>
      </c>
      <c r="V2332" s="4" t="s">
        <v>378</v>
      </c>
      <c r="W2332" s="1"/>
      <c r="X2332" s="1" t="s">
        <v>1152</v>
      </c>
      <c r="Y2332" s="1" t="s">
        <v>1152</v>
      </c>
      <c r="Z2332" s="1"/>
      <c r="AA2332" s="1"/>
      <c r="AB2332" s="1"/>
      <c r="AC2332" s="1" t="s">
        <v>1925</v>
      </c>
      <c r="AD2332" s="1"/>
      <c r="AE2332" s="18">
        <v>46149.0</v>
      </c>
      <c r="AF2332" s="1" t="s">
        <v>1030</v>
      </c>
      <c r="AG2332" s="1" t="s">
        <v>52</v>
      </c>
      <c r="AH2332" s="1" t="s">
        <v>1152</v>
      </c>
      <c r="AI2332" s="1" t="s">
        <v>1152</v>
      </c>
      <c r="AJ2332" s="1" t="s">
        <v>11121</v>
      </c>
      <c r="AK2332" s="1" t="s">
        <v>1152</v>
      </c>
      <c r="AL2332" s="6"/>
      <c r="AM2332" s="12">
        <v>4.697819999E9</v>
      </c>
    </row>
    <row r="2333">
      <c r="A2333" s="5" t="s">
        <v>11122</v>
      </c>
      <c r="B2333" s="1" t="s">
        <v>11123</v>
      </c>
      <c r="C2333" s="1" t="s">
        <v>11124</v>
      </c>
      <c r="D2333" s="2">
        <v>2.016009548E9</v>
      </c>
      <c r="E2333" s="1" t="s">
        <v>6099</v>
      </c>
      <c r="F2333" s="1"/>
      <c r="G2333" s="1" t="s">
        <v>6100</v>
      </c>
      <c r="H2333" s="1" t="s">
        <v>1053</v>
      </c>
      <c r="I2333" s="1">
        <v>7481.0</v>
      </c>
      <c r="J2333" s="1" t="s">
        <v>752</v>
      </c>
      <c r="K2333" s="1" t="s">
        <v>42</v>
      </c>
      <c r="L2333" s="1" t="s">
        <v>6819</v>
      </c>
      <c r="M2333" s="1">
        <v>49.0</v>
      </c>
      <c r="N2333" s="1" t="s">
        <v>1152</v>
      </c>
      <c r="O2333" s="3" t="s">
        <v>5994</v>
      </c>
      <c r="P2333" s="1" t="s">
        <v>1152</v>
      </c>
      <c r="Q2333" s="1" t="s">
        <v>1152</v>
      </c>
      <c r="R2333" s="1"/>
      <c r="S2333" s="1"/>
      <c r="T2333" s="1" t="s">
        <v>1152</v>
      </c>
      <c r="U2333" s="1" t="s">
        <v>948</v>
      </c>
      <c r="V2333" s="4" t="s">
        <v>5994</v>
      </c>
      <c r="W2333" s="1"/>
      <c r="X2333" s="1" t="s">
        <v>1152</v>
      </c>
      <c r="Y2333" s="1" t="s">
        <v>1152</v>
      </c>
      <c r="Z2333" s="1"/>
      <c r="AA2333" s="1"/>
      <c r="AB2333" s="1"/>
      <c r="AC2333" s="1" t="s">
        <v>1925</v>
      </c>
      <c r="AD2333" s="1"/>
      <c r="AE2333" s="18">
        <v>46143.0</v>
      </c>
      <c r="AF2333" s="1" t="s">
        <v>1349</v>
      </c>
      <c r="AG2333" s="1" t="s">
        <v>52</v>
      </c>
      <c r="AH2333" s="1" t="s">
        <v>1152</v>
      </c>
      <c r="AI2333" s="1" t="s">
        <v>1152</v>
      </c>
      <c r="AJ2333" s="1" t="s">
        <v>6099</v>
      </c>
      <c r="AK2333" s="1" t="s">
        <v>1152</v>
      </c>
      <c r="AL2333" s="6"/>
      <c r="AM2333" s="12">
        <v>2.016009548E9</v>
      </c>
    </row>
    <row r="2334">
      <c r="A2334" s="5" t="s">
        <v>11125</v>
      </c>
      <c r="B2334" s="1" t="s">
        <v>11126</v>
      </c>
      <c r="C2334" s="1" t="s">
        <v>11127</v>
      </c>
      <c r="D2334" s="2">
        <v>9.146024774E9</v>
      </c>
      <c r="E2334" s="1" t="s">
        <v>7206</v>
      </c>
      <c r="F2334" s="1"/>
      <c r="G2334" s="1" t="s">
        <v>2435</v>
      </c>
      <c r="H2334" s="1" t="s">
        <v>751</v>
      </c>
      <c r="I2334" s="1">
        <v>10514.0</v>
      </c>
      <c r="J2334" s="1" t="s">
        <v>752</v>
      </c>
      <c r="K2334" s="1" t="s">
        <v>42</v>
      </c>
      <c r="L2334" s="1" t="s">
        <v>6819</v>
      </c>
      <c r="M2334" s="1">
        <v>49.0</v>
      </c>
      <c r="N2334" s="1" t="s">
        <v>1152</v>
      </c>
      <c r="O2334" s="3" t="s">
        <v>8246</v>
      </c>
      <c r="P2334" s="1" t="s">
        <v>1152</v>
      </c>
      <c r="Q2334" s="1" t="s">
        <v>1152</v>
      </c>
      <c r="R2334" s="1"/>
      <c r="S2334" s="1"/>
      <c r="T2334" s="1" t="s">
        <v>1152</v>
      </c>
      <c r="U2334" s="1" t="s">
        <v>1065</v>
      </c>
      <c r="V2334" s="4" t="s">
        <v>8246</v>
      </c>
      <c r="W2334" s="1"/>
      <c r="X2334" s="1" t="s">
        <v>1152</v>
      </c>
      <c r="Y2334" s="1" t="s">
        <v>1152</v>
      </c>
      <c r="Z2334" s="1"/>
      <c r="AA2334" s="1"/>
      <c r="AB2334" s="1"/>
      <c r="AC2334" s="1" t="s">
        <v>1925</v>
      </c>
      <c r="AD2334" s="1"/>
      <c r="AE2334" s="18">
        <v>46146.0</v>
      </c>
      <c r="AF2334" s="1" t="s">
        <v>1030</v>
      </c>
      <c r="AG2334" s="1" t="s">
        <v>52</v>
      </c>
      <c r="AH2334" s="1" t="s">
        <v>1152</v>
      </c>
      <c r="AI2334" s="1" t="s">
        <v>1152</v>
      </c>
      <c r="AJ2334" s="1" t="s">
        <v>7206</v>
      </c>
      <c r="AK2334" s="1" t="s">
        <v>1152</v>
      </c>
      <c r="AL2334" s="6"/>
      <c r="AM2334" s="12">
        <v>9.146024774E9</v>
      </c>
    </row>
    <row r="2335">
      <c r="A2335" s="5" t="s">
        <v>11128</v>
      </c>
      <c r="B2335" s="1" t="s">
        <v>11129</v>
      </c>
      <c r="C2335" s="1" t="s">
        <v>11130</v>
      </c>
      <c r="D2335" s="2">
        <v>7.122061311E9</v>
      </c>
      <c r="E2335" s="1" t="s">
        <v>11131</v>
      </c>
      <c r="F2335" s="1"/>
      <c r="G2335" s="1" t="s">
        <v>2350</v>
      </c>
      <c r="H2335" s="1" t="s">
        <v>1155</v>
      </c>
      <c r="I2335" s="1">
        <v>63105.0</v>
      </c>
      <c r="J2335" s="1" t="s">
        <v>752</v>
      </c>
      <c r="K2335" s="1" t="s">
        <v>42</v>
      </c>
      <c r="L2335" s="1" t="s">
        <v>6819</v>
      </c>
      <c r="M2335" s="1">
        <v>49.0</v>
      </c>
      <c r="N2335" s="1" t="s">
        <v>1152</v>
      </c>
      <c r="O2335" s="3" t="s">
        <v>2093</v>
      </c>
      <c r="P2335" s="1" t="s">
        <v>1152</v>
      </c>
      <c r="Q2335" s="1" t="s">
        <v>1152</v>
      </c>
      <c r="R2335" s="1"/>
      <c r="S2335" s="1"/>
      <c r="T2335" s="1" t="s">
        <v>1152</v>
      </c>
      <c r="U2335" s="1" t="s">
        <v>1537</v>
      </c>
      <c r="V2335" s="4" t="s">
        <v>2093</v>
      </c>
      <c r="W2335" s="1"/>
      <c r="X2335" s="1" t="s">
        <v>1152</v>
      </c>
      <c r="Y2335" s="1" t="s">
        <v>1152</v>
      </c>
      <c r="Z2335" s="1"/>
      <c r="AA2335" s="1"/>
      <c r="AB2335" s="1"/>
      <c r="AC2335" s="1" t="s">
        <v>1925</v>
      </c>
      <c r="AD2335" s="1"/>
      <c r="AE2335" s="18">
        <v>46149.0</v>
      </c>
      <c r="AF2335" s="1" t="s">
        <v>1030</v>
      </c>
      <c r="AG2335" s="1" t="s">
        <v>52</v>
      </c>
      <c r="AH2335" s="1" t="s">
        <v>1152</v>
      </c>
      <c r="AI2335" s="1" t="s">
        <v>1152</v>
      </c>
      <c r="AJ2335" s="1" t="s">
        <v>11131</v>
      </c>
      <c r="AK2335" s="1" t="s">
        <v>1152</v>
      </c>
      <c r="AL2335" s="6"/>
      <c r="AM2335" s="12">
        <v>7.122061311E9</v>
      </c>
    </row>
    <row r="2336">
      <c r="A2336" s="5" t="s">
        <v>11132</v>
      </c>
      <c r="B2336" s="1" t="s">
        <v>11133</v>
      </c>
      <c r="C2336" s="1" t="s">
        <v>11134</v>
      </c>
      <c r="D2336" s="2">
        <v>3.143931477E9</v>
      </c>
      <c r="E2336" s="1" t="s">
        <v>11135</v>
      </c>
      <c r="F2336" s="1"/>
      <c r="G2336" s="1" t="s">
        <v>2857</v>
      </c>
      <c r="H2336" s="1" t="s">
        <v>1155</v>
      </c>
      <c r="I2336" s="1">
        <v>63105.0</v>
      </c>
      <c r="J2336" s="1" t="s">
        <v>752</v>
      </c>
      <c r="K2336" s="1" t="s">
        <v>42</v>
      </c>
      <c r="L2336" s="1" t="s">
        <v>6819</v>
      </c>
      <c r="M2336" s="1">
        <v>49.0</v>
      </c>
      <c r="N2336" s="1" t="s">
        <v>1152</v>
      </c>
      <c r="O2336" s="3" t="s">
        <v>5438</v>
      </c>
      <c r="P2336" s="1" t="s">
        <v>1152</v>
      </c>
      <c r="Q2336" s="1" t="s">
        <v>1152</v>
      </c>
      <c r="R2336" s="1"/>
      <c r="S2336" s="1"/>
      <c r="T2336" s="1" t="s">
        <v>1152</v>
      </c>
      <c r="U2336" s="1" t="s">
        <v>1080</v>
      </c>
      <c r="V2336" s="4" t="s">
        <v>5438</v>
      </c>
      <c r="W2336" s="1"/>
      <c r="X2336" s="1" t="s">
        <v>1152</v>
      </c>
      <c r="Y2336" s="1" t="s">
        <v>1152</v>
      </c>
      <c r="Z2336" s="1"/>
      <c r="AA2336" s="1"/>
      <c r="AB2336" s="1"/>
      <c r="AC2336" s="1" t="s">
        <v>1925</v>
      </c>
      <c r="AD2336" s="1"/>
      <c r="AE2336" s="18">
        <v>46147.0</v>
      </c>
      <c r="AF2336" s="1" t="s">
        <v>1349</v>
      </c>
      <c r="AG2336" s="1" t="s">
        <v>52</v>
      </c>
      <c r="AH2336" s="1" t="s">
        <v>1152</v>
      </c>
      <c r="AI2336" s="1" t="s">
        <v>1152</v>
      </c>
      <c r="AJ2336" s="1" t="s">
        <v>11135</v>
      </c>
      <c r="AK2336" s="1" t="s">
        <v>1152</v>
      </c>
      <c r="AL2336" s="6"/>
      <c r="AM2336" s="12">
        <v>3.143931477E9</v>
      </c>
    </row>
    <row r="2337">
      <c r="A2337" s="5" t="s">
        <v>11136</v>
      </c>
      <c r="B2337" s="1" t="s">
        <v>11137</v>
      </c>
      <c r="C2337" s="1" t="s">
        <v>11138</v>
      </c>
      <c r="D2337" s="2">
        <v>9.14329242E9</v>
      </c>
      <c r="E2337" s="1" t="s">
        <v>11139</v>
      </c>
      <c r="F2337" s="1"/>
      <c r="G2337" s="1" t="s">
        <v>1382</v>
      </c>
      <c r="H2337" s="1" t="s">
        <v>751</v>
      </c>
      <c r="I2337" s="1">
        <v>10583.0</v>
      </c>
      <c r="J2337" s="1" t="s">
        <v>752</v>
      </c>
      <c r="K2337" s="1" t="s">
        <v>42</v>
      </c>
      <c r="L2337" s="1" t="s">
        <v>6819</v>
      </c>
      <c r="M2337" s="1">
        <v>49.0</v>
      </c>
      <c r="N2337" s="1" t="s">
        <v>1152</v>
      </c>
      <c r="O2337" s="3" t="s">
        <v>11140</v>
      </c>
      <c r="P2337" s="1" t="s">
        <v>1152</v>
      </c>
      <c r="Q2337" s="1" t="s">
        <v>1152</v>
      </c>
      <c r="R2337" s="1"/>
      <c r="S2337" s="1"/>
      <c r="T2337" s="1" t="s">
        <v>1152</v>
      </c>
      <c r="U2337" s="1" t="s">
        <v>6053</v>
      </c>
      <c r="V2337" s="4" t="s">
        <v>11140</v>
      </c>
      <c r="W2337" s="1"/>
      <c r="X2337" s="1" t="s">
        <v>1152</v>
      </c>
      <c r="Y2337" s="1" t="s">
        <v>1152</v>
      </c>
      <c r="Z2337" s="1"/>
      <c r="AA2337" s="1"/>
      <c r="AB2337" s="1"/>
      <c r="AC2337" s="1" t="s">
        <v>1925</v>
      </c>
      <c r="AD2337" s="1"/>
      <c r="AE2337" s="18">
        <v>46149.0</v>
      </c>
      <c r="AF2337" s="1" t="s">
        <v>1030</v>
      </c>
      <c r="AG2337" s="1" t="s">
        <v>52</v>
      </c>
      <c r="AH2337" s="1" t="s">
        <v>1152</v>
      </c>
      <c r="AI2337" s="1" t="s">
        <v>11141</v>
      </c>
      <c r="AJ2337" s="1" t="s">
        <v>11142</v>
      </c>
      <c r="AK2337" s="1" t="s">
        <v>1152</v>
      </c>
      <c r="AL2337" s="6"/>
      <c r="AM2337" s="12">
        <v>9.172928585E9</v>
      </c>
    </row>
    <row r="2338">
      <c r="A2338" s="5" t="s">
        <v>11143</v>
      </c>
      <c r="B2338" s="1" t="s">
        <v>11144</v>
      </c>
      <c r="C2338" s="1" t="s">
        <v>11145</v>
      </c>
      <c r="D2338" s="2">
        <v>9.172828056E9</v>
      </c>
      <c r="E2338" s="1" t="s">
        <v>11146</v>
      </c>
      <c r="F2338" s="1"/>
      <c r="G2338" s="1" t="s">
        <v>1299</v>
      </c>
      <c r="H2338" s="1" t="s">
        <v>1005</v>
      </c>
      <c r="I2338" s="1">
        <v>20817.0</v>
      </c>
      <c r="J2338" s="1" t="s">
        <v>752</v>
      </c>
      <c r="K2338" s="1" t="s">
        <v>95</v>
      </c>
      <c r="L2338" s="1" t="s">
        <v>5820</v>
      </c>
      <c r="M2338" s="1">
        <v>49.0</v>
      </c>
      <c r="N2338" s="1" t="s">
        <v>2461</v>
      </c>
      <c r="O2338" s="3" t="s">
        <v>103</v>
      </c>
      <c r="P2338" s="18">
        <v>46247.0</v>
      </c>
      <c r="Q2338" s="1" t="s">
        <v>2463</v>
      </c>
      <c r="R2338" s="1"/>
      <c r="S2338" s="1" t="s">
        <v>52</v>
      </c>
      <c r="T2338" s="1" t="s">
        <v>2461</v>
      </c>
      <c r="U2338" s="1" t="s">
        <v>102</v>
      </c>
      <c r="V2338" s="4" t="s">
        <v>103</v>
      </c>
      <c r="W2338" s="1"/>
      <c r="X2338" s="18">
        <v>46247.0</v>
      </c>
      <c r="Y2338" s="1" t="s">
        <v>2463</v>
      </c>
      <c r="Z2338" s="1"/>
      <c r="AA2338" s="1"/>
      <c r="AB2338" s="1" t="s">
        <v>52</v>
      </c>
      <c r="AC2338" s="1" t="s">
        <v>11147</v>
      </c>
      <c r="AD2338" s="1"/>
      <c r="AE2338" s="1" t="s">
        <v>1152</v>
      </c>
      <c r="AF2338" s="1"/>
      <c r="AG2338" s="1"/>
      <c r="AH2338" s="1" t="s">
        <v>1152</v>
      </c>
      <c r="AI2338" s="1" t="s">
        <v>1152</v>
      </c>
      <c r="AJ2338" s="1" t="s">
        <v>11148</v>
      </c>
      <c r="AK2338" s="1" t="s">
        <v>1152</v>
      </c>
      <c r="AL2338" s="6"/>
      <c r="AM2338" s="12">
        <v>9.179291918E9</v>
      </c>
    </row>
    <row r="2339">
      <c r="A2339" s="5" t="s">
        <v>11149</v>
      </c>
      <c r="B2339" s="1" t="s">
        <v>11150</v>
      </c>
      <c r="C2339" s="1" t="s">
        <v>11145</v>
      </c>
      <c r="D2339" s="2">
        <v>19172828056</v>
      </c>
      <c r="E2339" s="1" t="s">
        <v>11146</v>
      </c>
      <c r="F2339" s="1"/>
      <c r="G2339" s="1" t="s">
        <v>1299</v>
      </c>
      <c r="H2339" s="1" t="s">
        <v>1005</v>
      </c>
      <c r="I2339" s="1">
        <v>20817.0</v>
      </c>
      <c r="J2339" s="1" t="s">
        <v>752</v>
      </c>
      <c r="K2339" s="1" t="s">
        <v>95</v>
      </c>
      <c r="L2339" s="1" t="s">
        <v>5820</v>
      </c>
      <c r="M2339" s="1">
        <v>49.0</v>
      </c>
      <c r="N2339" s="1" t="s">
        <v>2461</v>
      </c>
      <c r="O2339" s="3" t="s">
        <v>103</v>
      </c>
      <c r="P2339" s="18">
        <v>46247.0</v>
      </c>
      <c r="Q2339" s="1" t="s">
        <v>2463</v>
      </c>
      <c r="R2339" s="1"/>
      <c r="S2339" s="1" t="s">
        <v>52</v>
      </c>
      <c r="T2339" s="1" t="s">
        <v>2461</v>
      </c>
      <c r="U2339" s="1" t="s">
        <v>102</v>
      </c>
      <c r="V2339" s="4" t="s">
        <v>103</v>
      </c>
      <c r="W2339" s="1"/>
      <c r="X2339" s="18">
        <v>46247.0</v>
      </c>
      <c r="Y2339" s="1" t="s">
        <v>2463</v>
      </c>
      <c r="Z2339" s="1"/>
      <c r="AA2339" s="1"/>
      <c r="AB2339" s="1" t="s">
        <v>52</v>
      </c>
      <c r="AC2339" s="1" t="s">
        <v>11151</v>
      </c>
      <c r="AD2339" s="1"/>
      <c r="AE2339" s="1" t="s">
        <v>1152</v>
      </c>
      <c r="AF2339" s="1"/>
      <c r="AG2339" s="1"/>
      <c r="AH2339" s="1" t="s">
        <v>1152</v>
      </c>
      <c r="AI2339" s="1" t="s">
        <v>1152</v>
      </c>
      <c r="AJ2339" s="1" t="s">
        <v>11152</v>
      </c>
      <c r="AK2339" s="1" t="s">
        <v>1152</v>
      </c>
      <c r="AL2339" s="6"/>
      <c r="AM2339" s="12">
        <v>9.179291918E9</v>
      </c>
    </row>
    <row r="2340">
      <c r="A2340" s="5" t="s">
        <v>11153</v>
      </c>
      <c r="B2340" s="1" t="s">
        <v>11154</v>
      </c>
      <c r="C2340" s="1" t="s">
        <v>11155</v>
      </c>
      <c r="D2340" s="2">
        <v>2.02577583E9</v>
      </c>
      <c r="E2340" s="1" t="s">
        <v>4009</v>
      </c>
      <c r="F2340" s="1" t="s">
        <v>11156</v>
      </c>
      <c r="G2340" s="1" t="s">
        <v>1299</v>
      </c>
      <c r="H2340" s="1" t="s">
        <v>1005</v>
      </c>
      <c r="I2340" s="1">
        <v>20816.0</v>
      </c>
      <c r="J2340" s="1" t="s">
        <v>752</v>
      </c>
      <c r="K2340" s="1" t="s">
        <v>892</v>
      </c>
      <c r="L2340" s="1" t="s">
        <v>8006</v>
      </c>
      <c r="M2340" s="1">
        <v>49.0</v>
      </c>
      <c r="N2340" s="1" t="s">
        <v>1152</v>
      </c>
      <c r="O2340" s="3"/>
      <c r="P2340" s="1" t="s">
        <v>1152</v>
      </c>
      <c r="Q2340" s="1" t="s">
        <v>1152</v>
      </c>
      <c r="R2340" s="1" t="s">
        <v>11156</v>
      </c>
      <c r="S2340" s="1"/>
      <c r="T2340" s="1" t="s">
        <v>1152</v>
      </c>
      <c r="U2340" s="1"/>
      <c r="V2340" s="4"/>
      <c r="W2340" s="1" t="s">
        <v>11156</v>
      </c>
      <c r="X2340" s="1" t="s">
        <v>1152</v>
      </c>
      <c r="Y2340" s="1" t="s">
        <v>1152</v>
      </c>
      <c r="Z2340" s="1"/>
      <c r="AA2340" s="1" t="s">
        <v>11156</v>
      </c>
      <c r="AB2340" s="1"/>
      <c r="AC2340" s="1" t="s">
        <v>1925</v>
      </c>
      <c r="AD2340" s="1"/>
      <c r="AE2340" s="18">
        <v>46164.0</v>
      </c>
      <c r="AF2340" s="1" t="s">
        <v>1455</v>
      </c>
      <c r="AG2340" s="1" t="s">
        <v>124</v>
      </c>
      <c r="AH2340" s="1" t="s">
        <v>11157</v>
      </c>
      <c r="AI2340" s="1" t="s">
        <v>11158</v>
      </c>
      <c r="AJ2340" s="1" t="s">
        <v>4009</v>
      </c>
      <c r="AK2340" s="1" t="s">
        <v>1152</v>
      </c>
      <c r="AL2340" s="6"/>
      <c r="AM2340" s="12">
        <v>2.02577583E9</v>
      </c>
    </row>
    <row r="2341">
      <c r="A2341" s="5" t="s">
        <v>11159</v>
      </c>
      <c r="B2341" s="1" t="s">
        <v>11160</v>
      </c>
      <c r="C2341" s="1" t="s">
        <v>11161</v>
      </c>
      <c r="D2341" s="2">
        <v>3.142242038E9</v>
      </c>
      <c r="E2341" s="1" t="s">
        <v>11162</v>
      </c>
      <c r="F2341" s="1"/>
      <c r="G2341" s="1" t="s">
        <v>2350</v>
      </c>
      <c r="H2341" s="1" t="s">
        <v>1155</v>
      </c>
      <c r="I2341" s="1">
        <v>63105.0</v>
      </c>
      <c r="J2341" s="1" t="s">
        <v>752</v>
      </c>
      <c r="K2341" s="1" t="s">
        <v>42</v>
      </c>
      <c r="L2341" s="1" t="s">
        <v>6819</v>
      </c>
      <c r="M2341" s="1">
        <v>49.0</v>
      </c>
      <c r="N2341" s="1" t="s">
        <v>1152</v>
      </c>
      <c r="O2341" s="3" t="s">
        <v>9798</v>
      </c>
      <c r="P2341" s="1" t="s">
        <v>1152</v>
      </c>
      <c r="Q2341" s="1" t="s">
        <v>1152</v>
      </c>
      <c r="R2341" s="1"/>
      <c r="S2341" s="1"/>
      <c r="T2341" s="1" t="s">
        <v>1152</v>
      </c>
      <c r="U2341" s="1" t="s">
        <v>1324</v>
      </c>
      <c r="V2341" s="4" t="s">
        <v>9798</v>
      </c>
      <c r="W2341" s="1"/>
      <c r="X2341" s="1" t="s">
        <v>1152</v>
      </c>
      <c r="Y2341" s="1" t="s">
        <v>1152</v>
      </c>
      <c r="Z2341" s="1"/>
      <c r="AA2341" s="1"/>
      <c r="AB2341" s="1"/>
      <c r="AC2341" s="1" t="s">
        <v>1925</v>
      </c>
      <c r="AD2341" s="1"/>
      <c r="AE2341" s="18">
        <v>46137.0</v>
      </c>
      <c r="AF2341" s="1" t="s">
        <v>1630</v>
      </c>
      <c r="AG2341" s="1" t="s">
        <v>52</v>
      </c>
      <c r="AH2341" s="1" t="s">
        <v>1152</v>
      </c>
      <c r="AI2341" s="1" t="s">
        <v>1152</v>
      </c>
      <c r="AJ2341" s="1" t="s">
        <v>11162</v>
      </c>
      <c r="AK2341" s="1" t="s">
        <v>1152</v>
      </c>
      <c r="AL2341" s="6"/>
      <c r="AM2341" s="12">
        <v>3.142242038E9</v>
      </c>
    </row>
    <row r="2342">
      <c r="A2342" s="5" t="s">
        <v>11163</v>
      </c>
      <c r="B2342" s="1" t="s">
        <v>11164</v>
      </c>
      <c r="C2342" s="1" t="s">
        <v>11165</v>
      </c>
      <c r="D2342" s="2">
        <v>3.038081617E9</v>
      </c>
      <c r="E2342" s="1" t="s">
        <v>6251</v>
      </c>
      <c r="F2342" s="1"/>
      <c r="G2342" s="1" t="s">
        <v>6252</v>
      </c>
      <c r="H2342" s="1" t="s">
        <v>1891</v>
      </c>
      <c r="I2342" s="1">
        <v>80111.0</v>
      </c>
      <c r="J2342" s="1" t="s">
        <v>752</v>
      </c>
      <c r="K2342" s="1" t="s">
        <v>42</v>
      </c>
      <c r="L2342" s="1" t="s">
        <v>6819</v>
      </c>
      <c r="M2342" s="1">
        <v>49.0</v>
      </c>
      <c r="N2342" s="1" t="s">
        <v>1152</v>
      </c>
      <c r="O2342" s="3" t="s">
        <v>6253</v>
      </c>
      <c r="P2342" s="1" t="s">
        <v>1152</v>
      </c>
      <c r="Q2342" s="1" t="s">
        <v>1152</v>
      </c>
      <c r="R2342" s="1"/>
      <c r="S2342" s="1"/>
      <c r="T2342" s="1" t="s">
        <v>1152</v>
      </c>
      <c r="U2342" s="1" t="s">
        <v>1039</v>
      </c>
      <c r="V2342" s="4" t="s">
        <v>6253</v>
      </c>
      <c r="W2342" s="1"/>
      <c r="X2342" s="1" t="s">
        <v>1152</v>
      </c>
      <c r="Y2342" s="1" t="s">
        <v>1152</v>
      </c>
      <c r="Z2342" s="1"/>
      <c r="AA2342" s="1"/>
      <c r="AB2342" s="1"/>
      <c r="AC2342" s="1" t="s">
        <v>1925</v>
      </c>
      <c r="AD2342" s="1"/>
      <c r="AE2342" s="18">
        <v>46149.0</v>
      </c>
      <c r="AF2342" s="1" t="s">
        <v>1103</v>
      </c>
      <c r="AG2342" s="1" t="s">
        <v>52</v>
      </c>
      <c r="AH2342" s="1" t="s">
        <v>1152</v>
      </c>
      <c r="AI2342" s="1" t="s">
        <v>11166</v>
      </c>
      <c r="AJ2342" s="1" t="s">
        <v>6254</v>
      </c>
      <c r="AK2342" s="1" t="s">
        <v>1152</v>
      </c>
      <c r="AL2342" s="6"/>
      <c r="AM2342" s="12">
        <v>7.203669699E9</v>
      </c>
    </row>
    <row r="2343">
      <c r="A2343" s="5" t="s">
        <v>11167</v>
      </c>
      <c r="B2343" s="1" t="s">
        <v>11168</v>
      </c>
      <c r="C2343" s="1" t="s">
        <v>11169</v>
      </c>
      <c r="D2343" s="2">
        <v>6.505461756E9</v>
      </c>
      <c r="E2343" s="1" t="s">
        <v>11170</v>
      </c>
      <c r="F2343" s="1"/>
      <c r="G2343" s="1" t="s">
        <v>1556</v>
      </c>
      <c r="H2343" s="1" t="s">
        <v>989</v>
      </c>
      <c r="I2343" s="1">
        <v>94022.0</v>
      </c>
      <c r="J2343" s="1" t="s">
        <v>752</v>
      </c>
      <c r="K2343" s="1" t="s">
        <v>42</v>
      </c>
      <c r="L2343" s="1" t="s">
        <v>6819</v>
      </c>
      <c r="M2343" s="1">
        <v>49.0</v>
      </c>
      <c r="N2343" s="1" t="s">
        <v>1152</v>
      </c>
      <c r="O2343" s="3" t="s">
        <v>7224</v>
      </c>
      <c r="P2343" s="1" t="s">
        <v>1152</v>
      </c>
      <c r="Q2343" s="1" t="s">
        <v>1152</v>
      </c>
      <c r="R2343" s="1"/>
      <c r="S2343" s="1"/>
      <c r="T2343" s="1" t="s">
        <v>1152</v>
      </c>
      <c r="U2343" s="1" t="s">
        <v>948</v>
      </c>
      <c r="V2343" s="4" t="s">
        <v>7224</v>
      </c>
      <c r="W2343" s="1"/>
      <c r="X2343" s="1" t="s">
        <v>1152</v>
      </c>
      <c r="Y2343" s="1" t="s">
        <v>1152</v>
      </c>
      <c r="Z2343" s="1"/>
      <c r="AA2343" s="1"/>
      <c r="AB2343" s="1"/>
      <c r="AC2343" s="1" t="s">
        <v>1925</v>
      </c>
      <c r="AD2343" s="1"/>
      <c r="AE2343" s="18">
        <v>46147.0</v>
      </c>
      <c r="AF2343" s="1" t="s">
        <v>1455</v>
      </c>
      <c r="AG2343" s="1" t="s">
        <v>52</v>
      </c>
      <c r="AH2343" s="1" t="s">
        <v>1152</v>
      </c>
      <c r="AI2343" s="1" t="s">
        <v>1152</v>
      </c>
      <c r="AJ2343" s="1" t="s">
        <v>11170</v>
      </c>
      <c r="AK2343" s="1" t="s">
        <v>1152</v>
      </c>
      <c r="AL2343" s="6"/>
      <c r="AM2343" s="12">
        <v>6.505461756E9</v>
      </c>
    </row>
    <row r="2344">
      <c r="A2344" s="5" t="s">
        <v>11171</v>
      </c>
      <c r="B2344" s="1" t="s">
        <v>11172</v>
      </c>
      <c r="C2344" s="1" t="s">
        <v>11173</v>
      </c>
      <c r="D2344" s="2">
        <v>7.54251662E9</v>
      </c>
      <c r="E2344" s="1" t="s">
        <v>11174</v>
      </c>
      <c r="F2344" s="1"/>
      <c r="G2344" s="1" t="s">
        <v>1283</v>
      </c>
      <c r="H2344" s="1" t="s">
        <v>1155</v>
      </c>
      <c r="I2344" s="1">
        <v>63105.0</v>
      </c>
      <c r="J2344" s="1" t="s">
        <v>752</v>
      </c>
      <c r="K2344" s="1" t="s">
        <v>42</v>
      </c>
      <c r="L2344" s="1" t="s">
        <v>6819</v>
      </c>
      <c r="M2344" s="1">
        <v>49.0</v>
      </c>
      <c r="N2344" s="1" t="s">
        <v>1152</v>
      </c>
      <c r="O2344" s="3" t="s">
        <v>8303</v>
      </c>
      <c r="P2344" s="1" t="s">
        <v>1152</v>
      </c>
      <c r="Q2344" s="1" t="s">
        <v>1152</v>
      </c>
      <c r="R2344" s="1"/>
      <c r="S2344" s="1"/>
      <c r="T2344" s="1" t="s">
        <v>1152</v>
      </c>
      <c r="U2344" s="1" t="s">
        <v>7909</v>
      </c>
      <c r="V2344" s="4" t="s">
        <v>8303</v>
      </c>
      <c r="W2344" s="1"/>
      <c r="X2344" s="1" t="s">
        <v>1152</v>
      </c>
      <c r="Y2344" s="1" t="s">
        <v>1152</v>
      </c>
      <c r="Z2344" s="1"/>
      <c r="AA2344" s="1"/>
      <c r="AB2344" s="1"/>
      <c r="AC2344" s="1" t="s">
        <v>1925</v>
      </c>
      <c r="AD2344" s="1"/>
      <c r="AE2344" s="18">
        <v>46148.0</v>
      </c>
      <c r="AF2344" s="1" t="s">
        <v>1455</v>
      </c>
      <c r="AG2344" s="1" t="s">
        <v>52</v>
      </c>
      <c r="AH2344" s="1" t="s">
        <v>1152</v>
      </c>
      <c r="AI2344" s="1" t="s">
        <v>1152</v>
      </c>
      <c r="AJ2344" s="1" t="s">
        <v>11174</v>
      </c>
      <c r="AK2344" s="1" t="s">
        <v>1152</v>
      </c>
      <c r="AL2344" s="6"/>
      <c r="AM2344" s="12">
        <v>7.54251662E9</v>
      </c>
    </row>
    <row r="2345">
      <c r="A2345" s="5" t="s">
        <v>11175</v>
      </c>
      <c r="B2345" s="1" t="s">
        <v>11176</v>
      </c>
      <c r="C2345" s="1" t="s">
        <v>11177</v>
      </c>
      <c r="D2345" s="2">
        <v>8.582435057E9</v>
      </c>
      <c r="E2345" s="1" t="s">
        <v>11178</v>
      </c>
      <c r="F2345" s="1"/>
      <c r="G2345" s="1" t="s">
        <v>11179</v>
      </c>
      <c r="H2345" s="1" t="s">
        <v>989</v>
      </c>
      <c r="I2345" s="1">
        <v>92014.0</v>
      </c>
      <c r="J2345" s="1" t="s">
        <v>752</v>
      </c>
      <c r="K2345" s="1" t="s">
        <v>42</v>
      </c>
      <c r="L2345" s="1" t="s">
        <v>8715</v>
      </c>
      <c r="M2345" s="1">
        <v>139.0</v>
      </c>
      <c r="N2345" s="1" t="s">
        <v>1152</v>
      </c>
      <c r="O2345" s="3" t="s">
        <v>1029</v>
      </c>
      <c r="P2345" s="1" t="s">
        <v>1152</v>
      </c>
      <c r="Q2345" s="1" t="s">
        <v>1152</v>
      </c>
      <c r="R2345" s="1"/>
      <c r="S2345" s="1"/>
      <c r="T2345" s="1" t="s">
        <v>1152</v>
      </c>
      <c r="U2345" s="1" t="s">
        <v>11180</v>
      </c>
      <c r="V2345" s="4" t="s">
        <v>1029</v>
      </c>
      <c r="W2345" s="1"/>
      <c r="X2345" s="1" t="s">
        <v>1152</v>
      </c>
      <c r="Y2345" s="1" t="s">
        <v>1152</v>
      </c>
      <c r="Z2345" s="1"/>
      <c r="AA2345" s="1"/>
      <c r="AB2345" s="1"/>
      <c r="AC2345" s="1" t="s">
        <v>1925</v>
      </c>
      <c r="AD2345" s="1"/>
      <c r="AE2345" s="18">
        <v>46147.0</v>
      </c>
      <c r="AF2345" s="1" t="s">
        <v>1030</v>
      </c>
      <c r="AG2345" s="1" t="s">
        <v>52</v>
      </c>
      <c r="AH2345" s="1" t="s">
        <v>1152</v>
      </c>
      <c r="AI2345" s="1" t="s">
        <v>11181</v>
      </c>
      <c r="AJ2345" s="1" t="s">
        <v>11182</v>
      </c>
      <c r="AK2345" s="1" t="s">
        <v>1152</v>
      </c>
      <c r="AL2345" s="6"/>
      <c r="AM2345" s="12">
        <v>8.584493039E9</v>
      </c>
    </row>
    <row r="2346">
      <c r="A2346" s="5" t="s">
        <v>11183</v>
      </c>
      <c r="B2346" s="1" t="s">
        <v>11184</v>
      </c>
      <c r="C2346" s="1" t="s">
        <v>11185</v>
      </c>
      <c r="D2346" s="2">
        <v>4.843547426E9</v>
      </c>
      <c r="E2346" s="1" t="s">
        <v>6793</v>
      </c>
      <c r="F2346" s="1"/>
      <c r="G2346" s="1" t="s">
        <v>1283</v>
      </c>
      <c r="H2346" s="1" t="s">
        <v>1155</v>
      </c>
      <c r="I2346" s="1">
        <v>63105.0</v>
      </c>
      <c r="J2346" s="1" t="s">
        <v>752</v>
      </c>
      <c r="K2346" s="1" t="s">
        <v>42</v>
      </c>
      <c r="L2346" s="1" t="s">
        <v>6819</v>
      </c>
      <c r="M2346" s="1">
        <v>49.0</v>
      </c>
      <c r="N2346" s="1" t="s">
        <v>1152</v>
      </c>
      <c r="O2346" s="3" t="s">
        <v>1741</v>
      </c>
      <c r="P2346" s="1" t="s">
        <v>1152</v>
      </c>
      <c r="Q2346" s="1" t="s">
        <v>1152</v>
      </c>
      <c r="R2346" s="1"/>
      <c r="S2346" s="1"/>
      <c r="T2346" s="1" t="s">
        <v>1152</v>
      </c>
      <c r="U2346" s="1" t="s">
        <v>1133</v>
      </c>
      <c r="V2346" s="4" t="s">
        <v>1741</v>
      </c>
      <c r="W2346" s="1"/>
      <c r="X2346" s="1" t="s">
        <v>1152</v>
      </c>
      <c r="Y2346" s="1" t="s">
        <v>1152</v>
      </c>
      <c r="Z2346" s="1"/>
      <c r="AA2346" s="1"/>
      <c r="AB2346" s="1"/>
      <c r="AC2346" s="1" t="s">
        <v>1925</v>
      </c>
      <c r="AD2346" s="1"/>
      <c r="AE2346" s="18">
        <v>46149.0</v>
      </c>
      <c r="AF2346" s="1" t="s">
        <v>1030</v>
      </c>
      <c r="AG2346" s="1" t="s">
        <v>52</v>
      </c>
      <c r="AH2346" s="1" t="s">
        <v>1152</v>
      </c>
      <c r="AI2346" s="1" t="s">
        <v>1152</v>
      </c>
      <c r="AJ2346" s="1" t="s">
        <v>6793</v>
      </c>
      <c r="AK2346" s="1" t="s">
        <v>1152</v>
      </c>
      <c r="AL2346" s="6"/>
      <c r="AM2346" s="12" t="s">
        <v>1925</v>
      </c>
    </row>
    <row r="2347">
      <c r="A2347" s="5" t="s">
        <v>11186</v>
      </c>
      <c r="B2347" s="1" t="s">
        <v>11187</v>
      </c>
      <c r="C2347" s="1" t="s">
        <v>11188</v>
      </c>
      <c r="D2347" s="2">
        <v>9.736654223E9</v>
      </c>
      <c r="E2347" s="1" t="s">
        <v>2273</v>
      </c>
      <c r="F2347" s="1"/>
      <c r="G2347" s="1" t="s">
        <v>1865</v>
      </c>
      <c r="H2347" s="1" t="s">
        <v>1053</v>
      </c>
      <c r="I2347" s="1">
        <v>7078.0</v>
      </c>
      <c r="J2347" s="1" t="s">
        <v>752</v>
      </c>
      <c r="K2347" s="1" t="s">
        <v>892</v>
      </c>
      <c r="L2347" s="1" t="s">
        <v>8006</v>
      </c>
      <c r="M2347" s="1">
        <v>49.0</v>
      </c>
      <c r="N2347" s="1" t="s">
        <v>1152</v>
      </c>
      <c r="O2347" s="3" t="s">
        <v>9472</v>
      </c>
      <c r="P2347" s="1" t="s">
        <v>1152</v>
      </c>
      <c r="Q2347" s="1" t="s">
        <v>1152</v>
      </c>
      <c r="R2347" s="1"/>
      <c r="S2347" s="1"/>
      <c r="T2347" s="1" t="s">
        <v>1152</v>
      </c>
      <c r="U2347" s="1" t="s">
        <v>6053</v>
      </c>
      <c r="V2347" s="4" t="s">
        <v>9472</v>
      </c>
      <c r="W2347" s="1"/>
      <c r="X2347" s="1" t="s">
        <v>1152</v>
      </c>
      <c r="Y2347" s="1" t="s">
        <v>1152</v>
      </c>
      <c r="Z2347" s="1"/>
      <c r="AA2347" s="1"/>
      <c r="AB2347" s="1"/>
      <c r="AC2347" s="1" t="s">
        <v>1925</v>
      </c>
      <c r="AD2347" s="1"/>
      <c r="AE2347" s="18">
        <v>46146.0</v>
      </c>
      <c r="AF2347" s="1" t="s">
        <v>1030</v>
      </c>
      <c r="AG2347" s="1" t="s">
        <v>52</v>
      </c>
      <c r="AH2347" s="1" t="s">
        <v>11189</v>
      </c>
      <c r="AI2347" s="1" t="s">
        <v>1152</v>
      </c>
      <c r="AJ2347" s="1" t="s">
        <v>2273</v>
      </c>
      <c r="AK2347" s="1" t="s">
        <v>1152</v>
      </c>
      <c r="AL2347" s="6"/>
      <c r="AM2347" s="12">
        <v>9.736654223E9</v>
      </c>
    </row>
    <row r="2348">
      <c r="A2348" s="5" t="s">
        <v>11190</v>
      </c>
      <c r="B2348" s="1" t="s">
        <v>11191</v>
      </c>
      <c r="C2348" s="1" t="s">
        <v>2224</v>
      </c>
      <c r="D2348" s="2">
        <v>9.179022223E9</v>
      </c>
      <c r="E2348" s="1" t="s">
        <v>2225</v>
      </c>
      <c r="F2348" s="1"/>
      <c r="G2348" s="1" t="s">
        <v>2226</v>
      </c>
      <c r="H2348" s="1" t="s">
        <v>751</v>
      </c>
      <c r="I2348" s="1">
        <v>10028.0</v>
      </c>
      <c r="J2348" s="1" t="s">
        <v>752</v>
      </c>
      <c r="K2348" s="1" t="s">
        <v>42</v>
      </c>
      <c r="L2348" s="1" t="s">
        <v>6819</v>
      </c>
      <c r="M2348" s="1">
        <v>49.0</v>
      </c>
      <c r="N2348" s="1" t="s">
        <v>1152</v>
      </c>
      <c r="O2348" s="3" t="s">
        <v>11192</v>
      </c>
      <c r="P2348" s="1" t="s">
        <v>1152</v>
      </c>
      <c r="Q2348" s="1" t="s">
        <v>1152</v>
      </c>
      <c r="R2348" s="1"/>
      <c r="S2348" s="1"/>
      <c r="T2348" s="1" t="s">
        <v>1152</v>
      </c>
      <c r="U2348" s="1" t="s">
        <v>1794</v>
      </c>
      <c r="V2348" s="4" t="s">
        <v>11192</v>
      </c>
      <c r="W2348" s="1"/>
      <c r="X2348" s="1" t="s">
        <v>1152</v>
      </c>
      <c r="Y2348" s="1" t="s">
        <v>1152</v>
      </c>
      <c r="Z2348" s="1"/>
      <c r="AA2348" s="1"/>
      <c r="AB2348" s="1"/>
      <c r="AC2348" s="1" t="s">
        <v>1925</v>
      </c>
      <c r="AD2348" s="1"/>
      <c r="AE2348" s="18">
        <v>46149.0</v>
      </c>
      <c r="AF2348" s="1" t="s">
        <v>1030</v>
      </c>
      <c r="AG2348" s="1" t="s">
        <v>52</v>
      </c>
      <c r="AH2348" s="1" t="s">
        <v>1152</v>
      </c>
      <c r="AI2348" s="1" t="s">
        <v>1152</v>
      </c>
      <c r="AJ2348" s="1" t="s">
        <v>11193</v>
      </c>
      <c r="AK2348" s="1" t="s">
        <v>1152</v>
      </c>
      <c r="AL2348" s="6"/>
      <c r="AM2348" s="12">
        <v>9.175886662E9</v>
      </c>
    </row>
    <row r="2349">
      <c r="A2349" s="5" t="s">
        <v>11194</v>
      </c>
      <c r="B2349" s="1" t="s">
        <v>11195</v>
      </c>
      <c r="C2349" s="1" t="s">
        <v>11196</v>
      </c>
      <c r="D2349" s="2">
        <v>5.162330138E9</v>
      </c>
      <c r="E2349" s="1" t="s">
        <v>11197</v>
      </c>
      <c r="F2349" s="1" t="s">
        <v>11198</v>
      </c>
      <c r="G2349" s="1" t="s">
        <v>1283</v>
      </c>
      <c r="H2349" s="1" t="s">
        <v>1155</v>
      </c>
      <c r="I2349" s="1">
        <v>63130.0</v>
      </c>
      <c r="J2349" s="1" t="s">
        <v>752</v>
      </c>
      <c r="K2349" s="1" t="s">
        <v>892</v>
      </c>
      <c r="L2349" s="1" t="s">
        <v>8006</v>
      </c>
      <c r="M2349" s="1">
        <v>49.0</v>
      </c>
      <c r="N2349" s="1" t="s">
        <v>1152</v>
      </c>
      <c r="O2349" s="3"/>
      <c r="P2349" s="1" t="s">
        <v>1152</v>
      </c>
      <c r="Q2349" s="1" t="s">
        <v>1152</v>
      </c>
      <c r="R2349" s="1" t="s">
        <v>11198</v>
      </c>
      <c r="S2349" s="1"/>
      <c r="T2349" s="1" t="s">
        <v>1152</v>
      </c>
      <c r="U2349" s="1"/>
      <c r="V2349" s="4"/>
      <c r="W2349" s="1" t="s">
        <v>11198</v>
      </c>
      <c r="X2349" s="1" t="s">
        <v>1152</v>
      </c>
      <c r="Y2349" s="1" t="s">
        <v>1152</v>
      </c>
      <c r="Z2349" s="1"/>
      <c r="AA2349" s="1" t="s">
        <v>11198</v>
      </c>
      <c r="AB2349" s="1"/>
      <c r="AC2349" s="1" t="s">
        <v>1925</v>
      </c>
      <c r="AD2349" s="1"/>
      <c r="AE2349" s="18">
        <v>46160.0</v>
      </c>
      <c r="AF2349" s="1" t="s">
        <v>1103</v>
      </c>
      <c r="AG2349" s="1" t="s">
        <v>124</v>
      </c>
      <c r="AH2349" s="1" t="s">
        <v>11199</v>
      </c>
      <c r="AI2349" s="1" t="s">
        <v>1152</v>
      </c>
      <c r="AJ2349" s="1" t="s">
        <v>11197</v>
      </c>
      <c r="AK2349" s="1" t="s">
        <v>1152</v>
      </c>
      <c r="AL2349" s="6"/>
      <c r="AM2349" s="12">
        <v>5.162330138E9</v>
      </c>
    </row>
    <row r="2350">
      <c r="A2350" s="5" t="s">
        <v>11200</v>
      </c>
      <c r="B2350" s="1" t="s">
        <v>11201</v>
      </c>
      <c r="C2350" s="1" t="s">
        <v>11202</v>
      </c>
      <c r="D2350" s="2">
        <v>9.739512137E9</v>
      </c>
      <c r="E2350" s="1" t="s">
        <v>11203</v>
      </c>
      <c r="F2350" s="1"/>
      <c r="G2350" s="1" t="s">
        <v>751</v>
      </c>
      <c r="H2350" s="1" t="s">
        <v>751</v>
      </c>
      <c r="I2350" s="1">
        <v>10128.0</v>
      </c>
      <c r="J2350" s="1" t="s">
        <v>752</v>
      </c>
      <c r="K2350" s="1" t="s">
        <v>892</v>
      </c>
      <c r="L2350" s="1" t="s">
        <v>8006</v>
      </c>
      <c r="M2350" s="1">
        <v>49.0</v>
      </c>
      <c r="N2350" s="1" t="s">
        <v>1152</v>
      </c>
      <c r="O2350" s="3" t="s">
        <v>264</v>
      </c>
      <c r="P2350" s="1" t="s">
        <v>1152</v>
      </c>
      <c r="Q2350" s="1" t="s">
        <v>1152</v>
      </c>
      <c r="R2350" s="1"/>
      <c r="S2350" s="1"/>
      <c r="T2350" s="1" t="s">
        <v>1152</v>
      </c>
      <c r="U2350" s="1" t="s">
        <v>956</v>
      </c>
      <c r="V2350" s="4" t="s">
        <v>264</v>
      </c>
      <c r="W2350" s="1"/>
      <c r="X2350" s="1" t="s">
        <v>1152</v>
      </c>
      <c r="Y2350" s="1" t="s">
        <v>1152</v>
      </c>
      <c r="Z2350" s="1"/>
      <c r="AA2350" s="1"/>
      <c r="AB2350" s="1"/>
      <c r="AC2350" s="1" t="s">
        <v>1925</v>
      </c>
      <c r="AD2350" s="1"/>
      <c r="AE2350" s="18">
        <v>46142.0</v>
      </c>
      <c r="AF2350" s="1" t="s">
        <v>1630</v>
      </c>
      <c r="AG2350" s="1" t="s">
        <v>52</v>
      </c>
      <c r="AH2350" s="1" t="s">
        <v>11204</v>
      </c>
      <c r="AI2350" s="1" t="s">
        <v>1152</v>
      </c>
      <c r="AJ2350" s="1" t="s">
        <v>952</v>
      </c>
      <c r="AK2350" s="1" t="s">
        <v>1152</v>
      </c>
      <c r="AL2350" s="6"/>
      <c r="AM2350" s="12">
        <v>9.173596629E9</v>
      </c>
    </row>
    <row r="2351">
      <c r="A2351" s="5" t="s">
        <v>11200</v>
      </c>
      <c r="B2351" s="1" t="s">
        <v>11201</v>
      </c>
      <c r="C2351" s="1" t="s">
        <v>11202</v>
      </c>
      <c r="D2351" s="2">
        <v>9.739512137E9</v>
      </c>
      <c r="E2351" s="1" t="s">
        <v>11203</v>
      </c>
      <c r="F2351" s="1"/>
      <c r="G2351" s="1" t="s">
        <v>751</v>
      </c>
      <c r="H2351" s="1" t="s">
        <v>751</v>
      </c>
      <c r="I2351" s="1">
        <v>10128.0</v>
      </c>
      <c r="J2351" s="1" t="s">
        <v>752</v>
      </c>
      <c r="K2351" s="1" t="s">
        <v>2131</v>
      </c>
      <c r="L2351" s="1" t="s">
        <v>5767</v>
      </c>
      <c r="M2351" s="1">
        <v>1.0</v>
      </c>
      <c r="N2351" s="1" t="s">
        <v>1152</v>
      </c>
      <c r="O2351" s="3" t="s">
        <v>264</v>
      </c>
      <c r="P2351" s="1" t="s">
        <v>1152</v>
      </c>
      <c r="Q2351" s="1" t="s">
        <v>1152</v>
      </c>
      <c r="R2351" s="1"/>
      <c r="S2351" s="1"/>
      <c r="T2351" s="1" t="s">
        <v>1152</v>
      </c>
      <c r="U2351" s="1" t="s">
        <v>956</v>
      </c>
      <c r="V2351" s="4" t="s">
        <v>264</v>
      </c>
      <c r="W2351" s="1"/>
      <c r="X2351" s="1" t="s">
        <v>1152</v>
      </c>
      <c r="Y2351" s="1" t="s">
        <v>1152</v>
      </c>
      <c r="Z2351" s="1"/>
      <c r="AA2351" s="1"/>
      <c r="AB2351" s="1"/>
      <c r="AC2351" s="1" t="s">
        <v>1925</v>
      </c>
      <c r="AD2351" s="1"/>
      <c r="AE2351" s="18">
        <v>46142.0</v>
      </c>
      <c r="AF2351" s="1"/>
      <c r="AG2351" s="1"/>
      <c r="AH2351" s="1" t="s">
        <v>1152</v>
      </c>
      <c r="AI2351" s="1" t="s">
        <v>1152</v>
      </c>
      <c r="AJ2351" s="1" t="s">
        <v>952</v>
      </c>
      <c r="AK2351" s="1" t="s">
        <v>1152</v>
      </c>
      <c r="AL2351" s="6"/>
      <c r="AM2351" s="12">
        <v>9.173596629E9</v>
      </c>
    </row>
    <row r="2352">
      <c r="A2352" s="5" t="s">
        <v>11205</v>
      </c>
      <c r="B2352" s="1" t="s">
        <v>11206</v>
      </c>
      <c r="C2352" s="1" t="s">
        <v>11207</v>
      </c>
      <c r="D2352" s="2">
        <v>7.816081973E9</v>
      </c>
      <c r="E2352" s="1" t="s">
        <v>11208</v>
      </c>
      <c r="F2352" s="1"/>
      <c r="G2352" s="1" t="s">
        <v>2625</v>
      </c>
      <c r="H2352" s="1" t="s">
        <v>1121</v>
      </c>
      <c r="I2352" s="1">
        <v>2492.0</v>
      </c>
      <c r="J2352" s="1" t="s">
        <v>752</v>
      </c>
      <c r="K2352" s="1" t="s">
        <v>42</v>
      </c>
      <c r="L2352" s="1" t="s">
        <v>6819</v>
      </c>
      <c r="M2352" s="1">
        <v>49.0</v>
      </c>
      <c r="N2352" s="1" t="s">
        <v>1152</v>
      </c>
      <c r="O2352" s="3" t="s">
        <v>4087</v>
      </c>
      <c r="P2352" s="1" t="s">
        <v>1152</v>
      </c>
      <c r="Q2352" s="1" t="s">
        <v>1152</v>
      </c>
      <c r="R2352" s="1"/>
      <c r="S2352" s="1"/>
      <c r="T2352" s="1" t="s">
        <v>1152</v>
      </c>
      <c r="U2352" s="1" t="s">
        <v>1710</v>
      </c>
      <c r="V2352" s="4" t="s">
        <v>4087</v>
      </c>
      <c r="W2352" s="1"/>
      <c r="X2352" s="1" t="s">
        <v>1152</v>
      </c>
      <c r="Y2352" s="1" t="s">
        <v>1152</v>
      </c>
      <c r="Z2352" s="1"/>
      <c r="AA2352" s="1"/>
      <c r="AB2352" s="1"/>
      <c r="AC2352" s="1" t="s">
        <v>1925</v>
      </c>
      <c r="AD2352" s="1"/>
      <c r="AE2352" s="18">
        <v>46148.0</v>
      </c>
      <c r="AF2352" s="1" t="s">
        <v>1030</v>
      </c>
      <c r="AG2352" s="1" t="s">
        <v>52</v>
      </c>
      <c r="AH2352" s="1" t="s">
        <v>1152</v>
      </c>
      <c r="AI2352" s="1" t="s">
        <v>1152</v>
      </c>
      <c r="AJ2352" s="1" t="s">
        <v>11209</v>
      </c>
      <c r="AK2352" s="1" t="s">
        <v>1152</v>
      </c>
      <c r="AL2352" s="6"/>
      <c r="AM2352" s="12">
        <v>7.813665926E9</v>
      </c>
    </row>
    <row r="2353">
      <c r="A2353" s="5" t="s">
        <v>11210</v>
      </c>
      <c r="B2353" s="1" t="s">
        <v>11211</v>
      </c>
      <c r="C2353" s="1" t="s">
        <v>1580</v>
      </c>
      <c r="D2353" s="2">
        <v>5.126995645E9</v>
      </c>
      <c r="E2353" s="1" t="s">
        <v>5946</v>
      </c>
      <c r="F2353" s="1"/>
      <c r="G2353" s="1" t="s">
        <v>1582</v>
      </c>
      <c r="H2353" s="1" t="s">
        <v>1583</v>
      </c>
      <c r="I2353" s="1">
        <v>78731.0</v>
      </c>
      <c r="J2353" s="1" t="s">
        <v>752</v>
      </c>
      <c r="K2353" s="1" t="s">
        <v>42</v>
      </c>
      <c r="L2353" s="1" t="s">
        <v>6819</v>
      </c>
      <c r="M2353" s="1">
        <v>49.0</v>
      </c>
      <c r="N2353" s="1" t="s">
        <v>1152</v>
      </c>
      <c r="O2353" s="3" t="s">
        <v>7856</v>
      </c>
      <c r="P2353" s="1" t="s">
        <v>1152</v>
      </c>
      <c r="Q2353" s="1" t="s">
        <v>1152</v>
      </c>
      <c r="R2353" s="1"/>
      <c r="S2353" s="1"/>
      <c r="T2353" s="1" t="s">
        <v>1152</v>
      </c>
      <c r="U2353" s="1" t="s">
        <v>1487</v>
      </c>
      <c r="V2353" s="4" t="s">
        <v>7856</v>
      </c>
      <c r="W2353" s="1"/>
      <c r="X2353" s="1" t="s">
        <v>1152</v>
      </c>
      <c r="Y2353" s="1" t="s">
        <v>1152</v>
      </c>
      <c r="Z2353" s="1"/>
      <c r="AA2353" s="1"/>
      <c r="AB2353" s="1"/>
      <c r="AC2353" s="1" t="s">
        <v>1925</v>
      </c>
      <c r="AD2353" s="1"/>
      <c r="AE2353" s="18">
        <v>46148.0</v>
      </c>
      <c r="AF2353" s="1" t="s">
        <v>1030</v>
      </c>
      <c r="AG2353" s="1" t="s">
        <v>52</v>
      </c>
      <c r="AH2353" s="1" t="s">
        <v>1152</v>
      </c>
      <c r="AI2353" s="1" t="s">
        <v>1152</v>
      </c>
      <c r="AJ2353" s="1" t="s">
        <v>1581</v>
      </c>
      <c r="AK2353" s="1" t="s">
        <v>1152</v>
      </c>
      <c r="AL2353" s="6"/>
      <c r="AM2353" s="12">
        <v>5.12915195E9</v>
      </c>
    </row>
    <row r="2354">
      <c r="A2354" s="5" t="s">
        <v>11212</v>
      </c>
      <c r="B2354" s="1" t="s">
        <v>11213</v>
      </c>
      <c r="C2354" s="1" t="s">
        <v>4876</v>
      </c>
      <c r="D2354" s="2">
        <v>3.14437011E9</v>
      </c>
      <c r="E2354" s="1" t="s">
        <v>4877</v>
      </c>
      <c r="F2354" s="1"/>
      <c r="G2354" s="1" t="s">
        <v>2350</v>
      </c>
      <c r="H2354" s="1" t="s">
        <v>1155</v>
      </c>
      <c r="I2354" s="1">
        <v>63130.0</v>
      </c>
      <c r="J2354" s="1" t="s">
        <v>752</v>
      </c>
      <c r="K2354" s="1" t="s">
        <v>42</v>
      </c>
      <c r="L2354" s="1" t="s">
        <v>6819</v>
      </c>
      <c r="M2354" s="1">
        <v>49.0</v>
      </c>
      <c r="N2354" s="1" t="s">
        <v>1152</v>
      </c>
      <c r="O2354" s="3" t="s">
        <v>2710</v>
      </c>
      <c r="P2354" s="1" t="s">
        <v>1152</v>
      </c>
      <c r="Q2354" s="1" t="s">
        <v>1152</v>
      </c>
      <c r="R2354" s="1"/>
      <c r="S2354" s="1"/>
      <c r="T2354" s="1" t="s">
        <v>1152</v>
      </c>
      <c r="U2354" s="1" t="s">
        <v>4879</v>
      </c>
      <c r="V2354" s="4" t="s">
        <v>2710</v>
      </c>
      <c r="W2354" s="1"/>
      <c r="X2354" s="1" t="s">
        <v>1152</v>
      </c>
      <c r="Y2354" s="1" t="s">
        <v>1152</v>
      </c>
      <c r="Z2354" s="1"/>
      <c r="AA2354" s="1"/>
      <c r="AB2354" s="1"/>
      <c r="AC2354" s="1" t="s">
        <v>1925</v>
      </c>
      <c r="AD2354" s="1"/>
      <c r="AE2354" s="18">
        <v>46146.0</v>
      </c>
      <c r="AF2354" s="1" t="s">
        <v>1349</v>
      </c>
      <c r="AG2354" s="1" t="s">
        <v>52</v>
      </c>
      <c r="AH2354" s="1" t="s">
        <v>1152</v>
      </c>
      <c r="AI2354" s="1" t="s">
        <v>1152</v>
      </c>
      <c r="AJ2354" s="1" t="s">
        <v>4877</v>
      </c>
      <c r="AK2354" s="1" t="s">
        <v>1152</v>
      </c>
      <c r="AL2354" s="6"/>
      <c r="AM2354" s="12">
        <v>3.14437011E9</v>
      </c>
    </row>
    <row r="2355">
      <c r="A2355" s="5" t="s">
        <v>11214</v>
      </c>
      <c r="B2355" s="1" t="s">
        <v>11215</v>
      </c>
      <c r="C2355" s="1" t="s">
        <v>11216</v>
      </c>
      <c r="D2355" s="2">
        <v>1.5011422749E10</v>
      </c>
      <c r="E2355" s="1" t="s">
        <v>11217</v>
      </c>
      <c r="F2355" s="1"/>
      <c r="G2355" s="1" t="s">
        <v>11218</v>
      </c>
      <c r="H2355" s="1" t="s">
        <v>5552</v>
      </c>
      <c r="I2355" s="1">
        <v>600052.0</v>
      </c>
      <c r="J2355" s="1" t="s">
        <v>5553</v>
      </c>
      <c r="K2355" s="1" t="s">
        <v>42</v>
      </c>
      <c r="L2355" s="1" t="s">
        <v>6819</v>
      </c>
      <c r="M2355" s="1">
        <v>49.0</v>
      </c>
      <c r="N2355" s="1" t="s">
        <v>1152</v>
      </c>
      <c r="O2355" s="3" t="s">
        <v>9703</v>
      </c>
      <c r="P2355" s="1" t="s">
        <v>1152</v>
      </c>
      <c r="Q2355" s="1" t="s">
        <v>1152</v>
      </c>
      <c r="R2355" s="1"/>
      <c r="S2355" s="1"/>
      <c r="T2355" s="1" t="s">
        <v>1152</v>
      </c>
      <c r="U2355" s="1" t="s">
        <v>1148</v>
      </c>
      <c r="V2355" s="4" t="s">
        <v>9703</v>
      </c>
      <c r="W2355" s="1"/>
      <c r="X2355" s="1" t="s">
        <v>1152</v>
      </c>
      <c r="Y2355" s="1" t="s">
        <v>1152</v>
      </c>
      <c r="Z2355" s="1"/>
      <c r="AA2355" s="1"/>
      <c r="AB2355" s="1"/>
      <c r="AC2355" s="1" t="s">
        <v>1925</v>
      </c>
      <c r="AD2355" s="1"/>
      <c r="AE2355" s="18">
        <v>46147.0</v>
      </c>
      <c r="AF2355" s="1" t="s">
        <v>1349</v>
      </c>
      <c r="AG2355" s="1" t="s">
        <v>52</v>
      </c>
      <c r="AH2355" s="1" t="s">
        <v>1152</v>
      </c>
      <c r="AI2355" s="1" t="s">
        <v>1152</v>
      </c>
      <c r="AJ2355" s="1" t="s">
        <v>11219</v>
      </c>
      <c r="AK2355" s="1" t="s">
        <v>1152</v>
      </c>
      <c r="AL2355" s="6"/>
      <c r="AM2355" s="12">
        <v>3.143393191E9</v>
      </c>
    </row>
    <row r="2356">
      <c r="A2356" s="5" t="s">
        <v>11220</v>
      </c>
      <c r="B2356" s="1" t="s">
        <v>11221</v>
      </c>
      <c r="C2356" s="1" t="s">
        <v>11222</v>
      </c>
      <c r="D2356" s="2">
        <v>9.178808249E9</v>
      </c>
      <c r="E2356" s="1" t="s">
        <v>11223</v>
      </c>
      <c r="F2356" s="1"/>
      <c r="G2356" s="1" t="s">
        <v>751</v>
      </c>
      <c r="H2356" s="1" t="s">
        <v>751</v>
      </c>
      <c r="I2356" s="1">
        <v>10021.0</v>
      </c>
      <c r="J2356" s="1" t="s">
        <v>752</v>
      </c>
      <c r="K2356" s="1" t="s">
        <v>42</v>
      </c>
      <c r="L2356" s="1" t="s">
        <v>6819</v>
      </c>
      <c r="M2356" s="1">
        <v>49.0</v>
      </c>
      <c r="N2356" s="1" t="s">
        <v>1152</v>
      </c>
      <c r="O2356" s="3" t="s">
        <v>5289</v>
      </c>
      <c r="P2356" s="1" t="s">
        <v>1152</v>
      </c>
      <c r="Q2356" s="1" t="s">
        <v>1152</v>
      </c>
      <c r="R2356" s="1"/>
      <c r="S2356" s="1"/>
      <c r="T2356" s="1" t="s">
        <v>1152</v>
      </c>
      <c r="U2356" s="1" t="s">
        <v>982</v>
      </c>
      <c r="V2356" s="4" t="s">
        <v>5289</v>
      </c>
      <c r="W2356" s="1"/>
      <c r="X2356" s="1" t="s">
        <v>1152</v>
      </c>
      <c r="Y2356" s="1" t="s">
        <v>1152</v>
      </c>
      <c r="Z2356" s="1"/>
      <c r="AA2356" s="1"/>
      <c r="AB2356" s="1"/>
      <c r="AC2356" s="1" t="s">
        <v>1925</v>
      </c>
      <c r="AD2356" s="1"/>
      <c r="AE2356" s="18">
        <v>46144.0</v>
      </c>
      <c r="AF2356" s="1" t="s">
        <v>1349</v>
      </c>
      <c r="AG2356" s="1" t="s">
        <v>52</v>
      </c>
      <c r="AH2356" s="1" t="s">
        <v>1152</v>
      </c>
      <c r="AI2356" s="1" t="s">
        <v>1152</v>
      </c>
      <c r="AJ2356" s="1" t="s">
        <v>11224</v>
      </c>
      <c r="AK2356" s="1" t="s">
        <v>1152</v>
      </c>
      <c r="AL2356" s="6"/>
      <c r="AM2356" s="12">
        <v>9.178802373E9</v>
      </c>
    </row>
    <row r="2357">
      <c r="A2357" s="5" t="s">
        <v>11225</v>
      </c>
      <c r="B2357" s="1" t="s">
        <v>11226</v>
      </c>
      <c r="C2357" s="1" t="s">
        <v>11227</v>
      </c>
      <c r="D2357" s="2">
        <v>2.03246205E9</v>
      </c>
      <c r="E2357" s="1" t="s">
        <v>6599</v>
      </c>
      <c r="F2357" s="1"/>
      <c r="G2357" s="1" t="s">
        <v>1604</v>
      </c>
      <c r="H2357" s="1" t="s">
        <v>1078</v>
      </c>
      <c r="I2357" s="1">
        <v>6880.0</v>
      </c>
      <c r="J2357" s="1" t="s">
        <v>752</v>
      </c>
      <c r="K2357" s="1" t="s">
        <v>892</v>
      </c>
      <c r="L2357" s="1" t="s">
        <v>8006</v>
      </c>
      <c r="M2357" s="1">
        <v>49.0</v>
      </c>
      <c r="N2357" s="1" t="s">
        <v>1152</v>
      </c>
      <c r="O2357" s="3" t="s">
        <v>11228</v>
      </c>
      <c r="P2357" s="1" t="s">
        <v>1152</v>
      </c>
      <c r="Q2357" s="1" t="s">
        <v>1152</v>
      </c>
      <c r="R2357" s="1"/>
      <c r="S2357" s="1"/>
      <c r="T2357" s="1" t="s">
        <v>1152</v>
      </c>
      <c r="U2357" s="1" t="s">
        <v>6600</v>
      </c>
      <c r="V2357" s="4" t="s">
        <v>11228</v>
      </c>
      <c r="W2357" s="1"/>
      <c r="X2357" s="1" t="s">
        <v>1152</v>
      </c>
      <c r="Y2357" s="1" t="s">
        <v>1152</v>
      </c>
      <c r="Z2357" s="1"/>
      <c r="AA2357" s="1"/>
      <c r="AB2357" s="1"/>
      <c r="AC2357" s="1" t="s">
        <v>1925</v>
      </c>
      <c r="AD2357" s="1"/>
      <c r="AE2357" s="18">
        <v>46158.0</v>
      </c>
      <c r="AF2357" s="1" t="s">
        <v>1030</v>
      </c>
      <c r="AG2357" s="1" t="s">
        <v>52</v>
      </c>
      <c r="AH2357" s="1" t="s">
        <v>11229</v>
      </c>
      <c r="AI2357" s="1" t="s">
        <v>1152</v>
      </c>
      <c r="AJ2357" s="1" t="s">
        <v>6599</v>
      </c>
      <c r="AK2357" s="1" t="s">
        <v>1152</v>
      </c>
      <c r="AL2357" s="6"/>
      <c r="AM2357" s="12">
        <v>2.03246205E9</v>
      </c>
    </row>
    <row r="2358">
      <c r="A2358" s="5" t="s">
        <v>11230</v>
      </c>
      <c r="B2358" s="1" t="s">
        <v>11231</v>
      </c>
      <c r="C2358" s="1" t="s">
        <v>11232</v>
      </c>
      <c r="D2358" s="2">
        <v>2.092891888E9</v>
      </c>
      <c r="E2358" s="1" t="s">
        <v>11233</v>
      </c>
      <c r="F2358" s="1"/>
      <c r="G2358" s="1" t="s">
        <v>11234</v>
      </c>
      <c r="H2358" s="1" t="s">
        <v>989</v>
      </c>
      <c r="I2358" s="1">
        <v>95356.0</v>
      </c>
      <c r="J2358" s="1" t="s">
        <v>752</v>
      </c>
      <c r="K2358" s="1" t="s">
        <v>42</v>
      </c>
      <c r="L2358" s="1" t="s">
        <v>6819</v>
      </c>
      <c r="M2358" s="1">
        <v>49.0</v>
      </c>
      <c r="N2358" s="1" t="s">
        <v>1152</v>
      </c>
      <c r="O2358" s="3" t="s">
        <v>11235</v>
      </c>
      <c r="P2358" s="1" t="s">
        <v>1152</v>
      </c>
      <c r="Q2358" s="1" t="s">
        <v>1152</v>
      </c>
      <c r="R2358" s="1"/>
      <c r="S2358" s="1"/>
      <c r="T2358" s="1" t="s">
        <v>1152</v>
      </c>
      <c r="U2358" s="1" t="s">
        <v>6967</v>
      </c>
      <c r="V2358" s="4" t="s">
        <v>11235</v>
      </c>
      <c r="W2358" s="1"/>
      <c r="X2358" s="1" t="s">
        <v>1152</v>
      </c>
      <c r="Y2358" s="1" t="s">
        <v>1152</v>
      </c>
      <c r="Z2358" s="1"/>
      <c r="AA2358" s="1"/>
      <c r="AB2358" s="1"/>
      <c r="AC2358" s="1" t="s">
        <v>1925</v>
      </c>
      <c r="AD2358" s="1"/>
      <c r="AE2358" s="18">
        <v>46143.0</v>
      </c>
      <c r="AF2358" s="1" t="s">
        <v>1103</v>
      </c>
      <c r="AG2358" s="1" t="s">
        <v>52</v>
      </c>
      <c r="AH2358" s="1" t="s">
        <v>1152</v>
      </c>
      <c r="AI2358" s="1" t="s">
        <v>1152</v>
      </c>
      <c r="AJ2358" s="1" t="s">
        <v>11233</v>
      </c>
      <c r="AK2358" s="1" t="s">
        <v>1152</v>
      </c>
      <c r="AL2358" s="6"/>
      <c r="AM2358" s="12">
        <v>2.092891888E9</v>
      </c>
    </row>
    <row r="2359">
      <c r="A2359" s="5" t="s">
        <v>11236</v>
      </c>
      <c r="B2359" s="1" t="s">
        <v>11237</v>
      </c>
      <c r="C2359" s="1" t="s">
        <v>10151</v>
      </c>
      <c r="D2359" s="2">
        <v>2.014077942E9</v>
      </c>
      <c r="E2359" s="1" t="s">
        <v>1395</v>
      </c>
      <c r="F2359" s="1"/>
      <c r="G2359" s="1" t="s">
        <v>10153</v>
      </c>
      <c r="H2359" s="1" t="s">
        <v>1053</v>
      </c>
      <c r="I2359" s="1">
        <v>7746.0</v>
      </c>
      <c r="J2359" s="1" t="s">
        <v>752</v>
      </c>
      <c r="K2359" s="1" t="s">
        <v>2131</v>
      </c>
      <c r="L2359" s="1" t="s">
        <v>5767</v>
      </c>
      <c r="M2359" s="1">
        <v>1.0</v>
      </c>
      <c r="N2359" s="1" t="s">
        <v>1152</v>
      </c>
      <c r="O2359" s="3" t="s">
        <v>1398</v>
      </c>
      <c r="P2359" s="1" t="s">
        <v>1152</v>
      </c>
      <c r="Q2359" s="1" t="s">
        <v>1152</v>
      </c>
      <c r="R2359" s="1"/>
      <c r="S2359" s="1"/>
      <c r="T2359" s="1" t="s">
        <v>1152</v>
      </c>
      <c r="U2359" s="1" t="s">
        <v>1399</v>
      </c>
      <c r="V2359" s="4" t="s">
        <v>1398</v>
      </c>
      <c r="W2359" s="1"/>
      <c r="X2359" s="1" t="s">
        <v>1152</v>
      </c>
      <c r="Y2359" s="1" t="s">
        <v>1152</v>
      </c>
      <c r="Z2359" s="1"/>
      <c r="AA2359" s="1"/>
      <c r="AB2359" s="1"/>
      <c r="AC2359" s="1" t="s">
        <v>1925</v>
      </c>
      <c r="AD2359" s="1"/>
      <c r="AE2359" s="18">
        <v>46148.0</v>
      </c>
      <c r="AF2359" s="1"/>
      <c r="AG2359" s="1"/>
      <c r="AH2359" s="1" t="s">
        <v>1152</v>
      </c>
      <c r="AI2359" s="1" t="s">
        <v>1152</v>
      </c>
      <c r="AJ2359" s="1" t="s">
        <v>10152</v>
      </c>
      <c r="AK2359" s="1" t="s">
        <v>1152</v>
      </c>
      <c r="AL2359" s="6"/>
      <c r="AM2359" s="12">
        <v>2.014077942E9</v>
      </c>
    </row>
    <row r="2360">
      <c r="A2360" s="5" t="s">
        <v>11238</v>
      </c>
      <c r="B2360" s="1" t="s">
        <v>11239</v>
      </c>
      <c r="C2360" s="1" t="s">
        <v>11240</v>
      </c>
      <c r="D2360" s="2">
        <v>3.142960885E9</v>
      </c>
      <c r="E2360" s="1" t="s">
        <v>11241</v>
      </c>
      <c r="F2360" s="1"/>
      <c r="G2360" s="1" t="s">
        <v>1283</v>
      </c>
      <c r="H2360" s="1" t="s">
        <v>1155</v>
      </c>
      <c r="I2360" s="1">
        <v>63105.0</v>
      </c>
      <c r="J2360" s="1" t="s">
        <v>752</v>
      </c>
      <c r="K2360" s="1" t="s">
        <v>42</v>
      </c>
      <c r="L2360" s="1" t="s">
        <v>7863</v>
      </c>
      <c r="M2360" s="1">
        <v>79.0</v>
      </c>
      <c r="N2360" s="1" t="s">
        <v>1152</v>
      </c>
      <c r="O2360" s="3" t="s">
        <v>11242</v>
      </c>
      <c r="P2360" s="1" t="s">
        <v>1152</v>
      </c>
      <c r="Q2360" s="1" t="s">
        <v>1152</v>
      </c>
      <c r="R2360" s="1"/>
      <c r="S2360" s="1"/>
      <c r="T2360" s="1" t="s">
        <v>1152</v>
      </c>
      <c r="U2360" s="1" t="s">
        <v>6053</v>
      </c>
      <c r="V2360" s="4" t="s">
        <v>11242</v>
      </c>
      <c r="W2360" s="1"/>
      <c r="X2360" s="1" t="s">
        <v>1152</v>
      </c>
      <c r="Y2360" s="1" t="s">
        <v>1152</v>
      </c>
      <c r="Z2360" s="1"/>
      <c r="AA2360" s="1"/>
      <c r="AB2360" s="1"/>
      <c r="AC2360" s="1" t="s">
        <v>1925</v>
      </c>
      <c r="AD2360" s="1"/>
      <c r="AE2360" s="18">
        <v>46149.0</v>
      </c>
      <c r="AF2360" s="1" t="s">
        <v>1030</v>
      </c>
      <c r="AG2360" s="1" t="s">
        <v>52</v>
      </c>
      <c r="AH2360" s="1" t="s">
        <v>1152</v>
      </c>
      <c r="AI2360" s="1" t="s">
        <v>1152</v>
      </c>
      <c r="AJ2360" s="1" t="s">
        <v>11243</v>
      </c>
      <c r="AK2360" s="1" t="s">
        <v>1152</v>
      </c>
      <c r="AL2360" s="6"/>
      <c r="AM2360" s="12">
        <v>3.142960885E9</v>
      </c>
    </row>
    <row r="2361">
      <c r="A2361" s="5" t="s">
        <v>11244</v>
      </c>
      <c r="B2361" s="1" t="s">
        <v>11245</v>
      </c>
      <c r="C2361" s="1" t="s">
        <v>11246</v>
      </c>
      <c r="D2361" s="2">
        <v>3.477073688E9</v>
      </c>
      <c r="E2361" s="1" t="s">
        <v>11247</v>
      </c>
      <c r="F2361" s="1"/>
      <c r="G2361" s="1" t="s">
        <v>5177</v>
      </c>
      <c r="H2361" s="1" t="s">
        <v>751</v>
      </c>
      <c r="I2361" s="1">
        <v>11358.0</v>
      </c>
      <c r="J2361" s="1" t="s">
        <v>752</v>
      </c>
      <c r="K2361" s="1" t="s">
        <v>42</v>
      </c>
      <c r="L2361" s="1" t="s">
        <v>6819</v>
      </c>
      <c r="M2361" s="1">
        <v>49.0</v>
      </c>
      <c r="N2361" s="1" t="s">
        <v>1152</v>
      </c>
      <c r="O2361" s="3" t="s">
        <v>6174</v>
      </c>
      <c r="P2361" s="1" t="s">
        <v>1152</v>
      </c>
      <c r="Q2361" s="1" t="s">
        <v>1152</v>
      </c>
      <c r="R2361" s="1"/>
      <c r="S2361" s="1"/>
      <c r="T2361" s="1" t="s">
        <v>1152</v>
      </c>
      <c r="U2361" s="1" t="s">
        <v>956</v>
      </c>
      <c r="V2361" s="4" t="s">
        <v>6174</v>
      </c>
      <c r="W2361" s="1"/>
      <c r="X2361" s="1" t="s">
        <v>1152</v>
      </c>
      <c r="Y2361" s="1" t="s">
        <v>1152</v>
      </c>
      <c r="Z2361" s="1"/>
      <c r="AA2361" s="1"/>
      <c r="AB2361" s="1"/>
      <c r="AC2361" s="1" t="s">
        <v>1925</v>
      </c>
      <c r="AD2361" s="1"/>
      <c r="AE2361" s="18">
        <v>46146.0</v>
      </c>
      <c r="AF2361" s="1" t="s">
        <v>1103</v>
      </c>
      <c r="AG2361" s="1" t="s">
        <v>52</v>
      </c>
      <c r="AH2361" s="1" t="s">
        <v>1152</v>
      </c>
      <c r="AI2361" s="1" t="s">
        <v>1152</v>
      </c>
      <c r="AJ2361" s="1" t="s">
        <v>11247</v>
      </c>
      <c r="AK2361" s="1" t="s">
        <v>1152</v>
      </c>
      <c r="AL2361" s="6"/>
      <c r="AM2361" s="12">
        <v>3.477073688E9</v>
      </c>
    </row>
    <row r="2362">
      <c r="A2362" s="5" t="s">
        <v>11248</v>
      </c>
      <c r="B2362" s="1" t="s">
        <v>11249</v>
      </c>
      <c r="C2362" s="1" t="s">
        <v>11250</v>
      </c>
      <c r="D2362" s="2">
        <v>8.087997037E9</v>
      </c>
      <c r="E2362" s="1" t="s">
        <v>11251</v>
      </c>
      <c r="F2362" s="1"/>
      <c r="G2362" s="1" t="s">
        <v>2485</v>
      </c>
      <c r="H2362" s="1" t="s">
        <v>2486</v>
      </c>
      <c r="I2362" s="1">
        <v>96822.0</v>
      </c>
      <c r="J2362" s="1" t="s">
        <v>752</v>
      </c>
      <c r="K2362" s="1" t="s">
        <v>42</v>
      </c>
      <c r="L2362" s="1" t="s">
        <v>6819</v>
      </c>
      <c r="M2362" s="1">
        <v>49.0</v>
      </c>
      <c r="N2362" s="1" t="s">
        <v>1152</v>
      </c>
      <c r="O2362" s="3" t="s">
        <v>77</v>
      </c>
      <c r="P2362" s="1" t="s">
        <v>1152</v>
      </c>
      <c r="Q2362" s="1" t="s">
        <v>1152</v>
      </c>
      <c r="R2362" s="1"/>
      <c r="S2362" s="1"/>
      <c r="T2362" s="1" t="s">
        <v>1152</v>
      </c>
      <c r="U2362" s="1" t="s">
        <v>1039</v>
      </c>
      <c r="V2362" s="4" t="s">
        <v>77</v>
      </c>
      <c r="W2362" s="1"/>
      <c r="X2362" s="1" t="s">
        <v>1152</v>
      </c>
      <c r="Y2362" s="1" t="s">
        <v>1152</v>
      </c>
      <c r="Z2362" s="1"/>
      <c r="AA2362" s="1"/>
      <c r="AB2362" s="1"/>
      <c r="AC2362" s="1" t="s">
        <v>1925</v>
      </c>
      <c r="AD2362" s="1"/>
      <c r="AE2362" s="18">
        <v>46148.0</v>
      </c>
      <c r="AF2362" s="1" t="s">
        <v>1030</v>
      </c>
      <c r="AG2362" s="1" t="s">
        <v>52</v>
      </c>
      <c r="AH2362" s="1" t="s">
        <v>1152</v>
      </c>
      <c r="AI2362" s="1" t="s">
        <v>1152</v>
      </c>
      <c r="AJ2362" s="1" t="s">
        <v>11251</v>
      </c>
      <c r="AK2362" s="1" t="s">
        <v>1152</v>
      </c>
      <c r="AL2362" s="6"/>
      <c r="AM2362" s="12">
        <v>8.087997037E9</v>
      </c>
    </row>
    <row r="2363">
      <c r="A2363" s="5" t="s">
        <v>11252</v>
      </c>
      <c r="B2363" s="1" t="s">
        <v>11253</v>
      </c>
      <c r="C2363" s="1" t="s">
        <v>11254</v>
      </c>
      <c r="D2363" s="2">
        <v>13142677860</v>
      </c>
      <c r="E2363" s="1" t="s">
        <v>11255</v>
      </c>
      <c r="F2363" s="1"/>
      <c r="G2363" s="1" t="s">
        <v>11256</v>
      </c>
      <c r="H2363" s="1" t="s">
        <v>11257</v>
      </c>
      <c r="I2363" s="1">
        <v>302001.0</v>
      </c>
      <c r="J2363" s="1" t="s">
        <v>2187</v>
      </c>
      <c r="K2363" s="1" t="s">
        <v>42</v>
      </c>
      <c r="L2363" s="1" t="s">
        <v>7863</v>
      </c>
      <c r="M2363" s="1">
        <v>79.0</v>
      </c>
      <c r="N2363" s="1" t="s">
        <v>1152</v>
      </c>
      <c r="O2363" s="3" t="s">
        <v>11258</v>
      </c>
      <c r="P2363" s="1" t="s">
        <v>1152</v>
      </c>
      <c r="Q2363" s="1" t="s">
        <v>1152</v>
      </c>
      <c r="R2363" s="1"/>
      <c r="S2363" s="1"/>
      <c r="T2363" s="1" t="s">
        <v>1152</v>
      </c>
      <c r="U2363" s="1" t="s">
        <v>1133</v>
      </c>
      <c r="V2363" s="4" t="s">
        <v>11258</v>
      </c>
      <c r="W2363" s="1"/>
      <c r="X2363" s="1" t="s">
        <v>1152</v>
      </c>
      <c r="Y2363" s="1" t="s">
        <v>1152</v>
      </c>
      <c r="Z2363" s="1"/>
      <c r="AA2363" s="1"/>
      <c r="AB2363" s="1"/>
      <c r="AC2363" s="1" t="s">
        <v>1925</v>
      </c>
      <c r="AD2363" s="1"/>
      <c r="AE2363" s="18">
        <v>46148.0</v>
      </c>
      <c r="AF2363" s="1" t="s">
        <v>1349</v>
      </c>
      <c r="AG2363" s="1" t="s">
        <v>52</v>
      </c>
      <c r="AH2363" s="1" t="s">
        <v>1152</v>
      </c>
      <c r="AI2363" s="1" t="s">
        <v>1152</v>
      </c>
      <c r="AJ2363" s="1" t="s">
        <v>11255</v>
      </c>
      <c r="AK2363" s="1" t="s">
        <v>1152</v>
      </c>
      <c r="AL2363" s="6"/>
      <c r="AM2363" s="12">
        <v>3.14267786E9</v>
      </c>
    </row>
    <row r="2364">
      <c r="A2364" s="5" t="s">
        <v>11259</v>
      </c>
      <c r="B2364" s="1" t="s">
        <v>11260</v>
      </c>
      <c r="C2364" s="1" t="s">
        <v>11261</v>
      </c>
      <c r="D2364" s="2">
        <v>9.176609336E9</v>
      </c>
      <c r="E2364" s="1" t="s">
        <v>11262</v>
      </c>
      <c r="F2364" s="1"/>
      <c r="G2364" s="1" t="s">
        <v>5177</v>
      </c>
      <c r="H2364" s="1" t="s">
        <v>751</v>
      </c>
      <c r="I2364" s="1">
        <v>11354.0</v>
      </c>
      <c r="J2364" s="1" t="s">
        <v>752</v>
      </c>
      <c r="K2364" s="1" t="s">
        <v>42</v>
      </c>
      <c r="L2364" s="1" t="s">
        <v>6819</v>
      </c>
      <c r="M2364" s="1">
        <v>49.0</v>
      </c>
      <c r="N2364" s="1" t="s">
        <v>1152</v>
      </c>
      <c r="O2364" s="3" t="s">
        <v>11263</v>
      </c>
      <c r="P2364" s="1" t="s">
        <v>1152</v>
      </c>
      <c r="Q2364" s="1" t="s">
        <v>1152</v>
      </c>
      <c r="R2364" s="1"/>
      <c r="S2364" s="1"/>
      <c r="T2364" s="1" t="s">
        <v>1152</v>
      </c>
      <c r="U2364" s="1" t="s">
        <v>7909</v>
      </c>
      <c r="V2364" s="4" t="s">
        <v>11263</v>
      </c>
      <c r="W2364" s="1"/>
      <c r="X2364" s="1" t="s">
        <v>1152</v>
      </c>
      <c r="Y2364" s="1" t="s">
        <v>1152</v>
      </c>
      <c r="Z2364" s="1"/>
      <c r="AA2364" s="1"/>
      <c r="AB2364" s="1"/>
      <c r="AC2364" s="1" t="s">
        <v>1925</v>
      </c>
      <c r="AD2364" s="1"/>
      <c r="AE2364" s="18">
        <v>46148.0</v>
      </c>
      <c r="AF2364" s="1" t="s">
        <v>1455</v>
      </c>
      <c r="AG2364" s="1" t="s">
        <v>52</v>
      </c>
      <c r="AH2364" s="1" t="s">
        <v>1152</v>
      </c>
      <c r="AI2364" s="1" t="s">
        <v>1152</v>
      </c>
      <c r="AJ2364" s="1" t="s">
        <v>11262</v>
      </c>
      <c r="AK2364" s="1" t="s">
        <v>1152</v>
      </c>
      <c r="AL2364" s="6"/>
      <c r="AM2364" s="12">
        <v>9.176609336E9</v>
      </c>
    </row>
    <row r="2365">
      <c r="A2365" s="5" t="s">
        <v>11264</v>
      </c>
      <c r="B2365" s="1" t="s">
        <v>11265</v>
      </c>
      <c r="C2365" s="1" t="s">
        <v>11266</v>
      </c>
      <c r="D2365" s="2">
        <v>8.473385897E9</v>
      </c>
      <c r="E2365" s="1" t="s">
        <v>11267</v>
      </c>
      <c r="F2365" s="1"/>
      <c r="G2365" s="1" t="s">
        <v>11268</v>
      </c>
      <c r="H2365" s="1" t="s">
        <v>1019</v>
      </c>
      <c r="I2365" s="1">
        <v>60714.0</v>
      </c>
      <c r="J2365" s="1" t="s">
        <v>752</v>
      </c>
      <c r="K2365" s="1" t="s">
        <v>42</v>
      </c>
      <c r="L2365" s="1" t="s">
        <v>6819</v>
      </c>
      <c r="M2365" s="1">
        <v>49.0</v>
      </c>
      <c r="N2365" s="1" t="s">
        <v>1152</v>
      </c>
      <c r="O2365" s="3" t="s">
        <v>233</v>
      </c>
      <c r="P2365" s="1" t="s">
        <v>1152</v>
      </c>
      <c r="Q2365" s="1" t="s">
        <v>1152</v>
      </c>
      <c r="R2365" s="1"/>
      <c r="S2365" s="1"/>
      <c r="T2365" s="1" t="s">
        <v>1152</v>
      </c>
      <c r="U2365" s="1" t="s">
        <v>1133</v>
      </c>
      <c r="V2365" s="4" t="s">
        <v>233</v>
      </c>
      <c r="W2365" s="1"/>
      <c r="X2365" s="1" t="s">
        <v>1152</v>
      </c>
      <c r="Y2365" s="1" t="s">
        <v>1152</v>
      </c>
      <c r="Z2365" s="1"/>
      <c r="AA2365" s="1"/>
      <c r="AB2365" s="1"/>
      <c r="AC2365" s="1" t="s">
        <v>1925</v>
      </c>
      <c r="AD2365" s="1"/>
      <c r="AE2365" s="18">
        <v>46148.0</v>
      </c>
      <c r="AF2365" s="1" t="s">
        <v>3186</v>
      </c>
      <c r="AG2365" s="1" t="s">
        <v>52</v>
      </c>
      <c r="AH2365" s="1" t="s">
        <v>1152</v>
      </c>
      <c r="AI2365" s="1" t="s">
        <v>1152</v>
      </c>
      <c r="AJ2365" s="1" t="s">
        <v>11269</v>
      </c>
      <c r="AK2365" s="1" t="s">
        <v>1152</v>
      </c>
      <c r="AL2365" s="6"/>
      <c r="AM2365" s="12">
        <v>8.473726045E9</v>
      </c>
    </row>
    <row r="2366">
      <c r="A2366" s="5" t="s">
        <v>11270</v>
      </c>
      <c r="B2366" s="1" t="s">
        <v>11271</v>
      </c>
      <c r="C2366" s="1" t="s">
        <v>11272</v>
      </c>
      <c r="D2366" s="2">
        <v>6.176344803E9</v>
      </c>
      <c r="E2366" s="1" t="s">
        <v>11273</v>
      </c>
      <c r="F2366" s="1"/>
      <c r="G2366" s="1" t="s">
        <v>11274</v>
      </c>
      <c r="H2366" s="1" t="s">
        <v>1121</v>
      </c>
      <c r="I2366" s="1">
        <v>2131.0</v>
      </c>
      <c r="J2366" s="1" t="s">
        <v>752</v>
      </c>
      <c r="K2366" s="1" t="s">
        <v>42</v>
      </c>
      <c r="L2366" s="1" t="s">
        <v>6819</v>
      </c>
      <c r="M2366" s="1">
        <v>49.0</v>
      </c>
      <c r="N2366" s="1" t="s">
        <v>1152</v>
      </c>
      <c r="O2366" s="3" t="s">
        <v>287</v>
      </c>
      <c r="P2366" s="1" t="s">
        <v>1152</v>
      </c>
      <c r="Q2366" s="1" t="s">
        <v>1152</v>
      </c>
      <c r="R2366" s="1"/>
      <c r="S2366" s="1"/>
      <c r="T2366" s="1" t="s">
        <v>1152</v>
      </c>
      <c r="U2366" s="1" t="s">
        <v>1133</v>
      </c>
      <c r="V2366" s="4" t="s">
        <v>287</v>
      </c>
      <c r="W2366" s="1"/>
      <c r="X2366" s="1" t="s">
        <v>1152</v>
      </c>
      <c r="Y2366" s="1" t="s">
        <v>1152</v>
      </c>
      <c r="Z2366" s="1"/>
      <c r="AA2366" s="1"/>
      <c r="AB2366" s="1"/>
      <c r="AC2366" s="1" t="s">
        <v>1925</v>
      </c>
      <c r="AD2366" s="1"/>
      <c r="AE2366" s="18">
        <v>46147.0</v>
      </c>
      <c r="AF2366" s="1" t="s">
        <v>1030</v>
      </c>
      <c r="AG2366" s="1" t="s">
        <v>52</v>
      </c>
      <c r="AH2366" s="1" t="s">
        <v>1152</v>
      </c>
      <c r="AI2366" s="1" t="s">
        <v>1152</v>
      </c>
      <c r="AJ2366" s="1" t="s">
        <v>11273</v>
      </c>
      <c r="AK2366" s="1" t="s">
        <v>1152</v>
      </c>
      <c r="AL2366" s="6"/>
      <c r="AM2366" s="12">
        <v>6.176344803E9</v>
      </c>
    </row>
    <row r="2367">
      <c r="A2367" s="5" t="s">
        <v>11275</v>
      </c>
      <c r="B2367" s="1" t="s">
        <v>11276</v>
      </c>
      <c r="C2367" s="1" t="s">
        <v>11277</v>
      </c>
      <c r="D2367" s="2">
        <v>2.677888031E9</v>
      </c>
      <c r="E2367" s="1" t="s">
        <v>11278</v>
      </c>
      <c r="F2367" s="1"/>
      <c r="G2367" s="1" t="s">
        <v>3462</v>
      </c>
      <c r="H2367" s="1" t="s">
        <v>1233</v>
      </c>
      <c r="I2367" s="1">
        <v>19002.0</v>
      </c>
      <c r="J2367" s="1" t="s">
        <v>752</v>
      </c>
      <c r="K2367" s="1" t="s">
        <v>42</v>
      </c>
      <c r="L2367" s="1" t="s">
        <v>6819</v>
      </c>
      <c r="M2367" s="1">
        <v>49.0</v>
      </c>
      <c r="N2367" s="1" t="s">
        <v>1152</v>
      </c>
      <c r="O2367" s="3" t="s">
        <v>287</v>
      </c>
      <c r="P2367" s="1" t="s">
        <v>1152</v>
      </c>
      <c r="Q2367" s="1" t="s">
        <v>1152</v>
      </c>
      <c r="R2367" s="1"/>
      <c r="S2367" s="1"/>
      <c r="T2367" s="1" t="s">
        <v>1152</v>
      </c>
      <c r="U2367" s="1" t="s">
        <v>1133</v>
      </c>
      <c r="V2367" s="4" t="s">
        <v>287</v>
      </c>
      <c r="W2367" s="1"/>
      <c r="X2367" s="1" t="s">
        <v>1152</v>
      </c>
      <c r="Y2367" s="1" t="s">
        <v>1152</v>
      </c>
      <c r="Z2367" s="1"/>
      <c r="AA2367" s="1"/>
      <c r="AB2367" s="1"/>
      <c r="AC2367" s="1" t="s">
        <v>1925</v>
      </c>
      <c r="AD2367" s="1"/>
      <c r="AE2367" s="18">
        <v>46148.0</v>
      </c>
      <c r="AF2367" s="1" t="s">
        <v>1630</v>
      </c>
      <c r="AG2367" s="1" t="s">
        <v>52</v>
      </c>
      <c r="AH2367" s="1" t="s">
        <v>1152</v>
      </c>
      <c r="AI2367" s="1" t="s">
        <v>1152</v>
      </c>
      <c r="AJ2367" s="1" t="s">
        <v>11278</v>
      </c>
      <c r="AK2367" s="1" t="s">
        <v>1152</v>
      </c>
      <c r="AL2367" s="6"/>
      <c r="AM2367" s="12">
        <v>2.677888031E9</v>
      </c>
    </row>
    <row r="2368">
      <c r="A2368" s="5" t="s">
        <v>11279</v>
      </c>
      <c r="B2368" s="1" t="s">
        <v>11280</v>
      </c>
      <c r="C2368" s="1" t="s">
        <v>11281</v>
      </c>
      <c r="D2368" s="2">
        <v>9.178628772E9</v>
      </c>
      <c r="E2368" s="1" t="s">
        <v>7412</v>
      </c>
      <c r="F2368" s="1"/>
      <c r="G2368" s="1" t="s">
        <v>11282</v>
      </c>
      <c r="H2368" s="1" t="s">
        <v>751</v>
      </c>
      <c r="I2368" s="1">
        <v>11976.0</v>
      </c>
      <c r="J2368" s="1" t="s">
        <v>752</v>
      </c>
      <c r="K2368" s="1" t="s">
        <v>42</v>
      </c>
      <c r="L2368" s="1" t="s">
        <v>6819</v>
      </c>
      <c r="M2368" s="1">
        <v>49.0</v>
      </c>
      <c r="N2368" s="1" t="s">
        <v>1152</v>
      </c>
      <c r="O2368" s="3" t="s">
        <v>7286</v>
      </c>
      <c r="P2368" s="1" t="s">
        <v>1152</v>
      </c>
      <c r="Q2368" s="1" t="s">
        <v>1152</v>
      </c>
      <c r="R2368" s="1"/>
      <c r="S2368" s="1"/>
      <c r="T2368" s="1" t="s">
        <v>1152</v>
      </c>
      <c r="U2368" s="1" t="s">
        <v>1399</v>
      </c>
      <c r="V2368" s="4" t="s">
        <v>7286</v>
      </c>
      <c r="W2368" s="1"/>
      <c r="X2368" s="1" t="s">
        <v>1152</v>
      </c>
      <c r="Y2368" s="1" t="s">
        <v>1152</v>
      </c>
      <c r="Z2368" s="1"/>
      <c r="AA2368" s="1"/>
      <c r="AB2368" s="1"/>
      <c r="AC2368" s="1" t="s">
        <v>1925</v>
      </c>
      <c r="AD2368" s="1"/>
      <c r="AE2368" s="18">
        <v>46144.0</v>
      </c>
      <c r="AF2368" s="1" t="s">
        <v>1030</v>
      </c>
      <c r="AG2368" s="1" t="s">
        <v>52</v>
      </c>
      <c r="AH2368" s="1" t="s">
        <v>1152</v>
      </c>
      <c r="AI2368" s="1" t="s">
        <v>1152</v>
      </c>
      <c r="AJ2368" s="1" t="s">
        <v>7412</v>
      </c>
      <c r="AK2368" s="1" t="s">
        <v>1152</v>
      </c>
      <c r="AL2368" s="6"/>
      <c r="AM2368" s="12">
        <v>9.178628772E9</v>
      </c>
    </row>
    <row r="2369">
      <c r="A2369" s="5" t="s">
        <v>11283</v>
      </c>
      <c r="B2369" s="1" t="s">
        <v>11284</v>
      </c>
      <c r="C2369" s="1" t="s">
        <v>11285</v>
      </c>
      <c r="D2369" s="2">
        <v>2.058954063E9</v>
      </c>
      <c r="E2369" s="1" t="s">
        <v>11286</v>
      </c>
      <c r="F2369" s="1"/>
      <c r="G2369" s="1" t="s">
        <v>11287</v>
      </c>
      <c r="H2369" s="1" t="s">
        <v>1086</v>
      </c>
      <c r="I2369" s="1">
        <v>35223.0</v>
      </c>
      <c r="J2369" s="1" t="s">
        <v>752</v>
      </c>
      <c r="K2369" s="1" t="s">
        <v>42</v>
      </c>
      <c r="L2369" s="1" t="s">
        <v>6819</v>
      </c>
      <c r="M2369" s="1">
        <v>49.0</v>
      </c>
      <c r="N2369" s="1" t="s">
        <v>1152</v>
      </c>
      <c r="O2369" s="3" t="s">
        <v>3481</v>
      </c>
      <c r="P2369" s="1" t="s">
        <v>1152</v>
      </c>
      <c r="Q2369" s="1" t="s">
        <v>1152</v>
      </c>
      <c r="R2369" s="1"/>
      <c r="S2369" s="1"/>
      <c r="T2369" s="1" t="s">
        <v>1152</v>
      </c>
      <c r="U2369" s="1" t="s">
        <v>956</v>
      </c>
      <c r="V2369" s="4" t="s">
        <v>3481</v>
      </c>
      <c r="W2369" s="1"/>
      <c r="X2369" s="1" t="s">
        <v>1152</v>
      </c>
      <c r="Y2369" s="1" t="s">
        <v>1152</v>
      </c>
      <c r="Z2369" s="1"/>
      <c r="AA2369" s="1"/>
      <c r="AB2369" s="1"/>
      <c r="AC2369" s="1" t="s">
        <v>1925</v>
      </c>
      <c r="AD2369" s="1"/>
      <c r="AE2369" s="18">
        <v>46147.0</v>
      </c>
      <c r="AF2369" s="1" t="s">
        <v>1103</v>
      </c>
      <c r="AG2369" s="1" t="s">
        <v>52</v>
      </c>
      <c r="AH2369" s="1" t="s">
        <v>1152</v>
      </c>
      <c r="AI2369" s="1" t="s">
        <v>1152</v>
      </c>
      <c r="AJ2369" s="1" t="s">
        <v>11288</v>
      </c>
      <c r="AK2369" s="1" t="s">
        <v>1152</v>
      </c>
      <c r="AL2369" s="6"/>
      <c r="AM2369" s="12">
        <v>2.058954063E9</v>
      </c>
    </row>
    <row r="2370">
      <c r="A2370" s="5" t="s">
        <v>11289</v>
      </c>
      <c r="B2370" s="1" t="s">
        <v>11290</v>
      </c>
      <c r="C2370" s="1" t="s">
        <v>11291</v>
      </c>
      <c r="D2370" s="2">
        <v>7.867170437E9</v>
      </c>
      <c r="E2370" s="1" t="s">
        <v>11292</v>
      </c>
      <c r="F2370" s="1"/>
      <c r="G2370" s="1" t="s">
        <v>1283</v>
      </c>
      <c r="H2370" s="1" t="s">
        <v>1155</v>
      </c>
      <c r="I2370" s="1">
        <v>63105.0</v>
      </c>
      <c r="J2370" s="1" t="s">
        <v>752</v>
      </c>
      <c r="K2370" s="1" t="s">
        <v>42</v>
      </c>
      <c r="L2370" s="1" t="s">
        <v>6819</v>
      </c>
      <c r="M2370" s="1">
        <v>49.0</v>
      </c>
      <c r="N2370" s="1" t="s">
        <v>1152</v>
      </c>
      <c r="O2370" s="3" t="s">
        <v>353</v>
      </c>
      <c r="P2370" s="1" t="s">
        <v>1152</v>
      </c>
      <c r="Q2370" s="1" t="s">
        <v>1152</v>
      </c>
      <c r="R2370" s="1"/>
      <c r="S2370" s="1"/>
      <c r="T2370" s="1" t="s">
        <v>1152</v>
      </c>
      <c r="U2370" s="1" t="s">
        <v>1148</v>
      </c>
      <c r="V2370" s="4" t="s">
        <v>353</v>
      </c>
      <c r="W2370" s="1"/>
      <c r="X2370" s="1" t="s">
        <v>1152</v>
      </c>
      <c r="Y2370" s="1" t="s">
        <v>1152</v>
      </c>
      <c r="Z2370" s="1"/>
      <c r="AA2370" s="1"/>
      <c r="AB2370" s="1"/>
      <c r="AC2370" s="1" t="s">
        <v>1925</v>
      </c>
      <c r="AD2370" s="1"/>
      <c r="AE2370" s="18">
        <v>46148.0</v>
      </c>
      <c r="AF2370" s="1" t="s">
        <v>1455</v>
      </c>
      <c r="AG2370" s="1" t="s">
        <v>52</v>
      </c>
      <c r="AH2370" s="1" t="s">
        <v>1152</v>
      </c>
      <c r="AI2370" s="1" t="s">
        <v>1152</v>
      </c>
      <c r="AJ2370" s="1" t="s">
        <v>11292</v>
      </c>
      <c r="AK2370" s="1" t="s">
        <v>1152</v>
      </c>
      <c r="AL2370" s="6"/>
      <c r="AM2370" s="12">
        <v>7.867170437E9</v>
      </c>
    </row>
    <row r="2371">
      <c r="A2371" s="5" t="s">
        <v>11293</v>
      </c>
      <c r="B2371" s="1" t="s">
        <v>11294</v>
      </c>
      <c r="C2371" s="1" t="s">
        <v>11295</v>
      </c>
      <c r="D2371" s="2">
        <v>4.165709784E9</v>
      </c>
      <c r="E2371" s="1" t="s">
        <v>7283</v>
      </c>
      <c r="F2371" s="1"/>
      <c r="G2371" s="1" t="s">
        <v>7284</v>
      </c>
      <c r="H2371" s="1" t="s">
        <v>3580</v>
      </c>
      <c r="I2371" s="1" t="s">
        <v>7285</v>
      </c>
      <c r="J2371" s="1" t="s">
        <v>3582</v>
      </c>
      <c r="K2371" s="1" t="s">
        <v>42</v>
      </c>
      <c r="L2371" s="1" t="s">
        <v>6819</v>
      </c>
      <c r="M2371" s="1">
        <v>49.0</v>
      </c>
      <c r="N2371" s="1" t="s">
        <v>1152</v>
      </c>
      <c r="O2371" s="3" t="s">
        <v>4142</v>
      </c>
      <c r="P2371" s="1" t="s">
        <v>1152</v>
      </c>
      <c r="Q2371" s="1" t="s">
        <v>1152</v>
      </c>
      <c r="R2371" s="1"/>
      <c r="S2371" s="1"/>
      <c r="T2371" s="1" t="s">
        <v>1152</v>
      </c>
      <c r="U2371" s="1" t="s">
        <v>1399</v>
      </c>
      <c r="V2371" s="4" t="s">
        <v>4142</v>
      </c>
      <c r="W2371" s="1"/>
      <c r="X2371" s="1" t="s">
        <v>1152</v>
      </c>
      <c r="Y2371" s="1" t="s">
        <v>1152</v>
      </c>
      <c r="Z2371" s="1"/>
      <c r="AA2371" s="1"/>
      <c r="AB2371" s="1"/>
      <c r="AC2371" s="1" t="s">
        <v>1925</v>
      </c>
      <c r="AD2371" s="1"/>
      <c r="AE2371" s="18">
        <v>46143.0</v>
      </c>
      <c r="AF2371" s="1" t="s">
        <v>1630</v>
      </c>
      <c r="AG2371" s="1" t="s">
        <v>52</v>
      </c>
      <c r="AH2371" s="1" t="s">
        <v>1152</v>
      </c>
      <c r="AI2371" s="1" t="s">
        <v>1152</v>
      </c>
      <c r="AJ2371" s="1" t="s">
        <v>7287</v>
      </c>
      <c r="AK2371" s="1" t="s">
        <v>1152</v>
      </c>
      <c r="AL2371" s="6"/>
      <c r="AM2371" s="12">
        <v>6.472840842E9</v>
      </c>
    </row>
    <row r="2372">
      <c r="A2372" s="5" t="s">
        <v>11296</v>
      </c>
      <c r="B2372" s="1" t="s">
        <v>11297</v>
      </c>
      <c r="C2372" s="1" t="s">
        <v>2054</v>
      </c>
      <c r="D2372" s="2">
        <v>9.495733262E9</v>
      </c>
      <c r="E2372" s="1" t="s">
        <v>6203</v>
      </c>
      <c r="F2372" s="1"/>
      <c r="G2372" s="1" t="s">
        <v>11298</v>
      </c>
      <c r="H2372" s="1" t="s">
        <v>1121</v>
      </c>
      <c r="I2372" s="1">
        <v>2421.0</v>
      </c>
      <c r="J2372" s="1" t="s">
        <v>752</v>
      </c>
      <c r="K2372" s="1" t="s">
        <v>2131</v>
      </c>
      <c r="L2372" s="1" t="s">
        <v>5811</v>
      </c>
      <c r="M2372" s="1">
        <v>1.0</v>
      </c>
      <c r="N2372" s="1" t="s">
        <v>1152</v>
      </c>
      <c r="O2372" s="3" t="s">
        <v>2057</v>
      </c>
      <c r="P2372" s="1" t="s">
        <v>1152</v>
      </c>
      <c r="Q2372" s="1" t="s">
        <v>1152</v>
      </c>
      <c r="R2372" s="1"/>
      <c r="S2372" s="1"/>
      <c r="T2372" s="1" t="s">
        <v>1152</v>
      </c>
      <c r="U2372" s="1" t="s">
        <v>1133</v>
      </c>
      <c r="V2372" s="4" t="s">
        <v>2057</v>
      </c>
      <c r="W2372" s="1"/>
      <c r="X2372" s="1" t="s">
        <v>1152</v>
      </c>
      <c r="Y2372" s="1" t="s">
        <v>1152</v>
      </c>
      <c r="Z2372" s="1"/>
      <c r="AA2372" s="1"/>
      <c r="AB2372" s="1"/>
      <c r="AC2372" s="1" t="s">
        <v>1925</v>
      </c>
      <c r="AD2372" s="1"/>
      <c r="AE2372" s="18">
        <v>46149.0</v>
      </c>
      <c r="AF2372" s="1"/>
      <c r="AG2372" s="1"/>
      <c r="AH2372" s="1" t="s">
        <v>1152</v>
      </c>
      <c r="AI2372" s="1" t="s">
        <v>1152</v>
      </c>
      <c r="AJ2372" s="1" t="s">
        <v>2055</v>
      </c>
      <c r="AK2372" s="1" t="s">
        <v>1152</v>
      </c>
      <c r="AL2372" s="6"/>
      <c r="AM2372" s="12">
        <v>7.813255368E9</v>
      </c>
    </row>
    <row r="2373">
      <c r="A2373" s="5" t="s">
        <v>11299</v>
      </c>
      <c r="B2373" s="1" t="s">
        <v>11300</v>
      </c>
      <c r="C2373" s="1" t="s">
        <v>11301</v>
      </c>
      <c r="D2373" s="2">
        <v>9.17628184E9</v>
      </c>
      <c r="E2373" s="1" t="s">
        <v>11302</v>
      </c>
      <c r="F2373" s="1"/>
      <c r="G2373" s="1" t="s">
        <v>7137</v>
      </c>
      <c r="H2373" s="1" t="s">
        <v>751</v>
      </c>
      <c r="I2373" s="1">
        <v>10580.0</v>
      </c>
      <c r="J2373" s="1" t="s">
        <v>752</v>
      </c>
      <c r="K2373" s="1" t="s">
        <v>95</v>
      </c>
      <c r="L2373" s="1" t="s">
        <v>5820</v>
      </c>
      <c r="M2373" s="1">
        <v>49.0</v>
      </c>
      <c r="N2373" s="1" t="s">
        <v>2461</v>
      </c>
      <c r="O2373" s="3" t="s">
        <v>11303</v>
      </c>
      <c r="P2373" s="18">
        <v>46248.0</v>
      </c>
      <c r="Q2373" s="1" t="s">
        <v>2463</v>
      </c>
      <c r="R2373" s="1"/>
      <c r="S2373" s="1" t="s">
        <v>52</v>
      </c>
      <c r="T2373" s="1" t="s">
        <v>2461</v>
      </c>
      <c r="U2373" s="1" t="s">
        <v>102</v>
      </c>
      <c r="V2373" s="4" t="s">
        <v>11303</v>
      </c>
      <c r="W2373" s="1"/>
      <c r="X2373" s="18">
        <v>46248.0</v>
      </c>
      <c r="Y2373" s="1" t="s">
        <v>2463</v>
      </c>
      <c r="Z2373" s="1"/>
      <c r="AA2373" s="1"/>
      <c r="AB2373" s="1" t="s">
        <v>52</v>
      </c>
      <c r="AC2373" s="1" t="s">
        <v>11304</v>
      </c>
      <c r="AD2373" s="1"/>
      <c r="AE2373" s="1" t="s">
        <v>1152</v>
      </c>
      <c r="AF2373" s="1"/>
      <c r="AG2373" s="1"/>
      <c r="AH2373" s="1" t="s">
        <v>1152</v>
      </c>
      <c r="AI2373" s="1" t="s">
        <v>1152</v>
      </c>
      <c r="AJ2373" s="1" t="s">
        <v>11305</v>
      </c>
      <c r="AK2373" s="1" t="s">
        <v>1152</v>
      </c>
      <c r="AL2373" s="6"/>
      <c r="AM2373" s="12">
        <v>9.145121219E9</v>
      </c>
    </row>
    <row r="2374">
      <c r="A2374" s="5" t="s">
        <v>11306</v>
      </c>
      <c r="B2374" s="1" t="s">
        <v>11307</v>
      </c>
      <c r="C2374" s="1" t="s">
        <v>1981</v>
      </c>
      <c r="D2374" s="2">
        <v>9.499109206E9</v>
      </c>
      <c r="E2374" s="1" t="s">
        <v>1982</v>
      </c>
      <c r="F2374" s="1"/>
      <c r="G2374" s="1" t="s">
        <v>1983</v>
      </c>
      <c r="H2374" s="1" t="s">
        <v>989</v>
      </c>
      <c r="I2374" s="1" t="s">
        <v>11308</v>
      </c>
      <c r="J2374" s="1" t="s">
        <v>752</v>
      </c>
      <c r="K2374" s="1" t="s">
        <v>42</v>
      </c>
      <c r="L2374" s="1" t="s">
        <v>6819</v>
      </c>
      <c r="M2374" s="1">
        <v>49.0</v>
      </c>
      <c r="N2374" s="1" t="s">
        <v>1152</v>
      </c>
      <c r="O2374" s="3" t="s">
        <v>1423</v>
      </c>
      <c r="P2374" s="1" t="s">
        <v>1152</v>
      </c>
      <c r="Q2374" s="1" t="s">
        <v>1152</v>
      </c>
      <c r="R2374" s="1"/>
      <c r="S2374" s="1"/>
      <c r="T2374" s="1" t="s">
        <v>1152</v>
      </c>
      <c r="U2374" s="1" t="s">
        <v>1376</v>
      </c>
      <c r="V2374" s="4" t="s">
        <v>1423</v>
      </c>
      <c r="W2374" s="1"/>
      <c r="X2374" s="1" t="s">
        <v>1152</v>
      </c>
      <c r="Y2374" s="1" t="s">
        <v>1152</v>
      </c>
      <c r="Z2374" s="1"/>
      <c r="AA2374" s="1"/>
      <c r="AB2374" s="1"/>
      <c r="AC2374" s="1" t="s">
        <v>1925</v>
      </c>
      <c r="AD2374" s="1"/>
      <c r="AE2374" s="18">
        <v>46148.0</v>
      </c>
      <c r="AF2374" s="1" t="s">
        <v>1349</v>
      </c>
      <c r="AG2374" s="1" t="s">
        <v>52</v>
      </c>
      <c r="AH2374" s="1" t="s">
        <v>1152</v>
      </c>
      <c r="AI2374" s="1" t="s">
        <v>1152</v>
      </c>
      <c r="AJ2374" s="1" t="s">
        <v>1982</v>
      </c>
      <c r="AK2374" s="1" t="s">
        <v>1152</v>
      </c>
      <c r="AL2374" s="6"/>
      <c r="AM2374" s="12">
        <v>9.499109206E9</v>
      </c>
    </row>
    <row r="2375">
      <c r="A2375" s="5" t="s">
        <v>11309</v>
      </c>
      <c r="B2375" s="1" t="s">
        <v>11310</v>
      </c>
      <c r="C2375" s="1" t="s">
        <v>11311</v>
      </c>
      <c r="D2375" s="2">
        <v>4.049520464E9</v>
      </c>
      <c r="E2375" s="1" t="s">
        <v>11312</v>
      </c>
      <c r="F2375" s="1"/>
      <c r="G2375" s="1" t="s">
        <v>11313</v>
      </c>
      <c r="H2375" s="1" t="s">
        <v>946</v>
      </c>
      <c r="I2375" s="1" t="s">
        <v>11314</v>
      </c>
      <c r="J2375" s="1" t="s">
        <v>752</v>
      </c>
      <c r="K2375" s="1" t="s">
        <v>42</v>
      </c>
      <c r="L2375" s="1" t="s">
        <v>6819</v>
      </c>
      <c r="M2375" s="1">
        <v>49.0</v>
      </c>
      <c r="N2375" s="1" t="s">
        <v>1152</v>
      </c>
      <c r="O2375" s="3" t="s">
        <v>8941</v>
      </c>
      <c r="P2375" s="1" t="s">
        <v>1152</v>
      </c>
      <c r="Q2375" s="1" t="s">
        <v>1152</v>
      </c>
      <c r="R2375" s="1"/>
      <c r="S2375" s="1"/>
      <c r="T2375" s="1" t="s">
        <v>1152</v>
      </c>
      <c r="U2375" s="1" t="s">
        <v>956</v>
      </c>
      <c r="V2375" s="4" t="s">
        <v>8941</v>
      </c>
      <c r="W2375" s="1"/>
      <c r="X2375" s="1" t="s">
        <v>1152</v>
      </c>
      <c r="Y2375" s="1" t="s">
        <v>1152</v>
      </c>
      <c r="Z2375" s="1"/>
      <c r="AA2375" s="1"/>
      <c r="AB2375" s="1"/>
      <c r="AC2375" s="1" t="s">
        <v>1925</v>
      </c>
      <c r="AD2375" s="1"/>
      <c r="AE2375" s="18">
        <v>46144.0</v>
      </c>
      <c r="AF2375" s="1" t="s">
        <v>1349</v>
      </c>
      <c r="AG2375" s="1" t="s">
        <v>52</v>
      </c>
      <c r="AH2375" s="1" t="s">
        <v>1152</v>
      </c>
      <c r="AI2375" s="1" t="s">
        <v>1152</v>
      </c>
      <c r="AJ2375" s="1" t="s">
        <v>11312</v>
      </c>
      <c r="AK2375" s="1" t="s">
        <v>1152</v>
      </c>
      <c r="AL2375" s="6"/>
      <c r="AM2375" s="12">
        <v>4.049520464E9</v>
      </c>
    </row>
    <row r="2376">
      <c r="A2376" s="5" t="s">
        <v>11315</v>
      </c>
      <c r="B2376" s="1" t="s">
        <v>11316</v>
      </c>
      <c r="C2376" s="1" t="s">
        <v>11317</v>
      </c>
      <c r="D2376" s="2">
        <v>3.018280427E9</v>
      </c>
      <c r="E2376" s="1" t="s">
        <v>11318</v>
      </c>
      <c r="F2376" s="1"/>
      <c r="G2376" s="1" t="s">
        <v>5431</v>
      </c>
      <c r="H2376" s="1" t="s">
        <v>1005</v>
      </c>
      <c r="I2376" s="1">
        <v>20854.0</v>
      </c>
      <c r="J2376" s="1" t="s">
        <v>752</v>
      </c>
      <c r="K2376" s="1" t="s">
        <v>42</v>
      </c>
      <c r="L2376" s="1" t="s">
        <v>6819</v>
      </c>
      <c r="M2376" s="1">
        <v>49.0</v>
      </c>
      <c r="N2376" s="1" t="s">
        <v>1152</v>
      </c>
      <c r="O2376" s="3" t="s">
        <v>3719</v>
      </c>
      <c r="P2376" s="1" t="s">
        <v>1152</v>
      </c>
      <c r="Q2376" s="1" t="s">
        <v>1152</v>
      </c>
      <c r="R2376" s="1"/>
      <c r="S2376" s="1"/>
      <c r="T2376" s="1" t="s">
        <v>1152</v>
      </c>
      <c r="U2376" s="1" t="s">
        <v>982</v>
      </c>
      <c r="V2376" s="4" t="s">
        <v>3719</v>
      </c>
      <c r="W2376" s="1"/>
      <c r="X2376" s="1" t="s">
        <v>1152</v>
      </c>
      <c r="Y2376" s="1" t="s">
        <v>1152</v>
      </c>
      <c r="Z2376" s="1"/>
      <c r="AA2376" s="1"/>
      <c r="AB2376" s="1"/>
      <c r="AC2376" s="1" t="s">
        <v>1925</v>
      </c>
      <c r="AD2376" s="1"/>
      <c r="AE2376" s="18">
        <v>46148.0</v>
      </c>
      <c r="AF2376" s="1" t="s">
        <v>1030</v>
      </c>
      <c r="AG2376" s="1" t="s">
        <v>52</v>
      </c>
      <c r="AH2376" s="1" t="s">
        <v>1152</v>
      </c>
      <c r="AI2376" s="1" t="s">
        <v>1152</v>
      </c>
      <c r="AJ2376" s="1" t="s">
        <v>11319</v>
      </c>
      <c r="AK2376" s="1" t="s">
        <v>1152</v>
      </c>
      <c r="AL2376" s="6"/>
      <c r="AM2376" s="12">
        <v>3.018280427E9</v>
      </c>
    </row>
    <row r="2377">
      <c r="A2377" s="5" t="s">
        <v>11320</v>
      </c>
      <c r="B2377" s="1" t="s">
        <v>11321</v>
      </c>
      <c r="C2377" s="1" t="s">
        <v>2231</v>
      </c>
      <c r="D2377" s="2">
        <v>8.327211089E9</v>
      </c>
      <c r="E2377" s="1" t="s">
        <v>2232</v>
      </c>
      <c r="F2377" s="1"/>
      <c r="G2377" s="1" t="s">
        <v>2233</v>
      </c>
      <c r="H2377" s="1" t="s">
        <v>1583</v>
      </c>
      <c r="I2377" s="1">
        <v>77429.0</v>
      </c>
      <c r="J2377" s="1" t="s">
        <v>752</v>
      </c>
      <c r="K2377" s="1" t="s">
        <v>42</v>
      </c>
      <c r="L2377" s="1" t="s">
        <v>8393</v>
      </c>
      <c r="M2377" s="1">
        <v>109.0</v>
      </c>
      <c r="N2377" s="1" t="s">
        <v>1152</v>
      </c>
      <c r="O2377" s="3" t="s">
        <v>2235</v>
      </c>
      <c r="P2377" s="1" t="s">
        <v>1152</v>
      </c>
      <c r="Q2377" s="1" t="s">
        <v>1152</v>
      </c>
      <c r="R2377" s="1"/>
      <c r="S2377" s="1"/>
      <c r="T2377" s="1" t="s">
        <v>1152</v>
      </c>
      <c r="U2377" s="1" t="s">
        <v>2236</v>
      </c>
      <c r="V2377" s="4" t="s">
        <v>2235</v>
      </c>
      <c r="W2377" s="1"/>
      <c r="X2377" s="1" t="s">
        <v>1152</v>
      </c>
      <c r="Y2377" s="1" t="s">
        <v>1152</v>
      </c>
      <c r="Z2377" s="1"/>
      <c r="AA2377" s="1"/>
      <c r="AB2377" s="1"/>
      <c r="AC2377" s="1" t="s">
        <v>1925</v>
      </c>
      <c r="AD2377" s="1"/>
      <c r="AE2377" s="18">
        <v>46151.0</v>
      </c>
      <c r="AF2377" s="1" t="s">
        <v>1030</v>
      </c>
      <c r="AG2377" s="1" t="s">
        <v>52</v>
      </c>
      <c r="AH2377" s="1" t="s">
        <v>1152</v>
      </c>
      <c r="AI2377" s="1" t="s">
        <v>11322</v>
      </c>
      <c r="AJ2377" s="1" t="s">
        <v>11323</v>
      </c>
      <c r="AK2377" s="1" t="s">
        <v>1152</v>
      </c>
      <c r="AL2377" s="6"/>
      <c r="AM2377" s="12">
        <v>8.327646569E9</v>
      </c>
    </row>
    <row r="2378">
      <c r="A2378" s="5" t="s">
        <v>11324</v>
      </c>
      <c r="B2378" s="1" t="s">
        <v>11325</v>
      </c>
      <c r="C2378" s="1" t="s">
        <v>11326</v>
      </c>
      <c r="D2378" s="2">
        <v>3.142248424E9</v>
      </c>
      <c r="E2378" s="1" t="s">
        <v>11327</v>
      </c>
      <c r="F2378" s="1"/>
      <c r="G2378" s="1" t="s">
        <v>2350</v>
      </c>
      <c r="H2378" s="1" t="s">
        <v>1155</v>
      </c>
      <c r="I2378" s="1">
        <v>63130.0</v>
      </c>
      <c r="J2378" s="1" t="s">
        <v>752</v>
      </c>
      <c r="K2378" s="1" t="s">
        <v>42</v>
      </c>
      <c r="L2378" s="1" t="s">
        <v>6819</v>
      </c>
      <c r="M2378" s="1">
        <v>49.0</v>
      </c>
      <c r="N2378" s="1" t="s">
        <v>1152</v>
      </c>
      <c r="O2378" s="3" t="s">
        <v>9212</v>
      </c>
      <c r="P2378" s="1" t="s">
        <v>1152</v>
      </c>
      <c r="Q2378" s="1" t="s">
        <v>1152</v>
      </c>
      <c r="R2378" s="1"/>
      <c r="S2378" s="1"/>
      <c r="T2378" s="1" t="s">
        <v>1152</v>
      </c>
      <c r="U2378" s="1" t="s">
        <v>1376</v>
      </c>
      <c r="V2378" s="4" t="s">
        <v>9212</v>
      </c>
      <c r="W2378" s="1"/>
      <c r="X2378" s="1" t="s">
        <v>1152</v>
      </c>
      <c r="Y2378" s="1" t="s">
        <v>1152</v>
      </c>
      <c r="Z2378" s="1"/>
      <c r="AA2378" s="1"/>
      <c r="AB2378" s="1"/>
      <c r="AC2378" s="1" t="s">
        <v>1925</v>
      </c>
      <c r="AD2378" s="1"/>
      <c r="AE2378" s="18">
        <v>46148.0</v>
      </c>
      <c r="AF2378" s="1" t="s">
        <v>1349</v>
      </c>
      <c r="AG2378" s="1" t="s">
        <v>52</v>
      </c>
      <c r="AH2378" s="1" t="s">
        <v>1152</v>
      </c>
      <c r="AI2378" s="1" t="s">
        <v>1152</v>
      </c>
      <c r="AJ2378" s="1" t="s">
        <v>11328</v>
      </c>
      <c r="AK2378" s="1" t="s">
        <v>1152</v>
      </c>
      <c r="AL2378" s="6"/>
      <c r="AM2378" s="12">
        <v>3.142248424E9</v>
      </c>
    </row>
    <row r="2379">
      <c r="A2379" s="5" t="s">
        <v>11329</v>
      </c>
      <c r="B2379" s="1" t="s">
        <v>11330</v>
      </c>
      <c r="C2379" s="1" t="s">
        <v>11331</v>
      </c>
      <c r="D2379" s="2">
        <v>9.175021828E9</v>
      </c>
      <c r="E2379" s="1" t="s">
        <v>11332</v>
      </c>
      <c r="F2379" s="1"/>
      <c r="G2379" s="1" t="s">
        <v>751</v>
      </c>
      <c r="H2379" s="1" t="s">
        <v>751</v>
      </c>
      <c r="I2379" s="1">
        <v>10128.0</v>
      </c>
      <c r="J2379" s="1" t="s">
        <v>752</v>
      </c>
      <c r="K2379" s="1" t="s">
        <v>42</v>
      </c>
      <c r="L2379" s="1" t="s">
        <v>6819</v>
      </c>
      <c r="M2379" s="1">
        <v>49.0</v>
      </c>
      <c r="N2379" s="1" t="s">
        <v>1152</v>
      </c>
      <c r="O2379" s="3" t="s">
        <v>9102</v>
      </c>
      <c r="P2379" s="1" t="s">
        <v>1152</v>
      </c>
      <c r="Q2379" s="1" t="s">
        <v>1152</v>
      </c>
      <c r="R2379" s="1"/>
      <c r="S2379" s="1"/>
      <c r="T2379" s="1" t="s">
        <v>1152</v>
      </c>
      <c r="U2379" s="1" t="s">
        <v>1399</v>
      </c>
      <c r="V2379" s="4" t="s">
        <v>9102</v>
      </c>
      <c r="W2379" s="1"/>
      <c r="X2379" s="1" t="s">
        <v>1152</v>
      </c>
      <c r="Y2379" s="1" t="s">
        <v>1152</v>
      </c>
      <c r="Z2379" s="1"/>
      <c r="AA2379" s="1"/>
      <c r="AB2379" s="1"/>
      <c r="AC2379" s="1" t="s">
        <v>1925</v>
      </c>
      <c r="AD2379" s="1"/>
      <c r="AE2379" s="18">
        <v>46146.0</v>
      </c>
      <c r="AF2379" s="1" t="s">
        <v>1030</v>
      </c>
      <c r="AG2379" s="1" t="s">
        <v>52</v>
      </c>
      <c r="AH2379" s="1" t="s">
        <v>1152</v>
      </c>
      <c r="AI2379" s="1" t="s">
        <v>11333</v>
      </c>
      <c r="AJ2379" s="1" t="s">
        <v>5989</v>
      </c>
      <c r="AK2379" s="1" t="s">
        <v>1152</v>
      </c>
      <c r="AL2379" s="6"/>
      <c r="AM2379" s="12">
        <v>3.474437101E9</v>
      </c>
    </row>
    <row r="2380">
      <c r="A2380" s="5" t="s">
        <v>11334</v>
      </c>
      <c r="B2380" s="1" t="s">
        <v>11335</v>
      </c>
      <c r="C2380" s="1" t="s">
        <v>11336</v>
      </c>
      <c r="D2380" s="2">
        <v>4.433813194E9</v>
      </c>
      <c r="E2380" s="1" t="s">
        <v>11337</v>
      </c>
      <c r="F2380" s="1"/>
      <c r="G2380" s="1" t="s">
        <v>2673</v>
      </c>
      <c r="H2380" s="1" t="s">
        <v>1005</v>
      </c>
      <c r="I2380" s="1">
        <v>21131.0</v>
      </c>
      <c r="J2380" s="1" t="s">
        <v>752</v>
      </c>
      <c r="K2380" s="1" t="s">
        <v>42</v>
      </c>
      <c r="L2380" s="1" t="s">
        <v>6819</v>
      </c>
      <c r="M2380" s="1">
        <v>49.0</v>
      </c>
      <c r="N2380" s="1" t="s">
        <v>1152</v>
      </c>
      <c r="O2380" s="3" t="s">
        <v>5827</v>
      </c>
      <c r="P2380" s="1" t="s">
        <v>1152</v>
      </c>
      <c r="Q2380" s="1" t="s">
        <v>1152</v>
      </c>
      <c r="R2380" s="1"/>
      <c r="S2380" s="1"/>
      <c r="T2380" s="1" t="s">
        <v>1152</v>
      </c>
      <c r="U2380" s="1" t="s">
        <v>6053</v>
      </c>
      <c r="V2380" s="4" t="s">
        <v>5827</v>
      </c>
      <c r="W2380" s="1"/>
      <c r="X2380" s="1" t="s">
        <v>1152</v>
      </c>
      <c r="Y2380" s="1" t="s">
        <v>1152</v>
      </c>
      <c r="Z2380" s="1"/>
      <c r="AA2380" s="1"/>
      <c r="AB2380" s="1"/>
      <c r="AC2380" s="1" t="s">
        <v>1925</v>
      </c>
      <c r="AD2380" s="1"/>
      <c r="AE2380" s="18">
        <v>46149.0</v>
      </c>
      <c r="AF2380" s="1" t="s">
        <v>1030</v>
      </c>
      <c r="AG2380" s="1" t="s">
        <v>52</v>
      </c>
      <c r="AH2380" s="1" t="s">
        <v>1152</v>
      </c>
      <c r="AI2380" s="1" t="s">
        <v>1152</v>
      </c>
      <c r="AJ2380" s="1" t="s">
        <v>11337</v>
      </c>
      <c r="AK2380" s="1" t="s">
        <v>1152</v>
      </c>
      <c r="AL2380" s="6"/>
      <c r="AM2380" s="12">
        <v>4.433813194E9</v>
      </c>
    </row>
    <row r="2381">
      <c r="A2381" s="5" t="s">
        <v>11338</v>
      </c>
      <c r="B2381" s="1" t="s">
        <v>11339</v>
      </c>
      <c r="C2381" s="1" t="s">
        <v>11340</v>
      </c>
      <c r="D2381" s="2">
        <v>3.025216652E9</v>
      </c>
      <c r="E2381" s="1" t="s">
        <v>3829</v>
      </c>
      <c r="F2381" s="1"/>
      <c r="G2381" s="1" t="s">
        <v>3830</v>
      </c>
      <c r="H2381" s="1" t="s">
        <v>3063</v>
      </c>
      <c r="I2381" s="1">
        <v>19806.0</v>
      </c>
      <c r="J2381" s="1" t="s">
        <v>752</v>
      </c>
      <c r="K2381" s="1" t="s">
        <v>42</v>
      </c>
      <c r="L2381" s="1" t="s">
        <v>7863</v>
      </c>
      <c r="M2381" s="1">
        <v>79.0</v>
      </c>
      <c r="N2381" s="1" t="s">
        <v>1152</v>
      </c>
      <c r="O2381" s="3" t="s">
        <v>5661</v>
      </c>
      <c r="P2381" s="1" t="s">
        <v>1152</v>
      </c>
      <c r="Q2381" s="1" t="s">
        <v>1152</v>
      </c>
      <c r="R2381" s="1"/>
      <c r="S2381" s="1"/>
      <c r="T2381" s="1" t="s">
        <v>1152</v>
      </c>
      <c r="U2381" s="1" t="s">
        <v>7909</v>
      </c>
      <c r="V2381" s="4" t="s">
        <v>5661</v>
      </c>
      <c r="W2381" s="1"/>
      <c r="X2381" s="1" t="s">
        <v>1152</v>
      </c>
      <c r="Y2381" s="1" t="s">
        <v>1152</v>
      </c>
      <c r="Z2381" s="1"/>
      <c r="AA2381" s="1"/>
      <c r="AB2381" s="1"/>
      <c r="AC2381" s="1" t="s">
        <v>1925</v>
      </c>
      <c r="AD2381" s="1"/>
      <c r="AE2381" s="18">
        <v>46150.0</v>
      </c>
      <c r="AF2381" s="1" t="s">
        <v>1630</v>
      </c>
      <c r="AG2381" s="1" t="s">
        <v>52</v>
      </c>
      <c r="AH2381" s="1" t="s">
        <v>1152</v>
      </c>
      <c r="AI2381" s="1" t="s">
        <v>1152</v>
      </c>
      <c r="AJ2381" s="1" t="s">
        <v>3829</v>
      </c>
      <c r="AK2381" s="1" t="s">
        <v>1152</v>
      </c>
      <c r="AL2381" s="6"/>
      <c r="AM2381" s="12">
        <v>3.025216652E9</v>
      </c>
    </row>
    <row r="2382">
      <c r="A2382" s="5" t="s">
        <v>11341</v>
      </c>
      <c r="B2382" s="1" t="s">
        <v>11342</v>
      </c>
      <c r="C2382" s="1" t="s">
        <v>11343</v>
      </c>
      <c r="D2382" s="2">
        <v>4.109255272E9</v>
      </c>
      <c r="E2382" s="1" t="s">
        <v>11344</v>
      </c>
      <c r="F2382" s="1"/>
      <c r="G2382" s="1" t="s">
        <v>10602</v>
      </c>
      <c r="H2382" s="1" t="s">
        <v>1005</v>
      </c>
      <c r="I2382" s="1">
        <v>21013.0</v>
      </c>
      <c r="J2382" s="1" t="s">
        <v>752</v>
      </c>
      <c r="K2382" s="1" t="s">
        <v>42</v>
      </c>
      <c r="L2382" s="1" t="s">
        <v>6819</v>
      </c>
      <c r="M2382" s="1">
        <v>49.0</v>
      </c>
      <c r="N2382" s="1" t="s">
        <v>1152</v>
      </c>
      <c r="O2382" s="3" t="s">
        <v>7308</v>
      </c>
      <c r="P2382" s="1" t="s">
        <v>1152</v>
      </c>
      <c r="Q2382" s="1" t="s">
        <v>1152</v>
      </c>
      <c r="R2382" s="1"/>
      <c r="S2382" s="1"/>
      <c r="T2382" s="1" t="s">
        <v>1152</v>
      </c>
      <c r="U2382" s="1" t="s">
        <v>6053</v>
      </c>
      <c r="V2382" s="4" t="s">
        <v>7308</v>
      </c>
      <c r="W2382" s="1"/>
      <c r="X2382" s="1" t="s">
        <v>1152</v>
      </c>
      <c r="Y2382" s="1" t="s">
        <v>1152</v>
      </c>
      <c r="Z2382" s="1"/>
      <c r="AA2382" s="1"/>
      <c r="AB2382" s="1"/>
      <c r="AC2382" s="1" t="s">
        <v>1925</v>
      </c>
      <c r="AD2382" s="1"/>
      <c r="AE2382" s="18">
        <v>46147.0</v>
      </c>
      <c r="AF2382" s="1" t="s">
        <v>3186</v>
      </c>
      <c r="AG2382" s="1" t="s">
        <v>52</v>
      </c>
      <c r="AH2382" s="1" t="s">
        <v>1152</v>
      </c>
      <c r="AI2382" s="1" t="s">
        <v>1152</v>
      </c>
      <c r="AJ2382" s="1" t="s">
        <v>11345</v>
      </c>
      <c r="AK2382" s="1" t="s">
        <v>1152</v>
      </c>
      <c r="AL2382" s="6"/>
      <c r="AM2382" s="12">
        <v>4.434210423E9</v>
      </c>
    </row>
    <row r="2383">
      <c r="A2383" s="5" t="s">
        <v>11346</v>
      </c>
      <c r="B2383" s="1" t="s">
        <v>11347</v>
      </c>
      <c r="C2383" s="1" t="s">
        <v>3489</v>
      </c>
      <c r="D2383" s="2">
        <v>9.179150686E9</v>
      </c>
      <c r="E2383" s="1" t="s">
        <v>11348</v>
      </c>
      <c r="F2383" s="1"/>
      <c r="G2383" s="1" t="s">
        <v>751</v>
      </c>
      <c r="H2383" s="1" t="s">
        <v>751</v>
      </c>
      <c r="I2383" s="1">
        <v>10013.0</v>
      </c>
      <c r="J2383" s="1" t="s">
        <v>752</v>
      </c>
      <c r="K2383" s="1" t="s">
        <v>42</v>
      </c>
      <c r="L2383" s="1" t="s">
        <v>6819</v>
      </c>
      <c r="M2383" s="1">
        <v>49.0</v>
      </c>
      <c r="N2383" s="1" t="s">
        <v>1152</v>
      </c>
      <c r="O2383" s="3" t="s">
        <v>174</v>
      </c>
      <c r="P2383" s="1" t="s">
        <v>1152</v>
      </c>
      <c r="Q2383" s="1" t="s">
        <v>1152</v>
      </c>
      <c r="R2383" s="1"/>
      <c r="S2383" s="1"/>
      <c r="T2383" s="1" t="s">
        <v>1152</v>
      </c>
      <c r="U2383" s="1" t="s">
        <v>1148</v>
      </c>
      <c r="V2383" s="4" t="s">
        <v>174</v>
      </c>
      <c r="W2383" s="1"/>
      <c r="X2383" s="1" t="s">
        <v>1152</v>
      </c>
      <c r="Y2383" s="1" t="s">
        <v>1152</v>
      </c>
      <c r="Z2383" s="1"/>
      <c r="AA2383" s="1"/>
      <c r="AB2383" s="1"/>
      <c r="AC2383" s="1" t="s">
        <v>1925</v>
      </c>
      <c r="AD2383" s="1"/>
      <c r="AE2383" s="18">
        <v>46149.0</v>
      </c>
      <c r="AF2383" s="1" t="s">
        <v>1030</v>
      </c>
      <c r="AG2383" s="1" t="s">
        <v>52</v>
      </c>
      <c r="AH2383" s="1" t="s">
        <v>1152</v>
      </c>
      <c r="AI2383" s="1" t="s">
        <v>11349</v>
      </c>
      <c r="AJ2383" s="1" t="s">
        <v>3490</v>
      </c>
      <c r="AK2383" s="1" t="s">
        <v>1152</v>
      </c>
      <c r="AL2383" s="6"/>
      <c r="AM2383" s="12">
        <v>9.179529319E9</v>
      </c>
    </row>
    <row r="2384">
      <c r="A2384" s="5" t="s">
        <v>11346</v>
      </c>
      <c r="B2384" s="1" t="s">
        <v>11347</v>
      </c>
      <c r="C2384" s="1" t="s">
        <v>3489</v>
      </c>
      <c r="D2384" s="2">
        <v>9.179150686E9</v>
      </c>
      <c r="E2384" s="1" t="s">
        <v>11348</v>
      </c>
      <c r="F2384" s="1"/>
      <c r="G2384" s="1" t="s">
        <v>751</v>
      </c>
      <c r="H2384" s="1" t="s">
        <v>751</v>
      </c>
      <c r="I2384" s="1">
        <v>10013.0</v>
      </c>
      <c r="J2384" s="1" t="s">
        <v>752</v>
      </c>
      <c r="K2384" s="1" t="s">
        <v>892</v>
      </c>
      <c r="L2384" s="1" t="s">
        <v>8006</v>
      </c>
      <c r="M2384" s="1">
        <v>49.0</v>
      </c>
      <c r="N2384" s="1" t="s">
        <v>1152</v>
      </c>
      <c r="O2384" s="3" t="s">
        <v>174</v>
      </c>
      <c r="P2384" s="1" t="s">
        <v>1152</v>
      </c>
      <c r="Q2384" s="1" t="s">
        <v>1152</v>
      </c>
      <c r="R2384" s="1"/>
      <c r="S2384" s="1"/>
      <c r="T2384" s="1" t="s">
        <v>1152</v>
      </c>
      <c r="U2384" s="1" t="s">
        <v>1148</v>
      </c>
      <c r="V2384" s="4" t="s">
        <v>174</v>
      </c>
      <c r="W2384" s="1"/>
      <c r="X2384" s="1" t="s">
        <v>1152</v>
      </c>
      <c r="Y2384" s="1" t="s">
        <v>1152</v>
      </c>
      <c r="Z2384" s="1"/>
      <c r="AA2384" s="1"/>
      <c r="AB2384" s="1"/>
      <c r="AC2384" s="1" t="s">
        <v>1925</v>
      </c>
      <c r="AD2384" s="1"/>
      <c r="AE2384" s="18">
        <v>46148.0</v>
      </c>
      <c r="AF2384" s="1" t="s">
        <v>1349</v>
      </c>
      <c r="AG2384" s="1" t="s">
        <v>52</v>
      </c>
      <c r="AH2384" s="1" t="s">
        <v>11350</v>
      </c>
      <c r="AI2384" s="1" t="s">
        <v>11349</v>
      </c>
      <c r="AJ2384" s="1" t="s">
        <v>3490</v>
      </c>
      <c r="AK2384" s="1" t="s">
        <v>1152</v>
      </c>
      <c r="AL2384" s="6"/>
      <c r="AM2384" s="12">
        <v>9.179529319E9</v>
      </c>
    </row>
    <row r="2385">
      <c r="A2385" s="5" t="s">
        <v>11351</v>
      </c>
      <c r="B2385" s="1" t="s">
        <v>11352</v>
      </c>
      <c r="C2385" s="1" t="s">
        <v>11353</v>
      </c>
      <c r="D2385" s="2">
        <v>2.409944982E9</v>
      </c>
      <c r="E2385" s="1" t="s">
        <v>11354</v>
      </c>
      <c r="F2385" s="1"/>
      <c r="G2385" s="1" t="s">
        <v>5431</v>
      </c>
      <c r="H2385" s="1" t="s">
        <v>1005</v>
      </c>
      <c r="I2385" s="1">
        <v>20854.0</v>
      </c>
      <c r="J2385" s="1" t="s">
        <v>752</v>
      </c>
      <c r="K2385" s="1" t="s">
        <v>51</v>
      </c>
      <c r="L2385" s="1" t="s">
        <v>5722</v>
      </c>
      <c r="M2385" s="1">
        <v>1.0</v>
      </c>
      <c r="N2385" s="1" t="s">
        <v>2461</v>
      </c>
      <c r="O2385" s="3" t="s">
        <v>11355</v>
      </c>
      <c r="P2385" s="18">
        <v>46255.0</v>
      </c>
      <c r="Q2385" s="1" t="s">
        <v>2852</v>
      </c>
      <c r="R2385" s="1"/>
      <c r="S2385" s="1" t="s">
        <v>52</v>
      </c>
      <c r="T2385" s="1" t="s">
        <v>2461</v>
      </c>
      <c r="U2385" s="1" t="s">
        <v>948</v>
      </c>
      <c r="V2385" s="4" t="s">
        <v>11355</v>
      </c>
      <c r="W2385" s="1"/>
      <c r="X2385" s="18">
        <v>46255.0</v>
      </c>
      <c r="Y2385" s="1" t="s">
        <v>2852</v>
      </c>
      <c r="Z2385" s="1"/>
      <c r="AA2385" s="1"/>
      <c r="AB2385" s="1" t="s">
        <v>52</v>
      </c>
      <c r="AC2385" s="1" t="s">
        <v>1925</v>
      </c>
      <c r="AD2385" s="1"/>
      <c r="AE2385" s="1" t="s">
        <v>1152</v>
      </c>
      <c r="AF2385" s="1"/>
      <c r="AG2385" s="1"/>
      <c r="AH2385" s="1" t="s">
        <v>1152</v>
      </c>
      <c r="AI2385" s="1" t="s">
        <v>1152</v>
      </c>
      <c r="AJ2385" s="1" t="s">
        <v>11356</v>
      </c>
      <c r="AK2385" s="1" t="s">
        <v>1152</v>
      </c>
      <c r="AL2385" s="6"/>
      <c r="AM2385" s="12">
        <v>2.406143718E9</v>
      </c>
    </row>
    <row r="2386">
      <c r="A2386" s="5" t="s">
        <v>11357</v>
      </c>
      <c r="B2386" s="1" t="s">
        <v>11358</v>
      </c>
      <c r="C2386" s="1" t="s">
        <v>11359</v>
      </c>
      <c r="D2386" s="2">
        <v>9.144144368E9</v>
      </c>
      <c r="E2386" s="1" t="s">
        <v>11360</v>
      </c>
      <c r="F2386" s="1"/>
      <c r="G2386" s="1" t="s">
        <v>1660</v>
      </c>
      <c r="H2386" s="1" t="s">
        <v>751</v>
      </c>
      <c r="I2386" s="1">
        <v>10804.0</v>
      </c>
      <c r="J2386" s="1" t="s">
        <v>752</v>
      </c>
      <c r="K2386" s="1" t="s">
        <v>42</v>
      </c>
      <c r="L2386" s="1" t="s">
        <v>7863</v>
      </c>
      <c r="M2386" s="1">
        <v>79.0</v>
      </c>
      <c r="N2386" s="1" t="s">
        <v>1152</v>
      </c>
      <c r="O2386" s="3" t="s">
        <v>10984</v>
      </c>
      <c r="P2386" s="1" t="s">
        <v>1152</v>
      </c>
      <c r="Q2386" s="1" t="s">
        <v>1152</v>
      </c>
      <c r="R2386" s="1"/>
      <c r="S2386" s="1"/>
      <c r="T2386" s="1" t="s">
        <v>1152</v>
      </c>
      <c r="U2386" s="1" t="s">
        <v>982</v>
      </c>
      <c r="V2386" s="4" t="s">
        <v>10984</v>
      </c>
      <c r="W2386" s="1"/>
      <c r="X2386" s="1" t="s">
        <v>1152</v>
      </c>
      <c r="Y2386" s="1" t="s">
        <v>1152</v>
      </c>
      <c r="Z2386" s="1"/>
      <c r="AA2386" s="1"/>
      <c r="AB2386" s="1"/>
      <c r="AC2386" s="1" t="s">
        <v>1925</v>
      </c>
      <c r="AD2386" s="1"/>
      <c r="AE2386" s="18">
        <v>46149.0</v>
      </c>
      <c r="AF2386" s="1" t="s">
        <v>1349</v>
      </c>
      <c r="AG2386" s="1" t="s">
        <v>52</v>
      </c>
      <c r="AH2386" s="1" t="s">
        <v>1152</v>
      </c>
      <c r="AI2386" s="1" t="s">
        <v>1152</v>
      </c>
      <c r="AJ2386" s="1" t="s">
        <v>11360</v>
      </c>
      <c r="AK2386" s="1" t="s">
        <v>1152</v>
      </c>
      <c r="AL2386" s="6"/>
      <c r="AM2386" s="12">
        <v>9.144144368E9</v>
      </c>
    </row>
    <row r="2387">
      <c r="A2387" s="5" t="s">
        <v>11361</v>
      </c>
      <c r="B2387" s="1" t="s">
        <v>11362</v>
      </c>
      <c r="C2387" s="1" t="s">
        <v>11363</v>
      </c>
      <c r="D2387" s="2">
        <v>6.692089376E9</v>
      </c>
      <c r="E2387" s="1" t="s">
        <v>2828</v>
      </c>
      <c r="F2387" s="1"/>
      <c r="G2387" s="1" t="s">
        <v>2417</v>
      </c>
      <c r="H2387" s="1" t="s">
        <v>989</v>
      </c>
      <c r="I2387" s="1">
        <v>92130.0</v>
      </c>
      <c r="J2387" s="1" t="s">
        <v>752</v>
      </c>
      <c r="K2387" s="1" t="s">
        <v>42</v>
      </c>
      <c r="L2387" s="1" t="s">
        <v>6819</v>
      </c>
      <c r="M2387" s="1">
        <v>49.0</v>
      </c>
      <c r="N2387" s="1" t="s">
        <v>1152</v>
      </c>
      <c r="O2387" s="3" t="s">
        <v>2830</v>
      </c>
      <c r="P2387" s="1" t="s">
        <v>1152</v>
      </c>
      <c r="Q2387" s="1" t="s">
        <v>1152</v>
      </c>
      <c r="R2387" s="1"/>
      <c r="S2387" s="1"/>
      <c r="T2387" s="1" t="s">
        <v>1152</v>
      </c>
      <c r="U2387" s="1" t="s">
        <v>1148</v>
      </c>
      <c r="V2387" s="4" t="s">
        <v>2830</v>
      </c>
      <c r="W2387" s="1"/>
      <c r="X2387" s="1" t="s">
        <v>1152</v>
      </c>
      <c r="Y2387" s="1" t="s">
        <v>1152</v>
      </c>
      <c r="Z2387" s="1"/>
      <c r="AA2387" s="1"/>
      <c r="AB2387" s="1"/>
      <c r="AC2387" s="1" t="s">
        <v>1925</v>
      </c>
      <c r="AD2387" s="1"/>
      <c r="AE2387" s="18">
        <v>46148.0</v>
      </c>
      <c r="AF2387" s="1" t="s">
        <v>1030</v>
      </c>
      <c r="AG2387" s="1" t="s">
        <v>52</v>
      </c>
      <c r="AH2387" s="1" t="s">
        <v>1152</v>
      </c>
      <c r="AI2387" s="1" t="s">
        <v>1152</v>
      </c>
      <c r="AJ2387" s="1" t="s">
        <v>2828</v>
      </c>
      <c r="AK2387" s="1" t="s">
        <v>1152</v>
      </c>
      <c r="AL2387" s="6"/>
      <c r="AM2387" s="12" t="s">
        <v>1925</v>
      </c>
    </row>
    <row r="2388">
      <c r="A2388" s="5" t="s">
        <v>11364</v>
      </c>
      <c r="B2388" s="1" t="s">
        <v>11365</v>
      </c>
      <c r="C2388" s="1" t="s">
        <v>11366</v>
      </c>
      <c r="D2388" s="2">
        <v>4.129135859E9</v>
      </c>
      <c r="E2388" s="1" t="s">
        <v>11367</v>
      </c>
      <c r="F2388" s="1"/>
      <c r="G2388" s="1" t="s">
        <v>2564</v>
      </c>
      <c r="H2388" s="1" t="s">
        <v>1233</v>
      </c>
      <c r="I2388" s="1">
        <v>15238.0</v>
      </c>
      <c r="J2388" s="1" t="s">
        <v>752</v>
      </c>
      <c r="K2388" s="1" t="s">
        <v>42</v>
      </c>
      <c r="L2388" s="1" t="s">
        <v>6819</v>
      </c>
      <c r="M2388" s="1">
        <v>49.0</v>
      </c>
      <c r="N2388" s="1" t="s">
        <v>1152</v>
      </c>
      <c r="O2388" s="3" t="s">
        <v>11368</v>
      </c>
      <c r="P2388" s="1" t="s">
        <v>1152</v>
      </c>
      <c r="Q2388" s="1" t="s">
        <v>1152</v>
      </c>
      <c r="R2388" s="1"/>
      <c r="S2388" s="1"/>
      <c r="T2388" s="1" t="s">
        <v>1152</v>
      </c>
      <c r="U2388" s="1" t="s">
        <v>1133</v>
      </c>
      <c r="V2388" s="4" t="s">
        <v>11368</v>
      </c>
      <c r="W2388" s="1"/>
      <c r="X2388" s="1" t="s">
        <v>1152</v>
      </c>
      <c r="Y2388" s="1" t="s">
        <v>1152</v>
      </c>
      <c r="Z2388" s="1"/>
      <c r="AA2388" s="1"/>
      <c r="AB2388" s="1"/>
      <c r="AC2388" s="1" t="s">
        <v>1925</v>
      </c>
      <c r="AD2388" s="1"/>
      <c r="AE2388" s="18">
        <v>46148.0</v>
      </c>
      <c r="AF2388" s="1" t="s">
        <v>1030</v>
      </c>
      <c r="AG2388" s="1" t="s">
        <v>52</v>
      </c>
      <c r="AH2388" s="1" t="s">
        <v>1152</v>
      </c>
      <c r="AI2388" s="1" t="s">
        <v>1152</v>
      </c>
      <c r="AJ2388" s="1" t="s">
        <v>11369</v>
      </c>
      <c r="AK2388" s="1" t="s">
        <v>1152</v>
      </c>
      <c r="AL2388" s="6"/>
      <c r="AM2388" s="12">
        <v>4.125187985E9</v>
      </c>
    </row>
    <row r="2389">
      <c r="A2389" s="5" t="s">
        <v>11370</v>
      </c>
      <c r="B2389" s="1" t="s">
        <v>11371</v>
      </c>
      <c r="C2389" s="1" t="s">
        <v>11372</v>
      </c>
      <c r="D2389" s="2">
        <v>5.164743388E9</v>
      </c>
      <c r="E2389" s="1" t="s">
        <v>11373</v>
      </c>
      <c r="F2389" s="1"/>
      <c r="G2389" s="1" t="s">
        <v>1697</v>
      </c>
      <c r="H2389" s="1" t="s">
        <v>751</v>
      </c>
      <c r="I2389" s="1">
        <v>11020.0</v>
      </c>
      <c r="J2389" s="1" t="s">
        <v>752</v>
      </c>
      <c r="K2389" s="1" t="s">
        <v>2131</v>
      </c>
      <c r="L2389" s="1" t="s">
        <v>5767</v>
      </c>
      <c r="M2389" s="1">
        <v>1.0</v>
      </c>
      <c r="N2389" s="1" t="s">
        <v>1152</v>
      </c>
      <c r="O2389" s="3" t="s">
        <v>1432</v>
      </c>
      <c r="P2389" s="1" t="s">
        <v>1152</v>
      </c>
      <c r="Q2389" s="1" t="s">
        <v>1152</v>
      </c>
      <c r="R2389" s="1"/>
      <c r="S2389" s="1"/>
      <c r="T2389" s="1" t="s">
        <v>1152</v>
      </c>
      <c r="U2389" s="1" t="s">
        <v>1249</v>
      </c>
      <c r="V2389" s="4" t="s">
        <v>1432</v>
      </c>
      <c r="W2389" s="1"/>
      <c r="X2389" s="1" t="s">
        <v>1152</v>
      </c>
      <c r="Y2389" s="1" t="s">
        <v>1152</v>
      </c>
      <c r="Z2389" s="1"/>
      <c r="AA2389" s="1"/>
      <c r="AB2389" s="1"/>
      <c r="AC2389" s="1" t="s">
        <v>1925</v>
      </c>
      <c r="AD2389" s="1"/>
      <c r="AE2389" s="18">
        <v>46149.0</v>
      </c>
      <c r="AF2389" s="1"/>
      <c r="AG2389" s="1"/>
      <c r="AH2389" s="1" t="s">
        <v>1152</v>
      </c>
      <c r="AI2389" s="1" t="s">
        <v>1152</v>
      </c>
      <c r="AJ2389" s="1" t="s">
        <v>11374</v>
      </c>
      <c r="AK2389" s="1" t="s">
        <v>1152</v>
      </c>
      <c r="AL2389" s="6"/>
      <c r="AM2389" s="12">
        <v>5.164743388E9</v>
      </c>
    </row>
    <row r="2390">
      <c r="A2390" s="5" t="s">
        <v>11375</v>
      </c>
      <c r="B2390" s="1" t="s">
        <v>11376</v>
      </c>
      <c r="C2390" s="1" t="s">
        <v>6853</v>
      </c>
      <c r="D2390" s="2">
        <v>2.538862379E9</v>
      </c>
      <c r="E2390" s="1" t="s">
        <v>6854</v>
      </c>
      <c r="F2390" s="1"/>
      <c r="G2390" s="1" t="s">
        <v>6855</v>
      </c>
      <c r="H2390" s="1" t="s">
        <v>980</v>
      </c>
      <c r="I2390" s="1">
        <v>98092.0</v>
      </c>
      <c r="J2390" s="1" t="s">
        <v>752</v>
      </c>
      <c r="K2390" s="1" t="s">
        <v>42</v>
      </c>
      <c r="L2390" s="1" t="s">
        <v>6819</v>
      </c>
      <c r="M2390" s="1">
        <v>49.0</v>
      </c>
      <c r="N2390" s="1" t="s">
        <v>1152</v>
      </c>
      <c r="O2390" s="3" t="s">
        <v>8960</v>
      </c>
      <c r="P2390" s="1" t="s">
        <v>1152</v>
      </c>
      <c r="Q2390" s="1" t="s">
        <v>1152</v>
      </c>
      <c r="R2390" s="1"/>
      <c r="S2390" s="1"/>
      <c r="T2390" s="1" t="s">
        <v>1152</v>
      </c>
      <c r="U2390" s="1" t="s">
        <v>2940</v>
      </c>
      <c r="V2390" s="4" t="s">
        <v>8960</v>
      </c>
      <c r="W2390" s="1"/>
      <c r="X2390" s="1" t="s">
        <v>1152</v>
      </c>
      <c r="Y2390" s="1" t="s">
        <v>1152</v>
      </c>
      <c r="Z2390" s="1"/>
      <c r="AA2390" s="1"/>
      <c r="AB2390" s="1"/>
      <c r="AC2390" s="1" t="s">
        <v>1925</v>
      </c>
      <c r="AD2390" s="1"/>
      <c r="AE2390" s="18">
        <v>46148.0</v>
      </c>
      <c r="AF2390" s="1" t="s">
        <v>1030</v>
      </c>
      <c r="AG2390" s="1" t="s">
        <v>52</v>
      </c>
      <c r="AH2390" s="1" t="s">
        <v>1152</v>
      </c>
      <c r="AI2390" s="1" t="s">
        <v>1152</v>
      </c>
      <c r="AJ2390" s="1" t="s">
        <v>6854</v>
      </c>
      <c r="AK2390" s="1" t="s">
        <v>1152</v>
      </c>
      <c r="AL2390" s="6"/>
      <c r="AM2390" s="12">
        <v>2.538862379E9</v>
      </c>
    </row>
    <row r="2391">
      <c r="A2391" s="5" t="s">
        <v>11377</v>
      </c>
      <c r="B2391" s="1" t="s">
        <v>11378</v>
      </c>
      <c r="C2391" s="1" t="s">
        <v>959</v>
      </c>
      <c r="D2391" s="2">
        <v>4.043745992E9</v>
      </c>
      <c r="E2391" s="1" t="s">
        <v>961</v>
      </c>
      <c r="F2391" s="1"/>
      <c r="G2391" s="1" t="s">
        <v>2179</v>
      </c>
      <c r="H2391" s="1" t="s">
        <v>946</v>
      </c>
      <c r="I2391" s="1">
        <v>30327.0</v>
      </c>
      <c r="J2391" s="1" t="s">
        <v>752</v>
      </c>
      <c r="K2391" s="1" t="s">
        <v>42</v>
      </c>
      <c r="L2391" s="1" t="s">
        <v>6819</v>
      </c>
      <c r="M2391" s="1">
        <v>49.0</v>
      </c>
      <c r="N2391" s="1" t="s">
        <v>1152</v>
      </c>
      <c r="O2391" s="3" t="s">
        <v>11379</v>
      </c>
      <c r="P2391" s="1" t="s">
        <v>1152</v>
      </c>
      <c r="Q2391" s="1" t="s">
        <v>1152</v>
      </c>
      <c r="R2391" s="1"/>
      <c r="S2391" s="1"/>
      <c r="T2391" s="1" t="s">
        <v>1152</v>
      </c>
      <c r="U2391" s="1" t="s">
        <v>1277</v>
      </c>
      <c r="V2391" s="4" t="s">
        <v>11379</v>
      </c>
      <c r="W2391" s="1"/>
      <c r="X2391" s="1" t="s">
        <v>1152</v>
      </c>
      <c r="Y2391" s="1" t="s">
        <v>1152</v>
      </c>
      <c r="Z2391" s="1"/>
      <c r="AA2391" s="1"/>
      <c r="AB2391" s="1"/>
      <c r="AC2391" s="1" t="s">
        <v>1925</v>
      </c>
      <c r="AD2391" s="1"/>
      <c r="AE2391" s="18">
        <v>46146.0</v>
      </c>
      <c r="AF2391" s="1" t="s">
        <v>1455</v>
      </c>
      <c r="AG2391" s="1" t="s">
        <v>52</v>
      </c>
      <c r="AH2391" s="1" t="s">
        <v>1152</v>
      </c>
      <c r="AI2391" s="1" t="s">
        <v>11380</v>
      </c>
      <c r="AJ2391" s="1" t="s">
        <v>11381</v>
      </c>
      <c r="AK2391" s="1" t="s">
        <v>1152</v>
      </c>
      <c r="AL2391" s="6"/>
      <c r="AM2391" s="12" t="s">
        <v>1925</v>
      </c>
    </row>
    <row r="2392">
      <c r="A2392" s="5" t="s">
        <v>11382</v>
      </c>
      <c r="B2392" s="1" t="s">
        <v>11383</v>
      </c>
      <c r="C2392" s="1" t="s">
        <v>11384</v>
      </c>
      <c r="D2392" s="2">
        <v>6.319035927E9</v>
      </c>
      <c r="E2392" s="1" t="s">
        <v>2317</v>
      </c>
      <c r="F2392" s="1"/>
      <c r="G2392" s="1" t="s">
        <v>2318</v>
      </c>
      <c r="H2392" s="1" t="s">
        <v>751</v>
      </c>
      <c r="I2392" s="1" t="s">
        <v>2319</v>
      </c>
      <c r="J2392" s="1" t="s">
        <v>752</v>
      </c>
      <c r="K2392" s="1" t="s">
        <v>42</v>
      </c>
      <c r="L2392" s="1" t="s">
        <v>7863</v>
      </c>
      <c r="M2392" s="1">
        <v>79.0</v>
      </c>
      <c r="N2392" s="1" t="s">
        <v>1152</v>
      </c>
      <c r="O2392" s="3" t="s">
        <v>2320</v>
      </c>
      <c r="P2392" s="1" t="s">
        <v>1152</v>
      </c>
      <c r="Q2392" s="1" t="s">
        <v>1152</v>
      </c>
      <c r="R2392" s="1"/>
      <c r="S2392" s="1"/>
      <c r="T2392" s="1" t="s">
        <v>1152</v>
      </c>
      <c r="U2392" s="1" t="s">
        <v>1021</v>
      </c>
      <c r="V2392" s="4" t="s">
        <v>2320</v>
      </c>
      <c r="W2392" s="1"/>
      <c r="X2392" s="1" t="s">
        <v>1152</v>
      </c>
      <c r="Y2392" s="1" t="s">
        <v>1152</v>
      </c>
      <c r="Z2392" s="1"/>
      <c r="AA2392" s="1"/>
      <c r="AB2392" s="1"/>
      <c r="AC2392" s="1" t="s">
        <v>1925</v>
      </c>
      <c r="AD2392" s="1"/>
      <c r="AE2392" s="18">
        <v>46149.0</v>
      </c>
      <c r="AF2392" s="1" t="s">
        <v>1030</v>
      </c>
      <c r="AG2392" s="1" t="s">
        <v>52</v>
      </c>
      <c r="AH2392" s="1" t="s">
        <v>1152</v>
      </c>
      <c r="AI2392" s="1" t="s">
        <v>11385</v>
      </c>
      <c r="AJ2392" s="1" t="s">
        <v>2317</v>
      </c>
      <c r="AK2392" s="1" t="s">
        <v>1152</v>
      </c>
      <c r="AL2392" s="6"/>
      <c r="AM2392" s="12">
        <v>6.319035927E9</v>
      </c>
    </row>
    <row r="2393">
      <c r="A2393" s="5" t="s">
        <v>11386</v>
      </c>
      <c r="B2393" s="1" t="s">
        <v>11387</v>
      </c>
      <c r="C2393" s="1" t="s">
        <v>11388</v>
      </c>
      <c r="D2393" s="2">
        <v>9.257910313E9</v>
      </c>
      <c r="E2393" s="1" t="s">
        <v>11389</v>
      </c>
      <c r="F2393" s="1"/>
      <c r="G2393" s="1" t="s">
        <v>11390</v>
      </c>
      <c r="H2393" s="1" t="s">
        <v>989</v>
      </c>
      <c r="I2393" s="1">
        <v>95377.0</v>
      </c>
      <c r="J2393" s="1" t="s">
        <v>752</v>
      </c>
      <c r="K2393" s="1" t="s">
        <v>42</v>
      </c>
      <c r="L2393" s="1" t="s">
        <v>6819</v>
      </c>
      <c r="M2393" s="1">
        <v>49.0</v>
      </c>
      <c r="N2393" s="1" t="s">
        <v>1152</v>
      </c>
      <c r="O2393" s="3" t="s">
        <v>11391</v>
      </c>
      <c r="P2393" s="1" t="s">
        <v>1152</v>
      </c>
      <c r="Q2393" s="1" t="s">
        <v>1152</v>
      </c>
      <c r="R2393" s="1"/>
      <c r="S2393" s="1"/>
      <c r="T2393" s="1" t="s">
        <v>1152</v>
      </c>
      <c r="U2393" s="1" t="s">
        <v>1039</v>
      </c>
      <c r="V2393" s="4" t="s">
        <v>11391</v>
      </c>
      <c r="W2393" s="1"/>
      <c r="X2393" s="1" t="s">
        <v>1152</v>
      </c>
      <c r="Y2393" s="1" t="s">
        <v>1152</v>
      </c>
      <c r="Z2393" s="1"/>
      <c r="AA2393" s="1"/>
      <c r="AB2393" s="1"/>
      <c r="AC2393" s="1" t="s">
        <v>1925</v>
      </c>
      <c r="AD2393" s="1"/>
      <c r="AE2393" s="18">
        <v>46149.0</v>
      </c>
      <c r="AF2393" s="1" t="s">
        <v>1030</v>
      </c>
      <c r="AG2393" s="1" t="s">
        <v>52</v>
      </c>
      <c r="AH2393" s="1" t="s">
        <v>1152</v>
      </c>
      <c r="AI2393" s="1" t="s">
        <v>1152</v>
      </c>
      <c r="AJ2393" s="1" t="s">
        <v>11389</v>
      </c>
      <c r="AK2393" s="1" t="s">
        <v>1152</v>
      </c>
      <c r="AL2393" s="6"/>
      <c r="AM2393" s="12">
        <v>9.257910313E9</v>
      </c>
    </row>
    <row r="2394">
      <c r="A2394" s="5" t="s">
        <v>11392</v>
      </c>
      <c r="B2394" s="1" t="s">
        <v>11393</v>
      </c>
      <c r="C2394" s="1" t="s">
        <v>11394</v>
      </c>
      <c r="D2394" s="2">
        <v>4.077143201E9</v>
      </c>
      <c r="E2394" s="1" t="s">
        <v>11395</v>
      </c>
      <c r="F2394" s="1"/>
      <c r="G2394" s="1" t="s">
        <v>11396</v>
      </c>
      <c r="H2394" s="1"/>
      <c r="I2394" s="1"/>
      <c r="J2394" s="1" t="s">
        <v>5093</v>
      </c>
      <c r="K2394" s="1" t="s">
        <v>42</v>
      </c>
      <c r="L2394" s="1" t="s">
        <v>6819</v>
      </c>
      <c r="M2394" s="1">
        <v>49.0</v>
      </c>
      <c r="N2394" s="1" t="s">
        <v>1152</v>
      </c>
      <c r="O2394" s="3" t="s">
        <v>497</v>
      </c>
      <c r="P2394" s="1" t="s">
        <v>1152</v>
      </c>
      <c r="Q2394" s="1" t="s">
        <v>1152</v>
      </c>
      <c r="R2394" s="1"/>
      <c r="S2394" s="1"/>
      <c r="T2394" s="1" t="s">
        <v>1152</v>
      </c>
      <c r="U2394" s="1" t="s">
        <v>1080</v>
      </c>
      <c r="V2394" s="4" t="s">
        <v>497</v>
      </c>
      <c r="W2394" s="1"/>
      <c r="X2394" s="1" t="s">
        <v>1152</v>
      </c>
      <c r="Y2394" s="1" t="s">
        <v>1152</v>
      </c>
      <c r="Z2394" s="1"/>
      <c r="AA2394" s="1"/>
      <c r="AB2394" s="1"/>
      <c r="AC2394" s="1" t="s">
        <v>1925</v>
      </c>
      <c r="AD2394" s="1"/>
      <c r="AE2394" s="18">
        <v>46155.0</v>
      </c>
      <c r="AF2394" s="1" t="s">
        <v>1030</v>
      </c>
      <c r="AG2394" s="1" t="s">
        <v>52</v>
      </c>
      <c r="AH2394" s="1" t="s">
        <v>1152</v>
      </c>
      <c r="AI2394" s="1" t="s">
        <v>1152</v>
      </c>
      <c r="AJ2394" s="1" t="s">
        <v>11395</v>
      </c>
      <c r="AK2394" s="1" t="s">
        <v>1152</v>
      </c>
      <c r="AL2394" s="6"/>
      <c r="AM2394" s="12">
        <v>4.077143201E9</v>
      </c>
    </row>
    <row r="2395">
      <c r="A2395" s="5" t="s">
        <v>11397</v>
      </c>
      <c r="B2395" s="1" t="s">
        <v>11398</v>
      </c>
      <c r="C2395" s="1" t="s">
        <v>11399</v>
      </c>
      <c r="D2395" s="2">
        <v>6.462507591E9</v>
      </c>
      <c r="E2395" s="1" t="s">
        <v>11400</v>
      </c>
      <c r="F2395" s="1"/>
      <c r="G2395" s="1" t="s">
        <v>751</v>
      </c>
      <c r="H2395" s="1" t="s">
        <v>751</v>
      </c>
      <c r="I2395" s="1">
        <v>10011.0</v>
      </c>
      <c r="J2395" s="1" t="s">
        <v>752</v>
      </c>
      <c r="K2395" s="1" t="s">
        <v>42</v>
      </c>
      <c r="L2395" s="1" t="s">
        <v>6819</v>
      </c>
      <c r="M2395" s="1">
        <v>49.0</v>
      </c>
      <c r="N2395" s="1" t="s">
        <v>1152</v>
      </c>
      <c r="O2395" s="3" t="s">
        <v>4602</v>
      </c>
      <c r="P2395" s="1" t="s">
        <v>1152</v>
      </c>
      <c r="Q2395" s="1" t="s">
        <v>1152</v>
      </c>
      <c r="R2395" s="1"/>
      <c r="S2395" s="1"/>
      <c r="T2395" s="1" t="s">
        <v>1152</v>
      </c>
      <c r="U2395" s="1" t="s">
        <v>1039</v>
      </c>
      <c r="V2395" s="4" t="s">
        <v>4602</v>
      </c>
      <c r="W2395" s="1"/>
      <c r="X2395" s="1" t="s">
        <v>1152</v>
      </c>
      <c r="Y2395" s="1" t="s">
        <v>1152</v>
      </c>
      <c r="Z2395" s="1"/>
      <c r="AA2395" s="1"/>
      <c r="AB2395" s="1"/>
      <c r="AC2395" s="1" t="s">
        <v>1925</v>
      </c>
      <c r="AD2395" s="1"/>
      <c r="AE2395" s="18">
        <v>46147.0</v>
      </c>
      <c r="AF2395" s="1" t="s">
        <v>1030</v>
      </c>
      <c r="AG2395" s="1" t="s">
        <v>52</v>
      </c>
      <c r="AH2395" s="1" t="s">
        <v>1152</v>
      </c>
      <c r="AI2395" s="1" t="s">
        <v>11401</v>
      </c>
      <c r="AJ2395" s="1" t="s">
        <v>4601</v>
      </c>
      <c r="AK2395" s="1" t="s">
        <v>1152</v>
      </c>
      <c r="AL2395" s="6"/>
      <c r="AM2395" s="12">
        <v>6.469060292E9</v>
      </c>
    </row>
    <row r="2396">
      <c r="A2396" s="5" t="s">
        <v>11402</v>
      </c>
      <c r="B2396" s="1" t="s">
        <v>11403</v>
      </c>
      <c r="C2396" s="1" t="s">
        <v>11399</v>
      </c>
      <c r="D2396" s="2">
        <v>6.462507591E9</v>
      </c>
      <c r="E2396" s="1" t="s">
        <v>11400</v>
      </c>
      <c r="F2396" s="1"/>
      <c r="G2396" s="1" t="s">
        <v>751</v>
      </c>
      <c r="H2396" s="1" t="s">
        <v>751</v>
      </c>
      <c r="I2396" s="1">
        <v>10011.0</v>
      </c>
      <c r="J2396" s="1" t="s">
        <v>752</v>
      </c>
      <c r="K2396" s="1" t="s">
        <v>892</v>
      </c>
      <c r="L2396" s="1" t="s">
        <v>8006</v>
      </c>
      <c r="M2396" s="1">
        <v>49.0</v>
      </c>
      <c r="N2396" s="1" t="s">
        <v>1152</v>
      </c>
      <c r="O2396" s="3" t="s">
        <v>4602</v>
      </c>
      <c r="P2396" s="1" t="s">
        <v>1152</v>
      </c>
      <c r="Q2396" s="1" t="s">
        <v>1152</v>
      </c>
      <c r="R2396" s="1"/>
      <c r="S2396" s="1"/>
      <c r="T2396" s="1" t="s">
        <v>1152</v>
      </c>
      <c r="U2396" s="1" t="s">
        <v>1039</v>
      </c>
      <c r="V2396" s="4" t="s">
        <v>4602</v>
      </c>
      <c r="W2396" s="1"/>
      <c r="X2396" s="1" t="s">
        <v>1152</v>
      </c>
      <c r="Y2396" s="1" t="s">
        <v>1152</v>
      </c>
      <c r="Z2396" s="1"/>
      <c r="AA2396" s="1"/>
      <c r="AB2396" s="1"/>
      <c r="AC2396" s="1" t="s">
        <v>1925</v>
      </c>
      <c r="AD2396" s="1"/>
      <c r="AE2396" s="18">
        <v>46147.0</v>
      </c>
      <c r="AF2396" s="1" t="s">
        <v>1349</v>
      </c>
      <c r="AG2396" s="1" t="s">
        <v>52</v>
      </c>
      <c r="AH2396" s="1" t="s">
        <v>11404</v>
      </c>
      <c r="AI2396" s="1" t="s">
        <v>11405</v>
      </c>
      <c r="AJ2396" s="1" t="s">
        <v>4601</v>
      </c>
      <c r="AK2396" s="1" t="s">
        <v>1152</v>
      </c>
      <c r="AL2396" s="6"/>
      <c r="AM2396" s="12">
        <v>6.469060292E9</v>
      </c>
    </row>
    <row r="2397">
      <c r="A2397" s="5" t="s">
        <v>11406</v>
      </c>
      <c r="B2397" s="1" t="s">
        <v>11407</v>
      </c>
      <c r="C2397" s="1" t="s">
        <v>11408</v>
      </c>
      <c r="D2397" s="2">
        <v>3.479312069E9</v>
      </c>
      <c r="E2397" s="1" t="s">
        <v>11409</v>
      </c>
      <c r="F2397" s="1"/>
      <c r="G2397" s="1" t="s">
        <v>11410</v>
      </c>
      <c r="H2397" s="1" t="s">
        <v>751</v>
      </c>
      <c r="I2397" s="1">
        <v>11901.0</v>
      </c>
      <c r="J2397" s="1" t="s">
        <v>752</v>
      </c>
      <c r="K2397" s="1" t="s">
        <v>42</v>
      </c>
      <c r="L2397" s="1" t="s">
        <v>6819</v>
      </c>
      <c r="M2397" s="1">
        <v>49.0</v>
      </c>
      <c r="N2397" s="1" t="s">
        <v>1152</v>
      </c>
      <c r="O2397" s="3" t="s">
        <v>2035</v>
      </c>
      <c r="P2397" s="1" t="s">
        <v>1152</v>
      </c>
      <c r="Q2397" s="1" t="s">
        <v>1152</v>
      </c>
      <c r="R2397" s="1"/>
      <c r="S2397" s="1"/>
      <c r="T2397" s="1" t="s">
        <v>1152</v>
      </c>
      <c r="U2397" s="1" t="s">
        <v>1080</v>
      </c>
      <c r="V2397" s="4" t="s">
        <v>2035</v>
      </c>
      <c r="W2397" s="1"/>
      <c r="X2397" s="1" t="s">
        <v>1152</v>
      </c>
      <c r="Y2397" s="1" t="s">
        <v>1152</v>
      </c>
      <c r="Z2397" s="1"/>
      <c r="AA2397" s="1"/>
      <c r="AB2397" s="1"/>
      <c r="AC2397" s="1" t="s">
        <v>1925</v>
      </c>
      <c r="AD2397" s="1"/>
      <c r="AE2397" s="18">
        <v>46148.0</v>
      </c>
      <c r="AF2397" s="1" t="s">
        <v>1349</v>
      </c>
      <c r="AG2397" s="1" t="s">
        <v>52</v>
      </c>
      <c r="AH2397" s="1" t="s">
        <v>1152</v>
      </c>
      <c r="AI2397" s="1" t="s">
        <v>1152</v>
      </c>
      <c r="AJ2397" s="1" t="s">
        <v>11411</v>
      </c>
      <c r="AK2397" s="1" t="s">
        <v>1152</v>
      </c>
      <c r="AL2397" s="6"/>
      <c r="AM2397" s="12">
        <v>6.46954415E9</v>
      </c>
    </row>
    <row r="2398">
      <c r="A2398" s="5" t="s">
        <v>11412</v>
      </c>
      <c r="B2398" s="1" t="s">
        <v>11413</v>
      </c>
      <c r="C2398" s="1" t="s">
        <v>11414</v>
      </c>
      <c r="D2398" s="2">
        <v>2.039844272E9</v>
      </c>
      <c r="E2398" s="1" t="s">
        <v>1831</v>
      </c>
      <c r="F2398" s="1"/>
      <c r="G2398" s="1" t="s">
        <v>11415</v>
      </c>
      <c r="H2398" s="1" t="s">
        <v>1078</v>
      </c>
      <c r="I2398" s="1">
        <v>6880.0</v>
      </c>
      <c r="J2398" s="1" t="s">
        <v>752</v>
      </c>
      <c r="K2398" s="1" t="s">
        <v>892</v>
      </c>
      <c r="L2398" s="1" t="s">
        <v>8006</v>
      </c>
      <c r="M2398" s="1">
        <v>49.0</v>
      </c>
      <c r="N2398" s="1" t="s">
        <v>1152</v>
      </c>
      <c r="O2398" s="3" t="s">
        <v>1832</v>
      </c>
      <c r="P2398" s="1" t="s">
        <v>1152</v>
      </c>
      <c r="Q2398" s="1" t="s">
        <v>1152</v>
      </c>
      <c r="R2398" s="1"/>
      <c r="S2398" s="1"/>
      <c r="T2398" s="1" t="s">
        <v>1152</v>
      </c>
      <c r="U2398" s="1" t="s">
        <v>1039</v>
      </c>
      <c r="V2398" s="4" t="s">
        <v>1832</v>
      </c>
      <c r="W2398" s="1"/>
      <c r="X2398" s="1" t="s">
        <v>1152</v>
      </c>
      <c r="Y2398" s="1" t="s">
        <v>1152</v>
      </c>
      <c r="Z2398" s="1"/>
      <c r="AA2398" s="1"/>
      <c r="AB2398" s="1"/>
      <c r="AC2398" s="1" t="s">
        <v>1925</v>
      </c>
      <c r="AD2398" s="1"/>
      <c r="AE2398" s="18">
        <v>46147.0</v>
      </c>
      <c r="AF2398" s="1" t="s">
        <v>1455</v>
      </c>
      <c r="AG2398" s="1" t="s">
        <v>52</v>
      </c>
      <c r="AH2398" s="1" t="s">
        <v>11416</v>
      </c>
      <c r="AI2398" s="1" t="s">
        <v>1152</v>
      </c>
      <c r="AJ2398" s="1" t="s">
        <v>1831</v>
      </c>
      <c r="AK2398" s="1" t="s">
        <v>1152</v>
      </c>
      <c r="AL2398" s="6"/>
      <c r="AM2398" s="12">
        <v>2.039844272E9</v>
      </c>
    </row>
    <row r="2399">
      <c r="A2399" s="5" t="s">
        <v>11417</v>
      </c>
      <c r="B2399" s="1" t="s">
        <v>11418</v>
      </c>
      <c r="C2399" s="1" t="s">
        <v>11419</v>
      </c>
      <c r="D2399" s="2">
        <v>3.233814895E9</v>
      </c>
      <c r="E2399" s="1" t="s">
        <v>11420</v>
      </c>
      <c r="F2399" s="1"/>
      <c r="G2399" s="1" t="s">
        <v>1283</v>
      </c>
      <c r="H2399" s="1" t="s">
        <v>1155</v>
      </c>
      <c r="I2399" s="1">
        <v>63105.0</v>
      </c>
      <c r="J2399" s="1" t="s">
        <v>752</v>
      </c>
      <c r="K2399" s="1" t="s">
        <v>42</v>
      </c>
      <c r="L2399" s="1" t="s">
        <v>7863</v>
      </c>
      <c r="M2399" s="1">
        <v>79.0</v>
      </c>
      <c r="N2399" s="1" t="s">
        <v>1152</v>
      </c>
      <c r="O2399" s="3" t="s">
        <v>139</v>
      </c>
      <c r="P2399" s="1" t="s">
        <v>1152</v>
      </c>
      <c r="Q2399" s="1" t="s">
        <v>1152</v>
      </c>
      <c r="R2399" s="1"/>
      <c r="S2399" s="1"/>
      <c r="T2399" s="1" t="s">
        <v>1152</v>
      </c>
      <c r="U2399" s="1" t="s">
        <v>1080</v>
      </c>
      <c r="V2399" s="4" t="s">
        <v>139</v>
      </c>
      <c r="W2399" s="1"/>
      <c r="X2399" s="1" t="s">
        <v>1152</v>
      </c>
      <c r="Y2399" s="1" t="s">
        <v>1152</v>
      </c>
      <c r="Z2399" s="1"/>
      <c r="AA2399" s="1"/>
      <c r="AB2399" s="1"/>
      <c r="AC2399" s="1" t="s">
        <v>1925</v>
      </c>
      <c r="AD2399" s="1"/>
      <c r="AE2399" s="18">
        <v>46147.0</v>
      </c>
      <c r="AF2399" s="1" t="s">
        <v>1030</v>
      </c>
      <c r="AG2399" s="1" t="s">
        <v>52</v>
      </c>
      <c r="AH2399" s="1" t="s">
        <v>1152</v>
      </c>
      <c r="AI2399" s="1" t="s">
        <v>1152</v>
      </c>
      <c r="AJ2399" s="1" t="s">
        <v>11421</v>
      </c>
      <c r="AK2399" s="1" t="s">
        <v>1152</v>
      </c>
      <c r="AL2399" s="6"/>
      <c r="AM2399" s="12" t="s">
        <v>1925</v>
      </c>
    </row>
    <row r="2400">
      <c r="A2400" s="5" t="s">
        <v>11422</v>
      </c>
      <c r="B2400" s="1" t="s">
        <v>11423</v>
      </c>
      <c r="C2400" s="1" t="s">
        <v>11424</v>
      </c>
      <c r="D2400" s="2">
        <v>3.107954249E9</v>
      </c>
      <c r="E2400" s="1" t="s">
        <v>11425</v>
      </c>
      <c r="F2400" s="1"/>
      <c r="G2400" s="1" t="s">
        <v>3191</v>
      </c>
      <c r="H2400" s="1" t="s">
        <v>989</v>
      </c>
      <c r="I2400" s="1">
        <v>90266.0</v>
      </c>
      <c r="J2400" s="1" t="s">
        <v>752</v>
      </c>
      <c r="K2400" s="1" t="s">
        <v>42</v>
      </c>
      <c r="L2400" s="1" t="s">
        <v>6819</v>
      </c>
      <c r="M2400" s="1">
        <v>49.0</v>
      </c>
      <c r="N2400" s="1" t="s">
        <v>1152</v>
      </c>
      <c r="O2400" s="3" t="s">
        <v>3597</v>
      </c>
      <c r="P2400" s="1" t="s">
        <v>1152</v>
      </c>
      <c r="Q2400" s="1" t="s">
        <v>1152</v>
      </c>
      <c r="R2400" s="1"/>
      <c r="S2400" s="1"/>
      <c r="T2400" s="1" t="s">
        <v>1152</v>
      </c>
      <c r="U2400" s="1" t="s">
        <v>1080</v>
      </c>
      <c r="V2400" s="4" t="s">
        <v>3597</v>
      </c>
      <c r="W2400" s="1"/>
      <c r="X2400" s="1" t="s">
        <v>1152</v>
      </c>
      <c r="Y2400" s="1" t="s">
        <v>1152</v>
      </c>
      <c r="Z2400" s="1"/>
      <c r="AA2400" s="1"/>
      <c r="AB2400" s="1"/>
      <c r="AC2400" s="1" t="s">
        <v>1925</v>
      </c>
      <c r="AD2400" s="1"/>
      <c r="AE2400" s="18">
        <v>46146.0</v>
      </c>
      <c r="AF2400" s="1" t="s">
        <v>1030</v>
      </c>
      <c r="AG2400" s="1" t="s">
        <v>52</v>
      </c>
      <c r="AH2400" s="1" t="s">
        <v>1152</v>
      </c>
      <c r="AI2400" s="1" t="s">
        <v>1152</v>
      </c>
      <c r="AJ2400" s="1" t="s">
        <v>11426</v>
      </c>
      <c r="AK2400" s="1" t="s">
        <v>1152</v>
      </c>
      <c r="AL2400" s="6"/>
      <c r="AM2400" s="12">
        <v>3.104334207E9</v>
      </c>
    </row>
    <row r="2401">
      <c r="A2401" s="5" t="s">
        <v>11427</v>
      </c>
      <c r="B2401" s="1" t="s">
        <v>11428</v>
      </c>
      <c r="C2401" s="1" t="s">
        <v>572</v>
      </c>
      <c r="D2401" s="2">
        <v>9.172141935E9</v>
      </c>
      <c r="E2401" s="1" t="s">
        <v>5355</v>
      </c>
      <c r="F2401" s="1"/>
      <c r="G2401" s="1" t="s">
        <v>1382</v>
      </c>
      <c r="H2401" s="1" t="s">
        <v>751</v>
      </c>
      <c r="I2401" s="1">
        <v>10583.0</v>
      </c>
      <c r="J2401" s="1" t="s">
        <v>752</v>
      </c>
      <c r="K2401" s="1" t="s">
        <v>42</v>
      </c>
      <c r="L2401" s="1" t="s">
        <v>8715</v>
      </c>
      <c r="M2401" s="1">
        <v>139.0</v>
      </c>
      <c r="N2401" s="1" t="s">
        <v>1152</v>
      </c>
      <c r="O2401" s="3" t="s">
        <v>576</v>
      </c>
      <c r="P2401" s="1" t="s">
        <v>1152</v>
      </c>
      <c r="Q2401" s="1" t="s">
        <v>1152</v>
      </c>
      <c r="R2401" s="1"/>
      <c r="S2401" s="1"/>
      <c r="T2401" s="1" t="s">
        <v>1152</v>
      </c>
      <c r="U2401" s="1" t="s">
        <v>1039</v>
      </c>
      <c r="V2401" s="4" t="s">
        <v>576</v>
      </c>
      <c r="W2401" s="1"/>
      <c r="X2401" s="1" t="s">
        <v>1152</v>
      </c>
      <c r="Y2401" s="1" t="s">
        <v>1152</v>
      </c>
      <c r="Z2401" s="1"/>
      <c r="AA2401" s="1"/>
      <c r="AB2401" s="1"/>
      <c r="AC2401" s="1" t="s">
        <v>1925</v>
      </c>
      <c r="AD2401" s="1"/>
      <c r="AE2401" s="18">
        <v>46149.0</v>
      </c>
      <c r="AF2401" s="1" t="s">
        <v>1030</v>
      </c>
      <c r="AG2401" s="1" t="s">
        <v>52</v>
      </c>
      <c r="AH2401" s="1" t="s">
        <v>1152</v>
      </c>
      <c r="AI2401" s="1" t="s">
        <v>11429</v>
      </c>
      <c r="AJ2401" s="1" t="s">
        <v>574</v>
      </c>
      <c r="AK2401" s="1" t="s">
        <v>1152</v>
      </c>
      <c r="AL2401" s="6"/>
      <c r="AM2401" s="12">
        <v>9.175727002E9</v>
      </c>
    </row>
    <row r="2402">
      <c r="A2402" s="5" t="s">
        <v>11430</v>
      </c>
      <c r="B2402" s="1" t="s">
        <v>11431</v>
      </c>
      <c r="C2402" s="1" t="s">
        <v>11432</v>
      </c>
      <c r="D2402" s="2">
        <v>5.027026505E9</v>
      </c>
      <c r="E2402" s="1" t="s">
        <v>7077</v>
      </c>
      <c r="F2402" s="1"/>
      <c r="G2402" s="1" t="s">
        <v>1283</v>
      </c>
      <c r="H2402" s="1" t="s">
        <v>1155</v>
      </c>
      <c r="I2402" s="1">
        <v>63105.0</v>
      </c>
      <c r="J2402" s="1" t="s">
        <v>752</v>
      </c>
      <c r="K2402" s="1" t="s">
        <v>2131</v>
      </c>
      <c r="L2402" s="1" t="s">
        <v>5736</v>
      </c>
      <c r="M2402" s="1">
        <v>1.0</v>
      </c>
      <c r="N2402" s="1" t="s">
        <v>1152</v>
      </c>
      <c r="O2402" s="3" t="s">
        <v>3954</v>
      </c>
      <c r="P2402" s="1" t="s">
        <v>1152</v>
      </c>
      <c r="Q2402" s="1" t="s">
        <v>1152</v>
      </c>
      <c r="R2402" s="1"/>
      <c r="S2402" s="1"/>
      <c r="T2402" s="1" t="s">
        <v>1152</v>
      </c>
      <c r="U2402" s="1" t="s">
        <v>1537</v>
      </c>
      <c r="V2402" s="4" t="s">
        <v>3954</v>
      </c>
      <c r="W2402" s="1"/>
      <c r="X2402" s="1" t="s">
        <v>1152</v>
      </c>
      <c r="Y2402" s="1" t="s">
        <v>1152</v>
      </c>
      <c r="Z2402" s="1"/>
      <c r="AA2402" s="1"/>
      <c r="AB2402" s="1"/>
      <c r="AC2402" s="1" t="s">
        <v>1925</v>
      </c>
      <c r="AD2402" s="1"/>
      <c r="AE2402" s="18">
        <v>46147.0</v>
      </c>
      <c r="AF2402" s="1"/>
      <c r="AG2402" s="1"/>
      <c r="AH2402" s="1" t="s">
        <v>1152</v>
      </c>
      <c r="AI2402" s="1" t="s">
        <v>1152</v>
      </c>
      <c r="AJ2402" s="1" t="s">
        <v>10068</v>
      </c>
      <c r="AK2402" s="1" t="s">
        <v>1152</v>
      </c>
      <c r="AL2402" s="6"/>
      <c r="AM2402" s="12">
        <v>5.027026505E9</v>
      </c>
    </row>
    <row r="2403">
      <c r="A2403" s="5" t="s">
        <v>11433</v>
      </c>
      <c r="B2403" s="1" t="s">
        <v>11434</v>
      </c>
      <c r="C2403" s="1" t="s">
        <v>11435</v>
      </c>
      <c r="D2403" s="2">
        <v>5.572289675E9</v>
      </c>
      <c r="E2403" s="1" t="s">
        <v>11436</v>
      </c>
      <c r="F2403" s="1"/>
      <c r="G2403" s="1" t="s">
        <v>2350</v>
      </c>
      <c r="H2403" s="1" t="s">
        <v>1155</v>
      </c>
      <c r="I2403" s="1">
        <v>63105.0</v>
      </c>
      <c r="J2403" s="1" t="s">
        <v>752</v>
      </c>
      <c r="K2403" s="1" t="s">
        <v>42</v>
      </c>
      <c r="L2403" s="1" t="s">
        <v>6819</v>
      </c>
      <c r="M2403" s="1">
        <v>49.0</v>
      </c>
      <c r="N2403" s="1" t="s">
        <v>1152</v>
      </c>
      <c r="O2403" s="3" t="s">
        <v>4549</v>
      </c>
      <c r="P2403" s="1" t="s">
        <v>1152</v>
      </c>
      <c r="Q2403" s="1" t="s">
        <v>1152</v>
      </c>
      <c r="R2403" s="1"/>
      <c r="S2403" s="1"/>
      <c r="T2403" s="1" t="s">
        <v>1152</v>
      </c>
      <c r="U2403" s="1" t="s">
        <v>1376</v>
      </c>
      <c r="V2403" s="4" t="s">
        <v>4549</v>
      </c>
      <c r="W2403" s="1"/>
      <c r="X2403" s="1" t="s">
        <v>1152</v>
      </c>
      <c r="Y2403" s="1" t="s">
        <v>1152</v>
      </c>
      <c r="Z2403" s="1"/>
      <c r="AA2403" s="1"/>
      <c r="AB2403" s="1"/>
      <c r="AC2403" s="1" t="s">
        <v>1925</v>
      </c>
      <c r="AD2403" s="1"/>
      <c r="AE2403" s="18">
        <v>46149.0</v>
      </c>
      <c r="AF2403" s="1" t="s">
        <v>1030</v>
      </c>
      <c r="AG2403" s="1" t="s">
        <v>52</v>
      </c>
      <c r="AH2403" s="1" t="s">
        <v>1152</v>
      </c>
      <c r="AI2403" s="1" t="s">
        <v>1152</v>
      </c>
      <c r="AJ2403" s="1" t="s">
        <v>11436</v>
      </c>
      <c r="AK2403" s="1" t="s">
        <v>1152</v>
      </c>
      <c r="AL2403" s="6"/>
      <c r="AM2403" s="12">
        <v>5.572289675E9</v>
      </c>
    </row>
    <row r="2404">
      <c r="A2404" s="5" t="s">
        <v>11437</v>
      </c>
      <c r="B2404" s="1" t="s">
        <v>11438</v>
      </c>
      <c r="C2404" s="1" t="s">
        <v>11439</v>
      </c>
      <c r="D2404" s="2">
        <v>3.146590578E9</v>
      </c>
      <c r="E2404" s="1" t="s">
        <v>11440</v>
      </c>
      <c r="F2404" s="1"/>
      <c r="G2404" s="1" t="s">
        <v>2857</v>
      </c>
      <c r="H2404" s="1" t="s">
        <v>1155</v>
      </c>
      <c r="I2404" s="1">
        <v>63130.0</v>
      </c>
      <c r="J2404" s="1" t="s">
        <v>752</v>
      </c>
      <c r="K2404" s="1" t="s">
        <v>42</v>
      </c>
      <c r="L2404" s="1" t="s">
        <v>6819</v>
      </c>
      <c r="M2404" s="1">
        <v>49.0</v>
      </c>
      <c r="N2404" s="1" t="s">
        <v>1152</v>
      </c>
      <c r="O2404" s="3" t="s">
        <v>3042</v>
      </c>
      <c r="P2404" s="1" t="s">
        <v>1152</v>
      </c>
      <c r="Q2404" s="1" t="s">
        <v>1152</v>
      </c>
      <c r="R2404" s="1"/>
      <c r="S2404" s="1"/>
      <c r="T2404" s="1" t="s">
        <v>1152</v>
      </c>
      <c r="U2404" s="1" t="s">
        <v>1812</v>
      </c>
      <c r="V2404" s="4" t="s">
        <v>3042</v>
      </c>
      <c r="W2404" s="1"/>
      <c r="X2404" s="1" t="s">
        <v>1152</v>
      </c>
      <c r="Y2404" s="1" t="s">
        <v>1152</v>
      </c>
      <c r="Z2404" s="1"/>
      <c r="AA2404" s="1"/>
      <c r="AB2404" s="1"/>
      <c r="AC2404" s="1" t="s">
        <v>1925</v>
      </c>
      <c r="AD2404" s="1"/>
      <c r="AE2404" s="18">
        <v>46148.0</v>
      </c>
      <c r="AF2404" s="1" t="s">
        <v>1030</v>
      </c>
      <c r="AG2404" s="1" t="s">
        <v>52</v>
      </c>
      <c r="AH2404" s="1" t="s">
        <v>1152</v>
      </c>
      <c r="AI2404" s="1" t="s">
        <v>1152</v>
      </c>
      <c r="AJ2404" s="1" t="s">
        <v>11440</v>
      </c>
      <c r="AK2404" s="1" t="s">
        <v>1152</v>
      </c>
      <c r="AL2404" s="6"/>
      <c r="AM2404" s="12">
        <v>3.146590578E9</v>
      </c>
    </row>
    <row r="2405">
      <c r="A2405" s="5" t="s">
        <v>11441</v>
      </c>
      <c r="B2405" s="1" t="s">
        <v>11442</v>
      </c>
      <c r="C2405" s="1" t="s">
        <v>6125</v>
      </c>
      <c r="D2405" s="2">
        <v>9.565887369E9</v>
      </c>
      <c r="E2405" s="1" t="s">
        <v>6126</v>
      </c>
      <c r="F2405" s="1"/>
      <c r="G2405" s="1" t="s">
        <v>6127</v>
      </c>
      <c r="H2405" s="1" t="s">
        <v>1583</v>
      </c>
      <c r="I2405" s="1" t="s">
        <v>6128</v>
      </c>
      <c r="J2405" s="1" t="s">
        <v>752</v>
      </c>
      <c r="K2405" s="1" t="s">
        <v>892</v>
      </c>
      <c r="L2405" s="1" t="s">
        <v>8134</v>
      </c>
      <c r="M2405" s="1">
        <v>79.0</v>
      </c>
      <c r="N2405" s="1" t="s">
        <v>1152</v>
      </c>
      <c r="O2405" s="3" t="s">
        <v>11443</v>
      </c>
      <c r="P2405" s="1" t="s">
        <v>1152</v>
      </c>
      <c r="Q2405" s="1" t="s">
        <v>1152</v>
      </c>
      <c r="R2405" s="1"/>
      <c r="S2405" s="1"/>
      <c r="T2405" s="1" t="s">
        <v>1152</v>
      </c>
      <c r="U2405" s="1" t="s">
        <v>2510</v>
      </c>
      <c r="V2405" s="4" t="s">
        <v>11443</v>
      </c>
      <c r="W2405" s="1"/>
      <c r="X2405" s="1" t="s">
        <v>1152</v>
      </c>
      <c r="Y2405" s="1" t="s">
        <v>1152</v>
      </c>
      <c r="Z2405" s="1"/>
      <c r="AA2405" s="1"/>
      <c r="AB2405" s="1"/>
      <c r="AC2405" s="1" t="s">
        <v>1925</v>
      </c>
      <c r="AD2405" s="1"/>
      <c r="AE2405" s="18">
        <v>46158.0</v>
      </c>
      <c r="AF2405" s="1" t="s">
        <v>1103</v>
      </c>
      <c r="AG2405" s="1" t="s">
        <v>52</v>
      </c>
      <c r="AH2405" s="1" t="s">
        <v>11444</v>
      </c>
      <c r="AI2405" s="1" t="s">
        <v>1152</v>
      </c>
      <c r="AJ2405" s="1" t="s">
        <v>6126</v>
      </c>
      <c r="AK2405" s="1" t="s">
        <v>1152</v>
      </c>
      <c r="AL2405" s="6"/>
      <c r="AM2405" s="12">
        <v>9.565887369E9</v>
      </c>
    </row>
    <row r="2406">
      <c r="A2406" s="5" t="s">
        <v>11445</v>
      </c>
      <c r="B2406" s="1" t="s">
        <v>11446</v>
      </c>
      <c r="C2406" s="1" t="s">
        <v>11447</v>
      </c>
      <c r="D2406" s="2">
        <v>5.083410848E9</v>
      </c>
      <c r="E2406" s="1" t="s">
        <v>11448</v>
      </c>
      <c r="F2406" s="1"/>
      <c r="G2406" s="1" t="s">
        <v>2625</v>
      </c>
      <c r="H2406" s="1" t="s">
        <v>1121</v>
      </c>
      <c r="I2406" s="1">
        <v>2492.0</v>
      </c>
      <c r="J2406" s="1" t="s">
        <v>752</v>
      </c>
      <c r="K2406" s="1" t="s">
        <v>42</v>
      </c>
      <c r="L2406" s="1" t="s">
        <v>7863</v>
      </c>
      <c r="M2406" s="1">
        <v>79.0</v>
      </c>
      <c r="N2406" s="1" t="s">
        <v>1152</v>
      </c>
      <c r="O2406" s="3" t="s">
        <v>11449</v>
      </c>
      <c r="P2406" s="1" t="s">
        <v>1152</v>
      </c>
      <c r="Q2406" s="1" t="s">
        <v>1152</v>
      </c>
      <c r="R2406" s="1"/>
      <c r="S2406" s="1"/>
      <c r="T2406" s="1" t="s">
        <v>1152</v>
      </c>
      <c r="U2406" s="1" t="s">
        <v>2236</v>
      </c>
      <c r="V2406" s="4" t="s">
        <v>11449</v>
      </c>
      <c r="W2406" s="1"/>
      <c r="X2406" s="1" t="s">
        <v>1152</v>
      </c>
      <c r="Y2406" s="1" t="s">
        <v>1152</v>
      </c>
      <c r="Z2406" s="1"/>
      <c r="AA2406" s="1"/>
      <c r="AB2406" s="1"/>
      <c r="AC2406" s="1" t="s">
        <v>1925</v>
      </c>
      <c r="AD2406" s="1"/>
      <c r="AE2406" s="18">
        <v>46144.0</v>
      </c>
      <c r="AF2406" s="1" t="s">
        <v>1630</v>
      </c>
      <c r="AG2406" s="1" t="s">
        <v>52</v>
      </c>
      <c r="AH2406" s="1" t="s">
        <v>1152</v>
      </c>
      <c r="AI2406" s="1" t="s">
        <v>11450</v>
      </c>
      <c r="AJ2406" s="1" t="s">
        <v>11451</v>
      </c>
      <c r="AK2406" s="1" t="s">
        <v>1152</v>
      </c>
      <c r="AL2406" s="6"/>
      <c r="AM2406" s="12">
        <v>6.175102879E9</v>
      </c>
    </row>
    <row r="2407">
      <c r="A2407" s="5" t="s">
        <v>11452</v>
      </c>
      <c r="B2407" s="1" t="s">
        <v>11453</v>
      </c>
      <c r="C2407" s="1" t="s">
        <v>11454</v>
      </c>
      <c r="D2407" s="2">
        <v>3.47843139E9</v>
      </c>
      <c r="E2407" s="1" t="s">
        <v>2818</v>
      </c>
      <c r="F2407" s="1" t="s">
        <v>11455</v>
      </c>
      <c r="G2407" s="1" t="s">
        <v>751</v>
      </c>
      <c r="H2407" s="1" t="s">
        <v>751</v>
      </c>
      <c r="I2407" s="1">
        <v>10022.0</v>
      </c>
      <c r="J2407" s="1" t="s">
        <v>752</v>
      </c>
      <c r="K2407" s="1" t="s">
        <v>42</v>
      </c>
      <c r="L2407" s="1" t="s">
        <v>7863</v>
      </c>
      <c r="M2407" s="1">
        <v>79.0</v>
      </c>
      <c r="N2407" s="1" t="s">
        <v>1152</v>
      </c>
      <c r="O2407" s="3"/>
      <c r="P2407" s="1" t="s">
        <v>1152</v>
      </c>
      <c r="Q2407" s="1" t="s">
        <v>1152</v>
      </c>
      <c r="R2407" s="1" t="s">
        <v>11455</v>
      </c>
      <c r="S2407" s="1"/>
      <c r="T2407" s="1" t="s">
        <v>1152</v>
      </c>
      <c r="U2407" s="1"/>
      <c r="V2407" s="4"/>
      <c r="W2407" s="1" t="s">
        <v>11455</v>
      </c>
      <c r="X2407" s="1" t="s">
        <v>1152</v>
      </c>
      <c r="Y2407" s="1" t="s">
        <v>1152</v>
      </c>
      <c r="Z2407" s="1"/>
      <c r="AA2407" s="1" t="s">
        <v>11455</v>
      </c>
      <c r="AB2407" s="1"/>
      <c r="AC2407" s="1" t="s">
        <v>1925</v>
      </c>
      <c r="AD2407" s="1"/>
      <c r="AE2407" s="18">
        <v>46256.0</v>
      </c>
      <c r="AF2407" s="1" t="s">
        <v>1440</v>
      </c>
      <c r="AG2407" s="1" t="s">
        <v>124</v>
      </c>
      <c r="AH2407" s="1" t="s">
        <v>1152</v>
      </c>
      <c r="AI2407" s="1" t="s">
        <v>1152</v>
      </c>
      <c r="AJ2407" s="1" t="s">
        <v>2818</v>
      </c>
      <c r="AK2407" s="1" t="s">
        <v>1152</v>
      </c>
      <c r="AL2407" s="6"/>
      <c r="AM2407" s="12">
        <v>3.47843139E9</v>
      </c>
    </row>
    <row r="2408">
      <c r="A2408" s="5" t="s">
        <v>11456</v>
      </c>
      <c r="B2408" s="1" t="s">
        <v>11457</v>
      </c>
      <c r="C2408" s="1" t="s">
        <v>11458</v>
      </c>
      <c r="D2408" s="2">
        <v>6.192549569E9</v>
      </c>
      <c r="E2408" s="1" t="s">
        <v>11459</v>
      </c>
      <c r="F2408" s="1"/>
      <c r="G2408" s="1" t="s">
        <v>11460</v>
      </c>
      <c r="H2408" s="1" t="s">
        <v>989</v>
      </c>
      <c r="I2408" s="1">
        <v>92037.0</v>
      </c>
      <c r="J2408" s="1" t="s">
        <v>752</v>
      </c>
      <c r="K2408" s="1" t="s">
        <v>42</v>
      </c>
      <c r="L2408" s="1" t="s">
        <v>6819</v>
      </c>
      <c r="M2408" s="1">
        <v>49.0</v>
      </c>
      <c r="N2408" s="1" t="s">
        <v>1152</v>
      </c>
      <c r="O2408" s="3" t="s">
        <v>11461</v>
      </c>
      <c r="P2408" s="1" t="s">
        <v>1152</v>
      </c>
      <c r="Q2408" s="1" t="s">
        <v>1152</v>
      </c>
      <c r="R2408" s="1"/>
      <c r="S2408" s="1"/>
      <c r="T2408" s="1" t="s">
        <v>1152</v>
      </c>
      <c r="U2408" s="1" t="s">
        <v>6053</v>
      </c>
      <c r="V2408" s="4" t="s">
        <v>11461</v>
      </c>
      <c r="W2408" s="1"/>
      <c r="X2408" s="1" t="s">
        <v>1152</v>
      </c>
      <c r="Y2408" s="1" t="s">
        <v>1152</v>
      </c>
      <c r="Z2408" s="1"/>
      <c r="AA2408" s="1"/>
      <c r="AB2408" s="1"/>
      <c r="AC2408" s="1" t="s">
        <v>1925</v>
      </c>
      <c r="AD2408" s="1"/>
      <c r="AE2408" s="18">
        <v>46148.0</v>
      </c>
      <c r="AF2408" s="1" t="s">
        <v>1030</v>
      </c>
      <c r="AG2408" s="1" t="s">
        <v>52</v>
      </c>
      <c r="AH2408" s="1" t="s">
        <v>1152</v>
      </c>
      <c r="AI2408" s="1" t="s">
        <v>1152</v>
      </c>
      <c r="AJ2408" s="1" t="s">
        <v>11459</v>
      </c>
      <c r="AK2408" s="1" t="s">
        <v>1152</v>
      </c>
      <c r="AL2408" s="6"/>
      <c r="AM2408" s="12">
        <v>6.192549569E9</v>
      </c>
    </row>
    <row r="2409">
      <c r="A2409" s="5" t="s">
        <v>11462</v>
      </c>
      <c r="B2409" s="1" t="s">
        <v>11463</v>
      </c>
      <c r="C2409" s="1" t="s">
        <v>11464</v>
      </c>
      <c r="D2409" s="2">
        <v>4.157474619E9</v>
      </c>
      <c r="E2409" s="1" t="s">
        <v>9227</v>
      </c>
      <c r="F2409" s="1"/>
      <c r="G2409" s="1" t="s">
        <v>6062</v>
      </c>
      <c r="H2409" s="1" t="s">
        <v>1078</v>
      </c>
      <c r="I2409" s="1">
        <v>6612.0</v>
      </c>
      <c r="J2409" s="1" t="s">
        <v>752</v>
      </c>
      <c r="K2409" s="1" t="s">
        <v>42</v>
      </c>
      <c r="L2409" s="1" t="s">
        <v>6819</v>
      </c>
      <c r="M2409" s="1">
        <v>49.0</v>
      </c>
      <c r="N2409" s="1" t="s">
        <v>1152</v>
      </c>
      <c r="O2409" s="3" t="s">
        <v>11465</v>
      </c>
      <c r="P2409" s="1" t="s">
        <v>1152</v>
      </c>
      <c r="Q2409" s="1" t="s">
        <v>1152</v>
      </c>
      <c r="R2409" s="1"/>
      <c r="S2409" s="1"/>
      <c r="T2409" s="1" t="s">
        <v>1152</v>
      </c>
      <c r="U2409" s="1" t="s">
        <v>1407</v>
      </c>
      <c r="V2409" s="4" t="s">
        <v>11465</v>
      </c>
      <c r="W2409" s="1"/>
      <c r="X2409" s="1" t="s">
        <v>1152</v>
      </c>
      <c r="Y2409" s="1" t="s">
        <v>1152</v>
      </c>
      <c r="Z2409" s="1"/>
      <c r="AA2409" s="1"/>
      <c r="AB2409" s="1"/>
      <c r="AC2409" s="1" t="s">
        <v>1925</v>
      </c>
      <c r="AD2409" s="1"/>
      <c r="AE2409" s="18">
        <v>46149.0</v>
      </c>
      <c r="AF2409" s="1" t="s">
        <v>3186</v>
      </c>
      <c r="AG2409" s="1" t="s">
        <v>52</v>
      </c>
      <c r="AH2409" s="1" t="s">
        <v>1152</v>
      </c>
      <c r="AI2409" s="1" t="s">
        <v>1152</v>
      </c>
      <c r="AJ2409" s="1" t="s">
        <v>9228</v>
      </c>
      <c r="AK2409" s="1" t="s">
        <v>1152</v>
      </c>
      <c r="AL2409" s="6"/>
      <c r="AM2409" s="12" t="s">
        <v>11466</v>
      </c>
    </row>
    <row r="2410">
      <c r="A2410" s="5" t="s">
        <v>11467</v>
      </c>
      <c r="B2410" s="1" t="s">
        <v>11468</v>
      </c>
      <c r="C2410" s="1" t="s">
        <v>11469</v>
      </c>
      <c r="D2410" s="2">
        <v>6.784277093E9</v>
      </c>
      <c r="E2410" s="1" t="s">
        <v>820</v>
      </c>
      <c r="F2410" s="1"/>
      <c r="G2410" s="1" t="s">
        <v>11470</v>
      </c>
      <c r="H2410" s="1" t="s">
        <v>946</v>
      </c>
      <c r="I2410" s="1">
        <v>30030.0</v>
      </c>
      <c r="J2410" s="1" t="s">
        <v>752</v>
      </c>
      <c r="K2410" s="1" t="s">
        <v>66</v>
      </c>
      <c r="L2410" s="1" t="s">
        <v>5811</v>
      </c>
      <c r="M2410" s="1">
        <v>145.0</v>
      </c>
      <c r="N2410" s="1" t="s">
        <v>1152</v>
      </c>
      <c r="O2410" s="3" t="s">
        <v>180</v>
      </c>
      <c r="P2410" s="18">
        <v>46255.0</v>
      </c>
      <c r="Q2410" s="1" t="s">
        <v>1152</v>
      </c>
      <c r="R2410" s="1"/>
      <c r="S2410" s="1"/>
      <c r="T2410" s="1" t="s">
        <v>1152</v>
      </c>
      <c r="U2410" s="1" t="s">
        <v>948</v>
      </c>
      <c r="V2410" s="4" t="s">
        <v>180</v>
      </c>
      <c r="W2410" s="1"/>
      <c r="X2410" s="18">
        <v>46255.0</v>
      </c>
      <c r="Y2410" s="1" t="s">
        <v>1152</v>
      </c>
      <c r="Z2410" s="1"/>
      <c r="AA2410" s="1"/>
      <c r="AB2410" s="1"/>
      <c r="AC2410" s="1" t="s">
        <v>1925</v>
      </c>
      <c r="AD2410" s="1"/>
      <c r="AE2410" s="1" t="s">
        <v>1152</v>
      </c>
      <c r="AF2410" s="1"/>
      <c r="AG2410" s="1"/>
      <c r="AH2410" s="1" t="s">
        <v>1152</v>
      </c>
      <c r="AI2410" s="1" t="s">
        <v>1152</v>
      </c>
      <c r="AJ2410" s="1" t="s">
        <v>8870</v>
      </c>
      <c r="AK2410" s="1" t="s">
        <v>1152</v>
      </c>
      <c r="AL2410" s="6"/>
      <c r="AM2410" s="12" t="s">
        <v>11471</v>
      </c>
    </row>
    <row r="2411">
      <c r="A2411" s="5" t="s">
        <v>11472</v>
      </c>
      <c r="B2411" s="1" t="s">
        <v>11473</v>
      </c>
      <c r="C2411" s="1" t="s">
        <v>665</v>
      </c>
      <c r="D2411" s="2">
        <v>4.806949495E9</v>
      </c>
      <c r="E2411" s="1" t="s">
        <v>666</v>
      </c>
      <c r="F2411" s="1"/>
      <c r="G2411" s="1" t="s">
        <v>2673</v>
      </c>
      <c r="H2411" s="1" t="s">
        <v>1535</v>
      </c>
      <c r="I2411" s="1">
        <v>85024.0</v>
      </c>
      <c r="J2411" s="1" t="s">
        <v>752</v>
      </c>
      <c r="K2411" s="1" t="s">
        <v>42</v>
      </c>
      <c r="L2411" s="1" t="s">
        <v>6819</v>
      </c>
      <c r="M2411" s="1">
        <v>49.0</v>
      </c>
      <c r="N2411" s="1" t="s">
        <v>1152</v>
      </c>
      <c r="O2411" s="3" t="s">
        <v>3392</v>
      </c>
      <c r="P2411" s="1" t="s">
        <v>1152</v>
      </c>
      <c r="Q2411" s="1" t="s">
        <v>1152</v>
      </c>
      <c r="R2411" s="1"/>
      <c r="S2411" s="1"/>
      <c r="T2411" s="1" t="s">
        <v>1152</v>
      </c>
      <c r="U2411" s="1" t="s">
        <v>1710</v>
      </c>
      <c r="V2411" s="4" t="s">
        <v>3392</v>
      </c>
      <c r="W2411" s="1"/>
      <c r="X2411" s="1" t="s">
        <v>1152</v>
      </c>
      <c r="Y2411" s="1" t="s">
        <v>1152</v>
      </c>
      <c r="Z2411" s="1"/>
      <c r="AA2411" s="1"/>
      <c r="AB2411" s="1"/>
      <c r="AC2411" s="1" t="s">
        <v>1925</v>
      </c>
      <c r="AD2411" s="1"/>
      <c r="AE2411" s="18">
        <v>46148.0</v>
      </c>
      <c r="AF2411" s="1" t="s">
        <v>1440</v>
      </c>
      <c r="AG2411" s="1" t="s">
        <v>52</v>
      </c>
      <c r="AH2411" s="1" t="s">
        <v>1152</v>
      </c>
      <c r="AI2411" s="1" t="s">
        <v>1152</v>
      </c>
      <c r="AJ2411" s="1" t="s">
        <v>666</v>
      </c>
      <c r="AK2411" s="1" t="s">
        <v>1152</v>
      </c>
      <c r="AL2411" s="6"/>
      <c r="AM2411" s="12">
        <v>4.806949495E9</v>
      </c>
    </row>
    <row r="2412">
      <c r="A2412" s="5" t="s">
        <v>11474</v>
      </c>
      <c r="B2412" s="1" t="s">
        <v>11475</v>
      </c>
      <c r="C2412" s="1" t="s">
        <v>5954</v>
      </c>
      <c r="D2412" s="2">
        <v>3.124481629E9</v>
      </c>
      <c r="E2412" s="1" t="s">
        <v>11476</v>
      </c>
      <c r="F2412" s="1"/>
      <c r="G2412" s="1" t="s">
        <v>1072</v>
      </c>
      <c r="H2412" s="1" t="s">
        <v>1019</v>
      </c>
      <c r="I2412" s="1">
        <v>60657.0</v>
      </c>
      <c r="J2412" s="1" t="s">
        <v>752</v>
      </c>
      <c r="K2412" s="1" t="s">
        <v>42</v>
      </c>
      <c r="L2412" s="1" t="s">
        <v>7863</v>
      </c>
      <c r="M2412" s="1">
        <v>79.0</v>
      </c>
      <c r="N2412" s="1" t="s">
        <v>1152</v>
      </c>
      <c r="O2412" s="3" t="s">
        <v>11477</v>
      </c>
      <c r="P2412" s="1" t="s">
        <v>1152</v>
      </c>
      <c r="Q2412" s="1" t="s">
        <v>1152</v>
      </c>
      <c r="R2412" s="1"/>
      <c r="S2412" s="1"/>
      <c r="T2412" s="1" t="s">
        <v>1152</v>
      </c>
      <c r="U2412" s="1" t="s">
        <v>2510</v>
      </c>
      <c r="V2412" s="4" t="s">
        <v>11477</v>
      </c>
      <c r="W2412" s="1"/>
      <c r="X2412" s="1" t="s">
        <v>1152</v>
      </c>
      <c r="Y2412" s="1" t="s">
        <v>1152</v>
      </c>
      <c r="Z2412" s="1"/>
      <c r="AA2412" s="1"/>
      <c r="AB2412" s="1"/>
      <c r="AC2412" s="1" t="s">
        <v>1925</v>
      </c>
      <c r="AD2412" s="1"/>
      <c r="AE2412" s="18">
        <v>46146.0</v>
      </c>
      <c r="AF2412" s="1" t="s">
        <v>1030</v>
      </c>
      <c r="AG2412" s="1" t="s">
        <v>52</v>
      </c>
      <c r="AH2412" s="1" t="s">
        <v>1152</v>
      </c>
      <c r="AI2412" s="1" t="s">
        <v>11478</v>
      </c>
      <c r="AJ2412" s="1" t="s">
        <v>5955</v>
      </c>
      <c r="AK2412" s="1" t="s">
        <v>1152</v>
      </c>
      <c r="AL2412" s="6"/>
      <c r="AM2412" s="12">
        <v>3.124481629E9</v>
      </c>
    </row>
    <row r="2413">
      <c r="A2413" s="5" t="s">
        <v>11479</v>
      </c>
      <c r="B2413" s="1" t="s">
        <v>11480</v>
      </c>
      <c r="C2413" s="1" t="s">
        <v>8162</v>
      </c>
      <c r="D2413" s="2">
        <v>19178288162</v>
      </c>
      <c r="E2413" s="1" t="s">
        <v>8163</v>
      </c>
      <c r="F2413" s="1"/>
      <c r="G2413" s="1" t="s">
        <v>1766</v>
      </c>
      <c r="H2413" s="1" t="s">
        <v>1078</v>
      </c>
      <c r="I2413" s="1">
        <v>6830.0</v>
      </c>
      <c r="J2413" s="1" t="s">
        <v>752</v>
      </c>
      <c r="K2413" s="1" t="s">
        <v>42</v>
      </c>
      <c r="L2413" s="1" t="s">
        <v>6819</v>
      </c>
      <c r="M2413" s="1">
        <v>49.0</v>
      </c>
      <c r="N2413" s="1" t="s">
        <v>1152</v>
      </c>
      <c r="O2413" s="3" t="s">
        <v>1767</v>
      </c>
      <c r="P2413" s="1" t="s">
        <v>1152</v>
      </c>
      <c r="Q2413" s="1" t="s">
        <v>1152</v>
      </c>
      <c r="R2413" s="1"/>
      <c r="S2413" s="1"/>
      <c r="T2413" s="1" t="s">
        <v>1152</v>
      </c>
      <c r="U2413" s="1" t="s">
        <v>1133</v>
      </c>
      <c r="V2413" s="4" t="s">
        <v>1767</v>
      </c>
      <c r="W2413" s="1"/>
      <c r="X2413" s="1" t="s">
        <v>1152</v>
      </c>
      <c r="Y2413" s="1" t="s">
        <v>1152</v>
      </c>
      <c r="Z2413" s="1"/>
      <c r="AA2413" s="1"/>
      <c r="AB2413" s="1"/>
      <c r="AC2413" s="1" t="s">
        <v>1925</v>
      </c>
      <c r="AD2413" s="1"/>
      <c r="AE2413" s="18">
        <v>46146.0</v>
      </c>
      <c r="AF2413" s="1" t="s">
        <v>1349</v>
      </c>
      <c r="AG2413" s="1" t="s">
        <v>52</v>
      </c>
      <c r="AH2413" s="1" t="s">
        <v>1152</v>
      </c>
      <c r="AI2413" s="1" t="s">
        <v>1152</v>
      </c>
      <c r="AJ2413" s="1" t="s">
        <v>8163</v>
      </c>
      <c r="AK2413" s="1" t="s">
        <v>1152</v>
      </c>
      <c r="AL2413" s="6"/>
      <c r="AM2413" s="12">
        <v>9.178281862E9</v>
      </c>
    </row>
    <row r="2414">
      <c r="A2414" s="5" t="s">
        <v>11481</v>
      </c>
      <c r="B2414" s="1" t="s">
        <v>11482</v>
      </c>
      <c r="C2414" s="1" t="s">
        <v>11483</v>
      </c>
      <c r="D2414" s="2">
        <v>9.177764582E9</v>
      </c>
      <c r="E2414" s="1" t="s">
        <v>8000</v>
      </c>
      <c r="F2414" s="1"/>
      <c r="G2414" s="1" t="s">
        <v>751</v>
      </c>
      <c r="H2414" s="1" t="s">
        <v>751</v>
      </c>
      <c r="I2414" s="1">
        <v>10014.0</v>
      </c>
      <c r="J2414" s="1" t="s">
        <v>752</v>
      </c>
      <c r="K2414" s="1" t="s">
        <v>2131</v>
      </c>
      <c r="L2414" s="1" t="s">
        <v>5767</v>
      </c>
      <c r="M2414" s="1">
        <v>1.0</v>
      </c>
      <c r="N2414" s="1" t="s">
        <v>1152</v>
      </c>
      <c r="O2414" s="3" t="s">
        <v>8001</v>
      </c>
      <c r="P2414" s="1" t="s">
        <v>1152</v>
      </c>
      <c r="Q2414" s="1" t="s">
        <v>1152</v>
      </c>
      <c r="R2414" s="1"/>
      <c r="S2414" s="1"/>
      <c r="T2414" s="1" t="s">
        <v>1152</v>
      </c>
      <c r="U2414" s="1" t="s">
        <v>1324</v>
      </c>
      <c r="V2414" s="4" t="s">
        <v>8001</v>
      </c>
      <c r="W2414" s="1"/>
      <c r="X2414" s="1" t="s">
        <v>1152</v>
      </c>
      <c r="Y2414" s="1" t="s">
        <v>1152</v>
      </c>
      <c r="Z2414" s="1"/>
      <c r="AA2414" s="1"/>
      <c r="AB2414" s="1"/>
      <c r="AC2414" s="1" t="s">
        <v>1925</v>
      </c>
      <c r="AD2414" s="1"/>
      <c r="AE2414" s="18">
        <v>46144.0</v>
      </c>
      <c r="AF2414" s="1"/>
      <c r="AG2414" s="1"/>
      <c r="AH2414" s="1" t="s">
        <v>1152</v>
      </c>
      <c r="AI2414" s="1" t="s">
        <v>1152</v>
      </c>
      <c r="AJ2414" s="1" t="s">
        <v>8002</v>
      </c>
      <c r="AK2414" s="1" t="s">
        <v>1152</v>
      </c>
      <c r="AL2414" s="6"/>
      <c r="AM2414" s="12" t="s">
        <v>11484</v>
      </c>
    </row>
    <row r="2415">
      <c r="A2415" s="5" t="s">
        <v>11485</v>
      </c>
      <c r="B2415" s="1" t="s">
        <v>11486</v>
      </c>
      <c r="C2415" s="1" t="s">
        <v>11487</v>
      </c>
      <c r="D2415" s="2">
        <v>4.403642051E9</v>
      </c>
      <c r="E2415" s="1" t="s">
        <v>11488</v>
      </c>
      <c r="F2415" s="1"/>
      <c r="G2415" s="1" t="s">
        <v>2857</v>
      </c>
      <c r="H2415" s="1" t="s">
        <v>1155</v>
      </c>
      <c r="I2415" s="1">
        <v>63130.0</v>
      </c>
      <c r="J2415" s="1" t="s">
        <v>752</v>
      </c>
      <c r="K2415" s="1" t="s">
        <v>42</v>
      </c>
      <c r="L2415" s="1" t="s">
        <v>7863</v>
      </c>
      <c r="M2415" s="1">
        <v>79.0</v>
      </c>
      <c r="N2415" s="1" t="s">
        <v>1152</v>
      </c>
      <c r="O2415" s="3" t="s">
        <v>2188</v>
      </c>
      <c r="P2415" s="1" t="s">
        <v>1152</v>
      </c>
      <c r="Q2415" s="1" t="s">
        <v>1152</v>
      </c>
      <c r="R2415" s="1"/>
      <c r="S2415" s="1"/>
      <c r="T2415" s="1" t="s">
        <v>1152</v>
      </c>
      <c r="U2415" s="1" t="s">
        <v>982</v>
      </c>
      <c r="V2415" s="4" t="s">
        <v>2188</v>
      </c>
      <c r="W2415" s="1"/>
      <c r="X2415" s="1" t="s">
        <v>1152</v>
      </c>
      <c r="Y2415" s="1" t="s">
        <v>1152</v>
      </c>
      <c r="Z2415" s="1"/>
      <c r="AA2415" s="1"/>
      <c r="AB2415" s="1"/>
      <c r="AC2415" s="1" t="s">
        <v>1925</v>
      </c>
      <c r="AD2415" s="1"/>
      <c r="AE2415" s="18">
        <v>46146.0</v>
      </c>
      <c r="AF2415" s="1" t="s">
        <v>1440</v>
      </c>
      <c r="AG2415" s="1" t="s">
        <v>52</v>
      </c>
      <c r="AH2415" s="1" t="s">
        <v>1152</v>
      </c>
      <c r="AI2415" s="1" t="s">
        <v>1152</v>
      </c>
      <c r="AJ2415" s="1" t="s">
        <v>11488</v>
      </c>
      <c r="AK2415" s="1" t="s">
        <v>1152</v>
      </c>
      <c r="AL2415" s="6"/>
      <c r="AM2415" s="12">
        <v>4.403642051E9</v>
      </c>
    </row>
    <row r="2416">
      <c r="A2416" s="5" t="s">
        <v>11489</v>
      </c>
      <c r="B2416" s="1" t="s">
        <v>11490</v>
      </c>
      <c r="C2416" s="1" t="s">
        <v>11491</v>
      </c>
      <c r="D2416" s="2">
        <v>3.143058028E9</v>
      </c>
      <c r="E2416" s="1" t="s">
        <v>11492</v>
      </c>
      <c r="F2416" s="1"/>
      <c r="G2416" s="1" t="s">
        <v>2350</v>
      </c>
      <c r="H2416" s="1" t="s">
        <v>1155</v>
      </c>
      <c r="I2416" s="1">
        <v>63105.0</v>
      </c>
      <c r="J2416" s="1" t="s">
        <v>752</v>
      </c>
      <c r="K2416" s="1" t="s">
        <v>42</v>
      </c>
      <c r="L2416" s="1" t="s">
        <v>6819</v>
      </c>
      <c r="M2416" s="1">
        <v>49.0</v>
      </c>
      <c r="N2416" s="1" t="s">
        <v>1152</v>
      </c>
      <c r="O2416" s="3" t="s">
        <v>11493</v>
      </c>
      <c r="P2416" s="1" t="s">
        <v>1152</v>
      </c>
      <c r="Q2416" s="1" t="s">
        <v>1152</v>
      </c>
      <c r="R2416" s="1"/>
      <c r="S2416" s="1"/>
      <c r="T2416" s="1" t="s">
        <v>1152</v>
      </c>
      <c r="U2416" s="1" t="s">
        <v>1080</v>
      </c>
      <c r="V2416" s="4" t="s">
        <v>11493</v>
      </c>
      <c r="W2416" s="1"/>
      <c r="X2416" s="1" t="s">
        <v>1152</v>
      </c>
      <c r="Y2416" s="1" t="s">
        <v>1152</v>
      </c>
      <c r="Z2416" s="1"/>
      <c r="AA2416" s="1"/>
      <c r="AB2416" s="1"/>
      <c r="AC2416" s="1" t="s">
        <v>1925</v>
      </c>
      <c r="AD2416" s="1"/>
      <c r="AE2416" s="18">
        <v>46144.0</v>
      </c>
      <c r="AF2416" s="1" t="s">
        <v>1030</v>
      </c>
      <c r="AG2416" s="1" t="s">
        <v>52</v>
      </c>
      <c r="AH2416" s="1" t="s">
        <v>1152</v>
      </c>
      <c r="AI2416" s="1" t="s">
        <v>1152</v>
      </c>
      <c r="AJ2416" s="1" t="s">
        <v>11492</v>
      </c>
      <c r="AK2416" s="1" t="s">
        <v>1152</v>
      </c>
      <c r="AL2416" s="6"/>
      <c r="AM2416" s="12">
        <v>3.143058028E9</v>
      </c>
    </row>
    <row r="2417">
      <c r="A2417" s="5" t="s">
        <v>11494</v>
      </c>
      <c r="B2417" s="1" t="s">
        <v>11495</v>
      </c>
      <c r="C2417" s="1" t="s">
        <v>11496</v>
      </c>
      <c r="D2417" s="2">
        <v>2.0244133E9</v>
      </c>
      <c r="E2417" s="1" t="s">
        <v>11497</v>
      </c>
      <c r="F2417" s="1"/>
      <c r="G2417" s="1" t="s">
        <v>980</v>
      </c>
      <c r="H2417" s="1" t="s">
        <v>1063</v>
      </c>
      <c r="I2417" s="1">
        <v>20001.0</v>
      </c>
      <c r="J2417" s="1" t="s">
        <v>752</v>
      </c>
      <c r="K2417" s="1" t="s">
        <v>42</v>
      </c>
      <c r="L2417" s="1" t="s">
        <v>6819</v>
      </c>
      <c r="M2417" s="1">
        <v>49.0</v>
      </c>
      <c r="N2417" s="1" t="s">
        <v>1152</v>
      </c>
      <c r="O2417" s="3" t="s">
        <v>8458</v>
      </c>
      <c r="P2417" s="1" t="s">
        <v>1152</v>
      </c>
      <c r="Q2417" s="1" t="s">
        <v>1152</v>
      </c>
      <c r="R2417" s="1"/>
      <c r="S2417" s="1"/>
      <c r="T2417" s="1" t="s">
        <v>1152</v>
      </c>
      <c r="U2417" s="1" t="s">
        <v>1174</v>
      </c>
      <c r="V2417" s="4" t="s">
        <v>8458</v>
      </c>
      <c r="W2417" s="1"/>
      <c r="X2417" s="1" t="s">
        <v>1152</v>
      </c>
      <c r="Y2417" s="1" t="s">
        <v>1152</v>
      </c>
      <c r="Z2417" s="1"/>
      <c r="AA2417" s="1"/>
      <c r="AB2417" s="1"/>
      <c r="AC2417" s="1" t="s">
        <v>1925</v>
      </c>
      <c r="AD2417" s="1"/>
      <c r="AE2417" s="18">
        <v>46149.0</v>
      </c>
      <c r="AF2417" s="1" t="s">
        <v>1349</v>
      </c>
      <c r="AG2417" s="1" t="s">
        <v>52</v>
      </c>
      <c r="AH2417" s="1" t="s">
        <v>1152</v>
      </c>
      <c r="AI2417" s="1" t="s">
        <v>1152</v>
      </c>
      <c r="AJ2417" s="1" t="s">
        <v>11498</v>
      </c>
      <c r="AK2417" s="1" t="s">
        <v>1152</v>
      </c>
      <c r="AL2417" s="6"/>
      <c r="AM2417" s="12">
        <v>6.319839264E9</v>
      </c>
    </row>
    <row r="2418">
      <c r="A2418" s="5" t="s">
        <v>11499</v>
      </c>
      <c r="B2418" s="1" t="s">
        <v>11500</v>
      </c>
      <c r="C2418" s="1" t="s">
        <v>629</v>
      </c>
      <c r="D2418" s="2">
        <v>9.17828078E9</v>
      </c>
      <c r="E2418" s="1" t="s">
        <v>631</v>
      </c>
      <c r="F2418" s="1"/>
      <c r="G2418" s="1" t="s">
        <v>751</v>
      </c>
      <c r="H2418" s="1" t="s">
        <v>751</v>
      </c>
      <c r="I2418" s="1">
        <v>10028.0</v>
      </c>
      <c r="J2418" s="1" t="s">
        <v>752</v>
      </c>
      <c r="K2418" s="1" t="s">
        <v>892</v>
      </c>
      <c r="L2418" s="1" t="s">
        <v>8006</v>
      </c>
      <c r="M2418" s="1">
        <v>49.0</v>
      </c>
      <c r="N2418" s="1" t="s">
        <v>1152</v>
      </c>
      <c r="O2418" s="3" t="s">
        <v>11501</v>
      </c>
      <c r="P2418" s="1" t="s">
        <v>1152</v>
      </c>
      <c r="Q2418" s="1" t="s">
        <v>1152</v>
      </c>
      <c r="R2418" s="1"/>
      <c r="S2418" s="1"/>
      <c r="T2418" s="1" t="s">
        <v>1152</v>
      </c>
      <c r="U2418" s="1" t="s">
        <v>1065</v>
      </c>
      <c r="V2418" s="4" t="s">
        <v>11501</v>
      </c>
      <c r="W2418" s="1"/>
      <c r="X2418" s="1" t="s">
        <v>1152</v>
      </c>
      <c r="Y2418" s="1" t="s">
        <v>1152</v>
      </c>
      <c r="Z2418" s="1"/>
      <c r="AA2418" s="1"/>
      <c r="AB2418" s="1"/>
      <c r="AC2418" s="1" t="s">
        <v>1925</v>
      </c>
      <c r="AD2418" s="1"/>
      <c r="AE2418" s="18">
        <v>46146.0</v>
      </c>
      <c r="AF2418" s="1" t="s">
        <v>1030</v>
      </c>
      <c r="AG2418" s="1" t="s">
        <v>52</v>
      </c>
      <c r="AH2418" s="1" t="s">
        <v>11502</v>
      </c>
      <c r="AI2418" s="1" t="s">
        <v>1152</v>
      </c>
      <c r="AJ2418" s="1" t="s">
        <v>631</v>
      </c>
      <c r="AK2418" s="1" t="s">
        <v>1152</v>
      </c>
      <c r="AL2418" s="6"/>
      <c r="AM2418" s="12">
        <v>9.17828078E9</v>
      </c>
    </row>
    <row r="2419">
      <c r="A2419" s="5" t="s">
        <v>11503</v>
      </c>
      <c r="B2419" s="1" t="s">
        <v>11504</v>
      </c>
      <c r="C2419" s="1" t="s">
        <v>11505</v>
      </c>
      <c r="D2419" s="2">
        <v>7.542650198E9</v>
      </c>
      <c r="E2419" s="1" t="s">
        <v>11506</v>
      </c>
      <c r="F2419" s="1"/>
      <c r="G2419" s="1" t="s">
        <v>11507</v>
      </c>
      <c r="H2419" s="1" t="s">
        <v>1208</v>
      </c>
      <c r="I2419" s="1">
        <v>33328.0</v>
      </c>
      <c r="J2419" s="1" t="s">
        <v>752</v>
      </c>
      <c r="K2419" s="1" t="s">
        <v>42</v>
      </c>
      <c r="L2419" s="1" t="s">
        <v>6819</v>
      </c>
      <c r="M2419" s="1">
        <v>49.0</v>
      </c>
      <c r="N2419" s="1" t="s">
        <v>1152</v>
      </c>
      <c r="O2419" s="3" t="s">
        <v>5901</v>
      </c>
      <c r="P2419" s="1" t="s">
        <v>1152</v>
      </c>
      <c r="Q2419" s="1" t="s">
        <v>1152</v>
      </c>
      <c r="R2419" s="1"/>
      <c r="S2419" s="1"/>
      <c r="T2419" s="1" t="s">
        <v>1152</v>
      </c>
      <c r="U2419" s="1" t="s">
        <v>1399</v>
      </c>
      <c r="V2419" s="4" t="s">
        <v>5901</v>
      </c>
      <c r="W2419" s="1"/>
      <c r="X2419" s="1" t="s">
        <v>1152</v>
      </c>
      <c r="Y2419" s="1" t="s">
        <v>1152</v>
      </c>
      <c r="Z2419" s="1"/>
      <c r="AA2419" s="1"/>
      <c r="AB2419" s="1"/>
      <c r="AC2419" s="1" t="s">
        <v>1925</v>
      </c>
      <c r="AD2419" s="1"/>
      <c r="AE2419" s="18">
        <v>46144.0</v>
      </c>
      <c r="AF2419" s="1" t="s">
        <v>1030</v>
      </c>
      <c r="AG2419" s="1" t="s">
        <v>52</v>
      </c>
      <c r="AH2419" s="1" t="s">
        <v>1152</v>
      </c>
      <c r="AI2419" s="1" t="s">
        <v>1152</v>
      </c>
      <c r="AJ2419" s="1" t="s">
        <v>11508</v>
      </c>
      <c r="AK2419" s="1" t="s">
        <v>1152</v>
      </c>
      <c r="AL2419" s="6"/>
      <c r="AM2419" s="12">
        <v>7.542650198E9</v>
      </c>
    </row>
    <row r="2420">
      <c r="A2420" s="5" t="s">
        <v>11509</v>
      </c>
      <c r="B2420" s="1" t="s">
        <v>11510</v>
      </c>
      <c r="C2420" s="1" t="s">
        <v>11511</v>
      </c>
      <c r="D2420" s="2">
        <v>3.144377856E9</v>
      </c>
      <c r="E2420" s="1" t="s">
        <v>11512</v>
      </c>
      <c r="F2420" s="1" t="s">
        <v>11513</v>
      </c>
      <c r="G2420" s="1" t="s">
        <v>2350</v>
      </c>
      <c r="H2420" s="1" t="s">
        <v>1155</v>
      </c>
      <c r="I2420" s="1">
        <v>63105.0</v>
      </c>
      <c r="J2420" s="1" t="s">
        <v>752</v>
      </c>
      <c r="K2420" s="1" t="s">
        <v>42</v>
      </c>
      <c r="L2420" s="1" t="s">
        <v>8365</v>
      </c>
      <c r="M2420" s="1">
        <v>49.0</v>
      </c>
      <c r="N2420" s="1" t="s">
        <v>1152</v>
      </c>
      <c r="O2420" s="3"/>
      <c r="P2420" s="1" t="s">
        <v>1152</v>
      </c>
      <c r="Q2420" s="1" t="s">
        <v>1152</v>
      </c>
      <c r="R2420" s="1" t="s">
        <v>11513</v>
      </c>
      <c r="S2420" s="1"/>
      <c r="T2420" s="1" t="s">
        <v>1152</v>
      </c>
      <c r="U2420" s="1"/>
      <c r="V2420" s="4"/>
      <c r="W2420" s="1" t="s">
        <v>11513</v>
      </c>
      <c r="X2420" s="1" t="s">
        <v>1152</v>
      </c>
      <c r="Y2420" s="1" t="s">
        <v>1152</v>
      </c>
      <c r="Z2420" s="1"/>
      <c r="AA2420" s="1" t="s">
        <v>11513</v>
      </c>
      <c r="AB2420" s="1"/>
      <c r="AC2420" s="1" t="s">
        <v>1925</v>
      </c>
      <c r="AD2420" s="1"/>
      <c r="AE2420" s="18">
        <v>46139.0</v>
      </c>
      <c r="AF2420" s="1" t="s">
        <v>1103</v>
      </c>
      <c r="AG2420" s="1" t="s">
        <v>124</v>
      </c>
      <c r="AH2420" s="1" t="s">
        <v>1152</v>
      </c>
      <c r="AI2420" s="1" t="s">
        <v>1152</v>
      </c>
      <c r="AJ2420" s="1" t="s">
        <v>11514</v>
      </c>
      <c r="AK2420" s="1" t="s">
        <v>1152</v>
      </c>
      <c r="AL2420" s="6"/>
      <c r="AM2420" s="12">
        <v>3.145361116E9</v>
      </c>
    </row>
    <row r="2421">
      <c r="A2421" s="5" t="s">
        <v>11515</v>
      </c>
      <c r="B2421" s="1" t="s">
        <v>11516</v>
      </c>
      <c r="C2421" s="1" t="s">
        <v>11517</v>
      </c>
      <c r="D2421" s="2"/>
      <c r="E2421" s="1" t="s">
        <v>10262</v>
      </c>
      <c r="F2421" s="1"/>
      <c r="G2421" s="1" t="s">
        <v>3790</v>
      </c>
      <c r="H2421" s="1" t="s">
        <v>751</v>
      </c>
      <c r="I2421" s="1">
        <v>10036.0</v>
      </c>
      <c r="J2421" s="1" t="s">
        <v>752</v>
      </c>
      <c r="K2421" s="1" t="s">
        <v>892</v>
      </c>
      <c r="L2421" s="1" t="s">
        <v>6946</v>
      </c>
      <c r="M2421" s="1">
        <v>49.0</v>
      </c>
      <c r="N2421" s="1" t="s">
        <v>1152</v>
      </c>
      <c r="O2421" s="3" t="s">
        <v>10263</v>
      </c>
      <c r="P2421" s="1" t="s">
        <v>1152</v>
      </c>
      <c r="Q2421" s="1" t="s">
        <v>1152</v>
      </c>
      <c r="R2421" s="1"/>
      <c r="S2421" s="1"/>
      <c r="T2421" s="1" t="s">
        <v>1152</v>
      </c>
      <c r="U2421" s="1" t="s">
        <v>982</v>
      </c>
      <c r="V2421" s="4" t="s">
        <v>10263</v>
      </c>
      <c r="W2421" s="1"/>
      <c r="X2421" s="1" t="s">
        <v>1152</v>
      </c>
      <c r="Y2421" s="1" t="s">
        <v>1152</v>
      </c>
      <c r="Z2421" s="1"/>
      <c r="AA2421" s="1"/>
      <c r="AB2421" s="1"/>
      <c r="AC2421" s="1" t="s">
        <v>1925</v>
      </c>
      <c r="AD2421" s="1"/>
      <c r="AE2421" s="18">
        <v>46143.0</v>
      </c>
      <c r="AF2421" s="1" t="s">
        <v>1030</v>
      </c>
      <c r="AG2421" s="1" t="s">
        <v>52</v>
      </c>
      <c r="AH2421" s="1" t="s">
        <v>11518</v>
      </c>
      <c r="AI2421" s="1" t="s">
        <v>1152</v>
      </c>
      <c r="AJ2421" s="1" t="s">
        <v>10264</v>
      </c>
      <c r="AK2421" s="1" t="s">
        <v>1152</v>
      </c>
      <c r="AL2421" s="6"/>
      <c r="AM2421" s="12" t="s">
        <v>11519</v>
      </c>
    </row>
    <row r="2422">
      <c r="A2422" s="5" t="s">
        <v>11520</v>
      </c>
      <c r="B2422" s="1" t="s">
        <v>11521</v>
      </c>
      <c r="C2422" s="1" t="s">
        <v>11522</v>
      </c>
      <c r="D2422" s="2">
        <v>5.512899879E9</v>
      </c>
      <c r="E2422" s="1" t="s">
        <v>11523</v>
      </c>
      <c r="F2422" s="1"/>
      <c r="G2422" s="1" t="s">
        <v>4287</v>
      </c>
      <c r="H2422" s="1" t="s">
        <v>1053</v>
      </c>
      <c r="I2422" s="1">
        <v>7463.0</v>
      </c>
      <c r="J2422" s="1" t="s">
        <v>752</v>
      </c>
      <c r="K2422" s="1" t="s">
        <v>42</v>
      </c>
      <c r="L2422" s="1" t="s">
        <v>7863</v>
      </c>
      <c r="M2422" s="1">
        <v>79.0</v>
      </c>
      <c r="N2422" s="1" t="s">
        <v>1152</v>
      </c>
      <c r="O2422" s="3" t="s">
        <v>11524</v>
      </c>
      <c r="P2422" s="1" t="s">
        <v>1152</v>
      </c>
      <c r="Q2422" s="1" t="s">
        <v>1152</v>
      </c>
      <c r="R2422" s="1"/>
      <c r="S2422" s="1"/>
      <c r="T2422" s="1" t="s">
        <v>1152</v>
      </c>
      <c r="U2422" s="1" t="s">
        <v>1249</v>
      </c>
      <c r="V2422" s="4" t="s">
        <v>11524</v>
      </c>
      <c r="W2422" s="1"/>
      <c r="X2422" s="1" t="s">
        <v>1152</v>
      </c>
      <c r="Y2422" s="1" t="s">
        <v>1152</v>
      </c>
      <c r="Z2422" s="1"/>
      <c r="AA2422" s="1"/>
      <c r="AB2422" s="1"/>
      <c r="AC2422" s="1" t="s">
        <v>1925</v>
      </c>
      <c r="AD2422" s="1"/>
      <c r="AE2422" s="18">
        <v>46148.0</v>
      </c>
      <c r="AF2422" s="1" t="s">
        <v>1030</v>
      </c>
      <c r="AG2422" s="1" t="s">
        <v>52</v>
      </c>
      <c r="AH2422" s="1" t="s">
        <v>1152</v>
      </c>
      <c r="AI2422" s="1" t="s">
        <v>1152</v>
      </c>
      <c r="AJ2422" s="1" t="s">
        <v>11523</v>
      </c>
      <c r="AK2422" s="1" t="s">
        <v>1152</v>
      </c>
      <c r="AL2422" s="6"/>
      <c r="AM2422" s="12">
        <v>5.512899879E9</v>
      </c>
    </row>
    <row r="2423">
      <c r="A2423" s="5" t="s">
        <v>11525</v>
      </c>
      <c r="B2423" s="1" t="s">
        <v>11526</v>
      </c>
      <c r="C2423" s="1" t="s">
        <v>10271</v>
      </c>
      <c r="D2423" s="2">
        <v>9.177155789E9</v>
      </c>
      <c r="E2423" s="1" t="s">
        <v>1720</v>
      </c>
      <c r="F2423" s="1"/>
      <c r="G2423" s="1" t="s">
        <v>751</v>
      </c>
      <c r="H2423" s="1" t="s">
        <v>751</v>
      </c>
      <c r="I2423" s="1">
        <v>10013.0</v>
      </c>
      <c r="J2423" s="1" t="s">
        <v>752</v>
      </c>
      <c r="K2423" s="1" t="s">
        <v>892</v>
      </c>
      <c r="L2423" s="1" t="s">
        <v>6946</v>
      </c>
      <c r="M2423" s="1">
        <v>49.0</v>
      </c>
      <c r="N2423" s="1" t="s">
        <v>1152</v>
      </c>
      <c r="O2423" s="3" t="s">
        <v>9603</v>
      </c>
      <c r="P2423" s="1" t="s">
        <v>1152</v>
      </c>
      <c r="Q2423" s="1" t="s">
        <v>1152</v>
      </c>
      <c r="R2423" s="1"/>
      <c r="S2423" s="1"/>
      <c r="T2423" s="1" t="s">
        <v>1152</v>
      </c>
      <c r="U2423" s="1" t="s">
        <v>1080</v>
      </c>
      <c r="V2423" s="4" t="s">
        <v>9603</v>
      </c>
      <c r="W2423" s="1"/>
      <c r="X2423" s="1" t="s">
        <v>1152</v>
      </c>
      <c r="Y2423" s="1" t="s">
        <v>1152</v>
      </c>
      <c r="Z2423" s="1"/>
      <c r="AA2423" s="1"/>
      <c r="AB2423" s="1"/>
      <c r="AC2423" s="1" t="s">
        <v>1925</v>
      </c>
      <c r="AD2423" s="1"/>
      <c r="AE2423" s="18">
        <v>46143.0</v>
      </c>
      <c r="AF2423" s="1" t="s">
        <v>1630</v>
      </c>
      <c r="AG2423" s="1" t="s">
        <v>52</v>
      </c>
      <c r="AH2423" s="1" t="s">
        <v>11527</v>
      </c>
      <c r="AI2423" s="1" t="s">
        <v>1152</v>
      </c>
      <c r="AJ2423" s="1" t="s">
        <v>11528</v>
      </c>
      <c r="AK2423" s="1" t="s">
        <v>1152</v>
      </c>
      <c r="AL2423" s="6"/>
      <c r="AM2423" s="12">
        <v>6.464833249E9</v>
      </c>
    </row>
    <row r="2424">
      <c r="A2424" s="5" t="s">
        <v>11529</v>
      </c>
      <c r="B2424" s="1" t="s">
        <v>11530</v>
      </c>
      <c r="C2424" s="1" t="s">
        <v>11531</v>
      </c>
      <c r="D2424" s="2">
        <v>4.582195751E9</v>
      </c>
      <c r="E2424" s="1" t="s">
        <v>11532</v>
      </c>
      <c r="F2424" s="1"/>
      <c r="G2424" s="1" t="s">
        <v>11533</v>
      </c>
      <c r="H2424" s="1" t="s">
        <v>1422</v>
      </c>
      <c r="I2424" s="1" t="s">
        <v>11534</v>
      </c>
      <c r="J2424" s="1" t="s">
        <v>752</v>
      </c>
      <c r="K2424" s="1" t="s">
        <v>42</v>
      </c>
      <c r="L2424" s="1" t="s">
        <v>6819</v>
      </c>
      <c r="M2424" s="1">
        <v>49.0</v>
      </c>
      <c r="N2424" s="1" t="s">
        <v>1152</v>
      </c>
      <c r="O2424" s="3" t="s">
        <v>5062</v>
      </c>
      <c r="P2424" s="1" t="s">
        <v>1152</v>
      </c>
      <c r="Q2424" s="1" t="s">
        <v>1152</v>
      </c>
      <c r="R2424" s="1"/>
      <c r="S2424" s="1"/>
      <c r="T2424" s="1" t="s">
        <v>1152</v>
      </c>
      <c r="U2424" s="1" t="s">
        <v>1749</v>
      </c>
      <c r="V2424" s="4" t="s">
        <v>5062</v>
      </c>
      <c r="W2424" s="1"/>
      <c r="X2424" s="1" t="s">
        <v>1152</v>
      </c>
      <c r="Y2424" s="1" t="s">
        <v>1152</v>
      </c>
      <c r="Z2424" s="1"/>
      <c r="AA2424" s="1"/>
      <c r="AB2424" s="1"/>
      <c r="AC2424" s="1" t="s">
        <v>1925</v>
      </c>
      <c r="AD2424" s="1"/>
      <c r="AE2424" s="18">
        <v>46148.0</v>
      </c>
      <c r="AF2424" s="1" t="s">
        <v>1103</v>
      </c>
      <c r="AG2424" s="1" t="s">
        <v>52</v>
      </c>
      <c r="AH2424" s="1" t="s">
        <v>1152</v>
      </c>
      <c r="AI2424" s="1" t="s">
        <v>1152</v>
      </c>
      <c r="AJ2424" s="1" t="s">
        <v>11532</v>
      </c>
      <c r="AK2424" s="1" t="s">
        <v>1152</v>
      </c>
      <c r="AL2424" s="6"/>
      <c r="AM2424" s="12">
        <v>4.582195751E9</v>
      </c>
    </row>
    <row r="2425">
      <c r="A2425" s="5" t="s">
        <v>11535</v>
      </c>
      <c r="B2425" s="1" t="s">
        <v>11536</v>
      </c>
      <c r="C2425" s="1" t="s">
        <v>11537</v>
      </c>
      <c r="D2425" s="2">
        <v>7.73750107E9</v>
      </c>
      <c r="E2425" s="1" t="s">
        <v>11538</v>
      </c>
      <c r="F2425" s="1"/>
      <c r="G2425" s="1" t="s">
        <v>1072</v>
      </c>
      <c r="H2425" s="1" t="s">
        <v>1019</v>
      </c>
      <c r="I2425" s="1">
        <v>60609.0</v>
      </c>
      <c r="J2425" s="1" t="s">
        <v>752</v>
      </c>
      <c r="K2425" s="1" t="s">
        <v>42</v>
      </c>
      <c r="L2425" s="1" t="s">
        <v>6819</v>
      </c>
      <c r="M2425" s="1">
        <v>49.0</v>
      </c>
      <c r="N2425" s="1" t="s">
        <v>1152</v>
      </c>
      <c r="O2425" s="3" t="s">
        <v>11539</v>
      </c>
      <c r="P2425" s="1" t="s">
        <v>1152</v>
      </c>
      <c r="Q2425" s="1" t="s">
        <v>1152</v>
      </c>
      <c r="R2425" s="1"/>
      <c r="S2425" s="1"/>
      <c r="T2425" s="1" t="s">
        <v>1152</v>
      </c>
      <c r="U2425" s="1" t="s">
        <v>948</v>
      </c>
      <c r="V2425" s="4" t="s">
        <v>11539</v>
      </c>
      <c r="W2425" s="1"/>
      <c r="X2425" s="1" t="s">
        <v>1152</v>
      </c>
      <c r="Y2425" s="1" t="s">
        <v>1152</v>
      </c>
      <c r="Z2425" s="1"/>
      <c r="AA2425" s="1"/>
      <c r="AB2425" s="1"/>
      <c r="AC2425" s="1" t="s">
        <v>1925</v>
      </c>
      <c r="AD2425" s="1"/>
      <c r="AE2425" s="18">
        <v>46143.0</v>
      </c>
      <c r="AF2425" s="1" t="s">
        <v>1349</v>
      </c>
      <c r="AG2425" s="1" t="s">
        <v>52</v>
      </c>
      <c r="AH2425" s="1" t="s">
        <v>1152</v>
      </c>
      <c r="AI2425" s="1" t="s">
        <v>1152</v>
      </c>
      <c r="AJ2425" s="1" t="s">
        <v>11540</v>
      </c>
      <c r="AK2425" s="1" t="s">
        <v>1152</v>
      </c>
      <c r="AL2425" s="6"/>
      <c r="AM2425" s="12">
        <v>7.733673789E9</v>
      </c>
    </row>
    <row r="2426">
      <c r="A2426" s="5" t="s">
        <v>11541</v>
      </c>
      <c r="B2426" s="1" t="s">
        <v>11542</v>
      </c>
      <c r="C2426" s="1" t="s">
        <v>11543</v>
      </c>
      <c r="D2426" s="2">
        <v>3.14297997E9</v>
      </c>
      <c r="E2426" s="1" t="s">
        <v>11544</v>
      </c>
      <c r="F2426" s="1"/>
      <c r="G2426" s="1" t="s">
        <v>2350</v>
      </c>
      <c r="H2426" s="1" t="s">
        <v>1155</v>
      </c>
      <c r="I2426" s="1">
        <v>63112.0</v>
      </c>
      <c r="J2426" s="1" t="s">
        <v>752</v>
      </c>
      <c r="K2426" s="1" t="s">
        <v>42</v>
      </c>
      <c r="L2426" s="1" t="s">
        <v>6819</v>
      </c>
      <c r="M2426" s="1">
        <v>49.0</v>
      </c>
      <c r="N2426" s="1" t="s">
        <v>1152</v>
      </c>
      <c r="O2426" s="3" t="s">
        <v>11545</v>
      </c>
      <c r="P2426" s="1" t="s">
        <v>1152</v>
      </c>
      <c r="Q2426" s="1" t="s">
        <v>1152</v>
      </c>
      <c r="R2426" s="1"/>
      <c r="S2426" s="1"/>
      <c r="T2426" s="1" t="s">
        <v>1152</v>
      </c>
      <c r="U2426" s="1" t="s">
        <v>11546</v>
      </c>
      <c r="V2426" s="4" t="s">
        <v>11545</v>
      </c>
      <c r="W2426" s="1"/>
      <c r="X2426" s="1" t="s">
        <v>1152</v>
      </c>
      <c r="Y2426" s="1" t="s">
        <v>1152</v>
      </c>
      <c r="Z2426" s="1"/>
      <c r="AA2426" s="1"/>
      <c r="AB2426" s="1"/>
      <c r="AC2426" s="1" t="s">
        <v>1925</v>
      </c>
      <c r="AD2426" s="1"/>
      <c r="AE2426" s="18">
        <v>46144.0</v>
      </c>
      <c r="AF2426" s="1" t="s">
        <v>1030</v>
      </c>
      <c r="AG2426" s="1" t="s">
        <v>52</v>
      </c>
      <c r="AH2426" s="1" t="s">
        <v>1152</v>
      </c>
      <c r="AI2426" s="1" t="s">
        <v>1152</v>
      </c>
      <c r="AJ2426" s="1" t="s">
        <v>11547</v>
      </c>
      <c r="AK2426" s="1" t="s">
        <v>1152</v>
      </c>
      <c r="AL2426" s="6"/>
      <c r="AM2426" s="12">
        <v>3.14297997E9</v>
      </c>
    </row>
    <row r="2427">
      <c r="A2427" s="5" t="s">
        <v>11548</v>
      </c>
      <c r="B2427" s="1" t="s">
        <v>11549</v>
      </c>
      <c r="C2427" s="1" t="s">
        <v>11550</v>
      </c>
      <c r="D2427" s="2">
        <v>9.158926375E9</v>
      </c>
      <c r="E2427" s="1" t="s">
        <v>11551</v>
      </c>
      <c r="F2427" s="1"/>
      <c r="G2427" s="1" t="s">
        <v>11552</v>
      </c>
      <c r="H2427" s="1" t="s">
        <v>1583</v>
      </c>
      <c r="I2427" s="1">
        <v>79907.0</v>
      </c>
      <c r="J2427" s="1" t="s">
        <v>752</v>
      </c>
      <c r="K2427" s="1" t="s">
        <v>42</v>
      </c>
      <c r="L2427" s="1" t="s">
        <v>6819</v>
      </c>
      <c r="M2427" s="1">
        <v>49.0</v>
      </c>
      <c r="N2427" s="1" t="s">
        <v>1152</v>
      </c>
      <c r="O2427" s="3" t="s">
        <v>378</v>
      </c>
      <c r="P2427" s="1" t="s">
        <v>1152</v>
      </c>
      <c r="Q2427" s="1" t="s">
        <v>1152</v>
      </c>
      <c r="R2427" s="1"/>
      <c r="S2427" s="1"/>
      <c r="T2427" s="1" t="s">
        <v>1152</v>
      </c>
      <c r="U2427" s="1" t="s">
        <v>1249</v>
      </c>
      <c r="V2427" s="4" t="s">
        <v>378</v>
      </c>
      <c r="W2427" s="1"/>
      <c r="X2427" s="1" t="s">
        <v>1152</v>
      </c>
      <c r="Y2427" s="1" t="s">
        <v>1152</v>
      </c>
      <c r="Z2427" s="1"/>
      <c r="AA2427" s="1"/>
      <c r="AB2427" s="1"/>
      <c r="AC2427" s="1" t="s">
        <v>1925</v>
      </c>
      <c r="AD2427" s="1"/>
      <c r="AE2427" s="18">
        <v>46149.0</v>
      </c>
      <c r="AF2427" s="1" t="s">
        <v>1030</v>
      </c>
      <c r="AG2427" s="1" t="s">
        <v>52</v>
      </c>
      <c r="AH2427" s="1" t="s">
        <v>1152</v>
      </c>
      <c r="AI2427" s="1" t="s">
        <v>1152</v>
      </c>
      <c r="AJ2427" s="1" t="s">
        <v>11551</v>
      </c>
      <c r="AK2427" s="1" t="s">
        <v>1152</v>
      </c>
      <c r="AL2427" s="6"/>
      <c r="AM2427" s="12">
        <v>9.158926375E9</v>
      </c>
    </row>
    <row r="2428">
      <c r="A2428" s="5" t="s">
        <v>11553</v>
      </c>
      <c r="B2428" s="1" t="s">
        <v>11554</v>
      </c>
      <c r="C2428" s="1" t="s">
        <v>11555</v>
      </c>
      <c r="D2428" s="2">
        <v>8.325204933E9</v>
      </c>
      <c r="E2428" s="1" t="s">
        <v>11556</v>
      </c>
      <c r="F2428" s="1"/>
      <c r="G2428" s="1" t="s">
        <v>2630</v>
      </c>
      <c r="H2428" s="1" t="s">
        <v>1583</v>
      </c>
      <c r="I2428" s="1">
        <v>77407.0</v>
      </c>
      <c r="J2428" s="1" t="s">
        <v>752</v>
      </c>
      <c r="K2428" s="1" t="s">
        <v>42</v>
      </c>
      <c r="L2428" s="1" t="s">
        <v>7863</v>
      </c>
      <c r="M2428" s="1">
        <v>79.0</v>
      </c>
      <c r="N2428" s="1" t="s">
        <v>1152</v>
      </c>
      <c r="O2428" s="3" t="s">
        <v>8078</v>
      </c>
      <c r="P2428" s="1" t="s">
        <v>1152</v>
      </c>
      <c r="Q2428" s="1" t="s">
        <v>1152</v>
      </c>
      <c r="R2428" s="1"/>
      <c r="S2428" s="1"/>
      <c r="T2428" s="1" t="s">
        <v>1152</v>
      </c>
      <c r="U2428" s="1" t="s">
        <v>1133</v>
      </c>
      <c r="V2428" s="4" t="s">
        <v>8078</v>
      </c>
      <c r="W2428" s="1"/>
      <c r="X2428" s="1" t="s">
        <v>1152</v>
      </c>
      <c r="Y2428" s="1" t="s">
        <v>1152</v>
      </c>
      <c r="Z2428" s="1"/>
      <c r="AA2428" s="1"/>
      <c r="AB2428" s="1"/>
      <c r="AC2428" s="1" t="s">
        <v>1925</v>
      </c>
      <c r="AD2428" s="1"/>
      <c r="AE2428" s="18">
        <v>46144.0</v>
      </c>
      <c r="AF2428" s="1" t="s">
        <v>1349</v>
      </c>
      <c r="AG2428" s="1" t="s">
        <v>52</v>
      </c>
      <c r="AH2428" s="1" t="s">
        <v>1152</v>
      </c>
      <c r="AI2428" s="1" t="s">
        <v>1152</v>
      </c>
      <c r="AJ2428" s="1" t="s">
        <v>11556</v>
      </c>
      <c r="AK2428" s="1" t="s">
        <v>1152</v>
      </c>
      <c r="AL2428" s="6"/>
      <c r="AM2428" s="12" t="s">
        <v>11557</v>
      </c>
    </row>
    <row r="2429">
      <c r="A2429" s="5" t="s">
        <v>11558</v>
      </c>
      <c r="B2429" s="1" t="s">
        <v>11559</v>
      </c>
      <c r="C2429" s="1" t="s">
        <v>11560</v>
      </c>
      <c r="D2429" s="2">
        <v>3.473025156E9</v>
      </c>
      <c r="E2429" s="1" t="s">
        <v>11561</v>
      </c>
      <c r="F2429" s="1"/>
      <c r="G2429" s="1" t="s">
        <v>1684</v>
      </c>
      <c r="H2429" s="1" t="s">
        <v>751</v>
      </c>
      <c r="I2429" s="1">
        <v>11208.0</v>
      </c>
      <c r="J2429" s="1" t="s">
        <v>752</v>
      </c>
      <c r="K2429" s="1" t="s">
        <v>7981</v>
      </c>
      <c r="L2429" s="1" t="s">
        <v>6819</v>
      </c>
      <c r="M2429" s="1">
        <v>49.0</v>
      </c>
      <c r="N2429" s="1" t="s">
        <v>1152</v>
      </c>
      <c r="O2429" s="3" t="s">
        <v>8127</v>
      </c>
      <c r="P2429" s="1" t="s">
        <v>1152</v>
      </c>
      <c r="Q2429" s="1" t="s">
        <v>1152</v>
      </c>
      <c r="R2429" s="1"/>
      <c r="S2429" s="1"/>
      <c r="T2429" s="1" t="s">
        <v>1152</v>
      </c>
      <c r="U2429" s="1" t="s">
        <v>1441</v>
      </c>
      <c r="V2429" s="4" t="s">
        <v>8127</v>
      </c>
      <c r="W2429" s="1"/>
      <c r="X2429" s="1" t="s">
        <v>1152</v>
      </c>
      <c r="Y2429" s="1" t="s">
        <v>1152</v>
      </c>
      <c r="Z2429" s="1"/>
      <c r="AA2429" s="1"/>
      <c r="AB2429" s="1"/>
      <c r="AC2429" s="1" t="s">
        <v>1925</v>
      </c>
      <c r="AD2429" s="1"/>
      <c r="AE2429" s="18">
        <v>46147.0</v>
      </c>
      <c r="AF2429" s="1" t="s">
        <v>1030</v>
      </c>
      <c r="AG2429" s="1" t="s">
        <v>52</v>
      </c>
      <c r="AH2429" s="1" t="s">
        <v>1152</v>
      </c>
      <c r="AI2429" s="1" t="s">
        <v>1152</v>
      </c>
      <c r="AJ2429" s="1" t="s">
        <v>11561</v>
      </c>
      <c r="AK2429" s="1" t="s">
        <v>1152</v>
      </c>
      <c r="AL2429" s="6"/>
      <c r="AM2429" s="12">
        <v>3.473025156E9</v>
      </c>
    </row>
    <row r="2430">
      <c r="A2430" s="5" t="s">
        <v>11562</v>
      </c>
      <c r="B2430" s="1" t="s">
        <v>11563</v>
      </c>
      <c r="C2430" s="1" t="s">
        <v>746</v>
      </c>
      <c r="D2430" s="2">
        <v>8.134516644E9</v>
      </c>
      <c r="E2430" s="1" t="s">
        <v>11564</v>
      </c>
      <c r="F2430" s="1"/>
      <c r="G2430" s="1" t="s">
        <v>1382</v>
      </c>
      <c r="H2430" s="1" t="s">
        <v>751</v>
      </c>
      <c r="I2430" s="1">
        <v>10583.0</v>
      </c>
      <c r="J2430" s="1" t="s">
        <v>752</v>
      </c>
      <c r="K2430" s="1" t="s">
        <v>42</v>
      </c>
      <c r="L2430" s="1" t="s">
        <v>6819</v>
      </c>
      <c r="M2430" s="1">
        <v>49.0</v>
      </c>
      <c r="N2430" s="1" t="s">
        <v>1152</v>
      </c>
      <c r="O2430" s="3" t="s">
        <v>753</v>
      </c>
      <c r="P2430" s="1" t="s">
        <v>1152</v>
      </c>
      <c r="Q2430" s="1" t="s">
        <v>1152</v>
      </c>
      <c r="R2430" s="1"/>
      <c r="S2430" s="1"/>
      <c r="T2430" s="1" t="s">
        <v>1152</v>
      </c>
      <c r="U2430" s="1" t="s">
        <v>1080</v>
      </c>
      <c r="V2430" s="4" t="s">
        <v>753</v>
      </c>
      <c r="W2430" s="1"/>
      <c r="X2430" s="1" t="s">
        <v>1152</v>
      </c>
      <c r="Y2430" s="1" t="s">
        <v>1152</v>
      </c>
      <c r="Z2430" s="1"/>
      <c r="AA2430" s="1"/>
      <c r="AB2430" s="1"/>
      <c r="AC2430" s="1" t="s">
        <v>1925</v>
      </c>
      <c r="AD2430" s="1"/>
      <c r="AE2430" s="18">
        <v>46149.0</v>
      </c>
      <c r="AF2430" s="1" t="s">
        <v>3186</v>
      </c>
      <c r="AG2430" s="1" t="s">
        <v>52</v>
      </c>
      <c r="AH2430" s="1" t="s">
        <v>1152</v>
      </c>
      <c r="AI2430" s="1" t="s">
        <v>1152</v>
      </c>
      <c r="AJ2430" s="1" t="s">
        <v>748</v>
      </c>
      <c r="AK2430" s="1" t="s">
        <v>1152</v>
      </c>
      <c r="AL2430" s="6"/>
      <c r="AM2430" s="12">
        <v>9.144616391E9</v>
      </c>
    </row>
    <row r="2431">
      <c r="A2431" s="5" t="s">
        <v>11565</v>
      </c>
      <c r="B2431" s="1" t="s">
        <v>11566</v>
      </c>
      <c r="C2431" s="1" t="s">
        <v>11567</v>
      </c>
      <c r="D2431" s="2">
        <v>8.573485115E9</v>
      </c>
      <c r="E2431" s="1" t="s">
        <v>11568</v>
      </c>
      <c r="F2431" s="1"/>
      <c r="G2431" s="1" t="s">
        <v>4026</v>
      </c>
      <c r="H2431" s="1" t="s">
        <v>1121</v>
      </c>
      <c r="I2431" s="1">
        <v>2116.0</v>
      </c>
      <c r="J2431" s="1" t="s">
        <v>752</v>
      </c>
      <c r="K2431" s="1" t="s">
        <v>2131</v>
      </c>
      <c r="L2431" s="1" t="s">
        <v>5811</v>
      </c>
      <c r="M2431" s="1">
        <v>1.0</v>
      </c>
      <c r="N2431" s="1" t="s">
        <v>1152</v>
      </c>
      <c r="O2431" s="3" t="s">
        <v>11569</v>
      </c>
      <c r="P2431" s="1" t="s">
        <v>1152</v>
      </c>
      <c r="Q2431" s="1" t="s">
        <v>1152</v>
      </c>
      <c r="R2431" s="1"/>
      <c r="S2431" s="1"/>
      <c r="T2431" s="1" t="s">
        <v>1152</v>
      </c>
      <c r="U2431" s="1" t="s">
        <v>1441</v>
      </c>
      <c r="V2431" s="4" t="s">
        <v>11569</v>
      </c>
      <c r="W2431" s="1"/>
      <c r="X2431" s="1" t="s">
        <v>1152</v>
      </c>
      <c r="Y2431" s="1" t="s">
        <v>1152</v>
      </c>
      <c r="Z2431" s="1"/>
      <c r="AA2431" s="1"/>
      <c r="AB2431" s="1"/>
      <c r="AC2431" s="1" t="s">
        <v>1925</v>
      </c>
      <c r="AD2431" s="1"/>
      <c r="AE2431" s="18">
        <v>46150.0</v>
      </c>
      <c r="AF2431" s="1"/>
      <c r="AG2431" s="1"/>
      <c r="AH2431" s="1" t="s">
        <v>1152</v>
      </c>
      <c r="AI2431" s="1" t="s">
        <v>1152</v>
      </c>
      <c r="AJ2431" s="1" t="s">
        <v>11570</v>
      </c>
      <c r="AK2431" s="1" t="s">
        <v>1152</v>
      </c>
      <c r="AL2431" s="6"/>
      <c r="AM2431" s="12">
        <v>8.573485115E9</v>
      </c>
    </row>
    <row r="2432">
      <c r="A2432" s="5" t="s">
        <v>11571</v>
      </c>
      <c r="B2432" s="1" t="s">
        <v>11572</v>
      </c>
      <c r="C2432" s="1" t="s">
        <v>11573</v>
      </c>
      <c r="D2432" s="2">
        <v>2.407516583E9</v>
      </c>
      <c r="E2432" s="1" t="s">
        <v>6198</v>
      </c>
      <c r="F2432" s="1"/>
      <c r="G2432" s="1" t="s">
        <v>2986</v>
      </c>
      <c r="H2432" s="1" t="s">
        <v>1005</v>
      </c>
      <c r="I2432" s="1">
        <v>20902.0</v>
      </c>
      <c r="J2432" s="1" t="s">
        <v>752</v>
      </c>
      <c r="K2432" s="1" t="s">
        <v>42</v>
      </c>
      <c r="L2432" s="1" t="s">
        <v>6819</v>
      </c>
      <c r="M2432" s="1">
        <v>49.0</v>
      </c>
      <c r="N2432" s="1" t="s">
        <v>1152</v>
      </c>
      <c r="O2432" s="3" t="s">
        <v>6709</v>
      </c>
      <c r="P2432" s="1" t="s">
        <v>1152</v>
      </c>
      <c r="Q2432" s="1" t="s">
        <v>1152</v>
      </c>
      <c r="R2432" s="1"/>
      <c r="S2432" s="1"/>
      <c r="T2432" s="1" t="s">
        <v>1152</v>
      </c>
      <c r="U2432" s="1" t="s">
        <v>1343</v>
      </c>
      <c r="V2432" s="4" t="s">
        <v>6709</v>
      </c>
      <c r="W2432" s="1"/>
      <c r="X2432" s="1" t="s">
        <v>1152</v>
      </c>
      <c r="Y2432" s="1" t="s">
        <v>1152</v>
      </c>
      <c r="Z2432" s="1"/>
      <c r="AA2432" s="1"/>
      <c r="AB2432" s="1"/>
      <c r="AC2432" s="1" t="s">
        <v>1925</v>
      </c>
      <c r="AD2432" s="1"/>
      <c r="AE2432" s="18">
        <v>46155.0</v>
      </c>
      <c r="AF2432" s="1" t="s">
        <v>1630</v>
      </c>
      <c r="AG2432" s="1" t="s">
        <v>52</v>
      </c>
      <c r="AH2432" s="1" t="s">
        <v>1152</v>
      </c>
      <c r="AI2432" s="1" t="s">
        <v>1152</v>
      </c>
      <c r="AJ2432" s="1" t="s">
        <v>6200</v>
      </c>
      <c r="AK2432" s="1" t="s">
        <v>1152</v>
      </c>
      <c r="AL2432" s="6"/>
      <c r="AM2432" s="12">
        <v>2.027669489E9</v>
      </c>
    </row>
    <row r="2433">
      <c r="A2433" s="5" t="s">
        <v>11574</v>
      </c>
      <c r="B2433" s="1" t="s">
        <v>11575</v>
      </c>
      <c r="C2433" s="1" t="s">
        <v>11576</v>
      </c>
      <c r="D2433" s="2">
        <v>5.132183219E9</v>
      </c>
      <c r="E2433" s="1" t="s">
        <v>11577</v>
      </c>
      <c r="F2433" s="1"/>
      <c r="G2433" s="1" t="s">
        <v>2170</v>
      </c>
      <c r="H2433" s="1" t="s">
        <v>2171</v>
      </c>
      <c r="I2433" s="1">
        <v>45040.0</v>
      </c>
      <c r="J2433" s="1" t="s">
        <v>752</v>
      </c>
      <c r="K2433" s="1" t="s">
        <v>42</v>
      </c>
      <c r="L2433" s="1" t="s">
        <v>6819</v>
      </c>
      <c r="M2433" s="1">
        <v>49.0</v>
      </c>
      <c r="N2433" s="1" t="s">
        <v>1152</v>
      </c>
      <c r="O2433" s="3" t="s">
        <v>11578</v>
      </c>
      <c r="P2433" s="1" t="s">
        <v>1152</v>
      </c>
      <c r="Q2433" s="1" t="s">
        <v>1152</v>
      </c>
      <c r="R2433" s="1"/>
      <c r="S2433" s="1"/>
      <c r="T2433" s="1" t="s">
        <v>1152</v>
      </c>
      <c r="U2433" s="1" t="s">
        <v>1794</v>
      </c>
      <c r="V2433" s="4" t="s">
        <v>11578</v>
      </c>
      <c r="W2433" s="1"/>
      <c r="X2433" s="1" t="s">
        <v>1152</v>
      </c>
      <c r="Y2433" s="1" t="s">
        <v>1152</v>
      </c>
      <c r="Z2433" s="1"/>
      <c r="AA2433" s="1"/>
      <c r="AB2433" s="1"/>
      <c r="AC2433" s="1" t="s">
        <v>1925</v>
      </c>
      <c r="AD2433" s="1"/>
      <c r="AE2433" s="18">
        <v>46144.0</v>
      </c>
      <c r="AF2433" s="1" t="s">
        <v>1455</v>
      </c>
      <c r="AG2433" s="1" t="s">
        <v>52</v>
      </c>
      <c r="AH2433" s="1" t="s">
        <v>1152</v>
      </c>
      <c r="AI2433" s="1" t="s">
        <v>1152</v>
      </c>
      <c r="AJ2433" s="1" t="s">
        <v>11577</v>
      </c>
      <c r="AK2433" s="1" t="s">
        <v>1152</v>
      </c>
      <c r="AL2433" s="6"/>
      <c r="AM2433" s="12">
        <v>5.132183219E9</v>
      </c>
    </row>
    <row r="2434">
      <c r="A2434" s="5" t="s">
        <v>11579</v>
      </c>
      <c r="B2434" s="1" t="s">
        <v>11580</v>
      </c>
      <c r="C2434" s="1" t="s">
        <v>11581</v>
      </c>
      <c r="D2434" s="2" t="s">
        <v>11582</v>
      </c>
      <c r="E2434" s="1" t="s">
        <v>11583</v>
      </c>
      <c r="F2434" s="1"/>
      <c r="G2434" s="1" t="s">
        <v>2350</v>
      </c>
      <c r="H2434" s="1" t="s">
        <v>1155</v>
      </c>
      <c r="I2434" s="1">
        <v>63105.0</v>
      </c>
      <c r="J2434" s="1" t="s">
        <v>752</v>
      </c>
      <c r="K2434" s="1" t="s">
        <v>42</v>
      </c>
      <c r="L2434" s="1" t="s">
        <v>6819</v>
      </c>
      <c r="M2434" s="1">
        <v>49.0</v>
      </c>
      <c r="N2434" s="1"/>
      <c r="O2434" s="3" t="s">
        <v>1012</v>
      </c>
      <c r="P2434" s="1"/>
      <c r="Q2434" s="1"/>
      <c r="R2434" s="1"/>
      <c r="S2434" s="1"/>
      <c r="T2434" s="1"/>
      <c r="U2434" s="1" t="s">
        <v>68</v>
      </c>
      <c r="V2434" s="4" t="s">
        <v>1012</v>
      </c>
      <c r="W2434" s="1"/>
      <c r="X2434" s="1"/>
      <c r="Y2434" s="1"/>
      <c r="Z2434" s="1"/>
      <c r="AA2434" s="1"/>
      <c r="AB2434" s="1"/>
      <c r="AC2434" s="1"/>
      <c r="AD2434" s="1"/>
      <c r="AE2434" s="18">
        <v>46145.0</v>
      </c>
      <c r="AF2434" s="35">
        <v>0.75</v>
      </c>
      <c r="AG2434" s="1" t="s">
        <v>52</v>
      </c>
      <c r="AH2434" s="1"/>
      <c r="AI2434" s="1"/>
      <c r="AJ2434" s="1" t="s">
        <v>11583</v>
      </c>
      <c r="AK2434" s="1"/>
      <c r="AL2434" s="6"/>
      <c r="AM2434" s="12">
        <v>3.142400505E9</v>
      </c>
    </row>
    <row r="2435">
      <c r="A2435" s="5" t="s">
        <v>11584</v>
      </c>
      <c r="B2435" s="1" t="s">
        <v>11585</v>
      </c>
      <c r="C2435" s="1" t="s">
        <v>2963</v>
      </c>
      <c r="D2435" s="2">
        <v>4.252731891E9</v>
      </c>
      <c r="E2435" s="1" t="s">
        <v>2964</v>
      </c>
      <c r="F2435" s="1"/>
      <c r="G2435" s="1" t="s">
        <v>2965</v>
      </c>
      <c r="H2435" s="1" t="s">
        <v>980</v>
      </c>
      <c r="I2435" s="1">
        <v>98008.0</v>
      </c>
      <c r="J2435" s="1" t="s">
        <v>752</v>
      </c>
      <c r="K2435" s="1" t="s">
        <v>42</v>
      </c>
      <c r="L2435" s="1" t="s">
        <v>7863</v>
      </c>
      <c r="M2435" s="1">
        <v>79.0</v>
      </c>
      <c r="N2435" s="1" t="s">
        <v>1152</v>
      </c>
      <c r="O2435" s="3" t="s">
        <v>11586</v>
      </c>
      <c r="P2435" s="1" t="s">
        <v>1152</v>
      </c>
      <c r="Q2435" s="1" t="s">
        <v>1152</v>
      </c>
      <c r="R2435" s="1"/>
      <c r="S2435" s="1"/>
      <c r="T2435" s="1" t="s">
        <v>1152</v>
      </c>
      <c r="U2435" s="1" t="s">
        <v>2957</v>
      </c>
      <c r="V2435" s="4" t="s">
        <v>11586</v>
      </c>
      <c r="W2435" s="1"/>
      <c r="X2435" s="1" t="s">
        <v>1152</v>
      </c>
      <c r="Y2435" s="1" t="s">
        <v>1152</v>
      </c>
      <c r="Z2435" s="1"/>
      <c r="AA2435" s="1"/>
      <c r="AB2435" s="1"/>
      <c r="AC2435" s="1" t="s">
        <v>1925</v>
      </c>
      <c r="AD2435" s="1"/>
      <c r="AE2435" s="18">
        <v>46147.0</v>
      </c>
      <c r="AF2435" s="1" t="s">
        <v>1349</v>
      </c>
      <c r="AG2435" s="1" t="s">
        <v>52</v>
      </c>
      <c r="AH2435" s="1" t="s">
        <v>1152</v>
      </c>
      <c r="AI2435" s="1" t="s">
        <v>1152</v>
      </c>
      <c r="AJ2435" s="1" t="s">
        <v>2964</v>
      </c>
      <c r="AK2435" s="1" t="s">
        <v>1152</v>
      </c>
      <c r="AL2435" s="6"/>
      <c r="AM2435" s="12">
        <v>4.252731891E9</v>
      </c>
    </row>
    <row r="2436">
      <c r="A2436" s="5" t="s">
        <v>11587</v>
      </c>
      <c r="B2436" s="1" t="s">
        <v>11588</v>
      </c>
      <c r="C2436" s="1" t="s">
        <v>11589</v>
      </c>
      <c r="D2436" s="2">
        <v>7.7066832E9</v>
      </c>
      <c r="E2436" s="1" t="s">
        <v>6479</v>
      </c>
      <c r="F2436" s="1"/>
      <c r="G2436" s="1" t="s">
        <v>5141</v>
      </c>
      <c r="H2436" s="1" t="s">
        <v>946</v>
      </c>
      <c r="I2436" s="1">
        <v>30082.0</v>
      </c>
      <c r="J2436" s="1" t="s">
        <v>752</v>
      </c>
      <c r="K2436" s="1" t="s">
        <v>892</v>
      </c>
      <c r="L2436" s="1" t="s">
        <v>8006</v>
      </c>
      <c r="M2436" s="1">
        <v>49.0</v>
      </c>
      <c r="N2436" s="1" t="s">
        <v>1152</v>
      </c>
      <c r="O2436" s="3" t="s">
        <v>4814</v>
      </c>
      <c r="P2436" s="1" t="s">
        <v>1152</v>
      </c>
      <c r="Q2436" s="1" t="s">
        <v>1152</v>
      </c>
      <c r="R2436" s="1"/>
      <c r="S2436" s="1"/>
      <c r="T2436" s="1" t="s">
        <v>1152</v>
      </c>
      <c r="U2436" s="1" t="s">
        <v>982</v>
      </c>
      <c r="V2436" s="4" t="s">
        <v>4814</v>
      </c>
      <c r="W2436" s="1"/>
      <c r="X2436" s="1" t="s">
        <v>1152</v>
      </c>
      <c r="Y2436" s="1" t="s">
        <v>1152</v>
      </c>
      <c r="Z2436" s="1"/>
      <c r="AA2436" s="1"/>
      <c r="AB2436" s="1"/>
      <c r="AC2436" s="1" t="s">
        <v>1925</v>
      </c>
      <c r="AD2436" s="1"/>
      <c r="AE2436" s="18">
        <v>46146.0</v>
      </c>
      <c r="AF2436" s="1" t="s">
        <v>1030</v>
      </c>
      <c r="AG2436" s="1" t="s">
        <v>52</v>
      </c>
      <c r="AH2436" s="1" t="s">
        <v>6948</v>
      </c>
      <c r="AI2436" s="1" t="s">
        <v>1152</v>
      </c>
      <c r="AJ2436" s="1" t="s">
        <v>6479</v>
      </c>
      <c r="AK2436" s="1" t="s">
        <v>1152</v>
      </c>
      <c r="AL2436" s="6"/>
      <c r="AM2436" s="12">
        <v>7.7066832E9</v>
      </c>
    </row>
    <row r="2437">
      <c r="A2437" s="5" t="s">
        <v>11590</v>
      </c>
      <c r="B2437" s="1" t="s">
        <v>11591</v>
      </c>
      <c r="C2437" s="1" t="s">
        <v>1554</v>
      </c>
      <c r="D2437" s="2">
        <v>6.504005711E9</v>
      </c>
      <c r="E2437" s="1" t="s">
        <v>1555</v>
      </c>
      <c r="F2437" s="1"/>
      <c r="G2437" s="1" t="s">
        <v>1556</v>
      </c>
      <c r="H2437" s="1" t="s">
        <v>989</v>
      </c>
      <c r="I2437" s="1">
        <v>94024.0</v>
      </c>
      <c r="J2437" s="1" t="s">
        <v>752</v>
      </c>
      <c r="K2437" s="1" t="s">
        <v>2131</v>
      </c>
      <c r="L2437" s="1" t="s">
        <v>5767</v>
      </c>
      <c r="M2437" s="1">
        <v>1.0</v>
      </c>
      <c r="N2437" s="1" t="s">
        <v>1152</v>
      </c>
      <c r="O2437" s="3" t="s">
        <v>1557</v>
      </c>
      <c r="P2437" s="1" t="s">
        <v>1152</v>
      </c>
      <c r="Q2437" s="1" t="s">
        <v>1152</v>
      </c>
      <c r="R2437" s="1"/>
      <c r="S2437" s="1"/>
      <c r="T2437" s="1" t="s">
        <v>1152</v>
      </c>
      <c r="U2437" s="1" t="s">
        <v>982</v>
      </c>
      <c r="V2437" s="4" t="s">
        <v>1557</v>
      </c>
      <c r="W2437" s="1"/>
      <c r="X2437" s="1" t="s">
        <v>1152</v>
      </c>
      <c r="Y2437" s="1" t="s">
        <v>1152</v>
      </c>
      <c r="Z2437" s="1"/>
      <c r="AA2437" s="1"/>
      <c r="AB2437" s="1"/>
      <c r="AC2437" s="1" t="s">
        <v>1925</v>
      </c>
      <c r="AD2437" s="1"/>
      <c r="AE2437" s="18">
        <v>46140.0</v>
      </c>
      <c r="AF2437" s="1"/>
      <c r="AG2437" s="1"/>
      <c r="AH2437" s="1" t="s">
        <v>1152</v>
      </c>
      <c r="AI2437" s="1" t="s">
        <v>1152</v>
      </c>
      <c r="AJ2437" s="1" t="s">
        <v>11592</v>
      </c>
      <c r="AK2437" s="1" t="s">
        <v>1152</v>
      </c>
      <c r="AL2437" s="6"/>
      <c r="AM2437" s="12">
        <v>6.504005711E9</v>
      </c>
    </row>
    <row r="2438">
      <c r="A2438" s="5" t="s">
        <v>11593</v>
      </c>
      <c r="B2438" s="1" t="s">
        <v>11594</v>
      </c>
      <c r="C2438" s="1" t="s">
        <v>11595</v>
      </c>
      <c r="D2438" s="2">
        <v>4.154079377E9</v>
      </c>
      <c r="E2438" s="1" t="s">
        <v>11596</v>
      </c>
      <c r="F2438" s="1"/>
      <c r="G2438" s="1" t="s">
        <v>1562</v>
      </c>
      <c r="H2438" s="1" t="s">
        <v>989</v>
      </c>
      <c r="I2438" s="1">
        <v>94118.0</v>
      </c>
      <c r="J2438" s="1" t="s">
        <v>752</v>
      </c>
      <c r="K2438" s="1" t="s">
        <v>42</v>
      </c>
      <c r="L2438" s="1" t="s">
        <v>7863</v>
      </c>
      <c r="M2438" s="1">
        <v>79.0</v>
      </c>
      <c r="N2438" s="1" t="s">
        <v>1152</v>
      </c>
      <c r="O2438" s="3" t="s">
        <v>2846</v>
      </c>
      <c r="P2438" s="1" t="s">
        <v>1152</v>
      </c>
      <c r="Q2438" s="1" t="s">
        <v>1152</v>
      </c>
      <c r="R2438" s="1"/>
      <c r="S2438" s="1"/>
      <c r="T2438" s="1" t="s">
        <v>1152</v>
      </c>
      <c r="U2438" s="1" t="s">
        <v>1794</v>
      </c>
      <c r="V2438" s="4" t="s">
        <v>2846</v>
      </c>
      <c r="W2438" s="1"/>
      <c r="X2438" s="1" t="s">
        <v>1152</v>
      </c>
      <c r="Y2438" s="1" t="s">
        <v>1152</v>
      </c>
      <c r="Z2438" s="1"/>
      <c r="AA2438" s="1"/>
      <c r="AB2438" s="1"/>
      <c r="AC2438" s="1" t="s">
        <v>1925</v>
      </c>
      <c r="AD2438" s="1"/>
      <c r="AE2438" s="18">
        <v>46146.0</v>
      </c>
      <c r="AF2438" s="1" t="s">
        <v>3186</v>
      </c>
      <c r="AG2438" s="1" t="s">
        <v>52</v>
      </c>
      <c r="AH2438" s="1" t="s">
        <v>1152</v>
      </c>
      <c r="AI2438" s="1" t="s">
        <v>1152</v>
      </c>
      <c r="AJ2438" s="1" t="s">
        <v>11597</v>
      </c>
      <c r="AK2438" s="1" t="s">
        <v>1152</v>
      </c>
      <c r="AL2438" s="6"/>
      <c r="AM2438" s="12">
        <v>4.1591009E9</v>
      </c>
    </row>
    <row r="2439">
      <c r="A2439" s="5" t="s">
        <v>11598</v>
      </c>
      <c r="B2439" s="1" t="s">
        <v>11599</v>
      </c>
      <c r="C2439" s="1" t="s">
        <v>6072</v>
      </c>
      <c r="D2439" s="2">
        <v>2.486729306E9</v>
      </c>
      <c r="E2439" s="1" t="s">
        <v>6073</v>
      </c>
      <c r="F2439" s="1"/>
      <c r="G2439" s="1" t="s">
        <v>1085</v>
      </c>
      <c r="H2439" s="1" t="s">
        <v>1691</v>
      </c>
      <c r="I2439" s="1">
        <v>48009.0</v>
      </c>
      <c r="J2439" s="1" t="s">
        <v>752</v>
      </c>
      <c r="K2439" s="1" t="s">
        <v>42</v>
      </c>
      <c r="L2439" s="1" t="s">
        <v>6819</v>
      </c>
      <c r="M2439" s="1">
        <v>49.0</v>
      </c>
      <c r="N2439" s="1" t="s">
        <v>1152</v>
      </c>
      <c r="O2439" s="3" t="s">
        <v>5713</v>
      </c>
      <c r="P2439" s="1" t="s">
        <v>1152</v>
      </c>
      <c r="Q2439" s="1" t="s">
        <v>1152</v>
      </c>
      <c r="R2439" s="1"/>
      <c r="S2439" s="1"/>
      <c r="T2439" s="1" t="s">
        <v>1152</v>
      </c>
      <c r="U2439" s="1" t="s">
        <v>1441</v>
      </c>
      <c r="V2439" s="4" t="s">
        <v>5713</v>
      </c>
      <c r="W2439" s="1"/>
      <c r="X2439" s="1" t="s">
        <v>1152</v>
      </c>
      <c r="Y2439" s="1" t="s">
        <v>1152</v>
      </c>
      <c r="Z2439" s="1"/>
      <c r="AA2439" s="1"/>
      <c r="AB2439" s="1"/>
      <c r="AC2439" s="1" t="s">
        <v>1925</v>
      </c>
      <c r="AD2439" s="1"/>
      <c r="AE2439" s="18">
        <v>46148.0</v>
      </c>
      <c r="AF2439" s="1" t="s">
        <v>1030</v>
      </c>
      <c r="AG2439" s="1" t="s">
        <v>52</v>
      </c>
      <c r="AH2439" s="1" t="s">
        <v>1152</v>
      </c>
      <c r="AI2439" s="1" t="s">
        <v>1152</v>
      </c>
      <c r="AJ2439" s="1" t="s">
        <v>6073</v>
      </c>
      <c r="AK2439" s="1" t="s">
        <v>1152</v>
      </c>
      <c r="AL2439" s="6"/>
      <c r="AM2439" s="12">
        <v>2.486729306E9</v>
      </c>
    </row>
    <row r="2440">
      <c r="A2440" s="5" t="s">
        <v>11600</v>
      </c>
      <c r="B2440" s="1" t="s">
        <v>11601</v>
      </c>
      <c r="C2440" s="1" t="s">
        <v>11602</v>
      </c>
      <c r="D2440" s="2">
        <v>4.695148918E9</v>
      </c>
      <c r="E2440" s="1" t="s">
        <v>11603</v>
      </c>
      <c r="F2440" s="1"/>
      <c r="G2440" s="1" t="s">
        <v>2350</v>
      </c>
      <c r="H2440" s="1" t="s">
        <v>1155</v>
      </c>
      <c r="I2440" s="1">
        <v>63130.0</v>
      </c>
      <c r="J2440" s="1" t="s">
        <v>752</v>
      </c>
      <c r="K2440" s="1" t="s">
        <v>42</v>
      </c>
      <c r="L2440" s="1" t="s">
        <v>6819</v>
      </c>
      <c r="M2440" s="1">
        <v>49.0</v>
      </c>
      <c r="N2440" s="1" t="s">
        <v>1152</v>
      </c>
      <c r="O2440" s="3" t="s">
        <v>5459</v>
      </c>
      <c r="P2440" s="1" t="s">
        <v>1152</v>
      </c>
      <c r="Q2440" s="1" t="s">
        <v>1152</v>
      </c>
      <c r="R2440" s="1"/>
      <c r="S2440" s="1"/>
      <c r="T2440" s="1" t="s">
        <v>1152</v>
      </c>
      <c r="U2440" s="1" t="s">
        <v>2940</v>
      </c>
      <c r="V2440" s="4" t="s">
        <v>5459</v>
      </c>
      <c r="W2440" s="1"/>
      <c r="X2440" s="1" t="s">
        <v>1152</v>
      </c>
      <c r="Y2440" s="1" t="s">
        <v>1152</v>
      </c>
      <c r="Z2440" s="1"/>
      <c r="AA2440" s="1"/>
      <c r="AB2440" s="1"/>
      <c r="AC2440" s="1" t="s">
        <v>1925</v>
      </c>
      <c r="AD2440" s="1"/>
      <c r="AE2440" s="18">
        <v>46147.0</v>
      </c>
      <c r="AF2440" s="1" t="s">
        <v>1030</v>
      </c>
      <c r="AG2440" s="1" t="s">
        <v>52</v>
      </c>
      <c r="AH2440" s="1" t="s">
        <v>1152</v>
      </c>
      <c r="AI2440" s="1" t="s">
        <v>11604</v>
      </c>
      <c r="AJ2440" s="1" t="s">
        <v>11603</v>
      </c>
      <c r="AK2440" s="1" t="s">
        <v>1152</v>
      </c>
      <c r="AL2440" s="6"/>
      <c r="AM2440" s="12">
        <v>4.695148918E9</v>
      </c>
    </row>
    <row r="2441">
      <c r="A2441" s="5" t="s">
        <v>11605</v>
      </c>
      <c r="B2441" s="1" t="s">
        <v>11606</v>
      </c>
      <c r="C2441" s="1" t="s">
        <v>11607</v>
      </c>
      <c r="D2441" s="2">
        <v>7.472673064E9</v>
      </c>
      <c r="E2441" s="1" t="s">
        <v>11608</v>
      </c>
      <c r="F2441" s="1"/>
      <c r="G2441" s="1" t="s">
        <v>3897</v>
      </c>
      <c r="H2441" s="1" t="s">
        <v>989</v>
      </c>
      <c r="I2441" s="1">
        <v>91356.0</v>
      </c>
      <c r="J2441" s="1" t="s">
        <v>752</v>
      </c>
      <c r="K2441" s="1" t="s">
        <v>2131</v>
      </c>
      <c r="L2441" s="1" t="s">
        <v>5767</v>
      </c>
      <c r="M2441" s="1">
        <v>1.0</v>
      </c>
      <c r="N2441" s="1" t="s">
        <v>1152</v>
      </c>
      <c r="O2441" s="3" t="s">
        <v>11609</v>
      </c>
      <c r="P2441" s="1" t="s">
        <v>1152</v>
      </c>
      <c r="Q2441" s="1" t="s">
        <v>1152</v>
      </c>
      <c r="R2441" s="1"/>
      <c r="S2441" s="1"/>
      <c r="T2441" s="1" t="s">
        <v>1152</v>
      </c>
      <c r="U2441" s="1" t="s">
        <v>1441</v>
      </c>
      <c r="V2441" s="4" t="s">
        <v>11609</v>
      </c>
      <c r="W2441" s="1"/>
      <c r="X2441" s="1" t="s">
        <v>1152</v>
      </c>
      <c r="Y2441" s="1" t="s">
        <v>1152</v>
      </c>
      <c r="Z2441" s="1"/>
      <c r="AA2441" s="1"/>
      <c r="AB2441" s="1"/>
      <c r="AC2441" s="1" t="s">
        <v>1925</v>
      </c>
      <c r="AD2441" s="1"/>
      <c r="AE2441" s="18">
        <v>46148.0</v>
      </c>
      <c r="AF2441" s="1"/>
      <c r="AG2441" s="1"/>
      <c r="AH2441" s="1" t="s">
        <v>1152</v>
      </c>
      <c r="AI2441" s="1" t="s">
        <v>1152</v>
      </c>
      <c r="AJ2441" s="1" t="s">
        <v>11610</v>
      </c>
      <c r="AK2441" s="1" t="s">
        <v>1152</v>
      </c>
      <c r="AL2441" s="6"/>
      <c r="AM2441" s="12">
        <v>7.472673064E9</v>
      </c>
    </row>
    <row r="2442">
      <c r="A2442" s="5" t="s">
        <v>11611</v>
      </c>
      <c r="B2442" s="1" t="s">
        <v>11612</v>
      </c>
      <c r="C2442" s="1" t="s">
        <v>11613</v>
      </c>
      <c r="D2442" s="2">
        <v>7.858534708E9</v>
      </c>
      <c r="E2442" s="1" t="s">
        <v>11614</v>
      </c>
      <c r="F2442" s="1"/>
      <c r="G2442" s="1" t="s">
        <v>11615</v>
      </c>
      <c r="H2442" s="1" t="s">
        <v>4040</v>
      </c>
      <c r="I2442" s="1" t="s">
        <v>11616</v>
      </c>
      <c r="J2442" s="1" t="s">
        <v>4042</v>
      </c>
      <c r="K2442" s="1" t="s">
        <v>42</v>
      </c>
      <c r="L2442" s="1" t="s">
        <v>6819</v>
      </c>
      <c r="M2442" s="1">
        <v>49.0</v>
      </c>
      <c r="N2442" s="1" t="s">
        <v>1152</v>
      </c>
      <c r="O2442" s="3" t="s">
        <v>7716</v>
      </c>
      <c r="P2442" s="1" t="s">
        <v>1152</v>
      </c>
      <c r="Q2442" s="1" t="s">
        <v>1152</v>
      </c>
      <c r="R2442" s="1"/>
      <c r="S2442" s="1"/>
      <c r="T2442" s="1" t="s">
        <v>1152</v>
      </c>
      <c r="U2442" s="1" t="s">
        <v>1441</v>
      </c>
      <c r="V2442" s="4" t="s">
        <v>7716</v>
      </c>
      <c r="W2442" s="1"/>
      <c r="X2442" s="1" t="s">
        <v>1152</v>
      </c>
      <c r="Y2442" s="1" t="s">
        <v>1152</v>
      </c>
      <c r="Z2442" s="1"/>
      <c r="AA2442" s="1"/>
      <c r="AB2442" s="1"/>
      <c r="AC2442" s="1" t="s">
        <v>1925</v>
      </c>
      <c r="AD2442" s="1"/>
      <c r="AE2442" s="18">
        <v>46148.0</v>
      </c>
      <c r="AF2442" s="1" t="s">
        <v>1030</v>
      </c>
      <c r="AG2442" s="1" t="s">
        <v>52</v>
      </c>
      <c r="AH2442" s="1" t="s">
        <v>1152</v>
      </c>
      <c r="AI2442" s="1" t="s">
        <v>1152</v>
      </c>
      <c r="AJ2442" s="1" t="s">
        <v>11614</v>
      </c>
      <c r="AK2442" s="1" t="s">
        <v>1152</v>
      </c>
      <c r="AL2442" s="6"/>
      <c r="AM2442" s="12">
        <v>3.14907509E9</v>
      </c>
    </row>
    <row r="2443">
      <c r="A2443" s="5" t="s">
        <v>11617</v>
      </c>
      <c r="B2443" s="1" t="s">
        <v>11618</v>
      </c>
      <c r="C2443" s="1" t="s">
        <v>11619</v>
      </c>
      <c r="D2443" s="2">
        <v>4.698918022E9</v>
      </c>
      <c r="E2443" s="1" t="s">
        <v>11620</v>
      </c>
      <c r="F2443" s="1"/>
      <c r="G2443" s="1" t="s">
        <v>2508</v>
      </c>
      <c r="H2443" s="1" t="s">
        <v>1583</v>
      </c>
      <c r="I2443" s="1">
        <v>75093.0</v>
      </c>
      <c r="J2443" s="1" t="s">
        <v>752</v>
      </c>
      <c r="K2443" s="1" t="s">
        <v>42</v>
      </c>
      <c r="L2443" s="1" t="s">
        <v>6819</v>
      </c>
      <c r="M2443" s="1">
        <v>49.0</v>
      </c>
      <c r="N2443" s="1" t="s">
        <v>1152</v>
      </c>
      <c r="O2443" s="3" t="s">
        <v>11621</v>
      </c>
      <c r="P2443" s="1" t="s">
        <v>1152</v>
      </c>
      <c r="Q2443" s="1" t="s">
        <v>1152</v>
      </c>
      <c r="R2443" s="1"/>
      <c r="S2443" s="1"/>
      <c r="T2443" s="1" t="s">
        <v>1152</v>
      </c>
      <c r="U2443" s="1" t="s">
        <v>1343</v>
      </c>
      <c r="V2443" s="4" t="s">
        <v>11621</v>
      </c>
      <c r="W2443" s="1"/>
      <c r="X2443" s="1" t="s">
        <v>1152</v>
      </c>
      <c r="Y2443" s="1" t="s">
        <v>1152</v>
      </c>
      <c r="Z2443" s="1"/>
      <c r="AA2443" s="1"/>
      <c r="AB2443" s="1"/>
      <c r="AC2443" s="1" t="s">
        <v>1925</v>
      </c>
      <c r="AD2443" s="1"/>
      <c r="AE2443" s="18">
        <v>46146.0</v>
      </c>
      <c r="AF2443" s="1" t="s">
        <v>1030</v>
      </c>
      <c r="AG2443" s="1" t="s">
        <v>52</v>
      </c>
      <c r="AH2443" s="1" t="s">
        <v>1152</v>
      </c>
      <c r="AI2443" s="1" t="s">
        <v>1152</v>
      </c>
      <c r="AJ2443" s="1" t="s">
        <v>11620</v>
      </c>
      <c r="AK2443" s="1" t="s">
        <v>1152</v>
      </c>
      <c r="AL2443" s="6"/>
      <c r="AM2443" s="12">
        <v>4.698918022E9</v>
      </c>
    </row>
    <row r="2444">
      <c r="A2444" s="5" t="s">
        <v>11622</v>
      </c>
      <c r="B2444" s="1" t="s">
        <v>11623</v>
      </c>
      <c r="C2444" s="1" t="s">
        <v>6685</v>
      </c>
      <c r="D2444" s="2">
        <v>5.163447738E9</v>
      </c>
      <c r="E2444" s="1" t="s">
        <v>6686</v>
      </c>
      <c r="F2444" s="1"/>
      <c r="G2444" s="1" t="s">
        <v>1405</v>
      </c>
      <c r="H2444" s="1" t="s">
        <v>751</v>
      </c>
      <c r="I2444" s="1">
        <v>11753.0</v>
      </c>
      <c r="J2444" s="1" t="s">
        <v>752</v>
      </c>
      <c r="K2444" s="1" t="s">
        <v>42</v>
      </c>
      <c r="L2444" s="1" t="s">
        <v>6819</v>
      </c>
      <c r="M2444" s="1">
        <v>49.0</v>
      </c>
      <c r="N2444" s="1" t="s">
        <v>1152</v>
      </c>
      <c r="O2444" s="3" t="s">
        <v>9957</v>
      </c>
      <c r="P2444" s="1" t="s">
        <v>1152</v>
      </c>
      <c r="Q2444" s="1" t="s">
        <v>1152</v>
      </c>
      <c r="R2444" s="1"/>
      <c r="S2444" s="1"/>
      <c r="T2444" s="1" t="s">
        <v>1152</v>
      </c>
      <c r="U2444" s="1" t="s">
        <v>1828</v>
      </c>
      <c r="V2444" s="4" t="s">
        <v>9957</v>
      </c>
      <c r="W2444" s="1"/>
      <c r="X2444" s="1" t="s">
        <v>1152</v>
      </c>
      <c r="Y2444" s="1" t="s">
        <v>1152</v>
      </c>
      <c r="Z2444" s="1"/>
      <c r="AA2444" s="1"/>
      <c r="AB2444" s="1"/>
      <c r="AC2444" s="1" t="s">
        <v>1925</v>
      </c>
      <c r="AD2444" s="1"/>
      <c r="AE2444" s="18">
        <v>46144.0</v>
      </c>
      <c r="AF2444" s="1" t="s">
        <v>1030</v>
      </c>
      <c r="AG2444" s="1" t="s">
        <v>52</v>
      </c>
      <c r="AH2444" s="1" t="s">
        <v>1152</v>
      </c>
      <c r="AI2444" s="1" t="s">
        <v>1152</v>
      </c>
      <c r="AJ2444" s="1" t="s">
        <v>6686</v>
      </c>
      <c r="AK2444" s="1" t="s">
        <v>1152</v>
      </c>
      <c r="AL2444" s="6"/>
      <c r="AM2444" s="12">
        <v>5.163447738E9</v>
      </c>
    </row>
    <row r="2445">
      <c r="A2445" s="5" t="s">
        <v>11624</v>
      </c>
      <c r="B2445" s="1" t="s">
        <v>11625</v>
      </c>
      <c r="C2445" s="1" t="s">
        <v>11626</v>
      </c>
      <c r="D2445" s="2">
        <v>2.133043801E9</v>
      </c>
      <c r="E2445" s="1" t="s">
        <v>4770</v>
      </c>
      <c r="F2445" s="1"/>
      <c r="G2445" s="1" t="s">
        <v>11091</v>
      </c>
      <c r="H2445" s="1" t="s">
        <v>989</v>
      </c>
      <c r="I2445" s="1">
        <v>90278.0</v>
      </c>
      <c r="J2445" s="1" t="s">
        <v>752</v>
      </c>
      <c r="K2445" s="1" t="s">
        <v>42</v>
      </c>
      <c r="L2445" s="1" t="s">
        <v>7863</v>
      </c>
      <c r="M2445" s="1">
        <v>79.0</v>
      </c>
      <c r="N2445" s="1" t="s">
        <v>1152</v>
      </c>
      <c r="O2445" s="3" t="s">
        <v>4771</v>
      </c>
      <c r="P2445" s="1" t="s">
        <v>1152</v>
      </c>
      <c r="Q2445" s="1" t="s">
        <v>1152</v>
      </c>
      <c r="R2445" s="1"/>
      <c r="S2445" s="1"/>
      <c r="T2445" s="1" t="s">
        <v>1152</v>
      </c>
      <c r="U2445" s="1" t="s">
        <v>1174</v>
      </c>
      <c r="V2445" s="4" t="s">
        <v>4771</v>
      </c>
      <c r="W2445" s="1"/>
      <c r="X2445" s="1" t="s">
        <v>1152</v>
      </c>
      <c r="Y2445" s="1" t="s">
        <v>1152</v>
      </c>
      <c r="Z2445" s="1"/>
      <c r="AA2445" s="1"/>
      <c r="AB2445" s="1"/>
      <c r="AC2445" s="1" t="s">
        <v>1925</v>
      </c>
      <c r="AD2445" s="1"/>
      <c r="AE2445" s="18">
        <v>46149.0</v>
      </c>
      <c r="AF2445" s="1" t="s">
        <v>1030</v>
      </c>
      <c r="AG2445" s="1" t="s">
        <v>52</v>
      </c>
      <c r="AH2445" s="1" t="s">
        <v>1152</v>
      </c>
      <c r="AI2445" s="1" t="s">
        <v>1152</v>
      </c>
      <c r="AJ2445" s="1" t="s">
        <v>11627</v>
      </c>
      <c r="AK2445" s="1" t="s">
        <v>1152</v>
      </c>
      <c r="AL2445" s="6"/>
      <c r="AM2445" s="12">
        <v>2.133082099E9</v>
      </c>
    </row>
    <row r="2446">
      <c r="A2446" s="5" t="s">
        <v>11628</v>
      </c>
      <c r="B2446" s="1" t="s">
        <v>11629</v>
      </c>
      <c r="C2446" s="1" t="s">
        <v>11630</v>
      </c>
      <c r="D2446" s="2">
        <v>9.176120198E9</v>
      </c>
      <c r="E2446" s="1" t="s">
        <v>11631</v>
      </c>
      <c r="F2446" s="1"/>
      <c r="G2446" s="1" t="s">
        <v>9517</v>
      </c>
      <c r="H2446" s="1" t="s">
        <v>751</v>
      </c>
      <c r="I2446" s="1">
        <v>10570.0</v>
      </c>
      <c r="J2446" s="1" t="s">
        <v>752</v>
      </c>
      <c r="K2446" s="1" t="s">
        <v>892</v>
      </c>
      <c r="L2446" s="1" t="s">
        <v>8006</v>
      </c>
      <c r="M2446" s="1">
        <v>49.0</v>
      </c>
      <c r="N2446" s="1" t="s">
        <v>1152</v>
      </c>
      <c r="O2446" s="3" t="s">
        <v>11632</v>
      </c>
      <c r="P2446" s="1" t="s">
        <v>1152</v>
      </c>
      <c r="Q2446" s="1" t="s">
        <v>1152</v>
      </c>
      <c r="R2446" s="1"/>
      <c r="S2446" s="1"/>
      <c r="T2446" s="1" t="s">
        <v>1152</v>
      </c>
      <c r="U2446" s="1" t="s">
        <v>2510</v>
      </c>
      <c r="V2446" s="4" t="s">
        <v>11632</v>
      </c>
      <c r="W2446" s="1"/>
      <c r="X2446" s="1" t="s">
        <v>1152</v>
      </c>
      <c r="Y2446" s="1" t="s">
        <v>1152</v>
      </c>
      <c r="Z2446" s="1"/>
      <c r="AA2446" s="1"/>
      <c r="AB2446" s="1"/>
      <c r="AC2446" s="1" t="s">
        <v>1925</v>
      </c>
      <c r="AD2446" s="1"/>
      <c r="AE2446" s="18">
        <v>46142.0</v>
      </c>
      <c r="AF2446" s="1" t="s">
        <v>1349</v>
      </c>
      <c r="AG2446" s="1" t="s">
        <v>52</v>
      </c>
      <c r="AH2446" s="1" t="s">
        <v>11633</v>
      </c>
      <c r="AI2446" s="1" t="s">
        <v>1152</v>
      </c>
      <c r="AJ2446" s="1" t="s">
        <v>11631</v>
      </c>
      <c r="AK2446" s="1" t="s">
        <v>1152</v>
      </c>
      <c r="AL2446" s="6"/>
      <c r="AM2446" s="12">
        <v>9.176120198E9</v>
      </c>
    </row>
    <row r="2447">
      <c r="A2447" s="5" t="s">
        <v>11634</v>
      </c>
      <c r="B2447" s="1" t="s">
        <v>11635</v>
      </c>
      <c r="C2447" s="1" t="s">
        <v>11636</v>
      </c>
      <c r="D2447" s="2">
        <v>8.084450492E9</v>
      </c>
      <c r="E2447" s="1" t="s">
        <v>11637</v>
      </c>
      <c r="F2447" s="1"/>
      <c r="G2447" s="1" t="s">
        <v>2485</v>
      </c>
      <c r="H2447" s="1" t="s">
        <v>2486</v>
      </c>
      <c r="I2447" s="1">
        <v>96819.0</v>
      </c>
      <c r="J2447" s="1" t="s">
        <v>752</v>
      </c>
      <c r="K2447" s="1" t="s">
        <v>42</v>
      </c>
      <c r="L2447" s="1" t="s">
        <v>6819</v>
      </c>
      <c r="M2447" s="1">
        <v>49.0</v>
      </c>
      <c r="N2447" s="1" t="s">
        <v>1152</v>
      </c>
      <c r="O2447" s="3" t="s">
        <v>3277</v>
      </c>
      <c r="P2447" s="1" t="s">
        <v>1152</v>
      </c>
      <c r="Q2447" s="1" t="s">
        <v>1152</v>
      </c>
      <c r="R2447" s="1"/>
      <c r="S2447" s="1"/>
      <c r="T2447" s="1" t="s">
        <v>1152</v>
      </c>
      <c r="U2447" s="1" t="s">
        <v>1055</v>
      </c>
      <c r="V2447" s="4" t="s">
        <v>3277</v>
      </c>
      <c r="W2447" s="1"/>
      <c r="X2447" s="1" t="s">
        <v>1152</v>
      </c>
      <c r="Y2447" s="1" t="s">
        <v>1152</v>
      </c>
      <c r="Z2447" s="1"/>
      <c r="AA2447" s="1"/>
      <c r="AB2447" s="1"/>
      <c r="AC2447" s="1" t="s">
        <v>1925</v>
      </c>
      <c r="AD2447" s="1"/>
      <c r="AE2447" s="18">
        <v>46148.0</v>
      </c>
      <c r="AF2447" s="1" t="s">
        <v>1030</v>
      </c>
      <c r="AG2447" s="1" t="s">
        <v>52</v>
      </c>
      <c r="AH2447" s="1" t="s">
        <v>1152</v>
      </c>
      <c r="AI2447" s="1" t="s">
        <v>1152</v>
      </c>
      <c r="AJ2447" s="1" t="s">
        <v>11637</v>
      </c>
      <c r="AK2447" s="1" t="s">
        <v>1152</v>
      </c>
      <c r="AL2447" s="6"/>
      <c r="AM2447" s="12">
        <v>8.084450492E9</v>
      </c>
    </row>
    <row r="2448">
      <c r="A2448" s="5" t="s">
        <v>11638</v>
      </c>
      <c r="B2448" s="1" t="s">
        <v>11639</v>
      </c>
      <c r="C2448" s="1" t="s">
        <v>1645</v>
      </c>
      <c r="D2448" s="2">
        <v>6.282134584E9</v>
      </c>
      <c r="E2448" s="1" t="s">
        <v>1646</v>
      </c>
      <c r="F2448" s="1"/>
      <c r="G2448" s="1" t="s">
        <v>1647</v>
      </c>
      <c r="H2448" s="1" t="s">
        <v>989</v>
      </c>
      <c r="I2448" s="1">
        <v>94065.0</v>
      </c>
      <c r="J2448" s="1" t="s">
        <v>752</v>
      </c>
      <c r="K2448" s="1" t="s">
        <v>42</v>
      </c>
      <c r="L2448" s="1" t="s">
        <v>6819</v>
      </c>
      <c r="M2448" s="1">
        <v>49.0</v>
      </c>
      <c r="N2448" s="1" t="s">
        <v>1152</v>
      </c>
      <c r="O2448" s="3" t="s">
        <v>1648</v>
      </c>
      <c r="P2448" s="1" t="s">
        <v>1152</v>
      </c>
      <c r="Q2448" s="1" t="s">
        <v>1152</v>
      </c>
      <c r="R2448" s="1"/>
      <c r="S2448" s="1"/>
      <c r="T2448" s="1" t="s">
        <v>1152</v>
      </c>
      <c r="U2448" s="1" t="s">
        <v>982</v>
      </c>
      <c r="V2448" s="4" t="s">
        <v>1648</v>
      </c>
      <c r="W2448" s="1"/>
      <c r="X2448" s="1" t="s">
        <v>1152</v>
      </c>
      <c r="Y2448" s="1" t="s">
        <v>1152</v>
      </c>
      <c r="Z2448" s="1"/>
      <c r="AA2448" s="1"/>
      <c r="AB2448" s="1"/>
      <c r="AC2448" s="1" t="s">
        <v>1925</v>
      </c>
      <c r="AD2448" s="1"/>
      <c r="AE2448" s="18">
        <v>46178.0</v>
      </c>
      <c r="AF2448" s="1" t="s">
        <v>3186</v>
      </c>
      <c r="AG2448" s="1" t="s">
        <v>52</v>
      </c>
      <c r="AH2448" s="1" t="s">
        <v>1152</v>
      </c>
      <c r="AI2448" s="1" t="s">
        <v>1152</v>
      </c>
      <c r="AJ2448" s="1" t="s">
        <v>1646</v>
      </c>
      <c r="AK2448" s="1" t="s">
        <v>1152</v>
      </c>
      <c r="AL2448" s="6"/>
      <c r="AM2448" s="12">
        <v>6.282134584E9</v>
      </c>
    </row>
    <row r="2449">
      <c r="A2449" s="5" t="s">
        <v>11640</v>
      </c>
      <c r="B2449" s="1" t="s">
        <v>11641</v>
      </c>
      <c r="C2449" s="1" t="s">
        <v>11642</v>
      </c>
      <c r="D2449" s="2">
        <v>8.585887663E9</v>
      </c>
      <c r="E2449" s="1" t="s">
        <v>11643</v>
      </c>
      <c r="F2449" s="1"/>
      <c r="G2449" s="1" t="s">
        <v>2350</v>
      </c>
      <c r="H2449" s="1" t="s">
        <v>1155</v>
      </c>
      <c r="I2449" s="1">
        <v>63130.0</v>
      </c>
      <c r="J2449" s="1" t="s">
        <v>752</v>
      </c>
      <c r="K2449" s="1" t="s">
        <v>42</v>
      </c>
      <c r="L2449" s="1" t="s">
        <v>6819</v>
      </c>
      <c r="M2449" s="1">
        <v>49.0</v>
      </c>
      <c r="N2449" s="1" t="s">
        <v>1152</v>
      </c>
      <c r="O2449" s="3" t="s">
        <v>378</v>
      </c>
      <c r="P2449" s="1" t="s">
        <v>1152</v>
      </c>
      <c r="Q2449" s="1" t="s">
        <v>1152</v>
      </c>
      <c r="R2449" s="1"/>
      <c r="S2449" s="1"/>
      <c r="T2449" s="1" t="s">
        <v>1152</v>
      </c>
      <c r="U2449" s="1" t="s">
        <v>2940</v>
      </c>
      <c r="V2449" s="4" t="s">
        <v>378</v>
      </c>
      <c r="W2449" s="1"/>
      <c r="X2449" s="1" t="s">
        <v>1152</v>
      </c>
      <c r="Y2449" s="1" t="s">
        <v>1152</v>
      </c>
      <c r="Z2449" s="1"/>
      <c r="AA2449" s="1"/>
      <c r="AB2449" s="1"/>
      <c r="AC2449" s="1" t="s">
        <v>1925</v>
      </c>
      <c r="AD2449" s="1"/>
      <c r="AE2449" s="18">
        <v>46147.0</v>
      </c>
      <c r="AF2449" s="1" t="s">
        <v>1030</v>
      </c>
      <c r="AG2449" s="1" t="s">
        <v>52</v>
      </c>
      <c r="AH2449" s="1" t="s">
        <v>1152</v>
      </c>
      <c r="AI2449" s="1" t="s">
        <v>1152</v>
      </c>
      <c r="AJ2449" s="1" t="s">
        <v>11643</v>
      </c>
      <c r="AK2449" s="1" t="s">
        <v>1152</v>
      </c>
      <c r="AL2449" s="6"/>
      <c r="AM2449" s="12">
        <v>8.585887663E9</v>
      </c>
    </row>
    <row r="2450">
      <c r="A2450" s="5" t="s">
        <v>11644</v>
      </c>
      <c r="B2450" s="1" t="s">
        <v>11645</v>
      </c>
      <c r="C2450" s="1" t="s">
        <v>11646</v>
      </c>
      <c r="D2450" s="2">
        <v>2.01410082E9</v>
      </c>
      <c r="E2450" s="1" t="s">
        <v>11647</v>
      </c>
      <c r="F2450" s="1"/>
      <c r="G2450" s="1" t="s">
        <v>4631</v>
      </c>
      <c r="H2450" s="1" t="s">
        <v>1053</v>
      </c>
      <c r="I2450" s="1">
        <v>7024.0</v>
      </c>
      <c r="J2450" s="1" t="s">
        <v>752</v>
      </c>
      <c r="K2450" s="1" t="s">
        <v>42</v>
      </c>
      <c r="L2450" s="1" t="s">
        <v>6819</v>
      </c>
      <c r="M2450" s="1">
        <v>49.0</v>
      </c>
      <c r="N2450" s="1" t="s">
        <v>1152</v>
      </c>
      <c r="O2450" s="3" t="s">
        <v>198</v>
      </c>
      <c r="P2450" s="1" t="s">
        <v>1152</v>
      </c>
      <c r="Q2450" s="1" t="s">
        <v>1152</v>
      </c>
      <c r="R2450" s="1"/>
      <c r="S2450" s="1"/>
      <c r="T2450" s="1" t="s">
        <v>1152</v>
      </c>
      <c r="U2450" s="1" t="s">
        <v>1039</v>
      </c>
      <c r="V2450" s="4" t="s">
        <v>198</v>
      </c>
      <c r="W2450" s="1"/>
      <c r="X2450" s="1" t="s">
        <v>1152</v>
      </c>
      <c r="Y2450" s="1" t="s">
        <v>1152</v>
      </c>
      <c r="Z2450" s="1"/>
      <c r="AA2450" s="1"/>
      <c r="AB2450" s="1"/>
      <c r="AC2450" s="1" t="s">
        <v>1925</v>
      </c>
      <c r="AD2450" s="1"/>
      <c r="AE2450" s="18">
        <v>46148.0</v>
      </c>
      <c r="AF2450" s="1" t="s">
        <v>1030</v>
      </c>
      <c r="AG2450" s="1" t="s">
        <v>52</v>
      </c>
      <c r="AH2450" s="1" t="s">
        <v>1152</v>
      </c>
      <c r="AI2450" s="1" t="s">
        <v>1152</v>
      </c>
      <c r="AJ2450" s="1" t="s">
        <v>11647</v>
      </c>
      <c r="AK2450" s="1" t="s">
        <v>1152</v>
      </c>
      <c r="AL2450" s="6"/>
      <c r="AM2450" s="12">
        <v>2.01410082E9</v>
      </c>
    </row>
    <row r="2451">
      <c r="A2451" s="5" t="s">
        <v>11648</v>
      </c>
      <c r="B2451" s="1" t="s">
        <v>11649</v>
      </c>
      <c r="C2451" s="1" t="s">
        <v>3103</v>
      </c>
      <c r="D2451" s="2">
        <v>3.144454648E9</v>
      </c>
      <c r="E2451" s="1" t="s">
        <v>3104</v>
      </c>
      <c r="F2451" s="1"/>
      <c r="G2451" s="1" t="s">
        <v>1283</v>
      </c>
      <c r="H2451" s="1" t="s">
        <v>1155</v>
      </c>
      <c r="I2451" s="1">
        <v>63112.0</v>
      </c>
      <c r="J2451" s="1" t="s">
        <v>752</v>
      </c>
      <c r="K2451" s="1" t="s">
        <v>6515</v>
      </c>
      <c r="L2451" s="1" t="s">
        <v>11650</v>
      </c>
      <c r="M2451" s="1">
        <v>500.0</v>
      </c>
      <c r="N2451" s="1" t="s">
        <v>1152</v>
      </c>
      <c r="O2451" s="3"/>
      <c r="P2451" s="1" t="s">
        <v>1152</v>
      </c>
      <c r="Q2451" s="1" t="s">
        <v>1152</v>
      </c>
      <c r="R2451" s="1"/>
      <c r="S2451" s="1"/>
      <c r="T2451" s="1" t="s">
        <v>1152</v>
      </c>
      <c r="U2451" s="1"/>
      <c r="V2451" s="4"/>
      <c r="W2451" s="1"/>
      <c r="X2451" s="1" t="s">
        <v>1152</v>
      </c>
      <c r="Y2451" s="1" t="s">
        <v>1152</v>
      </c>
      <c r="Z2451" s="1"/>
      <c r="AA2451" s="1"/>
      <c r="AB2451" s="1"/>
      <c r="AC2451" s="1" t="s">
        <v>11651</v>
      </c>
      <c r="AD2451" s="1"/>
      <c r="AE2451" s="18">
        <v>46150.0</v>
      </c>
      <c r="AF2451" s="1"/>
      <c r="AG2451" s="1"/>
      <c r="AH2451" s="1" t="s">
        <v>11652</v>
      </c>
      <c r="AI2451" s="1" t="s">
        <v>11653</v>
      </c>
      <c r="AJ2451" s="1"/>
      <c r="AK2451" s="1" t="s">
        <v>11654</v>
      </c>
      <c r="AL2451" s="6"/>
      <c r="AM2451" s="12">
        <v>3.144454648E9</v>
      </c>
    </row>
    <row r="2452">
      <c r="A2452" s="5" t="s">
        <v>11655</v>
      </c>
      <c r="B2452" s="1" t="s">
        <v>11656</v>
      </c>
      <c r="C2452" s="1" t="s">
        <v>7494</v>
      </c>
      <c r="D2452" s="2">
        <v>5.163805E9</v>
      </c>
      <c r="E2452" s="1" t="s">
        <v>7495</v>
      </c>
      <c r="F2452" s="1" t="s">
        <v>11657</v>
      </c>
      <c r="G2452" s="1" t="s">
        <v>3790</v>
      </c>
      <c r="H2452" s="1" t="s">
        <v>751</v>
      </c>
      <c r="I2452" s="1">
        <v>10028.0</v>
      </c>
      <c r="J2452" s="1" t="s">
        <v>752</v>
      </c>
      <c r="K2452" s="1" t="s">
        <v>42</v>
      </c>
      <c r="L2452" s="1" t="s">
        <v>6819</v>
      </c>
      <c r="M2452" s="1">
        <v>49.0</v>
      </c>
      <c r="N2452" s="1" t="s">
        <v>1152</v>
      </c>
      <c r="O2452" s="3"/>
      <c r="P2452" s="1" t="s">
        <v>1152</v>
      </c>
      <c r="Q2452" s="1" t="s">
        <v>1152</v>
      </c>
      <c r="R2452" s="1" t="s">
        <v>11657</v>
      </c>
      <c r="S2452" s="1"/>
      <c r="T2452" s="1" t="s">
        <v>1152</v>
      </c>
      <c r="U2452" s="1"/>
      <c r="V2452" s="4"/>
      <c r="W2452" s="1" t="s">
        <v>11657</v>
      </c>
      <c r="X2452" s="1" t="s">
        <v>1152</v>
      </c>
      <c r="Y2452" s="1" t="s">
        <v>1152</v>
      </c>
      <c r="Z2452" s="1"/>
      <c r="AA2452" s="1" t="s">
        <v>11657</v>
      </c>
      <c r="AB2452" s="1"/>
      <c r="AC2452" s="1" t="s">
        <v>1925</v>
      </c>
      <c r="AD2452" s="1"/>
      <c r="AE2452" s="18">
        <v>46139.0</v>
      </c>
      <c r="AF2452" s="1" t="s">
        <v>1349</v>
      </c>
      <c r="AG2452" s="1" t="s">
        <v>124</v>
      </c>
      <c r="AH2452" s="1" t="s">
        <v>1152</v>
      </c>
      <c r="AI2452" s="1" t="s">
        <v>1152</v>
      </c>
      <c r="AJ2452" s="1" t="s">
        <v>7495</v>
      </c>
      <c r="AK2452" s="1" t="s">
        <v>1152</v>
      </c>
      <c r="AL2452" s="6"/>
      <c r="AM2452" s="12">
        <v>5.163805E9</v>
      </c>
    </row>
    <row r="2453">
      <c r="A2453" s="5" t="s">
        <v>11658</v>
      </c>
      <c r="B2453" s="1" t="s">
        <v>11659</v>
      </c>
      <c r="C2453" s="1" t="s">
        <v>11660</v>
      </c>
      <c r="D2453" s="2">
        <v>3.142037739E9</v>
      </c>
      <c r="E2453" s="1" t="s">
        <v>11661</v>
      </c>
      <c r="F2453" s="1"/>
      <c r="G2453" s="1" t="s">
        <v>11662</v>
      </c>
      <c r="H2453" s="1" t="s">
        <v>11662</v>
      </c>
      <c r="I2453" s="1">
        <v>201204.0</v>
      </c>
      <c r="J2453" s="1" t="s">
        <v>5553</v>
      </c>
      <c r="K2453" s="1" t="s">
        <v>42</v>
      </c>
      <c r="L2453" s="1" t="s">
        <v>6819</v>
      </c>
      <c r="M2453" s="1">
        <v>49.0</v>
      </c>
      <c r="N2453" s="1" t="s">
        <v>1152</v>
      </c>
      <c r="O2453" s="3" t="s">
        <v>1800</v>
      </c>
      <c r="P2453" s="1" t="s">
        <v>1152</v>
      </c>
      <c r="Q2453" s="1" t="s">
        <v>1152</v>
      </c>
      <c r="R2453" s="1"/>
      <c r="S2453" s="1"/>
      <c r="T2453" s="1" t="s">
        <v>1152</v>
      </c>
      <c r="U2453" s="1" t="s">
        <v>1249</v>
      </c>
      <c r="V2453" s="4" t="s">
        <v>1800</v>
      </c>
      <c r="W2453" s="1"/>
      <c r="X2453" s="1" t="s">
        <v>1152</v>
      </c>
      <c r="Y2453" s="1" t="s">
        <v>1152</v>
      </c>
      <c r="Z2453" s="1"/>
      <c r="AA2453" s="1"/>
      <c r="AB2453" s="1"/>
      <c r="AC2453" s="1" t="s">
        <v>1925</v>
      </c>
      <c r="AD2453" s="1"/>
      <c r="AE2453" s="18">
        <v>46146.0</v>
      </c>
      <c r="AF2453" s="1" t="s">
        <v>1349</v>
      </c>
      <c r="AG2453" s="1" t="s">
        <v>52</v>
      </c>
      <c r="AH2453" s="1" t="s">
        <v>1152</v>
      </c>
      <c r="AI2453" s="1" t="s">
        <v>11663</v>
      </c>
      <c r="AJ2453" s="1" t="s">
        <v>11664</v>
      </c>
      <c r="AK2453" s="1" t="s">
        <v>1152</v>
      </c>
      <c r="AL2453" s="6"/>
      <c r="AM2453" s="12">
        <v>3.142037739E9</v>
      </c>
    </row>
    <row r="2454">
      <c r="A2454" s="5" t="s">
        <v>11665</v>
      </c>
      <c r="B2454" s="1" t="s">
        <v>11666</v>
      </c>
      <c r="C2454" s="1" t="s">
        <v>3861</v>
      </c>
      <c r="D2454" s="2">
        <v>3.109818861E9</v>
      </c>
      <c r="E2454" s="1" t="s">
        <v>11667</v>
      </c>
      <c r="F2454" s="1"/>
      <c r="G2454" s="1" t="s">
        <v>4330</v>
      </c>
      <c r="H2454" s="1" t="s">
        <v>989</v>
      </c>
      <c r="I2454" s="1">
        <v>90272.0</v>
      </c>
      <c r="J2454" s="1" t="s">
        <v>752</v>
      </c>
      <c r="K2454" s="1" t="s">
        <v>42</v>
      </c>
      <c r="L2454" s="1" t="s">
        <v>6819</v>
      </c>
      <c r="M2454" s="1">
        <v>49.0</v>
      </c>
      <c r="N2454" s="1" t="s">
        <v>1152</v>
      </c>
      <c r="O2454" s="3" t="s">
        <v>1793</v>
      </c>
      <c r="P2454" s="1" t="s">
        <v>1152</v>
      </c>
      <c r="Q2454" s="1" t="s">
        <v>1152</v>
      </c>
      <c r="R2454" s="1"/>
      <c r="S2454" s="1"/>
      <c r="T2454" s="1" t="s">
        <v>1152</v>
      </c>
      <c r="U2454" s="1" t="s">
        <v>1174</v>
      </c>
      <c r="V2454" s="4" t="s">
        <v>1793</v>
      </c>
      <c r="W2454" s="1"/>
      <c r="X2454" s="1" t="s">
        <v>1152</v>
      </c>
      <c r="Y2454" s="1" t="s">
        <v>1152</v>
      </c>
      <c r="Z2454" s="1"/>
      <c r="AA2454" s="1"/>
      <c r="AB2454" s="1"/>
      <c r="AC2454" s="1" t="s">
        <v>1925</v>
      </c>
      <c r="AD2454" s="1"/>
      <c r="AE2454" s="18">
        <v>46146.0</v>
      </c>
      <c r="AF2454" s="1" t="s">
        <v>1103</v>
      </c>
      <c r="AG2454" s="1" t="s">
        <v>52</v>
      </c>
      <c r="AH2454" s="1" t="s">
        <v>1152</v>
      </c>
      <c r="AI2454" s="1" t="s">
        <v>1152</v>
      </c>
      <c r="AJ2454" s="1" t="s">
        <v>3862</v>
      </c>
      <c r="AK2454" s="1" t="s">
        <v>1152</v>
      </c>
      <c r="AL2454" s="6"/>
      <c r="AM2454" s="12">
        <v>3.109818861E9</v>
      </c>
    </row>
    <row r="2455">
      <c r="A2455" s="5" t="s">
        <v>11668</v>
      </c>
      <c r="B2455" s="1" t="s">
        <v>11669</v>
      </c>
      <c r="C2455" s="1" t="s">
        <v>11670</v>
      </c>
      <c r="D2455" s="2">
        <v>4.058216666E9</v>
      </c>
      <c r="E2455" s="1" t="s">
        <v>11671</v>
      </c>
      <c r="F2455" s="1"/>
      <c r="G2455" s="1" t="s">
        <v>11672</v>
      </c>
      <c r="H2455" s="1" t="s">
        <v>6848</v>
      </c>
      <c r="I2455" s="1">
        <v>73108.0</v>
      </c>
      <c r="J2455" s="1" t="s">
        <v>752</v>
      </c>
      <c r="K2455" s="1" t="s">
        <v>42</v>
      </c>
      <c r="L2455" s="1" t="s">
        <v>6819</v>
      </c>
      <c r="M2455" s="1">
        <v>49.0</v>
      </c>
      <c r="N2455" s="1" t="s">
        <v>1152</v>
      </c>
      <c r="O2455" s="3" t="s">
        <v>11673</v>
      </c>
      <c r="P2455" s="1" t="s">
        <v>1152</v>
      </c>
      <c r="Q2455" s="1" t="s">
        <v>1152</v>
      </c>
      <c r="R2455" s="1"/>
      <c r="S2455" s="1"/>
      <c r="T2455" s="1" t="s">
        <v>1152</v>
      </c>
      <c r="U2455" s="1" t="s">
        <v>1201</v>
      </c>
      <c r="V2455" s="4" t="s">
        <v>11673</v>
      </c>
      <c r="W2455" s="1"/>
      <c r="X2455" s="1" t="s">
        <v>1152</v>
      </c>
      <c r="Y2455" s="1" t="s">
        <v>1152</v>
      </c>
      <c r="Z2455" s="1"/>
      <c r="AA2455" s="1"/>
      <c r="AB2455" s="1"/>
      <c r="AC2455" s="1" t="s">
        <v>1925</v>
      </c>
      <c r="AD2455" s="1"/>
      <c r="AE2455" s="18">
        <v>46149.0</v>
      </c>
      <c r="AF2455" s="1" t="s">
        <v>1630</v>
      </c>
      <c r="AG2455" s="1" t="s">
        <v>52</v>
      </c>
      <c r="AH2455" s="1" t="s">
        <v>1152</v>
      </c>
      <c r="AI2455" s="1" t="s">
        <v>1152</v>
      </c>
      <c r="AJ2455" s="1" t="s">
        <v>11674</v>
      </c>
      <c r="AK2455" s="1" t="s">
        <v>1152</v>
      </c>
      <c r="AL2455" s="6"/>
      <c r="AM2455" s="12">
        <v>4.058216666E9</v>
      </c>
    </row>
    <row r="2456">
      <c r="A2456" s="5" t="s">
        <v>11675</v>
      </c>
      <c r="B2456" s="1" t="s">
        <v>11676</v>
      </c>
      <c r="C2456" s="1" t="s">
        <v>1336</v>
      </c>
      <c r="D2456" s="2">
        <v>9.14602624E9</v>
      </c>
      <c r="E2456" s="1" t="s">
        <v>1337</v>
      </c>
      <c r="F2456" s="1"/>
      <c r="G2456" s="1" t="s">
        <v>1339</v>
      </c>
      <c r="H2456" s="1" t="s">
        <v>751</v>
      </c>
      <c r="I2456" s="1">
        <v>10536.0</v>
      </c>
      <c r="J2456" s="1" t="s">
        <v>752</v>
      </c>
      <c r="K2456" s="1" t="s">
        <v>2131</v>
      </c>
      <c r="L2456" s="1" t="s">
        <v>5767</v>
      </c>
      <c r="M2456" s="1">
        <v>1.0</v>
      </c>
      <c r="N2456" s="1" t="s">
        <v>1152</v>
      </c>
      <c r="O2456" s="3" t="s">
        <v>1342</v>
      </c>
      <c r="P2456" s="1" t="s">
        <v>1152</v>
      </c>
      <c r="Q2456" s="1" t="s">
        <v>1152</v>
      </c>
      <c r="R2456" s="1"/>
      <c r="S2456" s="1"/>
      <c r="T2456" s="1" t="s">
        <v>1152</v>
      </c>
      <c r="U2456" s="1" t="s">
        <v>1343</v>
      </c>
      <c r="V2456" s="4" t="s">
        <v>1342</v>
      </c>
      <c r="W2456" s="1"/>
      <c r="X2456" s="1" t="s">
        <v>1152</v>
      </c>
      <c r="Y2456" s="1" t="s">
        <v>1152</v>
      </c>
      <c r="Z2456" s="1"/>
      <c r="AA2456" s="1"/>
      <c r="AB2456" s="1"/>
      <c r="AC2456" s="1" t="s">
        <v>1925</v>
      </c>
      <c r="AD2456" s="1"/>
      <c r="AE2456" s="18">
        <v>46149.0</v>
      </c>
      <c r="AF2456" s="1"/>
      <c r="AG2456" s="1"/>
      <c r="AH2456" s="1" t="s">
        <v>1152</v>
      </c>
      <c r="AI2456" s="1" t="s">
        <v>1152</v>
      </c>
      <c r="AJ2456" s="1" t="s">
        <v>1337</v>
      </c>
      <c r="AK2456" s="1" t="s">
        <v>1152</v>
      </c>
      <c r="AL2456" s="6"/>
      <c r="AM2456" s="12">
        <v>9.14602624E9</v>
      </c>
    </row>
    <row r="2457">
      <c r="A2457" s="5" t="s">
        <v>11677</v>
      </c>
      <c r="B2457" s="1" t="s">
        <v>11678</v>
      </c>
      <c r="C2457" s="1" t="s">
        <v>572</v>
      </c>
      <c r="D2457" s="2">
        <v>9.172141935E9</v>
      </c>
      <c r="E2457" s="1" t="s">
        <v>5355</v>
      </c>
      <c r="F2457" s="1"/>
      <c r="G2457" s="1" t="s">
        <v>1382</v>
      </c>
      <c r="H2457" s="1" t="s">
        <v>751</v>
      </c>
      <c r="I2457" s="1">
        <v>10583.0</v>
      </c>
      <c r="J2457" s="1" t="s">
        <v>752</v>
      </c>
      <c r="K2457" s="1" t="s">
        <v>2131</v>
      </c>
      <c r="L2457" s="1" t="s">
        <v>5767</v>
      </c>
      <c r="M2457" s="1">
        <v>1.0</v>
      </c>
      <c r="N2457" s="1" t="s">
        <v>1152</v>
      </c>
      <c r="O2457" s="3" t="s">
        <v>576</v>
      </c>
      <c r="P2457" s="1" t="s">
        <v>1152</v>
      </c>
      <c r="Q2457" s="1" t="s">
        <v>1152</v>
      </c>
      <c r="R2457" s="1"/>
      <c r="S2457" s="1"/>
      <c r="T2457" s="1" t="s">
        <v>1152</v>
      </c>
      <c r="U2457" s="1" t="s">
        <v>1039</v>
      </c>
      <c r="V2457" s="4" t="s">
        <v>576</v>
      </c>
      <c r="W2457" s="1"/>
      <c r="X2457" s="1" t="s">
        <v>1152</v>
      </c>
      <c r="Y2457" s="1" t="s">
        <v>1152</v>
      </c>
      <c r="Z2457" s="1"/>
      <c r="AA2457" s="1"/>
      <c r="AB2457" s="1"/>
      <c r="AC2457" s="1" t="s">
        <v>1925</v>
      </c>
      <c r="AD2457" s="1"/>
      <c r="AE2457" s="18">
        <v>46149.0</v>
      </c>
      <c r="AF2457" s="1"/>
      <c r="AG2457" s="1"/>
      <c r="AH2457" s="1" t="s">
        <v>1152</v>
      </c>
      <c r="AI2457" s="1" t="s">
        <v>1152</v>
      </c>
      <c r="AJ2457" s="1" t="s">
        <v>11679</v>
      </c>
      <c r="AK2457" s="1" t="s">
        <v>1152</v>
      </c>
      <c r="AL2457" s="6"/>
      <c r="AM2457" s="12">
        <v>9.175727002E9</v>
      </c>
    </row>
    <row r="2458">
      <c r="A2458" s="5" t="s">
        <v>11680</v>
      </c>
      <c r="B2458" s="1" t="s">
        <v>11681</v>
      </c>
      <c r="C2458" s="1" t="s">
        <v>6931</v>
      </c>
      <c r="D2458" s="2">
        <v>3.147605274E9</v>
      </c>
      <c r="E2458" s="1" t="s">
        <v>6932</v>
      </c>
      <c r="F2458" s="1"/>
      <c r="G2458" s="1" t="s">
        <v>1283</v>
      </c>
      <c r="H2458" s="1" t="s">
        <v>1155</v>
      </c>
      <c r="I2458" s="1">
        <v>63105.0</v>
      </c>
      <c r="J2458" s="1" t="s">
        <v>752</v>
      </c>
      <c r="K2458" s="1" t="s">
        <v>2131</v>
      </c>
      <c r="L2458" s="1" t="s">
        <v>5736</v>
      </c>
      <c r="M2458" s="1">
        <v>1.0</v>
      </c>
      <c r="N2458" s="1" t="s">
        <v>1152</v>
      </c>
      <c r="O2458" s="3" t="s">
        <v>8458</v>
      </c>
      <c r="P2458" s="1" t="s">
        <v>1152</v>
      </c>
      <c r="Q2458" s="1" t="s">
        <v>1152</v>
      </c>
      <c r="R2458" s="1"/>
      <c r="S2458" s="1"/>
      <c r="T2458" s="1" t="s">
        <v>1152</v>
      </c>
      <c r="U2458" s="1" t="s">
        <v>7909</v>
      </c>
      <c r="V2458" s="4" t="s">
        <v>8458</v>
      </c>
      <c r="W2458" s="1"/>
      <c r="X2458" s="1" t="s">
        <v>1152</v>
      </c>
      <c r="Y2458" s="1" t="s">
        <v>1152</v>
      </c>
      <c r="Z2458" s="1"/>
      <c r="AA2458" s="1"/>
      <c r="AB2458" s="1"/>
      <c r="AC2458" s="1" t="s">
        <v>1925</v>
      </c>
      <c r="AD2458" s="1"/>
      <c r="AE2458" s="18">
        <v>46151.0</v>
      </c>
      <c r="AF2458" s="1"/>
      <c r="AG2458" s="1"/>
      <c r="AH2458" s="1" t="s">
        <v>1152</v>
      </c>
      <c r="AI2458" s="1" t="s">
        <v>1152</v>
      </c>
      <c r="AJ2458" s="1" t="s">
        <v>6932</v>
      </c>
      <c r="AK2458" s="1" t="s">
        <v>1152</v>
      </c>
      <c r="AL2458" s="6"/>
      <c r="AM2458" s="12">
        <v>3.147605274E9</v>
      </c>
    </row>
    <row r="2459">
      <c r="A2459" s="5" t="s">
        <v>11682</v>
      </c>
      <c r="B2459" s="1" t="s">
        <v>11683</v>
      </c>
      <c r="C2459" s="1" t="s">
        <v>3754</v>
      </c>
      <c r="D2459" s="2">
        <v>2.055049381E9</v>
      </c>
      <c r="E2459" s="1" t="s">
        <v>11684</v>
      </c>
      <c r="F2459" s="1"/>
      <c r="G2459" s="1" t="s">
        <v>1085</v>
      </c>
      <c r="H2459" s="1" t="s">
        <v>1086</v>
      </c>
      <c r="I2459" s="1">
        <v>35222.0</v>
      </c>
      <c r="J2459" s="1" t="s">
        <v>752</v>
      </c>
      <c r="K2459" s="1" t="s">
        <v>2131</v>
      </c>
      <c r="L2459" s="1" t="s">
        <v>5811</v>
      </c>
      <c r="M2459" s="1">
        <v>1.0</v>
      </c>
      <c r="N2459" s="1" t="s">
        <v>1152</v>
      </c>
      <c r="O2459" s="3" t="s">
        <v>1362</v>
      </c>
      <c r="P2459" s="1" t="s">
        <v>1152</v>
      </c>
      <c r="Q2459" s="1" t="s">
        <v>1152</v>
      </c>
      <c r="R2459" s="1"/>
      <c r="S2459" s="1"/>
      <c r="T2459" s="1" t="s">
        <v>1152</v>
      </c>
      <c r="U2459" s="1" t="s">
        <v>3756</v>
      </c>
      <c r="V2459" s="4" t="s">
        <v>1362</v>
      </c>
      <c r="W2459" s="1"/>
      <c r="X2459" s="1" t="s">
        <v>1152</v>
      </c>
      <c r="Y2459" s="1" t="s">
        <v>1152</v>
      </c>
      <c r="Z2459" s="1"/>
      <c r="AA2459" s="1"/>
      <c r="AB2459" s="1"/>
      <c r="AC2459" s="1" t="s">
        <v>1925</v>
      </c>
      <c r="AD2459" s="1"/>
      <c r="AE2459" s="18">
        <v>46150.0</v>
      </c>
      <c r="AF2459" s="1"/>
      <c r="AG2459" s="1"/>
      <c r="AH2459" s="1" t="s">
        <v>1152</v>
      </c>
      <c r="AI2459" s="1" t="s">
        <v>1152</v>
      </c>
      <c r="AJ2459" s="1" t="s">
        <v>11684</v>
      </c>
      <c r="AK2459" s="1" t="s">
        <v>1152</v>
      </c>
      <c r="AL2459" s="6"/>
      <c r="AM2459" s="12">
        <v>2.055049381E9</v>
      </c>
    </row>
    <row r="2460">
      <c r="A2460" s="5" t="s">
        <v>11685</v>
      </c>
      <c r="B2460" s="1" t="s">
        <v>11686</v>
      </c>
      <c r="C2460" s="1" t="s">
        <v>2524</v>
      </c>
      <c r="D2460" s="2">
        <v>9.042545126E9</v>
      </c>
      <c r="E2460" s="1" t="s">
        <v>2525</v>
      </c>
      <c r="F2460" s="1"/>
      <c r="G2460" s="1" t="s">
        <v>2526</v>
      </c>
      <c r="H2460" s="1" t="s">
        <v>1208</v>
      </c>
      <c r="I2460" s="1">
        <v>32082.0</v>
      </c>
      <c r="J2460" s="1" t="s">
        <v>752</v>
      </c>
      <c r="K2460" s="1" t="s">
        <v>2131</v>
      </c>
      <c r="L2460" s="1" t="s">
        <v>5833</v>
      </c>
      <c r="M2460" s="1">
        <v>1.0</v>
      </c>
      <c r="N2460" s="1" t="s">
        <v>1152</v>
      </c>
      <c r="O2460" s="3" t="s">
        <v>8363</v>
      </c>
      <c r="P2460" s="1" t="s">
        <v>1152</v>
      </c>
      <c r="Q2460" s="1" t="s">
        <v>1152</v>
      </c>
      <c r="R2460" s="1"/>
      <c r="S2460" s="1"/>
      <c r="T2460" s="1" t="s">
        <v>1152</v>
      </c>
      <c r="U2460" s="1" t="s">
        <v>1441</v>
      </c>
      <c r="V2460" s="4" t="s">
        <v>8363</v>
      </c>
      <c r="W2460" s="1"/>
      <c r="X2460" s="1" t="s">
        <v>1152</v>
      </c>
      <c r="Y2460" s="1" t="s">
        <v>1152</v>
      </c>
      <c r="Z2460" s="1"/>
      <c r="AA2460" s="1"/>
      <c r="AB2460" s="1"/>
      <c r="AC2460" s="1" t="s">
        <v>1925</v>
      </c>
      <c r="AD2460" s="1"/>
      <c r="AE2460" s="18">
        <v>46143.0</v>
      </c>
      <c r="AF2460" s="1"/>
      <c r="AG2460" s="1"/>
      <c r="AH2460" s="1" t="s">
        <v>1152</v>
      </c>
      <c r="AI2460" s="1" t="s">
        <v>1152</v>
      </c>
      <c r="AJ2460" s="1" t="s">
        <v>2525</v>
      </c>
      <c r="AK2460" s="1" t="s">
        <v>1152</v>
      </c>
      <c r="AL2460" s="6"/>
      <c r="AM2460" s="12">
        <v>9.042545126E9</v>
      </c>
    </row>
    <row r="2461">
      <c r="A2461" s="5" t="s">
        <v>11687</v>
      </c>
      <c r="B2461" s="1" t="s">
        <v>11688</v>
      </c>
      <c r="C2461" s="1" t="s">
        <v>11689</v>
      </c>
      <c r="D2461" s="2">
        <v>4.042108393E9</v>
      </c>
      <c r="E2461" s="1" t="s">
        <v>11690</v>
      </c>
      <c r="F2461" s="1"/>
      <c r="G2461" s="1" t="s">
        <v>11691</v>
      </c>
      <c r="H2461" s="1" t="s">
        <v>1208</v>
      </c>
      <c r="I2461" s="1">
        <v>33767.0</v>
      </c>
      <c r="J2461" s="1" t="s">
        <v>752</v>
      </c>
      <c r="K2461" s="1" t="s">
        <v>2131</v>
      </c>
      <c r="L2461" s="1" t="s">
        <v>5767</v>
      </c>
      <c r="M2461" s="1">
        <v>1.0</v>
      </c>
      <c r="N2461" s="1" t="s">
        <v>1152</v>
      </c>
      <c r="O2461" s="3" t="s">
        <v>11692</v>
      </c>
      <c r="P2461" s="1" t="s">
        <v>1152</v>
      </c>
      <c r="Q2461" s="1" t="s">
        <v>1152</v>
      </c>
      <c r="R2461" s="1"/>
      <c r="S2461" s="1"/>
      <c r="T2461" s="1" t="s">
        <v>1152</v>
      </c>
      <c r="U2461" s="1" t="s">
        <v>1537</v>
      </c>
      <c r="V2461" s="4" t="s">
        <v>11692</v>
      </c>
      <c r="W2461" s="1"/>
      <c r="X2461" s="1" t="s">
        <v>1152</v>
      </c>
      <c r="Y2461" s="1" t="s">
        <v>1152</v>
      </c>
      <c r="Z2461" s="1"/>
      <c r="AA2461" s="1"/>
      <c r="AB2461" s="1"/>
      <c r="AC2461" s="1" t="s">
        <v>1925</v>
      </c>
      <c r="AD2461" s="1"/>
      <c r="AE2461" s="18">
        <v>46147.0</v>
      </c>
      <c r="AF2461" s="1"/>
      <c r="AG2461" s="1"/>
      <c r="AH2461" s="1" t="s">
        <v>1152</v>
      </c>
      <c r="AI2461" s="1" t="s">
        <v>1152</v>
      </c>
      <c r="AJ2461" s="1" t="s">
        <v>6333</v>
      </c>
      <c r="AK2461" s="1" t="s">
        <v>1152</v>
      </c>
      <c r="AL2461" s="6"/>
      <c r="AM2461" s="12" t="s">
        <v>11693</v>
      </c>
    </row>
    <row r="2462">
      <c r="A2462" s="5" t="s">
        <v>11694</v>
      </c>
      <c r="B2462" s="1" t="s">
        <v>11695</v>
      </c>
      <c r="C2462" s="1" t="s">
        <v>4576</v>
      </c>
      <c r="D2462" s="2">
        <v>6.178627945E9</v>
      </c>
      <c r="E2462" s="1" t="s">
        <v>11696</v>
      </c>
      <c r="F2462" s="1"/>
      <c r="G2462" s="1" t="s">
        <v>4578</v>
      </c>
      <c r="H2462" s="1" t="s">
        <v>1121</v>
      </c>
      <c r="I2462" s="1">
        <v>2478.0</v>
      </c>
      <c r="J2462" s="1" t="s">
        <v>752</v>
      </c>
      <c r="K2462" s="1" t="s">
        <v>42</v>
      </c>
      <c r="L2462" s="1" t="s">
        <v>6819</v>
      </c>
      <c r="M2462" s="1">
        <v>49.0</v>
      </c>
      <c r="N2462" s="1" t="s">
        <v>1152</v>
      </c>
      <c r="O2462" s="3" t="s">
        <v>4142</v>
      </c>
      <c r="P2462" s="1" t="s">
        <v>1152</v>
      </c>
      <c r="Q2462" s="1" t="s">
        <v>1152</v>
      </c>
      <c r="R2462" s="1"/>
      <c r="S2462" s="1"/>
      <c r="T2462" s="1" t="s">
        <v>1152</v>
      </c>
      <c r="U2462" s="1" t="s">
        <v>1407</v>
      </c>
      <c r="V2462" s="4" t="s">
        <v>4142</v>
      </c>
      <c r="W2462" s="1"/>
      <c r="X2462" s="1" t="s">
        <v>1152</v>
      </c>
      <c r="Y2462" s="1" t="s">
        <v>1152</v>
      </c>
      <c r="Z2462" s="1"/>
      <c r="AA2462" s="1"/>
      <c r="AB2462" s="1"/>
      <c r="AC2462" s="1" t="s">
        <v>1925</v>
      </c>
      <c r="AD2462" s="1"/>
      <c r="AE2462" s="18">
        <v>46149.0</v>
      </c>
      <c r="AF2462" s="1" t="s">
        <v>1030</v>
      </c>
      <c r="AG2462" s="1" t="s">
        <v>52</v>
      </c>
      <c r="AH2462" s="1" t="s">
        <v>1152</v>
      </c>
      <c r="AI2462" s="1" t="s">
        <v>1152</v>
      </c>
      <c r="AJ2462" s="1" t="s">
        <v>11697</v>
      </c>
      <c r="AK2462" s="1" t="s">
        <v>1152</v>
      </c>
      <c r="AL2462" s="6"/>
      <c r="AM2462" s="12">
        <v>6.178627945E9</v>
      </c>
    </row>
    <row r="2463">
      <c r="A2463" s="5" t="s">
        <v>11698</v>
      </c>
      <c r="B2463" s="1" t="s">
        <v>11699</v>
      </c>
      <c r="C2463" s="1" t="s">
        <v>798</v>
      </c>
      <c r="D2463" s="2">
        <v>7.146255442E9</v>
      </c>
      <c r="E2463" s="1" t="s">
        <v>799</v>
      </c>
      <c r="F2463" s="1"/>
      <c r="G2463" s="1" t="s">
        <v>11700</v>
      </c>
      <c r="H2463" s="1" t="s">
        <v>989</v>
      </c>
      <c r="I2463" s="1">
        <v>90740.0</v>
      </c>
      <c r="J2463" s="1" t="s">
        <v>752</v>
      </c>
      <c r="K2463" s="1" t="s">
        <v>2131</v>
      </c>
      <c r="L2463" s="1" t="s">
        <v>5736</v>
      </c>
      <c r="M2463" s="1">
        <v>1.0</v>
      </c>
      <c r="N2463" s="1" t="s">
        <v>1152</v>
      </c>
      <c r="O2463" s="3" t="s">
        <v>2035</v>
      </c>
      <c r="P2463" s="1" t="s">
        <v>1152</v>
      </c>
      <c r="Q2463" s="1" t="s">
        <v>1152</v>
      </c>
      <c r="R2463" s="1"/>
      <c r="S2463" s="1"/>
      <c r="T2463" s="1" t="s">
        <v>1152</v>
      </c>
      <c r="U2463" s="1" t="s">
        <v>1148</v>
      </c>
      <c r="V2463" s="4" t="s">
        <v>2035</v>
      </c>
      <c r="W2463" s="1"/>
      <c r="X2463" s="1" t="s">
        <v>1152</v>
      </c>
      <c r="Y2463" s="1" t="s">
        <v>1152</v>
      </c>
      <c r="Z2463" s="1"/>
      <c r="AA2463" s="1"/>
      <c r="AB2463" s="1"/>
      <c r="AC2463" s="1" t="s">
        <v>1925</v>
      </c>
      <c r="AD2463" s="1"/>
      <c r="AE2463" s="18">
        <v>46148.0</v>
      </c>
      <c r="AF2463" s="1"/>
      <c r="AG2463" s="1"/>
      <c r="AH2463" s="1" t="s">
        <v>1152</v>
      </c>
      <c r="AI2463" s="1" t="s">
        <v>1152</v>
      </c>
      <c r="AJ2463" s="1" t="s">
        <v>799</v>
      </c>
      <c r="AK2463" s="1" t="s">
        <v>1152</v>
      </c>
      <c r="AL2463" s="6"/>
      <c r="AM2463" s="12">
        <v>7.146255442E9</v>
      </c>
    </row>
    <row r="2464">
      <c r="A2464" s="5" t="s">
        <v>11701</v>
      </c>
      <c r="B2464" s="1" t="s">
        <v>11702</v>
      </c>
      <c r="C2464" s="1" t="s">
        <v>4576</v>
      </c>
      <c r="D2464" s="2">
        <v>6.178627945E9</v>
      </c>
      <c r="E2464" s="1" t="s">
        <v>11696</v>
      </c>
      <c r="F2464" s="1"/>
      <c r="G2464" s="1" t="s">
        <v>4578</v>
      </c>
      <c r="H2464" s="1" t="s">
        <v>1121</v>
      </c>
      <c r="I2464" s="1">
        <v>2478.0</v>
      </c>
      <c r="J2464" s="1" t="s">
        <v>752</v>
      </c>
      <c r="K2464" s="1" t="s">
        <v>2131</v>
      </c>
      <c r="L2464" s="1" t="s">
        <v>5767</v>
      </c>
      <c r="M2464" s="1">
        <v>1.0</v>
      </c>
      <c r="N2464" s="1" t="s">
        <v>1152</v>
      </c>
      <c r="O2464" s="3" t="s">
        <v>4579</v>
      </c>
      <c r="P2464" s="1" t="s">
        <v>1152</v>
      </c>
      <c r="Q2464" s="1" t="s">
        <v>1152</v>
      </c>
      <c r="R2464" s="1"/>
      <c r="S2464" s="1"/>
      <c r="T2464" s="1" t="s">
        <v>1152</v>
      </c>
      <c r="U2464" s="1" t="s">
        <v>1407</v>
      </c>
      <c r="V2464" s="4" t="s">
        <v>4579</v>
      </c>
      <c r="W2464" s="1"/>
      <c r="X2464" s="1" t="s">
        <v>1152</v>
      </c>
      <c r="Y2464" s="1" t="s">
        <v>1152</v>
      </c>
      <c r="Z2464" s="1"/>
      <c r="AA2464" s="1"/>
      <c r="AB2464" s="1"/>
      <c r="AC2464" s="1" t="s">
        <v>1925</v>
      </c>
      <c r="AD2464" s="1"/>
      <c r="AE2464" s="18">
        <v>46149.0</v>
      </c>
      <c r="AF2464" s="1"/>
      <c r="AG2464" s="1"/>
      <c r="AH2464" s="1" t="s">
        <v>1152</v>
      </c>
      <c r="AI2464" s="1" t="s">
        <v>1152</v>
      </c>
      <c r="AJ2464" s="1" t="s">
        <v>4577</v>
      </c>
      <c r="AK2464" s="1" t="s">
        <v>1152</v>
      </c>
      <c r="AL2464" s="6"/>
      <c r="AM2464" s="12">
        <v>6.178627945E9</v>
      </c>
    </row>
    <row r="2465">
      <c r="A2465" s="5" t="s">
        <v>11703</v>
      </c>
      <c r="B2465" s="1" t="s">
        <v>11704</v>
      </c>
      <c r="C2465" s="1" t="s">
        <v>8448</v>
      </c>
      <c r="D2465" s="2">
        <v>9.175660907E9</v>
      </c>
      <c r="E2465" s="1" t="s">
        <v>11705</v>
      </c>
      <c r="F2465" s="1"/>
      <c r="G2465" s="1" t="s">
        <v>1382</v>
      </c>
      <c r="H2465" s="1" t="s">
        <v>751</v>
      </c>
      <c r="I2465" s="1">
        <v>10583.0</v>
      </c>
      <c r="J2465" s="1" t="s">
        <v>752</v>
      </c>
      <c r="K2465" s="1" t="s">
        <v>2131</v>
      </c>
      <c r="L2465" s="1" t="s">
        <v>5767</v>
      </c>
      <c r="M2465" s="1">
        <v>1.0</v>
      </c>
      <c r="N2465" s="1" t="s">
        <v>1152</v>
      </c>
      <c r="O2465" s="3" t="s">
        <v>270</v>
      </c>
      <c r="P2465" s="1" t="s">
        <v>1152</v>
      </c>
      <c r="Q2465" s="1" t="s">
        <v>1152</v>
      </c>
      <c r="R2465" s="1"/>
      <c r="S2465" s="1"/>
      <c r="T2465" s="1" t="s">
        <v>1152</v>
      </c>
      <c r="U2465" s="1" t="s">
        <v>956</v>
      </c>
      <c r="V2465" s="4" t="s">
        <v>270</v>
      </c>
      <c r="W2465" s="1"/>
      <c r="X2465" s="1" t="s">
        <v>1152</v>
      </c>
      <c r="Y2465" s="1" t="s">
        <v>1152</v>
      </c>
      <c r="Z2465" s="1"/>
      <c r="AA2465" s="1"/>
      <c r="AB2465" s="1"/>
      <c r="AC2465" s="1" t="s">
        <v>1925</v>
      </c>
      <c r="AD2465" s="1"/>
      <c r="AE2465" s="18">
        <v>46147.0</v>
      </c>
      <c r="AF2465" s="1"/>
      <c r="AG2465" s="1"/>
      <c r="AH2465" s="1" t="s">
        <v>1152</v>
      </c>
      <c r="AI2465" s="1" t="s">
        <v>1152</v>
      </c>
      <c r="AJ2465" s="1" t="s">
        <v>556</v>
      </c>
      <c r="AK2465" s="1" t="s">
        <v>1152</v>
      </c>
      <c r="AL2465" s="6"/>
      <c r="AM2465" s="12">
        <v>9.175660907E9</v>
      </c>
    </row>
    <row r="2466">
      <c r="A2466" s="5" t="s">
        <v>11706</v>
      </c>
      <c r="B2466" s="1" t="s">
        <v>11707</v>
      </c>
      <c r="C2466" s="1" t="s">
        <v>3362</v>
      </c>
      <c r="D2466" s="2">
        <v>5.166597079E9</v>
      </c>
      <c r="E2466" s="1" t="s">
        <v>3363</v>
      </c>
      <c r="F2466" s="1"/>
      <c r="G2466" s="1" t="s">
        <v>1405</v>
      </c>
      <c r="H2466" s="1" t="s">
        <v>751</v>
      </c>
      <c r="I2466" s="1">
        <v>11753.0</v>
      </c>
      <c r="J2466" s="1" t="s">
        <v>752</v>
      </c>
      <c r="K2466" s="1" t="s">
        <v>2131</v>
      </c>
      <c r="L2466" s="1" t="s">
        <v>5736</v>
      </c>
      <c r="M2466" s="1">
        <v>1.0</v>
      </c>
      <c r="N2466" s="1" t="s">
        <v>1152</v>
      </c>
      <c r="O2466" s="3" t="s">
        <v>3365</v>
      </c>
      <c r="P2466" s="1" t="s">
        <v>1152</v>
      </c>
      <c r="Q2466" s="1" t="s">
        <v>1152</v>
      </c>
      <c r="R2466" s="1"/>
      <c r="S2466" s="1"/>
      <c r="T2466" s="1" t="s">
        <v>1152</v>
      </c>
      <c r="U2466" s="1" t="s">
        <v>1812</v>
      </c>
      <c r="V2466" s="4" t="s">
        <v>3365</v>
      </c>
      <c r="W2466" s="1"/>
      <c r="X2466" s="1" t="s">
        <v>1152</v>
      </c>
      <c r="Y2466" s="1" t="s">
        <v>1152</v>
      </c>
      <c r="Z2466" s="1"/>
      <c r="AA2466" s="1"/>
      <c r="AB2466" s="1"/>
      <c r="AC2466" s="1" t="s">
        <v>1925</v>
      </c>
      <c r="AD2466" s="1"/>
      <c r="AE2466" s="18">
        <v>46146.0</v>
      </c>
      <c r="AF2466" s="1"/>
      <c r="AG2466" s="1"/>
      <c r="AH2466" s="1" t="s">
        <v>1152</v>
      </c>
      <c r="AI2466" s="1" t="s">
        <v>1152</v>
      </c>
      <c r="AJ2466" s="1" t="s">
        <v>3363</v>
      </c>
      <c r="AK2466" s="1" t="s">
        <v>1152</v>
      </c>
      <c r="AL2466" s="6"/>
      <c r="AM2466" s="12">
        <v>5.166597079E9</v>
      </c>
    </row>
    <row r="2467">
      <c r="A2467" s="5" t="s">
        <v>11708</v>
      </c>
      <c r="B2467" s="1" t="s">
        <v>11709</v>
      </c>
      <c r="C2467" s="1" t="s">
        <v>917</v>
      </c>
      <c r="D2467" s="2">
        <v>9.144326482E9</v>
      </c>
      <c r="E2467" s="1" t="s">
        <v>9516</v>
      </c>
      <c r="F2467" s="1"/>
      <c r="G2467" s="1" t="s">
        <v>9517</v>
      </c>
      <c r="H2467" s="1" t="s">
        <v>751</v>
      </c>
      <c r="I2467" s="1">
        <v>10570.0</v>
      </c>
      <c r="J2467" s="1" t="s">
        <v>752</v>
      </c>
      <c r="K2467" s="1" t="s">
        <v>2131</v>
      </c>
      <c r="L2467" s="1" t="s">
        <v>5811</v>
      </c>
      <c r="M2467" s="1">
        <v>1.0</v>
      </c>
      <c r="N2467" s="1" t="s">
        <v>1152</v>
      </c>
      <c r="O2467" s="3" t="s">
        <v>540</v>
      </c>
      <c r="P2467" s="1" t="s">
        <v>1152</v>
      </c>
      <c r="Q2467" s="1" t="s">
        <v>1152</v>
      </c>
      <c r="R2467" s="1"/>
      <c r="S2467" s="1"/>
      <c r="T2467" s="1" t="s">
        <v>1152</v>
      </c>
      <c r="U2467" s="1" t="s">
        <v>1277</v>
      </c>
      <c r="V2467" s="4" t="s">
        <v>540</v>
      </c>
      <c r="W2467" s="1"/>
      <c r="X2467" s="1" t="s">
        <v>1152</v>
      </c>
      <c r="Y2467" s="1" t="s">
        <v>1152</v>
      </c>
      <c r="Z2467" s="1"/>
      <c r="AA2467" s="1"/>
      <c r="AB2467" s="1"/>
      <c r="AC2467" s="1" t="s">
        <v>1925</v>
      </c>
      <c r="AD2467" s="1"/>
      <c r="AE2467" s="18">
        <v>46148.0</v>
      </c>
      <c r="AF2467" s="1"/>
      <c r="AG2467" s="1"/>
      <c r="AH2467" s="1" t="s">
        <v>1152</v>
      </c>
      <c r="AI2467" s="1" t="s">
        <v>1152</v>
      </c>
      <c r="AJ2467" s="1" t="s">
        <v>538</v>
      </c>
      <c r="AK2467" s="1" t="s">
        <v>1152</v>
      </c>
      <c r="AL2467" s="6"/>
      <c r="AM2467" s="12">
        <v>9.144326482E9</v>
      </c>
    </row>
    <row r="2468">
      <c r="A2468" s="5" t="s">
        <v>11710</v>
      </c>
      <c r="B2468" s="1" t="s">
        <v>11711</v>
      </c>
      <c r="C2468" s="1" t="s">
        <v>11712</v>
      </c>
      <c r="D2468" s="2">
        <v>9.149878705E9</v>
      </c>
      <c r="E2468" s="1" t="s">
        <v>7051</v>
      </c>
      <c r="F2468" s="1"/>
      <c r="G2468" s="1" t="s">
        <v>7052</v>
      </c>
      <c r="H2468" s="1" t="s">
        <v>751</v>
      </c>
      <c r="I2468" s="1">
        <v>10567.0</v>
      </c>
      <c r="J2468" s="1" t="s">
        <v>752</v>
      </c>
      <c r="K2468" s="1" t="s">
        <v>2131</v>
      </c>
      <c r="L2468" s="1" t="s">
        <v>5767</v>
      </c>
      <c r="M2468" s="1">
        <v>1.0</v>
      </c>
      <c r="N2468" s="1" t="s">
        <v>1152</v>
      </c>
      <c r="O2468" s="3" t="s">
        <v>11713</v>
      </c>
      <c r="P2468" s="1" t="s">
        <v>1152</v>
      </c>
      <c r="Q2468" s="1" t="s">
        <v>1152</v>
      </c>
      <c r="R2468" s="1"/>
      <c r="S2468" s="1"/>
      <c r="T2468" s="1" t="s">
        <v>1152</v>
      </c>
      <c r="U2468" s="1" t="s">
        <v>1407</v>
      </c>
      <c r="V2468" s="4" t="s">
        <v>11713</v>
      </c>
      <c r="W2468" s="1"/>
      <c r="X2468" s="1" t="s">
        <v>1152</v>
      </c>
      <c r="Y2468" s="1" t="s">
        <v>1152</v>
      </c>
      <c r="Z2468" s="1"/>
      <c r="AA2468" s="1"/>
      <c r="AB2468" s="1"/>
      <c r="AC2468" s="1" t="s">
        <v>1925</v>
      </c>
      <c r="AD2468" s="1"/>
      <c r="AE2468" s="18">
        <v>46149.0</v>
      </c>
      <c r="AF2468" s="1"/>
      <c r="AG2468" s="1"/>
      <c r="AH2468" s="1" t="s">
        <v>1152</v>
      </c>
      <c r="AI2468" s="1" t="s">
        <v>1152</v>
      </c>
      <c r="AJ2468" s="1" t="s">
        <v>7051</v>
      </c>
      <c r="AK2468" s="1" t="s">
        <v>1152</v>
      </c>
      <c r="AL2468" s="6"/>
      <c r="AM2468" s="12">
        <v>9.149878705E9</v>
      </c>
    </row>
    <row r="2469">
      <c r="A2469" s="5" t="s">
        <v>11714</v>
      </c>
      <c r="B2469" s="1" t="s">
        <v>11715</v>
      </c>
      <c r="C2469" s="1" t="s">
        <v>730</v>
      </c>
      <c r="D2469" s="2">
        <v>9.176937391E9</v>
      </c>
      <c r="E2469" s="1" t="s">
        <v>731</v>
      </c>
      <c r="F2469" s="1"/>
      <c r="G2469" s="1" t="s">
        <v>751</v>
      </c>
      <c r="H2469" s="1" t="s">
        <v>751</v>
      </c>
      <c r="I2469" s="1">
        <v>10028.0</v>
      </c>
      <c r="J2469" s="1" t="s">
        <v>752</v>
      </c>
      <c r="K2469" s="1" t="s">
        <v>2131</v>
      </c>
      <c r="L2469" s="1" t="s">
        <v>5767</v>
      </c>
      <c r="M2469" s="1">
        <v>1.0</v>
      </c>
      <c r="N2469" s="1" t="s">
        <v>1152</v>
      </c>
      <c r="O2469" s="3" t="s">
        <v>621</v>
      </c>
      <c r="P2469" s="1" t="s">
        <v>1152</v>
      </c>
      <c r="Q2469" s="1" t="s">
        <v>1152</v>
      </c>
      <c r="R2469" s="1"/>
      <c r="S2469" s="1"/>
      <c r="T2469" s="1" t="s">
        <v>1152</v>
      </c>
      <c r="U2469" s="1" t="s">
        <v>1812</v>
      </c>
      <c r="V2469" s="4" t="s">
        <v>621</v>
      </c>
      <c r="W2469" s="1"/>
      <c r="X2469" s="1" t="s">
        <v>1152</v>
      </c>
      <c r="Y2469" s="1" t="s">
        <v>1152</v>
      </c>
      <c r="Z2469" s="1"/>
      <c r="AA2469" s="1"/>
      <c r="AB2469" s="1"/>
      <c r="AC2469" s="1" t="s">
        <v>1925</v>
      </c>
      <c r="AD2469" s="1"/>
      <c r="AE2469" s="18">
        <v>46146.0</v>
      </c>
      <c r="AF2469" s="1"/>
      <c r="AG2469" s="1"/>
      <c r="AH2469" s="1" t="s">
        <v>1152</v>
      </c>
      <c r="AI2469" s="1" t="s">
        <v>1152</v>
      </c>
      <c r="AJ2469" s="1" t="s">
        <v>731</v>
      </c>
      <c r="AK2469" s="1" t="s">
        <v>1152</v>
      </c>
      <c r="AL2469" s="6"/>
      <c r="AM2469" s="12">
        <v>9.176937391E9</v>
      </c>
    </row>
    <row r="2470">
      <c r="A2470" s="5" t="s">
        <v>11716</v>
      </c>
      <c r="B2470" s="1" t="s">
        <v>11717</v>
      </c>
      <c r="C2470" s="1" t="s">
        <v>6892</v>
      </c>
      <c r="D2470" s="2">
        <v>6.032935082E9</v>
      </c>
      <c r="E2470" s="1" t="s">
        <v>6893</v>
      </c>
      <c r="F2470" s="1"/>
      <c r="G2470" s="1" t="s">
        <v>6894</v>
      </c>
      <c r="H2470" s="1" t="s">
        <v>1616</v>
      </c>
      <c r="I2470" s="1">
        <v>3857.0</v>
      </c>
      <c r="J2470" s="1" t="s">
        <v>752</v>
      </c>
      <c r="K2470" s="1" t="s">
        <v>2131</v>
      </c>
      <c r="L2470" s="1" t="s">
        <v>5736</v>
      </c>
      <c r="M2470" s="1">
        <v>1.0</v>
      </c>
      <c r="N2470" s="1" t="s">
        <v>1152</v>
      </c>
      <c r="O2470" s="3" t="s">
        <v>6895</v>
      </c>
      <c r="P2470" s="1" t="s">
        <v>1152</v>
      </c>
      <c r="Q2470" s="1" t="s">
        <v>1152</v>
      </c>
      <c r="R2470" s="1"/>
      <c r="S2470" s="1"/>
      <c r="T2470" s="1" t="s">
        <v>1152</v>
      </c>
      <c r="U2470" s="1" t="s">
        <v>1201</v>
      </c>
      <c r="V2470" s="4" t="s">
        <v>6895</v>
      </c>
      <c r="W2470" s="1"/>
      <c r="X2470" s="1" t="s">
        <v>1152</v>
      </c>
      <c r="Y2470" s="1" t="s">
        <v>1152</v>
      </c>
      <c r="Z2470" s="1"/>
      <c r="AA2470" s="1"/>
      <c r="AB2470" s="1"/>
      <c r="AC2470" s="1" t="s">
        <v>1925</v>
      </c>
      <c r="AD2470" s="1"/>
      <c r="AE2470" s="18">
        <v>46149.0</v>
      </c>
      <c r="AF2470" s="1"/>
      <c r="AG2470" s="1"/>
      <c r="AH2470" s="1" t="s">
        <v>1152</v>
      </c>
      <c r="AI2470" s="1" t="s">
        <v>1152</v>
      </c>
      <c r="AJ2470" s="1" t="s">
        <v>6893</v>
      </c>
      <c r="AK2470" s="1" t="s">
        <v>1152</v>
      </c>
      <c r="AL2470" s="6"/>
      <c r="AM2470" s="12">
        <v>6.032935082E9</v>
      </c>
    </row>
    <row r="2471">
      <c r="A2471" s="5" t="s">
        <v>11718</v>
      </c>
      <c r="B2471" s="1" t="s">
        <v>11719</v>
      </c>
      <c r="C2471" s="1" t="s">
        <v>3595</v>
      </c>
      <c r="D2471" s="2">
        <v>6.154188077E9</v>
      </c>
      <c r="E2471" s="1" t="s">
        <v>3596</v>
      </c>
      <c r="F2471" s="1"/>
      <c r="G2471" s="1" t="s">
        <v>1804</v>
      </c>
      <c r="H2471" s="1" t="s">
        <v>1598</v>
      </c>
      <c r="I2471" s="1">
        <v>37215.0</v>
      </c>
      <c r="J2471" s="1" t="s">
        <v>752</v>
      </c>
      <c r="K2471" s="1" t="s">
        <v>2131</v>
      </c>
      <c r="L2471" s="1" t="s">
        <v>5767</v>
      </c>
      <c r="M2471" s="1">
        <v>1.0</v>
      </c>
      <c r="N2471" s="1" t="s">
        <v>1152</v>
      </c>
      <c r="O2471" s="3" t="s">
        <v>3597</v>
      </c>
      <c r="P2471" s="1" t="s">
        <v>1152</v>
      </c>
      <c r="Q2471" s="1" t="s">
        <v>1152</v>
      </c>
      <c r="R2471" s="1"/>
      <c r="S2471" s="1"/>
      <c r="T2471" s="1" t="s">
        <v>1152</v>
      </c>
      <c r="U2471" s="1" t="s">
        <v>1080</v>
      </c>
      <c r="V2471" s="4" t="s">
        <v>3597</v>
      </c>
      <c r="W2471" s="1"/>
      <c r="X2471" s="1" t="s">
        <v>1152</v>
      </c>
      <c r="Y2471" s="1" t="s">
        <v>1152</v>
      </c>
      <c r="Z2471" s="1"/>
      <c r="AA2471" s="1"/>
      <c r="AB2471" s="1"/>
      <c r="AC2471" s="1" t="s">
        <v>1925</v>
      </c>
      <c r="AD2471" s="1"/>
      <c r="AE2471" s="18">
        <v>46149.0</v>
      </c>
      <c r="AF2471" s="1"/>
      <c r="AG2471" s="1"/>
      <c r="AH2471" s="1" t="s">
        <v>1152</v>
      </c>
      <c r="AI2471" s="1" t="s">
        <v>1152</v>
      </c>
      <c r="AJ2471" s="1" t="s">
        <v>11720</v>
      </c>
      <c r="AK2471" s="1" t="s">
        <v>1152</v>
      </c>
      <c r="AL2471" s="6"/>
      <c r="AM2471" s="12" t="str">
        <v>#ERROR!</v>
      </c>
    </row>
    <row r="2472">
      <c r="A2472" s="5" t="s">
        <v>11721</v>
      </c>
      <c r="B2472" s="1" t="s">
        <v>11722</v>
      </c>
      <c r="C2472" s="1" t="s">
        <v>11723</v>
      </c>
      <c r="D2472" s="2">
        <v>1.047021643E9</v>
      </c>
      <c r="E2472" s="1" t="s">
        <v>7975</v>
      </c>
      <c r="F2472" s="1"/>
      <c r="G2472" s="1" t="s">
        <v>1964</v>
      </c>
      <c r="H2472" s="1" t="s">
        <v>1964</v>
      </c>
      <c r="I2472" s="1">
        <v>8862.0</v>
      </c>
      <c r="J2472" s="1" t="s">
        <v>1965</v>
      </c>
      <c r="K2472" s="1" t="s">
        <v>2131</v>
      </c>
      <c r="L2472" s="1" t="s">
        <v>5767</v>
      </c>
      <c r="M2472" s="1">
        <v>1.0</v>
      </c>
      <c r="N2472" s="1" t="s">
        <v>1152</v>
      </c>
      <c r="O2472" s="3" t="s">
        <v>3154</v>
      </c>
      <c r="P2472" s="1" t="s">
        <v>1152</v>
      </c>
      <c r="Q2472" s="1" t="s">
        <v>1152</v>
      </c>
      <c r="R2472" s="1"/>
      <c r="S2472" s="1"/>
      <c r="T2472" s="1" t="s">
        <v>1152</v>
      </c>
      <c r="U2472" s="1" t="s">
        <v>982</v>
      </c>
      <c r="V2472" s="4" t="s">
        <v>3154</v>
      </c>
      <c r="W2472" s="1"/>
      <c r="X2472" s="1" t="s">
        <v>1152</v>
      </c>
      <c r="Y2472" s="1" t="s">
        <v>1152</v>
      </c>
      <c r="Z2472" s="1"/>
      <c r="AA2472" s="1"/>
      <c r="AB2472" s="1"/>
      <c r="AC2472" s="1" t="s">
        <v>1925</v>
      </c>
      <c r="AD2472" s="1"/>
      <c r="AE2472" s="18">
        <v>46149.0</v>
      </c>
      <c r="AF2472" s="1"/>
      <c r="AG2472" s="1"/>
      <c r="AH2472" s="1" t="s">
        <v>1152</v>
      </c>
      <c r="AI2472" s="1" t="s">
        <v>1152</v>
      </c>
      <c r="AJ2472" s="1" t="s">
        <v>11724</v>
      </c>
      <c r="AK2472" s="1" t="s">
        <v>1152</v>
      </c>
      <c r="AL2472" s="6"/>
      <c r="AM2472" s="12" t="s">
        <v>11725</v>
      </c>
    </row>
    <row r="2473">
      <c r="A2473" s="5" t="s">
        <v>11726</v>
      </c>
      <c r="B2473" s="1" t="s">
        <v>11727</v>
      </c>
      <c r="C2473" s="1" t="s">
        <v>764</v>
      </c>
      <c r="D2473" s="2">
        <v>9.179579903E9</v>
      </c>
      <c r="E2473" s="1" t="s">
        <v>765</v>
      </c>
      <c r="F2473" s="1"/>
      <c r="G2473" s="1" t="s">
        <v>751</v>
      </c>
      <c r="H2473" s="1" t="s">
        <v>751</v>
      </c>
      <c r="I2473" s="1">
        <v>10011.0</v>
      </c>
      <c r="J2473" s="1" t="s">
        <v>752</v>
      </c>
      <c r="K2473" s="1" t="s">
        <v>2131</v>
      </c>
      <c r="L2473" s="1" t="s">
        <v>5767</v>
      </c>
      <c r="M2473" s="1">
        <v>1.0</v>
      </c>
      <c r="N2473" s="1" t="s">
        <v>1152</v>
      </c>
      <c r="O2473" s="3" t="s">
        <v>10393</v>
      </c>
      <c r="P2473" s="1" t="s">
        <v>1152</v>
      </c>
      <c r="Q2473" s="1" t="s">
        <v>1152</v>
      </c>
      <c r="R2473" s="1"/>
      <c r="S2473" s="1"/>
      <c r="T2473" s="1" t="s">
        <v>1152</v>
      </c>
      <c r="U2473" s="1" t="s">
        <v>1343</v>
      </c>
      <c r="V2473" s="4" t="s">
        <v>10393</v>
      </c>
      <c r="W2473" s="1"/>
      <c r="X2473" s="1" t="s">
        <v>1152</v>
      </c>
      <c r="Y2473" s="1" t="s">
        <v>1152</v>
      </c>
      <c r="Z2473" s="1"/>
      <c r="AA2473" s="1"/>
      <c r="AB2473" s="1"/>
      <c r="AC2473" s="1" t="s">
        <v>1925</v>
      </c>
      <c r="AD2473" s="1"/>
      <c r="AE2473" s="18">
        <v>46149.0</v>
      </c>
      <c r="AF2473" s="1"/>
      <c r="AG2473" s="1"/>
      <c r="AH2473" s="1" t="s">
        <v>1152</v>
      </c>
      <c r="AI2473" s="1" t="s">
        <v>1152</v>
      </c>
      <c r="AJ2473" s="1" t="s">
        <v>765</v>
      </c>
      <c r="AK2473" s="1" t="s">
        <v>1152</v>
      </c>
      <c r="AL2473" s="6"/>
      <c r="AM2473" s="12">
        <v>9.179579903E9</v>
      </c>
    </row>
    <row r="2474">
      <c r="A2474" s="5" t="s">
        <v>11728</v>
      </c>
      <c r="B2474" s="1" t="s">
        <v>11729</v>
      </c>
      <c r="C2474" s="1" t="s">
        <v>906</v>
      </c>
      <c r="D2474" s="2">
        <v>9.14374685E9</v>
      </c>
      <c r="E2474" s="1" t="s">
        <v>907</v>
      </c>
      <c r="F2474" s="1"/>
      <c r="G2474" s="1" t="s">
        <v>1382</v>
      </c>
      <c r="H2474" s="1" t="s">
        <v>751</v>
      </c>
      <c r="I2474" s="1">
        <v>10583.0</v>
      </c>
      <c r="J2474" s="1" t="s">
        <v>752</v>
      </c>
      <c r="K2474" s="1" t="s">
        <v>2131</v>
      </c>
      <c r="L2474" s="1" t="s">
        <v>5767</v>
      </c>
      <c r="M2474" s="1">
        <v>1.0</v>
      </c>
      <c r="N2474" s="1" t="s">
        <v>1152</v>
      </c>
      <c r="O2474" s="3" t="s">
        <v>2442</v>
      </c>
      <c r="P2474" s="1" t="s">
        <v>1152</v>
      </c>
      <c r="Q2474" s="1" t="s">
        <v>1152</v>
      </c>
      <c r="R2474" s="1"/>
      <c r="S2474" s="1"/>
      <c r="T2474" s="1" t="s">
        <v>1152</v>
      </c>
      <c r="U2474" s="1" t="s">
        <v>1148</v>
      </c>
      <c r="V2474" s="4" t="s">
        <v>2442</v>
      </c>
      <c r="W2474" s="1"/>
      <c r="X2474" s="1" t="s">
        <v>1152</v>
      </c>
      <c r="Y2474" s="1" t="s">
        <v>1152</v>
      </c>
      <c r="Z2474" s="1"/>
      <c r="AA2474" s="1"/>
      <c r="AB2474" s="1"/>
      <c r="AC2474" s="1" t="s">
        <v>1925</v>
      </c>
      <c r="AD2474" s="1"/>
      <c r="AE2474" s="18">
        <v>46144.0</v>
      </c>
      <c r="AF2474" s="1"/>
      <c r="AG2474" s="1"/>
      <c r="AH2474" s="1" t="s">
        <v>1152</v>
      </c>
      <c r="AI2474" s="1" t="s">
        <v>1152</v>
      </c>
      <c r="AJ2474" s="1" t="s">
        <v>907</v>
      </c>
      <c r="AK2474" s="1" t="s">
        <v>1152</v>
      </c>
      <c r="AL2474" s="6"/>
      <c r="AM2474" s="12">
        <v>9.14374685E9</v>
      </c>
    </row>
    <row r="2475">
      <c r="A2475" s="5" t="s">
        <v>11730</v>
      </c>
      <c r="B2475" s="1" t="s">
        <v>11731</v>
      </c>
      <c r="C2475" s="1" t="s">
        <v>11732</v>
      </c>
      <c r="D2475" s="2">
        <v>2.022954621E9</v>
      </c>
      <c r="E2475" s="1" t="s">
        <v>11733</v>
      </c>
      <c r="F2475" s="1"/>
      <c r="G2475" s="1" t="s">
        <v>980</v>
      </c>
      <c r="H2475" s="1" t="s">
        <v>1063</v>
      </c>
      <c r="I2475" s="1">
        <v>20007.0</v>
      </c>
      <c r="J2475" s="1" t="s">
        <v>752</v>
      </c>
      <c r="K2475" s="1" t="s">
        <v>42</v>
      </c>
      <c r="L2475" s="1" t="s">
        <v>6819</v>
      </c>
      <c r="M2475" s="1">
        <v>49.0</v>
      </c>
      <c r="N2475" s="1" t="s">
        <v>1152</v>
      </c>
      <c r="O2475" s="3" t="s">
        <v>1147</v>
      </c>
      <c r="P2475" s="1" t="s">
        <v>1152</v>
      </c>
      <c r="Q2475" s="1" t="s">
        <v>1152</v>
      </c>
      <c r="R2475" s="1"/>
      <c r="S2475" s="1"/>
      <c r="T2475" s="1" t="s">
        <v>1152</v>
      </c>
      <c r="U2475" s="1" t="s">
        <v>1148</v>
      </c>
      <c r="V2475" s="4" t="s">
        <v>1147</v>
      </c>
      <c r="W2475" s="1"/>
      <c r="X2475" s="1" t="s">
        <v>1152</v>
      </c>
      <c r="Y2475" s="1" t="s">
        <v>1152</v>
      </c>
      <c r="Z2475" s="1"/>
      <c r="AA2475" s="1"/>
      <c r="AB2475" s="1"/>
      <c r="AC2475" s="1" t="s">
        <v>1925</v>
      </c>
      <c r="AD2475" s="1"/>
      <c r="AE2475" s="18">
        <v>46141.0</v>
      </c>
      <c r="AF2475" s="1" t="s">
        <v>1349</v>
      </c>
      <c r="AG2475" s="1" t="s">
        <v>52</v>
      </c>
      <c r="AH2475" s="1" t="s">
        <v>1152</v>
      </c>
      <c r="AI2475" s="1" t="s">
        <v>1152</v>
      </c>
      <c r="AJ2475" s="1" t="s">
        <v>11734</v>
      </c>
      <c r="AK2475" s="1" t="s">
        <v>1152</v>
      </c>
      <c r="AL2475" s="6"/>
      <c r="AM2475" s="12">
        <v>2.024687006E9</v>
      </c>
    </row>
    <row r="2476">
      <c r="A2476" s="5" t="s">
        <v>11735</v>
      </c>
      <c r="B2476" s="1" t="s">
        <v>11736</v>
      </c>
      <c r="C2476" s="1" t="s">
        <v>11737</v>
      </c>
      <c r="D2476" s="2">
        <v>5.055701162E9</v>
      </c>
      <c r="E2476" s="1" t="s">
        <v>4901</v>
      </c>
      <c r="F2476" s="1"/>
      <c r="G2476" s="1" t="s">
        <v>4902</v>
      </c>
      <c r="H2476" s="1" t="s">
        <v>1028</v>
      </c>
      <c r="I2476" s="1">
        <v>87507.0</v>
      </c>
      <c r="J2476" s="1" t="s">
        <v>752</v>
      </c>
      <c r="K2476" s="1" t="s">
        <v>2131</v>
      </c>
      <c r="L2476" s="1" t="s">
        <v>5767</v>
      </c>
      <c r="M2476" s="1">
        <v>1.0</v>
      </c>
      <c r="N2476" s="1" t="s">
        <v>1152</v>
      </c>
      <c r="O2476" s="3" t="s">
        <v>2622</v>
      </c>
      <c r="P2476" s="1" t="s">
        <v>1152</v>
      </c>
      <c r="Q2476" s="1" t="s">
        <v>1152</v>
      </c>
      <c r="R2476" s="1"/>
      <c r="S2476" s="1"/>
      <c r="T2476" s="1" t="s">
        <v>1152</v>
      </c>
      <c r="U2476" s="1" t="s">
        <v>1080</v>
      </c>
      <c r="V2476" s="4" t="s">
        <v>2622</v>
      </c>
      <c r="W2476" s="1"/>
      <c r="X2476" s="1" t="s">
        <v>1152</v>
      </c>
      <c r="Y2476" s="1" t="s">
        <v>1152</v>
      </c>
      <c r="Z2476" s="1"/>
      <c r="AA2476" s="1"/>
      <c r="AB2476" s="1"/>
      <c r="AC2476" s="1" t="s">
        <v>1925</v>
      </c>
      <c r="AD2476" s="1"/>
      <c r="AE2476" s="18">
        <v>46149.0</v>
      </c>
      <c r="AF2476" s="1"/>
      <c r="AG2476" s="1"/>
      <c r="AH2476" s="1" t="s">
        <v>1152</v>
      </c>
      <c r="AI2476" s="1" t="s">
        <v>1152</v>
      </c>
      <c r="AJ2476" s="1" t="s">
        <v>11738</v>
      </c>
      <c r="AK2476" s="1" t="s">
        <v>1152</v>
      </c>
      <c r="AL2476" s="6"/>
      <c r="AM2476" s="12">
        <v>5.055701162E9</v>
      </c>
    </row>
    <row r="2477">
      <c r="A2477" s="5" t="s">
        <v>11739</v>
      </c>
      <c r="B2477" s="1" t="s">
        <v>11740</v>
      </c>
      <c r="C2477" s="1" t="s">
        <v>1252</v>
      </c>
      <c r="D2477" s="2">
        <v>3.12344005E9</v>
      </c>
      <c r="E2477" s="1" t="s">
        <v>100</v>
      </c>
      <c r="F2477" s="1"/>
      <c r="G2477" s="1" t="s">
        <v>1254</v>
      </c>
      <c r="H2477" s="1" t="s">
        <v>1233</v>
      </c>
      <c r="I2477" s="1">
        <v>19380.0</v>
      </c>
      <c r="J2477" s="1" t="s">
        <v>752</v>
      </c>
      <c r="K2477" s="1" t="s">
        <v>2131</v>
      </c>
      <c r="L2477" s="1" t="s">
        <v>5833</v>
      </c>
      <c r="M2477" s="1">
        <v>1.0</v>
      </c>
      <c r="N2477" s="1" t="s">
        <v>1152</v>
      </c>
      <c r="O2477" s="3" t="s">
        <v>1255</v>
      </c>
      <c r="P2477" s="1" t="s">
        <v>1152</v>
      </c>
      <c r="Q2477" s="1" t="s">
        <v>1152</v>
      </c>
      <c r="R2477" s="1"/>
      <c r="S2477" s="1"/>
      <c r="T2477" s="1" t="s">
        <v>1152</v>
      </c>
      <c r="U2477" s="1" t="s">
        <v>1133</v>
      </c>
      <c r="V2477" s="4" t="s">
        <v>1255</v>
      </c>
      <c r="W2477" s="1"/>
      <c r="X2477" s="1" t="s">
        <v>1152</v>
      </c>
      <c r="Y2477" s="1" t="s">
        <v>1152</v>
      </c>
      <c r="Z2477" s="1"/>
      <c r="AA2477" s="1"/>
      <c r="AB2477" s="1"/>
      <c r="AC2477" s="1" t="s">
        <v>1925</v>
      </c>
      <c r="AD2477" s="1"/>
      <c r="AE2477" s="18">
        <v>46146.0</v>
      </c>
      <c r="AF2477" s="1"/>
      <c r="AG2477" s="1"/>
      <c r="AH2477" s="1" t="s">
        <v>1152</v>
      </c>
      <c r="AI2477" s="1" t="s">
        <v>1152</v>
      </c>
      <c r="AJ2477" s="1" t="s">
        <v>9317</v>
      </c>
      <c r="AK2477" s="1" t="s">
        <v>1152</v>
      </c>
      <c r="AL2477" s="6"/>
      <c r="AM2477" s="12">
        <v>7.736687353E9</v>
      </c>
    </row>
    <row r="2478">
      <c r="A2478" s="5" t="s">
        <v>11741</v>
      </c>
      <c r="B2478" s="1" t="s">
        <v>11742</v>
      </c>
      <c r="C2478" s="1" t="s">
        <v>5690</v>
      </c>
      <c r="D2478" s="2">
        <v>9.788502258E9</v>
      </c>
      <c r="E2478" s="1" t="s">
        <v>5691</v>
      </c>
      <c r="F2478" s="1"/>
      <c r="G2478" s="1" t="s">
        <v>5692</v>
      </c>
      <c r="H2478" s="1" t="s">
        <v>1121</v>
      </c>
      <c r="I2478" s="1">
        <v>1886.0</v>
      </c>
      <c r="J2478" s="1" t="s">
        <v>752</v>
      </c>
      <c r="K2478" s="1" t="s">
        <v>2131</v>
      </c>
      <c r="L2478" s="1" t="s">
        <v>5767</v>
      </c>
      <c r="M2478" s="1">
        <v>1.0</v>
      </c>
      <c r="N2478" s="1" t="s">
        <v>1152</v>
      </c>
      <c r="O2478" s="3" t="s">
        <v>5693</v>
      </c>
      <c r="P2478" s="1" t="s">
        <v>1152</v>
      </c>
      <c r="Q2478" s="1" t="s">
        <v>1152</v>
      </c>
      <c r="R2478" s="1"/>
      <c r="S2478" s="1"/>
      <c r="T2478" s="1" t="s">
        <v>1152</v>
      </c>
      <c r="U2478" s="1" t="s">
        <v>1749</v>
      </c>
      <c r="V2478" s="4" t="s">
        <v>5693</v>
      </c>
      <c r="W2478" s="1"/>
      <c r="X2478" s="1" t="s">
        <v>1152</v>
      </c>
      <c r="Y2478" s="1" t="s">
        <v>1152</v>
      </c>
      <c r="Z2478" s="1"/>
      <c r="AA2478" s="1"/>
      <c r="AB2478" s="1"/>
      <c r="AC2478" s="1" t="s">
        <v>1925</v>
      </c>
      <c r="AD2478" s="1"/>
      <c r="AE2478" s="18">
        <v>46147.0</v>
      </c>
      <c r="AF2478" s="1"/>
      <c r="AG2478" s="1"/>
      <c r="AH2478" s="1" t="s">
        <v>1152</v>
      </c>
      <c r="AI2478" s="1" t="s">
        <v>1152</v>
      </c>
      <c r="AJ2478" s="1" t="s">
        <v>10839</v>
      </c>
      <c r="AK2478" s="1" t="s">
        <v>1152</v>
      </c>
      <c r="AL2478" s="6"/>
      <c r="AM2478" s="12">
        <v>9.788502258E9</v>
      </c>
    </row>
    <row r="2479">
      <c r="A2479" s="5" t="s">
        <v>11743</v>
      </c>
      <c r="B2479" s="1" t="s">
        <v>11744</v>
      </c>
      <c r="C2479" s="1" t="s">
        <v>9532</v>
      </c>
      <c r="D2479" s="2">
        <v>9.174801265E9</v>
      </c>
      <c r="E2479" s="1" t="s">
        <v>4553</v>
      </c>
      <c r="F2479" s="1"/>
      <c r="G2479" s="1" t="s">
        <v>1382</v>
      </c>
      <c r="H2479" s="1" t="s">
        <v>751</v>
      </c>
      <c r="I2479" s="1">
        <v>10583.0</v>
      </c>
      <c r="J2479" s="1" t="s">
        <v>752</v>
      </c>
      <c r="K2479" s="1" t="s">
        <v>2131</v>
      </c>
      <c r="L2479" s="1" t="s">
        <v>5767</v>
      </c>
      <c r="M2479" s="1">
        <v>1.0</v>
      </c>
      <c r="N2479" s="1" t="s">
        <v>1152</v>
      </c>
      <c r="O2479" s="3" t="s">
        <v>2763</v>
      </c>
      <c r="P2479" s="1" t="s">
        <v>1152</v>
      </c>
      <c r="Q2479" s="1" t="s">
        <v>1152</v>
      </c>
      <c r="R2479" s="1"/>
      <c r="S2479" s="1"/>
      <c r="T2479" s="1" t="s">
        <v>1152</v>
      </c>
      <c r="U2479" s="1" t="s">
        <v>1039</v>
      </c>
      <c r="V2479" s="4" t="s">
        <v>2763</v>
      </c>
      <c r="W2479" s="1"/>
      <c r="X2479" s="1" t="s">
        <v>1152</v>
      </c>
      <c r="Y2479" s="1" t="s">
        <v>1152</v>
      </c>
      <c r="Z2479" s="1"/>
      <c r="AA2479" s="1"/>
      <c r="AB2479" s="1"/>
      <c r="AC2479" s="1" t="s">
        <v>1925</v>
      </c>
      <c r="AD2479" s="1"/>
      <c r="AE2479" s="18">
        <v>46149.0</v>
      </c>
      <c r="AF2479" s="1"/>
      <c r="AG2479" s="1"/>
      <c r="AH2479" s="1" t="s">
        <v>1152</v>
      </c>
      <c r="AI2479" s="1" t="s">
        <v>1152</v>
      </c>
      <c r="AJ2479" s="1" t="s">
        <v>4553</v>
      </c>
      <c r="AK2479" s="1" t="s">
        <v>1152</v>
      </c>
      <c r="AL2479" s="6"/>
      <c r="AM2479" s="12">
        <v>9.174801265E9</v>
      </c>
    </row>
    <row r="2480">
      <c r="A2480" s="5" t="s">
        <v>11745</v>
      </c>
      <c r="B2480" s="1" t="s">
        <v>11746</v>
      </c>
      <c r="C2480" s="1" t="s">
        <v>4217</v>
      </c>
      <c r="D2480" s="2">
        <v>3.128341503E9</v>
      </c>
      <c r="E2480" s="1" t="s">
        <v>4218</v>
      </c>
      <c r="F2480" s="1"/>
      <c r="G2480" s="1" t="s">
        <v>1072</v>
      </c>
      <c r="H2480" s="1" t="s">
        <v>1019</v>
      </c>
      <c r="I2480" s="1">
        <v>60618.0</v>
      </c>
      <c r="J2480" s="1" t="s">
        <v>752</v>
      </c>
      <c r="K2480" s="1" t="s">
        <v>2131</v>
      </c>
      <c r="L2480" s="1" t="s">
        <v>5833</v>
      </c>
      <c r="M2480" s="1">
        <v>1.0</v>
      </c>
      <c r="N2480" s="1" t="s">
        <v>1152</v>
      </c>
      <c r="O2480" s="3" t="s">
        <v>11747</v>
      </c>
      <c r="P2480" s="1" t="s">
        <v>1152</v>
      </c>
      <c r="Q2480" s="1" t="s">
        <v>1152</v>
      </c>
      <c r="R2480" s="1"/>
      <c r="S2480" s="1"/>
      <c r="T2480" s="1" t="s">
        <v>1152</v>
      </c>
      <c r="U2480" s="1" t="s">
        <v>948</v>
      </c>
      <c r="V2480" s="4" t="s">
        <v>11747</v>
      </c>
      <c r="W2480" s="1"/>
      <c r="X2480" s="1" t="s">
        <v>1152</v>
      </c>
      <c r="Y2480" s="1" t="s">
        <v>1152</v>
      </c>
      <c r="Z2480" s="1"/>
      <c r="AA2480" s="1"/>
      <c r="AB2480" s="1"/>
      <c r="AC2480" s="1" t="s">
        <v>1925</v>
      </c>
      <c r="AD2480" s="1"/>
      <c r="AE2480" s="18">
        <v>46150.0</v>
      </c>
      <c r="AF2480" s="1"/>
      <c r="AG2480" s="1"/>
      <c r="AH2480" s="1" t="s">
        <v>1152</v>
      </c>
      <c r="AI2480" s="1" t="s">
        <v>1152</v>
      </c>
      <c r="AJ2480" s="1" t="s">
        <v>4218</v>
      </c>
      <c r="AK2480" s="1" t="s">
        <v>1152</v>
      </c>
      <c r="AL2480" s="6"/>
      <c r="AM2480" s="12" t="s">
        <v>11748</v>
      </c>
    </row>
    <row r="2481">
      <c r="A2481" s="5" t="s">
        <v>11749</v>
      </c>
      <c r="B2481" s="1" t="s">
        <v>11750</v>
      </c>
      <c r="C2481" s="1" t="s">
        <v>11751</v>
      </c>
      <c r="D2481" s="2">
        <v>13464203568</v>
      </c>
      <c r="E2481" s="1" t="s">
        <v>6238</v>
      </c>
      <c r="F2481" s="1"/>
      <c r="G2481" s="1" t="s">
        <v>11752</v>
      </c>
      <c r="H2481" s="1" t="s">
        <v>1583</v>
      </c>
      <c r="I2481" s="1">
        <v>77479.0</v>
      </c>
      <c r="J2481" s="1" t="s">
        <v>752</v>
      </c>
      <c r="K2481" s="1" t="s">
        <v>2131</v>
      </c>
      <c r="L2481" s="1" t="s">
        <v>5833</v>
      </c>
      <c r="M2481" s="1">
        <v>1.0</v>
      </c>
      <c r="N2481" s="1" t="s">
        <v>1152</v>
      </c>
      <c r="O2481" s="3" t="s">
        <v>1849</v>
      </c>
      <c r="P2481" s="1" t="s">
        <v>1152</v>
      </c>
      <c r="Q2481" s="1" t="s">
        <v>1152</v>
      </c>
      <c r="R2481" s="1"/>
      <c r="S2481" s="1"/>
      <c r="T2481" s="1" t="s">
        <v>1152</v>
      </c>
      <c r="U2481" s="1" t="s">
        <v>956</v>
      </c>
      <c r="V2481" s="4" t="s">
        <v>1849</v>
      </c>
      <c r="W2481" s="1"/>
      <c r="X2481" s="1" t="s">
        <v>1152</v>
      </c>
      <c r="Y2481" s="1" t="s">
        <v>1152</v>
      </c>
      <c r="Z2481" s="1"/>
      <c r="AA2481" s="1"/>
      <c r="AB2481" s="1"/>
      <c r="AC2481" s="1" t="s">
        <v>1925</v>
      </c>
      <c r="AD2481" s="1"/>
      <c r="AE2481" s="18">
        <v>46148.0</v>
      </c>
      <c r="AF2481" s="1"/>
      <c r="AG2481" s="1"/>
      <c r="AH2481" s="1" t="s">
        <v>1152</v>
      </c>
      <c r="AI2481" s="1" t="s">
        <v>1152</v>
      </c>
      <c r="AJ2481" s="1" t="s">
        <v>6238</v>
      </c>
      <c r="AK2481" s="1" t="s">
        <v>1152</v>
      </c>
      <c r="AL2481" s="6"/>
      <c r="AM2481" s="12">
        <v>3.464203568E9</v>
      </c>
    </row>
    <row r="2482">
      <c r="A2482" s="5" t="s">
        <v>11753</v>
      </c>
      <c r="B2482" s="1" t="s">
        <v>11754</v>
      </c>
      <c r="C2482" s="1" t="s">
        <v>11755</v>
      </c>
      <c r="D2482" s="2">
        <v>4.172966047E9</v>
      </c>
      <c r="E2482" s="1" t="s">
        <v>4071</v>
      </c>
      <c r="F2482" s="1"/>
      <c r="G2482" s="1" t="s">
        <v>4072</v>
      </c>
      <c r="H2482" s="1" t="s">
        <v>1155</v>
      </c>
      <c r="I2482" s="1">
        <v>65803.0</v>
      </c>
      <c r="J2482" s="1" t="s">
        <v>752</v>
      </c>
      <c r="K2482" s="1" t="s">
        <v>2131</v>
      </c>
      <c r="L2482" s="1" t="s">
        <v>5811</v>
      </c>
      <c r="M2482" s="1">
        <v>1.0</v>
      </c>
      <c r="N2482" s="1" t="s">
        <v>1152</v>
      </c>
      <c r="O2482" s="3" t="s">
        <v>384</v>
      </c>
      <c r="P2482" s="1" t="s">
        <v>1152</v>
      </c>
      <c r="Q2482" s="1" t="s">
        <v>1152</v>
      </c>
      <c r="R2482" s="1"/>
      <c r="S2482" s="1"/>
      <c r="T2482" s="1" t="s">
        <v>1152</v>
      </c>
      <c r="U2482" s="1" t="s">
        <v>1039</v>
      </c>
      <c r="V2482" s="4" t="s">
        <v>384</v>
      </c>
      <c r="W2482" s="1"/>
      <c r="X2482" s="1" t="s">
        <v>1152</v>
      </c>
      <c r="Y2482" s="1" t="s">
        <v>1152</v>
      </c>
      <c r="Z2482" s="1"/>
      <c r="AA2482" s="1"/>
      <c r="AB2482" s="1"/>
      <c r="AC2482" s="1" t="s">
        <v>1925</v>
      </c>
      <c r="AD2482" s="1"/>
      <c r="AE2482" s="18">
        <v>46148.0</v>
      </c>
      <c r="AF2482" s="1"/>
      <c r="AG2482" s="1"/>
      <c r="AH2482" s="1" t="s">
        <v>1152</v>
      </c>
      <c r="AI2482" s="1" t="s">
        <v>1152</v>
      </c>
      <c r="AJ2482" s="1" t="s">
        <v>4071</v>
      </c>
      <c r="AK2482" s="1" t="s">
        <v>1152</v>
      </c>
      <c r="AL2482" s="6"/>
      <c r="AM2482" s="12">
        <v>4.172966047E9</v>
      </c>
    </row>
    <row r="2483">
      <c r="A2483" s="5" t="s">
        <v>11756</v>
      </c>
      <c r="B2483" s="1" t="s">
        <v>11757</v>
      </c>
      <c r="C2483" s="1" t="s">
        <v>11758</v>
      </c>
      <c r="D2483" s="2">
        <v>4.044338465E9</v>
      </c>
      <c r="E2483" s="1" t="s">
        <v>11759</v>
      </c>
      <c r="F2483" s="1"/>
      <c r="G2483" s="1" t="s">
        <v>2179</v>
      </c>
      <c r="H2483" s="1" t="s">
        <v>946</v>
      </c>
      <c r="I2483" s="1">
        <v>30327.0</v>
      </c>
      <c r="J2483" s="1" t="s">
        <v>752</v>
      </c>
      <c r="K2483" s="1" t="s">
        <v>2131</v>
      </c>
      <c r="L2483" s="1" t="s">
        <v>5811</v>
      </c>
      <c r="M2483" s="1">
        <v>1.0</v>
      </c>
      <c r="N2483" s="1" t="s">
        <v>1152</v>
      </c>
      <c r="O2483" s="3" t="s">
        <v>4190</v>
      </c>
      <c r="P2483" s="1" t="s">
        <v>1152</v>
      </c>
      <c r="Q2483" s="1" t="s">
        <v>1152</v>
      </c>
      <c r="R2483" s="1"/>
      <c r="S2483" s="1"/>
      <c r="T2483" s="1" t="s">
        <v>1152</v>
      </c>
      <c r="U2483" s="1" t="s">
        <v>1812</v>
      </c>
      <c r="V2483" s="4" t="s">
        <v>4190</v>
      </c>
      <c r="W2483" s="1"/>
      <c r="X2483" s="1" t="s">
        <v>1152</v>
      </c>
      <c r="Y2483" s="1" t="s">
        <v>1152</v>
      </c>
      <c r="Z2483" s="1"/>
      <c r="AA2483" s="1"/>
      <c r="AB2483" s="1"/>
      <c r="AC2483" s="1" t="s">
        <v>1925</v>
      </c>
      <c r="AD2483" s="1"/>
      <c r="AE2483" s="18">
        <v>46149.0</v>
      </c>
      <c r="AF2483" s="1"/>
      <c r="AG2483" s="1"/>
      <c r="AH2483" s="1" t="s">
        <v>1152</v>
      </c>
      <c r="AI2483" s="1" t="s">
        <v>1152</v>
      </c>
      <c r="AJ2483" s="1" t="s">
        <v>11759</v>
      </c>
      <c r="AK2483" s="1" t="s">
        <v>1152</v>
      </c>
      <c r="AL2483" s="6"/>
      <c r="AM2483" s="12">
        <v>4.044338465E9</v>
      </c>
    </row>
    <row r="2484">
      <c r="A2484" s="5" t="s">
        <v>11760</v>
      </c>
      <c r="B2484" s="1" t="s">
        <v>11761</v>
      </c>
      <c r="C2484" s="1" t="s">
        <v>1753</v>
      </c>
      <c r="D2484" s="2">
        <v>7.734854416E9</v>
      </c>
      <c r="E2484" s="1" t="s">
        <v>1754</v>
      </c>
      <c r="F2484" s="1"/>
      <c r="G2484" s="1" t="s">
        <v>1755</v>
      </c>
      <c r="H2484" s="1" t="s">
        <v>1019</v>
      </c>
      <c r="I2484" s="1">
        <v>60126.0</v>
      </c>
      <c r="J2484" s="1" t="s">
        <v>752</v>
      </c>
      <c r="K2484" s="1" t="s">
        <v>2131</v>
      </c>
      <c r="L2484" s="1" t="s">
        <v>5811</v>
      </c>
      <c r="M2484" s="1">
        <v>1.0</v>
      </c>
      <c r="N2484" s="1" t="s">
        <v>1152</v>
      </c>
      <c r="O2484" s="3" t="s">
        <v>1255</v>
      </c>
      <c r="P2484" s="1" t="s">
        <v>1152</v>
      </c>
      <c r="Q2484" s="1" t="s">
        <v>1152</v>
      </c>
      <c r="R2484" s="1"/>
      <c r="S2484" s="1"/>
      <c r="T2484" s="1" t="s">
        <v>1152</v>
      </c>
      <c r="U2484" s="1" t="s">
        <v>956</v>
      </c>
      <c r="V2484" s="4" t="s">
        <v>1255</v>
      </c>
      <c r="W2484" s="1"/>
      <c r="X2484" s="1" t="s">
        <v>1152</v>
      </c>
      <c r="Y2484" s="1" t="s">
        <v>1152</v>
      </c>
      <c r="Z2484" s="1"/>
      <c r="AA2484" s="1"/>
      <c r="AB2484" s="1"/>
      <c r="AC2484" s="1" t="s">
        <v>1925</v>
      </c>
      <c r="AD2484" s="1"/>
      <c r="AE2484" s="18">
        <v>46148.0</v>
      </c>
      <c r="AF2484" s="1"/>
      <c r="AG2484" s="1"/>
      <c r="AH2484" s="1" t="s">
        <v>1152</v>
      </c>
      <c r="AI2484" s="1" t="s">
        <v>1152</v>
      </c>
      <c r="AJ2484" s="1" t="s">
        <v>1754</v>
      </c>
      <c r="AK2484" s="1" t="s">
        <v>1152</v>
      </c>
      <c r="AL2484" s="6"/>
      <c r="AM2484" s="12">
        <v>7.734854416E9</v>
      </c>
    </row>
    <row r="2485">
      <c r="A2485" s="5" t="s">
        <v>11762</v>
      </c>
      <c r="B2485" s="1" t="s">
        <v>11763</v>
      </c>
      <c r="C2485" s="1" t="s">
        <v>1472</v>
      </c>
      <c r="D2485" s="2">
        <v>6.502247807E9</v>
      </c>
      <c r="E2485" s="1" t="s">
        <v>1473</v>
      </c>
      <c r="F2485" s="1"/>
      <c r="G2485" s="1" t="s">
        <v>1474</v>
      </c>
      <c r="H2485" s="1" t="s">
        <v>989</v>
      </c>
      <c r="I2485" s="1">
        <v>94022.0</v>
      </c>
      <c r="J2485" s="1" t="s">
        <v>752</v>
      </c>
      <c r="K2485" s="1" t="s">
        <v>2131</v>
      </c>
      <c r="L2485" s="1" t="s">
        <v>5736</v>
      </c>
      <c r="M2485" s="1">
        <v>1.0</v>
      </c>
      <c r="N2485" s="1" t="s">
        <v>1152</v>
      </c>
      <c r="O2485" s="3" t="s">
        <v>5516</v>
      </c>
      <c r="P2485" s="1" t="s">
        <v>1152</v>
      </c>
      <c r="Q2485" s="1" t="s">
        <v>1152</v>
      </c>
      <c r="R2485" s="1"/>
      <c r="S2485" s="1"/>
      <c r="T2485" s="1" t="s">
        <v>1152</v>
      </c>
      <c r="U2485" s="1" t="s">
        <v>1148</v>
      </c>
      <c r="V2485" s="4" t="s">
        <v>5516</v>
      </c>
      <c r="W2485" s="1"/>
      <c r="X2485" s="1" t="s">
        <v>1152</v>
      </c>
      <c r="Y2485" s="1" t="s">
        <v>1152</v>
      </c>
      <c r="Z2485" s="1"/>
      <c r="AA2485" s="1"/>
      <c r="AB2485" s="1"/>
      <c r="AC2485" s="1" t="s">
        <v>1925</v>
      </c>
      <c r="AD2485" s="1"/>
      <c r="AE2485" s="18">
        <v>46149.0</v>
      </c>
      <c r="AF2485" s="1"/>
      <c r="AG2485" s="1"/>
      <c r="AH2485" s="1" t="s">
        <v>1152</v>
      </c>
      <c r="AI2485" s="1" t="s">
        <v>1152</v>
      </c>
      <c r="AJ2485" s="1" t="s">
        <v>11764</v>
      </c>
      <c r="AK2485" s="1" t="s">
        <v>1152</v>
      </c>
      <c r="AL2485" s="6"/>
      <c r="AM2485" s="12">
        <v>6.504224057E9</v>
      </c>
    </row>
    <row r="2486">
      <c r="A2486" s="5" t="s">
        <v>11765</v>
      </c>
      <c r="B2486" s="1" t="s">
        <v>11766</v>
      </c>
      <c r="C2486" s="1" t="s">
        <v>2177</v>
      </c>
      <c r="D2486" s="2">
        <v>4.04368939E9</v>
      </c>
      <c r="E2486" s="1" t="s">
        <v>2178</v>
      </c>
      <c r="F2486" s="1"/>
      <c r="G2486" s="1" t="s">
        <v>2179</v>
      </c>
      <c r="H2486" s="1" t="s">
        <v>946</v>
      </c>
      <c r="I2486" s="1">
        <v>30342.0</v>
      </c>
      <c r="J2486" s="1" t="s">
        <v>752</v>
      </c>
      <c r="K2486" s="1" t="s">
        <v>2131</v>
      </c>
      <c r="L2486" s="1" t="s">
        <v>5767</v>
      </c>
      <c r="M2486" s="1">
        <v>1.0</v>
      </c>
      <c r="N2486" s="1" t="s">
        <v>1152</v>
      </c>
      <c r="O2486" s="3" t="s">
        <v>2180</v>
      </c>
      <c r="P2486" s="1" t="s">
        <v>1152</v>
      </c>
      <c r="Q2486" s="1" t="s">
        <v>1152</v>
      </c>
      <c r="R2486" s="1"/>
      <c r="S2486" s="1"/>
      <c r="T2486" s="1" t="s">
        <v>1152</v>
      </c>
      <c r="U2486" s="1" t="s">
        <v>956</v>
      </c>
      <c r="V2486" s="4" t="s">
        <v>2180</v>
      </c>
      <c r="W2486" s="1"/>
      <c r="X2486" s="1" t="s">
        <v>1152</v>
      </c>
      <c r="Y2486" s="1" t="s">
        <v>1152</v>
      </c>
      <c r="Z2486" s="1"/>
      <c r="AA2486" s="1"/>
      <c r="AB2486" s="1"/>
      <c r="AC2486" s="1" t="s">
        <v>1925</v>
      </c>
      <c r="AD2486" s="1"/>
      <c r="AE2486" s="18">
        <v>46147.0</v>
      </c>
      <c r="AF2486" s="1"/>
      <c r="AG2486" s="1"/>
      <c r="AH2486" s="1" t="s">
        <v>1152</v>
      </c>
      <c r="AI2486" s="1" t="s">
        <v>1152</v>
      </c>
      <c r="AJ2486" s="1" t="s">
        <v>2178</v>
      </c>
      <c r="AK2486" s="1" t="s">
        <v>1152</v>
      </c>
      <c r="AL2486" s="6"/>
      <c r="AM2486" s="12">
        <v>4.04368939E9</v>
      </c>
    </row>
    <row r="2487">
      <c r="A2487" s="5" t="s">
        <v>11767</v>
      </c>
      <c r="B2487" s="1" t="s">
        <v>11768</v>
      </c>
      <c r="C2487" s="1" t="s">
        <v>11769</v>
      </c>
      <c r="D2487" s="2">
        <v>9.178478276E9</v>
      </c>
      <c r="E2487" s="1" t="s">
        <v>969</v>
      </c>
      <c r="F2487" s="1"/>
      <c r="G2487" s="1" t="s">
        <v>971</v>
      </c>
      <c r="H2487" s="1" t="s">
        <v>751</v>
      </c>
      <c r="I2487" s="1">
        <v>11050.0</v>
      </c>
      <c r="J2487" s="1" t="s">
        <v>752</v>
      </c>
      <c r="K2487" s="1" t="s">
        <v>2131</v>
      </c>
      <c r="L2487" s="1" t="s">
        <v>5767</v>
      </c>
      <c r="M2487" s="1">
        <v>1.0</v>
      </c>
      <c r="N2487" s="1" t="s">
        <v>1152</v>
      </c>
      <c r="O2487" s="3" t="s">
        <v>972</v>
      </c>
      <c r="P2487" s="1" t="s">
        <v>1152</v>
      </c>
      <c r="Q2487" s="1" t="s">
        <v>1152</v>
      </c>
      <c r="R2487" s="1"/>
      <c r="S2487" s="1"/>
      <c r="T2487" s="1" t="s">
        <v>1152</v>
      </c>
      <c r="U2487" s="1" t="s">
        <v>1133</v>
      </c>
      <c r="V2487" s="4" t="s">
        <v>972</v>
      </c>
      <c r="W2487" s="1"/>
      <c r="X2487" s="1" t="s">
        <v>1152</v>
      </c>
      <c r="Y2487" s="1" t="s">
        <v>1152</v>
      </c>
      <c r="Z2487" s="1"/>
      <c r="AA2487" s="1"/>
      <c r="AB2487" s="1"/>
      <c r="AC2487" s="1" t="s">
        <v>1925</v>
      </c>
      <c r="AD2487" s="1"/>
      <c r="AE2487" s="18">
        <v>46148.0</v>
      </c>
      <c r="AF2487" s="1"/>
      <c r="AG2487" s="1"/>
      <c r="AH2487" s="1" t="s">
        <v>1152</v>
      </c>
      <c r="AI2487" s="1" t="s">
        <v>1152</v>
      </c>
      <c r="AJ2487" s="1" t="s">
        <v>9232</v>
      </c>
      <c r="AK2487" s="1" t="s">
        <v>1152</v>
      </c>
      <c r="AL2487" s="6"/>
      <c r="AM2487" s="12">
        <v>5.163051946E9</v>
      </c>
    </row>
    <row r="2488">
      <c r="A2488" s="5" t="s">
        <v>11770</v>
      </c>
      <c r="B2488" s="1" t="s">
        <v>11771</v>
      </c>
      <c r="C2488" s="1" t="s">
        <v>2807</v>
      </c>
      <c r="D2488" s="2">
        <v>9.175879462E9</v>
      </c>
      <c r="E2488" s="1" t="s">
        <v>2808</v>
      </c>
      <c r="F2488" s="1"/>
      <c r="G2488" s="1" t="s">
        <v>1382</v>
      </c>
      <c r="H2488" s="1" t="s">
        <v>751</v>
      </c>
      <c r="I2488" s="1">
        <v>10583.0</v>
      </c>
      <c r="J2488" s="1" t="s">
        <v>752</v>
      </c>
      <c r="K2488" s="1" t="s">
        <v>2131</v>
      </c>
      <c r="L2488" s="1" t="s">
        <v>5736</v>
      </c>
      <c r="M2488" s="1">
        <v>1.0</v>
      </c>
      <c r="N2488" s="1" t="s">
        <v>1152</v>
      </c>
      <c r="O2488" s="3" t="s">
        <v>6386</v>
      </c>
      <c r="P2488" s="1" t="s">
        <v>1152</v>
      </c>
      <c r="Q2488" s="1" t="s">
        <v>1152</v>
      </c>
      <c r="R2488" s="1"/>
      <c r="S2488" s="1"/>
      <c r="T2488" s="1" t="s">
        <v>1152</v>
      </c>
      <c r="U2488" s="1" t="s">
        <v>1133</v>
      </c>
      <c r="V2488" s="4" t="s">
        <v>6386</v>
      </c>
      <c r="W2488" s="1"/>
      <c r="X2488" s="1" t="s">
        <v>1152</v>
      </c>
      <c r="Y2488" s="1" t="s">
        <v>1152</v>
      </c>
      <c r="Z2488" s="1"/>
      <c r="AA2488" s="1"/>
      <c r="AB2488" s="1"/>
      <c r="AC2488" s="1" t="s">
        <v>1925</v>
      </c>
      <c r="AD2488" s="1"/>
      <c r="AE2488" s="18">
        <v>46142.0</v>
      </c>
      <c r="AF2488" s="1"/>
      <c r="AG2488" s="1"/>
      <c r="AH2488" s="1" t="s">
        <v>1152</v>
      </c>
      <c r="AI2488" s="1" t="s">
        <v>1152</v>
      </c>
      <c r="AJ2488" s="1" t="s">
        <v>6387</v>
      </c>
      <c r="AK2488" s="1" t="s">
        <v>1152</v>
      </c>
      <c r="AL2488" s="6"/>
      <c r="AM2488" s="12">
        <v>9.146489852E9</v>
      </c>
    </row>
    <row r="2489">
      <c r="A2489" s="5" t="s">
        <v>11772</v>
      </c>
      <c r="B2489" s="1" t="s">
        <v>11773</v>
      </c>
      <c r="C2489" s="1" t="s">
        <v>6340</v>
      </c>
      <c r="D2489" s="2">
        <v>4.703668375E9</v>
      </c>
      <c r="E2489" s="1" t="s">
        <v>6341</v>
      </c>
      <c r="F2489" s="1"/>
      <c r="G2489" s="1" t="s">
        <v>2179</v>
      </c>
      <c r="H2489" s="1" t="s">
        <v>946</v>
      </c>
      <c r="I2489" s="1">
        <v>30312.0</v>
      </c>
      <c r="J2489" s="1" t="s">
        <v>752</v>
      </c>
      <c r="K2489" s="1" t="s">
        <v>2131</v>
      </c>
      <c r="L2489" s="1" t="s">
        <v>5767</v>
      </c>
      <c r="M2489" s="1">
        <v>1.0</v>
      </c>
      <c r="N2489" s="1" t="s">
        <v>1152</v>
      </c>
      <c r="O2489" s="3" t="s">
        <v>11774</v>
      </c>
      <c r="P2489" s="1" t="s">
        <v>1152</v>
      </c>
      <c r="Q2489" s="1" t="s">
        <v>1152</v>
      </c>
      <c r="R2489" s="1"/>
      <c r="S2489" s="1"/>
      <c r="T2489" s="1" t="s">
        <v>1152</v>
      </c>
      <c r="U2489" s="1" t="s">
        <v>948</v>
      </c>
      <c r="V2489" s="4" t="s">
        <v>11774</v>
      </c>
      <c r="W2489" s="1"/>
      <c r="X2489" s="1" t="s">
        <v>1152</v>
      </c>
      <c r="Y2489" s="1" t="s">
        <v>1152</v>
      </c>
      <c r="Z2489" s="1"/>
      <c r="AA2489" s="1"/>
      <c r="AB2489" s="1"/>
      <c r="AC2489" s="1" t="s">
        <v>1925</v>
      </c>
      <c r="AD2489" s="1"/>
      <c r="AE2489" s="18">
        <v>46144.0</v>
      </c>
      <c r="AF2489" s="1"/>
      <c r="AG2489" s="1"/>
      <c r="AH2489" s="1" t="s">
        <v>1152</v>
      </c>
      <c r="AI2489" s="1" t="s">
        <v>1152</v>
      </c>
      <c r="AJ2489" s="1" t="s">
        <v>11775</v>
      </c>
      <c r="AK2489" s="1" t="s">
        <v>1152</v>
      </c>
      <c r="AL2489" s="6"/>
      <c r="AM2489" s="12">
        <v>4.703668375E9</v>
      </c>
    </row>
    <row r="2490">
      <c r="A2490" s="5" t="s">
        <v>11776</v>
      </c>
      <c r="B2490" s="1" t="s">
        <v>11777</v>
      </c>
      <c r="C2490" s="1" t="s">
        <v>11778</v>
      </c>
      <c r="D2490" s="2">
        <v>6.462295856E9</v>
      </c>
      <c r="E2490" s="1" t="s">
        <v>11779</v>
      </c>
      <c r="F2490" s="1"/>
      <c r="G2490" s="1" t="s">
        <v>2715</v>
      </c>
      <c r="H2490" s="1" t="s">
        <v>1583</v>
      </c>
      <c r="I2490" s="1">
        <v>75244.0</v>
      </c>
      <c r="J2490" s="1" t="s">
        <v>752</v>
      </c>
      <c r="K2490" s="1" t="s">
        <v>42</v>
      </c>
      <c r="L2490" s="1" t="s">
        <v>6819</v>
      </c>
      <c r="M2490" s="1">
        <v>49.0</v>
      </c>
      <c r="N2490" s="1" t="s">
        <v>1152</v>
      </c>
      <c r="O2490" s="3" t="s">
        <v>11780</v>
      </c>
      <c r="P2490" s="1" t="s">
        <v>1152</v>
      </c>
      <c r="Q2490" s="1" t="s">
        <v>1152</v>
      </c>
      <c r="R2490" s="1"/>
      <c r="S2490" s="1"/>
      <c r="T2490" s="1" t="s">
        <v>1152</v>
      </c>
      <c r="U2490" s="1" t="s">
        <v>1710</v>
      </c>
      <c r="V2490" s="4" t="s">
        <v>11780</v>
      </c>
      <c r="W2490" s="1"/>
      <c r="X2490" s="1" t="s">
        <v>1152</v>
      </c>
      <c r="Y2490" s="1" t="s">
        <v>1152</v>
      </c>
      <c r="Z2490" s="1"/>
      <c r="AA2490" s="1"/>
      <c r="AB2490" s="1"/>
      <c r="AC2490" s="1" t="s">
        <v>1925</v>
      </c>
      <c r="AD2490" s="1"/>
      <c r="AE2490" s="18">
        <v>46150.0</v>
      </c>
      <c r="AF2490" s="1" t="s">
        <v>1030</v>
      </c>
      <c r="AG2490" s="1" t="s">
        <v>52</v>
      </c>
      <c r="AH2490" s="1" t="s">
        <v>1152</v>
      </c>
      <c r="AI2490" s="1" t="s">
        <v>1152</v>
      </c>
      <c r="AJ2490" s="1" t="s">
        <v>11781</v>
      </c>
      <c r="AK2490" s="1" t="s">
        <v>1152</v>
      </c>
      <c r="AL2490" s="6"/>
      <c r="AM2490" s="12">
        <v>9.727302959E9</v>
      </c>
    </row>
    <row r="2491">
      <c r="A2491" s="5" t="s">
        <v>11782</v>
      </c>
      <c r="B2491" s="1" t="s">
        <v>11783</v>
      </c>
      <c r="C2491" s="1" t="s">
        <v>2474</v>
      </c>
      <c r="D2491" s="2">
        <v>6.466259442E9</v>
      </c>
      <c r="E2491" s="1" t="s">
        <v>2475</v>
      </c>
      <c r="F2491" s="1"/>
      <c r="G2491" s="1" t="s">
        <v>3230</v>
      </c>
      <c r="H2491" s="1" t="s">
        <v>751</v>
      </c>
      <c r="I2491" s="1" t="s">
        <v>10671</v>
      </c>
      <c r="J2491" s="1" t="s">
        <v>752</v>
      </c>
      <c r="K2491" s="1" t="s">
        <v>2131</v>
      </c>
      <c r="L2491" s="1" t="s">
        <v>5767</v>
      </c>
      <c r="M2491" s="1">
        <v>1.0</v>
      </c>
      <c r="N2491" s="1" t="s">
        <v>1152</v>
      </c>
      <c r="O2491" s="3" t="s">
        <v>10672</v>
      </c>
      <c r="P2491" s="1" t="s">
        <v>1152</v>
      </c>
      <c r="Q2491" s="1" t="s">
        <v>1152</v>
      </c>
      <c r="R2491" s="1"/>
      <c r="S2491" s="1"/>
      <c r="T2491" s="1" t="s">
        <v>1152</v>
      </c>
      <c r="U2491" s="1" t="s">
        <v>1277</v>
      </c>
      <c r="V2491" s="4" t="s">
        <v>10672</v>
      </c>
      <c r="W2491" s="1"/>
      <c r="X2491" s="1" t="s">
        <v>1152</v>
      </c>
      <c r="Y2491" s="1" t="s">
        <v>1152</v>
      </c>
      <c r="Z2491" s="1"/>
      <c r="AA2491" s="1"/>
      <c r="AB2491" s="1"/>
      <c r="AC2491" s="1" t="s">
        <v>1925</v>
      </c>
      <c r="AD2491" s="1"/>
      <c r="AE2491" s="18">
        <v>46144.0</v>
      </c>
      <c r="AF2491" s="1"/>
      <c r="AG2491" s="1"/>
      <c r="AH2491" s="1" t="s">
        <v>1152</v>
      </c>
      <c r="AI2491" s="1" t="s">
        <v>1152</v>
      </c>
      <c r="AJ2491" s="1" t="s">
        <v>10673</v>
      </c>
      <c r="AK2491" s="1" t="s">
        <v>1152</v>
      </c>
      <c r="AL2491" s="6"/>
      <c r="AM2491" s="12" t="s">
        <v>11784</v>
      </c>
    </row>
    <row r="2492">
      <c r="A2492" s="5" t="s">
        <v>11785</v>
      </c>
      <c r="B2492" s="1" t="s">
        <v>11786</v>
      </c>
      <c r="C2492" s="1" t="s">
        <v>11787</v>
      </c>
      <c r="D2492" s="2">
        <v>4.159604245E9</v>
      </c>
      <c r="E2492" s="1" t="s">
        <v>11788</v>
      </c>
      <c r="F2492" s="1"/>
      <c r="G2492" s="1" t="s">
        <v>11789</v>
      </c>
      <c r="H2492" s="1" t="s">
        <v>989</v>
      </c>
      <c r="I2492" s="1">
        <v>94920.0</v>
      </c>
      <c r="J2492" s="1" t="s">
        <v>752</v>
      </c>
      <c r="K2492" s="1" t="s">
        <v>42</v>
      </c>
      <c r="L2492" s="1" t="s">
        <v>7863</v>
      </c>
      <c r="M2492" s="1">
        <v>79.0</v>
      </c>
      <c r="N2492" s="1" t="s">
        <v>1152</v>
      </c>
      <c r="O2492" s="3" t="s">
        <v>10614</v>
      </c>
      <c r="P2492" s="1" t="s">
        <v>1152</v>
      </c>
      <c r="Q2492" s="1" t="s">
        <v>1152</v>
      </c>
      <c r="R2492" s="1"/>
      <c r="S2492" s="1"/>
      <c r="T2492" s="1" t="s">
        <v>1152</v>
      </c>
      <c r="U2492" s="1" t="s">
        <v>1710</v>
      </c>
      <c r="V2492" s="4" t="s">
        <v>10614</v>
      </c>
      <c r="W2492" s="1"/>
      <c r="X2492" s="1" t="s">
        <v>1152</v>
      </c>
      <c r="Y2492" s="1" t="s">
        <v>1152</v>
      </c>
      <c r="Z2492" s="1"/>
      <c r="AA2492" s="1"/>
      <c r="AB2492" s="1"/>
      <c r="AC2492" s="1" t="s">
        <v>1925</v>
      </c>
      <c r="AD2492" s="1"/>
      <c r="AE2492" s="18">
        <v>46146.0</v>
      </c>
      <c r="AF2492" s="1" t="s">
        <v>1030</v>
      </c>
      <c r="AG2492" s="1" t="s">
        <v>52</v>
      </c>
      <c r="AH2492" s="1" t="s">
        <v>1152</v>
      </c>
      <c r="AI2492" s="1" t="s">
        <v>1152</v>
      </c>
      <c r="AJ2492" s="1" t="s">
        <v>11790</v>
      </c>
      <c r="AK2492" s="1" t="s">
        <v>1152</v>
      </c>
      <c r="AL2492" s="6"/>
      <c r="AM2492" s="12">
        <v>4.159604245E9</v>
      </c>
    </row>
    <row r="2493">
      <c r="A2493" s="5" t="s">
        <v>11791</v>
      </c>
      <c r="B2493" s="1" t="s">
        <v>11792</v>
      </c>
      <c r="C2493" s="1" t="s">
        <v>5402</v>
      </c>
      <c r="D2493" s="2">
        <v>8.574751138E9</v>
      </c>
      <c r="E2493" s="1" t="s">
        <v>5403</v>
      </c>
      <c r="F2493" s="1"/>
      <c r="G2493" s="1" t="s">
        <v>5404</v>
      </c>
      <c r="H2493" s="1" t="s">
        <v>1121</v>
      </c>
      <c r="I2493" s="1">
        <v>2481.0</v>
      </c>
      <c r="J2493" s="1" t="s">
        <v>752</v>
      </c>
      <c r="K2493" s="1" t="s">
        <v>2131</v>
      </c>
      <c r="L2493" s="1" t="s">
        <v>5767</v>
      </c>
      <c r="M2493" s="1">
        <v>1.0</v>
      </c>
      <c r="N2493" s="1" t="s">
        <v>1152</v>
      </c>
      <c r="O2493" s="3" t="s">
        <v>9703</v>
      </c>
      <c r="P2493" s="1" t="s">
        <v>1152</v>
      </c>
      <c r="Q2493" s="1" t="s">
        <v>1152</v>
      </c>
      <c r="R2493" s="1"/>
      <c r="S2493" s="1"/>
      <c r="T2493" s="1" t="s">
        <v>1152</v>
      </c>
      <c r="U2493" s="1" t="s">
        <v>1133</v>
      </c>
      <c r="V2493" s="4" t="s">
        <v>9703</v>
      </c>
      <c r="W2493" s="1"/>
      <c r="X2493" s="1" t="s">
        <v>1152</v>
      </c>
      <c r="Y2493" s="1" t="s">
        <v>1152</v>
      </c>
      <c r="Z2493" s="1"/>
      <c r="AA2493" s="1"/>
      <c r="AB2493" s="1"/>
      <c r="AC2493" s="1" t="s">
        <v>1925</v>
      </c>
      <c r="AD2493" s="1"/>
      <c r="AE2493" s="18">
        <v>46148.0</v>
      </c>
      <c r="AF2493" s="1"/>
      <c r="AG2493" s="1"/>
      <c r="AH2493" s="1" t="s">
        <v>1152</v>
      </c>
      <c r="AI2493" s="1" t="s">
        <v>1152</v>
      </c>
      <c r="AJ2493" s="1" t="s">
        <v>5403</v>
      </c>
      <c r="AK2493" s="1" t="s">
        <v>1152</v>
      </c>
      <c r="AL2493" s="6"/>
      <c r="AM2493" s="12">
        <v>8.574721138E9</v>
      </c>
    </row>
    <row r="2494">
      <c r="A2494" s="5" t="s">
        <v>11793</v>
      </c>
      <c r="B2494" s="1" t="s">
        <v>11794</v>
      </c>
      <c r="C2494" s="1" t="s">
        <v>587</v>
      </c>
      <c r="D2494" s="2">
        <v>9.177330027E9</v>
      </c>
      <c r="E2494" s="1" t="s">
        <v>7965</v>
      </c>
      <c r="F2494" s="1"/>
      <c r="G2494" s="1" t="s">
        <v>751</v>
      </c>
      <c r="H2494" s="1" t="s">
        <v>751</v>
      </c>
      <c r="I2494" s="1">
        <v>10024.0</v>
      </c>
      <c r="J2494" s="1" t="s">
        <v>752</v>
      </c>
      <c r="K2494" s="1" t="s">
        <v>2131</v>
      </c>
      <c r="L2494" s="1" t="s">
        <v>6107</v>
      </c>
      <c r="M2494" s="1">
        <v>1.0</v>
      </c>
      <c r="N2494" s="1" t="s">
        <v>1152</v>
      </c>
      <c r="O2494" s="3" t="s">
        <v>9256</v>
      </c>
      <c r="P2494" s="1" t="s">
        <v>1152</v>
      </c>
      <c r="Q2494" s="1" t="s">
        <v>1152</v>
      </c>
      <c r="R2494" s="1"/>
      <c r="S2494" s="1"/>
      <c r="T2494" s="1" t="s">
        <v>1152</v>
      </c>
      <c r="U2494" s="1" t="s">
        <v>1277</v>
      </c>
      <c r="V2494" s="4" t="s">
        <v>9256</v>
      </c>
      <c r="W2494" s="1"/>
      <c r="X2494" s="1" t="s">
        <v>1152</v>
      </c>
      <c r="Y2494" s="1" t="s">
        <v>1152</v>
      </c>
      <c r="Z2494" s="1"/>
      <c r="AA2494" s="1"/>
      <c r="AB2494" s="1"/>
      <c r="AC2494" s="1" t="s">
        <v>1925</v>
      </c>
      <c r="AD2494" s="1"/>
      <c r="AE2494" s="18">
        <v>46147.0</v>
      </c>
      <c r="AF2494" s="1"/>
      <c r="AG2494" s="1"/>
      <c r="AH2494" s="1" t="s">
        <v>1152</v>
      </c>
      <c r="AI2494" s="1" t="s">
        <v>1152</v>
      </c>
      <c r="AJ2494" s="1" t="s">
        <v>7965</v>
      </c>
      <c r="AK2494" s="1" t="s">
        <v>1152</v>
      </c>
      <c r="AL2494" s="6"/>
      <c r="AM2494" s="12">
        <v>9.177330027E9</v>
      </c>
    </row>
    <row r="2495">
      <c r="A2495" s="5" t="s">
        <v>11795</v>
      </c>
      <c r="B2495" s="1" t="s">
        <v>11796</v>
      </c>
      <c r="C2495" s="1" t="s">
        <v>975</v>
      </c>
      <c r="D2495" s="2">
        <v>2.068503099E9</v>
      </c>
      <c r="E2495" s="1" t="s">
        <v>977</v>
      </c>
      <c r="F2495" s="1"/>
      <c r="G2495" s="1" t="s">
        <v>6032</v>
      </c>
      <c r="H2495" s="1" t="s">
        <v>980</v>
      </c>
      <c r="I2495" s="1">
        <v>98011.0</v>
      </c>
      <c r="J2495" s="1" t="s">
        <v>752</v>
      </c>
      <c r="K2495" s="1" t="s">
        <v>2131</v>
      </c>
      <c r="L2495" s="1" t="s">
        <v>5736</v>
      </c>
      <c r="M2495" s="1">
        <v>1.0</v>
      </c>
      <c r="N2495" s="1" t="s">
        <v>1152</v>
      </c>
      <c r="O2495" s="3" t="s">
        <v>981</v>
      </c>
      <c r="P2495" s="1" t="s">
        <v>1152</v>
      </c>
      <c r="Q2495" s="1" t="s">
        <v>1152</v>
      </c>
      <c r="R2495" s="1"/>
      <c r="S2495" s="1"/>
      <c r="T2495" s="1" t="s">
        <v>1152</v>
      </c>
      <c r="U2495" s="1" t="s">
        <v>982</v>
      </c>
      <c r="V2495" s="4" t="s">
        <v>981</v>
      </c>
      <c r="W2495" s="1"/>
      <c r="X2495" s="1" t="s">
        <v>1152</v>
      </c>
      <c r="Y2495" s="1" t="s">
        <v>1152</v>
      </c>
      <c r="Z2495" s="1"/>
      <c r="AA2495" s="1"/>
      <c r="AB2495" s="1"/>
      <c r="AC2495" s="1" t="s">
        <v>1925</v>
      </c>
      <c r="AD2495" s="1"/>
      <c r="AE2495" s="18">
        <v>46149.0</v>
      </c>
      <c r="AF2495" s="1"/>
      <c r="AG2495" s="1"/>
      <c r="AH2495" s="1" t="s">
        <v>1152</v>
      </c>
      <c r="AI2495" s="1" t="s">
        <v>1152</v>
      </c>
      <c r="AJ2495" s="1" t="s">
        <v>6033</v>
      </c>
      <c r="AK2495" s="1" t="s">
        <v>1152</v>
      </c>
      <c r="AL2495" s="6"/>
      <c r="AM2495" s="12">
        <v>2.062099461E9</v>
      </c>
    </row>
    <row r="2496">
      <c r="A2496" s="5" t="s">
        <v>11797</v>
      </c>
      <c r="B2496" s="1" t="s">
        <v>11798</v>
      </c>
      <c r="C2496" s="1" t="s">
        <v>4274</v>
      </c>
      <c r="D2496" s="2">
        <v>3.177195047E9</v>
      </c>
      <c r="E2496" s="1" t="s">
        <v>11799</v>
      </c>
      <c r="F2496" s="1"/>
      <c r="G2496" s="1" t="s">
        <v>2241</v>
      </c>
      <c r="H2496" s="1" t="s">
        <v>2242</v>
      </c>
      <c r="I2496" s="1">
        <v>46260.0</v>
      </c>
      <c r="J2496" s="1" t="s">
        <v>752</v>
      </c>
      <c r="K2496" s="1" t="s">
        <v>2131</v>
      </c>
      <c r="L2496" s="1" t="s">
        <v>5767</v>
      </c>
      <c r="M2496" s="1">
        <v>1.0</v>
      </c>
      <c r="N2496" s="1" t="s">
        <v>1152</v>
      </c>
      <c r="O2496" s="3" t="s">
        <v>11800</v>
      </c>
      <c r="P2496" s="1" t="s">
        <v>1152</v>
      </c>
      <c r="Q2496" s="1" t="s">
        <v>1152</v>
      </c>
      <c r="R2496" s="1"/>
      <c r="S2496" s="1"/>
      <c r="T2496" s="1" t="s">
        <v>1152</v>
      </c>
      <c r="U2496" s="1" t="s">
        <v>1407</v>
      </c>
      <c r="V2496" s="4" t="s">
        <v>11800</v>
      </c>
      <c r="W2496" s="1"/>
      <c r="X2496" s="1" t="s">
        <v>1152</v>
      </c>
      <c r="Y2496" s="1" t="s">
        <v>1152</v>
      </c>
      <c r="Z2496" s="1"/>
      <c r="AA2496" s="1"/>
      <c r="AB2496" s="1"/>
      <c r="AC2496" s="1" t="s">
        <v>1925</v>
      </c>
      <c r="AD2496" s="1"/>
      <c r="AE2496" s="18">
        <v>46148.0</v>
      </c>
      <c r="AF2496" s="1"/>
      <c r="AG2496" s="1"/>
      <c r="AH2496" s="1" t="s">
        <v>1152</v>
      </c>
      <c r="AI2496" s="1" t="s">
        <v>1152</v>
      </c>
      <c r="AJ2496" s="1" t="s">
        <v>11799</v>
      </c>
      <c r="AK2496" s="1" t="s">
        <v>1152</v>
      </c>
      <c r="AL2496" s="6"/>
      <c r="AM2496" s="12">
        <v>3.177195047E9</v>
      </c>
    </row>
    <row r="2497">
      <c r="A2497" s="5" t="s">
        <v>11801</v>
      </c>
      <c r="B2497" s="1" t="s">
        <v>11802</v>
      </c>
      <c r="C2497" s="1" t="s">
        <v>3507</v>
      </c>
      <c r="D2497" s="2">
        <v>6.145075668E9</v>
      </c>
      <c r="E2497" s="1" t="s">
        <v>3508</v>
      </c>
      <c r="F2497" s="1"/>
      <c r="G2497" s="1" t="s">
        <v>3509</v>
      </c>
      <c r="H2497" s="1" t="s">
        <v>2171</v>
      </c>
      <c r="I2497" s="1">
        <v>43054.0</v>
      </c>
      <c r="J2497" s="1" t="s">
        <v>752</v>
      </c>
      <c r="K2497" s="1" t="s">
        <v>892</v>
      </c>
      <c r="L2497" s="1" t="s">
        <v>8006</v>
      </c>
      <c r="M2497" s="1">
        <v>49.0</v>
      </c>
      <c r="N2497" s="1" t="s">
        <v>1152</v>
      </c>
      <c r="O2497" s="3" t="s">
        <v>11803</v>
      </c>
      <c r="P2497" s="1" t="s">
        <v>1152</v>
      </c>
      <c r="Q2497" s="1" t="s">
        <v>1152</v>
      </c>
      <c r="R2497" s="1"/>
      <c r="S2497" s="1"/>
      <c r="T2497" s="1" t="s">
        <v>1152</v>
      </c>
      <c r="U2497" s="1" t="s">
        <v>982</v>
      </c>
      <c r="V2497" s="4" t="s">
        <v>11803</v>
      </c>
      <c r="W2497" s="1"/>
      <c r="X2497" s="1" t="s">
        <v>1152</v>
      </c>
      <c r="Y2497" s="1" t="s">
        <v>1152</v>
      </c>
      <c r="Z2497" s="1"/>
      <c r="AA2497" s="1"/>
      <c r="AB2497" s="1"/>
      <c r="AC2497" s="1" t="s">
        <v>1925</v>
      </c>
      <c r="AD2497" s="1"/>
      <c r="AE2497" s="18">
        <v>46148.0</v>
      </c>
      <c r="AF2497" s="1" t="s">
        <v>1030</v>
      </c>
      <c r="AG2497" s="1" t="s">
        <v>52</v>
      </c>
      <c r="AH2497" s="1" t="s">
        <v>11804</v>
      </c>
      <c r="AI2497" s="1" t="s">
        <v>11805</v>
      </c>
      <c r="AJ2497" s="1" t="s">
        <v>11806</v>
      </c>
      <c r="AK2497" s="1" t="s">
        <v>1152</v>
      </c>
      <c r="AL2497" s="6"/>
      <c r="AM2497" s="12">
        <v>6.144007946E9</v>
      </c>
    </row>
    <row r="2498">
      <c r="A2498" s="5" t="s">
        <v>11807</v>
      </c>
      <c r="B2498" s="1" t="s">
        <v>11808</v>
      </c>
      <c r="C2498" s="1" t="s">
        <v>5570</v>
      </c>
      <c r="D2498" s="2">
        <v>2.066613897E9</v>
      </c>
      <c r="E2498" s="1" t="s">
        <v>8831</v>
      </c>
      <c r="F2498" s="1"/>
      <c r="G2498" s="1" t="s">
        <v>8832</v>
      </c>
      <c r="H2498" s="1" t="s">
        <v>980</v>
      </c>
      <c r="I2498" s="1">
        <v>98040.0</v>
      </c>
      <c r="J2498" s="1" t="s">
        <v>752</v>
      </c>
      <c r="K2498" s="1" t="s">
        <v>2131</v>
      </c>
      <c r="L2498" s="1" t="s">
        <v>5767</v>
      </c>
      <c r="M2498" s="1">
        <v>1.0</v>
      </c>
      <c r="N2498" s="1" t="s">
        <v>1152</v>
      </c>
      <c r="O2498" s="3" t="s">
        <v>2710</v>
      </c>
      <c r="P2498" s="1" t="s">
        <v>1152</v>
      </c>
      <c r="Q2498" s="1" t="s">
        <v>1152</v>
      </c>
      <c r="R2498" s="1"/>
      <c r="S2498" s="1"/>
      <c r="T2498" s="1" t="s">
        <v>1152</v>
      </c>
      <c r="U2498" s="1" t="s">
        <v>1415</v>
      </c>
      <c r="V2498" s="4" t="s">
        <v>2710</v>
      </c>
      <c r="W2498" s="1"/>
      <c r="X2498" s="1" t="s">
        <v>1152</v>
      </c>
      <c r="Y2498" s="1" t="s">
        <v>1152</v>
      </c>
      <c r="Z2498" s="1"/>
      <c r="AA2498" s="1"/>
      <c r="AB2498" s="1"/>
      <c r="AC2498" s="1" t="s">
        <v>1925</v>
      </c>
      <c r="AD2498" s="1"/>
      <c r="AE2498" s="18">
        <v>46148.0</v>
      </c>
      <c r="AF2498" s="1"/>
      <c r="AG2498" s="1"/>
      <c r="AH2498" s="1" t="s">
        <v>1152</v>
      </c>
      <c r="AI2498" s="1" t="s">
        <v>1152</v>
      </c>
      <c r="AJ2498" s="1" t="s">
        <v>8833</v>
      </c>
      <c r="AK2498" s="1" t="s">
        <v>1152</v>
      </c>
      <c r="AL2498" s="6"/>
      <c r="AM2498" s="12">
        <v>2.068190652E9</v>
      </c>
    </row>
    <row r="2499">
      <c r="A2499" s="5" t="s">
        <v>11809</v>
      </c>
      <c r="B2499" s="1" t="s">
        <v>11810</v>
      </c>
      <c r="C2499" s="1" t="s">
        <v>4769</v>
      </c>
      <c r="D2499" s="2">
        <v>2.133082438E9</v>
      </c>
      <c r="E2499" s="1" t="s">
        <v>5107</v>
      </c>
      <c r="F2499" s="1"/>
      <c r="G2499" s="1" t="s">
        <v>11091</v>
      </c>
      <c r="H2499" s="1" t="s">
        <v>989</v>
      </c>
      <c r="I2499" s="1">
        <v>90278.0</v>
      </c>
      <c r="J2499" s="1" t="s">
        <v>752</v>
      </c>
      <c r="K2499" s="1" t="s">
        <v>2131</v>
      </c>
      <c r="L2499" s="1" t="s">
        <v>5767</v>
      </c>
      <c r="M2499" s="1">
        <v>1.0</v>
      </c>
      <c r="N2499" s="1" t="s">
        <v>1152</v>
      </c>
      <c r="O2499" s="3" t="s">
        <v>11811</v>
      </c>
      <c r="P2499" s="1" t="s">
        <v>1152</v>
      </c>
      <c r="Q2499" s="1" t="s">
        <v>1152</v>
      </c>
      <c r="R2499" s="1"/>
      <c r="S2499" s="1"/>
      <c r="T2499" s="1" t="s">
        <v>1152</v>
      </c>
      <c r="U2499" s="1" t="s">
        <v>1174</v>
      </c>
      <c r="V2499" s="4" t="s">
        <v>11811</v>
      </c>
      <c r="W2499" s="1"/>
      <c r="X2499" s="1" t="s">
        <v>1152</v>
      </c>
      <c r="Y2499" s="1" t="s">
        <v>1152</v>
      </c>
      <c r="Z2499" s="1"/>
      <c r="AA2499" s="1"/>
      <c r="AB2499" s="1"/>
      <c r="AC2499" s="1" t="s">
        <v>1925</v>
      </c>
      <c r="AD2499" s="1"/>
      <c r="AE2499" s="18">
        <v>46148.0</v>
      </c>
      <c r="AF2499" s="1"/>
      <c r="AG2499" s="1"/>
      <c r="AH2499" s="1" t="s">
        <v>1152</v>
      </c>
      <c r="AI2499" s="1" t="s">
        <v>1152</v>
      </c>
      <c r="AJ2499" s="1" t="s">
        <v>5107</v>
      </c>
      <c r="AK2499" s="1" t="s">
        <v>1152</v>
      </c>
      <c r="AL2499" s="6"/>
      <c r="AM2499" s="12">
        <v>2.133082438E9</v>
      </c>
    </row>
    <row r="2500">
      <c r="A2500" s="5" t="s">
        <v>11812</v>
      </c>
      <c r="B2500" s="1" t="s">
        <v>11813</v>
      </c>
      <c r="C2500" s="1" t="s">
        <v>3060</v>
      </c>
      <c r="D2500" s="2">
        <v>3.025881466E9</v>
      </c>
      <c r="E2500" s="1" t="s">
        <v>5567</v>
      </c>
      <c r="F2500" s="1"/>
      <c r="G2500" s="1" t="s">
        <v>3830</v>
      </c>
      <c r="H2500" s="1" t="s">
        <v>3063</v>
      </c>
      <c r="I2500" s="1">
        <v>19807.0</v>
      </c>
      <c r="J2500" s="1" t="s">
        <v>752</v>
      </c>
      <c r="K2500" s="1" t="s">
        <v>2131</v>
      </c>
      <c r="L2500" s="1" t="s">
        <v>5767</v>
      </c>
      <c r="M2500" s="1">
        <v>1.0</v>
      </c>
      <c r="N2500" s="1" t="s">
        <v>1152</v>
      </c>
      <c r="O2500" s="3" t="s">
        <v>3064</v>
      </c>
      <c r="P2500" s="1" t="s">
        <v>1152</v>
      </c>
      <c r="Q2500" s="1" t="s">
        <v>1152</v>
      </c>
      <c r="R2500" s="1"/>
      <c r="S2500" s="1"/>
      <c r="T2500" s="1" t="s">
        <v>1152</v>
      </c>
      <c r="U2500" s="1" t="s">
        <v>1441</v>
      </c>
      <c r="V2500" s="4" t="s">
        <v>3064</v>
      </c>
      <c r="W2500" s="1"/>
      <c r="X2500" s="1" t="s">
        <v>1152</v>
      </c>
      <c r="Y2500" s="1" t="s">
        <v>1152</v>
      </c>
      <c r="Z2500" s="1"/>
      <c r="AA2500" s="1"/>
      <c r="AB2500" s="1"/>
      <c r="AC2500" s="1" t="s">
        <v>1925</v>
      </c>
      <c r="AD2500" s="1"/>
      <c r="AE2500" s="18">
        <v>46148.0</v>
      </c>
      <c r="AF2500" s="1"/>
      <c r="AG2500" s="1"/>
      <c r="AH2500" s="1" t="s">
        <v>1152</v>
      </c>
      <c r="AI2500" s="1" t="s">
        <v>1152</v>
      </c>
      <c r="AJ2500" s="1" t="s">
        <v>3061</v>
      </c>
      <c r="AK2500" s="1" t="s">
        <v>1152</v>
      </c>
      <c r="AL2500" s="6"/>
      <c r="AM2500" s="12">
        <v>3.025881466E9</v>
      </c>
    </row>
    <row r="2501">
      <c r="A2501" s="5" t="s">
        <v>11814</v>
      </c>
      <c r="B2501" s="1" t="s">
        <v>11815</v>
      </c>
      <c r="C2501" s="1" t="s">
        <v>218</v>
      </c>
      <c r="D2501" s="2">
        <v>4.043457378E9</v>
      </c>
      <c r="E2501" s="1" t="s">
        <v>220</v>
      </c>
      <c r="F2501" s="1"/>
      <c r="G2501" s="1" t="s">
        <v>2179</v>
      </c>
      <c r="H2501" s="1" t="s">
        <v>946</v>
      </c>
      <c r="I2501" s="1">
        <v>30327.0</v>
      </c>
      <c r="J2501" s="1" t="s">
        <v>752</v>
      </c>
      <c r="K2501" s="1" t="s">
        <v>2131</v>
      </c>
      <c r="L2501" s="1" t="s">
        <v>5767</v>
      </c>
      <c r="M2501" s="1">
        <v>1.0</v>
      </c>
      <c r="N2501" s="1" t="s">
        <v>1152</v>
      </c>
      <c r="O2501" s="3" t="s">
        <v>8458</v>
      </c>
      <c r="P2501" s="1" t="s">
        <v>1152</v>
      </c>
      <c r="Q2501" s="1" t="s">
        <v>1152</v>
      </c>
      <c r="R2501" s="1"/>
      <c r="S2501" s="1"/>
      <c r="T2501" s="1" t="s">
        <v>1152</v>
      </c>
      <c r="U2501" s="1" t="s">
        <v>1021</v>
      </c>
      <c r="V2501" s="4" t="s">
        <v>8458</v>
      </c>
      <c r="W2501" s="1"/>
      <c r="X2501" s="1" t="s">
        <v>1152</v>
      </c>
      <c r="Y2501" s="1" t="s">
        <v>1152</v>
      </c>
      <c r="Z2501" s="1"/>
      <c r="AA2501" s="1"/>
      <c r="AB2501" s="1"/>
      <c r="AC2501" s="1" t="s">
        <v>1925</v>
      </c>
      <c r="AD2501" s="1"/>
      <c r="AE2501" s="18">
        <v>46146.0</v>
      </c>
      <c r="AF2501" s="1"/>
      <c r="AG2501" s="1"/>
      <c r="AH2501" s="1" t="s">
        <v>1152</v>
      </c>
      <c r="AI2501" s="1" t="s">
        <v>1152</v>
      </c>
      <c r="AJ2501" s="1" t="s">
        <v>220</v>
      </c>
      <c r="AK2501" s="1" t="s">
        <v>1152</v>
      </c>
      <c r="AL2501" s="6"/>
      <c r="AM2501" s="12">
        <v>4.043457378E9</v>
      </c>
    </row>
    <row r="2502">
      <c r="A2502" s="5" t="s">
        <v>11816</v>
      </c>
      <c r="B2502" s="1" t="s">
        <v>11817</v>
      </c>
      <c r="C2502" s="1" t="s">
        <v>11589</v>
      </c>
      <c r="D2502" s="2">
        <v>7.7066832E9</v>
      </c>
      <c r="E2502" s="1" t="s">
        <v>6479</v>
      </c>
      <c r="F2502" s="1"/>
      <c r="G2502" s="1" t="s">
        <v>5141</v>
      </c>
      <c r="H2502" s="1" t="s">
        <v>946</v>
      </c>
      <c r="I2502" s="1">
        <v>30082.0</v>
      </c>
      <c r="J2502" s="1" t="s">
        <v>752</v>
      </c>
      <c r="K2502" s="1" t="s">
        <v>2131</v>
      </c>
      <c r="L2502" s="1" t="s">
        <v>5811</v>
      </c>
      <c r="M2502" s="1">
        <v>1.0</v>
      </c>
      <c r="N2502" s="1" t="s">
        <v>1152</v>
      </c>
      <c r="O2502" s="3" t="s">
        <v>4814</v>
      </c>
      <c r="P2502" s="1" t="s">
        <v>1152</v>
      </c>
      <c r="Q2502" s="1" t="s">
        <v>1152</v>
      </c>
      <c r="R2502" s="1"/>
      <c r="S2502" s="1"/>
      <c r="T2502" s="1" t="s">
        <v>1152</v>
      </c>
      <c r="U2502" s="1" t="s">
        <v>982</v>
      </c>
      <c r="V2502" s="4" t="s">
        <v>4814</v>
      </c>
      <c r="W2502" s="1"/>
      <c r="X2502" s="1" t="s">
        <v>1152</v>
      </c>
      <c r="Y2502" s="1" t="s">
        <v>1152</v>
      </c>
      <c r="Z2502" s="1"/>
      <c r="AA2502" s="1"/>
      <c r="AB2502" s="1"/>
      <c r="AC2502" s="1" t="s">
        <v>1925</v>
      </c>
      <c r="AD2502" s="1"/>
      <c r="AE2502" s="18">
        <v>46146.0</v>
      </c>
      <c r="AF2502" s="1"/>
      <c r="AG2502" s="1"/>
      <c r="AH2502" s="1" t="s">
        <v>1152</v>
      </c>
      <c r="AI2502" s="1" t="s">
        <v>1152</v>
      </c>
      <c r="AJ2502" s="1" t="s">
        <v>11818</v>
      </c>
      <c r="AK2502" s="1" t="s">
        <v>1152</v>
      </c>
      <c r="AL2502" s="6"/>
      <c r="AM2502" s="12">
        <v>7.7066832E9</v>
      </c>
    </row>
    <row r="2503">
      <c r="A2503" s="5" t="s">
        <v>11819</v>
      </c>
      <c r="B2503" s="1" t="s">
        <v>11820</v>
      </c>
      <c r="C2503" s="1" t="s">
        <v>11821</v>
      </c>
      <c r="D2503" s="2">
        <v>6.143772829E9</v>
      </c>
      <c r="E2503" s="1" t="s">
        <v>11822</v>
      </c>
      <c r="F2503" s="1"/>
      <c r="G2503" s="1" t="s">
        <v>11823</v>
      </c>
      <c r="H2503" s="1" t="s">
        <v>2171</v>
      </c>
      <c r="I2503" s="1">
        <v>43220.0</v>
      </c>
      <c r="J2503" s="1" t="s">
        <v>752</v>
      </c>
      <c r="K2503" s="1" t="s">
        <v>2131</v>
      </c>
      <c r="L2503" s="1" t="s">
        <v>5811</v>
      </c>
      <c r="M2503" s="1">
        <v>1.0</v>
      </c>
      <c r="N2503" s="1" t="s">
        <v>1152</v>
      </c>
      <c r="O2503" s="3" t="s">
        <v>4707</v>
      </c>
      <c r="P2503" s="1" t="s">
        <v>1152</v>
      </c>
      <c r="Q2503" s="1" t="s">
        <v>1152</v>
      </c>
      <c r="R2503" s="1"/>
      <c r="S2503" s="1"/>
      <c r="T2503" s="1" t="s">
        <v>1152</v>
      </c>
      <c r="U2503" s="1" t="s">
        <v>1407</v>
      </c>
      <c r="V2503" s="4" t="s">
        <v>4707</v>
      </c>
      <c r="W2503" s="1"/>
      <c r="X2503" s="1" t="s">
        <v>1152</v>
      </c>
      <c r="Y2503" s="1" t="s">
        <v>1152</v>
      </c>
      <c r="Z2503" s="1"/>
      <c r="AA2503" s="1"/>
      <c r="AB2503" s="1"/>
      <c r="AC2503" s="1" t="s">
        <v>1925</v>
      </c>
      <c r="AD2503" s="1"/>
      <c r="AE2503" s="18">
        <v>46149.0</v>
      </c>
      <c r="AF2503" s="1"/>
      <c r="AG2503" s="1"/>
      <c r="AH2503" s="1" t="s">
        <v>1152</v>
      </c>
      <c r="AI2503" s="1" t="s">
        <v>1152</v>
      </c>
      <c r="AJ2503" s="1" t="s">
        <v>11824</v>
      </c>
      <c r="AK2503" s="1" t="s">
        <v>1152</v>
      </c>
      <c r="AL2503" s="6"/>
      <c r="AM2503" s="12">
        <v>6.143772829E9</v>
      </c>
    </row>
    <row r="2504">
      <c r="A2504" s="5" t="s">
        <v>11825</v>
      </c>
      <c r="B2504" s="1" t="s">
        <v>11826</v>
      </c>
      <c r="C2504" s="1" t="s">
        <v>11827</v>
      </c>
      <c r="D2504" s="2">
        <v>6.692044959E9</v>
      </c>
      <c r="E2504" s="1" t="s">
        <v>11828</v>
      </c>
      <c r="F2504" s="1"/>
      <c r="G2504" s="1" t="s">
        <v>2350</v>
      </c>
      <c r="H2504" s="1" t="s">
        <v>1155</v>
      </c>
      <c r="I2504" s="1">
        <v>63105.0</v>
      </c>
      <c r="J2504" s="1" t="s">
        <v>752</v>
      </c>
      <c r="K2504" s="1" t="s">
        <v>42</v>
      </c>
      <c r="L2504" s="1" t="s">
        <v>6819</v>
      </c>
      <c r="M2504" s="1">
        <v>49.0</v>
      </c>
      <c r="N2504" s="1" t="s">
        <v>1152</v>
      </c>
      <c r="O2504" s="3" t="s">
        <v>9102</v>
      </c>
      <c r="P2504" s="1" t="s">
        <v>1152</v>
      </c>
      <c r="Q2504" s="1" t="s">
        <v>1152</v>
      </c>
      <c r="R2504" s="1"/>
      <c r="S2504" s="1"/>
      <c r="T2504" s="1" t="s">
        <v>1152</v>
      </c>
      <c r="U2504" s="1" t="s">
        <v>1174</v>
      </c>
      <c r="V2504" s="4" t="s">
        <v>9102</v>
      </c>
      <c r="W2504" s="1"/>
      <c r="X2504" s="1" t="s">
        <v>1152</v>
      </c>
      <c r="Y2504" s="1" t="s">
        <v>1152</v>
      </c>
      <c r="Z2504" s="1"/>
      <c r="AA2504" s="1"/>
      <c r="AB2504" s="1"/>
      <c r="AC2504" s="1" t="s">
        <v>1925</v>
      </c>
      <c r="AD2504" s="1"/>
      <c r="AE2504" s="18">
        <v>46148.0</v>
      </c>
      <c r="AF2504" s="1" t="s">
        <v>1455</v>
      </c>
      <c r="AG2504" s="1" t="s">
        <v>52</v>
      </c>
      <c r="AH2504" s="1" t="s">
        <v>1152</v>
      </c>
      <c r="AI2504" s="1" t="s">
        <v>1152</v>
      </c>
      <c r="AJ2504" s="1" t="s">
        <v>11828</v>
      </c>
      <c r="AK2504" s="1" t="s">
        <v>1152</v>
      </c>
      <c r="AL2504" s="6"/>
      <c r="AM2504" s="12">
        <v>6.692044959E9</v>
      </c>
    </row>
    <row r="2505">
      <c r="A2505" s="5" t="s">
        <v>11829</v>
      </c>
      <c r="B2505" s="1" t="s">
        <v>11830</v>
      </c>
      <c r="C2505" s="1" t="s">
        <v>11831</v>
      </c>
      <c r="D2505" s="2">
        <v>3.104635735E9</v>
      </c>
      <c r="E2505" s="1" t="s">
        <v>6451</v>
      </c>
      <c r="F2505" s="1" t="s">
        <v>11832</v>
      </c>
      <c r="G2505" s="1" t="s">
        <v>1283</v>
      </c>
      <c r="H2505" s="1" t="s">
        <v>1155</v>
      </c>
      <c r="I2505" s="1">
        <v>63130.0</v>
      </c>
      <c r="J2505" s="1" t="s">
        <v>752</v>
      </c>
      <c r="K2505" s="1" t="s">
        <v>892</v>
      </c>
      <c r="L2505" s="1" t="s">
        <v>8006</v>
      </c>
      <c r="M2505" s="1">
        <v>49.0</v>
      </c>
      <c r="N2505" s="1" t="s">
        <v>1152</v>
      </c>
      <c r="O2505" s="3"/>
      <c r="P2505" s="1" t="s">
        <v>1152</v>
      </c>
      <c r="Q2505" s="1" t="s">
        <v>1152</v>
      </c>
      <c r="R2505" s="1" t="s">
        <v>11832</v>
      </c>
      <c r="S2505" s="1"/>
      <c r="T2505" s="1" t="s">
        <v>1152</v>
      </c>
      <c r="U2505" s="1"/>
      <c r="V2505" s="4"/>
      <c r="W2505" s="1" t="s">
        <v>11832</v>
      </c>
      <c r="X2505" s="1" t="s">
        <v>1152</v>
      </c>
      <c r="Y2505" s="1" t="s">
        <v>1152</v>
      </c>
      <c r="Z2505" s="1"/>
      <c r="AA2505" s="1" t="s">
        <v>11832</v>
      </c>
      <c r="AB2505" s="1"/>
      <c r="AC2505" s="1" t="s">
        <v>1925</v>
      </c>
      <c r="AD2505" s="1"/>
      <c r="AE2505" s="18">
        <v>46160.0</v>
      </c>
      <c r="AF2505" s="1" t="s">
        <v>1440</v>
      </c>
      <c r="AG2505" s="1" t="s">
        <v>124</v>
      </c>
      <c r="AH2505" s="1" t="s">
        <v>11833</v>
      </c>
      <c r="AI2505" s="1" t="s">
        <v>1152</v>
      </c>
      <c r="AJ2505" s="1" t="s">
        <v>6451</v>
      </c>
      <c r="AK2505" s="1" t="s">
        <v>1152</v>
      </c>
      <c r="AL2505" s="6"/>
      <c r="AM2505" s="12">
        <v>3.104635735E9</v>
      </c>
    </row>
    <row r="2506">
      <c r="A2506" s="5" t="s">
        <v>11834</v>
      </c>
      <c r="B2506" s="1" t="s">
        <v>11835</v>
      </c>
      <c r="C2506" s="1" t="s">
        <v>11836</v>
      </c>
      <c r="D2506" s="2">
        <v>8.566694627E9</v>
      </c>
      <c r="E2506" s="1" t="s">
        <v>11837</v>
      </c>
      <c r="F2506" s="1"/>
      <c r="G2506" s="1" t="s">
        <v>11838</v>
      </c>
      <c r="H2506" s="1" t="s">
        <v>1053</v>
      </c>
      <c r="I2506" s="1">
        <v>8003.0</v>
      </c>
      <c r="J2506" s="1" t="s">
        <v>752</v>
      </c>
      <c r="K2506" s="1" t="s">
        <v>75</v>
      </c>
      <c r="L2506" s="1" t="s">
        <v>11839</v>
      </c>
      <c r="M2506" s="1">
        <v>79.0</v>
      </c>
      <c r="N2506" s="1" t="s">
        <v>2461</v>
      </c>
      <c r="O2506" s="3" t="s">
        <v>103</v>
      </c>
      <c r="P2506" s="18">
        <v>46248.0</v>
      </c>
      <c r="Q2506" s="1" t="s">
        <v>1152</v>
      </c>
      <c r="R2506" s="1"/>
      <c r="S2506" s="1" t="s">
        <v>52</v>
      </c>
      <c r="T2506" s="1" t="s">
        <v>2461</v>
      </c>
      <c r="U2506" s="1" t="s">
        <v>102</v>
      </c>
      <c r="V2506" s="4" t="s">
        <v>103</v>
      </c>
      <c r="W2506" s="1"/>
      <c r="X2506" s="18">
        <v>46248.0</v>
      </c>
      <c r="Y2506" s="1" t="s">
        <v>1152</v>
      </c>
      <c r="Z2506" s="1"/>
      <c r="AA2506" s="1"/>
      <c r="AB2506" s="1" t="s">
        <v>52</v>
      </c>
      <c r="AC2506" s="1" t="s">
        <v>1925</v>
      </c>
      <c r="AD2506" s="1" t="s">
        <v>11840</v>
      </c>
      <c r="AE2506" s="1" t="s">
        <v>1152</v>
      </c>
      <c r="AF2506" s="1"/>
      <c r="AG2506" s="1"/>
      <c r="AH2506" s="1" t="s">
        <v>1152</v>
      </c>
      <c r="AI2506" s="1" t="s">
        <v>11841</v>
      </c>
      <c r="AJ2506" s="1" t="s">
        <v>11842</v>
      </c>
      <c r="AK2506" s="1" t="s">
        <v>1152</v>
      </c>
      <c r="AL2506" s="6"/>
      <c r="AM2506" s="12">
        <v>8.562986297E9</v>
      </c>
    </row>
    <row r="2507">
      <c r="A2507" s="5" t="s">
        <v>11843</v>
      </c>
      <c r="B2507" s="1" t="s">
        <v>11844</v>
      </c>
      <c r="C2507" s="1" t="s">
        <v>6675</v>
      </c>
      <c r="D2507" s="2">
        <v>9.735293695E9</v>
      </c>
      <c r="E2507" s="1" t="s">
        <v>6678</v>
      </c>
      <c r="F2507" s="1"/>
      <c r="G2507" s="1" t="s">
        <v>1360</v>
      </c>
      <c r="H2507" s="1" t="s">
        <v>1053</v>
      </c>
      <c r="I2507" s="1">
        <v>7020.0</v>
      </c>
      <c r="J2507" s="1" t="s">
        <v>752</v>
      </c>
      <c r="K2507" s="1" t="s">
        <v>2131</v>
      </c>
      <c r="L2507" s="1" t="s">
        <v>5811</v>
      </c>
      <c r="M2507" s="1">
        <v>1.0</v>
      </c>
      <c r="N2507" s="1" t="s">
        <v>1152</v>
      </c>
      <c r="O2507" s="3" t="s">
        <v>11845</v>
      </c>
      <c r="P2507" s="1" t="s">
        <v>1152</v>
      </c>
      <c r="Q2507" s="1" t="s">
        <v>1152</v>
      </c>
      <c r="R2507" s="1"/>
      <c r="S2507" s="1"/>
      <c r="T2507" s="1" t="s">
        <v>1152</v>
      </c>
      <c r="U2507" s="1" t="s">
        <v>948</v>
      </c>
      <c r="V2507" s="4" t="s">
        <v>11845</v>
      </c>
      <c r="W2507" s="1"/>
      <c r="X2507" s="1" t="s">
        <v>1152</v>
      </c>
      <c r="Y2507" s="1" t="s">
        <v>1152</v>
      </c>
      <c r="Z2507" s="1"/>
      <c r="AA2507" s="1"/>
      <c r="AB2507" s="1"/>
      <c r="AC2507" s="1" t="s">
        <v>1925</v>
      </c>
      <c r="AD2507" s="1"/>
      <c r="AE2507" s="18">
        <v>46147.0</v>
      </c>
      <c r="AF2507" s="1"/>
      <c r="AG2507" s="1"/>
      <c r="AH2507" s="1" t="s">
        <v>1152</v>
      </c>
      <c r="AI2507" s="1" t="s">
        <v>1152</v>
      </c>
      <c r="AJ2507" s="1" t="s">
        <v>6678</v>
      </c>
      <c r="AK2507" s="1" t="s">
        <v>1152</v>
      </c>
      <c r="AL2507" s="6"/>
      <c r="AM2507" s="12">
        <v>9.735293695E9</v>
      </c>
    </row>
    <row r="2508">
      <c r="A2508" s="5" t="s">
        <v>11846</v>
      </c>
      <c r="B2508" s="1" t="s">
        <v>11847</v>
      </c>
      <c r="C2508" s="1" t="s">
        <v>10246</v>
      </c>
      <c r="D2508" s="2">
        <v>9.179712001E9</v>
      </c>
      <c r="E2508" s="1" t="s">
        <v>2434</v>
      </c>
      <c r="F2508" s="1"/>
      <c r="G2508" s="1" t="s">
        <v>2435</v>
      </c>
      <c r="H2508" s="1" t="s">
        <v>751</v>
      </c>
      <c r="I2508" s="1">
        <v>10514.0</v>
      </c>
      <c r="J2508" s="1" t="s">
        <v>752</v>
      </c>
      <c r="K2508" s="1" t="s">
        <v>2131</v>
      </c>
      <c r="L2508" s="1" t="s">
        <v>5767</v>
      </c>
      <c r="M2508" s="1">
        <v>1.0</v>
      </c>
      <c r="N2508" s="1" t="s">
        <v>1152</v>
      </c>
      <c r="O2508" s="3" t="s">
        <v>2436</v>
      </c>
      <c r="P2508" s="1" t="s">
        <v>1152</v>
      </c>
      <c r="Q2508" s="1" t="s">
        <v>1152</v>
      </c>
      <c r="R2508" s="1"/>
      <c r="S2508" s="1"/>
      <c r="T2508" s="1" t="s">
        <v>1152</v>
      </c>
      <c r="U2508" s="1" t="s">
        <v>3756</v>
      </c>
      <c r="V2508" s="4" t="s">
        <v>2436</v>
      </c>
      <c r="W2508" s="1"/>
      <c r="X2508" s="1" t="s">
        <v>1152</v>
      </c>
      <c r="Y2508" s="1" t="s">
        <v>1152</v>
      </c>
      <c r="Z2508" s="1"/>
      <c r="AA2508" s="1"/>
      <c r="AB2508" s="1"/>
      <c r="AC2508" s="1" t="s">
        <v>1925</v>
      </c>
      <c r="AD2508" s="1"/>
      <c r="AE2508" s="18">
        <v>46146.0</v>
      </c>
      <c r="AF2508" s="1"/>
      <c r="AG2508" s="1"/>
      <c r="AH2508" s="1" t="s">
        <v>1152</v>
      </c>
      <c r="AI2508" s="1" t="s">
        <v>1152</v>
      </c>
      <c r="AJ2508" s="1" t="s">
        <v>11848</v>
      </c>
      <c r="AK2508" s="1" t="s">
        <v>1152</v>
      </c>
      <c r="AL2508" s="6"/>
      <c r="AM2508" s="12">
        <v>9.179711937E9</v>
      </c>
    </row>
    <row r="2509">
      <c r="A2509" s="5" t="s">
        <v>11849</v>
      </c>
      <c r="B2509" s="1" t="s">
        <v>11850</v>
      </c>
      <c r="C2509" s="1" t="s">
        <v>11851</v>
      </c>
      <c r="D2509" s="2">
        <v>6.503859175E9</v>
      </c>
      <c r="E2509" s="1" t="s">
        <v>6998</v>
      </c>
      <c r="F2509" s="1"/>
      <c r="G2509" s="1" t="s">
        <v>6996</v>
      </c>
      <c r="H2509" s="1" t="s">
        <v>989</v>
      </c>
      <c r="I2509" s="1">
        <v>94070.0</v>
      </c>
      <c r="J2509" s="1" t="s">
        <v>752</v>
      </c>
      <c r="K2509" s="1" t="s">
        <v>42</v>
      </c>
      <c r="L2509" s="1" t="s">
        <v>6819</v>
      </c>
      <c r="M2509" s="1">
        <v>49.0</v>
      </c>
      <c r="N2509" s="1" t="s">
        <v>1152</v>
      </c>
      <c r="O2509" s="3" t="s">
        <v>11852</v>
      </c>
      <c r="P2509" s="1" t="s">
        <v>1152</v>
      </c>
      <c r="Q2509" s="1" t="s">
        <v>1152</v>
      </c>
      <c r="R2509" s="1"/>
      <c r="S2509" s="1"/>
      <c r="T2509" s="1" t="s">
        <v>1152</v>
      </c>
      <c r="U2509" s="1" t="s">
        <v>1201</v>
      </c>
      <c r="V2509" s="4" t="s">
        <v>11852</v>
      </c>
      <c r="W2509" s="1"/>
      <c r="X2509" s="1" t="s">
        <v>1152</v>
      </c>
      <c r="Y2509" s="1" t="s">
        <v>1152</v>
      </c>
      <c r="Z2509" s="1"/>
      <c r="AA2509" s="1"/>
      <c r="AB2509" s="1"/>
      <c r="AC2509" s="1" t="s">
        <v>1925</v>
      </c>
      <c r="AD2509" s="1"/>
      <c r="AE2509" s="18">
        <v>46149.0</v>
      </c>
      <c r="AF2509" s="1" t="s">
        <v>1630</v>
      </c>
      <c r="AG2509" s="1" t="s">
        <v>52</v>
      </c>
      <c r="AH2509" s="1" t="s">
        <v>1152</v>
      </c>
      <c r="AI2509" s="1" t="s">
        <v>1152</v>
      </c>
      <c r="AJ2509" s="1" t="s">
        <v>6998</v>
      </c>
      <c r="AK2509" s="1" t="s">
        <v>1152</v>
      </c>
      <c r="AL2509" s="6"/>
      <c r="AM2509" s="12">
        <v>6.503859175E9</v>
      </c>
    </row>
    <row r="2510">
      <c r="A2510" s="5" t="s">
        <v>11853</v>
      </c>
      <c r="B2510" s="1" t="s">
        <v>11854</v>
      </c>
      <c r="C2510" s="1" t="s">
        <v>1504</v>
      </c>
      <c r="D2510" s="2">
        <v>5.033604485E9</v>
      </c>
      <c r="E2510" s="1" t="s">
        <v>11855</v>
      </c>
      <c r="F2510" s="1"/>
      <c r="G2510" s="1" t="s">
        <v>1421</v>
      </c>
      <c r="H2510" s="1" t="s">
        <v>1422</v>
      </c>
      <c r="I2510" s="1" t="s">
        <v>11856</v>
      </c>
      <c r="J2510" s="1" t="s">
        <v>752</v>
      </c>
      <c r="K2510" s="1" t="s">
        <v>2131</v>
      </c>
      <c r="L2510" s="1" t="s">
        <v>5767</v>
      </c>
      <c r="M2510" s="1">
        <v>1.0</v>
      </c>
      <c r="N2510" s="1" t="s">
        <v>1152</v>
      </c>
      <c r="O2510" s="3" t="s">
        <v>1362</v>
      </c>
      <c r="P2510" s="1" t="s">
        <v>1152</v>
      </c>
      <c r="Q2510" s="1" t="s">
        <v>1152</v>
      </c>
      <c r="R2510" s="1"/>
      <c r="S2510" s="1"/>
      <c r="T2510" s="1" t="s">
        <v>1152</v>
      </c>
      <c r="U2510" s="1" t="s">
        <v>11180</v>
      </c>
      <c r="V2510" s="4" t="s">
        <v>1362</v>
      </c>
      <c r="W2510" s="1"/>
      <c r="X2510" s="1" t="s">
        <v>1152</v>
      </c>
      <c r="Y2510" s="1" t="s">
        <v>1152</v>
      </c>
      <c r="Z2510" s="1"/>
      <c r="AA2510" s="1"/>
      <c r="AB2510" s="1"/>
      <c r="AC2510" s="1" t="s">
        <v>1925</v>
      </c>
      <c r="AD2510" s="1"/>
      <c r="AE2510" s="18">
        <v>46146.0</v>
      </c>
      <c r="AF2510" s="1"/>
      <c r="AG2510" s="1"/>
      <c r="AH2510" s="1" t="s">
        <v>1152</v>
      </c>
      <c r="AI2510" s="1" t="s">
        <v>1152</v>
      </c>
      <c r="AJ2510" s="1" t="s">
        <v>7729</v>
      </c>
      <c r="AK2510" s="1" t="s">
        <v>1152</v>
      </c>
      <c r="AL2510" s="6"/>
      <c r="AM2510" s="12">
        <v>9.712501191E9</v>
      </c>
    </row>
    <row r="2511">
      <c r="A2511" s="5" t="s">
        <v>11857</v>
      </c>
      <c r="B2511" s="1" t="s">
        <v>11858</v>
      </c>
      <c r="C2511" s="1" t="s">
        <v>11859</v>
      </c>
      <c r="D2511" s="2">
        <v>3.393689013E9</v>
      </c>
      <c r="E2511" s="1" t="s">
        <v>11860</v>
      </c>
      <c r="F2511" s="1"/>
      <c r="G2511" s="1" t="s">
        <v>2056</v>
      </c>
      <c r="H2511" s="1" t="s">
        <v>1121</v>
      </c>
      <c r="I2511" s="1">
        <v>2421.0</v>
      </c>
      <c r="J2511" s="1" t="s">
        <v>752</v>
      </c>
      <c r="K2511" s="1" t="s">
        <v>2131</v>
      </c>
      <c r="L2511" s="1" t="s">
        <v>5736</v>
      </c>
      <c r="M2511" s="1">
        <v>1.0</v>
      </c>
      <c r="N2511" s="1" t="s">
        <v>1152</v>
      </c>
      <c r="O2511" s="3" t="s">
        <v>11861</v>
      </c>
      <c r="P2511" s="1" t="s">
        <v>1152</v>
      </c>
      <c r="Q2511" s="1" t="s">
        <v>1152</v>
      </c>
      <c r="R2511" s="1"/>
      <c r="S2511" s="1"/>
      <c r="T2511" s="1" t="s">
        <v>1152</v>
      </c>
      <c r="U2511" s="1" t="s">
        <v>956</v>
      </c>
      <c r="V2511" s="4" t="s">
        <v>11861</v>
      </c>
      <c r="W2511" s="1"/>
      <c r="X2511" s="1" t="s">
        <v>1152</v>
      </c>
      <c r="Y2511" s="1" t="s">
        <v>1152</v>
      </c>
      <c r="Z2511" s="1"/>
      <c r="AA2511" s="1"/>
      <c r="AB2511" s="1"/>
      <c r="AC2511" s="1" t="s">
        <v>1925</v>
      </c>
      <c r="AD2511" s="1"/>
      <c r="AE2511" s="18">
        <v>46146.0</v>
      </c>
      <c r="AF2511" s="1"/>
      <c r="AG2511" s="1"/>
      <c r="AH2511" s="1" t="s">
        <v>1152</v>
      </c>
      <c r="AI2511" s="1" t="s">
        <v>1152</v>
      </c>
      <c r="AJ2511" s="1" t="s">
        <v>11860</v>
      </c>
      <c r="AK2511" s="1" t="s">
        <v>1152</v>
      </c>
      <c r="AL2511" s="6"/>
      <c r="AM2511" s="12">
        <v>3.393689013E9</v>
      </c>
    </row>
    <row r="2512">
      <c r="A2512" s="5" t="s">
        <v>11862</v>
      </c>
      <c r="B2512" s="1" t="s">
        <v>11863</v>
      </c>
      <c r="C2512" s="1" t="s">
        <v>650</v>
      </c>
      <c r="D2512" s="2">
        <v>5.084146973E9</v>
      </c>
      <c r="E2512" s="1" t="s">
        <v>11864</v>
      </c>
      <c r="F2512" s="1"/>
      <c r="G2512" s="1" t="s">
        <v>11865</v>
      </c>
      <c r="H2512" s="1" t="s">
        <v>1121</v>
      </c>
      <c r="I2512" s="1">
        <v>1545.0</v>
      </c>
      <c r="J2512" s="1" t="s">
        <v>752</v>
      </c>
      <c r="K2512" s="1" t="s">
        <v>2131</v>
      </c>
      <c r="L2512" s="1" t="s">
        <v>6107</v>
      </c>
      <c r="M2512" s="1">
        <v>1.0</v>
      </c>
      <c r="N2512" s="1" t="s">
        <v>1152</v>
      </c>
      <c r="O2512" s="3" t="s">
        <v>11866</v>
      </c>
      <c r="P2512" s="1" t="s">
        <v>1152</v>
      </c>
      <c r="Q2512" s="1" t="s">
        <v>1152</v>
      </c>
      <c r="R2512" s="1"/>
      <c r="S2512" s="1"/>
      <c r="T2512" s="1" t="s">
        <v>1152</v>
      </c>
      <c r="U2512" s="1" t="s">
        <v>1174</v>
      </c>
      <c r="V2512" s="4" t="s">
        <v>11866</v>
      </c>
      <c r="W2512" s="1"/>
      <c r="X2512" s="1" t="s">
        <v>1152</v>
      </c>
      <c r="Y2512" s="1" t="s">
        <v>1152</v>
      </c>
      <c r="Z2512" s="1"/>
      <c r="AA2512" s="1"/>
      <c r="AB2512" s="1"/>
      <c r="AC2512" s="1" t="s">
        <v>1925</v>
      </c>
      <c r="AD2512" s="1"/>
      <c r="AE2512" s="18">
        <v>46149.0</v>
      </c>
      <c r="AF2512" s="1"/>
      <c r="AG2512" s="1"/>
      <c r="AH2512" s="1" t="s">
        <v>1152</v>
      </c>
      <c r="AI2512" s="1" t="s">
        <v>1152</v>
      </c>
      <c r="AJ2512" s="1" t="s">
        <v>651</v>
      </c>
      <c r="AK2512" s="1" t="s">
        <v>1152</v>
      </c>
      <c r="AL2512" s="6"/>
      <c r="AM2512" s="12">
        <v>5.084146973E9</v>
      </c>
    </row>
    <row r="2513">
      <c r="A2513" s="5" t="s">
        <v>11867</v>
      </c>
      <c r="B2513" s="1" t="s">
        <v>11868</v>
      </c>
      <c r="C2513" s="1" t="s">
        <v>11869</v>
      </c>
      <c r="D2513" s="2">
        <v>6.175102879E9</v>
      </c>
      <c r="E2513" s="1" t="s">
        <v>11451</v>
      </c>
      <c r="F2513" s="1"/>
      <c r="G2513" s="1" t="s">
        <v>2625</v>
      </c>
      <c r="H2513" s="1" t="s">
        <v>1121</v>
      </c>
      <c r="I2513" s="1">
        <v>2492.0</v>
      </c>
      <c r="J2513" s="1" t="s">
        <v>752</v>
      </c>
      <c r="K2513" s="1" t="s">
        <v>2131</v>
      </c>
      <c r="L2513" s="1" t="s">
        <v>5811</v>
      </c>
      <c r="M2513" s="1">
        <v>1.0</v>
      </c>
      <c r="N2513" s="1" t="s">
        <v>1152</v>
      </c>
      <c r="O2513" s="3" t="s">
        <v>2697</v>
      </c>
      <c r="P2513" s="1" t="s">
        <v>1152</v>
      </c>
      <c r="Q2513" s="1" t="s">
        <v>1152</v>
      </c>
      <c r="R2513" s="1"/>
      <c r="S2513" s="1"/>
      <c r="T2513" s="1" t="s">
        <v>1152</v>
      </c>
      <c r="U2513" s="1" t="s">
        <v>2236</v>
      </c>
      <c r="V2513" s="4" t="s">
        <v>2697</v>
      </c>
      <c r="W2513" s="1"/>
      <c r="X2513" s="1" t="s">
        <v>1152</v>
      </c>
      <c r="Y2513" s="1" t="s">
        <v>1152</v>
      </c>
      <c r="Z2513" s="1"/>
      <c r="AA2513" s="1"/>
      <c r="AB2513" s="1"/>
      <c r="AC2513" s="1" t="s">
        <v>1925</v>
      </c>
      <c r="AD2513" s="1"/>
      <c r="AE2513" s="18">
        <v>46146.0</v>
      </c>
      <c r="AF2513" s="1"/>
      <c r="AG2513" s="1"/>
      <c r="AH2513" s="1" t="s">
        <v>1152</v>
      </c>
      <c r="AI2513" s="1" t="s">
        <v>1152</v>
      </c>
      <c r="AJ2513" s="1" t="s">
        <v>11451</v>
      </c>
      <c r="AK2513" s="1" t="s">
        <v>1152</v>
      </c>
      <c r="AL2513" s="6"/>
      <c r="AM2513" s="12">
        <v>6.175102879E9</v>
      </c>
    </row>
    <row r="2514">
      <c r="A2514" s="5" t="s">
        <v>11870</v>
      </c>
      <c r="B2514" s="1" t="s">
        <v>11871</v>
      </c>
      <c r="C2514" s="1" t="s">
        <v>7166</v>
      </c>
      <c r="D2514" s="2">
        <v>2.135980808E9</v>
      </c>
      <c r="E2514" s="1" t="s">
        <v>7167</v>
      </c>
      <c r="F2514" s="1"/>
      <c r="G2514" s="1" t="s">
        <v>7168</v>
      </c>
      <c r="H2514" s="1" t="s">
        <v>989</v>
      </c>
      <c r="I2514" s="1">
        <v>91214.0</v>
      </c>
      <c r="J2514" s="1" t="s">
        <v>752</v>
      </c>
      <c r="K2514" s="1" t="s">
        <v>42</v>
      </c>
      <c r="L2514" s="1" t="s">
        <v>6819</v>
      </c>
      <c r="M2514" s="1">
        <v>49.0</v>
      </c>
      <c r="N2514" s="1" t="s">
        <v>1152</v>
      </c>
      <c r="O2514" s="3" t="s">
        <v>3239</v>
      </c>
      <c r="P2514" s="1" t="s">
        <v>1152</v>
      </c>
      <c r="Q2514" s="1" t="s">
        <v>1152</v>
      </c>
      <c r="R2514" s="1"/>
      <c r="S2514" s="1"/>
      <c r="T2514" s="1" t="s">
        <v>1152</v>
      </c>
      <c r="U2514" s="1" t="s">
        <v>1812</v>
      </c>
      <c r="V2514" s="4" t="s">
        <v>3239</v>
      </c>
      <c r="W2514" s="1"/>
      <c r="X2514" s="1" t="s">
        <v>1152</v>
      </c>
      <c r="Y2514" s="1" t="s">
        <v>1152</v>
      </c>
      <c r="Z2514" s="1"/>
      <c r="AA2514" s="1"/>
      <c r="AB2514" s="1"/>
      <c r="AC2514" s="1" t="s">
        <v>1925</v>
      </c>
      <c r="AD2514" s="1"/>
      <c r="AE2514" s="18">
        <v>46147.0</v>
      </c>
      <c r="AF2514" s="1" t="s">
        <v>1030</v>
      </c>
      <c r="AG2514" s="1" t="s">
        <v>52</v>
      </c>
      <c r="AH2514" s="1" t="s">
        <v>1152</v>
      </c>
      <c r="AI2514" s="1" t="s">
        <v>1152</v>
      </c>
      <c r="AJ2514" s="1" t="s">
        <v>11872</v>
      </c>
      <c r="AK2514" s="1" t="s">
        <v>1152</v>
      </c>
      <c r="AL2514" s="6"/>
      <c r="AM2514" s="12">
        <v>2.133427979E9</v>
      </c>
    </row>
    <row r="2515">
      <c r="A2515" s="5" t="s">
        <v>11873</v>
      </c>
      <c r="B2515" s="1" t="s">
        <v>11874</v>
      </c>
      <c r="C2515" s="1" t="s">
        <v>11875</v>
      </c>
      <c r="D2515" s="2">
        <v>2.062578054E9</v>
      </c>
      <c r="E2515" s="1" t="s">
        <v>10368</v>
      </c>
      <c r="F2515" s="1"/>
      <c r="G2515" s="1" t="s">
        <v>1179</v>
      </c>
      <c r="H2515" s="1" t="s">
        <v>989</v>
      </c>
      <c r="I2515" s="1">
        <v>90027.0</v>
      </c>
      <c r="J2515" s="1" t="s">
        <v>752</v>
      </c>
      <c r="K2515" s="1" t="s">
        <v>2131</v>
      </c>
      <c r="L2515" s="1" t="s">
        <v>5767</v>
      </c>
      <c r="M2515" s="1">
        <v>1.0</v>
      </c>
      <c r="N2515" s="1" t="s">
        <v>1152</v>
      </c>
      <c r="O2515" s="3" t="s">
        <v>10367</v>
      </c>
      <c r="P2515" s="1" t="s">
        <v>1152</v>
      </c>
      <c r="Q2515" s="1" t="s">
        <v>1152</v>
      </c>
      <c r="R2515" s="1"/>
      <c r="S2515" s="1"/>
      <c r="T2515" s="1" t="s">
        <v>1152</v>
      </c>
      <c r="U2515" s="1" t="s">
        <v>1277</v>
      </c>
      <c r="V2515" s="4" t="s">
        <v>10367</v>
      </c>
      <c r="W2515" s="1"/>
      <c r="X2515" s="1" t="s">
        <v>1152</v>
      </c>
      <c r="Y2515" s="1" t="s">
        <v>1152</v>
      </c>
      <c r="Z2515" s="1"/>
      <c r="AA2515" s="1"/>
      <c r="AB2515" s="1"/>
      <c r="AC2515" s="1" t="s">
        <v>1925</v>
      </c>
      <c r="AD2515" s="1"/>
      <c r="AE2515" s="18">
        <v>46146.0</v>
      </c>
      <c r="AF2515" s="1"/>
      <c r="AG2515" s="1"/>
      <c r="AH2515" s="1" t="s">
        <v>1152</v>
      </c>
      <c r="AI2515" s="1" t="s">
        <v>1152</v>
      </c>
      <c r="AJ2515" s="1" t="s">
        <v>10368</v>
      </c>
      <c r="AK2515" s="1" t="s">
        <v>1152</v>
      </c>
      <c r="AL2515" s="6"/>
      <c r="AM2515" s="12">
        <v>2.062578054E9</v>
      </c>
    </row>
    <row r="2516">
      <c r="A2516" s="5" t="s">
        <v>11876</v>
      </c>
      <c r="B2516" s="1" t="s">
        <v>11877</v>
      </c>
      <c r="C2516" s="1" t="s">
        <v>11878</v>
      </c>
      <c r="D2516" s="2"/>
      <c r="E2516" s="1" t="s">
        <v>4984</v>
      </c>
      <c r="F2516" s="1"/>
      <c r="G2516" s="1" t="s">
        <v>2715</v>
      </c>
      <c r="H2516" s="1" t="s">
        <v>1583</v>
      </c>
      <c r="I2516" s="1">
        <v>75354.0</v>
      </c>
      <c r="J2516" s="1" t="s">
        <v>752</v>
      </c>
      <c r="K2516" s="1" t="s">
        <v>892</v>
      </c>
      <c r="L2516" s="1" t="s">
        <v>8006</v>
      </c>
      <c r="M2516" s="1">
        <v>49.0</v>
      </c>
      <c r="N2516" s="1" t="s">
        <v>1152</v>
      </c>
      <c r="O2516" s="3" t="s">
        <v>4985</v>
      </c>
      <c r="P2516" s="1" t="s">
        <v>1152</v>
      </c>
      <c r="Q2516" s="1" t="s">
        <v>1152</v>
      </c>
      <c r="R2516" s="1"/>
      <c r="S2516" s="1"/>
      <c r="T2516" s="1" t="s">
        <v>1152</v>
      </c>
      <c r="U2516" s="1" t="s">
        <v>1376</v>
      </c>
      <c r="V2516" s="4" t="s">
        <v>4985</v>
      </c>
      <c r="W2516" s="1"/>
      <c r="X2516" s="1" t="s">
        <v>1152</v>
      </c>
      <c r="Y2516" s="1" t="s">
        <v>1152</v>
      </c>
      <c r="Z2516" s="1"/>
      <c r="AA2516" s="1"/>
      <c r="AB2516" s="1"/>
      <c r="AC2516" s="1" t="s">
        <v>1925</v>
      </c>
      <c r="AD2516" s="1"/>
      <c r="AE2516" s="18">
        <v>46147.0</v>
      </c>
      <c r="AF2516" s="1" t="s">
        <v>1030</v>
      </c>
      <c r="AG2516" s="1" t="s">
        <v>52</v>
      </c>
      <c r="AH2516" s="1" t="s">
        <v>11879</v>
      </c>
      <c r="AI2516" s="1" t="s">
        <v>1152</v>
      </c>
      <c r="AJ2516" s="1" t="s">
        <v>11880</v>
      </c>
      <c r="AK2516" s="1" t="s">
        <v>1152</v>
      </c>
      <c r="AL2516" s="6"/>
      <c r="AM2516" s="12">
        <v>9.725338403E9</v>
      </c>
    </row>
    <row r="2517">
      <c r="A2517" s="5" t="s">
        <v>11881</v>
      </c>
      <c r="B2517" s="1" t="s">
        <v>11882</v>
      </c>
      <c r="C2517" s="1" t="s">
        <v>11883</v>
      </c>
      <c r="D2517" s="2">
        <v>9.149804204E9</v>
      </c>
      <c r="E2517" s="1" t="s">
        <v>2085</v>
      </c>
      <c r="F2517" s="1"/>
      <c r="G2517" s="1" t="s">
        <v>1660</v>
      </c>
      <c r="H2517" s="1" t="s">
        <v>751</v>
      </c>
      <c r="I2517" s="1">
        <v>10804.0</v>
      </c>
      <c r="J2517" s="1" t="s">
        <v>752</v>
      </c>
      <c r="K2517" s="1" t="s">
        <v>2131</v>
      </c>
      <c r="L2517" s="1" t="s">
        <v>5767</v>
      </c>
      <c r="M2517" s="1">
        <v>1.0</v>
      </c>
      <c r="N2517" s="1" t="s">
        <v>1152</v>
      </c>
      <c r="O2517" s="3" t="s">
        <v>1450</v>
      </c>
      <c r="P2517" s="1" t="s">
        <v>1152</v>
      </c>
      <c r="Q2517" s="1" t="s">
        <v>1152</v>
      </c>
      <c r="R2517" s="1"/>
      <c r="S2517" s="1"/>
      <c r="T2517" s="1" t="s">
        <v>1152</v>
      </c>
      <c r="U2517" s="1" t="s">
        <v>1148</v>
      </c>
      <c r="V2517" s="4" t="s">
        <v>1450</v>
      </c>
      <c r="W2517" s="1"/>
      <c r="X2517" s="1" t="s">
        <v>1152</v>
      </c>
      <c r="Y2517" s="1" t="s">
        <v>1152</v>
      </c>
      <c r="Z2517" s="1"/>
      <c r="AA2517" s="1"/>
      <c r="AB2517" s="1"/>
      <c r="AC2517" s="1" t="s">
        <v>1925</v>
      </c>
      <c r="AD2517" s="1"/>
      <c r="AE2517" s="18">
        <v>46147.0</v>
      </c>
      <c r="AF2517" s="1"/>
      <c r="AG2517" s="1"/>
      <c r="AH2517" s="1" t="s">
        <v>1152</v>
      </c>
      <c r="AI2517" s="1" t="s">
        <v>1152</v>
      </c>
      <c r="AJ2517" s="1" t="s">
        <v>2085</v>
      </c>
      <c r="AK2517" s="1" t="s">
        <v>1152</v>
      </c>
      <c r="AL2517" s="6"/>
      <c r="AM2517" s="12" t="s">
        <v>11884</v>
      </c>
    </row>
    <row r="2518">
      <c r="A2518" s="5" t="s">
        <v>11885</v>
      </c>
      <c r="B2518" s="1" t="s">
        <v>11886</v>
      </c>
      <c r="C2518" s="1" t="s">
        <v>8467</v>
      </c>
      <c r="D2518" s="2">
        <v>7.144828812E9</v>
      </c>
      <c r="E2518" s="1" t="s">
        <v>2396</v>
      </c>
      <c r="F2518" s="1"/>
      <c r="G2518" s="1" t="s">
        <v>2397</v>
      </c>
      <c r="H2518" s="1" t="s">
        <v>989</v>
      </c>
      <c r="I2518" s="1">
        <v>92821.0</v>
      </c>
      <c r="J2518" s="1" t="s">
        <v>752</v>
      </c>
      <c r="K2518" s="1" t="s">
        <v>2131</v>
      </c>
      <c r="L2518" s="1" t="s">
        <v>6107</v>
      </c>
      <c r="M2518" s="1">
        <v>1.0</v>
      </c>
      <c r="N2518" s="1" t="s">
        <v>1152</v>
      </c>
      <c r="O2518" s="3" t="s">
        <v>742</v>
      </c>
      <c r="P2518" s="1" t="s">
        <v>1152</v>
      </c>
      <c r="Q2518" s="1" t="s">
        <v>1152</v>
      </c>
      <c r="R2518" s="1"/>
      <c r="S2518" s="1"/>
      <c r="T2518" s="1" t="s">
        <v>1152</v>
      </c>
      <c r="U2518" s="1" t="s">
        <v>1407</v>
      </c>
      <c r="V2518" s="4" t="s">
        <v>742</v>
      </c>
      <c r="W2518" s="1"/>
      <c r="X2518" s="1" t="s">
        <v>1152</v>
      </c>
      <c r="Y2518" s="1" t="s">
        <v>1152</v>
      </c>
      <c r="Z2518" s="1"/>
      <c r="AA2518" s="1"/>
      <c r="AB2518" s="1"/>
      <c r="AC2518" s="1" t="s">
        <v>1925</v>
      </c>
      <c r="AD2518" s="1"/>
      <c r="AE2518" s="18">
        <v>46149.0</v>
      </c>
      <c r="AF2518" s="1"/>
      <c r="AG2518" s="1"/>
      <c r="AH2518" s="1" t="s">
        <v>1152</v>
      </c>
      <c r="AI2518" s="1" t="s">
        <v>1152</v>
      </c>
      <c r="AJ2518" s="1" t="s">
        <v>2396</v>
      </c>
      <c r="AK2518" s="1" t="s">
        <v>1152</v>
      </c>
      <c r="AL2518" s="6"/>
      <c r="AM2518" s="12">
        <v>7.144828812E9</v>
      </c>
    </row>
    <row r="2519">
      <c r="A2519" s="5" t="s">
        <v>11887</v>
      </c>
      <c r="B2519" s="1" t="s">
        <v>11888</v>
      </c>
      <c r="C2519" s="1" t="s">
        <v>827</v>
      </c>
      <c r="D2519" s="2" t="s">
        <v>11889</v>
      </c>
      <c r="E2519" s="1" t="s">
        <v>11890</v>
      </c>
      <c r="F2519" s="1"/>
      <c r="G2519" s="1" t="s">
        <v>11891</v>
      </c>
      <c r="H2519" s="1" t="s">
        <v>1208</v>
      </c>
      <c r="I2519" s="1">
        <v>33472.0</v>
      </c>
      <c r="J2519" s="1" t="s">
        <v>752</v>
      </c>
      <c r="K2519" s="1" t="s">
        <v>2131</v>
      </c>
      <c r="L2519" s="1" t="s">
        <v>5811</v>
      </c>
      <c r="M2519" s="1">
        <v>1.0</v>
      </c>
      <c r="N2519" s="1" t="s">
        <v>1152</v>
      </c>
      <c r="O2519" s="3" t="s">
        <v>216</v>
      </c>
      <c r="P2519" s="1" t="s">
        <v>1152</v>
      </c>
      <c r="Q2519" s="1" t="s">
        <v>1152</v>
      </c>
      <c r="R2519" s="1"/>
      <c r="S2519" s="1"/>
      <c r="T2519" s="1" t="s">
        <v>1152</v>
      </c>
      <c r="U2519" s="1" t="s">
        <v>1021</v>
      </c>
      <c r="V2519" s="4" t="s">
        <v>216</v>
      </c>
      <c r="W2519" s="1"/>
      <c r="X2519" s="1" t="s">
        <v>1152</v>
      </c>
      <c r="Y2519" s="1" t="s">
        <v>1152</v>
      </c>
      <c r="Z2519" s="1"/>
      <c r="AA2519" s="1"/>
      <c r="AB2519" s="1"/>
      <c r="AC2519" s="1" t="s">
        <v>1925</v>
      </c>
      <c r="AD2519" s="1"/>
      <c r="AE2519" s="18">
        <v>46146.0</v>
      </c>
      <c r="AF2519" s="1"/>
      <c r="AG2519" s="1"/>
      <c r="AH2519" s="1" t="s">
        <v>1152</v>
      </c>
      <c r="AI2519" s="1" t="s">
        <v>1152</v>
      </c>
      <c r="AJ2519" s="1" t="s">
        <v>828</v>
      </c>
      <c r="AK2519" s="1" t="s">
        <v>1152</v>
      </c>
      <c r="AL2519" s="6"/>
      <c r="AM2519" s="12">
        <v>5.614137625E9</v>
      </c>
    </row>
    <row r="2520">
      <c r="A2520" s="5" t="s">
        <v>11892</v>
      </c>
      <c r="B2520" s="1" t="s">
        <v>11893</v>
      </c>
      <c r="C2520" s="1" t="s">
        <v>11894</v>
      </c>
      <c r="D2520" s="2">
        <v>4.435588233E9</v>
      </c>
      <c r="E2520" s="1" t="s">
        <v>2366</v>
      </c>
      <c r="F2520" s="1"/>
      <c r="G2520" s="1" t="s">
        <v>2367</v>
      </c>
      <c r="H2520" s="1" t="s">
        <v>1005</v>
      </c>
      <c r="I2520" s="1">
        <v>21043.0</v>
      </c>
      <c r="J2520" s="1" t="s">
        <v>752</v>
      </c>
      <c r="K2520" s="1" t="s">
        <v>42</v>
      </c>
      <c r="L2520" s="1" t="s">
        <v>6819</v>
      </c>
      <c r="M2520" s="1">
        <v>49.0</v>
      </c>
      <c r="N2520" s="1" t="s">
        <v>1152</v>
      </c>
      <c r="O2520" s="3" t="s">
        <v>2368</v>
      </c>
      <c r="P2520" s="1" t="s">
        <v>1152</v>
      </c>
      <c r="Q2520" s="1" t="s">
        <v>1152</v>
      </c>
      <c r="R2520" s="1"/>
      <c r="S2520" s="1"/>
      <c r="T2520" s="1" t="s">
        <v>1152</v>
      </c>
      <c r="U2520" s="1" t="s">
        <v>1343</v>
      </c>
      <c r="V2520" s="4" t="s">
        <v>2368</v>
      </c>
      <c r="W2520" s="1"/>
      <c r="X2520" s="1" t="s">
        <v>1152</v>
      </c>
      <c r="Y2520" s="1" t="s">
        <v>1152</v>
      </c>
      <c r="Z2520" s="1"/>
      <c r="AA2520" s="1"/>
      <c r="AB2520" s="1"/>
      <c r="AC2520" s="1" t="s">
        <v>1925</v>
      </c>
      <c r="AD2520" s="1"/>
      <c r="AE2520" s="18">
        <v>46149.0</v>
      </c>
      <c r="AF2520" s="1" t="s">
        <v>1030</v>
      </c>
      <c r="AG2520" s="1" t="s">
        <v>52</v>
      </c>
      <c r="AH2520" s="1" t="s">
        <v>1152</v>
      </c>
      <c r="AI2520" s="1" t="s">
        <v>1152</v>
      </c>
      <c r="AJ2520" s="1" t="s">
        <v>2366</v>
      </c>
      <c r="AK2520" s="1" t="s">
        <v>1152</v>
      </c>
      <c r="AL2520" s="6"/>
      <c r="AM2520" s="12">
        <v>4.435588233E9</v>
      </c>
    </row>
    <row r="2521">
      <c r="A2521" s="5" t="s">
        <v>11895</v>
      </c>
      <c r="B2521" s="1" t="s">
        <v>11896</v>
      </c>
      <c r="C2521" s="1" t="s">
        <v>11897</v>
      </c>
      <c r="D2521" s="2">
        <v>3.146293735E9</v>
      </c>
      <c r="E2521" s="1" t="s">
        <v>11898</v>
      </c>
      <c r="F2521" s="1"/>
      <c r="G2521" s="1" t="s">
        <v>1283</v>
      </c>
      <c r="H2521" s="1" t="s">
        <v>1155</v>
      </c>
      <c r="I2521" s="1">
        <v>63105.0</v>
      </c>
      <c r="J2521" s="1" t="s">
        <v>752</v>
      </c>
      <c r="K2521" s="1" t="s">
        <v>42</v>
      </c>
      <c r="L2521" s="1" t="s">
        <v>6819</v>
      </c>
      <c r="M2521" s="1">
        <v>49.0</v>
      </c>
      <c r="N2521" s="1" t="s">
        <v>1152</v>
      </c>
      <c r="O2521" s="3" t="s">
        <v>11899</v>
      </c>
      <c r="P2521" s="1" t="s">
        <v>1152</v>
      </c>
      <c r="Q2521" s="1" t="s">
        <v>1152</v>
      </c>
      <c r="R2521" s="1"/>
      <c r="S2521" s="1"/>
      <c r="T2521" s="1" t="s">
        <v>1152</v>
      </c>
      <c r="U2521" s="1" t="s">
        <v>1487</v>
      </c>
      <c r="V2521" s="4" t="s">
        <v>11899</v>
      </c>
      <c r="W2521" s="1"/>
      <c r="X2521" s="1" t="s">
        <v>1152</v>
      </c>
      <c r="Y2521" s="1" t="s">
        <v>1152</v>
      </c>
      <c r="Z2521" s="1"/>
      <c r="AA2521" s="1"/>
      <c r="AB2521" s="1"/>
      <c r="AC2521" s="1" t="s">
        <v>1925</v>
      </c>
      <c r="AD2521" s="1"/>
      <c r="AE2521" s="18">
        <v>46147.0</v>
      </c>
      <c r="AF2521" s="1" t="s">
        <v>3186</v>
      </c>
      <c r="AG2521" s="1" t="s">
        <v>52</v>
      </c>
      <c r="AH2521" s="1" t="s">
        <v>1152</v>
      </c>
      <c r="AI2521" s="1" t="s">
        <v>1152</v>
      </c>
      <c r="AJ2521" s="1" t="s">
        <v>11898</v>
      </c>
      <c r="AK2521" s="1" t="s">
        <v>1152</v>
      </c>
      <c r="AL2521" s="6"/>
      <c r="AM2521" s="12">
        <v>3.146293735E9</v>
      </c>
    </row>
    <row r="2522">
      <c r="A2522" s="5" t="s">
        <v>11900</v>
      </c>
      <c r="B2522" s="1" t="s">
        <v>11901</v>
      </c>
      <c r="C2522" s="1" t="s">
        <v>2924</v>
      </c>
      <c r="D2522" s="2">
        <v>7.866672127E9</v>
      </c>
      <c r="E2522" s="1" t="s">
        <v>11902</v>
      </c>
      <c r="F2522" s="1"/>
      <c r="G2522" s="1" t="s">
        <v>2926</v>
      </c>
      <c r="H2522" s="1" t="s">
        <v>1208</v>
      </c>
      <c r="I2522" s="1">
        <v>33133.0</v>
      </c>
      <c r="J2522" s="1" t="s">
        <v>752</v>
      </c>
      <c r="K2522" s="1" t="s">
        <v>2131</v>
      </c>
      <c r="L2522" s="1" t="s">
        <v>5736</v>
      </c>
      <c r="M2522" s="1">
        <v>1.0</v>
      </c>
      <c r="N2522" s="1" t="s">
        <v>1152</v>
      </c>
      <c r="O2522" s="3" t="s">
        <v>2927</v>
      </c>
      <c r="P2522" s="1" t="s">
        <v>1152</v>
      </c>
      <c r="Q2522" s="1" t="s">
        <v>1152</v>
      </c>
      <c r="R2522" s="1"/>
      <c r="S2522" s="1"/>
      <c r="T2522" s="1" t="s">
        <v>1152</v>
      </c>
      <c r="U2522" s="1" t="s">
        <v>1167</v>
      </c>
      <c r="V2522" s="4" t="s">
        <v>2927</v>
      </c>
      <c r="W2522" s="1"/>
      <c r="X2522" s="1" t="s">
        <v>1152</v>
      </c>
      <c r="Y2522" s="1" t="s">
        <v>1152</v>
      </c>
      <c r="Z2522" s="1"/>
      <c r="AA2522" s="1"/>
      <c r="AB2522" s="1"/>
      <c r="AC2522" s="1" t="s">
        <v>1925</v>
      </c>
      <c r="AD2522" s="1"/>
      <c r="AE2522" s="18">
        <v>46149.0</v>
      </c>
      <c r="AF2522" s="1"/>
      <c r="AG2522" s="1"/>
      <c r="AH2522" s="1" t="s">
        <v>1152</v>
      </c>
      <c r="AI2522" s="1" t="s">
        <v>1152</v>
      </c>
      <c r="AJ2522" s="1" t="s">
        <v>11902</v>
      </c>
      <c r="AK2522" s="1" t="s">
        <v>1152</v>
      </c>
      <c r="AL2522" s="6"/>
      <c r="AM2522" s="12">
        <v>7.866672127E9</v>
      </c>
    </row>
    <row r="2523">
      <c r="A2523" s="5" t="s">
        <v>11903</v>
      </c>
      <c r="B2523" s="1" t="s">
        <v>11904</v>
      </c>
      <c r="C2523" s="1" t="s">
        <v>6345</v>
      </c>
      <c r="D2523" s="2">
        <v>7.207532564E9</v>
      </c>
      <c r="E2523" s="1" t="s">
        <v>6347</v>
      </c>
      <c r="F2523" s="1"/>
      <c r="G2523" s="1" t="s">
        <v>2609</v>
      </c>
      <c r="H2523" s="1" t="s">
        <v>1891</v>
      </c>
      <c r="I2523" s="1" t="s">
        <v>11905</v>
      </c>
      <c r="J2523" s="1" t="s">
        <v>752</v>
      </c>
      <c r="K2523" s="1" t="s">
        <v>2131</v>
      </c>
      <c r="L2523" s="1" t="s">
        <v>5811</v>
      </c>
      <c r="M2523" s="1">
        <v>1.0</v>
      </c>
      <c r="N2523" s="1" t="s">
        <v>1152</v>
      </c>
      <c r="O2523" s="3" t="s">
        <v>503</v>
      </c>
      <c r="P2523" s="1" t="s">
        <v>1152</v>
      </c>
      <c r="Q2523" s="1" t="s">
        <v>1152</v>
      </c>
      <c r="R2523" s="1"/>
      <c r="S2523" s="1"/>
      <c r="T2523" s="1" t="s">
        <v>1152</v>
      </c>
      <c r="U2523" s="1" t="s">
        <v>1441</v>
      </c>
      <c r="V2523" s="4" t="s">
        <v>503</v>
      </c>
      <c r="W2523" s="1"/>
      <c r="X2523" s="1" t="s">
        <v>1152</v>
      </c>
      <c r="Y2523" s="1" t="s">
        <v>1152</v>
      </c>
      <c r="Z2523" s="1"/>
      <c r="AA2523" s="1"/>
      <c r="AB2523" s="1"/>
      <c r="AC2523" s="1" t="s">
        <v>1925</v>
      </c>
      <c r="AD2523" s="1"/>
      <c r="AE2523" s="18">
        <v>46153.0</v>
      </c>
      <c r="AF2523" s="1"/>
      <c r="AG2523" s="1"/>
      <c r="AH2523" s="1" t="s">
        <v>1152</v>
      </c>
      <c r="AI2523" s="1" t="s">
        <v>1152</v>
      </c>
      <c r="AJ2523" s="1" t="s">
        <v>6347</v>
      </c>
      <c r="AK2523" s="1" t="s">
        <v>1152</v>
      </c>
      <c r="AL2523" s="6"/>
      <c r="AM2523" s="12">
        <v>7.207532564E9</v>
      </c>
    </row>
    <row r="2524">
      <c r="A2524" s="5" t="s">
        <v>11906</v>
      </c>
      <c r="B2524" s="1" t="s">
        <v>11907</v>
      </c>
      <c r="C2524" s="1" t="s">
        <v>4389</v>
      </c>
      <c r="D2524" s="2">
        <v>2.01693619E9</v>
      </c>
      <c r="E2524" s="1" t="s">
        <v>4390</v>
      </c>
      <c r="F2524" s="1"/>
      <c r="G2524" s="1" t="s">
        <v>1528</v>
      </c>
      <c r="H2524" s="1" t="s">
        <v>1053</v>
      </c>
      <c r="I2524" s="1">
        <v>7631.0</v>
      </c>
      <c r="J2524" s="1" t="s">
        <v>752</v>
      </c>
      <c r="K2524" s="1" t="s">
        <v>2131</v>
      </c>
      <c r="L2524" s="1" t="s">
        <v>5767</v>
      </c>
      <c r="M2524" s="1">
        <v>1.0</v>
      </c>
      <c r="N2524" s="1" t="s">
        <v>1152</v>
      </c>
      <c r="O2524" s="3" t="s">
        <v>11908</v>
      </c>
      <c r="P2524" s="1" t="s">
        <v>1152</v>
      </c>
      <c r="Q2524" s="1" t="s">
        <v>1152</v>
      </c>
      <c r="R2524" s="1"/>
      <c r="S2524" s="1"/>
      <c r="T2524" s="1" t="s">
        <v>1152</v>
      </c>
      <c r="U2524" s="1" t="s">
        <v>1201</v>
      </c>
      <c r="V2524" s="4" t="s">
        <v>11908</v>
      </c>
      <c r="W2524" s="1"/>
      <c r="X2524" s="1" t="s">
        <v>1152</v>
      </c>
      <c r="Y2524" s="1" t="s">
        <v>1152</v>
      </c>
      <c r="Z2524" s="1"/>
      <c r="AA2524" s="1"/>
      <c r="AB2524" s="1"/>
      <c r="AC2524" s="1" t="s">
        <v>1925</v>
      </c>
      <c r="AD2524" s="1"/>
      <c r="AE2524" s="18">
        <v>46143.0</v>
      </c>
      <c r="AF2524" s="1"/>
      <c r="AG2524" s="1"/>
      <c r="AH2524" s="1" t="s">
        <v>1152</v>
      </c>
      <c r="AI2524" s="1" t="s">
        <v>1152</v>
      </c>
      <c r="AJ2524" s="1" t="s">
        <v>4390</v>
      </c>
      <c r="AK2524" s="1" t="s">
        <v>1152</v>
      </c>
      <c r="AL2524" s="6"/>
      <c r="AM2524" s="12">
        <v>2.01693619E9</v>
      </c>
    </row>
    <row r="2525">
      <c r="A2525" s="5" t="s">
        <v>11909</v>
      </c>
      <c r="B2525" s="1" t="s">
        <v>11910</v>
      </c>
      <c r="C2525" s="1" t="s">
        <v>11911</v>
      </c>
      <c r="D2525" s="2">
        <v>9.179308115E9</v>
      </c>
      <c r="E2525" s="1" t="s">
        <v>11912</v>
      </c>
      <c r="F2525" s="1"/>
      <c r="G2525" s="1" t="s">
        <v>3171</v>
      </c>
      <c r="H2525" s="1" t="s">
        <v>1121</v>
      </c>
      <c r="I2525" s="1">
        <v>2467.0</v>
      </c>
      <c r="J2525" s="1" t="s">
        <v>752</v>
      </c>
      <c r="K2525" s="1" t="s">
        <v>42</v>
      </c>
      <c r="L2525" s="1" t="s">
        <v>6819</v>
      </c>
      <c r="M2525" s="1">
        <v>49.0</v>
      </c>
      <c r="N2525" s="1" t="s">
        <v>1152</v>
      </c>
      <c r="O2525" s="3" t="s">
        <v>2692</v>
      </c>
      <c r="P2525" s="1" t="s">
        <v>1152</v>
      </c>
      <c r="Q2525" s="1" t="s">
        <v>1152</v>
      </c>
      <c r="R2525" s="1"/>
      <c r="S2525" s="1"/>
      <c r="T2525" s="1" t="s">
        <v>1152</v>
      </c>
      <c r="U2525" s="1" t="s">
        <v>1174</v>
      </c>
      <c r="V2525" s="4" t="s">
        <v>2692</v>
      </c>
      <c r="W2525" s="1"/>
      <c r="X2525" s="1" t="s">
        <v>1152</v>
      </c>
      <c r="Y2525" s="1" t="s">
        <v>1152</v>
      </c>
      <c r="Z2525" s="1"/>
      <c r="AA2525" s="1"/>
      <c r="AB2525" s="1"/>
      <c r="AC2525" s="1" t="s">
        <v>1925</v>
      </c>
      <c r="AD2525" s="1"/>
      <c r="AE2525" s="18">
        <v>46149.0</v>
      </c>
      <c r="AF2525" s="1" t="s">
        <v>1349</v>
      </c>
      <c r="AG2525" s="1" t="s">
        <v>52</v>
      </c>
      <c r="AH2525" s="1" t="s">
        <v>1152</v>
      </c>
      <c r="AI2525" s="1" t="s">
        <v>1152</v>
      </c>
      <c r="AJ2525" s="1" t="s">
        <v>11913</v>
      </c>
      <c r="AK2525" s="1" t="s">
        <v>1152</v>
      </c>
      <c r="AL2525" s="6"/>
      <c r="AM2525" s="12">
        <v>9.178590611E9</v>
      </c>
    </row>
    <row r="2526">
      <c r="A2526" s="5" t="s">
        <v>11914</v>
      </c>
      <c r="B2526" s="1" t="s">
        <v>11915</v>
      </c>
      <c r="C2526" s="1" t="s">
        <v>11911</v>
      </c>
      <c r="D2526" s="2">
        <v>9.179308115E9</v>
      </c>
      <c r="E2526" s="1" t="s">
        <v>11916</v>
      </c>
      <c r="F2526" s="1"/>
      <c r="G2526" s="1" t="s">
        <v>3171</v>
      </c>
      <c r="H2526" s="1" t="s">
        <v>1121</v>
      </c>
      <c r="I2526" s="1">
        <v>2467.0</v>
      </c>
      <c r="J2526" s="1" t="s">
        <v>752</v>
      </c>
      <c r="K2526" s="1" t="s">
        <v>2131</v>
      </c>
      <c r="L2526" s="1" t="s">
        <v>5811</v>
      </c>
      <c r="M2526" s="1">
        <v>1.0</v>
      </c>
      <c r="N2526" s="1" t="s">
        <v>1152</v>
      </c>
      <c r="O2526" s="3" t="s">
        <v>2692</v>
      </c>
      <c r="P2526" s="1" t="s">
        <v>1152</v>
      </c>
      <c r="Q2526" s="1" t="s">
        <v>1152</v>
      </c>
      <c r="R2526" s="1"/>
      <c r="S2526" s="1"/>
      <c r="T2526" s="1" t="s">
        <v>1152</v>
      </c>
      <c r="U2526" s="1" t="s">
        <v>1174</v>
      </c>
      <c r="V2526" s="4" t="s">
        <v>2692</v>
      </c>
      <c r="W2526" s="1"/>
      <c r="X2526" s="1" t="s">
        <v>1152</v>
      </c>
      <c r="Y2526" s="1" t="s">
        <v>1152</v>
      </c>
      <c r="Z2526" s="1"/>
      <c r="AA2526" s="1"/>
      <c r="AB2526" s="1"/>
      <c r="AC2526" s="1" t="s">
        <v>1925</v>
      </c>
      <c r="AD2526" s="1"/>
      <c r="AE2526" s="18">
        <v>46149.0</v>
      </c>
      <c r="AF2526" s="1"/>
      <c r="AG2526" s="1"/>
      <c r="AH2526" s="1" t="s">
        <v>1152</v>
      </c>
      <c r="AI2526" s="1" t="s">
        <v>1152</v>
      </c>
      <c r="AJ2526" s="1" t="s">
        <v>11917</v>
      </c>
      <c r="AK2526" s="1" t="s">
        <v>1152</v>
      </c>
      <c r="AL2526" s="6"/>
      <c r="AM2526" s="12" t="s">
        <v>11918</v>
      </c>
    </row>
    <row r="2527">
      <c r="A2527" s="5" t="s">
        <v>11919</v>
      </c>
      <c r="B2527" s="1" t="s">
        <v>11920</v>
      </c>
      <c r="C2527" s="1" t="s">
        <v>3631</v>
      </c>
      <c r="D2527" s="2">
        <v>8.605006445E9</v>
      </c>
      <c r="E2527" s="1" t="s">
        <v>3632</v>
      </c>
      <c r="F2527" s="1"/>
      <c r="G2527" s="1" t="s">
        <v>2350</v>
      </c>
      <c r="H2527" s="1" t="s">
        <v>1155</v>
      </c>
      <c r="I2527" s="1" t="s">
        <v>8515</v>
      </c>
      <c r="J2527" s="1" t="s">
        <v>752</v>
      </c>
      <c r="K2527" s="1" t="s">
        <v>42</v>
      </c>
      <c r="L2527" s="1" t="s">
        <v>6819</v>
      </c>
      <c r="M2527" s="1">
        <v>49.0</v>
      </c>
      <c r="N2527" s="1" t="s">
        <v>1152</v>
      </c>
      <c r="O2527" s="3" t="s">
        <v>3154</v>
      </c>
      <c r="P2527" s="1" t="s">
        <v>1152</v>
      </c>
      <c r="Q2527" s="1" t="s">
        <v>1152</v>
      </c>
      <c r="R2527" s="1"/>
      <c r="S2527" s="1"/>
      <c r="T2527" s="1" t="s">
        <v>1152</v>
      </c>
      <c r="U2527" s="1" t="s">
        <v>948</v>
      </c>
      <c r="V2527" s="4" t="s">
        <v>3154</v>
      </c>
      <c r="W2527" s="1"/>
      <c r="X2527" s="1" t="s">
        <v>1152</v>
      </c>
      <c r="Y2527" s="1" t="s">
        <v>1152</v>
      </c>
      <c r="Z2527" s="1"/>
      <c r="AA2527" s="1"/>
      <c r="AB2527" s="1"/>
      <c r="AC2527" s="1" t="s">
        <v>1925</v>
      </c>
      <c r="AD2527" s="1"/>
      <c r="AE2527" s="18">
        <v>46149.0</v>
      </c>
      <c r="AF2527" s="1" t="s">
        <v>1455</v>
      </c>
      <c r="AG2527" s="1" t="s">
        <v>52</v>
      </c>
      <c r="AH2527" s="1" t="s">
        <v>1152</v>
      </c>
      <c r="AI2527" s="1" t="s">
        <v>1152</v>
      </c>
      <c r="AJ2527" s="1" t="s">
        <v>11921</v>
      </c>
      <c r="AK2527" s="1" t="s">
        <v>1152</v>
      </c>
      <c r="AL2527" s="6"/>
      <c r="AM2527" s="12">
        <v>8.605006445E9</v>
      </c>
    </row>
    <row r="2528">
      <c r="A2528" s="5" t="s">
        <v>11922</v>
      </c>
      <c r="B2528" s="1" t="s">
        <v>11923</v>
      </c>
      <c r="C2528" s="1" t="s">
        <v>11924</v>
      </c>
      <c r="D2528" s="2">
        <v>6.308909563E9</v>
      </c>
      <c r="E2528" s="1" t="s">
        <v>11925</v>
      </c>
      <c r="F2528" s="1"/>
      <c r="G2528" s="1" t="s">
        <v>5982</v>
      </c>
      <c r="H2528" s="1" t="s">
        <v>1019</v>
      </c>
      <c r="I2528" s="1">
        <v>60564.0</v>
      </c>
      <c r="J2528" s="1" t="s">
        <v>752</v>
      </c>
      <c r="K2528" s="1" t="s">
        <v>42</v>
      </c>
      <c r="L2528" s="1" t="s">
        <v>6819</v>
      </c>
      <c r="M2528" s="1">
        <v>49.0</v>
      </c>
      <c r="N2528" s="1" t="s">
        <v>1152</v>
      </c>
      <c r="O2528" s="3" t="s">
        <v>11926</v>
      </c>
      <c r="P2528" s="1" t="s">
        <v>1152</v>
      </c>
      <c r="Q2528" s="1" t="s">
        <v>1152</v>
      </c>
      <c r="R2528" s="1"/>
      <c r="S2528" s="1"/>
      <c r="T2528" s="1" t="s">
        <v>1152</v>
      </c>
      <c r="U2528" s="1" t="s">
        <v>1407</v>
      </c>
      <c r="V2528" s="4" t="s">
        <v>11926</v>
      </c>
      <c r="W2528" s="1"/>
      <c r="X2528" s="1" t="s">
        <v>1152</v>
      </c>
      <c r="Y2528" s="1" t="s">
        <v>1152</v>
      </c>
      <c r="Z2528" s="1"/>
      <c r="AA2528" s="1"/>
      <c r="AB2528" s="1"/>
      <c r="AC2528" s="1" t="s">
        <v>1925</v>
      </c>
      <c r="AD2528" s="1"/>
      <c r="AE2528" s="18">
        <v>46144.0</v>
      </c>
      <c r="AF2528" s="1" t="s">
        <v>1349</v>
      </c>
      <c r="AG2528" s="1" t="s">
        <v>52</v>
      </c>
      <c r="AH2528" s="1" t="s">
        <v>1152</v>
      </c>
      <c r="AI2528" s="1" t="s">
        <v>1152</v>
      </c>
      <c r="AJ2528" s="1" t="s">
        <v>11925</v>
      </c>
      <c r="AK2528" s="1" t="s">
        <v>1152</v>
      </c>
      <c r="AL2528" s="6"/>
      <c r="AM2528" s="12">
        <v>6.308909563E9</v>
      </c>
    </row>
    <row r="2529">
      <c r="A2529" s="5" t="s">
        <v>11927</v>
      </c>
      <c r="B2529" s="1" t="s">
        <v>11928</v>
      </c>
      <c r="C2529" s="1" t="s">
        <v>11929</v>
      </c>
      <c r="D2529" s="2">
        <v>6.179811518E9</v>
      </c>
      <c r="E2529" s="1" t="s">
        <v>11930</v>
      </c>
      <c r="F2529" s="1"/>
      <c r="G2529" s="1" t="s">
        <v>4775</v>
      </c>
      <c r="H2529" s="1" t="s">
        <v>1121</v>
      </c>
      <c r="I2529" s="1">
        <v>2138.0</v>
      </c>
      <c r="J2529" s="1" t="s">
        <v>752</v>
      </c>
      <c r="K2529" s="1" t="s">
        <v>42</v>
      </c>
      <c r="L2529" s="1" t="s">
        <v>6819</v>
      </c>
      <c r="M2529" s="1">
        <v>49.0</v>
      </c>
      <c r="N2529" s="1" t="s">
        <v>1152</v>
      </c>
      <c r="O2529" s="3" t="s">
        <v>1029</v>
      </c>
      <c r="P2529" s="1" t="s">
        <v>1152</v>
      </c>
      <c r="Q2529" s="1" t="s">
        <v>1152</v>
      </c>
      <c r="R2529" s="1"/>
      <c r="S2529" s="1"/>
      <c r="T2529" s="1" t="s">
        <v>1152</v>
      </c>
      <c r="U2529" s="1" t="s">
        <v>1249</v>
      </c>
      <c r="V2529" s="4" t="s">
        <v>1029</v>
      </c>
      <c r="W2529" s="1"/>
      <c r="X2529" s="1" t="s">
        <v>1152</v>
      </c>
      <c r="Y2529" s="1" t="s">
        <v>1152</v>
      </c>
      <c r="Z2529" s="1"/>
      <c r="AA2529" s="1"/>
      <c r="AB2529" s="1"/>
      <c r="AC2529" s="1" t="s">
        <v>1925</v>
      </c>
      <c r="AD2529" s="1"/>
      <c r="AE2529" s="18">
        <v>46149.0</v>
      </c>
      <c r="AF2529" s="1" t="s">
        <v>1630</v>
      </c>
      <c r="AG2529" s="1" t="s">
        <v>52</v>
      </c>
      <c r="AH2529" s="1" t="s">
        <v>1152</v>
      </c>
      <c r="AI2529" s="1" t="s">
        <v>1152</v>
      </c>
      <c r="AJ2529" s="1" t="s">
        <v>11930</v>
      </c>
      <c r="AK2529" s="1" t="s">
        <v>1152</v>
      </c>
      <c r="AL2529" s="6"/>
      <c r="AM2529" s="12">
        <v>6.179811518E9</v>
      </c>
    </row>
    <row r="2530">
      <c r="A2530" s="5" t="s">
        <v>11931</v>
      </c>
      <c r="B2530" s="1" t="s">
        <v>11932</v>
      </c>
      <c r="C2530" s="1" t="s">
        <v>11933</v>
      </c>
      <c r="D2530" s="2">
        <v>7.706167204E9</v>
      </c>
      <c r="E2530" s="1" t="s">
        <v>6606</v>
      </c>
      <c r="F2530" s="1"/>
      <c r="G2530" s="1" t="s">
        <v>11934</v>
      </c>
      <c r="H2530" s="1" t="s">
        <v>946</v>
      </c>
      <c r="I2530" s="1">
        <v>30328.0</v>
      </c>
      <c r="J2530" s="1" t="s">
        <v>752</v>
      </c>
      <c r="K2530" s="1" t="s">
        <v>2131</v>
      </c>
      <c r="L2530" s="1" t="s">
        <v>5811</v>
      </c>
      <c r="M2530" s="1">
        <v>1.0</v>
      </c>
      <c r="N2530" s="1" t="s">
        <v>1152</v>
      </c>
      <c r="O2530" s="3" t="s">
        <v>4087</v>
      </c>
      <c r="P2530" s="1" t="s">
        <v>1152</v>
      </c>
      <c r="Q2530" s="1" t="s">
        <v>1152</v>
      </c>
      <c r="R2530" s="1"/>
      <c r="S2530" s="1"/>
      <c r="T2530" s="1" t="s">
        <v>1152</v>
      </c>
      <c r="U2530" s="1" t="s">
        <v>1407</v>
      </c>
      <c r="V2530" s="4" t="s">
        <v>4087</v>
      </c>
      <c r="W2530" s="1"/>
      <c r="X2530" s="1" t="s">
        <v>1152</v>
      </c>
      <c r="Y2530" s="1" t="s">
        <v>1152</v>
      </c>
      <c r="Z2530" s="1"/>
      <c r="AA2530" s="1"/>
      <c r="AB2530" s="1"/>
      <c r="AC2530" s="1" t="s">
        <v>1925</v>
      </c>
      <c r="AD2530" s="1"/>
      <c r="AE2530" s="18">
        <v>46151.0</v>
      </c>
      <c r="AF2530" s="1"/>
      <c r="AG2530" s="1"/>
      <c r="AH2530" s="1" t="s">
        <v>1152</v>
      </c>
      <c r="AI2530" s="1" t="s">
        <v>1152</v>
      </c>
      <c r="AJ2530" s="1" t="s">
        <v>6606</v>
      </c>
      <c r="AK2530" s="1" t="s">
        <v>1152</v>
      </c>
      <c r="AL2530" s="6"/>
      <c r="AM2530" s="12">
        <v>7.706167204E9</v>
      </c>
    </row>
    <row r="2531">
      <c r="A2531" s="5" t="s">
        <v>11935</v>
      </c>
      <c r="B2531" s="1" t="s">
        <v>11936</v>
      </c>
      <c r="C2531" s="1" t="s">
        <v>11937</v>
      </c>
      <c r="D2531" s="2">
        <v>5.128156391E9</v>
      </c>
      <c r="E2531" s="1" t="s">
        <v>6146</v>
      </c>
      <c r="F2531" s="1"/>
      <c r="G2531" s="1" t="s">
        <v>1582</v>
      </c>
      <c r="H2531" s="1" t="s">
        <v>1583</v>
      </c>
      <c r="I2531" s="1">
        <v>78703.0</v>
      </c>
      <c r="J2531" s="1" t="s">
        <v>752</v>
      </c>
      <c r="K2531" s="1" t="s">
        <v>2131</v>
      </c>
      <c r="L2531" s="1" t="s">
        <v>5767</v>
      </c>
      <c r="M2531" s="1">
        <v>1.0</v>
      </c>
      <c r="N2531" s="1" t="s">
        <v>1152</v>
      </c>
      <c r="O2531" s="3" t="s">
        <v>7427</v>
      </c>
      <c r="P2531" s="1" t="s">
        <v>1152</v>
      </c>
      <c r="Q2531" s="1" t="s">
        <v>1152</v>
      </c>
      <c r="R2531" s="1"/>
      <c r="S2531" s="1"/>
      <c r="T2531" s="1" t="s">
        <v>1152</v>
      </c>
      <c r="U2531" s="1" t="s">
        <v>7909</v>
      </c>
      <c r="V2531" s="4" t="s">
        <v>7427</v>
      </c>
      <c r="W2531" s="1"/>
      <c r="X2531" s="1" t="s">
        <v>1152</v>
      </c>
      <c r="Y2531" s="1" t="s">
        <v>1152</v>
      </c>
      <c r="Z2531" s="1"/>
      <c r="AA2531" s="1"/>
      <c r="AB2531" s="1"/>
      <c r="AC2531" s="1" t="s">
        <v>1925</v>
      </c>
      <c r="AD2531" s="1"/>
      <c r="AE2531" s="18">
        <v>46143.0</v>
      </c>
      <c r="AF2531" s="1"/>
      <c r="AG2531" s="1"/>
      <c r="AH2531" s="1" t="s">
        <v>1152</v>
      </c>
      <c r="AI2531" s="1" t="s">
        <v>1152</v>
      </c>
      <c r="AJ2531" s="1" t="s">
        <v>6146</v>
      </c>
      <c r="AK2531" s="1" t="s">
        <v>1152</v>
      </c>
      <c r="AL2531" s="6"/>
      <c r="AM2531" s="12">
        <v>5.128156391E9</v>
      </c>
    </row>
    <row r="2532">
      <c r="A2532" s="5" t="s">
        <v>11938</v>
      </c>
      <c r="B2532" s="1" t="s">
        <v>11939</v>
      </c>
      <c r="C2532" s="1" t="s">
        <v>11940</v>
      </c>
      <c r="D2532" s="2">
        <v>3.147285258E9</v>
      </c>
      <c r="E2532" s="1" t="s">
        <v>6182</v>
      </c>
      <c r="F2532" s="1"/>
      <c r="G2532" s="1" t="s">
        <v>2350</v>
      </c>
      <c r="H2532" s="1" t="s">
        <v>1155</v>
      </c>
      <c r="I2532" s="1">
        <v>63130.0</v>
      </c>
      <c r="J2532" s="1" t="s">
        <v>752</v>
      </c>
      <c r="K2532" s="1" t="s">
        <v>2131</v>
      </c>
      <c r="L2532" s="1" t="s">
        <v>5767</v>
      </c>
      <c r="M2532" s="1">
        <v>1.0</v>
      </c>
      <c r="N2532" s="1" t="s">
        <v>1152</v>
      </c>
      <c r="O2532" s="3" t="s">
        <v>11941</v>
      </c>
      <c r="P2532" s="1" t="s">
        <v>1152</v>
      </c>
      <c r="Q2532" s="1" t="s">
        <v>1152</v>
      </c>
      <c r="R2532" s="1"/>
      <c r="S2532" s="1"/>
      <c r="T2532" s="1" t="s">
        <v>1152</v>
      </c>
      <c r="U2532" s="1" t="s">
        <v>1021</v>
      </c>
      <c r="V2532" s="4" t="s">
        <v>11941</v>
      </c>
      <c r="W2532" s="1"/>
      <c r="X2532" s="1" t="s">
        <v>1152</v>
      </c>
      <c r="Y2532" s="1" t="s">
        <v>1152</v>
      </c>
      <c r="Z2532" s="1"/>
      <c r="AA2532" s="1"/>
      <c r="AB2532" s="1"/>
      <c r="AC2532" s="1" t="s">
        <v>1925</v>
      </c>
      <c r="AD2532" s="1"/>
      <c r="AE2532" s="18">
        <v>46149.0</v>
      </c>
      <c r="AF2532" s="1"/>
      <c r="AG2532" s="1"/>
      <c r="AH2532" s="1" t="s">
        <v>1152</v>
      </c>
      <c r="AI2532" s="1" t="s">
        <v>1152</v>
      </c>
      <c r="AJ2532" s="1" t="s">
        <v>6182</v>
      </c>
      <c r="AK2532" s="1" t="s">
        <v>1152</v>
      </c>
      <c r="AL2532" s="6"/>
      <c r="AM2532" s="12">
        <v>3.147285258E9</v>
      </c>
    </row>
    <row r="2533">
      <c r="A2533" s="5" t="s">
        <v>11942</v>
      </c>
      <c r="B2533" s="1" t="s">
        <v>11943</v>
      </c>
      <c r="C2533" s="1" t="s">
        <v>8978</v>
      </c>
      <c r="D2533" s="2">
        <v>6.077937487E9</v>
      </c>
      <c r="E2533" s="1" t="s">
        <v>726</v>
      </c>
      <c r="F2533" s="1"/>
      <c r="G2533" s="1" t="s">
        <v>2609</v>
      </c>
      <c r="H2533" s="1" t="s">
        <v>1891</v>
      </c>
      <c r="I2533" s="1">
        <v>80220.0</v>
      </c>
      <c r="J2533" s="1" t="s">
        <v>752</v>
      </c>
      <c r="K2533" s="1" t="s">
        <v>2131</v>
      </c>
      <c r="L2533" s="1" t="s">
        <v>5767</v>
      </c>
      <c r="M2533" s="1">
        <v>1.0</v>
      </c>
      <c r="N2533" s="1" t="s">
        <v>1152</v>
      </c>
      <c r="O2533" s="3" t="s">
        <v>384</v>
      </c>
      <c r="P2533" s="1" t="s">
        <v>1152</v>
      </c>
      <c r="Q2533" s="1" t="s">
        <v>1152</v>
      </c>
      <c r="R2533" s="1"/>
      <c r="S2533" s="1"/>
      <c r="T2533" s="1" t="s">
        <v>1152</v>
      </c>
      <c r="U2533" s="1" t="s">
        <v>1133</v>
      </c>
      <c r="V2533" s="4" t="s">
        <v>384</v>
      </c>
      <c r="W2533" s="1"/>
      <c r="X2533" s="1" t="s">
        <v>1152</v>
      </c>
      <c r="Y2533" s="1" t="s">
        <v>1152</v>
      </c>
      <c r="Z2533" s="1"/>
      <c r="AA2533" s="1"/>
      <c r="AB2533" s="1"/>
      <c r="AC2533" s="1" t="s">
        <v>1925</v>
      </c>
      <c r="AD2533" s="1"/>
      <c r="AE2533" s="18">
        <v>46148.0</v>
      </c>
      <c r="AF2533" s="1"/>
      <c r="AG2533" s="1"/>
      <c r="AH2533" s="1" t="s">
        <v>1152</v>
      </c>
      <c r="AI2533" s="1" t="s">
        <v>1152</v>
      </c>
      <c r="AJ2533" s="1" t="s">
        <v>726</v>
      </c>
      <c r="AK2533" s="1" t="s">
        <v>1152</v>
      </c>
      <c r="AL2533" s="6"/>
      <c r="AM2533" s="12">
        <v>6.077937487E9</v>
      </c>
    </row>
    <row r="2534">
      <c r="A2534" s="5" t="s">
        <v>11944</v>
      </c>
      <c r="B2534" s="1" t="s">
        <v>11945</v>
      </c>
      <c r="C2534" s="1" t="s">
        <v>5441</v>
      </c>
      <c r="D2534" s="2">
        <v>3.144050174E9</v>
      </c>
      <c r="E2534" s="1" t="s">
        <v>5442</v>
      </c>
      <c r="F2534" s="1"/>
      <c r="G2534" s="1" t="s">
        <v>1283</v>
      </c>
      <c r="H2534" s="1" t="s">
        <v>1155</v>
      </c>
      <c r="I2534" s="1">
        <v>63144.0</v>
      </c>
      <c r="J2534" s="1" t="s">
        <v>752</v>
      </c>
      <c r="K2534" s="1" t="s">
        <v>2131</v>
      </c>
      <c r="L2534" s="1" t="s">
        <v>5736</v>
      </c>
      <c r="M2534" s="1">
        <v>1.0</v>
      </c>
      <c r="N2534" s="1" t="s">
        <v>1152</v>
      </c>
      <c r="O2534" s="3" t="s">
        <v>5443</v>
      </c>
      <c r="P2534" s="1" t="s">
        <v>1152</v>
      </c>
      <c r="Q2534" s="1" t="s">
        <v>1152</v>
      </c>
      <c r="R2534" s="1"/>
      <c r="S2534" s="1"/>
      <c r="T2534" s="1" t="s">
        <v>1152</v>
      </c>
      <c r="U2534" s="1" t="s">
        <v>7909</v>
      </c>
      <c r="V2534" s="4" t="s">
        <v>5443</v>
      </c>
      <c r="W2534" s="1"/>
      <c r="X2534" s="1" t="s">
        <v>1152</v>
      </c>
      <c r="Y2534" s="1" t="s">
        <v>1152</v>
      </c>
      <c r="Z2534" s="1"/>
      <c r="AA2534" s="1"/>
      <c r="AB2534" s="1"/>
      <c r="AC2534" s="1" t="s">
        <v>1925</v>
      </c>
      <c r="AD2534" s="1"/>
      <c r="AE2534" s="18">
        <v>46151.0</v>
      </c>
      <c r="AF2534" s="1"/>
      <c r="AG2534" s="1"/>
      <c r="AH2534" s="1" t="s">
        <v>1152</v>
      </c>
      <c r="AI2534" s="1" t="s">
        <v>1152</v>
      </c>
      <c r="AJ2534" s="1" t="s">
        <v>5442</v>
      </c>
      <c r="AK2534" s="1" t="s">
        <v>1152</v>
      </c>
      <c r="AL2534" s="6"/>
      <c r="AM2534" s="12">
        <v>3.144050174E9</v>
      </c>
    </row>
    <row r="2535">
      <c r="A2535" s="5" t="s">
        <v>11946</v>
      </c>
      <c r="B2535" s="1" t="s">
        <v>11947</v>
      </c>
      <c r="C2535" s="1" t="s">
        <v>11948</v>
      </c>
      <c r="D2535" s="2">
        <v>9.173921714E9</v>
      </c>
      <c r="E2535" s="1" t="s">
        <v>4086</v>
      </c>
      <c r="F2535" s="1"/>
      <c r="G2535" s="1" t="s">
        <v>751</v>
      </c>
      <c r="H2535" s="1" t="s">
        <v>751</v>
      </c>
      <c r="I2535" s="1">
        <v>10021.0</v>
      </c>
      <c r="J2535" s="1" t="s">
        <v>752</v>
      </c>
      <c r="K2535" s="1" t="s">
        <v>2131</v>
      </c>
      <c r="L2535" s="1" t="s">
        <v>5736</v>
      </c>
      <c r="M2535" s="1">
        <v>1.0</v>
      </c>
      <c r="N2535" s="1" t="s">
        <v>1152</v>
      </c>
      <c r="O2535" s="3" t="s">
        <v>7334</v>
      </c>
      <c r="P2535" s="1" t="s">
        <v>1152</v>
      </c>
      <c r="Q2535" s="1" t="s">
        <v>1152</v>
      </c>
      <c r="R2535" s="1"/>
      <c r="S2535" s="1"/>
      <c r="T2535" s="1" t="s">
        <v>1152</v>
      </c>
      <c r="U2535" s="1" t="s">
        <v>1441</v>
      </c>
      <c r="V2535" s="4" t="s">
        <v>7334</v>
      </c>
      <c r="W2535" s="1"/>
      <c r="X2535" s="1" t="s">
        <v>1152</v>
      </c>
      <c r="Y2535" s="1" t="s">
        <v>1152</v>
      </c>
      <c r="Z2535" s="1"/>
      <c r="AA2535" s="1"/>
      <c r="AB2535" s="1"/>
      <c r="AC2535" s="1" t="s">
        <v>1925</v>
      </c>
      <c r="AD2535" s="1"/>
      <c r="AE2535" s="18">
        <v>46144.0</v>
      </c>
      <c r="AF2535" s="1"/>
      <c r="AG2535" s="1"/>
      <c r="AH2535" s="1" t="s">
        <v>1152</v>
      </c>
      <c r="AI2535" s="1" t="s">
        <v>1152</v>
      </c>
      <c r="AJ2535" s="1" t="s">
        <v>4086</v>
      </c>
      <c r="AK2535" s="1" t="s">
        <v>1152</v>
      </c>
      <c r="AL2535" s="6"/>
      <c r="AM2535" s="12">
        <v>9.173921714E9</v>
      </c>
    </row>
    <row r="2536">
      <c r="A2536" s="5" t="s">
        <v>11949</v>
      </c>
      <c r="B2536" s="1" t="s">
        <v>11950</v>
      </c>
      <c r="C2536" s="1" t="s">
        <v>10723</v>
      </c>
      <c r="D2536" s="2">
        <v>16467348680</v>
      </c>
      <c r="E2536" s="1" t="s">
        <v>1380</v>
      </c>
      <c r="F2536" s="1"/>
      <c r="G2536" s="1" t="s">
        <v>1382</v>
      </c>
      <c r="H2536" s="1" t="s">
        <v>751</v>
      </c>
      <c r="I2536" s="1">
        <v>10583.0</v>
      </c>
      <c r="J2536" s="1" t="s">
        <v>752</v>
      </c>
      <c r="K2536" s="1" t="s">
        <v>2131</v>
      </c>
      <c r="L2536" s="1" t="s">
        <v>5811</v>
      </c>
      <c r="M2536" s="1">
        <v>1.0</v>
      </c>
      <c r="N2536" s="1" t="s">
        <v>1152</v>
      </c>
      <c r="O2536" s="3" t="s">
        <v>1185</v>
      </c>
      <c r="P2536" s="1" t="s">
        <v>1152</v>
      </c>
      <c r="Q2536" s="1" t="s">
        <v>1152</v>
      </c>
      <c r="R2536" s="1"/>
      <c r="S2536" s="1"/>
      <c r="T2536" s="1" t="s">
        <v>1152</v>
      </c>
      <c r="U2536" s="1" t="s">
        <v>1324</v>
      </c>
      <c r="V2536" s="4" t="s">
        <v>1185</v>
      </c>
      <c r="W2536" s="1"/>
      <c r="X2536" s="1" t="s">
        <v>1152</v>
      </c>
      <c r="Y2536" s="1" t="s">
        <v>1152</v>
      </c>
      <c r="Z2536" s="1"/>
      <c r="AA2536" s="1"/>
      <c r="AB2536" s="1"/>
      <c r="AC2536" s="1" t="s">
        <v>1925</v>
      </c>
      <c r="AD2536" s="1"/>
      <c r="AE2536" s="18">
        <v>46147.0</v>
      </c>
      <c r="AF2536" s="1"/>
      <c r="AG2536" s="1"/>
      <c r="AH2536" s="1" t="s">
        <v>1152</v>
      </c>
      <c r="AI2536" s="1" t="s">
        <v>1152</v>
      </c>
      <c r="AJ2536" s="1" t="s">
        <v>10727</v>
      </c>
      <c r="AK2536" s="1" t="s">
        <v>1152</v>
      </c>
      <c r="AL2536" s="6"/>
      <c r="AM2536" s="12" t="s">
        <v>11951</v>
      </c>
    </row>
    <row r="2537">
      <c r="A2537" s="5" t="s">
        <v>11952</v>
      </c>
      <c r="B2537" s="1" t="s">
        <v>11953</v>
      </c>
      <c r="C2537" s="1" t="s">
        <v>11954</v>
      </c>
      <c r="D2537" s="2">
        <v>7.737151169E9</v>
      </c>
      <c r="E2537" s="1" t="s">
        <v>11955</v>
      </c>
      <c r="F2537" s="1"/>
      <c r="G2537" s="1" t="s">
        <v>11956</v>
      </c>
      <c r="H2537" s="1" t="s">
        <v>1019</v>
      </c>
      <c r="I2537" s="1">
        <v>60047.0</v>
      </c>
      <c r="J2537" s="1" t="s">
        <v>752</v>
      </c>
      <c r="K2537" s="1" t="s">
        <v>2131</v>
      </c>
      <c r="L2537" s="1" t="s">
        <v>5767</v>
      </c>
      <c r="M2537" s="1">
        <v>1.0</v>
      </c>
      <c r="N2537" s="1" t="s">
        <v>1152</v>
      </c>
      <c r="O2537" s="3" t="s">
        <v>11957</v>
      </c>
      <c r="P2537" s="1" t="s">
        <v>1152</v>
      </c>
      <c r="Q2537" s="1" t="s">
        <v>1152</v>
      </c>
      <c r="R2537" s="1"/>
      <c r="S2537" s="1"/>
      <c r="T2537" s="1" t="s">
        <v>1152</v>
      </c>
      <c r="U2537" s="1" t="s">
        <v>1812</v>
      </c>
      <c r="V2537" s="4" t="s">
        <v>11957</v>
      </c>
      <c r="W2537" s="1"/>
      <c r="X2537" s="1" t="s">
        <v>1152</v>
      </c>
      <c r="Y2537" s="1" t="s">
        <v>1152</v>
      </c>
      <c r="Z2537" s="1"/>
      <c r="AA2537" s="1"/>
      <c r="AB2537" s="1"/>
      <c r="AC2537" s="1" t="s">
        <v>1925</v>
      </c>
      <c r="AD2537" s="1"/>
      <c r="AE2537" s="18">
        <v>46149.0</v>
      </c>
      <c r="AF2537" s="1"/>
      <c r="AG2537" s="1"/>
      <c r="AH2537" s="1" t="s">
        <v>1152</v>
      </c>
      <c r="AI2537" s="1" t="s">
        <v>1152</v>
      </c>
      <c r="AJ2537" s="1" t="s">
        <v>11955</v>
      </c>
      <c r="AK2537" s="1" t="s">
        <v>1152</v>
      </c>
      <c r="AL2537" s="6"/>
      <c r="AM2537" s="12">
        <v>7.737151169E9</v>
      </c>
    </row>
    <row r="2538">
      <c r="A2538" s="5" t="s">
        <v>11958</v>
      </c>
      <c r="B2538" s="1" t="s">
        <v>11959</v>
      </c>
      <c r="C2538" s="1" t="s">
        <v>11960</v>
      </c>
      <c r="D2538" s="2">
        <v>7.744070219E9</v>
      </c>
      <c r="E2538" s="1" t="s">
        <v>7062</v>
      </c>
      <c r="F2538" s="1"/>
      <c r="G2538" s="1" t="s">
        <v>1120</v>
      </c>
      <c r="H2538" s="1" t="s">
        <v>1121</v>
      </c>
      <c r="I2538" s="1">
        <v>2132.0</v>
      </c>
      <c r="J2538" s="1" t="s">
        <v>752</v>
      </c>
      <c r="K2538" s="1" t="s">
        <v>2131</v>
      </c>
      <c r="L2538" s="1" t="s">
        <v>5767</v>
      </c>
      <c r="M2538" s="1">
        <v>1.0</v>
      </c>
      <c r="N2538" s="1" t="s">
        <v>1152</v>
      </c>
      <c r="O2538" s="3" t="s">
        <v>5693</v>
      </c>
      <c r="P2538" s="1" t="s">
        <v>1152</v>
      </c>
      <c r="Q2538" s="1" t="s">
        <v>1152</v>
      </c>
      <c r="R2538" s="1"/>
      <c r="S2538" s="1"/>
      <c r="T2538" s="1" t="s">
        <v>1152</v>
      </c>
      <c r="U2538" s="1" t="s">
        <v>1376</v>
      </c>
      <c r="V2538" s="4" t="s">
        <v>5693</v>
      </c>
      <c r="W2538" s="1"/>
      <c r="X2538" s="1" t="s">
        <v>1152</v>
      </c>
      <c r="Y2538" s="1" t="s">
        <v>1152</v>
      </c>
      <c r="Z2538" s="1"/>
      <c r="AA2538" s="1"/>
      <c r="AB2538" s="1"/>
      <c r="AC2538" s="1" t="s">
        <v>1925</v>
      </c>
      <c r="AD2538" s="1"/>
      <c r="AE2538" s="18">
        <v>46147.0</v>
      </c>
      <c r="AF2538" s="1"/>
      <c r="AG2538" s="1"/>
      <c r="AH2538" s="1" t="s">
        <v>1152</v>
      </c>
      <c r="AI2538" s="1" t="s">
        <v>1152</v>
      </c>
      <c r="AJ2538" s="1" t="s">
        <v>7062</v>
      </c>
      <c r="AK2538" s="1" t="s">
        <v>1152</v>
      </c>
      <c r="AL2538" s="6"/>
      <c r="AM2538" s="12">
        <v>7.744070219E9</v>
      </c>
    </row>
    <row r="2539">
      <c r="A2539" s="5" t="s">
        <v>11961</v>
      </c>
      <c r="B2539" s="1" t="s">
        <v>11962</v>
      </c>
      <c r="C2539" s="1" t="s">
        <v>11963</v>
      </c>
      <c r="D2539" s="2">
        <v>2.24551004E9</v>
      </c>
      <c r="E2539" s="1" t="s">
        <v>9320</v>
      </c>
      <c r="F2539" s="1"/>
      <c r="G2539" s="1" t="s">
        <v>1634</v>
      </c>
      <c r="H2539" s="1" t="s">
        <v>1019</v>
      </c>
      <c r="I2539" s="1">
        <v>60015.0</v>
      </c>
      <c r="J2539" s="1" t="s">
        <v>752</v>
      </c>
      <c r="K2539" s="1" t="s">
        <v>2131</v>
      </c>
      <c r="L2539" s="1" t="s">
        <v>5736</v>
      </c>
      <c r="M2539" s="1">
        <v>1.0</v>
      </c>
      <c r="N2539" s="1" t="s">
        <v>1152</v>
      </c>
      <c r="O2539" s="3" t="s">
        <v>1635</v>
      </c>
      <c r="P2539" s="1" t="s">
        <v>1152</v>
      </c>
      <c r="Q2539" s="1" t="s">
        <v>1152</v>
      </c>
      <c r="R2539" s="1"/>
      <c r="S2539" s="1"/>
      <c r="T2539" s="1" t="s">
        <v>1152</v>
      </c>
      <c r="U2539" s="1" t="s">
        <v>1133</v>
      </c>
      <c r="V2539" s="4" t="s">
        <v>1635</v>
      </c>
      <c r="W2539" s="1"/>
      <c r="X2539" s="1" t="s">
        <v>1152</v>
      </c>
      <c r="Y2539" s="1" t="s">
        <v>1152</v>
      </c>
      <c r="Z2539" s="1"/>
      <c r="AA2539" s="1"/>
      <c r="AB2539" s="1"/>
      <c r="AC2539" s="1" t="s">
        <v>1925</v>
      </c>
      <c r="AD2539" s="1"/>
      <c r="AE2539" s="18">
        <v>46148.0</v>
      </c>
      <c r="AF2539" s="1"/>
      <c r="AG2539" s="1"/>
      <c r="AH2539" s="1" t="s">
        <v>1152</v>
      </c>
      <c r="AI2539" s="1" t="s">
        <v>1152</v>
      </c>
      <c r="AJ2539" s="1" t="s">
        <v>9320</v>
      </c>
      <c r="AK2539" s="1" t="s">
        <v>1152</v>
      </c>
      <c r="AL2539" s="6"/>
      <c r="AM2539" s="12">
        <v>2.24551004E9</v>
      </c>
    </row>
    <row r="2540">
      <c r="A2540" s="5" t="s">
        <v>11964</v>
      </c>
      <c r="B2540" s="1" t="s">
        <v>11965</v>
      </c>
      <c r="C2540" s="1" t="s">
        <v>1580</v>
      </c>
      <c r="D2540" s="2">
        <v>5.126995645E9</v>
      </c>
      <c r="E2540" s="1" t="s">
        <v>5946</v>
      </c>
      <c r="F2540" s="1"/>
      <c r="G2540" s="1" t="s">
        <v>1582</v>
      </c>
      <c r="H2540" s="1" t="s">
        <v>1583</v>
      </c>
      <c r="I2540" s="1">
        <v>78731.0</v>
      </c>
      <c r="J2540" s="1" t="s">
        <v>752</v>
      </c>
      <c r="K2540" s="1" t="s">
        <v>2131</v>
      </c>
      <c r="L2540" s="1" t="s">
        <v>5767</v>
      </c>
      <c r="M2540" s="1">
        <v>1.0</v>
      </c>
      <c r="N2540" s="1" t="s">
        <v>1152</v>
      </c>
      <c r="O2540" s="3" t="s">
        <v>7856</v>
      </c>
      <c r="P2540" s="1" t="s">
        <v>1152</v>
      </c>
      <c r="Q2540" s="1" t="s">
        <v>1152</v>
      </c>
      <c r="R2540" s="1"/>
      <c r="S2540" s="1"/>
      <c r="T2540" s="1" t="s">
        <v>1152</v>
      </c>
      <c r="U2540" s="1" t="s">
        <v>1487</v>
      </c>
      <c r="V2540" s="4" t="s">
        <v>7856</v>
      </c>
      <c r="W2540" s="1"/>
      <c r="X2540" s="1" t="s">
        <v>1152</v>
      </c>
      <c r="Y2540" s="1" t="s">
        <v>1152</v>
      </c>
      <c r="Z2540" s="1"/>
      <c r="AA2540" s="1"/>
      <c r="AB2540" s="1"/>
      <c r="AC2540" s="1" t="s">
        <v>1925</v>
      </c>
      <c r="AD2540" s="1"/>
      <c r="AE2540" s="18">
        <v>46148.0</v>
      </c>
      <c r="AF2540" s="1"/>
      <c r="AG2540" s="1"/>
      <c r="AH2540" s="1" t="s">
        <v>1152</v>
      </c>
      <c r="AI2540" s="1" t="s">
        <v>1152</v>
      </c>
      <c r="AJ2540" s="1" t="s">
        <v>1581</v>
      </c>
      <c r="AK2540" s="1" t="s">
        <v>1152</v>
      </c>
      <c r="AL2540" s="6"/>
      <c r="AM2540" s="12">
        <v>5.12915195E9</v>
      </c>
    </row>
    <row r="2541">
      <c r="A2541" s="5" t="s">
        <v>11966</v>
      </c>
      <c r="B2541" s="1" t="s">
        <v>11967</v>
      </c>
      <c r="C2541" s="1" t="s">
        <v>11165</v>
      </c>
      <c r="D2541" s="2">
        <v>3.038081617E9</v>
      </c>
      <c r="E2541" s="1" t="s">
        <v>11968</v>
      </c>
      <c r="F2541" s="1"/>
      <c r="G2541" s="1" t="s">
        <v>6252</v>
      </c>
      <c r="H2541" s="1" t="s">
        <v>1891</v>
      </c>
      <c r="I2541" s="1">
        <v>80111.0</v>
      </c>
      <c r="J2541" s="1" t="s">
        <v>752</v>
      </c>
      <c r="K2541" s="1" t="s">
        <v>2131</v>
      </c>
      <c r="L2541" s="1" t="s">
        <v>5767</v>
      </c>
      <c r="M2541" s="1">
        <v>1.0</v>
      </c>
      <c r="N2541" s="1" t="s">
        <v>1152</v>
      </c>
      <c r="O2541" s="3" t="s">
        <v>6253</v>
      </c>
      <c r="P2541" s="1" t="s">
        <v>1152</v>
      </c>
      <c r="Q2541" s="1" t="s">
        <v>1152</v>
      </c>
      <c r="R2541" s="1"/>
      <c r="S2541" s="1"/>
      <c r="T2541" s="1" t="s">
        <v>1152</v>
      </c>
      <c r="U2541" s="1" t="s">
        <v>1039</v>
      </c>
      <c r="V2541" s="4" t="s">
        <v>6253</v>
      </c>
      <c r="W2541" s="1"/>
      <c r="X2541" s="1" t="s">
        <v>1152</v>
      </c>
      <c r="Y2541" s="1" t="s">
        <v>1152</v>
      </c>
      <c r="Z2541" s="1"/>
      <c r="AA2541" s="1"/>
      <c r="AB2541" s="1"/>
      <c r="AC2541" s="1" t="s">
        <v>1925</v>
      </c>
      <c r="AD2541" s="1"/>
      <c r="AE2541" s="18">
        <v>46149.0</v>
      </c>
      <c r="AF2541" s="1"/>
      <c r="AG2541" s="1"/>
      <c r="AH2541" s="1" t="s">
        <v>1152</v>
      </c>
      <c r="AI2541" s="1" t="s">
        <v>1152</v>
      </c>
      <c r="AJ2541" s="1" t="s">
        <v>11969</v>
      </c>
      <c r="AK2541" s="1" t="s">
        <v>1152</v>
      </c>
      <c r="AL2541" s="6"/>
      <c r="AM2541" s="12">
        <v>7.203669699E9</v>
      </c>
    </row>
    <row r="2542">
      <c r="A2542" s="5" t="s">
        <v>11970</v>
      </c>
      <c r="B2542" s="1" t="s">
        <v>11971</v>
      </c>
      <c r="C2542" s="1" t="s">
        <v>9465</v>
      </c>
      <c r="D2542" s="2">
        <v>2.094852901E9</v>
      </c>
      <c r="E2542" s="1" t="s">
        <v>6731</v>
      </c>
      <c r="F2542" s="1"/>
      <c r="G2542" s="1" t="s">
        <v>6732</v>
      </c>
      <c r="H2542" s="1" t="s">
        <v>989</v>
      </c>
      <c r="I2542" s="1">
        <v>95380.0</v>
      </c>
      <c r="J2542" s="1" t="s">
        <v>752</v>
      </c>
      <c r="K2542" s="1" t="s">
        <v>2131</v>
      </c>
      <c r="L2542" s="1" t="s">
        <v>5767</v>
      </c>
      <c r="M2542" s="1">
        <v>1.0</v>
      </c>
      <c r="N2542" s="1" t="s">
        <v>1152</v>
      </c>
      <c r="O2542" s="3" t="s">
        <v>6733</v>
      </c>
      <c r="P2542" s="1" t="s">
        <v>1152</v>
      </c>
      <c r="Q2542" s="1" t="s">
        <v>1152</v>
      </c>
      <c r="R2542" s="1"/>
      <c r="S2542" s="1"/>
      <c r="T2542" s="1" t="s">
        <v>1152</v>
      </c>
      <c r="U2542" s="1" t="s">
        <v>6053</v>
      </c>
      <c r="V2542" s="4" t="s">
        <v>6733</v>
      </c>
      <c r="W2542" s="1"/>
      <c r="X2542" s="1" t="s">
        <v>1152</v>
      </c>
      <c r="Y2542" s="1" t="s">
        <v>1152</v>
      </c>
      <c r="Z2542" s="1"/>
      <c r="AA2542" s="1"/>
      <c r="AB2542" s="1"/>
      <c r="AC2542" s="1" t="s">
        <v>1925</v>
      </c>
      <c r="AD2542" s="1"/>
      <c r="AE2542" s="18">
        <v>46149.0</v>
      </c>
      <c r="AF2542" s="1"/>
      <c r="AG2542" s="1"/>
      <c r="AH2542" s="1" t="s">
        <v>1152</v>
      </c>
      <c r="AI2542" s="1" t="s">
        <v>1152</v>
      </c>
      <c r="AJ2542" s="1" t="s">
        <v>6734</v>
      </c>
      <c r="AK2542" s="1" t="s">
        <v>1152</v>
      </c>
      <c r="AL2542" s="6"/>
      <c r="AM2542" s="12">
        <v>2.092027394E9</v>
      </c>
    </row>
    <row r="2543">
      <c r="A2543" s="5" t="s">
        <v>11972</v>
      </c>
      <c r="B2543" s="1" t="s">
        <v>11973</v>
      </c>
      <c r="C2543" s="1" t="s">
        <v>8938</v>
      </c>
      <c r="D2543" s="2">
        <v>5.163805641E9</v>
      </c>
      <c r="E2543" s="1" t="s">
        <v>4270</v>
      </c>
      <c r="F2543" s="1"/>
      <c r="G2543" s="1" t="s">
        <v>1485</v>
      </c>
      <c r="H2543" s="1" t="s">
        <v>751</v>
      </c>
      <c r="I2543" s="1">
        <v>10591.0</v>
      </c>
      <c r="J2543" s="1" t="s">
        <v>752</v>
      </c>
      <c r="K2543" s="1" t="s">
        <v>2131</v>
      </c>
      <c r="L2543" s="1" t="s">
        <v>5767</v>
      </c>
      <c r="M2543" s="1">
        <v>1.0</v>
      </c>
      <c r="N2543" s="1" t="s">
        <v>1152</v>
      </c>
      <c r="O2543" s="3" t="s">
        <v>2035</v>
      </c>
      <c r="P2543" s="1" t="s">
        <v>1152</v>
      </c>
      <c r="Q2543" s="1" t="s">
        <v>1152</v>
      </c>
      <c r="R2543" s="1"/>
      <c r="S2543" s="1"/>
      <c r="T2543" s="1" t="s">
        <v>1152</v>
      </c>
      <c r="U2543" s="1" t="s">
        <v>1080</v>
      </c>
      <c r="V2543" s="4" t="s">
        <v>2035</v>
      </c>
      <c r="W2543" s="1"/>
      <c r="X2543" s="1" t="s">
        <v>1152</v>
      </c>
      <c r="Y2543" s="1" t="s">
        <v>1152</v>
      </c>
      <c r="Z2543" s="1"/>
      <c r="AA2543" s="1"/>
      <c r="AB2543" s="1"/>
      <c r="AC2543" s="1" t="s">
        <v>1925</v>
      </c>
      <c r="AD2543" s="1"/>
      <c r="AE2543" s="18">
        <v>46148.0</v>
      </c>
      <c r="AF2543" s="1"/>
      <c r="AG2543" s="1"/>
      <c r="AH2543" s="1" t="s">
        <v>1152</v>
      </c>
      <c r="AI2543" s="1" t="s">
        <v>1152</v>
      </c>
      <c r="AJ2543" s="1" t="s">
        <v>533</v>
      </c>
      <c r="AK2543" s="1" t="s">
        <v>1152</v>
      </c>
      <c r="AL2543" s="6"/>
      <c r="AM2543" s="12">
        <v>6.462458563E9</v>
      </c>
    </row>
    <row r="2544">
      <c r="A2544" s="5" t="s">
        <v>11974</v>
      </c>
      <c r="B2544" s="1" t="s">
        <v>11975</v>
      </c>
      <c r="C2544" s="1" t="s">
        <v>11976</v>
      </c>
      <c r="D2544" s="2">
        <v>2.485905519E9</v>
      </c>
      <c r="E2544" s="1" t="s">
        <v>10761</v>
      </c>
      <c r="F2544" s="1"/>
      <c r="G2544" s="1" t="s">
        <v>4370</v>
      </c>
      <c r="H2544" s="1" t="s">
        <v>1691</v>
      </c>
      <c r="I2544" s="1">
        <v>48009.0</v>
      </c>
      <c r="J2544" s="1" t="s">
        <v>752</v>
      </c>
      <c r="K2544" s="1" t="s">
        <v>2131</v>
      </c>
      <c r="L2544" s="1" t="s">
        <v>5767</v>
      </c>
      <c r="M2544" s="1">
        <v>1.0</v>
      </c>
      <c r="N2544" s="1" t="s">
        <v>1152</v>
      </c>
      <c r="O2544" s="3" t="s">
        <v>4371</v>
      </c>
      <c r="P2544" s="1" t="s">
        <v>1152</v>
      </c>
      <c r="Q2544" s="1" t="s">
        <v>1152</v>
      </c>
      <c r="R2544" s="1"/>
      <c r="S2544" s="1"/>
      <c r="T2544" s="1" t="s">
        <v>1152</v>
      </c>
      <c r="U2544" s="1" t="s">
        <v>1080</v>
      </c>
      <c r="V2544" s="4" t="s">
        <v>4371</v>
      </c>
      <c r="W2544" s="1"/>
      <c r="X2544" s="1" t="s">
        <v>1152</v>
      </c>
      <c r="Y2544" s="1" t="s">
        <v>1152</v>
      </c>
      <c r="Z2544" s="1"/>
      <c r="AA2544" s="1"/>
      <c r="AB2544" s="1"/>
      <c r="AC2544" s="1" t="s">
        <v>1925</v>
      </c>
      <c r="AD2544" s="1"/>
      <c r="AE2544" s="18">
        <v>46151.0</v>
      </c>
      <c r="AF2544" s="1"/>
      <c r="AG2544" s="1"/>
      <c r="AH2544" s="1" t="s">
        <v>1152</v>
      </c>
      <c r="AI2544" s="1" t="s">
        <v>1152</v>
      </c>
      <c r="AJ2544" s="1" t="s">
        <v>10761</v>
      </c>
      <c r="AK2544" s="1" t="s">
        <v>1152</v>
      </c>
      <c r="AL2544" s="6"/>
      <c r="AM2544" s="12">
        <v>2.485905519E9</v>
      </c>
    </row>
    <row r="2545">
      <c r="A2545" s="5" t="s">
        <v>11977</v>
      </c>
      <c r="B2545" s="1" t="s">
        <v>11978</v>
      </c>
      <c r="C2545" s="1" t="s">
        <v>10871</v>
      </c>
      <c r="D2545" s="2">
        <v>9.707613003E9</v>
      </c>
      <c r="E2545" s="1" t="s">
        <v>5680</v>
      </c>
      <c r="F2545" s="1"/>
      <c r="G2545" s="1" t="s">
        <v>7936</v>
      </c>
      <c r="H2545" s="1" t="s">
        <v>1891</v>
      </c>
      <c r="I2545" s="1">
        <v>80104.0</v>
      </c>
      <c r="J2545" s="1" t="s">
        <v>752</v>
      </c>
      <c r="K2545" s="1" t="s">
        <v>2131</v>
      </c>
      <c r="L2545" s="1" t="s">
        <v>5811</v>
      </c>
      <c r="M2545" s="1">
        <v>1.0</v>
      </c>
      <c r="N2545" s="1" t="s">
        <v>1152</v>
      </c>
      <c r="O2545" s="3" t="s">
        <v>10872</v>
      </c>
      <c r="P2545" s="1" t="s">
        <v>1152</v>
      </c>
      <c r="Q2545" s="1" t="s">
        <v>1152</v>
      </c>
      <c r="R2545" s="1"/>
      <c r="S2545" s="1"/>
      <c r="T2545" s="1" t="s">
        <v>1152</v>
      </c>
      <c r="U2545" s="1" t="s">
        <v>1167</v>
      </c>
      <c r="V2545" s="4" t="s">
        <v>10872</v>
      </c>
      <c r="W2545" s="1"/>
      <c r="X2545" s="1" t="s">
        <v>1152</v>
      </c>
      <c r="Y2545" s="1" t="s">
        <v>1152</v>
      </c>
      <c r="Z2545" s="1"/>
      <c r="AA2545" s="1"/>
      <c r="AB2545" s="1"/>
      <c r="AC2545" s="1" t="s">
        <v>1925</v>
      </c>
      <c r="AD2545" s="1"/>
      <c r="AE2545" s="18">
        <v>46148.0</v>
      </c>
      <c r="AF2545" s="1"/>
      <c r="AG2545" s="1"/>
      <c r="AH2545" s="1" t="s">
        <v>1152</v>
      </c>
      <c r="AI2545" s="1" t="s">
        <v>1152</v>
      </c>
      <c r="AJ2545" s="1" t="s">
        <v>5680</v>
      </c>
      <c r="AK2545" s="1" t="s">
        <v>1152</v>
      </c>
      <c r="AL2545" s="6"/>
      <c r="AM2545" s="12">
        <v>9.707613003E9</v>
      </c>
    </row>
    <row r="2546">
      <c r="A2546" s="5" t="s">
        <v>11979</v>
      </c>
      <c r="B2546" s="1" t="s">
        <v>11980</v>
      </c>
      <c r="C2546" s="1" t="s">
        <v>10271</v>
      </c>
      <c r="D2546" s="2">
        <v>9.177155789E9</v>
      </c>
      <c r="E2546" s="1" t="s">
        <v>1720</v>
      </c>
      <c r="F2546" s="1"/>
      <c r="G2546" s="1" t="s">
        <v>751</v>
      </c>
      <c r="H2546" s="1" t="s">
        <v>751</v>
      </c>
      <c r="I2546" s="1">
        <v>10013.0</v>
      </c>
      <c r="J2546" s="1" t="s">
        <v>752</v>
      </c>
      <c r="K2546" s="1" t="s">
        <v>2131</v>
      </c>
      <c r="L2546" s="1" t="s">
        <v>5736</v>
      </c>
      <c r="M2546" s="1">
        <v>1.0</v>
      </c>
      <c r="N2546" s="1" t="s">
        <v>1152</v>
      </c>
      <c r="O2546" s="3" t="s">
        <v>9603</v>
      </c>
      <c r="P2546" s="1" t="s">
        <v>1152</v>
      </c>
      <c r="Q2546" s="1" t="s">
        <v>1152</v>
      </c>
      <c r="R2546" s="1"/>
      <c r="S2546" s="1"/>
      <c r="T2546" s="1" t="s">
        <v>1152</v>
      </c>
      <c r="U2546" s="1" t="s">
        <v>1080</v>
      </c>
      <c r="V2546" s="4" t="s">
        <v>9603</v>
      </c>
      <c r="W2546" s="1"/>
      <c r="X2546" s="1" t="s">
        <v>1152</v>
      </c>
      <c r="Y2546" s="1" t="s">
        <v>1152</v>
      </c>
      <c r="Z2546" s="1"/>
      <c r="AA2546" s="1"/>
      <c r="AB2546" s="1"/>
      <c r="AC2546" s="1" t="s">
        <v>1925</v>
      </c>
      <c r="AD2546" s="1"/>
      <c r="AE2546" s="18">
        <v>46143.0</v>
      </c>
      <c r="AF2546" s="1"/>
      <c r="AG2546" s="1"/>
      <c r="AH2546" s="1" t="s">
        <v>1152</v>
      </c>
      <c r="AI2546" s="1" t="s">
        <v>1152</v>
      </c>
      <c r="AJ2546" s="1" t="s">
        <v>11528</v>
      </c>
      <c r="AK2546" s="1" t="s">
        <v>1152</v>
      </c>
      <c r="AL2546" s="6"/>
      <c r="AM2546" s="12">
        <v>6.464833249E9</v>
      </c>
    </row>
    <row r="2547">
      <c r="A2547" s="5" t="s">
        <v>11981</v>
      </c>
      <c r="B2547" s="1" t="s">
        <v>11982</v>
      </c>
      <c r="C2547" s="1" t="s">
        <v>8617</v>
      </c>
      <c r="D2547" s="2">
        <v>3.015125184E9</v>
      </c>
      <c r="E2547" s="1" t="s">
        <v>928</v>
      </c>
      <c r="F2547" s="1"/>
      <c r="G2547" s="1" t="s">
        <v>1299</v>
      </c>
      <c r="H2547" s="1" t="s">
        <v>1005</v>
      </c>
      <c r="I2547" s="1">
        <v>20817.0</v>
      </c>
      <c r="J2547" s="1" t="s">
        <v>752</v>
      </c>
      <c r="K2547" s="1" t="s">
        <v>2131</v>
      </c>
      <c r="L2547" s="1" t="s">
        <v>5811</v>
      </c>
      <c r="M2547" s="1">
        <v>1.0</v>
      </c>
      <c r="N2547" s="1" t="s">
        <v>1152</v>
      </c>
      <c r="O2547" s="3" t="s">
        <v>287</v>
      </c>
      <c r="P2547" s="1" t="s">
        <v>1152</v>
      </c>
      <c r="Q2547" s="1" t="s">
        <v>1152</v>
      </c>
      <c r="R2547" s="1"/>
      <c r="S2547" s="1"/>
      <c r="T2547" s="1" t="s">
        <v>1152</v>
      </c>
      <c r="U2547" s="1" t="s">
        <v>1080</v>
      </c>
      <c r="V2547" s="4" t="s">
        <v>287</v>
      </c>
      <c r="W2547" s="1"/>
      <c r="X2547" s="1" t="s">
        <v>1152</v>
      </c>
      <c r="Y2547" s="1" t="s">
        <v>1152</v>
      </c>
      <c r="Z2547" s="1"/>
      <c r="AA2547" s="1"/>
      <c r="AB2547" s="1"/>
      <c r="AC2547" s="1" t="s">
        <v>1925</v>
      </c>
      <c r="AD2547" s="1"/>
      <c r="AE2547" s="18">
        <v>46149.0</v>
      </c>
      <c r="AF2547" s="1"/>
      <c r="AG2547" s="1"/>
      <c r="AH2547" s="1" t="s">
        <v>1152</v>
      </c>
      <c r="AI2547" s="1" t="s">
        <v>1152</v>
      </c>
      <c r="AJ2547" s="1" t="s">
        <v>928</v>
      </c>
      <c r="AK2547" s="1" t="s">
        <v>1152</v>
      </c>
      <c r="AL2547" s="6"/>
      <c r="AM2547" s="12">
        <v>3.015125184E9</v>
      </c>
    </row>
    <row r="2548">
      <c r="A2548" s="5" t="s">
        <v>11983</v>
      </c>
      <c r="B2548" s="1" t="s">
        <v>11984</v>
      </c>
      <c r="C2548" s="1" t="s">
        <v>11985</v>
      </c>
      <c r="D2548" s="2">
        <v>2.018995079E9</v>
      </c>
      <c r="E2548" s="1" t="s">
        <v>6188</v>
      </c>
      <c r="F2548" s="1"/>
      <c r="G2548" s="1" t="s">
        <v>4744</v>
      </c>
      <c r="H2548" s="1" t="s">
        <v>1583</v>
      </c>
      <c r="I2548" s="1">
        <v>75078.0</v>
      </c>
      <c r="J2548" s="1" t="s">
        <v>752</v>
      </c>
      <c r="K2548" s="1" t="s">
        <v>2131</v>
      </c>
      <c r="L2548" s="1" t="s">
        <v>5767</v>
      </c>
      <c r="M2548" s="1">
        <v>1.0</v>
      </c>
      <c r="N2548" s="1" t="s">
        <v>1152</v>
      </c>
      <c r="O2548" s="3" t="s">
        <v>2200</v>
      </c>
      <c r="P2548" s="1" t="s">
        <v>1152</v>
      </c>
      <c r="Q2548" s="1" t="s">
        <v>1152</v>
      </c>
      <c r="R2548" s="1"/>
      <c r="S2548" s="1"/>
      <c r="T2548" s="1" t="s">
        <v>1152</v>
      </c>
      <c r="U2548" s="1" t="s">
        <v>1039</v>
      </c>
      <c r="V2548" s="4" t="s">
        <v>2200</v>
      </c>
      <c r="W2548" s="1"/>
      <c r="X2548" s="1" t="s">
        <v>1152</v>
      </c>
      <c r="Y2548" s="1" t="s">
        <v>1152</v>
      </c>
      <c r="Z2548" s="1"/>
      <c r="AA2548" s="1"/>
      <c r="AB2548" s="1"/>
      <c r="AC2548" s="1" t="s">
        <v>1925</v>
      </c>
      <c r="AD2548" s="1"/>
      <c r="AE2548" s="18">
        <v>46149.0</v>
      </c>
      <c r="AF2548" s="1"/>
      <c r="AG2548" s="1"/>
      <c r="AH2548" s="1" t="s">
        <v>1152</v>
      </c>
      <c r="AI2548" s="1" t="s">
        <v>1152</v>
      </c>
      <c r="AJ2548" s="1" t="s">
        <v>6188</v>
      </c>
      <c r="AK2548" s="1" t="s">
        <v>1152</v>
      </c>
      <c r="AL2548" s="6"/>
      <c r="AM2548" s="12">
        <v>2.018995079E9</v>
      </c>
    </row>
    <row r="2549">
      <c r="A2549" s="5" t="s">
        <v>11986</v>
      </c>
      <c r="B2549" s="1" t="s">
        <v>11987</v>
      </c>
      <c r="C2549" s="1" t="s">
        <v>182</v>
      </c>
      <c r="D2549" s="2">
        <v>6.788306322E9</v>
      </c>
      <c r="E2549" s="1" t="s">
        <v>697</v>
      </c>
      <c r="F2549" s="1"/>
      <c r="G2549" s="1" t="s">
        <v>9181</v>
      </c>
      <c r="H2549" s="1" t="s">
        <v>946</v>
      </c>
      <c r="I2549" s="1">
        <v>30087.0</v>
      </c>
      <c r="J2549" s="1" t="s">
        <v>752</v>
      </c>
      <c r="K2549" s="1" t="s">
        <v>2131</v>
      </c>
      <c r="L2549" s="1" t="s">
        <v>5767</v>
      </c>
      <c r="M2549" s="1">
        <v>1.0</v>
      </c>
      <c r="N2549" s="1" t="s">
        <v>1152</v>
      </c>
      <c r="O2549" s="3" t="s">
        <v>187</v>
      </c>
      <c r="P2549" s="1" t="s">
        <v>1152</v>
      </c>
      <c r="Q2549" s="1" t="s">
        <v>1152</v>
      </c>
      <c r="R2549" s="1"/>
      <c r="S2549" s="1"/>
      <c r="T2549" s="1" t="s">
        <v>1152</v>
      </c>
      <c r="U2549" s="1" t="s">
        <v>956</v>
      </c>
      <c r="V2549" s="4" t="s">
        <v>187</v>
      </c>
      <c r="W2549" s="1"/>
      <c r="X2549" s="1" t="s">
        <v>1152</v>
      </c>
      <c r="Y2549" s="1" t="s">
        <v>1152</v>
      </c>
      <c r="Z2549" s="1"/>
      <c r="AA2549" s="1"/>
      <c r="AB2549" s="1"/>
      <c r="AC2549" s="1" t="s">
        <v>1925</v>
      </c>
      <c r="AD2549" s="1"/>
      <c r="AE2549" s="18">
        <v>46147.0</v>
      </c>
      <c r="AF2549" s="1"/>
      <c r="AG2549" s="1"/>
      <c r="AH2549" s="1" t="s">
        <v>1152</v>
      </c>
      <c r="AI2549" s="1" t="s">
        <v>1152</v>
      </c>
      <c r="AJ2549" s="1" t="s">
        <v>697</v>
      </c>
      <c r="AK2549" s="1" t="s">
        <v>1152</v>
      </c>
      <c r="AL2549" s="6"/>
      <c r="AM2549" s="12">
        <v>6.788306322E9</v>
      </c>
    </row>
    <row r="2550">
      <c r="A2550" s="5" t="s">
        <v>11988</v>
      </c>
      <c r="B2550" s="1" t="s">
        <v>11989</v>
      </c>
      <c r="C2550" s="1" t="s">
        <v>4619</v>
      </c>
      <c r="D2550" s="2">
        <v>3.148104007E9</v>
      </c>
      <c r="E2550" s="1" t="s">
        <v>4620</v>
      </c>
      <c r="F2550" s="1"/>
      <c r="G2550" s="1" t="s">
        <v>2350</v>
      </c>
      <c r="H2550" s="1" t="s">
        <v>1155</v>
      </c>
      <c r="I2550" s="1">
        <v>63105.0</v>
      </c>
      <c r="J2550" s="1" t="s">
        <v>752</v>
      </c>
      <c r="K2550" s="1" t="s">
        <v>42</v>
      </c>
      <c r="L2550" s="1" t="s">
        <v>7863</v>
      </c>
      <c r="M2550" s="1">
        <v>79.0</v>
      </c>
      <c r="N2550" s="1" t="s">
        <v>1152</v>
      </c>
      <c r="O2550" s="3" t="s">
        <v>7847</v>
      </c>
      <c r="P2550" s="1" t="s">
        <v>1152</v>
      </c>
      <c r="Q2550" s="1" t="s">
        <v>1152</v>
      </c>
      <c r="R2550" s="1"/>
      <c r="S2550" s="1"/>
      <c r="T2550" s="1" t="s">
        <v>1152</v>
      </c>
      <c r="U2550" s="1" t="s">
        <v>7909</v>
      </c>
      <c r="V2550" s="4" t="s">
        <v>7847</v>
      </c>
      <c r="W2550" s="1"/>
      <c r="X2550" s="1" t="s">
        <v>1152</v>
      </c>
      <c r="Y2550" s="1" t="s">
        <v>1152</v>
      </c>
      <c r="Z2550" s="1"/>
      <c r="AA2550" s="1"/>
      <c r="AB2550" s="1"/>
      <c r="AC2550" s="1" t="s">
        <v>1925</v>
      </c>
      <c r="AD2550" s="1"/>
      <c r="AE2550" s="18">
        <v>46155.0</v>
      </c>
      <c r="AF2550" s="1" t="s">
        <v>1030</v>
      </c>
      <c r="AG2550" s="1" t="s">
        <v>52</v>
      </c>
      <c r="AH2550" s="1" t="s">
        <v>1152</v>
      </c>
      <c r="AI2550" s="1" t="s">
        <v>1152</v>
      </c>
      <c r="AJ2550" s="1" t="s">
        <v>4620</v>
      </c>
      <c r="AK2550" s="1" t="s">
        <v>1152</v>
      </c>
      <c r="AL2550" s="6"/>
      <c r="AM2550" s="12">
        <v>3.148104007E9</v>
      </c>
    </row>
    <row r="2551">
      <c r="A2551" s="5" t="s">
        <v>11990</v>
      </c>
      <c r="B2551" s="1" t="s">
        <v>11991</v>
      </c>
      <c r="C2551" s="1" t="s">
        <v>11992</v>
      </c>
      <c r="D2551" s="2">
        <v>2.815699377E9</v>
      </c>
      <c r="E2551" s="1" t="s">
        <v>11993</v>
      </c>
      <c r="F2551" s="1"/>
      <c r="G2551" s="1" t="s">
        <v>1609</v>
      </c>
      <c r="H2551" s="1" t="s">
        <v>1583</v>
      </c>
      <c r="I2551" s="1">
        <v>77055.0</v>
      </c>
      <c r="J2551" s="1" t="s">
        <v>752</v>
      </c>
      <c r="K2551" s="1" t="s">
        <v>2131</v>
      </c>
      <c r="L2551" s="1" t="s">
        <v>5811</v>
      </c>
      <c r="M2551" s="1">
        <v>1.0</v>
      </c>
      <c r="N2551" s="1" t="s">
        <v>1152</v>
      </c>
      <c r="O2551" s="3" t="s">
        <v>11994</v>
      </c>
      <c r="P2551" s="1" t="s">
        <v>1152</v>
      </c>
      <c r="Q2551" s="1" t="s">
        <v>1152</v>
      </c>
      <c r="R2551" s="1"/>
      <c r="S2551" s="1"/>
      <c r="T2551" s="1" t="s">
        <v>1152</v>
      </c>
      <c r="U2551" s="1" t="s">
        <v>1133</v>
      </c>
      <c r="V2551" s="4" t="s">
        <v>11994</v>
      </c>
      <c r="W2551" s="1"/>
      <c r="X2551" s="1" t="s">
        <v>1152</v>
      </c>
      <c r="Y2551" s="1" t="s">
        <v>1152</v>
      </c>
      <c r="Z2551" s="1"/>
      <c r="AA2551" s="1"/>
      <c r="AB2551" s="1"/>
      <c r="AC2551" s="1" t="s">
        <v>1925</v>
      </c>
      <c r="AD2551" s="1"/>
      <c r="AE2551" s="18">
        <v>46144.0</v>
      </c>
      <c r="AF2551" s="1"/>
      <c r="AG2551" s="1"/>
      <c r="AH2551" s="1" t="s">
        <v>1152</v>
      </c>
      <c r="AI2551" s="1" t="s">
        <v>1152</v>
      </c>
      <c r="AJ2551" s="1" t="s">
        <v>11993</v>
      </c>
      <c r="AK2551" s="1" t="s">
        <v>1152</v>
      </c>
      <c r="AL2551" s="6"/>
      <c r="AM2551" s="12">
        <v>2.815699377E9</v>
      </c>
    </row>
    <row r="2552">
      <c r="A2552" s="5" t="s">
        <v>11995</v>
      </c>
      <c r="B2552" s="1" t="s">
        <v>11996</v>
      </c>
      <c r="C2552" s="1" t="s">
        <v>11997</v>
      </c>
      <c r="D2552" s="2">
        <v>6.175957928E9</v>
      </c>
      <c r="E2552" s="1" t="s">
        <v>7971</v>
      </c>
      <c r="F2552" s="1"/>
      <c r="G2552" s="1" t="s">
        <v>4026</v>
      </c>
      <c r="H2552" s="1" t="s">
        <v>1121</v>
      </c>
      <c r="I2552" s="1">
        <v>2199.0</v>
      </c>
      <c r="J2552" s="1" t="s">
        <v>752</v>
      </c>
      <c r="K2552" s="1" t="s">
        <v>2131</v>
      </c>
      <c r="L2552" s="1" t="s">
        <v>5811</v>
      </c>
      <c r="M2552" s="1">
        <v>1.0</v>
      </c>
      <c r="N2552" s="1" t="s">
        <v>1152</v>
      </c>
      <c r="O2552" s="3" t="s">
        <v>2721</v>
      </c>
      <c r="P2552" s="1" t="s">
        <v>1152</v>
      </c>
      <c r="Q2552" s="1" t="s">
        <v>1152</v>
      </c>
      <c r="R2552" s="1"/>
      <c r="S2552" s="1"/>
      <c r="T2552" s="1" t="s">
        <v>1152</v>
      </c>
      <c r="U2552" s="1" t="s">
        <v>1407</v>
      </c>
      <c r="V2552" s="4" t="s">
        <v>2721</v>
      </c>
      <c r="W2552" s="1"/>
      <c r="X2552" s="1" t="s">
        <v>1152</v>
      </c>
      <c r="Y2552" s="1" t="s">
        <v>1152</v>
      </c>
      <c r="Z2552" s="1"/>
      <c r="AA2552" s="1"/>
      <c r="AB2552" s="1"/>
      <c r="AC2552" s="1" t="s">
        <v>1925</v>
      </c>
      <c r="AD2552" s="1"/>
      <c r="AE2552" s="18">
        <v>46144.0</v>
      </c>
      <c r="AF2552" s="1"/>
      <c r="AG2552" s="1"/>
      <c r="AH2552" s="1" t="s">
        <v>1152</v>
      </c>
      <c r="AI2552" s="1" t="s">
        <v>1152</v>
      </c>
      <c r="AJ2552" s="1" t="s">
        <v>7971</v>
      </c>
      <c r="AK2552" s="1" t="s">
        <v>1152</v>
      </c>
      <c r="AL2552" s="6"/>
      <c r="AM2552" s="12" t="s">
        <v>11998</v>
      </c>
    </row>
    <row r="2553">
      <c r="A2553" s="5" t="s">
        <v>11999</v>
      </c>
      <c r="B2553" s="1" t="s">
        <v>12000</v>
      </c>
      <c r="C2553" s="1" t="s">
        <v>12001</v>
      </c>
      <c r="D2553" s="2">
        <v>9.175728671E9</v>
      </c>
      <c r="E2553" s="1" t="s">
        <v>2344</v>
      </c>
      <c r="F2553" s="1"/>
      <c r="G2553" s="1" t="s">
        <v>1382</v>
      </c>
      <c r="H2553" s="1" t="s">
        <v>751</v>
      </c>
      <c r="I2553" s="1">
        <v>10583.0</v>
      </c>
      <c r="J2553" s="1" t="s">
        <v>752</v>
      </c>
      <c r="K2553" s="1" t="s">
        <v>42</v>
      </c>
      <c r="L2553" s="1" t="s">
        <v>6819</v>
      </c>
      <c r="M2553" s="1">
        <v>49.0</v>
      </c>
      <c r="N2553" s="1" t="s">
        <v>1152</v>
      </c>
      <c r="O2553" s="3" t="s">
        <v>12002</v>
      </c>
      <c r="P2553" s="1" t="s">
        <v>1152</v>
      </c>
      <c r="Q2553" s="1" t="s">
        <v>1152</v>
      </c>
      <c r="R2553" s="1"/>
      <c r="S2553" s="1"/>
      <c r="T2553" s="1" t="s">
        <v>1152</v>
      </c>
      <c r="U2553" s="1" t="s">
        <v>1415</v>
      </c>
      <c r="V2553" s="4" t="s">
        <v>12002</v>
      </c>
      <c r="W2553" s="1"/>
      <c r="X2553" s="1" t="s">
        <v>1152</v>
      </c>
      <c r="Y2553" s="1" t="s">
        <v>1152</v>
      </c>
      <c r="Z2553" s="1"/>
      <c r="AA2553" s="1"/>
      <c r="AB2553" s="1"/>
      <c r="AC2553" s="1" t="s">
        <v>1925</v>
      </c>
      <c r="AD2553" s="1"/>
      <c r="AE2553" s="18">
        <v>46148.0</v>
      </c>
      <c r="AF2553" s="1" t="s">
        <v>1349</v>
      </c>
      <c r="AG2553" s="1" t="s">
        <v>52</v>
      </c>
      <c r="AH2553" s="1" t="s">
        <v>1152</v>
      </c>
      <c r="AI2553" s="1" t="s">
        <v>1152</v>
      </c>
      <c r="AJ2553" s="1" t="s">
        <v>12002</v>
      </c>
      <c r="AK2553" s="1" t="s">
        <v>1152</v>
      </c>
      <c r="AL2553" s="6"/>
      <c r="AM2553" s="12" t="s">
        <v>12003</v>
      </c>
    </row>
    <row r="2554">
      <c r="A2554" s="5" t="s">
        <v>12004</v>
      </c>
      <c r="B2554" s="1" t="s">
        <v>12005</v>
      </c>
      <c r="C2554" s="1" t="s">
        <v>12006</v>
      </c>
      <c r="D2554" s="2">
        <v>3.05582432E9</v>
      </c>
      <c r="E2554" s="1" t="s">
        <v>6782</v>
      </c>
      <c r="F2554" s="1"/>
      <c r="G2554" s="1" t="s">
        <v>6781</v>
      </c>
      <c r="H2554" s="1" t="s">
        <v>1208</v>
      </c>
      <c r="I2554" s="1">
        <v>33160.0</v>
      </c>
      <c r="J2554" s="1" t="s">
        <v>752</v>
      </c>
      <c r="K2554" s="1" t="s">
        <v>2131</v>
      </c>
      <c r="L2554" s="1" t="s">
        <v>5767</v>
      </c>
      <c r="M2554" s="1">
        <v>1.0</v>
      </c>
      <c r="N2554" s="1" t="s">
        <v>1152</v>
      </c>
      <c r="O2554" s="3" t="s">
        <v>110</v>
      </c>
      <c r="P2554" s="1" t="s">
        <v>1152</v>
      </c>
      <c r="Q2554" s="1" t="s">
        <v>1152</v>
      </c>
      <c r="R2554" s="1"/>
      <c r="S2554" s="1"/>
      <c r="T2554" s="1" t="s">
        <v>1152</v>
      </c>
      <c r="U2554" s="1" t="s">
        <v>1133</v>
      </c>
      <c r="V2554" s="4" t="s">
        <v>110</v>
      </c>
      <c r="W2554" s="1"/>
      <c r="X2554" s="1" t="s">
        <v>1152</v>
      </c>
      <c r="Y2554" s="1" t="s">
        <v>1152</v>
      </c>
      <c r="Z2554" s="1"/>
      <c r="AA2554" s="1"/>
      <c r="AB2554" s="1"/>
      <c r="AC2554" s="1" t="s">
        <v>1925</v>
      </c>
      <c r="AD2554" s="1"/>
      <c r="AE2554" s="18">
        <v>46148.0</v>
      </c>
      <c r="AF2554" s="1"/>
      <c r="AG2554" s="1"/>
      <c r="AH2554" s="1" t="s">
        <v>1152</v>
      </c>
      <c r="AI2554" s="1" t="s">
        <v>1152</v>
      </c>
      <c r="AJ2554" s="1" t="s">
        <v>6782</v>
      </c>
      <c r="AK2554" s="1" t="s">
        <v>1152</v>
      </c>
      <c r="AL2554" s="6"/>
      <c r="AM2554" s="12">
        <v>3.05582432E9</v>
      </c>
    </row>
    <row r="2555">
      <c r="A2555" s="5" t="s">
        <v>12007</v>
      </c>
      <c r="B2555" s="1" t="s">
        <v>12008</v>
      </c>
      <c r="C2555" s="1" t="s">
        <v>3280</v>
      </c>
      <c r="D2555" s="2">
        <v>5.028885987E9</v>
      </c>
      <c r="E2555" s="1" t="s">
        <v>3281</v>
      </c>
      <c r="F2555" s="1"/>
      <c r="G2555" s="1" t="s">
        <v>3282</v>
      </c>
      <c r="H2555" s="1" t="s">
        <v>3283</v>
      </c>
      <c r="I2555" s="1">
        <v>40205.0</v>
      </c>
      <c r="J2555" s="1" t="s">
        <v>752</v>
      </c>
      <c r="K2555" s="1" t="s">
        <v>7981</v>
      </c>
      <c r="L2555" s="1" t="s">
        <v>6819</v>
      </c>
      <c r="M2555" s="1">
        <v>49.0</v>
      </c>
      <c r="N2555" s="1" t="s">
        <v>1152</v>
      </c>
      <c r="O2555" s="3" t="s">
        <v>2981</v>
      </c>
      <c r="P2555" s="1" t="s">
        <v>1152</v>
      </c>
      <c r="Q2555" s="1" t="s">
        <v>1152</v>
      </c>
      <c r="R2555" s="1"/>
      <c r="S2555" s="1"/>
      <c r="T2555" s="1" t="s">
        <v>1152</v>
      </c>
      <c r="U2555" s="1" t="s">
        <v>1407</v>
      </c>
      <c r="V2555" s="4" t="s">
        <v>2981</v>
      </c>
      <c r="W2555" s="1"/>
      <c r="X2555" s="1" t="s">
        <v>1152</v>
      </c>
      <c r="Y2555" s="1" t="s">
        <v>1152</v>
      </c>
      <c r="Z2555" s="1"/>
      <c r="AA2555" s="1"/>
      <c r="AB2555" s="1"/>
      <c r="AC2555" s="1" t="s">
        <v>1925</v>
      </c>
      <c r="AD2555" s="1"/>
      <c r="AE2555" s="18">
        <v>46149.0</v>
      </c>
      <c r="AF2555" s="1" t="s">
        <v>1630</v>
      </c>
      <c r="AG2555" s="1" t="s">
        <v>52</v>
      </c>
      <c r="AH2555" s="1" t="s">
        <v>1152</v>
      </c>
      <c r="AI2555" s="1" t="s">
        <v>1152</v>
      </c>
      <c r="AJ2555" s="1" t="s">
        <v>3281</v>
      </c>
      <c r="AK2555" s="1" t="s">
        <v>1152</v>
      </c>
      <c r="AL2555" s="6"/>
      <c r="AM2555" s="12" t="s">
        <v>12009</v>
      </c>
    </row>
    <row r="2556">
      <c r="A2556" s="5" t="s">
        <v>12010</v>
      </c>
      <c r="B2556" s="1" t="s">
        <v>12011</v>
      </c>
      <c r="C2556" s="1" t="s">
        <v>1540</v>
      </c>
      <c r="D2556" s="2">
        <v>6.504749188E9</v>
      </c>
      <c r="E2556" s="1" t="s">
        <v>1541</v>
      </c>
      <c r="F2556" s="1"/>
      <c r="G2556" s="1" t="s">
        <v>12012</v>
      </c>
      <c r="H2556" s="1" t="s">
        <v>989</v>
      </c>
      <c r="I2556" s="1">
        <v>94028.0</v>
      </c>
      <c r="J2556" s="1" t="s">
        <v>752</v>
      </c>
      <c r="K2556" s="1" t="s">
        <v>42</v>
      </c>
      <c r="L2556" s="1" t="s">
        <v>6819</v>
      </c>
      <c r="M2556" s="1">
        <v>49.0</v>
      </c>
      <c r="N2556" s="1" t="s">
        <v>1152</v>
      </c>
      <c r="O2556" s="3" t="s">
        <v>1543</v>
      </c>
      <c r="P2556" s="1" t="s">
        <v>1152</v>
      </c>
      <c r="Q2556" s="1" t="s">
        <v>1152</v>
      </c>
      <c r="R2556" s="1"/>
      <c r="S2556" s="1"/>
      <c r="T2556" s="1" t="s">
        <v>1152</v>
      </c>
      <c r="U2556" s="1" t="s">
        <v>1080</v>
      </c>
      <c r="V2556" s="4" t="s">
        <v>1543</v>
      </c>
      <c r="W2556" s="1"/>
      <c r="X2556" s="1" t="s">
        <v>1152</v>
      </c>
      <c r="Y2556" s="1" t="s">
        <v>1152</v>
      </c>
      <c r="Z2556" s="1"/>
      <c r="AA2556" s="1"/>
      <c r="AB2556" s="1"/>
      <c r="AC2556" s="1" t="s">
        <v>1925</v>
      </c>
      <c r="AD2556" s="1"/>
      <c r="AE2556" s="18">
        <v>46149.0</v>
      </c>
      <c r="AF2556" s="1" t="s">
        <v>1030</v>
      </c>
      <c r="AG2556" s="1" t="s">
        <v>52</v>
      </c>
      <c r="AH2556" s="1" t="s">
        <v>1152</v>
      </c>
      <c r="AI2556" s="1" t="s">
        <v>1152</v>
      </c>
      <c r="AJ2556" s="1" t="s">
        <v>1541</v>
      </c>
      <c r="AK2556" s="1" t="s">
        <v>1152</v>
      </c>
      <c r="AL2556" s="6"/>
      <c r="AM2556" s="12">
        <v>6.504749188E9</v>
      </c>
    </row>
    <row r="2557">
      <c r="A2557" s="5" t="s">
        <v>12013</v>
      </c>
      <c r="B2557" s="1" t="s">
        <v>12014</v>
      </c>
      <c r="C2557" s="1" t="s">
        <v>6578</v>
      </c>
      <c r="D2557" s="2">
        <v>3.147325905E9</v>
      </c>
      <c r="E2557" s="1" t="s">
        <v>12015</v>
      </c>
      <c r="F2557" s="1"/>
      <c r="G2557" s="1" t="s">
        <v>2350</v>
      </c>
      <c r="H2557" s="1" t="s">
        <v>1155</v>
      </c>
      <c r="I2557" s="1">
        <v>63105.0</v>
      </c>
      <c r="J2557" s="1" t="s">
        <v>752</v>
      </c>
      <c r="K2557" s="1" t="s">
        <v>2131</v>
      </c>
      <c r="L2557" s="1" t="s">
        <v>5811</v>
      </c>
      <c r="M2557" s="1">
        <v>1.0</v>
      </c>
      <c r="N2557" s="1" t="s">
        <v>1152</v>
      </c>
      <c r="O2557" s="3" t="s">
        <v>596</v>
      </c>
      <c r="P2557" s="1" t="s">
        <v>1152</v>
      </c>
      <c r="Q2557" s="1" t="s">
        <v>1152</v>
      </c>
      <c r="R2557" s="1"/>
      <c r="S2557" s="1"/>
      <c r="T2557" s="1" t="s">
        <v>1152</v>
      </c>
      <c r="U2557" s="1" t="s">
        <v>7909</v>
      </c>
      <c r="V2557" s="4" t="s">
        <v>596</v>
      </c>
      <c r="W2557" s="1"/>
      <c r="X2557" s="1" t="s">
        <v>1152</v>
      </c>
      <c r="Y2557" s="1" t="s">
        <v>1152</v>
      </c>
      <c r="Z2557" s="1"/>
      <c r="AA2557" s="1"/>
      <c r="AB2557" s="1"/>
      <c r="AC2557" s="1" t="s">
        <v>1925</v>
      </c>
      <c r="AD2557" s="1"/>
      <c r="AE2557" s="18">
        <v>46148.0</v>
      </c>
      <c r="AF2557" s="1"/>
      <c r="AG2557" s="1"/>
      <c r="AH2557" s="1" t="s">
        <v>1152</v>
      </c>
      <c r="AI2557" s="1" t="s">
        <v>1152</v>
      </c>
      <c r="AJ2557" s="1" t="s">
        <v>7910</v>
      </c>
      <c r="AK2557" s="1" t="s">
        <v>1152</v>
      </c>
      <c r="AL2557" s="6"/>
      <c r="AM2557" s="12">
        <v>3.147325905E9</v>
      </c>
    </row>
    <row r="2558">
      <c r="A2558" s="5" t="s">
        <v>12016</v>
      </c>
      <c r="B2558" s="1" t="s">
        <v>12017</v>
      </c>
      <c r="C2558" s="1" t="s">
        <v>11020</v>
      </c>
      <c r="D2558" s="2">
        <v>3.108804805E9</v>
      </c>
      <c r="E2558" s="1" t="s">
        <v>12018</v>
      </c>
      <c r="F2558" s="1"/>
      <c r="G2558" s="1" t="s">
        <v>1247</v>
      </c>
      <c r="H2558" s="1" t="s">
        <v>989</v>
      </c>
      <c r="I2558" s="1">
        <v>90212.0</v>
      </c>
      <c r="J2558" s="1" t="s">
        <v>752</v>
      </c>
      <c r="K2558" s="1" t="s">
        <v>2131</v>
      </c>
      <c r="L2558" s="1" t="s">
        <v>5811</v>
      </c>
      <c r="M2558" s="1">
        <v>1.0</v>
      </c>
      <c r="N2558" s="1" t="s">
        <v>1152</v>
      </c>
      <c r="O2558" s="3" t="s">
        <v>2368</v>
      </c>
      <c r="P2558" s="1" t="s">
        <v>1152</v>
      </c>
      <c r="Q2558" s="1" t="s">
        <v>1152</v>
      </c>
      <c r="R2558" s="1"/>
      <c r="S2558" s="1"/>
      <c r="T2558" s="1" t="s">
        <v>1152</v>
      </c>
      <c r="U2558" s="1" t="s">
        <v>1249</v>
      </c>
      <c r="V2558" s="4" t="s">
        <v>2368</v>
      </c>
      <c r="W2558" s="1"/>
      <c r="X2558" s="1" t="s">
        <v>1152</v>
      </c>
      <c r="Y2558" s="1" t="s">
        <v>1152</v>
      </c>
      <c r="Z2558" s="1"/>
      <c r="AA2558" s="1"/>
      <c r="AB2558" s="1"/>
      <c r="AC2558" s="1" t="s">
        <v>1925</v>
      </c>
      <c r="AD2558" s="1"/>
      <c r="AE2558" s="18">
        <v>46150.0</v>
      </c>
      <c r="AF2558" s="1"/>
      <c r="AG2558" s="1"/>
      <c r="AH2558" s="1" t="s">
        <v>1152</v>
      </c>
      <c r="AI2558" s="1" t="s">
        <v>1152</v>
      </c>
      <c r="AJ2558" s="1" t="s">
        <v>12018</v>
      </c>
      <c r="AK2558" s="1" t="s">
        <v>1152</v>
      </c>
      <c r="AL2558" s="6"/>
      <c r="AM2558" s="12">
        <v>3.108804805E9</v>
      </c>
    </row>
    <row r="2559">
      <c r="A2559" s="5" t="s">
        <v>12019</v>
      </c>
      <c r="B2559" s="1" t="s">
        <v>12020</v>
      </c>
      <c r="C2559" s="1" t="s">
        <v>11469</v>
      </c>
      <c r="D2559" s="2">
        <v>6.784277093E9</v>
      </c>
      <c r="E2559" s="1" t="s">
        <v>820</v>
      </c>
      <c r="F2559" s="1"/>
      <c r="G2559" s="1" t="s">
        <v>11470</v>
      </c>
      <c r="H2559" s="1" t="s">
        <v>946</v>
      </c>
      <c r="I2559" s="1">
        <v>30030.0</v>
      </c>
      <c r="J2559" s="1" t="s">
        <v>752</v>
      </c>
      <c r="K2559" s="1" t="s">
        <v>2131</v>
      </c>
      <c r="L2559" s="1" t="s">
        <v>5736</v>
      </c>
      <c r="M2559" s="1">
        <v>1.0</v>
      </c>
      <c r="N2559" s="1" t="s">
        <v>1152</v>
      </c>
      <c r="O2559" s="3" t="s">
        <v>8869</v>
      </c>
      <c r="P2559" s="1" t="s">
        <v>1152</v>
      </c>
      <c r="Q2559" s="1" t="s">
        <v>1152</v>
      </c>
      <c r="R2559" s="1"/>
      <c r="S2559" s="1"/>
      <c r="T2559" s="1" t="s">
        <v>1152</v>
      </c>
      <c r="U2559" s="1" t="s">
        <v>1080</v>
      </c>
      <c r="V2559" s="4" t="s">
        <v>8869</v>
      </c>
      <c r="W2559" s="1"/>
      <c r="X2559" s="1" t="s">
        <v>1152</v>
      </c>
      <c r="Y2559" s="1" t="s">
        <v>1152</v>
      </c>
      <c r="Z2559" s="1"/>
      <c r="AA2559" s="1"/>
      <c r="AB2559" s="1"/>
      <c r="AC2559" s="1" t="s">
        <v>1925</v>
      </c>
      <c r="AD2559" s="1"/>
      <c r="AE2559" s="18">
        <v>46149.0</v>
      </c>
      <c r="AF2559" s="1"/>
      <c r="AG2559" s="1"/>
      <c r="AH2559" s="1" t="s">
        <v>1152</v>
      </c>
      <c r="AI2559" s="1" t="s">
        <v>1152</v>
      </c>
      <c r="AJ2559" s="1" t="s">
        <v>8870</v>
      </c>
      <c r="AK2559" s="1" t="s">
        <v>1152</v>
      </c>
      <c r="AL2559" s="6"/>
      <c r="AM2559" s="12" t="s">
        <v>11471</v>
      </c>
    </row>
    <row r="2560">
      <c r="A2560" s="5" t="s">
        <v>12021</v>
      </c>
      <c r="B2560" s="1" t="s">
        <v>12022</v>
      </c>
      <c r="C2560" s="1" t="s">
        <v>11020</v>
      </c>
      <c r="D2560" s="2">
        <v>3.108804805E9</v>
      </c>
      <c r="E2560" s="1" t="s">
        <v>12018</v>
      </c>
      <c r="F2560" s="1"/>
      <c r="G2560" s="1" t="s">
        <v>1247</v>
      </c>
      <c r="H2560" s="1" t="s">
        <v>989</v>
      </c>
      <c r="I2560" s="1">
        <v>90212.0</v>
      </c>
      <c r="J2560" s="1" t="s">
        <v>752</v>
      </c>
      <c r="K2560" s="1" t="s">
        <v>42</v>
      </c>
      <c r="L2560" s="1" t="s">
        <v>6819</v>
      </c>
      <c r="M2560" s="1">
        <v>49.0</v>
      </c>
      <c r="N2560" s="1" t="s">
        <v>1152</v>
      </c>
      <c r="O2560" s="3" t="s">
        <v>2368</v>
      </c>
      <c r="P2560" s="1" t="s">
        <v>1152</v>
      </c>
      <c r="Q2560" s="1" t="s">
        <v>1152</v>
      </c>
      <c r="R2560" s="1"/>
      <c r="S2560" s="1"/>
      <c r="T2560" s="1" t="s">
        <v>1152</v>
      </c>
      <c r="U2560" s="1" t="s">
        <v>1249</v>
      </c>
      <c r="V2560" s="4" t="s">
        <v>2368</v>
      </c>
      <c r="W2560" s="1"/>
      <c r="X2560" s="1" t="s">
        <v>1152</v>
      </c>
      <c r="Y2560" s="1" t="s">
        <v>1152</v>
      </c>
      <c r="Z2560" s="1"/>
      <c r="AA2560" s="1"/>
      <c r="AB2560" s="1"/>
      <c r="AC2560" s="1" t="s">
        <v>1925</v>
      </c>
      <c r="AD2560" s="1"/>
      <c r="AE2560" s="18">
        <v>46148.0</v>
      </c>
      <c r="AF2560" s="1" t="s">
        <v>1349</v>
      </c>
      <c r="AG2560" s="1" t="s">
        <v>52</v>
      </c>
      <c r="AH2560" s="1" t="s">
        <v>1152</v>
      </c>
      <c r="AI2560" s="1" t="s">
        <v>1152</v>
      </c>
      <c r="AJ2560" s="1" t="s">
        <v>12018</v>
      </c>
      <c r="AK2560" s="1" t="s">
        <v>1152</v>
      </c>
      <c r="AL2560" s="6"/>
      <c r="AM2560" s="12">
        <v>3.108804805E9</v>
      </c>
    </row>
    <row r="2561">
      <c r="A2561" s="5" t="s">
        <v>12023</v>
      </c>
      <c r="B2561" s="1" t="s">
        <v>12024</v>
      </c>
      <c r="C2561" s="1" t="s">
        <v>12025</v>
      </c>
      <c r="D2561" s="2">
        <v>6.156090081E9</v>
      </c>
      <c r="E2561" s="1" t="s">
        <v>1803</v>
      </c>
      <c r="F2561" s="1"/>
      <c r="G2561" s="1" t="s">
        <v>1804</v>
      </c>
      <c r="H2561" s="1" t="s">
        <v>1598</v>
      </c>
      <c r="I2561" s="1">
        <v>37204.0</v>
      </c>
      <c r="J2561" s="1" t="s">
        <v>752</v>
      </c>
      <c r="K2561" s="1" t="s">
        <v>2131</v>
      </c>
      <c r="L2561" s="1" t="s">
        <v>5767</v>
      </c>
      <c r="M2561" s="1">
        <v>1.0</v>
      </c>
      <c r="N2561" s="1" t="s">
        <v>1152</v>
      </c>
      <c r="O2561" s="3" t="s">
        <v>1805</v>
      </c>
      <c r="P2561" s="1" t="s">
        <v>1152</v>
      </c>
      <c r="Q2561" s="1" t="s">
        <v>1152</v>
      </c>
      <c r="R2561" s="1"/>
      <c r="S2561" s="1"/>
      <c r="T2561" s="1" t="s">
        <v>1152</v>
      </c>
      <c r="U2561" s="1" t="s">
        <v>1407</v>
      </c>
      <c r="V2561" s="4" t="s">
        <v>1805</v>
      </c>
      <c r="W2561" s="1"/>
      <c r="X2561" s="1" t="s">
        <v>1152</v>
      </c>
      <c r="Y2561" s="1" t="s">
        <v>1152</v>
      </c>
      <c r="Z2561" s="1"/>
      <c r="AA2561" s="1"/>
      <c r="AB2561" s="1"/>
      <c r="AC2561" s="1" t="s">
        <v>1925</v>
      </c>
      <c r="AD2561" s="1"/>
      <c r="AE2561" s="18">
        <v>46149.0</v>
      </c>
      <c r="AF2561" s="1"/>
      <c r="AG2561" s="1"/>
      <c r="AH2561" s="1" t="s">
        <v>1152</v>
      </c>
      <c r="AI2561" s="1" t="s">
        <v>1152</v>
      </c>
      <c r="AJ2561" s="1" t="s">
        <v>1803</v>
      </c>
      <c r="AK2561" s="1" t="s">
        <v>1152</v>
      </c>
      <c r="AL2561" s="6"/>
      <c r="AM2561" s="12">
        <v>6.156090081E9</v>
      </c>
    </row>
    <row r="2562">
      <c r="A2562" s="5" t="s">
        <v>12026</v>
      </c>
      <c r="B2562" s="1" t="s">
        <v>12027</v>
      </c>
      <c r="C2562" s="1" t="s">
        <v>12028</v>
      </c>
      <c r="D2562" s="2">
        <v>7.812666995E9</v>
      </c>
      <c r="E2562" s="1" t="s">
        <v>3480</v>
      </c>
      <c r="F2562" s="1"/>
      <c r="G2562" s="1" t="s">
        <v>2056</v>
      </c>
      <c r="H2562" s="1" t="s">
        <v>1121</v>
      </c>
      <c r="I2562" s="1">
        <v>2420.0</v>
      </c>
      <c r="J2562" s="1" t="s">
        <v>752</v>
      </c>
      <c r="K2562" s="1" t="s">
        <v>2131</v>
      </c>
      <c r="L2562" s="1" t="s">
        <v>5767</v>
      </c>
      <c r="M2562" s="1">
        <v>1.0</v>
      </c>
      <c r="N2562" s="1" t="s">
        <v>1152</v>
      </c>
      <c r="O2562" s="3" t="s">
        <v>3481</v>
      </c>
      <c r="P2562" s="1" t="s">
        <v>1152</v>
      </c>
      <c r="Q2562" s="1" t="s">
        <v>1152</v>
      </c>
      <c r="R2562" s="1"/>
      <c r="S2562" s="1"/>
      <c r="T2562" s="1" t="s">
        <v>1152</v>
      </c>
      <c r="U2562" s="1" t="s">
        <v>1080</v>
      </c>
      <c r="V2562" s="4" t="s">
        <v>3481</v>
      </c>
      <c r="W2562" s="1"/>
      <c r="X2562" s="1" t="s">
        <v>1152</v>
      </c>
      <c r="Y2562" s="1" t="s">
        <v>1152</v>
      </c>
      <c r="Z2562" s="1"/>
      <c r="AA2562" s="1"/>
      <c r="AB2562" s="1"/>
      <c r="AC2562" s="1" t="s">
        <v>1925</v>
      </c>
      <c r="AD2562" s="1"/>
      <c r="AE2562" s="18">
        <v>46149.0</v>
      </c>
      <c r="AF2562" s="1"/>
      <c r="AG2562" s="1"/>
      <c r="AH2562" s="1" t="s">
        <v>1152</v>
      </c>
      <c r="AI2562" s="1" t="s">
        <v>1152</v>
      </c>
      <c r="AJ2562" s="1" t="s">
        <v>10080</v>
      </c>
      <c r="AK2562" s="1" t="s">
        <v>1152</v>
      </c>
      <c r="AL2562" s="6"/>
      <c r="AM2562" s="12">
        <v>7.812666995E9</v>
      </c>
    </row>
    <row r="2563">
      <c r="A2563" s="5" t="s">
        <v>12029</v>
      </c>
      <c r="B2563" s="1" t="s">
        <v>12030</v>
      </c>
      <c r="C2563" s="1" t="s">
        <v>12031</v>
      </c>
      <c r="D2563" s="2">
        <v>5.10292009E9</v>
      </c>
      <c r="E2563" s="1" t="s">
        <v>4789</v>
      </c>
      <c r="F2563" s="1"/>
      <c r="G2563" s="1" t="s">
        <v>2888</v>
      </c>
      <c r="H2563" s="1" t="s">
        <v>989</v>
      </c>
      <c r="I2563" s="1">
        <v>94707.0</v>
      </c>
      <c r="J2563" s="1" t="s">
        <v>752</v>
      </c>
      <c r="K2563" s="1" t="s">
        <v>2131</v>
      </c>
      <c r="L2563" s="1" t="s">
        <v>5767</v>
      </c>
      <c r="M2563" s="1">
        <v>1.0</v>
      </c>
      <c r="N2563" s="1" t="s">
        <v>1152</v>
      </c>
      <c r="O2563" s="3" t="s">
        <v>287</v>
      </c>
      <c r="P2563" s="1" t="s">
        <v>1152</v>
      </c>
      <c r="Q2563" s="1" t="s">
        <v>1152</v>
      </c>
      <c r="R2563" s="1"/>
      <c r="S2563" s="1"/>
      <c r="T2563" s="1" t="s">
        <v>1152</v>
      </c>
      <c r="U2563" s="1" t="s">
        <v>956</v>
      </c>
      <c r="V2563" s="4" t="s">
        <v>287</v>
      </c>
      <c r="W2563" s="1"/>
      <c r="X2563" s="1" t="s">
        <v>1152</v>
      </c>
      <c r="Y2563" s="1" t="s">
        <v>1152</v>
      </c>
      <c r="Z2563" s="1"/>
      <c r="AA2563" s="1"/>
      <c r="AB2563" s="1"/>
      <c r="AC2563" s="1" t="s">
        <v>1925</v>
      </c>
      <c r="AD2563" s="1"/>
      <c r="AE2563" s="18">
        <v>46148.0</v>
      </c>
      <c r="AF2563" s="1"/>
      <c r="AG2563" s="1"/>
      <c r="AH2563" s="1" t="s">
        <v>1152</v>
      </c>
      <c r="AI2563" s="1" t="s">
        <v>1152</v>
      </c>
      <c r="AJ2563" s="1" t="s">
        <v>4789</v>
      </c>
      <c r="AK2563" s="1" t="s">
        <v>1152</v>
      </c>
      <c r="AL2563" s="6"/>
      <c r="AM2563" s="12">
        <v>5.10292009E9</v>
      </c>
    </row>
    <row r="2564">
      <c r="A2564" s="5" t="s">
        <v>12032</v>
      </c>
      <c r="B2564" s="1" t="s">
        <v>12033</v>
      </c>
      <c r="C2564" s="1" t="s">
        <v>12034</v>
      </c>
      <c r="D2564" s="2">
        <v>5.166976116E9</v>
      </c>
      <c r="E2564" s="1" t="s">
        <v>8338</v>
      </c>
      <c r="F2564" s="1"/>
      <c r="G2564" s="1" t="s">
        <v>1697</v>
      </c>
      <c r="H2564" s="1" t="s">
        <v>751</v>
      </c>
      <c r="I2564" s="1">
        <v>11024.0</v>
      </c>
      <c r="J2564" s="1" t="s">
        <v>752</v>
      </c>
      <c r="K2564" s="1" t="s">
        <v>2131</v>
      </c>
      <c r="L2564" s="1" t="s">
        <v>6107</v>
      </c>
      <c r="M2564" s="1">
        <v>1.0</v>
      </c>
      <c r="N2564" s="1" t="s">
        <v>1152</v>
      </c>
      <c r="O2564" s="3" t="s">
        <v>12035</v>
      </c>
      <c r="P2564" s="1" t="s">
        <v>1152</v>
      </c>
      <c r="Q2564" s="1" t="s">
        <v>1152</v>
      </c>
      <c r="R2564" s="1"/>
      <c r="S2564" s="1"/>
      <c r="T2564" s="1" t="s">
        <v>1152</v>
      </c>
      <c r="U2564" s="1" t="s">
        <v>1710</v>
      </c>
      <c r="V2564" s="4" t="s">
        <v>12035</v>
      </c>
      <c r="W2564" s="1"/>
      <c r="X2564" s="1" t="s">
        <v>1152</v>
      </c>
      <c r="Y2564" s="1" t="s">
        <v>1152</v>
      </c>
      <c r="Z2564" s="1"/>
      <c r="AA2564" s="1"/>
      <c r="AB2564" s="1"/>
      <c r="AC2564" s="1" t="s">
        <v>1925</v>
      </c>
      <c r="AD2564" s="1"/>
      <c r="AE2564" s="18">
        <v>46143.0</v>
      </c>
      <c r="AF2564" s="1"/>
      <c r="AG2564" s="1"/>
      <c r="AH2564" s="1" t="s">
        <v>1152</v>
      </c>
      <c r="AI2564" s="1" t="s">
        <v>1152</v>
      </c>
      <c r="AJ2564" s="1" t="s">
        <v>8338</v>
      </c>
      <c r="AK2564" s="1" t="s">
        <v>1152</v>
      </c>
      <c r="AL2564" s="6"/>
      <c r="AM2564" s="12">
        <v>5.166976116E9</v>
      </c>
    </row>
    <row r="2565">
      <c r="A2565" s="5" t="s">
        <v>12036</v>
      </c>
      <c r="B2565" s="1" t="s">
        <v>12037</v>
      </c>
      <c r="C2565" s="1" t="s">
        <v>12038</v>
      </c>
      <c r="D2565" s="2">
        <v>2.167779895E9</v>
      </c>
      <c r="E2565" s="1" t="s">
        <v>4500</v>
      </c>
      <c r="F2565" s="1"/>
      <c r="G2565" s="1" t="s">
        <v>4501</v>
      </c>
      <c r="H2565" s="1" t="s">
        <v>2171</v>
      </c>
      <c r="I2565" s="1">
        <v>44147.0</v>
      </c>
      <c r="J2565" s="1" t="s">
        <v>752</v>
      </c>
      <c r="K2565" s="1" t="s">
        <v>2131</v>
      </c>
      <c r="L2565" s="1" t="s">
        <v>5811</v>
      </c>
      <c r="M2565" s="1">
        <v>1.0</v>
      </c>
      <c r="N2565" s="1" t="s">
        <v>1152</v>
      </c>
      <c r="O2565" s="3" t="s">
        <v>4502</v>
      </c>
      <c r="P2565" s="1" t="s">
        <v>1152</v>
      </c>
      <c r="Q2565" s="1" t="s">
        <v>1152</v>
      </c>
      <c r="R2565" s="1"/>
      <c r="S2565" s="1"/>
      <c r="T2565" s="1" t="s">
        <v>1152</v>
      </c>
      <c r="U2565" s="1" t="s">
        <v>1441</v>
      </c>
      <c r="V2565" s="4" t="s">
        <v>4502</v>
      </c>
      <c r="W2565" s="1"/>
      <c r="X2565" s="1" t="s">
        <v>1152</v>
      </c>
      <c r="Y2565" s="1" t="s">
        <v>1152</v>
      </c>
      <c r="Z2565" s="1"/>
      <c r="AA2565" s="1"/>
      <c r="AB2565" s="1"/>
      <c r="AC2565" s="1" t="s">
        <v>1925</v>
      </c>
      <c r="AD2565" s="1"/>
      <c r="AE2565" s="18">
        <v>46149.0</v>
      </c>
      <c r="AF2565" s="1"/>
      <c r="AG2565" s="1"/>
      <c r="AH2565" s="1" t="s">
        <v>1152</v>
      </c>
      <c r="AI2565" s="1" t="s">
        <v>1152</v>
      </c>
      <c r="AJ2565" s="1" t="s">
        <v>4500</v>
      </c>
      <c r="AK2565" s="1" t="s">
        <v>1152</v>
      </c>
      <c r="AL2565" s="6"/>
      <c r="AM2565" s="12">
        <v>2.167779895E9</v>
      </c>
    </row>
    <row r="2566">
      <c r="A2566" s="5" t="s">
        <v>12039</v>
      </c>
      <c r="B2566" s="1" t="s">
        <v>12040</v>
      </c>
      <c r="C2566" s="1" t="s">
        <v>12041</v>
      </c>
      <c r="D2566" s="2">
        <v>2.06550942E9</v>
      </c>
      <c r="E2566" s="1" t="s">
        <v>12042</v>
      </c>
      <c r="F2566" s="1"/>
      <c r="G2566" s="1" t="s">
        <v>2965</v>
      </c>
      <c r="H2566" s="1" t="s">
        <v>980</v>
      </c>
      <c r="I2566" s="1">
        <v>98004.0</v>
      </c>
      <c r="J2566" s="1" t="s">
        <v>752</v>
      </c>
      <c r="K2566" s="1" t="s">
        <v>42</v>
      </c>
      <c r="L2566" s="1" t="s">
        <v>7863</v>
      </c>
      <c r="M2566" s="1">
        <v>79.0</v>
      </c>
      <c r="N2566" s="1" t="s">
        <v>1152</v>
      </c>
      <c r="O2566" s="3" t="s">
        <v>293</v>
      </c>
      <c r="P2566" s="1" t="s">
        <v>1152</v>
      </c>
      <c r="Q2566" s="1" t="s">
        <v>1152</v>
      </c>
      <c r="R2566" s="1"/>
      <c r="S2566" s="1"/>
      <c r="T2566" s="1" t="s">
        <v>1152</v>
      </c>
      <c r="U2566" s="1" t="s">
        <v>1039</v>
      </c>
      <c r="V2566" s="4" t="s">
        <v>293</v>
      </c>
      <c r="W2566" s="1"/>
      <c r="X2566" s="1" t="s">
        <v>1152</v>
      </c>
      <c r="Y2566" s="1" t="s">
        <v>1152</v>
      </c>
      <c r="Z2566" s="1"/>
      <c r="AA2566" s="1"/>
      <c r="AB2566" s="1"/>
      <c r="AC2566" s="1" t="s">
        <v>1925</v>
      </c>
      <c r="AD2566" s="1"/>
      <c r="AE2566" s="18">
        <v>46153.0</v>
      </c>
      <c r="AF2566" s="1" t="s">
        <v>1030</v>
      </c>
      <c r="AG2566" s="1" t="s">
        <v>52</v>
      </c>
      <c r="AH2566" s="1" t="s">
        <v>1152</v>
      </c>
      <c r="AI2566" s="1" t="s">
        <v>1152</v>
      </c>
      <c r="AJ2566" s="1" t="s">
        <v>291</v>
      </c>
      <c r="AK2566" s="1" t="s">
        <v>1152</v>
      </c>
      <c r="AL2566" s="6"/>
      <c r="AM2566" s="12" t="s">
        <v>12043</v>
      </c>
    </row>
    <row r="2567">
      <c r="A2567" s="5" t="s">
        <v>12044</v>
      </c>
      <c r="B2567" s="1" t="s">
        <v>12045</v>
      </c>
      <c r="C2567" s="1" t="s">
        <v>12046</v>
      </c>
      <c r="D2567" s="2">
        <v>5.02938081E9</v>
      </c>
      <c r="E2567" s="1" t="s">
        <v>12047</v>
      </c>
      <c r="F2567" s="1"/>
      <c r="G2567" s="1" t="s">
        <v>3282</v>
      </c>
      <c r="H2567" s="1" t="s">
        <v>3283</v>
      </c>
      <c r="I2567" s="1">
        <v>40206.0</v>
      </c>
      <c r="J2567" s="1" t="s">
        <v>752</v>
      </c>
      <c r="K2567" s="1" t="s">
        <v>2131</v>
      </c>
      <c r="L2567" s="1" t="s">
        <v>5736</v>
      </c>
      <c r="M2567" s="1">
        <v>1.0</v>
      </c>
      <c r="N2567" s="1" t="s">
        <v>1152</v>
      </c>
      <c r="O2567" s="3" t="s">
        <v>997</v>
      </c>
      <c r="P2567" s="1" t="s">
        <v>1152</v>
      </c>
      <c r="Q2567" s="1" t="s">
        <v>1152</v>
      </c>
      <c r="R2567" s="1"/>
      <c r="S2567" s="1"/>
      <c r="T2567" s="1" t="s">
        <v>1152</v>
      </c>
      <c r="U2567" s="1" t="s">
        <v>1537</v>
      </c>
      <c r="V2567" s="4" t="s">
        <v>997</v>
      </c>
      <c r="W2567" s="1"/>
      <c r="X2567" s="1" t="s">
        <v>1152</v>
      </c>
      <c r="Y2567" s="1" t="s">
        <v>1152</v>
      </c>
      <c r="Z2567" s="1"/>
      <c r="AA2567" s="1"/>
      <c r="AB2567" s="1"/>
      <c r="AC2567" s="1" t="s">
        <v>1925</v>
      </c>
      <c r="AD2567" s="1"/>
      <c r="AE2567" s="18">
        <v>46141.0</v>
      </c>
      <c r="AF2567" s="1"/>
      <c r="AG2567" s="1"/>
      <c r="AH2567" s="1" t="s">
        <v>1152</v>
      </c>
      <c r="AI2567" s="1" t="s">
        <v>1152</v>
      </c>
      <c r="AJ2567" s="1" t="s">
        <v>12048</v>
      </c>
      <c r="AK2567" s="1" t="s">
        <v>1152</v>
      </c>
      <c r="AL2567" s="6"/>
      <c r="AM2567" s="12">
        <v>5.02938081E9</v>
      </c>
    </row>
    <row r="2568">
      <c r="A2568" s="5" t="s">
        <v>12049</v>
      </c>
      <c r="B2568" s="1" t="s">
        <v>12050</v>
      </c>
      <c r="C2568" s="1" t="s">
        <v>12051</v>
      </c>
      <c r="D2568" s="2">
        <v>7.328615816E9</v>
      </c>
      <c r="E2568" s="1" t="s">
        <v>12052</v>
      </c>
      <c r="F2568" s="1"/>
      <c r="G2568" s="1" t="s">
        <v>1037</v>
      </c>
      <c r="H2568" s="1" t="s">
        <v>1583</v>
      </c>
      <c r="I2568" s="1">
        <v>76013.0</v>
      </c>
      <c r="J2568" s="1" t="s">
        <v>752</v>
      </c>
      <c r="K2568" s="1" t="s">
        <v>2131</v>
      </c>
      <c r="L2568" s="1" t="s">
        <v>5811</v>
      </c>
      <c r="M2568" s="1">
        <v>1.0</v>
      </c>
      <c r="N2568" s="1" t="s">
        <v>1152</v>
      </c>
      <c r="O2568" s="3" t="s">
        <v>2545</v>
      </c>
      <c r="P2568" s="1" t="s">
        <v>1152</v>
      </c>
      <c r="Q2568" s="1" t="s">
        <v>1152</v>
      </c>
      <c r="R2568" s="1"/>
      <c r="S2568" s="1"/>
      <c r="T2568" s="1" t="s">
        <v>1152</v>
      </c>
      <c r="U2568" s="1" t="s">
        <v>1039</v>
      </c>
      <c r="V2568" s="4" t="s">
        <v>2545</v>
      </c>
      <c r="W2568" s="1"/>
      <c r="X2568" s="1" t="s">
        <v>1152</v>
      </c>
      <c r="Y2568" s="1" t="s">
        <v>1152</v>
      </c>
      <c r="Z2568" s="1"/>
      <c r="AA2568" s="1"/>
      <c r="AB2568" s="1"/>
      <c r="AC2568" s="1" t="s">
        <v>1925</v>
      </c>
      <c r="AD2568" s="1"/>
      <c r="AE2568" s="18">
        <v>46148.0</v>
      </c>
      <c r="AF2568" s="1"/>
      <c r="AG2568" s="1"/>
      <c r="AH2568" s="1" t="s">
        <v>1152</v>
      </c>
      <c r="AI2568" s="1" t="s">
        <v>1152</v>
      </c>
      <c r="AJ2568" s="1" t="s">
        <v>12052</v>
      </c>
      <c r="AK2568" s="1" t="s">
        <v>1152</v>
      </c>
      <c r="AL2568" s="6"/>
      <c r="AM2568" s="12">
        <v>7.328615816E9</v>
      </c>
    </row>
    <row r="2569">
      <c r="A2569" s="5" t="s">
        <v>12053</v>
      </c>
      <c r="B2569" s="1" t="s">
        <v>12054</v>
      </c>
      <c r="C2569" s="1" t="s">
        <v>10565</v>
      </c>
      <c r="D2569" s="2">
        <v>4.045786708E9</v>
      </c>
      <c r="E2569" s="1" t="s">
        <v>10566</v>
      </c>
      <c r="F2569" s="1"/>
      <c r="G2569" s="1" t="s">
        <v>2179</v>
      </c>
      <c r="H2569" s="1" t="s">
        <v>946</v>
      </c>
      <c r="I2569" s="1">
        <v>30327.0</v>
      </c>
      <c r="J2569" s="1" t="s">
        <v>752</v>
      </c>
      <c r="K2569" s="1" t="s">
        <v>2131</v>
      </c>
      <c r="L2569" s="1" t="s">
        <v>5767</v>
      </c>
      <c r="M2569" s="1">
        <v>1.0</v>
      </c>
      <c r="N2569" s="1" t="s">
        <v>1152</v>
      </c>
      <c r="O2569" s="3" t="s">
        <v>12055</v>
      </c>
      <c r="P2569" s="1" t="s">
        <v>1152</v>
      </c>
      <c r="Q2569" s="1" t="s">
        <v>1152</v>
      </c>
      <c r="R2569" s="1"/>
      <c r="S2569" s="1"/>
      <c r="T2569" s="1" t="s">
        <v>1152</v>
      </c>
      <c r="U2569" s="1" t="s">
        <v>1277</v>
      </c>
      <c r="V2569" s="4" t="s">
        <v>12055</v>
      </c>
      <c r="W2569" s="1"/>
      <c r="X2569" s="1" t="s">
        <v>1152</v>
      </c>
      <c r="Y2569" s="1" t="s">
        <v>1152</v>
      </c>
      <c r="Z2569" s="1"/>
      <c r="AA2569" s="1"/>
      <c r="AB2569" s="1"/>
      <c r="AC2569" s="1" t="s">
        <v>1925</v>
      </c>
      <c r="AD2569" s="1"/>
      <c r="AE2569" s="18">
        <v>46143.0</v>
      </c>
      <c r="AF2569" s="1"/>
      <c r="AG2569" s="1"/>
      <c r="AH2569" s="1" t="s">
        <v>1152</v>
      </c>
      <c r="AI2569" s="1" t="s">
        <v>1152</v>
      </c>
      <c r="AJ2569" s="1" t="s">
        <v>10567</v>
      </c>
      <c r="AK2569" s="1" t="s">
        <v>1152</v>
      </c>
      <c r="AL2569" s="6"/>
      <c r="AM2569" s="12">
        <v>4.043751245E9</v>
      </c>
    </row>
    <row r="2570">
      <c r="A2570" s="5" t="s">
        <v>12056</v>
      </c>
      <c r="B2570" s="1" t="s">
        <v>12057</v>
      </c>
      <c r="C2570" s="1" t="s">
        <v>12058</v>
      </c>
      <c r="D2570" s="2">
        <v>9.179355698E9</v>
      </c>
      <c r="E2570" s="1" t="s">
        <v>8893</v>
      </c>
      <c r="F2570" s="1"/>
      <c r="G2570" s="1" t="s">
        <v>1697</v>
      </c>
      <c r="H2570" s="1" t="s">
        <v>751</v>
      </c>
      <c r="I2570" s="1">
        <v>11021.0</v>
      </c>
      <c r="J2570" s="1" t="s">
        <v>752</v>
      </c>
      <c r="K2570" s="1" t="s">
        <v>2131</v>
      </c>
      <c r="L2570" s="1" t="s">
        <v>5767</v>
      </c>
      <c r="M2570" s="1">
        <v>1.0</v>
      </c>
      <c r="N2570" s="1" t="s">
        <v>1152</v>
      </c>
      <c r="O2570" s="3" t="s">
        <v>2946</v>
      </c>
      <c r="P2570" s="1" t="s">
        <v>1152</v>
      </c>
      <c r="Q2570" s="1" t="s">
        <v>1152</v>
      </c>
      <c r="R2570" s="1"/>
      <c r="S2570" s="1"/>
      <c r="T2570" s="1" t="s">
        <v>1152</v>
      </c>
      <c r="U2570" s="1" t="s">
        <v>1699</v>
      </c>
      <c r="V2570" s="4" t="s">
        <v>2946</v>
      </c>
      <c r="W2570" s="1"/>
      <c r="X2570" s="1" t="s">
        <v>1152</v>
      </c>
      <c r="Y2570" s="1" t="s">
        <v>1152</v>
      </c>
      <c r="Z2570" s="1"/>
      <c r="AA2570" s="1"/>
      <c r="AB2570" s="1"/>
      <c r="AC2570" s="1" t="s">
        <v>1925</v>
      </c>
      <c r="AD2570" s="1"/>
      <c r="AE2570" s="18">
        <v>46149.0</v>
      </c>
      <c r="AF2570" s="1"/>
      <c r="AG2570" s="1"/>
      <c r="AH2570" s="1" t="s">
        <v>1152</v>
      </c>
      <c r="AI2570" s="1" t="s">
        <v>1152</v>
      </c>
      <c r="AJ2570" s="1" t="s">
        <v>12059</v>
      </c>
      <c r="AK2570" s="1" t="s">
        <v>1152</v>
      </c>
      <c r="AL2570" s="6"/>
      <c r="AM2570" s="12" t="s">
        <v>12060</v>
      </c>
    </row>
    <row r="2571">
      <c r="A2571" s="5" t="s">
        <v>12061</v>
      </c>
      <c r="B2571" s="1" t="s">
        <v>12062</v>
      </c>
      <c r="C2571" s="1" t="s">
        <v>12063</v>
      </c>
      <c r="D2571" s="2">
        <v>3.142034348E9</v>
      </c>
      <c r="E2571" s="1" t="s">
        <v>12064</v>
      </c>
      <c r="F2571" s="1"/>
      <c r="G2571" s="1" t="s">
        <v>2350</v>
      </c>
      <c r="H2571" s="1" t="s">
        <v>1155</v>
      </c>
      <c r="I2571" s="1">
        <v>63130.0</v>
      </c>
      <c r="J2571" s="1" t="s">
        <v>752</v>
      </c>
      <c r="K2571" s="1" t="s">
        <v>42</v>
      </c>
      <c r="L2571" s="1" t="s">
        <v>6819</v>
      </c>
      <c r="M2571" s="1">
        <v>49.0</v>
      </c>
      <c r="N2571" s="1" t="s">
        <v>1152</v>
      </c>
      <c r="O2571" s="3" t="s">
        <v>1020</v>
      </c>
      <c r="P2571" s="1" t="s">
        <v>1152</v>
      </c>
      <c r="Q2571" s="1" t="s">
        <v>1152</v>
      </c>
      <c r="R2571" s="1"/>
      <c r="S2571" s="1"/>
      <c r="T2571" s="1" t="s">
        <v>1152</v>
      </c>
      <c r="U2571" s="1" t="s">
        <v>1812</v>
      </c>
      <c r="V2571" s="4" t="s">
        <v>1020</v>
      </c>
      <c r="W2571" s="1"/>
      <c r="X2571" s="1" t="s">
        <v>1152</v>
      </c>
      <c r="Y2571" s="1" t="s">
        <v>1152</v>
      </c>
      <c r="Z2571" s="1"/>
      <c r="AA2571" s="1"/>
      <c r="AB2571" s="1"/>
      <c r="AC2571" s="1" t="s">
        <v>1925</v>
      </c>
      <c r="AD2571" s="1"/>
      <c r="AE2571" s="18">
        <v>46149.0</v>
      </c>
      <c r="AF2571" s="1" t="s">
        <v>1103</v>
      </c>
      <c r="AG2571" s="1" t="s">
        <v>52</v>
      </c>
      <c r="AH2571" s="1" t="s">
        <v>1152</v>
      </c>
      <c r="AI2571" s="1" t="s">
        <v>1152</v>
      </c>
      <c r="AJ2571" s="1" t="s">
        <v>12064</v>
      </c>
      <c r="AK2571" s="1" t="s">
        <v>1152</v>
      </c>
      <c r="AL2571" s="6"/>
      <c r="AM2571" s="12">
        <v>3.142034348E9</v>
      </c>
    </row>
    <row r="2572">
      <c r="A2572" s="5" t="s">
        <v>12065</v>
      </c>
      <c r="B2572" s="1" t="s">
        <v>12066</v>
      </c>
      <c r="C2572" s="1" t="s">
        <v>6713</v>
      </c>
      <c r="D2572" s="2">
        <v>6.462713339E9</v>
      </c>
      <c r="E2572" s="1" t="s">
        <v>6714</v>
      </c>
      <c r="F2572" s="1"/>
      <c r="G2572" s="1" t="s">
        <v>6715</v>
      </c>
      <c r="H2572" s="1" t="s">
        <v>751</v>
      </c>
      <c r="I2572" s="1">
        <v>11030.0</v>
      </c>
      <c r="J2572" s="1" t="s">
        <v>752</v>
      </c>
      <c r="K2572" s="1" t="s">
        <v>2131</v>
      </c>
      <c r="L2572" s="1" t="s">
        <v>5767</v>
      </c>
      <c r="M2572" s="1">
        <v>1.0</v>
      </c>
      <c r="N2572" s="1" t="s">
        <v>1152</v>
      </c>
      <c r="O2572" s="3" t="s">
        <v>6716</v>
      </c>
      <c r="P2572" s="1" t="s">
        <v>1152</v>
      </c>
      <c r="Q2572" s="1" t="s">
        <v>1152</v>
      </c>
      <c r="R2572" s="1"/>
      <c r="S2572" s="1"/>
      <c r="T2572" s="1" t="s">
        <v>1152</v>
      </c>
      <c r="U2572" s="1" t="s">
        <v>1080</v>
      </c>
      <c r="V2572" s="4" t="s">
        <v>6716</v>
      </c>
      <c r="W2572" s="1"/>
      <c r="X2572" s="1" t="s">
        <v>1152</v>
      </c>
      <c r="Y2572" s="1" t="s">
        <v>1152</v>
      </c>
      <c r="Z2572" s="1"/>
      <c r="AA2572" s="1"/>
      <c r="AB2572" s="1"/>
      <c r="AC2572" s="1" t="s">
        <v>1925</v>
      </c>
      <c r="AD2572" s="1"/>
      <c r="AE2572" s="18">
        <v>46147.0</v>
      </c>
      <c r="AF2572" s="1"/>
      <c r="AG2572" s="1"/>
      <c r="AH2572" s="1" t="s">
        <v>1152</v>
      </c>
      <c r="AI2572" s="1" t="s">
        <v>1152</v>
      </c>
      <c r="AJ2572" s="1" t="s">
        <v>6717</v>
      </c>
      <c r="AK2572" s="1" t="s">
        <v>1152</v>
      </c>
      <c r="AL2572" s="6"/>
      <c r="AM2572" s="12">
        <v>5.167083633E9</v>
      </c>
    </row>
    <row r="2573">
      <c r="A2573" s="5" t="s">
        <v>12067</v>
      </c>
      <c r="B2573" s="1" t="s">
        <v>12068</v>
      </c>
      <c r="C2573" s="1" t="s">
        <v>4674</v>
      </c>
      <c r="D2573" s="2">
        <v>6.504228482E9</v>
      </c>
      <c r="E2573" s="1" t="s">
        <v>4675</v>
      </c>
      <c r="F2573" s="1"/>
      <c r="G2573" s="1" t="s">
        <v>2998</v>
      </c>
      <c r="H2573" s="1" t="s">
        <v>2999</v>
      </c>
      <c r="I2573" s="1">
        <v>55405.0</v>
      </c>
      <c r="J2573" s="1" t="s">
        <v>752</v>
      </c>
      <c r="K2573" s="1" t="s">
        <v>2131</v>
      </c>
      <c r="L2573" s="1" t="s">
        <v>5736</v>
      </c>
      <c r="M2573" s="1">
        <v>1.0</v>
      </c>
      <c r="N2573" s="1" t="s">
        <v>1152</v>
      </c>
      <c r="O2573" s="3" t="s">
        <v>6906</v>
      </c>
      <c r="P2573" s="1" t="s">
        <v>1152</v>
      </c>
      <c r="Q2573" s="1" t="s">
        <v>1152</v>
      </c>
      <c r="R2573" s="1"/>
      <c r="S2573" s="1"/>
      <c r="T2573" s="1" t="s">
        <v>1152</v>
      </c>
      <c r="U2573" s="1" t="s">
        <v>1065</v>
      </c>
      <c r="V2573" s="4" t="s">
        <v>6906</v>
      </c>
      <c r="W2573" s="1"/>
      <c r="X2573" s="1" t="s">
        <v>1152</v>
      </c>
      <c r="Y2573" s="1" t="s">
        <v>1152</v>
      </c>
      <c r="Z2573" s="1"/>
      <c r="AA2573" s="1"/>
      <c r="AB2573" s="1"/>
      <c r="AC2573" s="1" t="s">
        <v>1925</v>
      </c>
      <c r="AD2573" s="1"/>
      <c r="AE2573" s="18">
        <v>46150.0</v>
      </c>
      <c r="AF2573" s="1"/>
      <c r="AG2573" s="1"/>
      <c r="AH2573" s="1" t="s">
        <v>1152</v>
      </c>
      <c r="AI2573" s="1" t="s">
        <v>1152</v>
      </c>
      <c r="AJ2573" s="1" t="s">
        <v>6266</v>
      </c>
      <c r="AK2573" s="1" t="s">
        <v>1152</v>
      </c>
      <c r="AL2573" s="6"/>
      <c r="AM2573" s="12">
        <v>6.504228482E9</v>
      </c>
    </row>
    <row r="2574">
      <c r="A2574" s="5" t="s">
        <v>12069</v>
      </c>
      <c r="B2574" s="1" t="s">
        <v>12070</v>
      </c>
      <c r="C2574" s="1" t="s">
        <v>9096</v>
      </c>
      <c r="D2574" s="2">
        <v>8.084920384E9</v>
      </c>
      <c r="E2574" s="1" t="s">
        <v>9097</v>
      </c>
      <c r="F2574" s="1"/>
      <c r="G2574" s="1" t="s">
        <v>9098</v>
      </c>
      <c r="H2574" s="1" t="s">
        <v>2486</v>
      </c>
      <c r="I2574" s="1">
        <v>96789.0</v>
      </c>
      <c r="J2574" s="1" t="s">
        <v>752</v>
      </c>
      <c r="K2574" s="1" t="s">
        <v>2131</v>
      </c>
      <c r="L2574" s="1" t="s">
        <v>5767</v>
      </c>
      <c r="M2574" s="1">
        <v>1.0</v>
      </c>
      <c r="N2574" s="1" t="s">
        <v>1152</v>
      </c>
      <c r="O2574" s="3" t="s">
        <v>9099</v>
      </c>
      <c r="P2574" s="1" t="s">
        <v>1152</v>
      </c>
      <c r="Q2574" s="1" t="s">
        <v>1152</v>
      </c>
      <c r="R2574" s="1"/>
      <c r="S2574" s="1"/>
      <c r="T2574" s="1" t="s">
        <v>1152</v>
      </c>
      <c r="U2574" s="1" t="s">
        <v>1080</v>
      </c>
      <c r="V2574" s="4" t="s">
        <v>9099</v>
      </c>
      <c r="W2574" s="1"/>
      <c r="X2574" s="1" t="s">
        <v>1152</v>
      </c>
      <c r="Y2574" s="1" t="s">
        <v>1152</v>
      </c>
      <c r="Z2574" s="1"/>
      <c r="AA2574" s="1"/>
      <c r="AB2574" s="1"/>
      <c r="AC2574" s="1" t="s">
        <v>1925</v>
      </c>
      <c r="AD2574" s="1"/>
      <c r="AE2574" s="18">
        <v>46148.0</v>
      </c>
      <c r="AF2574" s="1"/>
      <c r="AG2574" s="1"/>
      <c r="AH2574" s="1" t="s">
        <v>1152</v>
      </c>
      <c r="AI2574" s="1" t="s">
        <v>1152</v>
      </c>
      <c r="AJ2574" s="1" t="s">
        <v>9097</v>
      </c>
      <c r="AK2574" s="1" t="s">
        <v>1152</v>
      </c>
      <c r="AL2574" s="6"/>
      <c r="AM2574" s="12" t="s">
        <v>12071</v>
      </c>
    </row>
    <row r="2575">
      <c r="A2575" s="5" t="s">
        <v>12072</v>
      </c>
      <c r="B2575" s="1" t="s">
        <v>12073</v>
      </c>
      <c r="C2575" s="1" t="s">
        <v>11113</v>
      </c>
      <c r="D2575" s="2">
        <v>6.10608914E9</v>
      </c>
      <c r="E2575" s="1" t="s">
        <v>11114</v>
      </c>
      <c r="F2575" s="1"/>
      <c r="G2575" s="1" t="s">
        <v>1311</v>
      </c>
      <c r="H2575" s="1" t="s">
        <v>1233</v>
      </c>
      <c r="I2575" s="1">
        <v>19072.0</v>
      </c>
      <c r="J2575" s="1" t="s">
        <v>752</v>
      </c>
      <c r="K2575" s="1" t="s">
        <v>2131</v>
      </c>
      <c r="L2575" s="1" t="s">
        <v>5736</v>
      </c>
      <c r="M2575" s="1">
        <v>1.0</v>
      </c>
      <c r="N2575" s="1" t="s">
        <v>1152</v>
      </c>
      <c r="O2575" s="3" t="s">
        <v>1312</v>
      </c>
      <c r="P2575" s="1" t="s">
        <v>1152</v>
      </c>
      <c r="Q2575" s="1" t="s">
        <v>1152</v>
      </c>
      <c r="R2575" s="1"/>
      <c r="S2575" s="1"/>
      <c r="T2575" s="1" t="s">
        <v>1152</v>
      </c>
      <c r="U2575" s="1" t="s">
        <v>1277</v>
      </c>
      <c r="V2575" s="4" t="s">
        <v>1312</v>
      </c>
      <c r="W2575" s="1"/>
      <c r="X2575" s="1" t="s">
        <v>1152</v>
      </c>
      <c r="Y2575" s="1" t="s">
        <v>1152</v>
      </c>
      <c r="Z2575" s="1"/>
      <c r="AA2575" s="1"/>
      <c r="AB2575" s="1"/>
      <c r="AC2575" s="1" t="s">
        <v>1925</v>
      </c>
      <c r="AD2575" s="1"/>
      <c r="AE2575" s="18">
        <v>46148.0</v>
      </c>
      <c r="AF2575" s="1"/>
      <c r="AG2575" s="1"/>
      <c r="AH2575" s="1" t="s">
        <v>1152</v>
      </c>
      <c r="AI2575" s="1" t="s">
        <v>1152</v>
      </c>
      <c r="AJ2575" s="1" t="s">
        <v>11114</v>
      </c>
      <c r="AK2575" s="1" t="s">
        <v>1152</v>
      </c>
      <c r="AL2575" s="6"/>
      <c r="AM2575" s="12">
        <v>6.10608914E9</v>
      </c>
    </row>
    <row r="2576">
      <c r="A2576" s="5" t="s">
        <v>12074</v>
      </c>
      <c r="B2576" s="1" t="s">
        <v>12075</v>
      </c>
      <c r="C2576" s="1" t="s">
        <v>12076</v>
      </c>
      <c r="D2576" s="2">
        <v>4.10279228E9</v>
      </c>
      <c r="E2576" s="1" t="s">
        <v>12077</v>
      </c>
      <c r="F2576" s="1"/>
      <c r="G2576" s="1" t="s">
        <v>2914</v>
      </c>
      <c r="H2576" s="1" t="s">
        <v>1005</v>
      </c>
      <c r="I2576" s="1">
        <v>21409.0</v>
      </c>
      <c r="J2576" s="1" t="s">
        <v>752</v>
      </c>
      <c r="K2576" s="1" t="s">
        <v>42</v>
      </c>
      <c r="L2576" s="1" t="s">
        <v>6819</v>
      </c>
      <c r="M2576" s="1">
        <v>49.0</v>
      </c>
      <c r="N2576" s="1" t="s">
        <v>1152</v>
      </c>
      <c r="O2576" s="3" t="s">
        <v>2915</v>
      </c>
      <c r="P2576" s="1" t="s">
        <v>1152</v>
      </c>
      <c r="Q2576" s="1" t="s">
        <v>1152</v>
      </c>
      <c r="R2576" s="1"/>
      <c r="S2576" s="1"/>
      <c r="T2576" s="1" t="s">
        <v>1152</v>
      </c>
      <c r="U2576" s="1" t="s">
        <v>1407</v>
      </c>
      <c r="V2576" s="4" t="s">
        <v>2915</v>
      </c>
      <c r="W2576" s="1"/>
      <c r="X2576" s="1" t="s">
        <v>1152</v>
      </c>
      <c r="Y2576" s="1" t="s">
        <v>1152</v>
      </c>
      <c r="Z2576" s="1"/>
      <c r="AA2576" s="1"/>
      <c r="AB2576" s="1"/>
      <c r="AC2576" s="1" t="s">
        <v>1925</v>
      </c>
      <c r="AD2576" s="1"/>
      <c r="AE2576" s="18">
        <v>46148.0</v>
      </c>
      <c r="AF2576" s="1" t="s">
        <v>1030</v>
      </c>
      <c r="AG2576" s="1" t="s">
        <v>52</v>
      </c>
      <c r="AH2576" s="1" t="s">
        <v>1152</v>
      </c>
      <c r="AI2576" s="1" t="s">
        <v>1152</v>
      </c>
      <c r="AJ2576" s="1" t="s">
        <v>12078</v>
      </c>
      <c r="AK2576" s="1" t="s">
        <v>1152</v>
      </c>
      <c r="AL2576" s="6"/>
      <c r="AM2576" s="12" t="str">
        <v>#ERROR!</v>
      </c>
    </row>
    <row r="2577">
      <c r="A2577" s="5" t="s">
        <v>12079</v>
      </c>
      <c r="B2577" s="1" t="s">
        <v>12080</v>
      </c>
      <c r="C2577" s="1" t="s">
        <v>2323</v>
      </c>
      <c r="D2577" s="2">
        <v>6.265875653E9</v>
      </c>
      <c r="E2577" s="1" t="s">
        <v>2324</v>
      </c>
      <c r="F2577" s="1"/>
      <c r="G2577" s="1" t="s">
        <v>2325</v>
      </c>
      <c r="H2577" s="1" t="s">
        <v>989</v>
      </c>
      <c r="I2577" s="1">
        <v>90230.0</v>
      </c>
      <c r="J2577" s="1" t="s">
        <v>752</v>
      </c>
      <c r="K2577" s="1" t="s">
        <v>2131</v>
      </c>
      <c r="L2577" s="1" t="s">
        <v>5767</v>
      </c>
      <c r="M2577" s="1">
        <v>1.0</v>
      </c>
      <c r="N2577" s="1" t="s">
        <v>1152</v>
      </c>
      <c r="O2577" s="3" t="s">
        <v>2327</v>
      </c>
      <c r="P2577" s="1" t="s">
        <v>1152</v>
      </c>
      <c r="Q2577" s="1" t="s">
        <v>1152</v>
      </c>
      <c r="R2577" s="1"/>
      <c r="S2577" s="1"/>
      <c r="T2577" s="1" t="s">
        <v>1152</v>
      </c>
      <c r="U2577" s="1" t="s">
        <v>1133</v>
      </c>
      <c r="V2577" s="4" t="s">
        <v>2327</v>
      </c>
      <c r="W2577" s="1"/>
      <c r="X2577" s="1" t="s">
        <v>1152</v>
      </c>
      <c r="Y2577" s="1" t="s">
        <v>1152</v>
      </c>
      <c r="Z2577" s="1"/>
      <c r="AA2577" s="1"/>
      <c r="AB2577" s="1"/>
      <c r="AC2577" s="1" t="s">
        <v>1925</v>
      </c>
      <c r="AD2577" s="1"/>
      <c r="AE2577" s="18">
        <v>46147.0</v>
      </c>
      <c r="AF2577" s="1"/>
      <c r="AG2577" s="1"/>
      <c r="AH2577" s="1" t="s">
        <v>1152</v>
      </c>
      <c r="AI2577" s="1" t="s">
        <v>1152</v>
      </c>
      <c r="AJ2577" s="1" t="s">
        <v>2324</v>
      </c>
      <c r="AK2577" s="1" t="s">
        <v>1152</v>
      </c>
      <c r="AL2577" s="6"/>
      <c r="AM2577" s="12">
        <v>6.265875653E9</v>
      </c>
    </row>
    <row r="2578">
      <c r="A2578" s="5" t="s">
        <v>12081</v>
      </c>
      <c r="B2578" s="1" t="s">
        <v>12082</v>
      </c>
      <c r="C2578" s="1" t="s">
        <v>2354</v>
      </c>
      <c r="D2578" s="2">
        <v>8.125588554E9</v>
      </c>
      <c r="E2578" s="1" t="s">
        <v>790</v>
      </c>
      <c r="F2578" s="1"/>
      <c r="G2578" s="1" t="s">
        <v>2355</v>
      </c>
      <c r="H2578" s="1" t="s">
        <v>2242</v>
      </c>
      <c r="I2578" s="1">
        <v>47401.0</v>
      </c>
      <c r="J2578" s="1" t="s">
        <v>752</v>
      </c>
      <c r="K2578" s="1" t="s">
        <v>2131</v>
      </c>
      <c r="L2578" s="1" t="s">
        <v>5767</v>
      </c>
      <c r="M2578" s="1">
        <v>1.0</v>
      </c>
      <c r="N2578" s="1" t="s">
        <v>1152</v>
      </c>
      <c r="O2578" s="3" t="s">
        <v>1731</v>
      </c>
      <c r="P2578" s="1" t="s">
        <v>1152</v>
      </c>
      <c r="Q2578" s="1" t="s">
        <v>1152</v>
      </c>
      <c r="R2578" s="1"/>
      <c r="S2578" s="1"/>
      <c r="T2578" s="1" t="s">
        <v>1152</v>
      </c>
      <c r="U2578" s="1" t="s">
        <v>1021</v>
      </c>
      <c r="V2578" s="4" t="s">
        <v>1731</v>
      </c>
      <c r="W2578" s="1"/>
      <c r="X2578" s="1" t="s">
        <v>1152</v>
      </c>
      <c r="Y2578" s="1" t="s">
        <v>1152</v>
      </c>
      <c r="Z2578" s="1"/>
      <c r="AA2578" s="1"/>
      <c r="AB2578" s="1"/>
      <c r="AC2578" s="1" t="s">
        <v>1925</v>
      </c>
      <c r="AD2578" s="1"/>
      <c r="AE2578" s="18">
        <v>46149.0</v>
      </c>
      <c r="AF2578" s="1"/>
      <c r="AG2578" s="1"/>
      <c r="AH2578" s="1" t="s">
        <v>1152</v>
      </c>
      <c r="AI2578" s="1" t="s">
        <v>1152</v>
      </c>
      <c r="AJ2578" s="1" t="s">
        <v>790</v>
      </c>
      <c r="AK2578" s="1" t="s">
        <v>1152</v>
      </c>
      <c r="AL2578" s="6"/>
      <c r="AM2578" s="12">
        <v>8.125588554E9</v>
      </c>
    </row>
    <row r="2579">
      <c r="A2579" s="5" t="s">
        <v>12083</v>
      </c>
      <c r="B2579" s="1" t="s">
        <v>12084</v>
      </c>
      <c r="C2579" s="1" t="s">
        <v>959</v>
      </c>
      <c r="D2579" s="2">
        <v>4.043745992E9</v>
      </c>
      <c r="E2579" s="1" t="s">
        <v>961</v>
      </c>
      <c r="F2579" s="1"/>
      <c r="G2579" s="1" t="s">
        <v>2179</v>
      </c>
      <c r="H2579" s="1" t="s">
        <v>946</v>
      </c>
      <c r="I2579" s="1">
        <v>30327.0</v>
      </c>
      <c r="J2579" s="1" t="s">
        <v>752</v>
      </c>
      <c r="K2579" s="1" t="s">
        <v>2131</v>
      </c>
      <c r="L2579" s="1" t="s">
        <v>5811</v>
      </c>
      <c r="M2579" s="1">
        <v>1.0</v>
      </c>
      <c r="N2579" s="1" t="s">
        <v>1152</v>
      </c>
      <c r="O2579" s="3" t="s">
        <v>11379</v>
      </c>
      <c r="P2579" s="1" t="s">
        <v>1152</v>
      </c>
      <c r="Q2579" s="1" t="s">
        <v>1152</v>
      </c>
      <c r="R2579" s="1"/>
      <c r="S2579" s="1"/>
      <c r="T2579" s="1" t="s">
        <v>1152</v>
      </c>
      <c r="U2579" s="1" t="s">
        <v>1277</v>
      </c>
      <c r="V2579" s="4" t="s">
        <v>11379</v>
      </c>
      <c r="W2579" s="1"/>
      <c r="X2579" s="1" t="s">
        <v>1152</v>
      </c>
      <c r="Y2579" s="1" t="s">
        <v>1152</v>
      </c>
      <c r="Z2579" s="1"/>
      <c r="AA2579" s="1"/>
      <c r="AB2579" s="1"/>
      <c r="AC2579" s="1" t="s">
        <v>1925</v>
      </c>
      <c r="AD2579" s="1"/>
      <c r="AE2579" s="18">
        <v>46148.0</v>
      </c>
      <c r="AF2579" s="1"/>
      <c r="AG2579" s="1"/>
      <c r="AH2579" s="1" t="s">
        <v>1152</v>
      </c>
      <c r="AI2579" s="1" t="s">
        <v>12085</v>
      </c>
      <c r="AJ2579" s="1" t="s">
        <v>11381</v>
      </c>
      <c r="AK2579" s="1" t="s">
        <v>1152</v>
      </c>
      <c r="AL2579" s="6"/>
      <c r="AM2579" s="12" t="s">
        <v>12086</v>
      </c>
    </row>
    <row r="2580">
      <c r="A2580" s="5" t="s">
        <v>12087</v>
      </c>
      <c r="B2580" s="1" t="s">
        <v>12088</v>
      </c>
      <c r="C2580" s="1" t="s">
        <v>1706</v>
      </c>
      <c r="D2580" s="2">
        <v>3.1036543E9</v>
      </c>
      <c r="E2580" s="1" t="s">
        <v>12089</v>
      </c>
      <c r="F2580" s="1"/>
      <c r="G2580" s="1" t="s">
        <v>1708</v>
      </c>
      <c r="H2580" s="1" t="s">
        <v>989</v>
      </c>
      <c r="I2580" s="1">
        <v>92629.0</v>
      </c>
      <c r="J2580" s="1" t="s">
        <v>752</v>
      </c>
      <c r="K2580" s="1" t="s">
        <v>6515</v>
      </c>
      <c r="L2580" s="1" t="s">
        <v>8482</v>
      </c>
      <c r="M2580" s="1">
        <v>400.0</v>
      </c>
      <c r="N2580" s="1" t="s">
        <v>1152</v>
      </c>
      <c r="O2580" s="3"/>
      <c r="P2580" s="1" t="s">
        <v>1152</v>
      </c>
      <c r="Q2580" s="1" t="s">
        <v>1152</v>
      </c>
      <c r="R2580" s="1"/>
      <c r="S2580" s="1"/>
      <c r="T2580" s="1" t="s">
        <v>1152</v>
      </c>
      <c r="U2580" s="1"/>
      <c r="V2580" s="4"/>
      <c r="W2580" s="1"/>
      <c r="X2580" s="1" t="s">
        <v>1152</v>
      </c>
      <c r="Y2580" s="1" t="s">
        <v>1152</v>
      </c>
      <c r="Z2580" s="1"/>
      <c r="AA2580" s="1"/>
      <c r="AB2580" s="1"/>
      <c r="AC2580" s="1" t="s">
        <v>12090</v>
      </c>
      <c r="AD2580" s="1"/>
      <c r="AE2580" s="18">
        <v>46141.0</v>
      </c>
      <c r="AF2580" s="1"/>
      <c r="AG2580" s="1"/>
      <c r="AH2580" s="1" t="s">
        <v>12091</v>
      </c>
      <c r="AI2580" s="1" t="s">
        <v>12092</v>
      </c>
      <c r="AJ2580" s="1"/>
      <c r="AK2580" s="1" t="s">
        <v>12093</v>
      </c>
      <c r="AL2580" s="6"/>
      <c r="AM2580" s="12">
        <v>3.1036543E9</v>
      </c>
    </row>
    <row r="2581">
      <c r="A2581" s="5" t="s">
        <v>12094</v>
      </c>
      <c r="B2581" s="1" t="s">
        <v>12095</v>
      </c>
      <c r="C2581" s="1" t="s">
        <v>12096</v>
      </c>
      <c r="D2581" s="2">
        <v>6.508688751E9</v>
      </c>
      <c r="E2581" s="1" t="s">
        <v>12097</v>
      </c>
      <c r="F2581" s="1"/>
      <c r="G2581" s="1" t="s">
        <v>2079</v>
      </c>
      <c r="H2581" s="1" t="s">
        <v>989</v>
      </c>
      <c r="I2581" s="1">
        <v>95014.0</v>
      </c>
      <c r="J2581" s="1" t="s">
        <v>752</v>
      </c>
      <c r="K2581" s="1" t="s">
        <v>2131</v>
      </c>
      <c r="L2581" s="1" t="s">
        <v>5767</v>
      </c>
      <c r="M2581" s="1">
        <v>1.0</v>
      </c>
      <c r="N2581" s="1" t="s">
        <v>1152</v>
      </c>
      <c r="O2581" s="3" t="s">
        <v>6270</v>
      </c>
      <c r="P2581" s="1" t="s">
        <v>1152</v>
      </c>
      <c r="Q2581" s="1" t="s">
        <v>1152</v>
      </c>
      <c r="R2581" s="1"/>
      <c r="S2581" s="1"/>
      <c r="T2581" s="1" t="s">
        <v>1152</v>
      </c>
      <c r="U2581" s="1" t="s">
        <v>1080</v>
      </c>
      <c r="V2581" s="4" t="s">
        <v>6270</v>
      </c>
      <c r="W2581" s="1"/>
      <c r="X2581" s="1" t="s">
        <v>1152</v>
      </c>
      <c r="Y2581" s="1" t="s">
        <v>1152</v>
      </c>
      <c r="Z2581" s="1"/>
      <c r="AA2581" s="1"/>
      <c r="AB2581" s="1"/>
      <c r="AC2581" s="1" t="s">
        <v>1925</v>
      </c>
      <c r="AD2581" s="1"/>
      <c r="AE2581" s="18">
        <v>46149.0</v>
      </c>
      <c r="AF2581" s="1"/>
      <c r="AG2581" s="1"/>
      <c r="AH2581" s="1" t="s">
        <v>1152</v>
      </c>
      <c r="AI2581" s="1" t="s">
        <v>1152</v>
      </c>
      <c r="AJ2581" s="1" t="s">
        <v>6271</v>
      </c>
      <c r="AK2581" s="1" t="s">
        <v>1152</v>
      </c>
      <c r="AL2581" s="6"/>
      <c r="AM2581" s="12" t="s">
        <v>12098</v>
      </c>
    </row>
    <row r="2582">
      <c r="A2582" s="5" t="s">
        <v>12099</v>
      </c>
      <c r="B2582" s="1" t="s">
        <v>12100</v>
      </c>
      <c r="C2582" s="1" t="s">
        <v>12101</v>
      </c>
      <c r="D2582" s="2">
        <v>8.588666205E9</v>
      </c>
      <c r="E2582" s="1" t="s">
        <v>12102</v>
      </c>
      <c r="F2582" s="1"/>
      <c r="G2582" s="1" t="s">
        <v>11179</v>
      </c>
      <c r="H2582" s="1" t="s">
        <v>989</v>
      </c>
      <c r="I2582" s="1">
        <v>92014.0</v>
      </c>
      <c r="J2582" s="1" t="s">
        <v>752</v>
      </c>
      <c r="K2582" s="1" t="s">
        <v>42</v>
      </c>
      <c r="L2582" s="1" t="s">
        <v>6819</v>
      </c>
      <c r="M2582" s="1">
        <v>49.0</v>
      </c>
      <c r="N2582" s="1" t="s">
        <v>1152</v>
      </c>
      <c r="O2582" s="3" t="s">
        <v>1020</v>
      </c>
      <c r="P2582" s="1" t="s">
        <v>1152</v>
      </c>
      <c r="Q2582" s="1" t="s">
        <v>1152</v>
      </c>
      <c r="R2582" s="1"/>
      <c r="S2582" s="1"/>
      <c r="T2582" s="1" t="s">
        <v>1152</v>
      </c>
      <c r="U2582" s="1" t="s">
        <v>1407</v>
      </c>
      <c r="V2582" s="4" t="s">
        <v>1020</v>
      </c>
      <c r="W2582" s="1"/>
      <c r="X2582" s="1" t="s">
        <v>1152</v>
      </c>
      <c r="Y2582" s="1" t="s">
        <v>1152</v>
      </c>
      <c r="Z2582" s="1"/>
      <c r="AA2582" s="1"/>
      <c r="AB2582" s="1"/>
      <c r="AC2582" s="1" t="s">
        <v>1925</v>
      </c>
      <c r="AD2582" s="1"/>
      <c r="AE2582" s="18">
        <v>46148.0</v>
      </c>
      <c r="AF2582" s="1" t="s">
        <v>1455</v>
      </c>
      <c r="AG2582" s="1" t="s">
        <v>52</v>
      </c>
      <c r="AH2582" s="1" t="s">
        <v>1152</v>
      </c>
      <c r="AI2582" s="1" t="s">
        <v>12103</v>
      </c>
      <c r="AJ2582" s="1" t="s">
        <v>12102</v>
      </c>
      <c r="AK2582" s="1" t="s">
        <v>1152</v>
      </c>
      <c r="AL2582" s="6"/>
      <c r="AM2582" s="12" t="s">
        <v>12104</v>
      </c>
    </row>
    <row r="2583">
      <c r="A2583" s="5" t="s">
        <v>12105</v>
      </c>
      <c r="B2583" s="1" t="s">
        <v>12106</v>
      </c>
      <c r="C2583" s="1" t="s">
        <v>1821</v>
      </c>
      <c r="D2583" s="2">
        <v>7.18715543E9</v>
      </c>
      <c r="E2583" s="1" t="s">
        <v>9779</v>
      </c>
      <c r="F2583" s="1"/>
      <c r="G2583" s="1" t="s">
        <v>751</v>
      </c>
      <c r="H2583" s="1" t="s">
        <v>751</v>
      </c>
      <c r="I2583" s="1">
        <v>10025.0</v>
      </c>
      <c r="J2583" s="1" t="s">
        <v>752</v>
      </c>
      <c r="K2583" s="1" t="s">
        <v>2131</v>
      </c>
      <c r="L2583" s="1" t="s">
        <v>5811</v>
      </c>
      <c r="M2583" s="1">
        <v>1.0</v>
      </c>
      <c r="N2583" s="1" t="s">
        <v>1152</v>
      </c>
      <c r="O2583" s="3" t="s">
        <v>1823</v>
      </c>
      <c r="P2583" s="1" t="s">
        <v>1152</v>
      </c>
      <c r="Q2583" s="1" t="s">
        <v>1152</v>
      </c>
      <c r="R2583" s="1"/>
      <c r="S2583" s="1"/>
      <c r="T2583" s="1" t="s">
        <v>1152</v>
      </c>
      <c r="U2583" s="1" t="s">
        <v>1812</v>
      </c>
      <c r="V2583" s="4" t="s">
        <v>1823</v>
      </c>
      <c r="W2583" s="1"/>
      <c r="X2583" s="1" t="s">
        <v>1152</v>
      </c>
      <c r="Y2583" s="1" t="s">
        <v>1152</v>
      </c>
      <c r="Z2583" s="1"/>
      <c r="AA2583" s="1"/>
      <c r="AB2583" s="1"/>
      <c r="AC2583" s="1" t="s">
        <v>1925</v>
      </c>
      <c r="AD2583" s="1"/>
      <c r="AE2583" s="18">
        <v>46148.0</v>
      </c>
      <c r="AF2583" s="1"/>
      <c r="AG2583" s="1"/>
      <c r="AH2583" s="1" t="s">
        <v>1152</v>
      </c>
      <c r="AI2583" s="1" t="s">
        <v>1152</v>
      </c>
      <c r="AJ2583" s="1" t="s">
        <v>9779</v>
      </c>
      <c r="AK2583" s="1" t="s">
        <v>1152</v>
      </c>
      <c r="AL2583" s="6"/>
      <c r="AM2583" s="12">
        <v>7.18715543E9</v>
      </c>
    </row>
    <row r="2584">
      <c r="A2584" s="5" t="s">
        <v>12105</v>
      </c>
      <c r="B2584" s="1" t="s">
        <v>12106</v>
      </c>
      <c r="C2584" s="1" t="s">
        <v>1821</v>
      </c>
      <c r="D2584" s="2">
        <v>7.18715543E9</v>
      </c>
      <c r="E2584" s="1" t="s">
        <v>9779</v>
      </c>
      <c r="F2584" s="1"/>
      <c r="G2584" s="1" t="s">
        <v>751</v>
      </c>
      <c r="H2584" s="1" t="s">
        <v>751</v>
      </c>
      <c r="I2584" s="1">
        <v>10025.0</v>
      </c>
      <c r="J2584" s="1" t="s">
        <v>752</v>
      </c>
      <c r="K2584" s="1" t="s">
        <v>892</v>
      </c>
      <c r="L2584" s="1" t="s">
        <v>8006</v>
      </c>
      <c r="M2584" s="1">
        <v>49.0</v>
      </c>
      <c r="N2584" s="1" t="s">
        <v>1152</v>
      </c>
      <c r="O2584" s="3" t="s">
        <v>1823</v>
      </c>
      <c r="P2584" s="1" t="s">
        <v>1152</v>
      </c>
      <c r="Q2584" s="1" t="s">
        <v>1152</v>
      </c>
      <c r="R2584" s="1"/>
      <c r="S2584" s="1"/>
      <c r="T2584" s="1" t="s">
        <v>1152</v>
      </c>
      <c r="U2584" s="1" t="s">
        <v>1812</v>
      </c>
      <c r="V2584" s="4" t="s">
        <v>1823</v>
      </c>
      <c r="W2584" s="1"/>
      <c r="X2584" s="1" t="s">
        <v>1152</v>
      </c>
      <c r="Y2584" s="1" t="s">
        <v>1152</v>
      </c>
      <c r="Z2584" s="1"/>
      <c r="AA2584" s="1"/>
      <c r="AB2584" s="1"/>
      <c r="AC2584" s="1" t="s">
        <v>1925</v>
      </c>
      <c r="AD2584" s="1"/>
      <c r="AE2584" s="18">
        <v>46148.0</v>
      </c>
      <c r="AF2584" s="1" t="s">
        <v>1630</v>
      </c>
      <c r="AG2584" s="1" t="s">
        <v>52</v>
      </c>
      <c r="AH2584" s="1" t="s">
        <v>12107</v>
      </c>
      <c r="AI2584" s="1" t="s">
        <v>1152</v>
      </c>
      <c r="AJ2584" s="1" t="s">
        <v>9779</v>
      </c>
      <c r="AK2584" s="1" t="s">
        <v>1152</v>
      </c>
      <c r="AL2584" s="6"/>
      <c r="AM2584" s="12">
        <v>7.18715543E9</v>
      </c>
    </row>
    <row r="2585">
      <c r="A2585" s="5" t="s">
        <v>12108</v>
      </c>
      <c r="B2585" s="1" t="s">
        <v>12109</v>
      </c>
      <c r="C2585" s="1" t="s">
        <v>12110</v>
      </c>
      <c r="D2585" s="2">
        <v>8.583619963E9</v>
      </c>
      <c r="E2585" s="1" t="s">
        <v>6553</v>
      </c>
      <c r="F2585" s="1"/>
      <c r="G2585" s="1" t="s">
        <v>12111</v>
      </c>
      <c r="H2585" s="1" t="s">
        <v>989</v>
      </c>
      <c r="I2585" s="1">
        <v>92037.0</v>
      </c>
      <c r="J2585" s="1" t="s">
        <v>752</v>
      </c>
      <c r="K2585" s="1" t="s">
        <v>892</v>
      </c>
      <c r="L2585" s="1" t="s">
        <v>8006</v>
      </c>
      <c r="M2585" s="1">
        <v>49.0</v>
      </c>
      <c r="N2585" s="1" t="s">
        <v>1152</v>
      </c>
      <c r="O2585" s="3" t="s">
        <v>6554</v>
      </c>
      <c r="P2585" s="1" t="s">
        <v>1152</v>
      </c>
      <c r="Q2585" s="1" t="s">
        <v>1152</v>
      </c>
      <c r="R2585" s="1"/>
      <c r="S2585" s="1"/>
      <c r="T2585" s="1" t="s">
        <v>1152</v>
      </c>
      <c r="U2585" s="1" t="s">
        <v>1285</v>
      </c>
      <c r="V2585" s="4" t="s">
        <v>6554</v>
      </c>
      <c r="W2585" s="1"/>
      <c r="X2585" s="1" t="s">
        <v>1152</v>
      </c>
      <c r="Y2585" s="1" t="s">
        <v>1152</v>
      </c>
      <c r="Z2585" s="1"/>
      <c r="AA2585" s="1"/>
      <c r="AB2585" s="1"/>
      <c r="AC2585" s="1" t="s">
        <v>1925</v>
      </c>
      <c r="AD2585" s="1"/>
      <c r="AE2585" s="18">
        <v>46143.0</v>
      </c>
      <c r="AF2585" s="1" t="s">
        <v>1030</v>
      </c>
      <c r="AG2585" s="1" t="s">
        <v>52</v>
      </c>
      <c r="AH2585" s="1" t="s">
        <v>12112</v>
      </c>
      <c r="AI2585" s="1" t="s">
        <v>1152</v>
      </c>
      <c r="AJ2585" s="1" t="s">
        <v>6553</v>
      </c>
      <c r="AK2585" s="1" t="s">
        <v>1152</v>
      </c>
      <c r="AL2585" s="6"/>
      <c r="AM2585" s="12">
        <v>8.583619963E9</v>
      </c>
    </row>
    <row r="2586">
      <c r="A2586" s="5" t="s">
        <v>12113</v>
      </c>
      <c r="B2586" s="1" t="s">
        <v>12114</v>
      </c>
      <c r="C2586" s="1" t="s">
        <v>12115</v>
      </c>
      <c r="D2586" s="2">
        <v>8.08389152E9</v>
      </c>
      <c r="E2586" s="1" t="s">
        <v>6114</v>
      </c>
      <c r="F2586" s="1"/>
      <c r="G2586" s="1" t="s">
        <v>2485</v>
      </c>
      <c r="H2586" s="1" t="s">
        <v>2486</v>
      </c>
      <c r="I2586" s="1">
        <v>96817.0</v>
      </c>
      <c r="J2586" s="1" t="s">
        <v>752</v>
      </c>
      <c r="K2586" s="1" t="s">
        <v>2131</v>
      </c>
      <c r="L2586" s="1" t="s">
        <v>5811</v>
      </c>
      <c r="M2586" s="1">
        <v>1.0</v>
      </c>
      <c r="N2586" s="1" t="s">
        <v>1152</v>
      </c>
      <c r="O2586" s="3" t="s">
        <v>6115</v>
      </c>
      <c r="P2586" s="1" t="s">
        <v>1152</v>
      </c>
      <c r="Q2586" s="1" t="s">
        <v>1152</v>
      </c>
      <c r="R2586" s="1"/>
      <c r="S2586" s="1"/>
      <c r="T2586" s="1" t="s">
        <v>1152</v>
      </c>
      <c r="U2586" s="1" t="s">
        <v>982</v>
      </c>
      <c r="V2586" s="4" t="s">
        <v>6115</v>
      </c>
      <c r="W2586" s="1"/>
      <c r="X2586" s="1" t="s">
        <v>1152</v>
      </c>
      <c r="Y2586" s="1" t="s">
        <v>1152</v>
      </c>
      <c r="Z2586" s="1"/>
      <c r="AA2586" s="1"/>
      <c r="AB2586" s="1"/>
      <c r="AC2586" s="1" t="s">
        <v>1925</v>
      </c>
      <c r="AD2586" s="1"/>
      <c r="AE2586" s="18">
        <v>46148.0</v>
      </c>
      <c r="AF2586" s="1"/>
      <c r="AG2586" s="1"/>
      <c r="AH2586" s="1" t="s">
        <v>1152</v>
      </c>
      <c r="AI2586" s="1" t="s">
        <v>1152</v>
      </c>
      <c r="AJ2586" s="1" t="s">
        <v>6114</v>
      </c>
      <c r="AK2586" s="1" t="s">
        <v>1152</v>
      </c>
      <c r="AL2586" s="6"/>
      <c r="AM2586" s="12">
        <v>8.08389152E9</v>
      </c>
    </row>
    <row r="2587">
      <c r="A2587" s="5" t="s">
        <v>12116</v>
      </c>
      <c r="B2587" s="1" t="s">
        <v>12117</v>
      </c>
      <c r="C2587" s="1" t="s">
        <v>3407</v>
      </c>
      <c r="D2587" s="2">
        <v>821065833994</v>
      </c>
      <c r="E2587" s="1" t="s">
        <v>3408</v>
      </c>
      <c r="F2587" s="1"/>
      <c r="G2587" s="1" t="s">
        <v>12118</v>
      </c>
      <c r="H2587" s="1" t="s">
        <v>1964</v>
      </c>
      <c r="I2587" s="1">
        <v>5508.0</v>
      </c>
      <c r="J2587" s="1" t="s">
        <v>1965</v>
      </c>
      <c r="K2587" s="1" t="s">
        <v>42</v>
      </c>
      <c r="L2587" s="1" t="s">
        <v>6819</v>
      </c>
      <c r="M2587" s="1">
        <v>49.0</v>
      </c>
      <c r="N2587" s="1" t="s">
        <v>1152</v>
      </c>
      <c r="O2587" s="3" t="s">
        <v>3409</v>
      </c>
      <c r="P2587" s="1" t="s">
        <v>1152</v>
      </c>
      <c r="Q2587" s="1" t="s">
        <v>1152</v>
      </c>
      <c r="R2587" s="1"/>
      <c r="S2587" s="1"/>
      <c r="T2587" s="1" t="s">
        <v>1152</v>
      </c>
      <c r="U2587" s="1" t="s">
        <v>2940</v>
      </c>
      <c r="V2587" s="4" t="s">
        <v>3409</v>
      </c>
      <c r="W2587" s="1"/>
      <c r="X2587" s="1" t="s">
        <v>1152</v>
      </c>
      <c r="Y2587" s="1" t="s">
        <v>1152</v>
      </c>
      <c r="Z2587" s="1"/>
      <c r="AA2587" s="1"/>
      <c r="AB2587" s="1"/>
      <c r="AC2587" s="1" t="s">
        <v>1925</v>
      </c>
      <c r="AD2587" s="1"/>
      <c r="AE2587" s="18">
        <v>46144.0</v>
      </c>
      <c r="AF2587" s="1" t="s">
        <v>1030</v>
      </c>
      <c r="AG2587" s="1" t="s">
        <v>52</v>
      </c>
      <c r="AH2587" s="1" t="s">
        <v>1152</v>
      </c>
      <c r="AI2587" s="1" t="s">
        <v>1152</v>
      </c>
      <c r="AJ2587" s="1" t="s">
        <v>3408</v>
      </c>
      <c r="AK2587" s="1" t="s">
        <v>1152</v>
      </c>
      <c r="AL2587" s="6"/>
      <c r="AM2587" s="12">
        <v>3.14349549E9</v>
      </c>
    </row>
    <row r="2588">
      <c r="A2588" s="5" t="s">
        <v>12119</v>
      </c>
      <c r="B2588" s="1" t="s">
        <v>12120</v>
      </c>
      <c r="C2588" s="1" t="s">
        <v>12121</v>
      </c>
      <c r="D2588" s="2">
        <v>6.266786905E9</v>
      </c>
      <c r="E2588" s="1" t="s">
        <v>12122</v>
      </c>
      <c r="F2588" s="1"/>
      <c r="G2588" s="1" t="s">
        <v>12123</v>
      </c>
      <c r="H2588" s="1" t="s">
        <v>989</v>
      </c>
      <c r="I2588" s="1">
        <v>91780.0</v>
      </c>
      <c r="J2588" s="1" t="s">
        <v>752</v>
      </c>
      <c r="K2588" s="1" t="s">
        <v>42</v>
      </c>
      <c r="L2588" s="1" t="s">
        <v>6819</v>
      </c>
      <c r="M2588" s="1">
        <v>49.0</v>
      </c>
      <c r="N2588" s="1" t="s">
        <v>1152</v>
      </c>
      <c r="O2588" s="3" t="s">
        <v>198</v>
      </c>
      <c r="P2588" s="1" t="s">
        <v>1152</v>
      </c>
      <c r="Q2588" s="1" t="s">
        <v>1152</v>
      </c>
      <c r="R2588" s="1"/>
      <c r="S2588" s="1"/>
      <c r="T2588" s="1" t="s">
        <v>1152</v>
      </c>
      <c r="U2588" s="1" t="s">
        <v>956</v>
      </c>
      <c r="V2588" s="4" t="s">
        <v>198</v>
      </c>
      <c r="W2588" s="1"/>
      <c r="X2588" s="1" t="s">
        <v>1152</v>
      </c>
      <c r="Y2588" s="1" t="s">
        <v>1152</v>
      </c>
      <c r="Z2588" s="1"/>
      <c r="AA2588" s="1"/>
      <c r="AB2588" s="1"/>
      <c r="AC2588" s="1" t="s">
        <v>1925</v>
      </c>
      <c r="AD2588" s="1"/>
      <c r="AE2588" s="18">
        <v>46149.0</v>
      </c>
      <c r="AF2588" s="1" t="s">
        <v>1630</v>
      </c>
      <c r="AG2588" s="1" t="s">
        <v>52</v>
      </c>
      <c r="AH2588" s="1" t="s">
        <v>1152</v>
      </c>
      <c r="AI2588" s="1" t="s">
        <v>1152</v>
      </c>
      <c r="AJ2588" s="1" t="s">
        <v>12124</v>
      </c>
      <c r="AK2588" s="1" t="s">
        <v>1152</v>
      </c>
      <c r="AL2588" s="6"/>
      <c r="AM2588" s="12">
        <v>6.266786905E9</v>
      </c>
    </row>
    <row r="2589">
      <c r="A2589" s="5" t="s">
        <v>12125</v>
      </c>
      <c r="B2589" s="1" t="s">
        <v>12126</v>
      </c>
      <c r="C2589" s="1" t="s">
        <v>12127</v>
      </c>
      <c r="D2589" s="2">
        <v>3.145710865E9</v>
      </c>
      <c r="E2589" s="1" t="s">
        <v>12128</v>
      </c>
      <c r="F2589" s="1"/>
      <c r="G2589" s="1" t="s">
        <v>2350</v>
      </c>
      <c r="H2589" s="1" t="s">
        <v>1155</v>
      </c>
      <c r="I2589" s="1">
        <v>63105.0</v>
      </c>
      <c r="J2589" s="1" t="s">
        <v>752</v>
      </c>
      <c r="K2589" s="1" t="s">
        <v>42</v>
      </c>
      <c r="L2589" s="1" t="s">
        <v>6819</v>
      </c>
      <c r="M2589" s="1">
        <v>49.0</v>
      </c>
      <c r="N2589" s="1" t="s">
        <v>1152</v>
      </c>
      <c r="O2589" s="3" t="s">
        <v>6283</v>
      </c>
      <c r="P2589" s="1" t="s">
        <v>1152</v>
      </c>
      <c r="Q2589" s="1" t="s">
        <v>1152</v>
      </c>
      <c r="R2589" s="1"/>
      <c r="S2589" s="1"/>
      <c r="T2589" s="1" t="s">
        <v>1152</v>
      </c>
      <c r="U2589" s="1" t="s">
        <v>1039</v>
      </c>
      <c r="V2589" s="4" t="s">
        <v>6283</v>
      </c>
      <c r="W2589" s="1"/>
      <c r="X2589" s="1" t="s">
        <v>1152</v>
      </c>
      <c r="Y2589" s="1" t="s">
        <v>1152</v>
      </c>
      <c r="Z2589" s="1"/>
      <c r="AA2589" s="1"/>
      <c r="AB2589" s="1"/>
      <c r="AC2589" s="1" t="s">
        <v>1925</v>
      </c>
      <c r="AD2589" s="1"/>
      <c r="AE2589" s="18">
        <v>46143.0</v>
      </c>
      <c r="AF2589" s="1" t="s">
        <v>1455</v>
      </c>
      <c r="AG2589" s="1" t="s">
        <v>52</v>
      </c>
      <c r="AH2589" s="1" t="s">
        <v>1152</v>
      </c>
      <c r="AI2589" s="1" t="s">
        <v>1152</v>
      </c>
      <c r="AJ2589" s="1" t="s">
        <v>12129</v>
      </c>
      <c r="AK2589" s="1" t="s">
        <v>1152</v>
      </c>
      <c r="AL2589" s="6"/>
      <c r="AM2589" s="12">
        <v>3.145710865E9</v>
      </c>
    </row>
    <row r="2590">
      <c r="A2590" s="5" t="s">
        <v>12130</v>
      </c>
      <c r="B2590" s="1" t="s">
        <v>12131</v>
      </c>
      <c r="C2590" s="1" t="s">
        <v>12132</v>
      </c>
      <c r="D2590" s="2">
        <v>3.143931536E9</v>
      </c>
      <c r="E2590" s="1" t="s">
        <v>12133</v>
      </c>
      <c r="F2590" s="1"/>
      <c r="G2590" s="1" t="s">
        <v>2350</v>
      </c>
      <c r="H2590" s="1" t="s">
        <v>1155</v>
      </c>
      <c r="I2590" s="1">
        <v>63105.0</v>
      </c>
      <c r="J2590" s="1" t="s">
        <v>752</v>
      </c>
      <c r="K2590" s="1" t="s">
        <v>42</v>
      </c>
      <c r="L2590" s="1" t="s">
        <v>6819</v>
      </c>
      <c r="M2590" s="1">
        <v>49.0</v>
      </c>
      <c r="N2590" s="1" t="s">
        <v>1152</v>
      </c>
      <c r="O2590" s="3" t="s">
        <v>12134</v>
      </c>
      <c r="P2590" s="1" t="s">
        <v>1152</v>
      </c>
      <c r="Q2590" s="1" t="s">
        <v>1152</v>
      </c>
      <c r="R2590" s="1"/>
      <c r="S2590" s="1"/>
      <c r="T2590" s="1" t="s">
        <v>1152</v>
      </c>
      <c r="U2590" s="1" t="s">
        <v>982</v>
      </c>
      <c r="V2590" s="4" t="s">
        <v>12134</v>
      </c>
      <c r="W2590" s="1"/>
      <c r="X2590" s="1" t="s">
        <v>1152</v>
      </c>
      <c r="Y2590" s="1" t="s">
        <v>1152</v>
      </c>
      <c r="Z2590" s="1"/>
      <c r="AA2590" s="1"/>
      <c r="AB2590" s="1"/>
      <c r="AC2590" s="1" t="s">
        <v>1925</v>
      </c>
      <c r="AD2590" s="1"/>
      <c r="AE2590" s="18">
        <v>46144.0</v>
      </c>
      <c r="AF2590" s="1" t="s">
        <v>1030</v>
      </c>
      <c r="AG2590" s="1" t="s">
        <v>52</v>
      </c>
      <c r="AH2590" s="1" t="s">
        <v>1152</v>
      </c>
      <c r="AI2590" s="1" t="s">
        <v>1152</v>
      </c>
      <c r="AJ2590" s="1" t="s">
        <v>12135</v>
      </c>
      <c r="AK2590" s="1" t="s">
        <v>1152</v>
      </c>
      <c r="AL2590" s="6"/>
      <c r="AM2590" s="12">
        <v>3.143931536E9</v>
      </c>
    </row>
    <row r="2591">
      <c r="A2591" s="5" t="s">
        <v>12136</v>
      </c>
      <c r="B2591" s="1" t="s">
        <v>12137</v>
      </c>
      <c r="C2591" s="1" t="s">
        <v>12138</v>
      </c>
      <c r="D2591" s="2">
        <v>3.17500095E9</v>
      </c>
      <c r="E2591" s="1" t="s">
        <v>5292</v>
      </c>
      <c r="F2591" s="1"/>
      <c r="G2591" s="1" t="s">
        <v>5293</v>
      </c>
      <c r="H2591" s="1" t="s">
        <v>2242</v>
      </c>
      <c r="I2591" s="1">
        <v>46074.0</v>
      </c>
      <c r="J2591" s="1" t="s">
        <v>752</v>
      </c>
      <c r="K2591" s="1" t="s">
        <v>2131</v>
      </c>
      <c r="L2591" s="1" t="s">
        <v>5767</v>
      </c>
      <c r="M2591" s="1">
        <v>1.0</v>
      </c>
      <c r="N2591" s="1" t="s">
        <v>1152</v>
      </c>
      <c r="O2591" s="3" t="s">
        <v>434</v>
      </c>
      <c r="P2591" s="1" t="s">
        <v>1152</v>
      </c>
      <c r="Q2591" s="1" t="s">
        <v>1152</v>
      </c>
      <c r="R2591" s="1"/>
      <c r="S2591" s="1"/>
      <c r="T2591" s="1" t="s">
        <v>1152</v>
      </c>
      <c r="U2591" s="1" t="s">
        <v>1376</v>
      </c>
      <c r="V2591" s="4" t="s">
        <v>434</v>
      </c>
      <c r="W2591" s="1"/>
      <c r="X2591" s="1" t="s">
        <v>1152</v>
      </c>
      <c r="Y2591" s="1" t="s">
        <v>1152</v>
      </c>
      <c r="Z2591" s="1"/>
      <c r="AA2591" s="1"/>
      <c r="AB2591" s="1"/>
      <c r="AC2591" s="1" t="s">
        <v>1925</v>
      </c>
      <c r="AD2591" s="1"/>
      <c r="AE2591" s="18">
        <v>46146.0</v>
      </c>
      <c r="AF2591" s="1"/>
      <c r="AG2591" s="1"/>
      <c r="AH2591" s="1" t="s">
        <v>1152</v>
      </c>
      <c r="AI2591" s="1" t="s">
        <v>1152</v>
      </c>
      <c r="AJ2591" s="1" t="s">
        <v>12139</v>
      </c>
      <c r="AK2591" s="1" t="s">
        <v>1152</v>
      </c>
      <c r="AL2591" s="6"/>
      <c r="AM2591" s="12">
        <v>4.632067939E9</v>
      </c>
    </row>
    <row r="2592">
      <c r="A2592" s="5" t="s">
        <v>12140</v>
      </c>
      <c r="B2592" s="1" t="s">
        <v>12141</v>
      </c>
      <c r="C2592" s="1" t="s">
        <v>12142</v>
      </c>
      <c r="D2592" s="2">
        <v>4.342271287E9</v>
      </c>
      <c r="E2592" s="1" t="s">
        <v>12143</v>
      </c>
      <c r="F2592" s="1"/>
      <c r="G2592" s="1" t="s">
        <v>6139</v>
      </c>
      <c r="H2592" s="1" t="s">
        <v>1038</v>
      </c>
      <c r="I2592" s="1">
        <v>22902.0</v>
      </c>
      <c r="J2592" s="1" t="s">
        <v>752</v>
      </c>
      <c r="K2592" s="1" t="s">
        <v>2131</v>
      </c>
      <c r="L2592" s="1" t="s">
        <v>5811</v>
      </c>
      <c r="M2592" s="1">
        <v>1.0</v>
      </c>
      <c r="N2592" s="1" t="s">
        <v>1152</v>
      </c>
      <c r="O2592" s="3" t="s">
        <v>4985</v>
      </c>
      <c r="P2592" s="1" t="s">
        <v>1152</v>
      </c>
      <c r="Q2592" s="1" t="s">
        <v>1152</v>
      </c>
      <c r="R2592" s="1"/>
      <c r="S2592" s="1"/>
      <c r="T2592" s="1" t="s">
        <v>1152</v>
      </c>
      <c r="U2592" s="1" t="s">
        <v>1537</v>
      </c>
      <c r="V2592" s="4" t="s">
        <v>4985</v>
      </c>
      <c r="W2592" s="1"/>
      <c r="X2592" s="1" t="s">
        <v>1152</v>
      </c>
      <c r="Y2592" s="1" t="s">
        <v>1152</v>
      </c>
      <c r="Z2592" s="1"/>
      <c r="AA2592" s="1"/>
      <c r="AB2592" s="1"/>
      <c r="AC2592" s="1" t="s">
        <v>1925</v>
      </c>
      <c r="AD2592" s="1"/>
      <c r="AE2592" s="18">
        <v>46153.0</v>
      </c>
      <c r="AF2592" s="1"/>
      <c r="AG2592" s="1"/>
      <c r="AH2592" s="1" t="s">
        <v>1152</v>
      </c>
      <c r="AI2592" s="1" t="s">
        <v>1152</v>
      </c>
      <c r="AJ2592" s="1" t="s">
        <v>12144</v>
      </c>
      <c r="AK2592" s="1" t="s">
        <v>1152</v>
      </c>
      <c r="AL2592" s="6"/>
      <c r="AM2592" s="12">
        <v>4.342271287E9</v>
      </c>
    </row>
    <row r="2593">
      <c r="A2593" s="5" t="s">
        <v>12140</v>
      </c>
      <c r="B2593" s="1" t="s">
        <v>12141</v>
      </c>
      <c r="C2593" s="1" t="s">
        <v>12142</v>
      </c>
      <c r="D2593" s="2">
        <v>4.342271287E9</v>
      </c>
      <c r="E2593" s="1" t="s">
        <v>12143</v>
      </c>
      <c r="F2593" s="1"/>
      <c r="G2593" s="1" t="s">
        <v>6139</v>
      </c>
      <c r="H2593" s="1" t="s">
        <v>1038</v>
      </c>
      <c r="I2593" s="1">
        <v>22902.0</v>
      </c>
      <c r="J2593" s="1" t="s">
        <v>752</v>
      </c>
      <c r="K2593" s="1" t="s">
        <v>2131</v>
      </c>
      <c r="L2593" s="1" t="s">
        <v>5811</v>
      </c>
      <c r="M2593" s="1">
        <v>1.0</v>
      </c>
      <c r="N2593" s="1" t="s">
        <v>1152</v>
      </c>
      <c r="O2593" s="3" t="s">
        <v>4985</v>
      </c>
      <c r="P2593" s="1" t="s">
        <v>1152</v>
      </c>
      <c r="Q2593" s="1" t="s">
        <v>1152</v>
      </c>
      <c r="R2593" s="1"/>
      <c r="S2593" s="1"/>
      <c r="T2593" s="1" t="s">
        <v>1152</v>
      </c>
      <c r="U2593" s="1" t="s">
        <v>1537</v>
      </c>
      <c r="V2593" s="4" t="s">
        <v>4985</v>
      </c>
      <c r="W2593" s="1"/>
      <c r="X2593" s="1" t="s">
        <v>1152</v>
      </c>
      <c r="Y2593" s="1" t="s">
        <v>1152</v>
      </c>
      <c r="Z2593" s="1"/>
      <c r="AA2593" s="1"/>
      <c r="AB2593" s="1"/>
      <c r="AC2593" s="1" t="s">
        <v>1925</v>
      </c>
      <c r="AD2593" s="1"/>
      <c r="AE2593" s="18">
        <v>46153.0</v>
      </c>
      <c r="AF2593" s="1"/>
      <c r="AG2593" s="1"/>
      <c r="AH2593" s="1" t="s">
        <v>1152</v>
      </c>
      <c r="AI2593" s="1" t="s">
        <v>1152</v>
      </c>
      <c r="AJ2593" s="1" t="s">
        <v>12144</v>
      </c>
      <c r="AK2593" s="1" t="s">
        <v>1152</v>
      </c>
      <c r="AL2593" s="6"/>
      <c r="AM2593" s="12">
        <v>4.342271287E9</v>
      </c>
    </row>
    <row r="2594">
      <c r="A2594" s="5" t="s">
        <v>12145</v>
      </c>
      <c r="B2594" s="1" t="s">
        <v>12146</v>
      </c>
      <c r="C2594" s="1" t="s">
        <v>11414</v>
      </c>
      <c r="D2594" s="2">
        <v>2.032581107E9</v>
      </c>
      <c r="E2594" s="1" t="s">
        <v>1951</v>
      </c>
      <c r="F2594" s="1"/>
      <c r="G2594" s="1" t="s">
        <v>1604</v>
      </c>
      <c r="H2594" s="1" t="s">
        <v>1078</v>
      </c>
      <c r="I2594" s="1">
        <v>6880.0</v>
      </c>
      <c r="J2594" s="1" t="s">
        <v>752</v>
      </c>
      <c r="K2594" s="1" t="s">
        <v>2131</v>
      </c>
      <c r="L2594" s="1" t="s">
        <v>5767</v>
      </c>
      <c r="M2594" s="1">
        <v>1.0</v>
      </c>
      <c r="N2594" s="1" t="s">
        <v>1152</v>
      </c>
      <c r="O2594" s="3" t="s">
        <v>1832</v>
      </c>
      <c r="P2594" s="1" t="s">
        <v>1152</v>
      </c>
      <c r="Q2594" s="1" t="s">
        <v>1152</v>
      </c>
      <c r="R2594" s="1"/>
      <c r="S2594" s="1"/>
      <c r="T2594" s="1" t="s">
        <v>1152</v>
      </c>
      <c r="U2594" s="1" t="s">
        <v>1039</v>
      </c>
      <c r="V2594" s="4" t="s">
        <v>1832</v>
      </c>
      <c r="W2594" s="1"/>
      <c r="X2594" s="1" t="s">
        <v>1152</v>
      </c>
      <c r="Y2594" s="1" t="s">
        <v>1152</v>
      </c>
      <c r="Z2594" s="1"/>
      <c r="AA2594" s="1"/>
      <c r="AB2594" s="1"/>
      <c r="AC2594" s="1" t="s">
        <v>1925</v>
      </c>
      <c r="AD2594" s="1"/>
      <c r="AE2594" s="18">
        <v>46147.0</v>
      </c>
      <c r="AF2594" s="1"/>
      <c r="AG2594" s="1"/>
      <c r="AH2594" s="1" t="s">
        <v>1152</v>
      </c>
      <c r="AI2594" s="1" t="s">
        <v>1152</v>
      </c>
      <c r="AJ2594" s="1" t="s">
        <v>1831</v>
      </c>
      <c r="AK2594" s="1" t="s">
        <v>1152</v>
      </c>
      <c r="AL2594" s="6"/>
      <c r="AM2594" s="12">
        <v>2.039844272E9</v>
      </c>
    </row>
    <row r="2595">
      <c r="A2595" s="5" t="s">
        <v>12147</v>
      </c>
      <c r="B2595" s="1" t="s">
        <v>12148</v>
      </c>
      <c r="C2595" s="1" t="s">
        <v>12149</v>
      </c>
      <c r="D2595" s="2">
        <v>9.199714693E9</v>
      </c>
      <c r="E2595" s="1" t="s">
        <v>1908</v>
      </c>
      <c r="F2595" s="1"/>
      <c r="G2595" s="1" t="s">
        <v>1909</v>
      </c>
      <c r="H2595" s="1" t="s">
        <v>1438</v>
      </c>
      <c r="I2595" s="1">
        <v>27613.0</v>
      </c>
      <c r="J2595" s="1" t="s">
        <v>752</v>
      </c>
      <c r="K2595" s="1" t="s">
        <v>2131</v>
      </c>
      <c r="L2595" s="1" t="s">
        <v>5767</v>
      </c>
      <c r="M2595" s="1">
        <v>1.0</v>
      </c>
      <c r="N2595" s="1" t="s">
        <v>1152</v>
      </c>
      <c r="O2595" s="3" t="s">
        <v>1910</v>
      </c>
      <c r="P2595" s="1" t="s">
        <v>1152</v>
      </c>
      <c r="Q2595" s="1" t="s">
        <v>1152</v>
      </c>
      <c r="R2595" s="1"/>
      <c r="S2595" s="1"/>
      <c r="T2595" s="1" t="s">
        <v>1152</v>
      </c>
      <c r="U2595" s="1" t="s">
        <v>982</v>
      </c>
      <c r="V2595" s="4" t="s">
        <v>1910</v>
      </c>
      <c r="W2595" s="1"/>
      <c r="X2595" s="1" t="s">
        <v>1152</v>
      </c>
      <c r="Y2595" s="1" t="s">
        <v>1152</v>
      </c>
      <c r="Z2595" s="1"/>
      <c r="AA2595" s="1"/>
      <c r="AB2595" s="1"/>
      <c r="AC2595" s="1" t="s">
        <v>1925</v>
      </c>
      <c r="AD2595" s="1"/>
      <c r="AE2595" s="18">
        <v>46142.0</v>
      </c>
      <c r="AF2595" s="1"/>
      <c r="AG2595" s="1"/>
      <c r="AH2595" s="1" t="s">
        <v>1152</v>
      </c>
      <c r="AI2595" s="1" t="s">
        <v>1152</v>
      </c>
      <c r="AJ2595" s="1" t="s">
        <v>12150</v>
      </c>
      <c r="AK2595" s="1" t="s">
        <v>1152</v>
      </c>
      <c r="AL2595" s="6"/>
      <c r="AM2595" s="12" t="s">
        <v>12151</v>
      </c>
    </row>
    <row r="2596">
      <c r="A2596" s="5" t="s">
        <v>12152</v>
      </c>
      <c r="B2596" s="1" t="s">
        <v>12153</v>
      </c>
      <c r="C2596" s="1" t="s">
        <v>6298</v>
      </c>
      <c r="D2596" s="2">
        <v>6.57239748E9</v>
      </c>
      <c r="E2596" s="1" t="s">
        <v>6299</v>
      </c>
      <c r="F2596" s="1"/>
      <c r="G2596" s="1" t="s">
        <v>2350</v>
      </c>
      <c r="H2596" s="1" t="s">
        <v>1155</v>
      </c>
      <c r="I2596" s="1" t="s">
        <v>12154</v>
      </c>
      <c r="J2596" s="1" t="s">
        <v>752</v>
      </c>
      <c r="K2596" s="1" t="s">
        <v>2131</v>
      </c>
      <c r="L2596" s="1" t="s">
        <v>5736</v>
      </c>
      <c r="M2596" s="1">
        <v>1.0</v>
      </c>
      <c r="N2596" s="1" t="s">
        <v>1152</v>
      </c>
      <c r="O2596" s="3" t="s">
        <v>6722</v>
      </c>
      <c r="P2596" s="1" t="s">
        <v>1152</v>
      </c>
      <c r="Q2596" s="1" t="s">
        <v>1152</v>
      </c>
      <c r="R2596" s="1"/>
      <c r="S2596" s="1"/>
      <c r="T2596" s="1" t="s">
        <v>1152</v>
      </c>
      <c r="U2596" s="1" t="s">
        <v>1710</v>
      </c>
      <c r="V2596" s="4" t="s">
        <v>6722</v>
      </c>
      <c r="W2596" s="1"/>
      <c r="X2596" s="1" t="s">
        <v>1152</v>
      </c>
      <c r="Y2596" s="1" t="s">
        <v>1152</v>
      </c>
      <c r="Z2596" s="1"/>
      <c r="AA2596" s="1"/>
      <c r="AB2596" s="1"/>
      <c r="AC2596" s="1" t="s">
        <v>1925</v>
      </c>
      <c r="AD2596" s="1"/>
      <c r="AE2596" s="18">
        <v>46143.0</v>
      </c>
      <c r="AF2596" s="1"/>
      <c r="AG2596" s="1"/>
      <c r="AH2596" s="1" t="s">
        <v>1152</v>
      </c>
      <c r="AI2596" s="1" t="s">
        <v>1152</v>
      </c>
      <c r="AJ2596" s="1" t="s">
        <v>6299</v>
      </c>
      <c r="AK2596" s="1" t="s">
        <v>1152</v>
      </c>
      <c r="AL2596" s="6"/>
      <c r="AM2596" s="12">
        <v>6.57239748E9</v>
      </c>
    </row>
    <row r="2597">
      <c r="A2597" s="5" t="s">
        <v>12155</v>
      </c>
      <c r="B2597" s="1" t="s">
        <v>12156</v>
      </c>
      <c r="C2597" s="1" t="s">
        <v>1266</v>
      </c>
      <c r="D2597" s="2">
        <v>2.242163846E9</v>
      </c>
      <c r="E2597" s="1" t="s">
        <v>12157</v>
      </c>
      <c r="F2597" s="1"/>
      <c r="G2597" s="1" t="s">
        <v>1269</v>
      </c>
      <c r="H2597" s="1" t="s">
        <v>1019</v>
      </c>
      <c r="I2597" s="1">
        <v>60022.0</v>
      </c>
      <c r="J2597" s="1" t="s">
        <v>752</v>
      </c>
      <c r="K2597" s="1" t="s">
        <v>2131</v>
      </c>
      <c r="L2597" s="1" t="s">
        <v>5736</v>
      </c>
      <c r="M2597" s="1">
        <v>1.0</v>
      </c>
      <c r="N2597" s="1" t="s">
        <v>1152</v>
      </c>
      <c r="O2597" s="3" t="s">
        <v>1270</v>
      </c>
      <c r="P2597" s="1" t="s">
        <v>1152</v>
      </c>
      <c r="Q2597" s="1" t="s">
        <v>1152</v>
      </c>
      <c r="R2597" s="1"/>
      <c r="S2597" s="1"/>
      <c r="T2597" s="1" t="s">
        <v>1152</v>
      </c>
      <c r="U2597" s="1" t="s">
        <v>1080</v>
      </c>
      <c r="V2597" s="4" t="s">
        <v>1270</v>
      </c>
      <c r="W2597" s="1"/>
      <c r="X2597" s="1" t="s">
        <v>1152</v>
      </c>
      <c r="Y2597" s="1" t="s">
        <v>1152</v>
      </c>
      <c r="Z2597" s="1"/>
      <c r="AA2597" s="1"/>
      <c r="AB2597" s="1"/>
      <c r="AC2597" s="1" t="s">
        <v>1925</v>
      </c>
      <c r="AD2597" s="1"/>
      <c r="AE2597" s="18">
        <v>46149.0</v>
      </c>
      <c r="AF2597" s="1"/>
      <c r="AG2597" s="1"/>
      <c r="AH2597" s="1" t="s">
        <v>1152</v>
      </c>
      <c r="AI2597" s="1" t="s">
        <v>1152</v>
      </c>
      <c r="AJ2597" s="1" t="s">
        <v>12157</v>
      </c>
      <c r="AK2597" s="1" t="s">
        <v>1152</v>
      </c>
      <c r="AL2597" s="6"/>
      <c r="AM2597" s="12">
        <v>2.242163846E9</v>
      </c>
    </row>
    <row r="2598">
      <c r="A2598" s="5" t="s">
        <v>12158</v>
      </c>
      <c r="B2598" s="1" t="s">
        <v>12159</v>
      </c>
      <c r="C2598" s="1" t="s">
        <v>4303</v>
      </c>
      <c r="D2598" s="2">
        <v>3.129257794E9</v>
      </c>
      <c r="E2598" s="1" t="s">
        <v>12160</v>
      </c>
      <c r="F2598" s="1"/>
      <c r="G2598" s="1" t="s">
        <v>1072</v>
      </c>
      <c r="H2598" s="1" t="s">
        <v>1019</v>
      </c>
      <c r="I2598" s="1">
        <v>60611.0</v>
      </c>
      <c r="J2598" s="1" t="s">
        <v>752</v>
      </c>
      <c r="K2598" s="1" t="s">
        <v>2131</v>
      </c>
      <c r="L2598" s="1" t="s">
        <v>5767</v>
      </c>
      <c r="M2598" s="1">
        <v>1.0</v>
      </c>
      <c r="N2598" s="1" t="s">
        <v>1152</v>
      </c>
      <c r="O2598" s="3" t="s">
        <v>4305</v>
      </c>
      <c r="P2598" s="1" t="s">
        <v>1152</v>
      </c>
      <c r="Q2598" s="1" t="s">
        <v>1152</v>
      </c>
      <c r="R2598" s="1"/>
      <c r="S2598" s="1"/>
      <c r="T2598" s="1" t="s">
        <v>1152</v>
      </c>
      <c r="U2598" s="1" t="s">
        <v>1080</v>
      </c>
      <c r="V2598" s="4" t="s">
        <v>4305</v>
      </c>
      <c r="W2598" s="1"/>
      <c r="X2598" s="1" t="s">
        <v>1152</v>
      </c>
      <c r="Y2598" s="1" t="s">
        <v>1152</v>
      </c>
      <c r="Z2598" s="1"/>
      <c r="AA2598" s="1"/>
      <c r="AB2598" s="1"/>
      <c r="AC2598" s="1" t="s">
        <v>1925</v>
      </c>
      <c r="AD2598" s="1"/>
      <c r="AE2598" s="18">
        <v>46149.0</v>
      </c>
      <c r="AF2598" s="1"/>
      <c r="AG2598" s="1"/>
      <c r="AH2598" s="1" t="s">
        <v>1152</v>
      </c>
      <c r="AI2598" s="1" t="s">
        <v>1152</v>
      </c>
      <c r="AJ2598" s="1" t="s">
        <v>4304</v>
      </c>
      <c r="AK2598" s="1" t="s">
        <v>1152</v>
      </c>
      <c r="AL2598" s="6"/>
      <c r="AM2598" s="12" t="s">
        <v>12161</v>
      </c>
    </row>
    <row r="2599">
      <c r="A2599" s="5" t="s">
        <v>12162</v>
      </c>
      <c r="B2599" s="1" t="s">
        <v>12163</v>
      </c>
      <c r="C2599" s="1" t="s">
        <v>665</v>
      </c>
      <c r="D2599" s="2">
        <v>4.806949495E9</v>
      </c>
      <c r="E2599" s="1" t="s">
        <v>666</v>
      </c>
      <c r="F2599" s="1"/>
      <c r="G2599" s="1" t="s">
        <v>2673</v>
      </c>
      <c r="H2599" s="1" t="s">
        <v>1535</v>
      </c>
      <c r="I2599" s="1">
        <v>85024.0</v>
      </c>
      <c r="J2599" s="1" t="s">
        <v>752</v>
      </c>
      <c r="K2599" s="1" t="s">
        <v>2131</v>
      </c>
      <c r="L2599" s="1" t="s">
        <v>5767</v>
      </c>
      <c r="M2599" s="1">
        <v>1.0</v>
      </c>
      <c r="N2599" s="1" t="s">
        <v>1152</v>
      </c>
      <c r="O2599" s="3" t="s">
        <v>3392</v>
      </c>
      <c r="P2599" s="1" t="s">
        <v>1152</v>
      </c>
      <c r="Q2599" s="1" t="s">
        <v>1152</v>
      </c>
      <c r="R2599" s="1"/>
      <c r="S2599" s="1"/>
      <c r="T2599" s="1" t="s">
        <v>1152</v>
      </c>
      <c r="U2599" s="1" t="s">
        <v>1710</v>
      </c>
      <c r="V2599" s="4" t="s">
        <v>3392</v>
      </c>
      <c r="W2599" s="1"/>
      <c r="X2599" s="1" t="s">
        <v>1152</v>
      </c>
      <c r="Y2599" s="1" t="s">
        <v>1152</v>
      </c>
      <c r="Z2599" s="1"/>
      <c r="AA2599" s="1"/>
      <c r="AB2599" s="1"/>
      <c r="AC2599" s="1" t="s">
        <v>1925</v>
      </c>
      <c r="AD2599" s="1"/>
      <c r="AE2599" s="18">
        <v>46148.0</v>
      </c>
      <c r="AF2599" s="1"/>
      <c r="AG2599" s="1"/>
      <c r="AH2599" s="1" t="s">
        <v>1152</v>
      </c>
      <c r="AI2599" s="1" t="s">
        <v>1152</v>
      </c>
      <c r="AJ2599" s="1" t="s">
        <v>666</v>
      </c>
      <c r="AK2599" s="1" t="s">
        <v>1152</v>
      </c>
      <c r="AL2599" s="6"/>
      <c r="AM2599" s="12">
        <v>4.806949495E9</v>
      </c>
    </row>
    <row r="2600">
      <c r="A2600" s="5" t="s">
        <v>12164</v>
      </c>
      <c r="B2600" s="1" t="s">
        <v>12165</v>
      </c>
      <c r="C2600" s="1" t="s">
        <v>6017</v>
      </c>
      <c r="D2600" s="2">
        <v>2.063346136E9</v>
      </c>
      <c r="E2600" s="1" t="s">
        <v>4963</v>
      </c>
      <c r="F2600" s="1"/>
      <c r="G2600" s="1" t="s">
        <v>1848</v>
      </c>
      <c r="H2600" s="1" t="s">
        <v>980</v>
      </c>
      <c r="I2600" s="1" t="s">
        <v>12166</v>
      </c>
      <c r="J2600" s="1" t="s">
        <v>752</v>
      </c>
      <c r="K2600" s="1" t="s">
        <v>2131</v>
      </c>
      <c r="L2600" s="1" t="s">
        <v>5811</v>
      </c>
      <c r="M2600" s="1">
        <v>1.0</v>
      </c>
      <c r="N2600" s="1" t="s">
        <v>1152</v>
      </c>
      <c r="O2600" s="3" t="s">
        <v>12167</v>
      </c>
      <c r="P2600" s="1" t="s">
        <v>1152</v>
      </c>
      <c r="Q2600" s="1" t="s">
        <v>1152</v>
      </c>
      <c r="R2600" s="1"/>
      <c r="S2600" s="1"/>
      <c r="T2600" s="1" t="s">
        <v>1152</v>
      </c>
      <c r="U2600" s="1" t="s">
        <v>1167</v>
      </c>
      <c r="V2600" s="4" t="s">
        <v>12167</v>
      </c>
      <c r="W2600" s="1"/>
      <c r="X2600" s="1" t="s">
        <v>1152</v>
      </c>
      <c r="Y2600" s="1" t="s">
        <v>1152</v>
      </c>
      <c r="Z2600" s="1"/>
      <c r="AA2600" s="1"/>
      <c r="AB2600" s="1"/>
      <c r="AC2600" s="1" t="s">
        <v>1925</v>
      </c>
      <c r="AD2600" s="1"/>
      <c r="AE2600" s="18">
        <v>46150.0</v>
      </c>
      <c r="AF2600" s="1"/>
      <c r="AG2600" s="1"/>
      <c r="AH2600" s="1" t="s">
        <v>1152</v>
      </c>
      <c r="AI2600" s="1" t="s">
        <v>1152</v>
      </c>
      <c r="AJ2600" s="1" t="s">
        <v>4963</v>
      </c>
      <c r="AK2600" s="1" t="s">
        <v>1152</v>
      </c>
      <c r="AL2600" s="6"/>
      <c r="AM2600" s="12">
        <v>2.063346136E9</v>
      </c>
    </row>
    <row r="2601">
      <c r="A2601" s="5" t="s">
        <v>12168</v>
      </c>
      <c r="B2601" s="1" t="s">
        <v>12169</v>
      </c>
      <c r="C2601" s="1" t="s">
        <v>12170</v>
      </c>
      <c r="D2601" s="2">
        <v>3.104872592E9</v>
      </c>
      <c r="E2601" s="1" t="s">
        <v>10229</v>
      </c>
      <c r="F2601" s="1"/>
      <c r="G2601" s="1" t="s">
        <v>1179</v>
      </c>
      <c r="H2601" s="1" t="s">
        <v>989</v>
      </c>
      <c r="I2601" s="1">
        <v>90049.0</v>
      </c>
      <c r="J2601" s="1" t="s">
        <v>752</v>
      </c>
      <c r="K2601" s="1" t="s">
        <v>2131</v>
      </c>
      <c r="L2601" s="1" t="s">
        <v>5811</v>
      </c>
      <c r="M2601" s="1">
        <v>1.0</v>
      </c>
      <c r="N2601" s="1" t="s">
        <v>1152</v>
      </c>
      <c r="O2601" s="3" t="s">
        <v>12171</v>
      </c>
      <c r="P2601" s="1" t="s">
        <v>1152</v>
      </c>
      <c r="Q2601" s="1" t="s">
        <v>1152</v>
      </c>
      <c r="R2601" s="1"/>
      <c r="S2601" s="1"/>
      <c r="T2601" s="1" t="s">
        <v>1152</v>
      </c>
      <c r="U2601" s="1" t="s">
        <v>1407</v>
      </c>
      <c r="V2601" s="4" t="s">
        <v>12171</v>
      </c>
      <c r="W2601" s="1"/>
      <c r="X2601" s="1" t="s">
        <v>1152</v>
      </c>
      <c r="Y2601" s="1" t="s">
        <v>1152</v>
      </c>
      <c r="Z2601" s="1"/>
      <c r="AA2601" s="1"/>
      <c r="AB2601" s="1"/>
      <c r="AC2601" s="1" t="s">
        <v>1925</v>
      </c>
      <c r="AD2601" s="1"/>
      <c r="AE2601" s="18">
        <v>46149.0</v>
      </c>
      <c r="AF2601" s="1"/>
      <c r="AG2601" s="1"/>
      <c r="AH2601" s="1" t="s">
        <v>1152</v>
      </c>
      <c r="AI2601" s="1" t="s">
        <v>1152</v>
      </c>
      <c r="AJ2601" s="1" t="s">
        <v>10229</v>
      </c>
      <c r="AK2601" s="1" t="s">
        <v>1152</v>
      </c>
      <c r="AL2601" s="6"/>
      <c r="AM2601" s="12">
        <v>3.104872592E9</v>
      </c>
    </row>
    <row r="2602">
      <c r="A2602" s="5" t="s">
        <v>12172</v>
      </c>
      <c r="B2602" s="1" t="s">
        <v>12173</v>
      </c>
      <c r="C2602" s="1" t="s">
        <v>12174</v>
      </c>
      <c r="D2602" s="2">
        <v>2.154327954E9</v>
      </c>
      <c r="E2602" s="1" t="s">
        <v>107</v>
      </c>
      <c r="F2602" s="1"/>
      <c r="G2602" s="1" t="s">
        <v>2969</v>
      </c>
      <c r="H2602" s="1" t="s">
        <v>1233</v>
      </c>
      <c r="I2602" s="1">
        <v>19066.0</v>
      </c>
      <c r="J2602" s="1" t="s">
        <v>752</v>
      </c>
      <c r="K2602" s="1" t="s">
        <v>2131</v>
      </c>
      <c r="L2602" s="1" t="s">
        <v>5767</v>
      </c>
      <c r="M2602" s="1">
        <v>1.0</v>
      </c>
      <c r="N2602" s="1" t="s">
        <v>1152</v>
      </c>
      <c r="O2602" s="3" t="s">
        <v>110</v>
      </c>
      <c r="P2602" s="1" t="s">
        <v>1152</v>
      </c>
      <c r="Q2602" s="1" t="s">
        <v>1152</v>
      </c>
      <c r="R2602" s="1"/>
      <c r="S2602" s="1"/>
      <c r="T2602" s="1" t="s">
        <v>1152</v>
      </c>
      <c r="U2602" s="1" t="s">
        <v>1080</v>
      </c>
      <c r="V2602" s="4" t="s">
        <v>110</v>
      </c>
      <c r="W2602" s="1"/>
      <c r="X2602" s="1" t="s">
        <v>1152</v>
      </c>
      <c r="Y2602" s="1" t="s">
        <v>1152</v>
      </c>
      <c r="Z2602" s="1"/>
      <c r="AA2602" s="1"/>
      <c r="AB2602" s="1"/>
      <c r="AC2602" s="1" t="s">
        <v>1925</v>
      </c>
      <c r="AD2602" s="1"/>
      <c r="AE2602" s="18">
        <v>46147.0</v>
      </c>
      <c r="AF2602" s="1"/>
      <c r="AG2602" s="1"/>
      <c r="AH2602" s="1" t="s">
        <v>1152</v>
      </c>
      <c r="AI2602" s="1" t="s">
        <v>1152</v>
      </c>
      <c r="AJ2602" s="1" t="s">
        <v>12175</v>
      </c>
      <c r="AK2602" s="1" t="s">
        <v>1152</v>
      </c>
      <c r="AL2602" s="6"/>
      <c r="AM2602" s="12" t="s">
        <v>12176</v>
      </c>
    </row>
    <row r="2603">
      <c r="A2603" s="5" t="s">
        <v>12177</v>
      </c>
      <c r="B2603" s="1" t="s">
        <v>12178</v>
      </c>
      <c r="C2603" s="1" t="s">
        <v>4458</v>
      </c>
      <c r="D2603" s="2">
        <v>7.742705618E9</v>
      </c>
      <c r="E2603" s="1" t="s">
        <v>4459</v>
      </c>
      <c r="F2603" s="1"/>
      <c r="G2603" s="1" t="s">
        <v>2625</v>
      </c>
      <c r="H2603" s="1" t="s">
        <v>1121</v>
      </c>
      <c r="I2603" s="1">
        <v>2492.0</v>
      </c>
      <c r="J2603" s="1" t="s">
        <v>752</v>
      </c>
      <c r="K2603" s="1" t="s">
        <v>2131</v>
      </c>
      <c r="L2603" s="1" t="s">
        <v>5767</v>
      </c>
      <c r="M2603" s="1">
        <v>1.0</v>
      </c>
      <c r="N2603" s="1" t="s">
        <v>1152</v>
      </c>
      <c r="O2603" s="3" t="s">
        <v>3251</v>
      </c>
      <c r="P2603" s="1" t="s">
        <v>1152</v>
      </c>
      <c r="Q2603" s="1" t="s">
        <v>1152</v>
      </c>
      <c r="R2603" s="1"/>
      <c r="S2603" s="1"/>
      <c r="T2603" s="1" t="s">
        <v>1152</v>
      </c>
      <c r="U2603" s="1" t="s">
        <v>1441</v>
      </c>
      <c r="V2603" s="4" t="s">
        <v>3251</v>
      </c>
      <c r="W2603" s="1"/>
      <c r="X2603" s="1" t="s">
        <v>1152</v>
      </c>
      <c r="Y2603" s="1" t="s">
        <v>1152</v>
      </c>
      <c r="Z2603" s="1"/>
      <c r="AA2603" s="1"/>
      <c r="AB2603" s="1"/>
      <c r="AC2603" s="1" t="s">
        <v>1925</v>
      </c>
      <c r="AD2603" s="1"/>
      <c r="AE2603" s="18">
        <v>46148.0</v>
      </c>
      <c r="AF2603" s="1"/>
      <c r="AG2603" s="1"/>
      <c r="AH2603" s="1" t="s">
        <v>1152</v>
      </c>
      <c r="AI2603" s="1" t="s">
        <v>1152</v>
      </c>
      <c r="AJ2603" s="1" t="s">
        <v>10930</v>
      </c>
      <c r="AK2603" s="1" t="s">
        <v>1152</v>
      </c>
      <c r="AL2603" s="6"/>
      <c r="AM2603" s="12">
        <v>7.742705618E9</v>
      </c>
    </row>
    <row r="2604">
      <c r="A2604" s="5" t="s">
        <v>12179</v>
      </c>
      <c r="B2604" s="1" t="s">
        <v>12180</v>
      </c>
      <c r="C2604" s="1" t="s">
        <v>2613</v>
      </c>
      <c r="D2604" s="2">
        <v>8.479772174E9</v>
      </c>
      <c r="E2604" s="1" t="s">
        <v>2614</v>
      </c>
      <c r="F2604" s="1"/>
      <c r="G2604" s="1" t="s">
        <v>2615</v>
      </c>
      <c r="H2604" s="1" t="s">
        <v>1019</v>
      </c>
      <c r="I2604" s="1">
        <v>60061.0</v>
      </c>
      <c r="J2604" s="1" t="s">
        <v>752</v>
      </c>
      <c r="K2604" s="1" t="s">
        <v>2131</v>
      </c>
      <c r="L2604" s="1" t="s">
        <v>5811</v>
      </c>
      <c r="M2604" s="1">
        <v>1.0</v>
      </c>
      <c r="N2604" s="1" t="s">
        <v>1152</v>
      </c>
      <c r="O2604" s="3" t="s">
        <v>2616</v>
      </c>
      <c r="P2604" s="1" t="s">
        <v>1152</v>
      </c>
      <c r="Q2604" s="1" t="s">
        <v>1152</v>
      </c>
      <c r="R2604" s="1"/>
      <c r="S2604" s="1"/>
      <c r="T2604" s="1" t="s">
        <v>1152</v>
      </c>
      <c r="U2604" s="1" t="s">
        <v>1080</v>
      </c>
      <c r="V2604" s="4" t="s">
        <v>2616</v>
      </c>
      <c r="W2604" s="1"/>
      <c r="X2604" s="1" t="s">
        <v>1152</v>
      </c>
      <c r="Y2604" s="1" t="s">
        <v>1152</v>
      </c>
      <c r="Z2604" s="1"/>
      <c r="AA2604" s="1"/>
      <c r="AB2604" s="1"/>
      <c r="AC2604" s="1" t="s">
        <v>1925</v>
      </c>
      <c r="AD2604" s="1"/>
      <c r="AE2604" s="18">
        <v>46149.0</v>
      </c>
      <c r="AF2604" s="1"/>
      <c r="AG2604" s="1"/>
      <c r="AH2604" s="1" t="s">
        <v>1152</v>
      </c>
      <c r="AI2604" s="1" t="s">
        <v>12181</v>
      </c>
      <c r="AJ2604" s="1" t="s">
        <v>9979</v>
      </c>
      <c r="AK2604" s="1" t="s">
        <v>1152</v>
      </c>
      <c r="AL2604" s="6"/>
      <c r="AM2604" s="12" t="s">
        <v>12182</v>
      </c>
    </row>
    <row r="2605">
      <c r="A2605" s="5" t="s">
        <v>12179</v>
      </c>
      <c r="B2605" s="1" t="s">
        <v>12180</v>
      </c>
      <c r="C2605" s="1" t="s">
        <v>2613</v>
      </c>
      <c r="D2605" s="2">
        <v>8.479772174E9</v>
      </c>
      <c r="E2605" s="1" t="s">
        <v>2614</v>
      </c>
      <c r="F2605" s="1"/>
      <c r="G2605" s="1" t="s">
        <v>2615</v>
      </c>
      <c r="H2605" s="1" t="s">
        <v>1019</v>
      </c>
      <c r="I2605" s="1">
        <v>60061.0</v>
      </c>
      <c r="J2605" s="1" t="s">
        <v>752</v>
      </c>
      <c r="K2605" s="1" t="s">
        <v>2131</v>
      </c>
      <c r="L2605" s="1" t="s">
        <v>5811</v>
      </c>
      <c r="M2605" s="1">
        <v>1.0</v>
      </c>
      <c r="N2605" s="1" t="s">
        <v>1152</v>
      </c>
      <c r="O2605" s="3" t="s">
        <v>2616</v>
      </c>
      <c r="P2605" s="1" t="s">
        <v>1152</v>
      </c>
      <c r="Q2605" s="1" t="s">
        <v>1152</v>
      </c>
      <c r="R2605" s="1"/>
      <c r="S2605" s="1"/>
      <c r="T2605" s="1" t="s">
        <v>1152</v>
      </c>
      <c r="U2605" s="1" t="s">
        <v>1080</v>
      </c>
      <c r="V2605" s="4" t="s">
        <v>2616</v>
      </c>
      <c r="W2605" s="1"/>
      <c r="X2605" s="1" t="s">
        <v>1152</v>
      </c>
      <c r="Y2605" s="1" t="s">
        <v>1152</v>
      </c>
      <c r="Z2605" s="1"/>
      <c r="AA2605" s="1"/>
      <c r="AB2605" s="1"/>
      <c r="AC2605" s="1" t="s">
        <v>1925</v>
      </c>
      <c r="AD2605" s="1"/>
      <c r="AE2605" s="18">
        <v>46149.0</v>
      </c>
      <c r="AF2605" s="1"/>
      <c r="AG2605" s="1"/>
      <c r="AH2605" s="1" t="s">
        <v>1152</v>
      </c>
      <c r="AI2605" s="1" t="s">
        <v>12181</v>
      </c>
      <c r="AJ2605" s="1" t="s">
        <v>9979</v>
      </c>
      <c r="AK2605" s="1" t="s">
        <v>1152</v>
      </c>
      <c r="AL2605" s="6"/>
      <c r="AM2605" s="12" t="s">
        <v>12182</v>
      </c>
    </row>
    <row r="2606">
      <c r="A2606" s="5" t="s">
        <v>12179</v>
      </c>
      <c r="B2606" s="1" t="s">
        <v>12180</v>
      </c>
      <c r="C2606" s="1" t="s">
        <v>2613</v>
      </c>
      <c r="D2606" s="2">
        <v>8.479772174E9</v>
      </c>
      <c r="E2606" s="1" t="s">
        <v>2614</v>
      </c>
      <c r="F2606" s="1"/>
      <c r="G2606" s="1" t="s">
        <v>2615</v>
      </c>
      <c r="H2606" s="1" t="s">
        <v>1019</v>
      </c>
      <c r="I2606" s="1">
        <v>60061.0</v>
      </c>
      <c r="J2606" s="1" t="s">
        <v>752</v>
      </c>
      <c r="K2606" s="1" t="s">
        <v>2131</v>
      </c>
      <c r="L2606" s="1" t="s">
        <v>5811</v>
      </c>
      <c r="M2606" s="1">
        <v>1.0</v>
      </c>
      <c r="N2606" s="1" t="s">
        <v>1152</v>
      </c>
      <c r="O2606" s="3" t="s">
        <v>2616</v>
      </c>
      <c r="P2606" s="1" t="s">
        <v>1152</v>
      </c>
      <c r="Q2606" s="1" t="s">
        <v>1152</v>
      </c>
      <c r="R2606" s="1"/>
      <c r="S2606" s="1"/>
      <c r="T2606" s="1" t="s">
        <v>1152</v>
      </c>
      <c r="U2606" s="1" t="s">
        <v>1080</v>
      </c>
      <c r="V2606" s="4" t="s">
        <v>2616</v>
      </c>
      <c r="W2606" s="1"/>
      <c r="X2606" s="1" t="s">
        <v>1152</v>
      </c>
      <c r="Y2606" s="1" t="s">
        <v>1152</v>
      </c>
      <c r="Z2606" s="1"/>
      <c r="AA2606" s="1"/>
      <c r="AB2606" s="1"/>
      <c r="AC2606" s="1" t="s">
        <v>1925</v>
      </c>
      <c r="AD2606" s="1"/>
      <c r="AE2606" s="18">
        <v>46149.0</v>
      </c>
      <c r="AF2606" s="1"/>
      <c r="AG2606" s="1"/>
      <c r="AH2606" s="1" t="s">
        <v>1152</v>
      </c>
      <c r="AI2606" s="1" t="s">
        <v>12181</v>
      </c>
      <c r="AJ2606" s="1" t="s">
        <v>9979</v>
      </c>
      <c r="AK2606" s="1" t="s">
        <v>1152</v>
      </c>
      <c r="AL2606" s="6"/>
      <c r="AM2606" s="12" t="s">
        <v>12182</v>
      </c>
    </row>
    <row r="2607">
      <c r="A2607" s="5" t="s">
        <v>12183</v>
      </c>
      <c r="B2607" s="1" t="s">
        <v>12184</v>
      </c>
      <c r="C2607" s="1" t="s">
        <v>806</v>
      </c>
      <c r="D2607" s="2">
        <v>9.176867838E9</v>
      </c>
      <c r="E2607" s="1" t="s">
        <v>807</v>
      </c>
      <c r="F2607" s="1"/>
      <c r="G2607" s="1" t="s">
        <v>751</v>
      </c>
      <c r="H2607" s="1" t="s">
        <v>751</v>
      </c>
      <c r="I2607" s="1" t="s">
        <v>3997</v>
      </c>
      <c r="J2607" s="1" t="s">
        <v>752</v>
      </c>
      <c r="K2607" s="1" t="s">
        <v>2131</v>
      </c>
      <c r="L2607" s="1" t="s">
        <v>6107</v>
      </c>
      <c r="M2607" s="1">
        <v>1.0</v>
      </c>
      <c r="N2607" s="1" t="s">
        <v>1152</v>
      </c>
      <c r="O2607" s="3" t="s">
        <v>809</v>
      </c>
      <c r="P2607" s="1" t="s">
        <v>1152</v>
      </c>
      <c r="Q2607" s="1" t="s">
        <v>1152</v>
      </c>
      <c r="R2607" s="1"/>
      <c r="S2607" s="1"/>
      <c r="T2607" s="1" t="s">
        <v>1152</v>
      </c>
      <c r="U2607" s="1" t="s">
        <v>1487</v>
      </c>
      <c r="V2607" s="4" t="s">
        <v>809</v>
      </c>
      <c r="W2607" s="1"/>
      <c r="X2607" s="1" t="s">
        <v>1152</v>
      </c>
      <c r="Y2607" s="1" t="s">
        <v>1152</v>
      </c>
      <c r="Z2607" s="1"/>
      <c r="AA2607" s="1"/>
      <c r="AB2607" s="1"/>
      <c r="AC2607" s="1" t="s">
        <v>1925</v>
      </c>
      <c r="AD2607" s="1"/>
      <c r="AE2607" s="18">
        <v>46147.0</v>
      </c>
      <c r="AF2607" s="1"/>
      <c r="AG2607" s="1"/>
      <c r="AH2607" s="1" t="s">
        <v>1152</v>
      </c>
      <c r="AI2607" s="1" t="s">
        <v>1152</v>
      </c>
      <c r="AJ2607" s="1" t="s">
        <v>9585</v>
      </c>
      <c r="AK2607" s="1" t="s">
        <v>1152</v>
      </c>
      <c r="AL2607" s="6"/>
      <c r="AM2607" s="12" t="s">
        <v>12185</v>
      </c>
    </row>
    <row r="2608">
      <c r="A2608" s="5" t="s">
        <v>12186</v>
      </c>
      <c r="B2608" s="1" t="s">
        <v>12187</v>
      </c>
      <c r="C2608" s="1" t="s">
        <v>5825</v>
      </c>
      <c r="D2608" s="2">
        <v>6.466181335E9</v>
      </c>
      <c r="E2608" s="1" t="s">
        <v>5826</v>
      </c>
      <c r="F2608" s="1"/>
      <c r="G2608" s="1" t="s">
        <v>751</v>
      </c>
      <c r="H2608" s="1" t="s">
        <v>751</v>
      </c>
      <c r="I2608" s="1" t="s">
        <v>12188</v>
      </c>
      <c r="J2608" s="1" t="s">
        <v>752</v>
      </c>
      <c r="K2608" s="1" t="s">
        <v>2131</v>
      </c>
      <c r="L2608" s="1" t="s">
        <v>5811</v>
      </c>
      <c r="M2608" s="1">
        <v>1.0</v>
      </c>
      <c r="N2608" s="1" t="s">
        <v>1152</v>
      </c>
      <c r="O2608" s="3" t="s">
        <v>5827</v>
      </c>
      <c r="P2608" s="1" t="s">
        <v>1152</v>
      </c>
      <c r="Q2608" s="1" t="s">
        <v>1152</v>
      </c>
      <c r="R2608" s="1"/>
      <c r="S2608" s="1"/>
      <c r="T2608" s="1" t="s">
        <v>1152</v>
      </c>
      <c r="U2608" s="1" t="s">
        <v>1794</v>
      </c>
      <c r="V2608" s="4" t="s">
        <v>5827</v>
      </c>
      <c r="W2608" s="1"/>
      <c r="X2608" s="1" t="s">
        <v>1152</v>
      </c>
      <c r="Y2608" s="1" t="s">
        <v>1152</v>
      </c>
      <c r="Z2608" s="1"/>
      <c r="AA2608" s="1"/>
      <c r="AB2608" s="1"/>
      <c r="AC2608" s="1" t="s">
        <v>1925</v>
      </c>
      <c r="AD2608" s="1"/>
      <c r="AE2608" s="18">
        <v>46149.0</v>
      </c>
      <c r="AF2608" s="1"/>
      <c r="AG2608" s="1"/>
      <c r="AH2608" s="1" t="s">
        <v>1152</v>
      </c>
      <c r="AI2608" s="1" t="s">
        <v>1152</v>
      </c>
      <c r="AJ2608" s="1" t="s">
        <v>5826</v>
      </c>
      <c r="AK2608" s="1" t="s">
        <v>1152</v>
      </c>
      <c r="AL2608" s="6"/>
      <c r="AM2608" s="12">
        <v>6.466181335E9</v>
      </c>
    </row>
    <row r="2609">
      <c r="A2609" s="5" t="s">
        <v>12189</v>
      </c>
      <c r="B2609" s="1" t="s">
        <v>12190</v>
      </c>
      <c r="C2609" s="1" t="s">
        <v>1296</v>
      </c>
      <c r="D2609" s="2">
        <v>3.016516144E9</v>
      </c>
      <c r="E2609" s="1" t="s">
        <v>9875</v>
      </c>
      <c r="F2609" s="1"/>
      <c r="G2609" s="1" t="s">
        <v>1299</v>
      </c>
      <c r="H2609" s="1" t="s">
        <v>1005</v>
      </c>
      <c r="I2609" s="1">
        <v>20814.0</v>
      </c>
      <c r="J2609" s="1" t="s">
        <v>752</v>
      </c>
      <c r="K2609" s="1" t="s">
        <v>2131</v>
      </c>
      <c r="L2609" s="1" t="s">
        <v>5767</v>
      </c>
      <c r="M2609" s="1">
        <v>1.0</v>
      </c>
      <c r="N2609" s="1" t="s">
        <v>1152</v>
      </c>
      <c r="O2609" s="3" t="s">
        <v>9876</v>
      </c>
      <c r="P2609" s="1" t="s">
        <v>1152</v>
      </c>
      <c r="Q2609" s="1" t="s">
        <v>1152</v>
      </c>
      <c r="R2609" s="1"/>
      <c r="S2609" s="1"/>
      <c r="T2609" s="1" t="s">
        <v>1152</v>
      </c>
      <c r="U2609" s="1" t="s">
        <v>1080</v>
      </c>
      <c r="V2609" s="4" t="s">
        <v>9876</v>
      </c>
      <c r="W2609" s="1"/>
      <c r="X2609" s="1" t="s">
        <v>1152</v>
      </c>
      <c r="Y2609" s="1" t="s">
        <v>1152</v>
      </c>
      <c r="Z2609" s="1"/>
      <c r="AA2609" s="1"/>
      <c r="AB2609" s="1"/>
      <c r="AC2609" s="1" t="s">
        <v>1925</v>
      </c>
      <c r="AD2609" s="1"/>
      <c r="AE2609" s="18">
        <v>46149.0</v>
      </c>
      <c r="AF2609" s="1"/>
      <c r="AG2609" s="1"/>
      <c r="AH2609" s="1" t="s">
        <v>1152</v>
      </c>
      <c r="AI2609" s="1" t="s">
        <v>1152</v>
      </c>
      <c r="AJ2609" s="1" t="s">
        <v>9877</v>
      </c>
      <c r="AK2609" s="1" t="s">
        <v>1152</v>
      </c>
      <c r="AL2609" s="6"/>
      <c r="AM2609" s="12" t="s">
        <v>12191</v>
      </c>
    </row>
    <row r="2610">
      <c r="A2610" s="5" t="s">
        <v>12192</v>
      </c>
      <c r="B2610" s="1" t="s">
        <v>12193</v>
      </c>
      <c r="C2610" s="1" t="s">
        <v>1724</v>
      </c>
      <c r="D2610" s="2">
        <v>9.143576469E9</v>
      </c>
      <c r="E2610" s="1" t="s">
        <v>1725</v>
      </c>
      <c r="F2610" s="1"/>
      <c r="G2610" s="1" t="s">
        <v>1726</v>
      </c>
      <c r="H2610" s="1" t="s">
        <v>751</v>
      </c>
      <c r="I2610" s="1">
        <v>10533.0</v>
      </c>
      <c r="J2610" s="1" t="s">
        <v>752</v>
      </c>
      <c r="K2610" s="1" t="s">
        <v>2131</v>
      </c>
      <c r="L2610" s="1" t="s">
        <v>5736</v>
      </c>
      <c r="M2610" s="1">
        <v>1.0</v>
      </c>
      <c r="N2610" s="1" t="s">
        <v>1152</v>
      </c>
      <c r="O2610" s="3" t="s">
        <v>1727</v>
      </c>
      <c r="P2610" s="1" t="s">
        <v>1152</v>
      </c>
      <c r="Q2610" s="1" t="s">
        <v>1152</v>
      </c>
      <c r="R2610" s="1"/>
      <c r="S2610" s="1"/>
      <c r="T2610" s="1" t="s">
        <v>1152</v>
      </c>
      <c r="U2610" s="1" t="s">
        <v>1080</v>
      </c>
      <c r="V2610" s="4" t="s">
        <v>1727</v>
      </c>
      <c r="W2610" s="1"/>
      <c r="X2610" s="1" t="s">
        <v>1152</v>
      </c>
      <c r="Y2610" s="1" t="s">
        <v>1152</v>
      </c>
      <c r="Z2610" s="1"/>
      <c r="AA2610" s="1"/>
      <c r="AB2610" s="1"/>
      <c r="AC2610" s="1" t="s">
        <v>1925</v>
      </c>
      <c r="AD2610" s="1"/>
      <c r="AE2610" s="18">
        <v>46146.0</v>
      </c>
      <c r="AF2610" s="1"/>
      <c r="AG2610" s="1"/>
      <c r="AH2610" s="1" t="s">
        <v>1152</v>
      </c>
      <c r="AI2610" s="1" t="s">
        <v>1152</v>
      </c>
      <c r="AJ2610" s="1" t="s">
        <v>1725</v>
      </c>
      <c r="AK2610" s="1" t="s">
        <v>1152</v>
      </c>
      <c r="AL2610" s="6"/>
      <c r="AM2610" s="12">
        <v>9.143576469E9</v>
      </c>
    </row>
    <row r="2611">
      <c r="A2611" s="5" t="s">
        <v>12194</v>
      </c>
      <c r="B2611" s="1" t="s">
        <v>12195</v>
      </c>
      <c r="C2611" s="1" t="s">
        <v>12196</v>
      </c>
      <c r="D2611" s="2">
        <v>8.186916933E9</v>
      </c>
      <c r="E2611" s="1" t="s">
        <v>12197</v>
      </c>
      <c r="F2611" s="1"/>
      <c r="G2611" s="1" t="s">
        <v>1191</v>
      </c>
      <c r="H2611" s="1" t="s">
        <v>989</v>
      </c>
      <c r="I2611" s="1">
        <v>91423.0</v>
      </c>
      <c r="J2611" s="1" t="s">
        <v>752</v>
      </c>
      <c r="K2611" s="1" t="s">
        <v>2131</v>
      </c>
      <c r="L2611" s="1" t="s">
        <v>5767</v>
      </c>
      <c r="M2611" s="1">
        <v>1.0</v>
      </c>
      <c r="N2611" s="1" t="s">
        <v>1152</v>
      </c>
      <c r="O2611" s="3" t="s">
        <v>12198</v>
      </c>
      <c r="P2611" s="1" t="s">
        <v>1152</v>
      </c>
      <c r="Q2611" s="1" t="s">
        <v>1152</v>
      </c>
      <c r="R2611" s="1"/>
      <c r="S2611" s="1"/>
      <c r="T2611" s="1" t="s">
        <v>1152</v>
      </c>
      <c r="U2611" s="1" t="s">
        <v>6053</v>
      </c>
      <c r="V2611" s="4" t="s">
        <v>12198</v>
      </c>
      <c r="W2611" s="1"/>
      <c r="X2611" s="1" t="s">
        <v>1152</v>
      </c>
      <c r="Y2611" s="1" t="s">
        <v>1152</v>
      </c>
      <c r="Z2611" s="1"/>
      <c r="AA2611" s="1"/>
      <c r="AB2611" s="1"/>
      <c r="AC2611" s="1" t="s">
        <v>1925</v>
      </c>
      <c r="AD2611" s="1"/>
      <c r="AE2611" s="18">
        <v>46146.0</v>
      </c>
      <c r="AF2611" s="1"/>
      <c r="AG2611" s="1"/>
      <c r="AH2611" s="1" t="s">
        <v>1152</v>
      </c>
      <c r="AI2611" s="1" t="s">
        <v>12199</v>
      </c>
      <c r="AJ2611" s="1" t="s">
        <v>12197</v>
      </c>
      <c r="AK2611" s="1" t="s">
        <v>1152</v>
      </c>
      <c r="AL2611" s="6"/>
      <c r="AM2611" s="12">
        <v>8.186916933E9</v>
      </c>
    </row>
    <row r="2612">
      <c r="A2612" s="5" t="s">
        <v>12200</v>
      </c>
      <c r="B2612" s="1" t="s">
        <v>12201</v>
      </c>
      <c r="C2612" s="1" t="s">
        <v>4858</v>
      </c>
      <c r="D2612" s="2">
        <v>3.14704277E9</v>
      </c>
      <c r="E2612" s="1" t="s">
        <v>12202</v>
      </c>
      <c r="F2612" s="1"/>
      <c r="G2612" s="1" t="s">
        <v>4860</v>
      </c>
      <c r="H2612" s="1" t="s">
        <v>1155</v>
      </c>
      <c r="I2612" s="1">
        <v>63042.0</v>
      </c>
      <c r="J2612" s="1" t="s">
        <v>752</v>
      </c>
      <c r="K2612" s="1" t="s">
        <v>2131</v>
      </c>
      <c r="L2612" s="1" t="s">
        <v>5767</v>
      </c>
      <c r="M2612" s="1">
        <v>1.0</v>
      </c>
      <c r="N2612" s="1" t="s">
        <v>1152</v>
      </c>
      <c r="O2612" s="3" t="s">
        <v>11101</v>
      </c>
      <c r="P2612" s="1" t="s">
        <v>1152</v>
      </c>
      <c r="Q2612" s="1" t="s">
        <v>1152</v>
      </c>
      <c r="R2612" s="1"/>
      <c r="S2612" s="1"/>
      <c r="T2612" s="1" t="s">
        <v>1152</v>
      </c>
      <c r="U2612" s="1" t="s">
        <v>1080</v>
      </c>
      <c r="V2612" s="4" t="s">
        <v>11101</v>
      </c>
      <c r="W2612" s="1"/>
      <c r="X2612" s="1" t="s">
        <v>1152</v>
      </c>
      <c r="Y2612" s="1" t="s">
        <v>1152</v>
      </c>
      <c r="Z2612" s="1"/>
      <c r="AA2612" s="1"/>
      <c r="AB2612" s="1"/>
      <c r="AC2612" s="1" t="s">
        <v>1925</v>
      </c>
      <c r="AD2612" s="1"/>
      <c r="AE2612" s="18">
        <v>46147.0</v>
      </c>
      <c r="AF2612" s="1"/>
      <c r="AG2612" s="1"/>
      <c r="AH2612" s="1" t="s">
        <v>1152</v>
      </c>
      <c r="AI2612" s="1" t="s">
        <v>1152</v>
      </c>
      <c r="AJ2612" s="1" t="s">
        <v>12202</v>
      </c>
      <c r="AK2612" s="1" t="s">
        <v>1152</v>
      </c>
      <c r="AL2612" s="6"/>
      <c r="AM2612" s="12">
        <v>3.14704277E9</v>
      </c>
    </row>
    <row r="2613">
      <c r="A2613" s="5" t="s">
        <v>12203</v>
      </c>
      <c r="B2613" s="1" t="s">
        <v>12204</v>
      </c>
      <c r="C2613" s="1" t="s">
        <v>466</v>
      </c>
      <c r="D2613" s="2">
        <v>2.017794859E9</v>
      </c>
      <c r="E2613" s="1" t="s">
        <v>8742</v>
      </c>
      <c r="F2613" s="1"/>
      <c r="G2613" s="1" t="s">
        <v>2150</v>
      </c>
      <c r="H2613" s="1" t="s">
        <v>1053</v>
      </c>
      <c r="I2613" s="1">
        <v>7924.0</v>
      </c>
      <c r="J2613" s="1" t="s">
        <v>752</v>
      </c>
      <c r="K2613" s="1" t="s">
        <v>2131</v>
      </c>
      <c r="L2613" s="1" t="s">
        <v>5767</v>
      </c>
      <c r="M2613" s="1">
        <v>1.0</v>
      </c>
      <c r="N2613" s="1" t="s">
        <v>1152</v>
      </c>
      <c r="O2613" s="3" t="s">
        <v>117</v>
      </c>
      <c r="P2613" s="1" t="s">
        <v>1152</v>
      </c>
      <c r="Q2613" s="1" t="s">
        <v>1152</v>
      </c>
      <c r="R2613" s="1"/>
      <c r="S2613" s="1"/>
      <c r="T2613" s="1" t="s">
        <v>1152</v>
      </c>
      <c r="U2613" s="1" t="s">
        <v>1039</v>
      </c>
      <c r="V2613" s="4" t="s">
        <v>117</v>
      </c>
      <c r="W2613" s="1"/>
      <c r="X2613" s="1" t="s">
        <v>1152</v>
      </c>
      <c r="Y2613" s="1" t="s">
        <v>1152</v>
      </c>
      <c r="Z2613" s="1"/>
      <c r="AA2613" s="1"/>
      <c r="AB2613" s="1"/>
      <c r="AC2613" s="1" t="s">
        <v>1925</v>
      </c>
      <c r="AD2613" s="1"/>
      <c r="AE2613" s="18">
        <v>46150.0</v>
      </c>
      <c r="AF2613" s="1"/>
      <c r="AG2613" s="1"/>
      <c r="AH2613" s="1" t="s">
        <v>1152</v>
      </c>
      <c r="AI2613" s="1" t="s">
        <v>1152</v>
      </c>
      <c r="AJ2613" s="1" t="s">
        <v>2149</v>
      </c>
      <c r="AK2613" s="1" t="s">
        <v>1152</v>
      </c>
      <c r="AL2613" s="6"/>
      <c r="AM2613" s="12">
        <v>9.086989314E9</v>
      </c>
    </row>
    <row r="2614">
      <c r="A2614" s="5" t="s">
        <v>12205</v>
      </c>
      <c r="B2614" s="1" t="s">
        <v>12206</v>
      </c>
      <c r="C2614" s="1" t="s">
        <v>471</v>
      </c>
      <c r="D2614" s="2">
        <v>4.752832419E9</v>
      </c>
      <c r="E2614" s="1" t="s">
        <v>473</v>
      </c>
      <c r="F2614" s="1"/>
      <c r="G2614" s="1" t="s">
        <v>1604</v>
      </c>
      <c r="H2614" s="1" t="s">
        <v>1078</v>
      </c>
      <c r="I2614" s="1">
        <v>6880.0</v>
      </c>
      <c r="J2614" s="1" t="s">
        <v>752</v>
      </c>
      <c r="K2614" s="1" t="s">
        <v>2131</v>
      </c>
      <c r="L2614" s="1" t="s">
        <v>5767</v>
      </c>
      <c r="M2614" s="1">
        <v>1.0</v>
      </c>
      <c r="N2614" s="1" t="s">
        <v>1152</v>
      </c>
      <c r="O2614" s="3" t="s">
        <v>12207</v>
      </c>
      <c r="P2614" s="1" t="s">
        <v>1152</v>
      </c>
      <c r="Q2614" s="1" t="s">
        <v>1152</v>
      </c>
      <c r="R2614" s="1"/>
      <c r="S2614" s="1"/>
      <c r="T2614" s="1" t="s">
        <v>1152</v>
      </c>
      <c r="U2614" s="1" t="s">
        <v>1201</v>
      </c>
      <c r="V2614" s="4" t="s">
        <v>12207</v>
      </c>
      <c r="W2614" s="1"/>
      <c r="X2614" s="1" t="s">
        <v>1152</v>
      </c>
      <c r="Y2614" s="1" t="s">
        <v>1152</v>
      </c>
      <c r="Z2614" s="1"/>
      <c r="AA2614" s="1"/>
      <c r="AB2614" s="1"/>
      <c r="AC2614" s="1" t="s">
        <v>1925</v>
      </c>
      <c r="AD2614" s="1"/>
      <c r="AE2614" s="18">
        <v>46144.0</v>
      </c>
      <c r="AF2614" s="1"/>
      <c r="AG2614" s="1"/>
      <c r="AH2614" s="1" t="s">
        <v>1152</v>
      </c>
      <c r="AI2614" s="1" t="s">
        <v>1152</v>
      </c>
      <c r="AJ2614" s="1" t="s">
        <v>473</v>
      </c>
      <c r="AK2614" s="1" t="s">
        <v>1152</v>
      </c>
      <c r="AL2614" s="6"/>
      <c r="AM2614" s="12">
        <v>4.752832419E9</v>
      </c>
    </row>
    <row r="2615">
      <c r="A2615" s="5" t="s">
        <v>12208</v>
      </c>
      <c r="B2615" s="1" t="s">
        <v>12209</v>
      </c>
      <c r="C2615" s="1" t="s">
        <v>12210</v>
      </c>
      <c r="D2615" s="2">
        <v>8.185619533E9</v>
      </c>
      <c r="E2615" s="1" t="s">
        <v>7575</v>
      </c>
      <c r="F2615" s="1"/>
      <c r="G2615" s="1" t="s">
        <v>1191</v>
      </c>
      <c r="H2615" s="1" t="s">
        <v>989</v>
      </c>
      <c r="I2615" s="1">
        <v>91403.0</v>
      </c>
      <c r="J2615" s="1" t="s">
        <v>752</v>
      </c>
      <c r="K2615" s="1" t="s">
        <v>2131</v>
      </c>
      <c r="L2615" s="1" t="s">
        <v>5767</v>
      </c>
      <c r="M2615" s="1">
        <v>1.0</v>
      </c>
      <c r="N2615" s="1" t="s">
        <v>1152</v>
      </c>
      <c r="O2615" s="3" t="s">
        <v>11027</v>
      </c>
      <c r="P2615" s="1" t="s">
        <v>1152</v>
      </c>
      <c r="Q2615" s="1" t="s">
        <v>1152</v>
      </c>
      <c r="R2615" s="1"/>
      <c r="S2615" s="1"/>
      <c r="T2615" s="1" t="s">
        <v>1152</v>
      </c>
      <c r="U2615" s="1" t="s">
        <v>7909</v>
      </c>
      <c r="V2615" s="4" t="s">
        <v>11027</v>
      </c>
      <c r="W2615" s="1"/>
      <c r="X2615" s="1" t="s">
        <v>1152</v>
      </c>
      <c r="Y2615" s="1" t="s">
        <v>1152</v>
      </c>
      <c r="Z2615" s="1"/>
      <c r="AA2615" s="1"/>
      <c r="AB2615" s="1"/>
      <c r="AC2615" s="1" t="s">
        <v>1925</v>
      </c>
      <c r="AD2615" s="1"/>
      <c r="AE2615" s="18">
        <v>46146.0</v>
      </c>
      <c r="AF2615" s="1"/>
      <c r="AG2615" s="1"/>
      <c r="AH2615" s="1" t="s">
        <v>1152</v>
      </c>
      <c r="AI2615" s="1" t="s">
        <v>1152</v>
      </c>
      <c r="AJ2615" s="1" t="s">
        <v>7575</v>
      </c>
      <c r="AK2615" s="1" t="s">
        <v>1152</v>
      </c>
      <c r="AL2615" s="6"/>
      <c r="AM2615" s="12">
        <v>8.185619533E9</v>
      </c>
    </row>
    <row r="2616">
      <c r="A2616" s="5" t="s">
        <v>12211</v>
      </c>
      <c r="B2616" s="1" t="s">
        <v>12212</v>
      </c>
      <c r="C2616" s="1" t="s">
        <v>794</v>
      </c>
      <c r="D2616" s="2">
        <v>9.199371533E9</v>
      </c>
      <c r="E2616" s="1" t="s">
        <v>12213</v>
      </c>
      <c r="F2616" s="1"/>
      <c r="G2616" s="1" t="s">
        <v>12214</v>
      </c>
      <c r="H2616" s="1" t="s">
        <v>1438</v>
      </c>
      <c r="I2616" s="1">
        <v>27514.0</v>
      </c>
      <c r="J2616" s="1" t="s">
        <v>752</v>
      </c>
      <c r="K2616" s="1" t="s">
        <v>2131</v>
      </c>
      <c r="L2616" s="1" t="s">
        <v>5811</v>
      </c>
      <c r="M2616" s="1">
        <v>1.0</v>
      </c>
      <c r="N2616" s="1" t="s">
        <v>1152</v>
      </c>
      <c r="O2616" s="3" t="s">
        <v>1942</v>
      </c>
      <c r="P2616" s="1" t="s">
        <v>1152</v>
      </c>
      <c r="Q2616" s="1" t="s">
        <v>1152</v>
      </c>
      <c r="R2616" s="1"/>
      <c r="S2616" s="1"/>
      <c r="T2616" s="1" t="s">
        <v>1152</v>
      </c>
      <c r="U2616" s="1" t="s">
        <v>1021</v>
      </c>
      <c r="V2616" s="4" t="s">
        <v>1942</v>
      </c>
      <c r="W2616" s="1"/>
      <c r="X2616" s="1" t="s">
        <v>1152</v>
      </c>
      <c r="Y2616" s="1" t="s">
        <v>1152</v>
      </c>
      <c r="Z2616" s="1"/>
      <c r="AA2616" s="1"/>
      <c r="AB2616" s="1"/>
      <c r="AC2616" s="1" t="s">
        <v>1925</v>
      </c>
      <c r="AD2616" s="1"/>
      <c r="AE2616" s="18">
        <v>46150.0</v>
      </c>
      <c r="AF2616" s="1"/>
      <c r="AG2616" s="1"/>
      <c r="AH2616" s="1" t="s">
        <v>1152</v>
      </c>
      <c r="AI2616" s="1" t="s">
        <v>1152</v>
      </c>
      <c r="AJ2616" s="1" t="s">
        <v>12213</v>
      </c>
      <c r="AK2616" s="1" t="s">
        <v>1152</v>
      </c>
      <c r="AL2616" s="6"/>
      <c r="AM2616" s="12">
        <v>9.199371533E9</v>
      </c>
    </row>
    <row r="2617">
      <c r="A2617" s="5" t="s">
        <v>12215</v>
      </c>
      <c r="B2617" s="1" t="s">
        <v>12216</v>
      </c>
      <c r="C2617" s="1" t="s">
        <v>2640</v>
      </c>
      <c r="D2617" s="2">
        <v>2.017856794E9</v>
      </c>
      <c r="E2617" s="1" t="s">
        <v>1975</v>
      </c>
      <c r="F2617" s="1"/>
      <c r="G2617" s="1" t="s">
        <v>1976</v>
      </c>
      <c r="H2617" s="1" t="s">
        <v>1121</v>
      </c>
      <c r="I2617" s="1">
        <v>1890.0</v>
      </c>
      <c r="J2617" s="1" t="s">
        <v>752</v>
      </c>
      <c r="K2617" s="1" t="s">
        <v>2131</v>
      </c>
      <c r="L2617" s="1" t="s">
        <v>5767</v>
      </c>
      <c r="M2617" s="1">
        <v>1.0</v>
      </c>
      <c r="N2617" s="1" t="s">
        <v>1152</v>
      </c>
      <c r="O2617" s="3" t="s">
        <v>311</v>
      </c>
      <c r="P2617" s="1" t="s">
        <v>1152</v>
      </c>
      <c r="Q2617" s="1" t="s">
        <v>1152</v>
      </c>
      <c r="R2617" s="1"/>
      <c r="S2617" s="1"/>
      <c r="T2617" s="1" t="s">
        <v>1152</v>
      </c>
      <c r="U2617" s="1" t="s">
        <v>1148</v>
      </c>
      <c r="V2617" s="4" t="s">
        <v>311</v>
      </c>
      <c r="W2617" s="1"/>
      <c r="X2617" s="1" t="s">
        <v>1152</v>
      </c>
      <c r="Y2617" s="1" t="s">
        <v>1152</v>
      </c>
      <c r="Z2617" s="1"/>
      <c r="AA2617" s="1"/>
      <c r="AB2617" s="1"/>
      <c r="AC2617" s="1" t="s">
        <v>1925</v>
      </c>
      <c r="AD2617" s="1"/>
      <c r="AE2617" s="18">
        <v>46149.0</v>
      </c>
      <c r="AF2617" s="1"/>
      <c r="AG2617" s="1"/>
      <c r="AH2617" s="1" t="s">
        <v>1152</v>
      </c>
      <c r="AI2617" s="1" t="s">
        <v>1152</v>
      </c>
      <c r="AJ2617" s="1" t="s">
        <v>12217</v>
      </c>
      <c r="AK2617" s="1" t="s">
        <v>1152</v>
      </c>
      <c r="AL2617" s="6"/>
      <c r="AM2617" s="12" t="s">
        <v>12218</v>
      </c>
    </row>
    <row r="2618">
      <c r="A2618" s="5" t="s">
        <v>12219</v>
      </c>
      <c r="B2618" s="1" t="s">
        <v>12220</v>
      </c>
      <c r="C2618" s="1" t="s">
        <v>12221</v>
      </c>
      <c r="D2618" s="2">
        <v>4.078401759E9</v>
      </c>
      <c r="E2618" s="1" t="s">
        <v>782</v>
      </c>
      <c r="F2618" s="1"/>
      <c r="G2618" s="1" t="s">
        <v>12222</v>
      </c>
      <c r="H2618" s="1" t="s">
        <v>1691</v>
      </c>
      <c r="I2618" s="1">
        <v>48315.0</v>
      </c>
      <c r="J2618" s="1" t="s">
        <v>752</v>
      </c>
      <c r="K2618" s="1" t="s">
        <v>2131</v>
      </c>
      <c r="L2618" s="1" t="s">
        <v>5767</v>
      </c>
      <c r="M2618" s="1">
        <v>1.0</v>
      </c>
      <c r="N2618" s="1" t="s">
        <v>1152</v>
      </c>
      <c r="O2618" s="3" t="s">
        <v>12167</v>
      </c>
      <c r="P2618" s="1" t="s">
        <v>1152</v>
      </c>
      <c r="Q2618" s="1" t="s">
        <v>1152</v>
      </c>
      <c r="R2618" s="1"/>
      <c r="S2618" s="1"/>
      <c r="T2618" s="1" t="s">
        <v>1152</v>
      </c>
      <c r="U2618" s="1" t="s">
        <v>1407</v>
      </c>
      <c r="V2618" s="4" t="s">
        <v>12167</v>
      </c>
      <c r="W2618" s="1"/>
      <c r="X2618" s="1" t="s">
        <v>1152</v>
      </c>
      <c r="Y2618" s="1" t="s">
        <v>1152</v>
      </c>
      <c r="Z2618" s="1"/>
      <c r="AA2618" s="1"/>
      <c r="AB2618" s="1"/>
      <c r="AC2618" s="1" t="s">
        <v>1925</v>
      </c>
      <c r="AD2618" s="1"/>
      <c r="AE2618" s="18">
        <v>46146.0</v>
      </c>
      <c r="AF2618" s="1"/>
      <c r="AG2618" s="1"/>
      <c r="AH2618" s="1" t="s">
        <v>1152</v>
      </c>
      <c r="AI2618" s="1" t="s">
        <v>1152</v>
      </c>
      <c r="AJ2618" s="1" t="s">
        <v>782</v>
      </c>
      <c r="AK2618" s="1" t="s">
        <v>1152</v>
      </c>
      <c r="AL2618" s="6"/>
      <c r="AM2618" s="12">
        <v>4.078401759E9</v>
      </c>
    </row>
    <row r="2619">
      <c r="A2619" s="5" t="s">
        <v>12223</v>
      </c>
      <c r="B2619" s="1" t="s">
        <v>12224</v>
      </c>
      <c r="C2619" s="1" t="s">
        <v>12225</v>
      </c>
      <c r="D2619" s="2">
        <v>3.103431318E9</v>
      </c>
      <c r="E2619" s="1" t="s">
        <v>5766</v>
      </c>
      <c r="F2619" s="1"/>
      <c r="G2619" s="1" t="s">
        <v>5051</v>
      </c>
      <c r="H2619" s="1" t="s">
        <v>989</v>
      </c>
      <c r="I2619" s="1">
        <v>91436.0</v>
      </c>
      <c r="J2619" s="1" t="s">
        <v>752</v>
      </c>
      <c r="K2619" s="1" t="s">
        <v>2131</v>
      </c>
      <c r="L2619" s="1" t="s">
        <v>5767</v>
      </c>
      <c r="M2619" s="1">
        <v>1.0</v>
      </c>
      <c r="N2619" s="1" t="s">
        <v>1152</v>
      </c>
      <c r="O2619" s="3" t="s">
        <v>3092</v>
      </c>
      <c r="P2619" s="1" t="s">
        <v>1152</v>
      </c>
      <c r="Q2619" s="1" t="s">
        <v>1152</v>
      </c>
      <c r="R2619" s="1"/>
      <c r="S2619" s="1"/>
      <c r="T2619" s="1" t="s">
        <v>1152</v>
      </c>
      <c r="U2619" s="1" t="s">
        <v>1415</v>
      </c>
      <c r="V2619" s="4" t="s">
        <v>3092</v>
      </c>
      <c r="W2619" s="1"/>
      <c r="X2619" s="1" t="s">
        <v>1152</v>
      </c>
      <c r="Y2619" s="1" t="s">
        <v>1152</v>
      </c>
      <c r="Z2619" s="1"/>
      <c r="AA2619" s="1"/>
      <c r="AB2619" s="1"/>
      <c r="AC2619" s="1" t="s">
        <v>1925</v>
      </c>
      <c r="AD2619" s="1"/>
      <c r="AE2619" s="18">
        <v>46143.0</v>
      </c>
      <c r="AF2619" s="1"/>
      <c r="AG2619" s="1"/>
      <c r="AH2619" s="1" t="s">
        <v>1152</v>
      </c>
      <c r="AI2619" s="1" t="s">
        <v>1152</v>
      </c>
      <c r="AJ2619" s="1" t="s">
        <v>5766</v>
      </c>
      <c r="AK2619" s="1" t="s">
        <v>1152</v>
      </c>
      <c r="AL2619" s="6"/>
      <c r="AM2619" s="12">
        <v>3.103431318E9</v>
      </c>
    </row>
    <row r="2620">
      <c r="A2620" s="5" t="s">
        <v>12226</v>
      </c>
      <c r="B2620" s="1" t="s">
        <v>12227</v>
      </c>
      <c r="C2620" s="1" t="s">
        <v>12228</v>
      </c>
      <c r="D2620" s="2">
        <v>9.179934166E9</v>
      </c>
      <c r="E2620" s="1" t="s">
        <v>6379</v>
      </c>
      <c r="F2620" s="1"/>
      <c r="G2620" s="1" t="s">
        <v>751</v>
      </c>
      <c r="H2620" s="1" t="s">
        <v>751</v>
      </c>
      <c r="I2620" s="1">
        <v>10011.0</v>
      </c>
      <c r="J2620" s="1" t="s">
        <v>752</v>
      </c>
      <c r="K2620" s="1" t="s">
        <v>2131</v>
      </c>
      <c r="L2620" s="1" t="s">
        <v>5811</v>
      </c>
      <c r="M2620" s="1">
        <v>1.0</v>
      </c>
      <c r="N2620" s="1" t="s">
        <v>1152</v>
      </c>
      <c r="O2620" s="3" t="s">
        <v>964</v>
      </c>
      <c r="P2620" s="1" t="s">
        <v>1152</v>
      </c>
      <c r="Q2620" s="1" t="s">
        <v>1152</v>
      </c>
      <c r="R2620" s="1"/>
      <c r="S2620" s="1"/>
      <c r="T2620" s="1" t="s">
        <v>1152</v>
      </c>
      <c r="U2620" s="1" t="s">
        <v>982</v>
      </c>
      <c r="V2620" s="4" t="s">
        <v>964</v>
      </c>
      <c r="W2620" s="1"/>
      <c r="X2620" s="1" t="s">
        <v>1152</v>
      </c>
      <c r="Y2620" s="1" t="s">
        <v>1152</v>
      </c>
      <c r="Z2620" s="1"/>
      <c r="AA2620" s="1"/>
      <c r="AB2620" s="1"/>
      <c r="AC2620" s="1" t="s">
        <v>1925</v>
      </c>
      <c r="AD2620" s="1"/>
      <c r="AE2620" s="18">
        <v>46144.0</v>
      </c>
      <c r="AF2620" s="1"/>
      <c r="AG2620" s="1"/>
      <c r="AH2620" s="1" t="s">
        <v>1152</v>
      </c>
      <c r="AI2620" s="1" t="s">
        <v>1152</v>
      </c>
      <c r="AJ2620" s="1" t="s">
        <v>6379</v>
      </c>
      <c r="AK2620" s="1" t="s">
        <v>1152</v>
      </c>
      <c r="AL2620" s="6"/>
      <c r="AM2620" s="12">
        <v>9.179934166E9</v>
      </c>
    </row>
    <row r="2621">
      <c r="A2621" s="5" t="s">
        <v>12229</v>
      </c>
      <c r="B2621" s="1" t="s">
        <v>12230</v>
      </c>
      <c r="C2621" s="1" t="s">
        <v>894</v>
      </c>
      <c r="D2621" s="2">
        <v>7.733989021E9</v>
      </c>
      <c r="E2621" s="1" t="s">
        <v>895</v>
      </c>
      <c r="F2621" s="1"/>
      <c r="G2621" s="1" t="s">
        <v>1786</v>
      </c>
      <c r="H2621" s="1" t="s">
        <v>1019</v>
      </c>
      <c r="I2621" s="1">
        <v>60614.0</v>
      </c>
      <c r="J2621" s="1" t="s">
        <v>752</v>
      </c>
      <c r="K2621" s="1" t="s">
        <v>2131</v>
      </c>
      <c r="L2621" s="1" t="s">
        <v>5767</v>
      </c>
      <c r="M2621" s="1">
        <v>1.0</v>
      </c>
      <c r="N2621" s="1" t="s">
        <v>1152</v>
      </c>
      <c r="O2621" s="3" t="s">
        <v>753</v>
      </c>
      <c r="P2621" s="1" t="s">
        <v>1152</v>
      </c>
      <c r="Q2621" s="1" t="s">
        <v>1152</v>
      </c>
      <c r="R2621" s="1"/>
      <c r="S2621" s="1"/>
      <c r="T2621" s="1" t="s">
        <v>1152</v>
      </c>
      <c r="U2621" s="1" t="s">
        <v>1133</v>
      </c>
      <c r="V2621" s="4" t="s">
        <v>753</v>
      </c>
      <c r="W2621" s="1"/>
      <c r="X2621" s="1" t="s">
        <v>1152</v>
      </c>
      <c r="Y2621" s="1" t="s">
        <v>1152</v>
      </c>
      <c r="Z2621" s="1"/>
      <c r="AA2621" s="1"/>
      <c r="AB2621" s="1"/>
      <c r="AC2621" s="1" t="s">
        <v>1925</v>
      </c>
      <c r="AD2621" s="1"/>
      <c r="AE2621" s="18">
        <v>46147.0</v>
      </c>
      <c r="AF2621" s="1"/>
      <c r="AG2621" s="1"/>
      <c r="AH2621" s="1" t="s">
        <v>1152</v>
      </c>
      <c r="AI2621" s="1" t="s">
        <v>1152</v>
      </c>
      <c r="AJ2621" s="1" t="s">
        <v>12231</v>
      </c>
      <c r="AK2621" s="1" t="s">
        <v>1152</v>
      </c>
      <c r="AL2621" s="6"/>
      <c r="AM2621" s="12" t="s">
        <v>12232</v>
      </c>
    </row>
    <row r="2622">
      <c r="A2622" s="5" t="s">
        <v>12233</v>
      </c>
      <c r="B2622" s="1" t="s">
        <v>12234</v>
      </c>
      <c r="C2622" s="1" t="s">
        <v>2299</v>
      </c>
      <c r="D2622" s="2">
        <v>3.109895589E9</v>
      </c>
      <c r="E2622" s="1" t="s">
        <v>12235</v>
      </c>
      <c r="F2622" s="1"/>
      <c r="G2622" s="1" t="s">
        <v>2301</v>
      </c>
      <c r="H2622" s="1" t="s">
        <v>1583</v>
      </c>
      <c r="I2622" s="1">
        <v>76092.0</v>
      </c>
      <c r="J2622" s="1" t="s">
        <v>752</v>
      </c>
      <c r="K2622" s="1" t="s">
        <v>2131</v>
      </c>
      <c r="L2622" s="1" t="s">
        <v>5767</v>
      </c>
      <c r="M2622" s="1">
        <v>1.0</v>
      </c>
      <c r="N2622" s="1" t="s">
        <v>1152</v>
      </c>
      <c r="O2622" s="3" t="s">
        <v>2302</v>
      </c>
      <c r="P2622" s="1" t="s">
        <v>1152</v>
      </c>
      <c r="Q2622" s="1" t="s">
        <v>1152</v>
      </c>
      <c r="R2622" s="1"/>
      <c r="S2622" s="1"/>
      <c r="T2622" s="1" t="s">
        <v>1152</v>
      </c>
      <c r="U2622" s="1" t="s">
        <v>6053</v>
      </c>
      <c r="V2622" s="4" t="s">
        <v>2302</v>
      </c>
      <c r="W2622" s="1"/>
      <c r="X2622" s="1" t="s">
        <v>1152</v>
      </c>
      <c r="Y2622" s="1" t="s">
        <v>1152</v>
      </c>
      <c r="Z2622" s="1"/>
      <c r="AA2622" s="1"/>
      <c r="AB2622" s="1"/>
      <c r="AC2622" s="1" t="s">
        <v>1925</v>
      </c>
      <c r="AD2622" s="1"/>
      <c r="AE2622" s="18">
        <v>46149.0</v>
      </c>
      <c r="AF2622" s="1"/>
      <c r="AG2622" s="1"/>
      <c r="AH2622" s="1" t="s">
        <v>1152</v>
      </c>
      <c r="AI2622" s="1" t="s">
        <v>1152</v>
      </c>
      <c r="AJ2622" s="1" t="s">
        <v>9632</v>
      </c>
      <c r="AK2622" s="1" t="s">
        <v>1152</v>
      </c>
      <c r="AL2622" s="6"/>
      <c r="AM2622" s="12">
        <v>8.177053126E9</v>
      </c>
    </row>
    <row r="2623">
      <c r="A2623" s="5" t="s">
        <v>12236</v>
      </c>
      <c r="B2623" s="1" t="s">
        <v>12237</v>
      </c>
      <c r="C2623" s="1" t="s">
        <v>623</v>
      </c>
      <c r="D2623" s="2">
        <v>6.46745612E9</v>
      </c>
      <c r="E2623" s="1" t="s">
        <v>12238</v>
      </c>
      <c r="F2623" s="1"/>
      <c r="G2623" s="1" t="s">
        <v>751</v>
      </c>
      <c r="H2623" s="1" t="s">
        <v>751</v>
      </c>
      <c r="I2623" s="1">
        <v>10128.0</v>
      </c>
      <c r="J2623" s="1" t="s">
        <v>752</v>
      </c>
      <c r="K2623" s="1" t="s">
        <v>2131</v>
      </c>
      <c r="L2623" s="1" t="s">
        <v>5767</v>
      </c>
      <c r="M2623" s="1">
        <v>1.0</v>
      </c>
      <c r="N2623" s="1" t="s">
        <v>1152</v>
      </c>
      <c r="O2623" s="3" t="s">
        <v>627</v>
      </c>
      <c r="P2623" s="1" t="s">
        <v>1152</v>
      </c>
      <c r="Q2623" s="1" t="s">
        <v>1152</v>
      </c>
      <c r="R2623" s="1"/>
      <c r="S2623" s="1"/>
      <c r="T2623" s="1" t="s">
        <v>1152</v>
      </c>
      <c r="U2623" s="1" t="s">
        <v>1039</v>
      </c>
      <c r="V2623" s="4" t="s">
        <v>627</v>
      </c>
      <c r="W2623" s="1"/>
      <c r="X2623" s="1" t="s">
        <v>1152</v>
      </c>
      <c r="Y2623" s="1" t="s">
        <v>1152</v>
      </c>
      <c r="Z2623" s="1"/>
      <c r="AA2623" s="1"/>
      <c r="AB2623" s="1"/>
      <c r="AC2623" s="1" t="s">
        <v>1925</v>
      </c>
      <c r="AD2623" s="1"/>
      <c r="AE2623" s="18">
        <v>46146.0</v>
      </c>
      <c r="AF2623" s="1"/>
      <c r="AG2623" s="1"/>
      <c r="AH2623" s="1" t="s">
        <v>1152</v>
      </c>
      <c r="AI2623" s="1" t="s">
        <v>1152</v>
      </c>
      <c r="AJ2623" s="1" t="s">
        <v>625</v>
      </c>
      <c r="AK2623" s="1" t="s">
        <v>1152</v>
      </c>
      <c r="AL2623" s="6"/>
      <c r="AM2623" s="12">
        <v>6.46745612E9</v>
      </c>
    </row>
    <row r="2624">
      <c r="A2624" s="5" t="s">
        <v>12239</v>
      </c>
      <c r="B2624" s="1" t="s">
        <v>12240</v>
      </c>
      <c r="C2624" s="1" t="s">
        <v>3749</v>
      </c>
      <c r="D2624" s="2">
        <v>7.132137252E9</v>
      </c>
      <c r="E2624" s="1" t="s">
        <v>8714</v>
      </c>
      <c r="F2624" s="1"/>
      <c r="G2624" s="1" t="s">
        <v>1817</v>
      </c>
      <c r="H2624" s="1" t="s">
        <v>1598</v>
      </c>
      <c r="I2624" s="1">
        <v>37027.0</v>
      </c>
      <c r="J2624" s="1" t="s">
        <v>752</v>
      </c>
      <c r="K2624" s="1" t="s">
        <v>2131</v>
      </c>
      <c r="L2624" s="1" t="s">
        <v>5767</v>
      </c>
      <c r="M2624" s="1">
        <v>1.0</v>
      </c>
      <c r="N2624" s="1" t="s">
        <v>1152</v>
      </c>
      <c r="O2624" s="3" t="s">
        <v>8716</v>
      </c>
      <c r="P2624" s="1" t="s">
        <v>1152</v>
      </c>
      <c r="Q2624" s="1" t="s">
        <v>1152</v>
      </c>
      <c r="R2624" s="1"/>
      <c r="S2624" s="1"/>
      <c r="T2624" s="1" t="s">
        <v>1152</v>
      </c>
      <c r="U2624" s="1" t="s">
        <v>1021</v>
      </c>
      <c r="V2624" s="4" t="s">
        <v>8716</v>
      </c>
      <c r="W2624" s="1"/>
      <c r="X2624" s="1" t="s">
        <v>1152</v>
      </c>
      <c r="Y2624" s="1" t="s">
        <v>1152</v>
      </c>
      <c r="Z2624" s="1"/>
      <c r="AA2624" s="1"/>
      <c r="AB2624" s="1"/>
      <c r="AC2624" s="1" t="s">
        <v>1925</v>
      </c>
      <c r="AD2624" s="1"/>
      <c r="AE2624" s="18">
        <v>46146.0</v>
      </c>
      <c r="AF2624" s="1"/>
      <c r="AG2624" s="1"/>
      <c r="AH2624" s="1" t="s">
        <v>1152</v>
      </c>
      <c r="AI2624" s="1" t="s">
        <v>1152</v>
      </c>
      <c r="AJ2624" s="1" t="s">
        <v>8714</v>
      </c>
      <c r="AK2624" s="1" t="s">
        <v>1152</v>
      </c>
      <c r="AL2624" s="6"/>
      <c r="AM2624" s="12">
        <v>7.132137252E9</v>
      </c>
    </row>
    <row r="2625">
      <c r="A2625" s="5" t="s">
        <v>12241</v>
      </c>
      <c r="B2625" s="1" t="s">
        <v>12242</v>
      </c>
      <c r="C2625" s="1" t="s">
        <v>7320</v>
      </c>
      <c r="D2625" s="2">
        <v>4.158068294E9</v>
      </c>
      <c r="E2625" s="1" t="s">
        <v>7321</v>
      </c>
      <c r="F2625" s="1"/>
      <c r="G2625" s="1" t="s">
        <v>7322</v>
      </c>
      <c r="H2625" s="1" t="s">
        <v>989</v>
      </c>
      <c r="I2625" s="1" t="s">
        <v>10031</v>
      </c>
      <c r="J2625" s="1" t="s">
        <v>752</v>
      </c>
      <c r="K2625" s="1" t="s">
        <v>2131</v>
      </c>
      <c r="L2625" s="1" t="s">
        <v>5811</v>
      </c>
      <c r="M2625" s="1">
        <v>1.0</v>
      </c>
      <c r="N2625" s="1" t="s">
        <v>1152</v>
      </c>
      <c r="O2625" s="3" t="s">
        <v>10032</v>
      </c>
      <c r="P2625" s="1" t="s">
        <v>1152</v>
      </c>
      <c r="Q2625" s="1" t="s">
        <v>1152</v>
      </c>
      <c r="R2625" s="1"/>
      <c r="S2625" s="1"/>
      <c r="T2625" s="1" t="s">
        <v>1152</v>
      </c>
      <c r="U2625" s="1" t="s">
        <v>1456</v>
      </c>
      <c r="V2625" s="4" t="s">
        <v>10032</v>
      </c>
      <c r="W2625" s="1"/>
      <c r="X2625" s="1" t="s">
        <v>1152</v>
      </c>
      <c r="Y2625" s="1" t="s">
        <v>1152</v>
      </c>
      <c r="Z2625" s="1"/>
      <c r="AA2625" s="1"/>
      <c r="AB2625" s="1"/>
      <c r="AC2625" s="1" t="s">
        <v>1925</v>
      </c>
      <c r="AD2625" s="1"/>
      <c r="AE2625" s="18">
        <v>46148.0</v>
      </c>
      <c r="AF2625" s="1"/>
      <c r="AG2625" s="1"/>
      <c r="AH2625" s="1" t="s">
        <v>1152</v>
      </c>
      <c r="AI2625" s="1" t="s">
        <v>1152</v>
      </c>
      <c r="AJ2625" s="1" t="s">
        <v>7323</v>
      </c>
      <c r="AK2625" s="1" t="s">
        <v>1152</v>
      </c>
      <c r="AL2625" s="6"/>
      <c r="AM2625" s="12" t="s">
        <v>12243</v>
      </c>
    </row>
    <row r="2626">
      <c r="A2626" s="5" t="s">
        <v>12244</v>
      </c>
      <c r="B2626" s="1" t="s">
        <v>12245</v>
      </c>
      <c r="C2626" s="1" t="s">
        <v>3189</v>
      </c>
      <c r="D2626" s="2">
        <v>3.102211061E9</v>
      </c>
      <c r="E2626" s="1" t="s">
        <v>3190</v>
      </c>
      <c r="F2626" s="1"/>
      <c r="G2626" s="1" t="s">
        <v>3191</v>
      </c>
      <c r="H2626" s="1" t="s">
        <v>989</v>
      </c>
      <c r="I2626" s="1">
        <v>90267.0</v>
      </c>
      <c r="J2626" s="1" t="s">
        <v>752</v>
      </c>
      <c r="K2626" s="1" t="s">
        <v>2131</v>
      </c>
      <c r="L2626" s="1" t="s">
        <v>5767</v>
      </c>
      <c r="M2626" s="1">
        <v>1.0</v>
      </c>
      <c r="N2626" s="1" t="s">
        <v>1152</v>
      </c>
      <c r="O2626" s="3" t="s">
        <v>12246</v>
      </c>
      <c r="P2626" s="1" t="s">
        <v>1152</v>
      </c>
      <c r="Q2626" s="1" t="s">
        <v>1152</v>
      </c>
      <c r="R2626" s="1"/>
      <c r="S2626" s="1"/>
      <c r="T2626" s="1" t="s">
        <v>1152</v>
      </c>
      <c r="U2626" s="1" t="s">
        <v>1080</v>
      </c>
      <c r="V2626" s="4" t="s">
        <v>12246</v>
      </c>
      <c r="W2626" s="1"/>
      <c r="X2626" s="1" t="s">
        <v>1152</v>
      </c>
      <c r="Y2626" s="1" t="s">
        <v>1152</v>
      </c>
      <c r="Z2626" s="1"/>
      <c r="AA2626" s="1"/>
      <c r="AB2626" s="1"/>
      <c r="AC2626" s="1" t="s">
        <v>1925</v>
      </c>
      <c r="AD2626" s="1"/>
      <c r="AE2626" s="18">
        <v>46148.0</v>
      </c>
      <c r="AF2626" s="1"/>
      <c r="AG2626" s="1"/>
      <c r="AH2626" s="1" t="s">
        <v>1152</v>
      </c>
      <c r="AI2626" s="1" t="s">
        <v>1152</v>
      </c>
      <c r="AJ2626" s="1" t="s">
        <v>12247</v>
      </c>
      <c r="AK2626" s="1" t="s">
        <v>1152</v>
      </c>
      <c r="AL2626" s="6"/>
      <c r="AM2626" s="12" t="s">
        <v>12248</v>
      </c>
    </row>
    <row r="2627">
      <c r="A2627" s="5" t="s">
        <v>12249</v>
      </c>
      <c r="B2627" s="1" t="s">
        <v>12250</v>
      </c>
      <c r="C2627" s="1" t="s">
        <v>9246</v>
      </c>
      <c r="D2627" s="2">
        <v>15617891135</v>
      </c>
      <c r="E2627" s="1" t="s">
        <v>9247</v>
      </c>
      <c r="F2627" s="1"/>
      <c r="G2627" s="1" t="s">
        <v>1499</v>
      </c>
      <c r="H2627" s="1" t="s">
        <v>751</v>
      </c>
      <c r="I2627" s="1">
        <v>11576.0</v>
      </c>
      <c r="J2627" s="1" t="s">
        <v>752</v>
      </c>
      <c r="K2627" s="1" t="s">
        <v>75</v>
      </c>
      <c r="L2627" s="1" t="s">
        <v>8733</v>
      </c>
      <c r="M2627" s="1">
        <v>49.0</v>
      </c>
      <c r="N2627" s="1" t="s">
        <v>2461</v>
      </c>
      <c r="O2627" s="3" t="s">
        <v>12251</v>
      </c>
      <c r="P2627" s="18">
        <v>46248.0</v>
      </c>
      <c r="Q2627" s="1" t="s">
        <v>1152</v>
      </c>
      <c r="R2627" s="1"/>
      <c r="S2627" s="1" t="s">
        <v>52</v>
      </c>
      <c r="T2627" s="1" t="s">
        <v>2461</v>
      </c>
      <c r="U2627" s="1" t="s">
        <v>102</v>
      </c>
      <c r="V2627" s="4" t="s">
        <v>12251</v>
      </c>
      <c r="W2627" s="1"/>
      <c r="X2627" s="18">
        <v>46248.0</v>
      </c>
      <c r="Y2627" s="1" t="s">
        <v>1152</v>
      </c>
      <c r="Z2627" s="1"/>
      <c r="AA2627" s="1"/>
      <c r="AB2627" s="1" t="s">
        <v>52</v>
      </c>
      <c r="AC2627" s="1" t="s">
        <v>1925</v>
      </c>
      <c r="AD2627" s="1" t="s">
        <v>12252</v>
      </c>
      <c r="AE2627" s="1" t="s">
        <v>1152</v>
      </c>
      <c r="AF2627" s="1"/>
      <c r="AG2627" s="1"/>
      <c r="AH2627" s="1" t="s">
        <v>1152</v>
      </c>
      <c r="AI2627" s="1" t="s">
        <v>1152</v>
      </c>
      <c r="AJ2627" s="1" t="s">
        <v>12253</v>
      </c>
      <c r="AK2627" s="1" t="s">
        <v>1152</v>
      </c>
      <c r="AL2627" s="6"/>
      <c r="AM2627" s="12">
        <v>5.617891135E9</v>
      </c>
    </row>
    <row r="2628">
      <c r="A2628" s="5" t="s">
        <v>12254</v>
      </c>
      <c r="B2628" s="1" t="s">
        <v>12255</v>
      </c>
      <c r="C2628" s="1" t="s">
        <v>1159</v>
      </c>
      <c r="D2628" s="2">
        <v>3.10606135E9</v>
      </c>
      <c r="E2628" s="1" t="s">
        <v>12256</v>
      </c>
      <c r="F2628" s="1"/>
      <c r="G2628" s="1" t="s">
        <v>752</v>
      </c>
      <c r="H2628" s="1" t="s">
        <v>989</v>
      </c>
      <c r="I2628" s="1">
        <v>90274.0</v>
      </c>
      <c r="J2628" s="1" t="s">
        <v>752</v>
      </c>
      <c r="K2628" s="1" t="s">
        <v>2131</v>
      </c>
      <c r="L2628" s="1" t="s">
        <v>5811</v>
      </c>
      <c r="M2628" s="1">
        <v>1.0</v>
      </c>
      <c r="N2628" s="1" t="s">
        <v>1152</v>
      </c>
      <c r="O2628" s="3" t="s">
        <v>12257</v>
      </c>
      <c r="P2628" s="1" t="s">
        <v>1152</v>
      </c>
      <c r="Q2628" s="1" t="s">
        <v>1152</v>
      </c>
      <c r="R2628" s="1"/>
      <c r="S2628" s="1"/>
      <c r="T2628" s="1" t="s">
        <v>1152</v>
      </c>
      <c r="U2628" s="1" t="s">
        <v>956</v>
      </c>
      <c r="V2628" s="4" t="s">
        <v>12257</v>
      </c>
      <c r="W2628" s="1"/>
      <c r="X2628" s="1" t="s">
        <v>1152</v>
      </c>
      <c r="Y2628" s="1" t="s">
        <v>1152</v>
      </c>
      <c r="Z2628" s="1"/>
      <c r="AA2628" s="1"/>
      <c r="AB2628" s="1"/>
      <c r="AC2628" s="1" t="s">
        <v>1925</v>
      </c>
      <c r="AD2628" s="1"/>
      <c r="AE2628" s="18">
        <v>46149.0</v>
      </c>
      <c r="AF2628" s="1"/>
      <c r="AG2628" s="1"/>
      <c r="AH2628" s="1" t="s">
        <v>1152</v>
      </c>
      <c r="AI2628" s="1" t="s">
        <v>1152</v>
      </c>
      <c r="AJ2628" s="1" t="s">
        <v>196</v>
      </c>
      <c r="AK2628" s="1" t="s">
        <v>1152</v>
      </c>
      <c r="AL2628" s="6"/>
      <c r="AM2628" s="12">
        <v>3.108083281E9</v>
      </c>
    </row>
    <row r="2629">
      <c r="A2629" s="5" t="s">
        <v>12258</v>
      </c>
      <c r="B2629" s="1" t="s">
        <v>12259</v>
      </c>
      <c r="C2629" s="1" t="s">
        <v>2061</v>
      </c>
      <c r="D2629" s="2">
        <v>2.393513534E9</v>
      </c>
      <c r="E2629" s="1" t="s">
        <v>2062</v>
      </c>
      <c r="F2629" s="1"/>
      <c r="G2629" s="1" t="s">
        <v>2063</v>
      </c>
      <c r="H2629" s="1" t="s">
        <v>1208</v>
      </c>
      <c r="I2629" s="1">
        <v>34120.0</v>
      </c>
      <c r="J2629" s="1" t="s">
        <v>752</v>
      </c>
      <c r="K2629" s="1" t="s">
        <v>2131</v>
      </c>
      <c r="L2629" s="1" t="s">
        <v>5811</v>
      </c>
      <c r="M2629" s="1">
        <v>1.0</v>
      </c>
      <c r="N2629" s="1" t="s">
        <v>1152</v>
      </c>
      <c r="O2629" s="3" t="s">
        <v>12260</v>
      </c>
      <c r="P2629" s="1" t="s">
        <v>1152</v>
      </c>
      <c r="Q2629" s="1" t="s">
        <v>1152</v>
      </c>
      <c r="R2629" s="1"/>
      <c r="S2629" s="1"/>
      <c r="T2629" s="1" t="s">
        <v>1152</v>
      </c>
      <c r="U2629" s="1" t="s">
        <v>1441</v>
      </c>
      <c r="V2629" s="4" t="s">
        <v>12260</v>
      </c>
      <c r="W2629" s="1"/>
      <c r="X2629" s="1" t="s">
        <v>1152</v>
      </c>
      <c r="Y2629" s="1" t="s">
        <v>1152</v>
      </c>
      <c r="Z2629" s="1"/>
      <c r="AA2629" s="1"/>
      <c r="AB2629" s="1"/>
      <c r="AC2629" s="1" t="s">
        <v>1925</v>
      </c>
      <c r="AD2629" s="1"/>
      <c r="AE2629" s="18">
        <v>46149.0</v>
      </c>
      <c r="AF2629" s="1"/>
      <c r="AG2629" s="1"/>
      <c r="AH2629" s="1" t="s">
        <v>1152</v>
      </c>
      <c r="AI2629" s="1" t="s">
        <v>1152</v>
      </c>
      <c r="AJ2629" s="1" t="s">
        <v>2062</v>
      </c>
      <c r="AK2629" s="1" t="s">
        <v>1152</v>
      </c>
      <c r="AL2629" s="6"/>
      <c r="AM2629" s="12">
        <v>2.393513534E9</v>
      </c>
    </row>
    <row r="2630">
      <c r="A2630" s="5" t="s">
        <v>12261</v>
      </c>
      <c r="B2630" s="1" t="s">
        <v>12262</v>
      </c>
      <c r="C2630" s="1" t="s">
        <v>6792</v>
      </c>
      <c r="D2630" s="2">
        <v>4.843547426E9</v>
      </c>
      <c r="E2630" s="1" t="s">
        <v>6793</v>
      </c>
      <c r="F2630" s="1"/>
      <c r="G2630" s="1" t="s">
        <v>1283</v>
      </c>
      <c r="H2630" s="1" t="s">
        <v>1155</v>
      </c>
      <c r="I2630" s="1">
        <v>63105.0</v>
      </c>
      <c r="J2630" s="1" t="s">
        <v>752</v>
      </c>
      <c r="K2630" s="1" t="s">
        <v>2131</v>
      </c>
      <c r="L2630" s="1" t="s">
        <v>5811</v>
      </c>
      <c r="M2630" s="1">
        <v>1.0</v>
      </c>
      <c r="N2630" s="1" t="s">
        <v>1152</v>
      </c>
      <c r="O2630" s="3" t="s">
        <v>1741</v>
      </c>
      <c r="P2630" s="1" t="s">
        <v>1152</v>
      </c>
      <c r="Q2630" s="1" t="s">
        <v>1152</v>
      </c>
      <c r="R2630" s="1"/>
      <c r="S2630" s="1"/>
      <c r="T2630" s="1" t="s">
        <v>1152</v>
      </c>
      <c r="U2630" s="1" t="s">
        <v>1133</v>
      </c>
      <c r="V2630" s="4" t="s">
        <v>1741</v>
      </c>
      <c r="W2630" s="1"/>
      <c r="X2630" s="1" t="s">
        <v>1152</v>
      </c>
      <c r="Y2630" s="1" t="s">
        <v>1152</v>
      </c>
      <c r="Z2630" s="1"/>
      <c r="AA2630" s="1"/>
      <c r="AB2630" s="1"/>
      <c r="AC2630" s="1" t="s">
        <v>1925</v>
      </c>
      <c r="AD2630" s="1"/>
      <c r="AE2630" s="18">
        <v>46149.0</v>
      </c>
      <c r="AF2630" s="1"/>
      <c r="AG2630" s="1"/>
      <c r="AH2630" s="1" t="s">
        <v>1152</v>
      </c>
      <c r="AI2630" s="1" t="s">
        <v>1152</v>
      </c>
      <c r="AJ2630" s="1" t="s">
        <v>6793</v>
      </c>
      <c r="AK2630" s="1" t="s">
        <v>1152</v>
      </c>
      <c r="AL2630" s="6"/>
      <c r="AM2630" s="12">
        <v>4.843547426E9</v>
      </c>
    </row>
    <row r="2631">
      <c r="A2631" s="5" t="s">
        <v>12263</v>
      </c>
      <c r="B2631" s="1" t="s">
        <v>12264</v>
      </c>
      <c r="C2631" s="1" t="s">
        <v>9494</v>
      </c>
      <c r="D2631" s="2">
        <v>5.102992644E9</v>
      </c>
      <c r="E2631" s="1" t="s">
        <v>9495</v>
      </c>
      <c r="F2631" s="1"/>
      <c r="G2631" s="1" t="s">
        <v>4737</v>
      </c>
      <c r="H2631" s="1" t="s">
        <v>989</v>
      </c>
      <c r="I2631" s="1">
        <v>94539.0</v>
      </c>
      <c r="J2631" s="1" t="s">
        <v>752</v>
      </c>
      <c r="K2631" s="1" t="s">
        <v>2131</v>
      </c>
      <c r="L2631" s="1" t="s">
        <v>5767</v>
      </c>
      <c r="M2631" s="1">
        <v>1.0</v>
      </c>
      <c r="N2631" s="1" t="s">
        <v>1152</v>
      </c>
      <c r="O2631" s="3" t="s">
        <v>12265</v>
      </c>
      <c r="P2631" s="1" t="s">
        <v>1152</v>
      </c>
      <c r="Q2631" s="1" t="s">
        <v>1152</v>
      </c>
      <c r="R2631" s="1"/>
      <c r="S2631" s="1"/>
      <c r="T2631" s="1" t="s">
        <v>1152</v>
      </c>
      <c r="U2631" s="1" t="s">
        <v>1812</v>
      </c>
      <c r="V2631" s="4" t="s">
        <v>12265</v>
      </c>
      <c r="W2631" s="1"/>
      <c r="X2631" s="1" t="s">
        <v>1152</v>
      </c>
      <c r="Y2631" s="1" t="s">
        <v>1152</v>
      </c>
      <c r="Z2631" s="1"/>
      <c r="AA2631" s="1"/>
      <c r="AB2631" s="1"/>
      <c r="AC2631" s="1" t="s">
        <v>1925</v>
      </c>
      <c r="AD2631" s="1"/>
      <c r="AE2631" s="18">
        <v>46149.0</v>
      </c>
      <c r="AF2631" s="1"/>
      <c r="AG2631" s="1"/>
      <c r="AH2631" s="1" t="s">
        <v>1152</v>
      </c>
      <c r="AI2631" s="1" t="s">
        <v>1152</v>
      </c>
      <c r="AJ2631" s="1" t="s">
        <v>9498</v>
      </c>
      <c r="AK2631" s="1" t="s">
        <v>1152</v>
      </c>
      <c r="AL2631" s="6"/>
      <c r="AM2631" s="12" t="s">
        <v>12266</v>
      </c>
    </row>
    <row r="2632">
      <c r="A2632" s="5" t="s">
        <v>12267</v>
      </c>
      <c r="B2632" s="1" t="s">
        <v>12268</v>
      </c>
      <c r="C2632" s="1" t="s">
        <v>7845</v>
      </c>
      <c r="D2632" s="2">
        <v>4.158199354E9</v>
      </c>
      <c r="E2632" s="1" t="s">
        <v>7846</v>
      </c>
      <c r="F2632" s="1"/>
      <c r="G2632" s="1" t="s">
        <v>12269</v>
      </c>
      <c r="H2632" s="1" t="s">
        <v>989</v>
      </c>
      <c r="I2632" s="1">
        <v>94123.0</v>
      </c>
      <c r="J2632" s="1" t="s">
        <v>752</v>
      </c>
      <c r="K2632" s="1" t="s">
        <v>2131</v>
      </c>
      <c r="L2632" s="1" t="s">
        <v>5767</v>
      </c>
      <c r="M2632" s="1">
        <v>1.0</v>
      </c>
      <c r="N2632" s="1" t="s">
        <v>1152</v>
      </c>
      <c r="O2632" s="3" t="s">
        <v>7847</v>
      </c>
      <c r="P2632" s="1" t="s">
        <v>1152</v>
      </c>
      <c r="Q2632" s="1" t="s">
        <v>1152</v>
      </c>
      <c r="R2632" s="1"/>
      <c r="S2632" s="1"/>
      <c r="T2632" s="1" t="s">
        <v>1152</v>
      </c>
      <c r="U2632" s="1" t="s">
        <v>1167</v>
      </c>
      <c r="V2632" s="4" t="s">
        <v>7847</v>
      </c>
      <c r="W2632" s="1"/>
      <c r="X2632" s="1" t="s">
        <v>1152</v>
      </c>
      <c r="Y2632" s="1" t="s">
        <v>1152</v>
      </c>
      <c r="Z2632" s="1"/>
      <c r="AA2632" s="1"/>
      <c r="AB2632" s="1"/>
      <c r="AC2632" s="1" t="s">
        <v>1925</v>
      </c>
      <c r="AD2632" s="1"/>
      <c r="AE2632" s="18">
        <v>46148.0</v>
      </c>
      <c r="AF2632" s="1"/>
      <c r="AG2632" s="1"/>
      <c r="AH2632" s="1" t="s">
        <v>1152</v>
      </c>
      <c r="AI2632" s="1" t="s">
        <v>1152</v>
      </c>
      <c r="AJ2632" s="1" t="s">
        <v>7846</v>
      </c>
      <c r="AK2632" s="1" t="s">
        <v>1152</v>
      </c>
      <c r="AL2632" s="6"/>
      <c r="AM2632" s="12" t="s">
        <v>12270</v>
      </c>
    </row>
    <row r="2633">
      <c r="A2633" s="5" t="s">
        <v>12271</v>
      </c>
      <c r="B2633" s="1" t="s">
        <v>12272</v>
      </c>
      <c r="C2633" s="1" t="s">
        <v>12273</v>
      </c>
      <c r="D2633" s="2">
        <v>8.325664791E9</v>
      </c>
      <c r="E2633" s="1" t="s">
        <v>7202</v>
      </c>
      <c r="F2633" s="1"/>
      <c r="G2633" s="1" t="s">
        <v>1609</v>
      </c>
      <c r="H2633" s="1" t="s">
        <v>1583</v>
      </c>
      <c r="I2633" s="1">
        <v>77099.0</v>
      </c>
      <c r="J2633" s="1" t="s">
        <v>752</v>
      </c>
      <c r="K2633" s="1" t="s">
        <v>2131</v>
      </c>
      <c r="L2633" s="1" t="s">
        <v>5811</v>
      </c>
      <c r="M2633" s="1">
        <v>1.0</v>
      </c>
      <c r="N2633" s="1" t="s">
        <v>1152</v>
      </c>
      <c r="O2633" s="3" t="s">
        <v>4164</v>
      </c>
      <c r="P2633" s="1" t="s">
        <v>1152</v>
      </c>
      <c r="Q2633" s="1" t="s">
        <v>1152</v>
      </c>
      <c r="R2633" s="1"/>
      <c r="S2633" s="1"/>
      <c r="T2633" s="1" t="s">
        <v>1152</v>
      </c>
      <c r="U2633" s="1" t="s">
        <v>956</v>
      </c>
      <c r="V2633" s="4" t="s">
        <v>4164</v>
      </c>
      <c r="W2633" s="1"/>
      <c r="X2633" s="1" t="s">
        <v>1152</v>
      </c>
      <c r="Y2633" s="1" t="s">
        <v>1152</v>
      </c>
      <c r="Z2633" s="1"/>
      <c r="AA2633" s="1"/>
      <c r="AB2633" s="1"/>
      <c r="AC2633" s="1" t="s">
        <v>1925</v>
      </c>
      <c r="AD2633" s="1"/>
      <c r="AE2633" s="18">
        <v>46149.0</v>
      </c>
      <c r="AF2633" s="1"/>
      <c r="AG2633" s="1"/>
      <c r="AH2633" s="1" t="s">
        <v>1152</v>
      </c>
      <c r="AI2633" s="1" t="s">
        <v>1152</v>
      </c>
      <c r="AJ2633" s="1" t="s">
        <v>12274</v>
      </c>
      <c r="AK2633" s="1" t="s">
        <v>1152</v>
      </c>
      <c r="AL2633" s="6"/>
      <c r="AM2633" s="12">
        <v>8.325664791E9</v>
      </c>
    </row>
    <row r="2634">
      <c r="A2634" s="5" t="s">
        <v>12275</v>
      </c>
      <c r="B2634" s="1" t="s">
        <v>12276</v>
      </c>
      <c r="C2634" s="1" t="s">
        <v>5549</v>
      </c>
      <c r="D2634" s="2">
        <v>3.142241469E9</v>
      </c>
      <c r="E2634" s="1" t="s">
        <v>12277</v>
      </c>
      <c r="F2634" s="1"/>
      <c r="G2634" s="1" t="s">
        <v>1283</v>
      </c>
      <c r="H2634" s="1" t="s">
        <v>1155</v>
      </c>
      <c r="I2634" s="1">
        <v>63105.0</v>
      </c>
      <c r="J2634" s="1" t="s">
        <v>752</v>
      </c>
      <c r="K2634" s="1" t="s">
        <v>2131</v>
      </c>
      <c r="L2634" s="1" t="s">
        <v>5767</v>
      </c>
      <c r="M2634" s="1">
        <v>1.0</v>
      </c>
      <c r="N2634" s="1" t="s">
        <v>1152</v>
      </c>
      <c r="O2634" s="3" t="s">
        <v>5554</v>
      </c>
      <c r="P2634" s="1" t="s">
        <v>1152</v>
      </c>
      <c r="Q2634" s="1" t="s">
        <v>1152</v>
      </c>
      <c r="R2634" s="1"/>
      <c r="S2634" s="1"/>
      <c r="T2634" s="1" t="s">
        <v>1152</v>
      </c>
      <c r="U2634" s="1" t="s">
        <v>1324</v>
      </c>
      <c r="V2634" s="4" t="s">
        <v>5554</v>
      </c>
      <c r="W2634" s="1"/>
      <c r="X2634" s="1" t="s">
        <v>1152</v>
      </c>
      <c r="Y2634" s="1" t="s">
        <v>1152</v>
      </c>
      <c r="Z2634" s="1"/>
      <c r="AA2634" s="1"/>
      <c r="AB2634" s="1"/>
      <c r="AC2634" s="1" t="s">
        <v>1925</v>
      </c>
      <c r="AD2634" s="1"/>
      <c r="AE2634" s="18">
        <v>46147.0</v>
      </c>
      <c r="AF2634" s="1"/>
      <c r="AG2634" s="1"/>
      <c r="AH2634" s="1" t="s">
        <v>1152</v>
      </c>
      <c r="AI2634" s="1" t="s">
        <v>1152</v>
      </c>
      <c r="AJ2634" s="1" t="s">
        <v>12278</v>
      </c>
      <c r="AK2634" s="1" t="s">
        <v>1152</v>
      </c>
      <c r="AL2634" s="6"/>
      <c r="AM2634" s="12">
        <v>3.142241469E9</v>
      </c>
    </row>
    <row r="2635">
      <c r="A2635" s="5" t="s">
        <v>12279</v>
      </c>
      <c r="B2635" s="1" t="s">
        <v>12280</v>
      </c>
      <c r="C2635" s="1" t="s">
        <v>2684</v>
      </c>
      <c r="D2635" s="2">
        <v>9.179695491E9</v>
      </c>
      <c r="E2635" s="1" t="s">
        <v>2685</v>
      </c>
      <c r="F2635" s="1"/>
      <c r="G2635" s="1" t="s">
        <v>1382</v>
      </c>
      <c r="H2635" s="1" t="s">
        <v>751</v>
      </c>
      <c r="I2635" s="1">
        <v>10583.0</v>
      </c>
      <c r="J2635" s="1" t="s">
        <v>752</v>
      </c>
      <c r="K2635" s="1" t="s">
        <v>2131</v>
      </c>
      <c r="L2635" s="1" t="s">
        <v>5767</v>
      </c>
      <c r="M2635" s="1">
        <v>1.0</v>
      </c>
      <c r="N2635" s="1" t="s">
        <v>1152</v>
      </c>
      <c r="O2635" s="3" t="s">
        <v>2686</v>
      </c>
      <c r="P2635" s="1" t="s">
        <v>1152</v>
      </c>
      <c r="Q2635" s="1" t="s">
        <v>1152</v>
      </c>
      <c r="R2635" s="1"/>
      <c r="S2635" s="1"/>
      <c r="T2635" s="1" t="s">
        <v>1152</v>
      </c>
      <c r="U2635" s="1" t="s">
        <v>982</v>
      </c>
      <c r="V2635" s="4" t="s">
        <v>2686</v>
      </c>
      <c r="W2635" s="1"/>
      <c r="X2635" s="1" t="s">
        <v>1152</v>
      </c>
      <c r="Y2635" s="1" t="s">
        <v>1152</v>
      </c>
      <c r="Z2635" s="1"/>
      <c r="AA2635" s="1"/>
      <c r="AB2635" s="1"/>
      <c r="AC2635" s="1" t="s">
        <v>1925</v>
      </c>
      <c r="AD2635" s="1"/>
      <c r="AE2635" s="18">
        <v>46147.0</v>
      </c>
      <c r="AF2635" s="1"/>
      <c r="AG2635" s="1"/>
      <c r="AH2635" s="1" t="s">
        <v>1152</v>
      </c>
      <c r="AI2635" s="1" t="s">
        <v>1152</v>
      </c>
      <c r="AJ2635" s="1" t="s">
        <v>12281</v>
      </c>
      <c r="AK2635" s="1" t="s">
        <v>1152</v>
      </c>
      <c r="AL2635" s="6"/>
      <c r="AM2635" s="12">
        <v>9.143745803E9</v>
      </c>
    </row>
    <row r="2636">
      <c r="A2636" s="5" t="s">
        <v>12282</v>
      </c>
      <c r="B2636" s="1" t="s">
        <v>12283</v>
      </c>
      <c r="C2636" s="1" t="s">
        <v>6149</v>
      </c>
      <c r="D2636" s="2">
        <v>7.086393381E9</v>
      </c>
      <c r="E2636" s="1" t="s">
        <v>6150</v>
      </c>
      <c r="F2636" s="1"/>
      <c r="G2636" s="1" t="s">
        <v>12284</v>
      </c>
      <c r="H2636" s="1" t="s">
        <v>1019</v>
      </c>
      <c r="I2636" s="1">
        <v>60305.0</v>
      </c>
      <c r="J2636" s="1" t="s">
        <v>752</v>
      </c>
      <c r="K2636" s="1" t="s">
        <v>42</v>
      </c>
      <c r="L2636" s="1" t="s">
        <v>6819</v>
      </c>
      <c r="M2636" s="1">
        <v>49.0</v>
      </c>
      <c r="N2636" s="1" t="s">
        <v>1152</v>
      </c>
      <c r="O2636" s="3" t="s">
        <v>6152</v>
      </c>
      <c r="P2636" s="1" t="s">
        <v>1152</v>
      </c>
      <c r="Q2636" s="1" t="s">
        <v>1152</v>
      </c>
      <c r="R2636" s="1"/>
      <c r="S2636" s="1"/>
      <c r="T2636" s="1" t="s">
        <v>1152</v>
      </c>
      <c r="U2636" s="1" t="s">
        <v>1080</v>
      </c>
      <c r="V2636" s="4" t="s">
        <v>6152</v>
      </c>
      <c r="W2636" s="1"/>
      <c r="X2636" s="1" t="s">
        <v>1152</v>
      </c>
      <c r="Y2636" s="1" t="s">
        <v>1152</v>
      </c>
      <c r="Z2636" s="1"/>
      <c r="AA2636" s="1"/>
      <c r="AB2636" s="1"/>
      <c r="AC2636" s="1" t="s">
        <v>1925</v>
      </c>
      <c r="AD2636" s="1"/>
      <c r="AE2636" s="18">
        <v>46160.0</v>
      </c>
      <c r="AF2636" s="1" t="s">
        <v>1030</v>
      </c>
      <c r="AG2636" s="1" t="s">
        <v>52</v>
      </c>
      <c r="AH2636" s="1" t="s">
        <v>1152</v>
      </c>
      <c r="AI2636" s="1" t="s">
        <v>1152</v>
      </c>
      <c r="AJ2636" s="1" t="s">
        <v>6150</v>
      </c>
      <c r="AK2636" s="1" t="s">
        <v>1152</v>
      </c>
      <c r="AL2636" s="6"/>
      <c r="AM2636" s="12" t="s">
        <v>12285</v>
      </c>
    </row>
    <row r="2637">
      <c r="A2637" s="5" t="s">
        <v>12286</v>
      </c>
      <c r="B2637" s="1" t="s">
        <v>12287</v>
      </c>
      <c r="C2637" s="1" t="s">
        <v>4374</v>
      </c>
      <c r="D2637" s="2">
        <v>5.056772421E9</v>
      </c>
      <c r="E2637" s="1" t="s">
        <v>4375</v>
      </c>
      <c r="F2637" s="1"/>
      <c r="G2637" s="1" t="s">
        <v>4376</v>
      </c>
      <c r="H2637" s="1" t="s">
        <v>1028</v>
      </c>
      <c r="I2637" s="1">
        <v>87122.0</v>
      </c>
      <c r="J2637" s="1" t="s">
        <v>752</v>
      </c>
      <c r="K2637" s="1" t="s">
        <v>2131</v>
      </c>
      <c r="L2637" s="1" t="s">
        <v>5767</v>
      </c>
      <c r="M2637" s="1">
        <v>1.0</v>
      </c>
      <c r="N2637" s="1" t="s">
        <v>1152</v>
      </c>
      <c r="O2637" s="3" t="s">
        <v>1881</v>
      </c>
      <c r="P2637" s="1" t="s">
        <v>1152</v>
      </c>
      <c r="Q2637" s="1" t="s">
        <v>1152</v>
      </c>
      <c r="R2637" s="1"/>
      <c r="S2637" s="1"/>
      <c r="T2637" s="1" t="s">
        <v>1152</v>
      </c>
      <c r="U2637" s="1" t="s">
        <v>1376</v>
      </c>
      <c r="V2637" s="4" t="s">
        <v>1881</v>
      </c>
      <c r="W2637" s="1"/>
      <c r="X2637" s="1" t="s">
        <v>1152</v>
      </c>
      <c r="Y2637" s="1" t="s">
        <v>1152</v>
      </c>
      <c r="Z2637" s="1"/>
      <c r="AA2637" s="1"/>
      <c r="AB2637" s="1"/>
      <c r="AC2637" s="1" t="s">
        <v>1925</v>
      </c>
      <c r="AD2637" s="1"/>
      <c r="AE2637" s="18">
        <v>46147.0</v>
      </c>
      <c r="AF2637" s="1"/>
      <c r="AG2637" s="1"/>
      <c r="AH2637" s="1" t="s">
        <v>1152</v>
      </c>
      <c r="AI2637" s="1" t="s">
        <v>1152</v>
      </c>
      <c r="AJ2637" s="1" t="s">
        <v>3617</v>
      </c>
      <c r="AK2637" s="1" t="s">
        <v>1152</v>
      </c>
      <c r="AL2637" s="6"/>
      <c r="AM2637" s="12">
        <v>5.056772421E9</v>
      </c>
    </row>
    <row r="2638">
      <c r="A2638" s="5" t="s">
        <v>12288</v>
      </c>
      <c r="B2638" s="1" t="s">
        <v>12289</v>
      </c>
      <c r="C2638" s="1" t="s">
        <v>12290</v>
      </c>
      <c r="D2638" s="2">
        <v>9.17689362E9</v>
      </c>
      <c r="E2638" s="1" t="s">
        <v>12291</v>
      </c>
      <c r="F2638" s="1"/>
      <c r="G2638" s="1" t="s">
        <v>1660</v>
      </c>
      <c r="H2638" s="1" t="s">
        <v>751</v>
      </c>
      <c r="I2638" s="1" t="s">
        <v>12292</v>
      </c>
      <c r="J2638" s="1" t="s">
        <v>752</v>
      </c>
      <c r="K2638" s="1" t="s">
        <v>2131</v>
      </c>
      <c r="L2638" s="1" t="s">
        <v>5767</v>
      </c>
      <c r="M2638" s="1">
        <v>1.0</v>
      </c>
      <c r="N2638" s="1" t="s">
        <v>1152</v>
      </c>
      <c r="O2638" s="3" t="s">
        <v>4305</v>
      </c>
      <c r="P2638" s="1" t="s">
        <v>1152</v>
      </c>
      <c r="Q2638" s="1" t="s">
        <v>1152</v>
      </c>
      <c r="R2638" s="1"/>
      <c r="S2638" s="1"/>
      <c r="T2638" s="1" t="s">
        <v>1152</v>
      </c>
      <c r="U2638" s="1" t="s">
        <v>956</v>
      </c>
      <c r="V2638" s="4" t="s">
        <v>4305</v>
      </c>
      <c r="W2638" s="1"/>
      <c r="X2638" s="1" t="s">
        <v>1152</v>
      </c>
      <c r="Y2638" s="1" t="s">
        <v>1152</v>
      </c>
      <c r="Z2638" s="1"/>
      <c r="AA2638" s="1"/>
      <c r="AB2638" s="1"/>
      <c r="AC2638" s="1" t="s">
        <v>1925</v>
      </c>
      <c r="AD2638" s="1"/>
      <c r="AE2638" s="18">
        <v>46144.0</v>
      </c>
      <c r="AF2638" s="1"/>
      <c r="AG2638" s="1"/>
      <c r="AH2638" s="1" t="s">
        <v>1152</v>
      </c>
      <c r="AI2638" s="1" t="s">
        <v>1152</v>
      </c>
      <c r="AJ2638" s="1" t="s">
        <v>12291</v>
      </c>
      <c r="AK2638" s="1" t="s">
        <v>1152</v>
      </c>
      <c r="AL2638" s="6"/>
      <c r="AM2638" s="12">
        <v>9.17689362E9</v>
      </c>
    </row>
    <row r="2639">
      <c r="A2639" s="5" t="s">
        <v>12293</v>
      </c>
      <c r="B2639" s="1" t="s">
        <v>12294</v>
      </c>
      <c r="C2639" s="1" t="s">
        <v>4249</v>
      </c>
      <c r="D2639" s="2">
        <v>1.4109633683E10</v>
      </c>
      <c r="E2639" s="1" t="s">
        <v>4250</v>
      </c>
      <c r="F2639" s="1"/>
      <c r="G2639" s="1" t="s">
        <v>4251</v>
      </c>
      <c r="H2639" s="1" t="s">
        <v>1005</v>
      </c>
      <c r="I2639" s="1" t="s">
        <v>4261</v>
      </c>
      <c r="J2639" s="1" t="s">
        <v>752</v>
      </c>
      <c r="K2639" s="1" t="s">
        <v>2131</v>
      </c>
      <c r="L2639" s="1" t="s">
        <v>5811</v>
      </c>
      <c r="M2639" s="1">
        <v>1.0</v>
      </c>
      <c r="N2639" s="1" t="s">
        <v>1152</v>
      </c>
      <c r="O2639" s="3" t="s">
        <v>10842</v>
      </c>
      <c r="P2639" s="1" t="s">
        <v>1152</v>
      </c>
      <c r="Q2639" s="1" t="s">
        <v>1152</v>
      </c>
      <c r="R2639" s="1"/>
      <c r="S2639" s="1"/>
      <c r="T2639" s="1" t="s">
        <v>1152</v>
      </c>
      <c r="U2639" s="1" t="s">
        <v>1148</v>
      </c>
      <c r="V2639" s="4" t="s">
        <v>10842</v>
      </c>
      <c r="W2639" s="1"/>
      <c r="X2639" s="1" t="s">
        <v>1152</v>
      </c>
      <c r="Y2639" s="1" t="s">
        <v>1152</v>
      </c>
      <c r="Z2639" s="1"/>
      <c r="AA2639" s="1"/>
      <c r="AB2639" s="1"/>
      <c r="AC2639" s="1" t="s">
        <v>1925</v>
      </c>
      <c r="AD2639" s="1"/>
      <c r="AE2639" s="18">
        <v>46149.0</v>
      </c>
      <c r="AF2639" s="1"/>
      <c r="AG2639" s="1"/>
      <c r="AH2639" s="1" t="s">
        <v>1152</v>
      </c>
      <c r="AI2639" s="1" t="s">
        <v>1152</v>
      </c>
      <c r="AJ2639" s="1" t="s">
        <v>10843</v>
      </c>
      <c r="AK2639" s="1" t="s">
        <v>1152</v>
      </c>
      <c r="AL2639" s="6"/>
      <c r="AM2639" s="12">
        <v>4.439898256E9</v>
      </c>
    </row>
    <row r="2640">
      <c r="A2640" s="5" t="s">
        <v>12295</v>
      </c>
      <c r="B2640" s="19" t="s">
        <v>12296</v>
      </c>
      <c r="C2640" s="1" t="s">
        <v>12297</v>
      </c>
      <c r="D2640" s="2" t="s">
        <v>12298</v>
      </c>
      <c r="E2640" s="37" t="s">
        <v>3800</v>
      </c>
      <c r="F2640" s="1"/>
      <c r="G2640" s="1" t="s">
        <v>1697</v>
      </c>
      <c r="H2640" s="1" t="s">
        <v>751</v>
      </c>
      <c r="I2640" s="1">
        <v>11021.0</v>
      </c>
      <c r="J2640" s="1" t="s">
        <v>752</v>
      </c>
      <c r="K2640" s="1" t="s">
        <v>2131</v>
      </c>
      <c r="L2640" s="1" t="s">
        <v>5767</v>
      </c>
      <c r="M2640" s="1">
        <v>1.0</v>
      </c>
      <c r="N2640" s="1"/>
      <c r="O2640" s="3" t="s">
        <v>12299</v>
      </c>
      <c r="P2640" s="1"/>
      <c r="Q2640" s="1"/>
      <c r="R2640" s="1"/>
      <c r="S2640" s="1"/>
      <c r="T2640" s="1"/>
      <c r="U2640" s="1" t="s">
        <v>299</v>
      </c>
      <c r="V2640" s="4" t="s">
        <v>12299</v>
      </c>
      <c r="W2640" s="1"/>
      <c r="X2640" s="1"/>
      <c r="Y2640" s="1"/>
      <c r="Z2640" s="1"/>
      <c r="AA2640" s="1"/>
      <c r="AB2640" s="1"/>
      <c r="AC2640" s="1"/>
      <c r="AD2640" s="1"/>
      <c r="AE2640" s="18">
        <v>46148.0</v>
      </c>
      <c r="AF2640" s="1"/>
      <c r="AG2640" s="1"/>
      <c r="AH2640" s="1"/>
      <c r="AI2640" s="1"/>
      <c r="AJ2640" s="1" t="s">
        <v>12300</v>
      </c>
      <c r="AK2640" s="1"/>
      <c r="AL2640" s="6"/>
      <c r="AM2640" s="12" t="s">
        <v>12301</v>
      </c>
    </row>
    <row r="2641">
      <c r="A2641" s="5" t="s">
        <v>12302</v>
      </c>
      <c r="B2641" s="1" t="s">
        <v>12303</v>
      </c>
      <c r="C2641" s="1" t="s">
        <v>12304</v>
      </c>
      <c r="D2641" s="2">
        <v>8.162069664E9</v>
      </c>
      <c r="E2641" s="1" t="s">
        <v>7715</v>
      </c>
      <c r="F2641" s="1"/>
      <c r="G2641" s="1" t="s">
        <v>12305</v>
      </c>
      <c r="H2641" s="1" t="s">
        <v>1155</v>
      </c>
      <c r="I2641" s="1">
        <v>64064.0</v>
      </c>
      <c r="J2641" s="1" t="s">
        <v>752</v>
      </c>
      <c r="K2641" s="1" t="s">
        <v>2131</v>
      </c>
      <c r="L2641" s="1" t="s">
        <v>5736</v>
      </c>
      <c r="M2641" s="1">
        <v>1.0</v>
      </c>
      <c r="N2641" s="1" t="s">
        <v>1152</v>
      </c>
      <c r="O2641" s="3" t="s">
        <v>7716</v>
      </c>
      <c r="P2641" s="1" t="s">
        <v>1152</v>
      </c>
      <c r="Q2641" s="1" t="s">
        <v>1152</v>
      </c>
      <c r="R2641" s="1"/>
      <c r="S2641" s="1"/>
      <c r="T2641" s="1" t="s">
        <v>1152</v>
      </c>
      <c r="U2641" s="1" t="s">
        <v>1167</v>
      </c>
      <c r="V2641" s="4" t="s">
        <v>7716</v>
      </c>
      <c r="W2641" s="1"/>
      <c r="X2641" s="1" t="s">
        <v>1152</v>
      </c>
      <c r="Y2641" s="1" t="s">
        <v>1152</v>
      </c>
      <c r="Z2641" s="1"/>
      <c r="AA2641" s="1"/>
      <c r="AB2641" s="1"/>
      <c r="AC2641" s="1" t="s">
        <v>1925</v>
      </c>
      <c r="AD2641" s="1"/>
      <c r="AE2641" s="18">
        <v>46144.0</v>
      </c>
      <c r="AF2641" s="1"/>
      <c r="AG2641" s="1"/>
      <c r="AH2641" s="1" t="s">
        <v>1152</v>
      </c>
      <c r="AI2641" s="1" t="s">
        <v>1152</v>
      </c>
      <c r="AJ2641" s="1" t="s">
        <v>7715</v>
      </c>
      <c r="AK2641" s="1" t="s">
        <v>1152</v>
      </c>
      <c r="AL2641" s="6"/>
      <c r="AM2641" s="12">
        <v>8.162069664E9</v>
      </c>
    </row>
    <row r="2642">
      <c r="A2642" s="5" t="s">
        <v>12306</v>
      </c>
      <c r="B2642" s="1" t="s">
        <v>12307</v>
      </c>
      <c r="C2642" s="1" t="s">
        <v>12308</v>
      </c>
      <c r="D2642" s="2">
        <v>7.706167204E9</v>
      </c>
      <c r="E2642" s="1" t="s">
        <v>6606</v>
      </c>
      <c r="F2642" s="1"/>
      <c r="G2642" s="1" t="s">
        <v>3842</v>
      </c>
      <c r="H2642" s="1" t="s">
        <v>946</v>
      </c>
      <c r="I2642" s="1">
        <v>30328.0</v>
      </c>
      <c r="J2642" s="1" t="s">
        <v>752</v>
      </c>
      <c r="K2642" s="1" t="s">
        <v>42</v>
      </c>
      <c r="L2642" s="1" t="s">
        <v>6819</v>
      </c>
      <c r="M2642" s="1">
        <v>49.0</v>
      </c>
      <c r="N2642" s="1" t="s">
        <v>1152</v>
      </c>
      <c r="O2642" s="3" t="s">
        <v>4087</v>
      </c>
      <c r="P2642" s="1" t="s">
        <v>1152</v>
      </c>
      <c r="Q2642" s="1" t="s">
        <v>1152</v>
      </c>
      <c r="R2642" s="1"/>
      <c r="S2642" s="1"/>
      <c r="T2642" s="1" t="s">
        <v>1152</v>
      </c>
      <c r="U2642" s="1" t="s">
        <v>1407</v>
      </c>
      <c r="V2642" s="4" t="s">
        <v>4087</v>
      </c>
      <c r="W2642" s="1"/>
      <c r="X2642" s="1" t="s">
        <v>1152</v>
      </c>
      <c r="Y2642" s="1" t="s">
        <v>1152</v>
      </c>
      <c r="Z2642" s="1"/>
      <c r="AA2642" s="1"/>
      <c r="AB2642" s="1"/>
      <c r="AC2642" s="1" t="s">
        <v>1925</v>
      </c>
      <c r="AD2642" s="1"/>
      <c r="AE2642" s="18">
        <v>46149.0</v>
      </c>
      <c r="AF2642" s="1" t="s">
        <v>1630</v>
      </c>
      <c r="AG2642" s="1" t="s">
        <v>52</v>
      </c>
      <c r="AH2642" s="1" t="s">
        <v>1152</v>
      </c>
      <c r="AI2642" s="1" t="s">
        <v>1152</v>
      </c>
      <c r="AJ2642" s="1" t="s">
        <v>6606</v>
      </c>
      <c r="AK2642" s="1" t="s">
        <v>1152</v>
      </c>
      <c r="AL2642" s="6"/>
      <c r="AM2642" s="12">
        <v>7.706167204E9</v>
      </c>
    </row>
    <row r="2643">
      <c r="A2643" s="5" t="s">
        <v>12309</v>
      </c>
      <c r="B2643" s="1" t="s">
        <v>12310</v>
      </c>
      <c r="C2643" s="1" t="s">
        <v>12311</v>
      </c>
      <c r="D2643" s="2">
        <v>9.293752454E9</v>
      </c>
      <c r="E2643" s="1" t="s">
        <v>12312</v>
      </c>
      <c r="F2643" s="1"/>
      <c r="G2643" s="1" t="s">
        <v>751</v>
      </c>
      <c r="H2643" s="1" t="s">
        <v>751</v>
      </c>
      <c r="I2643" s="1">
        <v>10025.0</v>
      </c>
      <c r="J2643" s="1" t="s">
        <v>752</v>
      </c>
      <c r="K2643" s="1" t="s">
        <v>42</v>
      </c>
      <c r="L2643" s="1" t="s">
        <v>6819</v>
      </c>
      <c r="M2643" s="1">
        <v>49.0</v>
      </c>
      <c r="N2643" s="1" t="s">
        <v>1152</v>
      </c>
      <c r="O2643" s="3" t="s">
        <v>12313</v>
      </c>
      <c r="P2643" s="1" t="s">
        <v>1152</v>
      </c>
      <c r="Q2643" s="1" t="s">
        <v>1152</v>
      </c>
      <c r="R2643" s="1"/>
      <c r="S2643" s="1"/>
      <c r="T2643" s="1" t="s">
        <v>1152</v>
      </c>
      <c r="U2643" s="1" t="s">
        <v>1812</v>
      </c>
      <c r="V2643" s="4" t="s">
        <v>12313</v>
      </c>
      <c r="W2643" s="1"/>
      <c r="X2643" s="1" t="s">
        <v>1152</v>
      </c>
      <c r="Y2643" s="1" t="s">
        <v>1152</v>
      </c>
      <c r="Z2643" s="1"/>
      <c r="AA2643" s="1"/>
      <c r="AB2643" s="1"/>
      <c r="AC2643" s="1" t="s">
        <v>1925</v>
      </c>
      <c r="AD2643" s="1"/>
      <c r="AE2643" s="18">
        <v>46150.0</v>
      </c>
      <c r="AF2643" s="1" t="s">
        <v>1030</v>
      </c>
      <c r="AG2643" s="1" t="s">
        <v>52</v>
      </c>
      <c r="AH2643" s="1" t="s">
        <v>1152</v>
      </c>
      <c r="AI2643" s="1" t="s">
        <v>1152</v>
      </c>
      <c r="AJ2643" s="1" t="s">
        <v>12312</v>
      </c>
      <c r="AK2643" s="1" t="s">
        <v>1152</v>
      </c>
      <c r="AL2643" s="6"/>
      <c r="AM2643" s="12">
        <v>9.293752454E9</v>
      </c>
    </row>
    <row r="2644">
      <c r="A2644" s="5" t="s">
        <v>12314</v>
      </c>
      <c r="B2644" s="1" t="s">
        <v>12315</v>
      </c>
      <c r="C2644" s="1" t="s">
        <v>12316</v>
      </c>
      <c r="D2644" s="2">
        <v>8.086357064E9</v>
      </c>
      <c r="E2644" s="1" t="s">
        <v>12317</v>
      </c>
      <c r="F2644" s="1" t="s">
        <v>12318</v>
      </c>
      <c r="G2644" s="1" t="s">
        <v>12319</v>
      </c>
      <c r="H2644" s="1" t="s">
        <v>2486</v>
      </c>
      <c r="I2644" s="1">
        <v>96741.0</v>
      </c>
      <c r="J2644" s="1" t="s">
        <v>752</v>
      </c>
      <c r="K2644" s="1" t="s">
        <v>42</v>
      </c>
      <c r="L2644" s="1" t="s">
        <v>6819</v>
      </c>
      <c r="M2644" s="1">
        <v>49.0</v>
      </c>
      <c r="N2644" s="1" t="s">
        <v>1152</v>
      </c>
      <c r="O2644" s="3"/>
      <c r="P2644" s="1" t="s">
        <v>1152</v>
      </c>
      <c r="Q2644" s="1" t="s">
        <v>1152</v>
      </c>
      <c r="R2644" s="1" t="s">
        <v>12318</v>
      </c>
      <c r="S2644" s="1"/>
      <c r="T2644" s="1" t="s">
        <v>1152</v>
      </c>
      <c r="U2644" s="1"/>
      <c r="V2644" s="4"/>
      <c r="W2644" s="1" t="s">
        <v>12318</v>
      </c>
      <c r="X2644" s="1" t="s">
        <v>1152</v>
      </c>
      <c r="Y2644" s="1" t="s">
        <v>1152</v>
      </c>
      <c r="Z2644" s="1"/>
      <c r="AA2644" s="1" t="s">
        <v>12318</v>
      </c>
      <c r="AB2644" s="1"/>
      <c r="AC2644" s="1" t="s">
        <v>1925</v>
      </c>
      <c r="AD2644" s="1"/>
      <c r="AE2644" s="18">
        <v>46153.0</v>
      </c>
      <c r="AF2644" s="1" t="s">
        <v>1349</v>
      </c>
      <c r="AG2644" s="1" t="s">
        <v>124</v>
      </c>
      <c r="AH2644" s="1" t="s">
        <v>1152</v>
      </c>
      <c r="AI2644" s="1" t="s">
        <v>1152</v>
      </c>
      <c r="AJ2644" s="1" t="s">
        <v>12320</v>
      </c>
      <c r="AK2644" s="1" t="s">
        <v>1152</v>
      </c>
      <c r="AL2644" s="6"/>
      <c r="AM2644" s="12">
        <v>8.086356015E9</v>
      </c>
    </row>
    <row r="2645">
      <c r="A2645" s="5" t="s">
        <v>12321</v>
      </c>
      <c r="B2645" s="1" t="s">
        <v>12322</v>
      </c>
      <c r="C2645" s="1" t="s">
        <v>3681</v>
      </c>
      <c r="D2645" s="2">
        <v>8.476918994E9</v>
      </c>
      <c r="E2645" s="1" t="s">
        <v>6454</v>
      </c>
      <c r="F2645" s="1"/>
      <c r="G2645" s="1" t="s">
        <v>3683</v>
      </c>
      <c r="H2645" s="1" t="s">
        <v>1019</v>
      </c>
      <c r="I2645" s="1">
        <v>60047.0</v>
      </c>
      <c r="J2645" s="1" t="s">
        <v>752</v>
      </c>
      <c r="K2645" s="1" t="s">
        <v>2131</v>
      </c>
      <c r="L2645" s="1" t="s">
        <v>5767</v>
      </c>
      <c r="M2645" s="1">
        <v>1.0</v>
      </c>
      <c r="N2645" s="1" t="s">
        <v>1152</v>
      </c>
      <c r="O2645" s="3" t="s">
        <v>3684</v>
      </c>
      <c r="P2645" s="1" t="s">
        <v>1152</v>
      </c>
      <c r="Q2645" s="1" t="s">
        <v>1152</v>
      </c>
      <c r="R2645" s="1"/>
      <c r="S2645" s="1"/>
      <c r="T2645" s="1" t="s">
        <v>1152</v>
      </c>
      <c r="U2645" s="1" t="s">
        <v>1249</v>
      </c>
      <c r="V2645" s="4" t="s">
        <v>3684</v>
      </c>
      <c r="W2645" s="1"/>
      <c r="X2645" s="1" t="s">
        <v>1152</v>
      </c>
      <c r="Y2645" s="1" t="s">
        <v>1152</v>
      </c>
      <c r="Z2645" s="1"/>
      <c r="AA2645" s="1"/>
      <c r="AB2645" s="1"/>
      <c r="AC2645" s="1" t="s">
        <v>1925</v>
      </c>
      <c r="AD2645" s="1"/>
      <c r="AE2645" s="18">
        <v>46147.0</v>
      </c>
      <c r="AF2645" s="1"/>
      <c r="AG2645" s="1"/>
      <c r="AH2645" s="1" t="s">
        <v>1152</v>
      </c>
      <c r="AI2645" s="1" t="s">
        <v>1152</v>
      </c>
      <c r="AJ2645" s="1" t="s">
        <v>6455</v>
      </c>
      <c r="AK2645" s="1" t="s">
        <v>1152</v>
      </c>
      <c r="AL2645" s="6"/>
      <c r="AM2645" s="12">
        <v>8.475021113E9</v>
      </c>
    </row>
    <row r="2646">
      <c r="A2646" s="5" t="s">
        <v>12323</v>
      </c>
      <c r="B2646" s="1" t="s">
        <v>12324</v>
      </c>
      <c r="C2646" s="1" t="s">
        <v>12325</v>
      </c>
      <c r="D2646" s="2">
        <v>2.407034219E9</v>
      </c>
      <c r="E2646" s="1" t="s">
        <v>12326</v>
      </c>
      <c r="F2646" s="1"/>
      <c r="G2646" s="1" t="s">
        <v>1299</v>
      </c>
      <c r="H2646" s="1" t="s">
        <v>1005</v>
      </c>
      <c r="I2646" s="1">
        <v>20814.0</v>
      </c>
      <c r="J2646" s="1" t="s">
        <v>752</v>
      </c>
      <c r="K2646" s="1" t="s">
        <v>42</v>
      </c>
      <c r="L2646" s="1" t="s">
        <v>6819</v>
      </c>
      <c r="M2646" s="1">
        <v>49.0</v>
      </c>
      <c r="N2646" s="1" t="s">
        <v>1152</v>
      </c>
      <c r="O2646" s="3" t="s">
        <v>2020</v>
      </c>
      <c r="P2646" s="1" t="s">
        <v>1152</v>
      </c>
      <c r="Q2646" s="1" t="s">
        <v>1152</v>
      </c>
      <c r="R2646" s="1"/>
      <c r="S2646" s="1"/>
      <c r="T2646" s="1" t="s">
        <v>1152</v>
      </c>
      <c r="U2646" s="1" t="s">
        <v>1133</v>
      </c>
      <c r="V2646" s="4" t="s">
        <v>2020</v>
      </c>
      <c r="W2646" s="1"/>
      <c r="X2646" s="1" t="s">
        <v>1152</v>
      </c>
      <c r="Y2646" s="1" t="s">
        <v>1152</v>
      </c>
      <c r="Z2646" s="1"/>
      <c r="AA2646" s="1"/>
      <c r="AB2646" s="1"/>
      <c r="AC2646" s="1" t="s">
        <v>1925</v>
      </c>
      <c r="AD2646" s="1"/>
      <c r="AE2646" s="18">
        <v>46146.0</v>
      </c>
      <c r="AF2646" s="1" t="s">
        <v>1030</v>
      </c>
      <c r="AG2646" s="1" t="s">
        <v>52</v>
      </c>
      <c r="AH2646" s="1" t="s">
        <v>1152</v>
      </c>
      <c r="AI2646" s="1" t="s">
        <v>1152</v>
      </c>
      <c r="AJ2646" s="1" t="s">
        <v>12326</v>
      </c>
      <c r="AK2646" s="1" t="s">
        <v>1152</v>
      </c>
      <c r="AL2646" s="6"/>
      <c r="AM2646" s="12" t="s">
        <v>12327</v>
      </c>
    </row>
    <row r="2647">
      <c r="A2647" s="5" t="s">
        <v>12328</v>
      </c>
      <c r="B2647" s="1" t="s">
        <v>12329</v>
      </c>
      <c r="C2647" s="1" t="s">
        <v>1651</v>
      </c>
      <c r="D2647" s="2">
        <v>5.089444417E9</v>
      </c>
      <c r="E2647" s="1" t="s">
        <v>1652</v>
      </c>
      <c r="F2647" s="1"/>
      <c r="G2647" s="1" t="s">
        <v>1653</v>
      </c>
      <c r="H2647" s="1" t="s">
        <v>1121</v>
      </c>
      <c r="I2647" s="1">
        <v>2081.0</v>
      </c>
      <c r="J2647" s="1" t="s">
        <v>752</v>
      </c>
      <c r="K2647" s="1" t="s">
        <v>2131</v>
      </c>
      <c r="L2647" s="1" t="s">
        <v>5767</v>
      </c>
      <c r="M2647" s="1">
        <v>1.0</v>
      </c>
      <c r="N2647" s="1" t="s">
        <v>1152</v>
      </c>
      <c r="O2647" s="3" t="s">
        <v>1654</v>
      </c>
      <c r="P2647" s="1" t="s">
        <v>1152</v>
      </c>
      <c r="Q2647" s="1" t="s">
        <v>1152</v>
      </c>
      <c r="R2647" s="1"/>
      <c r="S2647" s="1"/>
      <c r="T2647" s="1" t="s">
        <v>1152</v>
      </c>
      <c r="U2647" s="1" t="s">
        <v>1133</v>
      </c>
      <c r="V2647" s="4" t="s">
        <v>1654</v>
      </c>
      <c r="W2647" s="1"/>
      <c r="X2647" s="1" t="s">
        <v>1152</v>
      </c>
      <c r="Y2647" s="1" t="s">
        <v>1152</v>
      </c>
      <c r="Z2647" s="1"/>
      <c r="AA2647" s="1"/>
      <c r="AB2647" s="1"/>
      <c r="AC2647" s="1" t="s">
        <v>1925</v>
      </c>
      <c r="AD2647" s="1"/>
      <c r="AE2647" s="18">
        <v>46146.0</v>
      </c>
      <c r="AF2647" s="1"/>
      <c r="AG2647" s="1"/>
      <c r="AH2647" s="1" t="s">
        <v>1152</v>
      </c>
      <c r="AI2647" s="1" t="s">
        <v>1152</v>
      </c>
      <c r="AJ2647" s="1" t="s">
        <v>1652</v>
      </c>
      <c r="AK2647" s="1" t="s">
        <v>1152</v>
      </c>
      <c r="AL2647" s="6"/>
      <c r="AM2647" s="12">
        <v>7.743620993E9</v>
      </c>
    </row>
    <row r="2648">
      <c r="A2648" s="5" t="s">
        <v>12330</v>
      </c>
      <c r="B2648" s="1" t="s">
        <v>12331</v>
      </c>
      <c r="C2648" s="1" t="s">
        <v>11363</v>
      </c>
      <c r="D2648" s="2">
        <v>6.692089376E9</v>
      </c>
      <c r="E2648" s="1" t="s">
        <v>2828</v>
      </c>
      <c r="F2648" s="1"/>
      <c r="G2648" s="1" t="s">
        <v>2417</v>
      </c>
      <c r="H2648" s="1" t="s">
        <v>989</v>
      </c>
      <c r="I2648" s="1">
        <v>92130.0</v>
      </c>
      <c r="J2648" s="1" t="s">
        <v>752</v>
      </c>
      <c r="K2648" s="1" t="s">
        <v>2131</v>
      </c>
      <c r="L2648" s="1" t="s">
        <v>5736</v>
      </c>
      <c r="M2648" s="1">
        <v>1.0</v>
      </c>
      <c r="N2648" s="1" t="s">
        <v>1152</v>
      </c>
      <c r="O2648" s="3" t="s">
        <v>2830</v>
      </c>
      <c r="P2648" s="1" t="s">
        <v>1152</v>
      </c>
      <c r="Q2648" s="1" t="s">
        <v>1152</v>
      </c>
      <c r="R2648" s="1"/>
      <c r="S2648" s="1"/>
      <c r="T2648" s="1" t="s">
        <v>1152</v>
      </c>
      <c r="U2648" s="1" t="s">
        <v>1148</v>
      </c>
      <c r="V2648" s="4" t="s">
        <v>2830</v>
      </c>
      <c r="W2648" s="1"/>
      <c r="X2648" s="1" t="s">
        <v>1152</v>
      </c>
      <c r="Y2648" s="1" t="s">
        <v>1152</v>
      </c>
      <c r="Z2648" s="1"/>
      <c r="AA2648" s="1"/>
      <c r="AB2648" s="1"/>
      <c r="AC2648" s="1" t="s">
        <v>1925</v>
      </c>
      <c r="AD2648" s="1"/>
      <c r="AE2648" s="18">
        <v>46148.0</v>
      </c>
      <c r="AF2648" s="1"/>
      <c r="AG2648" s="1"/>
      <c r="AH2648" s="1" t="s">
        <v>1152</v>
      </c>
      <c r="AI2648" s="1" t="s">
        <v>1152</v>
      </c>
      <c r="AJ2648" s="1" t="s">
        <v>2828</v>
      </c>
      <c r="AK2648" s="1" t="s">
        <v>1152</v>
      </c>
      <c r="AL2648" s="6"/>
      <c r="AM2648" s="12">
        <v>6.692089376E9</v>
      </c>
    </row>
    <row r="2649">
      <c r="A2649" s="5" t="s">
        <v>12332</v>
      </c>
      <c r="B2649" s="1" t="s">
        <v>12333</v>
      </c>
      <c r="C2649" s="1" t="s">
        <v>12334</v>
      </c>
      <c r="D2649" s="2">
        <v>6.287778763E9</v>
      </c>
      <c r="E2649" s="1" t="s">
        <v>12335</v>
      </c>
      <c r="F2649" s="1"/>
      <c r="G2649" s="1" t="s">
        <v>1562</v>
      </c>
      <c r="H2649" s="1" t="s">
        <v>989</v>
      </c>
      <c r="I2649" s="1">
        <v>94116.0</v>
      </c>
      <c r="J2649" s="1" t="s">
        <v>752</v>
      </c>
      <c r="K2649" s="1" t="s">
        <v>42</v>
      </c>
      <c r="L2649" s="1" t="s">
        <v>6819</v>
      </c>
      <c r="M2649" s="1">
        <v>49.0</v>
      </c>
      <c r="N2649" s="1" t="s">
        <v>1152</v>
      </c>
      <c r="O2649" s="3" t="s">
        <v>8592</v>
      </c>
      <c r="P2649" s="1" t="s">
        <v>1152</v>
      </c>
      <c r="Q2649" s="1" t="s">
        <v>1152</v>
      </c>
      <c r="R2649" s="1"/>
      <c r="S2649" s="1"/>
      <c r="T2649" s="1" t="s">
        <v>1152</v>
      </c>
      <c r="U2649" s="1" t="s">
        <v>7909</v>
      </c>
      <c r="V2649" s="4" t="s">
        <v>8592</v>
      </c>
      <c r="W2649" s="1"/>
      <c r="X2649" s="1" t="s">
        <v>1152</v>
      </c>
      <c r="Y2649" s="1" t="s">
        <v>1152</v>
      </c>
      <c r="Z2649" s="1"/>
      <c r="AA2649" s="1"/>
      <c r="AB2649" s="1"/>
      <c r="AC2649" s="1" t="s">
        <v>1925</v>
      </c>
      <c r="AD2649" s="1"/>
      <c r="AE2649" s="18">
        <v>46147.0</v>
      </c>
      <c r="AF2649" s="1" t="s">
        <v>1030</v>
      </c>
      <c r="AG2649" s="1" t="s">
        <v>52</v>
      </c>
      <c r="AH2649" s="1" t="s">
        <v>1152</v>
      </c>
      <c r="AI2649" s="1" t="s">
        <v>1152</v>
      </c>
      <c r="AJ2649" s="1" t="s">
        <v>12335</v>
      </c>
      <c r="AK2649" s="1" t="s">
        <v>1152</v>
      </c>
      <c r="AL2649" s="6"/>
      <c r="AM2649" s="12">
        <v>6.287778763E9</v>
      </c>
    </row>
    <row r="2650">
      <c r="A2650" s="5" t="s">
        <v>12336</v>
      </c>
      <c r="B2650" s="1" t="s">
        <v>12337</v>
      </c>
      <c r="C2650" s="1" t="s">
        <v>12338</v>
      </c>
      <c r="D2650" s="2">
        <v>6.082071668E9</v>
      </c>
      <c r="E2650" s="1" t="s">
        <v>3458</v>
      </c>
      <c r="F2650" s="1"/>
      <c r="G2650" s="1" t="s">
        <v>4652</v>
      </c>
      <c r="H2650" s="1" t="s">
        <v>4448</v>
      </c>
      <c r="I2650" s="1">
        <v>53718.0</v>
      </c>
      <c r="J2650" s="1" t="s">
        <v>752</v>
      </c>
      <c r="K2650" s="1" t="s">
        <v>2131</v>
      </c>
      <c r="L2650" s="1" t="s">
        <v>5767</v>
      </c>
      <c r="M2650" s="1">
        <v>1.0</v>
      </c>
      <c r="N2650" s="1" t="s">
        <v>1152</v>
      </c>
      <c r="O2650" s="3" t="s">
        <v>1930</v>
      </c>
      <c r="P2650" s="1" t="s">
        <v>1152</v>
      </c>
      <c r="Q2650" s="1" t="s">
        <v>1152</v>
      </c>
      <c r="R2650" s="1"/>
      <c r="S2650" s="1"/>
      <c r="T2650" s="1" t="s">
        <v>1152</v>
      </c>
      <c r="U2650" s="1" t="s">
        <v>1133</v>
      </c>
      <c r="V2650" s="4" t="s">
        <v>1930</v>
      </c>
      <c r="W2650" s="1"/>
      <c r="X2650" s="1" t="s">
        <v>1152</v>
      </c>
      <c r="Y2650" s="1" t="s">
        <v>1152</v>
      </c>
      <c r="Z2650" s="1"/>
      <c r="AA2650" s="1"/>
      <c r="AB2650" s="1"/>
      <c r="AC2650" s="1" t="s">
        <v>1925</v>
      </c>
      <c r="AD2650" s="1"/>
      <c r="AE2650" s="18">
        <v>46147.0</v>
      </c>
      <c r="AF2650" s="1"/>
      <c r="AG2650" s="1"/>
      <c r="AH2650" s="1" t="s">
        <v>1152</v>
      </c>
      <c r="AI2650" s="1" t="s">
        <v>1152</v>
      </c>
      <c r="AJ2650" s="1" t="s">
        <v>12339</v>
      </c>
      <c r="AK2650" s="1" t="s">
        <v>1152</v>
      </c>
      <c r="AL2650" s="6"/>
      <c r="AM2650" s="12">
        <v>6.084405324E9</v>
      </c>
    </row>
    <row r="2651">
      <c r="A2651" s="5" t="s">
        <v>12340</v>
      </c>
      <c r="B2651" s="1" t="s">
        <v>12341</v>
      </c>
      <c r="C2651" s="1" t="s">
        <v>12342</v>
      </c>
      <c r="D2651" s="2">
        <v>7.193238754E9</v>
      </c>
      <c r="E2651" s="1" t="s">
        <v>7921</v>
      </c>
      <c r="F2651" s="1"/>
      <c r="G2651" s="1" t="s">
        <v>4105</v>
      </c>
      <c r="H2651" s="1" t="s">
        <v>1891</v>
      </c>
      <c r="I2651" s="1">
        <v>80904.0</v>
      </c>
      <c r="J2651" s="1" t="s">
        <v>752</v>
      </c>
      <c r="K2651" s="1" t="s">
        <v>2131</v>
      </c>
      <c r="L2651" s="1" t="s">
        <v>5811</v>
      </c>
      <c r="M2651" s="1">
        <v>1.0</v>
      </c>
      <c r="N2651" s="1" t="s">
        <v>1152</v>
      </c>
      <c r="O2651" s="3" t="s">
        <v>7308</v>
      </c>
      <c r="P2651" s="1" t="s">
        <v>1152</v>
      </c>
      <c r="Q2651" s="1" t="s">
        <v>1152</v>
      </c>
      <c r="R2651" s="1"/>
      <c r="S2651" s="1"/>
      <c r="T2651" s="1" t="s">
        <v>1152</v>
      </c>
      <c r="U2651" s="1" t="s">
        <v>1167</v>
      </c>
      <c r="V2651" s="4" t="s">
        <v>7308</v>
      </c>
      <c r="W2651" s="1"/>
      <c r="X2651" s="1" t="s">
        <v>1152</v>
      </c>
      <c r="Y2651" s="1" t="s">
        <v>1152</v>
      </c>
      <c r="Z2651" s="1"/>
      <c r="AA2651" s="1"/>
      <c r="AB2651" s="1"/>
      <c r="AC2651" s="1" t="s">
        <v>1925</v>
      </c>
      <c r="AD2651" s="1"/>
      <c r="AE2651" s="18">
        <v>46150.0</v>
      </c>
      <c r="AF2651" s="1"/>
      <c r="AG2651" s="1"/>
      <c r="AH2651" s="1" t="s">
        <v>1152</v>
      </c>
      <c r="AI2651" s="1" t="s">
        <v>1152</v>
      </c>
      <c r="AJ2651" s="1" t="s">
        <v>12343</v>
      </c>
      <c r="AK2651" s="1" t="s">
        <v>1152</v>
      </c>
      <c r="AL2651" s="6"/>
      <c r="AM2651" s="12">
        <v>7.193238754E9</v>
      </c>
    </row>
    <row r="2652">
      <c r="A2652" s="5" t="s">
        <v>12344</v>
      </c>
      <c r="B2652" s="1" t="s">
        <v>12345</v>
      </c>
      <c r="C2652" s="1" t="s">
        <v>12346</v>
      </c>
      <c r="D2652" s="2">
        <v>4.705503103E9</v>
      </c>
      <c r="E2652" s="1" t="s">
        <v>12347</v>
      </c>
      <c r="F2652" s="1"/>
      <c r="G2652" s="1" t="s">
        <v>2350</v>
      </c>
      <c r="H2652" s="1" t="s">
        <v>1155</v>
      </c>
      <c r="I2652" s="1">
        <v>63105.0</v>
      </c>
      <c r="J2652" s="1" t="s">
        <v>752</v>
      </c>
      <c r="K2652" s="1" t="s">
        <v>42</v>
      </c>
      <c r="L2652" s="1" t="s">
        <v>7863</v>
      </c>
      <c r="M2652" s="1">
        <v>79.0</v>
      </c>
      <c r="N2652" s="1" t="s">
        <v>1152</v>
      </c>
      <c r="O2652" s="3" t="s">
        <v>2442</v>
      </c>
      <c r="P2652" s="1" t="s">
        <v>1152</v>
      </c>
      <c r="Q2652" s="1" t="s">
        <v>1152</v>
      </c>
      <c r="R2652" s="1"/>
      <c r="S2652" s="1"/>
      <c r="T2652" s="1" t="s">
        <v>1152</v>
      </c>
      <c r="U2652" s="1" t="s">
        <v>1133</v>
      </c>
      <c r="V2652" s="4" t="s">
        <v>2442</v>
      </c>
      <c r="W2652" s="1"/>
      <c r="X2652" s="1" t="s">
        <v>1152</v>
      </c>
      <c r="Y2652" s="1" t="s">
        <v>1152</v>
      </c>
      <c r="Z2652" s="1"/>
      <c r="AA2652" s="1"/>
      <c r="AB2652" s="1"/>
      <c r="AC2652" s="1" t="s">
        <v>1925</v>
      </c>
      <c r="AD2652" s="1"/>
      <c r="AE2652" s="18">
        <v>46143.0</v>
      </c>
      <c r="AF2652" s="1" t="s">
        <v>1349</v>
      </c>
      <c r="AG2652" s="1" t="s">
        <v>52</v>
      </c>
      <c r="AH2652" s="1" t="s">
        <v>1152</v>
      </c>
      <c r="AI2652" s="1" t="s">
        <v>1152</v>
      </c>
      <c r="AJ2652" s="1" t="s">
        <v>12347</v>
      </c>
      <c r="AK2652" s="1" t="s">
        <v>1152</v>
      </c>
      <c r="AL2652" s="6"/>
      <c r="AM2652" s="12">
        <v>4.705503103E9</v>
      </c>
    </row>
    <row r="2653">
      <c r="A2653" s="5" t="s">
        <v>12348</v>
      </c>
      <c r="B2653" s="1" t="s">
        <v>12349</v>
      </c>
      <c r="C2653" s="1" t="s">
        <v>7747</v>
      </c>
      <c r="D2653" s="2">
        <v>9.787709421E9</v>
      </c>
      <c r="E2653" s="1" t="s">
        <v>7751</v>
      </c>
      <c r="F2653" s="1"/>
      <c r="G2653" s="1" t="s">
        <v>12350</v>
      </c>
      <c r="H2653" s="1" t="s">
        <v>1121</v>
      </c>
      <c r="I2653" s="1">
        <v>1824.0</v>
      </c>
      <c r="J2653" s="1" t="s">
        <v>752</v>
      </c>
      <c r="K2653" s="1" t="s">
        <v>2131</v>
      </c>
      <c r="L2653" s="1" t="s">
        <v>5736</v>
      </c>
      <c r="M2653" s="1">
        <v>1.0</v>
      </c>
      <c r="N2653" s="1" t="s">
        <v>1152</v>
      </c>
      <c r="O2653" s="3" t="s">
        <v>7750</v>
      </c>
      <c r="P2653" s="1" t="s">
        <v>1152</v>
      </c>
      <c r="Q2653" s="1" t="s">
        <v>1152</v>
      </c>
      <c r="R2653" s="1"/>
      <c r="S2653" s="1"/>
      <c r="T2653" s="1" t="s">
        <v>1152</v>
      </c>
      <c r="U2653" s="1" t="s">
        <v>1407</v>
      </c>
      <c r="V2653" s="4" t="s">
        <v>7750</v>
      </c>
      <c r="W2653" s="1"/>
      <c r="X2653" s="1" t="s">
        <v>1152</v>
      </c>
      <c r="Y2653" s="1" t="s">
        <v>1152</v>
      </c>
      <c r="Z2653" s="1"/>
      <c r="AA2653" s="1"/>
      <c r="AB2653" s="1"/>
      <c r="AC2653" s="1" t="s">
        <v>1925</v>
      </c>
      <c r="AD2653" s="1"/>
      <c r="AE2653" s="18">
        <v>46142.0</v>
      </c>
      <c r="AF2653" s="1"/>
      <c r="AG2653" s="1"/>
      <c r="AH2653" s="1" t="s">
        <v>1152</v>
      </c>
      <c r="AI2653" s="1" t="s">
        <v>1152</v>
      </c>
      <c r="AJ2653" s="1" t="s">
        <v>7751</v>
      </c>
      <c r="AK2653" s="1" t="s">
        <v>1152</v>
      </c>
      <c r="AL2653" s="6"/>
      <c r="AM2653" s="12">
        <v>9.787709421E9</v>
      </c>
    </row>
    <row r="2654">
      <c r="A2654" s="5" t="s">
        <v>12351</v>
      </c>
      <c r="B2654" s="1" t="s">
        <v>12352</v>
      </c>
      <c r="C2654" s="1" t="s">
        <v>12353</v>
      </c>
      <c r="D2654" s="2">
        <v>6.092857804E9</v>
      </c>
      <c r="E2654" s="1" t="s">
        <v>12354</v>
      </c>
      <c r="F2654" s="1"/>
      <c r="G2654" s="1" t="s">
        <v>4750</v>
      </c>
      <c r="H2654" s="1" t="s">
        <v>1053</v>
      </c>
      <c r="I2654" s="1">
        <v>8540.0</v>
      </c>
      <c r="J2654" s="1" t="s">
        <v>752</v>
      </c>
      <c r="K2654" s="1" t="s">
        <v>892</v>
      </c>
      <c r="L2654" s="1" t="s">
        <v>8006</v>
      </c>
      <c r="M2654" s="1">
        <v>49.0</v>
      </c>
      <c r="N2654" s="1" t="s">
        <v>1152</v>
      </c>
      <c r="O2654" s="3" t="s">
        <v>12355</v>
      </c>
      <c r="P2654" s="1" t="s">
        <v>1152</v>
      </c>
      <c r="Q2654" s="1" t="s">
        <v>1152</v>
      </c>
      <c r="R2654" s="1"/>
      <c r="S2654" s="1"/>
      <c r="T2654" s="1" t="s">
        <v>1152</v>
      </c>
      <c r="U2654" s="1" t="s">
        <v>1794</v>
      </c>
      <c r="V2654" s="4" t="s">
        <v>12355</v>
      </c>
      <c r="W2654" s="1"/>
      <c r="X2654" s="1" t="s">
        <v>1152</v>
      </c>
      <c r="Y2654" s="1" t="s">
        <v>1152</v>
      </c>
      <c r="Z2654" s="1"/>
      <c r="AA2654" s="1"/>
      <c r="AB2654" s="1"/>
      <c r="AC2654" s="1" t="s">
        <v>1925</v>
      </c>
      <c r="AD2654" s="1"/>
      <c r="AE2654" s="18">
        <v>46144.0</v>
      </c>
      <c r="AF2654" s="1" t="s">
        <v>1349</v>
      </c>
      <c r="AG2654" s="1" t="s">
        <v>52</v>
      </c>
      <c r="AH2654" s="1" t="s">
        <v>12356</v>
      </c>
      <c r="AI2654" s="1" t="s">
        <v>1152</v>
      </c>
      <c r="AJ2654" s="1" t="s">
        <v>12354</v>
      </c>
      <c r="AK2654" s="1" t="s">
        <v>1152</v>
      </c>
      <c r="AL2654" s="6"/>
      <c r="AM2654" s="12">
        <v>6.092857804E9</v>
      </c>
    </row>
    <row r="2655">
      <c r="A2655" s="5" t="s">
        <v>12357</v>
      </c>
      <c r="B2655" s="1" t="s">
        <v>12358</v>
      </c>
      <c r="C2655" s="1" t="s">
        <v>10011</v>
      </c>
      <c r="D2655" s="2">
        <v>8.322072972E9</v>
      </c>
      <c r="E2655" s="1" t="s">
        <v>10012</v>
      </c>
      <c r="F2655" s="1"/>
      <c r="G2655" s="1" t="s">
        <v>1609</v>
      </c>
      <c r="H2655" s="1" t="s">
        <v>1583</v>
      </c>
      <c r="I2655" s="1" t="s">
        <v>12359</v>
      </c>
      <c r="J2655" s="1" t="s">
        <v>752</v>
      </c>
      <c r="K2655" s="1" t="s">
        <v>2131</v>
      </c>
      <c r="L2655" s="1" t="s">
        <v>5767</v>
      </c>
      <c r="M2655" s="1">
        <v>1.0</v>
      </c>
      <c r="N2655" s="1" t="s">
        <v>1152</v>
      </c>
      <c r="O2655" s="3" t="s">
        <v>10013</v>
      </c>
      <c r="P2655" s="1" t="s">
        <v>1152</v>
      </c>
      <c r="Q2655" s="1" t="s">
        <v>1152</v>
      </c>
      <c r="R2655" s="1"/>
      <c r="S2655" s="1"/>
      <c r="T2655" s="1" t="s">
        <v>1152</v>
      </c>
      <c r="U2655" s="1" t="s">
        <v>1039</v>
      </c>
      <c r="V2655" s="4" t="s">
        <v>10013</v>
      </c>
      <c r="W2655" s="1"/>
      <c r="X2655" s="1" t="s">
        <v>1152</v>
      </c>
      <c r="Y2655" s="1" t="s">
        <v>1152</v>
      </c>
      <c r="Z2655" s="1"/>
      <c r="AA2655" s="1"/>
      <c r="AB2655" s="1"/>
      <c r="AC2655" s="1" t="s">
        <v>1925</v>
      </c>
      <c r="AD2655" s="1"/>
      <c r="AE2655" s="18">
        <v>46148.0</v>
      </c>
      <c r="AF2655" s="1"/>
      <c r="AG2655" s="1"/>
      <c r="AH2655" s="1" t="s">
        <v>1152</v>
      </c>
      <c r="AI2655" s="1" t="s">
        <v>1152</v>
      </c>
      <c r="AJ2655" s="1" t="s">
        <v>10012</v>
      </c>
      <c r="AK2655" s="1" t="s">
        <v>1152</v>
      </c>
      <c r="AL2655" s="6"/>
      <c r="AM2655" s="12">
        <v>8.322072972E9</v>
      </c>
    </row>
    <row r="2656">
      <c r="A2656" s="5" t="s">
        <v>12360</v>
      </c>
      <c r="B2656" s="1" t="s">
        <v>12361</v>
      </c>
      <c r="C2656" s="1" t="s">
        <v>12362</v>
      </c>
      <c r="D2656" s="2">
        <v>6.17529097E9</v>
      </c>
      <c r="E2656" s="1" t="s">
        <v>12363</v>
      </c>
      <c r="F2656" s="1" t="s">
        <v>12364</v>
      </c>
      <c r="G2656" s="1" t="s">
        <v>12365</v>
      </c>
      <c r="H2656" s="1" t="s">
        <v>3711</v>
      </c>
      <c r="I2656" s="1">
        <v>3904.0</v>
      </c>
      <c r="J2656" s="1" t="s">
        <v>752</v>
      </c>
      <c r="K2656" s="1" t="s">
        <v>42</v>
      </c>
      <c r="L2656" s="1" t="s">
        <v>6819</v>
      </c>
      <c r="M2656" s="1">
        <v>49.0</v>
      </c>
      <c r="N2656" s="1" t="s">
        <v>1152</v>
      </c>
      <c r="O2656" s="3"/>
      <c r="P2656" s="1" t="s">
        <v>1152</v>
      </c>
      <c r="Q2656" s="1" t="s">
        <v>1152</v>
      </c>
      <c r="R2656" s="1" t="s">
        <v>12364</v>
      </c>
      <c r="S2656" s="1"/>
      <c r="T2656" s="1" t="s">
        <v>1152</v>
      </c>
      <c r="U2656" s="1"/>
      <c r="V2656" s="4"/>
      <c r="W2656" s="1" t="s">
        <v>12364</v>
      </c>
      <c r="X2656" s="1" t="s">
        <v>1152</v>
      </c>
      <c r="Y2656" s="1" t="s">
        <v>1152</v>
      </c>
      <c r="Z2656" s="1"/>
      <c r="AA2656" s="1" t="s">
        <v>12364</v>
      </c>
      <c r="AB2656" s="1"/>
      <c r="AC2656" s="1" t="s">
        <v>1925</v>
      </c>
      <c r="AD2656" s="1"/>
      <c r="AE2656" s="18">
        <v>46148.0</v>
      </c>
      <c r="AF2656" s="1" t="s">
        <v>1030</v>
      </c>
      <c r="AG2656" s="1" t="s">
        <v>124</v>
      </c>
      <c r="AH2656" s="1" t="s">
        <v>1152</v>
      </c>
      <c r="AI2656" s="1" t="s">
        <v>12366</v>
      </c>
      <c r="AJ2656" s="1" t="s">
        <v>12367</v>
      </c>
      <c r="AK2656" s="1" t="s">
        <v>1152</v>
      </c>
      <c r="AL2656" s="6"/>
      <c r="AM2656" s="12">
        <v>9.789609653E9</v>
      </c>
    </row>
    <row r="2657">
      <c r="A2657" s="5" t="s">
        <v>12368</v>
      </c>
      <c r="B2657" s="1" t="s">
        <v>12369</v>
      </c>
      <c r="C2657" s="1" t="s">
        <v>9507</v>
      </c>
      <c r="D2657" s="2">
        <v>9.175093592E9</v>
      </c>
      <c r="E2657" s="1" t="s">
        <v>12370</v>
      </c>
      <c r="F2657" s="1"/>
      <c r="G2657" s="1" t="s">
        <v>2715</v>
      </c>
      <c r="H2657" s="1" t="s">
        <v>1583</v>
      </c>
      <c r="I2657" s="1">
        <v>75287.0</v>
      </c>
      <c r="J2657" s="1" t="s">
        <v>752</v>
      </c>
      <c r="K2657" s="1" t="s">
        <v>2131</v>
      </c>
      <c r="L2657" s="1" t="s">
        <v>5767</v>
      </c>
      <c r="M2657" s="1">
        <v>1.0</v>
      </c>
      <c r="N2657" s="1" t="s">
        <v>1152</v>
      </c>
      <c r="O2657" s="3" t="s">
        <v>9508</v>
      </c>
      <c r="P2657" s="1" t="s">
        <v>1152</v>
      </c>
      <c r="Q2657" s="1" t="s">
        <v>1152</v>
      </c>
      <c r="R2657" s="1"/>
      <c r="S2657" s="1"/>
      <c r="T2657" s="1" t="s">
        <v>1152</v>
      </c>
      <c r="U2657" s="1" t="s">
        <v>948</v>
      </c>
      <c r="V2657" s="4" t="s">
        <v>9508</v>
      </c>
      <c r="W2657" s="1"/>
      <c r="X2657" s="1" t="s">
        <v>1152</v>
      </c>
      <c r="Y2657" s="1" t="s">
        <v>1152</v>
      </c>
      <c r="Z2657" s="1"/>
      <c r="AA2657" s="1"/>
      <c r="AB2657" s="1"/>
      <c r="AC2657" s="1" t="s">
        <v>1925</v>
      </c>
      <c r="AD2657" s="1"/>
      <c r="AE2657" s="18">
        <v>46143.0</v>
      </c>
      <c r="AF2657" s="1"/>
      <c r="AG2657" s="1"/>
      <c r="AH2657" s="1" t="s">
        <v>1152</v>
      </c>
      <c r="AI2657" s="1" t="s">
        <v>1152</v>
      </c>
      <c r="AJ2657" s="1" t="s">
        <v>9509</v>
      </c>
      <c r="AK2657" s="1" t="s">
        <v>1152</v>
      </c>
      <c r="AL2657" s="6"/>
      <c r="AM2657" s="12" t="s">
        <v>12371</v>
      </c>
    </row>
    <row r="2658">
      <c r="A2658" s="5" t="s">
        <v>12372</v>
      </c>
      <c r="B2658" s="1" t="s">
        <v>12373</v>
      </c>
      <c r="C2658" s="1" t="s">
        <v>12374</v>
      </c>
      <c r="D2658" s="2">
        <v>8.065671199E9</v>
      </c>
      <c r="E2658" s="1" t="s">
        <v>12375</v>
      </c>
      <c r="F2658" s="1"/>
      <c r="G2658" s="1" t="s">
        <v>5104</v>
      </c>
      <c r="H2658" s="1" t="s">
        <v>1583</v>
      </c>
      <c r="I2658" s="1">
        <v>79423.0</v>
      </c>
      <c r="J2658" s="1" t="s">
        <v>752</v>
      </c>
      <c r="K2658" s="1" t="s">
        <v>2131</v>
      </c>
      <c r="L2658" s="1" t="s">
        <v>5811</v>
      </c>
      <c r="M2658" s="1">
        <v>1.0</v>
      </c>
      <c r="N2658" s="1" t="s">
        <v>1152</v>
      </c>
      <c r="O2658" s="3" t="s">
        <v>997</v>
      </c>
      <c r="P2658" s="1" t="s">
        <v>1152</v>
      </c>
      <c r="Q2658" s="1" t="s">
        <v>1152</v>
      </c>
      <c r="R2658" s="1"/>
      <c r="S2658" s="1"/>
      <c r="T2658" s="1" t="s">
        <v>1152</v>
      </c>
      <c r="U2658" s="1" t="s">
        <v>1376</v>
      </c>
      <c r="V2658" s="4" t="s">
        <v>997</v>
      </c>
      <c r="W2658" s="1"/>
      <c r="X2658" s="1" t="s">
        <v>1152</v>
      </c>
      <c r="Y2658" s="1" t="s">
        <v>1152</v>
      </c>
      <c r="Z2658" s="1"/>
      <c r="AA2658" s="1"/>
      <c r="AB2658" s="1"/>
      <c r="AC2658" s="1" t="s">
        <v>1925</v>
      </c>
      <c r="AD2658" s="1"/>
      <c r="AE2658" s="18">
        <v>46146.0</v>
      </c>
      <c r="AF2658" s="1"/>
      <c r="AG2658" s="1"/>
      <c r="AH2658" s="1" t="s">
        <v>1152</v>
      </c>
      <c r="AI2658" s="1" t="s">
        <v>1152</v>
      </c>
      <c r="AJ2658" s="1" t="s">
        <v>12375</v>
      </c>
      <c r="AK2658" s="1" t="s">
        <v>1152</v>
      </c>
      <c r="AL2658" s="6"/>
      <c r="AM2658" s="12">
        <v>8.065671199E9</v>
      </c>
    </row>
    <row r="2659">
      <c r="A2659" s="5" t="s">
        <v>12376</v>
      </c>
      <c r="B2659" s="1" t="s">
        <v>12377</v>
      </c>
      <c r="C2659" s="1" t="s">
        <v>12378</v>
      </c>
      <c r="D2659" s="2">
        <v>5.618152648E9</v>
      </c>
      <c r="E2659" s="1" t="s">
        <v>715</v>
      </c>
      <c r="F2659" s="1"/>
      <c r="G2659" s="1" t="s">
        <v>12379</v>
      </c>
      <c r="H2659" s="1" t="s">
        <v>1208</v>
      </c>
      <c r="I2659" s="1">
        <v>33411.0</v>
      </c>
      <c r="J2659" s="1" t="s">
        <v>752</v>
      </c>
      <c r="K2659" s="1" t="s">
        <v>2131</v>
      </c>
      <c r="L2659" s="1" t="s">
        <v>5767</v>
      </c>
      <c r="M2659" s="1">
        <v>1.0</v>
      </c>
      <c r="N2659" s="1" t="s">
        <v>1152</v>
      </c>
      <c r="O2659" s="3" t="s">
        <v>12380</v>
      </c>
      <c r="P2659" s="1" t="s">
        <v>1152</v>
      </c>
      <c r="Q2659" s="1" t="s">
        <v>1152</v>
      </c>
      <c r="R2659" s="1"/>
      <c r="S2659" s="1"/>
      <c r="T2659" s="1" t="s">
        <v>1152</v>
      </c>
      <c r="U2659" s="1" t="s">
        <v>1407</v>
      </c>
      <c r="V2659" s="4" t="s">
        <v>12380</v>
      </c>
      <c r="W2659" s="1"/>
      <c r="X2659" s="1" t="s">
        <v>1152</v>
      </c>
      <c r="Y2659" s="1" t="s">
        <v>1152</v>
      </c>
      <c r="Z2659" s="1"/>
      <c r="AA2659" s="1"/>
      <c r="AB2659" s="1"/>
      <c r="AC2659" s="1" t="s">
        <v>1925</v>
      </c>
      <c r="AD2659" s="1"/>
      <c r="AE2659" s="18">
        <v>46149.0</v>
      </c>
      <c r="AF2659" s="1"/>
      <c r="AG2659" s="1"/>
      <c r="AH2659" s="1" t="s">
        <v>1152</v>
      </c>
      <c r="AI2659" s="1" t="s">
        <v>1152</v>
      </c>
      <c r="AJ2659" s="1" t="s">
        <v>715</v>
      </c>
      <c r="AK2659" s="1" t="s">
        <v>1152</v>
      </c>
      <c r="AL2659" s="6"/>
      <c r="AM2659" s="12">
        <v>5.618152648E9</v>
      </c>
    </row>
    <row r="2660">
      <c r="A2660" s="5" t="s">
        <v>12376</v>
      </c>
      <c r="B2660" s="1" t="s">
        <v>12377</v>
      </c>
      <c r="C2660" s="1" t="s">
        <v>12378</v>
      </c>
      <c r="D2660" s="2">
        <v>5.618152648E9</v>
      </c>
      <c r="E2660" s="1" t="s">
        <v>715</v>
      </c>
      <c r="F2660" s="1"/>
      <c r="G2660" s="1" t="s">
        <v>12379</v>
      </c>
      <c r="H2660" s="1" t="s">
        <v>1208</v>
      </c>
      <c r="I2660" s="1">
        <v>33411.0</v>
      </c>
      <c r="J2660" s="1" t="s">
        <v>752</v>
      </c>
      <c r="K2660" s="1" t="s">
        <v>2131</v>
      </c>
      <c r="L2660" s="1" t="s">
        <v>5767</v>
      </c>
      <c r="M2660" s="1">
        <v>1.0</v>
      </c>
      <c r="N2660" s="1" t="s">
        <v>1152</v>
      </c>
      <c r="O2660" s="3" t="s">
        <v>12380</v>
      </c>
      <c r="P2660" s="1" t="s">
        <v>1152</v>
      </c>
      <c r="Q2660" s="1" t="s">
        <v>1152</v>
      </c>
      <c r="R2660" s="1"/>
      <c r="S2660" s="1"/>
      <c r="T2660" s="1" t="s">
        <v>1152</v>
      </c>
      <c r="U2660" s="1" t="s">
        <v>1407</v>
      </c>
      <c r="V2660" s="4" t="s">
        <v>12380</v>
      </c>
      <c r="W2660" s="1"/>
      <c r="X2660" s="1" t="s">
        <v>1152</v>
      </c>
      <c r="Y2660" s="1" t="s">
        <v>1152</v>
      </c>
      <c r="Z2660" s="1"/>
      <c r="AA2660" s="1"/>
      <c r="AB2660" s="1"/>
      <c r="AC2660" s="1" t="s">
        <v>1925</v>
      </c>
      <c r="AD2660" s="1"/>
      <c r="AE2660" s="18">
        <v>46149.0</v>
      </c>
      <c r="AF2660" s="1"/>
      <c r="AG2660" s="1"/>
      <c r="AH2660" s="1" t="s">
        <v>1152</v>
      </c>
      <c r="AI2660" s="1" t="s">
        <v>1152</v>
      </c>
      <c r="AJ2660" s="1" t="s">
        <v>715</v>
      </c>
      <c r="AK2660" s="1" t="s">
        <v>1152</v>
      </c>
      <c r="AL2660" s="6"/>
      <c r="AM2660" s="12">
        <v>5.618152648E9</v>
      </c>
    </row>
    <row r="2661">
      <c r="A2661" s="5" t="s">
        <v>12381</v>
      </c>
      <c r="B2661" s="1" t="s">
        <v>12382</v>
      </c>
      <c r="C2661" s="1" t="s">
        <v>12383</v>
      </c>
      <c r="D2661" s="2">
        <v>4.804534052E9</v>
      </c>
      <c r="E2661" s="1" t="s">
        <v>7016</v>
      </c>
      <c r="F2661" s="1"/>
      <c r="G2661" s="1" t="s">
        <v>12384</v>
      </c>
      <c r="H2661" s="1" t="s">
        <v>1535</v>
      </c>
      <c r="I2661" s="1">
        <v>85019.0</v>
      </c>
      <c r="J2661" s="1" t="s">
        <v>752</v>
      </c>
      <c r="K2661" s="1" t="s">
        <v>2131</v>
      </c>
      <c r="L2661" s="1" t="s">
        <v>5736</v>
      </c>
      <c r="M2661" s="1">
        <v>1.0</v>
      </c>
      <c r="N2661" s="1" t="s">
        <v>1152</v>
      </c>
      <c r="O2661" s="3" t="s">
        <v>162</v>
      </c>
      <c r="P2661" s="1" t="s">
        <v>1152</v>
      </c>
      <c r="Q2661" s="1" t="s">
        <v>1152</v>
      </c>
      <c r="R2661" s="1"/>
      <c r="S2661" s="1"/>
      <c r="T2661" s="1" t="s">
        <v>1152</v>
      </c>
      <c r="U2661" s="1" t="s">
        <v>1376</v>
      </c>
      <c r="V2661" s="4" t="s">
        <v>162</v>
      </c>
      <c r="W2661" s="1"/>
      <c r="X2661" s="1" t="s">
        <v>1152</v>
      </c>
      <c r="Y2661" s="1" t="s">
        <v>1152</v>
      </c>
      <c r="Z2661" s="1"/>
      <c r="AA2661" s="1"/>
      <c r="AB2661" s="1"/>
      <c r="AC2661" s="1" t="s">
        <v>1925</v>
      </c>
      <c r="AD2661" s="1"/>
      <c r="AE2661" s="18">
        <v>46149.0</v>
      </c>
      <c r="AF2661" s="1"/>
      <c r="AG2661" s="1"/>
      <c r="AH2661" s="1" t="s">
        <v>1152</v>
      </c>
      <c r="AI2661" s="1" t="s">
        <v>1152</v>
      </c>
      <c r="AJ2661" s="1" t="s">
        <v>7016</v>
      </c>
      <c r="AK2661" s="1" t="s">
        <v>1152</v>
      </c>
      <c r="AL2661" s="6"/>
      <c r="AM2661" s="12">
        <v>4.804534052E9</v>
      </c>
    </row>
    <row r="2662">
      <c r="A2662" s="5" t="s">
        <v>12385</v>
      </c>
      <c r="B2662" s="1" t="s">
        <v>12386</v>
      </c>
      <c r="C2662" s="1" t="s">
        <v>12387</v>
      </c>
      <c r="D2662" s="2">
        <v>9.143432526E9</v>
      </c>
      <c r="E2662" s="1" t="s">
        <v>8343</v>
      </c>
      <c r="F2662" s="1"/>
      <c r="G2662" s="1" t="s">
        <v>1382</v>
      </c>
      <c r="H2662" s="1" t="s">
        <v>751</v>
      </c>
      <c r="I2662" s="1">
        <v>10583.0</v>
      </c>
      <c r="J2662" s="1" t="s">
        <v>752</v>
      </c>
      <c r="K2662" s="1" t="s">
        <v>42</v>
      </c>
      <c r="L2662" s="1" t="s">
        <v>6819</v>
      </c>
      <c r="M2662" s="1">
        <v>49.0</v>
      </c>
      <c r="N2662" s="1" t="s">
        <v>1152</v>
      </c>
      <c r="O2662" s="3" t="s">
        <v>3892</v>
      </c>
      <c r="P2662" s="1" t="s">
        <v>1152</v>
      </c>
      <c r="Q2662" s="1" t="s">
        <v>1152</v>
      </c>
      <c r="R2662" s="1"/>
      <c r="S2662" s="1"/>
      <c r="T2662" s="1" t="s">
        <v>1152</v>
      </c>
      <c r="U2662" s="1" t="s">
        <v>1021</v>
      </c>
      <c r="V2662" s="4" t="s">
        <v>3892</v>
      </c>
      <c r="W2662" s="1"/>
      <c r="X2662" s="1" t="s">
        <v>1152</v>
      </c>
      <c r="Y2662" s="1" t="s">
        <v>1152</v>
      </c>
      <c r="Z2662" s="1"/>
      <c r="AA2662" s="1"/>
      <c r="AB2662" s="1"/>
      <c r="AC2662" s="1" t="s">
        <v>1925</v>
      </c>
      <c r="AD2662" s="1"/>
      <c r="AE2662" s="18">
        <v>46148.0</v>
      </c>
      <c r="AF2662" s="1" t="s">
        <v>1030</v>
      </c>
      <c r="AG2662" s="1" t="s">
        <v>52</v>
      </c>
      <c r="AH2662" s="1" t="s">
        <v>1152</v>
      </c>
      <c r="AI2662" s="1" t="s">
        <v>1152</v>
      </c>
      <c r="AJ2662" s="1" t="s">
        <v>8343</v>
      </c>
      <c r="AK2662" s="1" t="s">
        <v>1152</v>
      </c>
      <c r="AL2662" s="6"/>
      <c r="AM2662" s="12">
        <v>9.143432526E9</v>
      </c>
    </row>
    <row r="2663">
      <c r="A2663" s="5" t="s">
        <v>12388</v>
      </c>
      <c r="B2663" s="1" t="s">
        <v>12389</v>
      </c>
      <c r="C2663" s="1" t="s">
        <v>12390</v>
      </c>
      <c r="D2663" s="2">
        <v>9.17767691E9</v>
      </c>
      <c r="E2663" s="1" t="s">
        <v>6372</v>
      </c>
      <c r="F2663" s="1"/>
      <c r="G2663" s="1" t="s">
        <v>751</v>
      </c>
      <c r="H2663" s="1" t="s">
        <v>751</v>
      </c>
      <c r="I2663" s="1">
        <v>10023.0</v>
      </c>
      <c r="J2663" s="1" t="s">
        <v>752</v>
      </c>
      <c r="K2663" s="1" t="s">
        <v>42</v>
      </c>
      <c r="L2663" s="1" t="s">
        <v>7863</v>
      </c>
      <c r="M2663" s="1">
        <v>79.0</v>
      </c>
      <c r="N2663" s="1" t="s">
        <v>1152</v>
      </c>
      <c r="O2663" s="3" t="s">
        <v>8851</v>
      </c>
      <c r="P2663" s="1" t="s">
        <v>1152</v>
      </c>
      <c r="Q2663" s="1" t="s">
        <v>1152</v>
      </c>
      <c r="R2663" s="1"/>
      <c r="S2663" s="1"/>
      <c r="T2663" s="1" t="s">
        <v>1152</v>
      </c>
      <c r="U2663" s="1" t="s">
        <v>1039</v>
      </c>
      <c r="V2663" s="4" t="s">
        <v>8851</v>
      </c>
      <c r="W2663" s="1"/>
      <c r="X2663" s="1" t="s">
        <v>1152</v>
      </c>
      <c r="Y2663" s="1" t="s">
        <v>1152</v>
      </c>
      <c r="Z2663" s="1"/>
      <c r="AA2663" s="1"/>
      <c r="AB2663" s="1"/>
      <c r="AC2663" s="1" t="s">
        <v>1925</v>
      </c>
      <c r="AD2663" s="1"/>
      <c r="AE2663" s="18">
        <v>46147.0</v>
      </c>
      <c r="AF2663" s="1" t="s">
        <v>1030</v>
      </c>
      <c r="AG2663" s="1" t="s">
        <v>52</v>
      </c>
      <c r="AH2663" s="1" t="s">
        <v>1152</v>
      </c>
      <c r="AI2663" s="1" t="s">
        <v>1152</v>
      </c>
      <c r="AJ2663" s="1" t="s">
        <v>6372</v>
      </c>
      <c r="AK2663" s="1" t="s">
        <v>1152</v>
      </c>
      <c r="AL2663" s="6"/>
      <c r="AM2663" s="12">
        <v>9.17767691E9</v>
      </c>
    </row>
    <row r="2664">
      <c r="A2664" s="5" t="s">
        <v>12391</v>
      </c>
      <c r="B2664" s="1" t="s">
        <v>12392</v>
      </c>
      <c r="C2664" s="1" t="s">
        <v>12393</v>
      </c>
      <c r="D2664" s="2">
        <v>6.175296211E9</v>
      </c>
      <c r="E2664" s="1" t="s">
        <v>12394</v>
      </c>
      <c r="F2664" s="1"/>
      <c r="G2664" s="1" t="s">
        <v>2625</v>
      </c>
      <c r="H2664" s="1" t="s">
        <v>1121</v>
      </c>
      <c r="I2664" s="1">
        <v>2492.0</v>
      </c>
      <c r="J2664" s="1" t="s">
        <v>752</v>
      </c>
      <c r="K2664" s="1" t="s">
        <v>2131</v>
      </c>
      <c r="L2664" s="1" t="s">
        <v>5767</v>
      </c>
      <c r="M2664" s="1">
        <v>1.0</v>
      </c>
      <c r="N2664" s="1" t="s">
        <v>1152</v>
      </c>
      <c r="O2664" s="3" t="s">
        <v>1703</v>
      </c>
      <c r="P2664" s="1" t="s">
        <v>1152</v>
      </c>
      <c r="Q2664" s="1" t="s">
        <v>1152</v>
      </c>
      <c r="R2664" s="1"/>
      <c r="S2664" s="1"/>
      <c r="T2664" s="1" t="s">
        <v>1152</v>
      </c>
      <c r="U2664" s="1" t="s">
        <v>1277</v>
      </c>
      <c r="V2664" s="4" t="s">
        <v>1703</v>
      </c>
      <c r="W2664" s="1"/>
      <c r="X2664" s="1" t="s">
        <v>1152</v>
      </c>
      <c r="Y2664" s="1" t="s">
        <v>1152</v>
      </c>
      <c r="Z2664" s="1"/>
      <c r="AA2664" s="1"/>
      <c r="AB2664" s="1"/>
      <c r="AC2664" s="1" t="s">
        <v>1925</v>
      </c>
      <c r="AD2664" s="1"/>
      <c r="AE2664" s="18">
        <v>46144.0</v>
      </c>
      <c r="AF2664" s="1"/>
      <c r="AG2664" s="1"/>
      <c r="AH2664" s="1" t="s">
        <v>1152</v>
      </c>
      <c r="AI2664" s="1" t="s">
        <v>1152</v>
      </c>
      <c r="AJ2664" s="1" t="s">
        <v>12394</v>
      </c>
      <c r="AK2664" s="1" t="s">
        <v>1152</v>
      </c>
      <c r="AL2664" s="6"/>
      <c r="AM2664" s="12">
        <v>6.175296211E9</v>
      </c>
    </row>
    <row r="2665">
      <c r="A2665" s="5" t="s">
        <v>12395</v>
      </c>
      <c r="B2665" s="1" t="s">
        <v>12396</v>
      </c>
      <c r="C2665" s="1" t="s">
        <v>6823</v>
      </c>
      <c r="D2665" s="2"/>
      <c r="E2665" s="1" t="s">
        <v>12397</v>
      </c>
      <c r="F2665" s="1"/>
      <c r="G2665" s="1" t="s">
        <v>4299</v>
      </c>
      <c r="H2665" s="1" t="s">
        <v>751</v>
      </c>
      <c r="I2665" s="1">
        <v>10704.0</v>
      </c>
      <c r="J2665" s="1" t="s">
        <v>752</v>
      </c>
      <c r="K2665" s="1" t="s">
        <v>892</v>
      </c>
      <c r="L2665" s="1" t="s">
        <v>8006</v>
      </c>
      <c r="M2665" s="1">
        <v>49.0</v>
      </c>
      <c r="N2665" s="1" t="s">
        <v>1152</v>
      </c>
      <c r="O2665" s="3" t="s">
        <v>8530</v>
      </c>
      <c r="P2665" s="1" t="s">
        <v>1152</v>
      </c>
      <c r="Q2665" s="1" t="s">
        <v>1152</v>
      </c>
      <c r="R2665" s="1"/>
      <c r="S2665" s="1"/>
      <c r="T2665" s="1" t="s">
        <v>1152</v>
      </c>
      <c r="U2665" s="1" t="s">
        <v>2940</v>
      </c>
      <c r="V2665" s="4" t="s">
        <v>8530</v>
      </c>
      <c r="W2665" s="1"/>
      <c r="X2665" s="1" t="s">
        <v>1152</v>
      </c>
      <c r="Y2665" s="1" t="s">
        <v>1152</v>
      </c>
      <c r="Z2665" s="1"/>
      <c r="AA2665" s="1"/>
      <c r="AB2665" s="1"/>
      <c r="AC2665" s="1" t="s">
        <v>1925</v>
      </c>
      <c r="AD2665" s="1"/>
      <c r="AE2665" s="18">
        <v>46155.0</v>
      </c>
      <c r="AF2665" s="1" t="s">
        <v>1030</v>
      </c>
      <c r="AG2665" s="1" t="s">
        <v>52</v>
      </c>
      <c r="AH2665" s="1" t="s">
        <v>12398</v>
      </c>
      <c r="AI2665" s="1" t="s">
        <v>1152</v>
      </c>
      <c r="AJ2665" s="1" t="s">
        <v>6824</v>
      </c>
      <c r="AK2665" s="1" t="s">
        <v>1152</v>
      </c>
      <c r="AL2665" s="6"/>
      <c r="AM2665" s="12">
        <v>9.143279547E9</v>
      </c>
    </row>
    <row r="2666">
      <c r="A2666" s="5" t="s">
        <v>12399</v>
      </c>
      <c r="B2666" s="1" t="s">
        <v>12400</v>
      </c>
      <c r="C2666" s="1" t="s">
        <v>2978</v>
      </c>
      <c r="D2666" s="2">
        <v>9.73288368E9</v>
      </c>
      <c r="E2666" s="1" t="s">
        <v>2979</v>
      </c>
      <c r="F2666" s="1"/>
      <c r="G2666" s="1" t="s">
        <v>2980</v>
      </c>
      <c r="H2666" s="1" t="s">
        <v>1053</v>
      </c>
      <c r="I2666" s="1">
        <v>7205.0</v>
      </c>
      <c r="J2666" s="1" t="s">
        <v>752</v>
      </c>
      <c r="K2666" s="1" t="s">
        <v>42</v>
      </c>
      <c r="L2666" s="1" t="s">
        <v>6819</v>
      </c>
      <c r="M2666" s="1">
        <v>49.0</v>
      </c>
      <c r="N2666" s="1" t="s">
        <v>1152</v>
      </c>
      <c r="O2666" s="3" t="s">
        <v>2981</v>
      </c>
      <c r="P2666" s="1" t="s">
        <v>1152</v>
      </c>
      <c r="Q2666" s="1" t="s">
        <v>1152</v>
      </c>
      <c r="R2666" s="1"/>
      <c r="S2666" s="1"/>
      <c r="T2666" s="1" t="s">
        <v>1152</v>
      </c>
      <c r="U2666" s="1" t="s">
        <v>1441</v>
      </c>
      <c r="V2666" s="4" t="s">
        <v>2981</v>
      </c>
      <c r="W2666" s="1"/>
      <c r="X2666" s="1" t="s">
        <v>1152</v>
      </c>
      <c r="Y2666" s="1" t="s">
        <v>1152</v>
      </c>
      <c r="Z2666" s="1"/>
      <c r="AA2666" s="1"/>
      <c r="AB2666" s="1"/>
      <c r="AC2666" s="1" t="s">
        <v>1925</v>
      </c>
      <c r="AD2666" s="1"/>
      <c r="AE2666" s="18">
        <v>46150.0</v>
      </c>
      <c r="AF2666" s="1" t="s">
        <v>1030</v>
      </c>
      <c r="AG2666" s="1" t="s">
        <v>52</v>
      </c>
      <c r="AH2666" s="1" t="s">
        <v>1152</v>
      </c>
      <c r="AI2666" s="1" t="s">
        <v>1152</v>
      </c>
      <c r="AJ2666" s="1" t="s">
        <v>12401</v>
      </c>
      <c r="AK2666" s="1" t="s">
        <v>1152</v>
      </c>
      <c r="AL2666" s="6"/>
      <c r="AM2666" s="12">
        <v>9.73288368E9</v>
      </c>
    </row>
    <row r="2667">
      <c r="A2667" s="5" t="s">
        <v>12402</v>
      </c>
      <c r="B2667" s="1" t="s">
        <v>12403</v>
      </c>
      <c r="C2667" s="1" t="s">
        <v>12390</v>
      </c>
      <c r="D2667" s="2">
        <v>9.17767691E9</v>
      </c>
      <c r="E2667" s="1" t="s">
        <v>12404</v>
      </c>
      <c r="F2667" s="1"/>
      <c r="G2667" s="1" t="s">
        <v>751</v>
      </c>
      <c r="H2667" s="1" t="s">
        <v>751</v>
      </c>
      <c r="I2667" s="1">
        <v>10023.0</v>
      </c>
      <c r="J2667" s="1" t="s">
        <v>752</v>
      </c>
      <c r="K2667" s="1" t="s">
        <v>2131</v>
      </c>
      <c r="L2667" s="1" t="s">
        <v>5767</v>
      </c>
      <c r="M2667" s="1">
        <v>1.0</v>
      </c>
      <c r="N2667" s="1" t="s">
        <v>1152</v>
      </c>
      <c r="O2667" s="3" t="s">
        <v>8851</v>
      </c>
      <c r="P2667" s="1" t="s">
        <v>1152</v>
      </c>
      <c r="Q2667" s="1" t="s">
        <v>1152</v>
      </c>
      <c r="R2667" s="1"/>
      <c r="S2667" s="1"/>
      <c r="T2667" s="1" t="s">
        <v>1152</v>
      </c>
      <c r="U2667" s="1" t="s">
        <v>1039</v>
      </c>
      <c r="V2667" s="4" t="s">
        <v>8851</v>
      </c>
      <c r="W2667" s="1"/>
      <c r="X2667" s="1" t="s">
        <v>1152</v>
      </c>
      <c r="Y2667" s="1" t="s">
        <v>1152</v>
      </c>
      <c r="Z2667" s="1"/>
      <c r="AA2667" s="1"/>
      <c r="AB2667" s="1"/>
      <c r="AC2667" s="1" t="s">
        <v>1925</v>
      </c>
      <c r="AD2667" s="1"/>
      <c r="AE2667" s="18">
        <v>46147.0</v>
      </c>
      <c r="AF2667" s="1"/>
      <c r="AG2667" s="1"/>
      <c r="AH2667" s="1" t="s">
        <v>1152</v>
      </c>
      <c r="AI2667" s="1" t="s">
        <v>1152</v>
      </c>
      <c r="AJ2667" s="1" t="s">
        <v>6372</v>
      </c>
      <c r="AK2667" s="1" t="s">
        <v>1152</v>
      </c>
      <c r="AL2667" s="6"/>
      <c r="AM2667" s="12">
        <v>9.17767691E9</v>
      </c>
    </row>
    <row r="2668">
      <c r="A2668" s="5" t="s">
        <v>12405</v>
      </c>
      <c r="B2668" s="1" t="s">
        <v>12406</v>
      </c>
      <c r="C2668" s="1" t="s">
        <v>5145</v>
      </c>
      <c r="D2668" s="2">
        <v>7.022929531E9</v>
      </c>
      <c r="E2668" s="1" t="s">
        <v>12407</v>
      </c>
      <c r="F2668" s="1" t="s">
        <v>12408</v>
      </c>
      <c r="G2668" s="1" t="s">
        <v>12409</v>
      </c>
      <c r="H2668" s="1" t="s">
        <v>5149</v>
      </c>
      <c r="I2668" s="1">
        <v>89084.0</v>
      </c>
      <c r="J2668" s="1" t="s">
        <v>752</v>
      </c>
      <c r="K2668" s="1" t="s">
        <v>42</v>
      </c>
      <c r="L2668" s="1" t="s">
        <v>6819</v>
      </c>
      <c r="M2668" s="1">
        <v>49.0</v>
      </c>
      <c r="N2668" s="1" t="s">
        <v>1152</v>
      </c>
      <c r="O2668" s="3"/>
      <c r="P2668" s="1" t="s">
        <v>1152</v>
      </c>
      <c r="Q2668" s="1" t="s">
        <v>1152</v>
      </c>
      <c r="R2668" s="1" t="s">
        <v>12408</v>
      </c>
      <c r="S2668" s="1"/>
      <c r="T2668" s="1" t="s">
        <v>1152</v>
      </c>
      <c r="U2668" s="1"/>
      <c r="V2668" s="4"/>
      <c r="W2668" s="1" t="s">
        <v>12408</v>
      </c>
      <c r="X2668" s="1" t="s">
        <v>1152</v>
      </c>
      <c r="Y2668" s="1" t="s">
        <v>1152</v>
      </c>
      <c r="Z2668" s="1"/>
      <c r="AA2668" s="1" t="s">
        <v>12408</v>
      </c>
      <c r="AB2668" s="1"/>
      <c r="AC2668" s="1" t="s">
        <v>1925</v>
      </c>
      <c r="AD2668" s="1"/>
      <c r="AE2668" s="18">
        <v>46158.0</v>
      </c>
      <c r="AF2668" s="1" t="s">
        <v>1030</v>
      </c>
      <c r="AG2668" s="1" t="s">
        <v>124</v>
      </c>
      <c r="AH2668" s="1" t="s">
        <v>1152</v>
      </c>
      <c r="AI2668" s="1" t="s">
        <v>1152</v>
      </c>
      <c r="AJ2668" s="1" t="s">
        <v>12410</v>
      </c>
      <c r="AK2668" s="1" t="s">
        <v>1152</v>
      </c>
      <c r="AL2668" s="6"/>
      <c r="AM2668" s="12">
        <v>7.027384346E9</v>
      </c>
    </row>
    <row r="2669">
      <c r="A2669" s="5" t="s">
        <v>12411</v>
      </c>
      <c r="B2669" s="1" t="s">
        <v>12412</v>
      </c>
      <c r="C2669" s="1" t="s">
        <v>12413</v>
      </c>
      <c r="D2669" s="2">
        <v>3.525141862E9</v>
      </c>
      <c r="E2669" s="1" t="s">
        <v>12414</v>
      </c>
      <c r="F2669" s="1"/>
      <c r="G2669" s="1" t="s">
        <v>8801</v>
      </c>
      <c r="H2669" s="1" t="s">
        <v>1038</v>
      </c>
      <c r="I2669" s="1">
        <v>22043.0</v>
      </c>
      <c r="J2669" s="1" t="s">
        <v>752</v>
      </c>
      <c r="K2669" s="1" t="s">
        <v>2131</v>
      </c>
      <c r="L2669" s="1" t="s">
        <v>5767</v>
      </c>
      <c r="M2669" s="1">
        <v>1.0</v>
      </c>
      <c r="N2669" s="1" t="s">
        <v>1152</v>
      </c>
      <c r="O2669" s="3" t="s">
        <v>2193</v>
      </c>
      <c r="P2669" s="1" t="s">
        <v>1152</v>
      </c>
      <c r="Q2669" s="1" t="s">
        <v>1152</v>
      </c>
      <c r="R2669" s="1"/>
      <c r="S2669" s="1"/>
      <c r="T2669" s="1" t="s">
        <v>1152</v>
      </c>
      <c r="U2669" s="1" t="s">
        <v>1487</v>
      </c>
      <c r="V2669" s="4" t="s">
        <v>2193</v>
      </c>
      <c r="W2669" s="1"/>
      <c r="X2669" s="1" t="s">
        <v>1152</v>
      </c>
      <c r="Y2669" s="1" t="s">
        <v>1152</v>
      </c>
      <c r="Z2669" s="1"/>
      <c r="AA2669" s="1"/>
      <c r="AB2669" s="1"/>
      <c r="AC2669" s="1" t="s">
        <v>1925</v>
      </c>
      <c r="AD2669" s="1"/>
      <c r="AE2669" s="18">
        <v>46150.0</v>
      </c>
      <c r="AF2669" s="1"/>
      <c r="AG2669" s="1"/>
      <c r="AH2669" s="1" t="s">
        <v>1152</v>
      </c>
      <c r="AI2669" s="1" t="s">
        <v>1152</v>
      </c>
      <c r="AJ2669" s="1" t="s">
        <v>12414</v>
      </c>
      <c r="AK2669" s="1" t="s">
        <v>1152</v>
      </c>
      <c r="AL2669" s="6"/>
      <c r="AM2669" s="12">
        <v>3.524513289E9</v>
      </c>
    </row>
    <row r="2670">
      <c r="A2670" s="5" t="s">
        <v>12415</v>
      </c>
      <c r="B2670" s="1" t="s">
        <v>12416</v>
      </c>
      <c r="C2670" s="1" t="s">
        <v>12417</v>
      </c>
      <c r="D2670" s="2">
        <v>2.133361008E9</v>
      </c>
      <c r="E2670" s="1" t="s">
        <v>7115</v>
      </c>
      <c r="F2670" s="1"/>
      <c r="G2670" s="1" t="s">
        <v>12418</v>
      </c>
      <c r="H2670" s="1" t="s">
        <v>989</v>
      </c>
      <c r="I2670" s="1">
        <v>91607.0</v>
      </c>
      <c r="J2670" s="1" t="s">
        <v>752</v>
      </c>
      <c r="K2670" s="1" t="s">
        <v>2131</v>
      </c>
      <c r="L2670" s="1" t="s">
        <v>5767</v>
      </c>
      <c r="M2670" s="1">
        <v>1.0</v>
      </c>
      <c r="N2670" s="1" t="s">
        <v>1152</v>
      </c>
      <c r="O2670" s="3" t="s">
        <v>6283</v>
      </c>
      <c r="P2670" s="1" t="s">
        <v>1152</v>
      </c>
      <c r="Q2670" s="1" t="s">
        <v>1152</v>
      </c>
      <c r="R2670" s="1"/>
      <c r="S2670" s="1"/>
      <c r="T2670" s="1" t="s">
        <v>1152</v>
      </c>
      <c r="U2670" s="1" t="s">
        <v>1133</v>
      </c>
      <c r="V2670" s="4" t="s">
        <v>6283</v>
      </c>
      <c r="W2670" s="1"/>
      <c r="X2670" s="1" t="s">
        <v>1152</v>
      </c>
      <c r="Y2670" s="1" t="s">
        <v>1152</v>
      </c>
      <c r="Z2670" s="1"/>
      <c r="AA2670" s="1"/>
      <c r="AB2670" s="1"/>
      <c r="AC2670" s="1" t="s">
        <v>1925</v>
      </c>
      <c r="AD2670" s="1"/>
      <c r="AE2670" s="18">
        <v>46146.0</v>
      </c>
      <c r="AF2670" s="1"/>
      <c r="AG2670" s="1"/>
      <c r="AH2670" s="1" t="s">
        <v>1152</v>
      </c>
      <c r="AI2670" s="1" t="s">
        <v>1152</v>
      </c>
      <c r="AJ2670" s="1" t="s">
        <v>7115</v>
      </c>
      <c r="AK2670" s="1" t="s">
        <v>1152</v>
      </c>
      <c r="AL2670" s="6"/>
      <c r="AM2670" s="12">
        <v>2.133361008E9</v>
      </c>
    </row>
    <row r="2671">
      <c r="A2671" s="5" t="s">
        <v>12419</v>
      </c>
      <c r="B2671" s="1" t="s">
        <v>12420</v>
      </c>
      <c r="C2671" s="1" t="s">
        <v>7166</v>
      </c>
      <c r="D2671" s="2"/>
      <c r="E2671" s="1" t="s">
        <v>7167</v>
      </c>
      <c r="F2671" s="1"/>
      <c r="G2671" s="1" t="s">
        <v>7168</v>
      </c>
      <c r="H2671" s="1" t="s">
        <v>989</v>
      </c>
      <c r="I2671" s="1">
        <v>91214.0</v>
      </c>
      <c r="J2671" s="1" t="s">
        <v>752</v>
      </c>
      <c r="K2671" s="1" t="s">
        <v>892</v>
      </c>
      <c r="L2671" s="1" t="s">
        <v>8006</v>
      </c>
      <c r="M2671" s="1">
        <v>49.0</v>
      </c>
      <c r="N2671" s="1" t="s">
        <v>1152</v>
      </c>
      <c r="O2671" s="3" t="s">
        <v>7847</v>
      </c>
      <c r="P2671" s="1" t="s">
        <v>1152</v>
      </c>
      <c r="Q2671" s="1" t="s">
        <v>1152</v>
      </c>
      <c r="R2671" s="1"/>
      <c r="S2671" s="1"/>
      <c r="T2671" s="1" t="s">
        <v>1152</v>
      </c>
      <c r="U2671" s="1" t="s">
        <v>1812</v>
      </c>
      <c r="V2671" s="4" t="s">
        <v>7847</v>
      </c>
      <c r="W2671" s="1"/>
      <c r="X2671" s="1" t="s">
        <v>1152</v>
      </c>
      <c r="Y2671" s="1" t="s">
        <v>1152</v>
      </c>
      <c r="Z2671" s="1"/>
      <c r="AA2671" s="1"/>
      <c r="AB2671" s="1"/>
      <c r="AC2671" s="1" t="s">
        <v>1925</v>
      </c>
      <c r="AD2671" s="1"/>
      <c r="AE2671" s="18">
        <v>46147.0</v>
      </c>
      <c r="AF2671" s="1" t="s">
        <v>1030</v>
      </c>
      <c r="AG2671" s="1" t="s">
        <v>52</v>
      </c>
      <c r="AH2671" s="1" t="s">
        <v>12421</v>
      </c>
      <c r="AI2671" s="1" t="s">
        <v>1152</v>
      </c>
      <c r="AJ2671" s="1" t="s">
        <v>7170</v>
      </c>
      <c r="AK2671" s="1" t="s">
        <v>1152</v>
      </c>
      <c r="AL2671" s="6"/>
      <c r="AM2671" s="12">
        <v>2.133427979E9</v>
      </c>
    </row>
    <row r="2672">
      <c r="A2672" s="5" t="s">
        <v>12422</v>
      </c>
      <c r="B2672" s="1" t="s">
        <v>12423</v>
      </c>
      <c r="C2672" s="1" t="s">
        <v>6873</v>
      </c>
      <c r="D2672" s="2">
        <v>9.496895443E9</v>
      </c>
      <c r="E2672" s="1" t="s">
        <v>6875</v>
      </c>
      <c r="F2672" s="1"/>
      <c r="G2672" s="1" t="s">
        <v>1983</v>
      </c>
      <c r="H2672" s="1" t="s">
        <v>989</v>
      </c>
      <c r="I2672" s="1">
        <v>92618.0</v>
      </c>
      <c r="J2672" s="1" t="s">
        <v>752</v>
      </c>
      <c r="K2672" s="1" t="s">
        <v>2131</v>
      </c>
      <c r="L2672" s="1" t="s">
        <v>5767</v>
      </c>
      <c r="M2672" s="1">
        <v>1.0</v>
      </c>
      <c r="N2672" s="1" t="s">
        <v>1152</v>
      </c>
      <c r="O2672" s="3" t="s">
        <v>2132</v>
      </c>
      <c r="P2672" s="1" t="s">
        <v>1152</v>
      </c>
      <c r="Q2672" s="1" t="s">
        <v>1152</v>
      </c>
      <c r="R2672" s="1"/>
      <c r="S2672" s="1"/>
      <c r="T2672" s="1" t="s">
        <v>1152</v>
      </c>
      <c r="U2672" s="1" t="s">
        <v>1407</v>
      </c>
      <c r="V2672" s="4" t="s">
        <v>2132</v>
      </c>
      <c r="W2672" s="1"/>
      <c r="X2672" s="1" t="s">
        <v>1152</v>
      </c>
      <c r="Y2672" s="1" t="s">
        <v>1152</v>
      </c>
      <c r="Z2672" s="1"/>
      <c r="AA2672" s="1"/>
      <c r="AB2672" s="1"/>
      <c r="AC2672" s="1" t="s">
        <v>1925</v>
      </c>
      <c r="AD2672" s="1"/>
      <c r="AE2672" s="18">
        <v>46149.0</v>
      </c>
      <c r="AF2672" s="1"/>
      <c r="AG2672" s="1"/>
      <c r="AH2672" s="1" t="s">
        <v>1152</v>
      </c>
      <c r="AI2672" s="1" t="s">
        <v>1152</v>
      </c>
      <c r="AJ2672" s="1" t="s">
        <v>6875</v>
      </c>
      <c r="AK2672" s="1" t="s">
        <v>1152</v>
      </c>
      <c r="AL2672" s="6"/>
      <c r="AM2672" s="12">
        <v>9.496895443E9</v>
      </c>
    </row>
    <row r="2673">
      <c r="A2673" s="5" t="s">
        <v>12424</v>
      </c>
      <c r="B2673" s="1" t="s">
        <v>12425</v>
      </c>
      <c r="C2673" s="1" t="s">
        <v>11025</v>
      </c>
      <c r="D2673" s="2">
        <v>9.292909646E9</v>
      </c>
      <c r="E2673" s="1" t="s">
        <v>11026</v>
      </c>
      <c r="F2673" s="1"/>
      <c r="G2673" s="1" t="s">
        <v>751</v>
      </c>
      <c r="H2673" s="1" t="s">
        <v>751</v>
      </c>
      <c r="I2673" s="1">
        <v>10023.0</v>
      </c>
      <c r="J2673" s="1" t="s">
        <v>752</v>
      </c>
      <c r="K2673" s="1" t="s">
        <v>892</v>
      </c>
      <c r="L2673" s="1" t="s">
        <v>8006</v>
      </c>
      <c r="M2673" s="1">
        <v>49.0</v>
      </c>
      <c r="N2673" s="1" t="s">
        <v>1152</v>
      </c>
      <c r="O2673" s="3" t="s">
        <v>11027</v>
      </c>
      <c r="P2673" s="1" t="s">
        <v>1152</v>
      </c>
      <c r="Q2673" s="1" t="s">
        <v>1152</v>
      </c>
      <c r="R2673" s="1"/>
      <c r="S2673" s="1"/>
      <c r="T2673" s="1" t="s">
        <v>1152</v>
      </c>
      <c r="U2673" s="1" t="s">
        <v>1812</v>
      </c>
      <c r="V2673" s="4" t="s">
        <v>11027</v>
      </c>
      <c r="W2673" s="1"/>
      <c r="X2673" s="1" t="s">
        <v>1152</v>
      </c>
      <c r="Y2673" s="1" t="s">
        <v>1152</v>
      </c>
      <c r="Z2673" s="1"/>
      <c r="AA2673" s="1"/>
      <c r="AB2673" s="1"/>
      <c r="AC2673" s="1" t="s">
        <v>1925</v>
      </c>
      <c r="AD2673" s="1"/>
      <c r="AE2673" s="18">
        <v>46148.0</v>
      </c>
      <c r="AF2673" s="1" t="s">
        <v>1030</v>
      </c>
      <c r="AG2673" s="1" t="s">
        <v>52</v>
      </c>
      <c r="AH2673" s="1" t="s">
        <v>12426</v>
      </c>
      <c r="AI2673" s="1" t="s">
        <v>12427</v>
      </c>
      <c r="AJ2673" s="1" t="s">
        <v>12428</v>
      </c>
      <c r="AK2673" s="1" t="s">
        <v>1152</v>
      </c>
      <c r="AL2673" s="6"/>
      <c r="AM2673" s="12">
        <v>9.292909646E9</v>
      </c>
    </row>
    <row r="2674">
      <c r="A2674" s="5" t="s">
        <v>12429</v>
      </c>
      <c r="B2674" s="1" t="s">
        <v>12430</v>
      </c>
      <c r="C2674" s="1" t="s">
        <v>499</v>
      </c>
      <c r="D2674" s="2">
        <v>2.036225122E9</v>
      </c>
      <c r="E2674" s="1" t="s">
        <v>501</v>
      </c>
      <c r="F2674" s="1"/>
      <c r="G2674" s="1" t="s">
        <v>1766</v>
      </c>
      <c r="H2674" s="1" t="s">
        <v>1078</v>
      </c>
      <c r="I2674" s="1">
        <v>6831.0</v>
      </c>
      <c r="J2674" s="1" t="s">
        <v>752</v>
      </c>
      <c r="K2674" s="1" t="s">
        <v>2131</v>
      </c>
      <c r="L2674" s="1" t="s">
        <v>5811</v>
      </c>
      <c r="M2674" s="1">
        <v>1.0</v>
      </c>
      <c r="N2674" s="1" t="s">
        <v>1152</v>
      </c>
      <c r="O2674" s="3" t="s">
        <v>503</v>
      </c>
      <c r="P2674" s="1" t="s">
        <v>1152</v>
      </c>
      <c r="Q2674" s="1" t="s">
        <v>1152</v>
      </c>
      <c r="R2674" s="1"/>
      <c r="S2674" s="1"/>
      <c r="T2674" s="1" t="s">
        <v>1152</v>
      </c>
      <c r="U2674" s="1" t="s">
        <v>1441</v>
      </c>
      <c r="V2674" s="4" t="s">
        <v>503</v>
      </c>
      <c r="W2674" s="1"/>
      <c r="X2674" s="1" t="s">
        <v>1152</v>
      </c>
      <c r="Y2674" s="1" t="s">
        <v>1152</v>
      </c>
      <c r="Z2674" s="1"/>
      <c r="AA2674" s="1"/>
      <c r="AB2674" s="1"/>
      <c r="AC2674" s="1" t="s">
        <v>1925</v>
      </c>
      <c r="AD2674" s="1"/>
      <c r="AE2674" s="18">
        <v>46153.0</v>
      </c>
      <c r="AF2674" s="1"/>
      <c r="AG2674" s="1"/>
      <c r="AH2674" s="1" t="s">
        <v>1152</v>
      </c>
      <c r="AI2674" s="1" t="s">
        <v>1152</v>
      </c>
      <c r="AJ2674" s="1" t="s">
        <v>501</v>
      </c>
      <c r="AK2674" s="1" t="s">
        <v>1152</v>
      </c>
      <c r="AL2674" s="6"/>
      <c r="AM2674" s="12">
        <v>2.035541142E9</v>
      </c>
    </row>
    <row r="2675">
      <c r="A2675" s="5" t="s">
        <v>12431</v>
      </c>
      <c r="B2675" s="1" t="s">
        <v>12432</v>
      </c>
      <c r="C2675" s="1" t="s">
        <v>5264</v>
      </c>
      <c r="D2675" s="2">
        <v>4.145874195E9</v>
      </c>
      <c r="E2675" s="1" t="s">
        <v>5265</v>
      </c>
      <c r="F2675" s="1"/>
      <c r="G2675" s="1" t="s">
        <v>10643</v>
      </c>
      <c r="H2675" s="1" t="s">
        <v>4448</v>
      </c>
      <c r="I2675" s="1">
        <v>53092.0</v>
      </c>
      <c r="J2675" s="1" t="s">
        <v>752</v>
      </c>
      <c r="K2675" s="1" t="s">
        <v>2131</v>
      </c>
      <c r="L2675" s="1" t="s">
        <v>5767</v>
      </c>
      <c r="M2675" s="1">
        <v>1.0</v>
      </c>
      <c r="N2675" s="1" t="s">
        <v>1152</v>
      </c>
      <c r="O2675" s="3" t="s">
        <v>4288</v>
      </c>
      <c r="P2675" s="1" t="s">
        <v>1152</v>
      </c>
      <c r="Q2675" s="1" t="s">
        <v>1152</v>
      </c>
      <c r="R2675" s="1"/>
      <c r="S2675" s="1"/>
      <c r="T2675" s="1" t="s">
        <v>1152</v>
      </c>
      <c r="U2675" s="1" t="s">
        <v>1249</v>
      </c>
      <c r="V2675" s="4" t="s">
        <v>4288</v>
      </c>
      <c r="W2675" s="1"/>
      <c r="X2675" s="1" t="s">
        <v>1152</v>
      </c>
      <c r="Y2675" s="1" t="s">
        <v>1152</v>
      </c>
      <c r="Z2675" s="1"/>
      <c r="AA2675" s="1"/>
      <c r="AB2675" s="1"/>
      <c r="AC2675" s="1" t="s">
        <v>1925</v>
      </c>
      <c r="AD2675" s="1"/>
      <c r="AE2675" s="18">
        <v>46148.0</v>
      </c>
      <c r="AF2675" s="1"/>
      <c r="AG2675" s="1"/>
      <c r="AH2675" s="1" t="s">
        <v>1152</v>
      </c>
      <c r="AI2675" s="1" t="s">
        <v>1152</v>
      </c>
      <c r="AJ2675" s="1" t="s">
        <v>12433</v>
      </c>
      <c r="AK2675" s="1" t="s">
        <v>1152</v>
      </c>
      <c r="AL2675" s="6"/>
      <c r="AM2675" s="12" t="s">
        <v>12434</v>
      </c>
    </row>
    <row r="2676">
      <c r="A2676" s="5" t="s">
        <v>12435</v>
      </c>
      <c r="B2676" s="1" t="s">
        <v>12436</v>
      </c>
      <c r="C2676" s="1" t="s">
        <v>1993</v>
      </c>
      <c r="D2676" s="2">
        <v>9.705909779E9</v>
      </c>
      <c r="E2676" s="1" t="s">
        <v>1994</v>
      </c>
      <c r="F2676" s="1"/>
      <c r="G2676" s="1" t="s">
        <v>1890</v>
      </c>
      <c r="H2676" s="1" t="s">
        <v>1891</v>
      </c>
      <c r="I2676" s="1">
        <v>80602.0</v>
      </c>
      <c r="J2676" s="1" t="s">
        <v>752</v>
      </c>
      <c r="K2676" s="1" t="s">
        <v>2131</v>
      </c>
      <c r="L2676" s="1" t="s">
        <v>5767</v>
      </c>
      <c r="M2676" s="1">
        <v>1.0</v>
      </c>
      <c r="N2676" s="1" t="s">
        <v>1152</v>
      </c>
      <c r="O2676" s="3" t="s">
        <v>1493</v>
      </c>
      <c r="P2676" s="1" t="s">
        <v>1152</v>
      </c>
      <c r="Q2676" s="1" t="s">
        <v>1152</v>
      </c>
      <c r="R2676" s="1"/>
      <c r="S2676" s="1"/>
      <c r="T2676" s="1" t="s">
        <v>1152</v>
      </c>
      <c r="U2676" s="1" t="s">
        <v>1148</v>
      </c>
      <c r="V2676" s="4" t="s">
        <v>1493</v>
      </c>
      <c r="W2676" s="1"/>
      <c r="X2676" s="1" t="s">
        <v>1152</v>
      </c>
      <c r="Y2676" s="1" t="s">
        <v>1152</v>
      </c>
      <c r="Z2676" s="1"/>
      <c r="AA2676" s="1"/>
      <c r="AB2676" s="1"/>
      <c r="AC2676" s="1" t="s">
        <v>1925</v>
      </c>
      <c r="AD2676" s="1"/>
      <c r="AE2676" s="18">
        <v>46143.0</v>
      </c>
      <c r="AF2676" s="1"/>
      <c r="AG2676" s="1"/>
      <c r="AH2676" s="1" t="s">
        <v>1152</v>
      </c>
      <c r="AI2676" s="1" t="s">
        <v>1152</v>
      </c>
      <c r="AJ2676" s="1" t="s">
        <v>1889</v>
      </c>
      <c r="AK2676" s="1" t="s">
        <v>1152</v>
      </c>
      <c r="AL2676" s="6"/>
      <c r="AM2676" s="12">
        <v>9.70939074E9</v>
      </c>
    </row>
    <row r="2677">
      <c r="A2677" s="5" t="s">
        <v>12437</v>
      </c>
      <c r="B2677" s="1" t="s">
        <v>12438</v>
      </c>
      <c r="C2677" s="1" t="s">
        <v>12439</v>
      </c>
      <c r="D2677" s="2">
        <v>2.017140733E9</v>
      </c>
      <c r="E2677" s="1" t="s">
        <v>12440</v>
      </c>
      <c r="F2677" s="1"/>
      <c r="G2677" s="1" t="s">
        <v>2350</v>
      </c>
      <c r="H2677" s="1" t="s">
        <v>1155</v>
      </c>
      <c r="I2677" s="1">
        <v>63105.0</v>
      </c>
      <c r="J2677" s="1" t="s">
        <v>752</v>
      </c>
      <c r="K2677" s="1" t="s">
        <v>42</v>
      </c>
      <c r="L2677" s="1" t="s">
        <v>6819</v>
      </c>
      <c r="M2677" s="1">
        <v>49.0</v>
      </c>
      <c r="N2677" s="1" t="s">
        <v>1152</v>
      </c>
      <c r="O2677" s="3" t="s">
        <v>12441</v>
      </c>
      <c r="P2677" s="1" t="s">
        <v>1152</v>
      </c>
      <c r="Q2677" s="1" t="s">
        <v>1152</v>
      </c>
      <c r="R2677" s="1"/>
      <c r="S2677" s="1"/>
      <c r="T2677" s="1" t="s">
        <v>1152</v>
      </c>
      <c r="U2677" s="1" t="s">
        <v>6053</v>
      </c>
      <c r="V2677" s="4" t="s">
        <v>12441</v>
      </c>
      <c r="W2677" s="1"/>
      <c r="X2677" s="1" t="s">
        <v>1152</v>
      </c>
      <c r="Y2677" s="1" t="s">
        <v>1152</v>
      </c>
      <c r="Z2677" s="1"/>
      <c r="AA2677" s="1"/>
      <c r="AB2677" s="1"/>
      <c r="AC2677" s="1" t="s">
        <v>1925</v>
      </c>
      <c r="AD2677" s="1"/>
      <c r="AE2677" s="18">
        <v>46144.0</v>
      </c>
      <c r="AF2677" s="1" t="s">
        <v>1349</v>
      </c>
      <c r="AG2677" s="1" t="s">
        <v>52</v>
      </c>
      <c r="AH2677" s="1" t="s">
        <v>1152</v>
      </c>
      <c r="AI2677" s="1" t="s">
        <v>1152</v>
      </c>
      <c r="AJ2677" s="1" t="s">
        <v>12440</v>
      </c>
      <c r="AK2677" s="1" t="s">
        <v>1152</v>
      </c>
      <c r="AL2677" s="6"/>
      <c r="AM2677" s="12">
        <v>2.017140733E9</v>
      </c>
    </row>
    <row r="2678">
      <c r="A2678" s="5" t="s">
        <v>12442</v>
      </c>
      <c r="B2678" s="1" t="s">
        <v>12443</v>
      </c>
      <c r="C2678" s="1" t="s">
        <v>12444</v>
      </c>
      <c r="D2678" s="2">
        <v>7.735518987E9</v>
      </c>
      <c r="E2678" s="1" t="s">
        <v>5896</v>
      </c>
      <c r="F2678" s="1"/>
      <c r="G2678" s="1" t="s">
        <v>5895</v>
      </c>
      <c r="H2678" s="1" t="s">
        <v>1019</v>
      </c>
      <c r="I2678" s="1">
        <v>60044.0</v>
      </c>
      <c r="J2678" s="1" t="s">
        <v>752</v>
      </c>
      <c r="K2678" s="1" t="s">
        <v>2131</v>
      </c>
      <c r="L2678" s="1" t="s">
        <v>5767</v>
      </c>
      <c r="M2678" s="1">
        <v>1.0</v>
      </c>
      <c r="N2678" s="1" t="s">
        <v>1152</v>
      </c>
      <c r="O2678" s="3" t="s">
        <v>5062</v>
      </c>
      <c r="P2678" s="1" t="s">
        <v>1152</v>
      </c>
      <c r="Q2678" s="1" t="s">
        <v>1152</v>
      </c>
      <c r="R2678" s="1"/>
      <c r="S2678" s="1"/>
      <c r="T2678" s="1" t="s">
        <v>1152</v>
      </c>
      <c r="U2678" s="1" t="s">
        <v>1749</v>
      </c>
      <c r="V2678" s="4" t="s">
        <v>5062</v>
      </c>
      <c r="W2678" s="1"/>
      <c r="X2678" s="1" t="s">
        <v>1152</v>
      </c>
      <c r="Y2678" s="1" t="s">
        <v>1152</v>
      </c>
      <c r="Z2678" s="1"/>
      <c r="AA2678" s="1"/>
      <c r="AB2678" s="1"/>
      <c r="AC2678" s="1" t="s">
        <v>1925</v>
      </c>
      <c r="AD2678" s="1"/>
      <c r="AE2678" s="18">
        <v>46149.0</v>
      </c>
      <c r="AF2678" s="1"/>
      <c r="AG2678" s="1"/>
      <c r="AH2678" s="1" t="s">
        <v>1152</v>
      </c>
      <c r="AI2678" s="1" t="s">
        <v>1152</v>
      </c>
      <c r="AJ2678" s="1" t="s">
        <v>5896</v>
      </c>
      <c r="AK2678" s="1" t="s">
        <v>1152</v>
      </c>
      <c r="AL2678" s="6"/>
      <c r="AM2678" s="12">
        <v>7.735518987E9</v>
      </c>
    </row>
    <row r="2679">
      <c r="A2679" s="5" t="s">
        <v>12445</v>
      </c>
      <c r="B2679" s="1" t="s">
        <v>12446</v>
      </c>
      <c r="C2679" s="1" t="s">
        <v>11240</v>
      </c>
      <c r="D2679" s="2">
        <v>3.142960885E9</v>
      </c>
      <c r="E2679" s="1" t="s">
        <v>12447</v>
      </c>
      <c r="F2679" s="1"/>
      <c r="G2679" s="1" t="s">
        <v>1283</v>
      </c>
      <c r="H2679" s="1" t="s">
        <v>1155</v>
      </c>
      <c r="I2679" s="1">
        <v>63105.0</v>
      </c>
      <c r="J2679" s="1" t="s">
        <v>752</v>
      </c>
      <c r="K2679" s="1" t="s">
        <v>42</v>
      </c>
      <c r="L2679" s="1" t="s">
        <v>7863</v>
      </c>
      <c r="M2679" s="1">
        <v>79.0</v>
      </c>
      <c r="N2679" s="1" t="s">
        <v>1152</v>
      </c>
      <c r="O2679" s="3" t="s">
        <v>11242</v>
      </c>
      <c r="P2679" s="1" t="s">
        <v>1152</v>
      </c>
      <c r="Q2679" s="1" t="s">
        <v>1152</v>
      </c>
      <c r="R2679" s="1"/>
      <c r="S2679" s="1"/>
      <c r="T2679" s="1" t="s">
        <v>1152</v>
      </c>
      <c r="U2679" s="1" t="s">
        <v>6053</v>
      </c>
      <c r="V2679" s="4" t="s">
        <v>11242</v>
      </c>
      <c r="W2679" s="1"/>
      <c r="X2679" s="1" t="s">
        <v>1152</v>
      </c>
      <c r="Y2679" s="1" t="s">
        <v>1152</v>
      </c>
      <c r="Z2679" s="1"/>
      <c r="AA2679" s="1"/>
      <c r="AB2679" s="1"/>
      <c r="AC2679" s="1" t="s">
        <v>1925</v>
      </c>
      <c r="AD2679" s="1"/>
      <c r="AE2679" s="18">
        <v>46148.0</v>
      </c>
      <c r="AF2679" s="1" t="s">
        <v>1440</v>
      </c>
      <c r="AG2679" s="1" t="s">
        <v>52</v>
      </c>
      <c r="AH2679" s="1" t="s">
        <v>1152</v>
      </c>
      <c r="AI2679" s="1" t="s">
        <v>1152</v>
      </c>
      <c r="AJ2679" s="1" t="s">
        <v>11241</v>
      </c>
      <c r="AK2679" s="1" t="s">
        <v>1152</v>
      </c>
      <c r="AL2679" s="6"/>
      <c r="AM2679" s="12" t="s">
        <v>12448</v>
      </c>
    </row>
    <row r="2680">
      <c r="A2680" s="5" t="s">
        <v>12449</v>
      </c>
      <c r="B2680" s="1" t="s">
        <v>12450</v>
      </c>
      <c r="C2680" s="1" t="s">
        <v>12451</v>
      </c>
      <c r="D2680" s="2">
        <v>7.046182366E9</v>
      </c>
      <c r="E2680" s="1" t="s">
        <v>6738</v>
      </c>
      <c r="F2680" s="1"/>
      <c r="G2680" s="1" t="s">
        <v>6305</v>
      </c>
      <c r="H2680" s="1" t="s">
        <v>1438</v>
      </c>
      <c r="I2680" s="1">
        <v>28210.0</v>
      </c>
      <c r="J2680" s="1" t="s">
        <v>752</v>
      </c>
      <c r="K2680" s="1" t="s">
        <v>2131</v>
      </c>
      <c r="L2680" s="1" t="s">
        <v>5767</v>
      </c>
      <c r="M2680" s="1">
        <v>1.0</v>
      </c>
      <c r="N2680" s="1" t="s">
        <v>1152</v>
      </c>
      <c r="O2680" s="3" t="s">
        <v>12452</v>
      </c>
      <c r="P2680" s="1" t="s">
        <v>1152</v>
      </c>
      <c r="Q2680" s="1" t="s">
        <v>1152</v>
      </c>
      <c r="R2680" s="1"/>
      <c r="S2680" s="1"/>
      <c r="T2680" s="1" t="s">
        <v>1152</v>
      </c>
      <c r="U2680" s="1" t="s">
        <v>1065</v>
      </c>
      <c r="V2680" s="4" t="s">
        <v>12452</v>
      </c>
      <c r="W2680" s="1"/>
      <c r="X2680" s="1" t="s">
        <v>1152</v>
      </c>
      <c r="Y2680" s="1" t="s">
        <v>1152</v>
      </c>
      <c r="Z2680" s="1"/>
      <c r="AA2680" s="1"/>
      <c r="AB2680" s="1"/>
      <c r="AC2680" s="1" t="s">
        <v>1925</v>
      </c>
      <c r="AD2680" s="1"/>
      <c r="AE2680" s="18">
        <v>46147.0</v>
      </c>
      <c r="AF2680" s="1"/>
      <c r="AG2680" s="1"/>
      <c r="AH2680" s="1" t="s">
        <v>1152</v>
      </c>
      <c r="AI2680" s="1" t="s">
        <v>1152</v>
      </c>
      <c r="AJ2680" s="1" t="s">
        <v>6740</v>
      </c>
      <c r="AK2680" s="1" t="s">
        <v>1152</v>
      </c>
      <c r="AL2680" s="6"/>
      <c r="AM2680" s="12">
        <v>7.046141804E9</v>
      </c>
    </row>
    <row r="2681">
      <c r="A2681" s="5" t="s">
        <v>12453</v>
      </c>
      <c r="B2681" s="1" t="s">
        <v>12454</v>
      </c>
      <c r="C2681" s="1" t="s">
        <v>12455</v>
      </c>
      <c r="D2681" s="2">
        <v>2.014480298E9</v>
      </c>
      <c r="E2681" s="1" t="s">
        <v>9066</v>
      </c>
      <c r="F2681" s="1"/>
      <c r="G2681" s="1" t="s">
        <v>9067</v>
      </c>
      <c r="H2681" s="1" t="s">
        <v>1053</v>
      </c>
      <c r="I2681" s="1" t="s">
        <v>12456</v>
      </c>
      <c r="J2681" s="1" t="s">
        <v>752</v>
      </c>
      <c r="K2681" s="1" t="s">
        <v>42</v>
      </c>
      <c r="L2681" s="1" t="s">
        <v>6819</v>
      </c>
      <c r="M2681" s="1">
        <v>49.0</v>
      </c>
      <c r="N2681" s="1" t="s">
        <v>1152</v>
      </c>
      <c r="O2681" s="3" t="s">
        <v>4745</v>
      </c>
      <c r="P2681" s="1" t="s">
        <v>1152</v>
      </c>
      <c r="Q2681" s="1" t="s">
        <v>1152</v>
      </c>
      <c r="R2681" s="1"/>
      <c r="S2681" s="1"/>
      <c r="T2681" s="1" t="s">
        <v>1152</v>
      </c>
      <c r="U2681" s="1" t="s">
        <v>9069</v>
      </c>
      <c r="V2681" s="4" t="s">
        <v>4745</v>
      </c>
      <c r="W2681" s="1"/>
      <c r="X2681" s="1" t="s">
        <v>1152</v>
      </c>
      <c r="Y2681" s="1" t="s">
        <v>1152</v>
      </c>
      <c r="Z2681" s="1"/>
      <c r="AA2681" s="1"/>
      <c r="AB2681" s="1"/>
      <c r="AC2681" s="1" t="s">
        <v>1925</v>
      </c>
      <c r="AD2681" s="1"/>
      <c r="AE2681" s="18">
        <v>46147.0</v>
      </c>
      <c r="AF2681" s="1" t="s">
        <v>1349</v>
      </c>
      <c r="AG2681" s="1" t="s">
        <v>52</v>
      </c>
      <c r="AH2681" s="1" t="s">
        <v>1152</v>
      </c>
      <c r="AI2681" s="1" t="s">
        <v>1152</v>
      </c>
      <c r="AJ2681" s="1" t="s">
        <v>9066</v>
      </c>
      <c r="AK2681" s="1" t="s">
        <v>1152</v>
      </c>
      <c r="AL2681" s="6"/>
      <c r="AM2681" s="12">
        <v>2.014480298E9</v>
      </c>
    </row>
    <row r="2682">
      <c r="A2682" s="5" t="s">
        <v>12457</v>
      </c>
      <c r="B2682" s="1" t="s">
        <v>12458</v>
      </c>
      <c r="C2682" s="1" t="s">
        <v>4182</v>
      </c>
      <c r="D2682" s="2">
        <v>7.032822939E9</v>
      </c>
      <c r="E2682" s="1" t="s">
        <v>4183</v>
      </c>
      <c r="F2682" s="1"/>
      <c r="G2682" s="1" t="s">
        <v>1037</v>
      </c>
      <c r="H2682" s="1" t="s">
        <v>1038</v>
      </c>
      <c r="I2682" s="1">
        <v>22205.0</v>
      </c>
      <c r="J2682" s="1" t="s">
        <v>752</v>
      </c>
      <c r="K2682" s="1" t="s">
        <v>2131</v>
      </c>
      <c r="L2682" s="1" t="s">
        <v>5767</v>
      </c>
      <c r="M2682" s="1">
        <v>1.0</v>
      </c>
      <c r="N2682" s="1" t="s">
        <v>1152</v>
      </c>
      <c r="O2682" s="3" t="s">
        <v>4184</v>
      </c>
      <c r="P2682" s="1" t="s">
        <v>1152</v>
      </c>
      <c r="Q2682" s="1" t="s">
        <v>1152</v>
      </c>
      <c r="R2682" s="1"/>
      <c r="S2682" s="1"/>
      <c r="T2682" s="1" t="s">
        <v>1152</v>
      </c>
      <c r="U2682" s="1" t="s">
        <v>1441</v>
      </c>
      <c r="V2682" s="4" t="s">
        <v>4184</v>
      </c>
      <c r="W2682" s="1"/>
      <c r="X2682" s="1" t="s">
        <v>1152</v>
      </c>
      <c r="Y2682" s="1" t="s">
        <v>1152</v>
      </c>
      <c r="Z2682" s="1"/>
      <c r="AA2682" s="1"/>
      <c r="AB2682" s="1"/>
      <c r="AC2682" s="1" t="s">
        <v>1925</v>
      </c>
      <c r="AD2682" s="1"/>
      <c r="AE2682" s="18">
        <v>46149.0</v>
      </c>
      <c r="AF2682" s="1"/>
      <c r="AG2682" s="1"/>
      <c r="AH2682" s="1" t="s">
        <v>1152</v>
      </c>
      <c r="AI2682" s="1" t="s">
        <v>1152</v>
      </c>
      <c r="AJ2682" s="1" t="s">
        <v>12459</v>
      </c>
      <c r="AK2682" s="1" t="s">
        <v>1152</v>
      </c>
      <c r="AL2682" s="6"/>
      <c r="AM2682" s="12">
        <v>7.039675663E9</v>
      </c>
    </row>
    <row r="2683">
      <c r="A2683" s="5" t="s">
        <v>12460</v>
      </c>
      <c r="B2683" s="1" t="s">
        <v>12461</v>
      </c>
      <c r="C2683" s="1" t="s">
        <v>12462</v>
      </c>
      <c r="D2683" s="2">
        <v>4.085156677E9</v>
      </c>
      <c r="E2683" s="1" t="s">
        <v>12463</v>
      </c>
      <c r="F2683" s="1"/>
      <c r="G2683" s="1" t="s">
        <v>1843</v>
      </c>
      <c r="H2683" s="1" t="s">
        <v>1583</v>
      </c>
      <c r="I2683" s="1">
        <v>75063.0</v>
      </c>
      <c r="J2683" s="1" t="s">
        <v>752</v>
      </c>
      <c r="K2683" s="1" t="s">
        <v>42</v>
      </c>
      <c r="L2683" s="1" t="s">
        <v>6819</v>
      </c>
      <c r="M2683" s="1">
        <v>49.0</v>
      </c>
      <c r="N2683" s="1" t="s">
        <v>1152</v>
      </c>
      <c r="O2683" s="3" t="s">
        <v>12464</v>
      </c>
      <c r="P2683" s="1" t="s">
        <v>1152</v>
      </c>
      <c r="Q2683" s="1" t="s">
        <v>1152</v>
      </c>
      <c r="R2683" s="1"/>
      <c r="S2683" s="1"/>
      <c r="T2683" s="1" t="s">
        <v>1152</v>
      </c>
      <c r="U2683" s="1" t="s">
        <v>7909</v>
      </c>
      <c r="V2683" s="4" t="s">
        <v>12464</v>
      </c>
      <c r="W2683" s="1"/>
      <c r="X2683" s="1" t="s">
        <v>1152</v>
      </c>
      <c r="Y2683" s="1" t="s">
        <v>1152</v>
      </c>
      <c r="Z2683" s="1"/>
      <c r="AA2683" s="1"/>
      <c r="AB2683" s="1"/>
      <c r="AC2683" s="1" t="s">
        <v>1925</v>
      </c>
      <c r="AD2683" s="1"/>
      <c r="AE2683" s="18">
        <v>46149.0</v>
      </c>
      <c r="AF2683" s="1" t="s">
        <v>1030</v>
      </c>
      <c r="AG2683" s="1" t="s">
        <v>52</v>
      </c>
      <c r="AH2683" s="1" t="s">
        <v>1152</v>
      </c>
      <c r="AI2683" s="1" t="s">
        <v>12465</v>
      </c>
      <c r="AJ2683" s="1" t="s">
        <v>12466</v>
      </c>
      <c r="AK2683" s="1" t="s">
        <v>1152</v>
      </c>
      <c r="AL2683" s="6"/>
      <c r="AM2683" s="12">
        <v>4.692308589E9</v>
      </c>
    </row>
    <row r="2684">
      <c r="A2684" s="5" t="s">
        <v>12467</v>
      </c>
      <c r="B2684" s="1" t="s">
        <v>12468</v>
      </c>
      <c r="C2684" s="1" t="s">
        <v>12469</v>
      </c>
      <c r="D2684" s="2">
        <v>9.17332704E9</v>
      </c>
      <c r="E2684" s="1" t="s">
        <v>3520</v>
      </c>
      <c r="F2684" s="1"/>
      <c r="G2684" s="1" t="s">
        <v>3521</v>
      </c>
      <c r="H2684" s="1" t="s">
        <v>751</v>
      </c>
      <c r="I2684" s="1">
        <v>11545.0</v>
      </c>
      <c r="J2684" s="1" t="s">
        <v>752</v>
      </c>
      <c r="K2684" s="1" t="s">
        <v>2131</v>
      </c>
      <c r="L2684" s="1" t="s">
        <v>5811</v>
      </c>
      <c r="M2684" s="1">
        <v>1.0</v>
      </c>
      <c r="N2684" s="1" t="s">
        <v>1152</v>
      </c>
      <c r="O2684" s="3" t="s">
        <v>3477</v>
      </c>
      <c r="P2684" s="1" t="s">
        <v>1152</v>
      </c>
      <c r="Q2684" s="1" t="s">
        <v>1152</v>
      </c>
      <c r="R2684" s="1"/>
      <c r="S2684" s="1"/>
      <c r="T2684" s="1" t="s">
        <v>1152</v>
      </c>
      <c r="U2684" s="1" t="s">
        <v>1812</v>
      </c>
      <c r="V2684" s="4" t="s">
        <v>3477</v>
      </c>
      <c r="W2684" s="1"/>
      <c r="X2684" s="1" t="s">
        <v>1152</v>
      </c>
      <c r="Y2684" s="1" t="s">
        <v>1152</v>
      </c>
      <c r="Z2684" s="1"/>
      <c r="AA2684" s="1"/>
      <c r="AB2684" s="1"/>
      <c r="AC2684" s="1" t="s">
        <v>1925</v>
      </c>
      <c r="AD2684" s="1"/>
      <c r="AE2684" s="18">
        <v>46150.0</v>
      </c>
      <c r="AF2684" s="1"/>
      <c r="AG2684" s="1"/>
      <c r="AH2684" s="1" t="s">
        <v>1152</v>
      </c>
      <c r="AI2684" s="1" t="s">
        <v>1152</v>
      </c>
      <c r="AJ2684" s="1" t="s">
        <v>3520</v>
      </c>
      <c r="AK2684" s="1" t="s">
        <v>1152</v>
      </c>
      <c r="AL2684" s="6"/>
      <c r="AM2684" s="12">
        <v>9.17332704E9</v>
      </c>
    </row>
    <row r="2685">
      <c r="A2685" s="5" t="s">
        <v>12470</v>
      </c>
      <c r="B2685" s="1" t="s">
        <v>12471</v>
      </c>
      <c r="C2685" s="1" t="s">
        <v>10774</v>
      </c>
      <c r="D2685" s="2">
        <v>3.142241746E9</v>
      </c>
      <c r="E2685" s="1" t="s">
        <v>10775</v>
      </c>
      <c r="F2685" s="1"/>
      <c r="G2685" s="1" t="s">
        <v>1283</v>
      </c>
      <c r="H2685" s="1" t="s">
        <v>1155</v>
      </c>
      <c r="I2685" s="1">
        <v>63105.0</v>
      </c>
      <c r="J2685" s="1" t="s">
        <v>752</v>
      </c>
      <c r="K2685" s="1" t="s">
        <v>51</v>
      </c>
      <c r="L2685" s="1" t="s">
        <v>5722</v>
      </c>
      <c r="M2685" s="1">
        <v>1.0</v>
      </c>
      <c r="N2685" s="1" t="s">
        <v>2461</v>
      </c>
      <c r="O2685" s="3" t="s">
        <v>7261</v>
      </c>
      <c r="P2685" s="18">
        <v>46256.0</v>
      </c>
      <c r="Q2685" s="1" t="s">
        <v>2731</v>
      </c>
      <c r="R2685" s="1"/>
      <c r="S2685" s="1" t="s">
        <v>52</v>
      </c>
      <c r="T2685" s="1" t="s">
        <v>2461</v>
      </c>
      <c r="U2685" s="1" t="s">
        <v>1794</v>
      </c>
      <c r="V2685" s="4" t="s">
        <v>7261</v>
      </c>
      <c r="W2685" s="1"/>
      <c r="X2685" s="18">
        <v>46256.0</v>
      </c>
      <c r="Y2685" s="1" t="s">
        <v>2731</v>
      </c>
      <c r="Z2685" s="1"/>
      <c r="AA2685" s="1"/>
      <c r="AB2685" s="1" t="s">
        <v>52</v>
      </c>
      <c r="AC2685" s="1" t="s">
        <v>1925</v>
      </c>
      <c r="AD2685" s="1"/>
      <c r="AE2685" s="1" t="s">
        <v>1152</v>
      </c>
      <c r="AF2685" s="1"/>
      <c r="AG2685" s="1"/>
      <c r="AH2685" s="1" t="s">
        <v>1152</v>
      </c>
      <c r="AI2685" s="1" t="s">
        <v>1152</v>
      </c>
      <c r="AJ2685" s="1" t="s">
        <v>10775</v>
      </c>
      <c r="AK2685" s="1" t="s">
        <v>1152</v>
      </c>
      <c r="AL2685" s="6"/>
      <c r="AM2685" s="12">
        <v>3.142241746E9</v>
      </c>
    </row>
    <row r="2686">
      <c r="A2686" s="5" t="s">
        <v>12472</v>
      </c>
      <c r="B2686" s="1" t="s">
        <v>12473</v>
      </c>
      <c r="C2686" s="1" t="s">
        <v>2139</v>
      </c>
      <c r="D2686" s="2">
        <v>8.47778278E9</v>
      </c>
      <c r="E2686" s="1" t="s">
        <v>12474</v>
      </c>
      <c r="F2686" s="1"/>
      <c r="G2686" s="1" t="s">
        <v>1269</v>
      </c>
      <c r="H2686" s="1" t="s">
        <v>1019</v>
      </c>
      <c r="I2686" s="1">
        <v>60022.0</v>
      </c>
      <c r="J2686" s="1" t="s">
        <v>752</v>
      </c>
      <c r="K2686" s="1" t="s">
        <v>2131</v>
      </c>
      <c r="L2686" s="1" t="s">
        <v>5767</v>
      </c>
      <c r="M2686" s="1">
        <v>1.0</v>
      </c>
      <c r="N2686" s="1" t="s">
        <v>1152</v>
      </c>
      <c r="O2686" s="3" t="s">
        <v>2141</v>
      </c>
      <c r="P2686" s="1" t="s">
        <v>1152</v>
      </c>
      <c r="Q2686" s="1" t="s">
        <v>1152</v>
      </c>
      <c r="R2686" s="1"/>
      <c r="S2686" s="1"/>
      <c r="T2686" s="1" t="s">
        <v>1152</v>
      </c>
      <c r="U2686" s="1" t="s">
        <v>1039</v>
      </c>
      <c r="V2686" s="4" t="s">
        <v>2141</v>
      </c>
      <c r="W2686" s="1"/>
      <c r="X2686" s="1" t="s">
        <v>1152</v>
      </c>
      <c r="Y2686" s="1" t="s">
        <v>1152</v>
      </c>
      <c r="Z2686" s="1"/>
      <c r="AA2686" s="1"/>
      <c r="AB2686" s="1"/>
      <c r="AC2686" s="1" t="s">
        <v>1925</v>
      </c>
      <c r="AD2686" s="1"/>
      <c r="AE2686" s="18">
        <v>46148.0</v>
      </c>
      <c r="AF2686" s="1"/>
      <c r="AG2686" s="1"/>
      <c r="AH2686" s="1" t="s">
        <v>1152</v>
      </c>
      <c r="AI2686" s="1" t="s">
        <v>1152</v>
      </c>
      <c r="AJ2686" s="1" t="s">
        <v>12474</v>
      </c>
      <c r="AK2686" s="1" t="s">
        <v>1152</v>
      </c>
      <c r="AL2686" s="6"/>
      <c r="AM2686" s="12">
        <v>8.47778278E9</v>
      </c>
    </row>
    <row r="2687">
      <c r="A2687" s="5" t="s">
        <v>12475</v>
      </c>
      <c r="B2687" s="1" t="s">
        <v>12476</v>
      </c>
      <c r="C2687" s="1" t="s">
        <v>12477</v>
      </c>
      <c r="D2687" s="2">
        <v>7.13367085E9</v>
      </c>
      <c r="E2687" s="1" t="s">
        <v>12478</v>
      </c>
      <c r="F2687" s="1"/>
      <c r="G2687" s="1" t="s">
        <v>1609</v>
      </c>
      <c r="H2687" s="1" t="s">
        <v>1583</v>
      </c>
      <c r="I2687" s="1" t="s">
        <v>12479</v>
      </c>
      <c r="J2687" s="1" t="s">
        <v>752</v>
      </c>
      <c r="K2687" s="1" t="s">
        <v>7981</v>
      </c>
      <c r="L2687" s="1" t="s">
        <v>6819</v>
      </c>
      <c r="M2687" s="1">
        <v>49.0</v>
      </c>
      <c r="N2687" s="1" t="s">
        <v>1152</v>
      </c>
      <c r="O2687" s="3" t="s">
        <v>5228</v>
      </c>
      <c r="P2687" s="1" t="s">
        <v>1152</v>
      </c>
      <c r="Q2687" s="1" t="s">
        <v>1152</v>
      </c>
      <c r="R2687" s="1"/>
      <c r="S2687" s="1"/>
      <c r="T2687" s="1" t="s">
        <v>1152</v>
      </c>
      <c r="U2687" s="1" t="s">
        <v>1828</v>
      </c>
      <c r="V2687" s="4" t="s">
        <v>5228</v>
      </c>
      <c r="W2687" s="1"/>
      <c r="X2687" s="1" t="s">
        <v>1152</v>
      </c>
      <c r="Y2687" s="1" t="s">
        <v>1152</v>
      </c>
      <c r="Z2687" s="1"/>
      <c r="AA2687" s="1"/>
      <c r="AB2687" s="1"/>
      <c r="AC2687" s="1" t="s">
        <v>1925</v>
      </c>
      <c r="AD2687" s="1"/>
      <c r="AE2687" s="18">
        <v>46146.0</v>
      </c>
      <c r="AF2687" s="1" t="s">
        <v>1030</v>
      </c>
      <c r="AG2687" s="1" t="s">
        <v>52</v>
      </c>
      <c r="AH2687" s="1" t="s">
        <v>1152</v>
      </c>
      <c r="AI2687" s="1" t="s">
        <v>1152</v>
      </c>
      <c r="AJ2687" s="1" t="s">
        <v>12478</v>
      </c>
      <c r="AK2687" s="1" t="s">
        <v>1152</v>
      </c>
      <c r="AL2687" s="6"/>
      <c r="AM2687" s="12">
        <v>7.13367085E9</v>
      </c>
    </row>
    <row r="2688">
      <c r="A2688" s="5" t="s">
        <v>12480</v>
      </c>
      <c r="B2688" s="1" t="s">
        <v>12481</v>
      </c>
      <c r="C2688" s="1" t="s">
        <v>6618</v>
      </c>
      <c r="D2688" s="2">
        <v>3.14398904E9</v>
      </c>
      <c r="E2688" s="1" t="s">
        <v>6620</v>
      </c>
      <c r="F2688" s="1"/>
      <c r="G2688" s="1" t="s">
        <v>1283</v>
      </c>
      <c r="H2688" s="1" t="s">
        <v>1155</v>
      </c>
      <c r="I2688" s="1">
        <v>63105.0</v>
      </c>
      <c r="J2688" s="1" t="s">
        <v>752</v>
      </c>
      <c r="K2688" s="1" t="s">
        <v>2131</v>
      </c>
      <c r="L2688" s="1" t="s">
        <v>6107</v>
      </c>
      <c r="M2688" s="1">
        <v>1.0</v>
      </c>
      <c r="N2688" s="1" t="s">
        <v>1152</v>
      </c>
      <c r="O2688" s="3" t="s">
        <v>12482</v>
      </c>
      <c r="P2688" s="1" t="s">
        <v>1152</v>
      </c>
      <c r="Q2688" s="1" t="s">
        <v>1152</v>
      </c>
      <c r="R2688" s="1"/>
      <c r="S2688" s="1"/>
      <c r="T2688" s="1" t="s">
        <v>1152</v>
      </c>
      <c r="U2688" s="1" t="s">
        <v>1277</v>
      </c>
      <c r="V2688" s="4" t="s">
        <v>12482</v>
      </c>
      <c r="W2688" s="1"/>
      <c r="X2688" s="1" t="s">
        <v>1152</v>
      </c>
      <c r="Y2688" s="1" t="s">
        <v>1152</v>
      </c>
      <c r="Z2688" s="1"/>
      <c r="AA2688" s="1"/>
      <c r="AB2688" s="1"/>
      <c r="AC2688" s="1" t="s">
        <v>1925</v>
      </c>
      <c r="AD2688" s="1"/>
      <c r="AE2688" s="18">
        <v>46149.0</v>
      </c>
      <c r="AF2688" s="1"/>
      <c r="AG2688" s="1"/>
      <c r="AH2688" s="1" t="s">
        <v>1152</v>
      </c>
      <c r="AI2688" s="1" t="s">
        <v>1152</v>
      </c>
      <c r="AJ2688" s="1" t="s">
        <v>6620</v>
      </c>
      <c r="AK2688" s="1" t="s">
        <v>1152</v>
      </c>
      <c r="AL2688" s="6"/>
      <c r="AM2688" s="12">
        <v>3.14398904E9</v>
      </c>
    </row>
    <row r="2689">
      <c r="A2689" s="5" t="s">
        <v>12483</v>
      </c>
      <c r="B2689" s="1" t="s">
        <v>12484</v>
      </c>
      <c r="C2689" s="1" t="s">
        <v>6910</v>
      </c>
      <c r="D2689" s="2">
        <v>6.178933213E9</v>
      </c>
      <c r="E2689" s="1" t="s">
        <v>6911</v>
      </c>
      <c r="F2689" s="1"/>
      <c r="G2689" s="1" t="s">
        <v>2459</v>
      </c>
      <c r="H2689" s="1" t="s">
        <v>1121</v>
      </c>
      <c r="I2689" s="1">
        <v>2186.0</v>
      </c>
      <c r="J2689" s="1" t="s">
        <v>752</v>
      </c>
      <c r="K2689" s="1" t="s">
        <v>42</v>
      </c>
      <c r="L2689" s="1" t="s">
        <v>6819</v>
      </c>
      <c r="M2689" s="1">
        <v>49.0</v>
      </c>
      <c r="N2689" s="1" t="s">
        <v>1152</v>
      </c>
      <c r="O2689" s="3" t="s">
        <v>3684</v>
      </c>
      <c r="P2689" s="1" t="s">
        <v>1152</v>
      </c>
      <c r="Q2689" s="1" t="s">
        <v>1152</v>
      </c>
      <c r="R2689" s="1"/>
      <c r="S2689" s="1"/>
      <c r="T2689" s="1" t="s">
        <v>1152</v>
      </c>
      <c r="U2689" s="1" t="s">
        <v>1407</v>
      </c>
      <c r="V2689" s="4" t="s">
        <v>3684</v>
      </c>
      <c r="W2689" s="1"/>
      <c r="X2689" s="1" t="s">
        <v>1152</v>
      </c>
      <c r="Y2689" s="1" t="s">
        <v>1152</v>
      </c>
      <c r="Z2689" s="1"/>
      <c r="AA2689" s="1"/>
      <c r="AB2689" s="1"/>
      <c r="AC2689" s="1" t="s">
        <v>1925</v>
      </c>
      <c r="AD2689" s="1"/>
      <c r="AE2689" s="18">
        <v>46147.0</v>
      </c>
      <c r="AF2689" s="1" t="s">
        <v>1103</v>
      </c>
      <c r="AG2689" s="1" t="s">
        <v>52</v>
      </c>
      <c r="AH2689" s="1" t="s">
        <v>1152</v>
      </c>
      <c r="AI2689" s="1" t="s">
        <v>1152</v>
      </c>
      <c r="AJ2689" s="1" t="s">
        <v>6911</v>
      </c>
      <c r="AK2689" s="1" t="s">
        <v>1152</v>
      </c>
      <c r="AL2689" s="6"/>
      <c r="AM2689" s="12">
        <v>6.178933213E9</v>
      </c>
    </row>
    <row r="2690">
      <c r="A2690" s="5" t="s">
        <v>12485</v>
      </c>
      <c r="B2690" s="1" t="s">
        <v>12486</v>
      </c>
      <c r="C2690" s="1" t="s">
        <v>2028</v>
      </c>
      <c r="D2690" s="2">
        <v>3.108934482E9</v>
      </c>
      <c r="E2690" s="1" t="s">
        <v>2029</v>
      </c>
      <c r="F2690" s="1"/>
      <c r="G2690" s="1" t="s">
        <v>1179</v>
      </c>
      <c r="H2690" s="1" t="s">
        <v>989</v>
      </c>
      <c r="I2690" s="1">
        <v>90077.0</v>
      </c>
      <c r="J2690" s="1" t="s">
        <v>752</v>
      </c>
      <c r="K2690" s="1" t="s">
        <v>42</v>
      </c>
      <c r="L2690" s="1" t="s">
        <v>6819</v>
      </c>
      <c r="M2690" s="1">
        <v>49.0</v>
      </c>
      <c r="N2690" s="1" t="s">
        <v>1152</v>
      </c>
      <c r="O2690" s="3" t="s">
        <v>12487</v>
      </c>
      <c r="P2690" s="1" t="s">
        <v>1152</v>
      </c>
      <c r="Q2690" s="1" t="s">
        <v>1152</v>
      </c>
      <c r="R2690" s="1"/>
      <c r="S2690" s="1"/>
      <c r="T2690" s="1" t="s">
        <v>1152</v>
      </c>
      <c r="U2690" s="1" t="s">
        <v>1407</v>
      </c>
      <c r="V2690" s="4" t="s">
        <v>12487</v>
      </c>
      <c r="W2690" s="1"/>
      <c r="X2690" s="1" t="s">
        <v>1152</v>
      </c>
      <c r="Y2690" s="1" t="s">
        <v>1152</v>
      </c>
      <c r="Z2690" s="1"/>
      <c r="AA2690" s="1"/>
      <c r="AB2690" s="1"/>
      <c r="AC2690" s="1" t="s">
        <v>1925</v>
      </c>
      <c r="AD2690" s="1"/>
      <c r="AE2690" s="18">
        <v>46151.0</v>
      </c>
      <c r="AF2690" s="1" t="s">
        <v>1455</v>
      </c>
      <c r="AG2690" s="1" t="s">
        <v>52</v>
      </c>
      <c r="AH2690" s="1" t="s">
        <v>1152</v>
      </c>
      <c r="AI2690" s="1" t="s">
        <v>1152</v>
      </c>
      <c r="AJ2690" s="1" t="s">
        <v>2029</v>
      </c>
      <c r="AK2690" s="1" t="s">
        <v>1152</v>
      </c>
      <c r="AL2690" s="6"/>
      <c r="AM2690" s="12">
        <v>3.108934482E9</v>
      </c>
    </row>
    <row r="2691">
      <c r="A2691" s="5" t="s">
        <v>12488</v>
      </c>
      <c r="B2691" s="1" t="s">
        <v>12489</v>
      </c>
      <c r="C2691" s="1" t="s">
        <v>6789</v>
      </c>
      <c r="D2691" s="2">
        <v>3.143798058E9</v>
      </c>
      <c r="E2691" s="1" t="s">
        <v>2349</v>
      </c>
      <c r="F2691" s="1"/>
      <c r="G2691" s="1" t="s">
        <v>2350</v>
      </c>
      <c r="H2691" s="1" t="s">
        <v>1155</v>
      </c>
      <c r="I2691" s="1">
        <v>63105.0</v>
      </c>
      <c r="J2691" s="1" t="s">
        <v>752</v>
      </c>
      <c r="K2691" s="1" t="s">
        <v>2131</v>
      </c>
      <c r="L2691" s="1" t="s">
        <v>5811</v>
      </c>
      <c r="M2691" s="1">
        <v>1.0</v>
      </c>
      <c r="N2691" s="1" t="s">
        <v>1152</v>
      </c>
      <c r="O2691" s="3" t="s">
        <v>2351</v>
      </c>
      <c r="P2691" s="1" t="s">
        <v>1152</v>
      </c>
      <c r="Q2691" s="1" t="s">
        <v>1152</v>
      </c>
      <c r="R2691" s="1"/>
      <c r="S2691" s="1"/>
      <c r="T2691" s="1" t="s">
        <v>1152</v>
      </c>
      <c r="U2691" s="1" t="s">
        <v>1021</v>
      </c>
      <c r="V2691" s="4" t="s">
        <v>2351</v>
      </c>
      <c r="W2691" s="1"/>
      <c r="X2691" s="1" t="s">
        <v>1152</v>
      </c>
      <c r="Y2691" s="1" t="s">
        <v>1152</v>
      </c>
      <c r="Z2691" s="1"/>
      <c r="AA2691" s="1"/>
      <c r="AB2691" s="1"/>
      <c r="AC2691" s="1" t="s">
        <v>1925</v>
      </c>
      <c r="AD2691" s="1"/>
      <c r="AE2691" s="18">
        <v>46150.0</v>
      </c>
      <c r="AF2691" s="1"/>
      <c r="AG2691" s="1"/>
      <c r="AH2691" s="1" t="s">
        <v>1152</v>
      </c>
      <c r="AI2691" s="1" t="s">
        <v>1152</v>
      </c>
      <c r="AJ2691" s="1" t="s">
        <v>2349</v>
      </c>
      <c r="AK2691" s="1" t="s">
        <v>1152</v>
      </c>
      <c r="AL2691" s="6"/>
      <c r="AM2691" s="12">
        <v>3.143798058E9</v>
      </c>
    </row>
    <row r="2692">
      <c r="A2692" s="5" t="s">
        <v>12488</v>
      </c>
      <c r="B2692" s="1" t="s">
        <v>12489</v>
      </c>
      <c r="C2692" s="1" t="s">
        <v>6789</v>
      </c>
      <c r="D2692" s="2">
        <v>3.143798058E9</v>
      </c>
      <c r="E2692" s="1" t="s">
        <v>2349</v>
      </c>
      <c r="F2692" s="1"/>
      <c r="G2692" s="1" t="s">
        <v>2350</v>
      </c>
      <c r="H2692" s="1" t="s">
        <v>1155</v>
      </c>
      <c r="I2692" s="1">
        <v>63105.0</v>
      </c>
      <c r="J2692" s="1" t="s">
        <v>752</v>
      </c>
      <c r="K2692" s="1" t="s">
        <v>42</v>
      </c>
      <c r="L2692" s="1" t="s">
        <v>6819</v>
      </c>
      <c r="M2692" s="1">
        <v>49.0</v>
      </c>
      <c r="N2692" s="1" t="s">
        <v>1152</v>
      </c>
      <c r="O2692" s="3" t="s">
        <v>2351</v>
      </c>
      <c r="P2692" s="1" t="s">
        <v>1152</v>
      </c>
      <c r="Q2692" s="1" t="s">
        <v>1152</v>
      </c>
      <c r="R2692" s="1"/>
      <c r="S2692" s="1"/>
      <c r="T2692" s="1" t="s">
        <v>1152</v>
      </c>
      <c r="U2692" s="1" t="s">
        <v>1021</v>
      </c>
      <c r="V2692" s="4" t="s">
        <v>2351</v>
      </c>
      <c r="W2692" s="1"/>
      <c r="X2692" s="1" t="s">
        <v>1152</v>
      </c>
      <c r="Y2692" s="1" t="s">
        <v>1152</v>
      </c>
      <c r="Z2692" s="1"/>
      <c r="AA2692" s="1"/>
      <c r="AB2692" s="1"/>
      <c r="AC2692" s="1" t="s">
        <v>1925</v>
      </c>
      <c r="AD2692" s="1"/>
      <c r="AE2692" s="18">
        <v>46150.0</v>
      </c>
      <c r="AF2692" s="1" t="s">
        <v>1030</v>
      </c>
      <c r="AG2692" s="1" t="s">
        <v>52</v>
      </c>
      <c r="AH2692" s="1" t="s">
        <v>1152</v>
      </c>
      <c r="AI2692" s="1" t="s">
        <v>1152</v>
      </c>
      <c r="AJ2692" s="1" t="s">
        <v>2349</v>
      </c>
      <c r="AK2692" s="1" t="s">
        <v>1152</v>
      </c>
      <c r="AL2692" s="6"/>
      <c r="AM2692" s="12">
        <v>3.143798058E9</v>
      </c>
    </row>
    <row r="2693">
      <c r="A2693" s="5" t="s">
        <v>12490</v>
      </c>
      <c r="B2693" s="1" t="s">
        <v>12491</v>
      </c>
      <c r="C2693" s="1" t="s">
        <v>12492</v>
      </c>
      <c r="D2693" s="2">
        <v>8.564954922E9</v>
      </c>
      <c r="E2693" s="1" t="s">
        <v>7603</v>
      </c>
      <c r="F2693" s="1"/>
      <c r="G2693" s="1" t="s">
        <v>7601</v>
      </c>
      <c r="H2693" s="1" t="s">
        <v>3776</v>
      </c>
      <c r="I2693" s="1">
        <v>66224.0</v>
      </c>
      <c r="J2693" s="1" t="s">
        <v>752</v>
      </c>
      <c r="K2693" s="1" t="s">
        <v>2131</v>
      </c>
      <c r="L2693" s="1" t="s">
        <v>5767</v>
      </c>
      <c r="M2693" s="1">
        <v>1.0</v>
      </c>
      <c r="N2693" s="1" t="s">
        <v>1152</v>
      </c>
      <c r="O2693" s="3" t="s">
        <v>7602</v>
      </c>
      <c r="P2693" s="1" t="s">
        <v>1152</v>
      </c>
      <c r="Q2693" s="1" t="s">
        <v>1152</v>
      </c>
      <c r="R2693" s="1"/>
      <c r="S2693" s="1"/>
      <c r="T2693" s="1" t="s">
        <v>1152</v>
      </c>
      <c r="U2693" s="1" t="s">
        <v>1201</v>
      </c>
      <c r="V2693" s="4" t="s">
        <v>7602</v>
      </c>
      <c r="W2693" s="1"/>
      <c r="X2693" s="1" t="s">
        <v>1152</v>
      </c>
      <c r="Y2693" s="1" t="s">
        <v>1152</v>
      </c>
      <c r="Z2693" s="1"/>
      <c r="AA2693" s="1"/>
      <c r="AB2693" s="1"/>
      <c r="AC2693" s="1" t="s">
        <v>1925</v>
      </c>
      <c r="AD2693" s="1"/>
      <c r="AE2693" s="18">
        <v>46149.0</v>
      </c>
      <c r="AF2693" s="1"/>
      <c r="AG2693" s="1"/>
      <c r="AH2693" s="1" t="s">
        <v>1152</v>
      </c>
      <c r="AI2693" s="1" t="s">
        <v>1152</v>
      </c>
      <c r="AJ2693" s="1" t="s">
        <v>7603</v>
      </c>
      <c r="AK2693" s="1" t="s">
        <v>1152</v>
      </c>
      <c r="AL2693" s="6"/>
      <c r="AM2693" s="12">
        <v>8.564954922E9</v>
      </c>
    </row>
    <row r="2694">
      <c r="A2694" s="5" t="s">
        <v>12493</v>
      </c>
      <c r="B2694" s="1" t="s">
        <v>12494</v>
      </c>
      <c r="C2694" s="1" t="s">
        <v>12495</v>
      </c>
      <c r="D2694" s="2">
        <v>3.022442857E9</v>
      </c>
      <c r="E2694" s="1" t="s">
        <v>12496</v>
      </c>
      <c r="F2694" s="1"/>
      <c r="G2694" s="1" t="s">
        <v>2350</v>
      </c>
      <c r="H2694" s="1" t="s">
        <v>1155</v>
      </c>
      <c r="I2694" s="1">
        <v>63105.0</v>
      </c>
      <c r="J2694" s="1" t="s">
        <v>752</v>
      </c>
      <c r="K2694" s="1" t="s">
        <v>42</v>
      </c>
      <c r="L2694" s="1" t="s">
        <v>6819</v>
      </c>
      <c r="M2694" s="1">
        <v>49.0</v>
      </c>
      <c r="N2694" s="1" t="s">
        <v>1152</v>
      </c>
      <c r="O2694" s="3" t="s">
        <v>10654</v>
      </c>
      <c r="P2694" s="1" t="s">
        <v>1152</v>
      </c>
      <c r="Q2694" s="1" t="s">
        <v>1152</v>
      </c>
      <c r="R2694" s="1"/>
      <c r="S2694" s="1"/>
      <c r="T2694" s="1" t="s">
        <v>1152</v>
      </c>
      <c r="U2694" s="1" t="s">
        <v>1080</v>
      </c>
      <c r="V2694" s="4" t="s">
        <v>10654</v>
      </c>
      <c r="W2694" s="1"/>
      <c r="X2694" s="1" t="s">
        <v>1152</v>
      </c>
      <c r="Y2694" s="1" t="s">
        <v>1152</v>
      </c>
      <c r="Z2694" s="1"/>
      <c r="AA2694" s="1"/>
      <c r="AB2694" s="1"/>
      <c r="AC2694" s="1" t="s">
        <v>1925</v>
      </c>
      <c r="AD2694" s="1"/>
      <c r="AE2694" s="18">
        <v>46147.0</v>
      </c>
      <c r="AF2694" s="1" t="s">
        <v>1455</v>
      </c>
      <c r="AG2694" s="1" t="s">
        <v>52</v>
      </c>
      <c r="AH2694" s="1" t="s">
        <v>1152</v>
      </c>
      <c r="AI2694" s="1" t="s">
        <v>1152</v>
      </c>
      <c r="AJ2694" s="1" t="s">
        <v>12496</v>
      </c>
      <c r="AK2694" s="1" t="s">
        <v>1152</v>
      </c>
      <c r="AL2694" s="6"/>
      <c r="AM2694" s="12">
        <v>3.022442857E9</v>
      </c>
    </row>
    <row r="2695">
      <c r="A2695" s="5" t="s">
        <v>12497</v>
      </c>
      <c r="B2695" s="1" t="s">
        <v>12498</v>
      </c>
      <c r="C2695" s="1" t="s">
        <v>5685</v>
      </c>
      <c r="D2695" s="2">
        <v>3.478310009E9</v>
      </c>
      <c r="E2695" s="1" t="s">
        <v>6233</v>
      </c>
      <c r="F2695" s="1"/>
      <c r="G2695" s="1" t="s">
        <v>751</v>
      </c>
      <c r="H2695" s="1" t="s">
        <v>751</v>
      </c>
      <c r="I2695" s="1">
        <v>10024.0</v>
      </c>
      <c r="J2695" s="1" t="s">
        <v>752</v>
      </c>
      <c r="K2695" s="1" t="s">
        <v>2131</v>
      </c>
      <c r="L2695" s="1" t="s">
        <v>5767</v>
      </c>
      <c r="M2695" s="1">
        <v>1.0</v>
      </c>
      <c r="N2695" s="1" t="s">
        <v>1152</v>
      </c>
      <c r="O2695" s="3" t="s">
        <v>4855</v>
      </c>
      <c r="P2695" s="1" t="s">
        <v>1152</v>
      </c>
      <c r="Q2695" s="1" t="s">
        <v>1152</v>
      </c>
      <c r="R2695" s="1"/>
      <c r="S2695" s="1"/>
      <c r="T2695" s="1" t="s">
        <v>1152</v>
      </c>
      <c r="U2695" s="1" t="s">
        <v>1456</v>
      </c>
      <c r="V2695" s="4" t="s">
        <v>4855</v>
      </c>
      <c r="W2695" s="1"/>
      <c r="X2695" s="1" t="s">
        <v>1152</v>
      </c>
      <c r="Y2695" s="1" t="s">
        <v>1152</v>
      </c>
      <c r="Z2695" s="1"/>
      <c r="AA2695" s="1"/>
      <c r="AB2695" s="1"/>
      <c r="AC2695" s="1" t="s">
        <v>1925</v>
      </c>
      <c r="AD2695" s="1"/>
      <c r="AE2695" s="18">
        <v>46147.0</v>
      </c>
      <c r="AF2695" s="1"/>
      <c r="AG2695" s="1"/>
      <c r="AH2695" s="1" t="s">
        <v>1152</v>
      </c>
      <c r="AI2695" s="1" t="s">
        <v>1152</v>
      </c>
      <c r="AJ2695" s="1" t="s">
        <v>10504</v>
      </c>
      <c r="AK2695" s="1" t="s">
        <v>1152</v>
      </c>
      <c r="AL2695" s="6"/>
      <c r="AM2695" s="12" t="s">
        <v>12499</v>
      </c>
    </row>
    <row r="2696">
      <c r="A2696" s="5" t="s">
        <v>12500</v>
      </c>
      <c r="B2696" s="1" t="s">
        <v>12501</v>
      </c>
      <c r="C2696" s="1" t="s">
        <v>2283</v>
      </c>
      <c r="D2696" s="2">
        <v>13476344188</v>
      </c>
      <c r="E2696" s="1" t="s">
        <v>1358</v>
      </c>
      <c r="F2696" s="1"/>
      <c r="G2696" s="1" t="s">
        <v>1360</v>
      </c>
      <c r="H2696" s="1" t="s">
        <v>1053</v>
      </c>
      <c r="I2696" s="1">
        <v>7020.0</v>
      </c>
      <c r="J2696" s="1" t="s">
        <v>752</v>
      </c>
      <c r="K2696" s="1" t="s">
        <v>42</v>
      </c>
      <c r="L2696" s="1" t="s">
        <v>6819</v>
      </c>
      <c r="M2696" s="1">
        <v>49.0</v>
      </c>
      <c r="N2696" s="1" t="s">
        <v>1152</v>
      </c>
      <c r="O2696" s="3" t="s">
        <v>1362</v>
      </c>
      <c r="P2696" s="1" t="s">
        <v>1152</v>
      </c>
      <c r="Q2696" s="1" t="s">
        <v>1152</v>
      </c>
      <c r="R2696" s="1"/>
      <c r="S2696" s="1"/>
      <c r="T2696" s="1" t="s">
        <v>1152</v>
      </c>
      <c r="U2696" s="1" t="s">
        <v>1249</v>
      </c>
      <c r="V2696" s="4" t="s">
        <v>1362</v>
      </c>
      <c r="W2696" s="1"/>
      <c r="X2696" s="1" t="s">
        <v>1152</v>
      </c>
      <c r="Y2696" s="1" t="s">
        <v>1152</v>
      </c>
      <c r="Z2696" s="1"/>
      <c r="AA2696" s="1"/>
      <c r="AB2696" s="1"/>
      <c r="AC2696" s="1" t="s">
        <v>1925</v>
      </c>
      <c r="AD2696" s="1"/>
      <c r="AE2696" s="18">
        <v>46148.0</v>
      </c>
      <c r="AF2696" s="1" t="s">
        <v>1349</v>
      </c>
      <c r="AG2696" s="1" t="s">
        <v>52</v>
      </c>
      <c r="AH2696" s="1" t="s">
        <v>1152</v>
      </c>
      <c r="AI2696" s="1" t="s">
        <v>1152</v>
      </c>
      <c r="AJ2696" s="1" t="s">
        <v>12502</v>
      </c>
      <c r="AK2696" s="1" t="s">
        <v>1152</v>
      </c>
      <c r="AL2696" s="6"/>
      <c r="AM2696" s="12" t="s">
        <v>12503</v>
      </c>
    </row>
    <row r="2697">
      <c r="A2697" s="5" t="s">
        <v>12504</v>
      </c>
      <c r="B2697" s="1" t="s">
        <v>12505</v>
      </c>
      <c r="C2697" s="1" t="s">
        <v>12506</v>
      </c>
      <c r="D2697" s="2">
        <v>6.467816801E9</v>
      </c>
      <c r="E2697" s="1" t="s">
        <v>12507</v>
      </c>
      <c r="F2697" s="1"/>
      <c r="G2697" s="1" t="s">
        <v>1283</v>
      </c>
      <c r="H2697" s="1" t="s">
        <v>1155</v>
      </c>
      <c r="I2697" s="1">
        <v>63105.0</v>
      </c>
      <c r="J2697" s="1" t="s">
        <v>752</v>
      </c>
      <c r="K2697" s="1" t="s">
        <v>42</v>
      </c>
      <c r="L2697" s="1" t="s">
        <v>6819</v>
      </c>
      <c r="M2697" s="1">
        <v>49.0</v>
      </c>
      <c r="N2697" s="1" t="s">
        <v>1152</v>
      </c>
      <c r="O2697" s="3" t="s">
        <v>3684</v>
      </c>
      <c r="P2697" s="1" t="s">
        <v>1152</v>
      </c>
      <c r="Q2697" s="1" t="s">
        <v>1152</v>
      </c>
      <c r="R2697" s="1"/>
      <c r="S2697" s="1"/>
      <c r="T2697" s="1" t="s">
        <v>1152</v>
      </c>
      <c r="U2697" s="1" t="s">
        <v>1343</v>
      </c>
      <c r="V2697" s="4" t="s">
        <v>3684</v>
      </c>
      <c r="W2697" s="1"/>
      <c r="X2697" s="1" t="s">
        <v>1152</v>
      </c>
      <c r="Y2697" s="1" t="s">
        <v>1152</v>
      </c>
      <c r="Z2697" s="1"/>
      <c r="AA2697" s="1"/>
      <c r="AB2697" s="1"/>
      <c r="AC2697" s="1" t="s">
        <v>1925</v>
      </c>
      <c r="AD2697" s="1"/>
      <c r="AE2697" s="18">
        <v>46144.0</v>
      </c>
      <c r="AF2697" s="1" t="s">
        <v>1030</v>
      </c>
      <c r="AG2697" s="1" t="s">
        <v>52</v>
      </c>
      <c r="AH2697" s="1" t="s">
        <v>1152</v>
      </c>
      <c r="AI2697" s="1" t="s">
        <v>1152</v>
      </c>
      <c r="AJ2697" s="1" t="s">
        <v>12507</v>
      </c>
      <c r="AK2697" s="1" t="s">
        <v>1152</v>
      </c>
      <c r="AL2697" s="6"/>
      <c r="AM2697" s="12">
        <v>6.467816801E9</v>
      </c>
    </row>
    <row r="2698">
      <c r="A2698" s="5" t="s">
        <v>12508</v>
      </c>
      <c r="B2698" s="1" t="s">
        <v>12509</v>
      </c>
      <c r="C2698" s="1" t="s">
        <v>9741</v>
      </c>
      <c r="D2698" s="2">
        <v>9.179915326E9</v>
      </c>
      <c r="E2698" s="1" t="s">
        <v>6258</v>
      </c>
      <c r="F2698" s="1"/>
      <c r="G2698" s="1" t="s">
        <v>751</v>
      </c>
      <c r="H2698" s="1" t="s">
        <v>751</v>
      </c>
      <c r="I2698" s="1">
        <v>10024.0</v>
      </c>
      <c r="J2698" s="1" t="s">
        <v>752</v>
      </c>
      <c r="K2698" s="1" t="s">
        <v>892</v>
      </c>
      <c r="L2698" s="1" t="s">
        <v>8006</v>
      </c>
      <c r="M2698" s="1">
        <v>49.0</v>
      </c>
      <c r="N2698" s="1" t="s">
        <v>1152</v>
      </c>
      <c r="O2698" s="3" t="s">
        <v>5521</v>
      </c>
      <c r="P2698" s="1" t="s">
        <v>1152</v>
      </c>
      <c r="Q2698" s="1" t="s">
        <v>1152</v>
      </c>
      <c r="R2698" s="1"/>
      <c r="S2698" s="1"/>
      <c r="T2698" s="1" t="s">
        <v>1152</v>
      </c>
      <c r="U2698" s="1" t="s">
        <v>1812</v>
      </c>
      <c r="V2698" s="4" t="s">
        <v>5521</v>
      </c>
      <c r="W2698" s="1"/>
      <c r="X2698" s="1" t="s">
        <v>1152</v>
      </c>
      <c r="Y2698" s="1" t="s">
        <v>1152</v>
      </c>
      <c r="Z2698" s="1"/>
      <c r="AA2698" s="1"/>
      <c r="AB2698" s="1"/>
      <c r="AC2698" s="1" t="s">
        <v>1925</v>
      </c>
      <c r="AD2698" s="1"/>
      <c r="AE2698" s="18">
        <v>46149.0</v>
      </c>
      <c r="AF2698" s="1" t="s">
        <v>1630</v>
      </c>
      <c r="AG2698" s="1" t="s">
        <v>52</v>
      </c>
      <c r="AH2698" s="1" t="s">
        <v>12510</v>
      </c>
      <c r="AI2698" s="1" t="s">
        <v>1152</v>
      </c>
      <c r="AJ2698" s="1" t="s">
        <v>6258</v>
      </c>
      <c r="AK2698" s="1" t="s">
        <v>1152</v>
      </c>
      <c r="AL2698" s="6"/>
      <c r="AM2698" s="12">
        <v>9.179915326E9</v>
      </c>
    </row>
    <row r="2699">
      <c r="A2699" s="5" t="s">
        <v>12511</v>
      </c>
      <c r="B2699" s="1" t="s">
        <v>12512</v>
      </c>
      <c r="C2699" s="1" t="s">
        <v>3484</v>
      </c>
      <c r="D2699" s="2">
        <v>3.239255711E9</v>
      </c>
      <c r="E2699" s="1" t="s">
        <v>12513</v>
      </c>
      <c r="F2699" s="1"/>
      <c r="G2699" s="1" t="s">
        <v>1179</v>
      </c>
      <c r="H2699" s="1" t="s">
        <v>989</v>
      </c>
      <c r="I2699" s="1">
        <v>90019.0</v>
      </c>
      <c r="J2699" s="1" t="s">
        <v>752</v>
      </c>
      <c r="K2699" s="1" t="s">
        <v>42</v>
      </c>
      <c r="L2699" s="1" t="s">
        <v>6819</v>
      </c>
      <c r="M2699" s="1">
        <v>49.0</v>
      </c>
      <c r="N2699" s="1" t="s">
        <v>1152</v>
      </c>
      <c r="O2699" s="3" t="s">
        <v>12514</v>
      </c>
      <c r="P2699" s="1" t="s">
        <v>1152</v>
      </c>
      <c r="Q2699" s="1" t="s">
        <v>1152</v>
      </c>
      <c r="R2699" s="1"/>
      <c r="S2699" s="1"/>
      <c r="T2699" s="1" t="s">
        <v>1152</v>
      </c>
      <c r="U2699" s="1" t="s">
        <v>1201</v>
      </c>
      <c r="V2699" s="4" t="s">
        <v>12514</v>
      </c>
      <c r="W2699" s="1"/>
      <c r="X2699" s="1" t="s">
        <v>1152</v>
      </c>
      <c r="Y2699" s="1" t="s">
        <v>1152</v>
      </c>
      <c r="Z2699" s="1"/>
      <c r="AA2699" s="1"/>
      <c r="AB2699" s="1"/>
      <c r="AC2699" s="1" t="s">
        <v>1925</v>
      </c>
      <c r="AD2699" s="1"/>
      <c r="AE2699" s="18">
        <v>46149.0</v>
      </c>
      <c r="AF2699" s="1" t="s">
        <v>1440</v>
      </c>
      <c r="AG2699" s="1" t="s">
        <v>52</v>
      </c>
      <c r="AH2699" s="1" t="s">
        <v>1152</v>
      </c>
      <c r="AI2699" s="1" t="s">
        <v>1152</v>
      </c>
      <c r="AJ2699" s="1" t="s">
        <v>12513</v>
      </c>
      <c r="AK2699" s="1" t="s">
        <v>1152</v>
      </c>
      <c r="AL2699" s="6"/>
      <c r="AM2699" s="12">
        <v>3.239255711E9</v>
      </c>
    </row>
    <row r="2700">
      <c r="A2700" s="5" t="s">
        <v>12515</v>
      </c>
      <c r="B2700" s="1" t="s">
        <v>12516</v>
      </c>
      <c r="C2700" s="1" t="s">
        <v>6670</v>
      </c>
      <c r="D2700" s="2">
        <v>9.548026083E9</v>
      </c>
      <c r="E2700" s="1" t="s">
        <v>6671</v>
      </c>
      <c r="F2700" s="1"/>
      <c r="G2700" s="1" t="s">
        <v>2040</v>
      </c>
      <c r="H2700" s="1" t="s">
        <v>1208</v>
      </c>
      <c r="I2700" s="1">
        <v>33331.0</v>
      </c>
      <c r="J2700" s="1" t="s">
        <v>752</v>
      </c>
      <c r="K2700" s="1" t="s">
        <v>42</v>
      </c>
      <c r="L2700" s="1" t="s">
        <v>6819</v>
      </c>
      <c r="M2700" s="1">
        <v>49.0</v>
      </c>
      <c r="N2700" s="1" t="s">
        <v>1152</v>
      </c>
      <c r="O2700" s="3" t="s">
        <v>12517</v>
      </c>
      <c r="P2700" s="1" t="s">
        <v>1152</v>
      </c>
      <c r="Q2700" s="1" t="s">
        <v>1152</v>
      </c>
      <c r="R2700" s="1"/>
      <c r="S2700" s="1"/>
      <c r="T2700" s="1" t="s">
        <v>1152</v>
      </c>
      <c r="U2700" s="1" t="s">
        <v>982</v>
      </c>
      <c r="V2700" s="4" t="s">
        <v>12517</v>
      </c>
      <c r="W2700" s="1"/>
      <c r="X2700" s="1" t="s">
        <v>1152</v>
      </c>
      <c r="Y2700" s="1" t="s">
        <v>1152</v>
      </c>
      <c r="Z2700" s="1"/>
      <c r="AA2700" s="1"/>
      <c r="AB2700" s="1"/>
      <c r="AC2700" s="1" t="s">
        <v>1925</v>
      </c>
      <c r="AD2700" s="1"/>
      <c r="AE2700" s="18">
        <v>46143.0</v>
      </c>
      <c r="AF2700" s="1" t="s">
        <v>1349</v>
      </c>
      <c r="AG2700" s="1" t="s">
        <v>52</v>
      </c>
      <c r="AH2700" s="1" t="s">
        <v>1152</v>
      </c>
      <c r="AI2700" s="1" t="s">
        <v>1152</v>
      </c>
      <c r="AJ2700" s="1" t="s">
        <v>12518</v>
      </c>
      <c r="AK2700" s="1" t="s">
        <v>1152</v>
      </c>
      <c r="AL2700" s="6"/>
      <c r="AM2700" s="12">
        <v>9.548026083E9</v>
      </c>
    </row>
    <row r="2701">
      <c r="A2701" s="5" t="s">
        <v>12515</v>
      </c>
      <c r="B2701" s="1" t="s">
        <v>12516</v>
      </c>
      <c r="C2701" s="1" t="s">
        <v>6670</v>
      </c>
      <c r="D2701" s="2">
        <v>9.548026083E9</v>
      </c>
      <c r="E2701" s="1" t="s">
        <v>6671</v>
      </c>
      <c r="F2701" s="1"/>
      <c r="G2701" s="1" t="s">
        <v>2040</v>
      </c>
      <c r="H2701" s="1" t="s">
        <v>1208</v>
      </c>
      <c r="I2701" s="1">
        <v>33331.0</v>
      </c>
      <c r="J2701" s="1" t="s">
        <v>752</v>
      </c>
      <c r="K2701" s="1" t="s">
        <v>2131</v>
      </c>
      <c r="L2701" s="1" t="s">
        <v>5767</v>
      </c>
      <c r="M2701" s="1">
        <v>1.0</v>
      </c>
      <c r="N2701" s="1" t="s">
        <v>1152</v>
      </c>
      <c r="O2701" s="3" t="s">
        <v>12517</v>
      </c>
      <c r="P2701" s="1" t="s">
        <v>1152</v>
      </c>
      <c r="Q2701" s="1" t="s">
        <v>1152</v>
      </c>
      <c r="R2701" s="1"/>
      <c r="S2701" s="1"/>
      <c r="T2701" s="1" t="s">
        <v>1152</v>
      </c>
      <c r="U2701" s="1" t="s">
        <v>982</v>
      </c>
      <c r="V2701" s="4" t="s">
        <v>12517</v>
      </c>
      <c r="W2701" s="1"/>
      <c r="X2701" s="1" t="s">
        <v>1152</v>
      </c>
      <c r="Y2701" s="1" t="s">
        <v>1152</v>
      </c>
      <c r="Z2701" s="1"/>
      <c r="AA2701" s="1"/>
      <c r="AB2701" s="1"/>
      <c r="AC2701" s="1" t="s">
        <v>1925</v>
      </c>
      <c r="AD2701" s="1"/>
      <c r="AE2701" s="18">
        <v>46143.0</v>
      </c>
      <c r="AF2701" s="1"/>
      <c r="AG2701" s="1"/>
      <c r="AH2701" s="1" t="s">
        <v>1152</v>
      </c>
      <c r="AI2701" s="1" t="s">
        <v>1152</v>
      </c>
      <c r="AJ2701" s="1" t="s">
        <v>12518</v>
      </c>
      <c r="AK2701" s="1" t="s">
        <v>1152</v>
      </c>
      <c r="AL2701" s="6"/>
      <c r="AM2701" s="12">
        <v>9.548026083E9</v>
      </c>
    </row>
    <row r="2702">
      <c r="A2702" s="5" t="s">
        <v>12519</v>
      </c>
      <c r="B2702" s="1" t="s">
        <v>12520</v>
      </c>
      <c r="C2702" s="1" t="s">
        <v>2650</v>
      </c>
      <c r="D2702" s="2">
        <v>9.785054923E9</v>
      </c>
      <c r="E2702" s="1" t="s">
        <v>2651</v>
      </c>
      <c r="F2702" s="1"/>
      <c r="G2702" s="1" t="s">
        <v>2570</v>
      </c>
      <c r="H2702" s="1" t="s">
        <v>1121</v>
      </c>
      <c r="I2702" s="1">
        <v>1776.0</v>
      </c>
      <c r="J2702" s="1" t="s">
        <v>752</v>
      </c>
      <c r="K2702" s="1" t="s">
        <v>2131</v>
      </c>
      <c r="L2702" s="1" t="s">
        <v>5811</v>
      </c>
      <c r="M2702" s="1">
        <v>1.0</v>
      </c>
      <c r="N2702" s="1" t="s">
        <v>1152</v>
      </c>
      <c r="O2702" s="3" t="s">
        <v>3079</v>
      </c>
      <c r="P2702" s="1" t="s">
        <v>1152</v>
      </c>
      <c r="Q2702" s="1" t="s">
        <v>1152</v>
      </c>
      <c r="R2702" s="1"/>
      <c r="S2702" s="1"/>
      <c r="T2702" s="1" t="s">
        <v>1152</v>
      </c>
      <c r="U2702" s="1" t="s">
        <v>982</v>
      </c>
      <c r="V2702" s="4" t="s">
        <v>3079</v>
      </c>
      <c r="W2702" s="1"/>
      <c r="X2702" s="1" t="s">
        <v>1152</v>
      </c>
      <c r="Y2702" s="1" t="s">
        <v>1152</v>
      </c>
      <c r="Z2702" s="1"/>
      <c r="AA2702" s="1"/>
      <c r="AB2702" s="1"/>
      <c r="AC2702" s="1" t="s">
        <v>1925</v>
      </c>
      <c r="AD2702" s="1"/>
      <c r="AE2702" s="18">
        <v>46148.0</v>
      </c>
      <c r="AF2702" s="1"/>
      <c r="AG2702" s="1"/>
      <c r="AH2702" s="1" t="s">
        <v>1152</v>
      </c>
      <c r="AI2702" s="1" t="s">
        <v>1152</v>
      </c>
      <c r="AJ2702" s="1" t="s">
        <v>2651</v>
      </c>
      <c r="AK2702" s="1" t="s">
        <v>1152</v>
      </c>
      <c r="AL2702" s="6"/>
      <c r="AM2702" s="12" t="s">
        <v>12521</v>
      </c>
    </row>
    <row r="2703">
      <c r="A2703" s="5" t="s">
        <v>12522</v>
      </c>
      <c r="B2703" s="1" t="s">
        <v>12523</v>
      </c>
      <c r="C2703" s="1" t="s">
        <v>12524</v>
      </c>
      <c r="D2703" s="2">
        <v>3.045332912E9</v>
      </c>
      <c r="E2703" s="1" t="s">
        <v>12525</v>
      </c>
      <c r="F2703" s="1"/>
      <c r="G2703" s="1" t="s">
        <v>12526</v>
      </c>
      <c r="H2703" s="1" t="s">
        <v>1038</v>
      </c>
      <c r="I2703" s="1">
        <v>23456.0</v>
      </c>
      <c r="J2703" s="1" t="s">
        <v>752</v>
      </c>
      <c r="K2703" s="1" t="s">
        <v>51</v>
      </c>
      <c r="L2703" s="1" t="s">
        <v>5722</v>
      </c>
      <c r="M2703" s="1">
        <v>1.0</v>
      </c>
      <c r="N2703" s="1" t="s">
        <v>2461</v>
      </c>
      <c r="O2703" s="3" t="s">
        <v>12527</v>
      </c>
      <c r="P2703" s="18">
        <v>46242.0</v>
      </c>
      <c r="Q2703" s="1" t="s">
        <v>2463</v>
      </c>
      <c r="R2703" s="1"/>
      <c r="S2703" s="1" t="s">
        <v>52</v>
      </c>
      <c r="T2703" s="1" t="s">
        <v>2461</v>
      </c>
      <c r="U2703" s="1" t="s">
        <v>1794</v>
      </c>
      <c r="V2703" s="4" t="s">
        <v>12527</v>
      </c>
      <c r="W2703" s="1"/>
      <c r="X2703" s="18">
        <v>46242.0</v>
      </c>
      <c r="Y2703" s="1" t="s">
        <v>2463</v>
      </c>
      <c r="Z2703" s="1"/>
      <c r="AA2703" s="1"/>
      <c r="AB2703" s="1" t="s">
        <v>52</v>
      </c>
      <c r="AC2703" s="1" t="s">
        <v>1925</v>
      </c>
      <c r="AD2703" s="1"/>
      <c r="AE2703" s="1" t="s">
        <v>1152</v>
      </c>
      <c r="AF2703" s="1"/>
      <c r="AG2703" s="1"/>
      <c r="AH2703" s="1" t="s">
        <v>1152</v>
      </c>
      <c r="AI2703" s="1" t="s">
        <v>12528</v>
      </c>
      <c r="AJ2703" s="1" t="s">
        <v>9272</v>
      </c>
      <c r="AK2703" s="1" t="s">
        <v>1152</v>
      </c>
      <c r="AL2703" s="6"/>
      <c r="AM2703" s="12">
        <v>3.045332912E9</v>
      </c>
    </row>
    <row r="2704">
      <c r="A2704" s="5" t="s">
        <v>12529</v>
      </c>
      <c r="B2704" s="1" t="s">
        <v>12530</v>
      </c>
      <c r="C2704" s="1" t="s">
        <v>12531</v>
      </c>
      <c r="D2704" s="2">
        <v>7.372305749E9</v>
      </c>
      <c r="E2704" s="1" t="s">
        <v>12532</v>
      </c>
      <c r="F2704" s="1"/>
      <c r="G2704" s="1" t="s">
        <v>1582</v>
      </c>
      <c r="H2704" s="1" t="s">
        <v>1583</v>
      </c>
      <c r="I2704" s="1">
        <v>78739.0</v>
      </c>
      <c r="J2704" s="1" t="s">
        <v>752</v>
      </c>
      <c r="K2704" s="1" t="s">
        <v>42</v>
      </c>
      <c r="L2704" s="1" t="s">
        <v>6819</v>
      </c>
      <c r="M2704" s="1">
        <v>49.0</v>
      </c>
      <c r="N2704" s="1" t="s">
        <v>1152</v>
      </c>
      <c r="O2704" s="3" t="s">
        <v>1255</v>
      </c>
      <c r="P2704" s="1" t="s">
        <v>1152</v>
      </c>
      <c r="Q2704" s="1" t="s">
        <v>1152</v>
      </c>
      <c r="R2704" s="1"/>
      <c r="S2704" s="1"/>
      <c r="T2704" s="1" t="s">
        <v>1152</v>
      </c>
      <c r="U2704" s="1" t="s">
        <v>1148</v>
      </c>
      <c r="V2704" s="4" t="s">
        <v>1255</v>
      </c>
      <c r="W2704" s="1"/>
      <c r="X2704" s="1" t="s">
        <v>1152</v>
      </c>
      <c r="Y2704" s="1" t="s">
        <v>1152</v>
      </c>
      <c r="Z2704" s="1"/>
      <c r="AA2704" s="1"/>
      <c r="AB2704" s="1"/>
      <c r="AC2704" s="1" t="s">
        <v>1925</v>
      </c>
      <c r="AD2704" s="1"/>
      <c r="AE2704" s="18">
        <v>46147.0</v>
      </c>
      <c r="AF2704" s="1" t="s">
        <v>1349</v>
      </c>
      <c r="AG2704" s="1" t="s">
        <v>52</v>
      </c>
      <c r="AH2704" s="1" t="s">
        <v>1152</v>
      </c>
      <c r="AI2704" s="1" t="s">
        <v>1152</v>
      </c>
      <c r="AJ2704" s="1" t="s">
        <v>12532</v>
      </c>
      <c r="AK2704" s="1" t="s">
        <v>1152</v>
      </c>
      <c r="AL2704" s="6"/>
      <c r="AM2704" s="12">
        <v>7.372305749E9</v>
      </c>
    </row>
    <row r="2705">
      <c r="A2705" s="5" t="s">
        <v>12533</v>
      </c>
      <c r="B2705" s="1" t="s">
        <v>12534</v>
      </c>
      <c r="C2705" s="1" t="s">
        <v>5535</v>
      </c>
      <c r="D2705" s="2">
        <v>6.096479547E9</v>
      </c>
      <c r="E2705" s="1" t="s">
        <v>5536</v>
      </c>
      <c r="F2705" s="1"/>
      <c r="G2705" s="1" t="s">
        <v>1138</v>
      </c>
      <c r="H2705" s="1" t="s">
        <v>1053</v>
      </c>
      <c r="I2705" s="1">
        <v>8648.0</v>
      </c>
      <c r="J2705" s="1" t="s">
        <v>752</v>
      </c>
      <c r="K2705" s="1" t="s">
        <v>2131</v>
      </c>
      <c r="L2705" s="1" t="s">
        <v>5736</v>
      </c>
      <c r="M2705" s="1">
        <v>1.0</v>
      </c>
      <c r="N2705" s="1" t="s">
        <v>1152</v>
      </c>
      <c r="O2705" s="3" t="s">
        <v>5062</v>
      </c>
      <c r="P2705" s="1" t="s">
        <v>1152</v>
      </c>
      <c r="Q2705" s="1" t="s">
        <v>1152</v>
      </c>
      <c r="R2705" s="1"/>
      <c r="S2705" s="1"/>
      <c r="T2705" s="1" t="s">
        <v>1152</v>
      </c>
      <c r="U2705" s="1" t="s">
        <v>1487</v>
      </c>
      <c r="V2705" s="4" t="s">
        <v>5062</v>
      </c>
      <c r="W2705" s="1"/>
      <c r="X2705" s="1" t="s">
        <v>1152</v>
      </c>
      <c r="Y2705" s="1" t="s">
        <v>1152</v>
      </c>
      <c r="Z2705" s="1"/>
      <c r="AA2705" s="1"/>
      <c r="AB2705" s="1"/>
      <c r="AC2705" s="1" t="s">
        <v>1925</v>
      </c>
      <c r="AD2705" s="1"/>
      <c r="AE2705" s="18">
        <v>46144.0</v>
      </c>
      <c r="AF2705" s="1"/>
      <c r="AG2705" s="1"/>
      <c r="AH2705" s="1" t="s">
        <v>1152</v>
      </c>
      <c r="AI2705" s="1" t="s">
        <v>1152</v>
      </c>
      <c r="AJ2705" s="1" t="s">
        <v>12535</v>
      </c>
      <c r="AK2705" s="1" t="s">
        <v>1152</v>
      </c>
      <c r="AL2705" s="6"/>
      <c r="AM2705" s="12">
        <v>6.096478879E9</v>
      </c>
    </row>
    <row r="2706">
      <c r="A2706" s="5" t="s">
        <v>12536</v>
      </c>
      <c r="B2706" s="1" t="s">
        <v>12537</v>
      </c>
      <c r="C2706" s="1" t="s">
        <v>12538</v>
      </c>
      <c r="D2706" s="2">
        <v>4.848322036E9</v>
      </c>
      <c r="E2706" s="1" t="s">
        <v>2306</v>
      </c>
      <c r="F2706" s="1"/>
      <c r="G2706" s="1" t="s">
        <v>2307</v>
      </c>
      <c r="H2706" s="1" t="s">
        <v>1233</v>
      </c>
      <c r="I2706" s="1">
        <v>19010.0</v>
      </c>
      <c r="J2706" s="1" t="s">
        <v>752</v>
      </c>
      <c r="K2706" s="1" t="s">
        <v>2131</v>
      </c>
      <c r="L2706" s="1" t="s">
        <v>5833</v>
      </c>
      <c r="M2706" s="1">
        <v>1.0</v>
      </c>
      <c r="N2706" s="1" t="s">
        <v>1152</v>
      </c>
      <c r="O2706" s="3" t="s">
        <v>2309</v>
      </c>
      <c r="P2706" s="1" t="s">
        <v>1152</v>
      </c>
      <c r="Q2706" s="1" t="s">
        <v>1152</v>
      </c>
      <c r="R2706" s="1"/>
      <c r="S2706" s="1"/>
      <c r="T2706" s="1" t="s">
        <v>1152</v>
      </c>
      <c r="U2706" s="1" t="s">
        <v>1039</v>
      </c>
      <c r="V2706" s="4" t="s">
        <v>2309</v>
      </c>
      <c r="W2706" s="1"/>
      <c r="X2706" s="1" t="s">
        <v>1152</v>
      </c>
      <c r="Y2706" s="1" t="s">
        <v>1152</v>
      </c>
      <c r="Z2706" s="1"/>
      <c r="AA2706" s="1"/>
      <c r="AB2706" s="1"/>
      <c r="AC2706" s="1" t="s">
        <v>1925</v>
      </c>
      <c r="AD2706" s="1"/>
      <c r="AE2706" s="18">
        <v>46148.0</v>
      </c>
      <c r="AF2706" s="1"/>
      <c r="AG2706" s="1"/>
      <c r="AH2706" s="1" t="s">
        <v>1152</v>
      </c>
      <c r="AI2706" s="1" t="s">
        <v>1152</v>
      </c>
      <c r="AJ2706" s="1" t="s">
        <v>2306</v>
      </c>
      <c r="AK2706" s="1" t="s">
        <v>1152</v>
      </c>
      <c r="AL2706" s="6"/>
      <c r="AM2706" s="12" t="s">
        <v>12539</v>
      </c>
    </row>
    <row r="2707">
      <c r="A2707" s="5" t="s">
        <v>12540</v>
      </c>
      <c r="B2707" s="1" t="s">
        <v>12541</v>
      </c>
      <c r="C2707" s="1" t="s">
        <v>12542</v>
      </c>
      <c r="D2707" s="2">
        <v>8.324448437E9</v>
      </c>
      <c r="E2707" s="1" t="s">
        <v>12543</v>
      </c>
      <c r="F2707" s="1"/>
      <c r="G2707" s="1" t="s">
        <v>2715</v>
      </c>
      <c r="H2707" s="1" t="s">
        <v>1583</v>
      </c>
      <c r="I2707" s="1">
        <v>75214.0</v>
      </c>
      <c r="J2707" s="1" t="s">
        <v>752</v>
      </c>
      <c r="K2707" s="1" t="s">
        <v>2131</v>
      </c>
      <c r="L2707" s="1" t="s">
        <v>5767</v>
      </c>
      <c r="M2707" s="1">
        <v>1.0</v>
      </c>
      <c r="N2707" s="1" t="s">
        <v>1152</v>
      </c>
      <c r="O2707" s="3" t="s">
        <v>12544</v>
      </c>
      <c r="P2707" s="1" t="s">
        <v>1152</v>
      </c>
      <c r="Q2707" s="1" t="s">
        <v>1152</v>
      </c>
      <c r="R2707" s="1"/>
      <c r="S2707" s="1"/>
      <c r="T2707" s="1" t="s">
        <v>1152</v>
      </c>
      <c r="U2707" s="1" t="s">
        <v>7909</v>
      </c>
      <c r="V2707" s="4" t="s">
        <v>12544</v>
      </c>
      <c r="W2707" s="1"/>
      <c r="X2707" s="1" t="s">
        <v>1152</v>
      </c>
      <c r="Y2707" s="1" t="s">
        <v>1152</v>
      </c>
      <c r="Z2707" s="1"/>
      <c r="AA2707" s="1"/>
      <c r="AB2707" s="1"/>
      <c r="AC2707" s="1" t="s">
        <v>1925</v>
      </c>
      <c r="AD2707" s="1"/>
      <c r="AE2707" s="18">
        <v>46150.0</v>
      </c>
      <c r="AF2707" s="1"/>
      <c r="AG2707" s="1"/>
      <c r="AH2707" s="1" t="s">
        <v>1152</v>
      </c>
      <c r="AI2707" s="1" t="s">
        <v>1152</v>
      </c>
      <c r="AJ2707" s="1" t="s">
        <v>12545</v>
      </c>
      <c r="AK2707" s="1" t="s">
        <v>1152</v>
      </c>
      <c r="AL2707" s="6"/>
      <c r="AM2707" s="12" t="s">
        <v>12546</v>
      </c>
    </row>
    <row r="2708">
      <c r="A2708" s="5" t="s">
        <v>12547</v>
      </c>
      <c r="B2708" s="1" t="s">
        <v>12548</v>
      </c>
      <c r="C2708" s="1" t="s">
        <v>12549</v>
      </c>
      <c r="D2708" s="2">
        <v>6.627070153E9</v>
      </c>
      <c r="E2708" s="1" t="s">
        <v>12550</v>
      </c>
      <c r="F2708" s="1"/>
      <c r="G2708" s="1" t="s">
        <v>5212</v>
      </c>
      <c r="H2708" s="1" t="s">
        <v>2069</v>
      </c>
      <c r="I2708" s="1">
        <v>38655.0</v>
      </c>
      <c r="J2708" s="1" t="s">
        <v>752</v>
      </c>
      <c r="K2708" s="1" t="s">
        <v>2131</v>
      </c>
      <c r="L2708" s="1" t="s">
        <v>5736</v>
      </c>
      <c r="M2708" s="1">
        <v>1.0</v>
      </c>
      <c r="N2708" s="1" t="s">
        <v>1152</v>
      </c>
      <c r="O2708" s="3" t="s">
        <v>12551</v>
      </c>
      <c r="P2708" s="1" t="s">
        <v>1152</v>
      </c>
      <c r="Q2708" s="1" t="s">
        <v>1152</v>
      </c>
      <c r="R2708" s="1"/>
      <c r="S2708" s="1"/>
      <c r="T2708" s="1" t="s">
        <v>1152</v>
      </c>
      <c r="U2708" s="1" t="s">
        <v>1174</v>
      </c>
      <c r="V2708" s="4" t="s">
        <v>12551</v>
      </c>
      <c r="W2708" s="1"/>
      <c r="X2708" s="1" t="s">
        <v>1152</v>
      </c>
      <c r="Y2708" s="1" t="s">
        <v>1152</v>
      </c>
      <c r="Z2708" s="1"/>
      <c r="AA2708" s="1"/>
      <c r="AB2708" s="1"/>
      <c r="AC2708" s="1" t="s">
        <v>1925</v>
      </c>
      <c r="AD2708" s="1"/>
      <c r="AE2708" s="18">
        <v>46150.0</v>
      </c>
      <c r="AF2708" s="1"/>
      <c r="AG2708" s="1"/>
      <c r="AH2708" s="1" t="s">
        <v>1152</v>
      </c>
      <c r="AI2708" s="1" t="s">
        <v>1152</v>
      </c>
      <c r="AJ2708" s="1" t="s">
        <v>12550</v>
      </c>
      <c r="AK2708" s="1" t="s">
        <v>1152</v>
      </c>
      <c r="AL2708" s="6"/>
      <c r="AM2708" s="12">
        <v>6.627070153E9</v>
      </c>
    </row>
    <row r="2709">
      <c r="A2709" s="5" t="s">
        <v>12552</v>
      </c>
      <c r="B2709" s="1" t="s">
        <v>12553</v>
      </c>
      <c r="C2709" s="1" t="s">
        <v>12554</v>
      </c>
      <c r="D2709" s="2">
        <v>8.163151465E9</v>
      </c>
      <c r="E2709" s="1" t="s">
        <v>1885</v>
      </c>
      <c r="F2709" s="1"/>
      <c r="G2709" s="1" t="s">
        <v>1886</v>
      </c>
      <c r="H2709" s="1" t="s">
        <v>1155</v>
      </c>
      <c r="I2709" s="1">
        <v>64131.0</v>
      </c>
      <c r="J2709" s="1" t="s">
        <v>752</v>
      </c>
      <c r="K2709" s="1" t="s">
        <v>2131</v>
      </c>
      <c r="L2709" s="1" t="s">
        <v>5767</v>
      </c>
      <c r="M2709" s="1">
        <v>1.0</v>
      </c>
      <c r="N2709" s="1" t="s">
        <v>1152</v>
      </c>
      <c r="O2709" s="3" t="s">
        <v>1698</v>
      </c>
      <c r="P2709" s="1" t="s">
        <v>1152</v>
      </c>
      <c r="Q2709" s="1" t="s">
        <v>1152</v>
      </c>
      <c r="R2709" s="1"/>
      <c r="S2709" s="1"/>
      <c r="T2709" s="1" t="s">
        <v>1152</v>
      </c>
      <c r="U2709" s="1" t="s">
        <v>1249</v>
      </c>
      <c r="V2709" s="4" t="s">
        <v>1698</v>
      </c>
      <c r="W2709" s="1"/>
      <c r="X2709" s="1" t="s">
        <v>1152</v>
      </c>
      <c r="Y2709" s="1" t="s">
        <v>1152</v>
      </c>
      <c r="Z2709" s="1"/>
      <c r="AA2709" s="1"/>
      <c r="AB2709" s="1"/>
      <c r="AC2709" s="1" t="s">
        <v>1925</v>
      </c>
      <c r="AD2709" s="1"/>
      <c r="AE2709" s="18">
        <v>46149.0</v>
      </c>
      <c r="AF2709" s="1"/>
      <c r="AG2709" s="1"/>
      <c r="AH2709" s="1" t="s">
        <v>1152</v>
      </c>
      <c r="AI2709" s="1" t="s">
        <v>1152</v>
      </c>
      <c r="AJ2709" s="1" t="s">
        <v>1885</v>
      </c>
      <c r="AK2709" s="1" t="s">
        <v>1152</v>
      </c>
      <c r="AL2709" s="6"/>
      <c r="AM2709" s="12">
        <v>8.163151465E9</v>
      </c>
    </row>
    <row r="2710">
      <c r="A2710" s="5" t="s">
        <v>12555</v>
      </c>
      <c r="B2710" s="1" t="s">
        <v>12556</v>
      </c>
      <c r="C2710" s="1" t="s">
        <v>414</v>
      </c>
      <c r="D2710" s="2">
        <v>5.513021447E9</v>
      </c>
      <c r="E2710" s="1" t="s">
        <v>9207</v>
      </c>
      <c r="F2710" s="1"/>
      <c r="G2710" s="1" t="s">
        <v>4975</v>
      </c>
      <c r="H2710" s="1" t="s">
        <v>751</v>
      </c>
      <c r="I2710" s="1">
        <v>10024.0</v>
      </c>
      <c r="J2710" s="1" t="s">
        <v>752</v>
      </c>
      <c r="K2710" s="1" t="s">
        <v>2131</v>
      </c>
      <c r="L2710" s="1" t="s">
        <v>5736</v>
      </c>
      <c r="M2710" s="1">
        <v>1.0</v>
      </c>
      <c r="N2710" s="1" t="s">
        <v>1152</v>
      </c>
      <c r="O2710" s="3" t="s">
        <v>418</v>
      </c>
      <c r="P2710" s="1" t="s">
        <v>1152</v>
      </c>
      <c r="Q2710" s="1" t="s">
        <v>1152</v>
      </c>
      <c r="R2710" s="1"/>
      <c r="S2710" s="1"/>
      <c r="T2710" s="1" t="s">
        <v>1152</v>
      </c>
      <c r="U2710" s="1" t="s">
        <v>1080</v>
      </c>
      <c r="V2710" s="4" t="s">
        <v>418</v>
      </c>
      <c r="W2710" s="1"/>
      <c r="X2710" s="1" t="s">
        <v>1152</v>
      </c>
      <c r="Y2710" s="1" t="s">
        <v>1152</v>
      </c>
      <c r="Z2710" s="1"/>
      <c r="AA2710" s="1"/>
      <c r="AB2710" s="1"/>
      <c r="AC2710" s="1" t="s">
        <v>1925</v>
      </c>
      <c r="AD2710" s="1"/>
      <c r="AE2710" s="18">
        <v>46148.0</v>
      </c>
      <c r="AF2710" s="1"/>
      <c r="AG2710" s="1"/>
      <c r="AH2710" s="1" t="s">
        <v>1152</v>
      </c>
      <c r="AI2710" s="1" t="s">
        <v>1152</v>
      </c>
      <c r="AJ2710" s="1" t="s">
        <v>12557</v>
      </c>
      <c r="AK2710" s="1" t="s">
        <v>1152</v>
      </c>
      <c r="AL2710" s="6"/>
      <c r="AM2710" s="12">
        <v>5.513021447E9</v>
      </c>
    </row>
    <row r="2711">
      <c r="A2711" s="5" t="s">
        <v>12558</v>
      </c>
      <c r="B2711" s="1" t="s">
        <v>12559</v>
      </c>
      <c r="C2711" s="1" t="s">
        <v>12560</v>
      </c>
      <c r="D2711" s="2">
        <v>6.129404964E9</v>
      </c>
      <c r="E2711" s="1" t="s">
        <v>12561</v>
      </c>
      <c r="F2711" s="1"/>
      <c r="G2711" s="1" t="s">
        <v>4381</v>
      </c>
      <c r="H2711" s="1" t="s">
        <v>2999</v>
      </c>
      <c r="I2711" s="1">
        <v>55424.0</v>
      </c>
      <c r="J2711" s="1" t="s">
        <v>752</v>
      </c>
      <c r="K2711" s="1" t="s">
        <v>42</v>
      </c>
      <c r="L2711" s="1" t="s">
        <v>6819</v>
      </c>
      <c r="M2711" s="1">
        <v>49.0</v>
      </c>
      <c r="N2711" s="1" t="s">
        <v>1152</v>
      </c>
      <c r="O2711" s="3" t="s">
        <v>12562</v>
      </c>
      <c r="P2711" s="1" t="s">
        <v>1152</v>
      </c>
      <c r="Q2711" s="1" t="s">
        <v>1152</v>
      </c>
      <c r="R2711" s="1"/>
      <c r="S2711" s="1"/>
      <c r="T2711" s="1" t="s">
        <v>1152</v>
      </c>
      <c r="U2711" s="1" t="s">
        <v>2510</v>
      </c>
      <c r="V2711" s="4" t="s">
        <v>12562</v>
      </c>
      <c r="W2711" s="1"/>
      <c r="X2711" s="1" t="s">
        <v>1152</v>
      </c>
      <c r="Y2711" s="1" t="s">
        <v>1152</v>
      </c>
      <c r="Z2711" s="1"/>
      <c r="AA2711" s="1"/>
      <c r="AB2711" s="1"/>
      <c r="AC2711" s="1" t="s">
        <v>1925</v>
      </c>
      <c r="AD2711" s="1"/>
      <c r="AE2711" s="18">
        <v>46150.0</v>
      </c>
      <c r="AF2711" s="1" t="s">
        <v>1030</v>
      </c>
      <c r="AG2711" s="1" t="s">
        <v>52</v>
      </c>
      <c r="AH2711" s="1" t="s">
        <v>1152</v>
      </c>
      <c r="AI2711" s="1" t="s">
        <v>1152</v>
      </c>
      <c r="AJ2711" s="1" t="s">
        <v>12563</v>
      </c>
      <c r="AK2711" s="1" t="s">
        <v>1152</v>
      </c>
      <c r="AL2711" s="6"/>
      <c r="AM2711" s="12" t="s">
        <v>12564</v>
      </c>
    </row>
    <row r="2712">
      <c r="A2712" s="5" t="s">
        <v>12565</v>
      </c>
      <c r="B2712" s="1" t="s">
        <v>12566</v>
      </c>
      <c r="C2712" s="1" t="s">
        <v>12567</v>
      </c>
      <c r="D2712" s="2">
        <v>34667918236</v>
      </c>
      <c r="E2712" s="1" t="s">
        <v>12568</v>
      </c>
      <c r="F2712" s="1"/>
      <c r="G2712" s="1" t="s">
        <v>12569</v>
      </c>
      <c r="H2712" s="1" t="s">
        <v>12569</v>
      </c>
      <c r="I2712" s="1">
        <v>8034.0</v>
      </c>
      <c r="J2712" s="1" t="s">
        <v>12570</v>
      </c>
      <c r="K2712" s="1" t="s">
        <v>42</v>
      </c>
      <c r="L2712" s="1" t="s">
        <v>6819</v>
      </c>
      <c r="M2712" s="1">
        <v>49.0</v>
      </c>
      <c r="N2712" s="1" t="s">
        <v>1152</v>
      </c>
      <c r="O2712" s="3" t="s">
        <v>12571</v>
      </c>
      <c r="P2712" s="1" t="s">
        <v>1152</v>
      </c>
      <c r="Q2712" s="1" t="s">
        <v>1152</v>
      </c>
      <c r="R2712" s="1"/>
      <c r="S2712" s="1"/>
      <c r="T2712" s="1" t="s">
        <v>1152</v>
      </c>
      <c r="U2712" s="1" t="s">
        <v>1133</v>
      </c>
      <c r="V2712" s="4" t="s">
        <v>12571</v>
      </c>
      <c r="W2712" s="1"/>
      <c r="X2712" s="1" t="s">
        <v>1152</v>
      </c>
      <c r="Y2712" s="1" t="s">
        <v>1152</v>
      </c>
      <c r="Z2712" s="1"/>
      <c r="AA2712" s="1"/>
      <c r="AB2712" s="1"/>
      <c r="AC2712" s="1" t="s">
        <v>1925</v>
      </c>
      <c r="AD2712" s="1"/>
      <c r="AE2712" s="18">
        <v>46147.0</v>
      </c>
      <c r="AF2712" s="1" t="s">
        <v>1349</v>
      </c>
      <c r="AG2712" s="1" t="s">
        <v>52</v>
      </c>
      <c r="AH2712" s="1" t="s">
        <v>1152</v>
      </c>
      <c r="AI2712" s="1" t="s">
        <v>1152</v>
      </c>
      <c r="AJ2712" s="1" t="s">
        <v>12572</v>
      </c>
      <c r="AK2712" s="1" t="s">
        <v>1152</v>
      </c>
      <c r="AL2712" s="6"/>
      <c r="AM2712" s="12">
        <v>3.145461115E9</v>
      </c>
    </row>
    <row r="2713">
      <c r="A2713" s="5" t="s">
        <v>12573</v>
      </c>
      <c r="B2713" s="1" t="s">
        <v>12574</v>
      </c>
      <c r="C2713" s="1" t="s">
        <v>6613</v>
      </c>
      <c r="D2713" s="2">
        <v>6.468563561E9</v>
      </c>
      <c r="E2713" s="1" t="s">
        <v>6614</v>
      </c>
      <c r="F2713" s="1"/>
      <c r="G2713" s="1" t="s">
        <v>751</v>
      </c>
      <c r="H2713" s="1" t="s">
        <v>751</v>
      </c>
      <c r="I2713" s="1">
        <v>10025.0</v>
      </c>
      <c r="J2713" s="1" t="s">
        <v>752</v>
      </c>
      <c r="K2713" s="1" t="s">
        <v>42</v>
      </c>
      <c r="L2713" s="1" t="s">
        <v>6819</v>
      </c>
      <c r="M2713" s="1">
        <v>49.0</v>
      </c>
      <c r="N2713" s="1" t="s">
        <v>1152</v>
      </c>
      <c r="O2713" s="3" t="s">
        <v>1147</v>
      </c>
      <c r="P2713" s="1" t="s">
        <v>1152</v>
      </c>
      <c r="Q2713" s="1" t="s">
        <v>1152</v>
      </c>
      <c r="R2713" s="1"/>
      <c r="S2713" s="1"/>
      <c r="T2713" s="1" t="s">
        <v>1152</v>
      </c>
      <c r="U2713" s="1" t="s">
        <v>1812</v>
      </c>
      <c r="V2713" s="4" t="s">
        <v>1147</v>
      </c>
      <c r="W2713" s="1"/>
      <c r="X2713" s="1" t="s">
        <v>1152</v>
      </c>
      <c r="Y2713" s="1" t="s">
        <v>1152</v>
      </c>
      <c r="Z2713" s="1"/>
      <c r="AA2713" s="1"/>
      <c r="AB2713" s="1"/>
      <c r="AC2713" s="1" t="s">
        <v>1925</v>
      </c>
      <c r="AD2713" s="1"/>
      <c r="AE2713" s="18">
        <v>46148.0</v>
      </c>
      <c r="AF2713" s="1" t="s">
        <v>1440</v>
      </c>
      <c r="AG2713" s="1" t="s">
        <v>52</v>
      </c>
      <c r="AH2713" s="1" t="s">
        <v>1152</v>
      </c>
      <c r="AI2713" s="1" t="s">
        <v>1152</v>
      </c>
      <c r="AJ2713" s="1" t="s">
        <v>6614</v>
      </c>
      <c r="AK2713" s="1" t="s">
        <v>1152</v>
      </c>
      <c r="AL2713" s="6"/>
      <c r="AM2713" s="12">
        <v>6.468563561E9</v>
      </c>
    </row>
    <row r="2714">
      <c r="A2714" s="5" t="s">
        <v>12575</v>
      </c>
      <c r="B2714" s="1" t="s">
        <v>12576</v>
      </c>
      <c r="C2714" s="1" t="s">
        <v>12577</v>
      </c>
      <c r="D2714" s="2">
        <v>3.606749649E9</v>
      </c>
      <c r="E2714" s="1" t="s">
        <v>1847</v>
      </c>
      <c r="F2714" s="1"/>
      <c r="G2714" s="1" t="s">
        <v>1848</v>
      </c>
      <c r="H2714" s="1" t="s">
        <v>980</v>
      </c>
      <c r="I2714" s="1">
        <v>98118.0</v>
      </c>
      <c r="J2714" s="1" t="s">
        <v>752</v>
      </c>
      <c r="K2714" s="1" t="s">
        <v>2131</v>
      </c>
      <c r="L2714" s="1" t="s">
        <v>5811</v>
      </c>
      <c r="M2714" s="1">
        <v>1.0</v>
      </c>
      <c r="N2714" s="1" t="s">
        <v>1152</v>
      </c>
      <c r="O2714" s="3" t="s">
        <v>1849</v>
      </c>
      <c r="P2714" s="1" t="s">
        <v>1152</v>
      </c>
      <c r="Q2714" s="1" t="s">
        <v>1152</v>
      </c>
      <c r="R2714" s="1"/>
      <c r="S2714" s="1"/>
      <c r="T2714" s="1" t="s">
        <v>1152</v>
      </c>
      <c r="U2714" s="1" t="s">
        <v>1080</v>
      </c>
      <c r="V2714" s="4" t="s">
        <v>1849</v>
      </c>
      <c r="W2714" s="1"/>
      <c r="X2714" s="1" t="s">
        <v>1152</v>
      </c>
      <c r="Y2714" s="1" t="s">
        <v>1152</v>
      </c>
      <c r="Z2714" s="1"/>
      <c r="AA2714" s="1"/>
      <c r="AB2714" s="1"/>
      <c r="AC2714" s="1" t="s">
        <v>1925</v>
      </c>
      <c r="AD2714" s="1"/>
      <c r="AE2714" s="18">
        <v>46150.0</v>
      </c>
      <c r="AF2714" s="1"/>
      <c r="AG2714" s="1"/>
      <c r="AH2714" s="1" t="s">
        <v>1152</v>
      </c>
      <c r="AI2714" s="1" t="s">
        <v>1152</v>
      </c>
      <c r="AJ2714" s="1" t="s">
        <v>12578</v>
      </c>
      <c r="AK2714" s="1" t="s">
        <v>1152</v>
      </c>
      <c r="AL2714" s="6"/>
      <c r="AM2714" s="12">
        <v>3.606749649E9</v>
      </c>
    </row>
    <row r="2715">
      <c r="A2715" s="5" t="s">
        <v>12579</v>
      </c>
      <c r="B2715" s="1" t="s">
        <v>12580</v>
      </c>
      <c r="C2715" s="1" t="s">
        <v>12581</v>
      </c>
      <c r="D2715" s="2">
        <v>3.143203294E9</v>
      </c>
      <c r="E2715" s="1" t="s">
        <v>12582</v>
      </c>
      <c r="F2715" s="1"/>
      <c r="G2715" s="1" t="s">
        <v>1760</v>
      </c>
      <c r="H2715" s="1" t="s">
        <v>1155</v>
      </c>
      <c r="I2715" s="1">
        <v>63105.0</v>
      </c>
      <c r="J2715" s="1" t="s">
        <v>752</v>
      </c>
      <c r="K2715" s="1" t="s">
        <v>42</v>
      </c>
      <c r="L2715" s="1" t="s">
        <v>6819</v>
      </c>
      <c r="M2715" s="1">
        <v>49.0</v>
      </c>
      <c r="N2715" s="1" t="s">
        <v>1152</v>
      </c>
      <c r="O2715" s="3" t="s">
        <v>3958</v>
      </c>
      <c r="P2715" s="1" t="s">
        <v>1152</v>
      </c>
      <c r="Q2715" s="1" t="s">
        <v>1152</v>
      </c>
      <c r="R2715" s="1"/>
      <c r="S2715" s="1"/>
      <c r="T2715" s="1" t="s">
        <v>1152</v>
      </c>
      <c r="U2715" s="1" t="s">
        <v>1936</v>
      </c>
      <c r="V2715" s="4" t="s">
        <v>3958</v>
      </c>
      <c r="W2715" s="1"/>
      <c r="X2715" s="1" t="s">
        <v>1152</v>
      </c>
      <c r="Y2715" s="1" t="s">
        <v>1152</v>
      </c>
      <c r="Z2715" s="1"/>
      <c r="AA2715" s="1"/>
      <c r="AB2715" s="1"/>
      <c r="AC2715" s="1" t="s">
        <v>1925</v>
      </c>
      <c r="AD2715" s="1"/>
      <c r="AE2715" s="18">
        <v>46158.0</v>
      </c>
      <c r="AF2715" s="1" t="s">
        <v>1030</v>
      </c>
      <c r="AG2715" s="1" t="s">
        <v>52</v>
      </c>
      <c r="AH2715" s="1" t="s">
        <v>1152</v>
      </c>
      <c r="AI2715" s="1" t="s">
        <v>1152</v>
      </c>
      <c r="AJ2715" s="1" t="s">
        <v>12582</v>
      </c>
      <c r="AK2715" s="1" t="s">
        <v>1152</v>
      </c>
      <c r="AL2715" s="6"/>
      <c r="AM2715" s="12">
        <v>3.143203294E9</v>
      </c>
    </row>
    <row r="2716">
      <c r="A2716" s="5" t="s">
        <v>12583</v>
      </c>
      <c r="B2716" s="1" t="s">
        <v>12584</v>
      </c>
      <c r="C2716" s="1" t="s">
        <v>8879</v>
      </c>
      <c r="D2716" s="2">
        <v>9.547436742E9</v>
      </c>
      <c r="E2716" s="1" t="s">
        <v>6293</v>
      </c>
      <c r="F2716" s="1"/>
      <c r="G2716" s="1" t="s">
        <v>6292</v>
      </c>
      <c r="H2716" s="1" t="s">
        <v>1208</v>
      </c>
      <c r="I2716" s="1">
        <v>33026.0</v>
      </c>
      <c r="J2716" s="1" t="s">
        <v>752</v>
      </c>
      <c r="K2716" s="1" t="s">
        <v>2131</v>
      </c>
      <c r="L2716" s="1" t="s">
        <v>5833</v>
      </c>
      <c r="M2716" s="1">
        <v>1.0</v>
      </c>
      <c r="N2716" s="1" t="s">
        <v>1152</v>
      </c>
      <c r="O2716" s="3" t="s">
        <v>4810</v>
      </c>
      <c r="P2716" s="1" t="s">
        <v>1152</v>
      </c>
      <c r="Q2716" s="1" t="s">
        <v>1152</v>
      </c>
      <c r="R2716" s="1"/>
      <c r="S2716" s="1"/>
      <c r="T2716" s="1" t="s">
        <v>1152</v>
      </c>
      <c r="U2716" s="1" t="s">
        <v>1065</v>
      </c>
      <c r="V2716" s="4" t="s">
        <v>4810</v>
      </c>
      <c r="W2716" s="1"/>
      <c r="X2716" s="1" t="s">
        <v>1152</v>
      </c>
      <c r="Y2716" s="1" t="s">
        <v>1152</v>
      </c>
      <c r="Z2716" s="1"/>
      <c r="AA2716" s="1"/>
      <c r="AB2716" s="1"/>
      <c r="AC2716" s="1" t="s">
        <v>1925</v>
      </c>
      <c r="AD2716" s="1"/>
      <c r="AE2716" s="18">
        <v>46149.0</v>
      </c>
      <c r="AF2716" s="1"/>
      <c r="AG2716" s="1"/>
      <c r="AH2716" s="1" t="s">
        <v>1152</v>
      </c>
      <c r="AI2716" s="1" t="s">
        <v>1152</v>
      </c>
      <c r="AJ2716" s="1" t="s">
        <v>6293</v>
      </c>
      <c r="AK2716" s="1" t="s">
        <v>1152</v>
      </c>
      <c r="AL2716" s="6"/>
      <c r="AM2716" s="12">
        <v>9.547436742E9</v>
      </c>
    </row>
    <row r="2717">
      <c r="A2717" s="5" t="s">
        <v>12585</v>
      </c>
      <c r="B2717" s="1" t="s">
        <v>12586</v>
      </c>
      <c r="C2717" s="1" t="s">
        <v>12587</v>
      </c>
      <c r="D2717" s="2">
        <v>4.40514974E9</v>
      </c>
      <c r="E2717" s="1" t="s">
        <v>6439</v>
      </c>
      <c r="F2717" s="1"/>
      <c r="G2717" s="1" t="s">
        <v>6438</v>
      </c>
      <c r="H2717" s="1" t="s">
        <v>2171</v>
      </c>
      <c r="I2717" s="1">
        <v>44040.0</v>
      </c>
      <c r="J2717" s="1" t="s">
        <v>752</v>
      </c>
      <c r="K2717" s="1" t="s">
        <v>2131</v>
      </c>
      <c r="L2717" s="1" t="s">
        <v>5736</v>
      </c>
      <c r="M2717" s="1">
        <v>1.0</v>
      </c>
      <c r="N2717" s="1" t="s">
        <v>1152</v>
      </c>
      <c r="O2717" s="3" t="s">
        <v>12588</v>
      </c>
      <c r="P2717" s="1" t="s">
        <v>1152</v>
      </c>
      <c r="Q2717" s="1" t="s">
        <v>1152</v>
      </c>
      <c r="R2717" s="1"/>
      <c r="S2717" s="1"/>
      <c r="T2717" s="1" t="s">
        <v>1152</v>
      </c>
      <c r="U2717" s="1" t="s">
        <v>1277</v>
      </c>
      <c r="V2717" s="4" t="s">
        <v>12588</v>
      </c>
      <c r="W2717" s="1"/>
      <c r="X2717" s="1" t="s">
        <v>1152</v>
      </c>
      <c r="Y2717" s="1" t="s">
        <v>1152</v>
      </c>
      <c r="Z2717" s="1"/>
      <c r="AA2717" s="1"/>
      <c r="AB2717" s="1"/>
      <c r="AC2717" s="1" t="s">
        <v>1925</v>
      </c>
      <c r="AD2717" s="1"/>
      <c r="AE2717" s="18">
        <v>46146.0</v>
      </c>
      <c r="AF2717" s="1"/>
      <c r="AG2717" s="1"/>
      <c r="AH2717" s="1" t="s">
        <v>1152</v>
      </c>
      <c r="AI2717" s="1" t="s">
        <v>1152</v>
      </c>
      <c r="AJ2717" s="1" t="s">
        <v>6439</v>
      </c>
      <c r="AK2717" s="1" t="s">
        <v>1152</v>
      </c>
      <c r="AL2717" s="6"/>
      <c r="AM2717" s="12" t="s">
        <v>12589</v>
      </c>
    </row>
    <row r="2718">
      <c r="A2718" s="5" t="s">
        <v>12590</v>
      </c>
      <c r="B2718" s="1" t="s">
        <v>12591</v>
      </c>
      <c r="C2718" s="1" t="s">
        <v>12592</v>
      </c>
      <c r="D2718" s="2">
        <v>9.172152585E9</v>
      </c>
      <c r="E2718" s="1" t="s">
        <v>12593</v>
      </c>
      <c r="F2718" s="1" t="s">
        <v>12594</v>
      </c>
      <c r="G2718" s="1" t="s">
        <v>751</v>
      </c>
      <c r="H2718" s="1" t="s">
        <v>751</v>
      </c>
      <c r="I2718" s="1">
        <v>10028.0</v>
      </c>
      <c r="J2718" s="1" t="s">
        <v>752</v>
      </c>
      <c r="K2718" s="1" t="s">
        <v>892</v>
      </c>
      <c r="L2718" s="1" t="s">
        <v>9336</v>
      </c>
      <c r="M2718" s="1">
        <v>109.0</v>
      </c>
      <c r="N2718" s="1" t="s">
        <v>1152</v>
      </c>
      <c r="O2718" s="3"/>
      <c r="P2718" s="1" t="s">
        <v>1152</v>
      </c>
      <c r="Q2718" s="1" t="s">
        <v>1152</v>
      </c>
      <c r="R2718" s="1" t="s">
        <v>12594</v>
      </c>
      <c r="S2718" s="1"/>
      <c r="T2718" s="1" t="s">
        <v>1152</v>
      </c>
      <c r="U2718" s="1"/>
      <c r="V2718" s="4"/>
      <c r="W2718" s="1" t="s">
        <v>12594</v>
      </c>
      <c r="X2718" s="1" t="s">
        <v>1152</v>
      </c>
      <c r="Y2718" s="1" t="s">
        <v>1152</v>
      </c>
      <c r="Z2718" s="1"/>
      <c r="AA2718" s="1" t="s">
        <v>12594</v>
      </c>
      <c r="AB2718" s="1"/>
      <c r="AC2718" s="1" t="s">
        <v>1925</v>
      </c>
      <c r="AD2718" s="1"/>
      <c r="AE2718" s="18">
        <v>46155.0</v>
      </c>
      <c r="AF2718" s="1" t="s">
        <v>1440</v>
      </c>
      <c r="AG2718" s="1" t="s">
        <v>124</v>
      </c>
      <c r="AH2718" s="1" t="s">
        <v>12595</v>
      </c>
      <c r="AI2718" s="1" t="s">
        <v>1152</v>
      </c>
      <c r="AJ2718" s="1" t="s">
        <v>12596</v>
      </c>
      <c r="AK2718" s="1" t="s">
        <v>1152</v>
      </c>
      <c r="AL2718" s="6"/>
      <c r="AM2718" s="12">
        <v>9.172152585E9</v>
      </c>
    </row>
    <row r="2719">
      <c r="A2719" s="5" t="s">
        <v>12597</v>
      </c>
      <c r="B2719" s="1" t="s">
        <v>12598</v>
      </c>
      <c r="C2719" s="1" t="s">
        <v>4686</v>
      </c>
      <c r="D2719" s="2">
        <v>7.032232616E9</v>
      </c>
      <c r="E2719" s="1" t="s">
        <v>4687</v>
      </c>
      <c r="F2719" s="1"/>
      <c r="G2719" s="1" t="s">
        <v>4688</v>
      </c>
      <c r="H2719" s="1" t="s">
        <v>1038</v>
      </c>
      <c r="I2719" s="1">
        <v>22032.0</v>
      </c>
      <c r="J2719" s="1" t="s">
        <v>752</v>
      </c>
      <c r="K2719" s="1" t="s">
        <v>42</v>
      </c>
      <c r="L2719" s="1" t="s">
        <v>7863</v>
      </c>
      <c r="M2719" s="1">
        <v>79.0</v>
      </c>
      <c r="N2719" s="1" t="s">
        <v>1152</v>
      </c>
      <c r="O2719" s="3" t="s">
        <v>3477</v>
      </c>
      <c r="P2719" s="1" t="s">
        <v>1152</v>
      </c>
      <c r="Q2719" s="1" t="s">
        <v>1152</v>
      </c>
      <c r="R2719" s="1"/>
      <c r="S2719" s="1"/>
      <c r="T2719" s="1" t="s">
        <v>1152</v>
      </c>
      <c r="U2719" s="1" t="s">
        <v>1794</v>
      </c>
      <c r="V2719" s="4" t="s">
        <v>3477</v>
      </c>
      <c r="W2719" s="1"/>
      <c r="X2719" s="1" t="s">
        <v>1152</v>
      </c>
      <c r="Y2719" s="1" t="s">
        <v>1152</v>
      </c>
      <c r="Z2719" s="1"/>
      <c r="AA2719" s="1"/>
      <c r="AB2719" s="1"/>
      <c r="AC2719" s="1" t="s">
        <v>1925</v>
      </c>
      <c r="AD2719" s="1"/>
      <c r="AE2719" s="18">
        <v>46146.0</v>
      </c>
      <c r="AF2719" s="1" t="s">
        <v>1030</v>
      </c>
      <c r="AG2719" s="1" t="s">
        <v>52</v>
      </c>
      <c r="AH2719" s="1" t="s">
        <v>1152</v>
      </c>
      <c r="AI2719" s="1" t="s">
        <v>1152</v>
      </c>
      <c r="AJ2719" s="1" t="s">
        <v>12599</v>
      </c>
      <c r="AK2719" s="1" t="s">
        <v>1152</v>
      </c>
      <c r="AL2719" s="6"/>
      <c r="AM2719" s="12">
        <v>7.032232616E9</v>
      </c>
    </row>
    <row r="2720">
      <c r="A2720" s="5" t="s">
        <v>12600</v>
      </c>
      <c r="B2720" s="1" t="s">
        <v>12601</v>
      </c>
      <c r="C2720" s="1" t="s">
        <v>9163</v>
      </c>
      <c r="D2720" s="2">
        <v>9.14522341E9</v>
      </c>
      <c r="E2720" s="1" t="s">
        <v>6484</v>
      </c>
      <c r="F2720" s="1"/>
      <c r="G2720" s="1" t="s">
        <v>1766</v>
      </c>
      <c r="H2720" s="1" t="s">
        <v>1078</v>
      </c>
      <c r="I2720" s="1">
        <v>6831.0</v>
      </c>
      <c r="J2720" s="1" t="s">
        <v>752</v>
      </c>
      <c r="K2720" s="1" t="s">
        <v>2131</v>
      </c>
      <c r="L2720" s="1" t="s">
        <v>5767</v>
      </c>
      <c r="M2720" s="1">
        <v>1.0</v>
      </c>
      <c r="N2720" s="1" t="s">
        <v>1152</v>
      </c>
      <c r="O2720" s="3" t="s">
        <v>3796</v>
      </c>
      <c r="P2720" s="1" t="s">
        <v>1152</v>
      </c>
      <c r="Q2720" s="1" t="s">
        <v>1152</v>
      </c>
      <c r="R2720" s="1"/>
      <c r="S2720" s="1"/>
      <c r="T2720" s="1" t="s">
        <v>1152</v>
      </c>
      <c r="U2720" s="1" t="s">
        <v>1080</v>
      </c>
      <c r="V2720" s="4" t="s">
        <v>3796</v>
      </c>
      <c r="W2720" s="1"/>
      <c r="X2720" s="1" t="s">
        <v>1152</v>
      </c>
      <c r="Y2720" s="1" t="s">
        <v>1152</v>
      </c>
      <c r="Z2720" s="1"/>
      <c r="AA2720" s="1"/>
      <c r="AB2720" s="1"/>
      <c r="AC2720" s="1" t="s">
        <v>1925</v>
      </c>
      <c r="AD2720" s="1"/>
      <c r="AE2720" s="18">
        <v>46147.0</v>
      </c>
      <c r="AF2720" s="1"/>
      <c r="AG2720" s="1"/>
      <c r="AH2720" s="1" t="s">
        <v>1152</v>
      </c>
      <c r="AI2720" s="1" t="s">
        <v>1152</v>
      </c>
      <c r="AJ2720" s="1" t="s">
        <v>6484</v>
      </c>
      <c r="AK2720" s="1" t="s">
        <v>1152</v>
      </c>
      <c r="AL2720" s="6"/>
      <c r="AM2720" s="12">
        <v>9.14522341E9</v>
      </c>
    </row>
    <row r="2721">
      <c r="A2721" s="5" t="s">
        <v>12602</v>
      </c>
      <c r="B2721" s="1" t="s">
        <v>12603</v>
      </c>
      <c r="C2721" s="1" t="s">
        <v>12604</v>
      </c>
      <c r="D2721" s="2">
        <v>1.042821592E9</v>
      </c>
      <c r="E2721" s="1" t="s">
        <v>12605</v>
      </c>
      <c r="F2721" s="1"/>
      <c r="G2721" s="1" t="s">
        <v>12606</v>
      </c>
      <c r="H2721" s="1" t="s">
        <v>12607</v>
      </c>
      <c r="I2721" s="1">
        <v>22002.0</v>
      </c>
      <c r="J2721" s="1" t="s">
        <v>1965</v>
      </c>
      <c r="K2721" s="1" t="s">
        <v>42</v>
      </c>
      <c r="L2721" s="1" t="s">
        <v>6819</v>
      </c>
      <c r="M2721" s="1">
        <v>49.0</v>
      </c>
      <c r="N2721" s="1" t="s">
        <v>1152</v>
      </c>
      <c r="O2721" s="3" t="s">
        <v>12608</v>
      </c>
      <c r="P2721" s="1" t="s">
        <v>1152</v>
      </c>
      <c r="Q2721" s="1" t="s">
        <v>1152</v>
      </c>
      <c r="R2721" s="1"/>
      <c r="S2721" s="1"/>
      <c r="T2721" s="1" t="s">
        <v>1152</v>
      </c>
      <c r="U2721" s="1" t="s">
        <v>982</v>
      </c>
      <c r="V2721" s="4" t="s">
        <v>12608</v>
      </c>
      <c r="W2721" s="1"/>
      <c r="X2721" s="1" t="s">
        <v>1152</v>
      </c>
      <c r="Y2721" s="1" t="s">
        <v>1152</v>
      </c>
      <c r="Z2721" s="1"/>
      <c r="AA2721" s="1"/>
      <c r="AB2721" s="1"/>
      <c r="AC2721" s="1" t="s">
        <v>1925</v>
      </c>
      <c r="AD2721" s="1"/>
      <c r="AE2721" s="18">
        <v>46146.0</v>
      </c>
      <c r="AF2721" s="1" t="s">
        <v>3186</v>
      </c>
      <c r="AG2721" s="1" t="s">
        <v>52</v>
      </c>
      <c r="AH2721" s="1" t="s">
        <v>1152</v>
      </c>
      <c r="AI2721" s="1" t="s">
        <v>1152</v>
      </c>
      <c r="AJ2721" s="1" t="s">
        <v>12609</v>
      </c>
      <c r="AK2721" s="1" t="s">
        <v>1152</v>
      </c>
      <c r="AL2721" s="6"/>
      <c r="AM2721" s="12">
        <v>3.147031368E9</v>
      </c>
    </row>
    <row r="2722">
      <c r="A2722" s="5" t="s">
        <v>12610</v>
      </c>
      <c r="B2722" s="1" t="s">
        <v>12611</v>
      </c>
      <c r="C2722" s="1" t="s">
        <v>5419</v>
      </c>
      <c r="D2722" s="2">
        <v>3.146655285E9</v>
      </c>
      <c r="E2722" s="1" t="s">
        <v>5420</v>
      </c>
      <c r="F2722" s="1"/>
      <c r="G2722" s="1" t="s">
        <v>2350</v>
      </c>
      <c r="H2722" s="1" t="s">
        <v>1155</v>
      </c>
      <c r="I2722" s="1">
        <v>63130.0</v>
      </c>
      <c r="J2722" s="1" t="s">
        <v>752</v>
      </c>
      <c r="K2722" s="1" t="s">
        <v>42</v>
      </c>
      <c r="L2722" s="1" t="s">
        <v>6819</v>
      </c>
      <c r="M2722" s="1">
        <v>49.0</v>
      </c>
      <c r="N2722" s="1" t="s">
        <v>1152</v>
      </c>
      <c r="O2722" s="3" t="s">
        <v>4357</v>
      </c>
      <c r="P2722" s="1" t="s">
        <v>1152</v>
      </c>
      <c r="Q2722" s="1" t="s">
        <v>1152</v>
      </c>
      <c r="R2722" s="1"/>
      <c r="S2722" s="1"/>
      <c r="T2722" s="1" t="s">
        <v>1152</v>
      </c>
      <c r="U2722" s="1" t="s">
        <v>1021</v>
      </c>
      <c r="V2722" s="4" t="s">
        <v>4357</v>
      </c>
      <c r="W2722" s="1"/>
      <c r="X2722" s="1" t="s">
        <v>1152</v>
      </c>
      <c r="Y2722" s="1" t="s">
        <v>1152</v>
      </c>
      <c r="Z2722" s="1"/>
      <c r="AA2722" s="1"/>
      <c r="AB2722" s="1"/>
      <c r="AC2722" s="1" t="s">
        <v>1925</v>
      </c>
      <c r="AD2722" s="1"/>
      <c r="AE2722" s="18">
        <v>46150.0</v>
      </c>
      <c r="AF2722" s="1" t="s">
        <v>1455</v>
      </c>
      <c r="AG2722" s="1" t="s">
        <v>52</v>
      </c>
      <c r="AH2722" s="1" t="s">
        <v>1152</v>
      </c>
      <c r="AI2722" s="1" t="s">
        <v>1152</v>
      </c>
      <c r="AJ2722" s="1" t="s">
        <v>5420</v>
      </c>
      <c r="AK2722" s="1" t="s">
        <v>1152</v>
      </c>
      <c r="AL2722" s="6"/>
      <c r="AM2722" s="12">
        <v>3.146655285E9</v>
      </c>
    </row>
    <row r="2723">
      <c r="A2723" s="5" t="s">
        <v>12612</v>
      </c>
      <c r="B2723" s="1" t="s">
        <v>12613</v>
      </c>
      <c r="C2723" s="1" t="s">
        <v>12614</v>
      </c>
      <c r="D2723" s="2">
        <v>2.407040006E9</v>
      </c>
      <c r="E2723" s="1" t="s">
        <v>12615</v>
      </c>
      <c r="F2723" s="1"/>
      <c r="G2723" s="1" t="s">
        <v>5431</v>
      </c>
      <c r="H2723" s="1" t="s">
        <v>1005</v>
      </c>
      <c r="I2723" s="1" t="s">
        <v>12616</v>
      </c>
      <c r="J2723" s="1" t="s">
        <v>752</v>
      </c>
      <c r="K2723" s="1" t="s">
        <v>42</v>
      </c>
      <c r="L2723" s="1" t="s">
        <v>6819</v>
      </c>
      <c r="M2723" s="1">
        <v>49.0</v>
      </c>
      <c r="N2723" s="1" t="s">
        <v>1152</v>
      </c>
      <c r="O2723" s="3" t="s">
        <v>2193</v>
      </c>
      <c r="P2723" s="1" t="s">
        <v>1152</v>
      </c>
      <c r="Q2723" s="1" t="s">
        <v>1152</v>
      </c>
      <c r="R2723" s="1"/>
      <c r="S2723" s="1"/>
      <c r="T2723" s="1" t="s">
        <v>1152</v>
      </c>
      <c r="U2723" s="1" t="s">
        <v>1324</v>
      </c>
      <c r="V2723" s="4" t="s">
        <v>2193</v>
      </c>
      <c r="W2723" s="1"/>
      <c r="X2723" s="1" t="s">
        <v>1152</v>
      </c>
      <c r="Y2723" s="1" t="s">
        <v>1152</v>
      </c>
      <c r="Z2723" s="1"/>
      <c r="AA2723" s="1"/>
      <c r="AB2723" s="1"/>
      <c r="AC2723" s="1" t="s">
        <v>1925</v>
      </c>
      <c r="AD2723" s="1"/>
      <c r="AE2723" s="18">
        <v>46147.0</v>
      </c>
      <c r="AF2723" s="1" t="s">
        <v>1349</v>
      </c>
      <c r="AG2723" s="1" t="s">
        <v>52</v>
      </c>
      <c r="AH2723" s="1" t="s">
        <v>1152</v>
      </c>
      <c r="AI2723" s="1" t="s">
        <v>12617</v>
      </c>
      <c r="AJ2723" s="1" t="s">
        <v>12618</v>
      </c>
      <c r="AK2723" s="1" t="s">
        <v>1152</v>
      </c>
      <c r="AL2723" s="6"/>
      <c r="AM2723" s="12">
        <v>2.407040006E9</v>
      </c>
    </row>
    <row r="2724">
      <c r="A2724" s="5" t="s">
        <v>12619</v>
      </c>
      <c r="B2724" s="1" t="s">
        <v>12620</v>
      </c>
      <c r="C2724" s="1" t="s">
        <v>12621</v>
      </c>
      <c r="D2724" s="2">
        <v>8.014145532E9</v>
      </c>
      <c r="E2724" s="1" t="s">
        <v>3951</v>
      </c>
      <c r="F2724" s="1"/>
      <c r="G2724" s="1" t="s">
        <v>3952</v>
      </c>
      <c r="H2724" s="1" t="s">
        <v>3953</v>
      </c>
      <c r="I2724" s="1">
        <v>84092.0</v>
      </c>
      <c r="J2724" s="1" t="s">
        <v>752</v>
      </c>
      <c r="K2724" s="1" t="s">
        <v>2131</v>
      </c>
      <c r="L2724" s="1" t="s">
        <v>5767</v>
      </c>
      <c r="M2724" s="1">
        <v>1.0</v>
      </c>
      <c r="N2724" s="1" t="s">
        <v>1152</v>
      </c>
      <c r="O2724" s="3" t="s">
        <v>3954</v>
      </c>
      <c r="P2724" s="1" t="s">
        <v>1152</v>
      </c>
      <c r="Q2724" s="1" t="s">
        <v>1152</v>
      </c>
      <c r="R2724" s="1"/>
      <c r="S2724" s="1"/>
      <c r="T2724" s="1" t="s">
        <v>1152</v>
      </c>
      <c r="U2724" s="1" t="s">
        <v>982</v>
      </c>
      <c r="V2724" s="4" t="s">
        <v>3954</v>
      </c>
      <c r="W2724" s="1"/>
      <c r="X2724" s="1" t="s">
        <v>1152</v>
      </c>
      <c r="Y2724" s="1" t="s">
        <v>1152</v>
      </c>
      <c r="Z2724" s="1"/>
      <c r="AA2724" s="1"/>
      <c r="AB2724" s="1"/>
      <c r="AC2724" s="1" t="s">
        <v>1925</v>
      </c>
      <c r="AD2724" s="1"/>
      <c r="AE2724" s="18">
        <v>46148.0</v>
      </c>
      <c r="AF2724" s="1"/>
      <c r="AG2724" s="1"/>
      <c r="AH2724" s="1" t="s">
        <v>1152</v>
      </c>
      <c r="AI2724" s="1" t="s">
        <v>1152</v>
      </c>
      <c r="AJ2724" s="1" t="s">
        <v>8545</v>
      </c>
      <c r="AK2724" s="1" t="s">
        <v>1152</v>
      </c>
      <c r="AL2724" s="6"/>
      <c r="AM2724" s="12">
        <v>8.015778449E9</v>
      </c>
    </row>
    <row r="2725">
      <c r="A2725" s="5" t="s">
        <v>12622</v>
      </c>
      <c r="B2725" s="1" t="s">
        <v>12623</v>
      </c>
      <c r="C2725" s="1" t="s">
        <v>12624</v>
      </c>
      <c r="D2725" s="2">
        <v>9.738306679E9</v>
      </c>
      <c r="E2725" s="1" t="s">
        <v>6224</v>
      </c>
      <c r="F2725" s="1"/>
      <c r="G2725" s="1" t="s">
        <v>6222</v>
      </c>
      <c r="H2725" s="1" t="s">
        <v>1053</v>
      </c>
      <c r="I2725" s="1">
        <v>7045.0</v>
      </c>
      <c r="J2725" s="1" t="s">
        <v>752</v>
      </c>
      <c r="K2725" s="1" t="s">
        <v>2131</v>
      </c>
      <c r="L2725" s="1" t="s">
        <v>5767</v>
      </c>
      <c r="M2725" s="1">
        <v>1.0</v>
      </c>
      <c r="N2725" s="1" t="s">
        <v>1152</v>
      </c>
      <c r="O2725" s="3" t="s">
        <v>8001</v>
      </c>
      <c r="P2725" s="1" t="s">
        <v>1152</v>
      </c>
      <c r="Q2725" s="1" t="s">
        <v>1152</v>
      </c>
      <c r="R2725" s="1"/>
      <c r="S2725" s="1"/>
      <c r="T2725" s="1" t="s">
        <v>1152</v>
      </c>
      <c r="U2725" s="1" t="s">
        <v>1749</v>
      </c>
      <c r="V2725" s="4" t="s">
        <v>8001</v>
      </c>
      <c r="W2725" s="1"/>
      <c r="X2725" s="1" t="s">
        <v>1152</v>
      </c>
      <c r="Y2725" s="1" t="s">
        <v>1152</v>
      </c>
      <c r="Z2725" s="1"/>
      <c r="AA2725" s="1"/>
      <c r="AB2725" s="1"/>
      <c r="AC2725" s="1" t="s">
        <v>1925</v>
      </c>
      <c r="AD2725" s="1"/>
      <c r="AE2725" s="18">
        <v>46146.0</v>
      </c>
      <c r="AF2725" s="1"/>
      <c r="AG2725" s="1"/>
      <c r="AH2725" s="1" t="s">
        <v>1152</v>
      </c>
      <c r="AI2725" s="1" t="s">
        <v>1152</v>
      </c>
      <c r="AJ2725" s="1" t="s">
        <v>6224</v>
      </c>
      <c r="AK2725" s="1" t="s">
        <v>1152</v>
      </c>
      <c r="AL2725" s="6"/>
      <c r="AM2725" s="12" t="s">
        <v>12625</v>
      </c>
    </row>
    <row r="2726">
      <c r="A2726" s="5" t="s">
        <v>12626</v>
      </c>
      <c r="B2726" s="1" t="s">
        <v>12627</v>
      </c>
      <c r="C2726" s="1" t="s">
        <v>5976</v>
      </c>
      <c r="D2726" s="2">
        <v>6.12391058E9</v>
      </c>
      <c r="E2726" s="1" t="s">
        <v>5978</v>
      </c>
      <c r="F2726" s="1"/>
      <c r="G2726" s="1" t="s">
        <v>2998</v>
      </c>
      <c r="H2726" s="1" t="s">
        <v>2999</v>
      </c>
      <c r="I2726" s="1">
        <v>55405.0</v>
      </c>
      <c r="J2726" s="1" t="s">
        <v>752</v>
      </c>
      <c r="K2726" s="1" t="s">
        <v>2131</v>
      </c>
      <c r="L2726" s="1" t="s">
        <v>5767</v>
      </c>
      <c r="M2726" s="1">
        <v>1.0</v>
      </c>
      <c r="N2726" s="1" t="s">
        <v>1152</v>
      </c>
      <c r="O2726" s="3" t="s">
        <v>353</v>
      </c>
      <c r="P2726" s="1" t="s">
        <v>1152</v>
      </c>
      <c r="Q2726" s="1" t="s">
        <v>1152</v>
      </c>
      <c r="R2726" s="1"/>
      <c r="S2726" s="1"/>
      <c r="T2726" s="1" t="s">
        <v>1152</v>
      </c>
      <c r="U2726" s="1" t="s">
        <v>1080</v>
      </c>
      <c r="V2726" s="4" t="s">
        <v>353</v>
      </c>
      <c r="W2726" s="1"/>
      <c r="X2726" s="1" t="s">
        <v>1152</v>
      </c>
      <c r="Y2726" s="1" t="s">
        <v>1152</v>
      </c>
      <c r="Z2726" s="1"/>
      <c r="AA2726" s="1"/>
      <c r="AB2726" s="1"/>
      <c r="AC2726" s="1" t="s">
        <v>1925</v>
      </c>
      <c r="AD2726" s="1"/>
      <c r="AE2726" s="18">
        <v>46149.0</v>
      </c>
      <c r="AF2726" s="1"/>
      <c r="AG2726" s="1"/>
      <c r="AH2726" s="1" t="s">
        <v>1152</v>
      </c>
      <c r="AI2726" s="1" t="s">
        <v>1152</v>
      </c>
      <c r="AJ2726" s="1" t="s">
        <v>12628</v>
      </c>
      <c r="AK2726" s="1" t="s">
        <v>1152</v>
      </c>
      <c r="AL2726" s="6"/>
      <c r="AM2726" s="12">
        <v>6.12391058E9</v>
      </c>
    </row>
    <row r="2727">
      <c r="A2727" s="5" t="s">
        <v>12629</v>
      </c>
      <c r="B2727" s="1" t="s">
        <v>12630</v>
      </c>
      <c r="C2727" s="1" t="s">
        <v>3442</v>
      </c>
      <c r="D2727" s="2">
        <v>9.178549554E9</v>
      </c>
      <c r="E2727" s="1" t="s">
        <v>3443</v>
      </c>
      <c r="F2727" s="1"/>
      <c r="G2727" s="1" t="s">
        <v>751</v>
      </c>
      <c r="H2727" s="1" t="s">
        <v>751</v>
      </c>
      <c r="I2727" s="1">
        <v>10023.0</v>
      </c>
      <c r="J2727" s="1" t="s">
        <v>752</v>
      </c>
      <c r="K2727" s="1" t="s">
        <v>2131</v>
      </c>
      <c r="L2727" s="1" t="s">
        <v>5736</v>
      </c>
      <c r="M2727" s="1">
        <v>1.0</v>
      </c>
      <c r="N2727" s="1" t="s">
        <v>1152</v>
      </c>
      <c r="O2727" s="3" t="s">
        <v>591</v>
      </c>
      <c r="P2727" s="1" t="s">
        <v>1152</v>
      </c>
      <c r="Q2727" s="1" t="s">
        <v>1152</v>
      </c>
      <c r="R2727" s="1"/>
      <c r="S2727" s="1"/>
      <c r="T2727" s="1" t="s">
        <v>1152</v>
      </c>
      <c r="U2727" s="1" t="s">
        <v>1749</v>
      </c>
      <c r="V2727" s="4" t="s">
        <v>591</v>
      </c>
      <c r="W2727" s="1"/>
      <c r="X2727" s="1" t="s">
        <v>1152</v>
      </c>
      <c r="Y2727" s="1" t="s">
        <v>1152</v>
      </c>
      <c r="Z2727" s="1"/>
      <c r="AA2727" s="1"/>
      <c r="AB2727" s="1"/>
      <c r="AC2727" s="1" t="s">
        <v>1925</v>
      </c>
      <c r="AD2727" s="1"/>
      <c r="AE2727" s="18">
        <v>46149.0</v>
      </c>
      <c r="AF2727" s="1"/>
      <c r="AG2727" s="1"/>
      <c r="AH2727" s="1" t="s">
        <v>1152</v>
      </c>
      <c r="AI2727" s="1" t="s">
        <v>1152</v>
      </c>
      <c r="AJ2727" s="1" t="s">
        <v>12631</v>
      </c>
      <c r="AK2727" s="1" t="s">
        <v>1152</v>
      </c>
      <c r="AL2727" s="6"/>
      <c r="AM2727" s="12" t="s">
        <v>12632</v>
      </c>
    </row>
    <row r="2728">
      <c r="A2728" s="5" t="s">
        <v>12633</v>
      </c>
      <c r="B2728" s="1" t="s">
        <v>12634</v>
      </c>
      <c r="C2728" s="1" t="s">
        <v>1852</v>
      </c>
      <c r="D2728" s="2">
        <v>9.172326716E9</v>
      </c>
      <c r="E2728" s="1" t="s">
        <v>1853</v>
      </c>
      <c r="F2728" s="1"/>
      <c r="G2728" s="1" t="s">
        <v>751</v>
      </c>
      <c r="H2728" s="1" t="s">
        <v>751</v>
      </c>
      <c r="I2728" s="1">
        <v>10028.0</v>
      </c>
      <c r="J2728" s="1" t="s">
        <v>752</v>
      </c>
      <c r="K2728" s="1" t="s">
        <v>2131</v>
      </c>
      <c r="L2728" s="1" t="s">
        <v>5811</v>
      </c>
      <c r="M2728" s="1">
        <v>1.0</v>
      </c>
      <c r="N2728" s="1" t="s">
        <v>1152</v>
      </c>
      <c r="O2728" s="3" t="s">
        <v>1854</v>
      </c>
      <c r="P2728" s="1" t="s">
        <v>1152</v>
      </c>
      <c r="Q2728" s="1" t="s">
        <v>1152</v>
      </c>
      <c r="R2728" s="1"/>
      <c r="S2728" s="1"/>
      <c r="T2728" s="1" t="s">
        <v>1152</v>
      </c>
      <c r="U2728" s="1" t="s">
        <v>1201</v>
      </c>
      <c r="V2728" s="4" t="s">
        <v>1854</v>
      </c>
      <c r="W2728" s="1"/>
      <c r="X2728" s="1" t="s">
        <v>1152</v>
      </c>
      <c r="Y2728" s="1" t="s">
        <v>1152</v>
      </c>
      <c r="Z2728" s="1"/>
      <c r="AA2728" s="1"/>
      <c r="AB2728" s="1"/>
      <c r="AC2728" s="1" t="s">
        <v>1925</v>
      </c>
      <c r="AD2728" s="1"/>
      <c r="AE2728" s="18">
        <v>46149.0</v>
      </c>
      <c r="AF2728" s="1"/>
      <c r="AG2728" s="1"/>
      <c r="AH2728" s="1" t="s">
        <v>1152</v>
      </c>
      <c r="AI2728" s="1" t="s">
        <v>12635</v>
      </c>
      <c r="AJ2728" s="1" t="s">
        <v>1853</v>
      </c>
      <c r="AK2728" s="1" t="s">
        <v>1152</v>
      </c>
      <c r="AL2728" s="6"/>
      <c r="AM2728" s="12">
        <v>9.172326716E9</v>
      </c>
    </row>
    <row r="2729">
      <c r="A2729" s="5" t="s">
        <v>12636</v>
      </c>
      <c r="B2729" s="1" t="s">
        <v>12637</v>
      </c>
      <c r="C2729" s="1" t="s">
        <v>9575</v>
      </c>
      <c r="D2729" s="2">
        <v>3.522262436E9</v>
      </c>
      <c r="E2729" s="1" t="s">
        <v>9576</v>
      </c>
      <c r="F2729" s="1"/>
      <c r="G2729" s="1" t="s">
        <v>2192</v>
      </c>
      <c r="H2729" s="1" t="s">
        <v>1208</v>
      </c>
      <c r="I2729" s="1">
        <v>32606.0</v>
      </c>
      <c r="J2729" s="1" t="s">
        <v>752</v>
      </c>
      <c r="K2729" s="1" t="s">
        <v>51</v>
      </c>
      <c r="L2729" s="1" t="s">
        <v>5722</v>
      </c>
      <c r="M2729" s="1">
        <v>1.0</v>
      </c>
      <c r="N2729" s="1" t="s">
        <v>2461</v>
      </c>
      <c r="O2729" s="3" t="s">
        <v>12638</v>
      </c>
      <c r="P2729" s="18">
        <v>46251.0</v>
      </c>
      <c r="Q2729" s="1" t="s">
        <v>2463</v>
      </c>
      <c r="R2729" s="1"/>
      <c r="S2729" s="1" t="s">
        <v>52</v>
      </c>
      <c r="T2729" s="1" t="s">
        <v>2461</v>
      </c>
      <c r="U2729" s="1" t="s">
        <v>1441</v>
      </c>
      <c r="V2729" s="4" t="s">
        <v>12638</v>
      </c>
      <c r="W2729" s="1"/>
      <c r="X2729" s="18">
        <v>46251.0</v>
      </c>
      <c r="Y2729" s="1" t="s">
        <v>2463</v>
      </c>
      <c r="Z2729" s="1"/>
      <c r="AA2729" s="1"/>
      <c r="AB2729" s="1" t="s">
        <v>52</v>
      </c>
      <c r="AC2729" s="1" t="s">
        <v>1925</v>
      </c>
      <c r="AD2729" s="1"/>
      <c r="AE2729" s="1" t="s">
        <v>1152</v>
      </c>
      <c r="AF2729" s="1"/>
      <c r="AG2729" s="1"/>
      <c r="AH2729" s="1" t="s">
        <v>1152</v>
      </c>
      <c r="AI2729" s="1" t="s">
        <v>1152</v>
      </c>
      <c r="AJ2729" s="1" t="s">
        <v>9576</v>
      </c>
      <c r="AK2729" s="1" t="s">
        <v>1152</v>
      </c>
      <c r="AL2729" s="6"/>
      <c r="AM2729" s="12">
        <v>3.522262436E9</v>
      </c>
    </row>
    <row r="2730">
      <c r="A2730" s="5" t="s">
        <v>12639</v>
      </c>
      <c r="B2730" s="1" t="s">
        <v>12640</v>
      </c>
      <c r="C2730" s="1" t="s">
        <v>5809</v>
      </c>
      <c r="D2730" s="2">
        <v>8.477028084E9</v>
      </c>
      <c r="E2730" s="1" t="s">
        <v>5810</v>
      </c>
      <c r="F2730" s="1"/>
      <c r="G2730" s="1" t="s">
        <v>1858</v>
      </c>
      <c r="H2730" s="1" t="s">
        <v>1019</v>
      </c>
      <c r="I2730" s="1">
        <v>60093.0</v>
      </c>
      <c r="J2730" s="1" t="s">
        <v>752</v>
      </c>
      <c r="K2730" s="1" t="s">
        <v>2131</v>
      </c>
      <c r="L2730" s="1" t="s">
        <v>5767</v>
      </c>
      <c r="M2730" s="1">
        <v>1.0</v>
      </c>
      <c r="N2730" s="1" t="s">
        <v>1152</v>
      </c>
      <c r="O2730" s="3" t="s">
        <v>1910</v>
      </c>
      <c r="P2730" s="1" t="s">
        <v>1152</v>
      </c>
      <c r="Q2730" s="1" t="s">
        <v>1152</v>
      </c>
      <c r="R2730" s="1"/>
      <c r="S2730" s="1"/>
      <c r="T2730" s="1" t="s">
        <v>1152</v>
      </c>
      <c r="U2730" s="1" t="s">
        <v>948</v>
      </c>
      <c r="V2730" s="4" t="s">
        <v>1910</v>
      </c>
      <c r="W2730" s="1"/>
      <c r="X2730" s="1" t="s">
        <v>1152</v>
      </c>
      <c r="Y2730" s="1" t="s">
        <v>1152</v>
      </c>
      <c r="Z2730" s="1"/>
      <c r="AA2730" s="1"/>
      <c r="AB2730" s="1"/>
      <c r="AC2730" s="1" t="s">
        <v>1925</v>
      </c>
      <c r="AD2730" s="1"/>
      <c r="AE2730" s="18">
        <v>46150.0</v>
      </c>
      <c r="AF2730" s="1"/>
      <c r="AG2730" s="1"/>
      <c r="AH2730" s="1" t="s">
        <v>1152</v>
      </c>
      <c r="AI2730" s="1" t="s">
        <v>1152</v>
      </c>
      <c r="AJ2730" s="1" t="s">
        <v>5810</v>
      </c>
      <c r="AK2730" s="1" t="s">
        <v>1152</v>
      </c>
      <c r="AL2730" s="6"/>
      <c r="AM2730" s="12">
        <v>8.477028084E9</v>
      </c>
    </row>
    <row r="2731">
      <c r="A2731" s="5" t="s">
        <v>12641</v>
      </c>
      <c r="B2731" s="1" t="s">
        <v>12642</v>
      </c>
      <c r="C2731" s="1" t="s">
        <v>4135</v>
      </c>
      <c r="D2731" s="2">
        <v>2.532133537E9</v>
      </c>
      <c r="E2731" s="1" t="s">
        <v>12643</v>
      </c>
      <c r="F2731" s="1"/>
      <c r="G2731" s="1" t="s">
        <v>2350</v>
      </c>
      <c r="H2731" s="1" t="s">
        <v>1155</v>
      </c>
      <c r="I2731" s="1">
        <v>63130.0</v>
      </c>
      <c r="J2731" s="1" t="s">
        <v>752</v>
      </c>
      <c r="K2731" s="1" t="s">
        <v>7981</v>
      </c>
      <c r="L2731" s="1" t="s">
        <v>6819</v>
      </c>
      <c r="M2731" s="1">
        <v>49.0</v>
      </c>
      <c r="N2731" s="1" t="s">
        <v>1152</v>
      </c>
      <c r="O2731" s="3" t="s">
        <v>12644</v>
      </c>
      <c r="P2731" s="1" t="s">
        <v>1152</v>
      </c>
      <c r="Q2731" s="1" t="s">
        <v>1152</v>
      </c>
      <c r="R2731" s="1"/>
      <c r="S2731" s="1"/>
      <c r="T2731" s="1" t="s">
        <v>1152</v>
      </c>
      <c r="U2731" s="1" t="s">
        <v>1828</v>
      </c>
      <c r="V2731" s="4" t="s">
        <v>12644</v>
      </c>
      <c r="W2731" s="1"/>
      <c r="X2731" s="1" t="s">
        <v>1152</v>
      </c>
      <c r="Y2731" s="1" t="s">
        <v>1152</v>
      </c>
      <c r="Z2731" s="1"/>
      <c r="AA2731" s="1"/>
      <c r="AB2731" s="1"/>
      <c r="AC2731" s="1" t="s">
        <v>1925</v>
      </c>
      <c r="AD2731" s="1"/>
      <c r="AE2731" s="18">
        <v>46148.0</v>
      </c>
      <c r="AF2731" s="1" t="s">
        <v>1349</v>
      </c>
      <c r="AG2731" s="1" t="s">
        <v>52</v>
      </c>
      <c r="AH2731" s="1" t="s">
        <v>1152</v>
      </c>
      <c r="AI2731" s="1" t="s">
        <v>1152</v>
      </c>
      <c r="AJ2731" s="1" t="s">
        <v>12645</v>
      </c>
      <c r="AK2731" s="1" t="s">
        <v>1152</v>
      </c>
      <c r="AL2731" s="6"/>
      <c r="AM2731" s="12">
        <v>2.532133537E9</v>
      </c>
    </row>
    <row r="2732">
      <c r="A2732" s="5" t="s">
        <v>12646</v>
      </c>
      <c r="B2732" s="1" t="s">
        <v>12647</v>
      </c>
      <c r="C2732" s="1" t="s">
        <v>985</v>
      </c>
      <c r="D2732" s="2">
        <v>8.189201726E9</v>
      </c>
      <c r="E2732" s="1" t="s">
        <v>5061</v>
      </c>
      <c r="F2732" s="1"/>
      <c r="G2732" s="1" t="s">
        <v>988</v>
      </c>
      <c r="H2732" s="1" t="s">
        <v>989</v>
      </c>
      <c r="I2732" s="1">
        <v>91367.0</v>
      </c>
      <c r="J2732" s="1" t="s">
        <v>752</v>
      </c>
      <c r="K2732" s="1" t="s">
        <v>2131</v>
      </c>
      <c r="L2732" s="1" t="s">
        <v>5767</v>
      </c>
      <c r="M2732" s="1">
        <v>1.0</v>
      </c>
      <c r="N2732" s="1" t="s">
        <v>1152</v>
      </c>
      <c r="O2732" s="3" t="s">
        <v>5062</v>
      </c>
      <c r="P2732" s="1" t="s">
        <v>1152</v>
      </c>
      <c r="Q2732" s="1" t="s">
        <v>1152</v>
      </c>
      <c r="R2732" s="1"/>
      <c r="S2732" s="1"/>
      <c r="T2732" s="1" t="s">
        <v>1152</v>
      </c>
      <c r="U2732" s="1" t="s">
        <v>982</v>
      </c>
      <c r="V2732" s="4" t="s">
        <v>5062</v>
      </c>
      <c r="W2732" s="1"/>
      <c r="X2732" s="1" t="s">
        <v>1152</v>
      </c>
      <c r="Y2732" s="1" t="s">
        <v>1152</v>
      </c>
      <c r="Z2732" s="1"/>
      <c r="AA2732" s="1"/>
      <c r="AB2732" s="1"/>
      <c r="AC2732" s="1" t="s">
        <v>1925</v>
      </c>
      <c r="AD2732" s="1"/>
      <c r="AE2732" s="18">
        <v>46148.0</v>
      </c>
      <c r="AF2732" s="1"/>
      <c r="AG2732" s="1"/>
      <c r="AH2732" s="1" t="s">
        <v>1152</v>
      </c>
      <c r="AI2732" s="1" t="s">
        <v>1152</v>
      </c>
      <c r="AJ2732" s="1" t="s">
        <v>986</v>
      </c>
      <c r="AK2732" s="1" t="s">
        <v>1152</v>
      </c>
      <c r="AL2732" s="6"/>
      <c r="AM2732" s="12">
        <v>8.189328111E9</v>
      </c>
    </row>
    <row r="2733">
      <c r="A2733" s="5" t="s">
        <v>12648</v>
      </c>
      <c r="B2733" s="1" t="s">
        <v>12649</v>
      </c>
      <c r="C2733" s="1" t="s">
        <v>12650</v>
      </c>
      <c r="D2733" s="2">
        <v>6.466479402E9</v>
      </c>
      <c r="E2733" s="1" t="s">
        <v>12651</v>
      </c>
      <c r="F2733" s="1"/>
      <c r="G2733" s="1" t="s">
        <v>2428</v>
      </c>
      <c r="H2733" s="1" t="s">
        <v>751</v>
      </c>
      <c r="I2733" s="1">
        <v>10465.0</v>
      </c>
      <c r="J2733" s="1" t="s">
        <v>752</v>
      </c>
      <c r="K2733" s="1" t="s">
        <v>892</v>
      </c>
      <c r="L2733" s="1" t="s">
        <v>8134</v>
      </c>
      <c r="M2733" s="1">
        <v>79.0</v>
      </c>
      <c r="N2733" s="1" t="s">
        <v>1152</v>
      </c>
      <c r="O2733" s="3" t="s">
        <v>12652</v>
      </c>
      <c r="P2733" s="1" t="s">
        <v>1152</v>
      </c>
      <c r="Q2733" s="1" t="s">
        <v>1152</v>
      </c>
      <c r="R2733" s="1"/>
      <c r="S2733" s="1"/>
      <c r="T2733" s="1" t="s">
        <v>1152</v>
      </c>
      <c r="U2733" s="1" t="s">
        <v>1021</v>
      </c>
      <c r="V2733" s="4" t="s">
        <v>12652</v>
      </c>
      <c r="W2733" s="1"/>
      <c r="X2733" s="1" t="s">
        <v>1152</v>
      </c>
      <c r="Y2733" s="1" t="s">
        <v>1152</v>
      </c>
      <c r="Z2733" s="1"/>
      <c r="AA2733" s="1"/>
      <c r="AB2733" s="1"/>
      <c r="AC2733" s="1" t="s">
        <v>1925</v>
      </c>
      <c r="AD2733" s="1"/>
      <c r="AE2733" s="18">
        <v>46143.0</v>
      </c>
      <c r="AF2733" s="1" t="s">
        <v>1103</v>
      </c>
      <c r="AG2733" s="1" t="s">
        <v>52</v>
      </c>
      <c r="AH2733" s="1" t="s">
        <v>12653</v>
      </c>
      <c r="AI2733" s="1" t="s">
        <v>1152</v>
      </c>
      <c r="AJ2733" s="1" t="s">
        <v>12651</v>
      </c>
      <c r="AK2733" s="1" t="s">
        <v>1152</v>
      </c>
      <c r="AL2733" s="6"/>
      <c r="AM2733" s="12">
        <v>6.466479402E9</v>
      </c>
    </row>
    <row r="2734">
      <c r="A2734" s="5" t="s">
        <v>12654</v>
      </c>
      <c r="B2734" s="1" t="s">
        <v>12655</v>
      </c>
      <c r="C2734" s="1" t="s">
        <v>12656</v>
      </c>
      <c r="D2734" s="2">
        <v>6.175843768E9</v>
      </c>
      <c r="E2734" s="1" t="s">
        <v>309</v>
      </c>
      <c r="F2734" s="1"/>
      <c r="G2734" s="1" t="s">
        <v>1354</v>
      </c>
      <c r="H2734" s="1" t="s">
        <v>1121</v>
      </c>
      <c r="I2734" s="1">
        <v>2458.0</v>
      </c>
      <c r="J2734" s="1" t="s">
        <v>752</v>
      </c>
      <c r="K2734" s="1" t="s">
        <v>2131</v>
      </c>
      <c r="L2734" s="1" t="s">
        <v>5811</v>
      </c>
      <c r="M2734" s="1">
        <v>1.0</v>
      </c>
      <c r="N2734" s="1" t="s">
        <v>1152</v>
      </c>
      <c r="O2734" s="3" t="s">
        <v>311</v>
      </c>
      <c r="P2734" s="1" t="s">
        <v>1152</v>
      </c>
      <c r="Q2734" s="1" t="s">
        <v>1152</v>
      </c>
      <c r="R2734" s="1"/>
      <c r="S2734" s="1"/>
      <c r="T2734" s="1" t="s">
        <v>1152</v>
      </c>
      <c r="U2734" s="1" t="s">
        <v>956</v>
      </c>
      <c r="V2734" s="4" t="s">
        <v>311</v>
      </c>
      <c r="W2734" s="1"/>
      <c r="X2734" s="1" t="s">
        <v>1152</v>
      </c>
      <c r="Y2734" s="1" t="s">
        <v>1152</v>
      </c>
      <c r="Z2734" s="1"/>
      <c r="AA2734" s="1"/>
      <c r="AB2734" s="1"/>
      <c r="AC2734" s="1" t="s">
        <v>1925</v>
      </c>
      <c r="AD2734" s="1"/>
      <c r="AE2734" s="18">
        <v>46149.0</v>
      </c>
      <c r="AF2734" s="1"/>
      <c r="AG2734" s="1"/>
      <c r="AH2734" s="1" t="s">
        <v>1152</v>
      </c>
      <c r="AI2734" s="1" t="s">
        <v>1152</v>
      </c>
      <c r="AJ2734" s="1" t="s">
        <v>309</v>
      </c>
      <c r="AK2734" s="1" t="s">
        <v>1152</v>
      </c>
      <c r="AL2734" s="6"/>
      <c r="AM2734" s="12">
        <v>6.175843768E9</v>
      </c>
    </row>
    <row r="2735">
      <c r="A2735" s="5" t="s">
        <v>12657</v>
      </c>
      <c r="B2735" s="1" t="s">
        <v>12658</v>
      </c>
      <c r="C2735" s="1" t="s">
        <v>12659</v>
      </c>
      <c r="D2735" s="2">
        <v>7.817086694E9</v>
      </c>
      <c r="E2735" s="1" t="s">
        <v>1702</v>
      </c>
      <c r="F2735" s="1"/>
      <c r="G2735" s="1" t="s">
        <v>1374</v>
      </c>
      <c r="H2735" s="1" t="s">
        <v>1121</v>
      </c>
      <c r="I2735" s="1">
        <v>2090.0</v>
      </c>
      <c r="J2735" s="1" t="s">
        <v>752</v>
      </c>
      <c r="K2735" s="1" t="s">
        <v>2131</v>
      </c>
      <c r="L2735" s="1" t="s">
        <v>5767</v>
      </c>
      <c r="M2735" s="1">
        <v>1.0</v>
      </c>
      <c r="N2735" s="1" t="s">
        <v>1152</v>
      </c>
      <c r="O2735" s="3" t="s">
        <v>1703</v>
      </c>
      <c r="P2735" s="1" t="s">
        <v>1152</v>
      </c>
      <c r="Q2735" s="1" t="s">
        <v>1152</v>
      </c>
      <c r="R2735" s="1"/>
      <c r="S2735" s="1"/>
      <c r="T2735" s="1" t="s">
        <v>1152</v>
      </c>
      <c r="U2735" s="1" t="s">
        <v>1376</v>
      </c>
      <c r="V2735" s="4" t="s">
        <v>1703</v>
      </c>
      <c r="W2735" s="1"/>
      <c r="X2735" s="1" t="s">
        <v>1152</v>
      </c>
      <c r="Y2735" s="1" t="s">
        <v>1152</v>
      </c>
      <c r="Z2735" s="1"/>
      <c r="AA2735" s="1"/>
      <c r="AB2735" s="1"/>
      <c r="AC2735" s="1" t="s">
        <v>1925</v>
      </c>
      <c r="AD2735" s="1"/>
      <c r="AE2735" s="18">
        <v>46149.0</v>
      </c>
      <c r="AF2735" s="1"/>
      <c r="AG2735" s="1"/>
      <c r="AH2735" s="1" t="s">
        <v>1152</v>
      </c>
      <c r="AI2735" s="1" t="s">
        <v>1152</v>
      </c>
      <c r="AJ2735" s="1" t="s">
        <v>12660</v>
      </c>
      <c r="AK2735" s="1" t="s">
        <v>1152</v>
      </c>
      <c r="AL2735" s="6"/>
      <c r="AM2735" s="12" t="s">
        <v>12661</v>
      </c>
    </row>
    <row r="2736">
      <c r="A2736" s="5" t="s">
        <v>12662</v>
      </c>
      <c r="B2736" s="1" t="s">
        <v>12663</v>
      </c>
      <c r="C2736" s="1" t="s">
        <v>164</v>
      </c>
      <c r="D2736" s="2">
        <v>3.12351071E9</v>
      </c>
      <c r="E2736" s="1" t="s">
        <v>166</v>
      </c>
      <c r="F2736" s="1"/>
      <c r="G2736" s="1" t="s">
        <v>1115</v>
      </c>
      <c r="H2736" s="1" t="s">
        <v>1019</v>
      </c>
      <c r="I2736" s="1">
        <v>60035.0</v>
      </c>
      <c r="J2736" s="1" t="s">
        <v>752</v>
      </c>
      <c r="K2736" s="1" t="s">
        <v>2131</v>
      </c>
      <c r="L2736" s="1" t="s">
        <v>5767</v>
      </c>
      <c r="M2736" s="1">
        <v>1.0</v>
      </c>
      <c r="N2736" s="1" t="s">
        <v>1152</v>
      </c>
      <c r="O2736" s="3" t="s">
        <v>168</v>
      </c>
      <c r="P2736" s="1" t="s">
        <v>1152</v>
      </c>
      <c r="Q2736" s="1" t="s">
        <v>1152</v>
      </c>
      <c r="R2736" s="1"/>
      <c r="S2736" s="1"/>
      <c r="T2736" s="1" t="s">
        <v>1152</v>
      </c>
      <c r="U2736" s="1" t="s">
        <v>1039</v>
      </c>
      <c r="V2736" s="4" t="s">
        <v>168</v>
      </c>
      <c r="W2736" s="1"/>
      <c r="X2736" s="1" t="s">
        <v>1152</v>
      </c>
      <c r="Y2736" s="1" t="s">
        <v>1152</v>
      </c>
      <c r="Z2736" s="1"/>
      <c r="AA2736" s="1"/>
      <c r="AB2736" s="1"/>
      <c r="AC2736" s="1" t="s">
        <v>1925</v>
      </c>
      <c r="AD2736" s="1"/>
      <c r="AE2736" s="18">
        <v>46146.0</v>
      </c>
      <c r="AF2736" s="1"/>
      <c r="AG2736" s="1"/>
      <c r="AH2736" s="1" t="s">
        <v>1152</v>
      </c>
      <c r="AI2736" s="1" t="s">
        <v>1152</v>
      </c>
      <c r="AJ2736" s="1" t="s">
        <v>166</v>
      </c>
      <c r="AK2736" s="1" t="s">
        <v>1152</v>
      </c>
      <c r="AL2736" s="6"/>
      <c r="AM2736" s="12" t="s">
        <v>12664</v>
      </c>
    </row>
    <row r="2737">
      <c r="A2737" s="5" t="s">
        <v>12665</v>
      </c>
      <c r="B2737" s="1" t="s">
        <v>12666</v>
      </c>
      <c r="C2737" s="1" t="s">
        <v>12667</v>
      </c>
      <c r="D2737" s="2">
        <v>9.737585833E9</v>
      </c>
      <c r="E2737" s="1" t="s">
        <v>1809</v>
      </c>
      <c r="F2737" s="1"/>
      <c r="G2737" s="1" t="s">
        <v>1810</v>
      </c>
      <c r="H2737" s="1" t="s">
        <v>1053</v>
      </c>
      <c r="I2737" s="1">
        <v>7079.0</v>
      </c>
      <c r="J2737" s="1" t="s">
        <v>752</v>
      </c>
      <c r="K2737" s="1" t="s">
        <v>2131</v>
      </c>
      <c r="L2737" s="1" t="s">
        <v>5736</v>
      </c>
      <c r="M2737" s="1">
        <v>1.0</v>
      </c>
      <c r="N2737" s="1" t="s">
        <v>1152</v>
      </c>
      <c r="O2737" s="3" t="s">
        <v>10287</v>
      </c>
      <c r="P2737" s="1" t="s">
        <v>1152</v>
      </c>
      <c r="Q2737" s="1" t="s">
        <v>1152</v>
      </c>
      <c r="R2737" s="1"/>
      <c r="S2737" s="1"/>
      <c r="T2737" s="1" t="s">
        <v>1152</v>
      </c>
      <c r="U2737" s="1" t="s">
        <v>1812</v>
      </c>
      <c r="V2737" s="4" t="s">
        <v>10287</v>
      </c>
      <c r="W2737" s="1"/>
      <c r="X2737" s="1" t="s">
        <v>1152</v>
      </c>
      <c r="Y2737" s="1" t="s">
        <v>1152</v>
      </c>
      <c r="Z2737" s="1"/>
      <c r="AA2737" s="1"/>
      <c r="AB2737" s="1"/>
      <c r="AC2737" s="1" t="s">
        <v>1925</v>
      </c>
      <c r="AD2737" s="1"/>
      <c r="AE2737" s="18">
        <v>46146.0</v>
      </c>
      <c r="AF2737" s="1"/>
      <c r="AG2737" s="1"/>
      <c r="AH2737" s="1" t="s">
        <v>1152</v>
      </c>
      <c r="AI2737" s="1" t="s">
        <v>1152</v>
      </c>
      <c r="AJ2737" s="1" t="s">
        <v>12668</v>
      </c>
      <c r="AK2737" s="1" t="s">
        <v>1152</v>
      </c>
      <c r="AL2737" s="6"/>
      <c r="AM2737" s="12">
        <v>9.737585833E9</v>
      </c>
    </row>
    <row r="2738">
      <c r="A2738" s="5" t="s">
        <v>12669</v>
      </c>
      <c r="B2738" s="1" t="s">
        <v>12670</v>
      </c>
      <c r="C2738" s="1" t="s">
        <v>392</v>
      </c>
      <c r="D2738" s="2">
        <v>6.679670212E9</v>
      </c>
      <c r="E2738" s="1" t="s">
        <v>394</v>
      </c>
      <c r="F2738" s="1"/>
      <c r="G2738" s="1" t="s">
        <v>2696</v>
      </c>
      <c r="H2738" s="1" t="s">
        <v>1005</v>
      </c>
      <c r="I2738" s="1">
        <v>21208.0</v>
      </c>
      <c r="J2738" s="1" t="s">
        <v>752</v>
      </c>
      <c r="K2738" s="1" t="s">
        <v>2131</v>
      </c>
      <c r="L2738" s="1" t="s">
        <v>5811</v>
      </c>
      <c r="M2738" s="1">
        <v>1.0</v>
      </c>
      <c r="N2738" s="1" t="s">
        <v>1152</v>
      </c>
      <c r="O2738" s="3" t="s">
        <v>2697</v>
      </c>
      <c r="P2738" s="1" t="s">
        <v>1152</v>
      </c>
      <c r="Q2738" s="1" t="s">
        <v>1152</v>
      </c>
      <c r="R2738" s="1"/>
      <c r="S2738" s="1"/>
      <c r="T2738" s="1" t="s">
        <v>1152</v>
      </c>
      <c r="U2738" s="1" t="s">
        <v>1249</v>
      </c>
      <c r="V2738" s="4" t="s">
        <v>2697</v>
      </c>
      <c r="W2738" s="1"/>
      <c r="X2738" s="1" t="s">
        <v>1152</v>
      </c>
      <c r="Y2738" s="1" t="s">
        <v>1152</v>
      </c>
      <c r="Z2738" s="1"/>
      <c r="AA2738" s="1"/>
      <c r="AB2738" s="1"/>
      <c r="AC2738" s="1" t="s">
        <v>1925</v>
      </c>
      <c r="AD2738" s="1"/>
      <c r="AE2738" s="18">
        <v>46149.0</v>
      </c>
      <c r="AF2738" s="1"/>
      <c r="AG2738" s="1"/>
      <c r="AH2738" s="1" t="s">
        <v>1152</v>
      </c>
      <c r="AI2738" s="1" t="s">
        <v>1152</v>
      </c>
      <c r="AJ2738" s="1" t="s">
        <v>394</v>
      </c>
      <c r="AK2738" s="1" t="s">
        <v>1152</v>
      </c>
      <c r="AL2738" s="6"/>
      <c r="AM2738" s="12">
        <v>6.679670212E9</v>
      </c>
    </row>
    <row r="2739">
      <c r="A2739" s="5" t="s">
        <v>12671</v>
      </c>
      <c r="B2739" s="1" t="s">
        <v>12672</v>
      </c>
      <c r="C2739" s="1" t="s">
        <v>11517</v>
      </c>
      <c r="D2739" s="2">
        <v>9.17414012E9</v>
      </c>
      <c r="E2739" s="1" t="s">
        <v>10262</v>
      </c>
      <c r="F2739" s="1"/>
      <c r="G2739" s="1" t="s">
        <v>3790</v>
      </c>
      <c r="H2739" s="1" t="s">
        <v>751</v>
      </c>
      <c r="I2739" s="1">
        <v>10036.0</v>
      </c>
      <c r="J2739" s="1" t="s">
        <v>752</v>
      </c>
      <c r="K2739" s="1" t="s">
        <v>42</v>
      </c>
      <c r="L2739" s="1" t="s">
        <v>8365</v>
      </c>
      <c r="M2739" s="1">
        <v>49.0</v>
      </c>
      <c r="N2739" s="1" t="s">
        <v>1152</v>
      </c>
      <c r="O2739" s="3" t="s">
        <v>10263</v>
      </c>
      <c r="P2739" s="1" t="s">
        <v>1152</v>
      </c>
      <c r="Q2739" s="1" t="s">
        <v>1152</v>
      </c>
      <c r="R2739" s="1"/>
      <c r="S2739" s="1"/>
      <c r="T2739" s="1" t="s">
        <v>1152</v>
      </c>
      <c r="U2739" s="1" t="s">
        <v>982</v>
      </c>
      <c r="V2739" s="4" t="s">
        <v>10263</v>
      </c>
      <c r="W2739" s="1"/>
      <c r="X2739" s="1" t="s">
        <v>1152</v>
      </c>
      <c r="Y2739" s="1" t="s">
        <v>1152</v>
      </c>
      <c r="Z2739" s="1"/>
      <c r="AA2739" s="1"/>
      <c r="AB2739" s="1"/>
      <c r="AC2739" s="1" t="s">
        <v>1925</v>
      </c>
      <c r="AD2739" s="1"/>
      <c r="AE2739" s="18">
        <v>46144.0</v>
      </c>
      <c r="AF2739" s="1" t="s">
        <v>1030</v>
      </c>
      <c r="AG2739" s="1" t="s">
        <v>52</v>
      </c>
      <c r="AH2739" s="1" t="s">
        <v>1152</v>
      </c>
      <c r="AI2739" s="1" t="s">
        <v>1152</v>
      </c>
      <c r="AJ2739" s="1" t="s">
        <v>10264</v>
      </c>
      <c r="AK2739" s="1" t="s">
        <v>1152</v>
      </c>
      <c r="AL2739" s="6"/>
      <c r="AM2739" s="12">
        <v>9.177331526E9</v>
      </c>
    </row>
    <row r="2740">
      <c r="A2740" s="5" t="s">
        <v>12673</v>
      </c>
      <c r="B2740" s="1" t="s">
        <v>12674</v>
      </c>
      <c r="C2740" s="1" t="s">
        <v>12675</v>
      </c>
      <c r="D2740" s="2">
        <v>9.793308999E9</v>
      </c>
      <c r="E2740" s="1" t="s">
        <v>12676</v>
      </c>
      <c r="F2740" s="1"/>
      <c r="G2740" s="1" t="s">
        <v>12677</v>
      </c>
      <c r="H2740" s="1" t="s">
        <v>1583</v>
      </c>
      <c r="I2740" s="1">
        <v>77545.0</v>
      </c>
      <c r="J2740" s="1" t="s">
        <v>752</v>
      </c>
      <c r="K2740" s="1" t="s">
        <v>42</v>
      </c>
      <c r="L2740" s="1" t="s">
        <v>6819</v>
      </c>
      <c r="M2740" s="1">
        <v>49.0</v>
      </c>
      <c r="N2740" s="1" t="s">
        <v>1152</v>
      </c>
      <c r="O2740" s="3" t="s">
        <v>3251</v>
      </c>
      <c r="P2740" s="1" t="s">
        <v>1152</v>
      </c>
      <c r="Q2740" s="1" t="s">
        <v>1152</v>
      </c>
      <c r="R2740" s="1"/>
      <c r="S2740" s="1"/>
      <c r="T2740" s="1" t="s">
        <v>1152</v>
      </c>
      <c r="U2740" s="1" t="s">
        <v>1167</v>
      </c>
      <c r="V2740" s="4" t="s">
        <v>3251</v>
      </c>
      <c r="W2740" s="1"/>
      <c r="X2740" s="1" t="s">
        <v>1152</v>
      </c>
      <c r="Y2740" s="1" t="s">
        <v>1152</v>
      </c>
      <c r="Z2740" s="1"/>
      <c r="AA2740" s="1"/>
      <c r="AB2740" s="1"/>
      <c r="AC2740" s="1" t="s">
        <v>1925</v>
      </c>
      <c r="AD2740" s="1"/>
      <c r="AE2740" s="18">
        <v>46149.0</v>
      </c>
      <c r="AF2740" s="1" t="s">
        <v>1103</v>
      </c>
      <c r="AG2740" s="1" t="s">
        <v>52</v>
      </c>
      <c r="AH2740" s="1" t="s">
        <v>1152</v>
      </c>
      <c r="AI2740" s="1" t="s">
        <v>1152</v>
      </c>
      <c r="AJ2740" s="1" t="s">
        <v>12678</v>
      </c>
      <c r="AK2740" s="1" t="s">
        <v>1152</v>
      </c>
      <c r="AL2740" s="6"/>
      <c r="AM2740" s="12">
        <v>9.793308999E9</v>
      </c>
    </row>
    <row r="2741">
      <c r="A2741" s="5" t="s">
        <v>12679</v>
      </c>
      <c r="B2741" s="1" t="s">
        <v>12680</v>
      </c>
      <c r="C2741" s="1" t="s">
        <v>10708</v>
      </c>
      <c r="D2741" s="2">
        <v>6.615053724E9</v>
      </c>
      <c r="E2741" s="1" t="s">
        <v>6625</v>
      </c>
      <c r="F2741" s="1"/>
      <c r="G2741" s="1" t="s">
        <v>6624</v>
      </c>
      <c r="H2741" s="1" t="s">
        <v>989</v>
      </c>
      <c r="I2741" s="1">
        <v>91381.0</v>
      </c>
      <c r="J2741" s="1" t="s">
        <v>752</v>
      </c>
      <c r="K2741" s="1" t="s">
        <v>2131</v>
      </c>
      <c r="L2741" s="1" t="s">
        <v>5833</v>
      </c>
      <c r="M2741" s="1">
        <v>1.0</v>
      </c>
      <c r="N2741" s="1" t="s">
        <v>1152</v>
      </c>
      <c r="O2741" s="3" t="s">
        <v>2763</v>
      </c>
      <c r="P2741" s="1" t="s">
        <v>1152</v>
      </c>
      <c r="Q2741" s="1" t="s">
        <v>1152</v>
      </c>
      <c r="R2741" s="1"/>
      <c r="S2741" s="1"/>
      <c r="T2741" s="1" t="s">
        <v>1152</v>
      </c>
      <c r="U2741" s="1" t="s">
        <v>1080</v>
      </c>
      <c r="V2741" s="4" t="s">
        <v>2763</v>
      </c>
      <c r="W2741" s="1"/>
      <c r="X2741" s="1" t="s">
        <v>1152</v>
      </c>
      <c r="Y2741" s="1" t="s">
        <v>1152</v>
      </c>
      <c r="Z2741" s="1"/>
      <c r="AA2741" s="1"/>
      <c r="AB2741" s="1"/>
      <c r="AC2741" s="1" t="s">
        <v>1925</v>
      </c>
      <c r="AD2741" s="1"/>
      <c r="AE2741" s="18">
        <v>46148.0</v>
      </c>
      <c r="AF2741" s="1"/>
      <c r="AG2741" s="1"/>
      <c r="AH2741" s="1" t="s">
        <v>1152</v>
      </c>
      <c r="AI2741" s="1" t="s">
        <v>1152</v>
      </c>
      <c r="AJ2741" s="1" t="s">
        <v>6625</v>
      </c>
      <c r="AK2741" s="1" t="s">
        <v>1152</v>
      </c>
      <c r="AL2741" s="6"/>
      <c r="AM2741" s="12" t="s">
        <v>12681</v>
      </c>
    </row>
    <row r="2742">
      <c r="A2742" s="5" t="s">
        <v>12682</v>
      </c>
      <c r="B2742" s="1" t="s">
        <v>12683</v>
      </c>
      <c r="C2742" s="1" t="s">
        <v>12684</v>
      </c>
      <c r="D2742" s="2">
        <v>9.95014677E8</v>
      </c>
      <c r="E2742" s="1" t="s">
        <v>12685</v>
      </c>
      <c r="F2742" s="1"/>
      <c r="G2742" s="1" t="s">
        <v>12686</v>
      </c>
      <c r="H2742" s="1"/>
      <c r="I2742" s="1">
        <v>1135.0</v>
      </c>
      <c r="J2742" s="1" t="s">
        <v>12687</v>
      </c>
      <c r="K2742" s="1" t="s">
        <v>42</v>
      </c>
      <c r="L2742" s="1" t="s">
        <v>6819</v>
      </c>
      <c r="M2742" s="1">
        <v>49.0</v>
      </c>
      <c r="N2742" s="1" t="s">
        <v>1152</v>
      </c>
      <c r="O2742" s="3" t="s">
        <v>7931</v>
      </c>
      <c r="P2742" s="1" t="s">
        <v>1152</v>
      </c>
      <c r="Q2742" s="1" t="s">
        <v>1152</v>
      </c>
      <c r="R2742" s="1"/>
      <c r="S2742" s="1"/>
      <c r="T2742" s="1" t="s">
        <v>1152</v>
      </c>
      <c r="U2742" s="1" t="s">
        <v>1285</v>
      </c>
      <c r="V2742" s="4" t="s">
        <v>7931</v>
      </c>
      <c r="W2742" s="1"/>
      <c r="X2742" s="1" t="s">
        <v>1152</v>
      </c>
      <c r="Y2742" s="1" t="s">
        <v>1152</v>
      </c>
      <c r="Z2742" s="1"/>
      <c r="AA2742" s="1"/>
      <c r="AB2742" s="1"/>
      <c r="AC2742" s="1" t="s">
        <v>1925</v>
      </c>
      <c r="AD2742" s="1"/>
      <c r="AE2742" s="18">
        <v>46148.0</v>
      </c>
      <c r="AF2742" s="1" t="s">
        <v>1030</v>
      </c>
      <c r="AG2742" s="1" t="s">
        <v>52</v>
      </c>
      <c r="AH2742" s="1" t="s">
        <v>1152</v>
      </c>
      <c r="AI2742" s="1" t="s">
        <v>1152</v>
      </c>
      <c r="AJ2742" s="1" t="s">
        <v>12685</v>
      </c>
      <c r="AK2742" s="1" t="s">
        <v>1152</v>
      </c>
      <c r="AL2742" s="6"/>
      <c r="AM2742" s="12">
        <v>5.17303493E9</v>
      </c>
    </row>
    <row r="2743">
      <c r="A2743" s="5" t="s">
        <v>12688</v>
      </c>
      <c r="B2743" s="1" t="s">
        <v>12689</v>
      </c>
      <c r="C2743" s="1" t="s">
        <v>12690</v>
      </c>
      <c r="D2743" s="2">
        <v>6.267311037E9</v>
      </c>
      <c r="E2743" s="1" t="s">
        <v>6317</v>
      </c>
      <c r="F2743" s="1"/>
      <c r="G2743" s="1" t="s">
        <v>2350</v>
      </c>
      <c r="H2743" s="1" t="s">
        <v>1155</v>
      </c>
      <c r="I2743" s="1">
        <v>63105.0</v>
      </c>
      <c r="J2743" s="1" t="s">
        <v>752</v>
      </c>
      <c r="K2743" s="1" t="s">
        <v>2131</v>
      </c>
      <c r="L2743" s="1" t="s">
        <v>5811</v>
      </c>
      <c r="M2743" s="1">
        <v>1.0</v>
      </c>
      <c r="N2743" s="1" t="s">
        <v>1152</v>
      </c>
      <c r="O2743" s="3" t="s">
        <v>3613</v>
      </c>
      <c r="P2743" s="1" t="s">
        <v>1152</v>
      </c>
      <c r="Q2743" s="1" t="s">
        <v>1152</v>
      </c>
      <c r="R2743" s="1"/>
      <c r="S2743" s="1"/>
      <c r="T2743" s="1" t="s">
        <v>1152</v>
      </c>
      <c r="U2743" s="1" t="s">
        <v>1148</v>
      </c>
      <c r="V2743" s="4" t="s">
        <v>3613</v>
      </c>
      <c r="W2743" s="1"/>
      <c r="X2743" s="1" t="s">
        <v>1152</v>
      </c>
      <c r="Y2743" s="1" t="s">
        <v>1152</v>
      </c>
      <c r="Z2743" s="1"/>
      <c r="AA2743" s="1"/>
      <c r="AB2743" s="1"/>
      <c r="AC2743" s="1" t="s">
        <v>1925</v>
      </c>
      <c r="AD2743" s="1"/>
      <c r="AE2743" s="18">
        <v>46155.0</v>
      </c>
      <c r="AF2743" s="1"/>
      <c r="AG2743" s="1"/>
      <c r="AH2743" s="1" t="s">
        <v>1152</v>
      </c>
      <c r="AI2743" s="1" t="s">
        <v>1152</v>
      </c>
      <c r="AJ2743" s="1" t="s">
        <v>12691</v>
      </c>
      <c r="AK2743" s="1" t="s">
        <v>1152</v>
      </c>
      <c r="AL2743" s="6"/>
      <c r="AM2743" s="12">
        <v>6.267311037E9</v>
      </c>
    </row>
    <row r="2744">
      <c r="A2744" s="5" t="s">
        <v>12692</v>
      </c>
      <c r="B2744" s="1" t="s">
        <v>12693</v>
      </c>
      <c r="C2744" s="1" t="s">
        <v>3590</v>
      </c>
      <c r="D2744" s="2">
        <v>9.259152979E9</v>
      </c>
      <c r="E2744" s="1" t="s">
        <v>12694</v>
      </c>
      <c r="F2744" s="1"/>
      <c r="G2744" s="1" t="s">
        <v>3592</v>
      </c>
      <c r="H2744" s="1" t="s">
        <v>989</v>
      </c>
      <c r="I2744" s="1">
        <v>94582.0</v>
      </c>
      <c r="J2744" s="1" t="s">
        <v>752</v>
      </c>
      <c r="K2744" s="1" t="s">
        <v>2131</v>
      </c>
      <c r="L2744" s="1" t="s">
        <v>5767</v>
      </c>
      <c r="M2744" s="1">
        <v>1.0</v>
      </c>
      <c r="N2744" s="1" t="s">
        <v>1152</v>
      </c>
      <c r="O2744" s="3" t="s">
        <v>1493</v>
      </c>
      <c r="P2744" s="1" t="s">
        <v>1152</v>
      </c>
      <c r="Q2744" s="1" t="s">
        <v>1152</v>
      </c>
      <c r="R2744" s="1"/>
      <c r="S2744" s="1"/>
      <c r="T2744" s="1" t="s">
        <v>1152</v>
      </c>
      <c r="U2744" s="1" t="s">
        <v>1133</v>
      </c>
      <c r="V2744" s="4" t="s">
        <v>1493</v>
      </c>
      <c r="W2744" s="1"/>
      <c r="X2744" s="1" t="s">
        <v>1152</v>
      </c>
      <c r="Y2744" s="1" t="s">
        <v>1152</v>
      </c>
      <c r="Z2744" s="1"/>
      <c r="AA2744" s="1"/>
      <c r="AB2744" s="1"/>
      <c r="AC2744" s="1" t="s">
        <v>1925</v>
      </c>
      <c r="AD2744" s="1"/>
      <c r="AE2744" s="18">
        <v>46150.0</v>
      </c>
      <c r="AF2744" s="1"/>
      <c r="AG2744" s="1"/>
      <c r="AH2744" s="1" t="s">
        <v>1152</v>
      </c>
      <c r="AI2744" s="1" t="s">
        <v>1152</v>
      </c>
      <c r="AJ2744" s="1" t="s">
        <v>12694</v>
      </c>
      <c r="AK2744" s="1" t="s">
        <v>1152</v>
      </c>
      <c r="AL2744" s="6"/>
      <c r="AM2744" s="12">
        <v>9.259152979E9</v>
      </c>
    </row>
    <row r="2745">
      <c r="A2745" s="5" t="s">
        <v>12695</v>
      </c>
      <c r="B2745" s="1" t="s">
        <v>12696</v>
      </c>
      <c r="C2745" s="1" t="s">
        <v>7356</v>
      </c>
      <c r="D2745" s="2">
        <v>4.159885221E9</v>
      </c>
      <c r="E2745" s="1" t="s">
        <v>7359</v>
      </c>
      <c r="F2745" s="1" t="s">
        <v>12697</v>
      </c>
      <c r="G2745" s="1" t="s">
        <v>1562</v>
      </c>
      <c r="H2745" s="1" t="s">
        <v>989</v>
      </c>
      <c r="I2745" s="1">
        <v>94118.0</v>
      </c>
      <c r="J2745" s="1" t="s">
        <v>752</v>
      </c>
      <c r="K2745" s="1" t="s">
        <v>892</v>
      </c>
      <c r="L2745" s="1" t="s">
        <v>8006</v>
      </c>
      <c r="M2745" s="1">
        <v>49.0</v>
      </c>
      <c r="N2745" s="1" t="s">
        <v>1152</v>
      </c>
      <c r="O2745" s="3"/>
      <c r="P2745" s="1" t="s">
        <v>1152</v>
      </c>
      <c r="Q2745" s="1" t="s">
        <v>1152</v>
      </c>
      <c r="R2745" s="1" t="s">
        <v>12697</v>
      </c>
      <c r="S2745" s="1"/>
      <c r="T2745" s="1" t="s">
        <v>1152</v>
      </c>
      <c r="U2745" s="1"/>
      <c r="V2745" s="4"/>
      <c r="W2745" s="1" t="s">
        <v>12697</v>
      </c>
      <c r="X2745" s="1" t="s">
        <v>1152</v>
      </c>
      <c r="Y2745" s="1" t="s">
        <v>1152</v>
      </c>
      <c r="Z2745" s="1"/>
      <c r="AA2745" s="1" t="s">
        <v>12697</v>
      </c>
      <c r="AB2745" s="1"/>
      <c r="AC2745" s="1" t="s">
        <v>1925</v>
      </c>
      <c r="AD2745" s="1"/>
      <c r="AE2745" s="18">
        <v>46146.0</v>
      </c>
      <c r="AF2745" s="1" t="s">
        <v>1630</v>
      </c>
      <c r="AG2745" s="1" t="s">
        <v>124</v>
      </c>
      <c r="AH2745" s="1" t="s">
        <v>12698</v>
      </c>
      <c r="AI2745" s="1" t="s">
        <v>1152</v>
      </c>
      <c r="AJ2745" s="1" t="s">
        <v>7359</v>
      </c>
      <c r="AK2745" s="1" t="s">
        <v>1152</v>
      </c>
      <c r="AL2745" s="6"/>
      <c r="AM2745" s="12">
        <v>518335.0</v>
      </c>
    </row>
    <row r="2746">
      <c r="A2746" s="5" t="s">
        <v>12699</v>
      </c>
      <c r="B2746" s="1" t="s">
        <v>12700</v>
      </c>
      <c r="C2746" s="1" t="s">
        <v>12701</v>
      </c>
      <c r="D2746" s="2">
        <v>7.734262588E9</v>
      </c>
      <c r="E2746" s="1" t="s">
        <v>3196</v>
      </c>
      <c r="F2746" s="1"/>
      <c r="G2746" s="1" t="s">
        <v>1072</v>
      </c>
      <c r="H2746" s="1" t="s">
        <v>1019</v>
      </c>
      <c r="I2746" s="1">
        <v>60622.0</v>
      </c>
      <c r="J2746" s="1" t="s">
        <v>752</v>
      </c>
      <c r="K2746" s="1" t="s">
        <v>42</v>
      </c>
      <c r="L2746" s="1" t="s">
        <v>6819</v>
      </c>
      <c r="M2746" s="1">
        <v>49.0</v>
      </c>
      <c r="N2746" s="1" t="s">
        <v>1152</v>
      </c>
      <c r="O2746" s="3" t="s">
        <v>7931</v>
      </c>
      <c r="P2746" s="1" t="s">
        <v>1152</v>
      </c>
      <c r="Q2746" s="1" t="s">
        <v>1152</v>
      </c>
      <c r="R2746" s="1"/>
      <c r="S2746" s="1"/>
      <c r="T2746" s="1" t="s">
        <v>1152</v>
      </c>
      <c r="U2746" s="1" t="s">
        <v>1249</v>
      </c>
      <c r="V2746" s="4" t="s">
        <v>7931</v>
      </c>
      <c r="W2746" s="1"/>
      <c r="X2746" s="1" t="s">
        <v>1152</v>
      </c>
      <c r="Y2746" s="1" t="s">
        <v>1152</v>
      </c>
      <c r="Z2746" s="1"/>
      <c r="AA2746" s="1"/>
      <c r="AB2746" s="1"/>
      <c r="AC2746" s="1" t="s">
        <v>1925</v>
      </c>
      <c r="AD2746" s="1"/>
      <c r="AE2746" s="18">
        <v>46148.0</v>
      </c>
      <c r="AF2746" s="1" t="s">
        <v>1349</v>
      </c>
      <c r="AG2746" s="1" t="s">
        <v>52</v>
      </c>
      <c r="AH2746" s="1" t="s">
        <v>1152</v>
      </c>
      <c r="AI2746" s="1" t="s">
        <v>1152</v>
      </c>
      <c r="AJ2746" s="1" t="s">
        <v>12702</v>
      </c>
      <c r="AK2746" s="1" t="s">
        <v>1152</v>
      </c>
      <c r="AL2746" s="6"/>
      <c r="AM2746" s="12">
        <v>604939.0</v>
      </c>
    </row>
    <row r="2747">
      <c r="A2747" s="5" t="s">
        <v>12703</v>
      </c>
      <c r="B2747" s="1" t="s">
        <v>12704</v>
      </c>
      <c r="C2747" s="1" t="s">
        <v>12705</v>
      </c>
      <c r="D2747" s="2">
        <v>5.572137639E9</v>
      </c>
      <c r="E2747" s="1" t="s">
        <v>12706</v>
      </c>
      <c r="F2747" s="1"/>
      <c r="G2747" s="1" t="s">
        <v>2350</v>
      </c>
      <c r="H2747" s="1" t="s">
        <v>1155</v>
      </c>
      <c r="I2747" s="1">
        <v>63105.0</v>
      </c>
      <c r="J2747" s="1" t="s">
        <v>752</v>
      </c>
      <c r="K2747" s="1" t="s">
        <v>2131</v>
      </c>
      <c r="L2747" s="1" t="s">
        <v>5736</v>
      </c>
      <c r="M2747" s="1">
        <v>1.0</v>
      </c>
      <c r="N2747" s="1" t="s">
        <v>1152</v>
      </c>
      <c r="O2747" s="3" t="s">
        <v>12707</v>
      </c>
      <c r="P2747" s="1" t="s">
        <v>1152</v>
      </c>
      <c r="Q2747" s="1" t="s">
        <v>1152</v>
      </c>
      <c r="R2747" s="1"/>
      <c r="S2747" s="1"/>
      <c r="T2747" s="1" t="s">
        <v>1152</v>
      </c>
      <c r="U2747" s="1" t="s">
        <v>1324</v>
      </c>
      <c r="V2747" s="4" t="s">
        <v>12707</v>
      </c>
      <c r="W2747" s="1"/>
      <c r="X2747" s="1" t="s">
        <v>1152</v>
      </c>
      <c r="Y2747" s="1" t="s">
        <v>1152</v>
      </c>
      <c r="Z2747" s="1"/>
      <c r="AA2747" s="1"/>
      <c r="AB2747" s="1"/>
      <c r="AC2747" s="1" t="s">
        <v>1925</v>
      </c>
      <c r="AD2747" s="1"/>
      <c r="AE2747" s="18">
        <v>46148.0</v>
      </c>
      <c r="AF2747" s="1"/>
      <c r="AG2747" s="1"/>
      <c r="AH2747" s="1" t="s">
        <v>1152</v>
      </c>
      <c r="AI2747" s="1" t="s">
        <v>1152</v>
      </c>
      <c r="AJ2747" s="1" t="s">
        <v>12706</v>
      </c>
      <c r="AK2747" s="1" t="s">
        <v>1152</v>
      </c>
      <c r="AL2747" s="6"/>
      <c r="AM2747" s="12">
        <v>5.572137639E9</v>
      </c>
    </row>
    <row r="2748">
      <c r="A2748" s="5" t="s">
        <v>12708</v>
      </c>
      <c r="B2748" s="1" t="s">
        <v>12709</v>
      </c>
      <c r="C2748" s="1" t="s">
        <v>12710</v>
      </c>
      <c r="D2748" s="2" t="s">
        <v>12711</v>
      </c>
      <c r="E2748" s="1" t="s">
        <v>12712</v>
      </c>
      <c r="F2748" s="1" t="s">
        <v>12713</v>
      </c>
      <c r="G2748" s="1" t="s">
        <v>1101</v>
      </c>
      <c r="H2748" s="1" t="s">
        <v>751</v>
      </c>
      <c r="I2748" s="1">
        <v>10605.0</v>
      </c>
      <c r="J2748" s="1" t="s">
        <v>752</v>
      </c>
      <c r="K2748" s="1" t="s">
        <v>892</v>
      </c>
      <c r="L2748" s="1" t="s">
        <v>8006</v>
      </c>
      <c r="M2748" s="1">
        <v>49.0</v>
      </c>
      <c r="N2748" s="1" t="s">
        <v>1152</v>
      </c>
      <c r="O2748" s="3"/>
      <c r="P2748" s="1" t="s">
        <v>1152</v>
      </c>
      <c r="Q2748" s="1" t="s">
        <v>1152</v>
      </c>
      <c r="R2748" s="1" t="s">
        <v>12713</v>
      </c>
      <c r="S2748" s="1"/>
      <c r="T2748" s="1" t="s">
        <v>1152</v>
      </c>
      <c r="U2748" s="1"/>
      <c r="V2748" s="4"/>
      <c r="W2748" s="1" t="s">
        <v>12713</v>
      </c>
      <c r="X2748" s="1" t="s">
        <v>1152</v>
      </c>
      <c r="Y2748" s="1" t="s">
        <v>1152</v>
      </c>
      <c r="Z2748" s="1"/>
      <c r="AA2748" s="1" t="s">
        <v>12713</v>
      </c>
      <c r="AB2748" s="1"/>
      <c r="AC2748" s="1" t="s">
        <v>1925</v>
      </c>
      <c r="AD2748" s="1"/>
      <c r="AE2748" s="18">
        <v>46160.0</v>
      </c>
      <c r="AF2748" s="1" t="s">
        <v>1630</v>
      </c>
      <c r="AG2748" s="1" t="s">
        <v>124</v>
      </c>
      <c r="AH2748" s="1" t="s">
        <v>12714</v>
      </c>
      <c r="AI2748" s="1" t="s">
        <v>1152</v>
      </c>
      <c r="AJ2748" s="1" t="s">
        <v>12712</v>
      </c>
      <c r="AK2748" s="1" t="s">
        <v>1152</v>
      </c>
      <c r="AL2748" s="6"/>
      <c r="AM2748" s="12">
        <v>9.144145648E9</v>
      </c>
    </row>
    <row r="2749">
      <c r="A2749" s="5" t="s">
        <v>12715</v>
      </c>
      <c r="B2749" s="1" t="s">
        <v>12716</v>
      </c>
      <c r="C2749" s="1" t="s">
        <v>11145</v>
      </c>
      <c r="D2749" s="2" t="s">
        <v>12717</v>
      </c>
      <c r="E2749" s="1" t="s">
        <v>11146</v>
      </c>
      <c r="F2749" s="1" t="s">
        <v>12718</v>
      </c>
      <c r="G2749" s="1" t="s">
        <v>2350</v>
      </c>
      <c r="H2749" s="1" t="s">
        <v>1155</v>
      </c>
      <c r="I2749" s="1">
        <v>63105.0</v>
      </c>
      <c r="J2749" s="1" t="s">
        <v>752</v>
      </c>
      <c r="K2749" s="1" t="s">
        <v>892</v>
      </c>
      <c r="L2749" s="1" t="s">
        <v>8006</v>
      </c>
      <c r="M2749" s="1">
        <v>49.0</v>
      </c>
      <c r="N2749" s="1"/>
      <c r="O2749" s="3"/>
      <c r="P2749" s="1"/>
      <c r="Q2749" s="1"/>
      <c r="R2749" s="1" t="s">
        <v>12719</v>
      </c>
      <c r="S2749" s="1"/>
      <c r="T2749" s="1"/>
      <c r="U2749" s="1"/>
      <c r="V2749" s="4"/>
      <c r="W2749" s="1" t="s">
        <v>12719</v>
      </c>
      <c r="X2749" s="1"/>
      <c r="Y2749" s="1"/>
      <c r="Z2749" s="1"/>
      <c r="AA2749" s="1" t="s">
        <v>12719</v>
      </c>
      <c r="AB2749" s="1"/>
      <c r="AC2749" s="1"/>
      <c r="AD2749" s="1"/>
      <c r="AE2749" s="18">
        <v>46147.0</v>
      </c>
      <c r="AF2749" s="1" t="s">
        <v>1630</v>
      </c>
      <c r="AG2749" s="1" t="s">
        <v>124</v>
      </c>
      <c r="AH2749" s="1" t="s">
        <v>12720</v>
      </c>
      <c r="AI2749" s="1"/>
      <c r="AJ2749" s="1" t="s">
        <v>12721</v>
      </c>
      <c r="AK2749" s="1"/>
      <c r="AL2749" s="6"/>
      <c r="AM2749" s="12" t="s">
        <v>12722</v>
      </c>
    </row>
    <row r="2750">
      <c r="A2750" s="5" t="s">
        <v>12723</v>
      </c>
      <c r="B2750" s="1" t="s">
        <v>12724</v>
      </c>
      <c r="C2750" s="1" t="s">
        <v>7506</v>
      </c>
      <c r="D2750" s="2">
        <v>8.476916696E9</v>
      </c>
      <c r="E2750" s="1" t="s">
        <v>7509</v>
      </c>
      <c r="F2750" s="1"/>
      <c r="G2750" s="1" t="s">
        <v>1115</v>
      </c>
      <c r="H2750" s="1" t="s">
        <v>1019</v>
      </c>
      <c r="I2750" s="1">
        <v>60035.0</v>
      </c>
      <c r="J2750" s="1" t="s">
        <v>752</v>
      </c>
      <c r="K2750" s="1" t="s">
        <v>2131</v>
      </c>
      <c r="L2750" s="1" t="s">
        <v>5811</v>
      </c>
      <c r="M2750" s="1">
        <v>1.0</v>
      </c>
      <c r="N2750" s="1" t="s">
        <v>1152</v>
      </c>
      <c r="O2750" s="3" t="s">
        <v>7508</v>
      </c>
      <c r="P2750" s="1" t="s">
        <v>1152</v>
      </c>
      <c r="Q2750" s="1" t="s">
        <v>1152</v>
      </c>
      <c r="R2750" s="1"/>
      <c r="S2750" s="1"/>
      <c r="T2750" s="1" t="s">
        <v>1152</v>
      </c>
      <c r="U2750" s="1" t="s">
        <v>1812</v>
      </c>
      <c r="V2750" s="4" t="s">
        <v>7508</v>
      </c>
      <c r="W2750" s="1"/>
      <c r="X2750" s="1" t="s">
        <v>1152</v>
      </c>
      <c r="Y2750" s="1" t="s">
        <v>1152</v>
      </c>
      <c r="Z2750" s="1"/>
      <c r="AA2750" s="1"/>
      <c r="AB2750" s="1"/>
      <c r="AC2750" s="1" t="s">
        <v>1925</v>
      </c>
      <c r="AD2750" s="1"/>
      <c r="AE2750" s="18">
        <v>46146.0</v>
      </c>
      <c r="AF2750" s="1"/>
      <c r="AG2750" s="1"/>
      <c r="AH2750" s="1" t="s">
        <v>1152</v>
      </c>
      <c r="AI2750" s="1" t="s">
        <v>1152</v>
      </c>
      <c r="AJ2750" s="1" t="s">
        <v>7509</v>
      </c>
      <c r="AK2750" s="1" t="s">
        <v>1152</v>
      </c>
      <c r="AL2750" s="6"/>
      <c r="AM2750" s="12">
        <v>8.476916696E9</v>
      </c>
    </row>
    <row r="2751">
      <c r="A2751" s="5" t="s">
        <v>12723</v>
      </c>
      <c r="B2751" s="1" t="s">
        <v>12724</v>
      </c>
      <c r="C2751" s="1" t="s">
        <v>7506</v>
      </c>
      <c r="D2751" s="2">
        <v>8.476916696E9</v>
      </c>
      <c r="E2751" s="1" t="s">
        <v>7509</v>
      </c>
      <c r="F2751" s="1"/>
      <c r="G2751" s="1" t="s">
        <v>1115</v>
      </c>
      <c r="H2751" s="1" t="s">
        <v>1019</v>
      </c>
      <c r="I2751" s="1">
        <v>60035.0</v>
      </c>
      <c r="J2751" s="1" t="s">
        <v>752</v>
      </c>
      <c r="K2751" s="1" t="s">
        <v>892</v>
      </c>
      <c r="L2751" s="1" t="s">
        <v>6946</v>
      </c>
      <c r="M2751" s="1">
        <v>49.0</v>
      </c>
      <c r="N2751" s="1" t="s">
        <v>1152</v>
      </c>
      <c r="O2751" s="3" t="s">
        <v>7508</v>
      </c>
      <c r="P2751" s="1" t="s">
        <v>1152</v>
      </c>
      <c r="Q2751" s="1" t="s">
        <v>1152</v>
      </c>
      <c r="R2751" s="1"/>
      <c r="S2751" s="1"/>
      <c r="T2751" s="1" t="s">
        <v>1152</v>
      </c>
      <c r="U2751" s="1" t="s">
        <v>1812</v>
      </c>
      <c r="V2751" s="4" t="s">
        <v>7508</v>
      </c>
      <c r="W2751" s="1"/>
      <c r="X2751" s="1" t="s">
        <v>1152</v>
      </c>
      <c r="Y2751" s="1" t="s">
        <v>1152</v>
      </c>
      <c r="Z2751" s="1"/>
      <c r="AA2751" s="1"/>
      <c r="AB2751" s="1"/>
      <c r="AC2751" s="1" t="s">
        <v>1925</v>
      </c>
      <c r="AD2751" s="1"/>
      <c r="AE2751" s="18">
        <v>46146.0</v>
      </c>
      <c r="AF2751" s="1" t="s">
        <v>1455</v>
      </c>
      <c r="AG2751" s="1" t="s">
        <v>52</v>
      </c>
      <c r="AH2751" s="1" t="s">
        <v>12725</v>
      </c>
      <c r="AI2751" s="1" t="s">
        <v>1152</v>
      </c>
      <c r="AJ2751" s="1" t="s">
        <v>7509</v>
      </c>
      <c r="AK2751" s="1" t="s">
        <v>1152</v>
      </c>
      <c r="AL2751" s="6"/>
      <c r="AM2751" s="12">
        <v>8.476916696E9</v>
      </c>
    </row>
    <row r="2752">
      <c r="A2752" s="5" t="s">
        <v>12726</v>
      </c>
      <c r="B2752" s="1" t="s">
        <v>12727</v>
      </c>
      <c r="C2752" s="1" t="s">
        <v>1914</v>
      </c>
      <c r="D2752" s="2">
        <v>5.16606386E9</v>
      </c>
      <c r="E2752" s="1" t="s">
        <v>432</v>
      </c>
      <c r="F2752" s="1"/>
      <c r="G2752" s="1" t="s">
        <v>1697</v>
      </c>
      <c r="H2752" s="1" t="s">
        <v>751</v>
      </c>
      <c r="I2752" s="1">
        <v>11023.0</v>
      </c>
      <c r="J2752" s="1" t="s">
        <v>752</v>
      </c>
      <c r="K2752" s="1" t="s">
        <v>51</v>
      </c>
      <c r="L2752" s="1" t="s">
        <v>5722</v>
      </c>
      <c r="M2752" s="1">
        <v>1.0</v>
      </c>
      <c r="N2752" s="1" t="s">
        <v>2461</v>
      </c>
      <c r="O2752" s="3" t="s">
        <v>1793</v>
      </c>
      <c r="P2752" s="18">
        <v>46252.0</v>
      </c>
      <c r="Q2752" s="1" t="s">
        <v>2463</v>
      </c>
      <c r="R2752" s="1"/>
      <c r="S2752" s="1" t="s">
        <v>52</v>
      </c>
      <c r="T2752" s="1" t="s">
        <v>2461</v>
      </c>
      <c r="U2752" s="1" t="s">
        <v>1407</v>
      </c>
      <c r="V2752" s="4" t="s">
        <v>1793</v>
      </c>
      <c r="W2752" s="1"/>
      <c r="X2752" s="18">
        <v>46252.0</v>
      </c>
      <c r="Y2752" s="1" t="s">
        <v>2463</v>
      </c>
      <c r="Z2752" s="1"/>
      <c r="AA2752" s="1"/>
      <c r="AB2752" s="1" t="s">
        <v>52</v>
      </c>
      <c r="AC2752" s="1" t="s">
        <v>1925</v>
      </c>
      <c r="AD2752" s="1"/>
      <c r="AE2752" s="1" t="s">
        <v>1152</v>
      </c>
      <c r="AF2752" s="1"/>
      <c r="AG2752" s="1"/>
      <c r="AH2752" s="1" t="s">
        <v>1152</v>
      </c>
      <c r="AI2752" s="1" t="s">
        <v>1152</v>
      </c>
      <c r="AJ2752" s="1" t="s">
        <v>432</v>
      </c>
      <c r="AK2752" s="1" t="s">
        <v>1152</v>
      </c>
      <c r="AL2752" s="6"/>
      <c r="AM2752" s="12" t="s">
        <v>12728</v>
      </c>
    </row>
    <row r="2753">
      <c r="A2753" s="5" t="s">
        <v>12729</v>
      </c>
      <c r="B2753" s="1" t="s">
        <v>12730</v>
      </c>
      <c r="C2753" s="1" t="s">
        <v>12731</v>
      </c>
      <c r="D2753" s="2">
        <v>7.637424532E9</v>
      </c>
      <c r="E2753" s="1" t="s">
        <v>5251</v>
      </c>
      <c r="F2753" s="1"/>
      <c r="G2753" s="1" t="s">
        <v>5252</v>
      </c>
      <c r="H2753" s="1" t="s">
        <v>2999</v>
      </c>
      <c r="I2753" s="1" t="s">
        <v>12732</v>
      </c>
      <c r="J2753" s="1" t="s">
        <v>752</v>
      </c>
      <c r="K2753" s="1" t="s">
        <v>2131</v>
      </c>
      <c r="L2753" s="1" t="s">
        <v>5811</v>
      </c>
      <c r="M2753" s="1">
        <v>1.0</v>
      </c>
      <c r="N2753" s="1" t="s">
        <v>1152</v>
      </c>
      <c r="O2753" s="3" t="s">
        <v>2869</v>
      </c>
      <c r="P2753" s="1" t="s">
        <v>1152</v>
      </c>
      <c r="Q2753" s="1" t="s">
        <v>1152</v>
      </c>
      <c r="R2753" s="1"/>
      <c r="S2753" s="1"/>
      <c r="T2753" s="1" t="s">
        <v>1152</v>
      </c>
      <c r="U2753" s="1" t="s">
        <v>1277</v>
      </c>
      <c r="V2753" s="4" t="s">
        <v>2869</v>
      </c>
      <c r="W2753" s="1"/>
      <c r="X2753" s="1" t="s">
        <v>1152</v>
      </c>
      <c r="Y2753" s="1" t="s">
        <v>1152</v>
      </c>
      <c r="Z2753" s="1"/>
      <c r="AA2753" s="1"/>
      <c r="AB2753" s="1"/>
      <c r="AC2753" s="1" t="s">
        <v>1925</v>
      </c>
      <c r="AD2753" s="1"/>
      <c r="AE2753" s="18">
        <v>46148.0</v>
      </c>
      <c r="AF2753" s="1"/>
      <c r="AG2753" s="1"/>
      <c r="AH2753" s="1" t="s">
        <v>1152</v>
      </c>
      <c r="AI2753" s="1" t="s">
        <v>1152</v>
      </c>
      <c r="AJ2753" s="1" t="s">
        <v>5251</v>
      </c>
      <c r="AK2753" s="1" t="s">
        <v>1152</v>
      </c>
      <c r="AL2753" s="6"/>
      <c r="AM2753" s="12">
        <v>7.637424532E9</v>
      </c>
    </row>
    <row r="2754">
      <c r="A2754" s="5" t="s">
        <v>12733</v>
      </c>
      <c r="B2754" s="1" t="s">
        <v>12734</v>
      </c>
      <c r="C2754" s="1" t="s">
        <v>12735</v>
      </c>
      <c r="D2754" s="2">
        <v>9.143435957E9</v>
      </c>
      <c r="E2754" s="1" t="s">
        <v>12736</v>
      </c>
      <c r="F2754" s="1" t="s">
        <v>12737</v>
      </c>
      <c r="G2754" s="1" t="s">
        <v>4299</v>
      </c>
      <c r="H2754" s="1" t="s">
        <v>751</v>
      </c>
      <c r="I2754" s="1">
        <v>10701.0</v>
      </c>
      <c r="J2754" s="1" t="s">
        <v>752</v>
      </c>
      <c r="K2754" s="1" t="s">
        <v>892</v>
      </c>
      <c r="L2754" s="1" t="s">
        <v>8006</v>
      </c>
      <c r="M2754" s="1">
        <v>49.0</v>
      </c>
      <c r="N2754" s="1" t="s">
        <v>1152</v>
      </c>
      <c r="O2754" s="3"/>
      <c r="P2754" s="1" t="s">
        <v>1152</v>
      </c>
      <c r="Q2754" s="1" t="s">
        <v>1152</v>
      </c>
      <c r="R2754" s="1" t="s">
        <v>12737</v>
      </c>
      <c r="S2754" s="1"/>
      <c r="T2754" s="1" t="s">
        <v>1152</v>
      </c>
      <c r="U2754" s="1"/>
      <c r="V2754" s="4"/>
      <c r="W2754" s="1" t="s">
        <v>12737</v>
      </c>
      <c r="X2754" s="1" t="s">
        <v>1152</v>
      </c>
      <c r="Y2754" s="1" t="s">
        <v>1152</v>
      </c>
      <c r="Z2754" s="1"/>
      <c r="AA2754" s="1" t="s">
        <v>12737</v>
      </c>
      <c r="AB2754" s="1"/>
      <c r="AC2754" s="1" t="s">
        <v>1925</v>
      </c>
      <c r="AD2754" s="1"/>
      <c r="AE2754" s="18">
        <v>46164.0</v>
      </c>
      <c r="AF2754" s="1" t="s">
        <v>1455</v>
      </c>
      <c r="AG2754" s="1" t="s">
        <v>124</v>
      </c>
      <c r="AH2754" s="1" t="s">
        <v>12738</v>
      </c>
      <c r="AI2754" s="1" t="s">
        <v>1152</v>
      </c>
      <c r="AJ2754" s="1" t="s">
        <v>12739</v>
      </c>
      <c r="AK2754" s="1" t="s">
        <v>1152</v>
      </c>
      <c r="AL2754" s="6"/>
      <c r="AM2754" s="12">
        <v>9.14353604E9</v>
      </c>
    </row>
    <row r="2755">
      <c r="A2755" s="5" t="s">
        <v>12740</v>
      </c>
      <c r="B2755" s="1" t="s">
        <v>12741</v>
      </c>
      <c r="C2755" s="1" t="s">
        <v>1418</v>
      </c>
      <c r="D2755" s="2">
        <v>9.715333212E9</v>
      </c>
      <c r="E2755" s="1" t="s">
        <v>12742</v>
      </c>
      <c r="F2755" s="1"/>
      <c r="G2755" s="1" t="s">
        <v>1421</v>
      </c>
      <c r="H2755" s="1" t="s">
        <v>1422</v>
      </c>
      <c r="I2755" s="1">
        <v>97219.0</v>
      </c>
      <c r="J2755" s="1" t="s">
        <v>752</v>
      </c>
      <c r="K2755" s="1" t="s">
        <v>2131</v>
      </c>
      <c r="L2755" s="1" t="s">
        <v>5767</v>
      </c>
      <c r="M2755" s="1">
        <v>1.0</v>
      </c>
      <c r="N2755" s="1" t="s">
        <v>1152</v>
      </c>
      <c r="O2755" s="3" t="s">
        <v>1423</v>
      </c>
      <c r="P2755" s="1" t="s">
        <v>1152</v>
      </c>
      <c r="Q2755" s="1" t="s">
        <v>1152</v>
      </c>
      <c r="R2755" s="1"/>
      <c r="S2755" s="1"/>
      <c r="T2755" s="1" t="s">
        <v>1152</v>
      </c>
      <c r="U2755" s="1" t="s">
        <v>1324</v>
      </c>
      <c r="V2755" s="4" t="s">
        <v>1423</v>
      </c>
      <c r="W2755" s="1"/>
      <c r="X2755" s="1" t="s">
        <v>1152</v>
      </c>
      <c r="Y2755" s="1" t="s">
        <v>1152</v>
      </c>
      <c r="Z2755" s="1"/>
      <c r="AA2755" s="1"/>
      <c r="AB2755" s="1"/>
      <c r="AC2755" s="1" t="s">
        <v>1925</v>
      </c>
      <c r="AD2755" s="1"/>
      <c r="AE2755" s="18">
        <v>46148.0</v>
      </c>
      <c r="AF2755" s="1"/>
      <c r="AG2755" s="1"/>
      <c r="AH2755" s="1" t="s">
        <v>1152</v>
      </c>
      <c r="AI2755" s="1" t="s">
        <v>1152</v>
      </c>
      <c r="AJ2755" s="1" t="s">
        <v>12743</v>
      </c>
      <c r="AK2755" s="1" t="s">
        <v>1152</v>
      </c>
      <c r="AL2755" s="6"/>
      <c r="AM2755" s="12">
        <v>9.715333212E9</v>
      </c>
    </row>
    <row r="2756">
      <c r="A2756" s="5" t="s">
        <v>12744</v>
      </c>
      <c r="B2756" s="1" t="s">
        <v>12745</v>
      </c>
      <c r="C2756" s="1" t="s">
        <v>12746</v>
      </c>
      <c r="D2756" s="2">
        <v>4.845877048E9</v>
      </c>
      <c r="E2756" s="1" t="s">
        <v>12747</v>
      </c>
      <c r="F2756" s="1"/>
      <c r="G2756" s="1" t="s">
        <v>12748</v>
      </c>
      <c r="H2756" s="1" t="s">
        <v>1233</v>
      </c>
      <c r="I2756" s="1">
        <v>19464.0</v>
      </c>
      <c r="J2756" s="1" t="s">
        <v>752</v>
      </c>
      <c r="K2756" s="1" t="s">
        <v>42</v>
      </c>
      <c r="L2756" s="1" t="s">
        <v>8365</v>
      </c>
      <c r="M2756" s="1">
        <v>49.0</v>
      </c>
      <c r="N2756" s="1" t="s">
        <v>1152</v>
      </c>
      <c r="O2756" s="3" t="s">
        <v>10372</v>
      </c>
      <c r="P2756" s="1" t="s">
        <v>1152</v>
      </c>
      <c r="Q2756" s="1" t="s">
        <v>1152</v>
      </c>
      <c r="R2756" s="1"/>
      <c r="S2756" s="1"/>
      <c r="T2756" s="1" t="s">
        <v>1152</v>
      </c>
      <c r="U2756" s="1" t="s">
        <v>982</v>
      </c>
      <c r="V2756" s="4" t="s">
        <v>10372</v>
      </c>
      <c r="W2756" s="1"/>
      <c r="X2756" s="1" t="s">
        <v>1152</v>
      </c>
      <c r="Y2756" s="1" t="s">
        <v>1152</v>
      </c>
      <c r="Z2756" s="1"/>
      <c r="AA2756" s="1"/>
      <c r="AB2756" s="1"/>
      <c r="AC2756" s="1" t="s">
        <v>1925</v>
      </c>
      <c r="AD2756" s="1"/>
      <c r="AE2756" s="18">
        <v>46146.0</v>
      </c>
      <c r="AF2756" s="1" t="s">
        <v>1440</v>
      </c>
      <c r="AG2756" s="1" t="s">
        <v>52</v>
      </c>
      <c r="AH2756" s="1" t="s">
        <v>1152</v>
      </c>
      <c r="AI2756" s="1" t="s">
        <v>12749</v>
      </c>
      <c r="AJ2756" s="1" t="s">
        <v>12747</v>
      </c>
      <c r="AK2756" s="1" t="s">
        <v>1152</v>
      </c>
      <c r="AL2756" s="6"/>
      <c r="AM2756" s="12">
        <v>4.845877048E9</v>
      </c>
    </row>
    <row r="2757">
      <c r="A2757" s="5" t="s">
        <v>12750</v>
      </c>
      <c r="B2757" s="1" t="s">
        <v>12751</v>
      </c>
      <c r="C2757" s="1" t="s">
        <v>1689</v>
      </c>
      <c r="D2757" s="2">
        <v>9.892958435E9</v>
      </c>
      <c r="E2757" s="1" t="s">
        <v>1690</v>
      </c>
      <c r="F2757" s="1"/>
      <c r="G2757" s="1" t="s">
        <v>1085</v>
      </c>
      <c r="H2757" s="1" t="s">
        <v>1691</v>
      </c>
      <c r="I2757" s="1">
        <v>48009.0</v>
      </c>
      <c r="J2757" s="1" t="s">
        <v>752</v>
      </c>
      <c r="K2757" s="1" t="s">
        <v>2131</v>
      </c>
      <c r="L2757" s="1" t="s">
        <v>5767</v>
      </c>
      <c r="M2757" s="1">
        <v>1.0</v>
      </c>
      <c r="N2757" s="1" t="s">
        <v>1152</v>
      </c>
      <c r="O2757" s="3" t="s">
        <v>8941</v>
      </c>
      <c r="P2757" s="1" t="s">
        <v>1152</v>
      </c>
      <c r="Q2757" s="1" t="s">
        <v>1152</v>
      </c>
      <c r="R2757" s="1"/>
      <c r="S2757" s="1"/>
      <c r="T2757" s="1" t="s">
        <v>1152</v>
      </c>
      <c r="U2757" s="1" t="s">
        <v>1039</v>
      </c>
      <c r="V2757" s="4" t="s">
        <v>8941</v>
      </c>
      <c r="W2757" s="1"/>
      <c r="X2757" s="1" t="s">
        <v>1152</v>
      </c>
      <c r="Y2757" s="1" t="s">
        <v>1152</v>
      </c>
      <c r="Z2757" s="1"/>
      <c r="AA2757" s="1"/>
      <c r="AB2757" s="1"/>
      <c r="AC2757" s="1" t="s">
        <v>1925</v>
      </c>
      <c r="AD2757" s="1"/>
      <c r="AE2757" s="18">
        <v>46148.0</v>
      </c>
      <c r="AF2757" s="1"/>
      <c r="AG2757" s="1"/>
      <c r="AH2757" s="1" t="s">
        <v>1152</v>
      </c>
      <c r="AI2757" s="1" t="s">
        <v>1152</v>
      </c>
      <c r="AJ2757" s="1" t="s">
        <v>8942</v>
      </c>
      <c r="AK2757" s="1" t="s">
        <v>1152</v>
      </c>
      <c r="AL2757" s="6"/>
      <c r="AM2757" s="12">
        <v>2.487277724E9</v>
      </c>
    </row>
    <row r="2758">
      <c r="A2758" s="5" t="s">
        <v>12752</v>
      </c>
      <c r="B2758" s="1" t="s">
        <v>12753</v>
      </c>
      <c r="C2758" s="1" t="s">
        <v>12754</v>
      </c>
      <c r="D2758" s="2">
        <v>9.142681108E9</v>
      </c>
      <c r="E2758" s="1" t="s">
        <v>4471</v>
      </c>
      <c r="F2758" s="1"/>
      <c r="G2758" s="1" t="s">
        <v>4472</v>
      </c>
      <c r="H2758" s="1" t="s">
        <v>1053</v>
      </c>
      <c r="I2758" s="1">
        <v>7506.0</v>
      </c>
      <c r="J2758" s="1" t="s">
        <v>752</v>
      </c>
      <c r="K2758" s="1" t="s">
        <v>2131</v>
      </c>
      <c r="L2758" s="1" t="s">
        <v>5767</v>
      </c>
      <c r="M2758" s="1">
        <v>1.0</v>
      </c>
      <c r="N2758" s="1" t="s">
        <v>1152</v>
      </c>
      <c r="O2758" s="3" t="s">
        <v>2423</v>
      </c>
      <c r="P2758" s="1" t="s">
        <v>1152</v>
      </c>
      <c r="Q2758" s="1" t="s">
        <v>1152</v>
      </c>
      <c r="R2758" s="1"/>
      <c r="S2758" s="1"/>
      <c r="T2758" s="1" t="s">
        <v>1152</v>
      </c>
      <c r="U2758" s="1" t="s">
        <v>1812</v>
      </c>
      <c r="V2758" s="4" t="s">
        <v>2423</v>
      </c>
      <c r="W2758" s="1"/>
      <c r="X2758" s="1" t="s">
        <v>1152</v>
      </c>
      <c r="Y2758" s="1" t="s">
        <v>1152</v>
      </c>
      <c r="Z2758" s="1"/>
      <c r="AA2758" s="1"/>
      <c r="AB2758" s="1"/>
      <c r="AC2758" s="1" t="s">
        <v>1925</v>
      </c>
      <c r="AD2758" s="1"/>
      <c r="AE2758" s="18">
        <v>46148.0</v>
      </c>
      <c r="AF2758" s="1"/>
      <c r="AG2758" s="1"/>
      <c r="AH2758" s="1" t="s">
        <v>1152</v>
      </c>
      <c r="AI2758" s="1" t="s">
        <v>1152</v>
      </c>
      <c r="AJ2758" s="1" t="s">
        <v>4471</v>
      </c>
      <c r="AK2758" s="1" t="s">
        <v>1152</v>
      </c>
      <c r="AL2758" s="6"/>
      <c r="AM2758" s="12">
        <v>9.142681108E9</v>
      </c>
    </row>
    <row r="2759">
      <c r="A2759" s="5" t="s">
        <v>12755</v>
      </c>
      <c r="B2759" s="1" t="s">
        <v>12756</v>
      </c>
      <c r="C2759" s="1" t="s">
        <v>12757</v>
      </c>
      <c r="D2759" s="2">
        <v>7.133036272E9</v>
      </c>
      <c r="E2759" s="1" t="s">
        <v>4115</v>
      </c>
      <c r="F2759" s="1"/>
      <c r="G2759" s="1" t="s">
        <v>1609</v>
      </c>
      <c r="H2759" s="1" t="s">
        <v>1583</v>
      </c>
      <c r="I2759" s="1">
        <v>77024.0</v>
      </c>
      <c r="J2759" s="1" t="s">
        <v>752</v>
      </c>
      <c r="K2759" s="1" t="s">
        <v>2131</v>
      </c>
      <c r="L2759" s="1" t="s">
        <v>5736</v>
      </c>
      <c r="M2759" s="1">
        <v>1.0</v>
      </c>
      <c r="N2759" s="1" t="s">
        <v>1152</v>
      </c>
      <c r="O2759" s="3" t="s">
        <v>3075</v>
      </c>
      <c r="P2759" s="1" t="s">
        <v>1152</v>
      </c>
      <c r="Q2759" s="1" t="s">
        <v>1152</v>
      </c>
      <c r="R2759" s="1"/>
      <c r="S2759" s="1"/>
      <c r="T2759" s="1" t="s">
        <v>1152</v>
      </c>
      <c r="U2759" s="1" t="s">
        <v>3713</v>
      </c>
      <c r="V2759" s="4" t="s">
        <v>3075</v>
      </c>
      <c r="W2759" s="1"/>
      <c r="X2759" s="1" t="s">
        <v>1152</v>
      </c>
      <c r="Y2759" s="1" t="s">
        <v>1152</v>
      </c>
      <c r="Z2759" s="1"/>
      <c r="AA2759" s="1"/>
      <c r="AB2759" s="1"/>
      <c r="AC2759" s="1" t="s">
        <v>1925</v>
      </c>
      <c r="AD2759" s="1"/>
      <c r="AE2759" s="18">
        <v>46144.0</v>
      </c>
      <c r="AF2759" s="1"/>
      <c r="AG2759" s="1"/>
      <c r="AH2759" s="1" t="s">
        <v>1152</v>
      </c>
      <c r="AI2759" s="1" t="s">
        <v>1152</v>
      </c>
      <c r="AJ2759" s="1" t="s">
        <v>12758</v>
      </c>
      <c r="AK2759" s="1" t="s">
        <v>1152</v>
      </c>
      <c r="AL2759" s="6"/>
      <c r="AM2759" s="12" t="s">
        <v>12759</v>
      </c>
    </row>
    <row r="2760">
      <c r="A2760" s="5" t="s">
        <v>12760</v>
      </c>
      <c r="B2760" s="1" t="s">
        <v>12761</v>
      </c>
      <c r="C2760" s="1" t="s">
        <v>3297</v>
      </c>
      <c r="D2760" s="2">
        <v>3.016130363E9</v>
      </c>
      <c r="E2760" s="1" t="s">
        <v>6509</v>
      </c>
      <c r="F2760" s="1"/>
      <c r="G2760" s="1" t="s">
        <v>3299</v>
      </c>
      <c r="H2760" s="1" t="s">
        <v>1005</v>
      </c>
      <c r="I2760" s="1">
        <v>20782.0</v>
      </c>
      <c r="J2760" s="1" t="s">
        <v>752</v>
      </c>
      <c r="K2760" s="1" t="s">
        <v>2131</v>
      </c>
      <c r="L2760" s="1" t="s">
        <v>6107</v>
      </c>
      <c r="M2760" s="1">
        <v>1.0</v>
      </c>
      <c r="N2760" s="1" t="s">
        <v>1152</v>
      </c>
      <c r="O2760" s="3" t="s">
        <v>3300</v>
      </c>
      <c r="P2760" s="1" t="s">
        <v>1152</v>
      </c>
      <c r="Q2760" s="1" t="s">
        <v>1152</v>
      </c>
      <c r="R2760" s="1"/>
      <c r="S2760" s="1"/>
      <c r="T2760" s="1" t="s">
        <v>1152</v>
      </c>
      <c r="U2760" s="1" t="s">
        <v>1407</v>
      </c>
      <c r="V2760" s="4" t="s">
        <v>3300</v>
      </c>
      <c r="W2760" s="1"/>
      <c r="X2760" s="1" t="s">
        <v>1152</v>
      </c>
      <c r="Y2760" s="1" t="s">
        <v>1152</v>
      </c>
      <c r="Z2760" s="1"/>
      <c r="AA2760" s="1"/>
      <c r="AB2760" s="1"/>
      <c r="AC2760" s="1" t="s">
        <v>1925</v>
      </c>
      <c r="AD2760" s="1"/>
      <c r="AE2760" s="18">
        <v>46149.0</v>
      </c>
      <c r="AF2760" s="1"/>
      <c r="AG2760" s="1"/>
      <c r="AH2760" s="1" t="s">
        <v>1152</v>
      </c>
      <c r="AI2760" s="1" t="s">
        <v>1152</v>
      </c>
      <c r="AJ2760" s="1" t="s">
        <v>6509</v>
      </c>
      <c r="AK2760" s="1" t="s">
        <v>1152</v>
      </c>
      <c r="AL2760" s="6"/>
      <c r="AM2760" s="12">
        <v>3.016130363E9</v>
      </c>
    </row>
    <row r="2761">
      <c r="A2761" s="5" t="s">
        <v>12762</v>
      </c>
      <c r="B2761" s="1" t="s">
        <v>12763</v>
      </c>
      <c r="C2761" s="1" t="s">
        <v>6047</v>
      </c>
      <c r="D2761" s="2">
        <v>3.147174118E9</v>
      </c>
      <c r="E2761" s="1" t="s">
        <v>6054</v>
      </c>
      <c r="F2761" s="1"/>
      <c r="G2761" s="1" t="s">
        <v>2857</v>
      </c>
      <c r="H2761" s="1" t="s">
        <v>1155</v>
      </c>
      <c r="I2761" s="1">
        <v>63105.0</v>
      </c>
      <c r="J2761" s="1" t="s">
        <v>752</v>
      </c>
      <c r="K2761" s="1" t="s">
        <v>2131</v>
      </c>
      <c r="L2761" s="1" t="s">
        <v>5767</v>
      </c>
      <c r="M2761" s="1">
        <v>1.0</v>
      </c>
      <c r="N2761" s="1" t="s">
        <v>1152</v>
      </c>
      <c r="O2761" s="3" t="s">
        <v>6051</v>
      </c>
      <c r="P2761" s="1" t="s">
        <v>1152</v>
      </c>
      <c r="Q2761" s="1" t="s">
        <v>1152</v>
      </c>
      <c r="R2761" s="1"/>
      <c r="S2761" s="1"/>
      <c r="T2761" s="1" t="s">
        <v>1152</v>
      </c>
      <c r="U2761" s="1" t="s">
        <v>6053</v>
      </c>
      <c r="V2761" s="4" t="s">
        <v>6051</v>
      </c>
      <c r="W2761" s="1"/>
      <c r="X2761" s="1" t="s">
        <v>1152</v>
      </c>
      <c r="Y2761" s="1" t="s">
        <v>1152</v>
      </c>
      <c r="Z2761" s="1"/>
      <c r="AA2761" s="1"/>
      <c r="AB2761" s="1"/>
      <c r="AC2761" s="1" t="s">
        <v>1925</v>
      </c>
      <c r="AD2761" s="1"/>
      <c r="AE2761" s="18">
        <v>46148.0</v>
      </c>
      <c r="AF2761" s="1"/>
      <c r="AG2761" s="1"/>
      <c r="AH2761" s="1" t="s">
        <v>1152</v>
      </c>
      <c r="AI2761" s="1" t="s">
        <v>1152</v>
      </c>
      <c r="AJ2761" s="1" t="s">
        <v>6054</v>
      </c>
      <c r="AK2761" s="1" t="s">
        <v>1152</v>
      </c>
      <c r="AL2761" s="6"/>
      <c r="AM2761" s="12">
        <v>3.147174116E9</v>
      </c>
    </row>
    <row r="2762">
      <c r="A2762" s="5" t="s">
        <v>12764</v>
      </c>
      <c r="B2762" s="1" t="s">
        <v>12765</v>
      </c>
      <c r="C2762" s="1" t="s">
        <v>12766</v>
      </c>
      <c r="D2762" s="2">
        <v>5.124612236E9</v>
      </c>
      <c r="E2762" s="1" t="s">
        <v>6144</v>
      </c>
      <c r="F2762" s="1"/>
      <c r="G2762" s="1" t="s">
        <v>1582</v>
      </c>
      <c r="H2762" s="1" t="s">
        <v>1583</v>
      </c>
      <c r="I2762" s="1">
        <v>78703.0</v>
      </c>
      <c r="J2762" s="1" t="s">
        <v>752</v>
      </c>
      <c r="K2762" s="1" t="s">
        <v>42</v>
      </c>
      <c r="L2762" s="1" t="s">
        <v>8365</v>
      </c>
      <c r="M2762" s="1">
        <v>49.0</v>
      </c>
      <c r="N2762" s="1" t="s">
        <v>1152</v>
      </c>
      <c r="O2762" s="3" t="s">
        <v>7427</v>
      </c>
      <c r="P2762" s="1" t="s">
        <v>1152</v>
      </c>
      <c r="Q2762" s="1" t="s">
        <v>1152</v>
      </c>
      <c r="R2762" s="1"/>
      <c r="S2762" s="1"/>
      <c r="T2762" s="1" t="s">
        <v>1152</v>
      </c>
      <c r="U2762" s="1" t="s">
        <v>7909</v>
      </c>
      <c r="V2762" s="4" t="s">
        <v>7427</v>
      </c>
      <c r="W2762" s="1"/>
      <c r="X2762" s="1" t="s">
        <v>1152</v>
      </c>
      <c r="Y2762" s="1" t="s">
        <v>1152</v>
      </c>
      <c r="Z2762" s="1"/>
      <c r="AA2762" s="1"/>
      <c r="AB2762" s="1"/>
      <c r="AC2762" s="1" t="s">
        <v>1925</v>
      </c>
      <c r="AD2762" s="1"/>
      <c r="AE2762" s="18">
        <v>46144.0</v>
      </c>
      <c r="AF2762" s="1" t="s">
        <v>1030</v>
      </c>
      <c r="AG2762" s="1" t="s">
        <v>52</v>
      </c>
      <c r="AH2762" s="1" t="s">
        <v>1152</v>
      </c>
      <c r="AI2762" s="1" t="s">
        <v>1152</v>
      </c>
      <c r="AJ2762" s="1" t="s">
        <v>12767</v>
      </c>
      <c r="AK2762" s="1" t="s">
        <v>1152</v>
      </c>
      <c r="AL2762" s="6"/>
      <c r="AM2762" s="12">
        <v>5.128156391E9</v>
      </c>
    </row>
    <row r="2763">
      <c r="A2763" s="5" t="s">
        <v>12768</v>
      </c>
      <c r="B2763" s="1" t="s">
        <v>12769</v>
      </c>
      <c r="C2763" s="1" t="s">
        <v>12770</v>
      </c>
      <c r="D2763" s="2">
        <v>9.198059326E9</v>
      </c>
      <c r="E2763" s="1" t="s">
        <v>12771</v>
      </c>
      <c r="F2763" s="1"/>
      <c r="G2763" s="1" t="s">
        <v>1909</v>
      </c>
      <c r="H2763" s="1" t="s">
        <v>1438</v>
      </c>
      <c r="I2763" s="1">
        <v>27617.0</v>
      </c>
      <c r="J2763" s="1" t="s">
        <v>752</v>
      </c>
      <c r="K2763" s="1" t="s">
        <v>2131</v>
      </c>
      <c r="L2763" s="1" t="s">
        <v>5736</v>
      </c>
      <c r="M2763" s="1">
        <v>1.0</v>
      </c>
      <c r="N2763" s="1" t="s">
        <v>1152</v>
      </c>
      <c r="O2763" s="3" t="s">
        <v>12772</v>
      </c>
      <c r="P2763" s="1" t="s">
        <v>1152</v>
      </c>
      <c r="Q2763" s="1" t="s">
        <v>1152</v>
      </c>
      <c r="R2763" s="1"/>
      <c r="S2763" s="1"/>
      <c r="T2763" s="1" t="s">
        <v>1152</v>
      </c>
      <c r="U2763" s="1" t="s">
        <v>1039</v>
      </c>
      <c r="V2763" s="4" t="s">
        <v>12772</v>
      </c>
      <c r="W2763" s="1"/>
      <c r="X2763" s="1" t="s">
        <v>1152</v>
      </c>
      <c r="Y2763" s="1" t="s">
        <v>1152</v>
      </c>
      <c r="Z2763" s="1"/>
      <c r="AA2763" s="1"/>
      <c r="AB2763" s="1"/>
      <c r="AC2763" s="1" t="s">
        <v>1925</v>
      </c>
      <c r="AD2763" s="1"/>
      <c r="AE2763" s="18">
        <v>46149.0</v>
      </c>
      <c r="AF2763" s="1"/>
      <c r="AG2763" s="1"/>
      <c r="AH2763" s="1" t="s">
        <v>1152</v>
      </c>
      <c r="AI2763" s="1" t="s">
        <v>1152</v>
      </c>
      <c r="AJ2763" s="1" t="s">
        <v>6173</v>
      </c>
      <c r="AK2763" s="1" t="s">
        <v>1152</v>
      </c>
      <c r="AL2763" s="6"/>
      <c r="AM2763" s="12">
        <v>9.198059326E9</v>
      </c>
    </row>
    <row r="2764">
      <c r="A2764" s="5" t="s">
        <v>12773</v>
      </c>
      <c r="B2764" s="1" t="s">
        <v>12774</v>
      </c>
      <c r="C2764" s="1" t="s">
        <v>12775</v>
      </c>
      <c r="D2764" s="2">
        <v>8.057220816E9</v>
      </c>
      <c r="E2764" s="1" t="s">
        <v>4146</v>
      </c>
      <c r="F2764" s="1"/>
      <c r="G2764" s="1" t="s">
        <v>4147</v>
      </c>
      <c r="H2764" s="1" t="s">
        <v>989</v>
      </c>
      <c r="I2764" s="1">
        <v>93117.0</v>
      </c>
      <c r="J2764" s="1" t="s">
        <v>752</v>
      </c>
      <c r="K2764" s="1" t="s">
        <v>42</v>
      </c>
      <c r="L2764" s="1" t="s">
        <v>6819</v>
      </c>
      <c r="M2764" s="1">
        <v>49.0</v>
      </c>
      <c r="N2764" s="1" t="s">
        <v>1152</v>
      </c>
      <c r="O2764" s="3" t="s">
        <v>12776</v>
      </c>
      <c r="P2764" s="1" t="s">
        <v>1152</v>
      </c>
      <c r="Q2764" s="1" t="s">
        <v>1152</v>
      </c>
      <c r="R2764" s="1"/>
      <c r="S2764" s="1"/>
      <c r="T2764" s="1" t="s">
        <v>1152</v>
      </c>
      <c r="U2764" s="1" t="s">
        <v>4149</v>
      </c>
      <c r="V2764" s="4" t="s">
        <v>12776</v>
      </c>
      <c r="W2764" s="1"/>
      <c r="X2764" s="1" t="s">
        <v>1152</v>
      </c>
      <c r="Y2764" s="1" t="s">
        <v>1152</v>
      </c>
      <c r="Z2764" s="1"/>
      <c r="AA2764" s="1"/>
      <c r="AB2764" s="1"/>
      <c r="AC2764" s="1" t="s">
        <v>1925</v>
      </c>
      <c r="AD2764" s="1"/>
      <c r="AE2764" s="18">
        <v>46158.0</v>
      </c>
      <c r="AF2764" s="1" t="s">
        <v>3186</v>
      </c>
      <c r="AG2764" s="1" t="s">
        <v>52</v>
      </c>
      <c r="AH2764" s="1" t="s">
        <v>1152</v>
      </c>
      <c r="AI2764" s="1" t="s">
        <v>1152</v>
      </c>
      <c r="AJ2764" s="1" t="s">
        <v>4146</v>
      </c>
      <c r="AK2764" s="1" t="s">
        <v>1152</v>
      </c>
      <c r="AL2764" s="6"/>
      <c r="AM2764" s="12">
        <v>8.057220816E9</v>
      </c>
    </row>
    <row r="2765">
      <c r="A2765" s="5" t="s">
        <v>12777</v>
      </c>
      <c r="B2765" s="1" t="s">
        <v>12778</v>
      </c>
      <c r="C2765" s="1" t="s">
        <v>6350</v>
      </c>
      <c r="D2765" s="2">
        <v>9.17570328E9</v>
      </c>
      <c r="E2765" s="1" t="s">
        <v>12779</v>
      </c>
      <c r="F2765" s="1"/>
      <c r="G2765" s="1" t="s">
        <v>751</v>
      </c>
      <c r="H2765" s="1" t="s">
        <v>751</v>
      </c>
      <c r="I2765" s="1">
        <v>10011.0</v>
      </c>
      <c r="J2765" s="1" t="s">
        <v>752</v>
      </c>
      <c r="K2765" s="1" t="s">
        <v>2131</v>
      </c>
      <c r="L2765" s="1" t="s">
        <v>5811</v>
      </c>
      <c r="M2765" s="1">
        <v>1.0</v>
      </c>
      <c r="N2765" s="1" t="s">
        <v>1152</v>
      </c>
      <c r="O2765" s="3" t="s">
        <v>6353</v>
      </c>
      <c r="P2765" s="1" t="s">
        <v>1152</v>
      </c>
      <c r="Q2765" s="1" t="s">
        <v>1152</v>
      </c>
      <c r="R2765" s="1"/>
      <c r="S2765" s="1"/>
      <c r="T2765" s="1" t="s">
        <v>1152</v>
      </c>
      <c r="U2765" s="1" t="s">
        <v>1812</v>
      </c>
      <c r="V2765" s="4" t="s">
        <v>6353</v>
      </c>
      <c r="W2765" s="1"/>
      <c r="X2765" s="1" t="s">
        <v>1152</v>
      </c>
      <c r="Y2765" s="1" t="s">
        <v>1152</v>
      </c>
      <c r="Z2765" s="1"/>
      <c r="AA2765" s="1"/>
      <c r="AB2765" s="1"/>
      <c r="AC2765" s="1" t="s">
        <v>1925</v>
      </c>
      <c r="AD2765" s="1"/>
      <c r="AE2765" s="18">
        <v>46146.0</v>
      </c>
      <c r="AF2765" s="1"/>
      <c r="AG2765" s="1"/>
      <c r="AH2765" s="1" t="s">
        <v>1152</v>
      </c>
      <c r="AI2765" s="1" t="s">
        <v>12780</v>
      </c>
      <c r="AJ2765" s="1" t="s">
        <v>6354</v>
      </c>
      <c r="AK2765" s="1" t="s">
        <v>1152</v>
      </c>
      <c r="AL2765" s="6"/>
      <c r="AM2765" s="12">
        <v>9.548494746E9</v>
      </c>
    </row>
    <row r="2766">
      <c r="A2766" s="5" t="s">
        <v>12781</v>
      </c>
      <c r="B2766" s="1" t="s">
        <v>12782</v>
      </c>
      <c r="C2766" s="1" t="s">
        <v>12783</v>
      </c>
      <c r="D2766" s="2">
        <v>3.479795955E9</v>
      </c>
      <c r="E2766" s="1" t="s">
        <v>12784</v>
      </c>
      <c r="F2766" s="1"/>
      <c r="G2766" s="1" t="s">
        <v>12785</v>
      </c>
      <c r="H2766" s="1" t="s">
        <v>751</v>
      </c>
      <c r="I2766" s="1">
        <v>10312.0</v>
      </c>
      <c r="J2766" s="1" t="s">
        <v>752</v>
      </c>
      <c r="K2766" s="1" t="s">
        <v>42</v>
      </c>
      <c r="L2766" s="1" t="s">
        <v>6819</v>
      </c>
      <c r="M2766" s="1">
        <v>49.0</v>
      </c>
      <c r="N2766" s="1" t="s">
        <v>1152</v>
      </c>
      <c r="O2766" s="3" t="s">
        <v>9218</v>
      </c>
      <c r="P2766" s="1" t="s">
        <v>1152</v>
      </c>
      <c r="Q2766" s="1" t="s">
        <v>1152</v>
      </c>
      <c r="R2766" s="1"/>
      <c r="S2766" s="1"/>
      <c r="T2766" s="1" t="s">
        <v>1152</v>
      </c>
      <c r="U2766" s="1" t="s">
        <v>1277</v>
      </c>
      <c r="V2766" s="4" t="s">
        <v>9218</v>
      </c>
      <c r="W2766" s="1"/>
      <c r="X2766" s="1" t="s">
        <v>1152</v>
      </c>
      <c r="Y2766" s="1" t="s">
        <v>1152</v>
      </c>
      <c r="Z2766" s="1"/>
      <c r="AA2766" s="1"/>
      <c r="AB2766" s="1"/>
      <c r="AC2766" s="1" t="s">
        <v>1925</v>
      </c>
      <c r="AD2766" s="1"/>
      <c r="AE2766" s="18">
        <v>46148.0</v>
      </c>
      <c r="AF2766" s="1" t="s">
        <v>1349</v>
      </c>
      <c r="AG2766" s="1" t="s">
        <v>52</v>
      </c>
      <c r="AH2766" s="1" t="s">
        <v>1152</v>
      </c>
      <c r="AI2766" s="1" t="s">
        <v>1152</v>
      </c>
      <c r="AJ2766" s="1" t="s">
        <v>12784</v>
      </c>
      <c r="AK2766" s="1" t="s">
        <v>1152</v>
      </c>
      <c r="AL2766" s="6"/>
      <c r="AM2766" s="12">
        <v>3.479795955E9</v>
      </c>
    </row>
    <row r="2767">
      <c r="A2767" s="5" t="s">
        <v>12786</v>
      </c>
      <c r="B2767" s="1" t="s">
        <v>12787</v>
      </c>
      <c r="C2767" s="1" t="s">
        <v>12788</v>
      </c>
      <c r="D2767" s="2">
        <v>7.817955799E9</v>
      </c>
      <c r="E2767" s="1" t="s">
        <v>12789</v>
      </c>
      <c r="F2767" s="1"/>
      <c r="G2767" s="1" t="s">
        <v>2040</v>
      </c>
      <c r="H2767" s="1" t="s">
        <v>1121</v>
      </c>
      <c r="I2767" s="1">
        <v>2493.0</v>
      </c>
      <c r="J2767" s="1" t="s">
        <v>752</v>
      </c>
      <c r="K2767" s="1" t="s">
        <v>42</v>
      </c>
      <c r="L2767" s="1" t="s">
        <v>6819</v>
      </c>
      <c r="M2767" s="1">
        <v>49.0</v>
      </c>
      <c r="N2767" s="1" t="s">
        <v>1152</v>
      </c>
      <c r="O2767" s="3" t="s">
        <v>2710</v>
      </c>
      <c r="P2767" s="1" t="s">
        <v>1152</v>
      </c>
      <c r="Q2767" s="1" t="s">
        <v>1152</v>
      </c>
      <c r="R2767" s="1"/>
      <c r="S2767" s="1"/>
      <c r="T2767" s="1" t="s">
        <v>1152</v>
      </c>
      <c r="U2767" s="1" t="s">
        <v>1343</v>
      </c>
      <c r="V2767" s="4" t="s">
        <v>2710</v>
      </c>
      <c r="W2767" s="1"/>
      <c r="X2767" s="1" t="s">
        <v>1152</v>
      </c>
      <c r="Y2767" s="1" t="s">
        <v>1152</v>
      </c>
      <c r="Z2767" s="1"/>
      <c r="AA2767" s="1"/>
      <c r="AB2767" s="1"/>
      <c r="AC2767" s="1" t="s">
        <v>1925</v>
      </c>
      <c r="AD2767" s="1"/>
      <c r="AE2767" s="18">
        <v>46149.0</v>
      </c>
      <c r="AF2767" s="1" t="s">
        <v>1349</v>
      </c>
      <c r="AG2767" s="1" t="s">
        <v>52</v>
      </c>
      <c r="AH2767" s="1" t="s">
        <v>1152</v>
      </c>
      <c r="AI2767" s="1" t="s">
        <v>1152</v>
      </c>
      <c r="AJ2767" s="1" t="s">
        <v>12789</v>
      </c>
      <c r="AK2767" s="1" t="s">
        <v>1152</v>
      </c>
      <c r="AL2767" s="6"/>
      <c r="AM2767" s="12">
        <v>7.817955799E9</v>
      </c>
    </row>
    <row r="2768">
      <c r="A2768" s="5" t="s">
        <v>12790</v>
      </c>
      <c r="B2768" s="1" t="s">
        <v>12791</v>
      </c>
      <c r="C2768" s="1" t="s">
        <v>12792</v>
      </c>
      <c r="D2768" s="2">
        <v>4.086232514E9</v>
      </c>
      <c r="E2768" s="1" t="s">
        <v>6281</v>
      </c>
      <c r="F2768" s="1"/>
      <c r="G2768" s="1" t="s">
        <v>6282</v>
      </c>
      <c r="H2768" s="1" t="s">
        <v>989</v>
      </c>
      <c r="I2768" s="1">
        <v>95124.0</v>
      </c>
      <c r="J2768" s="1" t="s">
        <v>752</v>
      </c>
      <c r="K2768" s="1" t="s">
        <v>2131</v>
      </c>
      <c r="L2768" s="1" t="s">
        <v>5767</v>
      </c>
      <c r="M2768" s="1">
        <v>1.0</v>
      </c>
      <c r="N2768" s="1" t="s">
        <v>1152</v>
      </c>
      <c r="O2768" s="3" t="s">
        <v>6283</v>
      </c>
      <c r="P2768" s="1" t="s">
        <v>1152</v>
      </c>
      <c r="Q2768" s="1" t="s">
        <v>1152</v>
      </c>
      <c r="R2768" s="1"/>
      <c r="S2768" s="1"/>
      <c r="T2768" s="1" t="s">
        <v>1152</v>
      </c>
      <c r="U2768" s="1" t="s">
        <v>1039</v>
      </c>
      <c r="V2768" s="4" t="s">
        <v>6283</v>
      </c>
      <c r="W2768" s="1"/>
      <c r="X2768" s="1" t="s">
        <v>1152</v>
      </c>
      <c r="Y2768" s="1" t="s">
        <v>1152</v>
      </c>
      <c r="Z2768" s="1"/>
      <c r="AA2768" s="1"/>
      <c r="AB2768" s="1"/>
      <c r="AC2768" s="1" t="s">
        <v>1925</v>
      </c>
      <c r="AD2768" s="1"/>
      <c r="AE2768" s="18">
        <v>46148.0</v>
      </c>
      <c r="AF2768" s="1"/>
      <c r="AG2768" s="1"/>
      <c r="AH2768" s="1" t="s">
        <v>1152</v>
      </c>
      <c r="AI2768" s="1" t="s">
        <v>1152</v>
      </c>
      <c r="AJ2768" s="1" t="s">
        <v>6281</v>
      </c>
      <c r="AK2768" s="1" t="s">
        <v>1152</v>
      </c>
      <c r="AL2768" s="6"/>
      <c r="AM2768" s="12">
        <v>4.086232514E9</v>
      </c>
    </row>
    <row r="2769">
      <c r="A2769" s="5" t="s">
        <v>12790</v>
      </c>
      <c r="B2769" s="1" t="s">
        <v>12791</v>
      </c>
      <c r="C2769" s="1" t="s">
        <v>12792</v>
      </c>
      <c r="D2769" s="2">
        <v>4.086232514E9</v>
      </c>
      <c r="E2769" s="1" t="s">
        <v>6281</v>
      </c>
      <c r="F2769" s="1"/>
      <c r="G2769" s="1" t="s">
        <v>6282</v>
      </c>
      <c r="H2769" s="1" t="s">
        <v>989</v>
      </c>
      <c r="I2769" s="1">
        <v>95124.0</v>
      </c>
      <c r="J2769" s="1" t="s">
        <v>752</v>
      </c>
      <c r="K2769" s="1" t="s">
        <v>42</v>
      </c>
      <c r="L2769" s="1" t="s">
        <v>6819</v>
      </c>
      <c r="M2769" s="1">
        <v>49.0</v>
      </c>
      <c r="N2769" s="1" t="s">
        <v>1152</v>
      </c>
      <c r="O2769" s="3" t="s">
        <v>6283</v>
      </c>
      <c r="P2769" s="1" t="s">
        <v>1152</v>
      </c>
      <c r="Q2769" s="1" t="s">
        <v>1152</v>
      </c>
      <c r="R2769" s="1"/>
      <c r="S2769" s="1"/>
      <c r="T2769" s="1" t="s">
        <v>1152</v>
      </c>
      <c r="U2769" s="1" t="s">
        <v>1039</v>
      </c>
      <c r="V2769" s="4" t="s">
        <v>6283</v>
      </c>
      <c r="W2769" s="1"/>
      <c r="X2769" s="1" t="s">
        <v>1152</v>
      </c>
      <c r="Y2769" s="1" t="s">
        <v>1152</v>
      </c>
      <c r="Z2769" s="1"/>
      <c r="AA2769" s="1"/>
      <c r="AB2769" s="1"/>
      <c r="AC2769" s="1" t="s">
        <v>1925</v>
      </c>
      <c r="AD2769" s="1"/>
      <c r="AE2769" s="18">
        <v>46148.0</v>
      </c>
      <c r="AF2769" s="1" t="s">
        <v>1030</v>
      </c>
      <c r="AG2769" s="1" t="s">
        <v>52</v>
      </c>
      <c r="AH2769" s="1" t="s">
        <v>1152</v>
      </c>
      <c r="AI2769" s="1" t="s">
        <v>1152</v>
      </c>
      <c r="AJ2769" s="1" t="s">
        <v>6281</v>
      </c>
      <c r="AK2769" s="1" t="s">
        <v>1152</v>
      </c>
      <c r="AL2769" s="6"/>
      <c r="AM2769" s="12">
        <v>4.086232514E9</v>
      </c>
    </row>
    <row r="2770">
      <c r="A2770" s="5" t="s">
        <v>12793</v>
      </c>
      <c r="B2770" s="1" t="s">
        <v>12794</v>
      </c>
      <c r="C2770" s="1" t="s">
        <v>3606</v>
      </c>
      <c r="D2770" s="2">
        <v>3.142367799E9</v>
      </c>
      <c r="E2770" s="1" t="s">
        <v>3607</v>
      </c>
      <c r="F2770" s="1" t="s">
        <v>12795</v>
      </c>
      <c r="G2770" s="1" t="s">
        <v>2350</v>
      </c>
      <c r="H2770" s="1" t="s">
        <v>1155</v>
      </c>
      <c r="I2770" s="1">
        <v>63105.0</v>
      </c>
      <c r="J2770" s="1" t="s">
        <v>752</v>
      </c>
      <c r="K2770" s="1" t="s">
        <v>892</v>
      </c>
      <c r="L2770" s="1" t="s">
        <v>8006</v>
      </c>
      <c r="M2770" s="1">
        <v>49.0</v>
      </c>
      <c r="N2770" s="1" t="s">
        <v>1152</v>
      </c>
      <c r="O2770" s="3"/>
      <c r="P2770" s="1" t="s">
        <v>1152</v>
      </c>
      <c r="Q2770" s="1" t="s">
        <v>1152</v>
      </c>
      <c r="R2770" s="1" t="s">
        <v>12795</v>
      </c>
      <c r="S2770" s="1"/>
      <c r="T2770" s="1" t="s">
        <v>1152</v>
      </c>
      <c r="U2770" s="1"/>
      <c r="V2770" s="4"/>
      <c r="W2770" s="1" t="s">
        <v>12795</v>
      </c>
      <c r="X2770" s="1" t="s">
        <v>1152</v>
      </c>
      <c r="Y2770" s="1" t="s">
        <v>1152</v>
      </c>
      <c r="Z2770" s="1"/>
      <c r="AA2770" s="1" t="s">
        <v>12795</v>
      </c>
      <c r="AB2770" s="1"/>
      <c r="AC2770" s="1" t="s">
        <v>1925</v>
      </c>
      <c r="AD2770" s="1"/>
      <c r="AE2770" s="18">
        <v>46156.0</v>
      </c>
      <c r="AF2770" s="1" t="s">
        <v>1030</v>
      </c>
      <c r="AG2770" s="1" t="s">
        <v>124</v>
      </c>
      <c r="AH2770" s="1" t="s">
        <v>12796</v>
      </c>
      <c r="AI2770" s="1" t="s">
        <v>12797</v>
      </c>
      <c r="AJ2770" s="1" t="s">
        <v>3607</v>
      </c>
      <c r="AK2770" s="1" t="s">
        <v>1152</v>
      </c>
      <c r="AL2770" s="6"/>
      <c r="AM2770" s="12">
        <v>3.142367799E9</v>
      </c>
    </row>
    <row r="2771">
      <c r="A2771" s="5" t="s">
        <v>12793</v>
      </c>
      <c r="B2771" s="1" t="s">
        <v>12794</v>
      </c>
      <c r="C2771" s="1" t="s">
        <v>3606</v>
      </c>
      <c r="D2771" s="2">
        <v>3.142367799E9</v>
      </c>
      <c r="E2771" s="1" t="s">
        <v>3607</v>
      </c>
      <c r="F2771" s="1" t="s">
        <v>12795</v>
      </c>
      <c r="G2771" s="1" t="s">
        <v>2350</v>
      </c>
      <c r="H2771" s="1" t="s">
        <v>1155</v>
      </c>
      <c r="I2771" s="1">
        <v>63105.0</v>
      </c>
      <c r="J2771" s="1" t="s">
        <v>752</v>
      </c>
      <c r="K2771" s="1" t="s">
        <v>42</v>
      </c>
      <c r="L2771" s="1" t="s">
        <v>6819</v>
      </c>
      <c r="M2771" s="1">
        <v>49.0</v>
      </c>
      <c r="N2771" s="1" t="s">
        <v>1152</v>
      </c>
      <c r="O2771" s="3"/>
      <c r="P2771" s="1" t="s">
        <v>1152</v>
      </c>
      <c r="Q2771" s="1" t="s">
        <v>1152</v>
      </c>
      <c r="R2771" s="1" t="s">
        <v>12795</v>
      </c>
      <c r="S2771" s="1"/>
      <c r="T2771" s="1" t="s">
        <v>1152</v>
      </c>
      <c r="U2771" s="1"/>
      <c r="V2771" s="4"/>
      <c r="W2771" s="1" t="s">
        <v>12795</v>
      </c>
      <c r="X2771" s="1" t="s">
        <v>1152</v>
      </c>
      <c r="Y2771" s="1" t="s">
        <v>1152</v>
      </c>
      <c r="Z2771" s="1"/>
      <c r="AA2771" s="1" t="s">
        <v>12795</v>
      </c>
      <c r="AB2771" s="1"/>
      <c r="AC2771" s="1" t="s">
        <v>1925</v>
      </c>
      <c r="AD2771" s="1"/>
      <c r="AE2771" s="18">
        <v>46156.0</v>
      </c>
      <c r="AF2771" s="1" t="s">
        <v>1030</v>
      </c>
      <c r="AG2771" s="1" t="s">
        <v>124</v>
      </c>
      <c r="AH2771" s="1" t="s">
        <v>1152</v>
      </c>
      <c r="AI2771" s="1" t="s">
        <v>12797</v>
      </c>
      <c r="AJ2771" s="1" t="s">
        <v>3607</v>
      </c>
      <c r="AK2771" s="1" t="s">
        <v>1152</v>
      </c>
      <c r="AL2771" s="6"/>
      <c r="AM2771" s="12">
        <v>3.142367799E9</v>
      </c>
    </row>
    <row r="2772">
      <c r="A2772" s="5" t="s">
        <v>12798</v>
      </c>
      <c r="B2772" s="1" t="s">
        <v>12799</v>
      </c>
      <c r="C2772" s="1" t="s">
        <v>3631</v>
      </c>
      <c r="D2772" s="2">
        <v>8.605006445E9</v>
      </c>
      <c r="E2772" s="1" t="s">
        <v>3632</v>
      </c>
      <c r="F2772" s="1"/>
      <c r="G2772" s="1" t="s">
        <v>2350</v>
      </c>
      <c r="H2772" s="1" t="s">
        <v>1155</v>
      </c>
      <c r="I2772" s="1" t="s">
        <v>12154</v>
      </c>
      <c r="J2772" s="1" t="s">
        <v>752</v>
      </c>
      <c r="K2772" s="1" t="s">
        <v>2131</v>
      </c>
      <c r="L2772" s="1" t="s">
        <v>5811</v>
      </c>
      <c r="M2772" s="1">
        <v>1.0</v>
      </c>
      <c r="N2772" s="1" t="s">
        <v>1152</v>
      </c>
      <c r="O2772" s="3" t="s">
        <v>3154</v>
      </c>
      <c r="P2772" s="1" t="s">
        <v>1152</v>
      </c>
      <c r="Q2772" s="1" t="s">
        <v>1152</v>
      </c>
      <c r="R2772" s="1"/>
      <c r="S2772" s="1"/>
      <c r="T2772" s="1" t="s">
        <v>1152</v>
      </c>
      <c r="U2772" s="1" t="s">
        <v>948</v>
      </c>
      <c r="V2772" s="4" t="s">
        <v>3154</v>
      </c>
      <c r="W2772" s="1"/>
      <c r="X2772" s="1" t="s">
        <v>1152</v>
      </c>
      <c r="Y2772" s="1" t="s">
        <v>1152</v>
      </c>
      <c r="Z2772" s="1"/>
      <c r="AA2772" s="1"/>
      <c r="AB2772" s="1"/>
      <c r="AC2772" s="1" t="s">
        <v>1925</v>
      </c>
      <c r="AD2772" s="1"/>
      <c r="AE2772" s="18">
        <v>46149.0</v>
      </c>
      <c r="AF2772" s="1"/>
      <c r="AG2772" s="1"/>
      <c r="AH2772" s="1" t="s">
        <v>1152</v>
      </c>
      <c r="AI2772" s="1" t="s">
        <v>1152</v>
      </c>
      <c r="AJ2772" s="1" t="s">
        <v>3632</v>
      </c>
      <c r="AK2772" s="1" t="s">
        <v>1152</v>
      </c>
      <c r="AL2772" s="6"/>
      <c r="AM2772" s="12">
        <v>8.605006445E9</v>
      </c>
    </row>
    <row r="2773">
      <c r="A2773" s="5" t="s">
        <v>12800</v>
      </c>
      <c r="B2773" s="1" t="s">
        <v>12801</v>
      </c>
      <c r="C2773" s="1" t="s">
        <v>12802</v>
      </c>
      <c r="D2773" s="2">
        <v>3.142668878E9</v>
      </c>
      <c r="E2773" s="1" t="s">
        <v>12803</v>
      </c>
      <c r="F2773" s="1"/>
      <c r="G2773" s="1" t="s">
        <v>12804</v>
      </c>
      <c r="H2773" s="1" t="s">
        <v>2171</v>
      </c>
      <c r="I2773" s="1">
        <v>43212.0</v>
      </c>
      <c r="J2773" s="1" t="s">
        <v>752</v>
      </c>
      <c r="K2773" s="1" t="s">
        <v>42</v>
      </c>
      <c r="L2773" s="1" t="s">
        <v>7863</v>
      </c>
      <c r="M2773" s="1">
        <v>79.0</v>
      </c>
      <c r="N2773" s="1" t="s">
        <v>1152</v>
      </c>
      <c r="O2773" s="3" t="s">
        <v>7334</v>
      </c>
      <c r="P2773" s="1" t="s">
        <v>1152</v>
      </c>
      <c r="Q2773" s="1" t="s">
        <v>1152</v>
      </c>
      <c r="R2773" s="1"/>
      <c r="S2773" s="1"/>
      <c r="T2773" s="1" t="s">
        <v>1152</v>
      </c>
      <c r="U2773" s="1" t="s">
        <v>1794</v>
      </c>
      <c r="V2773" s="4" t="s">
        <v>7334</v>
      </c>
      <c r="W2773" s="1"/>
      <c r="X2773" s="1" t="s">
        <v>1152</v>
      </c>
      <c r="Y2773" s="1" t="s">
        <v>1152</v>
      </c>
      <c r="Z2773" s="1"/>
      <c r="AA2773" s="1"/>
      <c r="AB2773" s="1"/>
      <c r="AC2773" s="1" t="s">
        <v>1925</v>
      </c>
      <c r="AD2773" s="1"/>
      <c r="AE2773" s="18">
        <v>46150.0</v>
      </c>
      <c r="AF2773" s="1" t="s">
        <v>1349</v>
      </c>
      <c r="AG2773" s="1" t="s">
        <v>52</v>
      </c>
      <c r="AH2773" s="1" t="s">
        <v>1152</v>
      </c>
      <c r="AI2773" s="1" t="s">
        <v>1152</v>
      </c>
      <c r="AJ2773" s="1" t="s">
        <v>12805</v>
      </c>
      <c r="AK2773" s="1" t="s">
        <v>1152</v>
      </c>
      <c r="AL2773" s="6"/>
      <c r="AM2773" s="12">
        <v>6.145071259E9</v>
      </c>
    </row>
    <row r="2774">
      <c r="A2774" s="5" t="s">
        <v>12806</v>
      </c>
      <c r="B2774" s="1" t="s">
        <v>12807</v>
      </c>
      <c r="C2774" s="1" t="s">
        <v>10809</v>
      </c>
      <c r="D2774" s="2">
        <v>6.103577127E9</v>
      </c>
      <c r="E2774" s="1" t="s">
        <v>4416</v>
      </c>
      <c r="F2774" s="1"/>
      <c r="G2774" s="1" t="s">
        <v>2307</v>
      </c>
      <c r="H2774" s="1" t="s">
        <v>1233</v>
      </c>
      <c r="I2774" s="1">
        <v>19010.0</v>
      </c>
      <c r="J2774" s="1" t="s">
        <v>752</v>
      </c>
      <c r="K2774" s="1" t="s">
        <v>2131</v>
      </c>
      <c r="L2774" s="1" t="s">
        <v>5767</v>
      </c>
      <c r="M2774" s="1">
        <v>1.0</v>
      </c>
      <c r="N2774" s="1" t="s">
        <v>1152</v>
      </c>
      <c r="O2774" s="3" t="s">
        <v>10810</v>
      </c>
      <c r="P2774" s="1" t="s">
        <v>1152</v>
      </c>
      <c r="Q2774" s="1" t="s">
        <v>1152</v>
      </c>
      <c r="R2774" s="1"/>
      <c r="S2774" s="1"/>
      <c r="T2774" s="1" t="s">
        <v>1152</v>
      </c>
      <c r="U2774" s="1" t="s">
        <v>6053</v>
      </c>
      <c r="V2774" s="4" t="s">
        <v>10810</v>
      </c>
      <c r="W2774" s="1"/>
      <c r="X2774" s="1" t="s">
        <v>1152</v>
      </c>
      <c r="Y2774" s="1" t="s">
        <v>1152</v>
      </c>
      <c r="Z2774" s="1"/>
      <c r="AA2774" s="1"/>
      <c r="AB2774" s="1"/>
      <c r="AC2774" s="1" t="s">
        <v>1925</v>
      </c>
      <c r="AD2774" s="1"/>
      <c r="AE2774" s="18">
        <v>46149.0</v>
      </c>
      <c r="AF2774" s="1"/>
      <c r="AG2774" s="1"/>
      <c r="AH2774" s="1" t="s">
        <v>1152</v>
      </c>
      <c r="AI2774" s="1" t="s">
        <v>1152</v>
      </c>
      <c r="AJ2774" s="1" t="s">
        <v>10811</v>
      </c>
      <c r="AK2774" s="1" t="s">
        <v>1152</v>
      </c>
      <c r="AL2774" s="6"/>
      <c r="AM2774" s="12">
        <v>6.103570021E9</v>
      </c>
    </row>
    <row r="2775">
      <c r="A2775" s="5" t="s">
        <v>12808</v>
      </c>
      <c r="B2775" s="1" t="s">
        <v>12809</v>
      </c>
      <c r="C2775" s="1" t="s">
        <v>12810</v>
      </c>
      <c r="D2775" s="2">
        <v>9.143309695E9</v>
      </c>
      <c r="E2775" s="1" t="s">
        <v>8374</v>
      </c>
      <c r="F2775" s="1"/>
      <c r="G2775" s="1" t="s">
        <v>1283</v>
      </c>
      <c r="H2775" s="1" t="s">
        <v>1155</v>
      </c>
      <c r="I2775" s="1">
        <v>63105.0</v>
      </c>
      <c r="J2775" s="1" t="s">
        <v>752</v>
      </c>
      <c r="K2775" s="1" t="s">
        <v>2131</v>
      </c>
      <c r="L2775" s="1" t="s">
        <v>5811</v>
      </c>
      <c r="M2775" s="1">
        <v>1.0</v>
      </c>
      <c r="N2775" s="1" t="s">
        <v>1152</v>
      </c>
      <c r="O2775" s="3" t="s">
        <v>12811</v>
      </c>
      <c r="P2775" s="1" t="s">
        <v>1152</v>
      </c>
      <c r="Q2775" s="1" t="s">
        <v>1152</v>
      </c>
      <c r="R2775" s="1"/>
      <c r="S2775" s="1"/>
      <c r="T2775" s="1" t="s">
        <v>1152</v>
      </c>
      <c r="U2775" s="1" t="s">
        <v>1167</v>
      </c>
      <c r="V2775" s="4" t="s">
        <v>12811</v>
      </c>
      <c r="W2775" s="1"/>
      <c r="X2775" s="1" t="s">
        <v>1152</v>
      </c>
      <c r="Y2775" s="1" t="s">
        <v>1152</v>
      </c>
      <c r="Z2775" s="1"/>
      <c r="AA2775" s="1"/>
      <c r="AB2775" s="1"/>
      <c r="AC2775" s="1" t="s">
        <v>1925</v>
      </c>
      <c r="AD2775" s="1"/>
      <c r="AE2775" s="18">
        <v>46149.0</v>
      </c>
      <c r="AF2775" s="1"/>
      <c r="AG2775" s="1"/>
      <c r="AH2775" s="1" t="s">
        <v>1152</v>
      </c>
      <c r="AI2775" s="1" t="s">
        <v>1152</v>
      </c>
      <c r="AJ2775" s="1" t="s">
        <v>8374</v>
      </c>
      <c r="AK2775" s="1" t="s">
        <v>1152</v>
      </c>
      <c r="AL2775" s="6"/>
      <c r="AM2775" s="12">
        <v>9.143309695E9</v>
      </c>
    </row>
    <row r="2776">
      <c r="A2776" s="5" t="s">
        <v>12812</v>
      </c>
      <c r="B2776" s="1" t="s">
        <v>12813</v>
      </c>
      <c r="C2776" s="1" t="s">
        <v>12814</v>
      </c>
      <c r="D2776" s="2">
        <v>8.32718682E9</v>
      </c>
      <c r="E2776" s="1" t="s">
        <v>1776</v>
      </c>
      <c r="F2776" s="1"/>
      <c r="G2776" s="1" t="s">
        <v>1609</v>
      </c>
      <c r="H2776" s="1" t="s">
        <v>1583</v>
      </c>
      <c r="I2776" s="1">
        <v>77083.0</v>
      </c>
      <c r="J2776" s="1" t="s">
        <v>752</v>
      </c>
      <c r="K2776" s="1" t="s">
        <v>2131</v>
      </c>
      <c r="L2776" s="1" t="s">
        <v>5767</v>
      </c>
      <c r="M2776" s="1">
        <v>1.0</v>
      </c>
      <c r="N2776" s="1" t="s">
        <v>1152</v>
      </c>
      <c r="O2776" s="3" t="s">
        <v>133</v>
      </c>
      <c r="P2776" s="1" t="s">
        <v>1152</v>
      </c>
      <c r="Q2776" s="1" t="s">
        <v>1152</v>
      </c>
      <c r="R2776" s="1"/>
      <c r="S2776" s="1"/>
      <c r="T2776" s="1" t="s">
        <v>1152</v>
      </c>
      <c r="U2776" s="1" t="s">
        <v>1749</v>
      </c>
      <c r="V2776" s="4" t="s">
        <v>133</v>
      </c>
      <c r="W2776" s="1"/>
      <c r="X2776" s="1" t="s">
        <v>1152</v>
      </c>
      <c r="Y2776" s="1" t="s">
        <v>1152</v>
      </c>
      <c r="Z2776" s="1"/>
      <c r="AA2776" s="1"/>
      <c r="AB2776" s="1"/>
      <c r="AC2776" s="1" t="s">
        <v>1925</v>
      </c>
      <c r="AD2776" s="1"/>
      <c r="AE2776" s="18">
        <v>46148.0</v>
      </c>
      <c r="AF2776" s="1"/>
      <c r="AG2776" s="1"/>
      <c r="AH2776" s="1" t="s">
        <v>1152</v>
      </c>
      <c r="AI2776" s="1" t="s">
        <v>1152</v>
      </c>
      <c r="AJ2776" s="1" t="s">
        <v>1776</v>
      </c>
      <c r="AK2776" s="1" t="s">
        <v>1152</v>
      </c>
      <c r="AL2776" s="6"/>
      <c r="AM2776" s="12">
        <v>8.32718682E9</v>
      </c>
    </row>
    <row r="2777">
      <c r="A2777" s="5" t="s">
        <v>12815</v>
      </c>
      <c r="B2777" s="1" t="s">
        <v>12816</v>
      </c>
      <c r="C2777" s="1" t="s">
        <v>718</v>
      </c>
      <c r="D2777" s="2">
        <v>4.694510901E9</v>
      </c>
      <c r="E2777" s="1" t="s">
        <v>719</v>
      </c>
      <c r="F2777" s="1"/>
      <c r="G2777" s="1" t="s">
        <v>2174</v>
      </c>
      <c r="H2777" s="1" t="s">
        <v>1583</v>
      </c>
      <c r="I2777" s="1">
        <v>75022.0</v>
      </c>
      <c r="J2777" s="1" t="s">
        <v>752</v>
      </c>
      <c r="K2777" s="1" t="s">
        <v>2131</v>
      </c>
      <c r="L2777" s="1" t="s">
        <v>5736</v>
      </c>
      <c r="M2777" s="1">
        <v>1.0</v>
      </c>
      <c r="N2777" s="1" t="s">
        <v>1152</v>
      </c>
      <c r="O2777" s="3" t="s">
        <v>7529</v>
      </c>
      <c r="P2777" s="1" t="s">
        <v>1152</v>
      </c>
      <c r="Q2777" s="1" t="s">
        <v>1152</v>
      </c>
      <c r="R2777" s="1"/>
      <c r="S2777" s="1"/>
      <c r="T2777" s="1" t="s">
        <v>1152</v>
      </c>
      <c r="U2777" s="1" t="s">
        <v>1167</v>
      </c>
      <c r="V2777" s="4" t="s">
        <v>7529</v>
      </c>
      <c r="W2777" s="1"/>
      <c r="X2777" s="1" t="s">
        <v>1152</v>
      </c>
      <c r="Y2777" s="1" t="s">
        <v>1152</v>
      </c>
      <c r="Z2777" s="1"/>
      <c r="AA2777" s="1"/>
      <c r="AB2777" s="1"/>
      <c r="AC2777" s="1" t="s">
        <v>1925</v>
      </c>
      <c r="AD2777" s="1"/>
      <c r="AE2777" s="18">
        <v>46149.0</v>
      </c>
      <c r="AF2777" s="1"/>
      <c r="AG2777" s="1"/>
      <c r="AH2777" s="1" t="s">
        <v>1152</v>
      </c>
      <c r="AI2777" s="1" t="s">
        <v>1152</v>
      </c>
      <c r="AJ2777" s="1" t="s">
        <v>12817</v>
      </c>
      <c r="AK2777" s="1" t="s">
        <v>1152</v>
      </c>
      <c r="AL2777" s="6"/>
      <c r="AM2777" s="12">
        <v>4.694510901E9</v>
      </c>
    </row>
    <row r="2778">
      <c r="A2778" s="5" t="s">
        <v>12818</v>
      </c>
      <c r="B2778" s="1" t="s">
        <v>12819</v>
      </c>
      <c r="C2778" s="1" t="s">
        <v>6105</v>
      </c>
      <c r="D2778" s="2">
        <v>4.153074911E9</v>
      </c>
      <c r="E2778" s="1" t="s">
        <v>6106</v>
      </c>
      <c r="F2778" s="1"/>
      <c r="G2778" s="1" t="s">
        <v>1562</v>
      </c>
      <c r="H2778" s="1" t="s">
        <v>989</v>
      </c>
      <c r="I2778" s="1">
        <v>94121.0</v>
      </c>
      <c r="J2778" s="1" t="s">
        <v>752</v>
      </c>
      <c r="K2778" s="1" t="s">
        <v>2131</v>
      </c>
      <c r="L2778" s="1" t="s">
        <v>6107</v>
      </c>
      <c r="M2778" s="1">
        <v>1.0</v>
      </c>
      <c r="N2778" s="1" t="s">
        <v>1152</v>
      </c>
      <c r="O2778" s="3" t="s">
        <v>2946</v>
      </c>
      <c r="P2778" s="1" t="s">
        <v>1152</v>
      </c>
      <c r="Q2778" s="1" t="s">
        <v>1152</v>
      </c>
      <c r="R2778" s="1"/>
      <c r="S2778" s="1"/>
      <c r="T2778" s="1" t="s">
        <v>1152</v>
      </c>
      <c r="U2778" s="1" t="s">
        <v>1249</v>
      </c>
      <c r="V2778" s="4" t="s">
        <v>2946</v>
      </c>
      <c r="W2778" s="1"/>
      <c r="X2778" s="1" t="s">
        <v>1152</v>
      </c>
      <c r="Y2778" s="1" t="s">
        <v>1152</v>
      </c>
      <c r="Z2778" s="1"/>
      <c r="AA2778" s="1"/>
      <c r="AB2778" s="1"/>
      <c r="AC2778" s="1" t="s">
        <v>1925</v>
      </c>
      <c r="AD2778" s="1"/>
      <c r="AE2778" s="18">
        <v>46148.0</v>
      </c>
      <c r="AF2778" s="1"/>
      <c r="AG2778" s="1"/>
      <c r="AH2778" s="1" t="s">
        <v>1152</v>
      </c>
      <c r="AI2778" s="1" t="s">
        <v>1152</v>
      </c>
      <c r="AJ2778" s="1" t="s">
        <v>6106</v>
      </c>
      <c r="AK2778" s="1" t="s">
        <v>1152</v>
      </c>
      <c r="AL2778" s="6"/>
      <c r="AM2778" s="12">
        <v>4.153074911E9</v>
      </c>
    </row>
    <row r="2779">
      <c r="A2779" s="5" t="s">
        <v>12820</v>
      </c>
      <c r="B2779" s="1" t="s">
        <v>12821</v>
      </c>
      <c r="C2779" s="1" t="s">
        <v>12822</v>
      </c>
      <c r="D2779" s="2">
        <v>8.582455089E9</v>
      </c>
      <c r="E2779" s="1" t="s">
        <v>12823</v>
      </c>
      <c r="F2779" s="1"/>
      <c r="G2779" s="1" t="s">
        <v>2417</v>
      </c>
      <c r="H2779" s="1" t="s">
        <v>989</v>
      </c>
      <c r="I2779" s="1">
        <v>92130.0</v>
      </c>
      <c r="J2779" s="1" t="s">
        <v>752</v>
      </c>
      <c r="K2779" s="1" t="s">
        <v>42</v>
      </c>
      <c r="L2779" s="1" t="s">
        <v>6819</v>
      </c>
      <c r="M2779" s="1">
        <v>49.0</v>
      </c>
      <c r="N2779" s="1" t="s">
        <v>1152</v>
      </c>
      <c r="O2779" s="3" t="s">
        <v>964</v>
      </c>
      <c r="P2779" s="1" t="s">
        <v>1152</v>
      </c>
      <c r="Q2779" s="1" t="s">
        <v>1152</v>
      </c>
      <c r="R2779" s="1"/>
      <c r="S2779" s="1"/>
      <c r="T2779" s="1" t="s">
        <v>1152</v>
      </c>
      <c r="U2779" s="1" t="s">
        <v>1749</v>
      </c>
      <c r="V2779" s="4" t="s">
        <v>964</v>
      </c>
      <c r="W2779" s="1"/>
      <c r="X2779" s="1" t="s">
        <v>1152</v>
      </c>
      <c r="Y2779" s="1" t="s">
        <v>1152</v>
      </c>
      <c r="Z2779" s="1"/>
      <c r="AA2779" s="1"/>
      <c r="AB2779" s="1"/>
      <c r="AC2779" s="1" t="s">
        <v>1925</v>
      </c>
      <c r="AD2779" s="1"/>
      <c r="AE2779" s="18">
        <v>46149.0</v>
      </c>
      <c r="AF2779" s="1" t="s">
        <v>1030</v>
      </c>
      <c r="AG2779" s="1" t="s">
        <v>52</v>
      </c>
      <c r="AH2779" s="1" t="s">
        <v>1152</v>
      </c>
      <c r="AI2779" s="1" t="s">
        <v>1152</v>
      </c>
      <c r="AJ2779" s="1" t="s">
        <v>12823</v>
      </c>
      <c r="AK2779" s="1" t="s">
        <v>1152</v>
      </c>
      <c r="AL2779" s="6"/>
      <c r="AM2779" s="12">
        <v>8.582455089E9</v>
      </c>
    </row>
    <row r="2780">
      <c r="A2780" s="5" t="s">
        <v>12824</v>
      </c>
      <c r="B2780" s="1" t="s">
        <v>12825</v>
      </c>
      <c r="C2780" s="1" t="s">
        <v>12826</v>
      </c>
      <c r="D2780" s="2">
        <v>2.252277906E9</v>
      </c>
      <c r="E2780" s="1" t="s">
        <v>6320</v>
      </c>
      <c r="F2780" s="1"/>
      <c r="G2780" s="1" t="s">
        <v>6321</v>
      </c>
      <c r="H2780" s="1" t="s">
        <v>6248</v>
      </c>
      <c r="I2780" s="1">
        <v>70817.0</v>
      </c>
      <c r="J2780" s="1" t="s">
        <v>752</v>
      </c>
      <c r="K2780" s="1" t="s">
        <v>2131</v>
      </c>
      <c r="L2780" s="1" t="s">
        <v>5767</v>
      </c>
      <c r="M2780" s="1">
        <v>1.0</v>
      </c>
      <c r="N2780" s="1" t="s">
        <v>1152</v>
      </c>
      <c r="O2780" s="3" t="s">
        <v>9703</v>
      </c>
      <c r="P2780" s="1" t="s">
        <v>1152</v>
      </c>
      <c r="Q2780" s="1" t="s">
        <v>1152</v>
      </c>
      <c r="R2780" s="1"/>
      <c r="S2780" s="1"/>
      <c r="T2780" s="1" t="s">
        <v>1152</v>
      </c>
      <c r="U2780" s="1" t="s">
        <v>1039</v>
      </c>
      <c r="V2780" s="4" t="s">
        <v>9703</v>
      </c>
      <c r="W2780" s="1"/>
      <c r="X2780" s="1" t="s">
        <v>1152</v>
      </c>
      <c r="Y2780" s="1" t="s">
        <v>1152</v>
      </c>
      <c r="Z2780" s="1"/>
      <c r="AA2780" s="1"/>
      <c r="AB2780" s="1"/>
      <c r="AC2780" s="1" t="s">
        <v>1925</v>
      </c>
      <c r="AD2780" s="1"/>
      <c r="AE2780" s="18">
        <v>46148.0</v>
      </c>
      <c r="AF2780" s="1"/>
      <c r="AG2780" s="1"/>
      <c r="AH2780" s="1" t="s">
        <v>1152</v>
      </c>
      <c r="AI2780" s="1" t="s">
        <v>1152</v>
      </c>
      <c r="AJ2780" s="1" t="s">
        <v>6320</v>
      </c>
      <c r="AK2780" s="1" t="s">
        <v>1152</v>
      </c>
      <c r="AL2780" s="6"/>
      <c r="AM2780" s="12">
        <v>2.252277906E9</v>
      </c>
    </row>
    <row r="2781">
      <c r="A2781" s="5" t="s">
        <v>12827</v>
      </c>
      <c r="B2781" s="1" t="s">
        <v>12828</v>
      </c>
      <c r="C2781" s="1" t="s">
        <v>12829</v>
      </c>
      <c r="D2781" s="2">
        <v>4.847522285E9</v>
      </c>
      <c r="E2781" s="1" t="s">
        <v>1971</v>
      </c>
      <c r="F2781" s="1"/>
      <c r="G2781" s="1" t="s">
        <v>2350</v>
      </c>
      <c r="H2781" s="1" t="s">
        <v>1155</v>
      </c>
      <c r="I2781" s="1">
        <v>63105.0</v>
      </c>
      <c r="J2781" s="1" t="s">
        <v>752</v>
      </c>
      <c r="K2781" s="1" t="s">
        <v>2131</v>
      </c>
      <c r="L2781" s="1" t="s">
        <v>5767</v>
      </c>
      <c r="M2781" s="1">
        <v>1.0</v>
      </c>
      <c r="N2781" s="1" t="s">
        <v>1152</v>
      </c>
      <c r="O2781" s="3" t="s">
        <v>1972</v>
      </c>
      <c r="P2781" s="1" t="s">
        <v>1152</v>
      </c>
      <c r="Q2781" s="1" t="s">
        <v>1152</v>
      </c>
      <c r="R2781" s="1"/>
      <c r="S2781" s="1"/>
      <c r="T2781" s="1" t="s">
        <v>1152</v>
      </c>
      <c r="U2781" s="1" t="s">
        <v>956</v>
      </c>
      <c r="V2781" s="4" t="s">
        <v>1972</v>
      </c>
      <c r="W2781" s="1"/>
      <c r="X2781" s="1" t="s">
        <v>1152</v>
      </c>
      <c r="Y2781" s="1" t="s">
        <v>1152</v>
      </c>
      <c r="Z2781" s="1"/>
      <c r="AA2781" s="1"/>
      <c r="AB2781" s="1"/>
      <c r="AC2781" s="1" t="s">
        <v>1925</v>
      </c>
      <c r="AD2781" s="1"/>
      <c r="AE2781" s="18">
        <v>46149.0</v>
      </c>
      <c r="AF2781" s="1"/>
      <c r="AG2781" s="1"/>
      <c r="AH2781" s="1" t="s">
        <v>1152</v>
      </c>
      <c r="AI2781" s="1" t="s">
        <v>1152</v>
      </c>
      <c r="AJ2781" s="1" t="s">
        <v>1971</v>
      </c>
      <c r="AK2781" s="1" t="s">
        <v>1152</v>
      </c>
      <c r="AL2781" s="6"/>
      <c r="AM2781" s="12">
        <v>4.847522285E9</v>
      </c>
    </row>
    <row r="2782">
      <c r="A2782" s="5" t="s">
        <v>12830</v>
      </c>
      <c r="B2782" s="1" t="s">
        <v>12831</v>
      </c>
      <c r="C2782" s="1" t="s">
        <v>12832</v>
      </c>
      <c r="D2782" s="2">
        <v>9.494419087E9</v>
      </c>
      <c r="E2782" s="1" t="s">
        <v>12833</v>
      </c>
      <c r="F2782" s="1"/>
      <c r="G2782" s="1" t="s">
        <v>1983</v>
      </c>
      <c r="H2782" s="1" t="s">
        <v>989</v>
      </c>
      <c r="I2782" s="1">
        <v>92602.0</v>
      </c>
      <c r="J2782" s="1" t="s">
        <v>752</v>
      </c>
      <c r="K2782" s="1" t="s">
        <v>42</v>
      </c>
      <c r="L2782" s="1" t="s">
        <v>7863</v>
      </c>
      <c r="M2782" s="1">
        <v>79.0</v>
      </c>
      <c r="N2782" s="1" t="s">
        <v>1152</v>
      </c>
      <c r="O2782" s="3" t="s">
        <v>12260</v>
      </c>
      <c r="P2782" s="1" t="s">
        <v>1152</v>
      </c>
      <c r="Q2782" s="1" t="s">
        <v>1152</v>
      </c>
      <c r="R2782" s="1"/>
      <c r="S2782" s="1"/>
      <c r="T2782" s="1" t="s">
        <v>1152</v>
      </c>
      <c r="U2782" s="1" t="s">
        <v>7909</v>
      </c>
      <c r="V2782" s="4" t="s">
        <v>12260</v>
      </c>
      <c r="W2782" s="1"/>
      <c r="X2782" s="1" t="s">
        <v>1152</v>
      </c>
      <c r="Y2782" s="1" t="s">
        <v>1152</v>
      </c>
      <c r="Z2782" s="1"/>
      <c r="AA2782" s="1"/>
      <c r="AB2782" s="1"/>
      <c r="AC2782" s="1" t="s">
        <v>1925</v>
      </c>
      <c r="AD2782" s="1"/>
      <c r="AE2782" s="18">
        <v>46149.0</v>
      </c>
      <c r="AF2782" s="1" t="s">
        <v>1349</v>
      </c>
      <c r="AG2782" s="1" t="s">
        <v>52</v>
      </c>
      <c r="AH2782" s="1" t="s">
        <v>1152</v>
      </c>
      <c r="AI2782" s="1" t="s">
        <v>1152</v>
      </c>
      <c r="AJ2782" s="1" t="s">
        <v>12833</v>
      </c>
      <c r="AK2782" s="1" t="s">
        <v>1152</v>
      </c>
      <c r="AL2782" s="6"/>
      <c r="AM2782" s="12">
        <v>9.494419087E9</v>
      </c>
    </row>
    <row r="2783">
      <c r="A2783" s="5" t="s">
        <v>12834</v>
      </c>
      <c r="B2783" s="1" t="s">
        <v>12835</v>
      </c>
      <c r="C2783" s="1" t="s">
        <v>12836</v>
      </c>
      <c r="D2783" s="2"/>
      <c r="E2783" s="1" t="s">
        <v>12837</v>
      </c>
      <c r="F2783" s="1" t="s">
        <v>12838</v>
      </c>
      <c r="G2783" s="1" t="s">
        <v>6282</v>
      </c>
      <c r="H2783" s="1" t="s">
        <v>989</v>
      </c>
      <c r="I2783" s="1">
        <v>95129.0</v>
      </c>
      <c r="J2783" s="1" t="s">
        <v>752</v>
      </c>
      <c r="K2783" s="1" t="s">
        <v>892</v>
      </c>
      <c r="L2783" s="1" t="s">
        <v>8134</v>
      </c>
      <c r="M2783" s="1">
        <v>79.0</v>
      </c>
      <c r="N2783" s="1" t="s">
        <v>1152</v>
      </c>
      <c r="O2783" s="3"/>
      <c r="P2783" s="1" t="s">
        <v>1152</v>
      </c>
      <c r="Q2783" s="1" t="s">
        <v>1152</v>
      </c>
      <c r="R2783" s="1" t="s">
        <v>12838</v>
      </c>
      <c r="S2783" s="1"/>
      <c r="T2783" s="1" t="s">
        <v>1152</v>
      </c>
      <c r="U2783" s="1"/>
      <c r="V2783" s="4"/>
      <c r="W2783" s="1" t="s">
        <v>12838</v>
      </c>
      <c r="X2783" s="1" t="s">
        <v>1152</v>
      </c>
      <c r="Y2783" s="1" t="s">
        <v>1152</v>
      </c>
      <c r="Z2783" s="1"/>
      <c r="AA2783" s="1" t="s">
        <v>12838</v>
      </c>
      <c r="AB2783" s="1"/>
      <c r="AC2783" s="1" t="s">
        <v>1925</v>
      </c>
      <c r="AD2783" s="1"/>
      <c r="AE2783" s="18">
        <v>46153.0</v>
      </c>
      <c r="AF2783" s="1" t="s">
        <v>1440</v>
      </c>
      <c r="AG2783" s="1" t="s">
        <v>124</v>
      </c>
      <c r="AH2783" s="1" t="s">
        <v>12839</v>
      </c>
      <c r="AI2783" s="1" t="s">
        <v>1152</v>
      </c>
      <c r="AJ2783" s="1" t="s">
        <v>12837</v>
      </c>
      <c r="AK2783" s="1" t="s">
        <v>1152</v>
      </c>
      <c r="AL2783" s="6"/>
      <c r="AM2783" s="12">
        <v>6.692335662E9</v>
      </c>
    </row>
    <row r="2784">
      <c r="A2784" s="5" t="s">
        <v>12840</v>
      </c>
      <c r="B2784" s="1" t="s">
        <v>12841</v>
      </c>
      <c r="C2784" s="1" t="s">
        <v>12842</v>
      </c>
      <c r="D2784" s="2">
        <v>9.173551283E9</v>
      </c>
      <c r="E2784" s="1" t="s">
        <v>7453</v>
      </c>
      <c r="F2784" s="1"/>
      <c r="G2784" s="1" t="s">
        <v>1684</v>
      </c>
      <c r="H2784" s="1" t="s">
        <v>751</v>
      </c>
      <c r="I2784" s="1" t="s">
        <v>12843</v>
      </c>
      <c r="J2784" s="1" t="s">
        <v>752</v>
      </c>
      <c r="K2784" s="1" t="s">
        <v>2131</v>
      </c>
      <c r="L2784" s="1" t="s">
        <v>5736</v>
      </c>
      <c r="M2784" s="1">
        <v>1.0</v>
      </c>
      <c r="N2784" s="1" t="s">
        <v>1152</v>
      </c>
      <c r="O2784" s="3" t="s">
        <v>4310</v>
      </c>
      <c r="P2784" s="1" t="s">
        <v>1152</v>
      </c>
      <c r="Q2784" s="1" t="s">
        <v>1152</v>
      </c>
      <c r="R2784" s="1"/>
      <c r="S2784" s="1"/>
      <c r="T2784" s="1" t="s">
        <v>1152</v>
      </c>
      <c r="U2784" s="1" t="s">
        <v>7909</v>
      </c>
      <c r="V2784" s="4" t="s">
        <v>4310</v>
      </c>
      <c r="W2784" s="1"/>
      <c r="X2784" s="1" t="s">
        <v>1152</v>
      </c>
      <c r="Y2784" s="1" t="s">
        <v>1152</v>
      </c>
      <c r="Z2784" s="1"/>
      <c r="AA2784" s="1"/>
      <c r="AB2784" s="1"/>
      <c r="AC2784" s="1" t="s">
        <v>1925</v>
      </c>
      <c r="AD2784" s="1"/>
      <c r="AE2784" s="18">
        <v>46149.0</v>
      </c>
      <c r="AF2784" s="1"/>
      <c r="AG2784" s="1"/>
      <c r="AH2784" s="1" t="s">
        <v>1152</v>
      </c>
      <c r="AI2784" s="1" t="s">
        <v>1152</v>
      </c>
      <c r="AJ2784" s="1" t="s">
        <v>7453</v>
      </c>
      <c r="AK2784" s="1" t="s">
        <v>1152</v>
      </c>
      <c r="AL2784" s="6"/>
      <c r="AM2784" s="12">
        <v>9.173551283E9</v>
      </c>
    </row>
    <row r="2785">
      <c r="A2785" s="5" t="s">
        <v>12844</v>
      </c>
      <c r="B2785" s="1" t="s">
        <v>12845</v>
      </c>
      <c r="C2785" s="1" t="s">
        <v>7868</v>
      </c>
      <c r="D2785" s="2">
        <v>6.46203634E9</v>
      </c>
      <c r="E2785" s="1" t="s">
        <v>12846</v>
      </c>
      <c r="F2785" s="1"/>
      <c r="G2785" s="1" t="s">
        <v>1755</v>
      </c>
      <c r="H2785" s="1" t="s">
        <v>751</v>
      </c>
      <c r="I2785" s="1">
        <v>11373.0</v>
      </c>
      <c r="J2785" s="1" t="s">
        <v>752</v>
      </c>
      <c r="K2785" s="1" t="s">
        <v>42</v>
      </c>
      <c r="L2785" s="1" t="s">
        <v>8365</v>
      </c>
      <c r="M2785" s="1">
        <v>49.0</v>
      </c>
      <c r="N2785" s="1" t="s">
        <v>1152</v>
      </c>
      <c r="O2785" s="3" t="s">
        <v>7870</v>
      </c>
      <c r="P2785" s="1" t="s">
        <v>1152</v>
      </c>
      <c r="Q2785" s="1" t="s">
        <v>1152</v>
      </c>
      <c r="R2785" s="1"/>
      <c r="S2785" s="1"/>
      <c r="T2785" s="1" t="s">
        <v>1152</v>
      </c>
      <c r="U2785" s="1" t="s">
        <v>1285</v>
      </c>
      <c r="V2785" s="4" t="s">
        <v>7870</v>
      </c>
      <c r="W2785" s="1"/>
      <c r="X2785" s="1" t="s">
        <v>1152</v>
      </c>
      <c r="Y2785" s="1" t="s">
        <v>1152</v>
      </c>
      <c r="Z2785" s="1"/>
      <c r="AA2785" s="1"/>
      <c r="AB2785" s="1"/>
      <c r="AC2785" s="1" t="s">
        <v>1925</v>
      </c>
      <c r="AD2785" s="1"/>
      <c r="AE2785" s="18">
        <v>46150.0</v>
      </c>
      <c r="AF2785" s="1" t="s">
        <v>1030</v>
      </c>
      <c r="AG2785" s="1" t="s">
        <v>52</v>
      </c>
      <c r="AH2785" s="1" t="s">
        <v>1152</v>
      </c>
      <c r="AI2785" s="1" t="s">
        <v>1152</v>
      </c>
      <c r="AJ2785" s="1" t="s">
        <v>12847</v>
      </c>
      <c r="AK2785" s="1" t="s">
        <v>1152</v>
      </c>
      <c r="AL2785" s="6"/>
      <c r="AM2785" s="12" t="s">
        <v>12848</v>
      </c>
    </row>
    <row r="2786">
      <c r="A2786" s="5" t="s">
        <v>12849</v>
      </c>
      <c r="B2786" s="1" t="s">
        <v>12850</v>
      </c>
      <c r="C2786" s="1" t="s">
        <v>12851</v>
      </c>
      <c r="D2786" s="2">
        <v>8.478345775E9</v>
      </c>
      <c r="E2786" s="1" t="s">
        <v>741</v>
      </c>
      <c r="F2786" s="1"/>
      <c r="G2786" s="1" t="s">
        <v>12852</v>
      </c>
      <c r="H2786" s="1" t="s">
        <v>1019</v>
      </c>
      <c r="I2786" s="1">
        <v>60173.0</v>
      </c>
      <c r="J2786" s="1" t="s">
        <v>752</v>
      </c>
      <c r="K2786" s="1" t="s">
        <v>2131</v>
      </c>
      <c r="L2786" s="1" t="s">
        <v>5767</v>
      </c>
      <c r="M2786" s="1">
        <v>1.0</v>
      </c>
      <c r="N2786" s="1" t="s">
        <v>1152</v>
      </c>
      <c r="O2786" s="3" t="s">
        <v>7427</v>
      </c>
      <c r="P2786" s="1" t="s">
        <v>1152</v>
      </c>
      <c r="Q2786" s="1" t="s">
        <v>1152</v>
      </c>
      <c r="R2786" s="1"/>
      <c r="S2786" s="1"/>
      <c r="T2786" s="1" t="s">
        <v>1152</v>
      </c>
      <c r="U2786" s="1" t="s">
        <v>1794</v>
      </c>
      <c r="V2786" s="4" t="s">
        <v>7427</v>
      </c>
      <c r="W2786" s="1"/>
      <c r="X2786" s="1" t="s">
        <v>1152</v>
      </c>
      <c r="Y2786" s="1" t="s">
        <v>1152</v>
      </c>
      <c r="Z2786" s="1"/>
      <c r="AA2786" s="1"/>
      <c r="AB2786" s="1"/>
      <c r="AC2786" s="1" t="s">
        <v>1925</v>
      </c>
      <c r="AD2786" s="1"/>
      <c r="AE2786" s="18">
        <v>46146.0</v>
      </c>
      <c r="AF2786" s="1"/>
      <c r="AG2786" s="1"/>
      <c r="AH2786" s="1" t="s">
        <v>1152</v>
      </c>
      <c r="AI2786" s="1" t="s">
        <v>1152</v>
      </c>
      <c r="AJ2786" s="1" t="s">
        <v>741</v>
      </c>
      <c r="AK2786" s="1" t="s">
        <v>1152</v>
      </c>
      <c r="AL2786" s="6"/>
      <c r="AM2786" s="12">
        <v>8.478345775E9</v>
      </c>
    </row>
    <row r="2787">
      <c r="A2787" s="5" t="s">
        <v>12853</v>
      </c>
      <c r="B2787" s="1" t="s">
        <v>12854</v>
      </c>
      <c r="C2787" s="1" t="s">
        <v>12855</v>
      </c>
      <c r="D2787" s="2">
        <v>7.13818382E9</v>
      </c>
      <c r="E2787" s="1" t="s">
        <v>12856</v>
      </c>
      <c r="F2787" s="1"/>
      <c r="G2787" s="1" t="s">
        <v>12857</v>
      </c>
      <c r="H2787" s="1" t="s">
        <v>1583</v>
      </c>
      <c r="I2787" s="1">
        <v>77338.0</v>
      </c>
      <c r="J2787" s="1" t="s">
        <v>752</v>
      </c>
      <c r="K2787" s="1" t="s">
        <v>42</v>
      </c>
      <c r="L2787" s="1" t="s">
        <v>6819</v>
      </c>
      <c r="M2787" s="1">
        <v>49.0</v>
      </c>
      <c r="N2787" s="1" t="s">
        <v>1152</v>
      </c>
      <c r="O2787" s="3" t="s">
        <v>12858</v>
      </c>
      <c r="P2787" s="1" t="s">
        <v>1152</v>
      </c>
      <c r="Q2787" s="1" t="s">
        <v>1152</v>
      </c>
      <c r="R2787" s="1"/>
      <c r="S2787" s="1"/>
      <c r="T2787" s="1" t="s">
        <v>1152</v>
      </c>
      <c r="U2787" s="1" t="s">
        <v>982</v>
      </c>
      <c r="V2787" s="4" t="s">
        <v>12858</v>
      </c>
      <c r="W2787" s="1"/>
      <c r="X2787" s="1" t="s">
        <v>1152</v>
      </c>
      <c r="Y2787" s="1" t="s">
        <v>1152</v>
      </c>
      <c r="Z2787" s="1"/>
      <c r="AA2787" s="1"/>
      <c r="AB2787" s="1"/>
      <c r="AC2787" s="1" t="s">
        <v>1925</v>
      </c>
      <c r="AD2787" s="1"/>
      <c r="AE2787" s="18">
        <v>46148.0</v>
      </c>
      <c r="AF2787" s="1" t="s">
        <v>1349</v>
      </c>
      <c r="AG2787" s="1" t="s">
        <v>52</v>
      </c>
      <c r="AH2787" s="1" t="s">
        <v>1152</v>
      </c>
      <c r="AI2787" s="1" t="s">
        <v>1152</v>
      </c>
      <c r="AJ2787" s="1" t="s">
        <v>12859</v>
      </c>
      <c r="AK2787" s="1" t="s">
        <v>1152</v>
      </c>
      <c r="AL2787" s="6"/>
      <c r="AM2787" s="12">
        <v>7.13818382E9</v>
      </c>
    </row>
    <row r="2788">
      <c r="A2788" s="5" t="s">
        <v>12860</v>
      </c>
      <c r="B2788" s="1" t="s">
        <v>12861</v>
      </c>
      <c r="C2788" s="1" t="s">
        <v>5735</v>
      </c>
      <c r="D2788" s="2">
        <v>8.432300249E9</v>
      </c>
      <c r="E2788" s="1" t="s">
        <v>2760</v>
      </c>
      <c r="F2788" s="1"/>
      <c r="G2788" s="1" t="s">
        <v>2761</v>
      </c>
      <c r="H2788" s="1" t="s">
        <v>2762</v>
      </c>
      <c r="I2788" s="1">
        <v>29501.0</v>
      </c>
      <c r="J2788" s="1" t="s">
        <v>752</v>
      </c>
      <c r="K2788" s="1" t="s">
        <v>2131</v>
      </c>
      <c r="L2788" s="1" t="s">
        <v>5811</v>
      </c>
      <c r="M2788" s="1">
        <v>1.0</v>
      </c>
      <c r="N2788" s="1" t="s">
        <v>1152</v>
      </c>
      <c r="O2788" s="3" t="s">
        <v>2763</v>
      </c>
      <c r="P2788" s="1" t="s">
        <v>1152</v>
      </c>
      <c r="Q2788" s="1" t="s">
        <v>1152</v>
      </c>
      <c r="R2788" s="1"/>
      <c r="S2788" s="1"/>
      <c r="T2788" s="1" t="s">
        <v>1152</v>
      </c>
      <c r="U2788" s="1" t="s">
        <v>1080</v>
      </c>
      <c r="V2788" s="4" t="s">
        <v>2763</v>
      </c>
      <c r="W2788" s="1"/>
      <c r="X2788" s="1" t="s">
        <v>1152</v>
      </c>
      <c r="Y2788" s="1" t="s">
        <v>1152</v>
      </c>
      <c r="Z2788" s="1"/>
      <c r="AA2788" s="1"/>
      <c r="AB2788" s="1"/>
      <c r="AC2788" s="1" t="s">
        <v>1925</v>
      </c>
      <c r="AD2788" s="1"/>
      <c r="AE2788" s="18">
        <v>46148.0</v>
      </c>
      <c r="AF2788" s="1"/>
      <c r="AG2788" s="1"/>
      <c r="AH2788" s="1" t="s">
        <v>1152</v>
      </c>
      <c r="AI2788" s="1" t="s">
        <v>1152</v>
      </c>
      <c r="AJ2788" s="1" t="s">
        <v>2760</v>
      </c>
      <c r="AK2788" s="1" t="s">
        <v>1152</v>
      </c>
      <c r="AL2788" s="6"/>
      <c r="AM2788" s="12">
        <v>8.432300249E9</v>
      </c>
    </row>
    <row r="2789">
      <c r="A2789" s="5" t="s">
        <v>12862</v>
      </c>
      <c r="B2789" s="1" t="s">
        <v>12863</v>
      </c>
      <c r="C2789" s="1" t="s">
        <v>2780</v>
      </c>
      <c r="D2789" s="2">
        <v>9.178415578E9</v>
      </c>
      <c r="E2789" s="1" t="s">
        <v>2781</v>
      </c>
      <c r="F2789" s="1"/>
      <c r="G2789" s="1" t="s">
        <v>751</v>
      </c>
      <c r="H2789" s="1" t="s">
        <v>751</v>
      </c>
      <c r="I2789" s="1">
        <v>10023.0</v>
      </c>
      <c r="J2789" s="1" t="s">
        <v>752</v>
      </c>
      <c r="K2789" s="1" t="s">
        <v>2131</v>
      </c>
      <c r="L2789" s="1" t="s">
        <v>5767</v>
      </c>
      <c r="M2789" s="1">
        <v>1.0</v>
      </c>
      <c r="N2789" s="1" t="s">
        <v>1152</v>
      </c>
      <c r="O2789" s="3" t="s">
        <v>2782</v>
      </c>
      <c r="P2789" s="1" t="s">
        <v>1152</v>
      </c>
      <c r="Q2789" s="1" t="s">
        <v>1152</v>
      </c>
      <c r="R2789" s="1"/>
      <c r="S2789" s="1"/>
      <c r="T2789" s="1" t="s">
        <v>1152</v>
      </c>
      <c r="U2789" s="1" t="s">
        <v>1812</v>
      </c>
      <c r="V2789" s="4" t="s">
        <v>2782</v>
      </c>
      <c r="W2789" s="1"/>
      <c r="X2789" s="1" t="s">
        <v>1152</v>
      </c>
      <c r="Y2789" s="1" t="s">
        <v>1152</v>
      </c>
      <c r="Z2789" s="1"/>
      <c r="AA2789" s="1"/>
      <c r="AB2789" s="1"/>
      <c r="AC2789" s="1" t="s">
        <v>1925</v>
      </c>
      <c r="AD2789" s="1"/>
      <c r="AE2789" s="18">
        <v>46148.0</v>
      </c>
      <c r="AF2789" s="1"/>
      <c r="AG2789" s="1"/>
      <c r="AH2789" s="1" t="s">
        <v>1152</v>
      </c>
      <c r="AI2789" s="1" t="s">
        <v>1152</v>
      </c>
      <c r="AJ2789" s="1" t="s">
        <v>6337</v>
      </c>
      <c r="AK2789" s="1" t="s">
        <v>1152</v>
      </c>
      <c r="AL2789" s="6"/>
      <c r="AM2789" s="12" t="s">
        <v>12864</v>
      </c>
    </row>
    <row r="2790">
      <c r="A2790" s="5" t="s">
        <v>12865</v>
      </c>
      <c r="B2790" s="1" t="s">
        <v>12866</v>
      </c>
      <c r="C2790" s="1" t="s">
        <v>12867</v>
      </c>
      <c r="D2790" s="2">
        <v>5.204819535E9</v>
      </c>
      <c r="E2790" s="1" t="s">
        <v>5472</v>
      </c>
      <c r="F2790" s="1"/>
      <c r="G2790" s="1" t="s">
        <v>3602</v>
      </c>
      <c r="H2790" s="1" t="s">
        <v>1535</v>
      </c>
      <c r="I2790" s="1">
        <v>85719.0</v>
      </c>
      <c r="J2790" s="1" t="s">
        <v>752</v>
      </c>
      <c r="K2790" s="1" t="s">
        <v>2131</v>
      </c>
      <c r="L2790" s="1" t="s">
        <v>5767</v>
      </c>
      <c r="M2790" s="1">
        <v>1.0</v>
      </c>
      <c r="N2790" s="1" t="s">
        <v>1152</v>
      </c>
      <c r="O2790" s="3" t="s">
        <v>12868</v>
      </c>
      <c r="P2790" s="1" t="s">
        <v>1152</v>
      </c>
      <c r="Q2790" s="1" t="s">
        <v>1152</v>
      </c>
      <c r="R2790" s="1"/>
      <c r="S2790" s="1"/>
      <c r="T2790" s="1" t="s">
        <v>1152</v>
      </c>
      <c r="U2790" s="1" t="s">
        <v>1277</v>
      </c>
      <c r="V2790" s="4" t="s">
        <v>12868</v>
      </c>
      <c r="W2790" s="1"/>
      <c r="X2790" s="1" t="s">
        <v>1152</v>
      </c>
      <c r="Y2790" s="1" t="s">
        <v>1152</v>
      </c>
      <c r="Z2790" s="1"/>
      <c r="AA2790" s="1"/>
      <c r="AB2790" s="1"/>
      <c r="AC2790" s="1" t="s">
        <v>1925</v>
      </c>
      <c r="AD2790" s="1"/>
      <c r="AE2790" s="18">
        <v>46148.0</v>
      </c>
      <c r="AF2790" s="1"/>
      <c r="AG2790" s="1"/>
      <c r="AH2790" s="1" t="s">
        <v>1152</v>
      </c>
      <c r="AI2790" s="1" t="s">
        <v>1152</v>
      </c>
      <c r="AJ2790" s="1" t="s">
        <v>12869</v>
      </c>
      <c r="AK2790" s="1" t="s">
        <v>1152</v>
      </c>
      <c r="AL2790" s="6"/>
      <c r="AM2790" s="12">
        <v>5.204819535E9</v>
      </c>
    </row>
    <row r="2791">
      <c r="A2791" s="5" t="s">
        <v>12870</v>
      </c>
      <c r="B2791" s="1" t="s">
        <v>12871</v>
      </c>
      <c r="C2791" s="1" t="s">
        <v>2247</v>
      </c>
      <c r="D2791" s="2">
        <v>9.142073828E9</v>
      </c>
      <c r="E2791" s="1" t="s">
        <v>2248</v>
      </c>
      <c r="F2791" s="1"/>
      <c r="G2791" s="1" t="s">
        <v>2249</v>
      </c>
      <c r="H2791" s="1" t="s">
        <v>751</v>
      </c>
      <c r="I2791" s="1">
        <v>10504.0</v>
      </c>
      <c r="J2791" s="1" t="s">
        <v>752</v>
      </c>
      <c r="K2791" s="1" t="s">
        <v>892</v>
      </c>
      <c r="L2791" s="1" t="s">
        <v>8006</v>
      </c>
      <c r="M2791" s="1">
        <v>49.0</v>
      </c>
      <c r="N2791" s="1" t="s">
        <v>1152</v>
      </c>
      <c r="O2791" s="3" t="s">
        <v>1832</v>
      </c>
      <c r="P2791" s="1" t="s">
        <v>1152</v>
      </c>
      <c r="Q2791" s="1" t="s">
        <v>1152</v>
      </c>
      <c r="R2791" s="1"/>
      <c r="S2791" s="1"/>
      <c r="T2791" s="1" t="s">
        <v>1152</v>
      </c>
      <c r="U2791" s="1" t="s">
        <v>1039</v>
      </c>
      <c r="V2791" s="4" t="s">
        <v>1832</v>
      </c>
      <c r="W2791" s="1"/>
      <c r="X2791" s="1" t="s">
        <v>1152</v>
      </c>
      <c r="Y2791" s="1" t="s">
        <v>1152</v>
      </c>
      <c r="Z2791" s="1"/>
      <c r="AA2791" s="1"/>
      <c r="AB2791" s="1"/>
      <c r="AC2791" s="1" t="s">
        <v>1925</v>
      </c>
      <c r="AD2791" s="1"/>
      <c r="AE2791" s="18">
        <v>46146.0</v>
      </c>
      <c r="AF2791" s="1" t="s">
        <v>1030</v>
      </c>
      <c r="AG2791" s="1" t="s">
        <v>52</v>
      </c>
      <c r="AH2791" s="1" t="s">
        <v>12872</v>
      </c>
      <c r="AI2791" s="1" t="s">
        <v>1152</v>
      </c>
      <c r="AJ2791" s="1" t="s">
        <v>2248</v>
      </c>
      <c r="AK2791" s="1" t="s">
        <v>1152</v>
      </c>
      <c r="AL2791" s="6"/>
      <c r="AM2791" s="12">
        <v>9.14364309E9</v>
      </c>
    </row>
    <row r="2792">
      <c r="A2792" s="5" t="s">
        <v>12870</v>
      </c>
      <c r="B2792" s="1" t="s">
        <v>12871</v>
      </c>
      <c r="C2792" s="1" t="s">
        <v>2247</v>
      </c>
      <c r="D2792" s="2">
        <v>9.142073828E9</v>
      </c>
      <c r="E2792" s="1" t="s">
        <v>2248</v>
      </c>
      <c r="F2792" s="1"/>
      <c r="G2792" s="1" t="s">
        <v>2249</v>
      </c>
      <c r="H2792" s="1" t="s">
        <v>751</v>
      </c>
      <c r="I2792" s="1">
        <v>10504.0</v>
      </c>
      <c r="J2792" s="1" t="s">
        <v>752</v>
      </c>
      <c r="K2792" s="1" t="s">
        <v>42</v>
      </c>
      <c r="L2792" s="1" t="s">
        <v>6819</v>
      </c>
      <c r="M2792" s="1">
        <v>49.0</v>
      </c>
      <c r="N2792" s="1" t="s">
        <v>1152</v>
      </c>
      <c r="O2792" s="3" t="s">
        <v>1832</v>
      </c>
      <c r="P2792" s="1" t="s">
        <v>1152</v>
      </c>
      <c r="Q2792" s="1" t="s">
        <v>1152</v>
      </c>
      <c r="R2792" s="1"/>
      <c r="S2792" s="1"/>
      <c r="T2792" s="1" t="s">
        <v>1152</v>
      </c>
      <c r="U2792" s="1" t="s">
        <v>1039</v>
      </c>
      <c r="V2792" s="4" t="s">
        <v>1832</v>
      </c>
      <c r="W2792" s="1"/>
      <c r="X2792" s="1" t="s">
        <v>1152</v>
      </c>
      <c r="Y2792" s="1" t="s">
        <v>1152</v>
      </c>
      <c r="Z2792" s="1"/>
      <c r="AA2792" s="1"/>
      <c r="AB2792" s="1"/>
      <c r="AC2792" s="1" t="s">
        <v>1925</v>
      </c>
      <c r="AD2792" s="1"/>
      <c r="AE2792" s="18">
        <v>46146.0</v>
      </c>
      <c r="AF2792" s="1" t="s">
        <v>1030</v>
      </c>
      <c r="AG2792" s="1" t="s">
        <v>52</v>
      </c>
      <c r="AH2792" s="1" t="s">
        <v>1152</v>
      </c>
      <c r="AI2792" s="1" t="s">
        <v>1152</v>
      </c>
      <c r="AJ2792" s="1" t="s">
        <v>2248</v>
      </c>
      <c r="AK2792" s="1" t="s">
        <v>1152</v>
      </c>
      <c r="AL2792" s="6"/>
      <c r="AM2792" s="12">
        <v>9.14364309E9</v>
      </c>
    </row>
    <row r="2793">
      <c r="A2793" s="5" t="s">
        <v>12873</v>
      </c>
      <c r="B2793" s="1" t="s">
        <v>12874</v>
      </c>
      <c r="C2793" s="1" t="s">
        <v>5602</v>
      </c>
      <c r="D2793" s="2">
        <v>3.14651794E9</v>
      </c>
      <c r="E2793" s="1" t="s">
        <v>12875</v>
      </c>
      <c r="F2793" s="1"/>
      <c r="G2793" s="1" t="s">
        <v>2350</v>
      </c>
      <c r="H2793" s="1" t="s">
        <v>1155</v>
      </c>
      <c r="I2793" s="1">
        <v>63119.0</v>
      </c>
      <c r="J2793" s="1" t="s">
        <v>752</v>
      </c>
      <c r="K2793" s="1" t="s">
        <v>2131</v>
      </c>
      <c r="L2793" s="1" t="s">
        <v>5811</v>
      </c>
      <c r="M2793" s="1">
        <v>1.0</v>
      </c>
      <c r="N2793" s="1" t="s">
        <v>1152</v>
      </c>
      <c r="O2793" s="3" t="s">
        <v>4406</v>
      </c>
      <c r="P2793" s="1" t="s">
        <v>1152</v>
      </c>
      <c r="Q2793" s="1" t="s">
        <v>1152</v>
      </c>
      <c r="R2793" s="1"/>
      <c r="S2793" s="1"/>
      <c r="T2793" s="1" t="s">
        <v>1152</v>
      </c>
      <c r="U2793" s="1" t="s">
        <v>1343</v>
      </c>
      <c r="V2793" s="4" t="s">
        <v>4406</v>
      </c>
      <c r="W2793" s="1"/>
      <c r="X2793" s="1" t="s">
        <v>1152</v>
      </c>
      <c r="Y2793" s="1" t="s">
        <v>1152</v>
      </c>
      <c r="Z2793" s="1"/>
      <c r="AA2793" s="1"/>
      <c r="AB2793" s="1"/>
      <c r="AC2793" s="1" t="s">
        <v>1925</v>
      </c>
      <c r="AD2793" s="1"/>
      <c r="AE2793" s="18">
        <v>46149.0</v>
      </c>
      <c r="AF2793" s="1"/>
      <c r="AG2793" s="1"/>
      <c r="AH2793" s="1" t="s">
        <v>1152</v>
      </c>
      <c r="AI2793" s="1" t="s">
        <v>1152</v>
      </c>
      <c r="AJ2793" s="1" t="s">
        <v>12875</v>
      </c>
      <c r="AK2793" s="1" t="s">
        <v>1152</v>
      </c>
      <c r="AL2793" s="6"/>
      <c r="AM2793" s="12">
        <v>3.14651794E9</v>
      </c>
    </row>
    <row r="2794">
      <c r="A2794" s="5" t="s">
        <v>12876</v>
      </c>
      <c r="B2794" s="1" t="s">
        <v>12877</v>
      </c>
      <c r="C2794" s="1" t="s">
        <v>12878</v>
      </c>
      <c r="D2794" s="2">
        <v>3.143984128E9</v>
      </c>
      <c r="E2794" s="1" t="s">
        <v>12879</v>
      </c>
      <c r="F2794" s="1"/>
      <c r="G2794" s="1" t="s">
        <v>1283</v>
      </c>
      <c r="H2794" s="1" t="s">
        <v>1155</v>
      </c>
      <c r="I2794" s="1">
        <v>63105.0</v>
      </c>
      <c r="J2794" s="1" t="s">
        <v>752</v>
      </c>
      <c r="K2794" s="1" t="s">
        <v>42</v>
      </c>
      <c r="L2794" s="1" t="s">
        <v>6819</v>
      </c>
      <c r="M2794" s="1">
        <v>49.0</v>
      </c>
      <c r="N2794" s="1" t="s">
        <v>1152</v>
      </c>
      <c r="O2794" s="3" t="s">
        <v>10022</v>
      </c>
      <c r="P2794" s="1" t="s">
        <v>1152</v>
      </c>
      <c r="Q2794" s="1" t="s">
        <v>1152</v>
      </c>
      <c r="R2794" s="1"/>
      <c r="S2794" s="1"/>
      <c r="T2794" s="1" t="s">
        <v>1152</v>
      </c>
      <c r="U2794" s="1" t="s">
        <v>1537</v>
      </c>
      <c r="V2794" s="4" t="s">
        <v>10022</v>
      </c>
      <c r="W2794" s="1"/>
      <c r="X2794" s="1" t="s">
        <v>1152</v>
      </c>
      <c r="Y2794" s="1" t="s">
        <v>1152</v>
      </c>
      <c r="Z2794" s="1"/>
      <c r="AA2794" s="1"/>
      <c r="AB2794" s="1"/>
      <c r="AC2794" s="1" t="s">
        <v>1925</v>
      </c>
      <c r="AD2794" s="1"/>
      <c r="AE2794" s="18">
        <v>46149.0</v>
      </c>
      <c r="AF2794" s="1" t="s">
        <v>1349</v>
      </c>
      <c r="AG2794" s="1" t="s">
        <v>52</v>
      </c>
      <c r="AH2794" s="1" t="s">
        <v>1152</v>
      </c>
      <c r="AI2794" s="1" t="s">
        <v>1152</v>
      </c>
      <c r="AJ2794" s="1" t="s">
        <v>12879</v>
      </c>
      <c r="AK2794" s="1" t="s">
        <v>1152</v>
      </c>
      <c r="AL2794" s="6"/>
      <c r="AM2794" s="12">
        <v>3.143984128E9</v>
      </c>
    </row>
    <row r="2795">
      <c r="A2795" s="5" t="s">
        <v>12880</v>
      </c>
      <c r="B2795" s="1" t="s">
        <v>12881</v>
      </c>
      <c r="C2795" s="1" t="s">
        <v>12882</v>
      </c>
      <c r="D2795" s="2">
        <v>2.022626813E9</v>
      </c>
      <c r="E2795" s="1" t="s">
        <v>12883</v>
      </c>
      <c r="F2795" s="1"/>
      <c r="G2795" s="1" t="s">
        <v>980</v>
      </c>
      <c r="H2795" s="1" t="s">
        <v>1063</v>
      </c>
      <c r="I2795" s="1" t="s">
        <v>12884</v>
      </c>
      <c r="J2795" s="1" t="s">
        <v>752</v>
      </c>
      <c r="K2795" s="1" t="s">
        <v>42</v>
      </c>
      <c r="L2795" s="1" t="s">
        <v>7863</v>
      </c>
      <c r="M2795" s="1">
        <v>79.0</v>
      </c>
      <c r="N2795" s="1" t="s">
        <v>1152</v>
      </c>
      <c r="O2795" s="3" t="s">
        <v>4855</v>
      </c>
      <c r="P2795" s="1" t="s">
        <v>1152</v>
      </c>
      <c r="Q2795" s="1" t="s">
        <v>1152</v>
      </c>
      <c r="R2795" s="1"/>
      <c r="S2795" s="1"/>
      <c r="T2795" s="1" t="s">
        <v>1152</v>
      </c>
      <c r="U2795" s="1" t="s">
        <v>1456</v>
      </c>
      <c r="V2795" s="4" t="s">
        <v>4855</v>
      </c>
      <c r="W2795" s="1"/>
      <c r="X2795" s="1" t="s">
        <v>1152</v>
      </c>
      <c r="Y2795" s="1" t="s">
        <v>1152</v>
      </c>
      <c r="Z2795" s="1"/>
      <c r="AA2795" s="1"/>
      <c r="AB2795" s="1"/>
      <c r="AC2795" s="1" t="s">
        <v>1925</v>
      </c>
      <c r="AD2795" s="1"/>
      <c r="AE2795" s="18">
        <v>46148.0</v>
      </c>
      <c r="AF2795" s="1" t="s">
        <v>1349</v>
      </c>
      <c r="AG2795" s="1" t="s">
        <v>52</v>
      </c>
      <c r="AH2795" s="1" t="s">
        <v>1152</v>
      </c>
      <c r="AI2795" s="1" t="s">
        <v>1152</v>
      </c>
      <c r="AJ2795" s="1" t="s">
        <v>12885</v>
      </c>
      <c r="AK2795" s="1" t="s">
        <v>1152</v>
      </c>
      <c r="AL2795" s="6"/>
      <c r="AM2795" s="12">
        <v>2.022271196E9</v>
      </c>
    </row>
    <row r="2796">
      <c r="A2796" s="5" t="s">
        <v>12886</v>
      </c>
      <c r="B2796" s="1" t="s">
        <v>12887</v>
      </c>
      <c r="C2796" s="1" t="s">
        <v>12888</v>
      </c>
      <c r="D2796" s="2">
        <v>7.873109856E9</v>
      </c>
      <c r="E2796" s="1" t="s">
        <v>12889</v>
      </c>
      <c r="F2796" s="1"/>
      <c r="G2796" s="1" t="s">
        <v>5841</v>
      </c>
      <c r="H2796" s="1" t="s">
        <v>1155</v>
      </c>
      <c r="I2796" s="1">
        <v>63105.0</v>
      </c>
      <c r="J2796" s="1" t="s">
        <v>752</v>
      </c>
      <c r="K2796" s="1" t="s">
        <v>2131</v>
      </c>
      <c r="L2796" s="1" t="s">
        <v>5767</v>
      </c>
      <c r="M2796" s="1">
        <v>1.0</v>
      </c>
      <c r="N2796" s="1" t="s">
        <v>1152</v>
      </c>
      <c r="O2796" s="3" t="s">
        <v>809</v>
      </c>
      <c r="P2796" s="1" t="s">
        <v>1152</v>
      </c>
      <c r="Q2796" s="1" t="s">
        <v>1152</v>
      </c>
      <c r="R2796" s="1"/>
      <c r="S2796" s="1"/>
      <c r="T2796" s="1" t="s">
        <v>1152</v>
      </c>
      <c r="U2796" s="1" t="s">
        <v>1487</v>
      </c>
      <c r="V2796" s="4" t="s">
        <v>809</v>
      </c>
      <c r="W2796" s="1"/>
      <c r="X2796" s="1" t="s">
        <v>1152</v>
      </c>
      <c r="Y2796" s="1" t="s">
        <v>1152</v>
      </c>
      <c r="Z2796" s="1"/>
      <c r="AA2796" s="1"/>
      <c r="AB2796" s="1"/>
      <c r="AC2796" s="1" t="s">
        <v>1925</v>
      </c>
      <c r="AD2796" s="1"/>
      <c r="AE2796" s="18">
        <v>46147.0</v>
      </c>
      <c r="AF2796" s="1"/>
      <c r="AG2796" s="1"/>
      <c r="AH2796" s="1" t="s">
        <v>1152</v>
      </c>
      <c r="AI2796" s="1" t="s">
        <v>1152</v>
      </c>
      <c r="AJ2796" s="1" t="s">
        <v>12889</v>
      </c>
      <c r="AK2796" s="1" t="s">
        <v>1152</v>
      </c>
      <c r="AL2796" s="6"/>
      <c r="AM2796" s="12">
        <v>7.873109856E9</v>
      </c>
    </row>
    <row r="2797">
      <c r="A2797" s="5" t="s">
        <v>12890</v>
      </c>
      <c r="B2797" s="1" t="s">
        <v>12891</v>
      </c>
      <c r="C2797" s="1" t="s">
        <v>4763</v>
      </c>
      <c r="D2797" s="2">
        <v>9.862196068E9</v>
      </c>
      <c r="E2797" s="1" t="s">
        <v>4764</v>
      </c>
      <c r="F2797" s="1"/>
      <c r="G2797" s="1" t="s">
        <v>4765</v>
      </c>
      <c r="H2797" s="1" t="s">
        <v>4766</v>
      </c>
      <c r="I2797" s="1">
        <v>83404.0</v>
      </c>
      <c r="J2797" s="1" t="s">
        <v>752</v>
      </c>
      <c r="K2797" s="1" t="s">
        <v>42</v>
      </c>
      <c r="L2797" s="1" t="s">
        <v>6819</v>
      </c>
      <c r="M2797" s="1">
        <v>49.0</v>
      </c>
      <c r="N2797" s="1" t="s">
        <v>1152</v>
      </c>
      <c r="O2797" s="3" t="s">
        <v>7847</v>
      </c>
      <c r="P2797" s="1" t="s">
        <v>1152</v>
      </c>
      <c r="Q2797" s="1" t="s">
        <v>1152</v>
      </c>
      <c r="R2797" s="1"/>
      <c r="S2797" s="1"/>
      <c r="T2797" s="1" t="s">
        <v>1152</v>
      </c>
      <c r="U2797" s="1" t="s">
        <v>1441</v>
      </c>
      <c r="V2797" s="4" t="s">
        <v>7847</v>
      </c>
      <c r="W2797" s="1"/>
      <c r="X2797" s="1" t="s">
        <v>1152</v>
      </c>
      <c r="Y2797" s="1" t="s">
        <v>1152</v>
      </c>
      <c r="Z2797" s="1"/>
      <c r="AA2797" s="1"/>
      <c r="AB2797" s="1"/>
      <c r="AC2797" s="1" t="s">
        <v>1925</v>
      </c>
      <c r="AD2797" s="1"/>
      <c r="AE2797" s="18">
        <v>46149.0</v>
      </c>
      <c r="AF2797" s="1" t="s">
        <v>1630</v>
      </c>
      <c r="AG2797" s="1" t="s">
        <v>52</v>
      </c>
      <c r="AH2797" s="1" t="s">
        <v>1152</v>
      </c>
      <c r="AI2797" s="1" t="s">
        <v>1152</v>
      </c>
      <c r="AJ2797" s="1" t="s">
        <v>4764</v>
      </c>
      <c r="AK2797" s="1" t="s">
        <v>1152</v>
      </c>
      <c r="AL2797" s="6"/>
      <c r="AM2797" s="12" t="s">
        <v>12892</v>
      </c>
    </row>
    <row r="2798">
      <c r="A2798" s="5" t="s">
        <v>12893</v>
      </c>
      <c r="B2798" s="1" t="s">
        <v>12894</v>
      </c>
      <c r="C2798" s="1" t="s">
        <v>12895</v>
      </c>
      <c r="D2798" s="2">
        <v>3.142697772E9</v>
      </c>
      <c r="E2798" s="1" t="s">
        <v>12896</v>
      </c>
      <c r="F2798" s="1"/>
      <c r="G2798" s="1" t="s">
        <v>2350</v>
      </c>
      <c r="H2798" s="1" t="s">
        <v>1155</v>
      </c>
      <c r="I2798" s="1">
        <v>63105.0</v>
      </c>
      <c r="J2798" s="1" t="s">
        <v>752</v>
      </c>
      <c r="K2798" s="1" t="s">
        <v>42</v>
      </c>
      <c r="L2798" s="1" t="s">
        <v>6819</v>
      </c>
      <c r="M2798" s="1">
        <v>49.0</v>
      </c>
      <c r="N2798" s="1" t="s">
        <v>1152</v>
      </c>
      <c r="O2798" s="3" t="s">
        <v>1493</v>
      </c>
      <c r="P2798" s="1" t="s">
        <v>1152</v>
      </c>
      <c r="Q2798" s="1" t="s">
        <v>1152</v>
      </c>
      <c r="R2798" s="1"/>
      <c r="S2798" s="1"/>
      <c r="T2798" s="1" t="s">
        <v>1152</v>
      </c>
      <c r="U2798" s="1" t="s">
        <v>1039</v>
      </c>
      <c r="V2798" s="4" t="s">
        <v>1493</v>
      </c>
      <c r="W2798" s="1"/>
      <c r="X2798" s="1" t="s">
        <v>1152</v>
      </c>
      <c r="Y2798" s="1" t="s">
        <v>1152</v>
      </c>
      <c r="Z2798" s="1"/>
      <c r="AA2798" s="1"/>
      <c r="AB2798" s="1"/>
      <c r="AC2798" s="1" t="s">
        <v>1925</v>
      </c>
      <c r="AD2798" s="1"/>
      <c r="AE2798" s="18">
        <v>46149.0</v>
      </c>
      <c r="AF2798" s="1" t="s">
        <v>1349</v>
      </c>
      <c r="AG2798" s="1" t="s">
        <v>52</v>
      </c>
      <c r="AH2798" s="1" t="s">
        <v>1152</v>
      </c>
      <c r="AI2798" s="1" t="s">
        <v>12897</v>
      </c>
      <c r="AJ2798" s="1" t="s">
        <v>12896</v>
      </c>
      <c r="AK2798" s="1" t="s">
        <v>1152</v>
      </c>
      <c r="AL2798" s="6"/>
      <c r="AM2798" s="12">
        <v>3.142697772E9</v>
      </c>
    </row>
    <row r="2799">
      <c r="A2799" s="5" t="s">
        <v>12898</v>
      </c>
      <c r="B2799" s="1" t="s">
        <v>12899</v>
      </c>
      <c r="C2799" s="1" t="s">
        <v>12900</v>
      </c>
      <c r="D2799" s="2">
        <v>4.157703588E9</v>
      </c>
      <c r="E2799" s="1" t="s">
        <v>12901</v>
      </c>
      <c r="F2799" s="1"/>
      <c r="G2799" s="1" t="s">
        <v>1562</v>
      </c>
      <c r="H2799" s="1" t="s">
        <v>989</v>
      </c>
      <c r="I2799" s="1">
        <v>94115.0</v>
      </c>
      <c r="J2799" s="1" t="s">
        <v>752</v>
      </c>
      <c r="K2799" s="1" t="s">
        <v>42</v>
      </c>
      <c r="L2799" s="1" t="s">
        <v>6819</v>
      </c>
      <c r="M2799" s="1">
        <v>49.0</v>
      </c>
      <c r="N2799" s="1" t="s">
        <v>1152</v>
      </c>
      <c r="O2799" s="3" t="s">
        <v>204</v>
      </c>
      <c r="P2799" s="1" t="s">
        <v>1152</v>
      </c>
      <c r="Q2799" s="1" t="s">
        <v>1152</v>
      </c>
      <c r="R2799" s="1"/>
      <c r="S2799" s="1"/>
      <c r="T2799" s="1" t="s">
        <v>1152</v>
      </c>
      <c r="U2799" s="1" t="s">
        <v>1148</v>
      </c>
      <c r="V2799" s="4" t="s">
        <v>204</v>
      </c>
      <c r="W2799" s="1"/>
      <c r="X2799" s="1" t="s">
        <v>1152</v>
      </c>
      <c r="Y2799" s="1" t="s">
        <v>1152</v>
      </c>
      <c r="Z2799" s="1"/>
      <c r="AA2799" s="1"/>
      <c r="AB2799" s="1"/>
      <c r="AC2799" s="1" t="s">
        <v>1925</v>
      </c>
      <c r="AD2799" s="1"/>
      <c r="AE2799" s="18">
        <v>46149.0</v>
      </c>
      <c r="AF2799" s="1" t="s">
        <v>1030</v>
      </c>
      <c r="AG2799" s="1" t="s">
        <v>52</v>
      </c>
      <c r="AH2799" s="1" t="s">
        <v>1152</v>
      </c>
      <c r="AI2799" s="1" t="s">
        <v>12902</v>
      </c>
      <c r="AJ2799" s="1" t="s">
        <v>12903</v>
      </c>
      <c r="AK2799" s="1" t="s">
        <v>1152</v>
      </c>
      <c r="AL2799" s="6"/>
      <c r="AM2799" s="12">
        <v>4.157703664E9</v>
      </c>
    </row>
    <row r="2800">
      <c r="A2800" s="5" t="s">
        <v>12904</v>
      </c>
      <c r="B2800" s="1" t="s">
        <v>12905</v>
      </c>
      <c r="C2800" s="1" t="s">
        <v>12906</v>
      </c>
      <c r="D2800" s="2">
        <v>7.73771286E9</v>
      </c>
      <c r="E2800" s="1" t="s">
        <v>12907</v>
      </c>
      <c r="F2800" s="1"/>
      <c r="G2800" s="1" t="s">
        <v>1604</v>
      </c>
      <c r="H2800" s="1" t="s">
        <v>1078</v>
      </c>
      <c r="I2800" s="1">
        <v>6880.0</v>
      </c>
      <c r="J2800" s="1" t="s">
        <v>752</v>
      </c>
      <c r="K2800" s="1" t="s">
        <v>6515</v>
      </c>
      <c r="L2800" s="1" t="s">
        <v>8223</v>
      </c>
      <c r="M2800" s="1">
        <v>400.0</v>
      </c>
      <c r="N2800" s="1" t="s">
        <v>1152</v>
      </c>
      <c r="O2800" s="3"/>
      <c r="P2800" s="1" t="s">
        <v>1152</v>
      </c>
      <c r="Q2800" s="1" t="s">
        <v>1152</v>
      </c>
      <c r="R2800" s="1"/>
      <c r="S2800" s="1"/>
      <c r="T2800" s="1" t="s">
        <v>1152</v>
      </c>
      <c r="U2800" s="1"/>
      <c r="V2800" s="4"/>
      <c r="W2800" s="1"/>
      <c r="X2800" s="1" t="s">
        <v>1152</v>
      </c>
      <c r="Y2800" s="1" t="s">
        <v>1152</v>
      </c>
      <c r="Z2800" s="1"/>
      <c r="AA2800" s="1"/>
      <c r="AB2800" s="1"/>
      <c r="AC2800" s="1" t="s">
        <v>12908</v>
      </c>
      <c r="AD2800" s="1"/>
      <c r="AE2800" s="18">
        <v>46149.0</v>
      </c>
      <c r="AF2800" s="1"/>
      <c r="AG2800" s="1"/>
      <c r="AH2800" s="1" t="s">
        <v>12909</v>
      </c>
      <c r="AI2800" s="1" t="s">
        <v>12910</v>
      </c>
      <c r="AJ2800" s="1"/>
      <c r="AK2800" s="1" t="s">
        <v>12911</v>
      </c>
      <c r="AL2800" s="6"/>
      <c r="AM2800" s="12">
        <v>7.73771286E9</v>
      </c>
    </row>
    <row r="2801">
      <c r="A2801" s="5" t="s">
        <v>12912</v>
      </c>
      <c r="B2801" s="1" t="s">
        <v>12913</v>
      </c>
      <c r="C2801" s="1" t="s">
        <v>12914</v>
      </c>
      <c r="D2801" s="2">
        <v>9.734407049E9</v>
      </c>
      <c r="E2801" s="1" t="s">
        <v>12915</v>
      </c>
      <c r="F2801" s="1"/>
      <c r="G2801" s="1" t="s">
        <v>3586</v>
      </c>
      <c r="H2801" s="1" t="s">
        <v>1053</v>
      </c>
      <c r="I2801" s="1">
        <v>7960.0</v>
      </c>
      <c r="J2801" s="1" t="s">
        <v>752</v>
      </c>
      <c r="K2801" s="1" t="s">
        <v>2131</v>
      </c>
      <c r="L2801" s="1" t="s">
        <v>5767</v>
      </c>
      <c r="M2801" s="1">
        <v>1.0</v>
      </c>
      <c r="N2801" s="1" t="s">
        <v>1152</v>
      </c>
      <c r="O2801" s="3" t="s">
        <v>3587</v>
      </c>
      <c r="P2801" s="1" t="s">
        <v>1152</v>
      </c>
      <c r="Q2801" s="1" t="s">
        <v>1152</v>
      </c>
      <c r="R2801" s="1"/>
      <c r="S2801" s="1"/>
      <c r="T2801" s="1" t="s">
        <v>1152</v>
      </c>
      <c r="U2801" s="1" t="s">
        <v>6053</v>
      </c>
      <c r="V2801" s="4" t="s">
        <v>3587</v>
      </c>
      <c r="W2801" s="1"/>
      <c r="X2801" s="1" t="s">
        <v>1152</v>
      </c>
      <c r="Y2801" s="1" t="s">
        <v>1152</v>
      </c>
      <c r="Z2801" s="1"/>
      <c r="AA2801" s="1"/>
      <c r="AB2801" s="1"/>
      <c r="AC2801" s="1" t="s">
        <v>1925</v>
      </c>
      <c r="AD2801" s="1"/>
      <c r="AE2801" s="18">
        <v>46147.0</v>
      </c>
      <c r="AF2801" s="1"/>
      <c r="AG2801" s="1"/>
      <c r="AH2801" s="1" t="s">
        <v>1152</v>
      </c>
      <c r="AI2801" s="1" t="s">
        <v>1152</v>
      </c>
      <c r="AJ2801" s="1" t="s">
        <v>12915</v>
      </c>
      <c r="AK2801" s="1" t="s">
        <v>1152</v>
      </c>
      <c r="AL2801" s="6"/>
      <c r="AM2801" s="12">
        <v>9.734407049E9</v>
      </c>
    </row>
    <row r="2802">
      <c r="A2802" s="5" t="s">
        <v>12916</v>
      </c>
      <c r="B2802" s="1" t="s">
        <v>12917</v>
      </c>
      <c r="C2802" s="1" t="s">
        <v>4614</v>
      </c>
      <c r="D2802" s="2">
        <v>2.673097223E9</v>
      </c>
      <c r="E2802" s="1" t="s">
        <v>4615</v>
      </c>
      <c r="F2802" s="1"/>
      <c r="G2802" s="1" t="s">
        <v>4477</v>
      </c>
      <c r="H2802" s="1" t="s">
        <v>1233</v>
      </c>
      <c r="I2802" s="1">
        <v>19129.0</v>
      </c>
      <c r="J2802" s="1" t="s">
        <v>752</v>
      </c>
      <c r="K2802" s="1" t="s">
        <v>2131</v>
      </c>
      <c r="L2802" s="1" t="s">
        <v>5767</v>
      </c>
      <c r="M2802" s="1">
        <v>1.0</v>
      </c>
      <c r="N2802" s="1" t="s">
        <v>1152</v>
      </c>
      <c r="O2802" s="3" t="s">
        <v>4616</v>
      </c>
      <c r="P2802" s="1" t="s">
        <v>1152</v>
      </c>
      <c r="Q2802" s="1" t="s">
        <v>1152</v>
      </c>
      <c r="R2802" s="1"/>
      <c r="S2802" s="1"/>
      <c r="T2802" s="1" t="s">
        <v>1152</v>
      </c>
      <c r="U2802" s="1" t="s">
        <v>1794</v>
      </c>
      <c r="V2802" s="4" t="s">
        <v>4616</v>
      </c>
      <c r="W2802" s="1"/>
      <c r="X2802" s="1" t="s">
        <v>1152</v>
      </c>
      <c r="Y2802" s="1" t="s">
        <v>1152</v>
      </c>
      <c r="Z2802" s="1"/>
      <c r="AA2802" s="1"/>
      <c r="AB2802" s="1"/>
      <c r="AC2802" s="1" t="s">
        <v>1925</v>
      </c>
      <c r="AD2802" s="1"/>
      <c r="AE2802" s="18">
        <v>46149.0</v>
      </c>
      <c r="AF2802" s="1"/>
      <c r="AG2802" s="1"/>
      <c r="AH2802" s="1" t="s">
        <v>1152</v>
      </c>
      <c r="AI2802" s="1" t="s">
        <v>1152</v>
      </c>
      <c r="AJ2802" s="1" t="s">
        <v>4615</v>
      </c>
      <c r="AK2802" s="1" t="s">
        <v>1152</v>
      </c>
      <c r="AL2802" s="6"/>
      <c r="AM2802" s="12">
        <v>2.673097223E9</v>
      </c>
    </row>
    <row r="2803">
      <c r="A2803" s="5" t="s">
        <v>12918</v>
      </c>
      <c r="B2803" s="1" t="s">
        <v>12919</v>
      </c>
      <c r="C2803" s="1" t="s">
        <v>3507</v>
      </c>
      <c r="D2803" s="2">
        <v>6.145075668E9</v>
      </c>
      <c r="E2803" s="1" t="s">
        <v>3508</v>
      </c>
      <c r="F2803" s="1"/>
      <c r="G2803" s="1" t="s">
        <v>3509</v>
      </c>
      <c r="H2803" s="1" t="s">
        <v>2171</v>
      </c>
      <c r="I2803" s="1">
        <v>43054.0</v>
      </c>
      <c r="J2803" s="1" t="s">
        <v>752</v>
      </c>
      <c r="K2803" s="1" t="s">
        <v>2131</v>
      </c>
      <c r="L2803" s="1" t="s">
        <v>5767</v>
      </c>
      <c r="M2803" s="1">
        <v>1.0</v>
      </c>
      <c r="N2803" s="1" t="s">
        <v>1152</v>
      </c>
      <c r="O2803" s="3" t="s">
        <v>3510</v>
      </c>
      <c r="P2803" s="1" t="s">
        <v>1152</v>
      </c>
      <c r="Q2803" s="1" t="s">
        <v>1152</v>
      </c>
      <c r="R2803" s="1"/>
      <c r="S2803" s="1"/>
      <c r="T2803" s="1" t="s">
        <v>1152</v>
      </c>
      <c r="U2803" s="1" t="s">
        <v>982</v>
      </c>
      <c r="V2803" s="4" t="s">
        <v>3510</v>
      </c>
      <c r="W2803" s="1"/>
      <c r="X2803" s="1" t="s">
        <v>1152</v>
      </c>
      <c r="Y2803" s="1" t="s">
        <v>1152</v>
      </c>
      <c r="Z2803" s="1"/>
      <c r="AA2803" s="1"/>
      <c r="AB2803" s="1"/>
      <c r="AC2803" s="1" t="s">
        <v>1925</v>
      </c>
      <c r="AD2803" s="1"/>
      <c r="AE2803" s="18">
        <v>46148.0</v>
      </c>
      <c r="AF2803" s="1"/>
      <c r="AG2803" s="1"/>
      <c r="AH2803" s="1" t="s">
        <v>1152</v>
      </c>
      <c r="AI2803" s="1" t="s">
        <v>1152</v>
      </c>
      <c r="AJ2803" s="1" t="s">
        <v>11806</v>
      </c>
      <c r="AK2803" s="1" t="s">
        <v>1152</v>
      </c>
      <c r="AL2803" s="6"/>
      <c r="AM2803" s="12">
        <v>6.144007946E9</v>
      </c>
    </row>
    <row r="2804">
      <c r="A2804" s="5" t="s">
        <v>12920</v>
      </c>
      <c r="B2804" s="1" t="s">
        <v>12921</v>
      </c>
      <c r="C2804" s="1" t="s">
        <v>12922</v>
      </c>
      <c r="D2804" s="2">
        <v>5.107081479E9</v>
      </c>
      <c r="E2804" s="1" t="s">
        <v>2887</v>
      </c>
      <c r="F2804" s="1"/>
      <c r="G2804" s="1" t="s">
        <v>2888</v>
      </c>
      <c r="H2804" s="1" t="s">
        <v>989</v>
      </c>
      <c r="I2804" s="1">
        <v>94705.0</v>
      </c>
      <c r="J2804" s="1" t="s">
        <v>752</v>
      </c>
      <c r="K2804" s="1" t="s">
        <v>42</v>
      </c>
      <c r="L2804" s="1" t="s">
        <v>7863</v>
      </c>
      <c r="M2804" s="1">
        <v>79.0</v>
      </c>
      <c r="N2804" s="1" t="s">
        <v>1152</v>
      </c>
      <c r="O2804" s="3" t="s">
        <v>2889</v>
      </c>
      <c r="P2804" s="1" t="s">
        <v>1152</v>
      </c>
      <c r="Q2804" s="1" t="s">
        <v>1152</v>
      </c>
      <c r="R2804" s="1"/>
      <c r="S2804" s="1"/>
      <c r="T2804" s="1" t="s">
        <v>1152</v>
      </c>
      <c r="U2804" s="1" t="s">
        <v>7909</v>
      </c>
      <c r="V2804" s="4" t="s">
        <v>2889</v>
      </c>
      <c r="W2804" s="1"/>
      <c r="X2804" s="1" t="s">
        <v>1152</v>
      </c>
      <c r="Y2804" s="1" t="s">
        <v>1152</v>
      </c>
      <c r="Z2804" s="1"/>
      <c r="AA2804" s="1"/>
      <c r="AB2804" s="1"/>
      <c r="AC2804" s="1" t="s">
        <v>1925</v>
      </c>
      <c r="AD2804" s="1"/>
      <c r="AE2804" s="18">
        <v>46150.0</v>
      </c>
      <c r="AF2804" s="1" t="s">
        <v>1030</v>
      </c>
      <c r="AG2804" s="1" t="s">
        <v>52</v>
      </c>
      <c r="AH2804" s="1" t="s">
        <v>1152</v>
      </c>
      <c r="AI2804" s="1" t="s">
        <v>1152</v>
      </c>
      <c r="AJ2804" s="1" t="s">
        <v>2887</v>
      </c>
      <c r="AK2804" s="1" t="s">
        <v>1152</v>
      </c>
      <c r="AL2804" s="6"/>
      <c r="AM2804" s="12">
        <v>5.107081479E9</v>
      </c>
    </row>
    <row r="2805">
      <c r="A2805" s="5" t="s">
        <v>12923</v>
      </c>
      <c r="B2805" s="1" t="s">
        <v>12924</v>
      </c>
      <c r="C2805" s="1" t="s">
        <v>12925</v>
      </c>
      <c r="D2805" s="2">
        <v>6.176595918E9</v>
      </c>
      <c r="E2805" s="1" t="s">
        <v>1446</v>
      </c>
      <c r="F2805" s="1"/>
      <c r="G2805" s="1" t="s">
        <v>1448</v>
      </c>
      <c r="H2805" s="1" t="s">
        <v>1121</v>
      </c>
      <c r="I2805" s="1">
        <v>2482.0</v>
      </c>
      <c r="J2805" s="1" t="s">
        <v>752</v>
      </c>
      <c r="K2805" s="1" t="s">
        <v>2131</v>
      </c>
      <c r="L2805" s="1" t="s">
        <v>5767</v>
      </c>
      <c r="M2805" s="1">
        <v>1.0</v>
      </c>
      <c r="N2805" s="1" t="s">
        <v>1152</v>
      </c>
      <c r="O2805" s="3" t="s">
        <v>1450</v>
      </c>
      <c r="P2805" s="1" t="s">
        <v>1152</v>
      </c>
      <c r="Q2805" s="1" t="s">
        <v>1152</v>
      </c>
      <c r="R2805" s="1"/>
      <c r="S2805" s="1"/>
      <c r="T2805" s="1" t="s">
        <v>1152</v>
      </c>
      <c r="U2805" s="1" t="s">
        <v>956</v>
      </c>
      <c r="V2805" s="4" t="s">
        <v>1450</v>
      </c>
      <c r="W2805" s="1"/>
      <c r="X2805" s="1" t="s">
        <v>1152</v>
      </c>
      <c r="Y2805" s="1" t="s">
        <v>1152</v>
      </c>
      <c r="Z2805" s="1"/>
      <c r="AA2805" s="1"/>
      <c r="AB2805" s="1"/>
      <c r="AC2805" s="1" t="s">
        <v>1925</v>
      </c>
      <c r="AD2805" s="1"/>
      <c r="AE2805" s="18">
        <v>46146.0</v>
      </c>
      <c r="AF2805" s="1"/>
      <c r="AG2805" s="1"/>
      <c r="AH2805" s="1" t="s">
        <v>1152</v>
      </c>
      <c r="AI2805" s="1" t="s">
        <v>1152</v>
      </c>
      <c r="AJ2805" s="1" t="s">
        <v>12926</v>
      </c>
      <c r="AK2805" s="1" t="s">
        <v>1152</v>
      </c>
      <c r="AL2805" s="6"/>
      <c r="AM2805" s="12">
        <v>6.176595918E9</v>
      </c>
    </row>
    <row r="2806">
      <c r="A2806" s="5" t="s">
        <v>12927</v>
      </c>
      <c r="B2806" s="1" t="s">
        <v>12928</v>
      </c>
      <c r="C2806" s="1" t="s">
        <v>12929</v>
      </c>
      <c r="D2806" s="2">
        <v>3.019800344E9</v>
      </c>
      <c r="E2806" s="1" t="s">
        <v>12930</v>
      </c>
      <c r="F2806" s="1"/>
      <c r="G2806" s="1" t="s">
        <v>5624</v>
      </c>
      <c r="H2806" s="1" t="s">
        <v>1005</v>
      </c>
      <c r="I2806" s="1">
        <v>20895.0</v>
      </c>
      <c r="J2806" s="1" t="s">
        <v>752</v>
      </c>
      <c r="K2806" s="1" t="s">
        <v>42</v>
      </c>
      <c r="L2806" s="1" t="s">
        <v>6819</v>
      </c>
      <c r="M2806" s="1">
        <v>49.0</v>
      </c>
      <c r="N2806" s="1" t="s">
        <v>1152</v>
      </c>
      <c r="O2806" s="3" t="s">
        <v>422</v>
      </c>
      <c r="P2806" s="1" t="s">
        <v>1152</v>
      </c>
      <c r="Q2806" s="1" t="s">
        <v>1152</v>
      </c>
      <c r="R2806" s="1"/>
      <c r="S2806" s="1"/>
      <c r="T2806" s="1" t="s">
        <v>1152</v>
      </c>
      <c r="U2806" s="1" t="s">
        <v>1080</v>
      </c>
      <c r="V2806" s="4" t="s">
        <v>422</v>
      </c>
      <c r="W2806" s="1"/>
      <c r="X2806" s="1" t="s">
        <v>1152</v>
      </c>
      <c r="Y2806" s="1" t="s">
        <v>1152</v>
      </c>
      <c r="Z2806" s="1"/>
      <c r="AA2806" s="1"/>
      <c r="AB2806" s="1"/>
      <c r="AC2806" s="1" t="s">
        <v>1925</v>
      </c>
      <c r="AD2806" s="1"/>
      <c r="AE2806" s="18">
        <v>46147.0</v>
      </c>
      <c r="AF2806" s="1" t="s">
        <v>1030</v>
      </c>
      <c r="AG2806" s="1" t="s">
        <v>52</v>
      </c>
      <c r="AH2806" s="1" t="s">
        <v>1152</v>
      </c>
      <c r="AI2806" s="1" t="s">
        <v>1152</v>
      </c>
      <c r="AJ2806" s="1" t="s">
        <v>12931</v>
      </c>
      <c r="AK2806" s="1" t="s">
        <v>1152</v>
      </c>
      <c r="AL2806" s="6"/>
      <c r="AM2806" s="12" t="s">
        <v>12932</v>
      </c>
    </row>
    <row r="2807">
      <c r="A2807" s="5" t="s">
        <v>12933</v>
      </c>
      <c r="B2807" s="1" t="s">
        <v>12934</v>
      </c>
      <c r="C2807" s="1" t="s">
        <v>12935</v>
      </c>
      <c r="D2807" s="2">
        <v>3.14435656E9</v>
      </c>
      <c r="E2807" s="1" t="s">
        <v>4957</v>
      </c>
      <c r="F2807" s="1"/>
      <c r="G2807" s="1" t="s">
        <v>2350</v>
      </c>
      <c r="H2807" s="1" t="s">
        <v>1155</v>
      </c>
      <c r="I2807" s="1">
        <v>63110.0</v>
      </c>
      <c r="J2807" s="1" t="s">
        <v>752</v>
      </c>
      <c r="K2807" s="1" t="s">
        <v>2131</v>
      </c>
      <c r="L2807" s="1" t="s">
        <v>6107</v>
      </c>
      <c r="M2807" s="1">
        <v>1.0</v>
      </c>
      <c r="N2807" s="1" t="s">
        <v>1152</v>
      </c>
      <c r="O2807" s="3" t="s">
        <v>4958</v>
      </c>
      <c r="P2807" s="1" t="s">
        <v>1152</v>
      </c>
      <c r="Q2807" s="1" t="s">
        <v>1152</v>
      </c>
      <c r="R2807" s="1"/>
      <c r="S2807" s="1"/>
      <c r="T2807" s="1" t="s">
        <v>1152</v>
      </c>
      <c r="U2807" s="1" t="s">
        <v>4959</v>
      </c>
      <c r="V2807" s="4" t="s">
        <v>4958</v>
      </c>
      <c r="W2807" s="1"/>
      <c r="X2807" s="1" t="s">
        <v>1152</v>
      </c>
      <c r="Y2807" s="1" t="s">
        <v>1152</v>
      </c>
      <c r="Z2807" s="1"/>
      <c r="AA2807" s="1"/>
      <c r="AB2807" s="1"/>
      <c r="AC2807" s="1" t="s">
        <v>1925</v>
      </c>
      <c r="AD2807" s="1"/>
      <c r="AE2807" s="18">
        <v>46149.0</v>
      </c>
      <c r="AF2807" s="1"/>
      <c r="AG2807" s="1"/>
      <c r="AH2807" s="1" t="s">
        <v>1152</v>
      </c>
      <c r="AI2807" s="1" t="s">
        <v>1152</v>
      </c>
      <c r="AJ2807" s="1" t="s">
        <v>12936</v>
      </c>
      <c r="AK2807" s="1" t="s">
        <v>1152</v>
      </c>
      <c r="AL2807" s="6"/>
      <c r="AM2807" s="12" t="s">
        <v>12937</v>
      </c>
    </row>
    <row r="2808">
      <c r="A2808" s="5" t="s">
        <v>12938</v>
      </c>
      <c r="B2808" s="1" t="s">
        <v>12939</v>
      </c>
      <c r="C2808" s="1" t="s">
        <v>12940</v>
      </c>
      <c r="D2808" s="2">
        <v>2.026778826E9</v>
      </c>
      <c r="E2808" s="1" t="s">
        <v>5501</v>
      </c>
      <c r="F2808" s="1"/>
      <c r="G2808" s="1" t="s">
        <v>980</v>
      </c>
      <c r="H2808" s="1" t="s">
        <v>1063</v>
      </c>
      <c r="I2808" s="1">
        <v>20002.0</v>
      </c>
      <c r="J2808" s="1" t="s">
        <v>752</v>
      </c>
      <c r="K2808" s="1" t="s">
        <v>2131</v>
      </c>
      <c r="L2808" s="1" t="s">
        <v>5767</v>
      </c>
      <c r="M2808" s="1">
        <v>1.0</v>
      </c>
      <c r="N2808" s="1" t="s">
        <v>1152</v>
      </c>
      <c r="O2808" s="3" t="s">
        <v>117</v>
      </c>
      <c r="P2808" s="1" t="s">
        <v>1152</v>
      </c>
      <c r="Q2808" s="1" t="s">
        <v>1152</v>
      </c>
      <c r="R2808" s="1"/>
      <c r="S2808" s="1"/>
      <c r="T2808" s="1" t="s">
        <v>1152</v>
      </c>
      <c r="U2808" s="1" t="s">
        <v>1133</v>
      </c>
      <c r="V2808" s="4" t="s">
        <v>117</v>
      </c>
      <c r="W2808" s="1"/>
      <c r="X2808" s="1" t="s">
        <v>1152</v>
      </c>
      <c r="Y2808" s="1" t="s">
        <v>1152</v>
      </c>
      <c r="Z2808" s="1"/>
      <c r="AA2808" s="1"/>
      <c r="AB2808" s="1"/>
      <c r="AC2808" s="1" t="s">
        <v>1925</v>
      </c>
      <c r="AD2808" s="1"/>
      <c r="AE2808" s="18">
        <v>46146.0</v>
      </c>
      <c r="AF2808" s="1"/>
      <c r="AG2808" s="1"/>
      <c r="AH2808" s="1" t="s">
        <v>1152</v>
      </c>
      <c r="AI2808" s="1" t="s">
        <v>1152</v>
      </c>
      <c r="AJ2808" s="1" t="s">
        <v>12941</v>
      </c>
      <c r="AK2808" s="1" t="s">
        <v>1152</v>
      </c>
      <c r="AL2808" s="6"/>
      <c r="AM2808" s="12">
        <v>2.026778826E9</v>
      </c>
    </row>
    <row r="2809">
      <c r="A2809" s="5" t="s">
        <v>12942</v>
      </c>
      <c r="B2809" s="1" t="s">
        <v>12943</v>
      </c>
      <c r="C2809" s="1" t="s">
        <v>3073</v>
      </c>
      <c r="D2809" s="2">
        <v>3.10916677E9</v>
      </c>
      <c r="E2809" s="1" t="s">
        <v>3074</v>
      </c>
      <c r="F2809" s="1"/>
      <c r="G2809" s="1" t="s">
        <v>1179</v>
      </c>
      <c r="H2809" s="1" t="s">
        <v>989</v>
      </c>
      <c r="I2809" s="1">
        <v>90035.0</v>
      </c>
      <c r="J2809" s="1" t="s">
        <v>752</v>
      </c>
      <c r="K2809" s="1" t="s">
        <v>42</v>
      </c>
      <c r="L2809" s="1" t="s">
        <v>6819</v>
      </c>
      <c r="M2809" s="1">
        <v>49.0</v>
      </c>
      <c r="N2809" s="1" t="s">
        <v>1152</v>
      </c>
      <c r="O2809" s="3" t="s">
        <v>3075</v>
      </c>
      <c r="P2809" s="1" t="s">
        <v>1152</v>
      </c>
      <c r="Q2809" s="1" t="s">
        <v>1152</v>
      </c>
      <c r="R2809" s="1"/>
      <c r="S2809" s="1"/>
      <c r="T2809" s="1" t="s">
        <v>1152</v>
      </c>
      <c r="U2809" s="1" t="s">
        <v>1407</v>
      </c>
      <c r="V2809" s="4" t="s">
        <v>3075</v>
      </c>
      <c r="W2809" s="1"/>
      <c r="X2809" s="1" t="s">
        <v>1152</v>
      </c>
      <c r="Y2809" s="1" t="s">
        <v>1152</v>
      </c>
      <c r="Z2809" s="1"/>
      <c r="AA2809" s="1"/>
      <c r="AB2809" s="1"/>
      <c r="AC2809" s="1" t="s">
        <v>1925</v>
      </c>
      <c r="AD2809" s="1"/>
      <c r="AE2809" s="18">
        <v>46150.0</v>
      </c>
      <c r="AF2809" s="1" t="s">
        <v>1030</v>
      </c>
      <c r="AG2809" s="1" t="s">
        <v>52</v>
      </c>
      <c r="AH2809" s="1" t="s">
        <v>1152</v>
      </c>
      <c r="AI2809" s="1" t="s">
        <v>1152</v>
      </c>
      <c r="AJ2809" s="1" t="s">
        <v>12944</v>
      </c>
      <c r="AK2809" s="1" t="s">
        <v>1152</v>
      </c>
      <c r="AL2809" s="6"/>
      <c r="AM2809" s="12">
        <v>3.10916677E9</v>
      </c>
    </row>
    <row r="2810">
      <c r="A2810" s="5" t="s">
        <v>12945</v>
      </c>
      <c r="B2810" s="1" t="s">
        <v>12946</v>
      </c>
      <c r="C2810" s="1" t="s">
        <v>12947</v>
      </c>
      <c r="D2810" s="2">
        <v>9.089777736E9</v>
      </c>
      <c r="E2810" s="1" t="s">
        <v>12948</v>
      </c>
      <c r="F2810" s="1"/>
      <c r="G2810" s="1" t="s">
        <v>2428</v>
      </c>
      <c r="H2810" s="1" t="s">
        <v>751</v>
      </c>
      <c r="I2810" s="1">
        <v>10472.0</v>
      </c>
      <c r="J2810" s="1" t="s">
        <v>752</v>
      </c>
      <c r="K2810" s="1" t="s">
        <v>42</v>
      </c>
      <c r="L2810" s="1" t="s">
        <v>6819</v>
      </c>
      <c r="M2810" s="1">
        <v>49.0</v>
      </c>
      <c r="N2810" s="1" t="s">
        <v>1152</v>
      </c>
      <c r="O2810" s="3" t="s">
        <v>11609</v>
      </c>
      <c r="P2810" s="1" t="s">
        <v>1152</v>
      </c>
      <c r="Q2810" s="1" t="s">
        <v>1152</v>
      </c>
      <c r="R2810" s="1"/>
      <c r="S2810" s="1"/>
      <c r="T2810" s="1" t="s">
        <v>1152</v>
      </c>
      <c r="U2810" s="1" t="s">
        <v>7909</v>
      </c>
      <c r="V2810" s="4" t="s">
        <v>11609</v>
      </c>
      <c r="W2810" s="1"/>
      <c r="X2810" s="1" t="s">
        <v>1152</v>
      </c>
      <c r="Y2810" s="1" t="s">
        <v>1152</v>
      </c>
      <c r="Z2810" s="1"/>
      <c r="AA2810" s="1"/>
      <c r="AB2810" s="1"/>
      <c r="AC2810" s="1" t="s">
        <v>1925</v>
      </c>
      <c r="AD2810" s="1"/>
      <c r="AE2810" s="18">
        <v>46149.0</v>
      </c>
      <c r="AF2810" s="1" t="s">
        <v>1455</v>
      </c>
      <c r="AG2810" s="1" t="s">
        <v>52</v>
      </c>
      <c r="AH2810" s="1" t="s">
        <v>1152</v>
      </c>
      <c r="AI2810" s="1" t="s">
        <v>1152</v>
      </c>
      <c r="AJ2810" s="1" t="s">
        <v>12949</v>
      </c>
      <c r="AK2810" s="1" t="s">
        <v>1152</v>
      </c>
      <c r="AL2810" s="6"/>
      <c r="AM2810" s="12">
        <v>9.089777736E9</v>
      </c>
    </row>
    <row r="2811">
      <c r="A2811" s="5" t="s">
        <v>12950</v>
      </c>
      <c r="B2811" s="1" t="s">
        <v>12951</v>
      </c>
      <c r="C2811" s="1" t="s">
        <v>12952</v>
      </c>
      <c r="D2811" s="2">
        <v>9.179464246E9</v>
      </c>
      <c r="E2811" s="1" t="s">
        <v>12953</v>
      </c>
      <c r="F2811" s="1" t="s">
        <v>12954</v>
      </c>
      <c r="G2811" s="1" t="s">
        <v>751</v>
      </c>
      <c r="H2811" s="1" t="s">
        <v>751</v>
      </c>
      <c r="I2811" s="1">
        <v>10075.0</v>
      </c>
      <c r="J2811" s="1" t="s">
        <v>752</v>
      </c>
      <c r="K2811" s="1" t="s">
        <v>892</v>
      </c>
      <c r="L2811" s="1" t="s">
        <v>8006</v>
      </c>
      <c r="M2811" s="1">
        <v>49.0</v>
      </c>
      <c r="N2811" s="1" t="s">
        <v>1152</v>
      </c>
      <c r="O2811" s="3"/>
      <c r="P2811" s="1" t="s">
        <v>1152</v>
      </c>
      <c r="Q2811" s="1" t="s">
        <v>1152</v>
      </c>
      <c r="R2811" s="1" t="s">
        <v>12954</v>
      </c>
      <c r="S2811" s="1"/>
      <c r="T2811" s="1" t="s">
        <v>1152</v>
      </c>
      <c r="U2811" s="1"/>
      <c r="V2811" s="4"/>
      <c r="W2811" s="1" t="s">
        <v>12954</v>
      </c>
      <c r="X2811" s="1" t="s">
        <v>1152</v>
      </c>
      <c r="Y2811" s="1" t="s">
        <v>1152</v>
      </c>
      <c r="Z2811" s="1"/>
      <c r="AA2811" s="1" t="s">
        <v>12954</v>
      </c>
      <c r="AB2811" s="1"/>
      <c r="AC2811" s="1" t="s">
        <v>1925</v>
      </c>
      <c r="AD2811" s="1"/>
      <c r="AE2811" s="18">
        <v>46158.0</v>
      </c>
      <c r="AF2811" s="1" t="s">
        <v>1349</v>
      </c>
      <c r="AG2811" s="1" t="s">
        <v>124</v>
      </c>
      <c r="AH2811" s="1" t="s">
        <v>12955</v>
      </c>
      <c r="AI2811" s="1" t="s">
        <v>1152</v>
      </c>
      <c r="AJ2811" s="1" t="s">
        <v>12956</v>
      </c>
      <c r="AK2811" s="1" t="s">
        <v>1152</v>
      </c>
      <c r="AL2811" s="6"/>
      <c r="AM2811" s="12">
        <v>9.179464246E9</v>
      </c>
    </row>
    <row r="2812">
      <c r="A2812" s="5" t="s">
        <v>12957</v>
      </c>
      <c r="B2812" s="1" t="s">
        <v>12958</v>
      </c>
      <c r="C2812" s="1" t="s">
        <v>9001</v>
      </c>
      <c r="D2812" s="2">
        <v>9.172732413E9</v>
      </c>
      <c r="E2812" s="1" t="s">
        <v>9002</v>
      </c>
      <c r="F2812" s="1"/>
      <c r="G2812" s="1" t="s">
        <v>751</v>
      </c>
      <c r="H2812" s="1" t="s">
        <v>751</v>
      </c>
      <c r="I2812" s="1">
        <v>10023.0</v>
      </c>
      <c r="J2812" s="1" t="s">
        <v>752</v>
      </c>
      <c r="K2812" s="1" t="s">
        <v>2131</v>
      </c>
      <c r="L2812" s="1" t="s">
        <v>5811</v>
      </c>
      <c r="M2812" s="1">
        <v>1.0</v>
      </c>
      <c r="N2812" s="1" t="s">
        <v>1152</v>
      </c>
      <c r="O2812" s="3" t="s">
        <v>596</v>
      </c>
      <c r="P2812" s="1" t="s">
        <v>1152</v>
      </c>
      <c r="Q2812" s="1" t="s">
        <v>1152</v>
      </c>
      <c r="R2812" s="1"/>
      <c r="S2812" s="1"/>
      <c r="T2812" s="1" t="s">
        <v>1152</v>
      </c>
      <c r="U2812" s="1" t="s">
        <v>6053</v>
      </c>
      <c r="V2812" s="4" t="s">
        <v>596</v>
      </c>
      <c r="W2812" s="1"/>
      <c r="X2812" s="1" t="s">
        <v>1152</v>
      </c>
      <c r="Y2812" s="1" t="s">
        <v>1152</v>
      </c>
      <c r="Z2812" s="1"/>
      <c r="AA2812" s="1"/>
      <c r="AB2812" s="1"/>
      <c r="AC2812" s="1" t="s">
        <v>1925</v>
      </c>
      <c r="AD2812" s="1"/>
      <c r="AE2812" s="18">
        <v>46147.0</v>
      </c>
      <c r="AF2812" s="1"/>
      <c r="AG2812" s="1"/>
      <c r="AH2812" s="1" t="s">
        <v>1152</v>
      </c>
      <c r="AI2812" s="1" t="s">
        <v>1152</v>
      </c>
      <c r="AJ2812" s="1" t="s">
        <v>595</v>
      </c>
      <c r="AK2812" s="1" t="s">
        <v>1152</v>
      </c>
      <c r="AL2812" s="6"/>
      <c r="AM2812" s="12">
        <v>9.175756849E9</v>
      </c>
    </row>
    <row r="2813">
      <c r="A2813" s="5" t="s">
        <v>12959</v>
      </c>
      <c r="B2813" s="1" t="s">
        <v>12960</v>
      </c>
      <c r="C2813" s="1" t="s">
        <v>8938</v>
      </c>
      <c r="D2813" s="2">
        <v>5.163805641E9</v>
      </c>
      <c r="E2813" s="1" t="s">
        <v>4270</v>
      </c>
      <c r="F2813" s="1"/>
      <c r="G2813" s="1" t="s">
        <v>1485</v>
      </c>
      <c r="H2813" s="1" t="s">
        <v>751</v>
      </c>
      <c r="I2813" s="1" t="s">
        <v>4271</v>
      </c>
      <c r="J2813" s="1" t="s">
        <v>752</v>
      </c>
      <c r="K2813" s="1" t="s">
        <v>892</v>
      </c>
      <c r="L2813" s="1" t="s">
        <v>8006</v>
      </c>
      <c r="M2813" s="1">
        <v>49.0</v>
      </c>
      <c r="N2813" s="1" t="s">
        <v>1152</v>
      </c>
      <c r="O2813" s="3" t="s">
        <v>2035</v>
      </c>
      <c r="P2813" s="1" t="s">
        <v>1152</v>
      </c>
      <c r="Q2813" s="1" t="s">
        <v>1152</v>
      </c>
      <c r="R2813" s="1"/>
      <c r="S2813" s="1"/>
      <c r="T2813" s="1" t="s">
        <v>1152</v>
      </c>
      <c r="U2813" s="1" t="s">
        <v>1080</v>
      </c>
      <c r="V2813" s="4" t="s">
        <v>2035</v>
      </c>
      <c r="W2813" s="1"/>
      <c r="X2813" s="1" t="s">
        <v>1152</v>
      </c>
      <c r="Y2813" s="1" t="s">
        <v>1152</v>
      </c>
      <c r="Z2813" s="1"/>
      <c r="AA2813" s="1"/>
      <c r="AB2813" s="1"/>
      <c r="AC2813" s="1" t="s">
        <v>1925</v>
      </c>
      <c r="AD2813" s="1"/>
      <c r="AE2813" s="18">
        <v>46147.0</v>
      </c>
      <c r="AF2813" s="1" t="s">
        <v>1630</v>
      </c>
      <c r="AG2813" s="1" t="s">
        <v>52</v>
      </c>
      <c r="AH2813" s="1" t="s">
        <v>12961</v>
      </c>
      <c r="AI2813" s="1" t="s">
        <v>1152</v>
      </c>
      <c r="AJ2813" s="1" t="s">
        <v>533</v>
      </c>
      <c r="AK2813" s="1" t="s">
        <v>1152</v>
      </c>
      <c r="AL2813" s="6"/>
      <c r="AM2813" s="12">
        <v>6.462458563E9</v>
      </c>
    </row>
    <row r="2814">
      <c r="A2814" s="5" t="s">
        <v>12962</v>
      </c>
      <c r="B2814" s="1" t="s">
        <v>12963</v>
      </c>
      <c r="C2814" s="1" t="s">
        <v>12964</v>
      </c>
      <c r="D2814" s="2">
        <v>2.243003206E9</v>
      </c>
      <c r="E2814" s="1" t="s">
        <v>12965</v>
      </c>
      <c r="F2814" s="1"/>
      <c r="G2814" s="1" t="s">
        <v>5628</v>
      </c>
      <c r="H2814" s="1" t="s">
        <v>1019</v>
      </c>
      <c r="I2814" s="1">
        <v>60045.0</v>
      </c>
      <c r="J2814" s="1" t="s">
        <v>752</v>
      </c>
      <c r="K2814" s="1" t="s">
        <v>42</v>
      </c>
      <c r="L2814" s="1" t="s">
        <v>6819</v>
      </c>
      <c r="M2814" s="1">
        <v>49.0</v>
      </c>
      <c r="N2814" s="1" t="s">
        <v>1152</v>
      </c>
      <c r="O2814" s="3" t="s">
        <v>5629</v>
      </c>
      <c r="P2814" s="1" t="s">
        <v>1152</v>
      </c>
      <c r="Q2814" s="1" t="s">
        <v>1152</v>
      </c>
      <c r="R2814" s="1"/>
      <c r="S2814" s="1"/>
      <c r="T2814" s="1" t="s">
        <v>1152</v>
      </c>
      <c r="U2814" s="1" t="s">
        <v>1148</v>
      </c>
      <c r="V2814" s="4" t="s">
        <v>5629</v>
      </c>
      <c r="W2814" s="1"/>
      <c r="X2814" s="1" t="s">
        <v>1152</v>
      </c>
      <c r="Y2814" s="1" t="s">
        <v>1152</v>
      </c>
      <c r="Z2814" s="1"/>
      <c r="AA2814" s="1"/>
      <c r="AB2814" s="1"/>
      <c r="AC2814" s="1" t="s">
        <v>1925</v>
      </c>
      <c r="AD2814" s="1"/>
      <c r="AE2814" s="18">
        <v>46146.0</v>
      </c>
      <c r="AF2814" s="1" t="s">
        <v>1030</v>
      </c>
      <c r="AG2814" s="1" t="s">
        <v>52</v>
      </c>
      <c r="AH2814" s="1" t="s">
        <v>1152</v>
      </c>
      <c r="AI2814" s="1" t="s">
        <v>12966</v>
      </c>
      <c r="AJ2814" s="1" t="s">
        <v>12965</v>
      </c>
      <c r="AK2814" s="1" t="s">
        <v>1152</v>
      </c>
      <c r="AL2814" s="6"/>
      <c r="AM2814" s="12">
        <v>2.243003206E9</v>
      </c>
    </row>
    <row r="2815">
      <c r="A2815" s="5" t="s">
        <v>12967</v>
      </c>
      <c r="B2815" s="1" t="s">
        <v>12968</v>
      </c>
      <c r="C2815" s="1" t="s">
        <v>1945</v>
      </c>
      <c r="D2815" s="2">
        <v>6.306403336E9</v>
      </c>
      <c r="E2815" s="1" t="s">
        <v>12969</v>
      </c>
      <c r="F2815" s="1"/>
      <c r="G2815" s="1" t="s">
        <v>1947</v>
      </c>
      <c r="H2815" s="1" t="s">
        <v>1019</v>
      </c>
      <c r="I2815" s="1">
        <v>60504.0</v>
      </c>
      <c r="J2815" s="1" t="s">
        <v>752</v>
      </c>
      <c r="K2815" s="1" t="s">
        <v>2131</v>
      </c>
      <c r="L2815" s="1" t="s">
        <v>5811</v>
      </c>
      <c r="M2815" s="1">
        <v>1.0</v>
      </c>
      <c r="N2815" s="1" t="s">
        <v>1152</v>
      </c>
      <c r="O2815" s="3" t="s">
        <v>9788</v>
      </c>
      <c r="P2815" s="1" t="s">
        <v>1152</v>
      </c>
      <c r="Q2815" s="1" t="s">
        <v>1152</v>
      </c>
      <c r="R2815" s="1"/>
      <c r="S2815" s="1"/>
      <c r="T2815" s="1" t="s">
        <v>1152</v>
      </c>
      <c r="U2815" s="1" t="s">
        <v>1021</v>
      </c>
      <c r="V2815" s="4" t="s">
        <v>9788</v>
      </c>
      <c r="W2815" s="1"/>
      <c r="X2815" s="1" t="s">
        <v>1152</v>
      </c>
      <c r="Y2815" s="1" t="s">
        <v>1152</v>
      </c>
      <c r="Z2815" s="1"/>
      <c r="AA2815" s="1"/>
      <c r="AB2815" s="1"/>
      <c r="AC2815" s="1" t="s">
        <v>1925</v>
      </c>
      <c r="AD2815" s="1"/>
      <c r="AE2815" s="18">
        <v>46150.0</v>
      </c>
      <c r="AF2815" s="1"/>
      <c r="AG2815" s="1"/>
      <c r="AH2815" s="1" t="s">
        <v>1152</v>
      </c>
      <c r="AI2815" s="1" t="s">
        <v>1152</v>
      </c>
      <c r="AJ2815" s="1" t="s">
        <v>12969</v>
      </c>
      <c r="AK2815" s="1" t="s">
        <v>1152</v>
      </c>
      <c r="AL2815" s="6"/>
      <c r="AM2815" s="12">
        <v>6.306403336E9</v>
      </c>
    </row>
    <row r="2816">
      <c r="A2816" s="5" t="s">
        <v>12970</v>
      </c>
      <c r="B2816" s="1" t="s">
        <v>12971</v>
      </c>
      <c r="C2816" s="1" t="s">
        <v>12972</v>
      </c>
      <c r="D2816" s="2">
        <v>2.165541964E9</v>
      </c>
      <c r="E2816" s="1" t="s">
        <v>4266</v>
      </c>
      <c r="F2816" s="1"/>
      <c r="G2816" s="1" t="s">
        <v>4267</v>
      </c>
      <c r="H2816" s="1" t="s">
        <v>2171</v>
      </c>
      <c r="I2816" s="1">
        <v>44118.0</v>
      </c>
      <c r="J2816" s="1" t="s">
        <v>752</v>
      </c>
      <c r="K2816" s="1" t="s">
        <v>2131</v>
      </c>
      <c r="L2816" s="1" t="s">
        <v>5736</v>
      </c>
      <c r="M2816" s="1">
        <v>1.0</v>
      </c>
      <c r="N2816" s="1" t="s">
        <v>1152</v>
      </c>
      <c r="O2816" s="3" t="s">
        <v>3597</v>
      </c>
      <c r="P2816" s="1" t="s">
        <v>1152</v>
      </c>
      <c r="Q2816" s="1" t="s">
        <v>1152</v>
      </c>
      <c r="R2816" s="1"/>
      <c r="S2816" s="1"/>
      <c r="T2816" s="1" t="s">
        <v>1152</v>
      </c>
      <c r="U2816" s="1" t="s">
        <v>1133</v>
      </c>
      <c r="V2816" s="4" t="s">
        <v>3597</v>
      </c>
      <c r="W2816" s="1"/>
      <c r="X2816" s="1" t="s">
        <v>1152</v>
      </c>
      <c r="Y2816" s="1" t="s">
        <v>1152</v>
      </c>
      <c r="Z2816" s="1"/>
      <c r="AA2816" s="1"/>
      <c r="AB2816" s="1"/>
      <c r="AC2816" s="1" t="s">
        <v>1925</v>
      </c>
      <c r="AD2816" s="1"/>
      <c r="AE2816" s="18">
        <v>46149.0</v>
      </c>
      <c r="AF2816" s="1"/>
      <c r="AG2816" s="1"/>
      <c r="AH2816" s="1" t="s">
        <v>1152</v>
      </c>
      <c r="AI2816" s="1" t="s">
        <v>1152</v>
      </c>
      <c r="AJ2816" s="1" t="s">
        <v>12973</v>
      </c>
      <c r="AK2816" s="1" t="s">
        <v>1152</v>
      </c>
      <c r="AL2816" s="6"/>
      <c r="AM2816" s="12">
        <v>2.165541964E9</v>
      </c>
    </row>
    <row r="2817">
      <c r="A2817" s="5" t="s">
        <v>12974</v>
      </c>
      <c r="B2817" s="1" t="s">
        <v>12975</v>
      </c>
      <c r="C2817" s="1" t="s">
        <v>12976</v>
      </c>
      <c r="D2817" s="2">
        <v>6.309651871E9</v>
      </c>
      <c r="E2817" s="1" t="s">
        <v>12977</v>
      </c>
      <c r="F2817" s="1"/>
      <c r="G2817" s="1" t="s">
        <v>1018</v>
      </c>
      <c r="H2817" s="1" t="s">
        <v>1019</v>
      </c>
      <c r="I2817" s="1">
        <v>60103.0</v>
      </c>
      <c r="J2817" s="1" t="s">
        <v>752</v>
      </c>
      <c r="K2817" s="1" t="s">
        <v>2131</v>
      </c>
      <c r="L2817" s="1" t="s">
        <v>5811</v>
      </c>
      <c r="M2817" s="1">
        <v>1.0</v>
      </c>
      <c r="N2817" s="1" t="s">
        <v>1152</v>
      </c>
      <c r="O2817" s="3" t="s">
        <v>1020</v>
      </c>
      <c r="P2817" s="1" t="s">
        <v>1152</v>
      </c>
      <c r="Q2817" s="1" t="s">
        <v>1152</v>
      </c>
      <c r="R2817" s="1"/>
      <c r="S2817" s="1"/>
      <c r="T2817" s="1" t="s">
        <v>1152</v>
      </c>
      <c r="U2817" s="1" t="s">
        <v>1021</v>
      </c>
      <c r="V2817" s="4" t="s">
        <v>1020</v>
      </c>
      <c r="W2817" s="1"/>
      <c r="X2817" s="1" t="s">
        <v>1152</v>
      </c>
      <c r="Y2817" s="1" t="s">
        <v>1152</v>
      </c>
      <c r="Z2817" s="1"/>
      <c r="AA2817" s="1"/>
      <c r="AB2817" s="1"/>
      <c r="AC2817" s="1" t="s">
        <v>1925</v>
      </c>
      <c r="AD2817" s="1"/>
      <c r="AE2817" s="18">
        <v>46150.0</v>
      </c>
      <c r="AF2817" s="1"/>
      <c r="AG2817" s="1"/>
      <c r="AH2817" s="1" t="s">
        <v>1152</v>
      </c>
      <c r="AI2817" s="1" t="s">
        <v>1152</v>
      </c>
      <c r="AJ2817" s="1" t="s">
        <v>12977</v>
      </c>
      <c r="AK2817" s="1" t="s">
        <v>1152</v>
      </c>
      <c r="AL2817" s="6"/>
      <c r="AM2817" s="12">
        <v>6.309651871E9</v>
      </c>
    </row>
    <row r="2818">
      <c r="A2818" s="5" t="s">
        <v>12978</v>
      </c>
      <c r="B2818" s="1" t="s">
        <v>12979</v>
      </c>
      <c r="C2818" s="1" t="s">
        <v>12980</v>
      </c>
      <c r="D2818" s="2">
        <v>9.173700333E9</v>
      </c>
      <c r="E2818" s="1" t="s">
        <v>12981</v>
      </c>
      <c r="F2818" s="1"/>
      <c r="G2818" s="1" t="s">
        <v>3230</v>
      </c>
      <c r="H2818" s="1" t="s">
        <v>751</v>
      </c>
      <c r="I2818" s="1">
        <v>10013.0</v>
      </c>
      <c r="J2818" s="1" t="s">
        <v>752</v>
      </c>
      <c r="K2818" s="1" t="s">
        <v>42</v>
      </c>
      <c r="L2818" s="1" t="s">
        <v>7863</v>
      </c>
      <c r="M2818" s="1">
        <v>79.0</v>
      </c>
      <c r="N2818" s="1" t="s">
        <v>1152</v>
      </c>
      <c r="O2818" s="3" t="s">
        <v>204</v>
      </c>
      <c r="P2818" s="1" t="s">
        <v>1152</v>
      </c>
      <c r="Q2818" s="1" t="s">
        <v>1152</v>
      </c>
      <c r="R2818" s="1"/>
      <c r="S2818" s="1"/>
      <c r="T2818" s="1" t="s">
        <v>1152</v>
      </c>
      <c r="U2818" s="1" t="s">
        <v>1080</v>
      </c>
      <c r="V2818" s="4" t="s">
        <v>204</v>
      </c>
      <c r="W2818" s="1"/>
      <c r="X2818" s="1" t="s">
        <v>1152</v>
      </c>
      <c r="Y2818" s="1" t="s">
        <v>1152</v>
      </c>
      <c r="Z2818" s="1"/>
      <c r="AA2818" s="1"/>
      <c r="AB2818" s="1"/>
      <c r="AC2818" s="1" t="s">
        <v>1925</v>
      </c>
      <c r="AD2818" s="1"/>
      <c r="AE2818" s="18">
        <v>46148.0</v>
      </c>
      <c r="AF2818" s="1" t="s">
        <v>1349</v>
      </c>
      <c r="AG2818" s="1" t="s">
        <v>52</v>
      </c>
      <c r="AH2818" s="1" t="s">
        <v>1152</v>
      </c>
      <c r="AI2818" s="1" t="s">
        <v>1152</v>
      </c>
      <c r="AJ2818" s="1" t="s">
        <v>12982</v>
      </c>
      <c r="AK2818" s="1" t="s">
        <v>1152</v>
      </c>
      <c r="AL2818" s="6"/>
      <c r="AM2818" s="12">
        <v>9.176557723E9</v>
      </c>
    </row>
    <row r="2819">
      <c r="A2819" s="5" t="s">
        <v>12983</v>
      </c>
      <c r="B2819" s="1" t="s">
        <v>12984</v>
      </c>
      <c r="C2819" s="1" t="s">
        <v>12985</v>
      </c>
      <c r="D2819" s="2">
        <v>4.25599756E9</v>
      </c>
      <c r="E2819" s="1" t="s">
        <v>12986</v>
      </c>
      <c r="F2819" s="1" t="s">
        <v>12987</v>
      </c>
      <c r="G2819" s="1" t="s">
        <v>3741</v>
      </c>
      <c r="H2819" s="1" t="s">
        <v>1155</v>
      </c>
      <c r="I2819" s="1">
        <v>63130.0</v>
      </c>
      <c r="J2819" s="1" t="s">
        <v>752</v>
      </c>
      <c r="K2819" s="1" t="s">
        <v>892</v>
      </c>
      <c r="L2819" s="1" t="s">
        <v>8006</v>
      </c>
      <c r="M2819" s="1">
        <v>49.0</v>
      </c>
      <c r="N2819" s="1" t="s">
        <v>1152</v>
      </c>
      <c r="O2819" s="3"/>
      <c r="P2819" s="1" t="s">
        <v>1152</v>
      </c>
      <c r="Q2819" s="1" t="s">
        <v>1152</v>
      </c>
      <c r="R2819" s="1" t="s">
        <v>12987</v>
      </c>
      <c r="S2819" s="1"/>
      <c r="T2819" s="1" t="s">
        <v>1152</v>
      </c>
      <c r="U2819" s="1"/>
      <c r="V2819" s="4"/>
      <c r="W2819" s="1" t="s">
        <v>12987</v>
      </c>
      <c r="X2819" s="1" t="s">
        <v>1152</v>
      </c>
      <c r="Y2819" s="1" t="s">
        <v>1152</v>
      </c>
      <c r="Z2819" s="1"/>
      <c r="AA2819" s="1" t="s">
        <v>12987</v>
      </c>
      <c r="AB2819" s="1"/>
      <c r="AC2819" s="1" t="s">
        <v>1925</v>
      </c>
      <c r="AD2819" s="1"/>
      <c r="AE2819" s="18">
        <v>46155.0</v>
      </c>
      <c r="AF2819" s="1" t="s">
        <v>1349</v>
      </c>
      <c r="AG2819" s="1" t="s">
        <v>124</v>
      </c>
      <c r="AH2819" s="1" t="s">
        <v>12988</v>
      </c>
      <c r="AI2819" s="1" t="s">
        <v>1152</v>
      </c>
      <c r="AJ2819" s="1" t="s">
        <v>12986</v>
      </c>
      <c r="AK2819" s="1" t="s">
        <v>1152</v>
      </c>
      <c r="AL2819" s="6"/>
      <c r="AM2819" s="12">
        <v>4.25599756E9</v>
      </c>
    </row>
    <row r="2820">
      <c r="A2820" s="5" t="s">
        <v>12989</v>
      </c>
      <c r="B2820" s="1" t="s">
        <v>12990</v>
      </c>
      <c r="C2820" s="1" t="s">
        <v>12991</v>
      </c>
      <c r="D2820" s="2">
        <v>3.307345426E9</v>
      </c>
      <c r="E2820" s="1" t="s">
        <v>12992</v>
      </c>
      <c r="F2820" s="1"/>
      <c r="G2820" s="1" t="s">
        <v>5223</v>
      </c>
      <c r="H2820" s="1" t="s">
        <v>1583</v>
      </c>
      <c r="I2820" s="1">
        <v>75035.0</v>
      </c>
      <c r="J2820" s="1" t="s">
        <v>752</v>
      </c>
      <c r="K2820" s="1" t="s">
        <v>66</v>
      </c>
      <c r="L2820" s="1" t="s">
        <v>5767</v>
      </c>
      <c r="M2820" s="1">
        <v>210.0</v>
      </c>
      <c r="N2820" s="1" t="s">
        <v>1152</v>
      </c>
      <c r="O2820" s="3" t="s">
        <v>12993</v>
      </c>
      <c r="P2820" s="18">
        <v>46249.0</v>
      </c>
      <c r="Q2820" s="1" t="s">
        <v>1152</v>
      </c>
      <c r="R2820" s="1"/>
      <c r="S2820" s="1"/>
      <c r="T2820" s="1" t="s">
        <v>1152</v>
      </c>
      <c r="U2820" s="1" t="s">
        <v>102</v>
      </c>
      <c r="V2820" s="4" t="s">
        <v>12993</v>
      </c>
      <c r="W2820" s="1"/>
      <c r="X2820" s="18">
        <v>46249.0</v>
      </c>
      <c r="Y2820" s="1" t="s">
        <v>1152</v>
      </c>
      <c r="Z2820" s="1"/>
      <c r="AA2820" s="1"/>
      <c r="AB2820" s="1"/>
      <c r="AC2820" s="1" t="s">
        <v>1925</v>
      </c>
      <c r="AD2820" s="1"/>
      <c r="AE2820" s="1" t="s">
        <v>1152</v>
      </c>
      <c r="AF2820" s="1"/>
      <c r="AG2820" s="1"/>
      <c r="AH2820" s="1" t="s">
        <v>1152</v>
      </c>
      <c r="AI2820" s="1" t="s">
        <v>1152</v>
      </c>
      <c r="AJ2820" s="1" t="s">
        <v>12994</v>
      </c>
      <c r="AK2820" s="1" t="s">
        <v>1152</v>
      </c>
      <c r="AL2820" s="6"/>
      <c r="AM2820" s="12">
        <v>4.699266363E9</v>
      </c>
    </row>
    <row r="2821">
      <c r="A2821" s="5" t="s">
        <v>12995</v>
      </c>
      <c r="B2821" s="1" t="s">
        <v>12996</v>
      </c>
      <c r="C2821" s="1" t="s">
        <v>12997</v>
      </c>
      <c r="D2821" s="2">
        <v>7.063126727E9</v>
      </c>
      <c r="E2821" s="1" t="s">
        <v>12998</v>
      </c>
      <c r="F2821" s="1"/>
      <c r="G2821" s="1" t="s">
        <v>12999</v>
      </c>
      <c r="H2821" s="1" t="s">
        <v>946</v>
      </c>
      <c r="I2821" s="1">
        <v>30809.0</v>
      </c>
      <c r="J2821" s="1" t="s">
        <v>752</v>
      </c>
      <c r="K2821" s="1" t="s">
        <v>42</v>
      </c>
      <c r="L2821" s="1" t="s">
        <v>7863</v>
      </c>
      <c r="M2821" s="1">
        <v>79.0</v>
      </c>
      <c r="N2821" s="1" t="s">
        <v>1152</v>
      </c>
      <c r="O2821" s="3" t="s">
        <v>198</v>
      </c>
      <c r="P2821" s="1" t="s">
        <v>1152</v>
      </c>
      <c r="Q2821" s="1" t="s">
        <v>1152</v>
      </c>
      <c r="R2821" s="1"/>
      <c r="S2821" s="1"/>
      <c r="T2821" s="1" t="s">
        <v>1152</v>
      </c>
      <c r="U2821" s="1" t="s">
        <v>1148</v>
      </c>
      <c r="V2821" s="4" t="s">
        <v>198</v>
      </c>
      <c r="W2821" s="1"/>
      <c r="X2821" s="1" t="s">
        <v>1152</v>
      </c>
      <c r="Y2821" s="1" t="s">
        <v>1152</v>
      </c>
      <c r="Z2821" s="1"/>
      <c r="AA2821" s="1"/>
      <c r="AB2821" s="1"/>
      <c r="AC2821" s="1" t="s">
        <v>1925</v>
      </c>
      <c r="AD2821" s="1"/>
      <c r="AE2821" s="18">
        <v>46149.0</v>
      </c>
      <c r="AF2821" s="1" t="s">
        <v>1030</v>
      </c>
      <c r="AG2821" s="1" t="s">
        <v>52</v>
      </c>
      <c r="AH2821" s="1" t="s">
        <v>1152</v>
      </c>
      <c r="AI2821" s="1" t="s">
        <v>1152</v>
      </c>
      <c r="AJ2821" s="1" t="s">
        <v>12998</v>
      </c>
      <c r="AK2821" s="1" t="s">
        <v>1152</v>
      </c>
      <c r="AL2821" s="6"/>
      <c r="AM2821" s="12">
        <v>3.143991327E9</v>
      </c>
    </row>
    <row r="2822">
      <c r="A2822" s="5" t="s">
        <v>13000</v>
      </c>
      <c r="B2822" s="1" t="s">
        <v>13001</v>
      </c>
      <c r="C2822" s="1" t="s">
        <v>3297</v>
      </c>
      <c r="D2822" s="2">
        <v>3.016130363E9</v>
      </c>
      <c r="E2822" s="1" t="s">
        <v>6509</v>
      </c>
      <c r="F2822" s="1"/>
      <c r="G2822" s="1" t="s">
        <v>3299</v>
      </c>
      <c r="H2822" s="1" t="s">
        <v>1005</v>
      </c>
      <c r="I2822" s="1">
        <v>20782.0</v>
      </c>
      <c r="J2822" s="1" t="s">
        <v>752</v>
      </c>
      <c r="K2822" s="1" t="s">
        <v>42</v>
      </c>
      <c r="L2822" s="1" t="s">
        <v>6819</v>
      </c>
      <c r="M2822" s="1">
        <v>49.0</v>
      </c>
      <c r="N2822" s="1" t="s">
        <v>1152</v>
      </c>
      <c r="O2822" s="3" t="s">
        <v>3300</v>
      </c>
      <c r="P2822" s="1" t="s">
        <v>1152</v>
      </c>
      <c r="Q2822" s="1" t="s">
        <v>1152</v>
      </c>
      <c r="R2822" s="1"/>
      <c r="S2822" s="1"/>
      <c r="T2822" s="1" t="s">
        <v>1152</v>
      </c>
      <c r="U2822" s="1" t="s">
        <v>1407</v>
      </c>
      <c r="V2822" s="4" t="s">
        <v>3300</v>
      </c>
      <c r="W2822" s="1"/>
      <c r="X2822" s="1" t="s">
        <v>1152</v>
      </c>
      <c r="Y2822" s="1" t="s">
        <v>1152</v>
      </c>
      <c r="Z2822" s="1"/>
      <c r="AA2822" s="1"/>
      <c r="AB2822" s="1"/>
      <c r="AC2822" s="1" t="s">
        <v>1925</v>
      </c>
      <c r="AD2822" s="1"/>
      <c r="AE2822" s="18">
        <v>46149.0</v>
      </c>
      <c r="AF2822" s="1" t="s">
        <v>3186</v>
      </c>
      <c r="AG2822" s="1" t="s">
        <v>52</v>
      </c>
      <c r="AH2822" s="1" t="s">
        <v>1152</v>
      </c>
      <c r="AI2822" s="1" t="s">
        <v>1152</v>
      </c>
      <c r="AJ2822" s="1" t="s">
        <v>6509</v>
      </c>
      <c r="AK2822" s="1" t="s">
        <v>1152</v>
      </c>
      <c r="AL2822" s="6"/>
      <c r="AM2822" s="12">
        <v>3.016130363E9</v>
      </c>
    </row>
    <row r="2823">
      <c r="A2823" s="5" t="s">
        <v>13002</v>
      </c>
      <c r="B2823" s="1" t="s">
        <v>13003</v>
      </c>
      <c r="C2823" s="1" t="s">
        <v>9490</v>
      </c>
      <c r="D2823" s="2">
        <v>6.179702248E9</v>
      </c>
      <c r="E2823" s="1" t="s">
        <v>9491</v>
      </c>
      <c r="F2823" s="1"/>
      <c r="G2823" s="1" t="s">
        <v>13004</v>
      </c>
      <c r="H2823" s="1" t="s">
        <v>1121</v>
      </c>
      <c r="I2823" s="1">
        <v>2461.0</v>
      </c>
      <c r="J2823" s="1" t="s">
        <v>752</v>
      </c>
      <c r="K2823" s="1" t="s">
        <v>892</v>
      </c>
      <c r="L2823" s="1" t="s">
        <v>8006</v>
      </c>
      <c r="M2823" s="1">
        <v>49.0</v>
      </c>
      <c r="N2823" s="1" t="s">
        <v>1152</v>
      </c>
      <c r="O2823" s="3" t="s">
        <v>1012</v>
      </c>
      <c r="P2823" s="1" t="s">
        <v>1152</v>
      </c>
      <c r="Q2823" s="1" t="s">
        <v>1152</v>
      </c>
      <c r="R2823" s="1"/>
      <c r="S2823" s="1"/>
      <c r="T2823" s="1" t="s">
        <v>1152</v>
      </c>
      <c r="U2823" s="1" t="s">
        <v>1039</v>
      </c>
      <c r="V2823" s="4" t="s">
        <v>1012</v>
      </c>
      <c r="W2823" s="1"/>
      <c r="X2823" s="1" t="s">
        <v>1152</v>
      </c>
      <c r="Y2823" s="1" t="s">
        <v>1152</v>
      </c>
      <c r="Z2823" s="1"/>
      <c r="AA2823" s="1"/>
      <c r="AB2823" s="1"/>
      <c r="AC2823" s="1" t="s">
        <v>1925</v>
      </c>
      <c r="AD2823" s="1"/>
      <c r="AE2823" s="18">
        <v>46146.0</v>
      </c>
      <c r="AF2823" s="1" t="s">
        <v>1030</v>
      </c>
      <c r="AG2823" s="1" t="s">
        <v>52</v>
      </c>
      <c r="AH2823" s="1" t="s">
        <v>13005</v>
      </c>
      <c r="AI2823" s="1" t="s">
        <v>1152</v>
      </c>
      <c r="AJ2823" s="1" t="s">
        <v>9491</v>
      </c>
      <c r="AK2823" s="1" t="s">
        <v>1152</v>
      </c>
      <c r="AL2823" s="6"/>
      <c r="AM2823" s="12">
        <v>6.179702248E9</v>
      </c>
    </row>
    <row r="2824">
      <c r="A2824" s="5" t="s">
        <v>13006</v>
      </c>
      <c r="B2824" s="1" t="s">
        <v>13007</v>
      </c>
      <c r="C2824" s="1" t="s">
        <v>13008</v>
      </c>
      <c r="D2824" s="2">
        <v>3.143932318E9</v>
      </c>
      <c r="E2824" s="1" t="s">
        <v>13009</v>
      </c>
      <c r="F2824" s="1"/>
      <c r="G2824" s="1" t="s">
        <v>2350</v>
      </c>
      <c r="H2824" s="1" t="s">
        <v>1155</v>
      </c>
      <c r="I2824" s="1">
        <v>63105.0</v>
      </c>
      <c r="J2824" s="1" t="s">
        <v>752</v>
      </c>
      <c r="K2824" s="1" t="s">
        <v>42</v>
      </c>
      <c r="L2824" s="1" t="s">
        <v>6819</v>
      </c>
      <c r="M2824" s="1">
        <v>49.0</v>
      </c>
      <c r="N2824" s="1" t="s">
        <v>1152</v>
      </c>
      <c r="O2824" s="3" t="s">
        <v>576</v>
      </c>
      <c r="P2824" s="1" t="s">
        <v>1152</v>
      </c>
      <c r="Q2824" s="1" t="s">
        <v>1152</v>
      </c>
      <c r="R2824" s="1"/>
      <c r="S2824" s="1"/>
      <c r="T2824" s="1" t="s">
        <v>1152</v>
      </c>
      <c r="U2824" s="1" t="s">
        <v>1148</v>
      </c>
      <c r="V2824" s="4" t="s">
        <v>576</v>
      </c>
      <c r="W2824" s="1"/>
      <c r="X2824" s="1" t="s">
        <v>1152</v>
      </c>
      <c r="Y2824" s="1" t="s">
        <v>1152</v>
      </c>
      <c r="Z2824" s="1"/>
      <c r="AA2824" s="1"/>
      <c r="AB2824" s="1"/>
      <c r="AC2824" s="1" t="s">
        <v>1925</v>
      </c>
      <c r="AD2824" s="1"/>
      <c r="AE2824" s="18">
        <v>46146.0</v>
      </c>
      <c r="AF2824" s="1" t="s">
        <v>1630</v>
      </c>
      <c r="AG2824" s="1" t="s">
        <v>52</v>
      </c>
      <c r="AH2824" s="1" t="s">
        <v>1152</v>
      </c>
      <c r="AI2824" s="1" t="s">
        <v>1152</v>
      </c>
      <c r="AJ2824" s="1" t="s">
        <v>13009</v>
      </c>
      <c r="AK2824" s="1" t="s">
        <v>1152</v>
      </c>
      <c r="AL2824" s="6"/>
      <c r="AM2824" s="12">
        <v>3.143932318E9</v>
      </c>
    </row>
    <row r="2825">
      <c r="A2825" s="5" t="s">
        <v>13010</v>
      </c>
      <c r="B2825" s="1" t="s">
        <v>13011</v>
      </c>
      <c r="C2825" s="1" t="s">
        <v>13012</v>
      </c>
      <c r="D2825" s="2">
        <v>6.183834825E9</v>
      </c>
      <c r="E2825" s="1" t="s">
        <v>2255</v>
      </c>
      <c r="F2825" s="1"/>
      <c r="G2825" s="1" t="s">
        <v>2256</v>
      </c>
      <c r="H2825" s="1" t="s">
        <v>1019</v>
      </c>
      <c r="I2825" s="1">
        <v>62821.0</v>
      </c>
      <c r="J2825" s="1" t="s">
        <v>752</v>
      </c>
      <c r="K2825" s="1" t="s">
        <v>2131</v>
      </c>
      <c r="L2825" s="1" t="s">
        <v>5811</v>
      </c>
      <c r="M2825" s="1">
        <v>1.0</v>
      </c>
      <c r="N2825" s="1" t="s">
        <v>1152</v>
      </c>
      <c r="O2825" s="3" t="s">
        <v>13013</v>
      </c>
      <c r="P2825" s="1" t="s">
        <v>1152</v>
      </c>
      <c r="Q2825" s="1" t="s">
        <v>1152</v>
      </c>
      <c r="R2825" s="1"/>
      <c r="S2825" s="1"/>
      <c r="T2825" s="1" t="s">
        <v>1152</v>
      </c>
      <c r="U2825" s="1" t="s">
        <v>1249</v>
      </c>
      <c r="V2825" s="4" t="s">
        <v>13013</v>
      </c>
      <c r="W2825" s="1"/>
      <c r="X2825" s="1" t="s">
        <v>1152</v>
      </c>
      <c r="Y2825" s="1" t="s">
        <v>1152</v>
      </c>
      <c r="Z2825" s="1"/>
      <c r="AA2825" s="1"/>
      <c r="AB2825" s="1"/>
      <c r="AC2825" s="1" t="s">
        <v>1925</v>
      </c>
      <c r="AD2825" s="1"/>
      <c r="AE2825" s="18">
        <v>46148.0</v>
      </c>
      <c r="AF2825" s="1"/>
      <c r="AG2825" s="1"/>
      <c r="AH2825" s="1" t="s">
        <v>1152</v>
      </c>
      <c r="AI2825" s="1" t="s">
        <v>1152</v>
      </c>
      <c r="AJ2825" s="1" t="s">
        <v>13014</v>
      </c>
      <c r="AK2825" s="1" t="s">
        <v>1152</v>
      </c>
      <c r="AL2825" s="6"/>
      <c r="AM2825" s="12">
        <v>6.183836054E9</v>
      </c>
    </row>
    <row r="2826">
      <c r="A2826" s="5" t="s">
        <v>13015</v>
      </c>
      <c r="B2826" s="1" t="s">
        <v>13016</v>
      </c>
      <c r="C2826" s="1" t="s">
        <v>13017</v>
      </c>
      <c r="D2826" s="2">
        <v>4.08359787E9</v>
      </c>
      <c r="E2826" s="1" t="s">
        <v>7896</v>
      </c>
      <c r="F2826" s="1"/>
      <c r="G2826" s="1" t="s">
        <v>3678</v>
      </c>
      <c r="H2826" s="1" t="s">
        <v>989</v>
      </c>
      <c r="I2826" s="1">
        <v>95070.0</v>
      </c>
      <c r="J2826" s="1" t="s">
        <v>752</v>
      </c>
      <c r="K2826" s="1" t="s">
        <v>2131</v>
      </c>
      <c r="L2826" s="1" t="s">
        <v>5811</v>
      </c>
      <c r="M2826" s="1">
        <v>1.0</v>
      </c>
      <c r="N2826" s="1" t="s">
        <v>1152</v>
      </c>
      <c r="O2826" s="3" t="s">
        <v>2093</v>
      </c>
      <c r="P2826" s="1" t="s">
        <v>1152</v>
      </c>
      <c r="Q2826" s="1" t="s">
        <v>1152</v>
      </c>
      <c r="R2826" s="1"/>
      <c r="S2826" s="1"/>
      <c r="T2826" s="1" t="s">
        <v>1152</v>
      </c>
      <c r="U2826" s="1" t="s">
        <v>982</v>
      </c>
      <c r="V2826" s="4" t="s">
        <v>2093</v>
      </c>
      <c r="W2826" s="1"/>
      <c r="X2826" s="1" t="s">
        <v>1152</v>
      </c>
      <c r="Y2826" s="1" t="s">
        <v>1152</v>
      </c>
      <c r="Z2826" s="1"/>
      <c r="AA2826" s="1"/>
      <c r="AB2826" s="1"/>
      <c r="AC2826" s="1" t="s">
        <v>1925</v>
      </c>
      <c r="AD2826" s="1"/>
      <c r="AE2826" s="18">
        <v>46149.0</v>
      </c>
      <c r="AF2826" s="1"/>
      <c r="AG2826" s="1"/>
      <c r="AH2826" s="1" t="s">
        <v>1152</v>
      </c>
      <c r="AI2826" s="1" t="s">
        <v>1152</v>
      </c>
      <c r="AJ2826" s="1" t="s">
        <v>7896</v>
      </c>
      <c r="AK2826" s="1" t="s">
        <v>1152</v>
      </c>
      <c r="AL2826" s="6"/>
      <c r="AM2826" s="12">
        <v>4.08359787E9</v>
      </c>
    </row>
    <row r="2827">
      <c r="A2827" s="5" t="s">
        <v>13018</v>
      </c>
      <c r="B2827" s="1" t="s">
        <v>13019</v>
      </c>
      <c r="C2827" s="1" t="s">
        <v>1151</v>
      </c>
      <c r="D2827" s="2">
        <v>9.254087907E9</v>
      </c>
      <c r="E2827" s="1" t="s">
        <v>2960</v>
      </c>
      <c r="F2827" s="1"/>
      <c r="G2827" s="1" t="s">
        <v>1154</v>
      </c>
      <c r="H2827" s="1" t="s">
        <v>989</v>
      </c>
      <c r="I2827" s="1">
        <v>94549.0</v>
      </c>
      <c r="J2827" s="1" t="s">
        <v>752</v>
      </c>
      <c r="K2827" s="1" t="s">
        <v>2131</v>
      </c>
      <c r="L2827" s="1" t="s">
        <v>5767</v>
      </c>
      <c r="M2827" s="1">
        <v>1.0</v>
      </c>
      <c r="N2827" s="1" t="s">
        <v>1152</v>
      </c>
      <c r="O2827" s="3" t="s">
        <v>1046</v>
      </c>
      <c r="P2827" s="1" t="s">
        <v>1152</v>
      </c>
      <c r="Q2827" s="1" t="s">
        <v>1152</v>
      </c>
      <c r="R2827" s="1"/>
      <c r="S2827" s="1"/>
      <c r="T2827" s="1" t="s">
        <v>1152</v>
      </c>
      <c r="U2827" s="1" t="s">
        <v>982</v>
      </c>
      <c r="V2827" s="4" t="s">
        <v>1046</v>
      </c>
      <c r="W2827" s="1"/>
      <c r="X2827" s="1" t="s">
        <v>1152</v>
      </c>
      <c r="Y2827" s="1" t="s">
        <v>1152</v>
      </c>
      <c r="Z2827" s="1"/>
      <c r="AA2827" s="1"/>
      <c r="AB2827" s="1"/>
      <c r="AC2827" s="1" t="s">
        <v>1925</v>
      </c>
      <c r="AD2827" s="1"/>
      <c r="AE2827" s="18">
        <v>46146.0</v>
      </c>
      <c r="AF2827" s="1"/>
      <c r="AG2827" s="1"/>
      <c r="AH2827" s="1" t="s">
        <v>1152</v>
      </c>
      <c r="AI2827" s="1" t="s">
        <v>1152</v>
      </c>
      <c r="AJ2827" s="1" t="s">
        <v>13020</v>
      </c>
      <c r="AK2827" s="1" t="s">
        <v>1152</v>
      </c>
      <c r="AL2827" s="6"/>
      <c r="AM2827" s="12">
        <v>9.254510694E9</v>
      </c>
    </row>
    <row r="2828">
      <c r="A2828" s="5" t="s">
        <v>13021</v>
      </c>
      <c r="B2828" s="1" t="s">
        <v>13022</v>
      </c>
      <c r="C2828" s="1" t="s">
        <v>13023</v>
      </c>
      <c r="D2828" s="2">
        <v>8.166945523E9</v>
      </c>
      <c r="E2828" s="1" t="s">
        <v>13024</v>
      </c>
      <c r="F2828" s="1"/>
      <c r="G2828" s="1" t="s">
        <v>1886</v>
      </c>
      <c r="H2828" s="1" t="s">
        <v>1155</v>
      </c>
      <c r="I2828" s="1">
        <v>64127.0</v>
      </c>
      <c r="J2828" s="1" t="s">
        <v>752</v>
      </c>
      <c r="K2828" s="1" t="s">
        <v>2131</v>
      </c>
      <c r="L2828" s="1" t="s">
        <v>5736</v>
      </c>
      <c r="M2828" s="1">
        <v>1.0</v>
      </c>
      <c r="N2828" s="1" t="s">
        <v>1152</v>
      </c>
      <c r="O2828" s="3" t="s">
        <v>5708</v>
      </c>
      <c r="P2828" s="1" t="s">
        <v>1152</v>
      </c>
      <c r="Q2828" s="1" t="s">
        <v>1152</v>
      </c>
      <c r="R2828" s="1"/>
      <c r="S2828" s="1"/>
      <c r="T2828" s="1" t="s">
        <v>1152</v>
      </c>
      <c r="U2828" s="1" t="s">
        <v>1249</v>
      </c>
      <c r="V2828" s="4" t="s">
        <v>5708</v>
      </c>
      <c r="W2828" s="1"/>
      <c r="X2828" s="1" t="s">
        <v>1152</v>
      </c>
      <c r="Y2828" s="1" t="s">
        <v>1152</v>
      </c>
      <c r="Z2828" s="1"/>
      <c r="AA2828" s="1"/>
      <c r="AB2828" s="1"/>
      <c r="AC2828" s="1" t="s">
        <v>1925</v>
      </c>
      <c r="AD2828" s="1"/>
      <c r="AE2828" s="18">
        <v>46148.0</v>
      </c>
      <c r="AF2828" s="1"/>
      <c r="AG2828" s="1"/>
      <c r="AH2828" s="1" t="s">
        <v>1152</v>
      </c>
      <c r="AI2828" s="1" t="s">
        <v>1152</v>
      </c>
      <c r="AJ2828" s="1" t="s">
        <v>13024</v>
      </c>
      <c r="AK2828" s="1" t="s">
        <v>1152</v>
      </c>
      <c r="AL2828" s="6"/>
      <c r="AM2828" s="12">
        <v>8.166945523E9</v>
      </c>
    </row>
    <row r="2829">
      <c r="A2829" s="5" t="s">
        <v>13025</v>
      </c>
      <c r="B2829" s="1" t="s">
        <v>13026</v>
      </c>
      <c r="C2829" s="1" t="s">
        <v>13027</v>
      </c>
      <c r="D2829" s="2">
        <v>8.179445645E9</v>
      </c>
      <c r="E2829" s="1" t="s">
        <v>13028</v>
      </c>
      <c r="F2829" s="1"/>
      <c r="G2829" s="1" t="s">
        <v>2301</v>
      </c>
      <c r="H2829" s="1" t="s">
        <v>1583</v>
      </c>
      <c r="I2829" s="1">
        <v>76092.0</v>
      </c>
      <c r="J2829" s="1" t="s">
        <v>752</v>
      </c>
      <c r="K2829" s="1" t="s">
        <v>42</v>
      </c>
      <c r="L2829" s="1" t="s">
        <v>6819</v>
      </c>
      <c r="M2829" s="1">
        <v>49.0</v>
      </c>
      <c r="N2829" s="1" t="s">
        <v>1152</v>
      </c>
      <c r="O2829" s="3" t="s">
        <v>13029</v>
      </c>
      <c r="P2829" s="1" t="s">
        <v>1152</v>
      </c>
      <c r="Q2829" s="1" t="s">
        <v>1152</v>
      </c>
      <c r="R2829" s="1"/>
      <c r="S2829" s="1"/>
      <c r="T2829" s="1" t="s">
        <v>1152</v>
      </c>
      <c r="U2829" s="1" t="s">
        <v>956</v>
      </c>
      <c r="V2829" s="4" t="s">
        <v>13029</v>
      </c>
      <c r="W2829" s="1"/>
      <c r="X2829" s="1" t="s">
        <v>1152</v>
      </c>
      <c r="Y2829" s="1" t="s">
        <v>1152</v>
      </c>
      <c r="Z2829" s="1"/>
      <c r="AA2829" s="1"/>
      <c r="AB2829" s="1"/>
      <c r="AC2829" s="1" t="s">
        <v>1925</v>
      </c>
      <c r="AD2829" s="1"/>
      <c r="AE2829" s="18">
        <v>46148.0</v>
      </c>
      <c r="AF2829" s="1" t="s">
        <v>1349</v>
      </c>
      <c r="AG2829" s="1" t="s">
        <v>52</v>
      </c>
      <c r="AH2829" s="1" t="s">
        <v>1152</v>
      </c>
      <c r="AI2829" s="1" t="s">
        <v>1152</v>
      </c>
      <c r="AJ2829" s="1" t="s">
        <v>13030</v>
      </c>
      <c r="AK2829" s="1" t="s">
        <v>1152</v>
      </c>
      <c r="AL2829" s="6"/>
      <c r="AM2829" s="12">
        <v>8.179445645E9</v>
      </c>
    </row>
    <row r="2830">
      <c r="A2830" s="5" t="s">
        <v>13031</v>
      </c>
      <c r="B2830" s="1" t="s">
        <v>13032</v>
      </c>
      <c r="C2830" s="1" t="s">
        <v>13033</v>
      </c>
      <c r="D2830" s="2">
        <v>9.179924215E9</v>
      </c>
      <c r="E2830" s="1" t="s">
        <v>13034</v>
      </c>
      <c r="F2830" s="1" t="s">
        <v>13035</v>
      </c>
      <c r="G2830" s="1" t="s">
        <v>13036</v>
      </c>
      <c r="H2830" s="1" t="s">
        <v>13037</v>
      </c>
      <c r="I2830" s="1">
        <v>2906.0</v>
      </c>
      <c r="J2830" s="1" t="s">
        <v>752</v>
      </c>
      <c r="K2830" s="1" t="s">
        <v>892</v>
      </c>
      <c r="L2830" s="1" t="s">
        <v>8006</v>
      </c>
      <c r="M2830" s="1">
        <v>49.0</v>
      </c>
      <c r="N2830" s="1" t="s">
        <v>1152</v>
      </c>
      <c r="O2830" s="3"/>
      <c r="P2830" s="1" t="s">
        <v>1152</v>
      </c>
      <c r="Q2830" s="1" t="s">
        <v>1152</v>
      </c>
      <c r="R2830" s="1" t="s">
        <v>13035</v>
      </c>
      <c r="S2830" s="1"/>
      <c r="T2830" s="1" t="s">
        <v>1152</v>
      </c>
      <c r="U2830" s="1"/>
      <c r="V2830" s="4"/>
      <c r="W2830" s="1" t="s">
        <v>13035</v>
      </c>
      <c r="X2830" s="1" t="s">
        <v>1152</v>
      </c>
      <c r="Y2830" s="1" t="s">
        <v>1152</v>
      </c>
      <c r="Z2830" s="1"/>
      <c r="AA2830" s="1" t="s">
        <v>13035</v>
      </c>
      <c r="AB2830" s="1"/>
      <c r="AC2830" s="1" t="s">
        <v>1925</v>
      </c>
      <c r="AD2830" s="1"/>
      <c r="AE2830" s="18">
        <v>46158.0</v>
      </c>
      <c r="AF2830" s="1" t="s">
        <v>1349</v>
      </c>
      <c r="AG2830" s="1" t="s">
        <v>124</v>
      </c>
      <c r="AH2830" s="1" t="s">
        <v>13038</v>
      </c>
      <c r="AI2830" s="1" t="s">
        <v>13039</v>
      </c>
      <c r="AJ2830" s="1" t="s">
        <v>13034</v>
      </c>
      <c r="AK2830" s="1" t="s">
        <v>1152</v>
      </c>
      <c r="AL2830" s="6"/>
      <c r="AM2830" s="12">
        <v>4.016261401E9</v>
      </c>
    </row>
    <row r="2831">
      <c r="A2831" s="5" t="s">
        <v>13040</v>
      </c>
      <c r="B2831" s="1" t="s">
        <v>13041</v>
      </c>
      <c r="C2831" s="1" t="s">
        <v>5429</v>
      </c>
      <c r="D2831" s="2">
        <v>2.025792931E9</v>
      </c>
      <c r="E2831" s="1" t="s">
        <v>5430</v>
      </c>
      <c r="F2831" s="1"/>
      <c r="G2831" s="1" t="s">
        <v>5431</v>
      </c>
      <c r="H2831" s="1" t="s">
        <v>1005</v>
      </c>
      <c r="I2831" s="1">
        <v>20854.0</v>
      </c>
      <c r="J2831" s="1" t="s">
        <v>752</v>
      </c>
      <c r="K2831" s="1" t="s">
        <v>2131</v>
      </c>
      <c r="L2831" s="1" t="s">
        <v>5767</v>
      </c>
      <c r="M2831" s="1">
        <v>1.0</v>
      </c>
      <c r="N2831" s="1" t="s">
        <v>1152</v>
      </c>
      <c r="O2831" s="3" t="s">
        <v>5432</v>
      </c>
      <c r="P2831" s="1" t="s">
        <v>1152</v>
      </c>
      <c r="Q2831" s="1" t="s">
        <v>1152</v>
      </c>
      <c r="R2831" s="1"/>
      <c r="S2831" s="1"/>
      <c r="T2831" s="1" t="s">
        <v>1152</v>
      </c>
      <c r="U2831" s="1" t="s">
        <v>1749</v>
      </c>
      <c r="V2831" s="4" t="s">
        <v>5432</v>
      </c>
      <c r="W2831" s="1"/>
      <c r="X2831" s="1" t="s">
        <v>1152</v>
      </c>
      <c r="Y2831" s="1" t="s">
        <v>1152</v>
      </c>
      <c r="Z2831" s="1"/>
      <c r="AA2831" s="1"/>
      <c r="AB2831" s="1"/>
      <c r="AC2831" s="1" t="s">
        <v>1925</v>
      </c>
      <c r="AD2831" s="1"/>
      <c r="AE2831" s="18">
        <v>46149.0</v>
      </c>
      <c r="AF2831" s="1"/>
      <c r="AG2831" s="1"/>
      <c r="AH2831" s="1" t="s">
        <v>1152</v>
      </c>
      <c r="AI2831" s="1" t="s">
        <v>1152</v>
      </c>
      <c r="AJ2831" s="1" t="s">
        <v>5430</v>
      </c>
      <c r="AK2831" s="1" t="s">
        <v>1152</v>
      </c>
      <c r="AL2831" s="6"/>
      <c r="AM2831" s="12">
        <v>2.025792931E9</v>
      </c>
    </row>
    <row r="2832">
      <c r="A2832" s="5" t="s">
        <v>13042</v>
      </c>
      <c r="B2832" s="1" t="s">
        <v>13043</v>
      </c>
      <c r="C2832" s="1" t="s">
        <v>13044</v>
      </c>
      <c r="D2832" s="2">
        <v>8.453763895E9</v>
      </c>
      <c r="E2832" s="1" t="s">
        <v>13045</v>
      </c>
      <c r="F2832" s="1"/>
      <c r="G2832" s="1" t="s">
        <v>13046</v>
      </c>
      <c r="H2832" s="1" t="s">
        <v>751</v>
      </c>
      <c r="I2832" s="1">
        <v>10968.0</v>
      </c>
      <c r="J2832" s="1" t="s">
        <v>752</v>
      </c>
      <c r="K2832" s="1" t="s">
        <v>42</v>
      </c>
      <c r="L2832" s="1" t="s">
        <v>6819</v>
      </c>
      <c r="M2832" s="1">
        <v>49.0</v>
      </c>
      <c r="N2832" s="1" t="s">
        <v>1152</v>
      </c>
      <c r="O2832" s="3" t="s">
        <v>1079</v>
      </c>
      <c r="P2832" s="1" t="s">
        <v>1152</v>
      </c>
      <c r="Q2832" s="1" t="s">
        <v>1152</v>
      </c>
      <c r="R2832" s="1"/>
      <c r="S2832" s="1"/>
      <c r="T2832" s="1" t="s">
        <v>1152</v>
      </c>
      <c r="U2832" s="1" t="s">
        <v>1080</v>
      </c>
      <c r="V2832" s="4" t="s">
        <v>1079</v>
      </c>
      <c r="W2832" s="1"/>
      <c r="X2832" s="1" t="s">
        <v>1152</v>
      </c>
      <c r="Y2832" s="1" t="s">
        <v>1152</v>
      </c>
      <c r="Z2832" s="1"/>
      <c r="AA2832" s="1"/>
      <c r="AB2832" s="1"/>
      <c r="AC2832" s="1" t="s">
        <v>1925</v>
      </c>
      <c r="AD2832" s="1"/>
      <c r="AE2832" s="18">
        <v>46149.0</v>
      </c>
      <c r="AF2832" s="1" t="s">
        <v>1030</v>
      </c>
      <c r="AG2832" s="1" t="s">
        <v>52</v>
      </c>
      <c r="AH2832" s="1" t="s">
        <v>1152</v>
      </c>
      <c r="AI2832" s="1" t="s">
        <v>1152</v>
      </c>
      <c r="AJ2832" s="1" t="s">
        <v>13047</v>
      </c>
      <c r="AK2832" s="1" t="s">
        <v>1152</v>
      </c>
      <c r="AL2832" s="6"/>
      <c r="AM2832" s="12" t="s">
        <v>13048</v>
      </c>
    </row>
    <row r="2833">
      <c r="A2833" s="5" t="s">
        <v>13049</v>
      </c>
      <c r="B2833" s="1" t="s">
        <v>13050</v>
      </c>
      <c r="C2833" s="1" t="s">
        <v>2780</v>
      </c>
      <c r="D2833" s="2">
        <v>9.178415578E9</v>
      </c>
      <c r="E2833" s="1" t="s">
        <v>2781</v>
      </c>
      <c r="F2833" s="1"/>
      <c r="G2833" s="1" t="s">
        <v>751</v>
      </c>
      <c r="H2833" s="1" t="s">
        <v>751</v>
      </c>
      <c r="I2833" s="1">
        <v>10023.0</v>
      </c>
      <c r="J2833" s="1" t="s">
        <v>752</v>
      </c>
      <c r="K2833" s="1" t="s">
        <v>892</v>
      </c>
      <c r="L2833" s="1" t="s">
        <v>8006</v>
      </c>
      <c r="M2833" s="1">
        <v>49.0</v>
      </c>
      <c r="N2833" s="1" t="s">
        <v>1152</v>
      </c>
      <c r="O2833" s="3" t="s">
        <v>6336</v>
      </c>
      <c r="P2833" s="1" t="s">
        <v>1152</v>
      </c>
      <c r="Q2833" s="1" t="s">
        <v>1152</v>
      </c>
      <c r="R2833" s="1"/>
      <c r="S2833" s="1"/>
      <c r="T2833" s="1" t="s">
        <v>1152</v>
      </c>
      <c r="U2833" s="1" t="s">
        <v>1812</v>
      </c>
      <c r="V2833" s="4" t="s">
        <v>6336</v>
      </c>
      <c r="W2833" s="1"/>
      <c r="X2833" s="1" t="s">
        <v>1152</v>
      </c>
      <c r="Y2833" s="1" t="s">
        <v>1152</v>
      </c>
      <c r="Z2833" s="1"/>
      <c r="AA2833" s="1"/>
      <c r="AB2833" s="1"/>
      <c r="AC2833" s="1" t="s">
        <v>1925</v>
      </c>
      <c r="AD2833" s="1"/>
      <c r="AE2833" s="18">
        <v>46148.0</v>
      </c>
      <c r="AF2833" s="1" t="s">
        <v>1030</v>
      </c>
      <c r="AG2833" s="1" t="s">
        <v>52</v>
      </c>
      <c r="AH2833" s="1" t="s">
        <v>13051</v>
      </c>
      <c r="AI2833" s="1" t="s">
        <v>13052</v>
      </c>
      <c r="AJ2833" s="1" t="s">
        <v>6337</v>
      </c>
      <c r="AK2833" s="1" t="s">
        <v>1152</v>
      </c>
      <c r="AL2833" s="6"/>
      <c r="AM2833" s="12" t="s">
        <v>13053</v>
      </c>
    </row>
    <row r="2834">
      <c r="A2834" s="5" t="s">
        <v>13054</v>
      </c>
      <c r="B2834" s="1" t="s">
        <v>13055</v>
      </c>
      <c r="C2834" s="1" t="s">
        <v>11778</v>
      </c>
      <c r="D2834" s="2">
        <v>6.462295856E9</v>
      </c>
      <c r="E2834" s="1" t="s">
        <v>11779</v>
      </c>
      <c r="F2834" s="1"/>
      <c r="G2834" s="1" t="s">
        <v>2715</v>
      </c>
      <c r="H2834" s="1" t="s">
        <v>1583</v>
      </c>
      <c r="I2834" s="1">
        <v>75244.0</v>
      </c>
      <c r="J2834" s="1" t="s">
        <v>752</v>
      </c>
      <c r="K2834" s="1" t="s">
        <v>42</v>
      </c>
      <c r="L2834" s="1" t="s">
        <v>6819</v>
      </c>
      <c r="M2834" s="1">
        <v>49.0</v>
      </c>
      <c r="N2834" s="1" t="s">
        <v>1152</v>
      </c>
      <c r="O2834" s="3" t="s">
        <v>11780</v>
      </c>
      <c r="P2834" s="1" t="s">
        <v>1152</v>
      </c>
      <c r="Q2834" s="1" t="s">
        <v>1152</v>
      </c>
      <c r="R2834" s="1"/>
      <c r="S2834" s="1"/>
      <c r="T2834" s="1" t="s">
        <v>1152</v>
      </c>
      <c r="U2834" s="1" t="s">
        <v>1710</v>
      </c>
      <c r="V2834" s="4" t="s">
        <v>11780</v>
      </c>
      <c r="W2834" s="1"/>
      <c r="X2834" s="1" t="s">
        <v>1152</v>
      </c>
      <c r="Y2834" s="1" t="s">
        <v>1152</v>
      </c>
      <c r="Z2834" s="1"/>
      <c r="AA2834" s="1"/>
      <c r="AB2834" s="1"/>
      <c r="AC2834" s="1" t="s">
        <v>1925</v>
      </c>
      <c r="AD2834" s="1"/>
      <c r="AE2834" s="18">
        <v>46150.0</v>
      </c>
      <c r="AF2834" s="1" t="s">
        <v>1030</v>
      </c>
      <c r="AG2834" s="1" t="s">
        <v>52</v>
      </c>
      <c r="AH2834" s="1" t="s">
        <v>1152</v>
      </c>
      <c r="AI2834" s="1" t="s">
        <v>1152</v>
      </c>
      <c r="AJ2834" s="1" t="s">
        <v>11781</v>
      </c>
      <c r="AK2834" s="1" t="s">
        <v>1152</v>
      </c>
      <c r="AL2834" s="6"/>
      <c r="AM2834" s="12">
        <v>9.727302959E9</v>
      </c>
    </row>
    <row r="2835">
      <c r="A2835" s="5" t="s">
        <v>13056</v>
      </c>
      <c r="B2835" s="1" t="s">
        <v>13057</v>
      </c>
      <c r="C2835" s="1" t="s">
        <v>13058</v>
      </c>
      <c r="D2835" s="2">
        <v>3.14766374E9</v>
      </c>
      <c r="E2835" s="1" t="s">
        <v>13059</v>
      </c>
      <c r="F2835" s="1"/>
      <c r="G2835" s="1" t="s">
        <v>2350</v>
      </c>
      <c r="H2835" s="1" t="s">
        <v>1155</v>
      </c>
      <c r="I2835" s="1">
        <v>63112.0</v>
      </c>
      <c r="J2835" s="1" t="s">
        <v>752</v>
      </c>
      <c r="K2835" s="1" t="s">
        <v>892</v>
      </c>
      <c r="L2835" s="1" t="s">
        <v>8006</v>
      </c>
      <c r="M2835" s="1">
        <v>49.0</v>
      </c>
      <c r="N2835" s="1" t="s">
        <v>1152</v>
      </c>
      <c r="O2835" s="3" t="s">
        <v>1362</v>
      </c>
      <c r="P2835" s="1" t="s">
        <v>1152</v>
      </c>
      <c r="Q2835" s="1" t="s">
        <v>1152</v>
      </c>
      <c r="R2835" s="1"/>
      <c r="S2835" s="1"/>
      <c r="T2835" s="1" t="s">
        <v>1152</v>
      </c>
      <c r="U2835" s="1" t="s">
        <v>1343</v>
      </c>
      <c r="V2835" s="4" t="s">
        <v>1362</v>
      </c>
      <c r="W2835" s="1"/>
      <c r="X2835" s="1" t="s">
        <v>1152</v>
      </c>
      <c r="Y2835" s="1" t="s">
        <v>1152</v>
      </c>
      <c r="Z2835" s="1"/>
      <c r="AA2835" s="1"/>
      <c r="AB2835" s="1"/>
      <c r="AC2835" s="1" t="s">
        <v>1925</v>
      </c>
      <c r="AD2835" s="1"/>
      <c r="AE2835" s="18">
        <v>46147.0</v>
      </c>
      <c r="AF2835" s="1" t="s">
        <v>1630</v>
      </c>
      <c r="AG2835" s="1" t="s">
        <v>52</v>
      </c>
      <c r="AH2835" s="1" t="s">
        <v>13060</v>
      </c>
      <c r="AI2835" s="1" t="s">
        <v>1152</v>
      </c>
      <c r="AJ2835" s="1" t="s">
        <v>13059</v>
      </c>
      <c r="AK2835" s="1" t="s">
        <v>1152</v>
      </c>
      <c r="AL2835" s="6"/>
      <c r="AM2835" s="12">
        <v>3.14766374E9</v>
      </c>
    </row>
    <row r="2836">
      <c r="A2836" s="5" t="s">
        <v>13061</v>
      </c>
      <c r="B2836" s="1" t="s">
        <v>13062</v>
      </c>
      <c r="C2836" s="1" t="s">
        <v>13063</v>
      </c>
      <c r="D2836" s="2">
        <v>7.03901145E9</v>
      </c>
      <c r="E2836" s="1" t="s">
        <v>13064</v>
      </c>
      <c r="F2836" s="1"/>
      <c r="G2836" s="1" t="s">
        <v>1037</v>
      </c>
      <c r="H2836" s="1" t="s">
        <v>1038</v>
      </c>
      <c r="I2836" s="1" t="s">
        <v>13065</v>
      </c>
      <c r="J2836" s="1" t="s">
        <v>752</v>
      </c>
      <c r="K2836" s="1" t="s">
        <v>42</v>
      </c>
      <c r="L2836" s="1" t="s">
        <v>6819</v>
      </c>
      <c r="M2836" s="1">
        <v>49.0</v>
      </c>
      <c r="N2836" s="1" t="s">
        <v>1152</v>
      </c>
      <c r="O2836" s="3" t="s">
        <v>8851</v>
      </c>
      <c r="P2836" s="1" t="s">
        <v>1152</v>
      </c>
      <c r="Q2836" s="1" t="s">
        <v>1152</v>
      </c>
      <c r="R2836" s="1"/>
      <c r="S2836" s="1"/>
      <c r="T2836" s="1" t="s">
        <v>1152</v>
      </c>
      <c r="U2836" s="1" t="s">
        <v>1039</v>
      </c>
      <c r="V2836" s="4" t="s">
        <v>8851</v>
      </c>
      <c r="W2836" s="1"/>
      <c r="X2836" s="1" t="s">
        <v>1152</v>
      </c>
      <c r="Y2836" s="1" t="s">
        <v>1152</v>
      </c>
      <c r="Z2836" s="1"/>
      <c r="AA2836" s="1"/>
      <c r="AB2836" s="1"/>
      <c r="AC2836" s="1" t="s">
        <v>1925</v>
      </c>
      <c r="AD2836" s="1"/>
      <c r="AE2836" s="18">
        <v>46147.0</v>
      </c>
      <c r="AF2836" s="1" t="s">
        <v>1103</v>
      </c>
      <c r="AG2836" s="1" t="s">
        <v>52</v>
      </c>
      <c r="AH2836" s="1" t="s">
        <v>1152</v>
      </c>
      <c r="AI2836" s="1" t="s">
        <v>1152</v>
      </c>
      <c r="AJ2836" s="1" t="s">
        <v>13064</v>
      </c>
      <c r="AK2836" s="1" t="s">
        <v>1152</v>
      </c>
      <c r="AL2836" s="6"/>
      <c r="AM2836" s="12">
        <v>7.03901145E9</v>
      </c>
    </row>
    <row r="2837">
      <c r="A2837" s="5" t="s">
        <v>13066</v>
      </c>
      <c r="B2837" s="1" t="s">
        <v>13067</v>
      </c>
      <c r="C2837" s="1" t="s">
        <v>7332</v>
      </c>
      <c r="D2837" s="2">
        <v>3.475142278E9</v>
      </c>
      <c r="E2837" s="1" t="s">
        <v>13068</v>
      </c>
      <c r="F2837" s="1"/>
      <c r="G2837" s="1" t="s">
        <v>751</v>
      </c>
      <c r="H2837" s="1" t="s">
        <v>751</v>
      </c>
      <c r="I2837" s="1">
        <v>10024.0</v>
      </c>
      <c r="J2837" s="1" t="s">
        <v>752</v>
      </c>
      <c r="K2837" s="1" t="s">
        <v>42</v>
      </c>
      <c r="L2837" s="1" t="s">
        <v>6819</v>
      </c>
      <c r="M2837" s="1">
        <v>49.0</v>
      </c>
      <c r="N2837" s="1" t="s">
        <v>1152</v>
      </c>
      <c r="O2837" s="3" t="s">
        <v>7334</v>
      </c>
      <c r="P2837" s="1" t="s">
        <v>1152</v>
      </c>
      <c r="Q2837" s="1" t="s">
        <v>1152</v>
      </c>
      <c r="R2837" s="1"/>
      <c r="S2837" s="1"/>
      <c r="T2837" s="1" t="s">
        <v>1152</v>
      </c>
      <c r="U2837" s="1" t="s">
        <v>1441</v>
      </c>
      <c r="V2837" s="4" t="s">
        <v>7334</v>
      </c>
      <c r="W2837" s="1"/>
      <c r="X2837" s="1" t="s">
        <v>1152</v>
      </c>
      <c r="Y2837" s="1" t="s">
        <v>1152</v>
      </c>
      <c r="Z2837" s="1"/>
      <c r="AA2837" s="1"/>
      <c r="AB2837" s="1"/>
      <c r="AC2837" s="1" t="s">
        <v>1925</v>
      </c>
      <c r="AD2837" s="1"/>
      <c r="AE2837" s="18">
        <v>46148.0</v>
      </c>
      <c r="AF2837" s="1" t="s">
        <v>1030</v>
      </c>
      <c r="AG2837" s="1" t="s">
        <v>52</v>
      </c>
      <c r="AH2837" s="1" t="s">
        <v>1152</v>
      </c>
      <c r="AI2837" s="1" t="s">
        <v>13069</v>
      </c>
      <c r="AJ2837" s="1" t="s">
        <v>7335</v>
      </c>
      <c r="AK2837" s="1" t="s">
        <v>1152</v>
      </c>
      <c r="AL2837" s="6"/>
      <c r="AM2837" s="12">
        <v>3.475142278E9</v>
      </c>
    </row>
    <row r="2838">
      <c r="A2838" s="5" t="s">
        <v>13070</v>
      </c>
      <c r="B2838" s="1" t="s">
        <v>13071</v>
      </c>
      <c r="C2838" s="1" t="s">
        <v>5959</v>
      </c>
      <c r="D2838" s="2">
        <v>9.178484128E9</v>
      </c>
      <c r="E2838" s="1" t="s">
        <v>1575</v>
      </c>
      <c r="F2838" s="1"/>
      <c r="G2838" s="1" t="s">
        <v>751</v>
      </c>
      <c r="H2838" s="1" t="s">
        <v>751</v>
      </c>
      <c r="I2838" s="1">
        <v>10023.0</v>
      </c>
      <c r="J2838" s="1" t="s">
        <v>752</v>
      </c>
      <c r="K2838" s="1" t="s">
        <v>2131</v>
      </c>
      <c r="L2838" s="1" t="s">
        <v>5767</v>
      </c>
      <c r="M2838" s="1">
        <v>1.0</v>
      </c>
      <c r="N2838" s="1" t="s">
        <v>1152</v>
      </c>
      <c r="O2838" s="3" t="s">
        <v>4406</v>
      </c>
      <c r="P2838" s="1" t="s">
        <v>1152</v>
      </c>
      <c r="Q2838" s="1" t="s">
        <v>1152</v>
      </c>
      <c r="R2838" s="1"/>
      <c r="S2838" s="1"/>
      <c r="T2838" s="1" t="s">
        <v>1152</v>
      </c>
      <c r="U2838" s="1" t="s">
        <v>1249</v>
      </c>
      <c r="V2838" s="4" t="s">
        <v>4406</v>
      </c>
      <c r="W2838" s="1"/>
      <c r="X2838" s="1" t="s">
        <v>1152</v>
      </c>
      <c r="Y2838" s="1" t="s">
        <v>1152</v>
      </c>
      <c r="Z2838" s="1"/>
      <c r="AA2838" s="1"/>
      <c r="AB2838" s="1"/>
      <c r="AC2838" s="1" t="s">
        <v>1925</v>
      </c>
      <c r="AD2838" s="1"/>
      <c r="AE2838" s="18">
        <v>46149.0</v>
      </c>
      <c r="AF2838" s="1"/>
      <c r="AG2838" s="1"/>
      <c r="AH2838" s="1" t="s">
        <v>1152</v>
      </c>
      <c r="AI2838" s="1" t="s">
        <v>1152</v>
      </c>
      <c r="AJ2838" s="1" t="s">
        <v>5962</v>
      </c>
      <c r="AK2838" s="1" t="s">
        <v>1152</v>
      </c>
      <c r="AL2838" s="6"/>
      <c r="AM2838" s="12">
        <v>6.466569592E9</v>
      </c>
    </row>
    <row r="2839">
      <c r="A2839" s="5" t="s">
        <v>13072</v>
      </c>
      <c r="B2839" s="1" t="s">
        <v>13073</v>
      </c>
      <c r="C2839" s="1" t="s">
        <v>5959</v>
      </c>
      <c r="D2839" s="2">
        <v>9.178484128E9</v>
      </c>
      <c r="E2839" s="1" t="s">
        <v>1575</v>
      </c>
      <c r="F2839" s="1"/>
      <c r="G2839" s="1" t="s">
        <v>751</v>
      </c>
      <c r="H2839" s="1" t="s">
        <v>751</v>
      </c>
      <c r="I2839" s="1">
        <v>10023.0</v>
      </c>
      <c r="J2839" s="1" t="s">
        <v>752</v>
      </c>
      <c r="K2839" s="1" t="s">
        <v>42</v>
      </c>
      <c r="L2839" s="1" t="s">
        <v>6819</v>
      </c>
      <c r="M2839" s="1">
        <v>49.0</v>
      </c>
      <c r="N2839" s="1" t="s">
        <v>1152</v>
      </c>
      <c r="O2839" s="3" t="s">
        <v>4406</v>
      </c>
      <c r="P2839" s="1" t="s">
        <v>1152</v>
      </c>
      <c r="Q2839" s="1" t="s">
        <v>1152</v>
      </c>
      <c r="R2839" s="1"/>
      <c r="S2839" s="1"/>
      <c r="T2839" s="1" t="s">
        <v>1152</v>
      </c>
      <c r="U2839" s="1" t="s">
        <v>1249</v>
      </c>
      <c r="V2839" s="4" t="s">
        <v>4406</v>
      </c>
      <c r="W2839" s="1"/>
      <c r="X2839" s="1" t="s">
        <v>1152</v>
      </c>
      <c r="Y2839" s="1" t="s">
        <v>1152</v>
      </c>
      <c r="Z2839" s="1"/>
      <c r="AA2839" s="1"/>
      <c r="AB2839" s="1"/>
      <c r="AC2839" s="1" t="s">
        <v>1925</v>
      </c>
      <c r="AD2839" s="1"/>
      <c r="AE2839" s="18">
        <v>46148.0</v>
      </c>
      <c r="AF2839" s="1" t="s">
        <v>1030</v>
      </c>
      <c r="AG2839" s="1" t="s">
        <v>52</v>
      </c>
      <c r="AH2839" s="1" t="s">
        <v>1152</v>
      </c>
      <c r="AI2839" s="1" t="s">
        <v>13074</v>
      </c>
      <c r="AJ2839" s="1" t="s">
        <v>5962</v>
      </c>
      <c r="AK2839" s="1" t="s">
        <v>1152</v>
      </c>
      <c r="AL2839" s="6"/>
      <c r="AM2839" s="12">
        <v>6.466569592E9</v>
      </c>
    </row>
    <row r="2840">
      <c r="A2840" s="5" t="s">
        <v>13075</v>
      </c>
      <c r="B2840" s="1" t="s">
        <v>13076</v>
      </c>
      <c r="C2840" s="1" t="s">
        <v>13077</v>
      </c>
      <c r="D2840" s="2">
        <v>5.054635464E9</v>
      </c>
      <c r="E2840" s="1" t="s">
        <v>13078</v>
      </c>
      <c r="F2840" s="1"/>
      <c r="G2840" s="1" t="s">
        <v>1027</v>
      </c>
      <c r="H2840" s="1" t="s">
        <v>1028</v>
      </c>
      <c r="I2840" s="1">
        <v>87108.0</v>
      </c>
      <c r="J2840" s="1" t="s">
        <v>752</v>
      </c>
      <c r="K2840" s="1" t="s">
        <v>42</v>
      </c>
      <c r="L2840" s="1" t="s">
        <v>6819</v>
      </c>
      <c r="M2840" s="1">
        <v>49.0</v>
      </c>
      <c r="N2840" s="1" t="s">
        <v>1152</v>
      </c>
      <c r="O2840" s="3" t="s">
        <v>2423</v>
      </c>
      <c r="P2840" s="1" t="s">
        <v>1152</v>
      </c>
      <c r="Q2840" s="1" t="s">
        <v>1152</v>
      </c>
      <c r="R2840" s="1"/>
      <c r="S2840" s="1"/>
      <c r="T2840" s="1" t="s">
        <v>1152</v>
      </c>
      <c r="U2840" s="1" t="s">
        <v>7909</v>
      </c>
      <c r="V2840" s="4" t="s">
        <v>2423</v>
      </c>
      <c r="W2840" s="1"/>
      <c r="X2840" s="1" t="s">
        <v>1152</v>
      </c>
      <c r="Y2840" s="1" t="s">
        <v>1152</v>
      </c>
      <c r="Z2840" s="1"/>
      <c r="AA2840" s="1"/>
      <c r="AB2840" s="1"/>
      <c r="AC2840" s="1" t="s">
        <v>1925</v>
      </c>
      <c r="AD2840" s="1"/>
      <c r="AE2840" s="18">
        <v>46149.0</v>
      </c>
      <c r="AF2840" s="1" t="s">
        <v>1349</v>
      </c>
      <c r="AG2840" s="1" t="s">
        <v>52</v>
      </c>
      <c r="AH2840" s="1" t="s">
        <v>1152</v>
      </c>
      <c r="AI2840" s="1" t="s">
        <v>1152</v>
      </c>
      <c r="AJ2840" s="1" t="s">
        <v>13079</v>
      </c>
      <c r="AK2840" s="1" t="s">
        <v>1152</v>
      </c>
      <c r="AL2840" s="6"/>
      <c r="AM2840" s="12">
        <v>5.056009625E9</v>
      </c>
    </row>
    <row r="2841">
      <c r="A2841" s="5" t="s">
        <v>13080</v>
      </c>
      <c r="B2841" s="1" t="s">
        <v>13081</v>
      </c>
      <c r="C2841" s="1" t="s">
        <v>13082</v>
      </c>
      <c r="D2841" s="2">
        <v>5.572289461E9</v>
      </c>
      <c r="E2841" s="1" t="s">
        <v>13083</v>
      </c>
      <c r="F2841" s="1"/>
      <c r="G2841" s="1" t="s">
        <v>2857</v>
      </c>
      <c r="H2841" s="1" t="s">
        <v>1155</v>
      </c>
      <c r="I2841" s="1">
        <v>63105.0</v>
      </c>
      <c r="J2841" s="1" t="s">
        <v>752</v>
      </c>
      <c r="K2841" s="1" t="s">
        <v>42</v>
      </c>
      <c r="L2841" s="1" t="s">
        <v>7863</v>
      </c>
      <c r="M2841" s="1">
        <v>79.0</v>
      </c>
      <c r="N2841" s="1" t="s">
        <v>1152</v>
      </c>
      <c r="O2841" s="3" t="s">
        <v>13084</v>
      </c>
      <c r="P2841" s="1" t="s">
        <v>1152</v>
      </c>
      <c r="Q2841" s="1" t="s">
        <v>1152</v>
      </c>
      <c r="R2841" s="1"/>
      <c r="S2841" s="1"/>
      <c r="T2841" s="1" t="s">
        <v>1152</v>
      </c>
      <c r="U2841" s="1" t="s">
        <v>982</v>
      </c>
      <c r="V2841" s="4" t="s">
        <v>13084</v>
      </c>
      <c r="W2841" s="1"/>
      <c r="X2841" s="1" t="s">
        <v>1152</v>
      </c>
      <c r="Y2841" s="1" t="s">
        <v>1152</v>
      </c>
      <c r="Z2841" s="1"/>
      <c r="AA2841" s="1"/>
      <c r="AB2841" s="1"/>
      <c r="AC2841" s="1" t="s">
        <v>1925</v>
      </c>
      <c r="AD2841" s="1"/>
      <c r="AE2841" s="18">
        <v>46149.0</v>
      </c>
      <c r="AF2841" s="1" t="s">
        <v>1030</v>
      </c>
      <c r="AG2841" s="1" t="s">
        <v>52</v>
      </c>
      <c r="AH2841" s="1" t="s">
        <v>1152</v>
      </c>
      <c r="AI2841" s="1" t="s">
        <v>1152</v>
      </c>
      <c r="AJ2841" s="1" t="s">
        <v>13083</v>
      </c>
      <c r="AK2841" s="1" t="s">
        <v>1152</v>
      </c>
      <c r="AL2841" s="6"/>
      <c r="AM2841" s="12">
        <v>5.572289461E9</v>
      </c>
    </row>
    <row r="2842">
      <c r="A2842" s="5" t="s">
        <v>13085</v>
      </c>
      <c r="B2842" s="1" t="s">
        <v>13086</v>
      </c>
      <c r="C2842" s="1" t="s">
        <v>13087</v>
      </c>
      <c r="D2842" s="2">
        <v>4.042683403E9</v>
      </c>
      <c r="E2842" s="1" t="s">
        <v>13088</v>
      </c>
      <c r="F2842" s="1"/>
      <c r="G2842" s="1" t="s">
        <v>2179</v>
      </c>
      <c r="H2842" s="1" t="s">
        <v>946</v>
      </c>
      <c r="I2842" s="1">
        <v>30311.0</v>
      </c>
      <c r="J2842" s="1" t="s">
        <v>752</v>
      </c>
      <c r="K2842" s="1" t="s">
        <v>42</v>
      </c>
      <c r="L2842" s="1" t="s">
        <v>6819</v>
      </c>
      <c r="M2842" s="1">
        <v>49.0</v>
      </c>
      <c r="N2842" s="1" t="s">
        <v>1152</v>
      </c>
      <c r="O2842" s="3" t="s">
        <v>3251</v>
      </c>
      <c r="P2842" s="1" t="s">
        <v>1152</v>
      </c>
      <c r="Q2842" s="1" t="s">
        <v>1152</v>
      </c>
      <c r="R2842" s="1"/>
      <c r="S2842" s="1"/>
      <c r="T2842" s="1" t="s">
        <v>1152</v>
      </c>
      <c r="U2842" s="1" t="s">
        <v>1812</v>
      </c>
      <c r="V2842" s="4" t="s">
        <v>3251</v>
      </c>
      <c r="W2842" s="1"/>
      <c r="X2842" s="1" t="s">
        <v>1152</v>
      </c>
      <c r="Y2842" s="1" t="s">
        <v>1152</v>
      </c>
      <c r="Z2842" s="1"/>
      <c r="AA2842" s="1"/>
      <c r="AB2842" s="1"/>
      <c r="AC2842" s="1" t="s">
        <v>1925</v>
      </c>
      <c r="AD2842" s="1"/>
      <c r="AE2842" s="18">
        <v>46156.0</v>
      </c>
      <c r="AF2842" s="1" t="s">
        <v>1440</v>
      </c>
      <c r="AG2842" s="1" t="s">
        <v>52</v>
      </c>
      <c r="AH2842" s="1" t="s">
        <v>1152</v>
      </c>
      <c r="AI2842" s="1" t="s">
        <v>1152</v>
      </c>
      <c r="AJ2842" s="1" t="s">
        <v>13089</v>
      </c>
      <c r="AK2842" s="1" t="s">
        <v>1152</v>
      </c>
      <c r="AL2842" s="6"/>
      <c r="AM2842" s="12">
        <v>4.042683403E9</v>
      </c>
    </row>
    <row r="2843">
      <c r="A2843" s="5" t="s">
        <v>13090</v>
      </c>
      <c r="B2843" s="1" t="s">
        <v>13091</v>
      </c>
      <c r="C2843" s="1" t="s">
        <v>13092</v>
      </c>
      <c r="D2843" s="2">
        <v>6.30796126E9</v>
      </c>
      <c r="E2843" s="1" t="s">
        <v>13093</v>
      </c>
      <c r="F2843" s="1"/>
      <c r="G2843" s="1" t="s">
        <v>6812</v>
      </c>
      <c r="H2843" s="1" t="s">
        <v>1019</v>
      </c>
      <c r="I2843" s="1">
        <v>60516.0</v>
      </c>
      <c r="J2843" s="1" t="s">
        <v>752</v>
      </c>
      <c r="K2843" s="1" t="s">
        <v>2131</v>
      </c>
      <c r="L2843" s="1" t="s">
        <v>5767</v>
      </c>
      <c r="M2843" s="1">
        <v>1.0</v>
      </c>
      <c r="N2843" s="1" t="s">
        <v>1152</v>
      </c>
      <c r="O2843" s="3" t="s">
        <v>12207</v>
      </c>
      <c r="P2843" s="1" t="s">
        <v>1152</v>
      </c>
      <c r="Q2843" s="1" t="s">
        <v>1152</v>
      </c>
      <c r="R2843" s="1"/>
      <c r="S2843" s="1"/>
      <c r="T2843" s="1" t="s">
        <v>1152</v>
      </c>
      <c r="U2843" s="1" t="s">
        <v>1201</v>
      </c>
      <c r="V2843" s="4" t="s">
        <v>12207</v>
      </c>
      <c r="W2843" s="1"/>
      <c r="X2843" s="1" t="s">
        <v>1152</v>
      </c>
      <c r="Y2843" s="1" t="s">
        <v>1152</v>
      </c>
      <c r="Z2843" s="1"/>
      <c r="AA2843" s="1"/>
      <c r="AB2843" s="1"/>
      <c r="AC2843" s="1" t="s">
        <v>1925</v>
      </c>
      <c r="AD2843" s="1"/>
      <c r="AE2843" s="18">
        <v>46146.0</v>
      </c>
      <c r="AF2843" s="1"/>
      <c r="AG2843" s="1"/>
      <c r="AH2843" s="1" t="s">
        <v>1152</v>
      </c>
      <c r="AI2843" s="1" t="s">
        <v>1152</v>
      </c>
      <c r="AJ2843" s="1" t="s">
        <v>13093</v>
      </c>
      <c r="AK2843" s="1" t="s">
        <v>1152</v>
      </c>
      <c r="AL2843" s="6"/>
      <c r="AM2843" s="12">
        <v>6.30796126E9</v>
      </c>
    </row>
    <row r="2844">
      <c r="A2844" s="5" t="s">
        <v>13094</v>
      </c>
      <c r="B2844" s="1" t="s">
        <v>13095</v>
      </c>
      <c r="C2844" s="1" t="s">
        <v>13096</v>
      </c>
      <c r="D2844" s="2">
        <v>2.022775295E9</v>
      </c>
      <c r="E2844" s="1" t="s">
        <v>13097</v>
      </c>
      <c r="F2844" s="1"/>
      <c r="G2844" s="1" t="s">
        <v>1037</v>
      </c>
      <c r="H2844" s="1" t="s">
        <v>1038</v>
      </c>
      <c r="I2844" s="1">
        <v>22207.0</v>
      </c>
      <c r="J2844" s="1" t="s">
        <v>752</v>
      </c>
      <c r="K2844" s="1" t="s">
        <v>42</v>
      </c>
      <c r="L2844" s="1" t="s">
        <v>8784</v>
      </c>
      <c r="M2844" s="1">
        <v>109.0</v>
      </c>
      <c r="N2844" s="1" t="s">
        <v>1152</v>
      </c>
      <c r="O2844" s="3" t="s">
        <v>4288</v>
      </c>
      <c r="P2844" s="1" t="s">
        <v>1152</v>
      </c>
      <c r="Q2844" s="1" t="s">
        <v>1152</v>
      </c>
      <c r="R2844" s="1"/>
      <c r="S2844" s="1"/>
      <c r="T2844" s="1" t="s">
        <v>1152</v>
      </c>
      <c r="U2844" s="1" t="s">
        <v>2437</v>
      </c>
      <c r="V2844" s="4" t="s">
        <v>4288</v>
      </c>
      <c r="W2844" s="1"/>
      <c r="X2844" s="1" t="s">
        <v>1152</v>
      </c>
      <c r="Y2844" s="1" t="s">
        <v>1152</v>
      </c>
      <c r="Z2844" s="1"/>
      <c r="AA2844" s="1"/>
      <c r="AB2844" s="1"/>
      <c r="AC2844" s="1" t="s">
        <v>1925</v>
      </c>
      <c r="AD2844" s="1"/>
      <c r="AE2844" s="18">
        <v>46149.0</v>
      </c>
      <c r="AF2844" s="1" t="s">
        <v>1030</v>
      </c>
      <c r="AG2844" s="1" t="s">
        <v>52</v>
      </c>
      <c r="AH2844" s="1" t="s">
        <v>1152</v>
      </c>
      <c r="AI2844" s="1" t="s">
        <v>1152</v>
      </c>
      <c r="AJ2844" s="1" t="s">
        <v>7683</v>
      </c>
      <c r="AK2844" s="1" t="s">
        <v>1152</v>
      </c>
      <c r="AL2844" s="6"/>
      <c r="AM2844" s="12">
        <v>5.714190463E9</v>
      </c>
    </row>
    <row r="2845">
      <c r="A2845" s="5" t="s">
        <v>13098</v>
      </c>
      <c r="B2845" s="1" t="s">
        <v>13099</v>
      </c>
      <c r="C2845" s="1" t="s">
        <v>13100</v>
      </c>
      <c r="D2845" s="2">
        <v>9.143625681E9</v>
      </c>
      <c r="E2845" s="1" t="s">
        <v>1484</v>
      </c>
      <c r="F2845" s="1"/>
      <c r="G2845" s="1" t="s">
        <v>1485</v>
      </c>
      <c r="H2845" s="1" t="s">
        <v>751</v>
      </c>
      <c r="I2845" s="1">
        <v>10591.0</v>
      </c>
      <c r="J2845" s="1" t="s">
        <v>752</v>
      </c>
      <c r="K2845" s="1" t="s">
        <v>892</v>
      </c>
      <c r="L2845" s="1" t="s">
        <v>8134</v>
      </c>
      <c r="M2845" s="1">
        <v>79.0</v>
      </c>
      <c r="N2845" s="1" t="s">
        <v>1152</v>
      </c>
      <c r="O2845" s="3" t="s">
        <v>13101</v>
      </c>
      <c r="P2845" s="1" t="s">
        <v>1152</v>
      </c>
      <c r="Q2845" s="1" t="s">
        <v>1152</v>
      </c>
      <c r="R2845" s="1"/>
      <c r="S2845" s="1"/>
      <c r="T2845" s="1" t="s">
        <v>1152</v>
      </c>
      <c r="U2845" s="1" t="s">
        <v>1487</v>
      </c>
      <c r="V2845" s="4" t="s">
        <v>13101</v>
      </c>
      <c r="W2845" s="1"/>
      <c r="X2845" s="1" t="s">
        <v>1152</v>
      </c>
      <c r="Y2845" s="1" t="s">
        <v>1152</v>
      </c>
      <c r="Z2845" s="1"/>
      <c r="AA2845" s="1"/>
      <c r="AB2845" s="1"/>
      <c r="AC2845" s="1" t="s">
        <v>1925</v>
      </c>
      <c r="AD2845" s="1"/>
      <c r="AE2845" s="18">
        <v>46147.0</v>
      </c>
      <c r="AF2845" s="1" t="s">
        <v>1030</v>
      </c>
      <c r="AG2845" s="1" t="s">
        <v>52</v>
      </c>
      <c r="AH2845" s="1" t="s">
        <v>13102</v>
      </c>
      <c r="AI2845" s="1" t="s">
        <v>1152</v>
      </c>
      <c r="AJ2845" s="1" t="s">
        <v>1484</v>
      </c>
      <c r="AK2845" s="1" t="s">
        <v>1152</v>
      </c>
      <c r="AL2845" s="6"/>
      <c r="AM2845" s="12">
        <v>9.143625681E9</v>
      </c>
    </row>
    <row r="2846">
      <c r="A2846" s="5" t="s">
        <v>13103</v>
      </c>
      <c r="B2846" s="1" t="s">
        <v>13104</v>
      </c>
      <c r="C2846" s="1" t="s">
        <v>4193</v>
      </c>
      <c r="D2846" s="2">
        <v>5.157231852E9</v>
      </c>
      <c r="E2846" s="1" t="s">
        <v>13105</v>
      </c>
      <c r="F2846" s="1"/>
      <c r="G2846" s="1" t="s">
        <v>4195</v>
      </c>
      <c r="H2846" s="1" t="s">
        <v>4196</v>
      </c>
      <c r="I2846" s="1">
        <v>50325.0</v>
      </c>
      <c r="J2846" s="1" t="s">
        <v>752</v>
      </c>
      <c r="K2846" s="1" t="s">
        <v>2131</v>
      </c>
      <c r="L2846" s="1" t="s">
        <v>5767</v>
      </c>
      <c r="M2846" s="1">
        <v>1.0</v>
      </c>
      <c r="N2846" s="1" t="s">
        <v>1152</v>
      </c>
      <c r="O2846" s="3" t="s">
        <v>1312</v>
      </c>
      <c r="P2846" s="1" t="s">
        <v>1152</v>
      </c>
      <c r="Q2846" s="1" t="s">
        <v>1152</v>
      </c>
      <c r="R2846" s="1"/>
      <c r="S2846" s="1"/>
      <c r="T2846" s="1" t="s">
        <v>1152</v>
      </c>
      <c r="U2846" s="1" t="s">
        <v>1376</v>
      </c>
      <c r="V2846" s="4" t="s">
        <v>1312</v>
      </c>
      <c r="W2846" s="1"/>
      <c r="X2846" s="1" t="s">
        <v>1152</v>
      </c>
      <c r="Y2846" s="1" t="s">
        <v>1152</v>
      </c>
      <c r="Z2846" s="1"/>
      <c r="AA2846" s="1"/>
      <c r="AB2846" s="1"/>
      <c r="AC2846" s="1" t="s">
        <v>1925</v>
      </c>
      <c r="AD2846" s="1"/>
      <c r="AE2846" s="18">
        <v>46147.0</v>
      </c>
      <c r="AF2846" s="1"/>
      <c r="AG2846" s="1"/>
      <c r="AH2846" s="1" t="s">
        <v>1152</v>
      </c>
      <c r="AI2846" s="1" t="s">
        <v>1152</v>
      </c>
      <c r="AJ2846" s="1" t="s">
        <v>13105</v>
      </c>
      <c r="AK2846" s="1" t="s">
        <v>1152</v>
      </c>
      <c r="AL2846" s="6"/>
      <c r="AM2846" s="12">
        <v>5.157231852E9</v>
      </c>
    </row>
    <row r="2847">
      <c r="A2847" s="5" t="s">
        <v>13106</v>
      </c>
      <c r="B2847" s="1" t="s">
        <v>13107</v>
      </c>
      <c r="C2847" s="1" t="s">
        <v>13108</v>
      </c>
      <c r="D2847" s="2">
        <v>3.1429609E9</v>
      </c>
      <c r="E2847" s="1" t="s">
        <v>13109</v>
      </c>
      <c r="F2847" s="1"/>
      <c r="G2847" s="1" t="s">
        <v>751</v>
      </c>
      <c r="H2847" s="1" t="s">
        <v>751</v>
      </c>
      <c r="I2847" s="1" t="s">
        <v>13110</v>
      </c>
      <c r="J2847" s="1" t="s">
        <v>752</v>
      </c>
      <c r="K2847" s="1" t="s">
        <v>42</v>
      </c>
      <c r="L2847" s="1" t="s">
        <v>8365</v>
      </c>
      <c r="M2847" s="1">
        <v>49.0</v>
      </c>
      <c r="N2847" s="1" t="s">
        <v>1152</v>
      </c>
      <c r="O2847" s="3" t="s">
        <v>5228</v>
      </c>
      <c r="P2847" s="1" t="s">
        <v>1152</v>
      </c>
      <c r="Q2847" s="1" t="s">
        <v>1152</v>
      </c>
      <c r="R2847" s="1"/>
      <c r="S2847" s="1"/>
      <c r="T2847" s="1" t="s">
        <v>1152</v>
      </c>
      <c r="U2847" s="1" t="s">
        <v>1487</v>
      </c>
      <c r="V2847" s="4" t="s">
        <v>5228</v>
      </c>
      <c r="W2847" s="1"/>
      <c r="X2847" s="1" t="s">
        <v>1152</v>
      </c>
      <c r="Y2847" s="1" t="s">
        <v>1152</v>
      </c>
      <c r="Z2847" s="1"/>
      <c r="AA2847" s="1"/>
      <c r="AB2847" s="1"/>
      <c r="AC2847" s="1" t="s">
        <v>1925</v>
      </c>
      <c r="AD2847" s="1"/>
      <c r="AE2847" s="18">
        <v>46148.0</v>
      </c>
      <c r="AF2847" s="1" t="s">
        <v>1349</v>
      </c>
      <c r="AG2847" s="1" t="s">
        <v>52</v>
      </c>
      <c r="AH2847" s="1" t="s">
        <v>1152</v>
      </c>
      <c r="AI2847" s="1" t="s">
        <v>1152</v>
      </c>
      <c r="AJ2847" s="1" t="s">
        <v>13111</v>
      </c>
      <c r="AK2847" s="1" t="s">
        <v>1152</v>
      </c>
      <c r="AL2847" s="6"/>
      <c r="AM2847" s="12">
        <v>3.1429609E9</v>
      </c>
    </row>
    <row r="2848">
      <c r="A2848" s="5" t="s">
        <v>13112</v>
      </c>
      <c r="B2848" s="1" t="s">
        <v>13113</v>
      </c>
      <c r="C2848" s="1" t="s">
        <v>13114</v>
      </c>
      <c r="D2848" s="2">
        <v>6.506707408E9</v>
      </c>
      <c r="E2848" s="1" t="s">
        <v>13115</v>
      </c>
      <c r="F2848" s="1"/>
      <c r="G2848" s="1" t="s">
        <v>13116</v>
      </c>
      <c r="H2848" s="1" t="s">
        <v>989</v>
      </c>
      <c r="I2848" s="1">
        <v>94010.0</v>
      </c>
      <c r="J2848" s="1" t="s">
        <v>752</v>
      </c>
      <c r="K2848" s="1" t="s">
        <v>42</v>
      </c>
      <c r="L2848" s="1" t="s">
        <v>9092</v>
      </c>
      <c r="M2848" s="1">
        <v>109.0</v>
      </c>
      <c r="N2848" s="1" t="s">
        <v>1152</v>
      </c>
      <c r="O2848" s="3" t="s">
        <v>1800</v>
      </c>
      <c r="P2848" s="1" t="s">
        <v>1152</v>
      </c>
      <c r="Q2848" s="1" t="s">
        <v>1152</v>
      </c>
      <c r="R2848" s="1"/>
      <c r="S2848" s="1"/>
      <c r="T2848" s="1" t="s">
        <v>1152</v>
      </c>
      <c r="U2848" s="1" t="s">
        <v>1749</v>
      </c>
      <c r="V2848" s="4" t="s">
        <v>1800</v>
      </c>
      <c r="W2848" s="1"/>
      <c r="X2848" s="1" t="s">
        <v>1152</v>
      </c>
      <c r="Y2848" s="1" t="s">
        <v>1152</v>
      </c>
      <c r="Z2848" s="1"/>
      <c r="AA2848" s="1"/>
      <c r="AB2848" s="1"/>
      <c r="AC2848" s="1" t="s">
        <v>1925</v>
      </c>
      <c r="AD2848" s="1"/>
      <c r="AE2848" s="18">
        <v>46148.0</v>
      </c>
      <c r="AF2848" s="1" t="s">
        <v>1349</v>
      </c>
      <c r="AG2848" s="1" t="s">
        <v>52</v>
      </c>
      <c r="AH2848" s="1" t="s">
        <v>1152</v>
      </c>
      <c r="AI2848" s="1" t="s">
        <v>1152</v>
      </c>
      <c r="AJ2848" s="1" t="s">
        <v>13117</v>
      </c>
      <c r="AK2848" s="1" t="s">
        <v>1152</v>
      </c>
      <c r="AL2848" s="6"/>
      <c r="AM2848" s="12">
        <v>6.506707408E9</v>
      </c>
    </row>
    <row r="2849">
      <c r="A2849" s="5" t="s">
        <v>13118</v>
      </c>
      <c r="B2849" s="1" t="s">
        <v>13119</v>
      </c>
      <c r="C2849" s="1" t="s">
        <v>13120</v>
      </c>
      <c r="D2849" s="2">
        <v>5.512408068E9</v>
      </c>
      <c r="E2849" s="1" t="s">
        <v>7477</v>
      </c>
      <c r="F2849" s="1"/>
      <c r="G2849" s="1" t="s">
        <v>7478</v>
      </c>
      <c r="H2849" s="1" t="s">
        <v>1053</v>
      </c>
      <c r="I2849" s="1">
        <v>7093.0</v>
      </c>
      <c r="J2849" s="1" t="s">
        <v>752</v>
      </c>
      <c r="K2849" s="1" t="s">
        <v>42</v>
      </c>
      <c r="L2849" s="1" t="s">
        <v>6819</v>
      </c>
      <c r="M2849" s="1">
        <v>49.0</v>
      </c>
      <c r="N2849" s="1" t="s">
        <v>1152</v>
      </c>
      <c r="O2849" s="3" t="s">
        <v>13121</v>
      </c>
      <c r="P2849" s="1" t="s">
        <v>1152</v>
      </c>
      <c r="Q2849" s="1" t="s">
        <v>1152</v>
      </c>
      <c r="R2849" s="1"/>
      <c r="S2849" s="1"/>
      <c r="T2849" s="1" t="s">
        <v>1152</v>
      </c>
      <c r="U2849" s="1" t="s">
        <v>1055</v>
      </c>
      <c r="V2849" s="4" t="s">
        <v>13121</v>
      </c>
      <c r="W2849" s="1"/>
      <c r="X2849" s="1" t="s">
        <v>1152</v>
      </c>
      <c r="Y2849" s="1" t="s">
        <v>1152</v>
      </c>
      <c r="Z2849" s="1"/>
      <c r="AA2849" s="1"/>
      <c r="AB2849" s="1"/>
      <c r="AC2849" s="1" t="s">
        <v>1925</v>
      </c>
      <c r="AD2849" s="1"/>
      <c r="AE2849" s="18">
        <v>46148.0</v>
      </c>
      <c r="AF2849" s="1" t="s">
        <v>1030</v>
      </c>
      <c r="AG2849" s="1" t="s">
        <v>52</v>
      </c>
      <c r="AH2849" s="1" t="s">
        <v>1152</v>
      </c>
      <c r="AI2849" s="1" t="s">
        <v>1152</v>
      </c>
      <c r="AJ2849" s="1" t="s">
        <v>7477</v>
      </c>
      <c r="AK2849" s="1" t="s">
        <v>1152</v>
      </c>
      <c r="AL2849" s="6"/>
      <c r="AM2849" s="12">
        <v>5.512408068E9</v>
      </c>
    </row>
    <row r="2850">
      <c r="A2850" s="5" t="s">
        <v>13122</v>
      </c>
      <c r="B2850" s="1" t="s">
        <v>13123</v>
      </c>
      <c r="C2850" s="1" t="s">
        <v>13124</v>
      </c>
      <c r="D2850" s="2">
        <v>4.806627888E9</v>
      </c>
      <c r="E2850" s="1" t="s">
        <v>13125</v>
      </c>
      <c r="F2850" s="1"/>
      <c r="G2850" s="1" t="s">
        <v>2673</v>
      </c>
      <c r="H2850" s="1" t="s">
        <v>1535</v>
      </c>
      <c r="I2850" s="1">
        <v>85017.0</v>
      </c>
      <c r="J2850" s="1" t="s">
        <v>752</v>
      </c>
      <c r="K2850" s="1" t="s">
        <v>42</v>
      </c>
      <c r="L2850" s="1" t="s">
        <v>6819</v>
      </c>
      <c r="M2850" s="1">
        <v>49.0</v>
      </c>
      <c r="N2850" s="1" t="s">
        <v>1152</v>
      </c>
      <c r="O2850" s="3" t="s">
        <v>1029</v>
      </c>
      <c r="P2850" s="1" t="s">
        <v>1152</v>
      </c>
      <c r="Q2850" s="1" t="s">
        <v>1152</v>
      </c>
      <c r="R2850" s="1"/>
      <c r="S2850" s="1"/>
      <c r="T2850" s="1" t="s">
        <v>1152</v>
      </c>
      <c r="U2850" s="1" t="s">
        <v>1249</v>
      </c>
      <c r="V2850" s="4" t="s">
        <v>1029</v>
      </c>
      <c r="W2850" s="1"/>
      <c r="X2850" s="1" t="s">
        <v>1152</v>
      </c>
      <c r="Y2850" s="1" t="s">
        <v>1152</v>
      </c>
      <c r="Z2850" s="1"/>
      <c r="AA2850" s="1"/>
      <c r="AB2850" s="1"/>
      <c r="AC2850" s="1" t="s">
        <v>1925</v>
      </c>
      <c r="AD2850" s="1"/>
      <c r="AE2850" s="18">
        <v>46147.0</v>
      </c>
      <c r="AF2850" s="1" t="s">
        <v>1349</v>
      </c>
      <c r="AG2850" s="1" t="s">
        <v>52</v>
      </c>
      <c r="AH2850" s="1" t="s">
        <v>1152</v>
      </c>
      <c r="AI2850" s="1" t="s">
        <v>1152</v>
      </c>
      <c r="AJ2850" s="1" t="s">
        <v>13126</v>
      </c>
      <c r="AK2850" s="1" t="s">
        <v>1152</v>
      </c>
      <c r="AL2850" s="6"/>
      <c r="AM2850" s="12">
        <v>4.806627888E9</v>
      </c>
    </row>
    <row r="2851">
      <c r="A2851" s="5" t="s">
        <v>13127</v>
      </c>
      <c r="B2851" s="1" t="s">
        <v>13128</v>
      </c>
      <c r="C2851" s="1" t="s">
        <v>1540</v>
      </c>
      <c r="D2851" s="2">
        <v>1.6504749188E10</v>
      </c>
      <c r="E2851" s="1" t="s">
        <v>1541</v>
      </c>
      <c r="F2851" s="1"/>
      <c r="G2851" s="1" t="s">
        <v>1542</v>
      </c>
      <c r="H2851" s="1" t="s">
        <v>989</v>
      </c>
      <c r="I2851" s="1">
        <v>94028.0</v>
      </c>
      <c r="J2851" s="1" t="s">
        <v>752</v>
      </c>
      <c r="K2851" s="1" t="s">
        <v>2131</v>
      </c>
      <c r="L2851" s="1" t="s">
        <v>5767</v>
      </c>
      <c r="M2851" s="1">
        <v>1.0</v>
      </c>
      <c r="N2851" s="1" t="s">
        <v>1152</v>
      </c>
      <c r="O2851" s="3" t="s">
        <v>1543</v>
      </c>
      <c r="P2851" s="1" t="s">
        <v>1152</v>
      </c>
      <c r="Q2851" s="1" t="s">
        <v>1152</v>
      </c>
      <c r="R2851" s="1"/>
      <c r="S2851" s="1"/>
      <c r="T2851" s="1" t="s">
        <v>1152</v>
      </c>
      <c r="U2851" s="1" t="s">
        <v>1080</v>
      </c>
      <c r="V2851" s="4" t="s">
        <v>1543</v>
      </c>
      <c r="W2851" s="1"/>
      <c r="X2851" s="1" t="s">
        <v>1152</v>
      </c>
      <c r="Y2851" s="1" t="s">
        <v>1152</v>
      </c>
      <c r="Z2851" s="1"/>
      <c r="AA2851" s="1"/>
      <c r="AB2851" s="1"/>
      <c r="AC2851" s="1" t="s">
        <v>1925</v>
      </c>
      <c r="AD2851" s="1"/>
      <c r="AE2851" s="18">
        <v>46149.0</v>
      </c>
      <c r="AF2851" s="1"/>
      <c r="AG2851" s="1"/>
      <c r="AH2851" s="1" t="s">
        <v>1152</v>
      </c>
      <c r="AI2851" s="1" t="s">
        <v>1152</v>
      </c>
      <c r="AJ2851" s="1" t="s">
        <v>1541</v>
      </c>
      <c r="AK2851" s="1" t="s">
        <v>1152</v>
      </c>
      <c r="AL2851" s="6"/>
      <c r="AM2851" s="12">
        <v>6.504749188E9</v>
      </c>
    </row>
    <row r="2852">
      <c r="A2852" s="5" t="s">
        <v>13129</v>
      </c>
      <c r="B2852" s="1" t="s">
        <v>13130</v>
      </c>
      <c r="C2852" s="1" t="s">
        <v>2833</v>
      </c>
      <c r="D2852" s="2">
        <v>6.269935538E9</v>
      </c>
      <c r="E2852" s="1" t="s">
        <v>2834</v>
      </c>
      <c r="F2852" s="1"/>
      <c r="G2852" s="1" t="s">
        <v>2835</v>
      </c>
      <c r="H2852" s="1" t="s">
        <v>989</v>
      </c>
      <c r="I2852" s="1">
        <v>91030.0</v>
      </c>
      <c r="J2852" s="1" t="s">
        <v>752</v>
      </c>
      <c r="K2852" s="1" t="s">
        <v>2131</v>
      </c>
      <c r="L2852" s="1" t="s">
        <v>5767</v>
      </c>
      <c r="M2852" s="1">
        <v>1.0</v>
      </c>
      <c r="N2852" s="1" t="s">
        <v>1152</v>
      </c>
      <c r="O2852" s="3" t="s">
        <v>77</v>
      </c>
      <c r="P2852" s="1" t="s">
        <v>1152</v>
      </c>
      <c r="Q2852" s="1" t="s">
        <v>1152</v>
      </c>
      <c r="R2852" s="1"/>
      <c r="S2852" s="1"/>
      <c r="T2852" s="1" t="s">
        <v>1152</v>
      </c>
      <c r="U2852" s="1" t="s">
        <v>1039</v>
      </c>
      <c r="V2852" s="4" t="s">
        <v>77</v>
      </c>
      <c r="W2852" s="1"/>
      <c r="X2852" s="1" t="s">
        <v>1152</v>
      </c>
      <c r="Y2852" s="1" t="s">
        <v>1152</v>
      </c>
      <c r="Z2852" s="1"/>
      <c r="AA2852" s="1"/>
      <c r="AB2852" s="1"/>
      <c r="AC2852" s="1" t="s">
        <v>1925</v>
      </c>
      <c r="AD2852" s="1"/>
      <c r="AE2852" s="18">
        <v>46149.0</v>
      </c>
      <c r="AF2852" s="1"/>
      <c r="AG2852" s="1"/>
      <c r="AH2852" s="1" t="s">
        <v>1152</v>
      </c>
      <c r="AI2852" s="1" t="s">
        <v>1152</v>
      </c>
      <c r="AJ2852" s="1" t="s">
        <v>2834</v>
      </c>
      <c r="AK2852" s="1" t="s">
        <v>1152</v>
      </c>
      <c r="AL2852" s="6"/>
      <c r="AM2852" s="12">
        <v>6.269935538E9</v>
      </c>
    </row>
    <row r="2853">
      <c r="A2853" s="5" t="s">
        <v>13131</v>
      </c>
      <c r="B2853" s="1" t="s">
        <v>13132</v>
      </c>
      <c r="C2853" s="1" t="s">
        <v>11295</v>
      </c>
      <c r="D2853" s="2">
        <v>6.472840842E9</v>
      </c>
      <c r="E2853" s="1" t="s">
        <v>7287</v>
      </c>
      <c r="F2853" s="1"/>
      <c r="G2853" s="1" t="s">
        <v>7284</v>
      </c>
      <c r="H2853" s="1" t="s">
        <v>3580</v>
      </c>
      <c r="I2853" s="1" t="s">
        <v>7285</v>
      </c>
      <c r="J2853" s="1" t="s">
        <v>3582</v>
      </c>
      <c r="K2853" s="1" t="s">
        <v>2131</v>
      </c>
      <c r="L2853" s="1" t="s">
        <v>5811</v>
      </c>
      <c r="M2853" s="1">
        <v>1.0</v>
      </c>
      <c r="N2853" s="1" t="s">
        <v>1152</v>
      </c>
      <c r="O2853" s="3" t="s">
        <v>7286</v>
      </c>
      <c r="P2853" s="1" t="s">
        <v>1152</v>
      </c>
      <c r="Q2853" s="1" t="s">
        <v>1152</v>
      </c>
      <c r="R2853" s="1"/>
      <c r="S2853" s="1"/>
      <c r="T2853" s="1" t="s">
        <v>1152</v>
      </c>
      <c r="U2853" s="1" t="s">
        <v>1399</v>
      </c>
      <c r="V2853" s="4" t="s">
        <v>7286</v>
      </c>
      <c r="W2853" s="1"/>
      <c r="X2853" s="1" t="s">
        <v>1152</v>
      </c>
      <c r="Y2853" s="1" t="s">
        <v>1152</v>
      </c>
      <c r="Z2853" s="1"/>
      <c r="AA2853" s="1"/>
      <c r="AB2853" s="1"/>
      <c r="AC2853" s="1" t="s">
        <v>1925</v>
      </c>
      <c r="AD2853" s="1"/>
      <c r="AE2853" s="18">
        <v>46146.0</v>
      </c>
      <c r="AF2853" s="1"/>
      <c r="AG2853" s="1"/>
      <c r="AH2853" s="1" t="s">
        <v>1152</v>
      </c>
      <c r="AI2853" s="1" t="s">
        <v>1152</v>
      </c>
      <c r="AJ2853" s="1" t="s">
        <v>7287</v>
      </c>
      <c r="AK2853" s="1" t="s">
        <v>1152</v>
      </c>
      <c r="AL2853" s="6"/>
      <c r="AM2853" s="12">
        <v>6.472840842E9</v>
      </c>
    </row>
    <row r="2854">
      <c r="A2854" s="5" t="s">
        <v>13133</v>
      </c>
      <c r="B2854" s="1" t="s">
        <v>13134</v>
      </c>
      <c r="C2854" s="1" t="s">
        <v>1459</v>
      </c>
      <c r="D2854" s="2">
        <v>9.175752417E9</v>
      </c>
      <c r="E2854" s="1" t="s">
        <v>1460</v>
      </c>
      <c r="F2854" s="1"/>
      <c r="G2854" s="1" t="s">
        <v>751</v>
      </c>
      <c r="H2854" s="1" t="s">
        <v>751</v>
      </c>
      <c r="I2854" s="1" t="s">
        <v>8932</v>
      </c>
      <c r="J2854" s="1" t="s">
        <v>752</v>
      </c>
      <c r="K2854" s="1" t="s">
        <v>2131</v>
      </c>
      <c r="L2854" s="1" t="s">
        <v>5767</v>
      </c>
      <c r="M2854" s="1">
        <v>1.0</v>
      </c>
      <c r="N2854" s="1" t="s">
        <v>1152</v>
      </c>
      <c r="O2854" s="3" t="s">
        <v>1461</v>
      </c>
      <c r="P2854" s="1" t="s">
        <v>1152</v>
      </c>
      <c r="Q2854" s="1" t="s">
        <v>1152</v>
      </c>
      <c r="R2854" s="1"/>
      <c r="S2854" s="1"/>
      <c r="T2854" s="1" t="s">
        <v>1152</v>
      </c>
      <c r="U2854" s="1" t="s">
        <v>1174</v>
      </c>
      <c r="V2854" s="4" t="s">
        <v>1461</v>
      </c>
      <c r="W2854" s="1"/>
      <c r="X2854" s="1" t="s">
        <v>1152</v>
      </c>
      <c r="Y2854" s="1" t="s">
        <v>1152</v>
      </c>
      <c r="Z2854" s="1"/>
      <c r="AA2854" s="1"/>
      <c r="AB2854" s="1"/>
      <c r="AC2854" s="1" t="s">
        <v>1925</v>
      </c>
      <c r="AD2854" s="1"/>
      <c r="AE2854" s="18">
        <v>46146.0</v>
      </c>
      <c r="AF2854" s="1"/>
      <c r="AG2854" s="1"/>
      <c r="AH2854" s="1" t="s">
        <v>1152</v>
      </c>
      <c r="AI2854" s="1" t="s">
        <v>1152</v>
      </c>
      <c r="AJ2854" s="1" t="s">
        <v>1460</v>
      </c>
      <c r="AK2854" s="1" t="s">
        <v>1152</v>
      </c>
      <c r="AL2854" s="6"/>
      <c r="AM2854" s="12">
        <v>9.175752417E9</v>
      </c>
    </row>
    <row r="2855">
      <c r="A2855" s="5" t="s">
        <v>13135</v>
      </c>
      <c r="B2855" s="1" t="s">
        <v>13136</v>
      </c>
      <c r="C2855" s="1" t="s">
        <v>6261</v>
      </c>
      <c r="D2855" s="2">
        <v>3.475258364E9</v>
      </c>
      <c r="E2855" s="1" t="s">
        <v>6262</v>
      </c>
      <c r="F2855" s="1"/>
      <c r="G2855" s="1" t="s">
        <v>1684</v>
      </c>
      <c r="H2855" s="1" t="s">
        <v>751</v>
      </c>
      <c r="I2855" s="1">
        <v>11216.0</v>
      </c>
      <c r="J2855" s="1" t="s">
        <v>752</v>
      </c>
      <c r="K2855" s="1" t="s">
        <v>2131</v>
      </c>
      <c r="L2855" s="1" t="s">
        <v>5833</v>
      </c>
      <c r="M2855" s="1">
        <v>1.0</v>
      </c>
      <c r="N2855" s="1" t="s">
        <v>1152</v>
      </c>
      <c r="O2855" s="3" t="s">
        <v>6263</v>
      </c>
      <c r="P2855" s="1" t="s">
        <v>1152</v>
      </c>
      <c r="Q2855" s="1" t="s">
        <v>1152</v>
      </c>
      <c r="R2855" s="1"/>
      <c r="S2855" s="1"/>
      <c r="T2855" s="1" t="s">
        <v>1152</v>
      </c>
      <c r="U2855" s="1" t="s">
        <v>982</v>
      </c>
      <c r="V2855" s="4" t="s">
        <v>6263</v>
      </c>
      <c r="W2855" s="1"/>
      <c r="X2855" s="1" t="s">
        <v>1152</v>
      </c>
      <c r="Y2855" s="1" t="s">
        <v>1152</v>
      </c>
      <c r="Z2855" s="1"/>
      <c r="AA2855" s="1"/>
      <c r="AB2855" s="1"/>
      <c r="AC2855" s="1" t="s">
        <v>1925</v>
      </c>
      <c r="AD2855" s="1"/>
      <c r="AE2855" s="18">
        <v>46147.0</v>
      </c>
      <c r="AF2855" s="1"/>
      <c r="AG2855" s="1"/>
      <c r="AH2855" s="1" t="s">
        <v>1152</v>
      </c>
      <c r="AI2855" s="1" t="s">
        <v>1152</v>
      </c>
      <c r="AJ2855" s="1" t="s">
        <v>6262</v>
      </c>
      <c r="AK2855" s="1" t="s">
        <v>1152</v>
      </c>
      <c r="AL2855" s="6"/>
      <c r="AM2855" s="12">
        <v>3.475258364E9</v>
      </c>
    </row>
    <row r="2856">
      <c r="A2856" s="5" t="s">
        <v>13137</v>
      </c>
      <c r="B2856" s="1" t="s">
        <v>13138</v>
      </c>
      <c r="C2856" s="1" t="s">
        <v>13139</v>
      </c>
      <c r="D2856" s="2">
        <v>3.146003038E9</v>
      </c>
      <c r="E2856" s="1" t="s">
        <v>13140</v>
      </c>
      <c r="F2856" s="1"/>
      <c r="G2856" s="1" t="s">
        <v>2350</v>
      </c>
      <c r="H2856" s="1" t="s">
        <v>1155</v>
      </c>
      <c r="I2856" s="1">
        <v>63105.0</v>
      </c>
      <c r="J2856" s="1" t="s">
        <v>752</v>
      </c>
      <c r="K2856" s="1" t="s">
        <v>42</v>
      </c>
      <c r="L2856" s="1" t="s">
        <v>6819</v>
      </c>
      <c r="M2856" s="1">
        <v>49.0</v>
      </c>
      <c r="N2856" s="1" t="s">
        <v>1152</v>
      </c>
      <c r="O2856" s="3" t="s">
        <v>440</v>
      </c>
      <c r="P2856" s="1" t="s">
        <v>1152</v>
      </c>
      <c r="Q2856" s="1" t="s">
        <v>1152</v>
      </c>
      <c r="R2856" s="1"/>
      <c r="S2856" s="1"/>
      <c r="T2856" s="1" t="s">
        <v>1152</v>
      </c>
      <c r="U2856" s="1" t="s">
        <v>1133</v>
      </c>
      <c r="V2856" s="4" t="s">
        <v>440</v>
      </c>
      <c r="W2856" s="1"/>
      <c r="X2856" s="1" t="s">
        <v>1152</v>
      </c>
      <c r="Y2856" s="1" t="s">
        <v>1152</v>
      </c>
      <c r="Z2856" s="1"/>
      <c r="AA2856" s="1"/>
      <c r="AB2856" s="1"/>
      <c r="AC2856" s="1" t="s">
        <v>1925</v>
      </c>
      <c r="AD2856" s="1"/>
      <c r="AE2856" s="18">
        <v>46148.0</v>
      </c>
      <c r="AF2856" s="1" t="s">
        <v>1030</v>
      </c>
      <c r="AG2856" s="1" t="s">
        <v>52</v>
      </c>
      <c r="AH2856" s="1" t="s">
        <v>1152</v>
      </c>
      <c r="AI2856" s="1" t="s">
        <v>13141</v>
      </c>
      <c r="AJ2856" s="1" t="s">
        <v>13140</v>
      </c>
      <c r="AK2856" s="1" t="s">
        <v>1152</v>
      </c>
      <c r="AL2856" s="6"/>
      <c r="AM2856" s="12">
        <v>13146003038</v>
      </c>
    </row>
    <row r="2857">
      <c r="A2857" s="5" t="s">
        <v>13142</v>
      </c>
      <c r="B2857" s="1" t="s">
        <v>13143</v>
      </c>
      <c r="C2857" s="1" t="s">
        <v>13144</v>
      </c>
      <c r="D2857" s="2">
        <v>9.495623722E9</v>
      </c>
      <c r="E2857" s="1" t="s">
        <v>13145</v>
      </c>
      <c r="F2857" s="1"/>
      <c r="G2857" s="1" t="s">
        <v>2350</v>
      </c>
      <c r="H2857" s="1" t="s">
        <v>1155</v>
      </c>
      <c r="I2857" s="1">
        <v>63105.0</v>
      </c>
      <c r="J2857" s="1" t="s">
        <v>752</v>
      </c>
      <c r="K2857" s="1" t="s">
        <v>42</v>
      </c>
      <c r="L2857" s="1" t="s">
        <v>6819</v>
      </c>
      <c r="M2857" s="1">
        <v>49.0</v>
      </c>
      <c r="N2857" s="1" t="s">
        <v>1152</v>
      </c>
      <c r="O2857" s="3" t="s">
        <v>10393</v>
      </c>
      <c r="P2857" s="1" t="s">
        <v>1152</v>
      </c>
      <c r="Q2857" s="1" t="s">
        <v>1152</v>
      </c>
      <c r="R2857" s="1"/>
      <c r="S2857" s="1"/>
      <c r="T2857" s="1" t="s">
        <v>1152</v>
      </c>
      <c r="U2857" s="1" t="s">
        <v>1487</v>
      </c>
      <c r="V2857" s="4" t="s">
        <v>10393</v>
      </c>
      <c r="W2857" s="1"/>
      <c r="X2857" s="1" t="s">
        <v>1152</v>
      </c>
      <c r="Y2857" s="1" t="s">
        <v>1152</v>
      </c>
      <c r="Z2857" s="1"/>
      <c r="AA2857" s="1"/>
      <c r="AB2857" s="1"/>
      <c r="AC2857" s="1" t="s">
        <v>1925</v>
      </c>
      <c r="AD2857" s="1"/>
      <c r="AE2857" s="18">
        <v>46149.0</v>
      </c>
      <c r="AF2857" s="1" t="s">
        <v>1030</v>
      </c>
      <c r="AG2857" s="1" t="s">
        <v>52</v>
      </c>
      <c r="AH2857" s="1" t="s">
        <v>1152</v>
      </c>
      <c r="AI2857" s="1" t="s">
        <v>1152</v>
      </c>
      <c r="AJ2857" s="1" t="s">
        <v>13145</v>
      </c>
      <c r="AK2857" s="1" t="s">
        <v>1152</v>
      </c>
      <c r="AL2857" s="6"/>
      <c r="AM2857" s="12">
        <v>9.495623722E9</v>
      </c>
    </row>
    <row r="2858">
      <c r="A2858" s="5" t="s">
        <v>13146</v>
      </c>
      <c r="B2858" s="1" t="s">
        <v>13147</v>
      </c>
      <c r="C2858" s="1" t="s">
        <v>13148</v>
      </c>
      <c r="D2858" s="2" t="s">
        <v>13149</v>
      </c>
      <c r="E2858" s="1" t="s">
        <v>13150</v>
      </c>
      <c r="F2858" s="1"/>
      <c r="G2858" s="1" t="s">
        <v>9329</v>
      </c>
      <c r="H2858" s="1" t="s">
        <v>1208</v>
      </c>
      <c r="I2858" s="1">
        <v>32827.0</v>
      </c>
      <c r="J2858" s="1" t="s">
        <v>752</v>
      </c>
      <c r="K2858" s="1" t="s">
        <v>892</v>
      </c>
      <c r="L2858" s="1" t="s">
        <v>8134</v>
      </c>
      <c r="M2858" s="1">
        <v>79.0</v>
      </c>
      <c r="N2858" s="1" t="s">
        <v>1152</v>
      </c>
      <c r="O2858" s="3" t="s">
        <v>13151</v>
      </c>
      <c r="P2858" s="1" t="s">
        <v>1152</v>
      </c>
      <c r="Q2858" s="1" t="s">
        <v>1152</v>
      </c>
      <c r="R2858" s="1"/>
      <c r="S2858" s="1"/>
      <c r="T2858" s="1" t="s">
        <v>1152</v>
      </c>
      <c r="U2858" s="1" t="s">
        <v>1710</v>
      </c>
      <c r="V2858" s="4" t="s">
        <v>13151</v>
      </c>
      <c r="W2858" s="1"/>
      <c r="X2858" s="1" t="s">
        <v>1152</v>
      </c>
      <c r="Y2858" s="1" t="s">
        <v>1152</v>
      </c>
      <c r="Z2858" s="1"/>
      <c r="AA2858" s="1"/>
      <c r="AB2858" s="1"/>
      <c r="AC2858" s="1" t="s">
        <v>1925</v>
      </c>
      <c r="AD2858" s="1"/>
      <c r="AE2858" s="18">
        <v>46161.0</v>
      </c>
      <c r="AF2858" s="1" t="s">
        <v>1455</v>
      </c>
      <c r="AG2858" s="1" t="s">
        <v>52</v>
      </c>
      <c r="AH2858" s="1" t="s">
        <v>13152</v>
      </c>
      <c r="AI2858" s="1" t="s">
        <v>1152</v>
      </c>
      <c r="AJ2858" s="1" t="s">
        <v>13153</v>
      </c>
      <c r="AK2858" s="1" t="s">
        <v>1152</v>
      </c>
      <c r="AL2858" s="6"/>
      <c r="AM2858" s="12">
        <v>3.212871081E9</v>
      </c>
    </row>
    <row r="2859">
      <c r="A2859" s="5" t="s">
        <v>13154</v>
      </c>
      <c r="B2859" s="1" t="s">
        <v>13155</v>
      </c>
      <c r="C2859" s="1" t="s">
        <v>3390</v>
      </c>
      <c r="D2859" s="2">
        <v>9.498120605E9</v>
      </c>
      <c r="E2859" s="1" t="s">
        <v>3391</v>
      </c>
      <c r="F2859" s="1" t="s">
        <v>13156</v>
      </c>
      <c r="G2859" s="1" t="s">
        <v>1983</v>
      </c>
      <c r="H2859" s="1" t="s">
        <v>989</v>
      </c>
      <c r="I2859" s="1">
        <v>92612.0</v>
      </c>
      <c r="J2859" s="1" t="s">
        <v>752</v>
      </c>
      <c r="K2859" s="1" t="s">
        <v>42</v>
      </c>
      <c r="L2859" s="1" t="s">
        <v>6819</v>
      </c>
      <c r="M2859" s="1">
        <v>49.0</v>
      </c>
      <c r="N2859" s="1" t="s">
        <v>1152</v>
      </c>
      <c r="O2859" s="3"/>
      <c r="P2859" s="1" t="s">
        <v>1152</v>
      </c>
      <c r="Q2859" s="1" t="s">
        <v>1152</v>
      </c>
      <c r="R2859" s="1" t="s">
        <v>13156</v>
      </c>
      <c r="S2859" s="1"/>
      <c r="T2859" s="1" t="s">
        <v>1152</v>
      </c>
      <c r="U2859" s="1"/>
      <c r="V2859" s="4"/>
      <c r="W2859" s="1" t="s">
        <v>13156</v>
      </c>
      <c r="X2859" s="1" t="s">
        <v>1152</v>
      </c>
      <c r="Y2859" s="1" t="s">
        <v>1152</v>
      </c>
      <c r="Z2859" s="1"/>
      <c r="AA2859" s="1" t="s">
        <v>13156</v>
      </c>
      <c r="AB2859" s="1"/>
      <c r="AC2859" s="1" t="s">
        <v>1925</v>
      </c>
      <c r="AD2859" s="1"/>
      <c r="AE2859" s="18">
        <v>46151.0</v>
      </c>
      <c r="AF2859" s="1" t="s">
        <v>1030</v>
      </c>
      <c r="AG2859" s="1" t="s">
        <v>124</v>
      </c>
      <c r="AH2859" s="1" t="s">
        <v>1152</v>
      </c>
      <c r="AI2859" s="1" t="s">
        <v>1152</v>
      </c>
      <c r="AJ2859" s="1" t="s">
        <v>3391</v>
      </c>
      <c r="AK2859" s="1" t="s">
        <v>1152</v>
      </c>
      <c r="AL2859" s="6"/>
      <c r="AM2859" s="12">
        <v>9.498120605E9</v>
      </c>
    </row>
    <row r="2860">
      <c r="A2860" s="5" t="s">
        <v>13154</v>
      </c>
      <c r="B2860" s="1" t="s">
        <v>13155</v>
      </c>
      <c r="C2860" s="1" t="s">
        <v>3390</v>
      </c>
      <c r="D2860" s="2">
        <v>9.498120605E9</v>
      </c>
      <c r="E2860" s="1" t="s">
        <v>3391</v>
      </c>
      <c r="F2860" s="1"/>
      <c r="G2860" s="1" t="s">
        <v>1983</v>
      </c>
      <c r="H2860" s="1" t="s">
        <v>989</v>
      </c>
      <c r="I2860" s="1">
        <v>92612.0</v>
      </c>
      <c r="J2860" s="1" t="s">
        <v>752</v>
      </c>
      <c r="K2860" s="1" t="s">
        <v>2131</v>
      </c>
      <c r="L2860" s="1" t="s">
        <v>5811</v>
      </c>
      <c r="M2860" s="1">
        <v>1.0</v>
      </c>
      <c r="N2860" s="1" t="s">
        <v>1152</v>
      </c>
      <c r="O2860" s="3" t="s">
        <v>3392</v>
      </c>
      <c r="P2860" s="1" t="s">
        <v>1152</v>
      </c>
      <c r="Q2860" s="1" t="s">
        <v>1152</v>
      </c>
      <c r="R2860" s="1"/>
      <c r="S2860" s="1"/>
      <c r="T2860" s="1" t="s">
        <v>1152</v>
      </c>
      <c r="U2860" s="1" t="s">
        <v>1407</v>
      </c>
      <c r="V2860" s="4" t="s">
        <v>3392</v>
      </c>
      <c r="W2860" s="1"/>
      <c r="X2860" s="1" t="s">
        <v>1152</v>
      </c>
      <c r="Y2860" s="1" t="s">
        <v>1152</v>
      </c>
      <c r="Z2860" s="1"/>
      <c r="AA2860" s="1"/>
      <c r="AB2860" s="1"/>
      <c r="AC2860" s="1" t="s">
        <v>1925</v>
      </c>
      <c r="AD2860" s="1"/>
      <c r="AE2860" s="18">
        <v>46151.0</v>
      </c>
      <c r="AF2860" s="1"/>
      <c r="AG2860" s="1"/>
      <c r="AH2860" s="1" t="s">
        <v>1152</v>
      </c>
      <c r="AI2860" s="1" t="s">
        <v>1152</v>
      </c>
      <c r="AJ2860" s="1" t="s">
        <v>3391</v>
      </c>
      <c r="AK2860" s="1" t="s">
        <v>1152</v>
      </c>
      <c r="AL2860" s="6"/>
      <c r="AM2860" s="12">
        <v>9.498120605E9</v>
      </c>
    </row>
    <row r="2861">
      <c r="A2861" s="5" t="s">
        <v>13157</v>
      </c>
      <c r="B2861" s="1" t="s">
        <v>13158</v>
      </c>
      <c r="C2861" s="1" t="s">
        <v>13159</v>
      </c>
      <c r="D2861" s="2">
        <v>2.156881756E9</v>
      </c>
      <c r="E2861" s="1" t="s">
        <v>13160</v>
      </c>
      <c r="F2861" s="1"/>
      <c r="G2861" s="1" t="s">
        <v>4930</v>
      </c>
      <c r="H2861" s="1" t="s">
        <v>1233</v>
      </c>
      <c r="I2861" s="1">
        <v>18940.0</v>
      </c>
      <c r="J2861" s="1" t="s">
        <v>752</v>
      </c>
      <c r="K2861" s="1" t="s">
        <v>42</v>
      </c>
      <c r="L2861" s="1" t="s">
        <v>6819</v>
      </c>
      <c r="M2861" s="1">
        <v>49.0</v>
      </c>
      <c r="N2861" s="1" t="s">
        <v>1152</v>
      </c>
      <c r="O2861" s="3" t="s">
        <v>3392</v>
      </c>
      <c r="P2861" s="1" t="s">
        <v>1152</v>
      </c>
      <c r="Q2861" s="1" t="s">
        <v>1152</v>
      </c>
      <c r="R2861" s="1"/>
      <c r="S2861" s="1"/>
      <c r="T2861" s="1" t="s">
        <v>1152</v>
      </c>
      <c r="U2861" s="1" t="s">
        <v>1174</v>
      </c>
      <c r="V2861" s="4" t="s">
        <v>3392</v>
      </c>
      <c r="W2861" s="1"/>
      <c r="X2861" s="1" t="s">
        <v>1152</v>
      </c>
      <c r="Y2861" s="1" t="s">
        <v>1152</v>
      </c>
      <c r="Z2861" s="1"/>
      <c r="AA2861" s="1"/>
      <c r="AB2861" s="1"/>
      <c r="AC2861" s="1" t="s">
        <v>1925</v>
      </c>
      <c r="AD2861" s="1"/>
      <c r="AE2861" s="18">
        <v>46149.0</v>
      </c>
      <c r="AF2861" s="1" t="s">
        <v>1455</v>
      </c>
      <c r="AG2861" s="1" t="s">
        <v>52</v>
      </c>
      <c r="AH2861" s="1" t="s">
        <v>1152</v>
      </c>
      <c r="AI2861" s="1" t="s">
        <v>1152</v>
      </c>
      <c r="AJ2861" s="1" t="s">
        <v>13160</v>
      </c>
      <c r="AK2861" s="1" t="s">
        <v>1152</v>
      </c>
      <c r="AL2861" s="6"/>
      <c r="AM2861" s="12">
        <v>2.156881756E9</v>
      </c>
    </row>
    <row r="2862">
      <c r="A2862" s="5" t="s">
        <v>13161</v>
      </c>
      <c r="B2862" s="1" t="s">
        <v>13162</v>
      </c>
      <c r="C2862" s="1" t="s">
        <v>7456</v>
      </c>
      <c r="D2862" s="2">
        <v>4.047490717E9</v>
      </c>
      <c r="E2862" s="1" t="s">
        <v>7457</v>
      </c>
      <c r="F2862" s="1"/>
      <c r="G2862" s="1" t="s">
        <v>1909</v>
      </c>
      <c r="H2862" s="1" t="s">
        <v>1438</v>
      </c>
      <c r="I2862" s="1">
        <v>27614.0</v>
      </c>
      <c r="J2862" s="1" t="s">
        <v>752</v>
      </c>
      <c r="K2862" s="1" t="s">
        <v>42</v>
      </c>
      <c r="L2862" s="1" t="s">
        <v>6819</v>
      </c>
      <c r="M2862" s="1">
        <v>49.0</v>
      </c>
      <c r="N2862" s="1" t="s">
        <v>1152</v>
      </c>
      <c r="O2862" s="3" t="s">
        <v>7458</v>
      </c>
      <c r="P2862" s="1" t="s">
        <v>1152</v>
      </c>
      <c r="Q2862" s="1" t="s">
        <v>1152</v>
      </c>
      <c r="R2862" s="1"/>
      <c r="S2862" s="1"/>
      <c r="T2862" s="1" t="s">
        <v>1152</v>
      </c>
      <c r="U2862" s="1" t="s">
        <v>1201</v>
      </c>
      <c r="V2862" s="4" t="s">
        <v>7458</v>
      </c>
      <c r="W2862" s="1"/>
      <c r="X2862" s="1" t="s">
        <v>1152</v>
      </c>
      <c r="Y2862" s="1" t="s">
        <v>1152</v>
      </c>
      <c r="Z2862" s="1"/>
      <c r="AA2862" s="1"/>
      <c r="AB2862" s="1"/>
      <c r="AC2862" s="1" t="s">
        <v>1925</v>
      </c>
      <c r="AD2862" s="1"/>
      <c r="AE2862" s="18">
        <v>46150.0</v>
      </c>
      <c r="AF2862" s="1" t="s">
        <v>1030</v>
      </c>
      <c r="AG2862" s="1" t="s">
        <v>52</v>
      </c>
      <c r="AH2862" s="1" t="s">
        <v>1152</v>
      </c>
      <c r="AI2862" s="1" t="s">
        <v>1152</v>
      </c>
      <c r="AJ2862" s="1" t="s">
        <v>7457</v>
      </c>
      <c r="AK2862" s="1" t="s">
        <v>1152</v>
      </c>
      <c r="AL2862" s="6"/>
      <c r="AM2862" s="12">
        <v>4.047490717E9</v>
      </c>
    </row>
    <row r="2863">
      <c r="A2863" s="5" t="s">
        <v>13163</v>
      </c>
      <c r="B2863" s="1" t="s">
        <v>13164</v>
      </c>
      <c r="C2863" s="1" t="s">
        <v>13165</v>
      </c>
      <c r="D2863" s="2">
        <v>5.106978914E9</v>
      </c>
      <c r="E2863" s="1" t="s">
        <v>13166</v>
      </c>
      <c r="F2863" s="1"/>
      <c r="G2863" s="1" t="s">
        <v>2857</v>
      </c>
      <c r="H2863" s="1" t="s">
        <v>1155</v>
      </c>
      <c r="I2863" s="1">
        <v>63105.0</v>
      </c>
      <c r="J2863" s="1" t="s">
        <v>752</v>
      </c>
      <c r="K2863" s="1" t="s">
        <v>42</v>
      </c>
      <c r="L2863" s="1" t="s">
        <v>6819</v>
      </c>
      <c r="M2863" s="1">
        <v>49.0</v>
      </c>
      <c r="N2863" s="1" t="s">
        <v>1152</v>
      </c>
      <c r="O2863" s="3" t="s">
        <v>13167</v>
      </c>
      <c r="P2863" s="1" t="s">
        <v>1152</v>
      </c>
      <c r="Q2863" s="1" t="s">
        <v>1152</v>
      </c>
      <c r="R2863" s="1"/>
      <c r="S2863" s="1"/>
      <c r="T2863" s="1" t="s">
        <v>1152</v>
      </c>
      <c r="U2863" s="1" t="s">
        <v>1794</v>
      </c>
      <c r="V2863" s="4" t="s">
        <v>13167</v>
      </c>
      <c r="W2863" s="1"/>
      <c r="X2863" s="1" t="s">
        <v>1152</v>
      </c>
      <c r="Y2863" s="1" t="s">
        <v>1152</v>
      </c>
      <c r="Z2863" s="1"/>
      <c r="AA2863" s="1"/>
      <c r="AB2863" s="1"/>
      <c r="AC2863" s="1" t="s">
        <v>1925</v>
      </c>
      <c r="AD2863" s="1"/>
      <c r="AE2863" s="18">
        <v>46150.0</v>
      </c>
      <c r="AF2863" s="1" t="s">
        <v>1030</v>
      </c>
      <c r="AG2863" s="1" t="s">
        <v>52</v>
      </c>
      <c r="AH2863" s="1" t="s">
        <v>1152</v>
      </c>
      <c r="AI2863" s="1" t="s">
        <v>1152</v>
      </c>
      <c r="AJ2863" s="1" t="s">
        <v>13166</v>
      </c>
      <c r="AK2863" s="1" t="s">
        <v>1152</v>
      </c>
      <c r="AL2863" s="6"/>
      <c r="AM2863" s="12">
        <v>5.106978914E9</v>
      </c>
    </row>
    <row r="2864">
      <c r="A2864" s="5" t="s">
        <v>13168</v>
      </c>
      <c r="B2864" s="1" t="s">
        <v>13169</v>
      </c>
      <c r="C2864" s="1" t="s">
        <v>13170</v>
      </c>
      <c r="D2864" s="2">
        <v>3.14665701E9</v>
      </c>
      <c r="E2864" s="1" t="s">
        <v>13171</v>
      </c>
      <c r="F2864" s="1"/>
      <c r="G2864" s="1" t="s">
        <v>2350</v>
      </c>
      <c r="H2864" s="1" t="s">
        <v>1155</v>
      </c>
      <c r="I2864" s="1" t="s">
        <v>12154</v>
      </c>
      <c r="J2864" s="1" t="s">
        <v>752</v>
      </c>
      <c r="K2864" s="1" t="s">
        <v>42</v>
      </c>
      <c r="L2864" s="1" t="s">
        <v>7863</v>
      </c>
      <c r="M2864" s="1">
        <v>79.0</v>
      </c>
      <c r="N2864" s="1" t="s">
        <v>1152</v>
      </c>
      <c r="O2864" s="3" t="s">
        <v>13172</v>
      </c>
      <c r="P2864" s="1" t="s">
        <v>1152</v>
      </c>
      <c r="Q2864" s="1" t="s">
        <v>1152</v>
      </c>
      <c r="R2864" s="1"/>
      <c r="S2864" s="1"/>
      <c r="T2864" s="1" t="s">
        <v>1152</v>
      </c>
      <c r="U2864" s="1" t="s">
        <v>1487</v>
      </c>
      <c r="V2864" s="4" t="s">
        <v>13172</v>
      </c>
      <c r="W2864" s="1"/>
      <c r="X2864" s="1" t="s">
        <v>1152</v>
      </c>
      <c r="Y2864" s="1" t="s">
        <v>1152</v>
      </c>
      <c r="Z2864" s="1"/>
      <c r="AA2864" s="1"/>
      <c r="AB2864" s="1"/>
      <c r="AC2864" s="1" t="s">
        <v>1925</v>
      </c>
      <c r="AD2864" s="1"/>
      <c r="AE2864" s="18">
        <v>46149.0</v>
      </c>
      <c r="AF2864" s="1" t="s">
        <v>1455</v>
      </c>
      <c r="AG2864" s="1" t="s">
        <v>52</v>
      </c>
      <c r="AH2864" s="1" t="s">
        <v>1152</v>
      </c>
      <c r="AI2864" s="1" t="s">
        <v>1152</v>
      </c>
      <c r="AJ2864" s="1" t="s">
        <v>13171</v>
      </c>
      <c r="AK2864" s="1" t="s">
        <v>1152</v>
      </c>
      <c r="AL2864" s="6"/>
      <c r="AM2864" s="12">
        <v>3.14665701E9</v>
      </c>
    </row>
    <row r="2865">
      <c r="A2865" s="5" t="s">
        <v>13173</v>
      </c>
      <c r="B2865" s="1" t="s">
        <v>13174</v>
      </c>
      <c r="C2865" s="1" t="s">
        <v>13175</v>
      </c>
      <c r="D2865" s="2">
        <v>8.324162751E9</v>
      </c>
      <c r="E2865" s="1" t="s">
        <v>13176</v>
      </c>
      <c r="F2865" s="1"/>
      <c r="G2865" s="1" t="s">
        <v>1609</v>
      </c>
      <c r="H2865" s="1" t="s">
        <v>1583</v>
      </c>
      <c r="I2865" s="1">
        <v>77024.0</v>
      </c>
      <c r="J2865" s="1" t="s">
        <v>752</v>
      </c>
      <c r="K2865" s="1" t="s">
        <v>2131</v>
      </c>
      <c r="L2865" s="1" t="s">
        <v>5767</v>
      </c>
      <c r="M2865" s="1">
        <v>1.0</v>
      </c>
      <c r="N2865" s="1" t="s">
        <v>1152</v>
      </c>
      <c r="O2865" s="3" t="s">
        <v>7224</v>
      </c>
      <c r="P2865" s="1" t="s">
        <v>1152</v>
      </c>
      <c r="Q2865" s="1" t="s">
        <v>1152</v>
      </c>
      <c r="R2865" s="1"/>
      <c r="S2865" s="1"/>
      <c r="T2865" s="1" t="s">
        <v>1152</v>
      </c>
      <c r="U2865" s="1" t="s">
        <v>1537</v>
      </c>
      <c r="V2865" s="4" t="s">
        <v>7224</v>
      </c>
      <c r="W2865" s="1"/>
      <c r="X2865" s="1" t="s">
        <v>1152</v>
      </c>
      <c r="Y2865" s="1" t="s">
        <v>1152</v>
      </c>
      <c r="Z2865" s="1"/>
      <c r="AA2865" s="1"/>
      <c r="AB2865" s="1"/>
      <c r="AC2865" s="1" t="s">
        <v>1925</v>
      </c>
      <c r="AD2865" s="1"/>
      <c r="AE2865" s="18">
        <v>46147.0</v>
      </c>
      <c r="AF2865" s="1"/>
      <c r="AG2865" s="1"/>
      <c r="AH2865" s="1" t="s">
        <v>1152</v>
      </c>
      <c r="AI2865" s="1" t="s">
        <v>13177</v>
      </c>
      <c r="AJ2865" s="1" t="s">
        <v>13176</v>
      </c>
      <c r="AK2865" s="1" t="s">
        <v>1152</v>
      </c>
      <c r="AL2865" s="6"/>
      <c r="AM2865" s="12">
        <v>8.324162751E9</v>
      </c>
    </row>
    <row r="2866">
      <c r="A2866" s="5" t="s">
        <v>13178</v>
      </c>
      <c r="B2866" s="1" t="s">
        <v>13179</v>
      </c>
      <c r="C2866" s="1" t="s">
        <v>13180</v>
      </c>
      <c r="D2866" s="2">
        <v>2.012744645E9</v>
      </c>
      <c r="E2866" s="1" t="s">
        <v>13181</v>
      </c>
      <c r="F2866" s="1"/>
      <c r="G2866" s="1" t="s">
        <v>1467</v>
      </c>
      <c r="H2866" s="1" t="s">
        <v>1053</v>
      </c>
      <c r="I2866" s="1">
        <v>7039.0</v>
      </c>
      <c r="J2866" s="1" t="s">
        <v>752</v>
      </c>
      <c r="K2866" s="1" t="s">
        <v>2131</v>
      </c>
      <c r="L2866" s="1" t="s">
        <v>5767</v>
      </c>
      <c r="M2866" s="1">
        <v>1.0</v>
      </c>
      <c r="N2866" s="1" t="s">
        <v>1152</v>
      </c>
      <c r="O2866" s="3" t="s">
        <v>696</v>
      </c>
      <c r="P2866" s="1" t="s">
        <v>1152</v>
      </c>
      <c r="Q2866" s="1" t="s">
        <v>1152</v>
      </c>
      <c r="R2866" s="1"/>
      <c r="S2866" s="1"/>
      <c r="T2866" s="1" t="s">
        <v>1152</v>
      </c>
      <c r="U2866" s="1" t="s">
        <v>1039</v>
      </c>
      <c r="V2866" s="4" t="s">
        <v>696</v>
      </c>
      <c r="W2866" s="1"/>
      <c r="X2866" s="1" t="s">
        <v>1152</v>
      </c>
      <c r="Y2866" s="1" t="s">
        <v>1152</v>
      </c>
      <c r="Z2866" s="1"/>
      <c r="AA2866" s="1"/>
      <c r="AB2866" s="1"/>
      <c r="AC2866" s="1" t="s">
        <v>1925</v>
      </c>
      <c r="AD2866" s="1"/>
      <c r="AE2866" s="18">
        <v>46148.0</v>
      </c>
      <c r="AF2866" s="1"/>
      <c r="AG2866" s="1"/>
      <c r="AH2866" s="1" t="s">
        <v>1152</v>
      </c>
      <c r="AI2866" s="1" t="s">
        <v>1152</v>
      </c>
      <c r="AJ2866" s="1" t="s">
        <v>695</v>
      </c>
      <c r="AK2866" s="1" t="s">
        <v>1152</v>
      </c>
      <c r="AL2866" s="6"/>
      <c r="AM2866" s="12" t="s">
        <v>13182</v>
      </c>
    </row>
    <row r="2867">
      <c r="A2867" s="5" t="s">
        <v>13183</v>
      </c>
      <c r="B2867" s="1" t="s">
        <v>13184</v>
      </c>
      <c r="C2867" s="1" t="s">
        <v>3169</v>
      </c>
      <c r="D2867" s="2">
        <v>7.812344526E9</v>
      </c>
      <c r="E2867" s="1" t="s">
        <v>4941</v>
      </c>
      <c r="F2867" s="1"/>
      <c r="G2867" s="1" t="s">
        <v>3171</v>
      </c>
      <c r="H2867" s="1" t="s">
        <v>1121</v>
      </c>
      <c r="I2867" s="1">
        <v>2467.0</v>
      </c>
      <c r="J2867" s="1" t="s">
        <v>752</v>
      </c>
      <c r="K2867" s="1" t="s">
        <v>2131</v>
      </c>
      <c r="L2867" s="1" t="s">
        <v>5811</v>
      </c>
      <c r="M2867" s="1">
        <v>1.0</v>
      </c>
      <c r="N2867" s="1" t="s">
        <v>1152</v>
      </c>
      <c r="O2867" s="3" t="s">
        <v>13185</v>
      </c>
      <c r="P2867" s="1" t="s">
        <v>1152</v>
      </c>
      <c r="Q2867" s="1" t="s">
        <v>1152</v>
      </c>
      <c r="R2867" s="1"/>
      <c r="S2867" s="1"/>
      <c r="T2867" s="1" t="s">
        <v>1152</v>
      </c>
      <c r="U2867" s="1" t="s">
        <v>1277</v>
      </c>
      <c r="V2867" s="4" t="s">
        <v>13185</v>
      </c>
      <c r="W2867" s="1"/>
      <c r="X2867" s="1" t="s">
        <v>1152</v>
      </c>
      <c r="Y2867" s="1" t="s">
        <v>1152</v>
      </c>
      <c r="Z2867" s="1"/>
      <c r="AA2867" s="1"/>
      <c r="AB2867" s="1"/>
      <c r="AC2867" s="1" t="s">
        <v>1925</v>
      </c>
      <c r="AD2867" s="1"/>
      <c r="AE2867" s="18">
        <v>46147.0</v>
      </c>
      <c r="AF2867" s="1"/>
      <c r="AG2867" s="1"/>
      <c r="AH2867" s="1" t="s">
        <v>1152</v>
      </c>
      <c r="AI2867" s="1" t="s">
        <v>1152</v>
      </c>
      <c r="AJ2867" s="1" t="s">
        <v>3170</v>
      </c>
      <c r="AK2867" s="1" t="s">
        <v>1152</v>
      </c>
      <c r="AL2867" s="6"/>
      <c r="AM2867" s="12">
        <v>7.812344526E9</v>
      </c>
    </row>
    <row r="2868">
      <c r="A2868" s="5" t="s">
        <v>13186</v>
      </c>
      <c r="B2868" s="1" t="s">
        <v>13187</v>
      </c>
      <c r="C2868" s="1" t="s">
        <v>13188</v>
      </c>
      <c r="D2868" s="2">
        <v>5.514276405E9</v>
      </c>
      <c r="E2868" s="1" t="s">
        <v>13189</v>
      </c>
      <c r="F2868" s="1"/>
      <c r="G2868" s="1" t="s">
        <v>13190</v>
      </c>
      <c r="H2868" s="1" t="s">
        <v>1078</v>
      </c>
      <c r="I2868" s="1">
        <v>6890.0</v>
      </c>
      <c r="J2868" s="1" t="s">
        <v>752</v>
      </c>
      <c r="K2868" s="1" t="s">
        <v>42</v>
      </c>
      <c r="L2868" s="1" t="s">
        <v>6819</v>
      </c>
      <c r="M2868" s="1">
        <v>49.0</v>
      </c>
      <c r="N2868" s="1" t="s">
        <v>1152</v>
      </c>
      <c r="O2868" s="3" t="s">
        <v>13191</v>
      </c>
      <c r="P2868" s="1" t="s">
        <v>1152</v>
      </c>
      <c r="Q2868" s="1" t="s">
        <v>1152</v>
      </c>
      <c r="R2868" s="1"/>
      <c r="S2868" s="1"/>
      <c r="T2868" s="1" t="s">
        <v>1152</v>
      </c>
      <c r="U2868" s="1" t="s">
        <v>1828</v>
      </c>
      <c r="V2868" s="4" t="s">
        <v>13191</v>
      </c>
      <c r="W2868" s="1"/>
      <c r="X2868" s="1" t="s">
        <v>1152</v>
      </c>
      <c r="Y2868" s="1" t="s">
        <v>1152</v>
      </c>
      <c r="Z2868" s="1"/>
      <c r="AA2868" s="1"/>
      <c r="AB2868" s="1"/>
      <c r="AC2868" s="1" t="s">
        <v>1925</v>
      </c>
      <c r="AD2868" s="1"/>
      <c r="AE2868" s="18">
        <v>46158.0</v>
      </c>
      <c r="AF2868" s="1" t="s">
        <v>1030</v>
      </c>
      <c r="AG2868" s="1" t="s">
        <v>52</v>
      </c>
      <c r="AH2868" s="1" t="s">
        <v>1152</v>
      </c>
      <c r="AI2868" s="1" t="s">
        <v>13192</v>
      </c>
      <c r="AJ2868" s="1" t="s">
        <v>13193</v>
      </c>
      <c r="AK2868" s="1" t="s">
        <v>1152</v>
      </c>
      <c r="AL2868" s="6"/>
      <c r="AM2868" s="12">
        <v>5.515799189E9</v>
      </c>
    </row>
    <row r="2869">
      <c r="A2869" s="5" t="s">
        <v>13194</v>
      </c>
      <c r="B2869" s="1" t="s">
        <v>13195</v>
      </c>
      <c r="C2869" s="1" t="s">
        <v>13196</v>
      </c>
      <c r="D2869" s="2">
        <v>9.146464187E9</v>
      </c>
      <c r="E2869" s="1" t="s">
        <v>74</v>
      </c>
      <c r="F2869" s="1"/>
      <c r="G2869" s="1" t="s">
        <v>1382</v>
      </c>
      <c r="H2869" s="1" t="s">
        <v>751</v>
      </c>
      <c r="I2869" s="1">
        <v>10583.0</v>
      </c>
      <c r="J2869" s="1" t="s">
        <v>752</v>
      </c>
      <c r="K2869" s="1" t="s">
        <v>2131</v>
      </c>
      <c r="L2869" s="1" t="s">
        <v>5811</v>
      </c>
      <c r="M2869" s="1">
        <v>1.0</v>
      </c>
      <c r="N2869" s="1" t="s">
        <v>1152</v>
      </c>
      <c r="O2869" s="3" t="s">
        <v>77</v>
      </c>
      <c r="P2869" s="1" t="s">
        <v>1152</v>
      </c>
      <c r="Q2869" s="1" t="s">
        <v>1152</v>
      </c>
      <c r="R2869" s="1"/>
      <c r="S2869" s="1"/>
      <c r="T2869" s="1" t="s">
        <v>1152</v>
      </c>
      <c r="U2869" s="1" t="s">
        <v>1133</v>
      </c>
      <c r="V2869" s="4" t="s">
        <v>77</v>
      </c>
      <c r="W2869" s="1"/>
      <c r="X2869" s="1" t="s">
        <v>1152</v>
      </c>
      <c r="Y2869" s="1" t="s">
        <v>1152</v>
      </c>
      <c r="Z2869" s="1"/>
      <c r="AA2869" s="1"/>
      <c r="AB2869" s="1"/>
      <c r="AC2869" s="1" t="s">
        <v>1925</v>
      </c>
      <c r="AD2869" s="1"/>
      <c r="AE2869" s="18">
        <v>46150.0</v>
      </c>
      <c r="AF2869" s="1"/>
      <c r="AG2869" s="1"/>
      <c r="AH2869" s="1" t="s">
        <v>1152</v>
      </c>
      <c r="AI2869" s="1" t="s">
        <v>1152</v>
      </c>
      <c r="AJ2869" s="1" t="s">
        <v>74</v>
      </c>
      <c r="AK2869" s="1" t="s">
        <v>1152</v>
      </c>
      <c r="AL2869" s="6"/>
      <c r="AM2869" s="12">
        <v>9.146464187E9</v>
      </c>
    </row>
    <row r="2870">
      <c r="A2870" s="5" t="s">
        <v>13197</v>
      </c>
      <c r="B2870" s="1" t="s">
        <v>13198</v>
      </c>
      <c r="C2870" s="1" t="s">
        <v>13199</v>
      </c>
      <c r="D2870" s="2">
        <v>6.505566773E9</v>
      </c>
      <c r="E2870" s="1" t="s">
        <v>13200</v>
      </c>
      <c r="F2870" s="1"/>
      <c r="G2870" s="1" t="s">
        <v>6996</v>
      </c>
      <c r="H2870" s="1" t="s">
        <v>989</v>
      </c>
      <c r="I2870" s="1">
        <v>94070.0</v>
      </c>
      <c r="J2870" s="1" t="s">
        <v>752</v>
      </c>
      <c r="K2870" s="1" t="s">
        <v>42</v>
      </c>
      <c r="L2870" s="1" t="s">
        <v>6819</v>
      </c>
      <c r="M2870" s="1">
        <v>49.0</v>
      </c>
      <c r="N2870" s="1" t="s">
        <v>1152</v>
      </c>
      <c r="O2870" s="3" t="s">
        <v>13201</v>
      </c>
      <c r="P2870" s="1" t="s">
        <v>1152</v>
      </c>
      <c r="Q2870" s="1" t="s">
        <v>1152</v>
      </c>
      <c r="R2870" s="1"/>
      <c r="S2870" s="1"/>
      <c r="T2870" s="1" t="s">
        <v>1152</v>
      </c>
      <c r="U2870" s="1" t="s">
        <v>1080</v>
      </c>
      <c r="V2870" s="4" t="s">
        <v>13201</v>
      </c>
      <c r="W2870" s="1"/>
      <c r="X2870" s="1" t="s">
        <v>1152</v>
      </c>
      <c r="Y2870" s="1" t="s">
        <v>1152</v>
      </c>
      <c r="Z2870" s="1"/>
      <c r="AA2870" s="1"/>
      <c r="AB2870" s="1"/>
      <c r="AC2870" s="1" t="s">
        <v>1925</v>
      </c>
      <c r="AD2870" s="1"/>
      <c r="AE2870" s="18">
        <v>46149.0</v>
      </c>
      <c r="AF2870" s="1" t="s">
        <v>1630</v>
      </c>
      <c r="AG2870" s="1" t="s">
        <v>52</v>
      </c>
      <c r="AH2870" s="1" t="s">
        <v>1152</v>
      </c>
      <c r="AI2870" s="1" t="s">
        <v>1152</v>
      </c>
      <c r="AJ2870" s="1" t="s">
        <v>13200</v>
      </c>
      <c r="AK2870" s="1" t="s">
        <v>1152</v>
      </c>
      <c r="AL2870" s="6"/>
      <c r="AM2870" s="12">
        <v>6.505566773E9</v>
      </c>
    </row>
    <row r="2871">
      <c r="A2871" s="5" t="s">
        <v>13197</v>
      </c>
      <c r="B2871" s="1" t="s">
        <v>13198</v>
      </c>
      <c r="C2871" s="1" t="s">
        <v>13199</v>
      </c>
      <c r="D2871" s="2">
        <v>6.505566773E9</v>
      </c>
      <c r="E2871" s="1" t="s">
        <v>13200</v>
      </c>
      <c r="F2871" s="1"/>
      <c r="G2871" s="1" t="s">
        <v>6996</v>
      </c>
      <c r="H2871" s="1" t="s">
        <v>989</v>
      </c>
      <c r="I2871" s="1">
        <v>94070.0</v>
      </c>
      <c r="J2871" s="1" t="s">
        <v>752</v>
      </c>
      <c r="K2871" s="1" t="s">
        <v>892</v>
      </c>
      <c r="L2871" s="1" t="s">
        <v>8006</v>
      </c>
      <c r="M2871" s="1">
        <v>49.0</v>
      </c>
      <c r="N2871" s="1" t="s">
        <v>1152</v>
      </c>
      <c r="O2871" s="3" t="s">
        <v>13201</v>
      </c>
      <c r="P2871" s="1" t="s">
        <v>1152</v>
      </c>
      <c r="Q2871" s="1" t="s">
        <v>1152</v>
      </c>
      <c r="R2871" s="1"/>
      <c r="S2871" s="1"/>
      <c r="T2871" s="1" t="s">
        <v>1152</v>
      </c>
      <c r="U2871" s="1" t="s">
        <v>1080</v>
      </c>
      <c r="V2871" s="4" t="s">
        <v>13201</v>
      </c>
      <c r="W2871" s="1"/>
      <c r="X2871" s="1" t="s">
        <v>1152</v>
      </c>
      <c r="Y2871" s="1" t="s">
        <v>1152</v>
      </c>
      <c r="Z2871" s="1"/>
      <c r="AA2871" s="1"/>
      <c r="AB2871" s="1"/>
      <c r="AC2871" s="1" t="s">
        <v>1925</v>
      </c>
      <c r="AD2871" s="1"/>
      <c r="AE2871" s="18">
        <v>46149.0</v>
      </c>
      <c r="AF2871" s="1" t="s">
        <v>1630</v>
      </c>
      <c r="AG2871" s="1" t="s">
        <v>52</v>
      </c>
      <c r="AH2871" s="1" t="s">
        <v>13202</v>
      </c>
      <c r="AI2871" s="1" t="s">
        <v>1152</v>
      </c>
      <c r="AJ2871" s="1" t="s">
        <v>13200</v>
      </c>
      <c r="AK2871" s="1" t="s">
        <v>1152</v>
      </c>
      <c r="AL2871" s="6"/>
      <c r="AM2871" s="12">
        <v>6.505566773E9</v>
      </c>
    </row>
    <row r="2872">
      <c r="A2872" s="5" t="s">
        <v>13203</v>
      </c>
      <c r="B2872" s="1" t="s">
        <v>13204</v>
      </c>
      <c r="C2872" s="1" t="s">
        <v>13205</v>
      </c>
      <c r="D2872" s="2">
        <v>9.092623257E9</v>
      </c>
      <c r="E2872" s="1" t="s">
        <v>13206</v>
      </c>
      <c r="F2872" s="1"/>
      <c r="G2872" s="1" t="s">
        <v>13207</v>
      </c>
      <c r="H2872" s="1" t="s">
        <v>989</v>
      </c>
      <c r="I2872" s="1">
        <v>91730.0</v>
      </c>
      <c r="J2872" s="1" t="s">
        <v>752</v>
      </c>
      <c r="K2872" s="1" t="s">
        <v>42</v>
      </c>
      <c r="L2872" s="1" t="s">
        <v>6819</v>
      </c>
      <c r="M2872" s="1">
        <v>49.0</v>
      </c>
      <c r="N2872" s="1" t="s">
        <v>1152</v>
      </c>
      <c r="O2872" s="3" t="s">
        <v>13208</v>
      </c>
      <c r="P2872" s="1" t="s">
        <v>1152</v>
      </c>
      <c r="Q2872" s="1" t="s">
        <v>1152</v>
      </c>
      <c r="R2872" s="1"/>
      <c r="S2872" s="1"/>
      <c r="T2872" s="1" t="s">
        <v>1152</v>
      </c>
      <c r="U2872" s="1" t="s">
        <v>1249</v>
      </c>
      <c r="V2872" s="4" t="s">
        <v>13208</v>
      </c>
      <c r="W2872" s="1"/>
      <c r="X2872" s="1" t="s">
        <v>1152</v>
      </c>
      <c r="Y2872" s="1" t="s">
        <v>1152</v>
      </c>
      <c r="Z2872" s="1"/>
      <c r="AA2872" s="1"/>
      <c r="AB2872" s="1"/>
      <c r="AC2872" s="1" t="s">
        <v>1925</v>
      </c>
      <c r="AD2872" s="1"/>
      <c r="AE2872" s="18">
        <v>46149.0</v>
      </c>
      <c r="AF2872" s="1" t="s">
        <v>1030</v>
      </c>
      <c r="AG2872" s="1" t="s">
        <v>52</v>
      </c>
      <c r="AH2872" s="1" t="s">
        <v>1152</v>
      </c>
      <c r="AI2872" s="1" t="s">
        <v>1152</v>
      </c>
      <c r="AJ2872" s="1" t="s">
        <v>13209</v>
      </c>
      <c r="AK2872" s="1" t="s">
        <v>1152</v>
      </c>
      <c r="AL2872" s="6"/>
      <c r="AM2872" s="12">
        <v>9.092623257E9</v>
      </c>
    </row>
    <row r="2873">
      <c r="A2873" s="5" t="s">
        <v>13210</v>
      </c>
      <c r="B2873" s="1" t="s">
        <v>13211</v>
      </c>
      <c r="C2873" s="1" t="s">
        <v>13212</v>
      </c>
      <c r="D2873" s="2">
        <v>5.616351769E9</v>
      </c>
      <c r="E2873" s="1" t="s">
        <v>7725</v>
      </c>
      <c r="F2873" s="1"/>
      <c r="G2873" s="1" t="s">
        <v>2074</v>
      </c>
      <c r="H2873" s="1" t="s">
        <v>1208</v>
      </c>
      <c r="I2873" s="1">
        <v>33410.0</v>
      </c>
      <c r="J2873" s="1" t="s">
        <v>752</v>
      </c>
      <c r="K2873" s="1" t="s">
        <v>42</v>
      </c>
      <c r="L2873" s="1" t="s">
        <v>6819</v>
      </c>
      <c r="M2873" s="1">
        <v>49.0</v>
      </c>
      <c r="N2873" s="1" t="s">
        <v>1152</v>
      </c>
      <c r="O2873" s="3" t="s">
        <v>5228</v>
      </c>
      <c r="P2873" s="1" t="s">
        <v>1152</v>
      </c>
      <c r="Q2873" s="1" t="s">
        <v>1152</v>
      </c>
      <c r="R2873" s="1"/>
      <c r="S2873" s="1"/>
      <c r="T2873" s="1" t="s">
        <v>1152</v>
      </c>
      <c r="U2873" s="1" t="s">
        <v>948</v>
      </c>
      <c r="V2873" s="4" t="s">
        <v>5228</v>
      </c>
      <c r="W2873" s="1"/>
      <c r="X2873" s="1" t="s">
        <v>1152</v>
      </c>
      <c r="Y2873" s="1" t="s">
        <v>1152</v>
      </c>
      <c r="Z2873" s="1"/>
      <c r="AA2873" s="1"/>
      <c r="AB2873" s="1"/>
      <c r="AC2873" s="1" t="s">
        <v>1925</v>
      </c>
      <c r="AD2873" s="1"/>
      <c r="AE2873" s="18">
        <v>46150.0</v>
      </c>
      <c r="AF2873" s="1" t="s">
        <v>1030</v>
      </c>
      <c r="AG2873" s="1" t="s">
        <v>52</v>
      </c>
      <c r="AH2873" s="1" t="s">
        <v>1152</v>
      </c>
      <c r="AI2873" s="1" t="s">
        <v>1152</v>
      </c>
      <c r="AJ2873" s="1" t="s">
        <v>7726</v>
      </c>
      <c r="AK2873" s="1" t="s">
        <v>1152</v>
      </c>
      <c r="AL2873" s="6"/>
      <c r="AM2873" s="12">
        <v>5.61777327E9</v>
      </c>
    </row>
    <row r="2874">
      <c r="A2874" s="5" t="s">
        <v>13213</v>
      </c>
      <c r="B2874" s="1" t="s">
        <v>13214</v>
      </c>
      <c r="C2874" s="1" t="s">
        <v>9861</v>
      </c>
      <c r="D2874" s="2">
        <v>2.038148546E9</v>
      </c>
      <c r="E2874" s="1" t="s">
        <v>3704</v>
      </c>
      <c r="F2874" s="1"/>
      <c r="G2874" s="1" t="s">
        <v>1604</v>
      </c>
      <c r="H2874" s="1" t="s">
        <v>1078</v>
      </c>
      <c r="I2874" s="1">
        <v>6880.0</v>
      </c>
      <c r="J2874" s="1" t="s">
        <v>752</v>
      </c>
      <c r="K2874" s="1" t="s">
        <v>2131</v>
      </c>
      <c r="L2874" s="1" t="s">
        <v>5767</v>
      </c>
      <c r="M2874" s="1">
        <v>1.0</v>
      </c>
      <c r="N2874" s="1" t="s">
        <v>1152</v>
      </c>
      <c r="O2874" s="3" t="s">
        <v>3705</v>
      </c>
      <c r="P2874" s="1" t="s">
        <v>1152</v>
      </c>
      <c r="Q2874" s="1" t="s">
        <v>1152</v>
      </c>
      <c r="R2874" s="1"/>
      <c r="S2874" s="1"/>
      <c r="T2874" s="1" t="s">
        <v>1152</v>
      </c>
      <c r="U2874" s="1" t="s">
        <v>1343</v>
      </c>
      <c r="V2874" s="4" t="s">
        <v>3705</v>
      </c>
      <c r="W2874" s="1"/>
      <c r="X2874" s="1" t="s">
        <v>1152</v>
      </c>
      <c r="Y2874" s="1" t="s">
        <v>1152</v>
      </c>
      <c r="Z2874" s="1"/>
      <c r="AA2874" s="1"/>
      <c r="AB2874" s="1"/>
      <c r="AC2874" s="1" t="s">
        <v>1925</v>
      </c>
      <c r="AD2874" s="1"/>
      <c r="AE2874" s="18">
        <v>46147.0</v>
      </c>
      <c r="AF2874" s="1"/>
      <c r="AG2874" s="1"/>
      <c r="AH2874" s="1" t="s">
        <v>1152</v>
      </c>
      <c r="AI2874" s="1" t="s">
        <v>1152</v>
      </c>
      <c r="AJ2874" s="1" t="s">
        <v>3704</v>
      </c>
      <c r="AK2874" s="1" t="s">
        <v>1152</v>
      </c>
      <c r="AL2874" s="6"/>
      <c r="AM2874" s="12">
        <v>2.038148546E9</v>
      </c>
    </row>
    <row r="2875">
      <c r="A2875" s="5" t="s">
        <v>13215</v>
      </c>
      <c r="B2875" s="1" t="s">
        <v>13216</v>
      </c>
      <c r="C2875" s="1" t="s">
        <v>13217</v>
      </c>
      <c r="D2875" s="2">
        <v>6.312638028E9</v>
      </c>
      <c r="E2875" s="1" t="s">
        <v>13218</v>
      </c>
      <c r="F2875" s="1"/>
      <c r="G2875" s="1" t="s">
        <v>13219</v>
      </c>
      <c r="H2875" s="1" t="s">
        <v>751</v>
      </c>
      <c r="I2875" s="1">
        <v>11787.0</v>
      </c>
      <c r="J2875" s="1" t="s">
        <v>752</v>
      </c>
      <c r="K2875" s="1" t="s">
        <v>42</v>
      </c>
      <c r="L2875" s="1" t="s">
        <v>6819</v>
      </c>
      <c r="M2875" s="1">
        <v>49.0</v>
      </c>
      <c r="N2875" s="1" t="s">
        <v>1152</v>
      </c>
      <c r="O2875" s="3" t="s">
        <v>1793</v>
      </c>
      <c r="P2875" s="1" t="s">
        <v>1152</v>
      </c>
      <c r="Q2875" s="1" t="s">
        <v>1152</v>
      </c>
      <c r="R2875" s="1"/>
      <c r="S2875" s="1"/>
      <c r="T2875" s="1" t="s">
        <v>1152</v>
      </c>
      <c r="U2875" s="1" t="s">
        <v>1021</v>
      </c>
      <c r="V2875" s="4" t="s">
        <v>1793</v>
      </c>
      <c r="W2875" s="1"/>
      <c r="X2875" s="1" t="s">
        <v>1152</v>
      </c>
      <c r="Y2875" s="1" t="s">
        <v>1152</v>
      </c>
      <c r="Z2875" s="1"/>
      <c r="AA2875" s="1"/>
      <c r="AB2875" s="1"/>
      <c r="AC2875" s="1" t="s">
        <v>1925</v>
      </c>
      <c r="AD2875" s="1"/>
      <c r="AE2875" s="18">
        <v>46148.0</v>
      </c>
      <c r="AF2875" s="1" t="s">
        <v>1030</v>
      </c>
      <c r="AG2875" s="1" t="s">
        <v>52</v>
      </c>
      <c r="AH2875" s="1" t="s">
        <v>1152</v>
      </c>
      <c r="AI2875" s="1" t="s">
        <v>1152</v>
      </c>
      <c r="AJ2875" s="1" t="s">
        <v>13218</v>
      </c>
      <c r="AK2875" s="1" t="s">
        <v>1152</v>
      </c>
      <c r="AL2875" s="6"/>
      <c r="AM2875" s="12">
        <v>6.312638028E9</v>
      </c>
    </row>
    <row r="2876">
      <c r="A2876" s="5" t="s">
        <v>13220</v>
      </c>
      <c r="B2876" s="1" t="s">
        <v>13221</v>
      </c>
      <c r="C2876" s="1" t="s">
        <v>6707</v>
      </c>
      <c r="D2876" s="2">
        <v>7.737913143E9</v>
      </c>
      <c r="E2876" s="1" t="s">
        <v>6708</v>
      </c>
      <c r="F2876" s="1"/>
      <c r="G2876" s="1" t="s">
        <v>3041</v>
      </c>
      <c r="H2876" s="1" t="s">
        <v>1019</v>
      </c>
      <c r="I2876" s="1">
        <v>60091.0</v>
      </c>
      <c r="J2876" s="1" t="s">
        <v>752</v>
      </c>
      <c r="K2876" s="1" t="s">
        <v>2131</v>
      </c>
      <c r="L2876" s="1" t="s">
        <v>5811</v>
      </c>
      <c r="M2876" s="1">
        <v>1.0</v>
      </c>
      <c r="N2876" s="1" t="s">
        <v>1152</v>
      </c>
      <c r="O2876" s="3" t="s">
        <v>13222</v>
      </c>
      <c r="P2876" s="1" t="s">
        <v>1152</v>
      </c>
      <c r="Q2876" s="1" t="s">
        <v>1152</v>
      </c>
      <c r="R2876" s="1"/>
      <c r="S2876" s="1"/>
      <c r="T2876" s="1" t="s">
        <v>1152</v>
      </c>
      <c r="U2876" s="1" t="s">
        <v>3756</v>
      </c>
      <c r="V2876" s="4" t="s">
        <v>13222</v>
      </c>
      <c r="W2876" s="1"/>
      <c r="X2876" s="1" t="s">
        <v>1152</v>
      </c>
      <c r="Y2876" s="1" t="s">
        <v>1152</v>
      </c>
      <c r="Z2876" s="1"/>
      <c r="AA2876" s="1"/>
      <c r="AB2876" s="1"/>
      <c r="AC2876" s="1" t="s">
        <v>1925</v>
      </c>
      <c r="AD2876" s="1"/>
      <c r="AE2876" s="18">
        <v>46147.0</v>
      </c>
      <c r="AF2876" s="1"/>
      <c r="AG2876" s="1"/>
      <c r="AH2876" s="1" t="s">
        <v>1152</v>
      </c>
      <c r="AI2876" s="1" t="s">
        <v>1152</v>
      </c>
      <c r="AJ2876" s="1" t="s">
        <v>6710</v>
      </c>
      <c r="AK2876" s="1" t="s">
        <v>1152</v>
      </c>
      <c r="AL2876" s="6"/>
      <c r="AM2876" s="12" t="s">
        <v>13223</v>
      </c>
    </row>
    <row r="2877">
      <c r="A2877" s="5" t="s">
        <v>13224</v>
      </c>
      <c r="B2877" s="1" t="s">
        <v>13225</v>
      </c>
      <c r="C2877" s="1" t="s">
        <v>13226</v>
      </c>
      <c r="D2877" s="2">
        <v>2.059223707E9</v>
      </c>
      <c r="E2877" s="1" t="s">
        <v>1083</v>
      </c>
      <c r="F2877" s="1"/>
      <c r="G2877" s="1" t="s">
        <v>1085</v>
      </c>
      <c r="H2877" s="1" t="s">
        <v>1086</v>
      </c>
      <c r="I2877" s="1">
        <v>35209.0</v>
      </c>
      <c r="J2877" s="1" t="s">
        <v>752</v>
      </c>
      <c r="K2877" s="1" t="s">
        <v>2131</v>
      </c>
      <c r="L2877" s="1" t="s">
        <v>5767</v>
      </c>
      <c r="M2877" s="1">
        <v>1.0</v>
      </c>
      <c r="N2877" s="1" t="s">
        <v>1152</v>
      </c>
      <c r="O2877" s="3" t="s">
        <v>1087</v>
      </c>
      <c r="P2877" s="1" t="s">
        <v>1152</v>
      </c>
      <c r="Q2877" s="1" t="s">
        <v>1152</v>
      </c>
      <c r="R2877" s="1"/>
      <c r="S2877" s="1"/>
      <c r="T2877" s="1" t="s">
        <v>1152</v>
      </c>
      <c r="U2877" s="1" t="s">
        <v>948</v>
      </c>
      <c r="V2877" s="4" t="s">
        <v>1087</v>
      </c>
      <c r="W2877" s="1"/>
      <c r="X2877" s="1" t="s">
        <v>1152</v>
      </c>
      <c r="Y2877" s="1" t="s">
        <v>1152</v>
      </c>
      <c r="Z2877" s="1"/>
      <c r="AA2877" s="1"/>
      <c r="AB2877" s="1"/>
      <c r="AC2877" s="1" t="s">
        <v>1925</v>
      </c>
      <c r="AD2877" s="1"/>
      <c r="AE2877" s="18">
        <v>46147.0</v>
      </c>
      <c r="AF2877" s="1"/>
      <c r="AG2877" s="1"/>
      <c r="AH2877" s="1" t="s">
        <v>1152</v>
      </c>
      <c r="AI2877" s="1" t="s">
        <v>1152</v>
      </c>
      <c r="AJ2877" s="1" t="s">
        <v>1083</v>
      </c>
      <c r="AK2877" s="1" t="s">
        <v>1152</v>
      </c>
      <c r="AL2877" s="6"/>
      <c r="AM2877" s="12">
        <v>2.059223707E9</v>
      </c>
    </row>
    <row r="2878">
      <c r="A2878" s="5" t="s">
        <v>13227</v>
      </c>
      <c r="B2878" s="1" t="s">
        <v>13228</v>
      </c>
      <c r="C2878" s="1" t="s">
        <v>13229</v>
      </c>
      <c r="D2878" s="2">
        <v>9.086166375E9</v>
      </c>
      <c r="E2878" s="1" t="s">
        <v>9985</v>
      </c>
      <c r="F2878" s="1"/>
      <c r="G2878" s="1" t="s">
        <v>5437</v>
      </c>
      <c r="H2878" s="1" t="s">
        <v>1053</v>
      </c>
      <c r="I2878" s="1">
        <v>8502.0</v>
      </c>
      <c r="J2878" s="1" t="s">
        <v>752</v>
      </c>
      <c r="K2878" s="1" t="s">
        <v>2131</v>
      </c>
      <c r="L2878" s="1" t="s">
        <v>5811</v>
      </c>
      <c r="M2878" s="1">
        <v>1.0</v>
      </c>
      <c r="N2878" s="1" t="s">
        <v>1152</v>
      </c>
      <c r="O2878" s="3" t="s">
        <v>5438</v>
      </c>
      <c r="P2878" s="1" t="s">
        <v>1152</v>
      </c>
      <c r="Q2878" s="1" t="s">
        <v>1152</v>
      </c>
      <c r="R2878" s="1"/>
      <c r="S2878" s="1"/>
      <c r="T2878" s="1" t="s">
        <v>1152</v>
      </c>
      <c r="U2878" s="1" t="s">
        <v>956</v>
      </c>
      <c r="V2878" s="4" t="s">
        <v>5438</v>
      </c>
      <c r="W2878" s="1"/>
      <c r="X2878" s="1" t="s">
        <v>1152</v>
      </c>
      <c r="Y2878" s="1" t="s">
        <v>1152</v>
      </c>
      <c r="Z2878" s="1"/>
      <c r="AA2878" s="1"/>
      <c r="AB2878" s="1"/>
      <c r="AC2878" s="1" t="s">
        <v>1925</v>
      </c>
      <c r="AD2878" s="1"/>
      <c r="AE2878" s="18">
        <v>46149.0</v>
      </c>
      <c r="AF2878" s="1"/>
      <c r="AG2878" s="1"/>
      <c r="AH2878" s="1" t="s">
        <v>1152</v>
      </c>
      <c r="AI2878" s="1" t="s">
        <v>1152</v>
      </c>
      <c r="AJ2878" s="1" t="s">
        <v>9985</v>
      </c>
      <c r="AK2878" s="1" t="s">
        <v>1152</v>
      </c>
      <c r="AL2878" s="6"/>
      <c r="AM2878" s="12">
        <v>9.086166375E9</v>
      </c>
    </row>
    <row r="2879">
      <c r="A2879" s="5" t="s">
        <v>13230</v>
      </c>
      <c r="B2879" s="1" t="s">
        <v>13231</v>
      </c>
      <c r="C2879" s="1" t="s">
        <v>13232</v>
      </c>
      <c r="D2879" s="2">
        <v>7.725300687E9</v>
      </c>
      <c r="E2879" s="1" t="s">
        <v>7232</v>
      </c>
      <c r="F2879" s="1"/>
      <c r="G2879" s="1" t="s">
        <v>4572</v>
      </c>
      <c r="H2879" s="1" t="s">
        <v>1208</v>
      </c>
      <c r="I2879" s="1">
        <v>34990.0</v>
      </c>
      <c r="J2879" s="1" t="s">
        <v>752</v>
      </c>
      <c r="K2879" s="1" t="s">
        <v>42</v>
      </c>
      <c r="L2879" s="1" t="s">
        <v>6819</v>
      </c>
      <c r="M2879" s="1">
        <v>49.0</v>
      </c>
      <c r="N2879" s="1" t="s">
        <v>1152</v>
      </c>
      <c r="O2879" s="3" t="s">
        <v>11941</v>
      </c>
      <c r="P2879" s="1" t="s">
        <v>1152</v>
      </c>
      <c r="Q2879" s="1" t="s">
        <v>1152</v>
      </c>
      <c r="R2879" s="1"/>
      <c r="S2879" s="1"/>
      <c r="T2879" s="1" t="s">
        <v>1152</v>
      </c>
      <c r="U2879" s="1" t="s">
        <v>1407</v>
      </c>
      <c r="V2879" s="4" t="s">
        <v>11941</v>
      </c>
      <c r="W2879" s="1"/>
      <c r="X2879" s="1" t="s">
        <v>1152</v>
      </c>
      <c r="Y2879" s="1" t="s">
        <v>1152</v>
      </c>
      <c r="Z2879" s="1"/>
      <c r="AA2879" s="1"/>
      <c r="AB2879" s="1"/>
      <c r="AC2879" s="1" t="s">
        <v>1925</v>
      </c>
      <c r="AD2879" s="1"/>
      <c r="AE2879" s="18">
        <v>46149.0</v>
      </c>
      <c r="AF2879" s="1" t="s">
        <v>1630</v>
      </c>
      <c r="AG2879" s="1" t="s">
        <v>52</v>
      </c>
      <c r="AH2879" s="1" t="s">
        <v>1152</v>
      </c>
      <c r="AI2879" s="1" t="s">
        <v>1152</v>
      </c>
      <c r="AJ2879" s="1" t="s">
        <v>7232</v>
      </c>
      <c r="AK2879" s="1" t="s">
        <v>1152</v>
      </c>
      <c r="AL2879" s="6"/>
      <c r="AM2879" s="12">
        <v>7.725300687E9</v>
      </c>
    </row>
    <row r="2880">
      <c r="A2880" s="5" t="s">
        <v>13233</v>
      </c>
      <c r="B2880" s="1" t="s">
        <v>13234</v>
      </c>
      <c r="C2880" s="1" t="s">
        <v>13235</v>
      </c>
      <c r="D2880" s="2">
        <v>7.327639147E9</v>
      </c>
      <c r="E2880" s="1" t="s">
        <v>13236</v>
      </c>
      <c r="F2880" s="1"/>
      <c r="G2880" s="1" t="s">
        <v>1115</v>
      </c>
      <c r="H2880" s="1" t="s">
        <v>1053</v>
      </c>
      <c r="I2880" s="1">
        <v>8904.0</v>
      </c>
      <c r="J2880" s="1" t="s">
        <v>752</v>
      </c>
      <c r="K2880" s="1" t="s">
        <v>75</v>
      </c>
      <c r="L2880" s="1" t="s">
        <v>8733</v>
      </c>
      <c r="M2880" s="1">
        <v>49.0</v>
      </c>
      <c r="N2880" s="1" t="s">
        <v>2461</v>
      </c>
      <c r="O2880" s="3" t="s">
        <v>103</v>
      </c>
      <c r="P2880" s="18">
        <v>46248.0</v>
      </c>
      <c r="Q2880" s="1" t="s">
        <v>1152</v>
      </c>
      <c r="R2880" s="1"/>
      <c r="S2880" s="1" t="s">
        <v>52</v>
      </c>
      <c r="T2880" s="1" t="s">
        <v>2461</v>
      </c>
      <c r="U2880" s="1" t="s">
        <v>102</v>
      </c>
      <c r="V2880" s="4" t="s">
        <v>103</v>
      </c>
      <c r="W2880" s="1"/>
      <c r="X2880" s="18">
        <v>46248.0</v>
      </c>
      <c r="Y2880" s="1" t="s">
        <v>1152</v>
      </c>
      <c r="Z2880" s="1"/>
      <c r="AA2880" s="1"/>
      <c r="AB2880" s="1" t="s">
        <v>52</v>
      </c>
      <c r="AC2880" s="1" t="s">
        <v>1925</v>
      </c>
      <c r="AD2880" s="1" t="s">
        <v>13237</v>
      </c>
      <c r="AE2880" s="1" t="s">
        <v>1152</v>
      </c>
      <c r="AF2880" s="1"/>
      <c r="AG2880" s="1"/>
      <c r="AH2880" s="1" t="s">
        <v>1152</v>
      </c>
      <c r="AI2880" s="1" t="s">
        <v>1152</v>
      </c>
      <c r="AJ2880" s="1" t="s">
        <v>13238</v>
      </c>
      <c r="AK2880" s="1" t="s">
        <v>1152</v>
      </c>
      <c r="AL2880" s="6"/>
      <c r="AM2880" s="12" t="s">
        <v>13239</v>
      </c>
    </row>
    <row r="2881">
      <c r="A2881" s="5" t="s">
        <v>13240</v>
      </c>
      <c r="B2881" s="1" t="s">
        <v>13241</v>
      </c>
      <c r="C2881" s="1" t="s">
        <v>13242</v>
      </c>
      <c r="D2881" s="2">
        <v>6.467506269E9</v>
      </c>
      <c r="E2881" s="1" t="s">
        <v>13243</v>
      </c>
      <c r="F2881" s="1"/>
      <c r="G2881" s="1" t="s">
        <v>4759</v>
      </c>
      <c r="H2881" s="1" t="s">
        <v>1053</v>
      </c>
      <c r="I2881" s="1">
        <v>7928.0</v>
      </c>
      <c r="J2881" s="1" t="s">
        <v>752</v>
      </c>
      <c r="K2881" s="1" t="s">
        <v>42</v>
      </c>
      <c r="L2881" s="1" t="s">
        <v>6819</v>
      </c>
      <c r="M2881" s="1">
        <v>49.0</v>
      </c>
      <c r="N2881" s="1" t="s">
        <v>1152</v>
      </c>
      <c r="O2881" s="3" t="s">
        <v>13244</v>
      </c>
      <c r="P2881" s="1" t="s">
        <v>1152</v>
      </c>
      <c r="Q2881" s="1" t="s">
        <v>1152</v>
      </c>
      <c r="R2881" s="1"/>
      <c r="S2881" s="1"/>
      <c r="T2881" s="1" t="s">
        <v>1152</v>
      </c>
      <c r="U2881" s="1" t="s">
        <v>1174</v>
      </c>
      <c r="V2881" s="4" t="s">
        <v>13244</v>
      </c>
      <c r="W2881" s="1"/>
      <c r="X2881" s="1" t="s">
        <v>1152</v>
      </c>
      <c r="Y2881" s="1" t="s">
        <v>1152</v>
      </c>
      <c r="Z2881" s="1"/>
      <c r="AA2881" s="1"/>
      <c r="AB2881" s="1"/>
      <c r="AC2881" s="1" t="s">
        <v>1925</v>
      </c>
      <c r="AD2881" s="1"/>
      <c r="AE2881" s="18">
        <v>46148.0</v>
      </c>
      <c r="AF2881" s="1" t="s">
        <v>1030</v>
      </c>
      <c r="AG2881" s="1" t="s">
        <v>52</v>
      </c>
      <c r="AH2881" s="1" t="s">
        <v>1152</v>
      </c>
      <c r="AI2881" s="1" t="s">
        <v>1152</v>
      </c>
      <c r="AJ2881" s="1" t="s">
        <v>13243</v>
      </c>
      <c r="AK2881" s="1" t="s">
        <v>1152</v>
      </c>
      <c r="AL2881" s="6"/>
      <c r="AM2881" s="12">
        <v>6.467506269E9</v>
      </c>
    </row>
    <row r="2882">
      <c r="A2882" s="5" t="s">
        <v>13245</v>
      </c>
      <c r="B2882" s="1" t="s">
        <v>13246</v>
      </c>
      <c r="C2882" s="1" t="s">
        <v>3176</v>
      </c>
      <c r="D2882" s="2">
        <v>9.173716988E9</v>
      </c>
      <c r="E2882" s="1" t="s">
        <v>3177</v>
      </c>
      <c r="F2882" s="1"/>
      <c r="G2882" s="1" t="s">
        <v>751</v>
      </c>
      <c r="H2882" s="1" t="s">
        <v>751</v>
      </c>
      <c r="I2882" s="1">
        <v>10025.0</v>
      </c>
      <c r="J2882" s="1" t="s">
        <v>752</v>
      </c>
      <c r="K2882" s="1" t="s">
        <v>2131</v>
      </c>
      <c r="L2882" s="1" t="s">
        <v>6107</v>
      </c>
      <c r="M2882" s="1">
        <v>1.0</v>
      </c>
      <c r="N2882" s="1" t="s">
        <v>1152</v>
      </c>
      <c r="O2882" s="3" t="s">
        <v>13247</v>
      </c>
      <c r="P2882" s="1" t="s">
        <v>1152</v>
      </c>
      <c r="Q2882" s="1" t="s">
        <v>1152</v>
      </c>
      <c r="R2882" s="1"/>
      <c r="S2882" s="1"/>
      <c r="T2882" s="1" t="s">
        <v>1152</v>
      </c>
      <c r="U2882" s="1" t="s">
        <v>1065</v>
      </c>
      <c r="V2882" s="4" t="s">
        <v>13247</v>
      </c>
      <c r="W2882" s="1"/>
      <c r="X2882" s="1" t="s">
        <v>1152</v>
      </c>
      <c r="Y2882" s="1" t="s">
        <v>1152</v>
      </c>
      <c r="Z2882" s="1"/>
      <c r="AA2882" s="1"/>
      <c r="AB2882" s="1"/>
      <c r="AC2882" s="1" t="s">
        <v>1925</v>
      </c>
      <c r="AD2882" s="1"/>
      <c r="AE2882" s="18">
        <v>46149.0</v>
      </c>
      <c r="AF2882" s="1"/>
      <c r="AG2882" s="1"/>
      <c r="AH2882" s="1" t="s">
        <v>1152</v>
      </c>
      <c r="AI2882" s="1" t="s">
        <v>1152</v>
      </c>
      <c r="AJ2882" s="1" t="s">
        <v>3177</v>
      </c>
      <c r="AK2882" s="1" t="s">
        <v>1152</v>
      </c>
      <c r="AL2882" s="6"/>
      <c r="AM2882" s="12">
        <v>9.173716988E9</v>
      </c>
    </row>
    <row r="2883">
      <c r="A2883" s="5" t="s">
        <v>13248</v>
      </c>
      <c r="B2883" s="1" t="s">
        <v>13249</v>
      </c>
      <c r="C2883" s="1" t="s">
        <v>4422</v>
      </c>
      <c r="D2883" s="2">
        <v>5.612254772E9</v>
      </c>
      <c r="E2883" s="1" t="s">
        <v>4423</v>
      </c>
      <c r="F2883" s="1"/>
      <c r="G2883" s="1" t="s">
        <v>4424</v>
      </c>
      <c r="H2883" s="1" t="s">
        <v>1208</v>
      </c>
      <c r="I2883" s="1">
        <v>33458.0</v>
      </c>
      <c r="J2883" s="1" t="s">
        <v>752</v>
      </c>
      <c r="K2883" s="1" t="s">
        <v>2131</v>
      </c>
      <c r="L2883" s="1" t="s">
        <v>5767</v>
      </c>
      <c r="M2883" s="1">
        <v>1.0</v>
      </c>
      <c r="N2883" s="1" t="s">
        <v>1152</v>
      </c>
      <c r="O2883" s="3" t="s">
        <v>4810</v>
      </c>
      <c r="P2883" s="1" t="s">
        <v>1152</v>
      </c>
      <c r="Q2883" s="1" t="s">
        <v>1152</v>
      </c>
      <c r="R2883" s="1"/>
      <c r="S2883" s="1"/>
      <c r="T2883" s="1" t="s">
        <v>1152</v>
      </c>
      <c r="U2883" s="1" t="s">
        <v>1065</v>
      </c>
      <c r="V2883" s="4" t="s">
        <v>4810</v>
      </c>
      <c r="W2883" s="1"/>
      <c r="X2883" s="1" t="s">
        <v>1152</v>
      </c>
      <c r="Y2883" s="1" t="s">
        <v>1152</v>
      </c>
      <c r="Z2883" s="1"/>
      <c r="AA2883" s="1"/>
      <c r="AB2883" s="1"/>
      <c r="AC2883" s="1" t="s">
        <v>1925</v>
      </c>
      <c r="AD2883" s="1"/>
      <c r="AE2883" s="18">
        <v>46150.0</v>
      </c>
      <c r="AF2883" s="1"/>
      <c r="AG2883" s="1"/>
      <c r="AH2883" s="1" t="s">
        <v>1152</v>
      </c>
      <c r="AI2883" s="1" t="s">
        <v>1152</v>
      </c>
      <c r="AJ2883" s="1" t="s">
        <v>4423</v>
      </c>
      <c r="AK2883" s="1" t="s">
        <v>1152</v>
      </c>
      <c r="AL2883" s="6"/>
      <c r="AM2883" s="12">
        <v>5.612254772E9</v>
      </c>
    </row>
    <row r="2884">
      <c r="A2884" s="5" t="s">
        <v>13250</v>
      </c>
      <c r="B2884" s="1" t="s">
        <v>13251</v>
      </c>
      <c r="C2884" s="1" t="s">
        <v>499</v>
      </c>
      <c r="D2884" s="2">
        <v>2.035541142E9</v>
      </c>
      <c r="E2884" s="1" t="s">
        <v>501</v>
      </c>
      <c r="F2884" s="1"/>
      <c r="G2884" s="1" t="s">
        <v>1766</v>
      </c>
      <c r="H2884" s="1" t="s">
        <v>1078</v>
      </c>
      <c r="I2884" s="1">
        <v>6831.0</v>
      </c>
      <c r="J2884" s="1" t="s">
        <v>752</v>
      </c>
      <c r="K2884" s="1" t="s">
        <v>892</v>
      </c>
      <c r="L2884" s="1" t="s">
        <v>8006</v>
      </c>
      <c r="M2884" s="1">
        <v>49.0</v>
      </c>
      <c r="N2884" s="1" t="s">
        <v>1152</v>
      </c>
      <c r="O2884" s="3" t="s">
        <v>3657</v>
      </c>
      <c r="P2884" s="1" t="s">
        <v>1152</v>
      </c>
      <c r="Q2884" s="1" t="s">
        <v>1152</v>
      </c>
      <c r="R2884" s="1"/>
      <c r="S2884" s="1"/>
      <c r="T2884" s="1" t="s">
        <v>1152</v>
      </c>
      <c r="U2884" s="1" t="s">
        <v>1441</v>
      </c>
      <c r="V2884" s="4" t="s">
        <v>3657</v>
      </c>
      <c r="W2884" s="1"/>
      <c r="X2884" s="1" t="s">
        <v>1152</v>
      </c>
      <c r="Y2884" s="1" t="s">
        <v>1152</v>
      </c>
      <c r="Z2884" s="1"/>
      <c r="AA2884" s="1"/>
      <c r="AB2884" s="1"/>
      <c r="AC2884" s="1" t="s">
        <v>1925</v>
      </c>
      <c r="AD2884" s="1"/>
      <c r="AE2884" s="18">
        <v>46149.0</v>
      </c>
      <c r="AF2884" s="1" t="s">
        <v>1440</v>
      </c>
      <c r="AG2884" s="1" t="s">
        <v>52</v>
      </c>
      <c r="AH2884" s="1" t="s">
        <v>13252</v>
      </c>
      <c r="AI2884" s="1" t="s">
        <v>1152</v>
      </c>
      <c r="AJ2884" s="1" t="s">
        <v>501</v>
      </c>
      <c r="AK2884" s="1" t="s">
        <v>1152</v>
      </c>
      <c r="AL2884" s="6"/>
      <c r="AM2884" s="12">
        <v>2.035541142E9</v>
      </c>
    </row>
    <row r="2885">
      <c r="A2885" s="5" t="s">
        <v>13253</v>
      </c>
      <c r="B2885" s="1" t="s">
        <v>13254</v>
      </c>
      <c r="C2885" s="1" t="s">
        <v>9660</v>
      </c>
      <c r="D2885" s="2">
        <v>2.028129294E9</v>
      </c>
      <c r="E2885" s="1" t="s">
        <v>3078</v>
      </c>
      <c r="F2885" s="1"/>
      <c r="G2885" s="1" t="s">
        <v>980</v>
      </c>
      <c r="H2885" s="1" t="s">
        <v>1063</v>
      </c>
      <c r="I2885" s="1">
        <v>20015.0</v>
      </c>
      <c r="J2885" s="1" t="s">
        <v>752</v>
      </c>
      <c r="K2885" s="1" t="s">
        <v>2131</v>
      </c>
      <c r="L2885" s="1" t="s">
        <v>5833</v>
      </c>
      <c r="M2885" s="1">
        <v>1.0</v>
      </c>
      <c r="N2885" s="1" t="s">
        <v>1152</v>
      </c>
      <c r="O2885" s="3" t="s">
        <v>3079</v>
      </c>
      <c r="P2885" s="1" t="s">
        <v>1152</v>
      </c>
      <c r="Q2885" s="1" t="s">
        <v>1152</v>
      </c>
      <c r="R2885" s="1"/>
      <c r="S2885" s="1"/>
      <c r="T2885" s="1" t="s">
        <v>1152</v>
      </c>
      <c r="U2885" s="1" t="s">
        <v>982</v>
      </c>
      <c r="V2885" s="4" t="s">
        <v>3079</v>
      </c>
      <c r="W2885" s="1"/>
      <c r="X2885" s="1" t="s">
        <v>1152</v>
      </c>
      <c r="Y2885" s="1" t="s">
        <v>1152</v>
      </c>
      <c r="Z2885" s="1"/>
      <c r="AA2885" s="1"/>
      <c r="AB2885" s="1"/>
      <c r="AC2885" s="1" t="s">
        <v>1925</v>
      </c>
      <c r="AD2885" s="1"/>
      <c r="AE2885" s="18">
        <v>46148.0</v>
      </c>
      <c r="AF2885" s="1"/>
      <c r="AG2885" s="1"/>
      <c r="AH2885" s="1" t="s">
        <v>1152</v>
      </c>
      <c r="AI2885" s="1" t="s">
        <v>1152</v>
      </c>
      <c r="AJ2885" s="1" t="s">
        <v>3078</v>
      </c>
      <c r="AK2885" s="1" t="s">
        <v>1152</v>
      </c>
      <c r="AL2885" s="6"/>
      <c r="AM2885" s="12">
        <v>2.028129294E9</v>
      </c>
    </row>
    <row r="2886">
      <c r="A2886" s="5" t="s">
        <v>13255</v>
      </c>
      <c r="B2886" s="1" t="s">
        <v>13256</v>
      </c>
      <c r="C2886" s="1" t="s">
        <v>13257</v>
      </c>
      <c r="D2886" s="2">
        <v>6.507733242E9</v>
      </c>
      <c r="E2886" s="1" t="s">
        <v>13258</v>
      </c>
      <c r="F2886" s="1" t="s">
        <v>13259</v>
      </c>
      <c r="G2886" s="1" t="s">
        <v>13116</v>
      </c>
      <c r="H2886" s="1" t="s">
        <v>989</v>
      </c>
      <c r="I2886" s="1">
        <v>94010.0</v>
      </c>
      <c r="J2886" s="1" t="s">
        <v>752</v>
      </c>
      <c r="K2886" s="1" t="s">
        <v>42</v>
      </c>
      <c r="L2886" s="1" t="s">
        <v>6819</v>
      </c>
      <c r="M2886" s="1">
        <v>49.0</v>
      </c>
      <c r="N2886" s="1" t="s">
        <v>1152</v>
      </c>
      <c r="O2886" s="3"/>
      <c r="P2886" s="1" t="s">
        <v>1152</v>
      </c>
      <c r="Q2886" s="1" t="s">
        <v>1152</v>
      </c>
      <c r="R2886" s="1" t="s">
        <v>13259</v>
      </c>
      <c r="S2886" s="1"/>
      <c r="T2886" s="1" t="s">
        <v>1152</v>
      </c>
      <c r="U2886" s="1"/>
      <c r="V2886" s="4"/>
      <c r="W2886" s="1" t="s">
        <v>13259</v>
      </c>
      <c r="X2886" s="1" t="s">
        <v>1152</v>
      </c>
      <c r="Y2886" s="1" t="s">
        <v>1152</v>
      </c>
      <c r="Z2886" s="1"/>
      <c r="AA2886" s="1" t="s">
        <v>13259</v>
      </c>
      <c r="AB2886" s="1"/>
      <c r="AC2886" s="1" t="s">
        <v>1925</v>
      </c>
      <c r="AD2886" s="1"/>
      <c r="AE2886" s="18">
        <v>46150.0</v>
      </c>
      <c r="AF2886" s="1" t="s">
        <v>1455</v>
      </c>
      <c r="AG2886" s="1" t="s">
        <v>124</v>
      </c>
      <c r="AH2886" s="1" t="s">
        <v>1152</v>
      </c>
      <c r="AI2886" s="1" t="s">
        <v>13260</v>
      </c>
      <c r="AJ2886" s="1" t="s">
        <v>13258</v>
      </c>
      <c r="AK2886" s="1" t="s">
        <v>1152</v>
      </c>
      <c r="AL2886" s="6"/>
      <c r="AM2886" s="12">
        <v>6.507733242E9</v>
      </c>
    </row>
    <row r="2887">
      <c r="A2887" s="5" t="s">
        <v>13261</v>
      </c>
      <c r="B2887" s="1" t="s">
        <v>13262</v>
      </c>
      <c r="C2887" s="1" t="s">
        <v>6587</v>
      </c>
      <c r="D2887" s="2">
        <v>2.027136218E9</v>
      </c>
      <c r="E2887" s="1" t="s">
        <v>6590</v>
      </c>
      <c r="F2887" s="1"/>
      <c r="G2887" s="1" t="s">
        <v>4688</v>
      </c>
      <c r="H2887" s="1" t="s">
        <v>1038</v>
      </c>
      <c r="I2887" s="1">
        <v>22030.0</v>
      </c>
      <c r="J2887" s="1" t="s">
        <v>752</v>
      </c>
      <c r="K2887" s="1" t="s">
        <v>2131</v>
      </c>
      <c r="L2887" s="1" t="s">
        <v>5811</v>
      </c>
      <c r="M2887" s="1">
        <v>1.0</v>
      </c>
      <c r="N2887" s="1" t="s">
        <v>1152</v>
      </c>
      <c r="O2887" s="3" t="s">
        <v>6589</v>
      </c>
      <c r="P2887" s="1" t="s">
        <v>1152</v>
      </c>
      <c r="Q2887" s="1" t="s">
        <v>1152</v>
      </c>
      <c r="R2887" s="1"/>
      <c r="S2887" s="1"/>
      <c r="T2887" s="1" t="s">
        <v>1152</v>
      </c>
      <c r="U2887" s="1" t="s">
        <v>982</v>
      </c>
      <c r="V2887" s="4" t="s">
        <v>6589</v>
      </c>
      <c r="W2887" s="1"/>
      <c r="X2887" s="1" t="s">
        <v>1152</v>
      </c>
      <c r="Y2887" s="1" t="s">
        <v>1152</v>
      </c>
      <c r="Z2887" s="1"/>
      <c r="AA2887" s="1"/>
      <c r="AB2887" s="1"/>
      <c r="AC2887" s="1" t="s">
        <v>1925</v>
      </c>
      <c r="AD2887" s="1"/>
      <c r="AE2887" s="18">
        <v>46150.0</v>
      </c>
      <c r="AF2887" s="1"/>
      <c r="AG2887" s="1"/>
      <c r="AH2887" s="1" t="s">
        <v>1152</v>
      </c>
      <c r="AI2887" s="1" t="s">
        <v>1152</v>
      </c>
      <c r="AJ2887" s="1" t="s">
        <v>13263</v>
      </c>
      <c r="AK2887" s="1" t="s">
        <v>1152</v>
      </c>
      <c r="AL2887" s="6"/>
      <c r="AM2887" s="12">
        <v>2.027136218E9</v>
      </c>
    </row>
    <row r="2888">
      <c r="A2888" s="5" t="s">
        <v>13264</v>
      </c>
      <c r="B2888" s="1" t="s">
        <v>13265</v>
      </c>
      <c r="C2888" s="1" t="s">
        <v>13266</v>
      </c>
      <c r="D2888" s="2">
        <v>9.798377593E9</v>
      </c>
      <c r="E2888" s="1" t="s">
        <v>13267</v>
      </c>
      <c r="F2888" s="1"/>
      <c r="G2888" s="1" t="s">
        <v>2350</v>
      </c>
      <c r="H2888" s="1" t="s">
        <v>1155</v>
      </c>
      <c r="I2888" s="1">
        <v>63105.0</v>
      </c>
      <c r="J2888" s="1" t="s">
        <v>752</v>
      </c>
      <c r="K2888" s="1" t="s">
        <v>42</v>
      </c>
      <c r="L2888" s="1" t="s">
        <v>6819</v>
      </c>
      <c r="M2888" s="1">
        <v>49.0</v>
      </c>
      <c r="N2888" s="1" t="s">
        <v>1152</v>
      </c>
      <c r="O2888" s="3" t="s">
        <v>2351</v>
      </c>
      <c r="P2888" s="1" t="s">
        <v>1152</v>
      </c>
      <c r="Q2888" s="1" t="s">
        <v>1152</v>
      </c>
      <c r="R2888" s="1"/>
      <c r="S2888" s="1"/>
      <c r="T2888" s="1" t="s">
        <v>1152</v>
      </c>
      <c r="U2888" s="1" t="s">
        <v>1794</v>
      </c>
      <c r="V2888" s="4" t="s">
        <v>2351</v>
      </c>
      <c r="W2888" s="1"/>
      <c r="X2888" s="1" t="s">
        <v>1152</v>
      </c>
      <c r="Y2888" s="1" t="s">
        <v>1152</v>
      </c>
      <c r="Z2888" s="1"/>
      <c r="AA2888" s="1"/>
      <c r="AB2888" s="1"/>
      <c r="AC2888" s="1" t="s">
        <v>1925</v>
      </c>
      <c r="AD2888" s="1"/>
      <c r="AE2888" s="18">
        <v>46149.0</v>
      </c>
      <c r="AF2888" s="1" t="s">
        <v>1630</v>
      </c>
      <c r="AG2888" s="1" t="s">
        <v>52</v>
      </c>
      <c r="AH2888" s="1" t="s">
        <v>1152</v>
      </c>
      <c r="AI2888" s="1" t="s">
        <v>1152</v>
      </c>
      <c r="AJ2888" s="1" t="s">
        <v>13267</v>
      </c>
      <c r="AK2888" s="1" t="s">
        <v>1152</v>
      </c>
      <c r="AL2888" s="6"/>
      <c r="AM2888" s="12">
        <v>9.798377593E9</v>
      </c>
    </row>
    <row r="2889">
      <c r="A2889" s="5" t="s">
        <v>13268</v>
      </c>
      <c r="B2889" s="1" t="s">
        <v>13269</v>
      </c>
      <c r="C2889" s="1" t="s">
        <v>13270</v>
      </c>
      <c r="D2889" s="2">
        <v>5.715194057E9</v>
      </c>
      <c r="E2889" s="1" t="s">
        <v>13271</v>
      </c>
      <c r="F2889" s="1"/>
      <c r="G2889" s="1" t="s">
        <v>2350</v>
      </c>
      <c r="H2889" s="1" t="s">
        <v>1155</v>
      </c>
      <c r="I2889" s="1">
        <v>63105.0</v>
      </c>
      <c r="J2889" s="1" t="s">
        <v>752</v>
      </c>
      <c r="K2889" s="1" t="s">
        <v>42</v>
      </c>
      <c r="L2889" s="1" t="s">
        <v>6819</v>
      </c>
      <c r="M2889" s="1">
        <v>49.0</v>
      </c>
      <c r="N2889" s="1" t="s">
        <v>1152</v>
      </c>
      <c r="O2889" s="3" t="s">
        <v>608</v>
      </c>
      <c r="P2889" s="1" t="s">
        <v>1152</v>
      </c>
      <c r="Q2889" s="1" t="s">
        <v>1152</v>
      </c>
      <c r="R2889" s="1"/>
      <c r="S2889" s="1"/>
      <c r="T2889" s="1" t="s">
        <v>1152</v>
      </c>
      <c r="U2889" s="1" t="s">
        <v>1133</v>
      </c>
      <c r="V2889" s="4" t="s">
        <v>608</v>
      </c>
      <c r="W2889" s="1"/>
      <c r="X2889" s="1" t="s">
        <v>1152</v>
      </c>
      <c r="Y2889" s="1" t="s">
        <v>1152</v>
      </c>
      <c r="Z2889" s="1"/>
      <c r="AA2889" s="1"/>
      <c r="AB2889" s="1"/>
      <c r="AC2889" s="1" t="s">
        <v>1925</v>
      </c>
      <c r="AD2889" s="1"/>
      <c r="AE2889" s="18">
        <v>46146.0</v>
      </c>
      <c r="AF2889" s="1" t="s">
        <v>1349</v>
      </c>
      <c r="AG2889" s="1" t="s">
        <v>52</v>
      </c>
      <c r="AH2889" s="1" t="s">
        <v>1152</v>
      </c>
      <c r="AI2889" s="1" t="s">
        <v>1152</v>
      </c>
      <c r="AJ2889" s="1" t="s">
        <v>13271</v>
      </c>
      <c r="AK2889" s="1" t="s">
        <v>1152</v>
      </c>
      <c r="AL2889" s="6"/>
      <c r="AM2889" s="12">
        <v>5.715194057E9</v>
      </c>
    </row>
    <row r="2890">
      <c r="A2890" s="5" t="s">
        <v>13272</v>
      </c>
      <c r="B2890" s="1" t="s">
        <v>13273</v>
      </c>
      <c r="C2890" s="1" t="s">
        <v>7606</v>
      </c>
      <c r="D2890" s="2">
        <v>8618321716326</v>
      </c>
      <c r="E2890" s="1" t="s">
        <v>7607</v>
      </c>
      <c r="F2890" s="1"/>
      <c r="G2890" s="1" t="s">
        <v>11662</v>
      </c>
      <c r="H2890" s="1" t="s">
        <v>11662</v>
      </c>
      <c r="I2890" s="1">
        <v>200092.0</v>
      </c>
      <c r="J2890" s="1" t="s">
        <v>5553</v>
      </c>
      <c r="K2890" s="1" t="s">
        <v>42</v>
      </c>
      <c r="L2890" s="1" t="s">
        <v>6819</v>
      </c>
      <c r="M2890" s="1">
        <v>49.0</v>
      </c>
      <c r="N2890" s="1" t="s">
        <v>1152</v>
      </c>
      <c r="O2890" s="3" t="s">
        <v>13274</v>
      </c>
      <c r="P2890" s="1" t="s">
        <v>1152</v>
      </c>
      <c r="Q2890" s="1" t="s">
        <v>1152</v>
      </c>
      <c r="R2890" s="1"/>
      <c r="S2890" s="1"/>
      <c r="T2890" s="1" t="s">
        <v>1152</v>
      </c>
      <c r="U2890" s="1" t="s">
        <v>13275</v>
      </c>
      <c r="V2890" s="4" t="s">
        <v>13274</v>
      </c>
      <c r="W2890" s="1"/>
      <c r="X2890" s="1" t="s">
        <v>1152</v>
      </c>
      <c r="Y2890" s="1" t="s">
        <v>1152</v>
      </c>
      <c r="Z2890" s="1"/>
      <c r="AA2890" s="1"/>
      <c r="AB2890" s="1"/>
      <c r="AC2890" s="1" t="s">
        <v>1925</v>
      </c>
      <c r="AD2890" s="1"/>
      <c r="AE2890" s="18">
        <v>46149.0</v>
      </c>
      <c r="AF2890" s="1" t="s">
        <v>1630</v>
      </c>
      <c r="AG2890" s="1" t="s">
        <v>52</v>
      </c>
      <c r="AH2890" s="1" t="s">
        <v>1152</v>
      </c>
      <c r="AI2890" s="1" t="s">
        <v>1152</v>
      </c>
      <c r="AJ2890" s="1" t="s">
        <v>7607</v>
      </c>
      <c r="AK2890" s="1" t="s">
        <v>1152</v>
      </c>
      <c r="AL2890" s="6"/>
      <c r="AM2890" s="12" t="s">
        <v>13276</v>
      </c>
    </row>
    <row r="2891">
      <c r="A2891" s="5" t="s">
        <v>13277</v>
      </c>
      <c r="B2891" s="1" t="s">
        <v>13278</v>
      </c>
      <c r="C2891" s="1" t="s">
        <v>13279</v>
      </c>
      <c r="D2891" s="2">
        <v>3.139175855E9</v>
      </c>
      <c r="E2891" s="1" t="s">
        <v>6661</v>
      </c>
      <c r="F2891" s="1" t="s">
        <v>13280</v>
      </c>
      <c r="G2891" s="1" t="s">
        <v>6660</v>
      </c>
      <c r="H2891" s="1" t="s">
        <v>1691</v>
      </c>
      <c r="I2891" s="1">
        <v>48322.0</v>
      </c>
      <c r="J2891" s="1" t="s">
        <v>752</v>
      </c>
      <c r="K2891" s="1" t="s">
        <v>42</v>
      </c>
      <c r="L2891" s="1" t="s">
        <v>8715</v>
      </c>
      <c r="M2891" s="1">
        <v>139.0</v>
      </c>
      <c r="N2891" s="1" t="s">
        <v>1152</v>
      </c>
      <c r="O2891" s="3"/>
      <c r="P2891" s="1" t="s">
        <v>1152</v>
      </c>
      <c r="Q2891" s="1" t="s">
        <v>1152</v>
      </c>
      <c r="R2891" s="1" t="s">
        <v>13280</v>
      </c>
      <c r="S2891" s="1"/>
      <c r="T2891" s="1" t="s">
        <v>1152</v>
      </c>
      <c r="U2891" s="1"/>
      <c r="V2891" s="4"/>
      <c r="W2891" s="1" t="s">
        <v>13280</v>
      </c>
      <c r="X2891" s="1" t="s">
        <v>1152</v>
      </c>
      <c r="Y2891" s="1" t="s">
        <v>1152</v>
      </c>
      <c r="Z2891" s="1"/>
      <c r="AA2891" s="1" t="s">
        <v>13280</v>
      </c>
      <c r="AB2891" s="1"/>
      <c r="AC2891" s="1" t="s">
        <v>1925</v>
      </c>
      <c r="AD2891" s="1"/>
      <c r="AE2891" s="18">
        <v>46154.0</v>
      </c>
      <c r="AF2891" s="1" t="s">
        <v>1349</v>
      </c>
      <c r="AG2891" s="1" t="s">
        <v>124</v>
      </c>
      <c r="AH2891" s="1" t="s">
        <v>1152</v>
      </c>
      <c r="AI2891" s="1" t="s">
        <v>13281</v>
      </c>
      <c r="AJ2891" s="1" t="s">
        <v>6661</v>
      </c>
      <c r="AK2891" s="1" t="s">
        <v>1152</v>
      </c>
      <c r="AL2891" s="6"/>
      <c r="AM2891" s="12">
        <v>3.139175855E9</v>
      </c>
    </row>
    <row r="2892">
      <c r="A2892" s="5" t="s">
        <v>13282</v>
      </c>
      <c r="B2892" s="1" t="s">
        <v>13283</v>
      </c>
      <c r="C2892" s="1" t="s">
        <v>13284</v>
      </c>
      <c r="D2892" s="2">
        <v>9.175763017E9</v>
      </c>
      <c r="E2892" s="1" t="s">
        <v>10475</v>
      </c>
      <c r="F2892" s="1"/>
      <c r="G2892" s="1" t="s">
        <v>1684</v>
      </c>
      <c r="H2892" s="1" t="s">
        <v>751</v>
      </c>
      <c r="I2892" s="1">
        <v>11232.0</v>
      </c>
      <c r="J2892" s="1" t="s">
        <v>752</v>
      </c>
      <c r="K2892" s="1" t="s">
        <v>2131</v>
      </c>
      <c r="L2892" s="1" t="s">
        <v>5736</v>
      </c>
      <c r="M2892" s="1">
        <v>1.0</v>
      </c>
      <c r="N2892" s="1" t="s">
        <v>1152</v>
      </c>
      <c r="O2892" s="3" t="s">
        <v>1716</v>
      </c>
      <c r="P2892" s="1" t="s">
        <v>1152</v>
      </c>
      <c r="Q2892" s="1" t="s">
        <v>1152</v>
      </c>
      <c r="R2892" s="1"/>
      <c r="S2892" s="1"/>
      <c r="T2892" s="1" t="s">
        <v>1152</v>
      </c>
      <c r="U2892" s="1" t="s">
        <v>1133</v>
      </c>
      <c r="V2892" s="4" t="s">
        <v>1716</v>
      </c>
      <c r="W2892" s="1"/>
      <c r="X2892" s="1" t="s">
        <v>1152</v>
      </c>
      <c r="Y2892" s="1" t="s">
        <v>1152</v>
      </c>
      <c r="Z2892" s="1"/>
      <c r="AA2892" s="1"/>
      <c r="AB2892" s="1"/>
      <c r="AC2892" s="1" t="s">
        <v>1925</v>
      </c>
      <c r="AD2892" s="1"/>
      <c r="AE2892" s="18">
        <v>46147.0</v>
      </c>
      <c r="AF2892" s="1"/>
      <c r="AG2892" s="1"/>
      <c r="AH2892" s="1" t="s">
        <v>1152</v>
      </c>
      <c r="AI2892" s="1" t="s">
        <v>1152</v>
      </c>
      <c r="AJ2892" s="1" t="s">
        <v>10475</v>
      </c>
      <c r="AK2892" s="1" t="s">
        <v>1152</v>
      </c>
      <c r="AL2892" s="6"/>
      <c r="AM2892" s="12" t="s">
        <v>13285</v>
      </c>
    </row>
    <row r="2893">
      <c r="A2893" s="5" t="s">
        <v>13286</v>
      </c>
      <c r="B2893" s="1" t="s">
        <v>13287</v>
      </c>
      <c r="C2893" s="1" t="s">
        <v>13288</v>
      </c>
      <c r="D2893" s="2">
        <v>9.14255752E9</v>
      </c>
      <c r="E2893" s="1" t="s">
        <v>13289</v>
      </c>
      <c r="F2893" s="1"/>
      <c r="G2893" s="1" t="s">
        <v>13290</v>
      </c>
      <c r="H2893" s="1" t="s">
        <v>751</v>
      </c>
      <c r="I2893" s="1">
        <v>10706.0</v>
      </c>
      <c r="J2893" s="1" t="s">
        <v>752</v>
      </c>
      <c r="K2893" s="1" t="s">
        <v>2131</v>
      </c>
      <c r="L2893" s="1" t="s">
        <v>5811</v>
      </c>
      <c r="M2893" s="1">
        <v>1.0</v>
      </c>
      <c r="N2893" s="1" t="s">
        <v>1152</v>
      </c>
      <c r="O2893" s="3" t="s">
        <v>2622</v>
      </c>
      <c r="P2893" s="1" t="s">
        <v>1152</v>
      </c>
      <c r="Q2893" s="1" t="s">
        <v>1152</v>
      </c>
      <c r="R2893" s="1"/>
      <c r="S2893" s="1"/>
      <c r="T2893" s="1" t="s">
        <v>1152</v>
      </c>
      <c r="U2893" s="1" t="s">
        <v>1148</v>
      </c>
      <c r="V2893" s="4" t="s">
        <v>2622</v>
      </c>
      <c r="W2893" s="1"/>
      <c r="X2893" s="1" t="s">
        <v>1152</v>
      </c>
      <c r="Y2893" s="1" t="s">
        <v>1152</v>
      </c>
      <c r="Z2893" s="1"/>
      <c r="AA2893" s="1"/>
      <c r="AB2893" s="1"/>
      <c r="AC2893" s="1" t="s">
        <v>1925</v>
      </c>
      <c r="AD2893" s="1"/>
      <c r="AE2893" s="18">
        <v>46148.0</v>
      </c>
      <c r="AF2893" s="1"/>
      <c r="AG2893" s="1"/>
      <c r="AH2893" s="1" t="s">
        <v>1152</v>
      </c>
      <c r="AI2893" s="1" t="s">
        <v>1152</v>
      </c>
      <c r="AJ2893" s="1" t="s">
        <v>13289</v>
      </c>
      <c r="AK2893" s="1" t="s">
        <v>1152</v>
      </c>
      <c r="AL2893" s="6"/>
      <c r="AM2893" s="12">
        <v>9.14255752E9</v>
      </c>
    </row>
    <row r="2894">
      <c r="A2894" s="5" t="s">
        <v>13291</v>
      </c>
      <c r="B2894" s="1" t="s">
        <v>13292</v>
      </c>
      <c r="C2894" s="1" t="s">
        <v>5504</v>
      </c>
      <c r="D2894" s="2">
        <v>8.479106216E9</v>
      </c>
      <c r="E2894" s="1" t="s">
        <v>5505</v>
      </c>
      <c r="F2894" s="1"/>
      <c r="G2894" s="1" t="s">
        <v>3041</v>
      </c>
      <c r="H2894" s="1" t="s">
        <v>1019</v>
      </c>
      <c r="I2894" s="1">
        <v>60091.0</v>
      </c>
      <c r="J2894" s="1" t="s">
        <v>752</v>
      </c>
      <c r="K2894" s="1" t="s">
        <v>2131</v>
      </c>
      <c r="L2894" s="1" t="s">
        <v>5767</v>
      </c>
      <c r="M2894" s="1">
        <v>1.0</v>
      </c>
      <c r="N2894" s="1" t="s">
        <v>1152</v>
      </c>
      <c r="O2894" s="3" t="s">
        <v>2697</v>
      </c>
      <c r="P2894" s="1" t="s">
        <v>1152</v>
      </c>
      <c r="Q2894" s="1" t="s">
        <v>1152</v>
      </c>
      <c r="R2894" s="1"/>
      <c r="S2894" s="1"/>
      <c r="T2894" s="1" t="s">
        <v>1152</v>
      </c>
      <c r="U2894" s="1" t="s">
        <v>11180</v>
      </c>
      <c r="V2894" s="4" t="s">
        <v>2697</v>
      </c>
      <c r="W2894" s="1"/>
      <c r="X2894" s="1" t="s">
        <v>1152</v>
      </c>
      <c r="Y2894" s="1" t="s">
        <v>1152</v>
      </c>
      <c r="Z2894" s="1"/>
      <c r="AA2894" s="1"/>
      <c r="AB2894" s="1"/>
      <c r="AC2894" s="1" t="s">
        <v>1925</v>
      </c>
      <c r="AD2894" s="1"/>
      <c r="AE2894" s="18">
        <v>46148.0</v>
      </c>
      <c r="AF2894" s="1"/>
      <c r="AG2894" s="1"/>
      <c r="AH2894" s="1" t="s">
        <v>1152</v>
      </c>
      <c r="AI2894" s="1" t="s">
        <v>1152</v>
      </c>
      <c r="AJ2894" s="1" t="s">
        <v>5505</v>
      </c>
      <c r="AK2894" s="1" t="s">
        <v>1152</v>
      </c>
      <c r="AL2894" s="6"/>
      <c r="AM2894" s="12">
        <v>8.479106216E9</v>
      </c>
    </row>
    <row r="2895">
      <c r="A2895" s="5" t="s">
        <v>13293</v>
      </c>
      <c r="B2895" s="1" t="s">
        <v>13294</v>
      </c>
      <c r="C2895" s="1" t="s">
        <v>13295</v>
      </c>
      <c r="D2895" s="2">
        <v>6.306328733E9</v>
      </c>
      <c r="E2895" s="1" t="s">
        <v>832</v>
      </c>
      <c r="F2895" s="1"/>
      <c r="G2895" s="1" t="s">
        <v>13296</v>
      </c>
      <c r="H2895" s="1" t="s">
        <v>1019</v>
      </c>
      <c r="I2895" s="1">
        <v>60108.0</v>
      </c>
      <c r="J2895" s="1" t="s">
        <v>752</v>
      </c>
      <c r="K2895" s="1" t="s">
        <v>2131</v>
      </c>
      <c r="L2895" s="1" t="s">
        <v>5767</v>
      </c>
      <c r="M2895" s="1">
        <v>1.0</v>
      </c>
      <c r="N2895" s="1" t="s">
        <v>1152</v>
      </c>
      <c r="O2895" s="3" t="s">
        <v>13297</v>
      </c>
      <c r="P2895" s="1" t="s">
        <v>1152</v>
      </c>
      <c r="Q2895" s="1" t="s">
        <v>1152</v>
      </c>
      <c r="R2895" s="1"/>
      <c r="S2895" s="1"/>
      <c r="T2895" s="1" t="s">
        <v>1152</v>
      </c>
      <c r="U2895" s="1" t="s">
        <v>1441</v>
      </c>
      <c r="V2895" s="4" t="s">
        <v>13297</v>
      </c>
      <c r="W2895" s="1"/>
      <c r="X2895" s="1" t="s">
        <v>1152</v>
      </c>
      <c r="Y2895" s="1" t="s">
        <v>1152</v>
      </c>
      <c r="Z2895" s="1"/>
      <c r="AA2895" s="1"/>
      <c r="AB2895" s="1"/>
      <c r="AC2895" s="1" t="s">
        <v>1925</v>
      </c>
      <c r="AD2895" s="1"/>
      <c r="AE2895" s="18">
        <v>46148.0</v>
      </c>
      <c r="AF2895" s="1"/>
      <c r="AG2895" s="1"/>
      <c r="AH2895" s="1" t="s">
        <v>1152</v>
      </c>
      <c r="AI2895" s="1" t="s">
        <v>1152</v>
      </c>
      <c r="AJ2895" s="1" t="s">
        <v>832</v>
      </c>
      <c r="AK2895" s="1" t="s">
        <v>1152</v>
      </c>
      <c r="AL2895" s="6"/>
      <c r="AM2895" s="12">
        <v>6.306328733E9</v>
      </c>
    </row>
    <row r="2896">
      <c r="A2896" s="5" t="s">
        <v>13298</v>
      </c>
      <c r="B2896" s="1" t="s">
        <v>13299</v>
      </c>
      <c r="C2896" s="1" t="s">
        <v>13300</v>
      </c>
      <c r="D2896" s="2">
        <v>6.267311037E9</v>
      </c>
      <c r="E2896" s="1" t="s">
        <v>6317</v>
      </c>
      <c r="F2896" s="1"/>
      <c r="G2896" s="1" t="s">
        <v>6315</v>
      </c>
      <c r="H2896" s="1" t="s">
        <v>989</v>
      </c>
      <c r="I2896" s="1">
        <v>91108.0</v>
      </c>
      <c r="J2896" s="1" t="s">
        <v>752</v>
      </c>
      <c r="K2896" s="1" t="s">
        <v>42</v>
      </c>
      <c r="L2896" s="1" t="s">
        <v>6819</v>
      </c>
      <c r="M2896" s="1">
        <v>49.0</v>
      </c>
      <c r="N2896" s="1" t="s">
        <v>1152</v>
      </c>
      <c r="O2896" s="3" t="s">
        <v>3613</v>
      </c>
      <c r="P2896" s="1" t="s">
        <v>1152</v>
      </c>
      <c r="Q2896" s="1" t="s">
        <v>1152</v>
      </c>
      <c r="R2896" s="1"/>
      <c r="S2896" s="1"/>
      <c r="T2896" s="1" t="s">
        <v>1152</v>
      </c>
      <c r="U2896" s="1" t="s">
        <v>1148</v>
      </c>
      <c r="V2896" s="4" t="s">
        <v>3613</v>
      </c>
      <c r="W2896" s="1"/>
      <c r="X2896" s="1" t="s">
        <v>1152</v>
      </c>
      <c r="Y2896" s="1" t="s">
        <v>1152</v>
      </c>
      <c r="Z2896" s="1"/>
      <c r="AA2896" s="1"/>
      <c r="AB2896" s="1"/>
      <c r="AC2896" s="1" t="s">
        <v>1925</v>
      </c>
      <c r="AD2896" s="1"/>
      <c r="AE2896" s="18">
        <v>46162.0</v>
      </c>
      <c r="AF2896" s="1" t="s">
        <v>1030</v>
      </c>
      <c r="AG2896" s="1" t="s">
        <v>52</v>
      </c>
      <c r="AH2896" s="1" t="s">
        <v>1152</v>
      </c>
      <c r="AI2896" s="1" t="s">
        <v>1152</v>
      </c>
      <c r="AJ2896" s="1" t="s">
        <v>6317</v>
      </c>
      <c r="AK2896" s="1" t="s">
        <v>1152</v>
      </c>
      <c r="AL2896" s="6"/>
      <c r="AM2896" s="12">
        <v>6.267311037E9</v>
      </c>
    </row>
    <row r="2897">
      <c r="A2897" s="5" t="s">
        <v>13301</v>
      </c>
      <c r="B2897" s="1" t="s">
        <v>13302</v>
      </c>
      <c r="C2897" s="1" t="s">
        <v>2866</v>
      </c>
      <c r="D2897" s="2">
        <v>6.282369321E9</v>
      </c>
      <c r="E2897" s="1" t="s">
        <v>2867</v>
      </c>
      <c r="F2897" s="1"/>
      <c r="G2897" s="1" t="s">
        <v>2868</v>
      </c>
      <c r="H2897" s="1" t="s">
        <v>989</v>
      </c>
      <c r="I2897" s="1">
        <v>94947.0</v>
      </c>
      <c r="J2897" s="1" t="s">
        <v>752</v>
      </c>
      <c r="K2897" s="1" t="s">
        <v>2131</v>
      </c>
      <c r="L2897" s="1" t="s">
        <v>5767</v>
      </c>
      <c r="M2897" s="1">
        <v>1.0</v>
      </c>
      <c r="N2897" s="1" t="s">
        <v>1152</v>
      </c>
      <c r="O2897" s="3" t="s">
        <v>6554</v>
      </c>
      <c r="P2897" s="1" t="s">
        <v>1152</v>
      </c>
      <c r="Q2897" s="1" t="s">
        <v>1152</v>
      </c>
      <c r="R2897" s="1"/>
      <c r="S2897" s="1"/>
      <c r="T2897" s="1" t="s">
        <v>1152</v>
      </c>
      <c r="U2897" s="1" t="s">
        <v>1487</v>
      </c>
      <c r="V2897" s="4" t="s">
        <v>6554</v>
      </c>
      <c r="W2897" s="1"/>
      <c r="X2897" s="1" t="s">
        <v>1152</v>
      </c>
      <c r="Y2897" s="1" t="s">
        <v>1152</v>
      </c>
      <c r="Z2897" s="1"/>
      <c r="AA2897" s="1"/>
      <c r="AB2897" s="1"/>
      <c r="AC2897" s="1" t="s">
        <v>1925</v>
      </c>
      <c r="AD2897" s="1"/>
      <c r="AE2897" s="18">
        <v>46149.0</v>
      </c>
      <c r="AF2897" s="1"/>
      <c r="AG2897" s="1"/>
      <c r="AH2897" s="1" t="s">
        <v>1152</v>
      </c>
      <c r="AI2897" s="1" t="s">
        <v>1152</v>
      </c>
      <c r="AJ2897" s="1" t="s">
        <v>13303</v>
      </c>
      <c r="AK2897" s="1" t="s">
        <v>1152</v>
      </c>
      <c r="AL2897" s="6"/>
      <c r="AM2897" s="12">
        <v>6.282369321E9</v>
      </c>
    </row>
    <row r="2898">
      <c r="A2898" s="5" t="s">
        <v>13304</v>
      </c>
      <c r="B2898" s="1" t="s">
        <v>13305</v>
      </c>
      <c r="C2898" s="1" t="s">
        <v>902</v>
      </c>
      <c r="D2898" s="2">
        <v>8.472086088E9</v>
      </c>
      <c r="E2898" s="1" t="s">
        <v>903</v>
      </c>
      <c r="F2898" s="1"/>
      <c r="G2898" s="1" t="s">
        <v>3041</v>
      </c>
      <c r="H2898" s="1" t="s">
        <v>1019</v>
      </c>
      <c r="I2898" s="1">
        <v>60091.0</v>
      </c>
      <c r="J2898" s="1" t="s">
        <v>752</v>
      </c>
      <c r="K2898" s="1" t="s">
        <v>2131</v>
      </c>
      <c r="L2898" s="1" t="s">
        <v>5811</v>
      </c>
      <c r="M2898" s="1">
        <v>1.0</v>
      </c>
      <c r="N2898" s="1" t="s">
        <v>1152</v>
      </c>
      <c r="O2898" s="3" t="s">
        <v>3042</v>
      </c>
      <c r="P2898" s="1" t="s">
        <v>1152</v>
      </c>
      <c r="Q2898" s="1" t="s">
        <v>1152</v>
      </c>
      <c r="R2898" s="1"/>
      <c r="S2898" s="1"/>
      <c r="T2898" s="1" t="s">
        <v>1152</v>
      </c>
      <c r="U2898" s="1" t="s">
        <v>1174</v>
      </c>
      <c r="V2898" s="4" t="s">
        <v>3042</v>
      </c>
      <c r="W2898" s="1"/>
      <c r="X2898" s="1" t="s">
        <v>1152</v>
      </c>
      <c r="Y2898" s="1" t="s">
        <v>1152</v>
      </c>
      <c r="Z2898" s="1"/>
      <c r="AA2898" s="1"/>
      <c r="AB2898" s="1"/>
      <c r="AC2898" s="1" t="s">
        <v>1925</v>
      </c>
      <c r="AD2898" s="1"/>
      <c r="AE2898" s="18">
        <v>46149.0</v>
      </c>
      <c r="AF2898" s="1"/>
      <c r="AG2898" s="1"/>
      <c r="AH2898" s="1" t="s">
        <v>1152</v>
      </c>
      <c r="AI2898" s="1" t="s">
        <v>1152</v>
      </c>
      <c r="AJ2898" s="1" t="s">
        <v>903</v>
      </c>
      <c r="AK2898" s="1" t="s">
        <v>1152</v>
      </c>
      <c r="AL2898" s="6"/>
      <c r="AM2898" s="12">
        <v>8.472086088E9</v>
      </c>
    </row>
    <row r="2899">
      <c r="A2899" s="5" t="s">
        <v>13306</v>
      </c>
      <c r="B2899" s="1" t="s">
        <v>13307</v>
      </c>
      <c r="C2899" s="1" t="s">
        <v>8667</v>
      </c>
      <c r="D2899" s="2">
        <v>8.187513679E9</v>
      </c>
      <c r="E2899" s="1" t="s">
        <v>3055</v>
      </c>
      <c r="F2899" s="1" t="s">
        <v>13308</v>
      </c>
      <c r="G2899" s="1" t="s">
        <v>2857</v>
      </c>
      <c r="H2899" s="1" t="s">
        <v>1155</v>
      </c>
      <c r="I2899" s="1">
        <v>63112.0</v>
      </c>
      <c r="J2899" s="1" t="s">
        <v>752</v>
      </c>
      <c r="K2899" s="1" t="s">
        <v>51</v>
      </c>
      <c r="L2899" s="1" t="s">
        <v>5722</v>
      </c>
      <c r="M2899" s="1">
        <v>1.0</v>
      </c>
      <c r="N2899" s="1" t="s">
        <v>2487</v>
      </c>
      <c r="O2899" s="3"/>
      <c r="P2899" s="18">
        <v>46249.0</v>
      </c>
      <c r="Q2899" s="1" t="s">
        <v>2463</v>
      </c>
      <c r="R2899" s="1" t="s">
        <v>13308</v>
      </c>
      <c r="S2899" s="1" t="s">
        <v>124</v>
      </c>
      <c r="T2899" s="1" t="s">
        <v>2487</v>
      </c>
      <c r="U2899" s="1"/>
      <c r="V2899" s="4"/>
      <c r="W2899" s="1" t="s">
        <v>13308</v>
      </c>
      <c r="X2899" s="18">
        <v>46249.0</v>
      </c>
      <c r="Y2899" s="1" t="s">
        <v>2463</v>
      </c>
      <c r="Z2899" s="1"/>
      <c r="AA2899" s="1" t="s">
        <v>13308</v>
      </c>
      <c r="AB2899" s="1" t="s">
        <v>124</v>
      </c>
      <c r="AC2899" s="1" t="s">
        <v>1925</v>
      </c>
      <c r="AD2899" s="1"/>
      <c r="AE2899" s="1" t="s">
        <v>1152</v>
      </c>
      <c r="AF2899" s="1"/>
      <c r="AG2899" s="1"/>
      <c r="AH2899" s="1" t="s">
        <v>1152</v>
      </c>
      <c r="AI2899" s="1" t="s">
        <v>1152</v>
      </c>
      <c r="AJ2899" s="1" t="s">
        <v>3055</v>
      </c>
      <c r="AK2899" s="1" t="s">
        <v>1152</v>
      </c>
      <c r="AL2899" s="6"/>
      <c r="AM2899" s="12">
        <v>8.187513679E9</v>
      </c>
    </row>
    <row r="2900">
      <c r="A2900" s="5" t="s">
        <v>13309</v>
      </c>
      <c r="B2900" s="1" t="s">
        <v>13310</v>
      </c>
      <c r="C2900" s="1" t="s">
        <v>13311</v>
      </c>
      <c r="D2900" s="2">
        <v>8.033715949E9</v>
      </c>
      <c r="E2900" s="1" t="s">
        <v>13312</v>
      </c>
      <c r="F2900" s="1"/>
      <c r="G2900" s="1" t="s">
        <v>13313</v>
      </c>
      <c r="H2900" s="1" t="s">
        <v>2762</v>
      </c>
      <c r="I2900" s="1">
        <v>29732.0</v>
      </c>
      <c r="J2900" s="1" t="s">
        <v>752</v>
      </c>
      <c r="K2900" s="1" t="s">
        <v>42</v>
      </c>
      <c r="L2900" s="1" t="s">
        <v>8365</v>
      </c>
      <c r="M2900" s="1">
        <v>49.0</v>
      </c>
      <c r="N2900" s="1" t="s">
        <v>1152</v>
      </c>
      <c r="O2900" s="3" t="s">
        <v>10170</v>
      </c>
      <c r="P2900" s="1" t="s">
        <v>1152</v>
      </c>
      <c r="Q2900" s="1" t="s">
        <v>1152</v>
      </c>
      <c r="R2900" s="1"/>
      <c r="S2900" s="1"/>
      <c r="T2900" s="1" t="s">
        <v>1152</v>
      </c>
      <c r="U2900" s="1" t="s">
        <v>1148</v>
      </c>
      <c r="V2900" s="4" t="s">
        <v>10170</v>
      </c>
      <c r="W2900" s="1"/>
      <c r="X2900" s="1" t="s">
        <v>1152</v>
      </c>
      <c r="Y2900" s="1" t="s">
        <v>1152</v>
      </c>
      <c r="Z2900" s="1"/>
      <c r="AA2900" s="1"/>
      <c r="AB2900" s="1"/>
      <c r="AC2900" s="1" t="s">
        <v>1925</v>
      </c>
      <c r="AD2900" s="1"/>
      <c r="AE2900" s="18">
        <v>46148.0</v>
      </c>
      <c r="AF2900" s="1" t="s">
        <v>1349</v>
      </c>
      <c r="AG2900" s="1" t="s">
        <v>52</v>
      </c>
      <c r="AH2900" s="1" t="s">
        <v>1152</v>
      </c>
      <c r="AI2900" s="1" t="s">
        <v>1152</v>
      </c>
      <c r="AJ2900" s="1" t="s">
        <v>13312</v>
      </c>
      <c r="AK2900" s="1" t="s">
        <v>1152</v>
      </c>
      <c r="AL2900" s="6"/>
      <c r="AM2900" s="12">
        <v>8.033715949E9</v>
      </c>
    </row>
    <row r="2901">
      <c r="A2901" s="5" t="s">
        <v>13314</v>
      </c>
      <c r="B2901" s="1" t="s">
        <v>13315</v>
      </c>
      <c r="C2901" s="1" t="s">
        <v>13316</v>
      </c>
      <c r="D2901" s="2">
        <v>2.674087229E9</v>
      </c>
      <c r="E2901" s="1" t="s">
        <v>13317</v>
      </c>
      <c r="F2901" s="1" t="s">
        <v>13318</v>
      </c>
      <c r="G2901" s="1" t="s">
        <v>3027</v>
      </c>
      <c r="H2901" s="1" t="s">
        <v>1233</v>
      </c>
      <c r="I2901" s="1">
        <v>19103.0</v>
      </c>
      <c r="J2901" s="1" t="s">
        <v>752</v>
      </c>
      <c r="K2901" s="1" t="s">
        <v>892</v>
      </c>
      <c r="L2901" s="1" t="s">
        <v>8006</v>
      </c>
      <c r="M2901" s="1">
        <v>49.0</v>
      </c>
      <c r="N2901" s="1" t="s">
        <v>1152</v>
      </c>
      <c r="O2901" s="3"/>
      <c r="P2901" s="1" t="s">
        <v>1152</v>
      </c>
      <c r="Q2901" s="1" t="s">
        <v>1152</v>
      </c>
      <c r="R2901" s="1" t="s">
        <v>13318</v>
      </c>
      <c r="S2901" s="1"/>
      <c r="T2901" s="1" t="s">
        <v>1152</v>
      </c>
      <c r="U2901" s="1"/>
      <c r="V2901" s="4"/>
      <c r="W2901" s="1" t="s">
        <v>13318</v>
      </c>
      <c r="X2901" s="1" t="s">
        <v>1152</v>
      </c>
      <c r="Y2901" s="1" t="s">
        <v>1152</v>
      </c>
      <c r="Z2901" s="1"/>
      <c r="AA2901" s="1" t="s">
        <v>13318</v>
      </c>
      <c r="AB2901" s="1"/>
      <c r="AC2901" s="1" t="s">
        <v>1925</v>
      </c>
      <c r="AD2901" s="1"/>
      <c r="AE2901" s="18">
        <v>46150.0</v>
      </c>
      <c r="AF2901" s="1" t="s">
        <v>1349</v>
      </c>
      <c r="AG2901" s="1" t="s">
        <v>124</v>
      </c>
      <c r="AH2901" s="1" t="s">
        <v>13319</v>
      </c>
      <c r="AI2901" s="1" t="s">
        <v>1152</v>
      </c>
      <c r="AJ2901" s="1" t="s">
        <v>13317</v>
      </c>
      <c r="AK2901" s="1" t="s">
        <v>1152</v>
      </c>
      <c r="AL2901" s="6"/>
      <c r="AM2901" s="12">
        <v>2.674087229E9</v>
      </c>
    </row>
    <row r="2902">
      <c r="A2902" s="5" t="s">
        <v>13320</v>
      </c>
      <c r="B2902" s="1" t="s">
        <v>13321</v>
      </c>
      <c r="C2902" s="1" t="s">
        <v>13322</v>
      </c>
      <c r="D2902" s="2">
        <v>3.14665482E9</v>
      </c>
      <c r="E2902" s="1" t="s">
        <v>13323</v>
      </c>
      <c r="F2902" s="1"/>
      <c r="G2902" s="1" t="s">
        <v>2350</v>
      </c>
      <c r="H2902" s="1" t="s">
        <v>1155</v>
      </c>
      <c r="I2902" s="1">
        <v>63105.0</v>
      </c>
      <c r="J2902" s="1" t="s">
        <v>752</v>
      </c>
      <c r="K2902" s="1" t="s">
        <v>2131</v>
      </c>
      <c r="L2902" s="1" t="s">
        <v>6107</v>
      </c>
      <c r="M2902" s="1">
        <v>1.0</v>
      </c>
      <c r="N2902" s="1" t="s">
        <v>1152</v>
      </c>
      <c r="O2902" s="3" t="s">
        <v>3326</v>
      </c>
      <c r="P2902" s="1" t="s">
        <v>1152</v>
      </c>
      <c r="Q2902" s="1" t="s">
        <v>1152</v>
      </c>
      <c r="R2902" s="1"/>
      <c r="S2902" s="1"/>
      <c r="T2902" s="1" t="s">
        <v>1152</v>
      </c>
      <c r="U2902" s="1" t="s">
        <v>1324</v>
      </c>
      <c r="V2902" s="4" t="s">
        <v>3326</v>
      </c>
      <c r="W2902" s="1"/>
      <c r="X2902" s="1" t="s">
        <v>1152</v>
      </c>
      <c r="Y2902" s="1" t="s">
        <v>1152</v>
      </c>
      <c r="Z2902" s="1"/>
      <c r="AA2902" s="1"/>
      <c r="AB2902" s="1"/>
      <c r="AC2902" s="1" t="s">
        <v>1925</v>
      </c>
      <c r="AD2902" s="1"/>
      <c r="AE2902" s="18">
        <v>46148.0</v>
      </c>
      <c r="AF2902" s="1"/>
      <c r="AG2902" s="1"/>
      <c r="AH2902" s="1" t="s">
        <v>1152</v>
      </c>
      <c r="AI2902" s="1" t="s">
        <v>1152</v>
      </c>
      <c r="AJ2902" s="1" t="s">
        <v>13323</v>
      </c>
      <c r="AK2902" s="1" t="s">
        <v>1152</v>
      </c>
      <c r="AL2902" s="6"/>
      <c r="AM2902" s="12">
        <v>3.14665482E9</v>
      </c>
    </row>
    <row r="2903">
      <c r="A2903" s="5" t="s">
        <v>13324</v>
      </c>
      <c r="B2903" s="1" t="s">
        <v>13325</v>
      </c>
      <c r="C2903" s="1" t="s">
        <v>1170</v>
      </c>
      <c r="D2903" s="2">
        <v>2.242592633E9</v>
      </c>
      <c r="E2903" s="1" t="s">
        <v>13326</v>
      </c>
      <c r="F2903" s="1"/>
      <c r="G2903" s="1" t="s">
        <v>1172</v>
      </c>
      <c r="H2903" s="1" t="s">
        <v>1019</v>
      </c>
      <c r="I2903" s="1">
        <v>60585.0</v>
      </c>
      <c r="J2903" s="1" t="s">
        <v>752</v>
      </c>
      <c r="K2903" s="1" t="s">
        <v>2131</v>
      </c>
      <c r="L2903" s="1" t="s">
        <v>5811</v>
      </c>
      <c r="M2903" s="1">
        <v>1.0</v>
      </c>
      <c r="N2903" s="1" t="s">
        <v>1152</v>
      </c>
      <c r="O2903" s="3" t="s">
        <v>1173</v>
      </c>
      <c r="P2903" s="1" t="s">
        <v>1152</v>
      </c>
      <c r="Q2903" s="1" t="s">
        <v>1152</v>
      </c>
      <c r="R2903" s="1"/>
      <c r="S2903" s="1"/>
      <c r="T2903" s="1" t="s">
        <v>1152</v>
      </c>
      <c r="U2903" s="1" t="s">
        <v>1174</v>
      </c>
      <c r="V2903" s="4" t="s">
        <v>1173</v>
      </c>
      <c r="W2903" s="1"/>
      <c r="X2903" s="1" t="s">
        <v>1152</v>
      </c>
      <c r="Y2903" s="1" t="s">
        <v>1152</v>
      </c>
      <c r="Z2903" s="1"/>
      <c r="AA2903" s="1"/>
      <c r="AB2903" s="1"/>
      <c r="AC2903" s="1" t="s">
        <v>1925</v>
      </c>
      <c r="AD2903" s="1"/>
      <c r="AE2903" s="18">
        <v>46150.0</v>
      </c>
      <c r="AF2903" s="1"/>
      <c r="AG2903" s="1"/>
      <c r="AH2903" s="1" t="s">
        <v>1152</v>
      </c>
      <c r="AI2903" s="1" t="s">
        <v>1152</v>
      </c>
      <c r="AJ2903" s="1" t="s">
        <v>13326</v>
      </c>
      <c r="AK2903" s="1" t="s">
        <v>1152</v>
      </c>
      <c r="AL2903" s="6"/>
      <c r="AM2903" s="12">
        <v>2.242592633E9</v>
      </c>
    </row>
    <row r="2904">
      <c r="A2904" s="5" t="s">
        <v>13327</v>
      </c>
      <c r="B2904" s="1" t="s">
        <v>13328</v>
      </c>
      <c r="C2904" s="1" t="s">
        <v>13329</v>
      </c>
      <c r="D2904" s="2"/>
      <c r="E2904" s="1" t="s">
        <v>9922</v>
      </c>
      <c r="F2904" s="1"/>
      <c r="G2904" s="1" t="s">
        <v>2715</v>
      </c>
      <c r="H2904" s="1" t="s">
        <v>1583</v>
      </c>
      <c r="I2904" s="1">
        <v>75228.0</v>
      </c>
      <c r="J2904" s="1" t="s">
        <v>752</v>
      </c>
      <c r="K2904" s="1" t="s">
        <v>892</v>
      </c>
      <c r="L2904" s="1" t="s">
        <v>8006</v>
      </c>
      <c r="M2904" s="1">
        <v>49.0</v>
      </c>
      <c r="N2904" s="1" t="s">
        <v>1152</v>
      </c>
      <c r="O2904" s="3" t="s">
        <v>3954</v>
      </c>
      <c r="P2904" s="1" t="s">
        <v>1152</v>
      </c>
      <c r="Q2904" s="1" t="s">
        <v>1152</v>
      </c>
      <c r="R2904" s="1"/>
      <c r="S2904" s="1"/>
      <c r="T2904" s="1" t="s">
        <v>1152</v>
      </c>
      <c r="U2904" s="1" t="s">
        <v>1487</v>
      </c>
      <c r="V2904" s="4" t="s">
        <v>3954</v>
      </c>
      <c r="W2904" s="1"/>
      <c r="X2904" s="1" t="s">
        <v>1152</v>
      </c>
      <c r="Y2904" s="1" t="s">
        <v>1152</v>
      </c>
      <c r="Z2904" s="1"/>
      <c r="AA2904" s="1"/>
      <c r="AB2904" s="1"/>
      <c r="AC2904" s="1" t="s">
        <v>1925</v>
      </c>
      <c r="AD2904" s="1"/>
      <c r="AE2904" s="18">
        <v>46148.0</v>
      </c>
      <c r="AF2904" s="1" t="s">
        <v>1030</v>
      </c>
      <c r="AG2904" s="1" t="s">
        <v>52</v>
      </c>
      <c r="AH2904" s="1" t="s">
        <v>13330</v>
      </c>
      <c r="AI2904" s="1" t="s">
        <v>1152</v>
      </c>
      <c r="AJ2904" s="1" t="s">
        <v>9924</v>
      </c>
      <c r="AK2904" s="1" t="s">
        <v>1152</v>
      </c>
      <c r="AL2904" s="6"/>
      <c r="AM2904" s="12">
        <v>9.729461383E9</v>
      </c>
    </row>
    <row r="2905">
      <c r="A2905" s="5" t="s">
        <v>13331</v>
      </c>
      <c r="B2905" s="1" t="s">
        <v>13332</v>
      </c>
      <c r="C2905" s="1" t="s">
        <v>13333</v>
      </c>
      <c r="D2905" s="2">
        <v>4.049855276E9</v>
      </c>
      <c r="E2905" s="1" t="s">
        <v>5862</v>
      </c>
      <c r="F2905" s="1"/>
      <c r="G2905" s="1" t="s">
        <v>3842</v>
      </c>
      <c r="H2905" s="1" t="s">
        <v>946</v>
      </c>
      <c r="I2905" s="1">
        <v>30328.0</v>
      </c>
      <c r="J2905" s="1" t="s">
        <v>752</v>
      </c>
      <c r="K2905" s="1" t="s">
        <v>2131</v>
      </c>
      <c r="L2905" s="1" t="s">
        <v>5767</v>
      </c>
      <c r="M2905" s="1">
        <v>1.0</v>
      </c>
      <c r="N2905" s="1" t="s">
        <v>1152</v>
      </c>
      <c r="O2905" s="3" t="s">
        <v>4814</v>
      </c>
      <c r="P2905" s="1" t="s">
        <v>1152</v>
      </c>
      <c r="Q2905" s="1" t="s">
        <v>1152</v>
      </c>
      <c r="R2905" s="1"/>
      <c r="S2905" s="1"/>
      <c r="T2905" s="1" t="s">
        <v>1152</v>
      </c>
      <c r="U2905" s="1" t="s">
        <v>982</v>
      </c>
      <c r="V2905" s="4" t="s">
        <v>4814</v>
      </c>
      <c r="W2905" s="1"/>
      <c r="X2905" s="1" t="s">
        <v>1152</v>
      </c>
      <c r="Y2905" s="1" t="s">
        <v>1152</v>
      </c>
      <c r="Z2905" s="1"/>
      <c r="AA2905" s="1"/>
      <c r="AB2905" s="1"/>
      <c r="AC2905" s="1" t="s">
        <v>1925</v>
      </c>
      <c r="AD2905" s="1"/>
      <c r="AE2905" s="18">
        <v>46148.0</v>
      </c>
      <c r="AF2905" s="1"/>
      <c r="AG2905" s="1"/>
      <c r="AH2905" s="1" t="s">
        <v>1152</v>
      </c>
      <c r="AI2905" s="1" t="s">
        <v>1152</v>
      </c>
      <c r="AJ2905" s="1" t="s">
        <v>5862</v>
      </c>
      <c r="AK2905" s="1" t="s">
        <v>1152</v>
      </c>
      <c r="AL2905" s="6"/>
      <c r="AM2905" s="12">
        <v>4.049855276E9</v>
      </c>
    </row>
    <row r="2906">
      <c r="A2906" s="5" t="s">
        <v>13334</v>
      </c>
      <c r="B2906" s="1" t="s">
        <v>13335</v>
      </c>
      <c r="C2906" s="1" t="s">
        <v>13336</v>
      </c>
      <c r="D2906" s="2">
        <v>4.438129223E9</v>
      </c>
      <c r="E2906" s="1" t="s">
        <v>13337</v>
      </c>
      <c r="F2906" s="1"/>
      <c r="G2906" s="1" t="s">
        <v>2422</v>
      </c>
      <c r="H2906" s="1" t="s">
        <v>1005</v>
      </c>
      <c r="I2906" s="1">
        <v>21044.0</v>
      </c>
      <c r="J2906" s="1" t="s">
        <v>752</v>
      </c>
      <c r="K2906" s="1" t="s">
        <v>2131</v>
      </c>
      <c r="L2906" s="1" t="s">
        <v>5736</v>
      </c>
      <c r="M2906" s="1">
        <v>1.0</v>
      </c>
      <c r="N2906" s="1" t="s">
        <v>1152</v>
      </c>
      <c r="O2906" s="3" t="s">
        <v>2423</v>
      </c>
      <c r="P2906" s="1" t="s">
        <v>1152</v>
      </c>
      <c r="Q2906" s="1" t="s">
        <v>1152</v>
      </c>
      <c r="R2906" s="1"/>
      <c r="S2906" s="1"/>
      <c r="T2906" s="1" t="s">
        <v>1152</v>
      </c>
      <c r="U2906" s="1" t="s">
        <v>1441</v>
      </c>
      <c r="V2906" s="4" t="s">
        <v>2423</v>
      </c>
      <c r="W2906" s="1"/>
      <c r="X2906" s="1" t="s">
        <v>1152</v>
      </c>
      <c r="Y2906" s="1" t="s">
        <v>1152</v>
      </c>
      <c r="Z2906" s="1"/>
      <c r="AA2906" s="1"/>
      <c r="AB2906" s="1"/>
      <c r="AC2906" s="1" t="s">
        <v>1925</v>
      </c>
      <c r="AD2906" s="1"/>
      <c r="AE2906" s="18">
        <v>46149.0</v>
      </c>
      <c r="AF2906" s="1"/>
      <c r="AG2906" s="1"/>
      <c r="AH2906" s="1" t="s">
        <v>1152</v>
      </c>
      <c r="AI2906" s="1" t="s">
        <v>1152</v>
      </c>
      <c r="AJ2906" s="1" t="s">
        <v>13337</v>
      </c>
      <c r="AK2906" s="1" t="s">
        <v>1152</v>
      </c>
      <c r="AL2906" s="6"/>
      <c r="AM2906" s="12">
        <v>4.438129223E9</v>
      </c>
    </row>
    <row r="2907">
      <c r="A2907" s="5" t="s">
        <v>13338</v>
      </c>
      <c r="B2907" s="1" t="s">
        <v>13339</v>
      </c>
      <c r="C2907" s="1" t="s">
        <v>13340</v>
      </c>
      <c r="D2907" s="2">
        <v>8.477160903E9</v>
      </c>
      <c r="E2907" s="1" t="s">
        <v>13341</v>
      </c>
      <c r="F2907" s="1"/>
      <c r="G2907" s="1" t="s">
        <v>1858</v>
      </c>
      <c r="H2907" s="1" t="s">
        <v>1019</v>
      </c>
      <c r="I2907" s="1">
        <v>60093.0</v>
      </c>
      <c r="J2907" s="1" t="s">
        <v>752</v>
      </c>
      <c r="K2907" s="1" t="s">
        <v>42</v>
      </c>
      <c r="L2907" s="1" t="s">
        <v>6819</v>
      </c>
      <c r="M2907" s="1">
        <v>49.0</v>
      </c>
      <c r="N2907" s="1" t="s">
        <v>1152</v>
      </c>
      <c r="O2907" s="3" t="s">
        <v>2141</v>
      </c>
      <c r="P2907" s="1" t="s">
        <v>1152</v>
      </c>
      <c r="Q2907" s="1" t="s">
        <v>1152</v>
      </c>
      <c r="R2907" s="1"/>
      <c r="S2907" s="1"/>
      <c r="T2907" s="1" t="s">
        <v>1152</v>
      </c>
      <c r="U2907" s="1" t="s">
        <v>1039</v>
      </c>
      <c r="V2907" s="4" t="s">
        <v>2141</v>
      </c>
      <c r="W2907" s="1"/>
      <c r="X2907" s="1" t="s">
        <v>1152</v>
      </c>
      <c r="Y2907" s="1" t="s">
        <v>1152</v>
      </c>
      <c r="Z2907" s="1"/>
      <c r="AA2907" s="1"/>
      <c r="AB2907" s="1"/>
      <c r="AC2907" s="1" t="s">
        <v>1925</v>
      </c>
      <c r="AD2907" s="1"/>
      <c r="AE2907" s="18">
        <v>46153.0</v>
      </c>
      <c r="AF2907" s="1" t="s">
        <v>1030</v>
      </c>
      <c r="AG2907" s="1" t="s">
        <v>52</v>
      </c>
      <c r="AH2907" s="1" t="s">
        <v>1152</v>
      </c>
      <c r="AI2907" s="1" t="s">
        <v>1152</v>
      </c>
      <c r="AJ2907" s="1" t="s">
        <v>13341</v>
      </c>
      <c r="AK2907" s="1" t="s">
        <v>1152</v>
      </c>
      <c r="AL2907" s="6"/>
      <c r="AM2907" s="12">
        <v>8.477160903E9</v>
      </c>
    </row>
    <row r="2908">
      <c r="A2908" s="5" t="s">
        <v>13342</v>
      </c>
      <c r="B2908" s="1" t="s">
        <v>13343</v>
      </c>
      <c r="C2908" s="1" t="s">
        <v>13344</v>
      </c>
      <c r="D2908" s="2">
        <v>8.083695904E9</v>
      </c>
      <c r="E2908" s="1" t="s">
        <v>7091</v>
      </c>
      <c r="F2908" s="1"/>
      <c r="G2908" s="1" t="s">
        <v>2485</v>
      </c>
      <c r="H2908" s="1" t="s">
        <v>2486</v>
      </c>
      <c r="I2908" s="1">
        <v>96816.0</v>
      </c>
      <c r="J2908" s="1" t="s">
        <v>752</v>
      </c>
      <c r="K2908" s="1" t="s">
        <v>42</v>
      </c>
      <c r="L2908" s="1" t="s">
        <v>6819</v>
      </c>
      <c r="M2908" s="1">
        <v>49.0</v>
      </c>
      <c r="N2908" s="1" t="s">
        <v>1152</v>
      </c>
      <c r="O2908" s="3" t="s">
        <v>2798</v>
      </c>
      <c r="P2908" s="1" t="s">
        <v>1152</v>
      </c>
      <c r="Q2908" s="1" t="s">
        <v>1152</v>
      </c>
      <c r="R2908" s="1"/>
      <c r="S2908" s="1"/>
      <c r="T2908" s="1" t="s">
        <v>1152</v>
      </c>
      <c r="U2908" s="1" t="s">
        <v>6053</v>
      </c>
      <c r="V2908" s="4" t="s">
        <v>2798</v>
      </c>
      <c r="W2908" s="1"/>
      <c r="X2908" s="1" t="s">
        <v>1152</v>
      </c>
      <c r="Y2908" s="1" t="s">
        <v>1152</v>
      </c>
      <c r="Z2908" s="1"/>
      <c r="AA2908" s="1"/>
      <c r="AB2908" s="1"/>
      <c r="AC2908" s="1" t="s">
        <v>1925</v>
      </c>
      <c r="AD2908" s="1"/>
      <c r="AE2908" s="18">
        <v>46155.0</v>
      </c>
      <c r="AF2908" s="1" t="s">
        <v>1630</v>
      </c>
      <c r="AG2908" s="1" t="s">
        <v>52</v>
      </c>
      <c r="AH2908" s="1" t="s">
        <v>1152</v>
      </c>
      <c r="AI2908" s="1" t="s">
        <v>1152</v>
      </c>
      <c r="AJ2908" s="1" t="s">
        <v>7092</v>
      </c>
      <c r="AK2908" s="1" t="s">
        <v>1152</v>
      </c>
      <c r="AL2908" s="6"/>
      <c r="AM2908" s="12">
        <v>8.083695904E9</v>
      </c>
    </row>
    <row r="2909">
      <c r="A2909" s="5" t="s">
        <v>13345</v>
      </c>
      <c r="B2909" s="1" t="s">
        <v>13346</v>
      </c>
      <c r="C2909" s="1" t="s">
        <v>4882</v>
      </c>
      <c r="D2909" s="2">
        <v>4.752434614E9</v>
      </c>
      <c r="E2909" s="1" t="s">
        <v>13347</v>
      </c>
      <c r="F2909" s="1"/>
      <c r="G2909" s="1" t="s">
        <v>13348</v>
      </c>
      <c r="H2909" s="1" t="s">
        <v>1616</v>
      </c>
      <c r="I2909" s="1">
        <v>3894.0</v>
      </c>
      <c r="J2909" s="1" t="s">
        <v>752</v>
      </c>
      <c r="K2909" s="1" t="s">
        <v>42</v>
      </c>
      <c r="L2909" s="1" t="s">
        <v>7863</v>
      </c>
      <c r="M2909" s="1">
        <v>79.0</v>
      </c>
      <c r="N2909" s="1" t="s">
        <v>1152</v>
      </c>
      <c r="O2909" s="3" t="s">
        <v>4288</v>
      </c>
      <c r="P2909" s="1" t="s">
        <v>1152</v>
      </c>
      <c r="Q2909" s="1" t="s">
        <v>1152</v>
      </c>
      <c r="R2909" s="1"/>
      <c r="S2909" s="1"/>
      <c r="T2909" s="1" t="s">
        <v>1152</v>
      </c>
      <c r="U2909" s="1" t="s">
        <v>1699</v>
      </c>
      <c r="V2909" s="4" t="s">
        <v>4288</v>
      </c>
      <c r="W2909" s="1"/>
      <c r="X2909" s="1" t="s">
        <v>1152</v>
      </c>
      <c r="Y2909" s="1" t="s">
        <v>1152</v>
      </c>
      <c r="Z2909" s="1"/>
      <c r="AA2909" s="1"/>
      <c r="AB2909" s="1"/>
      <c r="AC2909" s="1" t="s">
        <v>1925</v>
      </c>
      <c r="AD2909" s="1"/>
      <c r="AE2909" s="18">
        <v>46150.0</v>
      </c>
      <c r="AF2909" s="1" t="s">
        <v>1440</v>
      </c>
      <c r="AG2909" s="1" t="s">
        <v>52</v>
      </c>
      <c r="AH2909" s="1" t="s">
        <v>1152</v>
      </c>
      <c r="AI2909" s="1" t="s">
        <v>1152</v>
      </c>
      <c r="AJ2909" s="1" t="s">
        <v>4883</v>
      </c>
      <c r="AK2909" s="1" t="s">
        <v>1152</v>
      </c>
      <c r="AL2909" s="6"/>
      <c r="AM2909" s="12">
        <v>4.752434614E9</v>
      </c>
    </row>
    <row r="2910">
      <c r="A2910" s="5" t="s">
        <v>13349</v>
      </c>
      <c r="B2910" s="1" t="s">
        <v>13350</v>
      </c>
      <c r="C2910" s="1" t="s">
        <v>13351</v>
      </c>
      <c r="D2910" s="2">
        <v>4.805443982E9</v>
      </c>
      <c r="E2910" s="1" t="s">
        <v>6274</v>
      </c>
      <c r="F2910" s="1"/>
      <c r="G2910" s="1" t="s">
        <v>7601</v>
      </c>
      <c r="H2910" s="1" t="s">
        <v>3776</v>
      </c>
      <c r="I2910" s="1">
        <v>66223.0</v>
      </c>
      <c r="J2910" s="1" t="s">
        <v>752</v>
      </c>
      <c r="K2910" s="1" t="s">
        <v>2131</v>
      </c>
      <c r="L2910" s="1" t="s">
        <v>5811</v>
      </c>
      <c r="M2910" s="1">
        <v>1.0</v>
      </c>
      <c r="N2910" s="1" t="s">
        <v>1152</v>
      </c>
      <c r="O2910" s="3" t="s">
        <v>6277</v>
      </c>
      <c r="P2910" s="1" t="s">
        <v>1152</v>
      </c>
      <c r="Q2910" s="1" t="s">
        <v>1152</v>
      </c>
      <c r="R2910" s="1"/>
      <c r="S2910" s="1"/>
      <c r="T2910" s="1" t="s">
        <v>1152</v>
      </c>
      <c r="U2910" s="1" t="s">
        <v>1441</v>
      </c>
      <c r="V2910" s="4" t="s">
        <v>6277</v>
      </c>
      <c r="W2910" s="1"/>
      <c r="X2910" s="1" t="s">
        <v>1152</v>
      </c>
      <c r="Y2910" s="1" t="s">
        <v>1152</v>
      </c>
      <c r="Z2910" s="1"/>
      <c r="AA2910" s="1"/>
      <c r="AB2910" s="1"/>
      <c r="AC2910" s="1" t="s">
        <v>1925</v>
      </c>
      <c r="AD2910" s="1"/>
      <c r="AE2910" s="18">
        <v>46148.0</v>
      </c>
      <c r="AF2910" s="1"/>
      <c r="AG2910" s="1"/>
      <c r="AH2910" s="1" t="s">
        <v>1152</v>
      </c>
      <c r="AI2910" s="1" t="s">
        <v>1152</v>
      </c>
      <c r="AJ2910" s="1" t="s">
        <v>6274</v>
      </c>
      <c r="AK2910" s="1" t="s">
        <v>1152</v>
      </c>
      <c r="AL2910" s="6"/>
      <c r="AM2910" s="12">
        <v>4.805443982E9</v>
      </c>
    </row>
    <row r="2911">
      <c r="A2911" s="5" t="s">
        <v>13352</v>
      </c>
      <c r="B2911" s="1" t="s">
        <v>13353</v>
      </c>
      <c r="C2911" s="1" t="s">
        <v>8757</v>
      </c>
      <c r="D2911" s="2">
        <v>9.493794575E9</v>
      </c>
      <c r="E2911" s="1" t="s">
        <v>13354</v>
      </c>
      <c r="F2911" s="1"/>
      <c r="G2911" s="1" t="s">
        <v>2350</v>
      </c>
      <c r="H2911" s="1" t="s">
        <v>1155</v>
      </c>
      <c r="I2911" s="1">
        <v>63105.0</v>
      </c>
      <c r="J2911" s="1" t="s">
        <v>752</v>
      </c>
      <c r="K2911" s="1" t="s">
        <v>2131</v>
      </c>
      <c r="L2911" s="1" t="s">
        <v>5767</v>
      </c>
      <c r="M2911" s="1">
        <v>1.0</v>
      </c>
      <c r="N2911" s="1" t="s">
        <v>1152</v>
      </c>
      <c r="O2911" s="3" t="s">
        <v>13355</v>
      </c>
      <c r="P2911" s="1" t="s">
        <v>1152</v>
      </c>
      <c r="Q2911" s="1" t="s">
        <v>1152</v>
      </c>
      <c r="R2911" s="1"/>
      <c r="S2911" s="1"/>
      <c r="T2911" s="1" t="s">
        <v>1152</v>
      </c>
      <c r="U2911" s="1" t="s">
        <v>7909</v>
      </c>
      <c r="V2911" s="4" t="s">
        <v>13355</v>
      </c>
      <c r="W2911" s="1"/>
      <c r="X2911" s="1" t="s">
        <v>1152</v>
      </c>
      <c r="Y2911" s="1" t="s">
        <v>1152</v>
      </c>
      <c r="Z2911" s="1"/>
      <c r="AA2911" s="1"/>
      <c r="AB2911" s="1"/>
      <c r="AC2911" s="1" t="s">
        <v>1925</v>
      </c>
      <c r="AD2911" s="1"/>
      <c r="AE2911" s="18">
        <v>46147.0</v>
      </c>
      <c r="AF2911" s="1"/>
      <c r="AG2911" s="1"/>
      <c r="AH2911" s="1" t="s">
        <v>1152</v>
      </c>
      <c r="AI2911" s="1" t="s">
        <v>1152</v>
      </c>
      <c r="AJ2911" s="1" t="s">
        <v>13354</v>
      </c>
      <c r="AK2911" s="1" t="s">
        <v>1152</v>
      </c>
      <c r="AL2911" s="6"/>
      <c r="AM2911" s="12">
        <v>9.493794575E9</v>
      </c>
    </row>
    <row r="2912">
      <c r="A2912" s="5" t="s">
        <v>13356</v>
      </c>
      <c r="B2912" s="1" t="s">
        <v>13357</v>
      </c>
      <c r="C2912" s="1" t="s">
        <v>13358</v>
      </c>
      <c r="D2912" s="2">
        <v>7.082657683E9</v>
      </c>
      <c r="E2912" s="1" t="s">
        <v>13359</v>
      </c>
      <c r="F2912" s="1"/>
      <c r="G2912" s="1" t="s">
        <v>2350</v>
      </c>
      <c r="H2912" s="1" t="s">
        <v>1155</v>
      </c>
      <c r="I2912" s="1">
        <v>63105.0</v>
      </c>
      <c r="J2912" s="1" t="s">
        <v>752</v>
      </c>
      <c r="K2912" s="1" t="s">
        <v>2131</v>
      </c>
      <c r="L2912" s="1" t="s">
        <v>5767</v>
      </c>
      <c r="M2912" s="1">
        <v>1.0</v>
      </c>
      <c r="N2912" s="1" t="s">
        <v>1152</v>
      </c>
      <c r="O2912" s="3" t="s">
        <v>1675</v>
      </c>
      <c r="P2912" s="1" t="s">
        <v>1152</v>
      </c>
      <c r="Q2912" s="1" t="s">
        <v>1152</v>
      </c>
      <c r="R2912" s="1"/>
      <c r="S2912" s="1"/>
      <c r="T2912" s="1" t="s">
        <v>1152</v>
      </c>
      <c r="U2912" s="1" t="s">
        <v>1080</v>
      </c>
      <c r="V2912" s="4" t="s">
        <v>1675</v>
      </c>
      <c r="W2912" s="1"/>
      <c r="X2912" s="1" t="s">
        <v>1152</v>
      </c>
      <c r="Y2912" s="1" t="s">
        <v>1152</v>
      </c>
      <c r="Z2912" s="1"/>
      <c r="AA2912" s="1"/>
      <c r="AB2912" s="1"/>
      <c r="AC2912" s="1" t="s">
        <v>1925</v>
      </c>
      <c r="AD2912" s="1"/>
      <c r="AE2912" s="18">
        <v>46161.0</v>
      </c>
      <c r="AF2912" s="1"/>
      <c r="AG2912" s="1"/>
      <c r="AH2912" s="1" t="s">
        <v>1152</v>
      </c>
      <c r="AI2912" s="1" t="s">
        <v>1152</v>
      </c>
      <c r="AJ2912" s="1" t="s">
        <v>13359</v>
      </c>
      <c r="AK2912" s="1" t="s">
        <v>1152</v>
      </c>
      <c r="AL2912" s="6"/>
      <c r="AM2912" s="12">
        <v>7.082657683E9</v>
      </c>
    </row>
    <row r="2913">
      <c r="A2913" s="5" t="s">
        <v>13360</v>
      </c>
      <c r="B2913" s="1" t="s">
        <v>13361</v>
      </c>
      <c r="C2913" s="1" t="s">
        <v>13362</v>
      </c>
      <c r="D2913" s="2">
        <v>6.308228167E9</v>
      </c>
      <c r="E2913" s="1" t="s">
        <v>7199</v>
      </c>
      <c r="F2913" s="1"/>
      <c r="G2913" s="1" t="s">
        <v>7197</v>
      </c>
      <c r="H2913" s="1" t="s">
        <v>1019</v>
      </c>
      <c r="I2913" s="1">
        <v>60187.0</v>
      </c>
      <c r="J2913" s="1" t="s">
        <v>752</v>
      </c>
      <c r="K2913" s="1" t="s">
        <v>2131</v>
      </c>
      <c r="L2913" s="1" t="s">
        <v>5811</v>
      </c>
      <c r="M2913" s="1">
        <v>1.0</v>
      </c>
      <c r="N2913" s="1" t="s">
        <v>1152</v>
      </c>
      <c r="O2913" s="3" t="s">
        <v>7198</v>
      </c>
      <c r="P2913" s="1" t="s">
        <v>1152</v>
      </c>
      <c r="Q2913" s="1" t="s">
        <v>1152</v>
      </c>
      <c r="R2913" s="1"/>
      <c r="S2913" s="1"/>
      <c r="T2913" s="1" t="s">
        <v>1152</v>
      </c>
      <c r="U2913" s="1" t="s">
        <v>956</v>
      </c>
      <c r="V2913" s="4" t="s">
        <v>7198</v>
      </c>
      <c r="W2913" s="1"/>
      <c r="X2913" s="1" t="s">
        <v>1152</v>
      </c>
      <c r="Y2913" s="1" t="s">
        <v>1152</v>
      </c>
      <c r="Z2913" s="1"/>
      <c r="AA2913" s="1"/>
      <c r="AB2913" s="1"/>
      <c r="AC2913" s="1" t="s">
        <v>1925</v>
      </c>
      <c r="AD2913" s="1"/>
      <c r="AE2913" s="18">
        <v>46148.0</v>
      </c>
      <c r="AF2913" s="1"/>
      <c r="AG2913" s="1"/>
      <c r="AH2913" s="1" t="s">
        <v>1152</v>
      </c>
      <c r="AI2913" s="1" t="s">
        <v>1152</v>
      </c>
      <c r="AJ2913" s="1" t="s">
        <v>7199</v>
      </c>
      <c r="AK2913" s="1" t="s">
        <v>1152</v>
      </c>
      <c r="AL2913" s="6"/>
      <c r="AM2913" s="12">
        <v>6.308228167E9</v>
      </c>
    </row>
    <row r="2914">
      <c r="A2914" s="5" t="s">
        <v>13363</v>
      </c>
      <c r="B2914" s="1" t="s">
        <v>13364</v>
      </c>
      <c r="C2914" s="1" t="s">
        <v>10964</v>
      </c>
      <c r="D2914" s="2">
        <v>2.022808249E9</v>
      </c>
      <c r="E2914" s="1" t="s">
        <v>10966</v>
      </c>
      <c r="F2914" s="1"/>
      <c r="G2914" s="1" t="s">
        <v>13365</v>
      </c>
      <c r="H2914" s="1" t="s">
        <v>1155</v>
      </c>
      <c r="I2914" s="1">
        <v>63105.0</v>
      </c>
      <c r="J2914" s="1" t="s">
        <v>752</v>
      </c>
      <c r="K2914" s="1" t="s">
        <v>2131</v>
      </c>
      <c r="L2914" s="1" t="s">
        <v>5767</v>
      </c>
      <c r="M2914" s="1">
        <v>1.0</v>
      </c>
      <c r="N2914" s="1" t="s">
        <v>1152</v>
      </c>
      <c r="O2914" s="3" t="s">
        <v>434</v>
      </c>
      <c r="P2914" s="1" t="s">
        <v>1152</v>
      </c>
      <c r="Q2914" s="1" t="s">
        <v>1152</v>
      </c>
      <c r="R2914" s="1"/>
      <c r="S2914" s="1"/>
      <c r="T2914" s="1" t="s">
        <v>1152</v>
      </c>
      <c r="U2914" s="1" t="s">
        <v>1277</v>
      </c>
      <c r="V2914" s="4" t="s">
        <v>434</v>
      </c>
      <c r="W2914" s="1"/>
      <c r="X2914" s="1" t="s">
        <v>1152</v>
      </c>
      <c r="Y2914" s="1" t="s">
        <v>1152</v>
      </c>
      <c r="Z2914" s="1"/>
      <c r="AA2914" s="1"/>
      <c r="AB2914" s="1"/>
      <c r="AC2914" s="1" t="s">
        <v>1925</v>
      </c>
      <c r="AD2914" s="1"/>
      <c r="AE2914" s="18">
        <v>46148.0</v>
      </c>
      <c r="AF2914" s="1"/>
      <c r="AG2914" s="1"/>
      <c r="AH2914" s="1" t="s">
        <v>1152</v>
      </c>
      <c r="AI2914" s="1" t="s">
        <v>1152</v>
      </c>
      <c r="AJ2914" s="1" t="s">
        <v>10966</v>
      </c>
      <c r="AK2914" s="1" t="s">
        <v>1152</v>
      </c>
      <c r="AL2914" s="6"/>
      <c r="AM2914" s="12">
        <v>2.022808249E9</v>
      </c>
    </row>
    <row r="2915">
      <c r="A2915" s="5" t="s">
        <v>13366</v>
      </c>
      <c r="B2915" s="1" t="s">
        <v>13367</v>
      </c>
      <c r="C2915" s="1" t="s">
        <v>7817</v>
      </c>
      <c r="D2915" s="2">
        <v>5.052979003E9</v>
      </c>
      <c r="E2915" s="1" t="s">
        <v>7818</v>
      </c>
      <c r="F2915" s="1"/>
      <c r="G2915" s="1" t="s">
        <v>1027</v>
      </c>
      <c r="H2915" s="1" t="s">
        <v>1028</v>
      </c>
      <c r="I2915" s="1">
        <v>87111.0</v>
      </c>
      <c r="J2915" s="1" t="s">
        <v>752</v>
      </c>
      <c r="K2915" s="1" t="s">
        <v>42</v>
      </c>
      <c r="L2915" s="1" t="s">
        <v>6819</v>
      </c>
      <c r="M2915" s="1">
        <v>49.0</v>
      </c>
      <c r="N2915" s="1" t="s">
        <v>1152</v>
      </c>
      <c r="O2915" s="3" t="s">
        <v>7819</v>
      </c>
      <c r="P2915" s="1" t="s">
        <v>1152</v>
      </c>
      <c r="Q2915" s="1" t="s">
        <v>1152</v>
      </c>
      <c r="R2915" s="1"/>
      <c r="S2915" s="1"/>
      <c r="T2915" s="1" t="s">
        <v>1152</v>
      </c>
      <c r="U2915" s="1" t="s">
        <v>1812</v>
      </c>
      <c r="V2915" s="4" t="s">
        <v>7819</v>
      </c>
      <c r="W2915" s="1"/>
      <c r="X2915" s="1" t="s">
        <v>1152</v>
      </c>
      <c r="Y2915" s="1" t="s">
        <v>1152</v>
      </c>
      <c r="Z2915" s="1"/>
      <c r="AA2915" s="1"/>
      <c r="AB2915" s="1"/>
      <c r="AC2915" s="1" t="s">
        <v>1925</v>
      </c>
      <c r="AD2915" s="1"/>
      <c r="AE2915" s="18">
        <v>46149.0</v>
      </c>
      <c r="AF2915" s="1" t="s">
        <v>1630</v>
      </c>
      <c r="AG2915" s="1" t="s">
        <v>52</v>
      </c>
      <c r="AH2915" s="1" t="s">
        <v>1152</v>
      </c>
      <c r="AI2915" s="1" t="s">
        <v>1152</v>
      </c>
      <c r="AJ2915" s="1" t="s">
        <v>7818</v>
      </c>
      <c r="AK2915" s="1" t="s">
        <v>1152</v>
      </c>
      <c r="AL2915" s="6"/>
      <c r="AM2915" s="12" t="s">
        <v>13368</v>
      </c>
    </row>
    <row r="2916">
      <c r="A2916" s="5" t="s">
        <v>13369</v>
      </c>
      <c r="B2916" s="1" t="s">
        <v>13370</v>
      </c>
      <c r="C2916" s="1" t="s">
        <v>13371</v>
      </c>
      <c r="D2916" s="2">
        <v>4.024294779E9</v>
      </c>
      <c r="E2916" s="1" t="s">
        <v>877</v>
      </c>
      <c r="F2916" s="1"/>
      <c r="G2916" s="1" t="s">
        <v>3563</v>
      </c>
      <c r="H2916" s="1" t="s">
        <v>7072</v>
      </c>
      <c r="I2916" s="1">
        <v>68502.0</v>
      </c>
      <c r="J2916" s="1" t="s">
        <v>752</v>
      </c>
      <c r="K2916" s="1" t="s">
        <v>2131</v>
      </c>
      <c r="L2916" s="1" t="s">
        <v>5767</v>
      </c>
      <c r="M2916" s="1">
        <v>1.0</v>
      </c>
      <c r="N2916" s="1" t="s">
        <v>1152</v>
      </c>
      <c r="O2916" s="3" t="s">
        <v>13372</v>
      </c>
      <c r="P2916" s="1" t="s">
        <v>1152</v>
      </c>
      <c r="Q2916" s="1" t="s">
        <v>1152</v>
      </c>
      <c r="R2916" s="1"/>
      <c r="S2916" s="1"/>
      <c r="T2916" s="1" t="s">
        <v>1152</v>
      </c>
      <c r="U2916" s="1" t="s">
        <v>982</v>
      </c>
      <c r="V2916" s="4" t="s">
        <v>13372</v>
      </c>
      <c r="W2916" s="1"/>
      <c r="X2916" s="1" t="s">
        <v>1152</v>
      </c>
      <c r="Y2916" s="1" t="s">
        <v>1152</v>
      </c>
      <c r="Z2916" s="1"/>
      <c r="AA2916" s="1"/>
      <c r="AB2916" s="1"/>
      <c r="AC2916" s="1" t="s">
        <v>1925</v>
      </c>
      <c r="AD2916" s="1"/>
      <c r="AE2916" s="18">
        <v>46150.0</v>
      </c>
      <c r="AF2916" s="1"/>
      <c r="AG2916" s="1"/>
      <c r="AH2916" s="1" t="s">
        <v>1152</v>
      </c>
      <c r="AI2916" s="1" t="s">
        <v>1152</v>
      </c>
      <c r="AJ2916" s="1" t="s">
        <v>13373</v>
      </c>
      <c r="AK2916" s="1" t="s">
        <v>1152</v>
      </c>
      <c r="AL2916" s="6"/>
      <c r="AM2916" s="12">
        <v>4.024294779E9</v>
      </c>
    </row>
    <row r="2917">
      <c r="A2917" s="5" t="s">
        <v>13374</v>
      </c>
      <c r="B2917" s="1" t="s">
        <v>13375</v>
      </c>
      <c r="C2917" s="1" t="s">
        <v>13376</v>
      </c>
      <c r="D2917" s="2">
        <v>6.467409378E9</v>
      </c>
      <c r="E2917" s="1" t="s">
        <v>13377</v>
      </c>
      <c r="F2917" s="1" t="s">
        <v>13378</v>
      </c>
      <c r="G2917" s="1" t="s">
        <v>751</v>
      </c>
      <c r="H2917" s="1" t="s">
        <v>751</v>
      </c>
      <c r="I2917" s="1" t="s">
        <v>13379</v>
      </c>
      <c r="J2917" s="1" t="s">
        <v>752</v>
      </c>
      <c r="K2917" s="1" t="s">
        <v>892</v>
      </c>
      <c r="L2917" s="1" t="s">
        <v>9336</v>
      </c>
      <c r="M2917" s="1">
        <v>109.0</v>
      </c>
      <c r="N2917" s="1" t="s">
        <v>1152</v>
      </c>
      <c r="O2917" s="3"/>
      <c r="P2917" s="1" t="s">
        <v>1152</v>
      </c>
      <c r="Q2917" s="1" t="s">
        <v>1152</v>
      </c>
      <c r="R2917" s="1" t="s">
        <v>13378</v>
      </c>
      <c r="S2917" s="1"/>
      <c r="T2917" s="1" t="s">
        <v>1152</v>
      </c>
      <c r="U2917" s="1"/>
      <c r="V2917" s="4"/>
      <c r="W2917" s="1" t="s">
        <v>13378</v>
      </c>
      <c r="X2917" s="1" t="s">
        <v>1152</v>
      </c>
      <c r="Y2917" s="1" t="s">
        <v>1152</v>
      </c>
      <c r="Z2917" s="1"/>
      <c r="AA2917" s="1" t="s">
        <v>13378</v>
      </c>
      <c r="AB2917" s="1"/>
      <c r="AC2917" s="1" t="s">
        <v>1925</v>
      </c>
      <c r="AD2917" s="1"/>
      <c r="AE2917" s="18">
        <v>46160.0</v>
      </c>
      <c r="AF2917" s="1" t="s">
        <v>1349</v>
      </c>
      <c r="AG2917" s="1" t="s">
        <v>124</v>
      </c>
      <c r="AH2917" s="1" t="s">
        <v>13380</v>
      </c>
      <c r="AI2917" s="1" t="s">
        <v>1152</v>
      </c>
      <c r="AJ2917" s="1" t="s">
        <v>13381</v>
      </c>
      <c r="AK2917" s="1" t="s">
        <v>1152</v>
      </c>
      <c r="AL2917" s="6"/>
      <c r="AM2917" s="12">
        <v>6.467409378E9</v>
      </c>
    </row>
    <row r="2918">
      <c r="A2918" s="5" t="s">
        <v>13382</v>
      </c>
      <c r="B2918" s="1" t="s">
        <v>13383</v>
      </c>
      <c r="C2918" s="1" t="s">
        <v>13384</v>
      </c>
      <c r="D2918" s="2">
        <v>5.133949375E9</v>
      </c>
      <c r="E2918" s="1" t="s">
        <v>13385</v>
      </c>
      <c r="F2918" s="1"/>
      <c r="G2918" s="1" t="s">
        <v>2170</v>
      </c>
      <c r="H2918" s="1" t="s">
        <v>2171</v>
      </c>
      <c r="I2918" s="1">
        <v>45040.0</v>
      </c>
      <c r="J2918" s="1" t="s">
        <v>752</v>
      </c>
      <c r="K2918" s="1" t="s">
        <v>2131</v>
      </c>
      <c r="L2918" s="1" t="s">
        <v>5767</v>
      </c>
      <c r="M2918" s="1">
        <v>1.0</v>
      </c>
      <c r="N2918" s="1" t="s">
        <v>1152</v>
      </c>
      <c r="O2918" s="3" t="s">
        <v>753</v>
      </c>
      <c r="P2918" s="1" t="s">
        <v>1152</v>
      </c>
      <c r="Q2918" s="1" t="s">
        <v>1152</v>
      </c>
      <c r="R2918" s="1"/>
      <c r="S2918" s="1"/>
      <c r="T2918" s="1" t="s">
        <v>1152</v>
      </c>
      <c r="U2918" s="1" t="s">
        <v>1080</v>
      </c>
      <c r="V2918" s="4" t="s">
        <v>753</v>
      </c>
      <c r="W2918" s="1"/>
      <c r="X2918" s="1" t="s">
        <v>1152</v>
      </c>
      <c r="Y2918" s="1" t="s">
        <v>1152</v>
      </c>
      <c r="Z2918" s="1"/>
      <c r="AA2918" s="1"/>
      <c r="AB2918" s="1"/>
      <c r="AC2918" s="1" t="s">
        <v>1925</v>
      </c>
      <c r="AD2918" s="1"/>
      <c r="AE2918" s="18">
        <v>46149.0</v>
      </c>
      <c r="AF2918" s="1"/>
      <c r="AG2918" s="1"/>
      <c r="AH2918" s="1" t="s">
        <v>1152</v>
      </c>
      <c r="AI2918" s="1" t="s">
        <v>1152</v>
      </c>
      <c r="AJ2918" s="1" t="s">
        <v>13385</v>
      </c>
      <c r="AK2918" s="1" t="s">
        <v>1152</v>
      </c>
      <c r="AL2918" s="6"/>
      <c r="AM2918" s="12">
        <v>5.133949375E9</v>
      </c>
    </row>
    <row r="2919">
      <c r="A2919" s="5" t="s">
        <v>13386</v>
      </c>
      <c r="B2919" s="1" t="s">
        <v>13387</v>
      </c>
      <c r="C2919" s="1" t="s">
        <v>13388</v>
      </c>
      <c r="D2919" s="2">
        <v>2.145927361E9</v>
      </c>
      <c r="E2919" s="1" t="s">
        <v>11058</v>
      </c>
      <c r="F2919" s="1"/>
      <c r="G2919" s="1" t="s">
        <v>1843</v>
      </c>
      <c r="H2919" s="1" t="s">
        <v>1583</v>
      </c>
      <c r="I2919" s="1">
        <v>75063.0</v>
      </c>
      <c r="J2919" s="1" t="s">
        <v>752</v>
      </c>
      <c r="K2919" s="1" t="s">
        <v>2131</v>
      </c>
      <c r="L2919" s="1" t="s">
        <v>5767</v>
      </c>
      <c r="M2919" s="1">
        <v>1.0</v>
      </c>
      <c r="N2919" s="1" t="s">
        <v>1152</v>
      </c>
      <c r="O2919" s="3" t="s">
        <v>1844</v>
      </c>
      <c r="P2919" s="1" t="s">
        <v>1152</v>
      </c>
      <c r="Q2919" s="1" t="s">
        <v>1152</v>
      </c>
      <c r="R2919" s="1"/>
      <c r="S2919" s="1"/>
      <c r="T2919" s="1" t="s">
        <v>1152</v>
      </c>
      <c r="U2919" s="1" t="s">
        <v>1039</v>
      </c>
      <c r="V2919" s="4" t="s">
        <v>1844</v>
      </c>
      <c r="W2919" s="1"/>
      <c r="X2919" s="1" t="s">
        <v>1152</v>
      </c>
      <c r="Y2919" s="1" t="s">
        <v>1152</v>
      </c>
      <c r="Z2919" s="1"/>
      <c r="AA2919" s="1"/>
      <c r="AB2919" s="1"/>
      <c r="AC2919" s="1" t="s">
        <v>1925</v>
      </c>
      <c r="AD2919" s="1"/>
      <c r="AE2919" s="18">
        <v>46149.0</v>
      </c>
      <c r="AF2919" s="1"/>
      <c r="AG2919" s="1"/>
      <c r="AH2919" s="1" t="s">
        <v>1152</v>
      </c>
      <c r="AI2919" s="1" t="s">
        <v>1152</v>
      </c>
      <c r="AJ2919" s="1" t="s">
        <v>11058</v>
      </c>
      <c r="AK2919" s="1" t="s">
        <v>1152</v>
      </c>
      <c r="AL2919" s="6"/>
      <c r="AM2919" s="12">
        <v>2.145927361E9</v>
      </c>
    </row>
    <row r="2920">
      <c r="A2920" s="5" t="s">
        <v>13389</v>
      </c>
      <c r="B2920" s="1" t="s">
        <v>13390</v>
      </c>
      <c r="C2920" s="1" t="s">
        <v>6092</v>
      </c>
      <c r="D2920" s="2">
        <v>8.177570759E9</v>
      </c>
      <c r="E2920" s="1" t="s">
        <v>13391</v>
      </c>
      <c r="F2920" s="1"/>
      <c r="G2920" s="1" t="s">
        <v>6037</v>
      </c>
      <c r="H2920" s="1" t="s">
        <v>1583</v>
      </c>
      <c r="I2920" s="1">
        <v>78223.0</v>
      </c>
      <c r="J2920" s="1" t="s">
        <v>752</v>
      </c>
      <c r="K2920" s="1" t="s">
        <v>2131</v>
      </c>
      <c r="L2920" s="1" t="s">
        <v>5736</v>
      </c>
      <c r="M2920" s="1">
        <v>1.0</v>
      </c>
      <c r="N2920" s="1" t="s">
        <v>1152</v>
      </c>
      <c r="O2920" s="3" t="s">
        <v>3365</v>
      </c>
      <c r="P2920" s="1" t="s">
        <v>1152</v>
      </c>
      <c r="Q2920" s="1" t="s">
        <v>1152</v>
      </c>
      <c r="R2920" s="1"/>
      <c r="S2920" s="1"/>
      <c r="T2920" s="1" t="s">
        <v>1152</v>
      </c>
      <c r="U2920" s="1" t="s">
        <v>1407</v>
      </c>
      <c r="V2920" s="4" t="s">
        <v>3365</v>
      </c>
      <c r="W2920" s="1"/>
      <c r="X2920" s="1" t="s">
        <v>1152</v>
      </c>
      <c r="Y2920" s="1" t="s">
        <v>1152</v>
      </c>
      <c r="Z2920" s="1"/>
      <c r="AA2920" s="1"/>
      <c r="AB2920" s="1"/>
      <c r="AC2920" s="1" t="s">
        <v>1925</v>
      </c>
      <c r="AD2920" s="1"/>
      <c r="AE2920" s="18">
        <v>46149.0</v>
      </c>
      <c r="AF2920" s="1"/>
      <c r="AG2920" s="1"/>
      <c r="AH2920" s="1" t="s">
        <v>1152</v>
      </c>
      <c r="AI2920" s="1" t="s">
        <v>1152</v>
      </c>
      <c r="AJ2920" s="1" t="s">
        <v>6093</v>
      </c>
      <c r="AK2920" s="1" t="s">
        <v>1152</v>
      </c>
      <c r="AL2920" s="6"/>
      <c r="AM2920" s="12">
        <v>2.104048021E9</v>
      </c>
    </row>
    <row r="2921">
      <c r="A2921" s="5" t="s">
        <v>13392</v>
      </c>
      <c r="B2921" s="1" t="s">
        <v>13393</v>
      </c>
      <c r="C2921" s="1" t="s">
        <v>13394</v>
      </c>
      <c r="D2921" s="2">
        <v>6.304533015E9</v>
      </c>
      <c r="E2921" s="1" t="s">
        <v>5981</v>
      </c>
      <c r="F2921" s="1"/>
      <c r="G2921" s="1" t="s">
        <v>5982</v>
      </c>
      <c r="H2921" s="1" t="s">
        <v>1019</v>
      </c>
      <c r="I2921" s="1">
        <v>60565.0</v>
      </c>
      <c r="J2921" s="1" t="s">
        <v>752</v>
      </c>
      <c r="K2921" s="1" t="s">
        <v>2131</v>
      </c>
      <c r="L2921" s="1" t="s">
        <v>5811</v>
      </c>
      <c r="M2921" s="1">
        <v>1.0</v>
      </c>
      <c r="N2921" s="1" t="s">
        <v>1152</v>
      </c>
      <c r="O2921" s="3" t="s">
        <v>13395</v>
      </c>
      <c r="P2921" s="1" t="s">
        <v>1152</v>
      </c>
      <c r="Q2921" s="1" t="s">
        <v>1152</v>
      </c>
      <c r="R2921" s="1"/>
      <c r="S2921" s="1"/>
      <c r="T2921" s="1" t="s">
        <v>1152</v>
      </c>
      <c r="U2921" s="1" t="s">
        <v>956</v>
      </c>
      <c r="V2921" s="4" t="s">
        <v>13395</v>
      </c>
      <c r="W2921" s="1"/>
      <c r="X2921" s="1" t="s">
        <v>1152</v>
      </c>
      <c r="Y2921" s="1" t="s">
        <v>1152</v>
      </c>
      <c r="Z2921" s="1"/>
      <c r="AA2921" s="1"/>
      <c r="AB2921" s="1"/>
      <c r="AC2921" s="1" t="s">
        <v>1925</v>
      </c>
      <c r="AD2921" s="1"/>
      <c r="AE2921" s="18">
        <v>46148.0</v>
      </c>
      <c r="AF2921" s="1"/>
      <c r="AG2921" s="1"/>
      <c r="AH2921" s="1" t="s">
        <v>1152</v>
      </c>
      <c r="AI2921" s="1" t="s">
        <v>1152</v>
      </c>
      <c r="AJ2921" s="1" t="s">
        <v>5981</v>
      </c>
      <c r="AK2921" s="1" t="s">
        <v>1152</v>
      </c>
      <c r="AL2921" s="6"/>
      <c r="AM2921" s="12">
        <v>6.304533015E9</v>
      </c>
    </row>
    <row r="2922">
      <c r="A2922" s="5" t="s">
        <v>13396</v>
      </c>
      <c r="B2922" s="1" t="s">
        <v>13397</v>
      </c>
      <c r="C2922" s="1" t="s">
        <v>8612</v>
      </c>
      <c r="D2922" s="2">
        <v>9.094558382E9</v>
      </c>
      <c r="E2922" s="1" t="s">
        <v>13398</v>
      </c>
      <c r="F2922" s="1"/>
      <c r="G2922" s="1" t="s">
        <v>4464</v>
      </c>
      <c r="H2922" s="1" t="s">
        <v>989</v>
      </c>
      <c r="I2922" s="1">
        <v>91711.0</v>
      </c>
      <c r="J2922" s="1" t="s">
        <v>752</v>
      </c>
      <c r="K2922" s="1" t="s">
        <v>2131</v>
      </c>
      <c r="L2922" s="1" t="s">
        <v>5767</v>
      </c>
      <c r="M2922" s="1">
        <v>1.0</v>
      </c>
      <c r="N2922" s="1" t="s">
        <v>1152</v>
      </c>
      <c r="O2922" s="3" t="s">
        <v>8613</v>
      </c>
      <c r="P2922" s="1" t="s">
        <v>1152</v>
      </c>
      <c r="Q2922" s="1" t="s">
        <v>1152</v>
      </c>
      <c r="R2922" s="1"/>
      <c r="S2922" s="1"/>
      <c r="T2922" s="1" t="s">
        <v>1152</v>
      </c>
      <c r="U2922" s="1" t="s">
        <v>1174</v>
      </c>
      <c r="V2922" s="4" t="s">
        <v>8613</v>
      </c>
      <c r="W2922" s="1"/>
      <c r="X2922" s="1" t="s">
        <v>1152</v>
      </c>
      <c r="Y2922" s="1" t="s">
        <v>1152</v>
      </c>
      <c r="Z2922" s="1"/>
      <c r="AA2922" s="1"/>
      <c r="AB2922" s="1"/>
      <c r="AC2922" s="1" t="s">
        <v>1925</v>
      </c>
      <c r="AD2922" s="1"/>
      <c r="AE2922" s="18">
        <v>46148.0</v>
      </c>
      <c r="AF2922" s="1"/>
      <c r="AG2922" s="1"/>
      <c r="AH2922" s="1" t="s">
        <v>1152</v>
      </c>
      <c r="AI2922" s="1" t="s">
        <v>1152</v>
      </c>
      <c r="AJ2922" s="1" t="s">
        <v>8614</v>
      </c>
      <c r="AK2922" s="1" t="s">
        <v>1152</v>
      </c>
      <c r="AL2922" s="6"/>
      <c r="AM2922" s="12">
        <v>9.094558382E9</v>
      </c>
    </row>
    <row r="2923">
      <c r="A2923" s="5" t="s">
        <v>13399</v>
      </c>
      <c r="B2923" s="1" t="s">
        <v>13400</v>
      </c>
      <c r="C2923" s="1" t="s">
        <v>13401</v>
      </c>
      <c r="D2923" s="2">
        <v>9.724692479E9</v>
      </c>
      <c r="E2923" s="1" t="s">
        <v>6445</v>
      </c>
      <c r="F2923" s="1"/>
      <c r="G2923" s="1" t="s">
        <v>5223</v>
      </c>
      <c r="H2923" s="1" t="s">
        <v>1583</v>
      </c>
      <c r="I2923" s="1">
        <v>75035.0</v>
      </c>
      <c r="J2923" s="1" t="s">
        <v>752</v>
      </c>
      <c r="K2923" s="1" t="s">
        <v>2131</v>
      </c>
      <c r="L2923" s="1" t="s">
        <v>5767</v>
      </c>
      <c r="M2923" s="1">
        <v>1.0</v>
      </c>
      <c r="N2923" s="1" t="s">
        <v>1152</v>
      </c>
      <c r="O2923" s="3" t="s">
        <v>13402</v>
      </c>
      <c r="P2923" s="1" t="s">
        <v>1152</v>
      </c>
      <c r="Q2923" s="1" t="s">
        <v>1152</v>
      </c>
      <c r="R2923" s="1"/>
      <c r="S2923" s="1"/>
      <c r="T2923" s="1" t="s">
        <v>1152</v>
      </c>
      <c r="U2923" s="1" t="s">
        <v>6053</v>
      </c>
      <c r="V2923" s="4" t="s">
        <v>13402</v>
      </c>
      <c r="W2923" s="1"/>
      <c r="X2923" s="1" t="s">
        <v>1152</v>
      </c>
      <c r="Y2923" s="1" t="s">
        <v>1152</v>
      </c>
      <c r="Z2923" s="1"/>
      <c r="AA2923" s="1"/>
      <c r="AB2923" s="1"/>
      <c r="AC2923" s="1" t="s">
        <v>1925</v>
      </c>
      <c r="AD2923" s="1"/>
      <c r="AE2923" s="18">
        <v>46148.0</v>
      </c>
      <c r="AF2923" s="1"/>
      <c r="AG2923" s="1"/>
      <c r="AH2923" s="1" t="s">
        <v>1152</v>
      </c>
      <c r="AI2923" s="1" t="s">
        <v>1152</v>
      </c>
      <c r="AJ2923" s="1" t="s">
        <v>13403</v>
      </c>
      <c r="AK2923" s="1" t="s">
        <v>1152</v>
      </c>
      <c r="AL2923" s="6"/>
      <c r="AM2923" s="12">
        <v>9.724692479E9</v>
      </c>
    </row>
    <row r="2924">
      <c r="A2924" s="5" t="s">
        <v>13404</v>
      </c>
      <c r="B2924" s="1" t="s">
        <v>13405</v>
      </c>
      <c r="C2924" s="1" t="s">
        <v>13406</v>
      </c>
      <c r="D2924" s="2">
        <v>9.143309695E9</v>
      </c>
      <c r="E2924" s="1" t="s">
        <v>8374</v>
      </c>
      <c r="F2924" s="1"/>
      <c r="G2924" s="1" t="s">
        <v>1283</v>
      </c>
      <c r="H2924" s="1" t="s">
        <v>1155</v>
      </c>
      <c r="I2924" s="1">
        <v>63105.0</v>
      </c>
      <c r="J2924" s="1" t="s">
        <v>752</v>
      </c>
      <c r="K2924" s="1" t="s">
        <v>42</v>
      </c>
      <c r="L2924" s="1" t="s">
        <v>6819</v>
      </c>
      <c r="M2924" s="1">
        <v>49.0</v>
      </c>
      <c r="N2924" s="1" t="s">
        <v>1152</v>
      </c>
      <c r="O2924" s="3" t="s">
        <v>12811</v>
      </c>
      <c r="P2924" s="1" t="s">
        <v>1152</v>
      </c>
      <c r="Q2924" s="1" t="s">
        <v>1152</v>
      </c>
      <c r="R2924" s="1"/>
      <c r="S2924" s="1"/>
      <c r="T2924" s="1" t="s">
        <v>1152</v>
      </c>
      <c r="U2924" s="1" t="s">
        <v>1167</v>
      </c>
      <c r="V2924" s="4" t="s">
        <v>12811</v>
      </c>
      <c r="W2924" s="1"/>
      <c r="X2924" s="1" t="s">
        <v>1152</v>
      </c>
      <c r="Y2924" s="1" t="s">
        <v>1152</v>
      </c>
      <c r="Z2924" s="1"/>
      <c r="AA2924" s="1"/>
      <c r="AB2924" s="1"/>
      <c r="AC2924" s="1" t="s">
        <v>1925</v>
      </c>
      <c r="AD2924" s="1"/>
      <c r="AE2924" s="18">
        <v>46149.0</v>
      </c>
      <c r="AF2924" s="1" t="s">
        <v>1349</v>
      </c>
      <c r="AG2924" s="1" t="s">
        <v>52</v>
      </c>
      <c r="AH2924" s="1" t="s">
        <v>1152</v>
      </c>
      <c r="AI2924" s="1" t="s">
        <v>1152</v>
      </c>
      <c r="AJ2924" s="1" t="s">
        <v>8374</v>
      </c>
      <c r="AK2924" s="1" t="s">
        <v>1152</v>
      </c>
      <c r="AL2924" s="6"/>
      <c r="AM2924" s="12">
        <v>9.143309695E9</v>
      </c>
    </row>
    <row r="2925">
      <c r="A2925" s="5" t="s">
        <v>13407</v>
      </c>
      <c r="B2925" s="1" t="s">
        <v>13408</v>
      </c>
      <c r="C2925" s="1" t="s">
        <v>13409</v>
      </c>
      <c r="D2925" s="2">
        <v>2.162197398E9</v>
      </c>
      <c r="E2925" s="1" t="s">
        <v>6943</v>
      </c>
      <c r="F2925" s="1"/>
      <c r="G2925" s="1" t="s">
        <v>5057</v>
      </c>
      <c r="H2925" s="1" t="s">
        <v>2171</v>
      </c>
      <c r="I2925" s="1">
        <v>44122.0</v>
      </c>
      <c r="J2925" s="1" t="s">
        <v>752</v>
      </c>
      <c r="K2925" s="1" t="s">
        <v>2131</v>
      </c>
      <c r="L2925" s="1" t="s">
        <v>5767</v>
      </c>
      <c r="M2925" s="1">
        <v>1.0</v>
      </c>
      <c r="N2925" s="1" t="s">
        <v>1152</v>
      </c>
      <c r="O2925" s="3" t="s">
        <v>6942</v>
      </c>
      <c r="P2925" s="1" t="s">
        <v>1152</v>
      </c>
      <c r="Q2925" s="1" t="s">
        <v>1152</v>
      </c>
      <c r="R2925" s="1"/>
      <c r="S2925" s="1"/>
      <c r="T2925" s="1" t="s">
        <v>1152</v>
      </c>
      <c r="U2925" s="1" t="s">
        <v>982</v>
      </c>
      <c r="V2925" s="4" t="s">
        <v>6942</v>
      </c>
      <c r="W2925" s="1"/>
      <c r="X2925" s="1" t="s">
        <v>1152</v>
      </c>
      <c r="Y2925" s="1" t="s">
        <v>1152</v>
      </c>
      <c r="Z2925" s="1"/>
      <c r="AA2925" s="1"/>
      <c r="AB2925" s="1"/>
      <c r="AC2925" s="1" t="s">
        <v>1925</v>
      </c>
      <c r="AD2925" s="1"/>
      <c r="AE2925" s="18">
        <v>46148.0</v>
      </c>
      <c r="AF2925" s="1"/>
      <c r="AG2925" s="1"/>
      <c r="AH2925" s="1" t="s">
        <v>1152</v>
      </c>
      <c r="AI2925" s="1" t="s">
        <v>1152</v>
      </c>
      <c r="AJ2925" s="1" t="s">
        <v>6943</v>
      </c>
      <c r="AK2925" s="1" t="s">
        <v>1152</v>
      </c>
      <c r="AL2925" s="6"/>
      <c r="AM2925" s="12">
        <v>2.162197398E9</v>
      </c>
    </row>
    <row r="2926">
      <c r="A2926" s="5" t="s">
        <v>13410</v>
      </c>
      <c r="B2926" s="1" t="s">
        <v>13411</v>
      </c>
      <c r="C2926" s="1" t="s">
        <v>13412</v>
      </c>
      <c r="D2926" s="2">
        <v>8.577016012E9</v>
      </c>
      <c r="E2926" s="1" t="s">
        <v>13413</v>
      </c>
      <c r="F2926" s="1"/>
      <c r="G2926" s="1" t="s">
        <v>2056</v>
      </c>
      <c r="H2926" s="1" t="s">
        <v>1121</v>
      </c>
      <c r="I2926" s="1">
        <v>2421.0</v>
      </c>
      <c r="J2926" s="1" t="s">
        <v>752</v>
      </c>
      <c r="K2926" s="1" t="s">
        <v>42</v>
      </c>
      <c r="L2926" s="1" t="s">
        <v>6819</v>
      </c>
      <c r="M2926" s="1">
        <v>49.0</v>
      </c>
      <c r="N2926" s="1" t="s">
        <v>1152</v>
      </c>
      <c r="O2926" s="3" t="s">
        <v>440</v>
      </c>
      <c r="P2926" s="1" t="s">
        <v>1152</v>
      </c>
      <c r="Q2926" s="1" t="s">
        <v>1152</v>
      </c>
      <c r="R2926" s="1"/>
      <c r="S2926" s="1"/>
      <c r="T2926" s="1" t="s">
        <v>1152</v>
      </c>
      <c r="U2926" s="1" t="s">
        <v>956</v>
      </c>
      <c r="V2926" s="4" t="s">
        <v>440</v>
      </c>
      <c r="W2926" s="1"/>
      <c r="X2926" s="1" t="s">
        <v>1152</v>
      </c>
      <c r="Y2926" s="1" t="s">
        <v>1152</v>
      </c>
      <c r="Z2926" s="1"/>
      <c r="AA2926" s="1"/>
      <c r="AB2926" s="1"/>
      <c r="AC2926" s="1" t="s">
        <v>1925</v>
      </c>
      <c r="AD2926" s="1"/>
      <c r="AE2926" s="18">
        <v>46149.0</v>
      </c>
      <c r="AF2926" s="1" t="s">
        <v>1103</v>
      </c>
      <c r="AG2926" s="1" t="s">
        <v>52</v>
      </c>
      <c r="AH2926" s="1" t="s">
        <v>1152</v>
      </c>
      <c r="AI2926" s="1" t="s">
        <v>1152</v>
      </c>
      <c r="AJ2926" s="1" t="s">
        <v>13414</v>
      </c>
      <c r="AK2926" s="1" t="s">
        <v>1152</v>
      </c>
      <c r="AL2926" s="6"/>
      <c r="AM2926" s="12">
        <v>8.577016012E9</v>
      </c>
    </row>
    <row r="2927">
      <c r="A2927" s="5" t="s">
        <v>13415</v>
      </c>
      <c r="B2927" s="1" t="s">
        <v>13416</v>
      </c>
      <c r="C2927" s="1" t="s">
        <v>13417</v>
      </c>
      <c r="D2927" s="2">
        <v>6.507045702E9</v>
      </c>
      <c r="E2927" s="1" t="s">
        <v>13418</v>
      </c>
      <c r="F2927" s="1"/>
      <c r="G2927" s="1" t="s">
        <v>13419</v>
      </c>
      <c r="H2927" s="1" t="s">
        <v>1208</v>
      </c>
      <c r="I2927" s="1">
        <v>33062.0</v>
      </c>
      <c r="J2927" s="1" t="s">
        <v>752</v>
      </c>
      <c r="K2927" s="1" t="s">
        <v>2131</v>
      </c>
      <c r="L2927" s="1" t="s">
        <v>5767</v>
      </c>
      <c r="M2927" s="1">
        <v>1.0</v>
      </c>
      <c r="N2927" s="1" t="s">
        <v>1152</v>
      </c>
      <c r="O2927" s="3" t="s">
        <v>5432</v>
      </c>
      <c r="P2927" s="1" t="s">
        <v>1152</v>
      </c>
      <c r="Q2927" s="1" t="s">
        <v>1152</v>
      </c>
      <c r="R2927" s="1"/>
      <c r="S2927" s="1"/>
      <c r="T2927" s="1" t="s">
        <v>1152</v>
      </c>
      <c r="U2927" s="1" t="s">
        <v>1249</v>
      </c>
      <c r="V2927" s="4" t="s">
        <v>5432</v>
      </c>
      <c r="W2927" s="1"/>
      <c r="X2927" s="1" t="s">
        <v>1152</v>
      </c>
      <c r="Y2927" s="1" t="s">
        <v>1152</v>
      </c>
      <c r="Z2927" s="1"/>
      <c r="AA2927" s="1"/>
      <c r="AB2927" s="1"/>
      <c r="AC2927" s="1" t="s">
        <v>1925</v>
      </c>
      <c r="AD2927" s="1"/>
      <c r="AE2927" s="18">
        <v>46148.0</v>
      </c>
      <c r="AF2927" s="1"/>
      <c r="AG2927" s="1"/>
      <c r="AH2927" s="1" t="s">
        <v>1152</v>
      </c>
      <c r="AI2927" s="1" t="s">
        <v>1152</v>
      </c>
      <c r="AJ2927" s="1" t="s">
        <v>13420</v>
      </c>
      <c r="AK2927" s="1" t="s">
        <v>1152</v>
      </c>
      <c r="AL2927" s="6"/>
      <c r="AM2927" s="12" t="s">
        <v>13421</v>
      </c>
    </row>
    <row r="2928">
      <c r="A2928" s="5" t="s">
        <v>13422</v>
      </c>
      <c r="B2928" s="1" t="s">
        <v>13423</v>
      </c>
      <c r="C2928" s="1" t="s">
        <v>13424</v>
      </c>
      <c r="D2928" s="2">
        <v>2.252187722E9</v>
      </c>
      <c r="E2928" s="1" t="s">
        <v>13425</v>
      </c>
      <c r="F2928" s="1"/>
      <c r="G2928" s="1" t="s">
        <v>6037</v>
      </c>
      <c r="H2928" s="1" t="s">
        <v>1583</v>
      </c>
      <c r="I2928" s="1">
        <v>78260.0</v>
      </c>
      <c r="J2928" s="1" t="s">
        <v>752</v>
      </c>
      <c r="K2928" s="1" t="s">
        <v>42</v>
      </c>
      <c r="L2928" s="1" t="s">
        <v>6819</v>
      </c>
      <c r="M2928" s="1">
        <v>49.0</v>
      </c>
      <c r="N2928" s="1" t="s">
        <v>1152</v>
      </c>
      <c r="O2928" s="3" t="s">
        <v>7856</v>
      </c>
      <c r="P2928" s="1" t="s">
        <v>1152</v>
      </c>
      <c r="Q2928" s="1" t="s">
        <v>1152</v>
      </c>
      <c r="R2928" s="1"/>
      <c r="S2928" s="1"/>
      <c r="T2928" s="1" t="s">
        <v>1152</v>
      </c>
      <c r="U2928" s="1" t="s">
        <v>2510</v>
      </c>
      <c r="V2928" s="4" t="s">
        <v>7856</v>
      </c>
      <c r="W2928" s="1"/>
      <c r="X2928" s="1" t="s">
        <v>1152</v>
      </c>
      <c r="Y2928" s="1" t="s">
        <v>1152</v>
      </c>
      <c r="Z2928" s="1"/>
      <c r="AA2928" s="1"/>
      <c r="AB2928" s="1"/>
      <c r="AC2928" s="1" t="s">
        <v>1925</v>
      </c>
      <c r="AD2928" s="1"/>
      <c r="AE2928" s="18">
        <v>46158.0</v>
      </c>
      <c r="AF2928" s="1" t="s">
        <v>1349</v>
      </c>
      <c r="AG2928" s="1" t="s">
        <v>52</v>
      </c>
      <c r="AH2928" s="1" t="s">
        <v>1152</v>
      </c>
      <c r="AI2928" s="1" t="s">
        <v>1152</v>
      </c>
      <c r="AJ2928" s="1" t="s">
        <v>6039</v>
      </c>
      <c r="AK2928" s="1" t="s">
        <v>1152</v>
      </c>
      <c r="AL2928" s="6"/>
      <c r="AM2928" s="12" t="s">
        <v>13426</v>
      </c>
    </row>
    <row r="2929">
      <c r="A2929" s="5" t="s">
        <v>13427</v>
      </c>
      <c r="B2929" s="1" t="s">
        <v>13428</v>
      </c>
      <c r="C2929" s="1" t="s">
        <v>13429</v>
      </c>
      <c r="D2929" s="2">
        <v>7.048427268E9</v>
      </c>
      <c r="E2929" s="1" t="s">
        <v>6307</v>
      </c>
      <c r="F2929" s="1"/>
      <c r="G2929" s="1" t="s">
        <v>6305</v>
      </c>
      <c r="H2929" s="1" t="s">
        <v>1438</v>
      </c>
      <c r="I2929" s="1">
        <v>28277.0</v>
      </c>
      <c r="J2929" s="1" t="s">
        <v>752</v>
      </c>
      <c r="K2929" s="1" t="s">
        <v>2131</v>
      </c>
      <c r="L2929" s="1" t="s">
        <v>6107</v>
      </c>
      <c r="M2929" s="1">
        <v>1.0</v>
      </c>
      <c r="N2929" s="1" t="s">
        <v>1152</v>
      </c>
      <c r="O2929" s="3" t="s">
        <v>13430</v>
      </c>
      <c r="P2929" s="1" t="s">
        <v>1152</v>
      </c>
      <c r="Q2929" s="1" t="s">
        <v>1152</v>
      </c>
      <c r="R2929" s="1"/>
      <c r="S2929" s="1"/>
      <c r="T2929" s="1" t="s">
        <v>1152</v>
      </c>
      <c r="U2929" s="1" t="s">
        <v>1080</v>
      </c>
      <c r="V2929" s="4" t="s">
        <v>13430</v>
      </c>
      <c r="W2929" s="1"/>
      <c r="X2929" s="1" t="s">
        <v>1152</v>
      </c>
      <c r="Y2929" s="1" t="s">
        <v>1152</v>
      </c>
      <c r="Z2929" s="1"/>
      <c r="AA2929" s="1"/>
      <c r="AB2929" s="1"/>
      <c r="AC2929" s="1" t="s">
        <v>1925</v>
      </c>
      <c r="AD2929" s="1"/>
      <c r="AE2929" s="18">
        <v>46148.0</v>
      </c>
      <c r="AF2929" s="1"/>
      <c r="AG2929" s="1"/>
      <c r="AH2929" s="1" t="s">
        <v>1152</v>
      </c>
      <c r="AI2929" s="1" t="s">
        <v>1152</v>
      </c>
      <c r="AJ2929" s="1" t="s">
        <v>6307</v>
      </c>
      <c r="AK2929" s="1" t="s">
        <v>1152</v>
      </c>
      <c r="AL2929" s="6"/>
      <c r="AM2929" s="12">
        <v>7.048427268E9</v>
      </c>
    </row>
    <row r="2930">
      <c r="A2930" s="5" t="s">
        <v>13431</v>
      </c>
      <c r="B2930" s="1" t="s">
        <v>13432</v>
      </c>
      <c r="C2930" s="1" t="s">
        <v>13433</v>
      </c>
      <c r="D2930" s="2">
        <v>3.012750328E9</v>
      </c>
      <c r="E2930" s="1" t="s">
        <v>5623</v>
      </c>
      <c r="F2930" s="1"/>
      <c r="G2930" s="1" t="s">
        <v>5624</v>
      </c>
      <c r="H2930" s="1" t="s">
        <v>1005</v>
      </c>
      <c r="I2930" s="1">
        <v>20895.0</v>
      </c>
      <c r="J2930" s="1" t="s">
        <v>752</v>
      </c>
      <c r="K2930" s="1" t="s">
        <v>2131</v>
      </c>
      <c r="L2930" s="1" t="s">
        <v>5767</v>
      </c>
      <c r="M2930" s="1">
        <v>1.0</v>
      </c>
      <c r="N2930" s="1" t="s">
        <v>1152</v>
      </c>
      <c r="O2930" s="3" t="s">
        <v>3613</v>
      </c>
      <c r="P2930" s="1" t="s">
        <v>1152</v>
      </c>
      <c r="Q2930" s="1" t="s">
        <v>1152</v>
      </c>
      <c r="R2930" s="1"/>
      <c r="S2930" s="1"/>
      <c r="T2930" s="1" t="s">
        <v>1152</v>
      </c>
      <c r="U2930" s="1" t="s">
        <v>1080</v>
      </c>
      <c r="V2930" s="4" t="s">
        <v>3613</v>
      </c>
      <c r="W2930" s="1"/>
      <c r="X2930" s="1" t="s">
        <v>1152</v>
      </c>
      <c r="Y2930" s="1" t="s">
        <v>1152</v>
      </c>
      <c r="Z2930" s="1"/>
      <c r="AA2930" s="1"/>
      <c r="AB2930" s="1"/>
      <c r="AC2930" s="1" t="s">
        <v>1925</v>
      </c>
      <c r="AD2930" s="1"/>
      <c r="AE2930" s="18">
        <v>46149.0</v>
      </c>
      <c r="AF2930" s="1"/>
      <c r="AG2930" s="1"/>
      <c r="AH2930" s="1" t="s">
        <v>1152</v>
      </c>
      <c r="AI2930" s="1" t="s">
        <v>1152</v>
      </c>
      <c r="AJ2930" s="1" t="s">
        <v>5623</v>
      </c>
      <c r="AK2930" s="1" t="s">
        <v>1152</v>
      </c>
      <c r="AL2930" s="6"/>
      <c r="AM2930" s="12" t="s">
        <v>13434</v>
      </c>
    </row>
    <row r="2931">
      <c r="A2931" s="5" t="s">
        <v>13435</v>
      </c>
      <c r="B2931" s="1" t="s">
        <v>13436</v>
      </c>
      <c r="C2931" s="1" t="s">
        <v>10956</v>
      </c>
      <c r="D2931" s="2">
        <v>8.588228804E9</v>
      </c>
      <c r="E2931" s="1" t="s">
        <v>7742</v>
      </c>
      <c r="F2931" s="1"/>
      <c r="G2931" s="1" t="s">
        <v>7743</v>
      </c>
      <c r="H2931" s="1" t="s">
        <v>1616</v>
      </c>
      <c r="I2931" s="1">
        <v>3458.0</v>
      </c>
      <c r="J2931" s="1" t="s">
        <v>752</v>
      </c>
      <c r="K2931" s="1" t="s">
        <v>2131</v>
      </c>
      <c r="L2931" s="1" t="s">
        <v>5736</v>
      </c>
      <c r="M2931" s="1">
        <v>1.0</v>
      </c>
      <c r="N2931" s="1" t="s">
        <v>1152</v>
      </c>
      <c r="O2931" s="3" t="s">
        <v>7744</v>
      </c>
      <c r="P2931" s="1" t="s">
        <v>1152</v>
      </c>
      <c r="Q2931" s="1" t="s">
        <v>1152</v>
      </c>
      <c r="R2931" s="1"/>
      <c r="S2931" s="1"/>
      <c r="T2931" s="1" t="s">
        <v>1152</v>
      </c>
      <c r="U2931" s="1" t="s">
        <v>1201</v>
      </c>
      <c r="V2931" s="4" t="s">
        <v>7744</v>
      </c>
      <c r="W2931" s="1"/>
      <c r="X2931" s="1" t="s">
        <v>1152</v>
      </c>
      <c r="Y2931" s="1" t="s">
        <v>1152</v>
      </c>
      <c r="Z2931" s="1"/>
      <c r="AA2931" s="1"/>
      <c r="AB2931" s="1"/>
      <c r="AC2931" s="1" t="s">
        <v>1925</v>
      </c>
      <c r="AD2931" s="1"/>
      <c r="AE2931" s="18">
        <v>46149.0</v>
      </c>
      <c r="AF2931" s="1"/>
      <c r="AG2931" s="1"/>
      <c r="AH2931" s="1" t="s">
        <v>1152</v>
      </c>
      <c r="AI2931" s="1" t="s">
        <v>1152</v>
      </c>
      <c r="AJ2931" s="1" t="s">
        <v>7742</v>
      </c>
      <c r="AK2931" s="1" t="s">
        <v>1152</v>
      </c>
      <c r="AL2931" s="6"/>
      <c r="AM2931" s="12">
        <v>8.588228804E9</v>
      </c>
    </row>
    <row r="2932">
      <c r="A2932" s="5" t="s">
        <v>13437</v>
      </c>
      <c r="B2932" s="1" t="s">
        <v>13438</v>
      </c>
      <c r="C2932" s="1" t="s">
        <v>10468</v>
      </c>
      <c r="D2932" s="2">
        <v>9.079031835E9</v>
      </c>
      <c r="E2932" s="1" t="s">
        <v>5243</v>
      </c>
      <c r="F2932" s="1"/>
      <c r="G2932" s="1" t="s">
        <v>4105</v>
      </c>
      <c r="H2932" s="1" t="s">
        <v>1891</v>
      </c>
      <c r="I2932" s="1">
        <v>80921.0</v>
      </c>
      <c r="J2932" s="1" t="s">
        <v>752</v>
      </c>
      <c r="K2932" s="1" t="s">
        <v>6515</v>
      </c>
      <c r="L2932" s="1" t="s">
        <v>8223</v>
      </c>
      <c r="M2932" s="1">
        <v>400.0</v>
      </c>
      <c r="N2932" s="1" t="s">
        <v>1152</v>
      </c>
      <c r="O2932" s="3"/>
      <c r="P2932" s="1" t="s">
        <v>1152</v>
      </c>
      <c r="Q2932" s="1" t="s">
        <v>1152</v>
      </c>
      <c r="R2932" s="1"/>
      <c r="S2932" s="1"/>
      <c r="T2932" s="1" t="s">
        <v>1152</v>
      </c>
      <c r="U2932" s="1"/>
      <c r="V2932" s="4"/>
      <c r="W2932" s="1"/>
      <c r="X2932" s="1" t="s">
        <v>1152</v>
      </c>
      <c r="Y2932" s="1" t="s">
        <v>1152</v>
      </c>
      <c r="Z2932" s="1"/>
      <c r="AA2932" s="1"/>
      <c r="AB2932" s="1"/>
      <c r="AC2932" s="1" t="s">
        <v>13439</v>
      </c>
      <c r="AD2932" s="1"/>
      <c r="AE2932" s="18">
        <v>46155.0</v>
      </c>
      <c r="AF2932" s="1"/>
      <c r="AG2932" s="1"/>
      <c r="AH2932" s="1" t="s">
        <v>13440</v>
      </c>
      <c r="AI2932" s="1" t="s">
        <v>13441</v>
      </c>
      <c r="AJ2932" s="1"/>
      <c r="AK2932" s="1" t="s">
        <v>13442</v>
      </c>
      <c r="AL2932" s="6"/>
      <c r="AM2932" s="12">
        <v>9.07903059E9</v>
      </c>
    </row>
    <row r="2933">
      <c r="A2933" s="5" t="s">
        <v>13443</v>
      </c>
      <c r="B2933" s="1" t="s">
        <v>13444</v>
      </c>
      <c r="C2933" s="1" t="s">
        <v>13445</v>
      </c>
      <c r="D2933" s="2">
        <v>5.572289462E9</v>
      </c>
      <c r="E2933" s="1" t="s">
        <v>13446</v>
      </c>
      <c r="F2933" s="1"/>
      <c r="G2933" s="1" t="s">
        <v>2350</v>
      </c>
      <c r="H2933" s="1" t="s">
        <v>1155</v>
      </c>
      <c r="I2933" s="1">
        <v>63105.0</v>
      </c>
      <c r="J2933" s="1" t="s">
        <v>752</v>
      </c>
      <c r="K2933" s="1" t="s">
        <v>42</v>
      </c>
      <c r="L2933" s="1" t="s">
        <v>6819</v>
      </c>
      <c r="M2933" s="1">
        <v>49.0</v>
      </c>
      <c r="N2933" s="1" t="s">
        <v>1152</v>
      </c>
      <c r="O2933" s="3" t="s">
        <v>7025</v>
      </c>
      <c r="P2933" s="1" t="s">
        <v>1152</v>
      </c>
      <c r="Q2933" s="1" t="s">
        <v>1152</v>
      </c>
      <c r="R2933" s="1"/>
      <c r="S2933" s="1"/>
      <c r="T2933" s="1" t="s">
        <v>1152</v>
      </c>
      <c r="U2933" s="1" t="s">
        <v>1133</v>
      </c>
      <c r="V2933" s="4" t="s">
        <v>7025</v>
      </c>
      <c r="W2933" s="1"/>
      <c r="X2933" s="1" t="s">
        <v>1152</v>
      </c>
      <c r="Y2933" s="1" t="s">
        <v>1152</v>
      </c>
      <c r="Z2933" s="1"/>
      <c r="AA2933" s="1"/>
      <c r="AB2933" s="1"/>
      <c r="AC2933" s="1" t="s">
        <v>1925</v>
      </c>
      <c r="AD2933" s="1"/>
      <c r="AE2933" s="18">
        <v>46149.0</v>
      </c>
      <c r="AF2933" s="1" t="s">
        <v>1030</v>
      </c>
      <c r="AG2933" s="1" t="s">
        <v>52</v>
      </c>
      <c r="AH2933" s="1" t="s">
        <v>1152</v>
      </c>
      <c r="AI2933" s="1" t="s">
        <v>1152</v>
      </c>
      <c r="AJ2933" s="1" t="s">
        <v>13446</v>
      </c>
      <c r="AK2933" s="1" t="s">
        <v>1152</v>
      </c>
      <c r="AL2933" s="6"/>
      <c r="AM2933" s="12">
        <v>5.572289462E9</v>
      </c>
    </row>
    <row r="2934">
      <c r="A2934" s="5" t="s">
        <v>13447</v>
      </c>
      <c r="B2934" s="1" t="s">
        <v>13448</v>
      </c>
      <c r="C2934" s="1" t="s">
        <v>5264</v>
      </c>
      <c r="D2934" s="2">
        <v>4.145874195E9</v>
      </c>
      <c r="E2934" s="1" t="s">
        <v>5265</v>
      </c>
      <c r="F2934" s="1"/>
      <c r="G2934" s="1" t="s">
        <v>10643</v>
      </c>
      <c r="H2934" s="1" t="s">
        <v>4448</v>
      </c>
      <c r="I2934" s="1">
        <v>53092.0</v>
      </c>
      <c r="J2934" s="1" t="s">
        <v>752</v>
      </c>
      <c r="K2934" s="1" t="s">
        <v>51</v>
      </c>
      <c r="L2934" s="1" t="s">
        <v>5722</v>
      </c>
      <c r="M2934" s="1">
        <v>1.0</v>
      </c>
      <c r="N2934" s="1" t="s">
        <v>2461</v>
      </c>
      <c r="O2934" s="3" t="s">
        <v>3064</v>
      </c>
      <c r="P2934" s="18">
        <v>46255.0</v>
      </c>
      <c r="Q2934" s="1" t="s">
        <v>2463</v>
      </c>
      <c r="R2934" s="1"/>
      <c r="S2934" s="1" t="s">
        <v>52</v>
      </c>
      <c r="T2934" s="1" t="s">
        <v>2461</v>
      </c>
      <c r="U2934" s="1" t="s">
        <v>7909</v>
      </c>
      <c r="V2934" s="4" t="s">
        <v>3064</v>
      </c>
      <c r="W2934" s="1"/>
      <c r="X2934" s="18">
        <v>46255.0</v>
      </c>
      <c r="Y2934" s="1" t="s">
        <v>2463</v>
      </c>
      <c r="Z2934" s="1"/>
      <c r="AA2934" s="1"/>
      <c r="AB2934" s="1" t="s">
        <v>52</v>
      </c>
      <c r="AC2934" s="1" t="s">
        <v>1925</v>
      </c>
      <c r="AD2934" s="1"/>
      <c r="AE2934" s="1" t="s">
        <v>1152</v>
      </c>
      <c r="AF2934" s="1"/>
      <c r="AG2934" s="1"/>
      <c r="AH2934" s="1" t="s">
        <v>1152</v>
      </c>
      <c r="AI2934" s="1" t="s">
        <v>1152</v>
      </c>
      <c r="AJ2934" s="1" t="s">
        <v>10644</v>
      </c>
      <c r="AK2934" s="1" t="s">
        <v>1152</v>
      </c>
      <c r="AL2934" s="6"/>
      <c r="AM2934" s="12" t="s">
        <v>13449</v>
      </c>
    </row>
    <row r="2935">
      <c r="A2935" s="5" t="s">
        <v>13450</v>
      </c>
      <c r="B2935" s="1" t="s">
        <v>13451</v>
      </c>
      <c r="C2935" s="1" t="s">
        <v>13452</v>
      </c>
      <c r="D2935" s="2">
        <v>9.178269653E9</v>
      </c>
      <c r="E2935" s="1" t="s">
        <v>6431</v>
      </c>
      <c r="F2935" s="1"/>
      <c r="G2935" s="1" t="s">
        <v>6432</v>
      </c>
      <c r="H2935" s="1" t="s">
        <v>1053</v>
      </c>
      <c r="I2935" s="1">
        <v>7675.0</v>
      </c>
      <c r="J2935" s="1" t="s">
        <v>752</v>
      </c>
      <c r="K2935" s="1" t="s">
        <v>2131</v>
      </c>
      <c r="L2935" s="1" t="s">
        <v>5736</v>
      </c>
      <c r="M2935" s="1">
        <v>1.0</v>
      </c>
      <c r="N2935" s="1" t="s">
        <v>1152</v>
      </c>
      <c r="O2935" s="3" t="s">
        <v>4895</v>
      </c>
      <c r="P2935" s="1" t="s">
        <v>1152</v>
      </c>
      <c r="Q2935" s="1" t="s">
        <v>1152</v>
      </c>
      <c r="R2935" s="1"/>
      <c r="S2935" s="1"/>
      <c r="T2935" s="1" t="s">
        <v>1152</v>
      </c>
      <c r="U2935" s="1" t="s">
        <v>1441</v>
      </c>
      <c r="V2935" s="4" t="s">
        <v>4895</v>
      </c>
      <c r="W2935" s="1"/>
      <c r="X2935" s="1" t="s">
        <v>1152</v>
      </c>
      <c r="Y2935" s="1" t="s">
        <v>1152</v>
      </c>
      <c r="Z2935" s="1"/>
      <c r="AA2935" s="1"/>
      <c r="AB2935" s="1"/>
      <c r="AC2935" s="1" t="s">
        <v>1925</v>
      </c>
      <c r="AD2935" s="1"/>
      <c r="AE2935" s="18">
        <v>46149.0</v>
      </c>
      <c r="AF2935" s="1"/>
      <c r="AG2935" s="1"/>
      <c r="AH2935" s="1" t="s">
        <v>1152</v>
      </c>
      <c r="AI2935" s="1" t="s">
        <v>1152</v>
      </c>
      <c r="AJ2935" s="1" t="s">
        <v>6433</v>
      </c>
      <c r="AK2935" s="1" t="s">
        <v>1152</v>
      </c>
      <c r="AL2935" s="6"/>
      <c r="AM2935" s="12" t="s">
        <v>13453</v>
      </c>
    </row>
    <row r="2936">
      <c r="A2936" s="5" t="s">
        <v>13454</v>
      </c>
      <c r="B2936" s="1" t="s">
        <v>13455</v>
      </c>
      <c r="C2936" s="1" t="s">
        <v>6149</v>
      </c>
      <c r="D2936" s="2">
        <v>7.086393381E9</v>
      </c>
      <c r="E2936" s="1" t="s">
        <v>6150</v>
      </c>
      <c r="F2936" s="1"/>
      <c r="G2936" s="1" t="s">
        <v>12284</v>
      </c>
      <c r="H2936" s="1" t="s">
        <v>1019</v>
      </c>
      <c r="I2936" s="1">
        <v>60305.0</v>
      </c>
      <c r="J2936" s="1" t="s">
        <v>752</v>
      </c>
      <c r="K2936" s="1" t="s">
        <v>2131</v>
      </c>
      <c r="L2936" s="1" t="s">
        <v>5767</v>
      </c>
      <c r="M2936" s="1">
        <v>1.0</v>
      </c>
      <c r="N2936" s="1" t="s">
        <v>1152</v>
      </c>
      <c r="O2936" s="3" t="s">
        <v>6152</v>
      </c>
      <c r="P2936" s="1" t="s">
        <v>1152</v>
      </c>
      <c r="Q2936" s="1" t="s">
        <v>1152</v>
      </c>
      <c r="R2936" s="1"/>
      <c r="S2936" s="1"/>
      <c r="T2936" s="1" t="s">
        <v>1152</v>
      </c>
      <c r="U2936" s="1" t="s">
        <v>1080</v>
      </c>
      <c r="V2936" s="4" t="s">
        <v>6152</v>
      </c>
      <c r="W2936" s="1"/>
      <c r="X2936" s="1" t="s">
        <v>1152</v>
      </c>
      <c r="Y2936" s="1" t="s">
        <v>1152</v>
      </c>
      <c r="Z2936" s="1"/>
      <c r="AA2936" s="1"/>
      <c r="AB2936" s="1"/>
      <c r="AC2936" s="1" t="s">
        <v>1925</v>
      </c>
      <c r="AD2936" s="1"/>
      <c r="AE2936" s="18">
        <v>46160.0</v>
      </c>
      <c r="AF2936" s="1"/>
      <c r="AG2936" s="1"/>
      <c r="AH2936" s="1" t="s">
        <v>1152</v>
      </c>
      <c r="AI2936" s="1" t="s">
        <v>1152</v>
      </c>
      <c r="AJ2936" s="1" t="s">
        <v>6150</v>
      </c>
      <c r="AK2936" s="1" t="s">
        <v>1152</v>
      </c>
      <c r="AL2936" s="6"/>
      <c r="AM2936" s="12">
        <v>7.086393381E9</v>
      </c>
    </row>
    <row r="2937">
      <c r="A2937" s="5" t="s">
        <v>13456</v>
      </c>
      <c r="B2937" s="1" t="s">
        <v>13457</v>
      </c>
      <c r="C2937" s="1" t="s">
        <v>13458</v>
      </c>
      <c r="D2937" s="2">
        <v>7.18594248E9</v>
      </c>
      <c r="E2937" s="1" t="s">
        <v>9353</v>
      </c>
      <c r="F2937" s="1"/>
      <c r="G2937" s="1" t="s">
        <v>2350</v>
      </c>
      <c r="H2937" s="1" t="s">
        <v>1155</v>
      </c>
      <c r="I2937" s="1">
        <v>63105.0</v>
      </c>
      <c r="J2937" s="1" t="s">
        <v>752</v>
      </c>
      <c r="K2937" s="1" t="s">
        <v>2131</v>
      </c>
      <c r="L2937" s="1" t="s">
        <v>5811</v>
      </c>
      <c r="M2937" s="1">
        <v>1.0</v>
      </c>
      <c r="N2937" s="1" t="s">
        <v>1152</v>
      </c>
      <c r="O2937" s="3" t="s">
        <v>4347</v>
      </c>
      <c r="P2937" s="1" t="s">
        <v>1152</v>
      </c>
      <c r="Q2937" s="1" t="s">
        <v>1152</v>
      </c>
      <c r="R2937" s="1"/>
      <c r="S2937" s="1"/>
      <c r="T2937" s="1" t="s">
        <v>1152</v>
      </c>
      <c r="U2937" s="1" t="s">
        <v>982</v>
      </c>
      <c r="V2937" s="4" t="s">
        <v>4347</v>
      </c>
      <c r="W2937" s="1"/>
      <c r="X2937" s="1" t="s">
        <v>1152</v>
      </c>
      <c r="Y2937" s="1" t="s">
        <v>1152</v>
      </c>
      <c r="Z2937" s="1"/>
      <c r="AA2937" s="1"/>
      <c r="AB2937" s="1"/>
      <c r="AC2937" s="1" t="s">
        <v>1925</v>
      </c>
      <c r="AD2937" s="1"/>
      <c r="AE2937" s="18">
        <v>46149.0</v>
      </c>
      <c r="AF2937" s="1"/>
      <c r="AG2937" s="1"/>
      <c r="AH2937" s="1" t="s">
        <v>1152</v>
      </c>
      <c r="AI2937" s="1" t="s">
        <v>1152</v>
      </c>
      <c r="AJ2937" s="1" t="s">
        <v>9353</v>
      </c>
      <c r="AK2937" s="1" t="s">
        <v>1152</v>
      </c>
      <c r="AL2937" s="6"/>
      <c r="AM2937" s="12">
        <v>6.105122161E9</v>
      </c>
    </row>
    <row r="2938">
      <c r="A2938" s="5" t="s">
        <v>13459</v>
      </c>
      <c r="B2938" s="1" t="s">
        <v>13460</v>
      </c>
      <c r="C2938" s="1" t="s">
        <v>5255</v>
      </c>
      <c r="D2938" s="2">
        <v>9.176504578E9</v>
      </c>
      <c r="E2938" s="1" t="s">
        <v>5256</v>
      </c>
      <c r="F2938" s="1"/>
      <c r="G2938" s="1" t="s">
        <v>751</v>
      </c>
      <c r="H2938" s="1" t="s">
        <v>751</v>
      </c>
      <c r="I2938" s="1">
        <v>10021.0</v>
      </c>
      <c r="J2938" s="1" t="s">
        <v>752</v>
      </c>
      <c r="K2938" s="1" t="s">
        <v>2131</v>
      </c>
      <c r="L2938" s="1" t="s">
        <v>5767</v>
      </c>
      <c r="M2938" s="1">
        <v>1.0</v>
      </c>
      <c r="N2938" s="1" t="s">
        <v>1152</v>
      </c>
      <c r="O2938" s="3" t="s">
        <v>5257</v>
      </c>
      <c r="P2938" s="1" t="s">
        <v>1152</v>
      </c>
      <c r="Q2938" s="1" t="s">
        <v>1152</v>
      </c>
      <c r="R2938" s="1"/>
      <c r="S2938" s="1"/>
      <c r="T2938" s="1" t="s">
        <v>1152</v>
      </c>
      <c r="U2938" s="1" t="s">
        <v>1080</v>
      </c>
      <c r="V2938" s="4" t="s">
        <v>5257</v>
      </c>
      <c r="W2938" s="1"/>
      <c r="X2938" s="1" t="s">
        <v>1152</v>
      </c>
      <c r="Y2938" s="1" t="s">
        <v>1152</v>
      </c>
      <c r="Z2938" s="1"/>
      <c r="AA2938" s="1"/>
      <c r="AB2938" s="1"/>
      <c r="AC2938" s="1" t="s">
        <v>1925</v>
      </c>
      <c r="AD2938" s="1"/>
      <c r="AE2938" s="18">
        <v>46149.0</v>
      </c>
      <c r="AF2938" s="1"/>
      <c r="AG2938" s="1"/>
      <c r="AH2938" s="1" t="s">
        <v>1152</v>
      </c>
      <c r="AI2938" s="1" t="s">
        <v>1152</v>
      </c>
      <c r="AJ2938" s="1" t="s">
        <v>13461</v>
      </c>
      <c r="AK2938" s="1" t="s">
        <v>1152</v>
      </c>
      <c r="AL2938" s="6"/>
      <c r="AM2938" s="12" t="s">
        <v>13462</v>
      </c>
    </row>
    <row r="2939">
      <c r="A2939" s="5" t="s">
        <v>13463</v>
      </c>
      <c r="B2939" s="1" t="s">
        <v>13464</v>
      </c>
      <c r="C2939" s="1" t="s">
        <v>13465</v>
      </c>
      <c r="D2939" s="2">
        <v>3.147616366E9</v>
      </c>
      <c r="E2939" s="1" t="s">
        <v>13466</v>
      </c>
      <c r="F2939" s="1"/>
      <c r="G2939" s="1" t="s">
        <v>13467</v>
      </c>
      <c r="H2939" s="1" t="s">
        <v>1155</v>
      </c>
      <c r="I2939" s="1">
        <v>63368.0</v>
      </c>
      <c r="J2939" s="1" t="s">
        <v>752</v>
      </c>
      <c r="K2939" s="1" t="s">
        <v>42</v>
      </c>
      <c r="L2939" s="1" t="s">
        <v>6819</v>
      </c>
      <c r="M2939" s="1">
        <v>49.0</v>
      </c>
      <c r="N2939" s="1" t="s">
        <v>1152</v>
      </c>
      <c r="O2939" s="3" t="s">
        <v>2462</v>
      </c>
      <c r="P2939" s="1" t="s">
        <v>1152</v>
      </c>
      <c r="Q2939" s="1" t="s">
        <v>1152</v>
      </c>
      <c r="R2939" s="1"/>
      <c r="S2939" s="1"/>
      <c r="T2939" s="1" t="s">
        <v>1152</v>
      </c>
      <c r="U2939" s="1" t="s">
        <v>1710</v>
      </c>
      <c r="V2939" s="4" t="s">
        <v>2462</v>
      </c>
      <c r="W2939" s="1"/>
      <c r="X2939" s="1" t="s">
        <v>1152</v>
      </c>
      <c r="Y2939" s="1" t="s">
        <v>1152</v>
      </c>
      <c r="Z2939" s="1"/>
      <c r="AA2939" s="1"/>
      <c r="AB2939" s="1"/>
      <c r="AC2939" s="1" t="s">
        <v>1925</v>
      </c>
      <c r="AD2939" s="1"/>
      <c r="AE2939" s="18">
        <v>46149.0</v>
      </c>
      <c r="AF2939" s="1" t="s">
        <v>1455</v>
      </c>
      <c r="AG2939" s="1" t="s">
        <v>52</v>
      </c>
      <c r="AH2939" s="1" t="s">
        <v>1152</v>
      </c>
      <c r="AI2939" s="1" t="s">
        <v>1152</v>
      </c>
      <c r="AJ2939" s="1" t="s">
        <v>13468</v>
      </c>
      <c r="AK2939" s="1" t="s">
        <v>1152</v>
      </c>
      <c r="AL2939" s="6"/>
      <c r="AM2939" s="12" t="s">
        <v>13469</v>
      </c>
    </row>
    <row r="2940">
      <c r="A2940" s="5" t="s">
        <v>13470</v>
      </c>
      <c r="B2940" s="1" t="s">
        <v>13471</v>
      </c>
      <c r="C2940" s="1" t="s">
        <v>13472</v>
      </c>
      <c r="D2940" s="2">
        <v>5.719994644E9</v>
      </c>
      <c r="E2940" s="1" t="s">
        <v>4683</v>
      </c>
      <c r="F2940" s="1"/>
      <c r="G2940" s="1" t="s">
        <v>1037</v>
      </c>
      <c r="H2940" s="1" t="s">
        <v>1038</v>
      </c>
      <c r="I2940" s="1">
        <v>22207.0</v>
      </c>
      <c r="J2940" s="1" t="s">
        <v>752</v>
      </c>
      <c r="K2940" s="1" t="s">
        <v>2131</v>
      </c>
      <c r="L2940" s="1" t="s">
        <v>5767</v>
      </c>
      <c r="M2940" s="1">
        <v>1.0</v>
      </c>
      <c r="N2940" s="1" t="s">
        <v>1152</v>
      </c>
      <c r="O2940" s="3" t="s">
        <v>2763</v>
      </c>
      <c r="P2940" s="1" t="s">
        <v>1152</v>
      </c>
      <c r="Q2940" s="1" t="s">
        <v>1152</v>
      </c>
      <c r="R2940" s="1"/>
      <c r="S2940" s="1"/>
      <c r="T2940" s="1" t="s">
        <v>1152</v>
      </c>
      <c r="U2940" s="1" t="s">
        <v>1133</v>
      </c>
      <c r="V2940" s="4" t="s">
        <v>2763</v>
      </c>
      <c r="W2940" s="1"/>
      <c r="X2940" s="1" t="s">
        <v>1152</v>
      </c>
      <c r="Y2940" s="1" t="s">
        <v>1152</v>
      </c>
      <c r="Z2940" s="1"/>
      <c r="AA2940" s="1"/>
      <c r="AB2940" s="1"/>
      <c r="AC2940" s="1" t="s">
        <v>1925</v>
      </c>
      <c r="AD2940" s="1"/>
      <c r="AE2940" s="18">
        <v>46154.0</v>
      </c>
      <c r="AF2940" s="1"/>
      <c r="AG2940" s="1"/>
      <c r="AH2940" s="1" t="s">
        <v>1152</v>
      </c>
      <c r="AI2940" s="1" t="s">
        <v>1152</v>
      </c>
      <c r="AJ2940" s="1" t="s">
        <v>4683</v>
      </c>
      <c r="AK2940" s="1" t="s">
        <v>1152</v>
      </c>
      <c r="AL2940" s="6"/>
      <c r="AM2940" s="12">
        <v>5.719994644E9</v>
      </c>
    </row>
    <row r="2941">
      <c r="A2941" s="5" t="s">
        <v>13473</v>
      </c>
      <c r="B2941" s="1" t="s">
        <v>13474</v>
      </c>
      <c r="C2941" s="1" t="s">
        <v>5651</v>
      </c>
      <c r="D2941" s="2">
        <v>8.173132347E9</v>
      </c>
      <c r="E2941" s="1" t="s">
        <v>5652</v>
      </c>
      <c r="F2941" s="1"/>
      <c r="G2941" s="1" t="s">
        <v>5653</v>
      </c>
      <c r="H2941" s="1" t="s">
        <v>1583</v>
      </c>
      <c r="I2941" s="1">
        <v>76034.0</v>
      </c>
      <c r="J2941" s="1" t="s">
        <v>752</v>
      </c>
      <c r="K2941" s="1" t="s">
        <v>2131</v>
      </c>
      <c r="L2941" s="1" t="s">
        <v>5767</v>
      </c>
      <c r="M2941" s="1">
        <v>1.0</v>
      </c>
      <c r="N2941" s="1" t="s">
        <v>1152</v>
      </c>
      <c r="O2941" s="3" t="s">
        <v>1432</v>
      </c>
      <c r="P2941" s="1" t="s">
        <v>1152</v>
      </c>
      <c r="Q2941" s="1" t="s">
        <v>1152</v>
      </c>
      <c r="R2941" s="1"/>
      <c r="S2941" s="1"/>
      <c r="T2941" s="1" t="s">
        <v>1152</v>
      </c>
      <c r="U2941" s="1" t="s">
        <v>1487</v>
      </c>
      <c r="V2941" s="4" t="s">
        <v>1432</v>
      </c>
      <c r="W2941" s="1"/>
      <c r="X2941" s="1" t="s">
        <v>1152</v>
      </c>
      <c r="Y2941" s="1" t="s">
        <v>1152</v>
      </c>
      <c r="Z2941" s="1"/>
      <c r="AA2941" s="1"/>
      <c r="AB2941" s="1"/>
      <c r="AC2941" s="1" t="s">
        <v>1925</v>
      </c>
      <c r="AD2941" s="1"/>
      <c r="AE2941" s="18">
        <v>46149.0</v>
      </c>
      <c r="AF2941" s="1"/>
      <c r="AG2941" s="1"/>
      <c r="AH2941" s="1" t="s">
        <v>1152</v>
      </c>
      <c r="AI2941" s="1" t="s">
        <v>1152</v>
      </c>
      <c r="AJ2941" s="1" t="s">
        <v>5652</v>
      </c>
      <c r="AK2941" s="1" t="s">
        <v>1152</v>
      </c>
      <c r="AL2941" s="6"/>
      <c r="AM2941" s="12">
        <v>8.173132347E9</v>
      </c>
    </row>
    <row r="2942">
      <c r="A2942" s="5" t="s">
        <v>13475</v>
      </c>
      <c r="B2942" s="1" t="s">
        <v>13476</v>
      </c>
      <c r="C2942" s="1" t="s">
        <v>13477</v>
      </c>
      <c r="D2942" s="2">
        <v>4.159996664E9</v>
      </c>
      <c r="E2942" s="1" t="s">
        <v>13478</v>
      </c>
      <c r="F2942" s="1"/>
      <c r="G2942" s="1" t="s">
        <v>1562</v>
      </c>
      <c r="H2942" s="1" t="s">
        <v>989</v>
      </c>
      <c r="I2942" s="1">
        <v>94129.0</v>
      </c>
      <c r="J2942" s="1" t="s">
        <v>752</v>
      </c>
      <c r="K2942" s="1" t="s">
        <v>2131</v>
      </c>
      <c r="L2942" s="1" t="s">
        <v>5811</v>
      </c>
      <c r="M2942" s="1">
        <v>1.0</v>
      </c>
      <c r="N2942" s="1" t="s">
        <v>1152</v>
      </c>
      <c r="O2942" s="3" t="s">
        <v>378</v>
      </c>
      <c r="P2942" s="1" t="s">
        <v>1152</v>
      </c>
      <c r="Q2942" s="1" t="s">
        <v>1152</v>
      </c>
      <c r="R2942" s="1"/>
      <c r="S2942" s="1"/>
      <c r="T2942" s="1" t="s">
        <v>1152</v>
      </c>
      <c r="U2942" s="1" t="s">
        <v>1285</v>
      </c>
      <c r="V2942" s="4" t="s">
        <v>378</v>
      </c>
      <c r="W2942" s="1"/>
      <c r="X2942" s="1" t="s">
        <v>1152</v>
      </c>
      <c r="Y2942" s="1" t="s">
        <v>1152</v>
      </c>
      <c r="Z2942" s="1"/>
      <c r="AA2942" s="1"/>
      <c r="AB2942" s="1"/>
      <c r="AC2942" s="1" t="s">
        <v>1925</v>
      </c>
      <c r="AD2942" s="1"/>
      <c r="AE2942" s="18">
        <v>46149.0</v>
      </c>
      <c r="AF2942" s="1"/>
      <c r="AG2942" s="1"/>
      <c r="AH2942" s="1" t="s">
        <v>1152</v>
      </c>
      <c r="AI2942" s="1" t="s">
        <v>1152</v>
      </c>
      <c r="AJ2942" s="1" t="s">
        <v>13478</v>
      </c>
      <c r="AK2942" s="1" t="s">
        <v>1152</v>
      </c>
      <c r="AL2942" s="6"/>
      <c r="AM2942" s="12" t="s">
        <v>13479</v>
      </c>
    </row>
    <row r="2943">
      <c r="A2943" s="5" t="s">
        <v>13480</v>
      </c>
      <c r="B2943" s="1" t="s">
        <v>13481</v>
      </c>
      <c r="C2943" s="1" t="s">
        <v>677</v>
      </c>
      <c r="D2943" s="2">
        <v>3.01529447E9</v>
      </c>
      <c r="E2943" s="1" t="s">
        <v>678</v>
      </c>
      <c r="F2943" s="1"/>
      <c r="G2943" s="1" t="s">
        <v>5431</v>
      </c>
      <c r="H2943" s="1" t="s">
        <v>1005</v>
      </c>
      <c r="I2943" s="1">
        <v>20854.0</v>
      </c>
      <c r="J2943" s="1" t="s">
        <v>752</v>
      </c>
      <c r="K2943" s="1" t="s">
        <v>2131</v>
      </c>
      <c r="L2943" s="1" t="s">
        <v>5811</v>
      </c>
      <c r="M2943" s="1">
        <v>1.0</v>
      </c>
      <c r="N2943" s="1" t="s">
        <v>1152</v>
      </c>
      <c r="O2943" s="3" t="s">
        <v>13482</v>
      </c>
      <c r="P2943" s="1" t="s">
        <v>1152</v>
      </c>
      <c r="Q2943" s="1" t="s">
        <v>1152</v>
      </c>
      <c r="R2943" s="1"/>
      <c r="S2943" s="1"/>
      <c r="T2943" s="1" t="s">
        <v>1152</v>
      </c>
      <c r="U2943" s="1" t="s">
        <v>1812</v>
      </c>
      <c r="V2943" s="4" t="s">
        <v>13482</v>
      </c>
      <c r="W2943" s="1"/>
      <c r="X2943" s="1" t="s">
        <v>1152</v>
      </c>
      <c r="Y2943" s="1" t="s">
        <v>1152</v>
      </c>
      <c r="Z2943" s="1"/>
      <c r="AA2943" s="1"/>
      <c r="AB2943" s="1"/>
      <c r="AC2943" s="1" t="s">
        <v>1925</v>
      </c>
      <c r="AD2943" s="1"/>
      <c r="AE2943" s="18">
        <v>46150.0</v>
      </c>
      <c r="AF2943" s="1"/>
      <c r="AG2943" s="1"/>
      <c r="AH2943" s="1" t="s">
        <v>1152</v>
      </c>
      <c r="AI2943" s="1" t="s">
        <v>1152</v>
      </c>
      <c r="AJ2943" s="1" t="s">
        <v>678</v>
      </c>
      <c r="AK2943" s="1" t="s">
        <v>1152</v>
      </c>
      <c r="AL2943" s="6"/>
      <c r="AM2943" s="12">
        <v>3.01529447E9</v>
      </c>
    </row>
    <row r="2944">
      <c r="A2944" s="5" t="s">
        <v>13483</v>
      </c>
      <c r="B2944" s="1" t="s">
        <v>13484</v>
      </c>
      <c r="C2944" s="1" t="s">
        <v>13485</v>
      </c>
      <c r="D2944" s="2">
        <v>2.032802503E9</v>
      </c>
      <c r="E2944" s="1" t="s">
        <v>6212</v>
      </c>
      <c r="F2944" s="1"/>
      <c r="G2944" s="1" t="s">
        <v>5576</v>
      </c>
      <c r="H2944" s="1" t="s">
        <v>1078</v>
      </c>
      <c r="I2944" s="1">
        <v>6902.0</v>
      </c>
      <c r="J2944" s="1" t="s">
        <v>752</v>
      </c>
      <c r="K2944" s="1" t="s">
        <v>2131</v>
      </c>
      <c r="L2944" s="1" t="s">
        <v>5767</v>
      </c>
      <c r="M2944" s="1">
        <v>1.0</v>
      </c>
      <c r="N2944" s="1" t="s">
        <v>1152</v>
      </c>
      <c r="O2944" s="3" t="s">
        <v>11899</v>
      </c>
      <c r="P2944" s="1" t="s">
        <v>1152</v>
      </c>
      <c r="Q2944" s="1" t="s">
        <v>1152</v>
      </c>
      <c r="R2944" s="1"/>
      <c r="S2944" s="1"/>
      <c r="T2944" s="1" t="s">
        <v>1152</v>
      </c>
      <c r="U2944" s="1" t="s">
        <v>1376</v>
      </c>
      <c r="V2944" s="4" t="s">
        <v>11899</v>
      </c>
      <c r="W2944" s="1"/>
      <c r="X2944" s="1" t="s">
        <v>1152</v>
      </c>
      <c r="Y2944" s="1" t="s">
        <v>1152</v>
      </c>
      <c r="Z2944" s="1"/>
      <c r="AA2944" s="1"/>
      <c r="AB2944" s="1"/>
      <c r="AC2944" s="1" t="s">
        <v>1925</v>
      </c>
      <c r="AD2944" s="1"/>
      <c r="AE2944" s="18">
        <v>46149.0</v>
      </c>
      <c r="AF2944" s="1"/>
      <c r="AG2944" s="1"/>
      <c r="AH2944" s="1" t="s">
        <v>1152</v>
      </c>
      <c r="AI2944" s="1" t="s">
        <v>1152</v>
      </c>
      <c r="AJ2944" s="1" t="s">
        <v>6212</v>
      </c>
      <c r="AK2944" s="1" t="s">
        <v>1152</v>
      </c>
      <c r="AL2944" s="6"/>
      <c r="AM2944" s="12">
        <v>2.032802503E9</v>
      </c>
    </row>
    <row r="2945">
      <c r="A2945" s="5" t="s">
        <v>13486</v>
      </c>
      <c r="B2945" s="1" t="s">
        <v>13487</v>
      </c>
      <c r="C2945" s="1" t="s">
        <v>9532</v>
      </c>
      <c r="D2945" s="2">
        <v>9.174801265E9</v>
      </c>
      <c r="E2945" s="1" t="s">
        <v>4553</v>
      </c>
      <c r="F2945" s="1"/>
      <c r="G2945" s="1" t="s">
        <v>1382</v>
      </c>
      <c r="H2945" s="1" t="s">
        <v>751</v>
      </c>
      <c r="I2945" s="1">
        <v>10583.0</v>
      </c>
      <c r="J2945" s="1" t="s">
        <v>752</v>
      </c>
      <c r="K2945" s="1" t="s">
        <v>892</v>
      </c>
      <c r="L2945" s="1" t="s">
        <v>6946</v>
      </c>
      <c r="M2945" s="1">
        <v>49.0</v>
      </c>
      <c r="N2945" s="1" t="s">
        <v>1152</v>
      </c>
      <c r="O2945" s="3" t="s">
        <v>2763</v>
      </c>
      <c r="P2945" s="1" t="s">
        <v>1152</v>
      </c>
      <c r="Q2945" s="1" t="s">
        <v>1152</v>
      </c>
      <c r="R2945" s="1"/>
      <c r="S2945" s="1"/>
      <c r="T2945" s="1" t="s">
        <v>1152</v>
      </c>
      <c r="U2945" s="1" t="s">
        <v>1039</v>
      </c>
      <c r="V2945" s="4" t="s">
        <v>2763</v>
      </c>
      <c r="W2945" s="1"/>
      <c r="X2945" s="1" t="s">
        <v>1152</v>
      </c>
      <c r="Y2945" s="1" t="s">
        <v>1152</v>
      </c>
      <c r="Z2945" s="1"/>
      <c r="AA2945" s="1"/>
      <c r="AB2945" s="1"/>
      <c r="AC2945" s="1" t="s">
        <v>1925</v>
      </c>
      <c r="AD2945" s="1"/>
      <c r="AE2945" s="18">
        <v>46149.0</v>
      </c>
      <c r="AF2945" s="1" t="s">
        <v>1440</v>
      </c>
      <c r="AG2945" s="1" t="s">
        <v>52</v>
      </c>
      <c r="AH2945" s="1" t="s">
        <v>13488</v>
      </c>
      <c r="AI2945" s="1" t="s">
        <v>1152</v>
      </c>
      <c r="AJ2945" s="1" t="s">
        <v>4553</v>
      </c>
      <c r="AK2945" s="1" t="s">
        <v>1152</v>
      </c>
      <c r="AL2945" s="6"/>
      <c r="AM2945" s="12">
        <v>9.174801265E9</v>
      </c>
    </row>
    <row r="2946">
      <c r="A2946" s="5" t="s">
        <v>13489</v>
      </c>
      <c r="B2946" s="1" t="s">
        <v>13490</v>
      </c>
      <c r="C2946" s="1" t="s">
        <v>13491</v>
      </c>
      <c r="D2946" s="2">
        <v>3.146295114E9</v>
      </c>
      <c r="E2946" s="1" t="s">
        <v>13492</v>
      </c>
      <c r="F2946" s="1"/>
      <c r="G2946" s="1" t="s">
        <v>2350</v>
      </c>
      <c r="H2946" s="1" t="s">
        <v>1155</v>
      </c>
      <c r="I2946" s="1">
        <v>63130.0</v>
      </c>
      <c r="J2946" s="1" t="s">
        <v>752</v>
      </c>
      <c r="K2946" s="1" t="s">
        <v>42</v>
      </c>
      <c r="L2946" s="1" t="s">
        <v>7863</v>
      </c>
      <c r="M2946" s="1">
        <v>79.0</v>
      </c>
      <c r="N2946" s="1" t="s">
        <v>1152</v>
      </c>
      <c r="O2946" s="3" t="s">
        <v>2235</v>
      </c>
      <c r="P2946" s="1" t="s">
        <v>1152</v>
      </c>
      <c r="Q2946" s="1" t="s">
        <v>1152</v>
      </c>
      <c r="R2946" s="1"/>
      <c r="S2946" s="1"/>
      <c r="T2946" s="1" t="s">
        <v>1152</v>
      </c>
      <c r="U2946" s="1" t="s">
        <v>11180</v>
      </c>
      <c r="V2946" s="4" t="s">
        <v>2235</v>
      </c>
      <c r="W2946" s="1"/>
      <c r="X2946" s="1" t="s">
        <v>1152</v>
      </c>
      <c r="Y2946" s="1" t="s">
        <v>1152</v>
      </c>
      <c r="Z2946" s="1"/>
      <c r="AA2946" s="1"/>
      <c r="AB2946" s="1"/>
      <c r="AC2946" s="1" t="s">
        <v>1925</v>
      </c>
      <c r="AD2946" s="1"/>
      <c r="AE2946" s="18">
        <v>46149.0</v>
      </c>
      <c r="AF2946" s="1" t="s">
        <v>1030</v>
      </c>
      <c r="AG2946" s="1" t="s">
        <v>52</v>
      </c>
      <c r="AH2946" s="1" t="s">
        <v>1152</v>
      </c>
      <c r="AI2946" s="1" t="s">
        <v>1152</v>
      </c>
      <c r="AJ2946" s="1" t="s">
        <v>13493</v>
      </c>
      <c r="AK2946" s="1" t="s">
        <v>1152</v>
      </c>
      <c r="AL2946" s="6"/>
      <c r="AM2946" s="12">
        <v>3.146295114E9</v>
      </c>
    </row>
    <row r="2947">
      <c r="A2947" s="5" t="s">
        <v>13494</v>
      </c>
      <c r="B2947" s="1" t="s">
        <v>13495</v>
      </c>
      <c r="C2947" s="1" t="s">
        <v>13496</v>
      </c>
      <c r="D2947" s="2">
        <v>9.786184522E9</v>
      </c>
      <c r="E2947" s="1" t="s">
        <v>7046</v>
      </c>
      <c r="F2947" s="1"/>
      <c r="G2947" s="1" t="s">
        <v>2570</v>
      </c>
      <c r="H2947" s="1" t="s">
        <v>1121</v>
      </c>
      <c r="I2947" s="1">
        <v>1776.0</v>
      </c>
      <c r="J2947" s="1" t="s">
        <v>752</v>
      </c>
      <c r="K2947" s="1" t="s">
        <v>2131</v>
      </c>
      <c r="L2947" s="1" t="s">
        <v>5767</v>
      </c>
      <c r="M2947" s="1">
        <v>1.0</v>
      </c>
      <c r="N2947" s="1" t="s">
        <v>1152</v>
      </c>
      <c r="O2947" s="3" t="s">
        <v>7047</v>
      </c>
      <c r="P2947" s="1" t="s">
        <v>1152</v>
      </c>
      <c r="Q2947" s="1" t="s">
        <v>1152</v>
      </c>
      <c r="R2947" s="1"/>
      <c r="S2947" s="1"/>
      <c r="T2947" s="1" t="s">
        <v>1152</v>
      </c>
      <c r="U2947" s="1" t="s">
        <v>1407</v>
      </c>
      <c r="V2947" s="4" t="s">
        <v>7047</v>
      </c>
      <c r="W2947" s="1"/>
      <c r="X2947" s="1" t="s">
        <v>1152</v>
      </c>
      <c r="Y2947" s="1" t="s">
        <v>1152</v>
      </c>
      <c r="Z2947" s="1"/>
      <c r="AA2947" s="1"/>
      <c r="AB2947" s="1"/>
      <c r="AC2947" s="1" t="s">
        <v>1925</v>
      </c>
      <c r="AD2947" s="1"/>
      <c r="AE2947" s="18">
        <v>46149.0</v>
      </c>
      <c r="AF2947" s="1"/>
      <c r="AG2947" s="1"/>
      <c r="AH2947" s="1" t="s">
        <v>1152</v>
      </c>
      <c r="AI2947" s="1" t="s">
        <v>1152</v>
      </c>
      <c r="AJ2947" s="1" t="s">
        <v>7046</v>
      </c>
      <c r="AK2947" s="1" t="s">
        <v>1152</v>
      </c>
      <c r="AL2947" s="6"/>
      <c r="AM2947" s="12">
        <v>9.786184522E9</v>
      </c>
    </row>
    <row r="2948">
      <c r="A2948" s="5" t="s">
        <v>13497</v>
      </c>
      <c r="B2948" s="1" t="s">
        <v>13498</v>
      </c>
      <c r="C2948" s="1" t="s">
        <v>13499</v>
      </c>
      <c r="D2948" s="2">
        <v>9.179022223E9</v>
      </c>
      <c r="E2948" s="1" t="s">
        <v>2225</v>
      </c>
      <c r="F2948" s="1"/>
      <c r="G2948" s="1" t="s">
        <v>751</v>
      </c>
      <c r="H2948" s="1" t="s">
        <v>751</v>
      </c>
      <c r="I2948" s="1">
        <v>10028.0</v>
      </c>
      <c r="J2948" s="1" t="s">
        <v>752</v>
      </c>
      <c r="K2948" s="1" t="s">
        <v>2131</v>
      </c>
      <c r="L2948" s="1" t="s">
        <v>5811</v>
      </c>
      <c r="M2948" s="1">
        <v>1.0</v>
      </c>
      <c r="N2948" s="1" t="s">
        <v>1152</v>
      </c>
      <c r="O2948" s="3" t="s">
        <v>13500</v>
      </c>
      <c r="P2948" s="1" t="s">
        <v>1152</v>
      </c>
      <c r="Q2948" s="1" t="s">
        <v>1152</v>
      </c>
      <c r="R2948" s="1"/>
      <c r="S2948" s="1"/>
      <c r="T2948" s="1" t="s">
        <v>1152</v>
      </c>
      <c r="U2948" s="1" t="s">
        <v>1794</v>
      </c>
      <c r="V2948" s="4" t="s">
        <v>13500</v>
      </c>
      <c r="W2948" s="1"/>
      <c r="X2948" s="1" t="s">
        <v>1152</v>
      </c>
      <c r="Y2948" s="1" t="s">
        <v>1152</v>
      </c>
      <c r="Z2948" s="1"/>
      <c r="AA2948" s="1"/>
      <c r="AB2948" s="1"/>
      <c r="AC2948" s="1" t="s">
        <v>1925</v>
      </c>
      <c r="AD2948" s="1"/>
      <c r="AE2948" s="18">
        <v>46149.0</v>
      </c>
      <c r="AF2948" s="1"/>
      <c r="AG2948" s="1"/>
      <c r="AH2948" s="1" t="s">
        <v>1152</v>
      </c>
      <c r="AI2948" s="1" t="s">
        <v>1152</v>
      </c>
      <c r="AJ2948" s="1" t="s">
        <v>11193</v>
      </c>
      <c r="AK2948" s="1" t="s">
        <v>1152</v>
      </c>
      <c r="AL2948" s="6"/>
      <c r="AM2948" s="12" t="s">
        <v>13501</v>
      </c>
    </row>
    <row r="2949">
      <c r="A2949" s="5" t="s">
        <v>13502</v>
      </c>
      <c r="B2949" s="1" t="s">
        <v>13503</v>
      </c>
      <c r="C2949" s="1" t="s">
        <v>5992</v>
      </c>
      <c r="D2949" s="2">
        <v>6.503988183E9</v>
      </c>
      <c r="E2949" s="1" t="s">
        <v>13504</v>
      </c>
      <c r="F2949" s="1"/>
      <c r="G2949" s="1" t="s">
        <v>1520</v>
      </c>
      <c r="H2949" s="1" t="s">
        <v>989</v>
      </c>
      <c r="I2949" s="1">
        <v>94087.0</v>
      </c>
      <c r="J2949" s="1" t="s">
        <v>752</v>
      </c>
      <c r="K2949" s="1" t="s">
        <v>2131</v>
      </c>
      <c r="L2949" s="1" t="s">
        <v>5811</v>
      </c>
      <c r="M2949" s="1">
        <v>1.0</v>
      </c>
      <c r="N2949" s="1" t="s">
        <v>1152</v>
      </c>
      <c r="O2949" s="3" t="s">
        <v>5994</v>
      </c>
      <c r="P2949" s="1" t="s">
        <v>1152</v>
      </c>
      <c r="Q2949" s="1" t="s">
        <v>1152</v>
      </c>
      <c r="R2949" s="1"/>
      <c r="S2949" s="1"/>
      <c r="T2949" s="1" t="s">
        <v>1152</v>
      </c>
      <c r="U2949" s="1" t="s">
        <v>1487</v>
      </c>
      <c r="V2949" s="4" t="s">
        <v>5994</v>
      </c>
      <c r="W2949" s="1"/>
      <c r="X2949" s="1" t="s">
        <v>1152</v>
      </c>
      <c r="Y2949" s="1" t="s">
        <v>1152</v>
      </c>
      <c r="Z2949" s="1"/>
      <c r="AA2949" s="1"/>
      <c r="AB2949" s="1"/>
      <c r="AC2949" s="1" t="s">
        <v>1925</v>
      </c>
      <c r="AD2949" s="1"/>
      <c r="AE2949" s="18">
        <v>46149.0</v>
      </c>
      <c r="AF2949" s="1"/>
      <c r="AG2949" s="1"/>
      <c r="AH2949" s="1" t="s">
        <v>1152</v>
      </c>
      <c r="AI2949" s="1" t="s">
        <v>1152</v>
      </c>
      <c r="AJ2949" s="1" t="s">
        <v>13504</v>
      </c>
      <c r="AK2949" s="1" t="s">
        <v>1152</v>
      </c>
      <c r="AL2949" s="6"/>
      <c r="AM2949" s="12">
        <v>6.503988183E9</v>
      </c>
    </row>
    <row r="2950">
      <c r="A2950" s="5" t="s">
        <v>13505</v>
      </c>
      <c r="B2950" s="1" t="s">
        <v>13506</v>
      </c>
      <c r="C2950" s="1" t="s">
        <v>13507</v>
      </c>
      <c r="D2950" s="2">
        <v>7.744070219E9</v>
      </c>
      <c r="E2950" s="1" t="s">
        <v>7062</v>
      </c>
      <c r="F2950" s="1"/>
      <c r="G2950" s="1" t="s">
        <v>1120</v>
      </c>
      <c r="H2950" s="1" t="s">
        <v>1121</v>
      </c>
      <c r="I2950" s="1">
        <v>2132.0</v>
      </c>
      <c r="J2950" s="1" t="s">
        <v>752</v>
      </c>
      <c r="K2950" s="1" t="s">
        <v>2131</v>
      </c>
      <c r="L2950" s="1" t="s">
        <v>5767</v>
      </c>
      <c r="M2950" s="1">
        <v>1.0</v>
      </c>
      <c r="N2950" s="1" t="s">
        <v>1152</v>
      </c>
      <c r="O2950" s="3" t="s">
        <v>5693</v>
      </c>
      <c r="P2950" s="1" t="s">
        <v>1152</v>
      </c>
      <c r="Q2950" s="1" t="s">
        <v>1152</v>
      </c>
      <c r="R2950" s="1"/>
      <c r="S2950" s="1"/>
      <c r="T2950" s="1" t="s">
        <v>1152</v>
      </c>
      <c r="U2950" s="1" t="s">
        <v>1376</v>
      </c>
      <c r="V2950" s="4" t="s">
        <v>5693</v>
      </c>
      <c r="W2950" s="1"/>
      <c r="X2950" s="1" t="s">
        <v>1152</v>
      </c>
      <c r="Y2950" s="1" t="s">
        <v>1152</v>
      </c>
      <c r="Z2950" s="1"/>
      <c r="AA2950" s="1"/>
      <c r="AB2950" s="1"/>
      <c r="AC2950" s="1" t="s">
        <v>1925</v>
      </c>
      <c r="AD2950" s="1"/>
      <c r="AE2950" s="18">
        <v>46149.0</v>
      </c>
      <c r="AF2950" s="1"/>
      <c r="AG2950" s="1"/>
      <c r="AH2950" s="1" t="s">
        <v>1152</v>
      </c>
      <c r="AI2950" s="1" t="s">
        <v>1152</v>
      </c>
      <c r="AJ2950" s="1" t="s">
        <v>7062</v>
      </c>
      <c r="AK2950" s="1" t="s">
        <v>1152</v>
      </c>
      <c r="AL2950" s="6"/>
      <c r="AM2950" s="12">
        <v>7.744070219E9</v>
      </c>
    </row>
    <row r="2951">
      <c r="A2951" s="5" t="s">
        <v>13508</v>
      </c>
      <c r="B2951" s="1" t="s">
        <v>13509</v>
      </c>
      <c r="C2951" s="1" t="s">
        <v>6653</v>
      </c>
      <c r="D2951" s="2">
        <v>2.027401122E9</v>
      </c>
      <c r="E2951" s="1" t="s">
        <v>6654</v>
      </c>
      <c r="F2951" s="1"/>
      <c r="G2951" s="1" t="s">
        <v>980</v>
      </c>
      <c r="H2951" s="1" t="s">
        <v>1063</v>
      </c>
      <c r="I2951" s="1">
        <v>20016.0</v>
      </c>
      <c r="J2951" s="1" t="s">
        <v>752</v>
      </c>
      <c r="K2951" s="1" t="s">
        <v>2131</v>
      </c>
      <c r="L2951" s="1" t="s">
        <v>5767</v>
      </c>
      <c r="M2951" s="1">
        <v>1.0</v>
      </c>
      <c r="N2951" s="1" t="s">
        <v>1152</v>
      </c>
      <c r="O2951" s="3" t="s">
        <v>5516</v>
      </c>
      <c r="P2951" s="1" t="s">
        <v>1152</v>
      </c>
      <c r="Q2951" s="1" t="s">
        <v>1152</v>
      </c>
      <c r="R2951" s="1"/>
      <c r="S2951" s="1"/>
      <c r="T2951" s="1" t="s">
        <v>1152</v>
      </c>
      <c r="U2951" s="1" t="s">
        <v>1039</v>
      </c>
      <c r="V2951" s="4" t="s">
        <v>5516</v>
      </c>
      <c r="W2951" s="1"/>
      <c r="X2951" s="1" t="s">
        <v>1152</v>
      </c>
      <c r="Y2951" s="1" t="s">
        <v>1152</v>
      </c>
      <c r="Z2951" s="1"/>
      <c r="AA2951" s="1"/>
      <c r="AB2951" s="1"/>
      <c r="AC2951" s="1" t="s">
        <v>1925</v>
      </c>
      <c r="AD2951" s="1"/>
      <c r="AE2951" s="18">
        <v>46149.0</v>
      </c>
      <c r="AF2951" s="1"/>
      <c r="AG2951" s="1"/>
      <c r="AH2951" s="1" t="s">
        <v>1152</v>
      </c>
      <c r="AI2951" s="1" t="s">
        <v>1152</v>
      </c>
      <c r="AJ2951" s="1" t="s">
        <v>6654</v>
      </c>
      <c r="AK2951" s="1" t="s">
        <v>1152</v>
      </c>
      <c r="AL2951" s="6"/>
      <c r="AM2951" s="12">
        <v>2.027401122E9</v>
      </c>
    </row>
    <row r="2952">
      <c r="A2952" s="5" t="s">
        <v>13510</v>
      </c>
      <c r="B2952" s="1" t="s">
        <v>13511</v>
      </c>
      <c r="C2952" s="1" t="s">
        <v>466</v>
      </c>
      <c r="D2952" s="2">
        <v>9.086989314E9</v>
      </c>
      <c r="E2952" s="1" t="s">
        <v>2149</v>
      </c>
      <c r="F2952" s="1"/>
      <c r="G2952" s="1" t="s">
        <v>2150</v>
      </c>
      <c r="H2952" s="1" t="s">
        <v>1053</v>
      </c>
      <c r="I2952" s="1">
        <v>7924.0</v>
      </c>
      <c r="J2952" s="1" t="s">
        <v>752</v>
      </c>
      <c r="K2952" s="1" t="s">
        <v>51</v>
      </c>
      <c r="L2952" s="1" t="s">
        <v>5722</v>
      </c>
      <c r="M2952" s="1">
        <v>1.0</v>
      </c>
      <c r="N2952" s="1" t="s">
        <v>2461</v>
      </c>
      <c r="O2952" s="3" t="s">
        <v>13512</v>
      </c>
      <c r="P2952" s="18">
        <v>46252.0</v>
      </c>
      <c r="Q2952" s="1" t="s">
        <v>2463</v>
      </c>
      <c r="R2952" s="1"/>
      <c r="S2952" s="1" t="s">
        <v>52</v>
      </c>
      <c r="T2952" s="1" t="s">
        <v>2461</v>
      </c>
      <c r="U2952" s="1" t="s">
        <v>1174</v>
      </c>
      <c r="V2952" s="4" t="s">
        <v>13512</v>
      </c>
      <c r="W2952" s="1"/>
      <c r="X2952" s="18">
        <v>46252.0</v>
      </c>
      <c r="Y2952" s="1" t="s">
        <v>2463</v>
      </c>
      <c r="Z2952" s="1"/>
      <c r="AA2952" s="1"/>
      <c r="AB2952" s="1" t="s">
        <v>52</v>
      </c>
      <c r="AC2952" s="1" t="s">
        <v>1925</v>
      </c>
      <c r="AD2952" s="1"/>
      <c r="AE2952" s="1" t="s">
        <v>1152</v>
      </c>
      <c r="AF2952" s="1"/>
      <c r="AG2952" s="1"/>
      <c r="AH2952" s="1" t="s">
        <v>1152</v>
      </c>
      <c r="AI2952" s="1" t="s">
        <v>13513</v>
      </c>
      <c r="AJ2952" s="1" t="s">
        <v>2149</v>
      </c>
      <c r="AK2952" s="1" t="s">
        <v>1152</v>
      </c>
      <c r="AL2952" s="6"/>
      <c r="AM2952" s="12">
        <v>9.086989314E9</v>
      </c>
    </row>
    <row r="2953">
      <c r="A2953" s="5" t="s">
        <v>13514</v>
      </c>
      <c r="B2953" s="1" t="s">
        <v>13515</v>
      </c>
      <c r="C2953" s="1" t="s">
        <v>7831</v>
      </c>
      <c r="D2953" s="2">
        <v>7.817775096E9</v>
      </c>
      <c r="E2953" s="1" t="s">
        <v>10516</v>
      </c>
      <c r="F2953" s="1"/>
      <c r="G2953" s="1" t="s">
        <v>4775</v>
      </c>
      <c r="H2953" s="1" t="s">
        <v>1121</v>
      </c>
      <c r="I2953" s="1">
        <v>2138.0</v>
      </c>
      <c r="J2953" s="1" t="s">
        <v>752</v>
      </c>
      <c r="K2953" s="1" t="s">
        <v>2131</v>
      </c>
      <c r="L2953" s="1" t="s">
        <v>5811</v>
      </c>
      <c r="M2953" s="1">
        <v>1.0</v>
      </c>
      <c r="N2953" s="1" t="s">
        <v>1152</v>
      </c>
      <c r="O2953" s="3" t="s">
        <v>10517</v>
      </c>
      <c r="P2953" s="1" t="s">
        <v>1152</v>
      </c>
      <c r="Q2953" s="1" t="s">
        <v>1152</v>
      </c>
      <c r="R2953" s="1"/>
      <c r="S2953" s="1"/>
      <c r="T2953" s="1" t="s">
        <v>1152</v>
      </c>
      <c r="U2953" s="1" t="s">
        <v>1021</v>
      </c>
      <c r="V2953" s="4" t="s">
        <v>10517</v>
      </c>
      <c r="W2953" s="1"/>
      <c r="X2953" s="1" t="s">
        <v>1152</v>
      </c>
      <c r="Y2953" s="1" t="s">
        <v>1152</v>
      </c>
      <c r="Z2953" s="1"/>
      <c r="AA2953" s="1"/>
      <c r="AB2953" s="1"/>
      <c r="AC2953" s="1" t="s">
        <v>1925</v>
      </c>
      <c r="AD2953" s="1"/>
      <c r="AE2953" s="18">
        <v>46149.0</v>
      </c>
      <c r="AF2953" s="1"/>
      <c r="AG2953" s="1"/>
      <c r="AH2953" s="1" t="s">
        <v>1152</v>
      </c>
      <c r="AI2953" s="1" t="s">
        <v>1152</v>
      </c>
      <c r="AJ2953" s="1" t="s">
        <v>4774</v>
      </c>
      <c r="AK2953" s="1" t="s">
        <v>1152</v>
      </c>
      <c r="AL2953" s="6"/>
      <c r="AM2953" s="12">
        <v>7.817775096E9</v>
      </c>
    </row>
    <row r="2954">
      <c r="A2954" s="5" t="s">
        <v>13516</v>
      </c>
      <c r="B2954" s="1" t="s">
        <v>13517</v>
      </c>
      <c r="C2954" s="1" t="s">
        <v>13518</v>
      </c>
      <c r="D2954" s="2">
        <v>2.81660986E9</v>
      </c>
      <c r="E2954" s="1" t="s">
        <v>7710</v>
      </c>
      <c r="F2954" s="1"/>
      <c r="G2954" s="1" t="s">
        <v>2932</v>
      </c>
      <c r="H2954" s="1" t="s">
        <v>1583</v>
      </c>
      <c r="I2954" s="1">
        <v>77401.0</v>
      </c>
      <c r="J2954" s="1" t="s">
        <v>752</v>
      </c>
      <c r="K2954" s="1" t="s">
        <v>42</v>
      </c>
      <c r="L2954" s="1" t="s">
        <v>6819</v>
      </c>
      <c r="M2954" s="1">
        <v>49.0</v>
      </c>
      <c r="N2954" s="1" t="s">
        <v>1152</v>
      </c>
      <c r="O2954" s="3" t="s">
        <v>7711</v>
      </c>
      <c r="P2954" s="1" t="s">
        <v>1152</v>
      </c>
      <c r="Q2954" s="1" t="s">
        <v>1152</v>
      </c>
      <c r="R2954" s="1"/>
      <c r="S2954" s="1"/>
      <c r="T2954" s="1" t="s">
        <v>1152</v>
      </c>
      <c r="U2954" s="1" t="s">
        <v>1021</v>
      </c>
      <c r="V2954" s="4" t="s">
        <v>7711</v>
      </c>
      <c r="W2954" s="1"/>
      <c r="X2954" s="1" t="s">
        <v>1152</v>
      </c>
      <c r="Y2954" s="1" t="s">
        <v>1152</v>
      </c>
      <c r="Z2954" s="1"/>
      <c r="AA2954" s="1"/>
      <c r="AB2954" s="1"/>
      <c r="AC2954" s="1" t="s">
        <v>1925</v>
      </c>
      <c r="AD2954" s="1"/>
      <c r="AE2954" s="18">
        <v>46153.0</v>
      </c>
      <c r="AF2954" s="1" t="s">
        <v>3186</v>
      </c>
      <c r="AG2954" s="1" t="s">
        <v>52</v>
      </c>
      <c r="AH2954" s="1" t="s">
        <v>1152</v>
      </c>
      <c r="AI2954" s="1" t="s">
        <v>1152</v>
      </c>
      <c r="AJ2954" s="1" t="s">
        <v>7710</v>
      </c>
      <c r="AK2954" s="1" t="s">
        <v>1152</v>
      </c>
      <c r="AL2954" s="6"/>
      <c r="AM2954" s="12">
        <v>2.81660986E9</v>
      </c>
    </row>
    <row r="2955">
      <c r="A2955" s="5" t="s">
        <v>13516</v>
      </c>
      <c r="B2955" s="1" t="s">
        <v>13517</v>
      </c>
      <c r="C2955" s="1" t="s">
        <v>13518</v>
      </c>
      <c r="D2955" s="2">
        <v>2.81660986E9</v>
      </c>
      <c r="E2955" s="1" t="s">
        <v>7710</v>
      </c>
      <c r="F2955" s="1"/>
      <c r="G2955" s="1" t="s">
        <v>2932</v>
      </c>
      <c r="H2955" s="1" t="s">
        <v>1583</v>
      </c>
      <c r="I2955" s="1">
        <v>77401.0</v>
      </c>
      <c r="J2955" s="1" t="s">
        <v>752</v>
      </c>
      <c r="K2955" s="1" t="s">
        <v>2131</v>
      </c>
      <c r="L2955" s="1" t="s">
        <v>5736</v>
      </c>
      <c r="M2955" s="1">
        <v>1.0</v>
      </c>
      <c r="N2955" s="1" t="s">
        <v>1152</v>
      </c>
      <c r="O2955" s="3" t="s">
        <v>7711</v>
      </c>
      <c r="P2955" s="1" t="s">
        <v>1152</v>
      </c>
      <c r="Q2955" s="1" t="s">
        <v>1152</v>
      </c>
      <c r="R2955" s="1"/>
      <c r="S2955" s="1"/>
      <c r="T2955" s="1" t="s">
        <v>1152</v>
      </c>
      <c r="U2955" s="1" t="s">
        <v>1021</v>
      </c>
      <c r="V2955" s="4" t="s">
        <v>7711</v>
      </c>
      <c r="W2955" s="1"/>
      <c r="X2955" s="1" t="s">
        <v>1152</v>
      </c>
      <c r="Y2955" s="1" t="s">
        <v>1152</v>
      </c>
      <c r="Z2955" s="1"/>
      <c r="AA2955" s="1"/>
      <c r="AB2955" s="1"/>
      <c r="AC2955" s="1" t="s">
        <v>1925</v>
      </c>
      <c r="AD2955" s="1"/>
      <c r="AE2955" s="18">
        <v>46149.0</v>
      </c>
      <c r="AF2955" s="1"/>
      <c r="AG2955" s="1"/>
      <c r="AH2955" s="1" t="s">
        <v>1152</v>
      </c>
      <c r="AI2955" s="1" t="s">
        <v>1152</v>
      </c>
      <c r="AJ2955" s="1" t="s">
        <v>13519</v>
      </c>
      <c r="AK2955" s="1" t="s">
        <v>1152</v>
      </c>
      <c r="AL2955" s="6"/>
      <c r="AM2955" s="12">
        <v>2.81660986E9</v>
      </c>
    </row>
    <row r="2956">
      <c r="A2956" s="5" t="s">
        <v>13520</v>
      </c>
      <c r="B2956" s="1" t="s">
        <v>13521</v>
      </c>
      <c r="C2956" s="1" t="s">
        <v>13522</v>
      </c>
      <c r="D2956" s="2">
        <v>9.738688807E9</v>
      </c>
      <c r="E2956" s="1" t="s">
        <v>13523</v>
      </c>
      <c r="F2956" s="1"/>
      <c r="G2956" s="1" t="s">
        <v>4015</v>
      </c>
      <c r="H2956" s="1" t="s">
        <v>1053</v>
      </c>
      <c r="I2956" s="1">
        <v>7836.0</v>
      </c>
      <c r="J2956" s="1" t="s">
        <v>752</v>
      </c>
      <c r="K2956" s="1" t="s">
        <v>42</v>
      </c>
      <c r="L2956" s="1" t="s">
        <v>8365</v>
      </c>
      <c r="M2956" s="1">
        <v>49.0</v>
      </c>
      <c r="N2956" s="1" t="s">
        <v>1152</v>
      </c>
      <c r="O2956" s="3" t="s">
        <v>1675</v>
      </c>
      <c r="P2956" s="1" t="s">
        <v>1152</v>
      </c>
      <c r="Q2956" s="1" t="s">
        <v>1152</v>
      </c>
      <c r="R2956" s="1"/>
      <c r="S2956" s="1"/>
      <c r="T2956" s="1" t="s">
        <v>1152</v>
      </c>
      <c r="U2956" s="1" t="s">
        <v>1080</v>
      </c>
      <c r="V2956" s="4" t="s">
        <v>1675</v>
      </c>
      <c r="W2956" s="1"/>
      <c r="X2956" s="1" t="s">
        <v>1152</v>
      </c>
      <c r="Y2956" s="1" t="s">
        <v>1152</v>
      </c>
      <c r="Z2956" s="1"/>
      <c r="AA2956" s="1"/>
      <c r="AB2956" s="1"/>
      <c r="AC2956" s="1" t="s">
        <v>1925</v>
      </c>
      <c r="AD2956" s="1"/>
      <c r="AE2956" s="18">
        <v>46150.0</v>
      </c>
      <c r="AF2956" s="1" t="s">
        <v>1030</v>
      </c>
      <c r="AG2956" s="1" t="s">
        <v>52</v>
      </c>
      <c r="AH2956" s="1" t="s">
        <v>1152</v>
      </c>
      <c r="AI2956" s="1" t="s">
        <v>1152</v>
      </c>
      <c r="AJ2956" s="1" t="s">
        <v>4014</v>
      </c>
      <c r="AK2956" s="1" t="s">
        <v>1152</v>
      </c>
      <c r="AL2956" s="6"/>
      <c r="AM2956" s="12">
        <v>9.738688807E9</v>
      </c>
    </row>
    <row r="2957">
      <c r="A2957" s="5" t="s">
        <v>13524</v>
      </c>
      <c r="B2957" s="1" t="s">
        <v>13525</v>
      </c>
      <c r="C2957" s="1" t="s">
        <v>13526</v>
      </c>
      <c r="D2957" s="2">
        <v>3.122820845E9</v>
      </c>
      <c r="E2957" s="1" t="s">
        <v>2002</v>
      </c>
      <c r="F2957" s="1"/>
      <c r="G2957" s="1" t="s">
        <v>1072</v>
      </c>
      <c r="H2957" s="1" t="s">
        <v>1019</v>
      </c>
      <c r="I2957" s="1">
        <v>60614.0</v>
      </c>
      <c r="J2957" s="1" t="s">
        <v>752</v>
      </c>
      <c r="K2957" s="1" t="s">
        <v>2131</v>
      </c>
      <c r="L2957" s="1" t="s">
        <v>5767</v>
      </c>
      <c r="M2957" s="1">
        <v>1.0</v>
      </c>
      <c r="N2957" s="1" t="s">
        <v>1152</v>
      </c>
      <c r="O2957" s="3" t="s">
        <v>13527</v>
      </c>
      <c r="P2957" s="1" t="s">
        <v>1152</v>
      </c>
      <c r="Q2957" s="1" t="s">
        <v>1152</v>
      </c>
      <c r="R2957" s="1"/>
      <c r="S2957" s="1"/>
      <c r="T2957" s="1" t="s">
        <v>1152</v>
      </c>
      <c r="U2957" s="1" t="s">
        <v>1277</v>
      </c>
      <c r="V2957" s="4" t="s">
        <v>13527</v>
      </c>
      <c r="W2957" s="1"/>
      <c r="X2957" s="1" t="s">
        <v>1152</v>
      </c>
      <c r="Y2957" s="1" t="s">
        <v>1152</v>
      </c>
      <c r="Z2957" s="1"/>
      <c r="AA2957" s="1"/>
      <c r="AB2957" s="1"/>
      <c r="AC2957" s="1" t="s">
        <v>1925</v>
      </c>
      <c r="AD2957" s="1"/>
      <c r="AE2957" s="18">
        <v>46149.0</v>
      </c>
      <c r="AF2957" s="1"/>
      <c r="AG2957" s="1"/>
      <c r="AH2957" s="1" t="s">
        <v>1152</v>
      </c>
      <c r="AI2957" s="1" t="s">
        <v>1152</v>
      </c>
      <c r="AJ2957" s="1" t="s">
        <v>13528</v>
      </c>
      <c r="AK2957" s="1" t="s">
        <v>1152</v>
      </c>
      <c r="AL2957" s="6"/>
      <c r="AM2957" s="12" t="s">
        <v>13529</v>
      </c>
    </row>
    <row r="2958">
      <c r="A2958" s="5" t="s">
        <v>13530</v>
      </c>
      <c r="B2958" s="1" t="s">
        <v>13531</v>
      </c>
      <c r="C2958" s="1" t="s">
        <v>13532</v>
      </c>
      <c r="D2958" s="2">
        <v>5.617015811E9</v>
      </c>
      <c r="E2958" s="1" t="s">
        <v>13533</v>
      </c>
      <c r="F2958" s="1"/>
      <c r="G2958" s="1" t="s">
        <v>1207</v>
      </c>
      <c r="H2958" s="1" t="s">
        <v>1208</v>
      </c>
      <c r="I2958" s="1">
        <v>33486.0</v>
      </c>
      <c r="J2958" s="1" t="s">
        <v>752</v>
      </c>
      <c r="K2958" s="1" t="s">
        <v>6515</v>
      </c>
      <c r="L2958" s="1" t="s">
        <v>6516</v>
      </c>
      <c r="M2958" s="1">
        <v>400.0</v>
      </c>
      <c r="N2958" s="1" t="s">
        <v>1152</v>
      </c>
      <c r="O2958" s="3"/>
      <c r="P2958" s="1" t="s">
        <v>1152</v>
      </c>
      <c r="Q2958" s="1" t="s">
        <v>1152</v>
      </c>
      <c r="R2958" s="1"/>
      <c r="S2958" s="1"/>
      <c r="T2958" s="1" t="s">
        <v>1152</v>
      </c>
      <c r="U2958" s="1"/>
      <c r="V2958" s="4"/>
      <c r="W2958" s="1"/>
      <c r="X2958" s="1" t="s">
        <v>1152</v>
      </c>
      <c r="Y2958" s="1" t="s">
        <v>1152</v>
      </c>
      <c r="Z2958" s="1"/>
      <c r="AA2958" s="1"/>
      <c r="AB2958" s="1"/>
      <c r="AC2958" s="1" t="s">
        <v>13534</v>
      </c>
      <c r="AD2958" s="1"/>
      <c r="AE2958" s="18">
        <v>46177.0</v>
      </c>
      <c r="AF2958" s="1"/>
      <c r="AG2958" s="1"/>
      <c r="AH2958" s="1" t="s">
        <v>13535</v>
      </c>
      <c r="AI2958" s="1" t="s">
        <v>13536</v>
      </c>
      <c r="AJ2958" s="1"/>
      <c r="AK2958" s="1" t="s">
        <v>13537</v>
      </c>
      <c r="AL2958" s="6"/>
      <c r="AM2958" s="12">
        <v>5.617015811E9</v>
      </c>
    </row>
    <row r="2959">
      <c r="A2959" s="5" t="s">
        <v>13538</v>
      </c>
      <c r="B2959" s="1" t="s">
        <v>13539</v>
      </c>
      <c r="C2959" s="1" t="s">
        <v>319</v>
      </c>
      <c r="D2959" s="2">
        <v>1.6174547962E10</v>
      </c>
      <c r="E2959" s="1" t="s">
        <v>321</v>
      </c>
      <c r="F2959" s="1"/>
      <c r="G2959" s="1" t="s">
        <v>3171</v>
      </c>
      <c r="H2959" s="1" t="s">
        <v>1121</v>
      </c>
      <c r="I2959" s="1" t="s">
        <v>9276</v>
      </c>
      <c r="J2959" s="1" t="s">
        <v>752</v>
      </c>
      <c r="K2959" s="1" t="s">
        <v>51</v>
      </c>
      <c r="L2959" s="1" t="s">
        <v>5722</v>
      </c>
      <c r="M2959" s="1">
        <v>1.0</v>
      </c>
      <c r="N2959" s="1" t="s">
        <v>2461</v>
      </c>
      <c r="O2959" s="3" t="s">
        <v>4142</v>
      </c>
      <c r="P2959" s="18">
        <v>46172.0</v>
      </c>
      <c r="Q2959" s="1" t="s">
        <v>2731</v>
      </c>
      <c r="R2959" s="1"/>
      <c r="S2959" s="1" t="s">
        <v>52</v>
      </c>
      <c r="T2959" s="1" t="s">
        <v>2461</v>
      </c>
      <c r="U2959" s="1" t="s">
        <v>1065</v>
      </c>
      <c r="V2959" s="4" t="s">
        <v>4142</v>
      </c>
      <c r="W2959" s="1"/>
      <c r="X2959" s="18">
        <v>46172.0</v>
      </c>
      <c r="Y2959" s="1" t="s">
        <v>2731</v>
      </c>
      <c r="Z2959" s="1"/>
      <c r="AA2959" s="1"/>
      <c r="AB2959" s="1" t="s">
        <v>52</v>
      </c>
      <c r="AC2959" s="1" t="s">
        <v>1925</v>
      </c>
      <c r="AD2959" s="1"/>
      <c r="AE2959" s="1" t="s">
        <v>1152</v>
      </c>
      <c r="AF2959" s="1"/>
      <c r="AG2959" s="1"/>
      <c r="AH2959" s="1" t="s">
        <v>1152</v>
      </c>
      <c r="AI2959" s="1" t="s">
        <v>1152</v>
      </c>
      <c r="AJ2959" s="1" t="s">
        <v>321</v>
      </c>
      <c r="AK2959" s="1" t="s">
        <v>1152</v>
      </c>
      <c r="AL2959" s="6"/>
      <c r="AM2959" s="12">
        <v>6.174547962E9</v>
      </c>
    </row>
    <row r="2960">
      <c r="A2960" s="5" t="s">
        <v>13540</v>
      </c>
      <c r="B2960" s="1" t="s">
        <v>13541</v>
      </c>
      <c r="C2960" s="1" t="s">
        <v>13542</v>
      </c>
      <c r="D2960" s="2">
        <v>3.323231785E9</v>
      </c>
      <c r="E2960" s="1" t="s">
        <v>13543</v>
      </c>
      <c r="F2960" s="1"/>
      <c r="G2960" s="1" t="s">
        <v>1283</v>
      </c>
      <c r="H2960" s="1" t="s">
        <v>1155</v>
      </c>
      <c r="I2960" s="1">
        <v>63105.0</v>
      </c>
      <c r="J2960" s="1" t="s">
        <v>752</v>
      </c>
      <c r="K2960" s="1" t="s">
        <v>42</v>
      </c>
      <c r="L2960" s="1" t="s">
        <v>6819</v>
      </c>
      <c r="M2960" s="1">
        <v>49.0</v>
      </c>
      <c r="N2960" s="1" t="s">
        <v>1152</v>
      </c>
      <c r="O2960" s="3" t="s">
        <v>13544</v>
      </c>
      <c r="P2960" s="1" t="s">
        <v>1152</v>
      </c>
      <c r="Q2960" s="1" t="s">
        <v>1152</v>
      </c>
      <c r="R2960" s="1"/>
      <c r="S2960" s="1"/>
      <c r="T2960" s="1" t="s">
        <v>1152</v>
      </c>
      <c r="U2960" s="1" t="s">
        <v>1167</v>
      </c>
      <c r="V2960" s="4" t="s">
        <v>13544</v>
      </c>
      <c r="W2960" s="1"/>
      <c r="X2960" s="1" t="s">
        <v>1152</v>
      </c>
      <c r="Y2960" s="1" t="s">
        <v>1152</v>
      </c>
      <c r="Z2960" s="1"/>
      <c r="AA2960" s="1"/>
      <c r="AB2960" s="1"/>
      <c r="AC2960" s="1" t="s">
        <v>1925</v>
      </c>
      <c r="AD2960" s="1"/>
      <c r="AE2960" s="18">
        <v>46150.0</v>
      </c>
      <c r="AF2960" s="1" t="s">
        <v>1455</v>
      </c>
      <c r="AG2960" s="1" t="s">
        <v>52</v>
      </c>
      <c r="AH2960" s="1" t="s">
        <v>1152</v>
      </c>
      <c r="AI2960" s="1" t="s">
        <v>1152</v>
      </c>
      <c r="AJ2960" s="1" t="s">
        <v>13543</v>
      </c>
      <c r="AK2960" s="1" t="s">
        <v>1152</v>
      </c>
      <c r="AL2960" s="6"/>
      <c r="AM2960" s="12">
        <v>3.323231785E9</v>
      </c>
    </row>
    <row r="2961">
      <c r="A2961" s="5" t="s">
        <v>13545</v>
      </c>
      <c r="B2961" s="1" t="s">
        <v>13546</v>
      </c>
      <c r="C2961" s="1" t="s">
        <v>6526</v>
      </c>
      <c r="D2961" s="2">
        <v>3.412030474E9</v>
      </c>
      <c r="E2961" s="1" t="s">
        <v>6530</v>
      </c>
      <c r="F2961" s="1"/>
      <c r="G2961" s="1" t="s">
        <v>2350</v>
      </c>
      <c r="H2961" s="1" t="s">
        <v>1155</v>
      </c>
      <c r="I2961" s="1">
        <v>63105.0</v>
      </c>
      <c r="J2961" s="1" t="s">
        <v>752</v>
      </c>
      <c r="K2961" s="1" t="s">
        <v>2131</v>
      </c>
      <c r="L2961" s="1" t="s">
        <v>5736</v>
      </c>
      <c r="M2961" s="1">
        <v>1.0</v>
      </c>
      <c r="N2961" s="1" t="s">
        <v>1152</v>
      </c>
      <c r="O2961" s="3" t="s">
        <v>434</v>
      </c>
      <c r="P2961" s="1" t="s">
        <v>1152</v>
      </c>
      <c r="Q2961" s="1" t="s">
        <v>1152</v>
      </c>
      <c r="R2961" s="1"/>
      <c r="S2961" s="1"/>
      <c r="T2961" s="1" t="s">
        <v>1152</v>
      </c>
      <c r="U2961" s="1" t="s">
        <v>1249</v>
      </c>
      <c r="V2961" s="4" t="s">
        <v>434</v>
      </c>
      <c r="W2961" s="1"/>
      <c r="X2961" s="1" t="s">
        <v>1152</v>
      </c>
      <c r="Y2961" s="1" t="s">
        <v>1152</v>
      </c>
      <c r="Z2961" s="1"/>
      <c r="AA2961" s="1"/>
      <c r="AB2961" s="1"/>
      <c r="AC2961" s="1" t="s">
        <v>1925</v>
      </c>
      <c r="AD2961" s="1"/>
      <c r="AE2961" s="18">
        <v>46150.0</v>
      </c>
      <c r="AF2961" s="1"/>
      <c r="AG2961" s="1"/>
      <c r="AH2961" s="1" t="s">
        <v>1152</v>
      </c>
      <c r="AI2961" s="1" t="s">
        <v>1152</v>
      </c>
      <c r="AJ2961" s="1" t="s">
        <v>13547</v>
      </c>
      <c r="AK2961" s="1" t="s">
        <v>1152</v>
      </c>
      <c r="AL2961" s="6"/>
      <c r="AM2961" s="12">
        <v>3.412030474E9</v>
      </c>
    </row>
    <row r="2962">
      <c r="A2962" s="5" t="s">
        <v>13548</v>
      </c>
      <c r="B2962" s="1" t="s">
        <v>13549</v>
      </c>
      <c r="C2962" s="1" t="s">
        <v>13550</v>
      </c>
      <c r="D2962" s="2">
        <v>9.174146443E9</v>
      </c>
      <c r="E2962" s="1" t="s">
        <v>13551</v>
      </c>
      <c r="F2962" s="1" t="s">
        <v>13552</v>
      </c>
      <c r="G2962" s="1" t="s">
        <v>1799</v>
      </c>
      <c r="H2962" s="1" t="s">
        <v>1053</v>
      </c>
      <c r="I2962" s="1">
        <v>7670.0</v>
      </c>
      <c r="J2962" s="1" t="s">
        <v>752</v>
      </c>
      <c r="K2962" s="1" t="s">
        <v>892</v>
      </c>
      <c r="L2962" s="1" t="s">
        <v>8006</v>
      </c>
      <c r="M2962" s="1">
        <v>49.0</v>
      </c>
      <c r="N2962" s="1" t="s">
        <v>1152</v>
      </c>
      <c r="O2962" s="3"/>
      <c r="P2962" s="1" t="s">
        <v>1152</v>
      </c>
      <c r="Q2962" s="1" t="s">
        <v>1152</v>
      </c>
      <c r="R2962" s="1" t="s">
        <v>13552</v>
      </c>
      <c r="S2962" s="1"/>
      <c r="T2962" s="1" t="s">
        <v>1152</v>
      </c>
      <c r="U2962" s="1"/>
      <c r="V2962" s="4"/>
      <c r="W2962" s="1" t="s">
        <v>13552</v>
      </c>
      <c r="X2962" s="1" t="s">
        <v>1152</v>
      </c>
      <c r="Y2962" s="1" t="s">
        <v>1152</v>
      </c>
      <c r="Z2962" s="1"/>
      <c r="AA2962" s="1" t="s">
        <v>13552</v>
      </c>
      <c r="AB2962" s="1"/>
      <c r="AC2962" s="1" t="s">
        <v>1925</v>
      </c>
      <c r="AD2962" s="1"/>
      <c r="AE2962" s="18">
        <v>46161.0</v>
      </c>
      <c r="AF2962" s="1" t="s">
        <v>1455</v>
      </c>
      <c r="AG2962" s="1" t="s">
        <v>124</v>
      </c>
      <c r="AH2962" s="1" t="s">
        <v>13553</v>
      </c>
      <c r="AI2962" s="1" t="s">
        <v>1152</v>
      </c>
      <c r="AJ2962" s="1" t="s">
        <v>13551</v>
      </c>
      <c r="AK2962" s="1" t="s">
        <v>1152</v>
      </c>
      <c r="AL2962" s="6"/>
      <c r="AM2962" s="12">
        <v>9.174146443E9</v>
      </c>
    </row>
    <row r="2963">
      <c r="A2963" s="5" t="s">
        <v>13554</v>
      </c>
      <c r="B2963" s="1" t="s">
        <v>13555</v>
      </c>
      <c r="C2963" s="1" t="s">
        <v>13556</v>
      </c>
      <c r="D2963" s="2">
        <v>3.145561564E9</v>
      </c>
      <c r="E2963" s="1" t="s">
        <v>5784</v>
      </c>
      <c r="F2963" s="1"/>
      <c r="G2963" s="1" t="s">
        <v>2350</v>
      </c>
      <c r="H2963" s="1" t="s">
        <v>1155</v>
      </c>
      <c r="I2963" s="1">
        <v>63105.0</v>
      </c>
      <c r="J2963" s="1" t="s">
        <v>752</v>
      </c>
      <c r="K2963" s="1" t="s">
        <v>2131</v>
      </c>
      <c r="L2963" s="1" t="s">
        <v>5767</v>
      </c>
      <c r="M2963" s="1">
        <v>1.0</v>
      </c>
      <c r="N2963" s="1" t="s">
        <v>1152</v>
      </c>
      <c r="O2963" s="3" t="s">
        <v>2265</v>
      </c>
      <c r="P2963" s="1" t="s">
        <v>1152</v>
      </c>
      <c r="Q2963" s="1" t="s">
        <v>1152</v>
      </c>
      <c r="R2963" s="1"/>
      <c r="S2963" s="1"/>
      <c r="T2963" s="1" t="s">
        <v>1152</v>
      </c>
      <c r="U2963" s="1" t="s">
        <v>1324</v>
      </c>
      <c r="V2963" s="4" t="s">
        <v>2265</v>
      </c>
      <c r="W2963" s="1"/>
      <c r="X2963" s="1" t="s">
        <v>1152</v>
      </c>
      <c r="Y2963" s="1" t="s">
        <v>1152</v>
      </c>
      <c r="Z2963" s="1"/>
      <c r="AA2963" s="1"/>
      <c r="AB2963" s="1"/>
      <c r="AC2963" s="1" t="s">
        <v>1925</v>
      </c>
      <c r="AD2963" s="1"/>
      <c r="AE2963" s="18">
        <v>46150.0</v>
      </c>
      <c r="AF2963" s="1"/>
      <c r="AG2963" s="1"/>
      <c r="AH2963" s="1" t="s">
        <v>1152</v>
      </c>
      <c r="AI2963" s="1" t="s">
        <v>1152</v>
      </c>
      <c r="AJ2963" s="1" t="s">
        <v>5784</v>
      </c>
      <c r="AK2963" s="1" t="s">
        <v>1152</v>
      </c>
      <c r="AL2963" s="6"/>
      <c r="AM2963" s="12">
        <v>3.145561564E9</v>
      </c>
    </row>
    <row r="2964">
      <c r="A2964" s="5" t="s">
        <v>13557</v>
      </c>
      <c r="B2964" s="1" t="s">
        <v>13558</v>
      </c>
      <c r="C2964" s="1" t="s">
        <v>13559</v>
      </c>
      <c r="D2964" s="2">
        <v>8.609603741E9</v>
      </c>
      <c r="E2964" s="1" t="s">
        <v>13560</v>
      </c>
      <c r="F2964" s="1"/>
      <c r="G2964" s="1" t="s">
        <v>13561</v>
      </c>
      <c r="H2964" s="1" t="s">
        <v>1078</v>
      </c>
      <c r="I2964" s="1">
        <v>6117.0</v>
      </c>
      <c r="J2964" s="1" t="s">
        <v>752</v>
      </c>
      <c r="K2964" s="1" t="s">
        <v>2131</v>
      </c>
      <c r="L2964" s="1" t="s">
        <v>5767</v>
      </c>
      <c r="M2964" s="1">
        <v>1.0</v>
      </c>
      <c r="N2964" s="1" t="s">
        <v>1152</v>
      </c>
      <c r="O2964" s="3" t="s">
        <v>233</v>
      </c>
      <c r="P2964" s="1" t="s">
        <v>1152</v>
      </c>
      <c r="Q2964" s="1" t="s">
        <v>1152</v>
      </c>
      <c r="R2964" s="1"/>
      <c r="S2964" s="1"/>
      <c r="T2964" s="1" t="s">
        <v>1152</v>
      </c>
      <c r="U2964" s="1" t="s">
        <v>1080</v>
      </c>
      <c r="V2964" s="4" t="s">
        <v>233</v>
      </c>
      <c r="W2964" s="1"/>
      <c r="X2964" s="1" t="s">
        <v>1152</v>
      </c>
      <c r="Y2964" s="1" t="s">
        <v>1152</v>
      </c>
      <c r="Z2964" s="1"/>
      <c r="AA2964" s="1"/>
      <c r="AB2964" s="1"/>
      <c r="AC2964" s="1" t="s">
        <v>1925</v>
      </c>
      <c r="AD2964" s="1"/>
      <c r="AE2964" s="18">
        <v>46150.0</v>
      </c>
      <c r="AF2964" s="1"/>
      <c r="AG2964" s="1"/>
      <c r="AH2964" s="1" t="s">
        <v>1152</v>
      </c>
      <c r="AI2964" s="1" t="s">
        <v>1152</v>
      </c>
      <c r="AJ2964" s="1" t="s">
        <v>9458</v>
      </c>
      <c r="AK2964" s="1" t="s">
        <v>1152</v>
      </c>
      <c r="AL2964" s="6"/>
      <c r="AM2964" s="12">
        <v>2.143155545E9</v>
      </c>
    </row>
    <row r="2965">
      <c r="A2965" s="5" t="s">
        <v>13562</v>
      </c>
      <c r="B2965" s="1" t="s">
        <v>13563</v>
      </c>
      <c r="C2965" s="1" t="s">
        <v>13564</v>
      </c>
      <c r="D2965" s="2">
        <v>7.132993682E9</v>
      </c>
      <c r="E2965" s="1" t="s">
        <v>13565</v>
      </c>
      <c r="F2965" s="1"/>
      <c r="G2965" s="1" t="s">
        <v>1609</v>
      </c>
      <c r="H2965" s="1" t="s">
        <v>1583</v>
      </c>
      <c r="I2965" s="1">
        <v>77027.0</v>
      </c>
      <c r="J2965" s="1" t="s">
        <v>752</v>
      </c>
      <c r="K2965" s="1" t="s">
        <v>2131</v>
      </c>
      <c r="L2965" s="1" t="s">
        <v>5767</v>
      </c>
      <c r="M2965" s="1">
        <v>1.0</v>
      </c>
      <c r="N2965" s="1" t="s">
        <v>1152</v>
      </c>
      <c r="O2965" s="3" t="s">
        <v>5257</v>
      </c>
      <c r="P2965" s="1" t="s">
        <v>1152</v>
      </c>
      <c r="Q2965" s="1" t="s">
        <v>1152</v>
      </c>
      <c r="R2965" s="1"/>
      <c r="S2965" s="1"/>
      <c r="T2965" s="1" t="s">
        <v>1152</v>
      </c>
      <c r="U2965" s="1" t="s">
        <v>1039</v>
      </c>
      <c r="V2965" s="4" t="s">
        <v>5257</v>
      </c>
      <c r="W2965" s="1"/>
      <c r="X2965" s="1" t="s">
        <v>1152</v>
      </c>
      <c r="Y2965" s="1" t="s">
        <v>1152</v>
      </c>
      <c r="Z2965" s="1"/>
      <c r="AA2965" s="1"/>
      <c r="AB2965" s="1"/>
      <c r="AC2965" s="1" t="s">
        <v>1925</v>
      </c>
      <c r="AD2965" s="1"/>
      <c r="AE2965" s="18">
        <v>46150.0</v>
      </c>
      <c r="AF2965" s="1"/>
      <c r="AG2965" s="1"/>
      <c r="AH2965" s="1" t="s">
        <v>1152</v>
      </c>
      <c r="AI2965" s="1" t="s">
        <v>1152</v>
      </c>
      <c r="AJ2965" s="1" t="s">
        <v>13565</v>
      </c>
      <c r="AK2965" s="1" t="s">
        <v>1152</v>
      </c>
      <c r="AL2965" s="6"/>
      <c r="AM2965" s="12">
        <v>7.132993682E9</v>
      </c>
    </row>
    <row r="2966">
      <c r="A2966" s="5" t="s">
        <v>13566</v>
      </c>
      <c r="B2966" s="1" t="s">
        <v>13567</v>
      </c>
      <c r="C2966" s="1" t="s">
        <v>13568</v>
      </c>
      <c r="D2966" s="2">
        <v>9.172444789E9</v>
      </c>
      <c r="E2966" s="1" t="s">
        <v>8304</v>
      </c>
      <c r="F2966" s="1"/>
      <c r="G2966" s="1" t="s">
        <v>1131</v>
      </c>
      <c r="H2966" s="1" t="s">
        <v>751</v>
      </c>
      <c r="I2966" s="1">
        <v>10538.0</v>
      </c>
      <c r="J2966" s="1" t="s">
        <v>752</v>
      </c>
      <c r="K2966" s="1" t="s">
        <v>892</v>
      </c>
      <c r="L2966" s="1" t="s">
        <v>8006</v>
      </c>
      <c r="M2966" s="1">
        <v>49.0</v>
      </c>
      <c r="N2966" s="1" t="s">
        <v>1152</v>
      </c>
      <c r="O2966" s="3" t="s">
        <v>8303</v>
      </c>
      <c r="P2966" s="1" t="s">
        <v>1152</v>
      </c>
      <c r="Q2966" s="1" t="s">
        <v>1152</v>
      </c>
      <c r="R2966" s="1"/>
      <c r="S2966" s="1"/>
      <c r="T2966" s="1" t="s">
        <v>1152</v>
      </c>
      <c r="U2966" s="1" t="s">
        <v>1812</v>
      </c>
      <c r="V2966" s="4" t="s">
        <v>8303</v>
      </c>
      <c r="W2966" s="1"/>
      <c r="X2966" s="1" t="s">
        <v>1152</v>
      </c>
      <c r="Y2966" s="1" t="s">
        <v>1152</v>
      </c>
      <c r="Z2966" s="1"/>
      <c r="AA2966" s="1"/>
      <c r="AB2966" s="1"/>
      <c r="AC2966" s="1" t="s">
        <v>1925</v>
      </c>
      <c r="AD2966" s="1"/>
      <c r="AE2966" s="18">
        <v>46156.0</v>
      </c>
      <c r="AF2966" s="1" t="s">
        <v>1030</v>
      </c>
      <c r="AG2966" s="1" t="s">
        <v>52</v>
      </c>
      <c r="AH2966" s="1" t="s">
        <v>13569</v>
      </c>
      <c r="AI2966" s="1" t="s">
        <v>1152</v>
      </c>
      <c r="AJ2966" s="1" t="s">
        <v>8683</v>
      </c>
      <c r="AK2966" s="1" t="s">
        <v>1152</v>
      </c>
      <c r="AL2966" s="6"/>
      <c r="AM2966" s="12">
        <v>9.172444789E9</v>
      </c>
    </row>
    <row r="2967">
      <c r="A2967" s="5" t="s">
        <v>13570</v>
      </c>
      <c r="B2967" s="1" t="s">
        <v>13571</v>
      </c>
      <c r="C2967" s="1" t="s">
        <v>6072</v>
      </c>
      <c r="D2967" s="2">
        <v>2.486729306E9</v>
      </c>
      <c r="E2967" s="1" t="s">
        <v>6073</v>
      </c>
      <c r="F2967" s="1"/>
      <c r="G2967" s="1" t="s">
        <v>1085</v>
      </c>
      <c r="H2967" s="1" t="s">
        <v>1691</v>
      </c>
      <c r="I2967" s="1">
        <v>48009.0</v>
      </c>
      <c r="J2967" s="1" t="s">
        <v>752</v>
      </c>
      <c r="K2967" s="1" t="s">
        <v>2131</v>
      </c>
      <c r="L2967" s="1" t="s">
        <v>5811</v>
      </c>
      <c r="M2967" s="1">
        <v>1.0</v>
      </c>
      <c r="N2967" s="1" t="s">
        <v>1152</v>
      </c>
      <c r="O2967" s="3" t="s">
        <v>5713</v>
      </c>
      <c r="P2967" s="1" t="s">
        <v>1152</v>
      </c>
      <c r="Q2967" s="1" t="s">
        <v>1152</v>
      </c>
      <c r="R2967" s="1"/>
      <c r="S2967" s="1"/>
      <c r="T2967" s="1" t="s">
        <v>1152</v>
      </c>
      <c r="U2967" s="1" t="s">
        <v>1441</v>
      </c>
      <c r="V2967" s="4" t="s">
        <v>5713</v>
      </c>
      <c r="W2967" s="1"/>
      <c r="X2967" s="1" t="s">
        <v>1152</v>
      </c>
      <c r="Y2967" s="1" t="s">
        <v>1152</v>
      </c>
      <c r="Z2967" s="1"/>
      <c r="AA2967" s="1"/>
      <c r="AB2967" s="1"/>
      <c r="AC2967" s="1" t="s">
        <v>1925</v>
      </c>
      <c r="AD2967" s="1"/>
      <c r="AE2967" s="18">
        <v>46150.0</v>
      </c>
      <c r="AF2967" s="1"/>
      <c r="AG2967" s="1"/>
      <c r="AH2967" s="1" t="s">
        <v>1152</v>
      </c>
      <c r="AI2967" s="1" t="s">
        <v>1152</v>
      </c>
      <c r="AJ2967" s="1" t="s">
        <v>6073</v>
      </c>
      <c r="AK2967" s="1" t="s">
        <v>1152</v>
      </c>
      <c r="AL2967" s="6"/>
      <c r="AM2967" s="12">
        <v>2.486729306E9</v>
      </c>
    </row>
    <row r="2968">
      <c r="A2968" s="5" t="s">
        <v>13572</v>
      </c>
      <c r="B2968" s="1" t="s">
        <v>13573</v>
      </c>
      <c r="C2968" s="1" t="s">
        <v>13574</v>
      </c>
      <c r="D2968" s="2">
        <v>8.056375739E9</v>
      </c>
      <c r="E2968" s="1" t="s">
        <v>237</v>
      </c>
      <c r="F2968" s="1"/>
      <c r="G2968" s="1" t="s">
        <v>1283</v>
      </c>
      <c r="H2968" s="1" t="s">
        <v>1155</v>
      </c>
      <c r="I2968" s="1">
        <v>63130.0</v>
      </c>
      <c r="J2968" s="1" t="s">
        <v>752</v>
      </c>
      <c r="K2968" s="1" t="s">
        <v>42</v>
      </c>
      <c r="L2968" s="1" t="s">
        <v>6819</v>
      </c>
      <c r="M2968" s="1">
        <v>49.0</v>
      </c>
      <c r="N2968" s="1" t="s">
        <v>1152</v>
      </c>
      <c r="O2968" s="3" t="s">
        <v>2710</v>
      </c>
      <c r="P2968" s="1" t="s">
        <v>1152</v>
      </c>
      <c r="Q2968" s="1" t="s">
        <v>1152</v>
      </c>
      <c r="R2968" s="1"/>
      <c r="S2968" s="1"/>
      <c r="T2968" s="1" t="s">
        <v>1152</v>
      </c>
      <c r="U2968" s="1" t="s">
        <v>11180</v>
      </c>
      <c r="V2968" s="4" t="s">
        <v>2710</v>
      </c>
      <c r="W2968" s="1"/>
      <c r="X2968" s="1" t="s">
        <v>1152</v>
      </c>
      <c r="Y2968" s="1" t="s">
        <v>1152</v>
      </c>
      <c r="Z2968" s="1"/>
      <c r="AA2968" s="1"/>
      <c r="AB2968" s="1"/>
      <c r="AC2968" s="1" t="s">
        <v>1925</v>
      </c>
      <c r="AD2968" s="1"/>
      <c r="AE2968" s="18">
        <v>46150.0</v>
      </c>
      <c r="AF2968" s="1" t="s">
        <v>1630</v>
      </c>
      <c r="AG2968" s="1" t="s">
        <v>52</v>
      </c>
      <c r="AH2968" s="1" t="s">
        <v>1152</v>
      </c>
      <c r="AI2968" s="1" t="s">
        <v>1152</v>
      </c>
      <c r="AJ2968" s="1" t="s">
        <v>237</v>
      </c>
      <c r="AK2968" s="1" t="s">
        <v>1152</v>
      </c>
      <c r="AL2968" s="6"/>
      <c r="AM2968" s="12">
        <v>8.056375739E9</v>
      </c>
    </row>
    <row r="2969">
      <c r="A2969" s="5" t="s">
        <v>13575</v>
      </c>
      <c r="B2969" s="1" t="s">
        <v>13576</v>
      </c>
      <c r="C2969" s="1" t="s">
        <v>13577</v>
      </c>
      <c r="D2969" s="2" t="s">
        <v>13578</v>
      </c>
      <c r="E2969" s="1" t="s">
        <v>13579</v>
      </c>
      <c r="F2969" s="1" t="s">
        <v>13580</v>
      </c>
      <c r="G2969" s="1" t="s">
        <v>751</v>
      </c>
      <c r="H2969" s="1" t="s">
        <v>751</v>
      </c>
      <c r="I2969" s="1">
        <v>10128.0</v>
      </c>
      <c r="J2969" s="1" t="s">
        <v>752</v>
      </c>
      <c r="K2969" s="1" t="s">
        <v>892</v>
      </c>
      <c r="L2969" s="1" t="s">
        <v>8006</v>
      </c>
      <c r="M2969" s="1">
        <v>49.0</v>
      </c>
      <c r="N2969" s="1" t="s">
        <v>1152</v>
      </c>
      <c r="O2969" s="3"/>
      <c r="P2969" s="1" t="s">
        <v>1152</v>
      </c>
      <c r="Q2969" s="1" t="s">
        <v>1152</v>
      </c>
      <c r="R2969" s="1" t="s">
        <v>13580</v>
      </c>
      <c r="S2969" s="1"/>
      <c r="T2969" s="1" t="s">
        <v>1152</v>
      </c>
      <c r="U2969" s="1"/>
      <c r="V2969" s="4"/>
      <c r="W2969" s="1" t="s">
        <v>13580</v>
      </c>
      <c r="X2969" s="1" t="s">
        <v>1152</v>
      </c>
      <c r="Y2969" s="1" t="s">
        <v>1152</v>
      </c>
      <c r="Z2969" s="1"/>
      <c r="AA2969" s="1" t="s">
        <v>13580</v>
      </c>
      <c r="AB2969" s="1"/>
      <c r="AC2969" s="1" t="s">
        <v>1925</v>
      </c>
      <c r="AD2969" s="1"/>
      <c r="AE2969" s="18">
        <v>46159.0</v>
      </c>
      <c r="AF2969" s="1" t="s">
        <v>1103</v>
      </c>
      <c r="AG2969" s="1" t="s">
        <v>124</v>
      </c>
      <c r="AH2969" s="1" t="s">
        <v>13581</v>
      </c>
      <c r="AI2969" s="1" t="s">
        <v>1152</v>
      </c>
      <c r="AJ2969" s="1" t="s">
        <v>13579</v>
      </c>
      <c r="AK2969" s="1" t="s">
        <v>1152</v>
      </c>
      <c r="AL2969" s="6"/>
      <c r="AM2969" s="12">
        <v>9.173741978E9</v>
      </c>
    </row>
    <row r="2970">
      <c r="A2970" s="5" t="s">
        <v>13582</v>
      </c>
      <c r="B2970" s="1" t="s">
        <v>13583</v>
      </c>
      <c r="C2970" s="1" t="s">
        <v>13584</v>
      </c>
      <c r="D2970" s="2">
        <v>7.044181011E9</v>
      </c>
      <c r="E2970" s="1" t="s">
        <v>840</v>
      </c>
      <c r="F2970" s="1"/>
      <c r="G2970" s="1" t="s">
        <v>1437</v>
      </c>
      <c r="H2970" s="1" t="s">
        <v>1438</v>
      </c>
      <c r="I2970" s="1">
        <v>28150.0</v>
      </c>
      <c r="J2970" s="1" t="s">
        <v>752</v>
      </c>
      <c r="K2970" s="1" t="s">
        <v>2131</v>
      </c>
      <c r="L2970" s="1" t="s">
        <v>5811</v>
      </c>
      <c r="M2970" s="1">
        <v>1.0</v>
      </c>
      <c r="N2970" s="1" t="s">
        <v>1152</v>
      </c>
      <c r="O2970" s="3" t="s">
        <v>13585</v>
      </c>
      <c r="P2970" s="1" t="s">
        <v>1152</v>
      </c>
      <c r="Q2970" s="1" t="s">
        <v>1152</v>
      </c>
      <c r="R2970" s="1"/>
      <c r="S2970" s="1"/>
      <c r="T2970" s="1" t="s">
        <v>1152</v>
      </c>
      <c r="U2970" s="1" t="s">
        <v>1441</v>
      </c>
      <c r="V2970" s="4" t="s">
        <v>13585</v>
      </c>
      <c r="W2970" s="1"/>
      <c r="X2970" s="1" t="s">
        <v>1152</v>
      </c>
      <c r="Y2970" s="1" t="s">
        <v>1152</v>
      </c>
      <c r="Z2970" s="1"/>
      <c r="AA2970" s="1"/>
      <c r="AB2970" s="1"/>
      <c r="AC2970" s="1" t="s">
        <v>1925</v>
      </c>
      <c r="AD2970" s="1"/>
      <c r="AE2970" s="18">
        <v>46150.0</v>
      </c>
      <c r="AF2970" s="1"/>
      <c r="AG2970" s="1"/>
      <c r="AH2970" s="1" t="s">
        <v>1152</v>
      </c>
      <c r="AI2970" s="1" t="s">
        <v>1152</v>
      </c>
      <c r="AJ2970" s="1" t="s">
        <v>840</v>
      </c>
      <c r="AK2970" s="1" t="s">
        <v>1152</v>
      </c>
      <c r="AL2970" s="6"/>
      <c r="AM2970" s="12" t="s">
        <v>13586</v>
      </c>
    </row>
    <row r="2971">
      <c r="A2971" s="5" t="s">
        <v>13587</v>
      </c>
      <c r="B2971" s="1" t="s">
        <v>13588</v>
      </c>
      <c r="C2971" s="1" t="s">
        <v>919</v>
      </c>
      <c r="D2971" s="2">
        <v>6.178932403E9</v>
      </c>
      <c r="E2971" s="1" t="s">
        <v>11017</v>
      </c>
      <c r="F2971" s="1"/>
      <c r="G2971" s="1" t="s">
        <v>13589</v>
      </c>
      <c r="H2971" s="1" t="s">
        <v>1121</v>
      </c>
      <c r="I2971" s="1">
        <v>2465.0</v>
      </c>
      <c r="J2971" s="1" t="s">
        <v>752</v>
      </c>
      <c r="K2971" s="1" t="s">
        <v>2131</v>
      </c>
      <c r="L2971" s="1" t="s">
        <v>5767</v>
      </c>
      <c r="M2971" s="1">
        <v>1.0</v>
      </c>
      <c r="N2971" s="1" t="s">
        <v>1152</v>
      </c>
      <c r="O2971" s="3" t="s">
        <v>921</v>
      </c>
      <c r="P2971" s="1" t="s">
        <v>1152</v>
      </c>
      <c r="Q2971" s="1" t="s">
        <v>1152</v>
      </c>
      <c r="R2971" s="1"/>
      <c r="S2971" s="1"/>
      <c r="T2971" s="1" t="s">
        <v>1152</v>
      </c>
      <c r="U2971" s="1" t="s">
        <v>1324</v>
      </c>
      <c r="V2971" s="4" t="s">
        <v>921</v>
      </c>
      <c r="W2971" s="1"/>
      <c r="X2971" s="1" t="s">
        <v>1152</v>
      </c>
      <c r="Y2971" s="1" t="s">
        <v>1152</v>
      </c>
      <c r="Z2971" s="1"/>
      <c r="AA2971" s="1"/>
      <c r="AB2971" s="1"/>
      <c r="AC2971" s="1" t="s">
        <v>1925</v>
      </c>
      <c r="AD2971" s="1"/>
      <c r="AE2971" s="18">
        <v>46150.0</v>
      </c>
      <c r="AF2971" s="1"/>
      <c r="AG2971" s="1"/>
      <c r="AH2971" s="1" t="s">
        <v>1152</v>
      </c>
      <c r="AI2971" s="1" t="s">
        <v>1152</v>
      </c>
      <c r="AJ2971" s="1" t="s">
        <v>11017</v>
      </c>
      <c r="AK2971" s="1" t="s">
        <v>1152</v>
      </c>
      <c r="AL2971" s="6"/>
      <c r="AM2971" s="12" t="s">
        <v>13590</v>
      </c>
    </row>
    <row r="2972">
      <c r="A2972" s="5" t="s">
        <v>13591</v>
      </c>
      <c r="B2972" s="1" t="s">
        <v>13592</v>
      </c>
      <c r="C2972" s="1" t="s">
        <v>13593</v>
      </c>
      <c r="D2972" s="2">
        <v>3.146656647E9</v>
      </c>
      <c r="E2972" s="1" t="s">
        <v>7892</v>
      </c>
      <c r="F2972" s="1"/>
      <c r="G2972" s="1" t="s">
        <v>2350</v>
      </c>
      <c r="H2972" s="1" t="s">
        <v>1155</v>
      </c>
      <c r="I2972" s="1">
        <v>63130.0</v>
      </c>
      <c r="J2972" s="1" t="s">
        <v>752</v>
      </c>
      <c r="K2972" s="1" t="s">
        <v>2131</v>
      </c>
      <c r="L2972" s="1" t="s">
        <v>5767</v>
      </c>
      <c r="M2972" s="1">
        <v>1.0</v>
      </c>
      <c r="N2972" s="1" t="s">
        <v>1152</v>
      </c>
      <c r="O2972" s="3" t="s">
        <v>13594</v>
      </c>
      <c r="P2972" s="1" t="s">
        <v>1152</v>
      </c>
      <c r="Q2972" s="1" t="s">
        <v>1152</v>
      </c>
      <c r="R2972" s="1"/>
      <c r="S2972" s="1"/>
      <c r="T2972" s="1" t="s">
        <v>1152</v>
      </c>
      <c r="U2972" s="1" t="s">
        <v>1021</v>
      </c>
      <c r="V2972" s="4" t="s">
        <v>13594</v>
      </c>
      <c r="W2972" s="1"/>
      <c r="X2972" s="1" t="s">
        <v>1152</v>
      </c>
      <c r="Y2972" s="1" t="s">
        <v>1152</v>
      </c>
      <c r="Z2972" s="1"/>
      <c r="AA2972" s="1"/>
      <c r="AB2972" s="1"/>
      <c r="AC2972" s="1" t="s">
        <v>1925</v>
      </c>
      <c r="AD2972" s="1"/>
      <c r="AE2972" s="18">
        <v>46150.0</v>
      </c>
      <c r="AF2972" s="1"/>
      <c r="AG2972" s="1"/>
      <c r="AH2972" s="1" t="s">
        <v>1152</v>
      </c>
      <c r="AI2972" s="1" t="s">
        <v>1152</v>
      </c>
      <c r="AJ2972" s="1" t="s">
        <v>7892</v>
      </c>
      <c r="AK2972" s="1" t="s">
        <v>1152</v>
      </c>
      <c r="AL2972" s="6"/>
      <c r="AM2972" s="12">
        <v>3.146656647E9</v>
      </c>
    </row>
    <row r="2973">
      <c r="A2973" s="5" t="s">
        <v>13595</v>
      </c>
      <c r="B2973" s="1" t="s">
        <v>13596</v>
      </c>
      <c r="C2973" s="1" t="s">
        <v>13597</v>
      </c>
      <c r="D2973" s="2">
        <v>6.692044959E9</v>
      </c>
      <c r="E2973" s="1" t="s">
        <v>11828</v>
      </c>
      <c r="F2973" s="1"/>
      <c r="G2973" s="1" t="s">
        <v>2350</v>
      </c>
      <c r="H2973" s="1" t="s">
        <v>1155</v>
      </c>
      <c r="I2973" s="1">
        <v>63105.0</v>
      </c>
      <c r="J2973" s="1" t="s">
        <v>752</v>
      </c>
      <c r="K2973" s="1" t="s">
        <v>2131</v>
      </c>
      <c r="L2973" s="1" t="s">
        <v>5767</v>
      </c>
      <c r="M2973" s="1">
        <v>1.0</v>
      </c>
      <c r="N2973" s="1" t="s">
        <v>1152</v>
      </c>
      <c r="O2973" s="3" t="s">
        <v>9102</v>
      </c>
      <c r="P2973" s="1" t="s">
        <v>1152</v>
      </c>
      <c r="Q2973" s="1" t="s">
        <v>1152</v>
      </c>
      <c r="R2973" s="1"/>
      <c r="S2973" s="1"/>
      <c r="T2973" s="1" t="s">
        <v>1152</v>
      </c>
      <c r="U2973" s="1" t="s">
        <v>1174</v>
      </c>
      <c r="V2973" s="4" t="s">
        <v>9102</v>
      </c>
      <c r="W2973" s="1"/>
      <c r="X2973" s="1" t="s">
        <v>1152</v>
      </c>
      <c r="Y2973" s="1" t="s">
        <v>1152</v>
      </c>
      <c r="Z2973" s="1"/>
      <c r="AA2973" s="1"/>
      <c r="AB2973" s="1"/>
      <c r="AC2973" s="1" t="s">
        <v>1925</v>
      </c>
      <c r="AD2973" s="1"/>
      <c r="AE2973" s="18">
        <v>46150.0</v>
      </c>
      <c r="AF2973" s="1"/>
      <c r="AG2973" s="1"/>
      <c r="AH2973" s="1" t="s">
        <v>1152</v>
      </c>
      <c r="AI2973" s="1" t="s">
        <v>1152</v>
      </c>
      <c r="AJ2973" s="1" t="s">
        <v>11828</v>
      </c>
      <c r="AK2973" s="1" t="s">
        <v>1152</v>
      </c>
      <c r="AL2973" s="6"/>
      <c r="AM2973" s="12">
        <v>6.692044959E9</v>
      </c>
    </row>
    <row r="2974">
      <c r="A2974" s="5" t="s">
        <v>13598</v>
      </c>
      <c r="B2974" s="1" t="s">
        <v>13599</v>
      </c>
      <c r="C2974" s="1" t="s">
        <v>13600</v>
      </c>
      <c r="D2974" s="2">
        <v>2.037257546E9</v>
      </c>
      <c r="E2974" s="1" t="s">
        <v>13601</v>
      </c>
      <c r="F2974" s="1"/>
      <c r="G2974" s="1" t="s">
        <v>13602</v>
      </c>
      <c r="H2974" s="1" t="s">
        <v>1078</v>
      </c>
      <c r="I2974" s="1">
        <v>6708.0</v>
      </c>
      <c r="J2974" s="1" t="s">
        <v>752</v>
      </c>
      <c r="K2974" s="1" t="s">
        <v>42</v>
      </c>
      <c r="L2974" s="1" t="s">
        <v>7863</v>
      </c>
      <c r="M2974" s="1">
        <v>79.0</v>
      </c>
      <c r="N2974" s="1" t="s">
        <v>1152</v>
      </c>
      <c r="O2974" s="3" t="s">
        <v>13603</v>
      </c>
      <c r="P2974" s="1" t="s">
        <v>1152</v>
      </c>
      <c r="Q2974" s="1" t="s">
        <v>1152</v>
      </c>
      <c r="R2974" s="1"/>
      <c r="S2974" s="1"/>
      <c r="T2974" s="1" t="s">
        <v>1152</v>
      </c>
      <c r="U2974" s="1" t="s">
        <v>1794</v>
      </c>
      <c r="V2974" s="4" t="s">
        <v>13603</v>
      </c>
      <c r="W2974" s="1"/>
      <c r="X2974" s="1" t="s">
        <v>1152</v>
      </c>
      <c r="Y2974" s="1" t="s">
        <v>1152</v>
      </c>
      <c r="Z2974" s="1"/>
      <c r="AA2974" s="1"/>
      <c r="AB2974" s="1"/>
      <c r="AC2974" s="1" t="s">
        <v>1925</v>
      </c>
      <c r="AD2974" s="1"/>
      <c r="AE2974" s="18">
        <v>46150.0</v>
      </c>
      <c r="AF2974" s="1" t="s">
        <v>1030</v>
      </c>
      <c r="AG2974" s="1" t="s">
        <v>52</v>
      </c>
      <c r="AH2974" s="1" t="s">
        <v>1152</v>
      </c>
      <c r="AI2974" s="1" t="s">
        <v>1152</v>
      </c>
      <c r="AJ2974" s="1" t="s">
        <v>13604</v>
      </c>
      <c r="AK2974" s="1" t="s">
        <v>1152</v>
      </c>
      <c r="AL2974" s="6"/>
      <c r="AM2974" s="12" t="s">
        <v>13605</v>
      </c>
    </row>
    <row r="2975">
      <c r="A2975" s="5" t="s">
        <v>13606</v>
      </c>
      <c r="B2975" s="1" t="s">
        <v>13607</v>
      </c>
      <c r="C2975" s="1" t="s">
        <v>13608</v>
      </c>
      <c r="D2975" s="2">
        <v>9.173315789E9</v>
      </c>
      <c r="E2975" s="1" t="s">
        <v>13609</v>
      </c>
      <c r="F2975" s="1"/>
      <c r="G2975" s="1" t="s">
        <v>751</v>
      </c>
      <c r="H2975" s="1" t="s">
        <v>751</v>
      </c>
      <c r="I2975" s="1">
        <v>10021.0</v>
      </c>
      <c r="J2975" s="1" t="s">
        <v>752</v>
      </c>
      <c r="K2975" s="1" t="s">
        <v>75</v>
      </c>
      <c r="L2975" s="1" t="s">
        <v>8733</v>
      </c>
      <c r="M2975" s="1">
        <v>49.0</v>
      </c>
      <c r="N2975" s="1" t="s">
        <v>2461</v>
      </c>
      <c r="O2975" s="3" t="s">
        <v>13610</v>
      </c>
      <c r="P2975" s="18">
        <v>46248.0</v>
      </c>
      <c r="Q2975" s="1" t="s">
        <v>1152</v>
      </c>
      <c r="R2975" s="1"/>
      <c r="S2975" s="1" t="s">
        <v>52</v>
      </c>
      <c r="T2975" s="1" t="s">
        <v>2461</v>
      </c>
      <c r="U2975" s="1" t="s">
        <v>1794</v>
      </c>
      <c r="V2975" s="4" t="s">
        <v>13610</v>
      </c>
      <c r="W2975" s="1"/>
      <c r="X2975" s="18">
        <v>46248.0</v>
      </c>
      <c r="Y2975" s="1" t="s">
        <v>1152</v>
      </c>
      <c r="Z2975" s="1"/>
      <c r="AA2975" s="1"/>
      <c r="AB2975" s="1" t="s">
        <v>52</v>
      </c>
      <c r="AC2975" s="1" t="s">
        <v>1925</v>
      </c>
      <c r="AD2975" s="1" t="s">
        <v>13611</v>
      </c>
      <c r="AE2975" s="1" t="s">
        <v>1152</v>
      </c>
      <c r="AF2975" s="1"/>
      <c r="AG2975" s="1"/>
      <c r="AH2975" s="1" t="s">
        <v>1152</v>
      </c>
      <c r="AI2975" s="1" t="s">
        <v>1152</v>
      </c>
      <c r="AJ2975" s="1" t="s">
        <v>9715</v>
      </c>
      <c r="AK2975" s="1" t="s">
        <v>1152</v>
      </c>
      <c r="AL2975" s="6"/>
      <c r="AM2975" s="12">
        <v>9.173317745E9</v>
      </c>
    </row>
    <row r="2976">
      <c r="A2976" s="5" t="s">
        <v>13612</v>
      </c>
      <c r="B2976" s="1" t="s">
        <v>13613</v>
      </c>
      <c r="C2976" s="1" t="s">
        <v>7065</v>
      </c>
      <c r="D2976" s="2">
        <v>6.197401313E9</v>
      </c>
      <c r="E2976" s="1" t="s">
        <v>7066</v>
      </c>
      <c r="F2976" s="1"/>
      <c r="G2976" s="1" t="s">
        <v>2417</v>
      </c>
      <c r="H2976" s="1" t="s">
        <v>989</v>
      </c>
      <c r="I2976" s="1">
        <v>92110.0</v>
      </c>
      <c r="J2976" s="1" t="s">
        <v>752</v>
      </c>
      <c r="K2976" s="1" t="s">
        <v>2131</v>
      </c>
      <c r="L2976" s="1" t="s">
        <v>5767</v>
      </c>
      <c r="M2976" s="1">
        <v>1.0</v>
      </c>
      <c r="N2976" s="1" t="s">
        <v>1152</v>
      </c>
      <c r="O2976" s="3" t="s">
        <v>6554</v>
      </c>
      <c r="P2976" s="1" t="s">
        <v>1152</v>
      </c>
      <c r="Q2976" s="1" t="s">
        <v>1152</v>
      </c>
      <c r="R2976" s="1"/>
      <c r="S2976" s="1"/>
      <c r="T2976" s="1" t="s">
        <v>1152</v>
      </c>
      <c r="U2976" s="1" t="s">
        <v>1324</v>
      </c>
      <c r="V2976" s="4" t="s">
        <v>6554</v>
      </c>
      <c r="W2976" s="1"/>
      <c r="X2976" s="1" t="s">
        <v>1152</v>
      </c>
      <c r="Y2976" s="1" t="s">
        <v>1152</v>
      </c>
      <c r="Z2976" s="1"/>
      <c r="AA2976" s="1"/>
      <c r="AB2976" s="1"/>
      <c r="AC2976" s="1" t="s">
        <v>1925</v>
      </c>
      <c r="AD2976" s="1"/>
      <c r="AE2976" s="18">
        <v>46150.0</v>
      </c>
      <c r="AF2976" s="1"/>
      <c r="AG2976" s="1"/>
      <c r="AH2976" s="1" t="s">
        <v>1152</v>
      </c>
      <c r="AI2976" s="1" t="s">
        <v>1152</v>
      </c>
      <c r="AJ2976" s="1" t="s">
        <v>7066</v>
      </c>
      <c r="AK2976" s="1" t="s">
        <v>1152</v>
      </c>
      <c r="AL2976" s="6"/>
      <c r="AM2976" s="12">
        <v>6.197401313E9</v>
      </c>
    </row>
    <row r="2977">
      <c r="A2977" s="5" t="s">
        <v>13614</v>
      </c>
      <c r="B2977" s="1" t="s">
        <v>13615</v>
      </c>
      <c r="C2977" s="1" t="s">
        <v>1000</v>
      </c>
      <c r="D2977" s="2">
        <v>2.406201906E9</v>
      </c>
      <c r="E2977" s="1" t="s">
        <v>1002</v>
      </c>
      <c r="F2977" s="1"/>
      <c r="G2977" s="1" t="s">
        <v>5624</v>
      </c>
      <c r="H2977" s="1" t="s">
        <v>1005</v>
      </c>
      <c r="I2977" s="1">
        <v>20895.0</v>
      </c>
      <c r="J2977" s="1" t="s">
        <v>752</v>
      </c>
      <c r="K2977" s="1" t="s">
        <v>2131</v>
      </c>
      <c r="L2977" s="1" t="s">
        <v>6107</v>
      </c>
      <c r="M2977" s="1">
        <v>1.0</v>
      </c>
      <c r="N2977" s="1" t="s">
        <v>1152</v>
      </c>
      <c r="O2977" s="3" t="s">
        <v>422</v>
      </c>
      <c r="P2977" s="1" t="s">
        <v>1152</v>
      </c>
      <c r="Q2977" s="1" t="s">
        <v>1152</v>
      </c>
      <c r="R2977" s="1"/>
      <c r="S2977" s="1"/>
      <c r="T2977" s="1" t="s">
        <v>1152</v>
      </c>
      <c r="U2977" s="1" t="s">
        <v>1148</v>
      </c>
      <c r="V2977" s="4" t="s">
        <v>422</v>
      </c>
      <c r="W2977" s="1"/>
      <c r="X2977" s="1" t="s">
        <v>1152</v>
      </c>
      <c r="Y2977" s="1" t="s">
        <v>1152</v>
      </c>
      <c r="Z2977" s="1"/>
      <c r="AA2977" s="1"/>
      <c r="AB2977" s="1"/>
      <c r="AC2977" s="1" t="s">
        <v>1925</v>
      </c>
      <c r="AD2977" s="1"/>
      <c r="AE2977" s="18">
        <v>46150.0</v>
      </c>
      <c r="AF2977" s="1"/>
      <c r="AG2977" s="1"/>
      <c r="AH2977" s="1" t="s">
        <v>1152</v>
      </c>
      <c r="AI2977" s="1" t="s">
        <v>1152</v>
      </c>
      <c r="AJ2977" s="1" t="s">
        <v>1002</v>
      </c>
      <c r="AK2977" s="1" t="s">
        <v>1152</v>
      </c>
      <c r="AL2977" s="6"/>
      <c r="AM2977" s="12">
        <v>2.406201906E9</v>
      </c>
    </row>
    <row r="2978">
      <c r="A2978" s="5" t="s">
        <v>13616</v>
      </c>
      <c r="B2978" s="1" t="s">
        <v>13617</v>
      </c>
      <c r="C2978" s="1" t="s">
        <v>13618</v>
      </c>
      <c r="D2978" s="2">
        <v>1.8063493688E10</v>
      </c>
      <c r="E2978" s="1" t="s">
        <v>3358</v>
      </c>
      <c r="F2978" s="1" t="s">
        <v>13619</v>
      </c>
      <c r="G2978" s="1" t="s">
        <v>2797</v>
      </c>
      <c r="H2978" s="1" t="s">
        <v>1583</v>
      </c>
      <c r="I2978" s="1">
        <v>79124.0</v>
      </c>
      <c r="J2978" s="1" t="s">
        <v>752</v>
      </c>
      <c r="K2978" s="1" t="s">
        <v>42</v>
      </c>
      <c r="L2978" s="1" t="s">
        <v>6819</v>
      </c>
      <c r="M2978" s="1">
        <v>49.0</v>
      </c>
      <c r="N2978" s="1" t="s">
        <v>1152</v>
      </c>
      <c r="O2978" s="3"/>
      <c r="P2978" s="1" t="s">
        <v>1152</v>
      </c>
      <c r="Q2978" s="1" t="s">
        <v>1152</v>
      </c>
      <c r="R2978" s="1" t="s">
        <v>13619</v>
      </c>
      <c r="S2978" s="1"/>
      <c r="T2978" s="1" t="s">
        <v>1152</v>
      </c>
      <c r="U2978" s="1"/>
      <c r="V2978" s="4"/>
      <c r="W2978" s="1" t="s">
        <v>13619</v>
      </c>
      <c r="X2978" s="1" t="s">
        <v>1152</v>
      </c>
      <c r="Y2978" s="1" t="s">
        <v>1152</v>
      </c>
      <c r="Z2978" s="1"/>
      <c r="AA2978" s="1" t="s">
        <v>13619</v>
      </c>
      <c r="AB2978" s="1"/>
      <c r="AC2978" s="1" t="s">
        <v>1925</v>
      </c>
      <c r="AD2978" s="1"/>
      <c r="AE2978" s="18">
        <v>46158.0</v>
      </c>
      <c r="AF2978" s="1" t="s">
        <v>1030</v>
      </c>
      <c r="AG2978" s="1" t="s">
        <v>124</v>
      </c>
      <c r="AH2978" s="1" t="s">
        <v>1152</v>
      </c>
      <c r="AI2978" s="1" t="s">
        <v>1152</v>
      </c>
      <c r="AJ2978" s="1" t="s">
        <v>3358</v>
      </c>
      <c r="AK2978" s="1" t="s">
        <v>1152</v>
      </c>
      <c r="AL2978" s="6"/>
      <c r="AM2978" s="12">
        <v>8.063493688E9</v>
      </c>
    </row>
    <row r="2979">
      <c r="A2979" s="5" t="s">
        <v>13620</v>
      </c>
      <c r="B2979" s="1" t="s">
        <v>13621</v>
      </c>
      <c r="C2979" s="1" t="s">
        <v>665</v>
      </c>
      <c r="D2979" s="2">
        <v>4.806949495E9</v>
      </c>
      <c r="E2979" s="1" t="s">
        <v>666</v>
      </c>
      <c r="F2979" s="1"/>
      <c r="G2979" s="1" t="s">
        <v>2673</v>
      </c>
      <c r="H2979" s="1" t="s">
        <v>1535</v>
      </c>
      <c r="I2979" s="1">
        <v>85024.0</v>
      </c>
      <c r="J2979" s="1" t="s">
        <v>752</v>
      </c>
      <c r="K2979" s="1" t="s">
        <v>51</v>
      </c>
      <c r="L2979" s="1" t="s">
        <v>5722</v>
      </c>
      <c r="M2979" s="1">
        <v>1.0</v>
      </c>
      <c r="N2979" s="1" t="s">
        <v>2461</v>
      </c>
      <c r="O2979" s="3" t="s">
        <v>13622</v>
      </c>
      <c r="P2979" s="18">
        <v>46254.0</v>
      </c>
      <c r="Q2979" s="1" t="s">
        <v>2463</v>
      </c>
      <c r="R2979" s="1"/>
      <c r="S2979" s="1" t="s">
        <v>52</v>
      </c>
      <c r="T2979" s="1" t="s">
        <v>2461</v>
      </c>
      <c r="U2979" s="1" t="s">
        <v>13275</v>
      </c>
      <c r="V2979" s="4" t="s">
        <v>13622</v>
      </c>
      <c r="W2979" s="1"/>
      <c r="X2979" s="18">
        <v>46254.0</v>
      </c>
      <c r="Y2979" s="1" t="s">
        <v>2463</v>
      </c>
      <c r="Z2979" s="1"/>
      <c r="AA2979" s="1"/>
      <c r="AB2979" s="1" t="s">
        <v>52</v>
      </c>
      <c r="AC2979" s="1" t="s">
        <v>1925</v>
      </c>
      <c r="AD2979" s="1"/>
      <c r="AE2979" s="1" t="s">
        <v>1152</v>
      </c>
      <c r="AF2979" s="1"/>
      <c r="AG2979" s="1"/>
      <c r="AH2979" s="1" t="s">
        <v>1152</v>
      </c>
      <c r="AI2979" s="1" t="s">
        <v>1152</v>
      </c>
      <c r="AJ2979" s="1" t="s">
        <v>666</v>
      </c>
      <c r="AK2979" s="1" t="s">
        <v>1152</v>
      </c>
      <c r="AL2979" s="6"/>
      <c r="AM2979" s="12">
        <v>4.806949495E9</v>
      </c>
    </row>
    <row r="2980">
      <c r="A2980" s="5" t="s">
        <v>13623</v>
      </c>
      <c r="B2980" s="1" t="s">
        <v>13624</v>
      </c>
      <c r="C2980" s="1" t="s">
        <v>11207</v>
      </c>
      <c r="D2980" s="2">
        <v>7.813665926E9</v>
      </c>
      <c r="E2980" s="1" t="s">
        <v>11209</v>
      </c>
      <c r="F2980" s="1"/>
      <c r="G2980" s="1" t="s">
        <v>2625</v>
      </c>
      <c r="H2980" s="1" t="s">
        <v>1121</v>
      </c>
      <c r="I2980" s="1">
        <v>2492.0</v>
      </c>
      <c r="J2980" s="1" t="s">
        <v>752</v>
      </c>
      <c r="K2980" s="1" t="s">
        <v>51</v>
      </c>
      <c r="L2980" s="1" t="s">
        <v>5722</v>
      </c>
      <c r="M2980" s="1">
        <v>1.0</v>
      </c>
      <c r="N2980" s="1" t="s">
        <v>2461</v>
      </c>
      <c r="O2980" s="3" t="s">
        <v>13625</v>
      </c>
      <c r="P2980" s="18">
        <v>46253.0</v>
      </c>
      <c r="Q2980" s="1" t="s">
        <v>2463</v>
      </c>
      <c r="R2980" s="1"/>
      <c r="S2980" s="1" t="s">
        <v>52</v>
      </c>
      <c r="T2980" s="1" t="s">
        <v>2461</v>
      </c>
      <c r="U2980" s="1" t="s">
        <v>13275</v>
      </c>
      <c r="V2980" s="4" t="s">
        <v>13625</v>
      </c>
      <c r="W2980" s="1"/>
      <c r="X2980" s="18">
        <v>46253.0</v>
      </c>
      <c r="Y2980" s="1" t="s">
        <v>2463</v>
      </c>
      <c r="Z2980" s="1"/>
      <c r="AA2980" s="1"/>
      <c r="AB2980" s="1" t="s">
        <v>52</v>
      </c>
      <c r="AC2980" s="1" t="s">
        <v>1925</v>
      </c>
      <c r="AD2980" s="1"/>
      <c r="AE2980" s="1" t="s">
        <v>1152</v>
      </c>
      <c r="AF2980" s="1"/>
      <c r="AG2980" s="1"/>
      <c r="AH2980" s="1" t="s">
        <v>1152</v>
      </c>
      <c r="AI2980" s="1" t="s">
        <v>1152</v>
      </c>
      <c r="AJ2980" s="1" t="s">
        <v>11209</v>
      </c>
      <c r="AK2980" s="1" t="s">
        <v>1152</v>
      </c>
      <c r="AL2980" s="6"/>
      <c r="AM2980" s="12">
        <v>7.813665926E9</v>
      </c>
    </row>
    <row r="2981">
      <c r="A2981" s="5" t="s">
        <v>13626</v>
      </c>
      <c r="B2981" s="1" t="s">
        <v>13627</v>
      </c>
      <c r="C2981" s="1" t="s">
        <v>13628</v>
      </c>
      <c r="D2981" s="2">
        <v>4.17408464E9</v>
      </c>
      <c r="E2981" s="1" t="s">
        <v>7611</v>
      </c>
      <c r="F2981" s="1"/>
      <c r="G2981" s="1" t="s">
        <v>4072</v>
      </c>
      <c r="H2981" s="1" t="s">
        <v>1155</v>
      </c>
      <c r="I2981" s="1">
        <v>65804.0</v>
      </c>
      <c r="J2981" s="1" t="s">
        <v>752</v>
      </c>
      <c r="K2981" s="1" t="s">
        <v>2131</v>
      </c>
      <c r="L2981" s="1" t="s">
        <v>5811</v>
      </c>
      <c r="M2981" s="1">
        <v>1.0</v>
      </c>
      <c r="N2981" s="1" t="s">
        <v>1152</v>
      </c>
      <c r="O2981" s="3" t="s">
        <v>10858</v>
      </c>
      <c r="P2981" s="1" t="s">
        <v>1152</v>
      </c>
      <c r="Q2981" s="1" t="s">
        <v>1152</v>
      </c>
      <c r="R2981" s="1"/>
      <c r="S2981" s="1"/>
      <c r="T2981" s="1" t="s">
        <v>1152</v>
      </c>
      <c r="U2981" s="1" t="s">
        <v>1174</v>
      </c>
      <c r="V2981" s="4" t="s">
        <v>10858</v>
      </c>
      <c r="W2981" s="1"/>
      <c r="X2981" s="1" t="s">
        <v>1152</v>
      </c>
      <c r="Y2981" s="1" t="s">
        <v>1152</v>
      </c>
      <c r="Z2981" s="1"/>
      <c r="AA2981" s="1"/>
      <c r="AB2981" s="1"/>
      <c r="AC2981" s="1" t="s">
        <v>1925</v>
      </c>
      <c r="AD2981" s="1"/>
      <c r="AE2981" s="18">
        <v>46150.0</v>
      </c>
      <c r="AF2981" s="1"/>
      <c r="AG2981" s="1"/>
      <c r="AH2981" s="1" t="s">
        <v>1152</v>
      </c>
      <c r="AI2981" s="1" t="s">
        <v>13629</v>
      </c>
      <c r="AJ2981" s="1" t="s">
        <v>7613</v>
      </c>
      <c r="AK2981" s="1" t="s">
        <v>1152</v>
      </c>
      <c r="AL2981" s="6"/>
      <c r="AM2981" s="12">
        <v>526075.0</v>
      </c>
    </row>
    <row r="2982">
      <c r="A2982" s="5" t="s">
        <v>13630</v>
      </c>
      <c r="B2982" s="1" t="s">
        <v>13631</v>
      </c>
      <c r="C2982" s="1" t="s">
        <v>13632</v>
      </c>
      <c r="D2982" s="2">
        <v>5.20841425E9</v>
      </c>
      <c r="E2982" s="1" t="s">
        <v>5514</v>
      </c>
      <c r="F2982" s="1"/>
      <c r="G2982" s="1" t="s">
        <v>5515</v>
      </c>
      <c r="H2982" s="1" t="s">
        <v>1535</v>
      </c>
      <c r="I2982" s="1">
        <v>85648.0</v>
      </c>
      <c r="J2982" s="1" t="s">
        <v>752</v>
      </c>
      <c r="K2982" s="1" t="s">
        <v>2131</v>
      </c>
      <c r="L2982" s="1" t="s">
        <v>5767</v>
      </c>
      <c r="M2982" s="1">
        <v>1.0</v>
      </c>
      <c r="N2982" s="1" t="s">
        <v>1152</v>
      </c>
      <c r="O2982" s="3" t="s">
        <v>5516</v>
      </c>
      <c r="P2982" s="1" t="s">
        <v>1152</v>
      </c>
      <c r="Q2982" s="1" t="s">
        <v>1152</v>
      </c>
      <c r="R2982" s="1"/>
      <c r="S2982" s="1"/>
      <c r="T2982" s="1" t="s">
        <v>1152</v>
      </c>
      <c r="U2982" s="1" t="s">
        <v>956</v>
      </c>
      <c r="V2982" s="4" t="s">
        <v>5516</v>
      </c>
      <c r="W2982" s="1"/>
      <c r="X2982" s="1" t="s">
        <v>1152</v>
      </c>
      <c r="Y2982" s="1" t="s">
        <v>1152</v>
      </c>
      <c r="Z2982" s="1"/>
      <c r="AA2982" s="1"/>
      <c r="AB2982" s="1"/>
      <c r="AC2982" s="1" t="s">
        <v>1925</v>
      </c>
      <c r="AD2982" s="1"/>
      <c r="AE2982" s="18">
        <v>46151.0</v>
      </c>
      <c r="AF2982" s="1"/>
      <c r="AG2982" s="1"/>
      <c r="AH2982" s="1" t="s">
        <v>1152</v>
      </c>
      <c r="AI2982" s="1" t="s">
        <v>1152</v>
      </c>
      <c r="AJ2982" s="1" t="s">
        <v>5514</v>
      </c>
      <c r="AK2982" s="1" t="s">
        <v>1152</v>
      </c>
      <c r="AL2982" s="6"/>
      <c r="AM2982" s="12">
        <v>5.20841425E9</v>
      </c>
    </row>
    <row r="2983">
      <c r="A2983" s="5" t="s">
        <v>13633</v>
      </c>
      <c r="B2983" s="1" t="s">
        <v>13634</v>
      </c>
      <c r="C2983" s="1" t="s">
        <v>13635</v>
      </c>
      <c r="D2983" s="2">
        <v>5.125850522E9</v>
      </c>
      <c r="E2983" s="1" t="s">
        <v>4913</v>
      </c>
      <c r="F2983" s="1"/>
      <c r="G2983" s="1" t="s">
        <v>1582</v>
      </c>
      <c r="H2983" s="1" t="s">
        <v>1583</v>
      </c>
      <c r="I2983" s="1">
        <v>78730.0</v>
      </c>
      <c r="J2983" s="1" t="s">
        <v>752</v>
      </c>
      <c r="K2983" s="1" t="s">
        <v>2131</v>
      </c>
      <c r="L2983" s="1" t="s">
        <v>5767</v>
      </c>
      <c r="M2983" s="1">
        <v>1.0</v>
      </c>
      <c r="N2983" s="1" t="s">
        <v>1152</v>
      </c>
      <c r="O2983" s="3" t="s">
        <v>353</v>
      </c>
      <c r="P2983" s="1" t="s">
        <v>1152</v>
      </c>
      <c r="Q2983" s="1" t="s">
        <v>1152</v>
      </c>
      <c r="R2983" s="1"/>
      <c r="S2983" s="1"/>
      <c r="T2983" s="1" t="s">
        <v>1152</v>
      </c>
      <c r="U2983" s="1" t="s">
        <v>1039</v>
      </c>
      <c r="V2983" s="4" t="s">
        <v>353</v>
      </c>
      <c r="W2983" s="1"/>
      <c r="X2983" s="1" t="s">
        <v>1152</v>
      </c>
      <c r="Y2983" s="1" t="s">
        <v>1152</v>
      </c>
      <c r="Z2983" s="1"/>
      <c r="AA2983" s="1"/>
      <c r="AB2983" s="1"/>
      <c r="AC2983" s="1" t="s">
        <v>1925</v>
      </c>
      <c r="AD2983" s="1"/>
      <c r="AE2983" s="18">
        <v>46150.0</v>
      </c>
      <c r="AF2983" s="1"/>
      <c r="AG2983" s="1"/>
      <c r="AH2983" s="1" t="s">
        <v>1152</v>
      </c>
      <c r="AI2983" s="1" t="s">
        <v>1152</v>
      </c>
      <c r="AJ2983" s="1" t="s">
        <v>1876</v>
      </c>
      <c r="AK2983" s="1" t="s">
        <v>1152</v>
      </c>
      <c r="AL2983" s="6"/>
      <c r="AM2983" s="12">
        <v>5.125850522E9</v>
      </c>
    </row>
    <row r="2984">
      <c r="A2984" s="5" t="s">
        <v>13636</v>
      </c>
      <c r="B2984" s="1" t="s">
        <v>13637</v>
      </c>
      <c r="C2984" s="1" t="s">
        <v>13638</v>
      </c>
      <c r="D2984" s="2">
        <v>8.327646569E9</v>
      </c>
      <c r="E2984" s="1" t="s">
        <v>13639</v>
      </c>
      <c r="F2984" s="1"/>
      <c r="G2984" s="1" t="s">
        <v>2233</v>
      </c>
      <c r="H2984" s="1" t="s">
        <v>1583</v>
      </c>
      <c r="I2984" s="1">
        <v>77429.0</v>
      </c>
      <c r="J2984" s="1" t="s">
        <v>752</v>
      </c>
      <c r="K2984" s="1" t="s">
        <v>2131</v>
      </c>
      <c r="L2984" s="1" t="s">
        <v>5767</v>
      </c>
      <c r="M2984" s="1">
        <v>1.0</v>
      </c>
      <c r="N2984" s="1" t="s">
        <v>1152</v>
      </c>
      <c r="O2984" s="3" t="s">
        <v>2235</v>
      </c>
      <c r="P2984" s="1" t="s">
        <v>1152</v>
      </c>
      <c r="Q2984" s="1" t="s">
        <v>1152</v>
      </c>
      <c r="R2984" s="1"/>
      <c r="S2984" s="1"/>
      <c r="T2984" s="1" t="s">
        <v>1152</v>
      </c>
      <c r="U2984" s="1" t="s">
        <v>2236</v>
      </c>
      <c r="V2984" s="4" t="s">
        <v>2235</v>
      </c>
      <c r="W2984" s="1"/>
      <c r="X2984" s="1" t="s">
        <v>1152</v>
      </c>
      <c r="Y2984" s="1" t="s">
        <v>1152</v>
      </c>
      <c r="Z2984" s="1"/>
      <c r="AA2984" s="1"/>
      <c r="AB2984" s="1"/>
      <c r="AC2984" s="1" t="s">
        <v>1925</v>
      </c>
      <c r="AD2984" s="1"/>
      <c r="AE2984" s="18">
        <v>46150.0</v>
      </c>
      <c r="AF2984" s="1"/>
      <c r="AG2984" s="1"/>
      <c r="AH2984" s="1" t="s">
        <v>1152</v>
      </c>
      <c r="AI2984" s="1" t="s">
        <v>1152</v>
      </c>
      <c r="AJ2984" s="1" t="s">
        <v>13639</v>
      </c>
      <c r="AK2984" s="1" t="s">
        <v>1152</v>
      </c>
      <c r="AL2984" s="6"/>
      <c r="AM2984" s="12" t="s">
        <v>13640</v>
      </c>
    </row>
    <row r="2985">
      <c r="A2985" s="5" t="s">
        <v>13641</v>
      </c>
      <c r="B2985" s="1" t="s">
        <v>13642</v>
      </c>
      <c r="C2985" s="1" t="s">
        <v>13643</v>
      </c>
      <c r="D2985" s="2">
        <v>6.578334872E9</v>
      </c>
      <c r="E2985" s="1" t="s">
        <v>13644</v>
      </c>
      <c r="F2985" s="1"/>
      <c r="G2985" s="1" t="s">
        <v>6727</v>
      </c>
      <c r="H2985" s="1" t="s">
        <v>989</v>
      </c>
      <c r="I2985" s="1">
        <v>92701.0</v>
      </c>
      <c r="J2985" s="1" t="s">
        <v>752</v>
      </c>
      <c r="K2985" s="1" t="s">
        <v>42</v>
      </c>
      <c r="L2985" s="1" t="s">
        <v>6819</v>
      </c>
      <c r="M2985" s="1">
        <v>49.0</v>
      </c>
      <c r="N2985" s="1" t="s">
        <v>1152</v>
      </c>
      <c r="O2985" s="3" t="s">
        <v>6728</v>
      </c>
      <c r="P2985" s="1" t="s">
        <v>1152</v>
      </c>
      <c r="Q2985" s="1" t="s">
        <v>1152</v>
      </c>
      <c r="R2985" s="1"/>
      <c r="S2985" s="1"/>
      <c r="T2985" s="1" t="s">
        <v>1152</v>
      </c>
      <c r="U2985" s="1" t="s">
        <v>1021</v>
      </c>
      <c r="V2985" s="4" t="s">
        <v>6728</v>
      </c>
      <c r="W2985" s="1"/>
      <c r="X2985" s="1" t="s">
        <v>1152</v>
      </c>
      <c r="Y2985" s="1" t="s">
        <v>1152</v>
      </c>
      <c r="Z2985" s="1"/>
      <c r="AA2985" s="1"/>
      <c r="AB2985" s="1"/>
      <c r="AC2985" s="1" t="s">
        <v>1925</v>
      </c>
      <c r="AD2985" s="1"/>
      <c r="AE2985" s="18">
        <v>46150.0</v>
      </c>
      <c r="AF2985" s="1" t="s">
        <v>1103</v>
      </c>
      <c r="AG2985" s="1" t="s">
        <v>52</v>
      </c>
      <c r="AH2985" s="1" t="s">
        <v>1152</v>
      </c>
      <c r="AI2985" s="1" t="s">
        <v>1152</v>
      </c>
      <c r="AJ2985" s="1" t="s">
        <v>13645</v>
      </c>
      <c r="AK2985" s="1" t="s">
        <v>1152</v>
      </c>
      <c r="AL2985" s="6"/>
      <c r="AM2985" s="12">
        <v>7.149299133E9</v>
      </c>
    </row>
    <row r="2986">
      <c r="A2986" s="5" t="s">
        <v>13646</v>
      </c>
      <c r="B2986" s="1" t="s">
        <v>13647</v>
      </c>
      <c r="C2986" s="1" t="s">
        <v>13648</v>
      </c>
      <c r="D2986" s="2">
        <v>5.164272925E9</v>
      </c>
      <c r="E2986" s="1" t="s">
        <v>13649</v>
      </c>
      <c r="F2986" s="1"/>
      <c r="G2986" s="1" t="s">
        <v>13650</v>
      </c>
      <c r="H2986" s="1" t="s">
        <v>751</v>
      </c>
      <c r="I2986" s="1">
        <v>11001.0</v>
      </c>
      <c r="J2986" s="1" t="s">
        <v>752</v>
      </c>
      <c r="K2986" s="1" t="s">
        <v>42</v>
      </c>
      <c r="L2986" s="1" t="s">
        <v>6819</v>
      </c>
      <c r="M2986" s="1">
        <v>49.0</v>
      </c>
      <c r="N2986" s="1" t="s">
        <v>1152</v>
      </c>
      <c r="O2986" s="3" t="s">
        <v>12313</v>
      </c>
      <c r="P2986" s="1" t="s">
        <v>1152</v>
      </c>
      <c r="Q2986" s="1" t="s">
        <v>1152</v>
      </c>
      <c r="R2986" s="1"/>
      <c r="S2986" s="1"/>
      <c r="T2986" s="1" t="s">
        <v>1152</v>
      </c>
      <c r="U2986" s="1" t="s">
        <v>1133</v>
      </c>
      <c r="V2986" s="4" t="s">
        <v>12313</v>
      </c>
      <c r="W2986" s="1"/>
      <c r="X2986" s="1" t="s">
        <v>1152</v>
      </c>
      <c r="Y2986" s="1" t="s">
        <v>1152</v>
      </c>
      <c r="Z2986" s="1"/>
      <c r="AA2986" s="1"/>
      <c r="AB2986" s="1"/>
      <c r="AC2986" s="1" t="s">
        <v>1925</v>
      </c>
      <c r="AD2986" s="1"/>
      <c r="AE2986" s="18">
        <v>46149.0</v>
      </c>
      <c r="AF2986" s="1" t="s">
        <v>1030</v>
      </c>
      <c r="AG2986" s="1" t="s">
        <v>52</v>
      </c>
      <c r="AH2986" s="1" t="s">
        <v>1152</v>
      </c>
      <c r="AI2986" s="1" t="s">
        <v>1152</v>
      </c>
      <c r="AJ2986" s="1" t="s">
        <v>13651</v>
      </c>
      <c r="AK2986" s="1" t="s">
        <v>1152</v>
      </c>
      <c r="AL2986" s="6"/>
      <c r="AM2986" s="12">
        <v>9.724699346E9</v>
      </c>
    </row>
    <row r="2987">
      <c r="A2987" s="5" t="s">
        <v>13652</v>
      </c>
      <c r="B2987" s="1" t="s">
        <v>13653</v>
      </c>
      <c r="C2987" s="1" t="s">
        <v>6951</v>
      </c>
      <c r="D2987" s="2">
        <v>6.194232453E9</v>
      </c>
      <c r="E2987" s="1" t="s">
        <v>6952</v>
      </c>
      <c r="F2987" s="1"/>
      <c r="G2987" s="1" t="s">
        <v>12305</v>
      </c>
      <c r="H2987" s="1" t="s">
        <v>1155</v>
      </c>
      <c r="I2987" s="1">
        <v>64082.0</v>
      </c>
      <c r="J2987" s="1" t="s">
        <v>752</v>
      </c>
      <c r="K2987" s="1" t="s">
        <v>2131</v>
      </c>
      <c r="L2987" s="1" t="s">
        <v>5767</v>
      </c>
      <c r="M2987" s="1">
        <v>1.0</v>
      </c>
      <c r="N2987" s="1" t="s">
        <v>1152</v>
      </c>
      <c r="O2987" s="3" t="s">
        <v>3857</v>
      </c>
      <c r="P2987" s="1" t="s">
        <v>1152</v>
      </c>
      <c r="Q2987" s="1" t="s">
        <v>1152</v>
      </c>
      <c r="R2987" s="1"/>
      <c r="S2987" s="1"/>
      <c r="T2987" s="1" t="s">
        <v>1152</v>
      </c>
      <c r="U2987" s="1" t="s">
        <v>6053</v>
      </c>
      <c r="V2987" s="4" t="s">
        <v>3857</v>
      </c>
      <c r="W2987" s="1"/>
      <c r="X2987" s="1" t="s">
        <v>1152</v>
      </c>
      <c r="Y2987" s="1" t="s">
        <v>1152</v>
      </c>
      <c r="Z2987" s="1"/>
      <c r="AA2987" s="1"/>
      <c r="AB2987" s="1"/>
      <c r="AC2987" s="1" t="s">
        <v>1925</v>
      </c>
      <c r="AD2987" s="1"/>
      <c r="AE2987" s="18">
        <v>46150.0</v>
      </c>
      <c r="AF2987" s="1"/>
      <c r="AG2987" s="1"/>
      <c r="AH2987" s="1" t="s">
        <v>1152</v>
      </c>
      <c r="AI2987" s="1" t="s">
        <v>1152</v>
      </c>
      <c r="AJ2987" s="1" t="s">
        <v>6954</v>
      </c>
      <c r="AK2987" s="1" t="s">
        <v>1152</v>
      </c>
      <c r="AL2987" s="6"/>
      <c r="AM2987" s="12">
        <v>6.193758889E9</v>
      </c>
    </row>
    <row r="2988">
      <c r="A2988" s="5" t="s">
        <v>13654</v>
      </c>
      <c r="B2988" s="1" t="s">
        <v>13655</v>
      </c>
      <c r="C2988" s="1" t="s">
        <v>1981</v>
      </c>
      <c r="D2988" s="2">
        <v>9.499109206E9</v>
      </c>
      <c r="E2988" s="1" t="s">
        <v>1982</v>
      </c>
      <c r="F2988" s="1"/>
      <c r="G2988" s="1" t="s">
        <v>1983</v>
      </c>
      <c r="H2988" s="1" t="s">
        <v>989</v>
      </c>
      <c r="I2988" s="1">
        <v>92618.0</v>
      </c>
      <c r="J2988" s="1" t="s">
        <v>752</v>
      </c>
      <c r="K2988" s="1" t="s">
        <v>892</v>
      </c>
      <c r="L2988" s="1" t="s">
        <v>6946</v>
      </c>
      <c r="M2988" s="1">
        <v>49.0</v>
      </c>
      <c r="N2988" s="1" t="s">
        <v>1152</v>
      </c>
      <c r="O2988" s="3" t="s">
        <v>1423</v>
      </c>
      <c r="P2988" s="1" t="s">
        <v>1152</v>
      </c>
      <c r="Q2988" s="1" t="s">
        <v>1152</v>
      </c>
      <c r="R2988" s="1"/>
      <c r="S2988" s="1"/>
      <c r="T2988" s="1" t="s">
        <v>1152</v>
      </c>
      <c r="U2988" s="1" t="s">
        <v>1376</v>
      </c>
      <c r="V2988" s="4" t="s">
        <v>1423</v>
      </c>
      <c r="W2988" s="1"/>
      <c r="X2988" s="1" t="s">
        <v>1152</v>
      </c>
      <c r="Y2988" s="1" t="s">
        <v>1152</v>
      </c>
      <c r="Z2988" s="1"/>
      <c r="AA2988" s="1"/>
      <c r="AB2988" s="1"/>
      <c r="AC2988" s="1" t="s">
        <v>1925</v>
      </c>
      <c r="AD2988" s="1"/>
      <c r="AE2988" s="18">
        <v>46150.0</v>
      </c>
      <c r="AF2988" s="1" t="s">
        <v>1030</v>
      </c>
      <c r="AG2988" s="1" t="s">
        <v>52</v>
      </c>
      <c r="AH2988" s="1" t="s">
        <v>13656</v>
      </c>
      <c r="AI2988" s="1" t="s">
        <v>1152</v>
      </c>
      <c r="AJ2988" s="1" t="s">
        <v>1982</v>
      </c>
      <c r="AK2988" s="1" t="s">
        <v>1152</v>
      </c>
      <c r="AL2988" s="6"/>
      <c r="AM2988" s="12">
        <v>9.499109206E9</v>
      </c>
    </row>
    <row r="2989">
      <c r="A2989" s="5" t="s">
        <v>13657</v>
      </c>
      <c r="B2989" s="1" t="s">
        <v>13658</v>
      </c>
      <c r="C2989" s="1" t="s">
        <v>13659</v>
      </c>
      <c r="D2989" s="2">
        <v>9.144678797E9</v>
      </c>
      <c r="E2989" s="1" t="s">
        <v>13660</v>
      </c>
      <c r="F2989" s="1"/>
      <c r="G2989" s="1" t="s">
        <v>13661</v>
      </c>
      <c r="H2989" s="1" t="s">
        <v>751</v>
      </c>
      <c r="I2989" s="1" t="s">
        <v>13662</v>
      </c>
      <c r="J2989" s="1" t="s">
        <v>752</v>
      </c>
      <c r="K2989" s="1" t="s">
        <v>7981</v>
      </c>
      <c r="L2989" s="1" t="s">
        <v>6819</v>
      </c>
      <c r="M2989" s="1">
        <v>49.0</v>
      </c>
      <c r="N2989" s="1" t="s">
        <v>1152</v>
      </c>
      <c r="O2989" s="3" t="s">
        <v>5432</v>
      </c>
      <c r="P2989" s="1" t="s">
        <v>1152</v>
      </c>
      <c r="Q2989" s="1" t="s">
        <v>1152</v>
      </c>
      <c r="R2989" s="1"/>
      <c r="S2989" s="1"/>
      <c r="T2989" s="1" t="s">
        <v>1152</v>
      </c>
      <c r="U2989" s="1" t="s">
        <v>6600</v>
      </c>
      <c r="V2989" s="4" t="s">
        <v>5432</v>
      </c>
      <c r="W2989" s="1"/>
      <c r="X2989" s="1" t="s">
        <v>1152</v>
      </c>
      <c r="Y2989" s="1" t="s">
        <v>1152</v>
      </c>
      <c r="Z2989" s="1"/>
      <c r="AA2989" s="1"/>
      <c r="AB2989" s="1"/>
      <c r="AC2989" s="1" t="s">
        <v>1925</v>
      </c>
      <c r="AD2989" s="1"/>
      <c r="AE2989" s="18">
        <v>46150.0</v>
      </c>
      <c r="AF2989" s="1" t="s">
        <v>1030</v>
      </c>
      <c r="AG2989" s="1" t="s">
        <v>52</v>
      </c>
      <c r="AH2989" s="1" t="s">
        <v>1152</v>
      </c>
      <c r="AI2989" s="1" t="s">
        <v>1152</v>
      </c>
      <c r="AJ2989" s="1" t="s">
        <v>13663</v>
      </c>
      <c r="AK2989" s="1" t="s">
        <v>1152</v>
      </c>
      <c r="AL2989" s="6"/>
      <c r="AM2989" s="12">
        <v>9.144678797E9</v>
      </c>
    </row>
    <row r="2990">
      <c r="A2990" s="5" t="s">
        <v>13664</v>
      </c>
      <c r="B2990" s="1" t="s">
        <v>13665</v>
      </c>
      <c r="C2990" s="1" t="s">
        <v>7806</v>
      </c>
      <c r="D2990" s="2">
        <v>3.614430105E9</v>
      </c>
      <c r="E2990" s="1" t="s">
        <v>7807</v>
      </c>
      <c r="F2990" s="1"/>
      <c r="G2990" s="1" t="s">
        <v>7808</v>
      </c>
      <c r="H2990" s="1" t="s">
        <v>1028</v>
      </c>
      <c r="I2990" s="1">
        <v>87544.0</v>
      </c>
      <c r="J2990" s="1" t="s">
        <v>752</v>
      </c>
      <c r="K2990" s="1" t="s">
        <v>2131</v>
      </c>
      <c r="L2990" s="1" t="s">
        <v>5811</v>
      </c>
      <c r="M2990" s="1">
        <v>1.0</v>
      </c>
      <c r="N2990" s="1" t="s">
        <v>1152</v>
      </c>
      <c r="O2990" s="3" t="s">
        <v>3166</v>
      </c>
      <c r="P2990" s="1" t="s">
        <v>1152</v>
      </c>
      <c r="Q2990" s="1" t="s">
        <v>1152</v>
      </c>
      <c r="R2990" s="1"/>
      <c r="S2990" s="1"/>
      <c r="T2990" s="1" t="s">
        <v>1152</v>
      </c>
      <c r="U2990" s="1" t="s">
        <v>1249</v>
      </c>
      <c r="V2990" s="4" t="s">
        <v>3166</v>
      </c>
      <c r="W2990" s="1"/>
      <c r="X2990" s="1" t="s">
        <v>1152</v>
      </c>
      <c r="Y2990" s="1" t="s">
        <v>1152</v>
      </c>
      <c r="Z2990" s="1"/>
      <c r="AA2990" s="1"/>
      <c r="AB2990" s="1"/>
      <c r="AC2990" s="1" t="s">
        <v>1925</v>
      </c>
      <c r="AD2990" s="1"/>
      <c r="AE2990" s="18">
        <v>46150.0</v>
      </c>
      <c r="AF2990" s="1"/>
      <c r="AG2990" s="1"/>
      <c r="AH2990" s="1" t="s">
        <v>1152</v>
      </c>
      <c r="AI2990" s="1" t="s">
        <v>1152</v>
      </c>
      <c r="AJ2990" s="1" t="s">
        <v>7809</v>
      </c>
      <c r="AK2990" s="1" t="s">
        <v>1152</v>
      </c>
      <c r="AL2990" s="6"/>
      <c r="AM2990" s="12">
        <v>3.612448184E9</v>
      </c>
    </row>
    <row r="2991">
      <c r="A2991" s="5" t="s">
        <v>13666</v>
      </c>
      <c r="B2991" s="1" t="s">
        <v>13667</v>
      </c>
      <c r="C2991" s="1" t="s">
        <v>13668</v>
      </c>
      <c r="D2991" s="2">
        <v>9.085912437E9</v>
      </c>
      <c r="E2991" s="1" t="s">
        <v>13669</v>
      </c>
      <c r="F2991" s="1"/>
      <c r="G2991" s="1" t="s">
        <v>13670</v>
      </c>
      <c r="H2991" s="1" t="s">
        <v>1053</v>
      </c>
      <c r="I2991" s="1" t="s">
        <v>13671</v>
      </c>
      <c r="J2991" s="1" t="s">
        <v>752</v>
      </c>
      <c r="K2991" s="1" t="s">
        <v>892</v>
      </c>
      <c r="L2991" s="1" t="s">
        <v>8006</v>
      </c>
      <c r="M2991" s="1">
        <v>49.0</v>
      </c>
      <c r="N2991" s="1" t="s">
        <v>1152</v>
      </c>
      <c r="O2991" s="3" t="s">
        <v>10614</v>
      </c>
      <c r="P2991" s="1" t="s">
        <v>1152</v>
      </c>
      <c r="Q2991" s="1" t="s">
        <v>1152</v>
      </c>
      <c r="R2991" s="1"/>
      <c r="S2991" s="1"/>
      <c r="T2991" s="1" t="s">
        <v>1152</v>
      </c>
      <c r="U2991" s="1" t="s">
        <v>1021</v>
      </c>
      <c r="V2991" s="4" t="s">
        <v>10614</v>
      </c>
      <c r="W2991" s="1"/>
      <c r="X2991" s="1" t="s">
        <v>1152</v>
      </c>
      <c r="Y2991" s="1" t="s">
        <v>1152</v>
      </c>
      <c r="Z2991" s="1"/>
      <c r="AA2991" s="1"/>
      <c r="AB2991" s="1"/>
      <c r="AC2991" s="1" t="s">
        <v>1925</v>
      </c>
      <c r="AD2991" s="1"/>
      <c r="AE2991" s="18">
        <v>46155.0</v>
      </c>
      <c r="AF2991" s="1" t="s">
        <v>1440</v>
      </c>
      <c r="AG2991" s="1" t="s">
        <v>52</v>
      </c>
      <c r="AH2991" s="1" t="s">
        <v>13672</v>
      </c>
      <c r="AI2991" s="1" t="s">
        <v>1152</v>
      </c>
      <c r="AJ2991" s="1" t="s">
        <v>13669</v>
      </c>
      <c r="AK2991" s="1" t="s">
        <v>1152</v>
      </c>
      <c r="AL2991" s="6"/>
      <c r="AM2991" s="12">
        <v>9.085912437E9</v>
      </c>
    </row>
    <row r="2992">
      <c r="A2992" s="5" t="s">
        <v>13673</v>
      </c>
      <c r="B2992" s="1" t="s">
        <v>13674</v>
      </c>
      <c r="C2992" s="1" t="s">
        <v>3447</v>
      </c>
      <c r="D2992" s="2">
        <v>2.038855935E9</v>
      </c>
      <c r="E2992" s="1" t="s">
        <v>3448</v>
      </c>
      <c r="F2992" s="1"/>
      <c r="G2992" s="1" t="s">
        <v>3449</v>
      </c>
      <c r="H2992" s="1" t="s">
        <v>1078</v>
      </c>
      <c r="I2992" s="1">
        <v>6850.0</v>
      </c>
      <c r="J2992" s="1" t="s">
        <v>752</v>
      </c>
      <c r="K2992" s="1" t="s">
        <v>2131</v>
      </c>
      <c r="L2992" s="1" t="s">
        <v>5811</v>
      </c>
      <c r="M2992" s="1">
        <v>1.0</v>
      </c>
      <c r="N2992" s="1" t="s">
        <v>1152</v>
      </c>
      <c r="O2992" s="3" t="s">
        <v>3450</v>
      </c>
      <c r="P2992" s="1" t="s">
        <v>1152</v>
      </c>
      <c r="Q2992" s="1" t="s">
        <v>1152</v>
      </c>
      <c r="R2992" s="1"/>
      <c r="S2992" s="1"/>
      <c r="T2992" s="1" t="s">
        <v>1152</v>
      </c>
      <c r="U2992" s="1" t="s">
        <v>1441</v>
      </c>
      <c r="V2992" s="4" t="s">
        <v>3450</v>
      </c>
      <c r="W2992" s="1"/>
      <c r="X2992" s="1" t="s">
        <v>1152</v>
      </c>
      <c r="Y2992" s="1" t="s">
        <v>1152</v>
      </c>
      <c r="Z2992" s="1"/>
      <c r="AA2992" s="1"/>
      <c r="AB2992" s="1"/>
      <c r="AC2992" s="1" t="s">
        <v>1925</v>
      </c>
      <c r="AD2992" s="1"/>
      <c r="AE2992" s="18">
        <v>46150.0</v>
      </c>
      <c r="AF2992" s="1"/>
      <c r="AG2992" s="1"/>
      <c r="AH2992" s="1" t="s">
        <v>1152</v>
      </c>
      <c r="AI2992" s="1" t="s">
        <v>1152</v>
      </c>
      <c r="AJ2992" s="1" t="s">
        <v>3448</v>
      </c>
      <c r="AK2992" s="1" t="s">
        <v>1152</v>
      </c>
      <c r="AL2992" s="6"/>
      <c r="AM2992" s="12">
        <v>2.038855935E9</v>
      </c>
    </row>
    <row r="2993">
      <c r="A2993" s="5" t="s">
        <v>13675</v>
      </c>
      <c r="B2993" s="1" t="s">
        <v>13676</v>
      </c>
      <c r="C2993" s="1" t="s">
        <v>7095</v>
      </c>
      <c r="D2993" s="2">
        <v>6.304801301E9</v>
      </c>
      <c r="E2993" s="1" t="s">
        <v>7096</v>
      </c>
      <c r="F2993" s="1"/>
      <c r="G2993" s="1" t="s">
        <v>2350</v>
      </c>
      <c r="H2993" s="1" t="s">
        <v>1155</v>
      </c>
      <c r="I2993" s="1">
        <v>63105.0</v>
      </c>
      <c r="J2993" s="1" t="s">
        <v>752</v>
      </c>
      <c r="K2993" s="1" t="s">
        <v>42</v>
      </c>
      <c r="L2993" s="1" t="s">
        <v>6819</v>
      </c>
      <c r="M2993" s="1">
        <v>49.0</v>
      </c>
      <c r="N2993" s="1" t="s">
        <v>1152</v>
      </c>
      <c r="O2993" s="3" t="s">
        <v>2442</v>
      </c>
      <c r="P2993" s="1" t="s">
        <v>1152</v>
      </c>
      <c r="Q2993" s="1" t="s">
        <v>1152</v>
      </c>
      <c r="R2993" s="1"/>
      <c r="S2993" s="1"/>
      <c r="T2993" s="1" t="s">
        <v>1152</v>
      </c>
      <c r="U2993" s="1" t="s">
        <v>956</v>
      </c>
      <c r="V2993" s="4" t="s">
        <v>2442</v>
      </c>
      <c r="W2993" s="1"/>
      <c r="X2993" s="1" t="s">
        <v>1152</v>
      </c>
      <c r="Y2993" s="1" t="s">
        <v>1152</v>
      </c>
      <c r="Z2993" s="1"/>
      <c r="AA2993" s="1"/>
      <c r="AB2993" s="1"/>
      <c r="AC2993" s="1" t="s">
        <v>1925</v>
      </c>
      <c r="AD2993" s="1"/>
      <c r="AE2993" s="18">
        <v>46156.0</v>
      </c>
      <c r="AF2993" s="1" t="s">
        <v>1030</v>
      </c>
      <c r="AG2993" s="1" t="s">
        <v>52</v>
      </c>
      <c r="AH2993" s="1" t="s">
        <v>1152</v>
      </c>
      <c r="AI2993" s="1" t="s">
        <v>1152</v>
      </c>
      <c r="AJ2993" s="1" t="s">
        <v>7096</v>
      </c>
      <c r="AK2993" s="1" t="s">
        <v>1152</v>
      </c>
      <c r="AL2993" s="6"/>
      <c r="AM2993" s="12">
        <v>6.304801301E9</v>
      </c>
    </row>
    <row r="2994">
      <c r="A2994" s="5" t="s">
        <v>13677</v>
      </c>
      <c r="B2994" s="1" t="s">
        <v>13678</v>
      </c>
      <c r="C2994" s="1" t="s">
        <v>13679</v>
      </c>
      <c r="D2994" s="2">
        <v>2.064687924E9</v>
      </c>
      <c r="E2994" s="1" t="s">
        <v>4844</v>
      </c>
      <c r="F2994" s="1"/>
      <c r="G2994" s="1" t="s">
        <v>1848</v>
      </c>
      <c r="H2994" s="1" t="s">
        <v>980</v>
      </c>
      <c r="I2994" s="1">
        <v>98112.0</v>
      </c>
      <c r="J2994" s="1" t="s">
        <v>752</v>
      </c>
      <c r="K2994" s="1" t="s">
        <v>2131</v>
      </c>
      <c r="L2994" s="1" t="s">
        <v>5767</v>
      </c>
      <c r="M2994" s="1">
        <v>1.0</v>
      </c>
      <c r="N2994" s="1" t="s">
        <v>1152</v>
      </c>
      <c r="O2994" s="3" t="s">
        <v>981</v>
      </c>
      <c r="P2994" s="1" t="s">
        <v>1152</v>
      </c>
      <c r="Q2994" s="1" t="s">
        <v>1152</v>
      </c>
      <c r="R2994" s="1"/>
      <c r="S2994" s="1"/>
      <c r="T2994" s="1" t="s">
        <v>1152</v>
      </c>
      <c r="U2994" s="1" t="s">
        <v>1376</v>
      </c>
      <c r="V2994" s="4" t="s">
        <v>981</v>
      </c>
      <c r="W2994" s="1"/>
      <c r="X2994" s="1" t="s">
        <v>1152</v>
      </c>
      <c r="Y2994" s="1" t="s">
        <v>1152</v>
      </c>
      <c r="Z2994" s="1"/>
      <c r="AA2994" s="1"/>
      <c r="AB2994" s="1"/>
      <c r="AC2994" s="1" t="s">
        <v>1925</v>
      </c>
      <c r="AD2994" s="1"/>
      <c r="AE2994" s="18">
        <v>46150.0</v>
      </c>
      <c r="AF2994" s="1"/>
      <c r="AG2994" s="1"/>
      <c r="AH2994" s="1" t="s">
        <v>1152</v>
      </c>
      <c r="AI2994" s="1" t="s">
        <v>1152</v>
      </c>
      <c r="AJ2994" s="1" t="s">
        <v>4844</v>
      </c>
      <c r="AK2994" s="1" t="s">
        <v>1152</v>
      </c>
      <c r="AL2994" s="6"/>
      <c r="AM2994" s="12">
        <v>2.064687924E9</v>
      </c>
    </row>
    <row r="2995">
      <c r="A2995" s="5" t="s">
        <v>13680</v>
      </c>
      <c r="B2995" s="1" t="s">
        <v>13681</v>
      </c>
      <c r="C2995" s="1" t="s">
        <v>3082</v>
      </c>
      <c r="D2995" s="2">
        <v>8.455885668E9</v>
      </c>
      <c r="E2995" s="1" t="s">
        <v>13682</v>
      </c>
      <c r="F2995" s="1"/>
      <c r="G2995" s="1" t="s">
        <v>13683</v>
      </c>
      <c r="H2995" s="1" t="s">
        <v>1053</v>
      </c>
      <c r="I2995" s="1">
        <v>7670.0</v>
      </c>
      <c r="J2995" s="1" t="s">
        <v>752</v>
      </c>
      <c r="K2995" s="1" t="s">
        <v>2131</v>
      </c>
      <c r="L2995" s="1" t="s">
        <v>6107</v>
      </c>
      <c r="M2995" s="1">
        <v>1.0</v>
      </c>
      <c r="N2995" s="1" t="s">
        <v>1152</v>
      </c>
      <c r="O2995" s="3" t="s">
        <v>13684</v>
      </c>
      <c r="P2995" s="1" t="s">
        <v>1152</v>
      </c>
      <c r="Q2995" s="1" t="s">
        <v>1152</v>
      </c>
      <c r="R2995" s="1"/>
      <c r="S2995" s="1"/>
      <c r="T2995" s="1" t="s">
        <v>1152</v>
      </c>
      <c r="U2995" s="1" t="s">
        <v>6053</v>
      </c>
      <c r="V2995" s="4" t="s">
        <v>13684</v>
      </c>
      <c r="W2995" s="1"/>
      <c r="X2995" s="1" t="s">
        <v>1152</v>
      </c>
      <c r="Y2995" s="1" t="s">
        <v>1152</v>
      </c>
      <c r="Z2995" s="1"/>
      <c r="AA2995" s="1"/>
      <c r="AB2995" s="1"/>
      <c r="AC2995" s="1" t="s">
        <v>1925</v>
      </c>
      <c r="AD2995" s="1"/>
      <c r="AE2995" s="18">
        <v>46150.0</v>
      </c>
      <c r="AF2995" s="1"/>
      <c r="AG2995" s="1"/>
      <c r="AH2995" s="1" t="s">
        <v>1152</v>
      </c>
      <c r="AI2995" s="1" t="s">
        <v>1152</v>
      </c>
      <c r="AJ2995" s="1" t="s">
        <v>13682</v>
      </c>
      <c r="AK2995" s="1" t="s">
        <v>1152</v>
      </c>
      <c r="AL2995" s="6"/>
      <c r="AM2995" s="12">
        <v>8.455885668E9</v>
      </c>
    </row>
    <row r="2996">
      <c r="A2996" s="5" t="s">
        <v>13685</v>
      </c>
      <c r="B2996" s="1" t="s">
        <v>13686</v>
      </c>
      <c r="C2996" s="1" t="s">
        <v>4891</v>
      </c>
      <c r="D2996" s="2">
        <v>9.175796873E9</v>
      </c>
      <c r="E2996" s="1" t="s">
        <v>9558</v>
      </c>
      <c r="F2996" s="1"/>
      <c r="G2996" s="1" t="s">
        <v>1382</v>
      </c>
      <c r="H2996" s="1" t="s">
        <v>751</v>
      </c>
      <c r="I2996" s="1">
        <v>10583.0</v>
      </c>
      <c r="J2996" s="1" t="s">
        <v>752</v>
      </c>
      <c r="K2996" s="1" t="s">
        <v>2131</v>
      </c>
      <c r="L2996" s="1" t="s">
        <v>5767</v>
      </c>
      <c r="M2996" s="1">
        <v>1.0</v>
      </c>
      <c r="N2996" s="1" t="s">
        <v>1152</v>
      </c>
      <c r="O2996" s="3" t="s">
        <v>3477</v>
      </c>
      <c r="P2996" s="1" t="s">
        <v>1152</v>
      </c>
      <c r="Q2996" s="1" t="s">
        <v>1152</v>
      </c>
      <c r="R2996" s="1"/>
      <c r="S2996" s="1"/>
      <c r="T2996" s="1" t="s">
        <v>1152</v>
      </c>
      <c r="U2996" s="1" t="s">
        <v>1812</v>
      </c>
      <c r="V2996" s="4" t="s">
        <v>3477</v>
      </c>
      <c r="W2996" s="1"/>
      <c r="X2996" s="1" t="s">
        <v>1152</v>
      </c>
      <c r="Y2996" s="1" t="s">
        <v>1152</v>
      </c>
      <c r="Z2996" s="1"/>
      <c r="AA2996" s="1"/>
      <c r="AB2996" s="1"/>
      <c r="AC2996" s="1" t="s">
        <v>1925</v>
      </c>
      <c r="AD2996" s="1"/>
      <c r="AE2996" s="18">
        <v>46150.0</v>
      </c>
      <c r="AF2996" s="1"/>
      <c r="AG2996" s="1"/>
      <c r="AH2996" s="1" t="s">
        <v>1152</v>
      </c>
      <c r="AI2996" s="1" t="s">
        <v>1152</v>
      </c>
      <c r="AJ2996" s="1" t="s">
        <v>3515</v>
      </c>
      <c r="AK2996" s="1" t="s">
        <v>1152</v>
      </c>
      <c r="AL2996" s="6"/>
      <c r="AM2996" s="12">
        <v>9.143302573E9</v>
      </c>
    </row>
    <row r="2997">
      <c r="A2997" s="5" t="s">
        <v>13687</v>
      </c>
      <c r="B2997" s="1" t="s">
        <v>13688</v>
      </c>
      <c r="C2997" s="1" t="s">
        <v>13689</v>
      </c>
      <c r="D2997" s="2">
        <v>6.292442084E9</v>
      </c>
      <c r="E2997" s="1" t="s">
        <v>13690</v>
      </c>
      <c r="F2997" s="1"/>
      <c r="G2997" s="1" t="s">
        <v>1804</v>
      </c>
      <c r="H2997" s="1" t="s">
        <v>1598</v>
      </c>
      <c r="I2997" s="1">
        <v>37206.0</v>
      </c>
      <c r="J2997" s="1" t="s">
        <v>752</v>
      </c>
      <c r="K2997" s="1" t="s">
        <v>2131</v>
      </c>
      <c r="L2997" s="1" t="s">
        <v>5811</v>
      </c>
      <c r="M2997" s="1">
        <v>1.0</v>
      </c>
      <c r="N2997" s="1" t="s">
        <v>1152</v>
      </c>
      <c r="O2997" s="3" t="s">
        <v>1716</v>
      </c>
      <c r="P2997" s="1" t="s">
        <v>1152</v>
      </c>
      <c r="Q2997" s="1" t="s">
        <v>1152</v>
      </c>
      <c r="R2997" s="1"/>
      <c r="S2997" s="1"/>
      <c r="T2997" s="1" t="s">
        <v>1152</v>
      </c>
      <c r="U2997" s="1" t="s">
        <v>956</v>
      </c>
      <c r="V2997" s="4" t="s">
        <v>1716</v>
      </c>
      <c r="W2997" s="1"/>
      <c r="X2997" s="1" t="s">
        <v>1152</v>
      </c>
      <c r="Y2997" s="1" t="s">
        <v>1152</v>
      </c>
      <c r="Z2997" s="1"/>
      <c r="AA2997" s="1"/>
      <c r="AB2997" s="1"/>
      <c r="AC2997" s="1" t="s">
        <v>1925</v>
      </c>
      <c r="AD2997" s="1"/>
      <c r="AE2997" s="18">
        <v>46150.0</v>
      </c>
      <c r="AF2997" s="1"/>
      <c r="AG2997" s="1"/>
      <c r="AH2997" s="1" t="s">
        <v>1152</v>
      </c>
      <c r="AI2997" s="1" t="s">
        <v>1152</v>
      </c>
      <c r="AJ2997" s="1" t="s">
        <v>13690</v>
      </c>
      <c r="AK2997" s="1" t="s">
        <v>1152</v>
      </c>
      <c r="AL2997" s="6"/>
      <c r="AM2997" s="12">
        <v>6.292442084E9</v>
      </c>
    </row>
    <row r="2998">
      <c r="A2998" s="5" t="s">
        <v>13691</v>
      </c>
      <c r="B2998" s="1" t="s">
        <v>13692</v>
      </c>
      <c r="C2998" s="1" t="s">
        <v>13693</v>
      </c>
      <c r="D2998" s="2">
        <v>6.154140682E9</v>
      </c>
      <c r="E2998" s="1" t="s">
        <v>1816</v>
      </c>
      <c r="F2998" s="1"/>
      <c r="G2998" s="1" t="s">
        <v>1817</v>
      </c>
      <c r="H2998" s="1" t="s">
        <v>1598</v>
      </c>
      <c r="I2998" s="1">
        <v>37027.0</v>
      </c>
      <c r="J2998" s="1" t="s">
        <v>752</v>
      </c>
      <c r="K2998" s="1" t="s">
        <v>2131</v>
      </c>
      <c r="L2998" s="1" t="s">
        <v>5767</v>
      </c>
      <c r="M2998" s="1">
        <v>1.0</v>
      </c>
      <c r="N2998" s="1" t="s">
        <v>1152</v>
      </c>
      <c r="O2998" s="3" t="s">
        <v>1818</v>
      </c>
      <c r="P2998" s="1" t="s">
        <v>1152</v>
      </c>
      <c r="Q2998" s="1" t="s">
        <v>1152</v>
      </c>
      <c r="R2998" s="1"/>
      <c r="S2998" s="1"/>
      <c r="T2998" s="1" t="s">
        <v>1152</v>
      </c>
      <c r="U2998" s="1" t="s">
        <v>1441</v>
      </c>
      <c r="V2998" s="4" t="s">
        <v>1818</v>
      </c>
      <c r="W2998" s="1"/>
      <c r="X2998" s="1" t="s">
        <v>1152</v>
      </c>
      <c r="Y2998" s="1" t="s">
        <v>1152</v>
      </c>
      <c r="Z2998" s="1"/>
      <c r="AA2998" s="1"/>
      <c r="AB2998" s="1"/>
      <c r="AC2998" s="1" t="s">
        <v>1925</v>
      </c>
      <c r="AD2998" s="1"/>
      <c r="AE2998" s="18">
        <v>46150.0</v>
      </c>
      <c r="AF2998" s="1"/>
      <c r="AG2998" s="1"/>
      <c r="AH2998" s="1" t="s">
        <v>1152</v>
      </c>
      <c r="AI2998" s="1" t="s">
        <v>1152</v>
      </c>
      <c r="AJ2998" s="1" t="s">
        <v>13694</v>
      </c>
      <c r="AK2998" s="1" t="s">
        <v>1152</v>
      </c>
      <c r="AL2998" s="6"/>
      <c r="AM2998" s="12">
        <v>6.154970552E9</v>
      </c>
    </row>
    <row r="2999">
      <c r="A2999" s="5" t="s">
        <v>13695</v>
      </c>
      <c r="B2999" s="1" t="s">
        <v>13696</v>
      </c>
      <c r="C2999" s="1" t="s">
        <v>5519</v>
      </c>
      <c r="D2999" s="2">
        <v>8.082556183E9</v>
      </c>
      <c r="E2999" s="1" t="s">
        <v>13697</v>
      </c>
      <c r="F2999" s="1"/>
      <c r="G2999" s="1" t="s">
        <v>2485</v>
      </c>
      <c r="H2999" s="1" t="s">
        <v>2486</v>
      </c>
      <c r="I2999" s="1">
        <v>96817.0</v>
      </c>
      <c r="J2999" s="1" t="s">
        <v>752</v>
      </c>
      <c r="K2999" s="1" t="s">
        <v>2131</v>
      </c>
      <c r="L2999" s="1" t="s">
        <v>5811</v>
      </c>
      <c r="M2999" s="1">
        <v>1.0</v>
      </c>
      <c r="N2999" s="1" t="s">
        <v>1152</v>
      </c>
      <c r="O2999" s="3" t="s">
        <v>5521</v>
      </c>
      <c r="P2999" s="1" t="s">
        <v>1152</v>
      </c>
      <c r="Q2999" s="1" t="s">
        <v>1152</v>
      </c>
      <c r="R2999" s="1"/>
      <c r="S2999" s="1"/>
      <c r="T2999" s="1" t="s">
        <v>1152</v>
      </c>
      <c r="U2999" s="1" t="s">
        <v>1167</v>
      </c>
      <c r="V2999" s="4" t="s">
        <v>5521</v>
      </c>
      <c r="W2999" s="1"/>
      <c r="X2999" s="1" t="s">
        <v>1152</v>
      </c>
      <c r="Y2999" s="1" t="s">
        <v>1152</v>
      </c>
      <c r="Z2999" s="1"/>
      <c r="AA2999" s="1"/>
      <c r="AB2999" s="1"/>
      <c r="AC2999" s="1" t="s">
        <v>1925</v>
      </c>
      <c r="AD2999" s="1"/>
      <c r="AE2999" s="18">
        <v>46151.0</v>
      </c>
      <c r="AF2999" s="1"/>
      <c r="AG2999" s="1"/>
      <c r="AH2999" s="1" t="s">
        <v>1152</v>
      </c>
      <c r="AI2999" s="1" t="s">
        <v>1152</v>
      </c>
      <c r="AJ2999" s="1" t="s">
        <v>13697</v>
      </c>
      <c r="AK2999" s="1" t="s">
        <v>1152</v>
      </c>
      <c r="AL2999" s="6"/>
      <c r="AM2999" s="12">
        <v>8.082556183E9</v>
      </c>
    </row>
    <row r="3000">
      <c r="A3000" s="5" t="s">
        <v>13698</v>
      </c>
      <c r="B3000" s="1" t="s">
        <v>13699</v>
      </c>
      <c r="C3000" s="1" t="s">
        <v>13700</v>
      </c>
      <c r="D3000" s="2">
        <v>9.255968382E9</v>
      </c>
      <c r="E3000" s="1" t="s">
        <v>13701</v>
      </c>
      <c r="F3000" s="1"/>
      <c r="G3000" s="1" t="s">
        <v>13702</v>
      </c>
      <c r="H3000" s="1" t="s">
        <v>989</v>
      </c>
      <c r="I3000" s="1">
        <v>94588.0</v>
      </c>
      <c r="J3000" s="1" t="s">
        <v>752</v>
      </c>
      <c r="K3000" s="1" t="s">
        <v>42</v>
      </c>
      <c r="L3000" s="1" t="s">
        <v>6819</v>
      </c>
      <c r="M3000" s="1">
        <v>49.0</v>
      </c>
      <c r="N3000" s="1" t="s">
        <v>1152</v>
      </c>
      <c r="O3000" s="3" t="s">
        <v>4406</v>
      </c>
      <c r="P3000" s="1" t="s">
        <v>1152</v>
      </c>
      <c r="Q3000" s="1" t="s">
        <v>1152</v>
      </c>
      <c r="R3000" s="1"/>
      <c r="S3000" s="1"/>
      <c r="T3000" s="1" t="s">
        <v>1152</v>
      </c>
      <c r="U3000" s="1" t="s">
        <v>948</v>
      </c>
      <c r="V3000" s="4" t="s">
        <v>4406</v>
      </c>
      <c r="W3000" s="1"/>
      <c r="X3000" s="1" t="s">
        <v>1152</v>
      </c>
      <c r="Y3000" s="1" t="s">
        <v>1152</v>
      </c>
      <c r="Z3000" s="1"/>
      <c r="AA3000" s="1"/>
      <c r="AB3000" s="1"/>
      <c r="AC3000" s="1" t="s">
        <v>1925</v>
      </c>
      <c r="AD3000" s="1"/>
      <c r="AE3000" s="18">
        <v>46151.0</v>
      </c>
      <c r="AF3000" s="1" t="s">
        <v>1030</v>
      </c>
      <c r="AG3000" s="1" t="s">
        <v>52</v>
      </c>
      <c r="AH3000" s="1" t="s">
        <v>1152</v>
      </c>
      <c r="AI3000" s="1" t="s">
        <v>1152</v>
      </c>
      <c r="AJ3000" s="1" t="s">
        <v>13701</v>
      </c>
      <c r="AK3000" s="1" t="s">
        <v>1152</v>
      </c>
      <c r="AL3000" s="6"/>
      <c r="AM3000" s="12">
        <v>9.255968382E9</v>
      </c>
    </row>
    <row r="3001">
      <c r="A3001" s="5" t="s">
        <v>13703</v>
      </c>
      <c r="B3001" s="1" t="s">
        <v>13704</v>
      </c>
      <c r="C3001" s="1" t="s">
        <v>11439</v>
      </c>
      <c r="D3001" s="2">
        <v>3.146590578E9</v>
      </c>
      <c r="E3001" s="1" t="s">
        <v>13705</v>
      </c>
      <c r="F3001" s="1"/>
      <c r="G3001" s="1" t="s">
        <v>1283</v>
      </c>
      <c r="H3001" s="1" t="s">
        <v>1155</v>
      </c>
      <c r="I3001" s="1" t="s">
        <v>13706</v>
      </c>
      <c r="J3001" s="1" t="s">
        <v>752</v>
      </c>
      <c r="K3001" s="1" t="s">
        <v>51</v>
      </c>
      <c r="L3001" s="1" t="s">
        <v>5722</v>
      </c>
      <c r="M3001" s="1">
        <v>1.0</v>
      </c>
      <c r="N3001" s="1" t="s">
        <v>2461</v>
      </c>
      <c r="O3001" s="3" t="s">
        <v>13707</v>
      </c>
      <c r="P3001" s="18">
        <v>46255.0</v>
      </c>
      <c r="Q3001" s="1" t="s">
        <v>2463</v>
      </c>
      <c r="R3001" s="1"/>
      <c r="S3001" s="1" t="s">
        <v>52</v>
      </c>
      <c r="T3001" s="1" t="s">
        <v>2461</v>
      </c>
      <c r="U3001" s="1" t="s">
        <v>1710</v>
      </c>
      <c r="V3001" s="4" t="s">
        <v>13707</v>
      </c>
      <c r="W3001" s="1"/>
      <c r="X3001" s="18">
        <v>46255.0</v>
      </c>
      <c r="Y3001" s="1" t="s">
        <v>2463</v>
      </c>
      <c r="Z3001" s="1"/>
      <c r="AA3001" s="1"/>
      <c r="AB3001" s="1" t="s">
        <v>52</v>
      </c>
      <c r="AC3001" s="1" t="s">
        <v>1925</v>
      </c>
      <c r="AD3001" s="1"/>
      <c r="AE3001" s="1" t="s">
        <v>1152</v>
      </c>
      <c r="AF3001" s="1"/>
      <c r="AG3001" s="1"/>
      <c r="AH3001" s="1" t="s">
        <v>1152</v>
      </c>
      <c r="AI3001" s="1" t="s">
        <v>1152</v>
      </c>
      <c r="AJ3001" s="1" t="s">
        <v>11440</v>
      </c>
      <c r="AK3001" s="1" t="s">
        <v>1152</v>
      </c>
      <c r="AL3001" s="6"/>
      <c r="AM3001" s="12" t="s">
        <v>13708</v>
      </c>
    </row>
    <row r="3002">
      <c r="A3002" s="5" t="s">
        <v>13709</v>
      </c>
      <c r="B3002" s="1" t="s">
        <v>13710</v>
      </c>
      <c r="C3002" s="1" t="s">
        <v>13711</v>
      </c>
      <c r="D3002" s="2">
        <v>4.086019912E9</v>
      </c>
      <c r="E3002" s="1" t="s">
        <v>13712</v>
      </c>
      <c r="F3002" s="1"/>
      <c r="G3002" s="1" t="s">
        <v>6282</v>
      </c>
      <c r="H3002" s="1" t="s">
        <v>989</v>
      </c>
      <c r="I3002" s="1">
        <v>95127.0</v>
      </c>
      <c r="J3002" s="1" t="s">
        <v>752</v>
      </c>
      <c r="K3002" s="1" t="s">
        <v>2131</v>
      </c>
      <c r="L3002" s="1" t="s">
        <v>5767</v>
      </c>
      <c r="M3002" s="1">
        <v>1.0</v>
      </c>
      <c r="N3002" s="1" t="s">
        <v>1152</v>
      </c>
      <c r="O3002" s="3" t="s">
        <v>5410</v>
      </c>
      <c r="P3002" s="1" t="s">
        <v>1152</v>
      </c>
      <c r="Q3002" s="1" t="s">
        <v>1152</v>
      </c>
      <c r="R3002" s="1"/>
      <c r="S3002" s="1"/>
      <c r="T3002" s="1" t="s">
        <v>1152</v>
      </c>
      <c r="U3002" s="1" t="s">
        <v>1080</v>
      </c>
      <c r="V3002" s="4" t="s">
        <v>5410</v>
      </c>
      <c r="W3002" s="1"/>
      <c r="X3002" s="1" t="s">
        <v>1152</v>
      </c>
      <c r="Y3002" s="1" t="s">
        <v>1152</v>
      </c>
      <c r="Z3002" s="1"/>
      <c r="AA3002" s="1"/>
      <c r="AB3002" s="1"/>
      <c r="AC3002" s="1" t="s">
        <v>1925</v>
      </c>
      <c r="AD3002" s="1"/>
      <c r="AE3002" s="18">
        <v>46151.0</v>
      </c>
      <c r="AF3002" s="1"/>
      <c r="AG3002" s="1"/>
      <c r="AH3002" s="1" t="s">
        <v>1152</v>
      </c>
      <c r="AI3002" s="1" t="s">
        <v>1152</v>
      </c>
      <c r="AJ3002" s="1" t="s">
        <v>13713</v>
      </c>
      <c r="AK3002" s="1" t="s">
        <v>1152</v>
      </c>
      <c r="AL3002" s="6"/>
      <c r="AM3002" s="12">
        <v>4.086019687E9</v>
      </c>
    </row>
    <row r="3003">
      <c r="A3003" s="5" t="s">
        <v>13714</v>
      </c>
      <c r="B3003" s="1" t="s">
        <v>13715</v>
      </c>
      <c r="C3003" s="1" t="s">
        <v>361</v>
      </c>
      <c r="D3003" s="2">
        <v>6.026902075E9</v>
      </c>
      <c r="E3003" s="1" t="s">
        <v>13716</v>
      </c>
      <c r="F3003" s="1"/>
      <c r="G3003" s="1" t="s">
        <v>2301</v>
      </c>
      <c r="H3003" s="1" t="s">
        <v>1583</v>
      </c>
      <c r="I3003" s="1">
        <v>76092.0</v>
      </c>
      <c r="J3003" s="1" t="s">
        <v>752</v>
      </c>
      <c r="K3003" s="1" t="s">
        <v>2131</v>
      </c>
      <c r="L3003" s="1" t="s">
        <v>5767</v>
      </c>
      <c r="M3003" s="1">
        <v>1.0</v>
      </c>
      <c r="N3003" s="1" t="s">
        <v>1152</v>
      </c>
      <c r="O3003" s="3" t="s">
        <v>365</v>
      </c>
      <c r="P3003" s="1" t="s">
        <v>1152</v>
      </c>
      <c r="Q3003" s="1" t="s">
        <v>1152</v>
      </c>
      <c r="R3003" s="1"/>
      <c r="S3003" s="1"/>
      <c r="T3003" s="1" t="s">
        <v>1152</v>
      </c>
      <c r="U3003" s="1" t="s">
        <v>1148</v>
      </c>
      <c r="V3003" s="4" t="s">
        <v>365</v>
      </c>
      <c r="W3003" s="1"/>
      <c r="X3003" s="1" t="s">
        <v>1152</v>
      </c>
      <c r="Y3003" s="1" t="s">
        <v>1152</v>
      </c>
      <c r="Z3003" s="1"/>
      <c r="AA3003" s="1"/>
      <c r="AB3003" s="1"/>
      <c r="AC3003" s="1" t="s">
        <v>1925</v>
      </c>
      <c r="AD3003" s="1"/>
      <c r="AE3003" s="18">
        <v>46178.0</v>
      </c>
      <c r="AF3003" s="1"/>
      <c r="AG3003" s="1"/>
      <c r="AH3003" s="1" t="s">
        <v>1152</v>
      </c>
      <c r="AI3003" s="1" t="s">
        <v>1152</v>
      </c>
      <c r="AJ3003" s="1" t="s">
        <v>10426</v>
      </c>
      <c r="AK3003" s="1" t="s">
        <v>1152</v>
      </c>
      <c r="AL3003" s="6"/>
      <c r="AM3003" s="12">
        <v>8.174803764E9</v>
      </c>
    </row>
    <row r="3004">
      <c r="A3004" s="5" t="s">
        <v>13717</v>
      </c>
      <c r="B3004" s="1" t="s">
        <v>13718</v>
      </c>
      <c r="C3004" s="1" t="s">
        <v>13719</v>
      </c>
      <c r="D3004" s="2">
        <v>3.148965537E9</v>
      </c>
      <c r="E3004" s="1" t="s">
        <v>13720</v>
      </c>
      <c r="F3004" s="1"/>
      <c r="G3004" s="1" t="s">
        <v>2350</v>
      </c>
      <c r="H3004" s="1" t="s">
        <v>1155</v>
      </c>
      <c r="I3004" s="1">
        <v>63130.0</v>
      </c>
      <c r="J3004" s="1" t="s">
        <v>752</v>
      </c>
      <c r="K3004" s="1" t="s">
        <v>42</v>
      </c>
      <c r="L3004" s="1" t="s">
        <v>6819</v>
      </c>
      <c r="M3004" s="1">
        <v>49.0</v>
      </c>
      <c r="N3004" s="1" t="s">
        <v>1152</v>
      </c>
      <c r="O3004" s="3" t="s">
        <v>6283</v>
      </c>
      <c r="P3004" s="1" t="s">
        <v>1152</v>
      </c>
      <c r="Q3004" s="1" t="s">
        <v>1152</v>
      </c>
      <c r="R3004" s="1"/>
      <c r="S3004" s="1"/>
      <c r="T3004" s="1" t="s">
        <v>1152</v>
      </c>
      <c r="U3004" s="1" t="s">
        <v>1133</v>
      </c>
      <c r="V3004" s="4" t="s">
        <v>6283</v>
      </c>
      <c r="W3004" s="1"/>
      <c r="X3004" s="1" t="s">
        <v>1152</v>
      </c>
      <c r="Y3004" s="1" t="s">
        <v>1152</v>
      </c>
      <c r="Z3004" s="1"/>
      <c r="AA3004" s="1"/>
      <c r="AB3004" s="1"/>
      <c r="AC3004" s="1" t="s">
        <v>1925</v>
      </c>
      <c r="AD3004" s="1"/>
      <c r="AE3004" s="18">
        <v>46151.0</v>
      </c>
      <c r="AF3004" s="1" t="s">
        <v>1030</v>
      </c>
      <c r="AG3004" s="1" t="s">
        <v>52</v>
      </c>
      <c r="AH3004" s="1" t="s">
        <v>1152</v>
      </c>
      <c r="AI3004" s="1" t="s">
        <v>1152</v>
      </c>
      <c r="AJ3004" s="1" t="s">
        <v>13721</v>
      </c>
      <c r="AK3004" s="1" t="s">
        <v>1152</v>
      </c>
      <c r="AL3004" s="6"/>
      <c r="AM3004" s="12" t="s">
        <v>13722</v>
      </c>
    </row>
    <row r="3005">
      <c r="A3005" s="5" t="s">
        <v>13723</v>
      </c>
      <c r="B3005" s="1" t="s">
        <v>13724</v>
      </c>
      <c r="C3005" s="1" t="s">
        <v>13725</v>
      </c>
      <c r="D3005" s="2">
        <v>2.034825575E9</v>
      </c>
      <c r="E3005" s="1" t="s">
        <v>7918</v>
      </c>
      <c r="F3005" s="1"/>
      <c r="G3005" s="1" t="s">
        <v>980</v>
      </c>
      <c r="H3005" s="1" t="s">
        <v>1078</v>
      </c>
      <c r="I3005" s="1">
        <v>6793.0</v>
      </c>
      <c r="J3005" s="1" t="s">
        <v>752</v>
      </c>
      <c r="K3005" s="1" t="s">
        <v>892</v>
      </c>
      <c r="L3005" s="1" t="s">
        <v>8006</v>
      </c>
      <c r="M3005" s="1">
        <v>49.0</v>
      </c>
      <c r="N3005" s="1" t="s">
        <v>1152</v>
      </c>
      <c r="O3005" s="3" t="s">
        <v>13726</v>
      </c>
      <c r="P3005" s="1" t="s">
        <v>1152</v>
      </c>
      <c r="Q3005" s="1" t="s">
        <v>1152</v>
      </c>
      <c r="R3005" s="1"/>
      <c r="S3005" s="1"/>
      <c r="T3005" s="1" t="s">
        <v>1152</v>
      </c>
      <c r="U3005" s="1" t="s">
        <v>1065</v>
      </c>
      <c r="V3005" s="4" t="s">
        <v>13726</v>
      </c>
      <c r="W3005" s="1"/>
      <c r="X3005" s="1" t="s">
        <v>1152</v>
      </c>
      <c r="Y3005" s="1" t="s">
        <v>1152</v>
      </c>
      <c r="Z3005" s="1"/>
      <c r="AA3005" s="1"/>
      <c r="AB3005" s="1"/>
      <c r="AC3005" s="1" t="s">
        <v>1925</v>
      </c>
      <c r="AD3005" s="1"/>
      <c r="AE3005" s="18">
        <v>46151.0</v>
      </c>
      <c r="AF3005" s="1" t="s">
        <v>1030</v>
      </c>
      <c r="AG3005" s="1" t="s">
        <v>52</v>
      </c>
      <c r="AH3005" s="1" t="s">
        <v>13727</v>
      </c>
      <c r="AI3005" s="1" t="s">
        <v>1152</v>
      </c>
      <c r="AJ3005" s="1" t="s">
        <v>13728</v>
      </c>
      <c r="AK3005" s="1" t="s">
        <v>1152</v>
      </c>
      <c r="AL3005" s="6"/>
      <c r="AM3005" s="12">
        <v>2.034825575E9</v>
      </c>
    </row>
    <row r="3006">
      <c r="A3006" s="5" t="s">
        <v>13723</v>
      </c>
      <c r="B3006" s="1" t="s">
        <v>13724</v>
      </c>
      <c r="C3006" s="1" t="s">
        <v>13725</v>
      </c>
      <c r="D3006" s="2">
        <v>2.034825575E9</v>
      </c>
      <c r="E3006" s="1" t="s">
        <v>7918</v>
      </c>
      <c r="F3006" s="1"/>
      <c r="G3006" s="1" t="s">
        <v>980</v>
      </c>
      <c r="H3006" s="1" t="s">
        <v>1078</v>
      </c>
      <c r="I3006" s="1">
        <v>6793.0</v>
      </c>
      <c r="J3006" s="1" t="s">
        <v>752</v>
      </c>
      <c r="K3006" s="1" t="s">
        <v>42</v>
      </c>
      <c r="L3006" s="1" t="s">
        <v>6819</v>
      </c>
      <c r="M3006" s="1">
        <v>49.0</v>
      </c>
      <c r="N3006" s="1" t="s">
        <v>1152</v>
      </c>
      <c r="O3006" s="3" t="s">
        <v>13726</v>
      </c>
      <c r="P3006" s="1" t="s">
        <v>1152</v>
      </c>
      <c r="Q3006" s="1" t="s">
        <v>1152</v>
      </c>
      <c r="R3006" s="1"/>
      <c r="S3006" s="1"/>
      <c r="T3006" s="1" t="s">
        <v>1152</v>
      </c>
      <c r="U3006" s="1" t="s">
        <v>1065</v>
      </c>
      <c r="V3006" s="4" t="s">
        <v>13726</v>
      </c>
      <c r="W3006" s="1"/>
      <c r="X3006" s="1" t="s">
        <v>1152</v>
      </c>
      <c r="Y3006" s="1" t="s">
        <v>1152</v>
      </c>
      <c r="Z3006" s="1"/>
      <c r="AA3006" s="1"/>
      <c r="AB3006" s="1"/>
      <c r="AC3006" s="1" t="s">
        <v>1925</v>
      </c>
      <c r="AD3006" s="1"/>
      <c r="AE3006" s="18">
        <v>46151.0</v>
      </c>
      <c r="AF3006" s="1" t="s">
        <v>1030</v>
      </c>
      <c r="AG3006" s="1" t="s">
        <v>52</v>
      </c>
      <c r="AH3006" s="1" t="s">
        <v>1152</v>
      </c>
      <c r="AI3006" s="1" t="s">
        <v>1152</v>
      </c>
      <c r="AJ3006" s="1" t="s">
        <v>7918</v>
      </c>
      <c r="AK3006" s="1" t="s">
        <v>1152</v>
      </c>
      <c r="AL3006" s="6"/>
      <c r="AM3006" s="12">
        <v>2.034825575E9</v>
      </c>
    </row>
    <row r="3007">
      <c r="A3007" s="5" t="s">
        <v>13729</v>
      </c>
      <c r="B3007" s="1" t="s">
        <v>13730</v>
      </c>
      <c r="C3007" s="1" t="s">
        <v>13731</v>
      </c>
      <c r="D3007" s="2">
        <v>3.013375219E9</v>
      </c>
      <c r="E3007" s="1" t="s">
        <v>13732</v>
      </c>
      <c r="F3007" s="1" t="s">
        <v>13733</v>
      </c>
      <c r="G3007" s="1" t="s">
        <v>8721</v>
      </c>
      <c r="H3007" s="1" t="s">
        <v>1005</v>
      </c>
      <c r="I3007" s="1">
        <v>20850.0</v>
      </c>
      <c r="J3007" s="1" t="s">
        <v>752</v>
      </c>
      <c r="K3007" s="1" t="s">
        <v>42</v>
      </c>
      <c r="L3007" s="1" t="s">
        <v>6819</v>
      </c>
      <c r="M3007" s="1">
        <v>49.0</v>
      </c>
      <c r="N3007" s="1" t="s">
        <v>1152</v>
      </c>
      <c r="O3007" s="3"/>
      <c r="P3007" s="1" t="s">
        <v>1152</v>
      </c>
      <c r="Q3007" s="1" t="s">
        <v>1152</v>
      </c>
      <c r="R3007" s="1" t="s">
        <v>13733</v>
      </c>
      <c r="S3007" s="1"/>
      <c r="T3007" s="1" t="s">
        <v>1152</v>
      </c>
      <c r="U3007" s="1"/>
      <c r="V3007" s="4"/>
      <c r="W3007" s="1" t="s">
        <v>13733</v>
      </c>
      <c r="X3007" s="1" t="s">
        <v>1152</v>
      </c>
      <c r="Y3007" s="1" t="s">
        <v>1152</v>
      </c>
      <c r="Z3007" s="1"/>
      <c r="AA3007" s="1" t="s">
        <v>13733</v>
      </c>
      <c r="AB3007" s="1"/>
      <c r="AC3007" s="1" t="s">
        <v>1925</v>
      </c>
      <c r="AD3007" s="1"/>
      <c r="AE3007" s="18">
        <v>46158.0</v>
      </c>
      <c r="AF3007" s="1" t="s">
        <v>1349</v>
      </c>
      <c r="AG3007" s="1" t="s">
        <v>124</v>
      </c>
      <c r="AH3007" s="1" t="s">
        <v>1152</v>
      </c>
      <c r="AI3007" s="1" t="s">
        <v>1152</v>
      </c>
      <c r="AJ3007" s="1" t="s">
        <v>13732</v>
      </c>
      <c r="AK3007" s="1" t="s">
        <v>1152</v>
      </c>
      <c r="AL3007" s="6"/>
      <c r="AM3007" s="12">
        <v>3.013375219E9</v>
      </c>
    </row>
    <row r="3008">
      <c r="A3008" s="5" t="s">
        <v>13734</v>
      </c>
      <c r="B3008" s="1" t="s">
        <v>13735</v>
      </c>
      <c r="C3008" s="1" t="s">
        <v>13736</v>
      </c>
      <c r="D3008" s="2">
        <v>8.327072357E9</v>
      </c>
      <c r="E3008" s="1" t="s">
        <v>6042</v>
      </c>
      <c r="F3008" s="1"/>
      <c r="G3008" s="1" t="s">
        <v>6043</v>
      </c>
      <c r="H3008" s="1" t="s">
        <v>1583</v>
      </c>
      <c r="I3008" s="1">
        <v>77494.0</v>
      </c>
      <c r="J3008" s="1" t="s">
        <v>752</v>
      </c>
      <c r="K3008" s="1" t="s">
        <v>2131</v>
      </c>
      <c r="L3008" s="1" t="s">
        <v>5736</v>
      </c>
      <c r="M3008" s="1">
        <v>1.0</v>
      </c>
      <c r="N3008" s="1" t="s">
        <v>1152</v>
      </c>
      <c r="O3008" s="3" t="s">
        <v>6044</v>
      </c>
      <c r="P3008" s="1" t="s">
        <v>1152</v>
      </c>
      <c r="Q3008" s="1" t="s">
        <v>1152</v>
      </c>
      <c r="R3008" s="1"/>
      <c r="S3008" s="1"/>
      <c r="T3008" s="1" t="s">
        <v>1152</v>
      </c>
      <c r="U3008" s="1" t="s">
        <v>1039</v>
      </c>
      <c r="V3008" s="4" t="s">
        <v>6044</v>
      </c>
      <c r="W3008" s="1"/>
      <c r="X3008" s="1" t="s">
        <v>1152</v>
      </c>
      <c r="Y3008" s="1" t="s">
        <v>1152</v>
      </c>
      <c r="Z3008" s="1"/>
      <c r="AA3008" s="1"/>
      <c r="AB3008" s="1"/>
      <c r="AC3008" s="1" t="s">
        <v>1925</v>
      </c>
      <c r="AD3008" s="1"/>
      <c r="AE3008" s="18">
        <v>46151.0</v>
      </c>
      <c r="AF3008" s="1"/>
      <c r="AG3008" s="1"/>
      <c r="AH3008" s="1" t="s">
        <v>1152</v>
      </c>
      <c r="AI3008" s="1" t="s">
        <v>1152</v>
      </c>
      <c r="AJ3008" s="1" t="s">
        <v>6042</v>
      </c>
      <c r="AK3008" s="1" t="s">
        <v>1152</v>
      </c>
      <c r="AL3008" s="6"/>
      <c r="AM3008" s="12">
        <v>8.327072357E9</v>
      </c>
    </row>
    <row r="3009">
      <c r="A3009" s="5" t="s">
        <v>13737</v>
      </c>
      <c r="B3009" s="1" t="s">
        <v>13738</v>
      </c>
      <c r="C3009" s="1" t="s">
        <v>13739</v>
      </c>
      <c r="D3009" s="2">
        <v>7.814932262E9</v>
      </c>
      <c r="E3009" s="1" t="s">
        <v>13740</v>
      </c>
      <c r="F3009" s="1"/>
      <c r="G3009" s="1" t="s">
        <v>1037</v>
      </c>
      <c r="H3009" s="1" t="s">
        <v>1121</v>
      </c>
      <c r="I3009" s="1">
        <v>2474.0</v>
      </c>
      <c r="J3009" s="1" t="s">
        <v>752</v>
      </c>
      <c r="K3009" s="1" t="s">
        <v>2131</v>
      </c>
      <c r="L3009" s="1" t="s">
        <v>6107</v>
      </c>
      <c r="M3009" s="1">
        <v>1.0</v>
      </c>
      <c r="N3009" s="1" t="s">
        <v>1152</v>
      </c>
      <c r="O3009" s="3" t="s">
        <v>13741</v>
      </c>
      <c r="P3009" s="1" t="s">
        <v>1152</v>
      </c>
      <c r="Q3009" s="1" t="s">
        <v>1152</v>
      </c>
      <c r="R3009" s="1"/>
      <c r="S3009" s="1"/>
      <c r="T3009" s="1" t="s">
        <v>1152</v>
      </c>
      <c r="U3009" s="1" t="s">
        <v>6053</v>
      </c>
      <c r="V3009" s="4" t="s">
        <v>13741</v>
      </c>
      <c r="W3009" s="1"/>
      <c r="X3009" s="1" t="s">
        <v>1152</v>
      </c>
      <c r="Y3009" s="1" t="s">
        <v>1152</v>
      </c>
      <c r="Z3009" s="1"/>
      <c r="AA3009" s="1"/>
      <c r="AB3009" s="1"/>
      <c r="AC3009" s="1" t="s">
        <v>1925</v>
      </c>
      <c r="AD3009" s="1"/>
      <c r="AE3009" s="18">
        <v>46151.0</v>
      </c>
      <c r="AF3009" s="1"/>
      <c r="AG3009" s="1"/>
      <c r="AH3009" s="1" t="s">
        <v>1152</v>
      </c>
      <c r="AI3009" s="1" t="s">
        <v>1152</v>
      </c>
      <c r="AJ3009" s="1" t="s">
        <v>256</v>
      </c>
      <c r="AK3009" s="1" t="s">
        <v>1152</v>
      </c>
      <c r="AL3009" s="6"/>
      <c r="AM3009" s="12" t="s">
        <v>13742</v>
      </c>
    </row>
    <row r="3010">
      <c r="A3010" s="5" t="s">
        <v>13743</v>
      </c>
      <c r="B3010" s="1" t="s">
        <v>13744</v>
      </c>
      <c r="C3010" s="1" t="s">
        <v>6866</v>
      </c>
      <c r="D3010" s="2">
        <v>3.472793476E9</v>
      </c>
      <c r="E3010" s="1" t="s">
        <v>6870</v>
      </c>
      <c r="F3010" s="1"/>
      <c r="G3010" s="1" t="s">
        <v>6868</v>
      </c>
      <c r="H3010" s="1" t="s">
        <v>751</v>
      </c>
      <c r="I3010" s="1">
        <v>11375.0</v>
      </c>
      <c r="J3010" s="1" t="s">
        <v>752</v>
      </c>
      <c r="K3010" s="1" t="s">
        <v>2131</v>
      </c>
      <c r="L3010" s="1" t="s">
        <v>5767</v>
      </c>
      <c r="M3010" s="1">
        <v>1.0</v>
      </c>
      <c r="N3010" s="1" t="s">
        <v>1152</v>
      </c>
      <c r="O3010" s="3" t="s">
        <v>13745</v>
      </c>
      <c r="P3010" s="1" t="s">
        <v>1152</v>
      </c>
      <c r="Q3010" s="1" t="s">
        <v>1152</v>
      </c>
      <c r="R3010" s="1"/>
      <c r="S3010" s="1"/>
      <c r="T3010" s="1" t="s">
        <v>1152</v>
      </c>
      <c r="U3010" s="1" t="s">
        <v>1039</v>
      </c>
      <c r="V3010" s="4" t="s">
        <v>13745</v>
      </c>
      <c r="W3010" s="1"/>
      <c r="X3010" s="1" t="s">
        <v>1152</v>
      </c>
      <c r="Y3010" s="1" t="s">
        <v>1152</v>
      </c>
      <c r="Z3010" s="1"/>
      <c r="AA3010" s="1"/>
      <c r="AB3010" s="1"/>
      <c r="AC3010" s="1" t="s">
        <v>1925</v>
      </c>
      <c r="AD3010" s="1"/>
      <c r="AE3010" s="18">
        <v>46151.0</v>
      </c>
      <c r="AF3010" s="1"/>
      <c r="AG3010" s="1"/>
      <c r="AH3010" s="1" t="s">
        <v>1152</v>
      </c>
      <c r="AI3010" s="1" t="s">
        <v>1152</v>
      </c>
      <c r="AJ3010" s="1" t="s">
        <v>6870</v>
      </c>
      <c r="AK3010" s="1" t="s">
        <v>1152</v>
      </c>
      <c r="AL3010" s="6"/>
      <c r="AM3010" s="12">
        <v>3.472793476E9</v>
      </c>
    </row>
    <row r="3011">
      <c r="A3011" s="5" t="s">
        <v>13746</v>
      </c>
      <c r="B3011" s="1" t="s">
        <v>13747</v>
      </c>
      <c r="C3011" s="1" t="s">
        <v>13748</v>
      </c>
      <c r="D3011" s="2">
        <v>2.029576757E9</v>
      </c>
      <c r="E3011" s="1" t="s">
        <v>9471</v>
      </c>
      <c r="F3011" s="1"/>
      <c r="G3011" s="1" t="s">
        <v>1299</v>
      </c>
      <c r="H3011" s="1" t="s">
        <v>1005</v>
      </c>
      <c r="I3011" s="1">
        <v>20814.0</v>
      </c>
      <c r="J3011" s="1" t="s">
        <v>752</v>
      </c>
      <c r="K3011" s="1" t="s">
        <v>51</v>
      </c>
      <c r="L3011" s="1" t="s">
        <v>5722</v>
      </c>
      <c r="M3011" s="1">
        <v>1.0</v>
      </c>
      <c r="N3011" s="1" t="s">
        <v>2461</v>
      </c>
      <c r="O3011" s="3" t="s">
        <v>3587</v>
      </c>
      <c r="P3011" s="18">
        <v>46253.0</v>
      </c>
      <c r="Q3011" s="1" t="s">
        <v>2463</v>
      </c>
      <c r="R3011" s="1"/>
      <c r="S3011" s="1" t="s">
        <v>52</v>
      </c>
      <c r="T3011" s="1" t="s">
        <v>2461</v>
      </c>
      <c r="U3011" s="1" t="s">
        <v>1407</v>
      </c>
      <c r="V3011" s="4" t="s">
        <v>3587</v>
      </c>
      <c r="W3011" s="1"/>
      <c r="X3011" s="18">
        <v>46253.0</v>
      </c>
      <c r="Y3011" s="1" t="s">
        <v>2463</v>
      </c>
      <c r="Z3011" s="1"/>
      <c r="AA3011" s="1"/>
      <c r="AB3011" s="1" t="s">
        <v>52</v>
      </c>
      <c r="AC3011" s="1" t="s">
        <v>1925</v>
      </c>
      <c r="AD3011" s="1"/>
      <c r="AE3011" s="1" t="s">
        <v>1152</v>
      </c>
      <c r="AF3011" s="1"/>
      <c r="AG3011" s="1"/>
      <c r="AH3011" s="1" t="s">
        <v>1152</v>
      </c>
      <c r="AI3011" s="1" t="s">
        <v>1152</v>
      </c>
      <c r="AJ3011" s="1" t="s">
        <v>9471</v>
      </c>
      <c r="AK3011" s="1" t="s">
        <v>1152</v>
      </c>
      <c r="AL3011" s="6"/>
      <c r="AM3011" s="12">
        <v>2.029576757E9</v>
      </c>
    </row>
    <row r="3012">
      <c r="A3012" s="5" t="s">
        <v>13749</v>
      </c>
      <c r="B3012" s="1" t="s">
        <v>13750</v>
      </c>
      <c r="C3012" s="1" t="s">
        <v>13751</v>
      </c>
      <c r="D3012" s="2">
        <v>3.143320666E9</v>
      </c>
      <c r="E3012" s="1" t="s">
        <v>13752</v>
      </c>
      <c r="F3012" s="1"/>
      <c r="G3012" s="1" t="s">
        <v>1283</v>
      </c>
      <c r="H3012" s="1" t="s">
        <v>1155</v>
      </c>
      <c r="I3012" s="1">
        <v>63141.0</v>
      </c>
      <c r="J3012" s="1" t="s">
        <v>752</v>
      </c>
      <c r="K3012" s="1" t="s">
        <v>2131</v>
      </c>
      <c r="L3012" s="1" t="s">
        <v>5767</v>
      </c>
      <c r="M3012" s="1">
        <v>1.0</v>
      </c>
      <c r="N3012" s="1" t="s">
        <v>1152</v>
      </c>
      <c r="O3012" s="3" t="s">
        <v>13753</v>
      </c>
      <c r="P3012" s="1" t="s">
        <v>1152</v>
      </c>
      <c r="Q3012" s="1" t="s">
        <v>1152</v>
      </c>
      <c r="R3012" s="1"/>
      <c r="S3012" s="1"/>
      <c r="T3012" s="1" t="s">
        <v>1152</v>
      </c>
      <c r="U3012" s="1" t="s">
        <v>1537</v>
      </c>
      <c r="V3012" s="4" t="s">
        <v>13753</v>
      </c>
      <c r="W3012" s="1"/>
      <c r="X3012" s="1" t="s">
        <v>1152</v>
      </c>
      <c r="Y3012" s="1" t="s">
        <v>1152</v>
      </c>
      <c r="Z3012" s="1"/>
      <c r="AA3012" s="1"/>
      <c r="AB3012" s="1"/>
      <c r="AC3012" s="1" t="s">
        <v>1925</v>
      </c>
      <c r="AD3012" s="1"/>
      <c r="AE3012" s="18">
        <v>46151.0</v>
      </c>
      <c r="AF3012" s="1"/>
      <c r="AG3012" s="1"/>
      <c r="AH3012" s="1" t="s">
        <v>1152</v>
      </c>
      <c r="AI3012" s="1" t="s">
        <v>1152</v>
      </c>
      <c r="AJ3012" s="1" t="s">
        <v>13752</v>
      </c>
      <c r="AK3012" s="1" t="s">
        <v>1152</v>
      </c>
      <c r="AL3012" s="6"/>
      <c r="AM3012" s="12">
        <v>3.143320666E9</v>
      </c>
    </row>
    <row r="3013">
      <c r="A3013" s="5" t="s">
        <v>13754</v>
      </c>
      <c r="B3013" s="1" t="s">
        <v>13755</v>
      </c>
      <c r="C3013" s="1" t="s">
        <v>13756</v>
      </c>
      <c r="D3013" s="2">
        <v>8.153763895E9</v>
      </c>
      <c r="E3013" s="1" t="s">
        <v>13045</v>
      </c>
      <c r="F3013" s="1"/>
      <c r="G3013" s="1" t="s">
        <v>13046</v>
      </c>
      <c r="H3013" s="1" t="s">
        <v>751</v>
      </c>
      <c r="I3013" s="1">
        <v>10968.0</v>
      </c>
      <c r="J3013" s="1" t="s">
        <v>752</v>
      </c>
      <c r="K3013" s="1" t="s">
        <v>2131</v>
      </c>
      <c r="L3013" s="1" t="s">
        <v>5767</v>
      </c>
      <c r="M3013" s="1">
        <v>1.0</v>
      </c>
      <c r="N3013" s="1" t="s">
        <v>1152</v>
      </c>
      <c r="O3013" s="3" t="s">
        <v>1079</v>
      </c>
      <c r="P3013" s="1" t="s">
        <v>1152</v>
      </c>
      <c r="Q3013" s="1" t="s">
        <v>1152</v>
      </c>
      <c r="R3013" s="1"/>
      <c r="S3013" s="1"/>
      <c r="T3013" s="1" t="s">
        <v>1152</v>
      </c>
      <c r="U3013" s="1" t="s">
        <v>1080</v>
      </c>
      <c r="V3013" s="4" t="s">
        <v>1079</v>
      </c>
      <c r="W3013" s="1"/>
      <c r="X3013" s="1" t="s">
        <v>1152</v>
      </c>
      <c r="Y3013" s="1" t="s">
        <v>1152</v>
      </c>
      <c r="Z3013" s="1"/>
      <c r="AA3013" s="1"/>
      <c r="AB3013" s="1"/>
      <c r="AC3013" s="1" t="s">
        <v>1925</v>
      </c>
      <c r="AD3013" s="1"/>
      <c r="AE3013" s="18">
        <v>46151.0</v>
      </c>
      <c r="AF3013" s="1"/>
      <c r="AG3013" s="1"/>
      <c r="AH3013" s="1" t="s">
        <v>1152</v>
      </c>
      <c r="AI3013" s="1" t="s">
        <v>1152</v>
      </c>
      <c r="AJ3013" s="1" t="s">
        <v>13757</v>
      </c>
      <c r="AK3013" s="1" t="s">
        <v>1152</v>
      </c>
      <c r="AL3013" s="6"/>
      <c r="AM3013" s="12" t="s">
        <v>13758</v>
      </c>
    </row>
    <row r="3014">
      <c r="A3014" s="5" t="s">
        <v>13759</v>
      </c>
      <c r="B3014" s="1" t="s">
        <v>13760</v>
      </c>
      <c r="C3014" s="1" t="s">
        <v>13761</v>
      </c>
      <c r="D3014" s="2">
        <v>6.18971428E9</v>
      </c>
      <c r="E3014" s="1" t="s">
        <v>13762</v>
      </c>
      <c r="F3014" s="1" t="s">
        <v>13763</v>
      </c>
      <c r="G3014" s="1" t="s">
        <v>2350</v>
      </c>
      <c r="H3014" s="1" t="s">
        <v>1155</v>
      </c>
      <c r="I3014" s="1">
        <v>63130.0</v>
      </c>
      <c r="J3014" s="1" t="s">
        <v>752</v>
      </c>
      <c r="K3014" s="1" t="s">
        <v>42</v>
      </c>
      <c r="L3014" s="1" t="s">
        <v>6819</v>
      </c>
      <c r="M3014" s="1">
        <v>49.0</v>
      </c>
      <c r="N3014" s="1" t="s">
        <v>1152</v>
      </c>
      <c r="O3014" s="3"/>
      <c r="P3014" s="1" t="s">
        <v>1152</v>
      </c>
      <c r="Q3014" s="1" t="s">
        <v>1152</v>
      </c>
      <c r="R3014" s="1" t="s">
        <v>13763</v>
      </c>
      <c r="S3014" s="1"/>
      <c r="T3014" s="1" t="s">
        <v>1152</v>
      </c>
      <c r="U3014" s="1"/>
      <c r="V3014" s="4"/>
      <c r="W3014" s="1" t="s">
        <v>13763</v>
      </c>
      <c r="X3014" s="1" t="s">
        <v>1152</v>
      </c>
      <c r="Y3014" s="1" t="s">
        <v>1152</v>
      </c>
      <c r="Z3014" s="1"/>
      <c r="AA3014" s="1" t="s">
        <v>13763</v>
      </c>
      <c r="AB3014" s="1"/>
      <c r="AC3014" s="1" t="s">
        <v>1925</v>
      </c>
      <c r="AD3014" s="1"/>
      <c r="AE3014" s="18">
        <v>46158.0</v>
      </c>
      <c r="AF3014" s="1" t="s">
        <v>1349</v>
      </c>
      <c r="AG3014" s="1" t="s">
        <v>124</v>
      </c>
      <c r="AH3014" s="1" t="s">
        <v>1152</v>
      </c>
      <c r="AI3014" s="1" t="s">
        <v>1152</v>
      </c>
      <c r="AJ3014" s="1" t="s">
        <v>13762</v>
      </c>
      <c r="AK3014" s="1" t="s">
        <v>1152</v>
      </c>
      <c r="AL3014" s="6"/>
      <c r="AM3014" s="12">
        <v>6.18971428E9</v>
      </c>
    </row>
    <row r="3015">
      <c r="A3015" s="5" t="s">
        <v>13764</v>
      </c>
      <c r="B3015" s="1" t="s">
        <v>13765</v>
      </c>
      <c r="C3015" s="1" t="s">
        <v>9465</v>
      </c>
      <c r="D3015" s="2">
        <v>2.094852901E9</v>
      </c>
      <c r="E3015" s="1" t="s">
        <v>6731</v>
      </c>
      <c r="F3015" s="1"/>
      <c r="G3015" s="1" t="s">
        <v>6732</v>
      </c>
      <c r="H3015" s="1" t="s">
        <v>989</v>
      </c>
      <c r="I3015" s="1">
        <v>95380.0</v>
      </c>
      <c r="J3015" s="1" t="s">
        <v>752</v>
      </c>
      <c r="K3015" s="1" t="s">
        <v>66</v>
      </c>
      <c r="L3015" s="1" t="s">
        <v>13766</v>
      </c>
      <c r="M3015" s="1">
        <v>210.0</v>
      </c>
      <c r="N3015" s="1" t="s">
        <v>1152</v>
      </c>
      <c r="O3015" s="3" t="s">
        <v>13767</v>
      </c>
      <c r="P3015" s="18">
        <v>46255.0</v>
      </c>
      <c r="Q3015" s="1" t="s">
        <v>1152</v>
      </c>
      <c r="R3015" s="1"/>
      <c r="S3015" s="1"/>
      <c r="T3015" s="1" t="s">
        <v>1152</v>
      </c>
      <c r="U3015" s="1" t="s">
        <v>1812</v>
      </c>
      <c r="V3015" s="4" t="s">
        <v>13767</v>
      </c>
      <c r="W3015" s="1"/>
      <c r="X3015" s="18">
        <v>46255.0</v>
      </c>
      <c r="Y3015" s="1" t="s">
        <v>1152</v>
      </c>
      <c r="Z3015" s="1"/>
      <c r="AA3015" s="1"/>
      <c r="AB3015" s="1"/>
      <c r="AC3015" s="1" t="s">
        <v>1925</v>
      </c>
      <c r="AD3015" s="1"/>
      <c r="AE3015" s="1" t="s">
        <v>1152</v>
      </c>
      <c r="AF3015" s="1"/>
      <c r="AG3015" s="1"/>
      <c r="AH3015" s="1" t="s">
        <v>1152</v>
      </c>
      <c r="AI3015" s="1" t="s">
        <v>1152</v>
      </c>
      <c r="AJ3015" s="1" t="s">
        <v>6734</v>
      </c>
      <c r="AK3015" s="1" t="s">
        <v>1152</v>
      </c>
      <c r="AL3015" s="6"/>
      <c r="AM3015" s="12" t="s">
        <v>13768</v>
      </c>
    </row>
    <row r="3016">
      <c r="A3016" s="5" t="s">
        <v>13769</v>
      </c>
      <c r="B3016" s="1" t="s">
        <v>13770</v>
      </c>
      <c r="C3016" s="1" t="s">
        <v>13771</v>
      </c>
      <c r="D3016" s="2">
        <v>7.18915217E9</v>
      </c>
      <c r="E3016" s="1" t="s">
        <v>13772</v>
      </c>
      <c r="F3016" s="1"/>
      <c r="G3016" s="1" t="s">
        <v>1684</v>
      </c>
      <c r="H3016" s="1" t="s">
        <v>751</v>
      </c>
      <c r="I3016" s="1">
        <v>11201.0</v>
      </c>
      <c r="J3016" s="1" t="s">
        <v>752</v>
      </c>
      <c r="K3016" s="1" t="s">
        <v>66</v>
      </c>
      <c r="L3016" s="1" t="s">
        <v>13766</v>
      </c>
      <c r="M3016" s="1">
        <v>210.0</v>
      </c>
      <c r="N3016" s="1" t="s">
        <v>1152</v>
      </c>
      <c r="O3016" s="3" t="s">
        <v>103</v>
      </c>
      <c r="P3016" s="18">
        <v>46248.0</v>
      </c>
      <c r="Q3016" s="1" t="s">
        <v>1152</v>
      </c>
      <c r="R3016" s="1"/>
      <c r="S3016" s="1"/>
      <c r="T3016" s="1" t="s">
        <v>1152</v>
      </c>
      <c r="U3016" s="1" t="s">
        <v>102</v>
      </c>
      <c r="V3016" s="4" t="s">
        <v>103</v>
      </c>
      <c r="W3016" s="1"/>
      <c r="X3016" s="18">
        <v>46248.0</v>
      </c>
      <c r="Y3016" s="1" t="s">
        <v>1152</v>
      </c>
      <c r="Z3016" s="1"/>
      <c r="AA3016" s="1"/>
      <c r="AB3016" s="1"/>
      <c r="AC3016" s="1" t="s">
        <v>1925</v>
      </c>
      <c r="AD3016" s="1"/>
      <c r="AE3016" s="1" t="s">
        <v>1152</v>
      </c>
      <c r="AF3016" s="1"/>
      <c r="AG3016" s="1"/>
      <c r="AH3016" s="1" t="s">
        <v>1152</v>
      </c>
      <c r="AI3016" s="1" t="s">
        <v>1152</v>
      </c>
      <c r="AJ3016" s="1" t="s">
        <v>13773</v>
      </c>
      <c r="AK3016" s="1" t="s">
        <v>1152</v>
      </c>
      <c r="AL3016" s="6"/>
      <c r="AM3016" s="12" t="s">
        <v>13774</v>
      </c>
    </row>
    <row r="3017">
      <c r="A3017" s="5" t="s">
        <v>13769</v>
      </c>
      <c r="B3017" s="1" t="s">
        <v>13770</v>
      </c>
      <c r="C3017" s="1" t="s">
        <v>13771</v>
      </c>
      <c r="D3017" s="2">
        <v>7.18915217E9</v>
      </c>
      <c r="E3017" s="1" t="s">
        <v>13772</v>
      </c>
      <c r="F3017" s="1"/>
      <c r="G3017" s="1" t="s">
        <v>1684</v>
      </c>
      <c r="H3017" s="1" t="s">
        <v>751</v>
      </c>
      <c r="I3017" s="1">
        <v>11201.0</v>
      </c>
      <c r="J3017" s="1" t="s">
        <v>752</v>
      </c>
      <c r="K3017" s="1" t="s">
        <v>75</v>
      </c>
      <c r="L3017" s="1" t="s">
        <v>8733</v>
      </c>
      <c r="M3017" s="1">
        <v>49.0</v>
      </c>
      <c r="N3017" s="1" t="s">
        <v>2461</v>
      </c>
      <c r="O3017" s="3" t="s">
        <v>103</v>
      </c>
      <c r="P3017" s="18">
        <v>46248.0</v>
      </c>
      <c r="Q3017" s="1" t="s">
        <v>1152</v>
      </c>
      <c r="R3017" s="1"/>
      <c r="S3017" s="1" t="s">
        <v>52</v>
      </c>
      <c r="T3017" s="1" t="s">
        <v>2461</v>
      </c>
      <c r="U3017" s="1" t="s">
        <v>102</v>
      </c>
      <c r="V3017" s="4" t="s">
        <v>103</v>
      </c>
      <c r="W3017" s="1"/>
      <c r="X3017" s="18">
        <v>46248.0</v>
      </c>
      <c r="Y3017" s="1" t="s">
        <v>1152</v>
      </c>
      <c r="Z3017" s="1"/>
      <c r="AA3017" s="1"/>
      <c r="AB3017" s="1" t="s">
        <v>52</v>
      </c>
      <c r="AC3017" s="1" t="s">
        <v>1925</v>
      </c>
      <c r="AD3017" s="1" t="s">
        <v>13775</v>
      </c>
      <c r="AE3017" s="1" t="s">
        <v>1152</v>
      </c>
      <c r="AF3017" s="1"/>
      <c r="AG3017" s="1"/>
      <c r="AH3017" s="1" t="s">
        <v>1152</v>
      </c>
      <c r="AI3017" s="1" t="s">
        <v>1152</v>
      </c>
      <c r="AJ3017" s="1" t="s">
        <v>13776</v>
      </c>
      <c r="AK3017" s="1" t="s">
        <v>1152</v>
      </c>
      <c r="AL3017" s="6"/>
      <c r="AM3017" s="12" t="s">
        <v>13774</v>
      </c>
    </row>
    <row r="3018">
      <c r="A3018" s="5" t="s">
        <v>13777</v>
      </c>
      <c r="B3018" s="1" t="s">
        <v>13778</v>
      </c>
      <c r="C3018" s="1" t="s">
        <v>2144</v>
      </c>
      <c r="D3018" s="2">
        <v>3.108498258E9</v>
      </c>
      <c r="E3018" s="1" t="s">
        <v>11094</v>
      </c>
      <c r="F3018" s="1"/>
      <c r="G3018" s="1" t="s">
        <v>1179</v>
      </c>
      <c r="H3018" s="1" t="s">
        <v>989</v>
      </c>
      <c r="I3018" s="1">
        <v>90064.0</v>
      </c>
      <c r="J3018" s="1" t="s">
        <v>752</v>
      </c>
      <c r="K3018" s="1" t="s">
        <v>892</v>
      </c>
      <c r="L3018" s="1" t="s">
        <v>6946</v>
      </c>
      <c r="M3018" s="1">
        <v>49.0</v>
      </c>
      <c r="N3018" s="1" t="s">
        <v>1152</v>
      </c>
      <c r="O3018" s="3" t="s">
        <v>2146</v>
      </c>
      <c r="P3018" s="1" t="s">
        <v>1152</v>
      </c>
      <c r="Q3018" s="1" t="s">
        <v>1152</v>
      </c>
      <c r="R3018" s="1"/>
      <c r="S3018" s="1"/>
      <c r="T3018" s="1" t="s">
        <v>1152</v>
      </c>
      <c r="U3018" s="1" t="s">
        <v>1148</v>
      </c>
      <c r="V3018" s="4" t="s">
        <v>2146</v>
      </c>
      <c r="W3018" s="1"/>
      <c r="X3018" s="1" t="s">
        <v>1152</v>
      </c>
      <c r="Y3018" s="1" t="s">
        <v>1152</v>
      </c>
      <c r="Z3018" s="1"/>
      <c r="AA3018" s="1"/>
      <c r="AB3018" s="1"/>
      <c r="AC3018" s="1" t="s">
        <v>1925</v>
      </c>
      <c r="AD3018" s="1"/>
      <c r="AE3018" s="18">
        <v>46151.0</v>
      </c>
      <c r="AF3018" s="1" t="s">
        <v>1030</v>
      </c>
      <c r="AG3018" s="1" t="s">
        <v>52</v>
      </c>
      <c r="AH3018" s="1" t="s">
        <v>13779</v>
      </c>
      <c r="AI3018" s="1" t="s">
        <v>13780</v>
      </c>
      <c r="AJ3018" s="1" t="s">
        <v>5496</v>
      </c>
      <c r="AK3018" s="1" t="s">
        <v>1152</v>
      </c>
      <c r="AL3018" s="6"/>
      <c r="AM3018" s="12" t="str">
        <v>#ERROR!</v>
      </c>
    </row>
    <row r="3019">
      <c r="A3019" s="5" t="s">
        <v>13781</v>
      </c>
      <c r="B3019" s="1" t="s">
        <v>13782</v>
      </c>
      <c r="C3019" s="1" t="s">
        <v>13783</v>
      </c>
      <c r="D3019" s="2">
        <v>4.439003493E9</v>
      </c>
      <c r="E3019" s="1" t="s">
        <v>6902</v>
      </c>
      <c r="F3019" s="1"/>
      <c r="G3019" s="1" t="s">
        <v>4251</v>
      </c>
      <c r="H3019" s="1" t="s">
        <v>1005</v>
      </c>
      <c r="I3019" s="1">
        <v>21136.0</v>
      </c>
      <c r="J3019" s="1" t="s">
        <v>752</v>
      </c>
      <c r="K3019" s="1" t="s">
        <v>2131</v>
      </c>
      <c r="L3019" s="1" t="s">
        <v>5767</v>
      </c>
      <c r="M3019" s="1">
        <v>1.0</v>
      </c>
      <c r="N3019" s="1" t="s">
        <v>1152</v>
      </c>
      <c r="O3019" s="3" t="s">
        <v>4288</v>
      </c>
      <c r="P3019" s="1" t="s">
        <v>1152</v>
      </c>
      <c r="Q3019" s="1" t="s">
        <v>1152</v>
      </c>
      <c r="R3019" s="1"/>
      <c r="S3019" s="1"/>
      <c r="T3019" s="1" t="s">
        <v>1152</v>
      </c>
      <c r="U3019" s="1" t="s">
        <v>11180</v>
      </c>
      <c r="V3019" s="4" t="s">
        <v>4288</v>
      </c>
      <c r="W3019" s="1"/>
      <c r="X3019" s="1" t="s">
        <v>1152</v>
      </c>
      <c r="Y3019" s="1" t="s">
        <v>1152</v>
      </c>
      <c r="Z3019" s="1"/>
      <c r="AA3019" s="1"/>
      <c r="AB3019" s="1"/>
      <c r="AC3019" s="1" t="s">
        <v>1925</v>
      </c>
      <c r="AD3019" s="1"/>
      <c r="AE3019" s="18">
        <v>46151.0</v>
      </c>
      <c r="AF3019" s="1"/>
      <c r="AG3019" s="1"/>
      <c r="AH3019" s="1" t="s">
        <v>1152</v>
      </c>
      <c r="AI3019" s="1" t="s">
        <v>1152</v>
      </c>
      <c r="AJ3019" s="1" t="s">
        <v>6902</v>
      </c>
      <c r="AK3019" s="1" t="s">
        <v>1152</v>
      </c>
      <c r="AL3019" s="6"/>
      <c r="AM3019" s="12">
        <v>4.439003493E9</v>
      </c>
    </row>
    <row r="3020">
      <c r="A3020" s="5" t="s">
        <v>13784</v>
      </c>
      <c r="B3020" s="1" t="s">
        <v>13785</v>
      </c>
      <c r="C3020" s="1" t="s">
        <v>13786</v>
      </c>
      <c r="D3020" s="2">
        <v>13145163543</v>
      </c>
      <c r="E3020" s="1" t="s">
        <v>13787</v>
      </c>
      <c r="F3020" s="1"/>
      <c r="G3020" s="1" t="s">
        <v>1283</v>
      </c>
      <c r="H3020" s="1" t="s">
        <v>1155</v>
      </c>
      <c r="I3020" s="1">
        <v>63130.0</v>
      </c>
      <c r="J3020" s="1" t="s">
        <v>752</v>
      </c>
      <c r="K3020" s="1" t="s">
        <v>42</v>
      </c>
      <c r="L3020" s="1" t="s">
        <v>8365</v>
      </c>
      <c r="M3020" s="1">
        <v>49.0</v>
      </c>
      <c r="N3020" s="1" t="s">
        <v>1152</v>
      </c>
      <c r="O3020" s="3" t="s">
        <v>13788</v>
      </c>
      <c r="P3020" s="1" t="s">
        <v>1152</v>
      </c>
      <c r="Q3020" s="1" t="s">
        <v>1152</v>
      </c>
      <c r="R3020" s="1"/>
      <c r="S3020" s="1"/>
      <c r="T3020" s="1" t="s">
        <v>1152</v>
      </c>
      <c r="U3020" s="1" t="s">
        <v>1812</v>
      </c>
      <c r="V3020" s="4" t="s">
        <v>13788</v>
      </c>
      <c r="W3020" s="1"/>
      <c r="X3020" s="1" t="s">
        <v>1152</v>
      </c>
      <c r="Y3020" s="1" t="s">
        <v>1152</v>
      </c>
      <c r="Z3020" s="1"/>
      <c r="AA3020" s="1"/>
      <c r="AB3020" s="1"/>
      <c r="AC3020" s="1" t="s">
        <v>1925</v>
      </c>
      <c r="AD3020" s="1"/>
      <c r="AE3020" s="18">
        <v>46256.0</v>
      </c>
      <c r="AF3020" s="1" t="s">
        <v>3186</v>
      </c>
      <c r="AG3020" s="1" t="s">
        <v>52</v>
      </c>
      <c r="AH3020" s="1" t="s">
        <v>1152</v>
      </c>
      <c r="AI3020" s="1" t="s">
        <v>13789</v>
      </c>
      <c r="AJ3020" s="1" t="s">
        <v>13787</v>
      </c>
      <c r="AK3020" s="1" t="s">
        <v>1152</v>
      </c>
      <c r="AL3020" s="6"/>
      <c r="AM3020" s="12" t="s">
        <v>13790</v>
      </c>
    </row>
    <row r="3021">
      <c r="A3021" s="5" t="s">
        <v>13791</v>
      </c>
      <c r="B3021" s="1" t="s">
        <v>13792</v>
      </c>
      <c r="C3021" s="1" t="s">
        <v>13793</v>
      </c>
      <c r="D3021" s="2">
        <v>4.439770303E9</v>
      </c>
      <c r="E3021" s="1" t="s">
        <v>13794</v>
      </c>
      <c r="F3021" s="1"/>
      <c r="G3021" s="1" t="s">
        <v>2350</v>
      </c>
      <c r="H3021" s="1" t="s">
        <v>1155</v>
      </c>
      <c r="I3021" s="1">
        <v>63130.0</v>
      </c>
      <c r="J3021" s="1" t="s">
        <v>752</v>
      </c>
      <c r="K3021" s="1" t="s">
        <v>6515</v>
      </c>
      <c r="L3021" s="1" t="s">
        <v>6516</v>
      </c>
      <c r="M3021" s="1">
        <v>400.0</v>
      </c>
      <c r="N3021" s="1" t="s">
        <v>1152</v>
      </c>
      <c r="O3021" s="3"/>
      <c r="P3021" s="1" t="s">
        <v>1152</v>
      </c>
      <c r="Q3021" s="1" t="s">
        <v>1152</v>
      </c>
      <c r="R3021" s="1"/>
      <c r="S3021" s="1"/>
      <c r="T3021" s="1" t="s">
        <v>1152</v>
      </c>
      <c r="U3021" s="1"/>
      <c r="V3021" s="4"/>
      <c r="W3021" s="1"/>
      <c r="X3021" s="1" t="s">
        <v>1152</v>
      </c>
      <c r="Y3021" s="1" t="s">
        <v>1152</v>
      </c>
      <c r="Z3021" s="1"/>
      <c r="AA3021" s="1"/>
      <c r="AB3021" s="1"/>
      <c r="AC3021" s="1" t="s">
        <v>13795</v>
      </c>
      <c r="AD3021" s="1"/>
      <c r="AE3021" s="18">
        <v>46168.0</v>
      </c>
      <c r="AF3021" s="1"/>
      <c r="AG3021" s="1"/>
      <c r="AH3021" s="1" t="s">
        <v>13796</v>
      </c>
      <c r="AI3021" s="1" t="s">
        <v>1152</v>
      </c>
      <c r="AJ3021" s="1"/>
      <c r="AK3021" s="1" t="s">
        <v>13797</v>
      </c>
      <c r="AL3021" s="6"/>
      <c r="AM3021" s="12">
        <v>4.439770303E9</v>
      </c>
    </row>
    <row r="3022">
      <c r="A3022" s="5" t="s">
        <v>13798</v>
      </c>
      <c r="B3022" s="1" t="s">
        <v>13799</v>
      </c>
      <c r="C3022" s="1" t="s">
        <v>6310</v>
      </c>
      <c r="D3022" s="2">
        <v>6.268315472E9</v>
      </c>
      <c r="E3022" s="1" t="s">
        <v>6311</v>
      </c>
      <c r="F3022" s="1"/>
      <c r="G3022" s="1" t="s">
        <v>3119</v>
      </c>
      <c r="H3022" s="1" t="s">
        <v>989</v>
      </c>
      <c r="I3022" s="1">
        <v>91106.0</v>
      </c>
      <c r="J3022" s="1" t="s">
        <v>752</v>
      </c>
      <c r="K3022" s="1" t="s">
        <v>2131</v>
      </c>
      <c r="L3022" s="1" t="s">
        <v>5767</v>
      </c>
      <c r="M3022" s="1">
        <v>1.0</v>
      </c>
      <c r="N3022" s="1" t="s">
        <v>1152</v>
      </c>
      <c r="O3022" s="3" t="s">
        <v>4087</v>
      </c>
      <c r="P3022" s="1" t="s">
        <v>1152</v>
      </c>
      <c r="Q3022" s="1" t="s">
        <v>1152</v>
      </c>
      <c r="R3022" s="1"/>
      <c r="S3022" s="1"/>
      <c r="T3022" s="1" t="s">
        <v>1152</v>
      </c>
      <c r="U3022" s="1" t="s">
        <v>1167</v>
      </c>
      <c r="V3022" s="4" t="s">
        <v>4087</v>
      </c>
      <c r="W3022" s="1"/>
      <c r="X3022" s="1" t="s">
        <v>1152</v>
      </c>
      <c r="Y3022" s="1" t="s">
        <v>1152</v>
      </c>
      <c r="Z3022" s="1"/>
      <c r="AA3022" s="1"/>
      <c r="AB3022" s="1"/>
      <c r="AC3022" s="1" t="s">
        <v>1925</v>
      </c>
      <c r="AD3022" s="1"/>
      <c r="AE3022" s="18">
        <v>46151.0</v>
      </c>
      <c r="AF3022" s="1"/>
      <c r="AG3022" s="1"/>
      <c r="AH3022" s="1" t="s">
        <v>1152</v>
      </c>
      <c r="AI3022" s="1" t="s">
        <v>1152</v>
      </c>
      <c r="AJ3022" s="1" t="s">
        <v>4124</v>
      </c>
      <c r="AK3022" s="1" t="s">
        <v>1152</v>
      </c>
      <c r="AL3022" s="6"/>
      <c r="AM3022" s="12">
        <v>6.265506233E9</v>
      </c>
    </row>
    <row r="3023">
      <c r="A3023" s="5" t="s">
        <v>13800</v>
      </c>
      <c r="B3023" s="1" t="s">
        <v>13801</v>
      </c>
      <c r="C3023" s="1" t="s">
        <v>13802</v>
      </c>
      <c r="D3023" s="2">
        <v>3.304816706E9</v>
      </c>
      <c r="E3023" s="1" t="s">
        <v>864</v>
      </c>
      <c r="F3023" s="1"/>
      <c r="G3023" s="1" t="s">
        <v>13803</v>
      </c>
      <c r="H3023" s="1" t="s">
        <v>2171</v>
      </c>
      <c r="I3023" s="1">
        <v>44646.0</v>
      </c>
      <c r="J3023" s="1" t="s">
        <v>752</v>
      </c>
      <c r="K3023" s="1" t="s">
        <v>2131</v>
      </c>
      <c r="L3023" s="1" t="s">
        <v>5767</v>
      </c>
      <c r="M3023" s="1">
        <v>1.0</v>
      </c>
      <c r="N3023" s="1" t="s">
        <v>1152</v>
      </c>
      <c r="O3023" s="3" t="s">
        <v>13804</v>
      </c>
      <c r="P3023" s="1" t="s">
        <v>1152</v>
      </c>
      <c r="Q3023" s="1" t="s">
        <v>1152</v>
      </c>
      <c r="R3023" s="1"/>
      <c r="S3023" s="1"/>
      <c r="T3023" s="1" t="s">
        <v>1152</v>
      </c>
      <c r="U3023" s="1" t="s">
        <v>1039</v>
      </c>
      <c r="V3023" s="4" t="s">
        <v>13804</v>
      </c>
      <c r="W3023" s="1"/>
      <c r="X3023" s="1" t="s">
        <v>1152</v>
      </c>
      <c r="Y3023" s="1" t="s">
        <v>1152</v>
      </c>
      <c r="Z3023" s="1"/>
      <c r="AA3023" s="1"/>
      <c r="AB3023" s="1"/>
      <c r="AC3023" s="1" t="s">
        <v>1925</v>
      </c>
      <c r="AD3023" s="1"/>
      <c r="AE3023" s="18">
        <v>46154.0</v>
      </c>
      <c r="AF3023" s="1"/>
      <c r="AG3023" s="1"/>
      <c r="AH3023" s="1" t="s">
        <v>1152</v>
      </c>
      <c r="AI3023" s="1" t="s">
        <v>1152</v>
      </c>
      <c r="AJ3023" s="1" t="s">
        <v>864</v>
      </c>
      <c r="AK3023" s="1" t="s">
        <v>1152</v>
      </c>
      <c r="AL3023" s="6"/>
      <c r="AM3023" s="12">
        <v>3.304816706E9</v>
      </c>
    </row>
    <row r="3024">
      <c r="A3024" s="5" t="s">
        <v>13805</v>
      </c>
      <c r="B3024" s="1" t="s">
        <v>13806</v>
      </c>
      <c r="C3024" s="1" t="s">
        <v>13807</v>
      </c>
      <c r="D3024" s="2">
        <v>7.733391195E9</v>
      </c>
      <c r="E3024" s="1" t="s">
        <v>13808</v>
      </c>
      <c r="F3024" s="1"/>
      <c r="G3024" s="1" t="s">
        <v>1072</v>
      </c>
      <c r="H3024" s="1" t="s">
        <v>1019</v>
      </c>
      <c r="I3024" s="1">
        <v>60659.0</v>
      </c>
      <c r="J3024" s="1" t="s">
        <v>752</v>
      </c>
      <c r="K3024" s="1" t="s">
        <v>892</v>
      </c>
      <c r="L3024" s="1" t="s">
        <v>8006</v>
      </c>
      <c r="M3024" s="1">
        <v>49.0</v>
      </c>
      <c r="N3024" s="1" t="s">
        <v>1152</v>
      </c>
      <c r="O3024" s="3" t="s">
        <v>13809</v>
      </c>
      <c r="P3024" s="1" t="s">
        <v>1152</v>
      </c>
      <c r="Q3024" s="1" t="s">
        <v>1152</v>
      </c>
      <c r="R3024" s="1"/>
      <c r="S3024" s="1"/>
      <c r="T3024" s="1" t="s">
        <v>1152</v>
      </c>
      <c r="U3024" s="1" t="s">
        <v>1828</v>
      </c>
      <c r="V3024" s="4" t="s">
        <v>13809</v>
      </c>
      <c r="W3024" s="1"/>
      <c r="X3024" s="1" t="s">
        <v>1152</v>
      </c>
      <c r="Y3024" s="1" t="s">
        <v>1152</v>
      </c>
      <c r="Z3024" s="1"/>
      <c r="AA3024" s="1"/>
      <c r="AB3024" s="1"/>
      <c r="AC3024" s="1" t="s">
        <v>1925</v>
      </c>
      <c r="AD3024" s="1"/>
      <c r="AE3024" s="18">
        <v>46158.0</v>
      </c>
      <c r="AF3024" s="1" t="s">
        <v>1103</v>
      </c>
      <c r="AG3024" s="1" t="s">
        <v>52</v>
      </c>
      <c r="AH3024" s="1" t="s">
        <v>13810</v>
      </c>
      <c r="AI3024" s="1" t="s">
        <v>1152</v>
      </c>
      <c r="AJ3024" s="1" t="s">
        <v>13811</v>
      </c>
      <c r="AK3024" s="1" t="s">
        <v>1152</v>
      </c>
      <c r="AL3024" s="6"/>
      <c r="AM3024" s="12">
        <v>7.73766723E9</v>
      </c>
    </row>
    <row r="3025">
      <c r="A3025" s="5" t="s">
        <v>13812</v>
      </c>
      <c r="B3025" s="1" t="s">
        <v>13813</v>
      </c>
      <c r="C3025" s="1" t="s">
        <v>7141</v>
      </c>
      <c r="D3025" s="2">
        <v>3.109624564E9</v>
      </c>
      <c r="E3025" s="1" t="s">
        <v>3118</v>
      </c>
      <c r="F3025" s="1"/>
      <c r="G3025" s="1" t="s">
        <v>1247</v>
      </c>
      <c r="H3025" s="1" t="s">
        <v>989</v>
      </c>
      <c r="I3025" s="1">
        <v>90212.0</v>
      </c>
      <c r="J3025" s="1" t="s">
        <v>752</v>
      </c>
      <c r="K3025" s="1" t="s">
        <v>2131</v>
      </c>
      <c r="L3025" s="1" t="s">
        <v>5736</v>
      </c>
      <c r="M3025" s="1">
        <v>1.0</v>
      </c>
      <c r="N3025" s="1" t="s">
        <v>1152</v>
      </c>
      <c r="O3025" s="3" t="s">
        <v>77</v>
      </c>
      <c r="P3025" s="1" t="s">
        <v>1152</v>
      </c>
      <c r="Q3025" s="1" t="s">
        <v>1152</v>
      </c>
      <c r="R3025" s="1"/>
      <c r="S3025" s="1"/>
      <c r="T3025" s="1" t="s">
        <v>1152</v>
      </c>
      <c r="U3025" s="1" t="s">
        <v>1080</v>
      </c>
      <c r="V3025" s="4" t="s">
        <v>77</v>
      </c>
      <c r="W3025" s="1"/>
      <c r="X3025" s="1" t="s">
        <v>1152</v>
      </c>
      <c r="Y3025" s="1" t="s">
        <v>1152</v>
      </c>
      <c r="Z3025" s="1"/>
      <c r="AA3025" s="1"/>
      <c r="AB3025" s="1"/>
      <c r="AC3025" s="1" t="s">
        <v>1925</v>
      </c>
      <c r="AD3025" s="1"/>
      <c r="AE3025" s="18">
        <v>46151.0</v>
      </c>
      <c r="AF3025" s="1"/>
      <c r="AG3025" s="1"/>
      <c r="AH3025" s="1" t="s">
        <v>1152</v>
      </c>
      <c r="AI3025" s="1" t="s">
        <v>1152</v>
      </c>
      <c r="AJ3025" s="1" t="s">
        <v>3118</v>
      </c>
      <c r="AK3025" s="1" t="s">
        <v>1152</v>
      </c>
      <c r="AL3025" s="6"/>
      <c r="AM3025" s="12">
        <v>3.109624564E9</v>
      </c>
    </row>
    <row r="3026">
      <c r="A3026" s="5" t="s">
        <v>13814</v>
      </c>
      <c r="B3026" s="1" t="s">
        <v>13815</v>
      </c>
      <c r="C3026" s="1" t="s">
        <v>7019</v>
      </c>
      <c r="D3026" s="2">
        <v>4.806007592E9</v>
      </c>
      <c r="E3026" s="1" t="s">
        <v>7020</v>
      </c>
      <c r="F3026" s="1"/>
      <c r="G3026" s="1" t="s">
        <v>1534</v>
      </c>
      <c r="H3026" s="1" t="s">
        <v>1535</v>
      </c>
      <c r="I3026" s="1">
        <v>85267.0</v>
      </c>
      <c r="J3026" s="1" t="s">
        <v>752</v>
      </c>
      <c r="K3026" s="1" t="s">
        <v>2131</v>
      </c>
      <c r="L3026" s="1" t="s">
        <v>5811</v>
      </c>
      <c r="M3026" s="1">
        <v>1.0</v>
      </c>
      <c r="N3026" s="1" t="s">
        <v>1152</v>
      </c>
      <c r="O3026" s="3" t="s">
        <v>13172</v>
      </c>
      <c r="P3026" s="1" t="s">
        <v>1152</v>
      </c>
      <c r="Q3026" s="1" t="s">
        <v>1152</v>
      </c>
      <c r="R3026" s="1"/>
      <c r="S3026" s="1"/>
      <c r="T3026" s="1" t="s">
        <v>1152</v>
      </c>
      <c r="U3026" s="1" t="s">
        <v>1537</v>
      </c>
      <c r="V3026" s="4" t="s">
        <v>13172</v>
      </c>
      <c r="W3026" s="1"/>
      <c r="X3026" s="1" t="s">
        <v>1152</v>
      </c>
      <c r="Y3026" s="1" t="s">
        <v>1152</v>
      </c>
      <c r="Z3026" s="1"/>
      <c r="AA3026" s="1"/>
      <c r="AB3026" s="1"/>
      <c r="AC3026" s="1" t="s">
        <v>1925</v>
      </c>
      <c r="AD3026" s="1"/>
      <c r="AE3026" s="18">
        <v>46153.0</v>
      </c>
      <c r="AF3026" s="1"/>
      <c r="AG3026" s="1"/>
      <c r="AH3026" s="1" t="s">
        <v>1152</v>
      </c>
      <c r="AI3026" s="1" t="s">
        <v>1152</v>
      </c>
      <c r="AJ3026" s="1" t="s">
        <v>13816</v>
      </c>
      <c r="AK3026" s="1" t="s">
        <v>1152</v>
      </c>
      <c r="AL3026" s="6"/>
      <c r="AM3026" s="12" t="s">
        <v>13817</v>
      </c>
    </row>
    <row r="3027">
      <c r="A3027" s="5" t="s">
        <v>13818</v>
      </c>
      <c r="B3027" s="1" t="s">
        <v>13819</v>
      </c>
      <c r="C3027" s="1" t="s">
        <v>13212</v>
      </c>
      <c r="D3027" s="2">
        <v>5.61777327E9</v>
      </c>
      <c r="E3027" s="1" t="s">
        <v>7725</v>
      </c>
      <c r="F3027" s="1"/>
      <c r="G3027" s="1" t="s">
        <v>2074</v>
      </c>
      <c r="H3027" s="1" t="s">
        <v>1208</v>
      </c>
      <c r="I3027" s="1">
        <v>33410.0</v>
      </c>
      <c r="J3027" s="1" t="s">
        <v>752</v>
      </c>
      <c r="K3027" s="1" t="s">
        <v>2131</v>
      </c>
      <c r="L3027" s="1" t="s">
        <v>5736</v>
      </c>
      <c r="M3027" s="1">
        <v>1.0</v>
      </c>
      <c r="N3027" s="1" t="s">
        <v>1152</v>
      </c>
      <c r="O3027" s="3" t="s">
        <v>1139</v>
      </c>
      <c r="P3027" s="1" t="s">
        <v>1152</v>
      </c>
      <c r="Q3027" s="1" t="s">
        <v>1152</v>
      </c>
      <c r="R3027" s="1"/>
      <c r="S3027" s="1"/>
      <c r="T3027" s="1" t="s">
        <v>1152</v>
      </c>
      <c r="U3027" s="1" t="s">
        <v>948</v>
      </c>
      <c r="V3027" s="4" t="s">
        <v>1139</v>
      </c>
      <c r="W3027" s="1"/>
      <c r="X3027" s="1" t="s">
        <v>1152</v>
      </c>
      <c r="Y3027" s="1" t="s">
        <v>1152</v>
      </c>
      <c r="Z3027" s="1"/>
      <c r="AA3027" s="1"/>
      <c r="AB3027" s="1"/>
      <c r="AC3027" s="1" t="s">
        <v>1925</v>
      </c>
      <c r="AD3027" s="1"/>
      <c r="AE3027" s="18">
        <v>46153.0</v>
      </c>
      <c r="AF3027" s="1"/>
      <c r="AG3027" s="1"/>
      <c r="AH3027" s="1" t="s">
        <v>1152</v>
      </c>
      <c r="AI3027" s="1" t="s">
        <v>1152</v>
      </c>
      <c r="AJ3027" s="1" t="s">
        <v>7726</v>
      </c>
      <c r="AK3027" s="1" t="s">
        <v>1152</v>
      </c>
      <c r="AL3027" s="6"/>
      <c r="AM3027" s="12">
        <v>5.61777327E9</v>
      </c>
    </row>
    <row r="3028">
      <c r="A3028" s="5" t="s">
        <v>13820</v>
      </c>
      <c r="B3028" s="1" t="s">
        <v>13821</v>
      </c>
      <c r="C3028" s="1" t="s">
        <v>13822</v>
      </c>
      <c r="D3028" s="2">
        <v>66647951919</v>
      </c>
      <c r="E3028" s="1" t="s">
        <v>13823</v>
      </c>
      <c r="F3028" s="1"/>
      <c r="G3028" s="1" t="s">
        <v>13824</v>
      </c>
      <c r="H3028" s="1" t="s">
        <v>13825</v>
      </c>
      <c r="I3028" s="1">
        <v>10540.0</v>
      </c>
      <c r="J3028" s="1" t="s">
        <v>13826</v>
      </c>
      <c r="K3028" s="1" t="s">
        <v>42</v>
      </c>
      <c r="L3028" s="1" t="s">
        <v>8503</v>
      </c>
      <c r="M3028" s="1">
        <v>79.0</v>
      </c>
      <c r="N3028" s="1" t="s">
        <v>1152</v>
      </c>
      <c r="O3028" s="3" t="s">
        <v>3455</v>
      </c>
      <c r="P3028" s="1" t="s">
        <v>1152</v>
      </c>
      <c r="Q3028" s="1" t="s">
        <v>1152</v>
      </c>
      <c r="R3028" s="1"/>
      <c r="S3028" s="1"/>
      <c r="T3028" s="1" t="s">
        <v>1152</v>
      </c>
      <c r="U3028" s="1" t="s">
        <v>6053</v>
      </c>
      <c r="V3028" s="4" t="s">
        <v>3455</v>
      </c>
      <c r="W3028" s="1"/>
      <c r="X3028" s="1" t="s">
        <v>1152</v>
      </c>
      <c r="Y3028" s="1" t="s">
        <v>1152</v>
      </c>
      <c r="Z3028" s="1"/>
      <c r="AA3028" s="1"/>
      <c r="AB3028" s="1"/>
      <c r="AC3028" s="1" t="s">
        <v>1925</v>
      </c>
      <c r="AD3028" s="1"/>
      <c r="AE3028" s="18">
        <v>46155.0</v>
      </c>
      <c r="AF3028" s="1" t="s">
        <v>1349</v>
      </c>
      <c r="AG3028" s="1" t="s">
        <v>52</v>
      </c>
      <c r="AH3028" s="1" t="s">
        <v>1152</v>
      </c>
      <c r="AI3028" s="1" t="s">
        <v>13827</v>
      </c>
      <c r="AJ3028" s="1" t="s">
        <v>13828</v>
      </c>
      <c r="AK3028" s="1" t="s">
        <v>1152</v>
      </c>
      <c r="AL3028" s="6"/>
      <c r="AM3028" s="12">
        <v>4.256862764E9</v>
      </c>
    </row>
    <row r="3029">
      <c r="A3029" s="5" t="s">
        <v>13829</v>
      </c>
      <c r="B3029" s="1" t="s">
        <v>13830</v>
      </c>
      <c r="C3029" s="1" t="s">
        <v>13831</v>
      </c>
      <c r="D3029" s="2">
        <v>6.124024026E9</v>
      </c>
      <c r="E3029" s="1" t="s">
        <v>7432</v>
      </c>
      <c r="F3029" s="1"/>
      <c r="G3029" s="1" t="s">
        <v>2350</v>
      </c>
      <c r="H3029" s="1" t="s">
        <v>1155</v>
      </c>
      <c r="I3029" s="1">
        <v>63105.0</v>
      </c>
      <c r="J3029" s="1" t="s">
        <v>752</v>
      </c>
      <c r="K3029" s="1" t="s">
        <v>2131</v>
      </c>
      <c r="L3029" s="1" t="s">
        <v>5736</v>
      </c>
      <c r="M3029" s="1">
        <v>1.0</v>
      </c>
      <c r="N3029" s="1" t="s">
        <v>1152</v>
      </c>
      <c r="O3029" s="3" t="s">
        <v>13832</v>
      </c>
      <c r="P3029" s="1" t="s">
        <v>1152</v>
      </c>
      <c r="Q3029" s="1" t="s">
        <v>1152</v>
      </c>
      <c r="R3029" s="1"/>
      <c r="S3029" s="1"/>
      <c r="T3029" s="1" t="s">
        <v>1152</v>
      </c>
      <c r="U3029" s="1" t="s">
        <v>982</v>
      </c>
      <c r="V3029" s="4" t="s">
        <v>13832</v>
      </c>
      <c r="W3029" s="1"/>
      <c r="X3029" s="1" t="s">
        <v>1152</v>
      </c>
      <c r="Y3029" s="1" t="s">
        <v>1152</v>
      </c>
      <c r="Z3029" s="1"/>
      <c r="AA3029" s="1"/>
      <c r="AB3029" s="1"/>
      <c r="AC3029" s="1" t="s">
        <v>1925</v>
      </c>
      <c r="AD3029" s="1"/>
      <c r="AE3029" s="18">
        <v>46153.0</v>
      </c>
      <c r="AF3029" s="1"/>
      <c r="AG3029" s="1"/>
      <c r="AH3029" s="1" t="s">
        <v>1152</v>
      </c>
      <c r="AI3029" s="1" t="s">
        <v>1152</v>
      </c>
      <c r="AJ3029" s="1" t="s">
        <v>13833</v>
      </c>
      <c r="AK3029" s="1" t="s">
        <v>1152</v>
      </c>
      <c r="AL3029" s="6"/>
      <c r="AM3029" s="12">
        <v>6.124024026E9</v>
      </c>
    </row>
    <row r="3030">
      <c r="A3030" s="5" t="s">
        <v>13834</v>
      </c>
      <c r="B3030" s="1" t="s">
        <v>13835</v>
      </c>
      <c r="C3030" s="1" t="s">
        <v>13836</v>
      </c>
      <c r="D3030" s="2">
        <v>3.149040326E9</v>
      </c>
      <c r="E3030" s="1" t="s">
        <v>7489</v>
      </c>
      <c r="F3030" s="1"/>
      <c r="G3030" s="1" t="s">
        <v>3741</v>
      </c>
      <c r="H3030" s="1" t="s">
        <v>1155</v>
      </c>
      <c r="I3030" s="1">
        <v>63130.0</v>
      </c>
      <c r="J3030" s="1" t="s">
        <v>752</v>
      </c>
      <c r="K3030" s="1" t="s">
        <v>892</v>
      </c>
      <c r="L3030" s="1" t="s">
        <v>8006</v>
      </c>
      <c r="M3030" s="1">
        <v>49.0</v>
      </c>
      <c r="N3030" s="1" t="s">
        <v>1152</v>
      </c>
      <c r="O3030" s="3" t="s">
        <v>13837</v>
      </c>
      <c r="P3030" s="1" t="s">
        <v>1152</v>
      </c>
      <c r="Q3030" s="1" t="s">
        <v>1152</v>
      </c>
      <c r="R3030" s="1"/>
      <c r="S3030" s="1"/>
      <c r="T3030" s="1" t="s">
        <v>1152</v>
      </c>
      <c r="U3030" s="1" t="s">
        <v>7491</v>
      </c>
      <c r="V3030" s="4" t="s">
        <v>13837</v>
      </c>
      <c r="W3030" s="1"/>
      <c r="X3030" s="1" t="s">
        <v>1152</v>
      </c>
      <c r="Y3030" s="1" t="s">
        <v>1152</v>
      </c>
      <c r="Z3030" s="1"/>
      <c r="AA3030" s="1"/>
      <c r="AB3030" s="1"/>
      <c r="AC3030" s="1" t="s">
        <v>1925</v>
      </c>
      <c r="AD3030" s="1"/>
      <c r="AE3030" s="18">
        <v>46157.0</v>
      </c>
      <c r="AF3030" s="1" t="s">
        <v>3186</v>
      </c>
      <c r="AG3030" s="1" t="s">
        <v>52</v>
      </c>
      <c r="AH3030" s="1" t="s">
        <v>13838</v>
      </c>
      <c r="AI3030" s="1" t="s">
        <v>1152</v>
      </c>
      <c r="AJ3030" s="1" t="s">
        <v>7489</v>
      </c>
      <c r="AK3030" s="1" t="s">
        <v>1152</v>
      </c>
      <c r="AL3030" s="6"/>
      <c r="AM3030" s="12">
        <v>3.149040326E9</v>
      </c>
    </row>
    <row r="3031">
      <c r="A3031" s="5" t="s">
        <v>13839</v>
      </c>
      <c r="B3031" s="1" t="s">
        <v>13840</v>
      </c>
      <c r="C3031" s="1" t="s">
        <v>6756</v>
      </c>
      <c r="D3031" s="2">
        <v>7.819645636E9</v>
      </c>
      <c r="E3031" s="1" t="s">
        <v>3354</v>
      </c>
      <c r="F3031" s="1" t="s">
        <v>13841</v>
      </c>
      <c r="G3031" s="1" t="s">
        <v>3355</v>
      </c>
      <c r="H3031" s="1" t="s">
        <v>1616</v>
      </c>
      <c r="I3031" s="1">
        <v>3249.0</v>
      </c>
      <c r="J3031" s="1" t="s">
        <v>752</v>
      </c>
      <c r="K3031" s="1" t="s">
        <v>51</v>
      </c>
      <c r="L3031" s="1" t="s">
        <v>5722</v>
      </c>
      <c r="M3031" s="1">
        <v>1.0</v>
      </c>
      <c r="N3031" s="1" t="s">
        <v>2487</v>
      </c>
      <c r="O3031" s="3"/>
      <c r="P3031" s="18">
        <v>46177.0</v>
      </c>
      <c r="Q3031" s="1" t="s">
        <v>2502</v>
      </c>
      <c r="R3031" s="1" t="s">
        <v>13841</v>
      </c>
      <c r="S3031" s="1" t="s">
        <v>124</v>
      </c>
      <c r="T3031" s="1" t="s">
        <v>2487</v>
      </c>
      <c r="U3031" s="1"/>
      <c r="V3031" s="4"/>
      <c r="W3031" s="1" t="s">
        <v>13841</v>
      </c>
      <c r="X3031" s="18">
        <v>46177.0</v>
      </c>
      <c r="Y3031" s="1" t="s">
        <v>2502</v>
      </c>
      <c r="Z3031" s="1"/>
      <c r="AA3031" s="1" t="s">
        <v>13841</v>
      </c>
      <c r="AB3031" s="1" t="s">
        <v>124</v>
      </c>
      <c r="AC3031" s="1" t="s">
        <v>1925</v>
      </c>
      <c r="AD3031" s="1"/>
      <c r="AE3031" s="1" t="s">
        <v>1152</v>
      </c>
      <c r="AF3031" s="1"/>
      <c r="AG3031" s="1"/>
      <c r="AH3031" s="1" t="s">
        <v>1152</v>
      </c>
      <c r="AI3031" s="1" t="s">
        <v>1152</v>
      </c>
      <c r="AJ3031" s="1" t="s">
        <v>6757</v>
      </c>
      <c r="AK3031" s="1" t="s">
        <v>1152</v>
      </c>
      <c r="AL3031" s="6"/>
      <c r="AM3031" s="12" t="s">
        <v>13842</v>
      </c>
    </row>
    <row r="3032">
      <c r="A3032" s="5" t="s">
        <v>13843</v>
      </c>
      <c r="B3032" s="1" t="s">
        <v>13844</v>
      </c>
      <c r="C3032" s="1" t="s">
        <v>13845</v>
      </c>
      <c r="D3032" s="2">
        <v>3.148659086E9</v>
      </c>
      <c r="E3032" s="1" t="s">
        <v>13846</v>
      </c>
      <c r="F3032" s="1" t="s">
        <v>13847</v>
      </c>
      <c r="G3032" s="1" t="s">
        <v>2350</v>
      </c>
      <c r="H3032" s="1" t="s">
        <v>1155</v>
      </c>
      <c r="I3032" s="1">
        <v>63130.0</v>
      </c>
      <c r="J3032" s="1" t="s">
        <v>752</v>
      </c>
      <c r="K3032" s="1" t="s">
        <v>892</v>
      </c>
      <c r="L3032" s="1" t="s">
        <v>8006</v>
      </c>
      <c r="M3032" s="1">
        <v>49.0</v>
      </c>
      <c r="N3032" s="1" t="s">
        <v>1152</v>
      </c>
      <c r="O3032" s="3"/>
      <c r="P3032" s="1" t="s">
        <v>1152</v>
      </c>
      <c r="Q3032" s="1" t="s">
        <v>1152</v>
      </c>
      <c r="R3032" s="1" t="s">
        <v>13847</v>
      </c>
      <c r="S3032" s="1"/>
      <c r="T3032" s="1" t="s">
        <v>1152</v>
      </c>
      <c r="U3032" s="1"/>
      <c r="V3032" s="4"/>
      <c r="W3032" s="1" t="s">
        <v>13847</v>
      </c>
      <c r="X3032" s="1" t="s">
        <v>1152</v>
      </c>
      <c r="Y3032" s="1" t="s">
        <v>1152</v>
      </c>
      <c r="Z3032" s="1"/>
      <c r="AA3032" s="1" t="s">
        <v>13847</v>
      </c>
      <c r="AB3032" s="1"/>
      <c r="AC3032" s="1" t="s">
        <v>1925</v>
      </c>
      <c r="AD3032" s="1"/>
      <c r="AE3032" s="18">
        <v>46164.0</v>
      </c>
      <c r="AF3032" s="1" t="s">
        <v>1440</v>
      </c>
      <c r="AG3032" s="1" t="s">
        <v>124</v>
      </c>
      <c r="AH3032" s="1" t="s">
        <v>13848</v>
      </c>
      <c r="AI3032" s="1" t="s">
        <v>13849</v>
      </c>
      <c r="AJ3032" s="1" t="s">
        <v>13846</v>
      </c>
      <c r="AK3032" s="1" t="s">
        <v>1152</v>
      </c>
      <c r="AL3032" s="6"/>
      <c r="AM3032" s="12">
        <v>3.148659086E9</v>
      </c>
    </row>
    <row r="3033">
      <c r="A3033" s="5" t="s">
        <v>13850</v>
      </c>
      <c r="B3033" s="1" t="s">
        <v>13851</v>
      </c>
      <c r="C3033" s="1" t="s">
        <v>13852</v>
      </c>
      <c r="D3033" s="2">
        <v>7.326393384E9</v>
      </c>
      <c r="E3033" s="1" t="s">
        <v>13853</v>
      </c>
      <c r="F3033" s="1" t="s">
        <v>13854</v>
      </c>
      <c r="G3033" s="1" t="s">
        <v>1138</v>
      </c>
      <c r="H3033" s="1" t="s">
        <v>1053</v>
      </c>
      <c r="I3033" s="1">
        <v>8648.0</v>
      </c>
      <c r="J3033" s="1" t="s">
        <v>752</v>
      </c>
      <c r="K3033" s="1" t="s">
        <v>892</v>
      </c>
      <c r="L3033" s="1" t="s">
        <v>8006</v>
      </c>
      <c r="M3033" s="1">
        <v>49.0</v>
      </c>
      <c r="N3033" s="1" t="s">
        <v>1152</v>
      </c>
      <c r="O3033" s="3"/>
      <c r="P3033" s="1" t="s">
        <v>1152</v>
      </c>
      <c r="Q3033" s="1" t="s">
        <v>1152</v>
      </c>
      <c r="R3033" s="1" t="s">
        <v>13854</v>
      </c>
      <c r="S3033" s="1"/>
      <c r="T3033" s="1" t="s">
        <v>1152</v>
      </c>
      <c r="U3033" s="1"/>
      <c r="V3033" s="4"/>
      <c r="W3033" s="1" t="s">
        <v>13854</v>
      </c>
      <c r="X3033" s="1" t="s">
        <v>1152</v>
      </c>
      <c r="Y3033" s="1" t="s">
        <v>1152</v>
      </c>
      <c r="Z3033" s="1"/>
      <c r="AA3033" s="1" t="s">
        <v>13854</v>
      </c>
      <c r="AB3033" s="1"/>
      <c r="AC3033" s="1" t="s">
        <v>1925</v>
      </c>
      <c r="AD3033" s="1"/>
      <c r="AE3033" s="18">
        <v>46157.0</v>
      </c>
      <c r="AF3033" s="1" t="s">
        <v>1455</v>
      </c>
      <c r="AG3033" s="1" t="s">
        <v>124</v>
      </c>
      <c r="AH3033" s="1" t="s">
        <v>13855</v>
      </c>
      <c r="AI3033" s="1" t="s">
        <v>1152</v>
      </c>
      <c r="AJ3033" s="1" t="s">
        <v>13853</v>
      </c>
      <c r="AK3033" s="1" t="s">
        <v>1152</v>
      </c>
      <c r="AL3033" s="6"/>
      <c r="AM3033" s="12">
        <v>7.326393384E9</v>
      </c>
    </row>
    <row r="3034">
      <c r="A3034" s="5" t="s">
        <v>13856</v>
      </c>
      <c r="B3034" s="1" t="s">
        <v>13857</v>
      </c>
      <c r="C3034" s="1" t="s">
        <v>13858</v>
      </c>
      <c r="D3034" s="2">
        <v>3.235071252E9</v>
      </c>
      <c r="E3034" s="1" t="s">
        <v>13859</v>
      </c>
      <c r="F3034" s="1"/>
      <c r="G3034" s="1" t="s">
        <v>2350</v>
      </c>
      <c r="H3034" s="1" t="s">
        <v>1155</v>
      </c>
      <c r="I3034" s="1">
        <v>63130.0</v>
      </c>
      <c r="J3034" s="1" t="s">
        <v>752</v>
      </c>
      <c r="K3034" s="1" t="s">
        <v>42</v>
      </c>
      <c r="L3034" s="1" t="s">
        <v>6819</v>
      </c>
      <c r="M3034" s="1">
        <v>49.0</v>
      </c>
      <c r="N3034" s="1" t="s">
        <v>1152</v>
      </c>
      <c r="O3034" s="3" t="s">
        <v>13860</v>
      </c>
      <c r="P3034" s="1" t="s">
        <v>1152</v>
      </c>
      <c r="Q3034" s="1" t="s">
        <v>1152</v>
      </c>
      <c r="R3034" s="1"/>
      <c r="S3034" s="1"/>
      <c r="T3034" s="1" t="s">
        <v>1152</v>
      </c>
      <c r="U3034" s="1" t="s">
        <v>1828</v>
      </c>
      <c r="V3034" s="4" t="s">
        <v>13860</v>
      </c>
      <c r="W3034" s="1"/>
      <c r="X3034" s="1" t="s">
        <v>1152</v>
      </c>
      <c r="Y3034" s="1" t="s">
        <v>1152</v>
      </c>
      <c r="Z3034" s="1"/>
      <c r="AA3034" s="1"/>
      <c r="AB3034" s="1"/>
      <c r="AC3034" s="1" t="s">
        <v>1925</v>
      </c>
      <c r="AD3034" s="1"/>
      <c r="AE3034" s="18">
        <v>46157.0</v>
      </c>
      <c r="AF3034" s="1" t="s">
        <v>1349</v>
      </c>
      <c r="AG3034" s="1" t="s">
        <v>52</v>
      </c>
      <c r="AH3034" s="1" t="s">
        <v>1152</v>
      </c>
      <c r="AI3034" s="1" t="s">
        <v>1152</v>
      </c>
      <c r="AJ3034" s="1" t="s">
        <v>13859</v>
      </c>
      <c r="AK3034" s="1" t="s">
        <v>1152</v>
      </c>
      <c r="AL3034" s="6"/>
      <c r="AM3034" s="12">
        <v>3.235071252E9</v>
      </c>
    </row>
    <row r="3035">
      <c r="A3035" s="5" t="s">
        <v>13861</v>
      </c>
      <c r="B3035" s="1" t="s">
        <v>13862</v>
      </c>
      <c r="C3035" s="1" t="s">
        <v>6162</v>
      </c>
      <c r="D3035" s="2">
        <v>4.152507507E9</v>
      </c>
      <c r="E3035" s="1" t="s">
        <v>6163</v>
      </c>
      <c r="F3035" s="1"/>
      <c r="G3035" s="1" t="s">
        <v>1283</v>
      </c>
      <c r="H3035" s="1" t="s">
        <v>1155</v>
      </c>
      <c r="I3035" s="1">
        <v>63105.0</v>
      </c>
      <c r="J3035" s="1" t="s">
        <v>752</v>
      </c>
      <c r="K3035" s="1" t="s">
        <v>2131</v>
      </c>
      <c r="L3035" s="1" t="s">
        <v>5767</v>
      </c>
      <c r="M3035" s="1">
        <v>1.0</v>
      </c>
      <c r="N3035" s="1" t="s">
        <v>1152</v>
      </c>
      <c r="O3035" s="3" t="s">
        <v>13863</v>
      </c>
      <c r="P3035" s="1" t="s">
        <v>1152</v>
      </c>
      <c r="Q3035" s="1" t="s">
        <v>1152</v>
      </c>
      <c r="R3035" s="1"/>
      <c r="S3035" s="1"/>
      <c r="T3035" s="1" t="s">
        <v>1152</v>
      </c>
      <c r="U3035" s="1" t="s">
        <v>1201</v>
      </c>
      <c r="V3035" s="4" t="s">
        <v>13863</v>
      </c>
      <c r="W3035" s="1"/>
      <c r="X3035" s="1" t="s">
        <v>1152</v>
      </c>
      <c r="Y3035" s="1" t="s">
        <v>1152</v>
      </c>
      <c r="Z3035" s="1"/>
      <c r="AA3035" s="1"/>
      <c r="AB3035" s="1"/>
      <c r="AC3035" s="1" t="s">
        <v>1925</v>
      </c>
      <c r="AD3035" s="1"/>
      <c r="AE3035" s="18">
        <v>46153.0</v>
      </c>
      <c r="AF3035" s="1"/>
      <c r="AG3035" s="1"/>
      <c r="AH3035" s="1" t="s">
        <v>1152</v>
      </c>
      <c r="AI3035" s="1" t="s">
        <v>1152</v>
      </c>
      <c r="AJ3035" s="1" t="s">
        <v>13864</v>
      </c>
      <c r="AK3035" s="1" t="s">
        <v>1152</v>
      </c>
      <c r="AL3035" s="6"/>
      <c r="AM3035" s="12">
        <v>4.152507507E9</v>
      </c>
    </row>
    <row r="3036">
      <c r="A3036" s="5" t="s">
        <v>13865</v>
      </c>
      <c r="B3036" s="1" t="s">
        <v>13866</v>
      </c>
      <c r="C3036" s="1" t="s">
        <v>13867</v>
      </c>
      <c r="D3036" s="2">
        <v>2.673614611E9</v>
      </c>
      <c r="E3036" s="1" t="s">
        <v>9738</v>
      </c>
      <c r="F3036" s="1"/>
      <c r="G3036" s="1" t="s">
        <v>1929</v>
      </c>
      <c r="H3036" s="1" t="s">
        <v>1233</v>
      </c>
      <c r="I3036" s="1">
        <v>19035.0</v>
      </c>
      <c r="J3036" s="1" t="s">
        <v>752</v>
      </c>
      <c r="K3036" s="1" t="s">
        <v>2131</v>
      </c>
      <c r="L3036" s="1" t="s">
        <v>5736</v>
      </c>
      <c r="M3036" s="1">
        <v>1.0</v>
      </c>
      <c r="N3036" s="1" t="s">
        <v>1152</v>
      </c>
      <c r="O3036" s="3" t="s">
        <v>1930</v>
      </c>
      <c r="P3036" s="1" t="s">
        <v>1152</v>
      </c>
      <c r="Q3036" s="1" t="s">
        <v>1152</v>
      </c>
      <c r="R3036" s="1"/>
      <c r="S3036" s="1"/>
      <c r="T3036" s="1" t="s">
        <v>1152</v>
      </c>
      <c r="U3036" s="1" t="s">
        <v>1812</v>
      </c>
      <c r="V3036" s="4" t="s">
        <v>1930</v>
      </c>
      <c r="W3036" s="1"/>
      <c r="X3036" s="1" t="s">
        <v>1152</v>
      </c>
      <c r="Y3036" s="1" t="s">
        <v>1152</v>
      </c>
      <c r="Z3036" s="1"/>
      <c r="AA3036" s="1"/>
      <c r="AB3036" s="1"/>
      <c r="AC3036" s="1" t="s">
        <v>1925</v>
      </c>
      <c r="AD3036" s="1"/>
      <c r="AE3036" s="18">
        <v>46153.0</v>
      </c>
      <c r="AF3036" s="1"/>
      <c r="AG3036" s="1"/>
      <c r="AH3036" s="1" t="s">
        <v>1152</v>
      </c>
      <c r="AI3036" s="1" t="s">
        <v>1152</v>
      </c>
      <c r="AJ3036" s="1" t="s">
        <v>9738</v>
      </c>
      <c r="AK3036" s="1" t="s">
        <v>1152</v>
      </c>
      <c r="AL3036" s="6"/>
      <c r="AM3036" s="12">
        <v>2.673614611E9</v>
      </c>
    </row>
    <row r="3037">
      <c r="A3037" s="5" t="s">
        <v>13868</v>
      </c>
      <c r="B3037" s="1" t="s">
        <v>13869</v>
      </c>
      <c r="C3037" s="1" t="s">
        <v>7703</v>
      </c>
      <c r="D3037" s="2">
        <v>3.108740175E9</v>
      </c>
      <c r="E3037" s="1" t="s">
        <v>13870</v>
      </c>
      <c r="F3037" s="1" t="s">
        <v>13871</v>
      </c>
      <c r="G3037" s="1" t="s">
        <v>13872</v>
      </c>
      <c r="H3037" s="1" t="s">
        <v>989</v>
      </c>
      <c r="I3037" s="1">
        <v>90401.0</v>
      </c>
      <c r="J3037" s="1" t="s">
        <v>752</v>
      </c>
      <c r="K3037" s="1" t="s">
        <v>42</v>
      </c>
      <c r="L3037" s="1" t="s">
        <v>6819</v>
      </c>
      <c r="M3037" s="1">
        <v>49.0</v>
      </c>
      <c r="N3037" s="1" t="s">
        <v>1152</v>
      </c>
      <c r="O3037" s="3"/>
      <c r="P3037" s="1" t="s">
        <v>1152</v>
      </c>
      <c r="Q3037" s="1" t="s">
        <v>1152</v>
      </c>
      <c r="R3037" s="1" t="s">
        <v>13871</v>
      </c>
      <c r="S3037" s="1"/>
      <c r="T3037" s="1" t="s">
        <v>1152</v>
      </c>
      <c r="U3037" s="1"/>
      <c r="V3037" s="4"/>
      <c r="W3037" s="1" t="s">
        <v>13871</v>
      </c>
      <c r="X3037" s="1" t="s">
        <v>1152</v>
      </c>
      <c r="Y3037" s="1" t="s">
        <v>1152</v>
      </c>
      <c r="Z3037" s="1"/>
      <c r="AA3037" s="1" t="s">
        <v>13871</v>
      </c>
      <c r="AB3037" s="1"/>
      <c r="AC3037" s="1" t="s">
        <v>1925</v>
      </c>
      <c r="AD3037" s="1"/>
      <c r="AE3037" s="18">
        <v>46155.0</v>
      </c>
      <c r="AF3037" s="1" t="s">
        <v>3186</v>
      </c>
      <c r="AG3037" s="1" t="s">
        <v>124</v>
      </c>
      <c r="AH3037" s="1" t="s">
        <v>1152</v>
      </c>
      <c r="AI3037" s="1" t="s">
        <v>1152</v>
      </c>
      <c r="AJ3037" s="1" t="s">
        <v>7707</v>
      </c>
      <c r="AK3037" s="1" t="s">
        <v>1152</v>
      </c>
      <c r="AL3037" s="6"/>
      <c r="AM3037" s="12" t="s">
        <v>13873</v>
      </c>
    </row>
    <row r="3038">
      <c r="A3038" s="5" t="s">
        <v>13874</v>
      </c>
      <c r="B3038" s="1" t="s">
        <v>13875</v>
      </c>
      <c r="C3038" s="1" t="s">
        <v>1627</v>
      </c>
      <c r="D3038" s="2">
        <v>6.503092445E9</v>
      </c>
      <c r="E3038" s="1" t="s">
        <v>1628</v>
      </c>
      <c r="F3038" s="1"/>
      <c r="G3038" s="1" t="s">
        <v>1474</v>
      </c>
      <c r="H3038" s="1" t="s">
        <v>989</v>
      </c>
      <c r="I3038" s="1">
        <v>94024.0</v>
      </c>
      <c r="J3038" s="1" t="s">
        <v>752</v>
      </c>
      <c r="K3038" s="1" t="s">
        <v>51</v>
      </c>
      <c r="L3038" s="1" t="s">
        <v>5722</v>
      </c>
      <c r="M3038" s="1">
        <v>1.0</v>
      </c>
      <c r="N3038" s="1" t="s">
        <v>2461</v>
      </c>
      <c r="O3038" s="3" t="s">
        <v>3958</v>
      </c>
      <c r="P3038" s="18">
        <v>46246.0</v>
      </c>
      <c r="Q3038" s="1" t="s">
        <v>2463</v>
      </c>
      <c r="R3038" s="1"/>
      <c r="S3038" s="1" t="s">
        <v>52</v>
      </c>
      <c r="T3038" s="1" t="s">
        <v>2461</v>
      </c>
      <c r="U3038" s="1" t="s">
        <v>1936</v>
      </c>
      <c r="V3038" s="4" t="s">
        <v>3958</v>
      </c>
      <c r="W3038" s="1"/>
      <c r="X3038" s="18">
        <v>46246.0</v>
      </c>
      <c r="Y3038" s="1" t="s">
        <v>2463</v>
      </c>
      <c r="Z3038" s="1"/>
      <c r="AA3038" s="1"/>
      <c r="AB3038" s="1" t="s">
        <v>52</v>
      </c>
      <c r="AC3038" s="1" t="s">
        <v>1925</v>
      </c>
      <c r="AD3038" s="1"/>
      <c r="AE3038" s="1" t="s">
        <v>1152</v>
      </c>
      <c r="AF3038" s="1"/>
      <c r="AG3038" s="1"/>
      <c r="AH3038" s="1" t="s">
        <v>1152</v>
      </c>
      <c r="AI3038" s="1" t="s">
        <v>1152</v>
      </c>
      <c r="AJ3038" s="1" t="s">
        <v>1628</v>
      </c>
      <c r="AK3038" s="1" t="s">
        <v>1152</v>
      </c>
      <c r="AL3038" s="6"/>
      <c r="AM3038" s="12" t="s">
        <v>13876</v>
      </c>
    </row>
    <row r="3039">
      <c r="A3039" s="5" t="s">
        <v>13877</v>
      </c>
      <c r="B3039" s="1" t="s">
        <v>13878</v>
      </c>
      <c r="C3039" s="1" t="s">
        <v>13879</v>
      </c>
      <c r="D3039" s="2">
        <v>2.246198703E9</v>
      </c>
      <c r="E3039" s="1" t="s">
        <v>13880</v>
      </c>
      <c r="F3039" s="1" t="s">
        <v>13881</v>
      </c>
      <c r="G3039" s="1" t="s">
        <v>2350</v>
      </c>
      <c r="H3039" s="1" t="s">
        <v>1155</v>
      </c>
      <c r="I3039" s="1">
        <v>63112.0</v>
      </c>
      <c r="J3039" s="1" t="s">
        <v>752</v>
      </c>
      <c r="K3039" s="1" t="s">
        <v>892</v>
      </c>
      <c r="L3039" s="1" t="s">
        <v>8006</v>
      </c>
      <c r="M3039" s="1">
        <v>49.0</v>
      </c>
      <c r="N3039" s="1" t="s">
        <v>1152</v>
      </c>
      <c r="O3039" s="3"/>
      <c r="P3039" s="1" t="s">
        <v>1152</v>
      </c>
      <c r="Q3039" s="1" t="s">
        <v>1152</v>
      </c>
      <c r="R3039" s="1" t="s">
        <v>13881</v>
      </c>
      <c r="S3039" s="1"/>
      <c r="T3039" s="1" t="s">
        <v>1152</v>
      </c>
      <c r="U3039" s="1"/>
      <c r="V3039" s="4"/>
      <c r="W3039" s="1" t="s">
        <v>13881</v>
      </c>
      <c r="X3039" s="1" t="s">
        <v>1152</v>
      </c>
      <c r="Y3039" s="1" t="s">
        <v>1152</v>
      </c>
      <c r="Z3039" s="1"/>
      <c r="AA3039" s="1" t="s">
        <v>13881</v>
      </c>
      <c r="AB3039" s="1"/>
      <c r="AC3039" s="1" t="s">
        <v>1925</v>
      </c>
      <c r="AD3039" s="1"/>
      <c r="AE3039" s="18">
        <v>46156.0</v>
      </c>
      <c r="AF3039" s="1" t="s">
        <v>1440</v>
      </c>
      <c r="AG3039" s="1" t="s">
        <v>124</v>
      </c>
      <c r="AH3039" s="1" t="s">
        <v>13882</v>
      </c>
      <c r="AI3039" s="1" t="s">
        <v>1152</v>
      </c>
      <c r="AJ3039" s="1" t="s">
        <v>13883</v>
      </c>
      <c r="AK3039" s="1" t="s">
        <v>1152</v>
      </c>
      <c r="AL3039" s="6"/>
      <c r="AM3039" s="12">
        <v>2.246198703E9</v>
      </c>
    </row>
    <row r="3040">
      <c r="A3040" s="5" t="s">
        <v>13884</v>
      </c>
      <c r="B3040" s="1" t="s">
        <v>13885</v>
      </c>
      <c r="C3040" s="1" t="s">
        <v>8514</v>
      </c>
      <c r="D3040" s="2">
        <v>7.146255442E9</v>
      </c>
      <c r="E3040" s="1" t="s">
        <v>799</v>
      </c>
      <c r="F3040" s="1"/>
      <c r="G3040" s="1" t="s">
        <v>2350</v>
      </c>
      <c r="H3040" s="1" t="s">
        <v>1155</v>
      </c>
      <c r="I3040" s="1">
        <v>63105.0</v>
      </c>
      <c r="J3040" s="1" t="s">
        <v>752</v>
      </c>
      <c r="K3040" s="1" t="s">
        <v>66</v>
      </c>
      <c r="L3040" s="1" t="s">
        <v>13886</v>
      </c>
      <c r="M3040" s="1">
        <v>145.0</v>
      </c>
      <c r="N3040" s="1" t="s">
        <v>1152</v>
      </c>
      <c r="O3040" s="3" t="s">
        <v>3857</v>
      </c>
      <c r="P3040" s="18">
        <v>46241.0</v>
      </c>
      <c r="Q3040" s="1" t="s">
        <v>1152</v>
      </c>
      <c r="R3040" s="1"/>
      <c r="S3040" s="1"/>
      <c r="T3040" s="1" t="s">
        <v>1152</v>
      </c>
      <c r="U3040" s="1" t="s">
        <v>1441</v>
      </c>
      <c r="V3040" s="4" t="s">
        <v>3857</v>
      </c>
      <c r="W3040" s="1"/>
      <c r="X3040" s="18">
        <v>46241.0</v>
      </c>
      <c r="Y3040" s="1" t="s">
        <v>1152</v>
      </c>
      <c r="Z3040" s="1"/>
      <c r="AA3040" s="1"/>
      <c r="AB3040" s="1"/>
      <c r="AC3040" s="1" t="s">
        <v>1925</v>
      </c>
      <c r="AD3040" s="1"/>
      <c r="AE3040" s="1" t="s">
        <v>1152</v>
      </c>
      <c r="AF3040" s="1"/>
      <c r="AG3040" s="1"/>
      <c r="AH3040" s="1" t="s">
        <v>1152</v>
      </c>
      <c r="AI3040" s="1" t="s">
        <v>1152</v>
      </c>
      <c r="AJ3040" s="1" t="s">
        <v>13887</v>
      </c>
      <c r="AK3040" s="1" t="s">
        <v>1152</v>
      </c>
      <c r="AL3040" s="6"/>
      <c r="AM3040" s="12">
        <v>7.146255442E9</v>
      </c>
    </row>
    <row r="3041">
      <c r="A3041" s="5" t="s">
        <v>13888</v>
      </c>
      <c r="B3041" s="1" t="s">
        <v>13889</v>
      </c>
      <c r="C3041" s="1" t="s">
        <v>248</v>
      </c>
      <c r="D3041" s="2">
        <v>9.494311134E9</v>
      </c>
      <c r="E3041" s="1" t="s">
        <v>886</v>
      </c>
      <c r="F3041" s="1"/>
      <c r="G3041" s="1" t="s">
        <v>1983</v>
      </c>
      <c r="H3041" s="1" t="s">
        <v>989</v>
      </c>
      <c r="I3041" s="1">
        <v>92618.0</v>
      </c>
      <c r="J3041" s="1" t="s">
        <v>752</v>
      </c>
      <c r="K3041" s="1" t="s">
        <v>2131</v>
      </c>
      <c r="L3041" s="1" t="s">
        <v>5767</v>
      </c>
      <c r="M3041" s="1">
        <v>1.0</v>
      </c>
      <c r="N3041" s="1" t="s">
        <v>1152</v>
      </c>
      <c r="O3041" s="3" t="s">
        <v>204</v>
      </c>
      <c r="P3041" s="1" t="s">
        <v>1152</v>
      </c>
      <c r="Q3041" s="1" t="s">
        <v>1152</v>
      </c>
      <c r="R3041" s="1"/>
      <c r="S3041" s="1"/>
      <c r="T3041" s="1" t="s">
        <v>1152</v>
      </c>
      <c r="U3041" s="1" t="s">
        <v>1148</v>
      </c>
      <c r="V3041" s="4" t="s">
        <v>204</v>
      </c>
      <c r="W3041" s="1"/>
      <c r="X3041" s="1" t="s">
        <v>1152</v>
      </c>
      <c r="Y3041" s="1" t="s">
        <v>1152</v>
      </c>
      <c r="Z3041" s="1"/>
      <c r="AA3041" s="1"/>
      <c r="AB3041" s="1"/>
      <c r="AC3041" s="1" t="s">
        <v>1925</v>
      </c>
      <c r="AD3041" s="1"/>
      <c r="AE3041" s="18">
        <v>46153.0</v>
      </c>
      <c r="AF3041" s="1"/>
      <c r="AG3041" s="1"/>
      <c r="AH3041" s="1" t="s">
        <v>1152</v>
      </c>
      <c r="AI3041" s="1" t="s">
        <v>1152</v>
      </c>
      <c r="AJ3041" s="1" t="s">
        <v>886</v>
      </c>
      <c r="AK3041" s="1" t="s">
        <v>1152</v>
      </c>
      <c r="AL3041" s="6"/>
      <c r="AM3041" s="12">
        <v>9.494311134E9</v>
      </c>
    </row>
    <row r="3042">
      <c r="A3042" s="5" t="s">
        <v>13890</v>
      </c>
      <c r="B3042" s="1" t="s">
        <v>13891</v>
      </c>
      <c r="C3042" s="1" t="s">
        <v>13892</v>
      </c>
      <c r="D3042" s="2">
        <v>4.04476113E9</v>
      </c>
      <c r="E3042" s="1" t="s">
        <v>13893</v>
      </c>
      <c r="F3042" s="1"/>
      <c r="G3042" s="1" t="s">
        <v>2350</v>
      </c>
      <c r="H3042" s="1" t="s">
        <v>1155</v>
      </c>
      <c r="I3042" s="1">
        <v>63130.0</v>
      </c>
      <c r="J3042" s="1" t="s">
        <v>752</v>
      </c>
      <c r="K3042" s="1" t="s">
        <v>892</v>
      </c>
      <c r="L3042" s="1" t="s">
        <v>8006</v>
      </c>
      <c r="M3042" s="1">
        <v>49.0</v>
      </c>
      <c r="N3042" s="1" t="s">
        <v>1152</v>
      </c>
      <c r="O3042" s="3" t="s">
        <v>2716</v>
      </c>
      <c r="P3042" s="1" t="s">
        <v>1152</v>
      </c>
      <c r="Q3042" s="1" t="s">
        <v>1152</v>
      </c>
      <c r="R3042" s="1"/>
      <c r="S3042" s="1"/>
      <c r="T3042" s="1" t="s">
        <v>1152</v>
      </c>
      <c r="U3042" s="1" t="s">
        <v>2510</v>
      </c>
      <c r="V3042" s="4" t="s">
        <v>2716</v>
      </c>
      <c r="W3042" s="1"/>
      <c r="X3042" s="1" t="s">
        <v>1152</v>
      </c>
      <c r="Y3042" s="1" t="s">
        <v>1152</v>
      </c>
      <c r="Z3042" s="1"/>
      <c r="AA3042" s="1"/>
      <c r="AB3042" s="1"/>
      <c r="AC3042" s="1" t="s">
        <v>1925</v>
      </c>
      <c r="AD3042" s="1"/>
      <c r="AE3042" s="18">
        <v>46157.0</v>
      </c>
      <c r="AF3042" s="1" t="s">
        <v>1349</v>
      </c>
      <c r="AG3042" s="1" t="s">
        <v>52</v>
      </c>
      <c r="AH3042" s="1" t="s">
        <v>13894</v>
      </c>
      <c r="AI3042" s="1" t="s">
        <v>1152</v>
      </c>
      <c r="AJ3042" s="1" t="s">
        <v>13893</v>
      </c>
      <c r="AK3042" s="1" t="s">
        <v>1152</v>
      </c>
      <c r="AL3042" s="6"/>
      <c r="AM3042" s="12">
        <v>4.04476113E9</v>
      </c>
    </row>
    <row r="3043">
      <c r="A3043" s="5" t="s">
        <v>13895</v>
      </c>
      <c r="B3043" s="1" t="s">
        <v>13896</v>
      </c>
      <c r="C3043" s="1" t="s">
        <v>13897</v>
      </c>
      <c r="D3043" s="2">
        <v>9.178466025E9</v>
      </c>
      <c r="E3043" s="1" t="s">
        <v>13898</v>
      </c>
      <c r="F3043" s="1"/>
      <c r="G3043" s="1" t="s">
        <v>751</v>
      </c>
      <c r="H3043" s="1" t="s">
        <v>751</v>
      </c>
      <c r="I3043" s="1">
        <v>10023.0</v>
      </c>
      <c r="J3043" s="1" t="s">
        <v>752</v>
      </c>
      <c r="K3043" s="1" t="s">
        <v>66</v>
      </c>
      <c r="L3043" s="1" t="s">
        <v>13766</v>
      </c>
      <c r="M3043" s="1">
        <v>210.0</v>
      </c>
      <c r="N3043" s="1" t="s">
        <v>1152</v>
      </c>
      <c r="O3043" s="3" t="s">
        <v>103</v>
      </c>
      <c r="P3043" s="18">
        <v>46248.0</v>
      </c>
      <c r="Q3043" s="1" t="s">
        <v>1152</v>
      </c>
      <c r="R3043" s="1"/>
      <c r="S3043" s="1"/>
      <c r="T3043" s="1" t="s">
        <v>1152</v>
      </c>
      <c r="U3043" s="1" t="s">
        <v>102</v>
      </c>
      <c r="V3043" s="4" t="s">
        <v>103</v>
      </c>
      <c r="W3043" s="1"/>
      <c r="X3043" s="18">
        <v>46248.0</v>
      </c>
      <c r="Y3043" s="1" t="s">
        <v>1152</v>
      </c>
      <c r="Z3043" s="1"/>
      <c r="AA3043" s="1"/>
      <c r="AB3043" s="1"/>
      <c r="AC3043" s="1" t="s">
        <v>1925</v>
      </c>
      <c r="AD3043" s="1"/>
      <c r="AE3043" s="1" t="s">
        <v>1152</v>
      </c>
      <c r="AF3043" s="1"/>
      <c r="AG3043" s="1"/>
      <c r="AH3043" s="1" t="s">
        <v>1152</v>
      </c>
      <c r="AI3043" s="1" t="s">
        <v>1152</v>
      </c>
      <c r="AJ3043" s="1" t="s">
        <v>13899</v>
      </c>
      <c r="AK3043" s="1" t="s">
        <v>1152</v>
      </c>
      <c r="AL3043" s="6"/>
      <c r="AM3043" s="12">
        <v>9.172383866E9</v>
      </c>
    </row>
    <row r="3044">
      <c r="A3044" s="5" t="s">
        <v>13895</v>
      </c>
      <c r="B3044" s="1" t="s">
        <v>13896</v>
      </c>
      <c r="C3044" s="1" t="s">
        <v>13897</v>
      </c>
      <c r="D3044" s="2">
        <v>9.178466025E9</v>
      </c>
      <c r="E3044" s="1" t="s">
        <v>13898</v>
      </c>
      <c r="F3044" s="1"/>
      <c r="G3044" s="1" t="s">
        <v>751</v>
      </c>
      <c r="H3044" s="1" t="s">
        <v>751</v>
      </c>
      <c r="I3044" s="1">
        <v>10023.0</v>
      </c>
      <c r="J3044" s="1" t="s">
        <v>752</v>
      </c>
      <c r="K3044" s="1" t="s">
        <v>75</v>
      </c>
      <c r="L3044" s="1" t="s">
        <v>13900</v>
      </c>
      <c r="M3044" s="1">
        <v>109.0</v>
      </c>
      <c r="N3044" s="1" t="s">
        <v>2461</v>
      </c>
      <c r="O3044" s="3" t="s">
        <v>103</v>
      </c>
      <c r="P3044" s="18">
        <v>46248.0</v>
      </c>
      <c r="Q3044" s="1" t="s">
        <v>1152</v>
      </c>
      <c r="R3044" s="1"/>
      <c r="S3044" s="1" t="s">
        <v>52</v>
      </c>
      <c r="T3044" s="1" t="s">
        <v>2461</v>
      </c>
      <c r="U3044" s="1" t="s">
        <v>102</v>
      </c>
      <c r="V3044" s="4" t="s">
        <v>103</v>
      </c>
      <c r="W3044" s="1"/>
      <c r="X3044" s="18">
        <v>46248.0</v>
      </c>
      <c r="Y3044" s="1" t="s">
        <v>1152</v>
      </c>
      <c r="Z3044" s="1"/>
      <c r="AA3044" s="1"/>
      <c r="AB3044" s="1" t="s">
        <v>52</v>
      </c>
      <c r="AC3044" s="1" t="s">
        <v>1925</v>
      </c>
      <c r="AD3044" s="1" t="s">
        <v>13901</v>
      </c>
      <c r="AE3044" s="1" t="s">
        <v>1152</v>
      </c>
      <c r="AF3044" s="1"/>
      <c r="AG3044" s="1"/>
      <c r="AH3044" s="1" t="s">
        <v>1152</v>
      </c>
      <c r="AI3044" s="1" t="s">
        <v>1152</v>
      </c>
      <c r="AJ3044" s="1" t="s">
        <v>13899</v>
      </c>
      <c r="AK3044" s="1" t="s">
        <v>1152</v>
      </c>
      <c r="AL3044" s="6"/>
      <c r="AM3044" s="12">
        <v>9.172383866E9</v>
      </c>
    </row>
    <row r="3045">
      <c r="A3045" s="5" t="s">
        <v>13902</v>
      </c>
      <c r="B3045" s="1" t="s">
        <v>13903</v>
      </c>
      <c r="C3045" s="1" t="s">
        <v>13311</v>
      </c>
      <c r="D3045" s="2">
        <v>8.033715949E9</v>
      </c>
      <c r="E3045" s="1" t="s">
        <v>13312</v>
      </c>
      <c r="F3045" s="1"/>
      <c r="G3045" s="1" t="s">
        <v>13313</v>
      </c>
      <c r="H3045" s="1" t="s">
        <v>2762</v>
      </c>
      <c r="I3045" s="1">
        <v>29732.0</v>
      </c>
      <c r="J3045" s="1" t="s">
        <v>752</v>
      </c>
      <c r="K3045" s="1" t="s">
        <v>51</v>
      </c>
      <c r="L3045" s="1" t="s">
        <v>5722</v>
      </c>
      <c r="M3045" s="1">
        <v>1.0</v>
      </c>
      <c r="N3045" s="1" t="s">
        <v>2461</v>
      </c>
      <c r="O3045" s="3" t="s">
        <v>2206</v>
      </c>
      <c r="P3045" s="18">
        <v>46253.0</v>
      </c>
      <c r="Q3045" s="1" t="s">
        <v>2463</v>
      </c>
      <c r="R3045" s="1"/>
      <c r="S3045" s="1" t="s">
        <v>52</v>
      </c>
      <c r="T3045" s="1" t="s">
        <v>2461</v>
      </c>
      <c r="U3045" s="1" t="s">
        <v>1167</v>
      </c>
      <c r="V3045" s="4" t="s">
        <v>2206</v>
      </c>
      <c r="W3045" s="1"/>
      <c r="X3045" s="18">
        <v>46253.0</v>
      </c>
      <c r="Y3045" s="1" t="s">
        <v>2463</v>
      </c>
      <c r="Z3045" s="1"/>
      <c r="AA3045" s="1"/>
      <c r="AB3045" s="1" t="s">
        <v>52</v>
      </c>
      <c r="AC3045" s="1" t="s">
        <v>1925</v>
      </c>
      <c r="AD3045" s="1"/>
      <c r="AE3045" s="1" t="s">
        <v>1152</v>
      </c>
      <c r="AF3045" s="1"/>
      <c r="AG3045" s="1"/>
      <c r="AH3045" s="1" t="s">
        <v>1152</v>
      </c>
      <c r="AI3045" s="1" t="s">
        <v>1152</v>
      </c>
      <c r="AJ3045" s="1" t="s">
        <v>13904</v>
      </c>
      <c r="AK3045" s="1" t="s">
        <v>1152</v>
      </c>
      <c r="AL3045" s="6"/>
      <c r="AM3045" s="12">
        <v>8.033715949E9</v>
      </c>
    </row>
    <row r="3046">
      <c r="A3046" s="5" t="s">
        <v>13905</v>
      </c>
      <c r="B3046" s="1" t="s">
        <v>13906</v>
      </c>
      <c r="C3046" s="1" t="s">
        <v>13907</v>
      </c>
      <c r="D3046" s="2">
        <v>4.044472446E9</v>
      </c>
      <c r="E3046" s="1" t="s">
        <v>13908</v>
      </c>
      <c r="F3046" s="1"/>
      <c r="G3046" s="1" t="s">
        <v>9181</v>
      </c>
      <c r="H3046" s="1" t="s">
        <v>946</v>
      </c>
      <c r="I3046" s="1">
        <v>30083.0</v>
      </c>
      <c r="J3046" s="1" t="s">
        <v>752</v>
      </c>
      <c r="K3046" s="1" t="s">
        <v>892</v>
      </c>
      <c r="L3046" s="1" t="s">
        <v>8006</v>
      </c>
      <c r="M3046" s="1">
        <v>49.0</v>
      </c>
      <c r="N3046" s="1" t="s">
        <v>1152</v>
      </c>
      <c r="O3046" s="3" t="s">
        <v>7870</v>
      </c>
      <c r="P3046" s="1" t="s">
        <v>1152</v>
      </c>
      <c r="Q3046" s="1" t="s">
        <v>1152</v>
      </c>
      <c r="R3046" s="1"/>
      <c r="S3046" s="1"/>
      <c r="T3046" s="1" t="s">
        <v>1152</v>
      </c>
      <c r="U3046" s="1" t="s">
        <v>2510</v>
      </c>
      <c r="V3046" s="4" t="s">
        <v>7870</v>
      </c>
      <c r="W3046" s="1"/>
      <c r="X3046" s="1" t="s">
        <v>1152</v>
      </c>
      <c r="Y3046" s="1" t="s">
        <v>1152</v>
      </c>
      <c r="Z3046" s="1"/>
      <c r="AA3046" s="1"/>
      <c r="AB3046" s="1"/>
      <c r="AC3046" s="1" t="s">
        <v>1925</v>
      </c>
      <c r="AD3046" s="1"/>
      <c r="AE3046" s="18">
        <v>46158.0</v>
      </c>
      <c r="AF3046" s="1" t="s">
        <v>1103</v>
      </c>
      <c r="AG3046" s="1" t="s">
        <v>52</v>
      </c>
      <c r="AH3046" s="1" t="s">
        <v>13909</v>
      </c>
      <c r="AI3046" s="1" t="s">
        <v>1152</v>
      </c>
      <c r="AJ3046" s="1" t="s">
        <v>13908</v>
      </c>
      <c r="AK3046" s="1" t="s">
        <v>1152</v>
      </c>
      <c r="AL3046" s="6"/>
      <c r="AM3046" s="12">
        <v>4.044472446E9</v>
      </c>
    </row>
    <row r="3047">
      <c r="A3047" s="5" t="s">
        <v>13910</v>
      </c>
      <c r="B3047" s="1" t="s">
        <v>13911</v>
      </c>
      <c r="C3047" s="1" t="s">
        <v>13912</v>
      </c>
      <c r="D3047" s="2" t="s">
        <v>13913</v>
      </c>
      <c r="E3047" s="1" t="s">
        <v>13914</v>
      </c>
      <c r="F3047" s="1"/>
      <c r="G3047" s="1" t="s">
        <v>2998</v>
      </c>
      <c r="H3047" s="1" t="s">
        <v>2999</v>
      </c>
      <c r="I3047" s="1">
        <v>55409.0</v>
      </c>
      <c r="J3047" s="1" t="s">
        <v>752</v>
      </c>
      <c r="K3047" s="1" t="s">
        <v>42</v>
      </c>
      <c r="L3047" s="1" t="s">
        <v>8715</v>
      </c>
      <c r="M3047" s="1">
        <v>139.0</v>
      </c>
      <c r="N3047" s="1" t="s">
        <v>1152</v>
      </c>
      <c r="O3047" s="3" t="s">
        <v>133</v>
      </c>
      <c r="P3047" s="1" t="s">
        <v>1152</v>
      </c>
      <c r="Q3047" s="1" t="s">
        <v>1152</v>
      </c>
      <c r="R3047" s="1"/>
      <c r="S3047" s="1"/>
      <c r="T3047" s="1" t="s">
        <v>1152</v>
      </c>
      <c r="U3047" s="1" t="s">
        <v>1936</v>
      </c>
      <c r="V3047" s="4" t="s">
        <v>133</v>
      </c>
      <c r="W3047" s="1"/>
      <c r="X3047" s="1" t="s">
        <v>1152</v>
      </c>
      <c r="Y3047" s="1" t="s">
        <v>1152</v>
      </c>
      <c r="Z3047" s="1"/>
      <c r="AA3047" s="1"/>
      <c r="AB3047" s="1"/>
      <c r="AC3047" s="1" t="s">
        <v>1925</v>
      </c>
      <c r="AD3047" s="1"/>
      <c r="AE3047" s="18">
        <v>46160.0</v>
      </c>
      <c r="AF3047" s="1" t="s">
        <v>1030</v>
      </c>
      <c r="AG3047" s="1" t="s">
        <v>52</v>
      </c>
      <c r="AH3047" s="1" t="s">
        <v>1152</v>
      </c>
      <c r="AI3047" s="1" t="s">
        <v>1152</v>
      </c>
      <c r="AJ3047" s="1" t="s">
        <v>13915</v>
      </c>
      <c r="AK3047" s="1" t="s">
        <v>1152</v>
      </c>
      <c r="AL3047" s="6"/>
      <c r="AM3047" s="12">
        <v>7.043402845E9</v>
      </c>
    </row>
    <row r="3048">
      <c r="A3048" s="5" t="s">
        <v>13916</v>
      </c>
      <c r="B3048" s="1" t="s">
        <v>13917</v>
      </c>
      <c r="C3048" s="1" t="s">
        <v>13918</v>
      </c>
      <c r="D3048" s="2">
        <v>5.125389368E9</v>
      </c>
      <c r="E3048" s="1" t="s">
        <v>13919</v>
      </c>
      <c r="F3048" s="1" t="s">
        <v>13920</v>
      </c>
      <c r="G3048" s="1" t="s">
        <v>1582</v>
      </c>
      <c r="H3048" s="1" t="s">
        <v>1583</v>
      </c>
      <c r="I3048" s="1">
        <v>78739.0</v>
      </c>
      <c r="J3048" s="1" t="s">
        <v>752</v>
      </c>
      <c r="K3048" s="1" t="s">
        <v>892</v>
      </c>
      <c r="L3048" s="1" t="s">
        <v>6946</v>
      </c>
      <c r="M3048" s="1">
        <v>49.0</v>
      </c>
      <c r="N3048" s="1" t="s">
        <v>1152</v>
      </c>
      <c r="O3048" s="3"/>
      <c r="P3048" s="1" t="s">
        <v>1152</v>
      </c>
      <c r="Q3048" s="1" t="s">
        <v>1152</v>
      </c>
      <c r="R3048" s="1" t="s">
        <v>13920</v>
      </c>
      <c r="S3048" s="1"/>
      <c r="T3048" s="1" t="s">
        <v>1152</v>
      </c>
      <c r="U3048" s="1"/>
      <c r="V3048" s="4"/>
      <c r="W3048" s="1" t="s">
        <v>13920</v>
      </c>
      <c r="X3048" s="1" t="s">
        <v>1152</v>
      </c>
      <c r="Y3048" s="1" t="s">
        <v>1152</v>
      </c>
      <c r="Z3048" s="1"/>
      <c r="AA3048" s="1" t="s">
        <v>13920</v>
      </c>
      <c r="AB3048" s="1"/>
      <c r="AC3048" s="1" t="s">
        <v>1925</v>
      </c>
      <c r="AD3048" s="1"/>
      <c r="AE3048" s="18">
        <v>46155.0</v>
      </c>
      <c r="AF3048" s="1" t="s">
        <v>3186</v>
      </c>
      <c r="AG3048" s="1" t="s">
        <v>124</v>
      </c>
      <c r="AH3048" s="1" t="s">
        <v>13921</v>
      </c>
      <c r="AI3048" s="1" t="s">
        <v>1152</v>
      </c>
      <c r="AJ3048" s="1" t="s">
        <v>13922</v>
      </c>
      <c r="AK3048" s="1" t="s">
        <v>1152</v>
      </c>
      <c r="AL3048" s="6"/>
      <c r="AM3048" s="12" t="s">
        <v>13923</v>
      </c>
    </row>
    <row r="3049">
      <c r="A3049" s="5" t="s">
        <v>13924</v>
      </c>
      <c r="B3049" s="1" t="s">
        <v>13925</v>
      </c>
      <c r="C3049" s="1" t="s">
        <v>9120</v>
      </c>
      <c r="D3049" s="2">
        <v>9.255499908E9</v>
      </c>
      <c r="E3049" s="1" t="s">
        <v>4818</v>
      </c>
      <c r="F3049" s="1"/>
      <c r="G3049" s="1" t="s">
        <v>4819</v>
      </c>
      <c r="H3049" s="1" t="s">
        <v>989</v>
      </c>
      <c r="I3049" s="1">
        <v>94568.0</v>
      </c>
      <c r="J3049" s="1" t="s">
        <v>752</v>
      </c>
      <c r="K3049" s="1" t="s">
        <v>51</v>
      </c>
      <c r="L3049" s="1" t="s">
        <v>5722</v>
      </c>
      <c r="M3049" s="1">
        <v>1.0</v>
      </c>
      <c r="N3049" s="1" t="s">
        <v>2461</v>
      </c>
      <c r="O3049" s="3" t="s">
        <v>13926</v>
      </c>
      <c r="P3049" s="18">
        <v>46165.0</v>
      </c>
      <c r="Q3049" s="1" t="s">
        <v>2463</v>
      </c>
      <c r="R3049" s="1"/>
      <c r="S3049" s="1" t="s">
        <v>52</v>
      </c>
      <c r="T3049" s="1" t="s">
        <v>2461</v>
      </c>
      <c r="U3049" s="1" t="s">
        <v>2940</v>
      </c>
      <c r="V3049" s="4" t="s">
        <v>13926</v>
      </c>
      <c r="W3049" s="1"/>
      <c r="X3049" s="18">
        <v>46165.0</v>
      </c>
      <c r="Y3049" s="1" t="s">
        <v>2463</v>
      </c>
      <c r="Z3049" s="1"/>
      <c r="AA3049" s="1"/>
      <c r="AB3049" s="1" t="s">
        <v>52</v>
      </c>
      <c r="AC3049" s="1" t="s">
        <v>1925</v>
      </c>
      <c r="AD3049" s="1"/>
      <c r="AE3049" s="1" t="s">
        <v>1152</v>
      </c>
      <c r="AF3049" s="1"/>
      <c r="AG3049" s="1"/>
      <c r="AH3049" s="1" t="s">
        <v>1152</v>
      </c>
      <c r="AI3049" s="1" t="s">
        <v>1152</v>
      </c>
      <c r="AJ3049" s="1" t="s">
        <v>4818</v>
      </c>
      <c r="AK3049" s="1" t="s">
        <v>1152</v>
      </c>
      <c r="AL3049" s="6"/>
      <c r="AM3049" s="12" t="s">
        <v>13927</v>
      </c>
    </row>
    <row r="3050">
      <c r="A3050" s="5" t="s">
        <v>13928</v>
      </c>
      <c r="B3050" s="1" t="s">
        <v>13929</v>
      </c>
      <c r="C3050" s="1" t="s">
        <v>13930</v>
      </c>
      <c r="D3050" s="2">
        <v>16468563561</v>
      </c>
      <c r="E3050" s="1" t="s">
        <v>6614</v>
      </c>
      <c r="F3050" s="1"/>
      <c r="G3050" s="1" t="s">
        <v>751</v>
      </c>
      <c r="H3050" s="1" t="s">
        <v>751</v>
      </c>
      <c r="I3050" s="1">
        <v>10025.0</v>
      </c>
      <c r="J3050" s="1" t="s">
        <v>752</v>
      </c>
      <c r="K3050" s="1" t="s">
        <v>2131</v>
      </c>
      <c r="L3050" s="1" t="s">
        <v>5811</v>
      </c>
      <c r="M3050" s="1">
        <v>1.0</v>
      </c>
      <c r="N3050" s="1" t="s">
        <v>1152</v>
      </c>
      <c r="O3050" s="3" t="s">
        <v>1147</v>
      </c>
      <c r="P3050" s="1" t="s">
        <v>1152</v>
      </c>
      <c r="Q3050" s="1" t="s">
        <v>1152</v>
      </c>
      <c r="R3050" s="1"/>
      <c r="S3050" s="1"/>
      <c r="T3050" s="1" t="s">
        <v>1152</v>
      </c>
      <c r="U3050" s="1" t="s">
        <v>1812</v>
      </c>
      <c r="V3050" s="4" t="s">
        <v>1147</v>
      </c>
      <c r="W3050" s="1"/>
      <c r="X3050" s="1" t="s">
        <v>1152</v>
      </c>
      <c r="Y3050" s="1" t="s">
        <v>1152</v>
      </c>
      <c r="Z3050" s="1"/>
      <c r="AA3050" s="1"/>
      <c r="AB3050" s="1"/>
      <c r="AC3050" s="1" t="s">
        <v>1925</v>
      </c>
      <c r="AD3050" s="1"/>
      <c r="AE3050" s="18">
        <v>46155.0</v>
      </c>
      <c r="AF3050" s="1"/>
      <c r="AG3050" s="1"/>
      <c r="AH3050" s="1" t="s">
        <v>1152</v>
      </c>
      <c r="AI3050" s="1" t="s">
        <v>1152</v>
      </c>
      <c r="AJ3050" s="1" t="s">
        <v>6614</v>
      </c>
      <c r="AK3050" s="1" t="s">
        <v>1152</v>
      </c>
      <c r="AL3050" s="6"/>
      <c r="AM3050" s="12">
        <v>6.468563561E9</v>
      </c>
    </row>
    <row r="3051">
      <c r="A3051" s="5" t="s">
        <v>13931</v>
      </c>
      <c r="B3051" s="1" t="s">
        <v>13932</v>
      </c>
      <c r="C3051" s="1" t="s">
        <v>13933</v>
      </c>
      <c r="D3051" s="2">
        <v>9.177974688E9</v>
      </c>
      <c r="E3051" s="1" t="s">
        <v>13934</v>
      </c>
      <c r="F3051" s="1"/>
      <c r="G3051" s="1" t="s">
        <v>13935</v>
      </c>
      <c r="H3051" s="1" t="s">
        <v>1208</v>
      </c>
      <c r="I3051" s="1">
        <v>33149.0</v>
      </c>
      <c r="J3051" s="1" t="s">
        <v>752</v>
      </c>
      <c r="K3051" s="1" t="s">
        <v>892</v>
      </c>
      <c r="L3051" s="1" t="s">
        <v>8006</v>
      </c>
      <c r="M3051" s="1">
        <v>49.0</v>
      </c>
      <c r="N3051" s="1" t="s">
        <v>1152</v>
      </c>
      <c r="O3051" s="3" t="s">
        <v>9462</v>
      </c>
      <c r="P3051" s="1" t="s">
        <v>1152</v>
      </c>
      <c r="Q3051" s="1" t="s">
        <v>1152</v>
      </c>
      <c r="R3051" s="1"/>
      <c r="S3051" s="1"/>
      <c r="T3051" s="1" t="s">
        <v>1152</v>
      </c>
      <c r="U3051" s="1" t="s">
        <v>4149</v>
      </c>
      <c r="V3051" s="4" t="s">
        <v>9462</v>
      </c>
      <c r="W3051" s="1"/>
      <c r="X3051" s="1" t="s">
        <v>1152</v>
      </c>
      <c r="Y3051" s="1" t="s">
        <v>1152</v>
      </c>
      <c r="Z3051" s="1"/>
      <c r="AA3051" s="1"/>
      <c r="AB3051" s="1"/>
      <c r="AC3051" s="1" t="s">
        <v>1925</v>
      </c>
      <c r="AD3051" s="1"/>
      <c r="AE3051" s="18">
        <v>46157.0</v>
      </c>
      <c r="AF3051" s="1" t="s">
        <v>1349</v>
      </c>
      <c r="AG3051" s="1" t="s">
        <v>52</v>
      </c>
      <c r="AH3051" s="1" t="s">
        <v>13936</v>
      </c>
      <c r="AI3051" s="1" t="s">
        <v>1152</v>
      </c>
      <c r="AJ3051" s="1" t="s">
        <v>13937</v>
      </c>
      <c r="AK3051" s="1" t="s">
        <v>1152</v>
      </c>
      <c r="AL3051" s="6"/>
      <c r="AM3051" s="12">
        <v>9.177974688E9</v>
      </c>
    </row>
    <row r="3052">
      <c r="A3052" s="5" t="s">
        <v>13938</v>
      </c>
      <c r="B3052" s="1" t="s">
        <v>13939</v>
      </c>
      <c r="C3052" s="1" t="s">
        <v>5870</v>
      </c>
      <c r="D3052" s="2" t="s">
        <v>13940</v>
      </c>
      <c r="E3052" s="1" t="s">
        <v>5871</v>
      </c>
      <c r="F3052" s="1" t="s">
        <v>13941</v>
      </c>
      <c r="G3052" s="1" t="s">
        <v>5873</v>
      </c>
      <c r="H3052" s="1" t="s">
        <v>1233</v>
      </c>
      <c r="I3052" s="1">
        <v>19003.0</v>
      </c>
      <c r="J3052" s="1" t="s">
        <v>752</v>
      </c>
      <c r="K3052" s="1" t="s">
        <v>892</v>
      </c>
      <c r="L3052" s="1" t="s">
        <v>8134</v>
      </c>
      <c r="M3052" s="1">
        <v>79.0</v>
      </c>
      <c r="N3052" s="1"/>
      <c r="O3052" s="3"/>
      <c r="P3052" s="1"/>
      <c r="Q3052" s="1"/>
      <c r="R3052" s="1" t="s">
        <v>13941</v>
      </c>
      <c r="S3052" s="1"/>
      <c r="T3052" s="1"/>
      <c r="U3052" s="1"/>
      <c r="V3052" s="4"/>
      <c r="W3052" s="1" t="s">
        <v>13941</v>
      </c>
      <c r="X3052" s="1"/>
      <c r="Y3052" s="1"/>
      <c r="Z3052" s="1"/>
      <c r="AA3052" s="1" t="s">
        <v>13941</v>
      </c>
      <c r="AB3052" s="1"/>
      <c r="AC3052" s="1"/>
      <c r="AD3052" s="1"/>
      <c r="AE3052" s="18">
        <v>46158.0</v>
      </c>
      <c r="AF3052" s="1" t="s">
        <v>13942</v>
      </c>
      <c r="AG3052" s="1" t="s">
        <v>124</v>
      </c>
      <c r="AH3052" s="1" t="s">
        <v>13943</v>
      </c>
      <c r="AI3052" s="1"/>
      <c r="AJ3052" s="1" t="s">
        <v>5871</v>
      </c>
      <c r="AK3052" s="1"/>
      <c r="AL3052" s="6"/>
      <c r="AM3052" s="12" t="s">
        <v>13940</v>
      </c>
    </row>
    <row r="3053">
      <c r="A3053" s="5" t="s">
        <v>13944</v>
      </c>
      <c r="B3053" s="1" t="s">
        <v>13945</v>
      </c>
      <c r="C3053" s="1" t="s">
        <v>10586</v>
      </c>
      <c r="D3053" s="2">
        <v>8.479771792E9</v>
      </c>
      <c r="E3053" s="1" t="s">
        <v>10587</v>
      </c>
      <c r="F3053" s="1"/>
      <c r="G3053" s="1" t="s">
        <v>1634</v>
      </c>
      <c r="H3053" s="1" t="s">
        <v>1019</v>
      </c>
      <c r="I3053" s="1">
        <v>60015.0</v>
      </c>
      <c r="J3053" s="1" t="s">
        <v>752</v>
      </c>
      <c r="K3053" s="1" t="s">
        <v>892</v>
      </c>
      <c r="L3053" s="1" t="s">
        <v>6946</v>
      </c>
      <c r="M3053" s="1">
        <v>49.0</v>
      </c>
      <c r="N3053" s="1" t="s">
        <v>1152</v>
      </c>
      <c r="O3053" s="3" t="s">
        <v>2423</v>
      </c>
      <c r="P3053" s="1" t="s">
        <v>1152</v>
      </c>
      <c r="Q3053" s="1" t="s">
        <v>1152</v>
      </c>
      <c r="R3053" s="1"/>
      <c r="S3053" s="1"/>
      <c r="T3053" s="1" t="s">
        <v>1152</v>
      </c>
      <c r="U3053" s="1" t="s">
        <v>1812</v>
      </c>
      <c r="V3053" s="4" t="s">
        <v>2423</v>
      </c>
      <c r="W3053" s="1"/>
      <c r="X3053" s="1" t="s">
        <v>1152</v>
      </c>
      <c r="Y3053" s="1" t="s">
        <v>1152</v>
      </c>
      <c r="Z3053" s="1"/>
      <c r="AA3053" s="1"/>
      <c r="AB3053" s="1"/>
      <c r="AC3053" s="1" t="s">
        <v>1925</v>
      </c>
      <c r="AD3053" s="1"/>
      <c r="AE3053" s="18">
        <v>46155.0</v>
      </c>
      <c r="AF3053" s="1" t="s">
        <v>1030</v>
      </c>
      <c r="AG3053" s="1" t="s">
        <v>52</v>
      </c>
      <c r="AH3053" s="1" t="s">
        <v>13946</v>
      </c>
      <c r="AI3053" s="1" t="s">
        <v>1152</v>
      </c>
      <c r="AJ3053" s="1" t="s">
        <v>10587</v>
      </c>
      <c r="AK3053" s="1" t="s">
        <v>1152</v>
      </c>
      <c r="AL3053" s="6"/>
      <c r="AM3053" s="12">
        <v>8.479771792E9</v>
      </c>
    </row>
    <row r="3054">
      <c r="A3054" s="5" t="s">
        <v>13947</v>
      </c>
      <c r="B3054" s="1" t="s">
        <v>13948</v>
      </c>
      <c r="C3054" s="1" t="s">
        <v>13949</v>
      </c>
      <c r="D3054" s="2">
        <v>9.148305672E9</v>
      </c>
      <c r="E3054" s="1" t="s">
        <v>13950</v>
      </c>
      <c r="F3054" s="1" t="s">
        <v>13951</v>
      </c>
      <c r="G3054" s="1" t="s">
        <v>2350</v>
      </c>
      <c r="H3054" s="1" t="s">
        <v>1155</v>
      </c>
      <c r="I3054" s="1">
        <v>63130.0</v>
      </c>
      <c r="J3054" s="1" t="s">
        <v>752</v>
      </c>
      <c r="K3054" s="1" t="s">
        <v>892</v>
      </c>
      <c r="L3054" s="1" t="s">
        <v>8006</v>
      </c>
      <c r="M3054" s="1">
        <v>49.0</v>
      </c>
      <c r="N3054" s="1" t="s">
        <v>1152</v>
      </c>
      <c r="O3054" s="3"/>
      <c r="P3054" s="1" t="s">
        <v>1152</v>
      </c>
      <c r="Q3054" s="1" t="s">
        <v>1152</v>
      </c>
      <c r="R3054" s="1" t="s">
        <v>13951</v>
      </c>
      <c r="S3054" s="1"/>
      <c r="T3054" s="1" t="s">
        <v>1152</v>
      </c>
      <c r="U3054" s="1"/>
      <c r="V3054" s="4"/>
      <c r="W3054" s="1" t="s">
        <v>13951</v>
      </c>
      <c r="X3054" s="1" t="s">
        <v>1152</v>
      </c>
      <c r="Y3054" s="1" t="s">
        <v>1152</v>
      </c>
      <c r="Z3054" s="1"/>
      <c r="AA3054" s="1" t="s">
        <v>13951</v>
      </c>
      <c r="AB3054" s="1"/>
      <c r="AC3054" s="1" t="s">
        <v>1925</v>
      </c>
      <c r="AD3054" s="1"/>
      <c r="AE3054" s="18">
        <v>46160.0</v>
      </c>
      <c r="AF3054" s="1" t="s">
        <v>1030</v>
      </c>
      <c r="AG3054" s="1" t="s">
        <v>124</v>
      </c>
      <c r="AH3054" s="1" t="s">
        <v>13952</v>
      </c>
      <c r="AI3054" s="1" t="s">
        <v>1152</v>
      </c>
      <c r="AJ3054" s="1" t="s">
        <v>13950</v>
      </c>
      <c r="AK3054" s="1" t="s">
        <v>1152</v>
      </c>
      <c r="AL3054" s="6"/>
      <c r="AM3054" s="12">
        <v>9.148305672E9</v>
      </c>
    </row>
    <row r="3055">
      <c r="A3055" s="5" t="s">
        <v>13953</v>
      </c>
      <c r="B3055" s="1" t="s">
        <v>13954</v>
      </c>
      <c r="C3055" s="1" t="s">
        <v>2283</v>
      </c>
      <c r="D3055" s="2">
        <v>13476344188</v>
      </c>
      <c r="E3055" s="1" t="s">
        <v>1358</v>
      </c>
      <c r="F3055" s="1"/>
      <c r="G3055" s="1" t="s">
        <v>1360</v>
      </c>
      <c r="H3055" s="1" t="s">
        <v>1053</v>
      </c>
      <c r="I3055" s="1">
        <v>7020.0</v>
      </c>
      <c r="J3055" s="1" t="s">
        <v>752</v>
      </c>
      <c r="K3055" s="1" t="s">
        <v>2131</v>
      </c>
      <c r="L3055" s="1" t="s">
        <v>5736</v>
      </c>
      <c r="M3055" s="1">
        <v>1.0</v>
      </c>
      <c r="N3055" s="1" t="s">
        <v>1152</v>
      </c>
      <c r="O3055" s="3" t="s">
        <v>1362</v>
      </c>
      <c r="P3055" s="1" t="s">
        <v>1152</v>
      </c>
      <c r="Q3055" s="1" t="s">
        <v>1152</v>
      </c>
      <c r="R3055" s="1"/>
      <c r="S3055" s="1"/>
      <c r="T3055" s="1" t="s">
        <v>1152</v>
      </c>
      <c r="U3055" s="1" t="s">
        <v>1249</v>
      </c>
      <c r="V3055" s="4" t="s">
        <v>1362</v>
      </c>
      <c r="W3055" s="1"/>
      <c r="X3055" s="1" t="s">
        <v>1152</v>
      </c>
      <c r="Y3055" s="1" t="s">
        <v>1152</v>
      </c>
      <c r="Z3055" s="1"/>
      <c r="AA3055" s="1"/>
      <c r="AB3055" s="1"/>
      <c r="AC3055" s="1" t="s">
        <v>1925</v>
      </c>
      <c r="AD3055" s="1"/>
      <c r="AE3055" s="18">
        <v>46156.0</v>
      </c>
      <c r="AF3055" s="1"/>
      <c r="AG3055" s="1"/>
      <c r="AH3055" s="1" t="s">
        <v>1152</v>
      </c>
      <c r="AI3055" s="1" t="s">
        <v>1152</v>
      </c>
      <c r="AJ3055" s="1" t="s">
        <v>12502</v>
      </c>
      <c r="AK3055" s="1" t="s">
        <v>1152</v>
      </c>
      <c r="AL3055" s="6"/>
      <c r="AM3055" s="12">
        <v>3.476344188E9</v>
      </c>
    </row>
    <row r="3056">
      <c r="A3056" s="5" t="s">
        <v>13955</v>
      </c>
      <c r="B3056" s="1" t="s">
        <v>13956</v>
      </c>
      <c r="C3056" s="1" t="s">
        <v>13957</v>
      </c>
      <c r="D3056" s="2" t="s">
        <v>13958</v>
      </c>
      <c r="E3056" s="1" t="s">
        <v>13959</v>
      </c>
      <c r="F3056" s="1" t="s">
        <v>13960</v>
      </c>
      <c r="G3056" s="1" t="s">
        <v>13961</v>
      </c>
      <c r="H3056" s="1" t="s">
        <v>1208</v>
      </c>
      <c r="I3056" s="1">
        <v>32832.0</v>
      </c>
      <c r="J3056" s="1" t="s">
        <v>752</v>
      </c>
      <c r="K3056" s="1" t="s">
        <v>892</v>
      </c>
      <c r="L3056" s="1" t="s">
        <v>8006</v>
      </c>
      <c r="M3056" s="1">
        <v>49.0</v>
      </c>
      <c r="N3056" s="1" t="s">
        <v>1152</v>
      </c>
      <c r="O3056" s="3"/>
      <c r="P3056" s="1" t="s">
        <v>1152</v>
      </c>
      <c r="Q3056" s="1" t="s">
        <v>1152</v>
      </c>
      <c r="R3056" s="1" t="s">
        <v>13960</v>
      </c>
      <c r="S3056" s="1"/>
      <c r="T3056" s="1" t="s">
        <v>1152</v>
      </c>
      <c r="U3056" s="1"/>
      <c r="V3056" s="4"/>
      <c r="W3056" s="1" t="s">
        <v>13960</v>
      </c>
      <c r="X3056" s="1" t="s">
        <v>1152</v>
      </c>
      <c r="Y3056" s="1" t="s">
        <v>1152</v>
      </c>
      <c r="Z3056" s="1"/>
      <c r="AA3056" s="1" t="s">
        <v>13960</v>
      </c>
      <c r="AB3056" s="1"/>
      <c r="AC3056" s="1" t="s">
        <v>1925</v>
      </c>
      <c r="AD3056" s="1"/>
      <c r="AE3056" s="18">
        <v>46164.0</v>
      </c>
      <c r="AF3056" s="1" t="s">
        <v>1630</v>
      </c>
      <c r="AG3056" s="1" t="s">
        <v>124</v>
      </c>
      <c r="AH3056" s="1" t="s">
        <v>13962</v>
      </c>
      <c r="AI3056" s="1" t="s">
        <v>1152</v>
      </c>
      <c r="AJ3056" s="1" t="s">
        <v>13963</v>
      </c>
      <c r="AK3056" s="1" t="s">
        <v>1152</v>
      </c>
      <c r="AL3056" s="6"/>
      <c r="AM3056" s="12">
        <v>6.463850401E9</v>
      </c>
    </row>
    <row r="3057">
      <c r="A3057" s="5" t="s">
        <v>13964</v>
      </c>
      <c r="B3057" s="1" t="s">
        <v>13965</v>
      </c>
      <c r="C3057" s="1" t="s">
        <v>13966</v>
      </c>
      <c r="D3057" s="2">
        <v>5.163982118E9</v>
      </c>
      <c r="E3057" s="1" t="s">
        <v>13967</v>
      </c>
      <c r="F3057" s="1" t="s">
        <v>13968</v>
      </c>
      <c r="G3057" s="1" t="s">
        <v>1697</v>
      </c>
      <c r="H3057" s="1" t="s">
        <v>751</v>
      </c>
      <c r="I3057" s="1">
        <v>11021.0</v>
      </c>
      <c r="J3057" s="1" t="s">
        <v>752</v>
      </c>
      <c r="K3057" s="1" t="s">
        <v>892</v>
      </c>
      <c r="L3057" s="1" t="s">
        <v>8006</v>
      </c>
      <c r="M3057" s="1">
        <v>49.0</v>
      </c>
      <c r="N3057" s="1" t="s">
        <v>1152</v>
      </c>
      <c r="O3057" s="3"/>
      <c r="P3057" s="1" t="s">
        <v>1152</v>
      </c>
      <c r="Q3057" s="1" t="s">
        <v>1152</v>
      </c>
      <c r="R3057" s="1" t="s">
        <v>13968</v>
      </c>
      <c r="S3057" s="1"/>
      <c r="T3057" s="1" t="s">
        <v>1152</v>
      </c>
      <c r="U3057" s="1"/>
      <c r="V3057" s="4"/>
      <c r="W3057" s="1" t="s">
        <v>13968</v>
      </c>
      <c r="X3057" s="1" t="s">
        <v>1152</v>
      </c>
      <c r="Y3057" s="1" t="s">
        <v>1152</v>
      </c>
      <c r="Z3057" s="1"/>
      <c r="AA3057" s="1" t="s">
        <v>13968</v>
      </c>
      <c r="AB3057" s="1"/>
      <c r="AC3057" s="1" t="s">
        <v>1925</v>
      </c>
      <c r="AD3057" s="1"/>
      <c r="AE3057" s="18">
        <v>46160.0</v>
      </c>
      <c r="AF3057" s="1" t="s">
        <v>1030</v>
      </c>
      <c r="AG3057" s="1" t="s">
        <v>124</v>
      </c>
      <c r="AH3057" s="1" t="s">
        <v>13969</v>
      </c>
      <c r="AI3057" s="1" t="s">
        <v>1152</v>
      </c>
      <c r="AJ3057" s="1" t="s">
        <v>13970</v>
      </c>
      <c r="AK3057" s="1" t="s">
        <v>1152</v>
      </c>
      <c r="AL3057" s="6"/>
      <c r="AM3057" s="12">
        <v>5.166952935E9</v>
      </c>
    </row>
    <row r="3058">
      <c r="A3058" s="5" t="s">
        <v>13971</v>
      </c>
      <c r="B3058" s="1" t="s">
        <v>13972</v>
      </c>
      <c r="C3058" s="1" t="s">
        <v>13973</v>
      </c>
      <c r="D3058" s="2">
        <v>4.802827475E9</v>
      </c>
      <c r="E3058" s="1" t="s">
        <v>10051</v>
      </c>
      <c r="F3058" s="1"/>
      <c r="G3058" s="1" t="s">
        <v>3325</v>
      </c>
      <c r="H3058" s="1" t="s">
        <v>1535</v>
      </c>
      <c r="I3058" s="1">
        <v>85142.0</v>
      </c>
      <c r="J3058" s="1" t="s">
        <v>752</v>
      </c>
      <c r="K3058" s="1" t="s">
        <v>2131</v>
      </c>
      <c r="L3058" s="1" t="s">
        <v>5767</v>
      </c>
      <c r="M3058" s="1">
        <v>1.0</v>
      </c>
      <c r="N3058" s="1" t="s">
        <v>1152</v>
      </c>
      <c r="O3058" s="3" t="s">
        <v>3326</v>
      </c>
      <c r="P3058" s="1" t="s">
        <v>1152</v>
      </c>
      <c r="Q3058" s="1" t="s">
        <v>1152</v>
      </c>
      <c r="R3058" s="1"/>
      <c r="S3058" s="1"/>
      <c r="T3058" s="1" t="s">
        <v>1152</v>
      </c>
      <c r="U3058" s="1" t="s">
        <v>1749</v>
      </c>
      <c r="V3058" s="4" t="s">
        <v>3326</v>
      </c>
      <c r="W3058" s="1"/>
      <c r="X3058" s="1" t="s">
        <v>1152</v>
      </c>
      <c r="Y3058" s="1" t="s">
        <v>1152</v>
      </c>
      <c r="Z3058" s="1"/>
      <c r="AA3058" s="1"/>
      <c r="AB3058" s="1"/>
      <c r="AC3058" s="1" t="s">
        <v>1925</v>
      </c>
      <c r="AD3058" s="1"/>
      <c r="AE3058" s="18">
        <v>46160.0</v>
      </c>
      <c r="AF3058" s="1"/>
      <c r="AG3058" s="1"/>
      <c r="AH3058" s="1" t="s">
        <v>1152</v>
      </c>
      <c r="AI3058" s="1" t="s">
        <v>1152</v>
      </c>
      <c r="AJ3058" s="1" t="s">
        <v>3324</v>
      </c>
      <c r="AK3058" s="1" t="s">
        <v>1152</v>
      </c>
      <c r="AL3058" s="6"/>
      <c r="AM3058" s="12">
        <v>4.803009565E9</v>
      </c>
    </row>
    <row r="3059">
      <c r="A3059" s="5" t="s">
        <v>13974</v>
      </c>
      <c r="B3059" s="1" t="s">
        <v>13975</v>
      </c>
      <c r="C3059" s="1" t="s">
        <v>13976</v>
      </c>
      <c r="D3059" s="2">
        <v>7.245445005E9</v>
      </c>
      <c r="E3059" s="1" t="s">
        <v>13977</v>
      </c>
      <c r="F3059" s="1" t="s">
        <v>13978</v>
      </c>
      <c r="G3059" s="1" t="s">
        <v>13979</v>
      </c>
      <c r="H3059" s="1" t="s">
        <v>989</v>
      </c>
      <c r="I3059" s="1">
        <v>95030.0</v>
      </c>
      <c r="J3059" s="1" t="s">
        <v>752</v>
      </c>
      <c r="K3059" s="1" t="s">
        <v>42</v>
      </c>
      <c r="L3059" s="1" t="s">
        <v>6819</v>
      </c>
      <c r="M3059" s="1">
        <v>49.0</v>
      </c>
      <c r="N3059" s="1" t="s">
        <v>1152</v>
      </c>
      <c r="O3059" s="3"/>
      <c r="P3059" s="1" t="s">
        <v>1152</v>
      </c>
      <c r="Q3059" s="1" t="s">
        <v>1152</v>
      </c>
      <c r="R3059" s="1" t="s">
        <v>13978</v>
      </c>
      <c r="S3059" s="1"/>
      <c r="T3059" s="1" t="s">
        <v>1152</v>
      </c>
      <c r="U3059" s="1"/>
      <c r="V3059" s="4"/>
      <c r="W3059" s="1" t="s">
        <v>13978</v>
      </c>
      <c r="X3059" s="1" t="s">
        <v>1152</v>
      </c>
      <c r="Y3059" s="1" t="s">
        <v>1152</v>
      </c>
      <c r="Z3059" s="1"/>
      <c r="AA3059" s="1" t="s">
        <v>13978</v>
      </c>
      <c r="AB3059" s="1"/>
      <c r="AC3059" s="1" t="s">
        <v>1925</v>
      </c>
      <c r="AD3059" s="1"/>
      <c r="AE3059" s="18">
        <v>46160.0</v>
      </c>
      <c r="AF3059" s="1" t="s">
        <v>1349</v>
      </c>
      <c r="AG3059" s="1" t="s">
        <v>124</v>
      </c>
      <c r="AH3059" s="1" t="s">
        <v>1152</v>
      </c>
      <c r="AI3059" s="1" t="s">
        <v>13980</v>
      </c>
      <c r="AJ3059" s="1" t="s">
        <v>13977</v>
      </c>
      <c r="AK3059" s="1" t="s">
        <v>1152</v>
      </c>
      <c r="AL3059" s="6"/>
      <c r="AM3059" s="12">
        <v>7.245445005E9</v>
      </c>
    </row>
    <row r="3060">
      <c r="A3060" s="5" t="s">
        <v>13981</v>
      </c>
      <c r="B3060" s="1" t="s">
        <v>13982</v>
      </c>
      <c r="C3060" s="1" t="s">
        <v>5332</v>
      </c>
      <c r="D3060" s="2">
        <v>3.473363483E9</v>
      </c>
      <c r="E3060" s="1" t="s">
        <v>13983</v>
      </c>
      <c r="F3060" s="1"/>
      <c r="G3060" s="1" t="s">
        <v>3790</v>
      </c>
      <c r="H3060" s="1" t="s">
        <v>751</v>
      </c>
      <c r="I3060" s="1">
        <v>11436.0</v>
      </c>
      <c r="J3060" s="1" t="s">
        <v>752</v>
      </c>
      <c r="K3060" s="1" t="s">
        <v>2131</v>
      </c>
      <c r="L3060" s="1" t="s">
        <v>5767</v>
      </c>
      <c r="M3060" s="1">
        <v>1.0</v>
      </c>
      <c r="N3060" s="1" t="s">
        <v>1152</v>
      </c>
      <c r="O3060" s="3" t="s">
        <v>5334</v>
      </c>
      <c r="P3060" s="1" t="s">
        <v>1152</v>
      </c>
      <c r="Q3060" s="1" t="s">
        <v>1152</v>
      </c>
      <c r="R3060" s="1"/>
      <c r="S3060" s="1"/>
      <c r="T3060" s="1" t="s">
        <v>1152</v>
      </c>
      <c r="U3060" s="1" t="s">
        <v>956</v>
      </c>
      <c r="V3060" s="4" t="s">
        <v>5334</v>
      </c>
      <c r="W3060" s="1"/>
      <c r="X3060" s="1" t="s">
        <v>1152</v>
      </c>
      <c r="Y3060" s="1" t="s">
        <v>1152</v>
      </c>
      <c r="Z3060" s="1"/>
      <c r="AA3060" s="1"/>
      <c r="AB3060" s="1"/>
      <c r="AC3060" s="1" t="s">
        <v>1925</v>
      </c>
      <c r="AD3060" s="1"/>
      <c r="AE3060" s="18">
        <v>46157.0</v>
      </c>
      <c r="AF3060" s="1"/>
      <c r="AG3060" s="1"/>
      <c r="AH3060" s="1" t="s">
        <v>1152</v>
      </c>
      <c r="AI3060" s="1" t="s">
        <v>1152</v>
      </c>
      <c r="AJ3060" s="1" t="s">
        <v>13983</v>
      </c>
      <c r="AK3060" s="1" t="s">
        <v>1152</v>
      </c>
      <c r="AL3060" s="6"/>
      <c r="AM3060" s="12">
        <v>3.473363483E9</v>
      </c>
    </row>
    <row r="3061">
      <c r="A3061" s="5" t="s">
        <v>13984</v>
      </c>
      <c r="B3061" s="1" t="s">
        <v>13985</v>
      </c>
      <c r="C3061" s="1" t="s">
        <v>13986</v>
      </c>
      <c r="D3061" s="2">
        <v>5.577779605E9</v>
      </c>
      <c r="E3061" s="1" t="s">
        <v>13987</v>
      </c>
      <c r="F3061" s="1"/>
      <c r="G3061" s="1" t="s">
        <v>13988</v>
      </c>
      <c r="H3061" s="1" t="s">
        <v>1121</v>
      </c>
      <c r="I3061" s="1">
        <v>2176.0</v>
      </c>
      <c r="J3061" s="1" t="s">
        <v>752</v>
      </c>
      <c r="K3061" s="1" t="s">
        <v>5314</v>
      </c>
      <c r="L3061" s="1" t="s">
        <v>8365</v>
      </c>
      <c r="M3061" s="1">
        <v>49.0</v>
      </c>
      <c r="N3061" s="1" t="s">
        <v>1152</v>
      </c>
      <c r="O3061" s="3" t="s">
        <v>13989</v>
      </c>
      <c r="P3061" s="1" t="s">
        <v>1152</v>
      </c>
      <c r="Q3061" s="1" t="s">
        <v>1152</v>
      </c>
      <c r="R3061" s="1"/>
      <c r="S3061" s="1"/>
      <c r="T3061" s="1" t="s">
        <v>1152</v>
      </c>
      <c r="U3061" s="1" t="s">
        <v>13275</v>
      </c>
      <c r="V3061" s="4" t="s">
        <v>13989</v>
      </c>
      <c r="W3061" s="1"/>
      <c r="X3061" s="1" t="s">
        <v>1152</v>
      </c>
      <c r="Y3061" s="1" t="s">
        <v>1152</v>
      </c>
      <c r="Z3061" s="1"/>
      <c r="AA3061" s="1"/>
      <c r="AB3061" s="1"/>
      <c r="AC3061" s="1" t="s">
        <v>1925</v>
      </c>
      <c r="AD3061" s="1"/>
      <c r="AE3061" s="18">
        <v>46157.0</v>
      </c>
      <c r="AF3061" s="1" t="s">
        <v>1440</v>
      </c>
      <c r="AG3061" s="1" t="s">
        <v>52</v>
      </c>
      <c r="AH3061" s="1" t="s">
        <v>1152</v>
      </c>
      <c r="AI3061" s="1" t="s">
        <v>1152</v>
      </c>
      <c r="AJ3061" s="1" t="s">
        <v>13990</v>
      </c>
      <c r="AK3061" s="1" t="s">
        <v>1152</v>
      </c>
      <c r="AL3061" s="6"/>
      <c r="AM3061" s="12">
        <v>5.577779605E9</v>
      </c>
    </row>
    <row r="3062">
      <c r="A3062" s="5" t="s">
        <v>13991</v>
      </c>
      <c r="B3062" s="1" t="s">
        <v>13992</v>
      </c>
      <c r="C3062" s="1" t="s">
        <v>13966</v>
      </c>
      <c r="D3062" s="2"/>
      <c r="E3062" s="1" t="s">
        <v>13993</v>
      </c>
      <c r="F3062" s="1" t="s">
        <v>13994</v>
      </c>
      <c r="G3062" s="1" t="s">
        <v>1697</v>
      </c>
      <c r="H3062" s="1" t="s">
        <v>751</v>
      </c>
      <c r="I3062" s="1">
        <v>11021.0</v>
      </c>
      <c r="J3062" s="1" t="s">
        <v>752</v>
      </c>
      <c r="K3062" s="1" t="s">
        <v>892</v>
      </c>
      <c r="L3062" s="1" t="s">
        <v>8006</v>
      </c>
      <c r="M3062" s="1">
        <v>49.0</v>
      </c>
      <c r="N3062" s="1" t="s">
        <v>1152</v>
      </c>
      <c r="O3062" s="3"/>
      <c r="P3062" s="1" t="s">
        <v>1152</v>
      </c>
      <c r="Q3062" s="1" t="s">
        <v>1152</v>
      </c>
      <c r="R3062" s="1" t="s">
        <v>13994</v>
      </c>
      <c r="S3062" s="1"/>
      <c r="T3062" s="1" t="s">
        <v>1152</v>
      </c>
      <c r="U3062" s="1"/>
      <c r="V3062" s="4"/>
      <c r="W3062" s="1" t="s">
        <v>13994</v>
      </c>
      <c r="X3062" s="1" t="s">
        <v>1152</v>
      </c>
      <c r="Y3062" s="1" t="s">
        <v>1152</v>
      </c>
      <c r="Z3062" s="1"/>
      <c r="AA3062" s="1" t="s">
        <v>13994</v>
      </c>
      <c r="AB3062" s="1"/>
      <c r="AC3062" s="1" t="s">
        <v>1925</v>
      </c>
      <c r="AD3062" s="1"/>
      <c r="AE3062" s="18">
        <v>46158.0</v>
      </c>
      <c r="AF3062" s="1" t="s">
        <v>1630</v>
      </c>
      <c r="AG3062" s="1" t="s">
        <v>124</v>
      </c>
      <c r="AH3062" s="1" t="s">
        <v>13995</v>
      </c>
      <c r="AI3062" s="1" t="s">
        <v>1152</v>
      </c>
      <c r="AJ3062" s="1" t="s">
        <v>13996</v>
      </c>
      <c r="AK3062" s="1" t="s">
        <v>1152</v>
      </c>
      <c r="AL3062" s="6"/>
      <c r="AM3062" s="12">
        <v>5.166952235E9</v>
      </c>
    </row>
    <row r="3063">
      <c r="A3063" s="5" t="s">
        <v>13997</v>
      </c>
      <c r="B3063" s="1" t="s">
        <v>13998</v>
      </c>
      <c r="C3063" s="1" t="s">
        <v>13999</v>
      </c>
      <c r="D3063" s="2"/>
      <c r="E3063" s="1" t="s">
        <v>14000</v>
      </c>
      <c r="F3063" s="1" t="s">
        <v>14001</v>
      </c>
      <c r="G3063" s="1" t="s">
        <v>2435</v>
      </c>
      <c r="H3063" s="1" t="s">
        <v>751</v>
      </c>
      <c r="I3063" s="1">
        <v>10514.0</v>
      </c>
      <c r="J3063" s="1" t="s">
        <v>752</v>
      </c>
      <c r="K3063" s="1" t="s">
        <v>892</v>
      </c>
      <c r="L3063" s="1" t="s">
        <v>8006</v>
      </c>
      <c r="M3063" s="1">
        <v>49.0</v>
      </c>
      <c r="N3063" s="1" t="s">
        <v>1152</v>
      </c>
      <c r="O3063" s="3"/>
      <c r="P3063" s="1" t="s">
        <v>1152</v>
      </c>
      <c r="Q3063" s="1" t="s">
        <v>1152</v>
      </c>
      <c r="R3063" s="1" t="s">
        <v>14001</v>
      </c>
      <c r="S3063" s="1"/>
      <c r="T3063" s="1" t="s">
        <v>1152</v>
      </c>
      <c r="U3063" s="1"/>
      <c r="V3063" s="4"/>
      <c r="W3063" s="1" t="s">
        <v>14001</v>
      </c>
      <c r="X3063" s="1" t="s">
        <v>1152</v>
      </c>
      <c r="Y3063" s="1" t="s">
        <v>1152</v>
      </c>
      <c r="Z3063" s="1"/>
      <c r="AA3063" s="1" t="s">
        <v>14001</v>
      </c>
      <c r="AB3063" s="1"/>
      <c r="AC3063" s="1" t="s">
        <v>1925</v>
      </c>
      <c r="AD3063" s="1"/>
      <c r="AE3063" s="18">
        <v>46158.0</v>
      </c>
      <c r="AF3063" s="1" t="s">
        <v>1349</v>
      </c>
      <c r="AG3063" s="1" t="s">
        <v>124</v>
      </c>
      <c r="AH3063" s="1" t="s">
        <v>14002</v>
      </c>
      <c r="AI3063" s="1" t="s">
        <v>1152</v>
      </c>
      <c r="AJ3063" s="1" t="s">
        <v>14003</v>
      </c>
      <c r="AK3063" s="1" t="s">
        <v>1152</v>
      </c>
      <c r="AL3063" s="6"/>
      <c r="AM3063" s="12" t="s">
        <v>14004</v>
      </c>
    </row>
    <row r="3064">
      <c r="A3064" s="5" t="s">
        <v>14005</v>
      </c>
      <c r="B3064" s="1" t="s">
        <v>14006</v>
      </c>
      <c r="C3064" s="1" t="s">
        <v>4686</v>
      </c>
      <c r="D3064" s="2">
        <v>7.032232616E9</v>
      </c>
      <c r="E3064" s="1" t="s">
        <v>4687</v>
      </c>
      <c r="F3064" s="1" t="s">
        <v>14007</v>
      </c>
      <c r="G3064" s="1" t="s">
        <v>4688</v>
      </c>
      <c r="H3064" s="1" t="s">
        <v>1038</v>
      </c>
      <c r="I3064" s="1">
        <v>22032.0</v>
      </c>
      <c r="J3064" s="1" t="s">
        <v>752</v>
      </c>
      <c r="K3064" s="1" t="s">
        <v>51</v>
      </c>
      <c r="L3064" s="1" t="s">
        <v>5722</v>
      </c>
      <c r="M3064" s="1">
        <v>1.0</v>
      </c>
      <c r="N3064" s="1" t="s">
        <v>2487</v>
      </c>
      <c r="O3064" s="3"/>
      <c r="P3064" s="18">
        <v>46158.0</v>
      </c>
      <c r="Q3064" s="1" t="s">
        <v>2463</v>
      </c>
      <c r="R3064" s="1" t="s">
        <v>14007</v>
      </c>
      <c r="S3064" s="1" t="s">
        <v>124</v>
      </c>
      <c r="T3064" s="1" t="s">
        <v>2487</v>
      </c>
      <c r="U3064" s="1"/>
      <c r="V3064" s="4"/>
      <c r="W3064" s="1" t="s">
        <v>14007</v>
      </c>
      <c r="X3064" s="18">
        <v>46158.0</v>
      </c>
      <c r="Y3064" s="1" t="s">
        <v>2463</v>
      </c>
      <c r="Z3064" s="1"/>
      <c r="AA3064" s="1" t="s">
        <v>14007</v>
      </c>
      <c r="AB3064" s="1" t="s">
        <v>124</v>
      </c>
      <c r="AC3064" s="1" t="s">
        <v>1925</v>
      </c>
      <c r="AD3064" s="1"/>
      <c r="AE3064" s="1" t="s">
        <v>1152</v>
      </c>
      <c r="AF3064" s="1"/>
      <c r="AG3064" s="1"/>
      <c r="AH3064" s="1" t="s">
        <v>1152</v>
      </c>
      <c r="AI3064" s="1" t="s">
        <v>1152</v>
      </c>
      <c r="AJ3064" s="1" t="s">
        <v>4687</v>
      </c>
      <c r="AK3064" s="1" t="s">
        <v>1152</v>
      </c>
      <c r="AL3064" s="6"/>
      <c r="AM3064" s="12">
        <v>7.032232616E9</v>
      </c>
    </row>
    <row r="3065">
      <c r="A3065" s="5" t="s">
        <v>14008</v>
      </c>
      <c r="B3065" s="1" t="s">
        <v>14009</v>
      </c>
      <c r="C3065" s="1" t="s">
        <v>13344</v>
      </c>
      <c r="D3065" s="2">
        <v>8.083695904E9</v>
      </c>
      <c r="E3065" s="1" t="s">
        <v>7091</v>
      </c>
      <c r="F3065" s="1"/>
      <c r="G3065" s="1" t="s">
        <v>2485</v>
      </c>
      <c r="H3065" s="1" t="s">
        <v>2486</v>
      </c>
      <c r="I3065" s="1">
        <v>96816.0</v>
      </c>
      <c r="J3065" s="1" t="s">
        <v>752</v>
      </c>
      <c r="K3065" s="1" t="s">
        <v>2131</v>
      </c>
      <c r="L3065" s="1" t="s">
        <v>5811</v>
      </c>
      <c r="M3065" s="1">
        <v>1.0</v>
      </c>
      <c r="N3065" s="1" t="s">
        <v>1152</v>
      </c>
      <c r="O3065" s="3" t="s">
        <v>2798</v>
      </c>
      <c r="P3065" s="1" t="s">
        <v>1152</v>
      </c>
      <c r="Q3065" s="1" t="s">
        <v>1152</v>
      </c>
      <c r="R3065" s="1"/>
      <c r="S3065" s="1"/>
      <c r="T3065" s="1" t="s">
        <v>1152</v>
      </c>
      <c r="U3065" s="1" t="s">
        <v>6053</v>
      </c>
      <c r="V3065" s="4" t="s">
        <v>2798</v>
      </c>
      <c r="W3065" s="1"/>
      <c r="X3065" s="1" t="s">
        <v>1152</v>
      </c>
      <c r="Y3065" s="1" t="s">
        <v>1152</v>
      </c>
      <c r="Z3065" s="1"/>
      <c r="AA3065" s="1"/>
      <c r="AB3065" s="1"/>
      <c r="AC3065" s="1" t="s">
        <v>1925</v>
      </c>
      <c r="AD3065" s="1"/>
      <c r="AE3065" s="18">
        <v>46158.0</v>
      </c>
      <c r="AF3065" s="1"/>
      <c r="AG3065" s="1"/>
      <c r="AH3065" s="1" t="s">
        <v>1152</v>
      </c>
      <c r="AI3065" s="1" t="s">
        <v>1152</v>
      </c>
      <c r="AJ3065" s="1" t="s">
        <v>7091</v>
      </c>
      <c r="AK3065" s="1" t="s">
        <v>1152</v>
      </c>
      <c r="AL3065" s="6"/>
      <c r="AM3065" s="12">
        <v>8.083695904E9</v>
      </c>
    </row>
    <row r="3066">
      <c r="A3066" s="5" t="s">
        <v>14010</v>
      </c>
      <c r="B3066" s="1" t="s">
        <v>14011</v>
      </c>
      <c r="C3066" s="1" t="s">
        <v>14012</v>
      </c>
      <c r="D3066" s="2">
        <v>6.077615382E9</v>
      </c>
      <c r="E3066" s="1" t="s">
        <v>14013</v>
      </c>
      <c r="F3066" s="1" t="s">
        <v>14014</v>
      </c>
      <c r="G3066" s="1" t="s">
        <v>14015</v>
      </c>
      <c r="H3066" s="1" t="s">
        <v>751</v>
      </c>
      <c r="I3066" s="1">
        <v>13901.0</v>
      </c>
      <c r="J3066" s="1" t="s">
        <v>752</v>
      </c>
      <c r="K3066" s="1" t="s">
        <v>95</v>
      </c>
      <c r="L3066" s="1" t="s">
        <v>5820</v>
      </c>
      <c r="M3066" s="1">
        <v>49.0</v>
      </c>
      <c r="N3066" s="1" t="s">
        <v>2487</v>
      </c>
      <c r="O3066" s="3"/>
      <c r="P3066" s="18">
        <v>46246.0</v>
      </c>
      <c r="Q3066" s="1" t="s">
        <v>2463</v>
      </c>
      <c r="R3066" s="1" t="s">
        <v>14014</v>
      </c>
      <c r="S3066" s="1" t="s">
        <v>124</v>
      </c>
      <c r="T3066" s="1" t="s">
        <v>2487</v>
      </c>
      <c r="U3066" s="1"/>
      <c r="V3066" s="4"/>
      <c r="W3066" s="1" t="s">
        <v>14014</v>
      </c>
      <c r="X3066" s="18">
        <v>46246.0</v>
      </c>
      <c r="Y3066" s="1" t="s">
        <v>2463</v>
      </c>
      <c r="Z3066" s="1"/>
      <c r="AA3066" s="1" t="s">
        <v>14014</v>
      </c>
      <c r="AB3066" s="1" t="s">
        <v>124</v>
      </c>
      <c r="AC3066" s="1" t="s">
        <v>14016</v>
      </c>
      <c r="AD3066" s="1"/>
      <c r="AE3066" s="1" t="s">
        <v>1152</v>
      </c>
      <c r="AF3066" s="1"/>
      <c r="AG3066" s="1"/>
      <c r="AH3066" s="1" t="s">
        <v>1152</v>
      </c>
      <c r="AI3066" s="1" t="s">
        <v>1152</v>
      </c>
      <c r="AJ3066" s="1" t="s">
        <v>14013</v>
      </c>
      <c r="AK3066" s="1" t="s">
        <v>1152</v>
      </c>
      <c r="AL3066" s="6"/>
      <c r="AM3066" s="12">
        <v>6.077615382E9</v>
      </c>
    </row>
    <row r="3067">
      <c r="A3067" s="5" t="s">
        <v>14017</v>
      </c>
      <c r="B3067" s="1" t="s">
        <v>14018</v>
      </c>
      <c r="C3067" s="1" t="s">
        <v>14019</v>
      </c>
      <c r="D3067" s="2">
        <v>5.126803067E9</v>
      </c>
      <c r="E3067" s="1" t="s">
        <v>14020</v>
      </c>
      <c r="F3067" s="1"/>
      <c r="G3067" s="1" t="s">
        <v>1582</v>
      </c>
      <c r="H3067" s="1" t="s">
        <v>1583</v>
      </c>
      <c r="I3067" s="1">
        <v>78731.0</v>
      </c>
      <c r="J3067" s="1" t="s">
        <v>752</v>
      </c>
      <c r="K3067" s="1" t="s">
        <v>95</v>
      </c>
      <c r="L3067" s="1" t="s">
        <v>5820</v>
      </c>
      <c r="M3067" s="1">
        <v>49.0</v>
      </c>
      <c r="N3067" s="1" t="s">
        <v>2461</v>
      </c>
      <c r="O3067" s="3" t="s">
        <v>258</v>
      </c>
      <c r="P3067" s="18">
        <v>46248.0</v>
      </c>
      <c r="Q3067" s="1" t="s">
        <v>2463</v>
      </c>
      <c r="R3067" s="1"/>
      <c r="S3067" s="1" t="s">
        <v>52</v>
      </c>
      <c r="T3067" s="1" t="s">
        <v>2461</v>
      </c>
      <c r="U3067" s="1" t="s">
        <v>102</v>
      </c>
      <c r="V3067" s="4" t="s">
        <v>258</v>
      </c>
      <c r="W3067" s="1"/>
      <c r="X3067" s="18">
        <v>46248.0</v>
      </c>
      <c r="Y3067" s="1" t="s">
        <v>2463</v>
      </c>
      <c r="Z3067" s="1"/>
      <c r="AA3067" s="1"/>
      <c r="AB3067" s="1" t="s">
        <v>52</v>
      </c>
      <c r="AC3067" s="1" t="s">
        <v>14021</v>
      </c>
      <c r="AD3067" s="1"/>
      <c r="AE3067" s="1" t="s">
        <v>1152</v>
      </c>
      <c r="AF3067" s="1"/>
      <c r="AG3067" s="1"/>
      <c r="AH3067" s="1" t="s">
        <v>1152</v>
      </c>
      <c r="AI3067" s="1" t="s">
        <v>1152</v>
      </c>
      <c r="AJ3067" s="1" t="s">
        <v>14020</v>
      </c>
      <c r="AK3067" s="1" t="s">
        <v>1152</v>
      </c>
      <c r="AL3067" s="6"/>
      <c r="AM3067" s="12">
        <v>5.122286074E9</v>
      </c>
    </row>
    <row r="3068">
      <c r="A3068" s="5" t="s">
        <v>14022</v>
      </c>
      <c r="B3068" s="1" t="s">
        <v>14023</v>
      </c>
      <c r="C3068" s="1" t="s">
        <v>14024</v>
      </c>
      <c r="D3068" s="2">
        <v>3.104182714E9</v>
      </c>
      <c r="E3068" s="1" t="s">
        <v>1009</v>
      </c>
      <c r="F3068" s="1"/>
      <c r="G3068" s="1" t="s">
        <v>988</v>
      </c>
      <c r="H3068" s="1" t="s">
        <v>989</v>
      </c>
      <c r="I3068" s="1">
        <v>91367.0</v>
      </c>
      <c r="J3068" s="1" t="s">
        <v>752</v>
      </c>
      <c r="K3068" s="1" t="s">
        <v>66</v>
      </c>
      <c r="L3068" s="1" t="s">
        <v>13886</v>
      </c>
      <c r="M3068" s="1">
        <v>145.0</v>
      </c>
      <c r="N3068" s="1" t="s">
        <v>1152</v>
      </c>
      <c r="O3068" s="3" t="s">
        <v>2008</v>
      </c>
      <c r="P3068" s="18">
        <v>46244.0</v>
      </c>
      <c r="Q3068" s="1" t="s">
        <v>1152</v>
      </c>
      <c r="R3068" s="1"/>
      <c r="S3068" s="1"/>
      <c r="T3068" s="1" t="s">
        <v>1152</v>
      </c>
      <c r="U3068" s="1" t="s">
        <v>1441</v>
      </c>
      <c r="V3068" s="4" t="s">
        <v>2008</v>
      </c>
      <c r="W3068" s="1"/>
      <c r="X3068" s="18">
        <v>46244.0</v>
      </c>
      <c r="Y3068" s="1" t="s">
        <v>1152</v>
      </c>
      <c r="Z3068" s="1"/>
      <c r="AA3068" s="1"/>
      <c r="AB3068" s="1"/>
      <c r="AC3068" s="1" t="s">
        <v>1925</v>
      </c>
      <c r="AD3068" s="1"/>
      <c r="AE3068" s="1" t="s">
        <v>1152</v>
      </c>
      <c r="AF3068" s="1"/>
      <c r="AG3068" s="1"/>
      <c r="AH3068" s="1" t="s">
        <v>1152</v>
      </c>
      <c r="AI3068" s="1" t="s">
        <v>1152</v>
      </c>
      <c r="AJ3068" s="1" t="s">
        <v>5050</v>
      </c>
      <c r="AK3068" s="1" t="s">
        <v>1152</v>
      </c>
      <c r="AL3068" s="6"/>
      <c r="AM3068" s="12" t="s">
        <v>14025</v>
      </c>
    </row>
    <row r="3069">
      <c r="A3069" s="5" t="s">
        <v>14026</v>
      </c>
      <c r="B3069" s="1" t="s">
        <v>14027</v>
      </c>
      <c r="C3069" s="1" t="s">
        <v>14028</v>
      </c>
      <c r="D3069" s="2">
        <v>9.179007892E9</v>
      </c>
      <c r="E3069" s="1" t="s">
        <v>14029</v>
      </c>
      <c r="F3069" s="1" t="s">
        <v>10696</v>
      </c>
      <c r="G3069" s="1" t="s">
        <v>751</v>
      </c>
      <c r="H3069" s="1" t="s">
        <v>751</v>
      </c>
      <c r="I3069" s="1">
        <v>10023.0</v>
      </c>
      <c r="J3069" s="1" t="s">
        <v>752</v>
      </c>
      <c r="K3069" s="1" t="s">
        <v>892</v>
      </c>
      <c r="L3069" s="1" t="s">
        <v>9336</v>
      </c>
      <c r="M3069" s="1">
        <v>109.0</v>
      </c>
      <c r="N3069" s="1" t="s">
        <v>1152</v>
      </c>
      <c r="O3069" s="3"/>
      <c r="P3069" s="1" t="s">
        <v>1152</v>
      </c>
      <c r="Q3069" s="1" t="s">
        <v>1152</v>
      </c>
      <c r="R3069" s="1" t="s">
        <v>10696</v>
      </c>
      <c r="S3069" s="1"/>
      <c r="T3069" s="1" t="s">
        <v>1152</v>
      </c>
      <c r="U3069" s="1"/>
      <c r="V3069" s="4"/>
      <c r="W3069" s="1" t="s">
        <v>10696</v>
      </c>
      <c r="X3069" s="1" t="s">
        <v>1152</v>
      </c>
      <c r="Y3069" s="1" t="s">
        <v>1152</v>
      </c>
      <c r="Z3069" s="1"/>
      <c r="AA3069" s="1" t="s">
        <v>10696</v>
      </c>
      <c r="AB3069" s="1"/>
      <c r="AC3069" s="1" t="s">
        <v>1925</v>
      </c>
      <c r="AD3069" s="1"/>
      <c r="AE3069" s="18">
        <v>46161.0</v>
      </c>
      <c r="AF3069" s="1" t="s">
        <v>1455</v>
      </c>
      <c r="AG3069" s="1" t="s">
        <v>124</v>
      </c>
      <c r="AH3069" s="1" t="s">
        <v>14030</v>
      </c>
      <c r="AI3069" s="1" t="s">
        <v>1152</v>
      </c>
      <c r="AJ3069" s="1" t="s">
        <v>14031</v>
      </c>
      <c r="AK3069" s="1" t="s">
        <v>1152</v>
      </c>
      <c r="AL3069" s="6"/>
      <c r="AM3069" s="12">
        <v>9.179007892E9</v>
      </c>
    </row>
    <row r="3070">
      <c r="A3070" s="5" t="s">
        <v>14032</v>
      </c>
      <c r="B3070" s="1" t="s">
        <v>14033</v>
      </c>
      <c r="C3070" s="1" t="s">
        <v>7836</v>
      </c>
      <c r="D3070" s="2">
        <v>8.174546178E9</v>
      </c>
      <c r="E3070" s="1" t="s">
        <v>7837</v>
      </c>
      <c r="F3070" s="1"/>
      <c r="G3070" s="1" t="s">
        <v>6208</v>
      </c>
      <c r="H3070" s="1" t="s">
        <v>1583</v>
      </c>
      <c r="I3070" s="1">
        <v>76107.0</v>
      </c>
      <c r="J3070" s="1" t="s">
        <v>752</v>
      </c>
      <c r="K3070" s="1" t="s">
        <v>2131</v>
      </c>
      <c r="L3070" s="1" t="s">
        <v>5767</v>
      </c>
      <c r="M3070" s="1">
        <v>1.0</v>
      </c>
      <c r="N3070" s="1" t="s">
        <v>1152</v>
      </c>
      <c r="O3070" s="3" t="s">
        <v>3075</v>
      </c>
      <c r="P3070" s="1" t="s">
        <v>1152</v>
      </c>
      <c r="Q3070" s="1" t="s">
        <v>1152</v>
      </c>
      <c r="R3070" s="1"/>
      <c r="S3070" s="1"/>
      <c r="T3070" s="1" t="s">
        <v>1152</v>
      </c>
      <c r="U3070" s="1" t="s">
        <v>1174</v>
      </c>
      <c r="V3070" s="4" t="s">
        <v>3075</v>
      </c>
      <c r="W3070" s="1"/>
      <c r="X3070" s="1" t="s">
        <v>1152</v>
      </c>
      <c r="Y3070" s="1" t="s">
        <v>1152</v>
      </c>
      <c r="Z3070" s="1"/>
      <c r="AA3070" s="1"/>
      <c r="AB3070" s="1"/>
      <c r="AC3070" s="1" t="s">
        <v>1925</v>
      </c>
      <c r="AD3070" s="1"/>
      <c r="AE3070" s="18">
        <v>46160.0</v>
      </c>
      <c r="AF3070" s="1"/>
      <c r="AG3070" s="1"/>
      <c r="AH3070" s="1" t="s">
        <v>1152</v>
      </c>
      <c r="AI3070" s="1" t="s">
        <v>1152</v>
      </c>
      <c r="AJ3070" s="1" t="s">
        <v>7837</v>
      </c>
      <c r="AK3070" s="1" t="s">
        <v>1152</v>
      </c>
      <c r="AL3070" s="6"/>
      <c r="AM3070" s="12">
        <v>8.174546178E9</v>
      </c>
    </row>
    <row r="3071">
      <c r="A3071" s="5" t="s">
        <v>14034</v>
      </c>
      <c r="B3071" s="1" t="s">
        <v>14035</v>
      </c>
      <c r="C3071" s="1" t="s">
        <v>12775</v>
      </c>
      <c r="D3071" s="2">
        <v>8.057220816E9</v>
      </c>
      <c r="E3071" s="1" t="s">
        <v>4146</v>
      </c>
      <c r="F3071" s="1" t="s">
        <v>14036</v>
      </c>
      <c r="G3071" s="1" t="s">
        <v>4147</v>
      </c>
      <c r="H3071" s="1" t="s">
        <v>989</v>
      </c>
      <c r="I3071" s="1" t="s">
        <v>14037</v>
      </c>
      <c r="J3071" s="1" t="s">
        <v>752</v>
      </c>
      <c r="K3071" s="1" t="s">
        <v>51</v>
      </c>
      <c r="L3071" s="1" t="s">
        <v>5722</v>
      </c>
      <c r="M3071" s="1">
        <v>1.0</v>
      </c>
      <c r="N3071" s="1" t="s">
        <v>2487</v>
      </c>
      <c r="O3071" s="3"/>
      <c r="P3071" s="18">
        <v>46174.0</v>
      </c>
      <c r="Q3071" s="1" t="s">
        <v>2731</v>
      </c>
      <c r="R3071" s="1" t="s">
        <v>14036</v>
      </c>
      <c r="S3071" s="1" t="s">
        <v>124</v>
      </c>
      <c r="T3071" s="1" t="s">
        <v>2487</v>
      </c>
      <c r="U3071" s="1"/>
      <c r="V3071" s="4"/>
      <c r="W3071" s="1" t="s">
        <v>14036</v>
      </c>
      <c r="X3071" s="18">
        <v>46174.0</v>
      </c>
      <c r="Y3071" s="1" t="s">
        <v>2731</v>
      </c>
      <c r="Z3071" s="1"/>
      <c r="AA3071" s="1" t="s">
        <v>14036</v>
      </c>
      <c r="AB3071" s="1" t="s">
        <v>124</v>
      </c>
      <c r="AC3071" s="1" t="s">
        <v>1925</v>
      </c>
      <c r="AD3071" s="1"/>
      <c r="AE3071" s="1" t="s">
        <v>1152</v>
      </c>
      <c r="AF3071" s="1"/>
      <c r="AG3071" s="1"/>
      <c r="AH3071" s="1" t="s">
        <v>1152</v>
      </c>
      <c r="AI3071" s="1" t="s">
        <v>14038</v>
      </c>
      <c r="AJ3071" s="1" t="s">
        <v>4146</v>
      </c>
      <c r="AK3071" s="1" t="s">
        <v>1152</v>
      </c>
      <c r="AL3071" s="6"/>
      <c r="AM3071" s="12">
        <v>8.057220816E9</v>
      </c>
    </row>
    <row r="3072">
      <c r="A3072" s="19"/>
      <c r="B3072" s="19"/>
      <c r="C3072" s="19"/>
      <c r="D3072" s="42"/>
      <c r="E3072" s="19"/>
      <c r="F3072" s="19"/>
      <c r="G3072" s="19"/>
      <c r="H3072" s="19"/>
      <c r="I3072" s="19"/>
      <c r="J3072" s="19"/>
      <c r="K3072" s="19"/>
      <c r="L3072" s="19"/>
      <c r="M3072" s="19"/>
      <c r="N3072" s="19"/>
      <c r="O3072" s="43"/>
      <c r="P3072" s="19"/>
      <c r="Q3072" s="19"/>
      <c r="R3072" s="19"/>
      <c r="S3072" s="19"/>
      <c r="T3072" s="19"/>
      <c r="U3072" s="19"/>
      <c r="V3072" s="44"/>
      <c r="W3072" s="19"/>
      <c r="X3072" s="19"/>
      <c r="Y3072" s="19"/>
      <c r="Z3072" s="19"/>
      <c r="AA3072" s="19"/>
      <c r="AB3072" s="19"/>
      <c r="AC3072" s="19"/>
      <c r="AD3072" s="19"/>
      <c r="AE3072" s="19"/>
      <c r="AF3072" s="19"/>
      <c r="AG3072" s="19"/>
      <c r="AH3072" s="19"/>
      <c r="AI3072" s="19"/>
      <c r="AJ3072" s="19"/>
      <c r="AK3072" s="19"/>
      <c r="AL3072" s="6" t="str">
        <f t="array" ref="AL3072">IFERROR(IFS(XLOOKUP(B3072, 'Kit Delivery Status'!$U:$U, 'Kit Delivery Status'!$K:$K) = "Complete", "DELIVERED", XLOOKUP(B3072, 'Kit Delivery Status'!$U:$U, 'Kit Delivery Status'!$K:$K) = "Issue", "ISSUE"), "")</f>
        <v/>
      </c>
      <c r="AM3072" s="6"/>
    </row>
    <row r="3073">
      <c r="A3073" s="19"/>
      <c r="B3073" s="19"/>
      <c r="C3073" s="19"/>
      <c r="D3073" s="42"/>
      <c r="E3073" s="19"/>
      <c r="F3073" s="19"/>
      <c r="G3073" s="19"/>
      <c r="H3073" s="19"/>
      <c r="I3073" s="19"/>
      <c r="J3073" s="19"/>
      <c r="K3073" s="19"/>
      <c r="L3073" s="19"/>
      <c r="M3073" s="19"/>
      <c r="N3073" s="19"/>
      <c r="O3073" s="43"/>
      <c r="P3073" s="19"/>
      <c r="Q3073" s="19"/>
      <c r="R3073" s="19"/>
      <c r="S3073" s="19"/>
      <c r="T3073" s="19"/>
      <c r="U3073" s="19"/>
      <c r="V3073" s="44"/>
      <c r="W3073" s="19"/>
      <c r="X3073" s="19"/>
      <c r="Y3073" s="19"/>
      <c r="Z3073" s="19"/>
      <c r="AA3073" s="19"/>
      <c r="AB3073" s="19"/>
      <c r="AC3073" s="19"/>
      <c r="AD3073" s="19"/>
      <c r="AE3073" s="19"/>
      <c r="AF3073" s="19"/>
      <c r="AG3073" s="19"/>
      <c r="AH3073" s="19"/>
      <c r="AI3073" s="19"/>
      <c r="AJ3073" s="19"/>
      <c r="AK3073" s="19"/>
      <c r="AL3073" s="6" t="str">
        <f t="array" ref="AL3073">IFERROR(IFS(XLOOKUP(B3073, 'Kit Delivery Status'!$U:$U, 'Kit Delivery Status'!$K:$K) = "Complete", "DELIVERED", XLOOKUP(B3073, 'Kit Delivery Status'!$U:$U, 'Kit Delivery Status'!$K:$K) = "Issue", "ISSUE"), "")</f>
        <v/>
      </c>
      <c r="AM3073" s="6"/>
    </row>
    <row r="3074">
      <c r="A3074" s="19"/>
      <c r="B3074" s="19"/>
      <c r="C3074" s="19"/>
      <c r="D3074" s="42"/>
      <c r="E3074" s="19"/>
      <c r="F3074" s="19"/>
      <c r="G3074" s="19"/>
      <c r="H3074" s="19"/>
      <c r="I3074" s="19"/>
      <c r="J3074" s="19"/>
      <c r="K3074" s="19"/>
      <c r="L3074" s="19"/>
      <c r="M3074" s="19"/>
      <c r="N3074" s="19"/>
      <c r="O3074" s="43"/>
      <c r="P3074" s="19"/>
      <c r="Q3074" s="19"/>
      <c r="R3074" s="19"/>
      <c r="S3074" s="19"/>
      <c r="T3074" s="19"/>
      <c r="U3074" s="19"/>
      <c r="V3074" s="44"/>
      <c r="W3074" s="19"/>
      <c r="X3074" s="19"/>
      <c r="Y3074" s="19"/>
      <c r="Z3074" s="19"/>
      <c r="AA3074" s="19"/>
      <c r="AB3074" s="19"/>
      <c r="AC3074" s="19"/>
      <c r="AD3074" s="19"/>
      <c r="AE3074" s="19"/>
      <c r="AF3074" s="19"/>
      <c r="AG3074" s="19"/>
      <c r="AH3074" s="19"/>
      <c r="AI3074" s="19"/>
      <c r="AJ3074" s="19"/>
      <c r="AK3074" s="19"/>
      <c r="AL3074" s="6" t="str">
        <f t="array" ref="AL3074">IFERROR(IFS(XLOOKUP(B3074, 'Kit Delivery Status'!$U:$U, 'Kit Delivery Status'!$K:$K) = "Complete", "DELIVERED", XLOOKUP(B3074, 'Kit Delivery Status'!$U:$U, 'Kit Delivery Status'!$K:$K) = "Issue", "ISSUE"), "")</f>
        <v/>
      </c>
      <c r="AM3074" s="6"/>
    </row>
    <row r="3075">
      <c r="A3075" s="19"/>
      <c r="B3075" s="19"/>
      <c r="C3075" s="19"/>
      <c r="D3075" s="42"/>
      <c r="E3075" s="19"/>
      <c r="F3075" s="19"/>
      <c r="G3075" s="19"/>
      <c r="H3075" s="19"/>
      <c r="I3075" s="19"/>
      <c r="J3075" s="19"/>
      <c r="K3075" s="19"/>
      <c r="L3075" s="19"/>
      <c r="M3075" s="19"/>
      <c r="N3075" s="19"/>
      <c r="O3075" s="43"/>
      <c r="P3075" s="19"/>
      <c r="Q3075" s="19"/>
      <c r="R3075" s="19"/>
      <c r="S3075" s="19"/>
      <c r="T3075" s="19"/>
      <c r="U3075" s="19"/>
      <c r="V3075" s="44"/>
      <c r="W3075" s="19"/>
      <c r="X3075" s="19"/>
      <c r="Y3075" s="19"/>
      <c r="Z3075" s="19"/>
      <c r="AA3075" s="19"/>
      <c r="AB3075" s="19"/>
      <c r="AC3075" s="19"/>
      <c r="AD3075" s="19"/>
      <c r="AE3075" s="19"/>
      <c r="AF3075" s="19"/>
      <c r="AG3075" s="19"/>
      <c r="AH3075" s="19"/>
      <c r="AI3075" s="19"/>
      <c r="AJ3075" s="19"/>
      <c r="AK3075" s="19"/>
      <c r="AL3075" s="6" t="str">
        <f t="array" ref="AL3075">IFERROR(IFS(XLOOKUP(B3075, 'Kit Delivery Status'!$U:$U, 'Kit Delivery Status'!$K:$K) = "Complete", "DELIVERED", XLOOKUP(B3075, 'Kit Delivery Status'!$U:$U, 'Kit Delivery Status'!$K:$K) = "Issue", "ISSUE"), "")</f>
        <v/>
      </c>
      <c r="AM3075" s="6"/>
    </row>
    <row r="3076">
      <c r="A3076" s="19"/>
      <c r="B3076" s="19"/>
      <c r="C3076" s="19"/>
      <c r="D3076" s="42"/>
      <c r="E3076" s="19"/>
      <c r="F3076" s="19"/>
      <c r="G3076" s="19"/>
      <c r="H3076" s="19"/>
      <c r="I3076" s="19"/>
      <c r="J3076" s="19"/>
      <c r="K3076" s="19"/>
      <c r="L3076" s="19"/>
      <c r="M3076" s="19"/>
      <c r="N3076" s="19"/>
      <c r="O3076" s="43"/>
      <c r="P3076" s="19"/>
      <c r="Q3076" s="19"/>
      <c r="R3076" s="19"/>
      <c r="S3076" s="19"/>
      <c r="T3076" s="19"/>
      <c r="U3076" s="19"/>
      <c r="V3076" s="44"/>
      <c r="W3076" s="19"/>
      <c r="X3076" s="19"/>
      <c r="Y3076" s="19"/>
      <c r="Z3076" s="19"/>
      <c r="AA3076" s="19"/>
      <c r="AB3076" s="19"/>
      <c r="AC3076" s="19"/>
      <c r="AD3076" s="19"/>
      <c r="AE3076" s="19"/>
      <c r="AF3076" s="19"/>
      <c r="AG3076" s="19"/>
      <c r="AH3076" s="19"/>
      <c r="AI3076" s="19"/>
      <c r="AJ3076" s="19"/>
      <c r="AK3076" s="19"/>
      <c r="AL3076" s="6" t="str">
        <f t="array" ref="AL3076">IFERROR(IFS(XLOOKUP(B3076, 'Kit Delivery Status'!$U:$U, 'Kit Delivery Status'!$K:$K) = "Complete", "DELIVERED", XLOOKUP(B3076, 'Kit Delivery Status'!$U:$U, 'Kit Delivery Status'!$K:$K) = "Issue", "ISSUE"), "")</f>
        <v/>
      </c>
      <c r="AM3076" s="6"/>
    </row>
    <row r="3077">
      <c r="A3077" s="19"/>
      <c r="B3077" s="19"/>
      <c r="C3077" s="19"/>
      <c r="D3077" s="42"/>
      <c r="E3077" s="19"/>
      <c r="F3077" s="19"/>
      <c r="G3077" s="19"/>
      <c r="H3077" s="19"/>
      <c r="I3077" s="19"/>
      <c r="J3077" s="19"/>
      <c r="K3077" s="19"/>
      <c r="L3077" s="19"/>
      <c r="M3077" s="19"/>
      <c r="N3077" s="19"/>
      <c r="O3077" s="43"/>
      <c r="P3077" s="19"/>
      <c r="Q3077" s="19"/>
      <c r="R3077" s="19"/>
      <c r="S3077" s="19"/>
      <c r="T3077" s="19"/>
      <c r="U3077" s="19"/>
      <c r="V3077" s="44"/>
      <c r="W3077" s="19"/>
      <c r="X3077" s="19"/>
      <c r="Y3077" s="19"/>
      <c r="Z3077" s="19"/>
      <c r="AA3077" s="19"/>
      <c r="AB3077" s="19"/>
      <c r="AC3077" s="19"/>
      <c r="AD3077" s="19"/>
      <c r="AE3077" s="19"/>
      <c r="AF3077" s="19"/>
      <c r="AG3077" s="19"/>
      <c r="AH3077" s="19"/>
      <c r="AI3077" s="19"/>
      <c r="AJ3077" s="19"/>
      <c r="AK3077" s="19"/>
      <c r="AL3077" s="6" t="str">
        <f t="array" ref="AL3077">IFERROR(IFS(XLOOKUP(B3077, 'Kit Delivery Status'!$U:$U, 'Kit Delivery Status'!$K:$K) = "Complete", "DELIVERED", XLOOKUP(B3077, 'Kit Delivery Status'!$U:$U, 'Kit Delivery Status'!$K:$K) = "Issue", "ISSUE"), "")</f>
        <v/>
      </c>
      <c r="AM3077" s="6"/>
    </row>
    <row r="3078">
      <c r="A3078" s="19"/>
      <c r="B3078" s="19"/>
      <c r="C3078" s="19"/>
      <c r="D3078" s="42"/>
      <c r="E3078" s="19"/>
      <c r="F3078" s="19"/>
      <c r="G3078" s="19"/>
      <c r="H3078" s="19"/>
      <c r="I3078" s="19"/>
      <c r="J3078" s="19"/>
      <c r="K3078" s="19"/>
      <c r="L3078" s="19"/>
      <c r="M3078" s="19"/>
      <c r="N3078" s="19"/>
      <c r="O3078" s="43"/>
      <c r="P3078" s="19"/>
      <c r="Q3078" s="19"/>
      <c r="R3078" s="19"/>
      <c r="S3078" s="19"/>
      <c r="T3078" s="19"/>
      <c r="U3078" s="19"/>
      <c r="V3078" s="44"/>
      <c r="W3078" s="19"/>
      <c r="X3078" s="19"/>
      <c r="Y3078" s="19"/>
      <c r="Z3078" s="19"/>
      <c r="AA3078" s="19"/>
      <c r="AB3078" s="19"/>
      <c r="AC3078" s="19"/>
      <c r="AD3078" s="19"/>
      <c r="AE3078" s="19"/>
      <c r="AF3078" s="19"/>
      <c r="AG3078" s="19"/>
      <c r="AH3078" s="19"/>
      <c r="AI3078" s="19"/>
      <c r="AJ3078" s="19"/>
      <c r="AK3078" s="19"/>
      <c r="AL3078" s="6" t="str">
        <f t="array" ref="AL3078">IFERROR(IFS(XLOOKUP(B3078, 'Kit Delivery Status'!$U:$U, 'Kit Delivery Status'!$K:$K) = "Complete", "DELIVERED", XLOOKUP(B3078, 'Kit Delivery Status'!$U:$U, 'Kit Delivery Status'!$K:$K) = "Issue", "ISSUE"), "")</f>
        <v/>
      </c>
      <c r="AM3078" s="6"/>
    </row>
    <row r="3079">
      <c r="A3079" s="19"/>
      <c r="B3079" s="19"/>
      <c r="C3079" s="19"/>
      <c r="D3079" s="42"/>
      <c r="E3079" s="19"/>
      <c r="F3079" s="19"/>
      <c r="G3079" s="19"/>
      <c r="H3079" s="19"/>
      <c r="I3079" s="19"/>
      <c r="J3079" s="19"/>
      <c r="K3079" s="19"/>
      <c r="L3079" s="19"/>
      <c r="M3079" s="19"/>
      <c r="N3079" s="19"/>
      <c r="O3079" s="43"/>
      <c r="P3079" s="19"/>
      <c r="Q3079" s="19"/>
      <c r="R3079" s="19"/>
      <c r="S3079" s="19"/>
      <c r="T3079" s="19"/>
      <c r="U3079" s="19"/>
      <c r="V3079" s="44"/>
      <c r="W3079" s="19"/>
      <c r="X3079" s="19"/>
      <c r="Y3079" s="19"/>
      <c r="Z3079" s="19"/>
      <c r="AA3079" s="19"/>
      <c r="AB3079" s="19"/>
      <c r="AC3079" s="19"/>
      <c r="AD3079" s="19"/>
      <c r="AE3079" s="19"/>
      <c r="AF3079" s="19"/>
      <c r="AG3079" s="19"/>
      <c r="AH3079" s="19"/>
      <c r="AI3079" s="19"/>
      <c r="AJ3079" s="19"/>
      <c r="AK3079" s="19"/>
      <c r="AL3079" s="6" t="str">
        <f t="array" ref="AL3079">IFERROR(IFS(XLOOKUP(B3079, 'Kit Delivery Status'!$U:$U, 'Kit Delivery Status'!$K:$K) = "Complete", "DELIVERED", XLOOKUP(B3079, 'Kit Delivery Status'!$U:$U, 'Kit Delivery Status'!$K:$K) = "Issue", "ISSUE"), "")</f>
        <v/>
      </c>
      <c r="AM3079" s="6"/>
    </row>
    <row r="3080">
      <c r="A3080" s="19"/>
      <c r="B3080" s="19"/>
      <c r="C3080" s="19"/>
      <c r="D3080" s="42"/>
      <c r="E3080" s="19"/>
      <c r="F3080" s="19"/>
      <c r="G3080" s="19"/>
      <c r="H3080" s="19"/>
      <c r="I3080" s="19"/>
      <c r="J3080" s="19"/>
      <c r="K3080" s="19"/>
      <c r="L3080" s="19"/>
      <c r="M3080" s="19"/>
      <c r="N3080" s="19"/>
      <c r="O3080" s="43"/>
      <c r="P3080" s="19"/>
      <c r="Q3080" s="19"/>
      <c r="R3080" s="19"/>
      <c r="S3080" s="19"/>
      <c r="T3080" s="19"/>
      <c r="U3080" s="19"/>
      <c r="V3080" s="44"/>
      <c r="W3080" s="19"/>
      <c r="X3080" s="19"/>
      <c r="Y3080" s="19"/>
      <c r="Z3080" s="19"/>
      <c r="AA3080" s="19"/>
      <c r="AB3080" s="19"/>
      <c r="AC3080" s="19"/>
      <c r="AD3080" s="19"/>
      <c r="AE3080" s="19"/>
      <c r="AF3080" s="19"/>
      <c r="AG3080" s="19"/>
      <c r="AH3080" s="19"/>
      <c r="AI3080" s="19"/>
      <c r="AJ3080" s="19"/>
      <c r="AK3080" s="19"/>
      <c r="AL3080" s="6" t="str">
        <f t="array" ref="AL3080">IFERROR(IFS(XLOOKUP(B3080, 'Kit Delivery Status'!$U:$U, 'Kit Delivery Status'!$K:$K) = "Complete", "DELIVERED", XLOOKUP(B3080, 'Kit Delivery Status'!$U:$U, 'Kit Delivery Status'!$K:$K) = "Issue", "ISSUE"), "")</f>
        <v/>
      </c>
      <c r="AM3080" s="6"/>
    </row>
    <row r="3081">
      <c r="A3081" s="19"/>
      <c r="B3081" s="19"/>
      <c r="C3081" s="19"/>
      <c r="D3081" s="42"/>
      <c r="E3081" s="19"/>
      <c r="F3081" s="19"/>
      <c r="G3081" s="19"/>
      <c r="H3081" s="19"/>
      <c r="I3081" s="19"/>
      <c r="J3081" s="19"/>
      <c r="K3081" s="19"/>
      <c r="L3081" s="19"/>
      <c r="M3081" s="19"/>
      <c r="N3081" s="19"/>
      <c r="O3081" s="43"/>
      <c r="P3081" s="19"/>
      <c r="Q3081" s="19"/>
      <c r="R3081" s="19"/>
      <c r="S3081" s="19"/>
      <c r="T3081" s="19"/>
      <c r="U3081" s="19"/>
      <c r="V3081" s="44"/>
      <c r="W3081" s="19"/>
      <c r="X3081" s="19"/>
      <c r="Y3081" s="19"/>
      <c r="Z3081" s="19"/>
      <c r="AA3081" s="19"/>
      <c r="AB3081" s="19"/>
      <c r="AC3081" s="19"/>
      <c r="AD3081" s="19"/>
      <c r="AE3081" s="19"/>
      <c r="AF3081" s="19"/>
      <c r="AG3081" s="19"/>
      <c r="AH3081" s="19"/>
      <c r="AI3081" s="19"/>
      <c r="AJ3081" s="19"/>
      <c r="AK3081" s="19"/>
      <c r="AL3081" s="6" t="str">
        <f t="array" ref="AL3081">IFERROR(IFS(XLOOKUP(B3081, 'Kit Delivery Status'!$U:$U, 'Kit Delivery Status'!$K:$K) = "Complete", "DELIVERED", XLOOKUP(B3081, 'Kit Delivery Status'!$U:$U, 'Kit Delivery Status'!$K:$K) = "Issue", "ISSUE"), "")</f>
        <v/>
      </c>
      <c r="AM3081" s="6"/>
    </row>
    <row r="3082">
      <c r="A3082" s="19"/>
      <c r="B3082" s="19"/>
      <c r="C3082" s="19"/>
      <c r="D3082" s="42"/>
      <c r="E3082" s="19"/>
      <c r="F3082" s="19"/>
      <c r="G3082" s="19"/>
      <c r="H3082" s="19"/>
      <c r="I3082" s="19"/>
      <c r="J3082" s="19"/>
      <c r="K3082" s="19"/>
      <c r="L3082" s="19"/>
      <c r="M3082" s="19"/>
      <c r="N3082" s="19"/>
      <c r="O3082" s="43"/>
      <c r="P3082" s="19"/>
      <c r="Q3082" s="19"/>
      <c r="R3082" s="19"/>
      <c r="S3082" s="19"/>
      <c r="T3082" s="19"/>
      <c r="U3082" s="19"/>
      <c r="V3082" s="44"/>
      <c r="W3082" s="19"/>
      <c r="X3082" s="19"/>
      <c r="Y3082" s="19"/>
      <c r="Z3082" s="19"/>
      <c r="AA3082" s="19"/>
      <c r="AB3082" s="19"/>
      <c r="AC3082" s="19"/>
      <c r="AD3082" s="19"/>
      <c r="AE3082" s="19"/>
      <c r="AF3082" s="19"/>
      <c r="AG3082" s="19"/>
      <c r="AH3082" s="19"/>
      <c r="AI3082" s="19"/>
      <c r="AJ3082" s="19"/>
      <c r="AK3082" s="19"/>
      <c r="AL3082" s="6" t="str">
        <f t="array" ref="AL3082">IFERROR(IFS(XLOOKUP(B3082, 'Kit Delivery Status'!$U:$U, 'Kit Delivery Status'!$K:$K) = "Complete", "DELIVERED", XLOOKUP(B3082, 'Kit Delivery Status'!$U:$U, 'Kit Delivery Status'!$K:$K) = "Issue", "ISSUE"), "")</f>
        <v/>
      </c>
      <c r="AM3082" s="6"/>
    </row>
    <row r="3083">
      <c r="A3083" s="19"/>
      <c r="B3083" s="19"/>
      <c r="C3083" s="19"/>
      <c r="D3083" s="42"/>
      <c r="E3083" s="19"/>
      <c r="F3083" s="19"/>
      <c r="G3083" s="19"/>
      <c r="H3083" s="19"/>
      <c r="I3083" s="19"/>
      <c r="J3083" s="19"/>
      <c r="K3083" s="19"/>
      <c r="L3083" s="19"/>
      <c r="M3083" s="19"/>
      <c r="N3083" s="19"/>
      <c r="O3083" s="43"/>
      <c r="P3083" s="19"/>
      <c r="Q3083" s="19"/>
      <c r="R3083" s="19"/>
      <c r="S3083" s="19"/>
      <c r="T3083" s="19"/>
      <c r="U3083" s="19"/>
      <c r="V3083" s="44"/>
      <c r="W3083" s="19"/>
      <c r="X3083" s="19"/>
      <c r="Y3083" s="19"/>
      <c r="Z3083" s="19"/>
      <c r="AA3083" s="19"/>
      <c r="AB3083" s="19"/>
      <c r="AC3083" s="19"/>
      <c r="AD3083" s="19"/>
      <c r="AE3083" s="19"/>
      <c r="AF3083" s="19"/>
      <c r="AG3083" s="19"/>
      <c r="AH3083" s="19"/>
      <c r="AI3083" s="19"/>
      <c r="AJ3083" s="19"/>
      <c r="AK3083" s="19"/>
      <c r="AL3083" s="6" t="str">
        <f t="array" ref="AL3083">IFERROR(IFS(XLOOKUP(B3083, 'Kit Delivery Status'!$U:$U, 'Kit Delivery Status'!$K:$K) = "Complete", "DELIVERED", XLOOKUP(B3083, 'Kit Delivery Status'!$U:$U, 'Kit Delivery Status'!$K:$K) = "Issue", "ISSUE"), "")</f>
        <v/>
      </c>
      <c r="AM3083" s="6"/>
    </row>
    <row r="3084">
      <c r="A3084" s="19"/>
      <c r="B3084" s="19"/>
      <c r="C3084" s="19"/>
      <c r="D3084" s="42"/>
      <c r="E3084" s="19"/>
      <c r="F3084" s="19"/>
      <c r="G3084" s="19"/>
      <c r="H3084" s="19"/>
      <c r="I3084" s="19"/>
      <c r="J3084" s="19"/>
      <c r="K3084" s="19"/>
      <c r="L3084" s="19"/>
      <c r="M3084" s="19"/>
      <c r="N3084" s="19"/>
      <c r="O3084" s="43"/>
      <c r="P3084" s="19"/>
      <c r="Q3084" s="19"/>
      <c r="R3084" s="19"/>
      <c r="S3084" s="19"/>
      <c r="T3084" s="19"/>
      <c r="U3084" s="19"/>
      <c r="V3084" s="44"/>
      <c r="W3084" s="19"/>
      <c r="X3084" s="19"/>
      <c r="Y3084" s="19"/>
      <c r="Z3084" s="19"/>
      <c r="AA3084" s="19"/>
      <c r="AB3084" s="19"/>
      <c r="AC3084" s="19"/>
      <c r="AD3084" s="19"/>
      <c r="AE3084" s="19"/>
      <c r="AF3084" s="19"/>
      <c r="AG3084" s="19"/>
      <c r="AH3084" s="19"/>
      <c r="AI3084" s="19"/>
      <c r="AJ3084" s="19"/>
      <c r="AK3084" s="19"/>
      <c r="AL3084" s="6" t="str">
        <f t="array" ref="AL3084">IFERROR(IFS(XLOOKUP(B3084, 'Kit Delivery Status'!$U:$U, 'Kit Delivery Status'!$K:$K) = "Complete", "DELIVERED", XLOOKUP(B3084, 'Kit Delivery Status'!$U:$U, 'Kit Delivery Status'!$K:$K) = "Issue", "ISSUE"), "")</f>
        <v/>
      </c>
      <c r="AM3084" s="6"/>
    </row>
    <row r="3085">
      <c r="A3085" s="19"/>
      <c r="B3085" s="19"/>
      <c r="C3085" s="19"/>
      <c r="D3085" s="42"/>
      <c r="E3085" s="19"/>
      <c r="F3085" s="19"/>
      <c r="G3085" s="19"/>
      <c r="H3085" s="19"/>
      <c r="I3085" s="19"/>
      <c r="J3085" s="19"/>
      <c r="K3085" s="19"/>
      <c r="L3085" s="19"/>
      <c r="M3085" s="19"/>
      <c r="N3085" s="19"/>
      <c r="O3085" s="43"/>
      <c r="P3085" s="19"/>
      <c r="Q3085" s="19"/>
      <c r="R3085" s="19"/>
      <c r="S3085" s="19"/>
      <c r="T3085" s="19"/>
      <c r="U3085" s="19"/>
      <c r="V3085" s="44"/>
      <c r="W3085" s="19"/>
      <c r="X3085" s="19"/>
      <c r="Y3085" s="19"/>
      <c r="Z3085" s="19"/>
      <c r="AA3085" s="19"/>
      <c r="AB3085" s="19"/>
      <c r="AC3085" s="19"/>
      <c r="AD3085" s="19"/>
      <c r="AE3085" s="19"/>
      <c r="AF3085" s="19"/>
      <c r="AG3085" s="19"/>
      <c r="AH3085" s="19"/>
      <c r="AI3085" s="19"/>
      <c r="AJ3085" s="19"/>
      <c r="AK3085" s="19"/>
      <c r="AL3085" s="6" t="str">
        <f t="array" ref="AL3085">IFERROR(IFS(XLOOKUP(B3085, 'Kit Delivery Status'!$U:$U, 'Kit Delivery Status'!$K:$K) = "Complete", "DELIVERED", XLOOKUP(B3085, 'Kit Delivery Status'!$U:$U, 'Kit Delivery Status'!$K:$K) = "Issue", "ISSUE"), "")</f>
        <v/>
      </c>
      <c r="AM3085" s="6"/>
    </row>
    <row r="3086">
      <c r="A3086" s="19"/>
      <c r="B3086" s="19"/>
      <c r="C3086" s="19"/>
      <c r="D3086" s="42"/>
      <c r="E3086" s="19"/>
      <c r="F3086" s="19"/>
      <c r="G3086" s="19"/>
      <c r="H3086" s="19"/>
      <c r="I3086" s="19"/>
      <c r="J3086" s="19"/>
      <c r="K3086" s="19"/>
      <c r="L3086" s="19"/>
      <c r="M3086" s="19"/>
      <c r="N3086" s="19"/>
      <c r="O3086" s="43"/>
      <c r="P3086" s="19"/>
      <c r="Q3086" s="19"/>
      <c r="R3086" s="19"/>
      <c r="S3086" s="19"/>
      <c r="T3086" s="19"/>
      <c r="U3086" s="19"/>
      <c r="V3086" s="44"/>
      <c r="W3086" s="19"/>
      <c r="X3086" s="19"/>
      <c r="Y3086" s="19"/>
      <c r="Z3086" s="19"/>
      <c r="AA3086" s="19"/>
      <c r="AB3086" s="19"/>
      <c r="AC3086" s="19"/>
      <c r="AD3086" s="19"/>
      <c r="AE3086" s="19"/>
      <c r="AF3086" s="19"/>
      <c r="AG3086" s="19"/>
      <c r="AH3086" s="19"/>
      <c r="AI3086" s="19"/>
      <c r="AJ3086" s="19"/>
      <c r="AK3086" s="19"/>
      <c r="AL3086" s="6" t="str">
        <f t="array" ref="AL3086">IFERROR(IFS(XLOOKUP(B3086, 'Kit Delivery Status'!$U:$U, 'Kit Delivery Status'!$K:$K) = "Complete", "DELIVERED", XLOOKUP(B3086, 'Kit Delivery Status'!$U:$U, 'Kit Delivery Status'!$K:$K) = "Issue", "ISSUE"), "")</f>
        <v/>
      </c>
      <c r="AM3086" s="6"/>
    </row>
    <row r="3087">
      <c r="A3087" s="19"/>
      <c r="B3087" s="19"/>
      <c r="C3087" s="19"/>
      <c r="D3087" s="42"/>
      <c r="E3087" s="19"/>
      <c r="F3087" s="19"/>
      <c r="G3087" s="19"/>
      <c r="H3087" s="19"/>
      <c r="I3087" s="19"/>
      <c r="J3087" s="19"/>
      <c r="K3087" s="19"/>
      <c r="L3087" s="19"/>
      <c r="M3087" s="19"/>
      <c r="N3087" s="19"/>
      <c r="O3087" s="43"/>
      <c r="P3087" s="19"/>
      <c r="Q3087" s="19"/>
      <c r="R3087" s="19"/>
      <c r="S3087" s="19"/>
      <c r="T3087" s="19"/>
      <c r="U3087" s="19"/>
      <c r="V3087" s="44"/>
      <c r="W3087" s="19"/>
      <c r="X3087" s="19"/>
      <c r="Y3087" s="19"/>
      <c r="Z3087" s="19"/>
      <c r="AA3087" s="19"/>
      <c r="AB3087" s="19"/>
      <c r="AC3087" s="19"/>
      <c r="AD3087" s="19"/>
      <c r="AE3087" s="19"/>
      <c r="AF3087" s="19"/>
      <c r="AG3087" s="19"/>
      <c r="AH3087" s="19"/>
      <c r="AI3087" s="19"/>
      <c r="AJ3087" s="19"/>
      <c r="AK3087" s="19"/>
      <c r="AL3087" s="6" t="str">
        <f t="array" ref="AL3087">IFERROR(IFS(XLOOKUP(B3087, 'Kit Delivery Status'!$U:$U, 'Kit Delivery Status'!$K:$K) = "Complete", "DELIVERED", XLOOKUP(B3087, 'Kit Delivery Status'!$U:$U, 'Kit Delivery Status'!$K:$K) = "Issue", "ISSUE"), "")</f>
        <v/>
      </c>
      <c r="AM3087" s="6"/>
    </row>
    <row r="3088">
      <c r="A3088" s="19"/>
      <c r="B3088" s="19"/>
      <c r="C3088" s="19"/>
      <c r="D3088" s="42"/>
      <c r="E3088" s="19"/>
      <c r="F3088" s="19"/>
      <c r="G3088" s="19"/>
      <c r="H3088" s="19"/>
      <c r="I3088" s="19"/>
      <c r="J3088" s="19"/>
      <c r="K3088" s="19"/>
      <c r="L3088" s="19"/>
      <c r="M3088" s="19"/>
      <c r="N3088" s="19"/>
      <c r="O3088" s="43"/>
      <c r="P3088" s="19"/>
      <c r="Q3088" s="19"/>
      <c r="R3088" s="19"/>
      <c r="S3088" s="19"/>
      <c r="T3088" s="19"/>
      <c r="U3088" s="19"/>
      <c r="V3088" s="44"/>
      <c r="W3088" s="19"/>
      <c r="X3088" s="19"/>
      <c r="Y3088" s="19"/>
      <c r="Z3088" s="19"/>
      <c r="AA3088" s="19"/>
      <c r="AB3088" s="19"/>
      <c r="AC3088" s="19"/>
      <c r="AD3088" s="19"/>
      <c r="AE3088" s="19"/>
      <c r="AF3088" s="19"/>
      <c r="AG3088" s="19"/>
      <c r="AH3088" s="19"/>
      <c r="AI3088" s="19"/>
      <c r="AJ3088" s="19"/>
      <c r="AK3088" s="19"/>
      <c r="AL3088" s="6" t="str">
        <f t="array" ref="AL3088">IFERROR(IFS(XLOOKUP(B3088, 'Kit Delivery Status'!$U:$U, 'Kit Delivery Status'!$K:$K) = "Complete", "DELIVERED", XLOOKUP(B3088, 'Kit Delivery Status'!$U:$U, 'Kit Delivery Status'!$K:$K) = "Issue", "ISSUE"), "")</f>
        <v/>
      </c>
      <c r="AM3088" s="6"/>
    </row>
    <row r="3089">
      <c r="A3089" s="19"/>
      <c r="B3089" s="19"/>
      <c r="C3089" s="19"/>
      <c r="D3089" s="42"/>
      <c r="E3089" s="19"/>
      <c r="F3089" s="19"/>
      <c r="G3089" s="19"/>
      <c r="H3089" s="19"/>
      <c r="I3089" s="19"/>
      <c r="J3089" s="19"/>
      <c r="K3089" s="19"/>
      <c r="L3089" s="19"/>
      <c r="M3089" s="19"/>
      <c r="N3089" s="19"/>
      <c r="O3089" s="43"/>
      <c r="P3089" s="19"/>
      <c r="Q3089" s="19"/>
      <c r="R3089" s="19"/>
      <c r="S3089" s="19"/>
      <c r="T3089" s="19"/>
      <c r="U3089" s="19"/>
      <c r="V3089" s="44"/>
      <c r="W3089" s="19"/>
      <c r="X3089" s="19"/>
      <c r="Y3089" s="19"/>
      <c r="Z3089" s="19"/>
      <c r="AA3089" s="19"/>
      <c r="AB3089" s="19"/>
      <c r="AC3089" s="19"/>
      <c r="AD3089" s="19"/>
      <c r="AE3089" s="19"/>
      <c r="AF3089" s="19"/>
      <c r="AG3089" s="19"/>
      <c r="AH3089" s="19"/>
      <c r="AI3089" s="19"/>
      <c r="AJ3089" s="19"/>
      <c r="AK3089" s="19"/>
      <c r="AL3089" s="6" t="str">
        <f t="array" ref="AL3089">IFERROR(IFS(XLOOKUP(B3089, 'Kit Delivery Status'!$U:$U, 'Kit Delivery Status'!$K:$K) = "Complete", "DELIVERED", XLOOKUP(B3089, 'Kit Delivery Status'!$U:$U, 'Kit Delivery Status'!$K:$K) = "Issue", "ISSUE"), "")</f>
        <v/>
      </c>
      <c r="AM3089" s="6"/>
    </row>
    <row r="3090">
      <c r="A3090" s="19"/>
      <c r="B3090" s="19"/>
      <c r="C3090" s="19"/>
      <c r="D3090" s="42"/>
      <c r="E3090" s="19"/>
      <c r="F3090" s="19"/>
      <c r="G3090" s="19"/>
      <c r="H3090" s="19"/>
      <c r="I3090" s="19"/>
      <c r="J3090" s="19"/>
      <c r="K3090" s="19"/>
      <c r="L3090" s="19"/>
      <c r="M3090" s="19"/>
      <c r="N3090" s="19"/>
      <c r="O3090" s="43"/>
      <c r="P3090" s="19"/>
      <c r="Q3090" s="19"/>
      <c r="R3090" s="19"/>
      <c r="S3090" s="19"/>
      <c r="T3090" s="19"/>
      <c r="U3090" s="19"/>
      <c r="V3090" s="44"/>
      <c r="W3090" s="19"/>
      <c r="X3090" s="19"/>
      <c r="Y3090" s="19"/>
      <c r="Z3090" s="19"/>
      <c r="AA3090" s="19"/>
      <c r="AB3090" s="19"/>
      <c r="AC3090" s="19"/>
      <c r="AD3090" s="19"/>
      <c r="AE3090" s="19"/>
      <c r="AF3090" s="19"/>
      <c r="AG3090" s="19"/>
      <c r="AH3090" s="19"/>
      <c r="AI3090" s="19"/>
      <c r="AJ3090" s="19"/>
      <c r="AK3090" s="19"/>
      <c r="AL3090" s="6" t="str">
        <f t="array" ref="AL3090">IFERROR(IFS(XLOOKUP(B3090, 'Kit Delivery Status'!$U:$U, 'Kit Delivery Status'!$K:$K) = "Complete", "DELIVERED", XLOOKUP(B3090, 'Kit Delivery Status'!$U:$U, 'Kit Delivery Status'!$K:$K) = "Issue", "ISSUE"), "")</f>
        <v/>
      </c>
      <c r="AM3090" s="6"/>
    </row>
    <row r="3091">
      <c r="A3091" s="19"/>
      <c r="B3091" s="19"/>
      <c r="C3091" s="19"/>
      <c r="D3091" s="42"/>
      <c r="E3091" s="19"/>
      <c r="F3091" s="19"/>
      <c r="G3091" s="19"/>
      <c r="H3091" s="19"/>
      <c r="I3091" s="19"/>
      <c r="J3091" s="19"/>
      <c r="K3091" s="19"/>
      <c r="L3091" s="19"/>
      <c r="M3091" s="19"/>
      <c r="N3091" s="19"/>
      <c r="O3091" s="43"/>
      <c r="P3091" s="19"/>
      <c r="Q3091" s="19"/>
      <c r="R3091" s="19"/>
      <c r="S3091" s="19"/>
      <c r="T3091" s="19"/>
      <c r="U3091" s="19"/>
      <c r="V3091" s="44"/>
      <c r="W3091" s="19"/>
      <c r="X3091" s="19"/>
      <c r="Y3091" s="19"/>
      <c r="Z3091" s="19"/>
      <c r="AA3091" s="19"/>
      <c r="AB3091" s="19"/>
      <c r="AC3091" s="19"/>
      <c r="AD3091" s="19"/>
      <c r="AE3091" s="19"/>
      <c r="AF3091" s="19"/>
      <c r="AG3091" s="19"/>
      <c r="AH3091" s="19"/>
      <c r="AI3091" s="19"/>
      <c r="AJ3091" s="19"/>
      <c r="AK3091" s="19"/>
      <c r="AL3091" s="6" t="str">
        <f t="array" ref="AL3091">IFERROR(IFS(XLOOKUP(B3091, 'Kit Delivery Status'!$U:$U, 'Kit Delivery Status'!$K:$K) = "Complete", "DELIVERED", XLOOKUP(B3091, 'Kit Delivery Status'!$U:$U, 'Kit Delivery Status'!$K:$K) = "Issue", "ISSUE"), "")</f>
        <v/>
      </c>
      <c r="AM3091" s="6"/>
    </row>
    <row r="3092">
      <c r="A3092" s="19"/>
      <c r="B3092" s="19"/>
      <c r="C3092" s="19"/>
      <c r="D3092" s="42"/>
      <c r="E3092" s="19"/>
      <c r="F3092" s="19"/>
      <c r="G3092" s="19"/>
      <c r="H3092" s="19"/>
      <c r="I3092" s="19"/>
      <c r="J3092" s="19"/>
      <c r="K3092" s="19"/>
      <c r="L3092" s="19"/>
      <c r="M3092" s="19"/>
      <c r="N3092" s="19"/>
      <c r="O3092" s="43"/>
      <c r="P3092" s="19"/>
      <c r="Q3092" s="19"/>
      <c r="R3092" s="19"/>
      <c r="S3092" s="19"/>
      <c r="T3092" s="19"/>
      <c r="U3092" s="19"/>
      <c r="V3092" s="44"/>
      <c r="W3092" s="19"/>
      <c r="X3092" s="19"/>
      <c r="Y3092" s="19"/>
      <c r="Z3092" s="19"/>
      <c r="AA3092" s="19"/>
      <c r="AB3092" s="19"/>
      <c r="AC3092" s="19"/>
      <c r="AD3092" s="19"/>
      <c r="AE3092" s="19"/>
      <c r="AF3092" s="19"/>
      <c r="AG3092" s="19"/>
      <c r="AH3092" s="19"/>
      <c r="AI3092" s="19"/>
      <c r="AJ3092" s="19"/>
      <c r="AK3092" s="19"/>
      <c r="AL3092" s="6" t="str">
        <f t="array" ref="AL3092">IFERROR(IFS(XLOOKUP(B3092, 'Kit Delivery Status'!$U:$U, 'Kit Delivery Status'!$K:$K) = "Complete", "DELIVERED", XLOOKUP(B3092, 'Kit Delivery Status'!$U:$U, 'Kit Delivery Status'!$K:$K) = "Issue", "ISSUE"), "")</f>
        <v/>
      </c>
      <c r="AM3092" s="6"/>
    </row>
    <row r="3093">
      <c r="A3093" s="19"/>
      <c r="B3093" s="19"/>
      <c r="C3093" s="19"/>
      <c r="D3093" s="42"/>
      <c r="E3093" s="19"/>
      <c r="F3093" s="19"/>
      <c r="G3093" s="19"/>
      <c r="H3093" s="19"/>
      <c r="I3093" s="19"/>
      <c r="J3093" s="19"/>
      <c r="K3093" s="19"/>
      <c r="L3093" s="19"/>
      <c r="M3093" s="19"/>
      <c r="N3093" s="19"/>
      <c r="O3093" s="43"/>
      <c r="P3093" s="19"/>
      <c r="Q3093" s="19"/>
      <c r="R3093" s="19"/>
      <c r="S3093" s="19"/>
      <c r="T3093" s="19"/>
      <c r="U3093" s="19"/>
      <c r="V3093" s="44"/>
      <c r="W3093" s="19"/>
      <c r="X3093" s="19"/>
      <c r="Y3093" s="19"/>
      <c r="Z3093" s="19"/>
      <c r="AA3093" s="19"/>
      <c r="AB3093" s="19"/>
      <c r="AC3093" s="19"/>
      <c r="AD3093" s="19"/>
      <c r="AE3093" s="19"/>
      <c r="AF3093" s="19"/>
      <c r="AG3093" s="19"/>
      <c r="AH3093" s="19"/>
      <c r="AI3093" s="19"/>
      <c r="AJ3093" s="19"/>
      <c r="AK3093" s="19"/>
      <c r="AL3093" s="6" t="str">
        <f t="array" ref="AL3093">IFERROR(IFS(XLOOKUP(B3093, 'Kit Delivery Status'!$U:$U, 'Kit Delivery Status'!$K:$K) = "Complete", "DELIVERED", XLOOKUP(B3093, 'Kit Delivery Status'!$U:$U, 'Kit Delivery Status'!$K:$K) = "Issue", "ISSUE"), "")</f>
        <v/>
      </c>
      <c r="AM3093" s="6"/>
    </row>
    <row r="3094">
      <c r="A3094" s="19"/>
      <c r="B3094" s="19"/>
      <c r="C3094" s="19"/>
      <c r="D3094" s="42"/>
      <c r="E3094" s="19"/>
      <c r="F3094" s="19"/>
      <c r="G3094" s="19"/>
      <c r="H3094" s="19"/>
      <c r="I3094" s="19"/>
      <c r="J3094" s="19"/>
      <c r="K3094" s="19"/>
      <c r="L3094" s="19"/>
      <c r="M3094" s="19"/>
      <c r="N3094" s="19"/>
      <c r="O3094" s="43"/>
      <c r="P3094" s="19"/>
      <c r="Q3094" s="19"/>
      <c r="R3094" s="19"/>
      <c r="S3094" s="19"/>
      <c r="T3094" s="19"/>
      <c r="U3094" s="19"/>
      <c r="V3094" s="44"/>
      <c r="W3094" s="19"/>
      <c r="X3094" s="19"/>
      <c r="Y3094" s="19"/>
      <c r="Z3094" s="19"/>
      <c r="AA3094" s="19"/>
      <c r="AB3094" s="19"/>
      <c r="AC3094" s="19"/>
      <c r="AD3094" s="19"/>
      <c r="AE3094" s="19"/>
      <c r="AF3094" s="19"/>
      <c r="AG3094" s="19"/>
      <c r="AH3094" s="19"/>
      <c r="AI3094" s="19"/>
      <c r="AJ3094" s="19"/>
      <c r="AK3094" s="19"/>
      <c r="AL3094" s="6" t="str">
        <f t="array" ref="AL3094">IFERROR(IFS(XLOOKUP(B3094, 'Kit Delivery Status'!$U:$U, 'Kit Delivery Status'!$K:$K) = "Complete", "DELIVERED", XLOOKUP(B3094, 'Kit Delivery Status'!$U:$U, 'Kit Delivery Status'!$K:$K) = "Issue", "ISSUE"), "")</f>
        <v/>
      </c>
      <c r="AM3094" s="6"/>
    </row>
    <row r="3095">
      <c r="A3095" s="19"/>
      <c r="B3095" s="19"/>
      <c r="C3095" s="19"/>
      <c r="D3095" s="42"/>
      <c r="E3095" s="19"/>
      <c r="F3095" s="19"/>
      <c r="G3095" s="19"/>
      <c r="H3095" s="19"/>
      <c r="I3095" s="19"/>
      <c r="J3095" s="19"/>
      <c r="K3095" s="19"/>
      <c r="L3095" s="19"/>
      <c r="M3095" s="19"/>
      <c r="N3095" s="19"/>
      <c r="O3095" s="43"/>
      <c r="P3095" s="19"/>
      <c r="Q3095" s="19"/>
      <c r="R3095" s="19"/>
      <c r="S3095" s="19"/>
      <c r="T3095" s="19"/>
      <c r="U3095" s="19"/>
      <c r="V3095" s="44"/>
      <c r="W3095" s="19"/>
      <c r="X3095" s="19"/>
      <c r="Y3095" s="19"/>
      <c r="Z3095" s="19"/>
      <c r="AA3095" s="19"/>
      <c r="AB3095" s="19"/>
      <c r="AC3095" s="19"/>
      <c r="AD3095" s="19"/>
      <c r="AE3095" s="19"/>
      <c r="AF3095" s="19"/>
      <c r="AG3095" s="19"/>
      <c r="AH3095" s="19"/>
      <c r="AI3095" s="19"/>
      <c r="AJ3095" s="19"/>
      <c r="AK3095" s="19"/>
      <c r="AL3095" s="6" t="str">
        <f t="array" ref="AL3095">IFERROR(IFS(XLOOKUP(B3095, 'Kit Delivery Status'!$U:$U, 'Kit Delivery Status'!$K:$K) = "Complete", "DELIVERED", XLOOKUP(B3095, 'Kit Delivery Status'!$U:$U, 'Kit Delivery Status'!$K:$K) = "Issue", "ISSUE"), "")</f>
        <v/>
      </c>
      <c r="AM3095" s="6"/>
    </row>
    <row r="3096">
      <c r="A3096" s="19"/>
      <c r="B3096" s="19"/>
      <c r="C3096" s="19"/>
      <c r="D3096" s="42"/>
      <c r="E3096" s="19"/>
      <c r="F3096" s="19"/>
      <c r="G3096" s="19"/>
      <c r="H3096" s="19"/>
      <c r="I3096" s="19"/>
      <c r="J3096" s="19"/>
      <c r="K3096" s="19"/>
      <c r="L3096" s="19"/>
      <c r="M3096" s="19"/>
      <c r="N3096" s="19"/>
      <c r="O3096" s="43"/>
      <c r="P3096" s="19"/>
      <c r="Q3096" s="19"/>
      <c r="R3096" s="19"/>
      <c r="S3096" s="19"/>
      <c r="T3096" s="19"/>
      <c r="U3096" s="19"/>
      <c r="V3096" s="44"/>
      <c r="W3096" s="19"/>
      <c r="X3096" s="19"/>
      <c r="Y3096" s="19"/>
      <c r="Z3096" s="19"/>
      <c r="AA3096" s="19"/>
      <c r="AB3096" s="19"/>
      <c r="AC3096" s="19"/>
      <c r="AD3096" s="19"/>
      <c r="AE3096" s="19"/>
      <c r="AF3096" s="19"/>
      <c r="AG3096" s="19"/>
      <c r="AH3096" s="19"/>
      <c r="AI3096" s="19"/>
      <c r="AJ3096" s="19"/>
      <c r="AK3096" s="19"/>
      <c r="AL3096" s="6" t="str">
        <f t="array" ref="AL3096">IFERROR(IFS(XLOOKUP(B3096, 'Kit Delivery Status'!$U:$U, 'Kit Delivery Status'!$K:$K) = "Complete", "DELIVERED", XLOOKUP(B3096, 'Kit Delivery Status'!$U:$U, 'Kit Delivery Status'!$K:$K) = "Issue", "ISSUE"), "")</f>
        <v/>
      </c>
      <c r="AM3096" s="6"/>
    </row>
    <row r="3097">
      <c r="A3097" s="19"/>
      <c r="B3097" s="19"/>
      <c r="C3097" s="19"/>
      <c r="D3097" s="42"/>
      <c r="E3097" s="19"/>
      <c r="F3097" s="19"/>
      <c r="G3097" s="19"/>
      <c r="H3097" s="19"/>
      <c r="I3097" s="19"/>
      <c r="J3097" s="19"/>
      <c r="K3097" s="19"/>
      <c r="L3097" s="19"/>
      <c r="M3097" s="19"/>
      <c r="N3097" s="19"/>
      <c r="O3097" s="43"/>
      <c r="P3097" s="19"/>
      <c r="Q3097" s="19"/>
      <c r="R3097" s="19"/>
      <c r="S3097" s="19"/>
      <c r="T3097" s="19"/>
      <c r="U3097" s="19"/>
      <c r="V3097" s="44"/>
      <c r="W3097" s="19"/>
      <c r="X3097" s="19"/>
      <c r="Y3097" s="19"/>
      <c r="Z3097" s="19"/>
      <c r="AA3097" s="19"/>
      <c r="AB3097" s="19"/>
      <c r="AC3097" s="19"/>
      <c r="AD3097" s="19"/>
      <c r="AE3097" s="19"/>
      <c r="AF3097" s="19"/>
      <c r="AG3097" s="19"/>
      <c r="AH3097" s="19"/>
      <c r="AI3097" s="19"/>
      <c r="AJ3097" s="19"/>
      <c r="AK3097" s="19"/>
      <c r="AL3097" s="6" t="str">
        <f t="array" ref="AL3097">IFERROR(IFS(XLOOKUP(B3097, 'Kit Delivery Status'!$U:$U, 'Kit Delivery Status'!$K:$K) = "Complete", "DELIVERED", XLOOKUP(B3097, 'Kit Delivery Status'!$U:$U, 'Kit Delivery Status'!$K:$K) = "Issue", "ISSUE"), "")</f>
        <v/>
      </c>
      <c r="AM3097" s="6"/>
    </row>
    <row r="3098">
      <c r="A3098" s="19"/>
      <c r="B3098" s="19"/>
      <c r="C3098" s="19"/>
      <c r="D3098" s="42"/>
      <c r="E3098" s="19"/>
      <c r="F3098" s="19"/>
      <c r="G3098" s="19"/>
      <c r="H3098" s="19"/>
      <c r="I3098" s="19"/>
      <c r="J3098" s="19"/>
      <c r="K3098" s="19"/>
      <c r="L3098" s="19"/>
      <c r="M3098" s="19"/>
      <c r="N3098" s="19"/>
      <c r="O3098" s="43"/>
      <c r="P3098" s="19"/>
      <c r="Q3098" s="19"/>
      <c r="R3098" s="19"/>
      <c r="S3098" s="19"/>
      <c r="T3098" s="19"/>
      <c r="U3098" s="19"/>
      <c r="V3098" s="44"/>
      <c r="W3098" s="19"/>
      <c r="X3098" s="19"/>
      <c r="Y3098" s="19"/>
      <c r="Z3098" s="19"/>
      <c r="AA3098" s="19"/>
      <c r="AB3098" s="19"/>
      <c r="AC3098" s="19"/>
      <c r="AD3098" s="19"/>
      <c r="AE3098" s="19"/>
      <c r="AF3098" s="19"/>
      <c r="AG3098" s="19"/>
      <c r="AH3098" s="19"/>
      <c r="AI3098" s="19"/>
      <c r="AJ3098" s="19"/>
      <c r="AK3098" s="19"/>
      <c r="AL3098" s="6" t="str">
        <f t="array" ref="AL3098">IFERROR(IFS(XLOOKUP(B3098, 'Kit Delivery Status'!$U:$U, 'Kit Delivery Status'!$K:$K) = "Complete", "DELIVERED", XLOOKUP(B3098, 'Kit Delivery Status'!$U:$U, 'Kit Delivery Status'!$K:$K) = "Issue", "ISSUE"), "")</f>
        <v/>
      </c>
      <c r="AM3098" s="6"/>
    </row>
    <row r="3099">
      <c r="A3099" s="19"/>
      <c r="B3099" s="19"/>
      <c r="C3099" s="19"/>
      <c r="D3099" s="42"/>
      <c r="E3099" s="19"/>
      <c r="F3099" s="19"/>
      <c r="G3099" s="19"/>
      <c r="H3099" s="19"/>
      <c r="I3099" s="19"/>
      <c r="J3099" s="19"/>
      <c r="K3099" s="19"/>
      <c r="L3099" s="19"/>
      <c r="M3099" s="19"/>
      <c r="N3099" s="19"/>
      <c r="O3099" s="43"/>
      <c r="P3099" s="19"/>
      <c r="Q3099" s="19"/>
      <c r="R3099" s="19"/>
      <c r="S3099" s="19"/>
      <c r="T3099" s="19"/>
      <c r="U3099" s="19"/>
      <c r="V3099" s="44"/>
      <c r="W3099" s="19"/>
      <c r="X3099" s="19"/>
      <c r="Y3099" s="19"/>
      <c r="Z3099" s="19"/>
      <c r="AA3099" s="19"/>
      <c r="AB3099" s="19"/>
      <c r="AC3099" s="19"/>
      <c r="AD3099" s="19"/>
      <c r="AE3099" s="19"/>
      <c r="AF3099" s="19"/>
      <c r="AG3099" s="19"/>
      <c r="AH3099" s="19"/>
      <c r="AI3099" s="19"/>
      <c r="AJ3099" s="19"/>
      <c r="AK3099" s="19"/>
      <c r="AL3099" s="6" t="str">
        <f t="array" ref="AL3099">IFERROR(IFS(XLOOKUP(B3099, 'Kit Delivery Status'!$U:$U, 'Kit Delivery Status'!$K:$K) = "Complete", "DELIVERED", XLOOKUP(B3099, 'Kit Delivery Status'!$U:$U, 'Kit Delivery Status'!$K:$K) = "Issue", "ISSUE"), "")</f>
        <v/>
      </c>
      <c r="AM3099" s="6"/>
    </row>
    <row r="3100">
      <c r="A3100" s="19"/>
      <c r="B3100" s="19"/>
      <c r="C3100" s="19"/>
      <c r="D3100" s="42"/>
      <c r="E3100" s="19"/>
      <c r="F3100" s="19"/>
      <c r="G3100" s="19"/>
      <c r="H3100" s="19"/>
      <c r="I3100" s="19"/>
      <c r="J3100" s="19"/>
      <c r="K3100" s="19"/>
      <c r="L3100" s="19"/>
      <c r="M3100" s="19"/>
      <c r="N3100" s="19"/>
      <c r="O3100" s="43"/>
      <c r="P3100" s="19"/>
      <c r="Q3100" s="19"/>
      <c r="R3100" s="19"/>
      <c r="S3100" s="19"/>
      <c r="T3100" s="19"/>
      <c r="U3100" s="19"/>
      <c r="V3100" s="44"/>
      <c r="W3100" s="19"/>
      <c r="X3100" s="19"/>
      <c r="Y3100" s="19"/>
      <c r="Z3100" s="19"/>
      <c r="AA3100" s="19"/>
      <c r="AB3100" s="19"/>
      <c r="AC3100" s="19"/>
      <c r="AD3100" s="19"/>
      <c r="AE3100" s="19"/>
      <c r="AF3100" s="19"/>
      <c r="AG3100" s="19"/>
      <c r="AH3100" s="19"/>
      <c r="AI3100" s="19"/>
      <c r="AJ3100" s="19"/>
      <c r="AK3100" s="19"/>
      <c r="AL3100" s="6" t="str">
        <f t="array" ref="AL3100">IFERROR(IFS(XLOOKUP(B3100, 'Kit Delivery Status'!$U:$U, 'Kit Delivery Status'!$K:$K) = "Complete", "DELIVERED", XLOOKUP(B3100, 'Kit Delivery Status'!$U:$U, 'Kit Delivery Status'!$K:$K) = "Issue", "ISSUE"), "")</f>
        <v/>
      </c>
      <c r="AM3100" s="6"/>
    </row>
    <row r="3101">
      <c r="A3101" s="19"/>
      <c r="B3101" s="19"/>
      <c r="C3101" s="19"/>
      <c r="D3101" s="42"/>
      <c r="E3101" s="19"/>
      <c r="F3101" s="19"/>
      <c r="G3101" s="19"/>
      <c r="H3101" s="19"/>
      <c r="I3101" s="19"/>
      <c r="J3101" s="19"/>
      <c r="K3101" s="19"/>
      <c r="L3101" s="19"/>
      <c r="M3101" s="19"/>
      <c r="N3101" s="19"/>
      <c r="O3101" s="43"/>
      <c r="P3101" s="19"/>
      <c r="Q3101" s="19"/>
      <c r="R3101" s="19"/>
      <c r="S3101" s="19"/>
      <c r="T3101" s="19"/>
      <c r="U3101" s="19"/>
      <c r="V3101" s="44"/>
      <c r="W3101" s="19"/>
      <c r="X3101" s="19"/>
      <c r="Y3101" s="19"/>
      <c r="Z3101" s="19"/>
      <c r="AA3101" s="19"/>
      <c r="AB3101" s="19"/>
      <c r="AC3101" s="19"/>
      <c r="AD3101" s="19"/>
      <c r="AE3101" s="19"/>
      <c r="AF3101" s="19"/>
      <c r="AG3101" s="19"/>
      <c r="AH3101" s="19"/>
      <c r="AI3101" s="19"/>
      <c r="AJ3101" s="19"/>
      <c r="AK3101" s="19"/>
      <c r="AL3101" s="6" t="str">
        <f t="array" ref="AL3101">IFERROR(IFS(XLOOKUP(B3101, 'Kit Delivery Status'!$U:$U, 'Kit Delivery Status'!$K:$K) = "Complete", "DELIVERED", XLOOKUP(B3101, 'Kit Delivery Status'!$U:$U, 'Kit Delivery Status'!$K:$K) = "Issue", "ISSUE"), "")</f>
        <v/>
      </c>
      <c r="AM3101" s="6"/>
    </row>
    <row r="3102">
      <c r="A3102" s="19"/>
      <c r="B3102" s="19"/>
      <c r="C3102" s="19"/>
      <c r="D3102" s="42"/>
      <c r="E3102" s="19"/>
      <c r="F3102" s="19"/>
      <c r="G3102" s="19"/>
      <c r="H3102" s="19"/>
      <c r="I3102" s="19"/>
      <c r="J3102" s="19"/>
      <c r="K3102" s="19"/>
      <c r="L3102" s="19"/>
      <c r="M3102" s="19"/>
      <c r="N3102" s="19"/>
      <c r="O3102" s="43"/>
      <c r="P3102" s="19"/>
      <c r="Q3102" s="19"/>
      <c r="R3102" s="19"/>
      <c r="S3102" s="19"/>
      <c r="T3102" s="19"/>
      <c r="U3102" s="19"/>
      <c r="V3102" s="44"/>
      <c r="W3102" s="19"/>
      <c r="X3102" s="19"/>
      <c r="Y3102" s="19"/>
      <c r="Z3102" s="19"/>
      <c r="AA3102" s="19"/>
      <c r="AB3102" s="19"/>
      <c r="AC3102" s="19"/>
      <c r="AD3102" s="19"/>
      <c r="AE3102" s="19"/>
      <c r="AF3102" s="19"/>
      <c r="AG3102" s="19"/>
      <c r="AH3102" s="19"/>
      <c r="AI3102" s="19"/>
      <c r="AJ3102" s="19"/>
      <c r="AK3102" s="19"/>
      <c r="AL3102" s="6" t="str">
        <f t="array" ref="AL3102">IFERROR(IFS(XLOOKUP(B3102, 'Kit Delivery Status'!$U:$U, 'Kit Delivery Status'!$K:$K) = "Complete", "DELIVERED", XLOOKUP(B3102, 'Kit Delivery Status'!$U:$U, 'Kit Delivery Status'!$K:$K) = "Issue", "ISSUE"), "")</f>
        <v/>
      </c>
      <c r="AM3102" s="6"/>
    </row>
    <row r="3103">
      <c r="A3103" s="19"/>
      <c r="B3103" s="19"/>
      <c r="C3103" s="19"/>
      <c r="D3103" s="42"/>
      <c r="E3103" s="19"/>
      <c r="F3103" s="19"/>
      <c r="G3103" s="19"/>
      <c r="H3103" s="19"/>
      <c r="I3103" s="19"/>
      <c r="J3103" s="19"/>
      <c r="K3103" s="19"/>
      <c r="L3103" s="19"/>
      <c r="M3103" s="19"/>
      <c r="N3103" s="19"/>
      <c r="O3103" s="43"/>
      <c r="P3103" s="19"/>
      <c r="Q3103" s="19"/>
      <c r="R3103" s="19"/>
      <c r="S3103" s="19"/>
      <c r="T3103" s="19"/>
      <c r="U3103" s="19"/>
      <c r="V3103" s="44"/>
      <c r="W3103" s="19"/>
      <c r="X3103" s="19"/>
      <c r="Y3103" s="19"/>
      <c r="Z3103" s="19"/>
      <c r="AA3103" s="19"/>
      <c r="AB3103" s="19"/>
      <c r="AC3103" s="19"/>
      <c r="AD3103" s="19"/>
      <c r="AE3103" s="19"/>
      <c r="AF3103" s="19"/>
      <c r="AG3103" s="19"/>
      <c r="AH3103" s="19"/>
      <c r="AI3103" s="19"/>
      <c r="AJ3103" s="19"/>
      <c r="AK3103" s="19"/>
      <c r="AL3103" s="6" t="str">
        <f t="array" ref="AL3103">IFERROR(IFS(XLOOKUP(B3103, 'Kit Delivery Status'!$U:$U, 'Kit Delivery Status'!$K:$K) = "Complete", "DELIVERED", XLOOKUP(B3103, 'Kit Delivery Status'!$U:$U, 'Kit Delivery Status'!$K:$K) = "Issue", "ISSUE"), "")</f>
        <v/>
      </c>
      <c r="AM3103" s="6"/>
    </row>
    <row r="3104">
      <c r="A3104" s="19"/>
      <c r="B3104" s="19"/>
      <c r="C3104" s="19"/>
      <c r="D3104" s="42"/>
      <c r="E3104" s="19"/>
      <c r="F3104" s="19"/>
      <c r="G3104" s="19"/>
      <c r="H3104" s="19"/>
      <c r="I3104" s="19"/>
      <c r="J3104" s="19"/>
      <c r="K3104" s="19"/>
      <c r="L3104" s="19"/>
      <c r="M3104" s="19"/>
      <c r="N3104" s="19"/>
      <c r="O3104" s="43"/>
      <c r="P3104" s="19"/>
      <c r="Q3104" s="19"/>
      <c r="R3104" s="19"/>
      <c r="S3104" s="19"/>
      <c r="T3104" s="19"/>
      <c r="U3104" s="19"/>
      <c r="V3104" s="44"/>
      <c r="W3104" s="19"/>
      <c r="X3104" s="19"/>
      <c r="Y3104" s="19"/>
      <c r="Z3104" s="19"/>
      <c r="AA3104" s="19"/>
      <c r="AB3104" s="19"/>
      <c r="AC3104" s="19"/>
      <c r="AD3104" s="19"/>
      <c r="AE3104" s="19"/>
      <c r="AF3104" s="19"/>
      <c r="AG3104" s="19"/>
      <c r="AH3104" s="19"/>
      <c r="AI3104" s="19"/>
      <c r="AJ3104" s="19"/>
      <c r="AK3104" s="19"/>
      <c r="AL3104" s="6" t="str">
        <f t="array" ref="AL3104">IFERROR(IFS(XLOOKUP(B3104, 'Kit Delivery Status'!$U:$U, 'Kit Delivery Status'!$K:$K) = "Complete", "DELIVERED", XLOOKUP(B3104, 'Kit Delivery Status'!$U:$U, 'Kit Delivery Status'!$K:$K) = "Issue", "ISSUE"), "")</f>
        <v/>
      </c>
      <c r="AM3104" s="6"/>
    </row>
    <row r="3105">
      <c r="A3105" s="19"/>
      <c r="B3105" s="19"/>
      <c r="C3105" s="19"/>
      <c r="D3105" s="42"/>
      <c r="E3105" s="19"/>
      <c r="F3105" s="19"/>
      <c r="G3105" s="19"/>
      <c r="H3105" s="19"/>
      <c r="I3105" s="19"/>
      <c r="J3105" s="19"/>
      <c r="K3105" s="19"/>
      <c r="L3105" s="19"/>
      <c r="M3105" s="19"/>
      <c r="N3105" s="19"/>
      <c r="O3105" s="43"/>
      <c r="P3105" s="19"/>
      <c r="Q3105" s="19"/>
      <c r="R3105" s="19"/>
      <c r="S3105" s="19"/>
      <c r="T3105" s="19"/>
      <c r="U3105" s="19"/>
      <c r="V3105" s="44"/>
      <c r="W3105" s="19"/>
      <c r="X3105" s="19"/>
      <c r="Y3105" s="19"/>
      <c r="Z3105" s="19"/>
      <c r="AA3105" s="19"/>
      <c r="AB3105" s="19"/>
      <c r="AC3105" s="19"/>
      <c r="AD3105" s="19"/>
      <c r="AE3105" s="19"/>
      <c r="AF3105" s="19"/>
      <c r="AG3105" s="19"/>
      <c r="AH3105" s="19"/>
      <c r="AI3105" s="19"/>
      <c r="AJ3105" s="19"/>
      <c r="AK3105" s="19"/>
      <c r="AL3105" s="6" t="str">
        <f t="array" ref="AL3105">IFERROR(IFS(XLOOKUP(B3105, 'Kit Delivery Status'!$U:$U, 'Kit Delivery Status'!$K:$K) = "Complete", "DELIVERED", XLOOKUP(B3105, 'Kit Delivery Status'!$U:$U, 'Kit Delivery Status'!$K:$K) = "Issue", "ISSUE"), "")</f>
        <v/>
      </c>
      <c r="AM3105" s="6"/>
    </row>
    <row r="3106">
      <c r="A3106" s="19"/>
      <c r="B3106" s="19"/>
      <c r="C3106" s="19"/>
      <c r="D3106" s="42"/>
      <c r="E3106" s="19"/>
      <c r="F3106" s="19"/>
      <c r="G3106" s="19"/>
      <c r="H3106" s="19"/>
      <c r="I3106" s="19"/>
      <c r="J3106" s="19"/>
      <c r="K3106" s="19"/>
      <c r="L3106" s="19"/>
      <c r="M3106" s="19"/>
      <c r="N3106" s="19"/>
      <c r="O3106" s="43"/>
      <c r="P3106" s="19"/>
      <c r="Q3106" s="19"/>
      <c r="R3106" s="19"/>
      <c r="S3106" s="19"/>
      <c r="T3106" s="19"/>
      <c r="U3106" s="19"/>
      <c r="V3106" s="44"/>
      <c r="W3106" s="19"/>
      <c r="X3106" s="19"/>
      <c r="Y3106" s="19"/>
      <c r="Z3106" s="19"/>
      <c r="AA3106" s="19"/>
      <c r="AB3106" s="19"/>
      <c r="AC3106" s="19"/>
      <c r="AD3106" s="19"/>
      <c r="AE3106" s="19"/>
      <c r="AF3106" s="19"/>
      <c r="AG3106" s="19"/>
      <c r="AH3106" s="19"/>
      <c r="AI3106" s="19"/>
      <c r="AJ3106" s="19"/>
      <c r="AK3106" s="19"/>
      <c r="AL3106" s="6" t="str">
        <f t="array" ref="AL3106">IFERROR(IFS(XLOOKUP(B3106, 'Kit Delivery Status'!$U:$U, 'Kit Delivery Status'!$K:$K) = "Complete", "DELIVERED", XLOOKUP(B3106, 'Kit Delivery Status'!$U:$U, 'Kit Delivery Status'!$K:$K) = "Issue", "ISSUE"), "")</f>
        <v/>
      </c>
      <c r="AM3106" s="6"/>
    </row>
    <row r="3107">
      <c r="A3107" s="19"/>
      <c r="B3107" s="19"/>
      <c r="C3107" s="19"/>
      <c r="D3107" s="42"/>
      <c r="E3107" s="19"/>
      <c r="F3107" s="19"/>
      <c r="G3107" s="19"/>
      <c r="H3107" s="19"/>
      <c r="I3107" s="19"/>
      <c r="J3107" s="19"/>
      <c r="K3107" s="19"/>
      <c r="L3107" s="19"/>
      <c r="M3107" s="19"/>
      <c r="N3107" s="19"/>
      <c r="O3107" s="43"/>
      <c r="P3107" s="19"/>
      <c r="Q3107" s="19"/>
      <c r="R3107" s="19"/>
      <c r="S3107" s="19"/>
      <c r="T3107" s="19"/>
      <c r="U3107" s="19"/>
      <c r="V3107" s="44"/>
      <c r="W3107" s="19"/>
      <c r="X3107" s="19"/>
      <c r="Y3107" s="19"/>
      <c r="Z3107" s="19"/>
      <c r="AA3107" s="19"/>
      <c r="AB3107" s="19"/>
      <c r="AC3107" s="19"/>
      <c r="AD3107" s="19"/>
      <c r="AE3107" s="19"/>
      <c r="AF3107" s="19"/>
      <c r="AG3107" s="19"/>
      <c r="AH3107" s="19"/>
      <c r="AI3107" s="19"/>
      <c r="AJ3107" s="19"/>
      <c r="AK3107" s="19"/>
      <c r="AL3107" s="6" t="str">
        <f t="array" ref="AL3107">IFERROR(IFS(XLOOKUP(B3107, 'Kit Delivery Status'!$U:$U, 'Kit Delivery Status'!$K:$K) = "Complete", "DELIVERED", XLOOKUP(B3107, 'Kit Delivery Status'!$U:$U, 'Kit Delivery Status'!$K:$K) = "Issue", "ISSUE"), "")</f>
        <v/>
      </c>
      <c r="AM3107" s="6"/>
    </row>
    <row r="3108">
      <c r="A3108" s="19"/>
      <c r="B3108" s="19"/>
      <c r="C3108" s="19"/>
      <c r="D3108" s="42"/>
      <c r="E3108" s="19"/>
      <c r="F3108" s="19"/>
      <c r="G3108" s="19"/>
      <c r="H3108" s="19"/>
      <c r="I3108" s="19"/>
      <c r="J3108" s="19"/>
      <c r="K3108" s="19"/>
      <c r="L3108" s="19"/>
      <c r="M3108" s="19"/>
      <c r="N3108" s="19"/>
      <c r="O3108" s="43"/>
      <c r="P3108" s="19"/>
      <c r="Q3108" s="19"/>
      <c r="R3108" s="19"/>
      <c r="S3108" s="19"/>
      <c r="T3108" s="19"/>
      <c r="U3108" s="19"/>
      <c r="V3108" s="44"/>
      <c r="W3108" s="19"/>
      <c r="X3108" s="19"/>
      <c r="Y3108" s="19"/>
      <c r="Z3108" s="19"/>
      <c r="AA3108" s="19"/>
      <c r="AB3108" s="19"/>
      <c r="AC3108" s="19"/>
      <c r="AD3108" s="19"/>
      <c r="AE3108" s="19"/>
      <c r="AF3108" s="19"/>
      <c r="AG3108" s="19"/>
      <c r="AH3108" s="19"/>
      <c r="AI3108" s="19"/>
      <c r="AJ3108" s="19"/>
      <c r="AK3108" s="19"/>
      <c r="AL3108" s="6" t="str">
        <f t="array" ref="AL3108">IFERROR(IFS(XLOOKUP(B3108, 'Kit Delivery Status'!$U:$U, 'Kit Delivery Status'!$K:$K) = "Complete", "DELIVERED", XLOOKUP(B3108, 'Kit Delivery Status'!$U:$U, 'Kit Delivery Status'!$K:$K) = "Issue", "ISSUE"), "")</f>
        <v/>
      </c>
      <c r="AM3108" s="6"/>
    </row>
    <row r="3109">
      <c r="A3109" s="19"/>
      <c r="B3109" s="19"/>
      <c r="C3109" s="19"/>
      <c r="D3109" s="42"/>
      <c r="E3109" s="19"/>
      <c r="F3109" s="19"/>
      <c r="G3109" s="19"/>
      <c r="H3109" s="19"/>
      <c r="I3109" s="19"/>
      <c r="J3109" s="19"/>
      <c r="K3109" s="19"/>
      <c r="L3109" s="19"/>
      <c r="M3109" s="19"/>
      <c r="N3109" s="19"/>
      <c r="O3109" s="43"/>
      <c r="P3109" s="19"/>
      <c r="Q3109" s="19"/>
      <c r="R3109" s="19"/>
      <c r="S3109" s="19"/>
      <c r="T3109" s="19"/>
      <c r="U3109" s="19"/>
      <c r="V3109" s="44"/>
      <c r="W3109" s="19"/>
      <c r="X3109" s="19"/>
      <c r="Y3109" s="19"/>
      <c r="Z3109" s="19"/>
      <c r="AA3109" s="19"/>
      <c r="AB3109" s="19"/>
      <c r="AC3109" s="19"/>
      <c r="AD3109" s="19"/>
      <c r="AE3109" s="19"/>
      <c r="AF3109" s="19"/>
      <c r="AG3109" s="19"/>
      <c r="AH3109" s="19"/>
      <c r="AI3109" s="19"/>
      <c r="AJ3109" s="19"/>
      <c r="AK3109" s="19"/>
      <c r="AL3109" s="6" t="str">
        <f t="array" ref="AL3109">IFERROR(IFS(XLOOKUP(B3109, 'Kit Delivery Status'!$U:$U, 'Kit Delivery Status'!$K:$K) = "Complete", "DELIVERED", XLOOKUP(B3109, 'Kit Delivery Status'!$U:$U, 'Kit Delivery Status'!$K:$K) = "Issue", "ISSUE"), "")</f>
        <v/>
      </c>
      <c r="AM3109" s="6"/>
    </row>
    <row r="3110">
      <c r="A3110" s="19"/>
      <c r="B3110" s="19"/>
      <c r="C3110" s="19"/>
      <c r="D3110" s="42"/>
      <c r="E3110" s="19"/>
      <c r="F3110" s="19"/>
      <c r="G3110" s="19"/>
      <c r="H3110" s="19"/>
      <c r="I3110" s="19"/>
      <c r="J3110" s="19"/>
      <c r="K3110" s="19"/>
      <c r="L3110" s="19"/>
      <c r="M3110" s="19"/>
      <c r="N3110" s="19"/>
      <c r="O3110" s="43"/>
      <c r="P3110" s="19"/>
      <c r="Q3110" s="19"/>
      <c r="R3110" s="19"/>
      <c r="S3110" s="19"/>
      <c r="T3110" s="19"/>
      <c r="U3110" s="19"/>
      <c r="V3110" s="44"/>
      <c r="W3110" s="19"/>
      <c r="X3110" s="19"/>
      <c r="Y3110" s="19"/>
      <c r="Z3110" s="19"/>
      <c r="AA3110" s="19"/>
      <c r="AB3110" s="19"/>
      <c r="AC3110" s="19"/>
      <c r="AD3110" s="19"/>
      <c r="AE3110" s="19"/>
      <c r="AF3110" s="19"/>
      <c r="AG3110" s="19"/>
      <c r="AH3110" s="19"/>
      <c r="AI3110" s="19"/>
      <c r="AJ3110" s="19"/>
      <c r="AK3110" s="19"/>
      <c r="AL3110" s="6" t="str">
        <f t="array" ref="AL3110">IFERROR(IFS(XLOOKUP(B3110, 'Kit Delivery Status'!$U:$U, 'Kit Delivery Status'!$K:$K) = "Complete", "DELIVERED", XLOOKUP(B3110, 'Kit Delivery Status'!$U:$U, 'Kit Delivery Status'!$K:$K) = "Issue", "ISSUE"), "")</f>
        <v/>
      </c>
      <c r="AM3110" s="6"/>
    </row>
    <row r="3111">
      <c r="A3111" s="19"/>
      <c r="B3111" s="19"/>
      <c r="C3111" s="19"/>
      <c r="D3111" s="42"/>
      <c r="E3111" s="19"/>
      <c r="F3111" s="19"/>
      <c r="G3111" s="19"/>
      <c r="H3111" s="19"/>
      <c r="I3111" s="19"/>
      <c r="J3111" s="19"/>
      <c r="K3111" s="19"/>
      <c r="L3111" s="19"/>
      <c r="M3111" s="19"/>
      <c r="N3111" s="19"/>
      <c r="O3111" s="43"/>
      <c r="P3111" s="19"/>
      <c r="Q3111" s="19"/>
      <c r="R3111" s="19"/>
      <c r="S3111" s="19"/>
      <c r="T3111" s="19"/>
      <c r="U3111" s="19"/>
      <c r="V3111" s="44"/>
      <c r="W3111" s="19"/>
      <c r="X3111" s="19"/>
      <c r="Y3111" s="19"/>
      <c r="Z3111" s="19"/>
      <c r="AA3111" s="19"/>
      <c r="AB3111" s="19"/>
      <c r="AC3111" s="19"/>
      <c r="AD3111" s="19"/>
      <c r="AE3111" s="19"/>
      <c r="AF3111" s="19"/>
      <c r="AG3111" s="19"/>
      <c r="AH3111" s="19"/>
      <c r="AI3111" s="19"/>
      <c r="AJ3111" s="19"/>
      <c r="AK3111" s="19"/>
      <c r="AL3111" s="6" t="str">
        <f t="array" ref="AL3111">IFERROR(IFS(XLOOKUP(B3111, 'Kit Delivery Status'!$U:$U, 'Kit Delivery Status'!$K:$K) = "Complete", "DELIVERED", XLOOKUP(B3111, 'Kit Delivery Status'!$U:$U, 'Kit Delivery Status'!$K:$K) = "Issue", "ISSUE"), "")</f>
        <v/>
      </c>
      <c r="AM3111" s="6"/>
    </row>
    <row r="3112">
      <c r="A3112" s="19"/>
      <c r="B3112" s="19"/>
      <c r="C3112" s="19"/>
      <c r="D3112" s="42"/>
      <c r="E3112" s="19"/>
      <c r="F3112" s="19"/>
      <c r="G3112" s="19"/>
      <c r="H3112" s="19"/>
      <c r="I3112" s="19"/>
      <c r="J3112" s="19"/>
      <c r="K3112" s="19"/>
      <c r="L3112" s="19"/>
      <c r="M3112" s="19"/>
      <c r="N3112" s="19"/>
      <c r="O3112" s="43"/>
      <c r="P3112" s="19"/>
      <c r="Q3112" s="19"/>
      <c r="R3112" s="19"/>
      <c r="S3112" s="19"/>
      <c r="T3112" s="19"/>
      <c r="U3112" s="19"/>
      <c r="V3112" s="44"/>
      <c r="W3112" s="19"/>
      <c r="X3112" s="19"/>
      <c r="Y3112" s="19"/>
      <c r="Z3112" s="19"/>
      <c r="AA3112" s="19"/>
      <c r="AB3112" s="19"/>
      <c r="AC3112" s="19"/>
      <c r="AD3112" s="19"/>
      <c r="AE3112" s="19"/>
      <c r="AF3112" s="19"/>
      <c r="AG3112" s="19"/>
      <c r="AH3112" s="19"/>
      <c r="AI3112" s="19"/>
      <c r="AJ3112" s="19"/>
      <c r="AK3112" s="19"/>
      <c r="AL3112" s="6" t="str">
        <f t="array" ref="AL3112">IFERROR(IFS(XLOOKUP(B3112, 'Kit Delivery Status'!$U:$U, 'Kit Delivery Status'!$K:$K) = "Complete", "DELIVERED", XLOOKUP(B3112, 'Kit Delivery Status'!$U:$U, 'Kit Delivery Status'!$K:$K) = "Issue", "ISSUE"), "")</f>
        <v/>
      </c>
      <c r="AM3112" s="6"/>
    </row>
    <row r="3113">
      <c r="A3113" s="19"/>
      <c r="B3113" s="19"/>
      <c r="C3113" s="19"/>
      <c r="D3113" s="42"/>
      <c r="E3113" s="19"/>
      <c r="F3113" s="19"/>
      <c r="G3113" s="19"/>
      <c r="H3113" s="19"/>
      <c r="I3113" s="19"/>
      <c r="J3113" s="19"/>
      <c r="K3113" s="19"/>
      <c r="L3113" s="19"/>
      <c r="M3113" s="19"/>
      <c r="N3113" s="19"/>
      <c r="O3113" s="43"/>
      <c r="P3113" s="19"/>
      <c r="Q3113" s="19"/>
      <c r="R3113" s="19"/>
      <c r="S3113" s="19"/>
      <c r="T3113" s="19"/>
      <c r="U3113" s="19"/>
      <c r="V3113" s="44"/>
      <c r="W3113" s="19"/>
      <c r="X3113" s="19"/>
      <c r="Y3113" s="19"/>
      <c r="Z3113" s="19"/>
      <c r="AA3113" s="19"/>
      <c r="AB3113" s="19"/>
      <c r="AC3113" s="19"/>
      <c r="AD3113" s="19"/>
      <c r="AE3113" s="19"/>
      <c r="AF3113" s="19"/>
      <c r="AG3113" s="19"/>
      <c r="AH3113" s="19"/>
      <c r="AI3113" s="19"/>
      <c r="AJ3113" s="19"/>
      <c r="AK3113" s="19"/>
      <c r="AL3113" s="6" t="str">
        <f t="array" ref="AL3113">IFERROR(IFS(XLOOKUP(B3113, 'Kit Delivery Status'!$U:$U, 'Kit Delivery Status'!$K:$K) = "Complete", "DELIVERED", XLOOKUP(B3113, 'Kit Delivery Status'!$U:$U, 'Kit Delivery Status'!$K:$K) = "Issue", "ISSUE"), "")</f>
        <v/>
      </c>
      <c r="AM3113" s="6"/>
    </row>
    <row r="3114">
      <c r="A3114" s="19"/>
      <c r="B3114" s="19"/>
      <c r="C3114" s="19"/>
      <c r="D3114" s="42"/>
      <c r="E3114" s="19"/>
      <c r="F3114" s="19"/>
      <c r="G3114" s="19"/>
      <c r="H3114" s="19"/>
      <c r="I3114" s="19"/>
      <c r="J3114" s="19"/>
      <c r="K3114" s="19"/>
      <c r="L3114" s="19"/>
      <c r="M3114" s="19"/>
      <c r="N3114" s="19"/>
      <c r="O3114" s="43"/>
      <c r="P3114" s="19"/>
      <c r="Q3114" s="19"/>
      <c r="R3114" s="19"/>
      <c r="S3114" s="19"/>
      <c r="T3114" s="19"/>
      <c r="U3114" s="19"/>
      <c r="V3114" s="44"/>
      <c r="W3114" s="19"/>
      <c r="X3114" s="19"/>
      <c r="Y3114" s="19"/>
      <c r="Z3114" s="19"/>
      <c r="AA3114" s="19"/>
      <c r="AB3114" s="19"/>
      <c r="AC3114" s="19"/>
      <c r="AD3114" s="19"/>
      <c r="AE3114" s="19"/>
      <c r="AF3114" s="19"/>
      <c r="AG3114" s="19"/>
      <c r="AH3114" s="19"/>
      <c r="AI3114" s="19"/>
      <c r="AJ3114" s="19"/>
      <c r="AK3114" s="19"/>
      <c r="AL3114" s="6" t="str">
        <f t="array" ref="AL3114">IFERROR(IFS(XLOOKUP(B3114, 'Kit Delivery Status'!$U:$U, 'Kit Delivery Status'!$K:$K) = "Complete", "DELIVERED", XLOOKUP(B3114, 'Kit Delivery Status'!$U:$U, 'Kit Delivery Status'!$K:$K) = "Issue", "ISSUE"), "")</f>
        <v/>
      </c>
      <c r="AM3114" s="6"/>
    </row>
    <row r="3115">
      <c r="A3115" s="19"/>
      <c r="B3115" s="19"/>
      <c r="C3115" s="19"/>
      <c r="D3115" s="42"/>
      <c r="E3115" s="19"/>
      <c r="F3115" s="19"/>
      <c r="G3115" s="19"/>
      <c r="H3115" s="19"/>
      <c r="I3115" s="19"/>
      <c r="J3115" s="19"/>
      <c r="K3115" s="19"/>
      <c r="L3115" s="19"/>
      <c r="M3115" s="19"/>
      <c r="N3115" s="19"/>
      <c r="O3115" s="43"/>
      <c r="P3115" s="19"/>
      <c r="Q3115" s="19"/>
      <c r="R3115" s="19"/>
      <c r="S3115" s="19"/>
      <c r="T3115" s="19"/>
      <c r="U3115" s="19"/>
      <c r="V3115" s="44"/>
      <c r="W3115" s="19"/>
      <c r="X3115" s="19"/>
      <c r="Y3115" s="19"/>
      <c r="Z3115" s="19"/>
      <c r="AA3115" s="19"/>
      <c r="AB3115" s="19"/>
      <c r="AC3115" s="19"/>
      <c r="AD3115" s="19"/>
      <c r="AE3115" s="19"/>
      <c r="AF3115" s="19"/>
      <c r="AG3115" s="19"/>
      <c r="AH3115" s="19"/>
      <c r="AI3115" s="19"/>
      <c r="AJ3115" s="19"/>
      <c r="AK3115" s="19"/>
      <c r="AL3115" s="6" t="str">
        <f t="array" ref="AL3115">IFERROR(IFS(XLOOKUP(B3115, 'Kit Delivery Status'!$U:$U, 'Kit Delivery Status'!$K:$K) = "Complete", "DELIVERED", XLOOKUP(B3115, 'Kit Delivery Status'!$U:$U, 'Kit Delivery Status'!$K:$K) = "Issue", "ISSUE"), "")</f>
        <v/>
      </c>
      <c r="AM3115" s="6"/>
    </row>
    <row r="3116">
      <c r="A3116" s="19"/>
      <c r="B3116" s="19"/>
      <c r="C3116" s="19"/>
      <c r="D3116" s="42"/>
      <c r="E3116" s="19"/>
      <c r="F3116" s="19"/>
      <c r="G3116" s="19"/>
      <c r="H3116" s="19"/>
      <c r="I3116" s="19"/>
      <c r="J3116" s="19"/>
      <c r="K3116" s="19"/>
      <c r="L3116" s="19"/>
      <c r="M3116" s="19"/>
      <c r="N3116" s="19"/>
      <c r="O3116" s="43"/>
      <c r="P3116" s="19"/>
      <c r="Q3116" s="19"/>
      <c r="R3116" s="19"/>
      <c r="S3116" s="19"/>
      <c r="T3116" s="19"/>
      <c r="U3116" s="19"/>
      <c r="V3116" s="44"/>
      <c r="W3116" s="19"/>
      <c r="X3116" s="19"/>
      <c r="Y3116" s="19"/>
      <c r="Z3116" s="19"/>
      <c r="AA3116" s="19"/>
      <c r="AB3116" s="19"/>
      <c r="AC3116" s="19"/>
      <c r="AD3116" s="19"/>
      <c r="AE3116" s="19"/>
      <c r="AF3116" s="19"/>
      <c r="AG3116" s="19"/>
      <c r="AH3116" s="19"/>
      <c r="AI3116" s="19"/>
      <c r="AJ3116" s="19"/>
      <c r="AK3116" s="19"/>
      <c r="AL3116" s="6" t="str">
        <f t="array" ref="AL3116">IFERROR(IFS(XLOOKUP(B3116, 'Kit Delivery Status'!$U:$U, 'Kit Delivery Status'!$K:$K) = "Complete", "DELIVERED", XLOOKUP(B3116, 'Kit Delivery Status'!$U:$U, 'Kit Delivery Status'!$K:$K) = "Issue", "ISSUE"), "")</f>
        <v/>
      </c>
      <c r="AM3116" s="6"/>
    </row>
    <row r="3117">
      <c r="A3117" s="19"/>
      <c r="B3117" s="19"/>
      <c r="C3117" s="19"/>
      <c r="D3117" s="42"/>
      <c r="E3117" s="19"/>
      <c r="F3117" s="19"/>
      <c r="G3117" s="19"/>
      <c r="H3117" s="19"/>
      <c r="I3117" s="19"/>
      <c r="J3117" s="19"/>
      <c r="K3117" s="19"/>
      <c r="L3117" s="19"/>
      <c r="M3117" s="19"/>
      <c r="N3117" s="19"/>
      <c r="O3117" s="43"/>
      <c r="P3117" s="19"/>
      <c r="Q3117" s="19"/>
      <c r="R3117" s="19"/>
      <c r="S3117" s="19"/>
      <c r="T3117" s="19"/>
      <c r="U3117" s="19"/>
      <c r="V3117" s="44"/>
      <c r="W3117" s="19"/>
      <c r="X3117" s="19"/>
      <c r="Y3117" s="19"/>
      <c r="Z3117" s="19"/>
      <c r="AA3117" s="19"/>
      <c r="AB3117" s="19"/>
      <c r="AC3117" s="19"/>
      <c r="AD3117" s="19"/>
      <c r="AE3117" s="19"/>
      <c r="AF3117" s="19"/>
      <c r="AG3117" s="19"/>
      <c r="AH3117" s="19"/>
      <c r="AI3117" s="19"/>
      <c r="AJ3117" s="19"/>
      <c r="AK3117" s="19"/>
      <c r="AL3117" s="6" t="str">
        <f t="array" ref="AL3117">IFERROR(IFS(XLOOKUP(B3117, 'Kit Delivery Status'!$U:$U, 'Kit Delivery Status'!$K:$K) = "Complete", "DELIVERED", XLOOKUP(B3117, 'Kit Delivery Status'!$U:$U, 'Kit Delivery Status'!$K:$K) = "Issue", "ISSUE"), "")</f>
        <v/>
      </c>
      <c r="AM3117" s="6"/>
    </row>
    <row r="3118">
      <c r="A3118" s="19"/>
      <c r="B3118" s="19"/>
      <c r="C3118" s="19"/>
      <c r="D3118" s="42"/>
      <c r="E3118" s="19"/>
      <c r="F3118" s="19"/>
      <c r="G3118" s="19"/>
      <c r="H3118" s="19"/>
      <c r="I3118" s="19"/>
      <c r="J3118" s="19"/>
      <c r="K3118" s="19"/>
      <c r="L3118" s="19"/>
      <c r="M3118" s="19"/>
      <c r="N3118" s="19"/>
      <c r="O3118" s="43"/>
      <c r="P3118" s="19"/>
      <c r="Q3118" s="19"/>
      <c r="R3118" s="19"/>
      <c r="S3118" s="19"/>
      <c r="T3118" s="19"/>
      <c r="U3118" s="19"/>
      <c r="V3118" s="44"/>
      <c r="W3118" s="19"/>
      <c r="X3118" s="19"/>
      <c r="Y3118" s="19"/>
      <c r="Z3118" s="19"/>
      <c r="AA3118" s="19"/>
      <c r="AB3118" s="19"/>
      <c r="AC3118" s="19"/>
      <c r="AD3118" s="19"/>
      <c r="AE3118" s="19"/>
      <c r="AF3118" s="19"/>
      <c r="AG3118" s="19"/>
      <c r="AH3118" s="19"/>
      <c r="AI3118" s="19"/>
      <c r="AJ3118" s="19"/>
      <c r="AK3118" s="19"/>
      <c r="AL3118" s="6" t="str">
        <f t="array" ref="AL3118">IFERROR(IFS(XLOOKUP(B3118, 'Kit Delivery Status'!$U:$U, 'Kit Delivery Status'!$K:$K) = "Complete", "DELIVERED", XLOOKUP(B3118, 'Kit Delivery Status'!$U:$U, 'Kit Delivery Status'!$K:$K) = "Issue", "ISSUE"), "")</f>
        <v/>
      </c>
      <c r="AM3118" s="6"/>
    </row>
    <row r="3119">
      <c r="A3119" s="19"/>
      <c r="B3119" s="19"/>
      <c r="C3119" s="19"/>
      <c r="D3119" s="42"/>
      <c r="E3119" s="19"/>
      <c r="F3119" s="19"/>
      <c r="G3119" s="19"/>
      <c r="H3119" s="19"/>
      <c r="I3119" s="19"/>
      <c r="J3119" s="19"/>
      <c r="K3119" s="19"/>
      <c r="L3119" s="19"/>
      <c r="M3119" s="19"/>
      <c r="N3119" s="19"/>
      <c r="O3119" s="43"/>
      <c r="P3119" s="19"/>
      <c r="Q3119" s="19"/>
      <c r="R3119" s="19"/>
      <c r="S3119" s="19"/>
      <c r="T3119" s="19"/>
      <c r="U3119" s="19"/>
      <c r="V3119" s="44"/>
      <c r="W3119" s="19"/>
      <c r="X3119" s="19"/>
      <c r="Y3119" s="19"/>
      <c r="Z3119" s="19"/>
      <c r="AA3119" s="19"/>
      <c r="AB3119" s="19"/>
      <c r="AC3119" s="19"/>
      <c r="AD3119" s="19"/>
      <c r="AE3119" s="19"/>
      <c r="AF3119" s="19"/>
      <c r="AG3119" s="19"/>
      <c r="AH3119" s="19"/>
      <c r="AI3119" s="19"/>
      <c r="AJ3119" s="19"/>
      <c r="AK3119" s="19"/>
      <c r="AL3119" s="6" t="str">
        <f t="array" ref="AL3119">IFERROR(IFS(XLOOKUP(B3119, 'Kit Delivery Status'!$U:$U, 'Kit Delivery Status'!$K:$K) = "Complete", "DELIVERED", XLOOKUP(B3119, 'Kit Delivery Status'!$U:$U, 'Kit Delivery Status'!$K:$K) = "Issue", "ISSUE"), "")</f>
        <v/>
      </c>
      <c r="AM3119" s="6"/>
    </row>
    <row r="3120">
      <c r="A3120" s="19"/>
      <c r="B3120" s="19"/>
      <c r="C3120" s="19"/>
      <c r="D3120" s="42"/>
      <c r="E3120" s="19"/>
      <c r="F3120" s="19"/>
      <c r="G3120" s="19"/>
      <c r="H3120" s="19"/>
      <c r="I3120" s="19"/>
      <c r="J3120" s="19"/>
      <c r="K3120" s="19"/>
      <c r="L3120" s="19"/>
      <c r="M3120" s="19"/>
      <c r="N3120" s="19"/>
      <c r="O3120" s="43"/>
      <c r="P3120" s="19"/>
      <c r="Q3120" s="19"/>
      <c r="R3120" s="19"/>
      <c r="S3120" s="19"/>
      <c r="T3120" s="19"/>
      <c r="U3120" s="19"/>
      <c r="V3120" s="44"/>
      <c r="W3120" s="19"/>
      <c r="X3120" s="19"/>
      <c r="Y3120" s="19"/>
      <c r="Z3120" s="19"/>
      <c r="AA3120" s="19"/>
      <c r="AB3120" s="19"/>
      <c r="AC3120" s="19"/>
      <c r="AD3120" s="19"/>
      <c r="AE3120" s="19"/>
      <c r="AF3120" s="19"/>
      <c r="AG3120" s="19"/>
      <c r="AH3120" s="19"/>
      <c r="AI3120" s="19"/>
      <c r="AJ3120" s="19"/>
      <c r="AK3120" s="19"/>
      <c r="AL3120" s="6" t="str">
        <f t="array" ref="AL3120">IFERROR(IFS(XLOOKUP(B3120, 'Kit Delivery Status'!$U:$U, 'Kit Delivery Status'!$K:$K) = "Complete", "DELIVERED", XLOOKUP(B3120, 'Kit Delivery Status'!$U:$U, 'Kit Delivery Status'!$K:$K) = "Issue", "ISSUE"), "")</f>
        <v/>
      </c>
      <c r="AM3120" s="6"/>
    </row>
    <row r="3121">
      <c r="A3121" s="19"/>
      <c r="B3121" s="19"/>
      <c r="C3121" s="19"/>
      <c r="D3121" s="42"/>
      <c r="E3121" s="19"/>
      <c r="F3121" s="19"/>
      <c r="G3121" s="19"/>
      <c r="H3121" s="19"/>
      <c r="I3121" s="19"/>
      <c r="J3121" s="19"/>
      <c r="K3121" s="19"/>
      <c r="L3121" s="19"/>
      <c r="M3121" s="19"/>
      <c r="N3121" s="19"/>
      <c r="O3121" s="43"/>
      <c r="P3121" s="19"/>
      <c r="Q3121" s="19"/>
      <c r="R3121" s="19"/>
      <c r="S3121" s="19"/>
      <c r="T3121" s="19"/>
      <c r="U3121" s="19"/>
      <c r="V3121" s="44"/>
      <c r="W3121" s="19"/>
      <c r="X3121" s="19"/>
      <c r="Y3121" s="19"/>
      <c r="Z3121" s="19"/>
      <c r="AA3121" s="19"/>
      <c r="AB3121" s="19"/>
      <c r="AC3121" s="19"/>
      <c r="AD3121" s="19"/>
      <c r="AE3121" s="19"/>
      <c r="AF3121" s="19"/>
      <c r="AG3121" s="19"/>
      <c r="AH3121" s="19"/>
      <c r="AI3121" s="19"/>
      <c r="AJ3121" s="19"/>
      <c r="AK3121" s="19"/>
      <c r="AL3121" s="6" t="str">
        <f t="array" ref="AL3121">IFERROR(IFS(XLOOKUP(B3121, 'Kit Delivery Status'!$U:$U, 'Kit Delivery Status'!$K:$K) = "Complete", "DELIVERED", XLOOKUP(B3121, 'Kit Delivery Status'!$U:$U, 'Kit Delivery Status'!$K:$K) = "Issue", "ISSUE"), "")</f>
        <v/>
      </c>
      <c r="AM3121" s="6"/>
    </row>
    <row r="3122">
      <c r="A3122" s="19"/>
      <c r="B3122" s="19"/>
      <c r="C3122" s="19"/>
      <c r="D3122" s="42"/>
      <c r="E3122" s="19"/>
      <c r="F3122" s="19"/>
      <c r="G3122" s="19"/>
      <c r="H3122" s="19"/>
      <c r="I3122" s="19"/>
      <c r="J3122" s="19"/>
      <c r="K3122" s="19"/>
      <c r="L3122" s="19"/>
      <c r="M3122" s="19"/>
      <c r="N3122" s="19"/>
      <c r="O3122" s="43"/>
      <c r="P3122" s="19"/>
      <c r="Q3122" s="19"/>
      <c r="R3122" s="19"/>
      <c r="S3122" s="19"/>
      <c r="T3122" s="19"/>
      <c r="U3122" s="19"/>
      <c r="V3122" s="44"/>
      <c r="W3122" s="19"/>
      <c r="X3122" s="19"/>
      <c r="Y3122" s="19"/>
      <c r="Z3122" s="19"/>
      <c r="AA3122" s="19"/>
      <c r="AB3122" s="19"/>
      <c r="AC3122" s="19"/>
      <c r="AD3122" s="19"/>
      <c r="AE3122" s="19"/>
      <c r="AF3122" s="19"/>
      <c r="AG3122" s="19"/>
      <c r="AH3122" s="19"/>
      <c r="AI3122" s="19"/>
      <c r="AJ3122" s="19"/>
      <c r="AK3122" s="19"/>
      <c r="AL3122" s="6" t="str">
        <f t="array" ref="AL3122">IFERROR(IFS(XLOOKUP(B3122, 'Kit Delivery Status'!$U:$U, 'Kit Delivery Status'!$K:$K) = "Complete", "DELIVERED", XLOOKUP(B3122, 'Kit Delivery Status'!$U:$U, 'Kit Delivery Status'!$K:$K) = "Issue", "ISSUE"), "")</f>
        <v/>
      </c>
      <c r="AM3122" s="6"/>
    </row>
    <row r="3123">
      <c r="A3123" s="19"/>
      <c r="B3123" s="19"/>
      <c r="C3123" s="19"/>
      <c r="D3123" s="42"/>
      <c r="E3123" s="19"/>
      <c r="F3123" s="19"/>
      <c r="G3123" s="19"/>
      <c r="H3123" s="19"/>
      <c r="I3123" s="19"/>
      <c r="J3123" s="19"/>
      <c r="K3123" s="19"/>
      <c r="L3123" s="19"/>
      <c r="M3123" s="19"/>
      <c r="N3123" s="19"/>
      <c r="O3123" s="43"/>
      <c r="P3123" s="19"/>
      <c r="Q3123" s="19"/>
      <c r="R3123" s="19"/>
      <c r="S3123" s="19"/>
      <c r="T3123" s="19"/>
      <c r="U3123" s="19"/>
      <c r="V3123" s="44"/>
      <c r="W3123" s="19"/>
      <c r="X3123" s="19"/>
      <c r="Y3123" s="19"/>
      <c r="Z3123" s="19"/>
      <c r="AA3123" s="19"/>
      <c r="AB3123" s="19"/>
      <c r="AC3123" s="19"/>
      <c r="AD3123" s="19"/>
      <c r="AE3123" s="19"/>
      <c r="AF3123" s="19"/>
      <c r="AG3123" s="19"/>
      <c r="AH3123" s="19"/>
      <c r="AI3123" s="19"/>
      <c r="AJ3123" s="19"/>
      <c r="AK3123" s="19"/>
      <c r="AL3123" s="6" t="str">
        <f t="array" ref="AL3123">IFERROR(IFS(XLOOKUP(B3123, 'Kit Delivery Status'!$U:$U, 'Kit Delivery Status'!$K:$K) = "Complete", "DELIVERED", XLOOKUP(B3123, 'Kit Delivery Status'!$U:$U, 'Kit Delivery Status'!$K:$K) = "Issue", "ISSUE"), "")</f>
        <v/>
      </c>
      <c r="AM3123" s="6"/>
    </row>
    <row r="3124">
      <c r="A3124" s="19"/>
      <c r="B3124" s="19"/>
      <c r="C3124" s="19"/>
      <c r="D3124" s="42"/>
      <c r="E3124" s="19"/>
      <c r="F3124" s="19"/>
      <c r="G3124" s="19"/>
      <c r="H3124" s="19"/>
      <c r="I3124" s="19"/>
      <c r="J3124" s="19"/>
      <c r="K3124" s="19"/>
      <c r="L3124" s="19"/>
      <c r="M3124" s="19"/>
      <c r="N3124" s="19"/>
      <c r="O3124" s="43"/>
      <c r="P3124" s="19"/>
      <c r="Q3124" s="19"/>
      <c r="R3124" s="19"/>
      <c r="S3124" s="19"/>
      <c r="T3124" s="19"/>
      <c r="U3124" s="19"/>
      <c r="V3124" s="44"/>
      <c r="W3124" s="19"/>
      <c r="X3124" s="19"/>
      <c r="Y3124" s="19"/>
      <c r="Z3124" s="19"/>
      <c r="AA3124" s="19"/>
      <c r="AB3124" s="19"/>
      <c r="AC3124" s="19"/>
      <c r="AD3124" s="19"/>
      <c r="AE3124" s="19"/>
      <c r="AF3124" s="19"/>
      <c r="AG3124" s="19"/>
      <c r="AH3124" s="19"/>
      <c r="AI3124" s="19"/>
      <c r="AJ3124" s="19"/>
      <c r="AK3124" s="19"/>
      <c r="AL3124" s="6" t="str">
        <f t="array" ref="AL3124">IFERROR(IFS(XLOOKUP(B3124, 'Kit Delivery Status'!$U:$U, 'Kit Delivery Status'!$K:$K) = "Complete", "DELIVERED", XLOOKUP(B3124, 'Kit Delivery Status'!$U:$U, 'Kit Delivery Status'!$K:$K) = "Issue", "ISSUE"), "")</f>
        <v/>
      </c>
      <c r="AM3124" s="6"/>
    </row>
    <row r="3125">
      <c r="A3125" s="19"/>
      <c r="B3125" s="19"/>
      <c r="C3125" s="19"/>
      <c r="D3125" s="42"/>
      <c r="E3125" s="19"/>
      <c r="F3125" s="19"/>
      <c r="G3125" s="19"/>
      <c r="H3125" s="19"/>
      <c r="I3125" s="19"/>
      <c r="J3125" s="19"/>
      <c r="K3125" s="19"/>
      <c r="L3125" s="19"/>
      <c r="M3125" s="19"/>
      <c r="N3125" s="19"/>
      <c r="O3125" s="43"/>
      <c r="P3125" s="19"/>
      <c r="Q3125" s="19"/>
      <c r="R3125" s="19"/>
      <c r="S3125" s="19"/>
      <c r="T3125" s="19"/>
      <c r="U3125" s="19"/>
      <c r="V3125" s="44"/>
      <c r="W3125" s="19"/>
      <c r="X3125" s="19"/>
      <c r="Y3125" s="19"/>
      <c r="Z3125" s="19"/>
      <c r="AA3125" s="19"/>
      <c r="AB3125" s="19"/>
      <c r="AC3125" s="19"/>
      <c r="AD3125" s="19"/>
      <c r="AE3125" s="19"/>
      <c r="AF3125" s="19"/>
      <c r="AG3125" s="19"/>
      <c r="AH3125" s="19"/>
      <c r="AI3125" s="19"/>
      <c r="AJ3125" s="19"/>
      <c r="AK3125" s="19"/>
      <c r="AL3125" s="6" t="str">
        <f t="array" ref="AL3125">IFERROR(IFS(XLOOKUP(B3125, 'Kit Delivery Status'!$U:$U, 'Kit Delivery Status'!$K:$K) = "Complete", "DELIVERED", XLOOKUP(B3125, 'Kit Delivery Status'!$U:$U, 'Kit Delivery Status'!$K:$K) = "Issue", "ISSUE"), "")</f>
        <v/>
      </c>
      <c r="AM3125" s="6"/>
    </row>
    <row r="3126">
      <c r="A3126" s="19"/>
      <c r="B3126" s="19"/>
      <c r="C3126" s="19"/>
      <c r="D3126" s="42"/>
      <c r="E3126" s="19"/>
      <c r="F3126" s="19"/>
      <c r="G3126" s="19"/>
      <c r="H3126" s="19"/>
      <c r="I3126" s="19"/>
      <c r="J3126" s="19"/>
      <c r="K3126" s="19"/>
      <c r="L3126" s="19"/>
      <c r="M3126" s="19"/>
      <c r="N3126" s="19"/>
      <c r="O3126" s="43"/>
      <c r="P3126" s="19"/>
      <c r="Q3126" s="19"/>
      <c r="R3126" s="19"/>
      <c r="S3126" s="19"/>
      <c r="T3126" s="19"/>
      <c r="U3126" s="19"/>
      <c r="V3126" s="44"/>
      <c r="W3126" s="19"/>
      <c r="X3126" s="19"/>
      <c r="Y3126" s="19"/>
      <c r="Z3126" s="19"/>
      <c r="AA3126" s="19"/>
      <c r="AB3126" s="19"/>
      <c r="AC3126" s="19"/>
      <c r="AD3126" s="19"/>
      <c r="AE3126" s="19"/>
      <c r="AF3126" s="19"/>
      <c r="AG3126" s="19"/>
      <c r="AH3126" s="19"/>
      <c r="AI3126" s="19"/>
      <c r="AJ3126" s="19"/>
      <c r="AK3126" s="19"/>
      <c r="AL3126" s="6" t="str">
        <f t="array" ref="AL3126">IFERROR(IFS(XLOOKUP(B3126, 'Kit Delivery Status'!$U:$U, 'Kit Delivery Status'!$K:$K) = "Complete", "DELIVERED", XLOOKUP(B3126, 'Kit Delivery Status'!$U:$U, 'Kit Delivery Status'!$K:$K) = "Issue", "ISSUE"), "")</f>
        <v/>
      </c>
      <c r="AM3126" s="6"/>
    </row>
    <row r="3127">
      <c r="A3127" s="19"/>
      <c r="B3127" s="19"/>
      <c r="C3127" s="19"/>
      <c r="D3127" s="42"/>
      <c r="E3127" s="19"/>
      <c r="F3127" s="19"/>
      <c r="G3127" s="19"/>
      <c r="H3127" s="19"/>
      <c r="I3127" s="19"/>
      <c r="J3127" s="19"/>
      <c r="K3127" s="19"/>
      <c r="L3127" s="19"/>
      <c r="M3127" s="19"/>
      <c r="N3127" s="19"/>
      <c r="O3127" s="43"/>
      <c r="P3127" s="19"/>
      <c r="Q3127" s="19"/>
      <c r="R3127" s="19"/>
      <c r="S3127" s="19"/>
      <c r="T3127" s="19"/>
      <c r="U3127" s="19"/>
      <c r="V3127" s="44"/>
      <c r="W3127" s="19"/>
      <c r="X3127" s="19"/>
      <c r="Y3127" s="19"/>
      <c r="Z3127" s="19"/>
      <c r="AA3127" s="19"/>
      <c r="AB3127" s="19"/>
      <c r="AC3127" s="19"/>
      <c r="AD3127" s="19"/>
      <c r="AE3127" s="19"/>
      <c r="AF3127" s="19"/>
      <c r="AG3127" s="19"/>
      <c r="AH3127" s="19"/>
      <c r="AI3127" s="19"/>
      <c r="AJ3127" s="19"/>
      <c r="AK3127" s="19"/>
      <c r="AL3127" s="6" t="str">
        <f t="array" ref="AL3127">IFERROR(IFS(XLOOKUP(B3127, 'Kit Delivery Status'!$U:$U, 'Kit Delivery Status'!$K:$K) = "Complete", "DELIVERED", XLOOKUP(B3127, 'Kit Delivery Status'!$U:$U, 'Kit Delivery Status'!$K:$K) = "Issue", "ISSUE"), "")</f>
        <v/>
      </c>
      <c r="AM3127" s="6"/>
    </row>
    <row r="3128">
      <c r="A3128" s="19"/>
      <c r="B3128" s="19"/>
      <c r="C3128" s="19"/>
      <c r="D3128" s="42"/>
      <c r="E3128" s="19"/>
      <c r="F3128" s="19"/>
      <c r="G3128" s="19"/>
      <c r="H3128" s="19"/>
      <c r="I3128" s="19"/>
      <c r="J3128" s="19"/>
      <c r="K3128" s="19"/>
      <c r="L3128" s="19"/>
      <c r="M3128" s="19"/>
      <c r="N3128" s="19"/>
      <c r="O3128" s="43"/>
      <c r="P3128" s="19"/>
      <c r="Q3128" s="19"/>
      <c r="R3128" s="19"/>
      <c r="S3128" s="19"/>
      <c r="T3128" s="19"/>
      <c r="U3128" s="19"/>
      <c r="V3128" s="44"/>
      <c r="W3128" s="19"/>
      <c r="X3128" s="19"/>
      <c r="Y3128" s="19"/>
      <c r="Z3128" s="19"/>
      <c r="AA3128" s="19"/>
      <c r="AB3128" s="19"/>
      <c r="AC3128" s="19"/>
      <c r="AD3128" s="19"/>
      <c r="AE3128" s="19"/>
      <c r="AF3128" s="19"/>
      <c r="AG3128" s="19"/>
      <c r="AH3128" s="19"/>
      <c r="AI3128" s="19"/>
      <c r="AJ3128" s="19"/>
      <c r="AK3128" s="19"/>
      <c r="AL3128" s="6" t="str">
        <f t="array" ref="AL3128">IFERROR(IFS(XLOOKUP(B3128, 'Kit Delivery Status'!$U:$U, 'Kit Delivery Status'!$K:$K) = "Complete", "DELIVERED", XLOOKUP(B3128, 'Kit Delivery Status'!$U:$U, 'Kit Delivery Status'!$K:$K) = "Issue", "ISSUE"), "")</f>
        <v/>
      </c>
      <c r="AM3128" s="6"/>
    </row>
    <row r="3129">
      <c r="A3129" s="19"/>
      <c r="B3129" s="19"/>
      <c r="C3129" s="19"/>
      <c r="D3129" s="42"/>
      <c r="E3129" s="19"/>
      <c r="F3129" s="19"/>
      <c r="G3129" s="19"/>
      <c r="H3129" s="19"/>
      <c r="I3129" s="19"/>
      <c r="J3129" s="19"/>
      <c r="K3129" s="19"/>
      <c r="L3129" s="19"/>
      <c r="M3129" s="19"/>
      <c r="N3129" s="19"/>
      <c r="O3129" s="43"/>
      <c r="P3129" s="19"/>
      <c r="Q3129" s="19"/>
      <c r="R3129" s="19"/>
      <c r="S3129" s="19"/>
      <c r="T3129" s="19"/>
      <c r="U3129" s="19"/>
      <c r="V3129" s="44"/>
      <c r="W3129" s="19"/>
      <c r="X3129" s="19"/>
      <c r="Y3129" s="19"/>
      <c r="Z3129" s="19"/>
      <c r="AA3129" s="19"/>
      <c r="AB3129" s="19"/>
      <c r="AC3129" s="19"/>
      <c r="AD3129" s="19"/>
      <c r="AE3129" s="19"/>
      <c r="AF3129" s="19"/>
      <c r="AG3129" s="19"/>
      <c r="AH3129" s="19"/>
      <c r="AI3129" s="19"/>
      <c r="AJ3129" s="19"/>
      <c r="AK3129" s="19"/>
      <c r="AL3129" s="6" t="str">
        <f t="array" ref="AL3129">IFERROR(IFS(XLOOKUP(B3129, 'Kit Delivery Status'!$U:$U, 'Kit Delivery Status'!$K:$K) = "Complete", "DELIVERED", XLOOKUP(B3129, 'Kit Delivery Status'!$U:$U, 'Kit Delivery Status'!$K:$K) = "Issue", "ISSUE"), "")</f>
        <v/>
      </c>
      <c r="AM3129" s="6"/>
    </row>
    <row r="3130">
      <c r="A3130" s="19"/>
      <c r="B3130" s="19"/>
      <c r="C3130" s="19"/>
      <c r="D3130" s="42"/>
      <c r="E3130" s="19"/>
      <c r="F3130" s="19"/>
      <c r="G3130" s="19"/>
      <c r="H3130" s="19"/>
      <c r="I3130" s="19"/>
      <c r="J3130" s="19"/>
      <c r="K3130" s="19"/>
      <c r="L3130" s="19"/>
      <c r="M3130" s="19"/>
      <c r="N3130" s="19"/>
      <c r="O3130" s="43"/>
      <c r="P3130" s="19"/>
      <c r="Q3130" s="19"/>
      <c r="R3130" s="19"/>
      <c r="S3130" s="19"/>
      <c r="T3130" s="19"/>
      <c r="U3130" s="19"/>
      <c r="V3130" s="44"/>
      <c r="W3130" s="19"/>
      <c r="X3130" s="19"/>
      <c r="Y3130" s="19"/>
      <c r="Z3130" s="19"/>
      <c r="AA3130" s="19"/>
      <c r="AB3130" s="19"/>
      <c r="AC3130" s="19"/>
      <c r="AD3130" s="19"/>
      <c r="AE3130" s="19"/>
      <c r="AF3130" s="19"/>
      <c r="AG3130" s="19"/>
      <c r="AH3130" s="19"/>
      <c r="AI3130" s="19"/>
      <c r="AJ3130" s="19"/>
      <c r="AK3130" s="19"/>
      <c r="AL3130" s="6" t="str">
        <f t="array" ref="AL3130">IFERROR(IFS(XLOOKUP(B3130, 'Kit Delivery Status'!$U:$U, 'Kit Delivery Status'!$K:$K) = "Complete", "DELIVERED", XLOOKUP(B3130, 'Kit Delivery Status'!$U:$U, 'Kit Delivery Status'!$K:$K) = "Issue", "ISSUE"), "")</f>
        <v/>
      </c>
      <c r="AM3130" s="6"/>
    </row>
    <row r="3131">
      <c r="A3131" s="19"/>
      <c r="B3131" s="19"/>
      <c r="C3131" s="19"/>
      <c r="D3131" s="42"/>
      <c r="E3131" s="19"/>
      <c r="F3131" s="19"/>
      <c r="G3131" s="19"/>
      <c r="H3131" s="19"/>
      <c r="I3131" s="19"/>
      <c r="J3131" s="19"/>
      <c r="K3131" s="19"/>
      <c r="L3131" s="19"/>
      <c r="M3131" s="19"/>
      <c r="N3131" s="19"/>
      <c r="O3131" s="43"/>
      <c r="P3131" s="19"/>
      <c r="Q3131" s="19"/>
      <c r="R3131" s="19"/>
      <c r="S3131" s="19"/>
      <c r="T3131" s="19"/>
      <c r="U3131" s="19"/>
      <c r="V3131" s="44"/>
      <c r="W3131" s="19"/>
      <c r="X3131" s="19"/>
      <c r="Y3131" s="19"/>
      <c r="Z3131" s="19"/>
      <c r="AA3131" s="19"/>
      <c r="AB3131" s="19"/>
      <c r="AC3131" s="19"/>
      <c r="AD3131" s="19"/>
      <c r="AE3131" s="19"/>
      <c r="AF3131" s="19"/>
      <c r="AG3131" s="19"/>
      <c r="AH3131" s="19"/>
      <c r="AI3131" s="19"/>
      <c r="AJ3131" s="19"/>
      <c r="AK3131" s="19"/>
      <c r="AL3131" s="6" t="str">
        <f t="array" ref="AL3131">IFERROR(IFS(XLOOKUP(B3131, 'Kit Delivery Status'!$U:$U, 'Kit Delivery Status'!$K:$K) = "Complete", "DELIVERED", XLOOKUP(B3131, 'Kit Delivery Status'!$U:$U, 'Kit Delivery Status'!$K:$K) = "Issue", "ISSUE"), "")</f>
        <v/>
      </c>
      <c r="AM3131" s="6"/>
    </row>
    <row r="3132">
      <c r="A3132" s="19"/>
      <c r="B3132" s="19"/>
      <c r="C3132" s="19"/>
      <c r="D3132" s="42"/>
      <c r="E3132" s="19"/>
      <c r="F3132" s="19"/>
      <c r="G3132" s="19"/>
      <c r="H3132" s="19"/>
      <c r="I3132" s="19"/>
      <c r="J3132" s="19"/>
      <c r="K3132" s="19"/>
      <c r="L3132" s="19"/>
      <c r="M3132" s="19"/>
      <c r="N3132" s="19"/>
      <c r="O3132" s="43"/>
      <c r="P3132" s="19"/>
      <c r="Q3132" s="19"/>
      <c r="R3132" s="19"/>
      <c r="S3132" s="19"/>
      <c r="T3132" s="19"/>
      <c r="U3132" s="19"/>
      <c r="V3132" s="44"/>
      <c r="W3132" s="19"/>
      <c r="X3132" s="19"/>
      <c r="Y3132" s="19"/>
      <c r="Z3132" s="19"/>
      <c r="AA3132" s="19"/>
      <c r="AB3132" s="19"/>
      <c r="AC3132" s="19"/>
      <c r="AD3132" s="19"/>
      <c r="AE3132" s="19"/>
      <c r="AF3132" s="19"/>
      <c r="AG3132" s="19"/>
      <c r="AH3132" s="19"/>
      <c r="AI3132" s="19"/>
      <c r="AJ3132" s="19"/>
      <c r="AK3132" s="19"/>
      <c r="AL3132" s="6" t="str">
        <f t="array" ref="AL3132">IFERROR(IFS(XLOOKUP(B3132, 'Kit Delivery Status'!$U:$U, 'Kit Delivery Status'!$K:$K) = "Complete", "DELIVERED", XLOOKUP(B3132, 'Kit Delivery Status'!$U:$U, 'Kit Delivery Status'!$K:$K) = "Issue", "ISSUE"), "")</f>
        <v/>
      </c>
      <c r="AM3132" s="6"/>
    </row>
    <row r="3133">
      <c r="A3133" s="19"/>
      <c r="B3133" s="19"/>
      <c r="C3133" s="19"/>
      <c r="D3133" s="42"/>
      <c r="E3133" s="19"/>
      <c r="F3133" s="19"/>
      <c r="G3133" s="19"/>
      <c r="H3133" s="19"/>
      <c r="I3133" s="19"/>
      <c r="J3133" s="19"/>
      <c r="K3133" s="19"/>
      <c r="L3133" s="19"/>
      <c r="M3133" s="19"/>
      <c r="N3133" s="19"/>
      <c r="O3133" s="43"/>
      <c r="P3133" s="19"/>
      <c r="Q3133" s="19"/>
      <c r="R3133" s="19"/>
      <c r="S3133" s="19"/>
      <c r="T3133" s="19"/>
      <c r="U3133" s="19"/>
      <c r="V3133" s="44"/>
      <c r="W3133" s="19"/>
      <c r="X3133" s="19"/>
      <c r="Y3133" s="19"/>
      <c r="Z3133" s="19"/>
      <c r="AA3133" s="19"/>
      <c r="AB3133" s="19"/>
      <c r="AC3133" s="19"/>
      <c r="AD3133" s="19"/>
      <c r="AE3133" s="19"/>
      <c r="AF3133" s="19"/>
      <c r="AG3133" s="19"/>
      <c r="AH3133" s="19"/>
      <c r="AI3133" s="19"/>
      <c r="AJ3133" s="19"/>
      <c r="AK3133" s="19"/>
      <c r="AL3133" s="6" t="str">
        <f t="array" ref="AL3133">IFERROR(IFS(XLOOKUP(B3133, 'Kit Delivery Status'!$U:$U, 'Kit Delivery Status'!$K:$K) = "Complete", "DELIVERED", XLOOKUP(B3133, 'Kit Delivery Status'!$U:$U, 'Kit Delivery Status'!$K:$K) = "Issue", "ISSUE"), "")</f>
        <v/>
      </c>
      <c r="AM3133" s="6"/>
    </row>
    <row r="3134">
      <c r="A3134" s="19"/>
      <c r="B3134" s="19"/>
      <c r="C3134" s="19"/>
      <c r="D3134" s="42"/>
      <c r="E3134" s="19"/>
      <c r="F3134" s="19"/>
      <c r="G3134" s="19"/>
      <c r="H3134" s="19"/>
      <c r="I3134" s="19"/>
      <c r="J3134" s="19"/>
      <c r="K3134" s="19"/>
      <c r="L3134" s="19"/>
      <c r="M3134" s="19"/>
      <c r="N3134" s="19"/>
      <c r="O3134" s="43"/>
      <c r="P3134" s="19"/>
      <c r="Q3134" s="19"/>
      <c r="R3134" s="19"/>
      <c r="S3134" s="19"/>
      <c r="T3134" s="19"/>
      <c r="U3134" s="19"/>
      <c r="V3134" s="44"/>
      <c r="W3134" s="19"/>
      <c r="X3134" s="19"/>
      <c r="Y3134" s="19"/>
      <c r="Z3134" s="19"/>
      <c r="AA3134" s="19"/>
      <c r="AB3134" s="19"/>
      <c r="AC3134" s="19"/>
      <c r="AD3134" s="19"/>
      <c r="AE3134" s="19"/>
      <c r="AF3134" s="19"/>
      <c r="AG3134" s="19"/>
      <c r="AH3134" s="19"/>
      <c r="AI3134" s="19"/>
      <c r="AJ3134" s="19"/>
      <c r="AK3134" s="19"/>
      <c r="AL3134" s="6" t="str">
        <f t="array" ref="AL3134">IFERROR(IFS(XLOOKUP(B3134, 'Kit Delivery Status'!$U:$U, 'Kit Delivery Status'!$K:$K) = "Complete", "DELIVERED", XLOOKUP(B3134, 'Kit Delivery Status'!$U:$U, 'Kit Delivery Status'!$K:$K) = "Issue", "ISSUE"), "")</f>
        <v/>
      </c>
      <c r="AM3134" s="6"/>
    </row>
    <row r="3135">
      <c r="A3135" s="19"/>
      <c r="B3135" s="19"/>
      <c r="C3135" s="19"/>
      <c r="D3135" s="42"/>
      <c r="E3135" s="19"/>
      <c r="F3135" s="19"/>
      <c r="G3135" s="19"/>
      <c r="H3135" s="19"/>
      <c r="I3135" s="19"/>
      <c r="J3135" s="19"/>
      <c r="K3135" s="19"/>
      <c r="L3135" s="19"/>
      <c r="M3135" s="19"/>
      <c r="N3135" s="19"/>
      <c r="O3135" s="43"/>
      <c r="P3135" s="19"/>
      <c r="Q3135" s="19"/>
      <c r="R3135" s="19"/>
      <c r="S3135" s="19"/>
      <c r="T3135" s="19"/>
      <c r="U3135" s="19"/>
      <c r="V3135" s="44"/>
      <c r="W3135" s="19"/>
      <c r="X3135" s="19"/>
      <c r="Y3135" s="19"/>
      <c r="Z3135" s="19"/>
      <c r="AA3135" s="19"/>
      <c r="AB3135" s="19"/>
      <c r="AC3135" s="19"/>
      <c r="AD3135" s="19"/>
      <c r="AE3135" s="19"/>
      <c r="AF3135" s="19"/>
      <c r="AG3135" s="19"/>
      <c r="AH3135" s="19"/>
      <c r="AI3135" s="19"/>
      <c r="AJ3135" s="19"/>
      <c r="AK3135" s="19"/>
      <c r="AL3135" s="6" t="str">
        <f t="array" ref="AL3135">IFERROR(IFS(XLOOKUP(B3135, 'Kit Delivery Status'!$U:$U, 'Kit Delivery Status'!$K:$K) = "Complete", "DELIVERED", XLOOKUP(B3135, 'Kit Delivery Status'!$U:$U, 'Kit Delivery Status'!$K:$K) = "Issue", "ISSUE"), "")</f>
        <v/>
      </c>
      <c r="AM3135" s="6"/>
    </row>
    <row r="3136">
      <c r="A3136" s="19"/>
      <c r="B3136" s="19"/>
      <c r="C3136" s="19"/>
      <c r="D3136" s="42"/>
      <c r="E3136" s="19"/>
      <c r="F3136" s="19"/>
      <c r="G3136" s="19"/>
      <c r="H3136" s="19"/>
      <c r="I3136" s="19"/>
      <c r="J3136" s="19"/>
      <c r="K3136" s="19"/>
      <c r="L3136" s="19"/>
      <c r="M3136" s="19"/>
      <c r="N3136" s="19"/>
      <c r="O3136" s="43"/>
      <c r="P3136" s="19"/>
      <c r="Q3136" s="19"/>
      <c r="R3136" s="19"/>
      <c r="S3136" s="19"/>
      <c r="T3136" s="19"/>
      <c r="U3136" s="19"/>
      <c r="V3136" s="44"/>
      <c r="W3136" s="19"/>
      <c r="X3136" s="19"/>
      <c r="Y3136" s="19"/>
      <c r="Z3136" s="19"/>
      <c r="AA3136" s="19"/>
      <c r="AB3136" s="19"/>
      <c r="AC3136" s="19"/>
      <c r="AD3136" s="19"/>
      <c r="AE3136" s="19"/>
      <c r="AF3136" s="19"/>
      <c r="AG3136" s="19"/>
      <c r="AH3136" s="19"/>
      <c r="AI3136" s="19"/>
      <c r="AJ3136" s="19"/>
      <c r="AK3136" s="19"/>
      <c r="AL3136" s="6" t="str">
        <f t="array" ref="AL3136">IFERROR(IFS(XLOOKUP(B3136, 'Kit Delivery Status'!$U:$U, 'Kit Delivery Status'!$K:$K) = "Complete", "DELIVERED", XLOOKUP(B3136, 'Kit Delivery Status'!$U:$U, 'Kit Delivery Status'!$K:$K) = "Issue", "ISSUE"), "")</f>
        <v/>
      </c>
      <c r="AM3136" s="6"/>
    </row>
    <row r="3137">
      <c r="A3137" s="19"/>
      <c r="B3137" s="19"/>
      <c r="C3137" s="19"/>
      <c r="D3137" s="42"/>
      <c r="E3137" s="19"/>
      <c r="F3137" s="19"/>
      <c r="G3137" s="19"/>
      <c r="H3137" s="19"/>
      <c r="I3137" s="19"/>
      <c r="J3137" s="19"/>
      <c r="K3137" s="19"/>
      <c r="L3137" s="19"/>
      <c r="M3137" s="19"/>
      <c r="N3137" s="19"/>
      <c r="O3137" s="43"/>
      <c r="P3137" s="19"/>
      <c r="Q3137" s="19"/>
      <c r="R3137" s="19"/>
      <c r="S3137" s="19"/>
      <c r="T3137" s="19"/>
      <c r="U3137" s="19"/>
      <c r="V3137" s="44"/>
      <c r="W3137" s="19"/>
      <c r="X3137" s="19"/>
      <c r="Y3137" s="19"/>
      <c r="Z3137" s="19"/>
      <c r="AA3137" s="19"/>
      <c r="AB3137" s="19"/>
      <c r="AC3137" s="19"/>
      <c r="AD3137" s="19"/>
      <c r="AE3137" s="19"/>
      <c r="AF3137" s="19"/>
      <c r="AG3137" s="19"/>
      <c r="AH3137" s="19"/>
      <c r="AI3137" s="19"/>
      <c r="AJ3137" s="19"/>
      <c r="AK3137" s="19"/>
      <c r="AL3137" s="6" t="str">
        <f t="array" ref="AL3137">IFERROR(IFS(XLOOKUP(B3137, 'Kit Delivery Status'!$U:$U, 'Kit Delivery Status'!$K:$K) = "Complete", "DELIVERED", XLOOKUP(B3137, 'Kit Delivery Status'!$U:$U, 'Kit Delivery Status'!$K:$K) = "Issue", "ISSUE"), "")</f>
        <v/>
      </c>
      <c r="AM3137" s="6"/>
    </row>
    <row r="3138">
      <c r="A3138" s="19"/>
      <c r="B3138" s="19"/>
      <c r="C3138" s="19"/>
      <c r="D3138" s="42"/>
      <c r="E3138" s="19"/>
      <c r="F3138" s="19"/>
      <c r="G3138" s="19"/>
      <c r="H3138" s="19"/>
      <c r="I3138" s="19"/>
      <c r="J3138" s="19"/>
      <c r="K3138" s="19"/>
      <c r="L3138" s="19"/>
      <c r="M3138" s="19"/>
      <c r="N3138" s="19"/>
      <c r="O3138" s="43"/>
      <c r="P3138" s="19"/>
      <c r="Q3138" s="19"/>
      <c r="R3138" s="19"/>
      <c r="S3138" s="19"/>
      <c r="T3138" s="19"/>
      <c r="U3138" s="19"/>
      <c r="V3138" s="44"/>
      <c r="W3138" s="19"/>
      <c r="X3138" s="19"/>
      <c r="Y3138" s="19"/>
      <c r="Z3138" s="19"/>
      <c r="AA3138" s="19"/>
      <c r="AB3138" s="19"/>
      <c r="AC3138" s="19"/>
      <c r="AD3138" s="19"/>
      <c r="AE3138" s="19"/>
      <c r="AF3138" s="19"/>
      <c r="AG3138" s="19"/>
      <c r="AH3138" s="19"/>
      <c r="AI3138" s="19"/>
      <c r="AJ3138" s="19"/>
      <c r="AK3138" s="19"/>
      <c r="AL3138" s="6" t="str">
        <f t="array" ref="AL3138">IFERROR(IFS(XLOOKUP(B3138, 'Kit Delivery Status'!$U:$U, 'Kit Delivery Status'!$K:$K) = "Complete", "DELIVERED", XLOOKUP(B3138, 'Kit Delivery Status'!$U:$U, 'Kit Delivery Status'!$K:$K) = "Issue", "ISSUE"), "")</f>
        <v/>
      </c>
      <c r="AM3138" s="6"/>
    </row>
    <row r="3139">
      <c r="A3139" s="19"/>
      <c r="B3139" s="19"/>
      <c r="C3139" s="19"/>
      <c r="D3139" s="42"/>
      <c r="E3139" s="19"/>
      <c r="F3139" s="19"/>
      <c r="G3139" s="19"/>
      <c r="H3139" s="19"/>
      <c r="I3139" s="19"/>
      <c r="J3139" s="19"/>
      <c r="K3139" s="19"/>
      <c r="L3139" s="19"/>
      <c r="M3139" s="19"/>
      <c r="N3139" s="19"/>
      <c r="O3139" s="43"/>
      <c r="P3139" s="19"/>
      <c r="Q3139" s="19"/>
      <c r="R3139" s="19"/>
      <c r="S3139" s="19"/>
      <c r="T3139" s="19"/>
      <c r="U3139" s="19"/>
      <c r="V3139" s="44"/>
      <c r="W3139" s="19"/>
      <c r="X3139" s="19"/>
      <c r="Y3139" s="19"/>
      <c r="Z3139" s="19"/>
      <c r="AA3139" s="19"/>
      <c r="AB3139" s="19"/>
      <c r="AC3139" s="19"/>
      <c r="AD3139" s="19"/>
      <c r="AE3139" s="19"/>
      <c r="AF3139" s="19"/>
      <c r="AG3139" s="19"/>
      <c r="AH3139" s="19"/>
      <c r="AI3139" s="19"/>
      <c r="AJ3139" s="19"/>
      <c r="AK3139" s="19"/>
      <c r="AL3139" s="6" t="str">
        <f t="array" ref="AL3139">IFERROR(IFS(XLOOKUP(B3139, 'Kit Delivery Status'!$U:$U, 'Kit Delivery Status'!$K:$K) = "Complete", "DELIVERED", XLOOKUP(B3139, 'Kit Delivery Status'!$U:$U, 'Kit Delivery Status'!$K:$K) = "Issue", "ISSUE"), "")</f>
        <v/>
      </c>
      <c r="AM3139" s="6"/>
    </row>
    <row r="3140">
      <c r="A3140" s="19"/>
      <c r="B3140" s="19"/>
      <c r="C3140" s="19"/>
      <c r="D3140" s="42"/>
      <c r="E3140" s="19"/>
      <c r="F3140" s="19"/>
      <c r="G3140" s="19"/>
      <c r="H3140" s="19"/>
      <c r="I3140" s="19"/>
      <c r="J3140" s="19"/>
      <c r="K3140" s="19"/>
      <c r="L3140" s="19"/>
      <c r="M3140" s="19"/>
      <c r="N3140" s="19"/>
      <c r="O3140" s="43"/>
      <c r="P3140" s="19"/>
      <c r="Q3140" s="19"/>
      <c r="R3140" s="19"/>
      <c r="S3140" s="19"/>
      <c r="T3140" s="19"/>
      <c r="U3140" s="19"/>
      <c r="V3140" s="44"/>
      <c r="W3140" s="19"/>
      <c r="X3140" s="19"/>
      <c r="Y3140" s="19"/>
      <c r="Z3140" s="19"/>
      <c r="AA3140" s="19"/>
      <c r="AB3140" s="19"/>
      <c r="AC3140" s="19"/>
      <c r="AD3140" s="19"/>
      <c r="AE3140" s="19"/>
      <c r="AF3140" s="19"/>
      <c r="AG3140" s="19"/>
      <c r="AH3140" s="19"/>
      <c r="AI3140" s="19"/>
      <c r="AJ3140" s="19"/>
      <c r="AK3140" s="19"/>
      <c r="AL3140" s="6" t="str">
        <f t="array" ref="AL3140">IFERROR(IFS(XLOOKUP(B3140, 'Kit Delivery Status'!$U:$U, 'Kit Delivery Status'!$K:$K) = "Complete", "DELIVERED", XLOOKUP(B3140, 'Kit Delivery Status'!$U:$U, 'Kit Delivery Status'!$K:$K) = "Issue", "ISSUE"), "")</f>
        <v/>
      </c>
      <c r="AM3140" s="6"/>
    </row>
    <row r="3141">
      <c r="A3141" s="19"/>
      <c r="B3141" s="19"/>
      <c r="C3141" s="19"/>
      <c r="D3141" s="42"/>
      <c r="E3141" s="19"/>
      <c r="F3141" s="19"/>
      <c r="G3141" s="19"/>
      <c r="H3141" s="19"/>
      <c r="I3141" s="19"/>
      <c r="J3141" s="19"/>
      <c r="K3141" s="19"/>
      <c r="L3141" s="19"/>
      <c r="M3141" s="19"/>
      <c r="N3141" s="19"/>
      <c r="O3141" s="43"/>
      <c r="P3141" s="19"/>
      <c r="Q3141" s="19"/>
      <c r="R3141" s="19"/>
      <c r="S3141" s="19"/>
      <c r="T3141" s="19"/>
      <c r="U3141" s="19"/>
      <c r="V3141" s="44"/>
      <c r="W3141" s="19"/>
      <c r="X3141" s="19"/>
      <c r="Y3141" s="19"/>
      <c r="Z3141" s="19"/>
      <c r="AA3141" s="19"/>
      <c r="AB3141" s="19"/>
      <c r="AC3141" s="19"/>
      <c r="AD3141" s="19"/>
      <c r="AE3141" s="19"/>
      <c r="AF3141" s="19"/>
      <c r="AG3141" s="19"/>
      <c r="AH3141" s="19"/>
      <c r="AI3141" s="19"/>
      <c r="AJ3141" s="19"/>
      <c r="AK3141" s="19"/>
      <c r="AL3141" s="6" t="str">
        <f t="array" ref="AL3141">IFERROR(IFS(XLOOKUP(B3141, 'Kit Delivery Status'!$U:$U, 'Kit Delivery Status'!$K:$K) = "Complete", "DELIVERED", XLOOKUP(B3141, 'Kit Delivery Status'!$U:$U, 'Kit Delivery Status'!$K:$K) = "Issue", "ISSUE"), "")</f>
        <v/>
      </c>
      <c r="AM3141" s="6"/>
    </row>
    <row r="3142">
      <c r="A3142" s="19"/>
      <c r="B3142" s="19"/>
      <c r="C3142" s="19"/>
      <c r="D3142" s="42"/>
      <c r="E3142" s="19"/>
      <c r="F3142" s="19"/>
      <c r="G3142" s="19"/>
      <c r="H3142" s="19"/>
      <c r="I3142" s="19"/>
      <c r="J3142" s="19"/>
      <c r="K3142" s="19"/>
      <c r="L3142" s="19"/>
      <c r="M3142" s="19"/>
      <c r="N3142" s="19"/>
      <c r="O3142" s="43"/>
      <c r="P3142" s="19"/>
      <c r="Q3142" s="19"/>
      <c r="R3142" s="19"/>
      <c r="S3142" s="19"/>
      <c r="T3142" s="19"/>
      <c r="U3142" s="19"/>
      <c r="V3142" s="44"/>
      <c r="W3142" s="19"/>
      <c r="X3142" s="19"/>
      <c r="Y3142" s="19"/>
      <c r="Z3142" s="19"/>
      <c r="AA3142" s="19"/>
      <c r="AB3142" s="19"/>
      <c r="AC3142" s="19"/>
      <c r="AD3142" s="19"/>
      <c r="AE3142" s="19"/>
      <c r="AF3142" s="19"/>
      <c r="AG3142" s="19"/>
      <c r="AH3142" s="19"/>
      <c r="AI3142" s="19"/>
      <c r="AJ3142" s="19"/>
      <c r="AK3142" s="19"/>
      <c r="AL3142" s="6" t="str">
        <f t="array" ref="AL3142">IFERROR(IFS(XLOOKUP(B3142, 'Kit Delivery Status'!$U:$U, 'Kit Delivery Status'!$K:$K) = "Complete", "DELIVERED", XLOOKUP(B3142, 'Kit Delivery Status'!$U:$U, 'Kit Delivery Status'!$K:$K) = "Issue", "ISSUE"), "")</f>
        <v/>
      </c>
      <c r="AM3142" s="6"/>
    </row>
    <row r="3143">
      <c r="A3143" s="19"/>
      <c r="B3143" s="19"/>
      <c r="C3143" s="19"/>
      <c r="D3143" s="42"/>
      <c r="E3143" s="19"/>
      <c r="F3143" s="19"/>
      <c r="G3143" s="19"/>
      <c r="H3143" s="19"/>
      <c r="I3143" s="19"/>
      <c r="J3143" s="19"/>
      <c r="K3143" s="19"/>
      <c r="L3143" s="19"/>
      <c r="M3143" s="19"/>
      <c r="N3143" s="19"/>
      <c r="O3143" s="43"/>
      <c r="P3143" s="19"/>
      <c r="Q3143" s="19"/>
      <c r="R3143" s="19"/>
      <c r="S3143" s="19"/>
      <c r="T3143" s="19"/>
      <c r="U3143" s="19"/>
      <c r="V3143" s="44"/>
      <c r="W3143" s="19"/>
      <c r="X3143" s="19"/>
      <c r="Y3143" s="19"/>
      <c r="Z3143" s="19"/>
      <c r="AA3143" s="19"/>
      <c r="AB3143" s="19"/>
      <c r="AC3143" s="19"/>
      <c r="AD3143" s="19"/>
      <c r="AE3143" s="19"/>
      <c r="AF3143" s="19"/>
      <c r="AG3143" s="19"/>
      <c r="AH3143" s="19"/>
      <c r="AI3143" s="19"/>
      <c r="AJ3143" s="19"/>
      <c r="AK3143" s="19"/>
      <c r="AL3143" s="6" t="str">
        <f t="array" ref="AL3143">IFERROR(IFS(XLOOKUP(B3143, 'Kit Delivery Status'!$U:$U, 'Kit Delivery Status'!$K:$K) = "Complete", "DELIVERED", XLOOKUP(B3143, 'Kit Delivery Status'!$U:$U, 'Kit Delivery Status'!$K:$K) = "Issue", "ISSUE"), "")</f>
        <v/>
      </c>
      <c r="AM3143" s="6"/>
    </row>
    <row r="3144">
      <c r="A3144" s="19"/>
      <c r="B3144" s="19"/>
      <c r="C3144" s="19"/>
      <c r="D3144" s="42"/>
      <c r="E3144" s="19"/>
      <c r="F3144" s="19"/>
      <c r="G3144" s="19"/>
      <c r="H3144" s="19"/>
      <c r="I3144" s="19"/>
      <c r="J3144" s="19"/>
      <c r="K3144" s="19"/>
      <c r="L3144" s="19"/>
      <c r="M3144" s="19"/>
      <c r="N3144" s="19"/>
      <c r="O3144" s="43"/>
      <c r="P3144" s="19"/>
      <c r="Q3144" s="19"/>
      <c r="R3144" s="19"/>
      <c r="S3144" s="19"/>
      <c r="T3144" s="19"/>
      <c r="U3144" s="19"/>
      <c r="V3144" s="44"/>
      <c r="W3144" s="19"/>
      <c r="X3144" s="19"/>
      <c r="Y3144" s="19"/>
      <c r="Z3144" s="19"/>
      <c r="AA3144" s="19"/>
      <c r="AB3144" s="19"/>
      <c r="AC3144" s="19"/>
      <c r="AD3144" s="19"/>
      <c r="AE3144" s="19"/>
      <c r="AF3144" s="19"/>
      <c r="AG3144" s="19"/>
      <c r="AH3144" s="19"/>
      <c r="AI3144" s="19"/>
      <c r="AJ3144" s="19"/>
      <c r="AK3144" s="19"/>
      <c r="AL3144" s="6" t="str">
        <f t="array" ref="AL3144">IFERROR(IFS(XLOOKUP(B3144, 'Kit Delivery Status'!$U:$U, 'Kit Delivery Status'!$K:$K) = "Complete", "DELIVERED", XLOOKUP(B3144, 'Kit Delivery Status'!$U:$U, 'Kit Delivery Status'!$K:$K) = "Issue", "ISSUE"), "")</f>
        <v/>
      </c>
      <c r="AM3144" s="6"/>
    </row>
    <row r="3145">
      <c r="A3145" s="19"/>
      <c r="B3145" s="19"/>
      <c r="C3145" s="19"/>
      <c r="D3145" s="42"/>
      <c r="E3145" s="19"/>
      <c r="F3145" s="19"/>
      <c r="G3145" s="19"/>
      <c r="H3145" s="19"/>
      <c r="I3145" s="19"/>
      <c r="J3145" s="19"/>
      <c r="K3145" s="19"/>
      <c r="L3145" s="19"/>
      <c r="M3145" s="19"/>
      <c r="N3145" s="19"/>
      <c r="O3145" s="43"/>
      <c r="P3145" s="19"/>
      <c r="Q3145" s="19"/>
      <c r="R3145" s="19"/>
      <c r="S3145" s="19"/>
      <c r="T3145" s="19"/>
      <c r="U3145" s="19"/>
      <c r="V3145" s="44"/>
      <c r="W3145" s="19"/>
      <c r="X3145" s="19"/>
      <c r="Y3145" s="19"/>
      <c r="Z3145" s="19"/>
      <c r="AA3145" s="19"/>
      <c r="AB3145" s="19"/>
      <c r="AC3145" s="19"/>
      <c r="AD3145" s="19"/>
      <c r="AE3145" s="19"/>
      <c r="AF3145" s="19"/>
      <c r="AG3145" s="19"/>
      <c r="AH3145" s="19"/>
      <c r="AI3145" s="19"/>
      <c r="AJ3145" s="19"/>
      <c r="AK3145" s="19"/>
      <c r="AL3145" s="6" t="str">
        <f t="array" ref="AL3145">IFERROR(IFS(XLOOKUP(B3145, 'Kit Delivery Status'!$U:$U, 'Kit Delivery Status'!$K:$K) = "Complete", "DELIVERED", XLOOKUP(B3145, 'Kit Delivery Status'!$U:$U, 'Kit Delivery Status'!$K:$K) = "Issue", "ISSUE"), "")</f>
        <v/>
      </c>
      <c r="AM3145" s="6"/>
    </row>
    <row r="3146">
      <c r="A3146" s="19"/>
      <c r="B3146" s="19"/>
      <c r="C3146" s="19"/>
      <c r="D3146" s="42"/>
      <c r="E3146" s="19"/>
      <c r="F3146" s="19"/>
      <c r="G3146" s="19"/>
      <c r="H3146" s="19"/>
      <c r="I3146" s="19"/>
      <c r="J3146" s="19"/>
      <c r="K3146" s="19"/>
      <c r="L3146" s="19"/>
      <c r="M3146" s="19"/>
      <c r="N3146" s="19"/>
      <c r="O3146" s="43"/>
      <c r="P3146" s="19"/>
      <c r="Q3146" s="19"/>
      <c r="R3146" s="19"/>
      <c r="S3146" s="19"/>
      <c r="T3146" s="19"/>
      <c r="U3146" s="19"/>
      <c r="V3146" s="44"/>
      <c r="W3146" s="19"/>
      <c r="X3146" s="19"/>
      <c r="Y3146" s="19"/>
      <c r="Z3146" s="19"/>
      <c r="AA3146" s="19"/>
      <c r="AB3146" s="19"/>
      <c r="AC3146" s="19"/>
      <c r="AD3146" s="19"/>
      <c r="AE3146" s="19"/>
      <c r="AF3146" s="19"/>
      <c r="AG3146" s="19"/>
      <c r="AH3146" s="19"/>
      <c r="AI3146" s="19"/>
      <c r="AJ3146" s="19"/>
      <c r="AK3146" s="19"/>
      <c r="AL3146" s="6" t="str">
        <f t="array" ref="AL3146">IFERROR(IFS(XLOOKUP(B3146, 'Kit Delivery Status'!$U:$U, 'Kit Delivery Status'!$K:$K) = "Complete", "DELIVERED", XLOOKUP(B3146, 'Kit Delivery Status'!$U:$U, 'Kit Delivery Status'!$K:$K) = "Issue", "ISSUE"), "")</f>
        <v/>
      </c>
      <c r="AM3146" s="6"/>
    </row>
    <row r="3147">
      <c r="A3147" s="19"/>
      <c r="B3147" s="19"/>
      <c r="C3147" s="19"/>
      <c r="D3147" s="42"/>
      <c r="E3147" s="19"/>
      <c r="F3147" s="19"/>
      <c r="G3147" s="19"/>
      <c r="H3147" s="19"/>
      <c r="I3147" s="19"/>
      <c r="J3147" s="19"/>
      <c r="K3147" s="19"/>
      <c r="L3147" s="19"/>
      <c r="M3147" s="19"/>
      <c r="N3147" s="19"/>
      <c r="O3147" s="43"/>
      <c r="P3147" s="19"/>
      <c r="Q3147" s="19"/>
      <c r="R3147" s="19"/>
      <c r="S3147" s="19"/>
      <c r="T3147" s="19"/>
      <c r="U3147" s="19"/>
      <c r="V3147" s="44"/>
      <c r="W3147" s="19"/>
      <c r="X3147" s="19"/>
      <c r="Y3147" s="19"/>
      <c r="Z3147" s="19"/>
      <c r="AA3147" s="19"/>
      <c r="AB3147" s="19"/>
      <c r="AC3147" s="19"/>
      <c r="AD3147" s="19"/>
      <c r="AE3147" s="19"/>
      <c r="AF3147" s="19"/>
      <c r="AG3147" s="19"/>
      <c r="AH3147" s="19"/>
      <c r="AI3147" s="19"/>
      <c r="AJ3147" s="19"/>
      <c r="AK3147" s="19"/>
      <c r="AL3147" s="6" t="str">
        <f t="array" ref="AL3147">IFERROR(IFS(XLOOKUP(B3147, 'Kit Delivery Status'!$U:$U, 'Kit Delivery Status'!$K:$K) = "Complete", "DELIVERED", XLOOKUP(B3147, 'Kit Delivery Status'!$U:$U, 'Kit Delivery Status'!$K:$K) = "Issue", "ISSUE"), "")</f>
        <v/>
      </c>
      <c r="AM3147" s="6"/>
    </row>
    <row r="3148">
      <c r="A3148" s="19"/>
      <c r="B3148" s="19"/>
      <c r="C3148" s="19"/>
      <c r="D3148" s="42"/>
      <c r="E3148" s="19"/>
      <c r="F3148" s="19"/>
      <c r="G3148" s="19"/>
      <c r="H3148" s="19"/>
      <c r="I3148" s="19"/>
      <c r="J3148" s="19"/>
      <c r="K3148" s="19"/>
      <c r="L3148" s="19"/>
      <c r="M3148" s="19"/>
      <c r="N3148" s="19"/>
      <c r="O3148" s="43"/>
      <c r="P3148" s="19"/>
      <c r="Q3148" s="19"/>
      <c r="R3148" s="19"/>
      <c r="S3148" s="19"/>
      <c r="T3148" s="19"/>
      <c r="U3148" s="19"/>
      <c r="V3148" s="44"/>
      <c r="W3148" s="19"/>
      <c r="X3148" s="19"/>
      <c r="Y3148" s="19"/>
      <c r="Z3148" s="19"/>
      <c r="AA3148" s="19"/>
      <c r="AB3148" s="19"/>
      <c r="AC3148" s="19"/>
      <c r="AD3148" s="19"/>
      <c r="AE3148" s="19"/>
      <c r="AF3148" s="19"/>
      <c r="AG3148" s="19"/>
      <c r="AH3148" s="19"/>
      <c r="AI3148" s="19"/>
      <c r="AJ3148" s="19"/>
      <c r="AK3148" s="19"/>
      <c r="AL3148" s="6" t="str">
        <f t="array" ref="AL3148">IFERROR(IFS(XLOOKUP(B3148, 'Kit Delivery Status'!$U:$U, 'Kit Delivery Status'!$K:$K) = "Complete", "DELIVERED", XLOOKUP(B3148, 'Kit Delivery Status'!$U:$U, 'Kit Delivery Status'!$K:$K) = "Issue", "ISSUE"), "")</f>
        <v/>
      </c>
      <c r="AM3148" s="6"/>
    </row>
    <row r="3149">
      <c r="A3149" s="19"/>
      <c r="B3149" s="19"/>
      <c r="C3149" s="19"/>
      <c r="D3149" s="42"/>
      <c r="E3149" s="19"/>
      <c r="F3149" s="19"/>
      <c r="G3149" s="19"/>
      <c r="H3149" s="19"/>
      <c r="I3149" s="19"/>
      <c r="J3149" s="19"/>
      <c r="K3149" s="19"/>
      <c r="L3149" s="19"/>
      <c r="M3149" s="19"/>
      <c r="N3149" s="19"/>
      <c r="O3149" s="43"/>
      <c r="P3149" s="19"/>
      <c r="Q3149" s="19"/>
      <c r="R3149" s="19"/>
      <c r="S3149" s="19"/>
      <c r="T3149" s="19"/>
      <c r="U3149" s="19"/>
      <c r="V3149" s="44"/>
      <c r="W3149" s="19"/>
      <c r="X3149" s="19"/>
      <c r="Y3149" s="19"/>
      <c r="Z3149" s="19"/>
      <c r="AA3149" s="19"/>
      <c r="AB3149" s="19"/>
      <c r="AC3149" s="19"/>
      <c r="AD3149" s="19"/>
      <c r="AE3149" s="19"/>
      <c r="AF3149" s="19"/>
      <c r="AG3149" s="19"/>
      <c r="AH3149" s="19"/>
      <c r="AI3149" s="19"/>
      <c r="AJ3149" s="19"/>
      <c r="AK3149" s="19"/>
      <c r="AL3149" s="6" t="str">
        <f t="array" ref="AL3149">IFERROR(IFS(XLOOKUP(B3149, 'Kit Delivery Status'!$U:$U, 'Kit Delivery Status'!$K:$K) = "Complete", "DELIVERED", XLOOKUP(B3149, 'Kit Delivery Status'!$U:$U, 'Kit Delivery Status'!$K:$K) = "Issue", "ISSUE"), "")</f>
        <v/>
      </c>
      <c r="AM3149" s="6"/>
    </row>
    <row r="3150">
      <c r="A3150" s="19"/>
      <c r="B3150" s="19"/>
      <c r="C3150" s="19"/>
      <c r="D3150" s="42"/>
      <c r="E3150" s="19"/>
      <c r="F3150" s="19"/>
      <c r="G3150" s="19"/>
      <c r="H3150" s="19"/>
      <c r="I3150" s="19"/>
      <c r="J3150" s="19"/>
      <c r="K3150" s="19"/>
      <c r="L3150" s="19"/>
      <c r="M3150" s="19"/>
      <c r="N3150" s="19"/>
      <c r="O3150" s="43"/>
      <c r="P3150" s="19"/>
      <c r="Q3150" s="19"/>
      <c r="R3150" s="19"/>
      <c r="S3150" s="19"/>
      <c r="T3150" s="19"/>
      <c r="U3150" s="19"/>
      <c r="V3150" s="44"/>
      <c r="W3150" s="19"/>
      <c r="X3150" s="19"/>
      <c r="Y3150" s="19"/>
      <c r="Z3150" s="19"/>
      <c r="AA3150" s="19"/>
      <c r="AB3150" s="19"/>
      <c r="AC3150" s="19"/>
      <c r="AD3150" s="19"/>
      <c r="AE3150" s="19"/>
      <c r="AF3150" s="19"/>
      <c r="AG3150" s="19"/>
      <c r="AH3150" s="19"/>
      <c r="AI3150" s="19"/>
      <c r="AJ3150" s="19"/>
      <c r="AK3150" s="19"/>
      <c r="AL3150" s="6" t="str">
        <f t="array" ref="AL3150">IFERROR(IFS(XLOOKUP(B3150, 'Kit Delivery Status'!$U:$U, 'Kit Delivery Status'!$K:$K) = "Complete", "DELIVERED", XLOOKUP(B3150, 'Kit Delivery Status'!$U:$U, 'Kit Delivery Status'!$K:$K) = "Issue", "ISSUE"), "")</f>
        <v/>
      </c>
      <c r="AM3150" s="6"/>
    </row>
    <row r="3151">
      <c r="A3151" s="19"/>
      <c r="B3151" s="19"/>
      <c r="C3151" s="19"/>
      <c r="D3151" s="42"/>
      <c r="E3151" s="19"/>
      <c r="F3151" s="19"/>
      <c r="G3151" s="19"/>
      <c r="H3151" s="19"/>
      <c r="I3151" s="19"/>
      <c r="J3151" s="19"/>
      <c r="K3151" s="19"/>
      <c r="L3151" s="19"/>
      <c r="M3151" s="19"/>
      <c r="N3151" s="19"/>
      <c r="O3151" s="43"/>
      <c r="P3151" s="19"/>
      <c r="Q3151" s="19"/>
      <c r="R3151" s="19"/>
      <c r="S3151" s="19"/>
      <c r="T3151" s="19"/>
      <c r="U3151" s="19"/>
      <c r="V3151" s="44"/>
      <c r="W3151" s="19"/>
      <c r="X3151" s="19"/>
      <c r="Y3151" s="19"/>
      <c r="Z3151" s="19"/>
      <c r="AA3151" s="19"/>
      <c r="AB3151" s="19"/>
      <c r="AC3151" s="19"/>
      <c r="AD3151" s="19"/>
      <c r="AE3151" s="19"/>
      <c r="AF3151" s="19"/>
      <c r="AG3151" s="19"/>
      <c r="AH3151" s="19"/>
      <c r="AI3151" s="19"/>
      <c r="AJ3151" s="19"/>
      <c r="AK3151" s="19"/>
      <c r="AL3151" s="6" t="str">
        <f t="array" ref="AL3151">IFERROR(IFS(XLOOKUP(B3151, 'Kit Delivery Status'!$U:$U, 'Kit Delivery Status'!$K:$K) = "Complete", "DELIVERED", XLOOKUP(B3151, 'Kit Delivery Status'!$U:$U, 'Kit Delivery Status'!$K:$K) = "Issue", "ISSUE"), "")</f>
        <v/>
      </c>
      <c r="AM3151" s="6"/>
    </row>
    <row r="3152">
      <c r="A3152" s="19"/>
      <c r="B3152" s="19"/>
      <c r="C3152" s="19"/>
      <c r="D3152" s="42"/>
      <c r="E3152" s="19"/>
      <c r="F3152" s="19"/>
      <c r="G3152" s="19"/>
      <c r="H3152" s="19"/>
      <c r="I3152" s="19"/>
      <c r="J3152" s="19"/>
      <c r="K3152" s="19"/>
      <c r="L3152" s="19"/>
      <c r="M3152" s="19"/>
      <c r="N3152" s="19"/>
      <c r="O3152" s="43"/>
      <c r="P3152" s="19"/>
      <c r="Q3152" s="19"/>
      <c r="R3152" s="19"/>
      <c r="S3152" s="19"/>
      <c r="T3152" s="19"/>
      <c r="U3152" s="19"/>
      <c r="V3152" s="44"/>
      <c r="W3152" s="19"/>
      <c r="X3152" s="19"/>
      <c r="Y3152" s="19"/>
      <c r="Z3152" s="19"/>
      <c r="AA3152" s="19"/>
      <c r="AB3152" s="19"/>
      <c r="AC3152" s="19"/>
      <c r="AD3152" s="19"/>
      <c r="AE3152" s="19"/>
      <c r="AF3152" s="19"/>
      <c r="AG3152" s="19"/>
      <c r="AH3152" s="19"/>
      <c r="AI3152" s="19"/>
      <c r="AJ3152" s="19"/>
      <c r="AK3152" s="19"/>
      <c r="AL3152" s="6" t="str">
        <f t="array" ref="AL3152">IFERROR(IFS(XLOOKUP(B3152, 'Kit Delivery Status'!$U:$U, 'Kit Delivery Status'!$K:$K) = "Complete", "DELIVERED", XLOOKUP(B3152, 'Kit Delivery Status'!$U:$U, 'Kit Delivery Status'!$K:$K) = "Issue", "ISSUE"), "")</f>
        <v/>
      </c>
      <c r="AM3152" s="6"/>
    </row>
    <row r="3153">
      <c r="A3153" s="19"/>
      <c r="B3153" s="19"/>
      <c r="C3153" s="19"/>
      <c r="D3153" s="42"/>
      <c r="E3153" s="19"/>
      <c r="F3153" s="19"/>
      <c r="G3153" s="19"/>
      <c r="H3153" s="19"/>
      <c r="I3153" s="19"/>
      <c r="J3153" s="19"/>
      <c r="K3153" s="19"/>
      <c r="L3153" s="19"/>
      <c r="M3153" s="19"/>
      <c r="N3153" s="19"/>
      <c r="O3153" s="43"/>
      <c r="P3153" s="19"/>
      <c r="Q3153" s="19"/>
      <c r="R3153" s="19"/>
      <c r="S3153" s="19"/>
      <c r="T3153" s="19"/>
      <c r="U3153" s="19"/>
      <c r="V3153" s="44"/>
      <c r="W3153" s="19"/>
      <c r="X3153" s="19"/>
      <c r="Y3153" s="19"/>
      <c r="Z3153" s="19"/>
      <c r="AA3153" s="19"/>
      <c r="AB3153" s="19"/>
      <c r="AC3153" s="19"/>
      <c r="AD3153" s="19"/>
      <c r="AE3153" s="19"/>
      <c r="AF3153" s="19"/>
      <c r="AG3153" s="19"/>
      <c r="AH3153" s="19"/>
      <c r="AI3153" s="19"/>
      <c r="AJ3153" s="19"/>
      <c r="AK3153" s="19"/>
      <c r="AL3153" s="6" t="str">
        <f t="array" ref="AL3153">IFERROR(IFS(XLOOKUP(B3153, 'Kit Delivery Status'!$U:$U, 'Kit Delivery Status'!$K:$K) = "Complete", "DELIVERED", XLOOKUP(B3153, 'Kit Delivery Status'!$U:$U, 'Kit Delivery Status'!$K:$K) = "Issue", "ISSUE"), "")</f>
        <v/>
      </c>
      <c r="AM3153" s="6"/>
    </row>
    <row r="3154">
      <c r="A3154" s="19"/>
      <c r="B3154" s="19"/>
      <c r="C3154" s="19"/>
      <c r="D3154" s="42"/>
      <c r="E3154" s="19"/>
      <c r="F3154" s="19"/>
      <c r="G3154" s="19"/>
      <c r="H3154" s="19"/>
      <c r="I3154" s="19"/>
      <c r="J3154" s="19"/>
      <c r="K3154" s="19"/>
      <c r="L3154" s="19"/>
      <c r="M3154" s="19"/>
      <c r="N3154" s="19"/>
      <c r="O3154" s="43"/>
      <c r="P3154" s="19"/>
      <c r="Q3154" s="19"/>
      <c r="R3154" s="19"/>
      <c r="S3154" s="19"/>
      <c r="T3154" s="19"/>
      <c r="U3154" s="19"/>
      <c r="V3154" s="44"/>
      <c r="W3154" s="19"/>
      <c r="X3154" s="19"/>
      <c r="Y3154" s="19"/>
      <c r="Z3154" s="19"/>
      <c r="AA3154" s="19"/>
      <c r="AB3154" s="19"/>
      <c r="AC3154" s="19"/>
      <c r="AD3154" s="19"/>
      <c r="AE3154" s="19"/>
      <c r="AF3154" s="19"/>
      <c r="AG3154" s="19"/>
      <c r="AH3154" s="19"/>
      <c r="AI3154" s="19"/>
      <c r="AJ3154" s="19"/>
      <c r="AK3154" s="19"/>
      <c r="AL3154" s="6" t="str">
        <f t="array" ref="AL3154">IFERROR(IFS(XLOOKUP(B3154, 'Kit Delivery Status'!$U:$U, 'Kit Delivery Status'!$K:$K) = "Complete", "DELIVERED", XLOOKUP(B3154, 'Kit Delivery Status'!$U:$U, 'Kit Delivery Status'!$K:$K) = "Issue", "ISSUE"), "")</f>
        <v/>
      </c>
      <c r="AM3154" s="6"/>
    </row>
    <row r="3155">
      <c r="A3155" s="19"/>
      <c r="B3155" s="19"/>
      <c r="C3155" s="19"/>
      <c r="D3155" s="42"/>
      <c r="E3155" s="19"/>
      <c r="F3155" s="19"/>
      <c r="G3155" s="19"/>
      <c r="H3155" s="19"/>
      <c r="I3155" s="19"/>
      <c r="J3155" s="19"/>
      <c r="K3155" s="19"/>
      <c r="L3155" s="19"/>
      <c r="M3155" s="19"/>
      <c r="N3155" s="19"/>
      <c r="O3155" s="43"/>
      <c r="P3155" s="19"/>
      <c r="Q3155" s="19"/>
      <c r="R3155" s="19"/>
      <c r="S3155" s="19"/>
      <c r="T3155" s="19"/>
      <c r="U3155" s="19"/>
      <c r="V3155" s="44"/>
      <c r="W3155" s="19"/>
      <c r="X3155" s="19"/>
      <c r="Y3155" s="19"/>
      <c r="Z3155" s="19"/>
      <c r="AA3155" s="19"/>
      <c r="AB3155" s="19"/>
      <c r="AC3155" s="19"/>
      <c r="AD3155" s="19"/>
      <c r="AE3155" s="19"/>
      <c r="AF3155" s="19"/>
      <c r="AG3155" s="19"/>
      <c r="AH3155" s="19"/>
      <c r="AI3155" s="19"/>
      <c r="AJ3155" s="19"/>
      <c r="AK3155" s="19"/>
      <c r="AL3155" s="6" t="str">
        <f t="array" ref="AL3155">IFERROR(IFS(XLOOKUP(B3155, 'Kit Delivery Status'!$U:$U, 'Kit Delivery Status'!$K:$K) = "Complete", "DELIVERED", XLOOKUP(B3155, 'Kit Delivery Status'!$U:$U, 'Kit Delivery Status'!$K:$K) = "Issue", "ISSUE"), "")</f>
        <v/>
      </c>
      <c r="AM3155" s="6"/>
    </row>
    <row r="3156">
      <c r="A3156" s="19"/>
      <c r="B3156" s="19"/>
      <c r="C3156" s="19"/>
      <c r="D3156" s="42"/>
      <c r="E3156" s="19"/>
      <c r="F3156" s="19"/>
      <c r="G3156" s="19"/>
      <c r="H3156" s="19"/>
      <c r="I3156" s="19"/>
      <c r="J3156" s="19"/>
      <c r="K3156" s="19"/>
      <c r="L3156" s="19"/>
      <c r="M3156" s="19"/>
      <c r="N3156" s="19"/>
      <c r="O3156" s="43"/>
      <c r="P3156" s="19"/>
      <c r="Q3156" s="19"/>
      <c r="R3156" s="19"/>
      <c r="S3156" s="19"/>
      <c r="T3156" s="19"/>
      <c r="U3156" s="19"/>
      <c r="V3156" s="44"/>
      <c r="W3156" s="19"/>
      <c r="X3156" s="19"/>
      <c r="Y3156" s="19"/>
      <c r="Z3156" s="19"/>
      <c r="AA3156" s="19"/>
      <c r="AB3156" s="19"/>
      <c r="AC3156" s="19"/>
      <c r="AD3156" s="19"/>
      <c r="AE3156" s="19"/>
      <c r="AF3156" s="19"/>
      <c r="AG3156" s="19"/>
      <c r="AH3156" s="19"/>
      <c r="AI3156" s="19"/>
      <c r="AJ3156" s="19"/>
      <c r="AK3156" s="19"/>
      <c r="AL3156" s="6" t="str">
        <f t="array" ref="AL3156">IFERROR(IFS(XLOOKUP(B3156, 'Kit Delivery Status'!$U:$U, 'Kit Delivery Status'!$K:$K) = "Complete", "DELIVERED", XLOOKUP(B3156, 'Kit Delivery Status'!$U:$U, 'Kit Delivery Status'!$K:$K) = "Issue", "ISSUE"), "")</f>
        <v/>
      </c>
      <c r="AM3156" s="6"/>
    </row>
    <row r="3157">
      <c r="A3157" s="19"/>
      <c r="B3157" s="19"/>
      <c r="C3157" s="19"/>
      <c r="D3157" s="42"/>
      <c r="E3157" s="19"/>
      <c r="F3157" s="19"/>
      <c r="G3157" s="19"/>
      <c r="H3157" s="19"/>
      <c r="I3157" s="19"/>
      <c r="J3157" s="19"/>
      <c r="K3157" s="19"/>
      <c r="L3157" s="19"/>
      <c r="M3157" s="19"/>
      <c r="N3157" s="19"/>
      <c r="O3157" s="43"/>
      <c r="P3157" s="19"/>
      <c r="Q3157" s="19"/>
      <c r="R3157" s="19"/>
      <c r="S3157" s="19"/>
      <c r="T3157" s="19"/>
      <c r="U3157" s="19"/>
      <c r="V3157" s="44"/>
      <c r="W3157" s="19"/>
      <c r="X3157" s="19"/>
      <c r="Y3157" s="19"/>
      <c r="Z3157" s="19"/>
      <c r="AA3157" s="19"/>
      <c r="AB3157" s="19"/>
      <c r="AC3157" s="19"/>
      <c r="AD3157" s="19"/>
      <c r="AE3157" s="19"/>
      <c r="AF3157" s="19"/>
      <c r="AG3157" s="19"/>
      <c r="AH3157" s="19"/>
      <c r="AI3157" s="19"/>
      <c r="AJ3157" s="19"/>
      <c r="AK3157" s="19"/>
      <c r="AL3157" s="6" t="str">
        <f t="array" ref="AL3157">IFERROR(IFS(XLOOKUP(B3157, 'Kit Delivery Status'!$U:$U, 'Kit Delivery Status'!$K:$K) = "Complete", "DELIVERED", XLOOKUP(B3157, 'Kit Delivery Status'!$U:$U, 'Kit Delivery Status'!$K:$K) = "Issue", "ISSUE"), "")</f>
        <v/>
      </c>
      <c r="AM3157" s="6"/>
    </row>
    <row r="3158">
      <c r="A3158" s="19"/>
      <c r="B3158" s="19"/>
      <c r="C3158" s="19"/>
      <c r="D3158" s="42"/>
      <c r="E3158" s="19"/>
      <c r="F3158" s="19"/>
      <c r="G3158" s="19"/>
      <c r="H3158" s="19"/>
      <c r="I3158" s="19"/>
      <c r="J3158" s="19"/>
      <c r="K3158" s="19"/>
      <c r="L3158" s="19"/>
      <c r="M3158" s="19"/>
      <c r="N3158" s="19"/>
      <c r="O3158" s="43"/>
      <c r="P3158" s="19"/>
      <c r="Q3158" s="19"/>
      <c r="R3158" s="19"/>
      <c r="S3158" s="19"/>
      <c r="T3158" s="19"/>
      <c r="U3158" s="19"/>
      <c r="V3158" s="44"/>
      <c r="W3158" s="19"/>
      <c r="X3158" s="19"/>
      <c r="Y3158" s="19"/>
      <c r="Z3158" s="19"/>
      <c r="AA3158" s="19"/>
      <c r="AB3158" s="19"/>
      <c r="AC3158" s="19"/>
      <c r="AD3158" s="19"/>
      <c r="AE3158" s="19"/>
      <c r="AF3158" s="19"/>
      <c r="AG3158" s="19"/>
      <c r="AH3158" s="19"/>
      <c r="AI3158" s="19"/>
      <c r="AJ3158" s="19"/>
      <c r="AK3158" s="19"/>
      <c r="AL3158" s="6" t="str">
        <f t="array" ref="AL3158">IFERROR(IFS(XLOOKUP(B3158, 'Kit Delivery Status'!$U:$U, 'Kit Delivery Status'!$K:$K) = "Complete", "DELIVERED", XLOOKUP(B3158, 'Kit Delivery Status'!$U:$U, 'Kit Delivery Status'!$K:$K) = "Issue", "ISSUE"), "")</f>
        <v/>
      </c>
      <c r="AM3158" s="6"/>
    </row>
    <row r="3159">
      <c r="A3159" s="19"/>
      <c r="B3159" s="19"/>
      <c r="C3159" s="19"/>
      <c r="D3159" s="42"/>
      <c r="E3159" s="19"/>
      <c r="F3159" s="19"/>
      <c r="G3159" s="19"/>
      <c r="H3159" s="19"/>
      <c r="I3159" s="19"/>
      <c r="J3159" s="19"/>
      <c r="K3159" s="19"/>
      <c r="L3159" s="19"/>
      <c r="M3159" s="19"/>
      <c r="N3159" s="19"/>
      <c r="O3159" s="43"/>
      <c r="P3159" s="19"/>
      <c r="Q3159" s="19"/>
      <c r="R3159" s="19"/>
      <c r="S3159" s="19"/>
      <c r="T3159" s="19"/>
      <c r="U3159" s="19"/>
      <c r="V3159" s="44"/>
      <c r="W3159" s="19"/>
      <c r="X3159" s="19"/>
      <c r="Y3159" s="19"/>
      <c r="Z3159" s="19"/>
      <c r="AA3159" s="19"/>
      <c r="AB3159" s="19"/>
      <c r="AC3159" s="19"/>
      <c r="AD3159" s="19"/>
      <c r="AE3159" s="19"/>
      <c r="AF3159" s="19"/>
      <c r="AG3159" s="19"/>
      <c r="AH3159" s="19"/>
      <c r="AI3159" s="19"/>
      <c r="AJ3159" s="19"/>
      <c r="AK3159" s="19"/>
      <c r="AL3159" s="6" t="str">
        <f t="array" ref="AL3159">IFERROR(IFS(XLOOKUP(B3159, 'Kit Delivery Status'!$U:$U, 'Kit Delivery Status'!$K:$K) = "Complete", "DELIVERED", XLOOKUP(B3159, 'Kit Delivery Status'!$U:$U, 'Kit Delivery Status'!$K:$K) = "Issue", "ISSUE"), "")</f>
        <v/>
      </c>
      <c r="AM3159" s="6"/>
    </row>
    <row r="3160">
      <c r="A3160" s="19"/>
      <c r="B3160" s="19"/>
      <c r="C3160" s="19"/>
      <c r="D3160" s="42"/>
      <c r="E3160" s="19"/>
      <c r="F3160" s="19"/>
      <c r="G3160" s="19"/>
      <c r="H3160" s="19"/>
      <c r="I3160" s="19"/>
      <c r="J3160" s="19"/>
      <c r="K3160" s="19"/>
      <c r="L3160" s="19"/>
      <c r="M3160" s="19"/>
      <c r="N3160" s="19"/>
      <c r="O3160" s="43"/>
      <c r="P3160" s="19"/>
      <c r="Q3160" s="19"/>
      <c r="R3160" s="19"/>
      <c r="S3160" s="19"/>
      <c r="T3160" s="19"/>
      <c r="U3160" s="19"/>
      <c r="V3160" s="44"/>
      <c r="W3160" s="19"/>
      <c r="X3160" s="19"/>
      <c r="Y3160" s="19"/>
      <c r="Z3160" s="19"/>
      <c r="AA3160" s="19"/>
      <c r="AB3160" s="19"/>
      <c r="AC3160" s="19"/>
      <c r="AD3160" s="19"/>
      <c r="AE3160" s="19"/>
      <c r="AF3160" s="19"/>
      <c r="AG3160" s="19"/>
      <c r="AH3160" s="19"/>
      <c r="AI3160" s="19"/>
      <c r="AJ3160" s="19"/>
      <c r="AK3160" s="19"/>
      <c r="AL3160" s="6" t="str">
        <f t="array" ref="AL3160">IFERROR(IFS(XLOOKUP(B3160, 'Kit Delivery Status'!$U:$U, 'Kit Delivery Status'!$K:$K) = "Complete", "DELIVERED", XLOOKUP(B3160, 'Kit Delivery Status'!$U:$U, 'Kit Delivery Status'!$K:$K) = "Issue", "ISSUE"), "")</f>
        <v/>
      </c>
      <c r="AM3160" s="6"/>
    </row>
    <row r="3161">
      <c r="A3161" s="19"/>
      <c r="B3161" s="19"/>
      <c r="C3161" s="19"/>
      <c r="D3161" s="42"/>
      <c r="E3161" s="19"/>
      <c r="F3161" s="19"/>
      <c r="G3161" s="19"/>
      <c r="H3161" s="19"/>
      <c r="I3161" s="19"/>
      <c r="J3161" s="19"/>
      <c r="K3161" s="19"/>
      <c r="L3161" s="19"/>
      <c r="M3161" s="19"/>
      <c r="N3161" s="19"/>
      <c r="O3161" s="43"/>
      <c r="P3161" s="19"/>
      <c r="Q3161" s="19"/>
      <c r="R3161" s="19"/>
      <c r="S3161" s="19"/>
      <c r="T3161" s="19"/>
      <c r="U3161" s="19"/>
      <c r="V3161" s="44"/>
      <c r="W3161" s="19"/>
      <c r="X3161" s="19"/>
      <c r="Y3161" s="19"/>
      <c r="Z3161" s="19"/>
      <c r="AA3161" s="19"/>
      <c r="AB3161" s="19"/>
      <c r="AC3161" s="19"/>
      <c r="AD3161" s="19"/>
      <c r="AE3161" s="19"/>
      <c r="AF3161" s="19"/>
      <c r="AG3161" s="19"/>
      <c r="AH3161" s="19"/>
      <c r="AI3161" s="19"/>
      <c r="AJ3161" s="19"/>
      <c r="AK3161" s="19"/>
      <c r="AL3161" s="6" t="str">
        <f t="array" ref="AL3161">IFERROR(IFS(XLOOKUP(B3161, 'Kit Delivery Status'!$U:$U, 'Kit Delivery Status'!$K:$K) = "Complete", "DELIVERED", XLOOKUP(B3161, 'Kit Delivery Status'!$U:$U, 'Kit Delivery Status'!$K:$K) = "Issue", "ISSUE"), "")</f>
        <v/>
      </c>
      <c r="AM3161" s="6"/>
    </row>
    <row r="3162">
      <c r="A3162" s="19"/>
      <c r="B3162" s="19"/>
      <c r="C3162" s="19"/>
      <c r="D3162" s="42"/>
      <c r="E3162" s="19"/>
      <c r="F3162" s="19"/>
      <c r="G3162" s="19"/>
      <c r="H3162" s="19"/>
      <c r="I3162" s="19"/>
      <c r="J3162" s="19"/>
      <c r="K3162" s="19"/>
      <c r="L3162" s="19"/>
      <c r="M3162" s="19"/>
      <c r="N3162" s="19"/>
      <c r="O3162" s="43"/>
      <c r="P3162" s="19"/>
      <c r="Q3162" s="19"/>
      <c r="R3162" s="19"/>
      <c r="S3162" s="19"/>
      <c r="T3162" s="19"/>
      <c r="U3162" s="19"/>
      <c r="V3162" s="44"/>
      <c r="W3162" s="19"/>
      <c r="X3162" s="19"/>
      <c r="Y3162" s="19"/>
      <c r="Z3162" s="19"/>
      <c r="AA3162" s="19"/>
      <c r="AB3162" s="19"/>
      <c r="AC3162" s="19"/>
      <c r="AD3162" s="19"/>
      <c r="AE3162" s="19"/>
      <c r="AF3162" s="19"/>
      <c r="AG3162" s="19"/>
      <c r="AH3162" s="19"/>
      <c r="AI3162" s="19"/>
      <c r="AJ3162" s="19"/>
      <c r="AK3162" s="19"/>
      <c r="AL3162" s="6" t="str">
        <f t="array" ref="AL3162">IFERROR(IFS(XLOOKUP(B3162, 'Kit Delivery Status'!$U:$U, 'Kit Delivery Status'!$K:$K) = "Complete", "DELIVERED", XLOOKUP(B3162, 'Kit Delivery Status'!$U:$U, 'Kit Delivery Status'!$K:$K) = "Issue", "ISSUE"), "")</f>
        <v/>
      </c>
      <c r="AM3162" s="6"/>
    </row>
    <row r="3163">
      <c r="A3163" s="19"/>
      <c r="B3163" s="19"/>
      <c r="C3163" s="19"/>
      <c r="D3163" s="42"/>
      <c r="E3163" s="19"/>
      <c r="F3163" s="19"/>
      <c r="G3163" s="19"/>
      <c r="H3163" s="19"/>
      <c r="I3163" s="19"/>
      <c r="J3163" s="19"/>
      <c r="K3163" s="19"/>
      <c r="L3163" s="19"/>
      <c r="M3163" s="19"/>
      <c r="N3163" s="19"/>
      <c r="O3163" s="43"/>
      <c r="P3163" s="19"/>
      <c r="Q3163" s="19"/>
      <c r="R3163" s="19"/>
      <c r="S3163" s="19"/>
      <c r="T3163" s="19"/>
      <c r="U3163" s="19"/>
      <c r="V3163" s="44"/>
      <c r="W3163" s="19"/>
      <c r="X3163" s="19"/>
      <c r="Y3163" s="19"/>
      <c r="Z3163" s="19"/>
      <c r="AA3163" s="19"/>
      <c r="AB3163" s="19"/>
      <c r="AC3163" s="19"/>
      <c r="AD3163" s="19"/>
      <c r="AE3163" s="19"/>
      <c r="AF3163" s="19"/>
      <c r="AG3163" s="19"/>
      <c r="AH3163" s="19"/>
      <c r="AI3163" s="19"/>
      <c r="AJ3163" s="19"/>
      <c r="AK3163" s="19"/>
      <c r="AL3163" s="6" t="str">
        <f t="array" ref="AL3163">IFERROR(IFS(XLOOKUP(B3163, 'Kit Delivery Status'!$U:$U, 'Kit Delivery Status'!$K:$K) = "Complete", "DELIVERED", XLOOKUP(B3163, 'Kit Delivery Status'!$U:$U, 'Kit Delivery Status'!$K:$K) = "Issue", "ISSUE"), "")</f>
        <v/>
      </c>
      <c r="AM3163" s="6"/>
    </row>
    <row r="3164">
      <c r="A3164" s="19"/>
      <c r="B3164" s="19"/>
      <c r="C3164" s="19"/>
      <c r="D3164" s="42"/>
      <c r="E3164" s="19"/>
      <c r="F3164" s="19"/>
      <c r="G3164" s="19"/>
      <c r="H3164" s="19"/>
      <c r="I3164" s="19"/>
      <c r="J3164" s="19"/>
      <c r="K3164" s="19"/>
      <c r="L3164" s="19"/>
      <c r="M3164" s="19"/>
      <c r="N3164" s="19"/>
      <c r="O3164" s="43"/>
      <c r="P3164" s="19"/>
      <c r="Q3164" s="19"/>
      <c r="R3164" s="19"/>
      <c r="S3164" s="19"/>
      <c r="T3164" s="19"/>
      <c r="U3164" s="19"/>
      <c r="V3164" s="44"/>
      <c r="W3164" s="19"/>
      <c r="X3164" s="19"/>
      <c r="Y3164" s="19"/>
      <c r="Z3164" s="19"/>
      <c r="AA3164" s="19"/>
      <c r="AB3164" s="19"/>
      <c r="AC3164" s="19"/>
      <c r="AD3164" s="19"/>
      <c r="AE3164" s="19"/>
      <c r="AF3164" s="19"/>
      <c r="AG3164" s="19"/>
      <c r="AH3164" s="19"/>
      <c r="AI3164" s="19"/>
      <c r="AJ3164" s="19"/>
      <c r="AK3164" s="19"/>
      <c r="AL3164" s="6" t="str">
        <f t="array" ref="AL3164">IFERROR(IFS(XLOOKUP(B3164, 'Kit Delivery Status'!$U:$U, 'Kit Delivery Status'!$K:$K) = "Complete", "DELIVERED", XLOOKUP(B3164, 'Kit Delivery Status'!$U:$U, 'Kit Delivery Status'!$K:$K) = "Issue", "ISSUE"), "")</f>
        <v/>
      </c>
      <c r="AM3164" s="6"/>
    </row>
    <row r="3165">
      <c r="A3165" s="19"/>
      <c r="B3165" s="19"/>
      <c r="C3165" s="19"/>
      <c r="D3165" s="42"/>
      <c r="E3165" s="19"/>
      <c r="F3165" s="19"/>
      <c r="G3165" s="19"/>
      <c r="H3165" s="19"/>
      <c r="I3165" s="19"/>
      <c r="J3165" s="19"/>
      <c r="K3165" s="19"/>
      <c r="L3165" s="19"/>
      <c r="M3165" s="19"/>
      <c r="N3165" s="19"/>
      <c r="O3165" s="43"/>
      <c r="P3165" s="19"/>
      <c r="Q3165" s="19"/>
      <c r="R3165" s="19"/>
      <c r="S3165" s="19"/>
      <c r="T3165" s="19"/>
      <c r="U3165" s="19"/>
      <c r="V3165" s="44"/>
      <c r="W3165" s="19"/>
      <c r="X3165" s="19"/>
      <c r="Y3165" s="19"/>
      <c r="Z3165" s="19"/>
      <c r="AA3165" s="19"/>
      <c r="AB3165" s="19"/>
      <c r="AC3165" s="19"/>
      <c r="AD3165" s="19"/>
      <c r="AE3165" s="19"/>
      <c r="AF3165" s="19"/>
      <c r="AG3165" s="19"/>
      <c r="AH3165" s="19"/>
      <c r="AI3165" s="19"/>
      <c r="AJ3165" s="19"/>
      <c r="AK3165" s="19"/>
      <c r="AL3165" s="6" t="str">
        <f t="array" ref="AL3165">IFERROR(IFS(XLOOKUP(B3165, 'Kit Delivery Status'!$U:$U, 'Kit Delivery Status'!$K:$K) = "Complete", "DELIVERED", XLOOKUP(B3165, 'Kit Delivery Status'!$U:$U, 'Kit Delivery Status'!$K:$K) = "Issue", "ISSUE"), "")</f>
        <v/>
      </c>
      <c r="AM3165" s="6"/>
    </row>
    <row r="3166">
      <c r="A3166" s="19"/>
      <c r="B3166" s="19"/>
      <c r="C3166" s="19"/>
      <c r="D3166" s="42"/>
      <c r="E3166" s="19"/>
      <c r="F3166" s="19"/>
      <c r="G3166" s="19"/>
      <c r="H3166" s="19"/>
      <c r="I3166" s="19"/>
      <c r="J3166" s="19"/>
      <c r="K3166" s="19"/>
      <c r="L3166" s="19"/>
      <c r="M3166" s="19"/>
      <c r="N3166" s="19"/>
      <c r="O3166" s="43"/>
      <c r="P3166" s="19"/>
      <c r="Q3166" s="19"/>
      <c r="R3166" s="19"/>
      <c r="S3166" s="19"/>
      <c r="T3166" s="19"/>
      <c r="U3166" s="19"/>
      <c r="V3166" s="44"/>
      <c r="W3166" s="19"/>
      <c r="X3166" s="19"/>
      <c r="Y3166" s="19"/>
      <c r="Z3166" s="19"/>
      <c r="AA3166" s="19"/>
      <c r="AB3166" s="19"/>
      <c r="AC3166" s="19"/>
      <c r="AD3166" s="19"/>
      <c r="AE3166" s="19"/>
      <c r="AF3166" s="19"/>
      <c r="AG3166" s="19"/>
      <c r="AH3166" s="19"/>
      <c r="AI3166" s="19"/>
      <c r="AJ3166" s="19"/>
      <c r="AK3166" s="19"/>
      <c r="AL3166" s="6" t="str">
        <f t="array" ref="AL3166">IFERROR(IFS(XLOOKUP(B3166, 'Kit Delivery Status'!$U:$U, 'Kit Delivery Status'!$K:$K) = "Complete", "DELIVERED", XLOOKUP(B3166, 'Kit Delivery Status'!$U:$U, 'Kit Delivery Status'!$K:$K) = "Issue", "ISSUE"), "")</f>
        <v/>
      </c>
      <c r="AM3166" s="6"/>
    </row>
    <row r="3167">
      <c r="A3167" s="19"/>
      <c r="B3167" s="19"/>
      <c r="C3167" s="19"/>
      <c r="D3167" s="42"/>
      <c r="E3167" s="19"/>
      <c r="F3167" s="19"/>
      <c r="G3167" s="19"/>
      <c r="H3167" s="19"/>
      <c r="I3167" s="19"/>
      <c r="J3167" s="19"/>
      <c r="K3167" s="19"/>
      <c r="L3167" s="19"/>
      <c r="M3167" s="19"/>
      <c r="N3167" s="19"/>
      <c r="O3167" s="43"/>
      <c r="P3167" s="19"/>
      <c r="Q3167" s="19"/>
      <c r="R3167" s="19"/>
      <c r="S3167" s="19"/>
      <c r="T3167" s="19"/>
      <c r="U3167" s="19"/>
      <c r="V3167" s="44"/>
      <c r="W3167" s="19"/>
      <c r="X3167" s="19"/>
      <c r="Y3167" s="19"/>
      <c r="Z3167" s="19"/>
      <c r="AA3167" s="19"/>
      <c r="AB3167" s="19"/>
      <c r="AC3167" s="19"/>
      <c r="AD3167" s="19"/>
      <c r="AE3167" s="19"/>
      <c r="AF3167" s="19"/>
      <c r="AG3167" s="19"/>
      <c r="AH3167" s="19"/>
      <c r="AI3167" s="19"/>
      <c r="AJ3167" s="19"/>
      <c r="AK3167" s="19"/>
      <c r="AL3167" s="6" t="str">
        <f t="array" ref="AL3167">IFERROR(IFS(XLOOKUP(B3167, 'Kit Delivery Status'!$U:$U, 'Kit Delivery Status'!$K:$K) = "Complete", "DELIVERED", XLOOKUP(B3167, 'Kit Delivery Status'!$U:$U, 'Kit Delivery Status'!$K:$K) = "Issue", "ISSUE"), "")</f>
        <v/>
      </c>
      <c r="AM3167" s="6"/>
    </row>
    <row r="3168">
      <c r="A3168" s="19"/>
      <c r="B3168" s="19"/>
      <c r="C3168" s="19"/>
      <c r="D3168" s="42"/>
      <c r="E3168" s="19"/>
      <c r="F3168" s="19"/>
      <c r="G3168" s="19"/>
      <c r="H3168" s="19"/>
      <c r="I3168" s="19"/>
      <c r="J3168" s="19"/>
      <c r="K3168" s="19"/>
      <c r="L3168" s="19"/>
      <c r="M3168" s="19"/>
      <c r="N3168" s="19"/>
      <c r="O3168" s="43"/>
      <c r="P3168" s="19"/>
      <c r="Q3168" s="19"/>
      <c r="R3168" s="19"/>
      <c r="S3168" s="19"/>
      <c r="T3168" s="19"/>
      <c r="U3168" s="19"/>
      <c r="V3168" s="44"/>
      <c r="W3168" s="19"/>
      <c r="X3168" s="19"/>
      <c r="Y3168" s="19"/>
      <c r="Z3168" s="19"/>
      <c r="AA3168" s="19"/>
      <c r="AB3168" s="19"/>
      <c r="AC3168" s="19"/>
      <c r="AD3168" s="19"/>
      <c r="AE3168" s="19"/>
      <c r="AF3168" s="19"/>
      <c r="AG3168" s="19"/>
      <c r="AH3168" s="19"/>
      <c r="AI3168" s="19"/>
      <c r="AJ3168" s="19"/>
      <c r="AK3168" s="19"/>
      <c r="AL3168" s="6" t="str">
        <f t="array" ref="AL3168">IFERROR(IFS(XLOOKUP(B3168, 'Kit Delivery Status'!$U:$U, 'Kit Delivery Status'!$K:$K) = "Complete", "DELIVERED", XLOOKUP(B3168, 'Kit Delivery Status'!$U:$U, 'Kit Delivery Status'!$K:$K) = "Issue", "ISSUE"), "")</f>
        <v/>
      </c>
      <c r="AM3168" s="6"/>
    </row>
    <row r="3169">
      <c r="A3169" s="19"/>
      <c r="B3169" s="19"/>
      <c r="C3169" s="19"/>
      <c r="D3169" s="42"/>
      <c r="E3169" s="19"/>
      <c r="F3169" s="19"/>
      <c r="G3169" s="19"/>
      <c r="H3169" s="19"/>
      <c r="I3169" s="19"/>
      <c r="J3169" s="19"/>
      <c r="K3169" s="19"/>
      <c r="L3169" s="19"/>
      <c r="M3169" s="19"/>
      <c r="N3169" s="19"/>
      <c r="O3169" s="43"/>
      <c r="P3169" s="19"/>
      <c r="Q3169" s="19"/>
      <c r="R3169" s="19"/>
      <c r="S3169" s="19"/>
      <c r="T3169" s="19"/>
      <c r="U3169" s="19"/>
      <c r="V3169" s="44"/>
      <c r="W3169" s="19"/>
      <c r="X3169" s="19"/>
      <c r="Y3169" s="19"/>
      <c r="Z3169" s="19"/>
      <c r="AA3169" s="19"/>
      <c r="AB3169" s="19"/>
      <c r="AC3169" s="19"/>
      <c r="AD3169" s="19"/>
      <c r="AE3169" s="19"/>
      <c r="AF3169" s="19"/>
      <c r="AG3169" s="19"/>
      <c r="AH3169" s="19"/>
      <c r="AI3169" s="19"/>
      <c r="AJ3169" s="19"/>
      <c r="AK3169" s="19"/>
      <c r="AL3169" s="6" t="str">
        <f t="array" ref="AL3169">IFERROR(IFS(XLOOKUP(B3169, 'Kit Delivery Status'!$U:$U, 'Kit Delivery Status'!$K:$K) = "Complete", "DELIVERED", XLOOKUP(B3169, 'Kit Delivery Status'!$U:$U, 'Kit Delivery Status'!$K:$K) = "Issue", "ISSUE"), "")</f>
        <v/>
      </c>
      <c r="AM3169" s="6"/>
    </row>
    <row r="3170">
      <c r="A3170" s="19"/>
      <c r="B3170" s="19"/>
      <c r="C3170" s="19"/>
      <c r="D3170" s="42"/>
      <c r="E3170" s="19"/>
      <c r="F3170" s="19"/>
      <c r="G3170" s="19"/>
      <c r="H3170" s="19"/>
      <c r="I3170" s="19"/>
      <c r="J3170" s="19"/>
      <c r="K3170" s="19"/>
      <c r="L3170" s="19"/>
      <c r="M3170" s="19"/>
      <c r="N3170" s="19"/>
      <c r="O3170" s="43"/>
      <c r="P3170" s="19"/>
      <c r="Q3170" s="19"/>
      <c r="R3170" s="19"/>
      <c r="S3170" s="19"/>
      <c r="T3170" s="19"/>
      <c r="U3170" s="19"/>
      <c r="V3170" s="44"/>
      <c r="W3170" s="19"/>
      <c r="X3170" s="19"/>
      <c r="Y3170" s="19"/>
      <c r="Z3170" s="19"/>
      <c r="AA3170" s="19"/>
      <c r="AB3170" s="19"/>
      <c r="AC3170" s="19"/>
      <c r="AD3170" s="19"/>
      <c r="AE3170" s="19"/>
      <c r="AF3170" s="19"/>
      <c r="AG3170" s="19"/>
      <c r="AH3170" s="19"/>
      <c r="AI3170" s="19"/>
      <c r="AJ3170" s="19"/>
      <c r="AK3170" s="19"/>
      <c r="AL3170" s="6" t="str">
        <f t="array" ref="AL3170">IFERROR(IFS(XLOOKUP(B3170, 'Kit Delivery Status'!$U:$U, 'Kit Delivery Status'!$K:$K) = "Complete", "DELIVERED", XLOOKUP(B3170, 'Kit Delivery Status'!$U:$U, 'Kit Delivery Status'!$K:$K) = "Issue", "ISSUE"), "")</f>
        <v/>
      </c>
      <c r="AM3170" s="6"/>
    </row>
    <row r="3171">
      <c r="A3171" s="19"/>
      <c r="B3171" s="19"/>
      <c r="C3171" s="19"/>
      <c r="D3171" s="42"/>
      <c r="E3171" s="19"/>
      <c r="F3171" s="19"/>
      <c r="G3171" s="19"/>
      <c r="H3171" s="19"/>
      <c r="I3171" s="19"/>
      <c r="J3171" s="19"/>
      <c r="K3171" s="19"/>
      <c r="L3171" s="19"/>
      <c r="M3171" s="19"/>
      <c r="N3171" s="19"/>
      <c r="O3171" s="43"/>
      <c r="P3171" s="19"/>
      <c r="Q3171" s="19"/>
      <c r="R3171" s="19"/>
      <c r="S3171" s="19"/>
      <c r="T3171" s="19"/>
      <c r="U3171" s="19"/>
      <c r="V3171" s="44"/>
      <c r="W3171" s="19"/>
      <c r="X3171" s="19"/>
      <c r="Y3171" s="19"/>
      <c r="Z3171" s="19"/>
      <c r="AA3171" s="19"/>
      <c r="AB3171" s="19"/>
      <c r="AC3171" s="19"/>
      <c r="AD3171" s="19"/>
      <c r="AE3171" s="19"/>
      <c r="AF3171" s="19"/>
      <c r="AG3171" s="19"/>
      <c r="AH3171" s="19"/>
      <c r="AI3171" s="19"/>
      <c r="AJ3171" s="19"/>
      <c r="AK3171" s="19"/>
      <c r="AL3171" s="6" t="str">
        <f t="array" ref="AL3171">IFERROR(IFS(XLOOKUP(B3171, 'Kit Delivery Status'!$U:$U, 'Kit Delivery Status'!$K:$K) = "Complete", "DELIVERED", XLOOKUP(B3171, 'Kit Delivery Status'!$U:$U, 'Kit Delivery Status'!$K:$K) = "Issue", "ISSUE"), "")</f>
        <v/>
      </c>
      <c r="AM3171" s="6"/>
    </row>
    <row r="3172">
      <c r="A3172" s="19"/>
      <c r="B3172" s="19"/>
      <c r="C3172" s="19"/>
      <c r="D3172" s="42"/>
      <c r="E3172" s="19"/>
      <c r="F3172" s="19"/>
      <c r="G3172" s="19"/>
      <c r="H3172" s="19"/>
      <c r="I3172" s="19"/>
      <c r="J3172" s="19"/>
      <c r="K3172" s="19"/>
      <c r="L3172" s="19"/>
      <c r="M3172" s="19"/>
      <c r="N3172" s="19"/>
      <c r="O3172" s="43"/>
      <c r="P3172" s="19"/>
      <c r="Q3172" s="19"/>
      <c r="R3172" s="19"/>
      <c r="S3172" s="19"/>
      <c r="T3172" s="19"/>
      <c r="U3172" s="19"/>
      <c r="V3172" s="44"/>
      <c r="W3172" s="19"/>
      <c r="X3172" s="19"/>
      <c r="Y3172" s="19"/>
      <c r="Z3172" s="19"/>
      <c r="AA3172" s="19"/>
      <c r="AB3172" s="19"/>
      <c r="AC3172" s="19"/>
      <c r="AD3172" s="19"/>
      <c r="AE3172" s="19"/>
      <c r="AF3172" s="19"/>
      <c r="AG3172" s="19"/>
      <c r="AH3172" s="19"/>
      <c r="AI3172" s="19"/>
      <c r="AJ3172" s="19"/>
      <c r="AK3172" s="19"/>
      <c r="AL3172" s="6" t="str">
        <f t="array" ref="AL3172">IFERROR(IFS(XLOOKUP(B3172, 'Kit Delivery Status'!$U:$U, 'Kit Delivery Status'!$K:$K) = "Complete", "DELIVERED", XLOOKUP(B3172, 'Kit Delivery Status'!$U:$U, 'Kit Delivery Status'!$K:$K) = "Issue", "ISSUE"), "")</f>
        <v/>
      </c>
      <c r="AM3172" s="6"/>
    </row>
    <row r="3173">
      <c r="A3173" s="19"/>
      <c r="B3173" s="19"/>
      <c r="C3173" s="19"/>
      <c r="D3173" s="42"/>
      <c r="E3173" s="19"/>
      <c r="F3173" s="19"/>
      <c r="G3173" s="19"/>
      <c r="H3173" s="19"/>
      <c r="I3173" s="19"/>
      <c r="J3173" s="19"/>
      <c r="K3173" s="19"/>
      <c r="L3173" s="19"/>
      <c r="M3173" s="19"/>
      <c r="N3173" s="19"/>
      <c r="O3173" s="43"/>
      <c r="P3173" s="19"/>
      <c r="Q3173" s="19"/>
      <c r="R3173" s="19"/>
      <c r="S3173" s="19"/>
      <c r="T3173" s="19"/>
      <c r="U3173" s="19"/>
      <c r="V3173" s="44"/>
      <c r="W3173" s="19"/>
      <c r="X3173" s="19"/>
      <c r="Y3173" s="19"/>
      <c r="Z3173" s="19"/>
      <c r="AA3173" s="19"/>
      <c r="AB3173" s="19"/>
      <c r="AC3173" s="19"/>
      <c r="AD3173" s="19"/>
      <c r="AE3173" s="19"/>
      <c r="AF3173" s="19"/>
      <c r="AG3173" s="19"/>
      <c r="AH3173" s="19"/>
      <c r="AI3173" s="19"/>
      <c r="AJ3173" s="19"/>
      <c r="AK3173" s="19"/>
      <c r="AL3173" s="6" t="str">
        <f t="array" ref="AL3173">IFERROR(IFS(XLOOKUP(B3173, 'Kit Delivery Status'!$U:$U, 'Kit Delivery Status'!$K:$K) = "Complete", "DELIVERED", XLOOKUP(B3173, 'Kit Delivery Status'!$U:$U, 'Kit Delivery Status'!$K:$K) = "Issue", "ISSUE"), "")</f>
        <v/>
      </c>
      <c r="AM3173" s="6"/>
    </row>
    <row r="3174">
      <c r="A3174" s="19"/>
      <c r="B3174" s="19"/>
      <c r="C3174" s="19"/>
      <c r="D3174" s="42"/>
      <c r="E3174" s="19"/>
      <c r="F3174" s="19"/>
      <c r="G3174" s="19"/>
      <c r="H3174" s="19"/>
      <c r="I3174" s="19"/>
      <c r="J3174" s="19"/>
      <c r="K3174" s="19"/>
      <c r="L3174" s="19"/>
      <c r="M3174" s="19"/>
      <c r="N3174" s="19"/>
      <c r="O3174" s="43"/>
      <c r="P3174" s="19"/>
      <c r="Q3174" s="19"/>
      <c r="R3174" s="19"/>
      <c r="S3174" s="19"/>
      <c r="T3174" s="19"/>
      <c r="U3174" s="19"/>
      <c r="V3174" s="44"/>
      <c r="W3174" s="19"/>
      <c r="X3174" s="19"/>
      <c r="Y3174" s="19"/>
      <c r="Z3174" s="19"/>
      <c r="AA3174" s="19"/>
      <c r="AB3174" s="19"/>
      <c r="AC3174" s="19"/>
      <c r="AD3174" s="19"/>
      <c r="AE3174" s="19"/>
      <c r="AF3174" s="19"/>
      <c r="AG3174" s="19"/>
      <c r="AH3174" s="19"/>
      <c r="AI3174" s="19"/>
      <c r="AJ3174" s="19"/>
      <c r="AK3174" s="19"/>
      <c r="AL3174" s="6" t="str">
        <f t="array" ref="AL3174">IFERROR(IFS(XLOOKUP(B3174, 'Kit Delivery Status'!$U:$U, 'Kit Delivery Status'!$K:$K) = "Complete", "DELIVERED", XLOOKUP(B3174, 'Kit Delivery Status'!$U:$U, 'Kit Delivery Status'!$K:$K) = "Issue", "ISSUE"), "")</f>
        <v/>
      </c>
      <c r="AM3174" s="6"/>
    </row>
    <row r="3175">
      <c r="A3175" s="19"/>
      <c r="B3175" s="19"/>
      <c r="C3175" s="19"/>
      <c r="D3175" s="42"/>
      <c r="E3175" s="19"/>
      <c r="F3175" s="19"/>
      <c r="G3175" s="19"/>
      <c r="H3175" s="19"/>
      <c r="I3175" s="19"/>
      <c r="J3175" s="19"/>
      <c r="K3175" s="19"/>
      <c r="L3175" s="19"/>
      <c r="M3175" s="19"/>
      <c r="N3175" s="19"/>
      <c r="O3175" s="43"/>
      <c r="P3175" s="19"/>
      <c r="Q3175" s="19"/>
      <c r="R3175" s="19"/>
      <c r="S3175" s="19"/>
      <c r="T3175" s="19"/>
      <c r="U3175" s="19"/>
      <c r="V3175" s="44"/>
      <c r="W3175" s="19"/>
      <c r="X3175" s="19"/>
      <c r="Y3175" s="19"/>
      <c r="Z3175" s="19"/>
      <c r="AA3175" s="19"/>
      <c r="AB3175" s="19"/>
      <c r="AC3175" s="19"/>
      <c r="AD3175" s="19"/>
      <c r="AE3175" s="19"/>
      <c r="AF3175" s="19"/>
      <c r="AG3175" s="19"/>
      <c r="AH3175" s="19"/>
      <c r="AI3175" s="19"/>
      <c r="AJ3175" s="19"/>
      <c r="AK3175" s="19"/>
      <c r="AL3175" s="6" t="str">
        <f t="array" ref="AL3175">IFERROR(IFS(XLOOKUP(B3175, 'Kit Delivery Status'!$U:$U, 'Kit Delivery Status'!$K:$K) = "Complete", "DELIVERED", XLOOKUP(B3175, 'Kit Delivery Status'!$U:$U, 'Kit Delivery Status'!$K:$K) = "Issue", "ISSUE"), "")</f>
        <v/>
      </c>
      <c r="AM3175" s="6"/>
    </row>
    <row r="3176">
      <c r="A3176" s="19"/>
      <c r="B3176" s="19"/>
      <c r="C3176" s="19"/>
      <c r="D3176" s="42"/>
      <c r="E3176" s="19"/>
      <c r="F3176" s="19"/>
      <c r="G3176" s="19"/>
      <c r="H3176" s="19"/>
      <c r="I3176" s="19"/>
      <c r="J3176" s="19"/>
      <c r="K3176" s="19"/>
      <c r="L3176" s="19"/>
      <c r="M3176" s="19"/>
      <c r="N3176" s="19"/>
      <c r="O3176" s="43"/>
      <c r="P3176" s="19"/>
      <c r="Q3176" s="19"/>
      <c r="R3176" s="19"/>
      <c r="S3176" s="19"/>
      <c r="T3176" s="19"/>
      <c r="U3176" s="19"/>
      <c r="V3176" s="44"/>
      <c r="W3176" s="19"/>
      <c r="X3176" s="19"/>
      <c r="Y3176" s="19"/>
      <c r="Z3176" s="19"/>
      <c r="AA3176" s="19"/>
      <c r="AB3176" s="19"/>
      <c r="AC3176" s="19"/>
      <c r="AD3176" s="19"/>
      <c r="AE3176" s="19"/>
      <c r="AF3176" s="19"/>
      <c r="AG3176" s="19"/>
      <c r="AH3176" s="19"/>
      <c r="AI3176" s="19"/>
      <c r="AJ3176" s="19"/>
      <c r="AK3176" s="19"/>
      <c r="AL3176" s="6" t="str">
        <f t="array" ref="AL3176">IFERROR(IFS(XLOOKUP(B3176, 'Kit Delivery Status'!$U:$U, 'Kit Delivery Status'!$K:$K) = "Complete", "DELIVERED", XLOOKUP(B3176, 'Kit Delivery Status'!$U:$U, 'Kit Delivery Status'!$K:$K) = "Issue", "ISSUE"), "")</f>
        <v/>
      </c>
      <c r="AM3176" s="6"/>
    </row>
    <row r="3177">
      <c r="A3177" s="19"/>
      <c r="B3177" s="19"/>
      <c r="C3177" s="19"/>
      <c r="D3177" s="42"/>
      <c r="E3177" s="19"/>
      <c r="F3177" s="19"/>
      <c r="G3177" s="19"/>
      <c r="H3177" s="19"/>
      <c r="I3177" s="19"/>
      <c r="J3177" s="19"/>
      <c r="K3177" s="19"/>
      <c r="L3177" s="19"/>
      <c r="M3177" s="19"/>
      <c r="N3177" s="19"/>
      <c r="O3177" s="43"/>
      <c r="P3177" s="19"/>
      <c r="Q3177" s="19"/>
      <c r="R3177" s="19"/>
      <c r="S3177" s="19"/>
      <c r="T3177" s="19"/>
      <c r="U3177" s="19"/>
      <c r="V3177" s="44"/>
      <c r="W3177" s="19"/>
      <c r="X3177" s="19"/>
      <c r="Y3177" s="19"/>
      <c r="Z3177" s="19"/>
      <c r="AA3177" s="19"/>
      <c r="AB3177" s="19"/>
      <c r="AC3177" s="19"/>
      <c r="AD3177" s="19"/>
      <c r="AE3177" s="19"/>
      <c r="AF3177" s="19"/>
      <c r="AG3177" s="19"/>
      <c r="AH3177" s="19"/>
      <c r="AI3177" s="19"/>
      <c r="AJ3177" s="19"/>
      <c r="AK3177" s="19"/>
      <c r="AL3177" s="6" t="str">
        <f t="array" ref="AL3177">IFERROR(IFS(XLOOKUP(B3177, 'Kit Delivery Status'!$U:$U, 'Kit Delivery Status'!$K:$K) = "Complete", "DELIVERED", XLOOKUP(B3177, 'Kit Delivery Status'!$U:$U, 'Kit Delivery Status'!$K:$K) = "Issue", "ISSUE"), "")</f>
        <v/>
      </c>
      <c r="AM3177" s="6"/>
    </row>
    <row r="3178">
      <c r="A3178" s="19"/>
      <c r="B3178" s="19"/>
      <c r="C3178" s="19"/>
      <c r="D3178" s="42"/>
      <c r="E3178" s="19"/>
      <c r="F3178" s="19"/>
      <c r="G3178" s="19"/>
      <c r="H3178" s="19"/>
      <c r="I3178" s="19"/>
      <c r="J3178" s="19"/>
      <c r="K3178" s="19"/>
      <c r="L3178" s="19"/>
      <c r="M3178" s="19"/>
      <c r="N3178" s="19"/>
      <c r="O3178" s="43"/>
      <c r="P3178" s="19"/>
      <c r="Q3178" s="19"/>
      <c r="R3178" s="19"/>
      <c r="S3178" s="19"/>
      <c r="T3178" s="19"/>
      <c r="U3178" s="19"/>
      <c r="V3178" s="44"/>
      <c r="W3178" s="19"/>
      <c r="X3178" s="19"/>
      <c r="Y3178" s="19"/>
      <c r="Z3178" s="19"/>
      <c r="AA3178" s="19"/>
      <c r="AB3178" s="19"/>
      <c r="AC3178" s="19"/>
      <c r="AD3178" s="19"/>
      <c r="AE3178" s="19"/>
      <c r="AF3178" s="19"/>
      <c r="AG3178" s="19"/>
      <c r="AH3178" s="19"/>
      <c r="AI3178" s="19"/>
      <c r="AJ3178" s="19"/>
      <c r="AK3178" s="19"/>
      <c r="AL3178" s="6" t="str">
        <f t="array" ref="AL3178">IFERROR(IFS(XLOOKUP(B3178, 'Kit Delivery Status'!$U:$U, 'Kit Delivery Status'!$K:$K) = "Complete", "DELIVERED", XLOOKUP(B3178, 'Kit Delivery Status'!$U:$U, 'Kit Delivery Status'!$K:$K) = "Issue", "ISSUE"), "")</f>
        <v/>
      </c>
      <c r="AM3178" s="6"/>
    </row>
    <row r="3179">
      <c r="A3179" s="19"/>
      <c r="B3179" s="19"/>
      <c r="C3179" s="19"/>
      <c r="D3179" s="42"/>
      <c r="E3179" s="19"/>
      <c r="F3179" s="19"/>
      <c r="G3179" s="19"/>
      <c r="H3179" s="19"/>
      <c r="I3179" s="19"/>
      <c r="J3179" s="19"/>
      <c r="K3179" s="19"/>
      <c r="L3179" s="19"/>
      <c r="M3179" s="19"/>
      <c r="N3179" s="19"/>
      <c r="O3179" s="43"/>
      <c r="P3179" s="19"/>
      <c r="Q3179" s="19"/>
      <c r="R3179" s="19"/>
      <c r="S3179" s="19"/>
      <c r="T3179" s="19"/>
      <c r="U3179" s="19"/>
      <c r="V3179" s="44"/>
      <c r="W3179" s="19"/>
      <c r="X3179" s="19"/>
      <c r="Y3179" s="19"/>
      <c r="Z3179" s="19"/>
      <c r="AA3179" s="19"/>
      <c r="AB3179" s="19"/>
      <c r="AC3179" s="19"/>
      <c r="AD3179" s="19"/>
      <c r="AE3179" s="19"/>
      <c r="AF3179" s="19"/>
      <c r="AG3179" s="19"/>
      <c r="AH3179" s="19"/>
      <c r="AI3179" s="19"/>
      <c r="AJ3179" s="19"/>
      <c r="AK3179" s="19"/>
      <c r="AL3179" s="6" t="str">
        <f t="array" ref="AL3179">IFERROR(IFS(XLOOKUP(B3179, 'Kit Delivery Status'!$U:$U, 'Kit Delivery Status'!$K:$K) = "Complete", "DELIVERED", XLOOKUP(B3179, 'Kit Delivery Status'!$U:$U, 'Kit Delivery Status'!$K:$K) = "Issue", "ISSUE"), "")</f>
        <v/>
      </c>
      <c r="AM3179" s="6"/>
    </row>
    <row r="3180">
      <c r="A3180" s="19"/>
      <c r="B3180" s="19"/>
      <c r="C3180" s="19"/>
      <c r="D3180" s="42"/>
      <c r="E3180" s="19"/>
      <c r="F3180" s="19"/>
      <c r="G3180" s="19"/>
      <c r="H3180" s="19"/>
      <c r="I3180" s="19"/>
      <c r="J3180" s="19"/>
      <c r="K3180" s="19"/>
      <c r="L3180" s="19"/>
      <c r="M3180" s="19"/>
      <c r="N3180" s="19"/>
      <c r="O3180" s="43"/>
      <c r="P3180" s="19"/>
      <c r="Q3180" s="19"/>
      <c r="R3180" s="19"/>
      <c r="S3180" s="19"/>
      <c r="T3180" s="19"/>
      <c r="U3180" s="19"/>
      <c r="V3180" s="44"/>
      <c r="W3180" s="19"/>
      <c r="X3180" s="19"/>
      <c r="Y3180" s="19"/>
      <c r="Z3180" s="19"/>
      <c r="AA3180" s="19"/>
      <c r="AB3180" s="19"/>
      <c r="AC3180" s="19"/>
      <c r="AD3180" s="19"/>
      <c r="AE3180" s="19"/>
      <c r="AF3180" s="19"/>
      <c r="AG3180" s="19"/>
      <c r="AH3180" s="19"/>
      <c r="AI3180" s="19"/>
      <c r="AJ3180" s="19"/>
      <c r="AK3180" s="19"/>
      <c r="AL3180" s="6" t="str">
        <f t="array" ref="AL3180">IFERROR(IFS(XLOOKUP(B3180, 'Kit Delivery Status'!$U:$U, 'Kit Delivery Status'!$K:$K) = "Complete", "DELIVERED", XLOOKUP(B3180, 'Kit Delivery Status'!$U:$U, 'Kit Delivery Status'!$K:$K) = "Issue", "ISSUE"), "")</f>
        <v/>
      </c>
      <c r="AM3180" s="6"/>
    </row>
    <row r="3181">
      <c r="A3181" s="19"/>
      <c r="B3181" s="19"/>
      <c r="C3181" s="19"/>
      <c r="D3181" s="42"/>
      <c r="E3181" s="19"/>
      <c r="F3181" s="19"/>
      <c r="G3181" s="19"/>
      <c r="H3181" s="19"/>
      <c r="I3181" s="19"/>
      <c r="J3181" s="19"/>
      <c r="K3181" s="19"/>
      <c r="L3181" s="19"/>
      <c r="M3181" s="19"/>
      <c r="N3181" s="19"/>
      <c r="O3181" s="43"/>
      <c r="P3181" s="19"/>
      <c r="Q3181" s="19"/>
      <c r="R3181" s="19"/>
      <c r="S3181" s="19"/>
      <c r="T3181" s="19"/>
      <c r="U3181" s="19"/>
      <c r="V3181" s="44"/>
      <c r="W3181" s="19"/>
      <c r="X3181" s="19"/>
      <c r="Y3181" s="19"/>
      <c r="Z3181" s="19"/>
      <c r="AA3181" s="19"/>
      <c r="AB3181" s="19"/>
      <c r="AC3181" s="19"/>
      <c r="AD3181" s="19"/>
      <c r="AE3181" s="19"/>
      <c r="AF3181" s="19"/>
      <c r="AG3181" s="19"/>
      <c r="AH3181" s="19"/>
      <c r="AI3181" s="19"/>
      <c r="AJ3181" s="19"/>
      <c r="AK3181" s="19"/>
      <c r="AL3181" s="6" t="str">
        <f t="array" ref="AL3181">IFERROR(IFS(XLOOKUP(B3181, 'Kit Delivery Status'!$U:$U, 'Kit Delivery Status'!$K:$K) = "Complete", "DELIVERED", XLOOKUP(B3181, 'Kit Delivery Status'!$U:$U, 'Kit Delivery Status'!$K:$K) = "Issue", "ISSUE"), "")</f>
        <v/>
      </c>
      <c r="AM3181" s="6"/>
    </row>
    <row r="3182">
      <c r="A3182" s="19"/>
      <c r="B3182" s="19"/>
      <c r="C3182" s="19"/>
      <c r="D3182" s="42"/>
      <c r="E3182" s="19"/>
      <c r="F3182" s="19"/>
      <c r="G3182" s="19"/>
      <c r="H3182" s="19"/>
      <c r="I3182" s="19"/>
      <c r="J3182" s="19"/>
      <c r="K3182" s="19"/>
      <c r="L3182" s="19"/>
      <c r="M3182" s="19"/>
      <c r="N3182" s="19"/>
      <c r="O3182" s="43"/>
      <c r="P3182" s="19"/>
      <c r="Q3182" s="19"/>
      <c r="R3182" s="19"/>
      <c r="S3182" s="19"/>
      <c r="T3182" s="19"/>
      <c r="U3182" s="19"/>
      <c r="V3182" s="44"/>
      <c r="W3182" s="19"/>
      <c r="X3182" s="19"/>
      <c r="Y3182" s="19"/>
      <c r="Z3182" s="19"/>
      <c r="AA3182" s="19"/>
      <c r="AB3182" s="19"/>
      <c r="AC3182" s="19"/>
      <c r="AD3182" s="19"/>
      <c r="AE3182" s="19"/>
      <c r="AF3182" s="19"/>
      <c r="AG3182" s="19"/>
      <c r="AH3182" s="19"/>
      <c r="AI3182" s="19"/>
      <c r="AJ3182" s="19"/>
      <c r="AK3182" s="19"/>
      <c r="AL3182" s="6" t="str">
        <f t="array" ref="AL3182">IFERROR(IFS(XLOOKUP(B3182, 'Kit Delivery Status'!$U:$U, 'Kit Delivery Status'!$K:$K) = "Complete", "DELIVERED", XLOOKUP(B3182, 'Kit Delivery Status'!$U:$U, 'Kit Delivery Status'!$K:$K) = "Issue", "ISSUE"), "")</f>
        <v/>
      </c>
      <c r="AM3182" s="6"/>
    </row>
    <row r="3183">
      <c r="A3183" s="19"/>
      <c r="B3183" s="19"/>
      <c r="C3183" s="19"/>
      <c r="D3183" s="42"/>
      <c r="E3183" s="19"/>
      <c r="F3183" s="19"/>
      <c r="G3183" s="19"/>
      <c r="H3183" s="19"/>
      <c r="I3183" s="19"/>
      <c r="J3183" s="19"/>
      <c r="K3183" s="19"/>
      <c r="L3183" s="19"/>
      <c r="M3183" s="19"/>
      <c r="N3183" s="19"/>
      <c r="O3183" s="43"/>
      <c r="P3183" s="19"/>
      <c r="Q3183" s="19"/>
      <c r="R3183" s="19"/>
      <c r="S3183" s="19"/>
      <c r="T3183" s="19"/>
      <c r="U3183" s="19"/>
      <c r="V3183" s="44"/>
      <c r="W3183" s="19"/>
      <c r="X3183" s="19"/>
      <c r="Y3183" s="19"/>
      <c r="Z3183" s="19"/>
      <c r="AA3183" s="19"/>
      <c r="AB3183" s="19"/>
      <c r="AC3183" s="19"/>
      <c r="AD3183" s="19"/>
      <c r="AE3183" s="19"/>
      <c r="AF3183" s="19"/>
      <c r="AG3183" s="19"/>
      <c r="AH3183" s="19"/>
      <c r="AI3183" s="19"/>
      <c r="AJ3183" s="19"/>
      <c r="AK3183" s="19"/>
      <c r="AL3183" s="6" t="str">
        <f t="array" ref="AL3183">IFERROR(IFS(XLOOKUP(B3183, 'Kit Delivery Status'!$U:$U, 'Kit Delivery Status'!$K:$K) = "Complete", "DELIVERED", XLOOKUP(B3183, 'Kit Delivery Status'!$U:$U, 'Kit Delivery Status'!$K:$K) = "Issue", "ISSUE"), "")</f>
        <v/>
      </c>
      <c r="AM3183" s="6"/>
    </row>
    <row r="3184">
      <c r="A3184" s="19"/>
      <c r="B3184" s="19"/>
      <c r="C3184" s="19"/>
      <c r="D3184" s="42"/>
      <c r="E3184" s="19"/>
      <c r="F3184" s="19"/>
      <c r="G3184" s="19"/>
      <c r="H3184" s="19"/>
      <c r="I3184" s="19"/>
      <c r="J3184" s="19"/>
      <c r="K3184" s="19"/>
      <c r="L3184" s="19"/>
      <c r="M3184" s="19"/>
      <c r="N3184" s="19"/>
      <c r="O3184" s="43"/>
      <c r="P3184" s="19"/>
      <c r="Q3184" s="19"/>
      <c r="R3184" s="19"/>
      <c r="S3184" s="19"/>
      <c r="T3184" s="19"/>
      <c r="U3184" s="19"/>
      <c r="V3184" s="44"/>
      <c r="W3184" s="19"/>
      <c r="X3184" s="19"/>
      <c r="Y3184" s="19"/>
      <c r="Z3184" s="19"/>
      <c r="AA3184" s="19"/>
      <c r="AB3184" s="19"/>
      <c r="AC3184" s="19"/>
      <c r="AD3184" s="19"/>
      <c r="AE3184" s="19"/>
      <c r="AF3184" s="19"/>
      <c r="AG3184" s="19"/>
      <c r="AH3184" s="19"/>
      <c r="AI3184" s="19"/>
      <c r="AJ3184" s="19"/>
      <c r="AK3184" s="19"/>
      <c r="AL3184" s="6" t="str">
        <f t="array" ref="AL3184">IFERROR(IFS(XLOOKUP(B3184, 'Kit Delivery Status'!$U:$U, 'Kit Delivery Status'!$K:$K) = "Complete", "DELIVERED", XLOOKUP(B3184, 'Kit Delivery Status'!$U:$U, 'Kit Delivery Status'!$K:$K) = "Issue", "ISSUE"), "")</f>
        <v/>
      </c>
      <c r="AM3184" s="6"/>
    </row>
    <row r="3185">
      <c r="A3185" s="19"/>
      <c r="B3185" s="19"/>
      <c r="C3185" s="19"/>
      <c r="D3185" s="42"/>
      <c r="E3185" s="19"/>
      <c r="F3185" s="19"/>
      <c r="G3185" s="19"/>
      <c r="H3185" s="19"/>
      <c r="I3185" s="19"/>
      <c r="J3185" s="19"/>
      <c r="K3185" s="19"/>
      <c r="L3185" s="19"/>
      <c r="M3185" s="19"/>
      <c r="N3185" s="19"/>
      <c r="O3185" s="43"/>
      <c r="P3185" s="19"/>
      <c r="Q3185" s="19"/>
      <c r="R3185" s="19"/>
      <c r="S3185" s="19"/>
      <c r="T3185" s="19"/>
      <c r="U3185" s="19"/>
      <c r="V3185" s="44"/>
      <c r="W3185" s="19"/>
      <c r="X3185" s="19"/>
      <c r="Y3185" s="19"/>
      <c r="Z3185" s="19"/>
      <c r="AA3185" s="19"/>
      <c r="AB3185" s="19"/>
      <c r="AC3185" s="19"/>
      <c r="AD3185" s="19"/>
      <c r="AE3185" s="19"/>
      <c r="AF3185" s="19"/>
      <c r="AG3185" s="19"/>
      <c r="AH3185" s="19"/>
      <c r="AI3185" s="19"/>
      <c r="AJ3185" s="19"/>
      <c r="AK3185" s="19"/>
      <c r="AL3185" s="6" t="str">
        <f t="array" ref="AL3185">IFERROR(IFS(XLOOKUP(B3185, 'Kit Delivery Status'!$U:$U, 'Kit Delivery Status'!$K:$K) = "Complete", "DELIVERED", XLOOKUP(B3185, 'Kit Delivery Status'!$U:$U, 'Kit Delivery Status'!$K:$K) = "Issue", "ISSUE"), "")</f>
        <v/>
      </c>
      <c r="AM3185" s="6"/>
    </row>
    <row r="3186">
      <c r="A3186" s="19"/>
      <c r="B3186" s="19"/>
      <c r="C3186" s="19"/>
      <c r="D3186" s="42"/>
      <c r="E3186" s="19"/>
      <c r="F3186" s="19"/>
      <c r="G3186" s="19"/>
      <c r="H3186" s="19"/>
      <c r="I3186" s="19"/>
      <c r="J3186" s="19"/>
      <c r="K3186" s="19"/>
      <c r="L3186" s="19"/>
      <c r="M3186" s="19"/>
      <c r="N3186" s="19"/>
      <c r="O3186" s="43"/>
      <c r="P3186" s="19"/>
      <c r="Q3186" s="19"/>
      <c r="R3186" s="19"/>
      <c r="S3186" s="19"/>
      <c r="T3186" s="19"/>
      <c r="U3186" s="19"/>
      <c r="V3186" s="44"/>
      <c r="W3186" s="19"/>
      <c r="X3186" s="19"/>
      <c r="Y3186" s="19"/>
      <c r="Z3186" s="19"/>
      <c r="AA3186" s="19"/>
      <c r="AB3186" s="19"/>
      <c r="AC3186" s="19"/>
      <c r="AD3186" s="19"/>
      <c r="AE3186" s="19"/>
      <c r="AF3186" s="19"/>
      <c r="AG3186" s="19"/>
      <c r="AH3186" s="19"/>
      <c r="AI3186" s="19"/>
      <c r="AJ3186" s="19"/>
      <c r="AK3186" s="19"/>
      <c r="AL3186" s="6" t="str">
        <f t="array" ref="AL3186">IFERROR(IFS(XLOOKUP(B3186, 'Kit Delivery Status'!$U:$U, 'Kit Delivery Status'!$K:$K) = "Complete", "DELIVERED", XLOOKUP(B3186, 'Kit Delivery Status'!$U:$U, 'Kit Delivery Status'!$K:$K) = "Issue", "ISSUE"), "")</f>
        <v/>
      </c>
      <c r="AM3186" s="6"/>
    </row>
    <row r="3187">
      <c r="A3187" s="19"/>
      <c r="B3187" s="19"/>
      <c r="C3187" s="19"/>
      <c r="D3187" s="42"/>
      <c r="E3187" s="19"/>
      <c r="F3187" s="19"/>
      <c r="G3187" s="19"/>
      <c r="H3187" s="19"/>
      <c r="I3187" s="19"/>
      <c r="J3187" s="19"/>
      <c r="K3187" s="19"/>
      <c r="L3187" s="19"/>
      <c r="M3187" s="19"/>
      <c r="N3187" s="19"/>
      <c r="O3187" s="43"/>
      <c r="P3187" s="19"/>
      <c r="Q3187" s="19"/>
      <c r="R3187" s="19"/>
      <c r="S3187" s="19"/>
      <c r="T3187" s="19"/>
      <c r="U3187" s="19"/>
      <c r="V3187" s="44"/>
      <c r="W3187" s="19"/>
      <c r="X3187" s="19"/>
      <c r="Y3187" s="19"/>
      <c r="Z3187" s="19"/>
      <c r="AA3187" s="19"/>
      <c r="AB3187" s="19"/>
      <c r="AC3187" s="19"/>
      <c r="AD3187" s="19"/>
      <c r="AE3187" s="19"/>
      <c r="AF3187" s="19"/>
      <c r="AG3187" s="19"/>
      <c r="AH3187" s="19"/>
      <c r="AI3187" s="19"/>
      <c r="AJ3187" s="19"/>
      <c r="AK3187" s="19"/>
      <c r="AL3187" s="6" t="str">
        <f t="array" ref="AL3187">IFERROR(IFS(XLOOKUP(B3187, 'Kit Delivery Status'!$U:$U, 'Kit Delivery Status'!$K:$K) = "Complete", "DELIVERED", XLOOKUP(B3187, 'Kit Delivery Status'!$U:$U, 'Kit Delivery Status'!$K:$K) = "Issue", "ISSUE"), "")</f>
        <v/>
      </c>
      <c r="AM3187" s="6"/>
    </row>
    <row r="3188">
      <c r="A3188" s="19"/>
      <c r="B3188" s="19"/>
      <c r="C3188" s="19"/>
      <c r="D3188" s="42"/>
      <c r="E3188" s="19"/>
      <c r="F3188" s="19"/>
      <c r="G3188" s="19"/>
      <c r="H3188" s="19"/>
      <c r="I3188" s="19"/>
      <c r="J3188" s="19"/>
      <c r="K3188" s="19"/>
      <c r="L3188" s="19"/>
      <c r="M3188" s="19"/>
      <c r="N3188" s="19"/>
      <c r="O3188" s="43"/>
      <c r="P3188" s="19"/>
      <c r="Q3188" s="19"/>
      <c r="R3188" s="19"/>
      <c r="S3188" s="19"/>
      <c r="T3188" s="19"/>
      <c r="U3188" s="19"/>
      <c r="V3188" s="44"/>
      <c r="W3188" s="19"/>
      <c r="X3188" s="19"/>
      <c r="Y3188" s="19"/>
      <c r="Z3188" s="19"/>
      <c r="AA3188" s="19"/>
      <c r="AB3188" s="19"/>
      <c r="AC3188" s="19"/>
      <c r="AD3188" s="19"/>
      <c r="AE3188" s="19"/>
      <c r="AF3188" s="19"/>
      <c r="AG3188" s="19"/>
      <c r="AH3188" s="19"/>
      <c r="AI3188" s="19"/>
      <c r="AJ3188" s="19"/>
      <c r="AK3188" s="19"/>
      <c r="AL3188" s="6" t="str">
        <f t="array" ref="AL3188">IFERROR(IFS(XLOOKUP(B3188, 'Kit Delivery Status'!$U:$U, 'Kit Delivery Status'!$K:$K) = "Complete", "DELIVERED", XLOOKUP(B3188, 'Kit Delivery Status'!$U:$U, 'Kit Delivery Status'!$K:$K) = "Issue", "ISSUE"), "")</f>
        <v/>
      </c>
      <c r="AM3188" s="6"/>
    </row>
    <row r="3189">
      <c r="A3189" s="19"/>
      <c r="B3189" s="19"/>
      <c r="C3189" s="19"/>
      <c r="D3189" s="42"/>
      <c r="E3189" s="19"/>
      <c r="F3189" s="19"/>
      <c r="G3189" s="19"/>
      <c r="H3189" s="19"/>
      <c r="I3189" s="19"/>
      <c r="J3189" s="19"/>
      <c r="K3189" s="19"/>
      <c r="L3189" s="19"/>
      <c r="M3189" s="19"/>
      <c r="N3189" s="19"/>
      <c r="O3189" s="43"/>
      <c r="P3189" s="19"/>
      <c r="Q3189" s="19"/>
      <c r="R3189" s="19"/>
      <c r="S3189" s="19"/>
      <c r="T3189" s="19"/>
      <c r="U3189" s="19"/>
      <c r="V3189" s="44"/>
      <c r="W3189" s="19"/>
      <c r="X3189" s="19"/>
      <c r="Y3189" s="19"/>
      <c r="Z3189" s="19"/>
      <c r="AA3189" s="19"/>
      <c r="AB3189" s="19"/>
      <c r="AC3189" s="19"/>
      <c r="AD3189" s="19"/>
      <c r="AE3189" s="19"/>
      <c r="AF3189" s="19"/>
      <c r="AG3189" s="19"/>
      <c r="AH3189" s="19"/>
      <c r="AI3189" s="19"/>
      <c r="AJ3189" s="19"/>
      <c r="AK3189" s="19"/>
      <c r="AL3189" s="6" t="str">
        <f t="array" ref="AL3189">IFERROR(IFS(XLOOKUP(B3189, 'Kit Delivery Status'!$U:$U, 'Kit Delivery Status'!$K:$K) = "Complete", "DELIVERED", XLOOKUP(B3189, 'Kit Delivery Status'!$U:$U, 'Kit Delivery Status'!$K:$K) = "Issue", "ISSUE"), "")</f>
        <v/>
      </c>
      <c r="AM3189" s="6"/>
    </row>
    <row r="3190">
      <c r="A3190" s="19"/>
      <c r="B3190" s="19"/>
      <c r="C3190" s="19"/>
      <c r="D3190" s="42"/>
      <c r="E3190" s="19"/>
      <c r="F3190" s="19"/>
      <c r="G3190" s="19"/>
      <c r="H3190" s="19"/>
      <c r="I3190" s="19"/>
      <c r="J3190" s="19"/>
      <c r="K3190" s="19"/>
      <c r="L3190" s="19"/>
      <c r="M3190" s="19"/>
      <c r="N3190" s="19"/>
      <c r="O3190" s="43"/>
      <c r="P3190" s="19"/>
      <c r="Q3190" s="19"/>
      <c r="R3190" s="19"/>
      <c r="S3190" s="19"/>
      <c r="T3190" s="19"/>
      <c r="U3190" s="19"/>
      <c r="V3190" s="44"/>
      <c r="W3190" s="19"/>
      <c r="X3190" s="19"/>
      <c r="Y3190" s="19"/>
      <c r="Z3190" s="19"/>
      <c r="AA3190" s="19"/>
      <c r="AB3190" s="19"/>
      <c r="AC3190" s="19"/>
      <c r="AD3190" s="19"/>
      <c r="AE3190" s="19"/>
      <c r="AF3190" s="19"/>
      <c r="AG3190" s="19"/>
      <c r="AH3190" s="19"/>
      <c r="AI3190" s="19"/>
      <c r="AJ3190" s="19"/>
      <c r="AK3190" s="19"/>
      <c r="AL3190" s="6" t="str">
        <f t="array" ref="AL3190">IFERROR(IFS(XLOOKUP(B3190, 'Kit Delivery Status'!$U:$U, 'Kit Delivery Status'!$K:$K) = "Complete", "DELIVERED", XLOOKUP(B3190, 'Kit Delivery Status'!$U:$U, 'Kit Delivery Status'!$K:$K) = "Issue", "ISSUE"), "")</f>
        <v/>
      </c>
      <c r="AM3190" s="6"/>
    </row>
    <row r="3191">
      <c r="A3191" s="19"/>
      <c r="B3191" s="19"/>
      <c r="C3191" s="19"/>
      <c r="D3191" s="42"/>
      <c r="E3191" s="19"/>
      <c r="F3191" s="19"/>
      <c r="G3191" s="19"/>
      <c r="H3191" s="19"/>
      <c r="I3191" s="19"/>
      <c r="J3191" s="19"/>
      <c r="K3191" s="19"/>
      <c r="L3191" s="19"/>
      <c r="M3191" s="19"/>
      <c r="N3191" s="19"/>
      <c r="O3191" s="43"/>
      <c r="P3191" s="19"/>
      <c r="Q3191" s="19"/>
      <c r="R3191" s="19"/>
      <c r="S3191" s="19"/>
      <c r="T3191" s="19"/>
      <c r="U3191" s="19"/>
      <c r="V3191" s="44"/>
      <c r="W3191" s="19"/>
      <c r="X3191" s="19"/>
      <c r="Y3191" s="19"/>
      <c r="Z3191" s="19"/>
      <c r="AA3191" s="19"/>
      <c r="AB3191" s="19"/>
      <c r="AC3191" s="19"/>
      <c r="AD3191" s="19"/>
      <c r="AE3191" s="19"/>
      <c r="AF3191" s="19"/>
      <c r="AG3191" s="19"/>
      <c r="AH3191" s="19"/>
      <c r="AI3191" s="19"/>
      <c r="AJ3191" s="19"/>
      <c r="AK3191" s="19"/>
      <c r="AL3191" s="6" t="str">
        <f t="array" ref="AL3191">IFERROR(IFS(XLOOKUP(B3191, 'Kit Delivery Status'!$U:$U, 'Kit Delivery Status'!$K:$K) = "Complete", "DELIVERED", XLOOKUP(B3191, 'Kit Delivery Status'!$U:$U, 'Kit Delivery Status'!$K:$K) = "Issue", "ISSUE"), "")</f>
        <v/>
      </c>
      <c r="AM3191" s="6"/>
    </row>
    <row r="3192">
      <c r="A3192" s="19"/>
      <c r="B3192" s="19"/>
      <c r="C3192" s="19"/>
      <c r="D3192" s="42"/>
      <c r="E3192" s="19"/>
      <c r="F3192" s="19"/>
      <c r="G3192" s="19"/>
      <c r="H3192" s="19"/>
      <c r="I3192" s="19"/>
      <c r="J3192" s="19"/>
      <c r="K3192" s="19"/>
      <c r="L3192" s="19"/>
      <c r="M3192" s="19"/>
      <c r="N3192" s="19"/>
      <c r="O3192" s="43"/>
      <c r="P3192" s="19"/>
      <c r="Q3192" s="19"/>
      <c r="R3192" s="19"/>
      <c r="S3192" s="19"/>
      <c r="T3192" s="19"/>
      <c r="U3192" s="19"/>
      <c r="V3192" s="44"/>
      <c r="W3192" s="19"/>
      <c r="X3192" s="19"/>
      <c r="Y3192" s="19"/>
      <c r="Z3192" s="19"/>
      <c r="AA3192" s="19"/>
      <c r="AB3192" s="19"/>
      <c r="AC3192" s="19"/>
      <c r="AD3192" s="19"/>
      <c r="AE3192" s="19"/>
      <c r="AF3192" s="19"/>
      <c r="AG3192" s="19"/>
      <c r="AH3192" s="19"/>
      <c r="AI3192" s="19"/>
      <c r="AJ3192" s="19"/>
      <c r="AK3192" s="19"/>
      <c r="AL3192" s="6" t="str">
        <f t="array" ref="AL3192">IFERROR(IFS(XLOOKUP(B3192, 'Kit Delivery Status'!$U:$U, 'Kit Delivery Status'!$K:$K) = "Complete", "DELIVERED", XLOOKUP(B3192, 'Kit Delivery Status'!$U:$U, 'Kit Delivery Status'!$K:$K) = "Issue", "ISSUE"), "")</f>
        <v/>
      </c>
      <c r="AM3192" s="6"/>
    </row>
    <row r="3193">
      <c r="A3193" s="19"/>
      <c r="B3193" s="19"/>
      <c r="C3193" s="19"/>
      <c r="D3193" s="42"/>
      <c r="E3193" s="19"/>
      <c r="F3193" s="19"/>
      <c r="G3193" s="19"/>
      <c r="H3193" s="19"/>
      <c r="I3193" s="19"/>
      <c r="J3193" s="19"/>
      <c r="K3193" s="19"/>
      <c r="L3193" s="19"/>
      <c r="M3193" s="19"/>
      <c r="N3193" s="19"/>
      <c r="O3193" s="43"/>
      <c r="P3193" s="19"/>
      <c r="Q3193" s="19"/>
      <c r="R3193" s="19"/>
      <c r="S3193" s="19"/>
      <c r="T3193" s="19"/>
      <c r="U3193" s="19"/>
      <c r="V3193" s="44"/>
      <c r="W3193" s="19"/>
      <c r="X3193" s="19"/>
      <c r="Y3193" s="19"/>
      <c r="Z3193" s="19"/>
      <c r="AA3193" s="19"/>
      <c r="AB3193" s="19"/>
      <c r="AC3193" s="19"/>
      <c r="AD3193" s="19"/>
      <c r="AE3193" s="19"/>
      <c r="AF3193" s="19"/>
      <c r="AG3193" s="19"/>
      <c r="AH3193" s="19"/>
      <c r="AI3193" s="19"/>
      <c r="AJ3193" s="19"/>
      <c r="AK3193" s="19"/>
      <c r="AL3193" s="6" t="str">
        <f t="array" ref="AL3193">IFERROR(IFS(XLOOKUP(B3193, 'Kit Delivery Status'!$U:$U, 'Kit Delivery Status'!$K:$K) = "Complete", "DELIVERED", XLOOKUP(B3193, 'Kit Delivery Status'!$U:$U, 'Kit Delivery Status'!$K:$K) = "Issue", "ISSUE"), "")</f>
        <v/>
      </c>
      <c r="AM3193" s="6"/>
    </row>
    <row r="3194">
      <c r="A3194" s="19"/>
      <c r="B3194" s="19"/>
      <c r="C3194" s="19"/>
      <c r="D3194" s="42"/>
      <c r="E3194" s="19"/>
      <c r="F3194" s="19"/>
      <c r="G3194" s="19"/>
      <c r="H3194" s="19"/>
      <c r="I3194" s="19"/>
      <c r="J3194" s="19"/>
      <c r="K3194" s="19"/>
      <c r="L3194" s="19"/>
      <c r="M3194" s="19"/>
      <c r="N3194" s="19"/>
      <c r="O3194" s="43"/>
      <c r="P3194" s="19"/>
      <c r="Q3194" s="19"/>
      <c r="R3194" s="19"/>
      <c r="S3194" s="19"/>
      <c r="T3194" s="19"/>
      <c r="U3194" s="19"/>
      <c r="V3194" s="44"/>
      <c r="W3194" s="19"/>
      <c r="X3194" s="19"/>
      <c r="Y3194" s="19"/>
      <c r="Z3194" s="19"/>
      <c r="AA3194" s="19"/>
      <c r="AB3194" s="19"/>
      <c r="AC3194" s="19"/>
      <c r="AD3194" s="19"/>
      <c r="AE3194" s="19"/>
      <c r="AF3194" s="19"/>
      <c r="AG3194" s="19"/>
      <c r="AH3194" s="19"/>
      <c r="AI3194" s="19"/>
      <c r="AJ3194" s="19"/>
      <c r="AK3194" s="19"/>
      <c r="AL3194" s="6" t="str">
        <f t="array" ref="AL3194">IFERROR(IFS(XLOOKUP(B3194, 'Kit Delivery Status'!$U:$U, 'Kit Delivery Status'!$K:$K) = "Complete", "DELIVERED", XLOOKUP(B3194, 'Kit Delivery Status'!$U:$U, 'Kit Delivery Status'!$K:$K) = "Issue", "ISSUE"), "")</f>
        <v/>
      </c>
      <c r="AM3194" s="6"/>
    </row>
    <row r="3195">
      <c r="A3195" s="19"/>
      <c r="B3195" s="19"/>
      <c r="C3195" s="19"/>
      <c r="D3195" s="42"/>
      <c r="E3195" s="19"/>
      <c r="F3195" s="19"/>
      <c r="G3195" s="19"/>
      <c r="H3195" s="19"/>
      <c r="I3195" s="19"/>
      <c r="J3195" s="19"/>
      <c r="K3195" s="19"/>
      <c r="L3195" s="19"/>
      <c r="M3195" s="19"/>
      <c r="N3195" s="19"/>
      <c r="O3195" s="43"/>
      <c r="P3195" s="19"/>
      <c r="Q3195" s="19"/>
      <c r="R3195" s="19"/>
      <c r="S3195" s="19"/>
      <c r="T3195" s="19"/>
      <c r="U3195" s="19"/>
      <c r="V3195" s="44"/>
      <c r="W3195" s="19"/>
      <c r="X3195" s="19"/>
      <c r="Y3195" s="19"/>
      <c r="Z3195" s="19"/>
      <c r="AA3195" s="19"/>
      <c r="AB3195" s="19"/>
      <c r="AC3195" s="19"/>
      <c r="AD3195" s="19"/>
      <c r="AE3195" s="19"/>
      <c r="AF3195" s="19"/>
      <c r="AG3195" s="19"/>
      <c r="AH3195" s="19"/>
      <c r="AI3195" s="19"/>
      <c r="AJ3195" s="19"/>
      <c r="AK3195" s="19"/>
      <c r="AL3195" s="6" t="str">
        <f t="array" ref="AL3195">IFERROR(IFS(XLOOKUP(B3195, 'Kit Delivery Status'!$U:$U, 'Kit Delivery Status'!$K:$K) = "Complete", "DELIVERED", XLOOKUP(B3195, 'Kit Delivery Status'!$U:$U, 'Kit Delivery Status'!$K:$K) = "Issue", "ISSUE"), "")</f>
        <v/>
      </c>
      <c r="AM3195" s="6"/>
    </row>
    <row r="3196">
      <c r="A3196" s="19"/>
      <c r="B3196" s="19"/>
      <c r="C3196" s="19"/>
      <c r="D3196" s="42"/>
      <c r="E3196" s="19"/>
      <c r="F3196" s="19"/>
      <c r="G3196" s="19"/>
      <c r="H3196" s="19"/>
      <c r="I3196" s="19"/>
      <c r="J3196" s="19"/>
      <c r="K3196" s="19"/>
      <c r="L3196" s="19"/>
      <c r="M3196" s="19"/>
      <c r="N3196" s="19"/>
      <c r="O3196" s="43"/>
      <c r="P3196" s="19"/>
      <c r="Q3196" s="19"/>
      <c r="R3196" s="19"/>
      <c r="S3196" s="19"/>
      <c r="T3196" s="19"/>
      <c r="U3196" s="19"/>
      <c r="V3196" s="44"/>
      <c r="W3196" s="19"/>
      <c r="X3196" s="19"/>
      <c r="Y3196" s="19"/>
      <c r="Z3196" s="19"/>
      <c r="AA3196" s="19"/>
      <c r="AB3196" s="19"/>
      <c r="AC3196" s="19"/>
      <c r="AD3196" s="19"/>
      <c r="AE3196" s="19"/>
      <c r="AF3196" s="19"/>
      <c r="AG3196" s="19"/>
      <c r="AH3196" s="19"/>
      <c r="AI3196" s="19"/>
      <c r="AJ3196" s="19"/>
      <c r="AK3196" s="19"/>
      <c r="AL3196" s="6" t="str">
        <f t="array" ref="AL3196">IFERROR(IFS(XLOOKUP(B3196, 'Kit Delivery Status'!$U:$U, 'Kit Delivery Status'!$K:$K) = "Complete", "DELIVERED", XLOOKUP(B3196, 'Kit Delivery Status'!$U:$U, 'Kit Delivery Status'!$K:$K) = "Issue", "ISSUE"), "")</f>
        <v/>
      </c>
      <c r="AM3196" s="6"/>
    </row>
    <row r="3197">
      <c r="A3197" s="19"/>
      <c r="B3197" s="19"/>
      <c r="C3197" s="19"/>
      <c r="D3197" s="42"/>
      <c r="E3197" s="19"/>
      <c r="F3197" s="19"/>
      <c r="G3197" s="19"/>
      <c r="H3197" s="19"/>
      <c r="I3197" s="19"/>
      <c r="J3197" s="19"/>
      <c r="K3197" s="19"/>
      <c r="L3197" s="19"/>
      <c r="M3197" s="19"/>
      <c r="N3197" s="19"/>
      <c r="O3197" s="43"/>
      <c r="P3197" s="19"/>
      <c r="Q3197" s="19"/>
      <c r="R3197" s="19"/>
      <c r="S3197" s="19"/>
      <c r="T3197" s="19"/>
      <c r="U3197" s="19"/>
      <c r="V3197" s="44"/>
      <c r="W3197" s="19"/>
      <c r="X3197" s="19"/>
      <c r="Y3197" s="19"/>
      <c r="Z3197" s="19"/>
      <c r="AA3197" s="19"/>
      <c r="AB3197" s="19"/>
      <c r="AC3197" s="19"/>
      <c r="AD3197" s="19"/>
      <c r="AE3197" s="19"/>
      <c r="AF3197" s="19"/>
      <c r="AG3197" s="19"/>
      <c r="AH3197" s="19"/>
      <c r="AI3197" s="19"/>
      <c r="AJ3197" s="19"/>
      <c r="AK3197" s="19"/>
      <c r="AL3197" s="6" t="str">
        <f t="array" ref="AL3197">IFERROR(IFS(XLOOKUP(B3197, 'Kit Delivery Status'!$U:$U, 'Kit Delivery Status'!$K:$K) = "Complete", "DELIVERED", XLOOKUP(B3197, 'Kit Delivery Status'!$U:$U, 'Kit Delivery Status'!$K:$K) = "Issue", "ISSUE"), "")</f>
        <v/>
      </c>
      <c r="AM3197" s="6"/>
    </row>
    <row r="3198">
      <c r="A3198" s="19"/>
      <c r="B3198" s="19"/>
      <c r="C3198" s="19"/>
      <c r="D3198" s="42"/>
      <c r="E3198" s="19"/>
      <c r="F3198" s="19"/>
      <c r="G3198" s="19"/>
      <c r="H3198" s="19"/>
      <c r="I3198" s="19"/>
      <c r="J3198" s="19"/>
      <c r="K3198" s="19"/>
      <c r="L3198" s="19"/>
      <c r="M3198" s="19"/>
      <c r="N3198" s="19"/>
      <c r="O3198" s="43"/>
      <c r="P3198" s="19"/>
      <c r="Q3198" s="19"/>
      <c r="R3198" s="19"/>
      <c r="S3198" s="19"/>
      <c r="T3198" s="19"/>
      <c r="U3198" s="19"/>
      <c r="V3198" s="44"/>
      <c r="W3198" s="19"/>
      <c r="X3198" s="19"/>
      <c r="Y3198" s="19"/>
      <c r="Z3198" s="19"/>
      <c r="AA3198" s="19"/>
      <c r="AB3198" s="19"/>
      <c r="AC3198" s="19"/>
      <c r="AD3198" s="19"/>
      <c r="AE3198" s="19"/>
      <c r="AF3198" s="19"/>
      <c r="AG3198" s="19"/>
      <c r="AH3198" s="19"/>
      <c r="AI3198" s="19"/>
      <c r="AJ3198" s="19"/>
      <c r="AK3198" s="19"/>
      <c r="AL3198" s="6" t="str">
        <f t="array" ref="AL3198">IFERROR(IFS(XLOOKUP(B3198, 'Kit Delivery Status'!$U:$U, 'Kit Delivery Status'!$K:$K) = "Complete", "DELIVERED", XLOOKUP(B3198, 'Kit Delivery Status'!$U:$U, 'Kit Delivery Status'!$K:$K) = "Issue", "ISSUE"), "")</f>
        <v/>
      </c>
      <c r="AM3198" s="6"/>
    </row>
    <row r="3199">
      <c r="A3199" s="19"/>
      <c r="B3199" s="19"/>
      <c r="C3199" s="19"/>
      <c r="D3199" s="42"/>
      <c r="E3199" s="19"/>
      <c r="F3199" s="19"/>
      <c r="G3199" s="19"/>
      <c r="H3199" s="19"/>
      <c r="I3199" s="19"/>
      <c r="J3199" s="19"/>
      <c r="K3199" s="19"/>
      <c r="L3199" s="19"/>
      <c r="M3199" s="19"/>
      <c r="N3199" s="19"/>
      <c r="O3199" s="43"/>
      <c r="P3199" s="19"/>
      <c r="Q3199" s="19"/>
      <c r="R3199" s="19"/>
      <c r="S3199" s="19"/>
      <c r="T3199" s="19"/>
      <c r="U3199" s="19"/>
      <c r="V3199" s="44"/>
      <c r="W3199" s="19"/>
      <c r="X3199" s="19"/>
      <c r="Y3199" s="19"/>
      <c r="Z3199" s="19"/>
      <c r="AA3199" s="19"/>
      <c r="AB3199" s="19"/>
      <c r="AC3199" s="19"/>
      <c r="AD3199" s="19"/>
      <c r="AE3199" s="19"/>
      <c r="AF3199" s="19"/>
      <c r="AG3199" s="19"/>
      <c r="AH3199" s="19"/>
      <c r="AI3199" s="19"/>
      <c r="AJ3199" s="19"/>
      <c r="AK3199" s="19"/>
      <c r="AL3199" s="6" t="str">
        <f t="array" ref="AL3199">IFERROR(IFS(XLOOKUP(B3199, 'Kit Delivery Status'!$U:$U, 'Kit Delivery Status'!$K:$K) = "Complete", "DELIVERED", XLOOKUP(B3199, 'Kit Delivery Status'!$U:$U, 'Kit Delivery Status'!$K:$K) = "Issue", "ISSUE"), "")</f>
        <v/>
      </c>
      <c r="AM3199" s="6"/>
    </row>
    <row r="3200">
      <c r="A3200" s="19"/>
      <c r="B3200" s="19"/>
      <c r="C3200" s="19"/>
      <c r="D3200" s="42"/>
      <c r="E3200" s="19"/>
      <c r="F3200" s="19"/>
      <c r="G3200" s="19"/>
      <c r="H3200" s="19"/>
      <c r="I3200" s="19"/>
      <c r="J3200" s="19"/>
      <c r="K3200" s="19"/>
      <c r="L3200" s="19"/>
      <c r="M3200" s="19"/>
      <c r="N3200" s="19"/>
      <c r="O3200" s="43"/>
      <c r="P3200" s="19"/>
      <c r="Q3200" s="19"/>
      <c r="R3200" s="19"/>
      <c r="S3200" s="19"/>
      <c r="T3200" s="19"/>
      <c r="U3200" s="19"/>
      <c r="V3200" s="44"/>
      <c r="W3200" s="19"/>
      <c r="X3200" s="19"/>
      <c r="Y3200" s="19"/>
      <c r="Z3200" s="19"/>
      <c r="AA3200" s="19"/>
      <c r="AB3200" s="19"/>
      <c r="AC3200" s="19"/>
      <c r="AD3200" s="19"/>
      <c r="AE3200" s="19"/>
      <c r="AF3200" s="19"/>
      <c r="AG3200" s="19"/>
      <c r="AH3200" s="19"/>
      <c r="AI3200" s="19"/>
      <c r="AJ3200" s="19"/>
      <c r="AK3200" s="19"/>
      <c r="AL3200" s="6" t="str">
        <f t="array" ref="AL3200">IFERROR(IFS(XLOOKUP(B3200, 'Kit Delivery Status'!$U:$U, 'Kit Delivery Status'!$K:$K) = "Complete", "DELIVERED", XLOOKUP(B3200, 'Kit Delivery Status'!$U:$U, 'Kit Delivery Status'!$K:$K) = "Issue", "ISSUE"), "")</f>
        <v/>
      </c>
      <c r="AM3200" s="6"/>
    </row>
    <row r="3201">
      <c r="A3201" s="19"/>
      <c r="B3201" s="19"/>
      <c r="C3201" s="19"/>
      <c r="D3201" s="42"/>
      <c r="E3201" s="19"/>
      <c r="F3201" s="19"/>
      <c r="G3201" s="19"/>
      <c r="H3201" s="19"/>
      <c r="I3201" s="19"/>
      <c r="J3201" s="19"/>
      <c r="K3201" s="19"/>
      <c r="L3201" s="19"/>
      <c r="M3201" s="19"/>
      <c r="N3201" s="19"/>
      <c r="O3201" s="43"/>
      <c r="P3201" s="19"/>
      <c r="Q3201" s="19"/>
      <c r="R3201" s="19"/>
      <c r="S3201" s="19"/>
      <c r="T3201" s="19"/>
      <c r="U3201" s="19"/>
      <c r="V3201" s="44"/>
      <c r="W3201" s="19"/>
      <c r="X3201" s="19"/>
      <c r="Y3201" s="19"/>
      <c r="Z3201" s="19"/>
      <c r="AA3201" s="19"/>
      <c r="AB3201" s="19"/>
      <c r="AC3201" s="19"/>
      <c r="AD3201" s="19"/>
      <c r="AE3201" s="19"/>
      <c r="AF3201" s="19"/>
      <c r="AG3201" s="19"/>
      <c r="AH3201" s="19"/>
      <c r="AI3201" s="19"/>
      <c r="AJ3201" s="19"/>
      <c r="AK3201" s="19"/>
      <c r="AL3201" s="6" t="str">
        <f t="array" ref="AL3201">IFERROR(IFS(XLOOKUP(B3201, 'Kit Delivery Status'!$U:$U, 'Kit Delivery Status'!$K:$K) = "Complete", "DELIVERED", XLOOKUP(B3201, 'Kit Delivery Status'!$U:$U, 'Kit Delivery Status'!$K:$K) = "Issue", "ISSUE"), "")</f>
        <v/>
      </c>
      <c r="AM3201" s="6"/>
    </row>
    <row r="3202">
      <c r="A3202" s="19"/>
      <c r="B3202" s="19"/>
      <c r="C3202" s="19"/>
      <c r="D3202" s="42"/>
      <c r="E3202" s="19"/>
      <c r="F3202" s="19"/>
      <c r="G3202" s="19"/>
      <c r="H3202" s="19"/>
      <c r="I3202" s="19"/>
      <c r="J3202" s="19"/>
      <c r="K3202" s="19"/>
      <c r="L3202" s="19"/>
      <c r="M3202" s="19"/>
      <c r="N3202" s="19"/>
      <c r="O3202" s="43"/>
      <c r="P3202" s="19"/>
      <c r="Q3202" s="19"/>
      <c r="R3202" s="19"/>
      <c r="S3202" s="19"/>
      <c r="T3202" s="19"/>
      <c r="U3202" s="19"/>
      <c r="V3202" s="44"/>
      <c r="W3202" s="19"/>
      <c r="X3202" s="19"/>
      <c r="Y3202" s="19"/>
      <c r="Z3202" s="19"/>
      <c r="AA3202" s="19"/>
      <c r="AB3202" s="19"/>
      <c r="AC3202" s="19"/>
      <c r="AD3202" s="19"/>
      <c r="AE3202" s="19"/>
      <c r="AF3202" s="19"/>
      <c r="AG3202" s="19"/>
      <c r="AH3202" s="19"/>
      <c r="AI3202" s="19"/>
      <c r="AJ3202" s="19"/>
      <c r="AK3202" s="19"/>
      <c r="AL3202" s="6" t="str">
        <f t="array" ref="AL3202">IFERROR(IFS(XLOOKUP(B3202, 'Kit Delivery Status'!$U:$U, 'Kit Delivery Status'!$K:$K) = "Complete", "DELIVERED", XLOOKUP(B3202, 'Kit Delivery Status'!$U:$U, 'Kit Delivery Status'!$K:$K) = "Issue", "ISSUE"), "")</f>
        <v/>
      </c>
      <c r="AM3202" s="6"/>
    </row>
    <row r="3203">
      <c r="A3203" s="19"/>
      <c r="B3203" s="19"/>
      <c r="C3203" s="19"/>
      <c r="D3203" s="42"/>
      <c r="E3203" s="19"/>
      <c r="F3203" s="19"/>
      <c r="G3203" s="19"/>
      <c r="H3203" s="19"/>
      <c r="I3203" s="19"/>
      <c r="J3203" s="19"/>
      <c r="K3203" s="19"/>
      <c r="L3203" s="19"/>
      <c r="M3203" s="19"/>
      <c r="N3203" s="19"/>
      <c r="O3203" s="43"/>
      <c r="P3203" s="19"/>
      <c r="Q3203" s="19"/>
      <c r="R3203" s="19"/>
      <c r="S3203" s="19"/>
      <c r="T3203" s="19"/>
      <c r="U3203" s="19"/>
      <c r="V3203" s="44"/>
      <c r="W3203" s="19"/>
      <c r="X3203" s="19"/>
      <c r="Y3203" s="19"/>
      <c r="Z3203" s="19"/>
      <c r="AA3203" s="19"/>
      <c r="AB3203" s="19"/>
      <c r="AC3203" s="19"/>
      <c r="AD3203" s="19"/>
      <c r="AE3203" s="19"/>
      <c r="AF3203" s="19"/>
      <c r="AG3203" s="19"/>
      <c r="AH3203" s="19"/>
      <c r="AI3203" s="19"/>
      <c r="AJ3203" s="19"/>
      <c r="AK3203" s="19"/>
      <c r="AL3203" s="6" t="str">
        <f t="array" ref="AL3203">IFERROR(IFS(XLOOKUP(B3203, 'Kit Delivery Status'!$U:$U, 'Kit Delivery Status'!$K:$K) = "Complete", "DELIVERED", XLOOKUP(B3203, 'Kit Delivery Status'!$U:$U, 'Kit Delivery Status'!$K:$K) = "Issue", "ISSUE"), "")</f>
        <v/>
      </c>
      <c r="AM3203" s="6"/>
    </row>
    <row r="3204">
      <c r="A3204" s="19"/>
      <c r="B3204" s="19"/>
      <c r="C3204" s="19"/>
      <c r="D3204" s="42"/>
      <c r="E3204" s="19"/>
      <c r="F3204" s="19"/>
      <c r="G3204" s="19"/>
      <c r="H3204" s="19"/>
      <c r="I3204" s="19"/>
      <c r="J3204" s="19"/>
      <c r="K3204" s="19"/>
      <c r="L3204" s="19"/>
      <c r="M3204" s="19"/>
      <c r="N3204" s="19"/>
      <c r="O3204" s="43"/>
      <c r="P3204" s="19"/>
      <c r="Q3204" s="19"/>
      <c r="R3204" s="19"/>
      <c r="S3204" s="19"/>
      <c r="T3204" s="19"/>
      <c r="U3204" s="19"/>
      <c r="V3204" s="44"/>
      <c r="W3204" s="19"/>
      <c r="X3204" s="19"/>
      <c r="Y3204" s="19"/>
      <c r="Z3204" s="19"/>
      <c r="AA3204" s="19"/>
      <c r="AB3204" s="19"/>
      <c r="AC3204" s="19"/>
      <c r="AD3204" s="19"/>
      <c r="AE3204" s="19"/>
      <c r="AF3204" s="19"/>
      <c r="AG3204" s="19"/>
      <c r="AH3204" s="19"/>
      <c r="AI3204" s="19"/>
      <c r="AJ3204" s="19"/>
      <c r="AK3204" s="19"/>
      <c r="AL3204" s="6" t="str">
        <f t="array" ref="AL3204">IFERROR(IFS(XLOOKUP(B3204, 'Kit Delivery Status'!$U:$U, 'Kit Delivery Status'!$K:$K) = "Complete", "DELIVERED", XLOOKUP(B3204, 'Kit Delivery Status'!$U:$U, 'Kit Delivery Status'!$K:$K) = "Issue", "ISSUE"), "")</f>
        <v/>
      </c>
      <c r="AM3204" s="6"/>
    </row>
    <row r="3205">
      <c r="A3205" s="19"/>
      <c r="B3205" s="19"/>
      <c r="C3205" s="19"/>
      <c r="D3205" s="42"/>
      <c r="E3205" s="19"/>
      <c r="F3205" s="19"/>
      <c r="G3205" s="19"/>
      <c r="H3205" s="19"/>
      <c r="I3205" s="19"/>
      <c r="J3205" s="19"/>
      <c r="K3205" s="19"/>
      <c r="L3205" s="19"/>
      <c r="M3205" s="19"/>
      <c r="N3205" s="19"/>
      <c r="O3205" s="43"/>
      <c r="P3205" s="19"/>
      <c r="Q3205" s="19"/>
      <c r="R3205" s="19"/>
      <c r="S3205" s="19"/>
      <c r="T3205" s="19"/>
      <c r="U3205" s="19"/>
      <c r="V3205" s="44"/>
      <c r="W3205" s="19"/>
      <c r="X3205" s="19"/>
      <c r="Y3205" s="19"/>
      <c r="Z3205" s="19"/>
      <c r="AA3205" s="19"/>
      <c r="AB3205" s="19"/>
      <c r="AC3205" s="19"/>
      <c r="AD3205" s="19"/>
      <c r="AE3205" s="19"/>
      <c r="AF3205" s="19"/>
      <c r="AG3205" s="19"/>
      <c r="AH3205" s="19"/>
      <c r="AI3205" s="19"/>
      <c r="AJ3205" s="19"/>
      <c r="AK3205" s="19"/>
      <c r="AL3205" s="6" t="str">
        <f t="array" ref="AL3205">IFERROR(IFS(XLOOKUP(B3205, 'Kit Delivery Status'!$U:$U, 'Kit Delivery Status'!$K:$K) = "Complete", "DELIVERED", XLOOKUP(B3205, 'Kit Delivery Status'!$U:$U, 'Kit Delivery Status'!$K:$K) = "Issue", "ISSUE"), "")</f>
        <v/>
      </c>
      <c r="AM3205" s="6"/>
    </row>
    <row r="3206">
      <c r="A3206" s="19"/>
      <c r="B3206" s="19"/>
      <c r="C3206" s="19"/>
      <c r="D3206" s="42"/>
      <c r="E3206" s="19"/>
      <c r="F3206" s="19"/>
      <c r="G3206" s="19"/>
      <c r="H3206" s="19"/>
      <c r="I3206" s="19"/>
      <c r="J3206" s="19"/>
      <c r="K3206" s="19"/>
      <c r="L3206" s="19"/>
      <c r="M3206" s="19"/>
      <c r="N3206" s="19"/>
      <c r="O3206" s="43"/>
      <c r="P3206" s="19"/>
      <c r="Q3206" s="19"/>
      <c r="R3206" s="19"/>
      <c r="S3206" s="19"/>
      <c r="T3206" s="19"/>
      <c r="U3206" s="19"/>
      <c r="V3206" s="44"/>
      <c r="W3206" s="19"/>
      <c r="X3206" s="19"/>
      <c r="Y3206" s="19"/>
      <c r="Z3206" s="19"/>
      <c r="AA3206" s="19"/>
      <c r="AB3206" s="19"/>
      <c r="AC3206" s="19"/>
      <c r="AD3206" s="19"/>
      <c r="AE3206" s="19"/>
      <c r="AF3206" s="19"/>
      <c r="AG3206" s="19"/>
      <c r="AH3206" s="19"/>
      <c r="AI3206" s="19"/>
      <c r="AJ3206" s="19"/>
      <c r="AK3206" s="19"/>
      <c r="AL3206" s="6" t="str">
        <f t="array" ref="AL3206">IFERROR(IFS(XLOOKUP(B3206, 'Kit Delivery Status'!$U:$U, 'Kit Delivery Status'!$K:$K) = "Complete", "DELIVERED", XLOOKUP(B3206, 'Kit Delivery Status'!$U:$U, 'Kit Delivery Status'!$K:$K) = "Issue", "ISSUE"), "")</f>
        <v/>
      </c>
      <c r="AM3206" s="6"/>
    </row>
    <row r="3207">
      <c r="A3207" s="19"/>
      <c r="B3207" s="19"/>
      <c r="C3207" s="19"/>
      <c r="D3207" s="42"/>
      <c r="E3207" s="19"/>
      <c r="F3207" s="19"/>
      <c r="G3207" s="19"/>
      <c r="H3207" s="19"/>
      <c r="I3207" s="19"/>
      <c r="J3207" s="19"/>
      <c r="K3207" s="19"/>
      <c r="L3207" s="19"/>
      <c r="M3207" s="19"/>
      <c r="N3207" s="19"/>
      <c r="O3207" s="43"/>
      <c r="P3207" s="19"/>
      <c r="Q3207" s="19"/>
      <c r="R3207" s="19"/>
      <c r="S3207" s="19"/>
      <c r="T3207" s="19"/>
      <c r="U3207" s="19"/>
      <c r="V3207" s="44"/>
      <c r="W3207" s="19"/>
      <c r="X3207" s="19"/>
      <c r="Y3207" s="19"/>
      <c r="Z3207" s="19"/>
      <c r="AA3207" s="19"/>
      <c r="AB3207" s="19"/>
      <c r="AC3207" s="19"/>
      <c r="AD3207" s="19"/>
      <c r="AE3207" s="19"/>
      <c r="AF3207" s="19"/>
      <c r="AG3207" s="19"/>
      <c r="AH3207" s="19"/>
      <c r="AI3207" s="19"/>
      <c r="AJ3207" s="19"/>
      <c r="AK3207" s="19"/>
      <c r="AL3207" s="6" t="str">
        <f t="array" ref="AL3207">IFERROR(IFS(XLOOKUP(B3207, 'Kit Delivery Status'!$U:$U, 'Kit Delivery Status'!$K:$K) = "Complete", "DELIVERED", XLOOKUP(B3207, 'Kit Delivery Status'!$U:$U, 'Kit Delivery Status'!$K:$K) = "Issue", "ISSUE"), "")</f>
        <v/>
      </c>
      <c r="AM3207" s="6"/>
    </row>
    <row r="3208">
      <c r="A3208" s="19"/>
      <c r="B3208" s="19"/>
      <c r="C3208" s="19"/>
      <c r="D3208" s="42"/>
      <c r="E3208" s="19"/>
      <c r="F3208" s="19"/>
      <c r="G3208" s="19"/>
      <c r="H3208" s="19"/>
      <c r="I3208" s="19"/>
      <c r="J3208" s="19"/>
      <c r="K3208" s="19"/>
      <c r="L3208" s="19"/>
      <c r="M3208" s="19"/>
      <c r="N3208" s="19"/>
      <c r="O3208" s="43"/>
      <c r="P3208" s="19"/>
      <c r="Q3208" s="19"/>
      <c r="R3208" s="19"/>
      <c r="S3208" s="19"/>
      <c r="T3208" s="19"/>
      <c r="U3208" s="19"/>
      <c r="V3208" s="44"/>
      <c r="W3208" s="19"/>
      <c r="X3208" s="19"/>
      <c r="Y3208" s="19"/>
      <c r="Z3208" s="19"/>
      <c r="AA3208" s="19"/>
      <c r="AB3208" s="19"/>
      <c r="AC3208" s="19"/>
      <c r="AD3208" s="19"/>
      <c r="AE3208" s="19"/>
      <c r="AF3208" s="19"/>
      <c r="AG3208" s="19"/>
      <c r="AH3208" s="19"/>
      <c r="AI3208" s="19"/>
      <c r="AJ3208" s="19"/>
      <c r="AK3208" s="19"/>
      <c r="AL3208" s="6" t="str">
        <f t="array" ref="AL3208">IFERROR(IFS(XLOOKUP(B3208, 'Kit Delivery Status'!$U:$U, 'Kit Delivery Status'!$K:$K) = "Complete", "DELIVERED", XLOOKUP(B3208, 'Kit Delivery Status'!$U:$U, 'Kit Delivery Status'!$K:$K) = "Issue", "ISSUE"), "")</f>
        <v/>
      </c>
      <c r="AM3208" s="6"/>
    </row>
    <row r="3209">
      <c r="A3209" s="19"/>
      <c r="B3209" s="19"/>
      <c r="C3209" s="19"/>
      <c r="D3209" s="42"/>
      <c r="E3209" s="19"/>
      <c r="F3209" s="19"/>
      <c r="G3209" s="19"/>
      <c r="H3209" s="19"/>
      <c r="I3209" s="19"/>
      <c r="J3209" s="19"/>
      <c r="K3209" s="19"/>
      <c r="L3209" s="19"/>
      <c r="M3209" s="19"/>
      <c r="N3209" s="19"/>
      <c r="O3209" s="43"/>
      <c r="P3209" s="19"/>
      <c r="Q3209" s="19"/>
      <c r="R3209" s="19"/>
      <c r="S3209" s="19"/>
      <c r="T3209" s="19"/>
      <c r="U3209" s="19"/>
      <c r="V3209" s="44"/>
      <c r="W3209" s="19"/>
      <c r="X3209" s="19"/>
      <c r="Y3209" s="19"/>
      <c r="Z3209" s="19"/>
      <c r="AA3209" s="19"/>
      <c r="AB3209" s="19"/>
      <c r="AC3209" s="19"/>
      <c r="AD3209" s="19"/>
      <c r="AE3209" s="19"/>
      <c r="AF3209" s="19"/>
      <c r="AG3209" s="19"/>
      <c r="AH3209" s="19"/>
      <c r="AI3209" s="19"/>
      <c r="AJ3209" s="19"/>
      <c r="AK3209" s="19"/>
      <c r="AL3209" s="6" t="str">
        <f t="array" ref="AL3209">IFERROR(IFS(XLOOKUP(B3209, 'Kit Delivery Status'!$U:$U, 'Kit Delivery Status'!$K:$K) = "Complete", "DELIVERED", XLOOKUP(B3209, 'Kit Delivery Status'!$U:$U, 'Kit Delivery Status'!$K:$K) = "Issue", "ISSUE"), "")</f>
        <v/>
      </c>
      <c r="AM3209" s="6"/>
    </row>
    <row r="3210">
      <c r="A3210" s="19"/>
      <c r="B3210" s="19"/>
      <c r="C3210" s="19"/>
      <c r="D3210" s="42"/>
      <c r="E3210" s="19"/>
      <c r="F3210" s="19"/>
      <c r="G3210" s="19"/>
      <c r="H3210" s="19"/>
      <c r="I3210" s="19"/>
      <c r="J3210" s="19"/>
      <c r="K3210" s="19"/>
      <c r="L3210" s="19"/>
      <c r="M3210" s="19"/>
      <c r="N3210" s="19"/>
      <c r="O3210" s="43"/>
      <c r="P3210" s="19"/>
      <c r="Q3210" s="19"/>
      <c r="R3210" s="19"/>
      <c r="S3210" s="19"/>
      <c r="T3210" s="19"/>
      <c r="U3210" s="19"/>
      <c r="V3210" s="44"/>
      <c r="W3210" s="19"/>
      <c r="X3210" s="19"/>
      <c r="Y3210" s="19"/>
      <c r="Z3210" s="19"/>
      <c r="AA3210" s="19"/>
      <c r="AB3210" s="19"/>
      <c r="AC3210" s="19"/>
      <c r="AD3210" s="19"/>
      <c r="AE3210" s="19"/>
      <c r="AF3210" s="19"/>
      <c r="AG3210" s="19"/>
      <c r="AH3210" s="19"/>
      <c r="AI3210" s="19"/>
      <c r="AJ3210" s="19"/>
      <c r="AK3210" s="19"/>
      <c r="AL3210" s="6" t="str">
        <f t="array" ref="AL3210">IFERROR(IFS(XLOOKUP(B3210, 'Kit Delivery Status'!$U:$U, 'Kit Delivery Status'!$K:$K) = "Complete", "DELIVERED", XLOOKUP(B3210, 'Kit Delivery Status'!$U:$U, 'Kit Delivery Status'!$K:$K) = "Issue", "ISSUE"), "")</f>
        <v/>
      </c>
      <c r="AM3210" s="6"/>
    </row>
    <row r="3211">
      <c r="A3211" s="19"/>
      <c r="B3211" s="19"/>
      <c r="C3211" s="19"/>
      <c r="D3211" s="42"/>
      <c r="E3211" s="19"/>
      <c r="F3211" s="19"/>
      <c r="G3211" s="19"/>
      <c r="H3211" s="19"/>
      <c r="I3211" s="19"/>
      <c r="J3211" s="19"/>
      <c r="K3211" s="19"/>
      <c r="L3211" s="19"/>
      <c r="M3211" s="19"/>
      <c r="N3211" s="19"/>
      <c r="O3211" s="43"/>
      <c r="P3211" s="19"/>
      <c r="Q3211" s="19"/>
      <c r="R3211" s="19"/>
      <c r="S3211" s="19"/>
      <c r="T3211" s="19"/>
      <c r="U3211" s="19"/>
      <c r="V3211" s="44"/>
      <c r="W3211" s="19"/>
      <c r="X3211" s="19"/>
      <c r="Y3211" s="19"/>
      <c r="Z3211" s="19"/>
      <c r="AA3211" s="19"/>
      <c r="AB3211" s="19"/>
      <c r="AC3211" s="19"/>
      <c r="AD3211" s="19"/>
      <c r="AE3211" s="19"/>
      <c r="AF3211" s="19"/>
      <c r="AG3211" s="19"/>
      <c r="AH3211" s="19"/>
      <c r="AI3211" s="19"/>
      <c r="AJ3211" s="19"/>
      <c r="AK3211" s="19"/>
      <c r="AL3211" s="6" t="str">
        <f t="array" ref="AL3211">IFERROR(IFS(XLOOKUP(B3211, 'Kit Delivery Status'!$U:$U, 'Kit Delivery Status'!$K:$K) = "Complete", "DELIVERED", XLOOKUP(B3211, 'Kit Delivery Status'!$U:$U, 'Kit Delivery Status'!$K:$K) = "Issue", "ISSUE"), "")</f>
        <v/>
      </c>
      <c r="AM3211" s="6"/>
    </row>
    <row r="3212">
      <c r="A3212" s="19"/>
      <c r="B3212" s="19"/>
      <c r="C3212" s="19"/>
      <c r="D3212" s="42"/>
      <c r="E3212" s="19"/>
      <c r="F3212" s="19"/>
      <c r="G3212" s="19"/>
      <c r="H3212" s="19"/>
      <c r="I3212" s="19"/>
      <c r="J3212" s="19"/>
      <c r="K3212" s="19"/>
      <c r="L3212" s="19"/>
      <c r="M3212" s="19"/>
      <c r="N3212" s="19"/>
      <c r="O3212" s="43"/>
      <c r="P3212" s="19"/>
      <c r="Q3212" s="19"/>
      <c r="R3212" s="19"/>
      <c r="S3212" s="19"/>
      <c r="T3212" s="19"/>
      <c r="U3212" s="19"/>
      <c r="V3212" s="44"/>
      <c r="W3212" s="19"/>
      <c r="X3212" s="19"/>
      <c r="Y3212" s="19"/>
      <c r="Z3212" s="19"/>
      <c r="AA3212" s="19"/>
      <c r="AB3212" s="19"/>
      <c r="AC3212" s="19"/>
      <c r="AD3212" s="19"/>
      <c r="AE3212" s="19"/>
      <c r="AF3212" s="19"/>
      <c r="AG3212" s="19"/>
      <c r="AH3212" s="19"/>
      <c r="AI3212" s="19"/>
      <c r="AJ3212" s="19"/>
      <c r="AK3212" s="19"/>
      <c r="AL3212" s="6" t="str">
        <f t="array" ref="AL3212">IFERROR(IFS(XLOOKUP(B3212, 'Kit Delivery Status'!$U:$U, 'Kit Delivery Status'!$K:$K) = "Complete", "DELIVERED", XLOOKUP(B3212, 'Kit Delivery Status'!$U:$U, 'Kit Delivery Status'!$K:$K) = "Issue", "ISSUE"), "")</f>
        <v/>
      </c>
      <c r="AM3212" s="6"/>
    </row>
    <row r="3213">
      <c r="A3213" s="19"/>
      <c r="B3213" s="19"/>
      <c r="C3213" s="19"/>
      <c r="D3213" s="42"/>
      <c r="E3213" s="19"/>
      <c r="F3213" s="19"/>
      <c r="G3213" s="19"/>
      <c r="H3213" s="19"/>
      <c r="I3213" s="19"/>
      <c r="J3213" s="19"/>
      <c r="K3213" s="19"/>
      <c r="L3213" s="19"/>
      <c r="M3213" s="19"/>
      <c r="N3213" s="19"/>
      <c r="O3213" s="43"/>
      <c r="P3213" s="19"/>
      <c r="Q3213" s="19"/>
      <c r="R3213" s="19"/>
      <c r="S3213" s="19"/>
      <c r="T3213" s="19"/>
      <c r="U3213" s="19"/>
      <c r="V3213" s="44"/>
      <c r="W3213" s="19"/>
      <c r="X3213" s="19"/>
      <c r="Y3213" s="19"/>
      <c r="Z3213" s="19"/>
      <c r="AA3213" s="19"/>
      <c r="AB3213" s="19"/>
      <c r="AC3213" s="19"/>
      <c r="AD3213" s="19"/>
      <c r="AE3213" s="19"/>
      <c r="AF3213" s="19"/>
      <c r="AG3213" s="19"/>
      <c r="AH3213" s="19"/>
      <c r="AI3213" s="19"/>
      <c r="AJ3213" s="19"/>
      <c r="AK3213" s="19"/>
      <c r="AL3213" s="6" t="str">
        <f t="array" ref="AL3213">IFERROR(IFS(XLOOKUP(B3213, 'Kit Delivery Status'!$U:$U, 'Kit Delivery Status'!$K:$K) = "Complete", "DELIVERED", XLOOKUP(B3213, 'Kit Delivery Status'!$U:$U, 'Kit Delivery Status'!$K:$K) = "Issue", "ISSUE"), "")</f>
        <v/>
      </c>
      <c r="AM3213" s="6"/>
    </row>
    <row r="3214">
      <c r="A3214" s="19"/>
      <c r="B3214" s="19"/>
      <c r="C3214" s="19"/>
      <c r="D3214" s="42"/>
      <c r="E3214" s="19"/>
      <c r="F3214" s="19"/>
      <c r="G3214" s="19"/>
      <c r="H3214" s="19"/>
      <c r="I3214" s="19"/>
      <c r="J3214" s="19"/>
      <c r="K3214" s="19"/>
      <c r="L3214" s="19"/>
      <c r="M3214" s="19"/>
      <c r="N3214" s="19"/>
      <c r="O3214" s="43"/>
      <c r="P3214" s="19"/>
      <c r="Q3214" s="19"/>
      <c r="R3214" s="19"/>
      <c r="S3214" s="19"/>
      <c r="T3214" s="19"/>
      <c r="U3214" s="19"/>
      <c r="V3214" s="44"/>
      <c r="W3214" s="19"/>
      <c r="X3214" s="19"/>
      <c r="Y3214" s="19"/>
      <c r="Z3214" s="19"/>
      <c r="AA3214" s="19"/>
      <c r="AB3214" s="19"/>
      <c r="AC3214" s="19"/>
      <c r="AD3214" s="19"/>
      <c r="AE3214" s="19"/>
      <c r="AF3214" s="19"/>
      <c r="AG3214" s="19"/>
      <c r="AH3214" s="19"/>
      <c r="AI3214" s="19"/>
      <c r="AJ3214" s="19"/>
      <c r="AK3214" s="19"/>
      <c r="AL3214" s="6" t="str">
        <f t="array" ref="AL3214">IFERROR(IFS(XLOOKUP(B3214, 'Kit Delivery Status'!$U:$U, 'Kit Delivery Status'!$K:$K) = "Complete", "DELIVERED", XLOOKUP(B3214, 'Kit Delivery Status'!$U:$U, 'Kit Delivery Status'!$K:$K) = "Issue", "ISSUE"), "")</f>
        <v/>
      </c>
      <c r="AM3214" s="6"/>
    </row>
    <row r="3215">
      <c r="A3215" s="19"/>
      <c r="B3215" s="19"/>
      <c r="C3215" s="19"/>
      <c r="D3215" s="42"/>
      <c r="E3215" s="19"/>
      <c r="F3215" s="19"/>
      <c r="G3215" s="19"/>
      <c r="H3215" s="19"/>
      <c r="I3215" s="19"/>
      <c r="J3215" s="19"/>
      <c r="K3215" s="19"/>
      <c r="L3215" s="19"/>
      <c r="M3215" s="19"/>
      <c r="N3215" s="19"/>
      <c r="O3215" s="43"/>
      <c r="P3215" s="19"/>
      <c r="Q3215" s="19"/>
      <c r="R3215" s="19"/>
      <c r="S3215" s="19"/>
      <c r="T3215" s="19"/>
      <c r="U3215" s="19"/>
      <c r="V3215" s="44"/>
      <c r="W3215" s="19"/>
      <c r="X3215" s="19"/>
      <c r="Y3215" s="19"/>
      <c r="Z3215" s="19"/>
      <c r="AA3215" s="19"/>
      <c r="AB3215" s="19"/>
      <c r="AC3215" s="19"/>
      <c r="AD3215" s="19"/>
      <c r="AE3215" s="19"/>
      <c r="AF3215" s="19"/>
      <c r="AG3215" s="19"/>
      <c r="AH3215" s="19"/>
      <c r="AI3215" s="19"/>
      <c r="AJ3215" s="19"/>
      <c r="AK3215" s="19"/>
      <c r="AL3215" s="6" t="str">
        <f t="array" ref="AL3215">IFERROR(IFS(XLOOKUP(B3215, 'Kit Delivery Status'!$U:$U, 'Kit Delivery Status'!$K:$K) = "Complete", "DELIVERED", XLOOKUP(B3215, 'Kit Delivery Status'!$U:$U, 'Kit Delivery Status'!$K:$K) = "Issue", "ISSUE"), "")</f>
        <v/>
      </c>
      <c r="AM3215" s="6"/>
    </row>
    <row r="3216">
      <c r="A3216" s="19"/>
      <c r="B3216" s="19"/>
      <c r="C3216" s="19"/>
      <c r="D3216" s="42"/>
      <c r="E3216" s="19"/>
      <c r="F3216" s="19"/>
      <c r="G3216" s="19"/>
      <c r="H3216" s="19"/>
      <c r="I3216" s="19"/>
      <c r="J3216" s="19"/>
      <c r="K3216" s="19"/>
      <c r="L3216" s="19"/>
      <c r="M3216" s="19"/>
      <c r="N3216" s="19"/>
      <c r="O3216" s="43"/>
      <c r="P3216" s="19"/>
      <c r="Q3216" s="19"/>
      <c r="R3216" s="19"/>
      <c r="S3216" s="19"/>
      <c r="T3216" s="19"/>
      <c r="U3216" s="19"/>
      <c r="V3216" s="44"/>
      <c r="W3216" s="19"/>
      <c r="X3216" s="19"/>
      <c r="Y3216" s="19"/>
      <c r="Z3216" s="19"/>
      <c r="AA3216" s="19"/>
      <c r="AB3216" s="19"/>
      <c r="AC3216" s="19"/>
      <c r="AD3216" s="19"/>
      <c r="AE3216" s="19"/>
      <c r="AF3216" s="19"/>
      <c r="AG3216" s="19"/>
      <c r="AH3216" s="19"/>
      <c r="AI3216" s="19"/>
      <c r="AJ3216" s="19"/>
      <c r="AK3216" s="19"/>
      <c r="AL3216" s="6" t="str">
        <f t="array" ref="AL3216">IFERROR(IFS(XLOOKUP(B3216, 'Kit Delivery Status'!$U:$U, 'Kit Delivery Status'!$K:$K) = "Complete", "DELIVERED", XLOOKUP(B3216, 'Kit Delivery Status'!$U:$U, 'Kit Delivery Status'!$K:$K) = "Issue", "ISSUE"), "")</f>
        <v/>
      </c>
      <c r="AM3216" s="6"/>
    </row>
    <row r="3217">
      <c r="A3217" s="19"/>
      <c r="B3217" s="19"/>
      <c r="C3217" s="19"/>
      <c r="D3217" s="42"/>
      <c r="E3217" s="19"/>
      <c r="F3217" s="19"/>
      <c r="G3217" s="19"/>
      <c r="H3217" s="19"/>
      <c r="I3217" s="19"/>
      <c r="J3217" s="19"/>
      <c r="K3217" s="19"/>
      <c r="L3217" s="19"/>
      <c r="M3217" s="19"/>
      <c r="N3217" s="19"/>
      <c r="O3217" s="43"/>
      <c r="P3217" s="19"/>
      <c r="Q3217" s="19"/>
      <c r="R3217" s="19"/>
      <c r="S3217" s="19"/>
      <c r="T3217" s="19"/>
      <c r="U3217" s="19"/>
      <c r="V3217" s="44"/>
      <c r="W3217" s="19"/>
      <c r="X3217" s="19"/>
      <c r="Y3217" s="19"/>
      <c r="Z3217" s="19"/>
      <c r="AA3217" s="19"/>
      <c r="AB3217" s="19"/>
      <c r="AC3217" s="19"/>
      <c r="AD3217" s="19"/>
      <c r="AE3217" s="19"/>
      <c r="AF3217" s="19"/>
      <c r="AG3217" s="19"/>
      <c r="AH3217" s="19"/>
      <c r="AI3217" s="19"/>
      <c r="AJ3217" s="19"/>
      <c r="AK3217" s="19"/>
      <c r="AL3217" s="6" t="str">
        <f t="array" ref="AL3217">IFERROR(IFS(XLOOKUP(B3217, 'Kit Delivery Status'!$U:$U, 'Kit Delivery Status'!$K:$K) = "Complete", "DELIVERED", XLOOKUP(B3217, 'Kit Delivery Status'!$U:$U, 'Kit Delivery Status'!$K:$K) = "Issue", "ISSUE"), "")</f>
        <v/>
      </c>
      <c r="AM3217" s="6"/>
    </row>
    <row r="3218">
      <c r="A3218" s="19"/>
      <c r="B3218" s="19"/>
      <c r="C3218" s="19"/>
      <c r="D3218" s="42"/>
      <c r="E3218" s="19"/>
      <c r="F3218" s="19"/>
      <c r="G3218" s="19"/>
      <c r="H3218" s="19"/>
      <c r="I3218" s="19"/>
      <c r="J3218" s="19"/>
      <c r="K3218" s="19"/>
      <c r="L3218" s="19"/>
      <c r="M3218" s="19"/>
      <c r="N3218" s="19"/>
      <c r="O3218" s="43"/>
      <c r="P3218" s="19"/>
      <c r="Q3218" s="19"/>
      <c r="R3218" s="19"/>
      <c r="S3218" s="19"/>
      <c r="T3218" s="19"/>
      <c r="U3218" s="19"/>
      <c r="V3218" s="44"/>
      <c r="W3218" s="19"/>
      <c r="X3218" s="19"/>
      <c r="Y3218" s="19"/>
      <c r="Z3218" s="19"/>
      <c r="AA3218" s="19"/>
      <c r="AB3218" s="19"/>
      <c r="AC3218" s="19"/>
      <c r="AD3218" s="19"/>
      <c r="AE3218" s="19"/>
      <c r="AF3218" s="19"/>
      <c r="AG3218" s="19"/>
      <c r="AH3218" s="19"/>
      <c r="AI3218" s="19"/>
      <c r="AJ3218" s="19"/>
      <c r="AK3218" s="19"/>
      <c r="AL3218" s="6" t="str">
        <f t="array" ref="AL3218">IFERROR(IFS(XLOOKUP(B3218, 'Kit Delivery Status'!$U:$U, 'Kit Delivery Status'!$K:$K) = "Complete", "DELIVERED", XLOOKUP(B3218, 'Kit Delivery Status'!$U:$U, 'Kit Delivery Status'!$K:$K) = "Issue", "ISSUE"), "")</f>
        <v/>
      </c>
      <c r="AM3218" s="6"/>
    </row>
    <row r="3219">
      <c r="A3219" s="19"/>
      <c r="B3219" s="19"/>
      <c r="C3219" s="19"/>
      <c r="D3219" s="42"/>
      <c r="E3219" s="19"/>
      <c r="F3219" s="19"/>
      <c r="G3219" s="19"/>
      <c r="H3219" s="19"/>
      <c r="I3219" s="19"/>
      <c r="J3219" s="19"/>
      <c r="K3219" s="19"/>
      <c r="L3219" s="19"/>
      <c r="M3219" s="19"/>
      <c r="N3219" s="19"/>
      <c r="O3219" s="43"/>
      <c r="P3219" s="19"/>
      <c r="Q3219" s="19"/>
      <c r="R3219" s="19"/>
      <c r="S3219" s="19"/>
      <c r="T3219" s="19"/>
      <c r="U3219" s="19"/>
      <c r="V3219" s="44"/>
      <c r="W3219" s="19"/>
      <c r="X3219" s="19"/>
      <c r="Y3219" s="19"/>
      <c r="Z3219" s="19"/>
      <c r="AA3219" s="19"/>
      <c r="AB3219" s="19"/>
      <c r="AC3219" s="19"/>
      <c r="AD3219" s="19"/>
      <c r="AE3219" s="19"/>
      <c r="AF3219" s="19"/>
      <c r="AG3219" s="19"/>
      <c r="AH3219" s="19"/>
      <c r="AI3219" s="19"/>
      <c r="AJ3219" s="19"/>
      <c r="AK3219" s="19"/>
      <c r="AL3219" s="6" t="str">
        <f t="array" ref="AL3219">IFERROR(IFS(XLOOKUP(B3219, 'Kit Delivery Status'!$U:$U, 'Kit Delivery Status'!$K:$K) = "Complete", "DELIVERED", XLOOKUP(B3219, 'Kit Delivery Status'!$U:$U, 'Kit Delivery Status'!$K:$K) = "Issue", "ISSUE"), "")</f>
        <v/>
      </c>
      <c r="AM3219" s="6"/>
    </row>
    <row r="3220">
      <c r="A3220" s="19"/>
      <c r="B3220" s="19"/>
      <c r="C3220" s="19"/>
      <c r="D3220" s="42"/>
      <c r="E3220" s="19"/>
      <c r="F3220" s="19"/>
      <c r="G3220" s="19"/>
      <c r="H3220" s="19"/>
      <c r="I3220" s="19"/>
      <c r="J3220" s="19"/>
      <c r="K3220" s="19"/>
      <c r="L3220" s="19"/>
      <c r="M3220" s="19"/>
      <c r="N3220" s="19"/>
      <c r="O3220" s="43"/>
      <c r="P3220" s="19"/>
      <c r="Q3220" s="19"/>
      <c r="R3220" s="19"/>
      <c r="S3220" s="19"/>
      <c r="T3220" s="19"/>
      <c r="U3220" s="19"/>
      <c r="V3220" s="44"/>
      <c r="W3220" s="19"/>
      <c r="X3220" s="19"/>
      <c r="Y3220" s="19"/>
      <c r="Z3220" s="19"/>
      <c r="AA3220" s="19"/>
      <c r="AB3220" s="19"/>
      <c r="AC3220" s="19"/>
      <c r="AD3220" s="19"/>
      <c r="AE3220" s="19"/>
      <c r="AF3220" s="19"/>
      <c r="AG3220" s="19"/>
      <c r="AH3220" s="19"/>
      <c r="AI3220" s="19"/>
      <c r="AJ3220" s="19"/>
      <c r="AK3220" s="19"/>
      <c r="AL3220" s="6" t="str">
        <f t="array" ref="AL3220">IFERROR(IFS(XLOOKUP(B3220, 'Kit Delivery Status'!$U:$U, 'Kit Delivery Status'!$K:$K) = "Complete", "DELIVERED", XLOOKUP(B3220, 'Kit Delivery Status'!$U:$U, 'Kit Delivery Status'!$K:$K) = "Issue", "ISSUE"), "")</f>
        <v/>
      </c>
      <c r="AM3220" s="6"/>
    </row>
    <row r="3221">
      <c r="A3221" s="19"/>
      <c r="B3221" s="19"/>
      <c r="C3221" s="19"/>
      <c r="D3221" s="42"/>
      <c r="E3221" s="19"/>
      <c r="F3221" s="19"/>
      <c r="G3221" s="19"/>
      <c r="H3221" s="19"/>
      <c r="I3221" s="19"/>
      <c r="J3221" s="19"/>
      <c r="K3221" s="19"/>
      <c r="L3221" s="19"/>
      <c r="M3221" s="19"/>
      <c r="N3221" s="19"/>
      <c r="O3221" s="43"/>
      <c r="P3221" s="19"/>
      <c r="Q3221" s="19"/>
      <c r="R3221" s="19"/>
      <c r="S3221" s="19"/>
      <c r="T3221" s="19"/>
      <c r="U3221" s="19"/>
      <c r="V3221" s="44"/>
      <c r="W3221" s="19"/>
      <c r="X3221" s="19"/>
      <c r="Y3221" s="19"/>
      <c r="Z3221" s="19"/>
      <c r="AA3221" s="19"/>
      <c r="AB3221" s="19"/>
      <c r="AC3221" s="19"/>
      <c r="AD3221" s="19"/>
      <c r="AE3221" s="19"/>
      <c r="AF3221" s="19"/>
      <c r="AG3221" s="19"/>
      <c r="AH3221" s="19"/>
      <c r="AI3221" s="19"/>
      <c r="AJ3221" s="19"/>
      <c r="AK3221" s="19"/>
      <c r="AL3221" s="6" t="str">
        <f t="array" ref="AL3221">IFERROR(IFS(XLOOKUP(B3221, 'Kit Delivery Status'!$U:$U, 'Kit Delivery Status'!$K:$K) = "Complete", "DELIVERED", XLOOKUP(B3221, 'Kit Delivery Status'!$U:$U, 'Kit Delivery Status'!$K:$K) = "Issue", "ISSUE"), "")</f>
        <v/>
      </c>
      <c r="AM3221" s="6"/>
    </row>
    <row r="3222">
      <c r="A3222" s="19"/>
      <c r="B3222" s="19"/>
      <c r="C3222" s="19"/>
      <c r="D3222" s="42"/>
      <c r="E3222" s="19"/>
      <c r="F3222" s="19"/>
      <c r="G3222" s="19"/>
      <c r="H3222" s="19"/>
      <c r="I3222" s="19"/>
      <c r="J3222" s="19"/>
      <c r="K3222" s="19"/>
      <c r="L3222" s="19"/>
      <c r="M3222" s="19"/>
      <c r="N3222" s="19"/>
      <c r="O3222" s="43"/>
      <c r="P3222" s="19"/>
      <c r="Q3222" s="19"/>
      <c r="R3222" s="19"/>
      <c r="S3222" s="19"/>
      <c r="T3222" s="19"/>
      <c r="U3222" s="19"/>
      <c r="V3222" s="44"/>
      <c r="W3222" s="19"/>
      <c r="X3222" s="19"/>
      <c r="Y3222" s="19"/>
      <c r="Z3222" s="19"/>
      <c r="AA3222" s="19"/>
      <c r="AB3222" s="19"/>
      <c r="AC3222" s="19"/>
      <c r="AD3222" s="19"/>
      <c r="AE3222" s="19"/>
      <c r="AF3222" s="19"/>
      <c r="AG3222" s="19"/>
      <c r="AH3222" s="19"/>
      <c r="AI3222" s="19"/>
      <c r="AJ3222" s="19"/>
      <c r="AK3222" s="19"/>
      <c r="AL3222" s="6" t="str">
        <f t="array" ref="AL3222">IFERROR(IFS(XLOOKUP(B3222, 'Kit Delivery Status'!$U:$U, 'Kit Delivery Status'!$K:$K) = "Complete", "DELIVERED", XLOOKUP(B3222, 'Kit Delivery Status'!$U:$U, 'Kit Delivery Status'!$K:$K) = "Issue", "ISSUE"), "")</f>
        <v/>
      </c>
      <c r="AM3222" s="6"/>
    </row>
    <row r="3223">
      <c r="A3223" s="19"/>
      <c r="B3223" s="19"/>
      <c r="C3223" s="19"/>
      <c r="D3223" s="42"/>
      <c r="E3223" s="19"/>
      <c r="F3223" s="19"/>
      <c r="G3223" s="19"/>
      <c r="H3223" s="19"/>
      <c r="I3223" s="19"/>
      <c r="J3223" s="19"/>
      <c r="K3223" s="19"/>
      <c r="L3223" s="19"/>
      <c r="M3223" s="19"/>
      <c r="N3223" s="19"/>
      <c r="O3223" s="43"/>
      <c r="P3223" s="19"/>
      <c r="Q3223" s="19"/>
      <c r="R3223" s="19"/>
      <c r="S3223" s="19"/>
      <c r="T3223" s="19"/>
      <c r="U3223" s="19"/>
      <c r="V3223" s="44"/>
      <c r="W3223" s="19"/>
      <c r="X3223" s="19"/>
      <c r="Y3223" s="19"/>
      <c r="Z3223" s="19"/>
      <c r="AA3223" s="19"/>
      <c r="AB3223" s="19"/>
      <c r="AC3223" s="19"/>
      <c r="AD3223" s="19"/>
      <c r="AE3223" s="19"/>
      <c r="AF3223" s="19"/>
      <c r="AG3223" s="19"/>
      <c r="AH3223" s="19"/>
      <c r="AI3223" s="19"/>
      <c r="AJ3223" s="19"/>
      <c r="AK3223" s="19"/>
      <c r="AL3223" s="6" t="str">
        <f t="array" ref="AL3223">IFERROR(IFS(XLOOKUP(B3223, 'Kit Delivery Status'!$U:$U, 'Kit Delivery Status'!$K:$K) = "Complete", "DELIVERED", XLOOKUP(B3223, 'Kit Delivery Status'!$U:$U, 'Kit Delivery Status'!$K:$K) = "Issue", "ISSUE"), "")</f>
        <v/>
      </c>
      <c r="AM3223" s="6"/>
    </row>
    <row r="3224">
      <c r="A3224" s="19"/>
      <c r="B3224" s="19"/>
      <c r="C3224" s="19"/>
      <c r="D3224" s="42"/>
      <c r="E3224" s="19"/>
      <c r="F3224" s="19"/>
      <c r="G3224" s="19"/>
      <c r="H3224" s="19"/>
      <c r="I3224" s="19"/>
      <c r="J3224" s="19"/>
      <c r="K3224" s="19"/>
      <c r="L3224" s="19"/>
      <c r="M3224" s="19"/>
      <c r="N3224" s="19"/>
      <c r="O3224" s="43"/>
      <c r="P3224" s="19"/>
      <c r="Q3224" s="19"/>
      <c r="R3224" s="19"/>
      <c r="S3224" s="19"/>
      <c r="T3224" s="19"/>
      <c r="U3224" s="19"/>
      <c r="V3224" s="44"/>
      <c r="W3224" s="19"/>
      <c r="X3224" s="19"/>
      <c r="Y3224" s="19"/>
      <c r="Z3224" s="19"/>
      <c r="AA3224" s="19"/>
      <c r="AB3224" s="19"/>
      <c r="AC3224" s="19"/>
      <c r="AD3224" s="19"/>
      <c r="AE3224" s="19"/>
      <c r="AF3224" s="19"/>
      <c r="AG3224" s="19"/>
      <c r="AH3224" s="19"/>
      <c r="AI3224" s="19"/>
      <c r="AJ3224" s="19"/>
      <c r="AK3224" s="19"/>
      <c r="AL3224" s="6" t="str">
        <f t="array" ref="AL3224">IFERROR(IFS(XLOOKUP(B3224, 'Kit Delivery Status'!$U:$U, 'Kit Delivery Status'!$K:$K) = "Complete", "DELIVERED", XLOOKUP(B3224, 'Kit Delivery Status'!$U:$U, 'Kit Delivery Status'!$K:$K) = "Issue", "ISSUE"), "")</f>
        <v/>
      </c>
      <c r="AM3224" s="6"/>
    </row>
    <row r="3225">
      <c r="A3225" s="19"/>
      <c r="B3225" s="19"/>
      <c r="C3225" s="19"/>
      <c r="D3225" s="42"/>
      <c r="E3225" s="19"/>
      <c r="F3225" s="19"/>
      <c r="G3225" s="19"/>
      <c r="H3225" s="19"/>
      <c r="I3225" s="19"/>
      <c r="J3225" s="19"/>
      <c r="K3225" s="19"/>
      <c r="L3225" s="19"/>
      <c r="M3225" s="19"/>
      <c r="N3225" s="19"/>
      <c r="O3225" s="43"/>
      <c r="P3225" s="19"/>
      <c r="Q3225" s="19"/>
      <c r="R3225" s="19"/>
      <c r="S3225" s="19"/>
      <c r="T3225" s="19"/>
      <c r="U3225" s="19"/>
      <c r="V3225" s="44"/>
      <c r="W3225" s="19"/>
      <c r="X3225" s="19"/>
      <c r="Y3225" s="19"/>
      <c r="Z3225" s="19"/>
      <c r="AA3225" s="19"/>
      <c r="AB3225" s="19"/>
      <c r="AC3225" s="19"/>
      <c r="AD3225" s="19"/>
      <c r="AE3225" s="19"/>
      <c r="AF3225" s="19"/>
      <c r="AG3225" s="19"/>
      <c r="AH3225" s="19"/>
      <c r="AI3225" s="19"/>
      <c r="AJ3225" s="19"/>
      <c r="AK3225" s="19"/>
      <c r="AL3225" s="6" t="str">
        <f t="array" ref="AL3225">IFERROR(IFS(XLOOKUP(B3225, 'Kit Delivery Status'!$U:$U, 'Kit Delivery Status'!$K:$K) = "Complete", "DELIVERED", XLOOKUP(B3225, 'Kit Delivery Status'!$U:$U, 'Kit Delivery Status'!$K:$K) = "Issue", "ISSUE"), "")</f>
        <v/>
      </c>
      <c r="AM3225" s="6"/>
    </row>
    <row r="3226">
      <c r="A3226" s="19"/>
      <c r="B3226" s="19"/>
      <c r="C3226" s="19"/>
      <c r="D3226" s="42"/>
      <c r="E3226" s="19"/>
      <c r="F3226" s="19"/>
      <c r="G3226" s="19"/>
      <c r="H3226" s="19"/>
      <c r="I3226" s="19"/>
      <c r="J3226" s="19"/>
      <c r="K3226" s="19"/>
      <c r="L3226" s="19"/>
      <c r="M3226" s="19"/>
      <c r="N3226" s="19"/>
      <c r="O3226" s="43"/>
      <c r="P3226" s="19"/>
      <c r="Q3226" s="19"/>
      <c r="R3226" s="19"/>
      <c r="S3226" s="19"/>
      <c r="T3226" s="19"/>
      <c r="U3226" s="19"/>
      <c r="V3226" s="44"/>
      <c r="W3226" s="19"/>
      <c r="X3226" s="19"/>
      <c r="Y3226" s="19"/>
      <c r="Z3226" s="19"/>
      <c r="AA3226" s="19"/>
      <c r="AB3226" s="19"/>
      <c r="AC3226" s="19"/>
      <c r="AD3226" s="19"/>
      <c r="AE3226" s="19"/>
      <c r="AF3226" s="19"/>
      <c r="AG3226" s="19"/>
      <c r="AH3226" s="19"/>
      <c r="AI3226" s="19"/>
      <c r="AJ3226" s="19"/>
      <c r="AK3226" s="19"/>
      <c r="AL3226" s="6" t="str">
        <f t="array" ref="AL3226">IFERROR(IFS(XLOOKUP(B3226, 'Kit Delivery Status'!$U:$U, 'Kit Delivery Status'!$K:$K) = "Complete", "DELIVERED", XLOOKUP(B3226, 'Kit Delivery Status'!$U:$U, 'Kit Delivery Status'!$K:$K) = "Issue", "ISSUE"), "")</f>
        <v/>
      </c>
      <c r="AM3226" s="6"/>
    </row>
    <row r="3227">
      <c r="A3227" s="19"/>
      <c r="B3227" s="19"/>
      <c r="C3227" s="19"/>
      <c r="D3227" s="42"/>
      <c r="E3227" s="19"/>
      <c r="F3227" s="19"/>
      <c r="G3227" s="19"/>
      <c r="H3227" s="19"/>
      <c r="I3227" s="19"/>
      <c r="J3227" s="19"/>
      <c r="K3227" s="19"/>
      <c r="L3227" s="19"/>
      <c r="M3227" s="19"/>
      <c r="N3227" s="19"/>
      <c r="O3227" s="43"/>
      <c r="P3227" s="19"/>
      <c r="Q3227" s="19"/>
      <c r="R3227" s="19"/>
      <c r="S3227" s="19"/>
      <c r="T3227" s="19"/>
      <c r="U3227" s="19"/>
      <c r="V3227" s="44"/>
      <c r="W3227" s="19"/>
      <c r="X3227" s="19"/>
      <c r="Y3227" s="19"/>
      <c r="Z3227" s="19"/>
      <c r="AA3227" s="19"/>
      <c r="AB3227" s="19"/>
      <c r="AC3227" s="19"/>
      <c r="AD3227" s="19"/>
      <c r="AE3227" s="19"/>
      <c r="AF3227" s="19"/>
      <c r="AG3227" s="19"/>
      <c r="AH3227" s="19"/>
      <c r="AI3227" s="19"/>
      <c r="AJ3227" s="19"/>
      <c r="AK3227" s="19"/>
      <c r="AL3227" s="6" t="str">
        <f t="array" ref="AL3227">IFERROR(IFS(XLOOKUP(B3227, 'Kit Delivery Status'!$U:$U, 'Kit Delivery Status'!$K:$K) = "Complete", "DELIVERED", XLOOKUP(B3227, 'Kit Delivery Status'!$U:$U, 'Kit Delivery Status'!$K:$K) = "Issue", "ISSUE"), "")</f>
        <v/>
      </c>
      <c r="AM3227" s="6"/>
    </row>
    <row r="3228">
      <c r="A3228" s="19"/>
      <c r="B3228" s="19"/>
      <c r="C3228" s="19"/>
      <c r="D3228" s="42"/>
      <c r="E3228" s="19"/>
      <c r="F3228" s="19"/>
      <c r="G3228" s="19"/>
      <c r="H3228" s="19"/>
      <c r="I3228" s="19"/>
      <c r="J3228" s="19"/>
      <c r="K3228" s="19"/>
      <c r="L3228" s="19"/>
      <c r="M3228" s="19"/>
      <c r="N3228" s="19"/>
      <c r="O3228" s="43"/>
      <c r="P3228" s="19"/>
      <c r="Q3228" s="19"/>
      <c r="R3228" s="19"/>
      <c r="S3228" s="19"/>
      <c r="T3228" s="19"/>
      <c r="U3228" s="19"/>
      <c r="V3228" s="44"/>
      <c r="W3228" s="19"/>
      <c r="X3228" s="19"/>
      <c r="Y3228" s="19"/>
      <c r="Z3228" s="19"/>
      <c r="AA3228" s="19"/>
      <c r="AB3228" s="19"/>
      <c r="AC3228" s="19"/>
      <c r="AD3228" s="19"/>
      <c r="AE3228" s="19"/>
      <c r="AF3228" s="19"/>
      <c r="AG3228" s="19"/>
      <c r="AH3228" s="19"/>
      <c r="AI3228" s="19"/>
      <c r="AJ3228" s="19"/>
      <c r="AK3228" s="19"/>
      <c r="AL3228" s="6" t="str">
        <f t="array" ref="AL3228">IFERROR(IFS(XLOOKUP(B3228, 'Kit Delivery Status'!$U:$U, 'Kit Delivery Status'!$K:$K) = "Complete", "DELIVERED", XLOOKUP(B3228, 'Kit Delivery Status'!$U:$U, 'Kit Delivery Status'!$K:$K) = "Issue", "ISSUE"), "")</f>
        <v/>
      </c>
      <c r="AM3228" s="6"/>
    </row>
    <row r="3229">
      <c r="A3229" s="19"/>
      <c r="B3229" s="19"/>
      <c r="C3229" s="19"/>
      <c r="D3229" s="42"/>
      <c r="E3229" s="19"/>
      <c r="F3229" s="19"/>
      <c r="G3229" s="19"/>
      <c r="H3229" s="19"/>
      <c r="I3229" s="19"/>
      <c r="J3229" s="19"/>
      <c r="K3229" s="19"/>
      <c r="L3229" s="19"/>
      <c r="M3229" s="19"/>
      <c r="N3229" s="19"/>
      <c r="O3229" s="43"/>
      <c r="P3229" s="19"/>
      <c r="Q3229" s="19"/>
      <c r="R3229" s="19"/>
      <c r="S3229" s="19"/>
      <c r="T3229" s="19"/>
      <c r="U3229" s="19"/>
      <c r="V3229" s="44"/>
      <c r="W3229" s="19"/>
      <c r="X3229" s="19"/>
      <c r="Y3229" s="19"/>
      <c r="Z3229" s="19"/>
      <c r="AA3229" s="19"/>
      <c r="AB3229" s="19"/>
      <c r="AC3229" s="19"/>
      <c r="AD3229" s="19"/>
      <c r="AE3229" s="19"/>
      <c r="AF3229" s="19"/>
      <c r="AG3229" s="19"/>
      <c r="AH3229" s="19"/>
      <c r="AI3229" s="19"/>
      <c r="AJ3229" s="19"/>
      <c r="AK3229" s="19"/>
      <c r="AL3229" s="6" t="str">
        <f t="array" ref="AL3229">IFERROR(IFS(XLOOKUP(B3229, 'Kit Delivery Status'!$U:$U, 'Kit Delivery Status'!$K:$K) = "Complete", "DELIVERED", XLOOKUP(B3229, 'Kit Delivery Status'!$U:$U, 'Kit Delivery Status'!$K:$K) = "Issue", "ISSUE"), "")</f>
        <v/>
      </c>
      <c r="AM3229" s="6"/>
    </row>
    <row r="3230">
      <c r="A3230" s="19"/>
      <c r="B3230" s="19"/>
      <c r="C3230" s="19"/>
      <c r="D3230" s="42"/>
      <c r="E3230" s="19"/>
      <c r="F3230" s="19"/>
      <c r="G3230" s="19"/>
      <c r="H3230" s="19"/>
      <c r="I3230" s="19"/>
      <c r="J3230" s="19"/>
      <c r="K3230" s="19"/>
      <c r="L3230" s="19"/>
      <c r="M3230" s="19"/>
      <c r="N3230" s="19"/>
      <c r="O3230" s="43"/>
      <c r="P3230" s="19"/>
      <c r="Q3230" s="19"/>
      <c r="R3230" s="19"/>
      <c r="S3230" s="19"/>
      <c r="T3230" s="19"/>
      <c r="U3230" s="19"/>
      <c r="V3230" s="44"/>
      <c r="W3230" s="19"/>
      <c r="X3230" s="19"/>
      <c r="Y3230" s="19"/>
      <c r="Z3230" s="19"/>
      <c r="AA3230" s="19"/>
      <c r="AB3230" s="19"/>
      <c r="AC3230" s="19"/>
      <c r="AD3230" s="19"/>
      <c r="AE3230" s="19"/>
      <c r="AF3230" s="19"/>
      <c r="AG3230" s="19"/>
      <c r="AH3230" s="19"/>
      <c r="AI3230" s="19"/>
      <c r="AJ3230" s="19"/>
      <c r="AK3230" s="19"/>
      <c r="AL3230" s="6" t="str">
        <f t="array" ref="AL3230">IFERROR(IFS(XLOOKUP(B3230, 'Kit Delivery Status'!$U:$U, 'Kit Delivery Status'!$K:$K) = "Complete", "DELIVERED", XLOOKUP(B3230, 'Kit Delivery Status'!$U:$U, 'Kit Delivery Status'!$K:$K) = "Issue", "ISSUE"), "")</f>
        <v/>
      </c>
      <c r="AM3230" s="6"/>
    </row>
    <row r="3231">
      <c r="A3231" s="19"/>
      <c r="B3231" s="19"/>
      <c r="C3231" s="19"/>
      <c r="D3231" s="42"/>
      <c r="E3231" s="19"/>
      <c r="F3231" s="19"/>
      <c r="G3231" s="19"/>
      <c r="H3231" s="19"/>
      <c r="I3231" s="19"/>
      <c r="J3231" s="19"/>
      <c r="K3231" s="19"/>
      <c r="L3231" s="19"/>
      <c r="M3231" s="19"/>
      <c r="N3231" s="19"/>
      <c r="O3231" s="43"/>
      <c r="P3231" s="19"/>
      <c r="Q3231" s="19"/>
      <c r="R3231" s="19"/>
      <c r="S3231" s="19"/>
      <c r="T3231" s="19"/>
      <c r="U3231" s="19"/>
      <c r="V3231" s="44"/>
      <c r="W3231" s="19"/>
      <c r="X3231" s="19"/>
      <c r="Y3231" s="19"/>
      <c r="Z3231" s="19"/>
      <c r="AA3231" s="19"/>
      <c r="AB3231" s="19"/>
      <c r="AC3231" s="19"/>
      <c r="AD3231" s="19"/>
      <c r="AE3231" s="19"/>
      <c r="AF3231" s="19"/>
      <c r="AG3231" s="19"/>
      <c r="AH3231" s="19"/>
      <c r="AI3231" s="19"/>
      <c r="AJ3231" s="19"/>
      <c r="AK3231" s="19"/>
      <c r="AL3231" s="6" t="str">
        <f t="array" ref="AL3231">IFERROR(IFS(XLOOKUP(B3231, 'Kit Delivery Status'!$U:$U, 'Kit Delivery Status'!$K:$K) = "Complete", "DELIVERED", XLOOKUP(B3231, 'Kit Delivery Status'!$U:$U, 'Kit Delivery Status'!$K:$K) = "Issue", "ISSUE"), "")</f>
        <v/>
      </c>
      <c r="AM3231" s="6"/>
    </row>
    <row r="3232">
      <c r="A3232" s="19"/>
      <c r="B3232" s="19"/>
      <c r="C3232" s="19"/>
      <c r="D3232" s="42"/>
      <c r="E3232" s="19"/>
      <c r="F3232" s="19"/>
      <c r="G3232" s="19"/>
      <c r="H3232" s="19"/>
      <c r="I3232" s="19"/>
      <c r="J3232" s="19"/>
      <c r="K3232" s="19"/>
      <c r="L3232" s="19"/>
      <c r="M3232" s="19"/>
      <c r="N3232" s="19"/>
      <c r="O3232" s="43"/>
      <c r="P3232" s="19"/>
      <c r="Q3232" s="19"/>
      <c r="R3232" s="19"/>
      <c r="S3232" s="19"/>
      <c r="T3232" s="19"/>
      <c r="U3232" s="19"/>
      <c r="V3232" s="44"/>
      <c r="W3232" s="19"/>
      <c r="X3232" s="19"/>
      <c r="Y3232" s="19"/>
      <c r="Z3232" s="19"/>
      <c r="AA3232" s="19"/>
      <c r="AB3232" s="19"/>
      <c r="AC3232" s="19"/>
      <c r="AD3232" s="19"/>
      <c r="AE3232" s="19"/>
      <c r="AF3232" s="19"/>
      <c r="AG3232" s="19"/>
      <c r="AH3232" s="19"/>
      <c r="AI3232" s="19"/>
      <c r="AJ3232" s="19"/>
      <c r="AK3232" s="19"/>
      <c r="AL3232" s="6" t="str">
        <f t="array" ref="AL3232">IFERROR(IFS(XLOOKUP(B3232, 'Kit Delivery Status'!$U:$U, 'Kit Delivery Status'!$K:$K) = "Complete", "DELIVERED", XLOOKUP(B3232, 'Kit Delivery Status'!$U:$U, 'Kit Delivery Status'!$K:$K) = "Issue", "ISSUE"), "")</f>
        <v/>
      </c>
      <c r="AM3232" s="6"/>
    </row>
    <row r="3233">
      <c r="A3233" s="19"/>
      <c r="B3233" s="19"/>
      <c r="C3233" s="19"/>
      <c r="D3233" s="42"/>
      <c r="E3233" s="19"/>
      <c r="F3233" s="19"/>
      <c r="G3233" s="19"/>
      <c r="H3233" s="19"/>
      <c r="I3233" s="19"/>
      <c r="J3233" s="19"/>
      <c r="K3233" s="19"/>
      <c r="L3233" s="19"/>
      <c r="M3233" s="19"/>
      <c r="N3233" s="19"/>
      <c r="O3233" s="43"/>
      <c r="P3233" s="19"/>
      <c r="Q3233" s="19"/>
      <c r="R3233" s="19"/>
      <c r="S3233" s="19"/>
      <c r="T3233" s="19"/>
      <c r="U3233" s="19"/>
      <c r="V3233" s="44"/>
      <c r="W3233" s="19"/>
      <c r="X3233" s="19"/>
      <c r="Y3233" s="19"/>
      <c r="Z3233" s="19"/>
      <c r="AA3233" s="19"/>
      <c r="AB3233" s="19"/>
      <c r="AC3233" s="19"/>
      <c r="AD3233" s="19"/>
      <c r="AE3233" s="19"/>
      <c r="AF3233" s="19"/>
      <c r="AG3233" s="19"/>
      <c r="AH3233" s="19"/>
      <c r="AI3233" s="19"/>
      <c r="AJ3233" s="19"/>
      <c r="AK3233" s="19"/>
      <c r="AL3233" s="6" t="str">
        <f t="array" ref="AL3233">IFERROR(IFS(XLOOKUP(B3233, 'Kit Delivery Status'!$U:$U, 'Kit Delivery Status'!$K:$K) = "Complete", "DELIVERED", XLOOKUP(B3233, 'Kit Delivery Status'!$U:$U, 'Kit Delivery Status'!$K:$K) = "Issue", "ISSUE"), "")</f>
        <v/>
      </c>
      <c r="AM3233" s="6"/>
    </row>
    <row r="3234">
      <c r="A3234" s="19"/>
      <c r="B3234" s="19"/>
      <c r="C3234" s="19"/>
      <c r="D3234" s="42"/>
      <c r="E3234" s="19"/>
      <c r="F3234" s="19"/>
      <c r="G3234" s="19"/>
      <c r="H3234" s="19"/>
      <c r="I3234" s="19"/>
      <c r="J3234" s="19"/>
      <c r="K3234" s="19"/>
      <c r="L3234" s="19"/>
      <c r="M3234" s="19"/>
      <c r="N3234" s="19"/>
      <c r="O3234" s="43"/>
      <c r="P3234" s="19"/>
      <c r="Q3234" s="19"/>
      <c r="R3234" s="19"/>
      <c r="S3234" s="19"/>
      <c r="T3234" s="19"/>
      <c r="U3234" s="19"/>
      <c r="V3234" s="44"/>
      <c r="W3234" s="19"/>
      <c r="X3234" s="19"/>
      <c r="Y3234" s="19"/>
      <c r="Z3234" s="19"/>
      <c r="AA3234" s="19"/>
      <c r="AB3234" s="19"/>
      <c r="AC3234" s="19"/>
      <c r="AD3234" s="19"/>
      <c r="AE3234" s="19"/>
      <c r="AF3234" s="19"/>
      <c r="AG3234" s="19"/>
      <c r="AH3234" s="19"/>
      <c r="AI3234" s="19"/>
      <c r="AJ3234" s="19"/>
      <c r="AK3234" s="19"/>
      <c r="AL3234" s="6" t="str">
        <f t="array" ref="AL3234">IFERROR(IFS(XLOOKUP(B3234, 'Kit Delivery Status'!$U:$U, 'Kit Delivery Status'!$K:$K) = "Complete", "DELIVERED", XLOOKUP(B3234, 'Kit Delivery Status'!$U:$U, 'Kit Delivery Status'!$K:$K) = "Issue", "ISSUE"), "")</f>
        <v/>
      </c>
      <c r="AM3234" s="6"/>
    </row>
    <row r="3235">
      <c r="A3235" s="19"/>
      <c r="B3235" s="19"/>
      <c r="C3235" s="19"/>
      <c r="D3235" s="42"/>
      <c r="E3235" s="19"/>
      <c r="F3235" s="19"/>
      <c r="G3235" s="19"/>
      <c r="H3235" s="19"/>
      <c r="I3235" s="19"/>
      <c r="J3235" s="19"/>
      <c r="K3235" s="19"/>
      <c r="L3235" s="19"/>
      <c r="M3235" s="19"/>
      <c r="N3235" s="19"/>
      <c r="O3235" s="43"/>
      <c r="P3235" s="19"/>
      <c r="Q3235" s="19"/>
      <c r="R3235" s="19"/>
      <c r="S3235" s="19"/>
      <c r="T3235" s="19"/>
      <c r="U3235" s="19"/>
      <c r="V3235" s="44"/>
      <c r="W3235" s="19"/>
      <c r="X3235" s="19"/>
      <c r="Y3235" s="19"/>
      <c r="Z3235" s="19"/>
      <c r="AA3235" s="19"/>
      <c r="AB3235" s="19"/>
      <c r="AC3235" s="19"/>
      <c r="AD3235" s="19"/>
      <c r="AE3235" s="19"/>
      <c r="AF3235" s="19"/>
      <c r="AG3235" s="19"/>
      <c r="AH3235" s="19"/>
      <c r="AI3235" s="19"/>
      <c r="AJ3235" s="19"/>
      <c r="AK3235" s="19"/>
      <c r="AL3235" s="6" t="str">
        <f t="array" ref="AL3235">IFERROR(IFS(XLOOKUP(B3235, 'Kit Delivery Status'!$U:$U, 'Kit Delivery Status'!$K:$K) = "Complete", "DELIVERED", XLOOKUP(B3235, 'Kit Delivery Status'!$U:$U, 'Kit Delivery Status'!$K:$K) = "Issue", "ISSUE"), "")</f>
        <v/>
      </c>
      <c r="AM3235" s="6"/>
    </row>
    <row r="3236">
      <c r="A3236" s="19"/>
      <c r="B3236" s="19"/>
      <c r="C3236" s="19"/>
      <c r="D3236" s="42"/>
      <c r="E3236" s="19"/>
      <c r="F3236" s="19"/>
      <c r="G3236" s="19"/>
      <c r="H3236" s="19"/>
      <c r="I3236" s="19"/>
      <c r="J3236" s="19"/>
      <c r="K3236" s="19"/>
      <c r="L3236" s="19"/>
      <c r="M3236" s="19"/>
      <c r="N3236" s="19"/>
      <c r="O3236" s="43"/>
      <c r="P3236" s="19"/>
      <c r="Q3236" s="19"/>
      <c r="R3236" s="19"/>
      <c r="S3236" s="19"/>
      <c r="T3236" s="19"/>
      <c r="U3236" s="19"/>
      <c r="V3236" s="44"/>
      <c r="W3236" s="19"/>
      <c r="X3236" s="19"/>
      <c r="Y3236" s="19"/>
      <c r="Z3236" s="19"/>
      <c r="AA3236" s="19"/>
      <c r="AB3236" s="19"/>
      <c r="AC3236" s="19"/>
      <c r="AD3236" s="19"/>
      <c r="AE3236" s="19"/>
      <c r="AF3236" s="19"/>
      <c r="AG3236" s="19"/>
      <c r="AH3236" s="19"/>
      <c r="AI3236" s="19"/>
      <c r="AJ3236" s="19"/>
      <c r="AK3236" s="19"/>
      <c r="AL3236" s="6" t="str">
        <f t="array" ref="AL3236">IFERROR(IFS(XLOOKUP(B3236, 'Kit Delivery Status'!$U:$U, 'Kit Delivery Status'!$K:$K) = "Complete", "DELIVERED", XLOOKUP(B3236, 'Kit Delivery Status'!$U:$U, 'Kit Delivery Status'!$K:$K) = "Issue", "ISSUE"), "")</f>
        <v/>
      </c>
      <c r="AM3236" s="6"/>
    </row>
    <row r="3237">
      <c r="A3237" s="19"/>
      <c r="B3237" s="19"/>
      <c r="C3237" s="19"/>
      <c r="D3237" s="42"/>
      <c r="E3237" s="19"/>
      <c r="F3237" s="19"/>
      <c r="G3237" s="19"/>
      <c r="H3237" s="19"/>
      <c r="I3237" s="19"/>
      <c r="J3237" s="19"/>
      <c r="K3237" s="19"/>
      <c r="L3237" s="19"/>
      <c r="M3237" s="19"/>
      <c r="N3237" s="19"/>
      <c r="O3237" s="43"/>
      <c r="P3237" s="19"/>
      <c r="Q3237" s="19"/>
      <c r="R3237" s="19"/>
      <c r="S3237" s="19"/>
      <c r="T3237" s="19"/>
      <c r="U3237" s="19"/>
      <c r="V3237" s="44"/>
      <c r="W3237" s="19"/>
      <c r="X3237" s="19"/>
      <c r="Y3237" s="19"/>
      <c r="Z3237" s="19"/>
      <c r="AA3237" s="19"/>
      <c r="AB3237" s="19"/>
      <c r="AC3237" s="19"/>
      <c r="AD3237" s="19"/>
      <c r="AE3237" s="19"/>
      <c r="AF3237" s="19"/>
      <c r="AG3237" s="19"/>
      <c r="AH3237" s="19"/>
      <c r="AI3237" s="19"/>
      <c r="AJ3237" s="19"/>
      <c r="AK3237" s="19"/>
      <c r="AL3237" s="6" t="str">
        <f t="array" ref="AL3237">IFERROR(IFS(XLOOKUP(B3237, 'Kit Delivery Status'!$U:$U, 'Kit Delivery Status'!$K:$K) = "Complete", "DELIVERED", XLOOKUP(B3237, 'Kit Delivery Status'!$U:$U, 'Kit Delivery Status'!$K:$K) = "Issue", "ISSUE"), "")</f>
        <v/>
      </c>
      <c r="AM3237" s="6"/>
    </row>
    <row r="3238">
      <c r="A3238" s="19"/>
      <c r="B3238" s="19"/>
      <c r="C3238" s="19"/>
      <c r="D3238" s="42"/>
      <c r="E3238" s="19"/>
      <c r="F3238" s="19"/>
      <c r="G3238" s="19"/>
      <c r="H3238" s="19"/>
      <c r="I3238" s="19"/>
      <c r="J3238" s="19"/>
      <c r="K3238" s="19"/>
      <c r="L3238" s="19"/>
      <c r="M3238" s="19"/>
      <c r="N3238" s="19"/>
      <c r="O3238" s="43"/>
      <c r="P3238" s="19"/>
      <c r="Q3238" s="19"/>
      <c r="R3238" s="19"/>
      <c r="S3238" s="19"/>
      <c r="T3238" s="19"/>
      <c r="U3238" s="19"/>
      <c r="V3238" s="44"/>
      <c r="W3238" s="19"/>
      <c r="X3238" s="19"/>
      <c r="Y3238" s="19"/>
      <c r="Z3238" s="19"/>
      <c r="AA3238" s="19"/>
      <c r="AB3238" s="19"/>
      <c r="AC3238" s="19"/>
      <c r="AD3238" s="19"/>
      <c r="AE3238" s="19"/>
      <c r="AF3238" s="19"/>
      <c r="AG3238" s="19"/>
      <c r="AH3238" s="19"/>
      <c r="AI3238" s="19"/>
      <c r="AJ3238" s="19"/>
      <c r="AK3238" s="19"/>
      <c r="AL3238" s="6" t="str">
        <f t="array" ref="AL3238">IFERROR(IFS(XLOOKUP(B3238, 'Kit Delivery Status'!$U:$U, 'Kit Delivery Status'!$K:$K) = "Complete", "DELIVERED", XLOOKUP(B3238, 'Kit Delivery Status'!$U:$U, 'Kit Delivery Status'!$K:$K) = "Issue", "ISSUE"), "")</f>
        <v/>
      </c>
      <c r="AM3238" s="6"/>
    </row>
    <row r="3239">
      <c r="A3239" s="19"/>
      <c r="B3239" s="19"/>
      <c r="C3239" s="19"/>
      <c r="D3239" s="42"/>
      <c r="E3239" s="19"/>
      <c r="F3239" s="19"/>
      <c r="G3239" s="19"/>
      <c r="H3239" s="19"/>
      <c r="I3239" s="19"/>
      <c r="J3239" s="19"/>
      <c r="K3239" s="19"/>
      <c r="L3239" s="19"/>
      <c r="M3239" s="19"/>
      <c r="N3239" s="19"/>
      <c r="O3239" s="43"/>
      <c r="P3239" s="19"/>
      <c r="Q3239" s="19"/>
      <c r="R3239" s="19"/>
      <c r="S3239" s="19"/>
      <c r="T3239" s="19"/>
      <c r="U3239" s="19"/>
      <c r="V3239" s="44"/>
      <c r="W3239" s="19"/>
      <c r="X3239" s="19"/>
      <c r="Y3239" s="19"/>
      <c r="Z3239" s="19"/>
      <c r="AA3239" s="19"/>
      <c r="AB3239" s="19"/>
      <c r="AC3239" s="19"/>
      <c r="AD3239" s="19"/>
      <c r="AE3239" s="19"/>
      <c r="AF3239" s="19"/>
      <c r="AG3239" s="19"/>
      <c r="AH3239" s="19"/>
      <c r="AI3239" s="19"/>
      <c r="AJ3239" s="19"/>
      <c r="AK3239" s="19"/>
      <c r="AL3239" s="6" t="str">
        <f t="array" ref="AL3239">IFERROR(IFS(XLOOKUP(B3239, 'Kit Delivery Status'!$U:$U, 'Kit Delivery Status'!$K:$K) = "Complete", "DELIVERED", XLOOKUP(B3239, 'Kit Delivery Status'!$U:$U, 'Kit Delivery Status'!$K:$K) = "Issue", "ISSUE"), "")</f>
        <v/>
      </c>
      <c r="AM3239" s="6"/>
    </row>
    <row r="3240">
      <c r="A3240" s="19"/>
      <c r="B3240" s="19"/>
      <c r="C3240" s="19"/>
      <c r="D3240" s="42"/>
      <c r="E3240" s="19"/>
      <c r="F3240" s="19"/>
      <c r="G3240" s="19"/>
      <c r="H3240" s="19"/>
      <c r="I3240" s="19"/>
      <c r="J3240" s="19"/>
      <c r="K3240" s="19"/>
      <c r="L3240" s="19"/>
      <c r="M3240" s="19"/>
      <c r="N3240" s="19"/>
      <c r="O3240" s="43"/>
      <c r="P3240" s="19"/>
      <c r="Q3240" s="19"/>
      <c r="R3240" s="19"/>
      <c r="S3240" s="19"/>
      <c r="T3240" s="19"/>
      <c r="U3240" s="19"/>
      <c r="V3240" s="44"/>
      <c r="W3240" s="19"/>
      <c r="X3240" s="19"/>
      <c r="Y3240" s="19"/>
      <c r="Z3240" s="19"/>
      <c r="AA3240" s="19"/>
      <c r="AB3240" s="19"/>
      <c r="AC3240" s="19"/>
      <c r="AD3240" s="19"/>
      <c r="AE3240" s="19"/>
      <c r="AF3240" s="19"/>
      <c r="AG3240" s="19"/>
      <c r="AH3240" s="19"/>
      <c r="AI3240" s="19"/>
      <c r="AJ3240" s="19"/>
      <c r="AK3240" s="19"/>
      <c r="AL3240" s="6" t="str">
        <f t="array" ref="AL3240">IFERROR(IFS(XLOOKUP(B3240, 'Kit Delivery Status'!$U:$U, 'Kit Delivery Status'!$K:$K) = "Complete", "DELIVERED", XLOOKUP(B3240, 'Kit Delivery Status'!$U:$U, 'Kit Delivery Status'!$K:$K) = "Issue", "ISSUE"), "")</f>
        <v/>
      </c>
      <c r="AM3240" s="6"/>
    </row>
    <row r="3241">
      <c r="A3241" s="19"/>
      <c r="B3241" s="19"/>
      <c r="C3241" s="19"/>
      <c r="D3241" s="42"/>
      <c r="E3241" s="19"/>
      <c r="F3241" s="19"/>
      <c r="G3241" s="19"/>
      <c r="H3241" s="19"/>
      <c r="I3241" s="19"/>
      <c r="J3241" s="19"/>
      <c r="K3241" s="19"/>
      <c r="L3241" s="19"/>
      <c r="M3241" s="19"/>
      <c r="N3241" s="19"/>
      <c r="O3241" s="43"/>
      <c r="P3241" s="19"/>
      <c r="Q3241" s="19"/>
      <c r="R3241" s="19"/>
      <c r="S3241" s="19"/>
      <c r="T3241" s="19"/>
      <c r="U3241" s="19"/>
      <c r="V3241" s="44"/>
      <c r="W3241" s="19"/>
      <c r="X3241" s="19"/>
      <c r="Y3241" s="19"/>
      <c r="Z3241" s="19"/>
      <c r="AA3241" s="19"/>
      <c r="AB3241" s="19"/>
      <c r="AC3241" s="19"/>
      <c r="AD3241" s="19"/>
      <c r="AE3241" s="19"/>
      <c r="AF3241" s="19"/>
      <c r="AG3241" s="19"/>
      <c r="AH3241" s="19"/>
      <c r="AI3241" s="19"/>
      <c r="AJ3241" s="19"/>
      <c r="AK3241" s="19"/>
      <c r="AL3241" s="6" t="str">
        <f t="array" ref="AL3241">IFERROR(IFS(XLOOKUP(B3241, 'Kit Delivery Status'!$U:$U, 'Kit Delivery Status'!$K:$K) = "Complete", "DELIVERED", XLOOKUP(B3241, 'Kit Delivery Status'!$U:$U, 'Kit Delivery Status'!$K:$K) = "Issue", "ISSUE"), "")</f>
        <v/>
      </c>
      <c r="AM3241" s="6"/>
    </row>
    <row r="3242">
      <c r="A3242" s="19"/>
      <c r="B3242" s="19"/>
      <c r="C3242" s="19"/>
      <c r="D3242" s="42"/>
      <c r="E3242" s="19"/>
      <c r="F3242" s="19"/>
      <c r="G3242" s="19"/>
      <c r="H3242" s="19"/>
      <c r="I3242" s="19"/>
      <c r="J3242" s="19"/>
      <c r="K3242" s="19"/>
      <c r="L3242" s="19"/>
      <c r="M3242" s="19"/>
      <c r="N3242" s="19"/>
      <c r="O3242" s="43"/>
      <c r="P3242" s="19"/>
      <c r="Q3242" s="19"/>
      <c r="R3242" s="19"/>
      <c r="S3242" s="19"/>
      <c r="T3242" s="19"/>
      <c r="U3242" s="19"/>
      <c r="V3242" s="44"/>
      <c r="W3242" s="19"/>
      <c r="X3242" s="19"/>
      <c r="Y3242" s="19"/>
      <c r="Z3242" s="19"/>
      <c r="AA3242" s="19"/>
      <c r="AB3242" s="19"/>
      <c r="AC3242" s="19"/>
      <c r="AD3242" s="19"/>
      <c r="AE3242" s="19"/>
      <c r="AF3242" s="19"/>
      <c r="AG3242" s="19"/>
      <c r="AH3242" s="19"/>
      <c r="AI3242" s="19"/>
      <c r="AJ3242" s="19"/>
      <c r="AK3242" s="19"/>
      <c r="AL3242" s="6" t="str">
        <f t="array" ref="AL3242">IFERROR(IFS(XLOOKUP(B3242, 'Kit Delivery Status'!$U:$U, 'Kit Delivery Status'!$K:$K) = "Complete", "DELIVERED", XLOOKUP(B3242, 'Kit Delivery Status'!$U:$U, 'Kit Delivery Status'!$K:$K) = "Issue", "ISSUE"), "")</f>
        <v/>
      </c>
      <c r="AM3242" s="6"/>
    </row>
    <row r="3243">
      <c r="A3243" s="19"/>
      <c r="B3243" s="19"/>
      <c r="C3243" s="19"/>
      <c r="D3243" s="42"/>
      <c r="E3243" s="19"/>
      <c r="F3243" s="19"/>
      <c r="G3243" s="19"/>
      <c r="H3243" s="19"/>
      <c r="I3243" s="19"/>
      <c r="J3243" s="19"/>
      <c r="K3243" s="19"/>
      <c r="L3243" s="19"/>
      <c r="M3243" s="19"/>
      <c r="N3243" s="19"/>
      <c r="O3243" s="43"/>
      <c r="P3243" s="19"/>
      <c r="Q3243" s="19"/>
      <c r="R3243" s="19"/>
      <c r="S3243" s="19"/>
      <c r="T3243" s="19"/>
      <c r="U3243" s="19"/>
      <c r="V3243" s="44"/>
      <c r="W3243" s="19"/>
      <c r="X3243" s="19"/>
      <c r="Y3243" s="19"/>
      <c r="Z3243" s="19"/>
      <c r="AA3243" s="19"/>
      <c r="AB3243" s="19"/>
      <c r="AC3243" s="19"/>
      <c r="AD3243" s="19"/>
      <c r="AE3243" s="19"/>
      <c r="AF3243" s="19"/>
      <c r="AG3243" s="19"/>
      <c r="AH3243" s="19"/>
      <c r="AI3243" s="19"/>
      <c r="AJ3243" s="19"/>
      <c r="AK3243" s="19"/>
      <c r="AL3243" s="6" t="str">
        <f t="array" ref="AL3243">IFERROR(IFS(XLOOKUP(B3243, 'Kit Delivery Status'!$U:$U, 'Kit Delivery Status'!$K:$K) = "Complete", "DELIVERED", XLOOKUP(B3243, 'Kit Delivery Status'!$U:$U, 'Kit Delivery Status'!$K:$K) = "Issue", "ISSUE"), "")</f>
        <v/>
      </c>
      <c r="AM3243" s="6"/>
    </row>
    <row r="3244">
      <c r="A3244" s="19"/>
      <c r="B3244" s="19"/>
      <c r="C3244" s="19"/>
      <c r="D3244" s="42"/>
      <c r="E3244" s="19"/>
      <c r="F3244" s="19"/>
      <c r="G3244" s="19"/>
      <c r="H3244" s="19"/>
      <c r="I3244" s="19"/>
      <c r="J3244" s="19"/>
      <c r="K3244" s="19"/>
      <c r="L3244" s="19"/>
      <c r="M3244" s="19"/>
      <c r="N3244" s="19"/>
      <c r="O3244" s="43"/>
      <c r="P3244" s="19"/>
      <c r="Q3244" s="19"/>
      <c r="R3244" s="19"/>
      <c r="S3244" s="19"/>
      <c r="T3244" s="19"/>
      <c r="U3244" s="19"/>
      <c r="V3244" s="44"/>
      <c r="W3244" s="19"/>
      <c r="X3244" s="19"/>
      <c r="Y3244" s="19"/>
      <c r="Z3244" s="19"/>
      <c r="AA3244" s="19"/>
      <c r="AB3244" s="19"/>
      <c r="AC3244" s="19"/>
      <c r="AD3244" s="19"/>
      <c r="AE3244" s="19"/>
      <c r="AF3244" s="19"/>
      <c r="AG3244" s="19"/>
      <c r="AH3244" s="19"/>
      <c r="AI3244" s="19"/>
      <c r="AJ3244" s="19"/>
      <c r="AK3244" s="19"/>
      <c r="AL3244" s="6" t="str">
        <f t="array" ref="AL3244">IFERROR(IFS(XLOOKUP(B3244, 'Kit Delivery Status'!$U:$U, 'Kit Delivery Status'!$K:$K) = "Complete", "DELIVERED", XLOOKUP(B3244, 'Kit Delivery Status'!$U:$U, 'Kit Delivery Status'!$K:$K) = "Issue", "ISSUE"), "")</f>
        <v/>
      </c>
      <c r="AM3244" s="6"/>
    </row>
    <row r="3245">
      <c r="A3245" s="19"/>
      <c r="B3245" s="19"/>
      <c r="C3245" s="19"/>
      <c r="D3245" s="42"/>
      <c r="E3245" s="19"/>
      <c r="F3245" s="19"/>
      <c r="G3245" s="19"/>
      <c r="H3245" s="19"/>
      <c r="I3245" s="19"/>
      <c r="J3245" s="19"/>
      <c r="K3245" s="19"/>
      <c r="L3245" s="19"/>
      <c r="M3245" s="19"/>
      <c r="N3245" s="19"/>
      <c r="O3245" s="43"/>
      <c r="P3245" s="19"/>
      <c r="Q3245" s="19"/>
      <c r="R3245" s="19"/>
      <c r="S3245" s="19"/>
      <c r="T3245" s="19"/>
      <c r="U3245" s="19"/>
      <c r="V3245" s="44"/>
      <c r="W3245" s="19"/>
      <c r="X3245" s="19"/>
      <c r="Y3245" s="19"/>
      <c r="Z3245" s="19"/>
      <c r="AA3245" s="19"/>
      <c r="AB3245" s="19"/>
      <c r="AC3245" s="19"/>
      <c r="AD3245" s="19"/>
      <c r="AE3245" s="19"/>
      <c r="AF3245" s="19"/>
      <c r="AG3245" s="19"/>
      <c r="AH3245" s="19"/>
      <c r="AI3245" s="19"/>
      <c r="AJ3245" s="19"/>
      <c r="AK3245" s="19"/>
      <c r="AL3245" s="6" t="str">
        <f t="array" ref="AL3245">IFERROR(IFS(XLOOKUP(B3245, 'Kit Delivery Status'!$U:$U, 'Kit Delivery Status'!$K:$K) = "Complete", "DELIVERED", XLOOKUP(B3245, 'Kit Delivery Status'!$U:$U, 'Kit Delivery Status'!$K:$K) = "Issue", "ISSUE"), "")</f>
        <v/>
      </c>
      <c r="AM3245" s="6"/>
    </row>
    <row r="3246">
      <c r="A3246" s="19"/>
      <c r="B3246" s="19"/>
      <c r="C3246" s="19"/>
      <c r="D3246" s="42"/>
      <c r="E3246" s="19"/>
      <c r="F3246" s="19"/>
      <c r="G3246" s="19"/>
      <c r="H3246" s="19"/>
      <c r="I3246" s="19"/>
      <c r="J3246" s="19"/>
      <c r="K3246" s="19"/>
      <c r="L3246" s="19"/>
      <c r="M3246" s="19"/>
      <c r="N3246" s="19"/>
      <c r="O3246" s="43"/>
      <c r="P3246" s="19"/>
      <c r="Q3246" s="19"/>
      <c r="R3246" s="19"/>
      <c r="S3246" s="19"/>
      <c r="T3246" s="19"/>
      <c r="U3246" s="19"/>
      <c r="V3246" s="44"/>
      <c r="W3246" s="19"/>
      <c r="X3246" s="19"/>
      <c r="Y3246" s="19"/>
      <c r="Z3246" s="19"/>
      <c r="AA3246" s="19"/>
      <c r="AB3246" s="19"/>
      <c r="AC3246" s="19"/>
      <c r="AD3246" s="19"/>
      <c r="AE3246" s="19"/>
      <c r="AF3246" s="19"/>
      <c r="AG3246" s="19"/>
      <c r="AH3246" s="19"/>
      <c r="AI3246" s="19"/>
      <c r="AJ3246" s="19"/>
      <c r="AK3246" s="19"/>
      <c r="AL3246" s="6" t="str">
        <f t="array" ref="AL3246">IFERROR(IFS(XLOOKUP(B3246, 'Kit Delivery Status'!$U:$U, 'Kit Delivery Status'!$K:$K) = "Complete", "DELIVERED", XLOOKUP(B3246, 'Kit Delivery Status'!$U:$U, 'Kit Delivery Status'!$K:$K) = "Issue", "ISSUE"), "")</f>
        <v/>
      </c>
      <c r="AM3246" s="6"/>
    </row>
    <row r="3247">
      <c r="A3247" s="19"/>
      <c r="B3247" s="19"/>
      <c r="C3247" s="19"/>
      <c r="D3247" s="42"/>
      <c r="E3247" s="19"/>
      <c r="F3247" s="19"/>
      <c r="G3247" s="19"/>
      <c r="H3247" s="19"/>
      <c r="I3247" s="19"/>
      <c r="J3247" s="19"/>
      <c r="K3247" s="19"/>
      <c r="L3247" s="19"/>
      <c r="M3247" s="19"/>
      <c r="N3247" s="19"/>
      <c r="O3247" s="43"/>
      <c r="P3247" s="19"/>
      <c r="Q3247" s="19"/>
      <c r="R3247" s="19"/>
      <c r="S3247" s="19"/>
      <c r="T3247" s="19"/>
      <c r="U3247" s="19"/>
      <c r="V3247" s="44"/>
      <c r="W3247" s="19"/>
      <c r="X3247" s="19"/>
      <c r="Y3247" s="19"/>
      <c r="Z3247" s="19"/>
      <c r="AA3247" s="19"/>
      <c r="AB3247" s="19"/>
      <c r="AC3247" s="19"/>
      <c r="AD3247" s="19"/>
      <c r="AE3247" s="19"/>
      <c r="AF3247" s="19"/>
      <c r="AG3247" s="19"/>
      <c r="AH3247" s="19"/>
      <c r="AI3247" s="19"/>
      <c r="AJ3247" s="19"/>
      <c r="AK3247" s="19"/>
      <c r="AL3247" s="6" t="str">
        <f t="array" ref="AL3247">IFERROR(IFS(XLOOKUP(B3247, 'Kit Delivery Status'!$U:$U, 'Kit Delivery Status'!$K:$K) = "Complete", "DELIVERED", XLOOKUP(B3247, 'Kit Delivery Status'!$U:$U, 'Kit Delivery Status'!$K:$K) = "Issue", "ISSUE"), "")</f>
        <v/>
      </c>
      <c r="AM3247" s="6"/>
    </row>
    <row r="3248">
      <c r="A3248" s="19"/>
      <c r="B3248" s="19"/>
      <c r="C3248" s="19"/>
      <c r="D3248" s="42"/>
      <c r="E3248" s="19"/>
      <c r="F3248" s="19"/>
      <c r="G3248" s="19"/>
      <c r="H3248" s="19"/>
      <c r="I3248" s="19"/>
      <c r="J3248" s="19"/>
      <c r="K3248" s="19"/>
      <c r="L3248" s="19"/>
      <c r="M3248" s="19"/>
      <c r="N3248" s="19"/>
      <c r="O3248" s="43"/>
      <c r="P3248" s="19"/>
      <c r="Q3248" s="19"/>
      <c r="R3248" s="19"/>
      <c r="S3248" s="19"/>
      <c r="T3248" s="19"/>
      <c r="U3248" s="19"/>
      <c r="V3248" s="44"/>
      <c r="W3248" s="19"/>
      <c r="X3248" s="19"/>
      <c r="Y3248" s="19"/>
      <c r="Z3248" s="19"/>
      <c r="AA3248" s="19"/>
      <c r="AB3248" s="19"/>
      <c r="AC3248" s="19"/>
      <c r="AD3248" s="19"/>
      <c r="AE3248" s="19"/>
      <c r="AF3248" s="19"/>
      <c r="AG3248" s="19"/>
      <c r="AH3248" s="19"/>
      <c r="AI3248" s="19"/>
      <c r="AJ3248" s="19"/>
      <c r="AK3248" s="19"/>
      <c r="AL3248" s="6" t="str">
        <f t="array" ref="AL3248">IFERROR(IFS(XLOOKUP(B3248, 'Kit Delivery Status'!$U:$U, 'Kit Delivery Status'!$K:$K) = "Complete", "DELIVERED", XLOOKUP(B3248, 'Kit Delivery Status'!$U:$U, 'Kit Delivery Status'!$K:$K) = "Issue", "ISSUE"), "")</f>
        <v/>
      </c>
      <c r="AM3248" s="6"/>
    </row>
    <row r="3249">
      <c r="A3249" s="19"/>
      <c r="B3249" s="19"/>
      <c r="C3249" s="19"/>
      <c r="D3249" s="42"/>
      <c r="E3249" s="19"/>
      <c r="F3249" s="19"/>
      <c r="G3249" s="19"/>
      <c r="H3249" s="19"/>
      <c r="I3249" s="19"/>
      <c r="J3249" s="19"/>
      <c r="K3249" s="19"/>
      <c r="L3249" s="19"/>
      <c r="M3249" s="19"/>
      <c r="N3249" s="19"/>
      <c r="O3249" s="43"/>
      <c r="P3249" s="19"/>
      <c r="Q3249" s="19"/>
      <c r="R3249" s="19"/>
      <c r="S3249" s="19"/>
      <c r="T3249" s="19"/>
      <c r="U3249" s="19"/>
      <c r="V3249" s="44"/>
      <c r="W3249" s="19"/>
      <c r="X3249" s="19"/>
      <c r="Y3249" s="19"/>
      <c r="Z3249" s="19"/>
      <c r="AA3249" s="19"/>
      <c r="AB3249" s="19"/>
      <c r="AC3249" s="19"/>
      <c r="AD3249" s="19"/>
      <c r="AE3249" s="19"/>
      <c r="AF3249" s="19"/>
      <c r="AG3249" s="19"/>
      <c r="AH3249" s="19"/>
      <c r="AI3249" s="19"/>
      <c r="AJ3249" s="19"/>
      <c r="AK3249" s="19"/>
      <c r="AL3249" s="6" t="str">
        <f t="array" ref="AL3249">IFERROR(IFS(XLOOKUP(B3249, 'Kit Delivery Status'!$U:$U, 'Kit Delivery Status'!$K:$K) = "Complete", "DELIVERED", XLOOKUP(B3249, 'Kit Delivery Status'!$U:$U, 'Kit Delivery Status'!$K:$K) = "Issue", "ISSUE"), "")</f>
        <v/>
      </c>
      <c r="AM3249" s="6"/>
    </row>
    <row r="3250">
      <c r="A3250" s="19"/>
      <c r="B3250" s="19"/>
      <c r="C3250" s="19"/>
      <c r="D3250" s="42"/>
      <c r="E3250" s="19"/>
      <c r="F3250" s="19"/>
      <c r="G3250" s="19"/>
      <c r="H3250" s="19"/>
      <c r="I3250" s="19"/>
      <c r="J3250" s="19"/>
      <c r="K3250" s="19"/>
      <c r="L3250" s="19"/>
      <c r="M3250" s="19"/>
      <c r="N3250" s="19"/>
      <c r="O3250" s="43"/>
      <c r="P3250" s="19"/>
      <c r="Q3250" s="19"/>
      <c r="R3250" s="19"/>
      <c r="S3250" s="19"/>
      <c r="T3250" s="19"/>
      <c r="U3250" s="19"/>
      <c r="V3250" s="44"/>
      <c r="W3250" s="19"/>
      <c r="X3250" s="19"/>
      <c r="Y3250" s="19"/>
      <c r="Z3250" s="19"/>
      <c r="AA3250" s="19"/>
      <c r="AB3250" s="19"/>
      <c r="AC3250" s="19"/>
      <c r="AD3250" s="19"/>
      <c r="AE3250" s="19"/>
      <c r="AF3250" s="19"/>
      <c r="AG3250" s="19"/>
      <c r="AH3250" s="19"/>
      <c r="AI3250" s="19"/>
      <c r="AJ3250" s="19"/>
      <c r="AK3250" s="19"/>
      <c r="AL3250" s="6" t="str">
        <f t="array" ref="AL3250">IFERROR(IFS(XLOOKUP(B3250, 'Kit Delivery Status'!$U:$U, 'Kit Delivery Status'!$K:$K) = "Complete", "DELIVERED", XLOOKUP(B3250, 'Kit Delivery Status'!$U:$U, 'Kit Delivery Status'!$K:$K) = "Issue", "ISSUE"), "")</f>
        <v/>
      </c>
      <c r="AM3250" s="6"/>
    </row>
    <row r="3251">
      <c r="A3251" s="19"/>
      <c r="B3251" s="19"/>
      <c r="C3251" s="19"/>
      <c r="D3251" s="42"/>
      <c r="E3251" s="19"/>
      <c r="F3251" s="19"/>
      <c r="G3251" s="19"/>
      <c r="H3251" s="19"/>
      <c r="I3251" s="19"/>
      <c r="J3251" s="19"/>
      <c r="K3251" s="19"/>
      <c r="L3251" s="19"/>
      <c r="M3251" s="19"/>
      <c r="N3251" s="19"/>
      <c r="O3251" s="43"/>
      <c r="P3251" s="19"/>
      <c r="Q3251" s="19"/>
      <c r="R3251" s="19"/>
      <c r="S3251" s="19"/>
      <c r="T3251" s="19"/>
      <c r="U3251" s="19"/>
      <c r="V3251" s="44"/>
      <c r="W3251" s="19"/>
      <c r="X3251" s="19"/>
      <c r="Y3251" s="19"/>
      <c r="Z3251" s="19"/>
      <c r="AA3251" s="19"/>
      <c r="AB3251" s="19"/>
      <c r="AC3251" s="19"/>
      <c r="AD3251" s="19"/>
      <c r="AE3251" s="19"/>
      <c r="AF3251" s="19"/>
      <c r="AG3251" s="19"/>
      <c r="AH3251" s="19"/>
      <c r="AI3251" s="19"/>
      <c r="AJ3251" s="19"/>
      <c r="AK3251" s="19"/>
      <c r="AL3251" s="6" t="str">
        <f t="array" ref="AL3251">IFERROR(IFS(XLOOKUP(B3251, 'Kit Delivery Status'!$U:$U, 'Kit Delivery Status'!$K:$K) = "Complete", "DELIVERED", XLOOKUP(B3251, 'Kit Delivery Status'!$U:$U, 'Kit Delivery Status'!$K:$K) = "Issue", "ISSUE"), "")</f>
        <v/>
      </c>
      <c r="AM3251" s="6"/>
    </row>
    <row r="3252">
      <c r="A3252" s="19"/>
      <c r="B3252" s="19"/>
      <c r="C3252" s="19"/>
      <c r="D3252" s="42"/>
      <c r="E3252" s="19"/>
      <c r="F3252" s="19"/>
      <c r="G3252" s="19"/>
      <c r="H3252" s="19"/>
      <c r="I3252" s="19"/>
      <c r="J3252" s="19"/>
      <c r="K3252" s="19"/>
      <c r="L3252" s="19"/>
      <c r="M3252" s="19"/>
      <c r="N3252" s="19"/>
      <c r="O3252" s="43"/>
      <c r="P3252" s="19"/>
      <c r="Q3252" s="19"/>
      <c r="R3252" s="19"/>
      <c r="S3252" s="19"/>
      <c r="T3252" s="19"/>
      <c r="U3252" s="19"/>
      <c r="V3252" s="44"/>
      <c r="W3252" s="19"/>
      <c r="X3252" s="19"/>
      <c r="Y3252" s="19"/>
      <c r="Z3252" s="19"/>
      <c r="AA3252" s="19"/>
      <c r="AB3252" s="19"/>
      <c r="AC3252" s="19"/>
      <c r="AD3252" s="19"/>
      <c r="AE3252" s="19"/>
      <c r="AF3252" s="19"/>
      <c r="AG3252" s="19"/>
      <c r="AH3252" s="19"/>
      <c r="AI3252" s="19"/>
      <c r="AJ3252" s="19"/>
      <c r="AK3252" s="19"/>
      <c r="AL3252" s="6" t="str">
        <f t="array" ref="AL3252">IFERROR(IFS(XLOOKUP(B3252, 'Kit Delivery Status'!$U:$U, 'Kit Delivery Status'!$K:$K) = "Complete", "DELIVERED", XLOOKUP(B3252, 'Kit Delivery Status'!$U:$U, 'Kit Delivery Status'!$K:$K) = "Issue", "ISSUE"), "")</f>
        <v/>
      </c>
      <c r="AM3252" s="6"/>
    </row>
    <row r="3253">
      <c r="A3253" s="19"/>
      <c r="B3253" s="19"/>
      <c r="C3253" s="19"/>
      <c r="D3253" s="42"/>
      <c r="E3253" s="19"/>
      <c r="F3253" s="19"/>
      <c r="G3253" s="19"/>
      <c r="H3253" s="19"/>
      <c r="I3253" s="19"/>
      <c r="J3253" s="19"/>
      <c r="K3253" s="19"/>
      <c r="L3253" s="19"/>
      <c r="M3253" s="19"/>
      <c r="N3253" s="19"/>
      <c r="O3253" s="43"/>
      <c r="P3253" s="19"/>
      <c r="Q3253" s="19"/>
      <c r="R3253" s="19"/>
      <c r="S3253" s="19"/>
      <c r="T3253" s="19"/>
      <c r="U3253" s="19"/>
      <c r="V3253" s="44"/>
      <c r="W3253" s="19"/>
      <c r="X3253" s="19"/>
      <c r="Y3253" s="19"/>
      <c r="Z3253" s="19"/>
      <c r="AA3253" s="19"/>
      <c r="AB3253" s="19"/>
      <c r="AC3253" s="19"/>
      <c r="AD3253" s="19"/>
      <c r="AE3253" s="19"/>
      <c r="AF3253" s="19"/>
      <c r="AG3253" s="19"/>
      <c r="AH3253" s="19"/>
      <c r="AI3253" s="19"/>
      <c r="AJ3253" s="19"/>
      <c r="AK3253" s="19"/>
      <c r="AL3253" s="6" t="str">
        <f t="array" ref="AL3253">IFERROR(IFS(XLOOKUP(B3253, 'Kit Delivery Status'!$U:$U, 'Kit Delivery Status'!$K:$K) = "Complete", "DELIVERED", XLOOKUP(B3253, 'Kit Delivery Status'!$U:$U, 'Kit Delivery Status'!$K:$K) = "Issue", "ISSUE"), "")</f>
        <v/>
      </c>
      <c r="AM3253" s="6"/>
    </row>
    <row r="3254">
      <c r="A3254" s="19"/>
      <c r="B3254" s="19"/>
      <c r="C3254" s="19"/>
      <c r="D3254" s="42"/>
      <c r="E3254" s="19"/>
      <c r="F3254" s="19"/>
      <c r="G3254" s="19"/>
      <c r="H3254" s="19"/>
      <c r="I3254" s="19"/>
      <c r="J3254" s="19"/>
      <c r="K3254" s="19"/>
      <c r="L3254" s="19"/>
      <c r="M3254" s="19"/>
      <c r="N3254" s="19"/>
      <c r="O3254" s="43"/>
      <c r="P3254" s="19"/>
      <c r="Q3254" s="19"/>
      <c r="R3254" s="19"/>
      <c r="S3254" s="19"/>
      <c r="T3254" s="19"/>
      <c r="U3254" s="19"/>
      <c r="V3254" s="44"/>
      <c r="W3254" s="19"/>
      <c r="X3254" s="19"/>
      <c r="Y3254" s="19"/>
      <c r="Z3254" s="19"/>
      <c r="AA3254" s="19"/>
      <c r="AB3254" s="19"/>
      <c r="AC3254" s="19"/>
      <c r="AD3254" s="19"/>
      <c r="AE3254" s="19"/>
      <c r="AF3254" s="19"/>
      <c r="AG3254" s="19"/>
      <c r="AH3254" s="19"/>
      <c r="AI3254" s="19"/>
      <c r="AJ3254" s="19"/>
      <c r="AK3254" s="19"/>
      <c r="AL3254" s="6" t="str">
        <f t="array" ref="AL3254">IFERROR(IFS(XLOOKUP(B3254, 'Kit Delivery Status'!$U:$U, 'Kit Delivery Status'!$K:$K) = "Complete", "DELIVERED", XLOOKUP(B3254, 'Kit Delivery Status'!$U:$U, 'Kit Delivery Status'!$K:$K) = "Issue", "ISSUE"), "")</f>
        <v/>
      </c>
      <c r="AM3254" s="6"/>
    </row>
    <row r="3255">
      <c r="A3255" s="19"/>
      <c r="B3255" s="19"/>
      <c r="C3255" s="19"/>
      <c r="D3255" s="42"/>
      <c r="E3255" s="19"/>
      <c r="F3255" s="19"/>
      <c r="G3255" s="19"/>
      <c r="H3255" s="19"/>
      <c r="I3255" s="19"/>
      <c r="J3255" s="19"/>
      <c r="K3255" s="19"/>
      <c r="L3255" s="19"/>
      <c r="M3255" s="19"/>
      <c r="N3255" s="19"/>
      <c r="O3255" s="43"/>
      <c r="P3255" s="19"/>
      <c r="Q3255" s="19"/>
      <c r="R3255" s="19"/>
      <c r="S3255" s="19"/>
      <c r="T3255" s="19"/>
      <c r="U3255" s="19"/>
      <c r="V3255" s="44"/>
      <c r="W3255" s="19"/>
      <c r="X3255" s="19"/>
      <c r="Y3255" s="19"/>
      <c r="Z3255" s="19"/>
      <c r="AA3255" s="19"/>
      <c r="AB3255" s="19"/>
      <c r="AC3255" s="19"/>
      <c r="AD3255" s="19"/>
      <c r="AE3255" s="19"/>
      <c r="AF3255" s="19"/>
      <c r="AG3255" s="19"/>
      <c r="AH3255" s="19"/>
      <c r="AI3255" s="19"/>
      <c r="AJ3255" s="19"/>
      <c r="AK3255" s="19"/>
      <c r="AL3255" s="6" t="str">
        <f t="array" ref="AL3255">IFERROR(IFS(XLOOKUP(B3255, 'Kit Delivery Status'!$U:$U, 'Kit Delivery Status'!$K:$K) = "Complete", "DELIVERED", XLOOKUP(B3255, 'Kit Delivery Status'!$U:$U, 'Kit Delivery Status'!$K:$K) = "Issue", "ISSUE"), "")</f>
        <v/>
      </c>
      <c r="AM3255" s="6"/>
    </row>
    <row r="3256">
      <c r="A3256" s="19"/>
      <c r="B3256" s="19"/>
      <c r="C3256" s="19"/>
      <c r="D3256" s="42"/>
      <c r="E3256" s="19"/>
      <c r="F3256" s="19"/>
      <c r="G3256" s="19"/>
      <c r="H3256" s="19"/>
      <c r="I3256" s="19"/>
      <c r="J3256" s="19"/>
      <c r="K3256" s="19"/>
      <c r="L3256" s="19"/>
      <c r="M3256" s="19"/>
      <c r="N3256" s="19"/>
      <c r="O3256" s="43"/>
      <c r="P3256" s="19"/>
      <c r="Q3256" s="19"/>
      <c r="R3256" s="19"/>
      <c r="S3256" s="19"/>
      <c r="T3256" s="19"/>
      <c r="U3256" s="19"/>
      <c r="V3256" s="44"/>
      <c r="W3256" s="19"/>
      <c r="X3256" s="19"/>
      <c r="Y3256" s="19"/>
      <c r="Z3256" s="19"/>
      <c r="AA3256" s="19"/>
      <c r="AB3256" s="19"/>
      <c r="AC3256" s="19"/>
      <c r="AD3256" s="19"/>
      <c r="AE3256" s="19"/>
      <c r="AF3256" s="19"/>
      <c r="AG3256" s="19"/>
      <c r="AH3256" s="19"/>
      <c r="AI3256" s="19"/>
      <c r="AJ3256" s="19"/>
      <c r="AK3256" s="19"/>
      <c r="AL3256" s="6" t="str">
        <f t="array" ref="AL3256">IFERROR(IFS(XLOOKUP(B3256, 'Kit Delivery Status'!$U:$U, 'Kit Delivery Status'!$K:$K) = "Complete", "DELIVERED", XLOOKUP(B3256, 'Kit Delivery Status'!$U:$U, 'Kit Delivery Status'!$K:$K) = "Issue", "ISSUE"), "")</f>
        <v/>
      </c>
      <c r="AM3256" s="6"/>
    </row>
    <row r="3257">
      <c r="A3257" s="19"/>
      <c r="B3257" s="19"/>
      <c r="C3257" s="19"/>
      <c r="D3257" s="42"/>
      <c r="E3257" s="19"/>
      <c r="F3257" s="19"/>
      <c r="G3257" s="19"/>
      <c r="H3257" s="19"/>
      <c r="I3257" s="19"/>
      <c r="J3257" s="19"/>
      <c r="K3257" s="19"/>
      <c r="L3257" s="19"/>
      <c r="M3257" s="19"/>
      <c r="N3257" s="19"/>
      <c r="O3257" s="43"/>
      <c r="P3257" s="19"/>
      <c r="Q3257" s="19"/>
      <c r="R3257" s="19"/>
      <c r="S3257" s="19"/>
      <c r="T3257" s="19"/>
      <c r="U3257" s="19"/>
      <c r="V3257" s="44"/>
      <c r="W3257" s="19"/>
      <c r="X3257" s="19"/>
      <c r="Y3257" s="19"/>
      <c r="Z3257" s="19"/>
      <c r="AA3257" s="19"/>
      <c r="AB3257" s="19"/>
      <c r="AC3257" s="19"/>
      <c r="AD3257" s="19"/>
      <c r="AE3257" s="19"/>
      <c r="AF3257" s="19"/>
      <c r="AG3257" s="19"/>
      <c r="AH3257" s="19"/>
      <c r="AI3257" s="19"/>
      <c r="AJ3257" s="19"/>
      <c r="AK3257" s="19"/>
      <c r="AL3257" s="6" t="str">
        <f t="array" ref="AL3257">IFERROR(IFS(XLOOKUP(B3257, 'Kit Delivery Status'!$U:$U, 'Kit Delivery Status'!$K:$K) = "Complete", "DELIVERED", XLOOKUP(B3257, 'Kit Delivery Status'!$U:$U, 'Kit Delivery Status'!$K:$K) = "Issue", "ISSUE"), "")</f>
        <v/>
      </c>
      <c r="AM3257" s="6"/>
    </row>
    <row r="3258">
      <c r="A3258" s="19"/>
      <c r="B3258" s="19"/>
      <c r="C3258" s="19"/>
      <c r="D3258" s="42"/>
      <c r="E3258" s="19"/>
      <c r="F3258" s="19"/>
      <c r="G3258" s="19"/>
      <c r="H3258" s="19"/>
      <c r="I3258" s="19"/>
      <c r="J3258" s="19"/>
      <c r="K3258" s="19"/>
      <c r="L3258" s="19"/>
      <c r="M3258" s="19"/>
      <c r="N3258" s="19"/>
      <c r="O3258" s="43"/>
      <c r="P3258" s="19"/>
      <c r="Q3258" s="19"/>
      <c r="R3258" s="19"/>
      <c r="S3258" s="19"/>
      <c r="T3258" s="19"/>
      <c r="U3258" s="19"/>
      <c r="V3258" s="44"/>
      <c r="W3258" s="19"/>
      <c r="X3258" s="19"/>
      <c r="Y3258" s="19"/>
      <c r="Z3258" s="19"/>
      <c r="AA3258" s="19"/>
      <c r="AB3258" s="19"/>
      <c r="AC3258" s="19"/>
      <c r="AD3258" s="19"/>
      <c r="AE3258" s="19"/>
      <c r="AF3258" s="19"/>
      <c r="AG3258" s="19"/>
      <c r="AH3258" s="19"/>
      <c r="AI3258" s="19"/>
      <c r="AJ3258" s="19"/>
      <c r="AK3258" s="19"/>
      <c r="AL3258" s="6" t="str">
        <f t="array" ref="AL3258">IFERROR(IFS(XLOOKUP(B3258, 'Kit Delivery Status'!$U:$U, 'Kit Delivery Status'!$K:$K) = "Complete", "DELIVERED", XLOOKUP(B3258, 'Kit Delivery Status'!$U:$U, 'Kit Delivery Status'!$K:$K) = "Issue", "ISSUE"), "")</f>
        <v/>
      </c>
      <c r="AM3258" s="6"/>
    </row>
    <row r="3259">
      <c r="A3259" s="19"/>
      <c r="B3259" s="19"/>
      <c r="C3259" s="19"/>
      <c r="D3259" s="42"/>
      <c r="E3259" s="19"/>
      <c r="F3259" s="19"/>
      <c r="G3259" s="19"/>
      <c r="H3259" s="19"/>
      <c r="I3259" s="19"/>
      <c r="J3259" s="19"/>
      <c r="K3259" s="19"/>
      <c r="L3259" s="19"/>
      <c r="M3259" s="19"/>
      <c r="N3259" s="19"/>
      <c r="O3259" s="43"/>
      <c r="P3259" s="19"/>
      <c r="Q3259" s="19"/>
      <c r="R3259" s="19"/>
      <c r="S3259" s="19"/>
      <c r="T3259" s="19"/>
      <c r="U3259" s="19"/>
      <c r="V3259" s="44"/>
      <c r="W3259" s="19"/>
      <c r="X3259" s="19"/>
      <c r="Y3259" s="19"/>
      <c r="Z3259" s="19"/>
      <c r="AA3259" s="19"/>
      <c r="AB3259" s="19"/>
      <c r="AC3259" s="19"/>
      <c r="AD3259" s="19"/>
      <c r="AE3259" s="19"/>
      <c r="AF3259" s="19"/>
      <c r="AG3259" s="19"/>
      <c r="AH3259" s="19"/>
      <c r="AI3259" s="19"/>
      <c r="AJ3259" s="19"/>
      <c r="AK3259" s="19"/>
      <c r="AL3259" s="6" t="str">
        <f t="array" ref="AL3259">IFERROR(IFS(XLOOKUP(B3259, 'Kit Delivery Status'!$U:$U, 'Kit Delivery Status'!$K:$K) = "Complete", "DELIVERED", XLOOKUP(B3259, 'Kit Delivery Status'!$U:$U, 'Kit Delivery Status'!$K:$K) = "Issue", "ISSUE"), "")</f>
        <v/>
      </c>
      <c r="AM3259" s="6"/>
    </row>
    <row r="3260">
      <c r="A3260" s="19"/>
      <c r="B3260" s="19"/>
      <c r="C3260" s="19"/>
      <c r="D3260" s="42"/>
      <c r="E3260" s="19"/>
      <c r="F3260" s="19"/>
      <c r="G3260" s="19"/>
      <c r="H3260" s="19"/>
      <c r="I3260" s="19"/>
      <c r="J3260" s="19"/>
      <c r="K3260" s="19"/>
      <c r="L3260" s="19"/>
      <c r="M3260" s="19"/>
      <c r="N3260" s="19"/>
      <c r="O3260" s="43"/>
      <c r="P3260" s="19"/>
      <c r="Q3260" s="19"/>
      <c r="R3260" s="19"/>
      <c r="S3260" s="19"/>
      <c r="T3260" s="19"/>
      <c r="U3260" s="19"/>
      <c r="V3260" s="44"/>
      <c r="W3260" s="19"/>
      <c r="X3260" s="19"/>
      <c r="Y3260" s="19"/>
      <c r="Z3260" s="19"/>
      <c r="AA3260" s="19"/>
      <c r="AB3260" s="19"/>
      <c r="AC3260" s="19"/>
      <c r="AD3260" s="19"/>
      <c r="AE3260" s="19"/>
      <c r="AF3260" s="19"/>
      <c r="AG3260" s="19"/>
      <c r="AH3260" s="19"/>
      <c r="AI3260" s="19"/>
      <c r="AJ3260" s="19"/>
      <c r="AK3260" s="19"/>
      <c r="AL3260" s="6" t="str">
        <f t="array" ref="AL3260">IFERROR(IFS(XLOOKUP(B3260, 'Kit Delivery Status'!$U:$U, 'Kit Delivery Status'!$K:$K) = "Complete", "DELIVERED", XLOOKUP(B3260, 'Kit Delivery Status'!$U:$U, 'Kit Delivery Status'!$K:$K) = "Issue", "ISSUE"), "")</f>
        <v/>
      </c>
      <c r="AM3260" s="6"/>
    </row>
    <row r="3261">
      <c r="A3261" s="19"/>
      <c r="B3261" s="19"/>
      <c r="C3261" s="19"/>
      <c r="D3261" s="42"/>
      <c r="E3261" s="19"/>
      <c r="F3261" s="19"/>
      <c r="G3261" s="19"/>
      <c r="H3261" s="19"/>
      <c r="I3261" s="19"/>
      <c r="J3261" s="19"/>
      <c r="K3261" s="19"/>
      <c r="L3261" s="19"/>
      <c r="M3261" s="19"/>
      <c r="N3261" s="19"/>
      <c r="O3261" s="43"/>
      <c r="P3261" s="19"/>
      <c r="Q3261" s="19"/>
      <c r="R3261" s="19"/>
      <c r="S3261" s="19"/>
      <c r="T3261" s="19"/>
      <c r="U3261" s="19"/>
      <c r="V3261" s="44"/>
      <c r="W3261" s="19"/>
      <c r="X3261" s="19"/>
      <c r="Y3261" s="19"/>
      <c r="Z3261" s="19"/>
      <c r="AA3261" s="19"/>
      <c r="AB3261" s="19"/>
      <c r="AC3261" s="19"/>
      <c r="AD3261" s="19"/>
      <c r="AE3261" s="19"/>
      <c r="AF3261" s="19"/>
      <c r="AG3261" s="19"/>
      <c r="AH3261" s="19"/>
      <c r="AI3261" s="19"/>
      <c r="AJ3261" s="19"/>
      <c r="AK3261" s="19"/>
      <c r="AL3261" s="6" t="str">
        <f t="array" ref="AL3261">IFERROR(IFS(XLOOKUP(B3261, 'Kit Delivery Status'!$U:$U, 'Kit Delivery Status'!$K:$K) = "Complete", "DELIVERED", XLOOKUP(B3261, 'Kit Delivery Status'!$U:$U, 'Kit Delivery Status'!$K:$K) = "Issue", "ISSUE"), "")</f>
        <v/>
      </c>
      <c r="AM3261" s="6"/>
    </row>
    <row r="3262">
      <c r="A3262" s="19"/>
      <c r="B3262" s="19"/>
      <c r="C3262" s="19"/>
      <c r="D3262" s="42"/>
      <c r="E3262" s="19"/>
      <c r="F3262" s="19"/>
      <c r="G3262" s="19"/>
      <c r="H3262" s="19"/>
      <c r="I3262" s="19"/>
      <c r="J3262" s="19"/>
      <c r="K3262" s="19"/>
      <c r="L3262" s="19"/>
      <c r="M3262" s="19"/>
      <c r="N3262" s="19"/>
      <c r="O3262" s="43"/>
      <c r="P3262" s="19"/>
      <c r="Q3262" s="19"/>
      <c r="R3262" s="19"/>
      <c r="S3262" s="19"/>
      <c r="T3262" s="19"/>
      <c r="U3262" s="19"/>
      <c r="V3262" s="44"/>
      <c r="W3262" s="19"/>
      <c r="X3262" s="19"/>
      <c r="Y3262" s="19"/>
      <c r="Z3262" s="19"/>
      <c r="AA3262" s="19"/>
      <c r="AB3262" s="19"/>
      <c r="AC3262" s="19"/>
      <c r="AD3262" s="19"/>
      <c r="AE3262" s="19"/>
      <c r="AF3262" s="19"/>
      <c r="AG3262" s="19"/>
      <c r="AH3262" s="19"/>
      <c r="AI3262" s="19"/>
      <c r="AJ3262" s="19"/>
      <c r="AK3262" s="19"/>
      <c r="AL3262" s="6" t="str">
        <f t="array" ref="AL3262">IFERROR(IFS(XLOOKUP(B3262, 'Kit Delivery Status'!$U:$U, 'Kit Delivery Status'!$K:$K) = "Complete", "DELIVERED", XLOOKUP(B3262, 'Kit Delivery Status'!$U:$U, 'Kit Delivery Status'!$K:$K) = "Issue", "ISSUE"), "")</f>
        <v/>
      </c>
      <c r="AM3262" s="6"/>
    </row>
    <row r="3263">
      <c r="A3263" s="19"/>
      <c r="B3263" s="19"/>
      <c r="C3263" s="19"/>
      <c r="D3263" s="42"/>
      <c r="E3263" s="19"/>
      <c r="F3263" s="19"/>
      <c r="G3263" s="19"/>
      <c r="H3263" s="19"/>
      <c r="I3263" s="19"/>
      <c r="J3263" s="19"/>
      <c r="K3263" s="19"/>
      <c r="L3263" s="19"/>
      <c r="M3263" s="19"/>
      <c r="N3263" s="19"/>
      <c r="O3263" s="43"/>
      <c r="P3263" s="19"/>
      <c r="Q3263" s="19"/>
      <c r="R3263" s="19"/>
      <c r="S3263" s="19"/>
      <c r="T3263" s="19"/>
      <c r="U3263" s="19"/>
      <c r="V3263" s="44"/>
      <c r="W3263" s="19"/>
      <c r="X3263" s="19"/>
      <c r="Y3263" s="19"/>
      <c r="Z3263" s="19"/>
      <c r="AA3263" s="19"/>
      <c r="AB3263" s="19"/>
      <c r="AC3263" s="19"/>
      <c r="AD3263" s="19"/>
      <c r="AE3263" s="19"/>
      <c r="AF3263" s="19"/>
      <c r="AG3263" s="19"/>
      <c r="AH3263" s="19"/>
      <c r="AI3263" s="19"/>
      <c r="AJ3263" s="19"/>
      <c r="AK3263" s="19"/>
      <c r="AL3263" s="6" t="str">
        <f t="array" ref="AL3263">IFERROR(IFS(XLOOKUP(B3263, 'Kit Delivery Status'!$U:$U, 'Kit Delivery Status'!$K:$K) = "Complete", "DELIVERED", XLOOKUP(B3263, 'Kit Delivery Status'!$U:$U, 'Kit Delivery Status'!$K:$K) = "Issue", "ISSUE"), "")</f>
        <v/>
      </c>
      <c r="AM3263" s="6"/>
    </row>
    <row r="3264">
      <c r="A3264" s="19"/>
      <c r="B3264" s="19"/>
      <c r="C3264" s="19"/>
      <c r="D3264" s="42"/>
      <c r="E3264" s="19"/>
      <c r="F3264" s="19"/>
      <c r="G3264" s="19"/>
      <c r="H3264" s="19"/>
      <c r="I3264" s="19"/>
      <c r="J3264" s="19"/>
      <c r="K3264" s="19"/>
      <c r="L3264" s="19"/>
      <c r="M3264" s="19"/>
      <c r="N3264" s="19"/>
      <c r="O3264" s="43"/>
      <c r="P3264" s="19"/>
      <c r="Q3264" s="19"/>
      <c r="R3264" s="19"/>
      <c r="S3264" s="19"/>
      <c r="T3264" s="19"/>
      <c r="U3264" s="19"/>
      <c r="V3264" s="44"/>
      <c r="W3264" s="19"/>
      <c r="X3264" s="19"/>
      <c r="Y3264" s="19"/>
      <c r="Z3264" s="19"/>
      <c r="AA3264" s="19"/>
      <c r="AB3264" s="19"/>
      <c r="AC3264" s="19"/>
      <c r="AD3264" s="19"/>
      <c r="AE3264" s="19"/>
      <c r="AF3264" s="19"/>
      <c r="AG3264" s="19"/>
      <c r="AH3264" s="19"/>
      <c r="AI3264" s="19"/>
      <c r="AJ3264" s="19"/>
      <c r="AK3264" s="19"/>
      <c r="AL3264" s="6" t="str">
        <f t="array" ref="AL3264">IFERROR(IFS(XLOOKUP(B3264, 'Kit Delivery Status'!$U:$U, 'Kit Delivery Status'!$K:$K) = "Complete", "DELIVERED", XLOOKUP(B3264, 'Kit Delivery Status'!$U:$U, 'Kit Delivery Status'!$K:$K) = "Issue", "ISSUE"), "")</f>
        <v/>
      </c>
      <c r="AM3264" s="6"/>
    </row>
    <row r="3265">
      <c r="A3265" s="19"/>
      <c r="B3265" s="19"/>
      <c r="C3265" s="19"/>
      <c r="D3265" s="42"/>
      <c r="E3265" s="19"/>
      <c r="F3265" s="19"/>
      <c r="G3265" s="19"/>
      <c r="H3265" s="19"/>
      <c r="I3265" s="19"/>
      <c r="J3265" s="19"/>
      <c r="K3265" s="19"/>
      <c r="L3265" s="19"/>
      <c r="M3265" s="19"/>
      <c r="N3265" s="19"/>
      <c r="O3265" s="43"/>
      <c r="P3265" s="19"/>
      <c r="Q3265" s="19"/>
      <c r="R3265" s="19"/>
      <c r="S3265" s="19"/>
      <c r="T3265" s="19"/>
      <c r="U3265" s="19"/>
      <c r="V3265" s="44"/>
      <c r="W3265" s="19"/>
      <c r="X3265" s="19"/>
      <c r="Y3265" s="19"/>
      <c r="Z3265" s="19"/>
      <c r="AA3265" s="19"/>
      <c r="AB3265" s="19"/>
      <c r="AC3265" s="19"/>
      <c r="AD3265" s="19"/>
      <c r="AE3265" s="19"/>
      <c r="AF3265" s="19"/>
      <c r="AG3265" s="19"/>
      <c r="AH3265" s="19"/>
      <c r="AI3265" s="19"/>
      <c r="AJ3265" s="19"/>
      <c r="AK3265" s="19"/>
      <c r="AL3265" s="6" t="str">
        <f t="array" ref="AL3265">IFERROR(IFS(XLOOKUP(B3265, 'Kit Delivery Status'!$U:$U, 'Kit Delivery Status'!$K:$K) = "Complete", "DELIVERED", XLOOKUP(B3265, 'Kit Delivery Status'!$U:$U, 'Kit Delivery Status'!$K:$K) = "Issue", "ISSUE"), "")</f>
        <v/>
      </c>
      <c r="AM3265" s="6"/>
    </row>
    <row r="3266">
      <c r="A3266" s="19"/>
      <c r="B3266" s="19"/>
      <c r="C3266" s="19"/>
      <c r="D3266" s="42"/>
      <c r="E3266" s="19"/>
      <c r="F3266" s="19"/>
      <c r="G3266" s="19"/>
      <c r="H3266" s="19"/>
      <c r="I3266" s="19"/>
      <c r="J3266" s="19"/>
      <c r="K3266" s="19"/>
      <c r="L3266" s="19"/>
      <c r="M3266" s="19"/>
      <c r="N3266" s="19"/>
      <c r="O3266" s="43"/>
      <c r="P3266" s="19"/>
      <c r="Q3266" s="19"/>
      <c r="R3266" s="19"/>
      <c r="S3266" s="19"/>
      <c r="T3266" s="19"/>
      <c r="U3266" s="19"/>
      <c r="V3266" s="44"/>
      <c r="W3266" s="19"/>
      <c r="X3266" s="19"/>
      <c r="Y3266" s="19"/>
      <c r="Z3266" s="19"/>
      <c r="AA3266" s="19"/>
      <c r="AB3266" s="19"/>
      <c r="AC3266" s="19"/>
      <c r="AD3266" s="19"/>
      <c r="AE3266" s="19"/>
      <c r="AF3266" s="19"/>
      <c r="AG3266" s="19"/>
      <c r="AH3266" s="19"/>
      <c r="AI3266" s="19"/>
      <c r="AJ3266" s="19"/>
      <c r="AK3266" s="19"/>
      <c r="AL3266" s="6" t="str">
        <f t="array" ref="AL3266">IFERROR(IFS(XLOOKUP(B3266, 'Kit Delivery Status'!$U:$U, 'Kit Delivery Status'!$K:$K) = "Complete", "DELIVERED", XLOOKUP(B3266, 'Kit Delivery Status'!$U:$U, 'Kit Delivery Status'!$K:$K) = "Issue", "ISSUE"), "")</f>
        <v/>
      </c>
      <c r="AM3266" s="6"/>
    </row>
    <row r="3267">
      <c r="A3267" s="19"/>
      <c r="B3267" s="19"/>
      <c r="C3267" s="19"/>
      <c r="D3267" s="42"/>
      <c r="E3267" s="19"/>
      <c r="F3267" s="19"/>
      <c r="G3267" s="19"/>
      <c r="H3267" s="19"/>
      <c r="I3267" s="19"/>
      <c r="J3267" s="19"/>
      <c r="K3267" s="19"/>
      <c r="L3267" s="19"/>
      <c r="M3267" s="19"/>
      <c r="N3267" s="19"/>
      <c r="O3267" s="43"/>
      <c r="P3267" s="19"/>
      <c r="Q3267" s="19"/>
      <c r="R3267" s="19"/>
      <c r="S3267" s="19"/>
      <c r="T3267" s="19"/>
      <c r="U3267" s="19"/>
      <c r="V3267" s="44"/>
      <c r="W3267" s="19"/>
      <c r="X3267" s="19"/>
      <c r="Y3267" s="19"/>
      <c r="Z3267" s="19"/>
      <c r="AA3267" s="19"/>
      <c r="AB3267" s="19"/>
      <c r="AC3267" s="19"/>
      <c r="AD3267" s="19"/>
      <c r="AE3267" s="19"/>
      <c r="AF3267" s="19"/>
      <c r="AG3267" s="19"/>
      <c r="AH3267" s="19"/>
      <c r="AI3267" s="19"/>
      <c r="AJ3267" s="19"/>
      <c r="AK3267" s="19"/>
      <c r="AL3267" s="6" t="str">
        <f t="array" ref="AL3267">IFERROR(IFS(XLOOKUP(B3267, 'Kit Delivery Status'!$U:$U, 'Kit Delivery Status'!$K:$K) = "Complete", "DELIVERED", XLOOKUP(B3267, 'Kit Delivery Status'!$U:$U, 'Kit Delivery Status'!$K:$K) = "Issue", "ISSUE"), "")</f>
        <v/>
      </c>
      <c r="AM3267" s="6"/>
    </row>
    <row r="3268">
      <c r="A3268" s="19"/>
      <c r="B3268" s="19"/>
      <c r="C3268" s="19"/>
      <c r="D3268" s="42"/>
      <c r="E3268" s="19"/>
      <c r="F3268" s="19"/>
      <c r="G3268" s="19"/>
      <c r="H3268" s="19"/>
      <c r="I3268" s="19"/>
      <c r="J3268" s="19"/>
      <c r="K3268" s="19"/>
      <c r="L3268" s="19"/>
      <c r="M3268" s="19"/>
      <c r="N3268" s="19"/>
      <c r="O3268" s="43"/>
      <c r="P3268" s="19"/>
      <c r="Q3268" s="19"/>
      <c r="R3268" s="19"/>
      <c r="S3268" s="19"/>
      <c r="T3268" s="19"/>
      <c r="U3268" s="19"/>
      <c r="V3268" s="44"/>
      <c r="W3268" s="19"/>
      <c r="X3268" s="19"/>
      <c r="Y3268" s="19"/>
      <c r="Z3268" s="19"/>
      <c r="AA3268" s="19"/>
      <c r="AB3268" s="19"/>
      <c r="AC3268" s="19"/>
      <c r="AD3268" s="19"/>
      <c r="AE3268" s="19"/>
      <c r="AF3268" s="19"/>
      <c r="AG3268" s="19"/>
      <c r="AH3268" s="19"/>
      <c r="AI3268" s="19"/>
      <c r="AJ3268" s="19"/>
      <c r="AK3268" s="19"/>
      <c r="AL3268" s="6" t="str">
        <f t="array" ref="AL3268">IFERROR(IFS(XLOOKUP(B3268, 'Kit Delivery Status'!$U:$U, 'Kit Delivery Status'!$K:$K) = "Complete", "DELIVERED", XLOOKUP(B3268, 'Kit Delivery Status'!$U:$U, 'Kit Delivery Status'!$K:$K) = "Issue", "ISSUE"), "")</f>
        <v/>
      </c>
      <c r="AM3268" s="6"/>
    </row>
    <row r="3269">
      <c r="A3269" s="19"/>
      <c r="B3269" s="19"/>
      <c r="C3269" s="19"/>
      <c r="D3269" s="42"/>
      <c r="E3269" s="19"/>
      <c r="F3269" s="19"/>
      <c r="G3269" s="19"/>
      <c r="H3269" s="19"/>
      <c r="I3269" s="19"/>
      <c r="J3269" s="19"/>
      <c r="K3269" s="19"/>
      <c r="L3269" s="19"/>
      <c r="M3269" s="19"/>
      <c r="N3269" s="19"/>
      <c r="O3269" s="43"/>
      <c r="P3269" s="19"/>
      <c r="Q3269" s="19"/>
      <c r="R3269" s="19"/>
      <c r="S3269" s="19"/>
      <c r="T3269" s="19"/>
      <c r="U3269" s="19"/>
      <c r="V3269" s="44"/>
      <c r="W3269" s="19"/>
      <c r="X3269" s="19"/>
      <c r="Y3269" s="19"/>
      <c r="Z3269" s="19"/>
      <c r="AA3269" s="19"/>
      <c r="AB3269" s="19"/>
      <c r="AC3269" s="19"/>
      <c r="AD3269" s="19"/>
      <c r="AE3269" s="19"/>
      <c r="AF3269" s="19"/>
      <c r="AG3269" s="19"/>
      <c r="AH3269" s="19"/>
      <c r="AI3269" s="19"/>
      <c r="AJ3269" s="19"/>
      <c r="AK3269" s="19"/>
      <c r="AL3269" s="6" t="str">
        <f t="array" ref="AL3269">IFERROR(IFS(XLOOKUP(B3269, 'Kit Delivery Status'!$U:$U, 'Kit Delivery Status'!$K:$K) = "Complete", "DELIVERED", XLOOKUP(B3269, 'Kit Delivery Status'!$U:$U, 'Kit Delivery Status'!$K:$K) = "Issue", "ISSUE"), "")</f>
        <v/>
      </c>
      <c r="AM3269" s="6"/>
    </row>
    <row r="3270">
      <c r="A3270" s="19"/>
      <c r="B3270" s="19"/>
      <c r="C3270" s="19"/>
      <c r="D3270" s="42"/>
      <c r="E3270" s="19"/>
      <c r="F3270" s="19"/>
      <c r="G3270" s="19"/>
      <c r="H3270" s="19"/>
      <c r="I3270" s="19"/>
      <c r="J3270" s="19"/>
      <c r="K3270" s="19"/>
      <c r="L3270" s="19"/>
      <c r="M3270" s="19"/>
      <c r="N3270" s="19"/>
      <c r="O3270" s="43"/>
      <c r="P3270" s="19"/>
      <c r="Q3270" s="19"/>
      <c r="R3270" s="19"/>
      <c r="S3270" s="19"/>
      <c r="T3270" s="19"/>
      <c r="U3270" s="19"/>
      <c r="V3270" s="44"/>
      <c r="W3270" s="19"/>
      <c r="X3270" s="19"/>
      <c r="Y3270" s="19"/>
      <c r="Z3270" s="19"/>
      <c r="AA3270" s="19"/>
      <c r="AB3270" s="19"/>
      <c r="AC3270" s="19"/>
      <c r="AD3270" s="19"/>
      <c r="AE3270" s="19"/>
      <c r="AF3270" s="19"/>
      <c r="AG3270" s="19"/>
      <c r="AH3270" s="19"/>
      <c r="AI3270" s="19"/>
      <c r="AJ3270" s="19"/>
      <c r="AK3270" s="19"/>
      <c r="AL3270" s="6" t="str">
        <f t="array" ref="AL3270">IFERROR(IFS(XLOOKUP(B3270, 'Kit Delivery Status'!$U:$U, 'Kit Delivery Status'!$K:$K) = "Complete", "DELIVERED", XLOOKUP(B3270, 'Kit Delivery Status'!$U:$U, 'Kit Delivery Status'!$K:$K) = "Issue", "ISSUE"), "")</f>
        <v/>
      </c>
      <c r="AM3270" s="6"/>
    </row>
    <row r="3271">
      <c r="A3271" s="19"/>
      <c r="B3271" s="19"/>
      <c r="C3271" s="19"/>
      <c r="D3271" s="42"/>
      <c r="E3271" s="19"/>
      <c r="F3271" s="19"/>
      <c r="G3271" s="19"/>
      <c r="H3271" s="19"/>
      <c r="I3271" s="19"/>
      <c r="J3271" s="19"/>
      <c r="K3271" s="19"/>
      <c r="L3271" s="19"/>
      <c r="M3271" s="19"/>
      <c r="N3271" s="19"/>
      <c r="O3271" s="43"/>
      <c r="P3271" s="19"/>
      <c r="Q3271" s="19"/>
      <c r="R3271" s="19"/>
      <c r="S3271" s="19"/>
      <c r="T3271" s="19"/>
      <c r="U3271" s="19"/>
      <c r="V3271" s="44"/>
      <c r="W3271" s="19"/>
      <c r="X3271" s="19"/>
      <c r="Y3271" s="19"/>
      <c r="Z3271" s="19"/>
      <c r="AA3271" s="19"/>
      <c r="AB3271" s="19"/>
      <c r="AC3271" s="19"/>
      <c r="AD3271" s="19"/>
      <c r="AE3271" s="19"/>
      <c r="AF3271" s="19"/>
      <c r="AG3271" s="19"/>
      <c r="AH3271" s="19"/>
      <c r="AI3271" s="19"/>
      <c r="AJ3271" s="19"/>
      <c r="AK3271" s="19"/>
      <c r="AL3271" s="6" t="str">
        <f t="array" ref="AL3271">IFERROR(IFS(XLOOKUP(B3271, 'Kit Delivery Status'!$U:$U, 'Kit Delivery Status'!$K:$K) = "Complete", "DELIVERED", XLOOKUP(B3271, 'Kit Delivery Status'!$U:$U, 'Kit Delivery Status'!$K:$K) = "Issue", "ISSUE"), "")</f>
        <v/>
      </c>
      <c r="AM3271" s="6"/>
    </row>
    <row r="3272">
      <c r="A3272" s="19"/>
      <c r="B3272" s="19"/>
      <c r="C3272" s="19"/>
      <c r="D3272" s="42"/>
      <c r="E3272" s="19"/>
      <c r="F3272" s="19"/>
      <c r="G3272" s="19"/>
      <c r="H3272" s="19"/>
      <c r="I3272" s="19"/>
      <c r="J3272" s="19"/>
      <c r="K3272" s="19"/>
      <c r="L3272" s="19"/>
      <c r="M3272" s="19"/>
      <c r="N3272" s="19"/>
      <c r="O3272" s="43"/>
      <c r="P3272" s="19"/>
      <c r="Q3272" s="19"/>
      <c r="R3272" s="19"/>
      <c r="S3272" s="19"/>
      <c r="T3272" s="19"/>
      <c r="U3272" s="19"/>
      <c r="V3272" s="44"/>
      <c r="W3272" s="19"/>
      <c r="X3272" s="19"/>
      <c r="Y3272" s="19"/>
      <c r="Z3272" s="19"/>
      <c r="AA3272" s="19"/>
      <c r="AB3272" s="19"/>
      <c r="AC3272" s="19"/>
      <c r="AD3272" s="19"/>
      <c r="AE3272" s="19"/>
      <c r="AF3272" s="19"/>
      <c r="AG3272" s="19"/>
      <c r="AH3272" s="19"/>
      <c r="AI3272" s="19"/>
      <c r="AJ3272" s="19"/>
      <c r="AK3272" s="19"/>
      <c r="AL3272" s="6" t="str">
        <f t="array" ref="AL3272">IFERROR(IFS(XLOOKUP(B3272, 'Kit Delivery Status'!$U:$U, 'Kit Delivery Status'!$K:$K) = "Complete", "DELIVERED", XLOOKUP(B3272, 'Kit Delivery Status'!$U:$U, 'Kit Delivery Status'!$K:$K) = "Issue", "ISSUE"), "")</f>
        <v/>
      </c>
      <c r="AM3272" s="6"/>
    </row>
    <row r="3273">
      <c r="A3273" s="19"/>
      <c r="B3273" s="19"/>
      <c r="C3273" s="19"/>
      <c r="D3273" s="42"/>
      <c r="E3273" s="19"/>
      <c r="F3273" s="19"/>
      <c r="G3273" s="19"/>
      <c r="H3273" s="19"/>
      <c r="I3273" s="19"/>
      <c r="J3273" s="19"/>
      <c r="K3273" s="19"/>
      <c r="L3273" s="19"/>
      <c r="M3273" s="19"/>
      <c r="N3273" s="19"/>
      <c r="O3273" s="43"/>
      <c r="P3273" s="19"/>
      <c r="Q3273" s="19"/>
      <c r="R3273" s="19"/>
      <c r="S3273" s="19"/>
      <c r="T3273" s="19"/>
      <c r="U3273" s="19"/>
      <c r="V3273" s="44"/>
      <c r="W3273" s="19"/>
      <c r="X3273" s="19"/>
      <c r="Y3273" s="19"/>
      <c r="Z3273" s="19"/>
      <c r="AA3273" s="19"/>
      <c r="AB3273" s="19"/>
      <c r="AC3273" s="19"/>
      <c r="AD3273" s="19"/>
      <c r="AE3273" s="19"/>
      <c r="AF3273" s="19"/>
      <c r="AG3273" s="19"/>
      <c r="AH3273" s="19"/>
      <c r="AI3273" s="19"/>
      <c r="AJ3273" s="19"/>
      <c r="AK3273" s="19"/>
      <c r="AL3273" s="6" t="str">
        <f t="array" ref="AL3273">IFERROR(IFS(XLOOKUP(B3273, 'Kit Delivery Status'!$U:$U, 'Kit Delivery Status'!$K:$K) = "Complete", "DELIVERED", XLOOKUP(B3273, 'Kit Delivery Status'!$U:$U, 'Kit Delivery Status'!$K:$K) = "Issue", "ISSUE"), "")</f>
        <v/>
      </c>
      <c r="AM3273" s="6"/>
    </row>
    <row r="3274">
      <c r="A3274" s="19"/>
      <c r="B3274" s="19"/>
      <c r="C3274" s="19"/>
      <c r="D3274" s="42"/>
      <c r="E3274" s="19"/>
      <c r="F3274" s="19"/>
      <c r="G3274" s="19"/>
      <c r="H3274" s="19"/>
      <c r="I3274" s="19"/>
      <c r="J3274" s="19"/>
      <c r="K3274" s="19"/>
      <c r="L3274" s="19"/>
      <c r="M3274" s="19"/>
      <c r="N3274" s="19"/>
      <c r="O3274" s="43"/>
      <c r="P3274" s="19"/>
      <c r="Q3274" s="19"/>
      <c r="R3274" s="19"/>
      <c r="S3274" s="19"/>
      <c r="T3274" s="19"/>
      <c r="U3274" s="19"/>
      <c r="V3274" s="44"/>
      <c r="W3274" s="19"/>
      <c r="X3274" s="19"/>
      <c r="Y3274" s="19"/>
      <c r="Z3274" s="19"/>
      <c r="AA3274" s="19"/>
      <c r="AB3274" s="19"/>
      <c r="AC3274" s="19"/>
      <c r="AD3274" s="19"/>
      <c r="AE3274" s="19"/>
      <c r="AF3274" s="19"/>
      <c r="AG3274" s="19"/>
      <c r="AH3274" s="19"/>
      <c r="AI3274" s="19"/>
      <c r="AJ3274" s="19"/>
      <c r="AK3274" s="19"/>
      <c r="AL3274" s="6" t="str">
        <f t="array" ref="AL3274">IFERROR(IFS(XLOOKUP(B3274, 'Kit Delivery Status'!$U:$U, 'Kit Delivery Status'!$K:$K) = "Complete", "DELIVERED", XLOOKUP(B3274, 'Kit Delivery Status'!$U:$U, 'Kit Delivery Status'!$K:$K) = "Issue", "ISSUE"), "")</f>
        <v/>
      </c>
      <c r="AM3274" s="6"/>
    </row>
    <row r="3275">
      <c r="A3275" s="19"/>
      <c r="B3275" s="19"/>
      <c r="C3275" s="19"/>
      <c r="D3275" s="42"/>
      <c r="E3275" s="19"/>
      <c r="F3275" s="19"/>
      <c r="G3275" s="19"/>
      <c r="H3275" s="19"/>
      <c r="I3275" s="19"/>
      <c r="J3275" s="19"/>
      <c r="K3275" s="19"/>
      <c r="L3275" s="19"/>
      <c r="M3275" s="19"/>
      <c r="N3275" s="19"/>
      <c r="O3275" s="43"/>
      <c r="P3275" s="19"/>
      <c r="Q3275" s="19"/>
      <c r="R3275" s="19"/>
      <c r="S3275" s="19"/>
      <c r="T3275" s="19"/>
      <c r="U3275" s="19"/>
      <c r="V3275" s="44"/>
      <c r="W3275" s="19"/>
      <c r="X3275" s="19"/>
      <c r="Y3275" s="19"/>
      <c r="Z3275" s="19"/>
      <c r="AA3275" s="19"/>
      <c r="AB3275" s="19"/>
      <c r="AC3275" s="19"/>
      <c r="AD3275" s="19"/>
      <c r="AE3275" s="19"/>
      <c r="AF3275" s="19"/>
      <c r="AG3275" s="19"/>
      <c r="AH3275" s="19"/>
      <c r="AI3275" s="19"/>
      <c r="AJ3275" s="19"/>
      <c r="AK3275" s="19"/>
      <c r="AL3275" s="6" t="str">
        <f t="array" ref="AL3275">IFERROR(IFS(XLOOKUP(B3275, 'Kit Delivery Status'!$U:$U, 'Kit Delivery Status'!$K:$K) = "Complete", "DELIVERED", XLOOKUP(B3275, 'Kit Delivery Status'!$U:$U, 'Kit Delivery Status'!$K:$K) = "Issue", "ISSUE"), "")</f>
        <v/>
      </c>
      <c r="AM3275" s="6"/>
    </row>
    <row r="3276">
      <c r="A3276" s="19"/>
      <c r="B3276" s="19"/>
      <c r="C3276" s="19"/>
      <c r="D3276" s="42"/>
      <c r="E3276" s="19"/>
      <c r="F3276" s="19"/>
      <c r="G3276" s="19"/>
      <c r="H3276" s="19"/>
      <c r="I3276" s="19"/>
      <c r="J3276" s="19"/>
      <c r="K3276" s="19"/>
      <c r="L3276" s="19"/>
      <c r="M3276" s="19"/>
      <c r="N3276" s="19"/>
      <c r="O3276" s="43"/>
      <c r="P3276" s="19"/>
      <c r="Q3276" s="19"/>
      <c r="R3276" s="19"/>
      <c r="S3276" s="19"/>
      <c r="T3276" s="19"/>
      <c r="U3276" s="19"/>
      <c r="V3276" s="44"/>
      <c r="W3276" s="19"/>
      <c r="X3276" s="19"/>
      <c r="Y3276" s="19"/>
      <c r="Z3276" s="19"/>
      <c r="AA3276" s="19"/>
      <c r="AB3276" s="19"/>
      <c r="AC3276" s="19"/>
      <c r="AD3276" s="19"/>
      <c r="AE3276" s="19"/>
      <c r="AF3276" s="19"/>
      <c r="AG3276" s="19"/>
      <c r="AH3276" s="19"/>
      <c r="AI3276" s="19"/>
      <c r="AJ3276" s="19"/>
      <c r="AK3276" s="19"/>
      <c r="AL3276" s="6" t="str">
        <f t="array" ref="AL3276">IFERROR(IFS(XLOOKUP(B3276, 'Kit Delivery Status'!$U:$U, 'Kit Delivery Status'!$K:$K) = "Complete", "DELIVERED", XLOOKUP(B3276, 'Kit Delivery Status'!$U:$U, 'Kit Delivery Status'!$K:$K) = "Issue", "ISSUE"), "")</f>
        <v/>
      </c>
      <c r="AM3276" s="6"/>
    </row>
    <row r="3277">
      <c r="A3277" s="19"/>
      <c r="B3277" s="19"/>
      <c r="C3277" s="19"/>
      <c r="D3277" s="42"/>
      <c r="E3277" s="19"/>
      <c r="F3277" s="19"/>
      <c r="G3277" s="19"/>
      <c r="H3277" s="19"/>
      <c r="I3277" s="19"/>
      <c r="J3277" s="19"/>
      <c r="K3277" s="19"/>
      <c r="L3277" s="19"/>
      <c r="M3277" s="19"/>
      <c r="N3277" s="19"/>
      <c r="O3277" s="43"/>
      <c r="P3277" s="19"/>
      <c r="Q3277" s="19"/>
      <c r="R3277" s="19"/>
      <c r="S3277" s="19"/>
      <c r="T3277" s="19"/>
      <c r="U3277" s="19"/>
      <c r="V3277" s="44"/>
      <c r="W3277" s="19"/>
      <c r="X3277" s="19"/>
      <c r="Y3277" s="19"/>
      <c r="Z3277" s="19"/>
      <c r="AA3277" s="19"/>
      <c r="AB3277" s="19"/>
      <c r="AC3277" s="19"/>
      <c r="AD3277" s="19"/>
      <c r="AE3277" s="19"/>
      <c r="AF3277" s="19"/>
      <c r="AG3277" s="19"/>
      <c r="AH3277" s="19"/>
      <c r="AI3277" s="19"/>
      <c r="AJ3277" s="19"/>
      <c r="AK3277" s="19"/>
      <c r="AL3277" s="6" t="str">
        <f t="array" ref="AL3277">IFERROR(IFS(XLOOKUP(B3277, 'Kit Delivery Status'!$U:$U, 'Kit Delivery Status'!$K:$K) = "Complete", "DELIVERED", XLOOKUP(B3277, 'Kit Delivery Status'!$U:$U, 'Kit Delivery Status'!$K:$K) = "Issue", "ISSUE"), "")</f>
        <v/>
      </c>
      <c r="AM3277" s="6"/>
    </row>
    <row r="3278">
      <c r="A3278" s="19"/>
      <c r="B3278" s="19"/>
      <c r="C3278" s="19"/>
      <c r="D3278" s="42"/>
      <c r="E3278" s="19"/>
      <c r="F3278" s="19"/>
      <c r="G3278" s="19"/>
      <c r="H3278" s="19"/>
      <c r="I3278" s="19"/>
      <c r="J3278" s="19"/>
      <c r="K3278" s="19"/>
      <c r="L3278" s="19"/>
      <c r="M3278" s="19"/>
      <c r="N3278" s="19"/>
      <c r="O3278" s="43"/>
      <c r="P3278" s="19"/>
      <c r="Q3278" s="19"/>
      <c r="R3278" s="19"/>
      <c r="S3278" s="19"/>
      <c r="T3278" s="19"/>
      <c r="U3278" s="19"/>
      <c r="V3278" s="44"/>
      <c r="W3278" s="19"/>
      <c r="X3278" s="19"/>
      <c r="Y3278" s="19"/>
      <c r="Z3278" s="19"/>
      <c r="AA3278" s="19"/>
      <c r="AB3278" s="19"/>
      <c r="AC3278" s="19"/>
      <c r="AD3278" s="19"/>
      <c r="AE3278" s="19"/>
      <c r="AF3278" s="19"/>
      <c r="AG3278" s="19"/>
      <c r="AH3278" s="19"/>
      <c r="AI3278" s="19"/>
      <c r="AJ3278" s="19"/>
      <c r="AK3278" s="19"/>
      <c r="AL3278" s="6" t="str">
        <f t="array" ref="AL3278">IFERROR(IFS(XLOOKUP(B3278, 'Kit Delivery Status'!$U:$U, 'Kit Delivery Status'!$K:$K) = "Complete", "DELIVERED", XLOOKUP(B3278, 'Kit Delivery Status'!$U:$U, 'Kit Delivery Status'!$K:$K) = "Issue", "ISSUE"), "")</f>
        <v/>
      </c>
      <c r="AM3278" s="6"/>
    </row>
    <row r="3279">
      <c r="A3279" s="19"/>
      <c r="B3279" s="19"/>
      <c r="C3279" s="19"/>
      <c r="D3279" s="42"/>
      <c r="E3279" s="19"/>
      <c r="F3279" s="19"/>
      <c r="G3279" s="19"/>
      <c r="H3279" s="19"/>
      <c r="I3279" s="19"/>
      <c r="J3279" s="19"/>
      <c r="K3279" s="19"/>
      <c r="L3279" s="19"/>
      <c r="M3279" s="19"/>
      <c r="N3279" s="19"/>
      <c r="O3279" s="43"/>
      <c r="P3279" s="19"/>
      <c r="Q3279" s="19"/>
      <c r="R3279" s="19"/>
      <c r="S3279" s="19"/>
      <c r="T3279" s="19"/>
      <c r="U3279" s="19"/>
      <c r="V3279" s="44"/>
      <c r="W3279" s="19"/>
      <c r="X3279" s="19"/>
      <c r="Y3279" s="19"/>
      <c r="Z3279" s="19"/>
      <c r="AA3279" s="19"/>
      <c r="AB3279" s="19"/>
      <c r="AC3279" s="19"/>
      <c r="AD3279" s="19"/>
      <c r="AE3279" s="19"/>
      <c r="AF3279" s="19"/>
      <c r="AG3279" s="19"/>
      <c r="AH3279" s="19"/>
      <c r="AI3279" s="19"/>
      <c r="AJ3279" s="19"/>
      <c r="AK3279" s="19"/>
      <c r="AL3279" s="6" t="str">
        <f t="array" ref="AL3279">IFERROR(IFS(XLOOKUP(B3279, 'Kit Delivery Status'!$U:$U, 'Kit Delivery Status'!$K:$K) = "Complete", "DELIVERED", XLOOKUP(B3279, 'Kit Delivery Status'!$U:$U, 'Kit Delivery Status'!$K:$K) = "Issue", "ISSUE"), "")</f>
        <v/>
      </c>
      <c r="AM3279" s="6"/>
    </row>
    <row r="3280">
      <c r="A3280" s="19"/>
      <c r="B3280" s="19"/>
      <c r="C3280" s="19"/>
      <c r="D3280" s="42"/>
      <c r="E3280" s="19"/>
      <c r="F3280" s="19"/>
      <c r="G3280" s="19"/>
      <c r="H3280" s="19"/>
      <c r="I3280" s="19"/>
      <c r="J3280" s="19"/>
      <c r="K3280" s="19"/>
      <c r="L3280" s="19"/>
      <c r="M3280" s="19"/>
      <c r="N3280" s="19"/>
      <c r="O3280" s="43"/>
      <c r="P3280" s="19"/>
      <c r="Q3280" s="19"/>
      <c r="R3280" s="19"/>
      <c r="S3280" s="19"/>
      <c r="T3280" s="19"/>
      <c r="U3280" s="19"/>
      <c r="V3280" s="44"/>
      <c r="W3280" s="19"/>
      <c r="X3280" s="19"/>
      <c r="Y3280" s="19"/>
      <c r="Z3280" s="19"/>
      <c r="AA3280" s="19"/>
      <c r="AB3280" s="19"/>
      <c r="AC3280" s="19"/>
      <c r="AD3280" s="19"/>
      <c r="AE3280" s="19"/>
      <c r="AF3280" s="19"/>
      <c r="AG3280" s="19"/>
      <c r="AH3280" s="19"/>
      <c r="AI3280" s="19"/>
      <c r="AJ3280" s="19"/>
      <c r="AK3280" s="19"/>
      <c r="AL3280" s="6" t="str">
        <f t="array" ref="AL3280">IFERROR(IFS(XLOOKUP(B3280, 'Kit Delivery Status'!$U:$U, 'Kit Delivery Status'!$K:$K) = "Complete", "DELIVERED", XLOOKUP(B3280, 'Kit Delivery Status'!$U:$U, 'Kit Delivery Status'!$K:$K) = "Issue", "ISSUE"), "")</f>
        <v/>
      </c>
      <c r="AM3280" s="6"/>
    </row>
    <row r="3281">
      <c r="A3281" s="19"/>
      <c r="B3281" s="19"/>
      <c r="C3281" s="19"/>
      <c r="D3281" s="42"/>
      <c r="E3281" s="19"/>
      <c r="F3281" s="19"/>
      <c r="G3281" s="19"/>
      <c r="H3281" s="19"/>
      <c r="I3281" s="19"/>
      <c r="J3281" s="19"/>
      <c r="K3281" s="19"/>
      <c r="L3281" s="19"/>
      <c r="M3281" s="19"/>
      <c r="N3281" s="19"/>
      <c r="O3281" s="43"/>
      <c r="P3281" s="19"/>
      <c r="Q3281" s="19"/>
      <c r="R3281" s="19"/>
      <c r="S3281" s="19"/>
      <c r="T3281" s="19"/>
      <c r="U3281" s="19"/>
      <c r="V3281" s="44"/>
      <c r="W3281" s="19"/>
      <c r="X3281" s="19"/>
      <c r="Y3281" s="19"/>
      <c r="Z3281" s="19"/>
      <c r="AA3281" s="19"/>
      <c r="AB3281" s="19"/>
      <c r="AC3281" s="19"/>
      <c r="AD3281" s="19"/>
      <c r="AE3281" s="19"/>
      <c r="AF3281" s="19"/>
      <c r="AG3281" s="19"/>
      <c r="AH3281" s="19"/>
      <c r="AI3281" s="19"/>
      <c r="AJ3281" s="19"/>
      <c r="AK3281" s="19"/>
      <c r="AL3281" s="6" t="str">
        <f t="array" ref="AL3281">IFERROR(IFS(XLOOKUP(B3281, 'Kit Delivery Status'!$U:$U, 'Kit Delivery Status'!$K:$K) = "Complete", "DELIVERED", XLOOKUP(B3281, 'Kit Delivery Status'!$U:$U, 'Kit Delivery Status'!$K:$K) = "Issue", "ISSUE"), "")</f>
        <v/>
      </c>
      <c r="AM3281" s="6"/>
    </row>
    <row r="3282">
      <c r="A3282" s="19"/>
      <c r="B3282" s="19"/>
      <c r="C3282" s="19"/>
      <c r="D3282" s="42"/>
      <c r="E3282" s="19"/>
      <c r="F3282" s="19"/>
      <c r="G3282" s="19"/>
      <c r="H3282" s="19"/>
      <c r="I3282" s="19"/>
      <c r="J3282" s="19"/>
      <c r="K3282" s="19"/>
      <c r="L3282" s="19"/>
      <c r="M3282" s="19"/>
      <c r="N3282" s="19"/>
      <c r="O3282" s="43"/>
      <c r="P3282" s="19"/>
      <c r="Q3282" s="19"/>
      <c r="R3282" s="19"/>
      <c r="S3282" s="19"/>
      <c r="T3282" s="19"/>
      <c r="U3282" s="19"/>
      <c r="V3282" s="44"/>
      <c r="W3282" s="19"/>
      <c r="X3282" s="19"/>
      <c r="Y3282" s="19"/>
      <c r="Z3282" s="19"/>
      <c r="AA3282" s="19"/>
      <c r="AB3282" s="19"/>
      <c r="AC3282" s="19"/>
      <c r="AD3282" s="19"/>
      <c r="AE3282" s="19"/>
      <c r="AF3282" s="19"/>
      <c r="AG3282" s="19"/>
      <c r="AH3282" s="19"/>
      <c r="AI3282" s="19"/>
      <c r="AJ3282" s="19"/>
      <c r="AK3282" s="19"/>
      <c r="AL3282" s="6" t="str">
        <f t="array" ref="AL3282">IFERROR(IFS(XLOOKUP(B3282, 'Kit Delivery Status'!$U:$U, 'Kit Delivery Status'!$K:$K) = "Complete", "DELIVERED", XLOOKUP(B3282, 'Kit Delivery Status'!$U:$U, 'Kit Delivery Status'!$K:$K) = "Issue", "ISSUE"), "")</f>
        <v/>
      </c>
      <c r="AM3282" s="6"/>
    </row>
    <row r="3283">
      <c r="A3283" s="19"/>
      <c r="B3283" s="19"/>
      <c r="C3283" s="19"/>
      <c r="D3283" s="42"/>
      <c r="E3283" s="19"/>
      <c r="F3283" s="19"/>
      <c r="G3283" s="19"/>
      <c r="H3283" s="19"/>
      <c r="I3283" s="19"/>
      <c r="J3283" s="19"/>
      <c r="K3283" s="19"/>
      <c r="L3283" s="19"/>
      <c r="M3283" s="19"/>
      <c r="N3283" s="19"/>
      <c r="O3283" s="43"/>
      <c r="P3283" s="19"/>
      <c r="Q3283" s="19"/>
      <c r="R3283" s="19"/>
      <c r="S3283" s="19"/>
      <c r="T3283" s="19"/>
      <c r="U3283" s="19"/>
      <c r="V3283" s="44"/>
      <c r="W3283" s="19"/>
      <c r="X3283" s="19"/>
      <c r="Y3283" s="19"/>
      <c r="Z3283" s="19"/>
      <c r="AA3283" s="19"/>
      <c r="AB3283" s="19"/>
      <c r="AC3283" s="19"/>
      <c r="AD3283" s="19"/>
      <c r="AE3283" s="19"/>
      <c r="AF3283" s="19"/>
      <c r="AG3283" s="19"/>
      <c r="AH3283" s="19"/>
      <c r="AI3283" s="19"/>
      <c r="AJ3283" s="19"/>
      <c r="AK3283" s="19"/>
      <c r="AL3283" s="6" t="str">
        <f t="array" ref="AL3283">IFERROR(IFS(XLOOKUP(B3283, 'Kit Delivery Status'!$U:$U, 'Kit Delivery Status'!$K:$K) = "Complete", "DELIVERED", XLOOKUP(B3283, 'Kit Delivery Status'!$U:$U, 'Kit Delivery Status'!$K:$K) = "Issue", "ISSUE"), "")</f>
        <v/>
      </c>
      <c r="AM3283" s="6"/>
    </row>
    <row r="3284">
      <c r="A3284" s="19"/>
      <c r="B3284" s="19"/>
      <c r="C3284" s="19"/>
      <c r="D3284" s="42"/>
      <c r="E3284" s="19"/>
      <c r="F3284" s="19"/>
      <c r="G3284" s="19"/>
      <c r="H3284" s="19"/>
      <c r="I3284" s="19"/>
      <c r="J3284" s="19"/>
      <c r="K3284" s="19"/>
      <c r="L3284" s="19"/>
      <c r="M3284" s="19"/>
      <c r="N3284" s="19"/>
      <c r="O3284" s="43"/>
      <c r="P3284" s="19"/>
      <c r="Q3284" s="19"/>
      <c r="R3284" s="19"/>
      <c r="S3284" s="19"/>
      <c r="T3284" s="19"/>
      <c r="U3284" s="19"/>
      <c r="V3284" s="44"/>
      <c r="W3284" s="19"/>
      <c r="X3284" s="19"/>
      <c r="Y3284" s="19"/>
      <c r="Z3284" s="19"/>
      <c r="AA3284" s="19"/>
      <c r="AB3284" s="19"/>
      <c r="AC3284" s="19"/>
      <c r="AD3284" s="19"/>
      <c r="AE3284" s="19"/>
      <c r="AF3284" s="19"/>
      <c r="AG3284" s="19"/>
      <c r="AH3284" s="19"/>
      <c r="AI3284" s="19"/>
      <c r="AJ3284" s="19"/>
      <c r="AK3284" s="19"/>
      <c r="AL3284" s="6" t="str">
        <f t="array" ref="AL3284">IFERROR(IFS(XLOOKUP(B3284, 'Kit Delivery Status'!$U:$U, 'Kit Delivery Status'!$K:$K) = "Complete", "DELIVERED", XLOOKUP(B3284, 'Kit Delivery Status'!$U:$U, 'Kit Delivery Status'!$K:$K) = "Issue", "ISSUE"), "")</f>
        <v/>
      </c>
      <c r="AM3284" s="6"/>
    </row>
    <row r="3285">
      <c r="A3285" s="19"/>
      <c r="B3285" s="19"/>
      <c r="C3285" s="19"/>
      <c r="D3285" s="42"/>
      <c r="E3285" s="19"/>
      <c r="F3285" s="19"/>
      <c r="G3285" s="19"/>
      <c r="H3285" s="19"/>
      <c r="I3285" s="19"/>
      <c r="J3285" s="19"/>
      <c r="K3285" s="19"/>
      <c r="L3285" s="19"/>
      <c r="M3285" s="19"/>
      <c r="N3285" s="19"/>
      <c r="O3285" s="43"/>
      <c r="P3285" s="19"/>
      <c r="Q3285" s="19"/>
      <c r="R3285" s="19"/>
      <c r="S3285" s="19"/>
      <c r="T3285" s="19"/>
      <c r="U3285" s="19"/>
      <c r="V3285" s="44"/>
      <c r="W3285" s="19"/>
      <c r="X3285" s="19"/>
      <c r="Y3285" s="19"/>
      <c r="Z3285" s="19"/>
      <c r="AA3285" s="19"/>
      <c r="AB3285" s="19"/>
      <c r="AC3285" s="19"/>
      <c r="AD3285" s="19"/>
      <c r="AE3285" s="19"/>
      <c r="AF3285" s="19"/>
      <c r="AG3285" s="19"/>
      <c r="AH3285" s="19"/>
      <c r="AI3285" s="19"/>
      <c r="AJ3285" s="19"/>
      <c r="AK3285" s="19"/>
      <c r="AL3285" s="6" t="str">
        <f t="array" ref="AL3285">IFERROR(IFS(XLOOKUP(B3285, 'Kit Delivery Status'!$U:$U, 'Kit Delivery Status'!$K:$K) = "Complete", "DELIVERED", XLOOKUP(B3285, 'Kit Delivery Status'!$U:$U, 'Kit Delivery Status'!$K:$K) = "Issue", "ISSUE"), "")</f>
        <v/>
      </c>
      <c r="AM3285" s="6"/>
    </row>
    <row r="3286">
      <c r="A3286" s="19"/>
      <c r="B3286" s="19"/>
      <c r="C3286" s="19"/>
      <c r="D3286" s="42"/>
      <c r="E3286" s="19"/>
      <c r="F3286" s="19"/>
      <c r="G3286" s="19"/>
      <c r="H3286" s="19"/>
      <c r="I3286" s="19"/>
      <c r="J3286" s="19"/>
      <c r="K3286" s="19"/>
      <c r="L3286" s="19"/>
      <c r="M3286" s="19"/>
      <c r="N3286" s="19"/>
      <c r="O3286" s="43"/>
      <c r="P3286" s="19"/>
      <c r="Q3286" s="19"/>
      <c r="R3286" s="19"/>
      <c r="S3286" s="19"/>
      <c r="T3286" s="19"/>
      <c r="U3286" s="19"/>
      <c r="V3286" s="44"/>
      <c r="W3286" s="19"/>
      <c r="X3286" s="19"/>
      <c r="Y3286" s="19"/>
      <c r="Z3286" s="19"/>
      <c r="AA3286" s="19"/>
      <c r="AB3286" s="19"/>
      <c r="AC3286" s="19"/>
      <c r="AD3286" s="19"/>
      <c r="AE3286" s="19"/>
      <c r="AF3286" s="19"/>
      <c r="AG3286" s="19"/>
      <c r="AH3286" s="19"/>
      <c r="AI3286" s="19"/>
      <c r="AJ3286" s="19"/>
      <c r="AK3286" s="19"/>
      <c r="AL3286" s="6" t="str">
        <f t="array" ref="AL3286">IFERROR(IFS(XLOOKUP(B3286, 'Kit Delivery Status'!$U:$U, 'Kit Delivery Status'!$K:$K) = "Complete", "DELIVERED", XLOOKUP(B3286, 'Kit Delivery Status'!$U:$U, 'Kit Delivery Status'!$K:$K) = "Issue", "ISSUE"), "")</f>
        <v/>
      </c>
      <c r="AM3286" s="6"/>
    </row>
    <row r="3287">
      <c r="A3287" s="19"/>
      <c r="B3287" s="19"/>
      <c r="C3287" s="19"/>
      <c r="D3287" s="42"/>
      <c r="E3287" s="19"/>
      <c r="F3287" s="19"/>
      <c r="G3287" s="19"/>
      <c r="H3287" s="19"/>
      <c r="I3287" s="19"/>
      <c r="J3287" s="19"/>
      <c r="K3287" s="19"/>
      <c r="L3287" s="19"/>
      <c r="M3287" s="19"/>
      <c r="N3287" s="19"/>
      <c r="O3287" s="43"/>
      <c r="P3287" s="19"/>
      <c r="Q3287" s="19"/>
      <c r="R3287" s="19"/>
      <c r="S3287" s="19"/>
      <c r="T3287" s="19"/>
      <c r="U3287" s="19"/>
      <c r="V3287" s="44"/>
      <c r="W3287" s="19"/>
      <c r="X3287" s="19"/>
      <c r="Y3287" s="19"/>
      <c r="Z3287" s="19"/>
      <c r="AA3287" s="19"/>
      <c r="AB3287" s="19"/>
      <c r="AC3287" s="19"/>
      <c r="AD3287" s="19"/>
      <c r="AE3287" s="19"/>
      <c r="AF3287" s="19"/>
      <c r="AG3287" s="19"/>
      <c r="AH3287" s="19"/>
      <c r="AI3287" s="19"/>
      <c r="AJ3287" s="19"/>
      <c r="AK3287" s="19"/>
      <c r="AL3287" s="6" t="str">
        <f t="array" ref="AL3287">IFERROR(IFS(XLOOKUP(B3287, 'Kit Delivery Status'!$U:$U, 'Kit Delivery Status'!$K:$K) = "Complete", "DELIVERED", XLOOKUP(B3287, 'Kit Delivery Status'!$U:$U, 'Kit Delivery Status'!$K:$K) = "Issue", "ISSUE"), "")</f>
        <v/>
      </c>
      <c r="AM3287" s="6"/>
    </row>
    <row r="3288">
      <c r="A3288" s="19"/>
      <c r="B3288" s="19"/>
      <c r="C3288" s="19"/>
      <c r="D3288" s="42"/>
      <c r="E3288" s="19"/>
      <c r="F3288" s="19"/>
      <c r="G3288" s="19"/>
      <c r="H3288" s="19"/>
      <c r="I3288" s="19"/>
      <c r="J3288" s="19"/>
      <c r="K3288" s="19"/>
      <c r="L3288" s="19"/>
      <c r="M3288" s="19"/>
      <c r="N3288" s="19"/>
      <c r="O3288" s="43"/>
      <c r="P3288" s="19"/>
      <c r="Q3288" s="19"/>
      <c r="R3288" s="19"/>
      <c r="S3288" s="19"/>
      <c r="T3288" s="19"/>
      <c r="U3288" s="19"/>
      <c r="V3288" s="44"/>
      <c r="W3288" s="19"/>
      <c r="X3288" s="19"/>
      <c r="Y3288" s="19"/>
      <c r="Z3288" s="19"/>
      <c r="AA3288" s="19"/>
      <c r="AB3288" s="19"/>
      <c r="AC3288" s="19"/>
      <c r="AD3288" s="19"/>
      <c r="AE3288" s="19"/>
      <c r="AF3288" s="19"/>
      <c r="AG3288" s="19"/>
      <c r="AH3288" s="19"/>
      <c r="AI3288" s="19"/>
      <c r="AJ3288" s="19"/>
      <c r="AK3288" s="19"/>
      <c r="AL3288" s="6" t="str">
        <f t="array" ref="AL3288">IFERROR(IFS(XLOOKUP(B3288, 'Kit Delivery Status'!$U:$U, 'Kit Delivery Status'!$K:$K) = "Complete", "DELIVERED", XLOOKUP(B3288, 'Kit Delivery Status'!$U:$U, 'Kit Delivery Status'!$K:$K) = "Issue", "ISSUE"), "")</f>
        <v/>
      </c>
      <c r="AM3288" s="6"/>
    </row>
    <row r="3289">
      <c r="A3289" s="19"/>
      <c r="B3289" s="19"/>
      <c r="C3289" s="19"/>
      <c r="D3289" s="42"/>
      <c r="E3289" s="19"/>
      <c r="F3289" s="19"/>
      <c r="G3289" s="19"/>
      <c r="H3289" s="19"/>
      <c r="I3289" s="19"/>
      <c r="J3289" s="19"/>
      <c r="K3289" s="19"/>
      <c r="L3289" s="19"/>
      <c r="M3289" s="19"/>
      <c r="N3289" s="19"/>
      <c r="O3289" s="43"/>
      <c r="P3289" s="19"/>
      <c r="Q3289" s="19"/>
      <c r="R3289" s="19"/>
      <c r="S3289" s="19"/>
      <c r="T3289" s="19"/>
      <c r="U3289" s="19"/>
      <c r="V3289" s="44"/>
      <c r="W3289" s="19"/>
      <c r="X3289" s="19"/>
      <c r="Y3289" s="19"/>
      <c r="Z3289" s="19"/>
      <c r="AA3289" s="19"/>
      <c r="AB3289" s="19"/>
      <c r="AC3289" s="19"/>
      <c r="AD3289" s="19"/>
      <c r="AE3289" s="19"/>
      <c r="AF3289" s="19"/>
      <c r="AG3289" s="19"/>
      <c r="AH3289" s="19"/>
      <c r="AI3289" s="19"/>
      <c r="AJ3289" s="19"/>
      <c r="AK3289" s="19"/>
      <c r="AL3289" s="6" t="str">
        <f t="array" ref="AL3289">IFERROR(IFS(XLOOKUP(B3289, 'Kit Delivery Status'!$U:$U, 'Kit Delivery Status'!$K:$K) = "Complete", "DELIVERED", XLOOKUP(B3289, 'Kit Delivery Status'!$U:$U, 'Kit Delivery Status'!$K:$K) = "Issue", "ISSUE"), "")</f>
        <v/>
      </c>
      <c r="AM3289" s="6"/>
    </row>
    <row r="3290">
      <c r="A3290" s="19"/>
      <c r="B3290" s="19"/>
      <c r="C3290" s="19"/>
      <c r="D3290" s="42"/>
      <c r="E3290" s="19"/>
      <c r="F3290" s="19"/>
      <c r="G3290" s="19"/>
      <c r="H3290" s="19"/>
      <c r="I3290" s="19"/>
      <c r="J3290" s="19"/>
      <c r="K3290" s="19"/>
      <c r="L3290" s="19"/>
      <c r="M3290" s="19"/>
      <c r="N3290" s="19"/>
      <c r="O3290" s="43"/>
      <c r="P3290" s="19"/>
      <c r="Q3290" s="19"/>
      <c r="R3290" s="19"/>
      <c r="S3290" s="19"/>
      <c r="T3290" s="19"/>
      <c r="U3290" s="19"/>
      <c r="V3290" s="44"/>
      <c r="W3290" s="19"/>
      <c r="X3290" s="19"/>
      <c r="Y3290" s="19"/>
      <c r="Z3290" s="19"/>
      <c r="AA3290" s="19"/>
      <c r="AB3290" s="19"/>
      <c r="AC3290" s="19"/>
      <c r="AD3290" s="19"/>
      <c r="AE3290" s="19"/>
      <c r="AF3290" s="19"/>
      <c r="AG3290" s="19"/>
      <c r="AH3290" s="19"/>
      <c r="AI3290" s="19"/>
      <c r="AJ3290" s="19"/>
      <c r="AK3290" s="19"/>
      <c r="AL3290" s="6" t="str">
        <f t="array" ref="AL3290">IFERROR(IFS(XLOOKUP(B3290, 'Kit Delivery Status'!$U:$U, 'Kit Delivery Status'!$K:$K) = "Complete", "DELIVERED", XLOOKUP(B3290, 'Kit Delivery Status'!$U:$U, 'Kit Delivery Status'!$K:$K) = "Issue", "ISSUE"), "")</f>
        <v/>
      </c>
      <c r="AM3290" s="6"/>
    </row>
    <row r="3291">
      <c r="A3291" s="19"/>
      <c r="B3291" s="19"/>
      <c r="C3291" s="19"/>
      <c r="D3291" s="42"/>
      <c r="E3291" s="19"/>
      <c r="F3291" s="19"/>
      <c r="G3291" s="19"/>
      <c r="H3291" s="19"/>
      <c r="I3291" s="19"/>
      <c r="J3291" s="19"/>
      <c r="K3291" s="19"/>
      <c r="L3291" s="19"/>
      <c r="M3291" s="19"/>
      <c r="N3291" s="19"/>
      <c r="O3291" s="43"/>
      <c r="P3291" s="19"/>
      <c r="Q3291" s="19"/>
      <c r="R3291" s="19"/>
      <c r="S3291" s="19"/>
      <c r="T3291" s="19"/>
      <c r="U3291" s="19"/>
      <c r="V3291" s="44"/>
      <c r="W3291" s="19"/>
      <c r="X3291" s="19"/>
      <c r="Y3291" s="19"/>
      <c r="Z3291" s="19"/>
      <c r="AA3291" s="19"/>
      <c r="AB3291" s="19"/>
      <c r="AC3291" s="19"/>
      <c r="AD3291" s="19"/>
      <c r="AE3291" s="19"/>
      <c r="AF3291" s="19"/>
      <c r="AG3291" s="19"/>
      <c r="AH3291" s="19"/>
      <c r="AI3291" s="19"/>
      <c r="AJ3291" s="19"/>
      <c r="AK3291" s="19"/>
      <c r="AL3291" s="6" t="str">
        <f t="array" ref="AL3291">IFERROR(IFS(XLOOKUP(B3291, 'Kit Delivery Status'!$U:$U, 'Kit Delivery Status'!$K:$K) = "Complete", "DELIVERED", XLOOKUP(B3291, 'Kit Delivery Status'!$U:$U, 'Kit Delivery Status'!$K:$K) = "Issue", "ISSUE"), "")</f>
        <v/>
      </c>
      <c r="AM3291" s="6"/>
    </row>
    <row r="3292">
      <c r="A3292" s="19"/>
      <c r="B3292" s="19"/>
      <c r="C3292" s="19"/>
      <c r="D3292" s="42"/>
      <c r="E3292" s="19"/>
      <c r="F3292" s="19"/>
      <c r="G3292" s="19"/>
      <c r="H3292" s="19"/>
      <c r="I3292" s="19"/>
      <c r="J3292" s="19"/>
      <c r="K3292" s="19"/>
      <c r="L3292" s="19"/>
      <c r="M3292" s="19"/>
      <c r="N3292" s="19"/>
      <c r="O3292" s="43"/>
      <c r="P3292" s="19"/>
      <c r="Q3292" s="19"/>
      <c r="R3292" s="19"/>
      <c r="S3292" s="19"/>
      <c r="T3292" s="19"/>
      <c r="U3292" s="19"/>
      <c r="V3292" s="44"/>
      <c r="W3292" s="19"/>
      <c r="X3292" s="19"/>
      <c r="Y3292" s="19"/>
      <c r="Z3292" s="19"/>
      <c r="AA3292" s="19"/>
      <c r="AB3292" s="19"/>
      <c r="AC3292" s="19"/>
      <c r="AD3292" s="19"/>
      <c r="AE3292" s="19"/>
      <c r="AF3292" s="19"/>
      <c r="AG3292" s="19"/>
      <c r="AH3292" s="19"/>
      <c r="AI3292" s="19"/>
      <c r="AJ3292" s="19"/>
      <c r="AK3292" s="19"/>
      <c r="AL3292" s="6" t="str">
        <f t="array" ref="AL3292">IFERROR(IFS(XLOOKUP(B3292, 'Kit Delivery Status'!$U:$U, 'Kit Delivery Status'!$K:$K) = "Complete", "DELIVERED", XLOOKUP(B3292, 'Kit Delivery Status'!$U:$U, 'Kit Delivery Status'!$K:$K) = "Issue", "ISSUE"), "")</f>
        <v/>
      </c>
      <c r="AM3292" s="6"/>
    </row>
    <row r="3293">
      <c r="A3293" s="19"/>
      <c r="B3293" s="19"/>
      <c r="C3293" s="19"/>
      <c r="D3293" s="42"/>
      <c r="E3293" s="19"/>
      <c r="F3293" s="19"/>
      <c r="G3293" s="19"/>
      <c r="H3293" s="19"/>
      <c r="I3293" s="19"/>
      <c r="J3293" s="19"/>
      <c r="K3293" s="19"/>
      <c r="L3293" s="19"/>
      <c r="M3293" s="19"/>
      <c r="N3293" s="19"/>
      <c r="O3293" s="43"/>
      <c r="P3293" s="19"/>
      <c r="Q3293" s="19"/>
      <c r="R3293" s="19"/>
      <c r="S3293" s="19"/>
      <c r="T3293" s="19"/>
      <c r="U3293" s="19"/>
      <c r="V3293" s="44"/>
      <c r="W3293" s="19"/>
      <c r="X3293" s="19"/>
      <c r="Y3293" s="19"/>
      <c r="Z3293" s="19"/>
      <c r="AA3293" s="19"/>
      <c r="AB3293" s="19"/>
      <c r="AC3293" s="19"/>
      <c r="AD3293" s="19"/>
      <c r="AE3293" s="19"/>
      <c r="AF3293" s="19"/>
      <c r="AG3293" s="19"/>
      <c r="AH3293" s="19"/>
      <c r="AI3293" s="19"/>
      <c r="AJ3293" s="19"/>
      <c r="AK3293" s="19"/>
      <c r="AL3293" s="6" t="str">
        <f t="array" ref="AL3293">IFERROR(IFS(XLOOKUP(B3293, 'Kit Delivery Status'!$U:$U, 'Kit Delivery Status'!$K:$K) = "Complete", "DELIVERED", XLOOKUP(B3293, 'Kit Delivery Status'!$U:$U, 'Kit Delivery Status'!$K:$K) = "Issue", "ISSUE"), "")</f>
        <v/>
      </c>
      <c r="AM3293" s="6"/>
    </row>
    <row r="3294">
      <c r="A3294" s="19"/>
      <c r="B3294" s="19"/>
      <c r="C3294" s="19"/>
      <c r="D3294" s="42"/>
      <c r="E3294" s="19"/>
      <c r="F3294" s="19"/>
      <c r="G3294" s="19"/>
      <c r="H3294" s="19"/>
      <c r="I3294" s="19"/>
      <c r="J3294" s="19"/>
      <c r="K3294" s="19"/>
      <c r="L3294" s="19"/>
      <c r="M3294" s="19"/>
      <c r="N3294" s="19"/>
      <c r="O3294" s="43"/>
      <c r="P3294" s="19"/>
      <c r="Q3294" s="19"/>
      <c r="R3294" s="19"/>
      <c r="S3294" s="19"/>
      <c r="T3294" s="19"/>
      <c r="U3294" s="19"/>
      <c r="V3294" s="44"/>
      <c r="W3294" s="19"/>
      <c r="X3294" s="19"/>
      <c r="Y3294" s="19"/>
      <c r="Z3294" s="19"/>
      <c r="AA3294" s="19"/>
      <c r="AB3294" s="19"/>
      <c r="AC3294" s="19"/>
      <c r="AD3294" s="19"/>
      <c r="AE3294" s="19"/>
      <c r="AF3294" s="19"/>
      <c r="AG3294" s="19"/>
      <c r="AH3294" s="19"/>
      <c r="AI3294" s="19"/>
      <c r="AJ3294" s="19"/>
      <c r="AK3294" s="19"/>
      <c r="AL3294" s="6" t="str">
        <f t="array" ref="AL3294">IFERROR(IFS(XLOOKUP(B3294, 'Kit Delivery Status'!$U:$U, 'Kit Delivery Status'!$K:$K) = "Complete", "DELIVERED", XLOOKUP(B3294, 'Kit Delivery Status'!$U:$U, 'Kit Delivery Status'!$K:$K) = "Issue", "ISSUE"), "")</f>
        <v/>
      </c>
      <c r="AM3294" s="6"/>
    </row>
    <row r="3295">
      <c r="A3295" s="19"/>
      <c r="B3295" s="19"/>
      <c r="C3295" s="19"/>
      <c r="D3295" s="42"/>
      <c r="E3295" s="19"/>
      <c r="F3295" s="19"/>
      <c r="G3295" s="19"/>
      <c r="H3295" s="19"/>
      <c r="I3295" s="19"/>
      <c r="J3295" s="19"/>
      <c r="K3295" s="19"/>
      <c r="L3295" s="19"/>
      <c r="M3295" s="19"/>
      <c r="N3295" s="19"/>
      <c r="O3295" s="43"/>
      <c r="P3295" s="19"/>
      <c r="Q3295" s="19"/>
      <c r="R3295" s="19"/>
      <c r="S3295" s="19"/>
      <c r="T3295" s="19"/>
      <c r="U3295" s="19"/>
      <c r="V3295" s="44"/>
      <c r="W3295" s="19"/>
      <c r="X3295" s="19"/>
      <c r="Y3295" s="19"/>
      <c r="Z3295" s="19"/>
      <c r="AA3295" s="19"/>
      <c r="AB3295" s="19"/>
      <c r="AC3295" s="19"/>
      <c r="AD3295" s="19"/>
      <c r="AE3295" s="19"/>
      <c r="AF3295" s="19"/>
      <c r="AG3295" s="19"/>
      <c r="AH3295" s="19"/>
      <c r="AI3295" s="19"/>
      <c r="AJ3295" s="19"/>
      <c r="AK3295" s="19"/>
      <c r="AL3295" s="6" t="str">
        <f t="array" ref="AL3295">IFERROR(IFS(XLOOKUP(B3295, 'Kit Delivery Status'!$U:$U, 'Kit Delivery Status'!$K:$K) = "Complete", "DELIVERED", XLOOKUP(B3295, 'Kit Delivery Status'!$U:$U, 'Kit Delivery Status'!$K:$K) = "Issue", "ISSUE"), "")</f>
        <v/>
      </c>
      <c r="AM3295" s="6"/>
    </row>
    <row r="3296">
      <c r="A3296" s="19"/>
      <c r="B3296" s="19"/>
      <c r="C3296" s="19"/>
      <c r="D3296" s="42"/>
      <c r="E3296" s="19"/>
      <c r="F3296" s="19"/>
      <c r="G3296" s="19"/>
      <c r="H3296" s="19"/>
      <c r="I3296" s="19"/>
      <c r="J3296" s="19"/>
      <c r="K3296" s="19"/>
      <c r="L3296" s="19"/>
      <c r="M3296" s="19"/>
      <c r="N3296" s="19"/>
      <c r="O3296" s="43"/>
      <c r="P3296" s="19"/>
      <c r="Q3296" s="19"/>
      <c r="R3296" s="19"/>
      <c r="S3296" s="19"/>
      <c r="T3296" s="19"/>
      <c r="U3296" s="19"/>
      <c r="V3296" s="44"/>
      <c r="W3296" s="19"/>
      <c r="X3296" s="19"/>
      <c r="Y3296" s="19"/>
      <c r="Z3296" s="19"/>
      <c r="AA3296" s="19"/>
      <c r="AB3296" s="19"/>
      <c r="AC3296" s="19"/>
      <c r="AD3296" s="19"/>
      <c r="AE3296" s="19"/>
      <c r="AF3296" s="19"/>
      <c r="AG3296" s="19"/>
      <c r="AH3296" s="19"/>
      <c r="AI3296" s="19"/>
      <c r="AJ3296" s="19"/>
      <c r="AK3296" s="19"/>
      <c r="AL3296" s="6" t="str">
        <f t="array" ref="AL3296">IFERROR(IFS(XLOOKUP(B3296, 'Kit Delivery Status'!$U:$U, 'Kit Delivery Status'!$K:$K) = "Complete", "DELIVERED", XLOOKUP(B3296, 'Kit Delivery Status'!$U:$U, 'Kit Delivery Status'!$K:$K) = "Issue", "ISSUE"), "")</f>
        <v/>
      </c>
      <c r="AM3296" s="6"/>
    </row>
    <row r="3297">
      <c r="A3297" s="19"/>
      <c r="B3297" s="19"/>
      <c r="C3297" s="19"/>
      <c r="D3297" s="42"/>
      <c r="E3297" s="19"/>
      <c r="F3297" s="19"/>
      <c r="G3297" s="19"/>
      <c r="H3297" s="19"/>
      <c r="I3297" s="19"/>
      <c r="J3297" s="19"/>
      <c r="K3297" s="19"/>
      <c r="L3297" s="19"/>
      <c r="M3297" s="19"/>
      <c r="N3297" s="19"/>
      <c r="O3297" s="43"/>
      <c r="P3297" s="19"/>
      <c r="Q3297" s="19"/>
      <c r="R3297" s="19"/>
      <c r="S3297" s="19"/>
      <c r="T3297" s="19"/>
      <c r="U3297" s="19"/>
      <c r="V3297" s="44"/>
      <c r="W3297" s="19"/>
      <c r="X3297" s="19"/>
      <c r="Y3297" s="19"/>
      <c r="Z3297" s="19"/>
      <c r="AA3297" s="19"/>
      <c r="AB3297" s="19"/>
      <c r="AC3297" s="19"/>
      <c r="AD3297" s="19"/>
      <c r="AE3297" s="19"/>
      <c r="AF3297" s="19"/>
      <c r="AG3297" s="19"/>
      <c r="AH3297" s="19"/>
      <c r="AI3297" s="19"/>
      <c r="AJ3297" s="19"/>
      <c r="AK3297" s="19"/>
      <c r="AL3297" s="6" t="str">
        <f t="array" ref="AL3297">IFERROR(IFS(XLOOKUP(B3297, 'Kit Delivery Status'!$U:$U, 'Kit Delivery Status'!$K:$K) = "Complete", "DELIVERED", XLOOKUP(B3297, 'Kit Delivery Status'!$U:$U, 'Kit Delivery Status'!$K:$K) = "Issue", "ISSUE"), "")</f>
        <v/>
      </c>
      <c r="AM3297" s="6"/>
    </row>
    <row r="3298">
      <c r="A3298" s="19"/>
      <c r="B3298" s="19"/>
      <c r="C3298" s="19"/>
      <c r="D3298" s="42"/>
      <c r="E3298" s="19"/>
      <c r="F3298" s="19"/>
      <c r="G3298" s="19"/>
      <c r="H3298" s="19"/>
      <c r="I3298" s="19"/>
      <c r="J3298" s="19"/>
      <c r="K3298" s="19"/>
      <c r="L3298" s="19"/>
      <c r="M3298" s="19"/>
      <c r="N3298" s="19"/>
      <c r="O3298" s="43"/>
      <c r="P3298" s="19"/>
      <c r="Q3298" s="19"/>
      <c r="R3298" s="19"/>
      <c r="S3298" s="19"/>
      <c r="T3298" s="19"/>
      <c r="U3298" s="19"/>
      <c r="V3298" s="44"/>
      <c r="W3298" s="19"/>
      <c r="X3298" s="19"/>
      <c r="Y3298" s="19"/>
      <c r="Z3298" s="19"/>
      <c r="AA3298" s="19"/>
      <c r="AB3298" s="19"/>
      <c r="AC3298" s="19"/>
      <c r="AD3298" s="19"/>
      <c r="AE3298" s="19"/>
      <c r="AF3298" s="19"/>
      <c r="AG3298" s="19"/>
      <c r="AH3298" s="19"/>
      <c r="AI3298" s="19"/>
      <c r="AJ3298" s="19"/>
      <c r="AK3298" s="19"/>
      <c r="AL3298" s="6" t="str">
        <f t="array" ref="AL3298">IFERROR(IFS(XLOOKUP(B3298, 'Kit Delivery Status'!$U:$U, 'Kit Delivery Status'!$K:$K) = "Complete", "DELIVERED", XLOOKUP(B3298, 'Kit Delivery Status'!$U:$U, 'Kit Delivery Status'!$K:$K) = "Issue", "ISSUE"), "")</f>
        <v/>
      </c>
      <c r="AM3298" s="6"/>
    </row>
    <row r="3299">
      <c r="A3299" s="19"/>
      <c r="B3299" s="19"/>
      <c r="C3299" s="19"/>
      <c r="D3299" s="42"/>
      <c r="E3299" s="19"/>
      <c r="F3299" s="19"/>
      <c r="G3299" s="19"/>
      <c r="H3299" s="19"/>
      <c r="I3299" s="19"/>
      <c r="J3299" s="19"/>
      <c r="K3299" s="19"/>
      <c r="L3299" s="19"/>
      <c r="M3299" s="19"/>
      <c r="N3299" s="19"/>
      <c r="O3299" s="43"/>
      <c r="P3299" s="19"/>
      <c r="Q3299" s="19"/>
      <c r="R3299" s="19"/>
      <c r="S3299" s="19"/>
      <c r="T3299" s="19"/>
      <c r="U3299" s="19"/>
      <c r="V3299" s="44"/>
      <c r="W3299" s="19"/>
      <c r="X3299" s="19"/>
      <c r="Y3299" s="19"/>
      <c r="Z3299" s="19"/>
      <c r="AA3299" s="19"/>
      <c r="AB3299" s="19"/>
      <c r="AC3299" s="19"/>
      <c r="AD3299" s="19"/>
      <c r="AE3299" s="19"/>
      <c r="AF3299" s="19"/>
      <c r="AG3299" s="19"/>
      <c r="AH3299" s="19"/>
      <c r="AI3299" s="19"/>
      <c r="AJ3299" s="19"/>
      <c r="AK3299" s="19"/>
      <c r="AL3299" s="6" t="str">
        <f t="array" ref="AL3299">IFERROR(IFS(XLOOKUP(B3299, 'Kit Delivery Status'!$U:$U, 'Kit Delivery Status'!$K:$K) = "Complete", "DELIVERED", XLOOKUP(B3299, 'Kit Delivery Status'!$U:$U, 'Kit Delivery Status'!$K:$K) = "Issue", "ISSUE"), "")</f>
        <v/>
      </c>
      <c r="AM3299" s="6"/>
    </row>
    <row r="3300">
      <c r="A3300" s="19"/>
      <c r="B3300" s="19"/>
      <c r="C3300" s="19"/>
      <c r="D3300" s="42"/>
      <c r="E3300" s="19"/>
      <c r="F3300" s="19"/>
      <c r="G3300" s="19"/>
      <c r="H3300" s="19"/>
      <c r="I3300" s="19"/>
      <c r="J3300" s="19"/>
      <c r="K3300" s="19"/>
      <c r="L3300" s="19"/>
      <c r="M3300" s="19"/>
      <c r="N3300" s="19"/>
      <c r="O3300" s="43"/>
      <c r="P3300" s="19"/>
      <c r="Q3300" s="19"/>
      <c r="R3300" s="19"/>
      <c r="S3300" s="19"/>
      <c r="T3300" s="19"/>
      <c r="U3300" s="19"/>
      <c r="V3300" s="44"/>
      <c r="W3300" s="19"/>
      <c r="X3300" s="19"/>
      <c r="Y3300" s="19"/>
      <c r="Z3300" s="19"/>
      <c r="AA3300" s="19"/>
      <c r="AB3300" s="19"/>
      <c r="AC3300" s="19"/>
      <c r="AD3300" s="19"/>
      <c r="AE3300" s="19"/>
      <c r="AF3300" s="19"/>
      <c r="AG3300" s="19"/>
      <c r="AH3300" s="19"/>
      <c r="AI3300" s="19"/>
      <c r="AJ3300" s="19"/>
      <c r="AK3300" s="19"/>
      <c r="AL3300" s="6" t="str">
        <f t="array" ref="AL3300">IFERROR(IFS(XLOOKUP(B3300, 'Kit Delivery Status'!$U:$U, 'Kit Delivery Status'!$K:$K) = "Complete", "DELIVERED", XLOOKUP(B3300, 'Kit Delivery Status'!$U:$U, 'Kit Delivery Status'!$K:$K) = "Issue", "ISSUE"), "")</f>
        <v/>
      </c>
      <c r="AM3300" s="6"/>
    </row>
    <row r="3301">
      <c r="A3301" s="19"/>
      <c r="B3301" s="19"/>
      <c r="C3301" s="19"/>
      <c r="D3301" s="42"/>
      <c r="E3301" s="19"/>
      <c r="F3301" s="19"/>
      <c r="G3301" s="19"/>
      <c r="H3301" s="19"/>
      <c r="I3301" s="19"/>
      <c r="J3301" s="19"/>
      <c r="K3301" s="19"/>
      <c r="L3301" s="19"/>
      <c r="M3301" s="19"/>
      <c r="N3301" s="19"/>
      <c r="O3301" s="43"/>
      <c r="P3301" s="19"/>
      <c r="Q3301" s="19"/>
      <c r="R3301" s="19"/>
      <c r="S3301" s="19"/>
      <c r="T3301" s="19"/>
      <c r="U3301" s="19"/>
      <c r="V3301" s="44"/>
      <c r="W3301" s="19"/>
      <c r="X3301" s="19"/>
      <c r="Y3301" s="19"/>
      <c r="Z3301" s="19"/>
      <c r="AA3301" s="19"/>
      <c r="AB3301" s="19"/>
      <c r="AC3301" s="19"/>
      <c r="AD3301" s="19"/>
      <c r="AE3301" s="19"/>
      <c r="AF3301" s="19"/>
      <c r="AG3301" s="19"/>
      <c r="AH3301" s="19"/>
      <c r="AI3301" s="19"/>
      <c r="AJ3301" s="19"/>
      <c r="AK3301" s="19"/>
      <c r="AL3301" s="6" t="str">
        <f t="array" ref="AL3301">IFERROR(IFS(XLOOKUP(B3301, 'Kit Delivery Status'!$U:$U, 'Kit Delivery Status'!$K:$K) = "Complete", "DELIVERED", XLOOKUP(B3301, 'Kit Delivery Status'!$U:$U, 'Kit Delivery Status'!$K:$K) = "Issue", "ISSUE"), "")</f>
        <v/>
      </c>
      <c r="AM3301" s="6"/>
    </row>
    <row r="3302">
      <c r="A3302" s="19"/>
      <c r="B3302" s="19"/>
      <c r="C3302" s="19"/>
      <c r="D3302" s="42"/>
      <c r="E3302" s="19"/>
      <c r="F3302" s="19"/>
      <c r="G3302" s="19"/>
      <c r="H3302" s="19"/>
      <c r="I3302" s="19"/>
      <c r="J3302" s="19"/>
      <c r="K3302" s="19"/>
      <c r="L3302" s="19"/>
      <c r="M3302" s="19"/>
      <c r="N3302" s="19"/>
      <c r="O3302" s="43"/>
      <c r="P3302" s="19"/>
      <c r="Q3302" s="19"/>
      <c r="R3302" s="19"/>
      <c r="S3302" s="19"/>
      <c r="T3302" s="19"/>
      <c r="U3302" s="19"/>
      <c r="V3302" s="44"/>
      <c r="W3302" s="19"/>
      <c r="X3302" s="19"/>
      <c r="Y3302" s="19"/>
      <c r="Z3302" s="19"/>
      <c r="AA3302" s="19"/>
      <c r="AB3302" s="19"/>
      <c r="AC3302" s="19"/>
      <c r="AD3302" s="19"/>
      <c r="AE3302" s="19"/>
      <c r="AF3302" s="19"/>
      <c r="AG3302" s="19"/>
      <c r="AH3302" s="19"/>
      <c r="AI3302" s="19"/>
      <c r="AJ3302" s="19"/>
      <c r="AK3302" s="19"/>
      <c r="AL3302" s="6" t="str">
        <f t="array" ref="AL3302">IFERROR(IFS(XLOOKUP(B3302, 'Kit Delivery Status'!$U:$U, 'Kit Delivery Status'!$K:$K) = "Complete", "DELIVERED", XLOOKUP(B3302, 'Kit Delivery Status'!$U:$U, 'Kit Delivery Status'!$K:$K) = "Issue", "ISSUE"), "")</f>
        <v/>
      </c>
      <c r="AM3302" s="6"/>
    </row>
    <row r="3303">
      <c r="A3303" s="19"/>
      <c r="B3303" s="19"/>
      <c r="C3303" s="19"/>
      <c r="D3303" s="42"/>
      <c r="E3303" s="19"/>
      <c r="F3303" s="19"/>
      <c r="G3303" s="19"/>
      <c r="H3303" s="19"/>
      <c r="I3303" s="19"/>
      <c r="J3303" s="19"/>
      <c r="K3303" s="19"/>
      <c r="L3303" s="19"/>
      <c r="M3303" s="19"/>
      <c r="N3303" s="19"/>
      <c r="O3303" s="43"/>
      <c r="P3303" s="19"/>
      <c r="Q3303" s="19"/>
      <c r="R3303" s="19"/>
      <c r="S3303" s="19"/>
      <c r="T3303" s="19"/>
      <c r="U3303" s="19"/>
      <c r="V3303" s="44"/>
      <c r="W3303" s="19"/>
      <c r="X3303" s="19"/>
      <c r="Y3303" s="19"/>
      <c r="Z3303" s="19"/>
      <c r="AA3303" s="19"/>
      <c r="AB3303" s="19"/>
      <c r="AC3303" s="19"/>
      <c r="AD3303" s="19"/>
      <c r="AE3303" s="19"/>
      <c r="AF3303" s="19"/>
      <c r="AG3303" s="19"/>
      <c r="AH3303" s="19"/>
      <c r="AI3303" s="19"/>
      <c r="AJ3303" s="19"/>
      <c r="AK3303" s="19"/>
      <c r="AL3303" s="6" t="str">
        <f t="array" ref="AL3303">IFERROR(IFS(XLOOKUP(B3303, 'Kit Delivery Status'!$U:$U, 'Kit Delivery Status'!$K:$K) = "Complete", "DELIVERED", XLOOKUP(B3303, 'Kit Delivery Status'!$U:$U, 'Kit Delivery Status'!$K:$K) = "Issue", "ISSUE"), "")</f>
        <v/>
      </c>
      <c r="AM3303" s="6"/>
    </row>
    <row r="3304">
      <c r="A3304" s="19"/>
      <c r="B3304" s="19"/>
      <c r="C3304" s="19"/>
      <c r="D3304" s="42"/>
      <c r="E3304" s="19"/>
      <c r="F3304" s="19"/>
      <c r="G3304" s="19"/>
      <c r="H3304" s="19"/>
      <c r="I3304" s="19"/>
      <c r="J3304" s="19"/>
      <c r="K3304" s="19"/>
      <c r="L3304" s="19"/>
      <c r="M3304" s="19"/>
      <c r="N3304" s="19"/>
      <c r="O3304" s="43"/>
      <c r="P3304" s="19"/>
      <c r="Q3304" s="19"/>
      <c r="R3304" s="19"/>
      <c r="S3304" s="19"/>
      <c r="T3304" s="19"/>
      <c r="U3304" s="19"/>
      <c r="V3304" s="44"/>
      <c r="W3304" s="19"/>
      <c r="X3304" s="19"/>
      <c r="Y3304" s="19"/>
      <c r="Z3304" s="19"/>
      <c r="AA3304" s="19"/>
      <c r="AB3304" s="19"/>
      <c r="AC3304" s="19"/>
      <c r="AD3304" s="19"/>
      <c r="AE3304" s="19"/>
      <c r="AF3304" s="19"/>
      <c r="AG3304" s="19"/>
      <c r="AH3304" s="19"/>
      <c r="AI3304" s="19"/>
      <c r="AJ3304" s="19"/>
      <c r="AK3304" s="19"/>
      <c r="AL3304" s="6" t="str">
        <f t="array" ref="AL3304">IFERROR(IFS(XLOOKUP(B3304, 'Kit Delivery Status'!$U:$U, 'Kit Delivery Status'!$K:$K) = "Complete", "DELIVERED", XLOOKUP(B3304, 'Kit Delivery Status'!$U:$U, 'Kit Delivery Status'!$K:$K) = "Issue", "ISSUE"), "")</f>
        <v/>
      </c>
      <c r="AM3304" s="6"/>
    </row>
    <row r="3305">
      <c r="A3305" s="19"/>
      <c r="B3305" s="19"/>
      <c r="C3305" s="19"/>
      <c r="D3305" s="42"/>
      <c r="E3305" s="19"/>
      <c r="F3305" s="19"/>
      <c r="G3305" s="19"/>
      <c r="H3305" s="19"/>
      <c r="I3305" s="19"/>
      <c r="J3305" s="19"/>
      <c r="K3305" s="19"/>
      <c r="L3305" s="19"/>
      <c r="M3305" s="19"/>
      <c r="N3305" s="19"/>
      <c r="O3305" s="43"/>
      <c r="P3305" s="19"/>
      <c r="Q3305" s="19"/>
      <c r="R3305" s="19"/>
      <c r="S3305" s="19"/>
      <c r="T3305" s="19"/>
      <c r="U3305" s="19"/>
      <c r="V3305" s="44"/>
      <c r="W3305" s="19"/>
      <c r="X3305" s="19"/>
      <c r="Y3305" s="19"/>
      <c r="Z3305" s="19"/>
      <c r="AA3305" s="19"/>
      <c r="AB3305" s="19"/>
      <c r="AC3305" s="19"/>
      <c r="AD3305" s="19"/>
      <c r="AE3305" s="19"/>
      <c r="AF3305" s="19"/>
      <c r="AG3305" s="19"/>
      <c r="AH3305" s="19"/>
      <c r="AI3305" s="19"/>
      <c r="AJ3305" s="19"/>
      <c r="AK3305" s="19"/>
      <c r="AL3305" s="6" t="str">
        <f t="array" ref="AL3305">IFERROR(IFS(XLOOKUP(B3305, 'Kit Delivery Status'!$U:$U, 'Kit Delivery Status'!$K:$K) = "Complete", "DELIVERED", XLOOKUP(B3305, 'Kit Delivery Status'!$U:$U, 'Kit Delivery Status'!$K:$K) = "Issue", "ISSUE"), "")</f>
        <v/>
      </c>
      <c r="AM3305" s="6"/>
    </row>
    <row r="3306">
      <c r="A3306" s="19"/>
      <c r="B3306" s="19"/>
      <c r="C3306" s="19"/>
      <c r="D3306" s="42"/>
      <c r="E3306" s="19"/>
      <c r="F3306" s="19"/>
      <c r="G3306" s="19"/>
      <c r="H3306" s="19"/>
      <c r="I3306" s="19"/>
      <c r="J3306" s="19"/>
      <c r="K3306" s="19"/>
      <c r="L3306" s="19"/>
      <c r="M3306" s="19"/>
      <c r="N3306" s="19"/>
      <c r="O3306" s="43"/>
      <c r="P3306" s="19"/>
      <c r="Q3306" s="19"/>
      <c r="R3306" s="19"/>
      <c r="S3306" s="19"/>
      <c r="T3306" s="19"/>
      <c r="U3306" s="19"/>
      <c r="V3306" s="44"/>
      <c r="W3306" s="19"/>
      <c r="X3306" s="19"/>
      <c r="Y3306" s="19"/>
      <c r="Z3306" s="19"/>
      <c r="AA3306" s="19"/>
      <c r="AB3306" s="19"/>
      <c r="AC3306" s="19"/>
      <c r="AD3306" s="19"/>
      <c r="AE3306" s="19"/>
      <c r="AF3306" s="19"/>
      <c r="AG3306" s="19"/>
      <c r="AH3306" s="19"/>
      <c r="AI3306" s="19"/>
      <c r="AJ3306" s="19"/>
      <c r="AK3306" s="19"/>
      <c r="AL3306" s="6" t="str">
        <f t="array" ref="AL3306">IFERROR(IFS(XLOOKUP(B3306, 'Kit Delivery Status'!$U:$U, 'Kit Delivery Status'!$K:$K) = "Complete", "DELIVERED", XLOOKUP(B3306, 'Kit Delivery Status'!$U:$U, 'Kit Delivery Status'!$K:$K) = "Issue", "ISSUE"), "")</f>
        <v/>
      </c>
      <c r="AM3306" s="6"/>
    </row>
    <row r="3307">
      <c r="A3307" s="19"/>
      <c r="B3307" s="19"/>
      <c r="C3307" s="19"/>
      <c r="D3307" s="42"/>
      <c r="E3307" s="19"/>
      <c r="F3307" s="19"/>
      <c r="G3307" s="19"/>
      <c r="H3307" s="19"/>
      <c r="I3307" s="19"/>
      <c r="J3307" s="19"/>
      <c r="K3307" s="19"/>
      <c r="L3307" s="19"/>
      <c r="M3307" s="19"/>
      <c r="N3307" s="19"/>
      <c r="O3307" s="43"/>
      <c r="P3307" s="19"/>
      <c r="Q3307" s="19"/>
      <c r="R3307" s="19"/>
      <c r="S3307" s="19"/>
      <c r="T3307" s="19"/>
      <c r="U3307" s="19"/>
      <c r="V3307" s="44"/>
      <c r="W3307" s="19"/>
      <c r="X3307" s="19"/>
      <c r="Y3307" s="19"/>
      <c r="Z3307" s="19"/>
      <c r="AA3307" s="19"/>
      <c r="AB3307" s="19"/>
      <c r="AC3307" s="19"/>
      <c r="AD3307" s="19"/>
      <c r="AE3307" s="19"/>
      <c r="AF3307" s="19"/>
      <c r="AG3307" s="19"/>
      <c r="AH3307" s="19"/>
      <c r="AI3307" s="19"/>
      <c r="AJ3307" s="19"/>
      <c r="AK3307" s="19"/>
      <c r="AL3307" s="6" t="str">
        <f t="array" ref="AL3307">IFERROR(IFS(XLOOKUP(B3307, 'Kit Delivery Status'!$U:$U, 'Kit Delivery Status'!$K:$K) = "Complete", "DELIVERED", XLOOKUP(B3307, 'Kit Delivery Status'!$U:$U, 'Kit Delivery Status'!$K:$K) = "Issue", "ISSUE"), "")</f>
        <v/>
      </c>
      <c r="AM3307" s="6"/>
    </row>
    <row r="3308">
      <c r="A3308" s="19"/>
      <c r="B3308" s="19"/>
      <c r="C3308" s="19"/>
      <c r="D3308" s="42"/>
      <c r="E3308" s="19"/>
      <c r="F3308" s="19"/>
      <c r="G3308" s="19"/>
      <c r="H3308" s="19"/>
      <c r="I3308" s="19"/>
      <c r="J3308" s="19"/>
      <c r="K3308" s="19"/>
      <c r="L3308" s="19"/>
      <c r="M3308" s="19"/>
      <c r="N3308" s="19"/>
      <c r="O3308" s="43"/>
      <c r="P3308" s="19"/>
      <c r="Q3308" s="19"/>
      <c r="R3308" s="19"/>
      <c r="S3308" s="19"/>
      <c r="T3308" s="19"/>
      <c r="U3308" s="19"/>
      <c r="V3308" s="44"/>
      <c r="W3308" s="19"/>
      <c r="X3308" s="19"/>
      <c r="Y3308" s="19"/>
      <c r="Z3308" s="19"/>
      <c r="AA3308" s="19"/>
      <c r="AB3308" s="19"/>
      <c r="AC3308" s="19"/>
      <c r="AD3308" s="19"/>
      <c r="AE3308" s="19"/>
      <c r="AF3308" s="19"/>
      <c r="AG3308" s="19"/>
      <c r="AH3308" s="19"/>
      <c r="AI3308" s="19"/>
      <c r="AJ3308" s="19"/>
      <c r="AK3308" s="19"/>
      <c r="AL3308" s="6" t="str">
        <f t="array" ref="AL3308">IFERROR(IFS(XLOOKUP(B3308, 'Kit Delivery Status'!$U:$U, 'Kit Delivery Status'!$K:$K) = "Complete", "DELIVERED", XLOOKUP(B3308, 'Kit Delivery Status'!$U:$U, 'Kit Delivery Status'!$K:$K) = "Issue", "ISSUE"), "")</f>
        <v/>
      </c>
      <c r="AM3308" s="6"/>
    </row>
    <row r="3309">
      <c r="A3309" s="19"/>
      <c r="B3309" s="19"/>
      <c r="C3309" s="19"/>
      <c r="D3309" s="42"/>
      <c r="E3309" s="19"/>
      <c r="F3309" s="19"/>
      <c r="G3309" s="19"/>
      <c r="H3309" s="19"/>
      <c r="I3309" s="19"/>
      <c r="J3309" s="19"/>
      <c r="K3309" s="19"/>
      <c r="L3309" s="19"/>
      <c r="M3309" s="19"/>
      <c r="N3309" s="19"/>
      <c r="O3309" s="43"/>
      <c r="P3309" s="19"/>
      <c r="Q3309" s="19"/>
      <c r="R3309" s="19"/>
      <c r="S3309" s="19"/>
      <c r="T3309" s="19"/>
      <c r="U3309" s="19"/>
      <c r="V3309" s="44"/>
      <c r="W3309" s="19"/>
      <c r="X3309" s="19"/>
      <c r="Y3309" s="19"/>
      <c r="Z3309" s="19"/>
      <c r="AA3309" s="19"/>
      <c r="AB3309" s="19"/>
      <c r="AC3309" s="19"/>
      <c r="AD3309" s="19"/>
      <c r="AE3309" s="19"/>
      <c r="AF3309" s="19"/>
      <c r="AG3309" s="19"/>
      <c r="AH3309" s="19"/>
      <c r="AI3309" s="19"/>
      <c r="AJ3309" s="19"/>
      <c r="AK3309" s="19"/>
      <c r="AL3309" s="6" t="str">
        <f t="array" ref="AL3309">IFERROR(IFS(XLOOKUP(B3309, 'Kit Delivery Status'!$U:$U, 'Kit Delivery Status'!$K:$K) = "Complete", "DELIVERED", XLOOKUP(B3309, 'Kit Delivery Status'!$U:$U, 'Kit Delivery Status'!$K:$K) = "Issue", "ISSUE"), "")</f>
        <v/>
      </c>
      <c r="AM3309" s="6"/>
    </row>
    <row r="3310">
      <c r="A3310" s="19"/>
      <c r="B3310" s="19"/>
      <c r="C3310" s="19"/>
      <c r="D3310" s="42"/>
      <c r="E3310" s="19"/>
      <c r="F3310" s="19"/>
      <c r="G3310" s="19"/>
      <c r="H3310" s="19"/>
      <c r="I3310" s="19"/>
      <c r="J3310" s="19"/>
      <c r="K3310" s="19"/>
      <c r="L3310" s="19"/>
      <c r="M3310" s="19"/>
      <c r="N3310" s="19"/>
      <c r="O3310" s="43"/>
      <c r="P3310" s="19"/>
      <c r="Q3310" s="19"/>
      <c r="R3310" s="19"/>
      <c r="S3310" s="19"/>
      <c r="T3310" s="19"/>
      <c r="U3310" s="19"/>
      <c r="V3310" s="44"/>
      <c r="W3310" s="19"/>
      <c r="X3310" s="19"/>
      <c r="Y3310" s="19"/>
      <c r="Z3310" s="19"/>
      <c r="AA3310" s="19"/>
      <c r="AB3310" s="19"/>
      <c r="AC3310" s="19"/>
      <c r="AD3310" s="19"/>
      <c r="AE3310" s="19"/>
      <c r="AF3310" s="19"/>
      <c r="AG3310" s="19"/>
      <c r="AH3310" s="19"/>
      <c r="AI3310" s="19"/>
      <c r="AJ3310" s="19"/>
      <c r="AK3310" s="19"/>
      <c r="AL3310" s="6" t="str">
        <f t="array" ref="AL3310">IFERROR(IFS(XLOOKUP(B3310, 'Kit Delivery Status'!$U:$U, 'Kit Delivery Status'!$K:$K) = "Complete", "DELIVERED", XLOOKUP(B3310, 'Kit Delivery Status'!$U:$U, 'Kit Delivery Status'!$K:$K) = "Issue", "ISSUE"), "")</f>
        <v/>
      </c>
      <c r="AM3310" s="6"/>
    </row>
    <row r="3311">
      <c r="A3311" s="19"/>
      <c r="B3311" s="19"/>
      <c r="C3311" s="19"/>
      <c r="D3311" s="42"/>
      <c r="E3311" s="19"/>
      <c r="F3311" s="19"/>
      <c r="G3311" s="19"/>
      <c r="H3311" s="19"/>
      <c r="I3311" s="19"/>
      <c r="J3311" s="19"/>
      <c r="K3311" s="19"/>
      <c r="L3311" s="19"/>
      <c r="M3311" s="19"/>
      <c r="N3311" s="19"/>
      <c r="O3311" s="43"/>
      <c r="P3311" s="19"/>
      <c r="Q3311" s="19"/>
      <c r="R3311" s="19"/>
      <c r="S3311" s="19"/>
      <c r="T3311" s="19"/>
      <c r="U3311" s="19"/>
      <c r="V3311" s="44"/>
      <c r="W3311" s="19"/>
      <c r="X3311" s="19"/>
      <c r="Y3311" s="19"/>
      <c r="Z3311" s="19"/>
      <c r="AA3311" s="19"/>
      <c r="AB3311" s="19"/>
      <c r="AC3311" s="19"/>
      <c r="AD3311" s="19"/>
      <c r="AE3311" s="19"/>
      <c r="AF3311" s="19"/>
      <c r="AG3311" s="19"/>
      <c r="AH3311" s="19"/>
      <c r="AI3311" s="19"/>
      <c r="AJ3311" s="19"/>
      <c r="AK3311" s="19"/>
      <c r="AL3311" s="6" t="str">
        <f t="array" ref="AL3311">IFERROR(IFS(XLOOKUP(B3311, 'Kit Delivery Status'!$U:$U, 'Kit Delivery Status'!$K:$K) = "Complete", "DELIVERED", XLOOKUP(B3311, 'Kit Delivery Status'!$U:$U, 'Kit Delivery Status'!$K:$K) = "Issue", "ISSUE"), "")</f>
        <v/>
      </c>
      <c r="AM3311" s="6"/>
    </row>
    <row r="3312">
      <c r="A3312" s="19"/>
      <c r="B3312" s="19"/>
      <c r="C3312" s="19"/>
      <c r="D3312" s="42"/>
      <c r="E3312" s="19"/>
      <c r="F3312" s="19"/>
      <c r="G3312" s="19"/>
      <c r="H3312" s="19"/>
      <c r="I3312" s="19"/>
      <c r="J3312" s="19"/>
      <c r="K3312" s="19"/>
      <c r="L3312" s="19"/>
      <c r="M3312" s="19"/>
      <c r="N3312" s="19"/>
      <c r="O3312" s="43"/>
      <c r="P3312" s="19"/>
      <c r="Q3312" s="19"/>
      <c r="R3312" s="19"/>
      <c r="S3312" s="19"/>
      <c r="T3312" s="19"/>
      <c r="U3312" s="19"/>
      <c r="V3312" s="44"/>
      <c r="W3312" s="19"/>
      <c r="X3312" s="19"/>
      <c r="Y3312" s="19"/>
      <c r="Z3312" s="19"/>
      <c r="AA3312" s="19"/>
      <c r="AB3312" s="19"/>
      <c r="AC3312" s="19"/>
      <c r="AD3312" s="19"/>
      <c r="AE3312" s="19"/>
      <c r="AF3312" s="19"/>
      <c r="AG3312" s="19"/>
      <c r="AH3312" s="19"/>
      <c r="AI3312" s="19"/>
      <c r="AJ3312" s="19"/>
      <c r="AK3312" s="19"/>
      <c r="AL3312" s="6" t="str">
        <f t="array" ref="AL3312">IFERROR(IFS(XLOOKUP(B3312, 'Kit Delivery Status'!$U:$U, 'Kit Delivery Status'!$K:$K) = "Complete", "DELIVERED", XLOOKUP(B3312, 'Kit Delivery Status'!$U:$U, 'Kit Delivery Status'!$K:$K) = "Issue", "ISSUE"), "")</f>
        <v/>
      </c>
      <c r="AM3312" s="6"/>
    </row>
    <row r="3313">
      <c r="A3313" s="19"/>
      <c r="B3313" s="19"/>
      <c r="C3313" s="19"/>
      <c r="D3313" s="42"/>
      <c r="E3313" s="19"/>
      <c r="F3313" s="19"/>
      <c r="G3313" s="19"/>
      <c r="H3313" s="19"/>
      <c r="I3313" s="19"/>
      <c r="J3313" s="19"/>
      <c r="K3313" s="19"/>
      <c r="L3313" s="19"/>
      <c r="M3313" s="19"/>
      <c r="N3313" s="19"/>
      <c r="O3313" s="43"/>
      <c r="P3313" s="19"/>
      <c r="Q3313" s="19"/>
      <c r="R3313" s="19"/>
      <c r="S3313" s="19"/>
      <c r="T3313" s="19"/>
      <c r="U3313" s="19"/>
      <c r="V3313" s="44"/>
      <c r="W3313" s="19"/>
      <c r="X3313" s="19"/>
      <c r="Y3313" s="19"/>
      <c r="Z3313" s="19"/>
      <c r="AA3313" s="19"/>
      <c r="AB3313" s="19"/>
      <c r="AC3313" s="19"/>
      <c r="AD3313" s="19"/>
      <c r="AE3313" s="19"/>
      <c r="AF3313" s="19"/>
      <c r="AG3313" s="19"/>
      <c r="AH3313" s="19"/>
      <c r="AI3313" s="19"/>
      <c r="AJ3313" s="19"/>
      <c r="AK3313" s="19"/>
      <c r="AL3313" s="6" t="str">
        <f t="array" ref="AL3313">IFERROR(IFS(XLOOKUP(B3313, 'Kit Delivery Status'!$U:$U, 'Kit Delivery Status'!$K:$K) = "Complete", "DELIVERED", XLOOKUP(B3313, 'Kit Delivery Status'!$U:$U, 'Kit Delivery Status'!$K:$K) = "Issue", "ISSUE"), "")</f>
        <v/>
      </c>
      <c r="AM3313" s="6"/>
    </row>
    <row r="3314">
      <c r="A3314" s="19"/>
      <c r="B3314" s="19"/>
      <c r="C3314" s="19"/>
      <c r="D3314" s="42"/>
      <c r="E3314" s="19"/>
      <c r="F3314" s="19"/>
      <c r="G3314" s="19"/>
      <c r="H3314" s="19"/>
      <c r="I3314" s="19"/>
      <c r="J3314" s="19"/>
      <c r="K3314" s="19"/>
      <c r="L3314" s="19"/>
      <c r="M3314" s="19"/>
      <c r="N3314" s="19"/>
      <c r="O3314" s="43"/>
      <c r="P3314" s="19"/>
      <c r="Q3314" s="19"/>
      <c r="R3314" s="19"/>
      <c r="S3314" s="19"/>
      <c r="T3314" s="19"/>
      <c r="U3314" s="19"/>
      <c r="V3314" s="44"/>
      <c r="W3314" s="19"/>
      <c r="X3314" s="19"/>
      <c r="Y3314" s="19"/>
      <c r="Z3314" s="19"/>
      <c r="AA3314" s="19"/>
      <c r="AB3314" s="19"/>
      <c r="AC3314" s="19"/>
      <c r="AD3314" s="19"/>
      <c r="AE3314" s="19"/>
      <c r="AF3314" s="19"/>
      <c r="AG3314" s="19"/>
      <c r="AH3314" s="19"/>
      <c r="AI3314" s="19"/>
      <c r="AJ3314" s="19"/>
      <c r="AK3314" s="19"/>
      <c r="AL3314" s="6" t="str">
        <f t="array" ref="AL3314">IFERROR(IFS(XLOOKUP(B3314, 'Kit Delivery Status'!$U:$U, 'Kit Delivery Status'!$K:$K) = "Complete", "DELIVERED", XLOOKUP(B3314, 'Kit Delivery Status'!$U:$U, 'Kit Delivery Status'!$K:$K) = "Issue", "ISSUE"), "")</f>
        <v/>
      </c>
      <c r="AM3314" s="6"/>
    </row>
    <row r="3315">
      <c r="A3315" s="19"/>
      <c r="B3315" s="19"/>
      <c r="C3315" s="19"/>
      <c r="D3315" s="42"/>
      <c r="E3315" s="19"/>
      <c r="F3315" s="19"/>
      <c r="G3315" s="19"/>
      <c r="H3315" s="19"/>
      <c r="I3315" s="19"/>
      <c r="J3315" s="19"/>
      <c r="K3315" s="19"/>
      <c r="L3315" s="19"/>
      <c r="M3315" s="19"/>
      <c r="N3315" s="19"/>
      <c r="O3315" s="43"/>
      <c r="P3315" s="19"/>
      <c r="Q3315" s="19"/>
      <c r="R3315" s="19"/>
      <c r="S3315" s="19"/>
      <c r="T3315" s="19"/>
      <c r="U3315" s="19"/>
      <c r="V3315" s="44"/>
      <c r="W3315" s="19"/>
      <c r="X3315" s="19"/>
      <c r="Y3315" s="19"/>
      <c r="Z3315" s="19"/>
      <c r="AA3315" s="19"/>
      <c r="AB3315" s="19"/>
      <c r="AC3315" s="19"/>
      <c r="AD3315" s="19"/>
      <c r="AE3315" s="19"/>
      <c r="AF3315" s="19"/>
      <c r="AG3315" s="19"/>
      <c r="AH3315" s="19"/>
      <c r="AI3315" s="19"/>
      <c r="AJ3315" s="19"/>
      <c r="AK3315" s="19"/>
      <c r="AL3315" s="6" t="str">
        <f t="array" ref="AL3315">IFERROR(IFS(XLOOKUP(B3315, 'Kit Delivery Status'!$U:$U, 'Kit Delivery Status'!$K:$K) = "Complete", "DELIVERED", XLOOKUP(B3315, 'Kit Delivery Status'!$U:$U, 'Kit Delivery Status'!$K:$K) = "Issue", "ISSUE"), "")</f>
        <v/>
      </c>
      <c r="AM3315" s="6"/>
    </row>
    <row r="3316">
      <c r="A3316" s="19"/>
      <c r="B3316" s="19"/>
      <c r="C3316" s="19"/>
      <c r="D3316" s="42"/>
      <c r="E3316" s="19"/>
      <c r="F3316" s="19"/>
      <c r="G3316" s="19"/>
      <c r="H3316" s="19"/>
      <c r="I3316" s="19"/>
      <c r="J3316" s="19"/>
      <c r="K3316" s="19"/>
      <c r="L3316" s="19"/>
      <c r="M3316" s="19"/>
      <c r="N3316" s="19"/>
      <c r="O3316" s="43"/>
      <c r="P3316" s="19"/>
      <c r="Q3316" s="19"/>
      <c r="R3316" s="19"/>
      <c r="S3316" s="19"/>
      <c r="T3316" s="19"/>
      <c r="U3316" s="19"/>
      <c r="V3316" s="44"/>
      <c r="W3316" s="19"/>
      <c r="X3316" s="19"/>
      <c r="Y3316" s="19"/>
      <c r="Z3316" s="19"/>
      <c r="AA3316" s="19"/>
      <c r="AB3316" s="19"/>
      <c r="AC3316" s="19"/>
      <c r="AD3316" s="19"/>
      <c r="AE3316" s="19"/>
      <c r="AF3316" s="19"/>
      <c r="AG3316" s="19"/>
      <c r="AH3316" s="19"/>
      <c r="AI3316" s="19"/>
      <c r="AJ3316" s="19"/>
      <c r="AK3316" s="19"/>
      <c r="AL3316" s="6" t="str">
        <f t="array" ref="AL3316">IFERROR(IFS(XLOOKUP(B3316, 'Kit Delivery Status'!$U:$U, 'Kit Delivery Status'!$K:$K) = "Complete", "DELIVERED", XLOOKUP(B3316, 'Kit Delivery Status'!$U:$U, 'Kit Delivery Status'!$K:$K) = "Issue", "ISSUE"), "")</f>
        <v/>
      </c>
      <c r="AM3316" s="6"/>
    </row>
    <row r="3317">
      <c r="A3317" s="19"/>
      <c r="B3317" s="19"/>
      <c r="C3317" s="19"/>
      <c r="D3317" s="42"/>
      <c r="E3317" s="19"/>
      <c r="F3317" s="19"/>
      <c r="G3317" s="19"/>
      <c r="H3317" s="19"/>
      <c r="I3317" s="19"/>
      <c r="J3317" s="19"/>
      <c r="K3317" s="19"/>
      <c r="L3317" s="19"/>
      <c r="M3317" s="19"/>
      <c r="N3317" s="19"/>
      <c r="O3317" s="43"/>
      <c r="P3317" s="19"/>
      <c r="Q3317" s="19"/>
      <c r="R3317" s="19"/>
      <c r="S3317" s="19"/>
      <c r="T3317" s="19"/>
      <c r="U3317" s="19"/>
      <c r="V3317" s="44"/>
      <c r="W3317" s="19"/>
      <c r="X3317" s="19"/>
      <c r="Y3317" s="19"/>
      <c r="Z3317" s="19"/>
      <c r="AA3317" s="19"/>
      <c r="AB3317" s="19"/>
      <c r="AC3317" s="19"/>
      <c r="AD3317" s="19"/>
      <c r="AE3317" s="19"/>
      <c r="AF3317" s="19"/>
      <c r="AG3317" s="19"/>
      <c r="AH3317" s="19"/>
      <c r="AI3317" s="19"/>
      <c r="AJ3317" s="19"/>
      <c r="AK3317" s="19"/>
      <c r="AL3317" s="6" t="str">
        <f t="array" ref="AL3317">IFERROR(IFS(XLOOKUP(B3317, 'Kit Delivery Status'!$U:$U, 'Kit Delivery Status'!$K:$K) = "Complete", "DELIVERED", XLOOKUP(B3317, 'Kit Delivery Status'!$U:$U, 'Kit Delivery Status'!$K:$K) = "Issue", "ISSUE"), "")</f>
        <v/>
      </c>
      <c r="AM3317" s="6"/>
    </row>
    <row r="3318">
      <c r="A3318" s="19"/>
      <c r="B3318" s="19"/>
      <c r="C3318" s="19"/>
      <c r="D3318" s="42"/>
      <c r="E3318" s="19"/>
      <c r="F3318" s="19"/>
      <c r="G3318" s="19"/>
      <c r="H3318" s="19"/>
      <c r="I3318" s="19"/>
      <c r="J3318" s="19"/>
      <c r="K3318" s="19"/>
      <c r="L3318" s="19"/>
      <c r="M3318" s="19"/>
      <c r="N3318" s="19"/>
      <c r="O3318" s="43"/>
      <c r="P3318" s="19"/>
      <c r="Q3318" s="19"/>
      <c r="R3318" s="19"/>
      <c r="S3318" s="19"/>
      <c r="T3318" s="19"/>
      <c r="U3318" s="19"/>
      <c r="V3318" s="44"/>
      <c r="W3318" s="19"/>
      <c r="X3318" s="19"/>
      <c r="Y3318" s="19"/>
      <c r="Z3318" s="19"/>
      <c r="AA3318" s="19"/>
      <c r="AB3318" s="19"/>
      <c r="AC3318" s="19"/>
      <c r="AD3318" s="19"/>
      <c r="AE3318" s="19"/>
      <c r="AF3318" s="19"/>
      <c r="AG3318" s="19"/>
      <c r="AH3318" s="19"/>
      <c r="AI3318" s="19"/>
      <c r="AJ3318" s="19"/>
      <c r="AK3318" s="19"/>
      <c r="AL3318" s="6" t="str">
        <f t="array" ref="AL3318">IFERROR(IFS(XLOOKUP(B3318, 'Kit Delivery Status'!$U:$U, 'Kit Delivery Status'!$K:$K) = "Complete", "DELIVERED", XLOOKUP(B3318, 'Kit Delivery Status'!$U:$U, 'Kit Delivery Status'!$K:$K) = "Issue", "ISSUE"), "")</f>
        <v/>
      </c>
      <c r="AM3318" s="6"/>
    </row>
    <row r="3319">
      <c r="A3319" s="19"/>
      <c r="B3319" s="19"/>
      <c r="C3319" s="19"/>
      <c r="D3319" s="42"/>
      <c r="E3319" s="19"/>
      <c r="F3319" s="19"/>
      <c r="G3319" s="19"/>
      <c r="H3319" s="19"/>
      <c r="I3319" s="19"/>
      <c r="J3319" s="19"/>
      <c r="K3319" s="19"/>
      <c r="L3319" s="19"/>
      <c r="M3319" s="19"/>
      <c r="N3319" s="19"/>
      <c r="O3319" s="43"/>
      <c r="P3319" s="19"/>
      <c r="Q3319" s="19"/>
      <c r="R3319" s="19"/>
      <c r="S3319" s="19"/>
      <c r="T3319" s="19"/>
      <c r="U3319" s="19"/>
      <c r="V3319" s="44"/>
      <c r="W3319" s="19"/>
      <c r="X3319" s="19"/>
      <c r="Y3319" s="19"/>
      <c r="Z3319" s="19"/>
      <c r="AA3319" s="19"/>
      <c r="AB3319" s="19"/>
      <c r="AC3319" s="19"/>
      <c r="AD3319" s="19"/>
      <c r="AE3319" s="19"/>
      <c r="AF3319" s="19"/>
      <c r="AG3319" s="19"/>
      <c r="AH3319" s="19"/>
      <c r="AI3319" s="19"/>
      <c r="AJ3319" s="19"/>
      <c r="AK3319" s="19"/>
      <c r="AL3319" s="6" t="str">
        <f t="array" ref="AL3319">IFERROR(IFS(XLOOKUP(B3319, 'Kit Delivery Status'!$U:$U, 'Kit Delivery Status'!$K:$K) = "Complete", "DELIVERED", XLOOKUP(B3319, 'Kit Delivery Status'!$U:$U, 'Kit Delivery Status'!$K:$K) = "Issue", "ISSUE"), "")</f>
        <v/>
      </c>
      <c r="AM3319" s="6"/>
    </row>
    <row r="3320">
      <c r="A3320" s="19"/>
      <c r="B3320" s="19"/>
      <c r="C3320" s="19"/>
      <c r="D3320" s="42"/>
      <c r="E3320" s="19"/>
      <c r="F3320" s="19"/>
      <c r="G3320" s="19"/>
      <c r="H3320" s="19"/>
      <c r="I3320" s="19"/>
      <c r="J3320" s="19"/>
      <c r="K3320" s="19"/>
      <c r="L3320" s="19"/>
      <c r="M3320" s="19"/>
      <c r="N3320" s="19"/>
      <c r="O3320" s="43"/>
      <c r="P3320" s="19"/>
      <c r="Q3320" s="19"/>
      <c r="R3320" s="19"/>
      <c r="S3320" s="19"/>
      <c r="T3320" s="19"/>
      <c r="U3320" s="19"/>
      <c r="V3320" s="44"/>
      <c r="W3320" s="19"/>
      <c r="X3320" s="19"/>
      <c r="Y3320" s="19"/>
      <c r="Z3320" s="19"/>
      <c r="AA3320" s="19"/>
      <c r="AB3320" s="19"/>
      <c r="AC3320" s="19"/>
      <c r="AD3320" s="19"/>
      <c r="AE3320" s="19"/>
      <c r="AF3320" s="19"/>
      <c r="AG3320" s="19"/>
      <c r="AH3320" s="19"/>
      <c r="AI3320" s="19"/>
      <c r="AJ3320" s="19"/>
      <c r="AK3320" s="19"/>
      <c r="AL3320" s="6" t="str">
        <f t="array" ref="AL3320">IFERROR(IFS(XLOOKUP(B3320, 'Kit Delivery Status'!$U:$U, 'Kit Delivery Status'!$K:$K) = "Complete", "DELIVERED", XLOOKUP(B3320, 'Kit Delivery Status'!$U:$U, 'Kit Delivery Status'!$K:$K) = "Issue", "ISSUE"), "")</f>
        <v/>
      </c>
      <c r="AM3320" s="6"/>
    </row>
    <row r="3321">
      <c r="A3321" s="19"/>
      <c r="B3321" s="19"/>
      <c r="C3321" s="19"/>
      <c r="D3321" s="42"/>
      <c r="E3321" s="19"/>
      <c r="F3321" s="19"/>
      <c r="G3321" s="19"/>
      <c r="H3321" s="19"/>
      <c r="I3321" s="19"/>
      <c r="J3321" s="19"/>
      <c r="K3321" s="19"/>
      <c r="L3321" s="19"/>
      <c r="M3321" s="19"/>
      <c r="N3321" s="19"/>
      <c r="O3321" s="43"/>
      <c r="P3321" s="19"/>
      <c r="Q3321" s="19"/>
      <c r="R3321" s="19"/>
      <c r="S3321" s="19"/>
      <c r="T3321" s="19"/>
      <c r="U3321" s="19"/>
      <c r="V3321" s="44"/>
      <c r="W3321" s="19"/>
      <c r="X3321" s="19"/>
      <c r="Y3321" s="19"/>
      <c r="Z3321" s="19"/>
      <c r="AA3321" s="19"/>
      <c r="AB3321" s="19"/>
      <c r="AC3321" s="19"/>
      <c r="AD3321" s="19"/>
      <c r="AE3321" s="19"/>
      <c r="AF3321" s="19"/>
      <c r="AG3321" s="19"/>
      <c r="AH3321" s="19"/>
      <c r="AI3321" s="19"/>
      <c r="AJ3321" s="19"/>
      <c r="AK3321" s="19"/>
      <c r="AL3321" s="6" t="str">
        <f t="array" ref="AL3321">IFERROR(IFS(XLOOKUP(B3321, 'Kit Delivery Status'!$U:$U, 'Kit Delivery Status'!$K:$K) = "Complete", "DELIVERED", XLOOKUP(B3321, 'Kit Delivery Status'!$U:$U, 'Kit Delivery Status'!$K:$K) = "Issue", "ISSUE"), "")</f>
        <v/>
      </c>
      <c r="AM3321" s="6"/>
    </row>
    <row r="3322">
      <c r="A3322" s="19"/>
      <c r="B3322" s="19"/>
      <c r="C3322" s="19"/>
      <c r="D3322" s="42"/>
      <c r="E3322" s="19"/>
      <c r="F3322" s="19"/>
      <c r="G3322" s="19"/>
      <c r="H3322" s="19"/>
      <c r="I3322" s="19"/>
      <c r="J3322" s="19"/>
      <c r="K3322" s="19"/>
      <c r="L3322" s="19"/>
      <c r="M3322" s="19"/>
      <c r="N3322" s="19"/>
      <c r="O3322" s="43"/>
      <c r="P3322" s="19"/>
      <c r="Q3322" s="19"/>
      <c r="R3322" s="19"/>
      <c r="S3322" s="19"/>
      <c r="T3322" s="19"/>
      <c r="U3322" s="19"/>
      <c r="V3322" s="44"/>
      <c r="W3322" s="19"/>
      <c r="X3322" s="19"/>
      <c r="Y3322" s="19"/>
      <c r="Z3322" s="19"/>
      <c r="AA3322" s="19"/>
      <c r="AB3322" s="19"/>
      <c r="AC3322" s="19"/>
      <c r="AD3322" s="19"/>
      <c r="AE3322" s="19"/>
      <c r="AF3322" s="19"/>
      <c r="AG3322" s="19"/>
      <c r="AH3322" s="19"/>
      <c r="AI3322" s="19"/>
      <c r="AJ3322" s="19"/>
      <c r="AK3322" s="19"/>
      <c r="AL3322" s="6" t="str">
        <f t="array" ref="AL3322">IFERROR(IFS(XLOOKUP(B3322, 'Kit Delivery Status'!$U:$U, 'Kit Delivery Status'!$K:$K) = "Complete", "DELIVERED", XLOOKUP(B3322, 'Kit Delivery Status'!$U:$U, 'Kit Delivery Status'!$K:$K) = "Issue", "ISSUE"), "")</f>
        <v/>
      </c>
      <c r="AM3322" s="6"/>
    </row>
    <row r="3323">
      <c r="A3323" s="19"/>
      <c r="B3323" s="19"/>
      <c r="C3323" s="19"/>
      <c r="D3323" s="42"/>
      <c r="E3323" s="19"/>
      <c r="F3323" s="19"/>
      <c r="G3323" s="19"/>
      <c r="H3323" s="19"/>
      <c r="I3323" s="19"/>
      <c r="J3323" s="19"/>
      <c r="K3323" s="19"/>
      <c r="L3323" s="19"/>
      <c r="M3323" s="19"/>
      <c r="N3323" s="19"/>
      <c r="O3323" s="43"/>
      <c r="P3323" s="19"/>
      <c r="Q3323" s="19"/>
      <c r="R3323" s="19"/>
      <c r="S3323" s="19"/>
      <c r="T3323" s="19"/>
      <c r="U3323" s="19"/>
      <c r="V3323" s="44"/>
      <c r="W3323" s="19"/>
      <c r="X3323" s="19"/>
      <c r="Y3323" s="19"/>
      <c r="Z3323" s="19"/>
      <c r="AA3323" s="19"/>
      <c r="AB3323" s="19"/>
      <c r="AC3323" s="19"/>
      <c r="AD3323" s="19"/>
      <c r="AE3323" s="19"/>
      <c r="AF3323" s="19"/>
      <c r="AG3323" s="19"/>
      <c r="AH3323" s="19"/>
      <c r="AI3323" s="19"/>
      <c r="AJ3323" s="19"/>
      <c r="AK3323" s="19"/>
      <c r="AL3323" s="6" t="str">
        <f t="array" ref="AL3323">IFERROR(IFS(XLOOKUP(B3323, 'Kit Delivery Status'!$U:$U, 'Kit Delivery Status'!$K:$K) = "Complete", "DELIVERED", XLOOKUP(B3323, 'Kit Delivery Status'!$U:$U, 'Kit Delivery Status'!$K:$K) = "Issue", "ISSUE"), "")</f>
        <v/>
      </c>
      <c r="AM3323" s="6"/>
    </row>
    <row r="3324">
      <c r="A3324" s="19"/>
      <c r="B3324" s="19"/>
      <c r="C3324" s="19"/>
      <c r="D3324" s="42"/>
      <c r="E3324" s="19"/>
      <c r="F3324" s="19"/>
      <c r="G3324" s="19"/>
      <c r="H3324" s="19"/>
      <c r="I3324" s="19"/>
      <c r="J3324" s="19"/>
      <c r="K3324" s="19"/>
      <c r="L3324" s="19"/>
      <c r="M3324" s="19"/>
      <c r="N3324" s="19"/>
      <c r="O3324" s="43"/>
      <c r="P3324" s="19"/>
      <c r="Q3324" s="19"/>
      <c r="R3324" s="19"/>
      <c r="S3324" s="19"/>
      <c r="T3324" s="19"/>
      <c r="U3324" s="19"/>
      <c r="V3324" s="44"/>
      <c r="W3324" s="19"/>
      <c r="X3324" s="19"/>
      <c r="Y3324" s="19"/>
      <c r="Z3324" s="19"/>
      <c r="AA3324" s="19"/>
      <c r="AB3324" s="19"/>
      <c r="AC3324" s="19"/>
      <c r="AD3324" s="19"/>
      <c r="AE3324" s="19"/>
      <c r="AF3324" s="19"/>
      <c r="AG3324" s="19"/>
      <c r="AH3324" s="19"/>
      <c r="AI3324" s="19"/>
      <c r="AJ3324" s="19"/>
      <c r="AK3324" s="19"/>
      <c r="AL3324" s="6" t="str">
        <f t="array" ref="AL3324">IFERROR(IFS(XLOOKUP(B3324, 'Kit Delivery Status'!$U:$U, 'Kit Delivery Status'!$K:$K) = "Complete", "DELIVERED", XLOOKUP(B3324, 'Kit Delivery Status'!$U:$U, 'Kit Delivery Status'!$K:$K) = "Issue", "ISSUE"), "")</f>
        <v/>
      </c>
      <c r="AM3324" s="6"/>
    </row>
    <row r="3325">
      <c r="A3325" s="19"/>
      <c r="B3325" s="19"/>
      <c r="C3325" s="19"/>
      <c r="D3325" s="42"/>
      <c r="E3325" s="19"/>
      <c r="F3325" s="19"/>
      <c r="G3325" s="19"/>
      <c r="H3325" s="19"/>
      <c r="I3325" s="19"/>
      <c r="J3325" s="19"/>
      <c r="K3325" s="19"/>
      <c r="L3325" s="19"/>
      <c r="M3325" s="19"/>
      <c r="N3325" s="19"/>
      <c r="O3325" s="43"/>
      <c r="P3325" s="19"/>
      <c r="Q3325" s="19"/>
      <c r="R3325" s="19"/>
      <c r="S3325" s="19"/>
      <c r="T3325" s="19"/>
      <c r="U3325" s="19"/>
      <c r="V3325" s="44"/>
      <c r="W3325" s="19"/>
      <c r="X3325" s="19"/>
      <c r="Y3325" s="19"/>
      <c r="Z3325" s="19"/>
      <c r="AA3325" s="19"/>
      <c r="AB3325" s="19"/>
      <c r="AC3325" s="19"/>
      <c r="AD3325" s="19"/>
      <c r="AE3325" s="19"/>
      <c r="AF3325" s="19"/>
      <c r="AG3325" s="19"/>
      <c r="AH3325" s="19"/>
      <c r="AI3325" s="19"/>
      <c r="AJ3325" s="19"/>
      <c r="AK3325" s="19"/>
      <c r="AL3325" s="6" t="str">
        <f t="array" ref="AL3325">IFERROR(IFS(XLOOKUP(B3325, 'Kit Delivery Status'!$U:$U, 'Kit Delivery Status'!$K:$K) = "Complete", "DELIVERED", XLOOKUP(B3325, 'Kit Delivery Status'!$U:$U, 'Kit Delivery Status'!$K:$K) = "Issue", "ISSUE"), "")</f>
        <v/>
      </c>
      <c r="AM3325" s="6"/>
    </row>
    <row r="3326">
      <c r="A3326" s="19"/>
      <c r="B3326" s="19"/>
      <c r="C3326" s="19"/>
      <c r="D3326" s="42"/>
      <c r="E3326" s="19"/>
      <c r="F3326" s="19"/>
      <c r="G3326" s="19"/>
      <c r="H3326" s="19"/>
      <c r="I3326" s="19"/>
      <c r="J3326" s="19"/>
      <c r="K3326" s="19"/>
      <c r="L3326" s="19"/>
      <c r="M3326" s="19"/>
      <c r="N3326" s="19"/>
      <c r="O3326" s="43"/>
      <c r="P3326" s="19"/>
      <c r="Q3326" s="19"/>
      <c r="R3326" s="19"/>
      <c r="S3326" s="19"/>
      <c r="T3326" s="19"/>
      <c r="U3326" s="19"/>
      <c r="V3326" s="44"/>
      <c r="W3326" s="19"/>
      <c r="X3326" s="19"/>
      <c r="Y3326" s="19"/>
      <c r="Z3326" s="19"/>
      <c r="AA3326" s="19"/>
      <c r="AB3326" s="19"/>
      <c r="AC3326" s="19"/>
      <c r="AD3326" s="19"/>
      <c r="AE3326" s="19"/>
      <c r="AF3326" s="19"/>
      <c r="AG3326" s="19"/>
      <c r="AH3326" s="19"/>
      <c r="AI3326" s="19"/>
      <c r="AJ3326" s="19"/>
      <c r="AK3326" s="19"/>
      <c r="AL3326" s="6" t="str">
        <f t="array" ref="AL3326">IFERROR(IFS(XLOOKUP(B3326, 'Kit Delivery Status'!$U:$U, 'Kit Delivery Status'!$K:$K) = "Complete", "DELIVERED", XLOOKUP(B3326, 'Kit Delivery Status'!$U:$U, 'Kit Delivery Status'!$K:$K) = "Issue", "ISSUE"), "")</f>
        <v/>
      </c>
      <c r="AM3326" s="6"/>
    </row>
    <row r="3327">
      <c r="A3327" s="19"/>
      <c r="B3327" s="19"/>
      <c r="C3327" s="19"/>
      <c r="D3327" s="42"/>
      <c r="E3327" s="19"/>
      <c r="F3327" s="19"/>
      <c r="G3327" s="19"/>
      <c r="H3327" s="19"/>
      <c r="I3327" s="19"/>
      <c r="J3327" s="19"/>
      <c r="K3327" s="19"/>
      <c r="L3327" s="19"/>
      <c r="M3327" s="19"/>
      <c r="N3327" s="19"/>
      <c r="O3327" s="43"/>
      <c r="P3327" s="19"/>
      <c r="Q3327" s="19"/>
      <c r="R3327" s="19"/>
      <c r="S3327" s="19"/>
      <c r="T3327" s="19"/>
      <c r="U3327" s="19"/>
      <c r="V3327" s="44"/>
      <c r="W3327" s="19"/>
      <c r="X3327" s="19"/>
      <c r="Y3327" s="19"/>
      <c r="Z3327" s="19"/>
      <c r="AA3327" s="19"/>
      <c r="AB3327" s="19"/>
      <c r="AC3327" s="19"/>
      <c r="AD3327" s="19"/>
      <c r="AE3327" s="19"/>
      <c r="AF3327" s="19"/>
      <c r="AG3327" s="19"/>
      <c r="AH3327" s="19"/>
      <c r="AI3327" s="19"/>
      <c r="AJ3327" s="19"/>
      <c r="AK3327" s="19"/>
      <c r="AL3327" s="6" t="str">
        <f t="array" ref="AL3327">IFERROR(IFS(XLOOKUP(B3327, 'Kit Delivery Status'!$U:$U, 'Kit Delivery Status'!$K:$K) = "Complete", "DELIVERED", XLOOKUP(B3327, 'Kit Delivery Status'!$U:$U, 'Kit Delivery Status'!$K:$K) = "Issue", "ISSUE"), "")</f>
        <v/>
      </c>
      <c r="AM3327" s="6"/>
    </row>
    <row r="3328">
      <c r="A3328" s="19"/>
      <c r="B3328" s="19"/>
      <c r="C3328" s="19"/>
      <c r="D3328" s="42"/>
      <c r="E3328" s="19"/>
      <c r="F3328" s="19"/>
      <c r="G3328" s="19"/>
      <c r="H3328" s="19"/>
      <c r="I3328" s="19"/>
      <c r="J3328" s="19"/>
      <c r="K3328" s="19"/>
      <c r="L3328" s="19"/>
      <c r="M3328" s="19"/>
      <c r="N3328" s="19"/>
      <c r="O3328" s="43"/>
      <c r="P3328" s="19"/>
      <c r="Q3328" s="19"/>
      <c r="R3328" s="19"/>
      <c r="S3328" s="19"/>
      <c r="T3328" s="19"/>
      <c r="U3328" s="19"/>
      <c r="V3328" s="44"/>
      <c r="W3328" s="19"/>
      <c r="X3328" s="19"/>
      <c r="Y3328" s="19"/>
      <c r="Z3328" s="19"/>
      <c r="AA3328" s="19"/>
      <c r="AB3328" s="19"/>
      <c r="AC3328" s="19"/>
      <c r="AD3328" s="19"/>
      <c r="AE3328" s="19"/>
      <c r="AF3328" s="19"/>
      <c r="AG3328" s="19"/>
      <c r="AH3328" s="19"/>
      <c r="AI3328" s="19"/>
      <c r="AJ3328" s="19"/>
      <c r="AK3328" s="19"/>
      <c r="AL3328" s="6" t="str">
        <f t="array" ref="AL3328">IFERROR(IFS(XLOOKUP(B3328, 'Kit Delivery Status'!$U:$U, 'Kit Delivery Status'!$K:$K) = "Complete", "DELIVERED", XLOOKUP(B3328, 'Kit Delivery Status'!$U:$U, 'Kit Delivery Status'!$K:$K) = "Issue", "ISSUE"), "")</f>
        <v/>
      </c>
      <c r="AM3328" s="6"/>
    </row>
    <row r="3329">
      <c r="A3329" s="19"/>
      <c r="B3329" s="19"/>
      <c r="C3329" s="19"/>
      <c r="D3329" s="42"/>
      <c r="E3329" s="19"/>
      <c r="F3329" s="19"/>
      <c r="G3329" s="19"/>
      <c r="H3329" s="19"/>
      <c r="I3329" s="19"/>
      <c r="J3329" s="19"/>
      <c r="K3329" s="19"/>
      <c r="L3329" s="19"/>
      <c r="M3329" s="19"/>
      <c r="N3329" s="19"/>
      <c r="O3329" s="43"/>
      <c r="P3329" s="19"/>
      <c r="Q3329" s="19"/>
      <c r="R3329" s="19"/>
      <c r="S3329" s="19"/>
      <c r="T3329" s="19"/>
      <c r="U3329" s="19"/>
      <c r="V3329" s="44"/>
      <c r="W3329" s="19"/>
      <c r="X3329" s="19"/>
      <c r="Y3329" s="19"/>
      <c r="Z3329" s="19"/>
      <c r="AA3329" s="19"/>
      <c r="AB3329" s="19"/>
      <c r="AC3329" s="19"/>
      <c r="AD3329" s="19"/>
      <c r="AE3329" s="19"/>
      <c r="AF3329" s="19"/>
      <c r="AG3329" s="19"/>
      <c r="AH3329" s="19"/>
      <c r="AI3329" s="19"/>
      <c r="AJ3329" s="19"/>
      <c r="AK3329" s="19"/>
      <c r="AL3329" s="6" t="str">
        <f t="array" ref="AL3329">IFERROR(IFS(XLOOKUP(B3329, 'Kit Delivery Status'!$U:$U, 'Kit Delivery Status'!$K:$K) = "Complete", "DELIVERED", XLOOKUP(B3329, 'Kit Delivery Status'!$U:$U, 'Kit Delivery Status'!$K:$K) = "Issue", "ISSUE"), "")</f>
        <v/>
      </c>
      <c r="AM3329" s="6"/>
    </row>
    <row r="3330">
      <c r="A3330" s="19"/>
      <c r="B3330" s="19"/>
      <c r="C3330" s="19"/>
      <c r="D3330" s="42"/>
      <c r="E3330" s="19"/>
      <c r="F3330" s="19"/>
      <c r="G3330" s="19"/>
      <c r="H3330" s="19"/>
      <c r="I3330" s="19"/>
      <c r="J3330" s="19"/>
      <c r="K3330" s="19"/>
      <c r="L3330" s="19"/>
      <c r="M3330" s="19"/>
      <c r="N3330" s="19"/>
      <c r="O3330" s="43"/>
      <c r="P3330" s="19"/>
      <c r="Q3330" s="19"/>
      <c r="R3330" s="19"/>
      <c r="S3330" s="19"/>
      <c r="T3330" s="19"/>
      <c r="U3330" s="19"/>
      <c r="V3330" s="44"/>
      <c r="W3330" s="19"/>
      <c r="X3330" s="19"/>
      <c r="Y3330" s="19"/>
      <c r="Z3330" s="19"/>
      <c r="AA3330" s="19"/>
      <c r="AB3330" s="19"/>
      <c r="AC3330" s="19"/>
      <c r="AD3330" s="19"/>
      <c r="AE3330" s="19"/>
      <c r="AF3330" s="19"/>
      <c r="AG3330" s="19"/>
      <c r="AH3330" s="19"/>
      <c r="AI3330" s="19"/>
      <c r="AJ3330" s="19"/>
      <c r="AK3330" s="19"/>
      <c r="AL3330" s="6" t="str">
        <f t="array" ref="AL3330">IFERROR(IFS(XLOOKUP(B3330, 'Kit Delivery Status'!$U:$U, 'Kit Delivery Status'!$K:$K) = "Complete", "DELIVERED", XLOOKUP(B3330, 'Kit Delivery Status'!$U:$U, 'Kit Delivery Status'!$K:$K) = "Issue", "ISSUE"), "")</f>
        <v/>
      </c>
      <c r="AM3330" s="6"/>
    </row>
    <row r="3331">
      <c r="A3331" s="19"/>
      <c r="B3331" s="19"/>
      <c r="C3331" s="19"/>
      <c r="D3331" s="42"/>
      <c r="E3331" s="19"/>
      <c r="F3331" s="19"/>
      <c r="G3331" s="19"/>
      <c r="H3331" s="19"/>
      <c r="I3331" s="19"/>
      <c r="J3331" s="19"/>
      <c r="K3331" s="19"/>
      <c r="L3331" s="19"/>
      <c r="M3331" s="19"/>
      <c r="N3331" s="19"/>
      <c r="O3331" s="43"/>
      <c r="P3331" s="19"/>
      <c r="Q3331" s="19"/>
      <c r="R3331" s="19"/>
      <c r="S3331" s="19"/>
      <c r="T3331" s="19"/>
      <c r="U3331" s="19"/>
      <c r="V3331" s="44"/>
      <c r="W3331" s="19"/>
      <c r="X3331" s="19"/>
      <c r="Y3331" s="19"/>
      <c r="Z3331" s="19"/>
      <c r="AA3331" s="19"/>
      <c r="AB3331" s="19"/>
      <c r="AC3331" s="19"/>
      <c r="AD3331" s="19"/>
      <c r="AE3331" s="19"/>
      <c r="AF3331" s="19"/>
      <c r="AG3331" s="19"/>
      <c r="AH3331" s="19"/>
      <c r="AI3331" s="19"/>
      <c r="AJ3331" s="19"/>
      <c r="AK3331" s="19"/>
      <c r="AL3331" s="6" t="str">
        <f t="array" ref="AL3331">IFERROR(IFS(XLOOKUP(B3331, 'Kit Delivery Status'!$U:$U, 'Kit Delivery Status'!$K:$K) = "Complete", "DELIVERED", XLOOKUP(B3331, 'Kit Delivery Status'!$U:$U, 'Kit Delivery Status'!$K:$K) = "Issue", "ISSUE"), "")</f>
        <v/>
      </c>
      <c r="AM3331" s="6"/>
    </row>
    <row r="3332">
      <c r="A3332" s="19"/>
      <c r="B3332" s="19"/>
      <c r="C3332" s="19"/>
      <c r="D3332" s="42"/>
      <c r="E3332" s="19"/>
      <c r="F3332" s="19"/>
      <c r="G3332" s="19"/>
      <c r="H3332" s="19"/>
      <c r="I3332" s="19"/>
      <c r="J3332" s="19"/>
      <c r="K3332" s="19"/>
      <c r="L3332" s="19"/>
      <c r="M3332" s="19"/>
      <c r="N3332" s="19"/>
      <c r="O3332" s="43"/>
      <c r="P3332" s="19"/>
      <c r="Q3332" s="19"/>
      <c r="R3332" s="19"/>
      <c r="S3332" s="19"/>
      <c r="T3332" s="19"/>
      <c r="U3332" s="19"/>
      <c r="V3332" s="44"/>
      <c r="W3332" s="19"/>
      <c r="X3332" s="19"/>
      <c r="Y3332" s="19"/>
      <c r="Z3332" s="19"/>
      <c r="AA3332" s="19"/>
      <c r="AB3332" s="19"/>
      <c r="AC3332" s="19"/>
      <c r="AD3332" s="19"/>
      <c r="AE3332" s="19"/>
      <c r="AF3332" s="19"/>
      <c r="AG3332" s="19"/>
      <c r="AH3332" s="19"/>
      <c r="AI3332" s="19"/>
      <c r="AJ3332" s="19"/>
      <c r="AK3332" s="19"/>
      <c r="AL3332" s="6" t="str">
        <f t="array" ref="AL3332">IFERROR(IFS(XLOOKUP(B3332, 'Kit Delivery Status'!$U:$U, 'Kit Delivery Status'!$K:$K) = "Complete", "DELIVERED", XLOOKUP(B3332, 'Kit Delivery Status'!$U:$U, 'Kit Delivery Status'!$K:$K) = "Issue", "ISSUE"), "")</f>
        <v/>
      </c>
      <c r="AM3332" s="6"/>
    </row>
    <row r="3333">
      <c r="A3333" s="19"/>
      <c r="B3333" s="19"/>
      <c r="C3333" s="19"/>
      <c r="D3333" s="42"/>
      <c r="E3333" s="19"/>
      <c r="F3333" s="19"/>
      <c r="G3333" s="19"/>
      <c r="H3333" s="19"/>
      <c r="I3333" s="19"/>
      <c r="J3333" s="19"/>
      <c r="K3333" s="19"/>
      <c r="L3333" s="19"/>
      <c r="M3333" s="19"/>
      <c r="N3333" s="19"/>
      <c r="O3333" s="43"/>
      <c r="P3333" s="19"/>
      <c r="Q3333" s="19"/>
      <c r="R3333" s="19"/>
      <c r="S3333" s="19"/>
      <c r="T3333" s="19"/>
      <c r="U3333" s="19"/>
      <c r="V3333" s="44"/>
      <c r="W3333" s="19"/>
      <c r="X3333" s="19"/>
      <c r="Y3333" s="19"/>
      <c r="Z3333" s="19"/>
      <c r="AA3333" s="19"/>
      <c r="AB3333" s="19"/>
      <c r="AC3333" s="19"/>
      <c r="AD3333" s="19"/>
      <c r="AE3333" s="19"/>
      <c r="AF3333" s="19"/>
      <c r="AG3333" s="19"/>
      <c r="AH3333" s="19"/>
      <c r="AI3333" s="19"/>
      <c r="AJ3333" s="19"/>
      <c r="AK3333" s="19"/>
      <c r="AL3333" s="6" t="str">
        <f t="array" ref="AL3333">IFERROR(IFS(XLOOKUP(B3333, 'Kit Delivery Status'!$U:$U, 'Kit Delivery Status'!$K:$K) = "Complete", "DELIVERED", XLOOKUP(B3333, 'Kit Delivery Status'!$U:$U, 'Kit Delivery Status'!$K:$K) = "Issue", "ISSUE"), "")</f>
        <v/>
      </c>
      <c r="AM3333" s="6"/>
    </row>
    <row r="3334">
      <c r="A3334" s="19"/>
      <c r="B3334" s="19"/>
      <c r="C3334" s="19"/>
      <c r="D3334" s="42"/>
      <c r="E3334" s="19"/>
      <c r="F3334" s="19"/>
      <c r="G3334" s="19"/>
      <c r="H3334" s="19"/>
      <c r="I3334" s="19"/>
      <c r="J3334" s="19"/>
      <c r="K3334" s="19"/>
      <c r="L3334" s="19"/>
      <c r="M3334" s="19"/>
      <c r="N3334" s="19"/>
      <c r="O3334" s="43"/>
      <c r="P3334" s="19"/>
      <c r="Q3334" s="19"/>
      <c r="R3334" s="19"/>
      <c r="S3334" s="19"/>
      <c r="T3334" s="19"/>
      <c r="U3334" s="19"/>
      <c r="V3334" s="44"/>
      <c r="W3334" s="19"/>
      <c r="X3334" s="19"/>
      <c r="Y3334" s="19"/>
      <c r="Z3334" s="19"/>
      <c r="AA3334" s="19"/>
      <c r="AB3334" s="19"/>
      <c r="AC3334" s="19"/>
      <c r="AD3334" s="19"/>
      <c r="AE3334" s="19"/>
      <c r="AF3334" s="19"/>
      <c r="AG3334" s="19"/>
      <c r="AH3334" s="19"/>
      <c r="AI3334" s="19"/>
      <c r="AJ3334" s="19"/>
      <c r="AK3334" s="19"/>
      <c r="AL3334" s="6" t="str">
        <f t="array" ref="AL3334">IFERROR(IFS(XLOOKUP(B3334, 'Kit Delivery Status'!$U:$U, 'Kit Delivery Status'!$K:$K) = "Complete", "DELIVERED", XLOOKUP(B3334, 'Kit Delivery Status'!$U:$U, 'Kit Delivery Status'!$K:$K) = "Issue", "ISSUE"), "")</f>
        <v/>
      </c>
      <c r="AM3334" s="6"/>
    </row>
    <row r="3335">
      <c r="A3335" s="19"/>
      <c r="B3335" s="19"/>
      <c r="C3335" s="19"/>
      <c r="D3335" s="42"/>
      <c r="E3335" s="19"/>
      <c r="F3335" s="19"/>
      <c r="G3335" s="19"/>
      <c r="H3335" s="19"/>
      <c r="I3335" s="19"/>
      <c r="J3335" s="19"/>
      <c r="K3335" s="19"/>
      <c r="L3335" s="19"/>
      <c r="M3335" s="19"/>
      <c r="N3335" s="19"/>
      <c r="O3335" s="43"/>
      <c r="P3335" s="19"/>
      <c r="Q3335" s="19"/>
      <c r="R3335" s="19"/>
      <c r="S3335" s="19"/>
      <c r="T3335" s="19"/>
      <c r="U3335" s="19"/>
      <c r="V3335" s="44"/>
      <c r="W3335" s="19"/>
      <c r="X3335" s="19"/>
      <c r="Y3335" s="19"/>
      <c r="Z3335" s="19"/>
      <c r="AA3335" s="19"/>
      <c r="AB3335" s="19"/>
      <c r="AC3335" s="19"/>
      <c r="AD3335" s="19"/>
      <c r="AE3335" s="19"/>
      <c r="AF3335" s="19"/>
      <c r="AG3335" s="19"/>
      <c r="AH3335" s="19"/>
      <c r="AI3335" s="19"/>
      <c r="AJ3335" s="19"/>
      <c r="AK3335" s="19"/>
      <c r="AL3335" s="6" t="str">
        <f t="array" ref="AL3335">IFERROR(IFS(XLOOKUP(B3335, 'Kit Delivery Status'!$U:$U, 'Kit Delivery Status'!$K:$K) = "Complete", "DELIVERED", XLOOKUP(B3335, 'Kit Delivery Status'!$U:$U, 'Kit Delivery Status'!$K:$K) = "Issue", "ISSUE"), "")</f>
        <v/>
      </c>
      <c r="AM3335" s="6"/>
    </row>
    <row r="3336">
      <c r="A3336" s="19"/>
      <c r="B3336" s="19"/>
      <c r="C3336" s="19"/>
      <c r="D3336" s="42"/>
      <c r="E3336" s="19"/>
      <c r="F3336" s="19"/>
      <c r="G3336" s="19"/>
      <c r="H3336" s="19"/>
      <c r="I3336" s="19"/>
      <c r="J3336" s="19"/>
      <c r="K3336" s="19"/>
      <c r="L3336" s="19"/>
      <c r="M3336" s="19"/>
      <c r="N3336" s="19"/>
      <c r="O3336" s="43"/>
      <c r="P3336" s="19"/>
      <c r="Q3336" s="19"/>
      <c r="R3336" s="19"/>
      <c r="S3336" s="19"/>
      <c r="T3336" s="19"/>
      <c r="U3336" s="19"/>
      <c r="V3336" s="44"/>
      <c r="W3336" s="19"/>
      <c r="X3336" s="19"/>
      <c r="Y3336" s="19"/>
      <c r="Z3336" s="19"/>
      <c r="AA3336" s="19"/>
      <c r="AB3336" s="19"/>
      <c r="AC3336" s="19"/>
      <c r="AD3336" s="19"/>
      <c r="AE3336" s="19"/>
      <c r="AF3336" s="19"/>
      <c r="AG3336" s="19"/>
      <c r="AH3336" s="19"/>
      <c r="AI3336" s="19"/>
      <c r="AJ3336" s="19"/>
      <c r="AK3336" s="19"/>
      <c r="AL3336" s="6" t="str">
        <f t="array" ref="AL3336">IFERROR(IFS(XLOOKUP(B3336, 'Kit Delivery Status'!$U:$U, 'Kit Delivery Status'!$K:$K) = "Complete", "DELIVERED", XLOOKUP(B3336, 'Kit Delivery Status'!$U:$U, 'Kit Delivery Status'!$K:$K) = "Issue", "ISSUE"), "")</f>
        <v/>
      </c>
      <c r="AM3336" s="6"/>
    </row>
    <row r="3337">
      <c r="A3337" s="19"/>
      <c r="B3337" s="19"/>
      <c r="C3337" s="19"/>
      <c r="D3337" s="42"/>
      <c r="E3337" s="19"/>
      <c r="F3337" s="19"/>
      <c r="G3337" s="19"/>
      <c r="H3337" s="19"/>
      <c r="I3337" s="19"/>
      <c r="J3337" s="19"/>
      <c r="K3337" s="19"/>
      <c r="L3337" s="19"/>
      <c r="M3337" s="19"/>
      <c r="N3337" s="19"/>
      <c r="O3337" s="43"/>
      <c r="P3337" s="19"/>
      <c r="Q3337" s="19"/>
      <c r="R3337" s="19"/>
      <c r="S3337" s="19"/>
      <c r="T3337" s="19"/>
      <c r="U3337" s="19"/>
      <c r="V3337" s="44"/>
      <c r="W3337" s="19"/>
      <c r="X3337" s="19"/>
      <c r="Y3337" s="19"/>
      <c r="Z3337" s="19"/>
      <c r="AA3337" s="19"/>
      <c r="AB3337" s="19"/>
      <c r="AC3337" s="19"/>
      <c r="AD3337" s="19"/>
      <c r="AE3337" s="19"/>
      <c r="AF3337" s="19"/>
      <c r="AG3337" s="19"/>
      <c r="AH3337" s="19"/>
      <c r="AI3337" s="19"/>
      <c r="AJ3337" s="19"/>
      <c r="AK3337" s="19"/>
      <c r="AL3337" s="6" t="str">
        <f t="array" ref="AL3337">IFERROR(IFS(XLOOKUP(B3337, 'Kit Delivery Status'!$U:$U, 'Kit Delivery Status'!$K:$K) = "Complete", "DELIVERED", XLOOKUP(B3337, 'Kit Delivery Status'!$U:$U, 'Kit Delivery Status'!$K:$K) = "Issue", "ISSUE"), "")</f>
        <v/>
      </c>
      <c r="AM3337" s="6"/>
    </row>
    <row r="3338">
      <c r="A3338" s="19"/>
      <c r="B3338" s="19"/>
      <c r="C3338" s="19"/>
      <c r="D3338" s="42"/>
      <c r="E3338" s="19"/>
      <c r="F3338" s="19"/>
      <c r="G3338" s="19"/>
      <c r="H3338" s="19"/>
      <c r="I3338" s="19"/>
      <c r="J3338" s="19"/>
      <c r="K3338" s="19"/>
      <c r="L3338" s="19"/>
      <c r="M3338" s="19"/>
      <c r="N3338" s="19"/>
      <c r="O3338" s="43"/>
      <c r="P3338" s="19"/>
      <c r="Q3338" s="19"/>
      <c r="R3338" s="19"/>
      <c r="S3338" s="19"/>
      <c r="T3338" s="19"/>
      <c r="U3338" s="19"/>
      <c r="V3338" s="44"/>
      <c r="W3338" s="19"/>
      <c r="X3338" s="19"/>
      <c r="Y3338" s="19"/>
      <c r="Z3338" s="19"/>
      <c r="AA3338" s="19"/>
      <c r="AB3338" s="19"/>
      <c r="AC3338" s="19"/>
      <c r="AD3338" s="19"/>
      <c r="AE3338" s="19"/>
      <c r="AF3338" s="19"/>
      <c r="AG3338" s="19"/>
      <c r="AH3338" s="19"/>
      <c r="AI3338" s="19"/>
      <c r="AJ3338" s="19"/>
      <c r="AK3338" s="19"/>
      <c r="AL3338" s="6" t="str">
        <f t="array" ref="AL3338">IFERROR(IFS(XLOOKUP(B3338, 'Kit Delivery Status'!$U:$U, 'Kit Delivery Status'!$K:$K) = "Complete", "DELIVERED", XLOOKUP(B3338, 'Kit Delivery Status'!$U:$U, 'Kit Delivery Status'!$K:$K) = "Issue", "ISSUE"), "")</f>
        <v/>
      </c>
      <c r="AM3338" s="6"/>
    </row>
    <row r="3339">
      <c r="A3339" s="19"/>
      <c r="B3339" s="19"/>
      <c r="C3339" s="19"/>
      <c r="D3339" s="42"/>
      <c r="E3339" s="19"/>
      <c r="F3339" s="19"/>
      <c r="G3339" s="19"/>
      <c r="H3339" s="19"/>
      <c r="I3339" s="19"/>
      <c r="J3339" s="19"/>
      <c r="K3339" s="19"/>
      <c r="L3339" s="19"/>
      <c r="M3339" s="19"/>
      <c r="N3339" s="19"/>
      <c r="O3339" s="43"/>
      <c r="P3339" s="19"/>
      <c r="Q3339" s="19"/>
      <c r="R3339" s="19"/>
      <c r="S3339" s="19"/>
      <c r="T3339" s="19"/>
      <c r="U3339" s="19"/>
      <c r="V3339" s="44"/>
      <c r="W3339" s="19"/>
      <c r="X3339" s="19"/>
      <c r="Y3339" s="19"/>
      <c r="Z3339" s="19"/>
      <c r="AA3339" s="19"/>
      <c r="AB3339" s="19"/>
      <c r="AC3339" s="19"/>
      <c r="AD3339" s="19"/>
      <c r="AE3339" s="19"/>
      <c r="AF3339" s="19"/>
      <c r="AG3339" s="19"/>
      <c r="AH3339" s="19"/>
      <c r="AI3339" s="19"/>
      <c r="AJ3339" s="19"/>
      <c r="AK3339" s="19"/>
      <c r="AL3339" s="6" t="str">
        <f t="array" ref="AL3339">IFERROR(IFS(XLOOKUP(B3339, 'Kit Delivery Status'!$U:$U, 'Kit Delivery Status'!$K:$K) = "Complete", "DELIVERED", XLOOKUP(B3339, 'Kit Delivery Status'!$U:$U, 'Kit Delivery Status'!$K:$K) = "Issue", "ISSUE"), "")</f>
        <v/>
      </c>
      <c r="AM3339" s="6"/>
    </row>
    <row r="3340">
      <c r="A3340" s="19"/>
      <c r="B3340" s="19"/>
      <c r="C3340" s="19"/>
      <c r="D3340" s="42"/>
      <c r="E3340" s="19"/>
      <c r="F3340" s="19"/>
      <c r="G3340" s="19"/>
      <c r="H3340" s="19"/>
      <c r="I3340" s="19"/>
      <c r="J3340" s="19"/>
      <c r="K3340" s="19"/>
      <c r="L3340" s="19"/>
      <c r="M3340" s="19"/>
      <c r="N3340" s="19"/>
      <c r="O3340" s="43"/>
      <c r="P3340" s="19"/>
      <c r="Q3340" s="19"/>
      <c r="R3340" s="19"/>
      <c r="S3340" s="19"/>
      <c r="T3340" s="19"/>
      <c r="U3340" s="19"/>
      <c r="V3340" s="44"/>
      <c r="W3340" s="19"/>
      <c r="X3340" s="19"/>
      <c r="Y3340" s="19"/>
      <c r="Z3340" s="19"/>
      <c r="AA3340" s="19"/>
      <c r="AB3340" s="19"/>
      <c r="AC3340" s="19"/>
      <c r="AD3340" s="19"/>
      <c r="AE3340" s="19"/>
      <c r="AF3340" s="19"/>
      <c r="AG3340" s="19"/>
      <c r="AH3340" s="19"/>
      <c r="AI3340" s="19"/>
      <c r="AJ3340" s="19"/>
      <c r="AK3340" s="19"/>
      <c r="AL3340" s="6" t="str">
        <f t="array" ref="AL3340">IFERROR(IFS(XLOOKUP(B3340, 'Kit Delivery Status'!$U:$U, 'Kit Delivery Status'!$K:$K) = "Complete", "DELIVERED", XLOOKUP(B3340, 'Kit Delivery Status'!$U:$U, 'Kit Delivery Status'!$K:$K) = "Issue", "ISSUE"), "")</f>
        <v/>
      </c>
      <c r="AM3340" s="6"/>
    </row>
    <row r="3341">
      <c r="A3341" s="19"/>
      <c r="B3341" s="19"/>
      <c r="C3341" s="19"/>
      <c r="D3341" s="42"/>
      <c r="E3341" s="19"/>
      <c r="F3341" s="19"/>
      <c r="G3341" s="19"/>
      <c r="H3341" s="19"/>
      <c r="I3341" s="19"/>
      <c r="J3341" s="19"/>
      <c r="K3341" s="19"/>
      <c r="L3341" s="19"/>
      <c r="M3341" s="19"/>
      <c r="N3341" s="19"/>
      <c r="O3341" s="43"/>
      <c r="P3341" s="19"/>
      <c r="Q3341" s="19"/>
      <c r="R3341" s="19"/>
      <c r="S3341" s="19"/>
      <c r="T3341" s="19"/>
      <c r="U3341" s="19"/>
      <c r="V3341" s="44"/>
      <c r="W3341" s="19"/>
      <c r="X3341" s="19"/>
      <c r="Y3341" s="19"/>
      <c r="Z3341" s="19"/>
      <c r="AA3341" s="19"/>
      <c r="AB3341" s="19"/>
      <c r="AC3341" s="19"/>
      <c r="AD3341" s="19"/>
      <c r="AE3341" s="19"/>
      <c r="AF3341" s="19"/>
      <c r="AG3341" s="19"/>
      <c r="AH3341" s="19"/>
      <c r="AI3341" s="19"/>
      <c r="AJ3341" s="19"/>
      <c r="AK3341" s="19"/>
      <c r="AL3341" s="6" t="str">
        <f t="array" ref="AL3341">IFERROR(IFS(XLOOKUP(B3341, 'Kit Delivery Status'!$U:$U, 'Kit Delivery Status'!$K:$K) = "Complete", "DELIVERED", XLOOKUP(B3341, 'Kit Delivery Status'!$U:$U, 'Kit Delivery Status'!$K:$K) = "Issue", "ISSUE"), "")</f>
        <v/>
      </c>
      <c r="AM3341" s="6"/>
    </row>
    <row r="3342">
      <c r="A3342" s="19"/>
      <c r="B3342" s="19"/>
      <c r="C3342" s="19"/>
      <c r="D3342" s="42"/>
      <c r="E3342" s="19"/>
      <c r="F3342" s="19"/>
      <c r="G3342" s="19"/>
      <c r="H3342" s="19"/>
      <c r="I3342" s="19"/>
      <c r="J3342" s="19"/>
      <c r="K3342" s="19"/>
      <c r="L3342" s="19"/>
      <c r="M3342" s="19"/>
      <c r="N3342" s="19"/>
      <c r="O3342" s="43"/>
      <c r="P3342" s="19"/>
      <c r="Q3342" s="19"/>
      <c r="R3342" s="19"/>
      <c r="S3342" s="19"/>
      <c r="T3342" s="19"/>
      <c r="U3342" s="19"/>
      <c r="V3342" s="44"/>
      <c r="W3342" s="19"/>
      <c r="X3342" s="19"/>
      <c r="Y3342" s="19"/>
      <c r="Z3342" s="19"/>
      <c r="AA3342" s="19"/>
      <c r="AB3342" s="19"/>
      <c r="AC3342" s="19"/>
      <c r="AD3342" s="19"/>
      <c r="AE3342" s="19"/>
      <c r="AF3342" s="19"/>
      <c r="AG3342" s="19"/>
      <c r="AH3342" s="19"/>
      <c r="AI3342" s="19"/>
      <c r="AJ3342" s="19"/>
      <c r="AK3342" s="19"/>
      <c r="AL3342" s="6" t="str">
        <f t="array" ref="AL3342">IFERROR(IFS(XLOOKUP(B3342, 'Kit Delivery Status'!$U:$U, 'Kit Delivery Status'!$K:$K) = "Complete", "DELIVERED", XLOOKUP(B3342, 'Kit Delivery Status'!$U:$U, 'Kit Delivery Status'!$K:$K) = "Issue", "ISSUE"), "")</f>
        <v/>
      </c>
      <c r="AM3342" s="6"/>
    </row>
    <row r="3343">
      <c r="A3343" s="19"/>
      <c r="B3343" s="19"/>
      <c r="C3343" s="19"/>
      <c r="D3343" s="42"/>
      <c r="E3343" s="19"/>
      <c r="F3343" s="19"/>
      <c r="G3343" s="19"/>
      <c r="H3343" s="19"/>
      <c r="I3343" s="19"/>
      <c r="J3343" s="19"/>
      <c r="K3343" s="19"/>
      <c r="L3343" s="19"/>
      <c r="M3343" s="19"/>
      <c r="N3343" s="19"/>
      <c r="O3343" s="43"/>
      <c r="P3343" s="19"/>
      <c r="Q3343" s="19"/>
      <c r="R3343" s="19"/>
      <c r="S3343" s="19"/>
      <c r="T3343" s="19"/>
      <c r="U3343" s="19"/>
      <c r="V3343" s="44"/>
      <c r="W3343" s="19"/>
      <c r="X3343" s="19"/>
      <c r="Y3343" s="19"/>
      <c r="Z3343" s="19"/>
      <c r="AA3343" s="19"/>
      <c r="AB3343" s="19"/>
      <c r="AC3343" s="19"/>
      <c r="AD3343" s="19"/>
      <c r="AE3343" s="19"/>
      <c r="AF3343" s="19"/>
      <c r="AG3343" s="19"/>
      <c r="AH3343" s="19"/>
      <c r="AI3343" s="19"/>
      <c r="AJ3343" s="19"/>
      <c r="AK3343" s="19"/>
      <c r="AL3343" s="6" t="str">
        <f t="array" ref="AL3343">IFERROR(IFS(XLOOKUP(B3343, 'Kit Delivery Status'!$U:$U, 'Kit Delivery Status'!$K:$K) = "Complete", "DELIVERED", XLOOKUP(B3343, 'Kit Delivery Status'!$U:$U, 'Kit Delivery Status'!$K:$K) = "Issue", "ISSUE"), "")</f>
        <v/>
      </c>
      <c r="AM3343" s="6"/>
    </row>
    <row r="3344">
      <c r="A3344" s="19"/>
      <c r="B3344" s="19"/>
      <c r="C3344" s="19"/>
      <c r="D3344" s="42"/>
      <c r="E3344" s="19"/>
      <c r="F3344" s="19"/>
      <c r="G3344" s="19"/>
      <c r="H3344" s="19"/>
      <c r="I3344" s="19"/>
      <c r="J3344" s="19"/>
      <c r="K3344" s="19"/>
      <c r="L3344" s="19"/>
      <c r="M3344" s="19"/>
      <c r="N3344" s="19"/>
      <c r="O3344" s="43"/>
      <c r="P3344" s="19"/>
      <c r="Q3344" s="19"/>
      <c r="R3344" s="19"/>
      <c r="S3344" s="19"/>
      <c r="T3344" s="19"/>
      <c r="U3344" s="19"/>
      <c r="V3344" s="44"/>
      <c r="W3344" s="19"/>
      <c r="X3344" s="19"/>
      <c r="Y3344" s="19"/>
      <c r="Z3344" s="19"/>
      <c r="AA3344" s="19"/>
      <c r="AB3344" s="19"/>
      <c r="AC3344" s="19"/>
      <c r="AD3344" s="19"/>
      <c r="AE3344" s="19"/>
      <c r="AF3344" s="19"/>
      <c r="AG3344" s="19"/>
      <c r="AH3344" s="19"/>
      <c r="AI3344" s="19"/>
      <c r="AJ3344" s="19"/>
      <c r="AK3344" s="19"/>
      <c r="AL3344" s="6" t="str">
        <f t="array" ref="AL3344">IFERROR(IFS(XLOOKUP(B3344, 'Kit Delivery Status'!$U:$U, 'Kit Delivery Status'!$K:$K) = "Complete", "DELIVERED", XLOOKUP(B3344, 'Kit Delivery Status'!$U:$U, 'Kit Delivery Status'!$K:$K) = "Issue", "ISSUE"), "")</f>
        <v/>
      </c>
      <c r="AM3344" s="6"/>
    </row>
    <row r="3345">
      <c r="A3345" s="19"/>
      <c r="B3345" s="19"/>
      <c r="C3345" s="19"/>
      <c r="D3345" s="42"/>
      <c r="E3345" s="19"/>
      <c r="F3345" s="19"/>
      <c r="G3345" s="19"/>
      <c r="H3345" s="19"/>
      <c r="I3345" s="19"/>
      <c r="J3345" s="19"/>
      <c r="K3345" s="19"/>
      <c r="L3345" s="19"/>
      <c r="M3345" s="19"/>
      <c r="N3345" s="19"/>
      <c r="O3345" s="43"/>
      <c r="P3345" s="19"/>
      <c r="Q3345" s="19"/>
      <c r="R3345" s="19"/>
      <c r="S3345" s="19"/>
      <c r="T3345" s="19"/>
      <c r="U3345" s="19"/>
      <c r="V3345" s="44"/>
      <c r="W3345" s="19"/>
      <c r="X3345" s="19"/>
      <c r="Y3345" s="19"/>
      <c r="Z3345" s="19"/>
      <c r="AA3345" s="19"/>
      <c r="AB3345" s="19"/>
      <c r="AC3345" s="19"/>
      <c r="AD3345" s="19"/>
      <c r="AE3345" s="19"/>
      <c r="AF3345" s="19"/>
      <c r="AG3345" s="19"/>
      <c r="AH3345" s="19"/>
      <c r="AI3345" s="19"/>
      <c r="AJ3345" s="19"/>
      <c r="AK3345" s="19"/>
      <c r="AL3345" s="6" t="str">
        <f t="array" ref="AL3345">IFERROR(IFS(XLOOKUP(B3345, 'Kit Delivery Status'!$U:$U, 'Kit Delivery Status'!$K:$K) = "Complete", "DELIVERED", XLOOKUP(B3345, 'Kit Delivery Status'!$U:$U, 'Kit Delivery Status'!$K:$K) = "Issue", "ISSUE"), "")</f>
        <v/>
      </c>
      <c r="AM3345" s="6"/>
    </row>
    <row r="3346">
      <c r="A3346" s="19"/>
      <c r="B3346" s="19"/>
      <c r="C3346" s="19"/>
      <c r="D3346" s="42"/>
      <c r="E3346" s="19"/>
      <c r="F3346" s="19"/>
      <c r="G3346" s="19"/>
      <c r="H3346" s="19"/>
      <c r="I3346" s="19"/>
      <c r="J3346" s="19"/>
      <c r="K3346" s="19"/>
      <c r="L3346" s="19"/>
      <c r="M3346" s="19"/>
      <c r="N3346" s="19"/>
      <c r="O3346" s="43"/>
      <c r="P3346" s="19"/>
      <c r="Q3346" s="19"/>
      <c r="R3346" s="19"/>
      <c r="S3346" s="19"/>
      <c r="T3346" s="19"/>
      <c r="U3346" s="19"/>
      <c r="V3346" s="44"/>
      <c r="W3346" s="19"/>
      <c r="X3346" s="19"/>
      <c r="Y3346" s="19"/>
      <c r="Z3346" s="19"/>
      <c r="AA3346" s="19"/>
      <c r="AB3346" s="19"/>
      <c r="AC3346" s="19"/>
      <c r="AD3346" s="19"/>
      <c r="AE3346" s="19"/>
      <c r="AF3346" s="19"/>
      <c r="AG3346" s="19"/>
      <c r="AH3346" s="19"/>
      <c r="AI3346" s="19"/>
      <c r="AJ3346" s="19"/>
      <c r="AK3346" s="19"/>
      <c r="AL3346" s="6" t="str">
        <f t="array" ref="AL3346">IFERROR(IFS(XLOOKUP(B3346, 'Kit Delivery Status'!$U:$U, 'Kit Delivery Status'!$K:$K) = "Complete", "DELIVERED", XLOOKUP(B3346, 'Kit Delivery Status'!$U:$U, 'Kit Delivery Status'!$K:$K) = "Issue", "ISSUE"), "")</f>
        <v/>
      </c>
      <c r="AM3346" s="6"/>
    </row>
    <row r="3347">
      <c r="A3347" s="19"/>
      <c r="B3347" s="19"/>
      <c r="C3347" s="19"/>
      <c r="D3347" s="42"/>
      <c r="E3347" s="19"/>
      <c r="F3347" s="19"/>
      <c r="G3347" s="19"/>
      <c r="H3347" s="19"/>
      <c r="I3347" s="19"/>
      <c r="J3347" s="19"/>
      <c r="K3347" s="19"/>
      <c r="L3347" s="19"/>
      <c r="M3347" s="19"/>
      <c r="N3347" s="19"/>
      <c r="O3347" s="43"/>
      <c r="P3347" s="19"/>
      <c r="Q3347" s="19"/>
      <c r="R3347" s="19"/>
      <c r="S3347" s="19"/>
      <c r="T3347" s="19"/>
      <c r="U3347" s="19"/>
      <c r="V3347" s="44"/>
      <c r="W3347" s="19"/>
      <c r="X3347" s="19"/>
      <c r="Y3347" s="19"/>
      <c r="Z3347" s="19"/>
      <c r="AA3347" s="19"/>
      <c r="AB3347" s="19"/>
      <c r="AC3347" s="19"/>
      <c r="AD3347" s="19"/>
      <c r="AE3347" s="19"/>
      <c r="AF3347" s="19"/>
      <c r="AG3347" s="19"/>
      <c r="AH3347" s="19"/>
      <c r="AI3347" s="19"/>
      <c r="AJ3347" s="19"/>
      <c r="AK3347" s="19"/>
      <c r="AL3347" s="6" t="str">
        <f t="array" ref="AL3347">IFERROR(IFS(XLOOKUP(B3347, 'Kit Delivery Status'!$U:$U, 'Kit Delivery Status'!$K:$K) = "Complete", "DELIVERED", XLOOKUP(B3347, 'Kit Delivery Status'!$U:$U, 'Kit Delivery Status'!$K:$K) = "Issue", "ISSUE"), "")</f>
        <v/>
      </c>
      <c r="AM3347" s="6"/>
    </row>
    <row r="3348">
      <c r="A3348" s="19"/>
      <c r="B3348" s="19"/>
      <c r="C3348" s="19"/>
      <c r="D3348" s="42"/>
      <c r="E3348" s="19"/>
      <c r="F3348" s="19"/>
      <c r="G3348" s="19"/>
      <c r="H3348" s="19"/>
      <c r="I3348" s="19"/>
      <c r="J3348" s="19"/>
      <c r="K3348" s="19"/>
      <c r="L3348" s="19"/>
      <c r="M3348" s="19"/>
      <c r="N3348" s="19"/>
      <c r="O3348" s="43"/>
      <c r="P3348" s="19"/>
      <c r="Q3348" s="19"/>
      <c r="R3348" s="19"/>
      <c r="S3348" s="19"/>
      <c r="T3348" s="19"/>
      <c r="U3348" s="19"/>
      <c r="V3348" s="44"/>
      <c r="W3348" s="19"/>
      <c r="X3348" s="19"/>
      <c r="Y3348" s="19"/>
      <c r="Z3348" s="19"/>
      <c r="AA3348" s="19"/>
      <c r="AB3348" s="19"/>
      <c r="AC3348" s="19"/>
      <c r="AD3348" s="19"/>
      <c r="AE3348" s="19"/>
      <c r="AF3348" s="19"/>
      <c r="AG3348" s="19"/>
      <c r="AH3348" s="19"/>
      <c r="AI3348" s="19"/>
      <c r="AJ3348" s="19"/>
      <c r="AK3348" s="19"/>
      <c r="AL3348" s="6" t="str">
        <f t="array" ref="AL3348">IFERROR(IFS(XLOOKUP(B3348, 'Kit Delivery Status'!$U:$U, 'Kit Delivery Status'!$K:$K) = "Complete", "DELIVERED", XLOOKUP(B3348, 'Kit Delivery Status'!$U:$U, 'Kit Delivery Status'!$K:$K) = "Issue", "ISSUE"), "")</f>
        <v/>
      </c>
      <c r="AM3348" s="6"/>
    </row>
    <row r="3349">
      <c r="A3349" s="19"/>
      <c r="B3349" s="19"/>
      <c r="C3349" s="19"/>
      <c r="D3349" s="42"/>
      <c r="E3349" s="19"/>
      <c r="F3349" s="19"/>
      <c r="G3349" s="19"/>
      <c r="H3349" s="19"/>
      <c r="I3349" s="19"/>
      <c r="J3349" s="19"/>
      <c r="K3349" s="19"/>
      <c r="L3349" s="19"/>
      <c r="M3349" s="19"/>
      <c r="N3349" s="19"/>
      <c r="O3349" s="43"/>
      <c r="P3349" s="19"/>
      <c r="Q3349" s="19"/>
      <c r="R3349" s="19"/>
      <c r="S3349" s="19"/>
      <c r="T3349" s="19"/>
      <c r="U3349" s="19"/>
      <c r="V3349" s="44"/>
      <c r="W3349" s="19"/>
      <c r="X3349" s="19"/>
      <c r="Y3349" s="19"/>
      <c r="Z3349" s="19"/>
      <c r="AA3349" s="19"/>
      <c r="AB3349" s="19"/>
      <c r="AC3349" s="19"/>
      <c r="AD3349" s="19"/>
      <c r="AE3349" s="19"/>
      <c r="AF3349" s="19"/>
      <c r="AG3349" s="19"/>
      <c r="AH3349" s="19"/>
      <c r="AI3349" s="19"/>
      <c r="AJ3349" s="19"/>
      <c r="AK3349" s="19"/>
      <c r="AL3349" s="6" t="str">
        <f t="array" ref="AL3349">IFERROR(IFS(XLOOKUP(B3349, 'Kit Delivery Status'!$U:$U, 'Kit Delivery Status'!$K:$K) = "Complete", "DELIVERED", XLOOKUP(B3349, 'Kit Delivery Status'!$U:$U, 'Kit Delivery Status'!$K:$K) = "Issue", "ISSUE"), "")</f>
        <v/>
      </c>
      <c r="AM3349" s="6"/>
    </row>
    <row r="3350">
      <c r="A3350" s="19"/>
      <c r="B3350" s="19"/>
      <c r="C3350" s="19"/>
      <c r="D3350" s="42"/>
      <c r="E3350" s="19"/>
      <c r="F3350" s="19"/>
      <c r="G3350" s="19"/>
      <c r="H3350" s="19"/>
      <c r="I3350" s="19"/>
      <c r="J3350" s="19"/>
      <c r="K3350" s="19"/>
      <c r="L3350" s="19"/>
      <c r="M3350" s="19"/>
      <c r="N3350" s="19"/>
      <c r="O3350" s="43"/>
      <c r="P3350" s="19"/>
      <c r="Q3350" s="19"/>
      <c r="R3350" s="19"/>
      <c r="S3350" s="19"/>
      <c r="T3350" s="19"/>
      <c r="U3350" s="19"/>
      <c r="V3350" s="44"/>
      <c r="W3350" s="19"/>
      <c r="X3350" s="19"/>
      <c r="Y3350" s="19"/>
      <c r="Z3350" s="19"/>
      <c r="AA3350" s="19"/>
      <c r="AB3350" s="19"/>
      <c r="AC3350" s="19"/>
      <c r="AD3350" s="19"/>
      <c r="AE3350" s="19"/>
      <c r="AF3350" s="19"/>
      <c r="AG3350" s="19"/>
      <c r="AH3350" s="19"/>
      <c r="AI3350" s="19"/>
      <c r="AJ3350" s="19"/>
      <c r="AK3350" s="19"/>
      <c r="AL3350" s="6" t="str">
        <f t="array" ref="AL3350">IFERROR(IFS(XLOOKUP(B3350, 'Kit Delivery Status'!$U:$U, 'Kit Delivery Status'!$K:$K) = "Complete", "DELIVERED", XLOOKUP(B3350, 'Kit Delivery Status'!$U:$U, 'Kit Delivery Status'!$K:$K) = "Issue", "ISSUE"), "")</f>
        <v/>
      </c>
      <c r="AM3350" s="6"/>
    </row>
    <row r="3351">
      <c r="A3351" s="19"/>
      <c r="B3351" s="19"/>
      <c r="C3351" s="19"/>
      <c r="D3351" s="42"/>
      <c r="E3351" s="19"/>
      <c r="F3351" s="19"/>
      <c r="G3351" s="19"/>
      <c r="H3351" s="19"/>
      <c r="I3351" s="19"/>
      <c r="J3351" s="19"/>
      <c r="K3351" s="19"/>
      <c r="L3351" s="19"/>
      <c r="M3351" s="19"/>
      <c r="N3351" s="19"/>
      <c r="O3351" s="43"/>
      <c r="P3351" s="19"/>
      <c r="Q3351" s="19"/>
      <c r="R3351" s="19"/>
      <c r="S3351" s="19"/>
      <c r="T3351" s="19"/>
      <c r="U3351" s="19"/>
      <c r="V3351" s="44"/>
      <c r="W3351" s="19"/>
      <c r="X3351" s="19"/>
      <c r="Y3351" s="19"/>
      <c r="Z3351" s="19"/>
      <c r="AA3351" s="19"/>
      <c r="AB3351" s="19"/>
      <c r="AC3351" s="19"/>
      <c r="AD3351" s="19"/>
      <c r="AE3351" s="19"/>
      <c r="AF3351" s="19"/>
      <c r="AG3351" s="19"/>
      <c r="AH3351" s="19"/>
      <c r="AI3351" s="19"/>
      <c r="AJ3351" s="19"/>
      <c r="AK3351" s="19"/>
      <c r="AL3351" s="6" t="str">
        <f t="array" ref="AL3351">IFERROR(IFS(XLOOKUP(B3351, 'Kit Delivery Status'!$U:$U, 'Kit Delivery Status'!$K:$K) = "Complete", "DELIVERED", XLOOKUP(B3351, 'Kit Delivery Status'!$U:$U, 'Kit Delivery Status'!$K:$K) = "Issue", "ISSUE"), "")</f>
        <v/>
      </c>
      <c r="AM3351" s="6"/>
    </row>
    <row r="3352">
      <c r="A3352" s="19"/>
      <c r="B3352" s="19"/>
      <c r="C3352" s="19"/>
      <c r="D3352" s="42"/>
      <c r="E3352" s="19"/>
      <c r="F3352" s="19"/>
      <c r="G3352" s="19"/>
      <c r="H3352" s="19"/>
      <c r="I3352" s="19"/>
      <c r="J3352" s="19"/>
      <c r="K3352" s="19"/>
      <c r="L3352" s="19"/>
      <c r="M3352" s="19"/>
      <c r="N3352" s="19"/>
      <c r="O3352" s="43"/>
      <c r="P3352" s="19"/>
      <c r="Q3352" s="19"/>
      <c r="R3352" s="19"/>
      <c r="S3352" s="19"/>
      <c r="T3352" s="19"/>
      <c r="U3352" s="19"/>
      <c r="V3352" s="44"/>
      <c r="W3352" s="19"/>
      <c r="X3352" s="19"/>
      <c r="Y3352" s="19"/>
      <c r="Z3352" s="19"/>
      <c r="AA3352" s="19"/>
      <c r="AB3352" s="19"/>
      <c r="AC3352" s="19"/>
      <c r="AD3352" s="19"/>
      <c r="AE3352" s="19"/>
      <c r="AF3352" s="19"/>
      <c r="AG3352" s="19"/>
      <c r="AH3352" s="19"/>
      <c r="AI3352" s="19"/>
      <c r="AJ3352" s="19"/>
      <c r="AK3352" s="19"/>
      <c r="AL3352" s="6" t="str">
        <f t="array" ref="AL3352">IFERROR(IFS(XLOOKUP(B3352, 'Kit Delivery Status'!$U:$U, 'Kit Delivery Status'!$K:$K) = "Complete", "DELIVERED", XLOOKUP(B3352, 'Kit Delivery Status'!$U:$U, 'Kit Delivery Status'!$K:$K) = "Issue", "ISSUE"), "")</f>
        <v/>
      </c>
      <c r="AM3352" s="6"/>
    </row>
    <row r="3353">
      <c r="A3353" s="19"/>
      <c r="B3353" s="19"/>
      <c r="C3353" s="19"/>
      <c r="D3353" s="42"/>
      <c r="E3353" s="19"/>
      <c r="F3353" s="19"/>
      <c r="G3353" s="19"/>
      <c r="H3353" s="19"/>
      <c r="I3353" s="19"/>
      <c r="J3353" s="19"/>
      <c r="K3353" s="19"/>
      <c r="L3353" s="19"/>
      <c r="M3353" s="19"/>
      <c r="N3353" s="19"/>
      <c r="O3353" s="43"/>
      <c r="P3353" s="19"/>
      <c r="Q3353" s="19"/>
      <c r="R3353" s="19"/>
      <c r="S3353" s="19"/>
      <c r="T3353" s="19"/>
      <c r="U3353" s="19"/>
      <c r="V3353" s="44"/>
      <c r="W3353" s="19"/>
      <c r="X3353" s="19"/>
      <c r="Y3353" s="19"/>
      <c r="Z3353" s="19"/>
      <c r="AA3353" s="19"/>
      <c r="AB3353" s="19"/>
      <c r="AC3353" s="19"/>
      <c r="AD3353" s="19"/>
      <c r="AE3353" s="19"/>
      <c r="AF3353" s="19"/>
      <c r="AG3353" s="19"/>
      <c r="AH3353" s="19"/>
      <c r="AI3353" s="19"/>
      <c r="AJ3353" s="19"/>
      <c r="AK3353" s="19"/>
      <c r="AL3353" s="6" t="str">
        <f t="array" ref="AL3353">IFERROR(IFS(XLOOKUP(B3353, 'Kit Delivery Status'!$U:$U, 'Kit Delivery Status'!$K:$K) = "Complete", "DELIVERED", XLOOKUP(B3353, 'Kit Delivery Status'!$U:$U, 'Kit Delivery Status'!$K:$K) = "Issue", "ISSUE"), "")</f>
        <v/>
      </c>
      <c r="AM3353" s="6"/>
    </row>
    <row r="3354">
      <c r="A3354" s="19"/>
      <c r="B3354" s="19"/>
      <c r="C3354" s="19"/>
      <c r="D3354" s="42"/>
      <c r="E3354" s="19"/>
      <c r="F3354" s="19"/>
      <c r="G3354" s="19"/>
      <c r="H3354" s="19"/>
      <c r="I3354" s="19"/>
      <c r="J3354" s="19"/>
      <c r="K3354" s="19"/>
      <c r="L3354" s="19"/>
      <c r="M3354" s="19"/>
      <c r="N3354" s="19"/>
      <c r="O3354" s="43"/>
      <c r="P3354" s="19"/>
      <c r="Q3354" s="19"/>
      <c r="R3354" s="19"/>
      <c r="S3354" s="19"/>
      <c r="T3354" s="19"/>
      <c r="U3354" s="19"/>
      <c r="V3354" s="44"/>
      <c r="W3354" s="19"/>
      <c r="X3354" s="19"/>
      <c r="Y3354" s="19"/>
      <c r="Z3354" s="19"/>
      <c r="AA3354" s="19"/>
      <c r="AB3354" s="19"/>
      <c r="AC3354" s="19"/>
      <c r="AD3354" s="19"/>
      <c r="AE3354" s="19"/>
      <c r="AF3354" s="19"/>
      <c r="AG3354" s="19"/>
      <c r="AH3354" s="19"/>
      <c r="AI3354" s="19"/>
      <c r="AJ3354" s="19"/>
      <c r="AK3354" s="19"/>
      <c r="AL3354" s="6" t="str">
        <f t="array" ref="AL3354">IFERROR(IFS(XLOOKUP(B3354, 'Kit Delivery Status'!$U:$U, 'Kit Delivery Status'!$K:$K) = "Complete", "DELIVERED", XLOOKUP(B3354, 'Kit Delivery Status'!$U:$U, 'Kit Delivery Status'!$K:$K) = "Issue", "ISSUE"), "")</f>
        <v/>
      </c>
      <c r="AM3354" s="6"/>
    </row>
    <row r="3355">
      <c r="A3355" s="19"/>
      <c r="B3355" s="19"/>
      <c r="C3355" s="19"/>
      <c r="D3355" s="42"/>
      <c r="E3355" s="19"/>
      <c r="F3355" s="19"/>
      <c r="G3355" s="19"/>
      <c r="H3355" s="19"/>
      <c r="I3355" s="19"/>
      <c r="J3355" s="19"/>
      <c r="K3355" s="19"/>
      <c r="L3355" s="19"/>
      <c r="M3355" s="19"/>
      <c r="N3355" s="19"/>
      <c r="O3355" s="43"/>
      <c r="P3355" s="19"/>
      <c r="Q3355" s="19"/>
      <c r="R3355" s="19"/>
      <c r="S3355" s="19"/>
      <c r="T3355" s="19"/>
      <c r="U3355" s="19"/>
      <c r="V3355" s="44"/>
      <c r="W3355" s="19"/>
      <c r="X3355" s="19"/>
      <c r="Y3355" s="19"/>
      <c r="Z3355" s="19"/>
      <c r="AA3355" s="19"/>
      <c r="AB3355" s="19"/>
      <c r="AC3355" s="19"/>
      <c r="AD3355" s="19"/>
      <c r="AE3355" s="19"/>
      <c r="AF3355" s="19"/>
      <c r="AG3355" s="19"/>
      <c r="AH3355" s="19"/>
      <c r="AI3355" s="19"/>
      <c r="AJ3355" s="19"/>
      <c r="AK3355" s="19"/>
      <c r="AL3355" s="6" t="str">
        <f t="array" ref="AL3355">IFERROR(IFS(XLOOKUP(B3355, 'Kit Delivery Status'!$U:$U, 'Kit Delivery Status'!$K:$K) = "Complete", "DELIVERED", XLOOKUP(B3355, 'Kit Delivery Status'!$U:$U, 'Kit Delivery Status'!$K:$K) = "Issue", "ISSUE"), "")</f>
        <v/>
      </c>
      <c r="AM3355" s="6"/>
    </row>
    <row r="3356">
      <c r="A3356" s="19"/>
      <c r="B3356" s="19"/>
      <c r="C3356" s="19"/>
      <c r="D3356" s="42"/>
      <c r="E3356" s="19"/>
      <c r="F3356" s="19"/>
      <c r="G3356" s="19"/>
      <c r="H3356" s="19"/>
      <c r="I3356" s="19"/>
      <c r="J3356" s="19"/>
      <c r="K3356" s="19"/>
      <c r="L3356" s="19"/>
      <c r="M3356" s="19"/>
      <c r="N3356" s="19"/>
      <c r="O3356" s="43"/>
      <c r="P3356" s="19"/>
      <c r="Q3356" s="19"/>
      <c r="R3356" s="19"/>
      <c r="S3356" s="19"/>
      <c r="T3356" s="19"/>
      <c r="U3356" s="19"/>
      <c r="V3356" s="44"/>
      <c r="W3356" s="19"/>
      <c r="X3356" s="19"/>
      <c r="Y3356" s="19"/>
      <c r="Z3356" s="19"/>
      <c r="AA3356" s="19"/>
      <c r="AB3356" s="19"/>
      <c r="AC3356" s="19"/>
      <c r="AD3356" s="19"/>
      <c r="AE3356" s="19"/>
      <c r="AF3356" s="19"/>
      <c r="AG3356" s="19"/>
      <c r="AH3356" s="19"/>
      <c r="AI3356" s="19"/>
      <c r="AJ3356" s="19"/>
      <c r="AK3356" s="19"/>
      <c r="AL3356" s="6" t="str">
        <f t="array" ref="AL3356">IFERROR(IFS(XLOOKUP(B3356, 'Kit Delivery Status'!$U:$U, 'Kit Delivery Status'!$K:$K) = "Complete", "DELIVERED", XLOOKUP(B3356, 'Kit Delivery Status'!$U:$U, 'Kit Delivery Status'!$K:$K) = "Issue", "ISSUE"), "")</f>
        <v/>
      </c>
      <c r="AM3356" s="6"/>
    </row>
    <row r="3357">
      <c r="A3357" s="19"/>
      <c r="B3357" s="19"/>
      <c r="C3357" s="19"/>
      <c r="D3357" s="42"/>
      <c r="E3357" s="19"/>
      <c r="F3357" s="19"/>
      <c r="G3357" s="19"/>
      <c r="H3357" s="19"/>
      <c r="I3357" s="19"/>
      <c r="J3357" s="19"/>
      <c r="K3357" s="19"/>
      <c r="L3357" s="19"/>
      <c r="M3357" s="19"/>
      <c r="N3357" s="19"/>
      <c r="O3357" s="43"/>
      <c r="P3357" s="19"/>
      <c r="Q3357" s="19"/>
      <c r="R3357" s="19"/>
      <c r="S3357" s="19"/>
      <c r="T3357" s="19"/>
      <c r="U3357" s="19"/>
      <c r="V3357" s="44"/>
      <c r="W3357" s="19"/>
      <c r="X3357" s="19"/>
      <c r="Y3357" s="19"/>
      <c r="Z3357" s="19"/>
      <c r="AA3357" s="19"/>
      <c r="AB3357" s="19"/>
      <c r="AC3357" s="19"/>
      <c r="AD3357" s="19"/>
      <c r="AE3357" s="19"/>
      <c r="AF3357" s="19"/>
      <c r="AG3357" s="19"/>
      <c r="AH3357" s="19"/>
      <c r="AI3357" s="19"/>
      <c r="AJ3357" s="19"/>
      <c r="AK3357" s="19"/>
      <c r="AL3357" s="6" t="str">
        <f t="array" ref="AL3357">IFERROR(IFS(XLOOKUP(B3357, 'Kit Delivery Status'!$U:$U, 'Kit Delivery Status'!$K:$K) = "Complete", "DELIVERED", XLOOKUP(B3357, 'Kit Delivery Status'!$U:$U, 'Kit Delivery Status'!$K:$K) = "Issue", "ISSUE"), "")</f>
        <v/>
      </c>
      <c r="AM3357" s="6"/>
    </row>
    <row r="3358">
      <c r="A3358" s="19"/>
      <c r="B3358" s="19"/>
      <c r="C3358" s="19"/>
      <c r="D3358" s="42"/>
      <c r="E3358" s="19"/>
      <c r="F3358" s="19"/>
      <c r="G3358" s="19"/>
      <c r="H3358" s="19"/>
      <c r="I3358" s="19"/>
      <c r="J3358" s="19"/>
      <c r="K3358" s="19"/>
      <c r="L3358" s="19"/>
      <c r="M3358" s="19"/>
      <c r="N3358" s="19"/>
      <c r="O3358" s="43"/>
      <c r="P3358" s="19"/>
      <c r="Q3358" s="19"/>
      <c r="R3358" s="19"/>
      <c r="S3358" s="19"/>
      <c r="T3358" s="19"/>
      <c r="U3358" s="19"/>
      <c r="V3358" s="44"/>
      <c r="W3358" s="19"/>
      <c r="X3358" s="19"/>
      <c r="Y3358" s="19"/>
      <c r="Z3358" s="19"/>
      <c r="AA3358" s="19"/>
      <c r="AB3358" s="19"/>
      <c r="AC3358" s="19"/>
      <c r="AD3358" s="19"/>
      <c r="AE3358" s="19"/>
      <c r="AF3358" s="19"/>
      <c r="AG3358" s="19"/>
      <c r="AH3358" s="19"/>
      <c r="AI3358" s="19"/>
      <c r="AJ3358" s="19"/>
      <c r="AK3358" s="19"/>
      <c r="AL3358" s="6" t="str">
        <f t="array" ref="AL3358">IFERROR(IFS(XLOOKUP(B3358, 'Kit Delivery Status'!$U:$U, 'Kit Delivery Status'!$K:$K) = "Complete", "DELIVERED", XLOOKUP(B3358, 'Kit Delivery Status'!$U:$U, 'Kit Delivery Status'!$K:$K) = "Issue", "ISSUE"), "")</f>
        <v/>
      </c>
      <c r="AM3358" s="6"/>
    </row>
    <row r="3359">
      <c r="A3359" s="19"/>
      <c r="B3359" s="19"/>
      <c r="C3359" s="19"/>
      <c r="D3359" s="42"/>
      <c r="E3359" s="19"/>
      <c r="F3359" s="19"/>
      <c r="G3359" s="19"/>
      <c r="H3359" s="19"/>
      <c r="I3359" s="19"/>
      <c r="J3359" s="19"/>
      <c r="K3359" s="19"/>
      <c r="L3359" s="19"/>
      <c r="M3359" s="19"/>
      <c r="N3359" s="19"/>
      <c r="O3359" s="43"/>
      <c r="P3359" s="19"/>
      <c r="Q3359" s="19"/>
      <c r="R3359" s="19"/>
      <c r="S3359" s="19"/>
      <c r="T3359" s="19"/>
      <c r="U3359" s="19"/>
      <c r="V3359" s="44"/>
      <c r="W3359" s="19"/>
      <c r="X3359" s="19"/>
      <c r="Y3359" s="19"/>
      <c r="Z3359" s="19"/>
      <c r="AA3359" s="19"/>
      <c r="AB3359" s="19"/>
      <c r="AC3359" s="19"/>
      <c r="AD3359" s="19"/>
      <c r="AE3359" s="19"/>
      <c r="AF3359" s="19"/>
      <c r="AG3359" s="19"/>
      <c r="AH3359" s="19"/>
      <c r="AI3359" s="19"/>
      <c r="AJ3359" s="19"/>
      <c r="AK3359" s="19"/>
      <c r="AL3359" s="6" t="str">
        <f t="array" ref="AL3359">IFERROR(IFS(XLOOKUP(B3359, 'Kit Delivery Status'!$U:$U, 'Kit Delivery Status'!$K:$K) = "Complete", "DELIVERED", XLOOKUP(B3359, 'Kit Delivery Status'!$U:$U, 'Kit Delivery Status'!$K:$K) = "Issue", "ISSUE"), "")</f>
        <v/>
      </c>
      <c r="AM3359" s="6"/>
    </row>
    <row r="3360">
      <c r="A3360" s="19"/>
      <c r="B3360" s="19"/>
      <c r="C3360" s="19"/>
      <c r="D3360" s="42"/>
      <c r="E3360" s="19"/>
      <c r="F3360" s="19"/>
      <c r="G3360" s="19"/>
      <c r="H3360" s="19"/>
      <c r="I3360" s="19"/>
      <c r="J3360" s="19"/>
      <c r="K3360" s="19"/>
      <c r="L3360" s="19"/>
      <c r="M3360" s="19"/>
      <c r="N3360" s="19"/>
      <c r="O3360" s="43"/>
      <c r="P3360" s="19"/>
      <c r="Q3360" s="19"/>
      <c r="R3360" s="19"/>
      <c r="S3360" s="19"/>
      <c r="T3360" s="19"/>
      <c r="U3360" s="19"/>
      <c r="V3360" s="44"/>
      <c r="W3360" s="19"/>
      <c r="X3360" s="19"/>
      <c r="Y3360" s="19"/>
      <c r="Z3360" s="19"/>
      <c r="AA3360" s="19"/>
      <c r="AB3360" s="19"/>
      <c r="AC3360" s="19"/>
      <c r="AD3360" s="19"/>
      <c r="AE3360" s="19"/>
      <c r="AF3360" s="19"/>
      <c r="AG3360" s="19"/>
      <c r="AH3360" s="19"/>
      <c r="AI3360" s="19"/>
      <c r="AJ3360" s="19"/>
      <c r="AK3360" s="19"/>
      <c r="AL3360" s="6" t="str">
        <f t="array" ref="AL3360">IFERROR(IFS(XLOOKUP(B3360, 'Kit Delivery Status'!$U:$U, 'Kit Delivery Status'!$K:$K) = "Complete", "DELIVERED", XLOOKUP(B3360, 'Kit Delivery Status'!$U:$U, 'Kit Delivery Status'!$K:$K) = "Issue", "ISSUE"), "")</f>
        <v/>
      </c>
      <c r="AM3360" s="6"/>
    </row>
    <row r="3361">
      <c r="A3361" s="19"/>
      <c r="B3361" s="19"/>
      <c r="C3361" s="19"/>
      <c r="D3361" s="42"/>
      <c r="E3361" s="19"/>
      <c r="F3361" s="19"/>
      <c r="G3361" s="19"/>
      <c r="H3361" s="19"/>
      <c r="I3361" s="19"/>
      <c r="J3361" s="19"/>
      <c r="K3361" s="19"/>
      <c r="L3361" s="19"/>
      <c r="M3361" s="19"/>
      <c r="N3361" s="19"/>
      <c r="O3361" s="43"/>
      <c r="P3361" s="19"/>
      <c r="Q3361" s="19"/>
      <c r="R3361" s="19"/>
      <c r="S3361" s="19"/>
      <c r="T3361" s="19"/>
      <c r="U3361" s="19"/>
      <c r="V3361" s="44"/>
      <c r="W3361" s="19"/>
      <c r="X3361" s="19"/>
      <c r="Y3361" s="19"/>
      <c r="Z3361" s="19"/>
      <c r="AA3361" s="19"/>
      <c r="AB3361" s="19"/>
      <c r="AC3361" s="19"/>
      <c r="AD3361" s="19"/>
      <c r="AE3361" s="19"/>
      <c r="AF3361" s="19"/>
      <c r="AG3361" s="19"/>
      <c r="AH3361" s="19"/>
      <c r="AI3361" s="19"/>
      <c r="AJ3361" s="19"/>
      <c r="AK3361" s="19"/>
      <c r="AL3361" s="6" t="str">
        <f t="array" ref="AL3361">IFERROR(IFS(XLOOKUP(B3361, 'Kit Delivery Status'!$U:$U, 'Kit Delivery Status'!$K:$K) = "Complete", "DELIVERED", XLOOKUP(B3361, 'Kit Delivery Status'!$U:$U, 'Kit Delivery Status'!$K:$K) = "Issue", "ISSUE"), "")</f>
        <v/>
      </c>
      <c r="AM3361" s="6"/>
    </row>
    <row r="3362">
      <c r="A3362" s="19"/>
      <c r="B3362" s="19"/>
      <c r="C3362" s="19"/>
      <c r="D3362" s="42"/>
      <c r="E3362" s="19"/>
      <c r="F3362" s="19"/>
      <c r="G3362" s="19"/>
      <c r="H3362" s="19"/>
      <c r="I3362" s="19"/>
      <c r="J3362" s="19"/>
      <c r="K3362" s="19"/>
      <c r="L3362" s="19"/>
      <c r="M3362" s="19"/>
      <c r="N3362" s="19"/>
      <c r="O3362" s="43"/>
      <c r="P3362" s="19"/>
      <c r="Q3362" s="19"/>
      <c r="R3362" s="19"/>
      <c r="S3362" s="19"/>
      <c r="T3362" s="19"/>
      <c r="U3362" s="19"/>
      <c r="V3362" s="44"/>
      <c r="W3362" s="19"/>
      <c r="X3362" s="19"/>
      <c r="Y3362" s="19"/>
      <c r="Z3362" s="19"/>
      <c r="AA3362" s="19"/>
      <c r="AB3362" s="19"/>
      <c r="AC3362" s="19"/>
      <c r="AD3362" s="19"/>
      <c r="AE3362" s="19"/>
      <c r="AF3362" s="19"/>
      <c r="AG3362" s="19"/>
      <c r="AH3362" s="19"/>
      <c r="AI3362" s="19"/>
      <c r="AJ3362" s="19"/>
      <c r="AK3362" s="19"/>
      <c r="AL3362" s="6" t="str">
        <f t="array" ref="AL3362">IFERROR(IFS(XLOOKUP(B3362, 'Kit Delivery Status'!$U:$U, 'Kit Delivery Status'!$K:$K) = "Complete", "DELIVERED", XLOOKUP(B3362, 'Kit Delivery Status'!$U:$U, 'Kit Delivery Status'!$K:$K) = "Issue", "ISSUE"), "")</f>
        <v/>
      </c>
      <c r="AM3362" s="6"/>
    </row>
    <row r="3363">
      <c r="A3363" s="19"/>
      <c r="B3363" s="19"/>
      <c r="C3363" s="19"/>
      <c r="D3363" s="42"/>
      <c r="E3363" s="19"/>
      <c r="F3363" s="19"/>
      <c r="G3363" s="19"/>
      <c r="H3363" s="19"/>
      <c r="I3363" s="19"/>
      <c r="J3363" s="19"/>
      <c r="K3363" s="19"/>
      <c r="L3363" s="19"/>
      <c r="M3363" s="19"/>
      <c r="N3363" s="19"/>
      <c r="O3363" s="43"/>
      <c r="P3363" s="19"/>
      <c r="Q3363" s="19"/>
      <c r="R3363" s="19"/>
      <c r="S3363" s="19"/>
      <c r="T3363" s="19"/>
      <c r="U3363" s="19"/>
      <c r="V3363" s="44"/>
      <c r="W3363" s="19"/>
      <c r="X3363" s="19"/>
      <c r="Y3363" s="19"/>
      <c r="Z3363" s="19"/>
      <c r="AA3363" s="19"/>
      <c r="AB3363" s="19"/>
      <c r="AC3363" s="19"/>
      <c r="AD3363" s="19"/>
      <c r="AE3363" s="19"/>
      <c r="AF3363" s="19"/>
      <c r="AG3363" s="19"/>
      <c r="AH3363" s="19"/>
      <c r="AI3363" s="19"/>
      <c r="AJ3363" s="19"/>
      <c r="AK3363" s="19"/>
      <c r="AL3363" s="6" t="str">
        <f t="array" ref="AL3363">IFERROR(IFS(XLOOKUP(B3363, 'Kit Delivery Status'!$U:$U, 'Kit Delivery Status'!$K:$K) = "Complete", "DELIVERED", XLOOKUP(B3363, 'Kit Delivery Status'!$U:$U, 'Kit Delivery Status'!$K:$K) = "Issue", "ISSUE"), "")</f>
        <v/>
      </c>
      <c r="AM3363" s="6"/>
    </row>
    <row r="3364">
      <c r="A3364" s="19"/>
      <c r="B3364" s="19"/>
      <c r="C3364" s="19"/>
      <c r="D3364" s="42"/>
      <c r="E3364" s="19"/>
      <c r="F3364" s="19"/>
      <c r="G3364" s="19"/>
      <c r="H3364" s="19"/>
      <c r="I3364" s="19"/>
      <c r="J3364" s="19"/>
      <c r="K3364" s="19"/>
      <c r="L3364" s="19"/>
      <c r="M3364" s="19"/>
      <c r="N3364" s="19"/>
      <c r="O3364" s="43"/>
      <c r="P3364" s="19"/>
      <c r="Q3364" s="19"/>
      <c r="R3364" s="19"/>
      <c r="S3364" s="19"/>
      <c r="T3364" s="19"/>
      <c r="U3364" s="19"/>
      <c r="V3364" s="44"/>
      <c r="W3364" s="19"/>
      <c r="X3364" s="19"/>
      <c r="Y3364" s="19"/>
      <c r="Z3364" s="19"/>
      <c r="AA3364" s="19"/>
      <c r="AB3364" s="19"/>
      <c r="AC3364" s="19"/>
      <c r="AD3364" s="19"/>
      <c r="AE3364" s="19"/>
      <c r="AF3364" s="19"/>
      <c r="AG3364" s="19"/>
      <c r="AH3364" s="19"/>
      <c r="AI3364" s="19"/>
      <c r="AJ3364" s="19"/>
      <c r="AK3364" s="19"/>
      <c r="AL3364" s="6" t="str">
        <f t="array" ref="AL3364">IFERROR(IFS(XLOOKUP(B3364, 'Kit Delivery Status'!$U:$U, 'Kit Delivery Status'!$K:$K) = "Complete", "DELIVERED", XLOOKUP(B3364, 'Kit Delivery Status'!$U:$U, 'Kit Delivery Status'!$K:$K) = "Issue", "ISSUE"), "")</f>
        <v/>
      </c>
      <c r="AM3364" s="6"/>
    </row>
    <row r="3365">
      <c r="A3365" s="19"/>
      <c r="B3365" s="19"/>
      <c r="C3365" s="19"/>
      <c r="D3365" s="42"/>
      <c r="E3365" s="19"/>
      <c r="F3365" s="19"/>
      <c r="G3365" s="19"/>
      <c r="H3365" s="19"/>
      <c r="I3365" s="19"/>
      <c r="J3365" s="19"/>
      <c r="K3365" s="19"/>
      <c r="L3365" s="19"/>
      <c r="M3365" s="19"/>
      <c r="N3365" s="19"/>
      <c r="O3365" s="43"/>
      <c r="P3365" s="19"/>
      <c r="Q3365" s="19"/>
      <c r="R3365" s="19"/>
      <c r="S3365" s="19"/>
      <c r="T3365" s="19"/>
      <c r="U3365" s="19"/>
      <c r="V3365" s="44"/>
      <c r="W3365" s="19"/>
      <c r="X3365" s="19"/>
      <c r="Y3365" s="19"/>
      <c r="Z3365" s="19"/>
      <c r="AA3365" s="19"/>
      <c r="AB3365" s="19"/>
      <c r="AC3365" s="19"/>
      <c r="AD3365" s="19"/>
      <c r="AE3365" s="19"/>
      <c r="AF3365" s="19"/>
      <c r="AG3365" s="19"/>
      <c r="AH3365" s="19"/>
      <c r="AI3365" s="19"/>
      <c r="AJ3365" s="19"/>
      <c r="AK3365" s="19"/>
      <c r="AL3365" s="6" t="str">
        <f t="array" ref="AL3365">IFERROR(IFS(XLOOKUP(B3365, 'Kit Delivery Status'!$U:$U, 'Kit Delivery Status'!$K:$K) = "Complete", "DELIVERED", XLOOKUP(B3365, 'Kit Delivery Status'!$U:$U, 'Kit Delivery Status'!$K:$K) = "Issue", "ISSUE"), "")</f>
        <v/>
      </c>
      <c r="AM3365" s="6"/>
    </row>
    <row r="3366">
      <c r="A3366" s="19"/>
      <c r="B3366" s="19"/>
      <c r="C3366" s="19"/>
      <c r="D3366" s="42"/>
      <c r="E3366" s="19"/>
      <c r="F3366" s="19"/>
      <c r="G3366" s="19"/>
      <c r="H3366" s="19"/>
      <c r="I3366" s="19"/>
      <c r="J3366" s="19"/>
      <c r="K3366" s="19"/>
      <c r="L3366" s="19"/>
      <c r="M3366" s="19"/>
      <c r="N3366" s="19"/>
      <c r="O3366" s="43"/>
      <c r="P3366" s="19"/>
      <c r="Q3366" s="19"/>
      <c r="R3366" s="19"/>
      <c r="S3366" s="19"/>
      <c r="T3366" s="19"/>
      <c r="U3366" s="19"/>
      <c r="V3366" s="44"/>
      <c r="W3366" s="19"/>
      <c r="X3366" s="19"/>
      <c r="Y3366" s="19"/>
      <c r="Z3366" s="19"/>
      <c r="AA3366" s="19"/>
      <c r="AB3366" s="19"/>
      <c r="AC3366" s="19"/>
      <c r="AD3366" s="19"/>
      <c r="AE3366" s="19"/>
      <c r="AF3366" s="19"/>
      <c r="AG3366" s="19"/>
      <c r="AH3366" s="19"/>
      <c r="AI3366" s="19"/>
      <c r="AJ3366" s="19"/>
      <c r="AK3366" s="19"/>
      <c r="AL3366" s="6" t="str">
        <f t="array" ref="AL3366">IFERROR(IFS(XLOOKUP(B3366, 'Kit Delivery Status'!$U:$U, 'Kit Delivery Status'!$K:$K) = "Complete", "DELIVERED", XLOOKUP(B3366, 'Kit Delivery Status'!$U:$U, 'Kit Delivery Status'!$K:$K) = "Issue", "ISSUE"), "")</f>
        <v/>
      </c>
      <c r="AM3366" s="6"/>
    </row>
    <row r="3367">
      <c r="A3367" s="19"/>
      <c r="B3367" s="19"/>
      <c r="C3367" s="19"/>
      <c r="D3367" s="42"/>
      <c r="E3367" s="19"/>
      <c r="F3367" s="19"/>
      <c r="G3367" s="19"/>
      <c r="H3367" s="19"/>
      <c r="I3367" s="19"/>
      <c r="J3367" s="19"/>
      <c r="K3367" s="19"/>
      <c r="L3367" s="19"/>
      <c r="M3367" s="19"/>
      <c r="N3367" s="19"/>
      <c r="O3367" s="43"/>
      <c r="P3367" s="19"/>
      <c r="Q3367" s="19"/>
      <c r="R3367" s="19"/>
      <c r="S3367" s="19"/>
      <c r="T3367" s="19"/>
      <c r="U3367" s="19"/>
      <c r="V3367" s="44"/>
      <c r="W3367" s="19"/>
      <c r="X3367" s="19"/>
      <c r="Y3367" s="19"/>
      <c r="Z3367" s="19"/>
      <c r="AA3367" s="19"/>
      <c r="AB3367" s="19"/>
      <c r="AC3367" s="19"/>
      <c r="AD3367" s="19"/>
      <c r="AE3367" s="19"/>
      <c r="AF3367" s="19"/>
      <c r="AG3367" s="19"/>
      <c r="AH3367" s="19"/>
      <c r="AI3367" s="19"/>
      <c r="AJ3367" s="19"/>
      <c r="AK3367" s="19"/>
      <c r="AL3367" s="6" t="str">
        <f t="array" ref="AL3367">IFERROR(IFS(XLOOKUP(B3367, 'Kit Delivery Status'!$U:$U, 'Kit Delivery Status'!$K:$K) = "Complete", "DELIVERED", XLOOKUP(B3367, 'Kit Delivery Status'!$U:$U, 'Kit Delivery Status'!$K:$K) = "Issue", "ISSUE"), "")</f>
        <v/>
      </c>
      <c r="AM3367" s="6"/>
    </row>
    <row r="3368">
      <c r="A3368" s="19"/>
      <c r="B3368" s="19"/>
      <c r="C3368" s="19"/>
      <c r="D3368" s="42"/>
      <c r="E3368" s="19"/>
      <c r="F3368" s="19"/>
      <c r="G3368" s="19"/>
      <c r="H3368" s="19"/>
      <c r="I3368" s="19"/>
      <c r="J3368" s="19"/>
      <c r="K3368" s="19"/>
      <c r="L3368" s="19"/>
      <c r="M3368" s="19"/>
      <c r="N3368" s="19"/>
      <c r="O3368" s="43"/>
      <c r="P3368" s="19"/>
      <c r="Q3368" s="19"/>
      <c r="R3368" s="19"/>
      <c r="S3368" s="19"/>
      <c r="T3368" s="19"/>
      <c r="U3368" s="19"/>
      <c r="V3368" s="44"/>
      <c r="W3368" s="19"/>
      <c r="X3368" s="19"/>
      <c r="Y3368" s="19"/>
      <c r="Z3368" s="19"/>
      <c r="AA3368" s="19"/>
      <c r="AB3368" s="19"/>
      <c r="AC3368" s="19"/>
      <c r="AD3368" s="19"/>
      <c r="AE3368" s="19"/>
      <c r="AF3368" s="19"/>
      <c r="AG3368" s="19"/>
      <c r="AH3368" s="19"/>
      <c r="AI3368" s="19"/>
      <c r="AJ3368" s="19"/>
      <c r="AK3368" s="19"/>
      <c r="AL3368" s="6" t="str">
        <f t="array" ref="AL3368">IFERROR(IFS(XLOOKUP(B3368, 'Kit Delivery Status'!$U:$U, 'Kit Delivery Status'!$K:$K) = "Complete", "DELIVERED", XLOOKUP(B3368, 'Kit Delivery Status'!$U:$U, 'Kit Delivery Status'!$K:$K) = "Issue", "ISSUE"), "")</f>
        <v/>
      </c>
      <c r="AM3368" s="6"/>
    </row>
    <row r="3369">
      <c r="A3369" s="19"/>
      <c r="B3369" s="19"/>
      <c r="C3369" s="19"/>
      <c r="D3369" s="42"/>
      <c r="E3369" s="19"/>
      <c r="F3369" s="19"/>
      <c r="G3369" s="19"/>
      <c r="H3369" s="19"/>
      <c r="I3369" s="19"/>
      <c r="J3369" s="19"/>
      <c r="K3369" s="19"/>
      <c r="L3369" s="19"/>
      <c r="M3369" s="19"/>
      <c r="N3369" s="19"/>
      <c r="O3369" s="43"/>
      <c r="P3369" s="19"/>
      <c r="Q3369" s="19"/>
      <c r="R3369" s="19"/>
      <c r="S3369" s="19"/>
      <c r="T3369" s="19"/>
      <c r="U3369" s="19"/>
      <c r="V3369" s="44"/>
      <c r="W3369" s="19"/>
      <c r="X3369" s="19"/>
      <c r="Y3369" s="19"/>
      <c r="Z3369" s="19"/>
      <c r="AA3369" s="19"/>
      <c r="AB3369" s="19"/>
      <c r="AC3369" s="19"/>
      <c r="AD3369" s="19"/>
      <c r="AE3369" s="19"/>
      <c r="AF3369" s="19"/>
      <c r="AG3369" s="19"/>
      <c r="AH3369" s="19"/>
      <c r="AI3369" s="19"/>
      <c r="AJ3369" s="19"/>
      <c r="AK3369" s="19"/>
      <c r="AL3369" s="6" t="str">
        <f t="array" ref="AL3369">IFERROR(IFS(XLOOKUP(B3369, 'Kit Delivery Status'!$U:$U, 'Kit Delivery Status'!$K:$K) = "Complete", "DELIVERED", XLOOKUP(B3369, 'Kit Delivery Status'!$U:$U, 'Kit Delivery Status'!$K:$K) = "Issue", "ISSUE"), "")</f>
        <v/>
      </c>
      <c r="AM3369" s="6"/>
    </row>
    <row r="3370">
      <c r="A3370" s="19"/>
      <c r="B3370" s="19"/>
      <c r="C3370" s="19"/>
      <c r="D3370" s="42"/>
      <c r="E3370" s="19"/>
      <c r="F3370" s="19"/>
      <c r="G3370" s="19"/>
      <c r="H3370" s="19"/>
      <c r="I3370" s="19"/>
      <c r="J3370" s="19"/>
      <c r="K3370" s="19"/>
      <c r="L3370" s="19"/>
      <c r="M3370" s="19"/>
      <c r="N3370" s="19"/>
      <c r="O3370" s="43"/>
      <c r="P3370" s="19"/>
      <c r="Q3370" s="19"/>
      <c r="R3370" s="19"/>
      <c r="S3370" s="19"/>
      <c r="T3370" s="19"/>
      <c r="U3370" s="19"/>
      <c r="V3370" s="44"/>
      <c r="W3370" s="19"/>
      <c r="X3370" s="19"/>
      <c r="Y3370" s="19"/>
      <c r="Z3370" s="19"/>
      <c r="AA3370" s="19"/>
      <c r="AB3370" s="19"/>
      <c r="AC3370" s="19"/>
      <c r="AD3370" s="19"/>
      <c r="AE3370" s="19"/>
      <c r="AF3370" s="19"/>
      <c r="AG3370" s="19"/>
      <c r="AH3370" s="19"/>
      <c r="AI3370" s="19"/>
      <c r="AJ3370" s="19"/>
      <c r="AK3370" s="19"/>
      <c r="AL3370" s="6" t="str">
        <f t="array" ref="AL3370">IFERROR(IFS(XLOOKUP(B3370, 'Kit Delivery Status'!$U:$U, 'Kit Delivery Status'!$K:$K) = "Complete", "DELIVERED", XLOOKUP(B3370, 'Kit Delivery Status'!$U:$U, 'Kit Delivery Status'!$K:$K) = "Issue", "ISSUE"), "")</f>
        <v/>
      </c>
      <c r="AM3370" s="6"/>
    </row>
    <row r="3371">
      <c r="A3371" s="19"/>
      <c r="B3371" s="19"/>
      <c r="C3371" s="19"/>
      <c r="D3371" s="42"/>
      <c r="E3371" s="19"/>
      <c r="F3371" s="19"/>
      <c r="G3371" s="19"/>
      <c r="H3371" s="19"/>
      <c r="I3371" s="19"/>
      <c r="J3371" s="19"/>
      <c r="K3371" s="19"/>
      <c r="L3371" s="19"/>
      <c r="M3371" s="19"/>
      <c r="N3371" s="19"/>
      <c r="O3371" s="43"/>
      <c r="P3371" s="19"/>
      <c r="Q3371" s="19"/>
      <c r="R3371" s="19"/>
      <c r="S3371" s="19"/>
      <c r="T3371" s="19"/>
      <c r="U3371" s="19"/>
      <c r="V3371" s="44"/>
      <c r="W3371" s="19"/>
      <c r="X3371" s="19"/>
      <c r="Y3371" s="19"/>
      <c r="Z3371" s="19"/>
      <c r="AA3371" s="19"/>
      <c r="AB3371" s="19"/>
      <c r="AC3371" s="19"/>
      <c r="AD3371" s="19"/>
      <c r="AE3371" s="19"/>
      <c r="AF3371" s="19"/>
      <c r="AG3371" s="19"/>
      <c r="AH3371" s="19"/>
      <c r="AI3371" s="19"/>
      <c r="AJ3371" s="19"/>
      <c r="AK3371" s="19"/>
      <c r="AL3371" s="6" t="str">
        <f t="array" ref="AL3371">IFERROR(IFS(XLOOKUP(B3371, 'Kit Delivery Status'!$U:$U, 'Kit Delivery Status'!$K:$K) = "Complete", "DELIVERED", XLOOKUP(B3371, 'Kit Delivery Status'!$U:$U, 'Kit Delivery Status'!$K:$K) = "Issue", "ISSUE"), "")</f>
        <v/>
      </c>
      <c r="AM3371" s="6"/>
    </row>
    <row r="3372">
      <c r="A3372" s="19"/>
      <c r="B3372" s="19"/>
      <c r="C3372" s="19"/>
      <c r="D3372" s="42"/>
      <c r="E3372" s="19"/>
      <c r="F3372" s="19"/>
      <c r="G3372" s="19"/>
      <c r="H3372" s="19"/>
      <c r="I3372" s="19"/>
      <c r="J3372" s="19"/>
      <c r="K3372" s="19"/>
      <c r="L3372" s="19"/>
      <c r="M3372" s="19"/>
      <c r="N3372" s="19"/>
      <c r="O3372" s="43"/>
      <c r="P3372" s="19"/>
      <c r="Q3372" s="19"/>
      <c r="R3372" s="19"/>
      <c r="S3372" s="19"/>
      <c r="T3372" s="19"/>
      <c r="U3372" s="19"/>
      <c r="V3372" s="44"/>
      <c r="W3372" s="19"/>
      <c r="X3372" s="19"/>
      <c r="Y3372" s="19"/>
      <c r="Z3372" s="19"/>
      <c r="AA3372" s="19"/>
      <c r="AB3372" s="19"/>
      <c r="AC3372" s="19"/>
      <c r="AD3372" s="19"/>
      <c r="AE3372" s="19"/>
      <c r="AF3372" s="19"/>
      <c r="AG3372" s="19"/>
      <c r="AH3372" s="19"/>
      <c r="AI3372" s="19"/>
      <c r="AJ3372" s="19"/>
      <c r="AK3372" s="19"/>
      <c r="AL3372" s="6" t="str">
        <f t="array" ref="AL3372">IFERROR(IFS(XLOOKUP(B3372, 'Kit Delivery Status'!$U:$U, 'Kit Delivery Status'!$K:$K) = "Complete", "DELIVERED", XLOOKUP(B3372, 'Kit Delivery Status'!$U:$U, 'Kit Delivery Status'!$K:$K) = "Issue", "ISSUE"), "")</f>
        <v/>
      </c>
      <c r="AM3372" s="6"/>
    </row>
    <row r="3373">
      <c r="A3373" s="19"/>
      <c r="B3373" s="19"/>
      <c r="C3373" s="19"/>
      <c r="D3373" s="42"/>
      <c r="E3373" s="19"/>
      <c r="F3373" s="19"/>
      <c r="G3373" s="19"/>
      <c r="H3373" s="19"/>
      <c r="I3373" s="19"/>
      <c r="J3373" s="19"/>
      <c r="K3373" s="19"/>
      <c r="L3373" s="19"/>
      <c r="M3373" s="19"/>
      <c r="N3373" s="19"/>
      <c r="O3373" s="43"/>
      <c r="P3373" s="19"/>
      <c r="Q3373" s="19"/>
      <c r="R3373" s="19"/>
      <c r="S3373" s="19"/>
      <c r="T3373" s="19"/>
      <c r="U3373" s="19"/>
      <c r="V3373" s="44"/>
      <c r="W3373" s="19"/>
      <c r="X3373" s="19"/>
      <c r="Y3373" s="19"/>
      <c r="Z3373" s="19"/>
      <c r="AA3373" s="19"/>
      <c r="AB3373" s="19"/>
      <c r="AC3373" s="19"/>
      <c r="AD3373" s="19"/>
      <c r="AE3373" s="19"/>
      <c r="AF3373" s="19"/>
      <c r="AG3373" s="19"/>
      <c r="AH3373" s="19"/>
      <c r="AI3373" s="19"/>
      <c r="AJ3373" s="19"/>
      <c r="AK3373" s="19"/>
      <c r="AL3373" s="6" t="str">
        <f t="array" ref="AL3373">IFERROR(IFS(XLOOKUP(B3373, 'Kit Delivery Status'!$U:$U, 'Kit Delivery Status'!$K:$K) = "Complete", "DELIVERED", XLOOKUP(B3373, 'Kit Delivery Status'!$U:$U, 'Kit Delivery Status'!$K:$K) = "Issue", "ISSUE"), "")</f>
        <v/>
      </c>
      <c r="AM3373" s="6"/>
    </row>
    <row r="3374">
      <c r="A3374" s="19"/>
      <c r="B3374" s="19"/>
      <c r="C3374" s="19"/>
      <c r="D3374" s="42"/>
      <c r="E3374" s="19"/>
      <c r="F3374" s="19"/>
      <c r="G3374" s="19"/>
      <c r="H3374" s="19"/>
      <c r="I3374" s="19"/>
      <c r="J3374" s="19"/>
      <c r="K3374" s="19"/>
      <c r="L3374" s="19"/>
      <c r="M3374" s="19"/>
      <c r="N3374" s="19"/>
      <c r="O3374" s="43"/>
      <c r="P3374" s="19"/>
      <c r="Q3374" s="19"/>
      <c r="R3374" s="19"/>
      <c r="S3374" s="19"/>
      <c r="T3374" s="19"/>
      <c r="U3374" s="19"/>
      <c r="V3374" s="44"/>
      <c r="W3374" s="19"/>
      <c r="X3374" s="19"/>
      <c r="Y3374" s="19"/>
      <c r="Z3374" s="19"/>
      <c r="AA3374" s="19"/>
      <c r="AB3374" s="19"/>
      <c r="AC3374" s="19"/>
      <c r="AD3374" s="19"/>
      <c r="AE3374" s="19"/>
      <c r="AF3374" s="19"/>
      <c r="AG3374" s="19"/>
      <c r="AH3374" s="19"/>
      <c r="AI3374" s="19"/>
      <c r="AJ3374" s="19"/>
      <c r="AK3374" s="19"/>
      <c r="AL3374" s="6" t="str">
        <f t="array" ref="AL3374">IFERROR(IFS(XLOOKUP(B3374, 'Kit Delivery Status'!$U:$U, 'Kit Delivery Status'!$K:$K) = "Complete", "DELIVERED", XLOOKUP(B3374, 'Kit Delivery Status'!$U:$U, 'Kit Delivery Status'!$K:$K) = "Issue", "ISSUE"), "")</f>
        <v/>
      </c>
      <c r="AM3374" s="6"/>
    </row>
    <row r="3375">
      <c r="A3375" s="19"/>
      <c r="B3375" s="19"/>
      <c r="C3375" s="19"/>
      <c r="D3375" s="42"/>
      <c r="E3375" s="19"/>
      <c r="F3375" s="19"/>
      <c r="G3375" s="19"/>
      <c r="H3375" s="19"/>
      <c r="I3375" s="19"/>
      <c r="J3375" s="19"/>
      <c r="K3375" s="19"/>
      <c r="L3375" s="19"/>
      <c r="M3375" s="19"/>
      <c r="N3375" s="19"/>
      <c r="O3375" s="43"/>
      <c r="P3375" s="19"/>
      <c r="Q3375" s="19"/>
      <c r="R3375" s="19"/>
      <c r="S3375" s="19"/>
      <c r="T3375" s="19"/>
      <c r="U3375" s="19"/>
      <c r="V3375" s="44"/>
      <c r="W3375" s="19"/>
      <c r="X3375" s="19"/>
      <c r="Y3375" s="19"/>
      <c r="Z3375" s="19"/>
      <c r="AA3375" s="19"/>
      <c r="AB3375" s="19"/>
      <c r="AC3375" s="19"/>
      <c r="AD3375" s="19"/>
      <c r="AE3375" s="19"/>
      <c r="AF3375" s="19"/>
      <c r="AG3375" s="19"/>
      <c r="AH3375" s="19"/>
      <c r="AI3375" s="19"/>
      <c r="AJ3375" s="19"/>
      <c r="AK3375" s="19"/>
      <c r="AL3375" s="6" t="str">
        <f t="array" ref="AL3375">IFERROR(IFS(XLOOKUP(B3375, 'Kit Delivery Status'!$U:$U, 'Kit Delivery Status'!$K:$K) = "Complete", "DELIVERED", XLOOKUP(B3375, 'Kit Delivery Status'!$U:$U, 'Kit Delivery Status'!$K:$K) = "Issue", "ISSUE"), "")</f>
        <v/>
      </c>
      <c r="AM3375" s="6"/>
    </row>
    <row r="3376">
      <c r="A3376" s="19"/>
      <c r="B3376" s="19"/>
      <c r="C3376" s="19"/>
      <c r="D3376" s="42"/>
      <c r="E3376" s="19"/>
      <c r="F3376" s="19"/>
      <c r="G3376" s="19"/>
      <c r="H3376" s="19"/>
      <c r="I3376" s="19"/>
      <c r="J3376" s="19"/>
      <c r="K3376" s="19"/>
      <c r="L3376" s="19"/>
      <c r="M3376" s="19"/>
      <c r="N3376" s="19"/>
      <c r="O3376" s="43"/>
      <c r="P3376" s="19"/>
      <c r="Q3376" s="19"/>
      <c r="R3376" s="19"/>
      <c r="S3376" s="19"/>
      <c r="T3376" s="19"/>
      <c r="U3376" s="19"/>
      <c r="V3376" s="44"/>
      <c r="W3376" s="19"/>
      <c r="X3376" s="19"/>
      <c r="Y3376" s="19"/>
      <c r="Z3376" s="19"/>
      <c r="AA3376" s="19"/>
      <c r="AB3376" s="19"/>
      <c r="AC3376" s="19"/>
      <c r="AD3376" s="19"/>
      <c r="AE3376" s="19"/>
      <c r="AF3376" s="19"/>
      <c r="AG3376" s="19"/>
      <c r="AH3376" s="19"/>
      <c r="AI3376" s="19"/>
      <c r="AJ3376" s="19"/>
      <c r="AK3376" s="19"/>
      <c r="AL3376" s="6" t="str">
        <f t="array" ref="AL3376">IFERROR(IFS(XLOOKUP(B3376, 'Kit Delivery Status'!$U:$U, 'Kit Delivery Status'!$K:$K) = "Complete", "DELIVERED", XLOOKUP(B3376, 'Kit Delivery Status'!$U:$U, 'Kit Delivery Status'!$K:$K) = "Issue", "ISSUE"), "")</f>
        <v/>
      </c>
      <c r="AM3376" s="6"/>
    </row>
    <row r="3377">
      <c r="A3377" s="19"/>
      <c r="B3377" s="19"/>
      <c r="C3377" s="19"/>
      <c r="D3377" s="42"/>
      <c r="E3377" s="19"/>
      <c r="F3377" s="19"/>
      <c r="G3377" s="19"/>
      <c r="H3377" s="19"/>
      <c r="I3377" s="19"/>
      <c r="J3377" s="19"/>
      <c r="K3377" s="19"/>
      <c r="L3377" s="19"/>
      <c r="M3377" s="19"/>
      <c r="N3377" s="19"/>
      <c r="O3377" s="43"/>
      <c r="P3377" s="19"/>
      <c r="Q3377" s="19"/>
      <c r="R3377" s="19"/>
      <c r="S3377" s="19"/>
      <c r="T3377" s="19"/>
      <c r="U3377" s="19"/>
      <c r="V3377" s="44"/>
      <c r="W3377" s="19"/>
      <c r="X3377" s="19"/>
      <c r="Y3377" s="19"/>
      <c r="Z3377" s="19"/>
      <c r="AA3377" s="19"/>
      <c r="AB3377" s="19"/>
      <c r="AC3377" s="19"/>
      <c r="AD3377" s="19"/>
      <c r="AE3377" s="19"/>
      <c r="AF3377" s="19"/>
      <c r="AG3377" s="19"/>
      <c r="AH3377" s="19"/>
      <c r="AI3377" s="19"/>
      <c r="AJ3377" s="19"/>
      <c r="AK3377" s="19"/>
      <c r="AL3377" s="6" t="str">
        <f t="array" ref="AL3377">IFERROR(IFS(XLOOKUP(B3377, 'Kit Delivery Status'!$U:$U, 'Kit Delivery Status'!$K:$K) = "Complete", "DELIVERED", XLOOKUP(B3377, 'Kit Delivery Status'!$U:$U, 'Kit Delivery Status'!$K:$K) = "Issue", "ISSUE"), "")</f>
        <v/>
      </c>
      <c r="AM3377" s="6"/>
    </row>
    <row r="3378">
      <c r="A3378" s="19"/>
      <c r="B3378" s="19"/>
      <c r="C3378" s="19"/>
      <c r="D3378" s="42"/>
      <c r="E3378" s="19"/>
      <c r="F3378" s="19"/>
      <c r="G3378" s="19"/>
      <c r="H3378" s="19"/>
      <c r="I3378" s="19"/>
      <c r="J3378" s="19"/>
      <c r="K3378" s="19"/>
      <c r="L3378" s="19"/>
      <c r="M3378" s="19"/>
      <c r="N3378" s="19"/>
      <c r="O3378" s="43"/>
      <c r="P3378" s="19"/>
      <c r="Q3378" s="19"/>
      <c r="R3378" s="19"/>
      <c r="S3378" s="19"/>
      <c r="T3378" s="19"/>
      <c r="U3378" s="19"/>
      <c r="V3378" s="44"/>
      <c r="W3378" s="19"/>
      <c r="X3378" s="19"/>
      <c r="Y3378" s="19"/>
      <c r="Z3378" s="19"/>
      <c r="AA3378" s="19"/>
      <c r="AB3378" s="19"/>
      <c r="AC3378" s="19"/>
      <c r="AD3378" s="19"/>
      <c r="AE3378" s="19"/>
      <c r="AF3378" s="19"/>
      <c r="AG3378" s="19"/>
      <c r="AH3378" s="19"/>
      <c r="AI3378" s="19"/>
      <c r="AJ3378" s="19"/>
      <c r="AK3378" s="19"/>
      <c r="AL3378" s="6" t="str">
        <f t="array" ref="AL3378">IFERROR(IFS(XLOOKUP(B3378, 'Kit Delivery Status'!$U:$U, 'Kit Delivery Status'!$K:$K) = "Complete", "DELIVERED", XLOOKUP(B3378, 'Kit Delivery Status'!$U:$U, 'Kit Delivery Status'!$K:$K) = "Issue", "ISSUE"), "")</f>
        <v/>
      </c>
      <c r="AM3378" s="6"/>
    </row>
    <row r="3379">
      <c r="A3379" s="19"/>
      <c r="B3379" s="19"/>
      <c r="C3379" s="19"/>
      <c r="D3379" s="42"/>
      <c r="E3379" s="19"/>
      <c r="F3379" s="19"/>
      <c r="G3379" s="19"/>
      <c r="H3379" s="19"/>
      <c r="I3379" s="19"/>
      <c r="J3379" s="19"/>
      <c r="K3379" s="19"/>
      <c r="L3379" s="19"/>
      <c r="M3379" s="19"/>
      <c r="N3379" s="19"/>
      <c r="O3379" s="43"/>
      <c r="P3379" s="19"/>
      <c r="Q3379" s="19"/>
      <c r="R3379" s="19"/>
      <c r="S3379" s="19"/>
      <c r="T3379" s="19"/>
      <c r="U3379" s="19"/>
      <c r="V3379" s="44"/>
      <c r="W3379" s="19"/>
      <c r="X3379" s="19"/>
      <c r="Y3379" s="19"/>
      <c r="Z3379" s="19"/>
      <c r="AA3379" s="19"/>
      <c r="AB3379" s="19"/>
      <c r="AC3379" s="19"/>
      <c r="AD3379" s="19"/>
      <c r="AE3379" s="19"/>
      <c r="AF3379" s="19"/>
      <c r="AG3379" s="19"/>
      <c r="AH3379" s="19"/>
      <c r="AI3379" s="19"/>
      <c r="AJ3379" s="19"/>
      <c r="AK3379" s="19"/>
      <c r="AL3379" s="6" t="str">
        <f t="array" ref="AL3379">IFERROR(IFS(XLOOKUP(B3379, 'Kit Delivery Status'!$U:$U, 'Kit Delivery Status'!$K:$K) = "Complete", "DELIVERED", XLOOKUP(B3379, 'Kit Delivery Status'!$U:$U, 'Kit Delivery Status'!$K:$K) = "Issue", "ISSUE"), "")</f>
        <v/>
      </c>
      <c r="AM3379" s="6"/>
    </row>
    <row r="3380">
      <c r="A3380" s="19"/>
      <c r="B3380" s="19"/>
      <c r="C3380" s="19"/>
      <c r="D3380" s="42"/>
      <c r="E3380" s="19"/>
      <c r="F3380" s="19"/>
      <c r="G3380" s="19"/>
      <c r="H3380" s="19"/>
      <c r="I3380" s="19"/>
      <c r="J3380" s="19"/>
      <c r="K3380" s="19"/>
      <c r="L3380" s="19"/>
      <c r="M3380" s="19"/>
      <c r="N3380" s="19"/>
      <c r="O3380" s="43"/>
      <c r="P3380" s="19"/>
      <c r="Q3380" s="19"/>
      <c r="R3380" s="19"/>
      <c r="S3380" s="19"/>
      <c r="T3380" s="19"/>
      <c r="U3380" s="19"/>
      <c r="V3380" s="44"/>
      <c r="W3380" s="19"/>
      <c r="X3380" s="19"/>
      <c r="Y3380" s="19"/>
      <c r="Z3380" s="19"/>
      <c r="AA3380" s="19"/>
      <c r="AB3380" s="19"/>
      <c r="AC3380" s="19"/>
      <c r="AD3380" s="19"/>
      <c r="AE3380" s="19"/>
      <c r="AF3380" s="19"/>
      <c r="AG3380" s="19"/>
      <c r="AH3380" s="19"/>
      <c r="AI3380" s="19"/>
      <c r="AJ3380" s="19"/>
      <c r="AK3380" s="19"/>
      <c r="AL3380" s="6" t="str">
        <f t="array" ref="AL3380">IFERROR(IFS(XLOOKUP(B3380, 'Kit Delivery Status'!$U:$U, 'Kit Delivery Status'!$K:$K) = "Complete", "DELIVERED", XLOOKUP(B3380, 'Kit Delivery Status'!$U:$U, 'Kit Delivery Status'!$K:$K) = "Issue", "ISSUE"), "")</f>
        <v/>
      </c>
      <c r="AM3380" s="6"/>
    </row>
    <row r="3381">
      <c r="A3381" s="19"/>
      <c r="B3381" s="19"/>
      <c r="C3381" s="19"/>
      <c r="D3381" s="42"/>
      <c r="E3381" s="19"/>
      <c r="F3381" s="19"/>
      <c r="G3381" s="19"/>
      <c r="H3381" s="19"/>
      <c r="I3381" s="19"/>
      <c r="J3381" s="19"/>
      <c r="K3381" s="19"/>
      <c r="L3381" s="19"/>
      <c r="M3381" s="19"/>
      <c r="N3381" s="19"/>
      <c r="O3381" s="43"/>
      <c r="P3381" s="19"/>
      <c r="Q3381" s="19"/>
      <c r="R3381" s="19"/>
      <c r="S3381" s="19"/>
      <c r="T3381" s="19"/>
      <c r="U3381" s="19"/>
      <c r="V3381" s="44"/>
      <c r="W3381" s="19"/>
      <c r="X3381" s="19"/>
      <c r="Y3381" s="19"/>
      <c r="Z3381" s="19"/>
      <c r="AA3381" s="19"/>
      <c r="AB3381" s="19"/>
      <c r="AC3381" s="19"/>
      <c r="AD3381" s="19"/>
      <c r="AE3381" s="19"/>
      <c r="AF3381" s="19"/>
      <c r="AG3381" s="19"/>
      <c r="AH3381" s="19"/>
      <c r="AI3381" s="19"/>
      <c r="AJ3381" s="19"/>
      <c r="AK3381" s="19"/>
      <c r="AL3381" s="6" t="str">
        <f t="array" ref="AL3381">IFERROR(IFS(XLOOKUP(B3381, 'Kit Delivery Status'!$U:$U, 'Kit Delivery Status'!$K:$K) = "Complete", "DELIVERED", XLOOKUP(B3381, 'Kit Delivery Status'!$U:$U, 'Kit Delivery Status'!$K:$K) = "Issue", "ISSUE"), "")</f>
        <v/>
      </c>
      <c r="AM3381" s="6"/>
    </row>
    <row r="3382">
      <c r="A3382" s="19"/>
      <c r="B3382" s="19"/>
      <c r="C3382" s="19"/>
      <c r="D3382" s="42"/>
      <c r="E3382" s="19"/>
      <c r="F3382" s="19"/>
      <c r="G3382" s="19"/>
      <c r="H3382" s="19"/>
      <c r="I3382" s="19"/>
      <c r="J3382" s="19"/>
      <c r="K3382" s="19"/>
      <c r="L3382" s="19"/>
      <c r="M3382" s="19"/>
      <c r="N3382" s="19"/>
      <c r="O3382" s="43"/>
      <c r="P3382" s="19"/>
      <c r="Q3382" s="19"/>
      <c r="R3382" s="19"/>
      <c r="S3382" s="19"/>
      <c r="T3382" s="19"/>
      <c r="U3382" s="19"/>
      <c r="V3382" s="44"/>
      <c r="W3382" s="19"/>
      <c r="X3382" s="19"/>
      <c r="Y3382" s="19"/>
      <c r="Z3382" s="19"/>
      <c r="AA3382" s="19"/>
      <c r="AB3382" s="19"/>
      <c r="AC3382" s="19"/>
      <c r="AD3382" s="19"/>
      <c r="AE3382" s="19"/>
      <c r="AF3382" s="19"/>
      <c r="AG3382" s="19"/>
      <c r="AH3382" s="19"/>
      <c r="AI3382" s="19"/>
      <c r="AJ3382" s="19"/>
      <c r="AK3382" s="19"/>
      <c r="AL3382" s="6" t="str">
        <f t="array" ref="AL3382">IFERROR(IFS(XLOOKUP(B3382, 'Kit Delivery Status'!$U:$U, 'Kit Delivery Status'!$K:$K) = "Complete", "DELIVERED", XLOOKUP(B3382, 'Kit Delivery Status'!$U:$U, 'Kit Delivery Status'!$K:$K) = "Issue", "ISSUE"), "")</f>
        <v/>
      </c>
      <c r="AM3382" s="6"/>
    </row>
    <row r="3383">
      <c r="A3383" s="19"/>
      <c r="B3383" s="19"/>
      <c r="C3383" s="19"/>
      <c r="D3383" s="42"/>
      <c r="E3383" s="19"/>
      <c r="F3383" s="19"/>
      <c r="G3383" s="19"/>
      <c r="H3383" s="19"/>
      <c r="I3383" s="19"/>
      <c r="J3383" s="19"/>
      <c r="K3383" s="19"/>
      <c r="L3383" s="19"/>
      <c r="M3383" s="19"/>
      <c r="N3383" s="19"/>
      <c r="O3383" s="43"/>
      <c r="P3383" s="19"/>
      <c r="Q3383" s="19"/>
      <c r="R3383" s="19"/>
      <c r="S3383" s="19"/>
      <c r="T3383" s="19"/>
      <c r="U3383" s="19"/>
      <c r="V3383" s="44"/>
      <c r="W3383" s="19"/>
      <c r="X3383" s="19"/>
      <c r="Y3383" s="19"/>
      <c r="Z3383" s="19"/>
      <c r="AA3383" s="19"/>
      <c r="AB3383" s="19"/>
      <c r="AC3383" s="19"/>
      <c r="AD3383" s="19"/>
      <c r="AE3383" s="19"/>
      <c r="AF3383" s="19"/>
      <c r="AG3383" s="19"/>
      <c r="AH3383" s="19"/>
      <c r="AI3383" s="19"/>
      <c r="AJ3383" s="19"/>
      <c r="AK3383" s="19"/>
      <c r="AL3383" s="6" t="str">
        <f t="array" ref="AL3383">IFERROR(IFS(XLOOKUP(B3383, 'Kit Delivery Status'!$U:$U, 'Kit Delivery Status'!$K:$K) = "Complete", "DELIVERED", XLOOKUP(B3383, 'Kit Delivery Status'!$U:$U, 'Kit Delivery Status'!$K:$K) = "Issue", "ISSUE"), "")</f>
        <v/>
      </c>
      <c r="AM3383" s="6"/>
    </row>
    <row r="3384">
      <c r="A3384" s="19"/>
      <c r="B3384" s="19"/>
      <c r="C3384" s="19"/>
      <c r="D3384" s="42"/>
      <c r="E3384" s="19"/>
      <c r="F3384" s="19"/>
      <c r="G3384" s="19"/>
      <c r="H3384" s="19"/>
      <c r="I3384" s="19"/>
      <c r="J3384" s="19"/>
      <c r="K3384" s="19"/>
      <c r="L3384" s="19"/>
      <c r="M3384" s="19"/>
      <c r="N3384" s="19"/>
      <c r="O3384" s="43"/>
      <c r="P3384" s="19"/>
      <c r="Q3384" s="19"/>
      <c r="R3384" s="19"/>
      <c r="S3384" s="19"/>
      <c r="T3384" s="19"/>
      <c r="U3384" s="19"/>
      <c r="V3384" s="44"/>
      <c r="W3384" s="19"/>
      <c r="X3384" s="19"/>
      <c r="Y3384" s="19"/>
      <c r="Z3384" s="19"/>
      <c r="AA3384" s="19"/>
      <c r="AB3384" s="19"/>
      <c r="AC3384" s="19"/>
      <c r="AD3384" s="19"/>
      <c r="AE3384" s="19"/>
      <c r="AF3384" s="19"/>
      <c r="AG3384" s="19"/>
      <c r="AH3384" s="19"/>
      <c r="AI3384" s="19"/>
      <c r="AJ3384" s="19"/>
      <c r="AK3384" s="19"/>
      <c r="AL3384" s="6" t="str">
        <f t="array" ref="AL3384">IFERROR(IFS(XLOOKUP(B3384, 'Kit Delivery Status'!$U:$U, 'Kit Delivery Status'!$K:$K) = "Complete", "DELIVERED", XLOOKUP(B3384, 'Kit Delivery Status'!$U:$U, 'Kit Delivery Status'!$K:$K) = "Issue", "ISSUE"), "")</f>
        <v/>
      </c>
      <c r="AM3384" s="6"/>
    </row>
    <row r="3385">
      <c r="A3385" s="19"/>
      <c r="B3385" s="19"/>
      <c r="C3385" s="19"/>
      <c r="D3385" s="42"/>
      <c r="E3385" s="19"/>
      <c r="F3385" s="19"/>
      <c r="G3385" s="19"/>
      <c r="H3385" s="19"/>
      <c r="I3385" s="19"/>
      <c r="J3385" s="19"/>
      <c r="K3385" s="19"/>
      <c r="L3385" s="19"/>
      <c r="M3385" s="19"/>
      <c r="N3385" s="19"/>
      <c r="O3385" s="43"/>
      <c r="P3385" s="19"/>
      <c r="Q3385" s="19"/>
      <c r="R3385" s="19"/>
      <c r="S3385" s="19"/>
      <c r="T3385" s="19"/>
      <c r="U3385" s="19"/>
      <c r="V3385" s="44"/>
      <c r="W3385" s="19"/>
      <c r="X3385" s="19"/>
      <c r="Y3385" s="19"/>
      <c r="Z3385" s="19"/>
      <c r="AA3385" s="19"/>
      <c r="AB3385" s="19"/>
      <c r="AC3385" s="19"/>
      <c r="AD3385" s="19"/>
      <c r="AE3385" s="19"/>
      <c r="AF3385" s="19"/>
      <c r="AG3385" s="19"/>
      <c r="AH3385" s="19"/>
      <c r="AI3385" s="19"/>
      <c r="AJ3385" s="19"/>
      <c r="AK3385" s="19"/>
      <c r="AL3385" s="6" t="str">
        <f t="array" ref="AL3385">IFERROR(IFS(XLOOKUP(B3385, 'Kit Delivery Status'!$U:$U, 'Kit Delivery Status'!$K:$K) = "Complete", "DELIVERED", XLOOKUP(B3385, 'Kit Delivery Status'!$U:$U, 'Kit Delivery Status'!$K:$K) = "Issue", "ISSUE"), "")</f>
        <v/>
      </c>
      <c r="AM3385" s="6"/>
    </row>
    <row r="3386">
      <c r="A3386" s="19"/>
      <c r="B3386" s="19"/>
      <c r="C3386" s="19"/>
      <c r="D3386" s="42"/>
      <c r="E3386" s="19"/>
      <c r="F3386" s="19"/>
      <c r="G3386" s="19"/>
      <c r="H3386" s="19"/>
      <c r="I3386" s="19"/>
      <c r="J3386" s="19"/>
      <c r="K3386" s="19"/>
      <c r="L3386" s="19"/>
      <c r="M3386" s="19"/>
      <c r="N3386" s="19"/>
      <c r="O3386" s="43"/>
      <c r="P3386" s="19"/>
      <c r="Q3386" s="19"/>
      <c r="R3386" s="19"/>
      <c r="S3386" s="19"/>
      <c r="T3386" s="19"/>
      <c r="U3386" s="19"/>
      <c r="V3386" s="44"/>
      <c r="W3386" s="19"/>
      <c r="X3386" s="19"/>
      <c r="Y3386" s="19"/>
      <c r="Z3386" s="19"/>
      <c r="AA3386" s="19"/>
      <c r="AB3386" s="19"/>
      <c r="AC3386" s="19"/>
      <c r="AD3386" s="19"/>
      <c r="AE3386" s="19"/>
      <c r="AF3386" s="19"/>
      <c r="AG3386" s="19"/>
      <c r="AH3386" s="19"/>
      <c r="AI3386" s="19"/>
      <c r="AJ3386" s="19"/>
      <c r="AK3386" s="19"/>
      <c r="AL3386" s="6" t="str">
        <f t="array" ref="AL3386">IFERROR(IFS(XLOOKUP(B3386, 'Kit Delivery Status'!$U:$U, 'Kit Delivery Status'!$K:$K) = "Complete", "DELIVERED", XLOOKUP(B3386, 'Kit Delivery Status'!$U:$U, 'Kit Delivery Status'!$K:$K) = "Issue", "ISSUE"), "")</f>
        <v/>
      </c>
      <c r="AM3386" s="6"/>
    </row>
    <row r="3387">
      <c r="A3387" s="19"/>
      <c r="B3387" s="19"/>
      <c r="C3387" s="19"/>
      <c r="D3387" s="42"/>
      <c r="E3387" s="19"/>
      <c r="F3387" s="19"/>
      <c r="G3387" s="19"/>
      <c r="H3387" s="19"/>
      <c r="I3387" s="19"/>
      <c r="J3387" s="19"/>
      <c r="K3387" s="19"/>
      <c r="L3387" s="19"/>
      <c r="M3387" s="19"/>
      <c r="N3387" s="19"/>
      <c r="O3387" s="43"/>
      <c r="P3387" s="19"/>
      <c r="Q3387" s="19"/>
      <c r="R3387" s="19"/>
      <c r="S3387" s="19"/>
      <c r="T3387" s="19"/>
      <c r="U3387" s="19"/>
      <c r="V3387" s="44"/>
      <c r="W3387" s="19"/>
      <c r="X3387" s="19"/>
      <c r="Y3387" s="19"/>
      <c r="Z3387" s="19"/>
      <c r="AA3387" s="19"/>
      <c r="AB3387" s="19"/>
      <c r="AC3387" s="19"/>
      <c r="AD3387" s="19"/>
      <c r="AE3387" s="19"/>
      <c r="AF3387" s="19"/>
      <c r="AG3387" s="19"/>
      <c r="AH3387" s="19"/>
      <c r="AI3387" s="19"/>
      <c r="AJ3387" s="19"/>
      <c r="AK3387" s="19"/>
      <c r="AL3387" s="6" t="str">
        <f t="array" ref="AL3387">IFERROR(IFS(XLOOKUP(B3387, 'Kit Delivery Status'!$U:$U, 'Kit Delivery Status'!$K:$K) = "Complete", "DELIVERED", XLOOKUP(B3387, 'Kit Delivery Status'!$U:$U, 'Kit Delivery Status'!$K:$K) = "Issue", "ISSUE"), "")</f>
        <v/>
      </c>
      <c r="AM3387" s="6"/>
    </row>
    <row r="3388">
      <c r="A3388" s="19"/>
      <c r="B3388" s="19"/>
      <c r="C3388" s="19"/>
      <c r="D3388" s="42"/>
      <c r="E3388" s="19"/>
      <c r="F3388" s="19"/>
      <c r="G3388" s="19"/>
      <c r="H3388" s="19"/>
      <c r="I3388" s="19"/>
      <c r="J3388" s="19"/>
      <c r="K3388" s="19"/>
      <c r="L3388" s="19"/>
      <c r="M3388" s="19"/>
      <c r="N3388" s="19"/>
      <c r="O3388" s="43"/>
      <c r="P3388" s="19"/>
      <c r="Q3388" s="19"/>
      <c r="R3388" s="19"/>
      <c r="S3388" s="19"/>
      <c r="T3388" s="19"/>
      <c r="U3388" s="19"/>
      <c r="V3388" s="44"/>
      <c r="W3388" s="19"/>
      <c r="X3388" s="19"/>
      <c r="Y3388" s="19"/>
      <c r="Z3388" s="19"/>
      <c r="AA3388" s="19"/>
      <c r="AB3388" s="19"/>
      <c r="AC3388" s="19"/>
      <c r="AD3388" s="19"/>
      <c r="AE3388" s="19"/>
      <c r="AF3388" s="19"/>
      <c r="AG3388" s="19"/>
      <c r="AH3388" s="19"/>
      <c r="AI3388" s="19"/>
      <c r="AJ3388" s="19"/>
      <c r="AK3388" s="19"/>
      <c r="AL3388" s="6" t="str">
        <f t="array" ref="AL3388">IFERROR(IFS(XLOOKUP(B3388, 'Kit Delivery Status'!$U:$U, 'Kit Delivery Status'!$K:$K) = "Complete", "DELIVERED", XLOOKUP(B3388, 'Kit Delivery Status'!$U:$U, 'Kit Delivery Status'!$K:$K) = "Issue", "ISSUE"), "")</f>
        <v/>
      </c>
      <c r="AM3388" s="6"/>
    </row>
    <row r="3389">
      <c r="A3389" s="19"/>
      <c r="B3389" s="19"/>
      <c r="C3389" s="19"/>
      <c r="D3389" s="42"/>
      <c r="E3389" s="19"/>
      <c r="F3389" s="19"/>
      <c r="G3389" s="19"/>
      <c r="H3389" s="19"/>
      <c r="I3389" s="19"/>
      <c r="J3389" s="19"/>
      <c r="K3389" s="19"/>
      <c r="L3389" s="19"/>
      <c r="M3389" s="19"/>
      <c r="N3389" s="19"/>
      <c r="O3389" s="43"/>
      <c r="P3389" s="19"/>
      <c r="Q3389" s="19"/>
      <c r="R3389" s="19"/>
      <c r="S3389" s="19"/>
      <c r="T3389" s="19"/>
      <c r="U3389" s="19"/>
      <c r="V3389" s="44"/>
      <c r="W3389" s="19"/>
      <c r="X3389" s="19"/>
      <c r="Y3389" s="19"/>
      <c r="Z3389" s="19"/>
      <c r="AA3389" s="19"/>
      <c r="AB3389" s="19"/>
      <c r="AC3389" s="19"/>
      <c r="AD3389" s="19"/>
      <c r="AE3389" s="19"/>
      <c r="AF3389" s="19"/>
      <c r="AG3389" s="19"/>
      <c r="AH3389" s="19"/>
      <c r="AI3389" s="19"/>
      <c r="AJ3389" s="19"/>
      <c r="AK3389" s="19"/>
      <c r="AL3389" s="6" t="str">
        <f t="array" ref="AL3389">IFERROR(IFS(XLOOKUP(B3389, 'Kit Delivery Status'!$U:$U, 'Kit Delivery Status'!$K:$K) = "Complete", "DELIVERED", XLOOKUP(B3389, 'Kit Delivery Status'!$U:$U, 'Kit Delivery Status'!$K:$K) = "Issue", "ISSUE"), "")</f>
        <v/>
      </c>
      <c r="AM3389" s="6"/>
    </row>
    <row r="3390">
      <c r="A3390" s="19"/>
      <c r="B3390" s="19"/>
      <c r="C3390" s="19"/>
      <c r="D3390" s="42"/>
      <c r="E3390" s="19"/>
      <c r="F3390" s="19"/>
      <c r="G3390" s="19"/>
      <c r="H3390" s="19"/>
      <c r="I3390" s="19"/>
      <c r="J3390" s="19"/>
      <c r="K3390" s="19"/>
      <c r="L3390" s="19"/>
      <c r="M3390" s="19"/>
      <c r="N3390" s="19"/>
      <c r="O3390" s="43"/>
      <c r="P3390" s="19"/>
      <c r="Q3390" s="19"/>
      <c r="R3390" s="19"/>
      <c r="S3390" s="19"/>
      <c r="T3390" s="19"/>
      <c r="U3390" s="19"/>
      <c r="V3390" s="44"/>
      <c r="W3390" s="19"/>
      <c r="X3390" s="19"/>
      <c r="Y3390" s="19"/>
      <c r="Z3390" s="19"/>
      <c r="AA3390" s="19"/>
      <c r="AB3390" s="19"/>
      <c r="AC3390" s="19"/>
      <c r="AD3390" s="19"/>
      <c r="AE3390" s="19"/>
      <c r="AF3390" s="19"/>
      <c r="AG3390" s="19"/>
      <c r="AH3390" s="19"/>
      <c r="AI3390" s="19"/>
      <c r="AJ3390" s="19"/>
      <c r="AK3390" s="19"/>
      <c r="AL3390" s="6" t="str">
        <f t="array" ref="AL3390">IFERROR(IFS(XLOOKUP(B3390, 'Kit Delivery Status'!$U:$U, 'Kit Delivery Status'!$K:$K) = "Complete", "DELIVERED", XLOOKUP(B3390, 'Kit Delivery Status'!$U:$U, 'Kit Delivery Status'!$K:$K) = "Issue", "ISSUE"), "")</f>
        <v/>
      </c>
      <c r="AM3390" s="6"/>
    </row>
    <row r="3391">
      <c r="A3391" s="19"/>
      <c r="B3391" s="19"/>
      <c r="C3391" s="19"/>
      <c r="D3391" s="42"/>
      <c r="E3391" s="19"/>
      <c r="F3391" s="19"/>
      <c r="G3391" s="19"/>
      <c r="H3391" s="19"/>
      <c r="I3391" s="19"/>
      <c r="J3391" s="19"/>
      <c r="K3391" s="19"/>
      <c r="L3391" s="19"/>
      <c r="M3391" s="19"/>
      <c r="N3391" s="19"/>
      <c r="O3391" s="43"/>
      <c r="P3391" s="19"/>
      <c r="Q3391" s="19"/>
      <c r="R3391" s="19"/>
      <c r="S3391" s="19"/>
      <c r="T3391" s="19"/>
      <c r="U3391" s="19"/>
      <c r="V3391" s="44"/>
      <c r="W3391" s="19"/>
      <c r="X3391" s="19"/>
      <c r="Y3391" s="19"/>
      <c r="Z3391" s="19"/>
      <c r="AA3391" s="19"/>
      <c r="AB3391" s="19"/>
      <c r="AC3391" s="19"/>
      <c r="AD3391" s="19"/>
      <c r="AE3391" s="19"/>
      <c r="AF3391" s="19"/>
      <c r="AG3391" s="19"/>
      <c r="AH3391" s="19"/>
      <c r="AI3391" s="19"/>
      <c r="AJ3391" s="19"/>
      <c r="AK3391" s="19"/>
      <c r="AL3391" s="6" t="str">
        <f t="array" ref="AL3391">IFERROR(IFS(XLOOKUP(B3391, 'Kit Delivery Status'!$U:$U, 'Kit Delivery Status'!$K:$K) = "Complete", "DELIVERED", XLOOKUP(B3391, 'Kit Delivery Status'!$U:$U, 'Kit Delivery Status'!$K:$K) = "Issue", "ISSUE"), "")</f>
        <v/>
      </c>
      <c r="AM3391" s="6"/>
    </row>
    <row r="3392">
      <c r="A3392" s="19"/>
      <c r="B3392" s="19"/>
      <c r="C3392" s="19"/>
      <c r="D3392" s="42"/>
      <c r="E3392" s="19"/>
      <c r="F3392" s="19"/>
      <c r="G3392" s="19"/>
      <c r="H3392" s="19"/>
      <c r="I3392" s="19"/>
      <c r="J3392" s="19"/>
      <c r="K3392" s="19"/>
      <c r="L3392" s="19"/>
      <c r="M3392" s="19"/>
      <c r="N3392" s="19"/>
      <c r="O3392" s="43"/>
      <c r="P3392" s="19"/>
      <c r="Q3392" s="19"/>
      <c r="R3392" s="19"/>
      <c r="S3392" s="19"/>
      <c r="T3392" s="19"/>
      <c r="U3392" s="19"/>
      <c r="V3392" s="44"/>
      <c r="W3392" s="19"/>
      <c r="X3392" s="19"/>
      <c r="Y3392" s="19"/>
      <c r="Z3392" s="19"/>
      <c r="AA3392" s="19"/>
      <c r="AB3392" s="19"/>
      <c r="AC3392" s="19"/>
      <c r="AD3392" s="19"/>
      <c r="AE3392" s="19"/>
      <c r="AF3392" s="19"/>
      <c r="AG3392" s="19"/>
      <c r="AH3392" s="19"/>
      <c r="AI3392" s="19"/>
      <c r="AJ3392" s="19"/>
      <c r="AK3392" s="19"/>
      <c r="AL3392" s="6" t="str">
        <f t="array" ref="AL3392">IFERROR(IFS(XLOOKUP(B3392, 'Kit Delivery Status'!$U:$U, 'Kit Delivery Status'!$K:$K) = "Complete", "DELIVERED", XLOOKUP(B3392, 'Kit Delivery Status'!$U:$U, 'Kit Delivery Status'!$K:$K) = "Issue", "ISSUE"), "")</f>
        <v/>
      </c>
      <c r="AM3392" s="6"/>
    </row>
    <row r="3393">
      <c r="A3393" s="19"/>
      <c r="B3393" s="19"/>
      <c r="C3393" s="19"/>
      <c r="D3393" s="42"/>
      <c r="E3393" s="19"/>
      <c r="F3393" s="19"/>
      <c r="G3393" s="19"/>
      <c r="H3393" s="19"/>
      <c r="I3393" s="19"/>
      <c r="J3393" s="19"/>
      <c r="K3393" s="19"/>
      <c r="L3393" s="19"/>
      <c r="M3393" s="19"/>
      <c r="N3393" s="19"/>
      <c r="O3393" s="43"/>
      <c r="P3393" s="19"/>
      <c r="Q3393" s="19"/>
      <c r="R3393" s="19"/>
      <c r="S3393" s="19"/>
      <c r="T3393" s="19"/>
      <c r="U3393" s="19"/>
      <c r="V3393" s="44"/>
      <c r="W3393" s="19"/>
      <c r="X3393" s="19"/>
      <c r="Y3393" s="19"/>
      <c r="Z3393" s="19"/>
      <c r="AA3393" s="19"/>
      <c r="AB3393" s="19"/>
      <c r="AC3393" s="19"/>
      <c r="AD3393" s="19"/>
      <c r="AE3393" s="19"/>
      <c r="AF3393" s="19"/>
      <c r="AG3393" s="19"/>
      <c r="AH3393" s="19"/>
      <c r="AI3393" s="19"/>
      <c r="AJ3393" s="19"/>
      <c r="AK3393" s="19"/>
      <c r="AL3393" s="6" t="str">
        <f t="array" ref="AL3393">IFERROR(IFS(XLOOKUP(B3393, 'Kit Delivery Status'!$U:$U, 'Kit Delivery Status'!$K:$K) = "Complete", "DELIVERED", XLOOKUP(B3393, 'Kit Delivery Status'!$U:$U, 'Kit Delivery Status'!$K:$K) = "Issue", "ISSUE"), "")</f>
        <v/>
      </c>
      <c r="AM3393" s="6"/>
    </row>
    <row r="3394">
      <c r="A3394" s="19"/>
      <c r="B3394" s="19"/>
      <c r="C3394" s="19"/>
      <c r="D3394" s="42"/>
      <c r="E3394" s="19"/>
      <c r="F3394" s="19"/>
      <c r="G3394" s="19"/>
      <c r="H3394" s="19"/>
      <c r="I3394" s="19"/>
      <c r="J3394" s="19"/>
      <c r="K3394" s="19"/>
      <c r="L3394" s="19"/>
      <c r="M3394" s="19"/>
      <c r="N3394" s="19"/>
      <c r="O3394" s="43"/>
      <c r="P3394" s="19"/>
      <c r="Q3394" s="19"/>
      <c r="R3394" s="19"/>
      <c r="S3394" s="19"/>
      <c r="T3394" s="19"/>
      <c r="U3394" s="19"/>
      <c r="V3394" s="44"/>
      <c r="W3394" s="19"/>
      <c r="X3394" s="19"/>
      <c r="Y3394" s="19"/>
      <c r="Z3394" s="19"/>
      <c r="AA3394" s="19"/>
      <c r="AB3394" s="19"/>
      <c r="AC3394" s="19"/>
      <c r="AD3394" s="19"/>
      <c r="AE3394" s="19"/>
      <c r="AF3394" s="19"/>
      <c r="AG3394" s="19"/>
      <c r="AH3394" s="19"/>
      <c r="AI3394" s="19"/>
      <c r="AJ3394" s="19"/>
      <c r="AK3394" s="19"/>
      <c r="AL3394" s="6" t="str">
        <f t="array" ref="AL3394">IFERROR(IFS(XLOOKUP(B3394, 'Kit Delivery Status'!$U:$U, 'Kit Delivery Status'!$K:$K) = "Complete", "DELIVERED", XLOOKUP(B3394, 'Kit Delivery Status'!$U:$U, 'Kit Delivery Status'!$K:$K) = "Issue", "ISSUE"), "")</f>
        <v/>
      </c>
      <c r="AM3394" s="6"/>
    </row>
    <row r="3395">
      <c r="A3395" s="19"/>
      <c r="B3395" s="19"/>
      <c r="C3395" s="19"/>
      <c r="D3395" s="42"/>
      <c r="E3395" s="19"/>
      <c r="F3395" s="19"/>
      <c r="G3395" s="19"/>
      <c r="H3395" s="19"/>
      <c r="I3395" s="19"/>
      <c r="J3395" s="19"/>
      <c r="K3395" s="19"/>
      <c r="L3395" s="19"/>
      <c r="M3395" s="19"/>
      <c r="N3395" s="19"/>
      <c r="O3395" s="43"/>
      <c r="P3395" s="19"/>
      <c r="Q3395" s="19"/>
      <c r="R3395" s="19"/>
      <c r="S3395" s="19"/>
      <c r="T3395" s="19"/>
      <c r="U3395" s="19"/>
      <c r="V3395" s="44"/>
      <c r="W3395" s="19"/>
      <c r="X3395" s="19"/>
      <c r="Y3395" s="19"/>
      <c r="Z3395" s="19"/>
      <c r="AA3395" s="19"/>
      <c r="AB3395" s="19"/>
      <c r="AC3395" s="19"/>
      <c r="AD3395" s="19"/>
      <c r="AE3395" s="19"/>
      <c r="AF3395" s="19"/>
      <c r="AG3395" s="19"/>
      <c r="AH3395" s="19"/>
      <c r="AI3395" s="19"/>
      <c r="AJ3395" s="19"/>
      <c r="AK3395" s="19"/>
      <c r="AL3395" s="6" t="str">
        <f t="array" ref="AL3395">IFERROR(IFS(XLOOKUP(B3395, 'Kit Delivery Status'!$U:$U, 'Kit Delivery Status'!$K:$K) = "Complete", "DELIVERED", XLOOKUP(B3395, 'Kit Delivery Status'!$U:$U, 'Kit Delivery Status'!$K:$K) = "Issue", "ISSUE"), "")</f>
        <v/>
      </c>
      <c r="AM3395" s="6"/>
    </row>
    <row r="3396">
      <c r="A3396" s="19"/>
      <c r="B3396" s="19"/>
      <c r="C3396" s="19"/>
      <c r="D3396" s="42"/>
      <c r="E3396" s="19"/>
      <c r="F3396" s="19"/>
      <c r="G3396" s="19"/>
      <c r="H3396" s="19"/>
      <c r="I3396" s="19"/>
      <c r="J3396" s="19"/>
      <c r="K3396" s="19"/>
      <c r="L3396" s="19"/>
      <c r="M3396" s="19"/>
      <c r="N3396" s="19"/>
      <c r="O3396" s="43"/>
      <c r="P3396" s="19"/>
      <c r="Q3396" s="19"/>
      <c r="R3396" s="19"/>
      <c r="S3396" s="19"/>
      <c r="T3396" s="19"/>
      <c r="U3396" s="19"/>
      <c r="V3396" s="44"/>
      <c r="W3396" s="19"/>
      <c r="X3396" s="19"/>
      <c r="Y3396" s="19"/>
      <c r="Z3396" s="19"/>
      <c r="AA3396" s="19"/>
      <c r="AB3396" s="19"/>
      <c r="AC3396" s="19"/>
      <c r="AD3396" s="19"/>
      <c r="AE3396" s="19"/>
      <c r="AF3396" s="19"/>
      <c r="AG3396" s="19"/>
      <c r="AH3396" s="19"/>
      <c r="AI3396" s="19"/>
      <c r="AJ3396" s="19"/>
      <c r="AK3396" s="19"/>
      <c r="AL3396" s="6" t="str">
        <f t="array" ref="AL3396">IFERROR(IFS(XLOOKUP(B3396, 'Kit Delivery Status'!$U:$U, 'Kit Delivery Status'!$K:$K) = "Complete", "DELIVERED", XLOOKUP(B3396, 'Kit Delivery Status'!$U:$U, 'Kit Delivery Status'!$K:$K) = "Issue", "ISSUE"), "")</f>
        <v/>
      </c>
      <c r="AM3396" s="6"/>
    </row>
    <row r="3397">
      <c r="A3397" s="19"/>
      <c r="B3397" s="19"/>
      <c r="C3397" s="19"/>
      <c r="D3397" s="42"/>
      <c r="E3397" s="19"/>
      <c r="F3397" s="19"/>
      <c r="G3397" s="19"/>
      <c r="H3397" s="19"/>
      <c r="I3397" s="19"/>
      <c r="J3397" s="19"/>
      <c r="K3397" s="19"/>
      <c r="L3397" s="19"/>
      <c r="M3397" s="19"/>
      <c r="N3397" s="19"/>
      <c r="O3397" s="43"/>
      <c r="P3397" s="19"/>
      <c r="Q3397" s="19"/>
      <c r="R3397" s="19"/>
      <c r="S3397" s="19"/>
      <c r="T3397" s="19"/>
      <c r="U3397" s="19"/>
      <c r="V3397" s="44"/>
      <c r="W3397" s="19"/>
      <c r="X3397" s="19"/>
      <c r="Y3397" s="19"/>
      <c r="Z3397" s="19"/>
      <c r="AA3397" s="19"/>
      <c r="AB3397" s="19"/>
      <c r="AC3397" s="19"/>
      <c r="AD3397" s="19"/>
      <c r="AE3397" s="19"/>
      <c r="AF3397" s="19"/>
      <c r="AG3397" s="19"/>
      <c r="AH3397" s="19"/>
      <c r="AI3397" s="19"/>
      <c r="AJ3397" s="19"/>
      <c r="AK3397" s="19"/>
      <c r="AL3397" s="6" t="str">
        <f t="array" ref="AL3397">IFERROR(IFS(XLOOKUP(B3397, 'Kit Delivery Status'!$U:$U, 'Kit Delivery Status'!$K:$K) = "Complete", "DELIVERED", XLOOKUP(B3397, 'Kit Delivery Status'!$U:$U, 'Kit Delivery Status'!$K:$K) = "Issue", "ISSUE"), "")</f>
        <v/>
      </c>
      <c r="AM3397" s="6"/>
    </row>
    <row r="3398">
      <c r="A3398" s="19"/>
      <c r="B3398" s="19"/>
      <c r="C3398" s="19"/>
      <c r="D3398" s="42"/>
      <c r="E3398" s="19"/>
      <c r="F3398" s="19"/>
      <c r="G3398" s="19"/>
      <c r="H3398" s="19"/>
      <c r="I3398" s="19"/>
      <c r="J3398" s="19"/>
      <c r="K3398" s="19"/>
      <c r="L3398" s="19"/>
      <c r="M3398" s="19"/>
      <c r="N3398" s="19"/>
      <c r="O3398" s="43"/>
      <c r="P3398" s="19"/>
      <c r="Q3398" s="19"/>
      <c r="R3398" s="19"/>
      <c r="S3398" s="19"/>
      <c r="T3398" s="19"/>
      <c r="U3398" s="19"/>
      <c r="V3398" s="44"/>
      <c r="W3398" s="19"/>
      <c r="X3398" s="19"/>
      <c r="Y3398" s="19"/>
      <c r="Z3398" s="19"/>
      <c r="AA3398" s="19"/>
      <c r="AB3398" s="19"/>
      <c r="AC3398" s="19"/>
      <c r="AD3398" s="19"/>
      <c r="AE3398" s="19"/>
      <c r="AF3398" s="19"/>
      <c r="AG3398" s="19"/>
      <c r="AH3398" s="19"/>
      <c r="AI3398" s="19"/>
      <c r="AJ3398" s="19"/>
      <c r="AK3398" s="19"/>
      <c r="AL3398" s="6" t="str">
        <f t="array" ref="AL3398">IFERROR(IFS(XLOOKUP(B3398, 'Kit Delivery Status'!$U:$U, 'Kit Delivery Status'!$K:$K) = "Complete", "DELIVERED", XLOOKUP(B3398, 'Kit Delivery Status'!$U:$U, 'Kit Delivery Status'!$K:$K) = "Issue", "ISSUE"), "")</f>
        <v/>
      </c>
      <c r="AM3398" s="6"/>
    </row>
    <row r="3399">
      <c r="A3399" s="19"/>
      <c r="B3399" s="19"/>
      <c r="C3399" s="19"/>
      <c r="D3399" s="42"/>
      <c r="E3399" s="19"/>
      <c r="F3399" s="19"/>
      <c r="G3399" s="19"/>
      <c r="H3399" s="19"/>
      <c r="I3399" s="19"/>
      <c r="J3399" s="19"/>
      <c r="K3399" s="19"/>
      <c r="L3399" s="19"/>
      <c r="M3399" s="19"/>
      <c r="N3399" s="19"/>
      <c r="O3399" s="43"/>
      <c r="P3399" s="19"/>
      <c r="Q3399" s="19"/>
      <c r="R3399" s="19"/>
      <c r="S3399" s="19"/>
      <c r="T3399" s="19"/>
      <c r="U3399" s="19"/>
      <c r="V3399" s="44"/>
      <c r="W3399" s="19"/>
      <c r="X3399" s="19"/>
      <c r="Y3399" s="19"/>
      <c r="Z3399" s="19"/>
      <c r="AA3399" s="19"/>
      <c r="AB3399" s="19"/>
      <c r="AC3399" s="19"/>
      <c r="AD3399" s="19"/>
      <c r="AE3399" s="19"/>
      <c r="AF3399" s="19"/>
      <c r="AG3399" s="19"/>
      <c r="AH3399" s="19"/>
      <c r="AI3399" s="19"/>
      <c r="AJ3399" s="19"/>
      <c r="AK3399" s="19"/>
      <c r="AL3399" s="6" t="str">
        <f t="array" ref="AL3399">IFERROR(IFS(XLOOKUP(B3399, 'Kit Delivery Status'!$U:$U, 'Kit Delivery Status'!$K:$K) = "Complete", "DELIVERED", XLOOKUP(B3399, 'Kit Delivery Status'!$U:$U, 'Kit Delivery Status'!$K:$K) = "Issue", "ISSUE"), "")</f>
        <v/>
      </c>
      <c r="AM3399" s="6"/>
    </row>
    <row r="3400">
      <c r="A3400" s="19"/>
      <c r="B3400" s="19"/>
      <c r="C3400" s="19"/>
      <c r="D3400" s="42"/>
      <c r="E3400" s="19"/>
      <c r="F3400" s="19"/>
      <c r="G3400" s="19"/>
      <c r="H3400" s="19"/>
      <c r="I3400" s="19"/>
      <c r="J3400" s="19"/>
      <c r="K3400" s="19"/>
      <c r="L3400" s="19"/>
      <c r="M3400" s="19"/>
      <c r="N3400" s="19"/>
      <c r="O3400" s="43"/>
      <c r="P3400" s="19"/>
      <c r="Q3400" s="19"/>
      <c r="R3400" s="19"/>
      <c r="S3400" s="19"/>
      <c r="T3400" s="19"/>
      <c r="U3400" s="19"/>
      <c r="V3400" s="44"/>
      <c r="W3400" s="19"/>
      <c r="X3400" s="19"/>
      <c r="Y3400" s="19"/>
      <c r="Z3400" s="19"/>
      <c r="AA3400" s="19"/>
      <c r="AB3400" s="19"/>
      <c r="AC3400" s="19"/>
      <c r="AD3400" s="19"/>
      <c r="AE3400" s="19"/>
      <c r="AF3400" s="19"/>
      <c r="AG3400" s="19"/>
      <c r="AH3400" s="19"/>
      <c r="AI3400" s="19"/>
      <c r="AJ3400" s="19"/>
      <c r="AK3400" s="19"/>
      <c r="AL3400" s="6" t="str">
        <f t="array" ref="AL3400">IFERROR(IFS(XLOOKUP(B3400, 'Kit Delivery Status'!$U:$U, 'Kit Delivery Status'!$K:$K) = "Complete", "DELIVERED", XLOOKUP(B3400, 'Kit Delivery Status'!$U:$U, 'Kit Delivery Status'!$K:$K) = "Issue", "ISSUE"), "")</f>
        <v/>
      </c>
      <c r="AM3400" s="6"/>
    </row>
    <row r="3401">
      <c r="A3401" s="19"/>
      <c r="B3401" s="19"/>
      <c r="C3401" s="19"/>
      <c r="D3401" s="42"/>
      <c r="E3401" s="19"/>
      <c r="F3401" s="19"/>
      <c r="G3401" s="19"/>
      <c r="H3401" s="19"/>
      <c r="I3401" s="19"/>
      <c r="J3401" s="19"/>
      <c r="K3401" s="19"/>
      <c r="L3401" s="19"/>
      <c r="M3401" s="19"/>
      <c r="N3401" s="19"/>
      <c r="O3401" s="43"/>
      <c r="P3401" s="19"/>
      <c r="Q3401" s="19"/>
      <c r="R3401" s="19"/>
      <c r="S3401" s="19"/>
      <c r="T3401" s="19"/>
      <c r="U3401" s="19"/>
      <c r="V3401" s="44"/>
      <c r="W3401" s="19"/>
      <c r="X3401" s="19"/>
      <c r="Y3401" s="19"/>
      <c r="Z3401" s="19"/>
      <c r="AA3401" s="19"/>
      <c r="AB3401" s="19"/>
      <c r="AC3401" s="19"/>
      <c r="AD3401" s="19"/>
      <c r="AE3401" s="19"/>
      <c r="AF3401" s="19"/>
      <c r="AG3401" s="19"/>
      <c r="AH3401" s="19"/>
      <c r="AI3401" s="19"/>
      <c r="AJ3401" s="19"/>
      <c r="AK3401" s="19"/>
      <c r="AL3401" s="6" t="str">
        <f t="array" ref="AL3401">IFERROR(IFS(XLOOKUP(B3401, 'Kit Delivery Status'!$U:$U, 'Kit Delivery Status'!$K:$K) = "Complete", "DELIVERED", XLOOKUP(B3401, 'Kit Delivery Status'!$U:$U, 'Kit Delivery Status'!$K:$K) = "Issue", "ISSUE"), "")</f>
        <v/>
      </c>
      <c r="AM3401" s="6"/>
    </row>
    <row r="3402">
      <c r="A3402" s="19"/>
      <c r="B3402" s="19"/>
      <c r="C3402" s="19"/>
      <c r="D3402" s="42"/>
      <c r="E3402" s="19"/>
      <c r="F3402" s="19"/>
      <c r="G3402" s="19"/>
      <c r="H3402" s="19"/>
      <c r="I3402" s="19"/>
      <c r="J3402" s="19"/>
      <c r="K3402" s="19"/>
      <c r="L3402" s="19"/>
      <c r="M3402" s="19"/>
      <c r="N3402" s="19"/>
      <c r="O3402" s="43"/>
      <c r="P3402" s="19"/>
      <c r="Q3402" s="19"/>
      <c r="R3402" s="19"/>
      <c r="S3402" s="19"/>
      <c r="T3402" s="19"/>
      <c r="U3402" s="19"/>
      <c r="V3402" s="44"/>
      <c r="W3402" s="19"/>
      <c r="X3402" s="19"/>
      <c r="Y3402" s="19"/>
      <c r="Z3402" s="19"/>
      <c r="AA3402" s="19"/>
      <c r="AB3402" s="19"/>
      <c r="AC3402" s="19"/>
      <c r="AD3402" s="19"/>
      <c r="AE3402" s="19"/>
      <c r="AF3402" s="19"/>
      <c r="AG3402" s="19"/>
      <c r="AH3402" s="19"/>
      <c r="AI3402" s="19"/>
      <c r="AJ3402" s="19"/>
      <c r="AK3402" s="19"/>
      <c r="AL3402" s="6" t="str">
        <f t="array" ref="AL3402">IFERROR(IFS(XLOOKUP(B3402, 'Kit Delivery Status'!$U:$U, 'Kit Delivery Status'!$K:$K) = "Complete", "DELIVERED", XLOOKUP(B3402, 'Kit Delivery Status'!$U:$U, 'Kit Delivery Status'!$K:$K) = "Issue", "ISSUE"), "")</f>
        <v/>
      </c>
      <c r="AM3402" s="6"/>
    </row>
    <row r="3403">
      <c r="A3403" s="19"/>
      <c r="B3403" s="19"/>
      <c r="C3403" s="19"/>
      <c r="D3403" s="42"/>
      <c r="E3403" s="19"/>
      <c r="F3403" s="19"/>
      <c r="G3403" s="19"/>
      <c r="H3403" s="19"/>
      <c r="I3403" s="19"/>
      <c r="J3403" s="19"/>
      <c r="K3403" s="19"/>
      <c r="L3403" s="19"/>
      <c r="M3403" s="19"/>
      <c r="N3403" s="19"/>
      <c r="O3403" s="43"/>
      <c r="P3403" s="19"/>
      <c r="Q3403" s="19"/>
      <c r="R3403" s="19"/>
      <c r="S3403" s="19"/>
      <c r="T3403" s="19"/>
      <c r="U3403" s="19"/>
      <c r="V3403" s="44"/>
      <c r="W3403" s="19"/>
      <c r="X3403" s="19"/>
      <c r="Y3403" s="19"/>
      <c r="Z3403" s="19"/>
      <c r="AA3403" s="19"/>
      <c r="AB3403" s="19"/>
      <c r="AC3403" s="19"/>
      <c r="AD3403" s="19"/>
      <c r="AE3403" s="19"/>
      <c r="AF3403" s="19"/>
      <c r="AG3403" s="19"/>
      <c r="AH3403" s="19"/>
      <c r="AI3403" s="19"/>
      <c r="AJ3403" s="19"/>
      <c r="AK3403" s="19"/>
      <c r="AL3403" s="6" t="str">
        <f t="array" ref="AL3403">IFERROR(IFS(XLOOKUP(B3403, 'Kit Delivery Status'!$U:$U, 'Kit Delivery Status'!$K:$K) = "Complete", "DELIVERED", XLOOKUP(B3403, 'Kit Delivery Status'!$U:$U, 'Kit Delivery Status'!$K:$K) = "Issue", "ISSUE"), "")</f>
        <v/>
      </c>
      <c r="AM3403" s="6"/>
    </row>
    <row r="3404">
      <c r="A3404" s="19"/>
      <c r="B3404" s="19"/>
      <c r="C3404" s="19"/>
      <c r="D3404" s="42"/>
      <c r="E3404" s="19"/>
      <c r="F3404" s="19"/>
      <c r="G3404" s="19"/>
      <c r="H3404" s="19"/>
      <c r="I3404" s="19"/>
      <c r="J3404" s="19"/>
      <c r="K3404" s="19"/>
      <c r="L3404" s="19"/>
      <c r="M3404" s="19"/>
      <c r="N3404" s="19"/>
      <c r="O3404" s="43"/>
      <c r="P3404" s="19"/>
      <c r="Q3404" s="19"/>
      <c r="R3404" s="19"/>
      <c r="S3404" s="19"/>
      <c r="T3404" s="19"/>
      <c r="U3404" s="19"/>
      <c r="V3404" s="44"/>
      <c r="W3404" s="19"/>
      <c r="X3404" s="19"/>
      <c r="Y3404" s="19"/>
      <c r="Z3404" s="19"/>
      <c r="AA3404" s="19"/>
      <c r="AB3404" s="19"/>
      <c r="AC3404" s="19"/>
      <c r="AD3404" s="19"/>
      <c r="AE3404" s="19"/>
      <c r="AF3404" s="19"/>
      <c r="AG3404" s="19"/>
      <c r="AH3404" s="19"/>
      <c r="AI3404" s="19"/>
      <c r="AJ3404" s="19"/>
      <c r="AK3404" s="19"/>
      <c r="AL3404" s="6" t="str">
        <f t="array" ref="AL3404">IFERROR(IFS(XLOOKUP(B3404, 'Kit Delivery Status'!$U:$U, 'Kit Delivery Status'!$K:$K) = "Complete", "DELIVERED", XLOOKUP(B3404, 'Kit Delivery Status'!$U:$U, 'Kit Delivery Status'!$K:$K) = "Issue", "ISSUE"), "")</f>
        <v/>
      </c>
      <c r="AM3404" s="6"/>
    </row>
    <row r="3405">
      <c r="A3405" s="19"/>
      <c r="B3405" s="19"/>
      <c r="C3405" s="19"/>
      <c r="D3405" s="42"/>
      <c r="E3405" s="19"/>
      <c r="F3405" s="19"/>
      <c r="G3405" s="19"/>
      <c r="H3405" s="19"/>
      <c r="I3405" s="19"/>
      <c r="J3405" s="19"/>
      <c r="K3405" s="19"/>
      <c r="L3405" s="19"/>
      <c r="M3405" s="19"/>
      <c r="N3405" s="19"/>
      <c r="O3405" s="43"/>
      <c r="P3405" s="19"/>
      <c r="Q3405" s="19"/>
      <c r="R3405" s="19"/>
      <c r="S3405" s="19"/>
      <c r="T3405" s="19"/>
      <c r="U3405" s="19"/>
      <c r="V3405" s="44"/>
      <c r="W3405" s="19"/>
      <c r="X3405" s="19"/>
      <c r="Y3405" s="19"/>
      <c r="Z3405" s="19"/>
      <c r="AA3405" s="19"/>
      <c r="AB3405" s="19"/>
      <c r="AC3405" s="19"/>
      <c r="AD3405" s="19"/>
      <c r="AE3405" s="19"/>
      <c r="AF3405" s="19"/>
      <c r="AG3405" s="19"/>
      <c r="AH3405" s="19"/>
      <c r="AI3405" s="19"/>
      <c r="AJ3405" s="19"/>
      <c r="AK3405" s="19"/>
      <c r="AL3405" s="6" t="str">
        <f t="array" ref="AL3405">IFERROR(IFS(XLOOKUP(B3405, 'Kit Delivery Status'!$U:$U, 'Kit Delivery Status'!$K:$K) = "Complete", "DELIVERED", XLOOKUP(B3405, 'Kit Delivery Status'!$U:$U, 'Kit Delivery Status'!$K:$K) = "Issue", "ISSUE"), "")</f>
        <v/>
      </c>
      <c r="AM3405" s="6"/>
    </row>
    <row r="3406">
      <c r="A3406" s="19"/>
      <c r="B3406" s="19"/>
      <c r="C3406" s="19"/>
      <c r="D3406" s="42"/>
      <c r="E3406" s="19"/>
      <c r="F3406" s="19"/>
      <c r="G3406" s="19"/>
      <c r="H3406" s="19"/>
      <c r="I3406" s="19"/>
      <c r="J3406" s="19"/>
      <c r="K3406" s="19"/>
      <c r="L3406" s="19"/>
      <c r="M3406" s="19"/>
      <c r="N3406" s="19"/>
      <c r="O3406" s="43"/>
      <c r="P3406" s="19"/>
      <c r="Q3406" s="19"/>
      <c r="R3406" s="19"/>
      <c r="S3406" s="19"/>
      <c r="T3406" s="19"/>
      <c r="U3406" s="19"/>
      <c r="V3406" s="44"/>
      <c r="W3406" s="19"/>
      <c r="X3406" s="19"/>
      <c r="Y3406" s="19"/>
      <c r="Z3406" s="19"/>
      <c r="AA3406" s="19"/>
      <c r="AB3406" s="19"/>
      <c r="AC3406" s="19"/>
      <c r="AD3406" s="19"/>
      <c r="AE3406" s="19"/>
      <c r="AF3406" s="19"/>
      <c r="AG3406" s="19"/>
      <c r="AH3406" s="19"/>
      <c r="AI3406" s="19"/>
      <c r="AJ3406" s="19"/>
      <c r="AK3406" s="19"/>
      <c r="AL3406" s="6" t="str">
        <f t="array" ref="AL3406">IFERROR(IFS(XLOOKUP(B3406, 'Kit Delivery Status'!$U:$U, 'Kit Delivery Status'!$K:$K) = "Complete", "DELIVERED", XLOOKUP(B3406, 'Kit Delivery Status'!$U:$U, 'Kit Delivery Status'!$K:$K) = "Issue", "ISSUE"), "")</f>
        <v/>
      </c>
      <c r="AM3406" s="6"/>
    </row>
    <row r="3407">
      <c r="A3407" s="19"/>
      <c r="B3407" s="19"/>
      <c r="C3407" s="19"/>
      <c r="D3407" s="42"/>
      <c r="E3407" s="19"/>
      <c r="F3407" s="19"/>
      <c r="G3407" s="19"/>
      <c r="H3407" s="19"/>
      <c r="I3407" s="19"/>
      <c r="J3407" s="19"/>
      <c r="K3407" s="19"/>
      <c r="L3407" s="19"/>
      <c r="M3407" s="19"/>
      <c r="N3407" s="19"/>
      <c r="O3407" s="43"/>
      <c r="P3407" s="19"/>
      <c r="Q3407" s="19"/>
      <c r="R3407" s="19"/>
      <c r="S3407" s="19"/>
      <c r="T3407" s="19"/>
      <c r="U3407" s="19"/>
      <c r="V3407" s="44"/>
      <c r="W3407" s="19"/>
      <c r="X3407" s="19"/>
      <c r="Y3407" s="19"/>
      <c r="Z3407" s="19"/>
      <c r="AA3407" s="19"/>
      <c r="AB3407" s="19"/>
      <c r="AC3407" s="19"/>
      <c r="AD3407" s="19"/>
      <c r="AE3407" s="19"/>
      <c r="AF3407" s="19"/>
      <c r="AG3407" s="19"/>
      <c r="AH3407" s="19"/>
      <c r="AI3407" s="19"/>
      <c r="AJ3407" s="19"/>
      <c r="AK3407" s="19"/>
      <c r="AL3407" s="6" t="str">
        <f t="array" ref="AL3407">IFERROR(IFS(XLOOKUP(B3407, 'Kit Delivery Status'!$U:$U, 'Kit Delivery Status'!$K:$K) = "Complete", "DELIVERED", XLOOKUP(B3407, 'Kit Delivery Status'!$U:$U, 'Kit Delivery Status'!$K:$K) = "Issue", "ISSUE"), "")</f>
        <v/>
      </c>
      <c r="AM3407" s="6"/>
    </row>
    <row r="3408">
      <c r="A3408" s="19"/>
      <c r="B3408" s="19"/>
      <c r="C3408" s="19"/>
      <c r="D3408" s="42"/>
      <c r="E3408" s="19"/>
      <c r="F3408" s="19"/>
      <c r="G3408" s="19"/>
      <c r="H3408" s="19"/>
      <c r="I3408" s="19"/>
      <c r="J3408" s="19"/>
      <c r="K3408" s="19"/>
      <c r="L3408" s="19"/>
      <c r="M3408" s="19"/>
      <c r="N3408" s="19"/>
      <c r="O3408" s="43"/>
      <c r="P3408" s="19"/>
      <c r="Q3408" s="19"/>
      <c r="R3408" s="19"/>
      <c r="S3408" s="19"/>
      <c r="T3408" s="19"/>
      <c r="U3408" s="19"/>
      <c r="V3408" s="44"/>
      <c r="W3408" s="19"/>
      <c r="X3408" s="19"/>
      <c r="Y3408" s="19"/>
      <c r="Z3408" s="19"/>
      <c r="AA3408" s="19"/>
      <c r="AB3408" s="19"/>
      <c r="AC3408" s="19"/>
      <c r="AD3408" s="19"/>
      <c r="AE3408" s="19"/>
      <c r="AF3408" s="19"/>
      <c r="AG3408" s="19"/>
      <c r="AH3408" s="19"/>
      <c r="AI3408" s="19"/>
      <c r="AJ3408" s="19"/>
      <c r="AK3408" s="19"/>
      <c r="AL3408" s="6" t="str">
        <f t="array" ref="AL3408">IFERROR(IFS(XLOOKUP(B3408, 'Kit Delivery Status'!$U:$U, 'Kit Delivery Status'!$K:$K) = "Complete", "DELIVERED", XLOOKUP(B3408, 'Kit Delivery Status'!$U:$U, 'Kit Delivery Status'!$K:$K) = "Issue", "ISSUE"), "")</f>
        <v/>
      </c>
      <c r="AM3408" s="6"/>
    </row>
    <row r="3409">
      <c r="A3409" s="19"/>
      <c r="B3409" s="19"/>
      <c r="C3409" s="19"/>
      <c r="D3409" s="42"/>
      <c r="E3409" s="19"/>
      <c r="F3409" s="19"/>
      <c r="G3409" s="19"/>
      <c r="H3409" s="19"/>
      <c r="I3409" s="19"/>
      <c r="J3409" s="19"/>
      <c r="K3409" s="19"/>
      <c r="L3409" s="19"/>
      <c r="M3409" s="19"/>
      <c r="N3409" s="19"/>
      <c r="O3409" s="43"/>
      <c r="P3409" s="19"/>
      <c r="Q3409" s="19"/>
      <c r="R3409" s="19"/>
      <c r="S3409" s="19"/>
      <c r="T3409" s="19"/>
      <c r="U3409" s="19"/>
      <c r="V3409" s="44"/>
      <c r="W3409" s="19"/>
      <c r="X3409" s="19"/>
      <c r="Y3409" s="19"/>
      <c r="Z3409" s="19"/>
      <c r="AA3409" s="19"/>
      <c r="AB3409" s="19"/>
      <c r="AC3409" s="19"/>
      <c r="AD3409" s="19"/>
      <c r="AE3409" s="19"/>
      <c r="AF3409" s="19"/>
      <c r="AG3409" s="19"/>
      <c r="AH3409" s="19"/>
      <c r="AI3409" s="19"/>
      <c r="AJ3409" s="19"/>
      <c r="AK3409" s="19"/>
      <c r="AL3409" s="6" t="str">
        <f t="array" ref="AL3409">IFERROR(IFS(XLOOKUP(B3409, 'Kit Delivery Status'!$U:$U, 'Kit Delivery Status'!$K:$K) = "Complete", "DELIVERED", XLOOKUP(B3409, 'Kit Delivery Status'!$U:$U, 'Kit Delivery Status'!$K:$K) = "Issue", "ISSUE"), "")</f>
        <v/>
      </c>
      <c r="AM3409" s="6"/>
    </row>
    <row r="3410">
      <c r="A3410" s="19"/>
      <c r="B3410" s="19"/>
      <c r="C3410" s="19"/>
      <c r="D3410" s="42"/>
      <c r="E3410" s="19"/>
      <c r="F3410" s="19"/>
      <c r="G3410" s="19"/>
      <c r="H3410" s="19"/>
      <c r="I3410" s="19"/>
      <c r="J3410" s="19"/>
      <c r="K3410" s="19"/>
      <c r="L3410" s="19"/>
      <c r="M3410" s="19"/>
      <c r="N3410" s="19"/>
      <c r="O3410" s="43"/>
      <c r="P3410" s="19"/>
      <c r="Q3410" s="19"/>
      <c r="R3410" s="19"/>
      <c r="S3410" s="19"/>
      <c r="T3410" s="19"/>
      <c r="U3410" s="19"/>
      <c r="V3410" s="44"/>
      <c r="W3410" s="19"/>
      <c r="X3410" s="19"/>
      <c r="Y3410" s="19"/>
      <c r="Z3410" s="19"/>
      <c r="AA3410" s="19"/>
      <c r="AB3410" s="19"/>
      <c r="AC3410" s="19"/>
      <c r="AD3410" s="19"/>
      <c r="AE3410" s="19"/>
      <c r="AF3410" s="19"/>
      <c r="AG3410" s="19"/>
      <c r="AH3410" s="19"/>
      <c r="AI3410" s="19"/>
      <c r="AJ3410" s="19"/>
      <c r="AK3410" s="19"/>
      <c r="AL3410" s="6" t="str">
        <f t="array" ref="AL3410">IFERROR(IFS(XLOOKUP(B3410, 'Kit Delivery Status'!$U:$U, 'Kit Delivery Status'!$K:$K) = "Complete", "DELIVERED", XLOOKUP(B3410, 'Kit Delivery Status'!$U:$U, 'Kit Delivery Status'!$K:$K) = "Issue", "ISSUE"), "")</f>
        <v/>
      </c>
      <c r="AM3410" s="6"/>
    </row>
    <row r="3411">
      <c r="A3411" s="19"/>
      <c r="B3411" s="19"/>
      <c r="C3411" s="19"/>
      <c r="D3411" s="42"/>
      <c r="E3411" s="19"/>
      <c r="F3411" s="19"/>
      <c r="G3411" s="19"/>
      <c r="H3411" s="19"/>
      <c r="I3411" s="19"/>
      <c r="J3411" s="19"/>
      <c r="K3411" s="19"/>
      <c r="L3411" s="19"/>
      <c r="M3411" s="19"/>
      <c r="N3411" s="19"/>
      <c r="O3411" s="43"/>
      <c r="P3411" s="19"/>
      <c r="Q3411" s="19"/>
      <c r="R3411" s="19"/>
      <c r="S3411" s="19"/>
      <c r="T3411" s="19"/>
      <c r="U3411" s="19"/>
      <c r="V3411" s="44"/>
      <c r="W3411" s="19"/>
      <c r="X3411" s="19"/>
      <c r="Y3411" s="19"/>
      <c r="Z3411" s="19"/>
      <c r="AA3411" s="19"/>
      <c r="AB3411" s="19"/>
      <c r="AC3411" s="19"/>
      <c r="AD3411" s="19"/>
      <c r="AE3411" s="19"/>
      <c r="AF3411" s="19"/>
      <c r="AG3411" s="19"/>
      <c r="AH3411" s="19"/>
      <c r="AI3411" s="19"/>
      <c r="AJ3411" s="19"/>
      <c r="AK3411" s="19"/>
      <c r="AL3411" s="6" t="str">
        <f t="array" ref="AL3411">IFERROR(IFS(XLOOKUP(B3411, 'Kit Delivery Status'!$U:$U, 'Kit Delivery Status'!$K:$K) = "Complete", "DELIVERED", XLOOKUP(B3411, 'Kit Delivery Status'!$U:$U, 'Kit Delivery Status'!$K:$K) = "Issue", "ISSUE"), "")</f>
        <v/>
      </c>
      <c r="AM3411" s="6"/>
    </row>
    <row r="3412">
      <c r="A3412" s="19"/>
      <c r="B3412" s="19"/>
      <c r="C3412" s="19"/>
      <c r="D3412" s="42"/>
      <c r="E3412" s="19"/>
      <c r="F3412" s="19"/>
      <c r="G3412" s="19"/>
      <c r="H3412" s="19"/>
      <c r="I3412" s="19"/>
      <c r="J3412" s="19"/>
      <c r="K3412" s="19"/>
      <c r="L3412" s="19"/>
      <c r="M3412" s="19"/>
      <c r="N3412" s="19"/>
      <c r="O3412" s="43"/>
      <c r="P3412" s="19"/>
      <c r="Q3412" s="19"/>
      <c r="R3412" s="19"/>
      <c r="S3412" s="19"/>
      <c r="T3412" s="19"/>
      <c r="U3412" s="19"/>
      <c r="V3412" s="44"/>
      <c r="W3412" s="19"/>
      <c r="X3412" s="19"/>
      <c r="Y3412" s="19"/>
      <c r="Z3412" s="19"/>
      <c r="AA3412" s="19"/>
      <c r="AB3412" s="19"/>
      <c r="AC3412" s="19"/>
      <c r="AD3412" s="19"/>
      <c r="AE3412" s="19"/>
      <c r="AF3412" s="19"/>
      <c r="AG3412" s="19"/>
      <c r="AH3412" s="19"/>
      <c r="AI3412" s="19"/>
      <c r="AJ3412" s="19"/>
      <c r="AK3412" s="19"/>
      <c r="AL3412" s="6" t="str">
        <f t="array" ref="AL3412">IFERROR(IFS(XLOOKUP(B3412, 'Kit Delivery Status'!$U:$U, 'Kit Delivery Status'!$K:$K) = "Complete", "DELIVERED", XLOOKUP(B3412, 'Kit Delivery Status'!$U:$U, 'Kit Delivery Status'!$K:$K) = "Issue", "ISSUE"), "")</f>
        <v/>
      </c>
      <c r="AM3412" s="6"/>
    </row>
    <row r="3413">
      <c r="A3413" s="19"/>
      <c r="B3413" s="19"/>
      <c r="C3413" s="19"/>
      <c r="D3413" s="42"/>
      <c r="E3413" s="19"/>
      <c r="F3413" s="19"/>
      <c r="G3413" s="19"/>
      <c r="H3413" s="19"/>
      <c r="I3413" s="19"/>
      <c r="J3413" s="19"/>
      <c r="K3413" s="19"/>
      <c r="L3413" s="19"/>
      <c r="M3413" s="19"/>
      <c r="N3413" s="19"/>
      <c r="O3413" s="43"/>
      <c r="P3413" s="19"/>
      <c r="Q3413" s="19"/>
      <c r="R3413" s="19"/>
      <c r="S3413" s="19"/>
      <c r="T3413" s="19"/>
      <c r="U3413" s="19"/>
      <c r="V3413" s="44"/>
      <c r="W3413" s="19"/>
      <c r="X3413" s="19"/>
      <c r="Y3413" s="19"/>
      <c r="Z3413" s="19"/>
      <c r="AA3413" s="19"/>
      <c r="AB3413" s="19"/>
      <c r="AC3413" s="19"/>
      <c r="AD3413" s="19"/>
      <c r="AE3413" s="19"/>
      <c r="AF3413" s="19"/>
      <c r="AG3413" s="19"/>
      <c r="AH3413" s="19"/>
      <c r="AI3413" s="19"/>
      <c r="AJ3413" s="19"/>
      <c r="AK3413" s="19"/>
      <c r="AL3413" s="6" t="str">
        <f t="array" ref="AL3413">IFERROR(IFS(XLOOKUP(B3413, 'Kit Delivery Status'!$U:$U, 'Kit Delivery Status'!$K:$K) = "Complete", "DELIVERED", XLOOKUP(B3413, 'Kit Delivery Status'!$U:$U, 'Kit Delivery Status'!$K:$K) = "Issue", "ISSUE"), "")</f>
        <v/>
      </c>
      <c r="AM3413" s="6"/>
    </row>
    <row r="3414">
      <c r="A3414" s="19"/>
      <c r="B3414" s="19"/>
      <c r="C3414" s="19"/>
      <c r="D3414" s="42"/>
      <c r="E3414" s="19"/>
      <c r="F3414" s="19"/>
      <c r="G3414" s="19"/>
      <c r="H3414" s="19"/>
      <c r="I3414" s="19"/>
      <c r="J3414" s="19"/>
      <c r="K3414" s="19"/>
      <c r="L3414" s="19"/>
      <c r="M3414" s="19"/>
      <c r="N3414" s="19"/>
      <c r="O3414" s="43"/>
      <c r="P3414" s="19"/>
      <c r="Q3414" s="19"/>
      <c r="R3414" s="19"/>
      <c r="S3414" s="19"/>
      <c r="T3414" s="19"/>
      <c r="U3414" s="19"/>
      <c r="V3414" s="44"/>
      <c r="W3414" s="19"/>
      <c r="X3414" s="19"/>
      <c r="Y3414" s="19"/>
      <c r="Z3414" s="19"/>
      <c r="AA3414" s="19"/>
      <c r="AB3414" s="19"/>
      <c r="AC3414" s="19"/>
      <c r="AD3414" s="19"/>
      <c r="AE3414" s="19"/>
      <c r="AF3414" s="19"/>
      <c r="AG3414" s="19"/>
      <c r="AH3414" s="19"/>
      <c r="AI3414" s="19"/>
      <c r="AJ3414" s="19"/>
      <c r="AK3414" s="19"/>
      <c r="AL3414" s="6" t="str">
        <f t="array" ref="AL3414">IFERROR(IFS(XLOOKUP(B3414, 'Kit Delivery Status'!$U:$U, 'Kit Delivery Status'!$K:$K) = "Complete", "DELIVERED", XLOOKUP(B3414, 'Kit Delivery Status'!$U:$U, 'Kit Delivery Status'!$K:$K) = "Issue", "ISSUE"), "")</f>
        <v/>
      </c>
      <c r="AM3414" s="6"/>
    </row>
    <row r="3415">
      <c r="A3415" s="19"/>
      <c r="B3415" s="19"/>
      <c r="C3415" s="19"/>
      <c r="D3415" s="42"/>
      <c r="E3415" s="19"/>
      <c r="F3415" s="19"/>
      <c r="G3415" s="19"/>
      <c r="H3415" s="19"/>
      <c r="I3415" s="19"/>
      <c r="J3415" s="19"/>
      <c r="K3415" s="19"/>
      <c r="L3415" s="19"/>
      <c r="M3415" s="19"/>
      <c r="N3415" s="19"/>
      <c r="O3415" s="43"/>
      <c r="P3415" s="19"/>
      <c r="Q3415" s="19"/>
      <c r="R3415" s="19"/>
      <c r="S3415" s="19"/>
      <c r="T3415" s="19"/>
      <c r="U3415" s="19"/>
      <c r="V3415" s="44"/>
      <c r="W3415" s="19"/>
      <c r="X3415" s="19"/>
      <c r="Y3415" s="19"/>
      <c r="Z3415" s="19"/>
      <c r="AA3415" s="19"/>
      <c r="AB3415" s="19"/>
      <c r="AC3415" s="19"/>
      <c r="AD3415" s="19"/>
      <c r="AE3415" s="19"/>
      <c r="AF3415" s="19"/>
      <c r="AG3415" s="19"/>
      <c r="AH3415" s="19"/>
      <c r="AI3415" s="19"/>
      <c r="AJ3415" s="19"/>
      <c r="AK3415" s="19"/>
      <c r="AL3415" s="6" t="str">
        <f t="array" ref="AL3415">IFERROR(IFS(XLOOKUP(B3415, 'Kit Delivery Status'!$U:$U, 'Kit Delivery Status'!$K:$K) = "Complete", "DELIVERED", XLOOKUP(B3415, 'Kit Delivery Status'!$U:$U, 'Kit Delivery Status'!$K:$K) = "Issue", "ISSUE"), "")</f>
        <v/>
      </c>
      <c r="AM3415" s="6"/>
    </row>
    <row r="3416">
      <c r="A3416" s="19"/>
      <c r="B3416" s="19"/>
      <c r="C3416" s="19"/>
      <c r="D3416" s="42"/>
      <c r="E3416" s="19"/>
      <c r="F3416" s="19"/>
      <c r="G3416" s="19"/>
      <c r="H3416" s="19"/>
      <c r="I3416" s="19"/>
      <c r="J3416" s="19"/>
      <c r="K3416" s="19"/>
      <c r="L3416" s="19"/>
      <c r="M3416" s="19"/>
      <c r="N3416" s="19"/>
      <c r="O3416" s="43"/>
      <c r="P3416" s="19"/>
      <c r="Q3416" s="19"/>
      <c r="R3416" s="19"/>
      <c r="S3416" s="19"/>
      <c r="T3416" s="19"/>
      <c r="U3416" s="19"/>
      <c r="V3416" s="44"/>
      <c r="W3416" s="19"/>
      <c r="X3416" s="19"/>
      <c r="Y3416" s="19"/>
      <c r="Z3416" s="19"/>
      <c r="AA3416" s="19"/>
      <c r="AB3416" s="19"/>
      <c r="AC3416" s="19"/>
      <c r="AD3416" s="19"/>
      <c r="AE3416" s="19"/>
      <c r="AF3416" s="19"/>
      <c r="AG3416" s="19"/>
      <c r="AH3416" s="19"/>
      <c r="AI3416" s="19"/>
      <c r="AJ3416" s="19"/>
      <c r="AK3416" s="19"/>
      <c r="AL3416" s="6" t="str">
        <f t="array" ref="AL3416">IFERROR(IFS(XLOOKUP(B3416, 'Kit Delivery Status'!$U:$U, 'Kit Delivery Status'!$K:$K) = "Complete", "DELIVERED", XLOOKUP(B3416, 'Kit Delivery Status'!$U:$U, 'Kit Delivery Status'!$K:$K) = "Issue", "ISSUE"), "")</f>
        <v/>
      </c>
      <c r="AM3416" s="6"/>
    </row>
    <row r="3417">
      <c r="A3417" s="19"/>
      <c r="B3417" s="19"/>
      <c r="C3417" s="19"/>
      <c r="D3417" s="42"/>
      <c r="E3417" s="19"/>
      <c r="F3417" s="19"/>
      <c r="G3417" s="19"/>
      <c r="H3417" s="19"/>
      <c r="I3417" s="19"/>
      <c r="J3417" s="19"/>
      <c r="K3417" s="19"/>
      <c r="L3417" s="19"/>
      <c r="M3417" s="19"/>
      <c r="N3417" s="19"/>
      <c r="O3417" s="43"/>
      <c r="P3417" s="19"/>
      <c r="Q3417" s="19"/>
      <c r="R3417" s="19"/>
      <c r="S3417" s="19"/>
      <c r="T3417" s="19"/>
      <c r="U3417" s="19"/>
      <c r="V3417" s="44"/>
      <c r="W3417" s="19"/>
      <c r="X3417" s="19"/>
      <c r="Y3417" s="19"/>
      <c r="Z3417" s="19"/>
      <c r="AA3417" s="19"/>
      <c r="AB3417" s="19"/>
      <c r="AC3417" s="19"/>
      <c r="AD3417" s="19"/>
      <c r="AE3417" s="19"/>
      <c r="AF3417" s="19"/>
      <c r="AG3417" s="19"/>
      <c r="AH3417" s="19"/>
      <c r="AI3417" s="19"/>
      <c r="AJ3417" s="19"/>
      <c r="AK3417" s="19"/>
      <c r="AL3417" s="6" t="str">
        <f t="array" ref="AL3417">IFERROR(IFS(XLOOKUP(B3417, 'Kit Delivery Status'!$U:$U, 'Kit Delivery Status'!$K:$K) = "Complete", "DELIVERED", XLOOKUP(B3417, 'Kit Delivery Status'!$U:$U, 'Kit Delivery Status'!$K:$K) = "Issue", "ISSUE"), "")</f>
        <v/>
      </c>
      <c r="AM3417" s="6"/>
    </row>
    <row r="3418">
      <c r="A3418" s="19"/>
      <c r="B3418" s="19"/>
      <c r="C3418" s="19"/>
      <c r="D3418" s="42"/>
      <c r="E3418" s="19"/>
      <c r="F3418" s="19"/>
      <c r="G3418" s="19"/>
      <c r="H3418" s="19"/>
      <c r="I3418" s="19"/>
      <c r="J3418" s="19"/>
      <c r="K3418" s="19"/>
      <c r="L3418" s="19"/>
      <c r="M3418" s="19"/>
      <c r="N3418" s="19"/>
      <c r="O3418" s="43"/>
      <c r="P3418" s="19"/>
      <c r="Q3418" s="19"/>
      <c r="R3418" s="19"/>
      <c r="S3418" s="19"/>
      <c r="T3418" s="19"/>
      <c r="U3418" s="19"/>
      <c r="V3418" s="44"/>
      <c r="W3418" s="19"/>
      <c r="X3418" s="19"/>
      <c r="Y3418" s="19"/>
      <c r="Z3418" s="19"/>
      <c r="AA3418" s="19"/>
      <c r="AB3418" s="19"/>
      <c r="AC3418" s="19"/>
      <c r="AD3418" s="19"/>
      <c r="AE3418" s="19"/>
      <c r="AF3418" s="19"/>
      <c r="AG3418" s="19"/>
      <c r="AH3418" s="19"/>
      <c r="AI3418" s="19"/>
      <c r="AJ3418" s="19"/>
      <c r="AK3418" s="19"/>
      <c r="AL3418" s="6" t="str">
        <f t="array" ref="AL3418">IFERROR(IFS(XLOOKUP(B3418, 'Kit Delivery Status'!$U:$U, 'Kit Delivery Status'!$K:$K) = "Complete", "DELIVERED", XLOOKUP(B3418, 'Kit Delivery Status'!$U:$U, 'Kit Delivery Status'!$K:$K) = "Issue", "ISSUE"), "")</f>
        <v/>
      </c>
      <c r="AM3418" s="6"/>
    </row>
    <row r="3419">
      <c r="A3419" s="19"/>
      <c r="B3419" s="19"/>
      <c r="C3419" s="19"/>
      <c r="D3419" s="42"/>
      <c r="E3419" s="19"/>
      <c r="F3419" s="19"/>
      <c r="G3419" s="19"/>
      <c r="H3419" s="19"/>
      <c r="I3419" s="19"/>
      <c r="J3419" s="19"/>
      <c r="K3419" s="19"/>
      <c r="L3419" s="19"/>
      <c r="M3419" s="19"/>
      <c r="N3419" s="19"/>
      <c r="O3419" s="43"/>
      <c r="P3419" s="19"/>
      <c r="Q3419" s="19"/>
      <c r="R3419" s="19"/>
      <c r="S3419" s="19"/>
      <c r="T3419" s="19"/>
      <c r="U3419" s="19"/>
      <c r="V3419" s="44"/>
      <c r="W3419" s="19"/>
      <c r="X3419" s="19"/>
      <c r="Y3419" s="19"/>
      <c r="Z3419" s="19"/>
      <c r="AA3419" s="19"/>
      <c r="AB3419" s="19"/>
      <c r="AC3419" s="19"/>
      <c r="AD3419" s="19"/>
      <c r="AE3419" s="19"/>
      <c r="AF3419" s="19"/>
      <c r="AG3419" s="19"/>
      <c r="AH3419" s="19"/>
      <c r="AI3419" s="19"/>
      <c r="AJ3419" s="19"/>
      <c r="AK3419" s="19"/>
      <c r="AL3419" s="6" t="str">
        <f t="array" ref="AL3419">IFERROR(IFS(XLOOKUP(B3419, 'Kit Delivery Status'!$U:$U, 'Kit Delivery Status'!$K:$K) = "Complete", "DELIVERED", XLOOKUP(B3419, 'Kit Delivery Status'!$U:$U, 'Kit Delivery Status'!$K:$K) = "Issue", "ISSUE"), "")</f>
        <v/>
      </c>
      <c r="AM3419" s="6"/>
    </row>
    <row r="3420">
      <c r="A3420" s="19"/>
      <c r="B3420" s="19"/>
      <c r="C3420" s="19"/>
      <c r="D3420" s="42"/>
      <c r="E3420" s="19"/>
      <c r="F3420" s="19"/>
      <c r="G3420" s="19"/>
      <c r="H3420" s="19"/>
      <c r="I3420" s="19"/>
      <c r="J3420" s="19"/>
      <c r="K3420" s="19"/>
      <c r="L3420" s="19"/>
      <c r="M3420" s="19"/>
      <c r="N3420" s="19"/>
      <c r="O3420" s="43"/>
      <c r="P3420" s="19"/>
      <c r="Q3420" s="19"/>
      <c r="R3420" s="19"/>
      <c r="S3420" s="19"/>
      <c r="T3420" s="19"/>
      <c r="U3420" s="19"/>
      <c r="V3420" s="44"/>
      <c r="W3420" s="19"/>
      <c r="X3420" s="19"/>
      <c r="Y3420" s="19"/>
      <c r="Z3420" s="19"/>
      <c r="AA3420" s="19"/>
      <c r="AB3420" s="19"/>
      <c r="AC3420" s="19"/>
      <c r="AD3420" s="19"/>
      <c r="AE3420" s="19"/>
      <c r="AF3420" s="19"/>
      <c r="AG3420" s="19"/>
      <c r="AH3420" s="19"/>
      <c r="AI3420" s="19"/>
      <c r="AJ3420" s="19"/>
      <c r="AK3420" s="19"/>
      <c r="AL3420" s="6" t="str">
        <f t="array" ref="AL3420">IFERROR(IFS(XLOOKUP(B3420, 'Kit Delivery Status'!$U:$U, 'Kit Delivery Status'!$K:$K) = "Complete", "DELIVERED", XLOOKUP(B3420, 'Kit Delivery Status'!$U:$U, 'Kit Delivery Status'!$K:$K) = "Issue", "ISSUE"), "")</f>
        <v/>
      </c>
      <c r="AM3420" s="6"/>
    </row>
    <row r="3421">
      <c r="A3421" s="19"/>
      <c r="B3421" s="19"/>
      <c r="C3421" s="19"/>
      <c r="D3421" s="42"/>
      <c r="E3421" s="19"/>
      <c r="F3421" s="19"/>
      <c r="G3421" s="19"/>
      <c r="H3421" s="19"/>
      <c r="I3421" s="19"/>
      <c r="J3421" s="19"/>
      <c r="K3421" s="19"/>
      <c r="L3421" s="19"/>
      <c r="M3421" s="19"/>
      <c r="N3421" s="19"/>
      <c r="O3421" s="43"/>
      <c r="P3421" s="19"/>
      <c r="Q3421" s="19"/>
      <c r="R3421" s="19"/>
      <c r="S3421" s="19"/>
      <c r="T3421" s="19"/>
      <c r="U3421" s="19"/>
      <c r="V3421" s="44"/>
      <c r="W3421" s="19"/>
      <c r="X3421" s="19"/>
      <c r="Y3421" s="19"/>
      <c r="Z3421" s="19"/>
      <c r="AA3421" s="19"/>
      <c r="AB3421" s="19"/>
      <c r="AC3421" s="19"/>
      <c r="AD3421" s="19"/>
      <c r="AE3421" s="19"/>
      <c r="AF3421" s="19"/>
      <c r="AG3421" s="19"/>
      <c r="AH3421" s="19"/>
      <c r="AI3421" s="19"/>
      <c r="AJ3421" s="19"/>
      <c r="AK3421" s="19"/>
      <c r="AL3421" s="6" t="str">
        <f t="array" ref="AL3421">IFERROR(IFS(XLOOKUP(B3421, 'Kit Delivery Status'!$U:$U, 'Kit Delivery Status'!$K:$K) = "Complete", "DELIVERED", XLOOKUP(B3421, 'Kit Delivery Status'!$U:$U, 'Kit Delivery Status'!$K:$K) = "Issue", "ISSUE"), "")</f>
        <v/>
      </c>
      <c r="AM3421" s="6"/>
    </row>
    <row r="3422">
      <c r="A3422" s="19"/>
      <c r="B3422" s="19"/>
      <c r="C3422" s="19"/>
      <c r="D3422" s="42"/>
      <c r="E3422" s="19"/>
      <c r="F3422" s="19"/>
      <c r="G3422" s="19"/>
      <c r="H3422" s="19"/>
      <c r="I3422" s="19"/>
      <c r="J3422" s="19"/>
      <c r="K3422" s="19"/>
      <c r="L3422" s="19"/>
      <c r="M3422" s="19"/>
      <c r="N3422" s="19"/>
      <c r="O3422" s="43"/>
      <c r="P3422" s="19"/>
      <c r="Q3422" s="19"/>
      <c r="R3422" s="19"/>
      <c r="S3422" s="19"/>
      <c r="T3422" s="19"/>
      <c r="U3422" s="19"/>
      <c r="V3422" s="44"/>
      <c r="W3422" s="19"/>
      <c r="X3422" s="19"/>
      <c r="Y3422" s="19"/>
      <c r="Z3422" s="19"/>
      <c r="AA3422" s="19"/>
      <c r="AB3422" s="19"/>
      <c r="AC3422" s="19"/>
      <c r="AD3422" s="19"/>
      <c r="AE3422" s="19"/>
      <c r="AF3422" s="19"/>
      <c r="AG3422" s="19"/>
      <c r="AH3422" s="19"/>
      <c r="AI3422" s="19"/>
      <c r="AJ3422" s="19"/>
      <c r="AK3422" s="19"/>
      <c r="AL3422" s="6" t="str">
        <f t="array" ref="AL3422">IFERROR(IFS(XLOOKUP(B3422, 'Kit Delivery Status'!$U:$U, 'Kit Delivery Status'!$K:$K) = "Complete", "DELIVERED", XLOOKUP(B3422, 'Kit Delivery Status'!$U:$U, 'Kit Delivery Status'!$K:$K) = "Issue", "ISSUE"), "")</f>
        <v/>
      </c>
      <c r="AM3422" s="6"/>
    </row>
    <row r="3423">
      <c r="A3423" s="19"/>
      <c r="B3423" s="19"/>
      <c r="C3423" s="19"/>
      <c r="D3423" s="42"/>
      <c r="E3423" s="19"/>
      <c r="F3423" s="19"/>
      <c r="G3423" s="19"/>
      <c r="H3423" s="19"/>
      <c r="I3423" s="19"/>
      <c r="J3423" s="19"/>
      <c r="K3423" s="19"/>
      <c r="L3423" s="19"/>
      <c r="M3423" s="19"/>
      <c r="N3423" s="19"/>
      <c r="O3423" s="43"/>
      <c r="P3423" s="19"/>
      <c r="Q3423" s="19"/>
      <c r="R3423" s="19"/>
      <c r="S3423" s="19"/>
      <c r="T3423" s="19"/>
      <c r="U3423" s="19"/>
      <c r="V3423" s="44"/>
      <c r="W3423" s="19"/>
      <c r="X3423" s="19"/>
      <c r="Y3423" s="19"/>
      <c r="Z3423" s="19"/>
      <c r="AA3423" s="19"/>
      <c r="AB3423" s="19"/>
      <c r="AC3423" s="19"/>
      <c r="AD3423" s="19"/>
      <c r="AE3423" s="19"/>
      <c r="AF3423" s="19"/>
      <c r="AG3423" s="19"/>
      <c r="AH3423" s="19"/>
      <c r="AI3423" s="19"/>
      <c r="AJ3423" s="19"/>
      <c r="AK3423" s="19"/>
      <c r="AL3423" s="6" t="str">
        <f t="array" ref="AL3423">IFERROR(IFS(XLOOKUP(B3423, 'Kit Delivery Status'!$U:$U, 'Kit Delivery Status'!$K:$K) = "Complete", "DELIVERED", XLOOKUP(B3423, 'Kit Delivery Status'!$U:$U, 'Kit Delivery Status'!$K:$K) = "Issue", "ISSUE"), "")</f>
        <v/>
      </c>
      <c r="AM3423" s="6"/>
    </row>
    <row r="3424">
      <c r="A3424" s="19"/>
      <c r="B3424" s="19"/>
      <c r="C3424" s="19"/>
      <c r="D3424" s="42"/>
      <c r="E3424" s="19"/>
      <c r="F3424" s="19"/>
      <c r="G3424" s="19"/>
      <c r="H3424" s="19"/>
      <c r="I3424" s="19"/>
      <c r="J3424" s="19"/>
      <c r="K3424" s="19"/>
      <c r="L3424" s="19"/>
      <c r="M3424" s="19"/>
      <c r="N3424" s="19"/>
      <c r="O3424" s="43"/>
      <c r="P3424" s="19"/>
      <c r="Q3424" s="19"/>
      <c r="R3424" s="19"/>
      <c r="S3424" s="19"/>
      <c r="T3424" s="19"/>
      <c r="U3424" s="19"/>
      <c r="V3424" s="44"/>
      <c r="W3424" s="19"/>
      <c r="X3424" s="19"/>
      <c r="Y3424" s="19"/>
      <c r="Z3424" s="19"/>
      <c r="AA3424" s="19"/>
      <c r="AB3424" s="19"/>
      <c r="AC3424" s="19"/>
      <c r="AD3424" s="19"/>
      <c r="AE3424" s="19"/>
      <c r="AF3424" s="19"/>
      <c r="AG3424" s="19"/>
      <c r="AH3424" s="19"/>
      <c r="AI3424" s="19"/>
      <c r="AJ3424" s="19"/>
      <c r="AK3424" s="19"/>
      <c r="AL3424" s="6" t="str">
        <f t="array" ref="AL3424">IFERROR(IFS(XLOOKUP(B3424, 'Kit Delivery Status'!$U:$U, 'Kit Delivery Status'!$K:$K) = "Complete", "DELIVERED", XLOOKUP(B3424, 'Kit Delivery Status'!$U:$U, 'Kit Delivery Status'!$K:$K) = "Issue", "ISSUE"), "")</f>
        <v/>
      </c>
      <c r="AM3424" s="6"/>
    </row>
    <row r="3425">
      <c r="A3425" s="19"/>
      <c r="B3425" s="19"/>
      <c r="C3425" s="19"/>
      <c r="D3425" s="42"/>
      <c r="E3425" s="19"/>
      <c r="F3425" s="19"/>
      <c r="G3425" s="19"/>
      <c r="H3425" s="19"/>
      <c r="I3425" s="19"/>
      <c r="J3425" s="19"/>
      <c r="K3425" s="19"/>
      <c r="L3425" s="19"/>
      <c r="M3425" s="19"/>
      <c r="N3425" s="19"/>
      <c r="O3425" s="43"/>
      <c r="P3425" s="19"/>
      <c r="Q3425" s="19"/>
      <c r="R3425" s="19"/>
      <c r="S3425" s="19"/>
      <c r="T3425" s="19"/>
      <c r="U3425" s="19"/>
      <c r="V3425" s="44"/>
      <c r="W3425" s="19"/>
      <c r="X3425" s="19"/>
      <c r="Y3425" s="19"/>
      <c r="Z3425" s="19"/>
      <c r="AA3425" s="19"/>
      <c r="AB3425" s="19"/>
      <c r="AC3425" s="19"/>
      <c r="AD3425" s="19"/>
      <c r="AE3425" s="19"/>
      <c r="AF3425" s="19"/>
      <c r="AG3425" s="19"/>
      <c r="AH3425" s="19"/>
      <c r="AI3425" s="19"/>
      <c r="AJ3425" s="19"/>
      <c r="AK3425" s="19"/>
      <c r="AL3425" s="6" t="str">
        <f t="array" ref="AL3425">IFERROR(IFS(XLOOKUP(B3425, 'Kit Delivery Status'!$U:$U, 'Kit Delivery Status'!$K:$K) = "Complete", "DELIVERED", XLOOKUP(B3425, 'Kit Delivery Status'!$U:$U, 'Kit Delivery Status'!$K:$K) = "Issue", "ISSUE"), "")</f>
        <v/>
      </c>
      <c r="AM3425" s="6"/>
    </row>
    <row r="3426">
      <c r="A3426" s="19"/>
      <c r="B3426" s="19"/>
      <c r="C3426" s="19"/>
      <c r="D3426" s="42"/>
      <c r="E3426" s="19"/>
      <c r="F3426" s="19"/>
      <c r="G3426" s="19"/>
      <c r="H3426" s="19"/>
      <c r="I3426" s="19"/>
      <c r="J3426" s="19"/>
      <c r="K3426" s="19"/>
      <c r="L3426" s="19"/>
      <c r="M3426" s="19"/>
      <c r="N3426" s="19"/>
      <c r="O3426" s="43"/>
      <c r="P3426" s="19"/>
      <c r="Q3426" s="19"/>
      <c r="R3426" s="19"/>
      <c r="S3426" s="19"/>
      <c r="T3426" s="19"/>
      <c r="U3426" s="19"/>
      <c r="V3426" s="44"/>
      <c r="W3426" s="19"/>
      <c r="X3426" s="19"/>
      <c r="Y3426" s="19"/>
      <c r="Z3426" s="19"/>
      <c r="AA3426" s="19"/>
      <c r="AB3426" s="19"/>
      <c r="AC3426" s="19"/>
      <c r="AD3426" s="19"/>
      <c r="AE3426" s="19"/>
      <c r="AF3426" s="19"/>
      <c r="AG3426" s="19"/>
      <c r="AH3426" s="19"/>
      <c r="AI3426" s="19"/>
      <c r="AJ3426" s="19"/>
      <c r="AK3426" s="19"/>
      <c r="AL3426" s="6" t="str">
        <f t="array" ref="AL3426">IFERROR(IFS(XLOOKUP(B3426, 'Kit Delivery Status'!$U:$U, 'Kit Delivery Status'!$K:$K) = "Complete", "DELIVERED", XLOOKUP(B3426, 'Kit Delivery Status'!$U:$U, 'Kit Delivery Status'!$K:$K) = "Issue", "ISSUE"), "")</f>
        <v/>
      </c>
      <c r="AM3426" s="6"/>
    </row>
    <row r="3427">
      <c r="A3427" s="19"/>
      <c r="B3427" s="19"/>
      <c r="C3427" s="19"/>
      <c r="D3427" s="42"/>
      <c r="E3427" s="19"/>
      <c r="F3427" s="19"/>
      <c r="G3427" s="19"/>
      <c r="H3427" s="19"/>
      <c r="I3427" s="19"/>
      <c r="J3427" s="19"/>
      <c r="K3427" s="19"/>
      <c r="L3427" s="19"/>
      <c r="M3427" s="19"/>
      <c r="N3427" s="19"/>
      <c r="O3427" s="43"/>
      <c r="P3427" s="19"/>
      <c r="Q3427" s="19"/>
      <c r="R3427" s="19"/>
      <c r="S3427" s="19"/>
      <c r="T3427" s="19"/>
      <c r="U3427" s="19"/>
      <c r="V3427" s="44"/>
      <c r="W3427" s="19"/>
      <c r="X3427" s="19"/>
      <c r="Y3427" s="19"/>
      <c r="Z3427" s="19"/>
      <c r="AA3427" s="19"/>
      <c r="AB3427" s="19"/>
      <c r="AC3427" s="19"/>
      <c r="AD3427" s="19"/>
      <c r="AE3427" s="19"/>
      <c r="AF3427" s="19"/>
      <c r="AG3427" s="19"/>
      <c r="AH3427" s="19"/>
      <c r="AI3427" s="19"/>
      <c r="AJ3427" s="19"/>
      <c r="AK3427" s="19"/>
      <c r="AL3427" s="6" t="str">
        <f t="array" ref="AL3427">IFERROR(IFS(XLOOKUP(B3427, 'Kit Delivery Status'!$U:$U, 'Kit Delivery Status'!$K:$K) = "Complete", "DELIVERED", XLOOKUP(B3427, 'Kit Delivery Status'!$U:$U, 'Kit Delivery Status'!$K:$K) = "Issue", "ISSUE"), "")</f>
        <v/>
      </c>
      <c r="AM3427" s="6"/>
    </row>
    <row r="3428">
      <c r="A3428" s="19"/>
      <c r="B3428" s="19"/>
      <c r="C3428" s="19"/>
      <c r="D3428" s="42"/>
      <c r="E3428" s="19"/>
      <c r="F3428" s="19"/>
      <c r="G3428" s="19"/>
      <c r="H3428" s="19"/>
      <c r="I3428" s="19"/>
      <c r="J3428" s="19"/>
      <c r="K3428" s="19"/>
      <c r="L3428" s="19"/>
      <c r="M3428" s="19"/>
      <c r="N3428" s="19"/>
      <c r="O3428" s="43"/>
      <c r="P3428" s="19"/>
      <c r="Q3428" s="19"/>
      <c r="R3428" s="19"/>
      <c r="S3428" s="19"/>
      <c r="T3428" s="19"/>
      <c r="U3428" s="19"/>
      <c r="V3428" s="44"/>
      <c r="W3428" s="19"/>
      <c r="X3428" s="19"/>
      <c r="Y3428" s="19"/>
      <c r="Z3428" s="19"/>
      <c r="AA3428" s="19"/>
      <c r="AB3428" s="19"/>
      <c r="AC3428" s="19"/>
      <c r="AD3428" s="19"/>
      <c r="AE3428" s="19"/>
      <c r="AF3428" s="19"/>
      <c r="AG3428" s="19"/>
      <c r="AH3428" s="19"/>
      <c r="AI3428" s="19"/>
      <c r="AJ3428" s="19"/>
      <c r="AK3428" s="19"/>
      <c r="AL3428" s="6" t="str">
        <f t="array" ref="AL3428">IFERROR(IFS(XLOOKUP(B3428, 'Kit Delivery Status'!$U:$U, 'Kit Delivery Status'!$K:$K) = "Complete", "DELIVERED", XLOOKUP(B3428, 'Kit Delivery Status'!$U:$U, 'Kit Delivery Status'!$K:$K) = "Issue", "ISSUE"), "")</f>
        <v/>
      </c>
      <c r="AM3428" s="6"/>
    </row>
    <row r="3429">
      <c r="A3429" s="19"/>
      <c r="B3429" s="19"/>
      <c r="C3429" s="19"/>
      <c r="D3429" s="42"/>
      <c r="E3429" s="19"/>
      <c r="F3429" s="19"/>
      <c r="G3429" s="19"/>
      <c r="H3429" s="19"/>
      <c r="I3429" s="19"/>
      <c r="J3429" s="19"/>
      <c r="K3429" s="19"/>
      <c r="L3429" s="19"/>
      <c r="M3429" s="19"/>
      <c r="N3429" s="19"/>
      <c r="O3429" s="43"/>
      <c r="P3429" s="19"/>
      <c r="Q3429" s="19"/>
      <c r="R3429" s="19"/>
      <c r="S3429" s="19"/>
      <c r="T3429" s="19"/>
      <c r="U3429" s="19"/>
      <c r="V3429" s="44"/>
      <c r="W3429" s="19"/>
      <c r="X3429" s="19"/>
      <c r="Y3429" s="19"/>
      <c r="Z3429" s="19"/>
      <c r="AA3429" s="19"/>
      <c r="AB3429" s="19"/>
      <c r="AC3429" s="19"/>
      <c r="AD3429" s="19"/>
      <c r="AE3429" s="19"/>
      <c r="AF3429" s="19"/>
      <c r="AG3429" s="19"/>
      <c r="AH3429" s="19"/>
      <c r="AI3429" s="19"/>
      <c r="AJ3429" s="19"/>
      <c r="AK3429" s="19"/>
      <c r="AL3429" s="6" t="str">
        <f t="array" ref="AL3429">IFERROR(IFS(XLOOKUP(B3429, 'Kit Delivery Status'!$U:$U, 'Kit Delivery Status'!$K:$K) = "Complete", "DELIVERED", XLOOKUP(B3429, 'Kit Delivery Status'!$U:$U, 'Kit Delivery Status'!$K:$K) = "Issue", "ISSUE"), "")</f>
        <v/>
      </c>
      <c r="AM3429" s="6"/>
    </row>
    <row r="3430">
      <c r="A3430" s="19"/>
      <c r="B3430" s="19"/>
      <c r="C3430" s="19"/>
      <c r="D3430" s="42"/>
      <c r="E3430" s="19"/>
      <c r="F3430" s="19"/>
      <c r="G3430" s="19"/>
      <c r="H3430" s="19"/>
      <c r="I3430" s="19"/>
      <c r="J3430" s="19"/>
      <c r="K3430" s="19"/>
      <c r="L3430" s="19"/>
      <c r="M3430" s="19"/>
      <c r="N3430" s="19"/>
      <c r="O3430" s="43"/>
      <c r="P3430" s="19"/>
      <c r="Q3430" s="19"/>
      <c r="R3430" s="19"/>
      <c r="S3430" s="19"/>
      <c r="T3430" s="19"/>
      <c r="U3430" s="19"/>
      <c r="V3430" s="44"/>
      <c r="W3430" s="19"/>
      <c r="X3430" s="19"/>
      <c r="Y3430" s="19"/>
      <c r="Z3430" s="19"/>
      <c r="AA3430" s="19"/>
      <c r="AB3430" s="19"/>
      <c r="AC3430" s="19"/>
      <c r="AD3430" s="19"/>
      <c r="AE3430" s="19"/>
      <c r="AF3430" s="19"/>
      <c r="AG3430" s="19"/>
      <c r="AH3430" s="19"/>
      <c r="AI3430" s="19"/>
      <c r="AJ3430" s="19"/>
      <c r="AK3430" s="19"/>
      <c r="AL3430" s="6" t="str">
        <f t="array" ref="AL3430">IFERROR(IFS(XLOOKUP(B3430, 'Kit Delivery Status'!$U:$U, 'Kit Delivery Status'!$K:$K) = "Complete", "DELIVERED", XLOOKUP(B3430, 'Kit Delivery Status'!$U:$U, 'Kit Delivery Status'!$K:$K) = "Issue", "ISSUE"), "")</f>
        <v/>
      </c>
      <c r="AM3430" s="6"/>
    </row>
    <row r="3431">
      <c r="A3431" s="19"/>
      <c r="B3431" s="19"/>
      <c r="C3431" s="19"/>
      <c r="D3431" s="42"/>
      <c r="E3431" s="19"/>
      <c r="F3431" s="19"/>
      <c r="G3431" s="19"/>
      <c r="H3431" s="19"/>
      <c r="I3431" s="19"/>
      <c r="J3431" s="19"/>
      <c r="K3431" s="19"/>
      <c r="L3431" s="19"/>
      <c r="M3431" s="19"/>
      <c r="N3431" s="19"/>
      <c r="O3431" s="43"/>
      <c r="P3431" s="19"/>
      <c r="Q3431" s="19"/>
      <c r="R3431" s="19"/>
      <c r="S3431" s="19"/>
      <c r="T3431" s="19"/>
      <c r="U3431" s="19"/>
      <c r="V3431" s="44"/>
      <c r="W3431" s="19"/>
      <c r="X3431" s="19"/>
      <c r="Y3431" s="19"/>
      <c r="Z3431" s="19"/>
      <c r="AA3431" s="19"/>
      <c r="AB3431" s="19"/>
      <c r="AC3431" s="19"/>
      <c r="AD3431" s="19"/>
      <c r="AE3431" s="19"/>
      <c r="AF3431" s="19"/>
      <c r="AG3431" s="19"/>
      <c r="AH3431" s="19"/>
      <c r="AI3431" s="19"/>
      <c r="AJ3431" s="19"/>
      <c r="AK3431" s="19"/>
      <c r="AL3431" s="6" t="str">
        <f t="array" ref="AL3431">IFERROR(IFS(XLOOKUP(B3431, 'Kit Delivery Status'!$U:$U, 'Kit Delivery Status'!$K:$K) = "Complete", "DELIVERED", XLOOKUP(B3431, 'Kit Delivery Status'!$U:$U, 'Kit Delivery Status'!$K:$K) = "Issue", "ISSUE"), "")</f>
        <v/>
      </c>
      <c r="AM3431" s="6"/>
    </row>
    <row r="3432">
      <c r="A3432" s="19"/>
      <c r="B3432" s="19"/>
      <c r="C3432" s="19"/>
      <c r="D3432" s="42"/>
      <c r="E3432" s="19"/>
      <c r="F3432" s="19"/>
      <c r="G3432" s="19"/>
      <c r="H3432" s="19"/>
      <c r="I3432" s="19"/>
      <c r="J3432" s="19"/>
      <c r="K3432" s="19"/>
      <c r="L3432" s="19"/>
      <c r="M3432" s="19"/>
      <c r="N3432" s="19"/>
      <c r="O3432" s="43"/>
      <c r="P3432" s="19"/>
      <c r="Q3432" s="19"/>
      <c r="R3432" s="19"/>
      <c r="S3432" s="19"/>
      <c r="T3432" s="19"/>
      <c r="U3432" s="19"/>
      <c r="V3432" s="44"/>
      <c r="W3432" s="19"/>
      <c r="X3432" s="19"/>
      <c r="Y3432" s="19"/>
      <c r="Z3432" s="19"/>
      <c r="AA3432" s="19"/>
      <c r="AB3432" s="19"/>
      <c r="AC3432" s="19"/>
      <c r="AD3432" s="19"/>
      <c r="AE3432" s="19"/>
      <c r="AF3432" s="19"/>
      <c r="AG3432" s="19"/>
      <c r="AH3432" s="19"/>
      <c r="AI3432" s="19"/>
      <c r="AJ3432" s="19"/>
      <c r="AK3432" s="19"/>
      <c r="AL3432" s="6" t="str">
        <f t="array" ref="AL3432">IFERROR(IFS(XLOOKUP(B3432, 'Kit Delivery Status'!$U:$U, 'Kit Delivery Status'!$K:$K) = "Complete", "DELIVERED", XLOOKUP(B3432, 'Kit Delivery Status'!$U:$U, 'Kit Delivery Status'!$K:$K) = "Issue", "ISSUE"), "")</f>
        <v/>
      </c>
      <c r="AM3432" s="6"/>
    </row>
    <row r="3433">
      <c r="A3433" s="19"/>
      <c r="B3433" s="19"/>
      <c r="C3433" s="19"/>
      <c r="D3433" s="42"/>
      <c r="E3433" s="19"/>
      <c r="F3433" s="19"/>
      <c r="G3433" s="19"/>
      <c r="H3433" s="19"/>
      <c r="I3433" s="19"/>
      <c r="J3433" s="19"/>
      <c r="K3433" s="19"/>
      <c r="L3433" s="19"/>
      <c r="M3433" s="19"/>
      <c r="N3433" s="19"/>
      <c r="O3433" s="43"/>
      <c r="P3433" s="19"/>
      <c r="Q3433" s="19"/>
      <c r="R3433" s="19"/>
      <c r="S3433" s="19"/>
      <c r="T3433" s="19"/>
      <c r="U3433" s="19"/>
      <c r="V3433" s="44"/>
      <c r="W3433" s="19"/>
      <c r="X3433" s="19"/>
      <c r="Y3433" s="19"/>
      <c r="Z3433" s="19"/>
      <c r="AA3433" s="19"/>
      <c r="AB3433" s="19"/>
      <c r="AC3433" s="19"/>
      <c r="AD3433" s="19"/>
      <c r="AE3433" s="19"/>
      <c r="AF3433" s="19"/>
      <c r="AG3433" s="19"/>
      <c r="AH3433" s="19"/>
      <c r="AI3433" s="19"/>
      <c r="AJ3433" s="19"/>
      <c r="AK3433" s="19"/>
      <c r="AL3433" s="6" t="str">
        <f t="array" ref="AL3433">IFERROR(IFS(XLOOKUP(B3433, 'Kit Delivery Status'!$U:$U, 'Kit Delivery Status'!$K:$K) = "Complete", "DELIVERED", XLOOKUP(B3433, 'Kit Delivery Status'!$U:$U, 'Kit Delivery Status'!$K:$K) = "Issue", "ISSUE"), "")</f>
        <v/>
      </c>
      <c r="AM3433" s="6"/>
    </row>
    <row r="3434">
      <c r="A3434" s="19"/>
      <c r="B3434" s="19"/>
      <c r="C3434" s="19"/>
      <c r="D3434" s="42"/>
      <c r="E3434" s="19"/>
      <c r="F3434" s="19"/>
      <c r="G3434" s="19"/>
      <c r="H3434" s="19"/>
      <c r="I3434" s="19"/>
      <c r="J3434" s="19"/>
      <c r="K3434" s="19"/>
      <c r="L3434" s="19"/>
      <c r="M3434" s="19"/>
      <c r="N3434" s="19"/>
      <c r="O3434" s="43"/>
      <c r="P3434" s="19"/>
      <c r="Q3434" s="19"/>
      <c r="R3434" s="19"/>
      <c r="S3434" s="19"/>
      <c r="T3434" s="19"/>
      <c r="U3434" s="19"/>
      <c r="V3434" s="44"/>
      <c r="W3434" s="19"/>
      <c r="X3434" s="19"/>
      <c r="Y3434" s="19"/>
      <c r="Z3434" s="19"/>
      <c r="AA3434" s="19"/>
      <c r="AB3434" s="19"/>
      <c r="AC3434" s="19"/>
      <c r="AD3434" s="19"/>
      <c r="AE3434" s="19"/>
      <c r="AF3434" s="19"/>
      <c r="AG3434" s="19"/>
      <c r="AH3434" s="19"/>
      <c r="AI3434" s="19"/>
      <c r="AJ3434" s="19"/>
      <c r="AK3434" s="19"/>
      <c r="AL3434" s="6" t="str">
        <f t="array" ref="AL3434">IFERROR(IFS(XLOOKUP(B3434, 'Kit Delivery Status'!$U:$U, 'Kit Delivery Status'!$K:$K) = "Complete", "DELIVERED", XLOOKUP(B3434, 'Kit Delivery Status'!$U:$U, 'Kit Delivery Status'!$K:$K) = "Issue", "ISSUE"), "")</f>
        <v/>
      </c>
      <c r="AM3434" s="6"/>
    </row>
    <row r="3435">
      <c r="A3435" s="19"/>
      <c r="B3435" s="19"/>
      <c r="C3435" s="19"/>
      <c r="D3435" s="42"/>
      <c r="E3435" s="19"/>
      <c r="F3435" s="19"/>
      <c r="G3435" s="19"/>
      <c r="H3435" s="19"/>
      <c r="I3435" s="19"/>
      <c r="J3435" s="19"/>
      <c r="K3435" s="19"/>
      <c r="L3435" s="19"/>
      <c r="M3435" s="19"/>
      <c r="N3435" s="19"/>
      <c r="O3435" s="43"/>
      <c r="P3435" s="19"/>
      <c r="Q3435" s="19"/>
      <c r="R3435" s="19"/>
      <c r="S3435" s="19"/>
      <c r="T3435" s="19"/>
      <c r="U3435" s="19"/>
      <c r="V3435" s="44"/>
      <c r="W3435" s="19"/>
      <c r="X3435" s="19"/>
      <c r="Y3435" s="19"/>
      <c r="Z3435" s="19"/>
      <c r="AA3435" s="19"/>
      <c r="AB3435" s="19"/>
      <c r="AC3435" s="19"/>
      <c r="AD3435" s="19"/>
      <c r="AE3435" s="19"/>
      <c r="AF3435" s="19"/>
      <c r="AG3435" s="19"/>
      <c r="AH3435" s="19"/>
      <c r="AI3435" s="19"/>
      <c r="AJ3435" s="19"/>
      <c r="AK3435" s="19"/>
      <c r="AL3435" s="6" t="str">
        <f t="array" ref="AL3435">IFERROR(IFS(XLOOKUP(B3435, 'Kit Delivery Status'!$U:$U, 'Kit Delivery Status'!$K:$K) = "Complete", "DELIVERED", XLOOKUP(B3435, 'Kit Delivery Status'!$U:$U, 'Kit Delivery Status'!$K:$K) = "Issue", "ISSUE"), "")</f>
        <v/>
      </c>
      <c r="AM3435" s="6"/>
    </row>
    <row r="3436">
      <c r="A3436" s="19"/>
      <c r="B3436" s="19"/>
      <c r="C3436" s="19"/>
      <c r="D3436" s="42"/>
      <c r="E3436" s="19"/>
      <c r="F3436" s="19"/>
      <c r="G3436" s="19"/>
      <c r="H3436" s="19"/>
      <c r="I3436" s="19"/>
      <c r="J3436" s="19"/>
      <c r="K3436" s="19"/>
      <c r="L3436" s="19"/>
      <c r="M3436" s="19"/>
      <c r="N3436" s="19"/>
      <c r="O3436" s="43"/>
      <c r="P3436" s="19"/>
      <c r="Q3436" s="19"/>
      <c r="R3436" s="19"/>
      <c r="S3436" s="19"/>
      <c r="T3436" s="19"/>
      <c r="U3436" s="19"/>
      <c r="V3436" s="44"/>
      <c r="W3436" s="19"/>
      <c r="X3436" s="19"/>
      <c r="Y3436" s="19"/>
      <c r="Z3436" s="19"/>
      <c r="AA3436" s="19"/>
      <c r="AB3436" s="19"/>
      <c r="AC3436" s="19"/>
      <c r="AD3436" s="19"/>
      <c r="AE3436" s="19"/>
      <c r="AF3436" s="19"/>
      <c r="AG3436" s="19"/>
      <c r="AH3436" s="19"/>
      <c r="AI3436" s="19"/>
      <c r="AJ3436" s="19"/>
      <c r="AK3436" s="19"/>
      <c r="AL3436" s="6" t="str">
        <f t="array" ref="AL3436">IFERROR(IFS(XLOOKUP(B3436, 'Kit Delivery Status'!$U:$U, 'Kit Delivery Status'!$K:$K) = "Complete", "DELIVERED", XLOOKUP(B3436, 'Kit Delivery Status'!$U:$U, 'Kit Delivery Status'!$K:$K) = "Issue", "ISSUE"), "")</f>
        <v/>
      </c>
      <c r="AM3436" s="6"/>
    </row>
    <row r="3437">
      <c r="A3437" s="19"/>
      <c r="B3437" s="19"/>
      <c r="C3437" s="19"/>
      <c r="D3437" s="42"/>
      <c r="E3437" s="19"/>
      <c r="F3437" s="19"/>
      <c r="G3437" s="19"/>
      <c r="H3437" s="19"/>
      <c r="I3437" s="19"/>
      <c r="J3437" s="19"/>
      <c r="K3437" s="19"/>
      <c r="L3437" s="19"/>
      <c r="M3437" s="19"/>
      <c r="N3437" s="19"/>
      <c r="O3437" s="43"/>
      <c r="P3437" s="19"/>
      <c r="Q3437" s="19"/>
      <c r="R3437" s="19"/>
      <c r="S3437" s="19"/>
      <c r="T3437" s="19"/>
      <c r="U3437" s="19"/>
      <c r="V3437" s="44"/>
      <c r="W3437" s="19"/>
      <c r="X3437" s="19"/>
      <c r="Y3437" s="19"/>
      <c r="Z3437" s="19"/>
      <c r="AA3437" s="19"/>
      <c r="AB3437" s="19"/>
      <c r="AC3437" s="19"/>
      <c r="AD3437" s="19"/>
      <c r="AE3437" s="19"/>
      <c r="AF3437" s="19"/>
      <c r="AG3437" s="19"/>
      <c r="AH3437" s="19"/>
      <c r="AI3437" s="19"/>
      <c r="AJ3437" s="19"/>
      <c r="AK3437" s="19"/>
      <c r="AL3437" s="6" t="str">
        <f t="array" ref="AL3437">IFERROR(IFS(XLOOKUP(B3437, 'Kit Delivery Status'!$U:$U, 'Kit Delivery Status'!$K:$K) = "Complete", "DELIVERED", XLOOKUP(B3437, 'Kit Delivery Status'!$U:$U, 'Kit Delivery Status'!$K:$K) = "Issue", "ISSUE"), "")</f>
        <v/>
      </c>
      <c r="AM3437" s="6"/>
    </row>
    <row r="3438">
      <c r="A3438" s="19"/>
      <c r="B3438" s="19"/>
      <c r="C3438" s="19"/>
      <c r="D3438" s="42"/>
      <c r="E3438" s="19"/>
      <c r="F3438" s="19"/>
      <c r="G3438" s="19"/>
      <c r="H3438" s="19"/>
      <c r="I3438" s="19"/>
      <c r="J3438" s="19"/>
      <c r="K3438" s="19"/>
      <c r="L3438" s="19"/>
      <c r="M3438" s="19"/>
      <c r="N3438" s="19"/>
      <c r="O3438" s="43"/>
      <c r="P3438" s="19"/>
      <c r="Q3438" s="19"/>
      <c r="R3438" s="19"/>
      <c r="S3438" s="19"/>
      <c r="T3438" s="19"/>
      <c r="U3438" s="19"/>
      <c r="V3438" s="44"/>
      <c r="W3438" s="19"/>
      <c r="X3438" s="19"/>
      <c r="Y3438" s="19"/>
      <c r="Z3438" s="19"/>
      <c r="AA3438" s="19"/>
      <c r="AB3438" s="19"/>
      <c r="AC3438" s="19"/>
      <c r="AD3438" s="19"/>
      <c r="AE3438" s="19"/>
      <c r="AF3438" s="19"/>
      <c r="AG3438" s="19"/>
      <c r="AH3438" s="19"/>
      <c r="AI3438" s="19"/>
      <c r="AJ3438" s="19"/>
      <c r="AK3438" s="19"/>
      <c r="AL3438" s="6" t="str">
        <f t="array" ref="AL3438">IFERROR(IFS(XLOOKUP(B3438, 'Kit Delivery Status'!$U:$U, 'Kit Delivery Status'!$K:$K) = "Complete", "DELIVERED", XLOOKUP(B3438, 'Kit Delivery Status'!$U:$U, 'Kit Delivery Status'!$K:$K) = "Issue", "ISSUE"), "")</f>
        <v/>
      </c>
      <c r="AM3438" s="6"/>
    </row>
    <row r="3439">
      <c r="A3439" s="19"/>
      <c r="B3439" s="19"/>
      <c r="C3439" s="19"/>
      <c r="D3439" s="42"/>
      <c r="E3439" s="19"/>
      <c r="F3439" s="19"/>
      <c r="G3439" s="19"/>
      <c r="H3439" s="19"/>
      <c r="I3439" s="19"/>
      <c r="J3439" s="19"/>
      <c r="K3439" s="19"/>
      <c r="L3439" s="19"/>
      <c r="M3439" s="19"/>
      <c r="N3439" s="19"/>
      <c r="O3439" s="43"/>
      <c r="P3439" s="19"/>
      <c r="Q3439" s="19"/>
      <c r="R3439" s="19"/>
      <c r="S3439" s="19"/>
      <c r="T3439" s="19"/>
      <c r="U3439" s="19"/>
      <c r="V3439" s="44"/>
      <c r="W3439" s="19"/>
      <c r="X3439" s="19"/>
      <c r="Y3439" s="19"/>
      <c r="Z3439" s="19"/>
      <c r="AA3439" s="19"/>
      <c r="AB3439" s="19"/>
      <c r="AC3439" s="19"/>
      <c r="AD3439" s="19"/>
      <c r="AE3439" s="19"/>
      <c r="AF3439" s="19"/>
      <c r="AG3439" s="19"/>
      <c r="AH3439" s="19"/>
      <c r="AI3439" s="19"/>
      <c r="AJ3439" s="19"/>
      <c r="AK3439" s="19"/>
      <c r="AL3439" s="6" t="str">
        <f t="array" ref="AL3439">IFERROR(IFS(XLOOKUP(B3439, 'Kit Delivery Status'!$U:$U, 'Kit Delivery Status'!$K:$K) = "Complete", "DELIVERED", XLOOKUP(B3439, 'Kit Delivery Status'!$U:$U, 'Kit Delivery Status'!$K:$K) = "Issue", "ISSUE"), "")</f>
        <v/>
      </c>
      <c r="AM3439" s="6"/>
    </row>
    <row r="3440">
      <c r="A3440" s="19"/>
      <c r="B3440" s="19"/>
      <c r="C3440" s="19"/>
      <c r="D3440" s="42"/>
      <c r="E3440" s="19"/>
      <c r="F3440" s="19"/>
      <c r="G3440" s="19"/>
      <c r="H3440" s="19"/>
      <c r="I3440" s="19"/>
      <c r="J3440" s="19"/>
      <c r="K3440" s="19"/>
      <c r="L3440" s="19"/>
      <c r="M3440" s="19"/>
      <c r="N3440" s="19"/>
      <c r="O3440" s="43"/>
      <c r="P3440" s="19"/>
      <c r="Q3440" s="19"/>
      <c r="R3440" s="19"/>
      <c r="S3440" s="19"/>
      <c r="T3440" s="19"/>
      <c r="U3440" s="19"/>
      <c r="V3440" s="44"/>
      <c r="W3440" s="19"/>
      <c r="X3440" s="19"/>
      <c r="Y3440" s="19"/>
      <c r="Z3440" s="19"/>
      <c r="AA3440" s="19"/>
      <c r="AB3440" s="19"/>
      <c r="AC3440" s="19"/>
      <c r="AD3440" s="19"/>
      <c r="AE3440" s="19"/>
      <c r="AF3440" s="19"/>
      <c r="AG3440" s="19"/>
      <c r="AH3440" s="19"/>
      <c r="AI3440" s="19"/>
      <c r="AJ3440" s="19"/>
      <c r="AK3440" s="19"/>
      <c r="AL3440" s="6" t="str">
        <f t="array" ref="AL3440">IFERROR(IFS(XLOOKUP(B3440, 'Kit Delivery Status'!$U:$U, 'Kit Delivery Status'!$K:$K) = "Complete", "DELIVERED", XLOOKUP(B3440, 'Kit Delivery Status'!$U:$U, 'Kit Delivery Status'!$K:$K) = "Issue", "ISSUE"), "")</f>
        <v/>
      </c>
      <c r="AM3440" s="6"/>
    </row>
    <row r="3441">
      <c r="A3441" s="19"/>
      <c r="B3441" s="19"/>
      <c r="C3441" s="19"/>
      <c r="D3441" s="42"/>
      <c r="E3441" s="19"/>
      <c r="F3441" s="19"/>
      <c r="G3441" s="19"/>
      <c r="H3441" s="19"/>
      <c r="I3441" s="19"/>
      <c r="J3441" s="19"/>
      <c r="K3441" s="19"/>
      <c r="L3441" s="19"/>
      <c r="M3441" s="19"/>
      <c r="N3441" s="19"/>
      <c r="O3441" s="43"/>
      <c r="P3441" s="19"/>
      <c r="Q3441" s="19"/>
      <c r="R3441" s="19"/>
      <c r="S3441" s="19"/>
      <c r="T3441" s="19"/>
      <c r="U3441" s="19"/>
      <c r="V3441" s="44"/>
      <c r="W3441" s="19"/>
      <c r="X3441" s="19"/>
      <c r="Y3441" s="19"/>
      <c r="Z3441" s="19"/>
      <c r="AA3441" s="19"/>
      <c r="AB3441" s="19"/>
      <c r="AC3441" s="19"/>
      <c r="AD3441" s="19"/>
      <c r="AE3441" s="19"/>
      <c r="AF3441" s="19"/>
      <c r="AG3441" s="19"/>
      <c r="AH3441" s="19"/>
      <c r="AI3441" s="19"/>
      <c r="AJ3441" s="19"/>
      <c r="AK3441" s="19"/>
      <c r="AL3441" s="6" t="str">
        <f t="array" ref="AL3441">IFERROR(IFS(XLOOKUP(B3441, 'Kit Delivery Status'!$U:$U, 'Kit Delivery Status'!$K:$K) = "Complete", "DELIVERED", XLOOKUP(B3441, 'Kit Delivery Status'!$U:$U, 'Kit Delivery Status'!$K:$K) = "Issue", "ISSUE"), "")</f>
        <v/>
      </c>
      <c r="AM3441" s="6"/>
    </row>
    <row r="3442">
      <c r="A3442" s="19"/>
      <c r="B3442" s="19"/>
      <c r="C3442" s="19"/>
      <c r="D3442" s="42"/>
      <c r="E3442" s="19"/>
      <c r="F3442" s="19"/>
      <c r="G3442" s="19"/>
      <c r="H3442" s="19"/>
      <c r="I3442" s="19"/>
      <c r="J3442" s="19"/>
      <c r="K3442" s="19"/>
      <c r="L3442" s="19"/>
      <c r="M3442" s="19"/>
      <c r="N3442" s="19"/>
      <c r="O3442" s="43"/>
      <c r="P3442" s="19"/>
      <c r="Q3442" s="19"/>
      <c r="R3442" s="19"/>
      <c r="S3442" s="19"/>
      <c r="T3442" s="19"/>
      <c r="U3442" s="19"/>
      <c r="V3442" s="44"/>
      <c r="W3442" s="19"/>
      <c r="X3442" s="19"/>
      <c r="Y3442" s="19"/>
      <c r="Z3442" s="19"/>
      <c r="AA3442" s="19"/>
      <c r="AB3442" s="19"/>
      <c r="AC3442" s="19"/>
      <c r="AD3442" s="19"/>
      <c r="AE3442" s="19"/>
      <c r="AF3442" s="19"/>
      <c r="AG3442" s="19"/>
      <c r="AH3442" s="19"/>
      <c r="AI3442" s="19"/>
      <c r="AJ3442" s="19"/>
      <c r="AK3442" s="19"/>
      <c r="AL3442" s="6" t="str">
        <f t="array" ref="AL3442">IFERROR(IFS(XLOOKUP(B3442, 'Kit Delivery Status'!$U:$U, 'Kit Delivery Status'!$K:$K) = "Complete", "DELIVERED", XLOOKUP(B3442, 'Kit Delivery Status'!$U:$U, 'Kit Delivery Status'!$K:$K) = "Issue", "ISSUE"), "")</f>
        <v/>
      </c>
      <c r="AM3442" s="6"/>
    </row>
    <row r="3443">
      <c r="A3443" s="19"/>
      <c r="B3443" s="19"/>
      <c r="C3443" s="19"/>
      <c r="D3443" s="42"/>
      <c r="E3443" s="19"/>
      <c r="F3443" s="19"/>
      <c r="G3443" s="19"/>
      <c r="H3443" s="19"/>
      <c r="I3443" s="19"/>
      <c r="J3443" s="19"/>
      <c r="K3443" s="19"/>
      <c r="L3443" s="19"/>
      <c r="M3443" s="19"/>
      <c r="N3443" s="19"/>
      <c r="O3443" s="43"/>
      <c r="P3443" s="19"/>
      <c r="Q3443" s="19"/>
      <c r="R3443" s="19"/>
      <c r="S3443" s="19"/>
      <c r="T3443" s="19"/>
      <c r="U3443" s="19"/>
      <c r="V3443" s="44"/>
      <c r="W3443" s="19"/>
      <c r="X3443" s="19"/>
      <c r="Y3443" s="19"/>
      <c r="Z3443" s="19"/>
      <c r="AA3443" s="19"/>
      <c r="AB3443" s="19"/>
      <c r="AC3443" s="19"/>
      <c r="AD3443" s="19"/>
      <c r="AE3443" s="19"/>
      <c r="AF3443" s="19"/>
      <c r="AG3443" s="19"/>
      <c r="AH3443" s="19"/>
      <c r="AI3443" s="19"/>
      <c r="AJ3443" s="19"/>
      <c r="AK3443" s="19"/>
      <c r="AL3443" s="6" t="str">
        <f t="array" ref="AL3443">IFERROR(IFS(XLOOKUP(B3443, 'Kit Delivery Status'!$U:$U, 'Kit Delivery Status'!$K:$K) = "Complete", "DELIVERED", XLOOKUP(B3443, 'Kit Delivery Status'!$U:$U, 'Kit Delivery Status'!$K:$K) = "Issue", "ISSUE"), "")</f>
        <v/>
      </c>
      <c r="AM3443" s="6"/>
    </row>
    <row r="3444">
      <c r="A3444" s="19"/>
      <c r="B3444" s="19"/>
      <c r="C3444" s="19"/>
      <c r="D3444" s="42"/>
      <c r="E3444" s="19"/>
      <c r="F3444" s="19"/>
      <c r="G3444" s="19"/>
      <c r="H3444" s="19"/>
      <c r="I3444" s="19"/>
      <c r="J3444" s="19"/>
      <c r="K3444" s="19"/>
      <c r="L3444" s="19"/>
      <c r="M3444" s="19"/>
      <c r="N3444" s="19"/>
      <c r="O3444" s="43"/>
      <c r="P3444" s="19"/>
      <c r="Q3444" s="19"/>
      <c r="R3444" s="19"/>
      <c r="S3444" s="19"/>
      <c r="T3444" s="19"/>
      <c r="U3444" s="19"/>
      <c r="V3444" s="44"/>
      <c r="W3444" s="19"/>
      <c r="X3444" s="19"/>
      <c r="Y3444" s="19"/>
      <c r="Z3444" s="19"/>
      <c r="AA3444" s="19"/>
      <c r="AB3444" s="19"/>
      <c r="AC3444" s="19"/>
      <c r="AD3444" s="19"/>
      <c r="AE3444" s="19"/>
      <c r="AF3444" s="19"/>
      <c r="AG3444" s="19"/>
      <c r="AH3444" s="19"/>
      <c r="AI3444" s="19"/>
      <c r="AJ3444" s="19"/>
      <c r="AK3444" s="19"/>
      <c r="AL3444" s="6" t="str">
        <f t="array" ref="AL3444">IFERROR(IFS(XLOOKUP(B3444, 'Kit Delivery Status'!$U:$U, 'Kit Delivery Status'!$K:$K) = "Complete", "DELIVERED", XLOOKUP(B3444, 'Kit Delivery Status'!$U:$U, 'Kit Delivery Status'!$K:$K) = "Issue", "ISSUE"), "")</f>
        <v/>
      </c>
      <c r="AM3444" s="6"/>
    </row>
    <row r="3445">
      <c r="A3445" s="19"/>
      <c r="B3445" s="19"/>
      <c r="C3445" s="19"/>
      <c r="D3445" s="42"/>
      <c r="E3445" s="19"/>
      <c r="F3445" s="19"/>
      <c r="G3445" s="19"/>
      <c r="H3445" s="19"/>
      <c r="I3445" s="19"/>
      <c r="J3445" s="19"/>
      <c r="K3445" s="19"/>
      <c r="L3445" s="19"/>
      <c r="M3445" s="19"/>
      <c r="N3445" s="19"/>
      <c r="O3445" s="43"/>
      <c r="P3445" s="19"/>
      <c r="Q3445" s="19"/>
      <c r="R3445" s="19"/>
      <c r="S3445" s="19"/>
      <c r="T3445" s="19"/>
      <c r="U3445" s="19"/>
      <c r="V3445" s="44"/>
      <c r="W3445" s="19"/>
      <c r="X3445" s="19"/>
      <c r="Y3445" s="19"/>
      <c r="Z3445" s="19"/>
      <c r="AA3445" s="19"/>
      <c r="AB3445" s="19"/>
      <c r="AC3445" s="19"/>
      <c r="AD3445" s="19"/>
      <c r="AE3445" s="19"/>
      <c r="AF3445" s="19"/>
      <c r="AG3445" s="19"/>
      <c r="AH3445" s="19"/>
      <c r="AI3445" s="19"/>
      <c r="AJ3445" s="19"/>
      <c r="AK3445" s="19"/>
      <c r="AL3445" s="6" t="str">
        <f t="array" ref="AL3445">IFERROR(IFS(XLOOKUP(B3445, 'Kit Delivery Status'!$U:$U, 'Kit Delivery Status'!$K:$K) = "Complete", "DELIVERED", XLOOKUP(B3445, 'Kit Delivery Status'!$U:$U, 'Kit Delivery Status'!$K:$K) = "Issue", "ISSUE"), "")</f>
        <v/>
      </c>
      <c r="AM3445" s="6"/>
    </row>
    <row r="3446">
      <c r="A3446" s="19"/>
      <c r="B3446" s="19"/>
      <c r="C3446" s="19"/>
      <c r="D3446" s="42"/>
      <c r="E3446" s="19"/>
      <c r="F3446" s="19"/>
      <c r="G3446" s="19"/>
      <c r="H3446" s="19"/>
      <c r="I3446" s="19"/>
      <c r="J3446" s="19"/>
      <c r="K3446" s="19"/>
      <c r="L3446" s="19"/>
      <c r="M3446" s="19"/>
      <c r="N3446" s="19"/>
      <c r="O3446" s="43"/>
      <c r="P3446" s="19"/>
      <c r="Q3446" s="19"/>
      <c r="R3446" s="19"/>
      <c r="S3446" s="19"/>
      <c r="T3446" s="19"/>
      <c r="U3446" s="19"/>
      <c r="V3446" s="44"/>
      <c r="W3446" s="19"/>
      <c r="X3446" s="19"/>
      <c r="Y3446" s="19"/>
      <c r="Z3446" s="19"/>
      <c r="AA3446" s="19"/>
      <c r="AB3446" s="19"/>
      <c r="AC3446" s="19"/>
      <c r="AD3446" s="19"/>
      <c r="AE3446" s="19"/>
      <c r="AF3446" s="19"/>
      <c r="AG3446" s="19"/>
      <c r="AH3446" s="19"/>
      <c r="AI3446" s="19"/>
      <c r="AJ3446" s="19"/>
      <c r="AK3446" s="19"/>
      <c r="AL3446" s="6" t="str">
        <f t="array" ref="AL3446">IFERROR(IFS(XLOOKUP(B3446, 'Kit Delivery Status'!$U:$U, 'Kit Delivery Status'!$K:$K) = "Complete", "DELIVERED", XLOOKUP(B3446, 'Kit Delivery Status'!$U:$U, 'Kit Delivery Status'!$K:$K) = "Issue", "ISSUE"), "")</f>
        <v/>
      </c>
      <c r="AM3446" s="6"/>
    </row>
    <row r="3447">
      <c r="A3447" s="19"/>
      <c r="B3447" s="19"/>
      <c r="C3447" s="19"/>
      <c r="D3447" s="42"/>
      <c r="E3447" s="19"/>
      <c r="F3447" s="19"/>
      <c r="G3447" s="19"/>
      <c r="H3447" s="19"/>
      <c r="I3447" s="19"/>
      <c r="J3447" s="19"/>
      <c r="K3447" s="19"/>
      <c r="L3447" s="19"/>
      <c r="M3447" s="19"/>
      <c r="N3447" s="19"/>
      <c r="O3447" s="43"/>
      <c r="P3447" s="19"/>
      <c r="Q3447" s="19"/>
      <c r="R3447" s="19"/>
      <c r="S3447" s="19"/>
      <c r="T3447" s="19"/>
      <c r="U3447" s="19"/>
      <c r="V3447" s="44"/>
      <c r="W3447" s="19"/>
      <c r="X3447" s="19"/>
      <c r="Y3447" s="19"/>
      <c r="Z3447" s="19"/>
      <c r="AA3447" s="19"/>
      <c r="AB3447" s="19"/>
      <c r="AC3447" s="19"/>
      <c r="AD3447" s="19"/>
      <c r="AE3447" s="19"/>
      <c r="AF3447" s="19"/>
      <c r="AG3447" s="19"/>
      <c r="AH3447" s="19"/>
      <c r="AI3447" s="19"/>
      <c r="AJ3447" s="19"/>
      <c r="AK3447" s="19"/>
      <c r="AL3447" s="6" t="str">
        <f t="array" ref="AL3447">IFERROR(IFS(XLOOKUP(B3447, 'Kit Delivery Status'!$U:$U, 'Kit Delivery Status'!$K:$K) = "Complete", "DELIVERED", XLOOKUP(B3447, 'Kit Delivery Status'!$U:$U, 'Kit Delivery Status'!$K:$K) = "Issue", "ISSUE"), "")</f>
        <v/>
      </c>
      <c r="AM3447" s="6"/>
    </row>
    <row r="3448">
      <c r="A3448" s="19"/>
      <c r="B3448" s="19"/>
      <c r="C3448" s="19"/>
      <c r="D3448" s="42"/>
      <c r="E3448" s="19"/>
      <c r="F3448" s="19"/>
      <c r="G3448" s="19"/>
      <c r="H3448" s="19"/>
      <c r="I3448" s="19"/>
      <c r="J3448" s="19"/>
      <c r="K3448" s="19"/>
      <c r="L3448" s="19"/>
      <c r="M3448" s="19"/>
      <c r="N3448" s="19"/>
      <c r="O3448" s="43"/>
      <c r="P3448" s="19"/>
      <c r="Q3448" s="19"/>
      <c r="R3448" s="19"/>
      <c r="S3448" s="19"/>
      <c r="T3448" s="19"/>
      <c r="U3448" s="19"/>
      <c r="V3448" s="44"/>
      <c r="W3448" s="19"/>
      <c r="X3448" s="19"/>
      <c r="Y3448" s="19"/>
      <c r="Z3448" s="19"/>
      <c r="AA3448" s="19"/>
      <c r="AB3448" s="19"/>
      <c r="AC3448" s="19"/>
      <c r="AD3448" s="19"/>
      <c r="AE3448" s="19"/>
      <c r="AF3448" s="19"/>
      <c r="AG3448" s="19"/>
      <c r="AH3448" s="19"/>
      <c r="AI3448" s="19"/>
      <c r="AJ3448" s="19"/>
      <c r="AK3448" s="19"/>
      <c r="AL3448" s="6" t="str">
        <f t="array" ref="AL3448">IFERROR(IFS(XLOOKUP(B3448, 'Kit Delivery Status'!$U:$U, 'Kit Delivery Status'!$K:$K) = "Complete", "DELIVERED", XLOOKUP(B3448, 'Kit Delivery Status'!$U:$U, 'Kit Delivery Status'!$K:$K) = "Issue", "ISSUE"), "")</f>
        <v/>
      </c>
      <c r="AM3448" s="6"/>
    </row>
    <row r="3449">
      <c r="A3449" s="19"/>
      <c r="B3449" s="19"/>
      <c r="C3449" s="19"/>
      <c r="D3449" s="42"/>
      <c r="E3449" s="19"/>
      <c r="F3449" s="19"/>
      <c r="G3449" s="19"/>
      <c r="H3449" s="19"/>
      <c r="I3449" s="19"/>
      <c r="J3449" s="19"/>
      <c r="K3449" s="19"/>
      <c r="L3449" s="19"/>
      <c r="M3449" s="19"/>
      <c r="N3449" s="19"/>
      <c r="O3449" s="43"/>
      <c r="P3449" s="19"/>
      <c r="Q3449" s="19"/>
      <c r="R3449" s="19"/>
      <c r="S3449" s="19"/>
      <c r="T3449" s="19"/>
      <c r="U3449" s="19"/>
      <c r="V3449" s="44"/>
      <c r="W3449" s="19"/>
      <c r="X3449" s="19"/>
      <c r="Y3449" s="19"/>
      <c r="Z3449" s="19"/>
      <c r="AA3449" s="19"/>
      <c r="AB3449" s="19"/>
      <c r="AC3449" s="19"/>
      <c r="AD3449" s="19"/>
      <c r="AE3449" s="19"/>
      <c r="AF3449" s="19"/>
      <c r="AG3449" s="19"/>
      <c r="AH3449" s="19"/>
      <c r="AI3449" s="19"/>
      <c r="AJ3449" s="19"/>
      <c r="AK3449" s="19"/>
      <c r="AL3449" s="6" t="str">
        <f t="array" ref="AL3449">IFERROR(IFS(XLOOKUP(B3449, 'Kit Delivery Status'!$U:$U, 'Kit Delivery Status'!$K:$K) = "Complete", "DELIVERED", XLOOKUP(B3449, 'Kit Delivery Status'!$U:$U, 'Kit Delivery Status'!$K:$K) = "Issue", "ISSUE"), "")</f>
        <v/>
      </c>
      <c r="AM3449" s="6"/>
    </row>
    <row r="3450">
      <c r="A3450" s="19"/>
      <c r="B3450" s="19"/>
      <c r="C3450" s="19"/>
      <c r="D3450" s="42"/>
      <c r="E3450" s="19"/>
      <c r="F3450" s="19"/>
      <c r="G3450" s="19"/>
      <c r="H3450" s="19"/>
      <c r="I3450" s="19"/>
      <c r="J3450" s="19"/>
      <c r="K3450" s="19"/>
      <c r="L3450" s="19"/>
      <c r="M3450" s="19"/>
      <c r="N3450" s="19"/>
      <c r="O3450" s="43"/>
      <c r="P3450" s="19"/>
      <c r="Q3450" s="19"/>
      <c r="R3450" s="19"/>
      <c r="S3450" s="19"/>
      <c r="T3450" s="19"/>
      <c r="U3450" s="19"/>
      <c r="V3450" s="44"/>
      <c r="W3450" s="19"/>
      <c r="X3450" s="19"/>
      <c r="Y3450" s="19"/>
      <c r="Z3450" s="19"/>
      <c r="AA3450" s="19"/>
      <c r="AB3450" s="19"/>
      <c r="AC3450" s="19"/>
      <c r="AD3450" s="19"/>
      <c r="AE3450" s="19"/>
      <c r="AF3450" s="19"/>
      <c r="AG3450" s="19"/>
      <c r="AH3450" s="19"/>
      <c r="AI3450" s="19"/>
      <c r="AJ3450" s="19"/>
      <c r="AK3450" s="19"/>
      <c r="AL3450" s="6" t="str">
        <f t="array" ref="AL3450">IFERROR(IFS(XLOOKUP(B3450, 'Kit Delivery Status'!$U:$U, 'Kit Delivery Status'!$K:$K) = "Complete", "DELIVERED", XLOOKUP(B3450, 'Kit Delivery Status'!$U:$U, 'Kit Delivery Status'!$K:$K) = "Issue", "ISSUE"), "")</f>
        <v/>
      </c>
      <c r="AM3450" s="6"/>
    </row>
    <row r="3451">
      <c r="A3451" s="19"/>
      <c r="B3451" s="19"/>
      <c r="C3451" s="19"/>
      <c r="D3451" s="42"/>
      <c r="E3451" s="19"/>
      <c r="F3451" s="19"/>
      <c r="G3451" s="19"/>
      <c r="H3451" s="19"/>
      <c r="I3451" s="19"/>
      <c r="J3451" s="19"/>
      <c r="K3451" s="19"/>
      <c r="L3451" s="19"/>
      <c r="M3451" s="19"/>
      <c r="N3451" s="19"/>
      <c r="O3451" s="43"/>
      <c r="P3451" s="19"/>
      <c r="Q3451" s="19"/>
      <c r="R3451" s="19"/>
      <c r="S3451" s="19"/>
      <c r="T3451" s="19"/>
      <c r="U3451" s="19"/>
      <c r="V3451" s="44"/>
      <c r="W3451" s="19"/>
      <c r="X3451" s="19"/>
      <c r="Y3451" s="19"/>
      <c r="Z3451" s="19"/>
      <c r="AA3451" s="19"/>
      <c r="AB3451" s="19"/>
      <c r="AC3451" s="19"/>
      <c r="AD3451" s="19"/>
      <c r="AE3451" s="19"/>
      <c r="AF3451" s="19"/>
      <c r="AG3451" s="19"/>
      <c r="AH3451" s="19"/>
      <c r="AI3451" s="19"/>
      <c r="AJ3451" s="19"/>
      <c r="AK3451" s="19"/>
      <c r="AL3451" s="6" t="str">
        <f t="array" ref="AL3451">IFERROR(IFS(XLOOKUP(B3451, 'Kit Delivery Status'!$U:$U, 'Kit Delivery Status'!$K:$K) = "Complete", "DELIVERED", XLOOKUP(B3451, 'Kit Delivery Status'!$U:$U, 'Kit Delivery Status'!$K:$K) = "Issue", "ISSUE"), "")</f>
        <v/>
      </c>
      <c r="AM3451" s="6"/>
    </row>
    <row r="3452">
      <c r="A3452" s="19"/>
      <c r="B3452" s="19"/>
      <c r="C3452" s="19"/>
      <c r="D3452" s="42"/>
      <c r="E3452" s="19"/>
      <c r="F3452" s="19"/>
      <c r="G3452" s="19"/>
      <c r="H3452" s="19"/>
      <c r="I3452" s="19"/>
      <c r="J3452" s="19"/>
      <c r="K3452" s="19"/>
      <c r="L3452" s="19"/>
      <c r="M3452" s="19"/>
      <c r="N3452" s="19"/>
      <c r="O3452" s="43"/>
      <c r="P3452" s="19"/>
      <c r="Q3452" s="19"/>
      <c r="R3452" s="19"/>
      <c r="S3452" s="19"/>
      <c r="T3452" s="19"/>
      <c r="U3452" s="19"/>
      <c r="V3452" s="44"/>
      <c r="W3452" s="19"/>
      <c r="X3452" s="19"/>
      <c r="Y3452" s="19"/>
      <c r="Z3452" s="19"/>
      <c r="AA3452" s="19"/>
      <c r="AB3452" s="19"/>
      <c r="AC3452" s="19"/>
      <c r="AD3452" s="19"/>
      <c r="AE3452" s="19"/>
      <c r="AF3452" s="19"/>
      <c r="AG3452" s="19"/>
      <c r="AH3452" s="19"/>
      <c r="AI3452" s="19"/>
      <c r="AJ3452" s="19"/>
      <c r="AK3452" s="19"/>
      <c r="AL3452" s="6" t="str">
        <f t="array" ref="AL3452">IFERROR(IFS(XLOOKUP(B3452, 'Kit Delivery Status'!$U:$U, 'Kit Delivery Status'!$K:$K) = "Complete", "DELIVERED", XLOOKUP(B3452, 'Kit Delivery Status'!$U:$U, 'Kit Delivery Status'!$K:$K) = "Issue", "ISSUE"), "")</f>
        <v/>
      </c>
      <c r="AM3452" s="6"/>
    </row>
    <row r="3453">
      <c r="A3453" s="19"/>
      <c r="B3453" s="19"/>
      <c r="C3453" s="19"/>
      <c r="D3453" s="42"/>
      <c r="E3453" s="19"/>
      <c r="F3453" s="19"/>
      <c r="G3453" s="19"/>
      <c r="H3453" s="19"/>
      <c r="I3453" s="19"/>
      <c r="J3453" s="19"/>
      <c r="K3453" s="19"/>
      <c r="L3453" s="19"/>
      <c r="M3453" s="19"/>
      <c r="N3453" s="19"/>
      <c r="O3453" s="43"/>
      <c r="P3453" s="19"/>
      <c r="Q3453" s="19"/>
      <c r="R3453" s="19"/>
      <c r="S3453" s="19"/>
      <c r="T3453" s="19"/>
      <c r="U3453" s="19"/>
      <c r="V3453" s="44"/>
      <c r="W3453" s="19"/>
      <c r="X3453" s="19"/>
      <c r="Y3453" s="19"/>
      <c r="Z3453" s="19"/>
      <c r="AA3453" s="19"/>
      <c r="AB3453" s="19"/>
      <c r="AC3453" s="19"/>
      <c r="AD3453" s="19"/>
      <c r="AE3453" s="19"/>
      <c r="AF3453" s="19"/>
      <c r="AG3453" s="19"/>
      <c r="AH3453" s="19"/>
      <c r="AI3453" s="19"/>
      <c r="AJ3453" s="19"/>
      <c r="AK3453" s="19"/>
      <c r="AL3453" s="6" t="str">
        <f t="array" ref="AL3453">IFERROR(IFS(XLOOKUP(B3453, 'Kit Delivery Status'!$U:$U, 'Kit Delivery Status'!$K:$K) = "Complete", "DELIVERED", XLOOKUP(B3453, 'Kit Delivery Status'!$U:$U, 'Kit Delivery Status'!$K:$K) = "Issue", "ISSUE"), "")</f>
        <v/>
      </c>
      <c r="AM3453" s="6"/>
    </row>
    <row r="3454">
      <c r="A3454" s="19"/>
      <c r="B3454" s="19"/>
      <c r="C3454" s="19"/>
      <c r="D3454" s="42"/>
      <c r="E3454" s="19"/>
      <c r="F3454" s="19"/>
      <c r="G3454" s="19"/>
      <c r="H3454" s="19"/>
      <c r="I3454" s="19"/>
      <c r="J3454" s="19"/>
      <c r="K3454" s="19"/>
      <c r="L3454" s="19"/>
      <c r="M3454" s="19"/>
      <c r="N3454" s="19"/>
      <c r="O3454" s="43"/>
      <c r="P3454" s="19"/>
      <c r="Q3454" s="19"/>
      <c r="R3454" s="19"/>
      <c r="S3454" s="19"/>
      <c r="T3454" s="19"/>
      <c r="U3454" s="19"/>
      <c r="V3454" s="44"/>
      <c r="W3454" s="19"/>
      <c r="X3454" s="19"/>
      <c r="Y3454" s="19"/>
      <c r="Z3454" s="19"/>
      <c r="AA3454" s="19"/>
      <c r="AB3454" s="19"/>
      <c r="AC3454" s="19"/>
      <c r="AD3454" s="19"/>
      <c r="AE3454" s="19"/>
      <c r="AF3454" s="19"/>
      <c r="AG3454" s="19"/>
      <c r="AH3454" s="19"/>
      <c r="AI3454" s="19"/>
      <c r="AJ3454" s="19"/>
      <c r="AK3454" s="19"/>
      <c r="AL3454" s="6" t="str">
        <f t="array" ref="AL3454">IFERROR(IFS(XLOOKUP(B3454, 'Kit Delivery Status'!$U:$U, 'Kit Delivery Status'!$K:$K) = "Complete", "DELIVERED", XLOOKUP(B3454, 'Kit Delivery Status'!$U:$U, 'Kit Delivery Status'!$K:$K) = "Issue", "ISSUE"), "")</f>
        <v/>
      </c>
      <c r="AM3454" s="6"/>
    </row>
    <row r="3455">
      <c r="A3455" s="19"/>
      <c r="B3455" s="19"/>
      <c r="C3455" s="19"/>
      <c r="D3455" s="42"/>
      <c r="E3455" s="19"/>
      <c r="F3455" s="19"/>
      <c r="G3455" s="19"/>
      <c r="H3455" s="19"/>
      <c r="I3455" s="19"/>
      <c r="J3455" s="19"/>
      <c r="K3455" s="19"/>
      <c r="L3455" s="19"/>
      <c r="M3455" s="19"/>
      <c r="N3455" s="19"/>
      <c r="O3455" s="43"/>
      <c r="P3455" s="19"/>
      <c r="Q3455" s="19"/>
      <c r="R3455" s="19"/>
      <c r="S3455" s="19"/>
      <c r="T3455" s="19"/>
      <c r="U3455" s="19"/>
      <c r="V3455" s="44"/>
      <c r="W3455" s="19"/>
      <c r="X3455" s="19"/>
      <c r="Y3455" s="19"/>
      <c r="Z3455" s="19"/>
      <c r="AA3455" s="19"/>
      <c r="AB3455" s="19"/>
      <c r="AC3455" s="19"/>
      <c r="AD3455" s="19"/>
      <c r="AE3455" s="19"/>
      <c r="AF3455" s="19"/>
      <c r="AG3455" s="19"/>
      <c r="AH3455" s="19"/>
      <c r="AI3455" s="19"/>
      <c r="AJ3455" s="19"/>
      <c r="AK3455" s="19"/>
      <c r="AL3455" s="6" t="str">
        <f t="array" ref="AL3455">IFERROR(IFS(XLOOKUP(B3455, 'Kit Delivery Status'!$U:$U, 'Kit Delivery Status'!$K:$K) = "Complete", "DELIVERED", XLOOKUP(B3455, 'Kit Delivery Status'!$U:$U, 'Kit Delivery Status'!$K:$K) = "Issue", "ISSUE"), "")</f>
        <v/>
      </c>
      <c r="AM3455" s="6"/>
    </row>
    <row r="3456">
      <c r="A3456" s="19"/>
      <c r="B3456" s="19"/>
      <c r="C3456" s="19"/>
      <c r="D3456" s="42"/>
      <c r="E3456" s="19"/>
      <c r="F3456" s="19"/>
      <c r="G3456" s="19"/>
      <c r="H3456" s="19"/>
      <c r="I3456" s="19"/>
      <c r="J3456" s="19"/>
      <c r="K3456" s="19"/>
      <c r="L3456" s="19"/>
      <c r="M3456" s="19"/>
      <c r="N3456" s="19"/>
      <c r="O3456" s="43"/>
      <c r="P3456" s="19"/>
      <c r="Q3456" s="19"/>
      <c r="R3456" s="19"/>
      <c r="S3456" s="19"/>
      <c r="T3456" s="19"/>
      <c r="U3456" s="19"/>
      <c r="V3456" s="44"/>
      <c r="W3456" s="19"/>
      <c r="X3456" s="19"/>
      <c r="Y3456" s="19"/>
      <c r="Z3456" s="19"/>
      <c r="AA3456" s="19"/>
      <c r="AB3456" s="19"/>
      <c r="AC3456" s="19"/>
      <c r="AD3456" s="19"/>
      <c r="AE3456" s="19"/>
      <c r="AF3456" s="19"/>
      <c r="AG3456" s="19"/>
      <c r="AH3456" s="19"/>
      <c r="AI3456" s="19"/>
      <c r="AJ3456" s="19"/>
      <c r="AK3456" s="19"/>
      <c r="AL3456" s="6" t="str">
        <f t="array" ref="AL3456">IFERROR(IFS(XLOOKUP(B3456, 'Kit Delivery Status'!$U:$U, 'Kit Delivery Status'!$K:$K) = "Complete", "DELIVERED", XLOOKUP(B3456, 'Kit Delivery Status'!$U:$U, 'Kit Delivery Status'!$K:$K) = "Issue", "ISSUE"), "")</f>
        <v/>
      </c>
      <c r="AM3456" s="6"/>
    </row>
    <row r="3457">
      <c r="A3457" s="19"/>
      <c r="B3457" s="19"/>
      <c r="C3457" s="19"/>
      <c r="D3457" s="42"/>
      <c r="E3457" s="19"/>
      <c r="F3457" s="19"/>
      <c r="G3457" s="19"/>
      <c r="H3457" s="19"/>
      <c r="I3457" s="19"/>
      <c r="J3457" s="19"/>
      <c r="K3457" s="19"/>
      <c r="L3457" s="19"/>
      <c r="M3457" s="19"/>
      <c r="N3457" s="19"/>
      <c r="O3457" s="43"/>
      <c r="P3457" s="19"/>
      <c r="Q3457" s="19"/>
      <c r="R3457" s="19"/>
      <c r="S3457" s="19"/>
      <c r="T3457" s="19"/>
      <c r="U3457" s="19"/>
      <c r="V3457" s="44"/>
      <c r="W3457" s="19"/>
      <c r="X3457" s="19"/>
      <c r="Y3457" s="19"/>
      <c r="Z3457" s="19"/>
      <c r="AA3457" s="19"/>
      <c r="AB3457" s="19"/>
      <c r="AC3457" s="19"/>
      <c r="AD3457" s="19"/>
      <c r="AE3457" s="19"/>
      <c r="AF3457" s="19"/>
      <c r="AG3457" s="19"/>
      <c r="AH3457" s="19"/>
      <c r="AI3457" s="19"/>
      <c r="AJ3457" s="19"/>
      <c r="AK3457" s="19"/>
      <c r="AL3457" s="6" t="str">
        <f t="array" ref="AL3457">IFERROR(IFS(XLOOKUP(B3457, 'Kit Delivery Status'!$U:$U, 'Kit Delivery Status'!$K:$K) = "Complete", "DELIVERED", XLOOKUP(B3457, 'Kit Delivery Status'!$U:$U, 'Kit Delivery Status'!$K:$K) = "Issue", "ISSUE"), "")</f>
        <v/>
      </c>
      <c r="AM3457" s="6"/>
    </row>
    <row r="3458">
      <c r="A3458" s="19"/>
      <c r="B3458" s="19"/>
      <c r="C3458" s="19"/>
      <c r="D3458" s="42"/>
      <c r="E3458" s="19"/>
      <c r="F3458" s="19"/>
      <c r="G3458" s="19"/>
      <c r="H3458" s="19"/>
      <c r="I3458" s="19"/>
      <c r="J3458" s="19"/>
      <c r="K3458" s="19"/>
      <c r="L3458" s="19"/>
      <c r="M3458" s="19"/>
      <c r="N3458" s="19"/>
      <c r="O3458" s="43"/>
      <c r="P3458" s="19"/>
      <c r="Q3458" s="19"/>
      <c r="R3458" s="19"/>
      <c r="S3458" s="19"/>
      <c r="T3458" s="19"/>
      <c r="U3458" s="19"/>
      <c r="V3458" s="44"/>
      <c r="W3458" s="19"/>
      <c r="X3458" s="19"/>
      <c r="Y3458" s="19"/>
      <c r="Z3458" s="19"/>
      <c r="AA3458" s="19"/>
      <c r="AB3458" s="19"/>
      <c r="AC3458" s="19"/>
      <c r="AD3458" s="19"/>
      <c r="AE3458" s="19"/>
      <c r="AF3458" s="19"/>
      <c r="AG3458" s="19"/>
      <c r="AH3458" s="19"/>
      <c r="AI3458" s="19"/>
      <c r="AJ3458" s="19"/>
      <c r="AK3458" s="19"/>
      <c r="AL3458" s="6" t="str">
        <f t="array" ref="AL3458">IFERROR(IFS(XLOOKUP(B3458, 'Kit Delivery Status'!$U:$U, 'Kit Delivery Status'!$K:$K) = "Complete", "DELIVERED", XLOOKUP(B3458, 'Kit Delivery Status'!$U:$U, 'Kit Delivery Status'!$K:$K) = "Issue", "ISSUE"), "")</f>
        <v/>
      </c>
      <c r="AM3458" s="6"/>
    </row>
    <row r="3459">
      <c r="A3459" s="19"/>
      <c r="B3459" s="19"/>
      <c r="C3459" s="19"/>
      <c r="D3459" s="42"/>
      <c r="E3459" s="19"/>
      <c r="F3459" s="19"/>
      <c r="G3459" s="19"/>
      <c r="H3459" s="19"/>
      <c r="I3459" s="19"/>
      <c r="J3459" s="19"/>
      <c r="K3459" s="19"/>
      <c r="L3459" s="19"/>
      <c r="M3459" s="19"/>
      <c r="N3459" s="19"/>
      <c r="O3459" s="43"/>
      <c r="P3459" s="19"/>
      <c r="Q3459" s="19"/>
      <c r="R3459" s="19"/>
      <c r="S3459" s="19"/>
      <c r="T3459" s="19"/>
      <c r="U3459" s="19"/>
      <c r="V3459" s="44"/>
      <c r="W3459" s="19"/>
      <c r="X3459" s="19"/>
      <c r="Y3459" s="19"/>
      <c r="Z3459" s="19"/>
      <c r="AA3459" s="19"/>
      <c r="AB3459" s="19"/>
      <c r="AC3459" s="19"/>
      <c r="AD3459" s="19"/>
      <c r="AE3459" s="19"/>
      <c r="AF3459" s="19"/>
      <c r="AG3459" s="19"/>
      <c r="AH3459" s="19"/>
      <c r="AI3459" s="19"/>
      <c r="AJ3459" s="19"/>
      <c r="AK3459" s="19"/>
      <c r="AL3459" s="6" t="str">
        <f t="array" ref="AL3459">IFERROR(IFS(XLOOKUP(B3459, 'Kit Delivery Status'!$U:$U, 'Kit Delivery Status'!$K:$K) = "Complete", "DELIVERED", XLOOKUP(B3459, 'Kit Delivery Status'!$U:$U, 'Kit Delivery Status'!$K:$K) = "Issue", "ISSUE"), "")</f>
        <v/>
      </c>
      <c r="AM3459" s="6"/>
    </row>
    <row r="3460">
      <c r="A3460" s="19"/>
      <c r="B3460" s="19"/>
      <c r="C3460" s="19"/>
      <c r="D3460" s="42"/>
      <c r="E3460" s="19"/>
      <c r="F3460" s="19"/>
      <c r="G3460" s="19"/>
      <c r="H3460" s="19"/>
      <c r="I3460" s="19"/>
      <c r="J3460" s="19"/>
      <c r="K3460" s="19"/>
      <c r="L3460" s="19"/>
      <c r="M3460" s="19"/>
      <c r="N3460" s="19"/>
      <c r="O3460" s="43"/>
      <c r="P3460" s="19"/>
      <c r="Q3460" s="19"/>
      <c r="R3460" s="19"/>
      <c r="S3460" s="19"/>
      <c r="T3460" s="19"/>
      <c r="U3460" s="19"/>
      <c r="V3460" s="44"/>
      <c r="W3460" s="19"/>
      <c r="X3460" s="19"/>
      <c r="Y3460" s="19"/>
      <c r="Z3460" s="19"/>
      <c r="AA3460" s="19"/>
      <c r="AB3460" s="19"/>
      <c r="AC3460" s="19"/>
      <c r="AD3460" s="19"/>
      <c r="AE3460" s="19"/>
      <c r="AF3460" s="19"/>
      <c r="AG3460" s="19"/>
      <c r="AH3460" s="19"/>
      <c r="AI3460" s="19"/>
      <c r="AJ3460" s="19"/>
      <c r="AK3460" s="19"/>
      <c r="AL3460" s="6" t="str">
        <f t="array" ref="AL3460">IFERROR(IFS(XLOOKUP(B3460, 'Kit Delivery Status'!$U:$U, 'Kit Delivery Status'!$K:$K) = "Complete", "DELIVERED", XLOOKUP(B3460, 'Kit Delivery Status'!$U:$U, 'Kit Delivery Status'!$K:$K) = "Issue", "ISSUE"), "")</f>
        <v/>
      </c>
      <c r="AM3460" s="6"/>
    </row>
    <row r="3461">
      <c r="A3461" s="19"/>
      <c r="B3461" s="19"/>
      <c r="C3461" s="19"/>
      <c r="D3461" s="42"/>
      <c r="E3461" s="19"/>
      <c r="F3461" s="19"/>
      <c r="G3461" s="19"/>
      <c r="H3461" s="19"/>
      <c r="I3461" s="19"/>
      <c r="J3461" s="19"/>
      <c r="K3461" s="19"/>
      <c r="L3461" s="19"/>
      <c r="M3461" s="19"/>
      <c r="N3461" s="19"/>
      <c r="O3461" s="43"/>
      <c r="P3461" s="19"/>
      <c r="Q3461" s="19"/>
      <c r="R3461" s="19"/>
      <c r="S3461" s="19"/>
      <c r="T3461" s="19"/>
      <c r="U3461" s="19"/>
      <c r="V3461" s="44"/>
      <c r="W3461" s="19"/>
      <c r="X3461" s="19"/>
      <c r="Y3461" s="19"/>
      <c r="Z3461" s="19"/>
      <c r="AA3461" s="19"/>
      <c r="AB3461" s="19"/>
      <c r="AC3461" s="19"/>
      <c r="AD3461" s="19"/>
      <c r="AE3461" s="19"/>
      <c r="AF3461" s="19"/>
      <c r="AG3461" s="19"/>
      <c r="AH3461" s="19"/>
      <c r="AI3461" s="19"/>
      <c r="AJ3461" s="19"/>
      <c r="AK3461" s="19"/>
      <c r="AL3461" s="6" t="str">
        <f t="array" ref="AL3461">IFERROR(IFS(XLOOKUP(B3461, 'Kit Delivery Status'!$U:$U, 'Kit Delivery Status'!$K:$K) = "Complete", "DELIVERED", XLOOKUP(B3461, 'Kit Delivery Status'!$U:$U, 'Kit Delivery Status'!$K:$K) = "Issue", "ISSUE"), "")</f>
        <v/>
      </c>
      <c r="AM3461" s="6"/>
    </row>
    <row r="3462">
      <c r="A3462" s="19"/>
      <c r="B3462" s="19"/>
      <c r="C3462" s="19"/>
      <c r="D3462" s="42"/>
      <c r="E3462" s="19"/>
      <c r="F3462" s="19"/>
      <c r="G3462" s="19"/>
      <c r="H3462" s="19"/>
      <c r="I3462" s="19"/>
      <c r="J3462" s="19"/>
      <c r="K3462" s="19"/>
      <c r="L3462" s="19"/>
      <c r="M3462" s="19"/>
      <c r="N3462" s="19"/>
      <c r="O3462" s="43"/>
      <c r="P3462" s="19"/>
      <c r="Q3462" s="19"/>
      <c r="R3462" s="19"/>
      <c r="S3462" s="19"/>
      <c r="T3462" s="19"/>
      <c r="U3462" s="19"/>
      <c r="V3462" s="44"/>
      <c r="W3462" s="19"/>
      <c r="X3462" s="19"/>
      <c r="Y3462" s="19"/>
      <c r="Z3462" s="19"/>
      <c r="AA3462" s="19"/>
      <c r="AB3462" s="19"/>
      <c r="AC3462" s="19"/>
      <c r="AD3462" s="19"/>
      <c r="AE3462" s="19"/>
      <c r="AF3462" s="19"/>
      <c r="AG3462" s="19"/>
      <c r="AH3462" s="19"/>
      <c r="AI3462" s="19"/>
      <c r="AJ3462" s="19"/>
      <c r="AK3462" s="19"/>
      <c r="AL3462" s="6" t="str">
        <f t="array" ref="AL3462">IFERROR(IFS(XLOOKUP(B3462, 'Kit Delivery Status'!$U:$U, 'Kit Delivery Status'!$K:$K) = "Complete", "DELIVERED", XLOOKUP(B3462, 'Kit Delivery Status'!$U:$U, 'Kit Delivery Status'!$K:$K) = "Issue", "ISSUE"), "")</f>
        <v/>
      </c>
      <c r="AM3462" s="6"/>
    </row>
    <row r="3463">
      <c r="A3463" s="19"/>
      <c r="B3463" s="19"/>
      <c r="C3463" s="19"/>
      <c r="D3463" s="42"/>
      <c r="E3463" s="19"/>
      <c r="F3463" s="19"/>
      <c r="G3463" s="19"/>
      <c r="H3463" s="19"/>
      <c r="I3463" s="19"/>
      <c r="J3463" s="19"/>
      <c r="K3463" s="19"/>
      <c r="L3463" s="19"/>
      <c r="M3463" s="19"/>
      <c r="N3463" s="19"/>
      <c r="O3463" s="43"/>
      <c r="P3463" s="19"/>
      <c r="Q3463" s="19"/>
      <c r="R3463" s="19"/>
      <c r="S3463" s="19"/>
      <c r="T3463" s="19"/>
      <c r="U3463" s="19"/>
      <c r="V3463" s="44"/>
      <c r="W3463" s="19"/>
      <c r="X3463" s="19"/>
      <c r="Y3463" s="19"/>
      <c r="Z3463" s="19"/>
      <c r="AA3463" s="19"/>
      <c r="AB3463" s="19"/>
      <c r="AC3463" s="19"/>
      <c r="AD3463" s="19"/>
      <c r="AE3463" s="19"/>
      <c r="AF3463" s="19"/>
      <c r="AG3463" s="19"/>
      <c r="AH3463" s="19"/>
      <c r="AI3463" s="19"/>
      <c r="AJ3463" s="19"/>
      <c r="AK3463" s="19"/>
      <c r="AL3463" s="6" t="str">
        <f t="array" ref="AL3463">IFERROR(IFS(XLOOKUP(B3463, 'Kit Delivery Status'!$U:$U, 'Kit Delivery Status'!$K:$K) = "Complete", "DELIVERED", XLOOKUP(B3463, 'Kit Delivery Status'!$U:$U, 'Kit Delivery Status'!$K:$K) = "Issue", "ISSUE"), "")</f>
        <v/>
      </c>
      <c r="AM3463" s="6"/>
    </row>
    <row r="3464">
      <c r="A3464" s="19"/>
      <c r="B3464" s="19"/>
      <c r="C3464" s="19"/>
      <c r="D3464" s="42"/>
      <c r="E3464" s="19"/>
      <c r="F3464" s="19"/>
      <c r="G3464" s="19"/>
      <c r="H3464" s="19"/>
      <c r="I3464" s="19"/>
      <c r="J3464" s="19"/>
      <c r="K3464" s="19"/>
      <c r="L3464" s="19"/>
      <c r="M3464" s="19"/>
      <c r="N3464" s="19"/>
      <c r="O3464" s="43"/>
      <c r="P3464" s="19"/>
      <c r="Q3464" s="19"/>
      <c r="R3464" s="19"/>
      <c r="S3464" s="19"/>
      <c r="T3464" s="19"/>
      <c r="U3464" s="19"/>
      <c r="V3464" s="44"/>
      <c r="W3464" s="19"/>
      <c r="X3464" s="19"/>
      <c r="Y3464" s="19"/>
      <c r="Z3464" s="19"/>
      <c r="AA3464" s="19"/>
      <c r="AB3464" s="19"/>
      <c r="AC3464" s="19"/>
      <c r="AD3464" s="19"/>
      <c r="AE3464" s="19"/>
      <c r="AF3464" s="19"/>
      <c r="AG3464" s="19"/>
      <c r="AH3464" s="19"/>
      <c r="AI3464" s="19"/>
      <c r="AJ3464" s="19"/>
      <c r="AK3464" s="19"/>
      <c r="AL3464" s="6" t="str">
        <f t="array" ref="AL3464">IFERROR(IFS(XLOOKUP(B3464, 'Kit Delivery Status'!$U:$U, 'Kit Delivery Status'!$K:$K) = "Complete", "DELIVERED", XLOOKUP(B3464, 'Kit Delivery Status'!$U:$U, 'Kit Delivery Status'!$K:$K) = "Issue", "ISSUE"), "")</f>
        <v/>
      </c>
      <c r="AM3464" s="6"/>
    </row>
    <row r="3465">
      <c r="A3465" s="19"/>
      <c r="B3465" s="19"/>
      <c r="C3465" s="19"/>
      <c r="D3465" s="42"/>
      <c r="E3465" s="19"/>
      <c r="F3465" s="19"/>
      <c r="G3465" s="19"/>
      <c r="H3465" s="19"/>
      <c r="I3465" s="19"/>
      <c r="J3465" s="19"/>
      <c r="K3465" s="19"/>
      <c r="L3465" s="19"/>
      <c r="M3465" s="19"/>
      <c r="N3465" s="19"/>
      <c r="O3465" s="43"/>
      <c r="P3465" s="19"/>
      <c r="Q3465" s="19"/>
      <c r="R3465" s="19"/>
      <c r="S3465" s="19"/>
      <c r="T3465" s="19"/>
      <c r="U3465" s="19"/>
      <c r="V3465" s="44"/>
      <c r="W3465" s="19"/>
      <c r="X3465" s="19"/>
      <c r="Y3465" s="19"/>
      <c r="Z3465" s="19"/>
      <c r="AA3465" s="19"/>
      <c r="AB3465" s="19"/>
      <c r="AC3465" s="19"/>
      <c r="AD3465" s="19"/>
      <c r="AE3465" s="19"/>
      <c r="AF3465" s="19"/>
      <c r="AG3465" s="19"/>
      <c r="AH3465" s="19"/>
      <c r="AI3465" s="19"/>
      <c r="AJ3465" s="19"/>
      <c r="AK3465" s="19"/>
      <c r="AL3465" s="6" t="str">
        <f t="array" ref="AL3465">IFERROR(IFS(XLOOKUP(B3465, 'Kit Delivery Status'!$U:$U, 'Kit Delivery Status'!$K:$K) = "Complete", "DELIVERED", XLOOKUP(B3465, 'Kit Delivery Status'!$U:$U, 'Kit Delivery Status'!$K:$K) = "Issue", "ISSUE"), "")</f>
        <v/>
      </c>
      <c r="AM3465" s="6"/>
    </row>
    <row r="3466">
      <c r="A3466" s="19"/>
      <c r="B3466" s="19"/>
      <c r="C3466" s="19"/>
      <c r="D3466" s="42"/>
      <c r="E3466" s="19"/>
      <c r="F3466" s="19"/>
      <c r="G3466" s="19"/>
      <c r="H3466" s="19"/>
      <c r="I3466" s="19"/>
      <c r="J3466" s="19"/>
      <c r="K3466" s="19"/>
      <c r="L3466" s="19"/>
      <c r="M3466" s="19"/>
      <c r="N3466" s="19"/>
      <c r="O3466" s="43"/>
      <c r="P3466" s="19"/>
      <c r="Q3466" s="19"/>
      <c r="R3466" s="19"/>
      <c r="S3466" s="19"/>
      <c r="T3466" s="19"/>
      <c r="U3466" s="19"/>
      <c r="V3466" s="44"/>
      <c r="W3466" s="19"/>
      <c r="X3466" s="19"/>
      <c r="Y3466" s="19"/>
      <c r="Z3466" s="19"/>
      <c r="AA3466" s="19"/>
      <c r="AB3466" s="19"/>
      <c r="AC3466" s="19"/>
      <c r="AD3466" s="19"/>
      <c r="AE3466" s="19"/>
      <c r="AF3466" s="19"/>
      <c r="AG3466" s="19"/>
      <c r="AH3466" s="19"/>
      <c r="AI3466" s="19"/>
      <c r="AJ3466" s="19"/>
      <c r="AK3466" s="19"/>
      <c r="AL3466" s="6" t="str">
        <f t="array" ref="AL3466">IFERROR(IFS(XLOOKUP(B3466, 'Kit Delivery Status'!$U:$U, 'Kit Delivery Status'!$K:$K) = "Complete", "DELIVERED", XLOOKUP(B3466, 'Kit Delivery Status'!$U:$U, 'Kit Delivery Status'!$K:$K) = "Issue", "ISSUE"), "")</f>
        <v/>
      </c>
      <c r="AM3466" s="6"/>
    </row>
    <row r="3467">
      <c r="A3467" s="19"/>
      <c r="B3467" s="19"/>
      <c r="C3467" s="19"/>
      <c r="D3467" s="42"/>
      <c r="E3467" s="19"/>
      <c r="F3467" s="19"/>
      <c r="G3467" s="19"/>
      <c r="H3467" s="19"/>
      <c r="I3467" s="19"/>
      <c r="J3467" s="19"/>
      <c r="K3467" s="19"/>
      <c r="L3467" s="19"/>
      <c r="M3467" s="19"/>
      <c r="N3467" s="19"/>
      <c r="O3467" s="43"/>
      <c r="P3467" s="19"/>
      <c r="Q3467" s="19"/>
      <c r="R3467" s="19"/>
      <c r="S3467" s="19"/>
      <c r="T3467" s="19"/>
      <c r="U3467" s="19"/>
      <c r="V3467" s="44"/>
      <c r="W3467" s="19"/>
      <c r="X3467" s="19"/>
      <c r="Y3467" s="19"/>
      <c r="Z3467" s="19"/>
      <c r="AA3467" s="19"/>
      <c r="AB3467" s="19"/>
      <c r="AC3467" s="19"/>
      <c r="AD3467" s="19"/>
      <c r="AE3467" s="19"/>
      <c r="AF3467" s="19"/>
      <c r="AG3467" s="19"/>
      <c r="AH3467" s="19"/>
      <c r="AI3467" s="19"/>
      <c r="AJ3467" s="19"/>
      <c r="AK3467" s="19"/>
      <c r="AL3467" s="6" t="str">
        <f t="array" ref="AL3467">IFERROR(IFS(XLOOKUP(B3467, 'Kit Delivery Status'!$U:$U, 'Kit Delivery Status'!$K:$K) = "Complete", "DELIVERED", XLOOKUP(B3467, 'Kit Delivery Status'!$U:$U, 'Kit Delivery Status'!$K:$K) = "Issue", "ISSUE"), "")</f>
        <v/>
      </c>
      <c r="AM3467" s="6"/>
    </row>
    <row r="3468">
      <c r="A3468" s="19"/>
      <c r="B3468" s="19"/>
      <c r="C3468" s="19"/>
      <c r="D3468" s="42"/>
      <c r="E3468" s="19"/>
      <c r="F3468" s="19"/>
      <c r="G3468" s="19"/>
      <c r="H3468" s="19"/>
      <c r="I3468" s="19"/>
      <c r="J3468" s="19"/>
      <c r="K3468" s="19"/>
      <c r="L3468" s="19"/>
      <c r="M3468" s="19"/>
      <c r="N3468" s="19"/>
      <c r="O3468" s="43"/>
      <c r="P3468" s="19"/>
      <c r="Q3468" s="19"/>
      <c r="R3468" s="19"/>
      <c r="S3468" s="19"/>
      <c r="T3468" s="19"/>
      <c r="U3468" s="19"/>
      <c r="V3468" s="44"/>
      <c r="W3468" s="19"/>
      <c r="X3468" s="19"/>
      <c r="Y3468" s="19"/>
      <c r="Z3468" s="19"/>
      <c r="AA3468" s="19"/>
      <c r="AB3468" s="19"/>
      <c r="AC3468" s="19"/>
      <c r="AD3468" s="19"/>
      <c r="AE3468" s="19"/>
      <c r="AF3468" s="19"/>
      <c r="AG3468" s="19"/>
      <c r="AH3468" s="19"/>
      <c r="AI3468" s="19"/>
      <c r="AJ3468" s="19"/>
      <c r="AK3468" s="19"/>
      <c r="AL3468" s="6" t="str">
        <f t="array" ref="AL3468">IFERROR(IFS(XLOOKUP(B3468, 'Kit Delivery Status'!$U:$U, 'Kit Delivery Status'!$K:$K) = "Complete", "DELIVERED", XLOOKUP(B3468, 'Kit Delivery Status'!$U:$U, 'Kit Delivery Status'!$K:$K) = "Issue", "ISSUE"), "")</f>
        <v/>
      </c>
      <c r="AM3468" s="6"/>
    </row>
    <row r="3469">
      <c r="A3469" s="19"/>
      <c r="B3469" s="19"/>
      <c r="C3469" s="19"/>
      <c r="D3469" s="42"/>
      <c r="E3469" s="19"/>
      <c r="F3469" s="19"/>
      <c r="G3469" s="19"/>
      <c r="H3469" s="19"/>
      <c r="I3469" s="19"/>
      <c r="J3469" s="19"/>
      <c r="K3469" s="19"/>
      <c r="L3469" s="19"/>
      <c r="M3469" s="19"/>
      <c r="N3469" s="19"/>
      <c r="O3469" s="43"/>
      <c r="P3469" s="19"/>
      <c r="Q3469" s="19"/>
      <c r="R3469" s="19"/>
      <c r="S3469" s="19"/>
      <c r="T3469" s="19"/>
      <c r="U3469" s="19"/>
      <c r="V3469" s="44"/>
      <c r="W3469" s="19"/>
      <c r="X3469" s="19"/>
      <c r="Y3469" s="19"/>
      <c r="Z3469" s="19"/>
      <c r="AA3469" s="19"/>
      <c r="AB3469" s="19"/>
      <c r="AC3469" s="19"/>
      <c r="AD3469" s="19"/>
      <c r="AE3469" s="19"/>
      <c r="AF3469" s="19"/>
      <c r="AG3469" s="19"/>
      <c r="AH3469" s="19"/>
      <c r="AI3469" s="19"/>
      <c r="AJ3469" s="19"/>
      <c r="AK3469" s="19"/>
      <c r="AL3469" s="6" t="str">
        <f t="array" ref="AL3469">IFERROR(IFS(XLOOKUP(B3469, 'Kit Delivery Status'!$U:$U, 'Kit Delivery Status'!$K:$K) = "Complete", "DELIVERED", XLOOKUP(B3469, 'Kit Delivery Status'!$U:$U, 'Kit Delivery Status'!$K:$K) = "Issue", "ISSUE"), "")</f>
        <v/>
      </c>
      <c r="AM3469" s="6"/>
    </row>
    <row r="3470">
      <c r="A3470" s="19"/>
      <c r="B3470" s="19"/>
      <c r="C3470" s="19"/>
      <c r="D3470" s="42"/>
      <c r="E3470" s="19"/>
      <c r="F3470" s="19"/>
      <c r="G3470" s="19"/>
      <c r="H3470" s="19"/>
      <c r="I3470" s="19"/>
      <c r="J3470" s="19"/>
      <c r="K3470" s="19"/>
      <c r="L3470" s="19"/>
      <c r="M3470" s="19"/>
      <c r="N3470" s="19"/>
      <c r="O3470" s="43"/>
      <c r="P3470" s="19"/>
      <c r="Q3470" s="19"/>
      <c r="R3470" s="19"/>
      <c r="S3470" s="19"/>
      <c r="T3470" s="19"/>
      <c r="U3470" s="19"/>
      <c r="V3470" s="44"/>
      <c r="W3470" s="19"/>
      <c r="X3470" s="19"/>
      <c r="Y3470" s="19"/>
      <c r="Z3470" s="19"/>
      <c r="AA3470" s="19"/>
      <c r="AB3470" s="19"/>
      <c r="AC3470" s="19"/>
      <c r="AD3470" s="19"/>
      <c r="AE3470" s="19"/>
      <c r="AF3470" s="19"/>
      <c r="AG3470" s="19"/>
      <c r="AH3470" s="19"/>
      <c r="AI3470" s="19"/>
      <c r="AJ3470" s="19"/>
      <c r="AK3470" s="19"/>
      <c r="AL3470" s="6" t="str">
        <f t="array" ref="AL3470">IFERROR(IFS(XLOOKUP(B3470, 'Kit Delivery Status'!$U:$U, 'Kit Delivery Status'!$K:$K) = "Complete", "DELIVERED", XLOOKUP(B3470, 'Kit Delivery Status'!$U:$U, 'Kit Delivery Status'!$K:$K) = "Issue", "ISSUE"), "")</f>
        <v/>
      </c>
      <c r="AM3470" s="6"/>
    </row>
    <row r="3471">
      <c r="A3471" s="19"/>
      <c r="B3471" s="19"/>
      <c r="C3471" s="19"/>
      <c r="D3471" s="42"/>
      <c r="E3471" s="19"/>
      <c r="F3471" s="19"/>
      <c r="G3471" s="19"/>
      <c r="H3471" s="19"/>
      <c r="I3471" s="19"/>
      <c r="J3471" s="19"/>
      <c r="K3471" s="19"/>
      <c r="L3471" s="19"/>
      <c r="M3471" s="19"/>
      <c r="N3471" s="19"/>
      <c r="O3471" s="43"/>
      <c r="P3471" s="19"/>
      <c r="Q3471" s="19"/>
      <c r="R3471" s="19"/>
      <c r="S3471" s="19"/>
      <c r="T3471" s="19"/>
      <c r="U3471" s="19"/>
      <c r="V3471" s="44"/>
      <c r="W3471" s="19"/>
      <c r="X3471" s="19"/>
      <c r="Y3471" s="19"/>
      <c r="Z3471" s="19"/>
      <c r="AA3471" s="19"/>
      <c r="AB3471" s="19"/>
      <c r="AC3471" s="19"/>
      <c r="AD3471" s="19"/>
      <c r="AE3471" s="19"/>
      <c r="AF3471" s="19"/>
      <c r="AG3471" s="19"/>
      <c r="AH3471" s="19"/>
      <c r="AI3471" s="19"/>
      <c r="AJ3471" s="19"/>
      <c r="AK3471" s="19"/>
      <c r="AL3471" s="6" t="str">
        <f t="array" ref="AL3471">IFERROR(IFS(XLOOKUP(B3471, 'Kit Delivery Status'!$U:$U, 'Kit Delivery Status'!$K:$K) = "Complete", "DELIVERED", XLOOKUP(B3471, 'Kit Delivery Status'!$U:$U, 'Kit Delivery Status'!$K:$K) = "Issue", "ISSUE"), "")</f>
        <v/>
      </c>
      <c r="AM3471" s="6"/>
    </row>
    <row r="3472">
      <c r="A3472" s="19"/>
      <c r="B3472" s="19"/>
      <c r="C3472" s="19"/>
      <c r="D3472" s="42"/>
      <c r="E3472" s="19"/>
      <c r="F3472" s="19"/>
      <c r="G3472" s="19"/>
      <c r="H3472" s="19"/>
      <c r="I3472" s="19"/>
      <c r="J3472" s="19"/>
      <c r="K3472" s="19"/>
      <c r="L3472" s="19"/>
      <c r="M3472" s="19"/>
      <c r="N3472" s="19"/>
      <c r="O3472" s="43"/>
      <c r="P3472" s="19"/>
      <c r="Q3472" s="19"/>
      <c r="R3472" s="19"/>
      <c r="S3472" s="19"/>
      <c r="T3472" s="19"/>
      <c r="U3472" s="19"/>
      <c r="V3472" s="44"/>
      <c r="W3472" s="19"/>
      <c r="X3472" s="19"/>
      <c r="Y3472" s="19"/>
      <c r="Z3472" s="19"/>
      <c r="AA3472" s="19"/>
      <c r="AB3472" s="19"/>
      <c r="AC3472" s="19"/>
      <c r="AD3472" s="19"/>
      <c r="AE3472" s="19"/>
      <c r="AF3472" s="19"/>
      <c r="AG3472" s="19"/>
      <c r="AH3472" s="19"/>
      <c r="AI3472" s="19"/>
      <c r="AJ3472" s="19"/>
      <c r="AK3472" s="19"/>
      <c r="AL3472" s="6" t="str">
        <f t="array" ref="AL3472">IFERROR(IFS(XLOOKUP(B3472, 'Kit Delivery Status'!$U:$U, 'Kit Delivery Status'!$K:$K) = "Complete", "DELIVERED", XLOOKUP(B3472, 'Kit Delivery Status'!$U:$U, 'Kit Delivery Status'!$K:$K) = "Issue", "ISSUE"), "")</f>
        <v/>
      </c>
      <c r="AM3472" s="6"/>
    </row>
    <row r="3473">
      <c r="A3473" s="19"/>
      <c r="B3473" s="19"/>
      <c r="C3473" s="19"/>
      <c r="D3473" s="42"/>
      <c r="E3473" s="19"/>
      <c r="F3473" s="19"/>
      <c r="G3473" s="19"/>
      <c r="H3473" s="19"/>
      <c r="I3473" s="19"/>
      <c r="J3473" s="19"/>
      <c r="K3473" s="19"/>
      <c r="L3473" s="19"/>
      <c r="M3473" s="19"/>
      <c r="N3473" s="19"/>
      <c r="O3473" s="43"/>
      <c r="P3473" s="19"/>
      <c r="Q3473" s="19"/>
      <c r="R3473" s="19"/>
      <c r="S3473" s="19"/>
      <c r="T3473" s="19"/>
      <c r="U3473" s="19"/>
      <c r="V3473" s="44"/>
      <c r="W3473" s="19"/>
      <c r="X3473" s="19"/>
      <c r="Y3473" s="19"/>
      <c r="Z3473" s="19"/>
      <c r="AA3473" s="19"/>
      <c r="AB3473" s="19"/>
      <c r="AC3473" s="19"/>
      <c r="AD3473" s="19"/>
      <c r="AE3473" s="19"/>
      <c r="AF3473" s="19"/>
      <c r="AG3473" s="19"/>
      <c r="AH3473" s="19"/>
      <c r="AI3473" s="19"/>
      <c r="AJ3473" s="19"/>
      <c r="AK3473" s="19"/>
      <c r="AL3473" s="6" t="str">
        <f t="array" ref="AL3473">IFERROR(IFS(XLOOKUP(B3473, 'Kit Delivery Status'!$U:$U, 'Kit Delivery Status'!$K:$K) = "Complete", "DELIVERED", XLOOKUP(B3473, 'Kit Delivery Status'!$U:$U, 'Kit Delivery Status'!$K:$K) = "Issue", "ISSUE"), "")</f>
        <v/>
      </c>
      <c r="AM3473" s="6"/>
    </row>
    <row r="3474">
      <c r="A3474" s="19"/>
      <c r="B3474" s="19"/>
      <c r="C3474" s="19"/>
      <c r="D3474" s="42"/>
      <c r="E3474" s="19"/>
      <c r="F3474" s="19"/>
      <c r="G3474" s="19"/>
      <c r="H3474" s="19"/>
      <c r="I3474" s="19"/>
      <c r="J3474" s="19"/>
      <c r="K3474" s="19"/>
      <c r="L3474" s="19"/>
      <c r="M3474" s="19"/>
      <c r="N3474" s="19"/>
      <c r="O3474" s="43"/>
      <c r="P3474" s="19"/>
      <c r="Q3474" s="19"/>
      <c r="R3474" s="19"/>
      <c r="S3474" s="19"/>
      <c r="T3474" s="19"/>
      <c r="U3474" s="19"/>
      <c r="V3474" s="44"/>
      <c r="W3474" s="19"/>
      <c r="X3474" s="19"/>
      <c r="Y3474" s="19"/>
      <c r="Z3474" s="19"/>
      <c r="AA3474" s="19"/>
      <c r="AB3474" s="19"/>
      <c r="AC3474" s="19"/>
      <c r="AD3474" s="19"/>
      <c r="AE3474" s="19"/>
      <c r="AF3474" s="19"/>
      <c r="AG3474" s="19"/>
      <c r="AH3474" s="19"/>
      <c r="AI3474" s="19"/>
      <c r="AJ3474" s="19"/>
      <c r="AK3474" s="19"/>
      <c r="AL3474" s="6" t="str">
        <f t="array" ref="AL3474">IFERROR(IFS(XLOOKUP(B3474, 'Kit Delivery Status'!$U:$U, 'Kit Delivery Status'!$K:$K) = "Complete", "DELIVERED", XLOOKUP(B3474, 'Kit Delivery Status'!$U:$U, 'Kit Delivery Status'!$K:$K) = "Issue", "ISSUE"), "")</f>
        <v/>
      </c>
      <c r="AM3474" s="6"/>
    </row>
    <row r="3475">
      <c r="A3475" s="19"/>
      <c r="B3475" s="19"/>
      <c r="C3475" s="19"/>
      <c r="D3475" s="42"/>
      <c r="E3475" s="19"/>
      <c r="F3475" s="19"/>
      <c r="G3475" s="19"/>
      <c r="H3475" s="19"/>
      <c r="I3475" s="19"/>
      <c r="J3475" s="19"/>
      <c r="K3475" s="19"/>
      <c r="L3475" s="19"/>
      <c r="M3475" s="19"/>
      <c r="N3475" s="19"/>
      <c r="O3475" s="43"/>
      <c r="P3475" s="19"/>
      <c r="Q3475" s="19"/>
      <c r="R3475" s="19"/>
      <c r="S3475" s="19"/>
      <c r="T3475" s="19"/>
      <c r="U3475" s="19"/>
      <c r="V3475" s="44"/>
      <c r="W3475" s="19"/>
      <c r="X3475" s="19"/>
      <c r="Y3475" s="19"/>
      <c r="Z3475" s="19"/>
      <c r="AA3475" s="19"/>
      <c r="AB3475" s="19"/>
      <c r="AC3475" s="19"/>
      <c r="AD3475" s="19"/>
      <c r="AE3475" s="19"/>
      <c r="AF3475" s="19"/>
      <c r="AG3475" s="19"/>
      <c r="AH3475" s="19"/>
      <c r="AI3475" s="19"/>
      <c r="AJ3475" s="19"/>
      <c r="AK3475" s="19"/>
      <c r="AL3475" s="6" t="str">
        <f t="array" ref="AL3475">IFERROR(IFS(XLOOKUP(B3475, 'Kit Delivery Status'!$U:$U, 'Kit Delivery Status'!$K:$K) = "Complete", "DELIVERED", XLOOKUP(B3475, 'Kit Delivery Status'!$U:$U, 'Kit Delivery Status'!$K:$K) = "Issue", "ISSUE"), "")</f>
        <v/>
      </c>
      <c r="AM3475" s="6"/>
    </row>
    <row r="3476">
      <c r="A3476" s="19"/>
      <c r="B3476" s="19"/>
      <c r="C3476" s="19"/>
      <c r="D3476" s="42"/>
      <c r="E3476" s="19"/>
      <c r="F3476" s="19"/>
      <c r="G3476" s="19"/>
      <c r="H3476" s="19"/>
      <c r="I3476" s="19"/>
      <c r="J3476" s="19"/>
      <c r="K3476" s="19"/>
      <c r="L3476" s="19"/>
      <c r="M3476" s="19"/>
      <c r="N3476" s="19"/>
      <c r="O3476" s="43"/>
      <c r="P3476" s="19"/>
      <c r="Q3476" s="19"/>
      <c r="R3476" s="19"/>
      <c r="S3476" s="19"/>
      <c r="T3476" s="19"/>
      <c r="U3476" s="19"/>
      <c r="V3476" s="44"/>
      <c r="W3476" s="19"/>
      <c r="X3476" s="19"/>
      <c r="Y3476" s="19"/>
      <c r="Z3476" s="19"/>
      <c r="AA3476" s="19"/>
      <c r="AB3476" s="19"/>
      <c r="AC3476" s="19"/>
      <c r="AD3476" s="19"/>
      <c r="AE3476" s="19"/>
      <c r="AF3476" s="19"/>
      <c r="AG3476" s="19"/>
      <c r="AH3476" s="19"/>
      <c r="AI3476" s="19"/>
      <c r="AJ3476" s="19"/>
      <c r="AK3476" s="19"/>
      <c r="AL3476" s="6" t="str">
        <f t="array" ref="AL3476">IFERROR(IFS(XLOOKUP(B3476, 'Kit Delivery Status'!$U:$U, 'Kit Delivery Status'!$K:$K) = "Complete", "DELIVERED", XLOOKUP(B3476, 'Kit Delivery Status'!$U:$U, 'Kit Delivery Status'!$K:$K) = "Issue", "ISSUE"), "")</f>
        <v/>
      </c>
      <c r="AM3476" s="6"/>
    </row>
    <row r="3477">
      <c r="A3477" s="19"/>
      <c r="B3477" s="19"/>
      <c r="C3477" s="19"/>
      <c r="D3477" s="42"/>
      <c r="E3477" s="19"/>
      <c r="F3477" s="19"/>
      <c r="G3477" s="19"/>
      <c r="H3477" s="19"/>
      <c r="I3477" s="19"/>
      <c r="J3477" s="19"/>
      <c r="K3477" s="19"/>
      <c r="L3477" s="19"/>
      <c r="M3477" s="19"/>
      <c r="N3477" s="19"/>
      <c r="O3477" s="43"/>
      <c r="P3477" s="19"/>
      <c r="Q3477" s="19"/>
      <c r="R3477" s="19"/>
      <c r="S3477" s="19"/>
      <c r="T3477" s="19"/>
      <c r="U3477" s="19"/>
      <c r="V3477" s="44"/>
      <c r="W3477" s="19"/>
      <c r="X3477" s="19"/>
      <c r="Y3477" s="19"/>
      <c r="Z3477" s="19"/>
      <c r="AA3477" s="19"/>
      <c r="AB3477" s="19"/>
      <c r="AC3477" s="19"/>
      <c r="AD3477" s="19"/>
      <c r="AE3477" s="19"/>
      <c r="AF3477" s="19"/>
      <c r="AG3477" s="19"/>
      <c r="AH3477" s="19"/>
      <c r="AI3477" s="19"/>
      <c r="AJ3477" s="19"/>
      <c r="AK3477" s="19"/>
      <c r="AL3477" s="6" t="str">
        <f t="array" ref="AL3477">IFERROR(IFS(XLOOKUP(B3477, 'Kit Delivery Status'!$U:$U, 'Kit Delivery Status'!$K:$K) = "Complete", "DELIVERED", XLOOKUP(B3477, 'Kit Delivery Status'!$U:$U, 'Kit Delivery Status'!$K:$K) = "Issue", "ISSUE"), "")</f>
        <v/>
      </c>
      <c r="AM3477" s="6"/>
    </row>
    <row r="3478">
      <c r="A3478" s="19"/>
      <c r="B3478" s="19"/>
      <c r="C3478" s="19"/>
      <c r="D3478" s="42"/>
      <c r="E3478" s="19"/>
      <c r="F3478" s="19"/>
      <c r="G3478" s="19"/>
      <c r="H3478" s="19"/>
      <c r="I3478" s="19"/>
      <c r="J3478" s="19"/>
      <c r="K3478" s="19"/>
      <c r="L3478" s="19"/>
      <c r="M3478" s="19"/>
      <c r="N3478" s="19"/>
      <c r="O3478" s="43"/>
      <c r="P3478" s="19"/>
      <c r="Q3478" s="19"/>
      <c r="R3478" s="19"/>
      <c r="S3478" s="19"/>
      <c r="T3478" s="19"/>
      <c r="U3478" s="19"/>
      <c r="V3478" s="44"/>
      <c r="W3478" s="19"/>
      <c r="X3478" s="19"/>
      <c r="Y3478" s="19"/>
      <c r="Z3478" s="19"/>
      <c r="AA3478" s="19"/>
      <c r="AB3478" s="19"/>
      <c r="AC3478" s="19"/>
      <c r="AD3478" s="19"/>
      <c r="AE3478" s="19"/>
      <c r="AF3478" s="19"/>
      <c r="AG3478" s="19"/>
      <c r="AH3478" s="19"/>
      <c r="AI3478" s="19"/>
      <c r="AJ3478" s="19"/>
      <c r="AK3478" s="19"/>
      <c r="AL3478" s="6" t="str">
        <f t="array" ref="AL3478">IFERROR(IFS(XLOOKUP(B3478, 'Kit Delivery Status'!$U:$U, 'Kit Delivery Status'!$K:$K) = "Complete", "DELIVERED", XLOOKUP(B3478, 'Kit Delivery Status'!$U:$U, 'Kit Delivery Status'!$K:$K) = "Issue", "ISSUE"), "")</f>
        <v/>
      </c>
      <c r="AM3478" s="6"/>
    </row>
    <row r="3479">
      <c r="A3479" s="19"/>
      <c r="B3479" s="19"/>
      <c r="C3479" s="19"/>
      <c r="D3479" s="42"/>
      <c r="E3479" s="19"/>
      <c r="F3479" s="19"/>
      <c r="G3479" s="19"/>
      <c r="H3479" s="19"/>
      <c r="I3479" s="19"/>
      <c r="J3479" s="19"/>
      <c r="K3479" s="19"/>
      <c r="L3479" s="19"/>
      <c r="M3479" s="19"/>
      <c r="N3479" s="19"/>
      <c r="O3479" s="43"/>
      <c r="P3479" s="19"/>
      <c r="Q3479" s="19"/>
      <c r="R3479" s="19"/>
      <c r="S3479" s="19"/>
      <c r="T3479" s="19"/>
      <c r="U3479" s="19"/>
      <c r="V3479" s="44"/>
      <c r="W3479" s="19"/>
      <c r="X3479" s="19"/>
      <c r="Y3479" s="19"/>
      <c r="Z3479" s="19"/>
      <c r="AA3479" s="19"/>
      <c r="AB3479" s="19"/>
      <c r="AC3479" s="19"/>
      <c r="AD3479" s="19"/>
      <c r="AE3479" s="19"/>
      <c r="AF3479" s="19"/>
      <c r="AG3479" s="19"/>
      <c r="AH3479" s="19"/>
      <c r="AI3479" s="19"/>
      <c r="AJ3479" s="19"/>
      <c r="AK3479" s="19"/>
      <c r="AL3479" s="6" t="str">
        <f t="array" ref="AL3479">IFERROR(IFS(XLOOKUP(B3479, 'Kit Delivery Status'!$U:$U, 'Kit Delivery Status'!$K:$K) = "Complete", "DELIVERED", XLOOKUP(B3479, 'Kit Delivery Status'!$U:$U, 'Kit Delivery Status'!$K:$K) = "Issue", "ISSUE"), "")</f>
        <v/>
      </c>
      <c r="AM3479" s="6"/>
    </row>
    <row r="3480">
      <c r="A3480" s="19"/>
      <c r="B3480" s="19"/>
      <c r="C3480" s="19"/>
      <c r="D3480" s="42"/>
      <c r="E3480" s="19"/>
      <c r="F3480" s="19"/>
      <c r="G3480" s="19"/>
      <c r="H3480" s="19"/>
      <c r="I3480" s="19"/>
      <c r="J3480" s="19"/>
      <c r="K3480" s="19"/>
      <c r="L3480" s="19"/>
      <c r="M3480" s="19"/>
      <c r="N3480" s="19"/>
      <c r="O3480" s="43"/>
      <c r="P3480" s="19"/>
      <c r="Q3480" s="19"/>
      <c r="R3480" s="19"/>
      <c r="S3480" s="19"/>
      <c r="T3480" s="19"/>
      <c r="U3480" s="19"/>
      <c r="V3480" s="44"/>
      <c r="W3480" s="19"/>
      <c r="X3480" s="19"/>
      <c r="Y3480" s="19"/>
      <c r="Z3480" s="19"/>
      <c r="AA3480" s="19"/>
      <c r="AB3480" s="19"/>
      <c r="AC3480" s="19"/>
      <c r="AD3480" s="19"/>
      <c r="AE3480" s="19"/>
      <c r="AF3480" s="19"/>
      <c r="AG3480" s="19"/>
      <c r="AH3480" s="19"/>
      <c r="AI3480" s="19"/>
      <c r="AJ3480" s="19"/>
      <c r="AK3480" s="19"/>
      <c r="AL3480" s="6" t="str">
        <f t="array" ref="AL3480">IFERROR(IFS(XLOOKUP(B3480, 'Kit Delivery Status'!$U:$U, 'Kit Delivery Status'!$K:$K) = "Complete", "DELIVERED", XLOOKUP(B3480, 'Kit Delivery Status'!$U:$U, 'Kit Delivery Status'!$K:$K) = "Issue", "ISSUE"), "")</f>
        <v/>
      </c>
      <c r="AM3480" s="6"/>
    </row>
    <row r="3481">
      <c r="A3481" s="19"/>
      <c r="B3481" s="19"/>
      <c r="C3481" s="19"/>
      <c r="D3481" s="42"/>
      <c r="E3481" s="19"/>
      <c r="F3481" s="19"/>
      <c r="G3481" s="19"/>
      <c r="H3481" s="19"/>
      <c r="I3481" s="19"/>
      <c r="J3481" s="19"/>
      <c r="K3481" s="19"/>
      <c r="L3481" s="19"/>
      <c r="M3481" s="19"/>
      <c r="N3481" s="19"/>
      <c r="O3481" s="43"/>
      <c r="P3481" s="19"/>
      <c r="Q3481" s="19"/>
      <c r="R3481" s="19"/>
      <c r="S3481" s="19"/>
      <c r="T3481" s="19"/>
      <c r="U3481" s="19"/>
      <c r="V3481" s="44"/>
      <c r="W3481" s="19"/>
      <c r="X3481" s="19"/>
      <c r="Y3481" s="19"/>
      <c r="Z3481" s="19"/>
      <c r="AA3481" s="19"/>
      <c r="AB3481" s="19"/>
      <c r="AC3481" s="19"/>
      <c r="AD3481" s="19"/>
      <c r="AE3481" s="19"/>
      <c r="AF3481" s="19"/>
      <c r="AG3481" s="19"/>
      <c r="AH3481" s="19"/>
      <c r="AI3481" s="19"/>
      <c r="AJ3481" s="19"/>
      <c r="AK3481" s="19"/>
      <c r="AL3481" s="6" t="str">
        <f t="array" ref="AL3481">IFERROR(IFS(XLOOKUP(B3481, 'Kit Delivery Status'!$U:$U, 'Kit Delivery Status'!$K:$K) = "Complete", "DELIVERED", XLOOKUP(B3481, 'Kit Delivery Status'!$U:$U, 'Kit Delivery Status'!$K:$K) = "Issue", "ISSUE"), "")</f>
        <v/>
      </c>
      <c r="AM3481" s="6"/>
    </row>
    <row r="3482">
      <c r="A3482" s="19"/>
      <c r="B3482" s="19"/>
      <c r="C3482" s="19"/>
      <c r="D3482" s="42"/>
      <c r="E3482" s="19"/>
      <c r="F3482" s="19"/>
      <c r="G3482" s="19"/>
      <c r="H3482" s="19"/>
      <c r="I3482" s="19"/>
      <c r="J3482" s="19"/>
      <c r="K3482" s="19"/>
      <c r="L3482" s="19"/>
      <c r="M3482" s="19"/>
      <c r="N3482" s="19"/>
      <c r="O3482" s="43"/>
      <c r="P3482" s="19"/>
      <c r="Q3482" s="19"/>
      <c r="R3482" s="19"/>
      <c r="S3482" s="19"/>
      <c r="T3482" s="19"/>
      <c r="U3482" s="19"/>
      <c r="V3482" s="44"/>
      <c r="W3482" s="19"/>
      <c r="X3482" s="19"/>
      <c r="Y3482" s="19"/>
      <c r="Z3482" s="19"/>
      <c r="AA3482" s="19"/>
      <c r="AB3482" s="19"/>
      <c r="AC3482" s="19"/>
      <c r="AD3482" s="19"/>
      <c r="AE3482" s="19"/>
      <c r="AF3482" s="19"/>
      <c r="AG3482" s="19"/>
      <c r="AH3482" s="19"/>
      <c r="AI3482" s="19"/>
      <c r="AJ3482" s="19"/>
      <c r="AK3482" s="19"/>
      <c r="AL3482" s="6" t="str">
        <f t="array" ref="AL3482">IFERROR(IFS(XLOOKUP(B3482, 'Kit Delivery Status'!$U:$U, 'Kit Delivery Status'!$K:$K) = "Complete", "DELIVERED", XLOOKUP(B3482, 'Kit Delivery Status'!$U:$U, 'Kit Delivery Status'!$K:$K) = "Issue", "ISSUE"), "")</f>
        <v/>
      </c>
      <c r="AM3482" s="6"/>
    </row>
    <row r="3483">
      <c r="A3483" s="19"/>
      <c r="B3483" s="19"/>
      <c r="C3483" s="19"/>
      <c r="D3483" s="42"/>
      <c r="E3483" s="19"/>
      <c r="F3483" s="19"/>
      <c r="G3483" s="19"/>
      <c r="H3483" s="19"/>
      <c r="I3483" s="19"/>
      <c r="J3483" s="19"/>
      <c r="K3483" s="19"/>
      <c r="L3483" s="19"/>
      <c r="M3483" s="19"/>
      <c r="N3483" s="19"/>
      <c r="O3483" s="43"/>
      <c r="P3483" s="19"/>
      <c r="Q3483" s="19"/>
      <c r="R3483" s="19"/>
      <c r="S3483" s="19"/>
      <c r="T3483" s="19"/>
      <c r="U3483" s="19"/>
      <c r="V3483" s="44"/>
      <c r="W3483" s="19"/>
      <c r="X3483" s="19"/>
      <c r="Y3483" s="19"/>
      <c r="Z3483" s="19"/>
      <c r="AA3483" s="19"/>
      <c r="AB3483" s="19"/>
      <c r="AC3483" s="19"/>
      <c r="AD3483" s="19"/>
      <c r="AE3483" s="19"/>
      <c r="AF3483" s="19"/>
      <c r="AG3483" s="19"/>
      <c r="AH3483" s="19"/>
      <c r="AI3483" s="19"/>
      <c r="AJ3483" s="19"/>
      <c r="AK3483" s="19"/>
      <c r="AL3483" s="6" t="str">
        <f t="array" ref="AL3483">IFERROR(IFS(XLOOKUP(B3483, 'Kit Delivery Status'!$U:$U, 'Kit Delivery Status'!$K:$K) = "Complete", "DELIVERED", XLOOKUP(B3483, 'Kit Delivery Status'!$U:$U, 'Kit Delivery Status'!$K:$K) = "Issue", "ISSUE"), "")</f>
        <v/>
      </c>
      <c r="AM3483" s="6"/>
    </row>
    <row r="3484">
      <c r="A3484" s="19"/>
      <c r="B3484" s="19"/>
      <c r="C3484" s="19"/>
      <c r="D3484" s="42"/>
      <c r="E3484" s="19"/>
      <c r="F3484" s="19"/>
      <c r="G3484" s="19"/>
      <c r="H3484" s="19"/>
      <c r="I3484" s="19"/>
      <c r="J3484" s="19"/>
      <c r="K3484" s="19"/>
      <c r="L3484" s="19"/>
      <c r="M3484" s="19"/>
      <c r="N3484" s="19"/>
      <c r="O3484" s="43"/>
      <c r="P3484" s="19"/>
      <c r="Q3484" s="19"/>
      <c r="R3484" s="19"/>
      <c r="S3484" s="19"/>
      <c r="T3484" s="19"/>
      <c r="U3484" s="19"/>
      <c r="V3484" s="44"/>
      <c r="W3484" s="19"/>
      <c r="X3484" s="19"/>
      <c r="Y3484" s="19"/>
      <c r="Z3484" s="19"/>
      <c r="AA3484" s="19"/>
      <c r="AB3484" s="19"/>
      <c r="AC3484" s="19"/>
      <c r="AD3484" s="19"/>
      <c r="AE3484" s="19"/>
      <c r="AF3484" s="19"/>
      <c r="AG3484" s="19"/>
      <c r="AH3484" s="19"/>
      <c r="AI3484" s="19"/>
      <c r="AJ3484" s="19"/>
      <c r="AK3484" s="19"/>
      <c r="AL3484" s="6" t="str">
        <f t="array" ref="AL3484">IFERROR(IFS(XLOOKUP(B3484, 'Kit Delivery Status'!$U:$U, 'Kit Delivery Status'!$K:$K) = "Complete", "DELIVERED", XLOOKUP(B3484, 'Kit Delivery Status'!$U:$U, 'Kit Delivery Status'!$K:$K) = "Issue", "ISSUE"), "")</f>
        <v/>
      </c>
      <c r="AM3484" s="6"/>
    </row>
    <row r="3485">
      <c r="A3485" s="19"/>
      <c r="B3485" s="19"/>
      <c r="C3485" s="19"/>
      <c r="D3485" s="42"/>
      <c r="E3485" s="19"/>
      <c r="F3485" s="19"/>
      <c r="G3485" s="19"/>
      <c r="H3485" s="19"/>
      <c r="I3485" s="19"/>
      <c r="J3485" s="19"/>
      <c r="K3485" s="19"/>
      <c r="L3485" s="19"/>
      <c r="M3485" s="19"/>
      <c r="N3485" s="19"/>
      <c r="O3485" s="43"/>
      <c r="P3485" s="19"/>
      <c r="Q3485" s="19"/>
      <c r="R3485" s="19"/>
      <c r="S3485" s="19"/>
      <c r="T3485" s="19"/>
      <c r="U3485" s="19"/>
      <c r="V3485" s="44"/>
      <c r="W3485" s="19"/>
      <c r="X3485" s="19"/>
      <c r="Y3485" s="19"/>
      <c r="Z3485" s="19"/>
      <c r="AA3485" s="19"/>
      <c r="AB3485" s="19"/>
      <c r="AC3485" s="19"/>
      <c r="AD3485" s="19"/>
      <c r="AE3485" s="19"/>
      <c r="AF3485" s="19"/>
      <c r="AG3485" s="19"/>
      <c r="AH3485" s="19"/>
      <c r="AI3485" s="19"/>
      <c r="AJ3485" s="19"/>
      <c r="AK3485" s="19"/>
      <c r="AL3485" s="6" t="str">
        <f t="array" ref="AL3485">IFERROR(IFS(XLOOKUP(B3485, 'Kit Delivery Status'!$U:$U, 'Kit Delivery Status'!$K:$K) = "Complete", "DELIVERED", XLOOKUP(B3485, 'Kit Delivery Status'!$U:$U, 'Kit Delivery Status'!$K:$K) = "Issue", "ISSUE"), "")</f>
        <v/>
      </c>
      <c r="AM3485" s="6"/>
    </row>
    <row r="3486">
      <c r="A3486" s="19"/>
      <c r="B3486" s="19"/>
      <c r="C3486" s="19"/>
      <c r="D3486" s="42"/>
      <c r="E3486" s="19"/>
      <c r="F3486" s="19"/>
      <c r="G3486" s="19"/>
      <c r="H3486" s="19"/>
      <c r="I3486" s="19"/>
      <c r="J3486" s="19"/>
      <c r="K3486" s="19"/>
      <c r="L3486" s="19"/>
      <c r="M3486" s="19"/>
      <c r="N3486" s="19"/>
      <c r="O3486" s="43"/>
      <c r="P3486" s="19"/>
      <c r="Q3486" s="19"/>
      <c r="R3486" s="19"/>
      <c r="S3486" s="19"/>
      <c r="T3486" s="19"/>
      <c r="U3486" s="19"/>
      <c r="V3486" s="44"/>
      <c r="W3486" s="19"/>
      <c r="X3486" s="19"/>
      <c r="Y3486" s="19"/>
      <c r="Z3486" s="19"/>
      <c r="AA3486" s="19"/>
      <c r="AB3486" s="19"/>
      <c r="AC3486" s="19"/>
      <c r="AD3486" s="19"/>
      <c r="AE3486" s="19"/>
      <c r="AF3486" s="19"/>
      <c r="AG3486" s="19"/>
      <c r="AH3486" s="19"/>
      <c r="AI3486" s="19"/>
      <c r="AJ3486" s="19"/>
      <c r="AK3486" s="19"/>
      <c r="AL3486" s="6" t="str">
        <f t="array" ref="AL3486">IFERROR(IFS(XLOOKUP(B3486, 'Kit Delivery Status'!$U:$U, 'Kit Delivery Status'!$K:$K) = "Complete", "DELIVERED", XLOOKUP(B3486, 'Kit Delivery Status'!$U:$U, 'Kit Delivery Status'!$K:$K) = "Issue", "ISSUE"), "")</f>
        <v/>
      </c>
      <c r="AM3486" s="6"/>
    </row>
    <row r="3487">
      <c r="A3487" s="19"/>
      <c r="B3487" s="19"/>
      <c r="C3487" s="19"/>
      <c r="D3487" s="42"/>
      <c r="E3487" s="19"/>
      <c r="F3487" s="19"/>
      <c r="G3487" s="19"/>
      <c r="H3487" s="19"/>
      <c r="I3487" s="19"/>
      <c r="J3487" s="19"/>
      <c r="K3487" s="19"/>
      <c r="L3487" s="19"/>
      <c r="M3487" s="19"/>
      <c r="N3487" s="19"/>
      <c r="O3487" s="43"/>
      <c r="P3487" s="19"/>
      <c r="Q3487" s="19"/>
      <c r="R3487" s="19"/>
      <c r="S3487" s="19"/>
      <c r="T3487" s="19"/>
      <c r="U3487" s="19"/>
      <c r="V3487" s="44"/>
      <c r="W3487" s="19"/>
      <c r="X3487" s="19"/>
      <c r="Y3487" s="19"/>
      <c r="Z3487" s="19"/>
      <c r="AA3487" s="19"/>
      <c r="AB3487" s="19"/>
      <c r="AC3487" s="19"/>
      <c r="AD3487" s="19"/>
      <c r="AE3487" s="19"/>
      <c r="AF3487" s="19"/>
      <c r="AG3487" s="19"/>
      <c r="AH3487" s="19"/>
      <c r="AI3487" s="19"/>
      <c r="AJ3487" s="19"/>
      <c r="AK3487" s="19"/>
      <c r="AL3487" s="6" t="str">
        <f t="array" ref="AL3487">IFERROR(IFS(XLOOKUP(B3487, 'Kit Delivery Status'!$U:$U, 'Kit Delivery Status'!$K:$K) = "Complete", "DELIVERED", XLOOKUP(B3487, 'Kit Delivery Status'!$U:$U, 'Kit Delivery Status'!$K:$K) = "Issue", "ISSUE"), "")</f>
        <v/>
      </c>
      <c r="AM3487" s="6"/>
    </row>
    <row r="3488">
      <c r="A3488" s="19"/>
      <c r="B3488" s="19"/>
      <c r="C3488" s="19"/>
      <c r="D3488" s="42"/>
      <c r="E3488" s="19"/>
      <c r="F3488" s="19"/>
      <c r="G3488" s="19"/>
      <c r="H3488" s="19"/>
      <c r="I3488" s="19"/>
      <c r="J3488" s="19"/>
      <c r="K3488" s="19"/>
      <c r="L3488" s="19"/>
      <c r="M3488" s="19"/>
      <c r="N3488" s="19"/>
      <c r="O3488" s="43"/>
      <c r="P3488" s="19"/>
      <c r="Q3488" s="19"/>
      <c r="R3488" s="19"/>
      <c r="S3488" s="19"/>
      <c r="T3488" s="19"/>
      <c r="U3488" s="19"/>
      <c r="V3488" s="44"/>
      <c r="W3488" s="19"/>
      <c r="X3488" s="19"/>
      <c r="Y3488" s="19"/>
      <c r="Z3488" s="19"/>
      <c r="AA3488" s="19"/>
      <c r="AB3488" s="19"/>
      <c r="AC3488" s="19"/>
      <c r="AD3488" s="19"/>
      <c r="AE3488" s="19"/>
      <c r="AF3488" s="19"/>
      <c r="AG3488" s="19"/>
      <c r="AH3488" s="19"/>
      <c r="AI3488" s="19"/>
      <c r="AJ3488" s="19"/>
      <c r="AK3488" s="19"/>
      <c r="AL3488" s="6" t="str">
        <f t="array" ref="AL3488">IFERROR(IFS(XLOOKUP(B3488, 'Kit Delivery Status'!$U:$U, 'Kit Delivery Status'!$K:$K) = "Complete", "DELIVERED", XLOOKUP(B3488, 'Kit Delivery Status'!$U:$U, 'Kit Delivery Status'!$K:$K) = "Issue", "ISSUE"), "")</f>
        <v/>
      </c>
      <c r="AM3488" s="6"/>
    </row>
    <row r="3489">
      <c r="A3489" s="19"/>
      <c r="B3489" s="19"/>
      <c r="C3489" s="19"/>
      <c r="D3489" s="42"/>
      <c r="E3489" s="19"/>
      <c r="F3489" s="19"/>
      <c r="G3489" s="19"/>
      <c r="H3489" s="19"/>
      <c r="I3489" s="19"/>
      <c r="J3489" s="19"/>
      <c r="K3489" s="19"/>
      <c r="L3489" s="19"/>
      <c r="M3489" s="19"/>
      <c r="N3489" s="19"/>
      <c r="O3489" s="43"/>
      <c r="P3489" s="19"/>
      <c r="Q3489" s="19"/>
      <c r="R3489" s="19"/>
      <c r="S3489" s="19"/>
      <c r="T3489" s="19"/>
      <c r="U3489" s="19"/>
      <c r="V3489" s="44"/>
      <c r="W3489" s="19"/>
      <c r="X3489" s="19"/>
      <c r="Y3489" s="19"/>
      <c r="Z3489" s="19"/>
      <c r="AA3489" s="19"/>
      <c r="AB3489" s="19"/>
      <c r="AC3489" s="19"/>
      <c r="AD3489" s="19"/>
      <c r="AE3489" s="19"/>
      <c r="AF3489" s="19"/>
      <c r="AG3489" s="19"/>
      <c r="AH3489" s="19"/>
      <c r="AI3489" s="19"/>
      <c r="AJ3489" s="19"/>
      <c r="AK3489" s="19"/>
      <c r="AL3489" s="6" t="str">
        <f t="array" ref="AL3489">IFERROR(IFS(XLOOKUP(B3489, 'Kit Delivery Status'!$U:$U, 'Kit Delivery Status'!$K:$K) = "Complete", "DELIVERED", XLOOKUP(B3489, 'Kit Delivery Status'!$U:$U, 'Kit Delivery Status'!$K:$K) = "Issue", "ISSUE"), "")</f>
        <v/>
      </c>
      <c r="AM3489" s="6"/>
    </row>
    <row r="3490">
      <c r="A3490" s="19"/>
      <c r="B3490" s="19"/>
      <c r="C3490" s="19"/>
      <c r="D3490" s="42"/>
      <c r="E3490" s="19"/>
      <c r="F3490" s="19"/>
      <c r="G3490" s="19"/>
      <c r="H3490" s="19"/>
      <c r="I3490" s="19"/>
      <c r="J3490" s="19"/>
      <c r="K3490" s="19"/>
      <c r="L3490" s="19"/>
      <c r="M3490" s="19"/>
      <c r="N3490" s="19"/>
      <c r="O3490" s="43"/>
      <c r="P3490" s="19"/>
      <c r="Q3490" s="19"/>
      <c r="R3490" s="19"/>
      <c r="S3490" s="19"/>
      <c r="T3490" s="19"/>
      <c r="U3490" s="19"/>
      <c r="V3490" s="44"/>
      <c r="W3490" s="19"/>
      <c r="X3490" s="19"/>
      <c r="Y3490" s="19"/>
      <c r="Z3490" s="19"/>
      <c r="AA3490" s="19"/>
      <c r="AB3490" s="19"/>
      <c r="AC3490" s="19"/>
      <c r="AD3490" s="19"/>
      <c r="AE3490" s="19"/>
      <c r="AF3490" s="19"/>
      <c r="AG3490" s="19"/>
      <c r="AH3490" s="19"/>
      <c r="AI3490" s="19"/>
      <c r="AJ3490" s="19"/>
      <c r="AK3490" s="19"/>
      <c r="AL3490" s="6" t="str">
        <f t="array" ref="AL3490">IFERROR(IFS(XLOOKUP(B3490, 'Kit Delivery Status'!$U:$U, 'Kit Delivery Status'!$K:$K) = "Complete", "DELIVERED", XLOOKUP(B3490, 'Kit Delivery Status'!$U:$U, 'Kit Delivery Status'!$K:$K) = "Issue", "ISSUE"), "")</f>
        <v/>
      </c>
      <c r="AM3490" s="6"/>
    </row>
    <row r="3491">
      <c r="A3491" s="19"/>
      <c r="B3491" s="19"/>
      <c r="C3491" s="19"/>
      <c r="D3491" s="42"/>
      <c r="E3491" s="19"/>
      <c r="F3491" s="19"/>
      <c r="G3491" s="19"/>
      <c r="H3491" s="19"/>
      <c r="I3491" s="19"/>
      <c r="J3491" s="19"/>
      <c r="K3491" s="19"/>
      <c r="L3491" s="19"/>
      <c r="M3491" s="19"/>
      <c r="N3491" s="19"/>
      <c r="O3491" s="43"/>
      <c r="P3491" s="19"/>
      <c r="Q3491" s="19"/>
      <c r="R3491" s="19"/>
      <c r="S3491" s="19"/>
      <c r="T3491" s="19"/>
      <c r="U3491" s="19"/>
      <c r="V3491" s="44"/>
      <c r="W3491" s="19"/>
      <c r="X3491" s="19"/>
      <c r="Y3491" s="19"/>
      <c r="Z3491" s="19"/>
      <c r="AA3491" s="19"/>
      <c r="AB3491" s="19"/>
      <c r="AC3491" s="19"/>
      <c r="AD3491" s="19"/>
      <c r="AE3491" s="19"/>
      <c r="AF3491" s="19"/>
      <c r="AG3491" s="19"/>
      <c r="AH3491" s="19"/>
      <c r="AI3491" s="19"/>
      <c r="AJ3491" s="19"/>
      <c r="AK3491" s="19"/>
      <c r="AL3491" s="6" t="str">
        <f t="array" ref="AL3491">IFERROR(IFS(XLOOKUP(B3491, 'Kit Delivery Status'!$U:$U, 'Kit Delivery Status'!$K:$K) = "Complete", "DELIVERED", XLOOKUP(B3491, 'Kit Delivery Status'!$U:$U, 'Kit Delivery Status'!$K:$K) = "Issue", "ISSUE"), "")</f>
        <v/>
      </c>
      <c r="AM3491" s="6"/>
    </row>
    <row r="3492">
      <c r="A3492" s="19"/>
      <c r="B3492" s="19"/>
      <c r="C3492" s="19"/>
      <c r="D3492" s="42"/>
      <c r="E3492" s="19"/>
      <c r="F3492" s="19"/>
      <c r="G3492" s="19"/>
      <c r="H3492" s="19"/>
      <c r="I3492" s="19"/>
      <c r="J3492" s="19"/>
      <c r="K3492" s="19"/>
      <c r="L3492" s="19"/>
      <c r="M3492" s="19"/>
      <c r="N3492" s="19"/>
      <c r="O3492" s="43"/>
      <c r="P3492" s="19"/>
      <c r="Q3492" s="19"/>
      <c r="R3492" s="19"/>
      <c r="S3492" s="19"/>
      <c r="T3492" s="19"/>
      <c r="U3492" s="19"/>
      <c r="V3492" s="44"/>
      <c r="W3492" s="19"/>
      <c r="X3492" s="19"/>
      <c r="Y3492" s="19"/>
      <c r="Z3492" s="19"/>
      <c r="AA3492" s="19"/>
      <c r="AB3492" s="19"/>
      <c r="AC3492" s="19"/>
      <c r="AD3492" s="19"/>
      <c r="AE3492" s="19"/>
      <c r="AF3492" s="19"/>
      <c r="AG3492" s="19"/>
      <c r="AH3492" s="19"/>
      <c r="AI3492" s="19"/>
      <c r="AJ3492" s="19"/>
      <c r="AK3492" s="19"/>
      <c r="AL3492" s="6" t="str">
        <f t="array" ref="AL3492">IFERROR(IFS(XLOOKUP(B3492, 'Kit Delivery Status'!$U:$U, 'Kit Delivery Status'!$K:$K) = "Complete", "DELIVERED", XLOOKUP(B3492, 'Kit Delivery Status'!$U:$U, 'Kit Delivery Status'!$K:$K) = "Issue", "ISSUE"), "")</f>
        <v/>
      </c>
      <c r="AM3492" s="6"/>
    </row>
    <row r="3493">
      <c r="A3493" s="19"/>
      <c r="B3493" s="19"/>
      <c r="C3493" s="19"/>
      <c r="D3493" s="42"/>
      <c r="E3493" s="19"/>
      <c r="F3493" s="19"/>
      <c r="G3493" s="19"/>
      <c r="H3493" s="19"/>
      <c r="I3493" s="19"/>
      <c r="J3493" s="19"/>
      <c r="K3493" s="19"/>
      <c r="L3493" s="19"/>
      <c r="M3493" s="19"/>
      <c r="N3493" s="19"/>
      <c r="O3493" s="43"/>
      <c r="P3493" s="19"/>
      <c r="Q3493" s="19"/>
      <c r="R3493" s="19"/>
      <c r="S3493" s="19"/>
      <c r="T3493" s="19"/>
      <c r="U3493" s="19"/>
      <c r="V3493" s="44"/>
      <c r="W3493" s="19"/>
      <c r="X3493" s="19"/>
      <c r="Y3493" s="19"/>
      <c r="Z3493" s="19"/>
      <c r="AA3493" s="19"/>
      <c r="AB3493" s="19"/>
      <c r="AC3493" s="19"/>
      <c r="AD3493" s="19"/>
      <c r="AE3493" s="19"/>
      <c r="AF3493" s="19"/>
      <c r="AG3493" s="19"/>
      <c r="AH3493" s="19"/>
      <c r="AI3493" s="19"/>
      <c r="AJ3493" s="19"/>
      <c r="AK3493" s="19"/>
      <c r="AL3493" s="6" t="str">
        <f t="array" ref="AL3493">IFERROR(IFS(XLOOKUP(B3493, 'Kit Delivery Status'!$U:$U, 'Kit Delivery Status'!$K:$K) = "Complete", "DELIVERED", XLOOKUP(B3493, 'Kit Delivery Status'!$U:$U, 'Kit Delivery Status'!$K:$K) = "Issue", "ISSUE"), "")</f>
        <v/>
      </c>
      <c r="AM3493" s="6"/>
    </row>
    <row r="3494">
      <c r="A3494" s="19"/>
      <c r="B3494" s="19"/>
      <c r="C3494" s="19"/>
      <c r="D3494" s="42"/>
      <c r="E3494" s="19"/>
      <c r="F3494" s="19"/>
      <c r="G3494" s="19"/>
      <c r="H3494" s="19"/>
      <c r="I3494" s="19"/>
      <c r="J3494" s="19"/>
      <c r="K3494" s="19"/>
      <c r="L3494" s="19"/>
      <c r="M3494" s="19"/>
      <c r="N3494" s="19"/>
      <c r="O3494" s="43"/>
      <c r="P3494" s="19"/>
      <c r="Q3494" s="19"/>
      <c r="R3494" s="19"/>
      <c r="S3494" s="19"/>
      <c r="T3494" s="19"/>
      <c r="U3494" s="19"/>
      <c r="V3494" s="44"/>
      <c r="W3494" s="19"/>
      <c r="X3494" s="19"/>
      <c r="Y3494" s="19"/>
      <c r="Z3494" s="19"/>
      <c r="AA3494" s="19"/>
      <c r="AB3494" s="19"/>
      <c r="AC3494" s="19"/>
      <c r="AD3494" s="19"/>
      <c r="AE3494" s="19"/>
      <c r="AF3494" s="19"/>
      <c r="AG3494" s="19"/>
      <c r="AH3494" s="19"/>
      <c r="AI3494" s="19"/>
      <c r="AJ3494" s="19"/>
      <c r="AK3494" s="19"/>
      <c r="AL3494" s="6" t="str">
        <f t="array" ref="AL3494">IFERROR(IFS(XLOOKUP(B3494, 'Kit Delivery Status'!$U:$U, 'Kit Delivery Status'!$K:$K) = "Complete", "DELIVERED", XLOOKUP(B3494, 'Kit Delivery Status'!$U:$U, 'Kit Delivery Status'!$K:$K) = "Issue", "ISSUE"), "")</f>
        <v/>
      </c>
      <c r="AM3494" s="6"/>
    </row>
    <row r="3495">
      <c r="A3495" s="19"/>
      <c r="B3495" s="19"/>
      <c r="C3495" s="19"/>
      <c r="D3495" s="42"/>
      <c r="E3495" s="19"/>
      <c r="F3495" s="19"/>
      <c r="G3495" s="19"/>
      <c r="H3495" s="19"/>
      <c r="I3495" s="19"/>
      <c r="J3495" s="19"/>
      <c r="K3495" s="19"/>
      <c r="L3495" s="19"/>
      <c r="M3495" s="19"/>
      <c r="N3495" s="19"/>
      <c r="O3495" s="43"/>
      <c r="P3495" s="19"/>
      <c r="Q3495" s="19"/>
      <c r="R3495" s="19"/>
      <c r="S3495" s="19"/>
      <c r="T3495" s="19"/>
      <c r="U3495" s="19"/>
      <c r="V3495" s="44"/>
      <c r="W3495" s="19"/>
      <c r="X3495" s="19"/>
      <c r="Y3495" s="19"/>
      <c r="Z3495" s="19"/>
      <c r="AA3495" s="19"/>
      <c r="AB3495" s="19"/>
      <c r="AC3495" s="19"/>
      <c r="AD3495" s="19"/>
      <c r="AE3495" s="19"/>
      <c r="AF3495" s="19"/>
      <c r="AG3495" s="19"/>
      <c r="AH3495" s="19"/>
      <c r="AI3495" s="19"/>
      <c r="AJ3495" s="19"/>
      <c r="AK3495" s="19"/>
      <c r="AL3495" s="6" t="str">
        <f t="array" ref="AL3495">IFERROR(IFS(XLOOKUP(B3495, 'Kit Delivery Status'!$U:$U, 'Kit Delivery Status'!$K:$K) = "Complete", "DELIVERED", XLOOKUP(B3495, 'Kit Delivery Status'!$U:$U, 'Kit Delivery Status'!$K:$K) = "Issue", "ISSUE"), "")</f>
        <v/>
      </c>
      <c r="AM3495" s="6"/>
    </row>
    <row r="3496">
      <c r="A3496" s="19"/>
      <c r="B3496" s="19"/>
      <c r="C3496" s="19"/>
      <c r="D3496" s="42"/>
      <c r="E3496" s="19"/>
      <c r="F3496" s="19"/>
      <c r="G3496" s="19"/>
      <c r="H3496" s="19"/>
      <c r="I3496" s="19"/>
      <c r="J3496" s="19"/>
      <c r="K3496" s="19"/>
      <c r="L3496" s="19"/>
      <c r="M3496" s="19"/>
      <c r="N3496" s="19"/>
      <c r="O3496" s="43"/>
      <c r="P3496" s="19"/>
      <c r="Q3496" s="19"/>
      <c r="R3496" s="19"/>
      <c r="S3496" s="19"/>
      <c r="T3496" s="19"/>
      <c r="U3496" s="19"/>
      <c r="V3496" s="44"/>
      <c r="W3496" s="19"/>
      <c r="X3496" s="19"/>
      <c r="Y3496" s="19"/>
      <c r="Z3496" s="19"/>
      <c r="AA3496" s="19"/>
      <c r="AB3496" s="19"/>
      <c r="AC3496" s="19"/>
      <c r="AD3496" s="19"/>
      <c r="AE3496" s="19"/>
      <c r="AF3496" s="19"/>
      <c r="AG3496" s="19"/>
      <c r="AH3496" s="19"/>
      <c r="AI3496" s="19"/>
      <c r="AJ3496" s="19"/>
      <c r="AK3496" s="19"/>
      <c r="AL3496" s="6" t="str">
        <f t="array" ref="AL3496">IFERROR(IFS(XLOOKUP(B3496, 'Kit Delivery Status'!$U:$U, 'Kit Delivery Status'!$K:$K) = "Complete", "DELIVERED", XLOOKUP(B3496, 'Kit Delivery Status'!$U:$U, 'Kit Delivery Status'!$K:$K) = "Issue", "ISSUE"), "")</f>
        <v/>
      </c>
      <c r="AM3496" s="6"/>
    </row>
    <row r="3497">
      <c r="A3497" s="19"/>
      <c r="B3497" s="19"/>
      <c r="C3497" s="19"/>
      <c r="D3497" s="42"/>
      <c r="E3497" s="19"/>
      <c r="F3497" s="19"/>
      <c r="G3497" s="19"/>
      <c r="H3497" s="19"/>
      <c r="I3497" s="19"/>
      <c r="J3497" s="19"/>
      <c r="K3497" s="19"/>
      <c r="L3497" s="19"/>
      <c r="M3497" s="19"/>
      <c r="N3497" s="19"/>
      <c r="O3497" s="43"/>
      <c r="P3497" s="19"/>
      <c r="Q3497" s="19"/>
      <c r="R3497" s="19"/>
      <c r="S3497" s="19"/>
      <c r="T3497" s="19"/>
      <c r="U3497" s="19"/>
      <c r="V3497" s="44"/>
      <c r="W3497" s="19"/>
      <c r="X3497" s="19"/>
      <c r="Y3497" s="19"/>
      <c r="Z3497" s="19"/>
      <c r="AA3497" s="19"/>
      <c r="AB3497" s="19"/>
      <c r="AC3497" s="19"/>
      <c r="AD3497" s="19"/>
      <c r="AE3497" s="19"/>
      <c r="AF3497" s="19"/>
      <c r="AG3497" s="19"/>
      <c r="AH3497" s="19"/>
      <c r="AI3497" s="19"/>
      <c r="AJ3497" s="19"/>
      <c r="AK3497" s="19"/>
      <c r="AL3497" s="6" t="str">
        <f t="array" ref="AL3497">IFERROR(IFS(XLOOKUP(B3497, 'Kit Delivery Status'!$U:$U, 'Kit Delivery Status'!$K:$K) = "Complete", "DELIVERED", XLOOKUP(B3497, 'Kit Delivery Status'!$U:$U, 'Kit Delivery Status'!$K:$K) = "Issue", "ISSUE"), "")</f>
        <v/>
      </c>
      <c r="AM3497" s="6"/>
    </row>
    <row r="3498">
      <c r="A3498" s="19"/>
      <c r="B3498" s="19"/>
      <c r="C3498" s="19"/>
      <c r="D3498" s="42"/>
      <c r="E3498" s="19"/>
      <c r="F3498" s="19"/>
      <c r="G3498" s="19"/>
      <c r="H3498" s="19"/>
      <c r="I3498" s="19"/>
      <c r="J3498" s="19"/>
      <c r="K3498" s="19"/>
      <c r="L3498" s="19"/>
      <c r="M3498" s="19"/>
      <c r="N3498" s="19"/>
      <c r="O3498" s="43"/>
      <c r="P3498" s="19"/>
      <c r="Q3498" s="19"/>
      <c r="R3498" s="19"/>
      <c r="S3498" s="19"/>
      <c r="T3498" s="19"/>
      <c r="U3498" s="19"/>
      <c r="V3498" s="44"/>
      <c r="W3498" s="19"/>
      <c r="X3498" s="19"/>
      <c r="Y3498" s="19"/>
      <c r="Z3498" s="19"/>
      <c r="AA3498" s="19"/>
      <c r="AB3498" s="19"/>
      <c r="AC3498" s="19"/>
      <c r="AD3498" s="19"/>
      <c r="AE3498" s="19"/>
      <c r="AF3498" s="19"/>
      <c r="AG3498" s="19"/>
      <c r="AH3498" s="19"/>
      <c r="AI3498" s="19"/>
      <c r="AJ3498" s="19"/>
      <c r="AK3498" s="19"/>
      <c r="AL3498" s="6" t="str">
        <f t="array" ref="AL3498">IFERROR(IFS(XLOOKUP(B3498, 'Kit Delivery Status'!$U:$U, 'Kit Delivery Status'!$K:$K) = "Complete", "DELIVERED", XLOOKUP(B3498, 'Kit Delivery Status'!$U:$U, 'Kit Delivery Status'!$K:$K) = "Issue", "ISSUE"), "")</f>
        <v/>
      </c>
      <c r="AM3498" s="6"/>
    </row>
    <row r="3499">
      <c r="A3499" s="19"/>
      <c r="B3499" s="19"/>
      <c r="C3499" s="19"/>
      <c r="D3499" s="42"/>
      <c r="E3499" s="19"/>
      <c r="F3499" s="19"/>
      <c r="G3499" s="19"/>
      <c r="H3499" s="19"/>
      <c r="I3499" s="19"/>
      <c r="J3499" s="19"/>
      <c r="K3499" s="19"/>
      <c r="L3499" s="19"/>
      <c r="M3499" s="19"/>
      <c r="N3499" s="19"/>
      <c r="O3499" s="43"/>
      <c r="P3499" s="19"/>
      <c r="Q3499" s="19"/>
      <c r="R3499" s="19"/>
      <c r="S3499" s="19"/>
      <c r="T3499" s="19"/>
      <c r="U3499" s="19"/>
      <c r="V3499" s="44"/>
      <c r="W3499" s="19"/>
      <c r="X3499" s="19"/>
      <c r="Y3499" s="19"/>
      <c r="Z3499" s="19"/>
      <c r="AA3499" s="19"/>
      <c r="AB3499" s="19"/>
      <c r="AC3499" s="19"/>
      <c r="AD3499" s="19"/>
      <c r="AE3499" s="19"/>
      <c r="AF3499" s="19"/>
      <c r="AG3499" s="19"/>
      <c r="AH3499" s="19"/>
      <c r="AI3499" s="19"/>
      <c r="AJ3499" s="19"/>
      <c r="AK3499" s="19"/>
      <c r="AL3499" s="6" t="str">
        <f t="array" ref="AL3499">IFERROR(IFS(XLOOKUP(B3499, 'Kit Delivery Status'!$U:$U, 'Kit Delivery Status'!$K:$K) = "Complete", "DELIVERED", XLOOKUP(B3499, 'Kit Delivery Status'!$U:$U, 'Kit Delivery Status'!$K:$K) = "Issue", "ISSUE"), "")</f>
        <v/>
      </c>
      <c r="AM3499" s="6"/>
    </row>
    <row r="3500">
      <c r="A3500" s="19"/>
      <c r="B3500" s="19"/>
      <c r="C3500" s="19"/>
      <c r="D3500" s="42"/>
      <c r="E3500" s="19"/>
      <c r="F3500" s="19"/>
      <c r="G3500" s="19"/>
      <c r="H3500" s="19"/>
      <c r="I3500" s="19"/>
      <c r="J3500" s="19"/>
      <c r="K3500" s="19"/>
      <c r="L3500" s="19"/>
      <c r="M3500" s="19"/>
      <c r="N3500" s="19"/>
      <c r="O3500" s="43"/>
      <c r="P3500" s="19"/>
      <c r="Q3500" s="19"/>
      <c r="R3500" s="19"/>
      <c r="S3500" s="19"/>
      <c r="T3500" s="19"/>
      <c r="U3500" s="19"/>
      <c r="V3500" s="44"/>
      <c r="W3500" s="19"/>
      <c r="X3500" s="19"/>
      <c r="Y3500" s="19"/>
      <c r="Z3500" s="19"/>
      <c r="AA3500" s="19"/>
      <c r="AB3500" s="19"/>
      <c r="AC3500" s="19"/>
      <c r="AD3500" s="19"/>
      <c r="AE3500" s="19"/>
      <c r="AF3500" s="19"/>
      <c r="AG3500" s="19"/>
      <c r="AH3500" s="19"/>
      <c r="AI3500" s="19"/>
      <c r="AJ3500" s="19"/>
      <c r="AK3500" s="19"/>
      <c r="AL3500" s="6" t="str">
        <f t="array" ref="AL3500">IFERROR(IFS(XLOOKUP(B3500, 'Kit Delivery Status'!$U:$U, 'Kit Delivery Status'!$K:$K) = "Complete", "DELIVERED", XLOOKUP(B3500, 'Kit Delivery Status'!$U:$U, 'Kit Delivery Status'!$K:$K) = "Issue", "ISSUE"), "")</f>
        <v/>
      </c>
      <c r="AM3500" s="6"/>
    </row>
    <row r="3501">
      <c r="A3501" s="19"/>
      <c r="B3501" s="19"/>
      <c r="C3501" s="19"/>
      <c r="D3501" s="42"/>
      <c r="E3501" s="19"/>
      <c r="F3501" s="19"/>
      <c r="G3501" s="19"/>
      <c r="H3501" s="19"/>
      <c r="I3501" s="19"/>
      <c r="J3501" s="19"/>
      <c r="K3501" s="19"/>
      <c r="L3501" s="19"/>
      <c r="M3501" s="19"/>
      <c r="N3501" s="19"/>
      <c r="O3501" s="43"/>
      <c r="P3501" s="19"/>
      <c r="Q3501" s="19"/>
      <c r="R3501" s="19"/>
      <c r="S3501" s="19"/>
      <c r="T3501" s="19"/>
      <c r="U3501" s="19"/>
      <c r="V3501" s="44"/>
      <c r="W3501" s="19"/>
      <c r="X3501" s="19"/>
      <c r="Y3501" s="19"/>
      <c r="Z3501" s="19"/>
      <c r="AA3501" s="19"/>
      <c r="AB3501" s="19"/>
      <c r="AC3501" s="19"/>
      <c r="AD3501" s="19"/>
      <c r="AE3501" s="19"/>
      <c r="AF3501" s="19"/>
      <c r="AG3501" s="19"/>
      <c r="AH3501" s="19"/>
      <c r="AI3501" s="19"/>
      <c r="AJ3501" s="19"/>
      <c r="AK3501" s="19"/>
      <c r="AL3501" s="6" t="str">
        <f t="array" ref="AL3501">IFERROR(IFS(XLOOKUP(B3501, 'Kit Delivery Status'!$U:$U, 'Kit Delivery Status'!$K:$K) = "Complete", "DELIVERED", XLOOKUP(B3501, 'Kit Delivery Status'!$U:$U, 'Kit Delivery Status'!$K:$K) = "Issue", "ISSUE"), "")</f>
        <v/>
      </c>
      <c r="AM3501" s="6"/>
    </row>
    <row r="3502">
      <c r="A3502" s="19"/>
      <c r="B3502" s="19"/>
      <c r="C3502" s="19"/>
      <c r="D3502" s="42"/>
      <c r="E3502" s="19"/>
      <c r="F3502" s="19"/>
      <c r="G3502" s="19"/>
      <c r="H3502" s="19"/>
      <c r="I3502" s="19"/>
      <c r="J3502" s="19"/>
      <c r="K3502" s="19"/>
      <c r="L3502" s="19"/>
      <c r="M3502" s="19"/>
      <c r="N3502" s="19"/>
      <c r="O3502" s="43"/>
      <c r="P3502" s="19"/>
      <c r="Q3502" s="19"/>
      <c r="R3502" s="19"/>
      <c r="S3502" s="19"/>
      <c r="T3502" s="19"/>
      <c r="U3502" s="19"/>
      <c r="V3502" s="44"/>
      <c r="W3502" s="19"/>
      <c r="X3502" s="19"/>
      <c r="Y3502" s="19"/>
      <c r="Z3502" s="19"/>
      <c r="AA3502" s="19"/>
      <c r="AB3502" s="19"/>
      <c r="AC3502" s="19"/>
      <c r="AD3502" s="19"/>
      <c r="AE3502" s="19"/>
      <c r="AF3502" s="19"/>
      <c r="AG3502" s="19"/>
      <c r="AH3502" s="19"/>
      <c r="AI3502" s="19"/>
      <c r="AJ3502" s="19"/>
      <c r="AK3502" s="19"/>
      <c r="AL3502" s="6" t="str">
        <f t="array" ref="AL3502">IFERROR(IFS(XLOOKUP(B3502, 'Kit Delivery Status'!$U:$U, 'Kit Delivery Status'!$K:$K) = "Complete", "DELIVERED", XLOOKUP(B3502, 'Kit Delivery Status'!$U:$U, 'Kit Delivery Status'!$K:$K) = "Issue", "ISSUE"), "")</f>
        <v/>
      </c>
      <c r="AM3502" s="6"/>
    </row>
    <row r="3503">
      <c r="A3503" s="19"/>
      <c r="B3503" s="19"/>
      <c r="C3503" s="19"/>
      <c r="D3503" s="42"/>
      <c r="E3503" s="19"/>
      <c r="F3503" s="19"/>
      <c r="G3503" s="19"/>
      <c r="H3503" s="19"/>
      <c r="I3503" s="19"/>
      <c r="J3503" s="19"/>
      <c r="K3503" s="19"/>
      <c r="L3503" s="19"/>
      <c r="M3503" s="19"/>
      <c r="N3503" s="19"/>
      <c r="O3503" s="43"/>
      <c r="P3503" s="19"/>
      <c r="Q3503" s="19"/>
      <c r="R3503" s="19"/>
      <c r="S3503" s="19"/>
      <c r="T3503" s="19"/>
      <c r="U3503" s="19"/>
      <c r="V3503" s="44"/>
      <c r="W3503" s="19"/>
      <c r="X3503" s="19"/>
      <c r="Y3503" s="19"/>
      <c r="Z3503" s="19"/>
      <c r="AA3503" s="19"/>
      <c r="AB3503" s="19"/>
      <c r="AC3503" s="19"/>
      <c r="AD3503" s="19"/>
      <c r="AE3503" s="19"/>
      <c r="AF3503" s="19"/>
      <c r="AG3503" s="19"/>
      <c r="AH3503" s="19"/>
      <c r="AI3503" s="19"/>
      <c r="AJ3503" s="19"/>
      <c r="AK3503" s="19"/>
      <c r="AL3503" s="6" t="str">
        <f t="array" ref="AL3503">IFERROR(IFS(XLOOKUP(B3503, 'Kit Delivery Status'!$U:$U, 'Kit Delivery Status'!$K:$K) = "Complete", "DELIVERED", XLOOKUP(B3503, 'Kit Delivery Status'!$U:$U, 'Kit Delivery Status'!$K:$K) = "Issue", "ISSUE"), "")</f>
        <v/>
      </c>
      <c r="AM3503" s="6"/>
    </row>
    <row r="3504">
      <c r="A3504" s="19"/>
      <c r="B3504" s="19"/>
      <c r="C3504" s="19"/>
      <c r="D3504" s="42"/>
      <c r="E3504" s="19"/>
      <c r="F3504" s="19"/>
      <c r="G3504" s="19"/>
      <c r="H3504" s="19"/>
      <c r="I3504" s="19"/>
      <c r="J3504" s="19"/>
      <c r="K3504" s="19"/>
      <c r="L3504" s="19"/>
      <c r="M3504" s="19"/>
      <c r="N3504" s="19"/>
      <c r="O3504" s="43"/>
      <c r="P3504" s="19"/>
      <c r="Q3504" s="19"/>
      <c r="R3504" s="19"/>
      <c r="S3504" s="19"/>
      <c r="T3504" s="19"/>
      <c r="U3504" s="19"/>
      <c r="V3504" s="44"/>
      <c r="W3504" s="19"/>
      <c r="X3504" s="19"/>
      <c r="Y3504" s="19"/>
      <c r="Z3504" s="19"/>
      <c r="AA3504" s="19"/>
      <c r="AB3504" s="19"/>
      <c r="AC3504" s="19"/>
      <c r="AD3504" s="19"/>
      <c r="AE3504" s="19"/>
      <c r="AF3504" s="19"/>
      <c r="AG3504" s="19"/>
      <c r="AH3504" s="19"/>
      <c r="AI3504" s="19"/>
      <c r="AJ3504" s="19"/>
      <c r="AK3504" s="19"/>
      <c r="AL3504" s="6" t="str">
        <f t="array" ref="AL3504">IFERROR(IFS(XLOOKUP(B3504, 'Kit Delivery Status'!$U:$U, 'Kit Delivery Status'!$K:$K) = "Complete", "DELIVERED", XLOOKUP(B3504, 'Kit Delivery Status'!$U:$U, 'Kit Delivery Status'!$K:$K) = "Issue", "ISSUE"), "")</f>
        <v/>
      </c>
      <c r="AM3504" s="6"/>
    </row>
    <row r="3505">
      <c r="A3505" s="19"/>
      <c r="B3505" s="19"/>
      <c r="C3505" s="19"/>
      <c r="D3505" s="42"/>
      <c r="E3505" s="19"/>
      <c r="F3505" s="19"/>
      <c r="G3505" s="19"/>
      <c r="H3505" s="19"/>
      <c r="I3505" s="19"/>
      <c r="J3505" s="19"/>
      <c r="K3505" s="19"/>
      <c r="L3505" s="19"/>
      <c r="M3505" s="19"/>
      <c r="N3505" s="19"/>
      <c r="O3505" s="43"/>
      <c r="P3505" s="19"/>
      <c r="Q3505" s="19"/>
      <c r="R3505" s="19"/>
      <c r="S3505" s="19"/>
      <c r="T3505" s="19"/>
      <c r="U3505" s="19"/>
      <c r="V3505" s="44"/>
      <c r="W3505" s="19"/>
      <c r="X3505" s="19"/>
      <c r="Y3505" s="19"/>
      <c r="Z3505" s="19"/>
      <c r="AA3505" s="19"/>
      <c r="AB3505" s="19"/>
      <c r="AC3505" s="19"/>
      <c r="AD3505" s="19"/>
      <c r="AE3505" s="19"/>
      <c r="AF3505" s="19"/>
      <c r="AG3505" s="19"/>
      <c r="AH3505" s="19"/>
      <c r="AI3505" s="19"/>
      <c r="AJ3505" s="19"/>
      <c r="AK3505" s="19"/>
      <c r="AL3505" s="6" t="str">
        <f t="array" ref="AL3505">IFERROR(IFS(XLOOKUP(B3505, 'Kit Delivery Status'!$U:$U, 'Kit Delivery Status'!$K:$K) = "Complete", "DELIVERED", XLOOKUP(B3505, 'Kit Delivery Status'!$U:$U, 'Kit Delivery Status'!$K:$K) = "Issue", "ISSUE"), "")</f>
        <v/>
      </c>
      <c r="AM3505" s="6"/>
    </row>
    <row r="3506">
      <c r="A3506" s="19"/>
      <c r="B3506" s="19"/>
      <c r="C3506" s="19"/>
      <c r="D3506" s="42"/>
      <c r="E3506" s="19"/>
      <c r="F3506" s="19"/>
      <c r="G3506" s="19"/>
      <c r="H3506" s="19"/>
      <c r="I3506" s="19"/>
      <c r="J3506" s="19"/>
      <c r="K3506" s="19"/>
      <c r="L3506" s="19"/>
      <c r="M3506" s="19"/>
      <c r="N3506" s="19"/>
      <c r="O3506" s="43"/>
      <c r="P3506" s="19"/>
      <c r="Q3506" s="19"/>
      <c r="R3506" s="19"/>
      <c r="S3506" s="19"/>
      <c r="T3506" s="19"/>
      <c r="U3506" s="19"/>
      <c r="V3506" s="44"/>
      <c r="W3506" s="19"/>
      <c r="X3506" s="19"/>
      <c r="Y3506" s="19"/>
      <c r="Z3506" s="19"/>
      <c r="AA3506" s="19"/>
      <c r="AB3506" s="19"/>
      <c r="AC3506" s="19"/>
      <c r="AD3506" s="19"/>
      <c r="AE3506" s="19"/>
      <c r="AF3506" s="19"/>
      <c r="AG3506" s="19"/>
      <c r="AH3506" s="19"/>
      <c r="AI3506" s="19"/>
      <c r="AJ3506" s="19"/>
      <c r="AK3506" s="19"/>
      <c r="AL3506" s="6" t="str">
        <f t="array" ref="AL3506">IFERROR(IFS(XLOOKUP(B3506, 'Kit Delivery Status'!$U:$U, 'Kit Delivery Status'!$K:$K) = "Complete", "DELIVERED", XLOOKUP(B3506, 'Kit Delivery Status'!$U:$U, 'Kit Delivery Status'!$K:$K) = "Issue", "ISSUE"), "")</f>
        <v/>
      </c>
      <c r="AM3506" s="6"/>
    </row>
    <row r="3507">
      <c r="A3507" s="19"/>
      <c r="B3507" s="19"/>
      <c r="C3507" s="19"/>
      <c r="D3507" s="42"/>
      <c r="E3507" s="19"/>
      <c r="F3507" s="19"/>
      <c r="G3507" s="19"/>
      <c r="H3507" s="19"/>
      <c r="I3507" s="19"/>
      <c r="J3507" s="19"/>
      <c r="K3507" s="19"/>
      <c r="L3507" s="19"/>
      <c r="M3507" s="19"/>
      <c r="N3507" s="19"/>
      <c r="O3507" s="43"/>
      <c r="P3507" s="19"/>
      <c r="Q3507" s="19"/>
      <c r="R3507" s="19"/>
      <c r="S3507" s="19"/>
      <c r="T3507" s="19"/>
      <c r="U3507" s="19"/>
      <c r="V3507" s="44"/>
      <c r="W3507" s="19"/>
      <c r="X3507" s="19"/>
      <c r="Y3507" s="19"/>
      <c r="Z3507" s="19"/>
      <c r="AA3507" s="19"/>
      <c r="AB3507" s="19"/>
      <c r="AC3507" s="19"/>
      <c r="AD3507" s="19"/>
      <c r="AE3507" s="19"/>
      <c r="AF3507" s="19"/>
      <c r="AG3507" s="19"/>
      <c r="AH3507" s="19"/>
      <c r="AI3507" s="19"/>
      <c r="AJ3507" s="19"/>
      <c r="AK3507" s="19"/>
      <c r="AL3507" s="6" t="str">
        <f t="array" ref="AL3507">IFERROR(IFS(XLOOKUP(B3507, 'Kit Delivery Status'!$U:$U, 'Kit Delivery Status'!$K:$K) = "Complete", "DELIVERED", XLOOKUP(B3507, 'Kit Delivery Status'!$U:$U, 'Kit Delivery Status'!$K:$K) = "Issue", "ISSUE"), "")</f>
        <v/>
      </c>
      <c r="AM3507" s="6"/>
    </row>
    <row r="3508">
      <c r="A3508" s="19"/>
      <c r="B3508" s="19"/>
      <c r="C3508" s="19"/>
      <c r="D3508" s="42"/>
      <c r="E3508" s="19"/>
      <c r="F3508" s="19"/>
      <c r="G3508" s="19"/>
      <c r="H3508" s="19"/>
      <c r="I3508" s="19"/>
      <c r="J3508" s="19"/>
      <c r="K3508" s="19"/>
      <c r="L3508" s="19"/>
      <c r="M3508" s="19"/>
      <c r="N3508" s="19"/>
      <c r="O3508" s="43"/>
      <c r="P3508" s="19"/>
      <c r="Q3508" s="19"/>
      <c r="R3508" s="19"/>
      <c r="S3508" s="19"/>
      <c r="T3508" s="19"/>
      <c r="U3508" s="19"/>
      <c r="V3508" s="44"/>
      <c r="W3508" s="19"/>
      <c r="X3508" s="19"/>
      <c r="Y3508" s="19"/>
      <c r="Z3508" s="19"/>
      <c r="AA3508" s="19"/>
      <c r="AB3508" s="19"/>
      <c r="AC3508" s="19"/>
      <c r="AD3508" s="19"/>
      <c r="AE3508" s="19"/>
      <c r="AF3508" s="19"/>
      <c r="AG3508" s="19"/>
      <c r="AH3508" s="19"/>
      <c r="AI3508" s="19"/>
      <c r="AJ3508" s="19"/>
      <c r="AK3508" s="19"/>
      <c r="AL3508" s="6" t="str">
        <f t="array" ref="AL3508">IFERROR(IFS(XLOOKUP(B3508, 'Kit Delivery Status'!$U:$U, 'Kit Delivery Status'!$K:$K) = "Complete", "DELIVERED", XLOOKUP(B3508, 'Kit Delivery Status'!$U:$U, 'Kit Delivery Status'!$K:$K) = "Issue", "ISSUE"), "")</f>
        <v/>
      </c>
      <c r="AM3508" s="6"/>
    </row>
    <row r="3509">
      <c r="A3509" s="19"/>
      <c r="B3509" s="19"/>
      <c r="C3509" s="19"/>
      <c r="D3509" s="42"/>
      <c r="E3509" s="19"/>
      <c r="F3509" s="19"/>
      <c r="G3509" s="19"/>
      <c r="H3509" s="19"/>
      <c r="I3509" s="19"/>
      <c r="J3509" s="19"/>
      <c r="K3509" s="19"/>
      <c r="L3509" s="19"/>
      <c r="M3509" s="19"/>
      <c r="N3509" s="19"/>
      <c r="O3509" s="43"/>
      <c r="P3509" s="19"/>
      <c r="Q3509" s="19"/>
      <c r="R3509" s="19"/>
      <c r="S3509" s="19"/>
      <c r="T3509" s="19"/>
      <c r="U3509" s="19"/>
      <c r="V3509" s="44"/>
      <c r="W3509" s="19"/>
      <c r="X3509" s="19"/>
      <c r="Y3509" s="19"/>
      <c r="Z3509" s="19"/>
      <c r="AA3509" s="19"/>
      <c r="AB3509" s="19"/>
      <c r="AC3509" s="19"/>
      <c r="AD3509" s="19"/>
      <c r="AE3509" s="19"/>
      <c r="AF3509" s="19"/>
      <c r="AG3509" s="19"/>
      <c r="AH3509" s="19"/>
      <c r="AI3509" s="19"/>
      <c r="AJ3509" s="19"/>
      <c r="AK3509" s="19"/>
      <c r="AL3509" s="6" t="str">
        <f t="array" ref="AL3509">IFERROR(IFS(XLOOKUP(B3509, 'Kit Delivery Status'!$U:$U, 'Kit Delivery Status'!$K:$K) = "Complete", "DELIVERED", XLOOKUP(B3509, 'Kit Delivery Status'!$U:$U, 'Kit Delivery Status'!$K:$K) = "Issue", "ISSUE"), "")</f>
        <v/>
      </c>
      <c r="AM3509" s="6"/>
    </row>
    <row r="3510">
      <c r="A3510" s="19"/>
      <c r="B3510" s="19"/>
      <c r="C3510" s="19"/>
      <c r="D3510" s="42"/>
      <c r="E3510" s="19"/>
      <c r="F3510" s="19"/>
      <c r="G3510" s="19"/>
      <c r="H3510" s="19"/>
      <c r="I3510" s="19"/>
      <c r="J3510" s="19"/>
      <c r="K3510" s="19"/>
      <c r="L3510" s="19"/>
      <c r="M3510" s="19"/>
      <c r="N3510" s="19"/>
      <c r="O3510" s="43"/>
      <c r="P3510" s="19"/>
      <c r="Q3510" s="19"/>
      <c r="R3510" s="19"/>
      <c r="S3510" s="19"/>
      <c r="T3510" s="19"/>
      <c r="U3510" s="19"/>
      <c r="V3510" s="44"/>
      <c r="W3510" s="19"/>
      <c r="X3510" s="19"/>
      <c r="Y3510" s="19"/>
      <c r="Z3510" s="19"/>
      <c r="AA3510" s="19"/>
      <c r="AB3510" s="19"/>
      <c r="AC3510" s="19"/>
      <c r="AD3510" s="19"/>
      <c r="AE3510" s="19"/>
      <c r="AF3510" s="19"/>
      <c r="AG3510" s="19"/>
      <c r="AH3510" s="19"/>
      <c r="AI3510" s="19"/>
      <c r="AJ3510" s="19"/>
      <c r="AK3510" s="19"/>
      <c r="AL3510" s="6" t="str">
        <f t="array" ref="AL3510">IFERROR(IFS(XLOOKUP(B3510, 'Kit Delivery Status'!$U:$U, 'Kit Delivery Status'!$K:$K) = "Complete", "DELIVERED", XLOOKUP(B3510, 'Kit Delivery Status'!$U:$U, 'Kit Delivery Status'!$K:$K) = "Issue", "ISSUE"), "")</f>
        <v/>
      </c>
      <c r="AM3510" s="6"/>
    </row>
    <row r="3511">
      <c r="A3511" s="19"/>
      <c r="B3511" s="19"/>
      <c r="C3511" s="19"/>
      <c r="D3511" s="42"/>
      <c r="E3511" s="19"/>
      <c r="F3511" s="19"/>
      <c r="G3511" s="19"/>
      <c r="H3511" s="19"/>
      <c r="I3511" s="19"/>
      <c r="J3511" s="19"/>
      <c r="K3511" s="19"/>
      <c r="L3511" s="19"/>
      <c r="M3511" s="19"/>
      <c r="N3511" s="19"/>
      <c r="O3511" s="43"/>
      <c r="P3511" s="19"/>
      <c r="Q3511" s="19"/>
      <c r="R3511" s="19"/>
      <c r="S3511" s="19"/>
      <c r="T3511" s="19"/>
      <c r="U3511" s="19"/>
      <c r="V3511" s="44"/>
      <c r="W3511" s="19"/>
      <c r="X3511" s="19"/>
      <c r="Y3511" s="19"/>
      <c r="Z3511" s="19"/>
      <c r="AA3511" s="19"/>
      <c r="AB3511" s="19"/>
      <c r="AC3511" s="19"/>
      <c r="AD3511" s="19"/>
      <c r="AE3511" s="19"/>
      <c r="AF3511" s="19"/>
      <c r="AG3511" s="19"/>
      <c r="AH3511" s="19"/>
      <c r="AI3511" s="19"/>
      <c r="AJ3511" s="19"/>
      <c r="AK3511" s="19"/>
      <c r="AL3511" s="6" t="str">
        <f t="array" ref="AL3511">IFERROR(IFS(XLOOKUP(B3511, 'Kit Delivery Status'!$U:$U, 'Kit Delivery Status'!$K:$K) = "Complete", "DELIVERED", XLOOKUP(B3511, 'Kit Delivery Status'!$U:$U, 'Kit Delivery Status'!$K:$K) = "Issue", "ISSUE"), "")</f>
        <v/>
      </c>
      <c r="AM3511" s="6"/>
    </row>
    <row r="3512">
      <c r="A3512" s="19"/>
      <c r="B3512" s="19"/>
      <c r="C3512" s="19"/>
      <c r="D3512" s="42"/>
      <c r="E3512" s="19"/>
      <c r="F3512" s="19"/>
      <c r="G3512" s="19"/>
      <c r="H3512" s="19"/>
      <c r="I3512" s="19"/>
      <c r="J3512" s="19"/>
      <c r="K3512" s="19"/>
      <c r="L3512" s="19"/>
      <c r="M3512" s="19"/>
      <c r="N3512" s="19"/>
      <c r="O3512" s="43"/>
      <c r="P3512" s="19"/>
      <c r="Q3512" s="19"/>
      <c r="R3512" s="19"/>
      <c r="S3512" s="19"/>
      <c r="T3512" s="19"/>
      <c r="U3512" s="19"/>
      <c r="V3512" s="44"/>
      <c r="W3512" s="19"/>
      <c r="X3512" s="19"/>
      <c r="Y3512" s="19"/>
      <c r="Z3512" s="19"/>
      <c r="AA3512" s="19"/>
      <c r="AB3512" s="19"/>
      <c r="AC3512" s="19"/>
      <c r="AD3512" s="19"/>
      <c r="AE3512" s="19"/>
      <c r="AF3512" s="19"/>
      <c r="AG3512" s="19"/>
      <c r="AH3512" s="19"/>
      <c r="AI3512" s="19"/>
      <c r="AJ3512" s="19"/>
      <c r="AK3512" s="19"/>
      <c r="AL3512" s="6" t="str">
        <f t="array" ref="AL3512">IFERROR(IFS(XLOOKUP(B3512, 'Kit Delivery Status'!$U:$U, 'Kit Delivery Status'!$K:$K) = "Complete", "DELIVERED", XLOOKUP(B3512, 'Kit Delivery Status'!$U:$U, 'Kit Delivery Status'!$K:$K) = "Issue", "ISSUE"), "")</f>
        <v/>
      </c>
      <c r="AM3512" s="6"/>
    </row>
    <row r="3513">
      <c r="A3513" s="19"/>
      <c r="B3513" s="19"/>
      <c r="C3513" s="19"/>
      <c r="D3513" s="42"/>
      <c r="E3513" s="19"/>
      <c r="F3513" s="19"/>
      <c r="G3513" s="19"/>
      <c r="H3513" s="19"/>
      <c r="I3513" s="19"/>
      <c r="J3513" s="19"/>
      <c r="K3513" s="19"/>
      <c r="L3513" s="19"/>
      <c r="M3513" s="19"/>
      <c r="N3513" s="19"/>
      <c r="O3513" s="43"/>
      <c r="P3513" s="19"/>
      <c r="Q3513" s="19"/>
      <c r="R3513" s="19"/>
      <c r="S3513" s="19"/>
      <c r="T3513" s="19"/>
      <c r="U3513" s="19"/>
      <c r="V3513" s="44"/>
      <c r="W3513" s="19"/>
      <c r="X3513" s="19"/>
      <c r="Y3513" s="19"/>
      <c r="Z3513" s="19"/>
      <c r="AA3513" s="19"/>
      <c r="AB3513" s="19"/>
      <c r="AC3513" s="19"/>
      <c r="AD3513" s="19"/>
      <c r="AE3513" s="19"/>
      <c r="AF3513" s="19"/>
      <c r="AG3513" s="19"/>
      <c r="AH3513" s="19"/>
      <c r="AI3513" s="19"/>
      <c r="AJ3513" s="19"/>
      <c r="AK3513" s="19"/>
      <c r="AL3513" s="6" t="str">
        <f t="array" ref="AL3513">IFERROR(IFS(XLOOKUP(B3513, 'Kit Delivery Status'!$U:$U, 'Kit Delivery Status'!$K:$K) = "Complete", "DELIVERED", XLOOKUP(B3513, 'Kit Delivery Status'!$U:$U, 'Kit Delivery Status'!$K:$K) = "Issue", "ISSUE"), "")</f>
        <v/>
      </c>
      <c r="AM3513" s="6"/>
    </row>
    <row r="3514">
      <c r="A3514" s="19"/>
      <c r="B3514" s="19"/>
      <c r="C3514" s="19"/>
      <c r="D3514" s="42"/>
      <c r="E3514" s="19"/>
      <c r="F3514" s="19"/>
      <c r="G3514" s="19"/>
      <c r="H3514" s="19"/>
      <c r="I3514" s="19"/>
      <c r="J3514" s="19"/>
      <c r="K3514" s="19"/>
      <c r="L3514" s="19"/>
      <c r="M3514" s="19"/>
      <c r="N3514" s="19"/>
      <c r="O3514" s="43"/>
      <c r="P3514" s="19"/>
      <c r="Q3514" s="19"/>
      <c r="R3514" s="19"/>
      <c r="S3514" s="19"/>
      <c r="T3514" s="19"/>
      <c r="U3514" s="19"/>
      <c r="V3514" s="44"/>
      <c r="W3514" s="19"/>
      <c r="X3514" s="19"/>
      <c r="Y3514" s="19"/>
      <c r="Z3514" s="19"/>
      <c r="AA3514" s="19"/>
      <c r="AB3514" s="19"/>
      <c r="AC3514" s="19"/>
      <c r="AD3514" s="19"/>
      <c r="AE3514" s="19"/>
      <c r="AF3514" s="19"/>
      <c r="AG3514" s="19"/>
      <c r="AH3514" s="19"/>
      <c r="AI3514" s="19"/>
      <c r="AJ3514" s="19"/>
      <c r="AK3514" s="19"/>
      <c r="AL3514" s="6" t="str">
        <f t="array" ref="AL3514">IFERROR(IFS(XLOOKUP(B3514, 'Kit Delivery Status'!$U:$U, 'Kit Delivery Status'!$K:$K) = "Complete", "DELIVERED", XLOOKUP(B3514, 'Kit Delivery Status'!$U:$U, 'Kit Delivery Status'!$K:$K) = "Issue", "ISSUE"), "")</f>
        <v/>
      </c>
      <c r="AM3514" s="6"/>
    </row>
    <row r="3515">
      <c r="A3515" s="19"/>
      <c r="B3515" s="19"/>
      <c r="C3515" s="19"/>
      <c r="D3515" s="42"/>
      <c r="E3515" s="19"/>
      <c r="F3515" s="19"/>
      <c r="G3515" s="19"/>
      <c r="H3515" s="19"/>
      <c r="I3515" s="19"/>
      <c r="J3515" s="19"/>
      <c r="K3515" s="19"/>
      <c r="L3515" s="19"/>
      <c r="M3515" s="19"/>
      <c r="N3515" s="19"/>
      <c r="O3515" s="43"/>
      <c r="P3515" s="19"/>
      <c r="Q3515" s="19"/>
      <c r="R3515" s="19"/>
      <c r="S3515" s="19"/>
      <c r="T3515" s="19"/>
      <c r="U3515" s="19"/>
      <c r="V3515" s="44"/>
      <c r="W3515" s="19"/>
      <c r="X3515" s="19"/>
      <c r="Y3515" s="19"/>
      <c r="Z3515" s="19"/>
      <c r="AA3515" s="19"/>
      <c r="AB3515" s="19"/>
      <c r="AC3515" s="19"/>
      <c r="AD3515" s="19"/>
      <c r="AE3515" s="19"/>
      <c r="AF3515" s="19"/>
      <c r="AG3515" s="19"/>
      <c r="AH3515" s="19"/>
      <c r="AI3515" s="19"/>
      <c r="AJ3515" s="19"/>
      <c r="AK3515" s="19"/>
      <c r="AL3515" s="6" t="str">
        <f t="array" ref="AL3515">IFERROR(IFS(XLOOKUP(B3515, 'Kit Delivery Status'!$U:$U, 'Kit Delivery Status'!$K:$K) = "Complete", "DELIVERED", XLOOKUP(B3515, 'Kit Delivery Status'!$U:$U, 'Kit Delivery Status'!$K:$K) = "Issue", "ISSUE"), "")</f>
        <v/>
      </c>
      <c r="AM3515" s="6"/>
    </row>
    <row r="3516">
      <c r="A3516" s="19"/>
      <c r="B3516" s="19"/>
      <c r="C3516" s="19"/>
      <c r="D3516" s="42"/>
      <c r="E3516" s="19"/>
      <c r="F3516" s="19"/>
      <c r="G3516" s="19"/>
      <c r="H3516" s="19"/>
      <c r="I3516" s="19"/>
      <c r="J3516" s="19"/>
      <c r="K3516" s="19"/>
      <c r="L3516" s="19"/>
      <c r="M3516" s="19"/>
      <c r="N3516" s="19"/>
      <c r="O3516" s="43"/>
      <c r="P3516" s="19"/>
      <c r="Q3516" s="19"/>
      <c r="R3516" s="19"/>
      <c r="S3516" s="19"/>
      <c r="T3516" s="19"/>
      <c r="U3516" s="19"/>
      <c r="V3516" s="44"/>
      <c r="W3516" s="19"/>
      <c r="X3516" s="19"/>
      <c r="Y3516" s="19"/>
      <c r="Z3516" s="19"/>
      <c r="AA3516" s="19"/>
      <c r="AB3516" s="19"/>
      <c r="AC3516" s="19"/>
      <c r="AD3516" s="19"/>
      <c r="AE3516" s="19"/>
      <c r="AF3516" s="19"/>
      <c r="AG3516" s="19"/>
      <c r="AH3516" s="19"/>
      <c r="AI3516" s="19"/>
      <c r="AJ3516" s="19"/>
      <c r="AK3516" s="19"/>
      <c r="AL3516" s="6" t="str">
        <f t="array" ref="AL3516">IFERROR(IFS(XLOOKUP(B3516, 'Kit Delivery Status'!$U:$U, 'Kit Delivery Status'!$K:$K) = "Complete", "DELIVERED", XLOOKUP(B3516, 'Kit Delivery Status'!$U:$U, 'Kit Delivery Status'!$K:$K) = "Issue", "ISSUE"), "")</f>
        <v/>
      </c>
      <c r="AM3516" s="6"/>
    </row>
    <row r="3517">
      <c r="A3517" s="19"/>
      <c r="B3517" s="19"/>
      <c r="C3517" s="19"/>
      <c r="D3517" s="42"/>
      <c r="E3517" s="19"/>
      <c r="F3517" s="19"/>
      <c r="G3517" s="19"/>
      <c r="H3517" s="19"/>
      <c r="I3517" s="19"/>
      <c r="J3517" s="19"/>
      <c r="K3517" s="19"/>
      <c r="L3517" s="19"/>
      <c r="M3517" s="19"/>
      <c r="N3517" s="19"/>
      <c r="O3517" s="43"/>
      <c r="P3517" s="19"/>
      <c r="Q3517" s="19"/>
      <c r="R3517" s="19"/>
      <c r="S3517" s="19"/>
      <c r="T3517" s="19"/>
      <c r="U3517" s="19"/>
      <c r="V3517" s="44"/>
      <c r="W3517" s="19"/>
      <c r="X3517" s="19"/>
      <c r="Y3517" s="19"/>
      <c r="Z3517" s="19"/>
      <c r="AA3517" s="19"/>
      <c r="AB3517" s="19"/>
      <c r="AC3517" s="19"/>
      <c r="AD3517" s="19"/>
      <c r="AE3517" s="19"/>
      <c r="AF3517" s="19"/>
      <c r="AG3517" s="19"/>
      <c r="AH3517" s="19"/>
      <c r="AI3517" s="19"/>
      <c r="AJ3517" s="19"/>
      <c r="AK3517" s="19"/>
      <c r="AL3517" s="6" t="str">
        <f t="array" ref="AL3517">IFERROR(IFS(XLOOKUP(B3517, 'Kit Delivery Status'!$U:$U, 'Kit Delivery Status'!$K:$K) = "Complete", "DELIVERED", XLOOKUP(B3517, 'Kit Delivery Status'!$U:$U, 'Kit Delivery Status'!$K:$K) = "Issue", "ISSUE"), "")</f>
        <v/>
      </c>
      <c r="AM3517" s="6"/>
    </row>
    <row r="3518">
      <c r="A3518" s="19"/>
      <c r="B3518" s="19"/>
      <c r="C3518" s="19"/>
      <c r="D3518" s="42"/>
      <c r="E3518" s="19"/>
      <c r="F3518" s="19"/>
      <c r="G3518" s="19"/>
      <c r="H3518" s="19"/>
      <c r="I3518" s="19"/>
      <c r="J3518" s="19"/>
      <c r="K3518" s="19"/>
      <c r="L3518" s="19"/>
      <c r="M3518" s="19"/>
      <c r="N3518" s="19"/>
      <c r="O3518" s="43"/>
      <c r="P3518" s="19"/>
      <c r="Q3518" s="19"/>
      <c r="R3518" s="19"/>
      <c r="S3518" s="19"/>
      <c r="T3518" s="19"/>
      <c r="U3518" s="19"/>
      <c r="V3518" s="44"/>
      <c r="W3518" s="19"/>
      <c r="X3518" s="19"/>
      <c r="Y3518" s="19"/>
      <c r="Z3518" s="19"/>
      <c r="AA3518" s="19"/>
      <c r="AB3518" s="19"/>
      <c r="AC3518" s="19"/>
      <c r="AD3518" s="19"/>
      <c r="AE3518" s="19"/>
      <c r="AF3518" s="19"/>
      <c r="AG3518" s="19"/>
      <c r="AH3518" s="19"/>
      <c r="AI3518" s="19"/>
      <c r="AJ3518" s="19"/>
      <c r="AK3518" s="19"/>
      <c r="AL3518" s="6" t="str">
        <f t="array" ref="AL3518">IFERROR(IFS(XLOOKUP(B3518, 'Kit Delivery Status'!$U:$U, 'Kit Delivery Status'!$K:$K) = "Complete", "DELIVERED", XLOOKUP(B3518, 'Kit Delivery Status'!$U:$U, 'Kit Delivery Status'!$K:$K) = "Issue", "ISSUE"), "")</f>
        <v/>
      </c>
      <c r="AM3518" s="6"/>
    </row>
    <row r="3519">
      <c r="A3519" s="19"/>
      <c r="B3519" s="19"/>
      <c r="C3519" s="19"/>
      <c r="D3519" s="42"/>
      <c r="E3519" s="19"/>
      <c r="F3519" s="19"/>
      <c r="G3519" s="19"/>
      <c r="H3519" s="19"/>
      <c r="I3519" s="19"/>
      <c r="J3519" s="19"/>
      <c r="K3519" s="19"/>
      <c r="L3519" s="19"/>
      <c r="M3519" s="19"/>
      <c r="N3519" s="19"/>
      <c r="O3519" s="43"/>
      <c r="P3519" s="19"/>
      <c r="Q3519" s="19"/>
      <c r="R3519" s="19"/>
      <c r="S3519" s="19"/>
      <c r="T3519" s="19"/>
      <c r="U3519" s="19"/>
      <c r="V3519" s="44"/>
      <c r="W3519" s="19"/>
      <c r="X3519" s="19"/>
      <c r="Y3519" s="19"/>
      <c r="Z3519" s="19"/>
      <c r="AA3519" s="19"/>
      <c r="AB3519" s="19"/>
      <c r="AC3519" s="19"/>
      <c r="AD3519" s="19"/>
      <c r="AE3519" s="19"/>
      <c r="AF3519" s="19"/>
      <c r="AG3519" s="19"/>
      <c r="AH3519" s="19"/>
      <c r="AI3519" s="19"/>
      <c r="AJ3519" s="19"/>
      <c r="AK3519" s="19"/>
      <c r="AL3519" s="6" t="str">
        <f t="array" ref="AL3519">IFERROR(IFS(XLOOKUP(B3519, 'Kit Delivery Status'!$U:$U, 'Kit Delivery Status'!$K:$K) = "Complete", "DELIVERED", XLOOKUP(B3519, 'Kit Delivery Status'!$U:$U, 'Kit Delivery Status'!$K:$K) = "Issue", "ISSUE"), "")</f>
        <v/>
      </c>
      <c r="AM3519" s="6"/>
    </row>
    <row r="3520">
      <c r="A3520" s="19"/>
      <c r="B3520" s="19"/>
      <c r="C3520" s="19"/>
      <c r="D3520" s="42"/>
      <c r="E3520" s="19"/>
      <c r="F3520" s="19"/>
      <c r="G3520" s="19"/>
      <c r="H3520" s="19"/>
      <c r="I3520" s="19"/>
      <c r="J3520" s="19"/>
      <c r="K3520" s="19"/>
      <c r="L3520" s="19"/>
      <c r="M3520" s="19"/>
      <c r="N3520" s="19"/>
      <c r="O3520" s="43"/>
      <c r="P3520" s="19"/>
      <c r="Q3520" s="19"/>
      <c r="R3520" s="19"/>
      <c r="S3520" s="19"/>
      <c r="T3520" s="19"/>
      <c r="U3520" s="19"/>
      <c r="V3520" s="44"/>
      <c r="W3520" s="19"/>
      <c r="X3520" s="19"/>
      <c r="Y3520" s="19"/>
      <c r="Z3520" s="19"/>
      <c r="AA3520" s="19"/>
      <c r="AB3520" s="19"/>
      <c r="AC3520" s="19"/>
      <c r="AD3520" s="19"/>
      <c r="AE3520" s="19"/>
      <c r="AF3520" s="19"/>
      <c r="AG3520" s="19"/>
      <c r="AH3520" s="19"/>
      <c r="AI3520" s="19"/>
      <c r="AJ3520" s="19"/>
      <c r="AK3520" s="19"/>
      <c r="AL3520" s="6" t="str">
        <f t="array" ref="AL3520">IFERROR(IFS(XLOOKUP(B3520, 'Kit Delivery Status'!$U:$U, 'Kit Delivery Status'!$K:$K) = "Complete", "DELIVERED", XLOOKUP(B3520, 'Kit Delivery Status'!$U:$U, 'Kit Delivery Status'!$K:$K) = "Issue", "ISSUE"), "")</f>
        <v/>
      </c>
      <c r="AM3520" s="6"/>
    </row>
    <row r="3521">
      <c r="A3521" s="19"/>
      <c r="B3521" s="19"/>
      <c r="C3521" s="19"/>
      <c r="D3521" s="42"/>
      <c r="E3521" s="19"/>
      <c r="F3521" s="19"/>
      <c r="G3521" s="19"/>
      <c r="H3521" s="19"/>
      <c r="I3521" s="19"/>
      <c r="J3521" s="19"/>
      <c r="K3521" s="19"/>
      <c r="L3521" s="19"/>
      <c r="M3521" s="19"/>
      <c r="N3521" s="19"/>
      <c r="O3521" s="43"/>
      <c r="P3521" s="19"/>
      <c r="Q3521" s="19"/>
      <c r="R3521" s="19"/>
      <c r="S3521" s="19"/>
      <c r="T3521" s="19"/>
      <c r="U3521" s="19"/>
      <c r="V3521" s="44"/>
      <c r="W3521" s="19"/>
      <c r="X3521" s="19"/>
      <c r="Y3521" s="19"/>
      <c r="Z3521" s="19"/>
      <c r="AA3521" s="19"/>
      <c r="AB3521" s="19"/>
      <c r="AC3521" s="19"/>
      <c r="AD3521" s="19"/>
      <c r="AE3521" s="19"/>
      <c r="AF3521" s="19"/>
      <c r="AG3521" s="19"/>
      <c r="AH3521" s="19"/>
      <c r="AI3521" s="19"/>
      <c r="AJ3521" s="19"/>
      <c r="AK3521" s="19"/>
      <c r="AL3521" s="6" t="str">
        <f t="array" ref="AL3521">IFERROR(IFS(XLOOKUP(B3521, 'Kit Delivery Status'!$U:$U, 'Kit Delivery Status'!$K:$K) = "Complete", "DELIVERED", XLOOKUP(B3521, 'Kit Delivery Status'!$U:$U, 'Kit Delivery Status'!$K:$K) = "Issue", "ISSUE"), "")</f>
        <v/>
      </c>
      <c r="AM3521" s="6"/>
    </row>
    <row r="3522">
      <c r="A3522" s="19"/>
      <c r="B3522" s="19"/>
      <c r="C3522" s="19"/>
      <c r="D3522" s="42"/>
      <c r="E3522" s="19"/>
      <c r="F3522" s="19"/>
      <c r="G3522" s="19"/>
      <c r="H3522" s="19"/>
      <c r="I3522" s="19"/>
      <c r="J3522" s="19"/>
      <c r="K3522" s="19"/>
      <c r="L3522" s="19"/>
      <c r="M3522" s="19"/>
      <c r="N3522" s="19"/>
      <c r="O3522" s="43"/>
      <c r="P3522" s="19"/>
      <c r="Q3522" s="19"/>
      <c r="R3522" s="19"/>
      <c r="S3522" s="19"/>
      <c r="T3522" s="19"/>
      <c r="U3522" s="19"/>
      <c r="V3522" s="44"/>
      <c r="W3522" s="19"/>
      <c r="X3522" s="19"/>
      <c r="Y3522" s="19"/>
      <c r="Z3522" s="19"/>
      <c r="AA3522" s="19"/>
      <c r="AB3522" s="19"/>
      <c r="AC3522" s="19"/>
      <c r="AD3522" s="19"/>
      <c r="AE3522" s="19"/>
      <c r="AF3522" s="19"/>
      <c r="AG3522" s="19"/>
      <c r="AH3522" s="19"/>
      <c r="AI3522" s="19"/>
      <c r="AJ3522" s="19"/>
      <c r="AK3522" s="19"/>
      <c r="AL3522" s="6" t="str">
        <f t="array" ref="AL3522">IFERROR(IFS(XLOOKUP(B3522, 'Kit Delivery Status'!$U:$U, 'Kit Delivery Status'!$K:$K) = "Complete", "DELIVERED", XLOOKUP(B3522, 'Kit Delivery Status'!$U:$U, 'Kit Delivery Status'!$K:$K) = "Issue", "ISSUE"), "")</f>
        <v/>
      </c>
      <c r="AM3522" s="6"/>
    </row>
    <row r="3523">
      <c r="A3523" s="19"/>
      <c r="B3523" s="19"/>
      <c r="C3523" s="19"/>
      <c r="D3523" s="42"/>
      <c r="E3523" s="19"/>
      <c r="F3523" s="19"/>
      <c r="G3523" s="19"/>
      <c r="H3523" s="19"/>
      <c r="I3523" s="19"/>
      <c r="J3523" s="19"/>
      <c r="K3523" s="19"/>
      <c r="L3523" s="19"/>
      <c r="M3523" s="19"/>
      <c r="N3523" s="19"/>
      <c r="O3523" s="43"/>
      <c r="P3523" s="19"/>
      <c r="Q3523" s="19"/>
      <c r="R3523" s="19"/>
      <c r="S3523" s="19"/>
      <c r="T3523" s="19"/>
      <c r="U3523" s="19"/>
      <c r="V3523" s="44"/>
      <c r="W3523" s="19"/>
      <c r="X3523" s="19"/>
      <c r="Y3523" s="19"/>
      <c r="Z3523" s="19"/>
      <c r="AA3523" s="19"/>
      <c r="AB3523" s="19"/>
      <c r="AC3523" s="19"/>
      <c r="AD3523" s="19"/>
      <c r="AE3523" s="19"/>
      <c r="AF3523" s="19"/>
      <c r="AG3523" s="19"/>
      <c r="AH3523" s="19"/>
      <c r="AI3523" s="19"/>
      <c r="AJ3523" s="19"/>
      <c r="AK3523" s="19"/>
      <c r="AL3523" s="6" t="str">
        <f t="array" ref="AL3523">IFERROR(IFS(XLOOKUP(B3523, 'Kit Delivery Status'!$U:$U, 'Kit Delivery Status'!$K:$K) = "Complete", "DELIVERED", XLOOKUP(B3523, 'Kit Delivery Status'!$U:$U, 'Kit Delivery Status'!$K:$K) = "Issue", "ISSUE"), "")</f>
        <v/>
      </c>
      <c r="AM3523" s="6"/>
    </row>
    <row r="3524">
      <c r="A3524" s="19"/>
      <c r="B3524" s="19"/>
      <c r="C3524" s="19"/>
      <c r="D3524" s="42"/>
      <c r="E3524" s="19"/>
      <c r="F3524" s="19"/>
      <c r="G3524" s="19"/>
      <c r="H3524" s="19"/>
      <c r="I3524" s="19"/>
      <c r="J3524" s="19"/>
      <c r="K3524" s="19"/>
      <c r="L3524" s="19"/>
      <c r="M3524" s="19"/>
      <c r="N3524" s="19"/>
      <c r="O3524" s="43"/>
      <c r="P3524" s="19"/>
      <c r="Q3524" s="19"/>
      <c r="R3524" s="19"/>
      <c r="S3524" s="19"/>
      <c r="T3524" s="19"/>
      <c r="U3524" s="19"/>
      <c r="V3524" s="44"/>
      <c r="W3524" s="19"/>
      <c r="X3524" s="19"/>
      <c r="Y3524" s="19"/>
      <c r="Z3524" s="19"/>
      <c r="AA3524" s="19"/>
      <c r="AB3524" s="19"/>
      <c r="AC3524" s="19"/>
      <c r="AD3524" s="19"/>
      <c r="AE3524" s="19"/>
      <c r="AF3524" s="19"/>
      <c r="AG3524" s="19"/>
      <c r="AH3524" s="19"/>
      <c r="AI3524" s="19"/>
      <c r="AJ3524" s="19"/>
      <c r="AK3524" s="19"/>
      <c r="AL3524" s="6" t="str">
        <f t="array" ref="AL3524">IFERROR(IFS(XLOOKUP(B3524, 'Kit Delivery Status'!$U:$U, 'Kit Delivery Status'!$K:$K) = "Complete", "DELIVERED", XLOOKUP(B3524, 'Kit Delivery Status'!$U:$U, 'Kit Delivery Status'!$K:$K) = "Issue", "ISSUE"), "")</f>
        <v/>
      </c>
      <c r="AM3524" s="6"/>
    </row>
    <row r="3525">
      <c r="A3525" s="19"/>
      <c r="B3525" s="19"/>
      <c r="C3525" s="19"/>
      <c r="D3525" s="42"/>
      <c r="E3525" s="19"/>
      <c r="F3525" s="19"/>
      <c r="G3525" s="19"/>
      <c r="H3525" s="19"/>
      <c r="I3525" s="19"/>
      <c r="J3525" s="19"/>
      <c r="K3525" s="19"/>
      <c r="L3525" s="19"/>
      <c r="M3525" s="19"/>
      <c r="N3525" s="19"/>
      <c r="O3525" s="43"/>
      <c r="P3525" s="19"/>
      <c r="Q3525" s="19"/>
      <c r="R3525" s="19"/>
      <c r="S3525" s="19"/>
      <c r="T3525" s="19"/>
      <c r="U3525" s="19"/>
      <c r="V3525" s="44"/>
      <c r="W3525" s="19"/>
      <c r="X3525" s="19"/>
      <c r="Y3525" s="19"/>
      <c r="Z3525" s="19"/>
      <c r="AA3525" s="19"/>
      <c r="AB3525" s="19"/>
      <c r="AC3525" s="19"/>
      <c r="AD3525" s="19"/>
      <c r="AE3525" s="19"/>
      <c r="AF3525" s="19"/>
      <c r="AG3525" s="19"/>
      <c r="AH3525" s="19"/>
      <c r="AI3525" s="19"/>
      <c r="AJ3525" s="19"/>
      <c r="AK3525" s="19"/>
      <c r="AL3525" s="6" t="str">
        <f t="array" ref="AL3525">IFERROR(IFS(XLOOKUP(B3525, 'Kit Delivery Status'!$U:$U, 'Kit Delivery Status'!$K:$K) = "Complete", "DELIVERED", XLOOKUP(B3525, 'Kit Delivery Status'!$U:$U, 'Kit Delivery Status'!$K:$K) = "Issue", "ISSUE"), "")</f>
        <v/>
      </c>
      <c r="AM3525" s="6"/>
    </row>
    <row r="3526">
      <c r="A3526" s="19"/>
      <c r="B3526" s="19"/>
      <c r="C3526" s="19"/>
      <c r="D3526" s="42"/>
      <c r="E3526" s="19"/>
      <c r="F3526" s="19"/>
      <c r="G3526" s="19"/>
      <c r="H3526" s="19"/>
      <c r="I3526" s="19"/>
      <c r="J3526" s="19"/>
      <c r="K3526" s="19"/>
      <c r="L3526" s="19"/>
      <c r="M3526" s="19"/>
      <c r="N3526" s="19"/>
      <c r="O3526" s="43"/>
      <c r="P3526" s="19"/>
      <c r="Q3526" s="19"/>
      <c r="R3526" s="19"/>
      <c r="S3526" s="19"/>
      <c r="T3526" s="19"/>
      <c r="U3526" s="19"/>
      <c r="V3526" s="44"/>
      <c r="W3526" s="19"/>
      <c r="X3526" s="19"/>
      <c r="Y3526" s="19"/>
      <c r="Z3526" s="19"/>
      <c r="AA3526" s="19"/>
      <c r="AB3526" s="19"/>
      <c r="AC3526" s="19"/>
      <c r="AD3526" s="19"/>
      <c r="AE3526" s="19"/>
      <c r="AF3526" s="19"/>
      <c r="AG3526" s="19"/>
      <c r="AH3526" s="19"/>
      <c r="AI3526" s="19"/>
      <c r="AJ3526" s="19"/>
      <c r="AK3526" s="19"/>
      <c r="AL3526" s="6" t="str">
        <f t="array" ref="AL3526">IFERROR(IFS(XLOOKUP(B3526, 'Kit Delivery Status'!$U:$U, 'Kit Delivery Status'!$K:$K) = "Complete", "DELIVERED", XLOOKUP(B3526, 'Kit Delivery Status'!$U:$U, 'Kit Delivery Status'!$K:$K) = "Issue", "ISSUE"), "")</f>
        <v/>
      </c>
      <c r="AM3526" s="6"/>
    </row>
    <row r="3527">
      <c r="A3527" s="19"/>
      <c r="B3527" s="19"/>
      <c r="C3527" s="19"/>
      <c r="D3527" s="42"/>
      <c r="E3527" s="19"/>
      <c r="F3527" s="19"/>
      <c r="G3527" s="19"/>
      <c r="H3527" s="19"/>
      <c r="I3527" s="19"/>
      <c r="J3527" s="19"/>
      <c r="K3527" s="19"/>
      <c r="L3527" s="19"/>
      <c r="M3527" s="19"/>
      <c r="N3527" s="19"/>
      <c r="O3527" s="43"/>
      <c r="P3527" s="19"/>
      <c r="Q3527" s="19"/>
      <c r="R3527" s="19"/>
      <c r="S3527" s="19"/>
      <c r="T3527" s="19"/>
      <c r="U3527" s="19"/>
      <c r="V3527" s="44"/>
      <c r="W3527" s="19"/>
      <c r="X3527" s="19"/>
      <c r="Y3527" s="19"/>
      <c r="Z3527" s="19"/>
      <c r="AA3527" s="19"/>
      <c r="AB3527" s="19"/>
      <c r="AC3527" s="19"/>
      <c r="AD3527" s="19"/>
      <c r="AE3527" s="19"/>
      <c r="AF3527" s="19"/>
      <c r="AG3527" s="19"/>
      <c r="AH3527" s="19"/>
      <c r="AI3527" s="19"/>
      <c r="AJ3527" s="19"/>
      <c r="AK3527" s="19"/>
      <c r="AL3527" s="6" t="str">
        <f t="array" ref="AL3527">IFERROR(IFS(XLOOKUP(B3527, 'Kit Delivery Status'!$U:$U, 'Kit Delivery Status'!$K:$K) = "Complete", "DELIVERED", XLOOKUP(B3527, 'Kit Delivery Status'!$U:$U, 'Kit Delivery Status'!$K:$K) = "Issue", "ISSUE"), "")</f>
        <v/>
      </c>
      <c r="AM3527" s="6"/>
    </row>
    <row r="3528">
      <c r="A3528" s="19"/>
      <c r="B3528" s="19"/>
      <c r="C3528" s="19"/>
      <c r="D3528" s="42"/>
      <c r="E3528" s="19"/>
      <c r="F3528" s="19"/>
      <c r="G3528" s="19"/>
      <c r="H3528" s="19"/>
      <c r="I3528" s="19"/>
      <c r="J3528" s="19"/>
      <c r="K3528" s="19"/>
      <c r="L3528" s="19"/>
      <c r="M3528" s="19"/>
      <c r="N3528" s="19"/>
      <c r="O3528" s="43"/>
      <c r="P3528" s="19"/>
      <c r="Q3528" s="19"/>
      <c r="R3528" s="19"/>
      <c r="S3528" s="19"/>
      <c r="T3528" s="19"/>
      <c r="U3528" s="19"/>
      <c r="V3528" s="44"/>
      <c r="W3528" s="19"/>
      <c r="X3528" s="19"/>
      <c r="Y3528" s="19"/>
      <c r="Z3528" s="19"/>
      <c r="AA3528" s="19"/>
      <c r="AB3528" s="19"/>
      <c r="AC3528" s="19"/>
      <c r="AD3528" s="19"/>
      <c r="AE3528" s="19"/>
      <c r="AF3528" s="19"/>
      <c r="AG3528" s="19"/>
      <c r="AH3528" s="19"/>
      <c r="AI3528" s="19"/>
      <c r="AJ3528" s="19"/>
      <c r="AK3528" s="19"/>
      <c r="AL3528" s="6" t="str">
        <f t="array" ref="AL3528">IFERROR(IFS(XLOOKUP(B3528, 'Kit Delivery Status'!$U:$U, 'Kit Delivery Status'!$K:$K) = "Complete", "DELIVERED", XLOOKUP(B3528, 'Kit Delivery Status'!$U:$U, 'Kit Delivery Status'!$K:$K) = "Issue", "ISSUE"), "")</f>
        <v/>
      </c>
      <c r="AM3528" s="6"/>
    </row>
    <row r="3529">
      <c r="A3529" s="19"/>
      <c r="B3529" s="19"/>
      <c r="C3529" s="19"/>
      <c r="D3529" s="42"/>
      <c r="E3529" s="19"/>
      <c r="F3529" s="19"/>
      <c r="G3529" s="19"/>
      <c r="H3529" s="19"/>
      <c r="I3529" s="19"/>
      <c r="J3529" s="19"/>
      <c r="K3529" s="19"/>
      <c r="L3529" s="19"/>
      <c r="M3529" s="19"/>
      <c r="N3529" s="19"/>
      <c r="O3529" s="43"/>
      <c r="P3529" s="19"/>
      <c r="Q3529" s="19"/>
      <c r="R3529" s="19"/>
      <c r="S3529" s="19"/>
      <c r="T3529" s="19"/>
      <c r="U3529" s="19"/>
      <c r="V3529" s="44"/>
      <c r="W3529" s="19"/>
      <c r="X3529" s="19"/>
      <c r="Y3529" s="19"/>
      <c r="Z3529" s="19"/>
      <c r="AA3529" s="19"/>
      <c r="AB3529" s="19"/>
      <c r="AC3529" s="19"/>
      <c r="AD3529" s="19"/>
      <c r="AE3529" s="19"/>
      <c r="AF3529" s="19"/>
      <c r="AG3529" s="19"/>
      <c r="AH3529" s="19"/>
      <c r="AI3529" s="19"/>
      <c r="AJ3529" s="19"/>
      <c r="AK3529" s="19"/>
      <c r="AL3529" s="6" t="str">
        <f t="array" ref="AL3529">IFERROR(IFS(XLOOKUP(B3529, 'Kit Delivery Status'!$U:$U, 'Kit Delivery Status'!$K:$K) = "Complete", "DELIVERED", XLOOKUP(B3529, 'Kit Delivery Status'!$U:$U, 'Kit Delivery Status'!$K:$K) = "Issue", "ISSUE"), "")</f>
        <v/>
      </c>
      <c r="AM3529" s="6"/>
    </row>
    <row r="3530">
      <c r="A3530" s="19"/>
      <c r="B3530" s="19"/>
      <c r="C3530" s="19"/>
      <c r="D3530" s="42"/>
      <c r="E3530" s="19"/>
      <c r="F3530" s="19"/>
      <c r="G3530" s="19"/>
      <c r="H3530" s="19"/>
      <c r="I3530" s="19"/>
      <c r="J3530" s="19"/>
      <c r="K3530" s="19"/>
      <c r="L3530" s="19"/>
      <c r="M3530" s="19"/>
      <c r="N3530" s="19"/>
      <c r="O3530" s="43"/>
      <c r="P3530" s="19"/>
      <c r="Q3530" s="19"/>
      <c r="R3530" s="19"/>
      <c r="S3530" s="19"/>
      <c r="T3530" s="19"/>
      <c r="U3530" s="19"/>
      <c r="V3530" s="44"/>
      <c r="W3530" s="19"/>
      <c r="X3530" s="19"/>
      <c r="Y3530" s="19"/>
      <c r="Z3530" s="19"/>
      <c r="AA3530" s="19"/>
      <c r="AB3530" s="19"/>
      <c r="AC3530" s="19"/>
      <c r="AD3530" s="19"/>
      <c r="AE3530" s="19"/>
      <c r="AF3530" s="19"/>
      <c r="AG3530" s="19"/>
      <c r="AH3530" s="19"/>
      <c r="AI3530" s="19"/>
      <c r="AJ3530" s="19"/>
      <c r="AK3530" s="19"/>
      <c r="AL3530" s="6" t="str">
        <f t="array" ref="AL3530">IFERROR(IFS(XLOOKUP(B3530, 'Kit Delivery Status'!$U:$U, 'Kit Delivery Status'!$K:$K) = "Complete", "DELIVERED", XLOOKUP(B3530, 'Kit Delivery Status'!$U:$U, 'Kit Delivery Status'!$K:$K) = "Issue", "ISSUE"), "")</f>
        <v/>
      </c>
      <c r="AM3530" s="6"/>
    </row>
    <row r="3531">
      <c r="A3531" s="19"/>
      <c r="B3531" s="19"/>
      <c r="C3531" s="19"/>
      <c r="D3531" s="42"/>
      <c r="E3531" s="19"/>
      <c r="F3531" s="19"/>
      <c r="G3531" s="19"/>
      <c r="H3531" s="19"/>
      <c r="I3531" s="19"/>
      <c r="J3531" s="19"/>
      <c r="K3531" s="19"/>
      <c r="L3531" s="19"/>
      <c r="M3531" s="19"/>
      <c r="N3531" s="19"/>
      <c r="O3531" s="43"/>
      <c r="P3531" s="19"/>
      <c r="Q3531" s="19"/>
      <c r="R3531" s="19"/>
      <c r="S3531" s="19"/>
      <c r="T3531" s="19"/>
      <c r="U3531" s="19"/>
      <c r="V3531" s="44"/>
      <c r="W3531" s="19"/>
      <c r="X3531" s="19"/>
      <c r="Y3531" s="19"/>
      <c r="Z3531" s="19"/>
      <c r="AA3531" s="19"/>
      <c r="AB3531" s="19"/>
      <c r="AC3531" s="19"/>
      <c r="AD3531" s="19"/>
      <c r="AE3531" s="19"/>
      <c r="AF3531" s="19"/>
      <c r="AG3531" s="19"/>
      <c r="AH3531" s="19"/>
      <c r="AI3531" s="19"/>
      <c r="AJ3531" s="19"/>
      <c r="AK3531" s="19"/>
      <c r="AL3531" s="6" t="str">
        <f t="array" ref="AL3531">IFERROR(IFS(XLOOKUP(B3531, 'Kit Delivery Status'!$U:$U, 'Kit Delivery Status'!$K:$K) = "Complete", "DELIVERED", XLOOKUP(B3531, 'Kit Delivery Status'!$U:$U, 'Kit Delivery Status'!$K:$K) = "Issue", "ISSUE"), "")</f>
        <v/>
      </c>
      <c r="AM3531" s="6"/>
    </row>
    <row r="3532">
      <c r="A3532" s="19"/>
      <c r="B3532" s="19"/>
      <c r="C3532" s="19"/>
      <c r="D3532" s="42"/>
      <c r="E3532" s="19"/>
      <c r="F3532" s="19"/>
      <c r="G3532" s="19"/>
      <c r="H3532" s="19"/>
      <c r="I3532" s="19"/>
      <c r="J3532" s="19"/>
      <c r="K3532" s="19"/>
      <c r="L3532" s="19"/>
      <c r="M3532" s="19"/>
      <c r="N3532" s="19"/>
      <c r="O3532" s="43"/>
      <c r="P3532" s="19"/>
      <c r="Q3532" s="19"/>
      <c r="R3532" s="19"/>
      <c r="S3532" s="19"/>
      <c r="T3532" s="19"/>
      <c r="U3532" s="19"/>
      <c r="V3532" s="44"/>
      <c r="W3532" s="19"/>
      <c r="X3532" s="19"/>
      <c r="Y3532" s="19"/>
      <c r="Z3532" s="19"/>
      <c r="AA3532" s="19"/>
      <c r="AB3532" s="19"/>
      <c r="AC3532" s="19"/>
      <c r="AD3532" s="19"/>
      <c r="AE3532" s="19"/>
      <c r="AF3532" s="19"/>
      <c r="AG3532" s="19"/>
      <c r="AH3532" s="19"/>
      <c r="AI3532" s="19"/>
      <c r="AJ3532" s="19"/>
      <c r="AK3532" s="19"/>
      <c r="AL3532" s="6" t="str">
        <f t="array" ref="AL3532">IFERROR(IFS(XLOOKUP(B3532, 'Kit Delivery Status'!$U:$U, 'Kit Delivery Status'!$K:$K) = "Complete", "DELIVERED", XLOOKUP(B3532, 'Kit Delivery Status'!$U:$U, 'Kit Delivery Status'!$K:$K) = "Issue", "ISSUE"), "")</f>
        <v/>
      </c>
      <c r="AM3532" s="6"/>
    </row>
    <row r="3533">
      <c r="A3533" s="19"/>
      <c r="B3533" s="19"/>
      <c r="C3533" s="19"/>
      <c r="D3533" s="42"/>
      <c r="E3533" s="19"/>
      <c r="F3533" s="19"/>
      <c r="G3533" s="19"/>
      <c r="H3533" s="19"/>
      <c r="I3533" s="19"/>
      <c r="J3533" s="19"/>
      <c r="K3533" s="19"/>
      <c r="L3533" s="19"/>
      <c r="M3533" s="19"/>
      <c r="N3533" s="19"/>
      <c r="O3533" s="43"/>
      <c r="P3533" s="19"/>
      <c r="Q3533" s="19"/>
      <c r="R3533" s="19"/>
      <c r="S3533" s="19"/>
      <c r="T3533" s="19"/>
      <c r="U3533" s="19"/>
      <c r="V3533" s="44"/>
      <c r="W3533" s="19"/>
      <c r="X3533" s="19"/>
      <c r="Y3533" s="19"/>
      <c r="Z3533" s="19"/>
      <c r="AA3533" s="19"/>
      <c r="AB3533" s="19"/>
      <c r="AC3533" s="19"/>
      <c r="AD3533" s="19"/>
      <c r="AE3533" s="19"/>
      <c r="AF3533" s="19"/>
      <c r="AG3533" s="19"/>
      <c r="AH3533" s="19"/>
      <c r="AI3533" s="19"/>
      <c r="AJ3533" s="19"/>
      <c r="AK3533" s="19"/>
      <c r="AL3533" s="6" t="str">
        <f t="array" ref="AL3533">IFERROR(IFS(XLOOKUP(B3533, 'Kit Delivery Status'!$U:$U, 'Kit Delivery Status'!$K:$K) = "Complete", "DELIVERED", XLOOKUP(B3533, 'Kit Delivery Status'!$U:$U, 'Kit Delivery Status'!$K:$K) = "Issue", "ISSUE"), "")</f>
        <v/>
      </c>
      <c r="AM3533" s="6"/>
    </row>
    <row r="3534">
      <c r="A3534" s="19"/>
      <c r="B3534" s="19"/>
      <c r="C3534" s="19"/>
      <c r="D3534" s="42"/>
      <c r="E3534" s="19"/>
      <c r="F3534" s="19"/>
      <c r="G3534" s="19"/>
      <c r="H3534" s="19"/>
      <c r="I3534" s="19"/>
      <c r="J3534" s="19"/>
      <c r="K3534" s="19"/>
      <c r="L3534" s="19"/>
      <c r="M3534" s="19"/>
      <c r="N3534" s="19"/>
      <c r="O3534" s="43"/>
      <c r="P3534" s="19"/>
      <c r="Q3534" s="19"/>
      <c r="R3534" s="19"/>
      <c r="S3534" s="19"/>
      <c r="T3534" s="19"/>
      <c r="U3534" s="19"/>
      <c r="V3534" s="44"/>
      <c r="W3534" s="19"/>
      <c r="X3534" s="19"/>
      <c r="Y3534" s="19"/>
      <c r="Z3534" s="19"/>
      <c r="AA3534" s="19"/>
      <c r="AB3534" s="19"/>
      <c r="AC3534" s="19"/>
      <c r="AD3534" s="19"/>
      <c r="AE3534" s="19"/>
      <c r="AF3534" s="19"/>
      <c r="AG3534" s="19"/>
      <c r="AH3534" s="19"/>
      <c r="AI3534" s="19"/>
      <c r="AJ3534" s="19"/>
      <c r="AK3534" s="19"/>
      <c r="AL3534" s="6" t="str">
        <f t="array" ref="AL3534">IFERROR(IFS(XLOOKUP(B3534, 'Kit Delivery Status'!$U:$U, 'Kit Delivery Status'!$K:$K) = "Complete", "DELIVERED", XLOOKUP(B3534, 'Kit Delivery Status'!$U:$U, 'Kit Delivery Status'!$K:$K) = "Issue", "ISSUE"), "")</f>
        <v/>
      </c>
      <c r="AM3534" s="6"/>
    </row>
    <row r="3535">
      <c r="A3535" s="19"/>
      <c r="B3535" s="19"/>
      <c r="C3535" s="19"/>
      <c r="D3535" s="42"/>
      <c r="E3535" s="19"/>
      <c r="F3535" s="19"/>
      <c r="G3535" s="19"/>
      <c r="H3535" s="19"/>
      <c r="I3535" s="19"/>
      <c r="J3535" s="19"/>
      <c r="K3535" s="19"/>
      <c r="L3535" s="19"/>
      <c r="M3535" s="19"/>
      <c r="N3535" s="19"/>
      <c r="O3535" s="43"/>
      <c r="P3535" s="19"/>
      <c r="Q3535" s="19"/>
      <c r="R3535" s="19"/>
      <c r="S3535" s="19"/>
      <c r="T3535" s="19"/>
      <c r="U3535" s="19"/>
      <c r="V3535" s="44"/>
      <c r="W3535" s="19"/>
      <c r="X3535" s="19"/>
      <c r="Y3535" s="19"/>
      <c r="Z3535" s="19"/>
      <c r="AA3535" s="19"/>
      <c r="AB3535" s="19"/>
      <c r="AC3535" s="19"/>
      <c r="AD3535" s="19"/>
      <c r="AE3535" s="19"/>
      <c r="AF3535" s="19"/>
      <c r="AG3535" s="19"/>
      <c r="AH3535" s="19"/>
      <c r="AI3535" s="19"/>
      <c r="AJ3535" s="19"/>
      <c r="AK3535" s="19"/>
      <c r="AL3535" s="6" t="str">
        <f t="array" ref="AL3535">IFERROR(IFS(XLOOKUP(B3535, 'Kit Delivery Status'!$U:$U, 'Kit Delivery Status'!$K:$K) = "Complete", "DELIVERED", XLOOKUP(B3535, 'Kit Delivery Status'!$U:$U, 'Kit Delivery Status'!$K:$K) = "Issue", "ISSUE"), "")</f>
        <v/>
      </c>
      <c r="AM3535" s="6"/>
    </row>
    <row r="3536">
      <c r="A3536" s="19"/>
      <c r="B3536" s="19"/>
      <c r="C3536" s="19"/>
      <c r="D3536" s="42"/>
      <c r="E3536" s="19"/>
      <c r="F3536" s="19"/>
      <c r="G3536" s="19"/>
      <c r="H3536" s="19"/>
      <c r="I3536" s="19"/>
      <c r="J3536" s="19"/>
      <c r="K3536" s="19"/>
      <c r="L3536" s="19"/>
      <c r="M3536" s="19"/>
      <c r="N3536" s="19"/>
      <c r="O3536" s="43"/>
      <c r="P3536" s="19"/>
      <c r="Q3536" s="19"/>
      <c r="R3536" s="19"/>
      <c r="S3536" s="19"/>
      <c r="T3536" s="19"/>
      <c r="U3536" s="19"/>
      <c r="V3536" s="44"/>
      <c r="W3536" s="19"/>
      <c r="X3536" s="19"/>
      <c r="Y3536" s="19"/>
      <c r="Z3536" s="19"/>
      <c r="AA3536" s="19"/>
      <c r="AB3536" s="19"/>
      <c r="AC3536" s="19"/>
      <c r="AD3536" s="19"/>
      <c r="AE3536" s="19"/>
      <c r="AF3536" s="19"/>
      <c r="AG3536" s="19"/>
      <c r="AH3536" s="19"/>
      <c r="AI3536" s="19"/>
      <c r="AJ3536" s="19"/>
      <c r="AK3536" s="19"/>
      <c r="AL3536" s="6" t="str">
        <f t="array" ref="AL3536">IFERROR(IFS(XLOOKUP(B3536, 'Kit Delivery Status'!$U:$U, 'Kit Delivery Status'!$K:$K) = "Complete", "DELIVERED", XLOOKUP(B3536, 'Kit Delivery Status'!$U:$U, 'Kit Delivery Status'!$K:$K) = "Issue", "ISSUE"), "")</f>
        <v/>
      </c>
      <c r="AM3536" s="6"/>
    </row>
    <row r="3537">
      <c r="A3537" s="19"/>
      <c r="B3537" s="19"/>
      <c r="C3537" s="19"/>
      <c r="D3537" s="42"/>
      <c r="E3537" s="19"/>
      <c r="F3537" s="19"/>
      <c r="G3537" s="19"/>
      <c r="H3537" s="19"/>
      <c r="I3537" s="19"/>
      <c r="J3537" s="19"/>
      <c r="K3537" s="19"/>
      <c r="L3537" s="19"/>
      <c r="M3537" s="19"/>
      <c r="N3537" s="19"/>
      <c r="O3537" s="43"/>
      <c r="P3537" s="19"/>
      <c r="Q3537" s="19"/>
      <c r="R3537" s="19"/>
      <c r="S3537" s="19"/>
      <c r="T3537" s="19"/>
      <c r="U3537" s="19"/>
      <c r="V3537" s="44"/>
      <c r="W3537" s="19"/>
      <c r="X3537" s="19"/>
      <c r="Y3537" s="19"/>
      <c r="Z3537" s="19"/>
      <c r="AA3537" s="19"/>
      <c r="AB3537" s="19"/>
      <c r="AC3537" s="19"/>
      <c r="AD3537" s="19"/>
      <c r="AE3537" s="19"/>
      <c r="AF3537" s="19"/>
      <c r="AG3537" s="19"/>
      <c r="AH3537" s="19"/>
      <c r="AI3537" s="19"/>
      <c r="AJ3537" s="19"/>
      <c r="AK3537" s="19"/>
      <c r="AL3537" s="6" t="str">
        <f t="array" ref="AL3537">IFERROR(IFS(XLOOKUP(B3537, 'Kit Delivery Status'!$U:$U, 'Kit Delivery Status'!$K:$K) = "Complete", "DELIVERED", XLOOKUP(B3537, 'Kit Delivery Status'!$U:$U, 'Kit Delivery Status'!$K:$K) = "Issue", "ISSUE"), "")</f>
        <v/>
      </c>
      <c r="AM3537" s="6"/>
    </row>
    <row r="3538">
      <c r="A3538" s="19"/>
      <c r="B3538" s="19"/>
      <c r="C3538" s="19"/>
      <c r="D3538" s="42"/>
      <c r="E3538" s="19"/>
      <c r="F3538" s="19"/>
      <c r="G3538" s="19"/>
      <c r="H3538" s="19"/>
      <c r="I3538" s="19"/>
      <c r="J3538" s="19"/>
      <c r="K3538" s="19"/>
      <c r="L3538" s="19"/>
      <c r="M3538" s="19"/>
      <c r="N3538" s="19"/>
      <c r="O3538" s="43"/>
      <c r="P3538" s="19"/>
      <c r="Q3538" s="19"/>
      <c r="R3538" s="19"/>
      <c r="S3538" s="19"/>
      <c r="T3538" s="19"/>
      <c r="U3538" s="19"/>
      <c r="V3538" s="44"/>
      <c r="W3538" s="19"/>
      <c r="X3538" s="19"/>
      <c r="Y3538" s="19"/>
      <c r="Z3538" s="19"/>
      <c r="AA3538" s="19"/>
      <c r="AB3538" s="19"/>
      <c r="AC3538" s="19"/>
      <c r="AD3538" s="19"/>
      <c r="AE3538" s="19"/>
      <c r="AF3538" s="19"/>
      <c r="AG3538" s="19"/>
      <c r="AH3538" s="19"/>
      <c r="AI3538" s="19"/>
      <c r="AJ3538" s="19"/>
      <c r="AK3538" s="19"/>
      <c r="AL3538" s="6" t="str">
        <f t="array" ref="AL3538">IFERROR(IFS(XLOOKUP(B3538, 'Kit Delivery Status'!$U:$U, 'Kit Delivery Status'!$K:$K) = "Complete", "DELIVERED", XLOOKUP(B3538, 'Kit Delivery Status'!$U:$U, 'Kit Delivery Status'!$K:$K) = "Issue", "ISSUE"), "")</f>
        <v/>
      </c>
      <c r="AM3538" s="6"/>
    </row>
    <row r="3539">
      <c r="A3539" s="19"/>
      <c r="B3539" s="19"/>
      <c r="C3539" s="19"/>
      <c r="D3539" s="42"/>
      <c r="E3539" s="19"/>
      <c r="F3539" s="19"/>
      <c r="G3539" s="19"/>
      <c r="H3539" s="19"/>
      <c r="I3539" s="19"/>
      <c r="J3539" s="19"/>
      <c r="K3539" s="19"/>
      <c r="L3539" s="19"/>
      <c r="M3539" s="19"/>
      <c r="N3539" s="19"/>
      <c r="O3539" s="43"/>
      <c r="P3539" s="19"/>
      <c r="Q3539" s="19"/>
      <c r="R3539" s="19"/>
      <c r="S3539" s="19"/>
      <c r="T3539" s="19"/>
      <c r="U3539" s="19"/>
      <c r="V3539" s="44"/>
      <c r="W3539" s="19"/>
      <c r="X3539" s="19"/>
      <c r="Y3539" s="19"/>
      <c r="Z3539" s="19"/>
      <c r="AA3539" s="19"/>
      <c r="AB3539" s="19"/>
      <c r="AC3539" s="19"/>
      <c r="AD3539" s="19"/>
      <c r="AE3539" s="19"/>
      <c r="AF3539" s="19"/>
      <c r="AG3539" s="19"/>
      <c r="AH3539" s="19"/>
      <c r="AI3539" s="19"/>
      <c r="AJ3539" s="19"/>
      <c r="AK3539" s="19"/>
      <c r="AL3539" s="6" t="str">
        <f t="array" ref="AL3539">IFERROR(IFS(XLOOKUP(B3539, 'Kit Delivery Status'!$U:$U, 'Kit Delivery Status'!$K:$K) = "Complete", "DELIVERED", XLOOKUP(B3539, 'Kit Delivery Status'!$U:$U, 'Kit Delivery Status'!$K:$K) = "Issue", "ISSUE"), "")</f>
        <v/>
      </c>
      <c r="AM3539" s="6"/>
    </row>
    <row r="3540">
      <c r="A3540" s="19"/>
      <c r="B3540" s="19"/>
      <c r="C3540" s="19"/>
      <c r="D3540" s="42"/>
      <c r="E3540" s="19"/>
      <c r="F3540" s="19"/>
      <c r="G3540" s="19"/>
      <c r="H3540" s="19"/>
      <c r="I3540" s="19"/>
      <c r="J3540" s="19"/>
      <c r="K3540" s="19"/>
      <c r="L3540" s="19"/>
      <c r="M3540" s="19"/>
      <c r="N3540" s="19"/>
      <c r="O3540" s="43"/>
      <c r="P3540" s="19"/>
      <c r="Q3540" s="19"/>
      <c r="R3540" s="19"/>
      <c r="S3540" s="19"/>
      <c r="T3540" s="19"/>
      <c r="U3540" s="19"/>
      <c r="V3540" s="44"/>
      <c r="W3540" s="19"/>
      <c r="X3540" s="19"/>
      <c r="Y3540" s="19"/>
      <c r="Z3540" s="19"/>
      <c r="AA3540" s="19"/>
      <c r="AB3540" s="19"/>
      <c r="AC3540" s="19"/>
      <c r="AD3540" s="19"/>
      <c r="AE3540" s="19"/>
      <c r="AF3540" s="19"/>
      <c r="AG3540" s="19"/>
      <c r="AH3540" s="19"/>
      <c r="AI3540" s="19"/>
      <c r="AJ3540" s="19"/>
      <c r="AK3540" s="19"/>
      <c r="AL3540" s="6" t="str">
        <f t="array" ref="AL3540">IFERROR(IFS(XLOOKUP(B3540, 'Kit Delivery Status'!$U:$U, 'Kit Delivery Status'!$K:$K) = "Complete", "DELIVERED", XLOOKUP(B3540, 'Kit Delivery Status'!$U:$U, 'Kit Delivery Status'!$K:$K) = "Issue", "ISSUE"), "")</f>
        <v/>
      </c>
      <c r="AM3540" s="6"/>
    </row>
    <row r="3541">
      <c r="A3541" s="19"/>
      <c r="B3541" s="19"/>
      <c r="C3541" s="19"/>
      <c r="D3541" s="42"/>
      <c r="E3541" s="19"/>
      <c r="F3541" s="19"/>
      <c r="G3541" s="19"/>
      <c r="H3541" s="19"/>
      <c r="I3541" s="19"/>
      <c r="J3541" s="19"/>
      <c r="K3541" s="19"/>
      <c r="L3541" s="19"/>
      <c r="M3541" s="19"/>
      <c r="N3541" s="19"/>
      <c r="O3541" s="43"/>
      <c r="P3541" s="19"/>
      <c r="Q3541" s="19"/>
      <c r="R3541" s="19"/>
      <c r="S3541" s="19"/>
      <c r="T3541" s="19"/>
      <c r="U3541" s="19"/>
      <c r="V3541" s="44"/>
      <c r="W3541" s="19"/>
      <c r="X3541" s="19"/>
      <c r="Y3541" s="19"/>
      <c r="Z3541" s="19"/>
      <c r="AA3541" s="19"/>
      <c r="AB3541" s="19"/>
      <c r="AC3541" s="19"/>
      <c r="AD3541" s="19"/>
      <c r="AE3541" s="19"/>
      <c r="AF3541" s="19"/>
      <c r="AG3541" s="19"/>
      <c r="AH3541" s="19"/>
      <c r="AI3541" s="19"/>
      <c r="AJ3541" s="19"/>
      <c r="AK3541" s="19"/>
      <c r="AL3541" s="6" t="str">
        <f t="array" ref="AL3541">IFERROR(IFS(XLOOKUP(B3541, 'Kit Delivery Status'!$U:$U, 'Kit Delivery Status'!$K:$K) = "Complete", "DELIVERED", XLOOKUP(B3541, 'Kit Delivery Status'!$U:$U, 'Kit Delivery Status'!$K:$K) = "Issue", "ISSUE"), "")</f>
        <v/>
      </c>
      <c r="AM3541" s="6"/>
    </row>
    <row r="3542">
      <c r="A3542" s="19"/>
      <c r="B3542" s="19"/>
      <c r="C3542" s="19"/>
      <c r="D3542" s="42"/>
      <c r="E3542" s="19"/>
      <c r="F3542" s="19"/>
      <c r="G3542" s="19"/>
      <c r="H3542" s="19"/>
      <c r="I3542" s="19"/>
      <c r="J3542" s="19"/>
      <c r="K3542" s="19"/>
      <c r="L3542" s="19"/>
      <c r="M3542" s="19"/>
      <c r="N3542" s="19"/>
      <c r="O3542" s="43"/>
      <c r="P3542" s="19"/>
      <c r="Q3542" s="19"/>
      <c r="R3542" s="19"/>
      <c r="S3542" s="19"/>
      <c r="T3542" s="19"/>
      <c r="U3542" s="19"/>
      <c r="V3542" s="44"/>
      <c r="W3542" s="19"/>
      <c r="X3542" s="19"/>
      <c r="Y3542" s="19"/>
      <c r="Z3542" s="19"/>
      <c r="AA3542" s="19"/>
      <c r="AB3542" s="19"/>
      <c r="AC3542" s="19"/>
      <c r="AD3542" s="19"/>
      <c r="AE3542" s="19"/>
      <c r="AF3542" s="19"/>
      <c r="AG3542" s="19"/>
      <c r="AH3542" s="19"/>
      <c r="AI3542" s="19"/>
      <c r="AJ3542" s="19"/>
      <c r="AK3542" s="19"/>
      <c r="AL3542" s="6" t="str">
        <f t="array" ref="AL3542">IFERROR(IFS(XLOOKUP(B3542, 'Kit Delivery Status'!$U:$U, 'Kit Delivery Status'!$K:$K) = "Complete", "DELIVERED", XLOOKUP(B3542, 'Kit Delivery Status'!$U:$U, 'Kit Delivery Status'!$K:$K) = "Issue", "ISSUE"), "")</f>
        <v/>
      </c>
      <c r="AM3542" s="6"/>
    </row>
    <row r="3543">
      <c r="A3543" s="19"/>
      <c r="B3543" s="19"/>
      <c r="C3543" s="19"/>
      <c r="D3543" s="42"/>
      <c r="E3543" s="19"/>
      <c r="F3543" s="19"/>
      <c r="G3543" s="19"/>
      <c r="H3543" s="19"/>
      <c r="I3543" s="19"/>
      <c r="J3543" s="19"/>
      <c r="K3543" s="19"/>
      <c r="L3543" s="19"/>
      <c r="M3543" s="19"/>
      <c r="N3543" s="19"/>
      <c r="O3543" s="43"/>
      <c r="P3543" s="19"/>
      <c r="Q3543" s="19"/>
      <c r="R3543" s="19"/>
      <c r="S3543" s="19"/>
      <c r="T3543" s="19"/>
      <c r="U3543" s="19"/>
      <c r="V3543" s="44"/>
      <c r="W3543" s="19"/>
      <c r="X3543" s="19"/>
      <c r="Y3543" s="19"/>
      <c r="Z3543" s="19"/>
      <c r="AA3543" s="19"/>
      <c r="AB3543" s="19"/>
      <c r="AC3543" s="19"/>
      <c r="AD3543" s="19"/>
      <c r="AE3543" s="19"/>
      <c r="AF3543" s="19"/>
      <c r="AG3543" s="19"/>
      <c r="AH3543" s="19"/>
      <c r="AI3543" s="19"/>
      <c r="AJ3543" s="19"/>
      <c r="AK3543" s="19"/>
      <c r="AL3543" s="6" t="str">
        <f t="array" ref="AL3543">IFERROR(IFS(XLOOKUP(B3543, 'Kit Delivery Status'!$U:$U, 'Kit Delivery Status'!$K:$K) = "Complete", "DELIVERED", XLOOKUP(B3543, 'Kit Delivery Status'!$U:$U, 'Kit Delivery Status'!$K:$K) = "Issue", "ISSUE"), "")</f>
        <v/>
      </c>
      <c r="AM3543" s="6"/>
    </row>
    <row r="3544">
      <c r="A3544" s="19"/>
      <c r="B3544" s="19"/>
      <c r="C3544" s="19"/>
      <c r="D3544" s="42"/>
      <c r="E3544" s="19"/>
      <c r="F3544" s="19"/>
      <c r="G3544" s="19"/>
      <c r="H3544" s="19"/>
      <c r="I3544" s="19"/>
      <c r="J3544" s="19"/>
      <c r="K3544" s="19"/>
      <c r="L3544" s="19"/>
      <c r="M3544" s="19"/>
      <c r="N3544" s="19"/>
      <c r="O3544" s="43"/>
      <c r="P3544" s="19"/>
      <c r="Q3544" s="19"/>
      <c r="R3544" s="19"/>
      <c r="S3544" s="19"/>
      <c r="T3544" s="19"/>
      <c r="U3544" s="19"/>
      <c r="V3544" s="44"/>
      <c r="W3544" s="19"/>
      <c r="X3544" s="19"/>
      <c r="Y3544" s="19"/>
      <c r="Z3544" s="19"/>
      <c r="AA3544" s="19"/>
      <c r="AB3544" s="19"/>
      <c r="AC3544" s="19"/>
      <c r="AD3544" s="19"/>
      <c r="AE3544" s="19"/>
      <c r="AF3544" s="19"/>
      <c r="AG3544" s="19"/>
      <c r="AH3544" s="19"/>
      <c r="AI3544" s="19"/>
      <c r="AJ3544" s="19"/>
      <c r="AK3544" s="19"/>
      <c r="AL3544" s="6" t="str">
        <f t="array" ref="AL3544">IFERROR(IFS(XLOOKUP(B3544, 'Kit Delivery Status'!$U:$U, 'Kit Delivery Status'!$K:$K) = "Complete", "DELIVERED", XLOOKUP(B3544, 'Kit Delivery Status'!$U:$U, 'Kit Delivery Status'!$K:$K) = "Issue", "ISSUE"), "")</f>
        <v/>
      </c>
      <c r="AM3544" s="6"/>
    </row>
    <row r="3545">
      <c r="A3545" s="19"/>
      <c r="B3545" s="19"/>
      <c r="C3545" s="19"/>
      <c r="D3545" s="42"/>
      <c r="E3545" s="19"/>
      <c r="F3545" s="19"/>
      <c r="G3545" s="19"/>
      <c r="H3545" s="19"/>
      <c r="I3545" s="19"/>
      <c r="J3545" s="19"/>
      <c r="K3545" s="19"/>
      <c r="L3545" s="19"/>
      <c r="M3545" s="19"/>
      <c r="N3545" s="19"/>
      <c r="O3545" s="43"/>
      <c r="P3545" s="19"/>
      <c r="Q3545" s="19"/>
      <c r="R3545" s="19"/>
      <c r="S3545" s="19"/>
      <c r="T3545" s="19"/>
      <c r="U3545" s="19"/>
      <c r="V3545" s="44"/>
      <c r="W3545" s="19"/>
      <c r="X3545" s="19"/>
      <c r="Y3545" s="19"/>
      <c r="Z3545" s="19"/>
      <c r="AA3545" s="19"/>
      <c r="AB3545" s="19"/>
      <c r="AC3545" s="19"/>
      <c r="AD3545" s="19"/>
      <c r="AE3545" s="19"/>
      <c r="AF3545" s="19"/>
      <c r="AG3545" s="19"/>
      <c r="AH3545" s="19"/>
      <c r="AI3545" s="19"/>
      <c r="AJ3545" s="19"/>
      <c r="AK3545" s="19"/>
      <c r="AL3545" s="6" t="str">
        <f t="array" ref="AL3545">IFERROR(IFS(XLOOKUP(B3545, 'Kit Delivery Status'!$U:$U, 'Kit Delivery Status'!$K:$K) = "Complete", "DELIVERED", XLOOKUP(B3545, 'Kit Delivery Status'!$U:$U, 'Kit Delivery Status'!$K:$K) = "Issue", "ISSUE"), "")</f>
        <v/>
      </c>
      <c r="AM3545" s="6"/>
    </row>
    <row r="3546">
      <c r="A3546" s="19"/>
      <c r="B3546" s="19"/>
      <c r="C3546" s="19"/>
      <c r="D3546" s="42"/>
      <c r="E3546" s="19"/>
      <c r="F3546" s="19"/>
      <c r="G3546" s="19"/>
      <c r="H3546" s="19"/>
      <c r="I3546" s="19"/>
      <c r="J3546" s="19"/>
      <c r="K3546" s="19"/>
      <c r="L3546" s="19"/>
      <c r="M3546" s="19"/>
      <c r="N3546" s="19"/>
      <c r="O3546" s="43"/>
      <c r="P3546" s="19"/>
      <c r="Q3546" s="19"/>
      <c r="R3546" s="19"/>
      <c r="S3546" s="19"/>
      <c r="T3546" s="19"/>
      <c r="U3546" s="19"/>
      <c r="V3546" s="44"/>
      <c r="W3546" s="19"/>
      <c r="X3546" s="19"/>
      <c r="Y3546" s="19"/>
      <c r="Z3546" s="19"/>
      <c r="AA3546" s="19"/>
      <c r="AB3546" s="19"/>
      <c r="AC3546" s="19"/>
      <c r="AD3546" s="19"/>
      <c r="AE3546" s="19"/>
      <c r="AF3546" s="19"/>
      <c r="AG3546" s="19"/>
      <c r="AH3546" s="19"/>
      <c r="AI3546" s="19"/>
      <c r="AJ3546" s="19"/>
      <c r="AK3546" s="19"/>
      <c r="AL3546" s="6" t="str">
        <f t="array" ref="AL3546">IFERROR(IFS(XLOOKUP(B3546, 'Kit Delivery Status'!$U:$U, 'Kit Delivery Status'!$K:$K) = "Complete", "DELIVERED", XLOOKUP(B3546, 'Kit Delivery Status'!$U:$U, 'Kit Delivery Status'!$K:$K) = "Issue", "ISSUE"), "")</f>
        <v/>
      </c>
      <c r="AM3546" s="6"/>
    </row>
    <row r="3547">
      <c r="A3547" s="19"/>
      <c r="B3547" s="19"/>
      <c r="C3547" s="19"/>
      <c r="D3547" s="42"/>
      <c r="E3547" s="19"/>
      <c r="F3547" s="19"/>
      <c r="G3547" s="19"/>
      <c r="H3547" s="19"/>
      <c r="I3547" s="19"/>
      <c r="J3547" s="19"/>
      <c r="K3547" s="19"/>
      <c r="L3547" s="19"/>
      <c r="M3547" s="19"/>
      <c r="N3547" s="19"/>
      <c r="O3547" s="43"/>
      <c r="P3547" s="19"/>
      <c r="Q3547" s="19"/>
      <c r="R3547" s="19"/>
      <c r="S3547" s="19"/>
      <c r="T3547" s="19"/>
      <c r="U3547" s="19"/>
      <c r="V3547" s="44"/>
      <c r="W3547" s="19"/>
      <c r="X3547" s="19"/>
      <c r="Y3547" s="19"/>
      <c r="Z3547" s="19"/>
      <c r="AA3547" s="19"/>
      <c r="AB3547" s="19"/>
      <c r="AC3547" s="19"/>
      <c r="AD3547" s="19"/>
      <c r="AE3547" s="19"/>
      <c r="AF3547" s="19"/>
      <c r="AG3547" s="19"/>
      <c r="AH3547" s="19"/>
      <c r="AI3547" s="19"/>
      <c r="AJ3547" s="19"/>
      <c r="AK3547" s="19"/>
      <c r="AL3547" s="6" t="str">
        <f t="array" ref="AL3547">IFERROR(IFS(XLOOKUP(B3547, 'Kit Delivery Status'!$U:$U, 'Kit Delivery Status'!$K:$K) = "Complete", "DELIVERED", XLOOKUP(B3547, 'Kit Delivery Status'!$U:$U, 'Kit Delivery Status'!$K:$K) = "Issue", "ISSUE"), "")</f>
        <v/>
      </c>
      <c r="AM3547" s="6"/>
    </row>
    <row r="3548">
      <c r="A3548" s="19"/>
      <c r="B3548" s="19"/>
      <c r="C3548" s="19"/>
      <c r="D3548" s="42"/>
      <c r="E3548" s="19"/>
      <c r="F3548" s="19"/>
      <c r="G3548" s="19"/>
      <c r="H3548" s="19"/>
      <c r="I3548" s="19"/>
      <c r="J3548" s="19"/>
      <c r="K3548" s="19"/>
      <c r="L3548" s="19"/>
      <c r="M3548" s="19"/>
      <c r="N3548" s="19"/>
      <c r="O3548" s="43"/>
      <c r="P3548" s="19"/>
      <c r="Q3548" s="19"/>
      <c r="R3548" s="19"/>
      <c r="S3548" s="19"/>
      <c r="T3548" s="19"/>
      <c r="U3548" s="19"/>
      <c r="V3548" s="44"/>
      <c r="W3548" s="19"/>
      <c r="X3548" s="19"/>
      <c r="Y3548" s="19"/>
      <c r="Z3548" s="19"/>
      <c r="AA3548" s="19"/>
      <c r="AB3548" s="19"/>
      <c r="AC3548" s="19"/>
      <c r="AD3548" s="19"/>
      <c r="AE3548" s="19"/>
      <c r="AF3548" s="19"/>
      <c r="AG3548" s="19"/>
      <c r="AH3548" s="19"/>
      <c r="AI3548" s="19"/>
      <c r="AJ3548" s="19"/>
      <c r="AK3548" s="19"/>
      <c r="AL3548" s="6" t="str">
        <f t="array" ref="AL3548">IFERROR(IFS(XLOOKUP(B3548, 'Kit Delivery Status'!$U:$U, 'Kit Delivery Status'!$K:$K) = "Complete", "DELIVERED", XLOOKUP(B3548, 'Kit Delivery Status'!$U:$U, 'Kit Delivery Status'!$K:$K) = "Issue", "ISSUE"), "")</f>
        <v/>
      </c>
      <c r="AM3548" s="6"/>
    </row>
    <row r="3549">
      <c r="A3549" s="19"/>
      <c r="B3549" s="19"/>
      <c r="C3549" s="19"/>
      <c r="D3549" s="42"/>
      <c r="E3549" s="19"/>
      <c r="F3549" s="19"/>
      <c r="G3549" s="19"/>
      <c r="H3549" s="19"/>
      <c r="I3549" s="19"/>
      <c r="J3549" s="19"/>
      <c r="K3549" s="19"/>
      <c r="L3549" s="19"/>
      <c r="M3549" s="19"/>
      <c r="N3549" s="19"/>
      <c r="O3549" s="43"/>
      <c r="P3549" s="19"/>
      <c r="Q3549" s="19"/>
      <c r="R3549" s="19"/>
      <c r="S3549" s="19"/>
      <c r="T3549" s="19"/>
      <c r="U3549" s="19"/>
      <c r="V3549" s="44"/>
      <c r="W3549" s="19"/>
      <c r="X3549" s="19"/>
      <c r="Y3549" s="19"/>
      <c r="Z3549" s="19"/>
      <c r="AA3549" s="19"/>
      <c r="AB3549" s="19"/>
      <c r="AC3549" s="19"/>
      <c r="AD3549" s="19"/>
      <c r="AE3549" s="19"/>
      <c r="AF3549" s="19"/>
      <c r="AG3549" s="19"/>
      <c r="AH3549" s="19"/>
      <c r="AI3549" s="19"/>
      <c r="AJ3549" s="19"/>
      <c r="AK3549" s="19"/>
      <c r="AL3549" s="6" t="str">
        <f t="array" ref="AL3549">IFERROR(IFS(XLOOKUP(B3549, 'Kit Delivery Status'!$U:$U, 'Kit Delivery Status'!$K:$K) = "Complete", "DELIVERED", XLOOKUP(B3549, 'Kit Delivery Status'!$U:$U, 'Kit Delivery Status'!$K:$K) = "Issue", "ISSUE"), "")</f>
        <v/>
      </c>
      <c r="AM3549" s="6"/>
    </row>
    <row r="3550">
      <c r="A3550" s="19"/>
      <c r="B3550" s="19"/>
      <c r="C3550" s="19"/>
      <c r="D3550" s="42"/>
      <c r="E3550" s="19"/>
      <c r="F3550" s="19"/>
      <c r="G3550" s="19"/>
      <c r="H3550" s="19"/>
      <c r="I3550" s="19"/>
      <c r="J3550" s="19"/>
      <c r="K3550" s="19"/>
      <c r="L3550" s="19"/>
      <c r="M3550" s="19"/>
      <c r="N3550" s="19"/>
      <c r="O3550" s="43"/>
      <c r="P3550" s="19"/>
      <c r="Q3550" s="19"/>
      <c r="R3550" s="19"/>
      <c r="S3550" s="19"/>
      <c r="T3550" s="19"/>
      <c r="U3550" s="19"/>
      <c r="V3550" s="44"/>
      <c r="W3550" s="19"/>
      <c r="X3550" s="19"/>
      <c r="Y3550" s="19"/>
      <c r="Z3550" s="19"/>
      <c r="AA3550" s="19"/>
      <c r="AB3550" s="19"/>
      <c r="AC3550" s="19"/>
      <c r="AD3550" s="19"/>
      <c r="AE3550" s="19"/>
      <c r="AF3550" s="19"/>
      <c r="AG3550" s="19"/>
      <c r="AH3550" s="19"/>
      <c r="AI3550" s="19"/>
      <c r="AJ3550" s="19"/>
      <c r="AK3550" s="19"/>
      <c r="AL3550" s="6" t="str">
        <f t="array" ref="AL3550">IFERROR(IFS(XLOOKUP(B3550, 'Kit Delivery Status'!$U:$U, 'Kit Delivery Status'!$K:$K) = "Complete", "DELIVERED", XLOOKUP(B3550, 'Kit Delivery Status'!$U:$U, 'Kit Delivery Status'!$K:$K) = "Issue", "ISSUE"), "")</f>
        <v/>
      </c>
      <c r="AM3550" s="6"/>
    </row>
    <row r="3551">
      <c r="A3551" s="19"/>
      <c r="B3551" s="19"/>
      <c r="C3551" s="19"/>
      <c r="D3551" s="42"/>
      <c r="E3551" s="19"/>
      <c r="F3551" s="19"/>
      <c r="G3551" s="19"/>
      <c r="H3551" s="19"/>
      <c r="I3551" s="19"/>
      <c r="J3551" s="19"/>
      <c r="K3551" s="19"/>
      <c r="L3551" s="19"/>
      <c r="M3551" s="19"/>
      <c r="N3551" s="19"/>
      <c r="O3551" s="43"/>
      <c r="P3551" s="19"/>
      <c r="Q3551" s="19"/>
      <c r="R3551" s="19"/>
      <c r="S3551" s="19"/>
      <c r="T3551" s="19"/>
      <c r="U3551" s="19"/>
      <c r="V3551" s="44"/>
      <c r="W3551" s="19"/>
      <c r="X3551" s="19"/>
      <c r="Y3551" s="19"/>
      <c r="Z3551" s="19"/>
      <c r="AA3551" s="19"/>
      <c r="AB3551" s="19"/>
      <c r="AC3551" s="19"/>
      <c r="AD3551" s="19"/>
      <c r="AE3551" s="19"/>
      <c r="AF3551" s="19"/>
      <c r="AG3551" s="19"/>
      <c r="AH3551" s="19"/>
      <c r="AI3551" s="19"/>
      <c r="AJ3551" s="19"/>
      <c r="AK3551" s="19"/>
      <c r="AL3551" s="6" t="str">
        <f t="array" ref="AL3551">IFERROR(IFS(XLOOKUP(B3551, 'Kit Delivery Status'!$U:$U, 'Kit Delivery Status'!$K:$K) = "Complete", "DELIVERED", XLOOKUP(B3551, 'Kit Delivery Status'!$U:$U, 'Kit Delivery Status'!$K:$K) = "Issue", "ISSUE"), "")</f>
        <v/>
      </c>
      <c r="AM3551" s="6"/>
    </row>
    <row r="3552">
      <c r="A3552" s="19"/>
      <c r="B3552" s="19"/>
      <c r="C3552" s="19"/>
      <c r="D3552" s="42"/>
      <c r="E3552" s="19"/>
      <c r="F3552" s="19"/>
      <c r="G3552" s="19"/>
      <c r="H3552" s="19"/>
      <c r="I3552" s="19"/>
      <c r="J3552" s="19"/>
      <c r="K3552" s="19"/>
      <c r="L3552" s="19"/>
      <c r="M3552" s="19"/>
      <c r="N3552" s="19"/>
      <c r="O3552" s="43"/>
      <c r="P3552" s="19"/>
      <c r="Q3552" s="19"/>
      <c r="R3552" s="19"/>
      <c r="S3552" s="19"/>
      <c r="T3552" s="19"/>
      <c r="U3552" s="19"/>
      <c r="V3552" s="44"/>
      <c r="W3552" s="19"/>
      <c r="X3552" s="19"/>
      <c r="Y3552" s="19"/>
      <c r="Z3552" s="19"/>
      <c r="AA3552" s="19"/>
      <c r="AB3552" s="19"/>
      <c r="AC3552" s="19"/>
      <c r="AD3552" s="19"/>
      <c r="AE3552" s="19"/>
      <c r="AF3552" s="19"/>
      <c r="AG3552" s="19"/>
      <c r="AH3552" s="19"/>
      <c r="AI3552" s="19"/>
      <c r="AJ3552" s="19"/>
      <c r="AK3552" s="19"/>
      <c r="AL3552" s="6" t="str">
        <f t="array" ref="AL3552">IFERROR(IFS(XLOOKUP(B3552, 'Kit Delivery Status'!$U:$U, 'Kit Delivery Status'!$K:$K) = "Complete", "DELIVERED", XLOOKUP(B3552, 'Kit Delivery Status'!$U:$U, 'Kit Delivery Status'!$K:$K) = "Issue", "ISSUE"), "")</f>
        <v/>
      </c>
      <c r="AM3552" s="6"/>
    </row>
    <row r="3553">
      <c r="A3553" s="19"/>
      <c r="B3553" s="19"/>
      <c r="C3553" s="19"/>
      <c r="D3553" s="42"/>
      <c r="E3553" s="19"/>
      <c r="F3553" s="19"/>
      <c r="G3553" s="19"/>
      <c r="H3553" s="19"/>
      <c r="I3553" s="19"/>
      <c r="J3553" s="19"/>
      <c r="K3553" s="19"/>
      <c r="L3553" s="19"/>
      <c r="M3553" s="19"/>
      <c r="N3553" s="19"/>
      <c r="O3553" s="43"/>
      <c r="P3553" s="19"/>
      <c r="Q3553" s="19"/>
      <c r="R3553" s="19"/>
      <c r="S3553" s="19"/>
      <c r="T3553" s="19"/>
      <c r="U3553" s="19"/>
      <c r="V3553" s="44"/>
      <c r="W3553" s="19"/>
      <c r="X3553" s="19"/>
      <c r="Y3553" s="19"/>
      <c r="Z3553" s="19"/>
      <c r="AA3553" s="19"/>
      <c r="AB3553" s="19"/>
      <c r="AC3553" s="19"/>
      <c r="AD3553" s="19"/>
      <c r="AE3553" s="19"/>
      <c r="AF3553" s="19"/>
      <c r="AG3553" s="19"/>
      <c r="AH3553" s="19"/>
      <c r="AI3553" s="19"/>
      <c r="AJ3553" s="19"/>
      <c r="AK3553" s="19"/>
      <c r="AL3553" s="6" t="str">
        <f t="array" ref="AL3553">IFERROR(IFS(XLOOKUP(B3553, 'Kit Delivery Status'!$U:$U, 'Kit Delivery Status'!$K:$K) = "Complete", "DELIVERED", XLOOKUP(B3553, 'Kit Delivery Status'!$U:$U, 'Kit Delivery Status'!$K:$K) = "Issue", "ISSUE"), "")</f>
        <v/>
      </c>
      <c r="AM3553" s="6"/>
    </row>
    <row r="3554">
      <c r="A3554" s="19"/>
      <c r="B3554" s="19"/>
      <c r="C3554" s="19"/>
      <c r="D3554" s="42"/>
      <c r="E3554" s="19"/>
      <c r="F3554" s="19"/>
      <c r="G3554" s="19"/>
      <c r="H3554" s="19"/>
      <c r="I3554" s="19"/>
      <c r="J3554" s="19"/>
      <c r="K3554" s="19"/>
      <c r="L3554" s="19"/>
      <c r="M3554" s="19"/>
      <c r="N3554" s="19"/>
      <c r="O3554" s="43"/>
      <c r="P3554" s="19"/>
      <c r="Q3554" s="19"/>
      <c r="R3554" s="19"/>
      <c r="S3554" s="19"/>
      <c r="T3554" s="19"/>
      <c r="U3554" s="19"/>
      <c r="V3554" s="44"/>
      <c r="W3554" s="19"/>
      <c r="X3554" s="19"/>
      <c r="Y3554" s="19"/>
      <c r="Z3554" s="19"/>
      <c r="AA3554" s="19"/>
      <c r="AB3554" s="19"/>
      <c r="AC3554" s="19"/>
      <c r="AD3554" s="19"/>
      <c r="AE3554" s="19"/>
      <c r="AF3554" s="19"/>
      <c r="AG3554" s="19"/>
      <c r="AH3554" s="19"/>
      <c r="AI3554" s="19"/>
      <c r="AJ3554" s="19"/>
      <c r="AK3554" s="19"/>
      <c r="AL3554" s="6" t="str">
        <f t="array" ref="AL3554">IFERROR(IFS(XLOOKUP(B3554, 'Kit Delivery Status'!$U:$U, 'Kit Delivery Status'!$K:$K) = "Complete", "DELIVERED", XLOOKUP(B3554, 'Kit Delivery Status'!$U:$U, 'Kit Delivery Status'!$K:$K) = "Issue", "ISSUE"), "")</f>
        <v/>
      </c>
      <c r="AM3554" s="6"/>
    </row>
    <row r="3555">
      <c r="A3555" s="19"/>
      <c r="B3555" s="19"/>
      <c r="C3555" s="19"/>
      <c r="D3555" s="42"/>
      <c r="E3555" s="19"/>
      <c r="F3555" s="19"/>
      <c r="G3555" s="19"/>
      <c r="H3555" s="19"/>
      <c r="I3555" s="19"/>
      <c r="J3555" s="19"/>
      <c r="K3555" s="19"/>
      <c r="L3555" s="19"/>
      <c r="M3555" s="19"/>
      <c r="N3555" s="19"/>
      <c r="O3555" s="43"/>
      <c r="P3555" s="19"/>
      <c r="Q3555" s="19"/>
      <c r="R3555" s="19"/>
      <c r="S3555" s="19"/>
      <c r="T3555" s="19"/>
      <c r="U3555" s="19"/>
      <c r="V3555" s="44"/>
      <c r="W3555" s="19"/>
      <c r="X3555" s="19"/>
      <c r="Y3555" s="19"/>
      <c r="Z3555" s="19"/>
      <c r="AA3555" s="19"/>
      <c r="AB3555" s="19"/>
      <c r="AC3555" s="19"/>
      <c r="AD3555" s="19"/>
      <c r="AE3555" s="19"/>
      <c r="AF3555" s="19"/>
      <c r="AG3555" s="19"/>
      <c r="AH3555" s="19"/>
      <c r="AI3555" s="19"/>
      <c r="AJ3555" s="19"/>
      <c r="AK3555" s="19"/>
      <c r="AL3555" s="6" t="str">
        <f t="array" ref="AL3555">IFERROR(IFS(XLOOKUP(B3555, 'Kit Delivery Status'!$U:$U, 'Kit Delivery Status'!$K:$K) = "Complete", "DELIVERED", XLOOKUP(B3555, 'Kit Delivery Status'!$U:$U, 'Kit Delivery Status'!$K:$K) = "Issue", "ISSUE"), "")</f>
        <v/>
      </c>
      <c r="AM3555" s="6"/>
    </row>
    <row r="3556">
      <c r="A3556" s="19"/>
      <c r="B3556" s="19"/>
      <c r="C3556" s="19"/>
      <c r="D3556" s="42"/>
      <c r="E3556" s="19"/>
      <c r="F3556" s="19"/>
      <c r="G3556" s="19"/>
      <c r="H3556" s="19"/>
      <c r="I3556" s="19"/>
      <c r="J3556" s="19"/>
      <c r="K3556" s="19"/>
      <c r="L3556" s="19"/>
      <c r="M3556" s="19"/>
      <c r="N3556" s="19"/>
      <c r="O3556" s="43"/>
      <c r="P3556" s="19"/>
      <c r="Q3556" s="19"/>
      <c r="R3556" s="19"/>
      <c r="S3556" s="19"/>
      <c r="T3556" s="19"/>
      <c r="U3556" s="19"/>
      <c r="V3556" s="44"/>
      <c r="W3556" s="19"/>
      <c r="X3556" s="19"/>
      <c r="Y3556" s="19"/>
      <c r="Z3556" s="19"/>
      <c r="AA3556" s="19"/>
      <c r="AB3556" s="19"/>
      <c r="AC3556" s="19"/>
      <c r="AD3556" s="19"/>
      <c r="AE3556" s="19"/>
      <c r="AF3556" s="19"/>
      <c r="AG3556" s="19"/>
      <c r="AH3556" s="19"/>
      <c r="AI3556" s="19"/>
      <c r="AJ3556" s="19"/>
      <c r="AK3556" s="19"/>
      <c r="AL3556" s="6" t="str">
        <f t="array" ref="AL3556">IFERROR(IFS(XLOOKUP(B3556, 'Kit Delivery Status'!$U:$U, 'Kit Delivery Status'!$K:$K) = "Complete", "DELIVERED", XLOOKUP(B3556, 'Kit Delivery Status'!$U:$U, 'Kit Delivery Status'!$K:$K) = "Issue", "ISSUE"), "")</f>
        <v/>
      </c>
      <c r="AM3556" s="6"/>
    </row>
    <row r="3557">
      <c r="A3557" s="19"/>
      <c r="B3557" s="19"/>
      <c r="C3557" s="19"/>
      <c r="D3557" s="42"/>
      <c r="E3557" s="19"/>
      <c r="F3557" s="19"/>
      <c r="G3557" s="19"/>
      <c r="H3557" s="19"/>
      <c r="I3557" s="19"/>
      <c r="J3557" s="19"/>
      <c r="K3557" s="19"/>
      <c r="L3557" s="19"/>
      <c r="M3557" s="19"/>
      <c r="N3557" s="19"/>
      <c r="O3557" s="43"/>
      <c r="P3557" s="19"/>
      <c r="Q3557" s="19"/>
      <c r="R3557" s="19"/>
      <c r="S3557" s="19"/>
      <c r="T3557" s="19"/>
      <c r="U3557" s="19"/>
      <c r="V3557" s="44"/>
      <c r="W3557" s="19"/>
      <c r="X3557" s="19"/>
      <c r="Y3557" s="19"/>
      <c r="Z3557" s="19"/>
      <c r="AA3557" s="19"/>
      <c r="AB3557" s="19"/>
      <c r="AC3557" s="19"/>
      <c r="AD3557" s="19"/>
      <c r="AE3557" s="19"/>
      <c r="AF3557" s="19"/>
      <c r="AG3557" s="19"/>
      <c r="AH3557" s="19"/>
      <c r="AI3557" s="19"/>
      <c r="AJ3557" s="19"/>
      <c r="AK3557" s="19"/>
      <c r="AL3557" s="6" t="str">
        <f t="array" ref="AL3557">IFERROR(IFS(XLOOKUP(B3557, 'Kit Delivery Status'!$U:$U, 'Kit Delivery Status'!$K:$K) = "Complete", "DELIVERED", XLOOKUP(B3557, 'Kit Delivery Status'!$U:$U, 'Kit Delivery Status'!$K:$K) = "Issue", "ISSUE"), "")</f>
        <v/>
      </c>
      <c r="AM3557" s="6"/>
    </row>
    <row r="3558">
      <c r="A3558" s="19"/>
      <c r="B3558" s="19"/>
      <c r="C3558" s="19"/>
      <c r="D3558" s="42"/>
      <c r="E3558" s="19"/>
      <c r="F3558" s="19"/>
      <c r="G3558" s="19"/>
      <c r="H3558" s="19"/>
      <c r="I3558" s="19"/>
      <c r="J3558" s="19"/>
      <c r="K3558" s="19"/>
      <c r="L3558" s="19"/>
      <c r="M3558" s="19"/>
      <c r="N3558" s="19"/>
      <c r="O3558" s="43"/>
      <c r="P3558" s="19"/>
      <c r="Q3558" s="19"/>
      <c r="R3558" s="19"/>
      <c r="S3558" s="19"/>
      <c r="T3558" s="19"/>
      <c r="U3558" s="19"/>
      <c r="V3558" s="44"/>
      <c r="W3558" s="19"/>
      <c r="X3558" s="19"/>
      <c r="Y3558" s="19"/>
      <c r="Z3558" s="19"/>
      <c r="AA3558" s="19"/>
      <c r="AB3558" s="19"/>
      <c r="AC3558" s="19"/>
      <c r="AD3558" s="19"/>
      <c r="AE3558" s="19"/>
      <c r="AF3558" s="19"/>
      <c r="AG3558" s="19"/>
      <c r="AH3558" s="19"/>
      <c r="AI3558" s="19"/>
      <c r="AJ3558" s="19"/>
      <c r="AK3558" s="19"/>
      <c r="AL3558" s="6" t="str">
        <f t="array" ref="AL3558">IFERROR(IFS(XLOOKUP(B3558, 'Kit Delivery Status'!$U:$U, 'Kit Delivery Status'!$K:$K) = "Complete", "DELIVERED", XLOOKUP(B3558, 'Kit Delivery Status'!$U:$U, 'Kit Delivery Status'!$K:$K) = "Issue", "ISSUE"), "")</f>
        <v/>
      </c>
      <c r="AM3558" s="6"/>
    </row>
    <row r="3559">
      <c r="A3559" s="19"/>
      <c r="B3559" s="19"/>
      <c r="C3559" s="19"/>
      <c r="D3559" s="42"/>
      <c r="E3559" s="19"/>
      <c r="F3559" s="19"/>
      <c r="G3559" s="19"/>
      <c r="H3559" s="19"/>
      <c r="I3559" s="19"/>
      <c r="J3559" s="19"/>
      <c r="K3559" s="19"/>
      <c r="L3559" s="19"/>
      <c r="M3559" s="19"/>
      <c r="N3559" s="19"/>
      <c r="O3559" s="43"/>
      <c r="P3559" s="19"/>
      <c r="Q3559" s="19"/>
      <c r="R3559" s="19"/>
      <c r="S3559" s="19"/>
      <c r="T3559" s="19"/>
      <c r="U3559" s="19"/>
      <c r="V3559" s="44"/>
      <c r="W3559" s="19"/>
      <c r="X3559" s="19"/>
      <c r="Y3559" s="19"/>
      <c r="Z3559" s="19"/>
      <c r="AA3559" s="19"/>
      <c r="AB3559" s="19"/>
      <c r="AC3559" s="19"/>
      <c r="AD3559" s="19"/>
      <c r="AE3559" s="19"/>
      <c r="AF3559" s="19"/>
      <c r="AG3559" s="19"/>
      <c r="AH3559" s="19"/>
      <c r="AI3559" s="19"/>
      <c r="AJ3559" s="19"/>
      <c r="AK3559" s="19"/>
      <c r="AL3559" s="6" t="str">
        <f t="array" ref="AL3559">IFERROR(IFS(XLOOKUP(B3559, 'Kit Delivery Status'!$U:$U, 'Kit Delivery Status'!$K:$K) = "Complete", "DELIVERED", XLOOKUP(B3559, 'Kit Delivery Status'!$U:$U, 'Kit Delivery Status'!$K:$K) = "Issue", "ISSUE"), "")</f>
        <v/>
      </c>
      <c r="AM3559" s="6"/>
    </row>
    <row r="3560">
      <c r="A3560" s="19"/>
      <c r="B3560" s="19"/>
      <c r="C3560" s="19"/>
      <c r="D3560" s="42"/>
      <c r="E3560" s="19"/>
      <c r="F3560" s="19"/>
      <c r="G3560" s="19"/>
      <c r="H3560" s="19"/>
      <c r="I3560" s="19"/>
      <c r="J3560" s="19"/>
      <c r="K3560" s="19"/>
      <c r="L3560" s="19"/>
      <c r="M3560" s="19"/>
      <c r="N3560" s="19"/>
      <c r="O3560" s="43"/>
      <c r="P3560" s="19"/>
      <c r="Q3560" s="19"/>
      <c r="R3560" s="19"/>
      <c r="S3560" s="19"/>
      <c r="T3560" s="19"/>
      <c r="U3560" s="19"/>
      <c r="V3560" s="44"/>
      <c r="W3560" s="19"/>
      <c r="X3560" s="19"/>
      <c r="Y3560" s="19"/>
      <c r="Z3560" s="19"/>
      <c r="AA3560" s="19"/>
      <c r="AB3560" s="19"/>
      <c r="AC3560" s="19"/>
      <c r="AD3560" s="19"/>
      <c r="AE3560" s="19"/>
      <c r="AF3560" s="19"/>
      <c r="AG3560" s="19"/>
      <c r="AH3560" s="19"/>
      <c r="AI3560" s="19"/>
      <c r="AJ3560" s="19"/>
      <c r="AK3560" s="19"/>
      <c r="AL3560" s="6" t="str">
        <f t="array" ref="AL3560">IFERROR(IFS(XLOOKUP(B3560, 'Kit Delivery Status'!$U:$U, 'Kit Delivery Status'!$K:$K) = "Complete", "DELIVERED", XLOOKUP(B3560, 'Kit Delivery Status'!$U:$U, 'Kit Delivery Status'!$K:$K) = "Issue", "ISSUE"), "")</f>
        <v/>
      </c>
      <c r="AM3560" s="6"/>
    </row>
    <row r="3561">
      <c r="A3561" s="19"/>
      <c r="B3561" s="19"/>
      <c r="C3561" s="19"/>
      <c r="D3561" s="42"/>
      <c r="E3561" s="19"/>
      <c r="F3561" s="19"/>
      <c r="G3561" s="19"/>
      <c r="H3561" s="19"/>
      <c r="I3561" s="19"/>
      <c r="J3561" s="19"/>
      <c r="K3561" s="19"/>
      <c r="L3561" s="19"/>
      <c r="M3561" s="19"/>
      <c r="N3561" s="19"/>
      <c r="O3561" s="43"/>
      <c r="P3561" s="19"/>
      <c r="Q3561" s="19"/>
      <c r="R3561" s="19"/>
      <c r="S3561" s="19"/>
      <c r="T3561" s="19"/>
      <c r="U3561" s="19"/>
      <c r="V3561" s="44"/>
      <c r="W3561" s="19"/>
      <c r="X3561" s="19"/>
      <c r="Y3561" s="19"/>
      <c r="Z3561" s="19"/>
      <c r="AA3561" s="19"/>
      <c r="AB3561" s="19"/>
      <c r="AC3561" s="19"/>
      <c r="AD3561" s="19"/>
      <c r="AE3561" s="19"/>
      <c r="AF3561" s="19"/>
      <c r="AG3561" s="19"/>
      <c r="AH3561" s="19"/>
      <c r="AI3561" s="19"/>
      <c r="AJ3561" s="19"/>
      <c r="AK3561" s="19"/>
      <c r="AL3561" s="6" t="str">
        <f t="array" ref="AL3561">IFERROR(IFS(XLOOKUP(B3561, 'Kit Delivery Status'!$U:$U, 'Kit Delivery Status'!$K:$K) = "Complete", "DELIVERED", XLOOKUP(B3561, 'Kit Delivery Status'!$U:$U, 'Kit Delivery Status'!$K:$K) = "Issue", "ISSUE"), "")</f>
        <v/>
      </c>
      <c r="AM3561" s="6"/>
    </row>
    <row r="3562">
      <c r="A3562" s="19"/>
      <c r="B3562" s="19"/>
      <c r="C3562" s="19"/>
      <c r="D3562" s="42"/>
      <c r="E3562" s="19"/>
      <c r="F3562" s="19"/>
      <c r="G3562" s="19"/>
      <c r="H3562" s="19"/>
      <c r="I3562" s="19"/>
      <c r="J3562" s="19"/>
      <c r="K3562" s="19"/>
      <c r="L3562" s="19"/>
      <c r="M3562" s="19"/>
      <c r="N3562" s="19"/>
      <c r="O3562" s="43"/>
      <c r="P3562" s="19"/>
      <c r="Q3562" s="19"/>
      <c r="R3562" s="19"/>
      <c r="S3562" s="19"/>
      <c r="T3562" s="19"/>
      <c r="U3562" s="19"/>
      <c r="V3562" s="44"/>
      <c r="W3562" s="19"/>
      <c r="X3562" s="19"/>
      <c r="Y3562" s="19"/>
      <c r="Z3562" s="19"/>
      <c r="AA3562" s="19"/>
      <c r="AB3562" s="19"/>
      <c r="AC3562" s="19"/>
      <c r="AD3562" s="19"/>
      <c r="AE3562" s="19"/>
      <c r="AF3562" s="19"/>
      <c r="AG3562" s="19"/>
      <c r="AH3562" s="19"/>
      <c r="AI3562" s="19"/>
      <c r="AJ3562" s="19"/>
      <c r="AK3562" s="19"/>
      <c r="AL3562" s="6" t="str">
        <f t="array" ref="AL3562">IFERROR(IFS(XLOOKUP(B3562, 'Kit Delivery Status'!$U:$U, 'Kit Delivery Status'!$K:$K) = "Complete", "DELIVERED", XLOOKUP(B3562, 'Kit Delivery Status'!$U:$U, 'Kit Delivery Status'!$K:$K) = "Issue", "ISSUE"), "")</f>
        <v/>
      </c>
      <c r="AM3562" s="6"/>
    </row>
    <row r="3563">
      <c r="A3563" s="19"/>
      <c r="B3563" s="19"/>
      <c r="C3563" s="19"/>
      <c r="D3563" s="42"/>
      <c r="E3563" s="19"/>
      <c r="F3563" s="19"/>
      <c r="G3563" s="19"/>
      <c r="H3563" s="19"/>
      <c r="I3563" s="19"/>
      <c r="J3563" s="19"/>
      <c r="K3563" s="19"/>
      <c r="L3563" s="19"/>
      <c r="M3563" s="19"/>
      <c r="N3563" s="19"/>
      <c r="O3563" s="43"/>
      <c r="P3563" s="19"/>
      <c r="Q3563" s="19"/>
      <c r="R3563" s="19"/>
      <c r="S3563" s="19"/>
      <c r="T3563" s="19"/>
      <c r="U3563" s="19"/>
      <c r="V3563" s="44"/>
      <c r="W3563" s="19"/>
      <c r="X3563" s="19"/>
      <c r="Y3563" s="19"/>
      <c r="Z3563" s="19"/>
      <c r="AA3563" s="19"/>
      <c r="AB3563" s="19"/>
      <c r="AC3563" s="19"/>
      <c r="AD3563" s="19"/>
      <c r="AE3563" s="19"/>
      <c r="AF3563" s="19"/>
      <c r="AG3563" s="19"/>
      <c r="AH3563" s="19"/>
      <c r="AI3563" s="19"/>
      <c r="AJ3563" s="19"/>
      <c r="AK3563" s="19"/>
      <c r="AL3563" s="6" t="str">
        <f t="array" ref="AL3563">IFERROR(IFS(XLOOKUP(B3563, 'Kit Delivery Status'!$U:$U, 'Kit Delivery Status'!$K:$K) = "Complete", "DELIVERED", XLOOKUP(B3563, 'Kit Delivery Status'!$U:$U, 'Kit Delivery Status'!$K:$K) = "Issue", "ISSUE"), "")</f>
        <v/>
      </c>
      <c r="AM3563" s="6"/>
    </row>
    <row r="3564">
      <c r="A3564" s="19"/>
      <c r="B3564" s="19"/>
      <c r="C3564" s="19"/>
      <c r="D3564" s="42"/>
      <c r="E3564" s="19"/>
      <c r="F3564" s="19"/>
      <c r="G3564" s="19"/>
      <c r="H3564" s="19"/>
      <c r="I3564" s="19"/>
      <c r="J3564" s="19"/>
      <c r="K3564" s="19"/>
      <c r="L3564" s="19"/>
      <c r="M3564" s="19"/>
      <c r="N3564" s="19"/>
      <c r="O3564" s="43"/>
      <c r="P3564" s="19"/>
      <c r="Q3564" s="19"/>
      <c r="R3564" s="19"/>
      <c r="S3564" s="19"/>
      <c r="T3564" s="19"/>
      <c r="U3564" s="19"/>
      <c r="V3564" s="44"/>
      <c r="W3564" s="19"/>
      <c r="X3564" s="19"/>
      <c r="Y3564" s="19"/>
      <c r="Z3564" s="19"/>
      <c r="AA3564" s="19"/>
      <c r="AB3564" s="19"/>
      <c r="AC3564" s="19"/>
      <c r="AD3564" s="19"/>
      <c r="AE3564" s="19"/>
      <c r="AF3564" s="19"/>
      <c r="AG3564" s="19"/>
      <c r="AH3564" s="19"/>
      <c r="AI3564" s="19"/>
      <c r="AJ3564" s="19"/>
      <c r="AK3564" s="19"/>
      <c r="AL3564" s="6" t="str">
        <f t="array" ref="AL3564">IFERROR(IFS(XLOOKUP(B3564, 'Kit Delivery Status'!$U:$U, 'Kit Delivery Status'!$K:$K) = "Complete", "DELIVERED", XLOOKUP(B3564, 'Kit Delivery Status'!$U:$U, 'Kit Delivery Status'!$K:$K) = "Issue", "ISSUE"), "")</f>
        <v/>
      </c>
      <c r="AM3564" s="6"/>
    </row>
    <row r="3565">
      <c r="A3565" s="19"/>
      <c r="B3565" s="19"/>
      <c r="C3565" s="19"/>
      <c r="D3565" s="42"/>
      <c r="E3565" s="19"/>
      <c r="F3565" s="19"/>
      <c r="G3565" s="19"/>
      <c r="H3565" s="19"/>
      <c r="I3565" s="19"/>
      <c r="J3565" s="19"/>
      <c r="K3565" s="19"/>
      <c r="L3565" s="19"/>
      <c r="M3565" s="19"/>
      <c r="N3565" s="19"/>
      <c r="O3565" s="43"/>
      <c r="P3565" s="19"/>
      <c r="Q3565" s="19"/>
      <c r="R3565" s="19"/>
      <c r="S3565" s="19"/>
      <c r="T3565" s="19"/>
      <c r="U3565" s="19"/>
      <c r="V3565" s="44"/>
      <c r="W3565" s="19"/>
      <c r="X3565" s="19"/>
      <c r="Y3565" s="19"/>
      <c r="Z3565" s="19"/>
      <c r="AA3565" s="19"/>
      <c r="AB3565" s="19"/>
      <c r="AC3565" s="19"/>
      <c r="AD3565" s="19"/>
      <c r="AE3565" s="19"/>
      <c r="AF3565" s="19"/>
      <c r="AG3565" s="19"/>
      <c r="AH3565" s="19"/>
      <c r="AI3565" s="19"/>
      <c r="AJ3565" s="19"/>
      <c r="AK3565" s="19"/>
      <c r="AL3565" s="6" t="str">
        <f t="array" ref="AL3565">IFERROR(IFS(XLOOKUP(B3565, 'Kit Delivery Status'!$U:$U, 'Kit Delivery Status'!$K:$K) = "Complete", "DELIVERED", XLOOKUP(B3565, 'Kit Delivery Status'!$U:$U, 'Kit Delivery Status'!$K:$K) = "Issue", "ISSUE"), "")</f>
        <v/>
      </c>
      <c r="AM3565" s="6"/>
    </row>
    <row r="3566">
      <c r="A3566" s="19"/>
      <c r="B3566" s="19"/>
      <c r="C3566" s="19"/>
      <c r="D3566" s="42"/>
      <c r="E3566" s="19"/>
      <c r="F3566" s="19"/>
      <c r="G3566" s="19"/>
      <c r="H3566" s="19"/>
      <c r="I3566" s="19"/>
      <c r="J3566" s="19"/>
      <c r="K3566" s="19"/>
      <c r="L3566" s="19"/>
      <c r="M3566" s="19"/>
      <c r="N3566" s="19"/>
      <c r="O3566" s="43"/>
      <c r="P3566" s="19"/>
      <c r="Q3566" s="19"/>
      <c r="R3566" s="19"/>
      <c r="S3566" s="19"/>
      <c r="T3566" s="19"/>
      <c r="U3566" s="19"/>
      <c r="V3566" s="44"/>
      <c r="W3566" s="19"/>
      <c r="X3566" s="19"/>
      <c r="Y3566" s="19"/>
      <c r="Z3566" s="19"/>
      <c r="AA3566" s="19"/>
      <c r="AB3566" s="19"/>
      <c r="AC3566" s="19"/>
      <c r="AD3566" s="19"/>
      <c r="AE3566" s="19"/>
      <c r="AF3566" s="19"/>
      <c r="AG3566" s="19"/>
      <c r="AH3566" s="19"/>
      <c r="AI3566" s="19"/>
      <c r="AJ3566" s="19"/>
      <c r="AK3566" s="19"/>
      <c r="AL3566" s="6" t="str">
        <f t="array" ref="AL3566">IFERROR(IFS(XLOOKUP(B3566, 'Kit Delivery Status'!$U:$U, 'Kit Delivery Status'!$K:$K) = "Complete", "DELIVERED", XLOOKUP(B3566, 'Kit Delivery Status'!$U:$U, 'Kit Delivery Status'!$K:$K) = "Issue", "ISSUE"), "")</f>
        <v/>
      </c>
      <c r="AM3566" s="6"/>
    </row>
    <row r="3567">
      <c r="A3567" s="19"/>
      <c r="B3567" s="19"/>
      <c r="C3567" s="19"/>
      <c r="D3567" s="42"/>
      <c r="E3567" s="19"/>
      <c r="F3567" s="19"/>
      <c r="G3567" s="19"/>
      <c r="H3567" s="19"/>
      <c r="I3567" s="19"/>
      <c r="J3567" s="19"/>
      <c r="K3567" s="19"/>
      <c r="L3567" s="19"/>
      <c r="M3567" s="19"/>
      <c r="N3567" s="19"/>
      <c r="O3567" s="43"/>
      <c r="P3567" s="19"/>
      <c r="Q3567" s="19"/>
      <c r="R3567" s="19"/>
      <c r="S3567" s="19"/>
      <c r="T3567" s="19"/>
      <c r="U3567" s="19"/>
      <c r="V3567" s="44"/>
      <c r="W3567" s="19"/>
      <c r="X3567" s="19"/>
      <c r="Y3567" s="19"/>
      <c r="Z3567" s="19"/>
      <c r="AA3567" s="19"/>
      <c r="AB3567" s="19"/>
      <c r="AC3567" s="19"/>
      <c r="AD3567" s="19"/>
      <c r="AE3567" s="19"/>
      <c r="AF3567" s="19"/>
      <c r="AG3567" s="19"/>
      <c r="AH3567" s="19"/>
      <c r="AI3567" s="19"/>
      <c r="AJ3567" s="19"/>
      <c r="AK3567" s="19"/>
      <c r="AL3567" s="6" t="str">
        <f t="array" ref="AL3567">IFERROR(IFS(XLOOKUP(B3567, 'Kit Delivery Status'!$U:$U, 'Kit Delivery Status'!$K:$K) = "Complete", "DELIVERED", XLOOKUP(B3567, 'Kit Delivery Status'!$U:$U, 'Kit Delivery Status'!$K:$K) = "Issue", "ISSUE"), "")</f>
        <v/>
      </c>
      <c r="AM3567" s="6"/>
    </row>
    <row r="3568">
      <c r="A3568" s="19"/>
      <c r="B3568" s="19"/>
      <c r="C3568" s="19"/>
      <c r="D3568" s="42"/>
      <c r="E3568" s="19"/>
      <c r="F3568" s="19"/>
      <c r="G3568" s="19"/>
      <c r="H3568" s="19"/>
      <c r="I3568" s="19"/>
      <c r="J3568" s="19"/>
      <c r="K3568" s="19"/>
      <c r="L3568" s="19"/>
      <c r="M3568" s="19"/>
      <c r="N3568" s="19"/>
      <c r="O3568" s="43"/>
      <c r="P3568" s="19"/>
      <c r="Q3568" s="19"/>
      <c r="R3568" s="19"/>
      <c r="S3568" s="19"/>
      <c r="T3568" s="19"/>
      <c r="U3568" s="19"/>
      <c r="V3568" s="44"/>
      <c r="W3568" s="19"/>
      <c r="X3568" s="19"/>
      <c r="Y3568" s="19"/>
      <c r="Z3568" s="19"/>
      <c r="AA3568" s="19"/>
      <c r="AB3568" s="19"/>
      <c r="AC3568" s="19"/>
      <c r="AD3568" s="19"/>
      <c r="AE3568" s="19"/>
      <c r="AF3568" s="19"/>
      <c r="AG3568" s="19"/>
      <c r="AH3568" s="19"/>
      <c r="AI3568" s="19"/>
      <c r="AJ3568" s="19"/>
      <c r="AK3568" s="19"/>
      <c r="AL3568" s="6" t="str">
        <f t="array" ref="AL3568">IFERROR(IFS(XLOOKUP(B3568, 'Kit Delivery Status'!$U:$U, 'Kit Delivery Status'!$K:$K) = "Complete", "DELIVERED", XLOOKUP(B3568, 'Kit Delivery Status'!$U:$U, 'Kit Delivery Status'!$K:$K) = "Issue", "ISSUE"), "")</f>
        <v/>
      </c>
      <c r="AM3568" s="6"/>
    </row>
    <row r="3569">
      <c r="A3569" s="19"/>
      <c r="B3569" s="19"/>
      <c r="C3569" s="19"/>
      <c r="D3569" s="42"/>
      <c r="E3569" s="19"/>
      <c r="F3569" s="19"/>
      <c r="G3569" s="19"/>
      <c r="H3569" s="19"/>
      <c r="I3569" s="19"/>
      <c r="J3569" s="19"/>
      <c r="K3569" s="19"/>
      <c r="L3569" s="19"/>
      <c r="M3569" s="19"/>
      <c r="N3569" s="19"/>
      <c r="O3569" s="43"/>
      <c r="P3569" s="19"/>
      <c r="Q3569" s="19"/>
      <c r="R3569" s="19"/>
      <c r="S3569" s="19"/>
      <c r="T3569" s="19"/>
      <c r="U3569" s="19"/>
      <c r="V3569" s="44"/>
      <c r="W3569" s="19"/>
      <c r="X3569" s="19"/>
      <c r="Y3569" s="19"/>
      <c r="Z3569" s="19"/>
      <c r="AA3569" s="19"/>
      <c r="AB3569" s="19"/>
      <c r="AC3569" s="19"/>
      <c r="AD3569" s="19"/>
      <c r="AE3569" s="19"/>
      <c r="AF3569" s="19"/>
      <c r="AG3569" s="19"/>
      <c r="AH3569" s="19"/>
      <c r="AI3569" s="19"/>
      <c r="AJ3569" s="19"/>
      <c r="AK3569" s="19"/>
      <c r="AL3569" s="6" t="str">
        <f t="array" ref="AL3569">IFERROR(IFS(XLOOKUP(B3569, 'Kit Delivery Status'!$U:$U, 'Kit Delivery Status'!$K:$K) = "Complete", "DELIVERED", XLOOKUP(B3569, 'Kit Delivery Status'!$U:$U, 'Kit Delivery Status'!$K:$K) = "Issue", "ISSUE"), "")</f>
        <v/>
      </c>
      <c r="AM3569" s="6"/>
    </row>
    <row r="3570">
      <c r="A3570" s="19"/>
      <c r="B3570" s="19"/>
      <c r="C3570" s="19"/>
      <c r="D3570" s="42"/>
      <c r="E3570" s="19"/>
      <c r="F3570" s="19"/>
      <c r="G3570" s="19"/>
      <c r="H3570" s="19"/>
      <c r="I3570" s="19"/>
      <c r="J3570" s="19"/>
      <c r="K3570" s="19"/>
      <c r="L3570" s="19"/>
      <c r="M3570" s="19"/>
      <c r="N3570" s="19"/>
      <c r="O3570" s="43"/>
      <c r="P3570" s="19"/>
      <c r="Q3570" s="19"/>
      <c r="R3570" s="19"/>
      <c r="S3570" s="19"/>
      <c r="T3570" s="19"/>
      <c r="U3570" s="19"/>
      <c r="V3570" s="44"/>
      <c r="W3570" s="19"/>
      <c r="X3570" s="19"/>
      <c r="Y3570" s="19"/>
      <c r="Z3570" s="19"/>
      <c r="AA3570" s="19"/>
      <c r="AB3570" s="19"/>
      <c r="AC3570" s="19"/>
      <c r="AD3570" s="19"/>
      <c r="AE3570" s="19"/>
      <c r="AF3570" s="19"/>
      <c r="AG3570" s="19"/>
      <c r="AH3570" s="19"/>
      <c r="AI3570" s="19"/>
      <c r="AJ3570" s="19"/>
      <c r="AK3570" s="19"/>
      <c r="AL3570" s="6" t="str">
        <f t="array" ref="AL3570">IFERROR(IFS(XLOOKUP(B3570, 'Kit Delivery Status'!$U:$U, 'Kit Delivery Status'!$K:$K) = "Complete", "DELIVERED", XLOOKUP(B3570, 'Kit Delivery Status'!$U:$U, 'Kit Delivery Status'!$K:$K) = "Issue", "ISSUE"), "")</f>
        <v/>
      </c>
      <c r="AM3570" s="6"/>
    </row>
    <row r="3571">
      <c r="A3571" s="19"/>
      <c r="B3571" s="19"/>
      <c r="C3571" s="19"/>
      <c r="D3571" s="42"/>
      <c r="E3571" s="19"/>
      <c r="F3571" s="19"/>
      <c r="G3571" s="19"/>
      <c r="H3571" s="19"/>
      <c r="I3571" s="19"/>
      <c r="J3571" s="19"/>
      <c r="K3571" s="19"/>
      <c r="L3571" s="19"/>
      <c r="M3571" s="19"/>
      <c r="N3571" s="19"/>
      <c r="O3571" s="43"/>
      <c r="P3571" s="19"/>
      <c r="Q3571" s="19"/>
      <c r="R3571" s="19"/>
      <c r="S3571" s="19"/>
      <c r="T3571" s="19"/>
      <c r="U3571" s="19"/>
      <c r="V3571" s="44"/>
      <c r="W3571" s="19"/>
      <c r="X3571" s="19"/>
      <c r="Y3571" s="19"/>
      <c r="Z3571" s="19"/>
      <c r="AA3571" s="19"/>
      <c r="AB3571" s="19"/>
      <c r="AC3571" s="19"/>
      <c r="AD3571" s="19"/>
      <c r="AE3571" s="19"/>
      <c r="AF3571" s="19"/>
      <c r="AG3571" s="19"/>
      <c r="AH3571" s="19"/>
      <c r="AI3571" s="19"/>
      <c r="AJ3571" s="19"/>
      <c r="AK3571" s="19"/>
      <c r="AL3571" s="6" t="str">
        <f t="array" ref="AL3571">IFERROR(IFS(XLOOKUP(B3571, 'Kit Delivery Status'!$U:$U, 'Kit Delivery Status'!$K:$K) = "Complete", "DELIVERED", XLOOKUP(B3571, 'Kit Delivery Status'!$U:$U, 'Kit Delivery Status'!$K:$K) = "Issue", "ISSUE"), "")</f>
        <v/>
      </c>
      <c r="AM3571" s="6"/>
    </row>
    <row r="3572">
      <c r="A3572" s="19"/>
      <c r="B3572" s="19"/>
      <c r="C3572" s="19"/>
      <c r="D3572" s="42"/>
      <c r="E3572" s="19"/>
      <c r="F3572" s="19"/>
      <c r="G3572" s="19"/>
      <c r="H3572" s="19"/>
      <c r="I3572" s="19"/>
      <c r="J3572" s="19"/>
      <c r="K3572" s="19"/>
      <c r="L3572" s="19"/>
      <c r="M3572" s="19"/>
      <c r="N3572" s="19"/>
      <c r="O3572" s="43"/>
      <c r="P3572" s="19"/>
      <c r="Q3572" s="19"/>
      <c r="R3572" s="19"/>
      <c r="S3572" s="19"/>
      <c r="T3572" s="19"/>
      <c r="U3572" s="19"/>
      <c r="V3572" s="44"/>
      <c r="W3572" s="19"/>
      <c r="X3572" s="19"/>
      <c r="Y3572" s="19"/>
      <c r="Z3572" s="19"/>
      <c r="AA3572" s="19"/>
      <c r="AB3572" s="19"/>
      <c r="AC3572" s="19"/>
      <c r="AD3572" s="19"/>
      <c r="AE3572" s="19"/>
      <c r="AF3572" s="19"/>
      <c r="AG3572" s="19"/>
      <c r="AH3572" s="19"/>
      <c r="AI3572" s="19"/>
      <c r="AJ3572" s="19"/>
      <c r="AK3572" s="19"/>
      <c r="AL3572" s="6" t="str">
        <f t="array" ref="AL3572">IFERROR(IFS(XLOOKUP(B3572, 'Kit Delivery Status'!$U:$U, 'Kit Delivery Status'!$K:$K) = "Complete", "DELIVERED", XLOOKUP(B3572, 'Kit Delivery Status'!$U:$U, 'Kit Delivery Status'!$K:$K) = "Issue", "ISSUE"), "")</f>
        <v/>
      </c>
      <c r="AM3572" s="6"/>
    </row>
    <row r="3573">
      <c r="A3573" s="19"/>
      <c r="B3573" s="19"/>
      <c r="C3573" s="19"/>
      <c r="D3573" s="42"/>
      <c r="E3573" s="19"/>
      <c r="F3573" s="19"/>
      <c r="G3573" s="19"/>
      <c r="H3573" s="19"/>
      <c r="I3573" s="19"/>
      <c r="J3573" s="19"/>
      <c r="K3573" s="19"/>
      <c r="L3573" s="19"/>
      <c r="M3573" s="19"/>
      <c r="N3573" s="19"/>
      <c r="O3573" s="43"/>
      <c r="P3573" s="19"/>
      <c r="Q3573" s="19"/>
      <c r="R3573" s="19"/>
      <c r="S3573" s="19"/>
      <c r="T3573" s="19"/>
      <c r="U3573" s="19"/>
      <c r="V3573" s="44"/>
      <c r="W3573" s="19"/>
      <c r="X3573" s="19"/>
      <c r="Y3573" s="19"/>
      <c r="Z3573" s="19"/>
      <c r="AA3573" s="19"/>
      <c r="AB3573" s="19"/>
      <c r="AC3573" s="19"/>
      <c r="AD3573" s="19"/>
      <c r="AE3573" s="19"/>
      <c r="AF3573" s="19"/>
      <c r="AG3573" s="19"/>
      <c r="AH3573" s="19"/>
      <c r="AI3573" s="19"/>
      <c r="AJ3573" s="19"/>
      <c r="AK3573" s="19"/>
      <c r="AL3573" s="6" t="str">
        <f t="array" ref="AL3573">IFERROR(IFS(XLOOKUP(B3573, 'Kit Delivery Status'!$U:$U, 'Kit Delivery Status'!$K:$K) = "Complete", "DELIVERED", XLOOKUP(B3573, 'Kit Delivery Status'!$U:$U, 'Kit Delivery Status'!$K:$K) = "Issue", "ISSUE"), "")</f>
        <v/>
      </c>
      <c r="AM3573" s="6"/>
    </row>
    <row r="3574">
      <c r="A3574" s="19"/>
      <c r="B3574" s="19"/>
      <c r="C3574" s="19"/>
      <c r="D3574" s="42"/>
      <c r="E3574" s="19"/>
      <c r="F3574" s="19"/>
      <c r="G3574" s="19"/>
      <c r="H3574" s="19"/>
      <c r="I3574" s="19"/>
      <c r="J3574" s="19"/>
      <c r="K3574" s="19"/>
      <c r="L3574" s="19"/>
      <c r="M3574" s="19"/>
      <c r="N3574" s="19"/>
      <c r="O3574" s="43"/>
      <c r="P3574" s="19"/>
      <c r="Q3574" s="19"/>
      <c r="R3574" s="19"/>
      <c r="S3574" s="19"/>
      <c r="T3574" s="19"/>
      <c r="U3574" s="19"/>
      <c r="V3574" s="44"/>
      <c r="W3574" s="19"/>
      <c r="X3574" s="19"/>
      <c r="Y3574" s="19"/>
      <c r="Z3574" s="19"/>
      <c r="AA3574" s="19"/>
      <c r="AB3574" s="19"/>
      <c r="AC3574" s="19"/>
      <c r="AD3574" s="19"/>
      <c r="AE3574" s="19"/>
      <c r="AF3574" s="19"/>
      <c r="AG3574" s="19"/>
      <c r="AH3574" s="19"/>
      <c r="AI3574" s="19"/>
      <c r="AJ3574" s="19"/>
      <c r="AK3574" s="19"/>
      <c r="AL3574" s="6" t="str">
        <f t="array" ref="AL3574">IFERROR(IFS(XLOOKUP(B3574, 'Kit Delivery Status'!$U:$U, 'Kit Delivery Status'!$K:$K) = "Complete", "DELIVERED", XLOOKUP(B3574, 'Kit Delivery Status'!$U:$U, 'Kit Delivery Status'!$K:$K) = "Issue", "ISSUE"), "")</f>
        <v/>
      </c>
      <c r="AM3574" s="6"/>
    </row>
    <row r="3575">
      <c r="A3575" s="19"/>
      <c r="B3575" s="19"/>
      <c r="C3575" s="19"/>
      <c r="D3575" s="42"/>
      <c r="E3575" s="19"/>
      <c r="F3575" s="19"/>
      <c r="G3575" s="19"/>
      <c r="H3575" s="19"/>
      <c r="I3575" s="19"/>
      <c r="J3575" s="19"/>
      <c r="K3575" s="19"/>
      <c r="L3575" s="19"/>
      <c r="M3575" s="19"/>
      <c r="N3575" s="19"/>
      <c r="O3575" s="43"/>
      <c r="P3575" s="19"/>
      <c r="Q3575" s="19"/>
      <c r="R3575" s="19"/>
      <c r="S3575" s="19"/>
      <c r="T3575" s="19"/>
      <c r="U3575" s="19"/>
      <c r="V3575" s="44"/>
      <c r="W3575" s="19"/>
      <c r="X3575" s="19"/>
      <c r="Y3575" s="19"/>
      <c r="Z3575" s="19"/>
      <c r="AA3575" s="19"/>
      <c r="AB3575" s="19"/>
      <c r="AC3575" s="19"/>
      <c r="AD3575" s="19"/>
      <c r="AE3575" s="19"/>
      <c r="AF3575" s="19"/>
      <c r="AG3575" s="19"/>
      <c r="AH3575" s="19"/>
      <c r="AI3575" s="19"/>
      <c r="AJ3575" s="19"/>
      <c r="AK3575" s="19"/>
      <c r="AL3575" s="6" t="str">
        <f t="array" ref="AL3575">IFERROR(IFS(XLOOKUP(B3575, 'Kit Delivery Status'!$U:$U, 'Kit Delivery Status'!$K:$K) = "Complete", "DELIVERED", XLOOKUP(B3575, 'Kit Delivery Status'!$U:$U, 'Kit Delivery Status'!$K:$K) = "Issue", "ISSUE"), "")</f>
        <v/>
      </c>
      <c r="AM3575" s="6"/>
    </row>
    <row r="3576">
      <c r="A3576" s="19"/>
      <c r="B3576" s="19"/>
      <c r="C3576" s="19"/>
      <c r="D3576" s="42"/>
      <c r="E3576" s="19"/>
      <c r="F3576" s="19"/>
      <c r="G3576" s="19"/>
      <c r="H3576" s="19"/>
      <c r="I3576" s="19"/>
      <c r="J3576" s="19"/>
      <c r="K3576" s="19"/>
      <c r="L3576" s="19"/>
      <c r="M3576" s="19"/>
      <c r="N3576" s="19"/>
      <c r="O3576" s="43"/>
      <c r="P3576" s="19"/>
      <c r="Q3576" s="19"/>
      <c r="R3576" s="19"/>
      <c r="S3576" s="19"/>
      <c r="T3576" s="19"/>
      <c r="U3576" s="19"/>
      <c r="V3576" s="44"/>
      <c r="W3576" s="19"/>
      <c r="X3576" s="19"/>
      <c r="Y3576" s="19"/>
      <c r="Z3576" s="19"/>
      <c r="AA3576" s="19"/>
      <c r="AB3576" s="19"/>
      <c r="AC3576" s="19"/>
      <c r="AD3576" s="19"/>
      <c r="AE3576" s="19"/>
      <c r="AF3576" s="19"/>
      <c r="AG3576" s="19"/>
      <c r="AH3576" s="19"/>
      <c r="AI3576" s="19"/>
      <c r="AJ3576" s="19"/>
      <c r="AK3576" s="19"/>
      <c r="AL3576" s="6" t="str">
        <f t="array" ref="AL3576">IFERROR(IFS(XLOOKUP(B3576, 'Kit Delivery Status'!$U:$U, 'Kit Delivery Status'!$K:$K) = "Complete", "DELIVERED", XLOOKUP(B3576, 'Kit Delivery Status'!$U:$U, 'Kit Delivery Status'!$K:$K) = "Issue", "ISSUE"), "")</f>
        <v/>
      </c>
      <c r="AM3576" s="6"/>
    </row>
    <row r="3577">
      <c r="A3577" s="19"/>
      <c r="B3577" s="19"/>
      <c r="C3577" s="19"/>
      <c r="D3577" s="42"/>
      <c r="E3577" s="19"/>
      <c r="F3577" s="19"/>
      <c r="G3577" s="19"/>
      <c r="H3577" s="19"/>
      <c r="I3577" s="19"/>
      <c r="J3577" s="19"/>
      <c r="K3577" s="19"/>
      <c r="L3577" s="19"/>
      <c r="M3577" s="19"/>
      <c r="N3577" s="19"/>
      <c r="O3577" s="43"/>
      <c r="P3577" s="19"/>
      <c r="Q3577" s="19"/>
      <c r="R3577" s="19"/>
      <c r="S3577" s="19"/>
      <c r="T3577" s="19"/>
      <c r="U3577" s="19"/>
      <c r="V3577" s="44"/>
      <c r="W3577" s="19"/>
      <c r="X3577" s="19"/>
      <c r="Y3577" s="19"/>
      <c r="Z3577" s="19"/>
      <c r="AA3577" s="19"/>
      <c r="AB3577" s="19"/>
      <c r="AC3577" s="19"/>
      <c r="AD3577" s="19"/>
      <c r="AE3577" s="19"/>
      <c r="AF3577" s="19"/>
      <c r="AG3577" s="19"/>
      <c r="AH3577" s="19"/>
      <c r="AI3577" s="19"/>
      <c r="AJ3577" s="19"/>
      <c r="AK3577" s="19"/>
      <c r="AL3577" s="6" t="str">
        <f t="array" ref="AL3577">IFERROR(IFS(XLOOKUP(B3577, 'Kit Delivery Status'!$U:$U, 'Kit Delivery Status'!$K:$K) = "Complete", "DELIVERED", XLOOKUP(B3577, 'Kit Delivery Status'!$U:$U, 'Kit Delivery Status'!$K:$K) = "Issue", "ISSUE"), "")</f>
        <v/>
      </c>
      <c r="AM3577" s="6"/>
    </row>
    <row r="3578">
      <c r="A3578" s="19"/>
      <c r="B3578" s="19"/>
      <c r="C3578" s="19"/>
      <c r="D3578" s="42"/>
      <c r="E3578" s="19"/>
      <c r="F3578" s="19"/>
      <c r="G3578" s="19"/>
      <c r="H3578" s="19"/>
      <c r="I3578" s="19"/>
      <c r="J3578" s="19"/>
      <c r="K3578" s="19"/>
      <c r="L3578" s="19"/>
      <c r="M3578" s="19"/>
      <c r="N3578" s="19"/>
      <c r="O3578" s="43"/>
      <c r="P3578" s="19"/>
      <c r="Q3578" s="19"/>
      <c r="R3578" s="19"/>
      <c r="S3578" s="19"/>
      <c r="T3578" s="19"/>
      <c r="U3578" s="19"/>
      <c r="V3578" s="44"/>
      <c r="W3578" s="19"/>
      <c r="X3578" s="19"/>
      <c r="Y3578" s="19"/>
      <c r="Z3578" s="19"/>
      <c r="AA3578" s="19"/>
      <c r="AB3578" s="19"/>
      <c r="AC3578" s="19"/>
      <c r="AD3578" s="19"/>
      <c r="AE3578" s="19"/>
      <c r="AF3578" s="19"/>
      <c r="AG3578" s="19"/>
      <c r="AH3578" s="19"/>
      <c r="AI3578" s="19"/>
      <c r="AJ3578" s="19"/>
      <c r="AK3578" s="19"/>
      <c r="AL3578" s="6" t="str">
        <f t="array" ref="AL3578">IFERROR(IFS(XLOOKUP(B3578, 'Kit Delivery Status'!$U:$U, 'Kit Delivery Status'!$K:$K) = "Complete", "DELIVERED", XLOOKUP(B3578, 'Kit Delivery Status'!$U:$U, 'Kit Delivery Status'!$K:$K) = "Issue", "ISSUE"), "")</f>
        <v/>
      </c>
      <c r="AM3578" s="6"/>
    </row>
    <row r="3579">
      <c r="A3579" s="19"/>
      <c r="B3579" s="19"/>
      <c r="C3579" s="19"/>
      <c r="D3579" s="42"/>
      <c r="E3579" s="19"/>
      <c r="F3579" s="19"/>
      <c r="G3579" s="19"/>
      <c r="H3579" s="19"/>
      <c r="I3579" s="19"/>
      <c r="J3579" s="19"/>
      <c r="K3579" s="19"/>
      <c r="L3579" s="19"/>
      <c r="M3579" s="19"/>
      <c r="N3579" s="19"/>
      <c r="O3579" s="43"/>
      <c r="P3579" s="19"/>
      <c r="Q3579" s="19"/>
      <c r="R3579" s="19"/>
      <c r="S3579" s="19"/>
      <c r="T3579" s="19"/>
      <c r="U3579" s="19"/>
      <c r="V3579" s="44"/>
      <c r="W3579" s="19"/>
      <c r="X3579" s="19"/>
      <c r="Y3579" s="19"/>
      <c r="Z3579" s="19"/>
      <c r="AA3579" s="19"/>
      <c r="AB3579" s="19"/>
      <c r="AC3579" s="19"/>
      <c r="AD3579" s="19"/>
      <c r="AE3579" s="19"/>
      <c r="AF3579" s="19"/>
      <c r="AG3579" s="19"/>
      <c r="AH3579" s="19"/>
      <c r="AI3579" s="19"/>
      <c r="AJ3579" s="19"/>
      <c r="AK3579" s="19"/>
      <c r="AL3579" s="6" t="str">
        <f t="array" ref="AL3579">IFERROR(IFS(XLOOKUP(B3579, 'Kit Delivery Status'!$U:$U, 'Kit Delivery Status'!$K:$K) = "Complete", "DELIVERED", XLOOKUP(B3579, 'Kit Delivery Status'!$U:$U, 'Kit Delivery Status'!$K:$K) = "Issue", "ISSUE"), "")</f>
        <v/>
      </c>
      <c r="AM3579" s="6"/>
    </row>
    <row r="3580">
      <c r="A3580" s="19"/>
      <c r="B3580" s="19"/>
      <c r="C3580" s="19"/>
      <c r="D3580" s="42"/>
      <c r="E3580" s="19"/>
      <c r="F3580" s="19"/>
      <c r="G3580" s="19"/>
      <c r="H3580" s="19"/>
      <c r="I3580" s="19"/>
      <c r="J3580" s="19"/>
      <c r="K3580" s="19"/>
      <c r="L3580" s="19"/>
      <c r="M3580" s="19"/>
      <c r="N3580" s="19"/>
      <c r="O3580" s="43"/>
      <c r="P3580" s="19"/>
      <c r="Q3580" s="19"/>
      <c r="R3580" s="19"/>
      <c r="S3580" s="19"/>
      <c r="T3580" s="19"/>
      <c r="U3580" s="19"/>
      <c r="V3580" s="44"/>
      <c r="W3580" s="19"/>
      <c r="X3580" s="19"/>
      <c r="Y3580" s="19"/>
      <c r="Z3580" s="19"/>
      <c r="AA3580" s="19"/>
      <c r="AB3580" s="19"/>
      <c r="AC3580" s="19"/>
      <c r="AD3580" s="19"/>
      <c r="AE3580" s="19"/>
      <c r="AF3580" s="19"/>
      <c r="AG3580" s="19"/>
      <c r="AH3580" s="19"/>
      <c r="AI3580" s="19"/>
      <c r="AJ3580" s="19"/>
      <c r="AK3580" s="19"/>
      <c r="AL3580" s="6" t="str">
        <f t="array" ref="AL3580">IFERROR(IFS(XLOOKUP(B3580, 'Kit Delivery Status'!$U:$U, 'Kit Delivery Status'!$K:$K) = "Complete", "DELIVERED", XLOOKUP(B3580, 'Kit Delivery Status'!$U:$U, 'Kit Delivery Status'!$K:$K) = "Issue", "ISSUE"), "")</f>
        <v/>
      </c>
      <c r="AM3580" s="6"/>
    </row>
    <row r="3581">
      <c r="A3581" s="19"/>
      <c r="B3581" s="19"/>
      <c r="C3581" s="19"/>
      <c r="D3581" s="42"/>
      <c r="E3581" s="19"/>
      <c r="F3581" s="19"/>
      <c r="G3581" s="19"/>
      <c r="H3581" s="19"/>
      <c r="I3581" s="19"/>
      <c r="J3581" s="19"/>
      <c r="K3581" s="19"/>
      <c r="L3581" s="19"/>
      <c r="M3581" s="19"/>
      <c r="N3581" s="19"/>
      <c r="O3581" s="43"/>
      <c r="P3581" s="19"/>
      <c r="Q3581" s="19"/>
      <c r="R3581" s="19"/>
      <c r="S3581" s="19"/>
      <c r="T3581" s="19"/>
      <c r="U3581" s="19"/>
      <c r="V3581" s="44"/>
      <c r="W3581" s="19"/>
      <c r="X3581" s="19"/>
      <c r="Y3581" s="19"/>
      <c r="Z3581" s="19"/>
      <c r="AA3581" s="19"/>
      <c r="AB3581" s="19"/>
      <c r="AC3581" s="19"/>
      <c r="AD3581" s="19"/>
      <c r="AE3581" s="19"/>
      <c r="AF3581" s="19"/>
      <c r="AG3581" s="19"/>
      <c r="AH3581" s="19"/>
      <c r="AI3581" s="19"/>
      <c r="AJ3581" s="19"/>
      <c r="AK3581" s="19"/>
      <c r="AL3581" s="6" t="str">
        <f t="array" ref="AL3581">IFERROR(IFS(XLOOKUP(B3581, 'Kit Delivery Status'!$U:$U, 'Kit Delivery Status'!$K:$K) = "Complete", "DELIVERED", XLOOKUP(B3581, 'Kit Delivery Status'!$U:$U, 'Kit Delivery Status'!$K:$K) = "Issue", "ISSUE"), "")</f>
        <v/>
      </c>
      <c r="AM3581" s="6"/>
    </row>
    <row r="3582">
      <c r="A3582" s="19"/>
      <c r="B3582" s="19"/>
      <c r="C3582" s="19"/>
      <c r="D3582" s="42"/>
      <c r="E3582" s="19"/>
      <c r="F3582" s="19"/>
      <c r="G3582" s="19"/>
      <c r="H3582" s="19"/>
      <c r="I3582" s="19"/>
      <c r="J3582" s="19"/>
      <c r="K3582" s="19"/>
      <c r="L3582" s="19"/>
      <c r="M3582" s="19"/>
      <c r="N3582" s="19"/>
      <c r="O3582" s="43"/>
      <c r="P3582" s="19"/>
      <c r="Q3582" s="19"/>
      <c r="R3582" s="19"/>
      <c r="S3582" s="19"/>
      <c r="T3582" s="19"/>
      <c r="U3582" s="19"/>
      <c r="V3582" s="44"/>
      <c r="W3582" s="19"/>
      <c r="X3582" s="19"/>
      <c r="Y3582" s="19"/>
      <c r="Z3582" s="19"/>
      <c r="AA3582" s="19"/>
      <c r="AB3582" s="19"/>
      <c r="AC3582" s="19"/>
      <c r="AD3582" s="19"/>
      <c r="AE3582" s="19"/>
      <c r="AF3582" s="19"/>
      <c r="AG3582" s="19"/>
      <c r="AH3582" s="19"/>
      <c r="AI3582" s="19"/>
      <c r="AJ3582" s="19"/>
      <c r="AK3582" s="19"/>
      <c r="AL3582" s="6" t="str">
        <f t="array" ref="AL3582">IFERROR(IFS(XLOOKUP(B3582, 'Kit Delivery Status'!$U:$U, 'Kit Delivery Status'!$K:$K) = "Complete", "DELIVERED", XLOOKUP(B3582, 'Kit Delivery Status'!$U:$U, 'Kit Delivery Status'!$K:$K) = "Issue", "ISSUE"), "")</f>
        <v/>
      </c>
      <c r="AM3582" s="6"/>
    </row>
    <row r="3583">
      <c r="A3583" s="19"/>
      <c r="B3583" s="19"/>
      <c r="C3583" s="19"/>
      <c r="D3583" s="42"/>
      <c r="E3583" s="19"/>
      <c r="F3583" s="19"/>
      <c r="G3583" s="19"/>
      <c r="H3583" s="19"/>
      <c r="I3583" s="19"/>
      <c r="J3583" s="19"/>
      <c r="K3583" s="19"/>
      <c r="L3583" s="19"/>
      <c r="M3583" s="19"/>
      <c r="N3583" s="19"/>
      <c r="O3583" s="43"/>
      <c r="P3583" s="19"/>
      <c r="Q3583" s="19"/>
      <c r="R3583" s="19"/>
      <c r="S3583" s="19"/>
      <c r="T3583" s="19"/>
      <c r="U3583" s="19"/>
      <c r="V3583" s="44"/>
      <c r="W3583" s="19"/>
      <c r="X3583" s="19"/>
      <c r="Y3583" s="19"/>
      <c r="Z3583" s="19"/>
      <c r="AA3583" s="19"/>
      <c r="AB3583" s="19"/>
      <c r="AC3583" s="19"/>
      <c r="AD3583" s="19"/>
      <c r="AE3583" s="19"/>
      <c r="AF3583" s="19"/>
      <c r="AG3583" s="19"/>
      <c r="AH3583" s="19"/>
      <c r="AI3583" s="19"/>
      <c r="AJ3583" s="19"/>
      <c r="AK3583" s="19"/>
      <c r="AL3583" s="6" t="str">
        <f t="array" ref="AL3583">IFERROR(IFS(XLOOKUP(B3583, 'Kit Delivery Status'!$U:$U, 'Kit Delivery Status'!$K:$K) = "Complete", "DELIVERED", XLOOKUP(B3583, 'Kit Delivery Status'!$U:$U, 'Kit Delivery Status'!$K:$K) = "Issue", "ISSUE"), "")</f>
        <v/>
      </c>
      <c r="AM3583" s="6"/>
    </row>
    <row r="3584">
      <c r="A3584" s="19"/>
      <c r="B3584" s="19"/>
      <c r="C3584" s="19"/>
      <c r="D3584" s="42"/>
      <c r="E3584" s="19"/>
      <c r="F3584" s="19"/>
      <c r="G3584" s="19"/>
      <c r="H3584" s="19"/>
      <c r="I3584" s="19"/>
      <c r="J3584" s="19"/>
      <c r="K3584" s="19"/>
      <c r="L3584" s="19"/>
      <c r="M3584" s="19"/>
      <c r="N3584" s="19"/>
      <c r="O3584" s="43"/>
      <c r="P3584" s="19"/>
      <c r="Q3584" s="19"/>
      <c r="R3584" s="19"/>
      <c r="S3584" s="19"/>
      <c r="T3584" s="19"/>
      <c r="U3584" s="19"/>
      <c r="V3584" s="44"/>
      <c r="W3584" s="19"/>
      <c r="X3584" s="19"/>
      <c r="Y3584" s="19"/>
      <c r="Z3584" s="19"/>
      <c r="AA3584" s="19"/>
      <c r="AB3584" s="19"/>
      <c r="AC3584" s="19"/>
      <c r="AD3584" s="19"/>
      <c r="AE3584" s="19"/>
      <c r="AF3584" s="19"/>
      <c r="AG3584" s="19"/>
      <c r="AH3584" s="19"/>
      <c r="AI3584" s="19"/>
      <c r="AJ3584" s="19"/>
      <c r="AK3584" s="19"/>
      <c r="AL3584" s="6" t="str">
        <f t="array" ref="AL3584">IFERROR(IFS(XLOOKUP(B3584, 'Kit Delivery Status'!$U:$U, 'Kit Delivery Status'!$K:$K) = "Complete", "DELIVERED", XLOOKUP(B3584, 'Kit Delivery Status'!$U:$U, 'Kit Delivery Status'!$K:$K) = "Issue", "ISSUE"), "")</f>
        <v/>
      </c>
      <c r="AM3584" s="6"/>
    </row>
    <row r="3585">
      <c r="A3585" s="19"/>
      <c r="B3585" s="19"/>
      <c r="C3585" s="19"/>
      <c r="D3585" s="42"/>
      <c r="E3585" s="19"/>
      <c r="F3585" s="19"/>
      <c r="G3585" s="19"/>
      <c r="H3585" s="19"/>
      <c r="I3585" s="19"/>
      <c r="J3585" s="19"/>
      <c r="K3585" s="19"/>
      <c r="L3585" s="19"/>
      <c r="M3585" s="19"/>
      <c r="N3585" s="19"/>
      <c r="O3585" s="43"/>
      <c r="P3585" s="19"/>
      <c r="Q3585" s="19"/>
      <c r="R3585" s="19"/>
      <c r="S3585" s="19"/>
      <c r="T3585" s="19"/>
      <c r="U3585" s="19"/>
      <c r="V3585" s="44"/>
      <c r="W3585" s="19"/>
      <c r="X3585" s="19"/>
      <c r="Y3585" s="19"/>
      <c r="Z3585" s="19"/>
      <c r="AA3585" s="19"/>
      <c r="AB3585" s="19"/>
      <c r="AC3585" s="19"/>
      <c r="AD3585" s="19"/>
      <c r="AE3585" s="19"/>
      <c r="AF3585" s="19"/>
      <c r="AG3585" s="19"/>
      <c r="AH3585" s="19"/>
      <c r="AI3585" s="19"/>
      <c r="AJ3585" s="19"/>
      <c r="AK3585" s="19"/>
      <c r="AL3585" s="6" t="str">
        <f t="array" ref="AL3585">IFERROR(IFS(XLOOKUP(B3585, 'Kit Delivery Status'!$U:$U, 'Kit Delivery Status'!$K:$K) = "Complete", "DELIVERED", XLOOKUP(B3585, 'Kit Delivery Status'!$U:$U, 'Kit Delivery Status'!$K:$K) = "Issue", "ISSUE"), "")</f>
        <v/>
      </c>
      <c r="AM3585" s="6"/>
    </row>
    <row r="3586">
      <c r="A3586" s="19"/>
      <c r="B3586" s="19"/>
      <c r="C3586" s="19"/>
      <c r="D3586" s="42"/>
      <c r="E3586" s="19"/>
      <c r="F3586" s="19"/>
      <c r="G3586" s="19"/>
      <c r="H3586" s="19"/>
      <c r="I3586" s="19"/>
      <c r="J3586" s="19"/>
      <c r="K3586" s="19"/>
      <c r="L3586" s="19"/>
      <c r="M3586" s="19"/>
      <c r="N3586" s="19"/>
      <c r="O3586" s="43"/>
      <c r="P3586" s="19"/>
      <c r="Q3586" s="19"/>
      <c r="R3586" s="19"/>
      <c r="S3586" s="19"/>
      <c r="T3586" s="19"/>
      <c r="U3586" s="19"/>
      <c r="V3586" s="44"/>
      <c r="W3586" s="19"/>
      <c r="X3586" s="19"/>
      <c r="Y3586" s="19"/>
      <c r="Z3586" s="19"/>
      <c r="AA3586" s="19"/>
      <c r="AB3586" s="19"/>
      <c r="AC3586" s="19"/>
      <c r="AD3586" s="19"/>
      <c r="AE3586" s="19"/>
      <c r="AF3586" s="19"/>
      <c r="AG3586" s="19"/>
      <c r="AH3586" s="19"/>
      <c r="AI3586" s="19"/>
      <c r="AJ3586" s="19"/>
      <c r="AK3586" s="19"/>
      <c r="AL3586" s="6" t="str">
        <f t="array" ref="AL3586">IFERROR(IFS(XLOOKUP(B3586, 'Kit Delivery Status'!$U:$U, 'Kit Delivery Status'!$K:$K) = "Complete", "DELIVERED", XLOOKUP(B3586, 'Kit Delivery Status'!$U:$U, 'Kit Delivery Status'!$K:$K) = "Issue", "ISSUE"), "")</f>
        <v/>
      </c>
      <c r="AM3586" s="6"/>
    </row>
    <row r="3587">
      <c r="A3587" s="19"/>
      <c r="B3587" s="19"/>
      <c r="C3587" s="19"/>
      <c r="D3587" s="42"/>
      <c r="E3587" s="19"/>
      <c r="F3587" s="19"/>
      <c r="G3587" s="19"/>
      <c r="H3587" s="19"/>
      <c r="I3587" s="19"/>
      <c r="J3587" s="19"/>
      <c r="K3587" s="19"/>
      <c r="L3587" s="19"/>
      <c r="M3587" s="19"/>
      <c r="N3587" s="19"/>
      <c r="O3587" s="43"/>
      <c r="P3587" s="19"/>
      <c r="Q3587" s="19"/>
      <c r="R3587" s="19"/>
      <c r="S3587" s="19"/>
      <c r="T3587" s="19"/>
      <c r="U3587" s="19"/>
      <c r="V3587" s="44"/>
      <c r="W3587" s="19"/>
      <c r="X3587" s="19"/>
      <c r="Y3587" s="19"/>
      <c r="Z3587" s="19"/>
      <c r="AA3587" s="19"/>
      <c r="AB3587" s="19"/>
      <c r="AC3587" s="19"/>
      <c r="AD3587" s="19"/>
      <c r="AE3587" s="19"/>
      <c r="AF3587" s="19"/>
      <c r="AG3587" s="19"/>
      <c r="AH3587" s="19"/>
      <c r="AI3587" s="19"/>
      <c r="AJ3587" s="19"/>
      <c r="AK3587" s="19"/>
      <c r="AL3587" s="6" t="str">
        <f t="array" ref="AL3587">IFERROR(IFS(XLOOKUP(B3587, 'Kit Delivery Status'!$U:$U, 'Kit Delivery Status'!$K:$K) = "Complete", "DELIVERED", XLOOKUP(B3587, 'Kit Delivery Status'!$U:$U, 'Kit Delivery Status'!$K:$K) = "Issue", "ISSUE"), "")</f>
        <v/>
      </c>
      <c r="AM3587" s="6"/>
    </row>
    <row r="3588">
      <c r="A3588" s="19"/>
      <c r="B3588" s="19"/>
      <c r="C3588" s="19"/>
      <c r="D3588" s="42"/>
      <c r="E3588" s="19"/>
      <c r="F3588" s="19"/>
      <c r="G3588" s="19"/>
      <c r="H3588" s="19"/>
      <c r="I3588" s="19"/>
      <c r="J3588" s="19"/>
      <c r="K3588" s="19"/>
      <c r="L3588" s="19"/>
      <c r="M3588" s="19"/>
      <c r="N3588" s="19"/>
      <c r="O3588" s="43"/>
      <c r="P3588" s="19"/>
      <c r="Q3588" s="19"/>
      <c r="R3588" s="19"/>
      <c r="S3588" s="19"/>
      <c r="T3588" s="19"/>
      <c r="U3588" s="19"/>
      <c r="V3588" s="44"/>
      <c r="W3588" s="19"/>
      <c r="X3588" s="19"/>
      <c r="Y3588" s="19"/>
      <c r="Z3588" s="19"/>
      <c r="AA3588" s="19"/>
      <c r="AB3588" s="19"/>
      <c r="AC3588" s="19"/>
      <c r="AD3588" s="19"/>
      <c r="AE3588" s="19"/>
      <c r="AF3588" s="19"/>
      <c r="AG3588" s="19"/>
      <c r="AH3588" s="19"/>
      <c r="AI3588" s="19"/>
      <c r="AJ3588" s="19"/>
      <c r="AK3588" s="19"/>
      <c r="AL3588" s="6" t="str">
        <f t="array" ref="AL3588">IFERROR(IFS(XLOOKUP(B3588, 'Kit Delivery Status'!$U:$U, 'Kit Delivery Status'!$K:$K) = "Complete", "DELIVERED", XLOOKUP(B3588, 'Kit Delivery Status'!$U:$U, 'Kit Delivery Status'!$K:$K) = "Issue", "ISSUE"), "")</f>
        <v/>
      </c>
      <c r="AM3588" s="6"/>
    </row>
    <row r="3589">
      <c r="A3589" s="19"/>
      <c r="B3589" s="19"/>
      <c r="C3589" s="19"/>
      <c r="D3589" s="42"/>
      <c r="E3589" s="19"/>
      <c r="F3589" s="19"/>
      <c r="G3589" s="19"/>
      <c r="H3589" s="19"/>
      <c r="I3589" s="19"/>
      <c r="J3589" s="19"/>
      <c r="K3589" s="19"/>
      <c r="L3589" s="19"/>
      <c r="M3589" s="19"/>
      <c r="N3589" s="19"/>
      <c r="O3589" s="43"/>
      <c r="P3589" s="19"/>
      <c r="Q3589" s="19"/>
      <c r="R3589" s="19"/>
      <c r="S3589" s="19"/>
      <c r="T3589" s="19"/>
      <c r="U3589" s="19"/>
      <c r="V3589" s="44"/>
      <c r="W3589" s="19"/>
      <c r="X3589" s="19"/>
      <c r="Y3589" s="19"/>
      <c r="Z3589" s="19"/>
      <c r="AA3589" s="19"/>
      <c r="AB3589" s="19"/>
      <c r="AC3589" s="19"/>
      <c r="AD3589" s="19"/>
      <c r="AE3589" s="19"/>
      <c r="AF3589" s="19"/>
      <c r="AG3589" s="19"/>
      <c r="AH3589" s="19"/>
      <c r="AI3589" s="19"/>
      <c r="AJ3589" s="19"/>
      <c r="AK3589" s="19"/>
      <c r="AL3589" s="6" t="str">
        <f t="array" ref="AL3589">IFERROR(IFS(XLOOKUP(B3589, 'Kit Delivery Status'!$U:$U, 'Kit Delivery Status'!$K:$K) = "Complete", "DELIVERED", XLOOKUP(B3589, 'Kit Delivery Status'!$U:$U, 'Kit Delivery Status'!$K:$K) = "Issue", "ISSUE"), "")</f>
        <v/>
      </c>
      <c r="AM3589" s="6"/>
    </row>
    <row r="3590">
      <c r="A3590" s="19"/>
      <c r="B3590" s="19"/>
      <c r="C3590" s="19"/>
      <c r="D3590" s="42"/>
      <c r="E3590" s="19"/>
      <c r="F3590" s="19"/>
      <c r="G3590" s="19"/>
      <c r="H3590" s="19"/>
      <c r="I3590" s="19"/>
      <c r="J3590" s="19"/>
      <c r="K3590" s="19"/>
      <c r="L3590" s="19"/>
      <c r="M3590" s="19"/>
      <c r="N3590" s="19"/>
      <c r="O3590" s="43"/>
      <c r="P3590" s="19"/>
      <c r="Q3590" s="19"/>
      <c r="R3590" s="19"/>
      <c r="S3590" s="19"/>
      <c r="T3590" s="19"/>
      <c r="U3590" s="19"/>
      <c r="V3590" s="44"/>
      <c r="W3590" s="19"/>
      <c r="X3590" s="19"/>
      <c r="Y3590" s="19"/>
      <c r="Z3590" s="19"/>
      <c r="AA3590" s="19"/>
      <c r="AB3590" s="19"/>
      <c r="AC3590" s="19"/>
      <c r="AD3590" s="19"/>
      <c r="AE3590" s="19"/>
      <c r="AF3590" s="19"/>
      <c r="AG3590" s="19"/>
      <c r="AH3590" s="19"/>
      <c r="AI3590" s="19"/>
      <c r="AJ3590" s="19"/>
      <c r="AK3590" s="19"/>
      <c r="AL3590" s="6" t="str">
        <f t="array" ref="AL3590">IFERROR(IFS(XLOOKUP(B3590, 'Kit Delivery Status'!$U:$U, 'Kit Delivery Status'!$K:$K) = "Complete", "DELIVERED", XLOOKUP(B3590, 'Kit Delivery Status'!$U:$U, 'Kit Delivery Status'!$K:$K) = "Issue", "ISSUE"), "")</f>
        <v/>
      </c>
      <c r="AM3590" s="6"/>
    </row>
    <row r="3591">
      <c r="A3591" s="19"/>
      <c r="B3591" s="19"/>
      <c r="C3591" s="19"/>
      <c r="D3591" s="42"/>
      <c r="E3591" s="19"/>
      <c r="F3591" s="19"/>
      <c r="G3591" s="19"/>
      <c r="H3591" s="19"/>
      <c r="I3591" s="19"/>
      <c r="J3591" s="19"/>
      <c r="K3591" s="19"/>
      <c r="L3591" s="19"/>
      <c r="M3591" s="19"/>
      <c r="N3591" s="19"/>
      <c r="O3591" s="43"/>
      <c r="P3591" s="19"/>
      <c r="Q3591" s="19"/>
      <c r="R3591" s="19"/>
      <c r="S3591" s="19"/>
      <c r="T3591" s="19"/>
      <c r="U3591" s="19"/>
      <c r="V3591" s="44"/>
      <c r="W3591" s="19"/>
      <c r="X3591" s="19"/>
      <c r="Y3591" s="19"/>
      <c r="Z3591" s="19"/>
      <c r="AA3591" s="19"/>
      <c r="AB3591" s="19"/>
      <c r="AC3591" s="19"/>
      <c r="AD3591" s="19"/>
      <c r="AE3591" s="19"/>
      <c r="AF3591" s="19"/>
      <c r="AG3591" s="19"/>
      <c r="AH3591" s="19"/>
      <c r="AI3591" s="19"/>
      <c r="AJ3591" s="19"/>
      <c r="AK3591" s="19"/>
      <c r="AL3591" s="6" t="str">
        <f t="array" ref="AL3591">IFERROR(IFS(XLOOKUP(B3591, 'Kit Delivery Status'!$U:$U, 'Kit Delivery Status'!$K:$K) = "Complete", "DELIVERED", XLOOKUP(B3591, 'Kit Delivery Status'!$U:$U, 'Kit Delivery Status'!$K:$K) = "Issue", "ISSUE"), "")</f>
        <v/>
      </c>
      <c r="AM3591" s="6"/>
    </row>
    <row r="3592">
      <c r="A3592" s="19"/>
      <c r="B3592" s="19"/>
      <c r="C3592" s="19"/>
      <c r="D3592" s="42"/>
      <c r="E3592" s="19"/>
      <c r="F3592" s="19"/>
      <c r="G3592" s="19"/>
      <c r="H3592" s="19"/>
      <c r="I3592" s="19"/>
      <c r="J3592" s="19"/>
      <c r="K3592" s="19"/>
      <c r="L3592" s="19"/>
      <c r="M3592" s="19"/>
      <c r="N3592" s="19"/>
      <c r="O3592" s="43"/>
      <c r="P3592" s="19"/>
      <c r="Q3592" s="19"/>
      <c r="R3592" s="19"/>
      <c r="S3592" s="19"/>
      <c r="T3592" s="19"/>
      <c r="U3592" s="19"/>
      <c r="V3592" s="44"/>
      <c r="W3592" s="19"/>
      <c r="X3592" s="19"/>
      <c r="Y3592" s="19"/>
      <c r="Z3592" s="19"/>
      <c r="AA3592" s="19"/>
      <c r="AB3592" s="19"/>
      <c r="AC3592" s="19"/>
      <c r="AD3592" s="19"/>
      <c r="AE3592" s="19"/>
      <c r="AF3592" s="19"/>
      <c r="AG3592" s="19"/>
      <c r="AH3592" s="19"/>
      <c r="AI3592" s="19"/>
      <c r="AJ3592" s="19"/>
      <c r="AK3592" s="19"/>
      <c r="AL3592" s="6" t="str">
        <f t="array" ref="AL3592">IFERROR(IFS(XLOOKUP(B3592, 'Kit Delivery Status'!$U:$U, 'Kit Delivery Status'!$K:$K) = "Complete", "DELIVERED", XLOOKUP(B3592, 'Kit Delivery Status'!$U:$U, 'Kit Delivery Status'!$K:$K) = "Issue", "ISSUE"), "")</f>
        <v/>
      </c>
      <c r="AM3592" s="6"/>
    </row>
    <row r="3593">
      <c r="A3593" s="19"/>
      <c r="B3593" s="19"/>
      <c r="C3593" s="19"/>
      <c r="D3593" s="42"/>
      <c r="E3593" s="19"/>
      <c r="F3593" s="19"/>
      <c r="G3593" s="19"/>
      <c r="H3593" s="19"/>
      <c r="I3593" s="19"/>
      <c r="J3593" s="19"/>
      <c r="K3593" s="19"/>
      <c r="L3593" s="19"/>
      <c r="M3593" s="19"/>
      <c r="N3593" s="19"/>
      <c r="O3593" s="43"/>
      <c r="P3593" s="19"/>
      <c r="Q3593" s="19"/>
      <c r="R3593" s="19"/>
      <c r="S3593" s="19"/>
      <c r="T3593" s="19"/>
      <c r="U3593" s="19"/>
      <c r="V3593" s="44"/>
      <c r="W3593" s="19"/>
      <c r="X3593" s="19"/>
      <c r="Y3593" s="19"/>
      <c r="Z3593" s="19"/>
      <c r="AA3593" s="19"/>
      <c r="AB3593" s="19"/>
      <c r="AC3593" s="19"/>
      <c r="AD3593" s="19"/>
      <c r="AE3593" s="19"/>
      <c r="AF3593" s="19"/>
      <c r="AG3593" s="19"/>
      <c r="AH3593" s="19"/>
      <c r="AI3593" s="19"/>
      <c r="AJ3593" s="19"/>
      <c r="AK3593" s="19"/>
      <c r="AL3593" s="6" t="str">
        <f t="array" ref="AL3593">IFERROR(IFS(XLOOKUP(B3593, 'Kit Delivery Status'!$U:$U, 'Kit Delivery Status'!$K:$K) = "Complete", "DELIVERED", XLOOKUP(B3593, 'Kit Delivery Status'!$U:$U, 'Kit Delivery Status'!$K:$K) = "Issue", "ISSUE"), "")</f>
        <v/>
      </c>
      <c r="AM3593" s="6"/>
    </row>
    <row r="3594">
      <c r="A3594" s="19"/>
      <c r="B3594" s="19"/>
      <c r="C3594" s="19"/>
      <c r="D3594" s="42"/>
      <c r="E3594" s="19"/>
      <c r="F3594" s="19"/>
      <c r="G3594" s="19"/>
      <c r="H3594" s="19"/>
      <c r="I3594" s="19"/>
      <c r="J3594" s="19"/>
      <c r="K3594" s="19"/>
      <c r="L3594" s="19"/>
      <c r="M3594" s="19"/>
      <c r="N3594" s="19"/>
      <c r="O3594" s="43"/>
      <c r="P3594" s="19"/>
      <c r="Q3594" s="19"/>
      <c r="R3594" s="19"/>
      <c r="S3594" s="19"/>
      <c r="T3594" s="19"/>
      <c r="U3594" s="19"/>
      <c r="V3594" s="44"/>
      <c r="W3594" s="19"/>
      <c r="X3594" s="19"/>
      <c r="Y3594" s="19"/>
      <c r="Z3594" s="19"/>
      <c r="AA3594" s="19"/>
      <c r="AB3594" s="19"/>
      <c r="AC3594" s="19"/>
      <c r="AD3594" s="19"/>
      <c r="AE3594" s="19"/>
      <c r="AF3594" s="19"/>
      <c r="AG3594" s="19"/>
      <c r="AH3594" s="19"/>
      <c r="AI3594" s="19"/>
      <c r="AJ3594" s="19"/>
      <c r="AK3594" s="19"/>
      <c r="AL3594" s="6" t="str">
        <f t="array" ref="AL3594">IFERROR(IFS(XLOOKUP(B3594, 'Kit Delivery Status'!$U:$U, 'Kit Delivery Status'!$K:$K) = "Complete", "DELIVERED", XLOOKUP(B3594, 'Kit Delivery Status'!$U:$U, 'Kit Delivery Status'!$K:$K) = "Issue", "ISSUE"), "")</f>
        <v/>
      </c>
      <c r="AM3594" s="6"/>
    </row>
    <row r="3595">
      <c r="A3595" s="19"/>
      <c r="B3595" s="19"/>
      <c r="C3595" s="19"/>
      <c r="D3595" s="42"/>
      <c r="E3595" s="19"/>
      <c r="F3595" s="19"/>
      <c r="G3595" s="19"/>
      <c r="H3595" s="19"/>
      <c r="I3595" s="19"/>
      <c r="J3595" s="19"/>
      <c r="K3595" s="19"/>
      <c r="L3595" s="19"/>
      <c r="M3595" s="19"/>
      <c r="N3595" s="19"/>
      <c r="O3595" s="43"/>
      <c r="P3595" s="19"/>
      <c r="Q3595" s="19"/>
      <c r="R3595" s="19"/>
      <c r="S3595" s="19"/>
      <c r="T3595" s="19"/>
      <c r="U3595" s="19"/>
      <c r="V3595" s="44"/>
      <c r="W3595" s="19"/>
      <c r="X3595" s="19"/>
      <c r="Y3595" s="19"/>
      <c r="Z3595" s="19"/>
      <c r="AA3595" s="19"/>
      <c r="AB3595" s="19"/>
      <c r="AC3595" s="19"/>
      <c r="AD3595" s="19"/>
      <c r="AE3595" s="19"/>
      <c r="AF3595" s="19"/>
      <c r="AG3595" s="19"/>
      <c r="AH3595" s="19"/>
      <c r="AI3595" s="19"/>
      <c r="AJ3595" s="19"/>
      <c r="AK3595" s="19"/>
      <c r="AL3595" s="6" t="str">
        <f t="array" ref="AL3595">IFERROR(IFS(XLOOKUP(B3595, 'Kit Delivery Status'!$U:$U, 'Kit Delivery Status'!$K:$K) = "Complete", "DELIVERED", XLOOKUP(B3595, 'Kit Delivery Status'!$U:$U, 'Kit Delivery Status'!$K:$K) = "Issue", "ISSUE"), "")</f>
        <v/>
      </c>
      <c r="AM3595" s="6"/>
    </row>
    <row r="3596">
      <c r="A3596" s="19"/>
      <c r="B3596" s="19"/>
      <c r="C3596" s="19"/>
      <c r="D3596" s="42"/>
      <c r="E3596" s="19"/>
      <c r="F3596" s="19"/>
      <c r="G3596" s="19"/>
      <c r="H3596" s="19"/>
      <c r="I3596" s="19"/>
      <c r="J3596" s="19"/>
      <c r="K3596" s="19"/>
      <c r="L3596" s="19"/>
      <c r="M3596" s="19"/>
      <c r="N3596" s="19"/>
      <c r="O3596" s="43"/>
      <c r="P3596" s="19"/>
      <c r="Q3596" s="19"/>
      <c r="R3596" s="19"/>
      <c r="S3596" s="19"/>
      <c r="T3596" s="19"/>
      <c r="U3596" s="19"/>
      <c r="V3596" s="44"/>
      <c r="W3596" s="19"/>
      <c r="X3596" s="19"/>
      <c r="Y3596" s="19"/>
      <c r="Z3596" s="19"/>
      <c r="AA3596" s="19"/>
      <c r="AB3596" s="19"/>
      <c r="AC3596" s="19"/>
      <c r="AD3596" s="19"/>
      <c r="AE3596" s="19"/>
      <c r="AF3596" s="19"/>
      <c r="AG3596" s="19"/>
      <c r="AH3596" s="19"/>
      <c r="AI3596" s="19"/>
      <c r="AJ3596" s="19"/>
      <c r="AK3596" s="19"/>
      <c r="AL3596" s="6" t="str">
        <f t="array" ref="AL3596">IFERROR(IFS(XLOOKUP(B3596, 'Kit Delivery Status'!$U:$U, 'Kit Delivery Status'!$K:$K) = "Complete", "DELIVERED", XLOOKUP(B3596, 'Kit Delivery Status'!$U:$U, 'Kit Delivery Status'!$K:$K) = "Issue", "ISSUE"), "")</f>
        <v/>
      </c>
      <c r="AM3596" s="6"/>
    </row>
    <row r="3597">
      <c r="A3597" s="19"/>
      <c r="B3597" s="19"/>
      <c r="C3597" s="19"/>
      <c r="D3597" s="42"/>
      <c r="E3597" s="19"/>
      <c r="F3597" s="19"/>
      <c r="G3597" s="19"/>
      <c r="H3597" s="19"/>
      <c r="I3597" s="19"/>
      <c r="J3597" s="19"/>
      <c r="K3597" s="19"/>
      <c r="L3597" s="19"/>
      <c r="M3597" s="19"/>
      <c r="N3597" s="19"/>
      <c r="O3597" s="43"/>
      <c r="P3597" s="19"/>
      <c r="Q3597" s="19"/>
      <c r="R3597" s="19"/>
      <c r="S3597" s="19"/>
      <c r="T3597" s="19"/>
      <c r="U3597" s="19"/>
      <c r="V3597" s="44"/>
      <c r="W3597" s="19"/>
      <c r="X3597" s="19"/>
      <c r="Y3597" s="19"/>
      <c r="Z3597" s="19"/>
      <c r="AA3597" s="19"/>
      <c r="AB3597" s="19"/>
      <c r="AC3597" s="19"/>
      <c r="AD3597" s="19"/>
      <c r="AE3597" s="19"/>
      <c r="AF3597" s="19"/>
      <c r="AG3597" s="19"/>
      <c r="AH3597" s="19"/>
      <c r="AI3597" s="19"/>
      <c r="AJ3597" s="19"/>
      <c r="AK3597" s="19"/>
      <c r="AL3597" s="6" t="str">
        <f t="array" ref="AL3597">IFERROR(IFS(XLOOKUP(B3597, 'Kit Delivery Status'!$U:$U, 'Kit Delivery Status'!$K:$K) = "Complete", "DELIVERED", XLOOKUP(B3597, 'Kit Delivery Status'!$U:$U, 'Kit Delivery Status'!$K:$K) = "Issue", "ISSUE"), "")</f>
        <v/>
      </c>
      <c r="AM3597" s="6"/>
    </row>
    <row r="3598">
      <c r="A3598" s="19"/>
      <c r="B3598" s="19"/>
      <c r="C3598" s="19"/>
      <c r="D3598" s="42"/>
      <c r="E3598" s="19"/>
      <c r="F3598" s="19"/>
      <c r="G3598" s="19"/>
      <c r="H3598" s="19"/>
      <c r="I3598" s="19"/>
      <c r="J3598" s="19"/>
      <c r="K3598" s="19"/>
      <c r="L3598" s="19"/>
      <c r="M3598" s="19"/>
      <c r="N3598" s="19"/>
      <c r="O3598" s="43"/>
      <c r="P3598" s="19"/>
      <c r="Q3598" s="19"/>
      <c r="R3598" s="19"/>
      <c r="S3598" s="19"/>
      <c r="T3598" s="19"/>
      <c r="U3598" s="19"/>
      <c r="V3598" s="44"/>
      <c r="W3598" s="19"/>
      <c r="X3598" s="19"/>
      <c r="Y3598" s="19"/>
      <c r="Z3598" s="19"/>
      <c r="AA3598" s="19"/>
      <c r="AB3598" s="19"/>
      <c r="AC3598" s="19"/>
      <c r="AD3598" s="19"/>
      <c r="AE3598" s="19"/>
      <c r="AF3598" s="19"/>
      <c r="AG3598" s="19"/>
      <c r="AH3598" s="19"/>
      <c r="AI3598" s="19"/>
      <c r="AJ3598" s="19"/>
      <c r="AK3598" s="19"/>
      <c r="AL3598" s="6" t="str">
        <f t="array" ref="AL3598">IFERROR(IFS(XLOOKUP(B3598, 'Kit Delivery Status'!$U:$U, 'Kit Delivery Status'!$K:$K) = "Complete", "DELIVERED", XLOOKUP(B3598, 'Kit Delivery Status'!$U:$U, 'Kit Delivery Status'!$K:$K) = "Issue", "ISSUE"), "")</f>
        <v/>
      </c>
      <c r="AM3598" s="6"/>
    </row>
    <row r="3599">
      <c r="A3599" s="19"/>
      <c r="B3599" s="19"/>
      <c r="C3599" s="19"/>
      <c r="D3599" s="42"/>
      <c r="E3599" s="19"/>
      <c r="F3599" s="19"/>
      <c r="G3599" s="19"/>
      <c r="H3599" s="19"/>
      <c r="I3599" s="19"/>
      <c r="J3599" s="19"/>
      <c r="K3599" s="19"/>
      <c r="L3599" s="19"/>
      <c r="M3599" s="19"/>
      <c r="N3599" s="19"/>
      <c r="O3599" s="43"/>
      <c r="P3599" s="19"/>
      <c r="Q3599" s="19"/>
      <c r="R3599" s="19"/>
      <c r="S3599" s="19"/>
      <c r="T3599" s="19"/>
      <c r="U3599" s="19"/>
      <c r="V3599" s="44"/>
      <c r="W3599" s="19"/>
      <c r="X3599" s="19"/>
      <c r="Y3599" s="19"/>
      <c r="Z3599" s="19"/>
      <c r="AA3599" s="19"/>
      <c r="AB3599" s="19"/>
      <c r="AC3599" s="19"/>
      <c r="AD3599" s="19"/>
      <c r="AE3599" s="19"/>
      <c r="AF3599" s="19"/>
      <c r="AG3599" s="19"/>
      <c r="AH3599" s="19"/>
      <c r="AI3599" s="19"/>
      <c r="AJ3599" s="19"/>
      <c r="AK3599" s="19"/>
      <c r="AL3599" s="6" t="str">
        <f t="array" ref="AL3599">IFERROR(IFS(XLOOKUP(B3599, 'Kit Delivery Status'!$U:$U, 'Kit Delivery Status'!$K:$K) = "Complete", "DELIVERED", XLOOKUP(B3599, 'Kit Delivery Status'!$U:$U, 'Kit Delivery Status'!$K:$K) = "Issue", "ISSUE"), "")</f>
        <v/>
      </c>
      <c r="AM3599" s="6"/>
    </row>
    <row r="3600">
      <c r="A3600" s="19"/>
      <c r="B3600" s="19"/>
      <c r="C3600" s="19"/>
      <c r="D3600" s="42"/>
      <c r="E3600" s="19"/>
      <c r="F3600" s="19"/>
      <c r="G3600" s="19"/>
      <c r="H3600" s="19"/>
      <c r="I3600" s="19"/>
      <c r="J3600" s="19"/>
      <c r="K3600" s="19"/>
      <c r="L3600" s="19"/>
      <c r="M3600" s="19"/>
      <c r="N3600" s="19"/>
      <c r="O3600" s="43"/>
      <c r="P3600" s="19"/>
      <c r="Q3600" s="19"/>
      <c r="R3600" s="19"/>
      <c r="S3600" s="19"/>
      <c r="T3600" s="19"/>
      <c r="U3600" s="19"/>
      <c r="V3600" s="44"/>
      <c r="W3600" s="19"/>
      <c r="X3600" s="19"/>
      <c r="Y3600" s="19"/>
      <c r="Z3600" s="19"/>
      <c r="AA3600" s="19"/>
      <c r="AB3600" s="19"/>
      <c r="AC3600" s="19"/>
      <c r="AD3600" s="19"/>
      <c r="AE3600" s="19"/>
      <c r="AF3600" s="19"/>
      <c r="AG3600" s="19"/>
      <c r="AH3600" s="19"/>
      <c r="AI3600" s="19"/>
      <c r="AJ3600" s="19"/>
      <c r="AK3600" s="19"/>
      <c r="AL3600" s="6" t="str">
        <f t="array" ref="AL3600">IFERROR(IFS(XLOOKUP(B3600, 'Kit Delivery Status'!$U:$U, 'Kit Delivery Status'!$K:$K) = "Complete", "DELIVERED", XLOOKUP(B3600, 'Kit Delivery Status'!$U:$U, 'Kit Delivery Status'!$K:$K) = "Issue", "ISSUE"), "")</f>
        <v/>
      </c>
      <c r="AM3600" s="6"/>
    </row>
    <row r="3601">
      <c r="A3601" s="19"/>
      <c r="B3601" s="19"/>
      <c r="C3601" s="19"/>
      <c r="D3601" s="42"/>
      <c r="E3601" s="19"/>
      <c r="F3601" s="19"/>
      <c r="G3601" s="19"/>
      <c r="H3601" s="19"/>
      <c r="I3601" s="19"/>
      <c r="J3601" s="19"/>
      <c r="K3601" s="19"/>
      <c r="L3601" s="19"/>
      <c r="M3601" s="19"/>
      <c r="N3601" s="19"/>
      <c r="O3601" s="43"/>
      <c r="P3601" s="19"/>
      <c r="Q3601" s="19"/>
      <c r="R3601" s="19"/>
      <c r="S3601" s="19"/>
      <c r="T3601" s="19"/>
      <c r="U3601" s="19"/>
      <c r="V3601" s="44"/>
      <c r="W3601" s="19"/>
      <c r="X3601" s="19"/>
      <c r="Y3601" s="19"/>
      <c r="Z3601" s="19"/>
      <c r="AA3601" s="19"/>
      <c r="AB3601" s="19"/>
      <c r="AC3601" s="19"/>
      <c r="AD3601" s="19"/>
      <c r="AE3601" s="19"/>
      <c r="AF3601" s="19"/>
      <c r="AG3601" s="19"/>
      <c r="AH3601" s="19"/>
      <c r="AI3601" s="19"/>
      <c r="AJ3601" s="19"/>
      <c r="AK3601" s="19"/>
      <c r="AL3601" s="6" t="str">
        <f t="array" ref="AL3601">IFERROR(IFS(XLOOKUP(B3601, 'Kit Delivery Status'!$U:$U, 'Kit Delivery Status'!$K:$K) = "Complete", "DELIVERED", XLOOKUP(B3601, 'Kit Delivery Status'!$U:$U, 'Kit Delivery Status'!$K:$K) = "Issue", "ISSUE"), "")</f>
        <v/>
      </c>
      <c r="AM3601" s="6"/>
    </row>
    <row r="3602">
      <c r="A3602" s="19"/>
      <c r="B3602" s="19"/>
      <c r="C3602" s="19"/>
      <c r="D3602" s="42"/>
      <c r="E3602" s="19"/>
      <c r="F3602" s="19"/>
      <c r="G3602" s="19"/>
      <c r="H3602" s="19"/>
      <c r="I3602" s="19"/>
      <c r="J3602" s="19"/>
      <c r="K3602" s="19"/>
      <c r="L3602" s="19"/>
      <c r="M3602" s="19"/>
      <c r="N3602" s="19"/>
      <c r="O3602" s="43"/>
      <c r="P3602" s="19"/>
      <c r="Q3602" s="19"/>
      <c r="R3602" s="19"/>
      <c r="S3602" s="19"/>
      <c r="T3602" s="19"/>
      <c r="U3602" s="19"/>
      <c r="V3602" s="44"/>
      <c r="W3602" s="19"/>
      <c r="X3602" s="19"/>
      <c r="Y3602" s="19"/>
      <c r="Z3602" s="19"/>
      <c r="AA3602" s="19"/>
      <c r="AB3602" s="19"/>
      <c r="AC3602" s="19"/>
      <c r="AD3602" s="19"/>
      <c r="AE3602" s="19"/>
      <c r="AF3602" s="19"/>
      <c r="AG3602" s="19"/>
      <c r="AH3602" s="19"/>
      <c r="AI3602" s="19"/>
      <c r="AJ3602" s="19"/>
      <c r="AK3602" s="19"/>
      <c r="AL3602" s="6" t="str">
        <f t="array" ref="AL3602">IFERROR(IFS(XLOOKUP(B3602, 'Kit Delivery Status'!$U:$U, 'Kit Delivery Status'!$K:$K) = "Complete", "DELIVERED", XLOOKUP(B3602, 'Kit Delivery Status'!$U:$U, 'Kit Delivery Status'!$K:$K) = "Issue", "ISSUE"), "")</f>
        <v/>
      </c>
      <c r="AM3602" s="6"/>
    </row>
    <row r="3603">
      <c r="A3603" s="19"/>
      <c r="B3603" s="19"/>
      <c r="C3603" s="19"/>
      <c r="D3603" s="42"/>
      <c r="E3603" s="19"/>
      <c r="F3603" s="19"/>
      <c r="G3603" s="19"/>
      <c r="H3603" s="19"/>
      <c r="I3603" s="19"/>
      <c r="J3603" s="19"/>
      <c r="K3603" s="19"/>
      <c r="L3603" s="19"/>
      <c r="M3603" s="19"/>
      <c r="N3603" s="19"/>
      <c r="O3603" s="43"/>
      <c r="P3603" s="19"/>
      <c r="Q3603" s="19"/>
      <c r="R3603" s="19"/>
      <c r="S3603" s="19"/>
      <c r="T3603" s="19"/>
      <c r="U3603" s="19"/>
      <c r="V3603" s="44"/>
      <c r="W3603" s="19"/>
      <c r="X3603" s="19"/>
      <c r="Y3603" s="19"/>
      <c r="Z3603" s="19"/>
      <c r="AA3603" s="19"/>
      <c r="AB3603" s="19"/>
      <c r="AC3603" s="19"/>
      <c r="AD3603" s="19"/>
      <c r="AE3603" s="19"/>
      <c r="AF3603" s="19"/>
      <c r="AG3603" s="19"/>
      <c r="AH3603" s="19"/>
      <c r="AI3603" s="19"/>
      <c r="AJ3603" s="19"/>
      <c r="AK3603" s="19"/>
      <c r="AL3603" s="6" t="str">
        <f t="array" ref="AL3603">IFERROR(IFS(XLOOKUP(B3603, 'Kit Delivery Status'!$U:$U, 'Kit Delivery Status'!$K:$K) = "Complete", "DELIVERED", XLOOKUP(B3603, 'Kit Delivery Status'!$U:$U, 'Kit Delivery Status'!$K:$K) = "Issue", "ISSUE"), "")</f>
        <v/>
      </c>
      <c r="AM3603" s="6"/>
    </row>
    <row r="3604">
      <c r="A3604" s="19"/>
      <c r="B3604" s="19"/>
      <c r="C3604" s="19"/>
      <c r="D3604" s="42"/>
      <c r="E3604" s="19"/>
      <c r="F3604" s="19"/>
      <c r="G3604" s="19"/>
      <c r="H3604" s="19"/>
      <c r="I3604" s="19"/>
      <c r="J3604" s="19"/>
      <c r="K3604" s="19"/>
      <c r="L3604" s="19"/>
      <c r="M3604" s="19"/>
      <c r="N3604" s="19"/>
      <c r="O3604" s="43"/>
      <c r="P3604" s="19"/>
      <c r="Q3604" s="19"/>
      <c r="R3604" s="19"/>
      <c r="S3604" s="19"/>
      <c r="T3604" s="19"/>
      <c r="U3604" s="19"/>
      <c r="V3604" s="44"/>
      <c r="W3604" s="19"/>
      <c r="X3604" s="19"/>
      <c r="Y3604" s="19"/>
      <c r="Z3604" s="19"/>
      <c r="AA3604" s="19"/>
      <c r="AB3604" s="19"/>
      <c r="AC3604" s="19"/>
      <c r="AD3604" s="19"/>
      <c r="AE3604" s="19"/>
      <c r="AF3604" s="19"/>
      <c r="AG3604" s="19"/>
      <c r="AH3604" s="19"/>
      <c r="AI3604" s="19"/>
      <c r="AJ3604" s="19"/>
      <c r="AK3604" s="19"/>
      <c r="AL3604" s="6" t="str">
        <f t="array" ref="AL3604">IFERROR(IFS(XLOOKUP(B3604, 'Kit Delivery Status'!$U:$U, 'Kit Delivery Status'!$K:$K) = "Complete", "DELIVERED", XLOOKUP(B3604, 'Kit Delivery Status'!$U:$U, 'Kit Delivery Status'!$K:$K) = "Issue", "ISSUE"), "")</f>
        <v/>
      </c>
      <c r="AM3604" s="6"/>
    </row>
    <row r="3605">
      <c r="A3605" s="19"/>
      <c r="B3605" s="19"/>
      <c r="C3605" s="19"/>
      <c r="D3605" s="42"/>
      <c r="E3605" s="19"/>
      <c r="F3605" s="19"/>
      <c r="G3605" s="19"/>
      <c r="H3605" s="19"/>
      <c r="I3605" s="19"/>
      <c r="J3605" s="19"/>
      <c r="K3605" s="19"/>
      <c r="L3605" s="19"/>
      <c r="M3605" s="19"/>
      <c r="N3605" s="19"/>
      <c r="O3605" s="43"/>
      <c r="P3605" s="19"/>
      <c r="Q3605" s="19"/>
      <c r="R3605" s="19"/>
      <c r="S3605" s="19"/>
      <c r="T3605" s="19"/>
      <c r="U3605" s="19"/>
      <c r="V3605" s="44"/>
      <c r="W3605" s="19"/>
      <c r="X3605" s="19"/>
      <c r="Y3605" s="19"/>
      <c r="Z3605" s="19"/>
      <c r="AA3605" s="19"/>
      <c r="AB3605" s="19"/>
      <c r="AC3605" s="19"/>
      <c r="AD3605" s="19"/>
      <c r="AE3605" s="19"/>
      <c r="AF3605" s="19"/>
      <c r="AG3605" s="19"/>
      <c r="AH3605" s="19"/>
      <c r="AI3605" s="19"/>
      <c r="AJ3605" s="19"/>
      <c r="AK3605" s="19"/>
      <c r="AL3605" s="6" t="str">
        <f t="array" ref="AL3605">IFERROR(IFS(XLOOKUP(B3605, 'Kit Delivery Status'!$U:$U, 'Kit Delivery Status'!$K:$K) = "Complete", "DELIVERED", XLOOKUP(B3605, 'Kit Delivery Status'!$U:$U, 'Kit Delivery Status'!$K:$K) = "Issue", "ISSUE"), "")</f>
        <v/>
      </c>
      <c r="AM3605" s="6"/>
    </row>
    <row r="3606">
      <c r="A3606" s="19"/>
      <c r="B3606" s="19"/>
      <c r="C3606" s="19"/>
      <c r="D3606" s="42"/>
      <c r="E3606" s="19"/>
      <c r="F3606" s="19"/>
      <c r="G3606" s="19"/>
      <c r="H3606" s="19"/>
      <c r="I3606" s="19"/>
      <c r="J3606" s="19"/>
      <c r="K3606" s="19"/>
      <c r="L3606" s="19"/>
      <c r="M3606" s="19"/>
      <c r="N3606" s="19"/>
      <c r="O3606" s="43"/>
      <c r="P3606" s="19"/>
      <c r="Q3606" s="19"/>
      <c r="R3606" s="19"/>
      <c r="S3606" s="19"/>
      <c r="T3606" s="19"/>
      <c r="U3606" s="19"/>
      <c r="V3606" s="44"/>
      <c r="W3606" s="19"/>
      <c r="X3606" s="19"/>
      <c r="Y3606" s="19"/>
      <c r="Z3606" s="19"/>
      <c r="AA3606" s="19"/>
      <c r="AB3606" s="19"/>
      <c r="AC3606" s="19"/>
      <c r="AD3606" s="19"/>
      <c r="AE3606" s="19"/>
      <c r="AF3606" s="19"/>
      <c r="AG3606" s="19"/>
      <c r="AH3606" s="19"/>
      <c r="AI3606" s="19"/>
      <c r="AJ3606" s="19"/>
      <c r="AK3606" s="19"/>
      <c r="AL3606" s="6" t="str">
        <f t="array" ref="AL3606">IFERROR(IFS(XLOOKUP(B3606, 'Kit Delivery Status'!$U:$U, 'Kit Delivery Status'!$K:$K) = "Complete", "DELIVERED", XLOOKUP(B3606, 'Kit Delivery Status'!$U:$U, 'Kit Delivery Status'!$K:$K) = "Issue", "ISSUE"), "")</f>
        <v/>
      </c>
      <c r="AM3606" s="6"/>
    </row>
    <row r="3607">
      <c r="A3607" s="19"/>
      <c r="B3607" s="19"/>
      <c r="C3607" s="19"/>
      <c r="D3607" s="42"/>
      <c r="E3607" s="19"/>
      <c r="F3607" s="19"/>
      <c r="G3607" s="19"/>
      <c r="H3607" s="19"/>
      <c r="I3607" s="19"/>
      <c r="J3607" s="19"/>
      <c r="K3607" s="19"/>
      <c r="L3607" s="19"/>
      <c r="M3607" s="19"/>
      <c r="N3607" s="19"/>
      <c r="O3607" s="43"/>
      <c r="P3607" s="19"/>
      <c r="Q3607" s="19"/>
      <c r="R3607" s="19"/>
      <c r="S3607" s="19"/>
      <c r="T3607" s="19"/>
      <c r="U3607" s="19"/>
      <c r="V3607" s="44"/>
      <c r="W3607" s="19"/>
      <c r="X3607" s="19"/>
      <c r="Y3607" s="19"/>
      <c r="Z3607" s="19"/>
      <c r="AA3607" s="19"/>
      <c r="AB3607" s="19"/>
      <c r="AC3607" s="19"/>
      <c r="AD3607" s="19"/>
      <c r="AE3607" s="19"/>
      <c r="AF3607" s="19"/>
      <c r="AG3607" s="19"/>
      <c r="AH3607" s="19"/>
      <c r="AI3607" s="19"/>
      <c r="AJ3607" s="19"/>
      <c r="AK3607" s="19"/>
      <c r="AL3607" s="6" t="str">
        <f t="array" ref="AL3607">IFERROR(IFS(XLOOKUP(B3607, 'Kit Delivery Status'!$U:$U, 'Kit Delivery Status'!$K:$K) = "Complete", "DELIVERED", XLOOKUP(B3607, 'Kit Delivery Status'!$U:$U, 'Kit Delivery Status'!$K:$K) = "Issue", "ISSUE"), "")</f>
        <v/>
      </c>
      <c r="AM3607" s="6"/>
    </row>
    <row r="3608">
      <c r="A3608" s="19"/>
      <c r="B3608" s="19"/>
      <c r="C3608" s="19"/>
      <c r="D3608" s="42"/>
      <c r="E3608" s="19"/>
      <c r="F3608" s="19"/>
      <c r="G3608" s="19"/>
      <c r="H3608" s="19"/>
      <c r="I3608" s="19"/>
      <c r="J3608" s="19"/>
      <c r="K3608" s="19"/>
      <c r="L3608" s="19"/>
      <c r="M3608" s="19"/>
      <c r="N3608" s="19"/>
      <c r="O3608" s="43"/>
      <c r="P3608" s="19"/>
      <c r="Q3608" s="19"/>
      <c r="R3608" s="19"/>
      <c r="S3608" s="19"/>
      <c r="T3608" s="19"/>
      <c r="U3608" s="19"/>
      <c r="V3608" s="44"/>
      <c r="W3608" s="19"/>
      <c r="X3608" s="19"/>
      <c r="Y3608" s="19"/>
      <c r="Z3608" s="19"/>
      <c r="AA3608" s="19"/>
      <c r="AB3608" s="19"/>
      <c r="AC3608" s="19"/>
      <c r="AD3608" s="19"/>
      <c r="AE3608" s="19"/>
      <c r="AF3608" s="19"/>
      <c r="AG3608" s="19"/>
      <c r="AH3608" s="19"/>
      <c r="AI3608" s="19"/>
      <c r="AJ3608" s="19"/>
      <c r="AK3608" s="19"/>
      <c r="AL3608" s="6" t="str">
        <f t="array" ref="AL3608">IFERROR(IFS(XLOOKUP(B3608, 'Kit Delivery Status'!$U:$U, 'Kit Delivery Status'!$K:$K) = "Complete", "DELIVERED", XLOOKUP(B3608, 'Kit Delivery Status'!$U:$U, 'Kit Delivery Status'!$K:$K) = "Issue", "ISSUE"), "")</f>
        <v/>
      </c>
      <c r="AM3608" s="6"/>
    </row>
    <row r="3609">
      <c r="A3609" s="19"/>
      <c r="B3609" s="19"/>
      <c r="C3609" s="19"/>
      <c r="D3609" s="42"/>
      <c r="E3609" s="19"/>
      <c r="F3609" s="19"/>
      <c r="G3609" s="19"/>
      <c r="H3609" s="19"/>
      <c r="I3609" s="19"/>
      <c r="J3609" s="19"/>
      <c r="K3609" s="19"/>
      <c r="L3609" s="19"/>
      <c r="M3609" s="19"/>
      <c r="N3609" s="19"/>
      <c r="O3609" s="43"/>
      <c r="P3609" s="19"/>
      <c r="Q3609" s="19"/>
      <c r="R3609" s="19"/>
      <c r="S3609" s="19"/>
      <c r="T3609" s="19"/>
      <c r="U3609" s="19"/>
      <c r="V3609" s="44"/>
      <c r="W3609" s="19"/>
      <c r="X3609" s="19"/>
      <c r="Y3609" s="19"/>
      <c r="Z3609" s="19"/>
      <c r="AA3609" s="19"/>
      <c r="AB3609" s="19"/>
      <c r="AC3609" s="19"/>
      <c r="AD3609" s="19"/>
      <c r="AE3609" s="19"/>
      <c r="AF3609" s="19"/>
      <c r="AG3609" s="19"/>
      <c r="AH3609" s="19"/>
      <c r="AI3609" s="19"/>
      <c r="AJ3609" s="19"/>
      <c r="AK3609" s="19"/>
      <c r="AL3609" s="6" t="str">
        <f t="array" ref="AL3609">IFERROR(IFS(XLOOKUP(B3609, 'Kit Delivery Status'!$U:$U, 'Kit Delivery Status'!$K:$K) = "Complete", "DELIVERED", XLOOKUP(B3609, 'Kit Delivery Status'!$U:$U, 'Kit Delivery Status'!$K:$K) = "Issue", "ISSUE"), "")</f>
        <v/>
      </c>
      <c r="AM3609" s="6"/>
    </row>
    <row r="3610">
      <c r="A3610" s="19"/>
      <c r="B3610" s="19"/>
      <c r="C3610" s="19"/>
      <c r="D3610" s="42"/>
      <c r="E3610" s="19"/>
      <c r="F3610" s="19"/>
      <c r="G3610" s="19"/>
      <c r="H3610" s="19"/>
      <c r="I3610" s="19"/>
      <c r="J3610" s="19"/>
      <c r="K3610" s="19"/>
      <c r="L3610" s="19"/>
      <c r="M3610" s="19"/>
      <c r="N3610" s="19"/>
      <c r="O3610" s="43"/>
      <c r="P3610" s="19"/>
      <c r="Q3610" s="19"/>
      <c r="R3610" s="19"/>
      <c r="S3610" s="19"/>
      <c r="T3610" s="19"/>
      <c r="U3610" s="19"/>
      <c r="V3610" s="44"/>
      <c r="W3610" s="19"/>
      <c r="X3610" s="19"/>
      <c r="Y3610" s="19"/>
      <c r="Z3610" s="19"/>
      <c r="AA3610" s="19"/>
      <c r="AB3610" s="19"/>
      <c r="AC3610" s="19"/>
      <c r="AD3610" s="19"/>
      <c r="AE3610" s="19"/>
      <c r="AF3610" s="19"/>
      <c r="AG3610" s="19"/>
      <c r="AH3610" s="19"/>
      <c r="AI3610" s="19"/>
      <c r="AJ3610" s="19"/>
      <c r="AK3610" s="19"/>
      <c r="AL3610" s="6" t="str">
        <f t="array" ref="AL3610">IFERROR(IFS(XLOOKUP(B3610, 'Kit Delivery Status'!$U:$U, 'Kit Delivery Status'!$K:$K) = "Complete", "DELIVERED", XLOOKUP(B3610, 'Kit Delivery Status'!$U:$U, 'Kit Delivery Status'!$K:$K) = "Issue", "ISSUE"), "")</f>
        <v/>
      </c>
      <c r="AM3610" s="6"/>
    </row>
    <row r="3611">
      <c r="A3611" s="19"/>
      <c r="B3611" s="19"/>
      <c r="C3611" s="19"/>
      <c r="D3611" s="42"/>
      <c r="E3611" s="19"/>
      <c r="F3611" s="19"/>
      <c r="G3611" s="19"/>
      <c r="H3611" s="19"/>
      <c r="I3611" s="19"/>
      <c r="J3611" s="19"/>
      <c r="K3611" s="19"/>
      <c r="L3611" s="19"/>
      <c r="M3611" s="19"/>
      <c r="N3611" s="19"/>
      <c r="O3611" s="43"/>
      <c r="P3611" s="19"/>
      <c r="Q3611" s="19"/>
      <c r="R3611" s="19"/>
      <c r="S3611" s="19"/>
      <c r="T3611" s="19"/>
      <c r="U3611" s="19"/>
      <c r="V3611" s="44"/>
      <c r="W3611" s="19"/>
      <c r="X3611" s="19"/>
      <c r="Y3611" s="19"/>
      <c r="Z3611" s="19"/>
      <c r="AA3611" s="19"/>
      <c r="AB3611" s="19"/>
      <c r="AC3611" s="19"/>
      <c r="AD3611" s="19"/>
      <c r="AE3611" s="19"/>
      <c r="AF3611" s="19"/>
      <c r="AG3611" s="19"/>
      <c r="AH3611" s="19"/>
      <c r="AI3611" s="19"/>
      <c r="AJ3611" s="19"/>
      <c r="AK3611" s="19"/>
      <c r="AL3611" s="6" t="str">
        <f t="array" ref="AL3611">IFERROR(IFS(XLOOKUP(B3611, 'Kit Delivery Status'!$U:$U, 'Kit Delivery Status'!$K:$K) = "Complete", "DELIVERED", XLOOKUP(B3611, 'Kit Delivery Status'!$U:$U, 'Kit Delivery Status'!$K:$K) = "Issue", "ISSUE"), "")</f>
        <v/>
      </c>
      <c r="AM3611" s="6"/>
    </row>
    <row r="3612">
      <c r="A3612" s="19"/>
      <c r="B3612" s="19"/>
      <c r="C3612" s="19"/>
      <c r="D3612" s="42"/>
      <c r="E3612" s="19"/>
      <c r="F3612" s="19"/>
      <c r="G3612" s="19"/>
      <c r="H3612" s="19"/>
      <c r="I3612" s="19"/>
      <c r="J3612" s="19"/>
      <c r="K3612" s="19"/>
      <c r="L3612" s="19"/>
      <c r="M3612" s="19"/>
      <c r="N3612" s="19"/>
      <c r="O3612" s="43"/>
      <c r="P3612" s="19"/>
      <c r="Q3612" s="19"/>
      <c r="R3612" s="19"/>
      <c r="S3612" s="19"/>
      <c r="T3612" s="19"/>
      <c r="U3612" s="19"/>
      <c r="V3612" s="44"/>
      <c r="W3612" s="19"/>
      <c r="X3612" s="19"/>
      <c r="Y3612" s="19"/>
      <c r="Z3612" s="19"/>
      <c r="AA3612" s="19"/>
      <c r="AB3612" s="19"/>
      <c r="AC3612" s="19"/>
      <c r="AD3612" s="19"/>
      <c r="AE3612" s="19"/>
      <c r="AF3612" s="19"/>
      <c r="AG3612" s="19"/>
      <c r="AH3612" s="19"/>
      <c r="AI3612" s="19"/>
      <c r="AJ3612" s="19"/>
      <c r="AK3612" s="19"/>
      <c r="AL3612" s="6" t="str">
        <f t="array" ref="AL3612">IFERROR(IFS(XLOOKUP(B3612, 'Kit Delivery Status'!$U:$U, 'Kit Delivery Status'!$K:$K) = "Complete", "DELIVERED", XLOOKUP(B3612, 'Kit Delivery Status'!$U:$U, 'Kit Delivery Status'!$K:$K) = "Issue", "ISSUE"), "")</f>
        <v/>
      </c>
      <c r="AM3612" s="6"/>
    </row>
    <row r="3613">
      <c r="A3613" s="19"/>
      <c r="B3613" s="19"/>
      <c r="C3613" s="19"/>
      <c r="D3613" s="42"/>
      <c r="E3613" s="19"/>
      <c r="F3613" s="19"/>
      <c r="G3613" s="19"/>
      <c r="H3613" s="19"/>
      <c r="I3613" s="19"/>
      <c r="J3613" s="19"/>
      <c r="K3613" s="19"/>
      <c r="L3613" s="19"/>
      <c r="M3613" s="19"/>
      <c r="N3613" s="19"/>
      <c r="O3613" s="43"/>
      <c r="P3613" s="19"/>
      <c r="Q3613" s="19"/>
      <c r="R3613" s="19"/>
      <c r="S3613" s="19"/>
      <c r="T3613" s="19"/>
      <c r="U3613" s="19"/>
      <c r="V3613" s="44"/>
      <c r="W3613" s="19"/>
      <c r="X3613" s="19"/>
      <c r="Y3613" s="19"/>
      <c r="Z3613" s="19"/>
      <c r="AA3613" s="19"/>
      <c r="AB3613" s="19"/>
      <c r="AC3613" s="19"/>
      <c r="AD3613" s="19"/>
      <c r="AE3613" s="19"/>
      <c r="AF3613" s="19"/>
      <c r="AG3613" s="19"/>
      <c r="AH3613" s="19"/>
      <c r="AI3613" s="19"/>
      <c r="AJ3613" s="19"/>
      <c r="AK3613" s="19"/>
      <c r="AL3613" s="6" t="str">
        <f t="array" ref="AL3613">IFERROR(IFS(XLOOKUP(B3613, 'Kit Delivery Status'!$U:$U, 'Kit Delivery Status'!$K:$K) = "Complete", "DELIVERED", XLOOKUP(B3613, 'Kit Delivery Status'!$U:$U, 'Kit Delivery Status'!$K:$K) = "Issue", "ISSUE"), "")</f>
        <v/>
      </c>
      <c r="AM3613" s="6"/>
    </row>
    <row r="3614">
      <c r="A3614" s="19"/>
      <c r="B3614" s="19"/>
      <c r="C3614" s="19"/>
      <c r="D3614" s="42"/>
      <c r="E3614" s="19"/>
      <c r="F3614" s="19"/>
      <c r="G3614" s="19"/>
      <c r="H3614" s="19"/>
      <c r="I3614" s="19"/>
      <c r="J3614" s="19"/>
      <c r="K3614" s="19"/>
      <c r="L3614" s="19"/>
      <c r="M3614" s="19"/>
      <c r="N3614" s="19"/>
      <c r="O3614" s="43"/>
      <c r="P3614" s="19"/>
      <c r="Q3614" s="19"/>
      <c r="R3614" s="19"/>
      <c r="S3614" s="19"/>
      <c r="T3614" s="19"/>
      <c r="U3614" s="19"/>
      <c r="V3614" s="44"/>
      <c r="W3614" s="19"/>
      <c r="X3614" s="19"/>
      <c r="Y3614" s="19"/>
      <c r="Z3614" s="19"/>
      <c r="AA3614" s="19"/>
      <c r="AB3614" s="19"/>
      <c r="AC3614" s="19"/>
      <c r="AD3614" s="19"/>
      <c r="AE3614" s="19"/>
      <c r="AF3614" s="19"/>
      <c r="AG3614" s="19"/>
      <c r="AH3614" s="19"/>
      <c r="AI3614" s="19"/>
      <c r="AJ3614" s="19"/>
      <c r="AK3614" s="19"/>
      <c r="AL3614" s="6" t="str">
        <f t="array" ref="AL3614">IFERROR(IFS(XLOOKUP(B3614, 'Kit Delivery Status'!$U:$U, 'Kit Delivery Status'!$K:$K) = "Complete", "DELIVERED", XLOOKUP(B3614, 'Kit Delivery Status'!$U:$U, 'Kit Delivery Status'!$K:$K) = "Issue", "ISSUE"), "")</f>
        <v/>
      </c>
      <c r="AM3614" s="6"/>
    </row>
    <row r="3615">
      <c r="A3615" s="19"/>
      <c r="B3615" s="19"/>
      <c r="C3615" s="19"/>
      <c r="D3615" s="42"/>
      <c r="E3615" s="19"/>
      <c r="F3615" s="19"/>
      <c r="G3615" s="19"/>
      <c r="H3615" s="19"/>
      <c r="I3615" s="19"/>
      <c r="J3615" s="19"/>
      <c r="K3615" s="19"/>
      <c r="L3615" s="19"/>
      <c r="M3615" s="19"/>
      <c r="N3615" s="19"/>
      <c r="O3615" s="43"/>
      <c r="P3615" s="19"/>
      <c r="Q3615" s="19"/>
      <c r="R3615" s="19"/>
      <c r="S3615" s="19"/>
      <c r="T3615" s="19"/>
      <c r="U3615" s="19"/>
      <c r="V3615" s="44"/>
      <c r="W3615" s="19"/>
      <c r="X3615" s="19"/>
      <c r="Y3615" s="19"/>
      <c r="Z3615" s="19"/>
      <c r="AA3615" s="19"/>
      <c r="AB3615" s="19"/>
      <c r="AC3615" s="19"/>
      <c r="AD3615" s="19"/>
      <c r="AE3615" s="19"/>
      <c r="AF3615" s="19"/>
      <c r="AG3615" s="19"/>
      <c r="AH3615" s="19"/>
      <c r="AI3615" s="19"/>
      <c r="AJ3615" s="19"/>
      <c r="AK3615" s="19"/>
      <c r="AL3615" s="6" t="str">
        <f t="array" ref="AL3615">IFERROR(IFS(XLOOKUP(B3615, 'Kit Delivery Status'!$U:$U, 'Kit Delivery Status'!$K:$K) = "Complete", "DELIVERED", XLOOKUP(B3615, 'Kit Delivery Status'!$U:$U, 'Kit Delivery Status'!$K:$K) = "Issue", "ISSUE"), "")</f>
        <v/>
      </c>
      <c r="AM3615" s="6"/>
    </row>
    <row r="3616">
      <c r="A3616" s="19"/>
      <c r="B3616" s="19"/>
      <c r="C3616" s="19"/>
      <c r="D3616" s="42"/>
      <c r="E3616" s="19"/>
      <c r="F3616" s="19"/>
      <c r="G3616" s="19"/>
      <c r="H3616" s="19"/>
      <c r="I3616" s="19"/>
      <c r="J3616" s="19"/>
      <c r="K3616" s="19"/>
      <c r="L3616" s="19"/>
      <c r="M3616" s="19"/>
      <c r="N3616" s="19"/>
      <c r="O3616" s="43"/>
      <c r="P3616" s="19"/>
      <c r="Q3616" s="19"/>
      <c r="R3616" s="19"/>
      <c r="S3616" s="19"/>
      <c r="T3616" s="19"/>
      <c r="U3616" s="19"/>
      <c r="V3616" s="44"/>
      <c r="W3616" s="19"/>
      <c r="X3616" s="19"/>
      <c r="Y3616" s="19"/>
      <c r="Z3616" s="19"/>
      <c r="AA3616" s="19"/>
      <c r="AB3616" s="19"/>
      <c r="AC3616" s="19"/>
      <c r="AD3616" s="19"/>
      <c r="AE3616" s="19"/>
      <c r="AF3616" s="19"/>
      <c r="AG3616" s="19"/>
      <c r="AH3616" s="19"/>
      <c r="AI3616" s="19"/>
      <c r="AJ3616" s="19"/>
      <c r="AK3616" s="19"/>
      <c r="AL3616" s="6" t="str">
        <f t="array" ref="AL3616">IFERROR(IFS(XLOOKUP(B3616, 'Kit Delivery Status'!$U:$U, 'Kit Delivery Status'!$K:$K) = "Complete", "DELIVERED", XLOOKUP(B3616, 'Kit Delivery Status'!$U:$U, 'Kit Delivery Status'!$K:$K) = "Issue", "ISSUE"), "")</f>
        <v/>
      </c>
      <c r="AM3616" s="6"/>
    </row>
    <row r="3617">
      <c r="A3617" s="19"/>
      <c r="B3617" s="19"/>
      <c r="C3617" s="19"/>
      <c r="D3617" s="42"/>
      <c r="E3617" s="19"/>
      <c r="F3617" s="19"/>
      <c r="G3617" s="19"/>
      <c r="H3617" s="19"/>
      <c r="I3617" s="19"/>
      <c r="J3617" s="19"/>
      <c r="K3617" s="19"/>
      <c r="L3617" s="19"/>
      <c r="M3617" s="19"/>
      <c r="N3617" s="19"/>
      <c r="O3617" s="43"/>
      <c r="P3617" s="19"/>
      <c r="Q3617" s="19"/>
      <c r="R3617" s="19"/>
      <c r="S3617" s="19"/>
      <c r="T3617" s="19"/>
      <c r="U3617" s="19"/>
      <c r="V3617" s="44"/>
      <c r="W3617" s="19"/>
      <c r="X3617" s="19"/>
      <c r="Y3617" s="19"/>
      <c r="Z3617" s="19"/>
      <c r="AA3617" s="19"/>
      <c r="AB3617" s="19"/>
      <c r="AC3617" s="19"/>
      <c r="AD3617" s="19"/>
      <c r="AE3617" s="19"/>
      <c r="AF3617" s="19"/>
      <c r="AG3617" s="19"/>
      <c r="AH3617" s="19"/>
      <c r="AI3617" s="19"/>
      <c r="AJ3617" s="19"/>
      <c r="AK3617" s="19"/>
      <c r="AL3617" s="6" t="str">
        <f t="array" ref="AL3617">IFERROR(IFS(XLOOKUP(B3617, 'Kit Delivery Status'!$U:$U, 'Kit Delivery Status'!$K:$K) = "Complete", "DELIVERED", XLOOKUP(B3617, 'Kit Delivery Status'!$U:$U, 'Kit Delivery Status'!$K:$K) = "Issue", "ISSUE"), "")</f>
        <v/>
      </c>
      <c r="AM3617" s="6"/>
    </row>
    <row r="3618">
      <c r="A3618" s="19"/>
      <c r="B3618" s="19"/>
      <c r="C3618" s="19"/>
      <c r="D3618" s="42"/>
      <c r="E3618" s="19"/>
      <c r="F3618" s="19"/>
      <c r="G3618" s="19"/>
      <c r="H3618" s="19"/>
      <c r="I3618" s="19"/>
      <c r="J3618" s="19"/>
      <c r="K3618" s="19"/>
      <c r="L3618" s="19"/>
      <c r="M3618" s="19"/>
      <c r="N3618" s="19"/>
      <c r="O3618" s="43"/>
      <c r="P3618" s="19"/>
      <c r="Q3618" s="19"/>
      <c r="R3618" s="19"/>
      <c r="S3618" s="19"/>
      <c r="T3618" s="19"/>
      <c r="U3618" s="19"/>
      <c r="V3618" s="44"/>
      <c r="W3618" s="19"/>
      <c r="X3618" s="19"/>
      <c r="Y3618" s="19"/>
      <c r="Z3618" s="19"/>
      <c r="AA3618" s="19"/>
      <c r="AB3618" s="19"/>
      <c r="AC3618" s="19"/>
      <c r="AD3618" s="19"/>
      <c r="AE3618" s="19"/>
      <c r="AF3618" s="19"/>
      <c r="AG3618" s="19"/>
      <c r="AH3618" s="19"/>
      <c r="AI3618" s="19"/>
      <c r="AJ3618" s="19"/>
      <c r="AK3618" s="19"/>
      <c r="AL3618" s="6" t="str">
        <f t="array" ref="AL3618">IFERROR(IFS(XLOOKUP(B3618, 'Kit Delivery Status'!$U:$U, 'Kit Delivery Status'!$K:$K) = "Complete", "DELIVERED", XLOOKUP(B3618, 'Kit Delivery Status'!$U:$U, 'Kit Delivery Status'!$K:$K) = "Issue", "ISSUE"), "")</f>
        <v/>
      </c>
      <c r="AM3618" s="6"/>
    </row>
    <row r="3619">
      <c r="A3619" s="19"/>
      <c r="B3619" s="19"/>
      <c r="C3619" s="19"/>
      <c r="D3619" s="42"/>
      <c r="E3619" s="19"/>
      <c r="F3619" s="19"/>
      <c r="G3619" s="19"/>
      <c r="H3619" s="19"/>
      <c r="I3619" s="19"/>
      <c r="J3619" s="19"/>
      <c r="K3619" s="19"/>
      <c r="L3619" s="19"/>
      <c r="M3619" s="19"/>
      <c r="N3619" s="19"/>
      <c r="O3619" s="43"/>
      <c r="P3619" s="19"/>
      <c r="Q3619" s="19"/>
      <c r="R3619" s="19"/>
      <c r="S3619" s="19"/>
      <c r="T3619" s="19"/>
      <c r="U3619" s="19"/>
      <c r="V3619" s="44"/>
      <c r="W3619" s="19"/>
      <c r="X3619" s="19"/>
      <c r="Y3619" s="19"/>
      <c r="Z3619" s="19"/>
      <c r="AA3619" s="19"/>
      <c r="AB3619" s="19"/>
      <c r="AC3619" s="19"/>
      <c r="AD3619" s="19"/>
      <c r="AE3619" s="19"/>
      <c r="AF3619" s="19"/>
      <c r="AG3619" s="19"/>
      <c r="AH3619" s="19"/>
      <c r="AI3619" s="19"/>
      <c r="AJ3619" s="19"/>
      <c r="AK3619" s="19"/>
      <c r="AL3619" s="6" t="str">
        <f t="array" ref="AL3619">IFERROR(IFS(XLOOKUP(B3619, 'Kit Delivery Status'!$U:$U, 'Kit Delivery Status'!$K:$K) = "Complete", "DELIVERED", XLOOKUP(B3619, 'Kit Delivery Status'!$U:$U, 'Kit Delivery Status'!$K:$K) = "Issue", "ISSUE"), "")</f>
        <v/>
      </c>
      <c r="AM3619" s="6"/>
    </row>
    <row r="3620">
      <c r="A3620" s="19"/>
      <c r="B3620" s="19"/>
      <c r="C3620" s="19"/>
      <c r="D3620" s="42"/>
      <c r="E3620" s="19"/>
      <c r="F3620" s="19"/>
      <c r="G3620" s="19"/>
      <c r="H3620" s="19"/>
      <c r="I3620" s="19"/>
      <c r="J3620" s="19"/>
      <c r="K3620" s="19"/>
      <c r="L3620" s="19"/>
      <c r="M3620" s="19"/>
      <c r="N3620" s="19"/>
      <c r="O3620" s="43"/>
      <c r="P3620" s="19"/>
      <c r="Q3620" s="19"/>
      <c r="R3620" s="19"/>
      <c r="S3620" s="19"/>
      <c r="T3620" s="19"/>
      <c r="U3620" s="19"/>
      <c r="V3620" s="44"/>
      <c r="W3620" s="19"/>
      <c r="X3620" s="19"/>
      <c r="Y3620" s="19"/>
      <c r="Z3620" s="19"/>
      <c r="AA3620" s="19"/>
      <c r="AB3620" s="19"/>
      <c r="AC3620" s="19"/>
      <c r="AD3620" s="19"/>
      <c r="AE3620" s="19"/>
      <c r="AF3620" s="19"/>
      <c r="AG3620" s="19"/>
      <c r="AH3620" s="19"/>
      <c r="AI3620" s="19"/>
      <c r="AJ3620" s="19"/>
      <c r="AK3620" s="19"/>
      <c r="AL3620" s="6" t="str">
        <f t="array" ref="AL3620">IFERROR(IFS(XLOOKUP(B3620, 'Kit Delivery Status'!$U:$U, 'Kit Delivery Status'!$K:$K) = "Complete", "DELIVERED", XLOOKUP(B3620, 'Kit Delivery Status'!$U:$U, 'Kit Delivery Status'!$K:$K) = "Issue", "ISSUE"), "")</f>
        <v/>
      </c>
      <c r="AM3620" s="6"/>
    </row>
    <row r="3621">
      <c r="A3621" s="19"/>
      <c r="B3621" s="19"/>
      <c r="C3621" s="19"/>
      <c r="D3621" s="42"/>
      <c r="E3621" s="19"/>
      <c r="F3621" s="19"/>
      <c r="G3621" s="19"/>
      <c r="H3621" s="19"/>
      <c r="I3621" s="19"/>
      <c r="J3621" s="19"/>
      <c r="K3621" s="19"/>
      <c r="L3621" s="19"/>
      <c r="M3621" s="19"/>
      <c r="N3621" s="19"/>
      <c r="O3621" s="43"/>
      <c r="P3621" s="19"/>
      <c r="Q3621" s="19"/>
      <c r="R3621" s="19"/>
      <c r="S3621" s="19"/>
      <c r="T3621" s="19"/>
      <c r="U3621" s="19"/>
      <c r="V3621" s="44"/>
      <c r="W3621" s="19"/>
      <c r="X3621" s="19"/>
      <c r="Y3621" s="19"/>
      <c r="Z3621" s="19"/>
      <c r="AA3621" s="19"/>
      <c r="AB3621" s="19"/>
      <c r="AC3621" s="19"/>
      <c r="AD3621" s="19"/>
      <c r="AE3621" s="19"/>
      <c r="AF3621" s="19"/>
      <c r="AG3621" s="19"/>
      <c r="AH3621" s="19"/>
      <c r="AI3621" s="19"/>
      <c r="AJ3621" s="19"/>
      <c r="AK3621" s="19"/>
      <c r="AL3621" s="6" t="str">
        <f t="array" ref="AL3621">IFERROR(IFS(XLOOKUP(B3621, 'Kit Delivery Status'!$U:$U, 'Kit Delivery Status'!$K:$K) = "Complete", "DELIVERED", XLOOKUP(B3621, 'Kit Delivery Status'!$U:$U, 'Kit Delivery Status'!$K:$K) = "Issue", "ISSUE"), "")</f>
        <v/>
      </c>
      <c r="AM3621" s="6"/>
    </row>
    <row r="3622">
      <c r="A3622" s="19"/>
      <c r="B3622" s="19"/>
      <c r="C3622" s="19"/>
      <c r="D3622" s="42"/>
      <c r="E3622" s="19"/>
      <c r="F3622" s="19"/>
      <c r="G3622" s="19"/>
      <c r="H3622" s="19"/>
      <c r="I3622" s="19"/>
      <c r="J3622" s="19"/>
      <c r="K3622" s="19"/>
      <c r="L3622" s="19"/>
      <c r="M3622" s="19"/>
      <c r="N3622" s="19"/>
      <c r="O3622" s="43"/>
      <c r="P3622" s="19"/>
      <c r="Q3622" s="19"/>
      <c r="R3622" s="19"/>
      <c r="S3622" s="19"/>
      <c r="T3622" s="19"/>
      <c r="U3622" s="19"/>
      <c r="V3622" s="44"/>
      <c r="W3622" s="19"/>
      <c r="X3622" s="19"/>
      <c r="Y3622" s="19"/>
      <c r="Z3622" s="19"/>
      <c r="AA3622" s="19"/>
      <c r="AB3622" s="19"/>
      <c r="AC3622" s="19"/>
      <c r="AD3622" s="19"/>
      <c r="AE3622" s="19"/>
      <c r="AF3622" s="19"/>
      <c r="AG3622" s="19"/>
      <c r="AH3622" s="19"/>
      <c r="AI3622" s="19"/>
      <c r="AJ3622" s="19"/>
      <c r="AK3622" s="19"/>
      <c r="AL3622" s="6" t="str">
        <f t="array" ref="AL3622">IFERROR(IFS(XLOOKUP(B3622, 'Kit Delivery Status'!$U:$U, 'Kit Delivery Status'!$K:$K) = "Complete", "DELIVERED", XLOOKUP(B3622, 'Kit Delivery Status'!$U:$U, 'Kit Delivery Status'!$K:$K) = "Issue", "ISSUE"), "")</f>
        <v/>
      </c>
      <c r="AM3622" s="6"/>
    </row>
    <row r="3623">
      <c r="A3623" s="19"/>
      <c r="B3623" s="19"/>
      <c r="C3623" s="19"/>
      <c r="D3623" s="42"/>
      <c r="E3623" s="19"/>
      <c r="F3623" s="19"/>
      <c r="G3623" s="19"/>
      <c r="H3623" s="19"/>
      <c r="I3623" s="19"/>
      <c r="J3623" s="19"/>
      <c r="K3623" s="19"/>
      <c r="L3623" s="19"/>
      <c r="M3623" s="19"/>
      <c r="N3623" s="19"/>
      <c r="O3623" s="43"/>
      <c r="P3623" s="19"/>
      <c r="Q3623" s="19"/>
      <c r="R3623" s="19"/>
      <c r="S3623" s="19"/>
      <c r="T3623" s="19"/>
      <c r="U3623" s="19"/>
      <c r="V3623" s="44"/>
      <c r="W3623" s="19"/>
      <c r="X3623" s="19"/>
      <c r="Y3623" s="19"/>
      <c r="Z3623" s="19"/>
      <c r="AA3623" s="19"/>
      <c r="AB3623" s="19"/>
      <c r="AC3623" s="19"/>
      <c r="AD3623" s="19"/>
      <c r="AE3623" s="19"/>
      <c r="AF3623" s="19"/>
      <c r="AG3623" s="19"/>
      <c r="AH3623" s="19"/>
      <c r="AI3623" s="19"/>
      <c r="AJ3623" s="19"/>
      <c r="AK3623" s="19"/>
      <c r="AL3623" s="6" t="str">
        <f t="array" ref="AL3623">IFERROR(IFS(XLOOKUP(B3623, 'Kit Delivery Status'!$U:$U, 'Kit Delivery Status'!$K:$K) = "Complete", "DELIVERED", XLOOKUP(B3623, 'Kit Delivery Status'!$U:$U, 'Kit Delivery Status'!$K:$K) = "Issue", "ISSUE"), "")</f>
        <v/>
      </c>
      <c r="AM3623" s="6"/>
    </row>
    <row r="3624">
      <c r="A3624" s="19"/>
      <c r="B3624" s="19"/>
      <c r="C3624" s="19"/>
      <c r="D3624" s="42"/>
      <c r="E3624" s="19"/>
      <c r="F3624" s="19"/>
      <c r="G3624" s="19"/>
      <c r="H3624" s="19"/>
      <c r="I3624" s="19"/>
      <c r="J3624" s="19"/>
      <c r="K3624" s="19"/>
      <c r="L3624" s="19"/>
      <c r="M3624" s="19"/>
      <c r="N3624" s="19"/>
      <c r="O3624" s="43"/>
      <c r="P3624" s="19"/>
      <c r="Q3624" s="19"/>
      <c r="R3624" s="19"/>
      <c r="S3624" s="19"/>
      <c r="T3624" s="19"/>
      <c r="U3624" s="19"/>
      <c r="V3624" s="44"/>
      <c r="W3624" s="19"/>
      <c r="X3624" s="19"/>
      <c r="Y3624" s="19"/>
      <c r="Z3624" s="19"/>
      <c r="AA3624" s="19"/>
      <c r="AB3624" s="19"/>
      <c r="AC3624" s="19"/>
      <c r="AD3624" s="19"/>
      <c r="AE3624" s="19"/>
      <c r="AF3624" s="19"/>
      <c r="AG3624" s="19"/>
      <c r="AH3624" s="19"/>
      <c r="AI3624" s="19"/>
      <c r="AJ3624" s="19"/>
      <c r="AK3624" s="19"/>
      <c r="AL3624" s="6" t="str">
        <f t="array" ref="AL3624">IFERROR(IFS(XLOOKUP(B3624, 'Kit Delivery Status'!$U:$U, 'Kit Delivery Status'!$K:$K) = "Complete", "DELIVERED", XLOOKUP(B3624, 'Kit Delivery Status'!$U:$U, 'Kit Delivery Status'!$K:$K) = "Issue", "ISSUE"), "")</f>
        <v/>
      </c>
      <c r="AM3624" s="6"/>
    </row>
    <row r="3625">
      <c r="A3625" s="19"/>
      <c r="B3625" s="19"/>
      <c r="C3625" s="19"/>
      <c r="D3625" s="42"/>
      <c r="E3625" s="19"/>
      <c r="F3625" s="19"/>
      <c r="G3625" s="19"/>
      <c r="H3625" s="19"/>
      <c r="I3625" s="19"/>
      <c r="J3625" s="19"/>
      <c r="K3625" s="19"/>
      <c r="L3625" s="19"/>
      <c r="M3625" s="19"/>
      <c r="N3625" s="19"/>
      <c r="O3625" s="43"/>
      <c r="P3625" s="19"/>
      <c r="Q3625" s="19"/>
      <c r="R3625" s="19"/>
      <c r="S3625" s="19"/>
      <c r="T3625" s="19"/>
      <c r="U3625" s="19"/>
      <c r="V3625" s="44"/>
      <c r="W3625" s="19"/>
      <c r="X3625" s="19"/>
      <c r="Y3625" s="19"/>
      <c r="Z3625" s="19"/>
      <c r="AA3625" s="19"/>
      <c r="AB3625" s="19"/>
      <c r="AC3625" s="19"/>
      <c r="AD3625" s="19"/>
      <c r="AE3625" s="19"/>
      <c r="AF3625" s="19"/>
      <c r="AG3625" s="19"/>
      <c r="AH3625" s="19"/>
      <c r="AI3625" s="19"/>
      <c r="AJ3625" s="19"/>
      <c r="AK3625" s="19"/>
      <c r="AL3625" s="6" t="str">
        <f t="array" ref="AL3625">IFERROR(IFS(XLOOKUP(B3625, 'Kit Delivery Status'!$U:$U, 'Kit Delivery Status'!$K:$K) = "Complete", "DELIVERED", XLOOKUP(B3625, 'Kit Delivery Status'!$U:$U, 'Kit Delivery Status'!$K:$K) = "Issue", "ISSUE"), "")</f>
        <v/>
      </c>
      <c r="AM3625" s="6"/>
    </row>
    <row r="3626">
      <c r="A3626" s="19"/>
      <c r="B3626" s="19"/>
      <c r="C3626" s="19"/>
      <c r="D3626" s="42"/>
      <c r="E3626" s="19"/>
      <c r="F3626" s="19"/>
      <c r="G3626" s="19"/>
      <c r="H3626" s="19"/>
      <c r="I3626" s="19"/>
      <c r="J3626" s="19"/>
      <c r="K3626" s="19"/>
      <c r="L3626" s="19"/>
      <c r="M3626" s="19"/>
      <c r="N3626" s="19"/>
      <c r="O3626" s="43"/>
      <c r="P3626" s="19"/>
      <c r="Q3626" s="19"/>
      <c r="R3626" s="19"/>
      <c r="S3626" s="19"/>
      <c r="T3626" s="19"/>
      <c r="U3626" s="19"/>
      <c r="V3626" s="44"/>
      <c r="W3626" s="19"/>
      <c r="X3626" s="19"/>
      <c r="Y3626" s="19"/>
      <c r="Z3626" s="19"/>
      <c r="AA3626" s="19"/>
      <c r="AB3626" s="19"/>
      <c r="AC3626" s="19"/>
      <c r="AD3626" s="19"/>
      <c r="AE3626" s="19"/>
      <c r="AF3626" s="19"/>
      <c r="AG3626" s="19"/>
      <c r="AH3626" s="19"/>
      <c r="AI3626" s="19"/>
      <c r="AJ3626" s="19"/>
      <c r="AK3626" s="19"/>
      <c r="AL3626" s="6" t="str">
        <f t="array" ref="AL3626">IFERROR(IFS(XLOOKUP(B3626, 'Kit Delivery Status'!$U:$U, 'Kit Delivery Status'!$K:$K) = "Complete", "DELIVERED", XLOOKUP(B3626, 'Kit Delivery Status'!$U:$U, 'Kit Delivery Status'!$K:$K) = "Issue", "ISSUE"), "")</f>
        <v/>
      </c>
      <c r="AM3626" s="6"/>
    </row>
    <row r="3627">
      <c r="A3627" s="19"/>
      <c r="B3627" s="19"/>
      <c r="C3627" s="19"/>
      <c r="D3627" s="42"/>
      <c r="E3627" s="19"/>
      <c r="F3627" s="19"/>
      <c r="G3627" s="19"/>
      <c r="H3627" s="19"/>
      <c r="I3627" s="19"/>
      <c r="J3627" s="19"/>
      <c r="K3627" s="19"/>
      <c r="L3627" s="19"/>
      <c r="M3627" s="19"/>
      <c r="N3627" s="19"/>
      <c r="O3627" s="43"/>
      <c r="P3627" s="19"/>
      <c r="Q3627" s="19"/>
      <c r="R3627" s="19"/>
      <c r="S3627" s="19"/>
      <c r="T3627" s="19"/>
      <c r="U3627" s="19"/>
      <c r="V3627" s="44"/>
      <c r="W3627" s="19"/>
      <c r="X3627" s="19"/>
      <c r="Y3627" s="19"/>
      <c r="Z3627" s="19"/>
      <c r="AA3627" s="19"/>
      <c r="AB3627" s="19"/>
      <c r="AC3627" s="19"/>
      <c r="AD3627" s="19"/>
      <c r="AE3627" s="19"/>
      <c r="AF3627" s="19"/>
      <c r="AG3627" s="19"/>
      <c r="AH3627" s="19"/>
      <c r="AI3627" s="19"/>
      <c r="AJ3627" s="19"/>
      <c r="AK3627" s="19"/>
      <c r="AL3627" s="6" t="str">
        <f t="array" ref="AL3627">IFERROR(IFS(XLOOKUP(B3627, 'Kit Delivery Status'!$U:$U, 'Kit Delivery Status'!$K:$K) = "Complete", "DELIVERED", XLOOKUP(B3627, 'Kit Delivery Status'!$U:$U, 'Kit Delivery Status'!$K:$K) = "Issue", "ISSUE"), "")</f>
        <v/>
      </c>
      <c r="AM3627" s="6"/>
    </row>
    <row r="3628">
      <c r="A3628" s="19"/>
      <c r="B3628" s="19"/>
      <c r="C3628" s="19"/>
      <c r="D3628" s="42"/>
      <c r="E3628" s="19"/>
      <c r="F3628" s="19"/>
      <c r="G3628" s="19"/>
      <c r="H3628" s="19"/>
      <c r="I3628" s="19"/>
      <c r="J3628" s="19"/>
      <c r="K3628" s="19"/>
      <c r="L3628" s="19"/>
      <c r="M3628" s="19"/>
      <c r="N3628" s="19"/>
      <c r="O3628" s="43"/>
      <c r="P3628" s="19"/>
      <c r="Q3628" s="19"/>
      <c r="R3628" s="19"/>
      <c r="S3628" s="19"/>
      <c r="T3628" s="19"/>
      <c r="U3628" s="19"/>
      <c r="V3628" s="44"/>
      <c r="W3628" s="19"/>
      <c r="X3628" s="19"/>
      <c r="Y3628" s="19"/>
      <c r="Z3628" s="19"/>
      <c r="AA3628" s="19"/>
      <c r="AB3628" s="19"/>
      <c r="AC3628" s="19"/>
      <c r="AD3628" s="19"/>
      <c r="AE3628" s="19"/>
      <c r="AF3628" s="19"/>
      <c r="AG3628" s="19"/>
      <c r="AH3628" s="19"/>
      <c r="AI3628" s="19"/>
      <c r="AJ3628" s="19"/>
      <c r="AK3628" s="19"/>
      <c r="AL3628" s="6" t="str">
        <f t="array" ref="AL3628">IFERROR(IFS(XLOOKUP(B3628, 'Kit Delivery Status'!$U:$U, 'Kit Delivery Status'!$K:$K) = "Complete", "DELIVERED", XLOOKUP(B3628, 'Kit Delivery Status'!$U:$U, 'Kit Delivery Status'!$K:$K) = "Issue", "ISSUE"), "")</f>
        <v/>
      </c>
      <c r="AM3628" s="6"/>
    </row>
    <row r="3629">
      <c r="A3629" s="19"/>
      <c r="B3629" s="19"/>
      <c r="C3629" s="19"/>
      <c r="D3629" s="42"/>
      <c r="E3629" s="19"/>
      <c r="F3629" s="19"/>
      <c r="G3629" s="19"/>
      <c r="H3629" s="19"/>
      <c r="I3629" s="19"/>
      <c r="J3629" s="19"/>
      <c r="K3629" s="19"/>
      <c r="L3629" s="19"/>
      <c r="M3629" s="19"/>
      <c r="N3629" s="19"/>
      <c r="O3629" s="43"/>
      <c r="P3629" s="19"/>
      <c r="Q3629" s="19"/>
      <c r="R3629" s="19"/>
      <c r="S3629" s="19"/>
      <c r="T3629" s="19"/>
      <c r="U3629" s="19"/>
      <c r="V3629" s="44"/>
      <c r="W3629" s="19"/>
      <c r="X3629" s="19"/>
      <c r="Y3629" s="19"/>
      <c r="Z3629" s="19"/>
      <c r="AA3629" s="19"/>
      <c r="AB3629" s="19"/>
      <c r="AC3629" s="19"/>
      <c r="AD3629" s="19"/>
      <c r="AE3629" s="19"/>
      <c r="AF3629" s="19"/>
      <c r="AG3629" s="19"/>
      <c r="AH3629" s="19"/>
      <c r="AI3629" s="19"/>
      <c r="AJ3629" s="19"/>
      <c r="AK3629" s="19"/>
      <c r="AL3629" s="6" t="str">
        <f t="array" ref="AL3629">IFERROR(IFS(XLOOKUP(B3629, 'Kit Delivery Status'!$U:$U, 'Kit Delivery Status'!$K:$K) = "Complete", "DELIVERED", XLOOKUP(B3629, 'Kit Delivery Status'!$U:$U, 'Kit Delivery Status'!$K:$K) = "Issue", "ISSUE"), "")</f>
        <v/>
      </c>
      <c r="AM3629" s="6"/>
    </row>
    <row r="3630">
      <c r="A3630" s="19"/>
      <c r="B3630" s="19"/>
      <c r="C3630" s="19"/>
      <c r="D3630" s="42"/>
      <c r="E3630" s="19"/>
      <c r="F3630" s="19"/>
      <c r="G3630" s="19"/>
      <c r="H3630" s="19"/>
      <c r="I3630" s="19"/>
      <c r="J3630" s="19"/>
      <c r="K3630" s="19"/>
      <c r="L3630" s="19"/>
      <c r="M3630" s="19"/>
      <c r="N3630" s="19"/>
      <c r="O3630" s="43"/>
      <c r="P3630" s="19"/>
      <c r="Q3630" s="19"/>
      <c r="R3630" s="19"/>
      <c r="S3630" s="19"/>
      <c r="T3630" s="19"/>
      <c r="U3630" s="19"/>
      <c r="V3630" s="44"/>
      <c r="W3630" s="19"/>
      <c r="X3630" s="19"/>
      <c r="Y3630" s="19"/>
      <c r="Z3630" s="19"/>
      <c r="AA3630" s="19"/>
      <c r="AB3630" s="19"/>
      <c r="AC3630" s="19"/>
      <c r="AD3630" s="19"/>
      <c r="AE3630" s="19"/>
      <c r="AF3630" s="19"/>
      <c r="AG3630" s="19"/>
      <c r="AH3630" s="19"/>
      <c r="AI3630" s="19"/>
      <c r="AJ3630" s="19"/>
      <c r="AK3630" s="19"/>
      <c r="AL3630" s="6" t="str">
        <f t="array" ref="AL3630">IFERROR(IFS(XLOOKUP(B3630, 'Kit Delivery Status'!$U:$U, 'Kit Delivery Status'!$K:$K) = "Complete", "DELIVERED", XLOOKUP(B3630, 'Kit Delivery Status'!$U:$U, 'Kit Delivery Status'!$K:$K) = "Issue", "ISSUE"), "")</f>
        <v/>
      </c>
      <c r="AM3630" s="6"/>
    </row>
    <row r="3631">
      <c r="A3631" s="19"/>
      <c r="B3631" s="19"/>
      <c r="C3631" s="19"/>
      <c r="D3631" s="42"/>
      <c r="E3631" s="19"/>
      <c r="F3631" s="19"/>
      <c r="G3631" s="19"/>
      <c r="H3631" s="19"/>
      <c r="I3631" s="19"/>
      <c r="J3631" s="19"/>
      <c r="K3631" s="19"/>
      <c r="L3631" s="19"/>
      <c r="M3631" s="19"/>
      <c r="N3631" s="19"/>
      <c r="O3631" s="43"/>
      <c r="P3631" s="19"/>
      <c r="Q3631" s="19"/>
      <c r="R3631" s="19"/>
      <c r="S3631" s="19"/>
      <c r="T3631" s="19"/>
      <c r="U3631" s="19"/>
      <c r="V3631" s="44"/>
      <c r="W3631" s="19"/>
      <c r="X3631" s="19"/>
      <c r="Y3631" s="19"/>
      <c r="Z3631" s="19"/>
      <c r="AA3631" s="19"/>
      <c r="AB3631" s="19"/>
      <c r="AC3631" s="19"/>
      <c r="AD3631" s="19"/>
      <c r="AE3631" s="19"/>
      <c r="AF3631" s="19"/>
      <c r="AG3631" s="19"/>
      <c r="AH3631" s="19"/>
      <c r="AI3631" s="19"/>
      <c r="AJ3631" s="19"/>
      <c r="AK3631" s="19"/>
      <c r="AL3631" s="6" t="str">
        <f t="array" ref="AL3631">IFERROR(IFS(XLOOKUP(B3631, 'Kit Delivery Status'!$U:$U, 'Kit Delivery Status'!$K:$K) = "Complete", "DELIVERED", XLOOKUP(B3631, 'Kit Delivery Status'!$U:$U, 'Kit Delivery Status'!$K:$K) = "Issue", "ISSUE"), "")</f>
        <v/>
      </c>
      <c r="AM3631" s="6"/>
    </row>
    <row r="3632">
      <c r="A3632" s="19"/>
      <c r="B3632" s="19"/>
      <c r="C3632" s="19"/>
      <c r="D3632" s="42"/>
      <c r="E3632" s="19"/>
      <c r="F3632" s="19"/>
      <c r="G3632" s="19"/>
      <c r="H3632" s="19"/>
      <c r="I3632" s="19"/>
      <c r="J3632" s="19"/>
      <c r="K3632" s="19"/>
      <c r="L3632" s="19"/>
      <c r="M3632" s="19"/>
      <c r="N3632" s="19"/>
      <c r="O3632" s="43"/>
      <c r="P3632" s="19"/>
      <c r="Q3632" s="19"/>
      <c r="R3632" s="19"/>
      <c r="S3632" s="19"/>
      <c r="T3632" s="19"/>
      <c r="U3632" s="19"/>
      <c r="V3632" s="44"/>
      <c r="W3632" s="19"/>
      <c r="X3632" s="19"/>
      <c r="Y3632" s="19"/>
      <c r="Z3632" s="19"/>
      <c r="AA3632" s="19"/>
      <c r="AB3632" s="19"/>
      <c r="AC3632" s="19"/>
      <c r="AD3632" s="19"/>
      <c r="AE3632" s="19"/>
      <c r="AF3632" s="19"/>
      <c r="AG3632" s="19"/>
      <c r="AH3632" s="19"/>
      <c r="AI3632" s="19"/>
      <c r="AJ3632" s="19"/>
      <c r="AK3632" s="19"/>
      <c r="AL3632" s="6" t="str">
        <f t="array" ref="AL3632">IFERROR(IFS(XLOOKUP(B3632, 'Kit Delivery Status'!$U:$U, 'Kit Delivery Status'!$K:$K) = "Complete", "DELIVERED", XLOOKUP(B3632, 'Kit Delivery Status'!$U:$U, 'Kit Delivery Status'!$K:$K) = "Issue", "ISSUE"), "")</f>
        <v/>
      </c>
      <c r="AM3632" s="6"/>
    </row>
    <row r="3633">
      <c r="A3633" s="19"/>
      <c r="B3633" s="19"/>
      <c r="C3633" s="19"/>
      <c r="D3633" s="42"/>
      <c r="E3633" s="19"/>
      <c r="F3633" s="19"/>
      <c r="G3633" s="19"/>
      <c r="H3633" s="19"/>
      <c r="I3633" s="19"/>
      <c r="J3633" s="19"/>
      <c r="K3633" s="19"/>
      <c r="L3633" s="19"/>
      <c r="M3633" s="19"/>
      <c r="N3633" s="19"/>
      <c r="O3633" s="43"/>
      <c r="P3633" s="19"/>
      <c r="Q3633" s="19"/>
      <c r="R3633" s="19"/>
      <c r="S3633" s="19"/>
      <c r="T3633" s="19"/>
      <c r="U3633" s="19"/>
      <c r="V3633" s="44"/>
      <c r="W3633" s="19"/>
      <c r="X3633" s="19"/>
      <c r="Y3633" s="19"/>
      <c r="Z3633" s="19"/>
      <c r="AA3633" s="19"/>
      <c r="AB3633" s="19"/>
      <c r="AC3633" s="19"/>
      <c r="AD3633" s="19"/>
      <c r="AE3633" s="19"/>
      <c r="AF3633" s="19"/>
      <c r="AG3633" s="19"/>
      <c r="AH3633" s="19"/>
      <c r="AI3633" s="19"/>
      <c r="AJ3633" s="19"/>
      <c r="AK3633" s="19"/>
      <c r="AL3633" s="6" t="str">
        <f t="array" ref="AL3633">IFERROR(IFS(XLOOKUP(B3633, 'Kit Delivery Status'!$U:$U, 'Kit Delivery Status'!$K:$K) = "Complete", "DELIVERED", XLOOKUP(B3633, 'Kit Delivery Status'!$U:$U, 'Kit Delivery Status'!$K:$K) = "Issue", "ISSUE"), "")</f>
        <v/>
      </c>
      <c r="AM3633" s="6"/>
    </row>
    <row r="3634">
      <c r="A3634" s="19"/>
      <c r="B3634" s="19"/>
      <c r="C3634" s="19"/>
      <c r="D3634" s="42"/>
      <c r="E3634" s="19"/>
      <c r="F3634" s="19"/>
      <c r="G3634" s="19"/>
      <c r="H3634" s="19"/>
      <c r="I3634" s="19"/>
      <c r="J3634" s="19"/>
      <c r="K3634" s="19"/>
      <c r="L3634" s="19"/>
      <c r="M3634" s="19"/>
      <c r="N3634" s="19"/>
      <c r="O3634" s="43"/>
      <c r="P3634" s="19"/>
      <c r="Q3634" s="19"/>
      <c r="R3634" s="19"/>
      <c r="S3634" s="19"/>
      <c r="T3634" s="19"/>
      <c r="U3634" s="19"/>
      <c r="V3634" s="44"/>
      <c r="W3634" s="19"/>
      <c r="X3634" s="19"/>
      <c r="Y3634" s="19"/>
      <c r="Z3634" s="19"/>
      <c r="AA3634" s="19"/>
      <c r="AB3634" s="19"/>
      <c r="AC3634" s="19"/>
      <c r="AD3634" s="19"/>
      <c r="AE3634" s="19"/>
      <c r="AF3634" s="19"/>
      <c r="AG3634" s="19"/>
      <c r="AH3634" s="19"/>
      <c r="AI3634" s="19"/>
      <c r="AJ3634" s="19"/>
      <c r="AK3634" s="19"/>
      <c r="AL3634" s="6" t="str">
        <f t="array" ref="AL3634">IFERROR(IFS(XLOOKUP(B3634, 'Kit Delivery Status'!$U:$U, 'Kit Delivery Status'!$K:$K) = "Complete", "DELIVERED", XLOOKUP(B3634, 'Kit Delivery Status'!$U:$U, 'Kit Delivery Status'!$K:$K) = "Issue", "ISSUE"), "")</f>
        <v/>
      </c>
      <c r="AM3634" s="6"/>
    </row>
    <row r="3635">
      <c r="A3635" s="19"/>
      <c r="B3635" s="19"/>
      <c r="C3635" s="19"/>
      <c r="D3635" s="42"/>
      <c r="E3635" s="19"/>
      <c r="F3635" s="19"/>
      <c r="G3635" s="19"/>
      <c r="H3635" s="19"/>
      <c r="I3635" s="19"/>
      <c r="J3635" s="19"/>
      <c r="K3635" s="19"/>
      <c r="L3635" s="19"/>
      <c r="M3635" s="19"/>
      <c r="N3635" s="19"/>
      <c r="O3635" s="43"/>
      <c r="P3635" s="19"/>
      <c r="Q3635" s="19"/>
      <c r="R3635" s="19"/>
      <c r="S3635" s="19"/>
      <c r="T3635" s="19"/>
      <c r="U3635" s="19"/>
      <c r="V3635" s="44"/>
      <c r="W3635" s="19"/>
      <c r="X3635" s="19"/>
      <c r="Y3635" s="19"/>
      <c r="Z3635" s="19"/>
      <c r="AA3635" s="19"/>
      <c r="AB3635" s="19"/>
      <c r="AC3635" s="19"/>
      <c r="AD3635" s="19"/>
      <c r="AE3635" s="19"/>
      <c r="AF3635" s="19"/>
      <c r="AG3635" s="19"/>
      <c r="AH3635" s="19"/>
      <c r="AI3635" s="19"/>
      <c r="AJ3635" s="19"/>
      <c r="AK3635" s="19"/>
      <c r="AL3635" s="6" t="str">
        <f t="array" ref="AL3635">IFERROR(IFS(XLOOKUP(B3635, 'Kit Delivery Status'!$U:$U, 'Kit Delivery Status'!$K:$K) = "Complete", "DELIVERED", XLOOKUP(B3635, 'Kit Delivery Status'!$U:$U, 'Kit Delivery Status'!$K:$K) = "Issue", "ISSUE"), "")</f>
        <v/>
      </c>
      <c r="AM3635" s="6"/>
    </row>
    <row r="3636">
      <c r="A3636" s="19"/>
      <c r="B3636" s="19"/>
      <c r="C3636" s="19"/>
      <c r="D3636" s="42"/>
      <c r="E3636" s="19"/>
      <c r="F3636" s="19"/>
      <c r="G3636" s="19"/>
      <c r="H3636" s="19"/>
      <c r="I3636" s="19"/>
      <c r="J3636" s="19"/>
      <c r="K3636" s="19"/>
      <c r="L3636" s="19"/>
      <c r="M3636" s="19"/>
      <c r="N3636" s="19"/>
      <c r="O3636" s="43"/>
      <c r="P3636" s="19"/>
      <c r="Q3636" s="19"/>
      <c r="R3636" s="19"/>
      <c r="S3636" s="19"/>
      <c r="T3636" s="19"/>
      <c r="U3636" s="19"/>
      <c r="V3636" s="44"/>
      <c r="W3636" s="19"/>
      <c r="X3636" s="19"/>
      <c r="Y3636" s="19"/>
      <c r="Z3636" s="19"/>
      <c r="AA3636" s="19"/>
      <c r="AB3636" s="19"/>
      <c r="AC3636" s="19"/>
      <c r="AD3636" s="19"/>
      <c r="AE3636" s="19"/>
      <c r="AF3636" s="19"/>
      <c r="AG3636" s="19"/>
      <c r="AH3636" s="19"/>
      <c r="AI3636" s="19"/>
      <c r="AJ3636" s="19"/>
      <c r="AK3636" s="19"/>
      <c r="AL3636" s="6" t="str">
        <f t="array" ref="AL3636">IFERROR(IFS(XLOOKUP(B3636, 'Kit Delivery Status'!$U:$U, 'Kit Delivery Status'!$K:$K) = "Complete", "DELIVERED", XLOOKUP(B3636, 'Kit Delivery Status'!$U:$U, 'Kit Delivery Status'!$K:$K) = "Issue", "ISSUE"), "")</f>
        <v/>
      </c>
      <c r="AM3636" s="6"/>
    </row>
    <row r="3637">
      <c r="A3637" s="19"/>
      <c r="B3637" s="19"/>
      <c r="C3637" s="19"/>
      <c r="D3637" s="42"/>
      <c r="E3637" s="19"/>
      <c r="F3637" s="19"/>
      <c r="G3637" s="19"/>
      <c r="H3637" s="19"/>
      <c r="I3637" s="19"/>
      <c r="J3637" s="19"/>
      <c r="K3637" s="19"/>
      <c r="L3637" s="19"/>
      <c r="M3637" s="19"/>
      <c r="N3637" s="19"/>
      <c r="O3637" s="43"/>
      <c r="P3637" s="19"/>
      <c r="Q3637" s="19"/>
      <c r="R3637" s="19"/>
      <c r="S3637" s="19"/>
      <c r="T3637" s="19"/>
      <c r="U3637" s="19"/>
      <c r="V3637" s="44"/>
      <c r="W3637" s="19"/>
      <c r="X3637" s="19"/>
      <c r="Y3637" s="19"/>
      <c r="Z3637" s="19"/>
      <c r="AA3637" s="19"/>
      <c r="AB3637" s="19"/>
      <c r="AC3637" s="19"/>
      <c r="AD3637" s="19"/>
      <c r="AE3637" s="19"/>
      <c r="AF3637" s="19"/>
      <c r="AG3637" s="19"/>
      <c r="AH3637" s="19"/>
      <c r="AI3637" s="19"/>
      <c r="AJ3637" s="19"/>
      <c r="AK3637" s="19"/>
      <c r="AL3637" s="6" t="str">
        <f t="array" ref="AL3637">IFERROR(IFS(XLOOKUP(B3637, 'Kit Delivery Status'!$U:$U, 'Kit Delivery Status'!$K:$K) = "Complete", "DELIVERED", XLOOKUP(B3637, 'Kit Delivery Status'!$U:$U, 'Kit Delivery Status'!$K:$K) = "Issue", "ISSUE"), "")</f>
        <v/>
      </c>
      <c r="AM3637" s="6"/>
    </row>
    <row r="3638">
      <c r="A3638" s="19"/>
      <c r="B3638" s="19"/>
      <c r="C3638" s="19"/>
      <c r="D3638" s="42"/>
      <c r="E3638" s="19"/>
      <c r="F3638" s="19"/>
      <c r="G3638" s="19"/>
      <c r="H3638" s="19"/>
      <c r="I3638" s="19"/>
      <c r="J3638" s="19"/>
      <c r="K3638" s="19"/>
      <c r="L3638" s="19"/>
      <c r="M3638" s="19"/>
      <c r="N3638" s="19"/>
      <c r="O3638" s="43"/>
      <c r="P3638" s="19"/>
      <c r="Q3638" s="19"/>
      <c r="R3638" s="19"/>
      <c r="S3638" s="19"/>
      <c r="T3638" s="19"/>
      <c r="U3638" s="19"/>
      <c r="V3638" s="44"/>
      <c r="W3638" s="19"/>
      <c r="X3638" s="19"/>
      <c r="Y3638" s="19"/>
      <c r="Z3638" s="19"/>
      <c r="AA3638" s="19"/>
      <c r="AB3638" s="19"/>
      <c r="AC3638" s="19"/>
      <c r="AD3638" s="19"/>
      <c r="AE3638" s="19"/>
      <c r="AF3638" s="19"/>
      <c r="AG3638" s="19"/>
      <c r="AH3638" s="19"/>
      <c r="AI3638" s="19"/>
      <c r="AJ3638" s="19"/>
      <c r="AK3638" s="19"/>
      <c r="AL3638" s="6" t="str">
        <f t="array" ref="AL3638">IFERROR(IFS(XLOOKUP(B3638, 'Kit Delivery Status'!$U:$U, 'Kit Delivery Status'!$K:$K) = "Complete", "DELIVERED", XLOOKUP(B3638, 'Kit Delivery Status'!$U:$U, 'Kit Delivery Status'!$K:$K) = "Issue", "ISSUE"), "")</f>
        <v/>
      </c>
      <c r="AM3638" s="6"/>
    </row>
    <row r="3639">
      <c r="A3639" s="19"/>
      <c r="B3639" s="19"/>
      <c r="C3639" s="19"/>
      <c r="D3639" s="42"/>
      <c r="E3639" s="19"/>
      <c r="F3639" s="19"/>
      <c r="G3639" s="19"/>
      <c r="H3639" s="19"/>
      <c r="I3639" s="19"/>
      <c r="J3639" s="19"/>
      <c r="K3639" s="19"/>
      <c r="L3639" s="19"/>
      <c r="M3639" s="19"/>
      <c r="N3639" s="19"/>
      <c r="O3639" s="43"/>
      <c r="P3639" s="19"/>
      <c r="Q3639" s="19"/>
      <c r="R3639" s="19"/>
      <c r="S3639" s="19"/>
      <c r="T3639" s="19"/>
      <c r="U3639" s="19"/>
      <c r="V3639" s="44"/>
      <c r="W3639" s="19"/>
      <c r="X3639" s="19"/>
      <c r="Y3639" s="19"/>
      <c r="Z3639" s="19"/>
      <c r="AA3639" s="19"/>
      <c r="AB3639" s="19"/>
      <c r="AC3639" s="19"/>
      <c r="AD3639" s="19"/>
      <c r="AE3639" s="19"/>
      <c r="AF3639" s="19"/>
      <c r="AG3639" s="19"/>
      <c r="AH3639" s="19"/>
      <c r="AI3639" s="19"/>
      <c r="AJ3639" s="19"/>
      <c r="AK3639" s="19"/>
      <c r="AL3639" s="6" t="str">
        <f t="array" ref="AL3639">IFERROR(IFS(XLOOKUP(B3639, 'Kit Delivery Status'!$U:$U, 'Kit Delivery Status'!$K:$K) = "Complete", "DELIVERED", XLOOKUP(B3639, 'Kit Delivery Status'!$U:$U, 'Kit Delivery Status'!$K:$K) = "Issue", "ISSUE"), "")</f>
        <v/>
      </c>
      <c r="AM3639" s="6"/>
    </row>
    <row r="3640">
      <c r="A3640" s="19"/>
      <c r="B3640" s="19"/>
      <c r="C3640" s="19"/>
      <c r="D3640" s="42"/>
      <c r="E3640" s="19"/>
      <c r="F3640" s="19"/>
      <c r="G3640" s="19"/>
      <c r="H3640" s="19"/>
      <c r="I3640" s="19"/>
      <c r="J3640" s="19"/>
      <c r="K3640" s="19"/>
      <c r="L3640" s="19"/>
      <c r="M3640" s="19"/>
      <c r="N3640" s="19"/>
      <c r="O3640" s="43"/>
      <c r="P3640" s="19"/>
      <c r="Q3640" s="19"/>
      <c r="R3640" s="19"/>
      <c r="S3640" s="19"/>
      <c r="T3640" s="19"/>
      <c r="U3640" s="19"/>
      <c r="V3640" s="44"/>
      <c r="W3640" s="19"/>
      <c r="X3640" s="19"/>
      <c r="Y3640" s="19"/>
      <c r="Z3640" s="19"/>
      <c r="AA3640" s="19"/>
      <c r="AB3640" s="19"/>
      <c r="AC3640" s="19"/>
      <c r="AD3640" s="19"/>
      <c r="AE3640" s="19"/>
      <c r="AF3640" s="19"/>
      <c r="AG3640" s="19"/>
      <c r="AH3640" s="19"/>
      <c r="AI3640" s="19"/>
      <c r="AJ3640" s="19"/>
      <c r="AK3640" s="19"/>
      <c r="AL3640" s="6" t="str">
        <f t="array" ref="AL3640">IFERROR(IFS(XLOOKUP(B3640, 'Kit Delivery Status'!$U:$U, 'Kit Delivery Status'!$K:$K) = "Complete", "DELIVERED", XLOOKUP(B3640, 'Kit Delivery Status'!$U:$U, 'Kit Delivery Status'!$K:$K) = "Issue", "ISSUE"), "")</f>
        <v/>
      </c>
      <c r="AM3640" s="6"/>
    </row>
    <row r="3641">
      <c r="A3641" s="19"/>
      <c r="B3641" s="19"/>
      <c r="C3641" s="19"/>
      <c r="D3641" s="42"/>
      <c r="E3641" s="19"/>
      <c r="F3641" s="19"/>
      <c r="G3641" s="19"/>
      <c r="H3641" s="19"/>
      <c r="I3641" s="19"/>
      <c r="J3641" s="19"/>
      <c r="K3641" s="19"/>
      <c r="L3641" s="19"/>
      <c r="M3641" s="19"/>
      <c r="N3641" s="19"/>
      <c r="O3641" s="43"/>
      <c r="P3641" s="19"/>
      <c r="Q3641" s="19"/>
      <c r="R3641" s="19"/>
      <c r="S3641" s="19"/>
      <c r="T3641" s="19"/>
      <c r="U3641" s="19"/>
      <c r="V3641" s="44"/>
      <c r="W3641" s="19"/>
      <c r="X3641" s="19"/>
      <c r="Y3641" s="19"/>
      <c r="Z3641" s="19"/>
      <c r="AA3641" s="19"/>
      <c r="AB3641" s="19"/>
      <c r="AC3641" s="19"/>
      <c r="AD3641" s="19"/>
      <c r="AE3641" s="19"/>
      <c r="AF3641" s="19"/>
      <c r="AG3641" s="19"/>
      <c r="AH3641" s="19"/>
      <c r="AI3641" s="19"/>
      <c r="AJ3641" s="19"/>
      <c r="AK3641" s="19"/>
      <c r="AL3641" s="6" t="str">
        <f t="array" ref="AL3641">IFERROR(IFS(XLOOKUP(B3641, 'Kit Delivery Status'!$U:$U, 'Kit Delivery Status'!$K:$K) = "Complete", "DELIVERED", XLOOKUP(B3641, 'Kit Delivery Status'!$U:$U, 'Kit Delivery Status'!$K:$K) = "Issue", "ISSUE"), "")</f>
        <v/>
      </c>
      <c r="AM3641" s="6"/>
    </row>
    <row r="3642">
      <c r="A3642" s="19"/>
      <c r="B3642" s="19"/>
      <c r="C3642" s="19"/>
      <c r="D3642" s="42"/>
      <c r="E3642" s="19"/>
      <c r="F3642" s="19"/>
      <c r="G3642" s="19"/>
      <c r="H3642" s="19"/>
      <c r="I3642" s="19"/>
      <c r="J3642" s="19"/>
      <c r="K3642" s="19"/>
      <c r="L3642" s="19"/>
      <c r="M3642" s="19"/>
      <c r="N3642" s="19"/>
      <c r="O3642" s="43"/>
      <c r="P3642" s="19"/>
      <c r="Q3642" s="19"/>
      <c r="R3642" s="19"/>
      <c r="S3642" s="19"/>
      <c r="T3642" s="19"/>
      <c r="U3642" s="19"/>
      <c r="V3642" s="44"/>
      <c r="W3642" s="19"/>
      <c r="X3642" s="19"/>
      <c r="Y3642" s="19"/>
      <c r="Z3642" s="19"/>
      <c r="AA3642" s="19"/>
      <c r="AB3642" s="19"/>
      <c r="AC3642" s="19"/>
      <c r="AD3642" s="19"/>
      <c r="AE3642" s="19"/>
      <c r="AF3642" s="19"/>
      <c r="AG3642" s="19"/>
      <c r="AH3642" s="19"/>
      <c r="AI3642" s="19"/>
      <c r="AJ3642" s="19"/>
      <c r="AK3642" s="19"/>
      <c r="AL3642" s="6" t="str">
        <f t="array" ref="AL3642">IFERROR(IFS(XLOOKUP(B3642, 'Kit Delivery Status'!$U:$U, 'Kit Delivery Status'!$K:$K) = "Complete", "DELIVERED", XLOOKUP(B3642, 'Kit Delivery Status'!$U:$U, 'Kit Delivery Status'!$K:$K) = "Issue", "ISSUE"), "")</f>
        <v/>
      </c>
      <c r="AM3642" s="6"/>
    </row>
    <row r="3643">
      <c r="A3643" s="19"/>
      <c r="B3643" s="19"/>
      <c r="C3643" s="19"/>
      <c r="D3643" s="42"/>
      <c r="E3643" s="19"/>
      <c r="F3643" s="19"/>
      <c r="G3643" s="19"/>
      <c r="H3643" s="19"/>
      <c r="I3643" s="19"/>
      <c r="J3643" s="19"/>
      <c r="K3643" s="19"/>
      <c r="L3643" s="19"/>
      <c r="M3643" s="19"/>
      <c r="N3643" s="19"/>
      <c r="O3643" s="43"/>
      <c r="P3643" s="19"/>
      <c r="Q3643" s="19"/>
      <c r="R3643" s="19"/>
      <c r="S3643" s="19"/>
      <c r="T3643" s="19"/>
      <c r="U3643" s="19"/>
      <c r="V3643" s="44"/>
      <c r="W3643" s="19"/>
      <c r="X3643" s="19"/>
      <c r="Y3643" s="19"/>
      <c r="Z3643" s="19"/>
      <c r="AA3643" s="19"/>
      <c r="AB3643" s="19"/>
      <c r="AC3643" s="19"/>
      <c r="AD3643" s="19"/>
      <c r="AE3643" s="19"/>
      <c r="AF3643" s="19"/>
      <c r="AG3643" s="19"/>
      <c r="AH3643" s="19"/>
      <c r="AI3643" s="19"/>
      <c r="AJ3643" s="19"/>
      <c r="AK3643" s="19"/>
      <c r="AL3643" s="6" t="str">
        <f t="array" ref="AL3643">IFERROR(IFS(XLOOKUP(B3643, 'Kit Delivery Status'!$U:$U, 'Kit Delivery Status'!$K:$K) = "Complete", "DELIVERED", XLOOKUP(B3643, 'Kit Delivery Status'!$U:$U, 'Kit Delivery Status'!$K:$K) = "Issue", "ISSUE"), "")</f>
        <v/>
      </c>
      <c r="AM3643" s="6"/>
    </row>
    <row r="3644">
      <c r="A3644" s="19"/>
      <c r="B3644" s="19"/>
      <c r="C3644" s="19"/>
      <c r="D3644" s="42"/>
      <c r="E3644" s="19"/>
      <c r="F3644" s="19"/>
      <c r="G3644" s="19"/>
      <c r="H3644" s="19"/>
      <c r="I3644" s="19"/>
      <c r="J3644" s="19"/>
      <c r="K3644" s="19"/>
      <c r="L3644" s="19"/>
      <c r="M3644" s="19"/>
      <c r="N3644" s="19"/>
      <c r="O3644" s="43"/>
      <c r="P3644" s="19"/>
      <c r="Q3644" s="19"/>
      <c r="R3644" s="19"/>
      <c r="S3644" s="19"/>
      <c r="T3644" s="19"/>
      <c r="U3644" s="19"/>
      <c r="V3644" s="44"/>
      <c r="W3644" s="19"/>
      <c r="X3644" s="19"/>
      <c r="Y3644" s="19"/>
      <c r="Z3644" s="19"/>
      <c r="AA3644" s="19"/>
      <c r="AB3644" s="19"/>
      <c r="AC3644" s="19"/>
      <c r="AD3644" s="19"/>
      <c r="AE3644" s="19"/>
      <c r="AF3644" s="19"/>
      <c r="AG3644" s="19"/>
      <c r="AH3644" s="19"/>
      <c r="AI3644" s="19"/>
      <c r="AJ3644" s="19"/>
      <c r="AK3644" s="19"/>
      <c r="AL3644" s="6" t="str">
        <f t="array" ref="AL3644">IFERROR(IFS(XLOOKUP(B3644, 'Kit Delivery Status'!$U:$U, 'Kit Delivery Status'!$K:$K) = "Complete", "DELIVERED", XLOOKUP(B3644, 'Kit Delivery Status'!$U:$U, 'Kit Delivery Status'!$K:$K) = "Issue", "ISSUE"), "")</f>
        <v/>
      </c>
      <c r="AM3644" s="6"/>
    </row>
    <row r="3645">
      <c r="A3645" s="19"/>
      <c r="B3645" s="19"/>
      <c r="C3645" s="19"/>
      <c r="D3645" s="42"/>
      <c r="E3645" s="19"/>
      <c r="F3645" s="19"/>
      <c r="G3645" s="19"/>
      <c r="H3645" s="19"/>
      <c r="I3645" s="19"/>
      <c r="J3645" s="19"/>
      <c r="K3645" s="19"/>
      <c r="L3645" s="19"/>
      <c r="M3645" s="19"/>
      <c r="N3645" s="19"/>
      <c r="O3645" s="43"/>
      <c r="P3645" s="19"/>
      <c r="Q3645" s="19"/>
      <c r="R3645" s="19"/>
      <c r="S3645" s="19"/>
      <c r="T3645" s="19"/>
      <c r="U3645" s="19"/>
      <c r="V3645" s="44"/>
      <c r="W3645" s="19"/>
      <c r="X3645" s="19"/>
      <c r="Y3645" s="19"/>
      <c r="Z3645" s="19"/>
      <c r="AA3645" s="19"/>
      <c r="AB3645" s="19"/>
      <c r="AC3645" s="19"/>
      <c r="AD3645" s="19"/>
      <c r="AE3645" s="19"/>
      <c r="AF3645" s="19"/>
      <c r="AG3645" s="19"/>
      <c r="AH3645" s="19"/>
      <c r="AI3645" s="19"/>
      <c r="AJ3645" s="19"/>
      <c r="AK3645" s="19"/>
      <c r="AL3645" s="6" t="str">
        <f t="array" ref="AL3645">IFERROR(IFS(XLOOKUP(B3645, 'Kit Delivery Status'!$U:$U, 'Kit Delivery Status'!$K:$K) = "Complete", "DELIVERED", XLOOKUP(B3645, 'Kit Delivery Status'!$U:$U, 'Kit Delivery Status'!$K:$K) = "Issue", "ISSUE"), "")</f>
        <v/>
      </c>
      <c r="AM3645" s="6"/>
    </row>
    <row r="3646">
      <c r="A3646" s="19"/>
      <c r="B3646" s="19"/>
      <c r="C3646" s="19"/>
      <c r="D3646" s="42"/>
      <c r="E3646" s="19"/>
      <c r="F3646" s="19"/>
      <c r="G3646" s="19"/>
      <c r="H3646" s="19"/>
      <c r="I3646" s="19"/>
      <c r="J3646" s="19"/>
      <c r="K3646" s="19"/>
      <c r="L3646" s="19"/>
      <c r="M3646" s="19"/>
      <c r="N3646" s="19"/>
      <c r="O3646" s="43"/>
      <c r="P3646" s="19"/>
      <c r="Q3646" s="19"/>
      <c r="R3646" s="19"/>
      <c r="S3646" s="19"/>
      <c r="T3646" s="19"/>
      <c r="U3646" s="19"/>
      <c r="V3646" s="44"/>
      <c r="W3646" s="19"/>
      <c r="X3646" s="19"/>
      <c r="Y3646" s="19"/>
      <c r="Z3646" s="19"/>
      <c r="AA3646" s="19"/>
      <c r="AB3646" s="19"/>
      <c r="AC3646" s="19"/>
      <c r="AD3646" s="19"/>
      <c r="AE3646" s="19"/>
      <c r="AF3646" s="19"/>
      <c r="AG3646" s="19"/>
      <c r="AH3646" s="19"/>
      <c r="AI3646" s="19"/>
      <c r="AJ3646" s="19"/>
      <c r="AK3646" s="19"/>
      <c r="AL3646" s="6" t="str">
        <f t="array" ref="AL3646">IFERROR(IFS(XLOOKUP(B3646, 'Kit Delivery Status'!$U:$U, 'Kit Delivery Status'!$K:$K) = "Complete", "DELIVERED", XLOOKUP(B3646, 'Kit Delivery Status'!$U:$U, 'Kit Delivery Status'!$K:$K) = "Issue", "ISSUE"), "")</f>
        <v/>
      </c>
      <c r="AM3646" s="6"/>
    </row>
    <row r="3647">
      <c r="A3647" s="19"/>
      <c r="B3647" s="19"/>
      <c r="C3647" s="19"/>
      <c r="D3647" s="42"/>
      <c r="E3647" s="19"/>
      <c r="F3647" s="19"/>
      <c r="G3647" s="19"/>
      <c r="H3647" s="19"/>
      <c r="I3647" s="19"/>
      <c r="J3647" s="19"/>
      <c r="K3647" s="19"/>
      <c r="L3647" s="19"/>
      <c r="M3647" s="19"/>
      <c r="N3647" s="19"/>
      <c r="O3647" s="43"/>
      <c r="P3647" s="19"/>
      <c r="Q3647" s="19"/>
      <c r="R3647" s="19"/>
      <c r="S3647" s="19"/>
      <c r="T3647" s="19"/>
      <c r="U3647" s="19"/>
      <c r="V3647" s="44"/>
      <c r="W3647" s="19"/>
      <c r="X3647" s="19"/>
      <c r="Y3647" s="19"/>
      <c r="Z3647" s="19"/>
      <c r="AA3647" s="19"/>
      <c r="AB3647" s="19"/>
      <c r="AC3647" s="19"/>
      <c r="AD3647" s="19"/>
      <c r="AE3647" s="19"/>
      <c r="AF3647" s="19"/>
      <c r="AG3647" s="19"/>
      <c r="AH3647" s="19"/>
      <c r="AI3647" s="19"/>
      <c r="AJ3647" s="19"/>
      <c r="AK3647" s="19"/>
      <c r="AL3647" s="6" t="str">
        <f t="array" ref="AL3647">IFERROR(IFS(XLOOKUP(B3647, 'Kit Delivery Status'!$U:$U, 'Kit Delivery Status'!$K:$K) = "Complete", "DELIVERED", XLOOKUP(B3647, 'Kit Delivery Status'!$U:$U, 'Kit Delivery Status'!$K:$K) = "Issue", "ISSUE"), "")</f>
        <v/>
      </c>
      <c r="AM3647" s="6"/>
    </row>
    <row r="3648">
      <c r="A3648" s="19"/>
      <c r="B3648" s="19"/>
      <c r="C3648" s="19"/>
      <c r="D3648" s="42"/>
      <c r="E3648" s="19"/>
      <c r="F3648" s="19"/>
      <c r="G3648" s="19"/>
      <c r="H3648" s="19"/>
      <c r="I3648" s="19"/>
      <c r="J3648" s="19"/>
      <c r="K3648" s="19"/>
      <c r="L3648" s="19"/>
      <c r="M3648" s="19"/>
      <c r="N3648" s="19"/>
      <c r="O3648" s="43"/>
      <c r="P3648" s="19"/>
      <c r="Q3648" s="19"/>
      <c r="R3648" s="19"/>
      <c r="S3648" s="19"/>
      <c r="T3648" s="19"/>
      <c r="U3648" s="19"/>
      <c r="V3648" s="44"/>
      <c r="W3648" s="19"/>
      <c r="X3648" s="19"/>
      <c r="Y3648" s="19"/>
      <c r="Z3648" s="19"/>
      <c r="AA3648" s="19"/>
      <c r="AB3648" s="19"/>
      <c r="AC3648" s="19"/>
      <c r="AD3648" s="19"/>
      <c r="AE3648" s="19"/>
      <c r="AF3648" s="19"/>
      <c r="AG3648" s="19"/>
      <c r="AH3648" s="19"/>
      <c r="AI3648" s="19"/>
      <c r="AJ3648" s="19"/>
      <c r="AK3648" s="19"/>
      <c r="AL3648" s="6" t="str">
        <f t="array" ref="AL3648">IFERROR(IFS(XLOOKUP(B3648, 'Kit Delivery Status'!$U:$U, 'Kit Delivery Status'!$K:$K) = "Complete", "DELIVERED", XLOOKUP(B3648, 'Kit Delivery Status'!$U:$U, 'Kit Delivery Status'!$K:$K) = "Issue", "ISSUE"), "")</f>
        <v/>
      </c>
      <c r="AM3648" s="6"/>
    </row>
    <row r="3649">
      <c r="A3649" s="19"/>
      <c r="B3649" s="19"/>
      <c r="C3649" s="19"/>
      <c r="D3649" s="42"/>
      <c r="E3649" s="19"/>
      <c r="F3649" s="19"/>
      <c r="G3649" s="19"/>
      <c r="H3649" s="19"/>
      <c r="I3649" s="19"/>
      <c r="J3649" s="19"/>
      <c r="K3649" s="19"/>
      <c r="L3649" s="19"/>
      <c r="M3649" s="19"/>
      <c r="N3649" s="19"/>
      <c r="O3649" s="43"/>
      <c r="P3649" s="19"/>
      <c r="Q3649" s="19"/>
      <c r="R3649" s="19"/>
      <c r="S3649" s="19"/>
      <c r="T3649" s="19"/>
      <c r="U3649" s="19"/>
      <c r="V3649" s="44"/>
      <c r="W3649" s="19"/>
      <c r="X3649" s="19"/>
      <c r="Y3649" s="19"/>
      <c r="Z3649" s="19"/>
      <c r="AA3649" s="19"/>
      <c r="AB3649" s="19"/>
      <c r="AC3649" s="19"/>
      <c r="AD3649" s="19"/>
      <c r="AE3649" s="19"/>
      <c r="AF3649" s="19"/>
      <c r="AG3649" s="19"/>
      <c r="AH3649" s="19"/>
      <c r="AI3649" s="19"/>
      <c r="AJ3649" s="19"/>
      <c r="AK3649" s="19"/>
      <c r="AL3649" s="6" t="str">
        <f t="array" ref="AL3649">IFERROR(IFS(XLOOKUP(B3649, 'Kit Delivery Status'!$U:$U, 'Kit Delivery Status'!$K:$K) = "Complete", "DELIVERED", XLOOKUP(B3649, 'Kit Delivery Status'!$U:$U, 'Kit Delivery Status'!$K:$K) = "Issue", "ISSUE"), "")</f>
        <v/>
      </c>
      <c r="AM3649" s="6"/>
    </row>
    <row r="3650">
      <c r="A3650" s="19"/>
      <c r="B3650" s="19"/>
      <c r="C3650" s="19"/>
      <c r="D3650" s="42"/>
      <c r="E3650" s="19"/>
      <c r="F3650" s="19"/>
      <c r="G3650" s="19"/>
      <c r="H3650" s="19"/>
      <c r="I3650" s="19"/>
      <c r="J3650" s="19"/>
      <c r="K3650" s="19"/>
      <c r="L3650" s="19"/>
      <c r="M3650" s="19"/>
      <c r="N3650" s="19"/>
      <c r="O3650" s="43"/>
      <c r="P3650" s="19"/>
      <c r="Q3650" s="19"/>
      <c r="R3650" s="19"/>
      <c r="S3650" s="19"/>
      <c r="T3650" s="19"/>
      <c r="U3650" s="19"/>
      <c r="V3650" s="44"/>
      <c r="W3650" s="19"/>
      <c r="X3650" s="19"/>
      <c r="Y3650" s="19"/>
      <c r="Z3650" s="19"/>
      <c r="AA3650" s="19"/>
      <c r="AB3650" s="19"/>
      <c r="AC3650" s="19"/>
      <c r="AD3650" s="19"/>
      <c r="AE3650" s="19"/>
      <c r="AF3650" s="19"/>
      <c r="AG3650" s="19"/>
      <c r="AH3650" s="19"/>
      <c r="AI3650" s="19"/>
      <c r="AJ3650" s="19"/>
      <c r="AK3650" s="19"/>
      <c r="AL3650" s="6" t="str">
        <f t="array" ref="AL3650">IFERROR(IFS(XLOOKUP(B3650, 'Kit Delivery Status'!$U:$U, 'Kit Delivery Status'!$K:$K) = "Complete", "DELIVERED", XLOOKUP(B3650, 'Kit Delivery Status'!$U:$U, 'Kit Delivery Status'!$K:$K) = "Issue", "ISSUE"), "")</f>
        <v/>
      </c>
      <c r="AM3650" s="6"/>
    </row>
    <row r="3651">
      <c r="A3651" s="19"/>
      <c r="B3651" s="19"/>
      <c r="C3651" s="19"/>
      <c r="D3651" s="42"/>
      <c r="E3651" s="19"/>
      <c r="F3651" s="19"/>
      <c r="G3651" s="19"/>
      <c r="H3651" s="19"/>
      <c r="I3651" s="19"/>
      <c r="J3651" s="19"/>
      <c r="K3651" s="19"/>
      <c r="L3651" s="19"/>
      <c r="M3651" s="19"/>
      <c r="N3651" s="19"/>
      <c r="O3651" s="43"/>
      <c r="P3651" s="19"/>
      <c r="Q3651" s="19"/>
      <c r="R3651" s="19"/>
      <c r="S3651" s="19"/>
      <c r="T3651" s="19"/>
      <c r="U3651" s="19"/>
      <c r="V3651" s="44"/>
      <c r="W3651" s="19"/>
      <c r="X3651" s="19"/>
      <c r="Y3651" s="19"/>
      <c r="Z3651" s="19"/>
      <c r="AA3651" s="19"/>
      <c r="AB3651" s="19"/>
      <c r="AC3651" s="19"/>
      <c r="AD3651" s="19"/>
      <c r="AE3651" s="19"/>
      <c r="AF3651" s="19"/>
      <c r="AG3651" s="19"/>
      <c r="AH3651" s="19"/>
      <c r="AI3651" s="19"/>
      <c r="AJ3651" s="19"/>
      <c r="AK3651" s="19"/>
      <c r="AL3651" s="6" t="str">
        <f t="array" ref="AL3651">IFERROR(IFS(XLOOKUP(B3651, 'Kit Delivery Status'!$U:$U, 'Kit Delivery Status'!$K:$K) = "Complete", "DELIVERED", XLOOKUP(B3651, 'Kit Delivery Status'!$U:$U, 'Kit Delivery Status'!$K:$K) = "Issue", "ISSUE"), "")</f>
        <v/>
      </c>
      <c r="AM3651" s="6"/>
    </row>
    <row r="3652">
      <c r="A3652" s="19"/>
      <c r="B3652" s="19"/>
      <c r="C3652" s="19"/>
      <c r="D3652" s="42"/>
      <c r="E3652" s="19"/>
      <c r="F3652" s="19"/>
      <c r="G3652" s="19"/>
      <c r="H3652" s="19"/>
      <c r="I3652" s="19"/>
      <c r="J3652" s="19"/>
      <c r="K3652" s="19"/>
      <c r="L3652" s="19"/>
      <c r="M3652" s="19"/>
      <c r="N3652" s="19"/>
      <c r="O3652" s="43"/>
      <c r="P3652" s="19"/>
      <c r="Q3652" s="19"/>
      <c r="R3652" s="19"/>
      <c r="S3652" s="19"/>
      <c r="T3652" s="19"/>
      <c r="U3652" s="19"/>
      <c r="V3652" s="44"/>
      <c r="W3652" s="19"/>
      <c r="X3652" s="19"/>
      <c r="Y3652" s="19"/>
      <c r="Z3652" s="19"/>
      <c r="AA3652" s="19"/>
      <c r="AB3652" s="19"/>
      <c r="AC3652" s="19"/>
      <c r="AD3652" s="19"/>
      <c r="AE3652" s="19"/>
      <c r="AF3652" s="19"/>
      <c r="AG3652" s="19"/>
      <c r="AH3652" s="19"/>
      <c r="AI3652" s="19"/>
      <c r="AJ3652" s="19"/>
      <c r="AK3652" s="19"/>
      <c r="AL3652" s="6" t="str">
        <f t="array" ref="AL3652">IFERROR(IFS(XLOOKUP(B3652, 'Kit Delivery Status'!$U:$U, 'Kit Delivery Status'!$K:$K) = "Complete", "DELIVERED", XLOOKUP(B3652, 'Kit Delivery Status'!$U:$U, 'Kit Delivery Status'!$K:$K) = "Issue", "ISSUE"), "")</f>
        <v/>
      </c>
      <c r="AM3652" s="6"/>
    </row>
    <row r="3653">
      <c r="A3653" s="19"/>
      <c r="B3653" s="19"/>
      <c r="C3653" s="19"/>
      <c r="D3653" s="42"/>
      <c r="E3653" s="19"/>
      <c r="F3653" s="19"/>
      <c r="G3653" s="19"/>
      <c r="H3653" s="19"/>
      <c r="I3653" s="19"/>
      <c r="J3653" s="19"/>
      <c r="K3653" s="19"/>
      <c r="L3653" s="19"/>
      <c r="M3653" s="19"/>
      <c r="N3653" s="19"/>
      <c r="O3653" s="43"/>
      <c r="P3653" s="19"/>
      <c r="Q3653" s="19"/>
      <c r="R3653" s="19"/>
      <c r="S3653" s="19"/>
      <c r="T3653" s="19"/>
      <c r="U3653" s="19"/>
      <c r="V3653" s="44"/>
      <c r="W3653" s="19"/>
      <c r="X3653" s="19"/>
      <c r="Y3653" s="19"/>
      <c r="Z3653" s="19"/>
      <c r="AA3653" s="19"/>
      <c r="AB3653" s="19"/>
      <c r="AC3653" s="19"/>
      <c r="AD3653" s="19"/>
      <c r="AE3653" s="19"/>
      <c r="AF3653" s="19"/>
      <c r="AG3653" s="19"/>
      <c r="AH3653" s="19"/>
      <c r="AI3653" s="19"/>
      <c r="AJ3653" s="19"/>
      <c r="AK3653" s="19"/>
      <c r="AL3653" s="6" t="str">
        <f t="array" ref="AL3653">IFERROR(IFS(XLOOKUP(B3653, 'Kit Delivery Status'!$U:$U, 'Kit Delivery Status'!$K:$K) = "Complete", "DELIVERED", XLOOKUP(B3653, 'Kit Delivery Status'!$U:$U, 'Kit Delivery Status'!$K:$K) = "Issue", "ISSUE"), "")</f>
        <v/>
      </c>
      <c r="AM3653" s="6"/>
    </row>
    <row r="3654">
      <c r="A3654" s="19"/>
      <c r="B3654" s="19"/>
      <c r="C3654" s="19"/>
      <c r="D3654" s="42"/>
      <c r="E3654" s="19"/>
      <c r="F3654" s="19"/>
      <c r="G3654" s="19"/>
      <c r="H3654" s="19"/>
      <c r="I3654" s="19"/>
      <c r="J3654" s="19"/>
      <c r="K3654" s="19"/>
      <c r="L3654" s="19"/>
      <c r="M3654" s="19"/>
      <c r="N3654" s="19"/>
      <c r="O3654" s="43"/>
      <c r="P3654" s="19"/>
      <c r="Q3654" s="19"/>
      <c r="R3654" s="19"/>
      <c r="S3654" s="19"/>
      <c r="T3654" s="19"/>
      <c r="U3654" s="19"/>
      <c r="V3654" s="44"/>
      <c r="W3654" s="19"/>
      <c r="X3654" s="19"/>
      <c r="Y3654" s="19"/>
      <c r="Z3654" s="19"/>
      <c r="AA3654" s="19"/>
      <c r="AB3654" s="19"/>
      <c r="AC3654" s="19"/>
      <c r="AD3654" s="19"/>
      <c r="AE3654" s="19"/>
      <c r="AF3654" s="19"/>
      <c r="AG3654" s="19"/>
      <c r="AH3654" s="19"/>
      <c r="AI3654" s="19"/>
      <c r="AJ3654" s="19"/>
      <c r="AK3654" s="19"/>
      <c r="AL3654" s="6" t="str">
        <f t="array" ref="AL3654">IFERROR(IFS(XLOOKUP(B3654, 'Kit Delivery Status'!$U:$U, 'Kit Delivery Status'!$K:$K) = "Complete", "DELIVERED", XLOOKUP(B3654, 'Kit Delivery Status'!$U:$U, 'Kit Delivery Status'!$K:$K) = "Issue", "ISSUE"), "")</f>
        <v/>
      </c>
      <c r="AM3654" s="6"/>
    </row>
    <row r="3655">
      <c r="A3655" s="19"/>
      <c r="B3655" s="19"/>
      <c r="C3655" s="19"/>
      <c r="D3655" s="42"/>
      <c r="E3655" s="19"/>
      <c r="F3655" s="19"/>
      <c r="G3655" s="19"/>
      <c r="H3655" s="19"/>
      <c r="I3655" s="19"/>
      <c r="J3655" s="19"/>
      <c r="K3655" s="19"/>
      <c r="L3655" s="19"/>
      <c r="M3655" s="19"/>
      <c r="N3655" s="19"/>
      <c r="O3655" s="43"/>
      <c r="P3655" s="19"/>
      <c r="Q3655" s="19"/>
      <c r="R3655" s="19"/>
      <c r="S3655" s="19"/>
      <c r="T3655" s="19"/>
      <c r="U3655" s="19"/>
      <c r="V3655" s="44"/>
      <c r="W3655" s="19"/>
      <c r="X3655" s="19"/>
      <c r="Y3655" s="19"/>
      <c r="Z3655" s="19"/>
      <c r="AA3655" s="19"/>
      <c r="AB3655" s="19"/>
      <c r="AC3655" s="19"/>
      <c r="AD3655" s="19"/>
      <c r="AE3655" s="19"/>
      <c r="AF3655" s="19"/>
      <c r="AG3655" s="19"/>
      <c r="AH3655" s="19"/>
      <c r="AI3655" s="19"/>
      <c r="AJ3655" s="19"/>
      <c r="AK3655" s="19"/>
      <c r="AL3655" s="6" t="str">
        <f t="array" ref="AL3655">IFERROR(IFS(XLOOKUP(B3655, 'Kit Delivery Status'!$U:$U, 'Kit Delivery Status'!$K:$K) = "Complete", "DELIVERED", XLOOKUP(B3655, 'Kit Delivery Status'!$U:$U, 'Kit Delivery Status'!$K:$K) = "Issue", "ISSUE"), "")</f>
        <v/>
      </c>
      <c r="AM3655" s="6"/>
    </row>
    <row r="3656">
      <c r="A3656" s="19"/>
      <c r="B3656" s="19"/>
      <c r="C3656" s="19"/>
      <c r="D3656" s="42"/>
      <c r="E3656" s="19"/>
      <c r="F3656" s="19"/>
      <c r="G3656" s="19"/>
      <c r="H3656" s="19"/>
      <c r="I3656" s="19"/>
      <c r="J3656" s="19"/>
      <c r="K3656" s="19"/>
      <c r="L3656" s="19"/>
      <c r="M3656" s="19"/>
      <c r="N3656" s="19"/>
      <c r="O3656" s="43"/>
      <c r="P3656" s="19"/>
      <c r="Q3656" s="19"/>
      <c r="R3656" s="19"/>
      <c r="S3656" s="19"/>
      <c r="T3656" s="19"/>
      <c r="U3656" s="19"/>
      <c r="V3656" s="44"/>
      <c r="W3656" s="19"/>
      <c r="X3656" s="19"/>
      <c r="Y3656" s="19"/>
      <c r="Z3656" s="19"/>
      <c r="AA3656" s="19"/>
      <c r="AB3656" s="19"/>
      <c r="AC3656" s="19"/>
      <c r="AD3656" s="19"/>
      <c r="AE3656" s="19"/>
      <c r="AF3656" s="19"/>
      <c r="AG3656" s="19"/>
      <c r="AH3656" s="19"/>
      <c r="AI3656" s="19"/>
      <c r="AJ3656" s="19"/>
      <c r="AK3656" s="19"/>
      <c r="AL3656" s="6" t="str">
        <f t="array" ref="AL3656">IFERROR(IFS(XLOOKUP(B3656, 'Kit Delivery Status'!$U:$U, 'Kit Delivery Status'!$K:$K) = "Complete", "DELIVERED", XLOOKUP(B3656, 'Kit Delivery Status'!$U:$U, 'Kit Delivery Status'!$K:$K) = "Issue", "ISSUE"), "")</f>
        <v/>
      </c>
      <c r="AM3656" s="6"/>
    </row>
    <row r="3657">
      <c r="A3657" s="19"/>
      <c r="B3657" s="19"/>
      <c r="C3657" s="19"/>
      <c r="D3657" s="42"/>
      <c r="E3657" s="19"/>
      <c r="F3657" s="19"/>
      <c r="G3657" s="19"/>
      <c r="H3657" s="19"/>
      <c r="I3657" s="19"/>
      <c r="J3657" s="19"/>
      <c r="K3657" s="19"/>
      <c r="L3657" s="19"/>
      <c r="M3657" s="19"/>
      <c r="N3657" s="19"/>
      <c r="O3657" s="43"/>
      <c r="P3657" s="19"/>
      <c r="Q3657" s="19"/>
      <c r="R3657" s="19"/>
      <c r="S3657" s="19"/>
      <c r="T3657" s="19"/>
      <c r="U3657" s="19"/>
      <c r="V3657" s="44"/>
      <c r="W3657" s="19"/>
      <c r="X3657" s="19"/>
      <c r="Y3657" s="19"/>
      <c r="Z3657" s="19"/>
      <c r="AA3657" s="19"/>
      <c r="AB3657" s="19"/>
      <c r="AC3657" s="19"/>
      <c r="AD3657" s="19"/>
      <c r="AE3657" s="19"/>
      <c r="AF3657" s="19"/>
      <c r="AG3657" s="19"/>
      <c r="AH3657" s="19"/>
      <c r="AI3657" s="19"/>
      <c r="AJ3657" s="19"/>
      <c r="AK3657" s="19"/>
      <c r="AL3657" s="6" t="str">
        <f t="array" ref="AL3657">IFERROR(IFS(XLOOKUP(B3657, 'Kit Delivery Status'!$U:$U, 'Kit Delivery Status'!$K:$K) = "Complete", "DELIVERED", XLOOKUP(B3657, 'Kit Delivery Status'!$U:$U, 'Kit Delivery Status'!$K:$K) = "Issue", "ISSUE"), "")</f>
        <v/>
      </c>
      <c r="AM3657" s="6"/>
    </row>
    <row r="3658">
      <c r="A3658" s="19"/>
      <c r="B3658" s="19"/>
      <c r="C3658" s="19"/>
      <c r="D3658" s="42"/>
      <c r="E3658" s="19"/>
      <c r="F3658" s="19"/>
      <c r="G3658" s="19"/>
      <c r="H3658" s="19"/>
      <c r="I3658" s="19"/>
      <c r="J3658" s="19"/>
      <c r="K3658" s="19"/>
      <c r="L3658" s="19"/>
      <c r="M3658" s="19"/>
      <c r="N3658" s="19"/>
      <c r="O3658" s="43"/>
      <c r="P3658" s="19"/>
      <c r="Q3658" s="19"/>
      <c r="R3658" s="19"/>
      <c r="S3658" s="19"/>
      <c r="T3658" s="19"/>
      <c r="U3658" s="19"/>
      <c r="V3658" s="44"/>
      <c r="W3658" s="19"/>
      <c r="X3658" s="19"/>
      <c r="Y3658" s="19"/>
      <c r="Z3658" s="19"/>
      <c r="AA3658" s="19"/>
      <c r="AB3658" s="19"/>
      <c r="AC3658" s="19"/>
      <c r="AD3658" s="19"/>
      <c r="AE3658" s="19"/>
      <c r="AF3658" s="19"/>
      <c r="AG3658" s="19"/>
      <c r="AH3658" s="19"/>
      <c r="AI3658" s="19"/>
      <c r="AJ3658" s="19"/>
      <c r="AK3658" s="19"/>
      <c r="AL3658" s="6" t="str">
        <f t="array" ref="AL3658">IFERROR(IFS(XLOOKUP(B3658, 'Kit Delivery Status'!$U:$U, 'Kit Delivery Status'!$K:$K) = "Complete", "DELIVERED", XLOOKUP(B3658, 'Kit Delivery Status'!$U:$U, 'Kit Delivery Status'!$K:$K) = "Issue", "ISSUE"), "")</f>
        <v/>
      </c>
      <c r="AM3658" s="6"/>
    </row>
    <row r="3659">
      <c r="A3659" s="19"/>
      <c r="B3659" s="19"/>
      <c r="C3659" s="19"/>
      <c r="D3659" s="42"/>
      <c r="E3659" s="19"/>
      <c r="F3659" s="19"/>
      <c r="G3659" s="19"/>
      <c r="H3659" s="19"/>
      <c r="I3659" s="19"/>
      <c r="J3659" s="19"/>
      <c r="K3659" s="19"/>
      <c r="L3659" s="19"/>
      <c r="M3659" s="19"/>
      <c r="N3659" s="19"/>
      <c r="O3659" s="43"/>
      <c r="P3659" s="19"/>
      <c r="Q3659" s="19"/>
      <c r="R3659" s="19"/>
      <c r="S3659" s="19"/>
      <c r="T3659" s="19"/>
      <c r="U3659" s="19"/>
      <c r="V3659" s="44"/>
      <c r="W3659" s="19"/>
      <c r="X3659" s="19"/>
      <c r="Y3659" s="19"/>
      <c r="Z3659" s="19"/>
      <c r="AA3659" s="19"/>
      <c r="AB3659" s="19"/>
      <c r="AC3659" s="19"/>
      <c r="AD3659" s="19"/>
      <c r="AE3659" s="19"/>
      <c r="AF3659" s="19"/>
      <c r="AG3659" s="19"/>
      <c r="AH3659" s="19"/>
      <c r="AI3659" s="19"/>
      <c r="AJ3659" s="19"/>
      <c r="AK3659" s="19"/>
      <c r="AL3659" s="6" t="str">
        <f t="array" ref="AL3659">IFERROR(IFS(XLOOKUP(B3659, 'Kit Delivery Status'!$U:$U, 'Kit Delivery Status'!$K:$K) = "Complete", "DELIVERED", XLOOKUP(B3659, 'Kit Delivery Status'!$U:$U, 'Kit Delivery Status'!$K:$K) = "Issue", "ISSUE"), "")</f>
        <v/>
      </c>
      <c r="AM3659" s="6"/>
    </row>
    <row r="3660">
      <c r="A3660" s="19"/>
      <c r="B3660" s="19"/>
      <c r="C3660" s="19"/>
      <c r="D3660" s="42"/>
      <c r="E3660" s="19"/>
      <c r="F3660" s="19"/>
      <c r="G3660" s="19"/>
      <c r="H3660" s="19"/>
      <c r="I3660" s="19"/>
      <c r="J3660" s="19"/>
      <c r="K3660" s="19"/>
      <c r="L3660" s="19"/>
      <c r="M3660" s="19"/>
      <c r="N3660" s="19"/>
      <c r="O3660" s="43"/>
      <c r="P3660" s="19"/>
      <c r="Q3660" s="19"/>
      <c r="R3660" s="19"/>
      <c r="S3660" s="19"/>
      <c r="T3660" s="19"/>
      <c r="U3660" s="19"/>
      <c r="V3660" s="44"/>
      <c r="W3660" s="19"/>
      <c r="X3660" s="19"/>
      <c r="Y3660" s="19"/>
      <c r="Z3660" s="19"/>
      <c r="AA3660" s="19"/>
      <c r="AB3660" s="19"/>
      <c r="AC3660" s="19"/>
      <c r="AD3660" s="19"/>
      <c r="AE3660" s="19"/>
      <c r="AF3660" s="19"/>
      <c r="AG3660" s="19"/>
      <c r="AH3660" s="19"/>
      <c r="AI3660" s="19"/>
      <c r="AJ3660" s="19"/>
      <c r="AK3660" s="19"/>
      <c r="AL3660" s="6" t="str">
        <f t="array" ref="AL3660">IFERROR(IFS(XLOOKUP(B3660, 'Kit Delivery Status'!$U:$U, 'Kit Delivery Status'!$K:$K) = "Complete", "DELIVERED", XLOOKUP(B3660, 'Kit Delivery Status'!$U:$U, 'Kit Delivery Status'!$K:$K) = "Issue", "ISSUE"), "")</f>
        <v/>
      </c>
      <c r="AM3660" s="6"/>
    </row>
    <row r="3661">
      <c r="A3661" s="19"/>
      <c r="B3661" s="19"/>
      <c r="C3661" s="19"/>
      <c r="D3661" s="42"/>
      <c r="E3661" s="19"/>
      <c r="F3661" s="19"/>
      <c r="G3661" s="19"/>
      <c r="H3661" s="19"/>
      <c r="I3661" s="19"/>
      <c r="J3661" s="19"/>
      <c r="K3661" s="19"/>
      <c r="L3661" s="19"/>
      <c r="M3661" s="19"/>
      <c r="N3661" s="19"/>
      <c r="O3661" s="43"/>
      <c r="P3661" s="19"/>
      <c r="Q3661" s="19"/>
      <c r="R3661" s="19"/>
      <c r="S3661" s="19"/>
      <c r="T3661" s="19"/>
      <c r="U3661" s="19"/>
      <c r="V3661" s="44"/>
      <c r="W3661" s="19"/>
      <c r="X3661" s="19"/>
      <c r="Y3661" s="19"/>
      <c r="Z3661" s="19"/>
      <c r="AA3661" s="19"/>
      <c r="AB3661" s="19"/>
      <c r="AC3661" s="19"/>
      <c r="AD3661" s="19"/>
      <c r="AE3661" s="19"/>
      <c r="AF3661" s="19"/>
      <c r="AG3661" s="19"/>
      <c r="AH3661" s="19"/>
      <c r="AI3661" s="19"/>
      <c r="AJ3661" s="19"/>
      <c r="AK3661" s="19"/>
      <c r="AL3661" s="6" t="str">
        <f t="array" ref="AL3661">IFERROR(IFS(XLOOKUP(B3661, 'Kit Delivery Status'!$U:$U, 'Kit Delivery Status'!$K:$K) = "Complete", "DELIVERED", XLOOKUP(B3661, 'Kit Delivery Status'!$U:$U, 'Kit Delivery Status'!$K:$K) = "Issue", "ISSUE"), "")</f>
        <v/>
      </c>
      <c r="AM3661" s="6"/>
    </row>
    <row r="3662">
      <c r="A3662" s="19"/>
      <c r="B3662" s="19"/>
      <c r="C3662" s="19"/>
      <c r="D3662" s="42"/>
      <c r="E3662" s="19"/>
      <c r="F3662" s="19"/>
      <c r="G3662" s="19"/>
      <c r="H3662" s="19"/>
      <c r="I3662" s="19"/>
      <c r="J3662" s="19"/>
      <c r="K3662" s="19"/>
      <c r="L3662" s="19"/>
      <c r="M3662" s="19"/>
      <c r="N3662" s="19"/>
      <c r="O3662" s="43"/>
      <c r="P3662" s="19"/>
      <c r="Q3662" s="19"/>
      <c r="R3662" s="19"/>
      <c r="S3662" s="19"/>
      <c r="T3662" s="19"/>
      <c r="U3662" s="19"/>
      <c r="V3662" s="44"/>
      <c r="W3662" s="19"/>
      <c r="X3662" s="19"/>
      <c r="Y3662" s="19"/>
      <c r="Z3662" s="19"/>
      <c r="AA3662" s="19"/>
      <c r="AB3662" s="19"/>
      <c r="AC3662" s="19"/>
      <c r="AD3662" s="19"/>
      <c r="AE3662" s="19"/>
      <c r="AF3662" s="19"/>
      <c r="AG3662" s="19"/>
      <c r="AH3662" s="19"/>
      <c r="AI3662" s="19"/>
      <c r="AJ3662" s="19"/>
      <c r="AK3662" s="19"/>
      <c r="AL3662" s="6" t="str">
        <f t="array" ref="AL3662">IFERROR(IFS(XLOOKUP(B3662, 'Kit Delivery Status'!$U:$U, 'Kit Delivery Status'!$K:$K) = "Complete", "DELIVERED", XLOOKUP(B3662, 'Kit Delivery Status'!$U:$U, 'Kit Delivery Status'!$K:$K) = "Issue", "ISSUE"), "")</f>
        <v/>
      </c>
      <c r="AM3662" s="6"/>
    </row>
    <row r="3663">
      <c r="A3663" s="19"/>
      <c r="B3663" s="19"/>
      <c r="C3663" s="19"/>
      <c r="D3663" s="42"/>
      <c r="E3663" s="19"/>
      <c r="F3663" s="19"/>
      <c r="G3663" s="19"/>
      <c r="H3663" s="19"/>
      <c r="I3663" s="19"/>
      <c r="J3663" s="19"/>
      <c r="K3663" s="19"/>
      <c r="L3663" s="19"/>
      <c r="M3663" s="19"/>
      <c r="N3663" s="19"/>
      <c r="O3663" s="43"/>
      <c r="P3663" s="19"/>
      <c r="Q3663" s="19"/>
      <c r="R3663" s="19"/>
      <c r="S3663" s="19"/>
      <c r="T3663" s="19"/>
      <c r="U3663" s="19"/>
      <c r="V3663" s="44"/>
      <c r="W3663" s="19"/>
      <c r="X3663" s="19"/>
      <c r="Y3663" s="19"/>
      <c r="Z3663" s="19"/>
      <c r="AA3663" s="19"/>
      <c r="AB3663" s="19"/>
      <c r="AC3663" s="19"/>
      <c r="AD3663" s="19"/>
      <c r="AE3663" s="19"/>
      <c r="AF3663" s="19"/>
      <c r="AG3663" s="19"/>
      <c r="AH3663" s="19"/>
      <c r="AI3663" s="19"/>
      <c r="AJ3663" s="19"/>
      <c r="AK3663" s="19"/>
      <c r="AL3663" s="6" t="str">
        <f t="array" ref="AL3663">IFERROR(IFS(XLOOKUP(B3663, 'Kit Delivery Status'!$U:$U, 'Kit Delivery Status'!$K:$K) = "Complete", "DELIVERED", XLOOKUP(B3663, 'Kit Delivery Status'!$U:$U, 'Kit Delivery Status'!$K:$K) = "Issue", "ISSUE"), "")</f>
        <v/>
      </c>
      <c r="AM3663" s="6"/>
    </row>
    <row r="3664">
      <c r="A3664" s="19"/>
      <c r="B3664" s="19"/>
      <c r="C3664" s="19"/>
      <c r="D3664" s="42"/>
      <c r="E3664" s="19"/>
      <c r="F3664" s="19"/>
      <c r="G3664" s="19"/>
      <c r="H3664" s="19"/>
      <c r="I3664" s="19"/>
      <c r="J3664" s="19"/>
      <c r="K3664" s="19"/>
      <c r="L3664" s="19"/>
      <c r="M3664" s="19"/>
      <c r="N3664" s="19"/>
      <c r="O3664" s="43"/>
      <c r="P3664" s="19"/>
      <c r="Q3664" s="19"/>
      <c r="R3664" s="19"/>
      <c r="S3664" s="19"/>
      <c r="T3664" s="19"/>
      <c r="U3664" s="19"/>
      <c r="V3664" s="44"/>
      <c r="W3664" s="19"/>
      <c r="X3664" s="19"/>
      <c r="Y3664" s="19"/>
      <c r="Z3664" s="19"/>
      <c r="AA3664" s="19"/>
      <c r="AB3664" s="19"/>
      <c r="AC3664" s="19"/>
      <c r="AD3664" s="19"/>
      <c r="AE3664" s="19"/>
      <c r="AF3664" s="19"/>
      <c r="AG3664" s="19"/>
      <c r="AH3664" s="19"/>
      <c r="AI3664" s="19"/>
      <c r="AJ3664" s="19"/>
      <c r="AK3664" s="19"/>
      <c r="AL3664" s="6" t="str">
        <f t="array" ref="AL3664">IFERROR(IFS(XLOOKUP(B3664, 'Kit Delivery Status'!$U:$U, 'Kit Delivery Status'!$K:$K) = "Complete", "DELIVERED", XLOOKUP(B3664, 'Kit Delivery Status'!$U:$U, 'Kit Delivery Status'!$K:$K) = "Issue", "ISSUE"), "")</f>
        <v/>
      </c>
      <c r="AM3664" s="6"/>
    </row>
    <row r="3665">
      <c r="A3665" s="19"/>
      <c r="B3665" s="19"/>
      <c r="C3665" s="19"/>
      <c r="D3665" s="42"/>
      <c r="E3665" s="19"/>
      <c r="F3665" s="19"/>
      <c r="G3665" s="19"/>
      <c r="H3665" s="19"/>
      <c r="I3665" s="19"/>
      <c r="J3665" s="19"/>
      <c r="K3665" s="19"/>
      <c r="L3665" s="19"/>
      <c r="M3665" s="19"/>
      <c r="N3665" s="19"/>
      <c r="O3665" s="43"/>
      <c r="P3665" s="19"/>
      <c r="Q3665" s="19"/>
      <c r="R3665" s="19"/>
      <c r="S3665" s="19"/>
      <c r="T3665" s="19"/>
      <c r="U3665" s="19"/>
      <c r="V3665" s="44"/>
      <c r="W3665" s="19"/>
      <c r="X3665" s="19"/>
      <c r="Y3665" s="19"/>
      <c r="Z3665" s="19"/>
      <c r="AA3665" s="19"/>
      <c r="AB3665" s="19"/>
      <c r="AC3665" s="19"/>
      <c r="AD3665" s="19"/>
      <c r="AE3665" s="19"/>
      <c r="AF3665" s="19"/>
      <c r="AG3665" s="19"/>
      <c r="AH3665" s="19"/>
      <c r="AI3665" s="19"/>
      <c r="AJ3665" s="19"/>
      <c r="AK3665" s="19"/>
      <c r="AL3665" s="6" t="str">
        <f t="array" ref="AL3665">IFERROR(IFS(XLOOKUP(B3665, 'Kit Delivery Status'!$U:$U, 'Kit Delivery Status'!$K:$K) = "Complete", "DELIVERED", XLOOKUP(B3665, 'Kit Delivery Status'!$U:$U, 'Kit Delivery Status'!$K:$K) = "Issue", "ISSUE"), "")</f>
        <v/>
      </c>
      <c r="AM3665" s="6"/>
    </row>
    <row r="3666">
      <c r="A3666" s="19"/>
      <c r="B3666" s="19"/>
      <c r="C3666" s="19"/>
      <c r="D3666" s="42"/>
      <c r="E3666" s="19"/>
      <c r="F3666" s="19"/>
      <c r="G3666" s="19"/>
      <c r="H3666" s="19"/>
      <c r="I3666" s="19"/>
      <c r="J3666" s="19"/>
      <c r="K3666" s="19"/>
      <c r="L3666" s="19"/>
      <c r="M3666" s="19"/>
      <c r="N3666" s="19"/>
      <c r="O3666" s="43"/>
      <c r="P3666" s="19"/>
      <c r="Q3666" s="19"/>
      <c r="R3666" s="19"/>
      <c r="S3666" s="19"/>
      <c r="T3666" s="19"/>
      <c r="U3666" s="19"/>
      <c r="V3666" s="44"/>
      <c r="W3666" s="19"/>
      <c r="X3666" s="19"/>
      <c r="Y3666" s="19"/>
      <c r="Z3666" s="19"/>
      <c r="AA3666" s="19"/>
      <c r="AB3666" s="19"/>
      <c r="AC3666" s="19"/>
      <c r="AD3666" s="19"/>
      <c r="AE3666" s="19"/>
      <c r="AF3666" s="19"/>
      <c r="AG3666" s="19"/>
      <c r="AH3666" s="19"/>
      <c r="AI3666" s="19"/>
      <c r="AJ3666" s="19"/>
      <c r="AK3666" s="19"/>
      <c r="AL3666" s="6" t="str">
        <f t="array" ref="AL3666">IFERROR(IFS(XLOOKUP(B3666, 'Kit Delivery Status'!$U:$U, 'Kit Delivery Status'!$K:$K) = "Complete", "DELIVERED", XLOOKUP(B3666, 'Kit Delivery Status'!$U:$U, 'Kit Delivery Status'!$K:$K) = "Issue", "ISSUE"), "")</f>
        <v/>
      </c>
      <c r="AM3666" s="6"/>
    </row>
    <row r="3667">
      <c r="A3667" s="19"/>
      <c r="B3667" s="19"/>
      <c r="C3667" s="19"/>
      <c r="D3667" s="42"/>
      <c r="E3667" s="19"/>
      <c r="F3667" s="19"/>
      <c r="G3667" s="19"/>
      <c r="H3667" s="19"/>
      <c r="I3667" s="19"/>
      <c r="J3667" s="19"/>
      <c r="K3667" s="19"/>
      <c r="L3667" s="19"/>
      <c r="M3667" s="19"/>
      <c r="N3667" s="19"/>
      <c r="O3667" s="43"/>
      <c r="P3667" s="19"/>
      <c r="Q3667" s="19"/>
      <c r="R3667" s="19"/>
      <c r="S3667" s="19"/>
      <c r="T3667" s="19"/>
      <c r="U3667" s="19"/>
      <c r="V3667" s="44"/>
      <c r="W3667" s="19"/>
      <c r="X3667" s="19"/>
      <c r="Y3667" s="19"/>
      <c r="Z3667" s="19"/>
      <c r="AA3667" s="19"/>
      <c r="AB3667" s="19"/>
      <c r="AC3667" s="19"/>
      <c r="AD3667" s="19"/>
      <c r="AE3667" s="19"/>
      <c r="AF3667" s="19"/>
      <c r="AG3667" s="19"/>
      <c r="AH3667" s="19"/>
      <c r="AI3667" s="19"/>
      <c r="AJ3667" s="19"/>
      <c r="AK3667" s="19"/>
      <c r="AL3667" s="6" t="str">
        <f t="array" ref="AL3667">IFERROR(IFS(XLOOKUP(B3667, 'Kit Delivery Status'!$U:$U, 'Kit Delivery Status'!$K:$K) = "Complete", "DELIVERED", XLOOKUP(B3667, 'Kit Delivery Status'!$U:$U, 'Kit Delivery Status'!$K:$K) = "Issue", "ISSUE"), "")</f>
        <v/>
      </c>
      <c r="AM3667" s="6"/>
    </row>
    <row r="3668">
      <c r="A3668" s="19"/>
      <c r="B3668" s="19"/>
      <c r="C3668" s="19"/>
      <c r="D3668" s="42"/>
      <c r="E3668" s="19"/>
      <c r="F3668" s="19"/>
      <c r="G3668" s="19"/>
      <c r="H3668" s="19"/>
      <c r="I3668" s="19"/>
      <c r="J3668" s="19"/>
      <c r="K3668" s="19"/>
      <c r="L3668" s="19"/>
      <c r="M3668" s="19"/>
      <c r="N3668" s="19"/>
      <c r="O3668" s="43"/>
      <c r="P3668" s="19"/>
      <c r="Q3668" s="19"/>
      <c r="R3668" s="19"/>
      <c r="S3668" s="19"/>
      <c r="T3668" s="19"/>
      <c r="U3668" s="19"/>
      <c r="V3668" s="44"/>
      <c r="W3668" s="19"/>
      <c r="X3668" s="19"/>
      <c r="Y3668" s="19"/>
      <c r="Z3668" s="19"/>
      <c r="AA3668" s="19"/>
      <c r="AB3668" s="19"/>
      <c r="AC3668" s="19"/>
      <c r="AD3668" s="19"/>
      <c r="AE3668" s="19"/>
      <c r="AF3668" s="19"/>
      <c r="AG3668" s="19"/>
      <c r="AH3668" s="19"/>
      <c r="AI3668" s="19"/>
      <c r="AJ3668" s="19"/>
      <c r="AK3668" s="19"/>
      <c r="AL3668" s="6" t="str">
        <f t="array" ref="AL3668">IFERROR(IFS(XLOOKUP(B3668, 'Kit Delivery Status'!$U:$U, 'Kit Delivery Status'!$K:$K) = "Complete", "DELIVERED", XLOOKUP(B3668, 'Kit Delivery Status'!$U:$U, 'Kit Delivery Status'!$K:$K) = "Issue", "ISSUE"), "")</f>
        <v/>
      </c>
      <c r="AM3668" s="6"/>
    </row>
    <row r="3669">
      <c r="A3669" s="19"/>
      <c r="B3669" s="19"/>
      <c r="C3669" s="19"/>
      <c r="D3669" s="42"/>
      <c r="E3669" s="19"/>
      <c r="F3669" s="19"/>
      <c r="G3669" s="19"/>
      <c r="H3669" s="19"/>
      <c r="I3669" s="19"/>
      <c r="J3669" s="19"/>
      <c r="K3669" s="19"/>
      <c r="L3669" s="19"/>
      <c r="M3669" s="19"/>
      <c r="N3669" s="19"/>
      <c r="O3669" s="43"/>
      <c r="P3669" s="19"/>
      <c r="Q3669" s="19"/>
      <c r="R3669" s="19"/>
      <c r="S3669" s="19"/>
      <c r="T3669" s="19"/>
      <c r="U3669" s="19"/>
      <c r="V3669" s="44"/>
      <c r="W3669" s="19"/>
      <c r="X3669" s="19"/>
      <c r="Y3669" s="19"/>
      <c r="Z3669" s="19"/>
      <c r="AA3669" s="19"/>
      <c r="AB3669" s="19"/>
      <c r="AC3669" s="19"/>
      <c r="AD3669" s="19"/>
      <c r="AE3669" s="19"/>
      <c r="AF3669" s="19"/>
      <c r="AG3669" s="19"/>
      <c r="AH3669" s="19"/>
      <c r="AI3669" s="19"/>
      <c r="AJ3669" s="19"/>
      <c r="AK3669" s="19"/>
      <c r="AL3669" s="6" t="str">
        <f t="array" ref="AL3669">IFERROR(IFS(XLOOKUP(B3669, 'Kit Delivery Status'!$U:$U, 'Kit Delivery Status'!$K:$K) = "Complete", "DELIVERED", XLOOKUP(B3669, 'Kit Delivery Status'!$U:$U, 'Kit Delivery Status'!$K:$K) = "Issue", "ISSUE"), "")</f>
        <v/>
      </c>
      <c r="AM3669" s="6"/>
    </row>
    <row r="3670">
      <c r="A3670" s="19"/>
      <c r="B3670" s="19"/>
      <c r="C3670" s="19"/>
      <c r="D3670" s="42"/>
      <c r="E3670" s="19"/>
      <c r="F3670" s="19"/>
      <c r="G3670" s="19"/>
      <c r="H3670" s="19"/>
      <c r="I3670" s="19"/>
      <c r="J3670" s="19"/>
      <c r="K3670" s="19"/>
      <c r="L3670" s="19"/>
      <c r="M3670" s="19"/>
      <c r="N3670" s="19"/>
      <c r="O3670" s="43"/>
      <c r="P3670" s="19"/>
      <c r="Q3670" s="19"/>
      <c r="R3670" s="19"/>
      <c r="S3670" s="19"/>
      <c r="T3670" s="19"/>
      <c r="U3670" s="19"/>
      <c r="V3670" s="44"/>
      <c r="W3670" s="19"/>
      <c r="X3670" s="19"/>
      <c r="Y3670" s="19"/>
      <c r="Z3670" s="19"/>
      <c r="AA3670" s="19"/>
      <c r="AB3670" s="19"/>
      <c r="AC3670" s="19"/>
      <c r="AD3670" s="19"/>
      <c r="AE3670" s="19"/>
      <c r="AF3670" s="19"/>
      <c r="AG3670" s="19"/>
      <c r="AH3670" s="19"/>
      <c r="AI3670" s="19"/>
      <c r="AJ3670" s="19"/>
      <c r="AK3670" s="19"/>
      <c r="AL3670" s="6" t="str">
        <f t="array" ref="AL3670">IFERROR(IFS(XLOOKUP(B3670, 'Kit Delivery Status'!$U:$U, 'Kit Delivery Status'!$K:$K) = "Complete", "DELIVERED", XLOOKUP(B3670, 'Kit Delivery Status'!$U:$U, 'Kit Delivery Status'!$K:$K) = "Issue", "ISSUE"), "")</f>
        <v/>
      </c>
      <c r="AM3670" s="6"/>
    </row>
    <row r="3671">
      <c r="A3671" s="19"/>
      <c r="B3671" s="19"/>
      <c r="C3671" s="19"/>
      <c r="D3671" s="42"/>
      <c r="E3671" s="19"/>
      <c r="F3671" s="19"/>
      <c r="G3671" s="19"/>
      <c r="H3671" s="19"/>
      <c r="I3671" s="19"/>
      <c r="J3671" s="19"/>
      <c r="K3671" s="19"/>
      <c r="L3671" s="19"/>
      <c r="M3671" s="19"/>
      <c r="N3671" s="19"/>
      <c r="O3671" s="43"/>
      <c r="P3671" s="19"/>
      <c r="Q3671" s="19"/>
      <c r="R3671" s="19"/>
      <c r="S3671" s="19"/>
      <c r="T3671" s="19"/>
      <c r="U3671" s="19"/>
      <c r="V3671" s="44"/>
      <c r="W3671" s="19"/>
      <c r="X3671" s="19"/>
      <c r="Y3671" s="19"/>
      <c r="Z3671" s="19"/>
      <c r="AA3671" s="19"/>
      <c r="AB3671" s="19"/>
      <c r="AC3671" s="19"/>
      <c r="AD3671" s="19"/>
      <c r="AE3671" s="19"/>
      <c r="AF3671" s="19"/>
      <c r="AG3671" s="19"/>
      <c r="AH3671" s="19"/>
      <c r="AI3671" s="19"/>
      <c r="AJ3671" s="19"/>
      <c r="AK3671" s="19"/>
      <c r="AL3671" s="6" t="str">
        <f t="array" ref="AL3671">IFERROR(IFS(XLOOKUP(B3671, 'Kit Delivery Status'!$U:$U, 'Kit Delivery Status'!$K:$K) = "Complete", "DELIVERED", XLOOKUP(B3671, 'Kit Delivery Status'!$U:$U, 'Kit Delivery Status'!$K:$K) = "Issue", "ISSUE"), "")</f>
        <v/>
      </c>
      <c r="AM3671" s="6"/>
    </row>
    <row r="3672">
      <c r="A3672" s="19"/>
      <c r="B3672" s="19"/>
      <c r="C3672" s="19"/>
      <c r="D3672" s="42"/>
      <c r="E3672" s="19"/>
      <c r="F3672" s="19"/>
      <c r="G3672" s="19"/>
      <c r="H3672" s="19"/>
      <c r="I3672" s="19"/>
      <c r="J3672" s="19"/>
      <c r="K3672" s="19"/>
      <c r="L3672" s="19"/>
      <c r="M3672" s="19"/>
      <c r="N3672" s="19"/>
      <c r="O3672" s="43"/>
      <c r="P3672" s="19"/>
      <c r="Q3672" s="19"/>
      <c r="R3672" s="19"/>
      <c r="S3672" s="19"/>
      <c r="T3672" s="19"/>
      <c r="U3672" s="19"/>
      <c r="V3672" s="44"/>
      <c r="W3672" s="19"/>
      <c r="X3672" s="19"/>
      <c r="Y3672" s="19"/>
      <c r="Z3672" s="19"/>
      <c r="AA3672" s="19"/>
      <c r="AB3672" s="19"/>
      <c r="AC3672" s="19"/>
      <c r="AD3672" s="19"/>
      <c r="AE3672" s="19"/>
      <c r="AF3672" s="19"/>
      <c r="AG3672" s="19"/>
      <c r="AH3672" s="19"/>
      <c r="AI3672" s="19"/>
      <c r="AJ3672" s="19"/>
      <c r="AK3672" s="19"/>
      <c r="AL3672" s="6" t="str">
        <f t="array" ref="AL3672">IFERROR(IFS(XLOOKUP(B3672, 'Kit Delivery Status'!$U:$U, 'Kit Delivery Status'!$K:$K) = "Complete", "DELIVERED", XLOOKUP(B3672, 'Kit Delivery Status'!$U:$U, 'Kit Delivery Status'!$K:$K) = "Issue", "ISSUE"), "")</f>
        <v/>
      </c>
      <c r="AM3672" s="6"/>
    </row>
    <row r="3673">
      <c r="A3673" s="19"/>
      <c r="B3673" s="19"/>
      <c r="C3673" s="19"/>
      <c r="D3673" s="42"/>
      <c r="E3673" s="19"/>
      <c r="F3673" s="19"/>
      <c r="G3673" s="19"/>
      <c r="H3673" s="19"/>
      <c r="I3673" s="19"/>
      <c r="J3673" s="19"/>
      <c r="K3673" s="19"/>
      <c r="L3673" s="19"/>
      <c r="M3673" s="19"/>
      <c r="N3673" s="19"/>
      <c r="O3673" s="43"/>
      <c r="P3673" s="19"/>
      <c r="Q3673" s="19"/>
      <c r="R3673" s="19"/>
      <c r="S3673" s="19"/>
      <c r="T3673" s="19"/>
      <c r="U3673" s="19"/>
      <c r="V3673" s="44"/>
      <c r="W3673" s="19"/>
      <c r="X3673" s="19"/>
      <c r="Y3673" s="19"/>
      <c r="Z3673" s="19"/>
      <c r="AA3673" s="19"/>
      <c r="AB3673" s="19"/>
      <c r="AC3673" s="19"/>
      <c r="AD3673" s="19"/>
      <c r="AE3673" s="19"/>
      <c r="AF3673" s="19"/>
      <c r="AG3673" s="19"/>
      <c r="AH3673" s="19"/>
      <c r="AI3673" s="19"/>
      <c r="AJ3673" s="19"/>
      <c r="AK3673" s="19"/>
      <c r="AL3673" s="6" t="str">
        <f t="array" ref="AL3673">IFERROR(IFS(XLOOKUP(B3673, 'Kit Delivery Status'!$U:$U, 'Kit Delivery Status'!$K:$K) = "Complete", "DELIVERED", XLOOKUP(B3673, 'Kit Delivery Status'!$U:$U, 'Kit Delivery Status'!$K:$K) = "Issue", "ISSUE"), "")</f>
        <v/>
      </c>
      <c r="AM3673" s="6"/>
    </row>
    <row r="3674">
      <c r="A3674" s="19"/>
      <c r="B3674" s="19"/>
      <c r="C3674" s="19"/>
      <c r="D3674" s="42"/>
      <c r="E3674" s="19"/>
      <c r="F3674" s="19"/>
      <c r="G3674" s="19"/>
      <c r="H3674" s="19"/>
      <c r="I3674" s="19"/>
      <c r="J3674" s="19"/>
      <c r="K3674" s="19"/>
      <c r="L3674" s="19"/>
      <c r="M3674" s="19"/>
      <c r="N3674" s="19"/>
      <c r="O3674" s="43"/>
      <c r="P3674" s="19"/>
      <c r="Q3674" s="19"/>
      <c r="R3674" s="19"/>
      <c r="S3674" s="19"/>
      <c r="T3674" s="19"/>
      <c r="U3674" s="19"/>
      <c r="V3674" s="44"/>
      <c r="W3674" s="19"/>
      <c r="X3674" s="19"/>
      <c r="Y3674" s="19"/>
      <c r="Z3674" s="19"/>
      <c r="AA3674" s="19"/>
      <c r="AB3674" s="19"/>
      <c r="AC3674" s="19"/>
      <c r="AD3674" s="19"/>
      <c r="AE3674" s="19"/>
      <c r="AF3674" s="19"/>
      <c r="AG3674" s="19"/>
      <c r="AH3674" s="19"/>
      <c r="AI3674" s="19"/>
      <c r="AJ3674" s="19"/>
      <c r="AK3674" s="19"/>
      <c r="AL3674" s="6" t="str">
        <f t="array" ref="AL3674">IFERROR(IFS(XLOOKUP(B3674, 'Kit Delivery Status'!$U:$U, 'Kit Delivery Status'!$K:$K) = "Complete", "DELIVERED", XLOOKUP(B3674, 'Kit Delivery Status'!$U:$U, 'Kit Delivery Status'!$K:$K) = "Issue", "ISSUE"), "")</f>
        <v/>
      </c>
      <c r="AM3674" s="6"/>
    </row>
    <row r="3675">
      <c r="A3675" s="19"/>
      <c r="B3675" s="19"/>
      <c r="C3675" s="19"/>
      <c r="D3675" s="42"/>
      <c r="E3675" s="19"/>
      <c r="F3675" s="19"/>
      <c r="G3675" s="19"/>
      <c r="H3675" s="19"/>
      <c r="I3675" s="19"/>
      <c r="J3675" s="19"/>
      <c r="K3675" s="19"/>
      <c r="L3675" s="19"/>
      <c r="M3675" s="19"/>
      <c r="N3675" s="19"/>
      <c r="O3675" s="43"/>
      <c r="P3675" s="19"/>
      <c r="Q3675" s="19"/>
      <c r="R3675" s="19"/>
      <c r="S3675" s="19"/>
      <c r="T3675" s="19"/>
      <c r="U3675" s="19"/>
      <c r="V3675" s="44"/>
      <c r="W3675" s="19"/>
      <c r="X3675" s="19"/>
      <c r="Y3675" s="19"/>
      <c r="Z3675" s="19"/>
      <c r="AA3675" s="19"/>
      <c r="AB3675" s="19"/>
      <c r="AC3675" s="19"/>
      <c r="AD3675" s="19"/>
      <c r="AE3675" s="19"/>
      <c r="AF3675" s="19"/>
      <c r="AG3675" s="19"/>
      <c r="AH3675" s="19"/>
      <c r="AI3675" s="19"/>
      <c r="AJ3675" s="19"/>
      <c r="AK3675" s="19"/>
      <c r="AL3675" s="6" t="str">
        <f t="array" ref="AL3675">IFERROR(IFS(XLOOKUP(B3675, 'Kit Delivery Status'!$U:$U, 'Kit Delivery Status'!$K:$K) = "Complete", "DELIVERED", XLOOKUP(B3675, 'Kit Delivery Status'!$U:$U, 'Kit Delivery Status'!$K:$K) = "Issue", "ISSUE"), "")</f>
        <v/>
      </c>
      <c r="AM3675" s="6"/>
    </row>
    <row r="3676">
      <c r="A3676" s="19"/>
      <c r="B3676" s="19"/>
      <c r="C3676" s="19"/>
      <c r="D3676" s="42"/>
      <c r="E3676" s="19"/>
      <c r="F3676" s="19"/>
      <c r="G3676" s="19"/>
      <c r="H3676" s="19"/>
      <c r="I3676" s="19"/>
      <c r="J3676" s="19"/>
      <c r="K3676" s="19"/>
      <c r="L3676" s="19"/>
      <c r="M3676" s="19"/>
      <c r="N3676" s="19"/>
      <c r="O3676" s="43"/>
      <c r="P3676" s="19"/>
      <c r="Q3676" s="19"/>
      <c r="R3676" s="19"/>
      <c r="S3676" s="19"/>
      <c r="T3676" s="19"/>
      <c r="U3676" s="19"/>
      <c r="V3676" s="44"/>
      <c r="W3676" s="19"/>
      <c r="X3676" s="19"/>
      <c r="Y3676" s="19"/>
      <c r="Z3676" s="19"/>
      <c r="AA3676" s="19"/>
      <c r="AB3676" s="19"/>
      <c r="AC3676" s="19"/>
      <c r="AD3676" s="19"/>
      <c r="AE3676" s="19"/>
      <c r="AF3676" s="19"/>
      <c r="AG3676" s="19"/>
      <c r="AH3676" s="19"/>
      <c r="AI3676" s="19"/>
      <c r="AJ3676" s="19"/>
      <c r="AK3676" s="19"/>
      <c r="AL3676" s="6" t="str">
        <f t="array" ref="AL3676">IFERROR(IFS(XLOOKUP(B3676, 'Kit Delivery Status'!$U:$U, 'Kit Delivery Status'!$K:$K) = "Complete", "DELIVERED", XLOOKUP(B3676, 'Kit Delivery Status'!$U:$U, 'Kit Delivery Status'!$K:$K) = "Issue", "ISSUE"), "")</f>
        <v/>
      </c>
      <c r="AM3676" s="6"/>
    </row>
    <row r="3677">
      <c r="A3677" s="19"/>
      <c r="B3677" s="19"/>
      <c r="C3677" s="19"/>
      <c r="D3677" s="42"/>
      <c r="E3677" s="19"/>
      <c r="F3677" s="19"/>
      <c r="G3677" s="19"/>
      <c r="H3677" s="19"/>
      <c r="I3677" s="19"/>
      <c r="J3677" s="19"/>
      <c r="K3677" s="19"/>
      <c r="L3677" s="19"/>
      <c r="M3677" s="19"/>
      <c r="N3677" s="19"/>
      <c r="O3677" s="43"/>
      <c r="P3677" s="19"/>
      <c r="Q3677" s="19"/>
      <c r="R3677" s="19"/>
      <c r="S3677" s="19"/>
      <c r="T3677" s="19"/>
      <c r="U3677" s="19"/>
      <c r="V3677" s="44"/>
      <c r="W3677" s="19"/>
      <c r="X3677" s="19"/>
      <c r="Y3677" s="19"/>
      <c r="Z3677" s="19"/>
      <c r="AA3677" s="19"/>
      <c r="AB3677" s="19"/>
      <c r="AC3677" s="19"/>
      <c r="AD3677" s="19"/>
      <c r="AE3677" s="19"/>
      <c r="AF3677" s="19"/>
      <c r="AG3677" s="19"/>
      <c r="AH3677" s="19"/>
      <c r="AI3677" s="19"/>
      <c r="AJ3677" s="19"/>
      <c r="AK3677" s="19"/>
      <c r="AL3677" s="6" t="str">
        <f t="array" ref="AL3677">IFERROR(IFS(XLOOKUP(B3677, 'Kit Delivery Status'!$U:$U, 'Kit Delivery Status'!$K:$K) = "Complete", "DELIVERED", XLOOKUP(B3677, 'Kit Delivery Status'!$U:$U, 'Kit Delivery Status'!$K:$K) = "Issue", "ISSUE"), "")</f>
        <v/>
      </c>
      <c r="AM3677" s="6"/>
    </row>
    <row r="3678">
      <c r="A3678" s="19"/>
      <c r="B3678" s="19"/>
      <c r="C3678" s="19"/>
      <c r="D3678" s="42"/>
      <c r="E3678" s="19"/>
      <c r="F3678" s="19"/>
      <c r="G3678" s="19"/>
      <c r="H3678" s="19"/>
      <c r="I3678" s="19"/>
      <c r="J3678" s="19"/>
      <c r="K3678" s="19"/>
      <c r="L3678" s="19"/>
      <c r="M3678" s="19"/>
      <c r="N3678" s="19"/>
      <c r="O3678" s="43"/>
      <c r="P3678" s="19"/>
      <c r="Q3678" s="19"/>
      <c r="R3678" s="19"/>
      <c r="S3678" s="19"/>
      <c r="T3678" s="19"/>
      <c r="U3678" s="19"/>
      <c r="V3678" s="44"/>
      <c r="W3678" s="19"/>
      <c r="X3678" s="19"/>
      <c r="Y3678" s="19"/>
      <c r="Z3678" s="19"/>
      <c r="AA3678" s="19"/>
      <c r="AB3678" s="19"/>
      <c r="AC3678" s="19"/>
      <c r="AD3678" s="19"/>
      <c r="AE3678" s="19"/>
      <c r="AF3678" s="19"/>
      <c r="AG3678" s="19"/>
      <c r="AH3678" s="19"/>
      <c r="AI3678" s="19"/>
      <c r="AJ3678" s="19"/>
      <c r="AK3678" s="19"/>
      <c r="AL3678" s="6" t="str">
        <f t="array" ref="AL3678">IFERROR(IFS(XLOOKUP(B3678, 'Kit Delivery Status'!$U:$U, 'Kit Delivery Status'!$K:$K) = "Complete", "DELIVERED", XLOOKUP(B3678, 'Kit Delivery Status'!$U:$U, 'Kit Delivery Status'!$K:$K) = "Issue", "ISSUE"), "")</f>
        <v/>
      </c>
      <c r="AM3678" s="6"/>
    </row>
    <row r="3679">
      <c r="A3679" s="19"/>
      <c r="B3679" s="19"/>
      <c r="C3679" s="19"/>
      <c r="D3679" s="42"/>
      <c r="E3679" s="19"/>
      <c r="F3679" s="19"/>
      <c r="G3679" s="19"/>
      <c r="H3679" s="19"/>
      <c r="I3679" s="19"/>
      <c r="J3679" s="19"/>
      <c r="K3679" s="19"/>
      <c r="L3679" s="19"/>
      <c r="M3679" s="19"/>
      <c r="N3679" s="19"/>
      <c r="O3679" s="43"/>
      <c r="P3679" s="19"/>
      <c r="Q3679" s="19"/>
      <c r="R3679" s="19"/>
      <c r="S3679" s="19"/>
      <c r="T3679" s="19"/>
      <c r="U3679" s="19"/>
      <c r="V3679" s="44"/>
      <c r="W3679" s="19"/>
      <c r="X3679" s="19"/>
      <c r="Y3679" s="19"/>
      <c r="Z3679" s="19"/>
      <c r="AA3679" s="19"/>
      <c r="AB3679" s="19"/>
      <c r="AC3679" s="19"/>
      <c r="AD3679" s="19"/>
      <c r="AE3679" s="19"/>
      <c r="AF3679" s="19"/>
      <c r="AG3679" s="19"/>
      <c r="AH3679" s="19"/>
      <c r="AI3679" s="19"/>
      <c r="AJ3679" s="19"/>
      <c r="AK3679" s="19"/>
      <c r="AL3679" s="6" t="str">
        <f t="array" ref="AL3679">IFERROR(IFS(XLOOKUP(B3679, 'Kit Delivery Status'!$U:$U, 'Kit Delivery Status'!$K:$K) = "Complete", "DELIVERED", XLOOKUP(B3679, 'Kit Delivery Status'!$U:$U, 'Kit Delivery Status'!$K:$K) = "Issue", "ISSUE"), "")</f>
        <v/>
      </c>
      <c r="AM3679" s="6"/>
    </row>
    <row r="3680">
      <c r="A3680" s="19"/>
      <c r="B3680" s="19"/>
      <c r="C3680" s="19"/>
      <c r="D3680" s="42"/>
      <c r="E3680" s="19"/>
      <c r="F3680" s="19"/>
      <c r="G3680" s="19"/>
      <c r="H3680" s="19"/>
      <c r="I3680" s="19"/>
      <c r="J3680" s="19"/>
      <c r="K3680" s="19"/>
      <c r="L3680" s="19"/>
      <c r="M3680" s="19"/>
      <c r="N3680" s="19"/>
      <c r="O3680" s="43"/>
      <c r="P3680" s="19"/>
      <c r="Q3680" s="19"/>
      <c r="R3680" s="19"/>
      <c r="S3680" s="19"/>
      <c r="T3680" s="19"/>
      <c r="U3680" s="19"/>
      <c r="V3680" s="44"/>
      <c r="W3680" s="19"/>
      <c r="X3680" s="19"/>
      <c r="Y3680" s="19"/>
      <c r="Z3680" s="19"/>
      <c r="AA3680" s="19"/>
      <c r="AB3680" s="19"/>
      <c r="AC3680" s="19"/>
      <c r="AD3680" s="19"/>
      <c r="AE3680" s="19"/>
      <c r="AF3680" s="19"/>
      <c r="AG3680" s="19"/>
      <c r="AH3680" s="19"/>
      <c r="AI3680" s="19"/>
      <c r="AJ3680" s="19"/>
      <c r="AK3680" s="19"/>
      <c r="AL3680" s="6" t="str">
        <f t="array" ref="AL3680">IFERROR(IFS(XLOOKUP(B3680, 'Kit Delivery Status'!$U:$U, 'Kit Delivery Status'!$K:$K) = "Complete", "DELIVERED", XLOOKUP(B3680, 'Kit Delivery Status'!$U:$U, 'Kit Delivery Status'!$K:$K) = "Issue", "ISSUE"), "")</f>
        <v/>
      </c>
      <c r="AM3680" s="6"/>
    </row>
    <row r="3681">
      <c r="A3681" s="19"/>
      <c r="B3681" s="19"/>
      <c r="C3681" s="19"/>
      <c r="D3681" s="42"/>
      <c r="E3681" s="19"/>
      <c r="F3681" s="19"/>
      <c r="G3681" s="19"/>
      <c r="H3681" s="19"/>
      <c r="I3681" s="19"/>
      <c r="J3681" s="19"/>
      <c r="K3681" s="19"/>
      <c r="L3681" s="19"/>
      <c r="M3681" s="19"/>
      <c r="N3681" s="19"/>
      <c r="O3681" s="43"/>
      <c r="P3681" s="19"/>
      <c r="Q3681" s="19"/>
      <c r="R3681" s="19"/>
      <c r="S3681" s="19"/>
      <c r="T3681" s="19"/>
      <c r="U3681" s="19"/>
      <c r="V3681" s="44"/>
      <c r="W3681" s="19"/>
      <c r="X3681" s="19"/>
      <c r="Y3681" s="19"/>
      <c r="Z3681" s="19"/>
      <c r="AA3681" s="19"/>
      <c r="AB3681" s="19"/>
      <c r="AC3681" s="19"/>
      <c r="AD3681" s="19"/>
      <c r="AE3681" s="19"/>
      <c r="AF3681" s="19"/>
      <c r="AG3681" s="19"/>
      <c r="AH3681" s="19"/>
      <c r="AI3681" s="19"/>
      <c r="AJ3681" s="19"/>
      <c r="AK3681" s="19"/>
      <c r="AL3681" s="6" t="str">
        <f t="array" ref="AL3681">IFERROR(IFS(XLOOKUP(B3681, 'Kit Delivery Status'!$U:$U, 'Kit Delivery Status'!$K:$K) = "Complete", "DELIVERED", XLOOKUP(B3681, 'Kit Delivery Status'!$U:$U, 'Kit Delivery Status'!$K:$K) = "Issue", "ISSUE"), "")</f>
        <v/>
      </c>
      <c r="AM3681" s="6"/>
    </row>
    <row r="3682">
      <c r="A3682" s="19"/>
      <c r="B3682" s="19"/>
      <c r="C3682" s="19"/>
      <c r="D3682" s="42"/>
      <c r="E3682" s="19"/>
      <c r="F3682" s="19"/>
      <c r="G3682" s="19"/>
      <c r="H3682" s="19"/>
      <c r="I3682" s="19"/>
      <c r="J3682" s="19"/>
      <c r="K3682" s="19"/>
      <c r="L3682" s="19"/>
      <c r="M3682" s="19"/>
      <c r="N3682" s="19"/>
      <c r="O3682" s="43"/>
      <c r="P3682" s="19"/>
      <c r="Q3682" s="19"/>
      <c r="R3682" s="19"/>
      <c r="S3682" s="19"/>
      <c r="T3682" s="19"/>
      <c r="U3682" s="19"/>
      <c r="V3682" s="44"/>
      <c r="W3682" s="19"/>
      <c r="X3682" s="19"/>
      <c r="Y3682" s="19"/>
      <c r="Z3682" s="19"/>
      <c r="AA3682" s="19"/>
      <c r="AB3682" s="19"/>
      <c r="AC3682" s="19"/>
      <c r="AD3682" s="19"/>
      <c r="AE3682" s="19"/>
      <c r="AF3682" s="19"/>
      <c r="AG3682" s="19"/>
      <c r="AH3682" s="19"/>
      <c r="AI3682" s="19"/>
      <c r="AJ3682" s="19"/>
      <c r="AK3682" s="19"/>
      <c r="AL3682" s="6" t="str">
        <f t="array" ref="AL3682">IFERROR(IFS(XLOOKUP(B3682, 'Kit Delivery Status'!$U:$U, 'Kit Delivery Status'!$K:$K) = "Complete", "DELIVERED", XLOOKUP(B3682, 'Kit Delivery Status'!$U:$U, 'Kit Delivery Status'!$K:$K) = "Issue", "ISSUE"), "")</f>
        <v/>
      </c>
      <c r="AM3682" s="6"/>
    </row>
    <row r="3683">
      <c r="A3683" s="19"/>
      <c r="B3683" s="19"/>
      <c r="C3683" s="19"/>
      <c r="D3683" s="42"/>
      <c r="E3683" s="19"/>
      <c r="F3683" s="19"/>
      <c r="G3683" s="19"/>
      <c r="H3683" s="19"/>
      <c r="I3683" s="19"/>
      <c r="J3683" s="19"/>
      <c r="K3683" s="19"/>
      <c r="L3683" s="19"/>
      <c r="M3683" s="19"/>
      <c r="N3683" s="19"/>
      <c r="O3683" s="43"/>
      <c r="P3683" s="19"/>
      <c r="Q3683" s="19"/>
      <c r="R3683" s="19"/>
      <c r="S3683" s="19"/>
      <c r="T3683" s="19"/>
      <c r="U3683" s="19"/>
      <c r="V3683" s="44"/>
      <c r="W3683" s="19"/>
      <c r="X3683" s="19"/>
      <c r="Y3683" s="19"/>
      <c r="Z3683" s="19"/>
      <c r="AA3683" s="19"/>
      <c r="AB3683" s="19"/>
      <c r="AC3683" s="19"/>
      <c r="AD3683" s="19"/>
      <c r="AE3683" s="19"/>
      <c r="AF3683" s="19"/>
      <c r="AG3683" s="19"/>
      <c r="AH3683" s="19"/>
      <c r="AI3683" s="19"/>
      <c r="AJ3683" s="19"/>
      <c r="AK3683" s="19"/>
      <c r="AL3683" s="6" t="str">
        <f t="array" ref="AL3683">IFERROR(IFS(XLOOKUP(B3683, 'Kit Delivery Status'!$U:$U, 'Kit Delivery Status'!$K:$K) = "Complete", "DELIVERED", XLOOKUP(B3683, 'Kit Delivery Status'!$U:$U, 'Kit Delivery Status'!$K:$K) = "Issue", "ISSUE"), "")</f>
        <v/>
      </c>
      <c r="AM3683" s="6"/>
    </row>
    <row r="3684">
      <c r="A3684" s="19"/>
      <c r="B3684" s="19"/>
      <c r="C3684" s="19"/>
      <c r="D3684" s="42"/>
      <c r="E3684" s="19"/>
      <c r="F3684" s="19"/>
      <c r="G3684" s="19"/>
      <c r="H3684" s="19"/>
      <c r="I3684" s="19"/>
      <c r="J3684" s="19"/>
      <c r="K3684" s="19"/>
      <c r="L3684" s="19"/>
      <c r="M3684" s="19"/>
      <c r="N3684" s="19"/>
      <c r="O3684" s="43"/>
      <c r="P3684" s="19"/>
      <c r="Q3684" s="19"/>
      <c r="R3684" s="19"/>
      <c r="S3684" s="19"/>
      <c r="T3684" s="19"/>
      <c r="U3684" s="19"/>
      <c r="V3684" s="44"/>
      <c r="W3684" s="19"/>
      <c r="X3684" s="19"/>
      <c r="Y3684" s="19"/>
      <c r="Z3684" s="19"/>
      <c r="AA3684" s="19"/>
      <c r="AB3684" s="19"/>
      <c r="AC3684" s="19"/>
      <c r="AD3684" s="19"/>
      <c r="AE3684" s="19"/>
      <c r="AF3684" s="19"/>
      <c r="AG3684" s="19"/>
      <c r="AH3684" s="19"/>
      <c r="AI3684" s="19"/>
      <c r="AJ3684" s="19"/>
      <c r="AK3684" s="19"/>
      <c r="AL3684" s="6" t="str">
        <f t="array" ref="AL3684">IFERROR(IFS(XLOOKUP(B3684, 'Kit Delivery Status'!$U:$U, 'Kit Delivery Status'!$K:$K) = "Complete", "DELIVERED", XLOOKUP(B3684, 'Kit Delivery Status'!$U:$U, 'Kit Delivery Status'!$K:$K) = "Issue", "ISSUE"), "")</f>
        <v/>
      </c>
      <c r="AM3684" s="6"/>
    </row>
    <row r="3685">
      <c r="A3685" s="19"/>
      <c r="B3685" s="19"/>
      <c r="C3685" s="19"/>
      <c r="D3685" s="42"/>
      <c r="E3685" s="19"/>
      <c r="F3685" s="19"/>
      <c r="G3685" s="19"/>
      <c r="H3685" s="19"/>
      <c r="I3685" s="19"/>
      <c r="J3685" s="19"/>
      <c r="K3685" s="19"/>
      <c r="L3685" s="19"/>
      <c r="M3685" s="19"/>
      <c r="N3685" s="19"/>
      <c r="O3685" s="43"/>
      <c r="P3685" s="19"/>
      <c r="Q3685" s="19"/>
      <c r="R3685" s="19"/>
      <c r="S3685" s="19"/>
      <c r="T3685" s="19"/>
      <c r="U3685" s="19"/>
      <c r="V3685" s="44"/>
      <c r="W3685" s="19"/>
      <c r="X3685" s="19"/>
      <c r="Y3685" s="19"/>
      <c r="Z3685" s="19"/>
      <c r="AA3685" s="19"/>
      <c r="AB3685" s="19"/>
      <c r="AC3685" s="19"/>
      <c r="AD3685" s="19"/>
      <c r="AE3685" s="19"/>
      <c r="AF3685" s="19"/>
      <c r="AG3685" s="19"/>
      <c r="AH3685" s="19"/>
      <c r="AI3685" s="19"/>
      <c r="AJ3685" s="19"/>
      <c r="AK3685" s="19"/>
      <c r="AL3685" s="6" t="str">
        <f t="array" ref="AL3685">IFERROR(IFS(XLOOKUP(B3685, 'Kit Delivery Status'!$U:$U, 'Kit Delivery Status'!$K:$K) = "Complete", "DELIVERED", XLOOKUP(B3685, 'Kit Delivery Status'!$U:$U, 'Kit Delivery Status'!$K:$K) = "Issue", "ISSUE"), "")</f>
        <v/>
      </c>
      <c r="AM3685" s="6"/>
    </row>
    <row r="3686">
      <c r="A3686" s="19"/>
      <c r="B3686" s="19"/>
      <c r="C3686" s="19"/>
      <c r="D3686" s="42"/>
      <c r="E3686" s="19"/>
      <c r="F3686" s="19"/>
      <c r="G3686" s="19"/>
      <c r="H3686" s="19"/>
      <c r="I3686" s="19"/>
      <c r="J3686" s="19"/>
      <c r="K3686" s="19"/>
      <c r="L3686" s="19"/>
      <c r="M3686" s="19"/>
      <c r="N3686" s="19"/>
      <c r="O3686" s="43"/>
      <c r="P3686" s="19"/>
      <c r="Q3686" s="19"/>
      <c r="R3686" s="19"/>
      <c r="S3686" s="19"/>
      <c r="T3686" s="19"/>
      <c r="U3686" s="19"/>
      <c r="V3686" s="44"/>
      <c r="W3686" s="19"/>
      <c r="X3686" s="19"/>
      <c r="Y3686" s="19"/>
      <c r="Z3686" s="19"/>
      <c r="AA3686" s="19"/>
      <c r="AB3686" s="19"/>
      <c r="AC3686" s="19"/>
      <c r="AD3686" s="19"/>
      <c r="AE3686" s="19"/>
      <c r="AF3686" s="19"/>
      <c r="AG3686" s="19"/>
      <c r="AH3686" s="19"/>
      <c r="AI3686" s="19"/>
      <c r="AJ3686" s="19"/>
      <c r="AK3686" s="19"/>
      <c r="AL3686" s="6" t="str">
        <f t="array" ref="AL3686">IFERROR(IFS(XLOOKUP(B3686, 'Kit Delivery Status'!$U:$U, 'Kit Delivery Status'!$K:$K) = "Complete", "DELIVERED", XLOOKUP(B3686, 'Kit Delivery Status'!$U:$U, 'Kit Delivery Status'!$K:$K) = "Issue", "ISSUE"), "")</f>
        <v/>
      </c>
      <c r="AM3686" s="6"/>
    </row>
    <row r="3687">
      <c r="A3687" s="19"/>
      <c r="B3687" s="19"/>
      <c r="C3687" s="19"/>
      <c r="D3687" s="42"/>
      <c r="E3687" s="19"/>
      <c r="F3687" s="19"/>
      <c r="G3687" s="19"/>
      <c r="H3687" s="19"/>
      <c r="I3687" s="19"/>
      <c r="J3687" s="19"/>
      <c r="K3687" s="19"/>
      <c r="L3687" s="19"/>
      <c r="M3687" s="19"/>
      <c r="N3687" s="19"/>
      <c r="O3687" s="43"/>
      <c r="P3687" s="19"/>
      <c r="Q3687" s="19"/>
      <c r="R3687" s="19"/>
      <c r="S3687" s="19"/>
      <c r="T3687" s="19"/>
      <c r="U3687" s="19"/>
      <c r="V3687" s="44"/>
      <c r="W3687" s="19"/>
      <c r="X3687" s="19"/>
      <c r="Y3687" s="19"/>
      <c r="Z3687" s="19"/>
      <c r="AA3687" s="19"/>
      <c r="AB3687" s="19"/>
      <c r="AC3687" s="19"/>
      <c r="AD3687" s="19"/>
      <c r="AE3687" s="19"/>
      <c r="AF3687" s="19"/>
      <c r="AG3687" s="19"/>
      <c r="AH3687" s="19"/>
      <c r="AI3687" s="19"/>
      <c r="AJ3687" s="19"/>
      <c r="AK3687" s="19"/>
      <c r="AL3687" s="6" t="str">
        <f t="array" ref="AL3687">IFERROR(IFS(XLOOKUP(B3687, 'Kit Delivery Status'!$U:$U, 'Kit Delivery Status'!$K:$K) = "Complete", "DELIVERED", XLOOKUP(B3687, 'Kit Delivery Status'!$U:$U, 'Kit Delivery Status'!$K:$K) = "Issue", "ISSUE"), "")</f>
        <v/>
      </c>
      <c r="AM3687" s="6"/>
    </row>
    <row r="3688">
      <c r="A3688" s="19"/>
      <c r="B3688" s="19"/>
      <c r="C3688" s="19"/>
      <c r="D3688" s="42"/>
      <c r="E3688" s="19"/>
      <c r="F3688" s="19"/>
      <c r="G3688" s="19"/>
      <c r="H3688" s="19"/>
      <c r="I3688" s="19"/>
      <c r="J3688" s="19"/>
      <c r="K3688" s="19"/>
      <c r="L3688" s="19"/>
      <c r="M3688" s="19"/>
      <c r="N3688" s="19"/>
      <c r="O3688" s="43"/>
      <c r="P3688" s="19"/>
      <c r="Q3688" s="19"/>
      <c r="R3688" s="19"/>
      <c r="S3688" s="19"/>
      <c r="T3688" s="19"/>
      <c r="U3688" s="19"/>
      <c r="V3688" s="44"/>
      <c r="W3688" s="19"/>
      <c r="X3688" s="19"/>
      <c r="Y3688" s="19"/>
      <c r="Z3688" s="19"/>
      <c r="AA3688" s="19"/>
      <c r="AB3688" s="19"/>
      <c r="AC3688" s="19"/>
      <c r="AD3688" s="19"/>
      <c r="AE3688" s="19"/>
      <c r="AF3688" s="19"/>
      <c r="AG3688" s="19"/>
      <c r="AH3688" s="19"/>
      <c r="AI3688" s="19"/>
      <c r="AJ3688" s="19"/>
      <c r="AK3688" s="19"/>
      <c r="AL3688" s="6" t="str">
        <f t="array" ref="AL3688">IFERROR(IFS(XLOOKUP(B3688, 'Kit Delivery Status'!$U:$U, 'Kit Delivery Status'!$K:$K) = "Complete", "DELIVERED", XLOOKUP(B3688, 'Kit Delivery Status'!$U:$U, 'Kit Delivery Status'!$K:$K) = "Issue", "ISSUE"), "")</f>
        <v/>
      </c>
      <c r="AM3688" s="6"/>
    </row>
    <row r="3689">
      <c r="A3689" s="19"/>
      <c r="B3689" s="19"/>
      <c r="C3689" s="19"/>
      <c r="D3689" s="42"/>
      <c r="E3689" s="19"/>
      <c r="F3689" s="19"/>
      <c r="G3689" s="19"/>
      <c r="H3689" s="19"/>
      <c r="I3689" s="19"/>
      <c r="J3689" s="19"/>
      <c r="K3689" s="19"/>
      <c r="L3689" s="19"/>
      <c r="M3689" s="19"/>
      <c r="N3689" s="19"/>
      <c r="O3689" s="43"/>
      <c r="P3689" s="19"/>
      <c r="Q3689" s="19"/>
      <c r="R3689" s="19"/>
      <c r="S3689" s="19"/>
      <c r="T3689" s="19"/>
      <c r="U3689" s="19"/>
      <c r="V3689" s="44"/>
      <c r="W3689" s="19"/>
      <c r="X3689" s="19"/>
      <c r="Y3689" s="19"/>
      <c r="Z3689" s="19"/>
      <c r="AA3689" s="19"/>
      <c r="AB3689" s="19"/>
      <c r="AC3689" s="19"/>
      <c r="AD3689" s="19"/>
      <c r="AE3689" s="19"/>
      <c r="AF3689" s="19"/>
      <c r="AG3689" s="19"/>
      <c r="AH3689" s="19"/>
      <c r="AI3689" s="19"/>
      <c r="AJ3689" s="19"/>
      <c r="AK3689" s="19"/>
      <c r="AL3689" s="6" t="str">
        <f t="array" ref="AL3689">IFERROR(IFS(XLOOKUP(B3689, 'Kit Delivery Status'!$U:$U, 'Kit Delivery Status'!$K:$K) = "Complete", "DELIVERED", XLOOKUP(B3689, 'Kit Delivery Status'!$U:$U, 'Kit Delivery Status'!$K:$K) = "Issue", "ISSUE"), "")</f>
        <v/>
      </c>
      <c r="AM3689" s="6"/>
    </row>
    <row r="3690">
      <c r="A3690" s="19"/>
      <c r="B3690" s="19"/>
      <c r="C3690" s="19"/>
      <c r="D3690" s="42"/>
      <c r="E3690" s="19"/>
      <c r="F3690" s="19"/>
      <c r="G3690" s="19"/>
      <c r="H3690" s="19"/>
      <c r="I3690" s="19"/>
      <c r="J3690" s="19"/>
      <c r="K3690" s="19"/>
      <c r="L3690" s="19"/>
      <c r="M3690" s="19"/>
      <c r="N3690" s="19"/>
      <c r="O3690" s="43"/>
      <c r="P3690" s="19"/>
      <c r="Q3690" s="19"/>
      <c r="R3690" s="19"/>
      <c r="S3690" s="19"/>
      <c r="T3690" s="19"/>
      <c r="U3690" s="19"/>
      <c r="V3690" s="44"/>
      <c r="W3690" s="19"/>
      <c r="X3690" s="19"/>
      <c r="Y3690" s="19"/>
      <c r="Z3690" s="19"/>
      <c r="AA3690" s="19"/>
      <c r="AB3690" s="19"/>
      <c r="AC3690" s="19"/>
      <c r="AD3690" s="19"/>
      <c r="AE3690" s="19"/>
      <c r="AF3690" s="19"/>
      <c r="AG3690" s="19"/>
      <c r="AH3690" s="19"/>
      <c r="AI3690" s="19"/>
      <c r="AJ3690" s="19"/>
      <c r="AK3690" s="19"/>
      <c r="AL3690" s="6" t="str">
        <f t="array" ref="AL3690">IFERROR(IFS(XLOOKUP(B3690, 'Kit Delivery Status'!$U:$U, 'Kit Delivery Status'!$K:$K) = "Complete", "DELIVERED", XLOOKUP(B3690, 'Kit Delivery Status'!$U:$U, 'Kit Delivery Status'!$K:$K) = "Issue", "ISSUE"), "")</f>
        <v/>
      </c>
      <c r="AM3690" s="6"/>
    </row>
    <row r="3691">
      <c r="A3691" s="19"/>
      <c r="B3691" s="19"/>
      <c r="C3691" s="19"/>
      <c r="D3691" s="42"/>
      <c r="E3691" s="19"/>
      <c r="F3691" s="19"/>
      <c r="G3691" s="19"/>
      <c r="H3691" s="19"/>
      <c r="I3691" s="19"/>
      <c r="J3691" s="19"/>
      <c r="K3691" s="19"/>
      <c r="L3691" s="19"/>
      <c r="M3691" s="19"/>
      <c r="N3691" s="19"/>
      <c r="O3691" s="43"/>
      <c r="P3691" s="19"/>
      <c r="Q3691" s="19"/>
      <c r="R3691" s="19"/>
      <c r="S3691" s="19"/>
      <c r="T3691" s="19"/>
      <c r="U3691" s="19"/>
      <c r="V3691" s="44"/>
      <c r="W3691" s="19"/>
      <c r="X3691" s="19"/>
      <c r="Y3691" s="19"/>
      <c r="Z3691" s="19"/>
      <c r="AA3691" s="19"/>
      <c r="AB3691" s="19"/>
      <c r="AC3691" s="19"/>
      <c r="AD3691" s="19"/>
      <c r="AE3691" s="19"/>
      <c r="AF3691" s="19"/>
      <c r="AG3691" s="19"/>
      <c r="AH3691" s="19"/>
      <c r="AI3691" s="19"/>
      <c r="AJ3691" s="19"/>
      <c r="AK3691" s="19"/>
      <c r="AL3691" s="6" t="str">
        <f t="array" ref="AL3691">IFERROR(IFS(XLOOKUP(B3691, 'Kit Delivery Status'!$U:$U, 'Kit Delivery Status'!$K:$K) = "Complete", "DELIVERED", XLOOKUP(B3691, 'Kit Delivery Status'!$U:$U, 'Kit Delivery Status'!$K:$K) = "Issue", "ISSUE"), "")</f>
        <v/>
      </c>
      <c r="AM3691" s="6"/>
    </row>
    <row r="3692">
      <c r="A3692" s="19"/>
      <c r="B3692" s="19"/>
      <c r="C3692" s="19"/>
      <c r="D3692" s="42"/>
      <c r="E3692" s="19"/>
      <c r="F3692" s="19"/>
      <c r="G3692" s="19"/>
      <c r="H3692" s="19"/>
      <c r="I3692" s="19"/>
      <c r="J3692" s="19"/>
      <c r="K3692" s="19"/>
      <c r="L3692" s="19"/>
      <c r="M3692" s="19"/>
      <c r="N3692" s="19"/>
      <c r="O3692" s="43"/>
      <c r="P3692" s="19"/>
      <c r="Q3692" s="19"/>
      <c r="R3692" s="19"/>
      <c r="S3692" s="19"/>
      <c r="T3692" s="19"/>
      <c r="U3692" s="19"/>
      <c r="V3692" s="44"/>
      <c r="W3692" s="19"/>
      <c r="X3692" s="19"/>
      <c r="Y3692" s="19"/>
      <c r="Z3692" s="19"/>
      <c r="AA3692" s="19"/>
      <c r="AB3692" s="19"/>
      <c r="AC3692" s="19"/>
      <c r="AD3692" s="19"/>
      <c r="AE3692" s="19"/>
      <c r="AF3692" s="19"/>
      <c r="AG3692" s="19"/>
      <c r="AH3692" s="19"/>
      <c r="AI3692" s="19"/>
      <c r="AJ3692" s="19"/>
      <c r="AK3692" s="19"/>
      <c r="AL3692" s="6" t="str">
        <f t="array" ref="AL3692">IFERROR(IFS(XLOOKUP(B3692, 'Kit Delivery Status'!$U:$U, 'Kit Delivery Status'!$K:$K) = "Complete", "DELIVERED", XLOOKUP(B3692, 'Kit Delivery Status'!$U:$U, 'Kit Delivery Status'!$K:$K) = "Issue", "ISSUE"), "")</f>
        <v/>
      </c>
      <c r="AM3692" s="6"/>
    </row>
    <row r="3693">
      <c r="A3693" s="19"/>
      <c r="B3693" s="19"/>
      <c r="C3693" s="19"/>
      <c r="D3693" s="42"/>
      <c r="E3693" s="19"/>
      <c r="F3693" s="19"/>
      <c r="G3693" s="19"/>
      <c r="H3693" s="19"/>
      <c r="I3693" s="19"/>
      <c r="J3693" s="19"/>
      <c r="K3693" s="19"/>
      <c r="L3693" s="19"/>
      <c r="M3693" s="19"/>
      <c r="N3693" s="19"/>
      <c r="O3693" s="43"/>
      <c r="P3693" s="19"/>
      <c r="Q3693" s="19"/>
      <c r="R3693" s="19"/>
      <c r="S3693" s="19"/>
      <c r="T3693" s="19"/>
      <c r="U3693" s="19"/>
      <c r="V3693" s="44"/>
      <c r="W3693" s="19"/>
      <c r="X3693" s="19"/>
      <c r="Y3693" s="19"/>
      <c r="Z3693" s="19"/>
      <c r="AA3693" s="19"/>
      <c r="AB3693" s="19"/>
      <c r="AC3693" s="19"/>
      <c r="AD3693" s="19"/>
      <c r="AE3693" s="19"/>
      <c r="AF3693" s="19"/>
      <c r="AG3693" s="19"/>
      <c r="AH3693" s="19"/>
      <c r="AI3693" s="19"/>
      <c r="AJ3693" s="19"/>
      <c r="AK3693" s="19"/>
      <c r="AL3693" s="6" t="str">
        <f t="array" ref="AL3693">IFERROR(IFS(XLOOKUP(B3693, 'Kit Delivery Status'!$U:$U, 'Kit Delivery Status'!$K:$K) = "Complete", "DELIVERED", XLOOKUP(B3693, 'Kit Delivery Status'!$U:$U, 'Kit Delivery Status'!$K:$K) = "Issue", "ISSUE"), "")</f>
        <v/>
      </c>
      <c r="AM3693" s="6"/>
    </row>
    <row r="3694">
      <c r="A3694" s="19"/>
      <c r="B3694" s="19"/>
      <c r="C3694" s="19"/>
      <c r="D3694" s="42"/>
      <c r="E3694" s="19"/>
      <c r="F3694" s="19"/>
      <c r="G3694" s="19"/>
      <c r="H3694" s="19"/>
      <c r="I3694" s="19"/>
      <c r="J3694" s="19"/>
      <c r="K3694" s="19"/>
      <c r="L3694" s="19"/>
      <c r="M3694" s="19"/>
      <c r="N3694" s="19"/>
      <c r="O3694" s="43"/>
      <c r="P3694" s="19"/>
      <c r="Q3694" s="19"/>
      <c r="R3694" s="19"/>
      <c r="S3694" s="19"/>
      <c r="T3694" s="19"/>
      <c r="U3694" s="19"/>
      <c r="V3694" s="44"/>
      <c r="W3694" s="19"/>
      <c r="X3694" s="19"/>
      <c r="Y3694" s="19"/>
      <c r="Z3694" s="19"/>
      <c r="AA3694" s="19"/>
      <c r="AB3694" s="19"/>
      <c r="AC3694" s="19"/>
      <c r="AD3694" s="19"/>
      <c r="AE3694" s="19"/>
      <c r="AF3694" s="19"/>
      <c r="AG3694" s="19"/>
      <c r="AH3694" s="19"/>
      <c r="AI3694" s="19"/>
      <c r="AJ3694" s="19"/>
      <c r="AK3694" s="19"/>
      <c r="AL3694" s="6" t="str">
        <f t="array" ref="AL3694">IFERROR(IFS(XLOOKUP(B3694, 'Kit Delivery Status'!$U:$U, 'Kit Delivery Status'!$K:$K) = "Complete", "DELIVERED", XLOOKUP(B3694, 'Kit Delivery Status'!$U:$U, 'Kit Delivery Status'!$K:$K) = "Issue", "ISSUE"), "")</f>
        <v/>
      </c>
      <c r="AM3694" s="6"/>
    </row>
    <row r="3695">
      <c r="A3695" s="19"/>
      <c r="B3695" s="19"/>
      <c r="C3695" s="19"/>
      <c r="D3695" s="42"/>
      <c r="E3695" s="19"/>
      <c r="F3695" s="19"/>
      <c r="G3695" s="19"/>
      <c r="H3695" s="19"/>
      <c r="I3695" s="19"/>
      <c r="J3695" s="19"/>
      <c r="K3695" s="19"/>
      <c r="L3695" s="19"/>
      <c r="M3695" s="19"/>
      <c r="N3695" s="19"/>
      <c r="O3695" s="43"/>
      <c r="P3695" s="19"/>
      <c r="Q3695" s="19"/>
      <c r="R3695" s="19"/>
      <c r="S3695" s="19"/>
      <c r="T3695" s="19"/>
      <c r="U3695" s="19"/>
      <c r="V3695" s="44"/>
      <c r="W3695" s="19"/>
      <c r="X3695" s="19"/>
      <c r="Y3695" s="19"/>
      <c r="Z3695" s="19"/>
      <c r="AA3695" s="19"/>
      <c r="AB3695" s="19"/>
      <c r="AC3695" s="19"/>
      <c r="AD3695" s="19"/>
      <c r="AE3695" s="19"/>
      <c r="AF3695" s="19"/>
      <c r="AG3695" s="19"/>
      <c r="AH3695" s="19"/>
      <c r="AI3695" s="19"/>
      <c r="AJ3695" s="19"/>
      <c r="AK3695" s="19"/>
      <c r="AL3695" s="6" t="str">
        <f t="array" ref="AL3695">IFERROR(IFS(XLOOKUP(B3695, 'Kit Delivery Status'!$U:$U, 'Kit Delivery Status'!$K:$K) = "Complete", "DELIVERED", XLOOKUP(B3695, 'Kit Delivery Status'!$U:$U, 'Kit Delivery Status'!$K:$K) = "Issue", "ISSUE"), "")</f>
        <v/>
      </c>
      <c r="AM3695" s="6"/>
    </row>
    <row r="3696">
      <c r="A3696" s="19"/>
      <c r="B3696" s="19"/>
      <c r="C3696" s="19"/>
      <c r="D3696" s="42"/>
      <c r="E3696" s="19"/>
      <c r="F3696" s="19"/>
      <c r="G3696" s="19"/>
      <c r="H3696" s="19"/>
      <c r="I3696" s="19"/>
      <c r="J3696" s="19"/>
      <c r="K3696" s="19"/>
      <c r="L3696" s="19"/>
      <c r="M3696" s="19"/>
      <c r="N3696" s="19"/>
      <c r="O3696" s="43"/>
      <c r="P3696" s="19"/>
      <c r="Q3696" s="19"/>
      <c r="R3696" s="19"/>
      <c r="S3696" s="19"/>
      <c r="T3696" s="19"/>
      <c r="U3696" s="19"/>
      <c r="V3696" s="44"/>
      <c r="W3696" s="19"/>
      <c r="X3696" s="19"/>
      <c r="Y3696" s="19"/>
      <c r="Z3696" s="19"/>
      <c r="AA3696" s="19"/>
      <c r="AB3696" s="19"/>
      <c r="AC3696" s="19"/>
      <c r="AD3696" s="19"/>
      <c r="AE3696" s="19"/>
      <c r="AF3696" s="19"/>
      <c r="AG3696" s="19"/>
      <c r="AH3696" s="19"/>
      <c r="AI3696" s="19"/>
      <c r="AJ3696" s="19"/>
      <c r="AK3696" s="19"/>
      <c r="AL3696" s="6" t="str">
        <f t="array" ref="AL3696">IFERROR(IFS(XLOOKUP(B3696, 'Kit Delivery Status'!$U:$U, 'Kit Delivery Status'!$K:$K) = "Complete", "DELIVERED", XLOOKUP(B3696, 'Kit Delivery Status'!$U:$U, 'Kit Delivery Status'!$K:$K) = "Issue", "ISSUE"), "")</f>
        <v/>
      </c>
      <c r="AM3696" s="6"/>
    </row>
    <row r="3697">
      <c r="A3697" s="19"/>
      <c r="B3697" s="19"/>
      <c r="C3697" s="19"/>
      <c r="D3697" s="42"/>
      <c r="E3697" s="19"/>
      <c r="F3697" s="19"/>
      <c r="G3697" s="19"/>
      <c r="H3697" s="19"/>
      <c r="I3697" s="19"/>
      <c r="J3697" s="19"/>
      <c r="K3697" s="19"/>
      <c r="L3697" s="19"/>
      <c r="M3697" s="19"/>
      <c r="N3697" s="19"/>
      <c r="O3697" s="43"/>
      <c r="P3697" s="19"/>
      <c r="Q3697" s="19"/>
      <c r="R3697" s="19"/>
      <c r="S3697" s="19"/>
      <c r="T3697" s="19"/>
      <c r="U3697" s="19"/>
      <c r="V3697" s="44"/>
      <c r="W3697" s="19"/>
      <c r="X3697" s="19"/>
      <c r="Y3697" s="19"/>
      <c r="Z3697" s="19"/>
      <c r="AA3697" s="19"/>
      <c r="AB3697" s="19"/>
      <c r="AC3697" s="19"/>
      <c r="AD3697" s="19"/>
      <c r="AE3697" s="19"/>
      <c r="AF3697" s="19"/>
      <c r="AG3697" s="19"/>
      <c r="AH3697" s="19"/>
      <c r="AI3697" s="19"/>
      <c r="AJ3697" s="19"/>
      <c r="AK3697" s="19"/>
      <c r="AL3697" s="6" t="str">
        <f t="array" ref="AL3697">IFERROR(IFS(XLOOKUP(B3697, 'Kit Delivery Status'!$U:$U, 'Kit Delivery Status'!$K:$K) = "Complete", "DELIVERED", XLOOKUP(B3697, 'Kit Delivery Status'!$U:$U, 'Kit Delivery Status'!$K:$K) = "Issue", "ISSUE"), "")</f>
        <v/>
      </c>
      <c r="AM3697" s="6"/>
    </row>
    <row r="3698">
      <c r="A3698" s="19"/>
      <c r="B3698" s="19"/>
      <c r="C3698" s="19"/>
      <c r="D3698" s="42"/>
      <c r="E3698" s="19"/>
      <c r="F3698" s="19"/>
      <c r="G3698" s="19"/>
      <c r="H3698" s="19"/>
      <c r="I3698" s="19"/>
      <c r="J3698" s="19"/>
      <c r="K3698" s="19"/>
      <c r="L3698" s="19"/>
      <c r="M3698" s="19"/>
      <c r="N3698" s="19"/>
      <c r="O3698" s="43"/>
      <c r="P3698" s="19"/>
      <c r="Q3698" s="19"/>
      <c r="R3698" s="19"/>
      <c r="S3698" s="19"/>
      <c r="T3698" s="19"/>
      <c r="U3698" s="19"/>
      <c r="V3698" s="44"/>
      <c r="W3698" s="19"/>
      <c r="X3698" s="19"/>
      <c r="Y3698" s="19"/>
      <c r="Z3698" s="19"/>
      <c r="AA3698" s="19"/>
      <c r="AB3698" s="19"/>
      <c r="AC3698" s="19"/>
      <c r="AD3698" s="19"/>
      <c r="AE3698" s="19"/>
      <c r="AF3698" s="19"/>
      <c r="AG3698" s="19"/>
      <c r="AH3698" s="19"/>
      <c r="AI3698" s="19"/>
      <c r="AJ3698" s="19"/>
      <c r="AK3698" s="19"/>
      <c r="AL3698" s="6" t="str">
        <f t="array" ref="AL3698">IFERROR(IFS(XLOOKUP(B3698, 'Kit Delivery Status'!$U:$U, 'Kit Delivery Status'!$K:$K) = "Complete", "DELIVERED", XLOOKUP(B3698, 'Kit Delivery Status'!$U:$U, 'Kit Delivery Status'!$K:$K) = "Issue", "ISSUE"), "")</f>
        <v/>
      </c>
      <c r="AM3698" s="6"/>
    </row>
    <row r="3699">
      <c r="A3699" s="19"/>
      <c r="B3699" s="19"/>
      <c r="C3699" s="19"/>
      <c r="D3699" s="42"/>
      <c r="E3699" s="19"/>
      <c r="F3699" s="19"/>
      <c r="G3699" s="19"/>
      <c r="H3699" s="19"/>
      <c r="I3699" s="19"/>
      <c r="J3699" s="19"/>
      <c r="K3699" s="19"/>
      <c r="L3699" s="19"/>
      <c r="M3699" s="19"/>
      <c r="N3699" s="19"/>
      <c r="O3699" s="43"/>
      <c r="P3699" s="19"/>
      <c r="Q3699" s="19"/>
      <c r="R3699" s="19"/>
      <c r="S3699" s="19"/>
      <c r="T3699" s="19"/>
      <c r="U3699" s="19"/>
      <c r="V3699" s="44"/>
      <c r="W3699" s="19"/>
      <c r="X3699" s="19"/>
      <c r="Y3699" s="19"/>
      <c r="Z3699" s="19"/>
      <c r="AA3699" s="19"/>
      <c r="AB3699" s="19"/>
      <c r="AC3699" s="19"/>
      <c r="AD3699" s="19"/>
      <c r="AE3699" s="19"/>
      <c r="AF3699" s="19"/>
      <c r="AG3699" s="19"/>
      <c r="AH3699" s="19"/>
      <c r="AI3699" s="19"/>
      <c r="AJ3699" s="19"/>
      <c r="AK3699" s="19"/>
      <c r="AL3699" s="6" t="str">
        <f t="array" ref="AL3699">IFERROR(IFS(XLOOKUP(B3699, 'Kit Delivery Status'!$U:$U, 'Kit Delivery Status'!$K:$K) = "Complete", "DELIVERED", XLOOKUP(B3699, 'Kit Delivery Status'!$U:$U, 'Kit Delivery Status'!$K:$K) = "Issue", "ISSUE"), "")</f>
        <v/>
      </c>
      <c r="AM3699" s="6"/>
    </row>
    <row r="3700">
      <c r="A3700" s="19"/>
      <c r="B3700" s="19"/>
      <c r="C3700" s="19"/>
      <c r="D3700" s="42"/>
      <c r="E3700" s="19"/>
      <c r="F3700" s="19"/>
      <c r="G3700" s="19"/>
      <c r="H3700" s="19"/>
      <c r="I3700" s="19"/>
      <c r="J3700" s="19"/>
      <c r="K3700" s="19"/>
      <c r="L3700" s="19"/>
      <c r="M3700" s="19"/>
      <c r="N3700" s="19"/>
      <c r="O3700" s="43"/>
      <c r="P3700" s="19"/>
      <c r="Q3700" s="19"/>
      <c r="R3700" s="19"/>
      <c r="S3700" s="19"/>
      <c r="T3700" s="19"/>
      <c r="U3700" s="19"/>
      <c r="V3700" s="44"/>
      <c r="W3700" s="19"/>
      <c r="X3700" s="19"/>
      <c r="Y3700" s="19"/>
      <c r="Z3700" s="19"/>
      <c r="AA3700" s="19"/>
      <c r="AB3700" s="19"/>
      <c r="AC3700" s="19"/>
      <c r="AD3700" s="19"/>
      <c r="AE3700" s="19"/>
      <c r="AF3700" s="19"/>
      <c r="AG3700" s="19"/>
      <c r="AH3700" s="19"/>
      <c r="AI3700" s="19"/>
      <c r="AJ3700" s="19"/>
      <c r="AK3700" s="19"/>
      <c r="AL3700" s="6" t="str">
        <f t="array" ref="AL3700">IFERROR(IFS(XLOOKUP(B3700, 'Kit Delivery Status'!$U:$U, 'Kit Delivery Status'!$K:$K) = "Complete", "DELIVERED", XLOOKUP(B3700, 'Kit Delivery Status'!$U:$U, 'Kit Delivery Status'!$K:$K) = "Issue", "ISSUE"), "")</f>
        <v/>
      </c>
      <c r="AM3700" s="6"/>
    </row>
    <row r="3701">
      <c r="A3701" s="19"/>
      <c r="B3701" s="19"/>
      <c r="C3701" s="19"/>
      <c r="D3701" s="42"/>
      <c r="E3701" s="19"/>
      <c r="F3701" s="19"/>
      <c r="G3701" s="19"/>
      <c r="H3701" s="19"/>
      <c r="I3701" s="19"/>
      <c r="J3701" s="19"/>
      <c r="K3701" s="19"/>
      <c r="L3701" s="19"/>
      <c r="M3701" s="19"/>
      <c r="N3701" s="19"/>
      <c r="O3701" s="43"/>
      <c r="P3701" s="19"/>
      <c r="Q3701" s="19"/>
      <c r="R3701" s="19"/>
      <c r="S3701" s="19"/>
      <c r="T3701" s="19"/>
      <c r="U3701" s="19"/>
      <c r="V3701" s="44"/>
      <c r="W3701" s="19"/>
      <c r="X3701" s="19"/>
      <c r="Y3701" s="19"/>
      <c r="Z3701" s="19"/>
      <c r="AA3701" s="19"/>
      <c r="AB3701" s="19"/>
      <c r="AC3701" s="19"/>
      <c r="AD3701" s="19"/>
      <c r="AE3701" s="19"/>
      <c r="AF3701" s="19"/>
      <c r="AG3701" s="19"/>
      <c r="AH3701" s="19"/>
      <c r="AI3701" s="19"/>
      <c r="AJ3701" s="19"/>
      <c r="AK3701" s="19"/>
      <c r="AL3701" s="6" t="str">
        <f t="array" ref="AL3701">IFERROR(IFS(XLOOKUP(B3701, 'Kit Delivery Status'!$U:$U, 'Kit Delivery Status'!$K:$K) = "Complete", "DELIVERED", XLOOKUP(B3701, 'Kit Delivery Status'!$U:$U, 'Kit Delivery Status'!$K:$K) = "Issue", "ISSUE"), "")</f>
        <v/>
      </c>
      <c r="AM3701" s="6"/>
    </row>
    <row r="3702">
      <c r="A3702" s="19"/>
      <c r="B3702" s="19"/>
      <c r="C3702" s="19"/>
      <c r="D3702" s="42"/>
      <c r="E3702" s="19"/>
      <c r="F3702" s="19"/>
      <c r="G3702" s="19"/>
      <c r="H3702" s="19"/>
      <c r="I3702" s="19"/>
      <c r="J3702" s="19"/>
      <c r="K3702" s="19"/>
      <c r="L3702" s="19"/>
      <c r="M3702" s="19"/>
      <c r="N3702" s="19"/>
      <c r="O3702" s="43"/>
      <c r="P3702" s="19"/>
      <c r="Q3702" s="19"/>
      <c r="R3702" s="19"/>
      <c r="S3702" s="19"/>
      <c r="T3702" s="19"/>
      <c r="U3702" s="19"/>
      <c r="V3702" s="44"/>
      <c r="W3702" s="19"/>
      <c r="X3702" s="19"/>
      <c r="Y3702" s="19"/>
      <c r="Z3702" s="19"/>
      <c r="AA3702" s="19"/>
      <c r="AB3702" s="19"/>
      <c r="AC3702" s="19"/>
      <c r="AD3702" s="19"/>
      <c r="AE3702" s="19"/>
      <c r="AF3702" s="19"/>
      <c r="AG3702" s="19"/>
      <c r="AH3702" s="19"/>
      <c r="AI3702" s="19"/>
      <c r="AJ3702" s="19"/>
      <c r="AK3702" s="19"/>
      <c r="AL3702" s="6" t="str">
        <f t="array" ref="AL3702">IFERROR(IFS(XLOOKUP(B3702, 'Kit Delivery Status'!$U:$U, 'Kit Delivery Status'!$K:$K) = "Complete", "DELIVERED", XLOOKUP(B3702, 'Kit Delivery Status'!$U:$U, 'Kit Delivery Status'!$K:$K) = "Issue", "ISSUE"), "")</f>
        <v/>
      </c>
      <c r="AM3702" s="6"/>
    </row>
    <row r="3703">
      <c r="A3703" s="19"/>
      <c r="B3703" s="19"/>
      <c r="C3703" s="19"/>
      <c r="D3703" s="42"/>
      <c r="E3703" s="19"/>
      <c r="F3703" s="19"/>
      <c r="G3703" s="19"/>
      <c r="H3703" s="19"/>
      <c r="I3703" s="19"/>
      <c r="J3703" s="19"/>
      <c r="K3703" s="19"/>
      <c r="L3703" s="19"/>
      <c r="M3703" s="19"/>
      <c r="N3703" s="19"/>
      <c r="O3703" s="43"/>
      <c r="P3703" s="19"/>
      <c r="Q3703" s="19"/>
      <c r="R3703" s="19"/>
      <c r="S3703" s="19"/>
      <c r="T3703" s="19"/>
      <c r="U3703" s="19"/>
      <c r="V3703" s="44"/>
      <c r="W3703" s="19"/>
      <c r="X3703" s="19"/>
      <c r="Y3703" s="19"/>
      <c r="Z3703" s="19"/>
      <c r="AA3703" s="19"/>
      <c r="AB3703" s="19"/>
      <c r="AC3703" s="19"/>
      <c r="AD3703" s="19"/>
      <c r="AE3703" s="19"/>
      <c r="AF3703" s="19"/>
      <c r="AG3703" s="19"/>
      <c r="AH3703" s="19"/>
      <c r="AI3703" s="19"/>
      <c r="AJ3703" s="19"/>
      <c r="AK3703" s="19"/>
      <c r="AL3703" s="6" t="str">
        <f t="array" ref="AL3703">IFERROR(IFS(XLOOKUP(B3703, 'Kit Delivery Status'!$U:$U, 'Kit Delivery Status'!$K:$K) = "Complete", "DELIVERED", XLOOKUP(B3703, 'Kit Delivery Status'!$U:$U, 'Kit Delivery Status'!$K:$K) = "Issue", "ISSUE"), "")</f>
        <v/>
      </c>
      <c r="AM3703" s="6"/>
    </row>
    <row r="3704">
      <c r="A3704" s="19"/>
      <c r="B3704" s="19"/>
      <c r="C3704" s="19"/>
      <c r="D3704" s="42"/>
      <c r="E3704" s="19"/>
      <c r="F3704" s="19"/>
      <c r="G3704" s="19"/>
      <c r="H3704" s="19"/>
      <c r="I3704" s="19"/>
      <c r="J3704" s="19"/>
      <c r="K3704" s="19"/>
      <c r="L3704" s="19"/>
      <c r="M3704" s="19"/>
      <c r="N3704" s="19"/>
      <c r="O3704" s="43"/>
      <c r="P3704" s="19"/>
      <c r="Q3704" s="19"/>
      <c r="R3704" s="19"/>
      <c r="S3704" s="19"/>
      <c r="T3704" s="19"/>
      <c r="U3704" s="19"/>
      <c r="V3704" s="44"/>
      <c r="W3704" s="19"/>
      <c r="X3704" s="19"/>
      <c r="Y3704" s="19"/>
      <c r="Z3704" s="19"/>
      <c r="AA3704" s="19"/>
      <c r="AB3704" s="19"/>
      <c r="AC3704" s="19"/>
      <c r="AD3704" s="19"/>
      <c r="AE3704" s="19"/>
      <c r="AF3704" s="19"/>
      <c r="AG3704" s="19"/>
      <c r="AH3704" s="19"/>
      <c r="AI3704" s="19"/>
      <c r="AJ3704" s="19"/>
      <c r="AK3704" s="19"/>
      <c r="AL3704" s="6" t="str">
        <f t="array" ref="AL3704">IFERROR(IFS(XLOOKUP(B3704, 'Kit Delivery Status'!$U:$U, 'Kit Delivery Status'!$K:$K) = "Complete", "DELIVERED", XLOOKUP(B3704, 'Kit Delivery Status'!$U:$U, 'Kit Delivery Status'!$K:$K) = "Issue", "ISSUE"), "")</f>
        <v/>
      </c>
      <c r="AM3704" s="6"/>
    </row>
    <row r="3705">
      <c r="A3705" s="19"/>
      <c r="B3705" s="19"/>
      <c r="C3705" s="19"/>
      <c r="D3705" s="42"/>
      <c r="E3705" s="19"/>
      <c r="F3705" s="19"/>
      <c r="G3705" s="19"/>
      <c r="H3705" s="19"/>
      <c r="I3705" s="19"/>
      <c r="J3705" s="19"/>
      <c r="K3705" s="19"/>
      <c r="L3705" s="19"/>
      <c r="M3705" s="19"/>
      <c r="N3705" s="19"/>
      <c r="O3705" s="43"/>
      <c r="P3705" s="19"/>
      <c r="Q3705" s="19"/>
      <c r="R3705" s="19"/>
      <c r="S3705" s="19"/>
      <c r="T3705" s="19"/>
      <c r="U3705" s="19"/>
      <c r="V3705" s="44"/>
      <c r="W3705" s="19"/>
      <c r="X3705" s="19"/>
      <c r="Y3705" s="19"/>
      <c r="Z3705" s="19"/>
      <c r="AA3705" s="19"/>
      <c r="AB3705" s="19"/>
      <c r="AC3705" s="19"/>
      <c r="AD3705" s="19"/>
      <c r="AE3705" s="19"/>
      <c r="AF3705" s="19"/>
      <c r="AG3705" s="19"/>
      <c r="AH3705" s="19"/>
      <c r="AI3705" s="19"/>
      <c r="AJ3705" s="19"/>
      <c r="AK3705" s="19"/>
      <c r="AL3705" s="6" t="str">
        <f t="array" ref="AL3705">IFERROR(IFS(XLOOKUP(B3705, 'Kit Delivery Status'!$U:$U, 'Kit Delivery Status'!$K:$K) = "Complete", "DELIVERED", XLOOKUP(B3705, 'Kit Delivery Status'!$U:$U, 'Kit Delivery Status'!$K:$K) = "Issue", "ISSUE"), "")</f>
        <v/>
      </c>
      <c r="AM3705" s="6"/>
    </row>
    <row r="3706">
      <c r="A3706" s="19"/>
      <c r="B3706" s="19"/>
      <c r="C3706" s="19"/>
      <c r="D3706" s="42"/>
      <c r="E3706" s="19"/>
      <c r="F3706" s="19"/>
      <c r="G3706" s="19"/>
      <c r="H3706" s="19"/>
      <c r="I3706" s="19"/>
      <c r="J3706" s="19"/>
      <c r="K3706" s="19"/>
      <c r="L3706" s="19"/>
      <c r="M3706" s="19"/>
      <c r="N3706" s="19"/>
      <c r="O3706" s="43"/>
      <c r="P3706" s="19"/>
      <c r="Q3706" s="19"/>
      <c r="R3706" s="19"/>
      <c r="S3706" s="19"/>
      <c r="T3706" s="19"/>
      <c r="U3706" s="19"/>
      <c r="V3706" s="44"/>
      <c r="W3706" s="19"/>
      <c r="X3706" s="19"/>
      <c r="Y3706" s="19"/>
      <c r="Z3706" s="19"/>
      <c r="AA3706" s="19"/>
      <c r="AB3706" s="19"/>
      <c r="AC3706" s="19"/>
      <c r="AD3706" s="19"/>
      <c r="AE3706" s="19"/>
      <c r="AF3706" s="19"/>
      <c r="AG3706" s="19"/>
      <c r="AH3706" s="19"/>
      <c r="AI3706" s="19"/>
      <c r="AJ3706" s="19"/>
      <c r="AK3706" s="19"/>
      <c r="AL3706" s="6" t="str">
        <f t="array" ref="AL3706">IFERROR(IFS(XLOOKUP(B3706, 'Kit Delivery Status'!$U:$U, 'Kit Delivery Status'!$K:$K) = "Complete", "DELIVERED", XLOOKUP(B3706, 'Kit Delivery Status'!$U:$U, 'Kit Delivery Status'!$K:$K) = "Issue", "ISSUE"), "")</f>
        <v/>
      </c>
      <c r="AM3706" s="6"/>
    </row>
    <row r="3707">
      <c r="A3707" s="19"/>
      <c r="B3707" s="19"/>
      <c r="C3707" s="19"/>
      <c r="D3707" s="42"/>
      <c r="E3707" s="19"/>
      <c r="F3707" s="19"/>
      <c r="G3707" s="19"/>
      <c r="H3707" s="19"/>
      <c r="I3707" s="19"/>
      <c r="J3707" s="19"/>
      <c r="K3707" s="19"/>
      <c r="L3707" s="19"/>
      <c r="M3707" s="19"/>
      <c r="N3707" s="19"/>
      <c r="O3707" s="43"/>
      <c r="P3707" s="19"/>
      <c r="Q3707" s="19"/>
      <c r="R3707" s="19"/>
      <c r="S3707" s="19"/>
      <c r="T3707" s="19"/>
      <c r="U3707" s="19"/>
      <c r="V3707" s="44"/>
      <c r="W3707" s="19"/>
      <c r="X3707" s="19"/>
      <c r="Y3707" s="19"/>
      <c r="Z3707" s="19"/>
      <c r="AA3707" s="19"/>
      <c r="AB3707" s="19"/>
      <c r="AC3707" s="19"/>
      <c r="AD3707" s="19"/>
      <c r="AE3707" s="19"/>
      <c r="AF3707" s="19"/>
      <c r="AG3707" s="19"/>
      <c r="AH3707" s="19"/>
      <c r="AI3707" s="19"/>
      <c r="AJ3707" s="19"/>
      <c r="AK3707" s="19"/>
      <c r="AL3707" s="6" t="str">
        <f t="array" ref="AL3707">IFERROR(IFS(XLOOKUP(B3707, 'Kit Delivery Status'!$U:$U, 'Kit Delivery Status'!$K:$K) = "Complete", "DELIVERED", XLOOKUP(B3707, 'Kit Delivery Status'!$U:$U, 'Kit Delivery Status'!$K:$K) = "Issue", "ISSUE"), "")</f>
        <v/>
      </c>
      <c r="AM3707" s="6"/>
    </row>
    <row r="3708">
      <c r="A3708" s="19"/>
      <c r="B3708" s="19"/>
      <c r="C3708" s="19"/>
      <c r="D3708" s="42"/>
      <c r="E3708" s="19"/>
      <c r="F3708" s="19"/>
      <c r="G3708" s="19"/>
      <c r="H3708" s="19"/>
      <c r="I3708" s="19"/>
      <c r="J3708" s="19"/>
      <c r="K3708" s="19"/>
      <c r="L3708" s="19"/>
      <c r="M3708" s="19"/>
      <c r="N3708" s="19"/>
      <c r="O3708" s="43"/>
      <c r="P3708" s="19"/>
      <c r="Q3708" s="19"/>
      <c r="R3708" s="19"/>
      <c r="S3708" s="19"/>
      <c r="T3708" s="19"/>
      <c r="U3708" s="19"/>
      <c r="V3708" s="44"/>
      <c r="W3708" s="19"/>
      <c r="X3708" s="19"/>
      <c r="Y3708" s="19"/>
      <c r="Z3708" s="19"/>
      <c r="AA3708" s="19"/>
      <c r="AB3708" s="19"/>
      <c r="AC3708" s="19"/>
      <c r="AD3708" s="19"/>
      <c r="AE3708" s="19"/>
      <c r="AF3708" s="19"/>
      <c r="AG3708" s="19"/>
      <c r="AH3708" s="19"/>
      <c r="AI3708" s="19"/>
      <c r="AJ3708" s="19"/>
      <c r="AK3708" s="19"/>
      <c r="AL3708" s="6" t="str">
        <f t="array" ref="AL3708">IFERROR(IFS(XLOOKUP(B3708, 'Kit Delivery Status'!$U:$U, 'Kit Delivery Status'!$K:$K) = "Complete", "DELIVERED", XLOOKUP(B3708, 'Kit Delivery Status'!$U:$U, 'Kit Delivery Status'!$K:$K) = "Issue", "ISSUE"), "")</f>
        <v/>
      </c>
      <c r="AM3708" s="6"/>
    </row>
    <row r="3709">
      <c r="A3709" s="19"/>
      <c r="B3709" s="19"/>
      <c r="C3709" s="19"/>
      <c r="D3709" s="42"/>
      <c r="E3709" s="19"/>
      <c r="F3709" s="19"/>
      <c r="G3709" s="19"/>
      <c r="H3709" s="19"/>
      <c r="I3709" s="19"/>
      <c r="J3709" s="19"/>
      <c r="K3709" s="19"/>
      <c r="L3709" s="19"/>
      <c r="M3709" s="19"/>
      <c r="N3709" s="19"/>
      <c r="O3709" s="43"/>
      <c r="P3709" s="19"/>
      <c r="Q3709" s="19"/>
      <c r="R3709" s="19"/>
      <c r="S3709" s="19"/>
      <c r="T3709" s="19"/>
      <c r="U3709" s="19"/>
      <c r="V3709" s="44"/>
      <c r="W3709" s="19"/>
      <c r="X3709" s="19"/>
      <c r="Y3709" s="19"/>
      <c r="Z3709" s="19"/>
      <c r="AA3709" s="19"/>
      <c r="AB3709" s="19"/>
      <c r="AC3709" s="19"/>
      <c r="AD3709" s="19"/>
      <c r="AE3709" s="19"/>
      <c r="AF3709" s="19"/>
      <c r="AG3709" s="19"/>
      <c r="AH3709" s="19"/>
      <c r="AI3709" s="19"/>
      <c r="AJ3709" s="19"/>
      <c r="AK3709" s="19"/>
      <c r="AL3709" s="6" t="str">
        <f t="array" ref="AL3709">IFERROR(IFS(XLOOKUP(B3709, 'Kit Delivery Status'!$U:$U, 'Kit Delivery Status'!$K:$K) = "Complete", "DELIVERED", XLOOKUP(B3709, 'Kit Delivery Status'!$U:$U, 'Kit Delivery Status'!$K:$K) = "Issue", "ISSUE"), "")</f>
        <v/>
      </c>
      <c r="AM3709" s="6"/>
    </row>
    <row r="3710">
      <c r="A3710" s="19"/>
      <c r="B3710" s="19"/>
      <c r="C3710" s="19"/>
      <c r="D3710" s="42"/>
      <c r="E3710" s="19"/>
      <c r="F3710" s="19"/>
      <c r="G3710" s="19"/>
      <c r="H3710" s="19"/>
      <c r="I3710" s="19"/>
      <c r="J3710" s="19"/>
      <c r="K3710" s="19"/>
      <c r="L3710" s="19"/>
      <c r="M3710" s="19"/>
      <c r="N3710" s="19"/>
      <c r="O3710" s="43"/>
      <c r="P3710" s="19"/>
      <c r="Q3710" s="19"/>
      <c r="R3710" s="19"/>
      <c r="S3710" s="19"/>
      <c r="T3710" s="19"/>
      <c r="U3710" s="19"/>
      <c r="V3710" s="44"/>
      <c r="W3710" s="19"/>
      <c r="X3710" s="19"/>
      <c r="Y3710" s="19"/>
      <c r="Z3710" s="19"/>
      <c r="AA3710" s="19"/>
      <c r="AB3710" s="19"/>
      <c r="AC3710" s="19"/>
      <c r="AD3710" s="19"/>
      <c r="AE3710" s="19"/>
      <c r="AF3710" s="19"/>
      <c r="AG3710" s="19"/>
      <c r="AH3710" s="19"/>
      <c r="AI3710" s="19"/>
      <c r="AJ3710" s="19"/>
      <c r="AK3710" s="19"/>
      <c r="AL3710" s="6" t="str">
        <f t="array" ref="AL3710">IFERROR(IFS(XLOOKUP(B3710, 'Kit Delivery Status'!$U:$U, 'Kit Delivery Status'!$K:$K) = "Complete", "DELIVERED", XLOOKUP(B3710, 'Kit Delivery Status'!$U:$U, 'Kit Delivery Status'!$K:$K) = "Issue", "ISSUE"), "")</f>
        <v/>
      </c>
      <c r="AM3710" s="6"/>
    </row>
    <row r="3711">
      <c r="A3711" s="19"/>
      <c r="B3711" s="19"/>
      <c r="C3711" s="19"/>
      <c r="D3711" s="42"/>
      <c r="E3711" s="19"/>
      <c r="F3711" s="19"/>
      <c r="G3711" s="19"/>
      <c r="H3711" s="19"/>
      <c r="I3711" s="19"/>
      <c r="J3711" s="19"/>
      <c r="K3711" s="19"/>
      <c r="L3711" s="19"/>
      <c r="M3711" s="19"/>
      <c r="N3711" s="19"/>
      <c r="O3711" s="43"/>
      <c r="P3711" s="19"/>
      <c r="Q3711" s="19"/>
      <c r="R3711" s="19"/>
      <c r="S3711" s="19"/>
      <c r="T3711" s="19"/>
      <c r="U3711" s="19"/>
      <c r="V3711" s="44"/>
      <c r="W3711" s="19"/>
      <c r="X3711" s="19"/>
      <c r="Y3711" s="19"/>
      <c r="Z3711" s="19"/>
      <c r="AA3711" s="19"/>
      <c r="AB3711" s="19"/>
      <c r="AC3711" s="19"/>
      <c r="AD3711" s="19"/>
      <c r="AE3711" s="19"/>
      <c r="AF3711" s="19"/>
      <c r="AG3711" s="19"/>
      <c r="AH3711" s="19"/>
      <c r="AI3711" s="19"/>
      <c r="AJ3711" s="19"/>
      <c r="AK3711" s="19"/>
      <c r="AL3711" s="6" t="str">
        <f t="array" ref="AL3711">IFERROR(IFS(XLOOKUP(B3711, 'Kit Delivery Status'!$U:$U, 'Kit Delivery Status'!$K:$K) = "Complete", "DELIVERED", XLOOKUP(B3711, 'Kit Delivery Status'!$U:$U, 'Kit Delivery Status'!$K:$K) = "Issue", "ISSUE"), "")</f>
        <v/>
      </c>
      <c r="AM3711" s="6"/>
    </row>
    <row r="3712">
      <c r="A3712" s="19"/>
      <c r="B3712" s="19"/>
      <c r="C3712" s="19"/>
      <c r="D3712" s="42"/>
      <c r="E3712" s="19"/>
      <c r="F3712" s="19"/>
      <c r="G3712" s="19"/>
      <c r="H3712" s="19"/>
      <c r="I3712" s="19"/>
      <c r="J3712" s="19"/>
      <c r="K3712" s="19"/>
      <c r="L3712" s="19"/>
      <c r="M3712" s="19"/>
      <c r="N3712" s="19"/>
      <c r="O3712" s="43"/>
      <c r="P3712" s="19"/>
      <c r="Q3712" s="19"/>
      <c r="R3712" s="19"/>
      <c r="S3712" s="19"/>
      <c r="T3712" s="19"/>
      <c r="U3712" s="19"/>
      <c r="V3712" s="44"/>
      <c r="W3712" s="19"/>
      <c r="X3712" s="19"/>
      <c r="Y3712" s="19"/>
      <c r="Z3712" s="19"/>
      <c r="AA3712" s="19"/>
      <c r="AB3712" s="19"/>
      <c r="AC3712" s="19"/>
      <c r="AD3712" s="19"/>
      <c r="AE3712" s="19"/>
      <c r="AF3712" s="19"/>
      <c r="AG3712" s="19"/>
      <c r="AH3712" s="19"/>
      <c r="AI3712" s="19"/>
      <c r="AJ3712" s="19"/>
      <c r="AK3712" s="19"/>
      <c r="AL3712" s="6" t="str">
        <f t="array" ref="AL3712">IFERROR(IFS(XLOOKUP(B3712, 'Kit Delivery Status'!$U:$U, 'Kit Delivery Status'!$K:$K) = "Complete", "DELIVERED", XLOOKUP(B3712, 'Kit Delivery Status'!$U:$U, 'Kit Delivery Status'!$K:$K) = "Issue", "ISSUE"), "")</f>
        <v/>
      </c>
      <c r="AM3712" s="6"/>
    </row>
    <row r="3713">
      <c r="A3713" s="19"/>
      <c r="B3713" s="19"/>
      <c r="C3713" s="19"/>
      <c r="D3713" s="42"/>
      <c r="E3713" s="19"/>
      <c r="F3713" s="19"/>
      <c r="G3713" s="19"/>
      <c r="H3713" s="19"/>
      <c r="I3713" s="19"/>
      <c r="J3713" s="19"/>
      <c r="K3713" s="19"/>
      <c r="L3713" s="19"/>
      <c r="M3713" s="19"/>
      <c r="N3713" s="19"/>
      <c r="O3713" s="43"/>
      <c r="P3713" s="19"/>
      <c r="Q3713" s="19"/>
      <c r="R3713" s="19"/>
      <c r="S3713" s="19"/>
      <c r="T3713" s="19"/>
      <c r="U3713" s="19"/>
      <c r="V3713" s="44"/>
      <c r="W3713" s="19"/>
      <c r="X3713" s="19"/>
      <c r="Y3713" s="19"/>
      <c r="Z3713" s="19"/>
      <c r="AA3713" s="19"/>
      <c r="AB3713" s="19"/>
      <c r="AC3713" s="19"/>
      <c r="AD3713" s="19"/>
      <c r="AE3713" s="19"/>
      <c r="AF3713" s="19"/>
      <c r="AG3713" s="19"/>
      <c r="AH3713" s="19"/>
      <c r="AI3713" s="19"/>
      <c r="AJ3713" s="19"/>
      <c r="AK3713" s="19"/>
      <c r="AL3713" s="6" t="str">
        <f t="array" ref="AL3713">IFERROR(IFS(XLOOKUP(B3713, 'Kit Delivery Status'!$U:$U, 'Kit Delivery Status'!$K:$K) = "Complete", "DELIVERED", XLOOKUP(B3713, 'Kit Delivery Status'!$U:$U, 'Kit Delivery Status'!$K:$K) = "Issue", "ISSUE"), "")</f>
        <v/>
      </c>
      <c r="AM3713" s="6"/>
    </row>
    <row r="3714">
      <c r="A3714" s="19"/>
      <c r="B3714" s="19"/>
      <c r="C3714" s="19"/>
      <c r="D3714" s="42"/>
      <c r="E3714" s="19"/>
      <c r="F3714" s="19"/>
      <c r="G3714" s="19"/>
      <c r="H3714" s="19"/>
      <c r="I3714" s="19"/>
      <c r="J3714" s="19"/>
      <c r="K3714" s="19"/>
      <c r="L3714" s="19"/>
      <c r="M3714" s="19"/>
      <c r="N3714" s="19"/>
      <c r="O3714" s="43"/>
      <c r="P3714" s="19"/>
      <c r="Q3714" s="19"/>
      <c r="R3714" s="19"/>
      <c r="S3714" s="19"/>
      <c r="T3714" s="19"/>
      <c r="U3714" s="19"/>
      <c r="V3714" s="44"/>
      <c r="W3714" s="19"/>
      <c r="X3714" s="19"/>
      <c r="Y3714" s="19"/>
      <c r="Z3714" s="19"/>
      <c r="AA3714" s="19"/>
      <c r="AB3714" s="19"/>
      <c r="AC3714" s="19"/>
      <c r="AD3714" s="19"/>
      <c r="AE3714" s="19"/>
      <c r="AF3714" s="19"/>
      <c r="AG3714" s="19"/>
      <c r="AH3714" s="19"/>
      <c r="AI3714" s="19"/>
      <c r="AJ3714" s="19"/>
      <c r="AK3714" s="19"/>
      <c r="AL3714" s="6" t="str">
        <f t="array" ref="AL3714">IFERROR(IFS(XLOOKUP(B3714, 'Kit Delivery Status'!$U:$U, 'Kit Delivery Status'!$K:$K) = "Complete", "DELIVERED", XLOOKUP(B3714, 'Kit Delivery Status'!$U:$U, 'Kit Delivery Status'!$K:$K) = "Issue", "ISSUE"), "")</f>
        <v/>
      </c>
      <c r="AM3714" s="6"/>
    </row>
    <row r="3715">
      <c r="A3715" s="19"/>
      <c r="B3715" s="19"/>
      <c r="C3715" s="19"/>
      <c r="D3715" s="42"/>
      <c r="E3715" s="19"/>
      <c r="F3715" s="19"/>
      <c r="G3715" s="19"/>
      <c r="H3715" s="19"/>
      <c r="I3715" s="19"/>
      <c r="J3715" s="19"/>
      <c r="K3715" s="19"/>
      <c r="L3715" s="19"/>
      <c r="M3715" s="19"/>
      <c r="N3715" s="19"/>
      <c r="O3715" s="43"/>
      <c r="P3715" s="19"/>
      <c r="Q3715" s="19"/>
      <c r="R3715" s="19"/>
      <c r="S3715" s="19"/>
      <c r="T3715" s="19"/>
      <c r="U3715" s="19"/>
      <c r="V3715" s="44"/>
      <c r="W3715" s="19"/>
      <c r="X3715" s="19"/>
      <c r="Y3715" s="19"/>
      <c r="Z3715" s="19"/>
      <c r="AA3715" s="19"/>
      <c r="AB3715" s="19"/>
      <c r="AC3715" s="19"/>
      <c r="AD3715" s="19"/>
      <c r="AE3715" s="19"/>
      <c r="AF3715" s="19"/>
      <c r="AG3715" s="19"/>
      <c r="AH3715" s="19"/>
      <c r="AI3715" s="19"/>
      <c r="AJ3715" s="19"/>
      <c r="AK3715" s="19"/>
      <c r="AL3715" s="6" t="str">
        <f t="array" ref="AL3715">IFERROR(IFS(XLOOKUP(B3715, 'Kit Delivery Status'!$U:$U, 'Kit Delivery Status'!$K:$K) = "Complete", "DELIVERED", XLOOKUP(B3715, 'Kit Delivery Status'!$U:$U, 'Kit Delivery Status'!$K:$K) = "Issue", "ISSUE"), "")</f>
        <v/>
      </c>
      <c r="AM3715" s="6"/>
    </row>
    <row r="3716">
      <c r="A3716" s="19"/>
      <c r="B3716" s="19"/>
      <c r="C3716" s="19"/>
      <c r="D3716" s="42"/>
      <c r="E3716" s="19"/>
      <c r="F3716" s="19"/>
      <c r="G3716" s="19"/>
      <c r="H3716" s="19"/>
      <c r="I3716" s="19"/>
      <c r="J3716" s="19"/>
      <c r="K3716" s="19"/>
      <c r="L3716" s="19"/>
      <c r="M3716" s="19"/>
      <c r="N3716" s="19"/>
      <c r="O3716" s="43"/>
      <c r="P3716" s="19"/>
      <c r="Q3716" s="19"/>
      <c r="R3716" s="19"/>
      <c r="S3716" s="19"/>
      <c r="T3716" s="19"/>
      <c r="U3716" s="19"/>
      <c r="V3716" s="44"/>
      <c r="W3716" s="19"/>
      <c r="X3716" s="19"/>
      <c r="Y3716" s="19"/>
      <c r="Z3716" s="19"/>
      <c r="AA3716" s="19"/>
      <c r="AB3716" s="19"/>
      <c r="AC3716" s="19"/>
      <c r="AD3716" s="19"/>
      <c r="AE3716" s="19"/>
      <c r="AF3716" s="19"/>
      <c r="AG3716" s="19"/>
      <c r="AH3716" s="19"/>
      <c r="AI3716" s="19"/>
      <c r="AJ3716" s="19"/>
      <c r="AK3716" s="19"/>
      <c r="AL3716" s="6" t="str">
        <f t="array" ref="AL3716">IFERROR(IFS(XLOOKUP(B3716, 'Kit Delivery Status'!$U:$U, 'Kit Delivery Status'!$K:$K) = "Complete", "DELIVERED", XLOOKUP(B3716, 'Kit Delivery Status'!$U:$U, 'Kit Delivery Status'!$K:$K) = "Issue", "ISSUE"), "")</f>
        <v/>
      </c>
      <c r="AM3716" s="6"/>
    </row>
    <row r="3717">
      <c r="A3717" s="19"/>
      <c r="B3717" s="19"/>
      <c r="C3717" s="19"/>
      <c r="D3717" s="42"/>
      <c r="E3717" s="19"/>
      <c r="F3717" s="19"/>
      <c r="G3717" s="19"/>
      <c r="H3717" s="19"/>
      <c r="I3717" s="19"/>
      <c r="J3717" s="19"/>
      <c r="K3717" s="19"/>
      <c r="L3717" s="19"/>
      <c r="M3717" s="19"/>
      <c r="N3717" s="19"/>
      <c r="O3717" s="43"/>
      <c r="P3717" s="19"/>
      <c r="Q3717" s="19"/>
      <c r="R3717" s="19"/>
      <c r="S3717" s="19"/>
      <c r="T3717" s="19"/>
      <c r="U3717" s="19"/>
      <c r="V3717" s="44"/>
      <c r="W3717" s="19"/>
      <c r="X3717" s="19"/>
      <c r="Y3717" s="19"/>
      <c r="Z3717" s="19"/>
      <c r="AA3717" s="19"/>
      <c r="AB3717" s="19"/>
      <c r="AC3717" s="19"/>
      <c r="AD3717" s="19"/>
      <c r="AE3717" s="19"/>
      <c r="AF3717" s="19"/>
      <c r="AG3717" s="19"/>
      <c r="AH3717" s="19"/>
      <c r="AI3717" s="19"/>
      <c r="AJ3717" s="19"/>
      <c r="AK3717" s="19"/>
      <c r="AL3717" s="6" t="str">
        <f t="array" ref="AL3717">IFERROR(IFS(XLOOKUP(B3717, 'Kit Delivery Status'!$U:$U, 'Kit Delivery Status'!$K:$K) = "Complete", "DELIVERED", XLOOKUP(B3717, 'Kit Delivery Status'!$U:$U, 'Kit Delivery Status'!$K:$K) = "Issue", "ISSUE"), "")</f>
        <v/>
      </c>
      <c r="AM3717" s="6"/>
    </row>
    <row r="3718">
      <c r="A3718" s="19"/>
      <c r="B3718" s="19"/>
      <c r="C3718" s="19"/>
      <c r="D3718" s="42"/>
      <c r="E3718" s="19"/>
      <c r="F3718" s="19"/>
      <c r="G3718" s="19"/>
      <c r="H3718" s="19"/>
      <c r="I3718" s="19"/>
      <c r="J3718" s="19"/>
      <c r="K3718" s="19"/>
      <c r="L3718" s="19"/>
      <c r="M3718" s="19"/>
      <c r="N3718" s="19"/>
      <c r="O3718" s="43"/>
      <c r="P3718" s="19"/>
      <c r="Q3718" s="19"/>
      <c r="R3718" s="19"/>
      <c r="S3718" s="19"/>
      <c r="T3718" s="19"/>
      <c r="U3718" s="19"/>
      <c r="V3718" s="44"/>
      <c r="W3718" s="19"/>
      <c r="X3718" s="19"/>
      <c r="Y3718" s="19"/>
      <c r="Z3718" s="19"/>
      <c r="AA3718" s="19"/>
      <c r="AB3718" s="19"/>
      <c r="AC3718" s="19"/>
      <c r="AD3718" s="19"/>
      <c r="AE3718" s="19"/>
      <c r="AF3718" s="19"/>
      <c r="AG3718" s="19"/>
      <c r="AH3718" s="19"/>
      <c r="AI3718" s="19"/>
      <c r="AJ3718" s="19"/>
      <c r="AK3718" s="19"/>
      <c r="AL3718" s="6" t="str">
        <f t="array" ref="AL3718">IFERROR(IFS(XLOOKUP(B3718, 'Kit Delivery Status'!$U:$U, 'Kit Delivery Status'!$K:$K) = "Complete", "DELIVERED", XLOOKUP(B3718, 'Kit Delivery Status'!$U:$U, 'Kit Delivery Status'!$K:$K) = "Issue", "ISSUE"), "")</f>
        <v/>
      </c>
      <c r="AM3718" s="6"/>
    </row>
    <row r="3719">
      <c r="A3719" s="19"/>
      <c r="B3719" s="19"/>
      <c r="C3719" s="19"/>
      <c r="D3719" s="42"/>
      <c r="E3719" s="19"/>
      <c r="F3719" s="19"/>
      <c r="G3719" s="19"/>
      <c r="H3719" s="19"/>
      <c r="I3719" s="19"/>
      <c r="J3719" s="19"/>
      <c r="K3719" s="19"/>
      <c r="L3719" s="19"/>
      <c r="M3719" s="19"/>
      <c r="N3719" s="19"/>
      <c r="O3719" s="43"/>
      <c r="P3719" s="19"/>
      <c r="Q3719" s="19"/>
      <c r="R3719" s="19"/>
      <c r="S3719" s="19"/>
      <c r="T3719" s="19"/>
      <c r="U3719" s="19"/>
      <c r="V3719" s="44"/>
      <c r="W3719" s="19"/>
      <c r="X3719" s="19"/>
      <c r="Y3719" s="19"/>
      <c r="Z3719" s="19"/>
      <c r="AA3719" s="19"/>
      <c r="AB3719" s="19"/>
      <c r="AC3719" s="19"/>
      <c r="AD3719" s="19"/>
      <c r="AE3719" s="19"/>
      <c r="AF3719" s="19"/>
      <c r="AG3719" s="19"/>
      <c r="AH3719" s="19"/>
      <c r="AI3719" s="19"/>
      <c r="AJ3719" s="19"/>
      <c r="AK3719" s="19"/>
      <c r="AL3719" s="6" t="str">
        <f t="array" ref="AL3719">IFERROR(IFS(XLOOKUP(B3719, 'Kit Delivery Status'!$U:$U, 'Kit Delivery Status'!$K:$K) = "Complete", "DELIVERED", XLOOKUP(B3719, 'Kit Delivery Status'!$U:$U, 'Kit Delivery Status'!$K:$K) = "Issue", "ISSUE"), "")</f>
        <v/>
      </c>
      <c r="AM3719" s="6"/>
    </row>
    <row r="3720">
      <c r="A3720" s="19"/>
      <c r="B3720" s="19"/>
      <c r="C3720" s="19"/>
      <c r="D3720" s="42"/>
      <c r="E3720" s="19"/>
      <c r="F3720" s="19"/>
      <c r="G3720" s="19"/>
      <c r="H3720" s="19"/>
      <c r="I3720" s="19"/>
      <c r="J3720" s="19"/>
      <c r="K3720" s="19"/>
      <c r="L3720" s="19"/>
      <c r="M3720" s="19"/>
      <c r="N3720" s="19"/>
      <c r="O3720" s="43"/>
      <c r="P3720" s="19"/>
      <c r="Q3720" s="19"/>
      <c r="R3720" s="19"/>
      <c r="S3720" s="19"/>
      <c r="T3720" s="19"/>
      <c r="U3720" s="19"/>
      <c r="V3720" s="44"/>
      <c r="W3720" s="19"/>
      <c r="X3720" s="19"/>
      <c r="Y3720" s="19"/>
      <c r="Z3720" s="19"/>
      <c r="AA3720" s="19"/>
      <c r="AB3720" s="19"/>
      <c r="AC3720" s="19"/>
      <c r="AD3720" s="19"/>
      <c r="AE3720" s="19"/>
      <c r="AF3720" s="19"/>
      <c r="AG3720" s="19"/>
      <c r="AH3720" s="19"/>
      <c r="AI3720" s="19"/>
      <c r="AJ3720" s="19"/>
      <c r="AK3720" s="19"/>
      <c r="AL3720" s="6" t="str">
        <f t="array" ref="AL3720">IFERROR(IFS(XLOOKUP(B3720, 'Kit Delivery Status'!$U:$U, 'Kit Delivery Status'!$K:$K) = "Complete", "DELIVERED", XLOOKUP(B3720, 'Kit Delivery Status'!$U:$U, 'Kit Delivery Status'!$K:$K) = "Issue", "ISSUE"), "")</f>
        <v/>
      </c>
      <c r="AM3720" s="6"/>
    </row>
    <row r="3721">
      <c r="A3721" s="19"/>
      <c r="B3721" s="19"/>
      <c r="C3721" s="19"/>
      <c r="D3721" s="42"/>
      <c r="E3721" s="19"/>
      <c r="F3721" s="19"/>
      <c r="G3721" s="19"/>
      <c r="H3721" s="19"/>
      <c r="I3721" s="19"/>
      <c r="J3721" s="19"/>
      <c r="K3721" s="19"/>
      <c r="L3721" s="19"/>
      <c r="M3721" s="19"/>
      <c r="N3721" s="19"/>
      <c r="O3721" s="43"/>
      <c r="P3721" s="19"/>
      <c r="Q3721" s="19"/>
      <c r="R3721" s="19"/>
      <c r="S3721" s="19"/>
      <c r="T3721" s="19"/>
      <c r="U3721" s="19"/>
      <c r="V3721" s="44"/>
      <c r="W3721" s="19"/>
      <c r="X3721" s="19"/>
      <c r="Y3721" s="19"/>
      <c r="Z3721" s="19"/>
      <c r="AA3721" s="19"/>
      <c r="AB3721" s="19"/>
      <c r="AC3721" s="19"/>
      <c r="AD3721" s="19"/>
      <c r="AE3721" s="19"/>
      <c r="AF3721" s="19"/>
      <c r="AG3721" s="19"/>
      <c r="AH3721" s="19"/>
      <c r="AI3721" s="19"/>
      <c r="AJ3721" s="19"/>
      <c r="AK3721" s="19"/>
      <c r="AL3721" s="6" t="str">
        <f t="array" ref="AL3721">IFERROR(IFS(XLOOKUP(B3721, 'Kit Delivery Status'!$U:$U, 'Kit Delivery Status'!$K:$K) = "Complete", "DELIVERED", XLOOKUP(B3721, 'Kit Delivery Status'!$U:$U, 'Kit Delivery Status'!$K:$K) = "Issue", "ISSUE"), "")</f>
        <v/>
      </c>
      <c r="AM3721" s="6"/>
    </row>
    <row r="3722">
      <c r="A3722" s="19"/>
      <c r="B3722" s="19"/>
      <c r="C3722" s="19"/>
      <c r="D3722" s="42"/>
      <c r="E3722" s="19"/>
      <c r="F3722" s="19"/>
      <c r="G3722" s="19"/>
      <c r="H3722" s="19"/>
      <c r="I3722" s="19"/>
      <c r="J3722" s="19"/>
      <c r="K3722" s="19"/>
      <c r="L3722" s="19"/>
      <c r="M3722" s="19"/>
      <c r="N3722" s="19"/>
      <c r="O3722" s="43"/>
      <c r="P3722" s="19"/>
      <c r="Q3722" s="19"/>
      <c r="R3722" s="19"/>
      <c r="S3722" s="19"/>
      <c r="T3722" s="19"/>
      <c r="U3722" s="19"/>
      <c r="V3722" s="44"/>
      <c r="W3722" s="19"/>
      <c r="X3722" s="19"/>
      <c r="Y3722" s="19"/>
      <c r="Z3722" s="19"/>
      <c r="AA3722" s="19"/>
      <c r="AB3722" s="19"/>
      <c r="AC3722" s="19"/>
      <c r="AD3722" s="19"/>
      <c r="AE3722" s="19"/>
      <c r="AF3722" s="19"/>
      <c r="AG3722" s="19"/>
      <c r="AH3722" s="19"/>
      <c r="AI3722" s="19"/>
      <c r="AJ3722" s="19"/>
      <c r="AK3722" s="19"/>
      <c r="AL3722" s="6" t="str">
        <f t="array" ref="AL3722">IFERROR(IFS(XLOOKUP(B3722, 'Kit Delivery Status'!$U:$U, 'Kit Delivery Status'!$K:$K) = "Complete", "DELIVERED", XLOOKUP(B3722, 'Kit Delivery Status'!$U:$U, 'Kit Delivery Status'!$K:$K) = "Issue", "ISSUE"), "")</f>
        <v/>
      </c>
      <c r="AM3722" s="6"/>
    </row>
    <row r="3723">
      <c r="A3723" s="19"/>
      <c r="B3723" s="19"/>
      <c r="C3723" s="19"/>
      <c r="D3723" s="42"/>
      <c r="E3723" s="19"/>
      <c r="F3723" s="19"/>
      <c r="G3723" s="19"/>
      <c r="H3723" s="19"/>
      <c r="I3723" s="19"/>
      <c r="J3723" s="19"/>
      <c r="K3723" s="19"/>
      <c r="L3723" s="19"/>
      <c r="M3723" s="19"/>
      <c r="N3723" s="19"/>
      <c r="O3723" s="43"/>
      <c r="P3723" s="19"/>
      <c r="Q3723" s="19"/>
      <c r="R3723" s="19"/>
      <c r="S3723" s="19"/>
      <c r="T3723" s="19"/>
      <c r="U3723" s="19"/>
      <c r="V3723" s="44"/>
      <c r="W3723" s="19"/>
      <c r="X3723" s="19"/>
      <c r="Y3723" s="19"/>
      <c r="Z3723" s="19"/>
      <c r="AA3723" s="19"/>
      <c r="AB3723" s="19"/>
      <c r="AC3723" s="19"/>
      <c r="AD3723" s="19"/>
      <c r="AE3723" s="19"/>
      <c r="AF3723" s="19"/>
      <c r="AG3723" s="19"/>
      <c r="AH3723" s="19"/>
      <c r="AI3723" s="19"/>
      <c r="AJ3723" s="19"/>
      <c r="AK3723" s="19"/>
      <c r="AL3723" s="6" t="str">
        <f t="array" ref="AL3723">IFERROR(IFS(XLOOKUP(B3723, 'Kit Delivery Status'!$U:$U, 'Kit Delivery Status'!$K:$K) = "Complete", "DELIVERED", XLOOKUP(B3723, 'Kit Delivery Status'!$U:$U, 'Kit Delivery Status'!$K:$K) = "Issue", "ISSUE"), "")</f>
        <v/>
      </c>
      <c r="AM3723" s="6"/>
    </row>
    <row r="3724">
      <c r="A3724" s="19"/>
      <c r="B3724" s="19"/>
      <c r="C3724" s="19"/>
      <c r="D3724" s="42"/>
      <c r="E3724" s="19"/>
      <c r="F3724" s="19"/>
      <c r="G3724" s="19"/>
      <c r="H3724" s="19"/>
      <c r="I3724" s="19"/>
      <c r="J3724" s="19"/>
      <c r="K3724" s="19"/>
      <c r="L3724" s="19"/>
      <c r="M3724" s="19"/>
      <c r="N3724" s="19"/>
      <c r="O3724" s="43"/>
      <c r="P3724" s="19"/>
      <c r="Q3724" s="19"/>
      <c r="R3724" s="19"/>
      <c r="S3724" s="19"/>
      <c r="T3724" s="19"/>
      <c r="U3724" s="19"/>
      <c r="V3724" s="44"/>
      <c r="W3724" s="19"/>
      <c r="X3724" s="19"/>
      <c r="Y3724" s="19"/>
      <c r="Z3724" s="19"/>
      <c r="AA3724" s="19"/>
      <c r="AB3724" s="19"/>
      <c r="AC3724" s="19"/>
      <c r="AD3724" s="19"/>
      <c r="AE3724" s="19"/>
      <c r="AF3724" s="19"/>
      <c r="AG3724" s="19"/>
      <c r="AH3724" s="19"/>
      <c r="AI3724" s="19"/>
      <c r="AJ3724" s="19"/>
      <c r="AK3724" s="19"/>
      <c r="AL3724" s="6" t="str">
        <f t="array" ref="AL3724">IFERROR(IFS(XLOOKUP(B3724, 'Kit Delivery Status'!$U:$U, 'Kit Delivery Status'!$K:$K) = "Complete", "DELIVERED", XLOOKUP(B3724, 'Kit Delivery Status'!$U:$U, 'Kit Delivery Status'!$K:$K) = "Issue", "ISSUE"), "")</f>
        <v/>
      </c>
      <c r="AM3724" s="6"/>
    </row>
    <row r="3725">
      <c r="A3725" s="19"/>
      <c r="B3725" s="19"/>
      <c r="C3725" s="19"/>
      <c r="D3725" s="42"/>
      <c r="E3725" s="19"/>
      <c r="F3725" s="19"/>
      <c r="G3725" s="19"/>
      <c r="H3725" s="19"/>
      <c r="I3725" s="19"/>
      <c r="J3725" s="19"/>
      <c r="K3725" s="19"/>
      <c r="L3725" s="19"/>
      <c r="M3725" s="19"/>
      <c r="N3725" s="19"/>
      <c r="O3725" s="43"/>
      <c r="P3725" s="19"/>
      <c r="Q3725" s="19"/>
      <c r="R3725" s="19"/>
      <c r="S3725" s="19"/>
      <c r="T3725" s="19"/>
      <c r="U3725" s="19"/>
      <c r="V3725" s="44"/>
      <c r="W3725" s="19"/>
      <c r="X3725" s="19"/>
      <c r="Y3725" s="19"/>
      <c r="Z3725" s="19"/>
      <c r="AA3725" s="19"/>
      <c r="AB3725" s="19"/>
      <c r="AC3725" s="19"/>
      <c r="AD3725" s="19"/>
      <c r="AE3725" s="19"/>
      <c r="AF3725" s="19"/>
      <c r="AG3725" s="19"/>
      <c r="AH3725" s="19"/>
      <c r="AI3725" s="19"/>
      <c r="AJ3725" s="19"/>
      <c r="AK3725" s="19"/>
      <c r="AL3725" s="6" t="str">
        <f t="array" ref="AL3725">IFERROR(IFS(XLOOKUP(B3725, 'Kit Delivery Status'!$U:$U, 'Kit Delivery Status'!$K:$K) = "Complete", "DELIVERED", XLOOKUP(B3725, 'Kit Delivery Status'!$U:$U, 'Kit Delivery Status'!$K:$K) = "Issue", "ISSUE"), "")</f>
        <v/>
      </c>
      <c r="AM3725" s="6"/>
    </row>
    <row r="3726">
      <c r="A3726" s="19"/>
      <c r="B3726" s="19"/>
      <c r="C3726" s="19"/>
      <c r="D3726" s="42"/>
      <c r="E3726" s="19"/>
      <c r="F3726" s="19"/>
      <c r="G3726" s="19"/>
      <c r="H3726" s="19"/>
      <c r="I3726" s="19"/>
      <c r="J3726" s="19"/>
      <c r="K3726" s="19"/>
      <c r="L3726" s="19"/>
      <c r="M3726" s="19"/>
      <c r="N3726" s="19"/>
      <c r="O3726" s="43"/>
      <c r="P3726" s="19"/>
      <c r="Q3726" s="19"/>
      <c r="R3726" s="19"/>
      <c r="S3726" s="19"/>
      <c r="T3726" s="19"/>
      <c r="U3726" s="19"/>
      <c r="V3726" s="44"/>
      <c r="W3726" s="19"/>
      <c r="X3726" s="19"/>
      <c r="Y3726" s="19"/>
      <c r="Z3726" s="19"/>
      <c r="AA3726" s="19"/>
      <c r="AB3726" s="19"/>
      <c r="AC3726" s="19"/>
      <c r="AD3726" s="19"/>
      <c r="AE3726" s="19"/>
      <c r="AF3726" s="19"/>
      <c r="AG3726" s="19"/>
      <c r="AH3726" s="19"/>
      <c r="AI3726" s="19"/>
      <c r="AJ3726" s="19"/>
      <c r="AK3726" s="19"/>
      <c r="AL3726" s="6" t="str">
        <f t="array" ref="AL3726">IFERROR(IFS(XLOOKUP(B3726, 'Kit Delivery Status'!$U:$U, 'Kit Delivery Status'!$K:$K) = "Complete", "DELIVERED", XLOOKUP(B3726, 'Kit Delivery Status'!$U:$U, 'Kit Delivery Status'!$K:$K) = "Issue", "ISSUE"), "")</f>
        <v/>
      </c>
      <c r="AM3726" s="6"/>
    </row>
    <row r="3727">
      <c r="A3727" s="19"/>
      <c r="B3727" s="19"/>
      <c r="C3727" s="19"/>
      <c r="D3727" s="42"/>
      <c r="E3727" s="19"/>
      <c r="F3727" s="19"/>
      <c r="G3727" s="19"/>
      <c r="H3727" s="19"/>
      <c r="I3727" s="19"/>
      <c r="J3727" s="19"/>
      <c r="K3727" s="19"/>
      <c r="L3727" s="19"/>
      <c r="M3727" s="19"/>
      <c r="N3727" s="19"/>
      <c r="O3727" s="43"/>
      <c r="P3727" s="19"/>
      <c r="Q3727" s="19"/>
      <c r="R3727" s="19"/>
      <c r="S3727" s="19"/>
      <c r="T3727" s="19"/>
      <c r="U3727" s="19"/>
      <c r="V3727" s="44"/>
      <c r="W3727" s="19"/>
      <c r="X3727" s="19"/>
      <c r="Y3727" s="19"/>
      <c r="Z3727" s="19"/>
      <c r="AA3727" s="19"/>
      <c r="AB3727" s="19"/>
      <c r="AC3727" s="19"/>
      <c r="AD3727" s="19"/>
      <c r="AE3727" s="19"/>
      <c r="AF3727" s="19"/>
      <c r="AG3727" s="19"/>
      <c r="AH3727" s="19"/>
      <c r="AI3727" s="19"/>
      <c r="AJ3727" s="19"/>
      <c r="AK3727" s="19"/>
      <c r="AL3727" s="6" t="str">
        <f t="array" ref="AL3727">IFERROR(IFS(XLOOKUP(B3727, 'Kit Delivery Status'!$U:$U, 'Kit Delivery Status'!$K:$K) = "Complete", "DELIVERED", XLOOKUP(B3727, 'Kit Delivery Status'!$U:$U, 'Kit Delivery Status'!$K:$K) = "Issue", "ISSUE"), "")</f>
        <v/>
      </c>
      <c r="AM3727" s="6"/>
    </row>
    <row r="3728">
      <c r="A3728" s="19"/>
      <c r="B3728" s="19"/>
      <c r="C3728" s="19"/>
      <c r="D3728" s="42"/>
      <c r="E3728" s="19"/>
      <c r="F3728" s="19"/>
      <c r="G3728" s="19"/>
      <c r="H3728" s="19"/>
      <c r="I3728" s="19"/>
      <c r="J3728" s="19"/>
      <c r="K3728" s="19"/>
      <c r="L3728" s="19"/>
      <c r="M3728" s="19"/>
      <c r="N3728" s="19"/>
      <c r="O3728" s="43"/>
      <c r="P3728" s="19"/>
      <c r="Q3728" s="19"/>
      <c r="R3728" s="19"/>
      <c r="S3728" s="19"/>
      <c r="T3728" s="19"/>
      <c r="U3728" s="19"/>
      <c r="V3728" s="44"/>
      <c r="W3728" s="19"/>
      <c r="X3728" s="19"/>
      <c r="Y3728" s="19"/>
      <c r="Z3728" s="19"/>
      <c r="AA3728" s="19"/>
      <c r="AB3728" s="19"/>
      <c r="AC3728" s="19"/>
      <c r="AD3728" s="19"/>
      <c r="AE3728" s="19"/>
      <c r="AF3728" s="19"/>
      <c r="AG3728" s="19"/>
      <c r="AH3728" s="19"/>
      <c r="AI3728" s="19"/>
      <c r="AJ3728" s="19"/>
      <c r="AK3728" s="19"/>
      <c r="AL3728" s="6" t="str">
        <f t="array" ref="AL3728">IFERROR(IFS(XLOOKUP(B3728, 'Kit Delivery Status'!$U:$U, 'Kit Delivery Status'!$K:$K) = "Complete", "DELIVERED", XLOOKUP(B3728, 'Kit Delivery Status'!$U:$U, 'Kit Delivery Status'!$K:$K) = "Issue", "ISSUE"), "")</f>
        <v/>
      </c>
      <c r="AM3728" s="6"/>
    </row>
    <row r="3729">
      <c r="A3729" s="19"/>
      <c r="B3729" s="19"/>
      <c r="C3729" s="19"/>
      <c r="D3729" s="42"/>
      <c r="E3729" s="19"/>
      <c r="F3729" s="19"/>
      <c r="G3729" s="19"/>
      <c r="H3729" s="19"/>
      <c r="I3729" s="19"/>
      <c r="J3729" s="19"/>
      <c r="K3729" s="19"/>
      <c r="L3729" s="19"/>
      <c r="M3729" s="19"/>
      <c r="N3729" s="19"/>
      <c r="O3729" s="43"/>
      <c r="P3729" s="19"/>
      <c r="Q3729" s="19"/>
      <c r="R3729" s="19"/>
      <c r="S3729" s="19"/>
      <c r="T3729" s="19"/>
      <c r="U3729" s="19"/>
      <c r="V3729" s="44"/>
      <c r="W3729" s="19"/>
      <c r="X3729" s="19"/>
      <c r="Y3729" s="19"/>
      <c r="Z3729" s="19"/>
      <c r="AA3729" s="19"/>
      <c r="AB3729" s="19"/>
      <c r="AC3729" s="19"/>
      <c r="AD3729" s="19"/>
      <c r="AE3729" s="19"/>
      <c r="AF3729" s="19"/>
      <c r="AG3729" s="19"/>
      <c r="AH3729" s="19"/>
      <c r="AI3729" s="19"/>
      <c r="AJ3729" s="19"/>
      <c r="AK3729" s="19"/>
      <c r="AL3729" s="6" t="str">
        <f t="array" ref="AL3729">IFERROR(IFS(XLOOKUP(B3729, 'Kit Delivery Status'!$U:$U, 'Kit Delivery Status'!$K:$K) = "Complete", "DELIVERED", XLOOKUP(B3729, 'Kit Delivery Status'!$U:$U, 'Kit Delivery Status'!$K:$K) = "Issue", "ISSUE"), "")</f>
        <v/>
      </c>
      <c r="AM3729" s="6"/>
    </row>
    <row r="3730">
      <c r="A3730" s="19"/>
      <c r="B3730" s="19"/>
      <c r="C3730" s="19"/>
      <c r="D3730" s="42"/>
      <c r="E3730" s="19"/>
      <c r="F3730" s="19"/>
      <c r="G3730" s="19"/>
      <c r="H3730" s="19"/>
      <c r="I3730" s="19"/>
      <c r="J3730" s="19"/>
      <c r="K3730" s="19"/>
      <c r="L3730" s="19"/>
      <c r="M3730" s="19"/>
      <c r="N3730" s="19"/>
      <c r="O3730" s="43"/>
      <c r="P3730" s="19"/>
      <c r="Q3730" s="19"/>
      <c r="R3730" s="19"/>
      <c r="S3730" s="19"/>
      <c r="T3730" s="19"/>
      <c r="U3730" s="19"/>
      <c r="V3730" s="44"/>
      <c r="W3730" s="19"/>
      <c r="X3730" s="19"/>
      <c r="Y3730" s="19"/>
      <c r="Z3730" s="19"/>
      <c r="AA3730" s="19"/>
      <c r="AB3730" s="19"/>
      <c r="AC3730" s="19"/>
      <c r="AD3730" s="19"/>
      <c r="AE3730" s="19"/>
      <c r="AF3730" s="19"/>
      <c r="AG3730" s="19"/>
      <c r="AH3730" s="19"/>
      <c r="AI3730" s="19"/>
      <c r="AJ3730" s="19"/>
      <c r="AK3730" s="19"/>
      <c r="AL3730" s="6" t="str">
        <f t="array" ref="AL3730">IFERROR(IFS(XLOOKUP(B3730, 'Kit Delivery Status'!$U:$U, 'Kit Delivery Status'!$K:$K) = "Complete", "DELIVERED", XLOOKUP(B3730, 'Kit Delivery Status'!$U:$U, 'Kit Delivery Status'!$K:$K) = "Issue", "ISSUE"), "")</f>
        <v/>
      </c>
      <c r="AM3730" s="6"/>
    </row>
    <row r="3731">
      <c r="A3731" s="19"/>
      <c r="B3731" s="19"/>
      <c r="C3731" s="19"/>
      <c r="D3731" s="42"/>
      <c r="E3731" s="19"/>
      <c r="F3731" s="19"/>
      <c r="G3731" s="19"/>
      <c r="H3731" s="19"/>
      <c r="I3731" s="19"/>
      <c r="J3731" s="19"/>
      <c r="K3731" s="19"/>
      <c r="L3731" s="19"/>
      <c r="M3731" s="19"/>
      <c r="N3731" s="19"/>
      <c r="O3731" s="43"/>
      <c r="P3731" s="19"/>
      <c r="Q3731" s="19"/>
      <c r="R3731" s="19"/>
      <c r="S3731" s="19"/>
      <c r="T3731" s="19"/>
      <c r="U3731" s="19"/>
      <c r="V3731" s="44"/>
      <c r="W3731" s="19"/>
      <c r="X3731" s="19"/>
      <c r="Y3731" s="19"/>
      <c r="Z3731" s="19"/>
      <c r="AA3731" s="19"/>
      <c r="AB3731" s="19"/>
      <c r="AC3731" s="19"/>
      <c r="AD3731" s="19"/>
      <c r="AE3731" s="19"/>
      <c r="AF3731" s="19"/>
      <c r="AG3731" s="19"/>
      <c r="AH3731" s="19"/>
      <c r="AI3731" s="19"/>
      <c r="AJ3731" s="19"/>
      <c r="AK3731" s="19"/>
      <c r="AL3731" s="6" t="str">
        <f t="array" ref="AL3731">IFERROR(IFS(XLOOKUP(B3731, 'Kit Delivery Status'!$U:$U, 'Kit Delivery Status'!$K:$K) = "Complete", "DELIVERED", XLOOKUP(B3731, 'Kit Delivery Status'!$U:$U, 'Kit Delivery Status'!$K:$K) = "Issue", "ISSUE"), "")</f>
        <v/>
      </c>
      <c r="AM3731" s="6"/>
    </row>
    <row r="3732">
      <c r="A3732" s="19"/>
      <c r="B3732" s="19"/>
      <c r="C3732" s="19"/>
      <c r="D3732" s="42"/>
      <c r="E3732" s="19"/>
      <c r="F3732" s="19"/>
      <c r="G3732" s="19"/>
      <c r="H3732" s="19"/>
      <c r="I3732" s="19"/>
      <c r="J3732" s="19"/>
      <c r="K3732" s="19"/>
      <c r="L3732" s="19"/>
      <c r="M3732" s="19"/>
      <c r="N3732" s="19"/>
      <c r="O3732" s="43"/>
      <c r="P3732" s="19"/>
      <c r="Q3732" s="19"/>
      <c r="R3732" s="19"/>
      <c r="S3732" s="19"/>
      <c r="T3732" s="19"/>
      <c r="U3732" s="19"/>
      <c r="V3732" s="44"/>
      <c r="W3732" s="19"/>
      <c r="X3732" s="19"/>
      <c r="Y3732" s="19"/>
      <c r="Z3732" s="19"/>
      <c r="AA3732" s="19"/>
      <c r="AB3732" s="19"/>
      <c r="AC3732" s="19"/>
      <c r="AD3732" s="19"/>
      <c r="AE3732" s="19"/>
      <c r="AF3732" s="19"/>
      <c r="AG3732" s="19"/>
      <c r="AH3732" s="19"/>
      <c r="AI3732" s="19"/>
      <c r="AJ3732" s="19"/>
      <c r="AK3732" s="19"/>
      <c r="AL3732" s="6" t="str">
        <f t="array" ref="AL3732">IFERROR(IFS(XLOOKUP(B3732, 'Kit Delivery Status'!$U:$U, 'Kit Delivery Status'!$K:$K) = "Complete", "DELIVERED", XLOOKUP(B3732, 'Kit Delivery Status'!$U:$U, 'Kit Delivery Status'!$K:$K) = "Issue", "ISSUE"), "")</f>
        <v/>
      </c>
      <c r="AM3732" s="6"/>
    </row>
    <row r="3733">
      <c r="A3733" s="19"/>
      <c r="B3733" s="19"/>
      <c r="C3733" s="19"/>
      <c r="D3733" s="42"/>
      <c r="E3733" s="19"/>
      <c r="F3733" s="19"/>
      <c r="G3733" s="19"/>
      <c r="H3733" s="19"/>
      <c r="I3733" s="19"/>
      <c r="J3733" s="19"/>
      <c r="K3733" s="19"/>
      <c r="L3733" s="19"/>
      <c r="M3733" s="19"/>
      <c r="N3733" s="19"/>
      <c r="O3733" s="43"/>
      <c r="P3733" s="19"/>
      <c r="Q3733" s="19"/>
      <c r="R3733" s="19"/>
      <c r="S3733" s="19"/>
      <c r="T3733" s="19"/>
      <c r="U3733" s="19"/>
      <c r="V3733" s="44"/>
      <c r="W3733" s="19"/>
      <c r="X3733" s="19"/>
      <c r="Y3733" s="19"/>
      <c r="Z3733" s="19"/>
      <c r="AA3733" s="19"/>
      <c r="AB3733" s="19"/>
      <c r="AC3733" s="19"/>
      <c r="AD3733" s="19"/>
      <c r="AE3733" s="19"/>
      <c r="AF3733" s="19"/>
      <c r="AG3733" s="19"/>
      <c r="AH3733" s="19"/>
      <c r="AI3733" s="19"/>
      <c r="AJ3733" s="19"/>
      <c r="AK3733" s="19"/>
      <c r="AL3733" s="6" t="str">
        <f t="array" ref="AL3733">IFERROR(IFS(XLOOKUP(B3733, 'Kit Delivery Status'!$U:$U, 'Kit Delivery Status'!$K:$K) = "Complete", "DELIVERED", XLOOKUP(B3733, 'Kit Delivery Status'!$U:$U, 'Kit Delivery Status'!$K:$K) = "Issue", "ISSUE"), "")</f>
        <v/>
      </c>
      <c r="AM3733" s="6"/>
    </row>
    <row r="3734">
      <c r="A3734" s="19"/>
      <c r="B3734" s="19"/>
      <c r="C3734" s="19"/>
      <c r="D3734" s="42"/>
      <c r="E3734" s="19"/>
      <c r="F3734" s="19"/>
      <c r="G3734" s="19"/>
      <c r="H3734" s="19"/>
      <c r="I3734" s="19"/>
      <c r="J3734" s="19"/>
      <c r="K3734" s="19"/>
      <c r="L3734" s="19"/>
      <c r="M3734" s="19"/>
      <c r="N3734" s="19"/>
      <c r="O3734" s="43"/>
      <c r="P3734" s="19"/>
      <c r="Q3734" s="19"/>
      <c r="R3734" s="19"/>
      <c r="S3734" s="19"/>
      <c r="T3734" s="19"/>
      <c r="U3734" s="19"/>
      <c r="V3734" s="44"/>
      <c r="W3734" s="19"/>
      <c r="X3734" s="19"/>
      <c r="Y3734" s="19"/>
      <c r="Z3734" s="19"/>
      <c r="AA3734" s="19"/>
      <c r="AB3734" s="19"/>
      <c r="AC3734" s="19"/>
      <c r="AD3734" s="19"/>
      <c r="AE3734" s="19"/>
      <c r="AF3734" s="19"/>
      <c r="AG3734" s="19"/>
      <c r="AH3734" s="19"/>
      <c r="AI3734" s="19"/>
      <c r="AJ3734" s="19"/>
      <c r="AK3734" s="19"/>
      <c r="AL3734" s="6" t="str">
        <f t="array" ref="AL3734">IFERROR(IFS(XLOOKUP(B3734, 'Kit Delivery Status'!$U:$U, 'Kit Delivery Status'!$K:$K) = "Complete", "DELIVERED", XLOOKUP(B3734, 'Kit Delivery Status'!$U:$U, 'Kit Delivery Status'!$K:$K) = "Issue", "ISSUE"), "")</f>
        <v/>
      </c>
      <c r="AM3734" s="6"/>
    </row>
    <row r="3735">
      <c r="A3735" s="19"/>
      <c r="B3735" s="19"/>
      <c r="C3735" s="19"/>
      <c r="D3735" s="42"/>
      <c r="E3735" s="19"/>
      <c r="F3735" s="19"/>
      <c r="G3735" s="19"/>
      <c r="H3735" s="19"/>
      <c r="I3735" s="19"/>
      <c r="J3735" s="19"/>
      <c r="K3735" s="19"/>
      <c r="L3735" s="19"/>
      <c r="M3735" s="19"/>
      <c r="N3735" s="19"/>
      <c r="O3735" s="43"/>
      <c r="P3735" s="19"/>
      <c r="Q3735" s="19"/>
      <c r="R3735" s="19"/>
      <c r="S3735" s="19"/>
      <c r="T3735" s="19"/>
      <c r="U3735" s="19"/>
      <c r="V3735" s="44"/>
      <c r="W3735" s="19"/>
      <c r="X3735" s="19"/>
      <c r="Y3735" s="19"/>
      <c r="Z3735" s="19"/>
      <c r="AA3735" s="19"/>
      <c r="AB3735" s="19"/>
      <c r="AC3735" s="19"/>
      <c r="AD3735" s="19"/>
      <c r="AE3735" s="19"/>
      <c r="AF3735" s="19"/>
      <c r="AG3735" s="19"/>
      <c r="AH3735" s="19"/>
      <c r="AI3735" s="19"/>
      <c r="AJ3735" s="19"/>
      <c r="AK3735" s="19"/>
      <c r="AL3735" s="6" t="str">
        <f t="array" ref="AL3735">IFERROR(IFS(XLOOKUP(B3735, 'Kit Delivery Status'!$U:$U, 'Kit Delivery Status'!$K:$K) = "Complete", "DELIVERED", XLOOKUP(B3735, 'Kit Delivery Status'!$U:$U, 'Kit Delivery Status'!$K:$K) = "Issue", "ISSUE"), "")</f>
        <v/>
      </c>
      <c r="AM3735" s="6"/>
    </row>
    <row r="3736">
      <c r="A3736" s="19"/>
      <c r="B3736" s="19"/>
      <c r="C3736" s="19"/>
      <c r="D3736" s="42"/>
      <c r="E3736" s="19"/>
      <c r="F3736" s="19"/>
      <c r="G3736" s="19"/>
      <c r="H3736" s="19"/>
      <c r="I3736" s="19"/>
      <c r="J3736" s="19"/>
      <c r="K3736" s="19"/>
      <c r="L3736" s="19"/>
      <c r="M3736" s="19"/>
      <c r="N3736" s="19"/>
      <c r="O3736" s="43"/>
      <c r="P3736" s="19"/>
      <c r="Q3736" s="19"/>
      <c r="R3736" s="19"/>
      <c r="S3736" s="19"/>
      <c r="T3736" s="19"/>
      <c r="U3736" s="19"/>
      <c r="V3736" s="44"/>
      <c r="W3736" s="19"/>
      <c r="X3736" s="19"/>
      <c r="Y3736" s="19"/>
      <c r="Z3736" s="19"/>
      <c r="AA3736" s="19"/>
      <c r="AB3736" s="19"/>
      <c r="AC3736" s="19"/>
      <c r="AD3736" s="19"/>
      <c r="AE3736" s="19"/>
      <c r="AF3736" s="19"/>
      <c r="AG3736" s="19"/>
      <c r="AH3736" s="19"/>
      <c r="AI3736" s="19"/>
      <c r="AJ3736" s="19"/>
      <c r="AK3736" s="19"/>
      <c r="AL3736" s="6" t="str">
        <f t="array" ref="AL3736">IFERROR(IFS(XLOOKUP(B3736, 'Kit Delivery Status'!$U:$U, 'Kit Delivery Status'!$K:$K) = "Complete", "DELIVERED", XLOOKUP(B3736, 'Kit Delivery Status'!$U:$U, 'Kit Delivery Status'!$K:$K) = "Issue", "ISSUE"), "")</f>
        <v/>
      </c>
      <c r="AM3736" s="6"/>
    </row>
    <row r="3737">
      <c r="A3737" s="19"/>
      <c r="B3737" s="19"/>
      <c r="C3737" s="19"/>
      <c r="D3737" s="42"/>
      <c r="E3737" s="19"/>
      <c r="F3737" s="19"/>
      <c r="G3737" s="19"/>
      <c r="H3737" s="19"/>
      <c r="I3737" s="19"/>
      <c r="J3737" s="19"/>
      <c r="K3737" s="19"/>
      <c r="L3737" s="19"/>
      <c r="M3737" s="19"/>
      <c r="N3737" s="19"/>
      <c r="O3737" s="43"/>
      <c r="P3737" s="19"/>
      <c r="Q3737" s="19"/>
      <c r="R3737" s="19"/>
      <c r="S3737" s="19"/>
      <c r="T3737" s="19"/>
      <c r="U3737" s="19"/>
      <c r="V3737" s="44"/>
      <c r="W3737" s="19"/>
      <c r="X3737" s="19"/>
      <c r="Y3737" s="19"/>
      <c r="Z3737" s="19"/>
      <c r="AA3737" s="19"/>
      <c r="AB3737" s="19"/>
      <c r="AC3737" s="19"/>
      <c r="AD3737" s="19"/>
      <c r="AE3737" s="19"/>
      <c r="AF3737" s="19"/>
      <c r="AG3737" s="19"/>
      <c r="AH3737" s="19"/>
      <c r="AI3737" s="19"/>
      <c r="AJ3737" s="19"/>
      <c r="AK3737" s="19"/>
      <c r="AL3737" s="6" t="str">
        <f t="array" ref="AL3737">IFERROR(IFS(XLOOKUP(B3737, 'Kit Delivery Status'!$U:$U, 'Kit Delivery Status'!$K:$K) = "Complete", "DELIVERED", XLOOKUP(B3737, 'Kit Delivery Status'!$U:$U, 'Kit Delivery Status'!$K:$K) = "Issue", "ISSUE"), "")</f>
        <v/>
      </c>
      <c r="AM3737" s="6"/>
    </row>
    <row r="3738">
      <c r="A3738" s="19"/>
      <c r="B3738" s="19"/>
      <c r="C3738" s="19"/>
      <c r="D3738" s="42"/>
      <c r="E3738" s="19"/>
      <c r="F3738" s="19"/>
      <c r="G3738" s="19"/>
      <c r="H3738" s="19"/>
      <c r="I3738" s="19"/>
      <c r="J3738" s="19"/>
      <c r="K3738" s="19"/>
      <c r="L3738" s="19"/>
      <c r="M3738" s="19"/>
      <c r="N3738" s="19"/>
      <c r="O3738" s="43"/>
      <c r="P3738" s="19"/>
      <c r="Q3738" s="19"/>
      <c r="R3738" s="19"/>
      <c r="S3738" s="19"/>
      <c r="T3738" s="19"/>
      <c r="U3738" s="19"/>
      <c r="V3738" s="44"/>
      <c r="W3738" s="19"/>
      <c r="X3738" s="19"/>
      <c r="Y3738" s="19"/>
      <c r="Z3738" s="19"/>
      <c r="AA3738" s="19"/>
      <c r="AB3738" s="19"/>
      <c r="AC3738" s="19"/>
      <c r="AD3738" s="19"/>
      <c r="AE3738" s="19"/>
      <c r="AF3738" s="19"/>
      <c r="AG3738" s="19"/>
      <c r="AH3738" s="19"/>
      <c r="AI3738" s="19"/>
      <c r="AJ3738" s="19"/>
      <c r="AK3738" s="19"/>
      <c r="AL3738" s="6" t="str">
        <f t="array" ref="AL3738">IFERROR(IFS(XLOOKUP(B3738, 'Kit Delivery Status'!$U:$U, 'Kit Delivery Status'!$K:$K) = "Complete", "DELIVERED", XLOOKUP(B3738, 'Kit Delivery Status'!$U:$U, 'Kit Delivery Status'!$K:$K) = "Issue", "ISSUE"), "")</f>
        <v/>
      </c>
      <c r="AM3738" s="6"/>
    </row>
    <row r="3739">
      <c r="A3739" s="19"/>
      <c r="B3739" s="19"/>
      <c r="C3739" s="19"/>
      <c r="D3739" s="42"/>
      <c r="E3739" s="19"/>
      <c r="F3739" s="19"/>
      <c r="G3739" s="19"/>
      <c r="H3739" s="19"/>
      <c r="I3739" s="19"/>
      <c r="J3739" s="19"/>
      <c r="K3739" s="19"/>
      <c r="L3739" s="19"/>
      <c r="M3739" s="19"/>
      <c r="N3739" s="19"/>
      <c r="O3739" s="43"/>
      <c r="P3739" s="19"/>
      <c r="Q3739" s="19"/>
      <c r="R3739" s="19"/>
      <c r="S3739" s="19"/>
      <c r="T3739" s="19"/>
      <c r="U3739" s="19"/>
      <c r="V3739" s="44"/>
      <c r="W3739" s="19"/>
      <c r="X3739" s="19"/>
      <c r="Y3739" s="19"/>
      <c r="Z3739" s="19"/>
      <c r="AA3739" s="19"/>
      <c r="AB3739" s="19"/>
      <c r="AC3739" s="19"/>
      <c r="AD3739" s="19"/>
      <c r="AE3739" s="19"/>
      <c r="AF3739" s="19"/>
      <c r="AG3739" s="19"/>
      <c r="AH3739" s="19"/>
      <c r="AI3739" s="19"/>
      <c r="AJ3739" s="19"/>
      <c r="AK3739" s="19"/>
      <c r="AL3739" s="6" t="str">
        <f t="array" ref="AL3739">IFERROR(IFS(XLOOKUP(B3739, 'Kit Delivery Status'!$U:$U, 'Kit Delivery Status'!$K:$K) = "Complete", "DELIVERED", XLOOKUP(B3739, 'Kit Delivery Status'!$U:$U, 'Kit Delivery Status'!$K:$K) = "Issue", "ISSUE"), "")</f>
        <v/>
      </c>
      <c r="AM3739" s="6"/>
    </row>
    <row r="3740">
      <c r="A3740" s="19"/>
      <c r="B3740" s="19"/>
      <c r="C3740" s="19"/>
      <c r="D3740" s="42"/>
      <c r="E3740" s="19"/>
      <c r="F3740" s="19"/>
      <c r="G3740" s="19"/>
      <c r="H3740" s="19"/>
      <c r="I3740" s="19"/>
      <c r="J3740" s="19"/>
      <c r="K3740" s="19"/>
      <c r="L3740" s="19"/>
      <c r="M3740" s="19"/>
      <c r="N3740" s="19"/>
      <c r="O3740" s="43"/>
      <c r="P3740" s="19"/>
      <c r="Q3740" s="19"/>
      <c r="R3740" s="19"/>
      <c r="S3740" s="19"/>
      <c r="T3740" s="19"/>
      <c r="U3740" s="19"/>
      <c r="V3740" s="44"/>
      <c r="W3740" s="19"/>
      <c r="X3740" s="19"/>
      <c r="Y3740" s="19"/>
      <c r="Z3740" s="19"/>
      <c r="AA3740" s="19"/>
      <c r="AB3740" s="19"/>
      <c r="AC3740" s="19"/>
      <c r="AD3740" s="19"/>
      <c r="AE3740" s="19"/>
      <c r="AF3740" s="19"/>
      <c r="AG3740" s="19"/>
      <c r="AH3740" s="19"/>
      <c r="AI3740" s="19"/>
      <c r="AJ3740" s="19"/>
      <c r="AK3740" s="19"/>
      <c r="AL3740" s="6" t="str">
        <f t="array" ref="AL3740">IFERROR(IFS(XLOOKUP(B3740, 'Kit Delivery Status'!$U:$U, 'Kit Delivery Status'!$K:$K) = "Complete", "DELIVERED", XLOOKUP(B3740, 'Kit Delivery Status'!$U:$U, 'Kit Delivery Status'!$K:$K) = "Issue", "ISSUE"), "")</f>
        <v/>
      </c>
      <c r="AM3740" s="6"/>
    </row>
    <row r="3741">
      <c r="A3741" s="19"/>
      <c r="B3741" s="19"/>
      <c r="C3741" s="19"/>
      <c r="D3741" s="42"/>
      <c r="E3741" s="19"/>
      <c r="F3741" s="19"/>
      <c r="G3741" s="19"/>
      <c r="H3741" s="19"/>
      <c r="I3741" s="19"/>
      <c r="J3741" s="19"/>
      <c r="K3741" s="19"/>
      <c r="L3741" s="19"/>
      <c r="M3741" s="19"/>
      <c r="N3741" s="19"/>
      <c r="O3741" s="43"/>
      <c r="P3741" s="19"/>
      <c r="Q3741" s="19"/>
      <c r="R3741" s="19"/>
      <c r="S3741" s="19"/>
      <c r="T3741" s="19"/>
      <c r="U3741" s="19"/>
      <c r="V3741" s="44"/>
      <c r="W3741" s="19"/>
      <c r="X3741" s="19"/>
      <c r="Y3741" s="19"/>
      <c r="Z3741" s="19"/>
      <c r="AA3741" s="19"/>
      <c r="AB3741" s="19"/>
      <c r="AC3741" s="19"/>
      <c r="AD3741" s="19"/>
      <c r="AE3741" s="19"/>
      <c r="AF3741" s="19"/>
      <c r="AG3741" s="19"/>
      <c r="AH3741" s="19"/>
      <c r="AI3741" s="19"/>
      <c r="AJ3741" s="19"/>
      <c r="AK3741" s="19"/>
      <c r="AL3741" s="6" t="str">
        <f t="array" ref="AL3741">IFERROR(IFS(XLOOKUP(B3741, 'Kit Delivery Status'!$U:$U, 'Kit Delivery Status'!$K:$K) = "Complete", "DELIVERED", XLOOKUP(B3741, 'Kit Delivery Status'!$U:$U, 'Kit Delivery Status'!$K:$K) = "Issue", "ISSUE"), "")</f>
        <v/>
      </c>
      <c r="AM3741" s="6"/>
    </row>
    <row r="3742">
      <c r="A3742" s="19"/>
      <c r="B3742" s="19"/>
      <c r="C3742" s="19"/>
      <c r="D3742" s="42"/>
      <c r="E3742" s="19"/>
      <c r="F3742" s="19"/>
      <c r="G3742" s="19"/>
      <c r="H3742" s="19"/>
      <c r="I3742" s="19"/>
      <c r="J3742" s="19"/>
      <c r="K3742" s="19"/>
      <c r="L3742" s="19"/>
      <c r="M3742" s="19"/>
      <c r="N3742" s="19"/>
      <c r="O3742" s="43"/>
      <c r="P3742" s="19"/>
      <c r="Q3742" s="19"/>
      <c r="R3742" s="19"/>
      <c r="S3742" s="19"/>
      <c r="T3742" s="19"/>
      <c r="U3742" s="19"/>
      <c r="V3742" s="44"/>
      <c r="W3742" s="19"/>
      <c r="X3742" s="19"/>
      <c r="Y3742" s="19"/>
      <c r="Z3742" s="19"/>
      <c r="AA3742" s="19"/>
      <c r="AB3742" s="19"/>
      <c r="AC3742" s="19"/>
      <c r="AD3742" s="19"/>
      <c r="AE3742" s="19"/>
      <c r="AF3742" s="19"/>
      <c r="AG3742" s="19"/>
      <c r="AH3742" s="19"/>
      <c r="AI3742" s="19"/>
      <c r="AJ3742" s="19"/>
      <c r="AK3742" s="19"/>
      <c r="AL3742" s="6" t="str">
        <f t="array" ref="AL3742">IFERROR(IFS(XLOOKUP(B3742, 'Kit Delivery Status'!$U:$U, 'Kit Delivery Status'!$K:$K) = "Complete", "DELIVERED", XLOOKUP(B3742, 'Kit Delivery Status'!$U:$U, 'Kit Delivery Status'!$K:$K) = "Issue", "ISSUE"), "")</f>
        <v/>
      </c>
      <c r="AM3742" s="6"/>
    </row>
    <row r="3743">
      <c r="A3743" s="19"/>
      <c r="B3743" s="19"/>
      <c r="C3743" s="19"/>
      <c r="D3743" s="42"/>
      <c r="E3743" s="19"/>
      <c r="F3743" s="19"/>
      <c r="G3743" s="19"/>
      <c r="H3743" s="19"/>
      <c r="I3743" s="19"/>
      <c r="J3743" s="19"/>
      <c r="K3743" s="19"/>
      <c r="L3743" s="19"/>
      <c r="M3743" s="19"/>
      <c r="N3743" s="19"/>
      <c r="O3743" s="43"/>
      <c r="P3743" s="19"/>
      <c r="Q3743" s="19"/>
      <c r="R3743" s="19"/>
      <c r="S3743" s="19"/>
      <c r="T3743" s="19"/>
      <c r="U3743" s="19"/>
      <c r="V3743" s="44"/>
      <c r="W3743" s="19"/>
      <c r="X3743" s="19"/>
      <c r="Y3743" s="19"/>
      <c r="Z3743" s="19"/>
      <c r="AA3743" s="19"/>
      <c r="AB3743" s="19"/>
      <c r="AC3743" s="19"/>
      <c r="AD3743" s="19"/>
      <c r="AE3743" s="19"/>
      <c r="AF3743" s="19"/>
      <c r="AG3743" s="19"/>
      <c r="AH3743" s="19"/>
      <c r="AI3743" s="19"/>
      <c r="AJ3743" s="19"/>
      <c r="AK3743" s="19"/>
      <c r="AL3743" s="6" t="str">
        <f t="array" ref="AL3743">IFERROR(IFS(XLOOKUP(B3743, 'Kit Delivery Status'!$U:$U, 'Kit Delivery Status'!$K:$K) = "Complete", "DELIVERED", XLOOKUP(B3743, 'Kit Delivery Status'!$U:$U, 'Kit Delivery Status'!$K:$K) = "Issue", "ISSUE"), "")</f>
        <v/>
      </c>
      <c r="AM3743" s="6"/>
    </row>
    <row r="3744">
      <c r="A3744" s="19"/>
      <c r="B3744" s="19"/>
      <c r="C3744" s="19"/>
      <c r="D3744" s="42"/>
      <c r="E3744" s="19"/>
      <c r="F3744" s="19"/>
      <c r="G3744" s="19"/>
      <c r="H3744" s="19"/>
      <c r="I3744" s="19"/>
      <c r="J3744" s="19"/>
      <c r="K3744" s="19"/>
      <c r="L3744" s="19"/>
      <c r="M3744" s="19"/>
      <c r="N3744" s="19"/>
      <c r="O3744" s="43"/>
      <c r="P3744" s="19"/>
      <c r="Q3744" s="19"/>
      <c r="R3744" s="19"/>
      <c r="S3744" s="19"/>
      <c r="T3744" s="19"/>
      <c r="U3744" s="19"/>
      <c r="V3744" s="44"/>
      <c r="W3744" s="19"/>
      <c r="X3744" s="19"/>
      <c r="Y3744" s="19"/>
      <c r="Z3744" s="19"/>
      <c r="AA3744" s="19"/>
      <c r="AB3744" s="19"/>
      <c r="AC3744" s="19"/>
      <c r="AD3744" s="19"/>
      <c r="AE3744" s="19"/>
      <c r="AF3744" s="19"/>
      <c r="AG3744" s="19"/>
      <c r="AH3744" s="19"/>
      <c r="AI3744" s="19"/>
      <c r="AJ3744" s="19"/>
      <c r="AK3744" s="19"/>
      <c r="AL3744" s="6" t="str">
        <f t="array" ref="AL3744">IFERROR(IFS(XLOOKUP(B3744, 'Kit Delivery Status'!$U:$U, 'Kit Delivery Status'!$K:$K) = "Complete", "DELIVERED", XLOOKUP(B3744, 'Kit Delivery Status'!$U:$U, 'Kit Delivery Status'!$K:$K) = "Issue", "ISSUE"), "")</f>
        <v/>
      </c>
      <c r="AM3744" s="6"/>
    </row>
    <row r="3745">
      <c r="A3745" s="19"/>
      <c r="B3745" s="19"/>
      <c r="C3745" s="19"/>
      <c r="D3745" s="42"/>
      <c r="E3745" s="19"/>
      <c r="F3745" s="19"/>
      <c r="G3745" s="19"/>
      <c r="H3745" s="19"/>
      <c r="I3745" s="19"/>
      <c r="J3745" s="19"/>
      <c r="K3745" s="19"/>
      <c r="L3745" s="19"/>
      <c r="M3745" s="19"/>
      <c r="N3745" s="19"/>
      <c r="O3745" s="43"/>
      <c r="P3745" s="19"/>
      <c r="Q3745" s="19"/>
      <c r="R3745" s="19"/>
      <c r="S3745" s="19"/>
      <c r="T3745" s="19"/>
      <c r="U3745" s="19"/>
      <c r="V3745" s="44"/>
      <c r="W3745" s="19"/>
      <c r="X3745" s="19"/>
      <c r="Y3745" s="19"/>
      <c r="Z3745" s="19"/>
      <c r="AA3745" s="19"/>
      <c r="AB3745" s="19"/>
      <c r="AC3745" s="19"/>
      <c r="AD3745" s="19"/>
      <c r="AE3745" s="19"/>
      <c r="AF3745" s="19"/>
      <c r="AG3745" s="19"/>
      <c r="AH3745" s="19"/>
      <c r="AI3745" s="19"/>
      <c r="AJ3745" s="19"/>
      <c r="AK3745" s="19"/>
      <c r="AL3745" s="6" t="str">
        <f t="array" ref="AL3745">IFERROR(IFS(XLOOKUP(B3745, 'Kit Delivery Status'!$U:$U, 'Kit Delivery Status'!$K:$K) = "Complete", "DELIVERED", XLOOKUP(B3745, 'Kit Delivery Status'!$U:$U, 'Kit Delivery Status'!$K:$K) = "Issue", "ISSUE"), "")</f>
        <v/>
      </c>
      <c r="AM3745" s="6"/>
    </row>
    <row r="3746">
      <c r="A3746" s="19"/>
      <c r="B3746" s="19"/>
      <c r="C3746" s="19"/>
      <c r="D3746" s="42"/>
      <c r="E3746" s="19"/>
      <c r="F3746" s="19"/>
      <c r="G3746" s="19"/>
      <c r="H3746" s="19"/>
      <c r="I3746" s="19"/>
      <c r="J3746" s="19"/>
      <c r="K3746" s="19"/>
      <c r="L3746" s="19"/>
      <c r="M3746" s="19"/>
      <c r="N3746" s="19"/>
      <c r="O3746" s="43"/>
      <c r="P3746" s="19"/>
      <c r="Q3746" s="19"/>
      <c r="R3746" s="19"/>
      <c r="S3746" s="19"/>
      <c r="T3746" s="19"/>
      <c r="U3746" s="19"/>
      <c r="V3746" s="44"/>
      <c r="W3746" s="19"/>
      <c r="X3746" s="19"/>
      <c r="Y3746" s="19"/>
      <c r="Z3746" s="19"/>
      <c r="AA3746" s="19"/>
      <c r="AB3746" s="19"/>
      <c r="AC3746" s="19"/>
      <c r="AD3746" s="19"/>
      <c r="AE3746" s="19"/>
      <c r="AF3746" s="19"/>
      <c r="AG3746" s="19"/>
      <c r="AH3746" s="19"/>
      <c r="AI3746" s="19"/>
      <c r="AJ3746" s="19"/>
      <c r="AK3746" s="19"/>
      <c r="AL3746" s="6" t="str">
        <f t="array" ref="AL3746">IFERROR(IFS(XLOOKUP(B3746, 'Kit Delivery Status'!$U:$U, 'Kit Delivery Status'!$K:$K) = "Complete", "DELIVERED", XLOOKUP(B3746, 'Kit Delivery Status'!$U:$U, 'Kit Delivery Status'!$K:$K) = "Issue", "ISSUE"), "")</f>
        <v/>
      </c>
      <c r="AM3746" s="6"/>
    </row>
    <row r="3747">
      <c r="A3747" s="19"/>
      <c r="B3747" s="19"/>
      <c r="C3747" s="19"/>
      <c r="D3747" s="42"/>
      <c r="E3747" s="19"/>
      <c r="F3747" s="19"/>
      <c r="G3747" s="19"/>
      <c r="H3747" s="19"/>
      <c r="I3747" s="19"/>
      <c r="J3747" s="19"/>
      <c r="K3747" s="19"/>
      <c r="L3747" s="19"/>
      <c r="M3747" s="19"/>
      <c r="N3747" s="19"/>
      <c r="O3747" s="43"/>
      <c r="P3747" s="19"/>
      <c r="Q3747" s="19"/>
      <c r="R3747" s="19"/>
      <c r="S3747" s="19"/>
      <c r="T3747" s="19"/>
      <c r="U3747" s="19"/>
      <c r="V3747" s="44"/>
      <c r="W3747" s="19"/>
      <c r="X3747" s="19"/>
      <c r="Y3747" s="19"/>
      <c r="Z3747" s="19"/>
      <c r="AA3747" s="19"/>
      <c r="AB3747" s="19"/>
      <c r="AC3747" s="19"/>
      <c r="AD3747" s="19"/>
      <c r="AE3747" s="19"/>
      <c r="AF3747" s="19"/>
      <c r="AG3747" s="19"/>
      <c r="AH3747" s="19"/>
      <c r="AI3747" s="19"/>
      <c r="AJ3747" s="19"/>
      <c r="AK3747" s="19"/>
      <c r="AL3747" s="6" t="str">
        <f t="array" ref="AL3747">IFERROR(IFS(XLOOKUP(B3747, 'Kit Delivery Status'!$U:$U, 'Kit Delivery Status'!$K:$K) = "Complete", "DELIVERED", XLOOKUP(B3747, 'Kit Delivery Status'!$U:$U, 'Kit Delivery Status'!$K:$K) = "Issue", "ISSUE"), "")</f>
        <v/>
      </c>
      <c r="AM3747" s="6"/>
    </row>
    <row r="3748">
      <c r="A3748" s="19"/>
      <c r="B3748" s="19"/>
      <c r="C3748" s="19"/>
      <c r="D3748" s="42"/>
      <c r="E3748" s="19"/>
      <c r="F3748" s="19"/>
      <c r="G3748" s="19"/>
      <c r="H3748" s="19"/>
      <c r="I3748" s="19"/>
      <c r="J3748" s="19"/>
      <c r="K3748" s="19"/>
      <c r="L3748" s="19"/>
      <c r="M3748" s="19"/>
      <c r="N3748" s="19"/>
      <c r="O3748" s="43"/>
      <c r="P3748" s="19"/>
      <c r="Q3748" s="19"/>
      <c r="R3748" s="19"/>
      <c r="S3748" s="19"/>
      <c r="T3748" s="19"/>
      <c r="U3748" s="19"/>
      <c r="V3748" s="44"/>
      <c r="W3748" s="19"/>
      <c r="X3748" s="19"/>
      <c r="Y3748" s="19"/>
      <c r="Z3748" s="19"/>
      <c r="AA3748" s="19"/>
      <c r="AB3748" s="19"/>
      <c r="AC3748" s="19"/>
      <c r="AD3748" s="19"/>
      <c r="AE3748" s="19"/>
      <c r="AF3748" s="19"/>
      <c r="AG3748" s="19"/>
      <c r="AH3748" s="19"/>
      <c r="AI3748" s="19"/>
      <c r="AJ3748" s="19"/>
      <c r="AK3748" s="19"/>
      <c r="AL3748" s="6" t="str">
        <f t="array" ref="AL3748">IFERROR(IFS(XLOOKUP(B3748, 'Kit Delivery Status'!$U:$U, 'Kit Delivery Status'!$K:$K) = "Complete", "DELIVERED", XLOOKUP(B3748, 'Kit Delivery Status'!$U:$U, 'Kit Delivery Status'!$K:$K) = "Issue", "ISSUE"), "")</f>
        <v/>
      </c>
      <c r="AM3748" s="6"/>
    </row>
    <row r="3749">
      <c r="A3749" s="19"/>
      <c r="B3749" s="19"/>
      <c r="C3749" s="19"/>
      <c r="D3749" s="42"/>
      <c r="E3749" s="19"/>
      <c r="F3749" s="19"/>
      <c r="G3749" s="19"/>
      <c r="H3749" s="19"/>
      <c r="I3749" s="19"/>
      <c r="J3749" s="19"/>
      <c r="K3749" s="19"/>
      <c r="L3749" s="19"/>
      <c r="M3749" s="19"/>
      <c r="N3749" s="19"/>
      <c r="O3749" s="43"/>
      <c r="P3749" s="19"/>
      <c r="Q3749" s="19"/>
      <c r="R3749" s="19"/>
      <c r="S3749" s="19"/>
      <c r="T3749" s="19"/>
      <c r="U3749" s="19"/>
      <c r="V3749" s="44"/>
      <c r="W3749" s="19"/>
      <c r="X3749" s="19"/>
      <c r="Y3749" s="19"/>
      <c r="Z3749" s="19"/>
      <c r="AA3749" s="19"/>
      <c r="AB3749" s="19"/>
      <c r="AC3749" s="19"/>
      <c r="AD3749" s="19"/>
      <c r="AE3749" s="19"/>
      <c r="AF3749" s="19"/>
      <c r="AG3749" s="19"/>
      <c r="AH3749" s="19"/>
      <c r="AI3749" s="19"/>
      <c r="AJ3749" s="19"/>
      <c r="AK3749" s="19"/>
      <c r="AL3749" s="6" t="str">
        <f t="array" ref="AL3749">IFERROR(IFS(XLOOKUP(B3749, 'Kit Delivery Status'!$U:$U, 'Kit Delivery Status'!$K:$K) = "Complete", "DELIVERED", XLOOKUP(B3749, 'Kit Delivery Status'!$U:$U, 'Kit Delivery Status'!$K:$K) = "Issue", "ISSUE"), "")</f>
        <v/>
      </c>
      <c r="AM3749" s="6"/>
    </row>
    <row r="3750">
      <c r="A3750" s="19"/>
      <c r="B3750" s="19"/>
      <c r="C3750" s="19"/>
      <c r="D3750" s="42"/>
      <c r="E3750" s="19"/>
      <c r="F3750" s="19"/>
      <c r="G3750" s="19"/>
      <c r="H3750" s="19"/>
      <c r="I3750" s="19"/>
      <c r="J3750" s="19"/>
      <c r="K3750" s="19"/>
      <c r="L3750" s="19"/>
      <c r="M3750" s="19"/>
      <c r="N3750" s="19"/>
      <c r="O3750" s="43"/>
      <c r="P3750" s="19"/>
      <c r="Q3750" s="19"/>
      <c r="R3750" s="19"/>
      <c r="S3750" s="19"/>
      <c r="T3750" s="19"/>
      <c r="U3750" s="19"/>
      <c r="V3750" s="44"/>
      <c r="W3750" s="19"/>
      <c r="X3750" s="19"/>
      <c r="Y3750" s="19"/>
      <c r="Z3750" s="19"/>
      <c r="AA3750" s="19"/>
      <c r="AB3750" s="19"/>
      <c r="AC3750" s="19"/>
      <c r="AD3750" s="19"/>
      <c r="AE3750" s="19"/>
      <c r="AF3750" s="19"/>
      <c r="AG3750" s="19"/>
      <c r="AH3750" s="19"/>
      <c r="AI3750" s="19"/>
      <c r="AJ3750" s="19"/>
      <c r="AK3750" s="19"/>
      <c r="AL3750" s="6" t="str">
        <f t="array" ref="AL3750">IFERROR(IFS(XLOOKUP(B3750, 'Kit Delivery Status'!$U:$U, 'Kit Delivery Status'!$K:$K) = "Complete", "DELIVERED", XLOOKUP(B3750, 'Kit Delivery Status'!$U:$U, 'Kit Delivery Status'!$K:$K) = "Issue", "ISSUE"), "")</f>
        <v/>
      </c>
      <c r="AM3750" s="6"/>
    </row>
    <row r="3751">
      <c r="A3751" s="19"/>
      <c r="B3751" s="19"/>
      <c r="C3751" s="19"/>
      <c r="D3751" s="42"/>
      <c r="E3751" s="19"/>
      <c r="F3751" s="19"/>
      <c r="G3751" s="19"/>
      <c r="H3751" s="19"/>
      <c r="I3751" s="19"/>
      <c r="J3751" s="19"/>
      <c r="K3751" s="19"/>
      <c r="L3751" s="19"/>
      <c r="M3751" s="19"/>
      <c r="N3751" s="19"/>
      <c r="O3751" s="43"/>
      <c r="P3751" s="19"/>
      <c r="Q3751" s="19"/>
      <c r="R3751" s="19"/>
      <c r="S3751" s="19"/>
      <c r="T3751" s="19"/>
      <c r="U3751" s="19"/>
      <c r="V3751" s="44"/>
      <c r="W3751" s="19"/>
      <c r="X3751" s="19"/>
      <c r="Y3751" s="19"/>
      <c r="Z3751" s="19"/>
      <c r="AA3751" s="19"/>
      <c r="AB3751" s="19"/>
      <c r="AC3751" s="19"/>
      <c r="AD3751" s="19"/>
      <c r="AE3751" s="19"/>
      <c r="AF3751" s="19"/>
      <c r="AG3751" s="19"/>
      <c r="AH3751" s="19"/>
      <c r="AI3751" s="19"/>
      <c r="AJ3751" s="19"/>
      <c r="AK3751" s="19"/>
      <c r="AL3751" s="6" t="str">
        <f t="array" ref="AL3751">IFERROR(IFS(XLOOKUP(B3751, 'Kit Delivery Status'!$U:$U, 'Kit Delivery Status'!$K:$K) = "Complete", "DELIVERED", XLOOKUP(B3751, 'Kit Delivery Status'!$U:$U, 'Kit Delivery Status'!$K:$K) = "Issue", "ISSUE"), "")</f>
        <v/>
      </c>
      <c r="AM3751" s="6"/>
    </row>
    <row r="3752">
      <c r="A3752" s="19"/>
      <c r="B3752" s="19"/>
      <c r="C3752" s="19"/>
      <c r="D3752" s="42"/>
      <c r="E3752" s="19"/>
      <c r="F3752" s="19"/>
      <c r="G3752" s="19"/>
      <c r="H3752" s="19"/>
      <c r="I3752" s="19"/>
      <c r="J3752" s="19"/>
      <c r="K3752" s="19"/>
      <c r="L3752" s="19"/>
      <c r="M3752" s="19"/>
      <c r="N3752" s="19"/>
      <c r="O3752" s="43"/>
      <c r="P3752" s="19"/>
      <c r="Q3752" s="19"/>
      <c r="R3752" s="19"/>
      <c r="S3752" s="19"/>
      <c r="T3752" s="19"/>
      <c r="U3752" s="19"/>
      <c r="V3752" s="44"/>
      <c r="W3752" s="19"/>
      <c r="X3752" s="19"/>
      <c r="Y3752" s="19"/>
      <c r="Z3752" s="19"/>
      <c r="AA3752" s="19"/>
      <c r="AB3752" s="19"/>
      <c r="AC3752" s="19"/>
      <c r="AD3752" s="19"/>
      <c r="AE3752" s="19"/>
      <c r="AF3752" s="19"/>
      <c r="AG3752" s="19"/>
      <c r="AH3752" s="19"/>
      <c r="AI3752" s="19"/>
      <c r="AJ3752" s="19"/>
      <c r="AK3752" s="19"/>
      <c r="AL3752" s="6" t="str">
        <f t="array" ref="AL3752">IFERROR(IFS(XLOOKUP(B3752, 'Kit Delivery Status'!$U:$U, 'Kit Delivery Status'!$K:$K) = "Complete", "DELIVERED", XLOOKUP(B3752, 'Kit Delivery Status'!$U:$U, 'Kit Delivery Status'!$K:$K) = "Issue", "ISSUE"), "")</f>
        <v/>
      </c>
      <c r="AM3752" s="6"/>
    </row>
    <row r="3753">
      <c r="A3753" s="19"/>
      <c r="B3753" s="19"/>
      <c r="C3753" s="19"/>
      <c r="D3753" s="42"/>
      <c r="E3753" s="19"/>
      <c r="F3753" s="19"/>
      <c r="G3753" s="19"/>
      <c r="H3753" s="19"/>
      <c r="I3753" s="19"/>
      <c r="J3753" s="19"/>
      <c r="K3753" s="19"/>
      <c r="L3753" s="19"/>
      <c r="M3753" s="19"/>
      <c r="N3753" s="19"/>
      <c r="O3753" s="43"/>
      <c r="P3753" s="19"/>
      <c r="Q3753" s="19"/>
      <c r="R3753" s="19"/>
      <c r="S3753" s="19"/>
      <c r="T3753" s="19"/>
      <c r="U3753" s="19"/>
      <c r="V3753" s="44"/>
      <c r="W3753" s="19"/>
      <c r="X3753" s="19"/>
      <c r="Y3753" s="19"/>
      <c r="Z3753" s="19"/>
      <c r="AA3753" s="19"/>
      <c r="AB3753" s="19"/>
      <c r="AC3753" s="19"/>
      <c r="AD3753" s="19"/>
      <c r="AE3753" s="19"/>
      <c r="AF3753" s="19"/>
      <c r="AG3753" s="19"/>
      <c r="AH3753" s="19"/>
      <c r="AI3753" s="19"/>
      <c r="AJ3753" s="19"/>
      <c r="AK3753" s="19"/>
      <c r="AL3753" s="6" t="str">
        <f t="array" ref="AL3753">IFERROR(IFS(XLOOKUP(B3753, 'Kit Delivery Status'!$U:$U, 'Kit Delivery Status'!$K:$K) = "Complete", "DELIVERED", XLOOKUP(B3753, 'Kit Delivery Status'!$U:$U, 'Kit Delivery Status'!$K:$K) = "Issue", "ISSUE"), "")</f>
        <v/>
      </c>
      <c r="AM3753" s="6"/>
    </row>
    <row r="3754">
      <c r="A3754" s="19"/>
      <c r="B3754" s="19"/>
      <c r="C3754" s="19"/>
      <c r="D3754" s="42"/>
      <c r="E3754" s="19"/>
      <c r="F3754" s="19"/>
      <c r="G3754" s="19"/>
      <c r="H3754" s="19"/>
      <c r="I3754" s="19"/>
      <c r="J3754" s="19"/>
      <c r="K3754" s="19"/>
      <c r="L3754" s="19"/>
      <c r="M3754" s="19"/>
      <c r="N3754" s="19"/>
      <c r="O3754" s="43"/>
      <c r="P3754" s="19"/>
      <c r="Q3754" s="19"/>
      <c r="R3754" s="19"/>
      <c r="S3754" s="19"/>
      <c r="T3754" s="19"/>
      <c r="U3754" s="19"/>
      <c r="V3754" s="44"/>
      <c r="W3754" s="19"/>
      <c r="X3754" s="19"/>
      <c r="Y3754" s="19"/>
      <c r="Z3754" s="19"/>
      <c r="AA3754" s="19"/>
      <c r="AB3754" s="19"/>
      <c r="AC3754" s="19"/>
      <c r="AD3754" s="19"/>
      <c r="AE3754" s="19"/>
      <c r="AF3754" s="19"/>
      <c r="AG3754" s="19"/>
      <c r="AH3754" s="19"/>
      <c r="AI3754" s="19"/>
      <c r="AJ3754" s="19"/>
      <c r="AK3754" s="19"/>
      <c r="AL3754" s="6" t="str">
        <f t="array" ref="AL3754">IFERROR(IFS(XLOOKUP(B3754, 'Kit Delivery Status'!$U:$U, 'Kit Delivery Status'!$K:$K) = "Complete", "DELIVERED", XLOOKUP(B3754, 'Kit Delivery Status'!$U:$U, 'Kit Delivery Status'!$K:$K) = "Issue", "ISSUE"), "")</f>
        <v/>
      </c>
      <c r="AM3754" s="6"/>
    </row>
    <row r="3755">
      <c r="A3755" s="19"/>
      <c r="B3755" s="19"/>
      <c r="C3755" s="19"/>
      <c r="D3755" s="42"/>
      <c r="E3755" s="19"/>
      <c r="F3755" s="19"/>
      <c r="G3755" s="19"/>
      <c r="H3755" s="19"/>
      <c r="I3755" s="19"/>
      <c r="J3755" s="19"/>
      <c r="K3755" s="19"/>
      <c r="L3755" s="19"/>
      <c r="M3755" s="19"/>
      <c r="N3755" s="19"/>
      <c r="O3755" s="43"/>
      <c r="P3755" s="19"/>
      <c r="Q3755" s="19"/>
      <c r="R3755" s="19"/>
      <c r="S3755" s="19"/>
      <c r="T3755" s="19"/>
      <c r="U3755" s="19"/>
      <c r="V3755" s="44"/>
      <c r="W3755" s="19"/>
      <c r="X3755" s="19"/>
      <c r="Y3755" s="19"/>
      <c r="Z3755" s="19"/>
      <c r="AA3755" s="19"/>
      <c r="AB3755" s="19"/>
      <c r="AC3755" s="19"/>
      <c r="AD3755" s="19"/>
      <c r="AE3755" s="19"/>
      <c r="AF3755" s="19"/>
      <c r="AG3755" s="19"/>
      <c r="AH3755" s="19"/>
      <c r="AI3755" s="19"/>
      <c r="AJ3755" s="19"/>
      <c r="AK3755" s="19"/>
      <c r="AL3755" s="6" t="str">
        <f t="array" ref="AL3755">IFERROR(IFS(XLOOKUP(B3755, 'Kit Delivery Status'!$U:$U, 'Kit Delivery Status'!$K:$K) = "Complete", "DELIVERED", XLOOKUP(B3755, 'Kit Delivery Status'!$U:$U, 'Kit Delivery Status'!$K:$K) = "Issue", "ISSUE"), "")</f>
        <v/>
      </c>
      <c r="AM3755" s="6"/>
    </row>
    <row r="3756">
      <c r="A3756" s="19"/>
      <c r="B3756" s="19"/>
      <c r="C3756" s="19"/>
      <c r="D3756" s="42"/>
      <c r="E3756" s="19"/>
      <c r="F3756" s="19"/>
      <c r="G3756" s="19"/>
      <c r="H3756" s="19"/>
      <c r="I3756" s="19"/>
      <c r="J3756" s="19"/>
      <c r="K3756" s="19"/>
      <c r="L3756" s="19"/>
      <c r="M3756" s="19"/>
      <c r="N3756" s="19"/>
      <c r="O3756" s="43"/>
      <c r="P3756" s="19"/>
      <c r="Q3756" s="19"/>
      <c r="R3756" s="19"/>
      <c r="S3756" s="19"/>
      <c r="T3756" s="19"/>
      <c r="U3756" s="19"/>
      <c r="V3756" s="44"/>
      <c r="W3756" s="19"/>
      <c r="X3756" s="19"/>
      <c r="Y3756" s="19"/>
      <c r="Z3756" s="19"/>
      <c r="AA3756" s="19"/>
      <c r="AB3756" s="19"/>
      <c r="AC3756" s="19"/>
      <c r="AD3756" s="19"/>
      <c r="AE3756" s="19"/>
      <c r="AF3756" s="19"/>
      <c r="AG3756" s="19"/>
      <c r="AH3756" s="19"/>
      <c r="AI3756" s="19"/>
      <c r="AJ3756" s="19"/>
      <c r="AK3756" s="19"/>
      <c r="AL3756" s="6" t="str">
        <f t="array" ref="AL3756">IFERROR(IFS(XLOOKUP(B3756, 'Kit Delivery Status'!$U:$U, 'Kit Delivery Status'!$K:$K) = "Complete", "DELIVERED", XLOOKUP(B3756, 'Kit Delivery Status'!$U:$U, 'Kit Delivery Status'!$K:$K) = "Issue", "ISSUE"), "")</f>
        <v/>
      </c>
      <c r="AM3756" s="6"/>
    </row>
    <row r="3757">
      <c r="A3757" s="19"/>
      <c r="B3757" s="19"/>
      <c r="C3757" s="19"/>
      <c r="D3757" s="42"/>
      <c r="E3757" s="19"/>
      <c r="F3757" s="19"/>
      <c r="G3757" s="19"/>
      <c r="H3757" s="19"/>
      <c r="I3757" s="19"/>
      <c r="J3757" s="19"/>
      <c r="K3757" s="19"/>
      <c r="L3757" s="19"/>
      <c r="M3757" s="19"/>
      <c r="N3757" s="19"/>
      <c r="O3757" s="43"/>
      <c r="P3757" s="19"/>
      <c r="Q3757" s="19"/>
      <c r="R3757" s="19"/>
      <c r="S3757" s="19"/>
      <c r="T3757" s="19"/>
      <c r="U3757" s="19"/>
      <c r="V3757" s="44"/>
      <c r="W3757" s="19"/>
      <c r="X3757" s="19"/>
      <c r="Y3757" s="19"/>
      <c r="Z3757" s="19"/>
      <c r="AA3757" s="19"/>
      <c r="AB3757" s="19"/>
      <c r="AC3757" s="19"/>
      <c r="AD3757" s="19"/>
      <c r="AE3757" s="19"/>
      <c r="AF3757" s="19"/>
      <c r="AG3757" s="19"/>
      <c r="AH3757" s="19"/>
      <c r="AI3757" s="19"/>
      <c r="AJ3757" s="19"/>
      <c r="AK3757" s="19"/>
      <c r="AL3757" s="6" t="str">
        <f t="array" ref="AL3757">IFERROR(IFS(XLOOKUP(B3757, 'Kit Delivery Status'!$U:$U, 'Kit Delivery Status'!$K:$K) = "Complete", "DELIVERED", XLOOKUP(B3757, 'Kit Delivery Status'!$U:$U, 'Kit Delivery Status'!$K:$K) = "Issue", "ISSUE"), "")</f>
        <v/>
      </c>
      <c r="AM3757" s="6"/>
    </row>
    <row r="3758">
      <c r="A3758" s="19"/>
      <c r="B3758" s="19"/>
      <c r="C3758" s="19"/>
      <c r="D3758" s="42"/>
      <c r="E3758" s="19"/>
      <c r="F3758" s="19"/>
      <c r="G3758" s="19"/>
      <c r="H3758" s="19"/>
      <c r="I3758" s="19"/>
      <c r="J3758" s="19"/>
      <c r="K3758" s="19"/>
      <c r="L3758" s="19"/>
      <c r="M3758" s="19"/>
      <c r="N3758" s="19"/>
      <c r="O3758" s="43"/>
      <c r="P3758" s="19"/>
      <c r="Q3758" s="19"/>
      <c r="R3758" s="19"/>
      <c r="S3758" s="19"/>
      <c r="T3758" s="19"/>
      <c r="U3758" s="19"/>
      <c r="V3758" s="44"/>
      <c r="W3758" s="19"/>
      <c r="X3758" s="19"/>
      <c r="Y3758" s="19"/>
      <c r="Z3758" s="19"/>
      <c r="AA3758" s="19"/>
      <c r="AB3758" s="19"/>
      <c r="AC3758" s="19"/>
      <c r="AD3758" s="19"/>
      <c r="AE3758" s="19"/>
      <c r="AF3758" s="19"/>
      <c r="AG3758" s="19"/>
      <c r="AH3758" s="19"/>
      <c r="AI3758" s="19"/>
      <c r="AJ3758" s="19"/>
      <c r="AK3758" s="19"/>
      <c r="AL3758" s="6" t="str">
        <f t="array" ref="AL3758">IFERROR(IFS(XLOOKUP(B3758, 'Kit Delivery Status'!$U:$U, 'Kit Delivery Status'!$K:$K) = "Complete", "DELIVERED", XLOOKUP(B3758, 'Kit Delivery Status'!$U:$U, 'Kit Delivery Status'!$K:$K) = "Issue", "ISSUE"), "")</f>
        <v/>
      </c>
      <c r="AM3758" s="6"/>
    </row>
    <row r="3759">
      <c r="A3759" s="19"/>
      <c r="B3759" s="19"/>
      <c r="C3759" s="19"/>
      <c r="D3759" s="42"/>
      <c r="E3759" s="19"/>
      <c r="F3759" s="19"/>
      <c r="G3759" s="19"/>
      <c r="H3759" s="19"/>
      <c r="I3759" s="19"/>
      <c r="J3759" s="19"/>
      <c r="K3759" s="19"/>
      <c r="L3759" s="19"/>
      <c r="M3759" s="19"/>
      <c r="N3759" s="19"/>
      <c r="O3759" s="43"/>
      <c r="P3759" s="19"/>
      <c r="Q3759" s="19"/>
      <c r="R3759" s="19"/>
      <c r="S3759" s="19"/>
      <c r="T3759" s="19"/>
      <c r="U3759" s="19"/>
      <c r="V3759" s="44"/>
      <c r="W3759" s="19"/>
      <c r="X3759" s="19"/>
      <c r="Y3759" s="19"/>
      <c r="Z3759" s="19"/>
      <c r="AA3759" s="19"/>
      <c r="AB3759" s="19"/>
      <c r="AC3759" s="19"/>
      <c r="AD3759" s="19"/>
      <c r="AE3759" s="19"/>
      <c r="AF3759" s="19"/>
      <c r="AG3759" s="19"/>
      <c r="AH3759" s="19"/>
      <c r="AI3759" s="19"/>
      <c r="AJ3759" s="19"/>
      <c r="AK3759" s="19"/>
      <c r="AL3759" s="6" t="str">
        <f t="array" ref="AL3759">IFERROR(IFS(XLOOKUP(B3759, 'Kit Delivery Status'!$U:$U, 'Kit Delivery Status'!$K:$K) = "Complete", "DELIVERED", XLOOKUP(B3759, 'Kit Delivery Status'!$U:$U, 'Kit Delivery Status'!$K:$K) = "Issue", "ISSUE"), "")</f>
        <v/>
      </c>
      <c r="AM3759" s="6"/>
    </row>
    <row r="3760">
      <c r="A3760" s="19"/>
      <c r="B3760" s="19"/>
      <c r="C3760" s="19"/>
      <c r="D3760" s="42"/>
      <c r="E3760" s="19"/>
      <c r="F3760" s="19"/>
      <c r="G3760" s="19"/>
      <c r="H3760" s="19"/>
      <c r="I3760" s="19"/>
      <c r="J3760" s="19"/>
      <c r="K3760" s="19"/>
      <c r="L3760" s="19"/>
      <c r="M3760" s="19"/>
      <c r="N3760" s="19"/>
      <c r="O3760" s="43"/>
      <c r="P3760" s="19"/>
      <c r="Q3760" s="19"/>
      <c r="R3760" s="19"/>
      <c r="S3760" s="19"/>
      <c r="T3760" s="19"/>
      <c r="U3760" s="19"/>
      <c r="V3760" s="44"/>
      <c r="W3760" s="19"/>
      <c r="X3760" s="19"/>
      <c r="Y3760" s="19"/>
      <c r="Z3760" s="19"/>
      <c r="AA3760" s="19"/>
      <c r="AB3760" s="19"/>
      <c r="AC3760" s="19"/>
      <c r="AD3760" s="19"/>
      <c r="AE3760" s="19"/>
      <c r="AF3760" s="19"/>
      <c r="AG3760" s="19"/>
      <c r="AH3760" s="19"/>
      <c r="AI3760" s="19"/>
      <c r="AJ3760" s="19"/>
      <c r="AK3760" s="19"/>
      <c r="AL3760" s="6" t="str">
        <f t="array" ref="AL3760">IFERROR(IFS(XLOOKUP(B3760, 'Kit Delivery Status'!$U:$U, 'Kit Delivery Status'!$K:$K) = "Complete", "DELIVERED", XLOOKUP(B3760, 'Kit Delivery Status'!$U:$U, 'Kit Delivery Status'!$K:$K) = "Issue", "ISSUE"), "")</f>
        <v/>
      </c>
      <c r="AM3760" s="6"/>
    </row>
    <row r="3761">
      <c r="A3761" s="19"/>
      <c r="B3761" s="19"/>
      <c r="C3761" s="19"/>
      <c r="D3761" s="42"/>
      <c r="E3761" s="19"/>
      <c r="F3761" s="19"/>
      <c r="G3761" s="19"/>
      <c r="H3761" s="19"/>
      <c r="I3761" s="19"/>
      <c r="J3761" s="19"/>
      <c r="K3761" s="19"/>
      <c r="L3761" s="19"/>
      <c r="M3761" s="19"/>
      <c r="N3761" s="19"/>
      <c r="O3761" s="43"/>
      <c r="P3761" s="19"/>
      <c r="Q3761" s="19"/>
      <c r="R3761" s="19"/>
      <c r="S3761" s="19"/>
      <c r="T3761" s="19"/>
      <c r="U3761" s="19"/>
      <c r="V3761" s="44"/>
      <c r="W3761" s="19"/>
      <c r="X3761" s="19"/>
      <c r="Y3761" s="19"/>
      <c r="Z3761" s="19"/>
      <c r="AA3761" s="19"/>
      <c r="AB3761" s="19"/>
      <c r="AC3761" s="19"/>
      <c r="AD3761" s="19"/>
      <c r="AE3761" s="19"/>
      <c r="AF3761" s="19"/>
      <c r="AG3761" s="19"/>
      <c r="AH3761" s="19"/>
      <c r="AI3761" s="19"/>
      <c r="AJ3761" s="19"/>
      <c r="AK3761" s="19"/>
      <c r="AL3761" s="6" t="str">
        <f t="array" ref="AL3761">IFERROR(IFS(XLOOKUP(B3761, 'Kit Delivery Status'!$U:$U, 'Kit Delivery Status'!$K:$K) = "Complete", "DELIVERED", XLOOKUP(B3761, 'Kit Delivery Status'!$U:$U, 'Kit Delivery Status'!$K:$K) = "Issue", "ISSUE"), "")</f>
        <v/>
      </c>
      <c r="AM3761" s="6"/>
    </row>
    <row r="3762">
      <c r="A3762" s="19"/>
      <c r="B3762" s="19"/>
      <c r="C3762" s="19"/>
      <c r="D3762" s="42"/>
      <c r="E3762" s="19"/>
      <c r="F3762" s="19"/>
      <c r="G3762" s="19"/>
      <c r="H3762" s="19"/>
      <c r="I3762" s="19"/>
      <c r="J3762" s="19"/>
      <c r="K3762" s="19"/>
      <c r="L3762" s="19"/>
      <c r="M3762" s="19"/>
      <c r="N3762" s="19"/>
      <c r="O3762" s="43"/>
      <c r="P3762" s="19"/>
      <c r="Q3762" s="19"/>
      <c r="R3762" s="19"/>
      <c r="S3762" s="19"/>
      <c r="T3762" s="19"/>
      <c r="U3762" s="19"/>
      <c r="V3762" s="44"/>
      <c r="W3762" s="19"/>
      <c r="X3762" s="19"/>
      <c r="Y3762" s="19"/>
      <c r="Z3762" s="19"/>
      <c r="AA3762" s="19"/>
      <c r="AB3762" s="19"/>
      <c r="AC3762" s="19"/>
      <c r="AD3762" s="19"/>
      <c r="AE3762" s="19"/>
      <c r="AF3762" s="19"/>
      <c r="AG3762" s="19"/>
      <c r="AH3762" s="19"/>
      <c r="AI3762" s="19"/>
      <c r="AJ3762" s="19"/>
      <c r="AK3762" s="19"/>
      <c r="AL3762" s="6" t="str">
        <f t="array" ref="AL3762">IFERROR(IFS(XLOOKUP(B3762, 'Kit Delivery Status'!$U:$U, 'Kit Delivery Status'!$K:$K) = "Complete", "DELIVERED", XLOOKUP(B3762, 'Kit Delivery Status'!$U:$U, 'Kit Delivery Status'!$K:$K) = "Issue", "ISSUE"), "")</f>
        <v/>
      </c>
      <c r="AM3762" s="6"/>
    </row>
    <row r="3763">
      <c r="A3763" s="19"/>
      <c r="B3763" s="19"/>
      <c r="C3763" s="19"/>
      <c r="D3763" s="42"/>
      <c r="E3763" s="19"/>
      <c r="F3763" s="19"/>
      <c r="G3763" s="19"/>
      <c r="H3763" s="19"/>
      <c r="I3763" s="19"/>
      <c r="J3763" s="19"/>
      <c r="K3763" s="19"/>
      <c r="L3763" s="19"/>
      <c r="M3763" s="19"/>
      <c r="N3763" s="19"/>
      <c r="O3763" s="43"/>
      <c r="P3763" s="19"/>
      <c r="Q3763" s="19"/>
      <c r="R3763" s="19"/>
      <c r="S3763" s="19"/>
      <c r="T3763" s="19"/>
      <c r="U3763" s="19"/>
      <c r="V3763" s="44"/>
      <c r="W3763" s="19"/>
      <c r="X3763" s="19"/>
      <c r="Y3763" s="19"/>
      <c r="Z3763" s="19"/>
      <c r="AA3763" s="19"/>
      <c r="AB3763" s="19"/>
      <c r="AC3763" s="19"/>
      <c r="AD3763" s="19"/>
      <c r="AE3763" s="19"/>
      <c r="AF3763" s="19"/>
      <c r="AG3763" s="19"/>
      <c r="AH3763" s="19"/>
      <c r="AI3763" s="19"/>
      <c r="AJ3763" s="19"/>
      <c r="AK3763" s="19"/>
      <c r="AL3763" s="6" t="str">
        <f t="array" ref="AL3763">IFERROR(IFS(XLOOKUP(B3763, 'Kit Delivery Status'!$U:$U, 'Kit Delivery Status'!$K:$K) = "Complete", "DELIVERED", XLOOKUP(B3763, 'Kit Delivery Status'!$U:$U, 'Kit Delivery Status'!$K:$K) = "Issue", "ISSUE"), "")</f>
        <v/>
      </c>
      <c r="AM3763" s="6"/>
    </row>
    <row r="3764">
      <c r="A3764" s="19"/>
      <c r="B3764" s="19"/>
      <c r="C3764" s="19"/>
      <c r="D3764" s="42"/>
      <c r="E3764" s="19"/>
      <c r="F3764" s="19"/>
      <c r="G3764" s="19"/>
      <c r="H3764" s="19"/>
      <c r="I3764" s="19"/>
      <c r="J3764" s="19"/>
      <c r="K3764" s="19"/>
      <c r="L3764" s="19"/>
      <c r="M3764" s="19"/>
      <c r="N3764" s="19"/>
      <c r="O3764" s="43"/>
      <c r="P3764" s="19"/>
      <c r="Q3764" s="19"/>
      <c r="R3764" s="19"/>
      <c r="S3764" s="19"/>
      <c r="T3764" s="19"/>
      <c r="U3764" s="19"/>
      <c r="V3764" s="44"/>
      <c r="W3764" s="19"/>
      <c r="X3764" s="19"/>
      <c r="Y3764" s="19"/>
      <c r="Z3764" s="19"/>
      <c r="AA3764" s="19"/>
      <c r="AB3764" s="19"/>
      <c r="AC3764" s="19"/>
      <c r="AD3764" s="19"/>
      <c r="AE3764" s="19"/>
      <c r="AF3764" s="19"/>
      <c r="AG3764" s="19"/>
      <c r="AH3764" s="19"/>
      <c r="AI3764" s="19"/>
      <c r="AJ3764" s="19"/>
      <c r="AK3764" s="19"/>
      <c r="AL3764" s="6" t="str">
        <f t="array" ref="AL3764">IFERROR(IFS(XLOOKUP(B3764, 'Kit Delivery Status'!$U:$U, 'Kit Delivery Status'!$K:$K) = "Complete", "DELIVERED", XLOOKUP(B3764, 'Kit Delivery Status'!$U:$U, 'Kit Delivery Status'!$K:$K) = "Issue", "ISSUE"), "")</f>
        <v/>
      </c>
      <c r="AM3764" s="6"/>
    </row>
    <row r="3765">
      <c r="A3765" s="19"/>
      <c r="B3765" s="19"/>
      <c r="C3765" s="19"/>
      <c r="D3765" s="42"/>
      <c r="E3765" s="19"/>
      <c r="F3765" s="19"/>
      <c r="G3765" s="19"/>
      <c r="H3765" s="19"/>
      <c r="I3765" s="19"/>
      <c r="J3765" s="19"/>
      <c r="K3765" s="19"/>
      <c r="L3765" s="19"/>
      <c r="M3765" s="19"/>
      <c r="N3765" s="19"/>
      <c r="O3765" s="43"/>
      <c r="P3765" s="19"/>
      <c r="Q3765" s="19"/>
      <c r="R3765" s="19"/>
      <c r="S3765" s="19"/>
      <c r="T3765" s="19"/>
      <c r="U3765" s="19"/>
      <c r="V3765" s="44"/>
      <c r="W3765" s="19"/>
      <c r="X3765" s="19"/>
      <c r="Y3765" s="19"/>
      <c r="Z3765" s="19"/>
      <c r="AA3765" s="19"/>
      <c r="AB3765" s="19"/>
      <c r="AC3765" s="19"/>
      <c r="AD3765" s="19"/>
      <c r="AE3765" s="19"/>
      <c r="AF3765" s="19"/>
      <c r="AG3765" s="19"/>
      <c r="AH3765" s="19"/>
      <c r="AI3765" s="19"/>
      <c r="AJ3765" s="19"/>
      <c r="AK3765" s="19"/>
      <c r="AL3765" s="6" t="str">
        <f t="array" ref="AL3765">IFERROR(IFS(XLOOKUP(B3765, 'Kit Delivery Status'!$U:$U, 'Kit Delivery Status'!$K:$K) = "Complete", "DELIVERED", XLOOKUP(B3765, 'Kit Delivery Status'!$U:$U, 'Kit Delivery Status'!$K:$K) = "Issue", "ISSUE"), "")</f>
        <v/>
      </c>
      <c r="AM3765" s="6"/>
    </row>
    <row r="3766">
      <c r="A3766" s="19"/>
      <c r="B3766" s="19"/>
      <c r="C3766" s="19"/>
      <c r="D3766" s="42"/>
      <c r="E3766" s="19"/>
      <c r="F3766" s="19"/>
      <c r="G3766" s="19"/>
      <c r="H3766" s="19"/>
      <c r="I3766" s="19"/>
      <c r="J3766" s="19"/>
      <c r="K3766" s="19"/>
      <c r="L3766" s="19"/>
      <c r="M3766" s="19"/>
      <c r="N3766" s="19"/>
      <c r="O3766" s="43"/>
      <c r="P3766" s="19"/>
      <c r="Q3766" s="19"/>
      <c r="R3766" s="19"/>
      <c r="S3766" s="19"/>
      <c r="T3766" s="19"/>
      <c r="U3766" s="19"/>
      <c r="V3766" s="44"/>
      <c r="W3766" s="19"/>
      <c r="X3766" s="19"/>
      <c r="Y3766" s="19"/>
      <c r="Z3766" s="19"/>
      <c r="AA3766" s="19"/>
      <c r="AB3766" s="19"/>
      <c r="AC3766" s="19"/>
      <c r="AD3766" s="19"/>
      <c r="AE3766" s="19"/>
      <c r="AF3766" s="19"/>
      <c r="AG3766" s="19"/>
      <c r="AH3766" s="19"/>
      <c r="AI3766" s="19"/>
      <c r="AJ3766" s="19"/>
      <c r="AK3766" s="19"/>
      <c r="AL3766" s="6" t="str">
        <f t="array" ref="AL3766">IFERROR(IFS(XLOOKUP(B3766, 'Kit Delivery Status'!$U:$U, 'Kit Delivery Status'!$K:$K) = "Complete", "DELIVERED", XLOOKUP(B3766, 'Kit Delivery Status'!$U:$U, 'Kit Delivery Status'!$K:$K) = "Issue", "ISSUE"), "")</f>
        <v/>
      </c>
      <c r="AM3766" s="6"/>
    </row>
    <row r="3767">
      <c r="A3767" s="19"/>
      <c r="B3767" s="19"/>
      <c r="C3767" s="19"/>
      <c r="D3767" s="42"/>
      <c r="E3767" s="19"/>
      <c r="F3767" s="19"/>
      <c r="G3767" s="19"/>
      <c r="H3767" s="19"/>
      <c r="I3767" s="19"/>
      <c r="J3767" s="19"/>
      <c r="K3767" s="19"/>
      <c r="L3767" s="19"/>
      <c r="M3767" s="19"/>
      <c r="N3767" s="19"/>
      <c r="O3767" s="43"/>
      <c r="P3767" s="19"/>
      <c r="Q3767" s="19"/>
      <c r="R3767" s="19"/>
      <c r="S3767" s="19"/>
      <c r="T3767" s="19"/>
      <c r="U3767" s="19"/>
      <c r="V3767" s="44"/>
      <c r="W3767" s="19"/>
      <c r="X3767" s="19"/>
      <c r="Y3767" s="19"/>
      <c r="Z3767" s="19"/>
      <c r="AA3767" s="19"/>
      <c r="AB3767" s="19"/>
      <c r="AC3767" s="19"/>
      <c r="AD3767" s="19"/>
      <c r="AE3767" s="19"/>
      <c r="AF3767" s="19"/>
      <c r="AG3767" s="19"/>
      <c r="AH3767" s="19"/>
      <c r="AI3767" s="19"/>
      <c r="AJ3767" s="19"/>
      <c r="AK3767" s="19"/>
      <c r="AL3767" s="6" t="str">
        <f t="array" ref="AL3767">IFERROR(IFS(XLOOKUP(B3767, 'Kit Delivery Status'!$U:$U, 'Kit Delivery Status'!$K:$K) = "Complete", "DELIVERED", XLOOKUP(B3767, 'Kit Delivery Status'!$U:$U, 'Kit Delivery Status'!$K:$K) = "Issue", "ISSUE"), "")</f>
        <v/>
      </c>
      <c r="AM3767" s="6"/>
    </row>
    <row r="3768">
      <c r="A3768" s="19"/>
      <c r="B3768" s="19"/>
      <c r="C3768" s="19"/>
      <c r="D3768" s="42"/>
      <c r="E3768" s="19"/>
      <c r="F3768" s="19"/>
      <c r="G3768" s="19"/>
      <c r="H3768" s="19"/>
      <c r="I3768" s="19"/>
      <c r="J3768" s="19"/>
      <c r="K3768" s="19"/>
      <c r="L3768" s="19"/>
      <c r="M3768" s="19"/>
      <c r="N3768" s="19"/>
      <c r="O3768" s="43"/>
      <c r="P3768" s="19"/>
      <c r="Q3768" s="19"/>
      <c r="R3768" s="19"/>
      <c r="S3768" s="19"/>
      <c r="T3768" s="19"/>
      <c r="U3768" s="19"/>
      <c r="V3768" s="44"/>
      <c r="W3768" s="19"/>
      <c r="X3768" s="19"/>
      <c r="Y3768" s="19"/>
      <c r="Z3768" s="19"/>
      <c r="AA3768" s="19"/>
      <c r="AB3768" s="19"/>
      <c r="AC3768" s="19"/>
      <c r="AD3768" s="19"/>
      <c r="AE3768" s="19"/>
      <c r="AF3768" s="19"/>
      <c r="AG3768" s="19"/>
      <c r="AH3768" s="19"/>
      <c r="AI3768" s="19"/>
      <c r="AJ3768" s="19"/>
      <c r="AK3768" s="19"/>
      <c r="AL3768" s="6" t="str">
        <f t="array" ref="AL3768">IFERROR(IFS(XLOOKUP(B3768, 'Kit Delivery Status'!$U:$U, 'Kit Delivery Status'!$K:$K) = "Complete", "DELIVERED", XLOOKUP(B3768, 'Kit Delivery Status'!$U:$U, 'Kit Delivery Status'!$K:$K) = "Issue", "ISSUE"), "")</f>
        <v/>
      </c>
      <c r="AM3768" s="6"/>
    </row>
    <row r="3769">
      <c r="A3769" s="19"/>
      <c r="B3769" s="19"/>
      <c r="C3769" s="19"/>
      <c r="D3769" s="42"/>
      <c r="E3769" s="19"/>
      <c r="F3769" s="19"/>
      <c r="G3769" s="19"/>
      <c r="H3769" s="19"/>
      <c r="I3769" s="19"/>
      <c r="J3769" s="19"/>
      <c r="K3769" s="19"/>
      <c r="L3769" s="19"/>
      <c r="M3769" s="19"/>
      <c r="N3769" s="19"/>
      <c r="O3769" s="43"/>
      <c r="P3769" s="19"/>
      <c r="Q3769" s="19"/>
      <c r="R3769" s="19"/>
      <c r="S3769" s="19"/>
      <c r="T3769" s="19"/>
      <c r="U3769" s="19"/>
      <c r="V3769" s="44"/>
      <c r="W3769" s="19"/>
      <c r="X3769" s="19"/>
      <c r="Y3769" s="19"/>
      <c r="Z3769" s="19"/>
      <c r="AA3769" s="19"/>
      <c r="AB3769" s="19"/>
      <c r="AC3769" s="19"/>
      <c r="AD3769" s="19"/>
      <c r="AE3769" s="19"/>
      <c r="AF3769" s="19"/>
      <c r="AG3769" s="19"/>
      <c r="AH3769" s="19"/>
      <c r="AI3769" s="19"/>
      <c r="AJ3769" s="19"/>
      <c r="AK3769" s="19"/>
      <c r="AL3769" s="6" t="str">
        <f t="array" ref="AL3769">IFERROR(IFS(XLOOKUP(B3769, 'Kit Delivery Status'!$U:$U, 'Kit Delivery Status'!$K:$K) = "Complete", "DELIVERED", XLOOKUP(B3769, 'Kit Delivery Status'!$U:$U, 'Kit Delivery Status'!$K:$K) = "Issue", "ISSUE"), "")</f>
        <v/>
      </c>
      <c r="AM3769" s="6"/>
    </row>
    <row r="3770">
      <c r="A3770" s="19"/>
      <c r="B3770" s="19"/>
      <c r="C3770" s="19"/>
      <c r="D3770" s="42"/>
      <c r="E3770" s="19"/>
      <c r="F3770" s="19"/>
      <c r="G3770" s="19"/>
      <c r="H3770" s="19"/>
      <c r="I3770" s="19"/>
      <c r="J3770" s="19"/>
      <c r="K3770" s="19"/>
      <c r="L3770" s="19"/>
      <c r="M3770" s="19"/>
      <c r="N3770" s="19"/>
      <c r="O3770" s="43"/>
      <c r="P3770" s="19"/>
      <c r="Q3770" s="19"/>
      <c r="R3770" s="19"/>
      <c r="S3770" s="19"/>
      <c r="T3770" s="19"/>
      <c r="U3770" s="19"/>
      <c r="V3770" s="44"/>
      <c r="W3770" s="19"/>
      <c r="X3770" s="19"/>
      <c r="Y3770" s="19"/>
      <c r="Z3770" s="19"/>
      <c r="AA3770" s="19"/>
      <c r="AB3770" s="19"/>
      <c r="AC3770" s="19"/>
      <c r="AD3770" s="19"/>
      <c r="AE3770" s="19"/>
      <c r="AF3770" s="19"/>
      <c r="AG3770" s="19"/>
      <c r="AH3770" s="19"/>
      <c r="AI3770" s="19"/>
      <c r="AJ3770" s="19"/>
      <c r="AK3770" s="19"/>
      <c r="AL3770" s="6" t="str">
        <f t="array" ref="AL3770">IFERROR(IFS(XLOOKUP(B3770, 'Kit Delivery Status'!$U:$U, 'Kit Delivery Status'!$K:$K) = "Complete", "DELIVERED", XLOOKUP(B3770, 'Kit Delivery Status'!$U:$U, 'Kit Delivery Status'!$K:$K) = "Issue", "ISSUE"), "")</f>
        <v/>
      </c>
      <c r="AM3770" s="6"/>
    </row>
    <row r="3771">
      <c r="A3771" s="19"/>
      <c r="B3771" s="19"/>
      <c r="C3771" s="19"/>
      <c r="D3771" s="42"/>
      <c r="E3771" s="19"/>
      <c r="F3771" s="19"/>
      <c r="G3771" s="19"/>
      <c r="H3771" s="19"/>
      <c r="I3771" s="19"/>
      <c r="J3771" s="19"/>
      <c r="K3771" s="19"/>
      <c r="L3771" s="19"/>
      <c r="M3771" s="19"/>
      <c r="N3771" s="19"/>
      <c r="O3771" s="43"/>
      <c r="P3771" s="19"/>
      <c r="Q3771" s="19"/>
      <c r="R3771" s="19"/>
      <c r="S3771" s="19"/>
      <c r="T3771" s="19"/>
      <c r="U3771" s="19"/>
      <c r="V3771" s="44"/>
      <c r="W3771" s="19"/>
      <c r="X3771" s="19"/>
      <c r="Y3771" s="19"/>
      <c r="Z3771" s="19"/>
      <c r="AA3771" s="19"/>
      <c r="AB3771" s="19"/>
      <c r="AC3771" s="19"/>
      <c r="AD3771" s="19"/>
      <c r="AE3771" s="19"/>
      <c r="AF3771" s="19"/>
      <c r="AG3771" s="19"/>
      <c r="AH3771" s="19"/>
      <c r="AI3771" s="19"/>
      <c r="AJ3771" s="19"/>
      <c r="AK3771" s="19"/>
      <c r="AL3771" s="6" t="str">
        <f t="array" ref="AL3771">IFERROR(IFS(XLOOKUP(B3771, 'Kit Delivery Status'!$U:$U, 'Kit Delivery Status'!$K:$K) = "Complete", "DELIVERED", XLOOKUP(B3771, 'Kit Delivery Status'!$U:$U, 'Kit Delivery Status'!$K:$K) = "Issue", "ISSUE"), "")</f>
        <v/>
      </c>
      <c r="AM3771" s="6"/>
    </row>
    <row r="3772">
      <c r="A3772" s="19"/>
      <c r="B3772" s="19"/>
      <c r="C3772" s="19"/>
      <c r="D3772" s="42"/>
      <c r="E3772" s="19"/>
      <c r="F3772" s="19"/>
      <c r="G3772" s="19"/>
      <c r="H3772" s="19"/>
      <c r="I3772" s="19"/>
      <c r="J3772" s="19"/>
      <c r="K3772" s="19"/>
      <c r="L3772" s="19"/>
      <c r="M3772" s="19"/>
      <c r="N3772" s="19"/>
      <c r="O3772" s="43"/>
      <c r="P3772" s="19"/>
      <c r="Q3772" s="19"/>
      <c r="R3772" s="19"/>
      <c r="S3772" s="19"/>
      <c r="T3772" s="19"/>
      <c r="U3772" s="19"/>
      <c r="V3772" s="44"/>
      <c r="W3772" s="19"/>
      <c r="X3772" s="19"/>
      <c r="Y3772" s="19"/>
      <c r="Z3772" s="19"/>
      <c r="AA3772" s="19"/>
      <c r="AB3772" s="19"/>
      <c r="AC3772" s="19"/>
      <c r="AD3772" s="19"/>
      <c r="AE3772" s="19"/>
      <c r="AF3772" s="19"/>
      <c r="AG3772" s="19"/>
      <c r="AH3772" s="19"/>
      <c r="AI3772" s="19"/>
      <c r="AJ3772" s="19"/>
      <c r="AK3772" s="19"/>
      <c r="AL3772" s="6" t="str">
        <f t="array" ref="AL3772">IFERROR(IFS(XLOOKUP(B3772, 'Kit Delivery Status'!$U:$U, 'Kit Delivery Status'!$K:$K) = "Complete", "DELIVERED", XLOOKUP(B3772, 'Kit Delivery Status'!$U:$U, 'Kit Delivery Status'!$K:$K) = "Issue", "ISSUE"), "")</f>
        <v/>
      </c>
      <c r="AM3772" s="6"/>
    </row>
    <row r="3773">
      <c r="A3773" s="19"/>
      <c r="B3773" s="19"/>
      <c r="C3773" s="19"/>
      <c r="D3773" s="42"/>
      <c r="E3773" s="19"/>
      <c r="F3773" s="19"/>
      <c r="G3773" s="19"/>
      <c r="H3773" s="19"/>
      <c r="I3773" s="19"/>
      <c r="J3773" s="19"/>
      <c r="K3773" s="19"/>
      <c r="L3773" s="19"/>
      <c r="M3773" s="19"/>
      <c r="N3773" s="19"/>
      <c r="O3773" s="43"/>
      <c r="P3773" s="19"/>
      <c r="Q3773" s="19"/>
      <c r="R3773" s="19"/>
      <c r="S3773" s="19"/>
      <c r="T3773" s="19"/>
      <c r="U3773" s="19"/>
      <c r="V3773" s="44"/>
      <c r="W3773" s="19"/>
      <c r="X3773" s="19"/>
      <c r="Y3773" s="19"/>
      <c r="Z3773" s="19"/>
      <c r="AA3773" s="19"/>
      <c r="AB3773" s="19"/>
      <c r="AC3773" s="19"/>
      <c r="AD3773" s="19"/>
      <c r="AE3773" s="19"/>
      <c r="AF3773" s="19"/>
      <c r="AG3773" s="19"/>
      <c r="AH3773" s="19"/>
      <c r="AI3773" s="19"/>
      <c r="AJ3773" s="19"/>
      <c r="AK3773" s="19"/>
      <c r="AL3773" s="6" t="str">
        <f t="array" ref="AL3773">IFERROR(IFS(XLOOKUP(B3773, 'Kit Delivery Status'!$U:$U, 'Kit Delivery Status'!$K:$K) = "Complete", "DELIVERED", XLOOKUP(B3773, 'Kit Delivery Status'!$U:$U, 'Kit Delivery Status'!$K:$K) = "Issue", "ISSUE"), "")</f>
        <v/>
      </c>
      <c r="AM3773" s="6"/>
    </row>
    <row r="3774">
      <c r="A3774" s="19"/>
      <c r="B3774" s="19"/>
      <c r="C3774" s="19"/>
      <c r="D3774" s="42"/>
      <c r="E3774" s="19"/>
      <c r="F3774" s="19"/>
      <c r="G3774" s="19"/>
      <c r="H3774" s="19"/>
      <c r="I3774" s="19"/>
      <c r="J3774" s="19"/>
      <c r="K3774" s="19"/>
      <c r="L3774" s="19"/>
      <c r="M3774" s="19"/>
      <c r="N3774" s="19"/>
      <c r="O3774" s="43"/>
      <c r="P3774" s="19"/>
      <c r="Q3774" s="19"/>
      <c r="R3774" s="19"/>
      <c r="S3774" s="19"/>
      <c r="T3774" s="19"/>
      <c r="U3774" s="19"/>
      <c r="V3774" s="44"/>
      <c r="W3774" s="19"/>
      <c r="X3774" s="19"/>
      <c r="Y3774" s="19"/>
      <c r="Z3774" s="19"/>
      <c r="AA3774" s="19"/>
      <c r="AB3774" s="19"/>
      <c r="AC3774" s="19"/>
      <c r="AD3774" s="19"/>
      <c r="AE3774" s="19"/>
      <c r="AF3774" s="19"/>
      <c r="AG3774" s="19"/>
      <c r="AH3774" s="19"/>
      <c r="AI3774" s="19"/>
      <c r="AJ3774" s="19"/>
      <c r="AK3774" s="19"/>
      <c r="AL3774" s="6" t="str">
        <f t="array" ref="AL3774">IFERROR(IFS(XLOOKUP(B3774, 'Kit Delivery Status'!$U:$U, 'Kit Delivery Status'!$K:$K) = "Complete", "DELIVERED", XLOOKUP(B3774, 'Kit Delivery Status'!$U:$U, 'Kit Delivery Status'!$K:$K) = "Issue", "ISSUE"), "")</f>
        <v/>
      </c>
      <c r="AM3774" s="6"/>
    </row>
    <row r="3775">
      <c r="A3775" s="19"/>
      <c r="B3775" s="19"/>
      <c r="C3775" s="19"/>
      <c r="D3775" s="42"/>
      <c r="E3775" s="19"/>
      <c r="F3775" s="19"/>
      <c r="G3775" s="19"/>
      <c r="H3775" s="19"/>
      <c r="I3775" s="19"/>
      <c r="J3775" s="19"/>
      <c r="K3775" s="19"/>
      <c r="L3775" s="19"/>
      <c r="M3775" s="19"/>
      <c r="N3775" s="19"/>
      <c r="O3775" s="43"/>
      <c r="P3775" s="19"/>
      <c r="Q3775" s="19"/>
      <c r="R3775" s="19"/>
      <c r="S3775" s="19"/>
      <c r="T3775" s="19"/>
      <c r="U3775" s="19"/>
      <c r="V3775" s="44"/>
      <c r="W3775" s="19"/>
      <c r="X3775" s="19"/>
      <c r="Y3775" s="19"/>
      <c r="Z3775" s="19"/>
      <c r="AA3775" s="19"/>
      <c r="AB3775" s="19"/>
      <c r="AC3775" s="19"/>
      <c r="AD3775" s="19"/>
      <c r="AE3775" s="19"/>
      <c r="AF3775" s="19"/>
      <c r="AG3775" s="19"/>
      <c r="AH3775" s="19"/>
      <c r="AI3775" s="19"/>
      <c r="AJ3775" s="19"/>
      <c r="AK3775" s="19"/>
      <c r="AL3775" s="6" t="str">
        <f t="array" ref="AL3775">IFERROR(IFS(XLOOKUP(B3775, 'Kit Delivery Status'!$U:$U, 'Kit Delivery Status'!$K:$K) = "Complete", "DELIVERED", XLOOKUP(B3775, 'Kit Delivery Status'!$U:$U, 'Kit Delivery Status'!$K:$K) = "Issue", "ISSUE"), "")</f>
        <v/>
      </c>
      <c r="AM3775" s="6"/>
    </row>
    <row r="3776">
      <c r="A3776" s="19"/>
      <c r="B3776" s="19"/>
      <c r="C3776" s="19"/>
      <c r="D3776" s="42"/>
      <c r="E3776" s="19"/>
      <c r="F3776" s="19"/>
      <c r="G3776" s="19"/>
      <c r="H3776" s="19"/>
      <c r="I3776" s="19"/>
      <c r="J3776" s="19"/>
      <c r="K3776" s="19"/>
      <c r="L3776" s="19"/>
      <c r="M3776" s="19"/>
      <c r="N3776" s="19"/>
      <c r="O3776" s="43"/>
      <c r="P3776" s="19"/>
      <c r="Q3776" s="19"/>
      <c r="R3776" s="19"/>
      <c r="S3776" s="19"/>
      <c r="T3776" s="19"/>
      <c r="U3776" s="19"/>
      <c r="V3776" s="44"/>
      <c r="W3776" s="19"/>
      <c r="X3776" s="19"/>
      <c r="Y3776" s="19"/>
      <c r="Z3776" s="19"/>
      <c r="AA3776" s="19"/>
      <c r="AB3776" s="19"/>
      <c r="AC3776" s="19"/>
      <c r="AD3776" s="19"/>
      <c r="AE3776" s="19"/>
      <c r="AF3776" s="19"/>
      <c r="AG3776" s="19"/>
      <c r="AH3776" s="19"/>
      <c r="AI3776" s="19"/>
      <c r="AJ3776" s="19"/>
      <c r="AK3776" s="19"/>
      <c r="AL3776" s="6" t="str">
        <f t="array" ref="AL3776">IFERROR(IFS(XLOOKUP(B3776, 'Kit Delivery Status'!$U:$U, 'Kit Delivery Status'!$K:$K) = "Complete", "DELIVERED", XLOOKUP(B3776, 'Kit Delivery Status'!$U:$U, 'Kit Delivery Status'!$K:$K) = "Issue", "ISSUE"), "")</f>
        <v/>
      </c>
      <c r="AM3776" s="6"/>
    </row>
    <row r="3777">
      <c r="A3777" s="19"/>
      <c r="B3777" s="19"/>
      <c r="C3777" s="19"/>
      <c r="D3777" s="42"/>
      <c r="E3777" s="19"/>
      <c r="F3777" s="19"/>
      <c r="G3777" s="19"/>
      <c r="H3777" s="19"/>
      <c r="I3777" s="19"/>
      <c r="J3777" s="19"/>
      <c r="K3777" s="19"/>
      <c r="L3777" s="19"/>
      <c r="M3777" s="19"/>
      <c r="N3777" s="19"/>
      <c r="O3777" s="43"/>
      <c r="P3777" s="19"/>
      <c r="Q3777" s="19"/>
      <c r="R3777" s="19"/>
      <c r="S3777" s="19"/>
      <c r="T3777" s="19"/>
      <c r="U3777" s="19"/>
      <c r="V3777" s="44"/>
      <c r="W3777" s="19"/>
      <c r="X3777" s="19"/>
      <c r="Y3777" s="19"/>
      <c r="Z3777" s="19"/>
      <c r="AA3777" s="19"/>
      <c r="AB3777" s="19"/>
      <c r="AC3777" s="19"/>
      <c r="AD3777" s="19"/>
      <c r="AE3777" s="19"/>
      <c r="AF3777" s="19"/>
      <c r="AG3777" s="19"/>
      <c r="AH3777" s="19"/>
      <c r="AI3777" s="19"/>
      <c r="AJ3777" s="19"/>
      <c r="AK3777" s="19"/>
      <c r="AL3777" s="6" t="str">
        <f t="array" ref="AL3777">IFERROR(IFS(XLOOKUP(B3777, 'Kit Delivery Status'!$U:$U, 'Kit Delivery Status'!$K:$K) = "Complete", "DELIVERED", XLOOKUP(B3777, 'Kit Delivery Status'!$U:$U, 'Kit Delivery Status'!$K:$K) = "Issue", "ISSUE"), "")</f>
        <v/>
      </c>
      <c r="AM3777" s="6"/>
    </row>
    <row r="3778">
      <c r="A3778" s="19"/>
      <c r="B3778" s="19"/>
      <c r="C3778" s="19"/>
      <c r="D3778" s="42"/>
      <c r="E3778" s="19"/>
      <c r="F3778" s="19"/>
      <c r="G3778" s="19"/>
      <c r="H3778" s="19"/>
      <c r="I3778" s="19"/>
      <c r="J3778" s="19"/>
      <c r="K3778" s="19"/>
      <c r="L3778" s="19"/>
      <c r="M3778" s="19"/>
      <c r="N3778" s="19"/>
      <c r="O3778" s="43"/>
      <c r="P3778" s="19"/>
      <c r="Q3778" s="19"/>
      <c r="R3778" s="19"/>
      <c r="S3778" s="19"/>
      <c r="T3778" s="19"/>
      <c r="U3778" s="19"/>
      <c r="V3778" s="44"/>
      <c r="W3778" s="19"/>
      <c r="X3778" s="19"/>
      <c r="Y3778" s="19"/>
      <c r="Z3778" s="19"/>
      <c r="AA3778" s="19"/>
      <c r="AB3778" s="19"/>
      <c r="AC3778" s="19"/>
      <c r="AD3778" s="19"/>
      <c r="AE3778" s="19"/>
      <c r="AF3778" s="19"/>
      <c r="AG3778" s="19"/>
      <c r="AH3778" s="19"/>
      <c r="AI3778" s="19"/>
      <c r="AJ3778" s="19"/>
      <c r="AK3778" s="19"/>
      <c r="AL3778" s="6" t="str">
        <f t="array" ref="AL3778">IFERROR(IFS(XLOOKUP(B3778, 'Kit Delivery Status'!$U:$U, 'Kit Delivery Status'!$K:$K) = "Complete", "DELIVERED", XLOOKUP(B3778, 'Kit Delivery Status'!$U:$U, 'Kit Delivery Status'!$K:$K) = "Issue", "ISSUE"), "")</f>
        <v/>
      </c>
      <c r="AM3778" s="6"/>
    </row>
    <row r="3779">
      <c r="A3779" s="19"/>
      <c r="B3779" s="19"/>
      <c r="C3779" s="19"/>
      <c r="D3779" s="42"/>
      <c r="E3779" s="19"/>
      <c r="F3779" s="19"/>
      <c r="G3779" s="19"/>
      <c r="H3779" s="19"/>
      <c r="I3779" s="19"/>
      <c r="J3779" s="19"/>
      <c r="K3779" s="19"/>
      <c r="L3779" s="19"/>
      <c r="M3779" s="19"/>
      <c r="N3779" s="19"/>
      <c r="O3779" s="43"/>
      <c r="P3779" s="19"/>
      <c r="Q3779" s="19"/>
      <c r="R3779" s="19"/>
      <c r="S3779" s="19"/>
      <c r="T3779" s="19"/>
      <c r="U3779" s="19"/>
      <c r="V3779" s="44"/>
      <c r="W3779" s="19"/>
      <c r="X3779" s="19"/>
      <c r="Y3779" s="19"/>
      <c r="Z3779" s="19"/>
      <c r="AA3779" s="19"/>
      <c r="AB3779" s="19"/>
      <c r="AC3779" s="19"/>
      <c r="AD3779" s="19"/>
      <c r="AE3779" s="19"/>
      <c r="AF3779" s="19"/>
      <c r="AG3779" s="19"/>
      <c r="AH3779" s="19"/>
      <c r="AI3779" s="19"/>
      <c r="AJ3779" s="19"/>
      <c r="AK3779" s="19"/>
      <c r="AL3779" s="6" t="str">
        <f t="array" ref="AL3779">IFERROR(IFS(XLOOKUP(B3779, 'Kit Delivery Status'!$U:$U, 'Kit Delivery Status'!$K:$K) = "Complete", "DELIVERED", XLOOKUP(B3779, 'Kit Delivery Status'!$U:$U, 'Kit Delivery Status'!$K:$K) = "Issue", "ISSUE"), "")</f>
        <v/>
      </c>
      <c r="AM3779" s="6"/>
    </row>
    <row r="3780">
      <c r="A3780" s="19"/>
      <c r="B3780" s="19"/>
      <c r="C3780" s="19"/>
      <c r="D3780" s="42"/>
      <c r="E3780" s="19"/>
      <c r="F3780" s="19"/>
      <c r="G3780" s="19"/>
      <c r="H3780" s="19"/>
      <c r="I3780" s="19"/>
      <c r="J3780" s="19"/>
      <c r="K3780" s="19"/>
      <c r="L3780" s="19"/>
      <c r="M3780" s="19"/>
      <c r="N3780" s="19"/>
      <c r="O3780" s="43"/>
      <c r="P3780" s="19"/>
      <c r="Q3780" s="19"/>
      <c r="R3780" s="19"/>
      <c r="S3780" s="19"/>
      <c r="T3780" s="19"/>
      <c r="U3780" s="19"/>
      <c r="V3780" s="44"/>
      <c r="W3780" s="19"/>
      <c r="X3780" s="19"/>
      <c r="Y3780" s="19"/>
      <c r="Z3780" s="19"/>
      <c r="AA3780" s="19"/>
      <c r="AB3780" s="19"/>
      <c r="AC3780" s="19"/>
      <c r="AD3780" s="19"/>
      <c r="AE3780" s="19"/>
      <c r="AF3780" s="19"/>
      <c r="AG3780" s="19"/>
      <c r="AH3780" s="19"/>
      <c r="AI3780" s="19"/>
      <c r="AJ3780" s="19"/>
      <c r="AK3780" s="19"/>
      <c r="AL3780" s="6" t="str">
        <f t="array" ref="AL3780">IFERROR(IFS(XLOOKUP(B3780, 'Kit Delivery Status'!$U:$U, 'Kit Delivery Status'!$K:$K) = "Complete", "DELIVERED", XLOOKUP(B3780, 'Kit Delivery Status'!$U:$U, 'Kit Delivery Status'!$K:$K) = "Issue", "ISSUE"), "")</f>
        <v/>
      </c>
      <c r="AM3780" s="6"/>
    </row>
    <row r="3781">
      <c r="A3781" s="19"/>
      <c r="B3781" s="19"/>
      <c r="C3781" s="19"/>
      <c r="D3781" s="42"/>
      <c r="E3781" s="19"/>
      <c r="F3781" s="19"/>
      <c r="G3781" s="19"/>
      <c r="H3781" s="19"/>
      <c r="I3781" s="19"/>
      <c r="J3781" s="19"/>
      <c r="K3781" s="19"/>
      <c r="L3781" s="19"/>
      <c r="M3781" s="19"/>
      <c r="N3781" s="19"/>
      <c r="O3781" s="43"/>
      <c r="P3781" s="19"/>
      <c r="Q3781" s="19"/>
      <c r="R3781" s="19"/>
      <c r="S3781" s="19"/>
      <c r="T3781" s="19"/>
      <c r="U3781" s="19"/>
      <c r="V3781" s="44"/>
      <c r="W3781" s="19"/>
      <c r="X3781" s="19"/>
      <c r="Y3781" s="19"/>
      <c r="Z3781" s="19"/>
      <c r="AA3781" s="19"/>
      <c r="AB3781" s="19"/>
      <c r="AC3781" s="19"/>
      <c r="AD3781" s="19"/>
      <c r="AE3781" s="19"/>
      <c r="AF3781" s="19"/>
      <c r="AG3781" s="19"/>
      <c r="AH3781" s="19"/>
      <c r="AI3781" s="19"/>
      <c r="AJ3781" s="19"/>
      <c r="AK3781" s="19"/>
      <c r="AL3781" s="6" t="str">
        <f t="array" ref="AL3781">IFERROR(IFS(XLOOKUP(B3781, 'Kit Delivery Status'!$U:$U, 'Kit Delivery Status'!$K:$K) = "Complete", "DELIVERED", XLOOKUP(B3781, 'Kit Delivery Status'!$U:$U, 'Kit Delivery Status'!$K:$K) = "Issue", "ISSUE"), "")</f>
        <v/>
      </c>
      <c r="AM3781" s="6"/>
    </row>
    <row r="3782">
      <c r="A3782" s="19"/>
      <c r="B3782" s="19"/>
      <c r="C3782" s="19"/>
      <c r="D3782" s="42"/>
      <c r="E3782" s="19"/>
      <c r="F3782" s="19"/>
      <c r="G3782" s="19"/>
      <c r="H3782" s="19"/>
      <c r="I3782" s="19"/>
      <c r="J3782" s="19"/>
      <c r="K3782" s="19"/>
      <c r="L3782" s="19"/>
      <c r="M3782" s="19"/>
      <c r="N3782" s="19"/>
      <c r="O3782" s="43"/>
      <c r="P3782" s="19"/>
      <c r="Q3782" s="19"/>
      <c r="R3782" s="19"/>
      <c r="S3782" s="19"/>
      <c r="T3782" s="19"/>
      <c r="U3782" s="19"/>
      <c r="V3782" s="44"/>
      <c r="W3782" s="19"/>
      <c r="X3782" s="19"/>
      <c r="Y3782" s="19"/>
      <c r="Z3782" s="19"/>
      <c r="AA3782" s="19"/>
      <c r="AB3782" s="19"/>
      <c r="AC3782" s="19"/>
      <c r="AD3782" s="19"/>
      <c r="AE3782" s="19"/>
      <c r="AF3782" s="19"/>
      <c r="AG3782" s="19"/>
      <c r="AH3782" s="19"/>
      <c r="AI3782" s="19"/>
      <c r="AJ3782" s="19"/>
      <c r="AK3782" s="19"/>
      <c r="AL3782" s="6" t="str">
        <f t="array" ref="AL3782">IFERROR(IFS(XLOOKUP(B3782, 'Kit Delivery Status'!$U:$U, 'Kit Delivery Status'!$K:$K) = "Complete", "DELIVERED", XLOOKUP(B3782, 'Kit Delivery Status'!$U:$U, 'Kit Delivery Status'!$K:$K) = "Issue", "ISSUE"), "")</f>
        <v/>
      </c>
      <c r="AM3782" s="6"/>
    </row>
    <row r="3783">
      <c r="A3783" s="19"/>
      <c r="B3783" s="19"/>
      <c r="C3783" s="19"/>
      <c r="D3783" s="42"/>
      <c r="E3783" s="19"/>
      <c r="F3783" s="19"/>
      <c r="G3783" s="19"/>
      <c r="H3783" s="19"/>
      <c r="I3783" s="19"/>
      <c r="J3783" s="19"/>
      <c r="K3783" s="19"/>
      <c r="L3783" s="19"/>
      <c r="M3783" s="19"/>
      <c r="N3783" s="19"/>
      <c r="O3783" s="43"/>
      <c r="P3783" s="19"/>
      <c r="Q3783" s="19"/>
      <c r="R3783" s="19"/>
      <c r="S3783" s="19"/>
      <c r="T3783" s="19"/>
      <c r="U3783" s="19"/>
      <c r="V3783" s="44"/>
      <c r="W3783" s="19"/>
      <c r="X3783" s="19"/>
      <c r="Y3783" s="19"/>
      <c r="Z3783" s="19"/>
      <c r="AA3783" s="19"/>
      <c r="AB3783" s="19"/>
      <c r="AC3783" s="19"/>
      <c r="AD3783" s="19"/>
      <c r="AE3783" s="19"/>
      <c r="AF3783" s="19"/>
      <c r="AG3783" s="19"/>
      <c r="AH3783" s="19"/>
      <c r="AI3783" s="19"/>
      <c r="AJ3783" s="19"/>
      <c r="AK3783" s="19"/>
      <c r="AL3783" s="6" t="str">
        <f t="array" ref="AL3783">IFERROR(IFS(XLOOKUP(B3783, 'Kit Delivery Status'!$U:$U, 'Kit Delivery Status'!$K:$K) = "Complete", "DELIVERED", XLOOKUP(B3783, 'Kit Delivery Status'!$U:$U, 'Kit Delivery Status'!$K:$K) = "Issue", "ISSUE"), "")</f>
        <v/>
      </c>
      <c r="AM3783" s="6"/>
    </row>
    <row r="3784">
      <c r="A3784" s="19"/>
      <c r="B3784" s="19"/>
      <c r="C3784" s="19"/>
      <c r="D3784" s="42"/>
      <c r="E3784" s="19"/>
      <c r="F3784" s="19"/>
      <c r="G3784" s="19"/>
      <c r="H3784" s="19"/>
      <c r="I3784" s="19"/>
      <c r="J3784" s="19"/>
      <c r="K3784" s="19"/>
      <c r="L3784" s="19"/>
      <c r="M3784" s="19"/>
      <c r="N3784" s="19"/>
      <c r="O3784" s="43"/>
      <c r="P3784" s="19"/>
      <c r="Q3784" s="19"/>
      <c r="R3784" s="19"/>
      <c r="S3784" s="19"/>
      <c r="T3784" s="19"/>
      <c r="U3784" s="19"/>
      <c r="V3784" s="44"/>
      <c r="W3784" s="19"/>
      <c r="X3784" s="19"/>
      <c r="Y3784" s="19"/>
      <c r="Z3784" s="19"/>
      <c r="AA3784" s="19"/>
      <c r="AB3784" s="19"/>
      <c r="AC3784" s="19"/>
      <c r="AD3784" s="19"/>
      <c r="AE3784" s="19"/>
      <c r="AF3784" s="19"/>
      <c r="AG3784" s="19"/>
      <c r="AH3784" s="19"/>
      <c r="AI3784" s="19"/>
      <c r="AJ3784" s="19"/>
      <c r="AK3784" s="19"/>
      <c r="AL3784" s="6" t="str">
        <f t="array" ref="AL3784">IFERROR(IFS(XLOOKUP(B3784, 'Kit Delivery Status'!$U:$U, 'Kit Delivery Status'!$K:$K) = "Complete", "DELIVERED", XLOOKUP(B3784, 'Kit Delivery Status'!$U:$U, 'Kit Delivery Status'!$K:$K) = "Issue", "ISSUE"), "")</f>
        <v/>
      </c>
      <c r="AM3784" s="6"/>
    </row>
    <row r="3785">
      <c r="A3785" s="19"/>
      <c r="B3785" s="19"/>
      <c r="C3785" s="19"/>
      <c r="D3785" s="42"/>
      <c r="E3785" s="19"/>
      <c r="F3785" s="19"/>
      <c r="G3785" s="19"/>
      <c r="H3785" s="19"/>
      <c r="I3785" s="19"/>
      <c r="J3785" s="19"/>
      <c r="K3785" s="19"/>
      <c r="L3785" s="19"/>
      <c r="M3785" s="19"/>
      <c r="N3785" s="19"/>
      <c r="O3785" s="43"/>
      <c r="P3785" s="19"/>
      <c r="Q3785" s="19"/>
      <c r="R3785" s="19"/>
      <c r="S3785" s="19"/>
      <c r="T3785" s="19"/>
      <c r="U3785" s="19"/>
      <c r="V3785" s="44"/>
      <c r="W3785" s="19"/>
      <c r="X3785" s="19"/>
      <c r="Y3785" s="19"/>
      <c r="Z3785" s="19"/>
      <c r="AA3785" s="19"/>
      <c r="AB3785" s="19"/>
      <c r="AC3785" s="19"/>
      <c r="AD3785" s="19"/>
      <c r="AE3785" s="19"/>
      <c r="AF3785" s="19"/>
      <c r="AG3785" s="19"/>
      <c r="AH3785" s="19"/>
      <c r="AI3785" s="19"/>
      <c r="AJ3785" s="19"/>
      <c r="AK3785" s="19"/>
      <c r="AL3785" s="6" t="str">
        <f t="array" ref="AL3785">IFERROR(IFS(XLOOKUP(B3785, 'Kit Delivery Status'!$U:$U, 'Kit Delivery Status'!$K:$K) = "Complete", "DELIVERED", XLOOKUP(B3785, 'Kit Delivery Status'!$U:$U, 'Kit Delivery Status'!$K:$K) = "Issue", "ISSUE"), "")</f>
        <v/>
      </c>
      <c r="AM3785" s="6"/>
    </row>
    <row r="3786">
      <c r="A3786" s="19"/>
      <c r="B3786" s="19"/>
      <c r="C3786" s="19"/>
      <c r="D3786" s="42"/>
      <c r="E3786" s="19"/>
      <c r="F3786" s="19"/>
      <c r="G3786" s="19"/>
      <c r="H3786" s="19"/>
      <c r="I3786" s="19"/>
      <c r="J3786" s="19"/>
      <c r="K3786" s="19"/>
      <c r="L3786" s="19"/>
      <c r="M3786" s="19"/>
      <c r="N3786" s="19"/>
      <c r="O3786" s="43"/>
      <c r="P3786" s="19"/>
      <c r="Q3786" s="19"/>
      <c r="R3786" s="19"/>
      <c r="S3786" s="19"/>
      <c r="T3786" s="19"/>
      <c r="U3786" s="19"/>
      <c r="V3786" s="44"/>
      <c r="W3786" s="19"/>
      <c r="X3786" s="19"/>
      <c r="Y3786" s="19"/>
      <c r="Z3786" s="19"/>
      <c r="AA3786" s="19"/>
      <c r="AB3786" s="19"/>
      <c r="AC3786" s="19"/>
      <c r="AD3786" s="19"/>
      <c r="AE3786" s="19"/>
      <c r="AF3786" s="19"/>
      <c r="AG3786" s="19"/>
      <c r="AH3786" s="19"/>
      <c r="AI3786" s="19"/>
      <c r="AJ3786" s="19"/>
      <c r="AK3786" s="19"/>
      <c r="AL3786" s="6" t="str">
        <f t="array" ref="AL3786">IFERROR(IFS(XLOOKUP(B3786, 'Kit Delivery Status'!$U:$U, 'Kit Delivery Status'!$K:$K) = "Complete", "DELIVERED", XLOOKUP(B3786, 'Kit Delivery Status'!$U:$U, 'Kit Delivery Status'!$K:$K) = "Issue", "ISSUE"), "")</f>
        <v/>
      </c>
      <c r="AM3786" s="6"/>
    </row>
    <row r="3787">
      <c r="A3787" s="19"/>
      <c r="B3787" s="19"/>
      <c r="C3787" s="19"/>
      <c r="D3787" s="42"/>
      <c r="E3787" s="19"/>
      <c r="F3787" s="19"/>
      <c r="G3787" s="19"/>
      <c r="H3787" s="19"/>
      <c r="I3787" s="19"/>
      <c r="J3787" s="19"/>
      <c r="K3787" s="19"/>
      <c r="L3787" s="19"/>
      <c r="M3787" s="19"/>
      <c r="N3787" s="19"/>
      <c r="O3787" s="43"/>
      <c r="P3787" s="19"/>
      <c r="Q3787" s="19"/>
      <c r="R3787" s="19"/>
      <c r="S3787" s="19"/>
      <c r="T3787" s="19"/>
      <c r="U3787" s="19"/>
      <c r="V3787" s="44"/>
      <c r="W3787" s="19"/>
      <c r="X3787" s="19"/>
      <c r="Y3787" s="19"/>
      <c r="Z3787" s="19"/>
      <c r="AA3787" s="19"/>
      <c r="AB3787" s="19"/>
      <c r="AC3787" s="19"/>
      <c r="AD3787" s="19"/>
      <c r="AE3787" s="19"/>
      <c r="AF3787" s="19"/>
      <c r="AG3787" s="19"/>
      <c r="AH3787" s="19"/>
      <c r="AI3787" s="19"/>
      <c r="AJ3787" s="19"/>
      <c r="AK3787" s="19"/>
      <c r="AL3787" s="6" t="str">
        <f t="array" ref="AL3787">IFERROR(IFS(XLOOKUP(B3787, 'Kit Delivery Status'!$U:$U, 'Kit Delivery Status'!$K:$K) = "Complete", "DELIVERED", XLOOKUP(B3787, 'Kit Delivery Status'!$U:$U, 'Kit Delivery Status'!$K:$K) = "Issue", "ISSUE"), "")</f>
        <v/>
      </c>
      <c r="AM3787" s="6"/>
    </row>
    <row r="3788">
      <c r="A3788" s="19"/>
      <c r="B3788" s="19"/>
      <c r="C3788" s="19"/>
      <c r="D3788" s="42"/>
      <c r="E3788" s="19"/>
      <c r="F3788" s="19"/>
      <c r="G3788" s="19"/>
      <c r="H3788" s="19"/>
      <c r="I3788" s="19"/>
      <c r="J3788" s="19"/>
      <c r="K3788" s="19"/>
      <c r="L3788" s="19"/>
      <c r="M3788" s="19"/>
      <c r="N3788" s="19"/>
      <c r="O3788" s="43"/>
      <c r="P3788" s="19"/>
      <c r="Q3788" s="19"/>
      <c r="R3788" s="19"/>
      <c r="S3788" s="19"/>
      <c r="T3788" s="19"/>
      <c r="U3788" s="19"/>
      <c r="V3788" s="44"/>
      <c r="W3788" s="19"/>
      <c r="X3788" s="19"/>
      <c r="Y3788" s="19"/>
      <c r="Z3788" s="19"/>
      <c r="AA3788" s="19"/>
      <c r="AB3788" s="19"/>
      <c r="AC3788" s="19"/>
      <c r="AD3788" s="19"/>
      <c r="AE3788" s="19"/>
      <c r="AF3788" s="19"/>
      <c r="AG3788" s="19"/>
      <c r="AH3788" s="19"/>
      <c r="AI3788" s="19"/>
      <c r="AJ3788" s="19"/>
      <c r="AK3788" s="19"/>
      <c r="AL3788" s="6" t="str">
        <f t="array" ref="AL3788">IFERROR(IFS(XLOOKUP(B3788, 'Kit Delivery Status'!$U:$U, 'Kit Delivery Status'!$K:$K) = "Complete", "DELIVERED", XLOOKUP(B3788, 'Kit Delivery Status'!$U:$U, 'Kit Delivery Status'!$K:$K) = "Issue", "ISSUE"), "")</f>
        <v/>
      </c>
      <c r="AM3788" s="6"/>
    </row>
    <row r="3789">
      <c r="A3789" s="19"/>
      <c r="B3789" s="19"/>
      <c r="C3789" s="19"/>
      <c r="D3789" s="42"/>
      <c r="E3789" s="19"/>
      <c r="F3789" s="19"/>
      <c r="G3789" s="19"/>
      <c r="H3789" s="19"/>
      <c r="I3789" s="19"/>
      <c r="J3789" s="19"/>
      <c r="K3789" s="19"/>
      <c r="L3789" s="19"/>
      <c r="M3789" s="19"/>
      <c r="N3789" s="19"/>
      <c r="O3789" s="43"/>
      <c r="P3789" s="19"/>
      <c r="Q3789" s="19"/>
      <c r="R3789" s="19"/>
      <c r="S3789" s="19"/>
      <c r="T3789" s="19"/>
      <c r="U3789" s="19"/>
      <c r="V3789" s="44"/>
      <c r="W3789" s="19"/>
      <c r="X3789" s="19"/>
      <c r="Y3789" s="19"/>
      <c r="Z3789" s="19"/>
      <c r="AA3789" s="19"/>
      <c r="AB3789" s="19"/>
      <c r="AC3789" s="19"/>
      <c r="AD3789" s="19"/>
      <c r="AE3789" s="19"/>
      <c r="AF3789" s="19"/>
      <c r="AG3789" s="19"/>
      <c r="AH3789" s="19"/>
      <c r="AI3789" s="19"/>
      <c r="AJ3789" s="19"/>
      <c r="AK3789" s="19"/>
      <c r="AL3789" s="6" t="str">
        <f t="array" ref="AL3789">IFERROR(IFS(XLOOKUP(B3789, 'Kit Delivery Status'!$U:$U, 'Kit Delivery Status'!$K:$K) = "Complete", "DELIVERED", XLOOKUP(B3789, 'Kit Delivery Status'!$U:$U, 'Kit Delivery Status'!$K:$K) = "Issue", "ISSUE"), "")</f>
        <v/>
      </c>
      <c r="AM3789" s="6"/>
    </row>
    <row r="3790">
      <c r="A3790" s="19"/>
      <c r="B3790" s="19"/>
      <c r="C3790" s="19"/>
      <c r="D3790" s="42"/>
      <c r="E3790" s="19"/>
      <c r="F3790" s="19"/>
      <c r="G3790" s="19"/>
      <c r="H3790" s="19"/>
      <c r="I3790" s="19"/>
      <c r="J3790" s="19"/>
      <c r="K3790" s="19"/>
      <c r="L3790" s="19"/>
      <c r="M3790" s="19"/>
      <c r="N3790" s="19"/>
      <c r="O3790" s="43"/>
      <c r="P3790" s="19"/>
      <c r="Q3790" s="19"/>
      <c r="R3790" s="19"/>
      <c r="S3790" s="19"/>
      <c r="T3790" s="19"/>
      <c r="U3790" s="19"/>
      <c r="V3790" s="44"/>
      <c r="W3790" s="19"/>
      <c r="X3790" s="19"/>
      <c r="Y3790" s="19"/>
      <c r="Z3790" s="19"/>
      <c r="AA3790" s="19"/>
      <c r="AB3790" s="19"/>
      <c r="AC3790" s="19"/>
      <c r="AD3790" s="19"/>
      <c r="AE3790" s="19"/>
      <c r="AF3790" s="19"/>
      <c r="AG3790" s="19"/>
      <c r="AH3790" s="19"/>
      <c r="AI3790" s="19"/>
      <c r="AJ3790" s="19"/>
      <c r="AK3790" s="19"/>
      <c r="AL3790" s="6" t="str">
        <f t="array" ref="AL3790">IFERROR(IFS(XLOOKUP(B3790, 'Kit Delivery Status'!$U:$U, 'Kit Delivery Status'!$K:$K) = "Complete", "DELIVERED", XLOOKUP(B3790, 'Kit Delivery Status'!$U:$U, 'Kit Delivery Status'!$K:$K) = "Issue", "ISSUE"), "")</f>
        <v/>
      </c>
      <c r="AM3790" s="6"/>
    </row>
    <row r="3791">
      <c r="A3791" s="19"/>
      <c r="B3791" s="19"/>
      <c r="C3791" s="19"/>
      <c r="D3791" s="42"/>
      <c r="E3791" s="19"/>
      <c r="F3791" s="19"/>
      <c r="G3791" s="19"/>
      <c r="H3791" s="19"/>
      <c r="I3791" s="19"/>
      <c r="J3791" s="19"/>
      <c r="K3791" s="19"/>
      <c r="L3791" s="19"/>
      <c r="M3791" s="19"/>
      <c r="N3791" s="19"/>
      <c r="O3791" s="43"/>
      <c r="P3791" s="19"/>
      <c r="Q3791" s="19"/>
      <c r="R3791" s="19"/>
      <c r="S3791" s="19"/>
      <c r="T3791" s="19"/>
      <c r="U3791" s="19"/>
      <c r="V3791" s="44"/>
      <c r="W3791" s="19"/>
      <c r="X3791" s="19"/>
      <c r="Y3791" s="19"/>
      <c r="Z3791" s="19"/>
      <c r="AA3791" s="19"/>
      <c r="AB3791" s="19"/>
      <c r="AC3791" s="19"/>
      <c r="AD3791" s="19"/>
      <c r="AE3791" s="19"/>
      <c r="AF3791" s="19"/>
      <c r="AG3791" s="19"/>
      <c r="AH3791" s="19"/>
      <c r="AI3791" s="19"/>
      <c r="AJ3791" s="19"/>
      <c r="AK3791" s="19"/>
      <c r="AL3791" s="6" t="str">
        <f t="array" ref="AL3791">IFERROR(IFS(XLOOKUP(B3791, 'Kit Delivery Status'!$U:$U, 'Kit Delivery Status'!$K:$K) = "Complete", "DELIVERED", XLOOKUP(B3791, 'Kit Delivery Status'!$U:$U, 'Kit Delivery Status'!$K:$K) = "Issue", "ISSUE"), "")</f>
        <v/>
      </c>
      <c r="AM3791" s="6"/>
    </row>
    <row r="3792">
      <c r="A3792" s="19"/>
      <c r="B3792" s="19"/>
      <c r="C3792" s="19"/>
      <c r="D3792" s="42"/>
      <c r="E3792" s="19"/>
      <c r="F3792" s="19"/>
      <c r="G3792" s="19"/>
      <c r="H3792" s="19"/>
      <c r="I3792" s="19"/>
      <c r="J3792" s="19"/>
      <c r="K3792" s="19"/>
      <c r="L3792" s="19"/>
      <c r="M3792" s="19"/>
      <c r="N3792" s="19"/>
      <c r="O3792" s="43"/>
      <c r="P3792" s="19"/>
      <c r="Q3792" s="19"/>
      <c r="R3792" s="19"/>
      <c r="S3792" s="19"/>
      <c r="T3792" s="19"/>
      <c r="U3792" s="19"/>
      <c r="V3792" s="44"/>
      <c r="W3792" s="19"/>
      <c r="X3792" s="19"/>
      <c r="Y3792" s="19"/>
      <c r="Z3792" s="19"/>
      <c r="AA3792" s="19"/>
      <c r="AB3792" s="19"/>
      <c r="AC3792" s="19"/>
      <c r="AD3792" s="19"/>
      <c r="AE3792" s="19"/>
      <c r="AF3792" s="19"/>
      <c r="AG3792" s="19"/>
      <c r="AH3792" s="19"/>
      <c r="AI3792" s="19"/>
      <c r="AJ3792" s="19"/>
      <c r="AK3792" s="19"/>
      <c r="AL3792" s="6" t="str">
        <f t="array" ref="AL3792">IFERROR(IFS(XLOOKUP(B3792, 'Kit Delivery Status'!$U:$U, 'Kit Delivery Status'!$K:$K) = "Complete", "DELIVERED", XLOOKUP(B3792, 'Kit Delivery Status'!$U:$U, 'Kit Delivery Status'!$K:$K) = "Issue", "ISSUE"), "")</f>
        <v/>
      </c>
      <c r="AM3792" s="6"/>
    </row>
    <row r="3793">
      <c r="A3793" s="19"/>
      <c r="B3793" s="19"/>
      <c r="C3793" s="19"/>
      <c r="D3793" s="42"/>
      <c r="E3793" s="19"/>
      <c r="F3793" s="19"/>
      <c r="G3793" s="19"/>
      <c r="H3793" s="19"/>
      <c r="I3793" s="19"/>
      <c r="J3793" s="19"/>
      <c r="K3793" s="19"/>
      <c r="L3793" s="19"/>
      <c r="M3793" s="19"/>
      <c r="N3793" s="19"/>
      <c r="O3793" s="43"/>
      <c r="P3793" s="19"/>
      <c r="Q3793" s="19"/>
      <c r="R3793" s="19"/>
      <c r="S3793" s="19"/>
      <c r="T3793" s="19"/>
      <c r="U3793" s="19"/>
      <c r="V3793" s="44"/>
      <c r="W3793" s="19"/>
      <c r="X3793" s="19"/>
      <c r="Y3793" s="19"/>
      <c r="Z3793" s="19"/>
      <c r="AA3793" s="19"/>
      <c r="AB3793" s="19"/>
      <c r="AC3793" s="19"/>
      <c r="AD3793" s="19"/>
      <c r="AE3793" s="19"/>
      <c r="AF3793" s="19"/>
      <c r="AG3793" s="19"/>
      <c r="AH3793" s="19"/>
      <c r="AI3793" s="19"/>
      <c r="AJ3793" s="19"/>
      <c r="AK3793" s="19"/>
      <c r="AL3793" s="6" t="str">
        <f t="array" ref="AL3793">IFERROR(IFS(XLOOKUP(B3793, 'Kit Delivery Status'!$U:$U, 'Kit Delivery Status'!$K:$K) = "Complete", "DELIVERED", XLOOKUP(B3793, 'Kit Delivery Status'!$U:$U, 'Kit Delivery Status'!$K:$K) = "Issue", "ISSUE"), "")</f>
        <v/>
      </c>
      <c r="AM3793" s="6"/>
    </row>
    <row r="3794">
      <c r="A3794" s="19"/>
      <c r="B3794" s="19"/>
      <c r="C3794" s="19"/>
      <c r="D3794" s="42"/>
      <c r="E3794" s="19"/>
      <c r="F3794" s="19"/>
      <c r="G3794" s="19"/>
      <c r="H3794" s="19"/>
      <c r="I3794" s="19"/>
      <c r="J3794" s="19"/>
      <c r="K3794" s="19"/>
      <c r="L3794" s="19"/>
      <c r="M3794" s="19"/>
      <c r="N3794" s="19"/>
      <c r="O3794" s="43"/>
      <c r="P3794" s="19"/>
      <c r="Q3794" s="19"/>
      <c r="R3794" s="19"/>
      <c r="S3794" s="19"/>
      <c r="T3794" s="19"/>
      <c r="U3794" s="19"/>
      <c r="V3794" s="44"/>
      <c r="W3794" s="19"/>
      <c r="X3794" s="19"/>
      <c r="Y3794" s="19"/>
      <c r="Z3794" s="19"/>
      <c r="AA3794" s="19"/>
      <c r="AB3794" s="19"/>
      <c r="AC3794" s="19"/>
      <c r="AD3794" s="19"/>
      <c r="AE3794" s="19"/>
      <c r="AF3794" s="19"/>
      <c r="AG3794" s="19"/>
      <c r="AH3794" s="19"/>
      <c r="AI3794" s="19"/>
      <c r="AJ3794" s="19"/>
      <c r="AK3794" s="19"/>
      <c r="AL3794" s="6" t="str">
        <f t="array" ref="AL3794">IFERROR(IFS(XLOOKUP(B3794, 'Kit Delivery Status'!$U:$U, 'Kit Delivery Status'!$K:$K) = "Complete", "DELIVERED", XLOOKUP(B3794, 'Kit Delivery Status'!$U:$U, 'Kit Delivery Status'!$K:$K) = "Issue", "ISSUE"), "")</f>
        <v/>
      </c>
      <c r="AM3794" s="6"/>
    </row>
    <row r="3795">
      <c r="A3795" s="19"/>
      <c r="B3795" s="19"/>
      <c r="C3795" s="19"/>
      <c r="D3795" s="42"/>
      <c r="E3795" s="19"/>
      <c r="F3795" s="19"/>
      <c r="G3795" s="19"/>
      <c r="H3795" s="19"/>
      <c r="I3795" s="19"/>
      <c r="J3795" s="19"/>
      <c r="K3795" s="19"/>
      <c r="L3795" s="19"/>
      <c r="M3795" s="19"/>
      <c r="N3795" s="19"/>
      <c r="O3795" s="43"/>
      <c r="P3795" s="19"/>
      <c r="Q3795" s="19"/>
      <c r="R3795" s="19"/>
      <c r="S3795" s="19"/>
      <c r="T3795" s="19"/>
      <c r="U3795" s="19"/>
      <c r="V3795" s="44"/>
      <c r="W3795" s="19"/>
      <c r="X3795" s="19"/>
      <c r="Y3795" s="19"/>
      <c r="Z3795" s="19"/>
      <c r="AA3795" s="19"/>
      <c r="AB3795" s="19"/>
      <c r="AC3795" s="19"/>
      <c r="AD3795" s="19"/>
      <c r="AE3795" s="19"/>
      <c r="AF3795" s="19"/>
      <c r="AG3795" s="19"/>
      <c r="AH3795" s="19"/>
      <c r="AI3795" s="19"/>
      <c r="AJ3795" s="19"/>
      <c r="AK3795" s="19"/>
      <c r="AL3795" s="6" t="str">
        <f t="array" ref="AL3795">IFERROR(IFS(XLOOKUP(B3795, 'Kit Delivery Status'!$U:$U, 'Kit Delivery Status'!$K:$K) = "Complete", "DELIVERED", XLOOKUP(B3795, 'Kit Delivery Status'!$U:$U, 'Kit Delivery Status'!$K:$K) = "Issue", "ISSUE"), "")</f>
        <v/>
      </c>
      <c r="AM3795" s="6"/>
    </row>
    <row r="3796">
      <c r="A3796" s="19"/>
      <c r="B3796" s="19"/>
      <c r="C3796" s="19"/>
      <c r="D3796" s="42"/>
      <c r="E3796" s="19"/>
      <c r="F3796" s="19"/>
      <c r="G3796" s="19"/>
      <c r="H3796" s="19"/>
      <c r="I3796" s="19"/>
      <c r="J3796" s="19"/>
      <c r="K3796" s="19"/>
      <c r="L3796" s="19"/>
      <c r="M3796" s="19"/>
      <c r="N3796" s="19"/>
      <c r="O3796" s="43"/>
      <c r="P3796" s="19"/>
      <c r="Q3796" s="19"/>
      <c r="R3796" s="19"/>
      <c r="S3796" s="19"/>
      <c r="T3796" s="19"/>
      <c r="U3796" s="19"/>
      <c r="V3796" s="44"/>
      <c r="W3796" s="19"/>
      <c r="X3796" s="19"/>
      <c r="Y3796" s="19"/>
      <c r="Z3796" s="19"/>
      <c r="AA3796" s="19"/>
      <c r="AB3796" s="19"/>
      <c r="AC3796" s="19"/>
      <c r="AD3796" s="19"/>
      <c r="AE3796" s="19"/>
      <c r="AF3796" s="19"/>
      <c r="AG3796" s="19"/>
      <c r="AH3796" s="19"/>
      <c r="AI3796" s="19"/>
      <c r="AJ3796" s="19"/>
      <c r="AK3796" s="19"/>
      <c r="AL3796" s="6" t="str">
        <f t="array" ref="AL3796">IFERROR(IFS(XLOOKUP(B3796, 'Kit Delivery Status'!$U:$U, 'Kit Delivery Status'!$K:$K) = "Complete", "DELIVERED", XLOOKUP(B3796, 'Kit Delivery Status'!$U:$U, 'Kit Delivery Status'!$K:$K) = "Issue", "ISSUE"), "")</f>
        <v/>
      </c>
      <c r="AM3796" s="6"/>
    </row>
    <row r="3797">
      <c r="A3797" s="19"/>
      <c r="B3797" s="19"/>
      <c r="C3797" s="19"/>
      <c r="D3797" s="42"/>
      <c r="E3797" s="19"/>
      <c r="F3797" s="19"/>
      <c r="G3797" s="19"/>
      <c r="H3797" s="19"/>
      <c r="I3797" s="19"/>
      <c r="J3797" s="19"/>
      <c r="K3797" s="19"/>
      <c r="L3797" s="19"/>
      <c r="M3797" s="19"/>
      <c r="N3797" s="19"/>
      <c r="O3797" s="43"/>
      <c r="P3797" s="19"/>
      <c r="Q3797" s="19"/>
      <c r="R3797" s="19"/>
      <c r="S3797" s="19"/>
      <c r="T3797" s="19"/>
      <c r="U3797" s="19"/>
      <c r="V3797" s="44"/>
      <c r="W3797" s="19"/>
      <c r="X3797" s="19"/>
      <c r="Y3797" s="19"/>
      <c r="Z3797" s="19"/>
      <c r="AA3797" s="19"/>
      <c r="AB3797" s="19"/>
      <c r="AC3797" s="19"/>
      <c r="AD3797" s="19"/>
      <c r="AE3797" s="19"/>
      <c r="AF3797" s="19"/>
      <c r="AG3797" s="19"/>
      <c r="AH3797" s="19"/>
      <c r="AI3797" s="19"/>
      <c r="AJ3797" s="19"/>
      <c r="AK3797" s="19"/>
      <c r="AL3797" s="6" t="str">
        <f t="array" ref="AL3797">IFERROR(IFS(XLOOKUP(B3797, 'Kit Delivery Status'!$U:$U, 'Kit Delivery Status'!$K:$K) = "Complete", "DELIVERED", XLOOKUP(B3797, 'Kit Delivery Status'!$U:$U, 'Kit Delivery Status'!$K:$K) = "Issue", "ISSUE"), "")</f>
        <v/>
      </c>
      <c r="AM3797" s="6"/>
    </row>
    <row r="3798">
      <c r="A3798" s="19"/>
      <c r="B3798" s="19"/>
      <c r="C3798" s="19"/>
      <c r="D3798" s="42"/>
      <c r="E3798" s="19"/>
      <c r="F3798" s="19"/>
      <c r="G3798" s="19"/>
      <c r="H3798" s="19"/>
      <c r="I3798" s="19"/>
      <c r="J3798" s="19"/>
      <c r="K3798" s="19"/>
      <c r="L3798" s="19"/>
      <c r="M3798" s="19"/>
      <c r="N3798" s="19"/>
      <c r="O3798" s="43"/>
      <c r="P3798" s="19"/>
      <c r="Q3798" s="19"/>
      <c r="R3798" s="19"/>
      <c r="S3798" s="19"/>
      <c r="T3798" s="19"/>
      <c r="U3798" s="19"/>
      <c r="V3798" s="44"/>
      <c r="W3798" s="19"/>
      <c r="X3798" s="19"/>
      <c r="Y3798" s="19"/>
      <c r="Z3798" s="19"/>
      <c r="AA3798" s="19"/>
      <c r="AB3798" s="19"/>
      <c r="AC3798" s="19"/>
      <c r="AD3798" s="19"/>
      <c r="AE3798" s="19"/>
      <c r="AF3798" s="19"/>
      <c r="AG3798" s="19"/>
      <c r="AH3798" s="19"/>
      <c r="AI3798" s="19"/>
      <c r="AJ3798" s="19"/>
      <c r="AK3798" s="19"/>
      <c r="AL3798" s="6" t="str">
        <f t="array" ref="AL3798">IFERROR(IFS(XLOOKUP(B3798, 'Kit Delivery Status'!$U:$U, 'Kit Delivery Status'!$K:$K) = "Complete", "DELIVERED", XLOOKUP(B3798, 'Kit Delivery Status'!$U:$U, 'Kit Delivery Status'!$K:$K) = "Issue", "ISSUE"), "")</f>
        <v/>
      </c>
      <c r="AM3798" s="6"/>
    </row>
    <row r="3799">
      <c r="A3799" s="19"/>
      <c r="B3799" s="19"/>
      <c r="C3799" s="19"/>
      <c r="D3799" s="42"/>
      <c r="E3799" s="19"/>
      <c r="F3799" s="19"/>
      <c r="G3799" s="19"/>
      <c r="H3799" s="19"/>
      <c r="I3799" s="19"/>
      <c r="J3799" s="19"/>
      <c r="K3799" s="19"/>
      <c r="L3799" s="19"/>
      <c r="M3799" s="19"/>
      <c r="N3799" s="19"/>
      <c r="O3799" s="43"/>
      <c r="P3799" s="19"/>
      <c r="Q3799" s="19"/>
      <c r="R3799" s="19"/>
      <c r="S3799" s="19"/>
      <c r="T3799" s="19"/>
      <c r="U3799" s="19"/>
      <c r="V3799" s="44"/>
      <c r="W3799" s="19"/>
      <c r="X3799" s="19"/>
      <c r="Y3799" s="19"/>
      <c r="Z3799" s="19"/>
      <c r="AA3799" s="19"/>
      <c r="AB3799" s="19"/>
      <c r="AC3799" s="19"/>
      <c r="AD3799" s="19"/>
      <c r="AE3799" s="19"/>
      <c r="AF3799" s="19"/>
      <c r="AG3799" s="19"/>
      <c r="AH3799" s="19"/>
      <c r="AI3799" s="19"/>
      <c r="AJ3799" s="19"/>
      <c r="AK3799" s="19"/>
      <c r="AL3799" s="6" t="str">
        <f t="array" ref="AL3799">IFERROR(IFS(XLOOKUP(B3799, 'Kit Delivery Status'!$U:$U, 'Kit Delivery Status'!$K:$K) = "Complete", "DELIVERED", XLOOKUP(B3799, 'Kit Delivery Status'!$U:$U, 'Kit Delivery Status'!$K:$K) = "Issue", "ISSUE"), "")</f>
        <v/>
      </c>
      <c r="AM3799" s="6"/>
    </row>
    <row r="3800">
      <c r="A3800" s="19"/>
      <c r="B3800" s="19"/>
      <c r="C3800" s="19"/>
      <c r="D3800" s="42"/>
      <c r="E3800" s="19"/>
      <c r="F3800" s="19"/>
      <c r="G3800" s="19"/>
      <c r="H3800" s="19"/>
      <c r="I3800" s="19"/>
      <c r="J3800" s="19"/>
      <c r="K3800" s="19"/>
      <c r="L3800" s="19"/>
      <c r="M3800" s="19"/>
      <c r="N3800" s="19"/>
      <c r="O3800" s="43"/>
      <c r="P3800" s="19"/>
      <c r="Q3800" s="19"/>
      <c r="R3800" s="19"/>
      <c r="S3800" s="19"/>
      <c r="T3800" s="19"/>
      <c r="U3800" s="19"/>
      <c r="V3800" s="44"/>
      <c r="W3800" s="19"/>
      <c r="X3800" s="19"/>
      <c r="Y3800" s="19"/>
      <c r="Z3800" s="19"/>
      <c r="AA3800" s="19"/>
      <c r="AB3800" s="19"/>
      <c r="AC3800" s="19"/>
      <c r="AD3800" s="19"/>
      <c r="AE3800" s="19"/>
      <c r="AF3800" s="19"/>
      <c r="AG3800" s="19"/>
      <c r="AH3800" s="19"/>
      <c r="AI3800" s="19"/>
      <c r="AJ3800" s="19"/>
      <c r="AK3800" s="19"/>
      <c r="AL3800" s="6" t="str">
        <f t="array" ref="AL3800">IFERROR(IFS(XLOOKUP(B3800, 'Kit Delivery Status'!$U:$U, 'Kit Delivery Status'!$K:$K) = "Complete", "DELIVERED", XLOOKUP(B3800, 'Kit Delivery Status'!$U:$U, 'Kit Delivery Status'!$K:$K) = "Issue", "ISSUE"), "")</f>
        <v/>
      </c>
      <c r="AM3800" s="6"/>
    </row>
    <row r="3801">
      <c r="A3801" s="19"/>
      <c r="B3801" s="19"/>
      <c r="C3801" s="19"/>
      <c r="D3801" s="42"/>
      <c r="E3801" s="19"/>
      <c r="F3801" s="19"/>
      <c r="G3801" s="19"/>
      <c r="H3801" s="19"/>
      <c r="I3801" s="19"/>
      <c r="J3801" s="19"/>
      <c r="K3801" s="19"/>
      <c r="L3801" s="19"/>
      <c r="M3801" s="19"/>
      <c r="N3801" s="19"/>
      <c r="O3801" s="43"/>
      <c r="P3801" s="19"/>
      <c r="Q3801" s="19"/>
      <c r="R3801" s="19"/>
      <c r="S3801" s="19"/>
      <c r="T3801" s="19"/>
      <c r="U3801" s="19"/>
      <c r="V3801" s="44"/>
      <c r="W3801" s="19"/>
      <c r="X3801" s="19"/>
      <c r="Y3801" s="19"/>
      <c r="Z3801" s="19"/>
      <c r="AA3801" s="19"/>
      <c r="AB3801" s="19"/>
      <c r="AC3801" s="19"/>
      <c r="AD3801" s="19"/>
      <c r="AE3801" s="19"/>
      <c r="AF3801" s="19"/>
      <c r="AG3801" s="19"/>
      <c r="AH3801" s="19"/>
      <c r="AI3801" s="19"/>
      <c r="AJ3801" s="19"/>
      <c r="AK3801" s="19"/>
      <c r="AL3801" s="6" t="str">
        <f t="array" ref="AL3801">IFERROR(IFS(XLOOKUP(B3801, 'Kit Delivery Status'!$U:$U, 'Kit Delivery Status'!$K:$K) = "Complete", "DELIVERED", XLOOKUP(B3801, 'Kit Delivery Status'!$U:$U, 'Kit Delivery Status'!$K:$K) = "Issue", "ISSUE"), "")</f>
        <v/>
      </c>
      <c r="AM3801" s="6"/>
    </row>
    <row r="3802">
      <c r="A3802" s="19"/>
      <c r="B3802" s="19"/>
      <c r="C3802" s="19"/>
      <c r="D3802" s="42"/>
      <c r="E3802" s="19"/>
      <c r="F3802" s="19"/>
      <c r="G3802" s="19"/>
      <c r="H3802" s="19"/>
      <c r="I3802" s="19"/>
      <c r="J3802" s="19"/>
      <c r="K3802" s="19"/>
      <c r="L3802" s="19"/>
      <c r="M3802" s="19"/>
      <c r="N3802" s="19"/>
      <c r="O3802" s="43"/>
      <c r="P3802" s="19"/>
      <c r="Q3802" s="19"/>
      <c r="R3802" s="19"/>
      <c r="S3802" s="19"/>
      <c r="T3802" s="19"/>
      <c r="U3802" s="19"/>
      <c r="V3802" s="44"/>
      <c r="W3802" s="19"/>
      <c r="X3802" s="19"/>
      <c r="Y3802" s="19"/>
      <c r="Z3802" s="19"/>
      <c r="AA3802" s="19"/>
      <c r="AB3802" s="19"/>
      <c r="AC3802" s="19"/>
      <c r="AD3802" s="19"/>
      <c r="AE3802" s="19"/>
      <c r="AF3802" s="19"/>
      <c r="AG3802" s="19"/>
      <c r="AH3802" s="19"/>
      <c r="AI3802" s="19"/>
      <c r="AJ3802" s="19"/>
      <c r="AK3802" s="19"/>
      <c r="AL3802" s="6" t="str">
        <f t="array" ref="AL3802">IFERROR(IFS(XLOOKUP(B3802, 'Kit Delivery Status'!$U:$U, 'Kit Delivery Status'!$K:$K) = "Complete", "DELIVERED", XLOOKUP(B3802, 'Kit Delivery Status'!$U:$U, 'Kit Delivery Status'!$K:$K) = "Issue", "ISSUE"), "")</f>
        <v/>
      </c>
      <c r="AM3802" s="6"/>
    </row>
    <row r="3803">
      <c r="A3803" s="19"/>
      <c r="B3803" s="19"/>
      <c r="C3803" s="19"/>
      <c r="D3803" s="42"/>
      <c r="E3803" s="19"/>
      <c r="F3803" s="19"/>
      <c r="G3803" s="19"/>
      <c r="H3803" s="19"/>
      <c r="I3803" s="19"/>
      <c r="J3803" s="19"/>
      <c r="K3803" s="19"/>
      <c r="L3803" s="19"/>
      <c r="M3803" s="19"/>
      <c r="N3803" s="19"/>
      <c r="O3803" s="43"/>
      <c r="P3803" s="19"/>
      <c r="Q3803" s="19"/>
      <c r="R3803" s="19"/>
      <c r="S3803" s="19"/>
      <c r="T3803" s="19"/>
      <c r="U3803" s="19"/>
      <c r="V3803" s="44"/>
      <c r="W3803" s="19"/>
      <c r="X3803" s="19"/>
      <c r="Y3803" s="19"/>
      <c r="Z3803" s="19"/>
      <c r="AA3803" s="19"/>
      <c r="AB3803" s="19"/>
      <c r="AC3803" s="19"/>
      <c r="AD3803" s="19"/>
      <c r="AE3803" s="19"/>
      <c r="AF3803" s="19"/>
      <c r="AG3803" s="19"/>
      <c r="AH3803" s="19"/>
      <c r="AI3803" s="19"/>
      <c r="AJ3803" s="19"/>
      <c r="AK3803" s="19"/>
      <c r="AL3803" s="6" t="str">
        <f t="array" ref="AL3803">IFERROR(IFS(XLOOKUP(B3803, 'Kit Delivery Status'!$U:$U, 'Kit Delivery Status'!$K:$K) = "Complete", "DELIVERED", XLOOKUP(B3803, 'Kit Delivery Status'!$U:$U, 'Kit Delivery Status'!$K:$K) = "Issue", "ISSUE"), "")</f>
        <v/>
      </c>
      <c r="AM3803" s="6"/>
    </row>
    <row r="3804">
      <c r="A3804" s="19"/>
      <c r="B3804" s="19"/>
      <c r="C3804" s="19"/>
      <c r="D3804" s="42"/>
      <c r="E3804" s="19"/>
      <c r="F3804" s="19"/>
      <c r="G3804" s="19"/>
      <c r="H3804" s="19"/>
      <c r="I3804" s="19"/>
      <c r="J3804" s="19"/>
      <c r="K3804" s="19"/>
      <c r="L3804" s="19"/>
      <c r="M3804" s="19"/>
      <c r="N3804" s="19"/>
      <c r="O3804" s="43"/>
      <c r="P3804" s="19"/>
      <c r="Q3804" s="19"/>
      <c r="R3804" s="19"/>
      <c r="S3804" s="19"/>
      <c r="T3804" s="19"/>
      <c r="U3804" s="19"/>
      <c r="V3804" s="44"/>
      <c r="W3804" s="19"/>
      <c r="X3804" s="19"/>
      <c r="Y3804" s="19"/>
      <c r="Z3804" s="19"/>
      <c r="AA3804" s="19"/>
      <c r="AB3804" s="19"/>
      <c r="AC3804" s="19"/>
      <c r="AD3804" s="19"/>
      <c r="AE3804" s="19"/>
      <c r="AF3804" s="19"/>
      <c r="AG3804" s="19"/>
      <c r="AH3804" s="19"/>
      <c r="AI3804" s="19"/>
      <c r="AJ3804" s="19"/>
      <c r="AK3804" s="19"/>
      <c r="AL3804" s="6" t="str">
        <f t="array" ref="AL3804">IFERROR(IFS(XLOOKUP(B3804, 'Kit Delivery Status'!$U:$U, 'Kit Delivery Status'!$K:$K) = "Complete", "DELIVERED", XLOOKUP(B3804, 'Kit Delivery Status'!$U:$U, 'Kit Delivery Status'!$K:$K) = "Issue", "ISSUE"), "")</f>
        <v/>
      </c>
      <c r="AM3804" s="6"/>
    </row>
    <row r="3805">
      <c r="A3805" s="19"/>
      <c r="B3805" s="19"/>
      <c r="C3805" s="19"/>
      <c r="D3805" s="42"/>
      <c r="E3805" s="19"/>
      <c r="F3805" s="19"/>
      <c r="G3805" s="19"/>
      <c r="H3805" s="19"/>
      <c r="I3805" s="19"/>
      <c r="J3805" s="19"/>
      <c r="K3805" s="19"/>
      <c r="L3805" s="19"/>
      <c r="M3805" s="19"/>
      <c r="N3805" s="19"/>
      <c r="O3805" s="43"/>
      <c r="P3805" s="19"/>
      <c r="Q3805" s="19"/>
      <c r="R3805" s="19"/>
      <c r="S3805" s="19"/>
      <c r="T3805" s="19"/>
      <c r="U3805" s="19"/>
      <c r="V3805" s="44"/>
      <c r="W3805" s="19"/>
      <c r="X3805" s="19"/>
      <c r="Y3805" s="19"/>
      <c r="Z3805" s="19"/>
      <c r="AA3805" s="19"/>
      <c r="AB3805" s="19"/>
      <c r="AC3805" s="19"/>
      <c r="AD3805" s="19"/>
      <c r="AE3805" s="19"/>
      <c r="AF3805" s="19"/>
      <c r="AG3805" s="19"/>
      <c r="AH3805" s="19"/>
      <c r="AI3805" s="19"/>
      <c r="AJ3805" s="19"/>
      <c r="AK3805" s="19"/>
      <c r="AL3805" s="6" t="str">
        <f t="array" ref="AL3805">IFERROR(IFS(XLOOKUP(B3805, 'Kit Delivery Status'!$U:$U, 'Kit Delivery Status'!$K:$K) = "Complete", "DELIVERED", XLOOKUP(B3805, 'Kit Delivery Status'!$U:$U, 'Kit Delivery Status'!$K:$K) = "Issue", "ISSUE"), "")</f>
        <v/>
      </c>
      <c r="AM3805" s="6"/>
    </row>
    <row r="3806">
      <c r="A3806" s="19"/>
      <c r="B3806" s="19"/>
      <c r="C3806" s="19"/>
      <c r="D3806" s="42"/>
      <c r="E3806" s="19"/>
      <c r="F3806" s="19"/>
      <c r="G3806" s="19"/>
      <c r="H3806" s="19"/>
      <c r="I3806" s="19"/>
      <c r="J3806" s="19"/>
      <c r="K3806" s="19"/>
      <c r="L3806" s="19"/>
      <c r="M3806" s="19"/>
      <c r="N3806" s="19"/>
      <c r="O3806" s="43"/>
      <c r="P3806" s="19"/>
      <c r="Q3806" s="19"/>
      <c r="R3806" s="19"/>
      <c r="S3806" s="19"/>
      <c r="T3806" s="19"/>
      <c r="U3806" s="19"/>
      <c r="V3806" s="44"/>
      <c r="W3806" s="19"/>
      <c r="X3806" s="19"/>
      <c r="Y3806" s="19"/>
      <c r="Z3806" s="19"/>
      <c r="AA3806" s="19"/>
      <c r="AB3806" s="19"/>
      <c r="AC3806" s="19"/>
      <c r="AD3806" s="19"/>
      <c r="AE3806" s="19"/>
      <c r="AF3806" s="19"/>
      <c r="AG3806" s="19"/>
      <c r="AH3806" s="19"/>
      <c r="AI3806" s="19"/>
      <c r="AJ3806" s="19"/>
      <c r="AK3806" s="19"/>
      <c r="AL3806" s="6" t="str">
        <f t="array" ref="AL3806">IFERROR(IFS(XLOOKUP(B3806, 'Kit Delivery Status'!$U:$U, 'Kit Delivery Status'!$K:$K) = "Complete", "DELIVERED", XLOOKUP(B3806, 'Kit Delivery Status'!$U:$U, 'Kit Delivery Status'!$K:$K) = "Issue", "ISSUE"), "")</f>
        <v/>
      </c>
      <c r="AM3806" s="6"/>
    </row>
    <row r="3807">
      <c r="A3807" s="19"/>
      <c r="B3807" s="19"/>
      <c r="C3807" s="19"/>
      <c r="D3807" s="42"/>
      <c r="E3807" s="19"/>
      <c r="F3807" s="19"/>
      <c r="G3807" s="19"/>
      <c r="H3807" s="19"/>
      <c r="I3807" s="19"/>
      <c r="J3807" s="19"/>
      <c r="K3807" s="19"/>
      <c r="L3807" s="19"/>
      <c r="M3807" s="19"/>
      <c r="N3807" s="19"/>
      <c r="O3807" s="43"/>
      <c r="P3807" s="19"/>
      <c r="Q3807" s="19"/>
      <c r="R3807" s="19"/>
      <c r="S3807" s="19"/>
      <c r="T3807" s="19"/>
      <c r="U3807" s="19"/>
      <c r="V3807" s="44"/>
      <c r="W3807" s="19"/>
      <c r="X3807" s="19"/>
      <c r="Y3807" s="19"/>
      <c r="Z3807" s="19"/>
      <c r="AA3807" s="19"/>
      <c r="AB3807" s="19"/>
      <c r="AC3807" s="19"/>
      <c r="AD3807" s="19"/>
      <c r="AE3807" s="19"/>
      <c r="AF3807" s="19"/>
      <c r="AG3807" s="19"/>
      <c r="AH3807" s="19"/>
      <c r="AI3807" s="19"/>
      <c r="AJ3807" s="19"/>
      <c r="AK3807" s="19"/>
      <c r="AL3807" s="6" t="str">
        <f t="array" ref="AL3807">IFERROR(IFS(XLOOKUP(B3807, 'Kit Delivery Status'!$U:$U, 'Kit Delivery Status'!$K:$K) = "Complete", "DELIVERED", XLOOKUP(B3807, 'Kit Delivery Status'!$U:$U, 'Kit Delivery Status'!$K:$K) = "Issue", "ISSUE"), "")</f>
        <v/>
      </c>
      <c r="AM3807" s="6"/>
    </row>
    <row r="3808">
      <c r="A3808" s="19"/>
      <c r="B3808" s="19"/>
      <c r="C3808" s="19"/>
      <c r="D3808" s="42"/>
      <c r="E3808" s="19"/>
      <c r="F3808" s="19"/>
      <c r="G3808" s="19"/>
      <c r="H3808" s="19"/>
      <c r="I3808" s="19"/>
      <c r="J3808" s="19"/>
      <c r="K3808" s="19"/>
      <c r="L3808" s="19"/>
      <c r="M3808" s="19"/>
      <c r="N3808" s="19"/>
      <c r="O3808" s="43"/>
      <c r="P3808" s="19"/>
      <c r="Q3808" s="19"/>
      <c r="R3808" s="19"/>
      <c r="S3808" s="19"/>
      <c r="T3808" s="19"/>
      <c r="U3808" s="19"/>
      <c r="V3808" s="44"/>
      <c r="W3808" s="19"/>
      <c r="X3808" s="19"/>
      <c r="Y3808" s="19"/>
      <c r="Z3808" s="19"/>
      <c r="AA3808" s="19"/>
      <c r="AB3808" s="19"/>
      <c r="AC3808" s="19"/>
      <c r="AD3808" s="19"/>
      <c r="AE3808" s="19"/>
      <c r="AF3808" s="19"/>
      <c r="AG3808" s="19"/>
      <c r="AH3808" s="19"/>
      <c r="AI3808" s="19"/>
      <c r="AJ3808" s="19"/>
      <c r="AK3808" s="19"/>
      <c r="AL3808" s="6" t="str">
        <f t="array" ref="AL3808">IFERROR(IFS(XLOOKUP(B3808, 'Kit Delivery Status'!$U:$U, 'Kit Delivery Status'!$K:$K) = "Complete", "DELIVERED", XLOOKUP(B3808, 'Kit Delivery Status'!$U:$U, 'Kit Delivery Status'!$K:$K) = "Issue", "ISSUE"), "")</f>
        <v/>
      </c>
      <c r="AM3808" s="6"/>
    </row>
    <row r="3809">
      <c r="A3809" s="19"/>
      <c r="B3809" s="19"/>
      <c r="C3809" s="19"/>
      <c r="D3809" s="42"/>
      <c r="E3809" s="19"/>
      <c r="F3809" s="19"/>
      <c r="G3809" s="19"/>
      <c r="H3809" s="19"/>
      <c r="I3809" s="19"/>
      <c r="J3809" s="19"/>
      <c r="K3809" s="19"/>
      <c r="L3809" s="19"/>
      <c r="M3809" s="19"/>
      <c r="N3809" s="19"/>
      <c r="O3809" s="43"/>
      <c r="P3809" s="19"/>
      <c r="Q3809" s="19"/>
      <c r="R3809" s="19"/>
      <c r="S3809" s="19"/>
      <c r="T3809" s="19"/>
      <c r="U3809" s="19"/>
      <c r="V3809" s="44"/>
      <c r="W3809" s="19"/>
      <c r="X3809" s="19"/>
      <c r="Y3809" s="19"/>
      <c r="Z3809" s="19"/>
      <c r="AA3809" s="19"/>
      <c r="AB3809" s="19"/>
      <c r="AC3809" s="19"/>
      <c r="AD3809" s="19"/>
      <c r="AE3809" s="19"/>
      <c r="AF3809" s="19"/>
      <c r="AG3809" s="19"/>
      <c r="AH3809" s="19"/>
      <c r="AI3809" s="19"/>
      <c r="AJ3809" s="19"/>
      <c r="AK3809" s="19"/>
      <c r="AL3809" s="6" t="str">
        <f t="array" ref="AL3809">IFERROR(IFS(XLOOKUP(B3809, 'Kit Delivery Status'!$U:$U, 'Kit Delivery Status'!$K:$K) = "Complete", "DELIVERED", XLOOKUP(B3809, 'Kit Delivery Status'!$U:$U, 'Kit Delivery Status'!$K:$K) = "Issue", "ISSUE"), "")</f>
        <v/>
      </c>
      <c r="AM3809" s="6"/>
    </row>
    <row r="3810">
      <c r="A3810" s="19"/>
      <c r="B3810" s="19"/>
      <c r="C3810" s="19"/>
      <c r="D3810" s="42"/>
      <c r="E3810" s="19"/>
      <c r="F3810" s="19"/>
      <c r="G3810" s="19"/>
      <c r="H3810" s="19"/>
      <c r="I3810" s="19"/>
      <c r="J3810" s="19"/>
      <c r="K3810" s="19"/>
      <c r="L3810" s="19"/>
      <c r="M3810" s="19"/>
      <c r="N3810" s="19"/>
      <c r="O3810" s="43"/>
      <c r="P3810" s="19"/>
      <c r="Q3810" s="19"/>
      <c r="R3810" s="19"/>
      <c r="S3810" s="19"/>
      <c r="T3810" s="19"/>
      <c r="U3810" s="19"/>
      <c r="V3810" s="44"/>
      <c r="W3810" s="19"/>
      <c r="X3810" s="19"/>
      <c r="Y3810" s="19"/>
      <c r="Z3810" s="19"/>
      <c r="AA3810" s="19"/>
      <c r="AB3810" s="19"/>
      <c r="AC3810" s="19"/>
      <c r="AD3810" s="19"/>
      <c r="AE3810" s="19"/>
      <c r="AF3810" s="19"/>
      <c r="AG3810" s="19"/>
      <c r="AH3810" s="19"/>
      <c r="AI3810" s="19"/>
      <c r="AJ3810" s="19"/>
      <c r="AK3810" s="19"/>
      <c r="AL3810" s="6" t="str">
        <f t="array" ref="AL3810">IFERROR(IFS(XLOOKUP(B3810, 'Kit Delivery Status'!$U:$U, 'Kit Delivery Status'!$K:$K) = "Complete", "DELIVERED", XLOOKUP(B3810, 'Kit Delivery Status'!$U:$U, 'Kit Delivery Status'!$K:$K) = "Issue", "ISSUE"), "")</f>
        <v/>
      </c>
      <c r="AM3810" s="6"/>
    </row>
    <row r="3811">
      <c r="A3811" s="19"/>
      <c r="B3811" s="19"/>
      <c r="C3811" s="19"/>
      <c r="D3811" s="42"/>
      <c r="E3811" s="19"/>
      <c r="F3811" s="19"/>
      <c r="G3811" s="19"/>
      <c r="H3811" s="19"/>
      <c r="I3811" s="19"/>
      <c r="J3811" s="19"/>
      <c r="K3811" s="19"/>
      <c r="L3811" s="19"/>
      <c r="M3811" s="19"/>
      <c r="N3811" s="19"/>
      <c r="O3811" s="43"/>
      <c r="P3811" s="19"/>
      <c r="Q3811" s="19"/>
      <c r="R3811" s="19"/>
      <c r="S3811" s="19"/>
      <c r="T3811" s="19"/>
      <c r="U3811" s="19"/>
      <c r="V3811" s="44"/>
      <c r="W3811" s="19"/>
      <c r="X3811" s="19"/>
      <c r="Y3811" s="19"/>
      <c r="Z3811" s="19"/>
      <c r="AA3811" s="19"/>
      <c r="AB3811" s="19"/>
      <c r="AC3811" s="19"/>
      <c r="AD3811" s="19"/>
      <c r="AE3811" s="19"/>
      <c r="AF3811" s="19"/>
      <c r="AG3811" s="19"/>
      <c r="AH3811" s="19"/>
      <c r="AI3811" s="19"/>
      <c r="AJ3811" s="19"/>
      <c r="AK3811" s="19"/>
      <c r="AL3811" s="6" t="str">
        <f t="array" ref="AL3811">IFERROR(IFS(XLOOKUP(B3811, 'Kit Delivery Status'!$U:$U, 'Kit Delivery Status'!$K:$K) = "Complete", "DELIVERED", XLOOKUP(B3811, 'Kit Delivery Status'!$U:$U, 'Kit Delivery Status'!$K:$K) = "Issue", "ISSUE"), "")</f>
        <v/>
      </c>
      <c r="AM3811" s="6"/>
    </row>
    <row r="3812">
      <c r="A3812" s="19"/>
      <c r="B3812" s="19"/>
      <c r="C3812" s="19"/>
      <c r="D3812" s="42"/>
      <c r="E3812" s="19"/>
      <c r="F3812" s="19"/>
      <c r="G3812" s="19"/>
      <c r="H3812" s="19"/>
      <c r="I3812" s="19"/>
      <c r="J3812" s="19"/>
      <c r="K3812" s="19"/>
      <c r="L3812" s="19"/>
      <c r="M3812" s="19"/>
      <c r="N3812" s="19"/>
      <c r="O3812" s="43"/>
      <c r="P3812" s="19"/>
      <c r="Q3812" s="19"/>
      <c r="R3812" s="19"/>
      <c r="S3812" s="19"/>
      <c r="T3812" s="19"/>
      <c r="U3812" s="19"/>
      <c r="V3812" s="44"/>
      <c r="W3812" s="19"/>
      <c r="X3812" s="19"/>
      <c r="Y3812" s="19"/>
      <c r="Z3812" s="19"/>
      <c r="AA3812" s="19"/>
      <c r="AB3812" s="19"/>
      <c r="AC3812" s="19"/>
      <c r="AD3812" s="19"/>
      <c r="AE3812" s="19"/>
      <c r="AF3812" s="19"/>
      <c r="AG3812" s="19"/>
      <c r="AH3812" s="19"/>
      <c r="AI3812" s="19"/>
      <c r="AJ3812" s="19"/>
      <c r="AK3812" s="19"/>
      <c r="AL3812" s="6" t="str">
        <f t="array" ref="AL3812">IFERROR(IFS(XLOOKUP(B3812, 'Kit Delivery Status'!$U:$U, 'Kit Delivery Status'!$K:$K) = "Complete", "DELIVERED", XLOOKUP(B3812, 'Kit Delivery Status'!$U:$U, 'Kit Delivery Status'!$K:$K) = "Issue", "ISSUE"), "")</f>
        <v/>
      </c>
      <c r="AM3812" s="6"/>
    </row>
    <row r="3813">
      <c r="A3813" s="19"/>
      <c r="B3813" s="19"/>
      <c r="C3813" s="19"/>
      <c r="D3813" s="42"/>
      <c r="E3813" s="19"/>
      <c r="F3813" s="19"/>
      <c r="G3813" s="19"/>
      <c r="H3813" s="19"/>
      <c r="I3813" s="19"/>
      <c r="J3813" s="19"/>
      <c r="K3813" s="19"/>
      <c r="L3813" s="19"/>
      <c r="M3813" s="19"/>
      <c r="N3813" s="19"/>
      <c r="O3813" s="43"/>
      <c r="P3813" s="19"/>
      <c r="Q3813" s="19"/>
      <c r="R3813" s="19"/>
      <c r="S3813" s="19"/>
      <c r="T3813" s="19"/>
      <c r="U3813" s="19"/>
      <c r="V3813" s="44"/>
      <c r="W3813" s="19"/>
      <c r="X3813" s="19"/>
      <c r="Y3813" s="19"/>
      <c r="Z3813" s="19"/>
      <c r="AA3813" s="19"/>
      <c r="AB3813" s="19"/>
      <c r="AC3813" s="19"/>
      <c r="AD3813" s="19"/>
      <c r="AE3813" s="19"/>
      <c r="AF3813" s="19"/>
      <c r="AG3813" s="19"/>
      <c r="AH3813" s="19"/>
      <c r="AI3813" s="19"/>
      <c r="AJ3813" s="19"/>
      <c r="AK3813" s="19"/>
      <c r="AL3813" s="6" t="str">
        <f t="array" ref="AL3813">IFERROR(IFS(XLOOKUP(B3813, 'Kit Delivery Status'!$U:$U, 'Kit Delivery Status'!$K:$K) = "Complete", "DELIVERED", XLOOKUP(B3813, 'Kit Delivery Status'!$U:$U, 'Kit Delivery Status'!$K:$K) = "Issue", "ISSUE"), "")</f>
        <v/>
      </c>
      <c r="AM3813" s="6"/>
    </row>
    <row r="3814">
      <c r="A3814" s="19"/>
      <c r="B3814" s="19"/>
      <c r="C3814" s="19"/>
      <c r="D3814" s="42"/>
      <c r="E3814" s="19"/>
      <c r="F3814" s="19"/>
      <c r="G3814" s="19"/>
      <c r="H3814" s="19"/>
      <c r="I3814" s="19"/>
      <c r="J3814" s="19"/>
      <c r="K3814" s="19"/>
      <c r="L3814" s="19"/>
      <c r="M3814" s="19"/>
      <c r="N3814" s="19"/>
      <c r="O3814" s="43"/>
      <c r="P3814" s="19"/>
      <c r="Q3814" s="19"/>
      <c r="R3814" s="19"/>
      <c r="S3814" s="19"/>
      <c r="T3814" s="19"/>
      <c r="U3814" s="19"/>
      <c r="V3814" s="44"/>
      <c r="W3814" s="19"/>
      <c r="X3814" s="19"/>
      <c r="Y3814" s="19"/>
      <c r="Z3814" s="19"/>
      <c r="AA3814" s="19"/>
      <c r="AB3814" s="19"/>
      <c r="AC3814" s="19"/>
      <c r="AD3814" s="19"/>
      <c r="AE3814" s="19"/>
      <c r="AF3814" s="19"/>
      <c r="AG3814" s="19"/>
      <c r="AH3814" s="19"/>
      <c r="AI3814" s="19"/>
      <c r="AJ3814" s="19"/>
      <c r="AK3814" s="19"/>
      <c r="AL3814" s="6" t="str">
        <f t="array" ref="AL3814">IFERROR(IFS(XLOOKUP(B3814, 'Kit Delivery Status'!$U:$U, 'Kit Delivery Status'!$K:$K) = "Complete", "DELIVERED", XLOOKUP(B3814, 'Kit Delivery Status'!$U:$U, 'Kit Delivery Status'!$K:$K) = "Issue", "ISSUE"), "")</f>
        <v/>
      </c>
      <c r="AM3814" s="6"/>
    </row>
    <row r="3815">
      <c r="A3815" s="19"/>
      <c r="B3815" s="19"/>
      <c r="C3815" s="19"/>
      <c r="D3815" s="42"/>
      <c r="E3815" s="19"/>
      <c r="F3815" s="19"/>
      <c r="G3815" s="19"/>
      <c r="H3815" s="19"/>
      <c r="I3815" s="19"/>
      <c r="J3815" s="19"/>
      <c r="K3815" s="19"/>
      <c r="L3815" s="19"/>
      <c r="M3815" s="19"/>
      <c r="N3815" s="19"/>
      <c r="O3815" s="43"/>
      <c r="P3815" s="19"/>
      <c r="Q3815" s="19"/>
      <c r="R3815" s="19"/>
      <c r="S3815" s="19"/>
      <c r="T3815" s="19"/>
      <c r="U3815" s="19"/>
      <c r="V3815" s="44"/>
      <c r="W3815" s="19"/>
      <c r="X3815" s="19"/>
      <c r="Y3815" s="19"/>
      <c r="Z3815" s="19"/>
      <c r="AA3815" s="19"/>
      <c r="AB3815" s="19"/>
      <c r="AC3815" s="19"/>
      <c r="AD3815" s="19"/>
      <c r="AE3815" s="19"/>
      <c r="AF3815" s="19"/>
      <c r="AG3815" s="19"/>
      <c r="AH3815" s="19"/>
      <c r="AI3815" s="19"/>
      <c r="AJ3815" s="19"/>
      <c r="AK3815" s="19"/>
      <c r="AL3815" s="6" t="str">
        <f t="array" ref="AL3815">IFERROR(IFS(XLOOKUP(B3815, 'Kit Delivery Status'!$U:$U, 'Kit Delivery Status'!$K:$K) = "Complete", "DELIVERED", XLOOKUP(B3815, 'Kit Delivery Status'!$U:$U, 'Kit Delivery Status'!$K:$K) = "Issue", "ISSUE"), "")</f>
        <v/>
      </c>
      <c r="AM3815" s="6"/>
    </row>
    <row r="3816">
      <c r="A3816" s="19"/>
      <c r="B3816" s="19"/>
      <c r="C3816" s="19"/>
      <c r="D3816" s="42"/>
      <c r="E3816" s="19"/>
      <c r="F3816" s="19"/>
      <c r="G3816" s="19"/>
      <c r="H3816" s="19"/>
      <c r="I3816" s="19"/>
      <c r="J3816" s="19"/>
      <c r="K3816" s="19"/>
      <c r="L3816" s="19"/>
      <c r="M3816" s="19"/>
      <c r="N3816" s="19"/>
      <c r="O3816" s="43"/>
      <c r="P3816" s="19"/>
      <c r="Q3816" s="19"/>
      <c r="R3816" s="19"/>
      <c r="S3816" s="19"/>
      <c r="T3816" s="19"/>
      <c r="U3816" s="19"/>
      <c r="V3816" s="44"/>
      <c r="W3816" s="19"/>
      <c r="X3816" s="19"/>
      <c r="Y3816" s="19"/>
      <c r="Z3816" s="19"/>
      <c r="AA3816" s="19"/>
      <c r="AB3816" s="19"/>
      <c r="AC3816" s="19"/>
      <c r="AD3816" s="19"/>
      <c r="AE3816" s="19"/>
      <c r="AF3816" s="19"/>
      <c r="AG3816" s="19"/>
      <c r="AH3816" s="19"/>
      <c r="AI3816" s="19"/>
      <c r="AJ3816" s="19"/>
      <c r="AK3816" s="19"/>
      <c r="AL3816" s="6" t="str">
        <f t="array" ref="AL3816">IFERROR(IFS(XLOOKUP(B3816, 'Kit Delivery Status'!$U:$U, 'Kit Delivery Status'!$K:$K) = "Complete", "DELIVERED", XLOOKUP(B3816, 'Kit Delivery Status'!$U:$U, 'Kit Delivery Status'!$K:$K) = "Issue", "ISSUE"), "")</f>
        <v/>
      </c>
      <c r="AM3816" s="6"/>
    </row>
    <row r="3817">
      <c r="A3817" s="19"/>
      <c r="B3817" s="19"/>
      <c r="C3817" s="19"/>
      <c r="D3817" s="42"/>
      <c r="E3817" s="19"/>
      <c r="F3817" s="19"/>
      <c r="G3817" s="19"/>
      <c r="H3817" s="19"/>
      <c r="I3817" s="19"/>
      <c r="J3817" s="19"/>
      <c r="K3817" s="19"/>
      <c r="L3817" s="19"/>
      <c r="M3817" s="19"/>
      <c r="N3817" s="19"/>
      <c r="O3817" s="43"/>
      <c r="P3817" s="19"/>
      <c r="Q3817" s="19"/>
      <c r="R3817" s="19"/>
      <c r="S3817" s="19"/>
      <c r="T3817" s="19"/>
      <c r="U3817" s="19"/>
      <c r="V3817" s="44"/>
      <c r="W3817" s="19"/>
      <c r="X3817" s="19"/>
      <c r="Y3817" s="19"/>
      <c r="Z3817" s="19"/>
      <c r="AA3817" s="19"/>
      <c r="AB3817" s="19"/>
      <c r="AC3817" s="19"/>
      <c r="AD3817" s="19"/>
      <c r="AE3817" s="19"/>
      <c r="AF3817" s="19"/>
      <c r="AG3817" s="19"/>
      <c r="AH3817" s="19"/>
      <c r="AI3817" s="19"/>
      <c r="AJ3817" s="19"/>
      <c r="AK3817" s="19"/>
      <c r="AL3817" s="6" t="str">
        <f t="array" ref="AL3817">IFERROR(IFS(XLOOKUP(B3817, 'Kit Delivery Status'!$U:$U, 'Kit Delivery Status'!$K:$K) = "Complete", "DELIVERED", XLOOKUP(B3817, 'Kit Delivery Status'!$U:$U, 'Kit Delivery Status'!$K:$K) = "Issue", "ISSUE"), "")</f>
        <v/>
      </c>
      <c r="AM3817" s="6"/>
    </row>
    <row r="3818">
      <c r="A3818" s="19"/>
      <c r="B3818" s="19"/>
      <c r="C3818" s="19"/>
      <c r="D3818" s="42"/>
      <c r="E3818" s="19"/>
      <c r="F3818" s="19"/>
      <c r="G3818" s="19"/>
      <c r="H3818" s="19"/>
      <c r="I3818" s="19"/>
      <c r="J3818" s="19"/>
      <c r="K3818" s="19"/>
      <c r="L3818" s="19"/>
      <c r="M3818" s="19"/>
      <c r="N3818" s="19"/>
      <c r="O3818" s="43"/>
      <c r="P3818" s="19"/>
      <c r="Q3818" s="19"/>
      <c r="R3818" s="19"/>
      <c r="S3818" s="19"/>
      <c r="T3818" s="19"/>
      <c r="U3818" s="19"/>
      <c r="V3818" s="44"/>
      <c r="W3818" s="19"/>
      <c r="X3818" s="19"/>
      <c r="Y3818" s="19"/>
      <c r="Z3818" s="19"/>
      <c r="AA3818" s="19"/>
      <c r="AB3818" s="19"/>
      <c r="AC3818" s="19"/>
      <c r="AD3818" s="19"/>
      <c r="AE3818" s="19"/>
      <c r="AF3818" s="19"/>
      <c r="AG3818" s="19"/>
      <c r="AH3818" s="19"/>
      <c r="AI3818" s="19"/>
      <c r="AJ3818" s="19"/>
      <c r="AK3818" s="19"/>
      <c r="AL3818" s="6" t="str">
        <f t="array" ref="AL3818">IFERROR(IFS(XLOOKUP(B3818, 'Kit Delivery Status'!$U:$U, 'Kit Delivery Status'!$K:$K) = "Complete", "DELIVERED", XLOOKUP(B3818, 'Kit Delivery Status'!$U:$U, 'Kit Delivery Status'!$K:$K) = "Issue", "ISSUE"), "")</f>
        <v/>
      </c>
      <c r="AM3818" s="6"/>
    </row>
    <row r="3819">
      <c r="A3819" s="19"/>
      <c r="B3819" s="19"/>
      <c r="C3819" s="19"/>
      <c r="D3819" s="42"/>
      <c r="E3819" s="19"/>
      <c r="F3819" s="19"/>
      <c r="G3819" s="19"/>
      <c r="H3819" s="19"/>
      <c r="I3819" s="19"/>
      <c r="J3819" s="19"/>
      <c r="K3819" s="19"/>
      <c r="L3819" s="19"/>
      <c r="M3819" s="19"/>
      <c r="N3819" s="19"/>
      <c r="O3819" s="43"/>
      <c r="P3819" s="19"/>
      <c r="Q3819" s="19"/>
      <c r="R3819" s="19"/>
      <c r="S3819" s="19"/>
      <c r="T3819" s="19"/>
      <c r="U3819" s="19"/>
      <c r="V3819" s="44"/>
      <c r="W3819" s="19"/>
      <c r="X3819" s="19"/>
      <c r="Y3819" s="19"/>
      <c r="Z3819" s="19"/>
      <c r="AA3819" s="19"/>
      <c r="AB3819" s="19"/>
      <c r="AC3819" s="19"/>
      <c r="AD3819" s="19"/>
      <c r="AE3819" s="19"/>
      <c r="AF3819" s="19"/>
      <c r="AG3819" s="19"/>
      <c r="AH3819" s="19"/>
      <c r="AI3819" s="19"/>
      <c r="AJ3819" s="19"/>
      <c r="AK3819" s="19"/>
      <c r="AL3819" s="6" t="str">
        <f t="array" ref="AL3819">IFERROR(IFS(XLOOKUP(B3819, 'Kit Delivery Status'!$U:$U, 'Kit Delivery Status'!$K:$K) = "Complete", "DELIVERED", XLOOKUP(B3819, 'Kit Delivery Status'!$U:$U, 'Kit Delivery Status'!$K:$K) = "Issue", "ISSUE"), "")</f>
        <v/>
      </c>
      <c r="AM3819" s="6"/>
    </row>
    <row r="3820">
      <c r="A3820" s="19"/>
      <c r="B3820" s="19"/>
      <c r="C3820" s="19"/>
      <c r="D3820" s="42"/>
      <c r="E3820" s="19"/>
      <c r="F3820" s="19"/>
      <c r="G3820" s="19"/>
      <c r="H3820" s="19"/>
      <c r="I3820" s="19"/>
      <c r="J3820" s="19"/>
      <c r="K3820" s="19"/>
      <c r="L3820" s="19"/>
      <c r="M3820" s="19"/>
      <c r="N3820" s="19"/>
      <c r="O3820" s="43"/>
      <c r="P3820" s="19"/>
      <c r="Q3820" s="19"/>
      <c r="R3820" s="19"/>
      <c r="S3820" s="19"/>
      <c r="T3820" s="19"/>
      <c r="U3820" s="19"/>
      <c r="V3820" s="44"/>
      <c r="W3820" s="19"/>
      <c r="X3820" s="19"/>
      <c r="Y3820" s="19"/>
      <c r="Z3820" s="19"/>
      <c r="AA3820" s="19"/>
      <c r="AB3820" s="19"/>
      <c r="AC3820" s="19"/>
      <c r="AD3820" s="19"/>
      <c r="AE3820" s="19"/>
      <c r="AF3820" s="19"/>
      <c r="AG3820" s="19"/>
      <c r="AH3820" s="19"/>
      <c r="AI3820" s="19"/>
      <c r="AJ3820" s="19"/>
      <c r="AK3820" s="19"/>
      <c r="AL3820" s="6" t="str">
        <f t="array" ref="AL3820">IFERROR(IFS(XLOOKUP(B3820, 'Kit Delivery Status'!$U:$U, 'Kit Delivery Status'!$K:$K) = "Complete", "DELIVERED", XLOOKUP(B3820, 'Kit Delivery Status'!$U:$U, 'Kit Delivery Status'!$K:$K) = "Issue", "ISSUE"), "")</f>
        <v/>
      </c>
      <c r="AM3820" s="6"/>
    </row>
    <row r="3821">
      <c r="A3821" s="19"/>
      <c r="B3821" s="19"/>
      <c r="C3821" s="19"/>
      <c r="D3821" s="42"/>
      <c r="E3821" s="19"/>
      <c r="F3821" s="19"/>
      <c r="G3821" s="19"/>
      <c r="H3821" s="19"/>
      <c r="I3821" s="19"/>
      <c r="J3821" s="19"/>
      <c r="K3821" s="19"/>
      <c r="L3821" s="19"/>
      <c r="M3821" s="19"/>
      <c r="N3821" s="19"/>
      <c r="O3821" s="43"/>
      <c r="P3821" s="19"/>
      <c r="Q3821" s="19"/>
      <c r="R3821" s="19"/>
      <c r="S3821" s="19"/>
      <c r="T3821" s="19"/>
      <c r="U3821" s="19"/>
      <c r="V3821" s="44"/>
      <c r="W3821" s="19"/>
      <c r="X3821" s="19"/>
      <c r="Y3821" s="19"/>
      <c r="Z3821" s="19"/>
      <c r="AA3821" s="19"/>
      <c r="AB3821" s="19"/>
      <c r="AC3821" s="19"/>
      <c r="AD3821" s="19"/>
      <c r="AE3821" s="19"/>
      <c r="AF3821" s="19"/>
      <c r="AG3821" s="19"/>
      <c r="AH3821" s="19"/>
      <c r="AI3821" s="19"/>
      <c r="AJ3821" s="19"/>
      <c r="AK3821" s="19"/>
      <c r="AL3821" s="6" t="str">
        <f t="array" ref="AL3821">IFERROR(IFS(XLOOKUP(B3821, 'Kit Delivery Status'!$U:$U, 'Kit Delivery Status'!$K:$K) = "Complete", "DELIVERED", XLOOKUP(B3821, 'Kit Delivery Status'!$U:$U, 'Kit Delivery Status'!$K:$K) = "Issue", "ISSUE"), "")</f>
        <v/>
      </c>
      <c r="AM3821" s="6"/>
    </row>
    <row r="3822">
      <c r="A3822" s="19"/>
      <c r="B3822" s="19"/>
      <c r="C3822" s="19"/>
      <c r="D3822" s="42"/>
      <c r="E3822" s="19"/>
      <c r="F3822" s="19"/>
      <c r="G3822" s="19"/>
      <c r="H3822" s="19"/>
      <c r="I3822" s="19"/>
      <c r="J3822" s="19"/>
      <c r="K3822" s="19"/>
      <c r="L3822" s="19"/>
      <c r="M3822" s="19"/>
      <c r="N3822" s="19"/>
      <c r="O3822" s="43"/>
      <c r="P3822" s="19"/>
      <c r="Q3822" s="19"/>
      <c r="R3822" s="19"/>
      <c r="S3822" s="19"/>
      <c r="T3822" s="19"/>
      <c r="U3822" s="19"/>
      <c r="V3822" s="44"/>
      <c r="W3822" s="19"/>
      <c r="X3822" s="19"/>
      <c r="Y3822" s="19"/>
      <c r="Z3822" s="19"/>
      <c r="AA3822" s="19"/>
      <c r="AB3822" s="19"/>
      <c r="AC3822" s="19"/>
      <c r="AD3822" s="19"/>
      <c r="AE3822" s="19"/>
      <c r="AF3822" s="19"/>
      <c r="AG3822" s="19"/>
      <c r="AH3822" s="19"/>
      <c r="AI3822" s="19"/>
      <c r="AJ3822" s="19"/>
      <c r="AK3822" s="19"/>
      <c r="AL3822" s="6" t="str">
        <f t="array" ref="AL3822">IFERROR(IFS(XLOOKUP(B3822, 'Kit Delivery Status'!$U:$U, 'Kit Delivery Status'!$K:$K) = "Complete", "DELIVERED", XLOOKUP(B3822, 'Kit Delivery Status'!$U:$U, 'Kit Delivery Status'!$K:$K) = "Issue", "ISSUE"), "")</f>
        <v/>
      </c>
      <c r="AM3822" s="6"/>
    </row>
    <row r="3823">
      <c r="A3823" s="19"/>
      <c r="B3823" s="19"/>
      <c r="C3823" s="19"/>
      <c r="D3823" s="42"/>
      <c r="E3823" s="19"/>
      <c r="F3823" s="19"/>
      <c r="G3823" s="19"/>
      <c r="H3823" s="19"/>
      <c r="I3823" s="19"/>
      <c r="J3823" s="19"/>
      <c r="K3823" s="19"/>
      <c r="L3823" s="19"/>
      <c r="M3823" s="19"/>
      <c r="N3823" s="19"/>
      <c r="O3823" s="43"/>
      <c r="P3823" s="19"/>
      <c r="Q3823" s="19"/>
      <c r="R3823" s="19"/>
      <c r="S3823" s="19"/>
      <c r="T3823" s="19"/>
      <c r="U3823" s="19"/>
      <c r="V3823" s="44"/>
      <c r="W3823" s="19"/>
      <c r="X3823" s="19"/>
      <c r="Y3823" s="19"/>
      <c r="Z3823" s="19"/>
      <c r="AA3823" s="19"/>
      <c r="AB3823" s="19"/>
      <c r="AC3823" s="19"/>
      <c r="AD3823" s="19"/>
      <c r="AE3823" s="19"/>
      <c r="AF3823" s="19"/>
      <c r="AG3823" s="19"/>
      <c r="AH3823" s="19"/>
      <c r="AI3823" s="19"/>
      <c r="AJ3823" s="19"/>
      <c r="AK3823" s="19"/>
      <c r="AL3823" s="6" t="str">
        <f t="array" ref="AL3823">IFERROR(IFS(XLOOKUP(B3823, 'Kit Delivery Status'!$U:$U, 'Kit Delivery Status'!$K:$K) = "Complete", "DELIVERED", XLOOKUP(B3823, 'Kit Delivery Status'!$U:$U, 'Kit Delivery Status'!$K:$K) = "Issue", "ISSUE"), "")</f>
        <v/>
      </c>
      <c r="AM3823" s="6"/>
    </row>
    <row r="3824">
      <c r="A3824" s="19"/>
      <c r="B3824" s="19"/>
      <c r="C3824" s="19"/>
      <c r="D3824" s="42"/>
      <c r="E3824" s="19"/>
      <c r="F3824" s="19"/>
      <c r="G3824" s="19"/>
      <c r="H3824" s="19"/>
      <c r="I3824" s="19"/>
      <c r="J3824" s="19"/>
      <c r="K3824" s="19"/>
      <c r="L3824" s="19"/>
      <c r="M3824" s="19"/>
      <c r="N3824" s="19"/>
      <c r="O3824" s="43"/>
      <c r="P3824" s="19"/>
      <c r="Q3824" s="19"/>
      <c r="R3824" s="19"/>
      <c r="S3824" s="19"/>
      <c r="T3824" s="19"/>
      <c r="U3824" s="19"/>
      <c r="V3824" s="44"/>
      <c r="W3824" s="19"/>
      <c r="X3824" s="19"/>
      <c r="Y3824" s="19"/>
      <c r="Z3824" s="19"/>
      <c r="AA3824" s="19"/>
      <c r="AB3824" s="19"/>
      <c r="AC3824" s="19"/>
      <c r="AD3824" s="19"/>
      <c r="AE3824" s="19"/>
      <c r="AF3824" s="19"/>
      <c r="AG3824" s="19"/>
      <c r="AH3824" s="19"/>
      <c r="AI3824" s="19"/>
      <c r="AJ3824" s="19"/>
      <c r="AK3824" s="19"/>
      <c r="AL3824" s="6" t="str">
        <f t="array" ref="AL3824">IFERROR(IFS(XLOOKUP(B3824, 'Kit Delivery Status'!$U:$U, 'Kit Delivery Status'!$K:$K) = "Complete", "DELIVERED", XLOOKUP(B3824, 'Kit Delivery Status'!$U:$U, 'Kit Delivery Status'!$K:$K) = "Issue", "ISSUE"), "")</f>
        <v/>
      </c>
      <c r="AM3824" s="6"/>
    </row>
    <row r="3825">
      <c r="A3825" s="19"/>
      <c r="B3825" s="19"/>
      <c r="C3825" s="19"/>
      <c r="D3825" s="42"/>
      <c r="E3825" s="19"/>
      <c r="F3825" s="19"/>
      <c r="G3825" s="19"/>
      <c r="H3825" s="19"/>
      <c r="I3825" s="19"/>
      <c r="J3825" s="19"/>
      <c r="K3825" s="19"/>
      <c r="L3825" s="19"/>
      <c r="M3825" s="19"/>
      <c r="N3825" s="19"/>
      <c r="O3825" s="43"/>
      <c r="P3825" s="19"/>
      <c r="Q3825" s="19"/>
      <c r="R3825" s="19"/>
      <c r="S3825" s="19"/>
      <c r="T3825" s="19"/>
      <c r="U3825" s="19"/>
      <c r="V3825" s="44"/>
      <c r="W3825" s="19"/>
      <c r="X3825" s="19"/>
      <c r="Y3825" s="19"/>
      <c r="Z3825" s="19"/>
      <c r="AA3825" s="19"/>
      <c r="AB3825" s="19"/>
      <c r="AC3825" s="19"/>
      <c r="AD3825" s="19"/>
      <c r="AE3825" s="19"/>
      <c r="AF3825" s="19"/>
      <c r="AG3825" s="19"/>
      <c r="AH3825" s="19"/>
      <c r="AI3825" s="19"/>
      <c r="AJ3825" s="19"/>
      <c r="AK3825" s="19"/>
      <c r="AL3825" s="6" t="str">
        <f t="array" ref="AL3825">IFERROR(IFS(XLOOKUP(B3825, 'Kit Delivery Status'!$U:$U, 'Kit Delivery Status'!$K:$K) = "Complete", "DELIVERED", XLOOKUP(B3825, 'Kit Delivery Status'!$U:$U, 'Kit Delivery Status'!$K:$K) = "Issue", "ISSUE"), "")</f>
        <v/>
      </c>
      <c r="AM3825" s="6"/>
    </row>
    <row r="3826">
      <c r="A3826" s="19"/>
      <c r="B3826" s="19"/>
      <c r="C3826" s="19"/>
      <c r="D3826" s="42"/>
      <c r="E3826" s="19"/>
      <c r="F3826" s="19"/>
      <c r="G3826" s="19"/>
      <c r="H3826" s="19"/>
      <c r="I3826" s="19"/>
      <c r="J3826" s="19"/>
      <c r="K3826" s="19"/>
      <c r="L3826" s="19"/>
      <c r="M3826" s="19"/>
      <c r="N3826" s="19"/>
      <c r="O3826" s="43"/>
      <c r="P3826" s="19"/>
      <c r="Q3826" s="19"/>
      <c r="R3826" s="19"/>
      <c r="S3826" s="19"/>
      <c r="T3826" s="19"/>
      <c r="U3826" s="19"/>
      <c r="V3826" s="44"/>
      <c r="W3826" s="19"/>
      <c r="X3826" s="19"/>
      <c r="Y3826" s="19"/>
      <c r="Z3826" s="19"/>
      <c r="AA3826" s="19"/>
      <c r="AB3826" s="19"/>
      <c r="AC3826" s="19"/>
      <c r="AD3826" s="19"/>
      <c r="AE3826" s="19"/>
      <c r="AF3826" s="19"/>
      <c r="AG3826" s="19"/>
      <c r="AH3826" s="19"/>
      <c r="AI3826" s="19"/>
      <c r="AJ3826" s="19"/>
      <c r="AK3826" s="19"/>
      <c r="AL3826" s="6" t="str">
        <f t="array" ref="AL3826">IFERROR(IFS(XLOOKUP(B3826, 'Kit Delivery Status'!$U:$U, 'Kit Delivery Status'!$K:$K) = "Complete", "DELIVERED", XLOOKUP(B3826, 'Kit Delivery Status'!$U:$U, 'Kit Delivery Status'!$K:$K) = "Issue", "ISSUE"), "")</f>
        <v/>
      </c>
      <c r="AM3826" s="6"/>
    </row>
    <row r="3827">
      <c r="A3827" s="19"/>
      <c r="B3827" s="19"/>
      <c r="C3827" s="19"/>
      <c r="D3827" s="42"/>
      <c r="E3827" s="19"/>
      <c r="F3827" s="19"/>
      <c r="G3827" s="19"/>
      <c r="H3827" s="19"/>
      <c r="I3827" s="19"/>
      <c r="J3827" s="19"/>
      <c r="K3827" s="19"/>
      <c r="L3827" s="19"/>
      <c r="M3827" s="19"/>
      <c r="N3827" s="19"/>
      <c r="O3827" s="43"/>
      <c r="P3827" s="19"/>
      <c r="Q3827" s="19"/>
      <c r="R3827" s="19"/>
      <c r="S3827" s="19"/>
      <c r="T3827" s="19"/>
      <c r="U3827" s="19"/>
      <c r="V3827" s="44"/>
      <c r="W3827" s="19"/>
      <c r="X3827" s="19"/>
      <c r="Y3827" s="19"/>
      <c r="Z3827" s="19"/>
      <c r="AA3827" s="19"/>
      <c r="AB3827" s="19"/>
      <c r="AC3827" s="19"/>
      <c r="AD3827" s="19"/>
      <c r="AE3827" s="19"/>
      <c r="AF3827" s="19"/>
      <c r="AG3827" s="19"/>
      <c r="AH3827" s="19"/>
      <c r="AI3827" s="19"/>
      <c r="AJ3827" s="19"/>
      <c r="AK3827" s="19"/>
      <c r="AL3827" s="6" t="str">
        <f t="array" ref="AL3827">IFERROR(IFS(XLOOKUP(B3827, 'Kit Delivery Status'!$U:$U, 'Kit Delivery Status'!$K:$K) = "Complete", "DELIVERED", XLOOKUP(B3827, 'Kit Delivery Status'!$U:$U, 'Kit Delivery Status'!$K:$K) = "Issue", "ISSUE"), "")</f>
        <v/>
      </c>
      <c r="AM3827" s="6"/>
    </row>
    <row r="3828">
      <c r="A3828" s="19"/>
      <c r="B3828" s="19"/>
      <c r="C3828" s="19"/>
      <c r="D3828" s="42"/>
      <c r="E3828" s="19"/>
      <c r="F3828" s="19"/>
      <c r="G3828" s="19"/>
      <c r="H3828" s="19"/>
      <c r="I3828" s="19"/>
      <c r="J3828" s="19"/>
      <c r="K3828" s="19"/>
      <c r="L3828" s="19"/>
      <c r="M3828" s="19"/>
      <c r="N3828" s="19"/>
      <c r="O3828" s="43"/>
      <c r="P3828" s="19"/>
      <c r="Q3828" s="19"/>
      <c r="R3828" s="19"/>
      <c r="S3828" s="19"/>
      <c r="T3828" s="19"/>
      <c r="U3828" s="19"/>
      <c r="V3828" s="44"/>
      <c r="W3828" s="19"/>
      <c r="X3828" s="19"/>
      <c r="Y3828" s="19"/>
      <c r="Z3828" s="19"/>
      <c r="AA3828" s="19"/>
      <c r="AB3828" s="19"/>
      <c r="AC3828" s="19"/>
      <c r="AD3828" s="19"/>
      <c r="AE3828" s="19"/>
      <c r="AF3828" s="19"/>
      <c r="AG3828" s="19"/>
      <c r="AH3828" s="19"/>
      <c r="AI3828" s="19"/>
      <c r="AJ3828" s="19"/>
      <c r="AK3828" s="19"/>
      <c r="AL3828" s="6" t="str">
        <f t="array" ref="AL3828">IFERROR(IFS(XLOOKUP(B3828, 'Kit Delivery Status'!$U:$U, 'Kit Delivery Status'!$K:$K) = "Complete", "DELIVERED", XLOOKUP(B3828, 'Kit Delivery Status'!$U:$U, 'Kit Delivery Status'!$K:$K) = "Issue", "ISSUE"), "")</f>
        <v/>
      </c>
      <c r="AM3828" s="6"/>
    </row>
    <row r="3829">
      <c r="A3829" s="19"/>
      <c r="B3829" s="19"/>
      <c r="C3829" s="19"/>
      <c r="D3829" s="42"/>
      <c r="E3829" s="19"/>
      <c r="F3829" s="19"/>
      <c r="G3829" s="19"/>
      <c r="H3829" s="19"/>
      <c r="I3829" s="19"/>
      <c r="J3829" s="19"/>
      <c r="K3829" s="19"/>
      <c r="L3829" s="19"/>
      <c r="M3829" s="19"/>
      <c r="N3829" s="19"/>
      <c r="O3829" s="43"/>
      <c r="P3829" s="19"/>
      <c r="Q3829" s="19"/>
      <c r="R3829" s="19"/>
      <c r="S3829" s="19"/>
      <c r="T3829" s="19"/>
      <c r="U3829" s="19"/>
      <c r="V3829" s="44"/>
      <c r="W3829" s="19"/>
      <c r="X3829" s="19"/>
      <c r="Y3829" s="19"/>
      <c r="Z3829" s="19"/>
      <c r="AA3829" s="19"/>
      <c r="AB3829" s="19"/>
      <c r="AC3829" s="19"/>
      <c r="AD3829" s="19"/>
      <c r="AE3829" s="19"/>
      <c r="AF3829" s="19"/>
      <c r="AG3829" s="19"/>
      <c r="AH3829" s="19"/>
      <c r="AI3829" s="19"/>
      <c r="AJ3829" s="19"/>
      <c r="AK3829" s="19"/>
      <c r="AL3829" s="6" t="str">
        <f t="array" ref="AL3829">IFERROR(IFS(XLOOKUP(B3829, 'Kit Delivery Status'!$U:$U, 'Kit Delivery Status'!$K:$K) = "Complete", "DELIVERED", XLOOKUP(B3829, 'Kit Delivery Status'!$U:$U, 'Kit Delivery Status'!$K:$K) = "Issue", "ISSUE"), "")</f>
        <v/>
      </c>
      <c r="AM3829" s="6"/>
    </row>
    <row r="3830">
      <c r="A3830" s="19"/>
      <c r="B3830" s="19"/>
      <c r="C3830" s="19"/>
      <c r="D3830" s="42"/>
      <c r="E3830" s="19"/>
      <c r="F3830" s="19"/>
      <c r="G3830" s="19"/>
      <c r="H3830" s="19"/>
      <c r="I3830" s="19"/>
      <c r="J3830" s="19"/>
      <c r="K3830" s="19"/>
      <c r="L3830" s="19"/>
      <c r="M3830" s="19"/>
      <c r="N3830" s="19"/>
      <c r="O3830" s="43"/>
      <c r="P3830" s="19"/>
      <c r="Q3830" s="19"/>
      <c r="R3830" s="19"/>
      <c r="S3830" s="19"/>
      <c r="T3830" s="19"/>
      <c r="U3830" s="19"/>
      <c r="V3830" s="44"/>
      <c r="W3830" s="19"/>
      <c r="X3830" s="19"/>
      <c r="Y3830" s="19"/>
      <c r="Z3830" s="19"/>
      <c r="AA3830" s="19"/>
      <c r="AB3830" s="19"/>
      <c r="AC3830" s="19"/>
      <c r="AD3830" s="19"/>
      <c r="AE3830" s="19"/>
      <c r="AF3830" s="19"/>
      <c r="AG3830" s="19"/>
      <c r="AH3830" s="19"/>
      <c r="AI3830" s="19"/>
      <c r="AJ3830" s="19"/>
      <c r="AK3830" s="19"/>
      <c r="AL3830" s="6" t="str">
        <f t="array" ref="AL3830">IFERROR(IFS(XLOOKUP(B3830, 'Kit Delivery Status'!$U:$U, 'Kit Delivery Status'!$K:$K) = "Complete", "DELIVERED", XLOOKUP(B3830, 'Kit Delivery Status'!$U:$U, 'Kit Delivery Status'!$K:$K) = "Issue", "ISSUE"), "")</f>
        <v/>
      </c>
      <c r="AM3830" s="6"/>
    </row>
    <row r="3831">
      <c r="A3831" s="19"/>
      <c r="B3831" s="19"/>
      <c r="C3831" s="19"/>
      <c r="D3831" s="42"/>
      <c r="E3831" s="19"/>
      <c r="F3831" s="19"/>
      <c r="G3831" s="19"/>
      <c r="H3831" s="19"/>
      <c r="I3831" s="19"/>
      <c r="J3831" s="19"/>
      <c r="K3831" s="19"/>
      <c r="L3831" s="19"/>
      <c r="M3831" s="19"/>
      <c r="N3831" s="19"/>
      <c r="O3831" s="43"/>
      <c r="P3831" s="19"/>
      <c r="Q3831" s="19"/>
      <c r="R3831" s="19"/>
      <c r="S3831" s="19"/>
      <c r="T3831" s="19"/>
      <c r="U3831" s="19"/>
      <c r="V3831" s="44"/>
      <c r="W3831" s="19"/>
      <c r="X3831" s="19"/>
      <c r="Y3831" s="19"/>
      <c r="Z3831" s="19"/>
      <c r="AA3831" s="19"/>
      <c r="AB3831" s="19"/>
      <c r="AC3831" s="19"/>
      <c r="AD3831" s="19"/>
      <c r="AE3831" s="19"/>
      <c r="AF3831" s="19"/>
      <c r="AG3831" s="19"/>
      <c r="AH3831" s="19"/>
      <c r="AI3831" s="19"/>
      <c r="AJ3831" s="19"/>
      <c r="AK3831" s="19"/>
      <c r="AL3831" s="6" t="str">
        <f t="array" ref="AL3831">IFERROR(IFS(XLOOKUP(B3831, 'Kit Delivery Status'!$U:$U, 'Kit Delivery Status'!$K:$K) = "Complete", "DELIVERED", XLOOKUP(B3831, 'Kit Delivery Status'!$U:$U, 'Kit Delivery Status'!$K:$K) = "Issue", "ISSUE"), "")</f>
        <v/>
      </c>
      <c r="AM3831" s="6"/>
    </row>
    <row r="3832">
      <c r="A3832" s="19"/>
      <c r="B3832" s="19"/>
      <c r="C3832" s="19"/>
      <c r="D3832" s="42"/>
      <c r="E3832" s="19"/>
      <c r="F3832" s="19"/>
      <c r="G3832" s="19"/>
      <c r="H3832" s="19"/>
      <c r="I3832" s="19"/>
      <c r="J3832" s="19"/>
      <c r="K3832" s="19"/>
      <c r="L3832" s="19"/>
      <c r="M3832" s="19"/>
      <c r="N3832" s="19"/>
      <c r="O3832" s="43"/>
      <c r="P3832" s="19"/>
      <c r="Q3832" s="19"/>
      <c r="R3832" s="19"/>
      <c r="S3832" s="19"/>
      <c r="T3832" s="19"/>
      <c r="U3832" s="19"/>
      <c r="V3832" s="44"/>
      <c r="W3832" s="19"/>
      <c r="X3832" s="19"/>
      <c r="Y3832" s="19"/>
      <c r="Z3832" s="19"/>
      <c r="AA3832" s="19"/>
      <c r="AB3832" s="19"/>
      <c r="AC3832" s="19"/>
      <c r="AD3832" s="19"/>
      <c r="AE3832" s="19"/>
      <c r="AF3832" s="19"/>
      <c r="AG3832" s="19"/>
      <c r="AH3832" s="19"/>
      <c r="AI3832" s="19"/>
      <c r="AJ3832" s="19"/>
      <c r="AK3832" s="19"/>
      <c r="AL3832" s="6" t="str">
        <f t="array" ref="AL3832">IFERROR(IFS(XLOOKUP(B3832, 'Kit Delivery Status'!$U:$U, 'Kit Delivery Status'!$K:$K) = "Complete", "DELIVERED", XLOOKUP(B3832, 'Kit Delivery Status'!$U:$U, 'Kit Delivery Status'!$K:$K) = "Issue", "ISSUE"), "")</f>
        <v/>
      </c>
      <c r="AM3832" s="6"/>
    </row>
    <row r="3833">
      <c r="A3833" s="19"/>
      <c r="B3833" s="19"/>
      <c r="C3833" s="19"/>
      <c r="D3833" s="42"/>
      <c r="E3833" s="19"/>
      <c r="F3833" s="19"/>
      <c r="G3833" s="19"/>
      <c r="H3833" s="19"/>
      <c r="I3833" s="19"/>
      <c r="J3833" s="19"/>
      <c r="K3833" s="19"/>
      <c r="L3833" s="19"/>
      <c r="M3833" s="19"/>
      <c r="N3833" s="19"/>
      <c r="O3833" s="43"/>
      <c r="P3833" s="19"/>
      <c r="Q3833" s="19"/>
      <c r="R3833" s="19"/>
      <c r="S3833" s="19"/>
      <c r="T3833" s="19"/>
      <c r="U3833" s="19"/>
      <c r="V3833" s="44"/>
      <c r="W3833" s="19"/>
      <c r="X3833" s="19"/>
      <c r="Y3833" s="19"/>
      <c r="Z3833" s="19"/>
      <c r="AA3833" s="19"/>
      <c r="AB3833" s="19"/>
      <c r="AC3833" s="19"/>
      <c r="AD3833" s="19"/>
      <c r="AE3833" s="19"/>
      <c r="AF3833" s="19"/>
      <c r="AG3833" s="19"/>
      <c r="AH3833" s="19"/>
      <c r="AI3833" s="19"/>
      <c r="AJ3833" s="19"/>
      <c r="AK3833" s="19"/>
      <c r="AL3833" s="6" t="str">
        <f t="array" ref="AL3833">IFERROR(IFS(XLOOKUP(B3833, 'Kit Delivery Status'!$U:$U, 'Kit Delivery Status'!$K:$K) = "Complete", "DELIVERED", XLOOKUP(B3833, 'Kit Delivery Status'!$U:$U, 'Kit Delivery Status'!$K:$K) = "Issue", "ISSUE"), "")</f>
        <v/>
      </c>
      <c r="AM3833" s="6"/>
    </row>
    <row r="3834">
      <c r="A3834" s="19"/>
      <c r="B3834" s="19"/>
      <c r="C3834" s="19"/>
      <c r="D3834" s="42"/>
      <c r="E3834" s="19"/>
      <c r="F3834" s="19"/>
      <c r="G3834" s="19"/>
      <c r="H3834" s="19"/>
      <c r="I3834" s="19"/>
      <c r="J3834" s="19"/>
      <c r="K3834" s="19"/>
      <c r="L3834" s="19"/>
      <c r="M3834" s="19"/>
      <c r="N3834" s="19"/>
      <c r="O3834" s="43"/>
      <c r="P3834" s="19"/>
      <c r="Q3834" s="19"/>
      <c r="R3834" s="19"/>
      <c r="S3834" s="19"/>
      <c r="T3834" s="19"/>
      <c r="U3834" s="19"/>
      <c r="V3834" s="44"/>
      <c r="W3834" s="19"/>
      <c r="X3834" s="19"/>
      <c r="Y3834" s="19"/>
      <c r="Z3834" s="19"/>
      <c r="AA3834" s="19"/>
      <c r="AB3834" s="19"/>
      <c r="AC3834" s="19"/>
      <c r="AD3834" s="19"/>
      <c r="AE3834" s="19"/>
      <c r="AF3834" s="19"/>
      <c r="AG3834" s="19"/>
      <c r="AH3834" s="19"/>
      <c r="AI3834" s="19"/>
      <c r="AJ3834" s="19"/>
      <c r="AK3834" s="19"/>
      <c r="AL3834" s="6" t="str">
        <f t="array" ref="AL3834">IFERROR(IFS(XLOOKUP(B3834, 'Kit Delivery Status'!$U:$U, 'Kit Delivery Status'!$K:$K) = "Complete", "DELIVERED", XLOOKUP(B3834, 'Kit Delivery Status'!$U:$U, 'Kit Delivery Status'!$K:$K) = "Issue", "ISSUE"), "")</f>
        <v/>
      </c>
      <c r="AM3834" s="6"/>
    </row>
    <row r="3835">
      <c r="A3835" s="19"/>
      <c r="B3835" s="19"/>
      <c r="C3835" s="19"/>
      <c r="D3835" s="42"/>
      <c r="E3835" s="19"/>
      <c r="F3835" s="19"/>
      <c r="G3835" s="19"/>
      <c r="H3835" s="19"/>
      <c r="I3835" s="19"/>
      <c r="J3835" s="19"/>
      <c r="K3835" s="19"/>
      <c r="L3835" s="19"/>
      <c r="M3835" s="19"/>
      <c r="N3835" s="19"/>
      <c r="O3835" s="43"/>
      <c r="P3835" s="19"/>
      <c r="Q3835" s="19"/>
      <c r="R3835" s="19"/>
      <c r="S3835" s="19"/>
      <c r="T3835" s="19"/>
      <c r="U3835" s="19"/>
      <c r="V3835" s="44"/>
      <c r="W3835" s="19"/>
      <c r="X3835" s="19"/>
      <c r="Y3835" s="19"/>
      <c r="Z3835" s="19"/>
      <c r="AA3835" s="19"/>
      <c r="AB3835" s="19"/>
      <c r="AC3835" s="19"/>
      <c r="AD3835" s="19"/>
      <c r="AE3835" s="19"/>
      <c r="AF3835" s="19"/>
      <c r="AG3835" s="19"/>
      <c r="AH3835" s="19"/>
      <c r="AI3835" s="19"/>
      <c r="AJ3835" s="19"/>
      <c r="AK3835" s="19"/>
      <c r="AL3835" s="6" t="str">
        <f t="array" ref="AL3835">IFERROR(IFS(XLOOKUP(B3835, 'Kit Delivery Status'!$U:$U, 'Kit Delivery Status'!$K:$K) = "Complete", "DELIVERED", XLOOKUP(B3835, 'Kit Delivery Status'!$U:$U, 'Kit Delivery Status'!$K:$K) = "Issue", "ISSUE"), "")</f>
        <v/>
      </c>
      <c r="AM3835" s="6"/>
    </row>
    <row r="3836">
      <c r="A3836" s="19"/>
      <c r="B3836" s="19"/>
      <c r="C3836" s="19"/>
      <c r="D3836" s="42"/>
      <c r="E3836" s="19"/>
      <c r="F3836" s="19"/>
      <c r="G3836" s="19"/>
      <c r="H3836" s="19"/>
      <c r="I3836" s="19"/>
      <c r="J3836" s="19"/>
      <c r="K3836" s="19"/>
      <c r="L3836" s="19"/>
      <c r="M3836" s="19"/>
      <c r="N3836" s="19"/>
      <c r="O3836" s="43"/>
      <c r="P3836" s="19"/>
      <c r="Q3836" s="19"/>
      <c r="R3836" s="19"/>
      <c r="S3836" s="19"/>
      <c r="T3836" s="19"/>
      <c r="U3836" s="19"/>
      <c r="V3836" s="44"/>
      <c r="W3836" s="19"/>
      <c r="X3836" s="19"/>
      <c r="Y3836" s="19"/>
      <c r="Z3836" s="19"/>
      <c r="AA3836" s="19"/>
      <c r="AB3836" s="19"/>
      <c r="AC3836" s="19"/>
      <c r="AD3836" s="19"/>
      <c r="AE3836" s="19"/>
      <c r="AF3836" s="19"/>
      <c r="AG3836" s="19"/>
      <c r="AH3836" s="19"/>
      <c r="AI3836" s="19"/>
      <c r="AJ3836" s="19"/>
      <c r="AK3836" s="19"/>
      <c r="AL3836" s="6" t="str">
        <f t="array" ref="AL3836">IFERROR(IFS(XLOOKUP(B3836, 'Kit Delivery Status'!$U:$U, 'Kit Delivery Status'!$K:$K) = "Complete", "DELIVERED", XLOOKUP(B3836, 'Kit Delivery Status'!$U:$U, 'Kit Delivery Status'!$K:$K) = "Issue", "ISSUE"), "")</f>
        <v/>
      </c>
      <c r="AM3836" s="6"/>
    </row>
    <row r="3837">
      <c r="A3837" s="19"/>
      <c r="B3837" s="19"/>
      <c r="C3837" s="19"/>
      <c r="D3837" s="42"/>
      <c r="E3837" s="19"/>
      <c r="F3837" s="19"/>
      <c r="G3837" s="19"/>
      <c r="H3837" s="19"/>
      <c r="I3837" s="19"/>
      <c r="J3837" s="19"/>
      <c r="K3837" s="19"/>
      <c r="L3837" s="19"/>
      <c r="M3837" s="19"/>
      <c r="N3837" s="19"/>
      <c r="O3837" s="43"/>
      <c r="P3837" s="19"/>
      <c r="Q3837" s="19"/>
      <c r="R3837" s="19"/>
      <c r="S3837" s="19"/>
      <c r="T3837" s="19"/>
      <c r="U3837" s="19"/>
      <c r="V3837" s="44"/>
      <c r="W3837" s="19"/>
      <c r="X3837" s="19"/>
      <c r="Y3837" s="19"/>
      <c r="Z3837" s="19"/>
      <c r="AA3837" s="19"/>
      <c r="AB3837" s="19"/>
      <c r="AC3837" s="19"/>
      <c r="AD3837" s="19"/>
      <c r="AE3837" s="19"/>
      <c r="AF3837" s="19"/>
      <c r="AG3837" s="19"/>
      <c r="AH3837" s="19"/>
      <c r="AI3837" s="19"/>
      <c r="AJ3837" s="19"/>
      <c r="AK3837" s="19"/>
      <c r="AL3837" s="6" t="str">
        <f t="array" ref="AL3837">IFERROR(IFS(XLOOKUP(B3837, 'Kit Delivery Status'!$U:$U, 'Kit Delivery Status'!$K:$K) = "Complete", "DELIVERED", XLOOKUP(B3837, 'Kit Delivery Status'!$U:$U, 'Kit Delivery Status'!$K:$K) = "Issue", "ISSUE"), "")</f>
        <v/>
      </c>
      <c r="AM3837" s="6"/>
    </row>
    <row r="3838">
      <c r="A3838" s="19"/>
      <c r="B3838" s="19"/>
      <c r="C3838" s="19"/>
      <c r="D3838" s="42"/>
      <c r="E3838" s="19"/>
      <c r="F3838" s="19"/>
      <c r="G3838" s="19"/>
      <c r="H3838" s="19"/>
      <c r="I3838" s="19"/>
      <c r="J3838" s="19"/>
      <c r="K3838" s="19"/>
      <c r="L3838" s="19"/>
      <c r="M3838" s="19"/>
      <c r="N3838" s="19"/>
      <c r="O3838" s="43"/>
      <c r="P3838" s="19"/>
      <c r="Q3838" s="19"/>
      <c r="R3838" s="19"/>
      <c r="S3838" s="19"/>
      <c r="T3838" s="19"/>
      <c r="U3838" s="19"/>
      <c r="V3838" s="44"/>
      <c r="W3838" s="19"/>
      <c r="X3838" s="19"/>
      <c r="Y3838" s="19"/>
      <c r="Z3838" s="19"/>
      <c r="AA3838" s="19"/>
      <c r="AB3838" s="19"/>
      <c r="AC3838" s="19"/>
      <c r="AD3838" s="19"/>
      <c r="AE3838" s="19"/>
      <c r="AF3838" s="19"/>
      <c r="AG3838" s="19"/>
      <c r="AH3838" s="19"/>
      <c r="AI3838" s="19"/>
      <c r="AJ3838" s="19"/>
      <c r="AK3838" s="19"/>
      <c r="AL3838" s="6" t="str">
        <f t="array" ref="AL3838">IFERROR(IFS(XLOOKUP(B3838, 'Kit Delivery Status'!$U:$U, 'Kit Delivery Status'!$K:$K) = "Complete", "DELIVERED", XLOOKUP(B3838, 'Kit Delivery Status'!$U:$U, 'Kit Delivery Status'!$K:$K) = "Issue", "ISSUE"), "")</f>
        <v/>
      </c>
      <c r="AM3838" s="6"/>
    </row>
    <row r="3839">
      <c r="A3839" s="19"/>
      <c r="B3839" s="19"/>
      <c r="C3839" s="19"/>
      <c r="D3839" s="42"/>
      <c r="E3839" s="19"/>
      <c r="F3839" s="19"/>
      <c r="G3839" s="19"/>
      <c r="H3839" s="19"/>
      <c r="I3839" s="19"/>
      <c r="J3839" s="19"/>
      <c r="K3839" s="19"/>
      <c r="L3839" s="19"/>
      <c r="M3839" s="19"/>
      <c r="N3839" s="19"/>
      <c r="O3839" s="43"/>
      <c r="P3839" s="19"/>
      <c r="Q3839" s="19"/>
      <c r="R3839" s="19"/>
      <c r="S3839" s="19"/>
      <c r="T3839" s="19"/>
      <c r="U3839" s="19"/>
      <c r="V3839" s="44"/>
      <c r="W3839" s="19"/>
      <c r="X3839" s="19"/>
      <c r="Y3839" s="19"/>
      <c r="Z3839" s="19"/>
      <c r="AA3839" s="19"/>
      <c r="AB3839" s="19"/>
      <c r="AC3839" s="19"/>
      <c r="AD3839" s="19"/>
      <c r="AE3839" s="19"/>
      <c r="AF3839" s="19"/>
      <c r="AG3839" s="19"/>
      <c r="AH3839" s="19"/>
      <c r="AI3839" s="19"/>
      <c r="AJ3839" s="19"/>
      <c r="AK3839" s="19"/>
      <c r="AL3839" s="6" t="str">
        <f t="array" ref="AL3839">IFERROR(IFS(XLOOKUP(B3839, 'Kit Delivery Status'!$U:$U, 'Kit Delivery Status'!$K:$K) = "Complete", "DELIVERED", XLOOKUP(B3839, 'Kit Delivery Status'!$U:$U, 'Kit Delivery Status'!$K:$K) = "Issue", "ISSUE"), "")</f>
        <v/>
      </c>
      <c r="AM3839" s="6"/>
    </row>
    <row r="3840">
      <c r="A3840" s="19"/>
      <c r="B3840" s="19"/>
      <c r="C3840" s="19"/>
      <c r="D3840" s="42"/>
      <c r="E3840" s="19"/>
      <c r="F3840" s="19"/>
      <c r="G3840" s="19"/>
      <c r="H3840" s="19"/>
      <c r="I3840" s="19"/>
      <c r="J3840" s="19"/>
      <c r="K3840" s="19"/>
      <c r="L3840" s="19"/>
      <c r="M3840" s="19"/>
      <c r="N3840" s="19"/>
      <c r="O3840" s="43"/>
      <c r="P3840" s="19"/>
      <c r="Q3840" s="19"/>
      <c r="R3840" s="19"/>
      <c r="S3840" s="19"/>
      <c r="T3840" s="19"/>
      <c r="U3840" s="19"/>
      <c r="V3840" s="44"/>
      <c r="W3840" s="19"/>
      <c r="X3840" s="19"/>
      <c r="Y3840" s="19"/>
      <c r="Z3840" s="19"/>
      <c r="AA3840" s="19"/>
      <c r="AB3840" s="19"/>
      <c r="AC3840" s="19"/>
      <c r="AD3840" s="19"/>
      <c r="AE3840" s="19"/>
      <c r="AF3840" s="19"/>
      <c r="AG3840" s="19"/>
      <c r="AH3840" s="19"/>
      <c r="AI3840" s="19"/>
      <c r="AJ3840" s="19"/>
      <c r="AK3840" s="19"/>
      <c r="AL3840" s="6" t="str">
        <f t="array" ref="AL3840">IFERROR(IFS(XLOOKUP(B3840, 'Kit Delivery Status'!$U:$U, 'Kit Delivery Status'!$K:$K) = "Complete", "DELIVERED", XLOOKUP(B3840, 'Kit Delivery Status'!$U:$U, 'Kit Delivery Status'!$K:$K) = "Issue", "ISSUE"), "")</f>
        <v/>
      </c>
      <c r="AM3840" s="6"/>
    </row>
    <row r="3841">
      <c r="A3841" s="19"/>
      <c r="B3841" s="19"/>
      <c r="C3841" s="19"/>
      <c r="D3841" s="42"/>
      <c r="E3841" s="19"/>
      <c r="F3841" s="19"/>
      <c r="G3841" s="19"/>
      <c r="H3841" s="19"/>
      <c r="I3841" s="19"/>
      <c r="J3841" s="19"/>
      <c r="K3841" s="19"/>
      <c r="L3841" s="19"/>
      <c r="M3841" s="19"/>
      <c r="N3841" s="19"/>
      <c r="O3841" s="43"/>
      <c r="P3841" s="19"/>
      <c r="Q3841" s="19"/>
      <c r="R3841" s="19"/>
      <c r="S3841" s="19"/>
      <c r="T3841" s="19"/>
      <c r="U3841" s="19"/>
      <c r="V3841" s="44"/>
      <c r="W3841" s="19"/>
      <c r="X3841" s="19"/>
      <c r="Y3841" s="19"/>
      <c r="Z3841" s="19"/>
      <c r="AA3841" s="19"/>
      <c r="AB3841" s="19"/>
      <c r="AC3841" s="19"/>
      <c r="AD3841" s="19"/>
      <c r="AE3841" s="19"/>
      <c r="AF3841" s="19"/>
      <c r="AG3841" s="19"/>
      <c r="AH3841" s="19"/>
      <c r="AI3841" s="19"/>
      <c r="AJ3841" s="19"/>
      <c r="AK3841" s="19"/>
      <c r="AL3841" s="6" t="str">
        <f t="array" ref="AL3841">IFERROR(IFS(XLOOKUP(B3841, 'Kit Delivery Status'!$U:$U, 'Kit Delivery Status'!$K:$K) = "Complete", "DELIVERED", XLOOKUP(B3841, 'Kit Delivery Status'!$U:$U, 'Kit Delivery Status'!$K:$K) = "Issue", "ISSUE"), "")</f>
        <v/>
      </c>
      <c r="AM3841" s="6"/>
    </row>
    <row r="3842">
      <c r="A3842" s="19"/>
      <c r="B3842" s="19"/>
      <c r="C3842" s="19"/>
      <c r="D3842" s="42"/>
      <c r="E3842" s="19"/>
      <c r="F3842" s="19"/>
      <c r="G3842" s="19"/>
      <c r="H3842" s="19"/>
      <c r="I3842" s="19"/>
      <c r="J3842" s="19"/>
      <c r="K3842" s="19"/>
      <c r="L3842" s="19"/>
      <c r="M3842" s="19"/>
      <c r="N3842" s="19"/>
      <c r="O3842" s="43"/>
      <c r="P3842" s="19"/>
      <c r="Q3842" s="19"/>
      <c r="R3842" s="19"/>
      <c r="S3842" s="19"/>
      <c r="T3842" s="19"/>
      <c r="U3842" s="19"/>
      <c r="V3842" s="44"/>
      <c r="W3842" s="19"/>
      <c r="X3842" s="19"/>
      <c r="Y3842" s="19"/>
      <c r="Z3842" s="19"/>
      <c r="AA3842" s="19"/>
      <c r="AB3842" s="19"/>
      <c r="AC3842" s="19"/>
      <c r="AD3842" s="19"/>
      <c r="AE3842" s="19"/>
      <c r="AF3842" s="19"/>
      <c r="AG3842" s="19"/>
      <c r="AH3842" s="19"/>
      <c r="AI3842" s="19"/>
      <c r="AJ3842" s="19"/>
      <c r="AK3842" s="19"/>
      <c r="AL3842" s="6" t="str">
        <f t="array" ref="AL3842">IFERROR(IFS(XLOOKUP(B3842, 'Kit Delivery Status'!$U:$U, 'Kit Delivery Status'!$K:$K) = "Complete", "DELIVERED", XLOOKUP(B3842, 'Kit Delivery Status'!$U:$U, 'Kit Delivery Status'!$K:$K) = "Issue", "ISSUE"), "")</f>
        <v/>
      </c>
      <c r="AM3842" s="6"/>
    </row>
    <row r="3843">
      <c r="A3843" s="19"/>
      <c r="B3843" s="19"/>
      <c r="C3843" s="19"/>
      <c r="D3843" s="42"/>
      <c r="E3843" s="19"/>
      <c r="F3843" s="19"/>
      <c r="G3843" s="19"/>
      <c r="H3843" s="19"/>
      <c r="I3843" s="19"/>
      <c r="J3843" s="19"/>
      <c r="K3843" s="19"/>
      <c r="L3843" s="19"/>
      <c r="M3843" s="19"/>
      <c r="N3843" s="19"/>
      <c r="O3843" s="43"/>
      <c r="P3843" s="19"/>
      <c r="Q3843" s="19"/>
      <c r="R3843" s="19"/>
      <c r="S3843" s="19"/>
      <c r="T3843" s="19"/>
      <c r="U3843" s="19"/>
      <c r="V3843" s="44"/>
      <c r="W3843" s="19"/>
      <c r="X3843" s="19"/>
      <c r="Y3843" s="19"/>
      <c r="Z3843" s="19"/>
      <c r="AA3843" s="19"/>
      <c r="AB3843" s="19"/>
      <c r="AC3843" s="19"/>
      <c r="AD3843" s="19"/>
      <c r="AE3843" s="19"/>
      <c r="AF3843" s="19"/>
      <c r="AG3843" s="19"/>
      <c r="AH3843" s="19"/>
      <c r="AI3843" s="19"/>
      <c r="AJ3843" s="19"/>
      <c r="AK3843" s="19"/>
      <c r="AL3843" s="6" t="str">
        <f t="array" ref="AL3843">IFERROR(IFS(XLOOKUP(B3843, 'Kit Delivery Status'!$U:$U, 'Kit Delivery Status'!$K:$K) = "Complete", "DELIVERED", XLOOKUP(B3843, 'Kit Delivery Status'!$U:$U, 'Kit Delivery Status'!$K:$K) = "Issue", "ISSUE"), "")</f>
        <v/>
      </c>
      <c r="AM3843" s="6"/>
    </row>
    <row r="3844">
      <c r="A3844" s="19"/>
      <c r="B3844" s="19"/>
      <c r="C3844" s="19"/>
      <c r="D3844" s="42"/>
      <c r="E3844" s="19"/>
      <c r="F3844" s="19"/>
      <c r="G3844" s="19"/>
      <c r="H3844" s="19"/>
      <c r="I3844" s="19"/>
      <c r="J3844" s="19"/>
      <c r="K3844" s="19"/>
      <c r="L3844" s="19"/>
      <c r="M3844" s="19"/>
      <c r="N3844" s="19"/>
      <c r="O3844" s="43"/>
      <c r="P3844" s="19"/>
      <c r="Q3844" s="19"/>
      <c r="R3844" s="19"/>
      <c r="S3844" s="19"/>
      <c r="T3844" s="19"/>
      <c r="U3844" s="19"/>
      <c r="V3844" s="44"/>
      <c r="W3844" s="19"/>
      <c r="X3844" s="19"/>
      <c r="Y3844" s="19"/>
      <c r="Z3844" s="19"/>
      <c r="AA3844" s="19"/>
      <c r="AB3844" s="19"/>
      <c r="AC3844" s="19"/>
      <c r="AD3844" s="19"/>
      <c r="AE3844" s="19"/>
      <c r="AF3844" s="19"/>
      <c r="AG3844" s="19"/>
      <c r="AH3844" s="19"/>
      <c r="AI3844" s="19"/>
      <c r="AJ3844" s="19"/>
      <c r="AK3844" s="19"/>
      <c r="AL3844" s="6" t="str">
        <f t="array" ref="AL3844">IFERROR(IFS(XLOOKUP(B3844, 'Kit Delivery Status'!$U:$U, 'Kit Delivery Status'!$K:$K) = "Complete", "DELIVERED", XLOOKUP(B3844, 'Kit Delivery Status'!$U:$U, 'Kit Delivery Status'!$K:$K) = "Issue", "ISSUE"), "")</f>
        <v/>
      </c>
      <c r="AM3844" s="6"/>
    </row>
    <row r="3845">
      <c r="A3845" s="19"/>
      <c r="B3845" s="19"/>
      <c r="C3845" s="19"/>
      <c r="D3845" s="42"/>
      <c r="E3845" s="19"/>
      <c r="F3845" s="19"/>
      <c r="G3845" s="19"/>
      <c r="H3845" s="19"/>
      <c r="I3845" s="19"/>
      <c r="J3845" s="19"/>
      <c r="K3845" s="19"/>
      <c r="L3845" s="19"/>
      <c r="M3845" s="19"/>
      <c r="N3845" s="19"/>
      <c r="O3845" s="43"/>
      <c r="P3845" s="19"/>
      <c r="Q3845" s="19"/>
      <c r="R3845" s="19"/>
      <c r="S3845" s="19"/>
      <c r="T3845" s="19"/>
      <c r="U3845" s="19"/>
      <c r="V3845" s="44"/>
      <c r="W3845" s="19"/>
      <c r="X3845" s="19"/>
      <c r="Y3845" s="19"/>
      <c r="Z3845" s="19"/>
      <c r="AA3845" s="19"/>
      <c r="AB3845" s="19"/>
      <c r="AC3845" s="19"/>
      <c r="AD3845" s="19"/>
      <c r="AE3845" s="19"/>
      <c r="AF3845" s="19"/>
      <c r="AG3845" s="19"/>
      <c r="AH3845" s="19"/>
      <c r="AI3845" s="19"/>
      <c r="AJ3845" s="19"/>
      <c r="AK3845" s="19"/>
      <c r="AL3845" s="6" t="str">
        <f t="array" ref="AL3845">IFERROR(IFS(XLOOKUP(B3845, 'Kit Delivery Status'!$U:$U, 'Kit Delivery Status'!$K:$K) = "Complete", "DELIVERED", XLOOKUP(B3845, 'Kit Delivery Status'!$U:$U, 'Kit Delivery Status'!$K:$K) = "Issue", "ISSUE"), "")</f>
        <v/>
      </c>
      <c r="AM3845" s="6"/>
    </row>
    <row r="3846">
      <c r="A3846" s="19"/>
      <c r="B3846" s="19"/>
      <c r="C3846" s="19"/>
      <c r="D3846" s="42"/>
      <c r="E3846" s="19"/>
      <c r="F3846" s="19"/>
      <c r="G3846" s="19"/>
      <c r="H3846" s="19"/>
      <c r="I3846" s="19"/>
      <c r="J3846" s="19"/>
      <c r="K3846" s="19"/>
      <c r="L3846" s="19"/>
      <c r="M3846" s="19"/>
      <c r="N3846" s="19"/>
      <c r="O3846" s="43"/>
      <c r="P3846" s="19"/>
      <c r="Q3846" s="19"/>
      <c r="R3846" s="19"/>
      <c r="S3846" s="19"/>
      <c r="T3846" s="19"/>
      <c r="U3846" s="19"/>
      <c r="V3846" s="44"/>
      <c r="W3846" s="19"/>
      <c r="X3846" s="19"/>
      <c r="Y3846" s="19"/>
      <c r="Z3846" s="19"/>
      <c r="AA3846" s="19"/>
      <c r="AB3846" s="19"/>
      <c r="AC3846" s="19"/>
      <c r="AD3846" s="19"/>
      <c r="AE3846" s="19"/>
      <c r="AF3846" s="19"/>
      <c r="AG3846" s="19"/>
      <c r="AH3846" s="19"/>
      <c r="AI3846" s="19"/>
      <c r="AJ3846" s="19"/>
      <c r="AK3846" s="19"/>
      <c r="AL3846" s="6" t="str">
        <f t="array" ref="AL3846">IFERROR(IFS(XLOOKUP(B3846, 'Kit Delivery Status'!$U:$U, 'Kit Delivery Status'!$K:$K) = "Complete", "DELIVERED", XLOOKUP(B3846, 'Kit Delivery Status'!$U:$U, 'Kit Delivery Status'!$K:$K) = "Issue", "ISSUE"), "")</f>
        <v/>
      </c>
      <c r="AM3846" s="6"/>
    </row>
    <row r="3847">
      <c r="A3847" s="19"/>
      <c r="B3847" s="19"/>
      <c r="C3847" s="19"/>
      <c r="D3847" s="42"/>
      <c r="E3847" s="19"/>
      <c r="F3847" s="19"/>
      <c r="G3847" s="19"/>
      <c r="H3847" s="19"/>
      <c r="I3847" s="19"/>
      <c r="J3847" s="19"/>
      <c r="K3847" s="19"/>
      <c r="L3847" s="19"/>
      <c r="M3847" s="19"/>
      <c r="N3847" s="19"/>
      <c r="O3847" s="43"/>
      <c r="P3847" s="19"/>
      <c r="Q3847" s="19"/>
      <c r="R3847" s="19"/>
      <c r="S3847" s="19"/>
      <c r="T3847" s="19"/>
      <c r="U3847" s="19"/>
      <c r="V3847" s="44"/>
      <c r="W3847" s="19"/>
      <c r="X3847" s="19"/>
      <c r="Y3847" s="19"/>
      <c r="Z3847" s="19"/>
      <c r="AA3847" s="19"/>
      <c r="AB3847" s="19"/>
      <c r="AC3847" s="19"/>
      <c r="AD3847" s="19"/>
      <c r="AE3847" s="19"/>
      <c r="AF3847" s="19"/>
      <c r="AG3847" s="19"/>
      <c r="AH3847" s="19"/>
      <c r="AI3847" s="19"/>
      <c r="AJ3847" s="19"/>
      <c r="AK3847" s="19"/>
      <c r="AL3847" s="6" t="str">
        <f t="array" ref="AL3847">IFERROR(IFS(XLOOKUP(B3847, 'Kit Delivery Status'!$U:$U, 'Kit Delivery Status'!$K:$K) = "Complete", "DELIVERED", XLOOKUP(B3847, 'Kit Delivery Status'!$U:$U, 'Kit Delivery Status'!$K:$K) = "Issue", "ISSUE"), "")</f>
        <v/>
      </c>
      <c r="AM3847" s="6"/>
    </row>
    <row r="3848">
      <c r="A3848" s="19"/>
      <c r="B3848" s="19"/>
      <c r="C3848" s="19"/>
      <c r="D3848" s="42"/>
      <c r="E3848" s="19"/>
      <c r="F3848" s="19"/>
      <c r="G3848" s="19"/>
      <c r="H3848" s="19"/>
      <c r="I3848" s="19"/>
      <c r="J3848" s="19"/>
      <c r="K3848" s="19"/>
      <c r="L3848" s="19"/>
      <c r="M3848" s="19"/>
      <c r="N3848" s="19"/>
      <c r="O3848" s="43"/>
      <c r="P3848" s="19"/>
      <c r="Q3848" s="19"/>
      <c r="R3848" s="19"/>
      <c r="S3848" s="19"/>
      <c r="T3848" s="19"/>
      <c r="U3848" s="19"/>
      <c r="V3848" s="44"/>
      <c r="W3848" s="19"/>
      <c r="X3848" s="19"/>
      <c r="Y3848" s="19"/>
      <c r="Z3848" s="19"/>
      <c r="AA3848" s="19"/>
      <c r="AB3848" s="19"/>
      <c r="AC3848" s="19"/>
      <c r="AD3848" s="19"/>
      <c r="AE3848" s="19"/>
      <c r="AF3848" s="19"/>
      <c r="AG3848" s="19"/>
      <c r="AH3848" s="19"/>
      <c r="AI3848" s="19"/>
      <c r="AJ3848" s="19"/>
      <c r="AK3848" s="19"/>
      <c r="AL3848" s="6" t="str">
        <f t="array" ref="AL3848">IFERROR(IFS(XLOOKUP(B3848, 'Kit Delivery Status'!$U:$U, 'Kit Delivery Status'!$K:$K) = "Complete", "DELIVERED", XLOOKUP(B3848, 'Kit Delivery Status'!$U:$U, 'Kit Delivery Status'!$K:$K) = "Issue", "ISSUE"), "")</f>
        <v/>
      </c>
      <c r="AM3848" s="6"/>
    </row>
    <row r="3849">
      <c r="A3849" s="19"/>
      <c r="B3849" s="19"/>
      <c r="C3849" s="19"/>
      <c r="D3849" s="42"/>
      <c r="E3849" s="19"/>
      <c r="F3849" s="19"/>
      <c r="G3849" s="19"/>
      <c r="H3849" s="19"/>
      <c r="I3849" s="19"/>
      <c r="J3849" s="19"/>
      <c r="K3849" s="19"/>
      <c r="L3849" s="19"/>
      <c r="M3849" s="19"/>
      <c r="N3849" s="19"/>
      <c r="O3849" s="43"/>
      <c r="P3849" s="19"/>
      <c r="Q3849" s="19"/>
      <c r="R3849" s="19"/>
      <c r="S3849" s="19"/>
      <c r="T3849" s="19"/>
      <c r="U3849" s="19"/>
      <c r="V3849" s="44"/>
      <c r="W3849" s="19"/>
      <c r="X3849" s="19"/>
      <c r="Y3849" s="19"/>
      <c r="Z3849" s="19"/>
      <c r="AA3849" s="19"/>
      <c r="AB3849" s="19"/>
      <c r="AC3849" s="19"/>
      <c r="AD3849" s="19"/>
      <c r="AE3849" s="19"/>
      <c r="AF3849" s="19"/>
      <c r="AG3849" s="19"/>
      <c r="AH3849" s="19"/>
      <c r="AI3849" s="19"/>
      <c r="AJ3849" s="19"/>
      <c r="AK3849" s="19"/>
      <c r="AL3849" s="6" t="str">
        <f t="array" ref="AL3849">IFERROR(IFS(XLOOKUP(B3849, 'Kit Delivery Status'!$U:$U, 'Kit Delivery Status'!$K:$K) = "Complete", "DELIVERED", XLOOKUP(B3849, 'Kit Delivery Status'!$U:$U, 'Kit Delivery Status'!$K:$K) = "Issue", "ISSUE"), "")</f>
        <v/>
      </c>
      <c r="AM3849" s="6"/>
    </row>
    <row r="3850">
      <c r="A3850" s="19"/>
      <c r="B3850" s="19"/>
      <c r="C3850" s="19"/>
      <c r="D3850" s="42"/>
      <c r="E3850" s="19"/>
      <c r="F3850" s="19"/>
      <c r="G3850" s="19"/>
      <c r="H3850" s="19"/>
      <c r="I3850" s="19"/>
      <c r="J3850" s="19"/>
      <c r="K3850" s="19"/>
      <c r="L3850" s="19"/>
      <c r="M3850" s="19"/>
      <c r="N3850" s="19"/>
      <c r="O3850" s="43"/>
      <c r="P3850" s="19"/>
      <c r="Q3850" s="19"/>
      <c r="R3850" s="19"/>
      <c r="S3850" s="19"/>
      <c r="T3850" s="19"/>
      <c r="U3850" s="19"/>
      <c r="V3850" s="44"/>
      <c r="W3850" s="19"/>
      <c r="X3850" s="19"/>
      <c r="Y3850" s="19"/>
      <c r="Z3850" s="19"/>
      <c r="AA3850" s="19"/>
      <c r="AB3850" s="19"/>
      <c r="AC3850" s="19"/>
      <c r="AD3850" s="19"/>
      <c r="AE3850" s="19"/>
      <c r="AF3850" s="19"/>
      <c r="AG3850" s="19"/>
      <c r="AH3850" s="19"/>
      <c r="AI3850" s="19"/>
      <c r="AJ3850" s="19"/>
      <c r="AK3850" s="19"/>
      <c r="AL3850" s="6" t="str">
        <f t="array" ref="AL3850">IFERROR(IFS(XLOOKUP(B3850, 'Kit Delivery Status'!$U:$U, 'Kit Delivery Status'!$K:$K) = "Complete", "DELIVERED", XLOOKUP(B3850, 'Kit Delivery Status'!$U:$U, 'Kit Delivery Status'!$K:$K) = "Issue", "ISSUE"), "")</f>
        <v/>
      </c>
      <c r="AM3850" s="6"/>
    </row>
    <row r="3851">
      <c r="A3851" s="19"/>
      <c r="B3851" s="19"/>
      <c r="C3851" s="19"/>
      <c r="D3851" s="42"/>
      <c r="E3851" s="19"/>
      <c r="F3851" s="19"/>
      <c r="G3851" s="19"/>
      <c r="H3851" s="19"/>
      <c r="I3851" s="19"/>
      <c r="J3851" s="19"/>
      <c r="K3851" s="19"/>
      <c r="L3851" s="19"/>
      <c r="M3851" s="19"/>
      <c r="N3851" s="19"/>
      <c r="O3851" s="43"/>
      <c r="P3851" s="19"/>
      <c r="Q3851" s="19"/>
      <c r="R3851" s="19"/>
      <c r="S3851" s="19"/>
      <c r="T3851" s="19"/>
      <c r="U3851" s="19"/>
      <c r="V3851" s="44"/>
      <c r="W3851" s="19"/>
      <c r="X3851" s="19"/>
      <c r="Y3851" s="19"/>
      <c r="Z3851" s="19"/>
      <c r="AA3851" s="19"/>
      <c r="AB3851" s="19"/>
      <c r="AC3851" s="19"/>
      <c r="AD3851" s="19"/>
      <c r="AE3851" s="19"/>
      <c r="AF3851" s="19"/>
      <c r="AG3851" s="19"/>
      <c r="AH3851" s="19"/>
      <c r="AI3851" s="19"/>
      <c r="AJ3851" s="19"/>
      <c r="AK3851" s="19"/>
      <c r="AL3851" s="6" t="str">
        <f t="array" ref="AL3851">IFERROR(IFS(XLOOKUP(B3851, 'Kit Delivery Status'!$U:$U, 'Kit Delivery Status'!$K:$K) = "Complete", "DELIVERED", XLOOKUP(B3851, 'Kit Delivery Status'!$U:$U, 'Kit Delivery Status'!$K:$K) = "Issue", "ISSUE"), "")</f>
        <v/>
      </c>
      <c r="AM3851" s="6"/>
    </row>
    <row r="3852">
      <c r="A3852" s="19"/>
      <c r="B3852" s="19"/>
      <c r="C3852" s="19"/>
      <c r="D3852" s="42"/>
      <c r="E3852" s="19"/>
      <c r="F3852" s="19"/>
      <c r="G3852" s="19"/>
      <c r="H3852" s="19"/>
      <c r="I3852" s="19"/>
      <c r="J3852" s="19"/>
      <c r="K3852" s="19"/>
      <c r="L3852" s="19"/>
      <c r="M3852" s="19"/>
      <c r="N3852" s="19"/>
      <c r="O3852" s="43"/>
      <c r="P3852" s="19"/>
      <c r="Q3852" s="19"/>
      <c r="R3852" s="19"/>
      <c r="S3852" s="19"/>
      <c r="T3852" s="19"/>
      <c r="U3852" s="19"/>
      <c r="V3852" s="44"/>
      <c r="W3852" s="19"/>
      <c r="X3852" s="19"/>
      <c r="Y3852" s="19"/>
      <c r="Z3852" s="19"/>
      <c r="AA3852" s="19"/>
      <c r="AB3852" s="19"/>
      <c r="AC3852" s="19"/>
      <c r="AD3852" s="19"/>
      <c r="AE3852" s="19"/>
      <c r="AF3852" s="19"/>
      <c r="AG3852" s="19"/>
      <c r="AH3852" s="19"/>
      <c r="AI3852" s="19"/>
      <c r="AJ3852" s="19"/>
      <c r="AK3852" s="19"/>
      <c r="AL3852" s="6" t="str">
        <f t="array" ref="AL3852">IFERROR(IFS(XLOOKUP(B3852, 'Kit Delivery Status'!$U:$U, 'Kit Delivery Status'!$K:$K) = "Complete", "DELIVERED", XLOOKUP(B3852, 'Kit Delivery Status'!$U:$U, 'Kit Delivery Status'!$K:$K) = "Issue", "ISSUE"), "")</f>
        <v/>
      </c>
      <c r="AM3852" s="6"/>
    </row>
    <row r="3853">
      <c r="A3853" s="19"/>
      <c r="B3853" s="19"/>
      <c r="C3853" s="19"/>
      <c r="D3853" s="42"/>
      <c r="E3853" s="19"/>
      <c r="F3853" s="19"/>
      <c r="G3853" s="19"/>
      <c r="H3853" s="19"/>
      <c r="I3853" s="19"/>
      <c r="J3853" s="19"/>
      <c r="K3853" s="19"/>
      <c r="L3853" s="19"/>
      <c r="M3853" s="19"/>
      <c r="N3853" s="19"/>
      <c r="O3853" s="43"/>
      <c r="P3853" s="19"/>
      <c r="Q3853" s="19"/>
      <c r="R3853" s="19"/>
      <c r="S3853" s="19"/>
      <c r="T3853" s="19"/>
      <c r="U3853" s="19"/>
      <c r="V3853" s="44"/>
      <c r="W3853" s="19"/>
      <c r="X3853" s="19"/>
      <c r="Y3853" s="19"/>
      <c r="Z3853" s="19"/>
      <c r="AA3853" s="19"/>
      <c r="AB3853" s="19"/>
      <c r="AC3853" s="19"/>
      <c r="AD3853" s="19"/>
      <c r="AE3853" s="19"/>
      <c r="AF3853" s="19"/>
      <c r="AG3853" s="19"/>
      <c r="AH3853" s="19"/>
      <c r="AI3853" s="19"/>
      <c r="AJ3853" s="19"/>
      <c r="AK3853" s="19"/>
      <c r="AL3853" s="6" t="str">
        <f t="array" ref="AL3853">IFERROR(IFS(XLOOKUP(B3853, 'Kit Delivery Status'!$U:$U, 'Kit Delivery Status'!$K:$K) = "Complete", "DELIVERED", XLOOKUP(B3853, 'Kit Delivery Status'!$U:$U, 'Kit Delivery Status'!$K:$K) = "Issue", "ISSUE"), "")</f>
        <v/>
      </c>
      <c r="AM3853" s="6"/>
    </row>
    <row r="3854">
      <c r="A3854" s="19"/>
      <c r="B3854" s="19"/>
      <c r="C3854" s="19"/>
      <c r="D3854" s="42"/>
      <c r="E3854" s="19"/>
      <c r="F3854" s="19"/>
      <c r="G3854" s="19"/>
      <c r="H3854" s="19"/>
      <c r="I3854" s="19"/>
      <c r="J3854" s="19"/>
      <c r="K3854" s="19"/>
      <c r="L3854" s="19"/>
      <c r="M3854" s="19"/>
      <c r="N3854" s="19"/>
      <c r="O3854" s="43"/>
      <c r="P3854" s="19"/>
      <c r="Q3854" s="19"/>
      <c r="R3854" s="19"/>
      <c r="S3854" s="19"/>
      <c r="T3854" s="19"/>
      <c r="U3854" s="19"/>
      <c r="V3854" s="44"/>
      <c r="W3854" s="19"/>
      <c r="X3854" s="19"/>
      <c r="Y3854" s="19"/>
      <c r="Z3854" s="19"/>
      <c r="AA3854" s="19"/>
      <c r="AB3854" s="19"/>
      <c r="AC3854" s="19"/>
      <c r="AD3854" s="19"/>
      <c r="AE3854" s="19"/>
      <c r="AF3854" s="19"/>
      <c r="AG3854" s="19"/>
      <c r="AH3854" s="19"/>
      <c r="AI3854" s="19"/>
      <c r="AJ3854" s="19"/>
      <c r="AK3854" s="19"/>
      <c r="AL3854" s="6" t="str">
        <f t="array" ref="AL3854">IFERROR(IFS(XLOOKUP(B3854, 'Kit Delivery Status'!$U:$U, 'Kit Delivery Status'!$K:$K) = "Complete", "DELIVERED", XLOOKUP(B3854, 'Kit Delivery Status'!$U:$U, 'Kit Delivery Status'!$K:$K) = "Issue", "ISSUE"), "")</f>
        <v/>
      </c>
      <c r="AM3854" s="6"/>
    </row>
    <row r="3855">
      <c r="A3855" s="19"/>
      <c r="B3855" s="19"/>
      <c r="C3855" s="19"/>
      <c r="D3855" s="42"/>
      <c r="E3855" s="19"/>
      <c r="F3855" s="19"/>
      <c r="G3855" s="19"/>
      <c r="H3855" s="19"/>
      <c r="I3855" s="19"/>
      <c r="J3855" s="19"/>
      <c r="K3855" s="19"/>
      <c r="L3855" s="19"/>
      <c r="M3855" s="19"/>
      <c r="N3855" s="19"/>
      <c r="O3855" s="43"/>
      <c r="P3855" s="19"/>
      <c r="Q3855" s="19"/>
      <c r="R3855" s="19"/>
      <c r="S3855" s="19"/>
      <c r="T3855" s="19"/>
      <c r="U3855" s="19"/>
      <c r="V3855" s="44"/>
      <c r="W3855" s="19"/>
      <c r="X3855" s="19"/>
      <c r="Y3855" s="19"/>
      <c r="Z3855" s="19"/>
      <c r="AA3855" s="19"/>
      <c r="AB3855" s="19"/>
      <c r="AC3855" s="19"/>
      <c r="AD3855" s="19"/>
      <c r="AE3855" s="19"/>
      <c r="AF3855" s="19"/>
      <c r="AG3855" s="19"/>
      <c r="AH3855" s="19"/>
      <c r="AI3855" s="19"/>
      <c r="AJ3855" s="19"/>
      <c r="AK3855" s="19"/>
      <c r="AL3855" s="6" t="str">
        <f t="array" ref="AL3855">IFERROR(IFS(XLOOKUP(B3855, 'Kit Delivery Status'!$U:$U, 'Kit Delivery Status'!$K:$K) = "Complete", "DELIVERED", XLOOKUP(B3855, 'Kit Delivery Status'!$U:$U, 'Kit Delivery Status'!$K:$K) = "Issue", "ISSUE"), "")</f>
        <v/>
      </c>
      <c r="AM3855" s="6"/>
    </row>
    <row r="3856">
      <c r="A3856" s="19"/>
      <c r="B3856" s="19"/>
      <c r="C3856" s="19"/>
      <c r="D3856" s="42"/>
      <c r="E3856" s="19"/>
      <c r="F3856" s="19"/>
      <c r="G3856" s="19"/>
      <c r="H3856" s="19"/>
      <c r="I3856" s="19"/>
      <c r="J3856" s="19"/>
      <c r="K3856" s="19"/>
      <c r="L3856" s="19"/>
      <c r="M3856" s="19"/>
      <c r="N3856" s="19"/>
      <c r="O3856" s="43"/>
      <c r="P3856" s="19"/>
      <c r="Q3856" s="19"/>
      <c r="R3856" s="19"/>
      <c r="S3856" s="19"/>
      <c r="T3856" s="19"/>
      <c r="U3856" s="19"/>
      <c r="V3856" s="44"/>
      <c r="W3856" s="19"/>
      <c r="X3856" s="19"/>
      <c r="Y3856" s="19"/>
      <c r="Z3856" s="19"/>
      <c r="AA3856" s="19"/>
      <c r="AB3856" s="19"/>
      <c r="AC3856" s="19"/>
      <c r="AD3856" s="19"/>
      <c r="AE3856" s="19"/>
      <c r="AF3856" s="19"/>
      <c r="AG3856" s="19"/>
      <c r="AH3856" s="19"/>
      <c r="AI3856" s="19"/>
      <c r="AJ3856" s="19"/>
      <c r="AK3856" s="19"/>
      <c r="AL3856" s="6" t="str">
        <f t="array" ref="AL3856">IFERROR(IFS(XLOOKUP(B3856, 'Kit Delivery Status'!$U:$U, 'Kit Delivery Status'!$K:$K) = "Complete", "DELIVERED", XLOOKUP(B3856, 'Kit Delivery Status'!$U:$U, 'Kit Delivery Status'!$K:$K) = "Issue", "ISSUE"), "")</f>
        <v/>
      </c>
      <c r="AM3856" s="6"/>
    </row>
    <row r="3857">
      <c r="A3857" s="19"/>
      <c r="B3857" s="19"/>
      <c r="C3857" s="19"/>
      <c r="D3857" s="42"/>
      <c r="E3857" s="19"/>
      <c r="F3857" s="19"/>
      <c r="G3857" s="19"/>
      <c r="H3857" s="19"/>
      <c r="I3857" s="19"/>
      <c r="J3857" s="19"/>
      <c r="K3857" s="19"/>
      <c r="L3857" s="19"/>
      <c r="M3857" s="19"/>
      <c r="N3857" s="19"/>
      <c r="O3857" s="43"/>
      <c r="P3857" s="19"/>
      <c r="Q3857" s="19"/>
      <c r="R3857" s="19"/>
      <c r="S3857" s="19"/>
      <c r="T3857" s="19"/>
      <c r="U3857" s="19"/>
      <c r="V3857" s="44"/>
      <c r="W3857" s="19"/>
      <c r="X3857" s="19"/>
      <c r="Y3857" s="19"/>
      <c r="Z3857" s="19"/>
      <c r="AA3857" s="19"/>
      <c r="AB3857" s="19"/>
      <c r="AC3857" s="19"/>
      <c r="AD3857" s="19"/>
      <c r="AE3857" s="19"/>
      <c r="AF3857" s="19"/>
      <c r="AG3857" s="19"/>
      <c r="AH3857" s="19"/>
      <c r="AI3857" s="19"/>
      <c r="AJ3857" s="19"/>
      <c r="AK3857" s="19"/>
      <c r="AL3857" s="6" t="str">
        <f t="array" ref="AL3857">IFERROR(IFS(XLOOKUP(B3857, 'Kit Delivery Status'!$U:$U, 'Kit Delivery Status'!$K:$K) = "Complete", "DELIVERED", XLOOKUP(B3857, 'Kit Delivery Status'!$U:$U, 'Kit Delivery Status'!$K:$K) = "Issue", "ISSUE"), "")</f>
        <v/>
      </c>
      <c r="AM3857" s="6"/>
    </row>
    <row r="3858">
      <c r="A3858" s="19"/>
      <c r="B3858" s="19"/>
      <c r="C3858" s="19"/>
      <c r="D3858" s="42"/>
      <c r="E3858" s="19"/>
      <c r="F3858" s="19"/>
      <c r="G3858" s="19"/>
      <c r="H3858" s="19"/>
      <c r="I3858" s="19"/>
      <c r="J3858" s="19"/>
      <c r="K3858" s="19"/>
      <c r="L3858" s="19"/>
      <c r="M3858" s="19"/>
      <c r="N3858" s="19"/>
      <c r="O3858" s="43"/>
      <c r="P3858" s="19"/>
      <c r="Q3858" s="19"/>
      <c r="R3858" s="19"/>
      <c r="S3858" s="19"/>
      <c r="T3858" s="19"/>
      <c r="U3858" s="19"/>
      <c r="V3858" s="44"/>
      <c r="W3858" s="19"/>
      <c r="X3858" s="19"/>
      <c r="Y3858" s="19"/>
      <c r="Z3858" s="19"/>
      <c r="AA3858" s="19"/>
      <c r="AB3858" s="19"/>
      <c r="AC3858" s="19"/>
      <c r="AD3858" s="19"/>
      <c r="AE3858" s="19"/>
      <c r="AF3858" s="19"/>
      <c r="AG3858" s="19"/>
      <c r="AH3858" s="19"/>
      <c r="AI3858" s="19"/>
      <c r="AJ3858" s="19"/>
      <c r="AK3858" s="19"/>
      <c r="AL3858" s="6" t="str">
        <f t="array" ref="AL3858">IFERROR(IFS(XLOOKUP(B3858, 'Kit Delivery Status'!$U:$U, 'Kit Delivery Status'!$K:$K) = "Complete", "DELIVERED", XLOOKUP(B3858, 'Kit Delivery Status'!$U:$U, 'Kit Delivery Status'!$K:$K) = "Issue", "ISSUE"), "")</f>
        <v/>
      </c>
      <c r="AM3858" s="6"/>
    </row>
    <row r="3859">
      <c r="A3859" s="19"/>
      <c r="B3859" s="19"/>
      <c r="C3859" s="19"/>
      <c r="D3859" s="42"/>
      <c r="E3859" s="19"/>
      <c r="F3859" s="19"/>
      <c r="G3859" s="19"/>
      <c r="H3859" s="19"/>
      <c r="I3859" s="19"/>
      <c r="J3859" s="19"/>
      <c r="K3859" s="19"/>
      <c r="L3859" s="19"/>
      <c r="M3859" s="19"/>
      <c r="N3859" s="19"/>
      <c r="O3859" s="43"/>
      <c r="P3859" s="19"/>
      <c r="Q3859" s="19"/>
      <c r="R3859" s="19"/>
      <c r="S3859" s="19"/>
      <c r="T3859" s="19"/>
      <c r="U3859" s="19"/>
      <c r="V3859" s="44"/>
      <c r="W3859" s="19"/>
      <c r="X3859" s="19"/>
      <c r="Y3859" s="19"/>
      <c r="Z3859" s="19"/>
      <c r="AA3859" s="19"/>
      <c r="AB3859" s="19"/>
      <c r="AC3859" s="19"/>
      <c r="AD3859" s="19"/>
      <c r="AE3859" s="19"/>
      <c r="AF3859" s="19"/>
      <c r="AG3859" s="19"/>
      <c r="AH3859" s="19"/>
      <c r="AI3859" s="19"/>
      <c r="AJ3859" s="19"/>
      <c r="AK3859" s="19"/>
      <c r="AL3859" s="6" t="str">
        <f t="array" ref="AL3859">IFERROR(IFS(XLOOKUP(B3859, 'Kit Delivery Status'!$U:$U, 'Kit Delivery Status'!$K:$K) = "Complete", "DELIVERED", XLOOKUP(B3859, 'Kit Delivery Status'!$U:$U, 'Kit Delivery Status'!$K:$K) = "Issue", "ISSUE"), "")</f>
        <v/>
      </c>
      <c r="AM3859" s="6"/>
    </row>
    <row r="3860">
      <c r="A3860" s="19"/>
      <c r="B3860" s="19"/>
      <c r="C3860" s="19"/>
      <c r="D3860" s="42"/>
      <c r="E3860" s="19"/>
      <c r="F3860" s="19"/>
      <c r="G3860" s="19"/>
      <c r="H3860" s="19"/>
      <c r="I3860" s="19"/>
      <c r="J3860" s="19"/>
      <c r="K3860" s="19"/>
      <c r="L3860" s="19"/>
      <c r="M3860" s="19"/>
      <c r="N3860" s="19"/>
      <c r="O3860" s="43"/>
      <c r="P3860" s="19"/>
      <c r="Q3860" s="19"/>
      <c r="R3860" s="19"/>
      <c r="S3860" s="19"/>
      <c r="T3860" s="19"/>
      <c r="U3860" s="19"/>
      <c r="V3860" s="44"/>
      <c r="W3860" s="19"/>
      <c r="X3860" s="19"/>
      <c r="Y3860" s="19"/>
      <c r="Z3860" s="19"/>
      <c r="AA3860" s="19"/>
      <c r="AB3860" s="19"/>
      <c r="AC3860" s="19"/>
      <c r="AD3860" s="19"/>
      <c r="AE3860" s="19"/>
      <c r="AF3860" s="19"/>
      <c r="AG3860" s="19"/>
      <c r="AH3860" s="19"/>
      <c r="AI3860" s="19"/>
      <c r="AJ3860" s="19"/>
      <c r="AK3860" s="19"/>
      <c r="AL3860" s="6" t="str">
        <f t="array" ref="AL3860">IFERROR(IFS(XLOOKUP(B3860, 'Kit Delivery Status'!$U:$U, 'Kit Delivery Status'!$K:$K) = "Complete", "DELIVERED", XLOOKUP(B3860, 'Kit Delivery Status'!$U:$U, 'Kit Delivery Status'!$K:$K) = "Issue", "ISSUE"), "")</f>
        <v/>
      </c>
      <c r="AM3860" s="6"/>
    </row>
    <row r="3861">
      <c r="A3861" s="19"/>
      <c r="B3861" s="19"/>
      <c r="C3861" s="19"/>
      <c r="D3861" s="42"/>
      <c r="E3861" s="19"/>
      <c r="F3861" s="19"/>
      <c r="G3861" s="19"/>
      <c r="H3861" s="19"/>
      <c r="I3861" s="19"/>
      <c r="J3861" s="19"/>
      <c r="K3861" s="19"/>
      <c r="L3861" s="19"/>
      <c r="M3861" s="19"/>
      <c r="N3861" s="19"/>
      <c r="O3861" s="43"/>
      <c r="P3861" s="19"/>
      <c r="Q3861" s="19"/>
      <c r="R3861" s="19"/>
      <c r="S3861" s="19"/>
      <c r="T3861" s="19"/>
      <c r="U3861" s="19"/>
      <c r="V3861" s="44"/>
      <c r="W3861" s="19"/>
      <c r="X3861" s="19"/>
      <c r="Y3861" s="19"/>
      <c r="Z3861" s="19"/>
      <c r="AA3861" s="19"/>
      <c r="AB3861" s="19"/>
      <c r="AC3861" s="19"/>
      <c r="AD3861" s="19"/>
      <c r="AE3861" s="19"/>
      <c r="AF3861" s="19"/>
      <c r="AG3861" s="19"/>
      <c r="AH3861" s="19"/>
      <c r="AI3861" s="19"/>
      <c r="AJ3861" s="19"/>
      <c r="AK3861" s="19"/>
      <c r="AL3861" s="6" t="str">
        <f t="array" ref="AL3861">IFERROR(IFS(XLOOKUP(B3861, 'Kit Delivery Status'!$U:$U, 'Kit Delivery Status'!$K:$K) = "Complete", "DELIVERED", XLOOKUP(B3861, 'Kit Delivery Status'!$U:$U, 'Kit Delivery Status'!$K:$K) = "Issue", "ISSUE"), "")</f>
        <v/>
      </c>
      <c r="AM3861" s="6"/>
    </row>
    <row r="3862">
      <c r="A3862" s="19"/>
      <c r="B3862" s="19"/>
      <c r="C3862" s="19"/>
      <c r="D3862" s="42"/>
      <c r="E3862" s="19"/>
      <c r="F3862" s="19"/>
      <c r="G3862" s="19"/>
      <c r="H3862" s="19"/>
      <c r="I3862" s="19"/>
      <c r="J3862" s="19"/>
      <c r="K3862" s="19"/>
      <c r="L3862" s="19"/>
      <c r="M3862" s="19"/>
      <c r="N3862" s="19"/>
      <c r="O3862" s="43"/>
      <c r="P3862" s="19"/>
      <c r="Q3862" s="19"/>
      <c r="R3862" s="19"/>
      <c r="S3862" s="19"/>
      <c r="T3862" s="19"/>
      <c r="U3862" s="19"/>
      <c r="V3862" s="44"/>
      <c r="W3862" s="19"/>
      <c r="X3862" s="19"/>
      <c r="Y3862" s="19"/>
      <c r="Z3862" s="19"/>
      <c r="AA3862" s="19"/>
      <c r="AB3862" s="19"/>
      <c r="AC3862" s="19"/>
      <c r="AD3862" s="19"/>
      <c r="AE3862" s="19"/>
      <c r="AF3862" s="19"/>
      <c r="AG3862" s="19"/>
      <c r="AH3862" s="19"/>
      <c r="AI3862" s="19"/>
      <c r="AJ3862" s="19"/>
      <c r="AK3862" s="19"/>
      <c r="AL3862" s="6" t="str">
        <f t="array" ref="AL3862">IFERROR(IFS(XLOOKUP(B3862, 'Kit Delivery Status'!$U:$U, 'Kit Delivery Status'!$K:$K) = "Complete", "DELIVERED", XLOOKUP(B3862, 'Kit Delivery Status'!$U:$U, 'Kit Delivery Status'!$K:$K) = "Issue", "ISSUE"), "")</f>
        <v/>
      </c>
      <c r="AM3862" s="6"/>
    </row>
    <row r="3863">
      <c r="A3863" s="19"/>
      <c r="B3863" s="19"/>
      <c r="C3863" s="19"/>
      <c r="D3863" s="42"/>
      <c r="E3863" s="19"/>
      <c r="F3863" s="19"/>
      <c r="G3863" s="19"/>
      <c r="H3863" s="19"/>
      <c r="I3863" s="19"/>
      <c r="J3863" s="19"/>
      <c r="K3863" s="19"/>
      <c r="L3863" s="19"/>
      <c r="M3863" s="19"/>
      <c r="N3863" s="19"/>
      <c r="O3863" s="43"/>
      <c r="P3863" s="19"/>
      <c r="Q3863" s="19"/>
      <c r="R3863" s="19"/>
      <c r="S3863" s="19"/>
      <c r="T3863" s="19"/>
      <c r="U3863" s="19"/>
      <c r="V3863" s="44"/>
      <c r="W3863" s="19"/>
      <c r="X3863" s="19"/>
      <c r="Y3863" s="19"/>
      <c r="Z3863" s="19"/>
      <c r="AA3863" s="19"/>
      <c r="AB3863" s="19"/>
      <c r="AC3863" s="19"/>
      <c r="AD3863" s="19"/>
      <c r="AE3863" s="19"/>
      <c r="AF3863" s="19"/>
      <c r="AG3863" s="19"/>
      <c r="AH3863" s="19"/>
      <c r="AI3863" s="19"/>
      <c r="AJ3863" s="19"/>
      <c r="AK3863" s="19"/>
      <c r="AL3863" s="6" t="str">
        <f t="array" ref="AL3863">IFERROR(IFS(XLOOKUP(B3863, 'Kit Delivery Status'!$U:$U, 'Kit Delivery Status'!$K:$K) = "Complete", "DELIVERED", XLOOKUP(B3863, 'Kit Delivery Status'!$U:$U, 'Kit Delivery Status'!$K:$K) = "Issue", "ISSUE"), "")</f>
        <v/>
      </c>
      <c r="AM3863" s="6"/>
    </row>
    <row r="3864">
      <c r="A3864" s="19"/>
      <c r="B3864" s="19"/>
      <c r="C3864" s="19"/>
      <c r="D3864" s="42"/>
      <c r="E3864" s="19"/>
      <c r="F3864" s="19"/>
      <c r="G3864" s="19"/>
      <c r="H3864" s="19"/>
      <c r="I3864" s="19"/>
      <c r="J3864" s="19"/>
      <c r="K3864" s="19"/>
      <c r="L3864" s="19"/>
      <c r="M3864" s="19"/>
      <c r="N3864" s="19"/>
      <c r="O3864" s="43"/>
      <c r="P3864" s="19"/>
      <c r="Q3864" s="19"/>
      <c r="R3864" s="19"/>
      <c r="S3864" s="19"/>
      <c r="T3864" s="19"/>
      <c r="U3864" s="19"/>
      <c r="V3864" s="44"/>
      <c r="W3864" s="19"/>
      <c r="X3864" s="19"/>
      <c r="Y3864" s="19"/>
      <c r="Z3864" s="19"/>
      <c r="AA3864" s="19"/>
      <c r="AB3864" s="19"/>
      <c r="AC3864" s="19"/>
      <c r="AD3864" s="19"/>
      <c r="AE3864" s="19"/>
      <c r="AF3864" s="19"/>
      <c r="AG3864" s="19"/>
      <c r="AH3864" s="19"/>
      <c r="AI3864" s="19"/>
      <c r="AJ3864" s="19"/>
      <c r="AK3864" s="19"/>
      <c r="AL3864" s="6" t="str">
        <f t="array" ref="AL3864">IFERROR(IFS(XLOOKUP(B3864, 'Kit Delivery Status'!$U:$U, 'Kit Delivery Status'!$K:$K) = "Complete", "DELIVERED", XLOOKUP(B3864, 'Kit Delivery Status'!$U:$U, 'Kit Delivery Status'!$K:$K) = "Issue", "ISSUE"), "")</f>
        <v/>
      </c>
      <c r="AM3864" s="6"/>
    </row>
    <row r="3865">
      <c r="A3865" s="19"/>
      <c r="B3865" s="19"/>
      <c r="C3865" s="19"/>
      <c r="D3865" s="42"/>
      <c r="E3865" s="19"/>
      <c r="F3865" s="19"/>
      <c r="G3865" s="19"/>
      <c r="H3865" s="19"/>
      <c r="I3865" s="19"/>
      <c r="J3865" s="19"/>
      <c r="K3865" s="19"/>
      <c r="L3865" s="19"/>
      <c r="M3865" s="19"/>
      <c r="N3865" s="19"/>
      <c r="O3865" s="43"/>
      <c r="P3865" s="19"/>
      <c r="Q3865" s="19"/>
      <c r="R3865" s="19"/>
      <c r="S3865" s="19"/>
      <c r="T3865" s="19"/>
      <c r="U3865" s="19"/>
      <c r="V3865" s="44"/>
      <c r="W3865" s="19"/>
      <c r="X3865" s="19"/>
      <c r="Y3865" s="19"/>
      <c r="Z3865" s="19"/>
      <c r="AA3865" s="19"/>
      <c r="AB3865" s="19"/>
      <c r="AC3865" s="19"/>
      <c r="AD3865" s="19"/>
      <c r="AE3865" s="19"/>
      <c r="AF3865" s="19"/>
      <c r="AG3865" s="19"/>
      <c r="AH3865" s="19"/>
      <c r="AI3865" s="19"/>
      <c r="AJ3865" s="19"/>
      <c r="AK3865" s="19"/>
      <c r="AL3865" s="6" t="str">
        <f t="array" ref="AL3865">IFERROR(IFS(XLOOKUP(B3865, 'Kit Delivery Status'!$U:$U, 'Kit Delivery Status'!$K:$K) = "Complete", "DELIVERED", XLOOKUP(B3865, 'Kit Delivery Status'!$U:$U, 'Kit Delivery Status'!$K:$K) = "Issue", "ISSUE"), "")</f>
        <v/>
      </c>
      <c r="AM3865" s="6"/>
    </row>
    <row r="3866">
      <c r="A3866" s="19"/>
      <c r="B3866" s="19"/>
      <c r="C3866" s="19"/>
      <c r="D3866" s="42"/>
      <c r="E3866" s="19"/>
      <c r="F3866" s="19"/>
      <c r="G3866" s="19"/>
      <c r="H3866" s="19"/>
      <c r="I3866" s="19"/>
      <c r="J3866" s="19"/>
      <c r="K3866" s="19"/>
      <c r="L3866" s="19"/>
      <c r="M3866" s="19"/>
      <c r="N3866" s="19"/>
      <c r="O3866" s="43"/>
      <c r="P3866" s="19"/>
      <c r="Q3866" s="19"/>
      <c r="R3866" s="19"/>
      <c r="S3866" s="19"/>
      <c r="T3866" s="19"/>
      <c r="U3866" s="19"/>
      <c r="V3866" s="44"/>
      <c r="W3866" s="19"/>
      <c r="X3866" s="19"/>
      <c r="Y3866" s="19"/>
      <c r="Z3866" s="19"/>
      <c r="AA3866" s="19"/>
      <c r="AB3866" s="19"/>
      <c r="AC3866" s="19"/>
      <c r="AD3866" s="19"/>
      <c r="AE3866" s="19"/>
      <c r="AF3866" s="19"/>
      <c r="AG3866" s="19"/>
      <c r="AH3866" s="19"/>
      <c r="AI3866" s="19"/>
      <c r="AJ3866" s="19"/>
      <c r="AK3866" s="19"/>
      <c r="AL3866" s="6" t="str">
        <f t="array" ref="AL3866">IFERROR(IFS(XLOOKUP(B3866, 'Kit Delivery Status'!$U:$U, 'Kit Delivery Status'!$K:$K) = "Complete", "DELIVERED", XLOOKUP(B3866, 'Kit Delivery Status'!$U:$U, 'Kit Delivery Status'!$K:$K) = "Issue", "ISSUE"), "")</f>
        <v/>
      </c>
      <c r="AM3866" s="6"/>
    </row>
    <row r="3867">
      <c r="A3867" s="19"/>
      <c r="B3867" s="19"/>
      <c r="C3867" s="19"/>
      <c r="D3867" s="42"/>
      <c r="E3867" s="19"/>
      <c r="F3867" s="19"/>
      <c r="G3867" s="19"/>
      <c r="H3867" s="19"/>
      <c r="I3867" s="19"/>
      <c r="J3867" s="19"/>
      <c r="K3867" s="19"/>
      <c r="L3867" s="19"/>
      <c r="M3867" s="19"/>
      <c r="N3867" s="19"/>
      <c r="O3867" s="43"/>
      <c r="P3867" s="19"/>
      <c r="Q3867" s="19"/>
      <c r="R3867" s="19"/>
      <c r="S3867" s="19"/>
      <c r="T3867" s="19"/>
      <c r="U3867" s="19"/>
      <c r="V3867" s="44"/>
      <c r="W3867" s="19"/>
      <c r="X3867" s="19"/>
      <c r="Y3867" s="19"/>
      <c r="Z3867" s="19"/>
      <c r="AA3867" s="19"/>
      <c r="AB3867" s="19"/>
      <c r="AC3867" s="19"/>
      <c r="AD3867" s="19"/>
      <c r="AE3867" s="19"/>
      <c r="AF3867" s="19"/>
      <c r="AG3867" s="19"/>
      <c r="AH3867" s="19"/>
      <c r="AI3867" s="19"/>
      <c r="AJ3867" s="19"/>
      <c r="AK3867" s="19"/>
      <c r="AL3867" s="6" t="str">
        <f t="array" ref="AL3867">IFERROR(IFS(XLOOKUP(B3867, 'Kit Delivery Status'!$U:$U, 'Kit Delivery Status'!$K:$K) = "Complete", "DELIVERED", XLOOKUP(B3867, 'Kit Delivery Status'!$U:$U, 'Kit Delivery Status'!$K:$K) = "Issue", "ISSUE"), "")</f>
        <v/>
      </c>
      <c r="AM3867" s="6"/>
    </row>
    <row r="3868">
      <c r="A3868" s="19"/>
      <c r="B3868" s="19"/>
      <c r="C3868" s="19"/>
      <c r="D3868" s="42"/>
      <c r="E3868" s="19"/>
      <c r="F3868" s="19"/>
      <c r="G3868" s="19"/>
      <c r="H3868" s="19"/>
      <c r="I3868" s="19"/>
      <c r="J3868" s="19"/>
      <c r="K3868" s="19"/>
      <c r="L3868" s="19"/>
      <c r="M3868" s="19"/>
      <c r="N3868" s="19"/>
      <c r="O3868" s="43"/>
      <c r="P3868" s="19"/>
      <c r="Q3868" s="19"/>
      <c r="R3868" s="19"/>
      <c r="S3868" s="19"/>
      <c r="T3868" s="19"/>
      <c r="U3868" s="19"/>
      <c r="V3868" s="44"/>
      <c r="W3868" s="19"/>
      <c r="X3868" s="19"/>
      <c r="Y3868" s="19"/>
      <c r="Z3868" s="19"/>
      <c r="AA3868" s="19"/>
      <c r="AB3868" s="19"/>
      <c r="AC3868" s="19"/>
      <c r="AD3868" s="19"/>
      <c r="AE3868" s="19"/>
      <c r="AF3868" s="19"/>
      <c r="AG3868" s="19"/>
      <c r="AH3868" s="19"/>
      <c r="AI3868" s="19"/>
      <c r="AJ3868" s="19"/>
      <c r="AK3868" s="19"/>
      <c r="AL3868" s="6" t="str">
        <f t="array" ref="AL3868">IFERROR(IFS(XLOOKUP(B3868, 'Kit Delivery Status'!$U:$U, 'Kit Delivery Status'!$K:$K) = "Complete", "DELIVERED", XLOOKUP(B3868, 'Kit Delivery Status'!$U:$U, 'Kit Delivery Status'!$K:$K) = "Issue", "ISSUE"), "")</f>
        <v/>
      </c>
      <c r="AM3868" s="6"/>
    </row>
    <row r="3869">
      <c r="A3869" s="19"/>
      <c r="B3869" s="19"/>
      <c r="C3869" s="19"/>
      <c r="D3869" s="42"/>
      <c r="E3869" s="19"/>
      <c r="F3869" s="19"/>
      <c r="G3869" s="19"/>
      <c r="H3869" s="19"/>
      <c r="I3869" s="19"/>
      <c r="J3869" s="19"/>
      <c r="K3869" s="19"/>
      <c r="L3869" s="19"/>
      <c r="M3869" s="19"/>
      <c r="N3869" s="19"/>
      <c r="O3869" s="43"/>
      <c r="P3869" s="19"/>
      <c r="Q3869" s="19"/>
      <c r="R3869" s="19"/>
      <c r="S3869" s="19"/>
      <c r="T3869" s="19"/>
      <c r="U3869" s="19"/>
      <c r="V3869" s="44"/>
      <c r="W3869" s="19"/>
      <c r="X3869" s="19"/>
      <c r="Y3869" s="19"/>
      <c r="Z3869" s="19"/>
      <c r="AA3869" s="19"/>
      <c r="AB3869" s="19"/>
      <c r="AC3869" s="19"/>
      <c r="AD3869" s="19"/>
      <c r="AE3869" s="19"/>
      <c r="AF3869" s="19"/>
      <c r="AG3869" s="19"/>
      <c r="AH3869" s="19"/>
      <c r="AI3869" s="19"/>
      <c r="AJ3869" s="19"/>
      <c r="AK3869" s="19"/>
      <c r="AL3869" s="6" t="str">
        <f t="array" ref="AL3869">IFERROR(IFS(XLOOKUP(B3869, 'Kit Delivery Status'!$U:$U, 'Kit Delivery Status'!$K:$K) = "Complete", "DELIVERED", XLOOKUP(B3869, 'Kit Delivery Status'!$U:$U, 'Kit Delivery Status'!$K:$K) = "Issue", "ISSUE"), "")</f>
        <v/>
      </c>
      <c r="AM3869" s="6"/>
    </row>
    <row r="3870">
      <c r="A3870" s="19"/>
      <c r="B3870" s="19"/>
      <c r="C3870" s="19"/>
      <c r="D3870" s="42"/>
      <c r="E3870" s="19"/>
      <c r="F3870" s="19"/>
      <c r="G3870" s="19"/>
      <c r="H3870" s="19"/>
      <c r="I3870" s="19"/>
      <c r="J3870" s="19"/>
      <c r="K3870" s="19"/>
      <c r="L3870" s="19"/>
      <c r="M3870" s="19"/>
      <c r="N3870" s="19"/>
      <c r="O3870" s="43"/>
      <c r="P3870" s="19"/>
      <c r="Q3870" s="19"/>
      <c r="R3870" s="19"/>
      <c r="S3870" s="19"/>
      <c r="T3870" s="19"/>
      <c r="U3870" s="19"/>
      <c r="V3870" s="44"/>
      <c r="W3870" s="19"/>
      <c r="X3870" s="19"/>
      <c r="Y3870" s="19"/>
      <c r="Z3870" s="19"/>
      <c r="AA3870" s="19"/>
      <c r="AB3870" s="19"/>
      <c r="AC3870" s="19"/>
      <c r="AD3870" s="19"/>
      <c r="AE3870" s="19"/>
      <c r="AF3870" s="19"/>
      <c r="AG3870" s="19"/>
      <c r="AH3870" s="19"/>
      <c r="AI3870" s="19"/>
      <c r="AJ3870" s="19"/>
      <c r="AK3870" s="19"/>
      <c r="AL3870" s="6" t="str">
        <f t="array" ref="AL3870">IFERROR(IFS(XLOOKUP(B3870, 'Kit Delivery Status'!$U:$U, 'Kit Delivery Status'!$K:$K) = "Complete", "DELIVERED", XLOOKUP(B3870, 'Kit Delivery Status'!$U:$U, 'Kit Delivery Status'!$K:$K) = "Issue", "ISSUE"), "")</f>
        <v/>
      </c>
      <c r="AM3870" s="6"/>
    </row>
    <row r="3871">
      <c r="A3871" s="19"/>
      <c r="B3871" s="19"/>
      <c r="C3871" s="19"/>
      <c r="D3871" s="42"/>
      <c r="E3871" s="19"/>
      <c r="F3871" s="19"/>
      <c r="G3871" s="19"/>
      <c r="H3871" s="19"/>
      <c r="I3871" s="19"/>
      <c r="J3871" s="19"/>
      <c r="K3871" s="19"/>
      <c r="L3871" s="19"/>
      <c r="M3871" s="19"/>
      <c r="N3871" s="19"/>
      <c r="O3871" s="43"/>
      <c r="P3871" s="19"/>
      <c r="Q3871" s="19"/>
      <c r="R3871" s="19"/>
      <c r="S3871" s="19"/>
      <c r="T3871" s="19"/>
      <c r="U3871" s="19"/>
      <c r="V3871" s="44"/>
      <c r="W3871" s="19"/>
      <c r="X3871" s="19"/>
      <c r="Y3871" s="19"/>
      <c r="Z3871" s="19"/>
      <c r="AA3871" s="19"/>
      <c r="AB3871" s="19"/>
      <c r="AC3871" s="19"/>
      <c r="AD3871" s="19"/>
      <c r="AE3871" s="19"/>
      <c r="AF3871" s="19"/>
      <c r="AG3871" s="19"/>
      <c r="AH3871" s="19"/>
      <c r="AI3871" s="19"/>
      <c r="AJ3871" s="19"/>
      <c r="AK3871" s="19"/>
      <c r="AL3871" s="6" t="str">
        <f t="array" ref="AL3871">IFERROR(IFS(XLOOKUP(B3871, 'Kit Delivery Status'!$U:$U, 'Kit Delivery Status'!$K:$K) = "Complete", "DELIVERED", XLOOKUP(B3871, 'Kit Delivery Status'!$U:$U, 'Kit Delivery Status'!$K:$K) = "Issue", "ISSUE"), "")</f>
        <v/>
      </c>
      <c r="AM3871" s="6"/>
    </row>
    <row r="3872">
      <c r="A3872" s="19"/>
      <c r="B3872" s="19"/>
      <c r="C3872" s="19"/>
      <c r="D3872" s="42"/>
      <c r="E3872" s="19"/>
      <c r="F3872" s="19"/>
      <c r="G3872" s="19"/>
      <c r="H3872" s="19"/>
      <c r="I3872" s="19"/>
      <c r="J3872" s="19"/>
      <c r="K3872" s="19"/>
      <c r="L3872" s="19"/>
      <c r="M3872" s="19"/>
      <c r="N3872" s="19"/>
      <c r="O3872" s="43"/>
      <c r="P3872" s="19"/>
      <c r="Q3872" s="19"/>
      <c r="R3872" s="19"/>
      <c r="S3872" s="19"/>
      <c r="T3872" s="19"/>
      <c r="U3872" s="19"/>
      <c r="V3872" s="44"/>
      <c r="W3872" s="19"/>
      <c r="X3872" s="19"/>
      <c r="Y3872" s="19"/>
      <c r="Z3872" s="19"/>
      <c r="AA3872" s="19"/>
      <c r="AB3872" s="19"/>
      <c r="AC3872" s="19"/>
      <c r="AD3872" s="19"/>
      <c r="AE3872" s="19"/>
      <c r="AF3872" s="19"/>
      <c r="AG3872" s="19"/>
      <c r="AH3872" s="19"/>
      <c r="AI3872" s="19"/>
      <c r="AJ3872" s="19"/>
      <c r="AK3872" s="19"/>
      <c r="AL3872" s="6" t="str">
        <f t="array" ref="AL3872">IFERROR(IFS(XLOOKUP(B3872, 'Kit Delivery Status'!$U:$U, 'Kit Delivery Status'!$K:$K) = "Complete", "DELIVERED", XLOOKUP(B3872, 'Kit Delivery Status'!$U:$U, 'Kit Delivery Status'!$K:$K) = "Issue", "ISSUE"), "")</f>
        <v/>
      </c>
      <c r="AM3872" s="6"/>
    </row>
    <row r="3873">
      <c r="A3873" s="19"/>
      <c r="B3873" s="19"/>
      <c r="C3873" s="19"/>
      <c r="D3873" s="42"/>
      <c r="E3873" s="19"/>
      <c r="F3873" s="19"/>
      <c r="G3873" s="19"/>
      <c r="H3873" s="19"/>
      <c r="I3873" s="19"/>
      <c r="J3873" s="19"/>
      <c r="K3873" s="19"/>
      <c r="L3873" s="19"/>
      <c r="M3873" s="19"/>
      <c r="N3873" s="19"/>
      <c r="O3873" s="43"/>
      <c r="P3873" s="19"/>
      <c r="Q3873" s="19"/>
      <c r="R3873" s="19"/>
      <c r="S3873" s="19"/>
      <c r="T3873" s="19"/>
      <c r="U3873" s="19"/>
      <c r="V3873" s="44"/>
      <c r="W3873" s="19"/>
      <c r="X3873" s="19"/>
      <c r="Y3873" s="19"/>
      <c r="Z3873" s="19"/>
      <c r="AA3873" s="19"/>
      <c r="AB3873" s="19"/>
      <c r="AC3873" s="19"/>
      <c r="AD3873" s="19"/>
      <c r="AE3873" s="19"/>
      <c r="AF3873" s="19"/>
      <c r="AG3873" s="19"/>
      <c r="AH3873" s="19"/>
      <c r="AI3873" s="19"/>
      <c r="AJ3873" s="19"/>
      <c r="AK3873" s="19"/>
      <c r="AL3873" s="6" t="str">
        <f t="array" ref="AL3873">IFERROR(IFS(XLOOKUP(B3873, 'Kit Delivery Status'!$U:$U, 'Kit Delivery Status'!$K:$K) = "Complete", "DELIVERED", XLOOKUP(B3873, 'Kit Delivery Status'!$U:$U, 'Kit Delivery Status'!$K:$K) = "Issue", "ISSUE"), "")</f>
        <v/>
      </c>
      <c r="AM3873" s="6"/>
    </row>
    <row r="3874">
      <c r="A3874" s="19"/>
      <c r="B3874" s="19"/>
      <c r="C3874" s="19"/>
      <c r="D3874" s="42"/>
      <c r="E3874" s="19"/>
      <c r="F3874" s="19"/>
      <c r="G3874" s="19"/>
      <c r="H3874" s="19"/>
      <c r="I3874" s="19"/>
      <c r="J3874" s="19"/>
      <c r="K3874" s="19"/>
      <c r="L3874" s="19"/>
      <c r="M3874" s="19"/>
      <c r="N3874" s="19"/>
      <c r="O3874" s="43"/>
      <c r="P3874" s="19"/>
      <c r="Q3874" s="19"/>
      <c r="R3874" s="19"/>
      <c r="S3874" s="19"/>
      <c r="T3874" s="19"/>
      <c r="U3874" s="19"/>
      <c r="V3874" s="44"/>
      <c r="W3874" s="19"/>
      <c r="X3874" s="19"/>
      <c r="Y3874" s="19"/>
      <c r="Z3874" s="19"/>
      <c r="AA3874" s="19"/>
      <c r="AB3874" s="19"/>
      <c r="AC3874" s="19"/>
      <c r="AD3874" s="19"/>
      <c r="AE3874" s="19"/>
      <c r="AF3874" s="19"/>
      <c r="AG3874" s="19"/>
      <c r="AH3874" s="19"/>
      <c r="AI3874" s="19"/>
      <c r="AJ3874" s="19"/>
      <c r="AK3874" s="19"/>
      <c r="AL3874" s="6" t="str">
        <f t="array" ref="AL3874">IFERROR(IFS(XLOOKUP(B3874, 'Kit Delivery Status'!$U:$U, 'Kit Delivery Status'!$K:$K) = "Complete", "DELIVERED", XLOOKUP(B3874, 'Kit Delivery Status'!$U:$U, 'Kit Delivery Status'!$K:$K) = "Issue", "ISSUE"), "")</f>
        <v/>
      </c>
      <c r="AM3874" s="6"/>
    </row>
    <row r="3875">
      <c r="A3875" s="19"/>
      <c r="B3875" s="19"/>
      <c r="C3875" s="19"/>
      <c r="D3875" s="42"/>
      <c r="E3875" s="19"/>
      <c r="F3875" s="19"/>
      <c r="G3875" s="19"/>
      <c r="H3875" s="19"/>
      <c r="I3875" s="19"/>
      <c r="J3875" s="19"/>
      <c r="K3875" s="19"/>
      <c r="L3875" s="19"/>
      <c r="M3875" s="19"/>
      <c r="N3875" s="19"/>
      <c r="O3875" s="43"/>
      <c r="P3875" s="19"/>
      <c r="Q3875" s="19"/>
      <c r="R3875" s="19"/>
      <c r="S3875" s="19"/>
      <c r="T3875" s="19"/>
      <c r="U3875" s="19"/>
      <c r="V3875" s="44"/>
      <c r="W3875" s="19"/>
      <c r="X3875" s="19"/>
      <c r="Y3875" s="19"/>
      <c r="Z3875" s="19"/>
      <c r="AA3875" s="19"/>
      <c r="AB3875" s="19"/>
      <c r="AC3875" s="19"/>
      <c r="AD3875" s="19"/>
      <c r="AE3875" s="19"/>
      <c r="AF3875" s="19"/>
      <c r="AG3875" s="19"/>
      <c r="AH3875" s="19"/>
      <c r="AI3875" s="19"/>
      <c r="AJ3875" s="19"/>
      <c r="AK3875" s="19"/>
      <c r="AL3875" s="6" t="str">
        <f t="array" ref="AL3875">IFERROR(IFS(XLOOKUP(B3875, 'Kit Delivery Status'!$U:$U, 'Kit Delivery Status'!$K:$K) = "Complete", "DELIVERED", XLOOKUP(B3875, 'Kit Delivery Status'!$U:$U, 'Kit Delivery Status'!$K:$K) = "Issue", "ISSUE"), "")</f>
        <v/>
      </c>
      <c r="AM3875" s="6"/>
    </row>
    <row r="3876">
      <c r="A3876" s="19"/>
      <c r="B3876" s="19"/>
      <c r="C3876" s="19"/>
      <c r="D3876" s="42"/>
      <c r="E3876" s="19"/>
      <c r="F3876" s="19"/>
      <c r="G3876" s="19"/>
      <c r="H3876" s="19"/>
      <c r="I3876" s="19"/>
      <c r="J3876" s="19"/>
      <c r="K3876" s="19"/>
      <c r="L3876" s="19"/>
      <c r="M3876" s="19"/>
      <c r="N3876" s="19"/>
      <c r="O3876" s="43"/>
      <c r="P3876" s="19"/>
      <c r="Q3876" s="19"/>
      <c r="R3876" s="19"/>
      <c r="S3876" s="19"/>
      <c r="T3876" s="19"/>
      <c r="U3876" s="19"/>
      <c r="V3876" s="44"/>
      <c r="W3876" s="19"/>
      <c r="X3876" s="19"/>
      <c r="Y3876" s="19"/>
      <c r="Z3876" s="19"/>
      <c r="AA3876" s="19"/>
      <c r="AB3876" s="19"/>
      <c r="AC3876" s="19"/>
      <c r="AD3876" s="19"/>
      <c r="AE3876" s="19"/>
      <c r="AF3876" s="19"/>
      <c r="AG3876" s="19"/>
      <c r="AH3876" s="19"/>
      <c r="AI3876" s="19"/>
      <c r="AJ3876" s="19"/>
      <c r="AK3876" s="19"/>
      <c r="AL3876" s="6" t="str">
        <f t="array" ref="AL3876">IFERROR(IFS(XLOOKUP(B3876, 'Kit Delivery Status'!$U:$U, 'Kit Delivery Status'!$K:$K) = "Complete", "DELIVERED", XLOOKUP(B3876, 'Kit Delivery Status'!$U:$U, 'Kit Delivery Status'!$K:$K) = "Issue", "ISSUE"), "")</f>
        <v/>
      </c>
      <c r="AM3876" s="6"/>
    </row>
    <row r="3877">
      <c r="A3877" s="19"/>
      <c r="B3877" s="19"/>
      <c r="C3877" s="19"/>
      <c r="D3877" s="42"/>
      <c r="E3877" s="19"/>
      <c r="F3877" s="19"/>
      <c r="G3877" s="19"/>
      <c r="H3877" s="19"/>
      <c r="I3877" s="19"/>
      <c r="J3877" s="19"/>
      <c r="K3877" s="19"/>
      <c r="L3877" s="19"/>
      <c r="M3877" s="19"/>
      <c r="N3877" s="19"/>
      <c r="O3877" s="43"/>
      <c r="P3877" s="19"/>
      <c r="Q3877" s="19"/>
      <c r="R3877" s="19"/>
      <c r="S3877" s="19"/>
      <c r="T3877" s="19"/>
      <c r="U3877" s="19"/>
      <c r="V3877" s="44"/>
      <c r="W3877" s="19"/>
      <c r="X3877" s="19"/>
      <c r="Y3877" s="19"/>
      <c r="Z3877" s="19"/>
      <c r="AA3877" s="19"/>
      <c r="AB3877" s="19"/>
      <c r="AC3877" s="19"/>
      <c r="AD3877" s="19"/>
      <c r="AE3877" s="19"/>
      <c r="AF3877" s="19"/>
      <c r="AG3877" s="19"/>
      <c r="AH3877" s="19"/>
      <c r="AI3877" s="19"/>
      <c r="AJ3877" s="19"/>
      <c r="AK3877" s="19"/>
      <c r="AL3877" s="6" t="str">
        <f t="array" ref="AL3877">IFERROR(IFS(XLOOKUP(B3877, 'Kit Delivery Status'!$U:$U, 'Kit Delivery Status'!$K:$K) = "Complete", "DELIVERED", XLOOKUP(B3877, 'Kit Delivery Status'!$U:$U, 'Kit Delivery Status'!$K:$K) = "Issue", "ISSUE"), "")</f>
        <v/>
      </c>
      <c r="AM3877" s="6"/>
    </row>
    <row r="3878">
      <c r="A3878" s="19"/>
      <c r="B3878" s="19"/>
      <c r="C3878" s="19"/>
      <c r="D3878" s="42"/>
      <c r="E3878" s="19"/>
      <c r="F3878" s="19"/>
      <c r="G3878" s="19"/>
      <c r="H3878" s="19"/>
      <c r="I3878" s="19"/>
      <c r="J3878" s="19"/>
      <c r="K3878" s="19"/>
      <c r="L3878" s="19"/>
      <c r="M3878" s="19"/>
      <c r="N3878" s="19"/>
      <c r="O3878" s="43"/>
      <c r="P3878" s="19"/>
      <c r="Q3878" s="19"/>
      <c r="R3878" s="19"/>
      <c r="S3878" s="19"/>
      <c r="T3878" s="19"/>
      <c r="U3878" s="19"/>
      <c r="V3878" s="44"/>
      <c r="W3878" s="19"/>
      <c r="X3878" s="19"/>
      <c r="Y3878" s="19"/>
      <c r="Z3878" s="19"/>
      <c r="AA3878" s="19"/>
      <c r="AB3878" s="19"/>
      <c r="AC3878" s="19"/>
      <c r="AD3878" s="19"/>
      <c r="AE3878" s="19"/>
      <c r="AF3878" s="19"/>
      <c r="AG3878" s="19"/>
      <c r="AH3878" s="19"/>
      <c r="AI3878" s="19"/>
      <c r="AJ3878" s="19"/>
      <c r="AK3878" s="19"/>
      <c r="AL3878" s="6" t="str">
        <f t="array" ref="AL3878">IFERROR(IFS(XLOOKUP(B3878, 'Kit Delivery Status'!$U:$U, 'Kit Delivery Status'!$K:$K) = "Complete", "DELIVERED", XLOOKUP(B3878, 'Kit Delivery Status'!$U:$U, 'Kit Delivery Status'!$K:$K) = "Issue", "ISSUE"), "")</f>
        <v/>
      </c>
      <c r="AM3878" s="6"/>
    </row>
    <row r="3879">
      <c r="A3879" s="19"/>
      <c r="B3879" s="19"/>
      <c r="C3879" s="19"/>
      <c r="D3879" s="42"/>
      <c r="E3879" s="19"/>
      <c r="F3879" s="19"/>
      <c r="G3879" s="19"/>
      <c r="H3879" s="19"/>
      <c r="I3879" s="19"/>
      <c r="J3879" s="19"/>
      <c r="K3879" s="19"/>
      <c r="L3879" s="19"/>
      <c r="M3879" s="19"/>
      <c r="N3879" s="19"/>
      <c r="O3879" s="43"/>
      <c r="P3879" s="19"/>
      <c r="Q3879" s="19"/>
      <c r="R3879" s="19"/>
      <c r="S3879" s="19"/>
      <c r="T3879" s="19"/>
      <c r="U3879" s="19"/>
      <c r="V3879" s="44"/>
      <c r="W3879" s="19"/>
      <c r="X3879" s="19"/>
      <c r="Y3879" s="19"/>
      <c r="Z3879" s="19"/>
      <c r="AA3879" s="19"/>
      <c r="AB3879" s="19"/>
      <c r="AC3879" s="19"/>
      <c r="AD3879" s="19"/>
      <c r="AE3879" s="19"/>
      <c r="AF3879" s="19"/>
      <c r="AG3879" s="19"/>
      <c r="AH3879" s="19"/>
      <c r="AI3879" s="19"/>
      <c r="AJ3879" s="19"/>
      <c r="AK3879" s="19"/>
      <c r="AL3879" s="6" t="str">
        <f t="array" ref="AL3879">IFERROR(IFS(XLOOKUP(B3879, 'Kit Delivery Status'!$U:$U, 'Kit Delivery Status'!$K:$K) = "Complete", "DELIVERED", XLOOKUP(B3879, 'Kit Delivery Status'!$U:$U, 'Kit Delivery Status'!$K:$K) = "Issue", "ISSUE"), "")</f>
        <v/>
      </c>
      <c r="AM3879" s="6"/>
    </row>
    <row r="3880">
      <c r="A3880" s="19"/>
      <c r="B3880" s="19"/>
      <c r="C3880" s="19"/>
      <c r="D3880" s="42"/>
      <c r="E3880" s="19"/>
      <c r="F3880" s="19"/>
      <c r="G3880" s="19"/>
      <c r="H3880" s="19"/>
      <c r="I3880" s="19"/>
      <c r="J3880" s="19"/>
      <c r="K3880" s="19"/>
      <c r="L3880" s="19"/>
      <c r="M3880" s="19"/>
      <c r="N3880" s="19"/>
      <c r="O3880" s="43"/>
      <c r="P3880" s="19"/>
      <c r="Q3880" s="19"/>
      <c r="R3880" s="19"/>
      <c r="S3880" s="19"/>
      <c r="T3880" s="19"/>
      <c r="U3880" s="19"/>
      <c r="V3880" s="44"/>
      <c r="W3880" s="19"/>
      <c r="X3880" s="19"/>
      <c r="Y3880" s="19"/>
      <c r="Z3880" s="19"/>
      <c r="AA3880" s="19"/>
      <c r="AB3880" s="19"/>
      <c r="AC3880" s="19"/>
      <c r="AD3880" s="19"/>
      <c r="AE3880" s="19"/>
      <c r="AF3880" s="19"/>
      <c r="AG3880" s="19"/>
      <c r="AH3880" s="19"/>
      <c r="AI3880" s="19"/>
      <c r="AJ3880" s="19"/>
      <c r="AK3880" s="19"/>
      <c r="AL3880" s="6" t="str">
        <f t="array" ref="AL3880">IFERROR(IFS(XLOOKUP(B3880, 'Kit Delivery Status'!$U:$U, 'Kit Delivery Status'!$K:$K) = "Complete", "DELIVERED", XLOOKUP(B3880, 'Kit Delivery Status'!$U:$U, 'Kit Delivery Status'!$K:$K) = "Issue", "ISSUE"), "")</f>
        <v/>
      </c>
      <c r="AM3880" s="6"/>
    </row>
    <row r="3881">
      <c r="A3881" s="19"/>
      <c r="B3881" s="19"/>
      <c r="C3881" s="19"/>
      <c r="D3881" s="42"/>
      <c r="E3881" s="19"/>
      <c r="F3881" s="19"/>
      <c r="G3881" s="19"/>
      <c r="H3881" s="19"/>
      <c r="I3881" s="19"/>
      <c r="J3881" s="19"/>
      <c r="K3881" s="19"/>
      <c r="L3881" s="19"/>
      <c r="M3881" s="19"/>
      <c r="N3881" s="19"/>
      <c r="O3881" s="43"/>
      <c r="P3881" s="19"/>
      <c r="Q3881" s="19"/>
      <c r="R3881" s="19"/>
      <c r="S3881" s="19"/>
      <c r="T3881" s="19"/>
      <c r="U3881" s="19"/>
      <c r="V3881" s="44"/>
      <c r="W3881" s="19"/>
      <c r="X3881" s="19"/>
      <c r="Y3881" s="19"/>
      <c r="Z3881" s="19"/>
      <c r="AA3881" s="19"/>
      <c r="AB3881" s="19"/>
      <c r="AC3881" s="19"/>
      <c r="AD3881" s="19"/>
      <c r="AE3881" s="19"/>
      <c r="AF3881" s="19"/>
      <c r="AG3881" s="19"/>
      <c r="AH3881" s="19"/>
      <c r="AI3881" s="19"/>
      <c r="AJ3881" s="19"/>
      <c r="AK3881" s="19"/>
      <c r="AL3881" s="6" t="str">
        <f t="array" ref="AL3881">IFERROR(IFS(XLOOKUP(B3881, 'Kit Delivery Status'!$U:$U, 'Kit Delivery Status'!$K:$K) = "Complete", "DELIVERED", XLOOKUP(B3881, 'Kit Delivery Status'!$U:$U, 'Kit Delivery Status'!$K:$K) = "Issue", "ISSUE"), "")</f>
        <v/>
      </c>
      <c r="AM3881" s="6"/>
    </row>
    <row r="3882">
      <c r="A3882" s="19"/>
      <c r="B3882" s="19"/>
      <c r="C3882" s="19"/>
      <c r="D3882" s="42"/>
      <c r="E3882" s="19"/>
      <c r="F3882" s="19"/>
      <c r="G3882" s="19"/>
      <c r="H3882" s="19"/>
      <c r="I3882" s="19"/>
      <c r="J3882" s="19"/>
      <c r="K3882" s="19"/>
      <c r="L3882" s="19"/>
      <c r="M3882" s="19"/>
      <c r="N3882" s="19"/>
      <c r="O3882" s="43"/>
      <c r="P3882" s="19"/>
      <c r="Q3882" s="19"/>
      <c r="R3882" s="19"/>
      <c r="S3882" s="19"/>
      <c r="T3882" s="19"/>
      <c r="U3882" s="19"/>
      <c r="V3882" s="44"/>
      <c r="W3882" s="19"/>
      <c r="X3882" s="19"/>
      <c r="Y3882" s="19"/>
      <c r="Z3882" s="19"/>
      <c r="AA3882" s="19"/>
      <c r="AB3882" s="19"/>
      <c r="AC3882" s="19"/>
      <c r="AD3882" s="19"/>
      <c r="AE3882" s="19"/>
      <c r="AF3882" s="19"/>
      <c r="AG3882" s="19"/>
      <c r="AH3882" s="19"/>
      <c r="AI3882" s="19"/>
      <c r="AJ3882" s="19"/>
      <c r="AK3882" s="19"/>
      <c r="AL3882" s="6" t="str">
        <f t="array" ref="AL3882">IFERROR(IFS(XLOOKUP(B3882, 'Kit Delivery Status'!$U:$U, 'Kit Delivery Status'!$K:$K) = "Complete", "DELIVERED", XLOOKUP(B3882, 'Kit Delivery Status'!$U:$U, 'Kit Delivery Status'!$K:$K) = "Issue", "ISSUE"), "")</f>
        <v/>
      </c>
      <c r="AM3882" s="6"/>
    </row>
    <row r="3883">
      <c r="A3883" s="19"/>
      <c r="B3883" s="19"/>
      <c r="C3883" s="19"/>
      <c r="D3883" s="42"/>
      <c r="E3883" s="19"/>
      <c r="F3883" s="19"/>
      <c r="G3883" s="19"/>
      <c r="H3883" s="19"/>
      <c r="I3883" s="19"/>
      <c r="J3883" s="19"/>
      <c r="K3883" s="19"/>
      <c r="L3883" s="19"/>
      <c r="M3883" s="19"/>
      <c r="N3883" s="19"/>
      <c r="O3883" s="43"/>
      <c r="P3883" s="19"/>
      <c r="Q3883" s="19"/>
      <c r="R3883" s="19"/>
      <c r="S3883" s="19"/>
      <c r="T3883" s="19"/>
      <c r="U3883" s="19"/>
      <c r="V3883" s="44"/>
      <c r="W3883" s="19"/>
      <c r="X3883" s="19"/>
      <c r="Y3883" s="19"/>
      <c r="Z3883" s="19"/>
      <c r="AA3883" s="19"/>
      <c r="AB3883" s="19"/>
      <c r="AC3883" s="19"/>
      <c r="AD3883" s="19"/>
      <c r="AE3883" s="19"/>
      <c r="AF3883" s="19"/>
      <c r="AG3883" s="19"/>
      <c r="AH3883" s="19"/>
      <c r="AI3883" s="19"/>
      <c r="AJ3883" s="19"/>
      <c r="AK3883" s="19"/>
      <c r="AL3883" s="6" t="str">
        <f t="array" ref="AL3883">IFERROR(IFS(XLOOKUP(B3883, 'Kit Delivery Status'!$U:$U, 'Kit Delivery Status'!$K:$K) = "Complete", "DELIVERED", XLOOKUP(B3883, 'Kit Delivery Status'!$U:$U, 'Kit Delivery Status'!$K:$K) = "Issue", "ISSUE"), "")</f>
        <v/>
      </c>
      <c r="AM3883" s="6"/>
    </row>
    <row r="3884">
      <c r="A3884" s="19"/>
      <c r="B3884" s="19"/>
      <c r="C3884" s="19"/>
      <c r="D3884" s="42"/>
      <c r="E3884" s="19"/>
      <c r="F3884" s="19"/>
      <c r="G3884" s="19"/>
      <c r="H3884" s="19"/>
      <c r="I3884" s="19"/>
      <c r="J3884" s="19"/>
      <c r="K3884" s="19"/>
      <c r="L3884" s="19"/>
      <c r="M3884" s="19"/>
      <c r="N3884" s="19"/>
      <c r="O3884" s="43"/>
      <c r="P3884" s="19"/>
      <c r="Q3884" s="19"/>
      <c r="R3884" s="19"/>
      <c r="S3884" s="19"/>
      <c r="T3884" s="19"/>
      <c r="U3884" s="19"/>
      <c r="V3884" s="44"/>
      <c r="W3884" s="19"/>
      <c r="X3884" s="19"/>
      <c r="Y3884" s="19"/>
      <c r="Z3884" s="19"/>
      <c r="AA3884" s="19"/>
      <c r="AB3884" s="19"/>
      <c r="AC3884" s="19"/>
      <c r="AD3884" s="19"/>
      <c r="AE3884" s="19"/>
      <c r="AF3884" s="19"/>
      <c r="AG3884" s="19"/>
      <c r="AH3884" s="19"/>
      <c r="AI3884" s="19"/>
      <c r="AJ3884" s="19"/>
      <c r="AK3884" s="19"/>
      <c r="AL3884" s="6" t="str">
        <f t="array" ref="AL3884">IFERROR(IFS(XLOOKUP(B3884, 'Kit Delivery Status'!$U:$U, 'Kit Delivery Status'!$K:$K) = "Complete", "DELIVERED", XLOOKUP(B3884, 'Kit Delivery Status'!$U:$U, 'Kit Delivery Status'!$K:$K) = "Issue", "ISSUE"), "")</f>
        <v/>
      </c>
      <c r="AM3884" s="6"/>
    </row>
    <row r="3885">
      <c r="A3885" s="19"/>
      <c r="B3885" s="19"/>
      <c r="C3885" s="19"/>
      <c r="D3885" s="42"/>
      <c r="E3885" s="19"/>
      <c r="F3885" s="19"/>
      <c r="G3885" s="19"/>
      <c r="H3885" s="19"/>
      <c r="I3885" s="19"/>
      <c r="J3885" s="19"/>
      <c r="K3885" s="19"/>
      <c r="L3885" s="19"/>
      <c r="M3885" s="19"/>
      <c r="N3885" s="19"/>
      <c r="O3885" s="43"/>
      <c r="P3885" s="19"/>
      <c r="Q3885" s="19"/>
      <c r="R3885" s="19"/>
      <c r="S3885" s="19"/>
      <c r="T3885" s="19"/>
      <c r="U3885" s="19"/>
      <c r="V3885" s="44"/>
      <c r="W3885" s="19"/>
      <c r="X3885" s="19"/>
      <c r="Y3885" s="19"/>
      <c r="Z3885" s="19"/>
      <c r="AA3885" s="19"/>
      <c r="AB3885" s="19"/>
      <c r="AC3885" s="19"/>
      <c r="AD3885" s="19"/>
      <c r="AE3885" s="19"/>
      <c r="AF3885" s="19"/>
      <c r="AG3885" s="19"/>
      <c r="AH3885" s="19"/>
      <c r="AI3885" s="19"/>
      <c r="AJ3885" s="19"/>
      <c r="AK3885" s="19"/>
      <c r="AL3885" s="6" t="str">
        <f t="array" ref="AL3885">IFERROR(IFS(XLOOKUP(B3885, 'Kit Delivery Status'!$U:$U, 'Kit Delivery Status'!$K:$K) = "Complete", "DELIVERED", XLOOKUP(B3885, 'Kit Delivery Status'!$U:$U, 'Kit Delivery Status'!$K:$K) = "Issue", "ISSUE"), "")</f>
        <v/>
      </c>
      <c r="AM3885" s="6"/>
    </row>
    <row r="3886">
      <c r="A3886" s="19"/>
      <c r="B3886" s="19"/>
      <c r="C3886" s="19"/>
      <c r="D3886" s="42"/>
      <c r="E3886" s="19"/>
      <c r="F3886" s="19"/>
      <c r="G3886" s="19"/>
      <c r="H3886" s="19"/>
      <c r="I3886" s="19"/>
      <c r="J3886" s="19"/>
      <c r="K3886" s="19"/>
      <c r="L3886" s="19"/>
      <c r="M3886" s="19"/>
      <c r="N3886" s="19"/>
      <c r="O3886" s="43"/>
      <c r="P3886" s="19"/>
      <c r="Q3886" s="19"/>
      <c r="R3886" s="19"/>
      <c r="S3886" s="19"/>
      <c r="T3886" s="19"/>
      <c r="U3886" s="19"/>
      <c r="V3886" s="44"/>
      <c r="W3886" s="19"/>
      <c r="X3886" s="19"/>
      <c r="Y3886" s="19"/>
      <c r="Z3886" s="19"/>
      <c r="AA3886" s="19"/>
      <c r="AB3886" s="19"/>
      <c r="AC3886" s="19"/>
      <c r="AD3886" s="19"/>
      <c r="AE3886" s="19"/>
      <c r="AF3886" s="19"/>
      <c r="AG3886" s="19"/>
      <c r="AH3886" s="19"/>
      <c r="AI3886" s="19"/>
      <c r="AJ3886" s="19"/>
      <c r="AK3886" s="19"/>
      <c r="AL3886" s="6" t="str">
        <f t="array" ref="AL3886">IFERROR(IFS(XLOOKUP(B3886, 'Kit Delivery Status'!$U:$U, 'Kit Delivery Status'!$K:$K) = "Complete", "DELIVERED", XLOOKUP(B3886, 'Kit Delivery Status'!$U:$U, 'Kit Delivery Status'!$K:$K) = "Issue", "ISSUE"), "")</f>
        <v/>
      </c>
      <c r="AM3886" s="6"/>
    </row>
    <row r="3887">
      <c r="A3887" s="19"/>
      <c r="B3887" s="19"/>
      <c r="C3887" s="19"/>
      <c r="D3887" s="42"/>
      <c r="E3887" s="19"/>
      <c r="F3887" s="19"/>
      <c r="G3887" s="19"/>
      <c r="H3887" s="19"/>
      <c r="I3887" s="19"/>
      <c r="J3887" s="19"/>
      <c r="K3887" s="19"/>
      <c r="L3887" s="19"/>
      <c r="M3887" s="19"/>
      <c r="N3887" s="19"/>
      <c r="O3887" s="43"/>
      <c r="P3887" s="19"/>
      <c r="Q3887" s="19"/>
      <c r="R3887" s="19"/>
      <c r="S3887" s="19"/>
      <c r="T3887" s="19"/>
      <c r="U3887" s="19"/>
      <c r="V3887" s="44"/>
      <c r="W3887" s="19"/>
      <c r="X3887" s="19"/>
      <c r="Y3887" s="19"/>
      <c r="Z3887" s="19"/>
      <c r="AA3887" s="19"/>
      <c r="AB3887" s="19"/>
      <c r="AC3887" s="19"/>
      <c r="AD3887" s="19"/>
      <c r="AE3887" s="19"/>
      <c r="AF3887" s="19"/>
      <c r="AG3887" s="19"/>
      <c r="AH3887" s="19"/>
      <c r="AI3887" s="19"/>
      <c r="AJ3887" s="19"/>
      <c r="AK3887" s="19"/>
      <c r="AL3887" s="6" t="str">
        <f t="array" ref="AL3887">IFERROR(IFS(XLOOKUP(B3887, 'Kit Delivery Status'!$U:$U, 'Kit Delivery Status'!$K:$K) = "Complete", "DELIVERED", XLOOKUP(B3887, 'Kit Delivery Status'!$U:$U, 'Kit Delivery Status'!$K:$K) = "Issue", "ISSUE"), "")</f>
        <v/>
      </c>
      <c r="AM3887" s="6"/>
    </row>
    <row r="3888">
      <c r="A3888" s="19"/>
      <c r="B3888" s="19"/>
      <c r="C3888" s="19"/>
      <c r="D3888" s="42"/>
      <c r="E3888" s="19"/>
      <c r="F3888" s="19"/>
      <c r="G3888" s="19"/>
      <c r="H3888" s="19"/>
      <c r="I3888" s="19"/>
      <c r="J3888" s="19"/>
      <c r="K3888" s="19"/>
      <c r="L3888" s="19"/>
      <c r="M3888" s="19"/>
      <c r="N3888" s="19"/>
      <c r="O3888" s="43"/>
      <c r="P3888" s="19"/>
      <c r="Q3888" s="19"/>
      <c r="R3888" s="19"/>
      <c r="S3888" s="19"/>
      <c r="T3888" s="19"/>
      <c r="U3888" s="19"/>
      <c r="V3888" s="44"/>
      <c r="W3888" s="19"/>
      <c r="X3888" s="19"/>
      <c r="Y3888" s="19"/>
      <c r="Z3888" s="19"/>
      <c r="AA3888" s="19"/>
      <c r="AB3888" s="19"/>
      <c r="AC3888" s="19"/>
      <c r="AD3888" s="19"/>
      <c r="AE3888" s="19"/>
      <c r="AF3888" s="19"/>
      <c r="AG3888" s="19"/>
      <c r="AH3888" s="19"/>
      <c r="AI3888" s="19"/>
      <c r="AJ3888" s="19"/>
      <c r="AK3888" s="19"/>
      <c r="AL3888" s="6" t="str">
        <f t="array" ref="AL3888">IFERROR(IFS(XLOOKUP(B3888, 'Kit Delivery Status'!$U:$U, 'Kit Delivery Status'!$K:$K) = "Complete", "DELIVERED", XLOOKUP(B3888, 'Kit Delivery Status'!$U:$U, 'Kit Delivery Status'!$K:$K) = "Issue", "ISSUE"), "")</f>
        <v/>
      </c>
      <c r="AM3888" s="6"/>
    </row>
    <row r="3889">
      <c r="A3889" s="19"/>
      <c r="B3889" s="19"/>
      <c r="C3889" s="19"/>
      <c r="D3889" s="42"/>
      <c r="E3889" s="19"/>
      <c r="F3889" s="19"/>
      <c r="G3889" s="19"/>
      <c r="H3889" s="19"/>
      <c r="I3889" s="19"/>
      <c r="J3889" s="19"/>
      <c r="K3889" s="19"/>
      <c r="L3889" s="19"/>
      <c r="M3889" s="19"/>
      <c r="N3889" s="19"/>
      <c r="O3889" s="43"/>
      <c r="P3889" s="19"/>
      <c r="Q3889" s="19"/>
      <c r="R3889" s="19"/>
      <c r="S3889" s="19"/>
      <c r="T3889" s="19"/>
      <c r="U3889" s="19"/>
      <c r="V3889" s="44"/>
      <c r="W3889" s="19"/>
      <c r="X3889" s="19"/>
      <c r="Y3889" s="19"/>
      <c r="Z3889" s="19"/>
      <c r="AA3889" s="19"/>
      <c r="AB3889" s="19"/>
      <c r="AC3889" s="19"/>
      <c r="AD3889" s="19"/>
      <c r="AE3889" s="19"/>
      <c r="AF3889" s="19"/>
      <c r="AG3889" s="19"/>
      <c r="AH3889" s="19"/>
      <c r="AI3889" s="19"/>
      <c r="AJ3889" s="19"/>
      <c r="AK3889" s="19"/>
      <c r="AL3889" s="6" t="str">
        <f t="array" ref="AL3889">IFERROR(IFS(XLOOKUP(B3889, 'Kit Delivery Status'!$U:$U, 'Kit Delivery Status'!$K:$K) = "Complete", "DELIVERED", XLOOKUP(B3889, 'Kit Delivery Status'!$U:$U, 'Kit Delivery Status'!$K:$K) = "Issue", "ISSUE"), "")</f>
        <v/>
      </c>
      <c r="AM3889" s="6"/>
    </row>
    <row r="3890">
      <c r="A3890" s="19"/>
      <c r="B3890" s="19"/>
      <c r="C3890" s="19"/>
      <c r="D3890" s="42"/>
      <c r="E3890" s="19"/>
      <c r="F3890" s="19"/>
      <c r="G3890" s="19"/>
      <c r="H3890" s="19"/>
      <c r="I3890" s="19"/>
      <c r="J3890" s="19"/>
      <c r="K3890" s="19"/>
      <c r="L3890" s="19"/>
      <c r="M3890" s="19"/>
      <c r="N3890" s="19"/>
      <c r="O3890" s="43"/>
      <c r="P3890" s="19"/>
      <c r="Q3890" s="19"/>
      <c r="R3890" s="19"/>
      <c r="S3890" s="19"/>
      <c r="T3890" s="19"/>
      <c r="U3890" s="19"/>
      <c r="V3890" s="44"/>
      <c r="W3890" s="19"/>
      <c r="X3890" s="19"/>
      <c r="Y3890" s="19"/>
      <c r="Z3890" s="19"/>
      <c r="AA3890" s="19"/>
      <c r="AB3890" s="19"/>
      <c r="AC3890" s="19"/>
      <c r="AD3890" s="19"/>
      <c r="AE3890" s="19"/>
      <c r="AF3890" s="19"/>
      <c r="AG3890" s="19"/>
      <c r="AH3890" s="19"/>
      <c r="AI3890" s="19"/>
      <c r="AJ3890" s="19"/>
      <c r="AK3890" s="19"/>
      <c r="AL3890" s="6" t="str">
        <f t="array" ref="AL3890">IFERROR(IFS(XLOOKUP(B3890, 'Kit Delivery Status'!$U:$U, 'Kit Delivery Status'!$K:$K) = "Complete", "DELIVERED", XLOOKUP(B3890, 'Kit Delivery Status'!$U:$U, 'Kit Delivery Status'!$K:$K) = "Issue", "ISSUE"), "")</f>
        <v/>
      </c>
      <c r="AM3890" s="6"/>
    </row>
    <row r="3891">
      <c r="A3891" s="19"/>
      <c r="B3891" s="19"/>
      <c r="C3891" s="19"/>
      <c r="D3891" s="42"/>
      <c r="E3891" s="19"/>
      <c r="F3891" s="19"/>
      <c r="G3891" s="19"/>
      <c r="H3891" s="19"/>
      <c r="I3891" s="19"/>
      <c r="J3891" s="19"/>
      <c r="K3891" s="19"/>
      <c r="L3891" s="19"/>
      <c r="M3891" s="19"/>
      <c r="N3891" s="19"/>
      <c r="O3891" s="43"/>
      <c r="P3891" s="19"/>
      <c r="Q3891" s="19"/>
      <c r="R3891" s="19"/>
      <c r="S3891" s="19"/>
      <c r="T3891" s="19"/>
      <c r="U3891" s="19"/>
      <c r="V3891" s="44"/>
      <c r="W3891" s="19"/>
      <c r="X3891" s="19"/>
      <c r="Y3891" s="19"/>
      <c r="Z3891" s="19"/>
      <c r="AA3891" s="19"/>
      <c r="AB3891" s="19"/>
      <c r="AC3891" s="19"/>
      <c r="AD3891" s="19"/>
      <c r="AE3891" s="19"/>
      <c r="AF3891" s="19"/>
      <c r="AG3891" s="19"/>
      <c r="AH3891" s="19"/>
      <c r="AI3891" s="19"/>
      <c r="AJ3891" s="19"/>
      <c r="AK3891" s="19"/>
      <c r="AL3891" s="6" t="str">
        <f t="array" ref="AL3891">IFERROR(IFS(XLOOKUP(B3891, 'Kit Delivery Status'!$U:$U, 'Kit Delivery Status'!$K:$K) = "Complete", "DELIVERED", XLOOKUP(B3891, 'Kit Delivery Status'!$U:$U, 'Kit Delivery Status'!$K:$K) = "Issue", "ISSUE"), "")</f>
        <v/>
      </c>
      <c r="AM3891" s="6"/>
    </row>
    <row r="3892">
      <c r="A3892" s="19"/>
      <c r="B3892" s="19"/>
      <c r="C3892" s="19"/>
      <c r="D3892" s="42"/>
      <c r="E3892" s="19"/>
      <c r="F3892" s="19"/>
      <c r="G3892" s="19"/>
      <c r="H3892" s="19"/>
      <c r="I3892" s="19"/>
      <c r="J3892" s="19"/>
      <c r="K3892" s="19"/>
      <c r="L3892" s="19"/>
      <c r="M3892" s="19"/>
      <c r="N3892" s="19"/>
      <c r="O3892" s="43"/>
      <c r="P3892" s="19"/>
      <c r="Q3892" s="19"/>
      <c r="R3892" s="19"/>
      <c r="S3892" s="19"/>
      <c r="T3892" s="19"/>
      <c r="U3892" s="19"/>
      <c r="V3892" s="44"/>
      <c r="W3892" s="19"/>
      <c r="X3892" s="19"/>
      <c r="Y3892" s="19"/>
      <c r="Z3892" s="19"/>
      <c r="AA3892" s="19"/>
      <c r="AB3892" s="19"/>
      <c r="AC3892" s="19"/>
      <c r="AD3892" s="19"/>
      <c r="AE3892" s="19"/>
      <c r="AF3892" s="19"/>
      <c r="AG3892" s="19"/>
      <c r="AH3892" s="19"/>
      <c r="AI3892" s="19"/>
      <c r="AJ3892" s="19"/>
      <c r="AK3892" s="19"/>
      <c r="AL3892" s="6" t="str">
        <f t="array" ref="AL3892">IFERROR(IFS(XLOOKUP(B3892, 'Kit Delivery Status'!$U:$U, 'Kit Delivery Status'!$K:$K) = "Complete", "DELIVERED", XLOOKUP(B3892, 'Kit Delivery Status'!$U:$U, 'Kit Delivery Status'!$K:$K) = "Issue", "ISSUE"), "")</f>
        <v/>
      </c>
      <c r="AM3892" s="6"/>
    </row>
    <row r="3893">
      <c r="A3893" s="19"/>
      <c r="B3893" s="19"/>
      <c r="C3893" s="19"/>
      <c r="D3893" s="42"/>
      <c r="E3893" s="19"/>
      <c r="F3893" s="19"/>
      <c r="G3893" s="19"/>
      <c r="H3893" s="19"/>
      <c r="I3893" s="19"/>
      <c r="J3893" s="19"/>
      <c r="K3893" s="19"/>
      <c r="L3893" s="19"/>
      <c r="M3893" s="19"/>
      <c r="N3893" s="19"/>
      <c r="O3893" s="43"/>
      <c r="P3893" s="19"/>
      <c r="Q3893" s="19"/>
      <c r="R3893" s="19"/>
      <c r="S3893" s="19"/>
      <c r="T3893" s="19"/>
      <c r="U3893" s="19"/>
      <c r="V3893" s="44"/>
      <c r="W3893" s="19"/>
      <c r="X3893" s="19"/>
      <c r="Y3893" s="19"/>
      <c r="Z3893" s="19"/>
      <c r="AA3893" s="19"/>
      <c r="AB3893" s="19"/>
      <c r="AC3893" s="19"/>
      <c r="AD3893" s="19"/>
      <c r="AE3893" s="19"/>
      <c r="AF3893" s="19"/>
      <c r="AG3893" s="19"/>
      <c r="AH3893" s="19"/>
      <c r="AI3893" s="19"/>
      <c r="AJ3893" s="19"/>
      <c r="AK3893" s="19"/>
      <c r="AL3893" s="6" t="str">
        <f t="array" ref="AL3893">IFERROR(IFS(XLOOKUP(B3893, 'Kit Delivery Status'!$U:$U, 'Kit Delivery Status'!$K:$K) = "Complete", "DELIVERED", XLOOKUP(B3893, 'Kit Delivery Status'!$U:$U, 'Kit Delivery Status'!$K:$K) = "Issue", "ISSUE"), "")</f>
        <v/>
      </c>
      <c r="AM3893" s="6"/>
    </row>
    <row r="3894">
      <c r="A3894" s="19"/>
      <c r="B3894" s="19"/>
      <c r="C3894" s="19"/>
      <c r="D3894" s="42"/>
      <c r="E3894" s="19"/>
      <c r="F3894" s="19"/>
      <c r="G3894" s="19"/>
      <c r="H3894" s="19"/>
      <c r="I3894" s="19"/>
      <c r="J3894" s="19"/>
      <c r="K3894" s="19"/>
      <c r="L3894" s="19"/>
      <c r="M3894" s="19"/>
      <c r="N3894" s="19"/>
      <c r="O3894" s="43"/>
      <c r="P3894" s="19"/>
      <c r="Q3894" s="19"/>
      <c r="R3894" s="19"/>
      <c r="S3894" s="19"/>
      <c r="T3894" s="19"/>
      <c r="U3894" s="19"/>
      <c r="V3894" s="44"/>
      <c r="W3894" s="19"/>
      <c r="X3894" s="19"/>
      <c r="Y3894" s="19"/>
      <c r="Z3894" s="19"/>
      <c r="AA3894" s="19"/>
      <c r="AB3894" s="19"/>
      <c r="AC3894" s="19"/>
      <c r="AD3894" s="19"/>
      <c r="AE3894" s="19"/>
      <c r="AF3894" s="19"/>
      <c r="AG3894" s="19"/>
      <c r="AH3894" s="19"/>
      <c r="AI3894" s="19"/>
      <c r="AJ3894" s="19"/>
      <c r="AK3894" s="19"/>
      <c r="AL3894" s="6" t="str">
        <f t="array" ref="AL3894">IFERROR(IFS(XLOOKUP(B3894, 'Kit Delivery Status'!$U:$U, 'Kit Delivery Status'!$K:$K) = "Complete", "DELIVERED", XLOOKUP(B3894, 'Kit Delivery Status'!$U:$U, 'Kit Delivery Status'!$K:$K) = "Issue", "ISSUE"), "")</f>
        <v/>
      </c>
      <c r="AM3894" s="6"/>
    </row>
    <row r="3895">
      <c r="A3895" s="19"/>
      <c r="B3895" s="19"/>
      <c r="C3895" s="19"/>
      <c r="D3895" s="42"/>
      <c r="E3895" s="19"/>
      <c r="F3895" s="19"/>
      <c r="G3895" s="19"/>
      <c r="H3895" s="19"/>
      <c r="I3895" s="19"/>
      <c r="J3895" s="19"/>
      <c r="K3895" s="19"/>
      <c r="L3895" s="19"/>
      <c r="M3895" s="19"/>
      <c r="N3895" s="19"/>
      <c r="O3895" s="43"/>
      <c r="P3895" s="19"/>
      <c r="Q3895" s="19"/>
      <c r="R3895" s="19"/>
      <c r="S3895" s="19"/>
      <c r="T3895" s="19"/>
      <c r="U3895" s="19"/>
      <c r="V3895" s="44"/>
      <c r="W3895" s="19"/>
      <c r="X3895" s="19"/>
      <c r="Y3895" s="19"/>
      <c r="Z3895" s="19"/>
      <c r="AA3895" s="19"/>
      <c r="AB3895" s="19"/>
      <c r="AC3895" s="19"/>
      <c r="AD3895" s="19"/>
      <c r="AE3895" s="19"/>
      <c r="AF3895" s="19"/>
      <c r="AG3895" s="19"/>
      <c r="AH3895" s="19"/>
      <c r="AI3895" s="19"/>
      <c r="AJ3895" s="19"/>
      <c r="AK3895" s="19"/>
      <c r="AL3895" s="6" t="str">
        <f t="array" ref="AL3895">IFERROR(IFS(XLOOKUP(B3895, 'Kit Delivery Status'!$U:$U, 'Kit Delivery Status'!$K:$K) = "Complete", "DELIVERED", XLOOKUP(B3895, 'Kit Delivery Status'!$U:$U, 'Kit Delivery Status'!$K:$K) = "Issue", "ISSUE"), "")</f>
        <v/>
      </c>
      <c r="AM3895" s="6"/>
    </row>
    <row r="3896">
      <c r="A3896" s="19"/>
      <c r="B3896" s="19"/>
      <c r="C3896" s="19"/>
      <c r="D3896" s="42"/>
      <c r="E3896" s="19"/>
      <c r="F3896" s="19"/>
      <c r="G3896" s="19"/>
      <c r="H3896" s="19"/>
      <c r="I3896" s="19"/>
      <c r="J3896" s="19"/>
      <c r="K3896" s="19"/>
      <c r="L3896" s="19"/>
      <c r="M3896" s="19"/>
      <c r="N3896" s="19"/>
      <c r="O3896" s="43"/>
      <c r="P3896" s="19"/>
      <c r="Q3896" s="19"/>
      <c r="R3896" s="19"/>
      <c r="S3896" s="19"/>
      <c r="T3896" s="19"/>
      <c r="U3896" s="19"/>
      <c r="V3896" s="44"/>
      <c r="W3896" s="19"/>
      <c r="X3896" s="19"/>
      <c r="Y3896" s="19"/>
      <c r="Z3896" s="19"/>
      <c r="AA3896" s="19"/>
      <c r="AB3896" s="19"/>
      <c r="AC3896" s="19"/>
      <c r="AD3896" s="19"/>
      <c r="AE3896" s="19"/>
      <c r="AF3896" s="19"/>
      <c r="AG3896" s="19"/>
      <c r="AH3896" s="19"/>
      <c r="AI3896" s="19"/>
      <c r="AJ3896" s="19"/>
      <c r="AK3896" s="19"/>
      <c r="AL3896" s="6" t="str">
        <f t="array" ref="AL3896">IFERROR(IFS(XLOOKUP(B3896, 'Kit Delivery Status'!$U:$U, 'Kit Delivery Status'!$K:$K) = "Complete", "DELIVERED", XLOOKUP(B3896, 'Kit Delivery Status'!$U:$U, 'Kit Delivery Status'!$K:$K) = "Issue", "ISSUE"), "")</f>
        <v/>
      </c>
      <c r="AM3896" s="6"/>
    </row>
    <row r="3897">
      <c r="A3897" s="19"/>
      <c r="B3897" s="19"/>
      <c r="C3897" s="19"/>
      <c r="D3897" s="42"/>
      <c r="E3897" s="19"/>
      <c r="F3897" s="19"/>
      <c r="G3897" s="19"/>
      <c r="H3897" s="19"/>
      <c r="I3897" s="19"/>
      <c r="J3897" s="19"/>
      <c r="K3897" s="19"/>
      <c r="L3897" s="19"/>
      <c r="M3897" s="19"/>
      <c r="N3897" s="19"/>
      <c r="O3897" s="43"/>
      <c r="P3897" s="19"/>
      <c r="Q3897" s="19"/>
      <c r="R3897" s="19"/>
      <c r="S3897" s="19"/>
      <c r="T3897" s="19"/>
      <c r="U3897" s="19"/>
      <c r="V3897" s="44"/>
      <c r="W3897" s="19"/>
      <c r="X3897" s="19"/>
      <c r="Y3897" s="19"/>
      <c r="Z3897" s="19"/>
      <c r="AA3897" s="19"/>
      <c r="AB3897" s="19"/>
      <c r="AC3897" s="19"/>
      <c r="AD3897" s="19"/>
      <c r="AE3897" s="19"/>
      <c r="AF3897" s="19"/>
      <c r="AG3897" s="19"/>
      <c r="AH3897" s="19"/>
      <c r="AI3897" s="19"/>
      <c r="AJ3897" s="19"/>
      <c r="AK3897" s="19"/>
      <c r="AL3897" s="6" t="str">
        <f t="array" ref="AL3897">IFERROR(IFS(XLOOKUP(B3897, 'Kit Delivery Status'!$U:$U, 'Kit Delivery Status'!$K:$K) = "Complete", "DELIVERED", XLOOKUP(B3897, 'Kit Delivery Status'!$U:$U, 'Kit Delivery Status'!$K:$K) = "Issue", "ISSUE"), "")</f>
        <v/>
      </c>
      <c r="AM3897" s="6"/>
    </row>
    <row r="3898">
      <c r="A3898" s="19"/>
      <c r="B3898" s="19"/>
      <c r="C3898" s="19"/>
      <c r="D3898" s="42"/>
      <c r="E3898" s="19"/>
      <c r="F3898" s="19"/>
      <c r="G3898" s="19"/>
      <c r="H3898" s="19"/>
      <c r="I3898" s="19"/>
      <c r="J3898" s="19"/>
      <c r="K3898" s="19"/>
      <c r="L3898" s="19"/>
      <c r="M3898" s="19"/>
      <c r="N3898" s="19"/>
      <c r="O3898" s="43"/>
      <c r="P3898" s="19"/>
      <c r="Q3898" s="19"/>
      <c r="R3898" s="19"/>
      <c r="S3898" s="19"/>
      <c r="T3898" s="19"/>
      <c r="U3898" s="19"/>
      <c r="V3898" s="44"/>
      <c r="W3898" s="19"/>
      <c r="X3898" s="19"/>
      <c r="Y3898" s="19"/>
      <c r="Z3898" s="19"/>
      <c r="AA3898" s="19"/>
      <c r="AB3898" s="19"/>
      <c r="AC3898" s="19"/>
      <c r="AD3898" s="19"/>
      <c r="AE3898" s="19"/>
      <c r="AF3898" s="19"/>
      <c r="AG3898" s="19"/>
      <c r="AH3898" s="19"/>
      <c r="AI3898" s="19"/>
      <c r="AJ3898" s="19"/>
      <c r="AK3898" s="19"/>
      <c r="AL3898" s="6" t="str">
        <f t="array" ref="AL3898">IFERROR(IFS(XLOOKUP(B3898, 'Kit Delivery Status'!$U:$U, 'Kit Delivery Status'!$K:$K) = "Complete", "DELIVERED", XLOOKUP(B3898, 'Kit Delivery Status'!$U:$U, 'Kit Delivery Status'!$K:$K) = "Issue", "ISSUE"), "")</f>
        <v/>
      </c>
      <c r="AM3898" s="6"/>
    </row>
    <row r="3899">
      <c r="A3899" s="19"/>
      <c r="B3899" s="19"/>
      <c r="C3899" s="19"/>
      <c r="D3899" s="42"/>
      <c r="E3899" s="19"/>
      <c r="F3899" s="19"/>
      <c r="G3899" s="19"/>
      <c r="H3899" s="19"/>
      <c r="I3899" s="19"/>
      <c r="J3899" s="19"/>
      <c r="K3899" s="19"/>
      <c r="L3899" s="19"/>
      <c r="M3899" s="19"/>
      <c r="N3899" s="19"/>
      <c r="O3899" s="43"/>
      <c r="P3899" s="19"/>
      <c r="Q3899" s="19"/>
      <c r="R3899" s="19"/>
      <c r="S3899" s="19"/>
      <c r="T3899" s="19"/>
      <c r="U3899" s="19"/>
      <c r="V3899" s="44"/>
      <c r="W3899" s="19"/>
      <c r="X3899" s="19"/>
      <c r="Y3899" s="19"/>
      <c r="Z3899" s="19"/>
      <c r="AA3899" s="19"/>
      <c r="AB3899" s="19"/>
      <c r="AC3899" s="19"/>
      <c r="AD3899" s="19"/>
      <c r="AE3899" s="19"/>
      <c r="AF3899" s="19"/>
      <c r="AG3899" s="19"/>
      <c r="AH3899" s="19"/>
      <c r="AI3899" s="19"/>
      <c r="AJ3899" s="19"/>
      <c r="AK3899" s="19"/>
      <c r="AL3899" s="6" t="str">
        <f t="array" ref="AL3899">IFERROR(IFS(XLOOKUP(B3899, 'Kit Delivery Status'!$U:$U, 'Kit Delivery Status'!$K:$K) = "Complete", "DELIVERED", XLOOKUP(B3899, 'Kit Delivery Status'!$U:$U, 'Kit Delivery Status'!$K:$K) = "Issue", "ISSUE"), "")</f>
        <v/>
      </c>
      <c r="AM3899" s="6"/>
    </row>
    <row r="3900">
      <c r="A3900" s="19"/>
      <c r="B3900" s="19"/>
      <c r="C3900" s="19"/>
      <c r="D3900" s="42"/>
      <c r="E3900" s="19"/>
      <c r="F3900" s="19"/>
      <c r="G3900" s="19"/>
      <c r="H3900" s="19"/>
      <c r="I3900" s="19"/>
      <c r="J3900" s="19"/>
      <c r="K3900" s="19"/>
      <c r="L3900" s="19"/>
      <c r="M3900" s="19"/>
      <c r="N3900" s="19"/>
      <c r="O3900" s="43"/>
      <c r="P3900" s="19"/>
      <c r="Q3900" s="19"/>
      <c r="R3900" s="19"/>
      <c r="S3900" s="19"/>
      <c r="T3900" s="19"/>
      <c r="U3900" s="19"/>
      <c r="V3900" s="44"/>
      <c r="W3900" s="19"/>
      <c r="X3900" s="19"/>
      <c r="Y3900" s="19"/>
      <c r="Z3900" s="19"/>
      <c r="AA3900" s="19"/>
      <c r="AB3900" s="19"/>
      <c r="AC3900" s="19"/>
      <c r="AD3900" s="19"/>
      <c r="AE3900" s="19"/>
      <c r="AF3900" s="19"/>
      <c r="AG3900" s="19"/>
      <c r="AH3900" s="19"/>
      <c r="AI3900" s="19"/>
      <c r="AJ3900" s="19"/>
      <c r="AK3900" s="19"/>
      <c r="AL3900" s="6" t="str">
        <f t="array" ref="AL3900">IFERROR(IFS(XLOOKUP(B3900, 'Kit Delivery Status'!$U:$U, 'Kit Delivery Status'!$K:$K) = "Complete", "DELIVERED", XLOOKUP(B3900, 'Kit Delivery Status'!$U:$U, 'Kit Delivery Status'!$K:$K) = "Issue", "ISSUE"), "")</f>
        <v/>
      </c>
      <c r="AM3900" s="6"/>
    </row>
    <row r="3901">
      <c r="A3901" s="19"/>
      <c r="B3901" s="19"/>
      <c r="C3901" s="19"/>
      <c r="D3901" s="42"/>
      <c r="E3901" s="19"/>
      <c r="F3901" s="19"/>
      <c r="G3901" s="19"/>
      <c r="H3901" s="19"/>
      <c r="I3901" s="19"/>
      <c r="J3901" s="19"/>
      <c r="K3901" s="19"/>
      <c r="L3901" s="19"/>
      <c r="M3901" s="19"/>
      <c r="N3901" s="19"/>
      <c r="O3901" s="43"/>
      <c r="P3901" s="19"/>
      <c r="Q3901" s="19"/>
      <c r="R3901" s="19"/>
      <c r="S3901" s="19"/>
      <c r="T3901" s="19"/>
      <c r="U3901" s="19"/>
      <c r="V3901" s="44"/>
      <c r="W3901" s="19"/>
      <c r="X3901" s="19"/>
      <c r="Y3901" s="19"/>
      <c r="Z3901" s="19"/>
      <c r="AA3901" s="19"/>
      <c r="AB3901" s="19"/>
      <c r="AC3901" s="19"/>
      <c r="AD3901" s="19"/>
      <c r="AE3901" s="19"/>
      <c r="AF3901" s="19"/>
      <c r="AG3901" s="19"/>
      <c r="AH3901" s="19"/>
      <c r="AI3901" s="19"/>
      <c r="AJ3901" s="19"/>
      <c r="AK3901" s="19"/>
      <c r="AL3901" s="6" t="str">
        <f t="array" ref="AL3901">IFERROR(IFS(XLOOKUP(B3901, 'Kit Delivery Status'!$U:$U, 'Kit Delivery Status'!$K:$K) = "Complete", "DELIVERED", XLOOKUP(B3901, 'Kit Delivery Status'!$U:$U, 'Kit Delivery Status'!$K:$K) = "Issue", "ISSUE"), "")</f>
        <v/>
      </c>
      <c r="AM3901" s="6"/>
    </row>
    <row r="3902">
      <c r="A3902" s="19"/>
      <c r="B3902" s="19"/>
      <c r="C3902" s="19"/>
      <c r="D3902" s="42"/>
      <c r="E3902" s="19"/>
      <c r="F3902" s="19"/>
      <c r="G3902" s="19"/>
      <c r="H3902" s="19"/>
      <c r="I3902" s="19"/>
      <c r="J3902" s="19"/>
      <c r="K3902" s="19"/>
      <c r="L3902" s="19"/>
      <c r="M3902" s="19"/>
      <c r="N3902" s="19"/>
      <c r="O3902" s="43"/>
      <c r="P3902" s="19"/>
      <c r="Q3902" s="19"/>
      <c r="R3902" s="19"/>
      <c r="S3902" s="19"/>
      <c r="T3902" s="19"/>
      <c r="U3902" s="19"/>
      <c r="V3902" s="44"/>
      <c r="W3902" s="19"/>
      <c r="X3902" s="19"/>
      <c r="Y3902" s="19"/>
      <c r="Z3902" s="19"/>
      <c r="AA3902" s="19"/>
      <c r="AB3902" s="19"/>
      <c r="AC3902" s="19"/>
      <c r="AD3902" s="19"/>
      <c r="AE3902" s="19"/>
      <c r="AF3902" s="19"/>
      <c r="AG3902" s="19"/>
      <c r="AH3902" s="19"/>
      <c r="AI3902" s="19"/>
      <c r="AJ3902" s="19"/>
      <c r="AK3902" s="19"/>
      <c r="AL3902" s="6" t="str">
        <f t="array" ref="AL3902">IFERROR(IFS(XLOOKUP(B3902, 'Kit Delivery Status'!$U:$U, 'Kit Delivery Status'!$K:$K) = "Complete", "DELIVERED", XLOOKUP(B3902, 'Kit Delivery Status'!$U:$U, 'Kit Delivery Status'!$K:$K) = "Issue", "ISSUE"), "")</f>
        <v/>
      </c>
      <c r="AM3902" s="6"/>
    </row>
    <row r="3903">
      <c r="A3903" s="19"/>
      <c r="B3903" s="19"/>
      <c r="C3903" s="19"/>
      <c r="D3903" s="42"/>
      <c r="E3903" s="19"/>
      <c r="F3903" s="19"/>
      <c r="G3903" s="19"/>
      <c r="H3903" s="19"/>
      <c r="I3903" s="19"/>
      <c r="J3903" s="19"/>
      <c r="K3903" s="19"/>
      <c r="L3903" s="19"/>
      <c r="M3903" s="19"/>
      <c r="N3903" s="19"/>
      <c r="O3903" s="43"/>
      <c r="P3903" s="19"/>
      <c r="Q3903" s="19"/>
      <c r="R3903" s="19"/>
      <c r="S3903" s="19"/>
      <c r="T3903" s="19"/>
      <c r="U3903" s="19"/>
      <c r="V3903" s="44"/>
      <c r="W3903" s="19"/>
      <c r="X3903" s="19"/>
      <c r="Y3903" s="19"/>
      <c r="Z3903" s="19"/>
      <c r="AA3903" s="19"/>
      <c r="AB3903" s="19"/>
      <c r="AC3903" s="19"/>
      <c r="AD3903" s="19"/>
      <c r="AE3903" s="19"/>
      <c r="AF3903" s="19"/>
      <c r="AG3903" s="19"/>
      <c r="AH3903" s="19"/>
      <c r="AI3903" s="19"/>
      <c r="AJ3903" s="19"/>
      <c r="AK3903" s="19"/>
      <c r="AL3903" s="6" t="str">
        <f t="array" ref="AL3903">IFERROR(IFS(XLOOKUP(B3903, 'Kit Delivery Status'!$U:$U, 'Kit Delivery Status'!$K:$K) = "Complete", "DELIVERED", XLOOKUP(B3903, 'Kit Delivery Status'!$U:$U, 'Kit Delivery Status'!$K:$K) = "Issue", "ISSUE"), "")</f>
        <v/>
      </c>
      <c r="AM3903" s="6"/>
    </row>
    <row r="3904">
      <c r="A3904" s="19"/>
      <c r="B3904" s="19"/>
      <c r="C3904" s="19"/>
      <c r="D3904" s="42"/>
      <c r="E3904" s="19"/>
      <c r="F3904" s="19"/>
      <c r="G3904" s="19"/>
      <c r="H3904" s="19"/>
      <c r="I3904" s="19"/>
      <c r="J3904" s="19"/>
      <c r="K3904" s="19"/>
      <c r="L3904" s="19"/>
      <c r="M3904" s="19"/>
      <c r="N3904" s="19"/>
      <c r="O3904" s="43"/>
      <c r="P3904" s="19"/>
      <c r="Q3904" s="19"/>
      <c r="R3904" s="19"/>
      <c r="S3904" s="19"/>
      <c r="T3904" s="19"/>
      <c r="U3904" s="19"/>
      <c r="V3904" s="44"/>
      <c r="W3904" s="19"/>
      <c r="X3904" s="19"/>
      <c r="Y3904" s="19"/>
      <c r="Z3904" s="19"/>
      <c r="AA3904" s="19"/>
      <c r="AB3904" s="19"/>
      <c r="AC3904" s="19"/>
      <c r="AD3904" s="19"/>
      <c r="AE3904" s="19"/>
      <c r="AF3904" s="19"/>
      <c r="AG3904" s="19"/>
      <c r="AH3904" s="19"/>
      <c r="AI3904" s="19"/>
      <c r="AJ3904" s="19"/>
      <c r="AK3904" s="19"/>
      <c r="AL3904" s="6" t="str">
        <f t="array" ref="AL3904">IFERROR(IFS(XLOOKUP(B3904, 'Kit Delivery Status'!$U:$U, 'Kit Delivery Status'!$K:$K) = "Complete", "DELIVERED", XLOOKUP(B3904, 'Kit Delivery Status'!$U:$U, 'Kit Delivery Status'!$K:$K) = "Issue", "ISSUE"), "")</f>
        <v/>
      </c>
      <c r="AM3904" s="6"/>
    </row>
    <row r="3905">
      <c r="A3905" s="19"/>
      <c r="B3905" s="19"/>
      <c r="C3905" s="19"/>
      <c r="D3905" s="42"/>
      <c r="E3905" s="19"/>
      <c r="F3905" s="19"/>
      <c r="G3905" s="19"/>
      <c r="H3905" s="19"/>
      <c r="I3905" s="19"/>
      <c r="J3905" s="19"/>
      <c r="K3905" s="19"/>
      <c r="L3905" s="19"/>
      <c r="M3905" s="19"/>
      <c r="N3905" s="19"/>
      <c r="O3905" s="43"/>
      <c r="P3905" s="19"/>
      <c r="Q3905" s="19"/>
      <c r="R3905" s="19"/>
      <c r="S3905" s="19"/>
      <c r="T3905" s="19"/>
      <c r="U3905" s="19"/>
      <c r="V3905" s="44"/>
      <c r="W3905" s="19"/>
      <c r="X3905" s="19"/>
      <c r="Y3905" s="19"/>
      <c r="Z3905" s="19"/>
      <c r="AA3905" s="19"/>
      <c r="AB3905" s="19"/>
      <c r="AC3905" s="19"/>
      <c r="AD3905" s="19"/>
      <c r="AE3905" s="19"/>
      <c r="AF3905" s="19"/>
      <c r="AG3905" s="19"/>
      <c r="AH3905" s="19"/>
      <c r="AI3905" s="19"/>
      <c r="AJ3905" s="19"/>
      <c r="AK3905" s="19"/>
      <c r="AL3905" s="6" t="str">
        <f t="array" ref="AL3905">IFERROR(IFS(XLOOKUP(B3905, 'Kit Delivery Status'!$U:$U, 'Kit Delivery Status'!$K:$K) = "Complete", "DELIVERED", XLOOKUP(B3905, 'Kit Delivery Status'!$U:$U, 'Kit Delivery Status'!$K:$K) = "Issue", "ISSUE"), "")</f>
        <v/>
      </c>
      <c r="AM3905" s="6"/>
    </row>
    <row r="3906">
      <c r="A3906" s="19"/>
      <c r="B3906" s="19"/>
      <c r="C3906" s="19"/>
      <c r="D3906" s="42"/>
      <c r="E3906" s="19"/>
      <c r="F3906" s="19"/>
      <c r="G3906" s="19"/>
      <c r="H3906" s="19"/>
      <c r="I3906" s="19"/>
      <c r="J3906" s="19"/>
      <c r="K3906" s="19"/>
      <c r="L3906" s="19"/>
      <c r="M3906" s="19"/>
      <c r="N3906" s="19"/>
      <c r="O3906" s="43"/>
      <c r="P3906" s="19"/>
      <c r="Q3906" s="19"/>
      <c r="R3906" s="19"/>
      <c r="S3906" s="19"/>
      <c r="T3906" s="19"/>
      <c r="U3906" s="19"/>
      <c r="V3906" s="44"/>
      <c r="W3906" s="19"/>
      <c r="X3906" s="19"/>
      <c r="Y3906" s="19"/>
      <c r="Z3906" s="19"/>
      <c r="AA3906" s="19"/>
      <c r="AB3906" s="19"/>
      <c r="AC3906" s="19"/>
      <c r="AD3906" s="19"/>
      <c r="AE3906" s="19"/>
      <c r="AF3906" s="19"/>
      <c r="AG3906" s="19"/>
      <c r="AH3906" s="19"/>
      <c r="AI3906" s="19"/>
      <c r="AJ3906" s="19"/>
      <c r="AK3906" s="19"/>
      <c r="AL3906" s="6" t="str">
        <f t="array" ref="AL3906">IFERROR(IFS(XLOOKUP(B3906, 'Kit Delivery Status'!$U:$U, 'Kit Delivery Status'!$K:$K) = "Complete", "DELIVERED", XLOOKUP(B3906, 'Kit Delivery Status'!$U:$U, 'Kit Delivery Status'!$K:$K) = "Issue", "ISSUE"), "")</f>
        <v/>
      </c>
      <c r="AM3906" s="6"/>
    </row>
    <row r="3907">
      <c r="A3907" s="19"/>
      <c r="B3907" s="19"/>
      <c r="C3907" s="19"/>
      <c r="D3907" s="42"/>
      <c r="E3907" s="19"/>
      <c r="F3907" s="19"/>
      <c r="G3907" s="19"/>
      <c r="H3907" s="19"/>
      <c r="I3907" s="19"/>
      <c r="J3907" s="19"/>
      <c r="K3907" s="19"/>
      <c r="L3907" s="19"/>
      <c r="M3907" s="19"/>
      <c r="N3907" s="19"/>
      <c r="O3907" s="43"/>
      <c r="P3907" s="19"/>
      <c r="Q3907" s="19"/>
      <c r="R3907" s="19"/>
      <c r="S3907" s="19"/>
      <c r="T3907" s="19"/>
      <c r="U3907" s="19"/>
      <c r="V3907" s="44"/>
      <c r="W3907" s="19"/>
      <c r="X3907" s="19"/>
      <c r="Y3907" s="19"/>
      <c r="Z3907" s="19"/>
      <c r="AA3907" s="19"/>
      <c r="AB3907" s="19"/>
      <c r="AC3907" s="19"/>
      <c r="AD3907" s="19"/>
      <c r="AE3907" s="19"/>
      <c r="AF3907" s="19"/>
      <c r="AG3907" s="19"/>
      <c r="AH3907" s="19"/>
      <c r="AI3907" s="19"/>
      <c r="AJ3907" s="19"/>
      <c r="AK3907" s="19"/>
      <c r="AL3907" s="6" t="str">
        <f t="array" ref="AL3907">IFERROR(IFS(XLOOKUP(B3907, 'Kit Delivery Status'!$U:$U, 'Kit Delivery Status'!$K:$K) = "Complete", "DELIVERED", XLOOKUP(B3907, 'Kit Delivery Status'!$U:$U, 'Kit Delivery Status'!$K:$K) = "Issue", "ISSUE"), "")</f>
        <v/>
      </c>
      <c r="AM3907" s="6"/>
    </row>
    <row r="3908">
      <c r="A3908" s="19"/>
      <c r="B3908" s="19"/>
      <c r="C3908" s="19"/>
      <c r="D3908" s="42"/>
      <c r="E3908" s="19"/>
      <c r="F3908" s="19"/>
      <c r="G3908" s="19"/>
      <c r="H3908" s="19"/>
      <c r="I3908" s="19"/>
      <c r="J3908" s="19"/>
      <c r="K3908" s="19"/>
      <c r="L3908" s="19"/>
      <c r="M3908" s="19"/>
      <c r="N3908" s="19"/>
      <c r="O3908" s="43"/>
      <c r="P3908" s="19"/>
      <c r="Q3908" s="19"/>
      <c r="R3908" s="19"/>
      <c r="S3908" s="19"/>
      <c r="T3908" s="19"/>
      <c r="U3908" s="19"/>
      <c r="V3908" s="44"/>
      <c r="W3908" s="19"/>
      <c r="X3908" s="19"/>
      <c r="Y3908" s="19"/>
      <c r="Z3908" s="19"/>
      <c r="AA3908" s="19"/>
      <c r="AB3908" s="19"/>
      <c r="AC3908" s="19"/>
      <c r="AD3908" s="19"/>
      <c r="AE3908" s="19"/>
      <c r="AF3908" s="19"/>
      <c r="AG3908" s="19"/>
      <c r="AH3908" s="19"/>
      <c r="AI3908" s="19"/>
      <c r="AJ3908" s="19"/>
      <c r="AK3908" s="19"/>
      <c r="AL3908" s="6" t="str">
        <f t="array" ref="AL3908">IFERROR(IFS(XLOOKUP(B3908, 'Kit Delivery Status'!$U:$U, 'Kit Delivery Status'!$K:$K) = "Complete", "DELIVERED", XLOOKUP(B3908, 'Kit Delivery Status'!$U:$U, 'Kit Delivery Status'!$K:$K) = "Issue", "ISSUE"), "")</f>
        <v/>
      </c>
      <c r="AM3908" s="6"/>
    </row>
    <row r="3909">
      <c r="A3909" s="19"/>
      <c r="B3909" s="19"/>
      <c r="C3909" s="19"/>
      <c r="D3909" s="42"/>
      <c r="E3909" s="19"/>
      <c r="F3909" s="19"/>
      <c r="G3909" s="19"/>
      <c r="H3909" s="19"/>
      <c r="I3909" s="19"/>
      <c r="J3909" s="19"/>
      <c r="K3909" s="19"/>
      <c r="L3909" s="19"/>
      <c r="M3909" s="19"/>
      <c r="N3909" s="19"/>
      <c r="O3909" s="43"/>
      <c r="P3909" s="19"/>
      <c r="Q3909" s="19"/>
      <c r="R3909" s="19"/>
      <c r="S3909" s="19"/>
      <c r="T3909" s="19"/>
      <c r="U3909" s="19"/>
      <c r="V3909" s="44"/>
      <c r="W3909" s="19"/>
      <c r="X3909" s="19"/>
      <c r="Y3909" s="19"/>
      <c r="Z3909" s="19"/>
      <c r="AA3909" s="19"/>
      <c r="AB3909" s="19"/>
      <c r="AC3909" s="19"/>
      <c r="AD3909" s="19"/>
      <c r="AE3909" s="19"/>
      <c r="AF3909" s="19"/>
      <c r="AG3909" s="19"/>
      <c r="AH3909" s="19"/>
      <c r="AI3909" s="19"/>
      <c r="AJ3909" s="19"/>
      <c r="AK3909" s="19"/>
      <c r="AL3909" s="6" t="str">
        <f t="array" ref="AL3909">IFERROR(IFS(XLOOKUP(B3909, 'Kit Delivery Status'!$U:$U, 'Kit Delivery Status'!$K:$K) = "Complete", "DELIVERED", XLOOKUP(B3909, 'Kit Delivery Status'!$U:$U, 'Kit Delivery Status'!$K:$K) = "Issue", "ISSUE"), "")</f>
        <v/>
      </c>
      <c r="AM3909" s="6"/>
    </row>
    <row r="3910">
      <c r="A3910" s="19"/>
      <c r="B3910" s="19"/>
      <c r="C3910" s="19"/>
      <c r="D3910" s="42"/>
      <c r="E3910" s="19"/>
      <c r="F3910" s="19"/>
      <c r="G3910" s="19"/>
      <c r="H3910" s="19"/>
      <c r="I3910" s="19"/>
      <c r="J3910" s="19"/>
      <c r="K3910" s="19"/>
      <c r="L3910" s="19"/>
      <c r="M3910" s="19"/>
      <c r="N3910" s="19"/>
      <c r="O3910" s="43"/>
      <c r="P3910" s="19"/>
      <c r="Q3910" s="19"/>
      <c r="R3910" s="19"/>
      <c r="S3910" s="19"/>
      <c r="T3910" s="19"/>
      <c r="U3910" s="19"/>
      <c r="V3910" s="44"/>
      <c r="W3910" s="19"/>
      <c r="X3910" s="19"/>
      <c r="Y3910" s="19"/>
      <c r="Z3910" s="19"/>
      <c r="AA3910" s="19"/>
      <c r="AB3910" s="19"/>
      <c r="AC3910" s="19"/>
      <c r="AD3910" s="19"/>
      <c r="AE3910" s="19"/>
      <c r="AF3910" s="19"/>
      <c r="AG3910" s="19"/>
      <c r="AH3910" s="19"/>
      <c r="AI3910" s="19"/>
      <c r="AJ3910" s="19"/>
      <c r="AK3910" s="19"/>
      <c r="AL3910" s="6" t="str">
        <f t="array" ref="AL3910">IFERROR(IFS(XLOOKUP(B3910, 'Kit Delivery Status'!$U:$U, 'Kit Delivery Status'!$K:$K) = "Complete", "DELIVERED", XLOOKUP(B3910, 'Kit Delivery Status'!$U:$U, 'Kit Delivery Status'!$K:$K) = "Issue", "ISSUE"), "")</f>
        <v/>
      </c>
      <c r="AM3910" s="6"/>
    </row>
    <row r="3911">
      <c r="A3911" s="19"/>
      <c r="B3911" s="19"/>
      <c r="C3911" s="19"/>
      <c r="D3911" s="42"/>
      <c r="E3911" s="19"/>
      <c r="F3911" s="19"/>
      <c r="G3911" s="19"/>
      <c r="H3911" s="19"/>
      <c r="I3911" s="19"/>
      <c r="J3911" s="19"/>
      <c r="K3911" s="19"/>
      <c r="L3911" s="19"/>
      <c r="M3911" s="19"/>
      <c r="N3911" s="19"/>
      <c r="O3911" s="43"/>
      <c r="P3911" s="19"/>
      <c r="Q3911" s="19"/>
      <c r="R3911" s="19"/>
      <c r="S3911" s="19"/>
      <c r="T3911" s="19"/>
      <c r="U3911" s="19"/>
      <c r="V3911" s="44"/>
      <c r="W3911" s="19"/>
      <c r="X3911" s="19"/>
      <c r="Y3911" s="19"/>
      <c r="Z3911" s="19"/>
      <c r="AA3911" s="19"/>
      <c r="AB3911" s="19"/>
      <c r="AC3911" s="19"/>
      <c r="AD3911" s="19"/>
      <c r="AE3911" s="19"/>
      <c r="AF3911" s="19"/>
      <c r="AG3911" s="19"/>
      <c r="AH3911" s="19"/>
      <c r="AI3911" s="19"/>
      <c r="AJ3911" s="19"/>
      <c r="AK3911" s="19"/>
      <c r="AL3911" s="6" t="str">
        <f t="array" ref="AL3911">IFERROR(IFS(XLOOKUP(B3911, 'Kit Delivery Status'!$U:$U, 'Kit Delivery Status'!$K:$K) = "Complete", "DELIVERED", XLOOKUP(B3911, 'Kit Delivery Status'!$U:$U, 'Kit Delivery Status'!$K:$K) = "Issue", "ISSUE"), "")</f>
        <v/>
      </c>
      <c r="AM3911" s="6"/>
    </row>
    <row r="3912">
      <c r="A3912" s="19"/>
      <c r="B3912" s="19"/>
      <c r="C3912" s="19"/>
      <c r="D3912" s="42"/>
      <c r="E3912" s="19"/>
      <c r="F3912" s="19"/>
      <c r="G3912" s="19"/>
      <c r="H3912" s="19"/>
      <c r="I3912" s="19"/>
      <c r="J3912" s="19"/>
      <c r="K3912" s="19"/>
      <c r="L3912" s="19"/>
      <c r="M3912" s="19"/>
      <c r="N3912" s="19"/>
      <c r="O3912" s="43"/>
      <c r="P3912" s="19"/>
      <c r="Q3912" s="19"/>
      <c r="R3912" s="19"/>
      <c r="S3912" s="19"/>
      <c r="T3912" s="19"/>
      <c r="U3912" s="19"/>
      <c r="V3912" s="44"/>
      <c r="W3912" s="19"/>
      <c r="X3912" s="19"/>
      <c r="Y3912" s="19"/>
      <c r="Z3912" s="19"/>
      <c r="AA3912" s="19"/>
      <c r="AB3912" s="19"/>
      <c r="AC3912" s="19"/>
      <c r="AD3912" s="19"/>
      <c r="AE3912" s="19"/>
      <c r="AF3912" s="19"/>
      <c r="AG3912" s="19"/>
      <c r="AH3912" s="19"/>
      <c r="AI3912" s="19"/>
      <c r="AJ3912" s="19"/>
      <c r="AK3912" s="19"/>
      <c r="AL3912" s="6" t="str">
        <f t="array" ref="AL3912">IFERROR(IFS(XLOOKUP(B3912, 'Kit Delivery Status'!$U:$U, 'Kit Delivery Status'!$K:$K) = "Complete", "DELIVERED", XLOOKUP(B3912, 'Kit Delivery Status'!$U:$U, 'Kit Delivery Status'!$K:$K) = "Issue", "ISSUE"), "")</f>
        <v/>
      </c>
      <c r="AM3912" s="6"/>
    </row>
    <row r="3913">
      <c r="A3913" s="19"/>
      <c r="B3913" s="19"/>
      <c r="C3913" s="19"/>
      <c r="D3913" s="42"/>
      <c r="E3913" s="19"/>
      <c r="F3913" s="19"/>
      <c r="G3913" s="19"/>
      <c r="H3913" s="19"/>
      <c r="I3913" s="19"/>
      <c r="J3913" s="19"/>
      <c r="K3913" s="19"/>
      <c r="L3913" s="19"/>
      <c r="M3913" s="19"/>
      <c r="N3913" s="19"/>
      <c r="O3913" s="43"/>
      <c r="P3913" s="19"/>
      <c r="Q3913" s="19"/>
      <c r="R3913" s="19"/>
      <c r="S3913" s="19"/>
      <c r="T3913" s="19"/>
      <c r="U3913" s="19"/>
      <c r="V3913" s="44"/>
      <c r="W3913" s="19"/>
      <c r="X3913" s="19"/>
      <c r="Y3913" s="19"/>
      <c r="Z3913" s="19"/>
      <c r="AA3913" s="19"/>
      <c r="AB3913" s="19"/>
      <c r="AC3913" s="19"/>
      <c r="AD3913" s="19"/>
      <c r="AE3913" s="19"/>
      <c r="AF3913" s="19"/>
      <c r="AG3913" s="19"/>
      <c r="AH3913" s="19"/>
      <c r="AI3913" s="19"/>
      <c r="AJ3913" s="19"/>
      <c r="AK3913" s="19"/>
      <c r="AL3913" s="6" t="str">
        <f t="array" ref="AL3913">IFERROR(IFS(XLOOKUP(B3913, 'Kit Delivery Status'!$U:$U, 'Kit Delivery Status'!$K:$K) = "Complete", "DELIVERED", XLOOKUP(B3913, 'Kit Delivery Status'!$U:$U, 'Kit Delivery Status'!$K:$K) = "Issue", "ISSUE"), "")</f>
        <v/>
      </c>
      <c r="AM3913" s="6"/>
    </row>
    <row r="3914">
      <c r="A3914" s="19"/>
      <c r="B3914" s="19"/>
      <c r="C3914" s="19"/>
      <c r="D3914" s="42"/>
      <c r="E3914" s="19"/>
      <c r="F3914" s="19"/>
      <c r="G3914" s="19"/>
      <c r="H3914" s="19"/>
      <c r="I3914" s="19"/>
      <c r="J3914" s="19"/>
      <c r="K3914" s="19"/>
      <c r="L3914" s="19"/>
      <c r="M3914" s="19"/>
      <c r="N3914" s="19"/>
      <c r="O3914" s="43"/>
      <c r="P3914" s="19"/>
      <c r="Q3914" s="19"/>
      <c r="R3914" s="19"/>
      <c r="S3914" s="19"/>
      <c r="T3914" s="19"/>
      <c r="U3914" s="19"/>
      <c r="V3914" s="44"/>
      <c r="W3914" s="19"/>
      <c r="X3914" s="19"/>
      <c r="Y3914" s="19"/>
      <c r="Z3914" s="19"/>
      <c r="AA3914" s="19"/>
      <c r="AB3914" s="19"/>
      <c r="AC3914" s="19"/>
      <c r="AD3914" s="19"/>
      <c r="AE3914" s="19"/>
      <c r="AF3914" s="19"/>
      <c r="AG3914" s="19"/>
      <c r="AH3914" s="19"/>
      <c r="AI3914" s="19"/>
      <c r="AJ3914" s="19"/>
      <c r="AK3914" s="19"/>
      <c r="AL3914" s="6" t="str">
        <f t="array" ref="AL3914">IFERROR(IFS(XLOOKUP(B3914, 'Kit Delivery Status'!$U:$U, 'Kit Delivery Status'!$K:$K) = "Complete", "DELIVERED", XLOOKUP(B3914, 'Kit Delivery Status'!$U:$U, 'Kit Delivery Status'!$K:$K) = "Issue", "ISSUE"), "")</f>
        <v/>
      </c>
      <c r="AM3914" s="6"/>
    </row>
    <row r="3915">
      <c r="A3915" s="19"/>
      <c r="B3915" s="19"/>
      <c r="C3915" s="19"/>
      <c r="D3915" s="42"/>
      <c r="E3915" s="19"/>
      <c r="F3915" s="19"/>
      <c r="G3915" s="19"/>
      <c r="H3915" s="19"/>
      <c r="I3915" s="19"/>
      <c r="J3915" s="19"/>
      <c r="K3915" s="19"/>
      <c r="L3915" s="19"/>
      <c r="M3915" s="19"/>
      <c r="N3915" s="19"/>
      <c r="O3915" s="43"/>
      <c r="P3915" s="19"/>
      <c r="Q3915" s="19"/>
      <c r="R3915" s="19"/>
      <c r="S3915" s="19"/>
      <c r="T3915" s="19"/>
      <c r="U3915" s="19"/>
      <c r="V3915" s="44"/>
      <c r="W3915" s="19"/>
      <c r="X3915" s="19"/>
      <c r="Y3915" s="19"/>
      <c r="Z3915" s="19"/>
      <c r="AA3915" s="19"/>
      <c r="AB3915" s="19"/>
      <c r="AC3915" s="19"/>
      <c r="AD3915" s="19"/>
      <c r="AE3915" s="19"/>
      <c r="AF3915" s="19"/>
      <c r="AG3915" s="19"/>
      <c r="AH3915" s="19"/>
      <c r="AI3915" s="19"/>
      <c r="AJ3915" s="19"/>
      <c r="AK3915" s="19"/>
      <c r="AL3915" s="6" t="str">
        <f t="array" ref="AL3915">IFERROR(IFS(XLOOKUP(B3915, 'Kit Delivery Status'!$U:$U, 'Kit Delivery Status'!$K:$K) = "Complete", "DELIVERED", XLOOKUP(B3915, 'Kit Delivery Status'!$U:$U, 'Kit Delivery Status'!$K:$K) = "Issue", "ISSUE"), "")</f>
        <v/>
      </c>
      <c r="AM3915" s="6"/>
    </row>
    <row r="3916">
      <c r="A3916" s="19"/>
      <c r="B3916" s="19"/>
      <c r="C3916" s="19"/>
      <c r="D3916" s="42"/>
      <c r="E3916" s="19"/>
      <c r="F3916" s="19"/>
      <c r="G3916" s="19"/>
      <c r="H3916" s="19"/>
      <c r="I3916" s="19"/>
      <c r="J3916" s="19"/>
      <c r="K3916" s="19"/>
      <c r="L3916" s="19"/>
      <c r="M3916" s="19"/>
      <c r="N3916" s="19"/>
      <c r="O3916" s="43"/>
      <c r="P3916" s="19"/>
      <c r="Q3916" s="19"/>
      <c r="R3916" s="19"/>
      <c r="S3916" s="19"/>
      <c r="T3916" s="19"/>
      <c r="U3916" s="19"/>
      <c r="V3916" s="44"/>
      <c r="W3916" s="19"/>
      <c r="X3916" s="19"/>
      <c r="Y3916" s="19"/>
      <c r="Z3916" s="19"/>
      <c r="AA3916" s="19"/>
      <c r="AB3916" s="19"/>
      <c r="AC3916" s="19"/>
      <c r="AD3916" s="19"/>
      <c r="AE3916" s="19"/>
      <c r="AF3916" s="19"/>
      <c r="AG3916" s="19"/>
      <c r="AH3916" s="19"/>
      <c r="AI3916" s="19"/>
      <c r="AJ3916" s="19"/>
      <c r="AK3916" s="19"/>
      <c r="AL3916" s="6" t="str">
        <f t="array" ref="AL3916">IFERROR(IFS(XLOOKUP(B3916, 'Kit Delivery Status'!$U:$U, 'Kit Delivery Status'!$K:$K) = "Complete", "DELIVERED", XLOOKUP(B3916, 'Kit Delivery Status'!$U:$U, 'Kit Delivery Status'!$K:$K) = "Issue", "ISSUE"), "")</f>
        <v/>
      </c>
      <c r="AM3916" s="6"/>
    </row>
    <row r="3917">
      <c r="A3917" s="19"/>
      <c r="B3917" s="19"/>
      <c r="C3917" s="19"/>
      <c r="D3917" s="42"/>
      <c r="E3917" s="19"/>
      <c r="F3917" s="19"/>
      <c r="G3917" s="19"/>
      <c r="H3917" s="19"/>
      <c r="I3917" s="19"/>
      <c r="J3917" s="19"/>
      <c r="K3917" s="19"/>
      <c r="L3917" s="19"/>
      <c r="M3917" s="19"/>
      <c r="N3917" s="19"/>
      <c r="O3917" s="43"/>
      <c r="P3917" s="19"/>
      <c r="Q3917" s="19"/>
      <c r="R3917" s="19"/>
      <c r="S3917" s="19"/>
      <c r="T3917" s="19"/>
      <c r="U3917" s="19"/>
      <c r="V3917" s="44"/>
      <c r="W3917" s="19"/>
      <c r="X3917" s="19"/>
      <c r="Y3917" s="19"/>
      <c r="Z3917" s="19"/>
      <c r="AA3917" s="19"/>
      <c r="AB3917" s="19"/>
      <c r="AC3917" s="19"/>
      <c r="AD3917" s="19"/>
      <c r="AE3917" s="19"/>
      <c r="AF3917" s="19"/>
      <c r="AG3917" s="19"/>
      <c r="AH3917" s="19"/>
      <c r="AI3917" s="19"/>
      <c r="AJ3917" s="19"/>
      <c r="AK3917" s="19"/>
      <c r="AL3917" s="6" t="str">
        <f t="array" ref="AL3917">IFERROR(IFS(XLOOKUP(B3917, 'Kit Delivery Status'!$U:$U, 'Kit Delivery Status'!$K:$K) = "Complete", "DELIVERED", XLOOKUP(B3917, 'Kit Delivery Status'!$U:$U, 'Kit Delivery Status'!$K:$K) = "Issue", "ISSUE"), "")</f>
        <v/>
      </c>
      <c r="AM3917" s="6"/>
    </row>
    <row r="3918">
      <c r="A3918" s="19"/>
      <c r="B3918" s="19"/>
      <c r="C3918" s="19"/>
      <c r="D3918" s="42"/>
      <c r="E3918" s="19"/>
      <c r="F3918" s="19"/>
      <c r="G3918" s="19"/>
      <c r="H3918" s="19"/>
      <c r="I3918" s="19"/>
      <c r="J3918" s="19"/>
      <c r="K3918" s="19"/>
      <c r="L3918" s="19"/>
      <c r="M3918" s="19"/>
      <c r="N3918" s="19"/>
      <c r="O3918" s="43"/>
      <c r="P3918" s="19"/>
      <c r="Q3918" s="19"/>
      <c r="R3918" s="19"/>
      <c r="S3918" s="19"/>
      <c r="T3918" s="19"/>
      <c r="U3918" s="19"/>
      <c r="V3918" s="44"/>
      <c r="W3918" s="19"/>
      <c r="X3918" s="19"/>
      <c r="Y3918" s="19"/>
      <c r="Z3918" s="19"/>
      <c r="AA3918" s="19"/>
      <c r="AB3918" s="19"/>
      <c r="AC3918" s="19"/>
      <c r="AD3918" s="19"/>
      <c r="AE3918" s="19"/>
      <c r="AF3918" s="19"/>
      <c r="AG3918" s="19"/>
      <c r="AH3918" s="19"/>
      <c r="AI3918" s="19"/>
      <c r="AJ3918" s="19"/>
      <c r="AK3918" s="19"/>
      <c r="AL3918" s="6" t="str">
        <f t="array" ref="AL3918">IFERROR(IFS(XLOOKUP(B3918, 'Kit Delivery Status'!$U:$U, 'Kit Delivery Status'!$K:$K) = "Complete", "DELIVERED", XLOOKUP(B3918, 'Kit Delivery Status'!$U:$U, 'Kit Delivery Status'!$K:$K) = "Issue", "ISSUE"), "")</f>
        <v/>
      </c>
      <c r="AM3918" s="6"/>
    </row>
    <row r="3919">
      <c r="A3919" s="19"/>
      <c r="B3919" s="19"/>
      <c r="C3919" s="19"/>
      <c r="D3919" s="42"/>
      <c r="E3919" s="19"/>
      <c r="F3919" s="19"/>
      <c r="G3919" s="19"/>
      <c r="H3919" s="19"/>
      <c r="I3919" s="19"/>
      <c r="J3919" s="19"/>
      <c r="K3919" s="19"/>
      <c r="L3919" s="19"/>
      <c r="M3919" s="19"/>
      <c r="N3919" s="19"/>
      <c r="O3919" s="43"/>
      <c r="P3919" s="19"/>
      <c r="Q3919" s="19"/>
      <c r="R3919" s="19"/>
      <c r="S3919" s="19"/>
      <c r="T3919" s="19"/>
      <c r="U3919" s="19"/>
      <c r="V3919" s="44"/>
      <c r="W3919" s="19"/>
      <c r="X3919" s="19"/>
      <c r="Y3919" s="19"/>
      <c r="Z3919" s="19"/>
      <c r="AA3919" s="19"/>
      <c r="AB3919" s="19"/>
      <c r="AC3919" s="19"/>
      <c r="AD3919" s="19"/>
      <c r="AE3919" s="19"/>
      <c r="AF3919" s="19"/>
      <c r="AG3919" s="19"/>
      <c r="AH3919" s="19"/>
      <c r="AI3919" s="19"/>
      <c r="AJ3919" s="19"/>
      <c r="AK3919" s="19"/>
      <c r="AL3919" s="6" t="str">
        <f t="array" ref="AL3919">IFERROR(IFS(XLOOKUP(B3919, 'Kit Delivery Status'!$U:$U, 'Kit Delivery Status'!$K:$K) = "Complete", "DELIVERED", XLOOKUP(B3919, 'Kit Delivery Status'!$U:$U, 'Kit Delivery Status'!$K:$K) = "Issue", "ISSUE"), "")</f>
        <v/>
      </c>
      <c r="AM3919" s="6"/>
    </row>
    <row r="3920">
      <c r="A3920" s="19"/>
      <c r="B3920" s="19"/>
      <c r="C3920" s="19"/>
      <c r="D3920" s="42"/>
      <c r="E3920" s="19"/>
      <c r="F3920" s="19"/>
      <c r="G3920" s="19"/>
      <c r="H3920" s="19"/>
      <c r="I3920" s="19"/>
      <c r="J3920" s="19"/>
      <c r="K3920" s="19"/>
      <c r="L3920" s="19"/>
      <c r="M3920" s="19"/>
      <c r="N3920" s="19"/>
      <c r="O3920" s="43"/>
      <c r="P3920" s="19"/>
      <c r="Q3920" s="19"/>
      <c r="R3920" s="19"/>
      <c r="S3920" s="19"/>
      <c r="T3920" s="19"/>
      <c r="U3920" s="19"/>
      <c r="V3920" s="44"/>
      <c r="W3920" s="19"/>
      <c r="X3920" s="19"/>
      <c r="Y3920" s="19"/>
      <c r="Z3920" s="19"/>
      <c r="AA3920" s="19"/>
      <c r="AB3920" s="19"/>
      <c r="AC3920" s="19"/>
      <c r="AD3920" s="19"/>
      <c r="AE3920" s="19"/>
      <c r="AF3920" s="19"/>
      <c r="AG3920" s="19"/>
      <c r="AH3920" s="19"/>
      <c r="AI3920" s="19"/>
      <c r="AJ3920" s="19"/>
      <c r="AK3920" s="19"/>
      <c r="AL3920" s="6" t="str">
        <f t="array" ref="AL3920">IFERROR(IFS(XLOOKUP(B3920, 'Kit Delivery Status'!$U:$U, 'Kit Delivery Status'!$K:$K) = "Complete", "DELIVERED", XLOOKUP(B3920, 'Kit Delivery Status'!$U:$U, 'Kit Delivery Status'!$K:$K) = "Issue", "ISSUE"), "")</f>
        <v/>
      </c>
      <c r="AM3920" s="6"/>
    </row>
    <row r="3921">
      <c r="A3921" s="19"/>
      <c r="B3921" s="19"/>
      <c r="C3921" s="19"/>
      <c r="D3921" s="42"/>
      <c r="E3921" s="19"/>
      <c r="F3921" s="19"/>
      <c r="G3921" s="19"/>
      <c r="H3921" s="19"/>
      <c r="I3921" s="19"/>
      <c r="J3921" s="19"/>
      <c r="K3921" s="19"/>
      <c r="L3921" s="19"/>
      <c r="M3921" s="19"/>
      <c r="N3921" s="19"/>
      <c r="O3921" s="43"/>
      <c r="P3921" s="19"/>
      <c r="Q3921" s="19"/>
      <c r="R3921" s="19"/>
      <c r="S3921" s="19"/>
      <c r="T3921" s="19"/>
      <c r="U3921" s="19"/>
      <c r="V3921" s="44"/>
      <c r="W3921" s="19"/>
      <c r="X3921" s="19"/>
      <c r="Y3921" s="19"/>
      <c r="Z3921" s="19"/>
      <c r="AA3921" s="19"/>
      <c r="AB3921" s="19"/>
      <c r="AC3921" s="19"/>
      <c r="AD3921" s="19"/>
      <c r="AE3921" s="19"/>
      <c r="AF3921" s="19"/>
      <c r="AG3921" s="19"/>
      <c r="AH3921" s="19"/>
      <c r="AI3921" s="19"/>
      <c r="AJ3921" s="19"/>
      <c r="AK3921" s="19"/>
      <c r="AL3921" s="6" t="str">
        <f t="array" ref="AL3921">IFERROR(IFS(XLOOKUP(B3921, 'Kit Delivery Status'!$U:$U, 'Kit Delivery Status'!$K:$K) = "Complete", "DELIVERED", XLOOKUP(B3921, 'Kit Delivery Status'!$U:$U, 'Kit Delivery Status'!$K:$K) = "Issue", "ISSUE"), "")</f>
        <v/>
      </c>
      <c r="AM3921" s="6"/>
    </row>
    <row r="3922">
      <c r="A3922" s="19"/>
      <c r="B3922" s="19"/>
      <c r="C3922" s="19"/>
      <c r="D3922" s="42"/>
      <c r="E3922" s="19"/>
      <c r="F3922" s="19"/>
      <c r="G3922" s="19"/>
      <c r="H3922" s="19"/>
      <c r="I3922" s="19"/>
      <c r="J3922" s="19"/>
      <c r="K3922" s="19"/>
      <c r="L3922" s="19"/>
      <c r="M3922" s="19"/>
      <c r="N3922" s="19"/>
      <c r="O3922" s="43"/>
      <c r="P3922" s="19"/>
      <c r="Q3922" s="19"/>
      <c r="R3922" s="19"/>
      <c r="S3922" s="19"/>
      <c r="T3922" s="19"/>
      <c r="U3922" s="19"/>
      <c r="V3922" s="44"/>
      <c r="W3922" s="19"/>
      <c r="X3922" s="19"/>
      <c r="Y3922" s="19"/>
      <c r="Z3922" s="19"/>
      <c r="AA3922" s="19"/>
      <c r="AB3922" s="19"/>
      <c r="AC3922" s="19"/>
      <c r="AD3922" s="19"/>
      <c r="AE3922" s="19"/>
      <c r="AF3922" s="19"/>
      <c r="AG3922" s="19"/>
      <c r="AH3922" s="19"/>
      <c r="AI3922" s="19"/>
      <c r="AJ3922" s="19"/>
      <c r="AK3922" s="19"/>
      <c r="AL3922" s="6" t="str">
        <f t="array" ref="AL3922">IFERROR(IFS(XLOOKUP(B3922, 'Kit Delivery Status'!$U:$U, 'Kit Delivery Status'!$K:$K) = "Complete", "DELIVERED", XLOOKUP(B3922, 'Kit Delivery Status'!$U:$U, 'Kit Delivery Status'!$K:$K) = "Issue", "ISSUE"), "")</f>
        <v/>
      </c>
      <c r="AM3922" s="6"/>
    </row>
    <row r="3923">
      <c r="A3923" s="19"/>
      <c r="B3923" s="19"/>
      <c r="C3923" s="19"/>
      <c r="D3923" s="42"/>
      <c r="E3923" s="19"/>
      <c r="F3923" s="19"/>
      <c r="G3923" s="19"/>
      <c r="H3923" s="19"/>
      <c r="I3923" s="19"/>
      <c r="J3923" s="19"/>
      <c r="K3923" s="19"/>
      <c r="L3923" s="19"/>
      <c r="M3923" s="19"/>
      <c r="N3923" s="19"/>
      <c r="O3923" s="43"/>
      <c r="P3923" s="19"/>
      <c r="Q3923" s="19"/>
      <c r="R3923" s="19"/>
      <c r="S3923" s="19"/>
      <c r="T3923" s="19"/>
      <c r="U3923" s="19"/>
      <c r="V3923" s="44"/>
      <c r="W3923" s="19"/>
      <c r="X3923" s="19"/>
      <c r="Y3923" s="19"/>
      <c r="Z3923" s="19"/>
      <c r="AA3923" s="19"/>
      <c r="AB3923" s="19"/>
      <c r="AC3923" s="19"/>
      <c r="AD3923" s="19"/>
      <c r="AE3923" s="19"/>
      <c r="AF3923" s="19"/>
      <c r="AG3923" s="19"/>
      <c r="AH3923" s="19"/>
      <c r="AI3923" s="19"/>
      <c r="AJ3923" s="19"/>
      <c r="AK3923" s="19"/>
      <c r="AL3923" s="6" t="str">
        <f t="array" ref="AL3923">IFERROR(IFS(XLOOKUP(B3923, 'Kit Delivery Status'!$U:$U, 'Kit Delivery Status'!$K:$K) = "Complete", "DELIVERED", XLOOKUP(B3923, 'Kit Delivery Status'!$U:$U, 'Kit Delivery Status'!$K:$K) = "Issue", "ISSUE"), "")</f>
        <v/>
      </c>
      <c r="AM3923" s="6"/>
    </row>
    <row r="3924">
      <c r="A3924" s="19"/>
      <c r="B3924" s="19"/>
      <c r="C3924" s="19"/>
      <c r="D3924" s="42"/>
      <c r="E3924" s="19"/>
      <c r="F3924" s="19"/>
      <c r="G3924" s="19"/>
      <c r="H3924" s="19"/>
      <c r="I3924" s="19"/>
      <c r="J3924" s="19"/>
      <c r="K3924" s="19"/>
      <c r="L3924" s="19"/>
      <c r="M3924" s="19"/>
      <c r="N3924" s="19"/>
      <c r="O3924" s="43"/>
      <c r="P3924" s="19"/>
      <c r="Q3924" s="19"/>
      <c r="R3924" s="19"/>
      <c r="S3924" s="19"/>
      <c r="T3924" s="19"/>
      <c r="U3924" s="19"/>
      <c r="V3924" s="44"/>
      <c r="W3924" s="19"/>
      <c r="X3924" s="19"/>
      <c r="Y3924" s="19"/>
      <c r="Z3924" s="19"/>
      <c r="AA3924" s="19"/>
      <c r="AB3924" s="19"/>
      <c r="AC3924" s="19"/>
      <c r="AD3924" s="19"/>
      <c r="AE3924" s="19"/>
      <c r="AF3924" s="19"/>
      <c r="AG3924" s="19"/>
      <c r="AH3924" s="19"/>
      <c r="AI3924" s="19"/>
      <c r="AJ3924" s="19"/>
      <c r="AK3924" s="19"/>
      <c r="AL3924" s="6" t="str">
        <f t="array" ref="AL3924">IFERROR(IFS(XLOOKUP(B3924, 'Kit Delivery Status'!$U:$U, 'Kit Delivery Status'!$K:$K) = "Complete", "DELIVERED", XLOOKUP(B3924, 'Kit Delivery Status'!$U:$U, 'Kit Delivery Status'!$K:$K) = "Issue", "ISSUE"), "")</f>
        <v/>
      </c>
      <c r="AM3924" s="6"/>
    </row>
    <row r="3925">
      <c r="A3925" s="19"/>
      <c r="B3925" s="19"/>
      <c r="C3925" s="19"/>
      <c r="D3925" s="42"/>
      <c r="E3925" s="19"/>
      <c r="F3925" s="19"/>
      <c r="G3925" s="19"/>
      <c r="H3925" s="19"/>
      <c r="I3925" s="19"/>
      <c r="J3925" s="19"/>
      <c r="K3925" s="19"/>
      <c r="L3925" s="19"/>
      <c r="M3925" s="19"/>
      <c r="N3925" s="19"/>
      <c r="O3925" s="43"/>
      <c r="P3925" s="19"/>
      <c r="Q3925" s="19"/>
      <c r="R3925" s="19"/>
      <c r="S3925" s="19"/>
      <c r="T3925" s="19"/>
      <c r="U3925" s="19"/>
      <c r="V3925" s="44"/>
      <c r="W3925" s="19"/>
      <c r="X3925" s="19"/>
      <c r="Y3925" s="19"/>
      <c r="Z3925" s="19"/>
      <c r="AA3925" s="19"/>
      <c r="AB3925" s="19"/>
      <c r="AC3925" s="19"/>
      <c r="AD3925" s="19"/>
      <c r="AE3925" s="19"/>
      <c r="AF3925" s="19"/>
      <c r="AG3925" s="19"/>
      <c r="AH3925" s="19"/>
      <c r="AI3925" s="19"/>
      <c r="AJ3925" s="19"/>
      <c r="AK3925" s="19"/>
      <c r="AL3925" s="6" t="str">
        <f t="array" ref="AL3925">IFERROR(IFS(XLOOKUP(B3925, 'Kit Delivery Status'!$U:$U, 'Kit Delivery Status'!$K:$K) = "Complete", "DELIVERED", XLOOKUP(B3925, 'Kit Delivery Status'!$U:$U, 'Kit Delivery Status'!$K:$K) = "Issue", "ISSUE"), "")</f>
        <v/>
      </c>
      <c r="AM3925" s="6"/>
    </row>
    <row r="3926">
      <c r="A3926" s="19"/>
      <c r="B3926" s="19"/>
      <c r="C3926" s="19"/>
      <c r="D3926" s="42"/>
      <c r="E3926" s="19"/>
      <c r="F3926" s="19"/>
      <c r="G3926" s="19"/>
      <c r="H3926" s="19"/>
      <c r="I3926" s="19"/>
      <c r="J3926" s="19"/>
      <c r="K3926" s="19"/>
      <c r="L3926" s="19"/>
      <c r="M3926" s="19"/>
      <c r="N3926" s="19"/>
      <c r="O3926" s="43"/>
      <c r="P3926" s="19"/>
      <c r="Q3926" s="19"/>
      <c r="R3926" s="19"/>
      <c r="S3926" s="19"/>
      <c r="T3926" s="19"/>
      <c r="U3926" s="19"/>
      <c r="V3926" s="44"/>
      <c r="W3926" s="19"/>
      <c r="X3926" s="19"/>
      <c r="Y3926" s="19"/>
      <c r="Z3926" s="19"/>
      <c r="AA3926" s="19"/>
      <c r="AB3926" s="19"/>
      <c r="AC3926" s="19"/>
      <c r="AD3926" s="19"/>
      <c r="AE3926" s="19"/>
      <c r="AF3926" s="19"/>
      <c r="AG3926" s="19"/>
      <c r="AH3926" s="19"/>
      <c r="AI3926" s="19"/>
      <c r="AJ3926" s="19"/>
      <c r="AK3926" s="19"/>
      <c r="AL3926" s="6" t="str">
        <f t="array" ref="AL3926">IFERROR(IFS(XLOOKUP(B3926, 'Kit Delivery Status'!$U:$U, 'Kit Delivery Status'!$K:$K) = "Complete", "DELIVERED", XLOOKUP(B3926, 'Kit Delivery Status'!$U:$U, 'Kit Delivery Status'!$K:$K) = "Issue", "ISSUE"), "")</f>
        <v/>
      </c>
      <c r="AM3926" s="6"/>
    </row>
    <row r="3927">
      <c r="A3927" s="19"/>
      <c r="B3927" s="19"/>
      <c r="C3927" s="19"/>
      <c r="D3927" s="42"/>
      <c r="E3927" s="19"/>
      <c r="F3927" s="19"/>
      <c r="G3927" s="19"/>
      <c r="H3927" s="19"/>
      <c r="I3927" s="19"/>
      <c r="J3927" s="19"/>
      <c r="K3927" s="19"/>
      <c r="L3927" s="19"/>
      <c r="M3927" s="19"/>
      <c r="N3927" s="19"/>
      <c r="O3927" s="43"/>
      <c r="P3927" s="19"/>
      <c r="Q3927" s="19"/>
      <c r="R3927" s="19"/>
      <c r="S3927" s="19"/>
      <c r="T3927" s="19"/>
      <c r="U3927" s="19"/>
      <c r="V3927" s="44"/>
      <c r="W3927" s="19"/>
      <c r="X3927" s="19"/>
      <c r="Y3927" s="19"/>
      <c r="Z3927" s="19"/>
      <c r="AA3927" s="19"/>
      <c r="AB3927" s="19"/>
      <c r="AC3927" s="19"/>
      <c r="AD3927" s="19"/>
      <c r="AE3927" s="19"/>
      <c r="AF3927" s="19"/>
      <c r="AG3927" s="19"/>
      <c r="AH3927" s="19"/>
      <c r="AI3927" s="19"/>
      <c r="AJ3927" s="19"/>
      <c r="AK3927" s="19"/>
      <c r="AL3927" s="6" t="str">
        <f t="array" ref="AL3927">IFERROR(IFS(XLOOKUP(B3927, 'Kit Delivery Status'!$U:$U, 'Kit Delivery Status'!$K:$K) = "Complete", "DELIVERED", XLOOKUP(B3927, 'Kit Delivery Status'!$U:$U, 'Kit Delivery Status'!$K:$K) = "Issue", "ISSUE"), "")</f>
        <v/>
      </c>
      <c r="AM3927" s="6"/>
    </row>
    <row r="3928">
      <c r="A3928" s="19"/>
      <c r="B3928" s="19"/>
      <c r="C3928" s="19"/>
      <c r="D3928" s="42"/>
      <c r="E3928" s="19"/>
      <c r="F3928" s="19"/>
      <c r="G3928" s="19"/>
      <c r="H3928" s="19"/>
      <c r="I3928" s="19"/>
      <c r="J3928" s="19"/>
      <c r="K3928" s="19"/>
      <c r="L3928" s="19"/>
      <c r="M3928" s="19"/>
      <c r="N3928" s="19"/>
      <c r="O3928" s="43"/>
      <c r="P3928" s="19"/>
      <c r="Q3928" s="19"/>
      <c r="R3928" s="19"/>
      <c r="S3928" s="19"/>
      <c r="T3928" s="19"/>
      <c r="U3928" s="19"/>
      <c r="V3928" s="44"/>
      <c r="W3928" s="19"/>
      <c r="X3928" s="19"/>
      <c r="Y3928" s="19"/>
      <c r="Z3928" s="19"/>
      <c r="AA3928" s="19"/>
      <c r="AB3928" s="19"/>
      <c r="AC3928" s="19"/>
      <c r="AD3928" s="19"/>
      <c r="AE3928" s="19"/>
      <c r="AF3928" s="19"/>
      <c r="AG3928" s="19"/>
      <c r="AH3928" s="19"/>
      <c r="AI3928" s="19"/>
      <c r="AJ3928" s="19"/>
      <c r="AK3928" s="19"/>
      <c r="AL3928" s="6" t="str">
        <f t="array" ref="AL3928">IFERROR(IFS(XLOOKUP(B3928, 'Kit Delivery Status'!$U:$U, 'Kit Delivery Status'!$K:$K) = "Complete", "DELIVERED", XLOOKUP(B3928, 'Kit Delivery Status'!$U:$U, 'Kit Delivery Status'!$K:$K) = "Issue", "ISSUE"), "")</f>
        <v/>
      </c>
      <c r="AM3928" s="6"/>
    </row>
    <row r="3929">
      <c r="A3929" s="19"/>
      <c r="B3929" s="19"/>
      <c r="C3929" s="19"/>
      <c r="D3929" s="42"/>
      <c r="E3929" s="19"/>
      <c r="F3929" s="19"/>
      <c r="G3929" s="19"/>
      <c r="H3929" s="19"/>
      <c r="I3929" s="19"/>
      <c r="J3929" s="19"/>
      <c r="K3929" s="19"/>
      <c r="L3929" s="19"/>
      <c r="M3929" s="19"/>
      <c r="N3929" s="19"/>
      <c r="O3929" s="43"/>
      <c r="P3929" s="19"/>
      <c r="Q3929" s="19"/>
      <c r="R3929" s="19"/>
      <c r="S3929" s="19"/>
      <c r="T3929" s="19"/>
      <c r="U3929" s="19"/>
      <c r="V3929" s="44"/>
      <c r="W3929" s="19"/>
      <c r="X3929" s="19"/>
      <c r="Y3929" s="19"/>
      <c r="Z3929" s="19"/>
      <c r="AA3929" s="19"/>
      <c r="AB3929" s="19"/>
      <c r="AC3929" s="19"/>
      <c r="AD3929" s="19"/>
      <c r="AE3929" s="19"/>
      <c r="AF3929" s="19"/>
      <c r="AG3929" s="19"/>
      <c r="AH3929" s="19"/>
      <c r="AI3929" s="19"/>
      <c r="AJ3929" s="19"/>
      <c r="AK3929" s="19"/>
      <c r="AL3929" s="6" t="str">
        <f t="array" ref="AL3929">IFERROR(IFS(XLOOKUP(B3929, 'Kit Delivery Status'!$U:$U, 'Kit Delivery Status'!$K:$K) = "Complete", "DELIVERED", XLOOKUP(B3929, 'Kit Delivery Status'!$U:$U, 'Kit Delivery Status'!$K:$K) = "Issue", "ISSUE"), "")</f>
        <v/>
      </c>
      <c r="AM3929" s="6"/>
    </row>
    <row r="3930">
      <c r="A3930" s="19"/>
      <c r="B3930" s="19"/>
      <c r="C3930" s="19"/>
      <c r="D3930" s="42"/>
      <c r="E3930" s="19"/>
      <c r="F3930" s="19"/>
      <c r="G3930" s="19"/>
      <c r="H3930" s="19"/>
      <c r="I3930" s="19"/>
      <c r="J3930" s="19"/>
      <c r="K3930" s="19"/>
      <c r="L3930" s="19"/>
      <c r="M3930" s="19"/>
      <c r="N3930" s="19"/>
      <c r="O3930" s="43"/>
      <c r="P3930" s="19"/>
      <c r="Q3930" s="19"/>
      <c r="R3930" s="19"/>
      <c r="S3930" s="19"/>
      <c r="T3930" s="19"/>
      <c r="U3930" s="19"/>
      <c r="V3930" s="44"/>
      <c r="W3930" s="19"/>
      <c r="X3930" s="19"/>
      <c r="Y3930" s="19"/>
      <c r="Z3930" s="19"/>
      <c r="AA3930" s="19"/>
      <c r="AB3930" s="19"/>
      <c r="AC3930" s="19"/>
      <c r="AD3930" s="19"/>
      <c r="AE3930" s="19"/>
      <c r="AF3930" s="19"/>
      <c r="AG3930" s="19"/>
      <c r="AH3930" s="19"/>
      <c r="AI3930" s="19"/>
      <c r="AJ3930" s="19"/>
      <c r="AK3930" s="19"/>
      <c r="AL3930" s="6" t="str">
        <f t="array" ref="AL3930">IFERROR(IFS(XLOOKUP(B3930, 'Kit Delivery Status'!$U:$U, 'Kit Delivery Status'!$K:$K) = "Complete", "DELIVERED", XLOOKUP(B3930, 'Kit Delivery Status'!$U:$U, 'Kit Delivery Status'!$K:$K) = "Issue", "ISSUE"), "")</f>
        <v/>
      </c>
      <c r="AM3930" s="6"/>
    </row>
    <row r="3931">
      <c r="A3931" s="19"/>
      <c r="B3931" s="19"/>
      <c r="C3931" s="19"/>
      <c r="D3931" s="42"/>
      <c r="E3931" s="19"/>
      <c r="F3931" s="19"/>
      <c r="G3931" s="19"/>
      <c r="H3931" s="19"/>
      <c r="I3931" s="19"/>
      <c r="J3931" s="19"/>
      <c r="K3931" s="19"/>
      <c r="L3931" s="19"/>
      <c r="M3931" s="19"/>
      <c r="N3931" s="19"/>
      <c r="O3931" s="43"/>
      <c r="P3931" s="19"/>
      <c r="Q3931" s="19"/>
      <c r="R3931" s="19"/>
      <c r="S3931" s="19"/>
      <c r="T3931" s="19"/>
      <c r="U3931" s="19"/>
      <c r="V3931" s="44"/>
      <c r="W3931" s="19"/>
      <c r="X3931" s="19"/>
      <c r="Y3931" s="19"/>
      <c r="Z3931" s="19"/>
      <c r="AA3931" s="19"/>
      <c r="AB3931" s="19"/>
      <c r="AC3931" s="19"/>
      <c r="AD3931" s="19"/>
      <c r="AE3931" s="19"/>
      <c r="AF3931" s="19"/>
      <c r="AG3931" s="19"/>
      <c r="AH3931" s="19"/>
      <c r="AI3931" s="19"/>
      <c r="AJ3931" s="19"/>
      <c r="AK3931" s="19"/>
      <c r="AL3931" s="6" t="str">
        <f t="array" ref="AL3931">IFERROR(IFS(XLOOKUP(B3931, 'Kit Delivery Status'!$U:$U, 'Kit Delivery Status'!$K:$K) = "Complete", "DELIVERED", XLOOKUP(B3931, 'Kit Delivery Status'!$U:$U, 'Kit Delivery Status'!$K:$K) = "Issue", "ISSUE"), "")</f>
        <v/>
      </c>
      <c r="AM3931" s="6"/>
    </row>
    <row r="3932">
      <c r="A3932" s="19"/>
      <c r="B3932" s="19"/>
      <c r="C3932" s="19"/>
      <c r="D3932" s="42"/>
      <c r="E3932" s="19"/>
      <c r="F3932" s="19"/>
      <c r="G3932" s="19"/>
      <c r="H3932" s="19"/>
      <c r="I3932" s="19"/>
      <c r="J3932" s="19"/>
      <c r="K3932" s="19"/>
      <c r="L3932" s="19"/>
      <c r="M3932" s="19"/>
      <c r="N3932" s="19"/>
      <c r="O3932" s="43"/>
      <c r="P3932" s="19"/>
      <c r="Q3932" s="19"/>
      <c r="R3932" s="19"/>
      <c r="S3932" s="19"/>
      <c r="T3932" s="19"/>
      <c r="U3932" s="19"/>
      <c r="V3932" s="44"/>
      <c r="W3932" s="19"/>
      <c r="X3932" s="19"/>
      <c r="Y3932" s="19"/>
      <c r="Z3932" s="19"/>
      <c r="AA3932" s="19"/>
      <c r="AB3932" s="19"/>
      <c r="AC3932" s="19"/>
      <c r="AD3932" s="19"/>
      <c r="AE3932" s="19"/>
      <c r="AF3932" s="19"/>
      <c r="AG3932" s="19"/>
      <c r="AH3932" s="19"/>
      <c r="AI3932" s="19"/>
      <c r="AJ3932" s="19"/>
      <c r="AK3932" s="19"/>
      <c r="AL3932" s="6" t="str">
        <f t="array" ref="AL3932">IFERROR(IFS(XLOOKUP(B3932, 'Kit Delivery Status'!$U:$U, 'Kit Delivery Status'!$K:$K) = "Complete", "DELIVERED", XLOOKUP(B3932, 'Kit Delivery Status'!$U:$U, 'Kit Delivery Status'!$K:$K) = "Issue", "ISSUE"), "")</f>
        <v/>
      </c>
      <c r="AM3932" s="6"/>
    </row>
    <row r="3933">
      <c r="A3933" s="19"/>
      <c r="B3933" s="19"/>
      <c r="C3933" s="19"/>
      <c r="D3933" s="42"/>
      <c r="E3933" s="19"/>
      <c r="F3933" s="19"/>
      <c r="G3933" s="19"/>
      <c r="H3933" s="19"/>
      <c r="I3933" s="19"/>
      <c r="J3933" s="19"/>
      <c r="K3933" s="19"/>
      <c r="L3933" s="19"/>
      <c r="M3933" s="19"/>
      <c r="N3933" s="19"/>
      <c r="O3933" s="43"/>
      <c r="P3933" s="19"/>
      <c r="Q3933" s="19"/>
      <c r="R3933" s="19"/>
      <c r="S3933" s="19"/>
      <c r="T3933" s="19"/>
      <c r="U3933" s="19"/>
      <c r="V3933" s="44"/>
      <c r="W3933" s="19"/>
      <c r="X3933" s="19"/>
      <c r="Y3933" s="19"/>
      <c r="Z3933" s="19"/>
      <c r="AA3933" s="19"/>
      <c r="AB3933" s="19"/>
      <c r="AC3933" s="19"/>
      <c r="AD3933" s="19"/>
      <c r="AE3933" s="19"/>
      <c r="AF3933" s="19"/>
      <c r="AG3933" s="19"/>
      <c r="AH3933" s="19"/>
      <c r="AI3933" s="19"/>
      <c r="AJ3933" s="19"/>
      <c r="AK3933" s="19"/>
      <c r="AL3933" s="6" t="str">
        <f t="array" ref="AL3933">IFERROR(IFS(XLOOKUP(B3933, 'Kit Delivery Status'!$U:$U, 'Kit Delivery Status'!$K:$K) = "Complete", "DELIVERED", XLOOKUP(B3933, 'Kit Delivery Status'!$U:$U, 'Kit Delivery Status'!$K:$K) = "Issue", "ISSUE"), "")</f>
        <v/>
      </c>
      <c r="AM3933" s="6"/>
    </row>
    <row r="3934">
      <c r="A3934" s="19"/>
      <c r="B3934" s="19"/>
      <c r="C3934" s="19"/>
      <c r="D3934" s="42"/>
      <c r="E3934" s="19"/>
      <c r="F3934" s="19"/>
      <c r="G3934" s="19"/>
      <c r="H3934" s="19"/>
      <c r="I3934" s="19"/>
      <c r="J3934" s="19"/>
      <c r="K3934" s="19"/>
      <c r="L3934" s="19"/>
      <c r="M3934" s="19"/>
      <c r="N3934" s="19"/>
      <c r="O3934" s="43"/>
      <c r="P3934" s="19"/>
      <c r="Q3934" s="19"/>
      <c r="R3934" s="19"/>
      <c r="S3934" s="19"/>
      <c r="T3934" s="19"/>
      <c r="U3934" s="19"/>
      <c r="V3934" s="44"/>
      <c r="W3934" s="19"/>
      <c r="X3934" s="19"/>
      <c r="Y3934" s="19"/>
      <c r="Z3934" s="19"/>
      <c r="AA3934" s="19"/>
      <c r="AB3934" s="19"/>
      <c r="AC3934" s="19"/>
      <c r="AD3934" s="19"/>
      <c r="AE3934" s="19"/>
      <c r="AF3934" s="19"/>
      <c r="AG3934" s="19"/>
      <c r="AH3934" s="19"/>
      <c r="AI3934" s="19"/>
      <c r="AJ3934" s="19"/>
      <c r="AK3934" s="19"/>
      <c r="AL3934" s="6" t="str">
        <f t="array" ref="AL3934">IFERROR(IFS(XLOOKUP(B3934, 'Kit Delivery Status'!$U:$U, 'Kit Delivery Status'!$K:$K) = "Complete", "DELIVERED", XLOOKUP(B3934, 'Kit Delivery Status'!$U:$U, 'Kit Delivery Status'!$K:$K) = "Issue", "ISSUE"), "")</f>
        <v/>
      </c>
      <c r="AM3934" s="6"/>
    </row>
    <row r="3935">
      <c r="A3935" s="19"/>
      <c r="B3935" s="19"/>
      <c r="C3935" s="19"/>
      <c r="D3935" s="42"/>
      <c r="E3935" s="19"/>
      <c r="F3935" s="19"/>
      <c r="G3935" s="19"/>
      <c r="H3935" s="19"/>
      <c r="I3935" s="19"/>
      <c r="J3935" s="19"/>
      <c r="K3935" s="19"/>
      <c r="L3935" s="19"/>
      <c r="M3935" s="19"/>
      <c r="N3935" s="19"/>
      <c r="O3935" s="43"/>
      <c r="P3935" s="19"/>
      <c r="Q3935" s="19"/>
      <c r="R3935" s="19"/>
      <c r="S3935" s="19"/>
      <c r="T3935" s="19"/>
      <c r="U3935" s="19"/>
      <c r="V3935" s="44"/>
      <c r="W3935" s="19"/>
      <c r="X3935" s="19"/>
      <c r="Y3935" s="19"/>
      <c r="Z3935" s="19"/>
      <c r="AA3935" s="19"/>
      <c r="AB3935" s="19"/>
      <c r="AC3935" s="19"/>
      <c r="AD3935" s="19"/>
      <c r="AE3935" s="19"/>
      <c r="AF3935" s="19"/>
      <c r="AG3935" s="19"/>
      <c r="AH3935" s="19"/>
      <c r="AI3935" s="19"/>
      <c r="AJ3935" s="19"/>
      <c r="AK3935" s="19"/>
      <c r="AL3935" s="6" t="str">
        <f t="array" ref="AL3935">IFERROR(IFS(XLOOKUP(B3935, 'Kit Delivery Status'!$U:$U, 'Kit Delivery Status'!$K:$K) = "Complete", "DELIVERED", XLOOKUP(B3935, 'Kit Delivery Status'!$U:$U, 'Kit Delivery Status'!$K:$K) = "Issue", "ISSUE"), "")</f>
        <v/>
      </c>
      <c r="AM3935" s="6"/>
    </row>
    <row r="3936">
      <c r="A3936" s="19"/>
      <c r="B3936" s="19"/>
      <c r="C3936" s="19"/>
      <c r="D3936" s="42"/>
      <c r="E3936" s="19"/>
      <c r="F3936" s="19"/>
      <c r="G3936" s="19"/>
      <c r="H3936" s="19"/>
      <c r="I3936" s="19"/>
      <c r="J3936" s="19"/>
      <c r="K3936" s="19"/>
      <c r="L3936" s="19"/>
      <c r="M3936" s="19"/>
      <c r="N3936" s="19"/>
      <c r="O3936" s="43"/>
      <c r="P3936" s="19"/>
      <c r="Q3936" s="19"/>
      <c r="R3936" s="19"/>
      <c r="S3936" s="19"/>
      <c r="T3936" s="19"/>
      <c r="U3936" s="19"/>
      <c r="V3936" s="44"/>
      <c r="W3936" s="19"/>
      <c r="X3936" s="19"/>
      <c r="Y3936" s="19"/>
      <c r="Z3936" s="19"/>
      <c r="AA3936" s="19"/>
      <c r="AB3936" s="19"/>
      <c r="AC3936" s="19"/>
      <c r="AD3936" s="19"/>
      <c r="AE3936" s="19"/>
      <c r="AF3936" s="19"/>
      <c r="AG3936" s="19"/>
      <c r="AH3936" s="19"/>
      <c r="AI3936" s="19"/>
      <c r="AJ3936" s="19"/>
      <c r="AK3936" s="19"/>
      <c r="AL3936" s="6" t="str">
        <f t="array" ref="AL3936">IFERROR(IFS(XLOOKUP(B3936, 'Kit Delivery Status'!$U:$U, 'Kit Delivery Status'!$K:$K) = "Complete", "DELIVERED", XLOOKUP(B3936, 'Kit Delivery Status'!$U:$U, 'Kit Delivery Status'!$K:$K) = "Issue", "ISSUE"), "")</f>
        <v/>
      </c>
      <c r="AM3936" s="6"/>
    </row>
    <row r="3937">
      <c r="A3937" s="19"/>
      <c r="B3937" s="19"/>
      <c r="C3937" s="19"/>
      <c r="D3937" s="42"/>
      <c r="E3937" s="19"/>
      <c r="F3937" s="19"/>
      <c r="G3937" s="19"/>
      <c r="H3937" s="19"/>
      <c r="I3937" s="19"/>
      <c r="J3937" s="19"/>
      <c r="K3937" s="19"/>
      <c r="L3937" s="19"/>
      <c r="M3937" s="19"/>
      <c r="N3937" s="19"/>
      <c r="O3937" s="43"/>
      <c r="P3937" s="19"/>
      <c r="Q3937" s="19"/>
      <c r="R3937" s="19"/>
      <c r="S3937" s="19"/>
      <c r="T3937" s="19"/>
      <c r="U3937" s="19"/>
      <c r="V3937" s="44"/>
      <c r="W3937" s="19"/>
      <c r="X3937" s="19"/>
      <c r="Y3937" s="19"/>
      <c r="Z3937" s="19"/>
      <c r="AA3937" s="19"/>
      <c r="AB3937" s="19"/>
      <c r="AC3937" s="19"/>
      <c r="AD3937" s="19"/>
      <c r="AE3937" s="19"/>
      <c r="AF3937" s="19"/>
      <c r="AG3937" s="19"/>
      <c r="AH3937" s="19"/>
      <c r="AI3937" s="19"/>
      <c r="AJ3937" s="19"/>
      <c r="AK3937" s="19"/>
      <c r="AL3937" s="6" t="str">
        <f t="array" ref="AL3937">IFERROR(IFS(XLOOKUP(B3937, 'Kit Delivery Status'!$U:$U, 'Kit Delivery Status'!$K:$K) = "Complete", "DELIVERED", XLOOKUP(B3937, 'Kit Delivery Status'!$U:$U, 'Kit Delivery Status'!$K:$K) = "Issue", "ISSUE"), "")</f>
        <v/>
      </c>
      <c r="AM3937" s="6"/>
    </row>
    <row r="3938">
      <c r="A3938" s="19"/>
      <c r="B3938" s="19"/>
      <c r="C3938" s="19"/>
      <c r="D3938" s="42"/>
      <c r="E3938" s="19"/>
      <c r="F3938" s="19"/>
      <c r="G3938" s="19"/>
      <c r="H3938" s="19"/>
      <c r="I3938" s="19"/>
      <c r="J3938" s="19"/>
      <c r="K3938" s="19"/>
      <c r="L3938" s="19"/>
      <c r="M3938" s="19"/>
      <c r="N3938" s="19"/>
      <c r="O3938" s="43"/>
      <c r="P3938" s="19"/>
      <c r="Q3938" s="19"/>
      <c r="R3938" s="19"/>
      <c r="S3938" s="19"/>
      <c r="T3938" s="19"/>
      <c r="U3938" s="19"/>
      <c r="V3938" s="44"/>
      <c r="W3938" s="19"/>
      <c r="X3938" s="19"/>
      <c r="Y3938" s="19"/>
      <c r="Z3938" s="19"/>
      <c r="AA3938" s="19"/>
      <c r="AB3938" s="19"/>
      <c r="AC3938" s="19"/>
      <c r="AD3938" s="19"/>
      <c r="AE3938" s="19"/>
      <c r="AF3938" s="19"/>
      <c r="AG3938" s="19"/>
      <c r="AH3938" s="19"/>
      <c r="AI3938" s="19"/>
      <c r="AJ3938" s="19"/>
      <c r="AK3938" s="19"/>
      <c r="AL3938" s="6" t="str">
        <f t="array" ref="AL3938">IFERROR(IFS(XLOOKUP(B3938, 'Kit Delivery Status'!$U:$U, 'Kit Delivery Status'!$K:$K) = "Complete", "DELIVERED", XLOOKUP(B3938, 'Kit Delivery Status'!$U:$U, 'Kit Delivery Status'!$K:$K) = "Issue", "ISSUE"), "")</f>
        <v/>
      </c>
      <c r="AM3938" s="6"/>
    </row>
    <row r="3939">
      <c r="A3939" s="19"/>
      <c r="B3939" s="19"/>
      <c r="C3939" s="19"/>
      <c r="D3939" s="42"/>
      <c r="E3939" s="19"/>
      <c r="F3939" s="19"/>
      <c r="G3939" s="19"/>
      <c r="H3939" s="19"/>
      <c r="I3939" s="19"/>
      <c r="J3939" s="19"/>
      <c r="K3939" s="19"/>
      <c r="L3939" s="19"/>
      <c r="M3939" s="19"/>
      <c r="N3939" s="19"/>
      <c r="O3939" s="43"/>
      <c r="P3939" s="19"/>
      <c r="Q3939" s="19"/>
      <c r="R3939" s="19"/>
      <c r="S3939" s="19"/>
      <c r="T3939" s="19"/>
      <c r="U3939" s="19"/>
      <c r="V3939" s="44"/>
      <c r="W3939" s="19"/>
      <c r="X3939" s="19"/>
      <c r="Y3939" s="19"/>
      <c r="Z3939" s="19"/>
      <c r="AA3939" s="19"/>
      <c r="AB3939" s="19"/>
      <c r="AC3939" s="19"/>
      <c r="AD3939" s="19"/>
      <c r="AE3939" s="19"/>
      <c r="AF3939" s="19"/>
      <c r="AG3939" s="19"/>
      <c r="AH3939" s="19"/>
      <c r="AI3939" s="19"/>
      <c r="AJ3939" s="19"/>
      <c r="AK3939" s="19"/>
      <c r="AL3939" s="6" t="str">
        <f t="array" ref="AL3939">IFERROR(IFS(XLOOKUP(B3939, 'Kit Delivery Status'!$U:$U, 'Kit Delivery Status'!$K:$K) = "Complete", "DELIVERED", XLOOKUP(B3939, 'Kit Delivery Status'!$U:$U, 'Kit Delivery Status'!$K:$K) = "Issue", "ISSUE"), "")</f>
        <v/>
      </c>
      <c r="AM3939" s="6"/>
    </row>
    <row r="3940">
      <c r="A3940" s="19"/>
      <c r="B3940" s="19"/>
      <c r="C3940" s="19"/>
      <c r="D3940" s="42"/>
      <c r="E3940" s="19"/>
      <c r="F3940" s="19"/>
      <c r="G3940" s="19"/>
      <c r="H3940" s="19"/>
      <c r="I3940" s="19"/>
      <c r="J3940" s="19"/>
      <c r="K3940" s="19"/>
      <c r="L3940" s="19"/>
      <c r="M3940" s="19"/>
      <c r="N3940" s="19"/>
      <c r="O3940" s="43"/>
      <c r="P3940" s="19"/>
      <c r="Q3940" s="19"/>
      <c r="R3940" s="19"/>
      <c r="S3940" s="19"/>
      <c r="T3940" s="19"/>
      <c r="U3940" s="19"/>
      <c r="V3940" s="44"/>
      <c r="W3940" s="19"/>
      <c r="X3940" s="19"/>
      <c r="Y3940" s="19"/>
      <c r="Z3940" s="19"/>
      <c r="AA3940" s="19"/>
      <c r="AB3940" s="19"/>
      <c r="AC3940" s="19"/>
      <c r="AD3940" s="19"/>
      <c r="AE3940" s="19"/>
      <c r="AF3940" s="19"/>
      <c r="AG3940" s="19"/>
      <c r="AH3940" s="19"/>
      <c r="AI3940" s="19"/>
      <c r="AJ3940" s="19"/>
      <c r="AK3940" s="19"/>
      <c r="AL3940" s="6" t="str">
        <f t="array" ref="AL3940">IFERROR(IFS(XLOOKUP(B3940, 'Kit Delivery Status'!$U:$U, 'Kit Delivery Status'!$K:$K) = "Complete", "DELIVERED", XLOOKUP(B3940, 'Kit Delivery Status'!$U:$U, 'Kit Delivery Status'!$K:$K) = "Issue", "ISSUE"), "")</f>
        <v/>
      </c>
      <c r="AM3940" s="6"/>
    </row>
    <row r="3941">
      <c r="A3941" s="19"/>
      <c r="B3941" s="19"/>
      <c r="C3941" s="19"/>
      <c r="D3941" s="42"/>
      <c r="E3941" s="19"/>
      <c r="F3941" s="19"/>
      <c r="G3941" s="19"/>
      <c r="H3941" s="19"/>
      <c r="I3941" s="19"/>
      <c r="J3941" s="19"/>
      <c r="K3941" s="19"/>
      <c r="L3941" s="19"/>
      <c r="M3941" s="19"/>
      <c r="N3941" s="19"/>
      <c r="O3941" s="43"/>
      <c r="P3941" s="19"/>
      <c r="Q3941" s="19"/>
      <c r="R3941" s="19"/>
      <c r="S3941" s="19"/>
      <c r="T3941" s="19"/>
      <c r="U3941" s="19"/>
      <c r="V3941" s="44"/>
      <c r="W3941" s="19"/>
      <c r="X3941" s="19"/>
      <c r="Y3941" s="19"/>
      <c r="Z3941" s="19"/>
      <c r="AA3941" s="19"/>
      <c r="AB3941" s="19"/>
      <c r="AC3941" s="19"/>
      <c r="AD3941" s="19"/>
      <c r="AE3941" s="19"/>
      <c r="AF3941" s="19"/>
      <c r="AG3941" s="19"/>
      <c r="AH3941" s="19"/>
      <c r="AI3941" s="19"/>
      <c r="AJ3941" s="19"/>
      <c r="AK3941" s="19"/>
      <c r="AL3941" s="6" t="str">
        <f t="array" ref="AL3941">IFERROR(IFS(XLOOKUP(B3941, 'Kit Delivery Status'!$U:$U, 'Kit Delivery Status'!$K:$K) = "Complete", "DELIVERED", XLOOKUP(B3941, 'Kit Delivery Status'!$U:$U, 'Kit Delivery Status'!$K:$K) = "Issue", "ISSUE"), "")</f>
        <v/>
      </c>
      <c r="AM3941" s="6"/>
    </row>
    <row r="3942">
      <c r="A3942" s="19"/>
      <c r="B3942" s="19"/>
      <c r="C3942" s="19"/>
      <c r="D3942" s="42"/>
      <c r="E3942" s="19"/>
      <c r="F3942" s="19"/>
      <c r="G3942" s="19"/>
      <c r="H3942" s="19"/>
      <c r="I3942" s="19"/>
      <c r="J3942" s="19"/>
      <c r="K3942" s="19"/>
      <c r="L3942" s="19"/>
      <c r="M3942" s="19"/>
      <c r="N3942" s="19"/>
      <c r="O3942" s="43"/>
      <c r="P3942" s="19"/>
      <c r="Q3942" s="19"/>
      <c r="R3942" s="19"/>
      <c r="S3942" s="19"/>
      <c r="T3942" s="19"/>
      <c r="U3942" s="19"/>
      <c r="V3942" s="44"/>
      <c r="W3942" s="19"/>
      <c r="X3942" s="19"/>
      <c r="Y3942" s="19"/>
      <c r="Z3942" s="19"/>
      <c r="AA3942" s="19"/>
      <c r="AB3942" s="19"/>
      <c r="AC3942" s="19"/>
      <c r="AD3942" s="19"/>
      <c r="AE3942" s="19"/>
      <c r="AF3942" s="19"/>
      <c r="AG3942" s="19"/>
      <c r="AH3942" s="19"/>
      <c r="AI3942" s="19"/>
      <c r="AJ3942" s="19"/>
      <c r="AK3942" s="19"/>
      <c r="AL3942" s="6" t="str">
        <f t="array" ref="AL3942">IFERROR(IFS(XLOOKUP(B3942, 'Kit Delivery Status'!$U:$U, 'Kit Delivery Status'!$K:$K) = "Complete", "DELIVERED", XLOOKUP(B3942, 'Kit Delivery Status'!$U:$U, 'Kit Delivery Status'!$K:$K) = "Issue", "ISSUE"), "")</f>
        <v/>
      </c>
      <c r="AM3942" s="6"/>
    </row>
    <row r="3943">
      <c r="A3943" s="19"/>
      <c r="B3943" s="19"/>
      <c r="C3943" s="19"/>
      <c r="D3943" s="42"/>
      <c r="E3943" s="19"/>
      <c r="F3943" s="19"/>
      <c r="G3943" s="19"/>
      <c r="H3943" s="19"/>
      <c r="I3943" s="19"/>
      <c r="J3943" s="19"/>
      <c r="K3943" s="19"/>
      <c r="L3943" s="19"/>
      <c r="M3943" s="19"/>
      <c r="N3943" s="19"/>
      <c r="O3943" s="43"/>
      <c r="P3943" s="19"/>
      <c r="Q3943" s="19"/>
      <c r="R3943" s="19"/>
      <c r="S3943" s="19"/>
      <c r="T3943" s="19"/>
      <c r="U3943" s="19"/>
      <c r="V3943" s="44"/>
      <c r="W3943" s="19"/>
      <c r="X3943" s="19"/>
      <c r="Y3943" s="19"/>
      <c r="Z3943" s="19"/>
      <c r="AA3943" s="19"/>
      <c r="AB3943" s="19"/>
      <c r="AC3943" s="19"/>
      <c r="AD3943" s="19"/>
      <c r="AE3943" s="19"/>
      <c r="AF3943" s="19"/>
      <c r="AG3943" s="19"/>
      <c r="AH3943" s="19"/>
      <c r="AI3943" s="19"/>
      <c r="AJ3943" s="19"/>
      <c r="AK3943" s="19"/>
      <c r="AL3943" s="6" t="str">
        <f t="array" ref="AL3943">IFERROR(IFS(XLOOKUP(B3943, 'Kit Delivery Status'!$U:$U, 'Kit Delivery Status'!$K:$K) = "Complete", "DELIVERED", XLOOKUP(B3943, 'Kit Delivery Status'!$U:$U, 'Kit Delivery Status'!$K:$K) = "Issue", "ISSUE"), "")</f>
        <v/>
      </c>
      <c r="AM3943" s="6"/>
    </row>
    <row r="3944">
      <c r="A3944" s="19"/>
      <c r="B3944" s="19"/>
      <c r="C3944" s="19"/>
      <c r="D3944" s="42"/>
      <c r="E3944" s="19"/>
      <c r="F3944" s="19"/>
      <c r="G3944" s="19"/>
      <c r="H3944" s="19"/>
      <c r="I3944" s="19"/>
      <c r="J3944" s="19"/>
      <c r="K3944" s="19"/>
      <c r="L3944" s="19"/>
      <c r="M3944" s="19"/>
      <c r="N3944" s="19"/>
      <c r="O3944" s="43"/>
      <c r="P3944" s="19"/>
      <c r="Q3944" s="19"/>
      <c r="R3944" s="19"/>
      <c r="S3944" s="19"/>
      <c r="T3944" s="19"/>
      <c r="U3944" s="19"/>
      <c r="V3944" s="44"/>
      <c r="W3944" s="19"/>
      <c r="X3944" s="19"/>
      <c r="Y3944" s="19"/>
      <c r="Z3944" s="19"/>
      <c r="AA3944" s="19"/>
      <c r="AB3944" s="19"/>
      <c r="AC3944" s="19"/>
      <c r="AD3944" s="19"/>
      <c r="AE3944" s="19"/>
      <c r="AF3944" s="19"/>
      <c r="AG3944" s="19"/>
      <c r="AH3944" s="19"/>
      <c r="AI3944" s="19"/>
      <c r="AJ3944" s="19"/>
      <c r="AK3944" s="19"/>
      <c r="AL3944" s="6" t="str">
        <f t="array" ref="AL3944">IFERROR(IFS(XLOOKUP(B3944, 'Kit Delivery Status'!$U:$U, 'Kit Delivery Status'!$K:$K) = "Complete", "DELIVERED", XLOOKUP(B3944, 'Kit Delivery Status'!$U:$U, 'Kit Delivery Status'!$K:$K) = "Issue", "ISSUE"), "")</f>
        <v/>
      </c>
      <c r="AM3944" s="6"/>
    </row>
    <row r="3945">
      <c r="A3945" s="19"/>
      <c r="B3945" s="19"/>
      <c r="C3945" s="19"/>
      <c r="D3945" s="42"/>
      <c r="E3945" s="19"/>
      <c r="F3945" s="19"/>
      <c r="G3945" s="19"/>
      <c r="H3945" s="19"/>
      <c r="I3945" s="19"/>
      <c r="J3945" s="19"/>
      <c r="K3945" s="19"/>
      <c r="L3945" s="19"/>
      <c r="M3945" s="19"/>
      <c r="N3945" s="19"/>
      <c r="O3945" s="43"/>
      <c r="P3945" s="19"/>
      <c r="Q3945" s="19"/>
      <c r="R3945" s="19"/>
      <c r="S3945" s="19"/>
      <c r="T3945" s="19"/>
      <c r="U3945" s="19"/>
      <c r="V3945" s="44"/>
      <c r="W3945" s="19"/>
      <c r="X3945" s="19"/>
      <c r="Y3945" s="19"/>
      <c r="Z3945" s="19"/>
      <c r="AA3945" s="19"/>
      <c r="AB3945" s="19"/>
      <c r="AC3945" s="19"/>
      <c r="AD3945" s="19"/>
      <c r="AE3945" s="19"/>
      <c r="AF3945" s="19"/>
      <c r="AG3945" s="19"/>
      <c r="AH3945" s="19"/>
      <c r="AI3945" s="19"/>
      <c r="AJ3945" s="19"/>
      <c r="AK3945" s="19"/>
      <c r="AL3945" s="6" t="str">
        <f t="array" ref="AL3945">IFERROR(IFS(XLOOKUP(B3945, 'Kit Delivery Status'!$U:$U, 'Kit Delivery Status'!$K:$K) = "Complete", "DELIVERED", XLOOKUP(B3945, 'Kit Delivery Status'!$U:$U, 'Kit Delivery Status'!$K:$K) = "Issue", "ISSUE"), "")</f>
        <v/>
      </c>
      <c r="AM3945" s="6"/>
    </row>
    <row r="3946">
      <c r="A3946" s="19"/>
      <c r="B3946" s="19"/>
      <c r="C3946" s="19"/>
      <c r="D3946" s="42"/>
      <c r="E3946" s="19"/>
      <c r="F3946" s="19"/>
      <c r="G3946" s="19"/>
      <c r="H3946" s="19"/>
      <c r="I3946" s="19"/>
      <c r="J3946" s="19"/>
      <c r="K3946" s="19"/>
      <c r="L3946" s="19"/>
      <c r="M3946" s="19"/>
      <c r="N3946" s="19"/>
      <c r="O3946" s="43"/>
      <c r="P3946" s="19"/>
      <c r="Q3946" s="19"/>
      <c r="R3946" s="19"/>
      <c r="S3946" s="19"/>
      <c r="T3946" s="19"/>
      <c r="U3946" s="19"/>
      <c r="V3946" s="44"/>
      <c r="W3946" s="19"/>
      <c r="X3946" s="19"/>
      <c r="Y3946" s="19"/>
      <c r="Z3946" s="19"/>
      <c r="AA3946" s="19"/>
      <c r="AB3946" s="19"/>
      <c r="AC3946" s="19"/>
      <c r="AD3946" s="19"/>
      <c r="AE3946" s="19"/>
      <c r="AF3946" s="19"/>
      <c r="AG3946" s="19"/>
      <c r="AH3946" s="19"/>
      <c r="AI3946" s="19"/>
      <c r="AJ3946" s="19"/>
      <c r="AK3946" s="19"/>
      <c r="AL3946" s="6" t="str">
        <f t="array" ref="AL3946">IFERROR(IFS(XLOOKUP(B3946, 'Kit Delivery Status'!$U:$U, 'Kit Delivery Status'!$K:$K) = "Complete", "DELIVERED", XLOOKUP(B3946, 'Kit Delivery Status'!$U:$U, 'Kit Delivery Status'!$K:$K) = "Issue", "ISSUE"), "")</f>
        <v/>
      </c>
      <c r="AM3946" s="6"/>
    </row>
    <row r="3947">
      <c r="A3947" s="19"/>
      <c r="B3947" s="19"/>
      <c r="C3947" s="19"/>
      <c r="D3947" s="42"/>
      <c r="E3947" s="19"/>
      <c r="F3947" s="19"/>
      <c r="G3947" s="19"/>
      <c r="H3947" s="19"/>
      <c r="I3947" s="19"/>
      <c r="J3947" s="19"/>
      <c r="K3947" s="19"/>
      <c r="L3947" s="19"/>
      <c r="M3947" s="19"/>
      <c r="N3947" s="19"/>
      <c r="O3947" s="43"/>
      <c r="P3947" s="19"/>
      <c r="Q3947" s="19"/>
      <c r="R3947" s="19"/>
      <c r="S3947" s="19"/>
      <c r="T3947" s="19"/>
      <c r="U3947" s="19"/>
      <c r="V3947" s="44"/>
      <c r="W3947" s="19"/>
      <c r="X3947" s="19"/>
      <c r="Y3947" s="19"/>
      <c r="Z3947" s="19"/>
      <c r="AA3947" s="19"/>
      <c r="AB3947" s="19"/>
      <c r="AC3947" s="19"/>
      <c r="AD3947" s="19"/>
      <c r="AE3947" s="19"/>
      <c r="AF3947" s="19"/>
      <c r="AG3947" s="19"/>
      <c r="AH3947" s="19"/>
      <c r="AI3947" s="19"/>
      <c r="AJ3947" s="19"/>
      <c r="AK3947" s="19"/>
      <c r="AL3947" s="6" t="str">
        <f t="array" ref="AL3947">IFERROR(IFS(XLOOKUP(B3947, 'Kit Delivery Status'!$U:$U, 'Kit Delivery Status'!$K:$K) = "Complete", "DELIVERED", XLOOKUP(B3947, 'Kit Delivery Status'!$U:$U, 'Kit Delivery Status'!$K:$K) = "Issue", "ISSUE"), "")</f>
        <v/>
      </c>
      <c r="AM3947" s="6"/>
    </row>
    <row r="3948">
      <c r="A3948" s="19"/>
      <c r="B3948" s="19"/>
      <c r="C3948" s="19"/>
      <c r="D3948" s="42"/>
      <c r="E3948" s="19"/>
      <c r="F3948" s="19"/>
      <c r="G3948" s="19"/>
      <c r="H3948" s="19"/>
      <c r="I3948" s="19"/>
      <c r="J3948" s="19"/>
      <c r="K3948" s="19"/>
      <c r="L3948" s="19"/>
      <c r="M3948" s="19"/>
      <c r="N3948" s="19"/>
      <c r="O3948" s="43"/>
      <c r="P3948" s="19"/>
      <c r="Q3948" s="19"/>
      <c r="R3948" s="19"/>
      <c r="S3948" s="19"/>
      <c r="T3948" s="19"/>
      <c r="U3948" s="19"/>
      <c r="V3948" s="44"/>
      <c r="W3948" s="19"/>
      <c r="X3948" s="19"/>
      <c r="Y3948" s="19"/>
      <c r="Z3948" s="19"/>
      <c r="AA3948" s="19"/>
      <c r="AB3948" s="19"/>
      <c r="AC3948" s="19"/>
      <c r="AD3948" s="19"/>
      <c r="AE3948" s="19"/>
      <c r="AF3948" s="19"/>
      <c r="AG3948" s="19"/>
      <c r="AH3948" s="19"/>
      <c r="AI3948" s="19"/>
      <c r="AJ3948" s="19"/>
      <c r="AK3948" s="19"/>
      <c r="AL3948" s="6" t="str">
        <f t="array" ref="AL3948">IFERROR(IFS(XLOOKUP(B3948, 'Kit Delivery Status'!$U:$U, 'Kit Delivery Status'!$K:$K) = "Complete", "DELIVERED", XLOOKUP(B3948, 'Kit Delivery Status'!$U:$U, 'Kit Delivery Status'!$K:$K) = "Issue", "ISSUE"), "")</f>
        <v/>
      </c>
      <c r="AM3948" s="6"/>
    </row>
    <row r="3949">
      <c r="A3949" s="19"/>
      <c r="B3949" s="19"/>
      <c r="C3949" s="19"/>
      <c r="D3949" s="42"/>
      <c r="E3949" s="19"/>
      <c r="F3949" s="19"/>
      <c r="G3949" s="19"/>
      <c r="H3949" s="19"/>
      <c r="I3949" s="19"/>
      <c r="J3949" s="19"/>
      <c r="K3949" s="19"/>
      <c r="L3949" s="19"/>
      <c r="M3949" s="19"/>
      <c r="N3949" s="19"/>
      <c r="O3949" s="43"/>
      <c r="P3949" s="19"/>
      <c r="Q3949" s="19"/>
      <c r="R3949" s="19"/>
      <c r="S3949" s="19"/>
      <c r="T3949" s="19"/>
      <c r="U3949" s="19"/>
      <c r="V3949" s="44"/>
      <c r="W3949" s="19"/>
      <c r="X3949" s="19"/>
      <c r="Y3949" s="19"/>
      <c r="Z3949" s="19"/>
      <c r="AA3949" s="19"/>
      <c r="AB3949" s="19"/>
      <c r="AC3949" s="19"/>
      <c r="AD3949" s="19"/>
      <c r="AE3949" s="19"/>
      <c r="AF3949" s="19"/>
      <c r="AG3949" s="19"/>
      <c r="AH3949" s="19"/>
      <c r="AI3949" s="19"/>
      <c r="AJ3949" s="19"/>
      <c r="AK3949" s="19"/>
      <c r="AL3949" s="6" t="str">
        <f t="array" ref="AL3949">IFERROR(IFS(XLOOKUP(B3949, 'Kit Delivery Status'!$U:$U, 'Kit Delivery Status'!$K:$K) = "Complete", "DELIVERED", XLOOKUP(B3949, 'Kit Delivery Status'!$U:$U, 'Kit Delivery Status'!$K:$K) = "Issue", "ISSUE"), "")</f>
        <v/>
      </c>
      <c r="AM3949" s="6"/>
    </row>
    <row r="3950">
      <c r="A3950" s="19"/>
      <c r="B3950" s="19"/>
      <c r="C3950" s="19"/>
      <c r="D3950" s="42"/>
      <c r="E3950" s="19"/>
      <c r="F3950" s="19"/>
      <c r="G3950" s="19"/>
      <c r="H3950" s="19"/>
      <c r="I3950" s="19"/>
      <c r="J3950" s="19"/>
      <c r="K3950" s="19"/>
      <c r="L3950" s="19"/>
      <c r="M3950" s="19"/>
      <c r="N3950" s="19"/>
      <c r="O3950" s="43"/>
      <c r="P3950" s="19"/>
      <c r="Q3950" s="19"/>
      <c r="R3950" s="19"/>
      <c r="S3950" s="19"/>
      <c r="T3950" s="19"/>
      <c r="U3950" s="19"/>
      <c r="V3950" s="44"/>
      <c r="W3950" s="19"/>
      <c r="X3950" s="19"/>
      <c r="Y3950" s="19"/>
      <c r="Z3950" s="19"/>
      <c r="AA3950" s="19"/>
      <c r="AB3950" s="19"/>
      <c r="AC3950" s="19"/>
      <c r="AD3950" s="19"/>
      <c r="AE3950" s="19"/>
      <c r="AF3950" s="19"/>
      <c r="AG3950" s="19"/>
      <c r="AH3950" s="19"/>
      <c r="AI3950" s="19"/>
      <c r="AJ3950" s="19"/>
      <c r="AK3950" s="19"/>
      <c r="AL3950" s="6" t="str">
        <f t="array" ref="AL3950">IFERROR(IFS(XLOOKUP(B3950, 'Kit Delivery Status'!$U:$U, 'Kit Delivery Status'!$K:$K) = "Complete", "DELIVERED", XLOOKUP(B3950, 'Kit Delivery Status'!$U:$U, 'Kit Delivery Status'!$K:$K) = "Issue", "ISSUE"), "")</f>
        <v/>
      </c>
      <c r="AM3950" s="6"/>
    </row>
    <row r="3951">
      <c r="A3951" s="19"/>
      <c r="B3951" s="19"/>
      <c r="C3951" s="19"/>
      <c r="D3951" s="42"/>
      <c r="E3951" s="19"/>
      <c r="F3951" s="19"/>
      <c r="G3951" s="19"/>
      <c r="H3951" s="19"/>
      <c r="I3951" s="19"/>
      <c r="J3951" s="19"/>
      <c r="K3951" s="19"/>
      <c r="L3951" s="19"/>
      <c r="M3951" s="19"/>
      <c r="N3951" s="19"/>
      <c r="O3951" s="43"/>
      <c r="P3951" s="19"/>
      <c r="Q3951" s="19"/>
      <c r="R3951" s="19"/>
      <c r="S3951" s="19"/>
      <c r="T3951" s="19"/>
      <c r="U3951" s="19"/>
      <c r="V3951" s="44"/>
      <c r="W3951" s="19"/>
      <c r="X3951" s="19"/>
      <c r="Y3951" s="19"/>
      <c r="Z3951" s="19"/>
      <c r="AA3951" s="19"/>
      <c r="AB3951" s="19"/>
      <c r="AC3951" s="19"/>
      <c r="AD3951" s="19"/>
      <c r="AE3951" s="19"/>
      <c r="AF3951" s="19"/>
      <c r="AG3951" s="19"/>
      <c r="AH3951" s="19"/>
      <c r="AI3951" s="19"/>
      <c r="AJ3951" s="19"/>
      <c r="AK3951" s="19"/>
      <c r="AL3951" s="6" t="str">
        <f t="array" ref="AL3951">IFERROR(IFS(XLOOKUP(B3951, 'Kit Delivery Status'!$U:$U, 'Kit Delivery Status'!$K:$K) = "Complete", "DELIVERED", XLOOKUP(B3951, 'Kit Delivery Status'!$U:$U, 'Kit Delivery Status'!$K:$K) = "Issue", "ISSUE"), "")</f>
        <v/>
      </c>
      <c r="AM3951" s="6"/>
    </row>
    <row r="3952">
      <c r="A3952" s="19"/>
      <c r="B3952" s="19"/>
      <c r="C3952" s="19"/>
      <c r="D3952" s="42"/>
      <c r="E3952" s="19"/>
      <c r="F3952" s="19"/>
      <c r="G3952" s="19"/>
      <c r="H3952" s="19"/>
      <c r="I3952" s="19"/>
      <c r="J3952" s="19"/>
      <c r="K3952" s="19"/>
      <c r="L3952" s="19"/>
      <c r="M3952" s="19"/>
      <c r="N3952" s="19"/>
      <c r="O3952" s="43"/>
      <c r="P3952" s="19"/>
      <c r="Q3952" s="19"/>
      <c r="R3952" s="19"/>
      <c r="S3952" s="19"/>
      <c r="T3952" s="19"/>
      <c r="U3952" s="19"/>
      <c r="V3952" s="44"/>
      <c r="W3952" s="19"/>
      <c r="X3952" s="19"/>
      <c r="Y3952" s="19"/>
      <c r="Z3952" s="19"/>
      <c r="AA3952" s="19"/>
      <c r="AB3952" s="19"/>
      <c r="AC3952" s="19"/>
      <c r="AD3952" s="19"/>
      <c r="AE3952" s="19"/>
      <c r="AF3952" s="19"/>
      <c r="AG3952" s="19"/>
      <c r="AH3952" s="19"/>
      <c r="AI3952" s="19"/>
      <c r="AJ3952" s="19"/>
      <c r="AK3952" s="19"/>
      <c r="AL3952" s="6" t="str">
        <f t="array" ref="AL3952">IFERROR(IFS(XLOOKUP(B3952, 'Kit Delivery Status'!$U:$U, 'Kit Delivery Status'!$K:$K) = "Complete", "DELIVERED", XLOOKUP(B3952, 'Kit Delivery Status'!$U:$U, 'Kit Delivery Status'!$K:$K) = "Issue", "ISSUE"), "")</f>
        <v/>
      </c>
      <c r="AM3952" s="6"/>
    </row>
    <row r="3953">
      <c r="A3953" s="19"/>
      <c r="B3953" s="19"/>
      <c r="C3953" s="19"/>
      <c r="D3953" s="42"/>
      <c r="E3953" s="19"/>
      <c r="F3953" s="19"/>
      <c r="G3953" s="19"/>
      <c r="H3953" s="19"/>
      <c r="I3953" s="19"/>
      <c r="J3953" s="19"/>
      <c r="K3953" s="19"/>
      <c r="L3953" s="19"/>
      <c r="M3953" s="19"/>
      <c r="N3953" s="19"/>
      <c r="O3953" s="43"/>
      <c r="P3953" s="19"/>
      <c r="Q3953" s="19"/>
      <c r="R3953" s="19"/>
      <c r="S3953" s="19"/>
      <c r="T3953" s="19"/>
      <c r="U3953" s="19"/>
      <c r="V3953" s="44"/>
      <c r="W3953" s="19"/>
      <c r="X3953" s="19"/>
      <c r="Y3953" s="19"/>
      <c r="Z3953" s="19"/>
      <c r="AA3953" s="19"/>
      <c r="AB3953" s="19"/>
      <c r="AC3953" s="19"/>
      <c r="AD3953" s="19"/>
      <c r="AE3953" s="19"/>
      <c r="AF3953" s="19"/>
      <c r="AG3953" s="19"/>
      <c r="AH3953" s="19"/>
      <c r="AI3953" s="19"/>
      <c r="AJ3953" s="19"/>
      <c r="AK3953" s="19"/>
      <c r="AL3953" s="6" t="str">
        <f t="array" ref="AL3953">IFERROR(IFS(XLOOKUP(B3953, 'Kit Delivery Status'!$U:$U, 'Kit Delivery Status'!$K:$K) = "Complete", "DELIVERED", XLOOKUP(B3953, 'Kit Delivery Status'!$U:$U, 'Kit Delivery Status'!$K:$K) = "Issue", "ISSUE"), "")</f>
        <v/>
      </c>
      <c r="AM3953" s="6"/>
    </row>
    <row r="3954">
      <c r="A3954" s="19"/>
      <c r="B3954" s="19"/>
      <c r="C3954" s="19"/>
      <c r="D3954" s="42"/>
      <c r="E3954" s="19"/>
      <c r="F3954" s="19"/>
      <c r="G3954" s="19"/>
      <c r="H3954" s="19"/>
      <c r="I3954" s="19"/>
      <c r="J3954" s="19"/>
      <c r="K3954" s="19"/>
      <c r="L3954" s="19"/>
      <c r="M3954" s="19"/>
      <c r="N3954" s="19"/>
      <c r="O3954" s="43"/>
      <c r="P3954" s="19"/>
      <c r="Q3954" s="19"/>
      <c r="R3954" s="19"/>
      <c r="S3954" s="19"/>
      <c r="T3954" s="19"/>
      <c r="U3954" s="19"/>
      <c r="V3954" s="44"/>
      <c r="W3954" s="19"/>
      <c r="X3954" s="19"/>
      <c r="Y3954" s="19"/>
      <c r="Z3954" s="19"/>
      <c r="AA3954" s="19"/>
      <c r="AB3954" s="19"/>
      <c r="AC3954" s="19"/>
      <c r="AD3954" s="19"/>
      <c r="AE3954" s="19"/>
      <c r="AF3954" s="19"/>
      <c r="AG3954" s="19"/>
      <c r="AH3954" s="19"/>
      <c r="AI3954" s="19"/>
      <c r="AJ3954" s="19"/>
      <c r="AK3954" s="19"/>
      <c r="AL3954" s="6" t="str">
        <f t="array" ref="AL3954">IFERROR(IFS(XLOOKUP(B3954, 'Kit Delivery Status'!$U:$U, 'Kit Delivery Status'!$K:$K) = "Complete", "DELIVERED", XLOOKUP(B3954, 'Kit Delivery Status'!$U:$U, 'Kit Delivery Status'!$K:$K) = "Issue", "ISSUE"), "")</f>
        <v/>
      </c>
      <c r="AM3954" s="6"/>
    </row>
    <row r="3955">
      <c r="A3955" s="19"/>
      <c r="B3955" s="19"/>
      <c r="C3955" s="19"/>
      <c r="D3955" s="42"/>
      <c r="E3955" s="19"/>
      <c r="F3955" s="19"/>
      <c r="G3955" s="19"/>
      <c r="H3955" s="19"/>
      <c r="I3955" s="19"/>
      <c r="J3955" s="19"/>
      <c r="K3955" s="19"/>
      <c r="L3955" s="19"/>
      <c r="M3955" s="19"/>
      <c r="N3955" s="19"/>
      <c r="O3955" s="43"/>
      <c r="P3955" s="19"/>
      <c r="Q3955" s="19"/>
      <c r="R3955" s="19"/>
      <c r="S3955" s="19"/>
      <c r="T3955" s="19"/>
      <c r="U3955" s="19"/>
      <c r="V3955" s="44"/>
      <c r="W3955" s="19"/>
      <c r="X3955" s="19"/>
      <c r="Y3955" s="19"/>
      <c r="Z3955" s="19"/>
      <c r="AA3955" s="19"/>
      <c r="AB3955" s="19"/>
      <c r="AC3955" s="19"/>
      <c r="AD3955" s="19"/>
      <c r="AE3955" s="19"/>
      <c r="AF3955" s="19"/>
      <c r="AG3955" s="19"/>
      <c r="AH3955" s="19"/>
      <c r="AI3955" s="19"/>
      <c r="AJ3955" s="19"/>
      <c r="AK3955" s="19"/>
      <c r="AL3955" s="6" t="str">
        <f t="array" ref="AL3955">IFERROR(IFS(XLOOKUP(B3955, 'Kit Delivery Status'!$U:$U, 'Kit Delivery Status'!$K:$K) = "Complete", "DELIVERED", XLOOKUP(B3955, 'Kit Delivery Status'!$U:$U, 'Kit Delivery Status'!$K:$K) = "Issue", "ISSUE"), "")</f>
        <v/>
      </c>
      <c r="AM3955" s="6"/>
    </row>
    <row r="3956">
      <c r="A3956" s="19"/>
      <c r="B3956" s="19"/>
      <c r="C3956" s="19"/>
      <c r="D3956" s="42"/>
      <c r="E3956" s="19"/>
      <c r="F3956" s="19"/>
      <c r="G3956" s="19"/>
      <c r="H3956" s="19"/>
      <c r="I3956" s="19"/>
      <c r="J3956" s="19"/>
      <c r="K3956" s="19"/>
      <c r="L3956" s="19"/>
      <c r="M3956" s="19"/>
      <c r="N3956" s="19"/>
      <c r="O3956" s="43"/>
      <c r="P3956" s="19"/>
      <c r="Q3956" s="19"/>
      <c r="R3956" s="19"/>
      <c r="S3956" s="19"/>
      <c r="T3956" s="19"/>
      <c r="U3956" s="19"/>
      <c r="V3956" s="44"/>
      <c r="W3956" s="19"/>
      <c r="X3956" s="19"/>
      <c r="Y3956" s="19"/>
      <c r="Z3956" s="19"/>
      <c r="AA3956" s="19"/>
      <c r="AB3956" s="19"/>
      <c r="AC3956" s="19"/>
      <c r="AD3956" s="19"/>
      <c r="AE3956" s="19"/>
      <c r="AF3956" s="19"/>
      <c r="AG3956" s="19"/>
      <c r="AH3956" s="19"/>
      <c r="AI3956" s="19"/>
      <c r="AJ3956" s="19"/>
      <c r="AK3956" s="19"/>
      <c r="AL3956" s="6" t="str">
        <f t="array" ref="AL3956">IFERROR(IFS(XLOOKUP(B3956, 'Kit Delivery Status'!$U:$U, 'Kit Delivery Status'!$K:$K) = "Complete", "DELIVERED", XLOOKUP(B3956, 'Kit Delivery Status'!$U:$U, 'Kit Delivery Status'!$K:$K) = "Issue", "ISSUE"), "")</f>
        <v/>
      </c>
      <c r="AM3956" s="6"/>
    </row>
    <row r="3957">
      <c r="A3957" s="19"/>
      <c r="B3957" s="19"/>
      <c r="C3957" s="19"/>
      <c r="D3957" s="42"/>
      <c r="E3957" s="19"/>
      <c r="F3957" s="19"/>
      <c r="G3957" s="19"/>
      <c r="H3957" s="19"/>
      <c r="I3957" s="19"/>
      <c r="J3957" s="19"/>
      <c r="K3957" s="19"/>
      <c r="L3957" s="19"/>
      <c r="M3957" s="19"/>
      <c r="N3957" s="19"/>
      <c r="O3957" s="43"/>
      <c r="P3957" s="19"/>
      <c r="Q3957" s="19"/>
      <c r="R3957" s="19"/>
      <c r="S3957" s="19"/>
      <c r="T3957" s="19"/>
      <c r="U3957" s="19"/>
      <c r="V3957" s="44"/>
      <c r="W3957" s="19"/>
      <c r="X3957" s="19"/>
      <c r="Y3957" s="19"/>
      <c r="Z3957" s="19"/>
      <c r="AA3957" s="19"/>
      <c r="AB3957" s="19"/>
      <c r="AC3957" s="19"/>
      <c r="AD3957" s="19"/>
      <c r="AE3957" s="19"/>
      <c r="AF3957" s="19"/>
      <c r="AG3957" s="19"/>
      <c r="AH3957" s="19"/>
      <c r="AI3957" s="19"/>
      <c r="AJ3957" s="19"/>
      <c r="AK3957" s="19"/>
      <c r="AL3957" s="6" t="str">
        <f t="array" ref="AL3957">IFERROR(IFS(XLOOKUP(B3957, 'Kit Delivery Status'!$U:$U, 'Kit Delivery Status'!$K:$K) = "Complete", "DELIVERED", XLOOKUP(B3957, 'Kit Delivery Status'!$U:$U, 'Kit Delivery Status'!$K:$K) = "Issue", "ISSUE"), "")</f>
        <v/>
      </c>
      <c r="AM3957" s="6"/>
    </row>
    <row r="3958">
      <c r="A3958" s="19"/>
      <c r="B3958" s="19"/>
      <c r="C3958" s="19"/>
      <c r="D3958" s="42"/>
      <c r="E3958" s="19"/>
      <c r="F3958" s="19"/>
      <c r="G3958" s="19"/>
      <c r="H3958" s="19"/>
      <c r="I3958" s="19"/>
      <c r="J3958" s="19"/>
      <c r="K3958" s="19"/>
      <c r="L3958" s="19"/>
      <c r="M3958" s="19"/>
      <c r="N3958" s="19"/>
      <c r="O3958" s="43"/>
      <c r="P3958" s="19"/>
      <c r="Q3958" s="19"/>
      <c r="R3958" s="19"/>
      <c r="S3958" s="19"/>
      <c r="T3958" s="19"/>
      <c r="U3958" s="19"/>
      <c r="V3958" s="44"/>
      <c r="W3958" s="19"/>
      <c r="X3958" s="19"/>
      <c r="Y3958" s="19"/>
      <c r="Z3958" s="19"/>
      <c r="AA3958" s="19"/>
      <c r="AB3958" s="19"/>
      <c r="AC3958" s="19"/>
      <c r="AD3958" s="19"/>
      <c r="AE3958" s="19"/>
      <c r="AF3958" s="19"/>
      <c r="AG3958" s="19"/>
      <c r="AH3958" s="19"/>
      <c r="AI3958" s="19"/>
      <c r="AJ3958" s="19"/>
      <c r="AK3958" s="19"/>
      <c r="AL3958" s="6" t="str">
        <f t="array" ref="AL3958">IFERROR(IFS(XLOOKUP(B3958, 'Kit Delivery Status'!$U:$U, 'Kit Delivery Status'!$K:$K) = "Complete", "DELIVERED", XLOOKUP(B3958, 'Kit Delivery Status'!$U:$U, 'Kit Delivery Status'!$K:$K) = "Issue", "ISSUE"), "")</f>
        <v/>
      </c>
      <c r="AM3958" s="6"/>
    </row>
    <row r="3959">
      <c r="A3959" s="19"/>
      <c r="B3959" s="19"/>
      <c r="C3959" s="19"/>
      <c r="D3959" s="42"/>
      <c r="E3959" s="19"/>
      <c r="F3959" s="19"/>
      <c r="G3959" s="19"/>
      <c r="H3959" s="19"/>
      <c r="I3959" s="19"/>
      <c r="J3959" s="19"/>
      <c r="K3959" s="19"/>
      <c r="L3959" s="19"/>
      <c r="M3959" s="19"/>
      <c r="N3959" s="19"/>
      <c r="O3959" s="43"/>
      <c r="P3959" s="19"/>
      <c r="Q3959" s="19"/>
      <c r="R3959" s="19"/>
      <c r="S3959" s="19"/>
      <c r="T3959" s="19"/>
      <c r="U3959" s="19"/>
      <c r="V3959" s="44"/>
      <c r="W3959" s="19"/>
      <c r="X3959" s="19"/>
      <c r="Y3959" s="19"/>
      <c r="Z3959" s="19"/>
      <c r="AA3959" s="19"/>
      <c r="AB3959" s="19"/>
      <c r="AC3959" s="19"/>
      <c r="AD3959" s="19"/>
      <c r="AE3959" s="19"/>
      <c r="AF3959" s="19"/>
      <c r="AG3959" s="19"/>
      <c r="AH3959" s="19"/>
      <c r="AI3959" s="19"/>
      <c r="AJ3959" s="19"/>
      <c r="AK3959" s="19"/>
      <c r="AL3959" s="6" t="str">
        <f t="array" ref="AL3959">IFERROR(IFS(XLOOKUP(B3959, 'Kit Delivery Status'!$U:$U, 'Kit Delivery Status'!$K:$K) = "Complete", "DELIVERED", XLOOKUP(B3959, 'Kit Delivery Status'!$U:$U, 'Kit Delivery Status'!$K:$K) = "Issue", "ISSUE"), "")</f>
        <v/>
      </c>
      <c r="AM3959" s="6"/>
    </row>
    <row r="3960">
      <c r="A3960" s="19"/>
      <c r="B3960" s="19"/>
      <c r="C3960" s="19"/>
      <c r="D3960" s="42"/>
      <c r="E3960" s="19"/>
      <c r="F3960" s="19"/>
      <c r="G3960" s="19"/>
      <c r="H3960" s="19"/>
      <c r="I3960" s="19"/>
      <c r="J3960" s="19"/>
      <c r="K3960" s="19"/>
      <c r="L3960" s="19"/>
      <c r="M3960" s="19"/>
      <c r="N3960" s="19"/>
      <c r="O3960" s="43"/>
      <c r="P3960" s="19"/>
      <c r="Q3960" s="19"/>
      <c r="R3960" s="19"/>
      <c r="S3960" s="19"/>
      <c r="T3960" s="19"/>
      <c r="U3960" s="19"/>
      <c r="V3960" s="44"/>
      <c r="W3960" s="19"/>
      <c r="X3960" s="19"/>
      <c r="Y3960" s="19"/>
      <c r="Z3960" s="19"/>
      <c r="AA3960" s="19"/>
      <c r="AB3960" s="19"/>
      <c r="AC3960" s="19"/>
      <c r="AD3960" s="19"/>
      <c r="AE3960" s="19"/>
      <c r="AF3960" s="19"/>
      <c r="AG3960" s="19"/>
      <c r="AH3960" s="19"/>
      <c r="AI3960" s="19"/>
      <c r="AJ3960" s="19"/>
      <c r="AK3960" s="19"/>
      <c r="AL3960" s="6" t="str">
        <f t="array" ref="AL3960">IFERROR(IFS(XLOOKUP(B3960, 'Kit Delivery Status'!$U:$U, 'Kit Delivery Status'!$K:$K) = "Complete", "DELIVERED", XLOOKUP(B3960, 'Kit Delivery Status'!$U:$U, 'Kit Delivery Status'!$K:$K) = "Issue", "ISSUE"), "")</f>
        <v/>
      </c>
      <c r="AM3960" s="6"/>
    </row>
    <row r="3961">
      <c r="A3961" s="19"/>
      <c r="B3961" s="19"/>
      <c r="C3961" s="19"/>
      <c r="D3961" s="42"/>
      <c r="E3961" s="19"/>
      <c r="F3961" s="19"/>
      <c r="G3961" s="19"/>
      <c r="H3961" s="19"/>
      <c r="I3961" s="19"/>
      <c r="J3961" s="19"/>
      <c r="K3961" s="19"/>
      <c r="L3961" s="19"/>
      <c r="M3961" s="19"/>
      <c r="N3961" s="19"/>
      <c r="O3961" s="43"/>
      <c r="P3961" s="19"/>
      <c r="Q3961" s="19"/>
      <c r="R3961" s="19"/>
      <c r="S3961" s="19"/>
      <c r="T3961" s="19"/>
      <c r="U3961" s="19"/>
      <c r="V3961" s="44"/>
      <c r="W3961" s="19"/>
      <c r="X3961" s="19"/>
      <c r="Y3961" s="19"/>
      <c r="Z3961" s="19"/>
      <c r="AA3961" s="19"/>
      <c r="AB3961" s="19"/>
      <c r="AC3961" s="19"/>
      <c r="AD3961" s="19"/>
      <c r="AE3961" s="19"/>
      <c r="AF3961" s="19"/>
      <c r="AG3961" s="19"/>
      <c r="AH3961" s="19"/>
      <c r="AI3961" s="19"/>
      <c r="AJ3961" s="19"/>
      <c r="AK3961" s="19"/>
      <c r="AL3961" s="6" t="str">
        <f t="array" ref="AL3961">IFERROR(IFS(XLOOKUP(B3961, 'Kit Delivery Status'!$U:$U, 'Kit Delivery Status'!$K:$K) = "Complete", "DELIVERED", XLOOKUP(B3961, 'Kit Delivery Status'!$U:$U, 'Kit Delivery Status'!$K:$K) = "Issue", "ISSUE"), "")</f>
        <v/>
      </c>
      <c r="AM3961" s="6"/>
    </row>
    <row r="3962">
      <c r="A3962" s="19"/>
      <c r="B3962" s="19"/>
      <c r="C3962" s="19"/>
      <c r="D3962" s="42"/>
      <c r="E3962" s="19"/>
      <c r="F3962" s="19"/>
      <c r="G3962" s="19"/>
      <c r="H3962" s="19"/>
      <c r="I3962" s="19"/>
      <c r="J3962" s="19"/>
      <c r="K3962" s="19"/>
      <c r="L3962" s="19"/>
      <c r="M3962" s="19"/>
      <c r="N3962" s="19"/>
      <c r="O3962" s="43"/>
      <c r="P3962" s="19"/>
      <c r="Q3962" s="19"/>
      <c r="R3962" s="19"/>
      <c r="S3962" s="19"/>
      <c r="T3962" s="19"/>
      <c r="U3962" s="19"/>
      <c r="V3962" s="44"/>
      <c r="W3962" s="19"/>
      <c r="X3962" s="19"/>
      <c r="Y3962" s="19"/>
      <c r="Z3962" s="19"/>
      <c r="AA3962" s="19"/>
      <c r="AB3962" s="19"/>
      <c r="AC3962" s="19"/>
      <c r="AD3962" s="19"/>
      <c r="AE3962" s="19"/>
      <c r="AF3962" s="19"/>
      <c r="AG3962" s="19"/>
      <c r="AH3962" s="19"/>
      <c r="AI3962" s="19"/>
      <c r="AJ3962" s="19"/>
      <c r="AK3962" s="19"/>
      <c r="AL3962" s="6" t="str">
        <f t="array" ref="AL3962">IFERROR(IFS(XLOOKUP(B3962, 'Kit Delivery Status'!$U:$U, 'Kit Delivery Status'!$K:$K) = "Complete", "DELIVERED", XLOOKUP(B3962, 'Kit Delivery Status'!$U:$U, 'Kit Delivery Status'!$K:$K) = "Issue", "ISSUE"), "")</f>
        <v/>
      </c>
      <c r="AM3962" s="6"/>
    </row>
    <row r="3963">
      <c r="A3963" s="19"/>
      <c r="B3963" s="19"/>
      <c r="C3963" s="19"/>
      <c r="D3963" s="42"/>
      <c r="E3963" s="19"/>
      <c r="F3963" s="19"/>
      <c r="G3963" s="19"/>
      <c r="H3963" s="19"/>
      <c r="I3963" s="19"/>
      <c r="J3963" s="19"/>
      <c r="K3963" s="19"/>
      <c r="L3963" s="19"/>
      <c r="M3963" s="19"/>
      <c r="N3963" s="19"/>
      <c r="O3963" s="43"/>
      <c r="P3963" s="19"/>
      <c r="Q3963" s="19"/>
      <c r="R3963" s="19"/>
      <c r="S3963" s="19"/>
      <c r="T3963" s="19"/>
      <c r="U3963" s="19"/>
      <c r="V3963" s="44"/>
      <c r="W3963" s="19"/>
      <c r="X3963" s="19"/>
      <c r="Y3963" s="19"/>
      <c r="Z3963" s="19"/>
      <c r="AA3963" s="19"/>
      <c r="AB3963" s="19"/>
      <c r="AC3963" s="19"/>
      <c r="AD3963" s="19"/>
      <c r="AE3963" s="19"/>
      <c r="AF3963" s="19"/>
      <c r="AG3963" s="19"/>
      <c r="AH3963" s="19"/>
      <c r="AI3963" s="19"/>
      <c r="AJ3963" s="19"/>
      <c r="AK3963" s="19"/>
      <c r="AL3963" s="6" t="str">
        <f t="array" ref="AL3963">IFERROR(IFS(XLOOKUP(B3963, 'Kit Delivery Status'!$U:$U, 'Kit Delivery Status'!$K:$K) = "Complete", "DELIVERED", XLOOKUP(B3963, 'Kit Delivery Status'!$U:$U, 'Kit Delivery Status'!$K:$K) = "Issue", "ISSUE"), "")</f>
        <v/>
      </c>
      <c r="AM3963" s="6"/>
    </row>
    <row r="3964">
      <c r="A3964" s="19"/>
      <c r="B3964" s="19"/>
      <c r="C3964" s="19"/>
      <c r="D3964" s="42"/>
      <c r="E3964" s="19"/>
      <c r="F3964" s="19"/>
      <c r="G3964" s="19"/>
      <c r="H3964" s="19"/>
      <c r="I3964" s="19"/>
      <c r="J3964" s="19"/>
      <c r="K3964" s="19"/>
      <c r="L3964" s="19"/>
      <c r="M3964" s="19"/>
      <c r="N3964" s="19"/>
      <c r="O3964" s="43"/>
      <c r="P3964" s="19"/>
      <c r="Q3964" s="19"/>
      <c r="R3964" s="19"/>
      <c r="S3964" s="19"/>
      <c r="T3964" s="19"/>
      <c r="U3964" s="19"/>
      <c r="V3964" s="44"/>
      <c r="W3964" s="19"/>
      <c r="X3964" s="19"/>
      <c r="Y3964" s="19"/>
      <c r="Z3964" s="19"/>
      <c r="AA3964" s="19"/>
      <c r="AB3964" s="19"/>
      <c r="AC3964" s="19"/>
      <c r="AD3964" s="19"/>
      <c r="AE3964" s="19"/>
      <c r="AF3964" s="19"/>
      <c r="AG3964" s="19"/>
      <c r="AH3964" s="19"/>
      <c r="AI3964" s="19"/>
      <c r="AJ3964" s="19"/>
      <c r="AK3964" s="19"/>
      <c r="AL3964" s="6" t="str">
        <f t="array" ref="AL3964">IFERROR(IFS(XLOOKUP(B3964, 'Kit Delivery Status'!$U:$U, 'Kit Delivery Status'!$K:$K) = "Complete", "DELIVERED", XLOOKUP(B3964, 'Kit Delivery Status'!$U:$U, 'Kit Delivery Status'!$K:$K) = "Issue", "ISSUE"), "")</f>
        <v/>
      </c>
      <c r="AM3964" s="6"/>
    </row>
    <row r="3965">
      <c r="A3965" s="19"/>
      <c r="B3965" s="19"/>
      <c r="C3965" s="19"/>
      <c r="D3965" s="42"/>
      <c r="E3965" s="19"/>
      <c r="F3965" s="19"/>
      <c r="G3965" s="19"/>
      <c r="H3965" s="19"/>
      <c r="I3965" s="19"/>
      <c r="J3965" s="19"/>
      <c r="K3965" s="19"/>
      <c r="L3965" s="19"/>
      <c r="M3965" s="19"/>
      <c r="N3965" s="19"/>
      <c r="O3965" s="43"/>
      <c r="P3965" s="19"/>
      <c r="Q3965" s="19"/>
      <c r="R3965" s="19"/>
      <c r="S3965" s="19"/>
      <c r="T3965" s="19"/>
      <c r="U3965" s="19"/>
      <c r="V3965" s="44"/>
      <c r="W3965" s="19"/>
      <c r="X3965" s="19"/>
      <c r="Y3965" s="19"/>
      <c r="Z3965" s="19"/>
      <c r="AA3965" s="19"/>
      <c r="AB3965" s="19"/>
      <c r="AC3965" s="19"/>
      <c r="AD3965" s="19"/>
      <c r="AE3965" s="19"/>
      <c r="AF3965" s="19"/>
      <c r="AG3965" s="19"/>
      <c r="AH3965" s="19"/>
      <c r="AI3965" s="19"/>
      <c r="AJ3965" s="19"/>
      <c r="AK3965" s="19"/>
      <c r="AL3965" s="6" t="str">
        <f t="array" ref="AL3965">IFERROR(IFS(XLOOKUP(B3965, 'Kit Delivery Status'!$U:$U, 'Kit Delivery Status'!$K:$K) = "Complete", "DELIVERED", XLOOKUP(B3965, 'Kit Delivery Status'!$U:$U, 'Kit Delivery Status'!$K:$K) = "Issue", "ISSUE"), "")</f>
        <v/>
      </c>
      <c r="AM3965" s="6"/>
    </row>
    <row r="3966">
      <c r="A3966" s="19"/>
      <c r="B3966" s="19"/>
      <c r="C3966" s="19"/>
      <c r="D3966" s="42"/>
      <c r="E3966" s="19"/>
      <c r="F3966" s="19"/>
      <c r="G3966" s="19"/>
      <c r="H3966" s="19"/>
      <c r="I3966" s="19"/>
      <c r="J3966" s="19"/>
      <c r="K3966" s="19"/>
      <c r="L3966" s="19"/>
      <c r="M3966" s="19"/>
      <c r="N3966" s="19"/>
      <c r="O3966" s="43"/>
      <c r="P3966" s="19"/>
      <c r="Q3966" s="19"/>
      <c r="R3966" s="19"/>
      <c r="S3966" s="19"/>
      <c r="T3966" s="19"/>
      <c r="U3966" s="19"/>
      <c r="V3966" s="44"/>
      <c r="W3966" s="19"/>
      <c r="X3966" s="19"/>
      <c r="Y3966" s="19"/>
      <c r="Z3966" s="19"/>
      <c r="AA3966" s="19"/>
      <c r="AB3966" s="19"/>
      <c r="AC3966" s="19"/>
      <c r="AD3966" s="19"/>
      <c r="AE3966" s="19"/>
      <c r="AF3966" s="19"/>
      <c r="AG3966" s="19"/>
      <c r="AH3966" s="19"/>
      <c r="AI3966" s="19"/>
      <c r="AJ3966" s="19"/>
      <c r="AK3966" s="19"/>
      <c r="AL3966" s="6" t="str">
        <f t="array" ref="AL3966">IFERROR(IFS(XLOOKUP(B3966, 'Kit Delivery Status'!$U:$U, 'Kit Delivery Status'!$K:$K) = "Complete", "DELIVERED", XLOOKUP(B3966, 'Kit Delivery Status'!$U:$U, 'Kit Delivery Status'!$K:$K) = "Issue", "ISSUE"), "")</f>
        <v/>
      </c>
      <c r="AM3966" s="6"/>
    </row>
    <row r="3967">
      <c r="A3967" s="19"/>
      <c r="B3967" s="19"/>
      <c r="C3967" s="19"/>
      <c r="D3967" s="42"/>
      <c r="E3967" s="19"/>
      <c r="F3967" s="19"/>
      <c r="G3967" s="19"/>
      <c r="H3967" s="19"/>
      <c r="I3967" s="19"/>
      <c r="J3967" s="19"/>
      <c r="K3967" s="19"/>
      <c r="L3967" s="19"/>
      <c r="M3967" s="19"/>
      <c r="N3967" s="19"/>
      <c r="O3967" s="43"/>
      <c r="P3967" s="19"/>
      <c r="Q3967" s="19"/>
      <c r="R3967" s="19"/>
      <c r="S3967" s="19"/>
      <c r="T3967" s="19"/>
      <c r="U3967" s="19"/>
      <c r="V3967" s="44"/>
      <c r="W3967" s="19"/>
      <c r="X3967" s="19"/>
      <c r="Y3967" s="19"/>
      <c r="Z3967" s="19"/>
      <c r="AA3967" s="19"/>
      <c r="AB3967" s="19"/>
      <c r="AC3967" s="19"/>
      <c r="AD3967" s="19"/>
      <c r="AE3967" s="19"/>
      <c r="AF3967" s="19"/>
      <c r="AG3967" s="19"/>
      <c r="AH3967" s="19"/>
      <c r="AI3967" s="19"/>
      <c r="AJ3967" s="19"/>
      <c r="AK3967" s="19"/>
      <c r="AL3967" s="6" t="str">
        <f t="array" ref="AL3967">IFERROR(IFS(XLOOKUP(B3967, 'Kit Delivery Status'!$U:$U, 'Kit Delivery Status'!$K:$K) = "Complete", "DELIVERED", XLOOKUP(B3967, 'Kit Delivery Status'!$U:$U, 'Kit Delivery Status'!$K:$K) = "Issue", "ISSUE"), "")</f>
        <v/>
      </c>
      <c r="AM3967" s="6"/>
    </row>
    <row r="3968">
      <c r="A3968" s="19"/>
      <c r="B3968" s="19"/>
      <c r="C3968" s="19"/>
      <c r="D3968" s="42"/>
      <c r="E3968" s="19"/>
      <c r="F3968" s="19"/>
      <c r="G3968" s="19"/>
      <c r="H3968" s="19"/>
      <c r="I3968" s="19"/>
      <c r="J3968" s="19"/>
      <c r="K3968" s="19"/>
      <c r="L3968" s="19"/>
      <c r="M3968" s="19"/>
      <c r="N3968" s="19"/>
      <c r="O3968" s="43"/>
      <c r="P3968" s="19"/>
      <c r="Q3968" s="19"/>
      <c r="R3968" s="19"/>
      <c r="S3968" s="19"/>
      <c r="T3968" s="19"/>
      <c r="U3968" s="19"/>
      <c r="V3968" s="44"/>
      <c r="W3968" s="19"/>
      <c r="X3968" s="19"/>
      <c r="Y3968" s="19"/>
      <c r="Z3968" s="19"/>
      <c r="AA3968" s="19"/>
      <c r="AB3968" s="19"/>
      <c r="AC3968" s="19"/>
      <c r="AD3968" s="19"/>
      <c r="AE3968" s="19"/>
      <c r="AF3968" s="19"/>
      <c r="AG3968" s="19"/>
      <c r="AH3968" s="19"/>
      <c r="AI3968" s="19"/>
      <c r="AJ3968" s="19"/>
      <c r="AK3968" s="19"/>
      <c r="AL3968" s="6" t="str">
        <f t="array" ref="AL3968">IFERROR(IFS(XLOOKUP(B3968, 'Kit Delivery Status'!$U:$U, 'Kit Delivery Status'!$K:$K) = "Complete", "DELIVERED", XLOOKUP(B3968, 'Kit Delivery Status'!$U:$U, 'Kit Delivery Status'!$K:$K) = "Issue", "ISSUE"), "")</f>
        <v/>
      </c>
      <c r="AM3968" s="6"/>
    </row>
    <row r="3969">
      <c r="A3969" s="19"/>
      <c r="B3969" s="19"/>
      <c r="C3969" s="19"/>
      <c r="D3969" s="42"/>
      <c r="E3969" s="19"/>
      <c r="F3969" s="19"/>
      <c r="G3969" s="19"/>
      <c r="H3969" s="19"/>
      <c r="I3969" s="19"/>
      <c r="J3969" s="19"/>
      <c r="K3969" s="19"/>
      <c r="L3969" s="19"/>
      <c r="M3969" s="19"/>
      <c r="N3969" s="19"/>
      <c r="O3969" s="43"/>
      <c r="P3969" s="19"/>
      <c r="Q3969" s="19"/>
      <c r="R3969" s="19"/>
      <c r="S3969" s="19"/>
      <c r="T3969" s="19"/>
      <c r="U3969" s="19"/>
      <c r="V3969" s="44"/>
      <c r="W3969" s="19"/>
      <c r="X3969" s="19"/>
      <c r="Y3969" s="19"/>
      <c r="Z3969" s="19"/>
      <c r="AA3969" s="19"/>
      <c r="AB3969" s="19"/>
      <c r="AC3969" s="19"/>
      <c r="AD3969" s="19"/>
      <c r="AE3969" s="19"/>
      <c r="AF3969" s="19"/>
      <c r="AG3969" s="19"/>
      <c r="AH3969" s="19"/>
      <c r="AI3969" s="19"/>
      <c r="AJ3969" s="19"/>
      <c r="AK3969" s="19"/>
      <c r="AL3969" s="6" t="str">
        <f t="array" ref="AL3969">IFERROR(IFS(XLOOKUP(B3969, 'Kit Delivery Status'!$U:$U, 'Kit Delivery Status'!$K:$K) = "Complete", "DELIVERED", XLOOKUP(B3969, 'Kit Delivery Status'!$U:$U, 'Kit Delivery Status'!$K:$K) = "Issue", "ISSUE"), "")</f>
        <v/>
      </c>
      <c r="AM3969" s="6"/>
    </row>
    <row r="3970">
      <c r="A3970" s="19"/>
      <c r="B3970" s="19"/>
      <c r="C3970" s="19"/>
      <c r="D3970" s="42"/>
      <c r="E3970" s="19"/>
      <c r="F3970" s="19"/>
      <c r="G3970" s="19"/>
      <c r="H3970" s="19"/>
      <c r="I3970" s="19"/>
      <c r="J3970" s="19"/>
      <c r="K3970" s="19"/>
      <c r="L3970" s="19"/>
      <c r="M3970" s="19"/>
      <c r="N3970" s="19"/>
      <c r="O3970" s="43"/>
      <c r="P3970" s="19"/>
      <c r="Q3970" s="19"/>
      <c r="R3970" s="19"/>
      <c r="S3970" s="19"/>
      <c r="T3970" s="19"/>
      <c r="U3970" s="19"/>
      <c r="V3970" s="44"/>
      <c r="W3970" s="19"/>
      <c r="X3970" s="19"/>
      <c r="Y3970" s="19"/>
      <c r="Z3970" s="19"/>
      <c r="AA3970" s="19"/>
      <c r="AB3970" s="19"/>
      <c r="AC3970" s="19"/>
      <c r="AD3970" s="19"/>
      <c r="AE3970" s="19"/>
      <c r="AF3970" s="19"/>
      <c r="AG3970" s="19"/>
      <c r="AH3970" s="19"/>
      <c r="AI3970" s="19"/>
      <c r="AJ3970" s="19"/>
      <c r="AK3970" s="19"/>
      <c r="AL3970" s="6" t="str">
        <f t="array" ref="AL3970">IFERROR(IFS(XLOOKUP(B3970, 'Kit Delivery Status'!$U:$U, 'Kit Delivery Status'!$K:$K) = "Complete", "DELIVERED", XLOOKUP(B3970, 'Kit Delivery Status'!$U:$U, 'Kit Delivery Status'!$K:$K) = "Issue", "ISSUE"), "")</f>
        <v/>
      </c>
      <c r="AM3970" s="6"/>
    </row>
    <row r="3971">
      <c r="A3971" s="19"/>
      <c r="B3971" s="19"/>
      <c r="C3971" s="19"/>
      <c r="D3971" s="42"/>
      <c r="E3971" s="19"/>
      <c r="F3971" s="19"/>
      <c r="G3971" s="19"/>
      <c r="H3971" s="19"/>
      <c r="I3971" s="19"/>
      <c r="J3971" s="19"/>
      <c r="K3971" s="19"/>
      <c r="L3971" s="19"/>
      <c r="M3971" s="19"/>
      <c r="N3971" s="19"/>
      <c r="O3971" s="43"/>
      <c r="P3971" s="19"/>
      <c r="Q3971" s="19"/>
      <c r="R3971" s="19"/>
      <c r="S3971" s="19"/>
      <c r="T3971" s="19"/>
      <c r="U3971" s="19"/>
      <c r="V3971" s="44"/>
      <c r="W3971" s="19"/>
      <c r="X3971" s="19"/>
      <c r="Y3971" s="19"/>
      <c r="Z3971" s="19"/>
      <c r="AA3971" s="19"/>
      <c r="AB3971" s="19"/>
      <c r="AC3971" s="19"/>
      <c r="AD3971" s="19"/>
      <c r="AE3971" s="19"/>
      <c r="AF3971" s="19"/>
      <c r="AG3971" s="19"/>
      <c r="AH3971" s="19"/>
      <c r="AI3971" s="19"/>
      <c r="AJ3971" s="19"/>
      <c r="AK3971" s="19"/>
      <c r="AL3971" s="6" t="str">
        <f t="array" ref="AL3971">IFERROR(IFS(XLOOKUP(B3971, 'Kit Delivery Status'!$U:$U, 'Kit Delivery Status'!$K:$K) = "Complete", "DELIVERED", XLOOKUP(B3971, 'Kit Delivery Status'!$U:$U, 'Kit Delivery Status'!$K:$K) = "Issue", "ISSUE"), "")</f>
        <v/>
      </c>
      <c r="AM3971" s="6"/>
    </row>
    <row r="3972">
      <c r="A3972" s="19"/>
      <c r="B3972" s="19"/>
      <c r="C3972" s="19"/>
      <c r="D3972" s="42"/>
      <c r="E3972" s="19"/>
      <c r="F3972" s="19"/>
      <c r="G3972" s="19"/>
      <c r="H3972" s="19"/>
      <c r="I3972" s="19"/>
      <c r="J3972" s="19"/>
      <c r="K3972" s="19"/>
      <c r="L3972" s="19"/>
      <c r="M3972" s="19"/>
      <c r="N3972" s="19"/>
      <c r="O3972" s="43"/>
      <c r="P3972" s="19"/>
      <c r="Q3972" s="19"/>
      <c r="R3972" s="19"/>
      <c r="S3972" s="19"/>
      <c r="T3972" s="19"/>
      <c r="U3972" s="19"/>
      <c r="V3972" s="44"/>
      <c r="W3972" s="19"/>
      <c r="X3972" s="19"/>
      <c r="Y3972" s="19"/>
      <c r="Z3972" s="19"/>
      <c r="AA3972" s="19"/>
      <c r="AB3972" s="19"/>
      <c r="AC3972" s="19"/>
      <c r="AD3972" s="19"/>
      <c r="AE3972" s="19"/>
      <c r="AF3972" s="19"/>
      <c r="AG3972" s="19"/>
      <c r="AH3972" s="19"/>
      <c r="AI3972" s="19"/>
      <c r="AJ3972" s="19"/>
      <c r="AK3972" s="19"/>
      <c r="AL3972" s="6" t="str">
        <f t="array" ref="AL3972">IFERROR(IFS(XLOOKUP(B3972, 'Kit Delivery Status'!$U:$U, 'Kit Delivery Status'!$K:$K) = "Complete", "DELIVERED", XLOOKUP(B3972, 'Kit Delivery Status'!$U:$U, 'Kit Delivery Status'!$K:$K) = "Issue", "ISSUE"), "")</f>
        <v/>
      </c>
      <c r="AM3972" s="6"/>
    </row>
    <row r="3973">
      <c r="A3973" s="19"/>
      <c r="B3973" s="19"/>
      <c r="C3973" s="19"/>
      <c r="D3973" s="42"/>
      <c r="E3973" s="19"/>
      <c r="F3973" s="19"/>
      <c r="G3973" s="19"/>
      <c r="H3973" s="19"/>
      <c r="I3973" s="19"/>
      <c r="J3973" s="19"/>
      <c r="K3973" s="19"/>
      <c r="L3973" s="19"/>
      <c r="M3973" s="19"/>
      <c r="N3973" s="19"/>
      <c r="O3973" s="43"/>
      <c r="P3973" s="19"/>
      <c r="Q3973" s="19"/>
      <c r="R3973" s="19"/>
      <c r="S3973" s="19"/>
      <c r="T3973" s="19"/>
      <c r="U3973" s="19"/>
      <c r="V3973" s="44"/>
      <c r="W3973" s="19"/>
      <c r="X3973" s="19"/>
      <c r="Y3973" s="19"/>
      <c r="Z3973" s="19"/>
      <c r="AA3973" s="19"/>
      <c r="AB3973" s="19"/>
      <c r="AC3973" s="19"/>
      <c r="AD3973" s="19"/>
      <c r="AE3973" s="19"/>
      <c r="AF3973" s="19"/>
      <c r="AG3973" s="19"/>
      <c r="AH3973" s="19"/>
      <c r="AI3973" s="19"/>
      <c r="AJ3973" s="19"/>
      <c r="AK3973" s="19"/>
      <c r="AL3973" s="6" t="str">
        <f t="array" ref="AL3973">IFERROR(IFS(XLOOKUP(B3973, 'Kit Delivery Status'!$U:$U, 'Kit Delivery Status'!$K:$K) = "Complete", "DELIVERED", XLOOKUP(B3973, 'Kit Delivery Status'!$U:$U, 'Kit Delivery Status'!$K:$K) = "Issue", "ISSUE"), "")</f>
        <v/>
      </c>
      <c r="AM3973" s="6"/>
    </row>
    <row r="3974">
      <c r="A3974" s="19"/>
      <c r="B3974" s="19"/>
      <c r="C3974" s="19"/>
      <c r="D3974" s="42"/>
      <c r="E3974" s="19"/>
      <c r="F3974" s="19"/>
      <c r="G3974" s="19"/>
      <c r="H3974" s="19"/>
      <c r="I3974" s="19"/>
      <c r="J3974" s="19"/>
      <c r="K3974" s="19"/>
      <c r="L3974" s="19"/>
      <c r="M3974" s="19"/>
      <c r="N3974" s="19"/>
      <c r="O3974" s="43"/>
      <c r="P3974" s="19"/>
      <c r="Q3974" s="19"/>
      <c r="R3974" s="19"/>
      <c r="S3974" s="19"/>
      <c r="T3974" s="19"/>
      <c r="U3974" s="19"/>
      <c r="V3974" s="44"/>
      <c r="W3974" s="19"/>
      <c r="X3974" s="19"/>
      <c r="Y3974" s="19"/>
      <c r="Z3974" s="19"/>
      <c r="AA3974" s="19"/>
      <c r="AB3974" s="19"/>
      <c r="AC3974" s="19"/>
      <c r="AD3974" s="19"/>
      <c r="AE3974" s="19"/>
      <c r="AF3974" s="19"/>
      <c r="AG3974" s="19"/>
      <c r="AH3974" s="19"/>
      <c r="AI3974" s="19"/>
      <c r="AJ3974" s="19"/>
      <c r="AK3974" s="19"/>
      <c r="AL3974" s="6" t="str">
        <f t="array" ref="AL3974">IFERROR(IFS(XLOOKUP(B3974, 'Kit Delivery Status'!$U:$U, 'Kit Delivery Status'!$K:$K) = "Complete", "DELIVERED", XLOOKUP(B3974, 'Kit Delivery Status'!$U:$U, 'Kit Delivery Status'!$K:$K) = "Issue", "ISSUE"), "")</f>
        <v/>
      </c>
      <c r="AM3974" s="6"/>
    </row>
    <row r="3975">
      <c r="A3975" s="19"/>
      <c r="B3975" s="19"/>
      <c r="C3975" s="19"/>
      <c r="D3975" s="42"/>
      <c r="E3975" s="19"/>
      <c r="F3975" s="19"/>
      <c r="G3975" s="19"/>
      <c r="H3975" s="19"/>
      <c r="I3975" s="19"/>
      <c r="J3975" s="19"/>
      <c r="K3975" s="19"/>
      <c r="L3975" s="19"/>
      <c r="M3975" s="19"/>
      <c r="N3975" s="19"/>
      <c r="O3975" s="43"/>
      <c r="P3975" s="19"/>
      <c r="Q3975" s="19"/>
      <c r="R3975" s="19"/>
      <c r="S3975" s="19"/>
      <c r="T3975" s="19"/>
      <c r="U3975" s="19"/>
      <c r="V3975" s="44"/>
      <c r="W3975" s="19"/>
      <c r="X3975" s="19"/>
      <c r="Y3975" s="19"/>
      <c r="Z3975" s="19"/>
      <c r="AA3975" s="19"/>
      <c r="AB3975" s="19"/>
      <c r="AC3975" s="19"/>
      <c r="AD3975" s="19"/>
      <c r="AE3975" s="19"/>
      <c r="AF3975" s="19"/>
      <c r="AG3975" s="19"/>
      <c r="AH3975" s="19"/>
      <c r="AI3975" s="19"/>
      <c r="AJ3975" s="19"/>
      <c r="AK3975" s="19"/>
      <c r="AL3975" s="6" t="str">
        <f t="array" ref="AL3975">IFERROR(IFS(XLOOKUP(B3975, 'Kit Delivery Status'!$U:$U, 'Kit Delivery Status'!$K:$K) = "Complete", "DELIVERED", XLOOKUP(B3975, 'Kit Delivery Status'!$U:$U, 'Kit Delivery Status'!$K:$K) = "Issue", "ISSUE"), "")</f>
        <v/>
      </c>
      <c r="AM3975" s="6"/>
    </row>
    <row r="3976">
      <c r="A3976" s="19"/>
      <c r="B3976" s="19"/>
      <c r="C3976" s="19"/>
      <c r="D3976" s="42"/>
      <c r="E3976" s="19"/>
      <c r="F3976" s="19"/>
      <c r="G3976" s="19"/>
      <c r="H3976" s="19"/>
      <c r="I3976" s="19"/>
      <c r="J3976" s="19"/>
      <c r="K3976" s="19"/>
      <c r="L3976" s="19"/>
      <c r="M3976" s="19"/>
      <c r="N3976" s="19"/>
      <c r="O3976" s="43"/>
      <c r="P3976" s="19"/>
      <c r="Q3976" s="19"/>
      <c r="R3976" s="19"/>
      <c r="S3976" s="19"/>
      <c r="T3976" s="19"/>
      <c r="U3976" s="19"/>
      <c r="V3976" s="44"/>
      <c r="W3976" s="19"/>
      <c r="X3976" s="19"/>
      <c r="Y3976" s="19"/>
      <c r="Z3976" s="19"/>
      <c r="AA3976" s="19"/>
      <c r="AB3976" s="19"/>
      <c r="AC3976" s="19"/>
      <c r="AD3976" s="19"/>
      <c r="AE3976" s="19"/>
      <c r="AF3976" s="19"/>
      <c r="AG3976" s="19"/>
      <c r="AH3976" s="19"/>
      <c r="AI3976" s="19"/>
      <c r="AJ3976" s="19"/>
      <c r="AK3976" s="19"/>
      <c r="AL3976" s="6" t="str">
        <f t="array" ref="AL3976">IFERROR(IFS(XLOOKUP(B3976, 'Kit Delivery Status'!$U:$U, 'Kit Delivery Status'!$K:$K) = "Complete", "DELIVERED", XLOOKUP(B3976, 'Kit Delivery Status'!$U:$U, 'Kit Delivery Status'!$K:$K) = "Issue", "ISSUE"), "")</f>
        <v/>
      </c>
      <c r="AM3976" s="6"/>
    </row>
    <row r="3977">
      <c r="A3977" s="19"/>
      <c r="B3977" s="19"/>
      <c r="C3977" s="19"/>
      <c r="D3977" s="42"/>
      <c r="E3977" s="19"/>
      <c r="F3977" s="19"/>
      <c r="G3977" s="19"/>
      <c r="H3977" s="19"/>
      <c r="I3977" s="19"/>
      <c r="J3977" s="19"/>
      <c r="K3977" s="19"/>
      <c r="L3977" s="19"/>
      <c r="M3977" s="19"/>
      <c r="N3977" s="19"/>
      <c r="O3977" s="43"/>
      <c r="P3977" s="19"/>
      <c r="Q3977" s="19"/>
      <c r="R3977" s="19"/>
      <c r="S3977" s="19"/>
      <c r="T3977" s="19"/>
      <c r="U3977" s="19"/>
      <c r="V3977" s="44"/>
      <c r="W3977" s="19"/>
      <c r="X3977" s="19"/>
      <c r="Y3977" s="19"/>
      <c r="Z3977" s="19"/>
      <c r="AA3977" s="19"/>
      <c r="AB3977" s="19"/>
      <c r="AC3977" s="19"/>
      <c r="AD3977" s="19"/>
      <c r="AE3977" s="19"/>
      <c r="AF3977" s="19"/>
      <c r="AG3977" s="19"/>
      <c r="AH3977" s="19"/>
      <c r="AI3977" s="19"/>
      <c r="AJ3977" s="19"/>
      <c r="AK3977" s="19"/>
      <c r="AL3977" s="6" t="str">
        <f t="array" ref="AL3977">IFERROR(IFS(XLOOKUP(B3977, 'Kit Delivery Status'!$U:$U, 'Kit Delivery Status'!$K:$K) = "Complete", "DELIVERED", XLOOKUP(B3977, 'Kit Delivery Status'!$U:$U, 'Kit Delivery Status'!$K:$K) = "Issue", "ISSUE"), "")</f>
        <v/>
      </c>
      <c r="AM3977" s="6"/>
    </row>
    <row r="3978">
      <c r="A3978" s="19"/>
      <c r="B3978" s="19"/>
      <c r="C3978" s="19"/>
      <c r="D3978" s="42"/>
      <c r="E3978" s="19"/>
      <c r="F3978" s="19"/>
      <c r="G3978" s="19"/>
      <c r="H3978" s="19"/>
      <c r="I3978" s="19"/>
      <c r="J3978" s="19"/>
      <c r="K3978" s="19"/>
      <c r="L3978" s="19"/>
      <c r="M3978" s="19"/>
      <c r="N3978" s="19"/>
      <c r="O3978" s="43"/>
      <c r="P3978" s="19"/>
      <c r="Q3978" s="19"/>
      <c r="R3978" s="19"/>
      <c r="S3978" s="19"/>
      <c r="T3978" s="19"/>
      <c r="U3978" s="19"/>
      <c r="V3978" s="44"/>
      <c r="W3978" s="19"/>
      <c r="X3978" s="19"/>
      <c r="Y3978" s="19"/>
      <c r="Z3978" s="19"/>
      <c r="AA3978" s="19"/>
      <c r="AB3978" s="19"/>
      <c r="AC3978" s="19"/>
      <c r="AD3978" s="19"/>
      <c r="AE3978" s="19"/>
      <c r="AF3978" s="19"/>
      <c r="AG3978" s="19"/>
      <c r="AH3978" s="19"/>
      <c r="AI3978" s="19"/>
      <c r="AJ3978" s="19"/>
      <c r="AK3978" s="19"/>
      <c r="AL3978" s="6" t="str">
        <f t="array" ref="AL3978">IFERROR(IFS(XLOOKUP(B3978, 'Kit Delivery Status'!$U:$U, 'Kit Delivery Status'!$K:$K) = "Complete", "DELIVERED", XLOOKUP(B3978, 'Kit Delivery Status'!$U:$U, 'Kit Delivery Status'!$K:$K) = "Issue", "ISSUE"), "")</f>
        <v/>
      </c>
      <c r="AM3978" s="6"/>
    </row>
    <row r="3979">
      <c r="A3979" s="19"/>
      <c r="B3979" s="19"/>
      <c r="C3979" s="19"/>
      <c r="D3979" s="42"/>
      <c r="E3979" s="19"/>
      <c r="F3979" s="19"/>
      <c r="G3979" s="19"/>
      <c r="H3979" s="19"/>
      <c r="I3979" s="19"/>
      <c r="J3979" s="19"/>
      <c r="K3979" s="19"/>
      <c r="L3979" s="19"/>
      <c r="M3979" s="19"/>
      <c r="N3979" s="19"/>
      <c r="O3979" s="43"/>
      <c r="P3979" s="19"/>
      <c r="Q3979" s="19"/>
      <c r="R3979" s="19"/>
      <c r="S3979" s="19"/>
      <c r="T3979" s="19"/>
      <c r="U3979" s="19"/>
      <c r="V3979" s="44"/>
      <c r="W3979" s="19"/>
      <c r="X3979" s="19"/>
      <c r="Y3979" s="19"/>
      <c r="Z3979" s="19"/>
      <c r="AA3979" s="19"/>
      <c r="AB3979" s="19"/>
      <c r="AC3979" s="19"/>
      <c r="AD3979" s="19"/>
      <c r="AE3979" s="19"/>
      <c r="AF3979" s="19"/>
      <c r="AG3979" s="19"/>
      <c r="AH3979" s="19"/>
      <c r="AI3979" s="19"/>
      <c r="AJ3979" s="19"/>
      <c r="AK3979" s="19"/>
      <c r="AL3979" s="6" t="str">
        <f t="array" ref="AL3979">IFERROR(IFS(XLOOKUP(B3979, 'Kit Delivery Status'!$U:$U, 'Kit Delivery Status'!$K:$K) = "Complete", "DELIVERED", XLOOKUP(B3979, 'Kit Delivery Status'!$U:$U, 'Kit Delivery Status'!$K:$K) = "Issue", "ISSUE"), "")</f>
        <v/>
      </c>
      <c r="AM3979" s="6"/>
    </row>
    <row r="3980">
      <c r="A3980" s="19"/>
      <c r="B3980" s="19"/>
      <c r="C3980" s="19"/>
      <c r="D3980" s="42"/>
      <c r="E3980" s="19"/>
      <c r="F3980" s="19"/>
      <c r="G3980" s="19"/>
      <c r="H3980" s="19"/>
      <c r="I3980" s="19"/>
      <c r="J3980" s="19"/>
      <c r="K3980" s="19"/>
      <c r="L3980" s="19"/>
      <c r="M3980" s="19"/>
      <c r="N3980" s="19"/>
      <c r="O3980" s="43"/>
      <c r="P3980" s="19"/>
      <c r="Q3980" s="19"/>
      <c r="R3980" s="19"/>
      <c r="S3980" s="19"/>
      <c r="T3980" s="19"/>
      <c r="U3980" s="19"/>
      <c r="V3980" s="44"/>
      <c r="W3980" s="19"/>
      <c r="X3980" s="19"/>
      <c r="Y3980" s="19"/>
      <c r="Z3980" s="19"/>
      <c r="AA3980" s="19"/>
      <c r="AB3980" s="19"/>
      <c r="AC3980" s="19"/>
      <c r="AD3980" s="19"/>
      <c r="AE3980" s="19"/>
      <c r="AF3980" s="19"/>
      <c r="AG3980" s="19"/>
      <c r="AH3980" s="19"/>
      <c r="AI3980" s="19"/>
      <c r="AJ3980" s="19"/>
      <c r="AK3980" s="19"/>
      <c r="AL3980" s="6" t="str">
        <f t="array" ref="AL3980">IFERROR(IFS(XLOOKUP(B3980, 'Kit Delivery Status'!$U:$U, 'Kit Delivery Status'!$K:$K) = "Complete", "DELIVERED", XLOOKUP(B3980, 'Kit Delivery Status'!$U:$U, 'Kit Delivery Status'!$K:$K) = "Issue", "ISSUE"), "")</f>
        <v/>
      </c>
      <c r="AM3980" s="6"/>
    </row>
    <row r="3981">
      <c r="A3981" s="19"/>
      <c r="B3981" s="19"/>
      <c r="C3981" s="19"/>
      <c r="D3981" s="42"/>
      <c r="E3981" s="19"/>
      <c r="F3981" s="19"/>
      <c r="G3981" s="19"/>
      <c r="H3981" s="19"/>
      <c r="I3981" s="19"/>
      <c r="J3981" s="19"/>
      <c r="K3981" s="19"/>
      <c r="L3981" s="19"/>
      <c r="M3981" s="19"/>
      <c r="N3981" s="19"/>
      <c r="O3981" s="43"/>
      <c r="P3981" s="19"/>
      <c r="Q3981" s="19"/>
      <c r="R3981" s="19"/>
      <c r="S3981" s="19"/>
      <c r="T3981" s="19"/>
      <c r="U3981" s="19"/>
      <c r="V3981" s="44"/>
      <c r="W3981" s="19"/>
      <c r="X3981" s="19"/>
      <c r="Y3981" s="19"/>
      <c r="Z3981" s="19"/>
      <c r="AA3981" s="19"/>
      <c r="AB3981" s="19"/>
      <c r="AC3981" s="19"/>
      <c r="AD3981" s="19"/>
      <c r="AE3981" s="19"/>
      <c r="AF3981" s="19"/>
      <c r="AG3981" s="19"/>
      <c r="AH3981" s="19"/>
      <c r="AI3981" s="19"/>
      <c r="AJ3981" s="19"/>
      <c r="AK3981" s="19"/>
      <c r="AL3981" s="6" t="str">
        <f t="array" ref="AL3981">IFERROR(IFS(XLOOKUP(B3981, 'Kit Delivery Status'!$U:$U, 'Kit Delivery Status'!$K:$K) = "Complete", "DELIVERED", XLOOKUP(B3981, 'Kit Delivery Status'!$U:$U, 'Kit Delivery Status'!$K:$K) = "Issue", "ISSUE"), "")</f>
        <v/>
      </c>
      <c r="AM3981" s="6"/>
    </row>
    <row r="3982">
      <c r="A3982" s="19"/>
      <c r="B3982" s="19"/>
      <c r="C3982" s="19"/>
      <c r="D3982" s="42"/>
      <c r="E3982" s="19"/>
      <c r="F3982" s="19"/>
      <c r="G3982" s="19"/>
      <c r="H3982" s="19"/>
      <c r="I3982" s="19"/>
      <c r="J3982" s="19"/>
      <c r="K3982" s="19"/>
      <c r="L3982" s="19"/>
      <c r="M3982" s="19"/>
      <c r="N3982" s="19"/>
      <c r="O3982" s="43"/>
      <c r="P3982" s="19"/>
      <c r="Q3982" s="19"/>
      <c r="R3982" s="19"/>
      <c r="S3982" s="19"/>
      <c r="T3982" s="19"/>
      <c r="U3982" s="19"/>
      <c r="V3982" s="44"/>
      <c r="W3982" s="19"/>
      <c r="X3982" s="19"/>
      <c r="Y3982" s="19"/>
      <c r="Z3982" s="19"/>
      <c r="AA3982" s="19"/>
      <c r="AB3982" s="19"/>
      <c r="AC3982" s="19"/>
      <c r="AD3982" s="19"/>
      <c r="AE3982" s="19"/>
      <c r="AF3982" s="19"/>
      <c r="AG3982" s="19"/>
      <c r="AH3982" s="19"/>
      <c r="AI3982" s="19"/>
      <c r="AJ3982" s="19"/>
      <c r="AK3982" s="19"/>
      <c r="AL3982" s="6" t="str">
        <f t="array" ref="AL3982">IFERROR(IFS(XLOOKUP(B3982, 'Kit Delivery Status'!$U:$U, 'Kit Delivery Status'!$K:$K) = "Complete", "DELIVERED", XLOOKUP(B3982, 'Kit Delivery Status'!$U:$U, 'Kit Delivery Status'!$K:$K) = "Issue", "ISSUE"), "")</f>
        <v/>
      </c>
      <c r="AM3982" s="6"/>
    </row>
    <row r="3983">
      <c r="A3983" s="19"/>
      <c r="B3983" s="19"/>
      <c r="C3983" s="19"/>
      <c r="D3983" s="42"/>
      <c r="E3983" s="19"/>
      <c r="F3983" s="19"/>
      <c r="G3983" s="19"/>
      <c r="H3983" s="19"/>
      <c r="I3983" s="19"/>
      <c r="J3983" s="19"/>
      <c r="K3983" s="19"/>
      <c r="L3983" s="19"/>
      <c r="M3983" s="19"/>
      <c r="N3983" s="19"/>
      <c r="O3983" s="43"/>
      <c r="P3983" s="19"/>
      <c r="Q3983" s="19"/>
      <c r="R3983" s="19"/>
      <c r="S3983" s="19"/>
      <c r="T3983" s="19"/>
      <c r="U3983" s="19"/>
      <c r="V3983" s="44"/>
      <c r="W3983" s="19"/>
      <c r="X3983" s="19"/>
      <c r="Y3983" s="19"/>
      <c r="Z3983" s="19"/>
      <c r="AA3983" s="19"/>
      <c r="AB3983" s="19"/>
      <c r="AC3983" s="19"/>
      <c r="AD3983" s="19"/>
      <c r="AE3983" s="19"/>
      <c r="AF3983" s="19"/>
      <c r="AG3983" s="19"/>
      <c r="AH3983" s="19"/>
      <c r="AI3983" s="19"/>
      <c r="AJ3983" s="19"/>
      <c r="AK3983" s="19"/>
      <c r="AL3983" s="6" t="str">
        <f t="array" ref="AL3983">IFERROR(IFS(XLOOKUP(B3983, 'Kit Delivery Status'!$U:$U, 'Kit Delivery Status'!$K:$K) = "Complete", "DELIVERED", XLOOKUP(B3983, 'Kit Delivery Status'!$U:$U, 'Kit Delivery Status'!$K:$K) = "Issue", "ISSUE"), "")</f>
        <v/>
      </c>
      <c r="AM3983" s="6"/>
    </row>
    <row r="3984">
      <c r="A3984" s="19"/>
      <c r="B3984" s="19"/>
      <c r="C3984" s="19"/>
      <c r="D3984" s="42"/>
      <c r="E3984" s="19"/>
      <c r="F3984" s="19"/>
      <c r="G3984" s="19"/>
      <c r="H3984" s="19"/>
      <c r="I3984" s="19"/>
      <c r="J3984" s="19"/>
      <c r="K3984" s="19"/>
      <c r="L3984" s="19"/>
      <c r="M3984" s="19"/>
      <c r="N3984" s="19"/>
      <c r="O3984" s="43"/>
      <c r="P3984" s="19"/>
      <c r="Q3984" s="19"/>
      <c r="R3984" s="19"/>
      <c r="S3984" s="19"/>
      <c r="T3984" s="19"/>
      <c r="U3984" s="19"/>
      <c r="V3984" s="44"/>
      <c r="W3984" s="19"/>
      <c r="X3984" s="19"/>
      <c r="Y3984" s="19"/>
      <c r="Z3984" s="19"/>
      <c r="AA3984" s="19"/>
      <c r="AB3984" s="19"/>
      <c r="AC3984" s="19"/>
      <c r="AD3984" s="19"/>
      <c r="AE3984" s="19"/>
      <c r="AF3984" s="19"/>
      <c r="AG3984" s="19"/>
      <c r="AH3984" s="19"/>
      <c r="AI3984" s="19"/>
      <c r="AJ3984" s="19"/>
      <c r="AK3984" s="19"/>
      <c r="AL3984" s="6" t="str">
        <f t="array" ref="AL3984">IFERROR(IFS(XLOOKUP(B3984, 'Kit Delivery Status'!$U:$U, 'Kit Delivery Status'!$K:$K) = "Complete", "DELIVERED", XLOOKUP(B3984, 'Kit Delivery Status'!$U:$U, 'Kit Delivery Status'!$K:$K) = "Issue", "ISSUE"), "")</f>
        <v/>
      </c>
      <c r="AM3984" s="6"/>
    </row>
    <row r="3985">
      <c r="A3985" s="19"/>
      <c r="B3985" s="19"/>
      <c r="C3985" s="19"/>
      <c r="D3985" s="42"/>
      <c r="E3985" s="19"/>
      <c r="F3985" s="19"/>
      <c r="G3985" s="19"/>
      <c r="H3985" s="19"/>
      <c r="I3985" s="19"/>
      <c r="J3985" s="19"/>
      <c r="K3985" s="19"/>
      <c r="L3985" s="19"/>
      <c r="M3985" s="19"/>
      <c r="N3985" s="19"/>
      <c r="O3985" s="43"/>
      <c r="P3985" s="19"/>
      <c r="Q3985" s="19"/>
      <c r="R3985" s="19"/>
      <c r="S3985" s="19"/>
      <c r="T3985" s="19"/>
      <c r="U3985" s="19"/>
      <c r="V3985" s="44"/>
      <c r="W3985" s="19"/>
      <c r="X3985" s="19"/>
      <c r="Y3985" s="19"/>
      <c r="Z3985" s="19"/>
      <c r="AA3985" s="19"/>
      <c r="AB3985" s="19"/>
      <c r="AC3985" s="19"/>
      <c r="AD3985" s="19"/>
      <c r="AE3985" s="19"/>
      <c r="AF3985" s="19"/>
      <c r="AG3985" s="19"/>
      <c r="AH3985" s="19"/>
      <c r="AI3985" s="19"/>
      <c r="AJ3985" s="19"/>
      <c r="AK3985" s="19"/>
      <c r="AL3985" s="6" t="str">
        <f t="array" ref="AL3985">IFERROR(IFS(XLOOKUP(B3985, 'Kit Delivery Status'!$U:$U, 'Kit Delivery Status'!$K:$K) = "Complete", "DELIVERED", XLOOKUP(B3985, 'Kit Delivery Status'!$U:$U, 'Kit Delivery Status'!$K:$K) = "Issue", "ISSUE"), "")</f>
        <v/>
      </c>
      <c r="AM3985" s="6"/>
    </row>
    <row r="3986">
      <c r="A3986" s="19"/>
      <c r="B3986" s="19"/>
      <c r="C3986" s="19"/>
      <c r="D3986" s="42"/>
      <c r="E3986" s="19"/>
      <c r="F3986" s="19"/>
      <c r="G3986" s="19"/>
      <c r="H3986" s="19"/>
      <c r="I3986" s="19"/>
      <c r="J3986" s="19"/>
      <c r="K3986" s="19"/>
      <c r="L3986" s="19"/>
      <c r="M3986" s="19"/>
      <c r="N3986" s="19"/>
      <c r="O3986" s="43"/>
      <c r="P3986" s="19"/>
      <c r="Q3986" s="19"/>
      <c r="R3986" s="19"/>
      <c r="S3986" s="19"/>
      <c r="T3986" s="19"/>
      <c r="U3986" s="19"/>
      <c r="V3986" s="44"/>
      <c r="W3986" s="19"/>
      <c r="X3986" s="19"/>
      <c r="Y3986" s="19"/>
      <c r="Z3986" s="19"/>
      <c r="AA3986" s="19"/>
      <c r="AB3986" s="19"/>
      <c r="AC3986" s="19"/>
      <c r="AD3986" s="19"/>
      <c r="AE3986" s="19"/>
      <c r="AF3986" s="19"/>
      <c r="AG3986" s="19"/>
      <c r="AH3986" s="19"/>
      <c r="AI3986" s="19"/>
      <c r="AJ3986" s="19"/>
      <c r="AK3986" s="19"/>
      <c r="AL3986" s="6" t="str">
        <f t="array" ref="AL3986">IFERROR(IFS(XLOOKUP(B3986, 'Kit Delivery Status'!$U:$U, 'Kit Delivery Status'!$K:$K) = "Complete", "DELIVERED", XLOOKUP(B3986, 'Kit Delivery Status'!$U:$U, 'Kit Delivery Status'!$K:$K) = "Issue", "ISSUE"), "")</f>
        <v/>
      </c>
      <c r="AM3986" s="6"/>
    </row>
    <row r="3987">
      <c r="A3987" s="19"/>
      <c r="B3987" s="19"/>
      <c r="C3987" s="19"/>
      <c r="D3987" s="42"/>
      <c r="E3987" s="19"/>
      <c r="F3987" s="19"/>
      <c r="G3987" s="19"/>
      <c r="H3987" s="19"/>
      <c r="I3987" s="19"/>
      <c r="J3987" s="19"/>
      <c r="K3987" s="19"/>
      <c r="L3987" s="19"/>
      <c r="M3987" s="19"/>
      <c r="N3987" s="19"/>
      <c r="O3987" s="43"/>
      <c r="P3987" s="19"/>
      <c r="Q3987" s="19"/>
      <c r="R3987" s="19"/>
      <c r="S3987" s="19"/>
      <c r="T3987" s="19"/>
      <c r="U3987" s="19"/>
      <c r="V3987" s="44"/>
      <c r="W3987" s="19"/>
      <c r="X3987" s="19"/>
      <c r="Y3987" s="19"/>
      <c r="Z3987" s="19"/>
      <c r="AA3987" s="19"/>
      <c r="AB3987" s="19"/>
      <c r="AC3987" s="19"/>
      <c r="AD3987" s="19"/>
      <c r="AE3987" s="19"/>
      <c r="AF3987" s="19"/>
      <c r="AG3987" s="19"/>
      <c r="AH3987" s="19"/>
      <c r="AI3987" s="19"/>
      <c r="AJ3987" s="19"/>
      <c r="AK3987" s="19"/>
      <c r="AL3987" s="6" t="str">
        <f t="array" ref="AL3987">IFERROR(IFS(XLOOKUP(B3987, 'Kit Delivery Status'!$U:$U, 'Kit Delivery Status'!$K:$K) = "Complete", "DELIVERED", XLOOKUP(B3987, 'Kit Delivery Status'!$U:$U, 'Kit Delivery Status'!$K:$K) = "Issue", "ISSUE"), "")</f>
        <v/>
      </c>
      <c r="AM3987" s="6"/>
    </row>
    <row r="3988">
      <c r="A3988" s="19"/>
      <c r="B3988" s="19"/>
      <c r="C3988" s="19"/>
      <c r="D3988" s="42"/>
      <c r="E3988" s="19"/>
      <c r="F3988" s="19"/>
      <c r="G3988" s="19"/>
      <c r="H3988" s="19"/>
      <c r="I3988" s="19"/>
      <c r="J3988" s="19"/>
      <c r="K3988" s="19"/>
      <c r="L3988" s="19"/>
      <c r="M3988" s="19"/>
      <c r="N3988" s="19"/>
      <c r="O3988" s="43"/>
      <c r="P3988" s="19"/>
      <c r="Q3988" s="19"/>
      <c r="R3988" s="19"/>
      <c r="S3988" s="19"/>
      <c r="T3988" s="19"/>
      <c r="U3988" s="19"/>
      <c r="V3988" s="44"/>
      <c r="W3988" s="19"/>
      <c r="X3988" s="19"/>
      <c r="Y3988" s="19"/>
      <c r="Z3988" s="19"/>
      <c r="AA3988" s="19"/>
      <c r="AB3988" s="19"/>
      <c r="AC3988" s="19"/>
      <c r="AD3988" s="19"/>
      <c r="AE3988" s="19"/>
      <c r="AF3988" s="19"/>
      <c r="AG3988" s="19"/>
      <c r="AH3988" s="19"/>
      <c r="AI3988" s="19"/>
      <c r="AJ3988" s="19"/>
      <c r="AK3988" s="19"/>
      <c r="AL3988" s="6" t="str">
        <f t="array" ref="AL3988">IFERROR(IFS(XLOOKUP(B3988, 'Kit Delivery Status'!$U:$U, 'Kit Delivery Status'!$K:$K) = "Complete", "DELIVERED", XLOOKUP(B3988, 'Kit Delivery Status'!$U:$U, 'Kit Delivery Status'!$K:$K) = "Issue", "ISSUE"), "")</f>
        <v/>
      </c>
      <c r="AM3988" s="6"/>
    </row>
    <row r="3989">
      <c r="A3989" s="19"/>
      <c r="B3989" s="19"/>
      <c r="C3989" s="19"/>
      <c r="D3989" s="42"/>
      <c r="E3989" s="19"/>
      <c r="F3989" s="19"/>
      <c r="G3989" s="19"/>
      <c r="H3989" s="19"/>
      <c r="I3989" s="19"/>
      <c r="J3989" s="19"/>
      <c r="K3989" s="19"/>
      <c r="L3989" s="19"/>
      <c r="M3989" s="19"/>
      <c r="N3989" s="19"/>
      <c r="O3989" s="43"/>
      <c r="P3989" s="19"/>
      <c r="Q3989" s="19"/>
      <c r="R3989" s="19"/>
      <c r="S3989" s="19"/>
      <c r="T3989" s="19"/>
      <c r="U3989" s="19"/>
      <c r="V3989" s="44"/>
      <c r="W3989" s="19"/>
      <c r="X3989" s="19"/>
      <c r="Y3989" s="19"/>
      <c r="Z3989" s="19"/>
      <c r="AA3989" s="19"/>
      <c r="AB3989" s="19"/>
      <c r="AC3989" s="19"/>
      <c r="AD3989" s="19"/>
      <c r="AE3989" s="19"/>
      <c r="AF3989" s="19"/>
      <c r="AG3989" s="19"/>
      <c r="AH3989" s="19"/>
      <c r="AI3989" s="19"/>
      <c r="AJ3989" s="19"/>
      <c r="AK3989" s="19"/>
      <c r="AL3989" s="6" t="str">
        <f t="array" ref="AL3989">IFERROR(IFS(XLOOKUP(B3989, 'Kit Delivery Status'!$U:$U, 'Kit Delivery Status'!$K:$K) = "Complete", "DELIVERED", XLOOKUP(B3989, 'Kit Delivery Status'!$U:$U, 'Kit Delivery Status'!$K:$K) = "Issue", "ISSUE"), "")</f>
        <v/>
      </c>
      <c r="AM3989" s="6"/>
    </row>
    <row r="3990">
      <c r="A3990" s="19"/>
      <c r="B3990" s="19"/>
      <c r="C3990" s="19"/>
      <c r="D3990" s="42"/>
      <c r="E3990" s="19"/>
      <c r="F3990" s="19"/>
      <c r="G3990" s="19"/>
      <c r="H3990" s="19"/>
      <c r="I3990" s="19"/>
      <c r="J3990" s="19"/>
      <c r="K3990" s="19"/>
      <c r="L3990" s="19"/>
      <c r="M3990" s="19"/>
      <c r="N3990" s="19"/>
      <c r="O3990" s="43"/>
      <c r="P3990" s="19"/>
      <c r="Q3990" s="19"/>
      <c r="R3990" s="19"/>
      <c r="S3990" s="19"/>
      <c r="T3990" s="19"/>
      <c r="U3990" s="19"/>
      <c r="V3990" s="44"/>
      <c r="W3990" s="19"/>
      <c r="X3990" s="19"/>
      <c r="Y3990" s="19"/>
      <c r="Z3990" s="19"/>
      <c r="AA3990" s="19"/>
      <c r="AB3990" s="19"/>
      <c r="AC3990" s="19"/>
      <c r="AD3990" s="19"/>
      <c r="AE3990" s="19"/>
      <c r="AF3990" s="19"/>
      <c r="AG3990" s="19"/>
      <c r="AH3990" s="19"/>
      <c r="AI3990" s="19"/>
      <c r="AJ3990" s="19"/>
      <c r="AK3990" s="19"/>
      <c r="AL3990" s="6" t="str">
        <f t="array" ref="AL3990">IFERROR(IFS(XLOOKUP(B3990, 'Kit Delivery Status'!$U:$U, 'Kit Delivery Status'!$K:$K) = "Complete", "DELIVERED", XLOOKUP(B3990, 'Kit Delivery Status'!$U:$U, 'Kit Delivery Status'!$K:$K) = "Issue", "ISSUE"), "")</f>
        <v/>
      </c>
      <c r="AM3990" s="6"/>
    </row>
    <row r="3991">
      <c r="A3991" s="19"/>
      <c r="B3991" s="19"/>
      <c r="C3991" s="19"/>
      <c r="D3991" s="42"/>
      <c r="E3991" s="19"/>
      <c r="F3991" s="19"/>
      <c r="G3991" s="19"/>
      <c r="H3991" s="19"/>
      <c r="I3991" s="19"/>
      <c r="J3991" s="19"/>
      <c r="K3991" s="19"/>
      <c r="L3991" s="19"/>
      <c r="M3991" s="19"/>
      <c r="N3991" s="19"/>
      <c r="O3991" s="43"/>
      <c r="P3991" s="19"/>
      <c r="Q3991" s="19"/>
      <c r="R3991" s="19"/>
      <c r="S3991" s="19"/>
      <c r="T3991" s="19"/>
      <c r="U3991" s="19"/>
      <c r="V3991" s="44"/>
      <c r="W3991" s="19"/>
      <c r="X3991" s="19"/>
      <c r="Y3991" s="19"/>
      <c r="Z3991" s="19"/>
      <c r="AA3991" s="19"/>
      <c r="AB3991" s="19"/>
      <c r="AC3991" s="19"/>
      <c r="AD3991" s="19"/>
      <c r="AE3991" s="19"/>
      <c r="AF3991" s="19"/>
      <c r="AG3991" s="19"/>
      <c r="AH3991" s="19"/>
      <c r="AI3991" s="19"/>
      <c r="AJ3991" s="19"/>
      <c r="AK3991" s="19"/>
      <c r="AL3991" s="6" t="str">
        <f t="array" ref="AL3991">IFERROR(IFS(XLOOKUP(B3991, 'Kit Delivery Status'!$U:$U, 'Kit Delivery Status'!$K:$K) = "Complete", "DELIVERED", XLOOKUP(B3991, 'Kit Delivery Status'!$U:$U, 'Kit Delivery Status'!$K:$K) = "Issue", "ISSUE"), "")</f>
        <v/>
      </c>
      <c r="AM3991" s="6"/>
    </row>
    <row r="3992">
      <c r="A3992" s="19"/>
      <c r="B3992" s="19"/>
      <c r="C3992" s="19"/>
      <c r="D3992" s="42"/>
      <c r="E3992" s="19"/>
      <c r="F3992" s="19"/>
      <c r="G3992" s="19"/>
      <c r="H3992" s="19"/>
      <c r="I3992" s="19"/>
      <c r="J3992" s="19"/>
      <c r="K3992" s="19"/>
      <c r="L3992" s="19"/>
      <c r="M3992" s="19"/>
      <c r="N3992" s="19"/>
      <c r="O3992" s="43"/>
      <c r="P3992" s="19"/>
      <c r="Q3992" s="19"/>
      <c r="R3992" s="19"/>
      <c r="S3992" s="19"/>
      <c r="T3992" s="19"/>
      <c r="U3992" s="19"/>
      <c r="V3992" s="44"/>
      <c r="W3992" s="19"/>
      <c r="X3992" s="19"/>
      <c r="Y3992" s="19"/>
      <c r="Z3992" s="19"/>
      <c r="AA3992" s="19"/>
      <c r="AB3992" s="19"/>
      <c r="AC3992" s="19"/>
      <c r="AD3992" s="19"/>
      <c r="AE3992" s="19"/>
      <c r="AF3992" s="19"/>
      <c r="AG3992" s="19"/>
      <c r="AH3992" s="19"/>
      <c r="AI3992" s="19"/>
      <c r="AJ3992" s="19"/>
      <c r="AK3992" s="19"/>
      <c r="AL3992" s="6" t="str">
        <f t="array" ref="AL3992">IFERROR(IFS(XLOOKUP(B3992, 'Kit Delivery Status'!$U:$U, 'Kit Delivery Status'!$K:$K) = "Complete", "DELIVERED", XLOOKUP(B3992, 'Kit Delivery Status'!$U:$U, 'Kit Delivery Status'!$K:$K) = "Issue", "ISSUE"), "")</f>
        <v/>
      </c>
      <c r="AM3992" s="6"/>
    </row>
    <row r="3993">
      <c r="A3993" s="19"/>
      <c r="B3993" s="19"/>
      <c r="C3993" s="19"/>
      <c r="D3993" s="42"/>
      <c r="E3993" s="19"/>
      <c r="F3993" s="19"/>
      <c r="G3993" s="19"/>
      <c r="H3993" s="19"/>
      <c r="I3993" s="19"/>
      <c r="J3993" s="19"/>
      <c r="K3993" s="19"/>
      <c r="L3993" s="19"/>
      <c r="M3993" s="19"/>
      <c r="N3993" s="19"/>
      <c r="O3993" s="43"/>
      <c r="P3993" s="19"/>
      <c r="Q3993" s="19"/>
      <c r="R3993" s="19"/>
      <c r="S3993" s="19"/>
      <c r="T3993" s="19"/>
      <c r="U3993" s="19"/>
      <c r="V3993" s="44"/>
      <c r="W3993" s="19"/>
      <c r="X3993" s="19"/>
      <c r="Y3993" s="19"/>
      <c r="Z3993" s="19"/>
      <c r="AA3993" s="19"/>
      <c r="AB3993" s="19"/>
      <c r="AC3993" s="19"/>
      <c r="AD3993" s="19"/>
      <c r="AE3993" s="19"/>
      <c r="AF3993" s="19"/>
      <c r="AG3993" s="19"/>
      <c r="AH3993" s="19"/>
      <c r="AI3993" s="19"/>
      <c r="AJ3993" s="19"/>
      <c r="AK3993" s="19"/>
      <c r="AL3993" s="6" t="str">
        <f t="array" ref="AL3993">IFERROR(IFS(XLOOKUP(B3993, 'Kit Delivery Status'!$U:$U, 'Kit Delivery Status'!$K:$K) = "Complete", "DELIVERED", XLOOKUP(B3993, 'Kit Delivery Status'!$U:$U, 'Kit Delivery Status'!$K:$K) = "Issue", "ISSUE"), "")</f>
        <v/>
      </c>
      <c r="AM3993" s="6"/>
    </row>
    <row r="3994">
      <c r="A3994" s="19"/>
      <c r="B3994" s="19"/>
      <c r="C3994" s="19"/>
      <c r="D3994" s="42"/>
      <c r="E3994" s="19"/>
      <c r="F3994" s="19"/>
      <c r="G3994" s="19"/>
      <c r="H3994" s="19"/>
      <c r="I3994" s="19"/>
      <c r="J3994" s="19"/>
      <c r="K3994" s="19"/>
      <c r="L3994" s="19"/>
      <c r="M3994" s="19"/>
      <c r="N3994" s="19"/>
      <c r="O3994" s="43"/>
      <c r="P3994" s="19"/>
      <c r="Q3994" s="19"/>
      <c r="R3994" s="19"/>
      <c r="S3994" s="19"/>
      <c r="T3994" s="19"/>
      <c r="U3994" s="19"/>
      <c r="V3994" s="44"/>
      <c r="W3994" s="19"/>
      <c r="X3994" s="19"/>
      <c r="Y3994" s="19"/>
      <c r="Z3994" s="19"/>
      <c r="AA3994" s="19"/>
      <c r="AB3994" s="19"/>
      <c r="AC3994" s="19"/>
      <c r="AD3994" s="19"/>
      <c r="AE3994" s="19"/>
      <c r="AF3994" s="19"/>
      <c r="AG3994" s="19"/>
      <c r="AH3994" s="19"/>
      <c r="AI3994" s="19"/>
      <c r="AJ3994" s="19"/>
      <c r="AK3994" s="19"/>
      <c r="AL3994" s="6" t="str">
        <f t="array" ref="AL3994">IFERROR(IFS(XLOOKUP(B3994, 'Kit Delivery Status'!$U:$U, 'Kit Delivery Status'!$K:$K) = "Complete", "DELIVERED", XLOOKUP(B3994, 'Kit Delivery Status'!$U:$U, 'Kit Delivery Status'!$K:$K) = "Issue", "ISSUE"), "")</f>
        <v/>
      </c>
      <c r="AM3994" s="6"/>
    </row>
    <row r="3995">
      <c r="A3995" s="19"/>
      <c r="B3995" s="19"/>
      <c r="C3995" s="19"/>
      <c r="D3995" s="42"/>
      <c r="E3995" s="19"/>
      <c r="F3995" s="19"/>
      <c r="G3995" s="19"/>
      <c r="H3995" s="19"/>
      <c r="I3995" s="19"/>
      <c r="J3995" s="19"/>
      <c r="K3995" s="19"/>
      <c r="L3995" s="19"/>
      <c r="M3995" s="19"/>
      <c r="N3995" s="19"/>
      <c r="O3995" s="43"/>
      <c r="P3995" s="19"/>
      <c r="Q3995" s="19"/>
      <c r="R3995" s="19"/>
      <c r="S3995" s="19"/>
      <c r="T3995" s="19"/>
      <c r="U3995" s="19"/>
      <c r="V3995" s="44"/>
      <c r="W3995" s="19"/>
      <c r="X3995" s="19"/>
      <c r="Y3995" s="19"/>
      <c r="Z3995" s="19"/>
      <c r="AA3995" s="19"/>
      <c r="AB3995" s="19"/>
      <c r="AC3995" s="19"/>
      <c r="AD3995" s="19"/>
      <c r="AE3995" s="19"/>
      <c r="AF3995" s="19"/>
      <c r="AG3995" s="19"/>
      <c r="AH3995" s="19"/>
      <c r="AI3995" s="19"/>
      <c r="AJ3995" s="19"/>
      <c r="AK3995" s="19"/>
      <c r="AL3995" s="6" t="str">
        <f t="array" ref="AL3995">IFERROR(IFS(XLOOKUP(B3995, 'Kit Delivery Status'!$U:$U, 'Kit Delivery Status'!$K:$K) = "Complete", "DELIVERED", XLOOKUP(B3995, 'Kit Delivery Status'!$U:$U, 'Kit Delivery Status'!$K:$K) = "Issue", "ISSUE"), "")</f>
        <v/>
      </c>
      <c r="AM3995" s="6"/>
    </row>
    <row r="3996">
      <c r="A3996" s="19"/>
      <c r="B3996" s="19"/>
      <c r="C3996" s="19"/>
      <c r="D3996" s="42"/>
      <c r="E3996" s="19"/>
      <c r="F3996" s="19"/>
      <c r="G3996" s="19"/>
      <c r="H3996" s="19"/>
      <c r="I3996" s="19"/>
      <c r="J3996" s="19"/>
      <c r="K3996" s="19"/>
      <c r="L3996" s="19"/>
      <c r="M3996" s="19"/>
      <c r="N3996" s="19"/>
      <c r="O3996" s="43"/>
      <c r="P3996" s="19"/>
      <c r="Q3996" s="19"/>
      <c r="R3996" s="19"/>
      <c r="S3996" s="19"/>
      <c r="T3996" s="19"/>
      <c r="U3996" s="19"/>
      <c r="V3996" s="44"/>
      <c r="W3996" s="19"/>
      <c r="X3996" s="19"/>
      <c r="Y3996" s="19"/>
      <c r="Z3996" s="19"/>
      <c r="AA3996" s="19"/>
      <c r="AB3996" s="19"/>
      <c r="AC3996" s="19"/>
      <c r="AD3996" s="19"/>
      <c r="AE3996" s="19"/>
      <c r="AF3996" s="19"/>
      <c r="AG3996" s="19"/>
      <c r="AH3996" s="19"/>
      <c r="AI3996" s="19"/>
      <c r="AJ3996" s="19"/>
      <c r="AK3996" s="19"/>
      <c r="AL3996" s="6" t="str">
        <f t="array" ref="AL3996">IFERROR(IFS(XLOOKUP(B3996, 'Kit Delivery Status'!$U:$U, 'Kit Delivery Status'!$K:$K) = "Complete", "DELIVERED", XLOOKUP(B3996, 'Kit Delivery Status'!$U:$U, 'Kit Delivery Status'!$K:$K) = "Issue", "ISSUE"), "")</f>
        <v/>
      </c>
      <c r="AM3996" s="6"/>
    </row>
    <row r="3997">
      <c r="A3997" s="19"/>
      <c r="B3997" s="19"/>
      <c r="C3997" s="19"/>
      <c r="D3997" s="42"/>
      <c r="E3997" s="19"/>
      <c r="F3997" s="19"/>
      <c r="G3997" s="19"/>
      <c r="H3997" s="19"/>
      <c r="I3997" s="19"/>
      <c r="J3997" s="19"/>
      <c r="K3997" s="19"/>
      <c r="L3997" s="19"/>
      <c r="M3997" s="19"/>
      <c r="N3997" s="19"/>
      <c r="O3997" s="43"/>
      <c r="P3997" s="19"/>
      <c r="Q3997" s="19"/>
      <c r="R3997" s="19"/>
      <c r="S3997" s="19"/>
      <c r="T3997" s="19"/>
      <c r="U3997" s="19"/>
      <c r="V3997" s="44"/>
      <c r="W3997" s="19"/>
      <c r="X3997" s="19"/>
      <c r="Y3997" s="19"/>
      <c r="Z3997" s="19"/>
      <c r="AA3997" s="19"/>
      <c r="AB3997" s="19"/>
      <c r="AC3997" s="19"/>
      <c r="AD3997" s="19"/>
      <c r="AE3997" s="19"/>
      <c r="AF3997" s="19"/>
      <c r="AG3997" s="19"/>
      <c r="AH3997" s="19"/>
      <c r="AI3997" s="19"/>
      <c r="AJ3997" s="19"/>
      <c r="AK3997" s="19"/>
      <c r="AL3997" s="6" t="str">
        <f t="array" ref="AL3997">IFERROR(IFS(XLOOKUP(B3997, 'Kit Delivery Status'!$U:$U, 'Kit Delivery Status'!$K:$K) = "Complete", "DELIVERED", XLOOKUP(B3997, 'Kit Delivery Status'!$U:$U, 'Kit Delivery Status'!$K:$K) = "Issue", "ISSUE"), "")</f>
        <v/>
      </c>
      <c r="AM3997" s="6"/>
    </row>
    <row r="3998">
      <c r="A3998" s="19"/>
      <c r="B3998" s="19"/>
      <c r="C3998" s="19"/>
      <c r="D3998" s="42"/>
      <c r="E3998" s="19"/>
      <c r="F3998" s="19"/>
      <c r="G3998" s="19"/>
      <c r="H3998" s="19"/>
      <c r="I3998" s="19"/>
      <c r="J3998" s="19"/>
      <c r="K3998" s="19"/>
      <c r="L3998" s="19"/>
      <c r="M3998" s="19"/>
      <c r="N3998" s="19"/>
      <c r="O3998" s="43"/>
      <c r="P3998" s="19"/>
      <c r="Q3998" s="19"/>
      <c r="R3998" s="19"/>
      <c r="S3998" s="19"/>
      <c r="T3998" s="19"/>
      <c r="U3998" s="19"/>
      <c r="V3998" s="44"/>
      <c r="W3998" s="19"/>
      <c r="X3998" s="19"/>
      <c r="Y3998" s="19"/>
      <c r="Z3998" s="19"/>
      <c r="AA3998" s="19"/>
      <c r="AB3998" s="19"/>
      <c r="AC3998" s="19"/>
      <c r="AD3998" s="19"/>
      <c r="AE3998" s="19"/>
      <c r="AF3998" s="19"/>
      <c r="AG3998" s="19"/>
      <c r="AH3998" s="19"/>
      <c r="AI3998" s="19"/>
      <c r="AJ3998" s="19"/>
      <c r="AK3998" s="19"/>
      <c r="AL3998" s="6" t="str">
        <f t="array" ref="AL3998">IFERROR(IFS(XLOOKUP(B3998, 'Kit Delivery Status'!$U:$U, 'Kit Delivery Status'!$K:$K) = "Complete", "DELIVERED", XLOOKUP(B3998, 'Kit Delivery Status'!$U:$U, 'Kit Delivery Status'!$K:$K) = "Issue", "ISSUE"), "")</f>
        <v/>
      </c>
      <c r="AM3998" s="6"/>
    </row>
    <row r="3999">
      <c r="A3999" s="19"/>
      <c r="B3999" s="19"/>
      <c r="C3999" s="19"/>
      <c r="D3999" s="42"/>
      <c r="E3999" s="19"/>
      <c r="F3999" s="19"/>
      <c r="G3999" s="19"/>
      <c r="H3999" s="19"/>
      <c r="I3999" s="19"/>
      <c r="J3999" s="19"/>
      <c r="K3999" s="19"/>
      <c r="L3999" s="19"/>
      <c r="M3999" s="19"/>
      <c r="N3999" s="19"/>
      <c r="O3999" s="43"/>
      <c r="P3999" s="19"/>
      <c r="Q3999" s="19"/>
      <c r="R3999" s="19"/>
      <c r="S3999" s="19"/>
      <c r="T3999" s="19"/>
      <c r="U3999" s="19"/>
      <c r="V3999" s="44"/>
      <c r="W3999" s="19"/>
      <c r="X3999" s="19"/>
      <c r="Y3999" s="19"/>
      <c r="Z3999" s="19"/>
      <c r="AA3999" s="19"/>
      <c r="AB3999" s="19"/>
      <c r="AC3999" s="19"/>
      <c r="AD3999" s="19"/>
      <c r="AE3999" s="19"/>
      <c r="AF3999" s="19"/>
      <c r="AG3999" s="19"/>
      <c r="AH3999" s="19"/>
      <c r="AI3999" s="19"/>
      <c r="AJ3999" s="19"/>
      <c r="AK3999" s="19"/>
      <c r="AL3999" s="6" t="str">
        <f t="array" ref="AL3999">IFERROR(IFS(XLOOKUP(B3999, 'Kit Delivery Status'!$U:$U, 'Kit Delivery Status'!$K:$K) = "Complete", "DELIVERED", XLOOKUP(B3999, 'Kit Delivery Status'!$U:$U, 'Kit Delivery Status'!$K:$K) = "Issue", "ISSUE"), "")</f>
        <v/>
      </c>
      <c r="AM3999" s="6"/>
    </row>
    <row r="4000">
      <c r="A4000" s="19"/>
      <c r="B4000" s="19"/>
      <c r="C4000" s="19"/>
      <c r="D4000" s="42"/>
      <c r="E4000" s="19"/>
      <c r="F4000" s="19"/>
      <c r="G4000" s="19"/>
      <c r="H4000" s="19"/>
      <c r="I4000" s="19"/>
      <c r="J4000" s="19"/>
      <c r="K4000" s="19"/>
      <c r="L4000" s="19"/>
      <c r="M4000" s="19"/>
      <c r="N4000" s="19"/>
      <c r="O4000" s="43"/>
      <c r="P4000" s="19"/>
      <c r="Q4000" s="19"/>
      <c r="R4000" s="19"/>
      <c r="S4000" s="19"/>
      <c r="T4000" s="19"/>
      <c r="U4000" s="19"/>
      <c r="V4000" s="44"/>
      <c r="W4000" s="19"/>
      <c r="X4000" s="19"/>
      <c r="Y4000" s="19"/>
      <c r="Z4000" s="19"/>
      <c r="AA4000" s="19"/>
      <c r="AB4000" s="19"/>
      <c r="AC4000" s="19"/>
      <c r="AD4000" s="19"/>
      <c r="AE4000" s="19"/>
      <c r="AF4000" s="19"/>
      <c r="AG4000" s="19"/>
      <c r="AH4000" s="19"/>
      <c r="AI4000" s="19"/>
      <c r="AJ4000" s="19"/>
      <c r="AK4000" s="19"/>
      <c r="AL4000" s="6" t="str">
        <f t="array" ref="AL4000">IFERROR(IFS(XLOOKUP(B4000, 'Kit Delivery Status'!$U:$U, 'Kit Delivery Status'!$K:$K) = "Complete", "DELIVERED", XLOOKUP(B4000, 'Kit Delivery Status'!$U:$U, 'Kit Delivery Status'!$K:$K) = "Issue", "ISSUE"), "")</f>
        <v/>
      </c>
      <c r="AM4000" s="6"/>
    </row>
    <row r="4001">
      <c r="A4001" s="19"/>
      <c r="B4001" s="19"/>
      <c r="C4001" s="19"/>
      <c r="D4001" s="42"/>
      <c r="E4001" s="19"/>
      <c r="F4001" s="19"/>
      <c r="G4001" s="19"/>
      <c r="H4001" s="19"/>
      <c r="I4001" s="19"/>
      <c r="J4001" s="19"/>
      <c r="K4001" s="19"/>
      <c r="L4001" s="19"/>
      <c r="M4001" s="19"/>
      <c r="N4001" s="19"/>
      <c r="O4001" s="43"/>
      <c r="P4001" s="19"/>
      <c r="Q4001" s="19"/>
      <c r="R4001" s="19"/>
      <c r="S4001" s="19"/>
      <c r="T4001" s="19"/>
      <c r="U4001" s="19"/>
      <c r="V4001" s="44"/>
      <c r="W4001" s="19"/>
      <c r="X4001" s="19"/>
      <c r="Y4001" s="19"/>
      <c r="Z4001" s="19"/>
      <c r="AA4001" s="19"/>
      <c r="AB4001" s="19"/>
      <c r="AC4001" s="19"/>
      <c r="AD4001" s="19"/>
      <c r="AE4001" s="19"/>
      <c r="AF4001" s="19"/>
      <c r="AG4001" s="19"/>
      <c r="AH4001" s="19"/>
      <c r="AI4001" s="19"/>
      <c r="AJ4001" s="19"/>
      <c r="AK4001" s="19"/>
      <c r="AL4001" s="6" t="str">
        <f t="array" ref="AL4001">IFERROR(IFS(XLOOKUP(B4001, 'Kit Delivery Status'!$U:$U, 'Kit Delivery Status'!$K:$K) = "Complete", "DELIVERED", XLOOKUP(B4001, 'Kit Delivery Status'!$U:$U, 'Kit Delivery Status'!$K:$K) = "Issue", "ISSUE"), "")</f>
        <v/>
      </c>
      <c r="AM4001" s="6"/>
    </row>
    <row r="4002">
      <c r="A4002" s="19"/>
      <c r="B4002" s="19"/>
      <c r="C4002" s="19"/>
      <c r="D4002" s="42"/>
      <c r="E4002" s="19"/>
      <c r="F4002" s="19"/>
      <c r="G4002" s="19"/>
      <c r="H4002" s="19"/>
      <c r="I4002" s="19"/>
      <c r="J4002" s="19"/>
      <c r="K4002" s="19"/>
      <c r="L4002" s="19"/>
      <c r="M4002" s="19"/>
      <c r="N4002" s="19"/>
      <c r="O4002" s="43"/>
      <c r="P4002" s="19"/>
      <c r="Q4002" s="19"/>
      <c r="R4002" s="19"/>
      <c r="S4002" s="19"/>
      <c r="T4002" s="19"/>
      <c r="U4002" s="19"/>
      <c r="V4002" s="44"/>
      <c r="W4002" s="19"/>
      <c r="X4002" s="19"/>
      <c r="Y4002" s="19"/>
      <c r="Z4002" s="19"/>
      <c r="AA4002" s="19"/>
      <c r="AB4002" s="19"/>
      <c r="AC4002" s="19"/>
      <c r="AD4002" s="19"/>
      <c r="AE4002" s="19"/>
      <c r="AF4002" s="19"/>
      <c r="AG4002" s="19"/>
      <c r="AH4002" s="19"/>
      <c r="AI4002" s="19"/>
      <c r="AJ4002" s="19"/>
      <c r="AK4002" s="19"/>
      <c r="AL4002" s="6" t="str">
        <f t="array" ref="AL4002">IFERROR(IFS(XLOOKUP(B4002, 'Kit Delivery Status'!$U:$U, 'Kit Delivery Status'!$K:$K) = "Complete", "DELIVERED", XLOOKUP(B4002, 'Kit Delivery Status'!$U:$U, 'Kit Delivery Status'!$K:$K) = "Issue", "ISSUE"), "")</f>
        <v/>
      </c>
      <c r="AM4002" s="6"/>
    </row>
    <row r="4003">
      <c r="A4003" s="19"/>
      <c r="B4003" s="19"/>
      <c r="C4003" s="19"/>
      <c r="D4003" s="42"/>
      <c r="E4003" s="19"/>
      <c r="F4003" s="19"/>
      <c r="G4003" s="19"/>
      <c r="H4003" s="19"/>
      <c r="I4003" s="19"/>
      <c r="J4003" s="19"/>
      <c r="K4003" s="19"/>
      <c r="L4003" s="19"/>
      <c r="M4003" s="19"/>
      <c r="N4003" s="19"/>
      <c r="O4003" s="43"/>
      <c r="P4003" s="19"/>
      <c r="Q4003" s="19"/>
      <c r="R4003" s="19"/>
      <c r="S4003" s="19"/>
      <c r="T4003" s="19"/>
      <c r="U4003" s="19"/>
      <c r="V4003" s="44"/>
      <c r="W4003" s="19"/>
      <c r="X4003" s="19"/>
      <c r="Y4003" s="19"/>
      <c r="Z4003" s="19"/>
      <c r="AA4003" s="19"/>
      <c r="AB4003" s="19"/>
      <c r="AC4003" s="19"/>
      <c r="AD4003" s="19"/>
      <c r="AE4003" s="19"/>
      <c r="AF4003" s="19"/>
      <c r="AG4003" s="19"/>
      <c r="AH4003" s="19"/>
      <c r="AI4003" s="19"/>
      <c r="AJ4003" s="19"/>
      <c r="AK4003" s="19"/>
      <c r="AL4003" s="6" t="str">
        <f t="array" ref="AL4003">IFERROR(IFS(XLOOKUP(B4003, 'Kit Delivery Status'!$U:$U, 'Kit Delivery Status'!$K:$K) = "Complete", "DELIVERED", XLOOKUP(B4003, 'Kit Delivery Status'!$U:$U, 'Kit Delivery Status'!$K:$K) = "Issue", "ISSUE"), "")</f>
        <v/>
      </c>
      <c r="AM4003" s="6"/>
    </row>
    <row r="4004">
      <c r="A4004" s="19"/>
      <c r="B4004" s="19"/>
      <c r="C4004" s="19"/>
      <c r="D4004" s="42"/>
      <c r="E4004" s="19"/>
      <c r="F4004" s="19"/>
      <c r="G4004" s="19"/>
      <c r="H4004" s="19"/>
      <c r="I4004" s="19"/>
      <c r="J4004" s="19"/>
      <c r="K4004" s="19"/>
      <c r="L4004" s="19"/>
      <c r="M4004" s="19"/>
      <c r="N4004" s="19"/>
      <c r="O4004" s="43"/>
      <c r="P4004" s="19"/>
      <c r="Q4004" s="19"/>
      <c r="R4004" s="19"/>
      <c r="S4004" s="19"/>
      <c r="T4004" s="19"/>
      <c r="U4004" s="19"/>
      <c r="V4004" s="44"/>
      <c r="W4004" s="19"/>
      <c r="X4004" s="19"/>
      <c r="Y4004" s="19"/>
      <c r="Z4004" s="19"/>
      <c r="AA4004" s="19"/>
      <c r="AB4004" s="19"/>
      <c r="AC4004" s="19"/>
      <c r="AD4004" s="19"/>
      <c r="AE4004" s="19"/>
      <c r="AF4004" s="19"/>
      <c r="AG4004" s="19"/>
      <c r="AH4004" s="19"/>
      <c r="AI4004" s="19"/>
      <c r="AJ4004" s="19"/>
      <c r="AK4004" s="19"/>
      <c r="AL4004" s="6" t="str">
        <f t="array" ref="AL4004">IFERROR(IFS(XLOOKUP(B4004, 'Kit Delivery Status'!$U:$U, 'Kit Delivery Status'!$K:$K) = "Complete", "DELIVERED", XLOOKUP(B4004, 'Kit Delivery Status'!$U:$U, 'Kit Delivery Status'!$K:$K) = "Issue", "ISSUE"), "")</f>
        <v/>
      </c>
      <c r="AM4004" s="6"/>
    </row>
    <row r="4005">
      <c r="A4005" s="19"/>
      <c r="B4005" s="19"/>
      <c r="C4005" s="19"/>
      <c r="D4005" s="42"/>
      <c r="E4005" s="19"/>
      <c r="F4005" s="19"/>
      <c r="G4005" s="19"/>
      <c r="H4005" s="19"/>
      <c r="I4005" s="19"/>
      <c r="J4005" s="19"/>
      <c r="K4005" s="19"/>
      <c r="L4005" s="19"/>
      <c r="M4005" s="19"/>
      <c r="N4005" s="19"/>
      <c r="O4005" s="43"/>
      <c r="P4005" s="19"/>
      <c r="Q4005" s="19"/>
      <c r="R4005" s="19"/>
      <c r="S4005" s="19"/>
      <c r="T4005" s="19"/>
      <c r="U4005" s="19"/>
      <c r="V4005" s="44"/>
      <c r="W4005" s="19"/>
      <c r="X4005" s="19"/>
      <c r="Y4005" s="19"/>
      <c r="Z4005" s="19"/>
      <c r="AA4005" s="19"/>
      <c r="AB4005" s="19"/>
      <c r="AC4005" s="19"/>
      <c r="AD4005" s="19"/>
      <c r="AE4005" s="19"/>
      <c r="AF4005" s="19"/>
      <c r="AG4005" s="19"/>
      <c r="AH4005" s="19"/>
      <c r="AI4005" s="19"/>
      <c r="AJ4005" s="19"/>
      <c r="AK4005" s="19"/>
      <c r="AL4005" s="6" t="str">
        <f t="array" ref="AL4005">IFERROR(IFS(XLOOKUP(B4005, 'Kit Delivery Status'!$U:$U, 'Kit Delivery Status'!$K:$K) = "Complete", "DELIVERED", XLOOKUP(B4005, 'Kit Delivery Status'!$U:$U, 'Kit Delivery Status'!$K:$K) = "Issue", "ISSUE"), "")</f>
        <v/>
      </c>
      <c r="AM4005" s="6"/>
    </row>
    <row r="4006">
      <c r="A4006" s="19"/>
      <c r="B4006" s="19"/>
      <c r="C4006" s="19"/>
      <c r="D4006" s="42"/>
      <c r="E4006" s="19"/>
      <c r="F4006" s="19"/>
      <c r="G4006" s="19"/>
      <c r="H4006" s="19"/>
      <c r="I4006" s="19"/>
      <c r="J4006" s="19"/>
      <c r="K4006" s="19"/>
      <c r="L4006" s="19"/>
      <c r="M4006" s="19"/>
      <c r="N4006" s="19"/>
      <c r="O4006" s="43"/>
      <c r="P4006" s="19"/>
      <c r="Q4006" s="19"/>
      <c r="R4006" s="19"/>
      <c r="S4006" s="19"/>
      <c r="T4006" s="19"/>
      <c r="U4006" s="19"/>
      <c r="V4006" s="44"/>
      <c r="W4006" s="19"/>
      <c r="X4006" s="19"/>
      <c r="Y4006" s="19"/>
      <c r="Z4006" s="19"/>
      <c r="AA4006" s="19"/>
      <c r="AB4006" s="19"/>
      <c r="AC4006" s="19"/>
      <c r="AD4006" s="19"/>
      <c r="AE4006" s="19"/>
      <c r="AF4006" s="19"/>
      <c r="AG4006" s="19"/>
      <c r="AH4006" s="19"/>
      <c r="AI4006" s="19"/>
      <c r="AJ4006" s="19"/>
      <c r="AK4006" s="19"/>
      <c r="AL4006" s="6" t="str">
        <f t="array" ref="AL4006">IFERROR(IFS(XLOOKUP(B4006, 'Kit Delivery Status'!$U:$U, 'Kit Delivery Status'!$K:$K) = "Complete", "DELIVERED", XLOOKUP(B4006, 'Kit Delivery Status'!$U:$U, 'Kit Delivery Status'!$K:$K) = "Issue", "ISSUE"), "")</f>
        <v/>
      </c>
      <c r="AM4006" s="6"/>
    </row>
    <row r="4007">
      <c r="A4007" s="19"/>
      <c r="B4007" s="19"/>
      <c r="C4007" s="19"/>
      <c r="D4007" s="42"/>
      <c r="E4007" s="19"/>
      <c r="F4007" s="19"/>
      <c r="G4007" s="19"/>
      <c r="H4007" s="19"/>
      <c r="I4007" s="19"/>
      <c r="J4007" s="19"/>
      <c r="K4007" s="19"/>
      <c r="L4007" s="19"/>
      <c r="M4007" s="19"/>
      <c r="N4007" s="19"/>
      <c r="O4007" s="43"/>
      <c r="P4007" s="19"/>
      <c r="Q4007" s="19"/>
      <c r="R4007" s="19"/>
      <c r="S4007" s="19"/>
      <c r="T4007" s="19"/>
      <c r="U4007" s="19"/>
      <c r="V4007" s="44"/>
      <c r="W4007" s="19"/>
      <c r="X4007" s="19"/>
      <c r="Y4007" s="19"/>
      <c r="Z4007" s="19"/>
      <c r="AA4007" s="19"/>
      <c r="AB4007" s="19"/>
      <c r="AC4007" s="19"/>
      <c r="AD4007" s="19"/>
      <c r="AE4007" s="19"/>
      <c r="AF4007" s="19"/>
      <c r="AG4007" s="19"/>
      <c r="AH4007" s="19"/>
      <c r="AI4007" s="19"/>
      <c r="AJ4007" s="19"/>
      <c r="AK4007" s="19"/>
      <c r="AL4007" s="6" t="str">
        <f t="array" ref="AL4007">IFERROR(IFS(XLOOKUP(B4007, 'Kit Delivery Status'!$U:$U, 'Kit Delivery Status'!$K:$K) = "Complete", "DELIVERED", XLOOKUP(B4007, 'Kit Delivery Status'!$U:$U, 'Kit Delivery Status'!$K:$K) = "Issue", "ISSUE"), "")</f>
        <v/>
      </c>
      <c r="AM4007" s="6"/>
    </row>
    <row r="4008">
      <c r="A4008" s="19"/>
      <c r="B4008" s="19"/>
      <c r="C4008" s="19"/>
      <c r="D4008" s="42"/>
      <c r="E4008" s="19"/>
      <c r="F4008" s="19"/>
      <c r="G4008" s="19"/>
      <c r="H4008" s="19"/>
      <c r="I4008" s="19"/>
      <c r="J4008" s="19"/>
      <c r="K4008" s="19"/>
      <c r="L4008" s="19"/>
      <c r="M4008" s="19"/>
      <c r="N4008" s="19"/>
      <c r="O4008" s="43"/>
      <c r="P4008" s="19"/>
      <c r="Q4008" s="19"/>
      <c r="R4008" s="19"/>
      <c r="S4008" s="19"/>
      <c r="T4008" s="19"/>
      <c r="U4008" s="19"/>
      <c r="V4008" s="44"/>
      <c r="W4008" s="19"/>
      <c r="X4008" s="19"/>
      <c r="Y4008" s="19"/>
      <c r="Z4008" s="19"/>
      <c r="AA4008" s="19"/>
      <c r="AB4008" s="19"/>
      <c r="AC4008" s="19"/>
      <c r="AD4008" s="19"/>
      <c r="AE4008" s="19"/>
      <c r="AF4008" s="19"/>
      <c r="AG4008" s="19"/>
      <c r="AH4008" s="19"/>
      <c r="AI4008" s="19"/>
      <c r="AJ4008" s="19"/>
      <c r="AK4008" s="19"/>
      <c r="AL4008" s="6" t="str">
        <f t="array" ref="AL4008">IFERROR(IFS(XLOOKUP(B4008, 'Kit Delivery Status'!$U:$U, 'Kit Delivery Status'!$K:$K) = "Complete", "DELIVERED", XLOOKUP(B4008, 'Kit Delivery Status'!$U:$U, 'Kit Delivery Status'!$K:$K) = "Issue", "ISSUE"), "")</f>
        <v/>
      </c>
      <c r="AM4008" s="6"/>
    </row>
    <row r="4009">
      <c r="A4009" s="19"/>
      <c r="B4009" s="19"/>
      <c r="C4009" s="19"/>
      <c r="D4009" s="42"/>
      <c r="E4009" s="19"/>
      <c r="F4009" s="19"/>
      <c r="G4009" s="19"/>
      <c r="H4009" s="19"/>
      <c r="I4009" s="19"/>
      <c r="J4009" s="19"/>
      <c r="K4009" s="19"/>
      <c r="L4009" s="19"/>
      <c r="M4009" s="19"/>
      <c r="N4009" s="19"/>
      <c r="O4009" s="43"/>
      <c r="P4009" s="19"/>
      <c r="Q4009" s="19"/>
      <c r="R4009" s="19"/>
      <c r="S4009" s="19"/>
      <c r="T4009" s="19"/>
      <c r="U4009" s="19"/>
      <c r="V4009" s="44"/>
      <c r="W4009" s="19"/>
      <c r="X4009" s="19"/>
      <c r="Y4009" s="19"/>
      <c r="Z4009" s="19"/>
      <c r="AA4009" s="19"/>
      <c r="AB4009" s="19"/>
      <c r="AC4009" s="19"/>
      <c r="AD4009" s="19"/>
      <c r="AE4009" s="19"/>
      <c r="AF4009" s="19"/>
      <c r="AG4009" s="19"/>
      <c r="AH4009" s="19"/>
      <c r="AI4009" s="19"/>
      <c r="AJ4009" s="19"/>
      <c r="AK4009" s="19"/>
      <c r="AL4009" s="6" t="str">
        <f t="array" ref="AL4009">IFERROR(IFS(XLOOKUP(B4009, 'Kit Delivery Status'!$U:$U, 'Kit Delivery Status'!$K:$K) = "Complete", "DELIVERED", XLOOKUP(B4009, 'Kit Delivery Status'!$U:$U, 'Kit Delivery Status'!$K:$K) = "Issue", "ISSUE"), "")</f>
        <v/>
      </c>
      <c r="AM4009" s="6"/>
    </row>
    <row r="4010">
      <c r="A4010" s="19"/>
      <c r="B4010" s="19"/>
      <c r="C4010" s="19"/>
      <c r="D4010" s="42"/>
      <c r="E4010" s="19"/>
      <c r="F4010" s="19"/>
      <c r="G4010" s="19"/>
      <c r="H4010" s="19"/>
      <c r="I4010" s="19"/>
      <c r="J4010" s="19"/>
      <c r="K4010" s="19"/>
      <c r="L4010" s="19"/>
      <c r="M4010" s="19"/>
      <c r="N4010" s="19"/>
      <c r="O4010" s="43"/>
      <c r="P4010" s="19"/>
      <c r="Q4010" s="19"/>
      <c r="R4010" s="19"/>
      <c r="S4010" s="19"/>
      <c r="T4010" s="19"/>
      <c r="U4010" s="19"/>
      <c r="V4010" s="44"/>
      <c r="W4010" s="19"/>
      <c r="X4010" s="19"/>
      <c r="Y4010" s="19"/>
      <c r="Z4010" s="19"/>
      <c r="AA4010" s="19"/>
      <c r="AB4010" s="19"/>
      <c r="AC4010" s="19"/>
      <c r="AD4010" s="19"/>
      <c r="AE4010" s="19"/>
      <c r="AF4010" s="19"/>
      <c r="AG4010" s="19"/>
      <c r="AH4010" s="19"/>
      <c r="AI4010" s="19"/>
      <c r="AJ4010" s="19"/>
      <c r="AK4010" s="19"/>
      <c r="AL4010" s="6" t="str">
        <f t="array" ref="AL4010">IFERROR(IFS(XLOOKUP(B4010, 'Kit Delivery Status'!$U:$U, 'Kit Delivery Status'!$K:$K) = "Complete", "DELIVERED", XLOOKUP(B4010, 'Kit Delivery Status'!$U:$U, 'Kit Delivery Status'!$K:$K) = "Issue", "ISSUE"), "")</f>
        <v/>
      </c>
      <c r="AM4010" s="6"/>
    </row>
    <row r="4011">
      <c r="A4011" s="19"/>
      <c r="B4011" s="19"/>
      <c r="C4011" s="19"/>
      <c r="D4011" s="42"/>
      <c r="E4011" s="19"/>
      <c r="F4011" s="19"/>
      <c r="G4011" s="19"/>
      <c r="H4011" s="19"/>
      <c r="I4011" s="19"/>
      <c r="J4011" s="19"/>
      <c r="K4011" s="19"/>
      <c r="L4011" s="19"/>
      <c r="M4011" s="19"/>
      <c r="N4011" s="19"/>
      <c r="O4011" s="43"/>
      <c r="P4011" s="19"/>
      <c r="Q4011" s="19"/>
      <c r="R4011" s="19"/>
      <c r="S4011" s="19"/>
      <c r="T4011" s="19"/>
      <c r="U4011" s="19"/>
      <c r="V4011" s="44"/>
      <c r="W4011" s="19"/>
      <c r="X4011" s="19"/>
      <c r="Y4011" s="19"/>
      <c r="Z4011" s="19"/>
      <c r="AA4011" s="19"/>
      <c r="AB4011" s="19"/>
      <c r="AC4011" s="19"/>
      <c r="AD4011" s="19"/>
      <c r="AE4011" s="19"/>
      <c r="AF4011" s="19"/>
      <c r="AG4011" s="19"/>
      <c r="AH4011" s="19"/>
      <c r="AI4011" s="19"/>
      <c r="AJ4011" s="19"/>
      <c r="AK4011" s="19"/>
      <c r="AL4011" s="6" t="str">
        <f t="array" ref="AL4011">IFERROR(IFS(XLOOKUP(B4011, 'Kit Delivery Status'!$U:$U, 'Kit Delivery Status'!$K:$K) = "Complete", "DELIVERED", XLOOKUP(B4011, 'Kit Delivery Status'!$U:$U, 'Kit Delivery Status'!$K:$K) = "Issue", "ISSUE"), "")</f>
        <v/>
      </c>
      <c r="AM4011" s="6"/>
    </row>
    <row r="4012">
      <c r="A4012" s="19"/>
      <c r="B4012" s="19"/>
      <c r="C4012" s="19"/>
      <c r="D4012" s="42"/>
      <c r="E4012" s="19"/>
      <c r="F4012" s="19"/>
      <c r="G4012" s="19"/>
      <c r="H4012" s="19"/>
      <c r="I4012" s="19"/>
      <c r="J4012" s="19"/>
      <c r="K4012" s="19"/>
      <c r="L4012" s="19"/>
      <c r="M4012" s="19"/>
      <c r="N4012" s="19"/>
      <c r="O4012" s="43"/>
      <c r="P4012" s="19"/>
      <c r="Q4012" s="19"/>
      <c r="R4012" s="19"/>
      <c r="S4012" s="19"/>
      <c r="T4012" s="19"/>
      <c r="U4012" s="19"/>
      <c r="V4012" s="44"/>
      <c r="W4012" s="19"/>
      <c r="X4012" s="19"/>
      <c r="Y4012" s="19"/>
      <c r="Z4012" s="19"/>
      <c r="AA4012" s="19"/>
      <c r="AB4012" s="19"/>
      <c r="AC4012" s="19"/>
      <c r="AD4012" s="19"/>
      <c r="AE4012" s="19"/>
      <c r="AF4012" s="19"/>
      <c r="AG4012" s="19"/>
      <c r="AH4012" s="19"/>
      <c r="AI4012" s="19"/>
      <c r="AJ4012" s="19"/>
      <c r="AK4012" s="19"/>
      <c r="AL4012" s="6" t="str">
        <f t="array" ref="AL4012">IFERROR(IFS(XLOOKUP(B4012, 'Kit Delivery Status'!$U:$U, 'Kit Delivery Status'!$K:$K) = "Complete", "DELIVERED", XLOOKUP(B4012, 'Kit Delivery Status'!$U:$U, 'Kit Delivery Status'!$K:$K) = "Issue", "ISSUE"), "")</f>
        <v/>
      </c>
      <c r="AM4012" s="6"/>
    </row>
    <row r="4013">
      <c r="A4013" s="19"/>
      <c r="B4013" s="19"/>
      <c r="C4013" s="19"/>
      <c r="D4013" s="42"/>
      <c r="E4013" s="19"/>
      <c r="F4013" s="19"/>
      <c r="G4013" s="19"/>
      <c r="H4013" s="19"/>
      <c r="I4013" s="19"/>
      <c r="J4013" s="19"/>
      <c r="K4013" s="19"/>
      <c r="L4013" s="19"/>
      <c r="M4013" s="19"/>
      <c r="N4013" s="19"/>
      <c r="O4013" s="43"/>
      <c r="P4013" s="19"/>
      <c r="Q4013" s="19"/>
      <c r="R4013" s="19"/>
      <c r="S4013" s="19"/>
      <c r="T4013" s="19"/>
      <c r="U4013" s="19"/>
      <c r="V4013" s="44"/>
      <c r="W4013" s="19"/>
      <c r="X4013" s="19"/>
      <c r="Y4013" s="19"/>
      <c r="Z4013" s="19"/>
      <c r="AA4013" s="19"/>
      <c r="AB4013" s="19"/>
      <c r="AC4013" s="19"/>
      <c r="AD4013" s="19"/>
      <c r="AE4013" s="19"/>
      <c r="AF4013" s="19"/>
      <c r="AG4013" s="19"/>
      <c r="AH4013" s="19"/>
      <c r="AI4013" s="19"/>
      <c r="AJ4013" s="19"/>
      <c r="AK4013" s="19"/>
      <c r="AL4013" s="6" t="str">
        <f t="array" ref="AL4013">IFERROR(IFS(XLOOKUP(B4013, 'Kit Delivery Status'!$U:$U, 'Kit Delivery Status'!$K:$K) = "Complete", "DELIVERED", XLOOKUP(B4013, 'Kit Delivery Status'!$U:$U, 'Kit Delivery Status'!$K:$K) = "Issue", "ISSUE"), "")</f>
        <v/>
      </c>
      <c r="AM4013" s="6"/>
    </row>
    <row r="4014">
      <c r="A4014" s="19"/>
      <c r="B4014" s="19"/>
      <c r="C4014" s="19"/>
      <c r="D4014" s="42"/>
      <c r="E4014" s="19"/>
      <c r="F4014" s="19"/>
      <c r="G4014" s="19"/>
      <c r="H4014" s="19"/>
      <c r="I4014" s="19"/>
      <c r="J4014" s="19"/>
      <c r="K4014" s="19"/>
      <c r="L4014" s="19"/>
      <c r="M4014" s="19"/>
      <c r="N4014" s="19"/>
      <c r="O4014" s="43"/>
      <c r="P4014" s="19"/>
      <c r="Q4014" s="19"/>
      <c r="R4014" s="19"/>
      <c r="S4014" s="19"/>
      <c r="T4014" s="19"/>
      <c r="U4014" s="19"/>
      <c r="V4014" s="44"/>
      <c r="W4014" s="19"/>
      <c r="X4014" s="19"/>
      <c r="Y4014" s="19"/>
      <c r="Z4014" s="19"/>
      <c r="AA4014" s="19"/>
      <c r="AB4014" s="19"/>
      <c r="AC4014" s="19"/>
      <c r="AD4014" s="19"/>
      <c r="AE4014" s="19"/>
      <c r="AF4014" s="19"/>
      <c r="AG4014" s="19"/>
      <c r="AH4014" s="19"/>
      <c r="AI4014" s="19"/>
      <c r="AJ4014" s="19"/>
      <c r="AK4014" s="19"/>
      <c r="AL4014" s="6" t="str">
        <f t="array" ref="AL4014">IFERROR(IFS(XLOOKUP(B4014, 'Kit Delivery Status'!$U:$U, 'Kit Delivery Status'!$K:$K) = "Complete", "DELIVERED", XLOOKUP(B4014, 'Kit Delivery Status'!$U:$U, 'Kit Delivery Status'!$K:$K) = "Issue", "ISSUE"), "")</f>
        <v/>
      </c>
      <c r="AM4014" s="6"/>
    </row>
    <row r="4015">
      <c r="A4015" s="19"/>
      <c r="B4015" s="19"/>
      <c r="C4015" s="19"/>
      <c r="D4015" s="42"/>
      <c r="E4015" s="19"/>
      <c r="F4015" s="19"/>
      <c r="G4015" s="19"/>
      <c r="H4015" s="19"/>
      <c r="I4015" s="19"/>
      <c r="J4015" s="19"/>
      <c r="K4015" s="19"/>
      <c r="L4015" s="19"/>
      <c r="M4015" s="19"/>
      <c r="N4015" s="19"/>
      <c r="O4015" s="43"/>
      <c r="P4015" s="19"/>
      <c r="Q4015" s="19"/>
      <c r="R4015" s="19"/>
      <c r="S4015" s="19"/>
      <c r="T4015" s="19"/>
      <c r="U4015" s="19"/>
      <c r="V4015" s="44"/>
      <c r="W4015" s="19"/>
      <c r="X4015" s="19"/>
      <c r="Y4015" s="19"/>
      <c r="Z4015" s="19"/>
      <c r="AA4015" s="19"/>
      <c r="AB4015" s="19"/>
      <c r="AC4015" s="19"/>
      <c r="AD4015" s="19"/>
      <c r="AE4015" s="19"/>
      <c r="AF4015" s="19"/>
      <c r="AG4015" s="19"/>
      <c r="AH4015" s="19"/>
      <c r="AI4015" s="19"/>
      <c r="AJ4015" s="19"/>
      <c r="AK4015" s="19"/>
      <c r="AL4015" s="6" t="str">
        <f t="array" ref="AL4015">IFERROR(IFS(XLOOKUP(B4015, 'Kit Delivery Status'!$U:$U, 'Kit Delivery Status'!$K:$K) = "Complete", "DELIVERED", XLOOKUP(B4015, 'Kit Delivery Status'!$U:$U, 'Kit Delivery Status'!$K:$K) = "Issue", "ISSUE"), "")</f>
        <v/>
      </c>
      <c r="AM4015" s="6"/>
    </row>
    <row r="4016">
      <c r="A4016" s="19"/>
      <c r="B4016" s="19"/>
      <c r="C4016" s="19"/>
      <c r="D4016" s="42"/>
      <c r="E4016" s="19"/>
      <c r="F4016" s="19"/>
      <c r="G4016" s="19"/>
      <c r="H4016" s="19"/>
      <c r="I4016" s="19"/>
      <c r="J4016" s="19"/>
      <c r="K4016" s="19"/>
      <c r="L4016" s="19"/>
      <c r="M4016" s="19"/>
      <c r="N4016" s="19"/>
      <c r="O4016" s="43"/>
      <c r="P4016" s="19"/>
      <c r="Q4016" s="19"/>
      <c r="R4016" s="19"/>
      <c r="S4016" s="19"/>
      <c r="T4016" s="19"/>
      <c r="U4016" s="19"/>
      <c r="V4016" s="44"/>
      <c r="W4016" s="19"/>
      <c r="X4016" s="19"/>
      <c r="Y4016" s="19"/>
      <c r="Z4016" s="19"/>
      <c r="AA4016" s="19"/>
      <c r="AB4016" s="19"/>
      <c r="AC4016" s="19"/>
      <c r="AD4016" s="19"/>
      <c r="AE4016" s="19"/>
      <c r="AF4016" s="19"/>
      <c r="AG4016" s="19"/>
      <c r="AH4016" s="19"/>
      <c r="AI4016" s="19"/>
      <c r="AJ4016" s="19"/>
      <c r="AK4016" s="19"/>
      <c r="AL4016" s="6" t="str">
        <f t="array" ref="AL4016">IFERROR(IFS(XLOOKUP(B4016, 'Kit Delivery Status'!$U:$U, 'Kit Delivery Status'!$K:$K) = "Complete", "DELIVERED", XLOOKUP(B4016, 'Kit Delivery Status'!$U:$U, 'Kit Delivery Status'!$K:$K) = "Issue", "ISSUE"), "")</f>
        <v/>
      </c>
      <c r="AM4016" s="6"/>
    </row>
    <row r="4017">
      <c r="A4017" s="19"/>
      <c r="B4017" s="19"/>
      <c r="C4017" s="19"/>
      <c r="D4017" s="42"/>
      <c r="E4017" s="19"/>
      <c r="F4017" s="19"/>
      <c r="G4017" s="19"/>
      <c r="H4017" s="19"/>
      <c r="I4017" s="19"/>
      <c r="J4017" s="19"/>
      <c r="K4017" s="19"/>
      <c r="L4017" s="19"/>
      <c r="M4017" s="19"/>
      <c r="N4017" s="19"/>
      <c r="O4017" s="43"/>
      <c r="P4017" s="19"/>
      <c r="Q4017" s="19"/>
      <c r="R4017" s="19"/>
      <c r="S4017" s="19"/>
      <c r="T4017" s="19"/>
      <c r="U4017" s="19"/>
      <c r="V4017" s="44"/>
      <c r="W4017" s="19"/>
      <c r="X4017" s="19"/>
      <c r="Y4017" s="19"/>
      <c r="Z4017" s="19"/>
      <c r="AA4017" s="19"/>
      <c r="AB4017" s="19"/>
      <c r="AC4017" s="19"/>
      <c r="AD4017" s="19"/>
      <c r="AE4017" s="19"/>
      <c r="AF4017" s="19"/>
      <c r="AG4017" s="19"/>
      <c r="AH4017" s="19"/>
      <c r="AI4017" s="19"/>
      <c r="AJ4017" s="19"/>
      <c r="AK4017" s="19"/>
      <c r="AL4017" s="6" t="str">
        <f t="array" ref="AL4017">IFERROR(IFS(XLOOKUP(B4017, 'Kit Delivery Status'!$U:$U, 'Kit Delivery Status'!$K:$K) = "Complete", "DELIVERED", XLOOKUP(B4017, 'Kit Delivery Status'!$U:$U, 'Kit Delivery Status'!$K:$K) = "Issue", "ISSUE"), "")</f>
        <v/>
      </c>
      <c r="AM4017" s="6"/>
    </row>
    <row r="4018">
      <c r="A4018" s="19"/>
      <c r="B4018" s="19"/>
      <c r="C4018" s="19"/>
      <c r="D4018" s="42"/>
      <c r="E4018" s="19"/>
      <c r="F4018" s="19"/>
      <c r="G4018" s="19"/>
      <c r="H4018" s="19"/>
      <c r="I4018" s="19"/>
      <c r="J4018" s="19"/>
      <c r="K4018" s="19"/>
      <c r="L4018" s="19"/>
      <c r="M4018" s="19"/>
      <c r="N4018" s="19"/>
      <c r="O4018" s="43"/>
      <c r="P4018" s="19"/>
      <c r="Q4018" s="19"/>
      <c r="R4018" s="19"/>
      <c r="S4018" s="19"/>
      <c r="T4018" s="19"/>
      <c r="U4018" s="19"/>
      <c r="V4018" s="44"/>
      <c r="W4018" s="19"/>
      <c r="X4018" s="19"/>
      <c r="Y4018" s="19"/>
      <c r="Z4018" s="19"/>
      <c r="AA4018" s="19"/>
      <c r="AB4018" s="19"/>
      <c r="AC4018" s="19"/>
      <c r="AD4018" s="19"/>
      <c r="AE4018" s="19"/>
      <c r="AF4018" s="19"/>
      <c r="AG4018" s="19"/>
      <c r="AH4018" s="19"/>
      <c r="AI4018" s="19"/>
      <c r="AJ4018" s="19"/>
      <c r="AK4018" s="19"/>
      <c r="AL4018" s="6" t="str">
        <f t="array" ref="AL4018">IFERROR(IFS(XLOOKUP(B4018, 'Kit Delivery Status'!$U:$U, 'Kit Delivery Status'!$K:$K) = "Complete", "DELIVERED", XLOOKUP(B4018, 'Kit Delivery Status'!$U:$U, 'Kit Delivery Status'!$K:$K) = "Issue", "ISSUE"), "")</f>
        <v/>
      </c>
      <c r="AM4018" s="6"/>
    </row>
    <row r="4019">
      <c r="A4019" s="19"/>
      <c r="B4019" s="19"/>
      <c r="C4019" s="19"/>
      <c r="D4019" s="42"/>
      <c r="E4019" s="19"/>
      <c r="F4019" s="19"/>
      <c r="G4019" s="19"/>
      <c r="H4019" s="19"/>
      <c r="I4019" s="19"/>
      <c r="J4019" s="19"/>
      <c r="K4019" s="19"/>
      <c r="L4019" s="19"/>
      <c r="M4019" s="19"/>
      <c r="N4019" s="19"/>
      <c r="O4019" s="43"/>
      <c r="P4019" s="19"/>
      <c r="Q4019" s="19"/>
      <c r="R4019" s="19"/>
      <c r="S4019" s="19"/>
      <c r="T4019" s="19"/>
      <c r="U4019" s="19"/>
      <c r="V4019" s="44"/>
      <c r="W4019" s="19"/>
      <c r="X4019" s="19"/>
      <c r="Y4019" s="19"/>
      <c r="Z4019" s="19"/>
      <c r="AA4019" s="19"/>
      <c r="AB4019" s="19"/>
      <c r="AC4019" s="19"/>
      <c r="AD4019" s="19"/>
      <c r="AE4019" s="19"/>
      <c r="AF4019" s="19"/>
      <c r="AG4019" s="19"/>
      <c r="AH4019" s="19"/>
      <c r="AI4019" s="19"/>
      <c r="AJ4019" s="19"/>
      <c r="AK4019" s="19"/>
      <c r="AL4019" s="6" t="str">
        <f t="array" ref="AL4019">IFERROR(IFS(XLOOKUP(B4019, 'Kit Delivery Status'!$U:$U, 'Kit Delivery Status'!$K:$K) = "Complete", "DELIVERED", XLOOKUP(B4019, 'Kit Delivery Status'!$U:$U, 'Kit Delivery Status'!$K:$K) = "Issue", "ISSUE"), "")</f>
        <v/>
      </c>
      <c r="AM4019" s="6"/>
    </row>
    <row r="4020">
      <c r="A4020" s="19"/>
      <c r="B4020" s="19"/>
      <c r="C4020" s="19"/>
      <c r="D4020" s="42"/>
      <c r="E4020" s="19"/>
      <c r="F4020" s="19"/>
      <c r="G4020" s="19"/>
      <c r="H4020" s="19"/>
      <c r="I4020" s="19"/>
      <c r="J4020" s="19"/>
      <c r="K4020" s="19"/>
      <c r="L4020" s="19"/>
      <c r="M4020" s="19"/>
      <c r="N4020" s="19"/>
      <c r="O4020" s="43"/>
      <c r="P4020" s="19"/>
      <c r="Q4020" s="19"/>
      <c r="R4020" s="19"/>
      <c r="S4020" s="19"/>
      <c r="T4020" s="19"/>
      <c r="U4020" s="19"/>
      <c r="V4020" s="44"/>
      <c r="W4020" s="19"/>
      <c r="X4020" s="19"/>
      <c r="Y4020" s="19"/>
      <c r="Z4020" s="19"/>
      <c r="AA4020" s="19"/>
      <c r="AB4020" s="19"/>
      <c r="AC4020" s="19"/>
      <c r="AD4020" s="19"/>
      <c r="AE4020" s="19"/>
      <c r="AF4020" s="19"/>
      <c r="AG4020" s="19"/>
      <c r="AH4020" s="19"/>
      <c r="AI4020" s="19"/>
      <c r="AJ4020" s="19"/>
      <c r="AK4020" s="19"/>
      <c r="AL4020" s="6" t="str">
        <f t="array" ref="AL4020">IFERROR(IFS(XLOOKUP(B4020, 'Kit Delivery Status'!$U:$U, 'Kit Delivery Status'!$K:$K) = "Complete", "DELIVERED", XLOOKUP(B4020, 'Kit Delivery Status'!$U:$U, 'Kit Delivery Status'!$K:$K) = "Issue", "ISSUE"), "")</f>
        <v/>
      </c>
      <c r="AM4020" s="6"/>
    </row>
    <row r="4021">
      <c r="A4021" s="19"/>
      <c r="B4021" s="19"/>
      <c r="C4021" s="19"/>
      <c r="D4021" s="42"/>
      <c r="E4021" s="19"/>
      <c r="F4021" s="19"/>
      <c r="G4021" s="19"/>
      <c r="H4021" s="19"/>
      <c r="I4021" s="19"/>
      <c r="J4021" s="19"/>
      <c r="K4021" s="19"/>
      <c r="L4021" s="19"/>
      <c r="M4021" s="19"/>
      <c r="N4021" s="19"/>
      <c r="O4021" s="43"/>
      <c r="P4021" s="19"/>
      <c r="Q4021" s="19"/>
      <c r="R4021" s="19"/>
      <c r="S4021" s="19"/>
      <c r="T4021" s="19"/>
      <c r="U4021" s="19"/>
      <c r="V4021" s="44"/>
      <c r="W4021" s="19"/>
      <c r="X4021" s="19"/>
      <c r="Y4021" s="19"/>
      <c r="Z4021" s="19"/>
      <c r="AA4021" s="19"/>
      <c r="AB4021" s="19"/>
      <c r="AC4021" s="19"/>
      <c r="AD4021" s="19"/>
      <c r="AE4021" s="19"/>
      <c r="AF4021" s="19"/>
      <c r="AG4021" s="19"/>
      <c r="AH4021" s="19"/>
      <c r="AI4021" s="19"/>
      <c r="AJ4021" s="19"/>
      <c r="AK4021" s="19"/>
      <c r="AL4021" s="6" t="str">
        <f t="array" ref="AL4021">IFERROR(IFS(XLOOKUP(B4021, 'Kit Delivery Status'!$U:$U, 'Kit Delivery Status'!$K:$K) = "Complete", "DELIVERED", XLOOKUP(B4021, 'Kit Delivery Status'!$U:$U, 'Kit Delivery Status'!$K:$K) = "Issue", "ISSUE"), "")</f>
        <v/>
      </c>
      <c r="AM4021" s="6"/>
    </row>
    <row r="4022">
      <c r="A4022" s="19"/>
      <c r="B4022" s="19"/>
      <c r="C4022" s="19"/>
      <c r="D4022" s="42"/>
      <c r="E4022" s="19"/>
      <c r="F4022" s="19"/>
      <c r="G4022" s="19"/>
      <c r="H4022" s="19"/>
      <c r="I4022" s="19"/>
      <c r="J4022" s="19"/>
      <c r="K4022" s="19"/>
      <c r="L4022" s="19"/>
      <c r="M4022" s="19"/>
      <c r="N4022" s="19"/>
      <c r="O4022" s="43"/>
      <c r="P4022" s="19"/>
      <c r="Q4022" s="19"/>
      <c r="R4022" s="19"/>
      <c r="S4022" s="19"/>
      <c r="T4022" s="19"/>
      <c r="U4022" s="19"/>
      <c r="V4022" s="44"/>
      <c r="W4022" s="19"/>
      <c r="X4022" s="19"/>
      <c r="Y4022" s="19"/>
      <c r="Z4022" s="19"/>
      <c r="AA4022" s="19"/>
      <c r="AB4022" s="19"/>
      <c r="AC4022" s="19"/>
      <c r="AD4022" s="19"/>
      <c r="AE4022" s="19"/>
      <c r="AF4022" s="19"/>
      <c r="AG4022" s="19"/>
      <c r="AH4022" s="19"/>
      <c r="AI4022" s="19"/>
      <c r="AJ4022" s="19"/>
      <c r="AK4022" s="19"/>
      <c r="AL4022" s="6" t="str">
        <f t="array" ref="AL4022">IFERROR(IFS(XLOOKUP(B4022, 'Kit Delivery Status'!$U:$U, 'Kit Delivery Status'!$K:$K) = "Complete", "DELIVERED", XLOOKUP(B4022, 'Kit Delivery Status'!$U:$U, 'Kit Delivery Status'!$K:$K) = "Issue", "ISSUE"), "")</f>
        <v/>
      </c>
      <c r="AM4022" s="6"/>
    </row>
    <row r="4023">
      <c r="A4023" s="19"/>
      <c r="B4023" s="19"/>
      <c r="C4023" s="19"/>
      <c r="D4023" s="42"/>
      <c r="E4023" s="19"/>
      <c r="F4023" s="19"/>
      <c r="G4023" s="19"/>
      <c r="H4023" s="19"/>
      <c r="I4023" s="19"/>
      <c r="J4023" s="19"/>
      <c r="K4023" s="19"/>
      <c r="L4023" s="19"/>
      <c r="M4023" s="19"/>
      <c r="N4023" s="19"/>
      <c r="O4023" s="43"/>
      <c r="P4023" s="19"/>
      <c r="Q4023" s="19"/>
      <c r="R4023" s="19"/>
      <c r="S4023" s="19"/>
      <c r="T4023" s="19"/>
      <c r="U4023" s="19"/>
      <c r="V4023" s="44"/>
      <c r="W4023" s="19"/>
      <c r="X4023" s="19"/>
      <c r="Y4023" s="19"/>
      <c r="Z4023" s="19"/>
      <c r="AA4023" s="19"/>
      <c r="AB4023" s="19"/>
      <c r="AC4023" s="19"/>
      <c r="AD4023" s="19"/>
      <c r="AE4023" s="19"/>
      <c r="AF4023" s="19"/>
      <c r="AG4023" s="19"/>
      <c r="AH4023" s="19"/>
      <c r="AI4023" s="19"/>
      <c r="AJ4023" s="19"/>
      <c r="AK4023" s="19"/>
      <c r="AL4023" s="6" t="str">
        <f t="array" ref="AL4023">IFERROR(IFS(XLOOKUP(B4023, 'Kit Delivery Status'!$U:$U, 'Kit Delivery Status'!$K:$K) = "Complete", "DELIVERED", XLOOKUP(B4023, 'Kit Delivery Status'!$U:$U, 'Kit Delivery Status'!$K:$K) = "Issue", "ISSUE"), "")</f>
        <v/>
      </c>
      <c r="AM4023" s="6"/>
    </row>
    <row r="4024">
      <c r="A4024" s="19"/>
      <c r="B4024" s="19"/>
      <c r="C4024" s="19"/>
      <c r="D4024" s="42"/>
      <c r="E4024" s="19"/>
      <c r="F4024" s="19"/>
      <c r="G4024" s="19"/>
      <c r="H4024" s="19"/>
      <c r="I4024" s="19"/>
      <c r="J4024" s="19"/>
      <c r="K4024" s="19"/>
      <c r="L4024" s="19"/>
      <c r="M4024" s="19"/>
      <c r="N4024" s="19"/>
      <c r="O4024" s="43"/>
      <c r="P4024" s="19"/>
      <c r="Q4024" s="19"/>
      <c r="R4024" s="19"/>
      <c r="S4024" s="19"/>
      <c r="T4024" s="19"/>
      <c r="U4024" s="19"/>
      <c r="V4024" s="44"/>
      <c r="W4024" s="19"/>
      <c r="X4024" s="19"/>
      <c r="Y4024" s="19"/>
      <c r="Z4024" s="19"/>
      <c r="AA4024" s="19"/>
      <c r="AB4024" s="19"/>
      <c r="AC4024" s="19"/>
      <c r="AD4024" s="19"/>
      <c r="AE4024" s="19"/>
      <c r="AF4024" s="19"/>
      <c r="AG4024" s="19"/>
      <c r="AH4024" s="19"/>
      <c r="AI4024" s="19"/>
      <c r="AJ4024" s="19"/>
      <c r="AK4024" s="19"/>
      <c r="AL4024" s="6" t="str">
        <f t="array" ref="AL4024">IFERROR(IFS(XLOOKUP(B4024, 'Kit Delivery Status'!$U:$U, 'Kit Delivery Status'!$K:$K) = "Complete", "DELIVERED", XLOOKUP(B4024, 'Kit Delivery Status'!$U:$U, 'Kit Delivery Status'!$K:$K) = "Issue", "ISSUE"), "")</f>
        <v/>
      </c>
      <c r="AM4024" s="6"/>
    </row>
    <row r="4025">
      <c r="A4025" s="19"/>
      <c r="B4025" s="19"/>
      <c r="C4025" s="19"/>
      <c r="D4025" s="42"/>
      <c r="E4025" s="19"/>
      <c r="F4025" s="19"/>
      <c r="G4025" s="19"/>
      <c r="H4025" s="19"/>
      <c r="I4025" s="19"/>
      <c r="J4025" s="19"/>
      <c r="K4025" s="19"/>
      <c r="L4025" s="19"/>
      <c r="M4025" s="19"/>
      <c r="N4025" s="19"/>
      <c r="O4025" s="43"/>
      <c r="P4025" s="19"/>
      <c r="Q4025" s="19"/>
      <c r="R4025" s="19"/>
      <c r="S4025" s="19"/>
      <c r="T4025" s="19"/>
      <c r="U4025" s="19"/>
      <c r="V4025" s="44"/>
      <c r="W4025" s="19"/>
      <c r="X4025" s="19"/>
      <c r="Y4025" s="19"/>
      <c r="Z4025" s="19"/>
      <c r="AA4025" s="19"/>
      <c r="AB4025" s="19"/>
      <c r="AC4025" s="19"/>
      <c r="AD4025" s="19"/>
      <c r="AE4025" s="19"/>
      <c r="AF4025" s="19"/>
      <c r="AG4025" s="19"/>
      <c r="AH4025" s="19"/>
      <c r="AI4025" s="19"/>
      <c r="AJ4025" s="19"/>
      <c r="AK4025" s="19"/>
      <c r="AL4025" s="6" t="str">
        <f t="array" ref="AL4025">IFERROR(IFS(XLOOKUP(B4025, 'Kit Delivery Status'!$U:$U, 'Kit Delivery Status'!$K:$K) = "Complete", "DELIVERED", XLOOKUP(B4025, 'Kit Delivery Status'!$U:$U, 'Kit Delivery Status'!$K:$K) = "Issue", "ISSUE"), "")</f>
        <v/>
      </c>
      <c r="AM4025" s="6"/>
    </row>
    <row r="4026">
      <c r="A4026" s="19"/>
      <c r="B4026" s="19"/>
      <c r="C4026" s="19"/>
      <c r="D4026" s="42"/>
      <c r="E4026" s="19"/>
      <c r="F4026" s="19"/>
      <c r="G4026" s="19"/>
      <c r="H4026" s="19"/>
      <c r="I4026" s="19"/>
      <c r="J4026" s="19"/>
      <c r="K4026" s="19"/>
      <c r="L4026" s="19"/>
      <c r="M4026" s="19"/>
      <c r="N4026" s="19"/>
      <c r="O4026" s="43"/>
      <c r="P4026" s="19"/>
      <c r="Q4026" s="19"/>
      <c r="R4026" s="19"/>
      <c r="S4026" s="19"/>
      <c r="T4026" s="19"/>
      <c r="U4026" s="19"/>
      <c r="V4026" s="44"/>
      <c r="W4026" s="19"/>
      <c r="X4026" s="19"/>
      <c r="Y4026" s="19"/>
      <c r="Z4026" s="19"/>
      <c r="AA4026" s="19"/>
      <c r="AB4026" s="19"/>
      <c r="AC4026" s="19"/>
      <c r="AD4026" s="19"/>
      <c r="AE4026" s="19"/>
      <c r="AF4026" s="19"/>
      <c r="AG4026" s="19"/>
      <c r="AH4026" s="19"/>
      <c r="AI4026" s="19"/>
      <c r="AJ4026" s="19"/>
      <c r="AK4026" s="19"/>
      <c r="AL4026" s="6" t="str">
        <f t="array" ref="AL4026">IFERROR(IFS(XLOOKUP(B4026, 'Kit Delivery Status'!$U:$U, 'Kit Delivery Status'!$K:$K) = "Complete", "DELIVERED", XLOOKUP(B4026, 'Kit Delivery Status'!$U:$U, 'Kit Delivery Status'!$K:$K) = "Issue", "ISSUE"), "")</f>
        <v/>
      </c>
      <c r="AM4026" s="6"/>
    </row>
    <row r="4027">
      <c r="A4027" s="19"/>
      <c r="B4027" s="19"/>
      <c r="C4027" s="19"/>
      <c r="D4027" s="42"/>
      <c r="E4027" s="19"/>
      <c r="F4027" s="19"/>
      <c r="G4027" s="19"/>
      <c r="H4027" s="19"/>
      <c r="I4027" s="19"/>
      <c r="J4027" s="19"/>
      <c r="K4027" s="19"/>
      <c r="L4027" s="19"/>
      <c r="M4027" s="19"/>
      <c r="N4027" s="19"/>
      <c r="O4027" s="43"/>
      <c r="P4027" s="19"/>
      <c r="Q4027" s="19"/>
      <c r="R4027" s="19"/>
      <c r="S4027" s="19"/>
      <c r="T4027" s="19"/>
      <c r="U4027" s="19"/>
      <c r="V4027" s="44"/>
      <c r="W4027" s="19"/>
      <c r="X4027" s="19"/>
      <c r="Y4027" s="19"/>
      <c r="Z4027" s="19"/>
      <c r="AA4027" s="19"/>
      <c r="AB4027" s="19"/>
      <c r="AC4027" s="19"/>
      <c r="AD4027" s="19"/>
      <c r="AE4027" s="19"/>
      <c r="AF4027" s="19"/>
      <c r="AG4027" s="19"/>
      <c r="AH4027" s="19"/>
      <c r="AI4027" s="19"/>
      <c r="AJ4027" s="19"/>
      <c r="AK4027" s="19"/>
      <c r="AL4027" s="6" t="str">
        <f t="array" ref="AL4027">IFERROR(IFS(XLOOKUP(B4027, 'Kit Delivery Status'!$U:$U, 'Kit Delivery Status'!$K:$K) = "Complete", "DELIVERED", XLOOKUP(B4027, 'Kit Delivery Status'!$U:$U, 'Kit Delivery Status'!$K:$K) = "Issue", "ISSUE"), "")</f>
        <v/>
      </c>
      <c r="AM4027" s="6"/>
    </row>
    <row r="4028">
      <c r="A4028" s="19"/>
      <c r="B4028" s="19"/>
      <c r="C4028" s="19"/>
      <c r="D4028" s="42"/>
      <c r="E4028" s="19"/>
      <c r="F4028" s="19"/>
      <c r="G4028" s="19"/>
      <c r="H4028" s="19"/>
      <c r="I4028" s="19"/>
      <c r="J4028" s="19"/>
      <c r="K4028" s="19"/>
      <c r="L4028" s="19"/>
      <c r="M4028" s="19"/>
      <c r="N4028" s="19"/>
      <c r="O4028" s="43"/>
      <c r="P4028" s="19"/>
      <c r="Q4028" s="19"/>
      <c r="R4028" s="19"/>
      <c r="S4028" s="19"/>
      <c r="T4028" s="19"/>
      <c r="U4028" s="19"/>
      <c r="V4028" s="44"/>
      <c r="W4028" s="19"/>
      <c r="X4028" s="19"/>
      <c r="Y4028" s="19"/>
      <c r="Z4028" s="19"/>
      <c r="AA4028" s="19"/>
      <c r="AB4028" s="19"/>
      <c r="AC4028" s="19"/>
      <c r="AD4028" s="19"/>
      <c r="AE4028" s="19"/>
      <c r="AF4028" s="19"/>
      <c r="AG4028" s="19"/>
      <c r="AH4028" s="19"/>
      <c r="AI4028" s="19"/>
      <c r="AJ4028" s="19"/>
      <c r="AK4028" s="19"/>
      <c r="AL4028" s="6" t="str">
        <f t="array" ref="AL4028">IFERROR(IFS(XLOOKUP(B4028, 'Kit Delivery Status'!$U:$U, 'Kit Delivery Status'!$K:$K) = "Complete", "DELIVERED", XLOOKUP(B4028, 'Kit Delivery Status'!$U:$U, 'Kit Delivery Status'!$K:$K) = "Issue", "ISSUE"), "")</f>
        <v/>
      </c>
      <c r="AM4028" s="6"/>
    </row>
    <row r="4029">
      <c r="A4029" s="19"/>
      <c r="B4029" s="19"/>
      <c r="C4029" s="19"/>
      <c r="D4029" s="42"/>
      <c r="E4029" s="19"/>
      <c r="F4029" s="19"/>
      <c r="G4029" s="19"/>
      <c r="H4029" s="19"/>
      <c r="I4029" s="19"/>
      <c r="J4029" s="19"/>
      <c r="K4029" s="19"/>
      <c r="L4029" s="19"/>
      <c r="M4029" s="19"/>
      <c r="N4029" s="19"/>
      <c r="O4029" s="43"/>
      <c r="P4029" s="19"/>
      <c r="Q4029" s="19"/>
      <c r="R4029" s="19"/>
      <c r="S4029" s="19"/>
      <c r="T4029" s="19"/>
      <c r="U4029" s="19"/>
      <c r="V4029" s="44"/>
      <c r="W4029" s="19"/>
      <c r="X4029" s="19"/>
      <c r="Y4029" s="19"/>
      <c r="Z4029" s="19"/>
      <c r="AA4029" s="19"/>
      <c r="AB4029" s="19"/>
      <c r="AC4029" s="19"/>
      <c r="AD4029" s="19"/>
      <c r="AE4029" s="19"/>
      <c r="AF4029" s="19"/>
      <c r="AG4029" s="19"/>
      <c r="AH4029" s="19"/>
      <c r="AI4029" s="19"/>
      <c r="AJ4029" s="19"/>
      <c r="AK4029" s="19"/>
      <c r="AL4029" s="6" t="str">
        <f t="array" ref="AL4029">IFERROR(IFS(XLOOKUP(B4029, 'Kit Delivery Status'!$U:$U, 'Kit Delivery Status'!$K:$K) = "Complete", "DELIVERED", XLOOKUP(B4029, 'Kit Delivery Status'!$U:$U, 'Kit Delivery Status'!$K:$K) = "Issue", "ISSUE"), "")</f>
        <v/>
      </c>
      <c r="AM4029" s="6"/>
    </row>
    <row r="4030">
      <c r="A4030" s="19"/>
      <c r="B4030" s="19"/>
      <c r="C4030" s="19"/>
      <c r="D4030" s="42"/>
      <c r="E4030" s="19"/>
      <c r="F4030" s="19"/>
      <c r="G4030" s="19"/>
      <c r="H4030" s="19"/>
      <c r="I4030" s="19"/>
      <c r="J4030" s="19"/>
      <c r="K4030" s="19"/>
      <c r="L4030" s="19"/>
      <c r="M4030" s="19"/>
      <c r="N4030" s="19"/>
      <c r="O4030" s="43"/>
      <c r="P4030" s="19"/>
      <c r="Q4030" s="19"/>
      <c r="R4030" s="19"/>
      <c r="S4030" s="19"/>
      <c r="T4030" s="19"/>
      <c r="U4030" s="19"/>
      <c r="V4030" s="44"/>
      <c r="W4030" s="19"/>
      <c r="X4030" s="19"/>
      <c r="Y4030" s="19"/>
      <c r="Z4030" s="19"/>
      <c r="AA4030" s="19"/>
      <c r="AB4030" s="19"/>
      <c r="AC4030" s="19"/>
      <c r="AD4030" s="19"/>
      <c r="AE4030" s="19"/>
      <c r="AF4030" s="19"/>
      <c r="AG4030" s="19"/>
      <c r="AH4030" s="19"/>
      <c r="AI4030" s="19"/>
      <c r="AJ4030" s="19"/>
      <c r="AK4030" s="19"/>
      <c r="AL4030" s="6" t="str">
        <f t="array" ref="AL4030">IFERROR(IFS(XLOOKUP(B4030, 'Kit Delivery Status'!$U:$U, 'Kit Delivery Status'!$K:$K) = "Complete", "DELIVERED", XLOOKUP(B4030, 'Kit Delivery Status'!$U:$U, 'Kit Delivery Status'!$K:$K) = "Issue", "ISSUE"), "")</f>
        <v/>
      </c>
      <c r="AM4030" s="6"/>
    </row>
    <row r="4031">
      <c r="A4031" s="19"/>
      <c r="B4031" s="19"/>
      <c r="C4031" s="19"/>
      <c r="D4031" s="42"/>
      <c r="E4031" s="19"/>
      <c r="F4031" s="19"/>
      <c r="G4031" s="19"/>
      <c r="H4031" s="19"/>
      <c r="I4031" s="19"/>
      <c r="J4031" s="19"/>
      <c r="K4031" s="19"/>
      <c r="L4031" s="19"/>
      <c r="M4031" s="19"/>
      <c r="N4031" s="19"/>
      <c r="O4031" s="43"/>
      <c r="P4031" s="19"/>
      <c r="Q4031" s="19"/>
      <c r="R4031" s="19"/>
      <c r="S4031" s="19"/>
      <c r="T4031" s="19"/>
      <c r="U4031" s="19"/>
      <c r="V4031" s="44"/>
      <c r="W4031" s="19"/>
      <c r="X4031" s="19"/>
      <c r="Y4031" s="19"/>
      <c r="Z4031" s="19"/>
      <c r="AA4031" s="19"/>
      <c r="AB4031" s="19"/>
      <c r="AC4031" s="19"/>
      <c r="AD4031" s="19"/>
      <c r="AE4031" s="19"/>
      <c r="AF4031" s="19"/>
      <c r="AG4031" s="19"/>
      <c r="AH4031" s="19"/>
      <c r="AI4031" s="19"/>
      <c r="AJ4031" s="19"/>
      <c r="AK4031" s="19"/>
      <c r="AL4031" s="6" t="str">
        <f t="array" ref="AL4031">IFERROR(IFS(XLOOKUP(B4031, 'Kit Delivery Status'!$U:$U, 'Kit Delivery Status'!$K:$K) = "Complete", "DELIVERED", XLOOKUP(B4031, 'Kit Delivery Status'!$U:$U, 'Kit Delivery Status'!$K:$K) = "Issue", "ISSUE"), "")</f>
        <v/>
      </c>
      <c r="AM4031" s="6"/>
    </row>
    <row r="4032">
      <c r="A4032" s="19"/>
      <c r="B4032" s="19"/>
      <c r="C4032" s="19"/>
      <c r="D4032" s="42"/>
      <c r="E4032" s="19"/>
      <c r="F4032" s="19"/>
      <c r="G4032" s="19"/>
      <c r="H4032" s="19"/>
      <c r="I4032" s="19"/>
      <c r="J4032" s="19"/>
      <c r="K4032" s="19"/>
      <c r="L4032" s="19"/>
      <c r="M4032" s="19"/>
      <c r="N4032" s="19"/>
      <c r="O4032" s="43"/>
      <c r="P4032" s="19"/>
      <c r="Q4032" s="19"/>
      <c r="R4032" s="19"/>
      <c r="S4032" s="19"/>
      <c r="T4032" s="19"/>
      <c r="U4032" s="19"/>
      <c r="V4032" s="44"/>
      <c r="W4032" s="19"/>
      <c r="X4032" s="19"/>
      <c r="Y4032" s="19"/>
      <c r="Z4032" s="19"/>
      <c r="AA4032" s="19"/>
      <c r="AB4032" s="19"/>
      <c r="AC4032" s="19"/>
      <c r="AD4032" s="19"/>
      <c r="AE4032" s="19"/>
      <c r="AF4032" s="19"/>
      <c r="AG4032" s="19"/>
      <c r="AH4032" s="19"/>
      <c r="AI4032" s="19"/>
      <c r="AJ4032" s="19"/>
      <c r="AK4032" s="19"/>
      <c r="AL4032" s="6" t="str">
        <f t="array" ref="AL4032">IFERROR(IFS(XLOOKUP(B4032, 'Kit Delivery Status'!$U:$U, 'Kit Delivery Status'!$K:$K) = "Complete", "DELIVERED", XLOOKUP(B4032, 'Kit Delivery Status'!$U:$U, 'Kit Delivery Status'!$K:$K) = "Issue", "ISSUE"), "")</f>
        <v/>
      </c>
      <c r="AM4032" s="6"/>
    </row>
    <row r="4033">
      <c r="A4033" s="19"/>
      <c r="B4033" s="19"/>
      <c r="C4033" s="19"/>
      <c r="D4033" s="42"/>
      <c r="E4033" s="19"/>
      <c r="F4033" s="19"/>
      <c r="G4033" s="19"/>
      <c r="H4033" s="19"/>
      <c r="I4033" s="19"/>
      <c r="J4033" s="19"/>
      <c r="K4033" s="19"/>
      <c r="L4033" s="19"/>
      <c r="M4033" s="19"/>
      <c r="N4033" s="19"/>
      <c r="O4033" s="43"/>
      <c r="P4033" s="19"/>
      <c r="Q4033" s="19"/>
      <c r="R4033" s="19"/>
      <c r="S4033" s="19"/>
      <c r="T4033" s="19"/>
      <c r="U4033" s="19"/>
      <c r="V4033" s="44"/>
      <c r="W4033" s="19"/>
      <c r="X4033" s="19"/>
      <c r="Y4033" s="19"/>
      <c r="Z4033" s="19"/>
      <c r="AA4033" s="19"/>
      <c r="AB4033" s="19"/>
      <c r="AC4033" s="19"/>
      <c r="AD4033" s="19"/>
      <c r="AE4033" s="19"/>
      <c r="AF4033" s="19"/>
      <c r="AG4033" s="19"/>
      <c r="AH4033" s="19"/>
      <c r="AI4033" s="19"/>
      <c r="AJ4033" s="19"/>
      <c r="AK4033" s="19"/>
      <c r="AL4033" s="6" t="str">
        <f t="array" ref="AL4033">IFERROR(IFS(XLOOKUP(B4033, 'Kit Delivery Status'!$U:$U, 'Kit Delivery Status'!$K:$K) = "Complete", "DELIVERED", XLOOKUP(B4033, 'Kit Delivery Status'!$U:$U, 'Kit Delivery Status'!$K:$K) = "Issue", "ISSUE"), "")</f>
        <v/>
      </c>
      <c r="AM4033" s="6"/>
    </row>
    <row r="4034">
      <c r="A4034" s="19"/>
      <c r="B4034" s="19"/>
      <c r="C4034" s="19"/>
      <c r="D4034" s="42"/>
      <c r="E4034" s="19"/>
      <c r="F4034" s="19"/>
      <c r="G4034" s="19"/>
      <c r="H4034" s="19"/>
      <c r="I4034" s="19"/>
      <c r="J4034" s="19"/>
      <c r="K4034" s="19"/>
      <c r="L4034" s="19"/>
      <c r="M4034" s="19"/>
      <c r="N4034" s="19"/>
      <c r="O4034" s="43"/>
      <c r="P4034" s="19"/>
      <c r="Q4034" s="19"/>
      <c r="R4034" s="19"/>
      <c r="S4034" s="19"/>
      <c r="T4034" s="19"/>
      <c r="U4034" s="19"/>
      <c r="V4034" s="44"/>
      <c r="W4034" s="19"/>
      <c r="X4034" s="19"/>
      <c r="Y4034" s="19"/>
      <c r="Z4034" s="19"/>
      <c r="AA4034" s="19"/>
      <c r="AB4034" s="19"/>
      <c r="AC4034" s="19"/>
      <c r="AD4034" s="19"/>
      <c r="AE4034" s="19"/>
      <c r="AF4034" s="19"/>
      <c r="AG4034" s="19"/>
      <c r="AH4034" s="19"/>
      <c r="AI4034" s="19"/>
      <c r="AJ4034" s="19"/>
      <c r="AK4034" s="19"/>
      <c r="AL4034" s="6" t="str">
        <f t="array" ref="AL4034">IFERROR(IFS(XLOOKUP(B4034, 'Kit Delivery Status'!$U:$U, 'Kit Delivery Status'!$K:$K) = "Complete", "DELIVERED", XLOOKUP(B4034, 'Kit Delivery Status'!$U:$U, 'Kit Delivery Status'!$K:$K) = "Issue", "ISSUE"), "")</f>
        <v/>
      </c>
      <c r="AM4034" s="6"/>
    </row>
    <row r="4035">
      <c r="A4035" s="19"/>
      <c r="B4035" s="19"/>
      <c r="C4035" s="19"/>
      <c r="D4035" s="42"/>
      <c r="E4035" s="19"/>
      <c r="F4035" s="19"/>
      <c r="G4035" s="19"/>
      <c r="H4035" s="19"/>
      <c r="I4035" s="19"/>
      <c r="J4035" s="19"/>
      <c r="K4035" s="19"/>
      <c r="L4035" s="19"/>
      <c r="M4035" s="19"/>
      <c r="N4035" s="19"/>
      <c r="O4035" s="43"/>
      <c r="P4035" s="19"/>
      <c r="Q4035" s="19"/>
      <c r="R4035" s="19"/>
      <c r="S4035" s="19"/>
      <c r="T4035" s="19"/>
      <c r="U4035" s="19"/>
      <c r="V4035" s="44"/>
      <c r="W4035" s="19"/>
      <c r="X4035" s="19"/>
      <c r="Y4035" s="19"/>
      <c r="Z4035" s="19"/>
      <c r="AA4035" s="19"/>
      <c r="AB4035" s="19"/>
      <c r="AC4035" s="19"/>
      <c r="AD4035" s="19"/>
      <c r="AE4035" s="19"/>
      <c r="AF4035" s="19"/>
      <c r="AG4035" s="19"/>
      <c r="AH4035" s="19"/>
      <c r="AI4035" s="19"/>
      <c r="AJ4035" s="19"/>
      <c r="AK4035" s="19"/>
      <c r="AL4035" s="6" t="str">
        <f t="array" ref="AL4035">IFERROR(IFS(XLOOKUP(B4035, 'Kit Delivery Status'!$U:$U, 'Kit Delivery Status'!$K:$K) = "Complete", "DELIVERED", XLOOKUP(B4035, 'Kit Delivery Status'!$U:$U, 'Kit Delivery Status'!$K:$K) = "Issue", "ISSUE"), "")</f>
        <v/>
      </c>
      <c r="AM4035" s="6"/>
    </row>
    <row r="4036">
      <c r="A4036" s="19"/>
      <c r="B4036" s="19"/>
      <c r="C4036" s="19"/>
      <c r="D4036" s="42"/>
      <c r="E4036" s="19"/>
      <c r="F4036" s="19"/>
      <c r="G4036" s="19"/>
      <c r="H4036" s="19"/>
      <c r="I4036" s="19"/>
      <c r="J4036" s="19"/>
      <c r="K4036" s="19"/>
      <c r="L4036" s="19"/>
      <c r="M4036" s="19"/>
      <c r="N4036" s="19"/>
      <c r="O4036" s="43"/>
      <c r="P4036" s="19"/>
      <c r="Q4036" s="19"/>
      <c r="R4036" s="19"/>
      <c r="S4036" s="19"/>
      <c r="T4036" s="19"/>
      <c r="U4036" s="19"/>
      <c r="V4036" s="44"/>
      <c r="W4036" s="19"/>
      <c r="X4036" s="19"/>
      <c r="Y4036" s="19"/>
      <c r="Z4036" s="19"/>
      <c r="AA4036" s="19"/>
      <c r="AB4036" s="19"/>
      <c r="AC4036" s="19"/>
      <c r="AD4036" s="19"/>
      <c r="AE4036" s="19"/>
      <c r="AF4036" s="19"/>
      <c r="AG4036" s="19"/>
      <c r="AH4036" s="19"/>
      <c r="AI4036" s="19"/>
      <c r="AJ4036" s="19"/>
      <c r="AK4036" s="19"/>
      <c r="AL4036" s="6" t="str">
        <f t="array" ref="AL4036">IFERROR(IFS(XLOOKUP(B4036, 'Kit Delivery Status'!$U:$U, 'Kit Delivery Status'!$K:$K) = "Complete", "DELIVERED", XLOOKUP(B4036, 'Kit Delivery Status'!$U:$U, 'Kit Delivery Status'!$K:$K) = "Issue", "ISSUE"), "")</f>
        <v/>
      </c>
      <c r="AM4036" s="6"/>
    </row>
    <row r="4037">
      <c r="A4037" s="19"/>
      <c r="B4037" s="19"/>
      <c r="C4037" s="19"/>
      <c r="D4037" s="42"/>
      <c r="E4037" s="19"/>
      <c r="F4037" s="19"/>
      <c r="G4037" s="19"/>
      <c r="H4037" s="19"/>
      <c r="I4037" s="19"/>
      <c r="J4037" s="19"/>
      <c r="K4037" s="19"/>
      <c r="L4037" s="19"/>
      <c r="M4037" s="19"/>
      <c r="N4037" s="19"/>
      <c r="O4037" s="43"/>
      <c r="P4037" s="19"/>
      <c r="Q4037" s="19"/>
      <c r="R4037" s="19"/>
      <c r="S4037" s="19"/>
      <c r="T4037" s="19"/>
      <c r="U4037" s="19"/>
      <c r="V4037" s="44"/>
      <c r="W4037" s="19"/>
      <c r="X4037" s="19"/>
      <c r="Y4037" s="19"/>
      <c r="Z4037" s="19"/>
      <c r="AA4037" s="19"/>
      <c r="AB4037" s="19"/>
      <c r="AC4037" s="19"/>
      <c r="AD4037" s="19"/>
      <c r="AE4037" s="19"/>
      <c r="AF4037" s="19"/>
      <c r="AG4037" s="19"/>
      <c r="AH4037" s="19"/>
      <c r="AI4037" s="19"/>
      <c r="AJ4037" s="19"/>
      <c r="AK4037" s="19"/>
      <c r="AL4037" s="6" t="str">
        <f t="array" ref="AL4037">IFERROR(IFS(XLOOKUP(B4037, 'Kit Delivery Status'!$U:$U, 'Kit Delivery Status'!$K:$K) = "Complete", "DELIVERED", XLOOKUP(B4037, 'Kit Delivery Status'!$U:$U, 'Kit Delivery Status'!$K:$K) = "Issue", "ISSUE"), "")</f>
        <v/>
      </c>
      <c r="AM4037" s="6"/>
    </row>
    <row r="4038">
      <c r="A4038" s="19"/>
      <c r="B4038" s="19"/>
      <c r="C4038" s="19"/>
      <c r="D4038" s="42"/>
      <c r="E4038" s="19"/>
      <c r="F4038" s="19"/>
      <c r="G4038" s="19"/>
      <c r="H4038" s="19"/>
      <c r="I4038" s="19"/>
      <c r="J4038" s="19"/>
      <c r="K4038" s="19"/>
      <c r="L4038" s="19"/>
      <c r="M4038" s="19"/>
      <c r="N4038" s="19"/>
      <c r="O4038" s="43"/>
      <c r="P4038" s="19"/>
      <c r="Q4038" s="19"/>
      <c r="R4038" s="19"/>
      <c r="S4038" s="19"/>
      <c r="T4038" s="19"/>
      <c r="U4038" s="19"/>
      <c r="V4038" s="44"/>
      <c r="W4038" s="19"/>
      <c r="X4038" s="19"/>
      <c r="Y4038" s="19"/>
      <c r="Z4038" s="19"/>
      <c r="AA4038" s="19"/>
      <c r="AB4038" s="19"/>
      <c r="AC4038" s="19"/>
      <c r="AD4038" s="19"/>
      <c r="AE4038" s="19"/>
      <c r="AF4038" s="19"/>
      <c r="AG4038" s="19"/>
      <c r="AH4038" s="19"/>
      <c r="AI4038" s="19"/>
      <c r="AJ4038" s="19"/>
      <c r="AK4038" s="19"/>
      <c r="AL4038" s="6" t="str">
        <f t="array" ref="AL4038">IFERROR(IFS(XLOOKUP(B4038, 'Kit Delivery Status'!$U:$U, 'Kit Delivery Status'!$K:$K) = "Complete", "DELIVERED", XLOOKUP(B4038, 'Kit Delivery Status'!$U:$U, 'Kit Delivery Status'!$K:$K) = "Issue", "ISSUE"), "")</f>
        <v/>
      </c>
      <c r="AM4038" s="6"/>
    </row>
    <row r="4039">
      <c r="A4039" s="19"/>
      <c r="B4039" s="19"/>
      <c r="C4039" s="19"/>
      <c r="D4039" s="42"/>
      <c r="E4039" s="19"/>
      <c r="F4039" s="19"/>
      <c r="G4039" s="19"/>
      <c r="H4039" s="19"/>
      <c r="I4039" s="19"/>
      <c r="J4039" s="19"/>
      <c r="K4039" s="19"/>
      <c r="L4039" s="19"/>
      <c r="M4039" s="19"/>
      <c r="N4039" s="19"/>
      <c r="O4039" s="43"/>
      <c r="P4039" s="19"/>
      <c r="Q4039" s="19"/>
      <c r="R4039" s="19"/>
      <c r="S4039" s="19"/>
      <c r="T4039" s="19"/>
      <c r="U4039" s="19"/>
      <c r="V4039" s="44"/>
      <c r="W4039" s="19"/>
      <c r="X4039" s="19"/>
      <c r="Y4039" s="19"/>
      <c r="Z4039" s="19"/>
      <c r="AA4039" s="19"/>
      <c r="AB4039" s="19"/>
      <c r="AC4039" s="19"/>
      <c r="AD4039" s="19"/>
      <c r="AE4039" s="19"/>
      <c r="AF4039" s="19"/>
      <c r="AG4039" s="19"/>
      <c r="AH4039" s="19"/>
      <c r="AI4039" s="19"/>
      <c r="AJ4039" s="19"/>
      <c r="AK4039" s="19"/>
      <c r="AL4039" s="6" t="str">
        <f t="array" ref="AL4039">IFERROR(IFS(XLOOKUP(B4039, 'Kit Delivery Status'!$U:$U, 'Kit Delivery Status'!$K:$K) = "Complete", "DELIVERED", XLOOKUP(B4039, 'Kit Delivery Status'!$U:$U, 'Kit Delivery Status'!$K:$K) = "Issue", "ISSUE"), "")</f>
        <v/>
      </c>
      <c r="AM4039" s="6"/>
    </row>
    <row r="4040">
      <c r="A4040" s="19"/>
      <c r="B4040" s="19"/>
      <c r="C4040" s="19"/>
      <c r="D4040" s="42"/>
      <c r="E4040" s="19"/>
      <c r="F4040" s="19"/>
      <c r="G4040" s="19"/>
      <c r="H4040" s="19"/>
      <c r="I4040" s="19"/>
      <c r="J4040" s="19"/>
      <c r="K4040" s="19"/>
      <c r="L4040" s="19"/>
      <c r="M4040" s="19"/>
      <c r="N4040" s="19"/>
      <c r="O4040" s="43"/>
      <c r="P4040" s="19"/>
      <c r="Q4040" s="19"/>
      <c r="R4040" s="19"/>
      <c r="S4040" s="19"/>
      <c r="T4040" s="19"/>
      <c r="U4040" s="19"/>
      <c r="V4040" s="44"/>
      <c r="W4040" s="19"/>
      <c r="X4040" s="19"/>
      <c r="Y4040" s="19"/>
      <c r="Z4040" s="19"/>
      <c r="AA4040" s="19"/>
      <c r="AB4040" s="19"/>
      <c r="AC4040" s="19"/>
      <c r="AD4040" s="19"/>
      <c r="AE4040" s="19"/>
      <c r="AF4040" s="19"/>
      <c r="AG4040" s="19"/>
      <c r="AH4040" s="19"/>
      <c r="AI4040" s="19"/>
      <c r="AJ4040" s="19"/>
      <c r="AK4040" s="19"/>
      <c r="AL4040" s="6" t="str">
        <f t="array" ref="AL4040">IFERROR(IFS(XLOOKUP(B4040, 'Kit Delivery Status'!$U:$U, 'Kit Delivery Status'!$K:$K) = "Complete", "DELIVERED", XLOOKUP(B4040, 'Kit Delivery Status'!$U:$U, 'Kit Delivery Status'!$K:$K) = "Issue", "ISSUE"), "")</f>
        <v/>
      </c>
      <c r="AM4040" s="6"/>
    </row>
    <row r="4041">
      <c r="A4041" s="19"/>
      <c r="B4041" s="19"/>
      <c r="C4041" s="19"/>
      <c r="D4041" s="42"/>
      <c r="E4041" s="19"/>
      <c r="F4041" s="19"/>
      <c r="G4041" s="19"/>
      <c r="H4041" s="19"/>
      <c r="I4041" s="19"/>
      <c r="J4041" s="19"/>
      <c r="K4041" s="19"/>
      <c r="L4041" s="19"/>
      <c r="M4041" s="19"/>
      <c r="N4041" s="19"/>
      <c r="O4041" s="43"/>
      <c r="P4041" s="19"/>
      <c r="Q4041" s="19"/>
      <c r="R4041" s="19"/>
      <c r="S4041" s="19"/>
      <c r="T4041" s="19"/>
      <c r="U4041" s="19"/>
      <c r="V4041" s="44"/>
      <c r="W4041" s="19"/>
      <c r="X4041" s="19"/>
      <c r="Y4041" s="19"/>
      <c r="Z4041" s="19"/>
      <c r="AA4041" s="19"/>
      <c r="AB4041" s="19"/>
      <c r="AC4041" s="19"/>
      <c r="AD4041" s="19"/>
      <c r="AE4041" s="19"/>
      <c r="AF4041" s="19"/>
      <c r="AG4041" s="19"/>
      <c r="AH4041" s="19"/>
      <c r="AI4041" s="19"/>
      <c r="AJ4041" s="19"/>
      <c r="AK4041" s="19"/>
      <c r="AL4041" s="6" t="str">
        <f t="array" ref="AL4041">IFERROR(IFS(XLOOKUP(B4041, 'Kit Delivery Status'!$U:$U, 'Kit Delivery Status'!$K:$K) = "Complete", "DELIVERED", XLOOKUP(B4041, 'Kit Delivery Status'!$U:$U, 'Kit Delivery Status'!$K:$K) = "Issue", "ISSUE"), "")</f>
        <v/>
      </c>
      <c r="AM4041" s="6"/>
    </row>
    <row r="4042">
      <c r="A4042" s="19"/>
      <c r="B4042" s="19"/>
      <c r="C4042" s="19"/>
      <c r="D4042" s="42"/>
      <c r="E4042" s="19"/>
      <c r="F4042" s="19"/>
      <c r="G4042" s="19"/>
      <c r="H4042" s="19"/>
      <c r="I4042" s="19"/>
      <c r="J4042" s="19"/>
      <c r="K4042" s="19"/>
      <c r="L4042" s="19"/>
      <c r="M4042" s="19"/>
      <c r="N4042" s="19"/>
      <c r="O4042" s="43"/>
      <c r="P4042" s="19"/>
      <c r="Q4042" s="19"/>
      <c r="R4042" s="19"/>
      <c r="S4042" s="19"/>
      <c r="T4042" s="19"/>
      <c r="U4042" s="19"/>
      <c r="V4042" s="44"/>
      <c r="W4042" s="19"/>
      <c r="X4042" s="19"/>
      <c r="Y4042" s="19"/>
      <c r="Z4042" s="19"/>
      <c r="AA4042" s="19"/>
      <c r="AB4042" s="19"/>
      <c r="AC4042" s="19"/>
      <c r="AD4042" s="19"/>
      <c r="AE4042" s="19"/>
      <c r="AF4042" s="19"/>
      <c r="AG4042" s="19"/>
      <c r="AH4042" s="19"/>
      <c r="AI4042" s="19"/>
      <c r="AJ4042" s="19"/>
      <c r="AK4042" s="19"/>
      <c r="AL4042" s="6" t="str">
        <f t="array" ref="AL4042">IFERROR(IFS(XLOOKUP(B4042, 'Kit Delivery Status'!$U:$U, 'Kit Delivery Status'!$K:$K) = "Complete", "DELIVERED", XLOOKUP(B4042, 'Kit Delivery Status'!$U:$U, 'Kit Delivery Status'!$K:$K) = "Issue", "ISSUE"), "")</f>
        <v/>
      </c>
      <c r="AM4042" s="6"/>
    </row>
    <row r="4043">
      <c r="A4043" s="19"/>
      <c r="B4043" s="19"/>
      <c r="C4043" s="19"/>
      <c r="D4043" s="42"/>
      <c r="E4043" s="19"/>
      <c r="F4043" s="19"/>
      <c r="G4043" s="19"/>
      <c r="H4043" s="19"/>
      <c r="I4043" s="19"/>
      <c r="J4043" s="19"/>
      <c r="K4043" s="19"/>
      <c r="L4043" s="19"/>
      <c r="M4043" s="19"/>
      <c r="N4043" s="19"/>
      <c r="O4043" s="43"/>
      <c r="P4043" s="19"/>
      <c r="Q4043" s="19"/>
      <c r="R4043" s="19"/>
      <c r="S4043" s="19"/>
      <c r="T4043" s="19"/>
      <c r="U4043" s="19"/>
      <c r="V4043" s="44"/>
      <c r="W4043" s="19"/>
      <c r="X4043" s="19"/>
      <c r="Y4043" s="19"/>
      <c r="Z4043" s="19"/>
      <c r="AA4043" s="19"/>
      <c r="AB4043" s="19"/>
      <c r="AC4043" s="19"/>
      <c r="AD4043" s="19"/>
      <c r="AE4043" s="19"/>
      <c r="AF4043" s="19"/>
      <c r="AG4043" s="19"/>
      <c r="AH4043" s="19"/>
      <c r="AI4043" s="19"/>
      <c r="AJ4043" s="19"/>
      <c r="AK4043" s="19"/>
      <c r="AL4043" s="6" t="str">
        <f t="array" ref="AL4043">IFERROR(IFS(XLOOKUP(B4043, 'Kit Delivery Status'!$U:$U, 'Kit Delivery Status'!$K:$K) = "Complete", "DELIVERED", XLOOKUP(B4043, 'Kit Delivery Status'!$U:$U, 'Kit Delivery Status'!$K:$K) = "Issue", "ISSUE"), "")</f>
        <v/>
      </c>
      <c r="AM4043" s="6"/>
    </row>
    <row r="4044">
      <c r="A4044" s="19"/>
      <c r="B4044" s="19"/>
      <c r="C4044" s="19"/>
      <c r="D4044" s="42"/>
      <c r="E4044" s="19"/>
      <c r="F4044" s="19"/>
      <c r="G4044" s="19"/>
      <c r="H4044" s="19"/>
      <c r="I4044" s="19"/>
      <c r="J4044" s="19"/>
      <c r="K4044" s="19"/>
      <c r="L4044" s="19"/>
      <c r="M4044" s="19"/>
      <c r="N4044" s="19"/>
      <c r="O4044" s="43"/>
      <c r="P4044" s="19"/>
      <c r="Q4044" s="19"/>
      <c r="R4044" s="19"/>
      <c r="S4044" s="19"/>
      <c r="T4044" s="19"/>
      <c r="U4044" s="19"/>
      <c r="V4044" s="44"/>
      <c r="W4044" s="19"/>
      <c r="X4044" s="19"/>
      <c r="Y4044" s="19"/>
      <c r="Z4044" s="19"/>
      <c r="AA4044" s="19"/>
      <c r="AB4044" s="19"/>
      <c r="AC4044" s="19"/>
      <c r="AD4044" s="19"/>
      <c r="AE4044" s="19"/>
      <c r="AF4044" s="19"/>
      <c r="AG4044" s="19"/>
      <c r="AH4044" s="19"/>
      <c r="AI4044" s="19"/>
      <c r="AJ4044" s="19"/>
      <c r="AK4044" s="19"/>
      <c r="AL4044" s="6" t="str">
        <f t="array" ref="AL4044">IFERROR(IFS(XLOOKUP(B4044, 'Kit Delivery Status'!$U:$U, 'Kit Delivery Status'!$K:$K) = "Complete", "DELIVERED", XLOOKUP(B4044, 'Kit Delivery Status'!$U:$U, 'Kit Delivery Status'!$K:$K) = "Issue", "ISSUE"), "")</f>
        <v/>
      </c>
      <c r="AM4044" s="6"/>
    </row>
    <row r="4045">
      <c r="A4045" s="19"/>
      <c r="B4045" s="19"/>
      <c r="C4045" s="19"/>
      <c r="D4045" s="42"/>
      <c r="E4045" s="19"/>
      <c r="F4045" s="19"/>
      <c r="G4045" s="19"/>
      <c r="H4045" s="19"/>
      <c r="I4045" s="19"/>
      <c r="J4045" s="19"/>
      <c r="K4045" s="19"/>
      <c r="L4045" s="19"/>
      <c r="M4045" s="19"/>
      <c r="N4045" s="19"/>
      <c r="O4045" s="43"/>
      <c r="P4045" s="19"/>
      <c r="Q4045" s="19"/>
      <c r="R4045" s="19"/>
      <c r="S4045" s="19"/>
      <c r="T4045" s="19"/>
      <c r="U4045" s="19"/>
      <c r="V4045" s="44"/>
      <c r="W4045" s="19"/>
      <c r="X4045" s="19"/>
      <c r="Y4045" s="19"/>
      <c r="Z4045" s="19"/>
      <c r="AA4045" s="19"/>
      <c r="AB4045" s="19"/>
      <c r="AC4045" s="19"/>
      <c r="AD4045" s="19"/>
      <c r="AE4045" s="19"/>
      <c r="AF4045" s="19"/>
      <c r="AG4045" s="19"/>
      <c r="AH4045" s="19"/>
      <c r="AI4045" s="19"/>
      <c r="AJ4045" s="19"/>
      <c r="AK4045" s="19"/>
      <c r="AL4045" s="6" t="str">
        <f t="array" ref="AL4045">IFERROR(IFS(XLOOKUP(B4045, 'Kit Delivery Status'!$U:$U, 'Kit Delivery Status'!$K:$K) = "Complete", "DELIVERED", XLOOKUP(B4045, 'Kit Delivery Status'!$U:$U, 'Kit Delivery Status'!$K:$K) = "Issue", "ISSUE"), "")</f>
        <v/>
      </c>
      <c r="AM4045" s="6"/>
    </row>
    <row r="4046">
      <c r="A4046" s="19"/>
      <c r="B4046" s="19"/>
      <c r="C4046" s="19"/>
      <c r="D4046" s="42"/>
      <c r="E4046" s="19"/>
      <c r="F4046" s="19"/>
      <c r="G4046" s="19"/>
      <c r="H4046" s="19"/>
      <c r="I4046" s="19"/>
      <c r="J4046" s="19"/>
      <c r="K4046" s="19"/>
      <c r="L4046" s="19"/>
      <c r="M4046" s="19"/>
      <c r="N4046" s="19"/>
      <c r="O4046" s="43"/>
      <c r="P4046" s="19"/>
      <c r="Q4046" s="19"/>
      <c r="R4046" s="19"/>
      <c r="S4046" s="19"/>
      <c r="T4046" s="19"/>
      <c r="U4046" s="19"/>
      <c r="V4046" s="44"/>
      <c r="W4046" s="19"/>
      <c r="X4046" s="19"/>
      <c r="Y4046" s="19"/>
      <c r="Z4046" s="19"/>
      <c r="AA4046" s="19"/>
      <c r="AB4046" s="19"/>
      <c r="AC4046" s="19"/>
      <c r="AD4046" s="19"/>
      <c r="AE4046" s="19"/>
      <c r="AF4046" s="19"/>
      <c r="AG4046" s="19"/>
      <c r="AH4046" s="19"/>
      <c r="AI4046" s="19"/>
      <c r="AJ4046" s="19"/>
      <c r="AK4046" s="19"/>
      <c r="AL4046" s="6" t="str">
        <f t="array" ref="AL4046">IFERROR(IFS(XLOOKUP(B4046, 'Kit Delivery Status'!$U:$U, 'Kit Delivery Status'!$K:$K) = "Complete", "DELIVERED", XLOOKUP(B4046, 'Kit Delivery Status'!$U:$U, 'Kit Delivery Status'!$K:$K) = "Issue", "ISSUE"), "")</f>
        <v/>
      </c>
      <c r="AM4046" s="6"/>
    </row>
    <row r="4047">
      <c r="A4047" s="19"/>
      <c r="B4047" s="19"/>
      <c r="C4047" s="19"/>
      <c r="D4047" s="42"/>
      <c r="E4047" s="19"/>
      <c r="F4047" s="19"/>
      <c r="G4047" s="19"/>
      <c r="H4047" s="19"/>
      <c r="I4047" s="19"/>
      <c r="J4047" s="19"/>
      <c r="K4047" s="19"/>
      <c r="L4047" s="19"/>
      <c r="M4047" s="19"/>
      <c r="N4047" s="19"/>
      <c r="O4047" s="43"/>
      <c r="P4047" s="19"/>
      <c r="Q4047" s="19"/>
      <c r="R4047" s="19"/>
      <c r="S4047" s="19"/>
      <c r="T4047" s="19"/>
      <c r="U4047" s="19"/>
      <c r="V4047" s="44"/>
      <c r="W4047" s="19"/>
      <c r="X4047" s="19"/>
      <c r="Y4047" s="19"/>
      <c r="Z4047" s="19"/>
      <c r="AA4047" s="19"/>
      <c r="AB4047" s="19"/>
      <c r="AC4047" s="19"/>
      <c r="AD4047" s="19"/>
      <c r="AE4047" s="19"/>
      <c r="AF4047" s="19"/>
      <c r="AG4047" s="19"/>
      <c r="AH4047" s="19"/>
      <c r="AI4047" s="19"/>
      <c r="AJ4047" s="19"/>
      <c r="AK4047" s="19"/>
      <c r="AL4047" s="6" t="str">
        <f t="array" ref="AL4047">IFERROR(IFS(XLOOKUP(B4047, 'Kit Delivery Status'!$U:$U, 'Kit Delivery Status'!$K:$K) = "Complete", "DELIVERED", XLOOKUP(B4047, 'Kit Delivery Status'!$U:$U, 'Kit Delivery Status'!$K:$K) = "Issue", "ISSUE"), "")</f>
        <v/>
      </c>
      <c r="AM4047" s="6"/>
    </row>
    <row r="4048">
      <c r="A4048" s="19"/>
      <c r="B4048" s="19"/>
      <c r="C4048" s="19"/>
      <c r="D4048" s="42"/>
      <c r="E4048" s="19"/>
      <c r="F4048" s="19"/>
      <c r="G4048" s="19"/>
      <c r="H4048" s="19"/>
      <c r="I4048" s="19"/>
      <c r="J4048" s="19"/>
      <c r="K4048" s="19"/>
      <c r="L4048" s="19"/>
      <c r="M4048" s="19"/>
      <c r="N4048" s="19"/>
      <c r="O4048" s="43"/>
      <c r="P4048" s="19"/>
      <c r="Q4048" s="19"/>
      <c r="R4048" s="19"/>
      <c r="S4048" s="19"/>
      <c r="T4048" s="19"/>
      <c r="U4048" s="19"/>
      <c r="V4048" s="44"/>
      <c r="W4048" s="19"/>
      <c r="X4048" s="19"/>
      <c r="Y4048" s="19"/>
      <c r="Z4048" s="19"/>
      <c r="AA4048" s="19"/>
      <c r="AB4048" s="19"/>
      <c r="AC4048" s="19"/>
      <c r="AD4048" s="19"/>
      <c r="AE4048" s="19"/>
      <c r="AF4048" s="19"/>
      <c r="AG4048" s="19"/>
      <c r="AH4048" s="19"/>
      <c r="AI4048" s="19"/>
      <c r="AJ4048" s="19"/>
      <c r="AK4048" s="19"/>
      <c r="AL4048" s="6" t="str">
        <f t="array" ref="AL4048">IFERROR(IFS(XLOOKUP(B4048, 'Kit Delivery Status'!$U:$U, 'Kit Delivery Status'!$K:$K) = "Complete", "DELIVERED", XLOOKUP(B4048, 'Kit Delivery Status'!$U:$U, 'Kit Delivery Status'!$K:$K) = "Issue", "ISSUE"), "")</f>
        <v/>
      </c>
      <c r="AM4048" s="6"/>
    </row>
    <row r="4049">
      <c r="A4049" s="19"/>
      <c r="B4049" s="19"/>
      <c r="C4049" s="19"/>
      <c r="D4049" s="42"/>
      <c r="E4049" s="19"/>
      <c r="F4049" s="19"/>
      <c r="G4049" s="19"/>
      <c r="H4049" s="19"/>
      <c r="I4049" s="19"/>
      <c r="J4049" s="19"/>
      <c r="K4049" s="19"/>
      <c r="L4049" s="19"/>
      <c r="M4049" s="19"/>
      <c r="N4049" s="19"/>
      <c r="O4049" s="43"/>
      <c r="P4049" s="19"/>
      <c r="Q4049" s="19"/>
      <c r="R4049" s="19"/>
      <c r="S4049" s="19"/>
      <c r="T4049" s="19"/>
      <c r="U4049" s="19"/>
      <c r="V4049" s="44"/>
      <c r="W4049" s="19"/>
      <c r="X4049" s="19"/>
      <c r="Y4049" s="19"/>
      <c r="Z4049" s="19"/>
      <c r="AA4049" s="19"/>
      <c r="AB4049" s="19"/>
      <c r="AC4049" s="19"/>
      <c r="AD4049" s="19"/>
      <c r="AE4049" s="19"/>
      <c r="AF4049" s="19"/>
      <c r="AG4049" s="19"/>
      <c r="AH4049" s="19"/>
      <c r="AI4049" s="19"/>
      <c r="AJ4049" s="19"/>
      <c r="AK4049" s="19"/>
      <c r="AL4049" s="6" t="str">
        <f t="array" ref="AL4049">IFERROR(IFS(XLOOKUP(B4049, 'Kit Delivery Status'!$U:$U, 'Kit Delivery Status'!$K:$K) = "Complete", "DELIVERED", XLOOKUP(B4049, 'Kit Delivery Status'!$U:$U, 'Kit Delivery Status'!$K:$K) = "Issue", "ISSUE"), "")</f>
        <v/>
      </c>
      <c r="AM4049" s="6"/>
    </row>
    <row r="4050">
      <c r="A4050" s="19"/>
      <c r="B4050" s="19"/>
      <c r="C4050" s="19"/>
      <c r="D4050" s="42"/>
      <c r="E4050" s="19"/>
      <c r="F4050" s="19"/>
      <c r="G4050" s="19"/>
      <c r="H4050" s="19"/>
      <c r="I4050" s="19"/>
      <c r="J4050" s="19"/>
      <c r="K4050" s="19"/>
      <c r="L4050" s="19"/>
      <c r="M4050" s="19"/>
      <c r="N4050" s="19"/>
      <c r="O4050" s="43"/>
      <c r="P4050" s="19"/>
      <c r="Q4050" s="19"/>
      <c r="R4050" s="19"/>
      <c r="S4050" s="19"/>
      <c r="T4050" s="19"/>
      <c r="U4050" s="19"/>
      <c r="V4050" s="44"/>
      <c r="W4050" s="19"/>
      <c r="X4050" s="19"/>
      <c r="Y4050" s="19"/>
      <c r="Z4050" s="19"/>
      <c r="AA4050" s="19"/>
      <c r="AB4050" s="19"/>
      <c r="AC4050" s="19"/>
      <c r="AD4050" s="19"/>
      <c r="AE4050" s="19"/>
      <c r="AF4050" s="19"/>
      <c r="AG4050" s="19"/>
      <c r="AH4050" s="19"/>
      <c r="AI4050" s="19"/>
      <c r="AJ4050" s="19"/>
      <c r="AK4050" s="19"/>
      <c r="AL4050" s="6" t="str">
        <f t="array" ref="AL4050">IFERROR(IFS(XLOOKUP(B4050, 'Kit Delivery Status'!$U:$U, 'Kit Delivery Status'!$K:$K) = "Complete", "DELIVERED", XLOOKUP(B4050, 'Kit Delivery Status'!$U:$U, 'Kit Delivery Status'!$K:$K) = "Issue", "ISSUE"), "")</f>
        <v/>
      </c>
      <c r="AM4050" s="6"/>
    </row>
    <row r="4051">
      <c r="A4051" s="19"/>
      <c r="B4051" s="19"/>
      <c r="C4051" s="19"/>
      <c r="D4051" s="42"/>
      <c r="E4051" s="19"/>
      <c r="F4051" s="19"/>
      <c r="G4051" s="19"/>
      <c r="H4051" s="19"/>
      <c r="I4051" s="19"/>
      <c r="J4051" s="19"/>
      <c r="K4051" s="19"/>
      <c r="L4051" s="19"/>
      <c r="M4051" s="19"/>
      <c r="N4051" s="19"/>
      <c r="O4051" s="43"/>
      <c r="P4051" s="19"/>
      <c r="Q4051" s="19"/>
      <c r="R4051" s="19"/>
      <c r="S4051" s="19"/>
      <c r="T4051" s="19"/>
      <c r="U4051" s="19"/>
      <c r="V4051" s="44"/>
      <c r="W4051" s="19"/>
      <c r="X4051" s="19"/>
      <c r="Y4051" s="19"/>
      <c r="Z4051" s="19"/>
      <c r="AA4051" s="19"/>
      <c r="AB4051" s="19"/>
      <c r="AC4051" s="19"/>
      <c r="AD4051" s="19"/>
      <c r="AE4051" s="19"/>
      <c r="AF4051" s="19"/>
      <c r="AG4051" s="19"/>
      <c r="AH4051" s="19"/>
      <c r="AI4051" s="19"/>
      <c r="AJ4051" s="19"/>
      <c r="AK4051" s="19"/>
      <c r="AL4051" s="6" t="str">
        <f t="array" ref="AL4051">IFERROR(IFS(XLOOKUP(B4051, 'Kit Delivery Status'!$U:$U, 'Kit Delivery Status'!$K:$K) = "Complete", "DELIVERED", XLOOKUP(B4051, 'Kit Delivery Status'!$U:$U, 'Kit Delivery Status'!$K:$K) = "Issue", "ISSUE"), "")</f>
        <v/>
      </c>
      <c r="AM4051" s="6"/>
    </row>
    <row r="4052">
      <c r="A4052" s="19"/>
      <c r="B4052" s="19"/>
      <c r="C4052" s="19"/>
      <c r="D4052" s="42"/>
      <c r="E4052" s="19"/>
      <c r="F4052" s="19"/>
      <c r="G4052" s="19"/>
      <c r="H4052" s="19"/>
      <c r="I4052" s="19"/>
      <c r="J4052" s="19"/>
      <c r="K4052" s="19"/>
      <c r="L4052" s="19"/>
      <c r="M4052" s="19"/>
      <c r="N4052" s="19"/>
      <c r="O4052" s="43"/>
      <c r="P4052" s="19"/>
      <c r="Q4052" s="19"/>
      <c r="R4052" s="19"/>
      <c r="S4052" s="19"/>
      <c r="T4052" s="19"/>
      <c r="U4052" s="19"/>
      <c r="V4052" s="44"/>
      <c r="W4052" s="19"/>
      <c r="X4052" s="19"/>
      <c r="Y4052" s="19"/>
      <c r="Z4052" s="19"/>
      <c r="AA4052" s="19"/>
      <c r="AB4052" s="19"/>
      <c r="AC4052" s="19"/>
      <c r="AD4052" s="19"/>
      <c r="AE4052" s="19"/>
      <c r="AF4052" s="19"/>
      <c r="AG4052" s="19"/>
      <c r="AH4052" s="19"/>
      <c r="AI4052" s="19"/>
      <c r="AJ4052" s="19"/>
      <c r="AK4052" s="19"/>
      <c r="AL4052" s="6" t="str">
        <f t="array" ref="AL4052">IFERROR(IFS(XLOOKUP(B4052, 'Kit Delivery Status'!$U:$U, 'Kit Delivery Status'!$K:$K) = "Complete", "DELIVERED", XLOOKUP(B4052, 'Kit Delivery Status'!$U:$U, 'Kit Delivery Status'!$K:$K) = "Issue", "ISSUE"), "")</f>
        <v/>
      </c>
      <c r="AM4052" s="6"/>
    </row>
    <row r="4053">
      <c r="A4053" s="19"/>
      <c r="B4053" s="19"/>
      <c r="C4053" s="19"/>
      <c r="D4053" s="42"/>
      <c r="E4053" s="19"/>
      <c r="F4053" s="19"/>
      <c r="G4053" s="19"/>
      <c r="H4053" s="19"/>
      <c r="I4053" s="19"/>
      <c r="J4053" s="19"/>
      <c r="K4053" s="19"/>
      <c r="L4053" s="19"/>
      <c r="M4053" s="19"/>
      <c r="N4053" s="19"/>
      <c r="O4053" s="43"/>
      <c r="P4053" s="19"/>
      <c r="Q4053" s="19"/>
      <c r="R4053" s="19"/>
      <c r="S4053" s="19"/>
      <c r="T4053" s="19"/>
      <c r="U4053" s="19"/>
      <c r="V4053" s="44"/>
      <c r="W4053" s="19"/>
      <c r="X4053" s="19"/>
      <c r="Y4053" s="19"/>
      <c r="Z4053" s="19"/>
      <c r="AA4053" s="19"/>
      <c r="AB4053" s="19"/>
      <c r="AC4053" s="19"/>
      <c r="AD4053" s="19"/>
      <c r="AE4053" s="19"/>
      <c r="AF4053" s="19"/>
      <c r="AG4053" s="19"/>
      <c r="AH4053" s="19"/>
      <c r="AI4053" s="19"/>
      <c r="AJ4053" s="19"/>
      <c r="AK4053" s="19"/>
      <c r="AL4053" s="6" t="str">
        <f t="array" ref="AL4053">IFERROR(IFS(XLOOKUP(B4053, 'Kit Delivery Status'!$U:$U, 'Kit Delivery Status'!$K:$K) = "Complete", "DELIVERED", XLOOKUP(B4053, 'Kit Delivery Status'!$U:$U, 'Kit Delivery Status'!$K:$K) = "Issue", "ISSUE"), "")</f>
        <v/>
      </c>
      <c r="AM4053" s="6"/>
    </row>
    <row r="4054">
      <c r="A4054" s="19"/>
      <c r="B4054" s="19"/>
      <c r="C4054" s="19"/>
      <c r="D4054" s="42"/>
      <c r="E4054" s="19"/>
      <c r="F4054" s="19"/>
      <c r="G4054" s="19"/>
      <c r="H4054" s="19"/>
      <c r="I4054" s="19"/>
      <c r="J4054" s="19"/>
      <c r="K4054" s="19"/>
      <c r="L4054" s="19"/>
      <c r="M4054" s="19"/>
      <c r="N4054" s="19"/>
      <c r="O4054" s="43"/>
      <c r="P4054" s="19"/>
      <c r="Q4054" s="19"/>
      <c r="R4054" s="19"/>
      <c r="S4054" s="19"/>
      <c r="T4054" s="19"/>
      <c r="U4054" s="19"/>
      <c r="V4054" s="44"/>
      <c r="W4054" s="19"/>
      <c r="X4054" s="19"/>
      <c r="Y4054" s="19"/>
      <c r="Z4054" s="19"/>
      <c r="AA4054" s="19"/>
      <c r="AB4054" s="19"/>
      <c r="AC4054" s="19"/>
      <c r="AD4054" s="19"/>
      <c r="AE4054" s="19"/>
      <c r="AF4054" s="19"/>
      <c r="AG4054" s="19"/>
      <c r="AH4054" s="19"/>
      <c r="AI4054" s="19"/>
      <c r="AJ4054" s="19"/>
      <c r="AK4054" s="19"/>
      <c r="AL4054" s="6" t="str">
        <f t="array" ref="AL4054">IFERROR(IFS(XLOOKUP(B4054, 'Kit Delivery Status'!$U:$U, 'Kit Delivery Status'!$K:$K) = "Complete", "DELIVERED", XLOOKUP(B4054, 'Kit Delivery Status'!$U:$U, 'Kit Delivery Status'!$K:$K) = "Issue", "ISSUE"), "")</f>
        <v/>
      </c>
      <c r="AM4054" s="6"/>
    </row>
    <row r="4055">
      <c r="A4055" s="19"/>
      <c r="B4055" s="19"/>
      <c r="C4055" s="19"/>
      <c r="D4055" s="42"/>
      <c r="E4055" s="19"/>
      <c r="F4055" s="19"/>
      <c r="G4055" s="19"/>
      <c r="H4055" s="19"/>
      <c r="I4055" s="19"/>
      <c r="J4055" s="19"/>
      <c r="K4055" s="19"/>
      <c r="L4055" s="19"/>
      <c r="M4055" s="19"/>
      <c r="N4055" s="19"/>
      <c r="O4055" s="43"/>
      <c r="P4055" s="19"/>
      <c r="Q4055" s="19"/>
      <c r="R4055" s="19"/>
      <c r="S4055" s="19"/>
      <c r="T4055" s="19"/>
      <c r="U4055" s="19"/>
      <c r="V4055" s="44"/>
      <c r="W4055" s="19"/>
      <c r="X4055" s="19"/>
      <c r="Y4055" s="19"/>
      <c r="Z4055" s="19"/>
      <c r="AA4055" s="19"/>
      <c r="AB4055" s="19"/>
      <c r="AC4055" s="19"/>
      <c r="AD4055" s="19"/>
      <c r="AE4055" s="19"/>
      <c r="AF4055" s="19"/>
      <c r="AG4055" s="19"/>
      <c r="AH4055" s="19"/>
      <c r="AI4055" s="19"/>
      <c r="AJ4055" s="19"/>
      <c r="AK4055" s="19"/>
      <c r="AL4055" s="6" t="str">
        <f t="array" ref="AL4055">IFERROR(IFS(XLOOKUP(B4055, 'Kit Delivery Status'!$U:$U, 'Kit Delivery Status'!$K:$K) = "Complete", "DELIVERED", XLOOKUP(B4055, 'Kit Delivery Status'!$U:$U, 'Kit Delivery Status'!$K:$K) = "Issue", "ISSUE"), "")</f>
        <v/>
      </c>
      <c r="AM4055" s="6"/>
    </row>
    <row r="4056">
      <c r="A4056" s="19"/>
      <c r="B4056" s="19"/>
      <c r="C4056" s="19"/>
      <c r="D4056" s="42"/>
      <c r="E4056" s="19"/>
      <c r="F4056" s="19"/>
      <c r="G4056" s="19"/>
      <c r="H4056" s="19"/>
      <c r="I4056" s="19"/>
      <c r="J4056" s="19"/>
      <c r="K4056" s="19"/>
      <c r="L4056" s="19"/>
      <c r="M4056" s="19"/>
      <c r="N4056" s="19"/>
      <c r="O4056" s="43"/>
      <c r="P4056" s="19"/>
      <c r="Q4056" s="19"/>
      <c r="R4056" s="19"/>
      <c r="S4056" s="19"/>
      <c r="T4056" s="19"/>
      <c r="U4056" s="19"/>
      <c r="V4056" s="44"/>
      <c r="W4056" s="19"/>
      <c r="X4056" s="19"/>
      <c r="Y4056" s="19"/>
      <c r="Z4056" s="19"/>
      <c r="AA4056" s="19"/>
      <c r="AB4056" s="19"/>
      <c r="AC4056" s="19"/>
      <c r="AD4056" s="19"/>
      <c r="AE4056" s="19"/>
      <c r="AF4056" s="19"/>
      <c r="AG4056" s="19"/>
      <c r="AH4056" s="19"/>
      <c r="AI4056" s="19"/>
      <c r="AJ4056" s="19"/>
      <c r="AK4056" s="19"/>
      <c r="AL4056" s="6" t="str">
        <f t="array" ref="AL4056">IFERROR(IFS(XLOOKUP(B4056, 'Kit Delivery Status'!$U:$U, 'Kit Delivery Status'!$K:$K) = "Complete", "DELIVERED", XLOOKUP(B4056, 'Kit Delivery Status'!$U:$U, 'Kit Delivery Status'!$K:$K) = "Issue", "ISSUE"), "")</f>
        <v/>
      </c>
      <c r="AM4056" s="6"/>
    </row>
    <row r="4057">
      <c r="A4057" s="19"/>
      <c r="B4057" s="19"/>
      <c r="C4057" s="19"/>
      <c r="D4057" s="42"/>
      <c r="E4057" s="19"/>
      <c r="F4057" s="19"/>
      <c r="G4057" s="19"/>
      <c r="H4057" s="19"/>
      <c r="I4057" s="19"/>
      <c r="J4057" s="19"/>
      <c r="K4057" s="19"/>
      <c r="L4057" s="19"/>
      <c r="M4057" s="19"/>
      <c r="N4057" s="19"/>
      <c r="O4057" s="43"/>
      <c r="P4057" s="19"/>
      <c r="Q4057" s="19"/>
      <c r="R4057" s="19"/>
      <c r="S4057" s="19"/>
      <c r="T4057" s="19"/>
      <c r="U4057" s="19"/>
      <c r="V4057" s="44"/>
      <c r="W4057" s="19"/>
      <c r="X4057" s="19"/>
      <c r="Y4057" s="19"/>
      <c r="Z4057" s="19"/>
      <c r="AA4057" s="19"/>
      <c r="AB4057" s="19"/>
      <c r="AC4057" s="19"/>
      <c r="AD4057" s="19"/>
      <c r="AE4057" s="19"/>
      <c r="AF4057" s="19"/>
      <c r="AG4057" s="19"/>
      <c r="AH4057" s="19"/>
      <c r="AI4057" s="19"/>
      <c r="AJ4057" s="19"/>
      <c r="AK4057" s="19"/>
      <c r="AL4057" s="6" t="str">
        <f t="array" ref="AL4057">IFERROR(IFS(XLOOKUP(B4057, 'Kit Delivery Status'!$U:$U, 'Kit Delivery Status'!$K:$K) = "Complete", "DELIVERED", XLOOKUP(B4057, 'Kit Delivery Status'!$U:$U, 'Kit Delivery Status'!$K:$K) = "Issue", "ISSUE"), "")</f>
        <v/>
      </c>
      <c r="AM4057" s="6"/>
    </row>
    <row r="4058">
      <c r="A4058" s="19"/>
      <c r="B4058" s="19"/>
      <c r="C4058" s="19"/>
      <c r="D4058" s="42"/>
      <c r="E4058" s="19"/>
      <c r="F4058" s="19"/>
      <c r="G4058" s="19"/>
      <c r="H4058" s="19"/>
      <c r="I4058" s="19"/>
      <c r="J4058" s="19"/>
      <c r="K4058" s="19"/>
      <c r="L4058" s="19"/>
      <c r="M4058" s="19"/>
      <c r="N4058" s="19"/>
      <c r="O4058" s="43"/>
      <c r="P4058" s="19"/>
      <c r="Q4058" s="19"/>
      <c r="R4058" s="19"/>
      <c r="S4058" s="19"/>
      <c r="T4058" s="19"/>
      <c r="U4058" s="19"/>
      <c r="V4058" s="44"/>
      <c r="W4058" s="19"/>
      <c r="X4058" s="19"/>
      <c r="Y4058" s="19"/>
      <c r="Z4058" s="19"/>
      <c r="AA4058" s="19"/>
      <c r="AB4058" s="19"/>
      <c r="AC4058" s="19"/>
      <c r="AD4058" s="19"/>
      <c r="AE4058" s="19"/>
      <c r="AF4058" s="19"/>
      <c r="AG4058" s="19"/>
      <c r="AH4058" s="19"/>
      <c r="AI4058" s="19"/>
      <c r="AJ4058" s="19"/>
      <c r="AK4058" s="19"/>
      <c r="AL4058" s="6" t="str">
        <f t="array" ref="AL4058">IFERROR(IFS(XLOOKUP(B4058, 'Kit Delivery Status'!$U:$U, 'Kit Delivery Status'!$K:$K) = "Complete", "DELIVERED", XLOOKUP(B4058, 'Kit Delivery Status'!$U:$U, 'Kit Delivery Status'!$K:$K) = "Issue", "ISSUE"), "")</f>
        <v/>
      </c>
      <c r="AM4058" s="6"/>
    </row>
    <row r="4059">
      <c r="A4059" s="19"/>
      <c r="B4059" s="19"/>
      <c r="C4059" s="19"/>
      <c r="D4059" s="42"/>
      <c r="E4059" s="19"/>
      <c r="F4059" s="19"/>
      <c r="G4059" s="19"/>
      <c r="H4059" s="19"/>
      <c r="I4059" s="19"/>
      <c r="J4059" s="19"/>
      <c r="K4059" s="19"/>
      <c r="L4059" s="19"/>
      <c r="M4059" s="19"/>
      <c r="N4059" s="19"/>
      <c r="O4059" s="43"/>
      <c r="P4059" s="19"/>
      <c r="Q4059" s="19"/>
      <c r="R4059" s="19"/>
      <c r="S4059" s="19"/>
      <c r="T4059" s="19"/>
      <c r="U4059" s="19"/>
      <c r="V4059" s="44"/>
      <c r="W4059" s="19"/>
      <c r="X4059" s="19"/>
      <c r="Y4059" s="19"/>
      <c r="Z4059" s="19"/>
      <c r="AA4059" s="19"/>
      <c r="AB4059" s="19"/>
      <c r="AC4059" s="19"/>
      <c r="AD4059" s="19"/>
      <c r="AE4059" s="19"/>
      <c r="AF4059" s="19"/>
      <c r="AG4059" s="19"/>
      <c r="AH4059" s="19"/>
      <c r="AI4059" s="19"/>
      <c r="AJ4059" s="19"/>
      <c r="AK4059" s="19"/>
      <c r="AL4059" s="6" t="str">
        <f t="array" ref="AL4059">IFERROR(IFS(XLOOKUP(B4059, 'Kit Delivery Status'!$U:$U, 'Kit Delivery Status'!$K:$K) = "Complete", "DELIVERED", XLOOKUP(B4059, 'Kit Delivery Status'!$U:$U, 'Kit Delivery Status'!$K:$K) = "Issue", "ISSUE"), "")</f>
        <v/>
      </c>
      <c r="AM4059" s="6"/>
    </row>
    <row r="4060">
      <c r="A4060" s="19"/>
      <c r="B4060" s="19"/>
      <c r="C4060" s="19"/>
      <c r="D4060" s="42"/>
      <c r="E4060" s="19"/>
      <c r="F4060" s="19"/>
      <c r="G4060" s="19"/>
      <c r="H4060" s="19"/>
      <c r="I4060" s="19"/>
      <c r="J4060" s="19"/>
      <c r="K4060" s="19"/>
      <c r="L4060" s="19"/>
      <c r="M4060" s="19"/>
      <c r="N4060" s="19"/>
      <c r="O4060" s="43"/>
      <c r="P4060" s="19"/>
      <c r="Q4060" s="19"/>
      <c r="R4060" s="19"/>
      <c r="S4060" s="19"/>
      <c r="T4060" s="19"/>
      <c r="U4060" s="19"/>
      <c r="V4060" s="44"/>
      <c r="W4060" s="19"/>
      <c r="X4060" s="19"/>
      <c r="Y4060" s="19"/>
      <c r="Z4060" s="19"/>
      <c r="AA4060" s="19"/>
      <c r="AB4060" s="19"/>
      <c r="AC4060" s="19"/>
      <c r="AD4060" s="19"/>
      <c r="AE4060" s="19"/>
      <c r="AF4060" s="19"/>
      <c r="AG4060" s="19"/>
      <c r="AH4060" s="19"/>
      <c r="AI4060" s="19"/>
      <c r="AJ4060" s="19"/>
      <c r="AK4060" s="19"/>
      <c r="AL4060" s="6" t="str">
        <f t="array" ref="AL4060">IFERROR(IFS(XLOOKUP(B4060, 'Kit Delivery Status'!$U:$U, 'Kit Delivery Status'!$K:$K) = "Complete", "DELIVERED", XLOOKUP(B4060, 'Kit Delivery Status'!$U:$U, 'Kit Delivery Status'!$K:$K) = "Issue", "ISSUE"), "")</f>
        <v/>
      </c>
      <c r="AM4060" s="6"/>
    </row>
    <row r="4061">
      <c r="A4061" s="19"/>
      <c r="B4061" s="19"/>
      <c r="C4061" s="19"/>
      <c r="D4061" s="42"/>
      <c r="E4061" s="19"/>
      <c r="F4061" s="19"/>
      <c r="G4061" s="19"/>
      <c r="H4061" s="19"/>
      <c r="I4061" s="19"/>
      <c r="J4061" s="19"/>
      <c r="K4061" s="19"/>
      <c r="L4061" s="19"/>
      <c r="M4061" s="19"/>
      <c r="N4061" s="19"/>
      <c r="O4061" s="43"/>
      <c r="P4061" s="19"/>
      <c r="Q4061" s="19"/>
      <c r="R4061" s="19"/>
      <c r="S4061" s="19"/>
      <c r="T4061" s="19"/>
      <c r="U4061" s="19"/>
      <c r="V4061" s="44"/>
      <c r="W4061" s="19"/>
      <c r="X4061" s="19"/>
      <c r="Y4061" s="19"/>
      <c r="Z4061" s="19"/>
      <c r="AA4061" s="19"/>
      <c r="AB4061" s="19"/>
      <c r="AC4061" s="19"/>
      <c r="AD4061" s="19"/>
      <c r="AE4061" s="19"/>
      <c r="AF4061" s="19"/>
      <c r="AG4061" s="19"/>
      <c r="AH4061" s="19"/>
      <c r="AI4061" s="19"/>
      <c r="AJ4061" s="19"/>
      <c r="AK4061" s="19"/>
      <c r="AL4061" s="6" t="str">
        <f t="array" ref="AL4061">IFERROR(IFS(XLOOKUP(B4061, 'Kit Delivery Status'!$U:$U, 'Kit Delivery Status'!$K:$K) = "Complete", "DELIVERED", XLOOKUP(B4061, 'Kit Delivery Status'!$U:$U, 'Kit Delivery Status'!$K:$K) = "Issue", "ISSUE"), "")</f>
        <v/>
      </c>
      <c r="AM4061" s="6"/>
    </row>
    <row r="4062">
      <c r="A4062" s="19"/>
      <c r="B4062" s="19"/>
      <c r="C4062" s="19"/>
      <c r="D4062" s="42"/>
      <c r="E4062" s="19"/>
      <c r="F4062" s="19"/>
      <c r="G4062" s="19"/>
      <c r="H4062" s="19"/>
      <c r="I4062" s="19"/>
      <c r="J4062" s="19"/>
      <c r="K4062" s="19"/>
      <c r="L4062" s="19"/>
      <c r="M4062" s="19"/>
      <c r="N4062" s="19"/>
      <c r="O4062" s="43"/>
      <c r="P4062" s="19"/>
      <c r="Q4062" s="19"/>
      <c r="R4062" s="19"/>
      <c r="S4062" s="19"/>
      <c r="T4062" s="19"/>
      <c r="U4062" s="19"/>
      <c r="V4062" s="44"/>
      <c r="W4062" s="19"/>
      <c r="X4062" s="19"/>
      <c r="Y4062" s="19"/>
      <c r="Z4062" s="19"/>
      <c r="AA4062" s="19"/>
      <c r="AB4062" s="19"/>
      <c r="AC4062" s="19"/>
      <c r="AD4062" s="19"/>
      <c r="AE4062" s="19"/>
      <c r="AF4062" s="19"/>
      <c r="AG4062" s="19"/>
      <c r="AH4062" s="19"/>
      <c r="AI4062" s="19"/>
      <c r="AJ4062" s="19"/>
      <c r="AK4062" s="19"/>
      <c r="AL4062" s="6" t="str">
        <f t="array" ref="AL4062">IFERROR(IFS(XLOOKUP(B4062, 'Kit Delivery Status'!$U:$U, 'Kit Delivery Status'!$K:$K) = "Complete", "DELIVERED", XLOOKUP(B4062, 'Kit Delivery Status'!$U:$U, 'Kit Delivery Status'!$K:$K) = "Issue", "ISSUE"), "")</f>
        <v/>
      </c>
      <c r="AM4062" s="6"/>
    </row>
    <row r="4063">
      <c r="A4063" s="19"/>
      <c r="B4063" s="19"/>
      <c r="C4063" s="19"/>
      <c r="D4063" s="42"/>
      <c r="E4063" s="19"/>
      <c r="F4063" s="19"/>
      <c r="G4063" s="19"/>
      <c r="H4063" s="19"/>
      <c r="I4063" s="19"/>
      <c r="J4063" s="19"/>
      <c r="K4063" s="19"/>
      <c r="L4063" s="19"/>
      <c r="M4063" s="19"/>
      <c r="N4063" s="19"/>
      <c r="O4063" s="43"/>
      <c r="P4063" s="19"/>
      <c r="Q4063" s="19"/>
      <c r="R4063" s="19"/>
      <c r="S4063" s="19"/>
      <c r="T4063" s="19"/>
      <c r="U4063" s="19"/>
      <c r="V4063" s="44"/>
      <c r="W4063" s="19"/>
      <c r="X4063" s="19"/>
      <c r="Y4063" s="19"/>
      <c r="Z4063" s="19"/>
      <c r="AA4063" s="19"/>
      <c r="AB4063" s="19"/>
      <c r="AC4063" s="19"/>
      <c r="AD4063" s="19"/>
      <c r="AE4063" s="19"/>
      <c r="AF4063" s="19"/>
      <c r="AG4063" s="19"/>
      <c r="AH4063" s="19"/>
      <c r="AI4063" s="19"/>
      <c r="AJ4063" s="19"/>
      <c r="AK4063" s="19"/>
      <c r="AL4063" s="6" t="str">
        <f t="array" ref="AL4063">IFERROR(IFS(XLOOKUP(B4063, 'Kit Delivery Status'!$U:$U, 'Kit Delivery Status'!$K:$K) = "Complete", "DELIVERED", XLOOKUP(B4063, 'Kit Delivery Status'!$U:$U, 'Kit Delivery Status'!$K:$K) = "Issue", "ISSUE"), "")</f>
        <v/>
      </c>
      <c r="AM4063" s="6"/>
    </row>
    <row r="4064">
      <c r="A4064" s="19"/>
      <c r="B4064" s="19"/>
      <c r="C4064" s="19"/>
      <c r="D4064" s="42"/>
      <c r="E4064" s="19"/>
      <c r="F4064" s="19"/>
      <c r="G4064" s="19"/>
      <c r="H4064" s="19"/>
      <c r="I4064" s="19"/>
      <c r="J4064" s="19"/>
      <c r="K4064" s="19"/>
      <c r="L4064" s="19"/>
      <c r="M4064" s="19"/>
      <c r="N4064" s="19"/>
      <c r="O4064" s="43"/>
      <c r="P4064" s="19"/>
      <c r="Q4064" s="19"/>
      <c r="R4064" s="19"/>
      <c r="S4064" s="19"/>
      <c r="T4064" s="19"/>
      <c r="U4064" s="19"/>
      <c r="V4064" s="44"/>
      <c r="W4064" s="19"/>
      <c r="X4064" s="19"/>
      <c r="Y4064" s="19"/>
      <c r="Z4064" s="19"/>
      <c r="AA4064" s="19"/>
      <c r="AB4064" s="19"/>
      <c r="AC4064" s="19"/>
      <c r="AD4064" s="19"/>
      <c r="AE4064" s="19"/>
      <c r="AF4064" s="19"/>
      <c r="AG4064" s="19"/>
      <c r="AH4064" s="19"/>
      <c r="AI4064" s="19"/>
      <c r="AJ4064" s="19"/>
      <c r="AK4064" s="19"/>
      <c r="AL4064" s="6" t="str">
        <f t="array" ref="AL4064">IFERROR(IFS(XLOOKUP(B4064, 'Kit Delivery Status'!$U:$U, 'Kit Delivery Status'!$K:$K) = "Complete", "DELIVERED", XLOOKUP(B4064, 'Kit Delivery Status'!$U:$U, 'Kit Delivery Status'!$K:$K) = "Issue", "ISSUE"), "")</f>
        <v/>
      </c>
      <c r="AM4064" s="6"/>
    </row>
    <row r="4065">
      <c r="A4065" s="19"/>
      <c r="B4065" s="19"/>
      <c r="C4065" s="19"/>
      <c r="D4065" s="42"/>
      <c r="E4065" s="19"/>
      <c r="F4065" s="19"/>
      <c r="G4065" s="19"/>
      <c r="H4065" s="19"/>
      <c r="I4065" s="19"/>
      <c r="J4065" s="19"/>
      <c r="K4065" s="19"/>
      <c r="L4065" s="19"/>
      <c r="M4065" s="19"/>
      <c r="N4065" s="19"/>
      <c r="O4065" s="43"/>
      <c r="P4065" s="19"/>
      <c r="Q4065" s="19"/>
      <c r="R4065" s="19"/>
      <c r="S4065" s="19"/>
      <c r="T4065" s="19"/>
      <c r="U4065" s="19"/>
      <c r="V4065" s="44"/>
      <c r="W4065" s="19"/>
      <c r="X4065" s="19"/>
      <c r="Y4065" s="19"/>
      <c r="Z4065" s="19"/>
      <c r="AA4065" s="19"/>
      <c r="AB4065" s="19"/>
      <c r="AC4065" s="19"/>
      <c r="AD4065" s="19"/>
      <c r="AE4065" s="19"/>
      <c r="AF4065" s="19"/>
      <c r="AG4065" s="19"/>
      <c r="AH4065" s="19"/>
      <c r="AI4065" s="19"/>
      <c r="AJ4065" s="19"/>
      <c r="AK4065" s="19"/>
      <c r="AL4065" s="6" t="str">
        <f t="array" ref="AL4065">IFERROR(IFS(XLOOKUP(B4065, 'Kit Delivery Status'!$U:$U, 'Kit Delivery Status'!$K:$K) = "Complete", "DELIVERED", XLOOKUP(B4065, 'Kit Delivery Status'!$U:$U, 'Kit Delivery Status'!$K:$K) = "Issue", "ISSUE"), "")</f>
        <v/>
      </c>
      <c r="AM4065" s="6"/>
    </row>
    <row r="4066">
      <c r="A4066" s="19"/>
      <c r="B4066" s="19"/>
      <c r="C4066" s="19"/>
      <c r="D4066" s="42"/>
      <c r="E4066" s="19"/>
      <c r="F4066" s="19"/>
      <c r="G4066" s="19"/>
      <c r="H4066" s="19"/>
      <c r="I4066" s="19"/>
      <c r="J4066" s="19"/>
      <c r="K4066" s="19"/>
      <c r="L4066" s="19"/>
      <c r="M4066" s="19"/>
      <c r="N4066" s="19"/>
      <c r="O4066" s="43"/>
      <c r="P4066" s="19"/>
      <c r="Q4066" s="19"/>
      <c r="R4066" s="19"/>
      <c r="S4066" s="19"/>
      <c r="T4066" s="19"/>
      <c r="U4066" s="19"/>
      <c r="V4066" s="44"/>
      <c r="W4066" s="19"/>
      <c r="X4066" s="19"/>
      <c r="Y4066" s="19"/>
      <c r="Z4066" s="19"/>
      <c r="AA4066" s="19"/>
      <c r="AB4066" s="19"/>
      <c r="AC4066" s="19"/>
      <c r="AD4066" s="19"/>
      <c r="AE4066" s="19"/>
      <c r="AF4066" s="19"/>
      <c r="AG4066" s="19"/>
      <c r="AH4066" s="19"/>
      <c r="AI4066" s="19"/>
      <c r="AJ4066" s="19"/>
      <c r="AK4066" s="19"/>
      <c r="AL4066" s="6" t="str">
        <f t="array" ref="AL4066">IFERROR(IFS(XLOOKUP(B4066, 'Kit Delivery Status'!$U:$U, 'Kit Delivery Status'!$K:$K) = "Complete", "DELIVERED", XLOOKUP(B4066, 'Kit Delivery Status'!$U:$U, 'Kit Delivery Status'!$K:$K) = "Issue", "ISSUE"), "")</f>
        <v/>
      </c>
      <c r="AM4066" s="6"/>
    </row>
    <row r="4067">
      <c r="A4067" s="19"/>
      <c r="B4067" s="19"/>
      <c r="C4067" s="19"/>
      <c r="D4067" s="42"/>
      <c r="E4067" s="19"/>
      <c r="F4067" s="19"/>
      <c r="G4067" s="19"/>
      <c r="H4067" s="19"/>
      <c r="I4067" s="19"/>
      <c r="J4067" s="19"/>
      <c r="K4067" s="19"/>
      <c r="L4067" s="19"/>
      <c r="M4067" s="19"/>
      <c r="N4067" s="19"/>
      <c r="O4067" s="43"/>
      <c r="P4067" s="19"/>
      <c r="Q4067" s="19"/>
      <c r="R4067" s="19"/>
      <c r="S4067" s="19"/>
      <c r="T4067" s="19"/>
      <c r="U4067" s="19"/>
      <c r="V4067" s="44"/>
      <c r="W4067" s="19"/>
      <c r="X4067" s="19"/>
      <c r="Y4067" s="19"/>
      <c r="Z4067" s="19"/>
      <c r="AA4067" s="19"/>
      <c r="AB4067" s="19"/>
      <c r="AC4067" s="19"/>
      <c r="AD4067" s="19"/>
      <c r="AE4067" s="19"/>
      <c r="AF4067" s="19"/>
      <c r="AG4067" s="19"/>
      <c r="AH4067" s="19"/>
      <c r="AI4067" s="19"/>
      <c r="AJ4067" s="19"/>
      <c r="AK4067" s="19"/>
      <c r="AL4067" s="6" t="str">
        <f t="array" ref="AL4067">IFERROR(IFS(XLOOKUP(B4067, 'Kit Delivery Status'!$U:$U, 'Kit Delivery Status'!$K:$K) = "Complete", "DELIVERED", XLOOKUP(B4067, 'Kit Delivery Status'!$U:$U, 'Kit Delivery Status'!$K:$K) = "Issue", "ISSUE"), "")</f>
        <v/>
      </c>
      <c r="AM4067" s="6"/>
    </row>
    <row r="4068">
      <c r="A4068" s="19"/>
      <c r="B4068" s="19"/>
      <c r="C4068" s="19"/>
      <c r="D4068" s="42"/>
      <c r="E4068" s="19"/>
      <c r="F4068" s="19"/>
      <c r="G4068" s="19"/>
      <c r="H4068" s="19"/>
      <c r="I4068" s="19"/>
      <c r="J4068" s="19"/>
      <c r="K4068" s="19"/>
      <c r="L4068" s="19"/>
      <c r="M4068" s="19"/>
      <c r="N4068" s="19"/>
      <c r="O4068" s="43"/>
      <c r="P4068" s="19"/>
      <c r="Q4068" s="19"/>
      <c r="R4068" s="19"/>
      <c r="S4068" s="19"/>
      <c r="T4068" s="19"/>
      <c r="U4068" s="19"/>
      <c r="V4068" s="44"/>
      <c r="W4068" s="19"/>
      <c r="X4068" s="19"/>
      <c r="Y4068" s="19"/>
      <c r="Z4068" s="19"/>
      <c r="AA4068" s="19"/>
      <c r="AB4068" s="19"/>
      <c r="AC4068" s="19"/>
      <c r="AD4068" s="19"/>
      <c r="AE4068" s="19"/>
      <c r="AF4068" s="19"/>
      <c r="AG4068" s="19"/>
      <c r="AH4068" s="19"/>
      <c r="AI4068" s="19"/>
      <c r="AJ4068" s="19"/>
      <c r="AK4068" s="19"/>
      <c r="AL4068" s="6" t="str">
        <f t="array" ref="AL4068">IFERROR(IFS(XLOOKUP(B4068, 'Kit Delivery Status'!$U:$U, 'Kit Delivery Status'!$K:$K) = "Complete", "DELIVERED", XLOOKUP(B4068, 'Kit Delivery Status'!$U:$U, 'Kit Delivery Status'!$K:$K) = "Issue", "ISSUE"), "")</f>
        <v/>
      </c>
      <c r="AM4068" s="6"/>
    </row>
    <row r="4069">
      <c r="A4069" s="19"/>
      <c r="B4069" s="19"/>
      <c r="C4069" s="19"/>
      <c r="D4069" s="42"/>
      <c r="E4069" s="19"/>
      <c r="F4069" s="19"/>
      <c r="G4069" s="19"/>
      <c r="H4069" s="19"/>
      <c r="I4069" s="19"/>
      <c r="J4069" s="19"/>
      <c r="K4069" s="19"/>
      <c r="L4069" s="19"/>
      <c r="M4069" s="19"/>
      <c r="N4069" s="19"/>
      <c r="O4069" s="43"/>
      <c r="P4069" s="19"/>
      <c r="Q4069" s="19"/>
      <c r="R4069" s="19"/>
      <c r="S4069" s="19"/>
      <c r="T4069" s="19"/>
      <c r="U4069" s="19"/>
      <c r="V4069" s="44"/>
      <c r="W4069" s="19"/>
      <c r="X4069" s="19"/>
      <c r="Y4069" s="19"/>
      <c r="Z4069" s="19"/>
      <c r="AA4069" s="19"/>
      <c r="AB4069" s="19"/>
      <c r="AC4069" s="19"/>
      <c r="AD4069" s="19"/>
      <c r="AE4069" s="19"/>
      <c r="AF4069" s="19"/>
      <c r="AG4069" s="19"/>
      <c r="AH4069" s="19"/>
      <c r="AI4069" s="19"/>
      <c r="AJ4069" s="19"/>
      <c r="AK4069" s="19"/>
      <c r="AL4069" s="6" t="str">
        <f t="array" ref="AL4069">IFERROR(IFS(XLOOKUP(B4069, 'Kit Delivery Status'!$U:$U, 'Kit Delivery Status'!$K:$K) = "Complete", "DELIVERED", XLOOKUP(B4069, 'Kit Delivery Status'!$U:$U, 'Kit Delivery Status'!$K:$K) = "Issue", "ISSUE"), "")</f>
        <v/>
      </c>
      <c r="AM4069" s="6"/>
    </row>
    <row r="4070">
      <c r="A4070" s="19"/>
      <c r="B4070" s="19"/>
      <c r="C4070" s="19"/>
      <c r="D4070" s="42"/>
      <c r="E4070" s="19"/>
      <c r="F4070" s="19"/>
      <c r="G4070" s="19"/>
      <c r="H4070" s="19"/>
      <c r="I4070" s="19"/>
      <c r="J4070" s="19"/>
      <c r="K4070" s="19"/>
      <c r="L4070" s="19"/>
      <c r="M4070" s="19"/>
      <c r="N4070" s="19"/>
      <c r="O4070" s="43"/>
      <c r="P4070" s="19"/>
      <c r="Q4070" s="19"/>
      <c r="R4070" s="19"/>
      <c r="S4070" s="19"/>
      <c r="T4070" s="19"/>
      <c r="U4070" s="19"/>
      <c r="V4070" s="44"/>
      <c r="W4070" s="19"/>
      <c r="X4070" s="19"/>
      <c r="Y4070" s="19"/>
      <c r="Z4070" s="19"/>
      <c r="AA4070" s="19"/>
      <c r="AB4070" s="19"/>
      <c r="AC4070" s="19"/>
      <c r="AD4070" s="19"/>
      <c r="AE4070" s="19"/>
      <c r="AF4070" s="19"/>
      <c r="AG4070" s="19"/>
      <c r="AH4070" s="19"/>
      <c r="AI4070" s="19"/>
      <c r="AJ4070" s="19"/>
      <c r="AK4070" s="19"/>
      <c r="AL4070" s="6" t="str">
        <f t="array" ref="AL4070">IFERROR(IFS(XLOOKUP(B4070, 'Kit Delivery Status'!$U:$U, 'Kit Delivery Status'!$K:$K) = "Complete", "DELIVERED", XLOOKUP(B4070, 'Kit Delivery Status'!$U:$U, 'Kit Delivery Status'!$K:$K) = "Issue", "ISSUE"), "")</f>
        <v/>
      </c>
      <c r="AM4070" s="6"/>
    </row>
    <row r="4071">
      <c r="A4071" s="19"/>
      <c r="B4071" s="19"/>
      <c r="C4071" s="19"/>
      <c r="D4071" s="42"/>
      <c r="E4071" s="19"/>
      <c r="F4071" s="19"/>
      <c r="G4071" s="19"/>
      <c r="H4071" s="19"/>
      <c r="I4071" s="19"/>
      <c r="J4071" s="19"/>
      <c r="K4071" s="19"/>
      <c r="L4071" s="19"/>
      <c r="M4071" s="19"/>
      <c r="N4071" s="19"/>
      <c r="O4071" s="43"/>
      <c r="P4071" s="19"/>
      <c r="Q4071" s="19"/>
      <c r="R4071" s="19"/>
      <c r="S4071" s="19"/>
      <c r="T4071" s="19"/>
      <c r="U4071" s="19"/>
      <c r="V4071" s="44"/>
      <c r="W4071" s="19"/>
      <c r="X4071" s="19"/>
      <c r="Y4071" s="19"/>
      <c r="Z4071" s="19"/>
      <c r="AA4071" s="19"/>
      <c r="AB4071" s="19"/>
      <c r="AC4071" s="19"/>
      <c r="AD4071" s="19"/>
      <c r="AE4071" s="19"/>
      <c r="AF4071" s="19"/>
      <c r="AG4071" s="19"/>
      <c r="AH4071" s="19"/>
      <c r="AI4071" s="19"/>
      <c r="AJ4071" s="19"/>
      <c r="AK4071" s="19"/>
      <c r="AL4071" s="6" t="str">
        <f t="array" ref="AL4071">IFERROR(IFS(XLOOKUP(B4071, 'Kit Delivery Status'!$U:$U, 'Kit Delivery Status'!$K:$K) = "Complete", "DELIVERED", XLOOKUP(B4071, 'Kit Delivery Status'!$U:$U, 'Kit Delivery Status'!$K:$K) = "Issue", "ISSUE"), "")</f>
        <v/>
      </c>
      <c r="AM4071" s="6"/>
    </row>
    <row r="4072">
      <c r="A4072" s="19"/>
      <c r="B4072" s="19"/>
      <c r="C4072" s="19"/>
      <c r="D4072" s="42"/>
      <c r="E4072" s="19"/>
      <c r="F4072" s="19"/>
      <c r="G4072" s="19"/>
      <c r="H4072" s="19"/>
      <c r="I4072" s="19"/>
      <c r="J4072" s="19"/>
      <c r="K4072" s="19"/>
      <c r="L4072" s="19"/>
      <c r="M4072" s="19"/>
      <c r="N4072" s="19"/>
      <c r="O4072" s="43"/>
      <c r="P4072" s="19"/>
      <c r="Q4072" s="19"/>
      <c r="R4072" s="19"/>
      <c r="S4072" s="19"/>
      <c r="T4072" s="19"/>
      <c r="U4072" s="19"/>
      <c r="V4072" s="44"/>
      <c r="W4072" s="19"/>
      <c r="X4072" s="19"/>
      <c r="Y4072" s="19"/>
      <c r="Z4072" s="19"/>
      <c r="AA4072" s="19"/>
      <c r="AB4072" s="19"/>
      <c r="AC4072" s="19"/>
      <c r="AD4072" s="19"/>
      <c r="AE4072" s="19"/>
      <c r="AF4072" s="19"/>
      <c r="AG4072" s="19"/>
      <c r="AH4072" s="19"/>
      <c r="AI4072" s="19"/>
      <c r="AJ4072" s="19"/>
      <c r="AK4072" s="19"/>
      <c r="AL4072" s="6" t="str">
        <f t="array" ref="AL4072">IFERROR(IFS(XLOOKUP(B4072, 'Kit Delivery Status'!$U:$U, 'Kit Delivery Status'!$K:$K) = "Complete", "DELIVERED", XLOOKUP(B4072, 'Kit Delivery Status'!$U:$U, 'Kit Delivery Status'!$K:$K) = "Issue", "ISSUE"), "")</f>
        <v/>
      </c>
      <c r="AM4072" s="6"/>
    </row>
    <row r="4073">
      <c r="A4073" s="19"/>
      <c r="B4073" s="19"/>
      <c r="C4073" s="19"/>
      <c r="D4073" s="42"/>
      <c r="E4073" s="19"/>
      <c r="F4073" s="19"/>
      <c r="G4073" s="19"/>
      <c r="H4073" s="19"/>
      <c r="I4073" s="19"/>
      <c r="J4073" s="19"/>
      <c r="K4073" s="19"/>
      <c r="L4073" s="19"/>
      <c r="M4073" s="19"/>
      <c r="N4073" s="19"/>
      <c r="O4073" s="43"/>
      <c r="P4073" s="19"/>
      <c r="Q4073" s="19"/>
      <c r="R4073" s="19"/>
      <c r="S4073" s="19"/>
      <c r="T4073" s="19"/>
      <c r="U4073" s="19"/>
      <c r="V4073" s="44"/>
      <c r="W4073" s="19"/>
      <c r="X4073" s="19"/>
      <c r="Y4073" s="19"/>
      <c r="Z4073" s="19"/>
      <c r="AA4073" s="19"/>
      <c r="AB4073" s="19"/>
      <c r="AC4073" s="19"/>
      <c r="AD4073" s="19"/>
      <c r="AE4073" s="19"/>
      <c r="AF4073" s="19"/>
      <c r="AG4073" s="19"/>
      <c r="AH4073" s="19"/>
      <c r="AI4073" s="19"/>
      <c r="AJ4073" s="19"/>
      <c r="AK4073" s="19"/>
      <c r="AL4073" s="6" t="str">
        <f t="array" ref="AL4073">IFERROR(IFS(XLOOKUP(B4073, 'Kit Delivery Status'!$U:$U, 'Kit Delivery Status'!$K:$K) = "Complete", "DELIVERED", XLOOKUP(B4073, 'Kit Delivery Status'!$U:$U, 'Kit Delivery Status'!$K:$K) = "Issue", "ISSUE"), "")</f>
        <v/>
      </c>
      <c r="AM4073" s="6"/>
    </row>
    <row r="4074">
      <c r="A4074" s="19"/>
      <c r="B4074" s="19"/>
      <c r="C4074" s="19"/>
      <c r="D4074" s="42"/>
      <c r="E4074" s="19"/>
      <c r="F4074" s="19"/>
      <c r="G4074" s="19"/>
      <c r="H4074" s="19"/>
      <c r="I4074" s="19"/>
      <c r="J4074" s="19"/>
      <c r="K4074" s="19"/>
      <c r="L4074" s="19"/>
      <c r="M4074" s="19"/>
      <c r="N4074" s="19"/>
      <c r="O4074" s="43"/>
      <c r="P4074" s="19"/>
      <c r="Q4074" s="19"/>
      <c r="R4074" s="19"/>
      <c r="S4074" s="19"/>
      <c r="T4074" s="19"/>
      <c r="U4074" s="19"/>
      <c r="V4074" s="44"/>
      <c r="W4074" s="19"/>
      <c r="X4074" s="19"/>
      <c r="Y4074" s="19"/>
      <c r="Z4074" s="19"/>
      <c r="AA4074" s="19"/>
      <c r="AB4074" s="19"/>
      <c r="AC4074" s="19"/>
      <c r="AD4074" s="19"/>
      <c r="AE4074" s="19"/>
      <c r="AF4074" s="19"/>
      <c r="AG4074" s="19"/>
      <c r="AH4074" s="19"/>
      <c r="AI4074" s="19"/>
      <c r="AJ4074" s="19"/>
      <c r="AK4074" s="19"/>
      <c r="AL4074" s="6" t="str">
        <f t="array" ref="AL4074">IFERROR(IFS(XLOOKUP(B4074, 'Kit Delivery Status'!$U:$U, 'Kit Delivery Status'!$K:$K) = "Complete", "DELIVERED", XLOOKUP(B4074, 'Kit Delivery Status'!$U:$U, 'Kit Delivery Status'!$K:$K) = "Issue", "ISSUE"), "")</f>
        <v/>
      </c>
      <c r="AM4074" s="6"/>
    </row>
    <row r="4075">
      <c r="A4075" s="19"/>
      <c r="B4075" s="19"/>
      <c r="C4075" s="19"/>
      <c r="D4075" s="42"/>
      <c r="E4075" s="19"/>
      <c r="F4075" s="19"/>
      <c r="G4075" s="19"/>
      <c r="H4075" s="19"/>
      <c r="I4075" s="19"/>
      <c r="J4075" s="19"/>
      <c r="K4075" s="19"/>
      <c r="L4075" s="19"/>
      <c r="M4075" s="19"/>
      <c r="N4075" s="19"/>
      <c r="O4075" s="43"/>
      <c r="P4075" s="19"/>
      <c r="Q4075" s="19"/>
      <c r="R4075" s="19"/>
      <c r="S4075" s="19"/>
      <c r="T4075" s="19"/>
      <c r="U4075" s="19"/>
      <c r="V4075" s="44"/>
      <c r="W4075" s="19"/>
      <c r="X4075" s="19"/>
      <c r="Y4075" s="19"/>
      <c r="Z4075" s="19"/>
      <c r="AA4075" s="19"/>
      <c r="AB4075" s="19"/>
      <c r="AC4075" s="19"/>
      <c r="AD4075" s="19"/>
      <c r="AE4075" s="19"/>
      <c r="AF4075" s="19"/>
      <c r="AG4075" s="19"/>
      <c r="AH4075" s="19"/>
      <c r="AI4075" s="19"/>
      <c r="AJ4075" s="19"/>
      <c r="AK4075" s="19"/>
      <c r="AL4075" s="6" t="str">
        <f t="array" ref="AL4075">IFERROR(IFS(XLOOKUP(B4075, 'Kit Delivery Status'!$U:$U, 'Kit Delivery Status'!$K:$K) = "Complete", "DELIVERED", XLOOKUP(B4075, 'Kit Delivery Status'!$U:$U, 'Kit Delivery Status'!$K:$K) = "Issue", "ISSUE"), "")</f>
        <v/>
      </c>
      <c r="AM4075" s="6"/>
    </row>
    <row r="4076">
      <c r="A4076" s="19"/>
      <c r="B4076" s="19"/>
      <c r="C4076" s="19"/>
      <c r="D4076" s="42"/>
      <c r="E4076" s="19"/>
      <c r="F4076" s="19"/>
      <c r="G4076" s="19"/>
      <c r="H4076" s="19"/>
      <c r="I4076" s="19"/>
      <c r="J4076" s="19"/>
      <c r="K4076" s="19"/>
      <c r="L4076" s="19"/>
      <c r="M4076" s="19"/>
      <c r="N4076" s="19"/>
      <c r="O4076" s="43"/>
      <c r="P4076" s="19"/>
      <c r="Q4076" s="19"/>
      <c r="R4076" s="19"/>
      <c r="S4076" s="19"/>
      <c r="T4076" s="19"/>
      <c r="U4076" s="19"/>
      <c r="V4076" s="44"/>
      <c r="W4076" s="19"/>
      <c r="X4076" s="19"/>
      <c r="Y4076" s="19"/>
      <c r="Z4076" s="19"/>
      <c r="AA4076" s="19"/>
      <c r="AB4076" s="19"/>
      <c r="AC4076" s="19"/>
      <c r="AD4076" s="19"/>
      <c r="AE4076" s="19"/>
      <c r="AF4076" s="19"/>
      <c r="AG4076" s="19"/>
      <c r="AH4076" s="19"/>
      <c r="AI4076" s="19"/>
      <c r="AJ4076" s="19"/>
      <c r="AK4076" s="19"/>
      <c r="AL4076" s="6" t="str">
        <f t="array" ref="AL4076">IFERROR(IFS(XLOOKUP(B4076, 'Kit Delivery Status'!$U:$U, 'Kit Delivery Status'!$K:$K) = "Complete", "DELIVERED", XLOOKUP(B4076, 'Kit Delivery Status'!$U:$U, 'Kit Delivery Status'!$K:$K) = "Issue", "ISSUE"), "")</f>
        <v/>
      </c>
      <c r="AM4076" s="6"/>
    </row>
    <row r="4077">
      <c r="A4077" s="19"/>
      <c r="B4077" s="19"/>
      <c r="C4077" s="19"/>
      <c r="D4077" s="42"/>
      <c r="E4077" s="19"/>
      <c r="F4077" s="19"/>
      <c r="G4077" s="19"/>
      <c r="H4077" s="19"/>
      <c r="I4077" s="19"/>
      <c r="J4077" s="19"/>
      <c r="K4077" s="19"/>
      <c r="L4077" s="19"/>
      <c r="M4077" s="19"/>
      <c r="N4077" s="19"/>
      <c r="O4077" s="43"/>
      <c r="P4077" s="19"/>
      <c r="Q4077" s="19"/>
      <c r="R4077" s="19"/>
      <c r="S4077" s="19"/>
      <c r="T4077" s="19"/>
      <c r="U4077" s="19"/>
      <c r="V4077" s="44"/>
      <c r="W4077" s="19"/>
      <c r="X4077" s="19"/>
      <c r="Y4077" s="19"/>
      <c r="Z4077" s="19"/>
      <c r="AA4077" s="19"/>
      <c r="AB4077" s="19"/>
      <c r="AC4077" s="19"/>
      <c r="AD4077" s="19"/>
      <c r="AE4077" s="19"/>
      <c r="AF4077" s="19"/>
      <c r="AG4077" s="19"/>
      <c r="AH4077" s="19"/>
      <c r="AI4077" s="19"/>
      <c r="AJ4077" s="19"/>
      <c r="AK4077" s="19"/>
      <c r="AL4077" s="6" t="str">
        <f t="array" ref="AL4077">IFERROR(IFS(XLOOKUP(B4077, 'Kit Delivery Status'!$U:$U, 'Kit Delivery Status'!$K:$K) = "Complete", "DELIVERED", XLOOKUP(B4077, 'Kit Delivery Status'!$U:$U, 'Kit Delivery Status'!$K:$K) = "Issue", "ISSUE"), "")</f>
        <v/>
      </c>
      <c r="AM4077" s="6"/>
    </row>
    <row r="4078">
      <c r="A4078" s="19"/>
      <c r="B4078" s="19"/>
      <c r="C4078" s="19"/>
      <c r="D4078" s="42"/>
      <c r="E4078" s="19"/>
      <c r="F4078" s="19"/>
      <c r="G4078" s="19"/>
      <c r="H4078" s="19"/>
      <c r="I4078" s="19"/>
      <c r="J4078" s="19"/>
      <c r="K4078" s="19"/>
      <c r="L4078" s="19"/>
      <c r="M4078" s="19"/>
      <c r="N4078" s="19"/>
      <c r="O4078" s="43"/>
      <c r="P4078" s="19"/>
      <c r="Q4078" s="19"/>
      <c r="R4078" s="19"/>
      <c r="S4078" s="19"/>
      <c r="T4078" s="19"/>
      <c r="U4078" s="19"/>
      <c r="V4078" s="44"/>
      <c r="W4078" s="19"/>
      <c r="X4078" s="19"/>
      <c r="Y4078" s="19"/>
      <c r="Z4078" s="19"/>
      <c r="AA4078" s="19"/>
      <c r="AB4078" s="19"/>
      <c r="AC4078" s="19"/>
      <c r="AD4078" s="19"/>
      <c r="AE4078" s="19"/>
      <c r="AF4078" s="19"/>
      <c r="AG4078" s="19"/>
      <c r="AH4078" s="19"/>
      <c r="AI4078" s="19"/>
      <c r="AJ4078" s="19"/>
      <c r="AK4078" s="19"/>
      <c r="AL4078" s="6" t="str">
        <f t="array" ref="AL4078">IFERROR(IFS(XLOOKUP(B4078, 'Kit Delivery Status'!$U:$U, 'Kit Delivery Status'!$K:$K) = "Complete", "DELIVERED", XLOOKUP(B4078, 'Kit Delivery Status'!$U:$U, 'Kit Delivery Status'!$K:$K) = "Issue", "ISSUE"), "")</f>
        <v/>
      </c>
      <c r="AM4078" s="6"/>
    </row>
    <row r="4079">
      <c r="A4079" s="19"/>
      <c r="B4079" s="19"/>
      <c r="C4079" s="19"/>
      <c r="D4079" s="42"/>
      <c r="E4079" s="19"/>
      <c r="F4079" s="19"/>
      <c r="G4079" s="19"/>
      <c r="H4079" s="19"/>
      <c r="I4079" s="19"/>
      <c r="J4079" s="19"/>
      <c r="K4079" s="19"/>
      <c r="L4079" s="19"/>
      <c r="M4079" s="19"/>
      <c r="N4079" s="19"/>
      <c r="O4079" s="43"/>
      <c r="P4079" s="19"/>
      <c r="Q4079" s="19"/>
      <c r="R4079" s="19"/>
      <c r="S4079" s="19"/>
      <c r="T4079" s="19"/>
      <c r="U4079" s="19"/>
      <c r="V4079" s="44"/>
      <c r="W4079" s="19"/>
      <c r="X4079" s="19"/>
      <c r="Y4079" s="19"/>
      <c r="Z4079" s="19"/>
      <c r="AA4079" s="19"/>
      <c r="AB4079" s="19"/>
      <c r="AC4079" s="19"/>
      <c r="AD4079" s="19"/>
      <c r="AE4079" s="19"/>
      <c r="AF4079" s="19"/>
      <c r="AG4079" s="19"/>
      <c r="AH4079" s="19"/>
      <c r="AI4079" s="19"/>
      <c r="AJ4079" s="19"/>
      <c r="AK4079" s="19"/>
      <c r="AL4079" s="6" t="str">
        <f t="array" ref="AL4079">IFERROR(IFS(XLOOKUP(B4079, 'Kit Delivery Status'!$U:$U, 'Kit Delivery Status'!$K:$K) = "Complete", "DELIVERED", XLOOKUP(B4079, 'Kit Delivery Status'!$U:$U, 'Kit Delivery Status'!$K:$K) = "Issue", "ISSUE"), "")</f>
        <v/>
      </c>
      <c r="AM4079" s="6"/>
    </row>
    <row r="4080">
      <c r="A4080" s="19"/>
      <c r="B4080" s="19"/>
      <c r="C4080" s="19"/>
      <c r="D4080" s="42"/>
      <c r="E4080" s="19"/>
      <c r="F4080" s="19"/>
      <c r="G4080" s="19"/>
      <c r="H4080" s="19"/>
      <c r="I4080" s="19"/>
      <c r="J4080" s="19"/>
      <c r="K4080" s="19"/>
      <c r="L4080" s="19"/>
      <c r="M4080" s="19"/>
      <c r="N4080" s="19"/>
      <c r="O4080" s="43"/>
      <c r="P4080" s="19"/>
      <c r="Q4080" s="19"/>
      <c r="R4080" s="19"/>
      <c r="S4080" s="19"/>
      <c r="T4080" s="19"/>
      <c r="U4080" s="19"/>
      <c r="V4080" s="44"/>
      <c r="W4080" s="19"/>
      <c r="X4080" s="19"/>
      <c r="Y4080" s="19"/>
      <c r="Z4080" s="19"/>
      <c r="AA4080" s="19"/>
      <c r="AB4080" s="19"/>
      <c r="AC4080" s="19"/>
      <c r="AD4080" s="19"/>
      <c r="AE4080" s="19"/>
      <c r="AF4080" s="19"/>
      <c r="AG4080" s="19"/>
      <c r="AH4080" s="19"/>
      <c r="AI4080" s="19"/>
      <c r="AJ4080" s="19"/>
      <c r="AK4080" s="19"/>
      <c r="AL4080" s="6" t="str">
        <f t="array" ref="AL4080">IFERROR(IFS(XLOOKUP(B4080, 'Kit Delivery Status'!$U:$U, 'Kit Delivery Status'!$K:$K) = "Complete", "DELIVERED", XLOOKUP(B4080, 'Kit Delivery Status'!$U:$U, 'Kit Delivery Status'!$K:$K) = "Issue", "ISSUE"), "")</f>
        <v/>
      </c>
      <c r="AM4080" s="6"/>
    </row>
    <row r="4081">
      <c r="A4081" s="19"/>
      <c r="B4081" s="19"/>
      <c r="C4081" s="19"/>
      <c r="D4081" s="42"/>
      <c r="E4081" s="19"/>
      <c r="F4081" s="19"/>
      <c r="G4081" s="19"/>
      <c r="H4081" s="19"/>
      <c r="I4081" s="19"/>
      <c r="J4081" s="19"/>
      <c r="K4081" s="19"/>
      <c r="L4081" s="19"/>
      <c r="M4081" s="19"/>
      <c r="N4081" s="19"/>
      <c r="O4081" s="43"/>
      <c r="P4081" s="19"/>
      <c r="Q4081" s="19"/>
      <c r="R4081" s="19"/>
      <c r="S4081" s="19"/>
      <c r="T4081" s="19"/>
      <c r="U4081" s="19"/>
      <c r="V4081" s="44"/>
      <c r="W4081" s="19"/>
      <c r="X4081" s="19"/>
      <c r="Y4081" s="19"/>
      <c r="Z4081" s="19"/>
      <c r="AA4081" s="19"/>
      <c r="AB4081" s="19"/>
      <c r="AC4081" s="19"/>
      <c r="AD4081" s="19"/>
      <c r="AE4081" s="19"/>
      <c r="AF4081" s="19"/>
      <c r="AG4081" s="19"/>
      <c r="AH4081" s="19"/>
      <c r="AI4081" s="19"/>
      <c r="AJ4081" s="19"/>
      <c r="AK4081" s="19"/>
      <c r="AL4081" s="6" t="str">
        <f t="array" ref="AL4081">IFERROR(IFS(XLOOKUP(B4081, 'Kit Delivery Status'!$U:$U, 'Kit Delivery Status'!$K:$K) = "Complete", "DELIVERED", XLOOKUP(B4081, 'Kit Delivery Status'!$U:$U, 'Kit Delivery Status'!$K:$K) = "Issue", "ISSUE"), "")</f>
        <v/>
      </c>
      <c r="AM4081" s="6"/>
    </row>
    <row r="4082">
      <c r="A4082" s="19"/>
      <c r="B4082" s="19"/>
      <c r="C4082" s="19"/>
      <c r="D4082" s="42"/>
      <c r="E4082" s="19"/>
      <c r="F4082" s="19"/>
      <c r="G4082" s="19"/>
      <c r="H4082" s="19"/>
      <c r="I4082" s="19"/>
      <c r="J4082" s="19"/>
      <c r="K4082" s="19"/>
      <c r="L4082" s="19"/>
      <c r="M4082" s="19"/>
      <c r="N4082" s="19"/>
      <c r="O4082" s="43"/>
      <c r="P4082" s="19"/>
      <c r="Q4082" s="19"/>
      <c r="R4082" s="19"/>
      <c r="S4082" s="19"/>
      <c r="T4082" s="19"/>
      <c r="U4082" s="19"/>
      <c r="V4082" s="44"/>
      <c r="W4082" s="19"/>
      <c r="X4082" s="19"/>
      <c r="Y4082" s="19"/>
      <c r="Z4082" s="19"/>
      <c r="AA4082" s="19"/>
      <c r="AB4082" s="19"/>
      <c r="AC4082" s="19"/>
      <c r="AD4082" s="19"/>
      <c r="AE4082" s="19"/>
      <c r="AF4082" s="19"/>
      <c r="AG4082" s="19"/>
      <c r="AH4082" s="19"/>
      <c r="AI4082" s="19"/>
      <c r="AJ4082" s="19"/>
      <c r="AK4082" s="19"/>
      <c r="AL4082" s="6" t="str">
        <f t="array" ref="AL4082">IFERROR(IFS(XLOOKUP(B4082, 'Kit Delivery Status'!$U:$U, 'Kit Delivery Status'!$K:$K) = "Complete", "DELIVERED", XLOOKUP(B4082, 'Kit Delivery Status'!$U:$U, 'Kit Delivery Status'!$K:$K) = "Issue", "ISSUE"), "")</f>
        <v/>
      </c>
      <c r="AM4082" s="6"/>
    </row>
    <row r="4083">
      <c r="A4083" s="19"/>
      <c r="B4083" s="19"/>
      <c r="C4083" s="19"/>
      <c r="D4083" s="42"/>
      <c r="E4083" s="19"/>
      <c r="F4083" s="19"/>
      <c r="G4083" s="19"/>
      <c r="H4083" s="19"/>
      <c r="I4083" s="19"/>
      <c r="J4083" s="19"/>
      <c r="K4083" s="19"/>
      <c r="L4083" s="19"/>
      <c r="M4083" s="19"/>
      <c r="N4083" s="19"/>
      <c r="O4083" s="43"/>
      <c r="P4083" s="19"/>
      <c r="Q4083" s="19"/>
      <c r="R4083" s="19"/>
      <c r="S4083" s="19"/>
      <c r="T4083" s="19"/>
      <c r="U4083" s="19"/>
      <c r="V4083" s="44"/>
      <c r="W4083" s="19"/>
      <c r="X4083" s="19"/>
      <c r="Y4083" s="19"/>
      <c r="Z4083" s="19"/>
      <c r="AA4083" s="19"/>
      <c r="AB4083" s="19"/>
      <c r="AC4083" s="19"/>
      <c r="AD4083" s="19"/>
      <c r="AE4083" s="19"/>
      <c r="AF4083" s="19"/>
      <c r="AG4083" s="19"/>
      <c r="AH4083" s="19"/>
      <c r="AI4083" s="19"/>
      <c r="AJ4083" s="19"/>
      <c r="AK4083" s="19"/>
      <c r="AL4083" s="6" t="str">
        <f t="array" ref="AL4083">IFERROR(IFS(XLOOKUP(B4083, 'Kit Delivery Status'!$U:$U, 'Kit Delivery Status'!$K:$K) = "Complete", "DELIVERED", XLOOKUP(B4083, 'Kit Delivery Status'!$U:$U, 'Kit Delivery Status'!$K:$K) = "Issue", "ISSUE"), "")</f>
        <v/>
      </c>
      <c r="AM4083" s="6"/>
    </row>
    <row r="4084">
      <c r="A4084" s="19"/>
      <c r="B4084" s="19"/>
      <c r="C4084" s="19"/>
      <c r="D4084" s="42"/>
      <c r="E4084" s="19"/>
      <c r="F4084" s="19"/>
      <c r="G4084" s="19"/>
      <c r="H4084" s="19"/>
      <c r="I4084" s="19"/>
      <c r="J4084" s="19"/>
      <c r="K4084" s="19"/>
      <c r="L4084" s="19"/>
      <c r="M4084" s="19"/>
      <c r="N4084" s="19"/>
      <c r="O4084" s="43"/>
      <c r="P4084" s="19"/>
      <c r="Q4084" s="19"/>
      <c r="R4084" s="19"/>
      <c r="S4084" s="19"/>
      <c r="T4084" s="19"/>
      <c r="U4084" s="19"/>
      <c r="V4084" s="44"/>
      <c r="W4084" s="19"/>
      <c r="X4084" s="19"/>
      <c r="Y4084" s="19"/>
      <c r="Z4084" s="19"/>
      <c r="AA4084" s="19"/>
      <c r="AB4084" s="19"/>
      <c r="AC4084" s="19"/>
      <c r="AD4084" s="19"/>
      <c r="AE4084" s="19"/>
      <c r="AF4084" s="19"/>
      <c r="AG4084" s="19"/>
      <c r="AH4084" s="19"/>
      <c r="AI4084" s="19"/>
      <c r="AJ4084" s="19"/>
      <c r="AK4084" s="19"/>
      <c r="AL4084" s="6" t="str">
        <f t="array" ref="AL4084">IFERROR(IFS(XLOOKUP(B4084, 'Kit Delivery Status'!$U:$U, 'Kit Delivery Status'!$K:$K) = "Complete", "DELIVERED", XLOOKUP(B4084, 'Kit Delivery Status'!$U:$U, 'Kit Delivery Status'!$K:$K) = "Issue", "ISSUE"), "")</f>
        <v/>
      </c>
      <c r="AM4084" s="6"/>
    </row>
    <row r="4085">
      <c r="A4085" s="19"/>
      <c r="B4085" s="19"/>
      <c r="C4085" s="19"/>
      <c r="D4085" s="42"/>
      <c r="E4085" s="19"/>
      <c r="F4085" s="19"/>
      <c r="G4085" s="19"/>
      <c r="H4085" s="19"/>
      <c r="I4085" s="19"/>
      <c r="J4085" s="19"/>
      <c r="K4085" s="19"/>
      <c r="L4085" s="19"/>
      <c r="M4085" s="19"/>
      <c r="N4085" s="19"/>
      <c r="O4085" s="43"/>
      <c r="P4085" s="19"/>
      <c r="Q4085" s="19"/>
      <c r="R4085" s="19"/>
      <c r="S4085" s="19"/>
      <c r="T4085" s="19"/>
      <c r="U4085" s="19"/>
      <c r="V4085" s="44"/>
      <c r="W4085" s="19"/>
      <c r="X4085" s="19"/>
      <c r="Y4085" s="19"/>
      <c r="Z4085" s="19"/>
      <c r="AA4085" s="19"/>
      <c r="AB4085" s="19"/>
      <c r="AC4085" s="19"/>
      <c r="AD4085" s="19"/>
      <c r="AE4085" s="19"/>
      <c r="AF4085" s="19"/>
      <c r="AG4085" s="19"/>
      <c r="AH4085" s="19"/>
      <c r="AI4085" s="19"/>
      <c r="AJ4085" s="19"/>
      <c r="AK4085" s="19"/>
      <c r="AL4085" s="6" t="str">
        <f t="array" ref="AL4085">IFERROR(IFS(XLOOKUP(B4085, 'Kit Delivery Status'!$U:$U, 'Kit Delivery Status'!$K:$K) = "Complete", "DELIVERED", XLOOKUP(B4085, 'Kit Delivery Status'!$U:$U, 'Kit Delivery Status'!$K:$K) = "Issue", "ISSUE"), "")</f>
        <v/>
      </c>
      <c r="AM4085" s="6"/>
    </row>
    <row r="4086">
      <c r="A4086" s="19"/>
      <c r="B4086" s="19"/>
      <c r="C4086" s="19"/>
      <c r="D4086" s="42"/>
      <c r="E4086" s="19"/>
      <c r="F4086" s="19"/>
      <c r="G4086" s="19"/>
      <c r="H4086" s="19"/>
      <c r="I4086" s="19"/>
      <c r="J4086" s="19"/>
      <c r="K4086" s="19"/>
      <c r="L4086" s="19"/>
      <c r="M4086" s="19"/>
      <c r="N4086" s="19"/>
      <c r="O4086" s="43"/>
      <c r="P4086" s="19"/>
      <c r="Q4086" s="19"/>
      <c r="R4086" s="19"/>
      <c r="S4086" s="19"/>
      <c r="T4086" s="19"/>
      <c r="U4086" s="19"/>
      <c r="V4086" s="44"/>
      <c r="W4086" s="19"/>
      <c r="X4086" s="19"/>
      <c r="Y4086" s="19"/>
      <c r="Z4086" s="19"/>
      <c r="AA4086" s="19"/>
      <c r="AB4086" s="19"/>
      <c r="AC4086" s="19"/>
      <c r="AD4086" s="19"/>
      <c r="AE4086" s="19"/>
      <c r="AF4086" s="19"/>
      <c r="AG4086" s="19"/>
      <c r="AH4086" s="19"/>
      <c r="AI4086" s="19"/>
      <c r="AJ4086" s="19"/>
      <c r="AK4086" s="19"/>
      <c r="AL4086" s="6" t="str">
        <f t="array" ref="AL4086">IFERROR(IFS(XLOOKUP(B4086, 'Kit Delivery Status'!$U:$U, 'Kit Delivery Status'!$K:$K) = "Complete", "DELIVERED", XLOOKUP(B4086, 'Kit Delivery Status'!$U:$U, 'Kit Delivery Status'!$K:$K) = "Issue", "ISSUE"), "")</f>
        <v/>
      </c>
      <c r="AM4086" s="6"/>
    </row>
    <row r="4087">
      <c r="A4087" s="19"/>
      <c r="B4087" s="19"/>
      <c r="C4087" s="19"/>
      <c r="D4087" s="42"/>
      <c r="E4087" s="19"/>
      <c r="F4087" s="19"/>
      <c r="G4087" s="19"/>
      <c r="H4087" s="19"/>
      <c r="I4087" s="19"/>
      <c r="J4087" s="19"/>
      <c r="K4087" s="19"/>
      <c r="L4087" s="19"/>
      <c r="M4087" s="19"/>
      <c r="N4087" s="19"/>
      <c r="O4087" s="43"/>
      <c r="P4087" s="19"/>
      <c r="Q4087" s="19"/>
      <c r="R4087" s="19"/>
      <c r="S4087" s="19"/>
      <c r="T4087" s="19"/>
      <c r="U4087" s="19"/>
      <c r="V4087" s="44"/>
      <c r="W4087" s="19"/>
      <c r="X4087" s="19"/>
      <c r="Y4087" s="19"/>
      <c r="Z4087" s="19"/>
      <c r="AA4087" s="19"/>
      <c r="AB4087" s="19"/>
      <c r="AC4087" s="19"/>
      <c r="AD4087" s="19"/>
      <c r="AE4087" s="19"/>
      <c r="AF4087" s="19"/>
      <c r="AG4087" s="19"/>
      <c r="AH4087" s="19"/>
      <c r="AI4087" s="19"/>
      <c r="AJ4087" s="19"/>
      <c r="AK4087" s="19"/>
      <c r="AL4087" s="6" t="str">
        <f t="array" ref="AL4087">IFERROR(IFS(XLOOKUP(B4087, 'Kit Delivery Status'!$U:$U, 'Kit Delivery Status'!$K:$K) = "Complete", "DELIVERED", XLOOKUP(B4087, 'Kit Delivery Status'!$U:$U, 'Kit Delivery Status'!$K:$K) = "Issue", "ISSUE"), "")</f>
        <v/>
      </c>
      <c r="AM4087" s="6"/>
    </row>
    <row r="4088">
      <c r="A4088" s="19"/>
      <c r="B4088" s="19"/>
      <c r="C4088" s="19"/>
      <c r="D4088" s="42"/>
      <c r="E4088" s="19"/>
      <c r="F4088" s="19"/>
      <c r="G4088" s="19"/>
      <c r="H4088" s="19"/>
      <c r="I4088" s="19"/>
      <c r="J4088" s="19"/>
      <c r="K4088" s="19"/>
      <c r="L4088" s="19"/>
      <c r="M4088" s="19"/>
      <c r="N4088" s="19"/>
      <c r="O4088" s="43"/>
      <c r="P4088" s="19"/>
      <c r="Q4088" s="19"/>
      <c r="R4088" s="19"/>
      <c r="S4088" s="19"/>
      <c r="T4088" s="19"/>
      <c r="U4088" s="19"/>
      <c r="V4088" s="44"/>
      <c r="W4088" s="19"/>
      <c r="X4088" s="19"/>
      <c r="Y4088" s="19"/>
      <c r="Z4088" s="19"/>
      <c r="AA4088" s="19"/>
      <c r="AB4088" s="19"/>
      <c r="AC4088" s="19"/>
      <c r="AD4088" s="19"/>
      <c r="AE4088" s="19"/>
      <c r="AF4088" s="19"/>
      <c r="AG4088" s="19"/>
      <c r="AH4088" s="19"/>
      <c r="AI4088" s="19"/>
      <c r="AJ4088" s="19"/>
      <c r="AK4088" s="19"/>
      <c r="AL4088" s="6" t="str">
        <f t="array" ref="AL4088">IFERROR(IFS(XLOOKUP(B4088, 'Kit Delivery Status'!$U:$U, 'Kit Delivery Status'!$K:$K) = "Complete", "DELIVERED", XLOOKUP(B4088, 'Kit Delivery Status'!$U:$U, 'Kit Delivery Status'!$K:$K) = "Issue", "ISSUE"), "")</f>
        <v/>
      </c>
      <c r="AM4088" s="6"/>
    </row>
    <row r="4089">
      <c r="A4089" s="19"/>
      <c r="B4089" s="19"/>
      <c r="C4089" s="19"/>
      <c r="D4089" s="42"/>
      <c r="E4089" s="19"/>
      <c r="F4089" s="19"/>
      <c r="G4089" s="19"/>
      <c r="H4089" s="19"/>
      <c r="I4089" s="19"/>
      <c r="J4089" s="19"/>
      <c r="K4089" s="19"/>
      <c r="L4089" s="19"/>
      <c r="M4089" s="19"/>
      <c r="N4089" s="19"/>
      <c r="O4089" s="43"/>
      <c r="P4089" s="19"/>
      <c r="Q4089" s="19"/>
      <c r="R4089" s="19"/>
      <c r="S4089" s="19"/>
      <c r="T4089" s="19"/>
      <c r="U4089" s="19"/>
      <c r="V4089" s="44"/>
      <c r="W4089" s="19"/>
      <c r="X4089" s="19"/>
      <c r="Y4089" s="19"/>
      <c r="Z4089" s="19"/>
      <c r="AA4089" s="19"/>
      <c r="AB4089" s="19"/>
      <c r="AC4089" s="19"/>
      <c r="AD4089" s="19"/>
      <c r="AE4089" s="19"/>
      <c r="AF4089" s="19"/>
      <c r="AG4089" s="19"/>
      <c r="AH4089" s="19"/>
      <c r="AI4089" s="19"/>
      <c r="AJ4089" s="19"/>
      <c r="AK4089" s="19"/>
      <c r="AL4089" s="6" t="str">
        <f t="array" ref="AL4089">IFERROR(IFS(XLOOKUP(B4089, 'Kit Delivery Status'!$U:$U, 'Kit Delivery Status'!$K:$K) = "Complete", "DELIVERED", XLOOKUP(B4089, 'Kit Delivery Status'!$U:$U, 'Kit Delivery Status'!$K:$K) = "Issue", "ISSUE"), "")</f>
        <v/>
      </c>
      <c r="AM4089" s="6"/>
    </row>
    <row r="4090">
      <c r="A4090" s="19"/>
      <c r="B4090" s="19"/>
      <c r="C4090" s="19"/>
      <c r="D4090" s="42"/>
      <c r="E4090" s="19"/>
      <c r="F4090" s="19"/>
      <c r="G4090" s="19"/>
      <c r="H4090" s="19"/>
      <c r="I4090" s="19"/>
      <c r="J4090" s="19"/>
      <c r="K4090" s="19"/>
      <c r="L4090" s="19"/>
      <c r="M4090" s="19"/>
      <c r="N4090" s="19"/>
      <c r="O4090" s="43"/>
      <c r="P4090" s="19"/>
      <c r="Q4090" s="19"/>
      <c r="R4090" s="19"/>
      <c r="S4090" s="19"/>
      <c r="T4090" s="19"/>
      <c r="U4090" s="19"/>
      <c r="V4090" s="44"/>
      <c r="W4090" s="19"/>
      <c r="X4090" s="19"/>
      <c r="Y4090" s="19"/>
      <c r="Z4090" s="19"/>
      <c r="AA4090" s="19"/>
      <c r="AB4090" s="19"/>
      <c r="AC4090" s="19"/>
      <c r="AD4090" s="19"/>
      <c r="AE4090" s="19"/>
      <c r="AF4090" s="19"/>
      <c r="AG4090" s="19"/>
      <c r="AH4090" s="19"/>
      <c r="AI4090" s="19"/>
      <c r="AJ4090" s="19"/>
      <c r="AK4090" s="19"/>
      <c r="AL4090" s="6" t="str">
        <f t="array" ref="AL4090">IFERROR(IFS(XLOOKUP(B4090, 'Kit Delivery Status'!$U:$U, 'Kit Delivery Status'!$K:$K) = "Complete", "DELIVERED", XLOOKUP(B4090, 'Kit Delivery Status'!$U:$U, 'Kit Delivery Status'!$K:$K) = "Issue", "ISSUE"), "")</f>
        <v/>
      </c>
      <c r="AM4090" s="6"/>
    </row>
    <row r="4091">
      <c r="A4091" s="19"/>
      <c r="B4091" s="19"/>
      <c r="C4091" s="19"/>
      <c r="D4091" s="42"/>
      <c r="E4091" s="19"/>
      <c r="F4091" s="19"/>
      <c r="G4091" s="19"/>
      <c r="H4091" s="19"/>
      <c r="I4091" s="19"/>
      <c r="J4091" s="19"/>
      <c r="K4091" s="19"/>
      <c r="L4091" s="19"/>
      <c r="M4091" s="19"/>
      <c r="N4091" s="19"/>
      <c r="O4091" s="43"/>
      <c r="P4091" s="19"/>
      <c r="Q4091" s="19"/>
      <c r="R4091" s="19"/>
      <c r="S4091" s="19"/>
      <c r="T4091" s="19"/>
      <c r="U4091" s="19"/>
      <c r="V4091" s="44"/>
      <c r="W4091" s="19"/>
      <c r="X4091" s="19"/>
      <c r="Y4091" s="19"/>
      <c r="Z4091" s="19"/>
      <c r="AA4091" s="19"/>
      <c r="AB4091" s="19"/>
      <c r="AC4091" s="19"/>
      <c r="AD4091" s="19"/>
      <c r="AE4091" s="19"/>
      <c r="AF4091" s="19"/>
      <c r="AG4091" s="19"/>
      <c r="AH4091" s="19"/>
      <c r="AI4091" s="19"/>
      <c r="AJ4091" s="19"/>
      <c r="AK4091" s="19"/>
      <c r="AL4091" s="6" t="str">
        <f t="array" ref="AL4091">IFERROR(IFS(XLOOKUP(B4091, 'Kit Delivery Status'!$U:$U, 'Kit Delivery Status'!$K:$K) = "Complete", "DELIVERED", XLOOKUP(B4091, 'Kit Delivery Status'!$U:$U, 'Kit Delivery Status'!$K:$K) = "Issue", "ISSUE"), "")</f>
        <v/>
      </c>
      <c r="AM4091" s="6"/>
    </row>
    <row r="4092">
      <c r="A4092" s="19"/>
      <c r="B4092" s="19"/>
      <c r="C4092" s="19"/>
      <c r="D4092" s="42"/>
      <c r="E4092" s="19"/>
      <c r="F4092" s="19"/>
      <c r="G4092" s="19"/>
      <c r="H4092" s="19"/>
      <c r="I4092" s="19"/>
      <c r="J4092" s="19"/>
      <c r="K4092" s="19"/>
      <c r="L4092" s="19"/>
      <c r="M4092" s="19"/>
      <c r="N4092" s="19"/>
      <c r="O4092" s="43"/>
      <c r="P4092" s="19"/>
      <c r="Q4092" s="19"/>
      <c r="R4092" s="19"/>
      <c r="S4092" s="19"/>
      <c r="T4092" s="19"/>
      <c r="U4092" s="19"/>
      <c r="V4092" s="44"/>
      <c r="W4092" s="19"/>
      <c r="X4092" s="19"/>
      <c r="Y4092" s="19"/>
      <c r="Z4092" s="19"/>
      <c r="AA4092" s="19"/>
      <c r="AB4092" s="19"/>
      <c r="AC4092" s="19"/>
      <c r="AD4092" s="19"/>
      <c r="AE4092" s="19"/>
      <c r="AF4092" s="19"/>
      <c r="AG4092" s="19"/>
      <c r="AH4092" s="19"/>
      <c r="AI4092" s="19"/>
      <c r="AJ4092" s="19"/>
      <c r="AK4092" s="19"/>
      <c r="AL4092" s="6" t="str">
        <f t="array" ref="AL4092">IFERROR(IFS(XLOOKUP(B4092, 'Kit Delivery Status'!$U:$U, 'Kit Delivery Status'!$K:$K) = "Complete", "DELIVERED", XLOOKUP(B4092, 'Kit Delivery Status'!$U:$U, 'Kit Delivery Status'!$K:$K) = "Issue", "ISSUE"), "")</f>
        <v/>
      </c>
      <c r="AM4092" s="6"/>
    </row>
    <row r="4093">
      <c r="A4093" s="19"/>
      <c r="B4093" s="19"/>
      <c r="C4093" s="19"/>
      <c r="D4093" s="42"/>
      <c r="E4093" s="19"/>
      <c r="F4093" s="19"/>
      <c r="G4093" s="19"/>
      <c r="H4093" s="19"/>
      <c r="I4093" s="19"/>
      <c r="J4093" s="19"/>
      <c r="K4093" s="19"/>
      <c r="L4093" s="19"/>
      <c r="M4093" s="19"/>
      <c r="N4093" s="19"/>
      <c r="O4093" s="43"/>
      <c r="P4093" s="19"/>
      <c r="Q4093" s="19"/>
      <c r="R4093" s="19"/>
      <c r="S4093" s="19"/>
      <c r="T4093" s="19"/>
      <c r="U4093" s="19"/>
      <c r="V4093" s="44"/>
      <c r="W4093" s="19"/>
      <c r="X4093" s="19"/>
      <c r="Y4093" s="19"/>
      <c r="Z4093" s="19"/>
      <c r="AA4093" s="19"/>
      <c r="AB4093" s="19"/>
      <c r="AC4093" s="19"/>
      <c r="AD4093" s="19"/>
      <c r="AE4093" s="19"/>
      <c r="AF4093" s="19"/>
      <c r="AG4093" s="19"/>
      <c r="AH4093" s="19"/>
      <c r="AI4093" s="19"/>
      <c r="AJ4093" s="19"/>
      <c r="AK4093" s="19"/>
      <c r="AL4093" s="6" t="str">
        <f t="array" ref="AL4093">IFERROR(IFS(XLOOKUP(B4093, 'Kit Delivery Status'!$U:$U, 'Kit Delivery Status'!$K:$K) = "Complete", "DELIVERED", XLOOKUP(B4093, 'Kit Delivery Status'!$U:$U, 'Kit Delivery Status'!$K:$K) = "Issue", "ISSUE"), "")</f>
        <v/>
      </c>
      <c r="AM4093" s="6"/>
    </row>
    <row r="4094">
      <c r="A4094" s="19"/>
      <c r="B4094" s="19"/>
      <c r="C4094" s="19"/>
      <c r="D4094" s="42"/>
      <c r="E4094" s="19"/>
      <c r="F4094" s="19"/>
      <c r="G4094" s="19"/>
      <c r="H4094" s="19"/>
      <c r="I4094" s="19"/>
      <c r="J4094" s="19"/>
      <c r="K4094" s="19"/>
      <c r="L4094" s="19"/>
      <c r="M4094" s="19"/>
      <c r="N4094" s="19"/>
      <c r="O4094" s="43"/>
      <c r="P4094" s="19"/>
      <c r="Q4094" s="19"/>
      <c r="R4094" s="19"/>
      <c r="S4094" s="19"/>
      <c r="T4094" s="19"/>
      <c r="U4094" s="19"/>
      <c r="V4094" s="44"/>
      <c r="W4094" s="19"/>
      <c r="X4094" s="19"/>
      <c r="Y4094" s="19"/>
      <c r="Z4094" s="19"/>
      <c r="AA4094" s="19"/>
      <c r="AB4094" s="19"/>
      <c r="AC4094" s="19"/>
      <c r="AD4094" s="19"/>
      <c r="AE4094" s="19"/>
      <c r="AF4094" s="19"/>
      <c r="AG4094" s="19"/>
      <c r="AH4094" s="19"/>
      <c r="AI4094" s="19"/>
      <c r="AJ4094" s="19"/>
      <c r="AK4094" s="19"/>
      <c r="AL4094" s="6" t="str">
        <f t="array" ref="AL4094">IFERROR(IFS(XLOOKUP(B4094, 'Kit Delivery Status'!$U:$U, 'Kit Delivery Status'!$K:$K) = "Complete", "DELIVERED", XLOOKUP(B4094, 'Kit Delivery Status'!$U:$U, 'Kit Delivery Status'!$K:$K) = "Issue", "ISSUE"), "")</f>
        <v/>
      </c>
      <c r="AM4094" s="6"/>
    </row>
    <row r="4095">
      <c r="A4095" s="19"/>
      <c r="B4095" s="19"/>
      <c r="C4095" s="19"/>
      <c r="D4095" s="42"/>
      <c r="E4095" s="19"/>
      <c r="F4095" s="19"/>
      <c r="G4095" s="19"/>
      <c r="H4095" s="19"/>
      <c r="I4095" s="19"/>
      <c r="J4095" s="19"/>
      <c r="K4095" s="19"/>
      <c r="L4095" s="19"/>
      <c r="M4095" s="19"/>
      <c r="N4095" s="19"/>
      <c r="O4095" s="43"/>
      <c r="P4095" s="19"/>
      <c r="Q4095" s="19"/>
      <c r="R4095" s="19"/>
      <c r="S4095" s="19"/>
      <c r="T4095" s="19"/>
      <c r="U4095" s="19"/>
      <c r="V4095" s="44"/>
      <c r="W4095" s="19"/>
      <c r="X4095" s="19"/>
      <c r="Y4095" s="19"/>
      <c r="Z4095" s="19"/>
      <c r="AA4095" s="19"/>
      <c r="AB4095" s="19"/>
      <c r="AC4095" s="19"/>
      <c r="AD4095" s="19"/>
      <c r="AE4095" s="19"/>
      <c r="AF4095" s="19"/>
      <c r="AG4095" s="19"/>
      <c r="AH4095" s="19"/>
      <c r="AI4095" s="19"/>
      <c r="AJ4095" s="19"/>
      <c r="AK4095" s="19"/>
      <c r="AL4095" s="6" t="str">
        <f t="array" ref="AL4095">IFERROR(IFS(XLOOKUP(B4095, 'Kit Delivery Status'!$U:$U, 'Kit Delivery Status'!$K:$K) = "Complete", "DELIVERED", XLOOKUP(B4095, 'Kit Delivery Status'!$U:$U, 'Kit Delivery Status'!$K:$K) = "Issue", "ISSUE"), "")</f>
        <v/>
      </c>
      <c r="AM4095" s="6"/>
    </row>
    <row r="4096">
      <c r="A4096" s="19"/>
      <c r="B4096" s="19"/>
      <c r="C4096" s="19"/>
      <c r="D4096" s="42"/>
      <c r="E4096" s="19"/>
      <c r="F4096" s="19"/>
      <c r="G4096" s="19"/>
      <c r="H4096" s="19"/>
      <c r="I4096" s="19"/>
      <c r="J4096" s="19"/>
      <c r="K4096" s="19"/>
      <c r="L4096" s="19"/>
      <c r="M4096" s="19"/>
      <c r="N4096" s="19"/>
      <c r="O4096" s="43"/>
      <c r="P4096" s="19"/>
      <c r="Q4096" s="19"/>
      <c r="R4096" s="19"/>
      <c r="S4096" s="19"/>
      <c r="T4096" s="19"/>
      <c r="U4096" s="19"/>
      <c r="V4096" s="44"/>
      <c r="W4096" s="19"/>
      <c r="X4096" s="19"/>
      <c r="Y4096" s="19"/>
      <c r="Z4096" s="19"/>
      <c r="AA4096" s="19"/>
      <c r="AB4096" s="19"/>
      <c r="AC4096" s="19"/>
      <c r="AD4096" s="19"/>
      <c r="AE4096" s="19"/>
      <c r="AF4096" s="19"/>
      <c r="AG4096" s="19"/>
      <c r="AH4096" s="19"/>
      <c r="AI4096" s="19"/>
      <c r="AJ4096" s="19"/>
      <c r="AK4096" s="19"/>
      <c r="AL4096" s="6" t="str">
        <f t="array" ref="AL4096">IFERROR(IFS(XLOOKUP(B4096, 'Kit Delivery Status'!$U:$U, 'Kit Delivery Status'!$K:$K) = "Complete", "DELIVERED", XLOOKUP(B4096, 'Kit Delivery Status'!$U:$U, 'Kit Delivery Status'!$K:$K) = "Issue", "ISSUE"), "")</f>
        <v/>
      </c>
      <c r="AM4096" s="6"/>
    </row>
    <row r="4097">
      <c r="A4097" s="19"/>
      <c r="B4097" s="19"/>
      <c r="C4097" s="19"/>
      <c r="D4097" s="42"/>
      <c r="E4097" s="19"/>
      <c r="F4097" s="19"/>
      <c r="G4097" s="19"/>
      <c r="H4097" s="19"/>
      <c r="I4097" s="19"/>
      <c r="J4097" s="19"/>
      <c r="K4097" s="19"/>
      <c r="L4097" s="19"/>
      <c r="M4097" s="19"/>
      <c r="N4097" s="19"/>
      <c r="O4097" s="43"/>
      <c r="P4097" s="19"/>
      <c r="Q4097" s="19"/>
      <c r="R4097" s="19"/>
      <c r="S4097" s="19"/>
      <c r="T4097" s="19"/>
      <c r="U4097" s="19"/>
      <c r="V4097" s="44"/>
      <c r="W4097" s="19"/>
      <c r="X4097" s="19"/>
      <c r="Y4097" s="19"/>
      <c r="Z4097" s="19"/>
      <c r="AA4097" s="19"/>
      <c r="AB4097" s="19"/>
      <c r="AC4097" s="19"/>
      <c r="AD4097" s="19"/>
      <c r="AE4097" s="19"/>
      <c r="AF4097" s="19"/>
      <c r="AG4097" s="19"/>
      <c r="AH4097" s="19"/>
      <c r="AI4097" s="19"/>
      <c r="AJ4097" s="19"/>
      <c r="AK4097" s="19"/>
      <c r="AL4097" s="6" t="str">
        <f t="array" ref="AL4097">IFERROR(IFS(XLOOKUP(B4097, 'Kit Delivery Status'!$U:$U, 'Kit Delivery Status'!$K:$K) = "Complete", "DELIVERED", XLOOKUP(B4097, 'Kit Delivery Status'!$U:$U, 'Kit Delivery Status'!$K:$K) = "Issue", "ISSUE"), "")</f>
        <v/>
      </c>
      <c r="AM4097" s="6"/>
    </row>
    <row r="4098">
      <c r="A4098" s="19"/>
      <c r="B4098" s="19"/>
      <c r="C4098" s="19"/>
      <c r="D4098" s="42"/>
      <c r="E4098" s="19"/>
      <c r="F4098" s="19"/>
      <c r="G4098" s="19"/>
      <c r="H4098" s="19"/>
      <c r="I4098" s="19"/>
      <c r="J4098" s="19"/>
      <c r="K4098" s="19"/>
      <c r="L4098" s="19"/>
      <c r="M4098" s="19"/>
      <c r="N4098" s="19"/>
      <c r="O4098" s="43"/>
      <c r="P4098" s="19"/>
      <c r="Q4098" s="19"/>
      <c r="R4098" s="19"/>
      <c r="S4098" s="19"/>
      <c r="T4098" s="19"/>
      <c r="U4098" s="19"/>
      <c r="V4098" s="44"/>
      <c r="W4098" s="19"/>
      <c r="X4098" s="19"/>
      <c r="Y4098" s="19"/>
      <c r="Z4098" s="19"/>
      <c r="AA4098" s="19"/>
      <c r="AB4098" s="19"/>
      <c r="AC4098" s="19"/>
      <c r="AD4098" s="19"/>
      <c r="AE4098" s="19"/>
      <c r="AF4098" s="19"/>
      <c r="AG4098" s="19"/>
      <c r="AH4098" s="19"/>
      <c r="AI4098" s="19"/>
      <c r="AJ4098" s="19"/>
      <c r="AK4098" s="19"/>
      <c r="AL4098" s="6" t="str">
        <f t="array" ref="AL4098">IFERROR(IFS(XLOOKUP(B4098, 'Kit Delivery Status'!$U:$U, 'Kit Delivery Status'!$K:$K) = "Complete", "DELIVERED", XLOOKUP(B4098, 'Kit Delivery Status'!$U:$U, 'Kit Delivery Status'!$K:$K) = "Issue", "ISSUE"), "")</f>
        <v/>
      </c>
      <c r="AM4098" s="6"/>
    </row>
    <row r="4099">
      <c r="A4099" s="19"/>
      <c r="B4099" s="19"/>
      <c r="C4099" s="19"/>
      <c r="D4099" s="42"/>
      <c r="E4099" s="19"/>
      <c r="F4099" s="19"/>
      <c r="G4099" s="19"/>
      <c r="H4099" s="19"/>
      <c r="I4099" s="19"/>
      <c r="J4099" s="19"/>
      <c r="K4099" s="19"/>
      <c r="L4099" s="19"/>
      <c r="M4099" s="19"/>
      <c r="N4099" s="19"/>
      <c r="O4099" s="43"/>
      <c r="P4099" s="19"/>
      <c r="Q4099" s="19"/>
      <c r="R4099" s="19"/>
      <c r="S4099" s="19"/>
      <c r="T4099" s="19"/>
      <c r="U4099" s="19"/>
      <c r="V4099" s="44"/>
      <c r="W4099" s="19"/>
      <c r="X4099" s="19"/>
      <c r="Y4099" s="19"/>
      <c r="Z4099" s="19"/>
      <c r="AA4099" s="19"/>
      <c r="AB4099" s="19"/>
      <c r="AC4099" s="19"/>
      <c r="AD4099" s="19"/>
      <c r="AE4099" s="19"/>
      <c r="AF4099" s="19"/>
      <c r="AG4099" s="19"/>
      <c r="AH4099" s="19"/>
      <c r="AI4099" s="19"/>
      <c r="AJ4099" s="19"/>
      <c r="AK4099" s="19"/>
      <c r="AL4099" s="6" t="str">
        <f t="array" ref="AL4099">IFERROR(IFS(XLOOKUP(B4099, 'Kit Delivery Status'!$U:$U, 'Kit Delivery Status'!$K:$K) = "Complete", "DELIVERED", XLOOKUP(B4099, 'Kit Delivery Status'!$U:$U, 'Kit Delivery Status'!$K:$K) = "Issue", "ISSUE"), "")</f>
        <v/>
      </c>
      <c r="AM4099" s="6"/>
    </row>
    <row r="4100">
      <c r="A4100" s="19"/>
      <c r="B4100" s="19"/>
      <c r="C4100" s="19"/>
      <c r="D4100" s="42"/>
      <c r="E4100" s="19"/>
      <c r="F4100" s="19"/>
      <c r="G4100" s="19"/>
      <c r="H4100" s="19"/>
      <c r="I4100" s="19"/>
      <c r="J4100" s="19"/>
      <c r="K4100" s="19"/>
      <c r="L4100" s="19"/>
      <c r="M4100" s="19"/>
      <c r="N4100" s="19"/>
      <c r="O4100" s="43"/>
      <c r="P4100" s="19"/>
      <c r="Q4100" s="19"/>
      <c r="R4100" s="19"/>
      <c r="S4100" s="19"/>
      <c r="T4100" s="19"/>
      <c r="U4100" s="19"/>
      <c r="V4100" s="44"/>
      <c r="W4100" s="19"/>
      <c r="X4100" s="19"/>
      <c r="Y4100" s="19"/>
      <c r="Z4100" s="19"/>
      <c r="AA4100" s="19"/>
      <c r="AB4100" s="19"/>
      <c r="AC4100" s="19"/>
      <c r="AD4100" s="19"/>
      <c r="AE4100" s="19"/>
      <c r="AF4100" s="19"/>
      <c r="AG4100" s="19"/>
      <c r="AH4100" s="19"/>
      <c r="AI4100" s="19"/>
      <c r="AJ4100" s="19"/>
      <c r="AK4100" s="19"/>
      <c r="AL4100" s="6" t="str">
        <f t="array" ref="AL4100">IFERROR(IFS(XLOOKUP(B4100, 'Kit Delivery Status'!$U:$U, 'Kit Delivery Status'!$K:$K) = "Complete", "DELIVERED", XLOOKUP(B4100, 'Kit Delivery Status'!$U:$U, 'Kit Delivery Status'!$K:$K) = "Issue", "ISSUE"), "")</f>
        <v/>
      </c>
      <c r="AM4100" s="6"/>
    </row>
    <row r="4101">
      <c r="A4101" s="19"/>
      <c r="B4101" s="19"/>
      <c r="C4101" s="19"/>
      <c r="D4101" s="42"/>
      <c r="E4101" s="19"/>
      <c r="F4101" s="19"/>
      <c r="G4101" s="19"/>
      <c r="H4101" s="19"/>
      <c r="I4101" s="19"/>
      <c r="J4101" s="19"/>
      <c r="K4101" s="19"/>
      <c r="L4101" s="19"/>
      <c r="M4101" s="19"/>
      <c r="N4101" s="19"/>
      <c r="O4101" s="43"/>
      <c r="P4101" s="19"/>
      <c r="Q4101" s="19"/>
      <c r="R4101" s="19"/>
      <c r="S4101" s="19"/>
      <c r="T4101" s="19"/>
      <c r="U4101" s="19"/>
      <c r="V4101" s="44"/>
      <c r="W4101" s="19"/>
      <c r="X4101" s="19"/>
      <c r="Y4101" s="19"/>
      <c r="Z4101" s="19"/>
      <c r="AA4101" s="19"/>
      <c r="AB4101" s="19"/>
      <c r="AC4101" s="19"/>
      <c r="AD4101" s="19"/>
      <c r="AE4101" s="19"/>
      <c r="AF4101" s="19"/>
      <c r="AG4101" s="19"/>
      <c r="AH4101" s="19"/>
      <c r="AI4101" s="19"/>
      <c r="AJ4101" s="19"/>
      <c r="AK4101" s="19"/>
      <c r="AL4101" s="6" t="str">
        <f t="array" ref="AL4101">IFERROR(IFS(XLOOKUP(B4101, 'Kit Delivery Status'!$U:$U, 'Kit Delivery Status'!$K:$K) = "Complete", "DELIVERED", XLOOKUP(B4101, 'Kit Delivery Status'!$U:$U, 'Kit Delivery Status'!$K:$K) = "Issue", "ISSUE"), "")</f>
        <v/>
      </c>
      <c r="AM4101" s="6"/>
    </row>
    <row r="4102">
      <c r="A4102" s="19"/>
      <c r="B4102" s="19"/>
      <c r="C4102" s="19"/>
      <c r="D4102" s="42"/>
      <c r="E4102" s="19"/>
      <c r="F4102" s="19"/>
      <c r="G4102" s="19"/>
      <c r="H4102" s="19"/>
      <c r="I4102" s="19"/>
      <c r="J4102" s="19"/>
      <c r="K4102" s="19"/>
      <c r="L4102" s="19"/>
      <c r="M4102" s="19"/>
      <c r="N4102" s="19"/>
      <c r="O4102" s="43"/>
      <c r="P4102" s="19"/>
      <c r="Q4102" s="19"/>
      <c r="R4102" s="19"/>
      <c r="S4102" s="19"/>
      <c r="T4102" s="19"/>
      <c r="U4102" s="19"/>
      <c r="V4102" s="44"/>
      <c r="W4102" s="19"/>
      <c r="X4102" s="19"/>
      <c r="Y4102" s="19"/>
      <c r="Z4102" s="19"/>
      <c r="AA4102" s="19"/>
      <c r="AB4102" s="19"/>
      <c r="AC4102" s="19"/>
      <c r="AD4102" s="19"/>
      <c r="AE4102" s="19"/>
      <c r="AF4102" s="19"/>
      <c r="AG4102" s="19"/>
      <c r="AH4102" s="19"/>
      <c r="AI4102" s="19"/>
      <c r="AJ4102" s="19"/>
      <c r="AK4102" s="19"/>
      <c r="AL4102" s="6" t="str">
        <f t="array" ref="AL4102">IFERROR(IFS(XLOOKUP(B4102, 'Kit Delivery Status'!$U:$U, 'Kit Delivery Status'!$K:$K) = "Complete", "DELIVERED", XLOOKUP(B4102, 'Kit Delivery Status'!$U:$U, 'Kit Delivery Status'!$K:$K) = "Issue", "ISSUE"), "")</f>
        <v/>
      </c>
      <c r="AM4102" s="6"/>
    </row>
    <row r="4103">
      <c r="A4103" s="19"/>
      <c r="B4103" s="19"/>
      <c r="C4103" s="19"/>
      <c r="D4103" s="42"/>
      <c r="E4103" s="19"/>
      <c r="F4103" s="19"/>
      <c r="G4103" s="19"/>
      <c r="H4103" s="19"/>
      <c r="I4103" s="19"/>
      <c r="J4103" s="19"/>
      <c r="K4103" s="19"/>
      <c r="L4103" s="19"/>
      <c r="M4103" s="19"/>
      <c r="N4103" s="19"/>
      <c r="O4103" s="43"/>
      <c r="P4103" s="19"/>
      <c r="Q4103" s="19"/>
      <c r="R4103" s="19"/>
      <c r="S4103" s="19"/>
      <c r="T4103" s="19"/>
      <c r="U4103" s="19"/>
      <c r="V4103" s="44"/>
      <c r="W4103" s="19"/>
      <c r="X4103" s="19"/>
      <c r="Y4103" s="19"/>
      <c r="Z4103" s="19"/>
      <c r="AA4103" s="19"/>
      <c r="AB4103" s="19"/>
      <c r="AC4103" s="19"/>
      <c r="AD4103" s="19"/>
      <c r="AE4103" s="19"/>
      <c r="AF4103" s="19"/>
      <c r="AG4103" s="19"/>
      <c r="AH4103" s="19"/>
      <c r="AI4103" s="19"/>
      <c r="AJ4103" s="19"/>
      <c r="AK4103" s="19"/>
      <c r="AL4103" s="6" t="str">
        <f t="array" ref="AL4103">IFERROR(IFS(XLOOKUP(B4103, 'Kit Delivery Status'!$U:$U, 'Kit Delivery Status'!$K:$K) = "Complete", "DELIVERED", XLOOKUP(B4103, 'Kit Delivery Status'!$U:$U, 'Kit Delivery Status'!$K:$K) = "Issue", "ISSUE"), "")</f>
        <v/>
      </c>
      <c r="AM4103" s="6"/>
    </row>
    <row r="4104">
      <c r="A4104" s="19"/>
      <c r="B4104" s="19"/>
      <c r="C4104" s="19"/>
      <c r="D4104" s="42"/>
      <c r="E4104" s="19"/>
      <c r="F4104" s="19"/>
      <c r="G4104" s="19"/>
      <c r="H4104" s="19"/>
      <c r="I4104" s="19"/>
      <c r="J4104" s="19"/>
      <c r="K4104" s="19"/>
      <c r="L4104" s="19"/>
      <c r="M4104" s="19"/>
      <c r="N4104" s="19"/>
      <c r="O4104" s="43"/>
      <c r="P4104" s="19"/>
      <c r="Q4104" s="19"/>
      <c r="R4104" s="19"/>
      <c r="S4104" s="19"/>
      <c r="T4104" s="19"/>
      <c r="U4104" s="19"/>
      <c r="V4104" s="44"/>
      <c r="W4104" s="19"/>
      <c r="X4104" s="19"/>
      <c r="Y4104" s="19"/>
      <c r="Z4104" s="19"/>
      <c r="AA4104" s="19"/>
      <c r="AB4104" s="19"/>
      <c r="AC4104" s="19"/>
      <c r="AD4104" s="19"/>
      <c r="AE4104" s="19"/>
      <c r="AF4104" s="19"/>
      <c r="AG4104" s="19"/>
      <c r="AH4104" s="19"/>
      <c r="AI4104" s="19"/>
      <c r="AJ4104" s="19"/>
      <c r="AK4104" s="19"/>
      <c r="AL4104" s="6" t="str">
        <f t="array" ref="AL4104">IFERROR(IFS(XLOOKUP(B4104, 'Kit Delivery Status'!$U:$U, 'Kit Delivery Status'!$K:$K) = "Complete", "DELIVERED", XLOOKUP(B4104, 'Kit Delivery Status'!$U:$U, 'Kit Delivery Status'!$K:$K) = "Issue", "ISSUE"), "")</f>
        <v/>
      </c>
      <c r="AM4104" s="6"/>
    </row>
    <row r="4105">
      <c r="A4105" s="19"/>
      <c r="B4105" s="19"/>
      <c r="C4105" s="19"/>
      <c r="D4105" s="42"/>
      <c r="E4105" s="19"/>
      <c r="F4105" s="19"/>
      <c r="G4105" s="19"/>
      <c r="H4105" s="19"/>
      <c r="I4105" s="19"/>
      <c r="J4105" s="19"/>
      <c r="K4105" s="19"/>
      <c r="L4105" s="19"/>
      <c r="M4105" s="19"/>
      <c r="N4105" s="19"/>
      <c r="O4105" s="43"/>
      <c r="P4105" s="19"/>
      <c r="Q4105" s="19"/>
      <c r="R4105" s="19"/>
      <c r="S4105" s="19"/>
      <c r="T4105" s="19"/>
      <c r="U4105" s="19"/>
      <c r="V4105" s="44"/>
      <c r="W4105" s="19"/>
      <c r="X4105" s="19"/>
      <c r="Y4105" s="19"/>
      <c r="Z4105" s="19"/>
      <c r="AA4105" s="19"/>
      <c r="AB4105" s="19"/>
      <c r="AC4105" s="19"/>
      <c r="AD4105" s="19"/>
      <c r="AE4105" s="19"/>
      <c r="AF4105" s="19"/>
      <c r="AG4105" s="19"/>
      <c r="AH4105" s="19"/>
      <c r="AI4105" s="19"/>
      <c r="AJ4105" s="19"/>
      <c r="AK4105" s="19"/>
      <c r="AL4105" s="6" t="str">
        <f t="array" ref="AL4105">IFERROR(IFS(XLOOKUP(B4105, 'Kit Delivery Status'!$U:$U, 'Kit Delivery Status'!$K:$K) = "Complete", "DELIVERED", XLOOKUP(B4105, 'Kit Delivery Status'!$U:$U, 'Kit Delivery Status'!$K:$K) = "Issue", "ISSUE"), "")</f>
        <v/>
      </c>
      <c r="AM4105" s="6"/>
    </row>
    <row r="4106">
      <c r="A4106" s="19"/>
      <c r="B4106" s="19"/>
      <c r="C4106" s="19"/>
      <c r="D4106" s="42"/>
      <c r="E4106" s="19"/>
      <c r="F4106" s="19"/>
      <c r="G4106" s="19"/>
      <c r="H4106" s="19"/>
      <c r="I4106" s="19"/>
      <c r="J4106" s="19"/>
      <c r="K4106" s="19"/>
      <c r="L4106" s="19"/>
      <c r="M4106" s="19"/>
      <c r="N4106" s="19"/>
      <c r="O4106" s="43"/>
      <c r="P4106" s="19"/>
      <c r="Q4106" s="19"/>
      <c r="R4106" s="19"/>
      <c r="S4106" s="19"/>
      <c r="T4106" s="19"/>
      <c r="U4106" s="19"/>
      <c r="V4106" s="44"/>
      <c r="W4106" s="19"/>
      <c r="X4106" s="19"/>
      <c r="Y4106" s="19"/>
      <c r="Z4106" s="19"/>
      <c r="AA4106" s="19"/>
      <c r="AB4106" s="19"/>
      <c r="AC4106" s="19"/>
      <c r="AD4106" s="19"/>
      <c r="AE4106" s="19"/>
      <c r="AF4106" s="19"/>
      <c r="AG4106" s="19"/>
      <c r="AH4106" s="19"/>
      <c r="AI4106" s="19"/>
      <c r="AJ4106" s="19"/>
      <c r="AK4106" s="19"/>
      <c r="AL4106" s="6" t="str">
        <f t="array" ref="AL4106">IFERROR(IFS(XLOOKUP(B4106, 'Kit Delivery Status'!$U:$U, 'Kit Delivery Status'!$K:$K) = "Complete", "DELIVERED", XLOOKUP(B4106, 'Kit Delivery Status'!$U:$U, 'Kit Delivery Status'!$K:$K) = "Issue", "ISSUE"), "")</f>
        <v/>
      </c>
      <c r="AM4106" s="6"/>
    </row>
    <row r="4107">
      <c r="A4107" s="19"/>
      <c r="B4107" s="19"/>
      <c r="C4107" s="19"/>
      <c r="D4107" s="42"/>
      <c r="E4107" s="19"/>
      <c r="F4107" s="19"/>
      <c r="G4107" s="19"/>
      <c r="H4107" s="19"/>
      <c r="I4107" s="19"/>
      <c r="J4107" s="19"/>
      <c r="K4107" s="19"/>
      <c r="L4107" s="19"/>
      <c r="M4107" s="19"/>
      <c r="N4107" s="19"/>
      <c r="O4107" s="43"/>
      <c r="P4107" s="19"/>
      <c r="Q4107" s="19"/>
      <c r="R4107" s="19"/>
      <c r="S4107" s="19"/>
      <c r="T4107" s="19"/>
      <c r="U4107" s="19"/>
      <c r="V4107" s="44"/>
      <c r="W4107" s="19"/>
      <c r="X4107" s="19"/>
      <c r="Y4107" s="19"/>
      <c r="Z4107" s="19"/>
      <c r="AA4107" s="19"/>
      <c r="AB4107" s="19"/>
      <c r="AC4107" s="19"/>
      <c r="AD4107" s="19"/>
      <c r="AE4107" s="19"/>
      <c r="AF4107" s="19"/>
      <c r="AG4107" s="19"/>
      <c r="AH4107" s="19"/>
      <c r="AI4107" s="19"/>
      <c r="AJ4107" s="19"/>
      <c r="AK4107" s="19"/>
      <c r="AL4107" s="6" t="str">
        <f t="array" ref="AL4107">IFERROR(IFS(XLOOKUP(B4107, 'Kit Delivery Status'!$U:$U, 'Kit Delivery Status'!$K:$K) = "Complete", "DELIVERED", XLOOKUP(B4107, 'Kit Delivery Status'!$U:$U, 'Kit Delivery Status'!$K:$K) = "Issue", "ISSUE"), "")</f>
        <v/>
      </c>
      <c r="AM4107" s="6"/>
    </row>
    <row r="4108">
      <c r="A4108" s="19"/>
      <c r="B4108" s="19"/>
      <c r="C4108" s="19"/>
      <c r="D4108" s="42"/>
      <c r="E4108" s="19"/>
      <c r="F4108" s="19"/>
      <c r="G4108" s="19"/>
      <c r="H4108" s="19"/>
      <c r="I4108" s="19"/>
      <c r="J4108" s="19"/>
      <c r="K4108" s="19"/>
      <c r="L4108" s="19"/>
      <c r="M4108" s="19"/>
      <c r="N4108" s="19"/>
      <c r="O4108" s="43"/>
      <c r="P4108" s="19"/>
      <c r="Q4108" s="19"/>
      <c r="R4108" s="19"/>
      <c r="S4108" s="19"/>
      <c r="T4108" s="19"/>
      <c r="U4108" s="19"/>
      <c r="V4108" s="44"/>
      <c r="W4108" s="19"/>
      <c r="X4108" s="19"/>
      <c r="Y4108" s="19"/>
      <c r="Z4108" s="19"/>
      <c r="AA4108" s="19"/>
      <c r="AB4108" s="19"/>
      <c r="AC4108" s="19"/>
      <c r="AD4108" s="19"/>
      <c r="AE4108" s="19"/>
      <c r="AF4108" s="19"/>
      <c r="AG4108" s="19"/>
      <c r="AH4108" s="19"/>
      <c r="AI4108" s="19"/>
      <c r="AJ4108" s="19"/>
      <c r="AK4108" s="19"/>
      <c r="AL4108" s="6" t="str">
        <f t="array" ref="AL4108">IFERROR(IFS(XLOOKUP(B4108, 'Kit Delivery Status'!$U:$U, 'Kit Delivery Status'!$K:$K) = "Complete", "DELIVERED", XLOOKUP(B4108, 'Kit Delivery Status'!$U:$U, 'Kit Delivery Status'!$K:$K) = "Issue", "ISSUE"), "")</f>
        <v/>
      </c>
      <c r="AM4108" s="6"/>
    </row>
    <row r="4109">
      <c r="A4109" s="19"/>
      <c r="B4109" s="19"/>
      <c r="C4109" s="19"/>
      <c r="D4109" s="42"/>
      <c r="E4109" s="19"/>
      <c r="F4109" s="19"/>
      <c r="G4109" s="19"/>
      <c r="H4109" s="19"/>
      <c r="I4109" s="19"/>
      <c r="J4109" s="19"/>
      <c r="K4109" s="19"/>
      <c r="L4109" s="19"/>
      <c r="M4109" s="19"/>
      <c r="N4109" s="19"/>
      <c r="O4109" s="43"/>
      <c r="P4109" s="19"/>
      <c r="Q4109" s="19"/>
      <c r="R4109" s="19"/>
      <c r="S4109" s="19"/>
      <c r="T4109" s="19"/>
      <c r="U4109" s="19"/>
      <c r="V4109" s="44"/>
      <c r="W4109" s="19"/>
      <c r="X4109" s="19"/>
      <c r="Y4109" s="19"/>
      <c r="Z4109" s="19"/>
      <c r="AA4109" s="19"/>
      <c r="AB4109" s="19"/>
      <c r="AC4109" s="19"/>
      <c r="AD4109" s="19"/>
      <c r="AE4109" s="19"/>
      <c r="AF4109" s="19"/>
      <c r="AG4109" s="19"/>
      <c r="AH4109" s="19"/>
      <c r="AI4109" s="19"/>
      <c r="AJ4109" s="19"/>
      <c r="AK4109" s="19"/>
      <c r="AL4109" s="6" t="str">
        <f t="array" ref="AL4109">IFERROR(IFS(XLOOKUP(B4109, 'Kit Delivery Status'!$U:$U, 'Kit Delivery Status'!$K:$K) = "Complete", "DELIVERED", XLOOKUP(B4109, 'Kit Delivery Status'!$U:$U, 'Kit Delivery Status'!$K:$K) = "Issue", "ISSUE"), "")</f>
        <v/>
      </c>
      <c r="AM4109" s="6"/>
    </row>
    <row r="4110">
      <c r="A4110" s="19"/>
      <c r="B4110" s="19"/>
      <c r="C4110" s="19"/>
      <c r="D4110" s="42"/>
      <c r="E4110" s="19"/>
      <c r="F4110" s="19"/>
      <c r="G4110" s="19"/>
      <c r="H4110" s="19"/>
      <c r="I4110" s="19"/>
      <c r="J4110" s="19"/>
      <c r="K4110" s="19"/>
      <c r="L4110" s="19"/>
      <c r="M4110" s="19"/>
      <c r="N4110" s="19"/>
      <c r="O4110" s="43"/>
      <c r="P4110" s="19"/>
      <c r="Q4110" s="19"/>
      <c r="R4110" s="19"/>
      <c r="S4110" s="19"/>
      <c r="T4110" s="19"/>
      <c r="U4110" s="19"/>
      <c r="V4110" s="44"/>
      <c r="W4110" s="19"/>
      <c r="X4110" s="19"/>
      <c r="Y4110" s="19"/>
      <c r="Z4110" s="19"/>
      <c r="AA4110" s="19"/>
      <c r="AB4110" s="19"/>
      <c r="AC4110" s="19"/>
      <c r="AD4110" s="19"/>
      <c r="AE4110" s="19"/>
      <c r="AF4110" s="19"/>
      <c r="AG4110" s="19"/>
      <c r="AH4110" s="19"/>
      <c r="AI4110" s="19"/>
      <c r="AJ4110" s="19"/>
      <c r="AK4110" s="19"/>
      <c r="AL4110" s="6" t="str">
        <f t="array" ref="AL4110">IFERROR(IFS(XLOOKUP(B4110, 'Kit Delivery Status'!$U:$U, 'Kit Delivery Status'!$K:$K) = "Complete", "DELIVERED", XLOOKUP(B4110, 'Kit Delivery Status'!$U:$U, 'Kit Delivery Status'!$K:$K) = "Issue", "ISSUE"), "")</f>
        <v/>
      </c>
      <c r="AM4110" s="6"/>
    </row>
    <row r="4111">
      <c r="A4111" s="19"/>
      <c r="B4111" s="19"/>
      <c r="C4111" s="19"/>
      <c r="D4111" s="42"/>
      <c r="E4111" s="19"/>
      <c r="F4111" s="19"/>
      <c r="G4111" s="19"/>
      <c r="H4111" s="19"/>
      <c r="I4111" s="19"/>
      <c r="J4111" s="19"/>
      <c r="K4111" s="19"/>
      <c r="L4111" s="19"/>
      <c r="M4111" s="19"/>
      <c r="N4111" s="19"/>
      <c r="O4111" s="43"/>
      <c r="P4111" s="19"/>
      <c r="Q4111" s="19"/>
      <c r="R4111" s="19"/>
      <c r="S4111" s="19"/>
      <c r="T4111" s="19"/>
      <c r="U4111" s="19"/>
      <c r="V4111" s="44"/>
      <c r="W4111" s="19"/>
      <c r="X4111" s="19"/>
      <c r="Y4111" s="19"/>
      <c r="Z4111" s="19"/>
      <c r="AA4111" s="19"/>
      <c r="AB4111" s="19"/>
      <c r="AC4111" s="19"/>
      <c r="AD4111" s="19"/>
      <c r="AE4111" s="19"/>
      <c r="AF4111" s="19"/>
      <c r="AG4111" s="19"/>
      <c r="AH4111" s="19"/>
      <c r="AI4111" s="19"/>
      <c r="AJ4111" s="19"/>
      <c r="AK4111" s="19"/>
      <c r="AL4111" s="6" t="str">
        <f t="array" ref="AL4111">IFERROR(IFS(XLOOKUP(B4111, 'Kit Delivery Status'!$U:$U, 'Kit Delivery Status'!$K:$K) = "Complete", "DELIVERED", XLOOKUP(B4111, 'Kit Delivery Status'!$U:$U, 'Kit Delivery Status'!$K:$K) = "Issue", "ISSUE"), "")</f>
        <v/>
      </c>
      <c r="AM4111" s="6"/>
    </row>
    <row r="4112">
      <c r="A4112" s="19"/>
      <c r="B4112" s="19"/>
      <c r="C4112" s="19"/>
      <c r="D4112" s="42"/>
      <c r="E4112" s="19"/>
      <c r="F4112" s="19"/>
      <c r="G4112" s="19"/>
      <c r="H4112" s="19"/>
      <c r="I4112" s="19"/>
      <c r="J4112" s="19"/>
      <c r="K4112" s="19"/>
      <c r="L4112" s="19"/>
      <c r="M4112" s="19"/>
      <c r="N4112" s="19"/>
      <c r="O4112" s="43"/>
      <c r="P4112" s="19"/>
      <c r="Q4112" s="19"/>
      <c r="R4112" s="19"/>
      <c r="S4112" s="19"/>
      <c r="T4112" s="19"/>
      <c r="U4112" s="19"/>
      <c r="V4112" s="44"/>
      <c r="W4112" s="19"/>
      <c r="X4112" s="19"/>
      <c r="Y4112" s="19"/>
      <c r="Z4112" s="19"/>
      <c r="AA4112" s="19"/>
      <c r="AB4112" s="19"/>
      <c r="AC4112" s="19"/>
      <c r="AD4112" s="19"/>
      <c r="AE4112" s="19"/>
      <c r="AF4112" s="19"/>
      <c r="AG4112" s="19"/>
      <c r="AH4112" s="19"/>
      <c r="AI4112" s="19"/>
      <c r="AJ4112" s="19"/>
      <c r="AK4112" s="19"/>
      <c r="AL4112" s="6" t="str">
        <f t="array" ref="AL4112">IFERROR(IFS(XLOOKUP(B4112, 'Kit Delivery Status'!$U:$U, 'Kit Delivery Status'!$K:$K) = "Complete", "DELIVERED", XLOOKUP(B4112, 'Kit Delivery Status'!$U:$U, 'Kit Delivery Status'!$K:$K) = "Issue", "ISSUE"), "")</f>
        <v/>
      </c>
      <c r="AM4112" s="6"/>
    </row>
    <row r="4113">
      <c r="A4113" s="19"/>
      <c r="B4113" s="19"/>
      <c r="C4113" s="19"/>
      <c r="D4113" s="42"/>
      <c r="E4113" s="19"/>
      <c r="F4113" s="19"/>
      <c r="G4113" s="19"/>
      <c r="H4113" s="19"/>
      <c r="I4113" s="19"/>
      <c r="J4113" s="19"/>
      <c r="K4113" s="19"/>
      <c r="L4113" s="19"/>
      <c r="M4113" s="19"/>
      <c r="N4113" s="19"/>
      <c r="O4113" s="43"/>
      <c r="P4113" s="19"/>
      <c r="Q4113" s="19"/>
      <c r="R4113" s="19"/>
      <c r="S4113" s="19"/>
      <c r="T4113" s="19"/>
      <c r="U4113" s="19"/>
      <c r="V4113" s="44"/>
      <c r="W4113" s="19"/>
      <c r="X4113" s="19"/>
      <c r="Y4113" s="19"/>
      <c r="Z4113" s="19"/>
      <c r="AA4113" s="19"/>
      <c r="AB4113" s="19"/>
      <c r="AC4113" s="19"/>
      <c r="AD4113" s="19"/>
      <c r="AE4113" s="19"/>
      <c r="AF4113" s="19"/>
      <c r="AG4113" s="19"/>
      <c r="AH4113" s="19"/>
      <c r="AI4113" s="19"/>
      <c r="AJ4113" s="19"/>
      <c r="AK4113" s="19"/>
      <c r="AL4113" s="6" t="str">
        <f t="array" ref="AL4113">IFERROR(IFS(XLOOKUP(B4113, 'Kit Delivery Status'!$U:$U, 'Kit Delivery Status'!$K:$K) = "Complete", "DELIVERED", XLOOKUP(B4113, 'Kit Delivery Status'!$U:$U, 'Kit Delivery Status'!$K:$K) = "Issue", "ISSUE"), "")</f>
        <v/>
      </c>
      <c r="AM4113" s="6"/>
    </row>
    <row r="4114">
      <c r="A4114" s="19"/>
      <c r="B4114" s="19"/>
      <c r="C4114" s="19"/>
      <c r="D4114" s="42"/>
      <c r="E4114" s="19"/>
      <c r="F4114" s="19"/>
      <c r="G4114" s="19"/>
      <c r="H4114" s="19"/>
      <c r="I4114" s="19"/>
      <c r="J4114" s="19"/>
      <c r="K4114" s="19"/>
      <c r="L4114" s="19"/>
      <c r="M4114" s="19"/>
      <c r="N4114" s="19"/>
      <c r="O4114" s="43"/>
      <c r="P4114" s="19"/>
      <c r="Q4114" s="19"/>
      <c r="R4114" s="19"/>
      <c r="S4114" s="19"/>
      <c r="T4114" s="19"/>
      <c r="U4114" s="19"/>
      <c r="V4114" s="44"/>
      <c r="W4114" s="19"/>
      <c r="X4114" s="19"/>
      <c r="Y4114" s="19"/>
      <c r="Z4114" s="19"/>
      <c r="AA4114" s="19"/>
      <c r="AB4114" s="19"/>
      <c r="AC4114" s="19"/>
      <c r="AD4114" s="19"/>
      <c r="AE4114" s="19"/>
      <c r="AF4114" s="19"/>
      <c r="AG4114" s="19"/>
      <c r="AH4114" s="19"/>
      <c r="AI4114" s="19"/>
      <c r="AJ4114" s="19"/>
      <c r="AK4114" s="19"/>
      <c r="AL4114" s="6" t="str">
        <f t="array" ref="AL4114">IFERROR(IFS(XLOOKUP(B4114, 'Kit Delivery Status'!$U:$U, 'Kit Delivery Status'!$K:$K) = "Complete", "DELIVERED", XLOOKUP(B4114, 'Kit Delivery Status'!$U:$U, 'Kit Delivery Status'!$K:$K) = "Issue", "ISSUE"), "")</f>
        <v/>
      </c>
      <c r="AM4114" s="6"/>
    </row>
    <row r="4115">
      <c r="A4115" s="19"/>
      <c r="B4115" s="19"/>
      <c r="C4115" s="19"/>
      <c r="D4115" s="42"/>
      <c r="E4115" s="19"/>
      <c r="F4115" s="19"/>
      <c r="G4115" s="19"/>
      <c r="H4115" s="19"/>
      <c r="I4115" s="19"/>
      <c r="J4115" s="19"/>
      <c r="K4115" s="19"/>
      <c r="L4115" s="19"/>
      <c r="M4115" s="19"/>
      <c r="N4115" s="19"/>
      <c r="O4115" s="43"/>
      <c r="P4115" s="19"/>
      <c r="Q4115" s="19"/>
      <c r="R4115" s="19"/>
      <c r="S4115" s="19"/>
      <c r="T4115" s="19"/>
      <c r="U4115" s="19"/>
      <c r="V4115" s="44"/>
      <c r="W4115" s="19"/>
      <c r="X4115" s="19"/>
      <c r="Y4115" s="19"/>
      <c r="Z4115" s="19"/>
      <c r="AA4115" s="19"/>
      <c r="AB4115" s="19"/>
      <c r="AC4115" s="19"/>
      <c r="AD4115" s="19"/>
      <c r="AE4115" s="19"/>
      <c r="AF4115" s="19"/>
      <c r="AG4115" s="19"/>
      <c r="AH4115" s="19"/>
      <c r="AI4115" s="19"/>
      <c r="AJ4115" s="19"/>
      <c r="AK4115" s="19"/>
      <c r="AL4115" s="6" t="str">
        <f t="array" ref="AL4115">IFERROR(IFS(XLOOKUP(B4115, 'Kit Delivery Status'!$U:$U, 'Kit Delivery Status'!$K:$K) = "Complete", "DELIVERED", XLOOKUP(B4115, 'Kit Delivery Status'!$U:$U, 'Kit Delivery Status'!$K:$K) = "Issue", "ISSUE"), "")</f>
        <v/>
      </c>
      <c r="AM4115" s="6"/>
    </row>
    <row r="4116">
      <c r="A4116" s="19"/>
      <c r="B4116" s="19"/>
      <c r="C4116" s="19"/>
      <c r="D4116" s="42"/>
      <c r="E4116" s="19"/>
      <c r="F4116" s="19"/>
      <c r="G4116" s="19"/>
      <c r="H4116" s="19"/>
      <c r="I4116" s="19"/>
      <c r="J4116" s="19"/>
      <c r="K4116" s="19"/>
      <c r="L4116" s="19"/>
      <c r="M4116" s="19"/>
      <c r="N4116" s="19"/>
      <c r="O4116" s="43"/>
      <c r="P4116" s="19"/>
      <c r="Q4116" s="19"/>
      <c r="R4116" s="19"/>
      <c r="S4116" s="19"/>
      <c r="T4116" s="19"/>
      <c r="U4116" s="19"/>
      <c r="V4116" s="44"/>
      <c r="W4116" s="19"/>
      <c r="X4116" s="19"/>
      <c r="Y4116" s="19"/>
      <c r="Z4116" s="19"/>
      <c r="AA4116" s="19"/>
      <c r="AB4116" s="19"/>
      <c r="AC4116" s="19"/>
      <c r="AD4116" s="19"/>
      <c r="AE4116" s="19"/>
      <c r="AF4116" s="19"/>
      <c r="AG4116" s="19"/>
      <c r="AH4116" s="19"/>
      <c r="AI4116" s="19"/>
      <c r="AJ4116" s="19"/>
      <c r="AK4116" s="19"/>
      <c r="AL4116" s="6" t="str">
        <f t="array" ref="AL4116">IFERROR(IFS(XLOOKUP(B4116, 'Kit Delivery Status'!$U:$U, 'Kit Delivery Status'!$K:$K) = "Complete", "DELIVERED", XLOOKUP(B4116, 'Kit Delivery Status'!$U:$U, 'Kit Delivery Status'!$K:$K) = "Issue", "ISSUE"), "")</f>
        <v/>
      </c>
      <c r="AM4116" s="6"/>
    </row>
    <row r="4117">
      <c r="A4117" s="19"/>
      <c r="B4117" s="19"/>
      <c r="C4117" s="19"/>
      <c r="D4117" s="42"/>
      <c r="E4117" s="19"/>
      <c r="F4117" s="19"/>
      <c r="G4117" s="19"/>
      <c r="H4117" s="19"/>
      <c r="I4117" s="19"/>
      <c r="J4117" s="19"/>
      <c r="K4117" s="19"/>
      <c r="L4117" s="19"/>
      <c r="M4117" s="19"/>
      <c r="N4117" s="19"/>
      <c r="O4117" s="43"/>
      <c r="P4117" s="19"/>
      <c r="Q4117" s="19"/>
      <c r="R4117" s="19"/>
      <c r="S4117" s="19"/>
      <c r="T4117" s="19"/>
      <c r="U4117" s="19"/>
      <c r="V4117" s="44"/>
      <c r="W4117" s="19"/>
      <c r="X4117" s="19"/>
      <c r="Y4117" s="19"/>
      <c r="Z4117" s="19"/>
      <c r="AA4117" s="19"/>
      <c r="AB4117" s="19"/>
      <c r="AC4117" s="19"/>
      <c r="AD4117" s="19"/>
      <c r="AE4117" s="19"/>
      <c r="AF4117" s="19"/>
      <c r="AG4117" s="19"/>
      <c r="AH4117" s="19"/>
      <c r="AI4117" s="19"/>
      <c r="AJ4117" s="19"/>
      <c r="AK4117" s="19"/>
      <c r="AL4117" s="6" t="str">
        <f t="array" ref="AL4117">IFERROR(IFS(XLOOKUP(B4117, 'Kit Delivery Status'!$U:$U, 'Kit Delivery Status'!$K:$K) = "Complete", "DELIVERED", XLOOKUP(B4117, 'Kit Delivery Status'!$U:$U, 'Kit Delivery Status'!$K:$K) = "Issue", "ISSUE"), "")</f>
        <v/>
      </c>
      <c r="AM4117" s="6"/>
    </row>
    <row r="4118">
      <c r="A4118" s="19"/>
      <c r="B4118" s="19"/>
      <c r="C4118" s="19"/>
      <c r="D4118" s="42"/>
      <c r="E4118" s="19"/>
      <c r="F4118" s="19"/>
      <c r="G4118" s="19"/>
      <c r="H4118" s="19"/>
      <c r="I4118" s="19"/>
      <c r="J4118" s="19"/>
      <c r="K4118" s="19"/>
      <c r="L4118" s="19"/>
      <c r="M4118" s="19"/>
      <c r="N4118" s="19"/>
      <c r="O4118" s="43"/>
      <c r="P4118" s="19"/>
      <c r="Q4118" s="19"/>
      <c r="R4118" s="19"/>
      <c r="S4118" s="19"/>
      <c r="T4118" s="19"/>
      <c r="U4118" s="19"/>
      <c r="V4118" s="44"/>
      <c r="W4118" s="19"/>
      <c r="X4118" s="19"/>
      <c r="Y4118" s="19"/>
      <c r="Z4118" s="19"/>
      <c r="AA4118" s="19"/>
      <c r="AB4118" s="19"/>
      <c r="AC4118" s="19"/>
      <c r="AD4118" s="19"/>
      <c r="AE4118" s="19"/>
      <c r="AF4118" s="19"/>
      <c r="AG4118" s="19"/>
      <c r="AH4118" s="19"/>
      <c r="AI4118" s="19"/>
      <c r="AJ4118" s="19"/>
      <c r="AK4118" s="19"/>
      <c r="AL4118" s="6" t="str">
        <f t="array" ref="AL4118">IFERROR(IFS(XLOOKUP(B4118, 'Kit Delivery Status'!$U:$U, 'Kit Delivery Status'!$K:$K) = "Complete", "DELIVERED", XLOOKUP(B4118, 'Kit Delivery Status'!$U:$U, 'Kit Delivery Status'!$K:$K) = "Issue", "ISSUE"), "")</f>
        <v/>
      </c>
      <c r="AM4118" s="6"/>
    </row>
    <row r="4119">
      <c r="A4119" s="19"/>
      <c r="B4119" s="19"/>
      <c r="C4119" s="19"/>
      <c r="D4119" s="42"/>
      <c r="E4119" s="19"/>
      <c r="F4119" s="19"/>
      <c r="G4119" s="19"/>
      <c r="H4119" s="19"/>
      <c r="I4119" s="19"/>
      <c r="J4119" s="19"/>
      <c r="K4119" s="19"/>
      <c r="L4119" s="19"/>
      <c r="M4119" s="19"/>
      <c r="N4119" s="19"/>
      <c r="O4119" s="43"/>
      <c r="P4119" s="19"/>
      <c r="Q4119" s="19"/>
      <c r="R4119" s="19"/>
      <c r="S4119" s="19"/>
      <c r="T4119" s="19"/>
      <c r="U4119" s="19"/>
      <c r="V4119" s="44"/>
      <c r="W4119" s="19"/>
      <c r="X4119" s="19"/>
      <c r="Y4119" s="19"/>
      <c r="Z4119" s="19"/>
      <c r="AA4119" s="19"/>
      <c r="AB4119" s="19"/>
      <c r="AC4119" s="19"/>
      <c r="AD4119" s="19"/>
      <c r="AE4119" s="19"/>
      <c r="AF4119" s="19"/>
      <c r="AG4119" s="19"/>
      <c r="AH4119" s="19"/>
      <c r="AI4119" s="19"/>
      <c r="AJ4119" s="19"/>
      <c r="AK4119" s="19"/>
      <c r="AL4119" s="6" t="str">
        <f t="array" ref="AL4119">IFERROR(IFS(XLOOKUP(B4119, 'Kit Delivery Status'!$U:$U, 'Kit Delivery Status'!$K:$K) = "Complete", "DELIVERED", XLOOKUP(B4119, 'Kit Delivery Status'!$U:$U, 'Kit Delivery Status'!$K:$K) = "Issue", "ISSUE"), "")</f>
        <v/>
      </c>
      <c r="AM4119" s="6"/>
    </row>
    <row r="4120">
      <c r="A4120" s="19"/>
      <c r="B4120" s="19"/>
      <c r="C4120" s="19"/>
      <c r="D4120" s="42"/>
      <c r="E4120" s="19"/>
      <c r="F4120" s="19"/>
      <c r="G4120" s="19"/>
      <c r="H4120" s="19"/>
      <c r="I4120" s="19"/>
      <c r="J4120" s="19"/>
      <c r="K4120" s="19"/>
      <c r="L4120" s="19"/>
      <c r="M4120" s="19"/>
      <c r="N4120" s="19"/>
      <c r="O4120" s="43"/>
      <c r="P4120" s="19"/>
      <c r="Q4120" s="19"/>
      <c r="R4120" s="19"/>
      <c r="S4120" s="19"/>
      <c r="T4120" s="19"/>
      <c r="U4120" s="19"/>
      <c r="V4120" s="44"/>
      <c r="W4120" s="19"/>
      <c r="X4120" s="19"/>
      <c r="Y4120" s="19"/>
      <c r="Z4120" s="19"/>
      <c r="AA4120" s="19"/>
      <c r="AB4120" s="19"/>
      <c r="AC4120" s="19"/>
      <c r="AD4120" s="19"/>
      <c r="AE4120" s="19"/>
      <c r="AF4120" s="19"/>
      <c r="AG4120" s="19"/>
      <c r="AH4120" s="19"/>
      <c r="AI4120" s="19"/>
      <c r="AJ4120" s="19"/>
      <c r="AK4120" s="19"/>
      <c r="AL4120" s="6" t="str">
        <f t="array" ref="AL4120">IFERROR(IFS(XLOOKUP(B4120, 'Kit Delivery Status'!$U:$U, 'Kit Delivery Status'!$K:$K) = "Complete", "DELIVERED", XLOOKUP(B4120, 'Kit Delivery Status'!$U:$U, 'Kit Delivery Status'!$K:$K) = "Issue", "ISSUE"), "")</f>
        <v/>
      </c>
      <c r="AM4120" s="6"/>
    </row>
    <row r="4121">
      <c r="A4121" s="19"/>
      <c r="B4121" s="19"/>
      <c r="C4121" s="19"/>
      <c r="D4121" s="42"/>
      <c r="E4121" s="19"/>
      <c r="F4121" s="19"/>
      <c r="G4121" s="19"/>
      <c r="H4121" s="19"/>
      <c r="I4121" s="19"/>
      <c r="J4121" s="19"/>
      <c r="K4121" s="19"/>
      <c r="L4121" s="19"/>
      <c r="M4121" s="19"/>
      <c r="N4121" s="19"/>
      <c r="O4121" s="43"/>
      <c r="P4121" s="19"/>
      <c r="Q4121" s="19"/>
      <c r="R4121" s="19"/>
      <c r="S4121" s="19"/>
      <c r="T4121" s="19"/>
      <c r="U4121" s="19"/>
      <c r="V4121" s="44"/>
      <c r="W4121" s="19"/>
      <c r="X4121" s="19"/>
      <c r="Y4121" s="19"/>
      <c r="Z4121" s="19"/>
      <c r="AA4121" s="19"/>
      <c r="AB4121" s="19"/>
      <c r="AC4121" s="19"/>
      <c r="AD4121" s="19"/>
      <c r="AE4121" s="19"/>
      <c r="AF4121" s="19"/>
      <c r="AG4121" s="19"/>
      <c r="AH4121" s="19"/>
      <c r="AI4121" s="19"/>
      <c r="AJ4121" s="19"/>
      <c r="AK4121" s="19"/>
      <c r="AL4121" s="6" t="str">
        <f t="array" ref="AL4121">IFERROR(IFS(XLOOKUP(B4121, 'Kit Delivery Status'!$U:$U, 'Kit Delivery Status'!$K:$K) = "Complete", "DELIVERED", XLOOKUP(B4121, 'Kit Delivery Status'!$U:$U, 'Kit Delivery Status'!$K:$K) = "Issue", "ISSUE"), "")</f>
        <v/>
      </c>
      <c r="AM4121" s="6"/>
    </row>
    <row r="4122">
      <c r="A4122" s="19"/>
      <c r="B4122" s="19"/>
      <c r="C4122" s="19"/>
      <c r="D4122" s="42"/>
      <c r="E4122" s="19"/>
      <c r="F4122" s="19"/>
      <c r="G4122" s="19"/>
      <c r="H4122" s="19"/>
      <c r="I4122" s="19"/>
      <c r="J4122" s="19"/>
      <c r="K4122" s="19"/>
      <c r="L4122" s="19"/>
      <c r="M4122" s="19"/>
      <c r="N4122" s="19"/>
      <c r="O4122" s="43"/>
      <c r="P4122" s="19"/>
      <c r="Q4122" s="19"/>
      <c r="R4122" s="19"/>
      <c r="S4122" s="19"/>
      <c r="T4122" s="19"/>
      <c r="U4122" s="19"/>
      <c r="V4122" s="44"/>
      <c r="W4122" s="19"/>
      <c r="X4122" s="19"/>
      <c r="Y4122" s="19"/>
      <c r="Z4122" s="19"/>
      <c r="AA4122" s="19"/>
      <c r="AB4122" s="19"/>
      <c r="AC4122" s="19"/>
      <c r="AD4122" s="19"/>
      <c r="AE4122" s="19"/>
      <c r="AF4122" s="19"/>
      <c r="AG4122" s="19"/>
      <c r="AH4122" s="19"/>
      <c r="AI4122" s="19"/>
      <c r="AJ4122" s="19"/>
      <c r="AK4122" s="19"/>
      <c r="AL4122" s="6" t="str">
        <f t="array" ref="AL4122">IFERROR(IFS(XLOOKUP(B4122, 'Kit Delivery Status'!$U:$U, 'Kit Delivery Status'!$K:$K) = "Complete", "DELIVERED", XLOOKUP(B4122, 'Kit Delivery Status'!$U:$U, 'Kit Delivery Status'!$K:$K) = "Issue", "ISSUE"), "")</f>
        <v/>
      </c>
      <c r="AM4122" s="6"/>
    </row>
    <row r="4123">
      <c r="A4123" s="19"/>
      <c r="B4123" s="19"/>
      <c r="C4123" s="19"/>
      <c r="D4123" s="42"/>
      <c r="E4123" s="19"/>
      <c r="F4123" s="19"/>
      <c r="G4123" s="19"/>
      <c r="H4123" s="19"/>
      <c r="I4123" s="19"/>
      <c r="J4123" s="19"/>
      <c r="K4123" s="19"/>
      <c r="L4123" s="19"/>
      <c r="M4123" s="19"/>
      <c r="N4123" s="19"/>
      <c r="O4123" s="43"/>
      <c r="P4123" s="19"/>
      <c r="Q4123" s="19"/>
      <c r="R4123" s="19"/>
      <c r="S4123" s="19"/>
      <c r="T4123" s="19"/>
      <c r="U4123" s="19"/>
      <c r="V4123" s="44"/>
      <c r="W4123" s="19"/>
      <c r="X4123" s="19"/>
      <c r="Y4123" s="19"/>
      <c r="Z4123" s="19"/>
      <c r="AA4123" s="19"/>
      <c r="AB4123" s="19"/>
      <c r="AC4123" s="19"/>
      <c r="AD4123" s="19"/>
      <c r="AE4123" s="19"/>
      <c r="AF4123" s="19"/>
      <c r="AG4123" s="19"/>
      <c r="AH4123" s="19"/>
      <c r="AI4123" s="19"/>
      <c r="AJ4123" s="19"/>
      <c r="AK4123" s="19"/>
      <c r="AL4123" s="6" t="str">
        <f t="array" ref="AL4123">IFERROR(IFS(XLOOKUP(B4123, 'Kit Delivery Status'!$U:$U, 'Kit Delivery Status'!$K:$K) = "Complete", "DELIVERED", XLOOKUP(B4123, 'Kit Delivery Status'!$U:$U, 'Kit Delivery Status'!$K:$K) = "Issue", "ISSUE"), "")</f>
        <v/>
      </c>
      <c r="AM4123" s="6"/>
    </row>
    <row r="4124">
      <c r="A4124" s="19"/>
      <c r="B4124" s="19"/>
      <c r="C4124" s="19"/>
      <c r="D4124" s="42"/>
      <c r="E4124" s="19"/>
      <c r="F4124" s="19"/>
      <c r="G4124" s="19"/>
      <c r="H4124" s="19"/>
      <c r="I4124" s="19"/>
      <c r="J4124" s="19"/>
      <c r="K4124" s="19"/>
      <c r="L4124" s="19"/>
      <c r="M4124" s="19"/>
      <c r="N4124" s="19"/>
      <c r="O4124" s="43"/>
      <c r="P4124" s="19"/>
      <c r="Q4124" s="19"/>
      <c r="R4124" s="19"/>
      <c r="S4124" s="19"/>
      <c r="T4124" s="19"/>
      <c r="U4124" s="19"/>
      <c r="V4124" s="44"/>
      <c r="W4124" s="19"/>
      <c r="X4124" s="19"/>
      <c r="Y4124" s="19"/>
      <c r="Z4124" s="19"/>
      <c r="AA4124" s="19"/>
      <c r="AB4124" s="19"/>
      <c r="AC4124" s="19"/>
      <c r="AD4124" s="19"/>
      <c r="AE4124" s="19"/>
      <c r="AF4124" s="19"/>
      <c r="AG4124" s="19"/>
      <c r="AH4124" s="19"/>
      <c r="AI4124" s="19"/>
      <c r="AJ4124" s="19"/>
      <c r="AK4124" s="19"/>
      <c r="AL4124" s="6" t="str">
        <f t="array" ref="AL4124">IFERROR(IFS(XLOOKUP(B4124, 'Kit Delivery Status'!$U:$U, 'Kit Delivery Status'!$K:$K) = "Complete", "DELIVERED", XLOOKUP(B4124, 'Kit Delivery Status'!$U:$U, 'Kit Delivery Status'!$K:$K) = "Issue", "ISSUE"), "")</f>
        <v/>
      </c>
      <c r="AM4124" s="6"/>
    </row>
    <row r="4125">
      <c r="A4125" s="19"/>
      <c r="B4125" s="19"/>
      <c r="C4125" s="19"/>
      <c r="D4125" s="42"/>
      <c r="E4125" s="19"/>
      <c r="F4125" s="19"/>
      <c r="G4125" s="19"/>
      <c r="H4125" s="19"/>
      <c r="I4125" s="19"/>
      <c r="J4125" s="19"/>
      <c r="K4125" s="19"/>
      <c r="L4125" s="19"/>
      <c r="M4125" s="19"/>
      <c r="N4125" s="19"/>
      <c r="O4125" s="43"/>
      <c r="P4125" s="19"/>
      <c r="Q4125" s="19"/>
      <c r="R4125" s="19"/>
      <c r="S4125" s="19"/>
      <c r="T4125" s="19"/>
      <c r="U4125" s="19"/>
      <c r="V4125" s="44"/>
      <c r="W4125" s="19"/>
      <c r="X4125" s="19"/>
      <c r="Y4125" s="19"/>
      <c r="Z4125" s="19"/>
      <c r="AA4125" s="19"/>
      <c r="AB4125" s="19"/>
      <c r="AC4125" s="19"/>
      <c r="AD4125" s="19"/>
      <c r="AE4125" s="19"/>
      <c r="AF4125" s="19"/>
      <c r="AG4125" s="19"/>
      <c r="AH4125" s="19"/>
      <c r="AI4125" s="19"/>
      <c r="AJ4125" s="19"/>
      <c r="AK4125" s="19"/>
      <c r="AL4125" s="6" t="str">
        <f t="array" ref="AL4125">IFERROR(IFS(XLOOKUP(B4125, 'Kit Delivery Status'!$U:$U, 'Kit Delivery Status'!$K:$K) = "Complete", "DELIVERED", XLOOKUP(B4125, 'Kit Delivery Status'!$U:$U, 'Kit Delivery Status'!$K:$K) = "Issue", "ISSUE"), "")</f>
        <v/>
      </c>
      <c r="AM4125" s="6"/>
    </row>
    <row r="4126">
      <c r="A4126" s="19"/>
      <c r="B4126" s="19"/>
      <c r="C4126" s="19"/>
      <c r="D4126" s="42"/>
      <c r="E4126" s="19"/>
      <c r="F4126" s="19"/>
      <c r="G4126" s="19"/>
      <c r="H4126" s="19"/>
      <c r="I4126" s="19"/>
      <c r="J4126" s="19"/>
      <c r="K4126" s="19"/>
      <c r="L4126" s="19"/>
      <c r="M4126" s="19"/>
      <c r="N4126" s="19"/>
      <c r="O4126" s="43"/>
      <c r="P4126" s="19"/>
      <c r="Q4126" s="19"/>
      <c r="R4126" s="19"/>
      <c r="S4126" s="19"/>
      <c r="T4126" s="19"/>
      <c r="U4126" s="19"/>
      <c r="V4126" s="44"/>
      <c r="W4126" s="19"/>
      <c r="X4126" s="19"/>
      <c r="Y4126" s="19"/>
      <c r="Z4126" s="19"/>
      <c r="AA4126" s="19"/>
      <c r="AB4126" s="19"/>
      <c r="AC4126" s="19"/>
      <c r="AD4126" s="19"/>
      <c r="AE4126" s="19"/>
      <c r="AF4126" s="19"/>
      <c r="AG4126" s="19"/>
      <c r="AH4126" s="19"/>
      <c r="AI4126" s="19"/>
      <c r="AJ4126" s="19"/>
      <c r="AK4126" s="19"/>
      <c r="AL4126" s="6" t="str">
        <f t="array" ref="AL4126">IFERROR(IFS(XLOOKUP(B4126, 'Kit Delivery Status'!$U:$U, 'Kit Delivery Status'!$K:$K) = "Complete", "DELIVERED", XLOOKUP(B4126, 'Kit Delivery Status'!$U:$U, 'Kit Delivery Status'!$K:$K) = "Issue", "ISSUE"), "")</f>
        <v/>
      </c>
      <c r="AM4126" s="6"/>
    </row>
    <row r="4127">
      <c r="A4127" s="19"/>
      <c r="B4127" s="19"/>
      <c r="C4127" s="19"/>
      <c r="D4127" s="42"/>
      <c r="E4127" s="19"/>
      <c r="F4127" s="19"/>
      <c r="G4127" s="19"/>
      <c r="H4127" s="19"/>
      <c r="I4127" s="19"/>
      <c r="J4127" s="19"/>
      <c r="K4127" s="19"/>
      <c r="L4127" s="19"/>
      <c r="M4127" s="19"/>
      <c r="N4127" s="19"/>
      <c r="O4127" s="43"/>
      <c r="P4127" s="19"/>
      <c r="Q4127" s="19"/>
      <c r="R4127" s="19"/>
      <c r="S4127" s="19"/>
      <c r="T4127" s="19"/>
      <c r="U4127" s="19"/>
      <c r="V4127" s="44"/>
      <c r="W4127" s="19"/>
      <c r="X4127" s="19"/>
      <c r="Y4127" s="19"/>
      <c r="Z4127" s="19"/>
      <c r="AA4127" s="19"/>
      <c r="AB4127" s="19"/>
      <c r="AC4127" s="19"/>
      <c r="AD4127" s="19"/>
      <c r="AE4127" s="19"/>
      <c r="AF4127" s="19"/>
      <c r="AG4127" s="19"/>
      <c r="AH4127" s="19"/>
      <c r="AI4127" s="19"/>
      <c r="AJ4127" s="19"/>
      <c r="AK4127" s="19"/>
      <c r="AL4127" s="6" t="str">
        <f t="array" ref="AL4127">IFERROR(IFS(XLOOKUP(B4127, 'Kit Delivery Status'!$U:$U, 'Kit Delivery Status'!$K:$K) = "Complete", "DELIVERED", XLOOKUP(B4127, 'Kit Delivery Status'!$U:$U, 'Kit Delivery Status'!$K:$K) = "Issue", "ISSUE"), "")</f>
        <v/>
      </c>
      <c r="AM4127" s="6"/>
    </row>
    <row r="4128">
      <c r="A4128" s="19"/>
      <c r="B4128" s="19"/>
      <c r="C4128" s="19"/>
      <c r="D4128" s="42"/>
      <c r="E4128" s="19"/>
      <c r="F4128" s="19"/>
      <c r="G4128" s="19"/>
      <c r="H4128" s="19"/>
      <c r="I4128" s="19"/>
      <c r="J4128" s="19"/>
      <c r="K4128" s="19"/>
      <c r="L4128" s="19"/>
      <c r="M4128" s="19"/>
      <c r="N4128" s="19"/>
      <c r="O4128" s="43"/>
      <c r="P4128" s="19"/>
      <c r="Q4128" s="19"/>
      <c r="R4128" s="19"/>
      <c r="S4128" s="19"/>
      <c r="T4128" s="19"/>
      <c r="U4128" s="19"/>
      <c r="V4128" s="44"/>
      <c r="W4128" s="19"/>
      <c r="X4128" s="19"/>
      <c r="Y4128" s="19"/>
      <c r="Z4128" s="19"/>
      <c r="AA4128" s="19"/>
      <c r="AB4128" s="19"/>
      <c r="AC4128" s="19"/>
      <c r="AD4128" s="19"/>
      <c r="AE4128" s="19"/>
      <c r="AF4128" s="19"/>
      <c r="AG4128" s="19"/>
      <c r="AH4128" s="19"/>
      <c r="AI4128" s="19"/>
      <c r="AJ4128" s="19"/>
      <c r="AK4128" s="19"/>
      <c r="AL4128" s="6" t="str">
        <f t="array" ref="AL4128">IFERROR(IFS(XLOOKUP(B4128, 'Kit Delivery Status'!$U:$U, 'Kit Delivery Status'!$K:$K) = "Complete", "DELIVERED", XLOOKUP(B4128, 'Kit Delivery Status'!$U:$U, 'Kit Delivery Status'!$K:$K) = "Issue", "ISSUE"), "")</f>
        <v/>
      </c>
      <c r="AM4128" s="6"/>
    </row>
    <row r="4129">
      <c r="A4129" s="19"/>
      <c r="B4129" s="19"/>
      <c r="C4129" s="19"/>
      <c r="D4129" s="42"/>
      <c r="E4129" s="19"/>
      <c r="F4129" s="19"/>
      <c r="G4129" s="19"/>
      <c r="H4129" s="19"/>
      <c r="I4129" s="19"/>
      <c r="J4129" s="19"/>
      <c r="K4129" s="19"/>
      <c r="L4129" s="19"/>
      <c r="M4129" s="19"/>
      <c r="N4129" s="19"/>
      <c r="O4129" s="43"/>
      <c r="P4129" s="19"/>
      <c r="Q4129" s="19"/>
      <c r="R4129" s="19"/>
      <c r="S4129" s="19"/>
      <c r="T4129" s="19"/>
      <c r="U4129" s="19"/>
      <c r="V4129" s="44"/>
      <c r="W4129" s="19"/>
      <c r="X4129" s="19"/>
      <c r="Y4129" s="19"/>
      <c r="Z4129" s="19"/>
      <c r="AA4129" s="19"/>
      <c r="AB4129" s="19"/>
      <c r="AC4129" s="19"/>
      <c r="AD4129" s="19"/>
      <c r="AE4129" s="19"/>
      <c r="AF4129" s="19"/>
      <c r="AG4129" s="19"/>
      <c r="AH4129" s="19"/>
      <c r="AI4129" s="19"/>
      <c r="AJ4129" s="19"/>
      <c r="AK4129" s="19"/>
      <c r="AL4129" s="6" t="str">
        <f t="array" ref="AL4129">IFERROR(IFS(XLOOKUP(B4129, 'Kit Delivery Status'!$U:$U, 'Kit Delivery Status'!$K:$K) = "Complete", "DELIVERED", XLOOKUP(B4129, 'Kit Delivery Status'!$U:$U, 'Kit Delivery Status'!$K:$K) = "Issue", "ISSUE"), "")</f>
        <v/>
      </c>
      <c r="AM4129" s="6"/>
    </row>
    <row r="4130">
      <c r="A4130" s="19"/>
      <c r="B4130" s="19"/>
      <c r="C4130" s="19"/>
      <c r="D4130" s="42"/>
      <c r="E4130" s="19"/>
      <c r="F4130" s="19"/>
      <c r="G4130" s="19"/>
      <c r="H4130" s="19"/>
      <c r="I4130" s="19"/>
      <c r="J4130" s="19"/>
      <c r="K4130" s="19"/>
      <c r="L4130" s="19"/>
      <c r="M4130" s="19"/>
      <c r="N4130" s="19"/>
      <c r="O4130" s="43"/>
      <c r="P4130" s="19"/>
      <c r="Q4130" s="19"/>
      <c r="R4130" s="19"/>
      <c r="S4130" s="19"/>
      <c r="T4130" s="19"/>
      <c r="U4130" s="19"/>
      <c r="V4130" s="44"/>
      <c r="W4130" s="19"/>
      <c r="X4130" s="19"/>
      <c r="Y4130" s="19"/>
      <c r="Z4130" s="19"/>
      <c r="AA4130" s="19"/>
      <c r="AB4130" s="19"/>
      <c r="AC4130" s="19"/>
      <c r="AD4130" s="19"/>
      <c r="AE4130" s="19"/>
      <c r="AF4130" s="19"/>
      <c r="AG4130" s="19"/>
      <c r="AH4130" s="19"/>
      <c r="AI4130" s="19"/>
      <c r="AJ4130" s="19"/>
      <c r="AK4130" s="19"/>
      <c r="AL4130" s="6" t="str">
        <f t="array" ref="AL4130">IFERROR(IFS(XLOOKUP(B4130, 'Kit Delivery Status'!$U:$U, 'Kit Delivery Status'!$K:$K) = "Complete", "DELIVERED", XLOOKUP(B4130, 'Kit Delivery Status'!$U:$U, 'Kit Delivery Status'!$K:$K) = "Issue", "ISSUE"), "")</f>
        <v/>
      </c>
      <c r="AM4130" s="6"/>
    </row>
    <row r="4131">
      <c r="A4131" s="19"/>
      <c r="B4131" s="19"/>
      <c r="C4131" s="19"/>
      <c r="D4131" s="42"/>
      <c r="E4131" s="19"/>
      <c r="F4131" s="19"/>
      <c r="G4131" s="19"/>
      <c r="H4131" s="19"/>
      <c r="I4131" s="19"/>
      <c r="J4131" s="19"/>
      <c r="K4131" s="19"/>
      <c r="L4131" s="19"/>
      <c r="M4131" s="19"/>
      <c r="N4131" s="19"/>
      <c r="O4131" s="43"/>
      <c r="P4131" s="19"/>
      <c r="Q4131" s="19"/>
      <c r="R4131" s="19"/>
      <c r="S4131" s="19"/>
      <c r="T4131" s="19"/>
      <c r="U4131" s="19"/>
      <c r="V4131" s="44"/>
      <c r="W4131" s="19"/>
      <c r="X4131" s="19"/>
      <c r="Y4131" s="19"/>
      <c r="Z4131" s="19"/>
      <c r="AA4131" s="19"/>
      <c r="AB4131" s="19"/>
      <c r="AC4131" s="19"/>
      <c r="AD4131" s="19"/>
      <c r="AE4131" s="19"/>
      <c r="AF4131" s="19"/>
      <c r="AG4131" s="19"/>
      <c r="AH4131" s="19"/>
      <c r="AI4131" s="19"/>
      <c r="AJ4131" s="19"/>
      <c r="AK4131" s="19"/>
      <c r="AL4131" s="6" t="str">
        <f t="array" ref="AL4131">IFERROR(IFS(XLOOKUP(B4131, 'Kit Delivery Status'!$U:$U, 'Kit Delivery Status'!$K:$K) = "Complete", "DELIVERED", XLOOKUP(B4131, 'Kit Delivery Status'!$U:$U, 'Kit Delivery Status'!$K:$K) = "Issue", "ISSUE"), "")</f>
        <v/>
      </c>
      <c r="AM4131" s="6"/>
    </row>
    <row r="4132">
      <c r="A4132" s="19"/>
      <c r="B4132" s="19"/>
      <c r="C4132" s="19"/>
      <c r="D4132" s="42"/>
      <c r="E4132" s="19"/>
      <c r="F4132" s="19"/>
      <c r="G4132" s="19"/>
      <c r="H4132" s="19"/>
      <c r="I4132" s="19"/>
      <c r="J4132" s="19"/>
      <c r="K4132" s="19"/>
      <c r="L4132" s="19"/>
      <c r="M4132" s="19"/>
      <c r="N4132" s="19"/>
      <c r="O4132" s="43"/>
      <c r="P4132" s="19"/>
      <c r="Q4132" s="19"/>
      <c r="R4132" s="19"/>
      <c r="S4132" s="19"/>
      <c r="T4132" s="19"/>
      <c r="U4132" s="19"/>
      <c r="V4132" s="44"/>
      <c r="W4132" s="19"/>
      <c r="X4132" s="19"/>
      <c r="Y4132" s="19"/>
      <c r="Z4132" s="19"/>
      <c r="AA4132" s="19"/>
      <c r="AB4132" s="19"/>
      <c r="AC4132" s="19"/>
      <c r="AD4132" s="19"/>
      <c r="AE4132" s="19"/>
      <c r="AF4132" s="19"/>
      <c r="AG4132" s="19"/>
      <c r="AH4132" s="19"/>
      <c r="AI4132" s="19"/>
      <c r="AJ4132" s="19"/>
      <c r="AK4132" s="19"/>
      <c r="AL4132" s="6" t="str">
        <f t="array" ref="AL4132">IFERROR(IFS(XLOOKUP(B4132, 'Kit Delivery Status'!$U:$U, 'Kit Delivery Status'!$K:$K) = "Complete", "DELIVERED", XLOOKUP(B4132, 'Kit Delivery Status'!$U:$U, 'Kit Delivery Status'!$K:$K) = "Issue", "ISSUE"), "")</f>
        <v/>
      </c>
      <c r="AM4132" s="6"/>
    </row>
    <row r="4133">
      <c r="A4133" s="19"/>
      <c r="B4133" s="19"/>
      <c r="C4133" s="19"/>
      <c r="D4133" s="42"/>
      <c r="E4133" s="19"/>
      <c r="F4133" s="19"/>
      <c r="G4133" s="19"/>
      <c r="H4133" s="19"/>
      <c r="I4133" s="19"/>
      <c r="J4133" s="19"/>
      <c r="K4133" s="19"/>
      <c r="L4133" s="19"/>
      <c r="M4133" s="19"/>
      <c r="N4133" s="19"/>
      <c r="O4133" s="43"/>
      <c r="P4133" s="19"/>
      <c r="Q4133" s="19"/>
      <c r="R4133" s="19"/>
      <c r="S4133" s="19"/>
      <c r="T4133" s="19"/>
      <c r="U4133" s="19"/>
      <c r="V4133" s="44"/>
      <c r="W4133" s="19"/>
      <c r="X4133" s="19"/>
      <c r="Y4133" s="19"/>
      <c r="Z4133" s="19"/>
      <c r="AA4133" s="19"/>
      <c r="AB4133" s="19"/>
      <c r="AC4133" s="19"/>
      <c r="AD4133" s="19"/>
      <c r="AE4133" s="19"/>
      <c r="AF4133" s="19"/>
      <c r="AG4133" s="19"/>
      <c r="AH4133" s="19"/>
      <c r="AI4133" s="19"/>
      <c r="AJ4133" s="19"/>
      <c r="AK4133" s="19"/>
      <c r="AL4133" s="6" t="str">
        <f t="array" ref="AL4133">IFERROR(IFS(XLOOKUP(B4133, 'Kit Delivery Status'!$U:$U, 'Kit Delivery Status'!$K:$K) = "Complete", "DELIVERED", XLOOKUP(B4133, 'Kit Delivery Status'!$U:$U, 'Kit Delivery Status'!$K:$K) = "Issue", "ISSUE"), "")</f>
        <v/>
      </c>
      <c r="AM4133" s="6"/>
    </row>
    <row r="4134">
      <c r="A4134" s="19"/>
      <c r="B4134" s="19"/>
      <c r="C4134" s="19"/>
      <c r="D4134" s="42"/>
      <c r="E4134" s="19"/>
      <c r="F4134" s="19"/>
      <c r="G4134" s="19"/>
      <c r="H4134" s="19"/>
      <c r="I4134" s="19"/>
      <c r="J4134" s="19"/>
      <c r="K4134" s="19"/>
      <c r="L4134" s="19"/>
      <c r="M4134" s="19"/>
      <c r="N4134" s="19"/>
      <c r="O4134" s="43"/>
      <c r="P4134" s="19"/>
      <c r="Q4134" s="19"/>
      <c r="R4134" s="19"/>
      <c r="S4134" s="19"/>
      <c r="T4134" s="19"/>
      <c r="U4134" s="19"/>
      <c r="V4134" s="44"/>
      <c r="W4134" s="19"/>
      <c r="X4134" s="19"/>
      <c r="Y4134" s="19"/>
      <c r="Z4134" s="19"/>
      <c r="AA4134" s="19"/>
      <c r="AB4134" s="19"/>
      <c r="AC4134" s="19"/>
      <c r="AD4134" s="19"/>
      <c r="AE4134" s="19"/>
      <c r="AF4134" s="19"/>
      <c r="AG4134" s="19"/>
      <c r="AH4134" s="19"/>
      <c r="AI4134" s="19"/>
      <c r="AJ4134" s="19"/>
      <c r="AK4134" s="19"/>
      <c r="AL4134" s="6" t="str">
        <f t="array" ref="AL4134">IFERROR(IFS(XLOOKUP(B4134, 'Kit Delivery Status'!$U:$U, 'Kit Delivery Status'!$K:$K) = "Complete", "DELIVERED", XLOOKUP(B4134, 'Kit Delivery Status'!$U:$U, 'Kit Delivery Status'!$K:$K) = "Issue", "ISSUE"), "")</f>
        <v/>
      </c>
      <c r="AM4134" s="6"/>
    </row>
    <row r="4135">
      <c r="A4135" s="19"/>
      <c r="B4135" s="19"/>
      <c r="C4135" s="19"/>
      <c r="D4135" s="42"/>
      <c r="E4135" s="19"/>
      <c r="F4135" s="19"/>
      <c r="G4135" s="19"/>
      <c r="H4135" s="19"/>
      <c r="I4135" s="19"/>
      <c r="J4135" s="19"/>
      <c r="K4135" s="19"/>
      <c r="L4135" s="19"/>
      <c r="M4135" s="19"/>
      <c r="N4135" s="19"/>
      <c r="O4135" s="43"/>
      <c r="P4135" s="19"/>
      <c r="Q4135" s="19"/>
      <c r="R4135" s="19"/>
      <c r="S4135" s="19"/>
      <c r="T4135" s="19"/>
      <c r="U4135" s="19"/>
      <c r="V4135" s="44"/>
      <c r="W4135" s="19"/>
      <c r="X4135" s="19"/>
      <c r="Y4135" s="19"/>
      <c r="Z4135" s="19"/>
      <c r="AA4135" s="19"/>
      <c r="AB4135" s="19"/>
      <c r="AC4135" s="19"/>
      <c r="AD4135" s="19"/>
      <c r="AE4135" s="19"/>
      <c r="AF4135" s="19"/>
      <c r="AG4135" s="19"/>
      <c r="AH4135" s="19"/>
      <c r="AI4135" s="19"/>
      <c r="AJ4135" s="19"/>
      <c r="AK4135" s="19"/>
      <c r="AL4135" s="6" t="str">
        <f t="array" ref="AL4135">IFERROR(IFS(XLOOKUP(B4135, 'Kit Delivery Status'!$U:$U, 'Kit Delivery Status'!$K:$K) = "Complete", "DELIVERED", XLOOKUP(B4135, 'Kit Delivery Status'!$U:$U, 'Kit Delivery Status'!$K:$K) = "Issue", "ISSUE"), "")</f>
        <v/>
      </c>
      <c r="AM4135" s="6"/>
    </row>
    <row r="4136">
      <c r="A4136" s="19"/>
      <c r="B4136" s="19"/>
      <c r="C4136" s="19"/>
      <c r="D4136" s="42"/>
      <c r="E4136" s="19"/>
      <c r="F4136" s="19"/>
      <c r="G4136" s="19"/>
      <c r="H4136" s="19"/>
      <c r="I4136" s="19"/>
      <c r="J4136" s="19"/>
      <c r="K4136" s="19"/>
      <c r="L4136" s="19"/>
      <c r="M4136" s="19"/>
      <c r="N4136" s="19"/>
      <c r="O4136" s="43"/>
      <c r="P4136" s="19"/>
      <c r="Q4136" s="19"/>
      <c r="R4136" s="19"/>
      <c r="S4136" s="19"/>
      <c r="T4136" s="19"/>
      <c r="U4136" s="19"/>
      <c r="V4136" s="44"/>
      <c r="W4136" s="19"/>
      <c r="X4136" s="19"/>
      <c r="Y4136" s="19"/>
      <c r="Z4136" s="19"/>
      <c r="AA4136" s="19"/>
      <c r="AB4136" s="19"/>
      <c r="AC4136" s="19"/>
      <c r="AD4136" s="19"/>
      <c r="AE4136" s="19"/>
      <c r="AF4136" s="19"/>
      <c r="AG4136" s="19"/>
      <c r="AH4136" s="19"/>
      <c r="AI4136" s="19"/>
      <c r="AJ4136" s="19"/>
      <c r="AK4136" s="19"/>
      <c r="AL4136" s="6" t="str">
        <f t="array" ref="AL4136">IFERROR(IFS(XLOOKUP(B4136, 'Kit Delivery Status'!$U:$U, 'Kit Delivery Status'!$K:$K) = "Complete", "DELIVERED", XLOOKUP(B4136, 'Kit Delivery Status'!$U:$U, 'Kit Delivery Status'!$K:$K) = "Issue", "ISSUE"), "")</f>
        <v/>
      </c>
      <c r="AM4136" s="6"/>
    </row>
    <row r="4137">
      <c r="A4137" s="19"/>
      <c r="B4137" s="19"/>
      <c r="C4137" s="19"/>
      <c r="D4137" s="42"/>
      <c r="E4137" s="19"/>
      <c r="F4137" s="19"/>
      <c r="G4137" s="19"/>
      <c r="H4137" s="19"/>
      <c r="I4137" s="19"/>
      <c r="J4137" s="19"/>
      <c r="K4137" s="19"/>
      <c r="L4137" s="19"/>
      <c r="M4137" s="19"/>
      <c r="N4137" s="19"/>
      <c r="O4137" s="43"/>
      <c r="P4137" s="19"/>
      <c r="Q4137" s="19"/>
      <c r="R4137" s="19"/>
      <c r="S4137" s="19"/>
      <c r="T4137" s="19"/>
      <c r="U4137" s="19"/>
      <c r="V4137" s="44"/>
      <c r="W4137" s="19"/>
      <c r="X4137" s="19"/>
      <c r="Y4137" s="19"/>
      <c r="Z4137" s="19"/>
      <c r="AA4137" s="19"/>
      <c r="AB4137" s="19"/>
      <c r="AC4137" s="19"/>
      <c r="AD4137" s="19"/>
      <c r="AE4137" s="19"/>
      <c r="AF4137" s="19"/>
      <c r="AG4137" s="19"/>
      <c r="AH4137" s="19"/>
      <c r="AI4137" s="19"/>
      <c r="AJ4137" s="19"/>
      <c r="AK4137" s="19"/>
      <c r="AL4137" s="6" t="str">
        <f t="array" ref="AL4137">IFERROR(IFS(XLOOKUP(B4137, 'Kit Delivery Status'!$U:$U, 'Kit Delivery Status'!$K:$K) = "Complete", "DELIVERED", XLOOKUP(B4137, 'Kit Delivery Status'!$U:$U, 'Kit Delivery Status'!$K:$K) = "Issue", "ISSUE"), "")</f>
        <v/>
      </c>
      <c r="AM4137" s="6"/>
    </row>
    <row r="4138">
      <c r="A4138" s="19"/>
      <c r="B4138" s="19"/>
      <c r="C4138" s="19"/>
      <c r="D4138" s="42"/>
      <c r="E4138" s="19"/>
      <c r="F4138" s="19"/>
      <c r="G4138" s="19"/>
      <c r="H4138" s="19"/>
      <c r="I4138" s="19"/>
      <c r="J4138" s="19"/>
      <c r="K4138" s="19"/>
      <c r="L4138" s="19"/>
      <c r="M4138" s="19"/>
      <c r="N4138" s="19"/>
      <c r="O4138" s="43"/>
      <c r="P4138" s="19"/>
      <c r="Q4138" s="19"/>
      <c r="R4138" s="19"/>
      <c r="S4138" s="19"/>
      <c r="T4138" s="19"/>
      <c r="U4138" s="19"/>
      <c r="V4138" s="44"/>
      <c r="W4138" s="19"/>
      <c r="X4138" s="19"/>
      <c r="Y4138" s="19"/>
      <c r="Z4138" s="19"/>
      <c r="AA4138" s="19"/>
      <c r="AB4138" s="19"/>
      <c r="AC4138" s="19"/>
      <c r="AD4138" s="19"/>
      <c r="AE4138" s="19"/>
      <c r="AF4138" s="19"/>
      <c r="AG4138" s="19"/>
      <c r="AH4138" s="19"/>
      <c r="AI4138" s="19"/>
      <c r="AJ4138" s="19"/>
      <c r="AK4138" s="19"/>
      <c r="AL4138" s="6" t="str">
        <f t="array" ref="AL4138">IFERROR(IFS(XLOOKUP(B4138, 'Kit Delivery Status'!$U:$U, 'Kit Delivery Status'!$K:$K) = "Complete", "DELIVERED", XLOOKUP(B4138, 'Kit Delivery Status'!$U:$U, 'Kit Delivery Status'!$K:$K) = "Issue", "ISSUE"), "")</f>
        <v/>
      </c>
      <c r="AM4138" s="6"/>
    </row>
    <row r="4139">
      <c r="A4139" s="19"/>
      <c r="B4139" s="19"/>
      <c r="C4139" s="19"/>
      <c r="D4139" s="42"/>
      <c r="E4139" s="19"/>
      <c r="F4139" s="19"/>
      <c r="G4139" s="19"/>
      <c r="H4139" s="19"/>
      <c r="I4139" s="19"/>
      <c r="J4139" s="19"/>
      <c r="K4139" s="19"/>
      <c r="L4139" s="19"/>
      <c r="M4139" s="19"/>
      <c r="N4139" s="19"/>
      <c r="O4139" s="43"/>
      <c r="P4139" s="19"/>
      <c r="Q4139" s="19"/>
      <c r="R4139" s="19"/>
      <c r="S4139" s="19"/>
      <c r="T4139" s="19"/>
      <c r="U4139" s="19"/>
      <c r="V4139" s="44"/>
      <c r="W4139" s="19"/>
      <c r="X4139" s="19"/>
      <c r="Y4139" s="19"/>
      <c r="Z4139" s="19"/>
      <c r="AA4139" s="19"/>
      <c r="AB4139" s="19"/>
      <c r="AC4139" s="19"/>
      <c r="AD4139" s="19"/>
      <c r="AE4139" s="19"/>
      <c r="AF4139" s="19"/>
      <c r="AG4139" s="19"/>
      <c r="AH4139" s="19"/>
      <c r="AI4139" s="19"/>
      <c r="AJ4139" s="19"/>
      <c r="AK4139" s="19"/>
      <c r="AL4139" s="6" t="str">
        <f t="array" ref="AL4139">IFERROR(IFS(XLOOKUP(B4139, 'Kit Delivery Status'!$U:$U, 'Kit Delivery Status'!$K:$K) = "Complete", "DELIVERED", XLOOKUP(B4139, 'Kit Delivery Status'!$U:$U, 'Kit Delivery Status'!$K:$K) = "Issue", "ISSUE"), "")</f>
        <v/>
      </c>
      <c r="AM4139" s="6"/>
    </row>
    <row r="4140">
      <c r="A4140" s="19"/>
      <c r="B4140" s="19"/>
      <c r="C4140" s="19"/>
      <c r="D4140" s="42"/>
      <c r="E4140" s="19"/>
      <c r="F4140" s="19"/>
      <c r="G4140" s="19"/>
      <c r="H4140" s="19"/>
      <c r="I4140" s="19"/>
      <c r="J4140" s="19"/>
      <c r="K4140" s="19"/>
      <c r="L4140" s="19"/>
      <c r="M4140" s="19"/>
      <c r="N4140" s="19"/>
      <c r="O4140" s="43"/>
      <c r="P4140" s="19"/>
      <c r="Q4140" s="19"/>
      <c r="R4140" s="19"/>
      <c r="S4140" s="19"/>
      <c r="T4140" s="19"/>
      <c r="U4140" s="19"/>
      <c r="V4140" s="44"/>
      <c r="W4140" s="19"/>
      <c r="X4140" s="19"/>
      <c r="Y4140" s="19"/>
      <c r="Z4140" s="19"/>
      <c r="AA4140" s="19"/>
      <c r="AB4140" s="19"/>
      <c r="AC4140" s="19"/>
      <c r="AD4140" s="19"/>
      <c r="AE4140" s="19"/>
      <c r="AF4140" s="19"/>
      <c r="AG4140" s="19"/>
      <c r="AH4140" s="19"/>
      <c r="AI4140" s="19"/>
      <c r="AJ4140" s="19"/>
      <c r="AK4140" s="19"/>
      <c r="AL4140" s="6" t="str">
        <f t="array" ref="AL4140">IFERROR(IFS(XLOOKUP(B4140, 'Kit Delivery Status'!$U:$U, 'Kit Delivery Status'!$K:$K) = "Complete", "DELIVERED", XLOOKUP(B4140, 'Kit Delivery Status'!$U:$U, 'Kit Delivery Status'!$K:$K) = "Issue", "ISSUE"), "")</f>
        <v/>
      </c>
      <c r="AM4140" s="6"/>
    </row>
    <row r="4141">
      <c r="A4141" s="19"/>
      <c r="B4141" s="19"/>
      <c r="C4141" s="19"/>
      <c r="D4141" s="42"/>
      <c r="E4141" s="19"/>
      <c r="F4141" s="19"/>
      <c r="G4141" s="19"/>
      <c r="H4141" s="19"/>
      <c r="I4141" s="19"/>
      <c r="J4141" s="19"/>
      <c r="K4141" s="19"/>
      <c r="L4141" s="19"/>
      <c r="M4141" s="19"/>
      <c r="N4141" s="19"/>
      <c r="O4141" s="43"/>
      <c r="P4141" s="19"/>
      <c r="Q4141" s="19"/>
      <c r="R4141" s="19"/>
      <c r="S4141" s="19"/>
      <c r="T4141" s="19"/>
      <c r="U4141" s="19"/>
      <c r="V4141" s="44"/>
      <c r="W4141" s="19"/>
      <c r="X4141" s="19"/>
      <c r="Y4141" s="19"/>
      <c r="Z4141" s="19"/>
      <c r="AA4141" s="19"/>
      <c r="AB4141" s="19"/>
      <c r="AC4141" s="19"/>
      <c r="AD4141" s="19"/>
      <c r="AE4141" s="19"/>
      <c r="AF4141" s="19"/>
      <c r="AG4141" s="19"/>
      <c r="AH4141" s="19"/>
      <c r="AI4141" s="19"/>
      <c r="AJ4141" s="19"/>
      <c r="AK4141" s="19"/>
      <c r="AL4141" s="6" t="str">
        <f t="array" ref="AL4141">IFERROR(IFS(XLOOKUP(B4141, 'Kit Delivery Status'!$U:$U, 'Kit Delivery Status'!$K:$K) = "Complete", "DELIVERED", XLOOKUP(B4141, 'Kit Delivery Status'!$U:$U, 'Kit Delivery Status'!$K:$K) = "Issue", "ISSUE"), "")</f>
        <v/>
      </c>
      <c r="AM4141" s="6"/>
    </row>
    <row r="4142">
      <c r="A4142" s="19"/>
      <c r="B4142" s="19"/>
      <c r="C4142" s="19"/>
      <c r="D4142" s="42"/>
      <c r="E4142" s="19"/>
      <c r="F4142" s="19"/>
      <c r="G4142" s="19"/>
      <c r="H4142" s="19"/>
      <c r="I4142" s="19"/>
      <c r="J4142" s="19"/>
      <c r="K4142" s="19"/>
      <c r="L4142" s="19"/>
      <c r="M4142" s="19"/>
      <c r="N4142" s="19"/>
      <c r="O4142" s="43"/>
      <c r="P4142" s="19"/>
      <c r="Q4142" s="19"/>
      <c r="R4142" s="19"/>
      <c r="S4142" s="19"/>
      <c r="T4142" s="19"/>
      <c r="U4142" s="19"/>
      <c r="V4142" s="44"/>
      <c r="W4142" s="19"/>
      <c r="X4142" s="19"/>
      <c r="Y4142" s="19"/>
      <c r="Z4142" s="19"/>
      <c r="AA4142" s="19"/>
      <c r="AB4142" s="19"/>
      <c r="AC4142" s="19"/>
      <c r="AD4142" s="19"/>
      <c r="AE4142" s="19"/>
      <c r="AF4142" s="19"/>
      <c r="AG4142" s="19"/>
      <c r="AH4142" s="19"/>
      <c r="AI4142" s="19"/>
      <c r="AJ4142" s="19"/>
      <c r="AK4142" s="19"/>
      <c r="AL4142" s="6" t="str">
        <f t="array" ref="AL4142">IFERROR(IFS(XLOOKUP(B4142, 'Kit Delivery Status'!$U:$U, 'Kit Delivery Status'!$K:$K) = "Complete", "DELIVERED", XLOOKUP(B4142, 'Kit Delivery Status'!$U:$U, 'Kit Delivery Status'!$K:$K) = "Issue", "ISSUE"), "")</f>
        <v/>
      </c>
      <c r="AM4142" s="6"/>
    </row>
    <row r="4143">
      <c r="A4143" s="19"/>
      <c r="B4143" s="19"/>
      <c r="C4143" s="19"/>
      <c r="D4143" s="42"/>
      <c r="E4143" s="19"/>
      <c r="F4143" s="19"/>
      <c r="G4143" s="19"/>
      <c r="H4143" s="19"/>
      <c r="I4143" s="19"/>
      <c r="J4143" s="19"/>
      <c r="K4143" s="19"/>
      <c r="L4143" s="19"/>
      <c r="M4143" s="19"/>
      <c r="N4143" s="19"/>
      <c r="O4143" s="43"/>
      <c r="P4143" s="19"/>
      <c r="Q4143" s="19"/>
      <c r="R4143" s="19"/>
      <c r="S4143" s="19"/>
      <c r="T4143" s="19"/>
      <c r="U4143" s="19"/>
      <c r="V4143" s="44"/>
      <c r="W4143" s="19"/>
      <c r="X4143" s="19"/>
      <c r="Y4143" s="19"/>
      <c r="Z4143" s="19"/>
      <c r="AA4143" s="19"/>
      <c r="AB4143" s="19"/>
      <c r="AC4143" s="19"/>
      <c r="AD4143" s="19"/>
      <c r="AE4143" s="19"/>
      <c r="AF4143" s="19"/>
      <c r="AG4143" s="19"/>
      <c r="AH4143" s="19"/>
      <c r="AI4143" s="19"/>
      <c r="AJ4143" s="19"/>
      <c r="AK4143" s="19"/>
      <c r="AL4143" s="6" t="str">
        <f t="array" ref="AL4143">IFERROR(IFS(XLOOKUP(B4143, 'Kit Delivery Status'!$U:$U, 'Kit Delivery Status'!$K:$K) = "Complete", "DELIVERED", XLOOKUP(B4143, 'Kit Delivery Status'!$U:$U, 'Kit Delivery Status'!$K:$K) = "Issue", "ISSUE"), "")</f>
        <v/>
      </c>
      <c r="AM4143" s="6"/>
    </row>
    <row r="4144">
      <c r="A4144" s="19"/>
      <c r="B4144" s="19"/>
      <c r="C4144" s="19"/>
      <c r="D4144" s="42"/>
      <c r="E4144" s="19"/>
      <c r="F4144" s="19"/>
      <c r="G4144" s="19"/>
      <c r="H4144" s="19"/>
      <c r="I4144" s="19"/>
      <c r="J4144" s="19"/>
      <c r="K4144" s="19"/>
      <c r="L4144" s="19"/>
      <c r="M4144" s="19"/>
      <c r="N4144" s="19"/>
      <c r="O4144" s="43"/>
      <c r="P4144" s="19"/>
      <c r="Q4144" s="19"/>
      <c r="R4144" s="19"/>
      <c r="S4144" s="19"/>
      <c r="T4144" s="19"/>
      <c r="U4144" s="19"/>
      <c r="V4144" s="44"/>
      <c r="W4144" s="19"/>
      <c r="X4144" s="19"/>
      <c r="Y4144" s="19"/>
      <c r="Z4144" s="19"/>
      <c r="AA4144" s="19"/>
      <c r="AB4144" s="19"/>
      <c r="AC4144" s="19"/>
      <c r="AD4144" s="19"/>
      <c r="AE4144" s="19"/>
      <c r="AF4144" s="19"/>
      <c r="AG4144" s="19"/>
      <c r="AH4144" s="19"/>
      <c r="AI4144" s="19"/>
      <c r="AJ4144" s="19"/>
      <c r="AK4144" s="19"/>
      <c r="AL4144" s="6" t="str">
        <f t="array" ref="AL4144">IFERROR(IFS(XLOOKUP(B4144, 'Kit Delivery Status'!$U:$U, 'Kit Delivery Status'!$K:$K) = "Complete", "DELIVERED", XLOOKUP(B4144, 'Kit Delivery Status'!$U:$U, 'Kit Delivery Status'!$K:$K) = "Issue", "ISSUE"), "")</f>
        <v/>
      </c>
      <c r="AM4144" s="6"/>
    </row>
    <row r="4145">
      <c r="A4145" s="19"/>
      <c r="B4145" s="19"/>
      <c r="C4145" s="19"/>
      <c r="D4145" s="42"/>
      <c r="E4145" s="19"/>
      <c r="F4145" s="19"/>
      <c r="G4145" s="19"/>
      <c r="H4145" s="19"/>
      <c r="I4145" s="19"/>
      <c r="J4145" s="19"/>
      <c r="K4145" s="19"/>
      <c r="L4145" s="19"/>
      <c r="M4145" s="19"/>
      <c r="N4145" s="19"/>
      <c r="O4145" s="43"/>
      <c r="P4145" s="19"/>
      <c r="Q4145" s="19"/>
      <c r="R4145" s="19"/>
      <c r="S4145" s="19"/>
      <c r="T4145" s="19"/>
      <c r="U4145" s="19"/>
      <c r="V4145" s="44"/>
      <c r="W4145" s="19"/>
      <c r="X4145" s="19"/>
      <c r="Y4145" s="19"/>
      <c r="Z4145" s="19"/>
      <c r="AA4145" s="19"/>
      <c r="AB4145" s="19"/>
      <c r="AC4145" s="19"/>
      <c r="AD4145" s="19"/>
      <c r="AE4145" s="19"/>
      <c r="AF4145" s="19"/>
      <c r="AG4145" s="19"/>
      <c r="AH4145" s="19"/>
      <c r="AI4145" s="19"/>
      <c r="AJ4145" s="19"/>
      <c r="AK4145" s="19"/>
      <c r="AL4145" s="6" t="str">
        <f t="array" ref="AL4145">IFERROR(IFS(XLOOKUP(B4145, 'Kit Delivery Status'!$U:$U, 'Kit Delivery Status'!$K:$K) = "Complete", "DELIVERED", XLOOKUP(B4145, 'Kit Delivery Status'!$U:$U, 'Kit Delivery Status'!$K:$K) = "Issue", "ISSUE"), "")</f>
        <v/>
      </c>
      <c r="AM4145" s="6"/>
    </row>
    <row r="4146">
      <c r="A4146" s="19"/>
      <c r="B4146" s="19"/>
      <c r="C4146" s="19"/>
      <c r="D4146" s="42"/>
      <c r="E4146" s="19"/>
      <c r="F4146" s="19"/>
      <c r="G4146" s="19"/>
      <c r="H4146" s="19"/>
      <c r="I4146" s="19"/>
      <c r="J4146" s="19"/>
      <c r="K4146" s="19"/>
      <c r="L4146" s="19"/>
      <c r="M4146" s="19"/>
      <c r="N4146" s="19"/>
      <c r="O4146" s="43"/>
      <c r="P4146" s="19"/>
      <c r="Q4146" s="19"/>
      <c r="R4146" s="19"/>
      <c r="S4146" s="19"/>
      <c r="T4146" s="19"/>
      <c r="U4146" s="19"/>
      <c r="V4146" s="44"/>
      <c r="W4146" s="19"/>
      <c r="X4146" s="19"/>
      <c r="Y4146" s="19"/>
      <c r="Z4146" s="19"/>
      <c r="AA4146" s="19"/>
      <c r="AB4146" s="19"/>
      <c r="AC4146" s="19"/>
      <c r="AD4146" s="19"/>
      <c r="AE4146" s="19"/>
      <c r="AF4146" s="19"/>
      <c r="AG4146" s="19"/>
      <c r="AH4146" s="19"/>
      <c r="AI4146" s="19"/>
      <c r="AJ4146" s="19"/>
      <c r="AK4146" s="19"/>
      <c r="AL4146" s="6" t="str">
        <f t="array" ref="AL4146">IFERROR(IFS(XLOOKUP(B4146, 'Kit Delivery Status'!$U:$U, 'Kit Delivery Status'!$K:$K) = "Complete", "DELIVERED", XLOOKUP(B4146, 'Kit Delivery Status'!$U:$U, 'Kit Delivery Status'!$K:$K) = "Issue", "ISSUE"), "")</f>
        <v/>
      </c>
      <c r="AM4146" s="6"/>
    </row>
    <row r="4147">
      <c r="A4147" s="19"/>
      <c r="B4147" s="19"/>
      <c r="C4147" s="19"/>
      <c r="D4147" s="42"/>
      <c r="E4147" s="19"/>
      <c r="F4147" s="19"/>
      <c r="G4147" s="19"/>
      <c r="H4147" s="19"/>
      <c r="I4147" s="19"/>
      <c r="J4147" s="19"/>
      <c r="K4147" s="19"/>
      <c r="L4147" s="19"/>
      <c r="M4147" s="19"/>
      <c r="N4147" s="19"/>
      <c r="O4147" s="43"/>
      <c r="P4147" s="19"/>
      <c r="Q4147" s="19"/>
      <c r="R4147" s="19"/>
      <c r="S4147" s="19"/>
      <c r="T4147" s="19"/>
      <c r="U4147" s="19"/>
      <c r="V4147" s="44"/>
      <c r="W4147" s="19"/>
      <c r="X4147" s="19"/>
      <c r="Y4147" s="19"/>
      <c r="Z4147" s="19"/>
      <c r="AA4147" s="19"/>
      <c r="AB4147" s="19"/>
      <c r="AC4147" s="19"/>
      <c r="AD4147" s="19"/>
      <c r="AE4147" s="19"/>
      <c r="AF4147" s="19"/>
      <c r="AG4147" s="19"/>
      <c r="AH4147" s="19"/>
      <c r="AI4147" s="19"/>
      <c r="AJ4147" s="19"/>
      <c r="AK4147" s="19"/>
      <c r="AL4147" s="6" t="str">
        <f t="array" ref="AL4147">IFERROR(IFS(XLOOKUP(B4147, 'Kit Delivery Status'!$U:$U, 'Kit Delivery Status'!$K:$K) = "Complete", "DELIVERED", XLOOKUP(B4147, 'Kit Delivery Status'!$U:$U, 'Kit Delivery Status'!$K:$K) = "Issue", "ISSUE"), "")</f>
        <v/>
      </c>
      <c r="AM4147" s="6"/>
    </row>
    <row r="4148">
      <c r="A4148" s="19"/>
      <c r="B4148" s="19"/>
      <c r="C4148" s="19"/>
      <c r="D4148" s="42"/>
      <c r="E4148" s="19"/>
      <c r="F4148" s="19"/>
      <c r="G4148" s="19"/>
      <c r="H4148" s="19"/>
      <c r="I4148" s="19"/>
      <c r="J4148" s="19"/>
      <c r="K4148" s="19"/>
      <c r="L4148" s="19"/>
      <c r="M4148" s="19"/>
      <c r="N4148" s="19"/>
      <c r="O4148" s="43"/>
      <c r="P4148" s="19"/>
      <c r="Q4148" s="19"/>
      <c r="R4148" s="19"/>
      <c r="S4148" s="19"/>
      <c r="T4148" s="19"/>
      <c r="U4148" s="19"/>
      <c r="V4148" s="44"/>
      <c r="W4148" s="19"/>
      <c r="X4148" s="19"/>
      <c r="Y4148" s="19"/>
      <c r="Z4148" s="19"/>
      <c r="AA4148" s="19"/>
      <c r="AB4148" s="19"/>
      <c r="AC4148" s="19"/>
      <c r="AD4148" s="19"/>
      <c r="AE4148" s="19"/>
      <c r="AF4148" s="19"/>
      <c r="AG4148" s="19"/>
      <c r="AH4148" s="19"/>
      <c r="AI4148" s="19"/>
      <c r="AJ4148" s="19"/>
      <c r="AK4148" s="19"/>
      <c r="AL4148" s="6" t="str">
        <f t="array" ref="AL4148">IFERROR(IFS(XLOOKUP(B4148, 'Kit Delivery Status'!$U:$U, 'Kit Delivery Status'!$K:$K) = "Complete", "DELIVERED", XLOOKUP(B4148, 'Kit Delivery Status'!$U:$U, 'Kit Delivery Status'!$K:$K) = "Issue", "ISSUE"), "")</f>
        <v/>
      </c>
      <c r="AM4148" s="6"/>
    </row>
    <row r="4149">
      <c r="A4149" s="19"/>
      <c r="B4149" s="19"/>
      <c r="C4149" s="19"/>
      <c r="D4149" s="42"/>
      <c r="E4149" s="19"/>
      <c r="F4149" s="19"/>
      <c r="G4149" s="19"/>
      <c r="H4149" s="19"/>
      <c r="I4149" s="19"/>
      <c r="J4149" s="19"/>
      <c r="K4149" s="19"/>
      <c r="L4149" s="19"/>
      <c r="M4149" s="19"/>
      <c r="N4149" s="19"/>
      <c r="O4149" s="43"/>
      <c r="P4149" s="19"/>
      <c r="Q4149" s="19"/>
      <c r="R4149" s="19"/>
      <c r="S4149" s="19"/>
      <c r="T4149" s="19"/>
      <c r="U4149" s="19"/>
      <c r="V4149" s="44"/>
      <c r="W4149" s="19"/>
      <c r="X4149" s="19"/>
      <c r="Y4149" s="19"/>
      <c r="Z4149" s="19"/>
      <c r="AA4149" s="19"/>
      <c r="AB4149" s="19"/>
      <c r="AC4149" s="19"/>
      <c r="AD4149" s="19"/>
      <c r="AE4149" s="19"/>
      <c r="AF4149" s="19"/>
      <c r="AG4149" s="19"/>
      <c r="AH4149" s="19"/>
      <c r="AI4149" s="19"/>
      <c r="AJ4149" s="19"/>
      <c r="AK4149" s="19"/>
      <c r="AL4149" s="6" t="str">
        <f t="array" ref="AL4149">IFERROR(IFS(XLOOKUP(B4149, 'Kit Delivery Status'!$U:$U, 'Kit Delivery Status'!$K:$K) = "Complete", "DELIVERED", XLOOKUP(B4149, 'Kit Delivery Status'!$U:$U, 'Kit Delivery Status'!$K:$K) = "Issue", "ISSUE"), "")</f>
        <v/>
      </c>
      <c r="AM4149" s="6"/>
    </row>
    <row r="4150">
      <c r="A4150" s="19"/>
      <c r="B4150" s="19"/>
      <c r="C4150" s="19"/>
      <c r="D4150" s="42"/>
      <c r="E4150" s="19"/>
      <c r="F4150" s="19"/>
      <c r="G4150" s="19"/>
      <c r="H4150" s="19"/>
      <c r="I4150" s="19"/>
      <c r="J4150" s="19"/>
      <c r="K4150" s="19"/>
      <c r="L4150" s="19"/>
      <c r="M4150" s="19"/>
      <c r="N4150" s="19"/>
      <c r="O4150" s="43"/>
      <c r="P4150" s="19"/>
      <c r="Q4150" s="19"/>
      <c r="R4150" s="19"/>
      <c r="S4150" s="19"/>
      <c r="T4150" s="19"/>
      <c r="U4150" s="19"/>
      <c r="V4150" s="44"/>
      <c r="W4150" s="19"/>
      <c r="X4150" s="19"/>
      <c r="Y4150" s="19"/>
      <c r="Z4150" s="19"/>
      <c r="AA4150" s="19"/>
      <c r="AB4150" s="19"/>
      <c r="AC4150" s="19"/>
      <c r="AD4150" s="19"/>
      <c r="AE4150" s="19"/>
      <c r="AF4150" s="19"/>
      <c r="AG4150" s="19"/>
      <c r="AH4150" s="19"/>
      <c r="AI4150" s="19"/>
      <c r="AJ4150" s="19"/>
      <c r="AK4150" s="19"/>
      <c r="AL4150" s="6" t="str">
        <f t="array" ref="AL4150">IFERROR(IFS(XLOOKUP(B4150, 'Kit Delivery Status'!$U:$U, 'Kit Delivery Status'!$K:$K) = "Complete", "DELIVERED", XLOOKUP(B4150, 'Kit Delivery Status'!$U:$U, 'Kit Delivery Status'!$K:$K) = "Issue", "ISSUE"), "")</f>
        <v/>
      </c>
      <c r="AM4150" s="6"/>
    </row>
    <row r="4151">
      <c r="A4151" s="19"/>
      <c r="B4151" s="19"/>
      <c r="C4151" s="19"/>
      <c r="D4151" s="42"/>
      <c r="E4151" s="19"/>
      <c r="F4151" s="19"/>
      <c r="G4151" s="19"/>
      <c r="H4151" s="19"/>
      <c r="I4151" s="19"/>
      <c r="J4151" s="19"/>
      <c r="K4151" s="19"/>
      <c r="L4151" s="19"/>
      <c r="M4151" s="19"/>
      <c r="N4151" s="19"/>
      <c r="O4151" s="43"/>
      <c r="P4151" s="19"/>
      <c r="Q4151" s="19"/>
      <c r="R4151" s="19"/>
      <c r="S4151" s="19"/>
      <c r="T4151" s="19"/>
      <c r="U4151" s="19"/>
      <c r="V4151" s="44"/>
      <c r="W4151" s="19"/>
      <c r="X4151" s="19"/>
      <c r="Y4151" s="19"/>
      <c r="Z4151" s="19"/>
      <c r="AA4151" s="19"/>
      <c r="AB4151" s="19"/>
      <c r="AC4151" s="19"/>
      <c r="AD4151" s="19"/>
      <c r="AE4151" s="19"/>
      <c r="AF4151" s="19"/>
      <c r="AG4151" s="19"/>
      <c r="AH4151" s="19"/>
      <c r="AI4151" s="19"/>
      <c r="AJ4151" s="19"/>
      <c r="AK4151" s="19"/>
      <c r="AL4151" s="6" t="str">
        <f t="array" ref="AL4151">IFERROR(IFS(XLOOKUP(B4151, 'Kit Delivery Status'!$U:$U, 'Kit Delivery Status'!$K:$K) = "Complete", "DELIVERED", XLOOKUP(B4151, 'Kit Delivery Status'!$U:$U, 'Kit Delivery Status'!$K:$K) = "Issue", "ISSUE"), "")</f>
        <v/>
      </c>
      <c r="AM4151" s="6"/>
    </row>
    <row r="4152">
      <c r="A4152" s="19"/>
      <c r="B4152" s="19"/>
      <c r="C4152" s="19"/>
      <c r="D4152" s="42"/>
      <c r="E4152" s="19"/>
      <c r="F4152" s="19"/>
      <c r="G4152" s="19"/>
      <c r="H4152" s="19"/>
      <c r="I4152" s="19"/>
      <c r="J4152" s="19"/>
      <c r="K4152" s="19"/>
      <c r="L4152" s="19"/>
      <c r="M4152" s="19"/>
      <c r="N4152" s="19"/>
      <c r="O4152" s="43"/>
      <c r="P4152" s="19"/>
      <c r="Q4152" s="19"/>
      <c r="R4152" s="19"/>
      <c r="S4152" s="19"/>
      <c r="T4152" s="19"/>
      <c r="U4152" s="19"/>
      <c r="V4152" s="44"/>
      <c r="W4152" s="19"/>
      <c r="X4152" s="19"/>
      <c r="Y4152" s="19"/>
      <c r="Z4152" s="19"/>
      <c r="AA4152" s="19"/>
      <c r="AB4152" s="19"/>
      <c r="AC4152" s="19"/>
      <c r="AD4152" s="19"/>
      <c r="AE4152" s="19"/>
      <c r="AF4152" s="19"/>
      <c r="AG4152" s="19"/>
      <c r="AH4152" s="19"/>
      <c r="AI4152" s="19"/>
      <c r="AJ4152" s="19"/>
      <c r="AK4152" s="19"/>
      <c r="AL4152" s="6" t="str">
        <f t="array" ref="AL4152">IFERROR(IFS(XLOOKUP(B4152, 'Kit Delivery Status'!$U:$U, 'Kit Delivery Status'!$K:$K) = "Complete", "DELIVERED", XLOOKUP(B4152, 'Kit Delivery Status'!$U:$U, 'Kit Delivery Status'!$K:$K) = "Issue", "ISSUE"), "")</f>
        <v/>
      </c>
      <c r="AM4152" s="6"/>
    </row>
    <row r="4153">
      <c r="A4153" s="19"/>
      <c r="B4153" s="19"/>
      <c r="C4153" s="19"/>
      <c r="D4153" s="42"/>
      <c r="E4153" s="19"/>
      <c r="F4153" s="19"/>
      <c r="G4153" s="19"/>
      <c r="H4153" s="19"/>
      <c r="I4153" s="19"/>
      <c r="J4153" s="19"/>
      <c r="K4153" s="19"/>
      <c r="L4153" s="19"/>
      <c r="M4153" s="19"/>
      <c r="N4153" s="19"/>
      <c r="O4153" s="43"/>
      <c r="P4153" s="19"/>
      <c r="Q4153" s="19"/>
      <c r="R4153" s="19"/>
      <c r="S4153" s="19"/>
      <c r="T4153" s="19"/>
      <c r="U4153" s="19"/>
      <c r="V4153" s="44"/>
      <c r="W4153" s="19"/>
      <c r="X4153" s="19"/>
      <c r="Y4153" s="19"/>
      <c r="Z4153" s="19"/>
      <c r="AA4153" s="19"/>
      <c r="AB4153" s="19"/>
      <c r="AC4153" s="19"/>
      <c r="AD4153" s="19"/>
      <c r="AE4153" s="19"/>
      <c r="AF4153" s="19"/>
      <c r="AG4153" s="19"/>
      <c r="AH4153" s="19"/>
      <c r="AI4153" s="19"/>
      <c r="AJ4153" s="19"/>
      <c r="AK4153" s="19"/>
      <c r="AL4153" s="6" t="str">
        <f t="array" ref="AL4153">IFERROR(IFS(XLOOKUP(B4153, 'Kit Delivery Status'!$U:$U, 'Kit Delivery Status'!$K:$K) = "Complete", "DELIVERED", XLOOKUP(B4153, 'Kit Delivery Status'!$U:$U, 'Kit Delivery Status'!$K:$K) = "Issue", "ISSUE"), "")</f>
        <v/>
      </c>
      <c r="AM4153" s="6"/>
    </row>
    <row r="4154">
      <c r="A4154" s="19"/>
      <c r="B4154" s="19"/>
      <c r="C4154" s="19"/>
      <c r="D4154" s="42"/>
      <c r="E4154" s="19"/>
      <c r="F4154" s="19"/>
      <c r="G4154" s="19"/>
      <c r="H4154" s="19"/>
      <c r="I4154" s="19"/>
      <c r="J4154" s="19"/>
      <c r="K4154" s="19"/>
      <c r="L4154" s="19"/>
      <c r="M4154" s="19"/>
      <c r="N4154" s="19"/>
      <c r="O4154" s="43"/>
      <c r="P4154" s="19"/>
      <c r="Q4154" s="19"/>
      <c r="R4154" s="19"/>
      <c r="S4154" s="19"/>
      <c r="T4154" s="19"/>
      <c r="U4154" s="19"/>
      <c r="V4154" s="44"/>
      <c r="W4154" s="19"/>
      <c r="X4154" s="19"/>
      <c r="Y4154" s="19"/>
      <c r="Z4154" s="19"/>
      <c r="AA4154" s="19"/>
      <c r="AB4154" s="19"/>
      <c r="AC4154" s="19"/>
      <c r="AD4154" s="19"/>
      <c r="AE4154" s="19"/>
      <c r="AF4154" s="19"/>
      <c r="AG4154" s="19"/>
      <c r="AH4154" s="19"/>
      <c r="AI4154" s="19"/>
      <c r="AJ4154" s="19"/>
      <c r="AK4154" s="19"/>
      <c r="AL4154" s="6" t="str">
        <f t="array" ref="AL4154">IFERROR(IFS(XLOOKUP(B4154, 'Kit Delivery Status'!$U:$U, 'Kit Delivery Status'!$K:$K) = "Complete", "DELIVERED", XLOOKUP(B4154, 'Kit Delivery Status'!$U:$U, 'Kit Delivery Status'!$K:$K) = "Issue", "ISSUE"), "")</f>
        <v/>
      </c>
      <c r="AM4154" s="6"/>
    </row>
    <row r="4155">
      <c r="A4155" s="19"/>
      <c r="B4155" s="19"/>
      <c r="C4155" s="19"/>
      <c r="D4155" s="42"/>
      <c r="E4155" s="19"/>
      <c r="F4155" s="19"/>
      <c r="G4155" s="19"/>
      <c r="H4155" s="19"/>
      <c r="I4155" s="19"/>
      <c r="J4155" s="19"/>
      <c r="K4155" s="19"/>
      <c r="L4155" s="19"/>
      <c r="M4155" s="19"/>
      <c r="N4155" s="19"/>
      <c r="O4155" s="43"/>
      <c r="P4155" s="19"/>
      <c r="Q4155" s="19"/>
      <c r="R4155" s="19"/>
      <c r="S4155" s="19"/>
      <c r="T4155" s="19"/>
      <c r="U4155" s="19"/>
      <c r="V4155" s="44"/>
      <c r="W4155" s="19"/>
      <c r="X4155" s="19"/>
      <c r="Y4155" s="19"/>
      <c r="Z4155" s="19"/>
      <c r="AA4155" s="19"/>
      <c r="AB4155" s="19"/>
      <c r="AC4155" s="19"/>
      <c r="AD4155" s="19"/>
      <c r="AE4155" s="19"/>
      <c r="AF4155" s="19"/>
      <c r="AG4155" s="19"/>
      <c r="AH4155" s="19"/>
      <c r="AI4155" s="19"/>
      <c r="AJ4155" s="19"/>
      <c r="AK4155" s="19"/>
      <c r="AL4155" s="6" t="str">
        <f t="array" ref="AL4155">IFERROR(IFS(XLOOKUP(B4155, 'Kit Delivery Status'!$U:$U, 'Kit Delivery Status'!$K:$K) = "Complete", "DELIVERED", XLOOKUP(B4155, 'Kit Delivery Status'!$U:$U, 'Kit Delivery Status'!$K:$K) = "Issue", "ISSUE"), "")</f>
        <v/>
      </c>
      <c r="AM4155" s="6"/>
    </row>
    <row r="4156">
      <c r="A4156" s="19"/>
      <c r="B4156" s="19"/>
      <c r="C4156" s="19"/>
      <c r="D4156" s="42"/>
      <c r="E4156" s="19"/>
      <c r="F4156" s="19"/>
      <c r="G4156" s="19"/>
      <c r="H4156" s="19"/>
      <c r="I4156" s="19"/>
      <c r="J4156" s="19"/>
      <c r="K4156" s="19"/>
      <c r="L4156" s="19"/>
      <c r="M4156" s="19"/>
      <c r="N4156" s="19"/>
      <c r="O4156" s="43"/>
      <c r="P4156" s="19"/>
      <c r="Q4156" s="19"/>
      <c r="R4156" s="19"/>
      <c r="S4156" s="19"/>
      <c r="T4156" s="19"/>
      <c r="U4156" s="19"/>
      <c r="V4156" s="44"/>
      <c r="W4156" s="19"/>
      <c r="X4156" s="19"/>
      <c r="Y4156" s="19"/>
      <c r="Z4156" s="19"/>
      <c r="AA4156" s="19"/>
      <c r="AB4156" s="19"/>
      <c r="AC4156" s="19"/>
      <c r="AD4156" s="19"/>
      <c r="AE4156" s="19"/>
      <c r="AF4156" s="19"/>
      <c r="AG4156" s="19"/>
      <c r="AH4156" s="19"/>
      <c r="AI4156" s="19"/>
      <c r="AJ4156" s="19"/>
      <c r="AK4156" s="19"/>
      <c r="AL4156" s="6" t="str">
        <f t="array" ref="AL4156">IFERROR(IFS(XLOOKUP(B4156, 'Kit Delivery Status'!$U:$U, 'Kit Delivery Status'!$K:$K) = "Complete", "DELIVERED", XLOOKUP(B4156, 'Kit Delivery Status'!$U:$U, 'Kit Delivery Status'!$K:$K) = "Issue", "ISSUE"), "")</f>
        <v/>
      </c>
      <c r="AM4156" s="6"/>
    </row>
    <row r="4157">
      <c r="A4157" s="19"/>
      <c r="B4157" s="19"/>
      <c r="C4157" s="19"/>
      <c r="D4157" s="42"/>
      <c r="E4157" s="19"/>
      <c r="F4157" s="19"/>
      <c r="G4157" s="19"/>
      <c r="H4157" s="19"/>
      <c r="I4157" s="19"/>
      <c r="J4157" s="19"/>
      <c r="K4157" s="19"/>
      <c r="L4157" s="19"/>
      <c r="M4157" s="19"/>
      <c r="N4157" s="19"/>
      <c r="O4157" s="43"/>
      <c r="P4157" s="19"/>
      <c r="Q4157" s="19"/>
      <c r="R4157" s="19"/>
      <c r="S4157" s="19"/>
      <c r="T4157" s="19"/>
      <c r="U4157" s="19"/>
      <c r="V4157" s="44"/>
      <c r="W4157" s="19"/>
      <c r="X4157" s="19"/>
      <c r="Y4157" s="19"/>
      <c r="Z4157" s="19"/>
      <c r="AA4157" s="19"/>
      <c r="AB4157" s="19"/>
      <c r="AC4157" s="19"/>
      <c r="AD4157" s="19"/>
      <c r="AE4157" s="19"/>
      <c r="AF4157" s="19"/>
      <c r="AG4157" s="19"/>
      <c r="AH4157" s="19"/>
      <c r="AI4157" s="19"/>
      <c r="AJ4157" s="19"/>
      <c r="AK4157" s="19"/>
      <c r="AL4157" s="6" t="str">
        <f t="array" ref="AL4157">IFERROR(IFS(XLOOKUP(B4157, 'Kit Delivery Status'!$U:$U, 'Kit Delivery Status'!$K:$K) = "Complete", "DELIVERED", XLOOKUP(B4157, 'Kit Delivery Status'!$U:$U, 'Kit Delivery Status'!$K:$K) = "Issue", "ISSUE"), "")</f>
        <v/>
      </c>
      <c r="AM4157" s="6"/>
    </row>
    <row r="4158">
      <c r="A4158" s="19"/>
      <c r="B4158" s="19"/>
      <c r="C4158" s="19"/>
      <c r="D4158" s="42"/>
      <c r="E4158" s="19"/>
      <c r="F4158" s="19"/>
      <c r="G4158" s="19"/>
      <c r="H4158" s="19"/>
      <c r="I4158" s="19"/>
      <c r="J4158" s="19"/>
      <c r="K4158" s="19"/>
      <c r="L4158" s="19"/>
      <c r="M4158" s="19"/>
      <c r="N4158" s="19"/>
      <c r="O4158" s="43"/>
      <c r="P4158" s="19"/>
      <c r="Q4158" s="19"/>
      <c r="R4158" s="19"/>
      <c r="S4158" s="19"/>
      <c r="T4158" s="19"/>
      <c r="U4158" s="19"/>
      <c r="V4158" s="44"/>
      <c r="W4158" s="19"/>
      <c r="X4158" s="19"/>
      <c r="Y4158" s="19"/>
      <c r="Z4158" s="19"/>
      <c r="AA4158" s="19"/>
      <c r="AB4158" s="19"/>
      <c r="AC4158" s="19"/>
      <c r="AD4158" s="19"/>
      <c r="AE4158" s="19"/>
      <c r="AF4158" s="19"/>
      <c r="AG4158" s="19"/>
      <c r="AH4158" s="19"/>
      <c r="AI4158" s="19"/>
      <c r="AJ4158" s="19"/>
      <c r="AK4158" s="19"/>
      <c r="AL4158" s="6" t="str">
        <f t="array" ref="AL4158">IFERROR(IFS(XLOOKUP(B4158, 'Kit Delivery Status'!$U:$U, 'Kit Delivery Status'!$K:$K) = "Complete", "DELIVERED", XLOOKUP(B4158, 'Kit Delivery Status'!$U:$U, 'Kit Delivery Status'!$K:$K) = "Issue", "ISSUE"), "")</f>
        <v/>
      </c>
      <c r="AM4158" s="6"/>
    </row>
    <row r="4159">
      <c r="A4159" s="19"/>
      <c r="B4159" s="19"/>
      <c r="C4159" s="19"/>
      <c r="D4159" s="42"/>
      <c r="E4159" s="19"/>
      <c r="F4159" s="19"/>
      <c r="G4159" s="19"/>
      <c r="H4159" s="19"/>
      <c r="I4159" s="19"/>
      <c r="J4159" s="19"/>
      <c r="K4159" s="19"/>
      <c r="L4159" s="19"/>
      <c r="M4159" s="19"/>
      <c r="N4159" s="19"/>
      <c r="O4159" s="43"/>
      <c r="P4159" s="19"/>
      <c r="Q4159" s="19"/>
      <c r="R4159" s="19"/>
      <c r="S4159" s="19"/>
      <c r="T4159" s="19"/>
      <c r="U4159" s="19"/>
      <c r="V4159" s="44"/>
      <c r="W4159" s="19"/>
      <c r="X4159" s="19"/>
      <c r="Y4159" s="19"/>
      <c r="Z4159" s="19"/>
      <c r="AA4159" s="19"/>
      <c r="AB4159" s="19"/>
      <c r="AC4159" s="19"/>
      <c r="AD4159" s="19"/>
      <c r="AE4159" s="19"/>
      <c r="AF4159" s="19"/>
      <c r="AG4159" s="19"/>
      <c r="AH4159" s="19"/>
      <c r="AI4159" s="19"/>
      <c r="AJ4159" s="19"/>
      <c r="AK4159" s="19"/>
      <c r="AL4159" s="6" t="str">
        <f t="array" ref="AL4159">IFERROR(IFS(XLOOKUP(B4159, 'Kit Delivery Status'!$U:$U, 'Kit Delivery Status'!$K:$K) = "Complete", "DELIVERED", XLOOKUP(B4159, 'Kit Delivery Status'!$U:$U, 'Kit Delivery Status'!$K:$K) = "Issue", "ISSUE"), "")</f>
        <v/>
      </c>
      <c r="AM4159" s="6"/>
    </row>
    <row r="4160">
      <c r="A4160" s="19"/>
      <c r="B4160" s="19"/>
      <c r="C4160" s="19"/>
      <c r="D4160" s="42"/>
      <c r="E4160" s="19"/>
      <c r="F4160" s="19"/>
      <c r="G4160" s="19"/>
      <c r="H4160" s="19"/>
      <c r="I4160" s="19"/>
      <c r="J4160" s="19"/>
      <c r="K4160" s="19"/>
      <c r="L4160" s="19"/>
      <c r="M4160" s="19"/>
      <c r="N4160" s="19"/>
      <c r="O4160" s="43"/>
      <c r="P4160" s="19"/>
      <c r="Q4160" s="19"/>
      <c r="R4160" s="19"/>
      <c r="S4160" s="19"/>
      <c r="T4160" s="19"/>
      <c r="U4160" s="19"/>
      <c r="V4160" s="44"/>
      <c r="W4160" s="19"/>
      <c r="X4160" s="19"/>
      <c r="Y4160" s="19"/>
      <c r="Z4160" s="19"/>
      <c r="AA4160" s="19"/>
      <c r="AB4160" s="19"/>
      <c r="AC4160" s="19"/>
      <c r="AD4160" s="19"/>
      <c r="AE4160" s="19"/>
      <c r="AF4160" s="19"/>
      <c r="AG4160" s="19"/>
      <c r="AH4160" s="19"/>
      <c r="AI4160" s="19"/>
      <c r="AJ4160" s="19"/>
      <c r="AK4160" s="19"/>
      <c r="AL4160" s="6" t="str">
        <f t="array" ref="AL4160">IFERROR(IFS(XLOOKUP(B4160, 'Kit Delivery Status'!$U:$U, 'Kit Delivery Status'!$K:$K) = "Complete", "DELIVERED", XLOOKUP(B4160, 'Kit Delivery Status'!$U:$U, 'Kit Delivery Status'!$K:$K) = "Issue", "ISSUE"), "")</f>
        <v/>
      </c>
      <c r="AM4160" s="6"/>
    </row>
    <row r="4161">
      <c r="A4161" s="19"/>
      <c r="B4161" s="19"/>
      <c r="C4161" s="19"/>
      <c r="D4161" s="42"/>
      <c r="E4161" s="19"/>
      <c r="F4161" s="19"/>
      <c r="G4161" s="19"/>
      <c r="H4161" s="19"/>
      <c r="I4161" s="19"/>
      <c r="J4161" s="19"/>
      <c r="K4161" s="19"/>
      <c r="L4161" s="19"/>
      <c r="M4161" s="19"/>
      <c r="N4161" s="19"/>
      <c r="O4161" s="43"/>
      <c r="P4161" s="19"/>
      <c r="Q4161" s="19"/>
      <c r="R4161" s="19"/>
      <c r="S4161" s="19"/>
      <c r="T4161" s="19"/>
      <c r="U4161" s="19"/>
      <c r="V4161" s="44"/>
      <c r="W4161" s="19"/>
      <c r="X4161" s="19"/>
      <c r="Y4161" s="19"/>
      <c r="Z4161" s="19"/>
      <c r="AA4161" s="19"/>
      <c r="AB4161" s="19"/>
      <c r="AC4161" s="19"/>
      <c r="AD4161" s="19"/>
      <c r="AE4161" s="19"/>
      <c r="AF4161" s="19"/>
      <c r="AG4161" s="19"/>
      <c r="AH4161" s="19"/>
      <c r="AI4161" s="19"/>
      <c r="AJ4161" s="19"/>
      <c r="AK4161" s="19"/>
      <c r="AL4161" s="6" t="str">
        <f t="array" ref="AL4161">IFERROR(IFS(XLOOKUP(B4161, 'Kit Delivery Status'!$U:$U, 'Kit Delivery Status'!$K:$K) = "Complete", "DELIVERED", XLOOKUP(B4161, 'Kit Delivery Status'!$U:$U, 'Kit Delivery Status'!$K:$K) = "Issue", "ISSUE"), "")</f>
        <v/>
      </c>
      <c r="AM4161" s="6"/>
    </row>
  </sheetData>
  <conditionalFormatting sqref="L1:L4161">
    <cfRule type="expression" dxfId="4" priority="1">
      <formula>$AL2="DELIVERED"</formula>
    </cfRule>
  </conditionalFormatting>
  <conditionalFormatting sqref="L1:L4161">
    <cfRule type="expression" dxfId="5" priority="2">
      <formula>$AL2="ISSUE"</formula>
    </cfRule>
  </conditionalFormatting>
  <hyperlinks>
    <hyperlink r:id="rId1" ref="A6"/>
    <hyperlink r:id="rId2" ref="A13"/>
    <hyperlink r:id="rId3" ref="A23"/>
    <hyperlink r:id="rId4" ref="A114"/>
    <hyperlink r:id="rId5" ref="A127"/>
    <hyperlink r:id="rId6" ref="A128"/>
    <hyperlink r:id="rId7" ref="A188"/>
    <hyperlink r:id="rId8" ref="A189"/>
    <hyperlink r:id="rId9" ref="A190"/>
    <hyperlink r:id="rId10" ref="A191"/>
    <hyperlink r:id="rId11" ref="A192"/>
    <hyperlink r:id="rId12" ref="A193"/>
    <hyperlink r:id="rId13" ref="A194"/>
    <hyperlink r:id="rId14" ref="A195"/>
    <hyperlink r:id="rId15" ref="A196"/>
    <hyperlink r:id="rId16" ref="A197"/>
    <hyperlink r:id="rId17" ref="A198"/>
    <hyperlink r:id="rId18" ref="A199"/>
    <hyperlink r:id="rId19" ref="A200"/>
    <hyperlink r:id="rId20" ref="A201"/>
    <hyperlink r:id="rId21" ref="A202"/>
    <hyperlink r:id="rId22" ref="A203"/>
    <hyperlink r:id="rId23" ref="A204"/>
    <hyperlink r:id="rId24" ref="A205"/>
    <hyperlink r:id="rId25" ref="A206"/>
    <hyperlink r:id="rId26" ref="A207"/>
    <hyperlink r:id="rId27" ref="A208"/>
    <hyperlink r:id="rId28" ref="A209"/>
    <hyperlink r:id="rId29" ref="A210"/>
    <hyperlink r:id="rId30" ref="A211"/>
    <hyperlink r:id="rId31" ref="A212"/>
    <hyperlink r:id="rId32" ref="A213"/>
    <hyperlink r:id="rId33" ref="A214"/>
    <hyperlink r:id="rId34" ref="A215"/>
    <hyperlink r:id="rId35" ref="A216"/>
    <hyperlink r:id="rId36" ref="A217"/>
    <hyperlink r:id="rId37" ref="A218"/>
    <hyperlink r:id="rId38" ref="A219"/>
    <hyperlink r:id="rId39" ref="A220"/>
    <hyperlink r:id="rId40" ref="A221"/>
    <hyperlink r:id="rId41" ref="A222"/>
    <hyperlink r:id="rId42" ref="A223"/>
    <hyperlink r:id="rId43" ref="A224"/>
    <hyperlink r:id="rId44" ref="A225"/>
    <hyperlink r:id="rId45" ref="A226"/>
    <hyperlink r:id="rId46" ref="A227"/>
    <hyperlink r:id="rId47" ref="A228"/>
    <hyperlink r:id="rId48" ref="A229"/>
    <hyperlink r:id="rId49" ref="A230"/>
    <hyperlink r:id="rId50" ref="A231"/>
    <hyperlink r:id="rId51" ref="A232"/>
    <hyperlink r:id="rId52" ref="A233"/>
    <hyperlink r:id="rId53" ref="A234"/>
    <hyperlink r:id="rId54" ref="A235"/>
    <hyperlink r:id="rId55" ref="A236"/>
    <hyperlink r:id="rId56" ref="A237"/>
    <hyperlink r:id="rId57" ref="A238"/>
    <hyperlink r:id="rId58" ref="A239"/>
    <hyperlink r:id="rId59" ref="A240"/>
    <hyperlink r:id="rId60" ref="A241"/>
    <hyperlink r:id="rId61" ref="A242"/>
    <hyperlink r:id="rId62" ref="A243"/>
    <hyperlink r:id="rId63" ref="A244"/>
    <hyperlink r:id="rId64" ref="A245"/>
    <hyperlink r:id="rId65" ref="A246"/>
    <hyperlink r:id="rId66" ref="A247"/>
    <hyperlink r:id="rId67" ref="A248"/>
    <hyperlink r:id="rId68" ref="A249"/>
    <hyperlink r:id="rId69" ref="A250"/>
    <hyperlink r:id="rId70" ref="A251"/>
    <hyperlink r:id="rId71" ref="A252"/>
    <hyperlink r:id="rId72" ref="A253"/>
    <hyperlink r:id="rId73" ref="A254"/>
    <hyperlink r:id="rId74" ref="A255"/>
    <hyperlink r:id="rId75" ref="A256"/>
    <hyperlink r:id="rId76" ref="A257"/>
    <hyperlink r:id="rId77" ref="A258"/>
    <hyperlink r:id="rId78" ref="A259"/>
    <hyperlink r:id="rId79" ref="A260"/>
    <hyperlink r:id="rId80" ref="A261"/>
    <hyperlink r:id="rId81" ref="A262"/>
    <hyperlink r:id="rId82" ref="A263"/>
    <hyperlink r:id="rId83" ref="A264"/>
    <hyperlink r:id="rId84" ref="A265"/>
    <hyperlink r:id="rId85" ref="A266"/>
    <hyperlink r:id="rId86" ref="A267"/>
    <hyperlink r:id="rId87" ref="A268"/>
    <hyperlink r:id="rId88" ref="A269"/>
    <hyperlink r:id="rId89" ref="A270"/>
    <hyperlink r:id="rId90" ref="A271"/>
    <hyperlink r:id="rId91" ref="A272"/>
    <hyperlink r:id="rId92" ref="A273"/>
    <hyperlink r:id="rId93" ref="A274"/>
    <hyperlink r:id="rId94" ref="A275"/>
    <hyperlink r:id="rId95" ref="A276"/>
    <hyperlink r:id="rId96" ref="A277"/>
    <hyperlink r:id="rId97" ref="A278"/>
    <hyperlink r:id="rId98" ref="A279"/>
    <hyperlink r:id="rId99" ref="A280"/>
    <hyperlink r:id="rId100" ref="A281"/>
    <hyperlink r:id="rId101" ref="A282"/>
    <hyperlink r:id="rId102" ref="A283"/>
    <hyperlink r:id="rId103" ref="A284"/>
    <hyperlink r:id="rId104" ref="A285"/>
    <hyperlink r:id="rId105" ref="A286"/>
    <hyperlink r:id="rId106" ref="A287"/>
    <hyperlink r:id="rId107" ref="A288"/>
    <hyperlink r:id="rId108" ref="A289"/>
    <hyperlink r:id="rId109" ref="A290"/>
    <hyperlink r:id="rId110" ref="A291"/>
    <hyperlink r:id="rId111" ref="A292"/>
    <hyperlink r:id="rId112" ref="A293"/>
    <hyperlink r:id="rId113" ref="A294"/>
    <hyperlink r:id="rId114" ref="A295"/>
    <hyperlink r:id="rId115" ref="A296"/>
    <hyperlink r:id="rId116" ref="A297"/>
    <hyperlink r:id="rId117" ref="A298"/>
    <hyperlink r:id="rId118" ref="A299"/>
    <hyperlink r:id="rId119" ref="A300"/>
    <hyperlink r:id="rId120" ref="A301"/>
    <hyperlink r:id="rId121" ref="A302"/>
    <hyperlink r:id="rId122" ref="A303"/>
    <hyperlink r:id="rId123" ref="A304"/>
    <hyperlink r:id="rId124" ref="A305"/>
    <hyperlink r:id="rId125" ref="A306"/>
    <hyperlink r:id="rId126" ref="A307"/>
    <hyperlink r:id="rId127" ref="A308"/>
    <hyperlink r:id="rId128" ref="A309"/>
    <hyperlink r:id="rId129" ref="A310"/>
    <hyperlink r:id="rId130" ref="A311"/>
    <hyperlink r:id="rId131" ref="A312"/>
    <hyperlink r:id="rId132" ref="A313"/>
    <hyperlink r:id="rId133" ref="A314"/>
    <hyperlink r:id="rId134" ref="A315"/>
    <hyperlink r:id="rId135" ref="A316"/>
    <hyperlink r:id="rId136" ref="A317"/>
    <hyperlink r:id="rId137" ref="A318"/>
    <hyperlink r:id="rId138" ref="A319"/>
    <hyperlink r:id="rId139" ref="A320"/>
    <hyperlink r:id="rId140" ref="A321"/>
    <hyperlink r:id="rId141" ref="A322"/>
    <hyperlink r:id="rId142" ref="A323"/>
    <hyperlink r:id="rId143" ref="A324"/>
    <hyperlink r:id="rId144" ref="A325"/>
    <hyperlink r:id="rId145" ref="A326"/>
    <hyperlink r:id="rId146" ref="A327"/>
    <hyperlink r:id="rId147" ref="A328"/>
    <hyperlink r:id="rId148" ref="A329"/>
    <hyperlink r:id="rId149" ref="A330"/>
    <hyperlink r:id="rId150" ref="A331"/>
    <hyperlink r:id="rId151" ref="A332"/>
    <hyperlink r:id="rId152" ref="A333"/>
    <hyperlink r:id="rId153" ref="A334"/>
    <hyperlink r:id="rId154" ref="A335"/>
    <hyperlink r:id="rId155" ref="A336"/>
    <hyperlink r:id="rId156" ref="A337"/>
    <hyperlink r:id="rId157" ref="A338"/>
    <hyperlink r:id="rId158" ref="A339"/>
    <hyperlink r:id="rId159" ref="A340"/>
    <hyperlink r:id="rId160" ref="A341"/>
    <hyperlink r:id="rId161" ref="A342"/>
    <hyperlink r:id="rId162" ref="A343"/>
    <hyperlink r:id="rId163" ref="A344"/>
    <hyperlink r:id="rId164" ref="A345"/>
    <hyperlink r:id="rId165" ref="A346"/>
    <hyperlink r:id="rId166" ref="A347"/>
    <hyperlink r:id="rId167" ref="A348"/>
    <hyperlink r:id="rId168" ref="A349"/>
    <hyperlink r:id="rId169" ref="A350"/>
    <hyperlink r:id="rId170" ref="A351"/>
    <hyperlink r:id="rId171" ref="A352"/>
    <hyperlink r:id="rId172" ref="A353"/>
    <hyperlink r:id="rId173" ref="A354"/>
    <hyperlink r:id="rId174" ref="A355"/>
    <hyperlink r:id="rId175" ref="A356"/>
    <hyperlink r:id="rId176" ref="A357"/>
    <hyperlink r:id="rId177" ref="A358"/>
    <hyperlink r:id="rId178" ref="A359"/>
    <hyperlink r:id="rId179" ref="A360"/>
    <hyperlink r:id="rId180" ref="A361"/>
    <hyperlink r:id="rId181" ref="A362"/>
    <hyperlink r:id="rId182" ref="A363"/>
    <hyperlink r:id="rId183" ref="A364"/>
    <hyperlink r:id="rId184" ref="A365"/>
    <hyperlink r:id="rId185" ref="A366"/>
    <hyperlink r:id="rId186" ref="A367"/>
    <hyperlink r:id="rId187" ref="A368"/>
    <hyperlink r:id="rId188" ref="A369"/>
    <hyperlink r:id="rId189" ref="A370"/>
    <hyperlink r:id="rId190" ref="A371"/>
    <hyperlink r:id="rId191" ref="A372"/>
    <hyperlink r:id="rId192" ref="A373"/>
    <hyperlink r:id="rId193" ref="A374"/>
    <hyperlink r:id="rId194" ref="A375"/>
    <hyperlink r:id="rId195" ref="A376"/>
    <hyperlink r:id="rId196" ref="A377"/>
    <hyperlink r:id="rId197" ref="A378"/>
    <hyperlink r:id="rId198" ref="A379"/>
    <hyperlink r:id="rId199" ref="A380"/>
    <hyperlink r:id="rId200" ref="A381"/>
    <hyperlink r:id="rId201" ref="A382"/>
    <hyperlink r:id="rId202" ref="A383"/>
    <hyperlink r:id="rId203" ref="A384"/>
    <hyperlink r:id="rId204" ref="A385"/>
    <hyperlink r:id="rId205" ref="A386"/>
    <hyperlink r:id="rId206" ref="A387"/>
    <hyperlink r:id="rId207" ref="A388"/>
    <hyperlink r:id="rId208" ref="A389"/>
    <hyperlink r:id="rId209" ref="A390"/>
    <hyperlink r:id="rId210" ref="A391"/>
    <hyperlink r:id="rId211" ref="A392"/>
    <hyperlink r:id="rId212" ref="A393"/>
    <hyperlink r:id="rId213" ref="A394"/>
    <hyperlink r:id="rId214" ref="A395"/>
    <hyperlink r:id="rId215" ref="A396"/>
    <hyperlink r:id="rId216" ref="A397"/>
    <hyperlink r:id="rId217" ref="A398"/>
    <hyperlink r:id="rId218" ref="A399"/>
    <hyperlink r:id="rId219" ref="A400"/>
    <hyperlink r:id="rId220" ref="A401"/>
    <hyperlink r:id="rId221" ref="A402"/>
    <hyperlink r:id="rId222" ref="A403"/>
    <hyperlink r:id="rId223" ref="A404"/>
    <hyperlink r:id="rId224" ref="A405"/>
    <hyperlink r:id="rId225" ref="A406"/>
    <hyperlink r:id="rId226" ref="A407"/>
    <hyperlink r:id="rId227" ref="A408"/>
    <hyperlink r:id="rId228" ref="A409"/>
    <hyperlink r:id="rId229" ref="A410"/>
    <hyperlink r:id="rId230" ref="A411"/>
    <hyperlink r:id="rId231" ref="A412"/>
    <hyperlink r:id="rId232" ref="A413"/>
    <hyperlink r:id="rId233" ref="A414"/>
    <hyperlink r:id="rId234" ref="A415"/>
    <hyperlink r:id="rId235" ref="A416"/>
    <hyperlink r:id="rId236" ref="A417"/>
    <hyperlink r:id="rId237" ref="A418"/>
    <hyperlink r:id="rId238" ref="A419"/>
    <hyperlink r:id="rId239" ref="A420"/>
    <hyperlink r:id="rId240" ref="A421"/>
    <hyperlink r:id="rId241" ref="A422"/>
    <hyperlink r:id="rId242" ref="A423"/>
    <hyperlink r:id="rId243" ref="A424"/>
    <hyperlink r:id="rId244" ref="A425"/>
    <hyperlink r:id="rId245" ref="A426"/>
    <hyperlink r:id="rId246" ref="A427"/>
    <hyperlink r:id="rId247" ref="A428"/>
    <hyperlink r:id="rId248" ref="A429"/>
    <hyperlink r:id="rId249" ref="A430"/>
    <hyperlink r:id="rId250" ref="A431"/>
    <hyperlink r:id="rId251" ref="A432"/>
    <hyperlink r:id="rId252" ref="A433"/>
    <hyperlink r:id="rId253" ref="A434"/>
    <hyperlink r:id="rId254" ref="A435"/>
    <hyperlink r:id="rId255" ref="A436"/>
    <hyperlink r:id="rId256" ref="A437"/>
    <hyperlink r:id="rId257" ref="A438"/>
    <hyperlink r:id="rId258" ref="A439"/>
    <hyperlink r:id="rId259" ref="A440"/>
    <hyperlink r:id="rId260" ref="A441"/>
    <hyperlink r:id="rId261" ref="A442"/>
    <hyperlink r:id="rId262" ref="A443"/>
    <hyperlink r:id="rId263" ref="A444"/>
    <hyperlink r:id="rId264" ref="A445"/>
    <hyperlink r:id="rId265" ref="A446"/>
    <hyperlink r:id="rId266" ref="A447"/>
    <hyperlink r:id="rId267" ref="A448"/>
    <hyperlink r:id="rId268" ref="A449"/>
    <hyperlink r:id="rId269" ref="A450"/>
    <hyperlink r:id="rId270" ref="A451"/>
    <hyperlink r:id="rId271" ref="A452"/>
    <hyperlink r:id="rId272" ref="A453"/>
    <hyperlink r:id="rId273" ref="A454"/>
    <hyperlink r:id="rId274" ref="A455"/>
    <hyperlink r:id="rId275" ref="A456"/>
    <hyperlink r:id="rId276" ref="A457"/>
    <hyperlink r:id="rId277" ref="A458"/>
    <hyperlink r:id="rId278" ref="A459"/>
    <hyperlink r:id="rId279" ref="A460"/>
    <hyperlink r:id="rId280" ref="A461"/>
    <hyperlink r:id="rId281" ref="A462"/>
    <hyperlink r:id="rId282" ref="A463"/>
    <hyperlink r:id="rId283" ref="A464"/>
    <hyperlink r:id="rId284" ref="A465"/>
    <hyperlink r:id="rId285" ref="A466"/>
    <hyperlink r:id="rId286" ref="A467"/>
    <hyperlink r:id="rId287" ref="A468"/>
    <hyperlink r:id="rId288" ref="A469"/>
    <hyperlink r:id="rId289" ref="A470"/>
    <hyperlink r:id="rId290" ref="A471"/>
    <hyperlink r:id="rId291" ref="A472"/>
    <hyperlink r:id="rId292" ref="A473"/>
    <hyperlink r:id="rId293" ref="A474"/>
    <hyperlink r:id="rId294" ref="A475"/>
    <hyperlink r:id="rId295" ref="A476"/>
    <hyperlink r:id="rId296" ref="A477"/>
    <hyperlink r:id="rId297" ref="A478"/>
    <hyperlink r:id="rId298" ref="A479"/>
    <hyperlink r:id="rId299" ref="A480"/>
    <hyperlink r:id="rId300" ref="A481"/>
    <hyperlink r:id="rId301" ref="A482"/>
    <hyperlink r:id="rId302" ref="A483"/>
    <hyperlink r:id="rId303" ref="A484"/>
    <hyperlink r:id="rId304" ref="A485"/>
    <hyperlink r:id="rId305" ref="A486"/>
    <hyperlink r:id="rId306" ref="A487"/>
    <hyperlink r:id="rId307" ref="A488"/>
    <hyperlink r:id="rId308" ref="A489"/>
    <hyperlink r:id="rId309" ref="A490"/>
    <hyperlink r:id="rId310" ref="A491"/>
    <hyperlink r:id="rId311" ref="A492"/>
    <hyperlink r:id="rId312" ref="A493"/>
    <hyperlink r:id="rId313" ref="A494"/>
    <hyperlink r:id="rId314" ref="A495"/>
    <hyperlink r:id="rId315" ref="A496"/>
    <hyperlink r:id="rId316" ref="A497"/>
    <hyperlink r:id="rId317" ref="A498"/>
    <hyperlink r:id="rId318" ref="A499"/>
    <hyperlink r:id="rId319" ref="A500"/>
    <hyperlink r:id="rId320" ref="A501"/>
    <hyperlink r:id="rId321" ref="A502"/>
    <hyperlink r:id="rId322" ref="A503"/>
    <hyperlink r:id="rId323" ref="A504"/>
    <hyperlink r:id="rId324" ref="A505"/>
    <hyperlink r:id="rId325" ref="A506"/>
    <hyperlink r:id="rId326" ref="A507"/>
    <hyperlink r:id="rId327" ref="A508"/>
    <hyperlink r:id="rId328" ref="A509"/>
    <hyperlink r:id="rId329" ref="A510"/>
    <hyperlink r:id="rId330" ref="A511"/>
    <hyperlink r:id="rId331" ref="A512"/>
    <hyperlink r:id="rId332" ref="A513"/>
    <hyperlink r:id="rId333" ref="A514"/>
    <hyperlink r:id="rId334" ref="A515"/>
    <hyperlink r:id="rId335" ref="A516"/>
    <hyperlink r:id="rId336" ref="A517"/>
    <hyperlink r:id="rId337" ref="A518"/>
    <hyperlink r:id="rId338" ref="A519"/>
    <hyperlink r:id="rId339" ref="A520"/>
    <hyperlink r:id="rId340" ref="A521"/>
    <hyperlink r:id="rId341" ref="A522"/>
    <hyperlink r:id="rId342" ref="A523"/>
    <hyperlink r:id="rId343" ref="A524"/>
    <hyperlink r:id="rId344" ref="A525"/>
    <hyperlink r:id="rId345" ref="A526"/>
    <hyperlink r:id="rId346" ref="A527"/>
    <hyperlink r:id="rId347" ref="A528"/>
    <hyperlink r:id="rId348" ref="A529"/>
    <hyperlink r:id="rId349" ref="A530"/>
    <hyperlink r:id="rId350" ref="A531"/>
    <hyperlink r:id="rId351" ref="A532"/>
    <hyperlink r:id="rId352" ref="A533"/>
    <hyperlink r:id="rId353" ref="A534"/>
    <hyperlink r:id="rId354" ref="A535"/>
    <hyperlink r:id="rId355" ref="A536"/>
    <hyperlink r:id="rId356" ref="A537"/>
    <hyperlink r:id="rId357" ref="A538"/>
    <hyperlink r:id="rId358" ref="A539"/>
    <hyperlink r:id="rId359" ref="A540"/>
    <hyperlink r:id="rId360" ref="A541"/>
    <hyperlink r:id="rId361" ref="A542"/>
    <hyperlink r:id="rId362" ref="A543"/>
    <hyperlink r:id="rId363" ref="A544"/>
    <hyperlink r:id="rId364" ref="A545"/>
    <hyperlink r:id="rId365" ref="A546"/>
    <hyperlink r:id="rId366" ref="A547"/>
    <hyperlink r:id="rId367" ref="A548"/>
    <hyperlink r:id="rId368" ref="A549"/>
    <hyperlink r:id="rId369" ref="A550"/>
    <hyperlink r:id="rId370" ref="A551"/>
    <hyperlink r:id="rId371" ref="A552"/>
    <hyperlink r:id="rId372" ref="A553"/>
    <hyperlink r:id="rId373" ref="A554"/>
    <hyperlink r:id="rId374" ref="A555"/>
    <hyperlink r:id="rId375" ref="A556"/>
    <hyperlink r:id="rId376" ref="A557"/>
    <hyperlink r:id="rId377" ref="A558"/>
    <hyperlink r:id="rId378" ref="A559"/>
    <hyperlink r:id="rId379" ref="A560"/>
    <hyperlink r:id="rId380" ref="A561"/>
    <hyperlink r:id="rId381" ref="A562"/>
    <hyperlink r:id="rId382" ref="A563"/>
    <hyperlink r:id="rId383" ref="A564"/>
    <hyperlink r:id="rId384" ref="A565"/>
    <hyperlink r:id="rId385" ref="A566"/>
    <hyperlink r:id="rId386" ref="A567"/>
    <hyperlink r:id="rId387" ref="A568"/>
    <hyperlink r:id="rId388" ref="A569"/>
    <hyperlink r:id="rId389" ref="A570"/>
    <hyperlink r:id="rId390" ref="A571"/>
    <hyperlink r:id="rId391" ref="A572"/>
    <hyperlink r:id="rId392" ref="A573"/>
    <hyperlink r:id="rId393" ref="A574"/>
    <hyperlink r:id="rId394" ref="A575"/>
    <hyperlink r:id="rId395" ref="A576"/>
    <hyperlink r:id="rId396" ref="A577"/>
    <hyperlink r:id="rId397" ref="A578"/>
    <hyperlink r:id="rId398" ref="A579"/>
    <hyperlink r:id="rId399" ref="A580"/>
    <hyperlink r:id="rId400" ref="A581"/>
    <hyperlink r:id="rId401" ref="A582"/>
    <hyperlink r:id="rId402" ref="A583"/>
    <hyperlink r:id="rId403" ref="A584"/>
    <hyperlink r:id="rId404" ref="A585"/>
    <hyperlink r:id="rId405" ref="A586"/>
    <hyperlink r:id="rId406" ref="A587"/>
    <hyperlink r:id="rId407" ref="A588"/>
    <hyperlink r:id="rId408" ref="A589"/>
    <hyperlink r:id="rId409" ref="A590"/>
    <hyperlink r:id="rId410" ref="A591"/>
    <hyperlink r:id="rId411" ref="A592"/>
    <hyperlink r:id="rId412" ref="A593"/>
    <hyperlink r:id="rId413" ref="A594"/>
    <hyperlink r:id="rId414" ref="A595"/>
    <hyperlink r:id="rId415" ref="A596"/>
    <hyperlink r:id="rId416" ref="A597"/>
    <hyperlink r:id="rId417" ref="A598"/>
    <hyperlink r:id="rId418" ref="A599"/>
    <hyperlink r:id="rId419" ref="A600"/>
    <hyperlink r:id="rId420" ref="A601"/>
    <hyperlink r:id="rId421" ref="A602"/>
    <hyperlink r:id="rId422" ref="A603"/>
    <hyperlink r:id="rId423" ref="A604"/>
    <hyperlink r:id="rId424" ref="A605"/>
    <hyperlink r:id="rId425" ref="A606"/>
    <hyperlink r:id="rId426" ref="A607"/>
    <hyperlink r:id="rId427" ref="A608"/>
    <hyperlink r:id="rId428" ref="A609"/>
    <hyperlink r:id="rId429" ref="A610"/>
    <hyperlink r:id="rId430" ref="A611"/>
    <hyperlink r:id="rId431" ref="A612"/>
    <hyperlink r:id="rId432" ref="A613"/>
    <hyperlink r:id="rId433" ref="A614"/>
    <hyperlink r:id="rId434" ref="A615"/>
    <hyperlink r:id="rId435" ref="A616"/>
    <hyperlink r:id="rId436" ref="A617"/>
    <hyperlink r:id="rId437" ref="A618"/>
    <hyperlink r:id="rId438" ref="A619"/>
    <hyperlink r:id="rId439" ref="A620"/>
    <hyperlink r:id="rId440" ref="A621"/>
    <hyperlink r:id="rId441" ref="A622"/>
    <hyperlink r:id="rId442" ref="A623"/>
    <hyperlink r:id="rId443" ref="A624"/>
    <hyperlink r:id="rId444" ref="A625"/>
    <hyperlink r:id="rId445" ref="A626"/>
    <hyperlink r:id="rId446" ref="A627"/>
    <hyperlink r:id="rId447" ref="A628"/>
    <hyperlink r:id="rId448" ref="A629"/>
    <hyperlink r:id="rId449" ref="A630"/>
    <hyperlink r:id="rId450" ref="A631"/>
    <hyperlink r:id="rId451" ref="A632"/>
    <hyperlink r:id="rId452" ref="A633"/>
    <hyperlink r:id="rId453" ref="A634"/>
    <hyperlink r:id="rId454" ref="A635"/>
    <hyperlink r:id="rId455" ref="A636"/>
    <hyperlink r:id="rId456" ref="A637"/>
    <hyperlink r:id="rId457" ref="A638"/>
    <hyperlink r:id="rId458" ref="A639"/>
    <hyperlink r:id="rId459" ref="A640"/>
    <hyperlink r:id="rId460" ref="A641"/>
    <hyperlink r:id="rId461" ref="A642"/>
    <hyperlink r:id="rId462" ref="A643"/>
    <hyperlink r:id="rId463" ref="A644"/>
    <hyperlink r:id="rId464" ref="A645"/>
    <hyperlink r:id="rId465" ref="A646"/>
    <hyperlink r:id="rId466" ref="A647"/>
    <hyperlink r:id="rId467" ref="A648"/>
    <hyperlink r:id="rId468" ref="A649"/>
    <hyperlink r:id="rId469" ref="A650"/>
    <hyperlink r:id="rId470" ref="A651"/>
    <hyperlink r:id="rId471" ref="A652"/>
    <hyperlink r:id="rId472" ref="A653"/>
    <hyperlink r:id="rId473" ref="A654"/>
    <hyperlink r:id="rId474" ref="A655"/>
    <hyperlink r:id="rId475" ref="A656"/>
    <hyperlink r:id="rId476" ref="A657"/>
    <hyperlink r:id="rId477" ref="A658"/>
    <hyperlink r:id="rId478" ref="A659"/>
    <hyperlink r:id="rId479" ref="A660"/>
    <hyperlink r:id="rId480" ref="A661"/>
    <hyperlink r:id="rId481" ref="A662"/>
    <hyperlink r:id="rId482" ref="A663"/>
    <hyperlink r:id="rId483" ref="A664"/>
    <hyperlink r:id="rId484" ref="A665"/>
    <hyperlink r:id="rId485" ref="A666"/>
    <hyperlink r:id="rId486" ref="A667"/>
    <hyperlink r:id="rId487" ref="A668"/>
    <hyperlink r:id="rId488" ref="A669"/>
    <hyperlink r:id="rId489" ref="A670"/>
    <hyperlink r:id="rId490" ref="A671"/>
    <hyperlink r:id="rId491" ref="A672"/>
    <hyperlink r:id="rId492" ref="A673"/>
    <hyperlink r:id="rId493" ref="A674"/>
    <hyperlink r:id="rId494" ref="A675"/>
    <hyperlink r:id="rId495" ref="A676"/>
    <hyperlink r:id="rId496" ref="A677"/>
    <hyperlink r:id="rId497" ref="A678"/>
    <hyperlink r:id="rId498" ref="A679"/>
    <hyperlink r:id="rId499" ref="A680"/>
    <hyperlink r:id="rId500" ref="A681"/>
    <hyperlink r:id="rId501" ref="A682"/>
    <hyperlink r:id="rId502" ref="A683"/>
    <hyperlink r:id="rId503" ref="A684"/>
    <hyperlink r:id="rId504" ref="A685"/>
    <hyperlink r:id="rId505" ref="A686"/>
    <hyperlink r:id="rId506" ref="A687"/>
    <hyperlink r:id="rId507" ref="A688"/>
    <hyperlink r:id="rId508" ref="A689"/>
    <hyperlink r:id="rId509" ref="A690"/>
    <hyperlink r:id="rId510" ref="A691"/>
    <hyperlink r:id="rId511" ref="A692"/>
    <hyperlink r:id="rId512" ref="A693"/>
    <hyperlink r:id="rId513" ref="A694"/>
    <hyperlink r:id="rId514" ref="A695"/>
    <hyperlink r:id="rId515" ref="A696"/>
    <hyperlink r:id="rId516" ref="A697"/>
    <hyperlink r:id="rId517" ref="A698"/>
    <hyperlink r:id="rId518" ref="A699"/>
    <hyperlink r:id="rId519" ref="A700"/>
    <hyperlink r:id="rId520" ref="A701"/>
    <hyperlink r:id="rId521" ref="A702"/>
    <hyperlink r:id="rId522" ref="A703"/>
    <hyperlink r:id="rId523" ref="A704"/>
    <hyperlink r:id="rId524" ref="A705"/>
    <hyperlink r:id="rId525" ref="A706"/>
    <hyperlink r:id="rId526" ref="A707"/>
    <hyperlink r:id="rId527" ref="A708"/>
    <hyperlink r:id="rId528" ref="A709"/>
    <hyperlink r:id="rId529" ref="A710"/>
    <hyperlink r:id="rId530" ref="A711"/>
    <hyperlink r:id="rId531" ref="A712"/>
    <hyperlink r:id="rId532" ref="A713"/>
    <hyperlink r:id="rId533" ref="A714"/>
    <hyperlink r:id="rId534" ref="A715"/>
    <hyperlink r:id="rId535" ref="A716"/>
    <hyperlink r:id="rId536" ref="A717"/>
    <hyperlink r:id="rId537" ref="A718"/>
    <hyperlink r:id="rId538" ref="A719"/>
    <hyperlink r:id="rId539" ref="A720"/>
    <hyperlink r:id="rId540" ref="A721"/>
    <hyperlink r:id="rId541" ref="A722"/>
    <hyperlink r:id="rId542" ref="A723"/>
    <hyperlink r:id="rId543" ref="A724"/>
    <hyperlink r:id="rId544" ref="A725"/>
    <hyperlink r:id="rId545" ref="A726"/>
    <hyperlink r:id="rId546" ref="A727"/>
    <hyperlink r:id="rId547" ref="A728"/>
    <hyperlink r:id="rId548" ref="A729"/>
    <hyperlink r:id="rId549" ref="A730"/>
    <hyperlink r:id="rId550" ref="A731"/>
    <hyperlink r:id="rId551" ref="A732"/>
    <hyperlink r:id="rId552" ref="A733"/>
    <hyperlink r:id="rId553" ref="A734"/>
    <hyperlink r:id="rId554" ref="A735"/>
    <hyperlink r:id="rId555" ref="A736"/>
    <hyperlink r:id="rId556" ref="A737"/>
    <hyperlink r:id="rId557" ref="A738"/>
    <hyperlink r:id="rId558" ref="A739"/>
    <hyperlink r:id="rId559" ref="A740"/>
    <hyperlink r:id="rId560" ref="A741"/>
    <hyperlink r:id="rId561" ref="A742"/>
    <hyperlink r:id="rId562" ref="A743"/>
    <hyperlink r:id="rId563" ref="A744"/>
    <hyperlink r:id="rId564" ref="A745"/>
    <hyperlink r:id="rId565" ref="A746"/>
    <hyperlink r:id="rId566" ref="A747"/>
    <hyperlink r:id="rId567" ref="A748"/>
    <hyperlink r:id="rId568" ref="A749"/>
    <hyperlink r:id="rId569" ref="A750"/>
    <hyperlink r:id="rId570" ref="A751"/>
    <hyperlink r:id="rId571" ref="A752"/>
    <hyperlink r:id="rId572" ref="A753"/>
    <hyperlink r:id="rId573" ref="A754"/>
    <hyperlink r:id="rId574" ref="A755"/>
    <hyperlink r:id="rId575" ref="A756"/>
    <hyperlink r:id="rId576" ref="A757"/>
    <hyperlink r:id="rId577" ref="A758"/>
    <hyperlink r:id="rId578" ref="A759"/>
    <hyperlink r:id="rId579" ref="A760"/>
    <hyperlink r:id="rId580" ref="A761"/>
    <hyperlink r:id="rId581" ref="A762"/>
    <hyperlink r:id="rId582" ref="A763"/>
    <hyperlink r:id="rId583" ref="A764"/>
    <hyperlink r:id="rId584" ref="A765"/>
    <hyperlink r:id="rId585" ref="A766"/>
    <hyperlink r:id="rId586" ref="A767"/>
    <hyperlink r:id="rId587" ref="A768"/>
    <hyperlink r:id="rId588" ref="A769"/>
    <hyperlink r:id="rId589" ref="A770"/>
    <hyperlink r:id="rId590" ref="A771"/>
    <hyperlink r:id="rId591" ref="A772"/>
    <hyperlink r:id="rId592" ref="A773"/>
    <hyperlink r:id="rId593" ref="A774"/>
    <hyperlink r:id="rId594" ref="A775"/>
    <hyperlink r:id="rId595" ref="A776"/>
    <hyperlink r:id="rId596" ref="A777"/>
    <hyperlink r:id="rId597" ref="A778"/>
    <hyperlink r:id="rId598" ref="A779"/>
    <hyperlink r:id="rId599" ref="A780"/>
    <hyperlink r:id="rId600" ref="A781"/>
    <hyperlink r:id="rId601" ref="A782"/>
    <hyperlink r:id="rId602" ref="A783"/>
    <hyperlink r:id="rId603" ref="A784"/>
    <hyperlink r:id="rId604" ref="A785"/>
    <hyperlink r:id="rId605" ref="A786"/>
    <hyperlink r:id="rId606" ref="A787"/>
    <hyperlink r:id="rId607" ref="A788"/>
    <hyperlink r:id="rId608" ref="A789"/>
    <hyperlink r:id="rId609" ref="A790"/>
    <hyperlink r:id="rId610" ref="A791"/>
    <hyperlink r:id="rId611" ref="A792"/>
    <hyperlink r:id="rId612" ref="A793"/>
    <hyperlink r:id="rId613" ref="A794"/>
    <hyperlink r:id="rId614" ref="A795"/>
    <hyperlink r:id="rId615" ref="A796"/>
    <hyperlink r:id="rId616" ref="A797"/>
    <hyperlink r:id="rId617" ref="A798"/>
    <hyperlink r:id="rId618" ref="A799"/>
    <hyperlink r:id="rId619" ref="A800"/>
    <hyperlink r:id="rId620" ref="A801"/>
    <hyperlink r:id="rId621" ref="A802"/>
    <hyperlink r:id="rId622" ref="A803"/>
    <hyperlink r:id="rId623" ref="A804"/>
    <hyperlink r:id="rId624" ref="A805"/>
    <hyperlink r:id="rId625" ref="A806"/>
    <hyperlink r:id="rId626" ref="A807"/>
    <hyperlink r:id="rId627" ref="A808"/>
    <hyperlink r:id="rId628" ref="A809"/>
    <hyperlink r:id="rId629" ref="A810"/>
    <hyperlink r:id="rId630" ref="A811"/>
    <hyperlink r:id="rId631" ref="A812"/>
    <hyperlink r:id="rId632" ref="A813"/>
    <hyperlink r:id="rId633" ref="A814"/>
    <hyperlink r:id="rId634" ref="A815"/>
    <hyperlink r:id="rId635" ref="A816"/>
    <hyperlink r:id="rId636" ref="A817"/>
    <hyperlink r:id="rId637" ref="A818"/>
    <hyperlink r:id="rId638" ref="A819"/>
    <hyperlink r:id="rId639" ref="A820"/>
    <hyperlink r:id="rId640" ref="A821"/>
    <hyperlink r:id="rId641" ref="A822"/>
    <hyperlink r:id="rId642" ref="A823"/>
    <hyperlink r:id="rId643" ref="A824"/>
    <hyperlink r:id="rId644" ref="A825"/>
    <hyperlink r:id="rId645" ref="A826"/>
    <hyperlink r:id="rId646" ref="A827"/>
    <hyperlink r:id="rId647" ref="A828"/>
    <hyperlink r:id="rId648" ref="A829"/>
    <hyperlink r:id="rId649" ref="A830"/>
    <hyperlink r:id="rId650" ref="A831"/>
    <hyperlink r:id="rId651" ref="A832"/>
    <hyperlink r:id="rId652" ref="A833"/>
    <hyperlink r:id="rId653" ref="A834"/>
    <hyperlink r:id="rId654" ref="A835"/>
    <hyperlink r:id="rId655" ref="A836"/>
    <hyperlink r:id="rId656" ref="A837"/>
    <hyperlink r:id="rId657" ref="A838"/>
    <hyperlink r:id="rId658" ref="A839"/>
    <hyperlink r:id="rId659" ref="A840"/>
    <hyperlink r:id="rId660" ref="A841"/>
    <hyperlink r:id="rId661" ref="A842"/>
    <hyperlink r:id="rId662" ref="A843"/>
    <hyperlink r:id="rId663" ref="A844"/>
    <hyperlink r:id="rId664" ref="A845"/>
    <hyperlink r:id="rId665" ref="A846"/>
    <hyperlink r:id="rId666" ref="A847"/>
    <hyperlink r:id="rId667" ref="A848"/>
    <hyperlink r:id="rId668" ref="A849"/>
    <hyperlink r:id="rId669" ref="A850"/>
    <hyperlink r:id="rId670" ref="A851"/>
    <hyperlink r:id="rId671" ref="A852"/>
    <hyperlink r:id="rId672" ref="A853"/>
    <hyperlink r:id="rId673" ref="A854"/>
    <hyperlink r:id="rId674" ref="A855"/>
    <hyperlink r:id="rId675" ref="A856"/>
    <hyperlink r:id="rId676" ref="A857"/>
    <hyperlink r:id="rId677" ref="A858"/>
    <hyperlink r:id="rId678" ref="A859"/>
    <hyperlink r:id="rId679" ref="A860"/>
    <hyperlink r:id="rId680" ref="A861"/>
    <hyperlink r:id="rId681" ref="A862"/>
    <hyperlink r:id="rId682" ref="A863"/>
    <hyperlink r:id="rId683" ref="A864"/>
    <hyperlink r:id="rId684" ref="A865"/>
    <hyperlink r:id="rId685" ref="A866"/>
    <hyperlink r:id="rId686" ref="A867"/>
    <hyperlink r:id="rId687" ref="A868"/>
    <hyperlink r:id="rId688" ref="A869"/>
    <hyperlink r:id="rId689" ref="A870"/>
    <hyperlink r:id="rId690" ref="A871"/>
    <hyperlink r:id="rId691" ref="A872"/>
    <hyperlink r:id="rId692" ref="A873"/>
    <hyperlink r:id="rId693" ref="A874"/>
    <hyperlink r:id="rId694" ref="A875"/>
    <hyperlink r:id="rId695" ref="A876"/>
    <hyperlink r:id="rId696" ref="A877"/>
    <hyperlink r:id="rId697" ref="A878"/>
    <hyperlink r:id="rId698" ref="A879"/>
    <hyperlink r:id="rId699" ref="A880"/>
    <hyperlink r:id="rId700" ref="A881"/>
    <hyperlink r:id="rId701" ref="A882"/>
    <hyperlink r:id="rId702" ref="A883"/>
    <hyperlink r:id="rId703" ref="A884"/>
    <hyperlink r:id="rId704" ref="A885"/>
    <hyperlink r:id="rId705" ref="A886"/>
    <hyperlink r:id="rId706" ref="A887"/>
    <hyperlink r:id="rId707" ref="A888"/>
    <hyperlink r:id="rId708" ref="A889"/>
    <hyperlink r:id="rId709" ref="A890"/>
    <hyperlink r:id="rId710" ref="A891"/>
    <hyperlink r:id="rId711" ref="A892"/>
    <hyperlink r:id="rId712" ref="A893"/>
    <hyperlink r:id="rId713" ref="A894"/>
    <hyperlink r:id="rId714" ref="A895"/>
    <hyperlink r:id="rId715" ref="A896"/>
    <hyperlink r:id="rId716" ref="A897"/>
    <hyperlink r:id="rId717" ref="A898"/>
    <hyperlink r:id="rId718" ref="A899"/>
    <hyperlink r:id="rId719" ref="A900"/>
    <hyperlink r:id="rId720" ref="A901"/>
    <hyperlink r:id="rId721" ref="A902"/>
    <hyperlink r:id="rId722" ref="A903"/>
    <hyperlink r:id="rId723" ref="A904"/>
    <hyperlink r:id="rId724" ref="A905"/>
    <hyperlink r:id="rId725" ref="A906"/>
    <hyperlink r:id="rId726" ref="A907"/>
    <hyperlink r:id="rId727" ref="A908"/>
    <hyperlink r:id="rId728" ref="A909"/>
    <hyperlink r:id="rId729" ref="A910"/>
    <hyperlink r:id="rId730" ref="A911"/>
    <hyperlink r:id="rId731" ref="A912"/>
    <hyperlink r:id="rId732" ref="A913"/>
    <hyperlink r:id="rId733" ref="A914"/>
    <hyperlink r:id="rId734" ref="A915"/>
    <hyperlink r:id="rId735" ref="A916"/>
    <hyperlink r:id="rId736" ref="A917"/>
    <hyperlink r:id="rId737" ref="A918"/>
    <hyperlink r:id="rId738" ref="A919"/>
    <hyperlink r:id="rId739" ref="A920"/>
    <hyperlink r:id="rId740" ref="A921"/>
    <hyperlink r:id="rId741" ref="A922"/>
    <hyperlink r:id="rId742" ref="A923"/>
    <hyperlink r:id="rId743" ref="A924"/>
    <hyperlink r:id="rId744" ref="A925"/>
    <hyperlink r:id="rId745" ref="A926"/>
    <hyperlink r:id="rId746" ref="A927"/>
    <hyperlink r:id="rId747" ref="A928"/>
    <hyperlink r:id="rId748" ref="A929"/>
    <hyperlink r:id="rId749" ref="A930"/>
    <hyperlink r:id="rId750" ref="A931"/>
    <hyperlink r:id="rId751" ref="A932"/>
    <hyperlink r:id="rId752" ref="A933"/>
    <hyperlink r:id="rId753" ref="A934"/>
    <hyperlink r:id="rId754" ref="A935"/>
    <hyperlink r:id="rId755" ref="A936"/>
    <hyperlink r:id="rId756" ref="A937"/>
    <hyperlink r:id="rId757" ref="A938"/>
    <hyperlink r:id="rId758" ref="A939"/>
    <hyperlink r:id="rId759" ref="A940"/>
    <hyperlink r:id="rId760" ref="A941"/>
    <hyperlink r:id="rId761" ref="A942"/>
    <hyperlink r:id="rId762" ref="A943"/>
    <hyperlink r:id="rId763" ref="A944"/>
    <hyperlink r:id="rId764" ref="A945"/>
    <hyperlink r:id="rId765" ref="A946"/>
    <hyperlink r:id="rId766" ref="A947"/>
    <hyperlink r:id="rId767" ref="A948"/>
    <hyperlink r:id="rId768" ref="A949"/>
    <hyperlink r:id="rId769" ref="A950"/>
    <hyperlink r:id="rId770" ref="A951"/>
    <hyperlink r:id="rId771" ref="A952"/>
    <hyperlink r:id="rId772" ref="A953"/>
    <hyperlink r:id="rId773" ref="A954"/>
    <hyperlink r:id="rId774" ref="A955"/>
    <hyperlink r:id="rId775" ref="A956"/>
    <hyperlink r:id="rId776" ref="A957"/>
    <hyperlink r:id="rId777" ref="A958"/>
    <hyperlink r:id="rId778" ref="A959"/>
    <hyperlink r:id="rId779" ref="A960"/>
    <hyperlink r:id="rId780" ref="A961"/>
    <hyperlink r:id="rId781" ref="A962"/>
    <hyperlink r:id="rId782" ref="A963"/>
    <hyperlink r:id="rId783" ref="A964"/>
    <hyperlink r:id="rId784" ref="A965"/>
    <hyperlink r:id="rId785" ref="A966"/>
    <hyperlink r:id="rId786" ref="A967"/>
    <hyperlink r:id="rId787" ref="A968"/>
    <hyperlink r:id="rId788" ref="A969"/>
    <hyperlink r:id="rId789" ref="A970"/>
    <hyperlink r:id="rId790" ref="A971"/>
    <hyperlink r:id="rId791" ref="A972"/>
    <hyperlink r:id="rId792" ref="A973"/>
    <hyperlink r:id="rId793" ref="A974"/>
    <hyperlink r:id="rId794" ref="A975"/>
    <hyperlink r:id="rId795" ref="A976"/>
    <hyperlink r:id="rId796" ref="A977"/>
    <hyperlink r:id="rId797" ref="A978"/>
    <hyperlink r:id="rId798" ref="A979"/>
    <hyperlink r:id="rId799" ref="A980"/>
    <hyperlink r:id="rId800" ref="A981"/>
    <hyperlink r:id="rId801" ref="A982"/>
    <hyperlink r:id="rId802" ref="A983"/>
    <hyperlink r:id="rId803" ref="A984"/>
    <hyperlink r:id="rId804" ref="A985"/>
    <hyperlink r:id="rId805" ref="A986"/>
    <hyperlink r:id="rId806" ref="A987"/>
    <hyperlink r:id="rId807" ref="A988"/>
    <hyperlink r:id="rId808" ref="A989"/>
    <hyperlink r:id="rId809" ref="A990"/>
    <hyperlink r:id="rId810" ref="A991"/>
    <hyperlink r:id="rId811" ref="A992"/>
    <hyperlink r:id="rId812" ref="A993"/>
    <hyperlink r:id="rId813" ref="A994"/>
    <hyperlink r:id="rId814" ref="A995"/>
    <hyperlink r:id="rId815" ref="A996"/>
    <hyperlink r:id="rId816" ref="A997"/>
    <hyperlink r:id="rId817" ref="A998"/>
    <hyperlink r:id="rId818" ref="A999"/>
    <hyperlink r:id="rId819" ref="A1000"/>
    <hyperlink r:id="rId820" ref="A1001"/>
    <hyperlink r:id="rId821" ref="A1002"/>
    <hyperlink r:id="rId822" ref="A1003"/>
    <hyperlink r:id="rId823" ref="A1004"/>
    <hyperlink r:id="rId824" ref="A1005"/>
    <hyperlink r:id="rId825" ref="A1006"/>
    <hyperlink r:id="rId826" ref="A1007"/>
    <hyperlink r:id="rId827" ref="A1008"/>
    <hyperlink r:id="rId828" ref="A1009"/>
    <hyperlink r:id="rId829" ref="A1010"/>
    <hyperlink r:id="rId830" ref="A1011"/>
    <hyperlink r:id="rId831" ref="A1012"/>
    <hyperlink r:id="rId832" ref="A1013"/>
    <hyperlink r:id="rId833" ref="A1014"/>
    <hyperlink r:id="rId834" ref="A1015"/>
    <hyperlink r:id="rId835" ref="A1016"/>
    <hyperlink r:id="rId836" ref="A1017"/>
    <hyperlink r:id="rId837" ref="A1018"/>
    <hyperlink r:id="rId838" ref="A1019"/>
    <hyperlink r:id="rId839" ref="A1020"/>
    <hyperlink r:id="rId840" ref="A1021"/>
    <hyperlink r:id="rId841" ref="A1022"/>
    <hyperlink r:id="rId842" ref="A1023"/>
    <hyperlink r:id="rId843" ref="A1024"/>
    <hyperlink r:id="rId844" ref="A1025"/>
    <hyperlink r:id="rId845" ref="A1026"/>
    <hyperlink r:id="rId846" ref="A1027"/>
    <hyperlink r:id="rId847" ref="A1028"/>
    <hyperlink r:id="rId848" ref="A1029"/>
    <hyperlink r:id="rId849" ref="A1030"/>
    <hyperlink r:id="rId850" ref="A1031"/>
    <hyperlink r:id="rId851" ref="A1032"/>
    <hyperlink r:id="rId852" ref="A1033"/>
    <hyperlink r:id="rId853" ref="A1034"/>
    <hyperlink r:id="rId854" ref="A1035"/>
    <hyperlink r:id="rId855" ref="A1036"/>
    <hyperlink r:id="rId856" ref="A1037"/>
    <hyperlink r:id="rId857" ref="A1038"/>
    <hyperlink r:id="rId858" ref="A1039"/>
    <hyperlink r:id="rId859" ref="A1040"/>
    <hyperlink r:id="rId860" ref="A1041"/>
    <hyperlink r:id="rId861" ref="A1042"/>
    <hyperlink r:id="rId862" ref="A1043"/>
    <hyperlink r:id="rId863" ref="A1044"/>
    <hyperlink r:id="rId864" ref="A1045"/>
    <hyperlink r:id="rId865" ref="A1046"/>
    <hyperlink r:id="rId866" ref="A1047"/>
    <hyperlink r:id="rId867" ref="A1048"/>
    <hyperlink r:id="rId868" ref="A1049"/>
    <hyperlink r:id="rId869" ref="A1050"/>
    <hyperlink r:id="rId870" ref="A1051"/>
    <hyperlink r:id="rId871" ref="A1052"/>
    <hyperlink r:id="rId872" ref="A1053"/>
    <hyperlink r:id="rId873" ref="A1054"/>
    <hyperlink r:id="rId874" ref="A1055"/>
    <hyperlink r:id="rId875" ref="A1056"/>
    <hyperlink r:id="rId876" ref="A1057"/>
    <hyperlink r:id="rId877" ref="A1058"/>
    <hyperlink r:id="rId878" ref="A1059"/>
    <hyperlink r:id="rId879" ref="A1060"/>
    <hyperlink r:id="rId880" ref="A1061"/>
    <hyperlink r:id="rId881" ref="A1062"/>
    <hyperlink r:id="rId882" ref="A1063"/>
    <hyperlink r:id="rId883" ref="A1064"/>
    <hyperlink r:id="rId884" ref="A1065"/>
    <hyperlink r:id="rId885" ref="A1066"/>
    <hyperlink r:id="rId886" ref="A1067"/>
    <hyperlink r:id="rId887" ref="A1068"/>
    <hyperlink r:id="rId888" ref="A1069"/>
    <hyperlink r:id="rId889" ref="A1070"/>
    <hyperlink r:id="rId890" ref="A1071"/>
    <hyperlink r:id="rId891" ref="A1072"/>
    <hyperlink r:id="rId892" ref="A1073"/>
    <hyperlink r:id="rId893" ref="A1074"/>
    <hyperlink r:id="rId894" ref="A1075"/>
    <hyperlink r:id="rId895" ref="A1076"/>
    <hyperlink r:id="rId896" ref="A1077"/>
    <hyperlink r:id="rId897" ref="A1078"/>
    <hyperlink r:id="rId898" ref="A1079"/>
    <hyperlink r:id="rId899" ref="A1080"/>
    <hyperlink r:id="rId900" ref="A1081"/>
    <hyperlink r:id="rId901" ref="A1082"/>
    <hyperlink r:id="rId902" ref="A1083"/>
    <hyperlink r:id="rId903" ref="A1084"/>
    <hyperlink r:id="rId904" ref="A1085"/>
    <hyperlink r:id="rId905" ref="A1086"/>
    <hyperlink r:id="rId906" ref="A1087"/>
    <hyperlink r:id="rId907" ref="A1088"/>
    <hyperlink r:id="rId908" ref="A1089"/>
    <hyperlink r:id="rId909" ref="A1090"/>
    <hyperlink r:id="rId910" ref="A1091"/>
    <hyperlink r:id="rId911" ref="A1092"/>
    <hyperlink r:id="rId912" ref="A1093"/>
    <hyperlink r:id="rId913" ref="A1094"/>
    <hyperlink r:id="rId914" ref="A1095"/>
    <hyperlink r:id="rId915" ref="A1096"/>
    <hyperlink r:id="rId916" ref="A1097"/>
    <hyperlink r:id="rId917" ref="A1098"/>
    <hyperlink r:id="rId918" ref="A1099"/>
    <hyperlink r:id="rId919" ref="A1100"/>
    <hyperlink r:id="rId920" ref="A1101"/>
    <hyperlink r:id="rId921" ref="A1102"/>
    <hyperlink r:id="rId922" ref="A1103"/>
    <hyperlink r:id="rId923" ref="A1104"/>
    <hyperlink r:id="rId924" ref="A1105"/>
    <hyperlink r:id="rId925" ref="A1106"/>
    <hyperlink r:id="rId926" ref="A1107"/>
    <hyperlink r:id="rId927" ref="A1108"/>
    <hyperlink r:id="rId928" ref="A1109"/>
    <hyperlink r:id="rId929" ref="A1110"/>
    <hyperlink r:id="rId930" ref="A1111"/>
    <hyperlink r:id="rId931" ref="A1112"/>
    <hyperlink r:id="rId932" ref="A1113"/>
    <hyperlink r:id="rId933" ref="A1114"/>
    <hyperlink r:id="rId934" ref="A1115"/>
    <hyperlink r:id="rId935" ref="A1116"/>
    <hyperlink r:id="rId936" ref="A1117"/>
    <hyperlink r:id="rId937" ref="A1118"/>
    <hyperlink r:id="rId938" ref="A1119"/>
    <hyperlink r:id="rId939" ref="A1120"/>
    <hyperlink r:id="rId940" ref="A1121"/>
    <hyperlink r:id="rId941" ref="A1122"/>
    <hyperlink r:id="rId942" ref="A1123"/>
    <hyperlink r:id="rId943" ref="A1124"/>
    <hyperlink r:id="rId944" ref="A1125"/>
    <hyperlink r:id="rId945" ref="A1126"/>
    <hyperlink r:id="rId946" ref="A1127"/>
    <hyperlink r:id="rId947" ref="A1128"/>
    <hyperlink r:id="rId948" ref="A1129"/>
    <hyperlink r:id="rId949" ref="A1130"/>
    <hyperlink r:id="rId950" ref="A1131"/>
    <hyperlink r:id="rId951" ref="A1132"/>
    <hyperlink r:id="rId952" ref="A1133"/>
    <hyperlink r:id="rId953" ref="A1134"/>
    <hyperlink r:id="rId954" ref="A1135"/>
    <hyperlink r:id="rId955" ref="A1136"/>
    <hyperlink r:id="rId956" ref="A1137"/>
    <hyperlink r:id="rId957" ref="A1138"/>
    <hyperlink r:id="rId958" ref="A1139"/>
    <hyperlink r:id="rId959" ref="A1140"/>
    <hyperlink r:id="rId960" ref="A1141"/>
    <hyperlink r:id="rId961" ref="A1142"/>
    <hyperlink r:id="rId962" ref="A1143"/>
    <hyperlink r:id="rId963" ref="A1144"/>
    <hyperlink r:id="rId964" ref="A1145"/>
    <hyperlink r:id="rId965" ref="A1146"/>
    <hyperlink r:id="rId966" ref="A1147"/>
    <hyperlink r:id="rId967" ref="A1148"/>
    <hyperlink r:id="rId968" ref="A1149"/>
    <hyperlink r:id="rId969" ref="A1150"/>
    <hyperlink r:id="rId970" ref="A1151"/>
    <hyperlink r:id="rId971" ref="A1152"/>
    <hyperlink r:id="rId972" ref="A1153"/>
    <hyperlink r:id="rId973" ref="A1154"/>
    <hyperlink r:id="rId974" ref="A1155"/>
    <hyperlink r:id="rId975" ref="A1156"/>
    <hyperlink r:id="rId976" ref="A1157"/>
    <hyperlink r:id="rId977" ref="A1158"/>
    <hyperlink r:id="rId978" ref="A1159"/>
    <hyperlink r:id="rId979" ref="A1160"/>
    <hyperlink r:id="rId980" ref="A1161"/>
    <hyperlink r:id="rId981" ref="A1162"/>
    <hyperlink r:id="rId982" ref="A1163"/>
    <hyperlink r:id="rId983" ref="A1164"/>
    <hyperlink r:id="rId984" ref="A1165"/>
    <hyperlink r:id="rId985" ref="A1166"/>
    <hyperlink r:id="rId986" ref="A1167"/>
    <hyperlink r:id="rId987" ref="A1168"/>
    <hyperlink r:id="rId988" ref="A1169"/>
    <hyperlink r:id="rId989" ref="A1170"/>
    <hyperlink r:id="rId990" ref="A1171"/>
    <hyperlink r:id="rId991" ref="A1172"/>
    <hyperlink r:id="rId992" ref="A1173"/>
    <hyperlink r:id="rId993" ref="A1174"/>
    <hyperlink r:id="rId994" ref="A1175"/>
    <hyperlink r:id="rId995" ref="A1176"/>
    <hyperlink r:id="rId996" ref="A1177"/>
    <hyperlink r:id="rId997" ref="A1178"/>
    <hyperlink r:id="rId998" ref="A1179"/>
    <hyperlink r:id="rId999" ref="A1180"/>
    <hyperlink r:id="rId1000" ref="A1181"/>
    <hyperlink r:id="rId1001" ref="A1182"/>
    <hyperlink r:id="rId1002" ref="A1183"/>
    <hyperlink r:id="rId1003" ref="A1184"/>
    <hyperlink r:id="rId1004" ref="A1185"/>
    <hyperlink r:id="rId1005" ref="A1186"/>
    <hyperlink r:id="rId1006" ref="A1187"/>
    <hyperlink r:id="rId1007" ref="A1188"/>
    <hyperlink r:id="rId1008" ref="A1189"/>
    <hyperlink r:id="rId1009" ref="A1190"/>
    <hyperlink r:id="rId1010" ref="A1191"/>
    <hyperlink r:id="rId1011" ref="A1192"/>
    <hyperlink r:id="rId1012" ref="A1193"/>
    <hyperlink r:id="rId1013" ref="A1194"/>
    <hyperlink r:id="rId1014" ref="A1195"/>
    <hyperlink r:id="rId1015" ref="A1196"/>
    <hyperlink r:id="rId1016" ref="A1197"/>
    <hyperlink r:id="rId1017" ref="A1198"/>
    <hyperlink r:id="rId1018" ref="A1199"/>
    <hyperlink r:id="rId1019" ref="A1200"/>
    <hyperlink r:id="rId1020" ref="A1201"/>
    <hyperlink r:id="rId1021" ref="A1202"/>
    <hyperlink r:id="rId1022" ref="A1203"/>
    <hyperlink r:id="rId1023" ref="A1204"/>
    <hyperlink r:id="rId1024" ref="A1205"/>
    <hyperlink r:id="rId1025" ref="A1206"/>
    <hyperlink r:id="rId1026" ref="A1207"/>
    <hyperlink r:id="rId1027" ref="A1208"/>
    <hyperlink r:id="rId1028" ref="A1209"/>
    <hyperlink r:id="rId1029" ref="A1210"/>
    <hyperlink r:id="rId1030" ref="A1211"/>
    <hyperlink r:id="rId1031" ref="A1212"/>
    <hyperlink r:id="rId1032" ref="A1213"/>
    <hyperlink r:id="rId1033" ref="A1214"/>
    <hyperlink r:id="rId1034" ref="A1215"/>
    <hyperlink r:id="rId1035" ref="A1216"/>
    <hyperlink r:id="rId1036" ref="A1217"/>
    <hyperlink r:id="rId1037" ref="A1218"/>
    <hyperlink r:id="rId1038" ref="A1219"/>
    <hyperlink r:id="rId1039" ref="A1220"/>
    <hyperlink r:id="rId1040" ref="A1221"/>
    <hyperlink r:id="rId1041" ref="A1222"/>
    <hyperlink r:id="rId1042" ref="A1223"/>
    <hyperlink r:id="rId1043" ref="A1224"/>
    <hyperlink r:id="rId1044" ref="A1225"/>
    <hyperlink r:id="rId1045" ref="A1226"/>
    <hyperlink r:id="rId1046" ref="A1227"/>
    <hyperlink r:id="rId1047" ref="A1228"/>
    <hyperlink r:id="rId1048" ref="A1229"/>
    <hyperlink r:id="rId1049" ref="A1230"/>
    <hyperlink r:id="rId1050" ref="A1231"/>
    <hyperlink r:id="rId1051" ref="A1232"/>
    <hyperlink r:id="rId1052" ref="A1233"/>
    <hyperlink r:id="rId1053" ref="A1234"/>
    <hyperlink r:id="rId1054" ref="A1235"/>
    <hyperlink r:id="rId1055" ref="A1236"/>
    <hyperlink r:id="rId1056" ref="A1237"/>
    <hyperlink r:id="rId1057" ref="A1238"/>
    <hyperlink r:id="rId1058" ref="A1239"/>
    <hyperlink r:id="rId1059" ref="A1240"/>
    <hyperlink r:id="rId1060" ref="A1241"/>
    <hyperlink r:id="rId1061" ref="A1242"/>
    <hyperlink r:id="rId1062" ref="A1243"/>
    <hyperlink r:id="rId1063" ref="A1244"/>
    <hyperlink r:id="rId1064" ref="A1245"/>
    <hyperlink r:id="rId1065" ref="A1246"/>
    <hyperlink r:id="rId1066" ref="A1247"/>
    <hyperlink r:id="rId1067" ref="A1248"/>
    <hyperlink r:id="rId1068" ref="A1249"/>
    <hyperlink r:id="rId1069" ref="A1250"/>
    <hyperlink r:id="rId1070" ref="A1251"/>
    <hyperlink r:id="rId1071" ref="A1252"/>
    <hyperlink r:id="rId1072" ref="A1253"/>
    <hyperlink r:id="rId1073" ref="A1254"/>
    <hyperlink r:id="rId1074" ref="A1255"/>
    <hyperlink r:id="rId1075" ref="A1256"/>
    <hyperlink r:id="rId1076" ref="A1257"/>
    <hyperlink r:id="rId1077" ref="A1258"/>
    <hyperlink r:id="rId1078" ref="A1259"/>
    <hyperlink r:id="rId1079" ref="A1260"/>
    <hyperlink r:id="rId1080" ref="A1261"/>
    <hyperlink r:id="rId1081" ref="A1262"/>
    <hyperlink r:id="rId1082" ref="A1263"/>
    <hyperlink r:id="rId1083" ref="A1264"/>
    <hyperlink r:id="rId1084" ref="A1265"/>
    <hyperlink r:id="rId1085" ref="A1266"/>
    <hyperlink r:id="rId1086" ref="A1267"/>
    <hyperlink r:id="rId1087" ref="A1268"/>
    <hyperlink r:id="rId1088" ref="A1269"/>
    <hyperlink r:id="rId1089" ref="A1270"/>
    <hyperlink r:id="rId1090" ref="A1271"/>
    <hyperlink r:id="rId1091" ref="A1272"/>
    <hyperlink r:id="rId1092" ref="A1273"/>
    <hyperlink r:id="rId1093" ref="A1274"/>
    <hyperlink r:id="rId1094" ref="A1275"/>
    <hyperlink r:id="rId1095" ref="A1276"/>
    <hyperlink r:id="rId1096" ref="A1277"/>
    <hyperlink r:id="rId1097" ref="A1278"/>
    <hyperlink r:id="rId1098" ref="A1279"/>
    <hyperlink r:id="rId1099" ref="A1280"/>
    <hyperlink r:id="rId1100" ref="A1281"/>
    <hyperlink r:id="rId1101" ref="A1282"/>
    <hyperlink r:id="rId1102" ref="A1283"/>
    <hyperlink r:id="rId1103" ref="A1284"/>
    <hyperlink r:id="rId1104" ref="A1285"/>
    <hyperlink r:id="rId1105" ref="A1286"/>
    <hyperlink r:id="rId1106" ref="A1287"/>
    <hyperlink r:id="rId1107" ref="A1288"/>
    <hyperlink r:id="rId1108" ref="A1289"/>
    <hyperlink r:id="rId1109" ref="A1290"/>
    <hyperlink r:id="rId1110" ref="A1291"/>
    <hyperlink r:id="rId1111" ref="A1292"/>
    <hyperlink r:id="rId1112" ref="A1293"/>
    <hyperlink r:id="rId1113" ref="A1294"/>
    <hyperlink r:id="rId1114" ref="A1295"/>
    <hyperlink r:id="rId1115" ref="A1296"/>
    <hyperlink r:id="rId1116" ref="A1297"/>
    <hyperlink r:id="rId1117" ref="A1298"/>
    <hyperlink r:id="rId1118" ref="A1299"/>
    <hyperlink r:id="rId1119" ref="A1300"/>
    <hyperlink r:id="rId1120" ref="A1301"/>
    <hyperlink r:id="rId1121" ref="A1302"/>
    <hyperlink r:id="rId1122" ref="A1303"/>
    <hyperlink r:id="rId1123" ref="A1304"/>
    <hyperlink r:id="rId1124" ref="A1305"/>
    <hyperlink r:id="rId1125" ref="A1306"/>
    <hyperlink r:id="rId1126" ref="A1307"/>
    <hyperlink r:id="rId1127" ref="A1308"/>
    <hyperlink r:id="rId1128" ref="A1309"/>
    <hyperlink r:id="rId1129" ref="A1310"/>
    <hyperlink r:id="rId1130" ref="A1311"/>
    <hyperlink r:id="rId1131" ref="A1312"/>
    <hyperlink r:id="rId1132" ref="A1313"/>
    <hyperlink r:id="rId1133" ref="A1314"/>
    <hyperlink r:id="rId1134" ref="A1315"/>
    <hyperlink r:id="rId1135" ref="A1316"/>
    <hyperlink r:id="rId1136" ref="A1317"/>
    <hyperlink r:id="rId1137" ref="A1318"/>
    <hyperlink r:id="rId1138" ref="A1319"/>
    <hyperlink r:id="rId1139" ref="A1320"/>
    <hyperlink r:id="rId1140" ref="A1321"/>
    <hyperlink r:id="rId1141" ref="A1322"/>
    <hyperlink r:id="rId1142" ref="A1323"/>
    <hyperlink r:id="rId1143" ref="A1324"/>
    <hyperlink r:id="rId1144" ref="A1325"/>
    <hyperlink r:id="rId1145" ref="A1326"/>
    <hyperlink r:id="rId1146" ref="A1327"/>
    <hyperlink r:id="rId1147" ref="A1328"/>
    <hyperlink r:id="rId1148" ref="A1329"/>
    <hyperlink r:id="rId1149" ref="A1330"/>
    <hyperlink r:id="rId1150" ref="A1331"/>
    <hyperlink r:id="rId1151" ref="A1332"/>
    <hyperlink r:id="rId1152" ref="A1333"/>
    <hyperlink r:id="rId1153" ref="A1334"/>
    <hyperlink r:id="rId1154" ref="A1335"/>
    <hyperlink r:id="rId1155" ref="A1336"/>
    <hyperlink r:id="rId1156" ref="A1337"/>
    <hyperlink r:id="rId1157" ref="A1338"/>
    <hyperlink r:id="rId1158" ref="A1339"/>
    <hyperlink r:id="rId1159" ref="A1340"/>
    <hyperlink r:id="rId1160" ref="A1341"/>
    <hyperlink r:id="rId1161" ref="A1342"/>
    <hyperlink r:id="rId1162" ref="A1343"/>
    <hyperlink r:id="rId1163" ref="A1344"/>
    <hyperlink r:id="rId1164" ref="A1345"/>
    <hyperlink r:id="rId1165" ref="A1346"/>
    <hyperlink r:id="rId1166" ref="A1347"/>
    <hyperlink r:id="rId1167" ref="A1348"/>
    <hyperlink r:id="rId1168" ref="A1349"/>
    <hyperlink r:id="rId1169" ref="A1350"/>
    <hyperlink r:id="rId1170" ref="A1351"/>
    <hyperlink r:id="rId1171" ref="A1352"/>
    <hyperlink r:id="rId1172" ref="A1353"/>
    <hyperlink r:id="rId1173" ref="A1354"/>
    <hyperlink r:id="rId1174" ref="A1355"/>
    <hyperlink r:id="rId1175" ref="A1356"/>
    <hyperlink r:id="rId1176" ref="A1357"/>
    <hyperlink r:id="rId1177" ref="A1358"/>
    <hyperlink r:id="rId1178" ref="A1359"/>
    <hyperlink r:id="rId1179" ref="A1360"/>
    <hyperlink r:id="rId1180" ref="A1361"/>
    <hyperlink r:id="rId1181" ref="A1362"/>
    <hyperlink r:id="rId1182" ref="A1363"/>
    <hyperlink r:id="rId1183" ref="A1364"/>
    <hyperlink r:id="rId1184" ref="A1365"/>
    <hyperlink r:id="rId1185" ref="A1366"/>
    <hyperlink r:id="rId1186" ref="A1367"/>
    <hyperlink r:id="rId1187" ref="A1368"/>
    <hyperlink r:id="rId1188" ref="A1369"/>
    <hyperlink r:id="rId1189" ref="A1370"/>
    <hyperlink r:id="rId1190" ref="A1371"/>
    <hyperlink r:id="rId1191" ref="A1372"/>
    <hyperlink r:id="rId1192" ref="A1373"/>
    <hyperlink r:id="rId1193" ref="A1374"/>
    <hyperlink r:id="rId1194" ref="A1375"/>
    <hyperlink r:id="rId1195" ref="A1376"/>
    <hyperlink r:id="rId1196" ref="A1377"/>
    <hyperlink r:id="rId1197" ref="A1378"/>
    <hyperlink r:id="rId1198" ref="A1379"/>
    <hyperlink r:id="rId1199" ref="A1380"/>
    <hyperlink r:id="rId1200" ref="A1381"/>
    <hyperlink r:id="rId1201" ref="A1382"/>
    <hyperlink r:id="rId1202" ref="A1383"/>
    <hyperlink r:id="rId1203" ref="A1384"/>
    <hyperlink r:id="rId1204" ref="A1385"/>
    <hyperlink r:id="rId1205" ref="A1386"/>
    <hyperlink r:id="rId1206" ref="A1387"/>
    <hyperlink r:id="rId1207" ref="A1388"/>
    <hyperlink r:id="rId1208" ref="A1389"/>
    <hyperlink r:id="rId1209" ref="A1390"/>
    <hyperlink r:id="rId1210" ref="A1391"/>
    <hyperlink r:id="rId1211" ref="A1392"/>
    <hyperlink r:id="rId1212" ref="A1393"/>
    <hyperlink r:id="rId1213" ref="A1394"/>
    <hyperlink r:id="rId1214" ref="A1395"/>
    <hyperlink r:id="rId1215" ref="A1396"/>
    <hyperlink r:id="rId1216" ref="A1397"/>
    <hyperlink r:id="rId1217" ref="A1398"/>
    <hyperlink r:id="rId1218" ref="A1399"/>
    <hyperlink r:id="rId1219" ref="A1400"/>
    <hyperlink r:id="rId1220" ref="A1401"/>
    <hyperlink r:id="rId1221" ref="A1402"/>
    <hyperlink r:id="rId1222" ref="A1403"/>
    <hyperlink r:id="rId1223" ref="A1404"/>
    <hyperlink r:id="rId1224" ref="A1405"/>
    <hyperlink r:id="rId1225" ref="A1406"/>
    <hyperlink r:id="rId1226" ref="A1407"/>
    <hyperlink r:id="rId1227" ref="A1408"/>
    <hyperlink r:id="rId1228" ref="A1409"/>
    <hyperlink r:id="rId1229" ref="A1410"/>
    <hyperlink r:id="rId1230" ref="A1411"/>
    <hyperlink r:id="rId1231" ref="A1412"/>
    <hyperlink r:id="rId1232" ref="A1413"/>
    <hyperlink r:id="rId1233" ref="A1414"/>
    <hyperlink r:id="rId1234" ref="A1415"/>
    <hyperlink r:id="rId1235" ref="A1416"/>
    <hyperlink r:id="rId1236" ref="A1417"/>
    <hyperlink r:id="rId1237" ref="A1418"/>
    <hyperlink r:id="rId1238" ref="A1419"/>
    <hyperlink r:id="rId1239" ref="A1420"/>
    <hyperlink r:id="rId1240" ref="A1421"/>
    <hyperlink r:id="rId1241" ref="A1422"/>
    <hyperlink r:id="rId1242" ref="A1423"/>
    <hyperlink r:id="rId1243" ref="A1424"/>
    <hyperlink r:id="rId1244" ref="A1425"/>
    <hyperlink r:id="rId1245" ref="A1426"/>
    <hyperlink r:id="rId1246" ref="A1427"/>
    <hyperlink r:id="rId1247" ref="A1428"/>
    <hyperlink r:id="rId1248" ref="A1429"/>
    <hyperlink r:id="rId1249" ref="A1430"/>
    <hyperlink r:id="rId1250" ref="A1431"/>
    <hyperlink r:id="rId1251" ref="A1432"/>
    <hyperlink r:id="rId1252" ref="A1433"/>
    <hyperlink r:id="rId1253" ref="A1434"/>
    <hyperlink r:id="rId1254" ref="A1435"/>
    <hyperlink r:id="rId1255" ref="A1436"/>
    <hyperlink r:id="rId1256" ref="A1437"/>
    <hyperlink r:id="rId1257" ref="A1438"/>
    <hyperlink r:id="rId1258" ref="A1439"/>
    <hyperlink r:id="rId1259" ref="A1440"/>
    <hyperlink r:id="rId1260" ref="A1441"/>
    <hyperlink r:id="rId1261" ref="A1442"/>
    <hyperlink r:id="rId1262" ref="A1443"/>
    <hyperlink r:id="rId1263" ref="A1444"/>
    <hyperlink r:id="rId1264" ref="A1445"/>
    <hyperlink r:id="rId1265" ref="A1446"/>
    <hyperlink r:id="rId1266" ref="A1447"/>
    <hyperlink r:id="rId1267" ref="A1448"/>
    <hyperlink r:id="rId1268" ref="A1449"/>
    <hyperlink r:id="rId1269" ref="A1450"/>
    <hyperlink r:id="rId1270" ref="A1451"/>
    <hyperlink r:id="rId1271" ref="A1452"/>
    <hyperlink r:id="rId1272" ref="A1453"/>
    <hyperlink r:id="rId1273" ref="A1454"/>
    <hyperlink r:id="rId1274" ref="A1455"/>
    <hyperlink r:id="rId1275" ref="A1456"/>
    <hyperlink r:id="rId1276" ref="A1457"/>
    <hyperlink r:id="rId1277" ref="A1458"/>
    <hyperlink r:id="rId1278" ref="A1459"/>
    <hyperlink r:id="rId1279" ref="A1460"/>
    <hyperlink r:id="rId1280" ref="A1461"/>
    <hyperlink r:id="rId1281" ref="A1462"/>
    <hyperlink r:id="rId1282" ref="A1463"/>
    <hyperlink r:id="rId1283" ref="A1464"/>
    <hyperlink r:id="rId1284" ref="A1465"/>
    <hyperlink r:id="rId1285" ref="A1466"/>
    <hyperlink r:id="rId1286" ref="A1467"/>
    <hyperlink r:id="rId1287" ref="A1468"/>
    <hyperlink r:id="rId1288" ref="A1469"/>
    <hyperlink r:id="rId1289" ref="A1470"/>
    <hyperlink r:id="rId1290" ref="A1471"/>
    <hyperlink r:id="rId1291" ref="A1472"/>
    <hyperlink r:id="rId1292" ref="A1473"/>
    <hyperlink r:id="rId1293" ref="A1474"/>
    <hyperlink r:id="rId1294" ref="A1475"/>
    <hyperlink r:id="rId1295" ref="A1476"/>
    <hyperlink r:id="rId1296" ref="A1477"/>
    <hyperlink r:id="rId1297" ref="A1478"/>
    <hyperlink r:id="rId1298" ref="A1479"/>
    <hyperlink r:id="rId1299" ref="A1480"/>
    <hyperlink r:id="rId1300" ref="A1481"/>
    <hyperlink r:id="rId1301" ref="A1482"/>
    <hyperlink r:id="rId1302" ref="A1483"/>
    <hyperlink r:id="rId1303" ref="A1484"/>
    <hyperlink r:id="rId1304" ref="A1485"/>
    <hyperlink r:id="rId1305" ref="A1486"/>
    <hyperlink r:id="rId1306" ref="A1487"/>
    <hyperlink r:id="rId1307" ref="A1488"/>
    <hyperlink r:id="rId1308" ref="A1489"/>
    <hyperlink r:id="rId1309" ref="A1490"/>
    <hyperlink r:id="rId1310" ref="A1491"/>
    <hyperlink r:id="rId1311" ref="A1492"/>
    <hyperlink r:id="rId1312" ref="A1493"/>
    <hyperlink r:id="rId1313" ref="A1494"/>
    <hyperlink r:id="rId1314" ref="A1495"/>
    <hyperlink r:id="rId1315" ref="A1496"/>
    <hyperlink r:id="rId1316" ref="A1497"/>
    <hyperlink r:id="rId1317" ref="A1498"/>
    <hyperlink r:id="rId1318" ref="A1499"/>
    <hyperlink r:id="rId1319" ref="A1500"/>
    <hyperlink r:id="rId1320" ref="A1501"/>
    <hyperlink r:id="rId1321" ref="A1502"/>
    <hyperlink r:id="rId1322" ref="A1503"/>
    <hyperlink r:id="rId1323" ref="A1504"/>
    <hyperlink r:id="rId1324" ref="A1505"/>
    <hyperlink r:id="rId1325" ref="A1506"/>
    <hyperlink r:id="rId1326" ref="A1507"/>
    <hyperlink r:id="rId1327" ref="A1508"/>
    <hyperlink r:id="rId1328" ref="A1509"/>
    <hyperlink r:id="rId1329" ref="A1510"/>
    <hyperlink r:id="rId1330" ref="A1511"/>
    <hyperlink r:id="rId1331" ref="A1512"/>
    <hyperlink r:id="rId1332" ref="A1513"/>
    <hyperlink r:id="rId1333" ref="A1514"/>
    <hyperlink r:id="rId1334" ref="A1515"/>
    <hyperlink r:id="rId1335" ref="A1516"/>
    <hyperlink r:id="rId1336" ref="A1517"/>
    <hyperlink r:id="rId1337" ref="A1518"/>
    <hyperlink r:id="rId1338" ref="A1519"/>
    <hyperlink r:id="rId1339" ref="A1520"/>
    <hyperlink r:id="rId1340" ref="A1521"/>
    <hyperlink r:id="rId1341" ref="A1522"/>
    <hyperlink r:id="rId1342" ref="A1523"/>
    <hyperlink r:id="rId1343" ref="A1524"/>
    <hyperlink r:id="rId1344" ref="A1525"/>
    <hyperlink r:id="rId1345" ref="A1526"/>
    <hyperlink r:id="rId1346" ref="A1527"/>
    <hyperlink r:id="rId1347" ref="A1528"/>
    <hyperlink r:id="rId1348" ref="A1529"/>
    <hyperlink r:id="rId1349" ref="A1530"/>
    <hyperlink r:id="rId1350" ref="A1531"/>
    <hyperlink r:id="rId1351" ref="A1532"/>
    <hyperlink r:id="rId1352" ref="A1533"/>
    <hyperlink r:id="rId1353" ref="A1534"/>
    <hyperlink r:id="rId1354" ref="A1535"/>
    <hyperlink r:id="rId1355" ref="A1536"/>
    <hyperlink r:id="rId1356" ref="A1537"/>
    <hyperlink r:id="rId1357" ref="A1538"/>
    <hyperlink r:id="rId1358" ref="A1539"/>
    <hyperlink r:id="rId1359" ref="A1540"/>
    <hyperlink r:id="rId1360" ref="A1541"/>
    <hyperlink r:id="rId1361" ref="A1542"/>
    <hyperlink r:id="rId1362" ref="A1543"/>
    <hyperlink r:id="rId1363" ref="A1544"/>
    <hyperlink r:id="rId1364" ref="A1545"/>
    <hyperlink r:id="rId1365" ref="A1546"/>
    <hyperlink r:id="rId1366" ref="A1547"/>
    <hyperlink r:id="rId1367" ref="A1548"/>
    <hyperlink r:id="rId1368" ref="A1549"/>
    <hyperlink r:id="rId1369" ref="A1550"/>
    <hyperlink r:id="rId1370" ref="A1551"/>
    <hyperlink r:id="rId1371" ref="A1552"/>
    <hyperlink r:id="rId1372" ref="A1553"/>
    <hyperlink r:id="rId1373" ref="A1554"/>
    <hyperlink r:id="rId1374" ref="A1555"/>
    <hyperlink r:id="rId1375" ref="A1556"/>
    <hyperlink r:id="rId1376" ref="A1557"/>
    <hyperlink r:id="rId1377" ref="A1558"/>
    <hyperlink r:id="rId1378" ref="A1559"/>
    <hyperlink r:id="rId1379" ref="A1560"/>
    <hyperlink r:id="rId1380" ref="A1561"/>
    <hyperlink r:id="rId1381" ref="A1562"/>
    <hyperlink r:id="rId1382" ref="A1563"/>
    <hyperlink r:id="rId1383" ref="A1564"/>
    <hyperlink r:id="rId1384" ref="A1565"/>
    <hyperlink r:id="rId1385" ref="A1566"/>
    <hyperlink r:id="rId1386" ref="A1567"/>
    <hyperlink r:id="rId1387" ref="A1568"/>
    <hyperlink r:id="rId1388" ref="A1569"/>
    <hyperlink r:id="rId1389" ref="A1570"/>
    <hyperlink r:id="rId1390" ref="A1571"/>
    <hyperlink r:id="rId1391" ref="A1572"/>
    <hyperlink r:id="rId1392" ref="A1573"/>
    <hyperlink r:id="rId1393" ref="A1574"/>
    <hyperlink r:id="rId1394" ref="A1575"/>
    <hyperlink r:id="rId1395" ref="A1576"/>
    <hyperlink r:id="rId1396" ref="A1577"/>
    <hyperlink r:id="rId1397" ref="A1578"/>
    <hyperlink r:id="rId1398" ref="A1579"/>
    <hyperlink r:id="rId1399" ref="A1580"/>
    <hyperlink r:id="rId1400" ref="A1581"/>
    <hyperlink r:id="rId1401" ref="A1582"/>
    <hyperlink r:id="rId1402" ref="A1583"/>
    <hyperlink r:id="rId1403" ref="A1584"/>
    <hyperlink r:id="rId1404" ref="A1585"/>
    <hyperlink r:id="rId1405" ref="A1586"/>
    <hyperlink r:id="rId1406" ref="A1587"/>
    <hyperlink r:id="rId1407" ref="A1588"/>
    <hyperlink r:id="rId1408" ref="A1589"/>
    <hyperlink r:id="rId1409" ref="A1590"/>
    <hyperlink r:id="rId1410" ref="A1591"/>
    <hyperlink r:id="rId1411" ref="A1592"/>
    <hyperlink r:id="rId1412" ref="A1593"/>
    <hyperlink r:id="rId1413" ref="A1594"/>
    <hyperlink r:id="rId1414" ref="A1595"/>
    <hyperlink r:id="rId1415" ref="A1596"/>
    <hyperlink r:id="rId1416" ref="A1597"/>
    <hyperlink r:id="rId1417" ref="A1598"/>
    <hyperlink r:id="rId1418" ref="A1599"/>
    <hyperlink r:id="rId1419" ref="A1600"/>
    <hyperlink r:id="rId1420" ref="A1601"/>
    <hyperlink r:id="rId1421" ref="A1602"/>
    <hyperlink r:id="rId1422" ref="A1603"/>
    <hyperlink r:id="rId1423" ref="A1604"/>
    <hyperlink r:id="rId1424" ref="A1605"/>
    <hyperlink r:id="rId1425" ref="A1606"/>
    <hyperlink r:id="rId1426" ref="A1607"/>
    <hyperlink r:id="rId1427" ref="A1608"/>
    <hyperlink r:id="rId1428" ref="A1609"/>
    <hyperlink r:id="rId1429" ref="A1610"/>
    <hyperlink r:id="rId1430" ref="A1611"/>
    <hyperlink r:id="rId1431" ref="A1612"/>
    <hyperlink r:id="rId1432" ref="A1613"/>
    <hyperlink r:id="rId1433" ref="A1614"/>
    <hyperlink r:id="rId1434" ref="A1615"/>
    <hyperlink r:id="rId1435" ref="A1616"/>
    <hyperlink r:id="rId1436" ref="A1617"/>
    <hyperlink r:id="rId1437" ref="A1618"/>
    <hyperlink r:id="rId1438" ref="A1619"/>
    <hyperlink r:id="rId1439" ref="A1620"/>
    <hyperlink r:id="rId1440" ref="A1621"/>
    <hyperlink r:id="rId1441" ref="A1622"/>
    <hyperlink r:id="rId1442" ref="A1623"/>
    <hyperlink r:id="rId1443" ref="A1624"/>
    <hyperlink r:id="rId1444" ref="A1625"/>
    <hyperlink r:id="rId1445" ref="A1626"/>
    <hyperlink r:id="rId1446" ref="A1627"/>
    <hyperlink r:id="rId1447" ref="A1628"/>
    <hyperlink r:id="rId1448" ref="A1629"/>
    <hyperlink r:id="rId1449" ref="A1630"/>
    <hyperlink r:id="rId1450" ref="A1631"/>
    <hyperlink r:id="rId1451" ref="A1632"/>
    <hyperlink r:id="rId1452" ref="A1633"/>
    <hyperlink r:id="rId1453" ref="A1634"/>
    <hyperlink r:id="rId1454" ref="A1635"/>
    <hyperlink r:id="rId1455" ref="A1636"/>
    <hyperlink r:id="rId1456" ref="A1637"/>
    <hyperlink r:id="rId1457" ref="A1638"/>
    <hyperlink r:id="rId1458" ref="A1639"/>
    <hyperlink r:id="rId1459" ref="A1640"/>
    <hyperlink r:id="rId1460" ref="A1641"/>
    <hyperlink r:id="rId1461" ref="A1642"/>
    <hyperlink r:id="rId1462" ref="A1643"/>
    <hyperlink r:id="rId1463" ref="A1644"/>
    <hyperlink r:id="rId1464" ref="A1645"/>
    <hyperlink r:id="rId1465" ref="A1646"/>
    <hyperlink r:id="rId1466" ref="A1647"/>
    <hyperlink r:id="rId1467" ref="A1648"/>
    <hyperlink r:id="rId1468" ref="A1649"/>
    <hyperlink r:id="rId1469" ref="A1650"/>
    <hyperlink r:id="rId1470" ref="A1651"/>
    <hyperlink r:id="rId1471" ref="A1652"/>
    <hyperlink r:id="rId1472" ref="A1653"/>
    <hyperlink r:id="rId1473" ref="A1654"/>
    <hyperlink r:id="rId1474" ref="A1655"/>
    <hyperlink r:id="rId1475" ref="A1656"/>
    <hyperlink r:id="rId1476" ref="A1657"/>
    <hyperlink r:id="rId1477" ref="A1658"/>
    <hyperlink r:id="rId1478" ref="A1659"/>
    <hyperlink r:id="rId1479" ref="A1660"/>
    <hyperlink r:id="rId1480" ref="A1661"/>
    <hyperlink r:id="rId1481" ref="A1662"/>
    <hyperlink r:id="rId1482" ref="A1663"/>
    <hyperlink r:id="rId1483" ref="A1664"/>
    <hyperlink r:id="rId1484" ref="A1665"/>
    <hyperlink r:id="rId1485" ref="A1666"/>
    <hyperlink r:id="rId1486" ref="A1667"/>
    <hyperlink r:id="rId1487" ref="A1668"/>
    <hyperlink r:id="rId1488" ref="A1669"/>
    <hyperlink r:id="rId1489" ref="A1670"/>
    <hyperlink r:id="rId1490" ref="A1671"/>
    <hyperlink r:id="rId1491" ref="A1672"/>
    <hyperlink r:id="rId1492" ref="A1673"/>
    <hyperlink r:id="rId1493" ref="A1674"/>
    <hyperlink r:id="rId1494" ref="A1675"/>
    <hyperlink r:id="rId1495" ref="A1676"/>
    <hyperlink r:id="rId1496" ref="A1677"/>
    <hyperlink r:id="rId1497" ref="A1678"/>
    <hyperlink r:id="rId1498" ref="A1679"/>
    <hyperlink r:id="rId1499" ref="A1680"/>
    <hyperlink r:id="rId1500" ref="A1681"/>
    <hyperlink r:id="rId1501" ref="A1682"/>
    <hyperlink r:id="rId1502" ref="A1683"/>
    <hyperlink r:id="rId1503" ref="A1684"/>
    <hyperlink r:id="rId1504" ref="A1685"/>
    <hyperlink r:id="rId1505" ref="A1686"/>
    <hyperlink r:id="rId1506" ref="A1687"/>
    <hyperlink r:id="rId1507" ref="A1688"/>
    <hyperlink r:id="rId1508" ref="A1689"/>
    <hyperlink r:id="rId1509" ref="A1690"/>
    <hyperlink r:id="rId1510" ref="A1691"/>
    <hyperlink r:id="rId1511" ref="A1692"/>
    <hyperlink r:id="rId1512" ref="A1693"/>
    <hyperlink r:id="rId1513" ref="A1694"/>
    <hyperlink r:id="rId1514" ref="A1695"/>
    <hyperlink r:id="rId1515" ref="A1696"/>
    <hyperlink r:id="rId1516" ref="A1697"/>
    <hyperlink r:id="rId1517" ref="A1698"/>
    <hyperlink r:id="rId1518" ref="A1699"/>
    <hyperlink r:id="rId1519" ref="A1700"/>
    <hyperlink r:id="rId1520" ref="A1701"/>
    <hyperlink r:id="rId1521" ref="A1702"/>
    <hyperlink r:id="rId1522" ref="A1703"/>
    <hyperlink r:id="rId1523" ref="A1704"/>
    <hyperlink r:id="rId1524" ref="A1705"/>
    <hyperlink r:id="rId1525" ref="A1706"/>
    <hyperlink r:id="rId1526" ref="A1707"/>
    <hyperlink r:id="rId1527" ref="A1708"/>
    <hyperlink r:id="rId1528" ref="A1709"/>
    <hyperlink r:id="rId1529" ref="A1710"/>
    <hyperlink r:id="rId1530" ref="A1711"/>
    <hyperlink r:id="rId1531" ref="A1712"/>
    <hyperlink r:id="rId1532" ref="A1713"/>
    <hyperlink r:id="rId1533" ref="A1714"/>
    <hyperlink r:id="rId1534" ref="A1715"/>
    <hyperlink r:id="rId1535" ref="A1716"/>
    <hyperlink r:id="rId1536" ref="A1717"/>
    <hyperlink r:id="rId1537" ref="A1718"/>
    <hyperlink r:id="rId1538" ref="A1719"/>
    <hyperlink r:id="rId1539" ref="A1720"/>
    <hyperlink r:id="rId1540" ref="A1721"/>
    <hyperlink r:id="rId1541" ref="A1722"/>
    <hyperlink r:id="rId1542" ref="A1723"/>
    <hyperlink r:id="rId1543" ref="A1724"/>
    <hyperlink r:id="rId1544" ref="A1725"/>
    <hyperlink r:id="rId1545" ref="A1726"/>
    <hyperlink r:id="rId1546" ref="A1727"/>
    <hyperlink r:id="rId1547" ref="A1728"/>
    <hyperlink r:id="rId1548" ref="A1729"/>
    <hyperlink r:id="rId1549" ref="A1730"/>
    <hyperlink r:id="rId1550" ref="A1731"/>
    <hyperlink r:id="rId1551" ref="A1732"/>
    <hyperlink r:id="rId1552" ref="A1733"/>
    <hyperlink r:id="rId1553" ref="A1734"/>
    <hyperlink r:id="rId1554" ref="A1735"/>
    <hyperlink r:id="rId1555" ref="A1736"/>
    <hyperlink r:id="rId1556" ref="A1737"/>
    <hyperlink r:id="rId1557" ref="A1738"/>
    <hyperlink r:id="rId1558" ref="A1739"/>
    <hyperlink r:id="rId1559" ref="A1740"/>
    <hyperlink r:id="rId1560" ref="A1741"/>
    <hyperlink r:id="rId1561" ref="A1742"/>
    <hyperlink r:id="rId1562" ref="A1743"/>
    <hyperlink r:id="rId1563" ref="A1744"/>
    <hyperlink r:id="rId1564" ref="A1745"/>
    <hyperlink r:id="rId1565" ref="A1746"/>
    <hyperlink r:id="rId1566" ref="A1747"/>
    <hyperlink r:id="rId1567" ref="A1748"/>
    <hyperlink r:id="rId1568" ref="A1749"/>
    <hyperlink r:id="rId1569" ref="A1750"/>
    <hyperlink r:id="rId1570" ref="A1751"/>
    <hyperlink r:id="rId1571" ref="A1752"/>
    <hyperlink r:id="rId1572" ref="A1753"/>
    <hyperlink r:id="rId1573" ref="A1754"/>
    <hyperlink r:id="rId1574" ref="A1755"/>
    <hyperlink r:id="rId1575" ref="A1756"/>
    <hyperlink r:id="rId1576" ref="A1757"/>
    <hyperlink r:id="rId1577" ref="A1758"/>
    <hyperlink r:id="rId1578" ref="A1759"/>
    <hyperlink r:id="rId1579" ref="A1760"/>
    <hyperlink r:id="rId1580" ref="A1761"/>
    <hyperlink r:id="rId1581" ref="A1762"/>
    <hyperlink r:id="rId1582" ref="A1763"/>
    <hyperlink r:id="rId1583" ref="A1764"/>
    <hyperlink r:id="rId1584" ref="A1765"/>
    <hyperlink r:id="rId1585" ref="A1766"/>
    <hyperlink r:id="rId1586" ref="A1767"/>
    <hyperlink r:id="rId1587" ref="A1768"/>
    <hyperlink r:id="rId1588" ref="A1769"/>
    <hyperlink r:id="rId1589" ref="A1770"/>
    <hyperlink r:id="rId1590" ref="A1771"/>
    <hyperlink r:id="rId1591" ref="A1772"/>
    <hyperlink r:id="rId1592" ref="A1773"/>
    <hyperlink r:id="rId1593" ref="A1774"/>
    <hyperlink r:id="rId1594" ref="A1775"/>
    <hyperlink r:id="rId1595" ref="A1776"/>
    <hyperlink r:id="rId1596" ref="A1777"/>
    <hyperlink r:id="rId1597" ref="A1778"/>
    <hyperlink r:id="rId1598" ref="A1779"/>
    <hyperlink r:id="rId1599" ref="A1780"/>
    <hyperlink r:id="rId1600" ref="A1781"/>
    <hyperlink r:id="rId1601" ref="A1782"/>
    <hyperlink r:id="rId1602" ref="A1783"/>
    <hyperlink r:id="rId1603" ref="A1784"/>
    <hyperlink r:id="rId1604" ref="A1785"/>
    <hyperlink r:id="rId1605" ref="A1786"/>
    <hyperlink r:id="rId1606" ref="A1787"/>
    <hyperlink r:id="rId1607" ref="A1788"/>
    <hyperlink r:id="rId1608" ref="A1789"/>
    <hyperlink r:id="rId1609" ref="A1790"/>
    <hyperlink r:id="rId1610" ref="A1791"/>
    <hyperlink r:id="rId1611" ref="A1792"/>
    <hyperlink r:id="rId1612" ref="A1793"/>
    <hyperlink r:id="rId1613" ref="A1794"/>
    <hyperlink r:id="rId1614" ref="A1795"/>
    <hyperlink r:id="rId1615" ref="A1796"/>
    <hyperlink r:id="rId1616" ref="A1797"/>
    <hyperlink r:id="rId1617" ref="A1798"/>
    <hyperlink r:id="rId1618" ref="A1799"/>
    <hyperlink r:id="rId1619" ref="A1800"/>
    <hyperlink r:id="rId1620" ref="A1801"/>
    <hyperlink r:id="rId1621" ref="A1802"/>
    <hyperlink r:id="rId1622" ref="A1803"/>
    <hyperlink r:id="rId1623" ref="A1804"/>
    <hyperlink r:id="rId1624" ref="A1805"/>
    <hyperlink r:id="rId1625" ref="A1806"/>
    <hyperlink r:id="rId1626" ref="A1807"/>
    <hyperlink r:id="rId1627" ref="A1808"/>
    <hyperlink r:id="rId1628" ref="A1809"/>
    <hyperlink r:id="rId1629" ref="A1810"/>
    <hyperlink r:id="rId1630" ref="A1811"/>
    <hyperlink r:id="rId1631" ref="A1812"/>
    <hyperlink r:id="rId1632" ref="A1813"/>
    <hyperlink r:id="rId1633" ref="A1814"/>
    <hyperlink r:id="rId1634" ref="A1815"/>
    <hyperlink r:id="rId1635" ref="A1816"/>
    <hyperlink r:id="rId1636" ref="A1817"/>
    <hyperlink r:id="rId1637" ref="A1818"/>
    <hyperlink r:id="rId1638" ref="A1819"/>
    <hyperlink r:id="rId1639" ref="A1820"/>
    <hyperlink r:id="rId1640" ref="A1821"/>
    <hyperlink r:id="rId1641" ref="A1822"/>
    <hyperlink r:id="rId1642" ref="A1823"/>
    <hyperlink r:id="rId1643" ref="A1824"/>
    <hyperlink r:id="rId1644" ref="A1825"/>
    <hyperlink r:id="rId1645" ref="A1826"/>
    <hyperlink r:id="rId1646" ref="A1827"/>
    <hyperlink r:id="rId1647" ref="A1828"/>
    <hyperlink r:id="rId1648" ref="A1829"/>
    <hyperlink r:id="rId1649" ref="A1830"/>
    <hyperlink r:id="rId1650" ref="A1831"/>
    <hyperlink r:id="rId1651" ref="A1832"/>
    <hyperlink r:id="rId1652" ref="A1833"/>
    <hyperlink r:id="rId1653" ref="A1834"/>
    <hyperlink r:id="rId1654" ref="A1835"/>
    <hyperlink r:id="rId1655" ref="A1836"/>
    <hyperlink r:id="rId1656" ref="A1837"/>
    <hyperlink r:id="rId1657" ref="A1838"/>
    <hyperlink r:id="rId1658" ref="A1839"/>
    <hyperlink r:id="rId1659" ref="A1840"/>
    <hyperlink r:id="rId1660" ref="A1841"/>
    <hyperlink r:id="rId1661" ref="A1842"/>
    <hyperlink r:id="rId1662" ref="A1843"/>
    <hyperlink r:id="rId1663" ref="A1844"/>
    <hyperlink r:id="rId1664" ref="A1845"/>
    <hyperlink r:id="rId1665" ref="A1846"/>
    <hyperlink r:id="rId1666" ref="A1847"/>
    <hyperlink r:id="rId1667" ref="A1848"/>
    <hyperlink r:id="rId1668" ref="A1849"/>
    <hyperlink r:id="rId1669" ref="A1850"/>
    <hyperlink r:id="rId1670" ref="A1851"/>
    <hyperlink r:id="rId1671" ref="A1852"/>
    <hyperlink r:id="rId1672" ref="A1853"/>
    <hyperlink r:id="rId1673" ref="A1854"/>
    <hyperlink r:id="rId1674" ref="A1855"/>
    <hyperlink r:id="rId1675" ref="A1856"/>
    <hyperlink r:id="rId1676" ref="A1857"/>
    <hyperlink r:id="rId1677" ref="A1858"/>
    <hyperlink r:id="rId1678" ref="A1859"/>
    <hyperlink r:id="rId1679" ref="A1860"/>
    <hyperlink r:id="rId1680" ref="A1861"/>
    <hyperlink r:id="rId1681" ref="A1862"/>
    <hyperlink r:id="rId1682" ref="A1863"/>
    <hyperlink r:id="rId1683" ref="A1864"/>
    <hyperlink r:id="rId1684" ref="A1865"/>
    <hyperlink r:id="rId1685" ref="A1866"/>
    <hyperlink r:id="rId1686" ref="A1867"/>
    <hyperlink r:id="rId1687" ref="A1868"/>
    <hyperlink r:id="rId1688" ref="A1869"/>
    <hyperlink r:id="rId1689" ref="A1870"/>
    <hyperlink r:id="rId1690" ref="A1871"/>
    <hyperlink r:id="rId1691" ref="A1872"/>
    <hyperlink r:id="rId1692" ref="A1873"/>
    <hyperlink r:id="rId1693" ref="A1874"/>
    <hyperlink r:id="rId1694" ref="A1875"/>
    <hyperlink r:id="rId1695" ref="A1876"/>
    <hyperlink r:id="rId1696" ref="A1877"/>
    <hyperlink r:id="rId1697" ref="A1878"/>
    <hyperlink r:id="rId1698" ref="A1879"/>
    <hyperlink r:id="rId1699" ref="A1880"/>
    <hyperlink r:id="rId1700" ref="A1881"/>
    <hyperlink r:id="rId1701" ref="A1882"/>
    <hyperlink r:id="rId1702" ref="A1883"/>
    <hyperlink r:id="rId1703" ref="A1884"/>
    <hyperlink r:id="rId1704" ref="A1885"/>
    <hyperlink r:id="rId1705" ref="A1886"/>
    <hyperlink r:id="rId1706" ref="A1887"/>
    <hyperlink r:id="rId1707" ref="A1888"/>
    <hyperlink r:id="rId1708" ref="A1889"/>
    <hyperlink r:id="rId1709" ref="A1890"/>
    <hyperlink r:id="rId1710" ref="A1891"/>
    <hyperlink r:id="rId1711" ref="A1892"/>
    <hyperlink r:id="rId1712" ref="A1893"/>
    <hyperlink r:id="rId1713" ref="A1894"/>
    <hyperlink r:id="rId1714" ref="A1895"/>
    <hyperlink r:id="rId1715" ref="A1896"/>
    <hyperlink r:id="rId1716" ref="A1897"/>
    <hyperlink r:id="rId1717" ref="A1898"/>
    <hyperlink r:id="rId1718" ref="A1899"/>
    <hyperlink r:id="rId1719" ref="A1900"/>
    <hyperlink r:id="rId1720" ref="A1901"/>
    <hyperlink r:id="rId1721" ref="A1902"/>
    <hyperlink r:id="rId1722" ref="A1903"/>
    <hyperlink r:id="rId1723" ref="A1904"/>
    <hyperlink r:id="rId1724" ref="A1905"/>
    <hyperlink r:id="rId1725" ref="A1906"/>
    <hyperlink r:id="rId1726" ref="A1907"/>
    <hyperlink r:id="rId1727" ref="A1908"/>
    <hyperlink r:id="rId1728" ref="A1909"/>
    <hyperlink r:id="rId1729" ref="A1910"/>
    <hyperlink r:id="rId1730" ref="A1911"/>
    <hyperlink r:id="rId1731" ref="A1912"/>
    <hyperlink r:id="rId1732" ref="A1913"/>
    <hyperlink r:id="rId1733" ref="A1914"/>
    <hyperlink r:id="rId1734" ref="A1915"/>
    <hyperlink r:id="rId1735" ref="A1916"/>
    <hyperlink r:id="rId1736" ref="A1917"/>
    <hyperlink r:id="rId1737" ref="A1918"/>
    <hyperlink r:id="rId1738" ref="A1919"/>
    <hyperlink r:id="rId1739" ref="A1920"/>
    <hyperlink r:id="rId1740" ref="A1921"/>
    <hyperlink r:id="rId1741" ref="A1922"/>
    <hyperlink r:id="rId1742" ref="A1923"/>
    <hyperlink r:id="rId1743" ref="A1924"/>
    <hyperlink r:id="rId1744" ref="A1925"/>
    <hyperlink r:id="rId1745" ref="A1926"/>
    <hyperlink r:id="rId1746" ref="A1927"/>
    <hyperlink r:id="rId1747" ref="A1928"/>
    <hyperlink r:id="rId1748" ref="A1929"/>
    <hyperlink r:id="rId1749" ref="A1930"/>
    <hyperlink r:id="rId1750" ref="A1931"/>
    <hyperlink r:id="rId1751" ref="A1932"/>
    <hyperlink r:id="rId1752" ref="A1933"/>
    <hyperlink r:id="rId1753" ref="A1934"/>
    <hyperlink r:id="rId1754" ref="A1935"/>
    <hyperlink r:id="rId1755" ref="A1936"/>
    <hyperlink r:id="rId1756" ref="A1937"/>
    <hyperlink r:id="rId1757" ref="A1938"/>
    <hyperlink r:id="rId1758" ref="A1939"/>
    <hyperlink r:id="rId1759" ref="A1940"/>
    <hyperlink r:id="rId1760" ref="A1941"/>
    <hyperlink r:id="rId1761" ref="A1942"/>
    <hyperlink r:id="rId1762" ref="A1943"/>
    <hyperlink r:id="rId1763" ref="A1944"/>
    <hyperlink r:id="rId1764" ref="A1945"/>
    <hyperlink r:id="rId1765" ref="A1946"/>
    <hyperlink r:id="rId1766" ref="A1947"/>
    <hyperlink r:id="rId1767" ref="A1948"/>
    <hyperlink r:id="rId1768" ref="A1949"/>
    <hyperlink r:id="rId1769" ref="A1950"/>
    <hyperlink r:id="rId1770" ref="A1951"/>
    <hyperlink r:id="rId1771" ref="A1952"/>
    <hyperlink r:id="rId1772" ref="A1953"/>
    <hyperlink r:id="rId1773" ref="A1954"/>
    <hyperlink r:id="rId1774" ref="A1955"/>
    <hyperlink r:id="rId1775" ref="A1956"/>
    <hyperlink r:id="rId1776" ref="A1957"/>
    <hyperlink r:id="rId1777" ref="A1958"/>
    <hyperlink r:id="rId1778" ref="A1959"/>
    <hyperlink r:id="rId1779" ref="A1960"/>
    <hyperlink r:id="rId1780" ref="A1961"/>
    <hyperlink r:id="rId1781" ref="A1962"/>
    <hyperlink r:id="rId1782" ref="A1963"/>
    <hyperlink r:id="rId1783" ref="A1964"/>
    <hyperlink r:id="rId1784" ref="A1965"/>
    <hyperlink r:id="rId1785" ref="A1966"/>
    <hyperlink r:id="rId1786" ref="A1967"/>
    <hyperlink r:id="rId1787" ref="A1968"/>
    <hyperlink r:id="rId1788" ref="A1969"/>
    <hyperlink r:id="rId1789" ref="A1970"/>
    <hyperlink r:id="rId1790" ref="A1971"/>
    <hyperlink r:id="rId1791" ref="A1972"/>
    <hyperlink r:id="rId1792" ref="A1973"/>
    <hyperlink r:id="rId1793" ref="A1974"/>
    <hyperlink r:id="rId1794" ref="A1975"/>
    <hyperlink r:id="rId1795" ref="A1976"/>
    <hyperlink r:id="rId1796" ref="A1977"/>
    <hyperlink r:id="rId1797" ref="A1978"/>
    <hyperlink r:id="rId1798" ref="A1979"/>
    <hyperlink r:id="rId1799" ref="A1980"/>
    <hyperlink r:id="rId1800" ref="A1981"/>
    <hyperlink r:id="rId1801" ref="A1982"/>
    <hyperlink r:id="rId1802" ref="A1983"/>
    <hyperlink r:id="rId1803" ref="A1984"/>
    <hyperlink r:id="rId1804" ref="A1985"/>
    <hyperlink r:id="rId1805" ref="A1986"/>
    <hyperlink r:id="rId1806" ref="A1987"/>
    <hyperlink r:id="rId1807" ref="A1988"/>
    <hyperlink r:id="rId1808" ref="A1989"/>
    <hyperlink r:id="rId1809" ref="A1990"/>
    <hyperlink r:id="rId1810" ref="A1991"/>
    <hyperlink r:id="rId1811" ref="A1992"/>
    <hyperlink r:id="rId1812" ref="A1993"/>
    <hyperlink r:id="rId1813" ref="A1994"/>
    <hyperlink r:id="rId1814" ref="A1995"/>
    <hyperlink r:id="rId1815" ref="A1996"/>
    <hyperlink r:id="rId1816" ref="A1997"/>
    <hyperlink r:id="rId1817" ref="A1998"/>
    <hyperlink r:id="rId1818" ref="A1999"/>
    <hyperlink r:id="rId1819" ref="A2000"/>
    <hyperlink r:id="rId1820" ref="A2001"/>
    <hyperlink r:id="rId1821" ref="A2002"/>
    <hyperlink r:id="rId1822" ref="A2003"/>
    <hyperlink r:id="rId1823" ref="A2004"/>
    <hyperlink r:id="rId1824" ref="A2005"/>
    <hyperlink r:id="rId1825" ref="A2006"/>
    <hyperlink r:id="rId1826" ref="A2007"/>
    <hyperlink r:id="rId1827" ref="A2008"/>
    <hyperlink r:id="rId1828" ref="A2009"/>
    <hyperlink r:id="rId1829" ref="A2010"/>
    <hyperlink r:id="rId1830" ref="A2011"/>
    <hyperlink r:id="rId1831" ref="A2012"/>
    <hyperlink r:id="rId1832" ref="A2013"/>
    <hyperlink r:id="rId1833" ref="A2014"/>
    <hyperlink r:id="rId1834" ref="A2015"/>
    <hyperlink r:id="rId1835" ref="A2016"/>
    <hyperlink r:id="rId1836" ref="A2017"/>
    <hyperlink r:id="rId1837" ref="A2018"/>
    <hyperlink r:id="rId1838" ref="A2019"/>
    <hyperlink r:id="rId1839" ref="A2020"/>
    <hyperlink r:id="rId1840" ref="A2021"/>
    <hyperlink r:id="rId1841" ref="A2022"/>
    <hyperlink r:id="rId1842" ref="A2023"/>
    <hyperlink r:id="rId1843" ref="A2024"/>
    <hyperlink r:id="rId1844" ref="A2025"/>
    <hyperlink r:id="rId1845" ref="A2026"/>
    <hyperlink r:id="rId1846" ref="A2027"/>
    <hyperlink r:id="rId1847" ref="A2028"/>
    <hyperlink r:id="rId1848" ref="A2029"/>
    <hyperlink r:id="rId1849" ref="A2030"/>
    <hyperlink r:id="rId1850" ref="A2031"/>
    <hyperlink r:id="rId1851" ref="A2032"/>
    <hyperlink r:id="rId1852" ref="A2033"/>
    <hyperlink r:id="rId1853" ref="A2034"/>
    <hyperlink r:id="rId1854" ref="A2035"/>
    <hyperlink r:id="rId1855" ref="A2036"/>
    <hyperlink r:id="rId1856" ref="A2037"/>
    <hyperlink r:id="rId1857" ref="A2038"/>
    <hyperlink r:id="rId1858" ref="A2039"/>
    <hyperlink r:id="rId1859" ref="A2040"/>
    <hyperlink r:id="rId1860" ref="A2041"/>
    <hyperlink r:id="rId1861" ref="A2042"/>
    <hyperlink r:id="rId1862" ref="A2043"/>
    <hyperlink r:id="rId1863" ref="A2044"/>
    <hyperlink r:id="rId1864" ref="A2045"/>
    <hyperlink r:id="rId1865" ref="A2046"/>
    <hyperlink r:id="rId1866" ref="A2047"/>
    <hyperlink r:id="rId1867" ref="A2048"/>
    <hyperlink r:id="rId1868" ref="A2049"/>
    <hyperlink r:id="rId1869" ref="A2050"/>
    <hyperlink r:id="rId1870" ref="A2051"/>
    <hyperlink r:id="rId1871" ref="A2052"/>
    <hyperlink r:id="rId1872" ref="A2053"/>
    <hyperlink r:id="rId1873" ref="A2054"/>
    <hyperlink r:id="rId1874" ref="A2055"/>
    <hyperlink r:id="rId1875" ref="A2056"/>
    <hyperlink r:id="rId1876" ref="A2057"/>
    <hyperlink r:id="rId1877" ref="A2058"/>
    <hyperlink r:id="rId1878" ref="A2059"/>
    <hyperlink r:id="rId1879" ref="A2060"/>
    <hyperlink r:id="rId1880" ref="A2061"/>
    <hyperlink r:id="rId1881" ref="A2062"/>
    <hyperlink r:id="rId1882" ref="A2063"/>
    <hyperlink r:id="rId1883" ref="A2064"/>
    <hyperlink r:id="rId1884" ref="A2065"/>
    <hyperlink r:id="rId1885" ref="A2066"/>
    <hyperlink r:id="rId1886" ref="A2067"/>
    <hyperlink r:id="rId1887" ref="A2068"/>
    <hyperlink r:id="rId1888" ref="A2069"/>
    <hyperlink r:id="rId1889" ref="A2070"/>
    <hyperlink r:id="rId1890" ref="A2071"/>
    <hyperlink r:id="rId1891" ref="A2072"/>
    <hyperlink r:id="rId1892" ref="A2073"/>
    <hyperlink r:id="rId1893" ref="A2074"/>
    <hyperlink r:id="rId1894" ref="A2075"/>
    <hyperlink r:id="rId1895" ref="A2076"/>
    <hyperlink r:id="rId1896" ref="A2077"/>
    <hyperlink r:id="rId1897" ref="A2078"/>
    <hyperlink r:id="rId1898" ref="A2079"/>
    <hyperlink r:id="rId1899" ref="A2080"/>
    <hyperlink r:id="rId1900" ref="A2081"/>
    <hyperlink r:id="rId1901" ref="A2082"/>
    <hyperlink r:id="rId1902" ref="A2083"/>
    <hyperlink r:id="rId1903" ref="A2084"/>
    <hyperlink r:id="rId1904" ref="A2085"/>
    <hyperlink r:id="rId1905" ref="A2086"/>
    <hyperlink r:id="rId1906" ref="A2087"/>
    <hyperlink r:id="rId1907" ref="A2088"/>
    <hyperlink r:id="rId1908" ref="A2089"/>
    <hyperlink r:id="rId1909" ref="A2090"/>
    <hyperlink r:id="rId1910" ref="A2091"/>
    <hyperlink r:id="rId1911" ref="A2092"/>
    <hyperlink r:id="rId1912" ref="A2093"/>
    <hyperlink r:id="rId1913" ref="A2094"/>
    <hyperlink r:id="rId1914" ref="A2095"/>
    <hyperlink r:id="rId1915" ref="A2096"/>
    <hyperlink r:id="rId1916" ref="A2097"/>
    <hyperlink r:id="rId1917" ref="A2098"/>
    <hyperlink r:id="rId1918" ref="A2099"/>
    <hyperlink r:id="rId1919" ref="A2100"/>
    <hyperlink r:id="rId1920" ref="A2101"/>
    <hyperlink r:id="rId1921" ref="A2102"/>
    <hyperlink r:id="rId1922" ref="A2103"/>
    <hyperlink r:id="rId1923" ref="A2104"/>
    <hyperlink r:id="rId1924" ref="A2105"/>
    <hyperlink r:id="rId1925" ref="A2106"/>
    <hyperlink r:id="rId1926" ref="A2107"/>
    <hyperlink r:id="rId1927" ref="A2108"/>
    <hyperlink r:id="rId1928" ref="A2109"/>
    <hyperlink r:id="rId1929" ref="A2110"/>
    <hyperlink r:id="rId1930" ref="A2111"/>
    <hyperlink r:id="rId1931" ref="A2112"/>
    <hyperlink r:id="rId1932" ref="A2113"/>
    <hyperlink r:id="rId1933" ref="A2114"/>
    <hyperlink r:id="rId1934" ref="A2115"/>
    <hyperlink r:id="rId1935" ref="A2116"/>
    <hyperlink r:id="rId1936" ref="A2117"/>
    <hyperlink r:id="rId1937" ref="A2118"/>
    <hyperlink r:id="rId1938" ref="A2119"/>
    <hyperlink r:id="rId1939" ref="A2120"/>
    <hyperlink r:id="rId1940" ref="A2121"/>
    <hyperlink r:id="rId1941" ref="A2122"/>
    <hyperlink r:id="rId1942" ref="A2123"/>
    <hyperlink r:id="rId1943" ref="A2124"/>
    <hyperlink r:id="rId1944" ref="A2125"/>
    <hyperlink r:id="rId1945" ref="A2126"/>
    <hyperlink r:id="rId1946" ref="A2127"/>
    <hyperlink r:id="rId1947" ref="A2128"/>
    <hyperlink r:id="rId1948" ref="A2129"/>
    <hyperlink r:id="rId1949" ref="A2130"/>
    <hyperlink r:id="rId1950" ref="A2131"/>
    <hyperlink r:id="rId1951" ref="A2132"/>
    <hyperlink r:id="rId1952" ref="A2133"/>
    <hyperlink r:id="rId1953" ref="A2134"/>
    <hyperlink r:id="rId1954" ref="A2135"/>
    <hyperlink r:id="rId1955" ref="A2136"/>
    <hyperlink r:id="rId1956" ref="A2137"/>
    <hyperlink r:id="rId1957" ref="A2138"/>
    <hyperlink r:id="rId1958" ref="A2139"/>
    <hyperlink r:id="rId1959" ref="A2140"/>
    <hyperlink r:id="rId1960" ref="A2141"/>
    <hyperlink r:id="rId1961" ref="A2142"/>
    <hyperlink r:id="rId1962" ref="A2143"/>
    <hyperlink r:id="rId1963" ref="A2144"/>
    <hyperlink r:id="rId1964" ref="A2145"/>
    <hyperlink r:id="rId1965" ref="A2146"/>
    <hyperlink r:id="rId1966" ref="A2147"/>
    <hyperlink r:id="rId1967" ref="A2148"/>
    <hyperlink r:id="rId1968" ref="A2149"/>
    <hyperlink r:id="rId1969" ref="A2150"/>
    <hyperlink r:id="rId1970" ref="A2151"/>
    <hyperlink r:id="rId1971" ref="A2152"/>
    <hyperlink r:id="rId1972" ref="A2153"/>
    <hyperlink r:id="rId1973" ref="A2154"/>
    <hyperlink r:id="rId1974" ref="A2155"/>
    <hyperlink r:id="rId1975" ref="A2156"/>
    <hyperlink r:id="rId1976" ref="A2157"/>
    <hyperlink r:id="rId1977" ref="A2158"/>
    <hyperlink r:id="rId1978" ref="A2159"/>
    <hyperlink r:id="rId1979" ref="A2160"/>
    <hyperlink r:id="rId1980" ref="A2161"/>
    <hyperlink r:id="rId1981" ref="A2162"/>
    <hyperlink r:id="rId1982" ref="A2163"/>
    <hyperlink r:id="rId1983" ref="A2164"/>
    <hyperlink r:id="rId1984" ref="A2165"/>
    <hyperlink r:id="rId1985" ref="A2166"/>
    <hyperlink r:id="rId1986" ref="A2167"/>
    <hyperlink r:id="rId1987" ref="A2168"/>
    <hyperlink r:id="rId1988" ref="A2169"/>
    <hyperlink r:id="rId1989" ref="A2170"/>
    <hyperlink r:id="rId1990" ref="A2171"/>
    <hyperlink r:id="rId1991" ref="A2172"/>
    <hyperlink r:id="rId1992" ref="A2173"/>
    <hyperlink r:id="rId1993" ref="A2174"/>
    <hyperlink r:id="rId1994" ref="A2175"/>
    <hyperlink r:id="rId1995" ref="A2176"/>
    <hyperlink r:id="rId1996" ref="A2177"/>
    <hyperlink r:id="rId1997" ref="A2178"/>
    <hyperlink r:id="rId1998" ref="A2179"/>
    <hyperlink r:id="rId1999" ref="A2180"/>
    <hyperlink r:id="rId2000" ref="A2181"/>
    <hyperlink r:id="rId2001" ref="A2182"/>
    <hyperlink r:id="rId2002" ref="A2183"/>
    <hyperlink r:id="rId2003" ref="A2184"/>
    <hyperlink r:id="rId2004" ref="A2185"/>
    <hyperlink r:id="rId2005" ref="A2186"/>
    <hyperlink r:id="rId2006" ref="A2187"/>
    <hyperlink r:id="rId2007" ref="A2188"/>
    <hyperlink r:id="rId2008" ref="A2189"/>
    <hyperlink r:id="rId2009" ref="A2190"/>
    <hyperlink r:id="rId2010" ref="A2191"/>
    <hyperlink r:id="rId2011" ref="A2192"/>
    <hyperlink r:id="rId2012" ref="A2193"/>
    <hyperlink r:id="rId2013" ref="A2194"/>
    <hyperlink r:id="rId2014" ref="A2195"/>
    <hyperlink r:id="rId2015" ref="A2196"/>
    <hyperlink r:id="rId2016" ref="A2197"/>
    <hyperlink r:id="rId2017" ref="A2198"/>
    <hyperlink r:id="rId2018" ref="A2199"/>
    <hyperlink r:id="rId2019" ref="A2200"/>
    <hyperlink r:id="rId2020" ref="A2201"/>
    <hyperlink r:id="rId2021" ref="A2202"/>
    <hyperlink r:id="rId2022" ref="A2203"/>
    <hyperlink r:id="rId2023" ref="A2204"/>
    <hyperlink r:id="rId2024" ref="A2205"/>
    <hyperlink r:id="rId2025" ref="A2206"/>
    <hyperlink r:id="rId2026" ref="A2207"/>
    <hyperlink r:id="rId2027" ref="A2208"/>
    <hyperlink r:id="rId2028" ref="A2209"/>
    <hyperlink r:id="rId2029" ref="A2210"/>
    <hyperlink r:id="rId2030" ref="A2211"/>
    <hyperlink r:id="rId2031" ref="A2212"/>
    <hyperlink r:id="rId2032" ref="A2213"/>
    <hyperlink r:id="rId2033" ref="A2214"/>
    <hyperlink r:id="rId2034" ref="A2215"/>
    <hyperlink r:id="rId2035" ref="A2216"/>
    <hyperlink r:id="rId2036" ref="A2217"/>
    <hyperlink r:id="rId2037" ref="A2218"/>
    <hyperlink r:id="rId2038" ref="A2219"/>
    <hyperlink r:id="rId2039" ref="A2220"/>
    <hyperlink r:id="rId2040" ref="A2221"/>
    <hyperlink r:id="rId2041" ref="A2222"/>
    <hyperlink r:id="rId2042" ref="A2223"/>
    <hyperlink r:id="rId2043" ref="A2224"/>
    <hyperlink r:id="rId2044" ref="A2225"/>
    <hyperlink r:id="rId2045" ref="A2226"/>
    <hyperlink r:id="rId2046" ref="A2227"/>
    <hyperlink r:id="rId2047" ref="A2228"/>
    <hyperlink r:id="rId2048" ref="A2229"/>
    <hyperlink r:id="rId2049" ref="A2230"/>
    <hyperlink r:id="rId2050" ref="A2231"/>
    <hyperlink r:id="rId2051" ref="A2232"/>
    <hyperlink r:id="rId2052" ref="A2233"/>
    <hyperlink r:id="rId2053" ref="A2234"/>
    <hyperlink r:id="rId2054" ref="A2235"/>
    <hyperlink r:id="rId2055" ref="A2236"/>
    <hyperlink r:id="rId2056" ref="A2237"/>
    <hyperlink r:id="rId2057" ref="A2238"/>
    <hyperlink r:id="rId2058" ref="A2239"/>
    <hyperlink r:id="rId2059" ref="A2240"/>
    <hyperlink r:id="rId2060" ref="A2241"/>
    <hyperlink r:id="rId2061" ref="A2242"/>
    <hyperlink r:id="rId2062" ref="A2243"/>
    <hyperlink r:id="rId2063" ref="A2244"/>
    <hyperlink r:id="rId2064" ref="A2245"/>
    <hyperlink r:id="rId2065" ref="A2246"/>
    <hyperlink r:id="rId2066" ref="A2247"/>
    <hyperlink r:id="rId2067" ref="A2248"/>
    <hyperlink r:id="rId2068" ref="A2249"/>
    <hyperlink r:id="rId2069" ref="A2250"/>
    <hyperlink r:id="rId2070" ref="A2251"/>
    <hyperlink r:id="rId2071" ref="A2252"/>
    <hyperlink r:id="rId2072" ref="A2253"/>
    <hyperlink r:id="rId2073" ref="A2254"/>
    <hyperlink r:id="rId2074" ref="A2255"/>
    <hyperlink r:id="rId2075" ref="A2256"/>
    <hyperlink r:id="rId2076" ref="A2257"/>
    <hyperlink r:id="rId2077" ref="A2258"/>
    <hyperlink r:id="rId2078" ref="A2259"/>
    <hyperlink r:id="rId2079" ref="A2260"/>
    <hyperlink r:id="rId2080" ref="A2261"/>
    <hyperlink r:id="rId2081" ref="A2262"/>
    <hyperlink r:id="rId2082" ref="A2263"/>
    <hyperlink r:id="rId2083" ref="A2264"/>
    <hyperlink r:id="rId2084" ref="A2265"/>
    <hyperlink r:id="rId2085" ref="A2266"/>
    <hyperlink r:id="rId2086" ref="A2267"/>
    <hyperlink r:id="rId2087" ref="A2268"/>
    <hyperlink r:id="rId2088" ref="A2269"/>
    <hyperlink r:id="rId2089" ref="A2270"/>
    <hyperlink r:id="rId2090" ref="A2271"/>
    <hyperlink r:id="rId2091" ref="A2272"/>
    <hyperlink r:id="rId2092" ref="A2273"/>
    <hyperlink r:id="rId2093" ref="A2274"/>
    <hyperlink r:id="rId2094" ref="A2275"/>
    <hyperlink r:id="rId2095" ref="A2276"/>
    <hyperlink r:id="rId2096" ref="A2277"/>
    <hyperlink r:id="rId2097" ref="A2278"/>
    <hyperlink r:id="rId2098" ref="A2279"/>
    <hyperlink r:id="rId2099" ref="A2280"/>
    <hyperlink r:id="rId2100" ref="A2281"/>
    <hyperlink r:id="rId2101" ref="A2282"/>
    <hyperlink r:id="rId2102" ref="A2283"/>
    <hyperlink r:id="rId2103" ref="A2284"/>
    <hyperlink r:id="rId2104" ref="A2285"/>
    <hyperlink r:id="rId2105" ref="A2286"/>
    <hyperlink r:id="rId2106" ref="A2287"/>
    <hyperlink r:id="rId2107" ref="A2288"/>
    <hyperlink r:id="rId2108" ref="A2289"/>
    <hyperlink r:id="rId2109" ref="A2290"/>
    <hyperlink r:id="rId2110" ref="A2291"/>
    <hyperlink r:id="rId2111" ref="A2292"/>
    <hyperlink r:id="rId2112" ref="A2293"/>
    <hyperlink r:id="rId2113" ref="A2294"/>
    <hyperlink r:id="rId2114" ref="A2295"/>
    <hyperlink r:id="rId2115" ref="A2296"/>
    <hyperlink r:id="rId2116" ref="A2297"/>
    <hyperlink r:id="rId2117" ref="A2298"/>
    <hyperlink r:id="rId2118" ref="A2299"/>
    <hyperlink r:id="rId2119" ref="A2300"/>
    <hyperlink r:id="rId2120" ref="A2301"/>
    <hyperlink r:id="rId2121" ref="A2302"/>
    <hyperlink r:id="rId2122" ref="A2303"/>
    <hyperlink r:id="rId2123" ref="A2304"/>
    <hyperlink r:id="rId2124" ref="A2305"/>
    <hyperlink r:id="rId2125" ref="A2306"/>
    <hyperlink r:id="rId2126" ref="A2307"/>
    <hyperlink r:id="rId2127" ref="A2308"/>
    <hyperlink r:id="rId2128" ref="A2309"/>
    <hyperlink r:id="rId2129" ref="A2310"/>
    <hyperlink r:id="rId2130" ref="A2311"/>
    <hyperlink r:id="rId2131" ref="A2312"/>
    <hyperlink r:id="rId2132" ref="A2313"/>
    <hyperlink r:id="rId2133" ref="A2314"/>
    <hyperlink r:id="rId2134" ref="A2315"/>
    <hyperlink r:id="rId2135" ref="A2316"/>
    <hyperlink r:id="rId2136" ref="A2317"/>
    <hyperlink r:id="rId2137" ref="A2318"/>
    <hyperlink r:id="rId2138" ref="A2319"/>
    <hyperlink r:id="rId2139" ref="A2320"/>
    <hyperlink r:id="rId2140" ref="A2321"/>
    <hyperlink r:id="rId2141" ref="A2322"/>
    <hyperlink r:id="rId2142" ref="A2323"/>
    <hyperlink r:id="rId2143" ref="A2324"/>
    <hyperlink r:id="rId2144" ref="A2325"/>
    <hyperlink r:id="rId2145" ref="A2326"/>
    <hyperlink r:id="rId2146" ref="A2327"/>
    <hyperlink r:id="rId2147" ref="A2328"/>
    <hyperlink r:id="rId2148" ref="A2329"/>
    <hyperlink r:id="rId2149" ref="A2330"/>
    <hyperlink r:id="rId2150" ref="A2331"/>
    <hyperlink r:id="rId2151" ref="A2332"/>
    <hyperlink r:id="rId2152" ref="A2333"/>
    <hyperlink r:id="rId2153" ref="A2334"/>
    <hyperlink r:id="rId2154" ref="A2335"/>
    <hyperlink r:id="rId2155" ref="A2336"/>
    <hyperlink r:id="rId2156" ref="A2337"/>
    <hyperlink r:id="rId2157" ref="A2338"/>
    <hyperlink r:id="rId2158" ref="A2339"/>
    <hyperlink r:id="rId2159" ref="A2340"/>
    <hyperlink r:id="rId2160" ref="A2341"/>
    <hyperlink r:id="rId2161" ref="A2342"/>
    <hyperlink r:id="rId2162" ref="A2343"/>
    <hyperlink r:id="rId2163" ref="A2344"/>
    <hyperlink r:id="rId2164" ref="A2345"/>
    <hyperlink r:id="rId2165" ref="A2346"/>
    <hyperlink r:id="rId2166" ref="A2347"/>
    <hyperlink r:id="rId2167" ref="A2348"/>
    <hyperlink r:id="rId2168" ref="A2349"/>
    <hyperlink r:id="rId2169" ref="A2350"/>
    <hyperlink r:id="rId2170" ref="A2351"/>
    <hyperlink r:id="rId2171" ref="A2352"/>
    <hyperlink r:id="rId2172" ref="A2353"/>
    <hyperlink r:id="rId2173" ref="A2354"/>
    <hyperlink r:id="rId2174" ref="A2355"/>
    <hyperlink r:id="rId2175" ref="A2356"/>
    <hyperlink r:id="rId2176" ref="A2357"/>
    <hyperlink r:id="rId2177" ref="A2358"/>
    <hyperlink r:id="rId2178" ref="A2359"/>
    <hyperlink r:id="rId2179" ref="A2360"/>
    <hyperlink r:id="rId2180" ref="A2361"/>
    <hyperlink r:id="rId2181" ref="A2362"/>
    <hyperlink r:id="rId2182" ref="A2363"/>
    <hyperlink r:id="rId2183" ref="A2364"/>
    <hyperlink r:id="rId2184" ref="A2365"/>
    <hyperlink r:id="rId2185" ref="A2366"/>
    <hyperlink r:id="rId2186" ref="A2367"/>
    <hyperlink r:id="rId2187" ref="A2368"/>
    <hyperlink r:id="rId2188" ref="A2369"/>
    <hyperlink r:id="rId2189" ref="A2370"/>
    <hyperlink r:id="rId2190" ref="A2371"/>
    <hyperlink r:id="rId2191" ref="A2372"/>
    <hyperlink r:id="rId2192" ref="A2373"/>
    <hyperlink r:id="rId2193" ref="A2374"/>
    <hyperlink r:id="rId2194" ref="A2375"/>
    <hyperlink r:id="rId2195" ref="A2376"/>
    <hyperlink r:id="rId2196" ref="A2377"/>
    <hyperlink r:id="rId2197" ref="A2378"/>
    <hyperlink r:id="rId2198" ref="A2379"/>
    <hyperlink r:id="rId2199" ref="A2380"/>
    <hyperlink r:id="rId2200" ref="A2381"/>
    <hyperlink r:id="rId2201" ref="A2382"/>
    <hyperlink r:id="rId2202" ref="A2383"/>
    <hyperlink r:id="rId2203" ref="A2384"/>
    <hyperlink r:id="rId2204" ref="A2385"/>
    <hyperlink r:id="rId2205" ref="A2386"/>
    <hyperlink r:id="rId2206" ref="A2387"/>
    <hyperlink r:id="rId2207" ref="A2388"/>
    <hyperlink r:id="rId2208" ref="A2389"/>
    <hyperlink r:id="rId2209" ref="A2390"/>
    <hyperlink r:id="rId2210" ref="A2391"/>
    <hyperlink r:id="rId2211" ref="A2392"/>
    <hyperlink r:id="rId2212" ref="A2393"/>
    <hyperlink r:id="rId2213" ref="A2394"/>
    <hyperlink r:id="rId2214" ref="A2395"/>
    <hyperlink r:id="rId2215" ref="A2396"/>
    <hyperlink r:id="rId2216" ref="A2397"/>
    <hyperlink r:id="rId2217" ref="A2398"/>
    <hyperlink r:id="rId2218" ref="A2399"/>
    <hyperlink r:id="rId2219" ref="A2400"/>
    <hyperlink r:id="rId2220" ref="A2401"/>
    <hyperlink r:id="rId2221" ref="A2402"/>
    <hyperlink r:id="rId2222" ref="A2403"/>
    <hyperlink r:id="rId2223" ref="A2404"/>
    <hyperlink r:id="rId2224" ref="A2405"/>
    <hyperlink r:id="rId2225" ref="A2406"/>
    <hyperlink r:id="rId2226" ref="A2407"/>
    <hyperlink r:id="rId2227" ref="A2408"/>
    <hyperlink r:id="rId2228" ref="A2409"/>
    <hyperlink r:id="rId2229" ref="A2410"/>
    <hyperlink r:id="rId2230" ref="A2411"/>
    <hyperlink r:id="rId2231" ref="A2412"/>
    <hyperlink r:id="rId2232" ref="A2413"/>
    <hyperlink r:id="rId2233" ref="A2414"/>
    <hyperlink r:id="rId2234" ref="A2415"/>
    <hyperlink r:id="rId2235" ref="A2416"/>
    <hyperlink r:id="rId2236" ref="A2417"/>
    <hyperlink r:id="rId2237" ref="A2418"/>
    <hyperlink r:id="rId2238" ref="A2419"/>
    <hyperlink r:id="rId2239" ref="A2420"/>
    <hyperlink r:id="rId2240" ref="A2421"/>
    <hyperlink r:id="rId2241" ref="A2422"/>
    <hyperlink r:id="rId2242" ref="A2423"/>
    <hyperlink r:id="rId2243" ref="A2424"/>
    <hyperlink r:id="rId2244" ref="A2425"/>
    <hyperlink r:id="rId2245" ref="A2426"/>
    <hyperlink r:id="rId2246" ref="A2427"/>
    <hyperlink r:id="rId2247" ref="A2428"/>
    <hyperlink r:id="rId2248" ref="A2429"/>
    <hyperlink r:id="rId2249" ref="A2430"/>
    <hyperlink r:id="rId2250" ref="A2431"/>
    <hyperlink r:id="rId2251" ref="A2432"/>
    <hyperlink r:id="rId2252" ref="A2433"/>
    <hyperlink r:id="rId2253" ref="A2434"/>
    <hyperlink r:id="rId2254" ref="A2435"/>
    <hyperlink r:id="rId2255" ref="A2436"/>
    <hyperlink r:id="rId2256" ref="A2437"/>
    <hyperlink r:id="rId2257" ref="A2438"/>
    <hyperlink r:id="rId2258" ref="A2439"/>
    <hyperlink r:id="rId2259" ref="A2440"/>
    <hyperlink r:id="rId2260" ref="A2441"/>
    <hyperlink r:id="rId2261" ref="A2442"/>
    <hyperlink r:id="rId2262" ref="A2443"/>
    <hyperlink r:id="rId2263" ref="A2444"/>
    <hyperlink r:id="rId2264" ref="A2445"/>
    <hyperlink r:id="rId2265" ref="A2446"/>
    <hyperlink r:id="rId2266" ref="A2447"/>
    <hyperlink r:id="rId2267" ref="A2448"/>
    <hyperlink r:id="rId2268" ref="A2449"/>
    <hyperlink r:id="rId2269" ref="A2450"/>
    <hyperlink r:id="rId2270" ref="A2451"/>
    <hyperlink r:id="rId2271" ref="A2452"/>
    <hyperlink r:id="rId2272" ref="A2453"/>
    <hyperlink r:id="rId2273" ref="A2454"/>
    <hyperlink r:id="rId2274" ref="A2455"/>
    <hyperlink r:id="rId2275" ref="A2456"/>
    <hyperlink r:id="rId2276" ref="A2457"/>
    <hyperlink r:id="rId2277" ref="A2458"/>
    <hyperlink r:id="rId2278" ref="A2459"/>
    <hyperlink r:id="rId2279" ref="A2460"/>
    <hyperlink r:id="rId2280" ref="A2461"/>
    <hyperlink r:id="rId2281" ref="A2462"/>
    <hyperlink r:id="rId2282" ref="A2463"/>
    <hyperlink r:id="rId2283" ref="A2464"/>
    <hyperlink r:id="rId2284" ref="A2465"/>
    <hyperlink r:id="rId2285" ref="A2466"/>
    <hyperlink r:id="rId2286" ref="A2467"/>
    <hyperlink r:id="rId2287" ref="A2468"/>
    <hyperlink r:id="rId2288" ref="A2469"/>
    <hyperlink r:id="rId2289" ref="A2470"/>
    <hyperlink r:id="rId2290" ref="A2471"/>
    <hyperlink r:id="rId2291" ref="A2472"/>
    <hyperlink r:id="rId2292" ref="A2473"/>
    <hyperlink r:id="rId2293" ref="A2474"/>
    <hyperlink r:id="rId2294" ref="A2475"/>
    <hyperlink r:id="rId2295" ref="A2476"/>
    <hyperlink r:id="rId2296" ref="A2477"/>
    <hyperlink r:id="rId2297" ref="A2478"/>
    <hyperlink r:id="rId2298" ref="A2479"/>
    <hyperlink r:id="rId2299" ref="A2480"/>
    <hyperlink r:id="rId2300" ref="A2481"/>
    <hyperlink r:id="rId2301" ref="A2482"/>
    <hyperlink r:id="rId2302" ref="A2483"/>
    <hyperlink r:id="rId2303" ref="A2484"/>
    <hyperlink r:id="rId2304" ref="A2485"/>
    <hyperlink r:id="rId2305" ref="A2486"/>
    <hyperlink r:id="rId2306" ref="A2487"/>
    <hyperlink r:id="rId2307" ref="A2488"/>
    <hyperlink r:id="rId2308" ref="A2489"/>
    <hyperlink r:id="rId2309" ref="A2490"/>
    <hyperlink r:id="rId2310" ref="A2491"/>
    <hyperlink r:id="rId2311" ref="A2492"/>
    <hyperlink r:id="rId2312" ref="A2493"/>
    <hyperlink r:id="rId2313" ref="A2494"/>
    <hyperlink r:id="rId2314" ref="A2495"/>
    <hyperlink r:id="rId2315" ref="A2496"/>
    <hyperlink r:id="rId2316" ref="A2497"/>
    <hyperlink r:id="rId2317" ref="A2498"/>
    <hyperlink r:id="rId2318" ref="A2499"/>
    <hyperlink r:id="rId2319" ref="A2500"/>
    <hyperlink r:id="rId2320" ref="A2501"/>
    <hyperlink r:id="rId2321" ref="A2502"/>
    <hyperlink r:id="rId2322" ref="A2503"/>
    <hyperlink r:id="rId2323" ref="A2504"/>
    <hyperlink r:id="rId2324" ref="A2505"/>
    <hyperlink r:id="rId2325" ref="A2506"/>
    <hyperlink r:id="rId2326" ref="A2507"/>
    <hyperlink r:id="rId2327" ref="A2508"/>
    <hyperlink r:id="rId2328" ref="A2509"/>
    <hyperlink r:id="rId2329" ref="A2510"/>
    <hyperlink r:id="rId2330" ref="A2511"/>
    <hyperlink r:id="rId2331" ref="A2512"/>
    <hyperlink r:id="rId2332" ref="A2513"/>
    <hyperlink r:id="rId2333" ref="A2514"/>
    <hyperlink r:id="rId2334" ref="A2515"/>
    <hyperlink r:id="rId2335" ref="A2516"/>
    <hyperlink r:id="rId2336" ref="A2517"/>
    <hyperlink r:id="rId2337" ref="A2518"/>
    <hyperlink r:id="rId2338" ref="A2519"/>
    <hyperlink r:id="rId2339" ref="A2520"/>
    <hyperlink r:id="rId2340" ref="A2521"/>
    <hyperlink r:id="rId2341" ref="A2522"/>
    <hyperlink r:id="rId2342" ref="A2523"/>
    <hyperlink r:id="rId2343" ref="A2524"/>
    <hyperlink r:id="rId2344" ref="A2525"/>
    <hyperlink r:id="rId2345" ref="A2526"/>
    <hyperlink r:id="rId2346" ref="A2527"/>
    <hyperlink r:id="rId2347" ref="A2528"/>
    <hyperlink r:id="rId2348" ref="A2529"/>
    <hyperlink r:id="rId2349" ref="A2530"/>
    <hyperlink r:id="rId2350" ref="A2531"/>
    <hyperlink r:id="rId2351" ref="A2532"/>
    <hyperlink r:id="rId2352" ref="A2533"/>
    <hyperlink r:id="rId2353" ref="A2534"/>
    <hyperlink r:id="rId2354" ref="A2535"/>
    <hyperlink r:id="rId2355" ref="A2536"/>
    <hyperlink r:id="rId2356" ref="A2537"/>
    <hyperlink r:id="rId2357" ref="A2538"/>
    <hyperlink r:id="rId2358" ref="A2539"/>
    <hyperlink r:id="rId2359" ref="A2540"/>
    <hyperlink r:id="rId2360" ref="A2541"/>
    <hyperlink r:id="rId2361" ref="A2542"/>
    <hyperlink r:id="rId2362" ref="A2543"/>
    <hyperlink r:id="rId2363" ref="A2544"/>
    <hyperlink r:id="rId2364" ref="A2545"/>
    <hyperlink r:id="rId2365" ref="A2546"/>
    <hyperlink r:id="rId2366" ref="A2547"/>
    <hyperlink r:id="rId2367" ref="A2548"/>
    <hyperlink r:id="rId2368" ref="A2549"/>
    <hyperlink r:id="rId2369" ref="A2550"/>
    <hyperlink r:id="rId2370" ref="A2551"/>
    <hyperlink r:id="rId2371" ref="A2552"/>
    <hyperlink r:id="rId2372" ref="A2553"/>
    <hyperlink r:id="rId2373" ref="A2554"/>
    <hyperlink r:id="rId2374" ref="A2555"/>
    <hyperlink r:id="rId2375" ref="A2556"/>
    <hyperlink r:id="rId2376" ref="A2557"/>
    <hyperlink r:id="rId2377" ref="A2558"/>
    <hyperlink r:id="rId2378" ref="A2559"/>
    <hyperlink r:id="rId2379" ref="A2560"/>
    <hyperlink r:id="rId2380" ref="A2561"/>
    <hyperlink r:id="rId2381" ref="A2562"/>
    <hyperlink r:id="rId2382" ref="A2563"/>
    <hyperlink r:id="rId2383" ref="A2564"/>
    <hyperlink r:id="rId2384" ref="A2565"/>
    <hyperlink r:id="rId2385" ref="A2566"/>
    <hyperlink r:id="rId2386" ref="A2567"/>
    <hyperlink r:id="rId2387" ref="A2568"/>
    <hyperlink r:id="rId2388" ref="A2569"/>
    <hyperlink r:id="rId2389" ref="A2570"/>
    <hyperlink r:id="rId2390" ref="A2571"/>
    <hyperlink r:id="rId2391" ref="A2572"/>
    <hyperlink r:id="rId2392" ref="A2573"/>
    <hyperlink r:id="rId2393" ref="A2574"/>
    <hyperlink r:id="rId2394" ref="A2575"/>
    <hyperlink r:id="rId2395" ref="A2576"/>
    <hyperlink r:id="rId2396" ref="A2577"/>
    <hyperlink r:id="rId2397" ref="A2578"/>
    <hyperlink r:id="rId2398" ref="A2579"/>
    <hyperlink r:id="rId2399" ref="A2580"/>
    <hyperlink r:id="rId2400" ref="A2581"/>
    <hyperlink r:id="rId2401" ref="A2582"/>
    <hyperlink r:id="rId2402" ref="A2583"/>
    <hyperlink r:id="rId2403" ref="A2584"/>
    <hyperlink r:id="rId2404" ref="A2585"/>
    <hyperlink r:id="rId2405" ref="A2586"/>
    <hyperlink r:id="rId2406" ref="A2587"/>
    <hyperlink r:id="rId2407" ref="A2588"/>
    <hyperlink r:id="rId2408" ref="A2589"/>
    <hyperlink r:id="rId2409" ref="A2590"/>
    <hyperlink r:id="rId2410" ref="A2591"/>
    <hyperlink r:id="rId2411" ref="A2592"/>
    <hyperlink r:id="rId2412" ref="A2593"/>
    <hyperlink r:id="rId2413" ref="A2594"/>
    <hyperlink r:id="rId2414" ref="A2595"/>
    <hyperlink r:id="rId2415" ref="A2596"/>
    <hyperlink r:id="rId2416" ref="A2597"/>
    <hyperlink r:id="rId2417" ref="A2598"/>
    <hyperlink r:id="rId2418" ref="A2599"/>
    <hyperlink r:id="rId2419" ref="A2600"/>
    <hyperlink r:id="rId2420" ref="A2601"/>
    <hyperlink r:id="rId2421" ref="A2602"/>
    <hyperlink r:id="rId2422" ref="A2603"/>
    <hyperlink r:id="rId2423" ref="A2604"/>
    <hyperlink r:id="rId2424" ref="A2605"/>
    <hyperlink r:id="rId2425" ref="A2606"/>
    <hyperlink r:id="rId2426" ref="A2607"/>
    <hyperlink r:id="rId2427" ref="A2608"/>
    <hyperlink r:id="rId2428" ref="A2609"/>
    <hyperlink r:id="rId2429" ref="A2610"/>
    <hyperlink r:id="rId2430" ref="A2611"/>
    <hyperlink r:id="rId2431" ref="A2612"/>
    <hyperlink r:id="rId2432" ref="A2613"/>
    <hyperlink r:id="rId2433" ref="A2614"/>
    <hyperlink r:id="rId2434" ref="A2615"/>
    <hyperlink r:id="rId2435" ref="A2616"/>
    <hyperlink r:id="rId2436" ref="A2617"/>
    <hyperlink r:id="rId2437" ref="A2618"/>
    <hyperlink r:id="rId2438" ref="A2619"/>
    <hyperlink r:id="rId2439" ref="A2620"/>
    <hyperlink r:id="rId2440" ref="A2621"/>
    <hyperlink r:id="rId2441" ref="A2622"/>
    <hyperlink r:id="rId2442" ref="A2623"/>
    <hyperlink r:id="rId2443" ref="A2624"/>
    <hyperlink r:id="rId2444" ref="A2625"/>
    <hyperlink r:id="rId2445" ref="A2626"/>
    <hyperlink r:id="rId2446" ref="A2627"/>
    <hyperlink r:id="rId2447" ref="A2628"/>
    <hyperlink r:id="rId2448" ref="A2629"/>
    <hyperlink r:id="rId2449" ref="A2630"/>
    <hyperlink r:id="rId2450" ref="A2631"/>
    <hyperlink r:id="rId2451" ref="A2632"/>
    <hyperlink r:id="rId2452" ref="A2633"/>
    <hyperlink r:id="rId2453" ref="A2634"/>
    <hyperlink r:id="rId2454" ref="A2635"/>
    <hyperlink r:id="rId2455" ref="A2636"/>
    <hyperlink r:id="rId2456" ref="A2637"/>
    <hyperlink r:id="rId2457" ref="A2638"/>
    <hyperlink r:id="rId2458" ref="A2639"/>
    <hyperlink r:id="rId2459" ref="A2640"/>
    <hyperlink r:id="rId2460" ref="A2641"/>
    <hyperlink r:id="rId2461" ref="A2642"/>
    <hyperlink r:id="rId2462" ref="A2643"/>
    <hyperlink r:id="rId2463" ref="A2644"/>
    <hyperlink r:id="rId2464" ref="A2645"/>
    <hyperlink r:id="rId2465" ref="A2646"/>
    <hyperlink r:id="rId2466" ref="A2647"/>
    <hyperlink r:id="rId2467" ref="A2648"/>
    <hyperlink r:id="rId2468" ref="A2649"/>
    <hyperlink r:id="rId2469" ref="A2650"/>
    <hyperlink r:id="rId2470" ref="A2651"/>
    <hyperlink r:id="rId2471" ref="A2652"/>
    <hyperlink r:id="rId2472" ref="A2653"/>
    <hyperlink r:id="rId2473" ref="A2654"/>
    <hyperlink r:id="rId2474" ref="A2655"/>
    <hyperlink r:id="rId2475" ref="A2656"/>
    <hyperlink r:id="rId2476" ref="A2657"/>
    <hyperlink r:id="rId2477" ref="A2658"/>
    <hyperlink r:id="rId2478" ref="A2659"/>
    <hyperlink r:id="rId2479" ref="A2660"/>
    <hyperlink r:id="rId2480" ref="A2661"/>
    <hyperlink r:id="rId2481" ref="A2662"/>
    <hyperlink r:id="rId2482" ref="A2663"/>
    <hyperlink r:id="rId2483" ref="A2664"/>
    <hyperlink r:id="rId2484" ref="A2665"/>
    <hyperlink r:id="rId2485" ref="A2666"/>
    <hyperlink r:id="rId2486" ref="A2667"/>
    <hyperlink r:id="rId2487" ref="A2668"/>
    <hyperlink r:id="rId2488" ref="A2669"/>
    <hyperlink r:id="rId2489" ref="A2670"/>
    <hyperlink r:id="rId2490" ref="A2671"/>
    <hyperlink r:id="rId2491" ref="A2672"/>
    <hyperlink r:id="rId2492" ref="A2673"/>
    <hyperlink r:id="rId2493" ref="A2674"/>
    <hyperlink r:id="rId2494" ref="A2675"/>
    <hyperlink r:id="rId2495" ref="A2676"/>
    <hyperlink r:id="rId2496" ref="A2677"/>
    <hyperlink r:id="rId2497" ref="A2678"/>
    <hyperlink r:id="rId2498" ref="A2679"/>
    <hyperlink r:id="rId2499" ref="A2680"/>
    <hyperlink r:id="rId2500" ref="A2681"/>
    <hyperlink r:id="rId2501" ref="A2682"/>
    <hyperlink r:id="rId2502" ref="A2683"/>
    <hyperlink r:id="rId2503" ref="A2684"/>
    <hyperlink r:id="rId2504" ref="A2685"/>
    <hyperlink r:id="rId2505" ref="A2686"/>
    <hyperlink r:id="rId2506" ref="A2687"/>
    <hyperlink r:id="rId2507" ref="A2688"/>
    <hyperlink r:id="rId2508" ref="A2689"/>
    <hyperlink r:id="rId2509" ref="A2690"/>
    <hyperlink r:id="rId2510" ref="A2691"/>
    <hyperlink r:id="rId2511" ref="A2692"/>
    <hyperlink r:id="rId2512" ref="A2693"/>
    <hyperlink r:id="rId2513" ref="A2694"/>
    <hyperlink r:id="rId2514" ref="A2695"/>
    <hyperlink r:id="rId2515" ref="A2696"/>
    <hyperlink r:id="rId2516" ref="A2697"/>
    <hyperlink r:id="rId2517" ref="A2698"/>
    <hyperlink r:id="rId2518" ref="A2699"/>
    <hyperlink r:id="rId2519" ref="A2700"/>
    <hyperlink r:id="rId2520" ref="A2701"/>
    <hyperlink r:id="rId2521" ref="A2702"/>
    <hyperlink r:id="rId2522" ref="A2703"/>
    <hyperlink r:id="rId2523" ref="A2704"/>
    <hyperlink r:id="rId2524" ref="A2705"/>
    <hyperlink r:id="rId2525" ref="A2706"/>
    <hyperlink r:id="rId2526" ref="A2707"/>
    <hyperlink r:id="rId2527" ref="A2708"/>
    <hyperlink r:id="rId2528" ref="A2709"/>
    <hyperlink r:id="rId2529" ref="A2710"/>
    <hyperlink r:id="rId2530" ref="A2711"/>
    <hyperlink r:id="rId2531" ref="A2712"/>
    <hyperlink r:id="rId2532" ref="A2713"/>
    <hyperlink r:id="rId2533" ref="A2714"/>
    <hyperlink r:id="rId2534" ref="A2715"/>
    <hyperlink r:id="rId2535" ref="A2716"/>
    <hyperlink r:id="rId2536" ref="A2717"/>
    <hyperlink r:id="rId2537" ref="A2718"/>
    <hyperlink r:id="rId2538" ref="A2719"/>
    <hyperlink r:id="rId2539" ref="A2720"/>
    <hyperlink r:id="rId2540" ref="A2721"/>
    <hyperlink r:id="rId2541" ref="A2722"/>
    <hyperlink r:id="rId2542" ref="A2723"/>
    <hyperlink r:id="rId2543" ref="A2724"/>
    <hyperlink r:id="rId2544" ref="A2725"/>
    <hyperlink r:id="rId2545" ref="A2726"/>
    <hyperlink r:id="rId2546" ref="A2727"/>
    <hyperlink r:id="rId2547" ref="A2728"/>
    <hyperlink r:id="rId2548" ref="A2729"/>
    <hyperlink r:id="rId2549" ref="A2730"/>
    <hyperlink r:id="rId2550" ref="A2731"/>
    <hyperlink r:id="rId2551" ref="A2732"/>
    <hyperlink r:id="rId2552" ref="A2733"/>
    <hyperlink r:id="rId2553" ref="A2734"/>
    <hyperlink r:id="rId2554" ref="A2735"/>
    <hyperlink r:id="rId2555" ref="A2736"/>
    <hyperlink r:id="rId2556" ref="A2737"/>
    <hyperlink r:id="rId2557" ref="A2738"/>
    <hyperlink r:id="rId2558" ref="A2739"/>
    <hyperlink r:id="rId2559" ref="A2740"/>
    <hyperlink r:id="rId2560" ref="A2741"/>
    <hyperlink r:id="rId2561" ref="A2742"/>
    <hyperlink r:id="rId2562" ref="A2743"/>
    <hyperlink r:id="rId2563" ref="A2744"/>
    <hyperlink r:id="rId2564" ref="A2745"/>
    <hyperlink r:id="rId2565" ref="A2746"/>
    <hyperlink r:id="rId2566" ref="A2747"/>
    <hyperlink r:id="rId2567" ref="A2748"/>
    <hyperlink r:id="rId2568" ref="A2749"/>
    <hyperlink r:id="rId2569" ref="A2750"/>
    <hyperlink r:id="rId2570" ref="A2751"/>
    <hyperlink r:id="rId2571" ref="A2752"/>
    <hyperlink r:id="rId2572" ref="A2753"/>
    <hyperlink r:id="rId2573" ref="A2754"/>
    <hyperlink r:id="rId2574" ref="A2755"/>
    <hyperlink r:id="rId2575" ref="A2756"/>
    <hyperlink r:id="rId2576" ref="A2757"/>
    <hyperlink r:id="rId2577" ref="A2758"/>
    <hyperlink r:id="rId2578" ref="A2759"/>
    <hyperlink r:id="rId2579" ref="A2760"/>
    <hyperlink r:id="rId2580" ref="A2761"/>
    <hyperlink r:id="rId2581" ref="A2762"/>
    <hyperlink r:id="rId2582" ref="A2763"/>
    <hyperlink r:id="rId2583" ref="A2764"/>
    <hyperlink r:id="rId2584" ref="A2765"/>
    <hyperlink r:id="rId2585" ref="A2766"/>
    <hyperlink r:id="rId2586" ref="A2767"/>
    <hyperlink r:id="rId2587" ref="A2768"/>
    <hyperlink r:id="rId2588" ref="A2769"/>
    <hyperlink r:id="rId2589" ref="A2770"/>
    <hyperlink r:id="rId2590" ref="A2771"/>
    <hyperlink r:id="rId2591" ref="A2772"/>
    <hyperlink r:id="rId2592" ref="A2773"/>
    <hyperlink r:id="rId2593" ref="A2774"/>
    <hyperlink r:id="rId2594" ref="A2775"/>
    <hyperlink r:id="rId2595" ref="A2776"/>
    <hyperlink r:id="rId2596" ref="A2777"/>
    <hyperlink r:id="rId2597" ref="A2778"/>
    <hyperlink r:id="rId2598" ref="A2779"/>
    <hyperlink r:id="rId2599" ref="A2780"/>
    <hyperlink r:id="rId2600" ref="A2781"/>
    <hyperlink r:id="rId2601" ref="A2782"/>
    <hyperlink r:id="rId2602" ref="A2783"/>
    <hyperlink r:id="rId2603" ref="A2784"/>
    <hyperlink r:id="rId2604" ref="A2785"/>
    <hyperlink r:id="rId2605" ref="A2786"/>
    <hyperlink r:id="rId2606" ref="A2787"/>
    <hyperlink r:id="rId2607" ref="A2788"/>
    <hyperlink r:id="rId2608" ref="A2789"/>
    <hyperlink r:id="rId2609" ref="A2790"/>
    <hyperlink r:id="rId2610" ref="A2791"/>
    <hyperlink r:id="rId2611" ref="A2792"/>
    <hyperlink r:id="rId2612" ref="A2793"/>
    <hyperlink r:id="rId2613" ref="A2794"/>
    <hyperlink r:id="rId2614" ref="A2795"/>
    <hyperlink r:id="rId2615" ref="A2796"/>
    <hyperlink r:id="rId2616" ref="A2797"/>
    <hyperlink r:id="rId2617" ref="A2798"/>
    <hyperlink r:id="rId2618" ref="A2799"/>
    <hyperlink r:id="rId2619" ref="A2800"/>
    <hyperlink r:id="rId2620" ref="A2801"/>
    <hyperlink r:id="rId2621" ref="A2802"/>
    <hyperlink r:id="rId2622" ref="A2803"/>
    <hyperlink r:id="rId2623" ref="A2804"/>
    <hyperlink r:id="rId2624" ref="A2805"/>
    <hyperlink r:id="rId2625" ref="A2806"/>
    <hyperlink r:id="rId2626" ref="A2807"/>
    <hyperlink r:id="rId2627" ref="A2808"/>
    <hyperlink r:id="rId2628" ref="A2809"/>
    <hyperlink r:id="rId2629" ref="A2810"/>
    <hyperlink r:id="rId2630" ref="A2811"/>
    <hyperlink r:id="rId2631" ref="A2812"/>
    <hyperlink r:id="rId2632" ref="A2813"/>
    <hyperlink r:id="rId2633" ref="A2814"/>
    <hyperlink r:id="rId2634" ref="A2815"/>
    <hyperlink r:id="rId2635" ref="A2816"/>
    <hyperlink r:id="rId2636" ref="A2817"/>
    <hyperlink r:id="rId2637" ref="A2818"/>
    <hyperlink r:id="rId2638" ref="A2819"/>
    <hyperlink r:id="rId2639" ref="A2820"/>
    <hyperlink r:id="rId2640" ref="A2821"/>
    <hyperlink r:id="rId2641" ref="A2822"/>
    <hyperlink r:id="rId2642" ref="A2823"/>
    <hyperlink r:id="rId2643" ref="A2824"/>
    <hyperlink r:id="rId2644" ref="A2825"/>
    <hyperlink r:id="rId2645" ref="A2826"/>
    <hyperlink r:id="rId2646" ref="A2827"/>
    <hyperlink r:id="rId2647" ref="A2828"/>
    <hyperlink r:id="rId2648" ref="A2829"/>
    <hyperlink r:id="rId2649" ref="A2830"/>
    <hyperlink r:id="rId2650" ref="A2831"/>
    <hyperlink r:id="rId2651" ref="A2832"/>
    <hyperlink r:id="rId2652" ref="A2833"/>
    <hyperlink r:id="rId2653" ref="A2834"/>
    <hyperlink r:id="rId2654" ref="A2835"/>
    <hyperlink r:id="rId2655" ref="A2836"/>
    <hyperlink r:id="rId2656" ref="A2837"/>
    <hyperlink r:id="rId2657" ref="A2838"/>
    <hyperlink r:id="rId2658" ref="A2839"/>
    <hyperlink r:id="rId2659" ref="A2840"/>
    <hyperlink r:id="rId2660" ref="A2841"/>
    <hyperlink r:id="rId2661" ref="A2842"/>
    <hyperlink r:id="rId2662" ref="A2843"/>
    <hyperlink r:id="rId2663" ref="A2844"/>
    <hyperlink r:id="rId2664" ref="A2845"/>
    <hyperlink r:id="rId2665" ref="A2846"/>
    <hyperlink r:id="rId2666" ref="A2847"/>
    <hyperlink r:id="rId2667" ref="A2848"/>
    <hyperlink r:id="rId2668" ref="A2849"/>
    <hyperlink r:id="rId2669" ref="A2850"/>
    <hyperlink r:id="rId2670" ref="A2851"/>
    <hyperlink r:id="rId2671" ref="A2852"/>
    <hyperlink r:id="rId2672" ref="A2853"/>
    <hyperlink r:id="rId2673" ref="A2854"/>
    <hyperlink r:id="rId2674" ref="A2855"/>
    <hyperlink r:id="rId2675" ref="A2856"/>
    <hyperlink r:id="rId2676" ref="A2857"/>
    <hyperlink r:id="rId2677" ref="A2858"/>
    <hyperlink r:id="rId2678" ref="A2859"/>
    <hyperlink r:id="rId2679" ref="A2860"/>
    <hyperlink r:id="rId2680" ref="A2861"/>
    <hyperlink r:id="rId2681" ref="A2862"/>
    <hyperlink r:id="rId2682" ref="A2863"/>
    <hyperlink r:id="rId2683" ref="A2864"/>
    <hyperlink r:id="rId2684" ref="A2865"/>
    <hyperlink r:id="rId2685" ref="A2866"/>
    <hyperlink r:id="rId2686" ref="A2867"/>
    <hyperlink r:id="rId2687" ref="A2868"/>
    <hyperlink r:id="rId2688" ref="A2869"/>
    <hyperlink r:id="rId2689" ref="A2870"/>
    <hyperlink r:id="rId2690" ref="A2871"/>
    <hyperlink r:id="rId2691" ref="A2872"/>
    <hyperlink r:id="rId2692" ref="A2873"/>
    <hyperlink r:id="rId2693" ref="A2874"/>
    <hyperlink r:id="rId2694" ref="A2875"/>
    <hyperlink r:id="rId2695" ref="A2876"/>
    <hyperlink r:id="rId2696" ref="A2877"/>
    <hyperlink r:id="rId2697" ref="A2878"/>
    <hyperlink r:id="rId2698" ref="A2879"/>
    <hyperlink r:id="rId2699" ref="A2880"/>
    <hyperlink r:id="rId2700" ref="A2881"/>
    <hyperlink r:id="rId2701" ref="A2882"/>
    <hyperlink r:id="rId2702" ref="A2883"/>
    <hyperlink r:id="rId2703" ref="A2884"/>
    <hyperlink r:id="rId2704" ref="A2885"/>
    <hyperlink r:id="rId2705" ref="A2886"/>
    <hyperlink r:id="rId2706" ref="A2887"/>
    <hyperlink r:id="rId2707" ref="A2888"/>
    <hyperlink r:id="rId2708" ref="A2889"/>
    <hyperlink r:id="rId2709" ref="A2890"/>
    <hyperlink r:id="rId2710" ref="A2891"/>
    <hyperlink r:id="rId2711" ref="A2892"/>
    <hyperlink r:id="rId2712" ref="A2893"/>
    <hyperlink r:id="rId2713" ref="A2894"/>
    <hyperlink r:id="rId2714" ref="A2895"/>
    <hyperlink r:id="rId2715" ref="A2896"/>
    <hyperlink r:id="rId2716" ref="A2897"/>
    <hyperlink r:id="rId2717" ref="A2898"/>
    <hyperlink r:id="rId2718" ref="A2899"/>
    <hyperlink r:id="rId2719" ref="A2900"/>
    <hyperlink r:id="rId2720" ref="A2901"/>
    <hyperlink r:id="rId2721" ref="A2902"/>
    <hyperlink r:id="rId2722" ref="A2903"/>
    <hyperlink r:id="rId2723" ref="A2904"/>
    <hyperlink r:id="rId2724" ref="A2905"/>
    <hyperlink r:id="rId2725" ref="A2906"/>
    <hyperlink r:id="rId2726" ref="A2907"/>
    <hyperlink r:id="rId2727" ref="A2908"/>
    <hyperlink r:id="rId2728" ref="A2909"/>
    <hyperlink r:id="rId2729" ref="A2910"/>
    <hyperlink r:id="rId2730" ref="A2911"/>
    <hyperlink r:id="rId2731" ref="A2912"/>
    <hyperlink r:id="rId2732" ref="A2913"/>
    <hyperlink r:id="rId2733" ref="A2914"/>
    <hyperlink r:id="rId2734" ref="A2915"/>
    <hyperlink r:id="rId2735" ref="A2916"/>
    <hyperlink r:id="rId2736" ref="A2917"/>
    <hyperlink r:id="rId2737" ref="A2918"/>
    <hyperlink r:id="rId2738" ref="A2919"/>
    <hyperlink r:id="rId2739" ref="A2920"/>
    <hyperlink r:id="rId2740" ref="A2921"/>
    <hyperlink r:id="rId2741" ref="A2922"/>
    <hyperlink r:id="rId2742" ref="A2923"/>
    <hyperlink r:id="rId2743" ref="A2924"/>
    <hyperlink r:id="rId2744" ref="A2925"/>
    <hyperlink r:id="rId2745" ref="A2926"/>
    <hyperlink r:id="rId2746" ref="A2927"/>
    <hyperlink r:id="rId2747" ref="A2928"/>
    <hyperlink r:id="rId2748" ref="A2929"/>
    <hyperlink r:id="rId2749" ref="A2930"/>
    <hyperlink r:id="rId2750" ref="A2931"/>
    <hyperlink r:id="rId2751" ref="A2932"/>
    <hyperlink r:id="rId2752" ref="A2933"/>
    <hyperlink r:id="rId2753" ref="A2934"/>
    <hyperlink r:id="rId2754" ref="A2935"/>
    <hyperlink r:id="rId2755" ref="A2936"/>
    <hyperlink r:id="rId2756" ref="A2937"/>
    <hyperlink r:id="rId2757" ref="A2938"/>
    <hyperlink r:id="rId2758" ref="A2939"/>
    <hyperlink r:id="rId2759" ref="A2940"/>
    <hyperlink r:id="rId2760" ref="A2941"/>
    <hyperlink r:id="rId2761" ref="A2942"/>
    <hyperlink r:id="rId2762" ref="A2943"/>
    <hyperlink r:id="rId2763" ref="A2944"/>
    <hyperlink r:id="rId2764" ref="A2945"/>
    <hyperlink r:id="rId2765" ref="A2946"/>
    <hyperlink r:id="rId2766" ref="A2947"/>
    <hyperlink r:id="rId2767" ref="A2948"/>
    <hyperlink r:id="rId2768" ref="A2949"/>
    <hyperlink r:id="rId2769" ref="A2950"/>
    <hyperlink r:id="rId2770" ref="A2951"/>
    <hyperlink r:id="rId2771" ref="A2952"/>
    <hyperlink r:id="rId2772" ref="A2953"/>
    <hyperlink r:id="rId2773" ref="A2954"/>
    <hyperlink r:id="rId2774" ref="A2955"/>
    <hyperlink r:id="rId2775" ref="A2956"/>
    <hyperlink r:id="rId2776" ref="A2957"/>
    <hyperlink r:id="rId2777" ref="A2958"/>
    <hyperlink r:id="rId2778" ref="A2959"/>
    <hyperlink r:id="rId2779" ref="A2960"/>
    <hyperlink r:id="rId2780" ref="A2961"/>
    <hyperlink r:id="rId2781" ref="A2962"/>
    <hyperlink r:id="rId2782" ref="A2963"/>
    <hyperlink r:id="rId2783" ref="A2964"/>
    <hyperlink r:id="rId2784" ref="A2965"/>
    <hyperlink r:id="rId2785" ref="A2966"/>
    <hyperlink r:id="rId2786" ref="A2967"/>
    <hyperlink r:id="rId2787" ref="A2968"/>
    <hyperlink r:id="rId2788" ref="A2969"/>
    <hyperlink r:id="rId2789" ref="A2970"/>
    <hyperlink r:id="rId2790" ref="A2971"/>
    <hyperlink r:id="rId2791" ref="A2972"/>
    <hyperlink r:id="rId2792" ref="A2973"/>
    <hyperlink r:id="rId2793" ref="A2974"/>
    <hyperlink r:id="rId2794" ref="A2975"/>
    <hyperlink r:id="rId2795" ref="A2976"/>
    <hyperlink r:id="rId2796" ref="A2977"/>
    <hyperlink r:id="rId2797" ref="A2978"/>
    <hyperlink r:id="rId2798" ref="A2979"/>
    <hyperlink r:id="rId2799" ref="A2980"/>
    <hyperlink r:id="rId2800" ref="A2981"/>
    <hyperlink r:id="rId2801" ref="A2982"/>
    <hyperlink r:id="rId2802" ref="A2983"/>
    <hyperlink r:id="rId2803" ref="A2984"/>
    <hyperlink r:id="rId2804" ref="A2985"/>
    <hyperlink r:id="rId2805" ref="A2986"/>
    <hyperlink r:id="rId2806" ref="A2987"/>
    <hyperlink r:id="rId2807" ref="A2988"/>
    <hyperlink r:id="rId2808" ref="A2989"/>
    <hyperlink r:id="rId2809" ref="A2990"/>
    <hyperlink r:id="rId2810" ref="A2991"/>
    <hyperlink r:id="rId2811" ref="A2992"/>
    <hyperlink r:id="rId2812" ref="A2993"/>
    <hyperlink r:id="rId2813" ref="A2994"/>
    <hyperlink r:id="rId2814" ref="A2995"/>
    <hyperlink r:id="rId2815" ref="A2996"/>
    <hyperlink r:id="rId2816" ref="A2997"/>
    <hyperlink r:id="rId2817" ref="A2998"/>
    <hyperlink r:id="rId2818" ref="A2999"/>
    <hyperlink r:id="rId2819" ref="A3000"/>
    <hyperlink r:id="rId2820" ref="A3001"/>
    <hyperlink r:id="rId2821" ref="A3002"/>
    <hyperlink r:id="rId2822" ref="A3003"/>
    <hyperlink r:id="rId2823" ref="A3004"/>
    <hyperlink r:id="rId2824" ref="A3005"/>
    <hyperlink r:id="rId2825" ref="A3006"/>
    <hyperlink r:id="rId2826" ref="A3007"/>
    <hyperlink r:id="rId2827" ref="A3008"/>
    <hyperlink r:id="rId2828" ref="A3009"/>
    <hyperlink r:id="rId2829" ref="A3010"/>
    <hyperlink r:id="rId2830" ref="A3011"/>
    <hyperlink r:id="rId2831" ref="A3012"/>
    <hyperlink r:id="rId2832" ref="A3013"/>
    <hyperlink r:id="rId2833" ref="A3014"/>
    <hyperlink r:id="rId2834" ref="A3015"/>
    <hyperlink r:id="rId2835" ref="A3016"/>
    <hyperlink r:id="rId2836" ref="A3017"/>
    <hyperlink r:id="rId2837" ref="A3018"/>
    <hyperlink r:id="rId2838" ref="A3019"/>
    <hyperlink r:id="rId2839" ref="A3020"/>
    <hyperlink r:id="rId2840" ref="A3021"/>
    <hyperlink r:id="rId2841" ref="A3022"/>
    <hyperlink r:id="rId2842" ref="A3023"/>
    <hyperlink r:id="rId2843" ref="A3024"/>
    <hyperlink r:id="rId2844" ref="A3025"/>
    <hyperlink r:id="rId2845" ref="A3026"/>
    <hyperlink r:id="rId2846" ref="A3027"/>
    <hyperlink r:id="rId2847" ref="A3028"/>
    <hyperlink r:id="rId2848" ref="A3029"/>
    <hyperlink r:id="rId2849" ref="A3030"/>
    <hyperlink r:id="rId2850" ref="A3031"/>
    <hyperlink r:id="rId2851" ref="A3032"/>
    <hyperlink r:id="rId2852" ref="A3033"/>
    <hyperlink r:id="rId2853" ref="A3034"/>
    <hyperlink r:id="rId2854" ref="A3035"/>
    <hyperlink r:id="rId2855" ref="A3036"/>
    <hyperlink r:id="rId2856" ref="A3037"/>
    <hyperlink r:id="rId2857" ref="A3038"/>
    <hyperlink r:id="rId2858" ref="A3039"/>
    <hyperlink r:id="rId2859" ref="A3040"/>
    <hyperlink r:id="rId2860" ref="A3041"/>
    <hyperlink r:id="rId2861" ref="A3042"/>
    <hyperlink r:id="rId2862" ref="A3043"/>
    <hyperlink r:id="rId2863" ref="A3044"/>
    <hyperlink r:id="rId2864" ref="A3045"/>
    <hyperlink r:id="rId2865" ref="A3046"/>
    <hyperlink r:id="rId2866" ref="A3047"/>
    <hyperlink r:id="rId2867" ref="A3048"/>
    <hyperlink r:id="rId2868" ref="A3049"/>
    <hyperlink r:id="rId2869" ref="A3050"/>
    <hyperlink r:id="rId2870" ref="A3051"/>
    <hyperlink r:id="rId2871" ref="A3052"/>
    <hyperlink r:id="rId2872" ref="A3053"/>
    <hyperlink r:id="rId2873" ref="A3054"/>
    <hyperlink r:id="rId2874" ref="A3055"/>
    <hyperlink r:id="rId2875" ref="A3056"/>
    <hyperlink r:id="rId2876" ref="A3057"/>
    <hyperlink r:id="rId2877" ref="A3058"/>
    <hyperlink r:id="rId2878" ref="A3059"/>
    <hyperlink r:id="rId2879" ref="A3060"/>
    <hyperlink r:id="rId2880" ref="A3061"/>
    <hyperlink r:id="rId2881" ref="A3062"/>
    <hyperlink r:id="rId2882" ref="A3063"/>
    <hyperlink r:id="rId2883" ref="A3064"/>
    <hyperlink r:id="rId2884" ref="A3065"/>
    <hyperlink r:id="rId2885" ref="A3066"/>
    <hyperlink r:id="rId2886" ref="A3067"/>
    <hyperlink r:id="rId2887" ref="A3068"/>
    <hyperlink r:id="rId2888" ref="A3069"/>
    <hyperlink r:id="rId2889" ref="A3070"/>
    <hyperlink r:id="rId2890" ref="A3071"/>
  </hyperlinks>
  <drawing r:id="rId2891"/>
  <tableParts count="1">
    <tablePart r:id="rId289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63"/>
    <col customWidth="1" min="3" max="3" width="19.25"/>
    <col customWidth="1" min="4" max="4" width="15.25"/>
    <col customWidth="1" min="5" max="5" width="21.88"/>
    <col customWidth="1" min="6" max="6" width="20.0"/>
    <col customWidth="1" min="11" max="12" width="60.0"/>
    <col customWidth="1" min="14" max="14" width="27.0"/>
    <col customWidth="1" min="15" max="15" width="11.88"/>
    <col customWidth="1" min="16" max="16" width="11.0"/>
    <col customWidth="1" min="17" max="17" width="18.38"/>
    <col customWidth="1" min="18" max="18" width="25.13"/>
    <col customWidth="1" min="20" max="20" width="14.88"/>
    <col customWidth="1" min="21" max="21" width="15.75"/>
    <col customWidth="1" min="23" max="23" width="7.13"/>
    <col customWidth="1" min="24" max="24" width="11.0"/>
    <col customWidth="1" min="25" max="25" width="18.38"/>
    <col customWidth="1" min="26" max="26" width="19.75"/>
    <col customWidth="1" min="27" max="27" width="34.63"/>
    <col customWidth="1" min="28" max="28" width="18.5"/>
    <col customWidth="1" min="29" max="29" width="36.13"/>
    <col customWidth="1" min="30" max="30" width="27.75"/>
    <col customWidth="1" min="31" max="31" width="10.0"/>
    <col customWidth="1" min="32" max="32" width="10.13"/>
    <col customWidth="1" min="33" max="33" width="12.75"/>
    <col customWidth="1" min="34" max="34" width="13.13"/>
  </cols>
  <sheetData>
    <row r="1">
      <c r="A1" s="45" t="s">
        <v>14039</v>
      </c>
      <c r="B1" s="45" t="s">
        <v>1</v>
      </c>
      <c r="C1" s="45" t="s">
        <v>2</v>
      </c>
      <c r="D1" s="46" t="s">
        <v>3</v>
      </c>
      <c r="E1" s="45" t="s">
        <v>4</v>
      </c>
      <c r="F1" s="45" t="s">
        <v>5</v>
      </c>
      <c r="G1" s="45" t="s">
        <v>6</v>
      </c>
      <c r="H1" s="45" t="s">
        <v>7</v>
      </c>
      <c r="I1" s="45" t="s">
        <v>8</v>
      </c>
      <c r="J1" s="45" t="s">
        <v>9</v>
      </c>
      <c r="K1" s="45" t="s">
        <v>10</v>
      </c>
      <c r="L1" s="45" t="s">
        <v>11</v>
      </c>
      <c r="M1" s="45" t="s">
        <v>12</v>
      </c>
      <c r="N1" s="45" t="s">
        <v>13</v>
      </c>
      <c r="O1" s="47" t="s">
        <v>14</v>
      </c>
      <c r="P1" s="45" t="s">
        <v>15</v>
      </c>
      <c r="Q1" s="45" t="s">
        <v>16</v>
      </c>
      <c r="R1" s="45" t="s">
        <v>17</v>
      </c>
      <c r="S1" s="45" t="s">
        <v>18</v>
      </c>
      <c r="T1" s="45" t="s">
        <v>13</v>
      </c>
      <c r="U1" s="45" t="s">
        <v>20</v>
      </c>
      <c r="V1" s="48" t="s">
        <v>14</v>
      </c>
      <c r="W1" s="45" t="s">
        <v>5</v>
      </c>
      <c r="X1" s="45" t="s">
        <v>15</v>
      </c>
      <c r="Y1" s="45" t="s">
        <v>16</v>
      </c>
      <c r="Z1" s="45" t="s">
        <v>25</v>
      </c>
      <c r="AA1" s="45" t="s">
        <v>17</v>
      </c>
      <c r="AB1" s="45" t="s">
        <v>18</v>
      </c>
      <c r="AC1" s="45" t="s">
        <v>28</v>
      </c>
      <c r="AD1" s="45" t="s">
        <v>29</v>
      </c>
      <c r="AE1" s="45" t="s">
        <v>30</v>
      </c>
      <c r="AF1" s="45" t="s">
        <v>31</v>
      </c>
      <c r="AG1" s="45" t="s">
        <v>32</v>
      </c>
      <c r="AH1" s="45" t="s">
        <v>33</v>
      </c>
    </row>
    <row r="2">
      <c r="A2" s="49" t="s">
        <v>940</v>
      </c>
      <c r="B2" s="50" t="s">
        <v>941</v>
      </c>
      <c r="C2" s="50" t="s">
        <v>942</v>
      </c>
      <c r="D2" s="51"/>
      <c r="E2" s="50" t="s">
        <v>943</v>
      </c>
      <c r="F2" s="50" t="s">
        <v>944</v>
      </c>
      <c r="G2" s="50" t="s">
        <v>945</v>
      </c>
      <c r="H2" s="50" t="s">
        <v>946</v>
      </c>
      <c r="I2" s="50">
        <v>30097.0</v>
      </c>
      <c r="J2" s="50" t="s">
        <v>752</v>
      </c>
      <c r="K2" s="50" t="s">
        <v>51</v>
      </c>
      <c r="L2" s="50"/>
      <c r="M2" s="50">
        <v>1.0</v>
      </c>
      <c r="N2" s="50" t="s">
        <v>52</v>
      </c>
      <c r="O2" s="52" t="s">
        <v>947</v>
      </c>
      <c r="P2" s="53">
        <v>45890.0</v>
      </c>
      <c r="Q2" s="50" t="s">
        <v>160</v>
      </c>
      <c r="R2" s="50"/>
      <c r="S2" s="50" t="s">
        <v>52</v>
      </c>
      <c r="T2" s="50" t="s">
        <v>52</v>
      </c>
      <c r="U2" s="50" t="s">
        <v>948</v>
      </c>
      <c r="V2" s="54" t="s">
        <v>947</v>
      </c>
      <c r="W2" s="50"/>
      <c r="X2" s="53">
        <v>45877.0</v>
      </c>
      <c r="Y2" s="50"/>
      <c r="Z2" s="50"/>
      <c r="AA2" s="50"/>
      <c r="AB2" s="50" t="s">
        <v>52</v>
      </c>
      <c r="AC2" s="50"/>
      <c r="AD2" s="50"/>
      <c r="AE2" s="50"/>
      <c r="AF2" s="50"/>
      <c r="AG2" s="50"/>
      <c r="AH2" s="50"/>
    </row>
    <row r="3">
      <c r="A3" s="55" t="s">
        <v>949</v>
      </c>
      <c r="B3" s="56" t="s">
        <v>950</v>
      </c>
      <c r="C3" s="56" t="s">
        <v>951</v>
      </c>
      <c r="D3" s="57"/>
      <c r="E3" s="56" t="s">
        <v>952</v>
      </c>
      <c r="F3" s="56" t="s">
        <v>953</v>
      </c>
      <c r="G3" s="56" t="s">
        <v>751</v>
      </c>
      <c r="H3" s="56" t="s">
        <v>751</v>
      </c>
      <c r="I3" s="56" t="s">
        <v>954</v>
      </c>
      <c r="J3" s="56" t="s">
        <v>752</v>
      </c>
      <c r="K3" s="56" t="s">
        <v>75</v>
      </c>
      <c r="L3" s="56"/>
      <c r="M3" s="56">
        <v>49.0</v>
      </c>
      <c r="N3" s="56"/>
      <c r="O3" s="58" t="s">
        <v>955</v>
      </c>
      <c r="P3" s="59">
        <v>45877.0</v>
      </c>
      <c r="Q3" s="56"/>
      <c r="R3" s="56"/>
      <c r="S3" s="56" t="s">
        <v>52</v>
      </c>
      <c r="T3" s="56" t="s">
        <v>52</v>
      </c>
      <c r="U3" s="56" t="s">
        <v>956</v>
      </c>
      <c r="V3" s="60" t="s">
        <v>955</v>
      </c>
      <c r="W3" s="56"/>
      <c r="X3" s="59">
        <v>45877.0</v>
      </c>
      <c r="Y3" s="56"/>
      <c r="Z3" s="56" t="s">
        <v>808</v>
      </c>
      <c r="AA3" s="56"/>
      <c r="AB3" s="56" t="s">
        <v>52</v>
      </c>
      <c r="AC3" s="56"/>
      <c r="AD3" s="56"/>
      <c r="AE3" s="56"/>
      <c r="AF3" s="56"/>
      <c r="AG3" s="56"/>
      <c r="AH3" s="56"/>
    </row>
    <row r="4">
      <c r="A4" s="49" t="s">
        <v>983</v>
      </c>
      <c r="B4" s="50" t="s">
        <v>984</v>
      </c>
      <c r="C4" s="50" t="s">
        <v>985</v>
      </c>
      <c r="D4" s="51"/>
      <c r="E4" s="50" t="s">
        <v>986</v>
      </c>
      <c r="F4" s="50" t="s">
        <v>987</v>
      </c>
      <c r="G4" s="50" t="s">
        <v>988</v>
      </c>
      <c r="H4" s="50" t="s">
        <v>989</v>
      </c>
      <c r="I4" s="50">
        <v>91367.0</v>
      </c>
      <c r="J4" s="50" t="s">
        <v>752</v>
      </c>
      <c r="K4" s="50" t="s">
        <v>95</v>
      </c>
      <c r="L4" s="50" t="s">
        <v>95</v>
      </c>
      <c r="M4" s="50">
        <v>49.0</v>
      </c>
      <c r="N4" s="50"/>
      <c r="O4" s="52" t="s">
        <v>990</v>
      </c>
      <c r="P4" s="53">
        <v>45877.0</v>
      </c>
      <c r="Q4" s="50"/>
      <c r="R4" s="50"/>
      <c r="S4" s="50" t="s">
        <v>52</v>
      </c>
      <c r="T4" s="50" t="s">
        <v>52</v>
      </c>
      <c r="U4" s="50" t="s">
        <v>982</v>
      </c>
      <c r="V4" s="54" t="s">
        <v>990</v>
      </c>
      <c r="W4" s="50"/>
      <c r="X4" s="53">
        <v>45877.0</v>
      </c>
      <c r="Y4" s="50"/>
      <c r="Z4" s="50"/>
      <c r="AA4" s="50"/>
      <c r="AB4" s="50" t="s">
        <v>52</v>
      </c>
      <c r="AC4" s="50"/>
      <c r="AD4" s="50"/>
      <c r="AE4" s="50"/>
      <c r="AF4" s="50"/>
      <c r="AG4" s="50"/>
      <c r="AH4" s="50"/>
    </row>
    <row r="5">
      <c r="A5" s="55" t="s">
        <v>1013</v>
      </c>
      <c r="B5" s="56" t="s">
        <v>1014</v>
      </c>
      <c r="C5" s="56" t="s">
        <v>1015</v>
      </c>
      <c r="D5" s="57"/>
      <c r="E5" s="56" t="s">
        <v>1016</v>
      </c>
      <c r="F5" s="56" t="s">
        <v>1017</v>
      </c>
      <c r="G5" s="56" t="s">
        <v>1018</v>
      </c>
      <c r="H5" s="56" t="s">
        <v>1019</v>
      </c>
      <c r="I5" s="56">
        <v>60103.0</v>
      </c>
      <c r="J5" s="56" t="s">
        <v>752</v>
      </c>
      <c r="K5" s="56" t="s">
        <v>66</v>
      </c>
      <c r="L5" s="56" t="s">
        <v>648</v>
      </c>
      <c r="M5" s="56">
        <v>145.0</v>
      </c>
      <c r="N5" s="56"/>
      <c r="O5" s="58" t="s">
        <v>1020</v>
      </c>
      <c r="P5" s="59">
        <v>45877.0</v>
      </c>
      <c r="Q5" s="56"/>
      <c r="R5" s="56"/>
      <c r="S5" s="56"/>
      <c r="T5" s="56"/>
      <c r="U5" s="56" t="s">
        <v>1021</v>
      </c>
      <c r="V5" s="60" t="s">
        <v>1020</v>
      </c>
      <c r="W5" s="56"/>
      <c r="X5" s="59">
        <v>45877.0</v>
      </c>
      <c r="Y5" s="56"/>
      <c r="Z5" s="56"/>
      <c r="AA5" s="56"/>
      <c r="AB5" s="56"/>
      <c r="AC5" s="56"/>
      <c r="AD5" s="56"/>
      <c r="AE5" s="56"/>
      <c r="AF5" s="56"/>
      <c r="AG5" s="56"/>
      <c r="AH5" s="56"/>
    </row>
    <row r="6">
      <c r="A6" s="49" t="s">
        <v>1022</v>
      </c>
      <c r="B6" s="50" t="s">
        <v>1023</v>
      </c>
      <c r="C6" s="50" t="s">
        <v>1024</v>
      </c>
      <c r="D6" s="51"/>
      <c r="E6" s="50" t="s">
        <v>1025</v>
      </c>
      <c r="F6" s="50" t="s">
        <v>1026</v>
      </c>
      <c r="G6" s="50" t="s">
        <v>1027</v>
      </c>
      <c r="H6" s="50" t="s">
        <v>1028</v>
      </c>
      <c r="I6" s="50">
        <v>87112.0</v>
      </c>
      <c r="J6" s="50" t="s">
        <v>752</v>
      </c>
      <c r="K6" s="50" t="s">
        <v>95</v>
      </c>
      <c r="L6" s="50" t="s">
        <v>95</v>
      </c>
      <c r="M6" s="50">
        <v>49.0</v>
      </c>
      <c r="N6" s="50" t="s">
        <v>52</v>
      </c>
      <c r="O6" s="52" t="s">
        <v>1029</v>
      </c>
      <c r="P6" s="53">
        <v>45883.0</v>
      </c>
      <c r="Q6" s="50" t="s">
        <v>1030</v>
      </c>
      <c r="R6" s="50"/>
      <c r="S6" s="50"/>
      <c r="T6" s="50" t="s">
        <v>52</v>
      </c>
      <c r="U6" s="50" t="s">
        <v>1031</v>
      </c>
      <c r="V6" s="54" t="s">
        <v>1029</v>
      </c>
      <c r="W6" s="50"/>
      <c r="X6" s="53">
        <v>45883.0</v>
      </c>
      <c r="Y6" s="50" t="s">
        <v>1030</v>
      </c>
      <c r="Z6" s="50"/>
      <c r="AA6" s="50"/>
      <c r="AB6" s="50"/>
      <c r="AC6" s="50"/>
      <c r="AD6" s="50"/>
      <c r="AE6" s="50"/>
      <c r="AF6" s="50"/>
      <c r="AG6" s="50"/>
      <c r="AH6" s="50"/>
    </row>
    <row r="7">
      <c r="A7" s="55" t="s">
        <v>1032</v>
      </c>
      <c r="B7" s="56" t="s">
        <v>1033</v>
      </c>
      <c r="C7" s="56" t="s">
        <v>1034</v>
      </c>
      <c r="D7" s="57"/>
      <c r="E7" s="56" t="s">
        <v>1035</v>
      </c>
      <c r="F7" s="56" t="s">
        <v>1036</v>
      </c>
      <c r="G7" s="56" t="s">
        <v>1037</v>
      </c>
      <c r="H7" s="56" t="s">
        <v>1038</v>
      </c>
      <c r="I7" s="56">
        <v>22207.0</v>
      </c>
      <c r="J7" s="56" t="s">
        <v>752</v>
      </c>
      <c r="K7" s="56" t="s">
        <v>95</v>
      </c>
      <c r="L7" s="56" t="s">
        <v>95</v>
      </c>
      <c r="M7" s="56">
        <v>49.0</v>
      </c>
      <c r="N7" s="56" t="s">
        <v>52</v>
      </c>
      <c r="O7" s="58" t="s">
        <v>270</v>
      </c>
      <c r="P7" s="59">
        <v>45883.0</v>
      </c>
      <c r="Q7" s="56" t="s">
        <v>1030</v>
      </c>
      <c r="R7" s="56"/>
      <c r="S7" s="56"/>
      <c r="T7" s="56" t="s">
        <v>52</v>
      </c>
      <c r="U7" s="56" t="s">
        <v>1039</v>
      </c>
      <c r="V7" s="60" t="s">
        <v>270</v>
      </c>
      <c r="W7" s="56"/>
      <c r="X7" s="59">
        <v>45883.0</v>
      </c>
      <c r="Y7" s="56" t="s">
        <v>1030</v>
      </c>
      <c r="Z7" s="56"/>
      <c r="AA7" s="56"/>
      <c r="AB7" s="56"/>
      <c r="AC7" s="56"/>
      <c r="AD7" s="56"/>
      <c r="AE7" s="56"/>
      <c r="AF7" s="56"/>
      <c r="AG7" s="56"/>
      <c r="AH7" s="56"/>
    </row>
    <row r="8">
      <c r="A8" s="49" t="s">
        <v>1040</v>
      </c>
      <c r="B8" s="50" t="s">
        <v>1041</v>
      </c>
      <c r="C8" s="50" t="s">
        <v>1042</v>
      </c>
      <c r="D8" s="51"/>
      <c r="E8" s="50" t="s">
        <v>1043</v>
      </c>
      <c r="F8" s="50" t="s">
        <v>1044</v>
      </c>
      <c r="G8" s="50" t="s">
        <v>1045</v>
      </c>
      <c r="H8" s="50" t="s">
        <v>989</v>
      </c>
      <c r="I8" s="50">
        <v>94563.0</v>
      </c>
      <c r="J8" s="50" t="s">
        <v>752</v>
      </c>
      <c r="K8" s="50" t="s">
        <v>95</v>
      </c>
      <c r="L8" s="50" t="s">
        <v>95</v>
      </c>
      <c r="M8" s="50">
        <v>49.0</v>
      </c>
      <c r="N8" s="50" t="s">
        <v>52</v>
      </c>
      <c r="O8" s="52" t="s">
        <v>1046</v>
      </c>
      <c r="P8" s="53">
        <v>45883.0</v>
      </c>
      <c r="Q8" s="50" t="s">
        <v>1030</v>
      </c>
      <c r="R8" s="50"/>
      <c r="S8" s="50"/>
      <c r="T8" s="50" t="s">
        <v>52</v>
      </c>
      <c r="U8" s="50" t="s">
        <v>982</v>
      </c>
      <c r="V8" s="54" t="s">
        <v>1046</v>
      </c>
      <c r="W8" s="50"/>
      <c r="X8" s="53">
        <v>45883.0</v>
      </c>
      <c r="Y8" s="50" t="s">
        <v>1030</v>
      </c>
      <c r="Z8" s="50"/>
      <c r="AA8" s="50"/>
      <c r="AB8" s="50"/>
      <c r="AC8" s="50"/>
      <c r="AD8" s="50"/>
      <c r="AE8" s="50"/>
      <c r="AF8" s="50"/>
      <c r="AG8" s="50"/>
      <c r="AH8" s="50"/>
    </row>
    <row r="9">
      <c r="A9" s="55" t="s">
        <v>1047</v>
      </c>
      <c r="B9" s="56" t="s">
        <v>1048</v>
      </c>
      <c r="C9" s="56" t="s">
        <v>1049</v>
      </c>
      <c r="D9" s="57"/>
      <c r="E9" s="56" t="s">
        <v>1050</v>
      </c>
      <c r="F9" s="56" t="s">
        <v>1051</v>
      </c>
      <c r="G9" s="56" t="s">
        <v>1052</v>
      </c>
      <c r="H9" s="56" t="s">
        <v>1053</v>
      </c>
      <c r="I9" s="56">
        <v>8048.0</v>
      </c>
      <c r="J9" s="56" t="s">
        <v>752</v>
      </c>
      <c r="K9" s="56" t="s">
        <v>95</v>
      </c>
      <c r="L9" s="56" t="s">
        <v>95</v>
      </c>
      <c r="M9" s="56">
        <v>49.0</v>
      </c>
      <c r="N9" s="56" t="s">
        <v>52</v>
      </c>
      <c r="O9" s="58" t="s">
        <v>1054</v>
      </c>
      <c r="P9" s="59">
        <v>45883.0</v>
      </c>
      <c r="Q9" s="56" t="s">
        <v>1030</v>
      </c>
      <c r="R9" s="56"/>
      <c r="S9" s="56"/>
      <c r="T9" s="56" t="s">
        <v>52</v>
      </c>
      <c r="U9" s="56" t="s">
        <v>1055</v>
      </c>
      <c r="V9" s="60" t="s">
        <v>1054</v>
      </c>
      <c r="W9" s="56"/>
      <c r="X9" s="59">
        <v>45883.0</v>
      </c>
      <c r="Y9" s="56" t="s">
        <v>1030</v>
      </c>
      <c r="Z9" s="56"/>
      <c r="AA9" s="56"/>
      <c r="AB9" s="56"/>
      <c r="AC9" s="56"/>
      <c r="AD9" s="56"/>
      <c r="AE9" s="56"/>
      <c r="AF9" s="56"/>
      <c r="AG9" s="56"/>
      <c r="AH9" s="56"/>
    </row>
    <row r="10">
      <c r="A10" s="49" t="s">
        <v>1056</v>
      </c>
      <c r="B10" s="50" t="s">
        <v>1057</v>
      </c>
      <c r="C10" s="50" t="s">
        <v>1049</v>
      </c>
      <c r="D10" s="51"/>
      <c r="E10" s="50" t="s">
        <v>1050</v>
      </c>
      <c r="F10" s="50" t="s">
        <v>1051</v>
      </c>
      <c r="G10" s="50" t="s">
        <v>1052</v>
      </c>
      <c r="H10" s="50" t="s">
        <v>1053</v>
      </c>
      <c r="I10" s="50">
        <v>8048.0</v>
      </c>
      <c r="J10" s="50" t="s">
        <v>752</v>
      </c>
      <c r="K10" s="50" t="s">
        <v>51</v>
      </c>
      <c r="L10" s="50"/>
      <c r="M10" s="50">
        <v>1.0</v>
      </c>
      <c r="N10" s="50" t="s">
        <v>52</v>
      </c>
      <c r="O10" s="52" t="s">
        <v>1054</v>
      </c>
      <c r="P10" s="53">
        <v>45883.0</v>
      </c>
      <c r="Q10" s="50" t="s">
        <v>1030</v>
      </c>
      <c r="R10" s="50"/>
      <c r="S10" s="50"/>
      <c r="T10" s="50" t="s">
        <v>52</v>
      </c>
      <c r="U10" s="50" t="s">
        <v>1055</v>
      </c>
      <c r="V10" s="54" t="s">
        <v>1054</v>
      </c>
      <c r="W10" s="50"/>
      <c r="X10" s="53">
        <v>45883.0</v>
      </c>
      <c r="Y10" s="50" t="s">
        <v>1030</v>
      </c>
      <c r="Z10" s="50"/>
      <c r="AA10" s="50"/>
      <c r="AB10" s="50"/>
      <c r="AC10" s="50"/>
      <c r="AD10" s="50"/>
      <c r="AE10" s="50"/>
      <c r="AF10" s="50"/>
      <c r="AG10" s="50"/>
      <c r="AH10" s="50"/>
    </row>
    <row r="11">
      <c r="A11" s="55" t="s">
        <v>1058</v>
      </c>
      <c r="B11" s="56" t="s">
        <v>1059</v>
      </c>
      <c r="C11" s="56" t="s">
        <v>1060</v>
      </c>
      <c r="D11" s="57"/>
      <c r="E11" s="56" t="s">
        <v>1061</v>
      </c>
      <c r="F11" s="56" t="s">
        <v>1062</v>
      </c>
      <c r="G11" s="56" t="s">
        <v>980</v>
      </c>
      <c r="H11" s="56" t="s">
        <v>1063</v>
      </c>
      <c r="I11" s="56">
        <v>20016.0</v>
      </c>
      <c r="J11" s="56" t="s">
        <v>752</v>
      </c>
      <c r="K11" s="56" t="s">
        <v>66</v>
      </c>
      <c r="L11" s="56" t="s">
        <v>648</v>
      </c>
      <c r="M11" s="56">
        <v>145.0</v>
      </c>
      <c r="N11" s="56"/>
      <c r="O11" s="58" t="s">
        <v>1064</v>
      </c>
      <c r="P11" s="59">
        <v>45883.0</v>
      </c>
      <c r="Q11" s="56"/>
      <c r="R11" s="56"/>
      <c r="S11" s="56"/>
      <c r="T11" s="56"/>
      <c r="U11" s="56" t="s">
        <v>1065</v>
      </c>
      <c r="V11" s="60" t="s">
        <v>1064</v>
      </c>
      <c r="W11" s="56"/>
      <c r="X11" s="59">
        <v>45883.0</v>
      </c>
      <c r="Y11" s="56"/>
      <c r="Z11" s="56"/>
      <c r="AA11" s="56"/>
      <c r="AB11" s="56"/>
      <c r="AC11" s="56"/>
      <c r="AD11" s="56"/>
      <c r="AE11" s="56"/>
      <c r="AF11" s="56"/>
      <c r="AG11" s="56"/>
      <c r="AH11" s="56"/>
    </row>
    <row r="12">
      <c r="A12" s="49" t="s">
        <v>1073</v>
      </c>
      <c r="B12" s="50" t="s">
        <v>1074</v>
      </c>
      <c r="C12" s="50" t="s">
        <v>1075</v>
      </c>
      <c r="D12" s="51"/>
      <c r="E12" s="50" t="s">
        <v>1076</v>
      </c>
      <c r="F12" s="50" t="s">
        <v>1077</v>
      </c>
      <c r="G12" s="50" t="s">
        <v>751</v>
      </c>
      <c r="H12" s="50" t="s">
        <v>1078</v>
      </c>
      <c r="I12" s="50">
        <v>6880.0</v>
      </c>
      <c r="J12" s="50" t="s">
        <v>752</v>
      </c>
      <c r="K12" s="50" t="s">
        <v>66</v>
      </c>
      <c r="L12" s="50" t="s">
        <v>652</v>
      </c>
      <c r="M12" s="50">
        <v>210.0</v>
      </c>
      <c r="N12" s="50"/>
      <c r="O12" s="52" t="s">
        <v>1079</v>
      </c>
      <c r="P12" s="53">
        <v>45885.0</v>
      </c>
      <c r="Q12" s="50"/>
      <c r="R12" s="50"/>
      <c r="S12" s="50"/>
      <c r="T12" s="50"/>
      <c r="U12" s="50" t="s">
        <v>1080</v>
      </c>
      <c r="V12" s="54" t="s">
        <v>1079</v>
      </c>
      <c r="W12" s="50"/>
      <c r="X12" s="53">
        <v>45885.0</v>
      </c>
      <c r="Y12" s="50"/>
      <c r="Z12" s="50"/>
      <c r="AA12" s="50"/>
      <c r="AB12" s="50"/>
      <c r="AC12" s="50"/>
      <c r="AD12" s="50"/>
      <c r="AE12" s="50"/>
      <c r="AF12" s="50"/>
      <c r="AG12" s="50"/>
      <c r="AH12" s="50"/>
    </row>
    <row r="13">
      <c r="A13" s="55" t="s">
        <v>1081</v>
      </c>
      <c r="B13" s="56" t="s">
        <v>1082</v>
      </c>
      <c r="C13" s="56"/>
      <c r="D13" s="57">
        <f>12059223707</f>
        <v>12059223707</v>
      </c>
      <c r="E13" s="56" t="s">
        <v>1083</v>
      </c>
      <c r="F13" s="56" t="s">
        <v>1084</v>
      </c>
      <c r="G13" s="56" t="s">
        <v>1085</v>
      </c>
      <c r="H13" s="56" t="s">
        <v>1086</v>
      </c>
      <c r="I13" s="56">
        <v>35209.0</v>
      </c>
      <c r="J13" s="56" t="s">
        <v>752</v>
      </c>
      <c r="K13" s="56" t="s">
        <v>66</v>
      </c>
      <c r="L13" s="56" t="s">
        <v>648</v>
      </c>
      <c r="M13" s="56">
        <v>145.0</v>
      </c>
      <c r="N13" s="56"/>
      <c r="O13" s="58" t="s">
        <v>1087</v>
      </c>
      <c r="P13" s="59">
        <v>45875.0</v>
      </c>
      <c r="Q13" s="56"/>
      <c r="R13" s="56"/>
      <c r="S13" s="56"/>
      <c r="T13" s="56"/>
      <c r="U13" s="56" t="s">
        <v>948</v>
      </c>
      <c r="V13" s="60" t="s">
        <v>1087</v>
      </c>
      <c r="W13" s="56"/>
      <c r="X13" s="59">
        <v>45875.0</v>
      </c>
      <c r="Y13" s="56"/>
      <c r="Z13" s="56"/>
      <c r="AA13" s="56"/>
      <c r="AB13" s="56"/>
      <c r="AC13" s="56"/>
      <c r="AD13" s="56"/>
      <c r="AE13" s="56"/>
      <c r="AF13" s="56"/>
      <c r="AG13" s="56"/>
      <c r="AH13" s="56"/>
    </row>
    <row r="14">
      <c r="A14" s="49" t="s">
        <v>1088</v>
      </c>
      <c r="B14" s="50" t="s">
        <v>1089</v>
      </c>
      <c r="C14" s="50" t="s">
        <v>1090</v>
      </c>
      <c r="D14" s="51"/>
      <c r="E14" s="50" t="s">
        <v>1091</v>
      </c>
      <c r="F14" s="50" t="s">
        <v>1092</v>
      </c>
      <c r="G14" s="50" t="s">
        <v>1072</v>
      </c>
      <c r="H14" s="50" t="s">
        <v>1019</v>
      </c>
      <c r="I14" s="50">
        <v>60630.0</v>
      </c>
      <c r="J14" s="50" t="s">
        <v>752</v>
      </c>
      <c r="K14" s="50" t="s">
        <v>51</v>
      </c>
      <c r="L14" s="50"/>
      <c r="M14" s="50">
        <v>1.0</v>
      </c>
      <c r="N14" s="50" t="s">
        <v>52</v>
      </c>
      <c r="O14" s="52" t="s">
        <v>1093</v>
      </c>
      <c r="P14" s="53">
        <v>45883.0</v>
      </c>
      <c r="Q14" s="50" t="s">
        <v>1030</v>
      </c>
      <c r="R14" s="50"/>
      <c r="S14" s="50"/>
      <c r="T14" s="50" t="s">
        <v>52</v>
      </c>
      <c r="U14" s="50" t="s">
        <v>1094</v>
      </c>
      <c r="V14" s="54" t="s">
        <v>1093</v>
      </c>
      <c r="W14" s="50"/>
      <c r="X14" s="53">
        <v>45883.0</v>
      </c>
      <c r="Y14" s="50" t="s">
        <v>1030</v>
      </c>
      <c r="Z14" s="50"/>
      <c r="AA14" s="50"/>
      <c r="AB14" s="50"/>
      <c r="AC14" s="50"/>
      <c r="AD14" s="50"/>
      <c r="AE14" s="50"/>
      <c r="AF14" s="50"/>
      <c r="AG14" s="50"/>
      <c r="AH14" s="50"/>
    </row>
    <row r="15">
      <c r="A15" s="55" t="s">
        <v>1112</v>
      </c>
      <c r="B15" s="56" t="s">
        <v>1113</v>
      </c>
      <c r="C15" s="56" t="s">
        <v>164</v>
      </c>
      <c r="D15" s="57">
        <v>3.124809444E9</v>
      </c>
      <c r="E15" s="56" t="s">
        <v>1114</v>
      </c>
      <c r="F15" s="56"/>
      <c r="G15" s="56" t="s">
        <v>1115</v>
      </c>
      <c r="H15" s="56" t="s">
        <v>1019</v>
      </c>
      <c r="I15" s="56">
        <v>60035.0</v>
      </c>
      <c r="J15" s="56" t="s">
        <v>752</v>
      </c>
      <c r="K15" s="56" t="s">
        <v>66</v>
      </c>
      <c r="L15" s="56" t="s">
        <v>652</v>
      </c>
      <c r="M15" s="56">
        <v>210.0</v>
      </c>
      <c r="N15" s="56"/>
      <c r="O15" s="58" t="s">
        <v>168</v>
      </c>
      <c r="P15" s="59">
        <v>45883.0</v>
      </c>
      <c r="Q15" s="56"/>
      <c r="R15" s="56"/>
      <c r="S15" s="56"/>
      <c r="T15" s="56"/>
      <c r="U15" s="56" t="s">
        <v>1039</v>
      </c>
      <c r="V15" s="60" t="s">
        <v>168</v>
      </c>
      <c r="W15" s="56"/>
      <c r="X15" s="59">
        <v>45883.0</v>
      </c>
      <c r="Y15" s="56"/>
      <c r="Z15" s="56"/>
      <c r="AA15" s="56"/>
      <c r="AB15" s="56"/>
      <c r="AC15" s="56"/>
      <c r="AD15" s="56"/>
      <c r="AE15" s="56"/>
      <c r="AF15" s="56"/>
      <c r="AG15" s="56"/>
      <c r="AH15" s="56"/>
    </row>
    <row r="16">
      <c r="A16" s="49" t="s">
        <v>1116</v>
      </c>
      <c r="B16" s="50" t="s">
        <v>1117</v>
      </c>
      <c r="C16" s="50" t="s">
        <v>1118</v>
      </c>
      <c r="D16" s="51">
        <v>8.573600811E9</v>
      </c>
      <c r="E16" s="50" t="s">
        <v>1119</v>
      </c>
      <c r="F16" s="50"/>
      <c r="G16" s="50" t="s">
        <v>1120</v>
      </c>
      <c r="H16" s="50" t="s">
        <v>1121</v>
      </c>
      <c r="I16" s="50">
        <v>2132.0</v>
      </c>
      <c r="J16" s="50" t="s">
        <v>752</v>
      </c>
      <c r="K16" s="50" t="s">
        <v>95</v>
      </c>
      <c r="L16" s="50" t="s">
        <v>95</v>
      </c>
      <c r="M16" s="50">
        <v>49.0</v>
      </c>
      <c r="N16" s="50" t="s">
        <v>52</v>
      </c>
      <c r="O16" s="52" t="s">
        <v>1122</v>
      </c>
      <c r="P16" s="53">
        <v>45883.0</v>
      </c>
      <c r="Q16" s="50" t="s">
        <v>1030</v>
      </c>
      <c r="R16" s="50"/>
      <c r="S16" s="50"/>
      <c r="T16" s="50" t="s">
        <v>52</v>
      </c>
      <c r="U16" s="50" t="s">
        <v>1031</v>
      </c>
      <c r="V16" s="54" t="s">
        <v>1122</v>
      </c>
      <c r="W16" s="50"/>
      <c r="X16" s="53">
        <v>45883.0</v>
      </c>
      <c r="Y16" s="50" t="s">
        <v>1030</v>
      </c>
      <c r="Z16" s="50"/>
      <c r="AA16" s="50"/>
      <c r="AB16" s="50"/>
      <c r="AC16" s="50"/>
      <c r="AD16" s="50"/>
      <c r="AE16" s="50"/>
      <c r="AF16" s="50"/>
      <c r="AG16" s="50"/>
      <c r="AH16" s="50"/>
    </row>
    <row r="17">
      <c r="A17" s="55" t="s">
        <v>1123</v>
      </c>
      <c r="B17" s="56" t="s">
        <v>1124</v>
      </c>
      <c r="C17" s="56"/>
      <c r="D17" s="57">
        <v>9.788061822E9</v>
      </c>
      <c r="E17" s="56" t="s">
        <v>1125</v>
      </c>
      <c r="F17" s="56"/>
      <c r="G17" s="56" t="s">
        <v>1126</v>
      </c>
      <c r="H17" s="56" t="s">
        <v>1121</v>
      </c>
      <c r="I17" s="56">
        <v>1810.0</v>
      </c>
      <c r="J17" s="56" t="s">
        <v>752</v>
      </c>
      <c r="K17" s="56" t="s">
        <v>51</v>
      </c>
      <c r="L17" s="56"/>
      <c r="M17" s="56">
        <v>1.0</v>
      </c>
      <c r="N17" s="56" t="s">
        <v>52</v>
      </c>
      <c r="O17" s="58" t="s">
        <v>1127</v>
      </c>
      <c r="P17" s="59">
        <v>45890.0</v>
      </c>
      <c r="Q17" s="56" t="s">
        <v>1030</v>
      </c>
      <c r="R17" s="56"/>
      <c r="S17" s="56"/>
      <c r="T17" s="56" t="s">
        <v>52</v>
      </c>
      <c r="U17" s="56" t="s">
        <v>1021</v>
      </c>
      <c r="V17" s="60" t="s">
        <v>1127</v>
      </c>
      <c r="W17" s="56"/>
      <c r="X17" s="59">
        <v>45890.0</v>
      </c>
      <c r="Y17" s="56" t="s">
        <v>1030</v>
      </c>
      <c r="Z17" s="56"/>
      <c r="AA17" s="56"/>
      <c r="AB17" s="56"/>
      <c r="AC17" s="56"/>
      <c r="AD17" s="56"/>
      <c r="AE17" s="56"/>
      <c r="AF17" s="56"/>
      <c r="AG17" s="56"/>
      <c r="AH17" s="56"/>
    </row>
    <row r="18">
      <c r="A18" s="49" t="s">
        <v>1128</v>
      </c>
      <c r="B18" s="50" t="s">
        <v>1129</v>
      </c>
      <c r="C18" s="50"/>
      <c r="D18" s="51">
        <v>6.504683885E9</v>
      </c>
      <c r="E18" s="50" t="s">
        <v>1130</v>
      </c>
      <c r="F18" s="50"/>
      <c r="G18" s="50" t="s">
        <v>1131</v>
      </c>
      <c r="H18" s="50" t="s">
        <v>751</v>
      </c>
      <c r="I18" s="50">
        <v>10538.0</v>
      </c>
      <c r="J18" s="50" t="s">
        <v>752</v>
      </c>
      <c r="K18" s="50" t="s">
        <v>66</v>
      </c>
      <c r="L18" s="50" t="s">
        <v>648</v>
      </c>
      <c r="M18" s="50">
        <v>145.0</v>
      </c>
      <c r="N18" s="50"/>
      <c r="O18" s="52" t="s">
        <v>1132</v>
      </c>
      <c r="P18" s="53">
        <v>45883.0</v>
      </c>
      <c r="Q18" s="50"/>
      <c r="R18" s="50"/>
      <c r="S18" s="50"/>
      <c r="T18" s="50"/>
      <c r="U18" s="50" t="s">
        <v>1133</v>
      </c>
      <c r="V18" s="54" t="s">
        <v>1132</v>
      </c>
      <c r="W18" s="50"/>
      <c r="X18" s="53">
        <v>45883.0</v>
      </c>
      <c r="Y18" s="50"/>
      <c r="Z18" s="50"/>
      <c r="AA18" s="50"/>
      <c r="AB18" s="50"/>
      <c r="AC18" s="50"/>
      <c r="AD18" s="50"/>
      <c r="AE18" s="50"/>
      <c r="AF18" s="50"/>
      <c r="AG18" s="50"/>
      <c r="AH18" s="50"/>
    </row>
    <row r="19">
      <c r="A19" s="55" t="s">
        <v>1134</v>
      </c>
      <c r="B19" s="56" t="s">
        <v>1135</v>
      </c>
      <c r="C19" s="56" t="s">
        <v>1136</v>
      </c>
      <c r="D19" s="57">
        <v>6.788767305E9</v>
      </c>
      <c r="E19" s="56" t="s">
        <v>1137</v>
      </c>
      <c r="F19" s="56"/>
      <c r="G19" s="56" t="s">
        <v>1138</v>
      </c>
      <c r="H19" s="56" t="s">
        <v>946</v>
      </c>
      <c r="I19" s="56">
        <v>30043.0</v>
      </c>
      <c r="J19" s="56" t="s">
        <v>752</v>
      </c>
      <c r="K19" s="56" t="s">
        <v>51</v>
      </c>
      <c r="L19" s="56"/>
      <c r="M19" s="56">
        <v>1.0</v>
      </c>
      <c r="N19" s="56" t="s">
        <v>52</v>
      </c>
      <c r="O19" s="58" t="s">
        <v>1139</v>
      </c>
      <c r="P19" s="59">
        <v>45891.0</v>
      </c>
      <c r="Q19" s="56" t="s">
        <v>1030</v>
      </c>
      <c r="R19" s="56"/>
      <c r="S19" s="56"/>
      <c r="T19" s="56" t="s">
        <v>52</v>
      </c>
      <c r="U19" s="56" t="s">
        <v>1140</v>
      </c>
      <c r="V19" s="60" t="s">
        <v>1139</v>
      </c>
      <c r="W19" s="56"/>
      <c r="X19" s="59">
        <v>45891.0</v>
      </c>
      <c r="Y19" s="56" t="s">
        <v>1030</v>
      </c>
      <c r="Z19" s="56"/>
      <c r="AA19" s="56"/>
      <c r="AB19" s="56"/>
      <c r="AC19" s="56"/>
      <c r="AD19" s="56"/>
      <c r="AE19" s="56"/>
      <c r="AF19" s="56"/>
      <c r="AG19" s="56"/>
      <c r="AH19" s="56"/>
    </row>
    <row r="20">
      <c r="A20" s="49" t="s">
        <v>1134</v>
      </c>
      <c r="B20" s="50" t="s">
        <v>1135</v>
      </c>
      <c r="C20" s="50" t="s">
        <v>1136</v>
      </c>
      <c r="D20" s="51">
        <v>6.788767305E9</v>
      </c>
      <c r="E20" s="50" t="s">
        <v>1137</v>
      </c>
      <c r="F20" s="50"/>
      <c r="G20" s="50" t="s">
        <v>1138</v>
      </c>
      <c r="H20" s="50" t="s">
        <v>946</v>
      </c>
      <c r="I20" s="50">
        <v>30043.0</v>
      </c>
      <c r="J20" s="50" t="s">
        <v>752</v>
      </c>
      <c r="K20" s="50" t="s">
        <v>66</v>
      </c>
      <c r="L20" s="50" t="s">
        <v>652</v>
      </c>
      <c r="M20" s="50">
        <v>210.0</v>
      </c>
      <c r="N20" s="50"/>
      <c r="O20" s="52" t="s">
        <v>1139</v>
      </c>
      <c r="P20" s="53">
        <v>45883.0</v>
      </c>
      <c r="Q20" s="50"/>
      <c r="R20" s="50"/>
      <c r="S20" s="50"/>
      <c r="T20" s="50"/>
      <c r="U20" s="50" t="s">
        <v>1140</v>
      </c>
      <c r="V20" s="54" t="s">
        <v>1139</v>
      </c>
      <c r="W20" s="50"/>
      <c r="X20" s="53">
        <v>45883.0</v>
      </c>
      <c r="Y20" s="50"/>
      <c r="Z20" s="50"/>
      <c r="AA20" s="50"/>
      <c r="AB20" s="50"/>
      <c r="AC20" s="50"/>
      <c r="AD20" s="50"/>
      <c r="AE20" s="50"/>
      <c r="AF20" s="50"/>
      <c r="AG20" s="50"/>
      <c r="AH20" s="50"/>
    </row>
    <row r="21">
      <c r="A21" s="55" t="s">
        <v>1141</v>
      </c>
      <c r="B21" s="56" t="s">
        <v>1142</v>
      </c>
      <c r="C21" s="56" t="s">
        <v>1143</v>
      </c>
      <c r="D21" s="57">
        <v>1.4104994906E10</v>
      </c>
      <c r="E21" s="56" t="s">
        <v>1144</v>
      </c>
      <c r="F21" s="56"/>
      <c r="G21" s="56" t="s">
        <v>1145</v>
      </c>
      <c r="H21" s="56" t="s">
        <v>1005</v>
      </c>
      <c r="I21" s="56" t="s">
        <v>1146</v>
      </c>
      <c r="J21" s="56" t="s">
        <v>752</v>
      </c>
      <c r="K21" s="56" t="s">
        <v>66</v>
      </c>
      <c r="L21" s="56" t="s">
        <v>652</v>
      </c>
      <c r="M21" s="56">
        <v>210.0</v>
      </c>
      <c r="N21" s="56"/>
      <c r="O21" s="58" t="s">
        <v>1147</v>
      </c>
      <c r="P21" s="59">
        <v>45883.0</v>
      </c>
      <c r="Q21" s="56"/>
      <c r="R21" s="56"/>
      <c r="S21" s="56"/>
      <c r="T21" s="56"/>
      <c r="U21" s="56" t="s">
        <v>1148</v>
      </c>
      <c r="V21" s="60" t="s">
        <v>1147</v>
      </c>
      <c r="W21" s="56"/>
      <c r="X21" s="59">
        <v>45883.0</v>
      </c>
      <c r="Y21" s="56"/>
      <c r="Z21" s="56"/>
      <c r="AA21" s="56"/>
      <c r="AB21" s="56"/>
      <c r="AC21" s="56"/>
      <c r="AD21" s="56"/>
      <c r="AE21" s="56"/>
      <c r="AF21" s="56"/>
      <c r="AG21" s="56"/>
      <c r="AH21" s="56"/>
    </row>
    <row r="22">
      <c r="A22" s="49" t="s">
        <v>1149</v>
      </c>
      <c r="B22" s="50" t="s">
        <v>1150</v>
      </c>
      <c r="C22" s="50" t="s">
        <v>1151</v>
      </c>
      <c r="D22" s="51" t="s">
        <v>1152</v>
      </c>
      <c r="E22" s="50" t="s">
        <v>1153</v>
      </c>
      <c r="F22" s="50"/>
      <c r="G22" s="50" t="s">
        <v>1154</v>
      </c>
      <c r="H22" s="50" t="s">
        <v>1155</v>
      </c>
      <c r="I22" s="50">
        <v>94549.0</v>
      </c>
      <c r="J22" s="50" t="s">
        <v>752</v>
      </c>
      <c r="K22" s="50" t="s">
        <v>95</v>
      </c>
      <c r="L22" s="50" t="s">
        <v>95</v>
      </c>
      <c r="M22" s="50">
        <v>49.0</v>
      </c>
      <c r="N22" s="50" t="s">
        <v>52</v>
      </c>
      <c r="O22" s="52" t="s">
        <v>1156</v>
      </c>
      <c r="P22" s="53">
        <v>45883.0</v>
      </c>
      <c r="Q22" s="50" t="s">
        <v>1030</v>
      </c>
      <c r="R22" s="50"/>
      <c r="S22" s="50"/>
      <c r="T22" s="50" t="s">
        <v>52</v>
      </c>
      <c r="U22" s="50" t="s">
        <v>982</v>
      </c>
      <c r="V22" s="54" t="s">
        <v>1156</v>
      </c>
      <c r="W22" s="50"/>
      <c r="X22" s="53">
        <v>45883.0</v>
      </c>
      <c r="Y22" s="50" t="s">
        <v>1030</v>
      </c>
      <c r="Z22" s="50"/>
      <c r="AA22" s="50"/>
      <c r="AB22" s="50"/>
      <c r="AC22" s="50"/>
      <c r="AD22" s="50"/>
      <c r="AE22" s="50"/>
      <c r="AF22" s="50"/>
      <c r="AG22" s="50"/>
      <c r="AH22" s="50"/>
    </row>
    <row r="23">
      <c r="A23" s="55" t="s">
        <v>1157</v>
      </c>
      <c r="B23" s="56" t="s">
        <v>1158</v>
      </c>
      <c r="C23" s="56" t="s">
        <v>1159</v>
      </c>
      <c r="D23" s="57">
        <v>3.10606135E9</v>
      </c>
      <c r="E23" s="56" t="s">
        <v>1160</v>
      </c>
      <c r="F23" s="56"/>
      <c r="G23" s="56" t="s">
        <v>752</v>
      </c>
      <c r="H23" s="56" t="s">
        <v>989</v>
      </c>
      <c r="I23" s="56">
        <v>90274.0</v>
      </c>
      <c r="J23" s="56" t="s">
        <v>752</v>
      </c>
      <c r="K23" s="56" t="s">
        <v>66</v>
      </c>
      <c r="L23" s="56" t="s">
        <v>648</v>
      </c>
      <c r="M23" s="56">
        <v>145.0</v>
      </c>
      <c r="N23" s="56"/>
      <c r="O23" s="58" t="s">
        <v>198</v>
      </c>
      <c r="P23" s="59">
        <v>45883.0</v>
      </c>
      <c r="Q23" s="56"/>
      <c r="R23" s="56"/>
      <c r="S23" s="56"/>
      <c r="T23" s="56"/>
      <c r="U23" s="56" t="s">
        <v>956</v>
      </c>
      <c r="V23" s="60" t="s">
        <v>198</v>
      </c>
      <c r="W23" s="56"/>
      <c r="X23" s="59">
        <v>45883.0</v>
      </c>
      <c r="Y23" s="56"/>
      <c r="Z23" s="56"/>
      <c r="AA23" s="56"/>
      <c r="AB23" s="56"/>
      <c r="AC23" s="56"/>
      <c r="AD23" s="56"/>
      <c r="AE23" s="56"/>
      <c r="AF23" s="56"/>
      <c r="AG23" s="56"/>
      <c r="AH23" s="56"/>
    </row>
    <row r="24">
      <c r="A24" s="49" t="s">
        <v>1161</v>
      </c>
      <c r="B24" s="50" t="s">
        <v>1162</v>
      </c>
      <c r="C24" s="50" t="s">
        <v>1163</v>
      </c>
      <c r="D24" s="51">
        <v>3.02233479E9</v>
      </c>
      <c r="E24" s="50" t="s">
        <v>1164</v>
      </c>
      <c r="F24" s="50"/>
      <c r="G24" s="50" t="s">
        <v>1165</v>
      </c>
      <c r="H24" s="50" t="s">
        <v>1038</v>
      </c>
      <c r="I24" s="50">
        <v>22554.0</v>
      </c>
      <c r="J24" s="50" t="s">
        <v>752</v>
      </c>
      <c r="K24" s="50" t="s">
        <v>51</v>
      </c>
      <c r="L24" s="50"/>
      <c r="M24" s="50">
        <v>1.0</v>
      </c>
      <c r="N24" s="50" t="s">
        <v>52</v>
      </c>
      <c r="O24" s="52" t="s">
        <v>1166</v>
      </c>
      <c r="P24" s="53">
        <v>45883.0</v>
      </c>
      <c r="Q24" s="50" t="s">
        <v>1030</v>
      </c>
      <c r="R24" s="50"/>
      <c r="S24" s="50"/>
      <c r="T24" s="50" t="s">
        <v>52</v>
      </c>
      <c r="U24" s="50" t="s">
        <v>1167</v>
      </c>
      <c r="V24" s="54" t="s">
        <v>1166</v>
      </c>
      <c r="W24" s="50"/>
      <c r="X24" s="53">
        <v>45883.0</v>
      </c>
      <c r="Y24" s="50" t="s">
        <v>1030</v>
      </c>
      <c r="Z24" s="50"/>
      <c r="AA24" s="50"/>
      <c r="AB24" s="50"/>
      <c r="AC24" s="50"/>
      <c r="AD24" s="50"/>
      <c r="AE24" s="50"/>
      <c r="AF24" s="50"/>
      <c r="AG24" s="50"/>
      <c r="AH24" s="50"/>
    </row>
    <row r="25">
      <c r="A25" s="55" t="s">
        <v>1168</v>
      </c>
      <c r="B25" s="56" t="s">
        <v>1169</v>
      </c>
      <c r="C25" s="56" t="s">
        <v>1170</v>
      </c>
      <c r="D25" s="57">
        <v>7.73744135E9</v>
      </c>
      <c r="E25" s="56" t="s">
        <v>1171</v>
      </c>
      <c r="F25" s="56"/>
      <c r="G25" s="56" t="s">
        <v>1172</v>
      </c>
      <c r="H25" s="56" t="s">
        <v>1019</v>
      </c>
      <c r="I25" s="56">
        <v>60585.0</v>
      </c>
      <c r="J25" s="56" t="s">
        <v>752</v>
      </c>
      <c r="K25" s="56" t="s">
        <v>66</v>
      </c>
      <c r="L25" s="56" t="s">
        <v>648</v>
      </c>
      <c r="M25" s="56">
        <v>145.0</v>
      </c>
      <c r="N25" s="56"/>
      <c r="O25" s="58" t="s">
        <v>1173</v>
      </c>
      <c r="P25" s="59">
        <v>45883.0</v>
      </c>
      <c r="Q25" s="56"/>
      <c r="R25" s="56"/>
      <c r="S25" s="56"/>
      <c r="T25" s="56"/>
      <c r="U25" s="56" t="s">
        <v>1174</v>
      </c>
      <c r="V25" s="60" t="s">
        <v>1173</v>
      </c>
      <c r="W25" s="56"/>
      <c r="X25" s="59">
        <v>45883.0</v>
      </c>
      <c r="Y25" s="56"/>
      <c r="Z25" s="56"/>
      <c r="AA25" s="56"/>
      <c r="AB25" s="56"/>
      <c r="AC25" s="56"/>
      <c r="AD25" s="56"/>
      <c r="AE25" s="56"/>
      <c r="AF25" s="56"/>
      <c r="AG25" s="56"/>
      <c r="AH25" s="56"/>
    </row>
    <row r="26">
      <c r="A26" s="49" t="s">
        <v>1175</v>
      </c>
      <c r="B26" s="50" t="s">
        <v>1176</v>
      </c>
      <c r="C26" s="50" t="s">
        <v>1177</v>
      </c>
      <c r="D26" s="51">
        <v>1.3103673106E10</v>
      </c>
      <c r="E26" s="50" t="s">
        <v>1178</v>
      </c>
      <c r="F26" s="50"/>
      <c r="G26" s="50" t="s">
        <v>1179</v>
      </c>
      <c r="H26" s="50" t="s">
        <v>989</v>
      </c>
      <c r="I26" s="50" t="s">
        <v>1180</v>
      </c>
      <c r="J26" s="50" t="s">
        <v>752</v>
      </c>
      <c r="K26" s="50" t="s">
        <v>66</v>
      </c>
      <c r="L26" s="50" t="s">
        <v>652</v>
      </c>
      <c r="M26" s="50">
        <v>210.0</v>
      </c>
      <c r="N26" s="50"/>
      <c r="O26" s="52" t="s">
        <v>323</v>
      </c>
      <c r="P26" s="53">
        <v>45883.0</v>
      </c>
      <c r="Q26" s="50"/>
      <c r="R26" s="50"/>
      <c r="S26" s="50"/>
      <c r="T26" s="50"/>
      <c r="U26" s="50" t="s">
        <v>956</v>
      </c>
      <c r="V26" s="54" t="s">
        <v>323</v>
      </c>
      <c r="W26" s="50"/>
      <c r="X26" s="53">
        <v>45883.0</v>
      </c>
      <c r="Y26" s="50"/>
      <c r="Z26" s="50"/>
      <c r="AA26" s="50"/>
      <c r="AB26" s="50"/>
      <c r="AC26" s="50"/>
      <c r="AD26" s="50"/>
      <c r="AE26" s="50"/>
      <c r="AF26" s="50"/>
      <c r="AG26" s="50"/>
      <c r="AH26" s="50"/>
    </row>
    <row r="27">
      <c r="A27" s="55" t="s">
        <v>1181</v>
      </c>
      <c r="B27" s="56" t="s">
        <v>1182</v>
      </c>
      <c r="C27" s="56"/>
      <c r="D27" s="57">
        <v>7.0331091E9</v>
      </c>
      <c r="E27" s="56" t="s">
        <v>1183</v>
      </c>
      <c r="F27" s="56" t="s">
        <v>1184</v>
      </c>
      <c r="G27" s="56" t="s">
        <v>1037</v>
      </c>
      <c r="H27" s="56" t="s">
        <v>1038</v>
      </c>
      <c r="I27" s="56">
        <v>22205.0</v>
      </c>
      <c r="J27" s="56" t="s">
        <v>752</v>
      </c>
      <c r="K27" s="56" t="s">
        <v>66</v>
      </c>
      <c r="L27" s="56" t="s">
        <v>652</v>
      </c>
      <c r="M27" s="56">
        <v>210.0</v>
      </c>
      <c r="N27" s="56"/>
      <c r="O27" s="58" t="s">
        <v>1185</v>
      </c>
      <c r="P27" s="59">
        <v>45883.0</v>
      </c>
      <c r="Q27" s="56"/>
      <c r="R27" s="56"/>
      <c r="S27" s="56"/>
      <c r="T27" s="56"/>
      <c r="U27" s="56" t="s">
        <v>1080</v>
      </c>
      <c r="V27" s="60" t="s">
        <v>1185</v>
      </c>
      <c r="W27" s="56"/>
      <c r="X27" s="59">
        <v>45883.0</v>
      </c>
      <c r="Y27" s="56"/>
      <c r="Z27" s="56"/>
      <c r="AA27" s="56"/>
      <c r="AB27" s="56"/>
      <c r="AC27" s="56"/>
      <c r="AD27" s="56"/>
      <c r="AE27" s="56"/>
      <c r="AF27" s="56"/>
      <c r="AG27" s="56"/>
      <c r="AH27" s="56"/>
    </row>
    <row r="28">
      <c r="A28" s="49" t="s">
        <v>1186</v>
      </c>
      <c r="B28" s="50" t="s">
        <v>1187</v>
      </c>
      <c r="C28" s="50" t="s">
        <v>1188</v>
      </c>
      <c r="D28" s="51">
        <v>3.107019782E9</v>
      </c>
      <c r="E28" s="50" t="s">
        <v>1189</v>
      </c>
      <c r="F28" s="50" t="s">
        <v>1190</v>
      </c>
      <c r="G28" s="50" t="s">
        <v>1191</v>
      </c>
      <c r="H28" s="50" t="s">
        <v>989</v>
      </c>
      <c r="I28" s="50">
        <v>91423.0</v>
      </c>
      <c r="J28" s="50" t="s">
        <v>752</v>
      </c>
      <c r="K28" s="50" t="s">
        <v>66</v>
      </c>
      <c r="L28" s="50" t="s">
        <v>652</v>
      </c>
      <c r="M28" s="50">
        <v>210.0</v>
      </c>
      <c r="N28" s="50"/>
      <c r="O28" s="52" t="s">
        <v>1192</v>
      </c>
      <c r="P28" s="53">
        <v>45883.0</v>
      </c>
      <c r="Q28" s="50"/>
      <c r="R28" s="50"/>
      <c r="S28" s="50"/>
      <c r="T28" s="50"/>
      <c r="U28" s="50" t="s">
        <v>1031</v>
      </c>
      <c r="V28" s="54" t="s">
        <v>1192</v>
      </c>
      <c r="W28" s="50"/>
      <c r="X28" s="53">
        <v>45883.0</v>
      </c>
      <c r="Y28" s="50"/>
      <c r="Z28" s="50"/>
      <c r="AA28" s="50"/>
      <c r="AB28" s="50"/>
      <c r="AC28" s="50"/>
      <c r="AD28" s="50"/>
      <c r="AE28" s="50"/>
      <c r="AF28" s="50"/>
      <c r="AG28" s="50"/>
      <c r="AH28" s="50"/>
    </row>
    <row r="29">
      <c r="A29" s="55" t="s">
        <v>1186</v>
      </c>
      <c r="B29" s="56" t="s">
        <v>1187</v>
      </c>
      <c r="C29" s="56" t="s">
        <v>1188</v>
      </c>
      <c r="D29" s="57">
        <v>3.107019782E9</v>
      </c>
      <c r="E29" s="56" t="s">
        <v>1189</v>
      </c>
      <c r="F29" s="56" t="s">
        <v>1190</v>
      </c>
      <c r="G29" s="56" t="s">
        <v>1191</v>
      </c>
      <c r="H29" s="56" t="s">
        <v>989</v>
      </c>
      <c r="I29" s="56">
        <v>91423.0</v>
      </c>
      <c r="J29" s="56" t="s">
        <v>752</v>
      </c>
      <c r="K29" s="56" t="s">
        <v>95</v>
      </c>
      <c r="L29" s="56" t="s">
        <v>95</v>
      </c>
      <c r="M29" s="56">
        <v>49.0</v>
      </c>
      <c r="N29" s="56" t="s">
        <v>52</v>
      </c>
      <c r="O29" s="58" t="s">
        <v>1192</v>
      </c>
      <c r="P29" s="59">
        <v>45883.0</v>
      </c>
      <c r="Q29" s="56" t="s">
        <v>1030</v>
      </c>
      <c r="R29" s="56"/>
      <c r="S29" s="56"/>
      <c r="T29" s="56" t="s">
        <v>52</v>
      </c>
      <c r="U29" s="56" t="s">
        <v>1031</v>
      </c>
      <c r="V29" s="60" t="s">
        <v>1192</v>
      </c>
      <c r="W29" s="56"/>
      <c r="X29" s="59">
        <v>45883.0</v>
      </c>
      <c r="Y29" s="56" t="s">
        <v>1030</v>
      </c>
      <c r="Z29" s="56"/>
      <c r="AA29" s="56"/>
      <c r="AB29" s="56"/>
      <c r="AC29" s="56"/>
      <c r="AD29" s="56"/>
      <c r="AE29" s="56"/>
      <c r="AF29" s="56"/>
      <c r="AG29" s="56"/>
      <c r="AH29" s="56"/>
    </row>
    <row r="30">
      <c r="A30" s="49" t="s">
        <v>1194</v>
      </c>
      <c r="B30" s="50" t="s">
        <v>1195</v>
      </c>
      <c r="C30" s="50" t="s">
        <v>1196</v>
      </c>
      <c r="D30" s="51">
        <v>4.102586632E9</v>
      </c>
      <c r="E30" s="50" t="s">
        <v>1197</v>
      </c>
      <c r="F30" s="50" t="s">
        <v>1198</v>
      </c>
      <c r="G30" s="50" t="s">
        <v>1199</v>
      </c>
      <c r="H30" s="50" t="s">
        <v>1005</v>
      </c>
      <c r="I30" s="50">
        <v>21146.0</v>
      </c>
      <c r="J30" s="50" t="s">
        <v>752</v>
      </c>
      <c r="K30" s="50" t="s">
        <v>66</v>
      </c>
      <c r="L30" s="50" t="s">
        <v>648</v>
      </c>
      <c r="M30" s="50">
        <v>145.0</v>
      </c>
      <c r="N30" s="50"/>
      <c r="O30" s="52" t="s">
        <v>1200</v>
      </c>
      <c r="P30" s="53">
        <v>45883.0</v>
      </c>
      <c r="Q30" s="50"/>
      <c r="R30" s="50"/>
      <c r="S30" s="50"/>
      <c r="T30" s="50"/>
      <c r="U30" s="50" t="s">
        <v>1201</v>
      </c>
      <c r="V30" s="54" t="s">
        <v>1200</v>
      </c>
      <c r="W30" s="50"/>
      <c r="X30" s="53">
        <v>45883.0</v>
      </c>
      <c r="Y30" s="50"/>
      <c r="Z30" s="50"/>
      <c r="AA30" s="50"/>
      <c r="AB30" s="50"/>
      <c r="AC30" s="50"/>
      <c r="AD30" s="50"/>
      <c r="AE30" s="50"/>
      <c r="AF30" s="50"/>
      <c r="AG30" s="50"/>
      <c r="AH30" s="50"/>
    </row>
    <row r="31">
      <c r="A31" s="55" t="s">
        <v>1202</v>
      </c>
      <c r="B31" s="56" t="s">
        <v>1203</v>
      </c>
      <c r="C31" s="56" t="s">
        <v>1204</v>
      </c>
      <c r="D31" s="57">
        <v>1.2013100288E10</v>
      </c>
      <c r="E31" s="56" t="s">
        <v>1205</v>
      </c>
      <c r="F31" s="56" t="s">
        <v>1206</v>
      </c>
      <c r="G31" s="56" t="s">
        <v>1207</v>
      </c>
      <c r="H31" s="56" t="s">
        <v>1208</v>
      </c>
      <c r="I31" s="56">
        <v>33496.0</v>
      </c>
      <c r="J31" s="56" t="s">
        <v>752</v>
      </c>
      <c r="K31" s="56" t="s">
        <v>51</v>
      </c>
      <c r="L31" s="56"/>
      <c r="M31" s="56">
        <v>1.0</v>
      </c>
      <c r="N31" s="56" t="s">
        <v>124</v>
      </c>
      <c r="O31" s="58"/>
      <c r="P31" s="59">
        <v>45871.0</v>
      </c>
      <c r="Q31" s="56" t="s">
        <v>1455</v>
      </c>
      <c r="R31" s="56"/>
      <c r="S31" s="56"/>
      <c r="T31" s="56" t="s">
        <v>124</v>
      </c>
      <c r="U31" s="56"/>
      <c r="V31" s="60"/>
      <c r="W31" s="56"/>
      <c r="X31" s="59">
        <v>45871.0</v>
      </c>
      <c r="Y31" s="56" t="s">
        <v>1455</v>
      </c>
      <c r="Z31" s="56"/>
      <c r="AA31" s="56" t="s">
        <v>1209</v>
      </c>
      <c r="AB31" s="56"/>
      <c r="AC31" s="56"/>
      <c r="AD31" s="56"/>
      <c r="AE31" s="56"/>
      <c r="AF31" s="56"/>
      <c r="AG31" s="56"/>
      <c r="AH31" s="56"/>
    </row>
    <row r="32">
      <c r="A32" s="49" t="s">
        <v>1210</v>
      </c>
      <c r="B32" s="50" t="s">
        <v>1211</v>
      </c>
      <c r="C32" s="50" t="s">
        <v>1212</v>
      </c>
      <c r="D32" s="51">
        <v>1.714884899E10</v>
      </c>
      <c r="E32" s="50" t="s">
        <v>1213</v>
      </c>
      <c r="F32" s="50" t="s">
        <v>1214</v>
      </c>
      <c r="G32" s="50" t="s">
        <v>1215</v>
      </c>
      <c r="H32" s="50" t="s">
        <v>989</v>
      </c>
      <c r="I32" s="50" t="s">
        <v>1216</v>
      </c>
      <c r="J32" s="50" t="s">
        <v>752</v>
      </c>
      <c r="K32" s="50" t="s">
        <v>95</v>
      </c>
      <c r="L32" s="50" t="s">
        <v>95</v>
      </c>
      <c r="M32" s="50">
        <v>49.0</v>
      </c>
      <c r="N32" s="50" t="s">
        <v>52</v>
      </c>
      <c r="O32" s="52" t="s">
        <v>1217</v>
      </c>
      <c r="P32" s="53">
        <v>45883.0</v>
      </c>
      <c r="Q32" s="50" t="s">
        <v>1030</v>
      </c>
      <c r="R32" s="50"/>
      <c r="S32" s="50"/>
      <c r="T32" s="50" t="s">
        <v>52</v>
      </c>
      <c r="U32" s="50" t="s">
        <v>1080</v>
      </c>
      <c r="V32" s="54" t="s">
        <v>1217</v>
      </c>
      <c r="W32" s="50"/>
      <c r="X32" s="53">
        <v>45883.0</v>
      </c>
      <c r="Y32" s="50" t="s">
        <v>1030</v>
      </c>
      <c r="Z32" s="50"/>
      <c r="AA32" s="50"/>
      <c r="AB32" s="50"/>
      <c r="AC32" s="50"/>
      <c r="AD32" s="50"/>
      <c r="AE32" s="50"/>
      <c r="AF32" s="50"/>
      <c r="AG32" s="50"/>
      <c r="AH32" s="50"/>
    </row>
    <row r="33">
      <c r="A33" s="55" t="s">
        <v>1219</v>
      </c>
      <c r="B33" s="56" t="s">
        <v>1220</v>
      </c>
      <c r="C33" s="56" t="s">
        <v>1221</v>
      </c>
      <c r="D33" s="57">
        <v>1.9178821115E10</v>
      </c>
      <c r="E33" s="56" t="s">
        <v>1222</v>
      </c>
      <c r="F33" s="56" t="s">
        <v>1223</v>
      </c>
      <c r="G33" s="56" t="s">
        <v>751</v>
      </c>
      <c r="H33" s="56" t="s">
        <v>751</v>
      </c>
      <c r="I33" s="56">
        <v>10004.0</v>
      </c>
      <c r="J33" s="56" t="s">
        <v>752</v>
      </c>
      <c r="K33" s="56" t="s">
        <v>75</v>
      </c>
      <c r="L33" s="56"/>
      <c r="M33" s="56">
        <v>49.0</v>
      </c>
      <c r="N33" s="56" t="s">
        <v>52</v>
      </c>
      <c r="O33" s="58" t="s">
        <v>1224</v>
      </c>
      <c r="P33" s="59">
        <v>45883.0</v>
      </c>
      <c r="Q33" s="56"/>
      <c r="R33" s="56"/>
      <c r="S33" s="56"/>
      <c r="T33" s="56" t="s">
        <v>52</v>
      </c>
      <c r="U33" s="56" t="s">
        <v>956</v>
      </c>
      <c r="V33" s="60" t="s">
        <v>1224</v>
      </c>
      <c r="W33" s="56"/>
      <c r="X33" s="59">
        <v>45883.0</v>
      </c>
      <c r="Y33" s="56"/>
      <c r="Z33" s="56" t="s">
        <v>808</v>
      </c>
      <c r="AA33" s="56"/>
      <c r="AB33" s="56"/>
      <c r="AC33" s="56"/>
      <c r="AD33" s="56"/>
      <c r="AE33" s="56"/>
      <c r="AF33" s="56"/>
      <c r="AG33" s="56"/>
      <c r="AH33" s="56"/>
    </row>
    <row r="34">
      <c r="A34" s="49" t="s">
        <v>1242</v>
      </c>
      <c r="B34" s="50" t="s">
        <v>1243</v>
      </c>
      <c r="C34" s="50" t="s">
        <v>1244</v>
      </c>
      <c r="D34" s="51">
        <v>3.102463451E9</v>
      </c>
      <c r="E34" s="50" t="s">
        <v>1245</v>
      </c>
      <c r="F34" s="50" t="s">
        <v>1246</v>
      </c>
      <c r="G34" s="50" t="s">
        <v>1247</v>
      </c>
      <c r="H34" s="50" t="s">
        <v>989</v>
      </c>
      <c r="I34" s="50">
        <v>90212.0</v>
      </c>
      <c r="J34" s="50" t="s">
        <v>752</v>
      </c>
      <c r="K34" s="50" t="s">
        <v>66</v>
      </c>
      <c r="L34" s="50" t="s">
        <v>652</v>
      </c>
      <c r="M34" s="50">
        <v>210.0</v>
      </c>
      <c r="N34" s="50"/>
      <c r="O34" s="52" t="s">
        <v>1248</v>
      </c>
      <c r="P34" s="53">
        <v>45883.0</v>
      </c>
      <c r="Q34" s="50"/>
      <c r="R34" s="50"/>
      <c r="S34" s="50"/>
      <c r="T34" s="50"/>
      <c r="U34" s="50" t="s">
        <v>1249</v>
      </c>
      <c r="V34" s="54" t="s">
        <v>1248</v>
      </c>
      <c r="W34" s="50"/>
      <c r="X34" s="53">
        <v>45883.0</v>
      </c>
      <c r="Y34" s="50"/>
      <c r="Z34" s="50"/>
      <c r="AA34" s="50"/>
      <c r="AB34" s="50"/>
      <c r="AC34" s="50"/>
      <c r="AD34" s="50"/>
      <c r="AE34" s="50"/>
      <c r="AF34" s="50"/>
      <c r="AG34" s="50"/>
      <c r="AH34" s="50"/>
    </row>
    <row r="35">
      <c r="A35" s="55" t="s">
        <v>1250</v>
      </c>
      <c r="B35" s="56" t="s">
        <v>1251</v>
      </c>
      <c r="C35" s="56" t="s">
        <v>1252</v>
      </c>
      <c r="D35" s="57">
        <v>3.12344005E9</v>
      </c>
      <c r="E35" s="56" t="s">
        <v>1253</v>
      </c>
      <c r="F35" s="56" t="s">
        <v>101</v>
      </c>
      <c r="G35" s="56" t="s">
        <v>1254</v>
      </c>
      <c r="H35" s="56" t="s">
        <v>1233</v>
      </c>
      <c r="I35" s="56">
        <v>19380.0</v>
      </c>
      <c r="J35" s="56" t="s">
        <v>752</v>
      </c>
      <c r="K35" s="56" t="s">
        <v>66</v>
      </c>
      <c r="L35" s="56" t="s">
        <v>773</v>
      </c>
      <c r="M35" s="56">
        <v>65.0</v>
      </c>
      <c r="N35" s="56"/>
      <c r="O35" s="58" t="s">
        <v>1255</v>
      </c>
      <c r="P35" s="59">
        <v>45883.0</v>
      </c>
      <c r="Q35" s="56"/>
      <c r="R35" s="56"/>
      <c r="S35" s="56"/>
      <c r="T35" s="56"/>
      <c r="U35" s="56" t="s">
        <v>1133</v>
      </c>
      <c r="V35" s="60" t="s">
        <v>1255</v>
      </c>
      <c r="W35" s="56"/>
      <c r="X35" s="59">
        <v>45883.0</v>
      </c>
      <c r="Y35" s="56"/>
      <c r="Z35" s="56"/>
      <c r="AA35" s="56"/>
      <c r="AB35" s="56"/>
      <c r="AC35" s="56"/>
      <c r="AD35" s="56"/>
      <c r="AE35" s="56"/>
      <c r="AF35" s="56"/>
      <c r="AG35" s="56"/>
      <c r="AH35" s="56"/>
    </row>
    <row r="36">
      <c r="A36" s="49" t="s">
        <v>1256</v>
      </c>
      <c r="B36" s="50" t="s">
        <v>1257</v>
      </c>
      <c r="C36" s="50" t="s">
        <v>1258</v>
      </c>
      <c r="D36" s="51">
        <v>9.193338112E9</v>
      </c>
      <c r="E36" s="50" t="s">
        <v>1259</v>
      </c>
      <c r="F36" s="50" t="s">
        <v>1260</v>
      </c>
      <c r="G36" s="50" t="s">
        <v>1261</v>
      </c>
      <c r="H36" s="50" t="s">
        <v>1005</v>
      </c>
      <c r="I36" s="50">
        <v>21702.0</v>
      </c>
      <c r="J36" s="50" t="s">
        <v>752</v>
      </c>
      <c r="K36" s="50" t="s">
        <v>95</v>
      </c>
      <c r="L36" s="50" t="s">
        <v>95</v>
      </c>
      <c r="M36" s="50">
        <v>49.0</v>
      </c>
      <c r="N36" s="50" t="s">
        <v>52</v>
      </c>
      <c r="O36" s="52" t="s">
        <v>1262</v>
      </c>
      <c r="P36" s="53">
        <v>45883.0</v>
      </c>
      <c r="Q36" s="50" t="s">
        <v>1030</v>
      </c>
      <c r="R36" s="50"/>
      <c r="S36" s="50"/>
      <c r="T36" s="50" t="s">
        <v>52</v>
      </c>
      <c r="U36" s="50" t="s">
        <v>982</v>
      </c>
      <c r="V36" s="54" t="s">
        <v>1262</v>
      </c>
      <c r="W36" s="50"/>
      <c r="X36" s="53">
        <v>45883.0</v>
      </c>
      <c r="Y36" s="50" t="s">
        <v>1030</v>
      </c>
      <c r="Z36" s="50"/>
      <c r="AA36" s="50"/>
      <c r="AB36" s="50"/>
      <c r="AC36" s="50"/>
      <c r="AD36" s="50"/>
      <c r="AE36" s="50"/>
      <c r="AF36" s="50"/>
      <c r="AG36" s="50"/>
      <c r="AH36" s="50"/>
    </row>
    <row r="37">
      <c r="A37" s="55" t="s">
        <v>1264</v>
      </c>
      <c r="B37" s="56" t="s">
        <v>1265</v>
      </c>
      <c r="C37" s="56" t="s">
        <v>1266</v>
      </c>
      <c r="D37" s="57">
        <v>2.242163846E9</v>
      </c>
      <c r="E37" s="56" t="s">
        <v>1267</v>
      </c>
      <c r="F37" s="56" t="s">
        <v>1268</v>
      </c>
      <c r="G37" s="56" t="s">
        <v>1269</v>
      </c>
      <c r="H37" s="56" t="s">
        <v>1019</v>
      </c>
      <c r="I37" s="56">
        <v>60022.0</v>
      </c>
      <c r="J37" s="56" t="s">
        <v>752</v>
      </c>
      <c r="K37" s="56" t="s">
        <v>66</v>
      </c>
      <c r="L37" s="56" t="s">
        <v>720</v>
      </c>
      <c r="M37" s="56">
        <v>115.0</v>
      </c>
      <c r="N37" s="56"/>
      <c r="O37" s="58" t="s">
        <v>1270</v>
      </c>
      <c r="P37" s="59">
        <v>45852.0</v>
      </c>
      <c r="Q37" s="56"/>
      <c r="R37" s="56"/>
      <c r="S37" s="56"/>
      <c r="T37" s="56"/>
      <c r="U37" s="56" t="s">
        <v>1080</v>
      </c>
      <c r="V37" s="60" t="s">
        <v>1270</v>
      </c>
      <c r="W37" s="56"/>
      <c r="X37" s="59">
        <v>45852.0</v>
      </c>
      <c r="Y37" s="56"/>
      <c r="Z37" s="56"/>
      <c r="AA37" s="56"/>
      <c r="AB37" s="56"/>
      <c r="AC37" s="56"/>
      <c r="AD37" s="56"/>
      <c r="AE37" s="56"/>
      <c r="AF37" s="56"/>
      <c r="AG37" s="56"/>
      <c r="AH37" s="56"/>
    </row>
    <row r="38">
      <c r="A38" s="49" t="s">
        <v>1271</v>
      </c>
      <c r="B38" s="50" t="s">
        <v>1272</v>
      </c>
      <c r="C38" s="50"/>
      <c r="D38" s="51">
        <v>9.177707102E9</v>
      </c>
      <c r="E38" s="50" t="s">
        <v>1273</v>
      </c>
      <c r="F38" s="50" t="s">
        <v>1274</v>
      </c>
      <c r="G38" s="50" t="s">
        <v>1275</v>
      </c>
      <c r="H38" s="50" t="s">
        <v>751</v>
      </c>
      <c r="I38" s="50">
        <v>10583.0</v>
      </c>
      <c r="J38" s="50" t="s">
        <v>752</v>
      </c>
      <c r="K38" s="50" t="s">
        <v>66</v>
      </c>
      <c r="L38" s="50" t="s">
        <v>652</v>
      </c>
      <c r="M38" s="50">
        <v>210.0</v>
      </c>
      <c r="N38" s="50"/>
      <c r="O38" s="52" t="s">
        <v>1276</v>
      </c>
      <c r="P38" s="53">
        <v>45883.0</v>
      </c>
      <c r="Q38" s="50"/>
      <c r="R38" s="50"/>
      <c r="S38" s="50"/>
      <c r="T38" s="50"/>
      <c r="U38" s="50" t="s">
        <v>1277</v>
      </c>
      <c r="V38" s="54" t="s">
        <v>1276</v>
      </c>
      <c r="W38" s="50"/>
      <c r="X38" s="53">
        <v>45883.0</v>
      </c>
      <c r="Y38" s="50"/>
      <c r="Z38" s="50"/>
      <c r="AA38" s="50"/>
      <c r="AB38" s="50"/>
      <c r="AC38" s="50"/>
      <c r="AD38" s="50"/>
      <c r="AE38" s="50"/>
      <c r="AF38" s="50"/>
      <c r="AG38" s="50"/>
      <c r="AH38" s="50"/>
    </row>
    <row r="39">
      <c r="A39" s="55" t="s">
        <v>1278</v>
      </c>
      <c r="B39" s="56" t="s">
        <v>1279</v>
      </c>
      <c r="C39" s="56" t="s">
        <v>1280</v>
      </c>
      <c r="D39" s="57">
        <v>1.314437775E10</v>
      </c>
      <c r="E39" s="56" t="s">
        <v>1281</v>
      </c>
      <c r="F39" s="56" t="s">
        <v>1282</v>
      </c>
      <c r="G39" s="56" t="s">
        <v>1283</v>
      </c>
      <c r="H39" s="56" t="s">
        <v>1155</v>
      </c>
      <c r="I39" s="56">
        <v>63130.0</v>
      </c>
      <c r="J39" s="56" t="s">
        <v>752</v>
      </c>
      <c r="K39" s="56" t="s">
        <v>51</v>
      </c>
      <c r="L39" s="56"/>
      <c r="M39" s="56">
        <v>1.0</v>
      </c>
      <c r="N39" s="56" t="s">
        <v>52</v>
      </c>
      <c r="O39" s="58" t="s">
        <v>1284</v>
      </c>
      <c r="P39" s="59">
        <v>45883.0</v>
      </c>
      <c r="Q39" s="56" t="s">
        <v>1030</v>
      </c>
      <c r="R39" s="56"/>
      <c r="S39" s="56"/>
      <c r="T39" s="56" t="s">
        <v>52</v>
      </c>
      <c r="U39" s="56" t="s">
        <v>1140</v>
      </c>
      <c r="V39" s="60" t="s">
        <v>1284</v>
      </c>
      <c r="W39" s="56"/>
      <c r="X39" s="59">
        <v>45883.0</v>
      </c>
      <c r="Y39" s="56" t="s">
        <v>1030</v>
      </c>
      <c r="Z39" s="56"/>
      <c r="AA39" s="56"/>
      <c r="AB39" s="56"/>
      <c r="AC39" s="56"/>
      <c r="AD39" s="56"/>
      <c r="AE39" s="56"/>
      <c r="AF39" s="56"/>
      <c r="AG39" s="56"/>
      <c r="AH39" s="56"/>
    </row>
    <row r="40">
      <c r="A40" s="49" t="s">
        <v>1286</v>
      </c>
      <c r="B40" s="50" t="s">
        <v>1287</v>
      </c>
      <c r="C40" s="50" t="s">
        <v>1288</v>
      </c>
      <c r="D40" s="51">
        <v>7.0825057E9</v>
      </c>
      <c r="E40" s="50" t="s">
        <v>1289</v>
      </c>
      <c r="F40" s="50" t="s">
        <v>1290</v>
      </c>
      <c r="G40" s="50" t="s">
        <v>1291</v>
      </c>
      <c r="H40" s="50" t="s">
        <v>1019</v>
      </c>
      <c r="I40" s="50">
        <v>60467.0</v>
      </c>
      <c r="J40" s="50" t="s">
        <v>752</v>
      </c>
      <c r="K40" s="50" t="s">
        <v>95</v>
      </c>
      <c r="L40" s="50" t="s">
        <v>95</v>
      </c>
      <c r="M40" s="50">
        <v>49.0</v>
      </c>
      <c r="N40" s="50" t="s">
        <v>52</v>
      </c>
      <c r="O40" s="52" t="s">
        <v>1292</v>
      </c>
      <c r="P40" s="53">
        <v>45883.0</v>
      </c>
      <c r="Q40" s="50" t="s">
        <v>1030</v>
      </c>
      <c r="R40" s="50"/>
      <c r="S40" s="50"/>
      <c r="T40" s="50" t="s">
        <v>52</v>
      </c>
      <c r="U40" s="50" t="s">
        <v>1249</v>
      </c>
      <c r="V40" s="54" t="s">
        <v>1292</v>
      </c>
      <c r="W40" s="50"/>
      <c r="X40" s="53">
        <v>45883.0</v>
      </c>
      <c r="Y40" s="50" t="s">
        <v>1030</v>
      </c>
      <c r="Z40" s="50"/>
      <c r="AA40" s="50"/>
      <c r="AB40" s="50"/>
      <c r="AC40" s="50"/>
      <c r="AD40" s="50"/>
      <c r="AE40" s="50"/>
      <c r="AF40" s="50"/>
      <c r="AG40" s="50"/>
      <c r="AH40" s="50"/>
    </row>
    <row r="41">
      <c r="A41" s="55" t="s">
        <v>1294</v>
      </c>
      <c r="B41" s="56" t="s">
        <v>1295</v>
      </c>
      <c r="C41" s="56" t="s">
        <v>1296</v>
      </c>
      <c r="D41" s="57">
        <v>3.016516144E9</v>
      </c>
      <c r="E41" s="56" t="s">
        <v>1297</v>
      </c>
      <c r="F41" s="56" t="s">
        <v>1298</v>
      </c>
      <c r="G41" s="56" t="s">
        <v>1299</v>
      </c>
      <c r="H41" s="56" t="s">
        <v>1005</v>
      </c>
      <c r="I41" s="56">
        <v>20814.0</v>
      </c>
      <c r="J41" s="56" t="s">
        <v>752</v>
      </c>
      <c r="K41" s="56" t="s">
        <v>66</v>
      </c>
      <c r="L41" s="56" t="s">
        <v>652</v>
      </c>
      <c r="M41" s="56">
        <v>210.0</v>
      </c>
      <c r="N41" s="56"/>
      <c r="O41" s="58" t="s">
        <v>1300</v>
      </c>
      <c r="P41" s="59">
        <v>45883.0</v>
      </c>
      <c r="Q41" s="56"/>
      <c r="R41" s="56"/>
      <c r="S41" s="56"/>
      <c r="T41" s="56"/>
      <c r="U41" s="56" t="s">
        <v>1080</v>
      </c>
      <c r="V41" s="60" t="s">
        <v>1300</v>
      </c>
      <c r="W41" s="56"/>
      <c r="X41" s="59">
        <v>45883.0</v>
      </c>
      <c r="Y41" s="56"/>
      <c r="Z41" s="56"/>
      <c r="AA41" s="56"/>
      <c r="AB41" s="56"/>
      <c r="AC41" s="56"/>
      <c r="AD41" s="56"/>
      <c r="AE41" s="56"/>
      <c r="AF41" s="56"/>
      <c r="AG41" s="56"/>
      <c r="AH41" s="56"/>
    </row>
    <row r="42">
      <c r="A42" s="49" t="s">
        <v>1301</v>
      </c>
      <c r="B42" s="50" t="s">
        <v>1302</v>
      </c>
      <c r="C42" s="50"/>
      <c r="D42" s="51">
        <v>1.9179005487E10</v>
      </c>
      <c r="E42" s="50" t="s">
        <v>1303</v>
      </c>
      <c r="F42" s="50" t="s">
        <v>1304</v>
      </c>
      <c r="G42" s="50" t="s">
        <v>1299</v>
      </c>
      <c r="H42" s="50" t="s">
        <v>1005</v>
      </c>
      <c r="I42" s="50">
        <v>20817.0</v>
      </c>
      <c r="J42" s="50" t="s">
        <v>752</v>
      </c>
      <c r="K42" s="50" t="s">
        <v>95</v>
      </c>
      <c r="L42" s="50" t="s">
        <v>95</v>
      </c>
      <c r="M42" s="50">
        <v>49.0</v>
      </c>
      <c r="N42" s="50" t="s">
        <v>124</v>
      </c>
      <c r="O42" s="52"/>
      <c r="P42" s="53">
        <v>45877.0</v>
      </c>
      <c r="Q42" s="50" t="s">
        <v>1030</v>
      </c>
      <c r="R42" s="50"/>
      <c r="S42" s="50"/>
      <c r="T42" s="50" t="s">
        <v>124</v>
      </c>
      <c r="U42" s="50"/>
      <c r="V42" s="54"/>
      <c r="W42" s="50"/>
      <c r="X42" s="53">
        <v>45877.0</v>
      </c>
      <c r="Y42" s="50" t="s">
        <v>1030</v>
      </c>
      <c r="Z42" s="50"/>
      <c r="AA42" s="50" t="s">
        <v>1305</v>
      </c>
      <c r="AB42" s="50"/>
      <c r="AC42" s="50"/>
      <c r="AD42" s="50"/>
      <c r="AE42" s="50"/>
      <c r="AF42" s="50"/>
      <c r="AG42" s="50"/>
      <c r="AH42" s="50"/>
    </row>
    <row r="43">
      <c r="A43" s="55" t="s">
        <v>1307</v>
      </c>
      <c r="B43" s="56" t="s">
        <v>1308</v>
      </c>
      <c r="C43" s="56"/>
      <c r="D43" s="57">
        <v>1.7812235035E10</v>
      </c>
      <c r="E43" s="56" t="s">
        <v>1309</v>
      </c>
      <c r="F43" s="56" t="s">
        <v>1310</v>
      </c>
      <c r="G43" s="56" t="s">
        <v>1311</v>
      </c>
      <c r="H43" s="56" t="s">
        <v>1233</v>
      </c>
      <c r="I43" s="56">
        <v>19072.0</v>
      </c>
      <c r="J43" s="56" t="s">
        <v>752</v>
      </c>
      <c r="K43" s="56" t="s">
        <v>66</v>
      </c>
      <c r="L43" s="56" t="s">
        <v>720</v>
      </c>
      <c r="M43" s="56">
        <v>115.0</v>
      </c>
      <c r="N43" s="56"/>
      <c r="O43" s="58" t="s">
        <v>1312</v>
      </c>
      <c r="P43" s="59">
        <v>45883.0</v>
      </c>
      <c r="Q43" s="56"/>
      <c r="R43" s="56"/>
      <c r="S43" s="56"/>
      <c r="T43" s="56"/>
      <c r="U43" s="56" t="s">
        <v>1277</v>
      </c>
      <c r="V43" s="60" t="s">
        <v>1312</v>
      </c>
      <c r="W43" s="56"/>
      <c r="X43" s="59">
        <v>45883.0</v>
      </c>
      <c r="Y43" s="56"/>
      <c r="Z43" s="56"/>
      <c r="AA43" s="56"/>
      <c r="AB43" s="56"/>
      <c r="AC43" s="56"/>
      <c r="AD43" s="56"/>
      <c r="AE43" s="56"/>
      <c r="AF43" s="56"/>
      <c r="AG43" s="56"/>
      <c r="AH43" s="56"/>
    </row>
    <row r="44">
      <c r="A44" s="49" t="s">
        <v>1313</v>
      </c>
      <c r="B44" s="50" t="s">
        <v>1314</v>
      </c>
      <c r="C44" s="50"/>
      <c r="D44" s="51">
        <v>3.475702616E9</v>
      </c>
      <c r="E44" s="50" t="s">
        <v>1315</v>
      </c>
      <c r="F44" s="50" t="s">
        <v>1316</v>
      </c>
      <c r="G44" s="50" t="s">
        <v>1283</v>
      </c>
      <c r="H44" s="50" t="s">
        <v>1155</v>
      </c>
      <c r="I44" s="50">
        <v>63105.0</v>
      </c>
      <c r="J44" s="50" t="s">
        <v>752</v>
      </c>
      <c r="K44" s="50" t="s">
        <v>75</v>
      </c>
      <c r="L44" s="50"/>
      <c r="M44" s="50">
        <v>49.0</v>
      </c>
      <c r="N44" s="50" t="s">
        <v>124</v>
      </c>
      <c r="O44" s="52"/>
      <c r="P44" s="53">
        <v>45879.0</v>
      </c>
      <c r="Q44" s="50" t="s">
        <v>1030</v>
      </c>
      <c r="R44" s="50"/>
      <c r="S44" s="50"/>
      <c r="T44" s="50" t="s">
        <v>124</v>
      </c>
      <c r="U44" s="50"/>
      <c r="V44" s="54"/>
      <c r="W44" s="50"/>
      <c r="X44" s="53">
        <v>45879.0</v>
      </c>
      <c r="Y44" s="50" t="s">
        <v>1030</v>
      </c>
      <c r="Z44" s="50" t="s">
        <v>808</v>
      </c>
      <c r="AA44" s="50"/>
      <c r="AB44" s="50"/>
      <c r="AC44" s="50"/>
      <c r="AD44" s="50"/>
      <c r="AE44" s="50"/>
      <c r="AF44" s="50"/>
      <c r="AG44" s="50"/>
      <c r="AH44" s="50"/>
    </row>
    <row r="45">
      <c r="A45" s="55" t="s">
        <v>1318</v>
      </c>
      <c r="B45" s="56" t="s">
        <v>1319</v>
      </c>
      <c r="C45" s="56"/>
      <c r="D45" s="57">
        <v>1.9175922703E10</v>
      </c>
      <c r="E45" s="56" t="s">
        <v>1320</v>
      </c>
      <c r="F45" s="56" t="s">
        <v>1321</v>
      </c>
      <c r="G45" s="56" t="s">
        <v>1322</v>
      </c>
      <c r="H45" s="56" t="s">
        <v>751</v>
      </c>
      <c r="I45" s="56">
        <v>11596.0</v>
      </c>
      <c r="J45" s="56" t="s">
        <v>752</v>
      </c>
      <c r="K45" s="56" t="s">
        <v>75</v>
      </c>
      <c r="L45" s="56"/>
      <c r="M45" s="56">
        <v>49.0</v>
      </c>
      <c r="N45" s="56" t="s">
        <v>52</v>
      </c>
      <c r="O45" s="58" t="s">
        <v>1323</v>
      </c>
      <c r="P45" s="59">
        <v>45883.0</v>
      </c>
      <c r="Q45" s="56"/>
      <c r="R45" s="56"/>
      <c r="S45" s="56"/>
      <c r="T45" s="56" t="s">
        <v>52</v>
      </c>
      <c r="U45" s="56" t="s">
        <v>1324</v>
      </c>
      <c r="V45" s="60" t="s">
        <v>1323</v>
      </c>
      <c r="W45" s="56"/>
      <c r="X45" s="59">
        <v>45883.0</v>
      </c>
      <c r="Y45" s="56"/>
      <c r="Z45" s="56" t="s">
        <v>808</v>
      </c>
      <c r="AA45" s="56"/>
      <c r="AB45" s="56"/>
      <c r="AC45" s="56"/>
      <c r="AD45" s="56"/>
      <c r="AE45" s="56"/>
      <c r="AF45" s="56"/>
      <c r="AG45" s="56"/>
      <c r="AH45" s="56"/>
    </row>
    <row r="46">
      <c r="A46" s="49" t="s">
        <v>1326</v>
      </c>
      <c r="B46" s="50" t="s">
        <v>1327</v>
      </c>
      <c r="C46" s="50" t="s">
        <v>1328</v>
      </c>
      <c r="D46" s="51">
        <v>9.177326364E9</v>
      </c>
      <c r="E46" s="50" t="s">
        <v>1329</v>
      </c>
      <c r="F46" s="50" t="s">
        <v>1330</v>
      </c>
      <c r="G46" s="50" t="s">
        <v>1331</v>
      </c>
      <c r="H46" s="50" t="s">
        <v>989</v>
      </c>
      <c r="I46" s="50">
        <v>90035.0</v>
      </c>
      <c r="J46" s="50" t="s">
        <v>752</v>
      </c>
      <c r="K46" s="50" t="s">
        <v>51</v>
      </c>
      <c r="L46" s="50" t="s">
        <v>1152</v>
      </c>
      <c r="M46" s="50">
        <v>1.0</v>
      </c>
      <c r="N46" s="50" t="s">
        <v>1332</v>
      </c>
      <c r="O46" s="52"/>
      <c r="P46" s="53">
        <v>45875.0</v>
      </c>
      <c r="Q46" s="50" t="s">
        <v>1103</v>
      </c>
      <c r="R46" s="50" t="s">
        <v>1333</v>
      </c>
      <c r="S46" s="50"/>
      <c r="T46" s="50" t="s">
        <v>124</v>
      </c>
      <c r="U46" s="50"/>
      <c r="V46" s="54"/>
      <c r="W46" s="50"/>
      <c r="X46" s="53">
        <v>45875.0</v>
      </c>
      <c r="Y46" s="50" t="s">
        <v>1103</v>
      </c>
      <c r="Z46" s="50"/>
      <c r="AA46" s="50" t="s">
        <v>1333</v>
      </c>
      <c r="AB46" s="50" t="s">
        <v>124</v>
      </c>
      <c r="AC46" s="50"/>
      <c r="AD46" s="50"/>
      <c r="AE46" s="50"/>
      <c r="AF46" s="50"/>
      <c r="AG46" s="50"/>
      <c r="AH46" s="50"/>
    </row>
    <row r="47">
      <c r="A47" s="55" t="s">
        <v>1334</v>
      </c>
      <c r="B47" s="56" t="s">
        <v>1335</v>
      </c>
      <c r="C47" s="56" t="s">
        <v>1336</v>
      </c>
      <c r="D47" s="57">
        <v>1.914602624E10</v>
      </c>
      <c r="E47" s="56" t="s">
        <v>1337</v>
      </c>
      <c r="F47" s="56" t="s">
        <v>1338</v>
      </c>
      <c r="G47" s="56" t="s">
        <v>1339</v>
      </c>
      <c r="H47" s="56" t="s">
        <v>751</v>
      </c>
      <c r="I47" s="56">
        <v>10536.0</v>
      </c>
      <c r="J47" s="56" t="s">
        <v>752</v>
      </c>
      <c r="K47" s="56" t="s">
        <v>66</v>
      </c>
      <c r="L47" s="56" t="s">
        <v>1340</v>
      </c>
      <c r="M47" s="56">
        <v>210.0</v>
      </c>
      <c r="N47" s="56" t="s">
        <v>1341</v>
      </c>
      <c r="O47" s="58" t="s">
        <v>1342</v>
      </c>
      <c r="P47" s="59">
        <v>45876.0</v>
      </c>
      <c r="Q47" s="56"/>
      <c r="R47" s="56"/>
      <c r="S47" s="56"/>
      <c r="T47" s="56"/>
      <c r="U47" s="56" t="s">
        <v>1343</v>
      </c>
      <c r="V47" s="60" t="s">
        <v>1342</v>
      </c>
      <c r="W47" s="56"/>
      <c r="X47" s="59">
        <v>45876.0</v>
      </c>
      <c r="Y47" s="56"/>
      <c r="Z47" s="56"/>
      <c r="AA47" s="56"/>
      <c r="AB47" s="56"/>
      <c r="AC47" s="56"/>
      <c r="AD47" s="56"/>
      <c r="AE47" s="56"/>
      <c r="AF47" s="56"/>
      <c r="AG47" s="56"/>
      <c r="AH47" s="56"/>
    </row>
    <row r="48">
      <c r="A48" s="49" t="s">
        <v>1334</v>
      </c>
      <c r="B48" s="50" t="s">
        <v>1335</v>
      </c>
      <c r="C48" s="50" t="s">
        <v>1336</v>
      </c>
      <c r="D48" s="51">
        <v>1.914602624E10</v>
      </c>
      <c r="E48" s="50" t="s">
        <v>1337</v>
      </c>
      <c r="F48" s="50" t="s">
        <v>1338</v>
      </c>
      <c r="G48" s="50" t="s">
        <v>1339</v>
      </c>
      <c r="H48" s="50" t="s">
        <v>751</v>
      </c>
      <c r="I48" s="50">
        <v>10536.0</v>
      </c>
      <c r="J48" s="50" t="s">
        <v>752</v>
      </c>
      <c r="K48" s="50" t="s">
        <v>51</v>
      </c>
      <c r="L48" s="50" t="s">
        <v>1152</v>
      </c>
      <c r="M48" s="50">
        <v>1.0</v>
      </c>
      <c r="N48" s="50" t="s">
        <v>1344</v>
      </c>
      <c r="O48" s="52" t="s">
        <v>1342</v>
      </c>
      <c r="P48" s="53">
        <v>45876.0</v>
      </c>
      <c r="Q48" s="50" t="s">
        <v>1030</v>
      </c>
      <c r="R48" s="50"/>
      <c r="S48" s="50"/>
      <c r="T48" s="50" t="s">
        <v>52</v>
      </c>
      <c r="U48" s="50" t="s">
        <v>1343</v>
      </c>
      <c r="V48" s="54" t="s">
        <v>1342</v>
      </c>
      <c r="W48" s="50"/>
      <c r="X48" s="53">
        <v>45876.0</v>
      </c>
      <c r="Y48" s="50" t="s">
        <v>1030</v>
      </c>
      <c r="Z48" s="50"/>
      <c r="AA48" s="50"/>
      <c r="AB48" s="50" t="s">
        <v>52</v>
      </c>
      <c r="AC48" s="50"/>
      <c r="AD48" s="50"/>
      <c r="AE48" s="50"/>
      <c r="AF48" s="50"/>
      <c r="AG48" s="50"/>
      <c r="AH48" s="50"/>
    </row>
    <row r="49">
      <c r="A49" s="55" t="s">
        <v>1345</v>
      </c>
      <c r="B49" s="56" t="s">
        <v>1346</v>
      </c>
      <c r="C49" s="56"/>
      <c r="D49" s="57">
        <v>9.179217228E9</v>
      </c>
      <c r="E49" s="56" t="s">
        <v>1347</v>
      </c>
      <c r="F49" s="56" t="s">
        <v>527</v>
      </c>
      <c r="G49" s="56" t="s">
        <v>1348</v>
      </c>
      <c r="H49" s="56" t="s">
        <v>751</v>
      </c>
      <c r="I49" s="56">
        <v>10573.0</v>
      </c>
      <c r="J49" s="56" t="s">
        <v>752</v>
      </c>
      <c r="K49" s="56" t="s">
        <v>51</v>
      </c>
      <c r="L49" s="56" t="s">
        <v>1152</v>
      </c>
      <c r="M49" s="56">
        <v>1.0</v>
      </c>
      <c r="N49" s="56" t="s">
        <v>1332</v>
      </c>
      <c r="O49" s="58"/>
      <c r="P49" s="59">
        <v>45888.0</v>
      </c>
      <c r="Q49" s="56" t="s">
        <v>1349</v>
      </c>
      <c r="R49" s="56" t="s">
        <v>1350</v>
      </c>
      <c r="S49" s="56"/>
      <c r="T49" s="56" t="s">
        <v>124</v>
      </c>
      <c r="U49" s="56"/>
      <c r="V49" s="60"/>
      <c r="W49" s="56"/>
      <c r="X49" s="59">
        <v>45888.0</v>
      </c>
      <c r="Y49" s="56" t="s">
        <v>1349</v>
      </c>
      <c r="Z49" s="56"/>
      <c r="AA49" s="56" t="s">
        <v>1350</v>
      </c>
      <c r="AB49" s="56" t="s">
        <v>124</v>
      </c>
      <c r="AC49" s="56"/>
      <c r="AD49" s="56"/>
      <c r="AE49" s="56"/>
      <c r="AF49" s="56"/>
      <c r="AG49" s="56"/>
      <c r="AH49" s="56"/>
    </row>
    <row r="50">
      <c r="A50" s="49" t="s">
        <v>1351</v>
      </c>
      <c r="B50" s="50" t="s">
        <v>1352</v>
      </c>
      <c r="C50" s="50" t="s">
        <v>307</v>
      </c>
      <c r="D50" s="51">
        <v>16178996835</v>
      </c>
      <c r="E50" s="50" t="s">
        <v>1353</v>
      </c>
      <c r="F50" s="50" t="s">
        <v>310</v>
      </c>
      <c r="G50" s="50" t="s">
        <v>1354</v>
      </c>
      <c r="H50" s="50" t="s">
        <v>1121</v>
      </c>
      <c r="I50" s="50">
        <v>2458.0</v>
      </c>
      <c r="J50" s="50" t="s">
        <v>752</v>
      </c>
      <c r="K50" s="50" t="s">
        <v>66</v>
      </c>
      <c r="L50" s="50" t="s">
        <v>1355</v>
      </c>
      <c r="M50" s="50">
        <v>145.0</v>
      </c>
      <c r="N50" s="50" t="s">
        <v>1341</v>
      </c>
      <c r="O50" s="52" t="s">
        <v>311</v>
      </c>
      <c r="P50" s="53">
        <v>45882.0</v>
      </c>
      <c r="Q50" s="50"/>
      <c r="R50" s="50"/>
      <c r="S50" s="50"/>
      <c r="T50" s="50"/>
      <c r="U50" s="50" t="s">
        <v>956</v>
      </c>
      <c r="V50" s="54" t="s">
        <v>311</v>
      </c>
      <c r="W50" s="50"/>
      <c r="X50" s="53">
        <v>45882.0</v>
      </c>
      <c r="Y50" s="50"/>
      <c r="Z50" s="50"/>
      <c r="AA50" s="50"/>
      <c r="AB50" s="50"/>
      <c r="AC50" s="50"/>
      <c r="AD50" s="50"/>
      <c r="AE50" s="50"/>
      <c r="AF50" s="50"/>
      <c r="AG50" s="50"/>
      <c r="AH50" s="50"/>
    </row>
    <row r="51">
      <c r="A51" s="55" t="s">
        <v>1356</v>
      </c>
      <c r="B51" s="56" t="s">
        <v>1357</v>
      </c>
      <c r="C51" s="56"/>
      <c r="D51" s="57">
        <v>3.476344188E9</v>
      </c>
      <c r="E51" s="56" t="s">
        <v>1358</v>
      </c>
      <c r="F51" s="56" t="s">
        <v>1359</v>
      </c>
      <c r="G51" s="56" t="s">
        <v>1360</v>
      </c>
      <c r="H51" s="56" t="s">
        <v>1053</v>
      </c>
      <c r="I51" s="56">
        <v>7020.0</v>
      </c>
      <c r="J51" s="56" t="s">
        <v>752</v>
      </c>
      <c r="K51" s="56" t="s">
        <v>95</v>
      </c>
      <c r="L51" s="56" t="s">
        <v>1361</v>
      </c>
      <c r="M51" s="56">
        <v>49.0</v>
      </c>
      <c r="N51" s="56" t="s">
        <v>1344</v>
      </c>
      <c r="O51" s="58" t="s">
        <v>103</v>
      </c>
      <c r="P51" s="59">
        <v>45883.0</v>
      </c>
      <c r="Q51" s="56" t="s">
        <v>1030</v>
      </c>
      <c r="R51" s="56"/>
      <c r="S51" s="56"/>
      <c r="T51" s="56" t="s">
        <v>52</v>
      </c>
      <c r="U51" s="56" t="s">
        <v>102</v>
      </c>
      <c r="V51" s="60" t="s">
        <v>103</v>
      </c>
      <c r="W51" s="56"/>
      <c r="X51" s="59">
        <v>45883.0</v>
      </c>
      <c r="Y51" s="56" t="s">
        <v>1030</v>
      </c>
      <c r="Z51" s="56"/>
      <c r="AA51" s="56"/>
      <c r="AB51" s="56" t="s">
        <v>52</v>
      </c>
      <c r="AC51" s="56"/>
      <c r="AD51" s="56"/>
      <c r="AE51" s="56"/>
      <c r="AF51" s="56"/>
      <c r="AG51" s="56"/>
      <c r="AH51" s="56"/>
    </row>
    <row r="52">
      <c r="A52" s="49" t="s">
        <v>1364</v>
      </c>
      <c r="B52" s="50" t="s">
        <v>1365</v>
      </c>
      <c r="C52" s="50"/>
      <c r="D52" s="51">
        <v>1.9175848891E10</v>
      </c>
      <c r="E52" s="50" t="s">
        <v>1366</v>
      </c>
      <c r="F52" s="50" t="s">
        <v>1367</v>
      </c>
      <c r="G52" s="50" t="s">
        <v>751</v>
      </c>
      <c r="H52" s="50" t="s">
        <v>751</v>
      </c>
      <c r="I52" s="50">
        <v>10023.0</v>
      </c>
      <c r="J52" s="50" t="s">
        <v>752</v>
      </c>
      <c r="K52" s="50" t="s">
        <v>75</v>
      </c>
      <c r="L52" s="50" t="s">
        <v>1152</v>
      </c>
      <c r="M52" s="50">
        <v>49.0</v>
      </c>
      <c r="N52" s="50" t="s">
        <v>1344</v>
      </c>
      <c r="O52" s="52" t="s">
        <v>1368</v>
      </c>
      <c r="P52" s="53">
        <v>45883.0</v>
      </c>
      <c r="Q52" s="50"/>
      <c r="R52" s="50"/>
      <c r="S52" s="50"/>
      <c r="T52" s="50" t="s">
        <v>52</v>
      </c>
      <c r="U52" s="50" t="s">
        <v>1324</v>
      </c>
      <c r="V52" s="54" t="s">
        <v>1368</v>
      </c>
      <c r="W52" s="50"/>
      <c r="X52" s="53">
        <v>45883.0</v>
      </c>
      <c r="Y52" s="50"/>
      <c r="Z52" s="50" t="s">
        <v>808</v>
      </c>
      <c r="AA52" s="50"/>
      <c r="AB52" s="50" t="s">
        <v>52</v>
      </c>
      <c r="AC52" s="50"/>
      <c r="AD52" s="50"/>
      <c r="AE52" s="50"/>
      <c r="AF52" s="50"/>
      <c r="AG52" s="50"/>
      <c r="AH52" s="50"/>
    </row>
    <row r="53">
      <c r="A53" s="55" t="s">
        <v>1370</v>
      </c>
      <c r="B53" s="56" t="s">
        <v>1371</v>
      </c>
      <c r="C53" s="56"/>
      <c r="D53" s="57">
        <v>7.817086694E9</v>
      </c>
      <c r="E53" s="56" t="s">
        <v>1372</v>
      </c>
      <c r="F53" s="56" t="s">
        <v>1373</v>
      </c>
      <c r="G53" s="56" t="s">
        <v>1374</v>
      </c>
      <c r="H53" s="56" t="s">
        <v>1121</v>
      </c>
      <c r="I53" s="56">
        <v>2090.0</v>
      </c>
      <c r="J53" s="56" t="s">
        <v>752</v>
      </c>
      <c r="K53" s="56" t="s">
        <v>95</v>
      </c>
      <c r="L53" s="56" t="s">
        <v>1361</v>
      </c>
      <c r="M53" s="56">
        <v>49.0</v>
      </c>
      <c r="N53" s="56" t="s">
        <v>1344</v>
      </c>
      <c r="O53" s="58" t="s">
        <v>1375</v>
      </c>
      <c r="P53" s="59">
        <v>45883.0</v>
      </c>
      <c r="Q53" s="56" t="s">
        <v>1030</v>
      </c>
      <c r="R53" s="56"/>
      <c r="S53" s="56"/>
      <c r="T53" s="56" t="s">
        <v>52</v>
      </c>
      <c r="U53" s="56" t="s">
        <v>1376</v>
      </c>
      <c r="V53" s="60" t="s">
        <v>1375</v>
      </c>
      <c r="W53" s="56"/>
      <c r="X53" s="59">
        <v>45883.0</v>
      </c>
      <c r="Y53" s="56" t="s">
        <v>1030</v>
      </c>
      <c r="Z53" s="56"/>
      <c r="AA53" s="56"/>
      <c r="AB53" s="56" t="s">
        <v>52</v>
      </c>
      <c r="AC53" s="56" t="s">
        <v>1377</v>
      </c>
      <c r="AD53" s="56"/>
      <c r="AE53" s="56"/>
      <c r="AF53" s="56"/>
      <c r="AG53" s="56"/>
      <c r="AH53" s="56"/>
    </row>
    <row r="54">
      <c r="A54" s="49" t="s">
        <v>1378</v>
      </c>
      <c r="B54" s="50" t="s">
        <v>1379</v>
      </c>
      <c r="C54" s="50"/>
      <c r="D54" s="51">
        <v>6.46734868E9</v>
      </c>
      <c r="E54" s="50" t="s">
        <v>1380</v>
      </c>
      <c r="F54" s="50" t="s">
        <v>1381</v>
      </c>
      <c r="G54" s="50" t="s">
        <v>1382</v>
      </c>
      <c r="H54" s="50" t="s">
        <v>751</v>
      </c>
      <c r="I54" s="50">
        <v>10583.0</v>
      </c>
      <c r="J54" s="50" t="s">
        <v>752</v>
      </c>
      <c r="K54" s="50" t="s">
        <v>66</v>
      </c>
      <c r="L54" s="50" t="s">
        <v>1340</v>
      </c>
      <c r="M54" s="50">
        <v>210.0</v>
      </c>
      <c r="N54" s="50" t="s">
        <v>1341</v>
      </c>
      <c r="O54" s="52" t="s">
        <v>1383</v>
      </c>
      <c r="P54" s="53">
        <v>45883.0</v>
      </c>
      <c r="Q54" s="50"/>
      <c r="R54" s="50"/>
      <c r="S54" s="50"/>
      <c r="T54" s="50"/>
      <c r="U54" s="50" t="s">
        <v>1324</v>
      </c>
      <c r="V54" s="54" t="s">
        <v>1383</v>
      </c>
      <c r="W54" s="50"/>
      <c r="X54" s="53">
        <v>45883.0</v>
      </c>
      <c r="Y54" s="50"/>
      <c r="Z54" s="50"/>
      <c r="AA54" s="50"/>
      <c r="AB54" s="50"/>
      <c r="AC54" s="50"/>
      <c r="AD54" s="50"/>
      <c r="AE54" s="50"/>
      <c r="AF54" s="50"/>
      <c r="AG54" s="50"/>
      <c r="AH54" s="50"/>
    </row>
    <row r="55">
      <c r="A55" s="55" t="s">
        <v>1378</v>
      </c>
      <c r="B55" s="56" t="s">
        <v>1379</v>
      </c>
      <c r="C55" s="56"/>
      <c r="D55" s="57">
        <v>6.46734868E9</v>
      </c>
      <c r="E55" s="56" t="s">
        <v>1380</v>
      </c>
      <c r="F55" s="56" t="s">
        <v>1381</v>
      </c>
      <c r="G55" s="56" t="s">
        <v>1382</v>
      </c>
      <c r="H55" s="56" t="s">
        <v>751</v>
      </c>
      <c r="I55" s="56">
        <v>10583.0</v>
      </c>
      <c r="J55" s="56" t="s">
        <v>752</v>
      </c>
      <c r="K55" s="56" t="s">
        <v>75</v>
      </c>
      <c r="L55" s="56" t="s">
        <v>1152</v>
      </c>
      <c r="M55" s="56">
        <v>49.0</v>
      </c>
      <c r="N55" s="56" t="s">
        <v>1344</v>
      </c>
      <c r="O55" s="58" t="s">
        <v>1383</v>
      </c>
      <c r="P55" s="59">
        <v>45883.0</v>
      </c>
      <c r="Q55" s="56"/>
      <c r="R55" s="56"/>
      <c r="S55" s="56"/>
      <c r="T55" s="56" t="s">
        <v>52</v>
      </c>
      <c r="U55" s="56" t="s">
        <v>1324</v>
      </c>
      <c r="V55" s="60" t="s">
        <v>1383</v>
      </c>
      <c r="W55" s="56"/>
      <c r="X55" s="59">
        <v>45883.0</v>
      </c>
      <c r="Y55" s="56"/>
      <c r="Z55" s="56" t="s">
        <v>808</v>
      </c>
      <c r="AA55" s="56"/>
      <c r="AB55" s="56" t="s">
        <v>52</v>
      </c>
      <c r="AC55" s="56"/>
      <c r="AD55" s="56"/>
      <c r="AE55" s="56"/>
      <c r="AF55" s="56"/>
      <c r="AG55" s="56"/>
      <c r="AH55" s="56"/>
    </row>
    <row r="56">
      <c r="A56" s="49" t="s">
        <v>1385</v>
      </c>
      <c r="B56" s="50" t="s">
        <v>1386</v>
      </c>
      <c r="C56" s="50" t="s">
        <v>1387</v>
      </c>
      <c r="D56" s="51">
        <v>3.128041544E9</v>
      </c>
      <c r="E56" s="50" t="s">
        <v>1388</v>
      </c>
      <c r="F56" s="50" t="s">
        <v>1389</v>
      </c>
      <c r="G56" s="50" t="s">
        <v>1390</v>
      </c>
      <c r="H56" s="50" t="s">
        <v>1019</v>
      </c>
      <c r="I56" s="50">
        <v>60201.0</v>
      </c>
      <c r="J56" s="50" t="s">
        <v>752</v>
      </c>
      <c r="K56" s="50" t="s">
        <v>66</v>
      </c>
      <c r="L56" s="50" t="s">
        <v>1340</v>
      </c>
      <c r="M56" s="50">
        <v>210.0</v>
      </c>
      <c r="N56" s="50" t="s">
        <v>1341</v>
      </c>
      <c r="O56" s="52" t="s">
        <v>1391</v>
      </c>
      <c r="P56" s="53">
        <v>45883.0</v>
      </c>
      <c r="Q56" s="50"/>
      <c r="R56" s="50"/>
      <c r="S56" s="50"/>
      <c r="T56" s="50"/>
      <c r="U56" s="50" t="s">
        <v>1080</v>
      </c>
      <c r="V56" s="54" t="s">
        <v>1391</v>
      </c>
      <c r="W56" s="50"/>
      <c r="X56" s="53">
        <v>45883.0</v>
      </c>
      <c r="Y56" s="50"/>
      <c r="Z56" s="50"/>
      <c r="AA56" s="50"/>
      <c r="AB56" s="50"/>
      <c r="AC56" s="50"/>
      <c r="AD56" s="50"/>
      <c r="AE56" s="50"/>
      <c r="AF56" s="50"/>
      <c r="AG56" s="50"/>
      <c r="AH56" s="50"/>
    </row>
    <row r="57">
      <c r="A57" s="55" t="s">
        <v>1392</v>
      </c>
      <c r="B57" s="56" t="s">
        <v>1393</v>
      </c>
      <c r="C57" s="56" t="s">
        <v>1394</v>
      </c>
      <c r="D57" s="57">
        <v>2.014077071E9</v>
      </c>
      <c r="E57" s="56" t="s">
        <v>1395</v>
      </c>
      <c r="F57" s="56" t="s">
        <v>1396</v>
      </c>
      <c r="G57" s="56" t="s">
        <v>1397</v>
      </c>
      <c r="H57" s="56" t="s">
        <v>1053</v>
      </c>
      <c r="I57" s="56">
        <v>7746.0</v>
      </c>
      <c r="J57" s="56" t="s">
        <v>752</v>
      </c>
      <c r="K57" s="56" t="s">
        <v>66</v>
      </c>
      <c r="L57" s="56" t="s">
        <v>1340</v>
      </c>
      <c r="M57" s="56">
        <v>210.0</v>
      </c>
      <c r="N57" s="56" t="s">
        <v>1341</v>
      </c>
      <c r="O57" s="58" t="s">
        <v>1398</v>
      </c>
      <c r="P57" s="59">
        <v>45852.0</v>
      </c>
      <c r="Q57" s="56"/>
      <c r="R57" s="56"/>
      <c r="S57" s="56"/>
      <c r="T57" s="56"/>
      <c r="U57" s="56" t="s">
        <v>1399</v>
      </c>
      <c r="V57" s="60" t="s">
        <v>1398</v>
      </c>
      <c r="W57" s="56"/>
      <c r="X57" s="59">
        <v>45852.0</v>
      </c>
      <c r="Y57" s="56"/>
      <c r="Z57" s="56"/>
      <c r="AA57" s="56"/>
      <c r="AB57" s="56"/>
      <c r="AC57" s="56"/>
      <c r="AD57" s="56"/>
      <c r="AE57" s="56"/>
      <c r="AF57" s="56"/>
      <c r="AG57" s="56"/>
      <c r="AH57" s="56"/>
    </row>
    <row r="58">
      <c r="A58" s="49" t="s">
        <v>1400</v>
      </c>
      <c r="B58" s="50" t="s">
        <v>1401</v>
      </c>
      <c r="C58" s="50" t="s">
        <v>1402</v>
      </c>
      <c r="D58" s="51">
        <v>1.9173480983E10</v>
      </c>
      <c r="E58" s="50" t="s">
        <v>1403</v>
      </c>
      <c r="F58" s="50" t="s">
        <v>1404</v>
      </c>
      <c r="G58" s="50" t="s">
        <v>1405</v>
      </c>
      <c r="H58" s="50" t="s">
        <v>751</v>
      </c>
      <c r="I58" s="50">
        <v>11753.0</v>
      </c>
      <c r="J58" s="50" t="s">
        <v>752</v>
      </c>
      <c r="K58" s="50" t="s">
        <v>75</v>
      </c>
      <c r="L58" s="50" t="s">
        <v>1152</v>
      </c>
      <c r="M58" s="50">
        <v>49.0</v>
      </c>
      <c r="N58" s="50" t="s">
        <v>1344</v>
      </c>
      <c r="O58" s="52" t="s">
        <v>1406</v>
      </c>
      <c r="P58" s="53">
        <v>45887.0</v>
      </c>
      <c r="Q58" s="50"/>
      <c r="R58" s="50"/>
      <c r="S58" s="50"/>
      <c r="T58" s="50" t="s">
        <v>52</v>
      </c>
      <c r="U58" s="50" t="s">
        <v>1407</v>
      </c>
      <c r="V58" s="54" t="s">
        <v>1406</v>
      </c>
      <c r="W58" s="50"/>
      <c r="X58" s="53">
        <v>45887.0</v>
      </c>
      <c r="Y58" s="50"/>
      <c r="Z58" s="50" t="s">
        <v>808</v>
      </c>
      <c r="AA58" s="50"/>
      <c r="AB58" s="50" t="s">
        <v>52</v>
      </c>
      <c r="AC58" s="50"/>
      <c r="AD58" s="50"/>
      <c r="AE58" s="50"/>
      <c r="AF58" s="50"/>
      <c r="AG58" s="50"/>
      <c r="AH58" s="50"/>
    </row>
    <row r="59">
      <c r="A59" s="55" t="s">
        <v>1409</v>
      </c>
      <c r="B59" s="56" t="s">
        <v>1410</v>
      </c>
      <c r="C59" s="56" t="s">
        <v>1411</v>
      </c>
      <c r="D59" s="57">
        <v>3.109229448E9</v>
      </c>
      <c r="E59" s="56" t="s">
        <v>1412</v>
      </c>
      <c r="F59" s="56" t="s">
        <v>1413</v>
      </c>
      <c r="G59" s="56" t="s">
        <v>1179</v>
      </c>
      <c r="H59" s="56" t="s">
        <v>989</v>
      </c>
      <c r="I59" s="56">
        <v>90049.0</v>
      </c>
      <c r="J59" s="56" t="s">
        <v>752</v>
      </c>
      <c r="K59" s="56" t="s">
        <v>51</v>
      </c>
      <c r="L59" s="56" t="s">
        <v>1152</v>
      </c>
      <c r="M59" s="56">
        <v>1.0</v>
      </c>
      <c r="N59" s="56" t="s">
        <v>1344</v>
      </c>
      <c r="O59" s="58" t="s">
        <v>1414</v>
      </c>
      <c r="P59" s="59">
        <v>45883.0</v>
      </c>
      <c r="Q59" s="56" t="s">
        <v>1030</v>
      </c>
      <c r="R59" s="56"/>
      <c r="S59" s="56"/>
      <c r="T59" s="56" t="s">
        <v>52</v>
      </c>
      <c r="U59" s="56" t="s">
        <v>1415</v>
      </c>
      <c r="V59" s="60" t="s">
        <v>1414</v>
      </c>
      <c r="W59" s="56"/>
      <c r="X59" s="59">
        <v>45883.0</v>
      </c>
      <c r="Y59" s="56" t="s">
        <v>1030</v>
      </c>
      <c r="Z59" s="56"/>
      <c r="AA59" s="56"/>
      <c r="AB59" s="56" t="s">
        <v>52</v>
      </c>
      <c r="AC59" s="56"/>
      <c r="AD59" s="56"/>
      <c r="AE59" s="56"/>
      <c r="AF59" s="56"/>
      <c r="AG59" s="56"/>
      <c r="AH59" s="56"/>
    </row>
    <row r="60">
      <c r="A60" s="49" t="s">
        <v>1416</v>
      </c>
      <c r="B60" s="50" t="s">
        <v>1417</v>
      </c>
      <c r="C60" s="50" t="s">
        <v>1418</v>
      </c>
      <c r="D60" s="51">
        <v>5.038100524E9</v>
      </c>
      <c r="E60" s="50" t="s">
        <v>1419</v>
      </c>
      <c r="F60" s="50" t="s">
        <v>1420</v>
      </c>
      <c r="G60" s="50" t="s">
        <v>1421</v>
      </c>
      <c r="H60" s="50" t="s">
        <v>1422</v>
      </c>
      <c r="I60" s="50">
        <v>97219.0</v>
      </c>
      <c r="J60" s="50" t="s">
        <v>752</v>
      </c>
      <c r="K60" s="50" t="s">
        <v>66</v>
      </c>
      <c r="L60" s="50" t="s">
        <v>1340</v>
      </c>
      <c r="M60" s="50">
        <v>210.0</v>
      </c>
      <c r="N60" s="50" t="s">
        <v>1341</v>
      </c>
      <c r="O60" s="52" t="s">
        <v>1423</v>
      </c>
      <c r="P60" s="53">
        <v>45883.0</v>
      </c>
      <c r="Q60" s="50"/>
      <c r="R60" s="50"/>
      <c r="S60" s="50"/>
      <c r="T60" s="50"/>
      <c r="U60" s="50" t="s">
        <v>1324</v>
      </c>
      <c r="V60" s="54" t="s">
        <v>1423</v>
      </c>
      <c r="W60" s="50"/>
      <c r="X60" s="53">
        <v>45883.0</v>
      </c>
      <c r="Y60" s="50"/>
      <c r="Z60" s="50"/>
      <c r="AA60" s="50"/>
      <c r="AB60" s="50"/>
      <c r="AC60" s="50"/>
      <c r="AD60" s="50"/>
      <c r="AE60" s="50"/>
      <c r="AF60" s="50"/>
      <c r="AG60" s="50"/>
      <c r="AH60" s="50"/>
    </row>
    <row r="61">
      <c r="A61" s="55" t="s">
        <v>1424</v>
      </c>
      <c r="B61" s="56" t="s">
        <v>1425</v>
      </c>
      <c r="C61" s="56" t="s">
        <v>1288</v>
      </c>
      <c r="D61" s="57">
        <v>17082505700</v>
      </c>
      <c r="E61" s="56" t="s">
        <v>1426</v>
      </c>
      <c r="F61" s="56" t="s">
        <v>1290</v>
      </c>
      <c r="G61" s="56" t="s">
        <v>1291</v>
      </c>
      <c r="H61" s="56" t="s">
        <v>1019</v>
      </c>
      <c r="I61" s="56">
        <v>60467.0</v>
      </c>
      <c r="J61" s="56" t="s">
        <v>752</v>
      </c>
      <c r="K61" s="56" t="s">
        <v>66</v>
      </c>
      <c r="L61" s="56" t="s">
        <v>1340</v>
      </c>
      <c r="M61" s="56">
        <v>210.0</v>
      </c>
      <c r="N61" s="56" t="s">
        <v>1341</v>
      </c>
      <c r="O61" s="58" t="s">
        <v>1292</v>
      </c>
      <c r="P61" s="59">
        <v>45883.0</v>
      </c>
      <c r="Q61" s="56"/>
      <c r="R61" s="56"/>
      <c r="S61" s="56"/>
      <c r="T61" s="56"/>
      <c r="U61" s="56" t="s">
        <v>1249</v>
      </c>
      <c r="V61" s="60" t="s">
        <v>1292</v>
      </c>
      <c r="W61" s="56"/>
      <c r="X61" s="59">
        <v>45883.0</v>
      </c>
      <c r="Y61" s="56"/>
      <c r="Z61" s="56"/>
      <c r="AA61" s="56"/>
      <c r="AB61" s="56"/>
      <c r="AC61" s="56"/>
      <c r="AD61" s="56"/>
      <c r="AE61" s="56"/>
      <c r="AF61" s="56"/>
      <c r="AG61" s="56"/>
      <c r="AH61" s="56"/>
    </row>
    <row r="62">
      <c r="A62" s="49" t="s">
        <v>1427</v>
      </c>
      <c r="B62" s="50" t="s">
        <v>1428</v>
      </c>
      <c r="C62" s="50" t="s">
        <v>488</v>
      </c>
      <c r="D62" s="51">
        <v>9.176052406E9</v>
      </c>
      <c r="E62" s="50" t="s">
        <v>1429</v>
      </c>
      <c r="F62" s="50" t="s">
        <v>491</v>
      </c>
      <c r="G62" s="50" t="s">
        <v>1430</v>
      </c>
      <c r="H62" s="50" t="s">
        <v>1053</v>
      </c>
      <c r="I62" s="50">
        <v>7112.0</v>
      </c>
      <c r="J62" s="50" t="s">
        <v>752</v>
      </c>
      <c r="K62" s="50" t="s">
        <v>66</v>
      </c>
      <c r="L62" s="50" t="s">
        <v>1431</v>
      </c>
      <c r="M62" s="50">
        <v>115.0</v>
      </c>
      <c r="N62" s="50" t="s">
        <v>1341</v>
      </c>
      <c r="O62" s="52" t="s">
        <v>1432</v>
      </c>
      <c r="P62" s="53">
        <v>45852.0</v>
      </c>
      <c r="Q62" s="50"/>
      <c r="R62" s="50"/>
      <c r="S62" s="50"/>
      <c r="T62" s="50"/>
      <c r="U62" s="50" t="s">
        <v>1376</v>
      </c>
      <c r="V62" s="54" t="s">
        <v>1432</v>
      </c>
      <c r="W62" s="50"/>
      <c r="X62" s="53">
        <v>45852.0</v>
      </c>
      <c r="Y62" s="50"/>
      <c r="Z62" s="50"/>
      <c r="AA62" s="50"/>
      <c r="AB62" s="50"/>
      <c r="AC62" s="50"/>
      <c r="AD62" s="50"/>
      <c r="AE62" s="50"/>
      <c r="AF62" s="50"/>
      <c r="AG62" s="50"/>
      <c r="AH62" s="50"/>
    </row>
    <row r="63">
      <c r="A63" s="55" t="s">
        <v>1433</v>
      </c>
      <c r="B63" s="56" t="s">
        <v>1434</v>
      </c>
      <c r="C63" s="56"/>
      <c r="D63" s="57">
        <v>7.046920035E9</v>
      </c>
      <c r="E63" s="56" t="s">
        <v>1435</v>
      </c>
      <c r="F63" s="56" t="s">
        <v>1436</v>
      </c>
      <c r="G63" s="56" t="s">
        <v>1437</v>
      </c>
      <c r="H63" s="56" t="s">
        <v>1438</v>
      </c>
      <c r="I63" s="56">
        <v>28150.0</v>
      </c>
      <c r="J63" s="56" t="s">
        <v>752</v>
      </c>
      <c r="K63" s="56" t="s">
        <v>51</v>
      </c>
      <c r="L63" s="56" t="s">
        <v>1152</v>
      </c>
      <c r="M63" s="56">
        <v>1.0</v>
      </c>
      <c r="N63" s="56" t="s">
        <v>1344</v>
      </c>
      <c r="O63" s="58" t="s">
        <v>1439</v>
      </c>
      <c r="P63" s="59">
        <v>45876.0</v>
      </c>
      <c r="Q63" s="56" t="s">
        <v>1440</v>
      </c>
      <c r="R63" s="56"/>
      <c r="S63" s="56"/>
      <c r="T63" s="56" t="s">
        <v>52</v>
      </c>
      <c r="U63" s="56" t="s">
        <v>1441</v>
      </c>
      <c r="V63" s="60" t="s">
        <v>1439</v>
      </c>
      <c r="W63" s="56"/>
      <c r="X63" s="59">
        <v>45876.0</v>
      </c>
      <c r="Y63" s="56" t="s">
        <v>1440</v>
      </c>
      <c r="Z63" s="56"/>
      <c r="AA63" s="56"/>
      <c r="AB63" s="56" t="s">
        <v>52</v>
      </c>
      <c r="AC63" s="56"/>
      <c r="AD63" s="56"/>
      <c r="AE63" s="56"/>
      <c r="AF63" s="56"/>
      <c r="AG63" s="56"/>
      <c r="AH63" s="56"/>
    </row>
    <row r="64">
      <c r="A64" s="49" t="s">
        <v>1442</v>
      </c>
      <c r="B64" s="50" t="s">
        <v>1443</v>
      </c>
      <c r="C64" s="50" t="s">
        <v>1394</v>
      </c>
      <c r="D64" s="51">
        <v>1.2014077071E10</v>
      </c>
      <c r="E64" s="50" t="s">
        <v>1395</v>
      </c>
      <c r="F64" s="50" t="s">
        <v>1396</v>
      </c>
      <c r="G64" s="50" t="s">
        <v>1397</v>
      </c>
      <c r="H64" s="50" t="s">
        <v>1053</v>
      </c>
      <c r="I64" s="50">
        <v>7746.0</v>
      </c>
      <c r="J64" s="50" t="s">
        <v>752</v>
      </c>
      <c r="K64" s="50" t="s">
        <v>51</v>
      </c>
      <c r="L64" s="50" t="s">
        <v>1152</v>
      </c>
      <c r="M64" s="50">
        <v>1.0</v>
      </c>
      <c r="N64" s="50" t="s">
        <v>1344</v>
      </c>
      <c r="O64" s="52" t="s">
        <v>1398</v>
      </c>
      <c r="P64" s="53">
        <v>45883.0</v>
      </c>
      <c r="Q64" s="50" t="s">
        <v>1103</v>
      </c>
      <c r="R64" s="50"/>
      <c r="S64" s="50"/>
      <c r="T64" s="50" t="s">
        <v>52</v>
      </c>
      <c r="U64" s="50" t="s">
        <v>1399</v>
      </c>
      <c r="V64" s="54" t="s">
        <v>1398</v>
      </c>
      <c r="W64" s="50"/>
      <c r="X64" s="53">
        <v>45883.0</v>
      </c>
      <c r="Y64" s="50" t="s">
        <v>1103</v>
      </c>
      <c r="Z64" s="50"/>
      <c r="AA64" s="50"/>
      <c r="AB64" s="50" t="s">
        <v>52</v>
      </c>
      <c r="AC64" s="50"/>
      <c r="AD64" s="50"/>
      <c r="AE64" s="50"/>
      <c r="AF64" s="50"/>
      <c r="AG64" s="50"/>
      <c r="AH64" s="50"/>
    </row>
    <row r="65">
      <c r="A65" s="55" t="s">
        <v>1444</v>
      </c>
      <c r="B65" s="56" t="s">
        <v>1445</v>
      </c>
      <c r="C65" s="56"/>
      <c r="D65" s="57">
        <v>6.176595918E9</v>
      </c>
      <c r="E65" s="56" t="s">
        <v>1446</v>
      </c>
      <c r="F65" s="56" t="s">
        <v>1447</v>
      </c>
      <c r="G65" s="56" t="s">
        <v>1448</v>
      </c>
      <c r="H65" s="56" t="s">
        <v>1121</v>
      </c>
      <c r="I65" s="56">
        <v>2482.0</v>
      </c>
      <c r="J65" s="56" t="s">
        <v>752</v>
      </c>
      <c r="K65" s="56" t="s">
        <v>66</v>
      </c>
      <c r="L65" s="56" t="s">
        <v>1449</v>
      </c>
      <c r="M65" s="56">
        <v>180.0</v>
      </c>
      <c r="N65" s="56" t="s">
        <v>1341</v>
      </c>
      <c r="O65" s="58" t="s">
        <v>1450</v>
      </c>
      <c r="P65" s="59">
        <v>45883.0</v>
      </c>
      <c r="Q65" s="56"/>
      <c r="R65" s="56"/>
      <c r="S65" s="56"/>
      <c r="T65" s="56"/>
      <c r="U65" s="56" t="s">
        <v>956</v>
      </c>
      <c r="V65" s="60" t="s">
        <v>1450</v>
      </c>
      <c r="W65" s="56"/>
      <c r="X65" s="59">
        <v>45883.0</v>
      </c>
      <c r="Y65" s="56"/>
      <c r="Z65" s="56"/>
      <c r="AA65" s="56"/>
      <c r="AB65" s="56"/>
      <c r="AC65" s="56"/>
      <c r="AD65" s="56"/>
      <c r="AE65" s="56"/>
      <c r="AF65" s="56"/>
      <c r="AG65" s="56"/>
      <c r="AH65" s="56"/>
    </row>
    <row r="66">
      <c r="A66" s="49" t="s">
        <v>1451</v>
      </c>
      <c r="B66" s="50" t="s">
        <v>1452</v>
      </c>
      <c r="C66" s="50"/>
      <c r="D66" s="51">
        <v>6.463198706E9</v>
      </c>
      <c r="E66" s="50" t="s">
        <v>1453</v>
      </c>
      <c r="F66" s="50"/>
      <c r="G66" s="50" t="s">
        <v>1131</v>
      </c>
      <c r="H66" s="50" t="s">
        <v>751</v>
      </c>
      <c r="I66" s="50">
        <v>10538.0</v>
      </c>
      <c r="J66" s="50" t="s">
        <v>752</v>
      </c>
      <c r="K66" s="50" t="s">
        <v>51</v>
      </c>
      <c r="L66" s="50" t="s">
        <v>1152</v>
      </c>
      <c r="M66" s="50">
        <v>1.0</v>
      </c>
      <c r="N66" s="50" t="s">
        <v>52</v>
      </c>
      <c r="O66" s="52" t="s">
        <v>1454</v>
      </c>
      <c r="P66" s="53">
        <v>45882.0</v>
      </c>
      <c r="Q66" s="50" t="s">
        <v>1455</v>
      </c>
      <c r="R66" s="50"/>
      <c r="S66" s="50" t="s">
        <v>52</v>
      </c>
      <c r="T66" s="50" t="s">
        <v>52</v>
      </c>
      <c r="U66" s="50" t="s">
        <v>1456</v>
      </c>
      <c r="V66" s="54" t="s">
        <v>1454</v>
      </c>
      <c r="W66" s="50"/>
      <c r="X66" s="53">
        <v>45882.0</v>
      </c>
      <c r="Y66" s="50" t="s">
        <v>1455</v>
      </c>
      <c r="Z66" s="50"/>
      <c r="AA66" s="50"/>
      <c r="AB66" s="50" t="s">
        <v>52</v>
      </c>
      <c r="AC66" s="50"/>
      <c r="AD66" s="50"/>
      <c r="AE66" s="50"/>
      <c r="AF66" s="50"/>
      <c r="AG66" s="50"/>
      <c r="AH66" s="50"/>
    </row>
    <row r="67">
      <c r="A67" s="55" t="s">
        <v>1457</v>
      </c>
      <c r="B67" s="56" t="s">
        <v>1458</v>
      </c>
      <c r="C67" s="56" t="s">
        <v>1459</v>
      </c>
      <c r="D67" s="57">
        <v>1.9176897822E10</v>
      </c>
      <c r="E67" s="56" t="s">
        <v>1460</v>
      </c>
      <c r="F67" s="56"/>
      <c r="G67" s="56" t="s">
        <v>751</v>
      </c>
      <c r="H67" s="56" t="s">
        <v>751</v>
      </c>
      <c r="I67" s="56">
        <v>10025.0</v>
      </c>
      <c r="J67" s="56" t="s">
        <v>752</v>
      </c>
      <c r="K67" s="56" t="s">
        <v>66</v>
      </c>
      <c r="L67" s="56" t="s">
        <v>1340</v>
      </c>
      <c r="M67" s="56">
        <v>210.0</v>
      </c>
      <c r="N67" s="56"/>
      <c r="O67" s="58" t="s">
        <v>1461</v>
      </c>
      <c r="P67" s="59">
        <v>45883.0</v>
      </c>
      <c r="Q67" s="56"/>
      <c r="R67" s="56"/>
      <c r="S67" s="56"/>
      <c r="T67" s="56"/>
      <c r="U67" s="56" t="s">
        <v>1174</v>
      </c>
      <c r="V67" s="60" t="s">
        <v>1461</v>
      </c>
      <c r="W67" s="56"/>
      <c r="X67" s="59">
        <v>45883.0</v>
      </c>
      <c r="Y67" s="56"/>
      <c r="Z67" s="56"/>
      <c r="AA67" s="56"/>
      <c r="AB67" s="56"/>
      <c r="AC67" s="56"/>
      <c r="AD67" s="56"/>
      <c r="AE67" s="56"/>
      <c r="AF67" s="56"/>
      <c r="AG67" s="56"/>
      <c r="AH67" s="56"/>
    </row>
    <row r="68">
      <c r="A68" s="49" t="s">
        <v>1457</v>
      </c>
      <c r="B68" s="50" t="s">
        <v>1458</v>
      </c>
      <c r="C68" s="50" t="s">
        <v>1459</v>
      </c>
      <c r="D68" s="51">
        <v>1.9176897822E10</v>
      </c>
      <c r="E68" s="50" t="s">
        <v>1460</v>
      </c>
      <c r="F68" s="50"/>
      <c r="G68" s="50" t="s">
        <v>751</v>
      </c>
      <c r="H68" s="50" t="s">
        <v>751</v>
      </c>
      <c r="I68" s="50">
        <v>10025.0</v>
      </c>
      <c r="J68" s="50" t="s">
        <v>752</v>
      </c>
      <c r="K68" s="50" t="s">
        <v>75</v>
      </c>
      <c r="L68" s="50" t="s">
        <v>1152</v>
      </c>
      <c r="M68" s="50">
        <v>49.0</v>
      </c>
      <c r="N68" s="50" t="s">
        <v>52</v>
      </c>
      <c r="O68" s="52" t="s">
        <v>1461</v>
      </c>
      <c r="P68" s="53">
        <v>45883.0</v>
      </c>
      <c r="Q68" s="50"/>
      <c r="R68" s="50"/>
      <c r="S68" s="50" t="s">
        <v>52</v>
      </c>
      <c r="T68" s="50" t="s">
        <v>52</v>
      </c>
      <c r="U68" s="50" t="s">
        <v>1174</v>
      </c>
      <c r="V68" s="54" t="s">
        <v>1461</v>
      </c>
      <c r="W68" s="50"/>
      <c r="X68" s="53">
        <v>45883.0</v>
      </c>
      <c r="Y68" s="50"/>
      <c r="Z68" s="50" t="s">
        <v>808</v>
      </c>
      <c r="AA68" s="50"/>
      <c r="AB68" s="50" t="s">
        <v>52</v>
      </c>
      <c r="AC68" s="50"/>
      <c r="AD68" s="50"/>
      <c r="AE68" s="50"/>
      <c r="AF68" s="50"/>
      <c r="AG68" s="50"/>
      <c r="AH68" s="50"/>
    </row>
    <row r="69">
      <c r="A69" s="55" t="s">
        <v>1463</v>
      </c>
      <c r="B69" s="56" t="s">
        <v>1464</v>
      </c>
      <c r="C69" s="56" t="s">
        <v>1465</v>
      </c>
      <c r="D69" s="57">
        <v>8.622122755E9</v>
      </c>
      <c r="E69" s="56" t="s">
        <v>1466</v>
      </c>
      <c r="F69" s="56"/>
      <c r="G69" s="56" t="s">
        <v>1467</v>
      </c>
      <c r="H69" s="56" t="s">
        <v>1053</v>
      </c>
      <c r="I69" s="56">
        <v>7039.0</v>
      </c>
      <c r="J69" s="56" t="s">
        <v>752</v>
      </c>
      <c r="K69" s="56" t="s">
        <v>75</v>
      </c>
      <c r="L69" s="56" t="s">
        <v>1152</v>
      </c>
      <c r="M69" s="56">
        <v>49.0</v>
      </c>
      <c r="N69" s="56" t="s">
        <v>52</v>
      </c>
      <c r="O69" s="58" t="s">
        <v>1468</v>
      </c>
      <c r="P69" s="59">
        <v>45883.0</v>
      </c>
      <c r="Q69" s="56"/>
      <c r="R69" s="56"/>
      <c r="S69" s="56" t="s">
        <v>52</v>
      </c>
      <c r="T69" s="56" t="s">
        <v>52</v>
      </c>
      <c r="U69" s="56" t="s">
        <v>1039</v>
      </c>
      <c r="V69" s="60" t="s">
        <v>1468</v>
      </c>
      <c r="W69" s="56"/>
      <c r="X69" s="59">
        <v>45883.0</v>
      </c>
      <c r="Y69" s="56"/>
      <c r="Z69" s="56" t="s">
        <v>808</v>
      </c>
      <c r="AA69" s="56"/>
      <c r="AB69" s="56" t="s">
        <v>52</v>
      </c>
      <c r="AC69" s="56"/>
      <c r="AD69" s="56"/>
      <c r="AE69" s="56"/>
      <c r="AF69" s="56"/>
      <c r="AG69" s="56"/>
      <c r="AH69" s="56"/>
    </row>
    <row r="70">
      <c r="A70" s="49" t="s">
        <v>1470</v>
      </c>
      <c r="B70" s="50" t="s">
        <v>1471</v>
      </c>
      <c r="C70" s="50" t="s">
        <v>1472</v>
      </c>
      <c r="D70" s="51">
        <v>6.502247807E9</v>
      </c>
      <c r="E70" s="50" t="s">
        <v>1473</v>
      </c>
      <c r="F70" s="50"/>
      <c r="G70" s="50" t="s">
        <v>1474</v>
      </c>
      <c r="H70" s="50" t="s">
        <v>989</v>
      </c>
      <c r="I70" s="50">
        <v>94022.0</v>
      </c>
      <c r="J70" s="50" t="s">
        <v>752</v>
      </c>
      <c r="K70" s="50" t="s">
        <v>66</v>
      </c>
      <c r="L70" s="50" t="s">
        <v>1431</v>
      </c>
      <c r="M70" s="50">
        <v>115.0</v>
      </c>
      <c r="N70" s="50"/>
      <c r="O70" s="52" t="s">
        <v>1475</v>
      </c>
      <c r="P70" s="53">
        <v>45883.0</v>
      </c>
      <c r="Q70" s="50"/>
      <c r="R70" s="50"/>
      <c r="S70" s="50"/>
      <c r="T70" s="50"/>
      <c r="U70" s="50" t="s">
        <v>1148</v>
      </c>
      <c r="V70" s="54" t="s">
        <v>1475</v>
      </c>
      <c r="W70" s="50"/>
      <c r="X70" s="53">
        <v>45883.0</v>
      </c>
      <c r="Y70" s="50"/>
      <c r="Z70" s="50"/>
      <c r="AA70" s="50"/>
      <c r="AB70" s="50"/>
      <c r="AC70" s="50"/>
      <c r="AD70" s="50"/>
      <c r="AE70" s="50"/>
      <c r="AF70" s="50"/>
      <c r="AG70" s="50"/>
      <c r="AH70" s="50"/>
    </row>
    <row r="71">
      <c r="A71" s="55" t="s">
        <v>1476</v>
      </c>
      <c r="B71" s="56" t="s">
        <v>1477</v>
      </c>
      <c r="C71" s="56" t="s">
        <v>1478</v>
      </c>
      <c r="D71" s="57">
        <v>9.176131752E9</v>
      </c>
      <c r="E71" s="56" t="s">
        <v>1479</v>
      </c>
      <c r="F71" s="56"/>
      <c r="G71" s="56" t="s">
        <v>1480</v>
      </c>
      <c r="H71" s="56" t="s">
        <v>751</v>
      </c>
      <c r="I71" s="56">
        <v>11557.0</v>
      </c>
      <c r="J71" s="56" t="s">
        <v>752</v>
      </c>
      <c r="K71" s="56" t="s">
        <v>75</v>
      </c>
      <c r="L71" s="56" t="s">
        <v>1152</v>
      </c>
      <c r="M71" s="56">
        <v>49.0</v>
      </c>
      <c r="N71" s="56" t="s">
        <v>52</v>
      </c>
      <c r="O71" s="58" t="s">
        <v>293</v>
      </c>
      <c r="P71" s="59">
        <v>45883.0</v>
      </c>
      <c r="Q71" s="56"/>
      <c r="R71" s="56"/>
      <c r="S71" s="56" t="s">
        <v>52</v>
      </c>
      <c r="T71" s="56" t="s">
        <v>52</v>
      </c>
      <c r="U71" s="56" t="s">
        <v>1080</v>
      </c>
      <c r="V71" s="60" t="s">
        <v>293</v>
      </c>
      <c r="W71" s="56"/>
      <c r="X71" s="59">
        <v>45883.0</v>
      </c>
      <c r="Y71" s="56"/>
      <c r="Z71" s="56" t="s">
        <v>808</v>
      </c>
      <c r="AA71" s="56"/>
      <c r="AB71" s="56" t="s">
        <v>52</v>
      </c>
      <c r="AC71" s="56"/>
      <c r="AD71" s="56"/>
      <c r="AE71" s="56"/>
      <c r="AF71" s="56"/>
      <c r="AG71" s="56"/>
      <c r="AH71" s="56"/>
    </row>
    <row r="72">
      <c r="A72" s="49" t="s">
        <v>1482</v>
      </c>
      <c r="B72" s="50" t="s">
        <v>1483</v>
      </c>
      <c r="C72" s="50"/>
      <c r="D72" s="51">
        <v>9.143296359E9</v>
      </c>
      <c r="E72" s="50" t="s">
        <v>1484</v>
      </c>
      <c r="F72" s="50"/>
      <c r="G72" s="50" t="s">
        <v>1485</v>
      </c>
      <c r="H72" s="50" t="s">
        <v>751</v>
      </c>
      <c r="I72" s="50">
        <v>10591.0</v>
      </c>
      <c r="J72" s="50" t="s">
        <v>752</v>
      </c>
      <c r="K72" s="50" t="s">
        <v>75</v>
      </c>
      <c r="L72" s="50" t="s">
        <v>1152</v>
      </c>
      <c r="M72" s="50">
        <v>49.0</v>
      </c>
      <c r="N72" s="50" t="s">
        <v>52</v>
      </c>
      <c r="O72" s="52" t="s">
        <v>1486</v>
      </c>
      <c r="P72" s="53">
        <v>45883.0</v>
      </c>
      <c r="Q72" s="50"/>
      <c r="R72" s="50"/>
      <c r="S72" s="50" t="s">
        <v>52</v>
      </c>
      <c r="T72" s="50" t="s">
        <v>52</v>
      </c>
      <c r="U72" s="50" t="s">
        <v>1487</v>
      </c>
      <c r="V72" s="54" t="s">
        <v>1486</v>
      </c>
      <c r="W72" s="50"/>
      <c r="X72" s="53">
        <v>45883.0</v>
      </c>
      <c r="Y72" s="50"/>
      <c r="Z72" s="50" t="s">
        <v>808</v>
      </c>
      <c r="AA72" s="50"/>
      <c r="AB72" s="50" t="s">
        <v>52</v>
      </c>
      <c r="AC72" s="50"/>
      <c r="AD72" s="50"/>
      <c r="AE72" s="50"/>
      <c r="AF72" s="50"/>
      <c r="AG72" s="50"/>
      <c r="AH72" s="50"/>
    </row>
    <row r="73">
      <c r="A73" s="55" t="s">
        <v>1489</v>
      </c>
      <c r="B73" s="56" t="s">
        <v>1490</v>
      </c>
      <c r="C73" s="56"/>
      <c r="D73" s="57">
        <v>1.6787360144E10</v>
      </c>
      <c r="E73" s="56" t="s">
        <v>1491</v>
      </c>
      <c r="F73" s="56"/>
      <c r="G73" s="56" t="s">
        <v>1492</v>
      </c>
      <c r="H73" s="56" t="s">
        <v>946</v>
      </c>
      <c r="I73" s="56">
        <v>30338.0</v>
      </c>
      <c r="J73" s="56" t="s">
        <v>752</v>
      </c>
      <c r="K73" s="56" t="s">
        <v>95</v>
      </c>
      <c r="L73" s="56" t="s">
        <v>1361</v>
      </c>
      <c r="M73" s="56">
        <v>49.0</v>
      </c>
      <c r="N73" s="56" t="s">
        <v>52</v>
      </c>
      <c r="O73" s="58" t="s">
        <v>103</v>
      </c>
      <c r="P73" s="59">
        <v>45883.0</v>
      </c>
      <c r="Q73" s="56" t="s">
        <v>1455</v>
      </c>
      <c r="R73" s="56"/>
      <c r="S73" s="56" t="s">
        <v>52</v>
      </c>
      <c r="T73" s="56" t="s">
        <v>52</v>
      </c>
      <c r="U73" s="56" t="s">
        <v>956</v>
      </c>
      <c r="V73" s="60" t="s">
        <v>103</v>
      </c>
      <c r="W73" s="56"/>
      <c r="X73" s="59">
        <v>45883.0</v>
      </c>
      <c r="Y73" s="56" t="s">
        <v>1455</v>
      </c>
      <c r="Z73" s="56"/>
      <c r="AA73" s="56"/>
      <c r="AB73" s="56" t="s">
        <v>52</v>
      </c>
      <c r="AC73" s="56" t="s">
        <v>1494</v>
      </c>
      <c r="AD73" s="56"/>
      <c r="AE73" s="56"/>
      <c r="AF73" s="56"/>
      <c r="AG73" s="56"/>
      <c r="AH73" s="56"/>
    </row>
    <row r="74">
      <c r="A74" s="49" t="s">
        <v>1495</v>
      </c>
      <c r="B74" s="50" t="s">
        <v>1496</v>
      </c>
      <c r="C74" s="50" t="s">
        <v>1497</v>
      </c>
      <c r="D74" s="51">
        <v>5.169455306E9</v>
      </c>
      <c r="E74" s="50" t="s">
        <v>1498</v>
      </c>
      <c r="F74" s="50"/>
      <c r="G74" s="50" t="s">
        <v>1499</v>
      </c>
      <c r="H74" s="50" t="s">
        <v>751</v>
      </c>
      <c r="I74" s="50">
        <v>11576.0</v>
      </c>
      <c r="J74" s="50" t="s">
        <v>752</v>
      </c>
      <c r="K74" s="50" t="s">
        <v>66</v>
      </c>
      <c r="L74" s="50" t="s">
        <v>1340</v>
      </c>
      <c r="M74" s="50">
        <v>210.0</v>
      </c>
      <c r="N74" s="50"/>
      <c r="O74" s="52" t="s">
        <v>1500</v>
      </c>
      <c r="P74" s="53">
        <v>45883.0</v>
      </c>
      <c r="Q74" s="50"/>
      <c r="R74" s="50"/>
      <c r="S74" s="50"/>
      <c r="T74" s="50"/>
      <c r="U74" s="50" t="s">
        <v>1487</v>
      </c>
      <c r="V74" s="54" t="s">
        <v>1500</v>
      </c>
      <c r="W74" s="50"/>
      <c r="X74" s="53">
        <v>45883.0</v>
      </c>
      <c r="Y74" s="50"/>
      <c r="Z74" s="50"/>
      <c r="AA74" s="50"/>
      <c r="AB74" s="50"/>
      <c r="AC74" s="50"/>
      <c r="AD74" s="50"/>
      <c r="AE74" s="50"/>
      <c r="AF74" s="50"/>
      <c r="AG74" s="50"/>
      <c r="AH74" s="50"/>
    </row>
    <row r="75">
      <c r="A75" s="55" t="s">
        <v>1495</v>
      </c>
      <c r="B75" s="56" t="s">
        <v>1496</v>
      </c>
      <c r="C75" s="56" t="s">
        <v>1497</v>
      </c>
      <c r="D75" s="57">
        <v>5.169455306E9</v>
      </c>
      <c r="E75" s="56" t="s">
        <v>1498</v>
      </c>
      <c r="F75" s="56"/>
      <c r="G75" s="56" t="s">
        <v>1499</v>
      </c>
      <c r="H75" s="56" t="s">
        <v>751</v>
      </c>
      <c r="I75" s="56">
        <v>11576.0</v>
      </c>
      <c r="J75" s="56" t="s">
        <v>752</v>
      </c>
      <c r="K75" s="56" t="s">
        <v>75</v>
      </c>
      <c r="L75" s="56" t="s">
        <v>1152</v>
      </c>
      <c r="M75" s="56">
        <v>49.0</v>
      </c>
      <c r="N75" s="56" t="s">
        <v>52</v>
      </c>
      <c r="O75" s="58" t="s">
        <v>1500</v>
      </c>
      <c r="P75" s="59">
        <v>45883.0</v>
      </c>
      <c r="Q75" s="56"/>
      <c r="R75" s="56"/>
      <c r="S75" s="56" t="s">
        <v>52</v>
      </c>
      <c r="T75" s="56" t="s">
        <v>52</v>
      </c>
      <c r="U75" s="56" t="s">
        <v>1487</v>
      </c>
      <c r="V75" s="60" t="s">
        <v>1500</v>
      </c>
      <c r="W75" s="56"/>
      <c r="X75" s="59">
        <v>45883.0</v>
      </c>
      <c r="Y75" s="56"/>
      <c r="Z75" s="56" t="s">
        <v>808</v>
      </c>
      <c r="AA75" s="56"/>
      <c r="AB75" s="56" t="s">
        <v>52</v>
      </c>
      <c r="AC75" s="56"/>
      <c r="AD75" s="56" t="s">
        <v>1501</v>
      </c>
      <c r="AE75" s="56"/>
      <c r="AF75" s="56"/>
      <c r="AG75" s="56"/>
      <c r="AH75" s="56"/>
    </row>
    <row r="76">
      <c r="A76" s="49" t="s">
        <v>1502</v>
      </c>
      <c r="B76" s="50" t="s">
        <v>1503</v>
      </c>
      <c r="C76" s="50" t="s">
        <v>1504</v>
      </c>
      <c r="D76" s="51">
        <v>1.5033604485E10</v>
      </c>
      <c r="E76" s="50" t="s">
        <v>1505</v>
      </c>
      <c r="F76" s="50" t="s">
        <v>1506</v>
      </c>
      <c r="G76" s="50" t="s">
        <v>1421</v>
      </c>
      <c r="H76" s="50" t="s">
        <v>1422</v>
      </c>
      <c r="I76" s="50">
        <v>97229.0</v>
      </c>
      <c r="J76" s="50" t="s">
        <v>752</v>
      </c>
      <c r="K76" s="50" t="s">
        <v>95</v>
      </c>
      <c r="L76" s="50" t="s">
        <v>1361</v>
      </c>
      <c r="M76" s="50">
        <v>49.0</v>
      </c>
      <c r="N76" s="50" t="s">
        <v>52</v>
      </c>
      <c r="O76" s="52" t="s">
        <v>258</v>
      </c>
      <c r="P76" s="53">
        <v>45883.0</v>
      </c>
      <c r="Q76" s="50" t="s">
        <v>1030</v>
      </c>
      <c r="R76" s="50"/>
      <c r="S76" s="50" t="s">
        <v>52</v>
      </c>
      <c r="T76" s="50" t="s">
        <v>52</v>
      </c>
      <c r="U76" s="50" t="s">
        <v>102</v>
      </c>
      <c r="V76" s="54" t="s">
        <v>258</v>
      </c>
      <c r="W76" s="50"/>
      <c r="X76" s="53">
        <v>45883.0</v>
      </c>
      <c r="Y76" s="50" t="s">
        <v>1030</v>
      </c>
      <c r="Z76" s="50"/>
      <c r="AA76" s="50"/>
      <c r="AB76" s="50" t="s">
        <v>52</v>
      </c>
      <c r="AC76" s="50" t="s">
        <v>1507</v>
      </c>
      <c r="AD76" s="50"/>
      <c r="AE76" s="53"/>
      <c r="AF76" s="53"/>
      <c r="AG76" s="53"/>
      <c r="AH76" s="53"/>
    </row>
    <row r="77">
      <c r="A77" s="55" t="s">
        <v>1508</v>
      </c>
      <c r="B77" s="56" t="s">
        <v>1509</v>
      </c>
      <c r="C77" s="56" t="s">
        <v>1510</v>
      </c>
      <c r="D77" s="57">
        <v>6.504683885E9</v>
      </c>
      <c r="E77" s="56" t="s">
        <v>1511</v>
      </c>
      <c r="F77" s="56" t="s">
        <v>1512</v>
      </c>
      <c r="G77" s="56" t="s">
        <v>1131</v>
      </c>
      <c r="H77" s="56" t="s">
        <v>751</v>
      </c>
      <c r="I77" s="56" t="s">
        <v>1513</v>
      </c>
      <c r="J77" s="56" t="s">
        <v>752</v>
      </c>
      <c r="K77" s="56" t="s">
        <v>75</v>
      </c>
      <c r="L77" s="56" t="s">
        <v>1152</v>
      </c>
      <c r="M77" s="56">
        <v>49.0</v>
      </c>
      <c r="N77" s="56" t="s">
        <v>52</v>
      </c>
      <c r="O77" s="58" t="s">
        <v>1132</v>
      </c>
      <c r="P77" s="59">
        <v>45883.0</v>
      </c>
      <c r="Q77" s="56"/>
      <c r="R77" s="56"/>
      <c r="S77" s="56" t="s">
        <v>52</v>
      </c>
      <c r="T77" s="56" t="s">
        <v>52</v>
      </c>
      <c r="U77" s="56" t="s">
        <v>1133</v>
      </c>
      <c r="V77" s="60" t="s">
        <v>1132</v>
      </c>
      <c r="W77" s="56"/>
      <c r="X77" s="59">
        <v>45883.0</v>
      </c>
      <c r="Y77" s="56"/>
      <c r="Z77" s="56" t="s">
        <v>808</v>
      </c>
      <c r="AA77" s="56"/>
      <c r="AB77" s="56" t="s">
        <v>52</v>
      </c>
      <c r="AC77" s="56"/>
      <c r="AD77" s="56" t="s">
        <v>1514</v>
      </c>
      <c r="AE77" s="59"/>
      <c r="AF77" s="59"/>
      <c r="AG77" s="59"/>
      <c r="AH77" s="59"/>
    </row>
    <row r="78">
      <c r="A78" s="49" t="s">
        <v>1515</v>
      </c>
      <c r="B78" s="50" t="s">
        <v>1516</v>
      </c>
      <c r="C78" s="50" t="s">
        <v>1517</v>
      </c>
      <c r="D78" s="51">
        <v>4.087698958E9</v>
      </c>
      <c r="E78" s="50" t="s">
        <v>1518</v>
      </c>
      <c r="F78" s="50" t="s">
        <v>1519</v>
      </c>
      <c r="G78" s="50" t="s">
        <v>1520</v>
      </c>
      <c r="H78" s="50" t="s">
        <v>989</v>
      </c>
      <c r="I78" s="50">
        <v>94086.0</v>
      </c>
      <c r="J78" s="50" t="s">
        <v>752</v>
      </c>
      <c r="K78" s="50" t="s">
        <v>95</v>
      </c>
      <c r="L78" s="50" t="s">
        <v>1361</v>
      </c>
      <c r="M78" s="50">
        <v>49.0</v>
      </c>
      <c r="N78" s="50" t="s">
        <v>52</v>
      </c>
      <c r="O78" s="52" t="s">
        <v>1521</v>
      </c>
      <c r="P78" s="53">
        <v>45883.0</v>
      </c>
      <c r="Q78" s="50" t="s">
        <v>1030</v>
      </c>
      <c r="R78" s="50"/>
      <c r="S78" s="50" t="s">
        <v>52</v>
      </c>
      <c r="T78" s="50" t="s">
        <v>52</v>
      </c>
      <c r="U78" s="50" t="s">
        <v>1522</v>
      </c>
      <c r="V78" s="54" t="s">
        <v>1521</v>
      </c>
      <c r="W78" s="50"/>
      <c r="X78" s="53">
        <v>45883.0</v>
      </c>
      <c r="Y78" s="50" t="s">
        <v>1030</v>
      </c>
      <c r="Z78" s="50"/>
      <c r="AA78" s="50"/>
      <c r="AB78" s="50" t="s">
        <v>52</v>
      </c>
      <c r="AC78" s="50" t="s">
        <v>1523</v>
      </c>
      <c r="AD78" s="50"/>
      <c r="AE78" s="53"/>
      <c r="AF78" s="53"/>
      <c r="AG78" s="53"/>
      <c r="AH78" s="53"/>
    </row>
    <row r="79">
      <c r="A79" s="55" t="s">
        <v>1524</v>
      </c>
      <c r="B79" s="56" t="s">
        <v>1525</v>
      </c>
      <c r="C79" s="56" t="s">
        <v>1526</v>
      </c>
      <c r="D79" s="57">
        <v>9.176737555E9</v>
      </c>
      <c r="E79" s="56" t="s">
        <v>1527</v>
      </c>
      <c r="F79" s="56"/>
      <c r="G79" s="56" t="s">
        <v>1528</v>
      </c>
      <c r="H79" s="56" t="s">
        <v>1053</v>
      </c>
      <c r="I79" s="56">
        <v>7631.0</v>
      </c>
      <c r="J79" s="56" t="s">
        <v>752</v>
      </c>
      <c r="K79" s="56" t="s">
        <v>75</v>
      </c>
      <c r="L79" s="56" t="s">
        <v>1152</v>
      </c>
      <c r="M79" s="56">
        <v>49.0</v>
      </c>
      <c r="N79" s="56" t="s">
        <v>52</v>
      </c>
      <c r="O79" s="58" t="s">
        <v>353</v>
      </c>
      <c r="P79" s="59">
        <v>45883.0</v>
      </c>
      <c r="Q79" s="56"/>
      <c r="R79" s="56"/>
      <c r="S79" s="56" t="s">
        <v>52</v>
      </c>
      <c r="T79" s="56" t="s">
        <v>52</v>
      </c>
      <c r="U79" s="56" t="s">
        <v>956</v>
      </c>
      <c r="V79" s="60" t="s">
        <v>353</v>
      </c>
      <c r="W79" s="56"/>
      <c r="X79" s="59">
        <v>45883.0</v>
      </c>
      <c r="Y79" s="56"/>
      <c r="Z79" s="56" t="s">
        <v>808</v>
      </c>
      <c r="AA79" s="56"/>
      <c r="AB79" s="56" t="s">
        <v>52</v>
      </c>
      <c r="AC79" s="56"/>
      <c r="AD79" s="56" t="s">
        <v>1529</v>
      </c>
      <c r="AE79" s="59"/>
      <c r="AF79" s="59"/>
      <c r="AG79" s="59"/>
      <c r="AH79" s="59"/>
    </row>
    <row r="80">
      <c r="A80" s="49" t="s">
        <v>1530</v>
      </c>
      <c r="B80" s="50" t="s">
        <v>1531</v>
      </c>
      <c r="C80" s="50" t="s">
        <v>1532</v>
      </c>
      <c r="D80" s="51">
        <v>2.152871001E9</v>
      </c>
      <c r="E80" s="50" t="s">
        <v>1533</v>
      </c>
      <c r="F80" s="50"/>
      <c r="G80" s="50" t="s">
        <v>1534</v>
      </c>
      <c r="H80" s="50" t="s">
        <v>1535</v>
      </c>
      <c r="I80" s="50">
        <v>85258.0</v>
      </c>
      <c r="J80" s="50" t="s">
        <v>752</v>
      </c>
      <c r="K80" s="50" t="s">
        <v>66</v>
      </c>
      <c r="L80" s="50" t="s">
        <v>1355</v>
      </c>
      <c r="M80" s="50">
        <v>145.0</v>
      </c>
      <c r="N80" s="50"/>
      <c r="O80" s="52" t="s">
        <v>1536</v>
      </c>
      <c r="P80" s="53">
        <v>45883.0</v>
      </c>
      <c r="Q80" s="50"/>
      <c r="R80" s="50"/>
      <c r="S80" s="50"/>
      <c r="T80" s="50"/>
      <c r="U80" s="50" t="s">
        <v>1537</v>
      </c>
      <c r="V80" s="54" t="s">
        <v>1536</v>
      </c>
      <c r="W80" s="50"/>
      <c r="X80" s="53">
        <v>45883.0</v>
      </c>
      <c r="Y80" s="50"/>
      <c r="Z80" s="50"/>
      <c r="AA80" s="50"/>
      <c r="AB80" s="50"/>
      <c r="AC80" s="50"/>
      <c r="AD80" s="50"/>
      <c r="AE80" s="53"/>
      <c r="AF80" s="53"/>
      <c r="AG80" s="53"/>
      <c r="AH80" s="53"/>
    </row>
    <row r="81">
      <c r="A81" s="55" t="s">
        <v>1538</v>
      </c>
      <c r="B81" s="56" t="s">
        <v>1539</v>
      </c>
      <c r="C81" s="56" t="s">
        <v>1540</v>
      </c>
      <c r="D81" s="57">
        <v>6.504749188E9</v>
      </c>
      <c r="E81" s="56" t="s">
        <v>1541</v>
      </c>
      <c r="F81" s="56"/>
      <c r="G81" s="56" t="s">
        <v>1542</v>
      </c>
      <c r="H81" s="56" t="s">
        <v>989</v>
      </c>
      <c r="I81" s="56">
        <v>94028.0</v>
      </c>
      <c r="J81" s="56" t="s">
        <v>752</v>
      </c>
      <c r="K81" s="56" t="s">
        <v>66</v>
      </c>
      <c r="L81" s="56" t="s">
        <v>1340</v>
      </c>
      <c r="M81" s="56">
        <v>210.0</v>
      </c>
      <c r="N81" s="56"/>
      <c r="O81" s="58" t="s">
        <v>1543</v>
      </c>
      <c r="P81" s="59">
        <v>45883.0</v>
      </c>
      <c r="Q81" s="56"/>
      <c r="R81" s="56"/>
      <c r="S81" s="56"/>
      <c r="T81" s="56"/>
      <c r="U81" s="56" t="s">
        <v>1080</v>
      </c>
      <c r="V81" s="60" t="s">
        <v>1543</v>
      </c>
      <c r="W81" s="56"/>
      <c r="X81" s="59">
        <v>45883.0</v>
      </c>
      <c r="Y81" s="56"/>
      <c r="Z81" s="56"/>
      <c r="AA81" s="56"/>
      <c r="AB81" s="56"/>
      <c r="AC81" s="56"/>
      <c r="AD81" s="56"/>
      <c r="AE81" s="59"/>
      <c r="AF81" s="59"/>
      <c r="AG81" s="59"/>
      <c r="AH81" s="59"/>
    </row>
    <row r="82">
      <c r="A82" s="49" t="s">
        <v>1544</v>
      </c>
      <c r="B82" s="50" t="s">
        <v>1545</v>
      </c>
      <c r="C82" s="50" t="s">
        <v>1546</v>
      </c>
      <c r="D82" s="51">
        <v>1.7013502434E10</v>
      </c>
      <c r="E82" s="50" t="s">
        <v>1547</v>
      </c>
      <c r="F82" s="50"/>
      <c r="G82" s="50" t="s">
        <v>1548</v>
      </c>
      <c r="H82" s="50" t="s">
        <v>1549</v>
      </c>
      <c r="I82" s="50">
        <v>58301.0</v>
      </c>
      <c r="J82" s="50" t="s">
        <v>752</v>
      </c>
      <c r="K82" s="50" t="s">
        <v>95</v>
      </c>
      <c r="L82" s="50" t="s">
        <v>1361</v>
      </c>
      <c r="M82" s="50">
        <v>49.0</v>
      </c>
      <c r="N82" s="50" t="s">
        <v>52</v>
      </c>
      <c r="O82" s="52" t="s">
        <v>1550</v>
      </c>
      <c r="P82" s="53">
        <v>45883.0</v>
      </c>
      <c r="Q82" s="50" t="s">
        <v>1030</v>
      </c>
      <c r="R82" s="50"/>
      <c r="S82" s="50" t="s">
        <v>52</v>
      </c>
      <c r="T82" s="50" t="s">
        <v>52</v>
      </c>
      <c r="U82" s="50" t="s">
        <v>1080</v>
      </c>
      <c r="V82" s="54" t="s">
        <v>1550</v>
      </c>
      <c r="W82" s="50"/>
      <c r="X82" s="53">
        <v>45883.0</v>
      </c>
      <c r="Y82" s="50" t="s">
        <v>1030</v>
      </c>
      <c r="Z82" s="50"/>
      <c r="AA82" s="50"/>
      <c r="AB82" s="50" t="s">
        <v>52</v>
      </c>
      <c r="AC82" s="50" t="s">
        <v>1551</v>
      </c>
      <c r="AD82" s="50"/>
      <c r="AE82" s="53"/>
      <c r="AF82" s="53"/>
      <c r="AG82" s="53"/>
      <c r="AH82" s="53"/>
    </row>
    <row r="83">
      <c r="A83" s="55" t="s">
        <v>1552</v>
      </c>
      <c r="B83" s="56" t="s">
        <v>1553</v>
      </c>
      <c r="C83" s="56" t="s">
        <v>1554</v>
      </c>
      <c r="D83" s="57">
        <v>6.504005711E9</v>
      </c>
      <c r="E83" s="56" t="s">
        <v>1555</v>
      </c>
      <c r="F83" s="56"/>
      <c r="G83" s="56" t="s">
        <v>1556</v>
      </c>
      <c r="H83" s="56" t="s">
        <v>989</v>
      </c>
      <c r="I83" s="56">
        <v>94024.0</v>
      </c>
      <c r="J83" s="56" t="s">
        <v>752</v>
      </c>
      <c r="K83" s="56" t="s">
        <v>66</v>
      </c>
      <c r="L83" s="56" t="s">
        <v>1340</v>
      </c>
      <c r="M83" s="56">
        <v>210.0</v>
      </c>
      <c r="N83" s="56"/>
      <c r="O83" s="58" t="s">
        <v>1557</v>
      </c>
      <c r="P83" s="59">
        <v>45883.0</v>
      </c>
      <c r="Q83" s="56"/>
      <c r="R83" s="56"/>
      <c r="S83" s="56"/>
      <c r="T83" s="56"/>
      <c r="U83" s="56" t="s">
        <v>982</v>
      </c>
      <c r="V83" s="60" t="s">
        <v>1557</v>
      </c>
      <c r="W83" s="56"/>
      <c r="X83" s="59">
        <v>45883.0</v>
      </c>
      <c r="Y83" s="56"/>
      <c r="Z83" s="56"/>
      <c r="AA83" s="56"/>
      <c r="AB83" s="56"/>
      <c r="AC83" s="56"/>
      <c r="AD83" s="56"/>
      <c r="AE83" s="59"/>
      <c r="AF83" s="59"/>
      <c r="AG83" s="59"/>
      <c r="AH83" s="59"/>
    </row>
    <row r="84">
      <c r="A84" s="49" t="s">
        <v>1558</v>
      </c>
      <c r="B84" s="50" t="s">
        <v>1559</v>
      </c>
      <c r="C84" s="50" t="s">
        <v>1560</v>
      </c>
      <c r="D84" s="51">
        <v>4.155399004E9</v>
      </c>
      <c r="E84" s="50" t="s">
        <v>1561</v>
      </c>
      <c r="F84" s="50"/>
      <c r="G84" s="50" t="s">
        <v>1562</v>
      </c>
      <c r="H84" s="50" t="s">
        <v>989</v>
      </c>
      <c r="I84" s="50">
        <v>94114.0</v>
      </c>
      <c r="J84" s="50" t="s">
        <v>752</v>
      </c>
      <c r="K84" s="50" t="s">
        <v>95</v>
      </c>
      <c r="L84" s="50" t="s">
        <v>1361</v>
      </c>
      <c r="M84" s="50">
        <v>49.0</v>
      </c>
      <c r="N84" s="50" t="s">
        <v>52</v>
      </c>
      <c r="O84" s="52" t="s">
        <v>1563</v>
      </c>
      <c r="P84" s="53">
        <v>45883.0</v>
      </c>
      <c r="Q84" s="50" t="s">
        <v>1030</v>
      </c>
      <c r="R84" s="50"/>
      <c r="S84" s="50" t="s">
        <v>52</v>
      </c>
      <c r="T84" s="50" t="s">
        <v>52</v>
      </c>
      <c r="U84" s="50" t="s">
        <v>1039</v>
      </c>
      <c r="V84" s="54" t="s">
        <v>1563</v>
      </c>
      <c r="W84" s="50"/>
      <c r="X84" s="53">
        <v>45883.0</v>
      </c>
      <c r="Y84" s="50" t="s">
        <v>1030</v>
      </c>
      <c r="Z84" s="50"/>
      <c r="AA84" s="50"/>
      <c r="AB84" s="50" t="s">
        <v>52</v>
      </c>
      <c r="AC84" s="50" t="s">
        <v>1564</v>
      </c>
      <c r="AD84" s="50"/>
      <c r="AE84" s="53"/>
      <c r="AF84" s="53"/>
      <c r="AG84" s="53"/>
      <c r="AH84" s="53"/>
    </row>
    <row r="85">
      <c r="A85" s="55" t="s">
        <v>1565</v>
      </c>
      <c r="B85" s="56" t="s">
        <v>1566</v>
      </c>
      <c r="C85" s="56" t="s">
        <v>1567</v>
      </c>
      <c r="D85" s="57">
        <v>2.15435203E9</v>
      </c>
      <c r="E85" s="56" t="s">
        <v>1568</v>
      </c>
      <c r="F85" s="56"/>
      <c r="G85" s="56" t="s">
        <v>1569</v>
      </c>
      <c r="H85" s="56" t="s">
        <v>1233</v>
      </c>
      <c r="I85" s="56">
        <v>19444.0</v>
      </c>
      <c r="J85" s="56" t="s">
        <v>752</v>
      </c>
      <c r="K85" s="56" t="s">
        <v>95</v>
      </c>
      <c r="L85" s="56" t="s">
        <v>1361</v>
      </c>
      <c r="M85" s="56">
        <v>49.0</v>
      </c>
      <c r="N85" s="56" t="s">
        <v>52</v>
      </c>
      <c r="O85" s="58" t="s">
        <v>1570</v>
      </c>
      <c r="P85" s="59">
        <v>45883.0</v>
      </c>
      <c r="Q85" s="56" t="s">
        <v>1030</v>
      </c>
      <c r="R85" s="56"/>
      <c r="S85" s="56" t="s">
        <v>52</v>
      </c>
      <c r="T85" s="56" t="s">
        <v>52</v>
      </c>
      <c r="U85" s="56" t="s">
        <v>1324</v>
      </c>
      <c r="V85" s="60" t="s">
        <v>1570</v>
      </c>
      <c r="W85" s="56"/>
      <c r="X85" s="59">
        <v>45883.0</v>
      </c>
      <c r="Y85" s="56" t="s">
        <v>1030</v>
      </c>
      <c r="Z85" s="56"/>
      <c r="AA85" s="56"/>
      <c r="AB85" s="56" t="s">
        <v>52</v>
      </c>
      <c r="AC85" s="56" t="s">
        <v>1571</v>
      </c>
      <c r="AD85" s="56"/>
      <c r="AE85" s="59"/>
      <c r="AF85" s="59"/>
      <c r="AG85" s="59"/>
      <c r="AH85" s="59"/>
    </row>
    <row r="86">
      <c r="A86" s="49" t="s">
        <v>1572</v>
      </c>
      <c r="B86" s="50" t="s">
        <v>1573</v>
      </c>
      <c r="C86" s="50" t="s">
        <v>1574</v>
      </c>
      <c r="D86" s="51">
        <v>9.178484128E9</v>
      </c>
      <c r="E86" s="50" t="s">
        <v>1575</v>
      </c>
      <c r="F86" s="50"/>
      <c r="G86" s="50" t="s">
        <v>751</v>
      </c>
      <c r="H86" s="50" t="s">
        <v>751</v>
      </c>
      <c r="I86" s="50">
        <v>10023.0</v>
      </c>
      <c r="J86" s="50" t="s">
        <v>752</v>
      </c>
      <c r="K86" s="50" t="s">
        <v>75</v>
      </c>
      <c r="L86" s="50" t="s">
        <v>1152</v>
      </c>
      <c r="M86" s="50">
        <v>49.0</v>
      </c>
      <c r="N86" s="50" t="s">
        <v>52</v>
      </c>
      <c r="O86" s="52" t="s">
        <v>1576</v>
      </c>
      <c r="P86" s="53">
        <v>45852.0</v>
      </c>
      <c r="Q86" s="50"/>
      <c r="R86" s="50"/>
      <c r="S86" s="50" t="s">
        <v>52</v>
      </c>
      <c r="T86" s="50" t="s">
        <v>52</v>
      </c>
      <c r="U86" s="50" t="s">
        <v>1249</v>
      </c>
      <c r="V86" s="54" t="s">
        <v>1576</v>
      </c>
      <c r="W86" s="50"/>
      <c r="X86" s="53">
        <v>45852.0</v>
      </c>
      <c r="Y86" s="50"/>
      <c r="Z86" s="50" t="s">
        <v>808</v>
      </c>
      <c r="AA86" s="50"/>
      <c r="AB86" s="50" t="s">
        <v>52</v>
      </c>
      <c r="AC86" s="50"/>
      <c r="AD86" s="50" t="s">
        <v>1577</v>
      </c>
      <c r="AE86" s="53"/>
      <c r="AF86" s="53"/>
      <c r="AG86" s="53"/>
      <c r="AH86" s="53"/>
    </row>
    <row r="87">
      <c r="A87" s="55" t="s">
        <v>1578</v>
      </c>
      <c r="B87" s="56" t="s">
        <v>1579</v>
      </c>
      <c r="C87" s="56" t="s">
        <v>1580</v>
      </c>
      <c r="D87" s="57">
        <v>1.5126995645E10</v>
      </c>
      <c r="E87" s="56" t="s">
        <v>1581</v>
      </c>
      <c r="F87" s="56"/>
      <c r="G87" s="56" t="s">
        <v>1582</v>
      </c>
      <c r="H87" s="56" t="s">
        <v>1583</v>
      </c>
      <c r="I87" s="56">
        <v>78731.0</v>
      </c>
      <c r="J87" s="56" t="s">
        <v>752</v>
      </c>
      <c r="K87" s="56" t="s">
        <v>95</v>
      </c>
      <c r="L87" s="56" t="s">
        <v>1361</v>
      </c>
      <c r="M87" s="56">
        <v>49.0</v>
      </c>
      <c r="N87" s="56" t="s">
        <v>52</v>
      </c>
      <c r="O87" s="58" t="s">
        <v>1584</v>
      </c>
      <c r="P87" s="59">
        <v>45883.0</v>
      </c>
      <c r="Q87" s="56" t="s">
        <v>1030</v>
      </c>
      <c r="R87" s="56"/>
      <c r="S87" s="56" t="s">
        <v>52</v>
      </c>
      <c r="T87" s="56" t="s">
        <v>52</v>
      </c>
      <c r="U87" s="56" t="s">
        <v>1487</v>
      </c>
      <c r="V87" s="60" t="s">
        <v>1584</v>
      </c>
      <c r="W87" s="56"/>
      <c r="X87" s="59">
        <v>45883.0</v>
      </c>
      <c r="Y87" s="56" t="s">
        <v>1030</v>
      </c>
      <c r="Z87" s="56"/>
      <c r="AA87" s="56"/>
      <c r="AB87" s="56" t="s">
        <v>52</v>
      </c>
      <c r="AC87" s="56" t="s">
        <v>1585</v>
      </c>
      <c r="AD87" s="56"/>
      <c r="AE87" s="59"/>
      <c r="AF87" s="59"/>
      <c r="AG87" s="59"/>
      <c r="AH87" s="59"/>
    </row>
    <row r="88">
      <c r="A88" s="49" t="s">
        <v>1586</v>
      </c>
      <c r="B88" s="50" t="s">
        <v>1587</v>
      </c>
      <c r="C88" s="50" t="s">
        <v>1588</v>
      </c>
      <c r="D88" s="51">
        <v>9.192687045E9</v>
      </c>
      <c r="E88" s="50" t="s">
        <v>1589</v>
      </c>
      <c r="F88" s="50"/>
      <c r="G88" s="50" t="s">
        <v>1590</v>
      </c>
      <c r="H88" s="50" t="s">
        <v>1438</v>
      </c>
      <c r="I88" s="50">
        <v>27591.0</v>
      </c>
      <c r="J88" s="50" t="s">
        <v>752</v>
      </c>
      <c r="K88" s="50" t="s">
        <v>95</v>
      </c>
      <c r="L88" s="50" t="s">
        <v>1361</v>
      </c>
      <c r="M88" s="50">
        <v>49.0</v>
      </c>
      <c r="N88" s="50" t="s">
        <v>52</v>
      </c>
      <c r="O88" s="52" t="s">
        <v>1591</v>
      </c>
      <c r="P88" s="53">
        <v>45883.0</v>
      </c>
      <c r="Q88" s="50" t="s">
        <v>1030</v>
      </c>
      <c r="R88" s="50"/>
      <c r="S88" s="50" t="s">
        <v>52</v>
      </c>
      <c r="T88" s="50" t="s">
        <v>52</v>
      </c>
      <c r="U88" s="50" t="s">
        <v>956</v>
      </c>
      <c r="V88" s="54" t="s">
        <v>1591</v>
      </c>
      <c r="W88" s="50"/>
      <c r="X88" s="53">
        <v>45883.0</v>
      </c>
      <c r="Y88" s="50" t="s">
        <v>1030</v>
      </c>
      <c r="Z88" s="50"/>
      <c r="AA88" s="50"/>
      <c r="AB88" s="50" t="s">
        <v>52</v>
      </c>
      <c r="AC88" s="50" t="s">
        <v>1592</v>
      </c>
      <c r="AD88" s="50"/>
      <c r="AE88" s="53"/>
      <c r="AF88" s="53"/>
      <c r="AG88" s="53"/>
      <c r="AH88" s="53"/>
    </row>
    <row r="89">
      <c r="A89" s="55" t="s">
        <v>1593</v>
      </c>
      <c r="B89" s="56" t="s">
        <v>1594</v>
      </c>
      <c r="C89" s="56" t="s">
        <v>1595</v>
      </c>
      <c r="D89" s="57">
        <v>19014977219</v>
      </c>
      <c r="E89" s="56" t="s">
        <v>1596</v>
      </c>
      <c r="F89" s="56"/>
      <c r="G89" s="56" t="s">
        <v>1597</v>
      </c>
      <c r="H89" s="56" t="s">
        <v>1598</v>
      </c>
      <c r="I89" s="56" t="s">
        <v>1599</v>
      </c>
      <c r="J89" s="56" t="s">
        <v>752</v>
      </c>
      <c r="K89" s="56" t="s">
        <v>66</v>
      </c>
      <c r="L89" s="56" t="s">
        <v>1355</v>
      </c>
      <c r="M89" s="56">
        <v>145.0</v>
      </c>
      <c r="N89" s="56"/>
      <c r="O89" s="58" t="s">
        <v>2595</v>
      </c>
      <c r="P89" s="59">
        <v>45883.0</v>
      </c>
      <c r="Q89" s="56"/>
      <c r="R89" s="56"/>
      <c r="S89" s="56"/>
      <c r="T89" s="56"/>
      <c r="U89" s="56" t="s">
        <v>1537</v>
      </c>
      <c r="V89" s="60" t="s">
        <v>2595</v>
      </c>
      <c r="W89" s="56"/>
      <c r="X89" s="59">
        <v>45883.0</v>
      </c>
      <c r="Y89" s="56"/>
      <c r="Z89" s="56"/>
      <c r="AA89" s="56"/>
      <c r="AB89" s="56"/>
      <c r="AC89" s="56"/>
      <c r="AD89" s="56"/>
      <c r="AE89" s="59"/>
      <c r="AF89" s="59"/>
      <c r="AG89" s="59"/>
      <c r="AH89" s="59"/>
    </row>
    <row r="90">
      <c r="A90" s="49" t="s">
        <v>1593</v>
      </c>
      <c r="B90" s="50" t="s">
        <v>1594</v>
      </c>
      <c r="C90" s="50" t="s">
        <v>1595</v>
      </c>
      <c r="D90" s="51">
        <v>19014977219</v>
      </c>
      <c r="E90" s="50" t="s">
        <v>1596</v>
      </c>
      <c r="F90" s="50"/>
      <c r="G90" s="50" t="s">
        <v>1597</v>
      </c>
      <c r="H90" s="50" t="s">
        <v>1598</v>
      </c>
      <c r="I90" s="50" t="s">
        <v>1599</v>
      </c>
      <c r="J90" s="50" t="s">
        <v>752</v>
      </c>
      <c r="K90" s="50" t="s">
        <v>95</v>
      </c>
      <c r="L90" s="50" t="s">
        <v>1361</v>
      </c>
      <c r="M90" s="50">
        <v>49.0</v>
      </c>
      <c r="N90" s="50" t="s">
        <v>52</v>
      </c>
      <c r="O90" s="52" t="s">
        <v>2595</v>
      </c>
      <c r="P90" s="53">
        <v>45883.0</v>
      </c>
      <c r="Q90" s="50" t="s">
        <v>1030</v>
      </c>
      <c r="R90" s="50"/>
      <c r="S90" s="50" t="s">
        <v>52</v>
      </c>
      <c r="T90" s="50" t="s">
        <v>52</v>
      </c>
      <c r="U90" s="50" t="s">
        <v>1537</v>
      </c>
      <c r="V90" s="54" t="s">
        <v>2595</v>
      </c>
      <c r="W90" s="50"/>
      <c r="X90" s="53">
        <v>45883.0</v>
      </c>
      <c r="Y90" s="50" t="s">
        <v>1030</v>
      </c>
      <c r="Z90" s="50"/>
      <c r="AA90" s="50"/>
      <c r="AB90" s="50" t="s">
        <v>52</v>
      </c>
      <c r="AC90" s="50" t="s">
        <v>1601</v>
      </c>
      <c r="AD90" s="50"/>
      <c r="AE90" s="53"/>
      <c r="AF90" s="53"/>
      <c r="AG90" s="53"/>
      <c r="AH90" s="53"/>
    </row>
    <row r="91">
      <c r="A91" s="55" t="s">
        <v>1602</v>
      </c>
      <c r="B91" s="56" t="s">
        <v>1603</v>
      </c>
      <c r="C91" s="56" t="s">
        <v>471</v>
      </c>
      <c r="D91" s="57">
        <v>4.752832419E9</v>
      </c>
      <c r="E91" s="56" t="s">
        <v>473</v>
      </c>
      <c r="F91" s="56"/>
      <c r="G91" s="56" t="s">
        <v>1604</v>
      </c>
      <c r="H91" s="56" t="s">
        <v>1078</v>
      </c>
      <c r="I91" s="56">
        <v>6880.0</v>
      </c>
      <c r="J91" s="56" t="s">
        <v>752</v>
      </c>
      <c r="K91" s="56" t="s">
        <v>66</v>
      </c>
      <c r="L91" s="56" t="s">
        <v>1340</v>
      </c>
      <c r="M91" s="56">
        <v>210.0</v>
      </c>
      <c r="N91" s="56"/>
      <c r="O91" s="58" t="s">
        <v>475</v>
      </c>
      <c r="P91" s="59">
        <v>45883.0</v>
      </c>
      <c r="Q91" s="56"/>
      <c r="R91" s="56"/>
      <c r="S91" s="56"/>
      <c r="T91" s="56"/>
      <c r="U91" s="56" t="s">
        <v>1148</v>
      </c>
      <c r="V91" s="60" t="s">
        <v>475</v>
      </c>
      <c r="W91" s="56"/>
      <c r="X91" s="59">
        <v>45883.0</v>
      </c>
      <c r="Y91" s="56"/>
      <c r="Z91" s="56"/>
      <c r="AA91" s="56"/>
      <c r="AB91" s="56"/>
      <c r="AC91" s="56"/>
      <c r="AD91" s="56"/>
      <c r="AE91" s="59"/>
      <c r="AF91" s="59"/>
      <c r="AG91" s="59"/>
      <c r="AH91" s="59"/>
    </row>
    <row r="92">
      <c r="A92" s="49" t="s">
        <v>1605</v>
      </c>
      <c r="B92" s="50" t="s">
        <v>1606</v>
      </c>
      <c r="C92" s="50" t="s">
        <v>1607</v>
      </c>
      <c r="D92" s="51">
        <v>3.46221826E9</v>
      </c>
      <c r="E92" s="50" t="s">
        <v>1608</v>
      </c>
      <c r="F92" s="50"/>
      <c r="G92" s="50" t="s">
        <v>1609</v>
      </c>
      <c r="H92" s="50" t="s">
        <v>1583</v>
      </c>
      <c r="I92" s="50">
        <v>77057.0</v>
      </c>
      <c r="J92" s="50" t="s">
        <v>752</v>
      </c>
      <c r="K92" s="50" t="s">
        <v>51</v>
      </c>
      <c r="L92" s="50" t="s">
        <v>1152</v>
      </c>
      <c r="M92" s="50">
        <v>1.0</v>
      </c>
      <c r="N92" s="50" t="s">
        <v>52</v>
      </c>
      <c r="O92" s="52" t="s">
        <v>1610</v>
      </c>
      <c r="P92" s="53">
        <v>45883.0</v>
      </c>
      <c r="Q92" s="50" t="s">
        <v>1440</v>
      </c>
      <c r="R92" s="50"/>
      <c r="S92" s="50" t="s">
        <v>52</v>
      </c>
      <c r="T92" s="50" t="s">
        <v>52</v>
      </c>
      <c r="U92" s="50" t="s">
        <v>1167</v>
      </c>
      <c r="V92" s="54" t="s">
        <v>1610</v>
      </c>
      <c r="W92" s="50"/>
      <c r="X92" s="53">
        <v>45883.0</v>
      </c>
      <c r="Y92" s="50" t="s">
        <v>1440</v>
      </c>
      <c r="Z92" s="50"/>
      <c r="AA92" s="50"/>
      <c r="AB92" s="50" t="s">
        <v>52</v>
      </c>
      <c r="AC92" s="50"/>
      <c r="AD92" s="50"/>
      <c r="AE92" s="53"/>
      <c r="AF92" s="53"/>
      <c r="AG92" s="53"/>
      <c r="AH92" s="53"/>
    </row>
    <row r="93">
      <c r="A93" s="55" t="s">
        <v>1611</v>
      </c>
      <c r="B93" s="56" t="s">
        <v>1612</v>
      </c>
      <c r="C93" s="56" t="s">
        <v>1613</v>
      </c>
      <c r="D93" s="57">
        <v>7.862013823E9</v>
      </c>
      <c r="E93" s="56" t="s">
        <v>1614</v>
      </c>
      <c r="F93" s="56"/>
      <c r="G93" s="56" t="s">
        <v>1615</v>
      </c>
      <c r="H93" s="56" t="s">
        <v>1616</v>
      </c>
      <c r="I93" s="56">
        <v>3748.0</v>
      </c>
      <c r="J93" s="56" t="s">
        <v>752</v>
      </c>
      <c r="K93" s="56" t="s">
        <v>75</v>
      </c>
      <c r="L93" s="56" t="s">
        <v>1152</v>
      </c>
      <c r="M93" s="56">
        <v>49.0</v>
      </c>
      <c r="N93" s="56" t="s">
        <v>52</v>
      </c>
      <c r="O93" s="58" t="s">
        <v>258</v>
      </c>
      <c r="P93" s="59">
        <v>45882.0</v>
      </c>
      <c r="Q93" s="56"/>
      <c r="R93" s="56"/>
      <c r="S93" s="56" t="s">
        <v>52</v>
      </c>
      <c r="T93" s="56" t="s">
        <v>52</v>
      </c>
      <c r="U93" s="56" t="s">
        <v>102</v>
      </c>
      <c r="V93" s="60" t="s">
        <v>258</v>
      </c>
      <c r="W93" s="56"/>
      <c r="X93" s="59">
        <v>45882.0</v>
      </c>
      <c r="Y93" s="56"/>
      <c r="Z93" s="56" t="s">
        <v>808</v>
      </c>
      <c r="AA93" s="56"/>
      <c r="AB93" s="56" t="s">
        <v>52</v>
      </c>
      <c r="AC93" s="56"/>
      <c r="AD93" s="56" t="s">
        <v>1617</v>
      </c>
      <c r="AE93" s="59"/>
      <c r="AF93" s="59"/>
      <c r="AG93" s="59"/>
      <c r="AH93" s="59"/>
    </row>
    <row r="94">
      <c r="A94" s="49" t="s">
        <v>1618</v>
      </c>
      <c r="B94" s="50" t="s">
        <v>1619</v>
      </c>
      <c r="C94" s="50"/>
      <c r="D94" s="51">
        <v>1.3016029939E10</v>
      </c>
      <c r="E94" s="50" t="s">
        <v>1620</v>
      </c>
      <c r="F94" s="50"/>
      <c r="G94" s="50" t="s">
        <v>1621</v>
      </c>
      <c r="H94" s="50" t="s">
        <v>1005</v>
      </c>
      <c r="I94" s="50" t="s">
        <v>1622</v>
      </c>
      <c r="J94" s="50" t="s">
        <v>752</v>
      </c>
      <c r="K94" s="50" t="s">
        <v>95</v>
      </c>
      <c r="L94" s="50" t="s">
        <v>1361</v>
      </c>
      <c r="M94" s="50">
        <v>49.0</v>
      </c>
      <c r="N94" s="50" t="s">
        <v>52</v>
      </c>
      <c r="O94" s="52" t="s">
        <v>1623</v>
      </c>
      <c r="P94" s="53">
        <v>45883.0</v>
      </c>
      <c r="Q94" s="50" t="s">
        <v>1030</v>
      </c>
      <c r="R94" s="50"/>
      <c r="S94" s="50" t="s">
        <v>52</v>
      </c>
      <c r="T94" s="50" t="s">
        <v>52</v>
      </c>
      <c r="U94" s="50" t="s">
        <v>1277</v>
      </c>
      <c r="V94" s="54" t="s">
        <v>1623</v>
      </c>
      <c r="W94" s="50"/>
      <c r="X94" s="53">
        <v>45883.0</v>
      </c>
      <c r="Y94" s="50" t="s">
        <v>1030</v>
      </c>
      <c r="Z94" s="50"/>
      <c r="AA94" s="50"/>
      <c r="AB94" s="50" t="s">
        <v>52</v>
      </c>
      <c r="AC94" s="50" t="s">
        <v>1624</v>
      </c>
      <c r="AD94" s="50"/>
      <c r="AE94" s="53"/>
      <c r="AF94" s="53"/>
      <c r="AG94" s="53"/>
      <c r="AH94" s="53"/>
    </row>
    <row r="95">
      <c r="A95" s="55" t="s">
        <v>1625</v>
      </c>
      <c r="B95" s="56" t="s">
        <v>1626</v>
      </c>
      <c r="C95" s="56" t="s">
        <v>1627</v>
      </c>
      <c r="D95" s="57">
        <v>6.503092445E9</v>
      </c>
      <c r="E95" s="56" t="s">
        <v>1628</v>
      </c>
      <c r="F95" s="56"/>
      <c r="G95" s="56" t="s">
        <v>1474</v>
      </c>
      <c r="H95" s="56" t="s">
        <v>989</v>
      </c>
      <c r="I95" s="56">
        <v>94024.0</v>
      </c>
      <c r="J95" s="56" t="s">
        <v>752</v>
      </c>
      <c r="K95" s="56" t="s">
        <v>51</v>
      </c>
      <c r="L95" s="56" t="s">
        <v>1152</v>
      </c>
      <c r="M95" s="56">
        <v>1.0</v>
      </c>
      <c r="N95" s="56" t="s">
        <v>52</v>
      </c>
      <c r="O95" s="58" t="s">
        <v>1629</v>
      </c>
      <c r="P95" s="59">
        <v>45883.0</v>
      </c>
      <c r="Q95" s="56" t="s">
        <v>1630</v>
      </c>
      <c r="R95" s="56"/>
      <c r="S95" s="56" t="s">
        <v>52</v>
      </c>
      <c r="T95" s="56" t="s">
        <v>52</v>
      </c>
      <c r="U95" s="56" t="s">
        <v>1407</v>
      </c>
      <c r="V95" s="60" t="s">
        <v>1629</v>
      </c>
      <c r="W95" s="56"/>
      <c r="X95" s="59">
        <v>45883.0</v>
      </c>
      <c r="Y95" s="56" t="s">
        <v>1630</v>
      </c>
      <c r="Z95" s="56"/>
      <c r="AA95" s="56"/>
      <c r="AB95" s="56" t="s">
        <v>52</v>
      </c>
      <c r="AC95" s="56"/>
      <c r="AD95" s="56"/>
      <c r="AE95" s="59"/>
      <c r="AF95" s="59"/>
      <c r="AG95" s="59"/>
      <c r="AH95" s="59"/>
    </row>
    <row r="96">
      <c r="A96" s="49" t="s">
        <v>1631</v>
      </c>
      <c r="B96" s="50" t="s">
        <v>1632</v>
      </c>
      <c r="C96" s="50"/>
      <c r="D96" s="51">
        <v>7.732945882E9</v>
      </c>
      <c r="E96" s="50" t="s">
        <v>1633</v>
      </c>
      <c r="F96" s="50"/>
      <c r="G96" s="50" t="s">
        <v>1634</v>
      </c>
      <c r="H96" s="50" t="s">
        <v>1019</v>
      </c>
      <c r="I96" s="50">
        <v>60015.0</v>
      </c>
      <c r="J96" s="50" t="s">
        <v>752</v>
      </c>
      <c r="K96" s="50" t="s">
        <v>66</v>
      </c>
      <c r="L96" s="50" t="s">
        <v>1431</v>
      </c>
      <c r="M96" s="50">
        <v>115.0</v>
      </c>
      <c r="N96" s="50"/>
      <c r="O96" s="52" t="s">
        <v>1635</v>
      </c>
      <c r="P96" s="53">
        <v>45883.0</v>
      </c>
      <c r="Q96" s="50"/>
      <c r="R96" s="50"/>
      <c r="S96" s="50"/>
      <c r="T96" s="50"/>
      <c r="U96" s="50" t="s">
        <v>1133</v>
      </c>
      <c r="V96" s="54" t="s">
        <v>1635</v>
      </c>
      <c r="W96" s="50"/>
      <c r="X96" s="53">
        <v>45883.0</v>
      </c>
      <c r="Y96" s="50"/>
      <c r="Z96" s="50"/>
      <c r="AA96" s="50"/>
      <c r="AB96" s="50"/>
      <c r="AC96" s="50"/>
      <c r="AD96" s="50"/>
      <c r="AE96" s="53"/>
      <c r="AF96" s="53"/>
      <c r="AG96" s="53"/>
      <c r="AH96" s="53"/>
    </row>
    <row r="97">
      <c r="A97" s="55" t="s">
        <v>1636</v>
      </c>
      <c r="B97" s="56" t="s">
        <v>1637</v>
      </c>
      <c r="C97" s="56" t="s">
        <v>1638</v>
      </c>
      <c r="D97" s="57">
        <v>4.707319605E9</v>
      </c>
      <c r="E97" s="56" t="s">
        <v>1639</v>
      </c>
      <c r="F97" s="56"/>
      <c r="G97" s="56" t="s">
        <v>1640</v>
      </c>
      <c r="H97" s="56" t="s">
        <v>946</v>
      </c>
      <c r="I97" s="56">
        <v>30024.0</v>
      </c>
      <c r="J97" s="56" t="s">
        <v>752</v>
      </c>
      <c r="K97" s="56" t="s">
        <v>51</v>
      </c>
      <c r="L97" s="56" t="s">
        <v>1152</v>
      </c>
      <c r="M97" s="56">
        <v>1.0</v>
      </c>
      <c r="N97" s="56" t="s">
        <v>52</v>
      </c>
      <c r="O97" s="58" t="s">
        <v>1641</v>
      </c>
      <c r="P97" s="59">
        <v>45875.0</v>
      </c>
      <c r="Q97" s="56" t="s">
        <v>1030</v>
      </c>
      <c r="R97" s="56"/>
      <c r="S97" s="56" t="s">
        <v>52</v>
      </c>
      <c r="T97" s="56" t="s">
        <v>52</v>
      </c>
      <c r="U97" s="56" t="s">
        <v>1642</v>
      </c>
      <c r="V97" s="60" t="s">
        <v>1641</v>
      </c>
      <c r="W97" s="56"/>
      <c r="X97" s="59">
        <v>45875.0</v>
      </c>
      <c r="Y97" s="56" t="s">
        <v>1030</v>
      </c>
      <c r="Z97" s="56"/>
      <c r="AA97" s="56"/>
      <c r="AB97" s="56" t="s">
        <v>52</v>
      </c>
      <c r="AC97" s="56"/>
      <c r="AD97" s="56"/>
      <c r="AE97" s="59"/>
      <c r="AF97" s="59"/>
      <c r="AG97" s="59"/>
      <c r="AH97" s="59"/>
    </row>
    <row r="98">
      <c r="A98" s="49" t="s">
        <v>1643</v>
      </c>
      <c r="B98" s="50" t="s">
        <v>1644</v>
      </c>
      <c r="C98" s="50" t="s">
        <v>1645</v>
      </c>
      <c r="D98" s="51">
        <v>6.282134584E9</v>
      </c>
      <c r="E98" s="50" t="s">
        <v>1646</v>
      </c>
      <c r="F98" s="50"/>
      <c r="G98" s="50" t="s">
        <v>1647</v>
      </c>
      <c r="H98" s="50" t="s">
        <v>989</v>
      </c>
      <c r="I98" s="50">
        <v>94065.0</v>
      </c>
      <c r="J98" s="50" t="s">
        <v>752</v>
      </c>
      <c r="K98" s="50" t="s">
        <v>66</v>
      </c>
      <c r="L98" s="50" t="s">
        <v>1340</v>
      </c>
      <c r="M98" s="50">
        <v>210.0</v>
      </c>
      <c r="N98" s="50"/>
      <c r="O98" s="52" t="s">
        <v>1648</v>
      </c>
      <c r="P98" s="53">
        <v>45883.0</v>
      </c>
      <c r="Q98" s="50"/>
      <c r="R98" s="50"/>
      <c r="S98" s="50"/>
      <c r="T98" s="50"/>
      <c r="U98" s="50" t="s">
        <v>982</v>
      </c>
      <c r="V98" s="54" t="s">
        <v>1648</v>
      </c>
      <c r="W98" s="50"/>
      <c r="X98" s="53">
        <v>45883.0</v>
      </c>
      <c r="Y98" s="50"/>
      <c r="Z98" s="50"/>
      <c r="AA98" s="50"/>
      <c r="AB98" s="50"/>
      <c r="AC98" s="50"/>
      <c r="AD98" s="50"/>
      <c r="AE98" s="53"/>
      <c r="AF98" s="53"/>
      <c r="AG98" s="53"/>
      <c r="AH98" s="53"/>
    </row>
    <row r="99">
      <c r="A99" s="55" t="s">
        <v>1649</v>
      </c>
      <c r="B99" s="56" t="s">
        <v>1650</v>
      </c>
      <c r="C99" s="56" t="s">
        <v>1651</v>
      </c>
      <c r="D99" s="57">
        <v>7.743620993E9</v>
      </c>
      <c r="E99" s="56" t="s">
        <v>1652</v>
      </c>
      <c r="F99" s="56"/>
      <c r="G99" s="56" t="s">
        <v>1653</v>
      </c>
      <c r="H99" s="56" t="s">
        <v>1121</v>
      </c>
      <c r="I99" s="56">
        <v>2081.0</v>
      </c>
      <c r="J99" s="56" t="s">
        <v>752</v>
      </c>
      <c r="K99" s="56" t="s">
        <v>95</v>
      </c>
      <c r="L99" s="56" t="s">
        <v>1361</v>
      </c>
      <c r="M99" s="56">
        <v>49.0</v>
      </c>
      <c r="N99" s="56" t="s">
        <v>52</v>
      </c>
      <c r="O99" s="58" t="s">
        <v>1654</v>
      </c>
      <c r="P99" s="59">
        <v>45883.0</v>
      </c>
      <c r="Q99" s="56" t="s">
        <v>1030</v>
      </c>
      <c r="R99" s="56"/>
      <c r="S99" s="56" t="s">
        <v>52</v>
      </c>
      <c r="T99" s="56" t="s">
        <v>52</v>
      </c>
      <c r="U99" s="56" t="s">
        <v>1133</v>
      </c>
      <c r="V99" s="60" t="s">
        <v>1654</v>
      </c>
      <c r="W99" s="56"/>
      <c r="X99" s="59">
        <v>45883.0</v>
      </c>
      <c r="Y99" s="56" t="s">
        <v>1030</v>
      </c>
      <c r="Z99" s="56"/>
      <c r="AA99" s="56"/>
      <c r="AB99" s="56" t="s">
        <v>52</v>
      </c>
      <c r="AC99" s="56" t="s">
        <v>1655</v>
      </c>
      <c r="AD99" s="56"/>
      <c r="AE99" s="59"/>
      <c r="AF99" s="59"/>
      <c r="AG99" s="59"/>
      <c r="AH99" s="59"/>
    </row>
    <row r="100">
      <c r="A100" s="49" t="s">
        <v>1656</v>
      </c>
      <c r="B100" s="50" t="s">
        <v>1657</v>
      </c>
      <c r="C100" s="50"/>
      <c r="D100" s="51">
        <v>1.9148865868E10</v>
      </c>
      <c r="E100" s="50" t="s">
        <v>1658</v>
      </c>
      <c r="F100" s="50" t="s">
        <v>1659</v>
      </c>
      <c r="G100" s="50" t="s">
        <v>1660</v>
      </c>
      <c r="H100" s="50" t="s">
        <v>751</v>
      </c>
      <c r="I100" s="50">
        <v>10804.0</v>
      </c>
      <c r="J100" s="50" t="s">
        <v>752</v>
      </c>
      <c r="K100" s="50" t="s">
        <v>75</v>
      </c>
      <c r="L100" s="50" t="s">
        <v>1152</v>
      </c>
      <c r="M100" s="50">
        <v>49.0</v>
      </c>
      <c r="N100" s="50" t="s">
        <v>124</v>
      </c>
      <c r="O100" s="52"/>
      <c r="P100" s="53">
        <v>45869.0</v>
      </c>
      <c r="Q100" s="50" t="s">
        <v>1030</v>
      </c>
      <c r="R100" s="50" t="s">
        <v>1659</v>
      </c>
      <c r="S100" s="50" t="s">
        <v>124</v>
      </c>
      <c r="T100" s="50" t="s">
        <v>124</v>
      </c>
      <c r="U100" s="50"/>
      <c r="V100" s="54"/>
      <c r="W100" s="50" t="s">
        <v>1659</v>
      </c>
      <c r="X100" s="53">
        <v>45869.0</v>
      </c>
      <c r="Y100" s="50" t="s">
        <v>1030</v>
      </c>
      <c r="Z100" s="50" t="s">
        <v>808</v>
      </c>
      <c r="AA100" s="50" t="s">
        <v>1659</v>
      </c>
      <c r="AB100" s="50" t="s">
        <v>124</v>
      </c>
      <c r="AC100" s="50"/>
      <c r="AD100" s="50" t="s">
        <v>1661</v>
      </c>
      <c r="AE100" s="53"/>
      <c r="AF100" s="53"/>
      <c r="AG100" s="53"/>
      <c r="AH100" s="53"/>
    </row>
    <row r="101">
      <c r="A101" s="55" t="s">
        <v>1662</v>
      </c>
      <c r="B101" s="56" t="s">
        <v>1663</v>
      </c>
      <c r="C101" s="56" t="s">
        <v>1664</v>
      </c>
      <c r="D101" s="57">
        <v>19177347179</v>
      </c>
      <c r="E101" s="56" t="s">
        <v>1665</v>
      </c>
      <c r="F101" s="56"/>
      <c r="G101" s="56" t="s">
        <v>1131</v>
      </c>
      <c r="H101" s="56" t="s">
        <v>751</v>
      </c>
      <c r="I101" s="56">
        <v>10538.0</v>
      </c>
      <c r="J101" s="56" t="s">
        <v>752</v>
      </c>
      <c r="K101" s="56" t="s">
        <v>95</v>
      </c>
      <c r="L101" s="56" t="s">
        <v>1361</v>
      </c>
      <c r="M101" s="56">
        <v>49.0</v>
      </c>
      <c r="N101" s="56" t="s">
        <v>52</v>
      </c>
      <c r="O101" s="58" t="s">
        <v>1132</v>
      </c>
      <c r="P101" s="59">
        <v>45883.0</v>
      </c>
      <c r="Q101" s="56" t="s">
        <v>1030</v>
      </c>
      <c r="R101" s="56"/>
      <c r="S101" s="56" t="s">
        <v>52</v>
      </c>
      <c r="T101" s="56" t="s">
        <v>52</v>
      </c>
      <c r="U101" s="56" t="s">
        <v>1133</v>
      </c>
      <c r="V101" s="60" t="s">
        <v>1132</v>
      </c>
      <c r="W101" s="56"/>
      <c r="X101" s="59">
        <v>45883.0</v>
      </c>
      <c r="Y101" s="56" t="s">
        <v>1030</v>
      </c>
      <c r="Z101" s="56"/>
      <c r="AA101" s="56"/>
      <c r="AB101" s="56" t="s">
        <v>52</v>
      </c>
      <c r="AC101" s="56" t="s">
        <v>1666</v>
      </c>
      <c r="AD101" s="56"/>
      <c r="AE101" s="59"/>
      <c r="AF101" s="59"/>
      <c r="AG101" s="59"/>
      <c r="AH101" s="59"/>
    </row>
    <row r="102">
      <c r="A102" s="49" t="s">
        <v>1667</v>
      </c>
      <c r="B102" s="50" t="s">
        <v>1668</v>
      </c>
      <c r="C102" s="50" t="s">
        <v>1669</v>
      </c>
      <c r="D102" s="51">
        <v>1.646745612E10</v>
      </c>
      <c r="E102" s="50" t="s">
        <v>625</v>
      </c>
      <c r="F102" s="50"/>
      <c r="G102" s="50" t="s">
        <v>751</v>
      </c>
      <c r="H102" s="50" t="s">
        <v>751</v>
      </c>
      <c r="I102" s="50">
        <v>10128.0</v>
      </c>
      <c r="J102" s="50" t="s">
        <v>752</v>
      </c>
      <c r="K102" s="50" t="s">
        <v>66</v>
      </c>
      <c r="L102" s="50" t="s">
        <v>1340</v>
      </c>
      <c r="M102" s="50">
        <v>210.0</v>
      </c>
      <c r="N102" s="50"/>
      <c r="O102" s="52" t="s">
        <v>627</v>
      </c>
      <c r="P102" s="53">
        <v>45883.0</v>
      </c>
      <c r="Q102" s="50"/>
      <c r="R102" s="50"/>
      <c r="S102" s="50"/>
      <c r="T102" s="50"/>
      <c r="U102" s="50" t="s">
        <v>1039</v>
      </c>
      <c r="V102" s="54" t="s">
        <v>627</v>
      </c>
      <c r="W102" s="50"/>
      <c r="X102" s="53">
        <v>45883.0</v>
      </c>
      <c r="Y102" s="50"/>
      <c r="Z102" s="50"/>
      <c r="AA102" s="50"/>
      <c r="AB102" s="50"/>
      <c r="AC102" s="50"/>
      <c r="AD102" s="50"/>
      <c r="AE102" s="53"/>
      <c r="AF102" s="53"/>
      <c r="AG102" s="53"/>
      <c r="AH102" s="53"/>
    </row>
    <row r="103">
      <c r="A103" s="55" t="s">
        <v>1670</v>
      </c>
      <c r="B103" s="56" t="s">
        <v>1671</v>
      </c>
      <c r="C103" s="56" t="s">
        <v>1672</v>
      </c>
      <c r="D103" s="57">
        <v>3.126155109E9</v>
      </c>
      <c r="E103" s="56" t="s">
        <v>1673</v>
      </c>
      <c r="F103" s="56"/>
      <c r="G103" s="56" t="s">
        <v>1674</v>
      </c>
      <c r="H103" s="56" t="s">
        <v>1019</v>
      </c>
      <c r="I103" s="56">
        <v>60422.0</v>
      </c>
      <c r="J103" s="56" t="s">
        <v>752</v>
      </c>
      <c r="K103" s="56" t="s">
        <v>66</v>
      </c>
      <c r="L103" s="56" t="s">
        <v>1340</v>
      </c>
      <c r="M103" s="56">
        <v>210.0</v>
      </c>
      <c r="N103" s="56"/>
      <c r="O103" s="58" t="s">
        <v>1675</v>
      </c>
      <c r="P103" s="59">
        <v>45883.0</v>
      </c>
      <c r="Q103" s="56"/>
      <c r="R103" s="56"/>
      <c r="S103" s="56"/>
      <c r="T103" s="56"/>
      <c r="U103" s="56" t="s">
        <v>1080</v>
      </c>
      <c r="V103" s="60" t="s">
        <v>1675</v>
      </c>
      <c r="W103" s="56"/>
      <c r="X103" s="59">
        <v>45883.0</v>
      </c>
      <c r="Y103" s="56"/>
      <c r="Z103" s="56"/>
      <c r="AA103" s="56"/>
      <c r="AB103" s="56"/>
      <c r="AC103" s="56"/>
      <c r="AD103" s="56"/>
      <c r="AE103" s="59"/>
      <c r="AF103" s="59"/>
      <c r="AG103" s="59"/>
      <c r="AH103" s="59"/>
    </row>
    <row r="104">
      <c r="A104" s="49" t="s">
        <v>1676</v>
      </c>
      <c r="B104" s="50" t="s">
        <v>1677</v>
      </c>
      <c r="C104" s="50" t="s">
        <v>1678</v>
      </c>
      <c r="D104" s="51">
        <v>1.4049987511E10</v>
      </c>
      <c r="E104" s="50" t="s">
        <v>1679</v>
      </c>
      <c r="F104" s="50"/>
      <c r="G104" s="50" t="s">
        <v>1680</v>
      </c>
      <c r="H104" s="50" t="s">
        <v>946</v>
      </c>
      <c r="I104" s="50">
        <v>30318.0</v>
      </c>
      <c r="J104" s="50" t="s">
        <v>752</v>
      </c>
      <c r="K104" s="50" t="s">
        <v>66</v>
      </c>
      <c r="L104" s="50" t="s">
        <v>1355</v>
      </c>
      <c r="M104" s="50">
        <v>145.0</v>
      </c>
      <c r="N104" s="50"/>
      <c r="O104" s="52" t="s">
        <v>434</v>
      </c>
      <c r="P104" s="53">
        <v>45883.0</v>
      </c>
      <c r="Q104" s="50"/>
      <c r="R104" s="50"/>
      <c r="S104" s="50"/>
      <c r="T104" s="50"/>
      <c r="U104" s="50" t="s">
        <v>1343</v>
      </c>
      <c r="V104" s="54" t="s">
        <v>434</v>
      </c>
      <c r="W104" s="50"/>
      <c r="X104" s="53">
        <v>45883.0</v>
      </c>
      <c r="Y104" s="50"/>
      <c r="Z104" s="50"/>
      <c r="AA104" s="50"/>
      <c r="AB104" s="50"/>
      <c r="AC104" s="50"/>
      <c r="AD104" s="50"/>
      <c r="AE104" s="53"/>
      <c r="AF104" s="53"/>
      <c r="AG104" s="53"/>
      <c r="AH104" s="53"/>
    </row>
    <row r="105">
      <c r="A105" s="55" t="s">
        <v>1681</v>
      </c>
      <c r="B105" s="56" t="s">
        <v>1682</v>
      </c>
      <c r="C105" s="56"/>
      <c r="D105" s="57">
        <v>9.176694027E9</v>
      </c>
      <c r="E105" s="56" t="s">
        <v>1683</v>
      </c>
      <c r="F105" s="56"/>
      <c r="G105" s="56" t="s">
        <v>1684</v>
      </c>
      <c r="H105" s="56" t="s">
        <v>751</v>
      </c>
      <c r="I105" s="56">
        <v>11205.0</v>
      </c>
      <c r="J105" s="56" t="s">
        <v>752</v>
      </c>
      <c r="K105" s="56" t="s">
        <v>75</v>
      </c>
      <c r="L105" s="56" t="s">
        <v>1152</v>
      </c>
      <c r="M105" s="56">
        <v>49.0</v>
      </c>
      <c r="N105" s="56" t="s">
        <v>52</v>
      </c>
      <c r="O105" s="58" t="s">
        <v>1685</v>
      </c>
      <c r="P105" s="59">
        <v>45883.0</v>
      </c>
      <c r="Q105" s="56"/>
      <c r="R105" s="56"/>
      <c r="S105" s="56" t="s">
        <v>52</v>
      </c>
      <c r="T105" s="56" t="s">
        <v>52</v>
      </c>
      <c r="U105" s="56" t="s">
        <v>1080</v>
      </c>
      <c r="V105" s="60" t="s">
        <v>1685</v>
      </c>
      <c r="W105" s="56"/>
      <c r="X105" s="59">
        <v>45883.0</v>
      </c>
      <c r="Y105" s="56"/>
      <c r="Z105" s="56" t="s">
        <v>808</v>
      </c>
      <c r="AA105" s="56"/>
      <c r="AB105" s="56" t="s">
        <v>52</v>
      </c>
      <c r="AC105" s="56"/>
      <c r="AD105" s="56" t="s">
        <v>1686</v>
      </c>
      <c r="AE105" s="59"/>
      <c r="AF105" s="59"/>
      <c r="AG105" s="59"/>
      <c r="AH105" s="59"/>
    </row>
    <row r="106">
      <c r="A106" s="49" t="s">
        <v>1687</v>
      </c>
      <c r="B106" s="50" t="s">
        <v>1688</v>
      </c>
      <c r="C106" s="50" t="s">
        <v>1689</v>
      </c>
      <c r="D106" s="51">
        <v>9.892958435E9</v>
      </c>
      <c r="E106" s="50" t="s">
        <v>1690</v>
      </c>
      <c r="F106" s="50"/>
      <c r="G106" s="50" t="s">
        <v>1085</v>
      </c>
      <c r="H106" s="50" t="s">
        <v>1691</v>
      </c>
      <c r="I106" s="50">
        <v>48009.0</v>
      </c>
      <c r="J106" s="50" t="s">
        <v>752</v>
      </c>
      <c r="K106" s="50" t="s">
        <v>66</v>
      </c>
      <c r="L106" s="50" t="s">
        <v>1340</v>
      </c>
      <c r="M106" s="50">
        <v>210.0</v>
      </c>
      <c r="N106" s="50"/>
      <c r="O106" s="52" t="s">
        <v>1692</v>
      </c>
      <c r="P106" s="53">
        <v>45883.0</v>
      </c>
      <c r="Q106" s="50"/>
      <c r="R106" s="50"/>
      <c r="S106" s="50"/>
      <c r="T106" s="50"/>
      <c r="U106" s="50" t="s">
        <v>1039</v>
      </c>
      <c r="V106" s="54" t="s">
        <v>1692</v>
      </c>
      <c r="W106" s="50"/>
      <c r="X106" s="53">
        <v>45883.0</v>
      </c>
      <c r="Y106" s="50"/>
      <c r="Z106" s="50"/>
      <c r="AA106" s="50"/>
      <c r="AB106" s="50"/>
      <c r="AC106" s="50"/>
      <c r="AD106" s="50"/>
      <c r="AE106" s="53"/>
      <c r="AF106" s="53"/>
      <c r="AG106" s="53"/>
      <c r="AH106" s="53"/>
    </row>
    <row r="107">
      <c r="A107" s="55" t="s">
        <v>1693</v>
      </c>
      <c r="B107" s="56" t="s">
        <v>1694</v>
      </c>
      <c r="C107" s="56" t="s">
        <v>1695</v>
      </c>
      <c r="D107" s="57">
        <v>1.9175709951E10</v>
      </c>
      <c r="E107" s="56" t="s">
        <v>1696</v>
      </c>
      <c r="F107" s="56"/>
      <c r="G107" s="56" t="s">
        <v>1697</v>
      </c>
      <c r="H107" s="56" t="s">
        <v>751</v>
      </c>
      <c r="I107" s="56">
        <v>11021.0</v>
      </c>
      <c r="J107" s="56" t="s">
        <v>752</v>
      </c>
      <c r="K107" s="56" t="s">
        <v>66</v>
      </c>
      <c r="L107" s="56" t="s">
        <v>1340</v>
      </c>
      <c r="M107" s="56">
        <v>210.0</v>
      </c>
      <c r="N107" s="56"/>
      <c r="O107" s="58" t="s">
        <v>1698</v>
      </c>
      <c r="P107" s="59">
        <v>45887.0</v>
      </c>
      <c r="Q107" s="56"/>
      <c r="R107" s="56"/>
      <c r="S107" s="56"/>
      <c r="T107" s="56"/>
      <c r="U107" s="56" t="s">
        <v>1699</v>
      </c>
      <c r="V107" s="60" t="s">
        <v>1698</v>
      </c>
      <c r="W107" s="56"/>
      <c r="X107" s="59">
        <v>45887.0</v>
      </c>
      <c r="Y107" s="56"/>
      <c r="Z107" s="56"/>
      <c r="AA107" s="56"/>
      <c r="AB107" s="56"/>
      <c r="AC107" s="56"/>
      <c r="AD107" s="56"/>
      <c r="AE107" s="59"/>
      <c r="AF107" s="59"/>
      <c r="AG107" s="59"/>
      <c r="AH107" s="59"/>
    </row>
    <row r="108">
      <c r="A108" s="49" t="s">
        <v>1693</v>
      </c>
      <c r="B108" s="50" t="s">
        <v>1694</v>
      </c>
      <c r="C108" s="50" t="s">
        <v>1695</v>
      </c>
      <c r="D108" s="51">
        <v>1.9175709951E10</v>
      </c>
      <c r="E108" s="50" t="s">
        <v>1696</v>
      </c>
      <c r="F108" s="50"/>
      <c r="G108" s="50" t="s">
        <v>1697</v>
      </c>
      <c r="H108" s="50" t="s">
        <v>751</v>
      </c>
      <c r="I108" s="50">
        <v>11021.0</v>
      </c>
      <c r="J108" s="50" t="s">
        <v>752</v>
      </c>
      <c r="K108" s="50" t="s">
        <v>51</v>
      </c>
      <c r="L108" s="50" t="s">
        <v>1152</v>
      </c>
      <c r="M108" s="50">
        <v>1.0</v>
      </c>
      <c r="N108" s="50" t="s">
        <v>52</v>
      </c>
      <c r="O108" s="52" t="s">
        <v>1698</v>
      </c>
      <c r="P108" s="53">
        <v>45887.0</v>
      </c>
      <c r="Q108" s="50" t="s">
        <v>1030</v>
      </c>
      <c r="R108" s="50"/>
      <c r="S108" s="50" t="s">
        <v>52</v>
      </c>
      <c r="T108" s="50" t="s">
        <v>52</v>
      </c>
      <c r="U108" s="50" t="s">
        <v>1699</v>
      </c>
      <c r="V108" s="54" t="s">
        <v>1698</v>
      </c>
      <c r="W108" s="50"/>
      <c r="X108" s="53">
        <v>45887.0</v>
      </c>
      <c r="Y108" s="50" t="s">
        <v>1030</v>
      </c>
      <c r="Z108" s="50"/>
      <c r="AA108" s="50"/>
      <c r="AB108" s="50" t="s">
        <v>52</v>
      </c>
      <c r="AC108" s="50"/>
      <c r="AD108" s="50"/>
      <c r="AE108" s="53"/>
      <c r="AF108" s="53"/>
      <c r="AG108" s="53"/>
      <c r="AH108" s="53"/>
    </row>
    <row r="109">
      <c r="A109" s="55" t="s">
        <v>1700</v>
      </c>
      <c r="B109" s="56" t="s">
        <v>1701</v>
      </c>
      <c r="C109" s="56"/>
      <c r="D109" s="57">
        <v>6.179670331E9</v>
      </c>
      <c r="E109" s="56" t="s">
        <v>1702</v>
      </c>
      <c r="F109" s="56"/>
      <c r="G109" s="56" t="s">
        <v>1374</v>
      </c>
      <c r="H109" s="56" t="s">
        <v>1121</v>
      </c>
      <c r="I109" s="56">
        <v>2090.0</v>
      </c>
      <c r="J109" s="56" t="s">
        <v>752</v>
      </c>
      <c r="K109" s="56" t="s">
        <v>66</v>
      </c>
      <c r="L109" s="56" t="s">
        <v>1340</v>
      </c>
      <c r="M109" s="56">
        <v>210.0</v>
      </c>
      <c r="N109" s="56"/>
      <c r="O109" s="58" t="s">
        <v>1703</v>
      </c>
      <c r="P109" s="59">
        <v>45883.0</v>
      </c>
      <c r="Q109" s="56"/>
      <c r="R109" s="56"/>
      <c r="S109" s="56"/>
      <c r="T109" s="56"/>
      <c r="U109" s="56" t="s">
        <v>1376</v>
      </c>
      <c r="V109" s="60" t="s">
        <v>1703</v>
      </c>
      <c r="W109" s="56"/>
      <c r="X109" s="59">
        <v>45883.0</v>
      </c>
      <c r="Y109" s="56"/>
      <c r="Z109" s="56"/>
      <c r="AA109" s="56"/>
      <c r="AB109" s="56"/>
      <c r="AC109" s="56"/>
      <c r="AD109" s="56"/>
      <c r="AE109" s="59"/>
      <c r="AF109" s="59"/>
      <c r="AG109" s="59"/>
      <c r="AH109" s="59"/>
    </row>
    <row r="110">
      <c r="A110" s="49" t="s">
        <v>1704</v>
      </c>
      <c r="B110" s="50" t="s">
        <v>1705</v>
      </c>
      <c r="C110" s="50" t="s">
        <v>1706</v>
      </c>
      <c r="D110" s="51">
        <v>3.1036543E9</v>
      </c>
      <c r="E110" s="50" t="s">
        <v>1707</v>
      </c>
      <c r="F110" s="50"/>
      <c r="G110" s="50" t="s">
        <v>1708</v>
      </c>
      <c r="H110" s="50" t="s">
        <v>989</v>
      </c>
      <c r="I110" s="50">
        <v>92629.0</v>
      </c>
      <c r="J110" s="50" t="s">
        <v>752</v>
      </c>
      <c r="K110" s="50" t="s">
        <v>95</v>
      </c>
      <c r="L110" s="50" t="s">
        <v>1361</v>
      </c>
      <c r="M110" s="50">
        <v>49.0</v>
      </c>
      <c r="N110" s="50" t="s">
        <v>52</v>
      </c>
      <c r="O110" s="52" t="s">
        <v>1709</v>
      </c>
      <c r="P110" s="53">
        <v>45883.0</v>
      </c>
      <c r="Q110" s="50" t="s">
        <v>1030</v>
      </c>
      <c r="R110" s="50"/>
      <c r="S110" s="50" t="s">
        <v>52</v>
      </c>
      <c r="T110" s="50" t="s">
        <v>52</v>
      </c>
      <c r="U110" s="50" t="s">
        <v>1710</v>
      </c>
      <c r="V110" s="54" t="s">
        <v>1709</v>
      </c>
      <c r="W110" s="50"/>
      <c r="X110" s="53">
        <v>45883.0</v>
      </c>
      <c r="Y110" s="50" t="s">
        <v>1030</v>
      </c>
      <c r="Z110" s="50"/>
      <c r="AA110" s="50"/>
      <c r="AB110" s="50" t="s">
        <v>52</v>
      </c>
      <c r="AC110" s="50" t="s">
        <v>1711</v>
      </c>
      <c r="AD110" s="50"/>
      <c r="AE110" s="53"/>
      <c r="AF110" s="53"/>
      <c r="AG110" s="53"/>
      <c r="AH110" s="53"/>
    </row>
    <row r="111">
      <c r="A111" s="55" t="s">
        <v>1712</v>
      </c>
      <c r="B111" s="56" t="s">
        <v>1713</v>
      </c>
      <c r="C111" s="56" t="s">
        <v>1714</v>
      </c>
      <c r="D111" s="57">
        <v>9.293024005E9</v>
      </c>
      <c r="E111" s="56" t="s">
        <v>1715</v>
      </c>
      <c r="F111" s="56"/>
      <c r="G111" s="56" t="s">
        <v>1360</v>
      </c>
      <c r="H111" s="56" t="s">
        <v>1053</v>
      </c>
      <c r="I111" s="56">
        <v>7020.0</v>
      </c>
      <c r="J111" s="56" t="s">
        <v>752</v>
      </c>
      <c r="K111" s="56" t="s">
        <v>95</v>
      </c>
      <c r="L111" s="56" t="s">
        <v>1361</v>
      </c>
      <c r="M111" s="56">
        <v>49.0</v>
      </c>
      <c r="N111" s="56" t="s">
        <v>52</v>
      </c>
      <c r="O111" s="58" t="s">
        <v>1716</v>
      </c>
      <c r="P111" s="59">
        <v>45883.0</v>
      </c>
      <c r="Q111" s="56" t="s">
        <v>1030</v>
      </c>
      <c r="R111" s="56"/>
      <c r="S111" s="56" t="s">
        <v>52</v>
      </c>
      <c r="T111" s="56" t="s">
        <v>52</v>
      </c>
      <c r="U111" s="56" t="s">
        <v>1642</v>
      </c>
      <c r="V111" s="60" t="s">
        <v>1716</v>
      </c>
      <c r="W111" s="56"/>
      <c r="X111" s="59">
        <v>45883.0</v>
      </c>
      <c r="Y111" s="56" t="s">
        <v>1030</v>
      </c>
      <c r="Z111" s="56"/>
      <c r="AA111" s="56"/>
      <c r="AB111" s="56" t="s">
        <v>52</v>
      </c>
      <c r="AC111" s="56" t="s">
        <v>1717</v>
      </c>
      <c r="AD111" s="56"/>
      <c r="AE111" s="59"/>
      <c r="AF111" s="59"/>
      <c r="AG111" s="59"/>
      <c r="AH111" s="59"/>
    </row>
    <row r="112">
      <c r="A112" s="49" t="s">
        <v>1718</v>
      </c>
      <c r="B112" s="50" t="s">
        <v>1719</v>
      </c>
      <c r="C112" s="50"/>
      <c r="D112" s="51">
        <v>9.177155789E9</v>
      </c>
      <c r="E112" s="50" t="s">
        <v>1720</v>
      </c>
      <c r="F112" s="50"/>
      <c r="G112" s="50" t="s">
        <v>751</v>
      </c>
      <c r="H112" s="50" t="s">
        <v>751</v>
      </c>
      <c r="I112" s="50">
        <v>10013.0</v>
      </c>
      <c r="J112" s="50" t="s">
        <v>752</v>
      </c>
      <c r="K112" s="50" t="s">
        <v>66</v>
      </c>
      <c r="L112" s="50" t="s">
        <v>1431</v>
      </c>
      <c r="M112" s="50">
        <v>115.0</v>
      </c>
      <c r="N112" s="50"/>
      <c r="O112" s="52" t="s">
        <v>1721</v>
      </c>
      <c r="P112" s="53">
        <v>45883.0</v>
      </c>
      <c r="Q112" s="50"/>
      <c r="R112" s="50"/>
      <c r="S112" s="50"/>
      <c r="T112" s="50"/>
      <c r="U112" s="50" t="s">
        <v>1080</v>
      </c>
      <c r="V112" s="54" t="s">
        <v>1721</v>
      </c>
      <c r="W112" s="50"/>
      <c r="X112" s="53">
        <v>45883.0</v>
      </c>
      <c r="Y112" s="50"/>
      <c r="Z112" s="50"/>
      <c r="AA112" s="50"/>
      <c r="AB112" s="50"/>
      <c r="AC112" s="50"/>
      <c r="AD112" s="50"/>
      <c r="AE112" s="53"/>
      <c r="AF112" s="53"/>
      <c r="AG112" s="53"/>
      <c r="AH112" s="53"/>
    </row>
    <row r="113">
      <c r="A113" s="55" t="s">
        <v>1718</v>
      </c>
      <c r="B113" s="56" t="s">
        <v>1719</v>
      </c>
      <c r="C113" s="56"/>
      <c r="D113" s="57">
        <v>9.177155789E9</v>
      </c>
      <c r="E113" s="56" t="s">
        <v>1720</v>
      </c>
      <c r="F113" s="56"/>
      <c r="G113" s="56" t="s">
        <v>751</v>
      </c>
      <c r="H113" s="56" t="s">
        <v>751</v>
      </c>
      <c r="I113" s="56">
        <v>10013.0</v>
      </c>
      <c r="J113" s="56" t="s">
        <v>752</v>
      </c>
      <c r="K113" s="56" t="s">
        <v>95</v>
      </c>
      <c r="L113" s="56" t="s">
        <v>1361</v>
      </c>
      <c r="M113" s="56">
        <v>49.0</v>
      </c>
      <c r="N113" s="56" t="s">
        <v>52</v>
      </c>
      <c r="O113" s="58" t="s">
        <v>1721</v>
      </c>
      <c r="P113" s="59">
        <v>45883.0</v>
      </c>
      <c r="Q113" s="56" t="s">
        <v>1030</v>
      </c>
      <c r="R113" s="56"/>
      <c r="S113" s="56" t="s">
        <v>52</v>
      </c>
      <c r="T113" s="56" t="s">
        <v>52</v>
      </c>
      <c r="U113" s="56" t="s">
        <v>1080</v>
      </c>
      <c r="V113" s="60" t="s">
        <v>1721</v>
      </c>
      <c r="W113" s="56"/>
      <c r="X113" s="59">
        <v>45883.0</v>
      </c>
      <c r="Y113" s="56" t="s">
        <v>1030</v>
      </c>
      <c r="Z113" s="56"/>
      <c r="AA113" s="56"/>
      <c r="AB113" s="56" t="s">
        <v>52</v>
      </c>
      <c r="AC113" s="56"/>
      <c r="AD113" s="56"/>
      <c r="AE113" s="59"/>
      <c r="AF113" s="59"/>
      <c r="AG113" s="59"/>
      <c r="AH113" s="59"/>
    </row>
    <row r="114">
      <c r="A114" s="49" t="s">
        <v>1722</v>
      </c>
      <c r="B114" s="50" t="s">
        <v>1723</v>
      </c>
      <c r="C114" s="50" t="s">
        <v>1724</v>
      </c>
      <c r="D114" s="51">
        <v>1.9143576469E10</v>
      </c>
      <c r="E114" s="50" t="s">
        <v>1725</v>
      </c>
      <c r="F114" s="50"/>
      <c r="G114" s="50" t="s">
        <v>1726</v>
      </c>
      <c r="H114" s="50" t="s">
        <v>751</v>
      </c>
      <c r="I114" s="50">
        <v>10533.0</v>
      </c>
      <c r="J114" s="50" t="s">
        <v>752</v>
      </c>
      <c r="K114" s="50" t="s">
        <v>66</v>
      </c>
      <c r="L114" s="50" t="s">
        <v>1355</v>
      </c>
      <c r="M114" s="50">
        <v>145.0</v>
      </c>
      <c r="N114" s="50"/>
      <c r="O114" s="52" t="s">
        <v>1727</v>
      </c>
      <c r="P114" s="53">
        <v>45853.0</v>
      </c>
      <c r="Q114" s="50"/>
      <c r="R114" s="50"/>
      <c r="S114" s="50"/>
      <c r="T114" s="50"/>
      <c r="U114" s="50" t="s">
        <v>1080</v>
      </c>
      <c r="V114" s="54" t="s">
        <v>1727</v>
      </c>
      <c r="W114" s="50"/>
      <c r="X114" s="53">
        <v>45853.0</v>
      </c>
      <c r="Y114" s="50"/>
      <c r="Z114" s="50"/>
      <c r="AA114" s="50"/>
      <c r="AB114" s="50"/>
      <c r="AC114" s="50"/>
      <c r="AD114" s="50"/>
      <c r="AE114" s="53"/>
      <c r="AF114" s="53"/>
      <c r="AG114" s="53"/>
      <c r="AH114" s="53"/>
    </row>
    <row r="115">
      <c r="A115" s="55" t="s">
        <v>1728</v>
      </c>
      <c r="B115" s="56" t="s">
        <v>1729</v>
      </c>
      <c r="C115" s="56"/>
      <c r="D115" s="57">
        <v>4.8025995E9</v>
      </c>
      <c r="E115" s="56" t="s">
        <v>1730</v>
      </c>
      <c r="F115" s="56"/>
      <c r="G115" s="56" t="s">
        <v>1534</v>
      </c>
      <c r="H115" s="56" t="s">
        <v>1535</v>
      </c>
      <c r="I115" s="56">
        <v>85255.0</v>
      </c>
      <c r="J115" s="56" t="s">
        <v>752</v>
      </c>
      <c r="K115" s="56" t="s">
        <v>66</v>
      </c>
      <c r="L115" s="56" t="s">
        <v>1355</v>
      </c>
      <c r="M115" s="56">
        <v>145.0</v>
      </c>
      <c r="N115" s="56"/>
      <c r="O115" s="58" t="s">
        <v>1731</v>
      </c>
      <c r="P115" s="59">
        <v>45883.0</v>
      </c>
      <c r="Q115" s="56"/>
      <c r="R115" s="56"/>
      <c r="S115" s="56"/>
      <c r="T115" s="56"/>
      <c r="U115" s="56" t="s">
        <v>1031</v>
      </c>
      <c r="V115" s="60" t="s">
        <v>1731</v>
      </c>
      <c r="W115" s="56"/>
      <c r="X115" s="59">
        <v>45883.0</v>
      </c>
      <c r="Y115" s="56"/>
      <c r="Z115" s="56"/>
      <c r="AA115" s="56"/>
      <c r="AB115" s="56"/>
      <c r="AC115" s="56"/>
      <c r="AD115" s="56"/>
      <c r="AE115" s="59"/>
      <c r="AF115" s="59"/>
      <c r="AG115" s="59"/>
      <c r="AH115" s="59"/>
    </row>
    <row r="116">
      <c r="A116" s="49" t="s">
        <v>1732</v>
      </c>
      <c r="B116" s="50" t="s">
        <v>1733</v>
      </c>
      <c r="C116" s="50" t="s">
        <v>1734</v>
      </c>
      <c r="D116" s="51">
        <v>1.6473022388E10</v>
      </c>
      <c r="E116" s="50" t="s">
        <v>1735</v>
      </c>
      <c r="F116" s="50"/>
      <c r="G116" s="50" t="s">
        <v>1283</v>
      </c>
      <c r="H116" s="50" t="s">
        <v>1155</v>
      </c>
      <c r="I116" s="50">
        <v>63130.0</v>
      </c>
      <c r="J116" s="50" t="s">
        <v>752</v>
      </c>
      <c r="K116" s="50" t="s">
        <v>51</v>
      </c>
      <c r="L116" s="50" t="s">
        <v>1152</v>
      </c>
      <c r="M116" s="50">
        <v>1.0</v>
      </c>
      <c r="N116" s="50" t="s">
        <v>52</v>
      </c>
      <c r="O116" s="52" t="s">
        <v>1736</v>
      </c>
      <c r="P116" s="53">
        <v>45883.0</v>
      </c>
      <c r="Q116" s="50" t="s">
        <v>1030</v>
      </c>
      <c r="R116" s="50"/>
      <c r="S116" s="50" t="s">
        <v>52</v>
      </c>
      <c r="T116" s="50" t="s">
        <v>52</v>
      </c>
      <c r="U116" s="50" t="s">
        <v>1710</v>
      </c>
      <c r="V116" s="54" t="s">
        <v>1736</v>
      </c>
      <c r="W116" s="50"/>
      <c r="X116" s="53">
        <v>45883.0</v>
      </c>
      <c r="Y116" s="50" t="s">
        <v>1030</v>
      </c>
      <c r="Z116" s="50"/>
      <c r="AA116" s="50"/>
      <c r="AB116" s="50" t="s">
        <v>52</v>
      </c>
      <c r="AC116" s="50"/>
      <c r="AD116" s="50"/>
      <c r="AE116" s="53"/>
      <c r="AF116" s="53"/>
      <c r="AG116" s="53"/>
      <c r="AH116" s="53"/>
    </row>
    <row r="117">
      <c r="A117" s="55" t="s">
        <v>1737</v>
      </c>
      <c r="B117" s="56" t="s">
        <v>1738</v>
      </c>
      <c r="C117" s="56" t="s">
        <v>1739</v>
      </c>
      <c r="D117" s="57">
        <v>3.109623501E9</v>
      </c>
      <c r="E117" s="56" t="s">
        <v>1740</v>
      </c>
      <c r="F117" s="56"/>
      <c r="G117" s="56" t="s">
        <v>1179</v>
      </c>
      <c r="H117" s="56" t="s">
        <v>989</v>
      </c>
      <c r="I117" s="56">
        <v>90034.0</v>
      </c>
      <c r="J117" s="56" t="s">
        <v>752</v>
      </c>
      <c r="K117" s="56" t="s">
        <v>95</v>
      </c>
      <c r="L117" s="56" t="s">
        <v>1361</v>
      </c>
      <c r="M117" s="56">
        <v>49.0</v>
      </c>
      <c r="N117" s="56" t="s">
        <v>52</v>
      </c>
      <c r="O117" s="58" t="s">
        <v>1741</v>
      </c>
      <c r="P117" s="59">
        <v>45883.0</v>
      </c>
      <c r="Q117" s="56" t="s">
        <v>1030</v>
      </c>
      <c r="R117" s="56"/>
      <c r="S117" s="56" t="s">
        <v>52</v>
      </c>
      <c r="T117" s="56" t="s">
        <v>52</v>
      </c>
      <c r="U117" s="56" t="s">
        <v>956</v>
      </c>
      <c r="V117" s="60" t="s">
        <v>1741</v>
      </c>
      <c r="W117" s="56"/>
      <c r="X117" s="59">
        <v>45883.0</v>
      </c>
      <c r="Y117" s="56" t="s">
        <v>1030</v>
      </c>
      <c r="Z117" s="56"/>
      <c r="AA117" s="56"/>
      <c r="AB117" s="56" t="s">
        <v>52</v>
      </c>
      <c r="AC117" s="56" t="s">
        <v>1742</v>
      </c>
      <c r="AD117" s="56"/>
      <c r="AE117" s="59"/>
      <c r="AF117" s="59"/>
      <c r="AG117" s="59"/>
      <c r="AH117" s="59"/>
    </row>
    <row r="118">
      <c r="A118" s="49" t="s">
        <v>1743</v>
      </c>
      <c r="B118" s="50" t="s">
        <v>1744</v>
      </c>
      <c r="C118" s="50" t="s">
        <v>1745</v>
      </c>
      <c r="D118" s="51">
        <v>2.016697605E9</v>
      </c>
      <c r="E118" s="50" t="s">
        <v>1746</v>
      </c>
      <c r="F118" s="50"/>
      <c r="G118" s="50" t="s">
        <v>1747</v>
      </c>
      <c r="H118" s="50" t="s">
        <v>1053</v>
      </c>
      <c r="I118" s="50">
        <v>7628.0</v>
      </c>
      <c r="J118" s="50" t="s">
        <v>752</v>
      </c>
      <c r="K118" s="50" t="s">
        <v>75</v>
      </c>
      <c r="L118" s="50" t="s">
        <v>1152</v>
      </c>
      <c r="M118" s="50">
        <v>49.0</v>
      </c>
      <c r="N118" s="50" t="s">
        <v>52</v>
      </c>
      <c r="O118" s="52" t="s">
        <v>1748</v>
      </c>
      <c r="P118" s="53">
        <v>45883.0</v>
      </c>
      <c r="Q118" s="50"/>
      <c r="R118" s="50"/>
      <c r="S118" s="50" t="s">
        <v>52</v>
      </c>
      <c r="T118" s="50" t="s">
        <v>52</v>
      </c>
      <c r="U118" s="50" t="s">
        <v>1749</v>
      </c>
      <c r="V118" s="54" t="s">
        <v>1748</v>
      </c>
      <c r="W118" s="50"/>
      <c r="X118" s="53">
        <v>45883.0</v>
      </c>
      <c r="Y118" s="50"/>
      <c r="Z118" s="50" t="s">
        <v>808</v>
      </c>
      <c r="AA118" s="50"/>
      <c r="AB118" s="50" t="s">
        <v>52</v>
      </c>
      <c r="AC118" s="50"/>
      <c r="AD118" s="50" t="s">
        <v>1750</v>
      </c>
      <c r="AE118" s="53"/>
      <c r="AF118" s="53"/>
      <c r="AG118" s="53"/>
      <c r="AH118" s="53"/>
    </row>
    <row r="119">
      <c r="A119" s="55" t="s">
        <v>1751</v>
      </c>
      <c r="B119" s="56" t="s">
        <v>1752</v>
      </c>
      <c r="C119" s="56" t="s">
        <v>1753</v>
      </c>
      <c r="D119" s="57">
        <v>7.734854416E9</v>
      </c>
      <c r="E119" s="56" t="s">
        <v>1754</v>
      </c>
      <c r="F119" s="56"/>
      <c r="G119" s="56" t="s">
        <v>1755</v>
      </c>
      <c r="H119" s="56" t="s">
        <v>1019</v>
      </c>
      <c r="I119" s="56">
        <v>60126.0</v>
      </c>
      <c r="J119" s="56" t="s">
        <v>752</v>
      </c>
      <c r="K119" s="56" t="s">
        <v>66</v>
      </c>
      <c r="L119" s="56" t="s">
        <v>1355</v>
      </c>
      <c r="M119" s="56">
        <v>145.0</v>
      </c>
      <c r="N119" s="56"/>
      <c r="O119" s="58" t="s">
        <v>1255</v>
      </c>
      <c r="P119" s="59">
        <v>45883.0</v>
      </c>
      <c r="Q119" s="56"/>
      <c r="R119" s="56"/>
      <c r="S119" s="56"/>
      <c r="T119" s="56"/>
      <c r="U119" s="56" t="s">
        <v>956</v>
      </c>
      <c r="V119" s="60" t="s">
        <v>1255</v>
      </c>
      <c r="W119" s="56"/>
      <c r="X119" s="59">
        <v>45883.0</v>
      </c>
      <c r="Y119" s="56"/>
      <c r="Z119" s="56"/>
      <c r="AA119" s="56"/>
      <c r="AB119" s="56"/>
      <c r="AC119" s="56"/>
      <c r="AD119" s="56"/>
      <c r="AE119" s="59"/>
      <c r="AF119" s="59"/>
      <c r="AG119" s="59"/>
      <c r="AH119" s="59"/>
    </row>
    <row r="120">
      <c r="A120" s="49" t="s">
        <v>1756</v>
      </c>
      <c r="B120" s="50" t="s">
        <v>1757</v>
      </c>
      <c r="C120" s="50" t="s">
        <v>1758</v>
      </c>
      <c r="D120" s="51">
        <v>8619821577767</v>
      </c>
      <c r="E120" s="50" t="s">
        <v>1759</v>
      </c>
      <c r="F120" s="50"/>
      <c r="G120" s="50" t="s">
        <v>1760</v>
      </c>
      <c r="H120" s="50" t="s">
        <v>1155</v>
      </c>
      <c r="I120" s="50">
        <v>63105.0</v>
      </c>
      <c r="J120" s="50" t="s">
        <v>752</v>
      </c>
      <c r="K120" s="50" t="s">
        <v>66</v>
      </c>
      <c r="L120" s="50" t="s">
        <v>1355</v>
      </c>
      <c r="M120" s="50">
        <v>145.0</v>
      </c>
      <c r="N120" s="50"/>
      <c r="O120" s="52" t="s">
        <v>1761</v>
      </c>
      <c r="P120" s="53">
        <v>45882.0</v>
      </c>
      <c r="Q120" s="50"/>
      <c r="R120" s="50"/>
      <c r="S120" s="50"/>
      <c r="T120" s="50"/>
      <c r="U120" s="50" t="s">
        <v>1487</v>
      </c>
      <c r="V120" s="54" t="s">
        <v>1761</v>
      </c>
      <c r="W120" s="50"/>
      <c r="X120" s="53">
        <v>45882.0</v>
      </c>
      <c r="Y120" s="50"/>
      <c r="Z120" s="50"/>
      <c r="AA120" s="50"/>
      <c r="AB120" s="50"/>
      <c r="AC120" s="50"/>
      <c r="AD120" s="50"/>
      <c r="AE120" s="53"/>
      <c r="AF120" s="53"/>
      <c r="AG120" s="53"/>
      <c r="AH120" s="53"/>
    </row>
    <row r="121">
      <c r="A121" s="55" t="s">
        <v>1762</v>
      </c>
      <c r="B121" s="56" t="s">
        <v>1763</v>
      </c>
      <c r="C121" s="56" t="s">
        <v>1764</v>
      </c>
      <c r="D121" s="57">
        <v>1.9176502759E10</v>
      </c>
      <c r="E121" s="56" t="s">
        <v>1765</v>
      </c>
      <c r="F121" s="56"/>
      <c r="G121" s="56" t="s">
        <v>1766</v>
      </c>
      <c r="H121" s="56" t="s">
        <v>1078</v>
      </c>
      <c r="I121" s="56">
        <v>6830.0</v>
      </c>
      <c r="J121" s="56" t="s">
        <v>752</v>
      </c>
      <c r="K121" s="56" t="s">
        <v>75</v>
      </c>
      <c r="L121" s="56" t="s">
        <v>1152</v>
      </c>
      <c r="M121" s="56">
        <v>49.0</v>
      </c>
      <c r="N121" s="56" t="s">
        <v>52</v>
      </c>
      <c r="O121" s="58" t="s">
        <v>14040</v>
      </c>
      <c r="P121" s="59">
        <v>45883.0</v>
      </c>
      <c r="Q121" s="56"/>
      <c r="R121" s="56"/>
      <c r="S121" s="56" t="s">
        <v>52</v>
      </c>
      <c r="T121" s="56" t="s">
        <v>52</v>
      </c>
      <c r="U121" s="56" t="s">
        <v>1133</v>
      </c>
      <c r="V121" s="60" t="s">
        <v>14040</v>
      </c>
      <c r="W121" s="56"/>
      <c r="X121" s="59">
        <v>45883.0</v>
      </c>
      <c r="Y121" s="56"/>
      <c r="Z121" s="56" t="s">
        <v>808</v>
      </c>
      <c r="AA121" s="56"/>
      <c r="AB121" s="56" t="s">
        <v>52</v>
      </c>
      <c r="AC121" s="56"/>
      <c r="AD121" s="56" t="s">
        <v>1768</v>
      </c>
      <c r="AE121" s="59"/>
      <c r="AF121" s="59"/>
      <c r="AG121" s="59"/>
      <c r="AH121" s="59"/>
    </row>
    <row r="122">
      <c r="A122" s="49" t="s">
        <v>1769</v>
      </c>
      <c r="B122" s="50" t="s">
        <v>1770</v>
      </c>
      <c r="C122" s="50" t="s">
        <v>1771</v>
      </c>
      <c r="D122" s="51">
        <v>8.326870602E9</v>
      </c>
      <c r="E122" s="50" t="s">
        <v>1772</v>
      </c>
      <c r="F122" s="50"/>
      <c r="G122" s="50" t="s">
        <v>1609</v>
      </c>
      <c r="H122" s="50" t="s">
        <v>1583</v>
      </c>
      <c r="I122" s="50">
        <v>77083.0</v>
      </c>
      <c r="J122" s="50" t="s">
        <v>752</v>
      </c>
      <c r="K122" s="50" t="s">
        <v>66</v>
      </c>
      <c r="L122" s="50" t="s">
        <v>1340</v>
      </c>
      <c r="M122" s="50">
        <v>210.0</v>
      </c>
      <c r="N122" s="50"/>
      <c r="O122" s="52" t="s">
        <v>1773</v>
      </c>
      <c r="P122" s="53">
        <v>45883.0</v>
      </c>
      <c r="Q122" s="50"/>
      <c r="R122" s="50"/>
      <c r="S122" s="50"/>
      <c r="T122" s="50"/>
      <c r="U122" s="50" t="s">
        <v>1749</v>
      </c>
      <c r="V122" s="54" t="s">
        <v>1773</v>
      </c>
      <c r="W122" s="50"/>
      <c r="X122" s="53">
        <v>45883.0</v>
      </c>
      <c r="Y122" s="50"/>
      <c r="Z122" s="50"/>
      <c r="AA122" s="50"/>
      <c r="AB122" s="50"/>
      <c r="AC122" s="50"/>
      <c r="AD122" s="50"/>
      <c r="AE122" s="53"/>
      <c r="AF122" s="53"/>
      <c r="AG122" s="53"/>
      <c r="AH122" s="53"/>
    </row>
    <row r="123">
      <c r="A123" s="55" t="s">
        <v>1774</v>
      </c>
      <c r="B123" s="56" t="s">
        <v>1775</v>
      </c>
      <c r="C123" s="56" t="s">
        <v>1771</v>
      </c>
      <c r="D123" s="57">
        <v>8.32718682E9</v>
      </c>
      <c r="E123" s="56" t="s">
        <v>1776</v>
      </c>
      <c r="F123" s="56"/>
      <c r="G123" s="56" t="s">
        <v>1609</v>
      </c>
      <c r="H123" s="56" t="s">
        <v>1583</v>
      </c>
      <c r="I123" s="56">
        <v>77083.0</v>
      </c>
      <c r="J123" s="56" t="s">
        <v>752</v>
      </c>
      <c r="K123" s="56" t="s">
        <v>95</v>
      </c>
      <c r="L123" s="56" t="s">
        <v>1361</v>
      </c>
      <c r="M123" s="56">
        <v>49.0</v>
      </c>
      <c r="N123" s="56" t="s">
        <v>52</v>
      </c>
      <c r="O123" s="58" t="s">
        <v>1777</v>
      </c>
      <c r="P123" s="59">
        <v>45883.0</v>
      </c>
      <c r="Q123" s="56" t="s">
        <v>1030</v>
      </c>
      <c r="R123" s="56"/>
      <c r="S123" s="56" t="s">
        <v>52</v>
      </c>
      <c r="T123" s="56" t="s">
        <v>52</v>
      </c>
      <c r="U123" s="56" t="s">
        <v>1749</v>
      </c>
      <c r="V123" s="60" t="s">
        <v>1777</v>
      </c>
      <c r="W123" s="56"/>
      <c r="X123" s="59">
        <v>45883.0</v>
      </c>
      <c r="Y123" s="56" t="s">
        <v>1030</v>
      </c>
      <c r="Z123" s="56"/>
      <c r="AA123" s="56"/>
      <c r="AB123" s="56" t="s">
        <v>52</v>
      </c>
      <c r="AC123" s="56" t="s">
        <v>1778</v>
      </c>
      <c r="AD123" s="56"/>
      <c r="AE123" s="59"/>
      <c r="AF123" s="59"/>
      <c r="AG123" s="59"/>
      <c r="AH123" s="59"/>
    </row>
    <row r="124">
      <c r="A124" s="49" t="s">
        <v>1779</v>
      </c>
      <c r="B124" s="50" t="s">
        <v>1780</v>
      </c>
      <c r="C124" s="50"/>
      <c r="D124" s="51">
        <v>2.016965658E9</v>
      </c>
      <c r="E124" s="50" t="s">
        <v>1781</v>
      </c>
      <c r="F124" s="50"/>
      <c r="G124" s="50" t="s">
        <v>1528</v>
      </c>
      <c r="H124" s="50" t="s">
        <v>1053</v>
      </c>
      <c r="I124" s="50">
        <v>7631.0</v>
      </c>
      <c r="J124" s="50" t="s">
        <v>752</v>
      </c>
      <c r="K124" s="50" t="s">
        <v>66</v>
      </c>
      <c r="L124" s="50" t="s">
        <v>1355</v>
      </c>
      <c r="M124" s="50">
        <v>145.0</v>
      </c>
      <c r="N124" s="50"/>
      <c r="O124" s="52" t="s">
        <v>446</v>
      </c>
      <c r="P124" s="53">
        <v>45883.0</v>
      </c>
      <c r="Q124" s="50"/>
      <c r="R124" s="50"/>
      <c r="S124" s="50"/>
      <c r="T124" s="50"/>
      <c r="U124" s="50" t="s">
        <v>982</v>
      </c>
      <c r="V124" s="54" t="s">
        <v>446</v>
      </c>
      <c r="W124" s="50"/>
      <c r="X124" s="53">
        <v>45883.0</v>
      </c>
      <c r="Y124" s="50"/>
      <c r="Z124" s="50"/>
      <c r="AA124" s="50"/>
      <c r="AB124" s="50"/>
      <c r="AC124" s="50"/>
      <c r="AD124" s="50"/>
      <c r="AE124" s="53"/>
      <c r="AF124" s="53"/>
      <c r="AG124" s="53"/>
      <c r="AH124" s="53"/>
    </row>
    <row r="125">
      <c r="A125" s="55" t="s">
        <v>1782</v>
      </c>
      <c r="B125" s="56" t="s">
        <v>1783</v>
      </c>
      <c r="C125" s="56" t="s">
        <v>1784</v>
      </c>
      <c r="D125" s="57">
        <v>1.8472871066E10</v>
      </c>
      <c r="E125" s="56" t="s">
        <v>1785</v>
      </c>
      <c r="F125" s="56"/>
      <c r="G125" s="56" t="s">
        <v>1786</v>
      </c>
      <c r="H125" s="56" t="s">
        <v>1019</v>
      </c>
      <c r="I125" s="56">
        <v>60657.0</v>
      </c>
      <c r="J125" s="56" t="s">
        <v>752</v>
      </c>
      <c r="K125" s="56" t="s">
        <v>95</v>
      </c>
      <c r="L125" s="56" t="s">
        <v>1361</v>
      </c>
      <c r="M125" s="56">
        <v>49.0</v>
      </c>
      <c r="N125" s="56" t="s">
        <v>52</v>
      </c>
      <c r="O125" s="58" t="s">
        <v>168</v>
      </c>
      <c r="P125" s="59">
        <v>45883.0</v>
      </c>
      <c r="Q125" s="56" t="s">
        <v>1030</v>
      </c>
      <c r="R125" s="56"/>
      <c r="S125" s="56" t="s">
        <v>52</v>
      </c>
      <c r="T125" s="56" t="s">
        <v>52</v>
      </c>
      <c r="U125" s="56" t="s">
        <v>1039</v>
      </c>
      <c r="V125" s="60" t="s">
        <v>168</v>
      </c>
      <c r="W125" s="56"/>
      <c r="X125" s="59">
        <v>45883.0</v>
      </c>
      <c r="Y125" s="56" t="s">
        <v>1030</v>
      </c>
      <c r="Z125" s="56"/>
      <c r="AA125" s="56"/>
      <c r="AB125" s="56" t="s">
        <v>52</v>
      </c>
      <c r="AC125" s="56" t="s">
        <v>1787</v>
      </c>
      <c r="AD125" s="56"/>
      <c r="AE125" s="59"/>
      <c r="AF125" s="59"/>
      <c r="AG125" s="59"/>
      <c r="AH125" s="59"/>
    </row>
    <row r="126">
      <c r="A126" s="49" t="s">
        <v>1788</v>
      </c>
      <c r="B126" s="50" t="s">
        <v>1789</v>
      </c>
      <c r="C126" s="50" t="s">
        <v>1790</v>
      </c>
      <c r="D126" s="51">
        <v>8.454439805E9</v>
      </c>
      <c r="E126" s="50" t="s">
        <v>1791</v>
      </c>
      <c r="F126" s="50"/>
      <c r="G126" s="50" t="s">
        <v>1792</v>
      </c>
      <c r="H126" s="50" t="s">
        <v>1053</v>
      </c>
      <c r="I126" s="50">
        <v>7030.0</v>
      </c>
      <c r="J126" s="50" t="s">
        <v>752</v>
      </c>
      <c r="K126" s="50" t="s">
        <v>51</v>
      </c>
      <c r="L126" s="50" t="s">
        <v>1152</v>
      </c>
      <c r="M126" s="50">
        <v>1.0</v>
      </c>
      <c r="N126" s="50" t="s">
        <v>52</v>
      </c>
      <c r="O126" s="52" t="s">
        <v>1793</v>
      </c>
      <c r="P126" s="53">
        <v>45883.0</v>
      </c>
      <c r="Q126" s="50" t="s">
        <v>1030</v>
      </c>
      <c r="R126" s="50"/>
      <c r="S126" s="50" t="s">
        <v>52</v>
      </c>
      <c r="T126" s="50" t="s">
        <v>52</v>
      </c>
      <c r="U126" s="50" t="s">
        <v>1794</v>
      </c>
      <c r="V126" s="54" t="s">
        <v>1793</v>
      </c>
      <c r="W126" s="50"/>
      <c r="X126" s="53">
        <v>45883.0</v>
      </c>
      <c r="Y126" s="50" t="s">
        <v>1030</v>
      </c>
      <c r="Z126" s="50"/>
      <c r="AA126" s="50"/>
      <c r="AB126" s="50" t="s">
        <v>52</v>
      </c>
      <c r="AC126" s="50"/>
      <c r="AD126" s="50"/>
      <c r="AE126" s="53"/>
      <c r="AF126" s="53"/>
      <c r="AG126" s="53"/>
      <c r="AH126" s="53"/>
    </row>
    <row r="127">
      <c r="A127" s="55" t="s">
        <v>1795</v>
      </c>
      <c r="B127" s="56" t="s">
        <v>1796</v>
      </c>
      <c r="C127" s="56" t="s">
        <v>1797</v>
      </c>
      <c r="D127" s="57">
        <v>1.917626254E10</v>
      </c>
      <c r="E127" s="56" t="s">
        <v>1798</v>
      </c>
      <c r="F127" s="56"/>
      <c r="G127" s="56" t="s">
        <v>1799</v>
      </c>
      <c r="H127" s="56" t="s">
        <v>1053</v>
      </c>
      <c r="I127" s="56">
        <v>7670.0</v>
      </c>
      <c r="J127" s="56" t="s">
        <v>752</v>
      </c>
      <c r="K127" s="56" t="s">
        <v>66</v>
      </c>
      <c r="L127" s="56" t="s">
        <v>1340</v>
      </c>
      <c r="M127" s="56">
        <v>210.0</v>
      </c>
      <c r="N127" s="56"/>
      <c r="O127" s="58" t="s">
        <v>1800</v>
      </c>
      <c r="P127" s="59">
        <v>45883.0</v>
      </c>
      <c r="Q127" s="56"/>
      <c r="R127" s="56"/>
      <c r="S127" s="56"/>
      <c r="T127" s="56"/>
      <c r="U127" s="56" t="s">
        <v>1249</v>
      </c>
      <c r="V127" s="60" t="s">
        <v>1800</v>
      </c>
      <c r="W127" s="56"/>
      <c r="X127" s="59">
        <v>45883.0</v>
      </c>
      <c r="Y127" s="56"/>
      <c r="Z127" s="56"/>
      <c r="AA127" s="56"/>
      <c r="AB127" s="56"/>
      <c r="AC127" s="56"/>
      <c r="AD127" s="56"/>
      <c r="AE127" s="59"/>
      <c r="AF127" s="59"/>
      <c r="AG127" s="59"/>
      <c r="AH127" s="59"/>
    </row>
    <row r="128">
      <c r="A128" s="49" t="s">
        <v>1801</v>
      </c>
      <c r="B128" s="50" t="s">
        <v>1802</v>
      </c>
      <c r="C128" s="50"/>
      <c r="D128" s="51">
        <v>6.156090081E9</v>
      </c>
      <c r="E128" s="50" t="s">
        <v>1803</v>
      </c>
      <c r="F128" s="50"/>
      <c r="G128" s="50" t="s">
        <v>1804</v>
      </c>
      <c r="H128" s="50" t="s">
        <v>1598</v>
      </c>
      <c r="I128" s="50">
        <v>37204.0</v>
      </c>
      <c r="J128" s="50" t="s">
        <v>752</v>
      </c>
      <c r="K128" s="50" t="s">
        <v>66</v>
      </c>
      <c r="L128" s="50" t="s">
        <v>1355</v>
      </c>
      <c r="M128" s="50">
        <v>145.0</v>
      </c>
      <c r="N128" s="50"/>
      <c r="O128" s="52" t="s">
        <v>1805</v>
      </c>
      <c r="P128" s="53">
        <v>45883.0</v>
      </c>
      <c r="Q128" s="50"/>
      <c r="R128" s="50"/>
      <c r="S128" s="50"/>
      <c r="T128" s="50"/>
      <c r="U128" s="50" t="s">
        <v>1407</v>
      </c>
      <c r="V128" s="54" t="s">
        <v>1805</v>
      </c>
      <c r="W128" s="50"/>
      <c r="X128" s="53">
        <v>45883.0</v>
      </c>
      <c r="Y128" s="50"/>
      <c r="Z128" s="50"/>
      <c r="AA128" s="50"/>
      <c r="AB128" s="50"/>
      <c r="AC128" s="50"/>
      <c r="AD128" s="50"/>
      <c r="AE128" s="53"/>
      <c r="AF128" s="53"/>
      <c r="AG128" s="53"/>
      <c r="AH128" s="53"/>
    </row>
    <row r="129">
      <c r="A129" s="55" t="s">
        <v>1801</v>
      </c>
      <c r="B129" s="56" t="s">
        <v>1802</v>
      </c>
      <c r="C129" s="56"/>
      <c r="D129" s="57">
        <v>6.156090081E9</v>
      </c>
      <c r="E129" s="56" t="s">
        <v>1803</v>
      </c>
      <c r="F129" s="56"/>
      <c r="G129" s="56" t="s">
        <v>1804</v>
      </c>
      <c r="H129" s="56" t="s">
        <v>1598</v>
      </c>
      <c r="I129" s="56">
        <v>37204.0</v>
      </c>
      <c r="J129" s="56" t="s">
        <v>752</v>
      </c>
      <c r="K129" s="56" t="s">
        <v>51</v>
      </c>
      <c r="L129" s="56" t="s">
        <v>1152</v>
      </c>
      <c r="M129" s="56">
        <v>1.0</v>
      </c>
      <c r="N129" s="56" t="s">
        <v>52</v>
      </c>
      <c r="O129" s="58" t="s">
        <v>1806</v>
      </c>
      <c r="P129" s="59">
        <v>45883.0</v>
      </c>
      <c r="Q129" s="56" t="s">
        <v>1030</v>
      </c>
      <c r="R129" s="56"/>
      <c r="S129" s="56" t="s">
        <v>52</v>
      </c>
      <c r="T129" s="56" t="s">
        <v>52</v>
      </c>
      <c r="U129" s="56" t="s">
        <v>1407</v>
      </c>
      <c r="V129" s="60" t="s">
        <v>1806</v>
      </c>
      <c r="W129" s="56"/>
      <c r="X129" s="59">
        <v>45883.0</v>
      </c>
      <c r="Y129" s="56" t="s">
        <v>1030</v>
      </c>
      <c r="Z129" s="56"/>
      <c r="AA129" s="56"/>
      <c r="AB129" s="56" t="s">
        <v>52</v>
      </c>
      <c r="AC129" s="56"/>
      <c r="AD129" s="56"/>
      <c r="AE129" s="59"/>
      <c r="AF129" s="59"/>
      <c r="AG129" s="59"/>
      <c r="AH129" s="59"/>
    </row>
    <row r="130">
      <c r="A130" s="61"/>
      <c r="B130" s="61"/>
      <c r="C130" s="61"/>
      <c r="D130" s="62"/>
      <c r="E130" s="61"/>
      <c r="F130" s="61"/>
      <c r="G130" s="61"/>
      <c r="H130" s="61"/>
      <c r="I130" s="61"/>
      <c r="J130" s="61"/>
      <c r="K130" s="61"/>
      <c r="L130" s="61"/>
      <c r="M130" s="61"/>
      <c r="N130" s="61"/>
      <c r="O130" s="63"/>
      <c r="P130" s="61"/>
      <c r="Q130" s="61"/>
      <c r="R130" s="61"/>
      <c r="S130" s="61"/>
      <c r="T130" s="61"/>
      <c r="U130" s="61"/>
      <c r="V130" s="64"/>
      <c r="W130" s="61"/>
      <c r="X130" s="61"/>
      <c r="Y130" s="61"/>
      <c r="Z130" s="61"/>
      <c r="AA130" s="61"/>
      <c r="AB130" s="61"/>
      <c r="AC130" s="61"/>
      <c r="AD130" s="61"/>
      <c r="AE130" s="61"/>
      <c r="AF130" s="61"/>
      <c r="AG130" s="61"/>
      <c r="AH130" s="61"/>
    </row>
    <row r="131">
      <c r="A131" s="65"/>
      <c r="B131" s="65"/>
      <c r="C131" s="65"/>
      <c r="D131" s="66"/>
      <c r="E131" s="65"/>
      <c r="F131" s="65"/>
      <c r="G131" s="65"/>
      <c r="H131" s="65"/>
      <c r="I131" s="65"/>
      <c r="J131" s="65"/>
      <c r="K131" s="65"/>
      <c r="L131" s="65"/>
      <c r="M131" s="65"/>
      <c r="N131" s="65"/>
      <c r="O131" s="67"/>
      <c r="P131" s="65"/>
      <c r="Q131" s="65"/>
      <c r="R131" s="65"/>
      <c r="S131" s="65"/>
      <c r="T131" s="65"/>
      <c r="U131" s="65"/>
      <c r="V131" s="68"/>
      <c r="W131" s="65"/>
      <c r="X131" s="65"/>
      <c r="Y131" s="65"/>
      <c r="Z131" s="65"/>
      <c r="AA131" s="65"/>
      <c r="AB131" s="65"/>
      <c r="AC131" s="65"/>
      <c r="AD131" s="65"/>
      <c r="AE131" s="65"/>
      <c r="AF131" s="65"/>
      <c r="AG131" s="65"/>
      <c r="AH131" s="65"/>
    </row>
    <row r="132">
      <c r="A132" s="61"/>
      <c r="B132" s="61"/>
      <c r="C132" s="61"/>
      <c r="D132" s="62"/>
      <c r="E132" s="61"/>
      <c r="F132" s="61"/>
      <c r="G132" s="61"/>
      <c r="H132" s="61"/>
      <c r="I132" s="61"/>
      <c r="J132" s="61"/>
      <c r="K132" s="61"/>
      <c r="L132" s="61"/>
      <c r="M132" s="61"/>
      <c r="N132" s="61"/>
      <c r="O132" s="63"/>
      <c r="P132" s="61"/>
      <c r="Q132" s="61"/>
      <c r="R132" s="61"/>
      <c r="S132" s="61"/>
      <c r="T132" s="61"/>
      <c r="U132" s="61"/>
      <c r="V132" s="64"/>
      <c r="W132" s="61"/>
      <c r="X132" s="61"/>
      <c r="Y132" s="61"/>
      <c r="Z132" s="61"/>
      <c r="AA132" s="61"/>
      <c r="AB132" s="61"/>
      <c r="AC132" s="61"/>
      <c r="AD132" s="61"/>
      <c r="AE132" s="61"/>
      <c r="AF132" s="61"/>
      <c r="AG132" s="61"/>
      <c r="AH132" s="61"/>
    </row>
    <row r="133">
      <c r="A133" s="65"/>
      <c r="B133" s="65"/>
      <c r="C133" s="65"/>
      <c r="D133" s="66"/>
      <c r="E133" s="65"/>
      <c r="F133" s="65"/>
      <c r="G133" s="65"/>
      <c r="H133" s="65"/>
      <c r="I133" s="65"/>
      <c r="J133" s="65"/>
      <c r="K133" s="65"/>
      <c r="L133" s="65"/>
      <c r="M133" s="65"/>
      <c r="N133" s="65"/>
      <c r="O133" s="67"/>
      <c r="P133" s="65"/>
      <c r="Q133" s="65"/>
      <c r="R133" s="65"/>
      <c r="S133" s="65"/>
      <c r="T133" s="65"/>
      <c r="U133" s="65"/>
      <c r="V133" s="68"/>
      <c r="W133" s="65"/>
      <c r="X133" s="65"/>
      <c r="Y133" s="65"/>
      <c r="Z133" s="65"/>
      <c r="AA133" s="65"/>
      <c r="AB133" s="65"/>
      <c r="AC133" s="65"/>
      <c r="AD133" s="65"/>
      <c r="AE133" s="65"/>
      <c r="AF133" s="65"/>
      <c r="AG133" s="65"/>
      <c r="AH133" s="65"/>
    </row>
    <row r="134">
      <c r="A134" s="61"/>
      <c r="B134" s="61"/>
      <c r="C134" s="61"/>
      <c r="D134" s="62"/>
      <c r="E134" s="61"/>
      <c r="F134" s="61"/>
      <c r="G134" s="61"/>
      <c r="H134" s="61"/>
      <c r="I134" s="61"/>
      <c r="J134" s="61"/>
      <c r="K134" s="61"/>
      <c r="L134" s="61"/>
      <c r="M134" s="61"/>
      <c r="N134" s="61"/>
      <c r="O134" s="63"/>
      <c r="P134" s="61"/>
      <c r="Q134" s="61"/>
      <c r="R134" s="61"/>
      <c r="S134" s="61"/>
      <c r="T134" s="61"/>
      <c r="U134" s="61"/>
      <c r="V134" s="64"/>
      <c r="W134" s="61"/>
      <c r="X134" s="61"/>
      <c r="Y134" s="61"/>
      <c r="Z134" s="61"/>
      <c r="AA134" s="61"/>
      <c r="AB134" s="61"/>
      <c r="AC134" s="61"/>
      <c r="AD134" s="61"/>
      <c r="AE134" s="61"/>
      <c r="AF134" s="61"/>
      <c r="AG134" s="61"/>
      <c r="AH134" s="61"/>
    </row>
    <row r="135">
      <c r="A135" s="65"/>
      <c r="B135" s="65"/>
      <c r="C135" s="65"/>
      <c r="D135" s="66"/>
      <c r="E135" s="65"/>
      <c r="F135" s="65"/>
      <c r="G135" s="65"/>
      <c r="H135" s="65"/>
      <c r="I135" s="65"/>
      <c r="J135" s="65"/>
      <c r="K135" s="65"/>
      <c r="L135" s="65"/>
      <c r="M135" s="65"/>
      <c r="N135" s="65"/>
      <c r="O135" s="67"/>
      <c r="P135" s="65"/>
      <c r="Q135" s="65"/>
      <c r="R135" s="65"/>
      <c r="S135" s="65"/>
      <c r="T135" s="65"/>
      <c r="U135" s="65"/>
      <c r="V135" s="68"/>
      <c r="W135" s="65"/>
      <c r="X135" s="65"/>
      <c r="Y135" s="65"/>
      <c r="Z135" s="65"/>
      <c r="AA135" s="65"/>
      <c r="AB135" s="65"/>
      <c r="AC135" s="65"/>
      <c r="AD135" s="65"/>
      <c r="AE135" s="65"/>
      <c r="AF135" s="65"/>
      <c r="AG135" s="65"/>
      <c r="AH135" s="65"/>
    </row>
    <row r="136">
      <c r="A136" s="61"/>
      <c r="B136" s="61"/>
      <c r="C136" s="61"/>
      <c r="D136" s="62"/>
      <c r="E136" s="61"/>
      <c r="F136" s="61"/>
      <c r="G136" s="61"/>
      <c r="H136" s="61"/>
      <c r="I136" s="61"/>
      <c r="J136" s="61"/>
      <c r="K136" s="61"/>
      <c r="L136" s="61"/>
      <c r="M136" s="61"/>
      <c r="N136" s="61"/>
      <c r="O136" s="63"/>
      <c r="P136" s="61"/>
      <c r="Q136" s="61"/>
      <c r="R136" s="61"/>
      <c r="S136" s="61"/>
      <c r="T136" s="61"/>
      <c r="U136" s="61"/>
      <c r="V136" s="64"/>
      <c r="W136" s="61"/>
      <c r="X136" s="61"/>
      <c r="Y136" s="61"/>
      <c r="Z136" s="61"/>
      <c r="AA136" s="61"/>
      <c r="AB136" s="61"/>
      <c r="AC136" s="61"/>
      <c r="AD136" s="61"/>
      <c r="AE136" s="61"/>
      <c r="AF136" s="61"/>
      <c r="AG136" s="61"/>
      <c r="AH136" s="61"/>
    </row>
    <row r="137">
      <c r="A137" s="65"/>
      <c r="B137" s="65"/>
      <c r="C137" s="65"/>
      <c r="D137" s="66"/>
      <c r="E137" s="65"/>
      <c r="F137" s="65"/>
      <c r="G137" s="65"/>
      <c r="H137" s="65"/>
      <c r="I137" s="65"/>
      <c r="J137" s="65"/>
      <c r="K137" s="65"/>
      <c r="L137" s="65"/>
      <c r="M137" s="65"/>
      <c r="N137" s="65"/>
      <c r="O137" s="67"/>
      <c r="P137" s="65"/>
      <c r="Q137" s="65"/>
      <c r="R137" s="65"/>
      <c r="S137" s="65"/>
      <c r="T137" s="65"/>
      <c r="U137" s="65"/>
      <c r="V137" s="68"/>
      <c r="W137" s="65"/>
      <c r="X137" s="65"/>
      <c r="Y137" s="65"/>
      <c r="Z137" s="65"/>
      <c r="AA137" s="65"/>
      <c r="AB137" s="65"/>
      <c r="AC137" s="65"/>
      <c r="AD137" s="65"/>
      <c r="AE137" s="65"/>
      <c r="AF137" s="65"/>
      <c r="AG137" s="65"/>
      <c r="AH137" s="65"/>
    </row>
    <row r="138">
      <c r="A138" s="61"/>
      <c r="B138" s="61"/>
      <c r="C138" s="61"/>
      <c r="D138" s="62"/>
      <c r="E138" s="61"/>
      <c r="F138" s="61"/>
      <c r="G138" s="61"/>
      <c r="H138" s="61"/>
      <c r="I138" s="61"/>
      <c r="J138" s="61"/>
      <c r="K138" s="61"/>
      <c r="L138" s="61"/>
      <c r="M138" s="61"/>
      <c r="N138" s="61"/>
      <c r="O138" s="63"/>
      <c r="P138" s="61"/>
      <c r="Q138" s="61"/>
      <c r="R138" s="61"/>
      <c r="S138" s="61"/>
      <c r="T138" s="61"/>
      <c r="U138" s="61"/>
      <c r="V138" s="64"/>
      <c r="W138" s="61"/>
      <c r="X138" s="61"/>
      <c r="Y138" s="61"/>
      <c r="Z138" s="61"/>
      <c r="AA138" s="61"/>
      <c r="AB138" s="61"/>
      <c r="AC138" s="61"/>
      <c r="AD138" s="61"/>
      <c r="AE138" s="61"/>
      <c r="AF138" s="61"/>
      <c r="AG138" s="61"/>
      <c r="AH138" s="61"/>
    </row>
    <row r="139">
      <c r="A139" s="65"/>
      <c r="B139" s="65"/>
      <c r="C139" s="65"/>
      <c r="D139" s="66"/>
      <c r="E139" s="65"/>
      <c r="F139" s="65"/>
      <c r="G139" s="65"/>
      <c r="H139" s="65"/>
      <c r="I139" s="65"/>
      <c r="J139" s="65"/>
      <c r="K139" s="65"/>
      <c r="L139" s="65"/>
      <c r="M139" s="65"/>
      <c r="N139" s="65"/>
      <c r="O139" s="67"/>
      <c r="P139" s="65"/>
      <c r="Q139" s="65"/>
      <c r="R139" s="65"/>
      <c r="S139" s="65"/>
      <c r="T139" s="65"/>
      <c r="U139" s="65"/>
      <c r="V139" s="68"/>
      <c r="W139" s="65"/>
      <c r="X139" s="65"/>
      <c r="Y139" s="65"/>
      <c r="Z139" s="65"/>
      <c r="AA139" s="65"/>
      <c r="AB139" s="65"/>
      <c r="AC139" s="65"/>
      <c r="AD139" s="65"/>
      <c r="AE139" s="65"/>
      <c r="AF139" s="65"/>
      <c r="AG139" s="65"/>
      <c r="AH139" s="65"/>
    </row>
    <row r="140">
      <c r="A140" s="61"/>
      <c r="B140" s="61"/>
      <c r="C140" s="61"/>
      <c r="D140" s="62"/>
      <c r="E140" s="61"/>
      <c r="F140" s="61"/>
      <c r="G140" s="61"/>
      <c r="H140" s="61"/>
      <c r="I140" s="61"/>
      <c r="J140" s="61"/>
      <c r="K140" s="61"/>
      <c r="L140" s="61"/>
      <c r="M140" s="61"/>
      <c r="N140" s="61"/>
      <c r="O140" s="63"/>
      <c r="P140" s="61"/>
      <c r="Q140" s="61"/>
      <c r="R140" s="61"/>
      <c r="S140" s="61"/>
      <c r="T140" s="61"/>
      <c r="U140" s="61"/>
      <c r="V140" s="64"/>
      <c r="W140" s="61"/>
      <c r="X140" s="61"/>
      <c r="Y140" s="61"/>
      <c r="Z140" s="61"/>
      <c r="AA140" s="61"/>
      <c r="AB140" s="61"/>
      <c r="AC140" s="61"/>
      <c r="AD140" s="61"/>
      <c r="AE140" s="61"/>
      <c r="AF140" s="61"/>
      <c r="AG140" s="61"/>
      <c r="AH140" s="61"/>
    </row>
    <row r="141">
      <c r="A141" s="65"/>
      <c r="B141" s="65"/>
      <c r="C141" s="65"/>
      <c r="D141" s="66"/>
      <c r="E141" s="65"/>
      <c r="F141" s="65"/>
      <c r="G141" s="65"/>
      <c r="H141" s="65"/>
      <c r="I141" s="65"/>
      <c r="J141" s="65"/>
      <c r="K141" s="65"/>
      <c r="L141" s="65"/>
      <c r="M141" s="65"/>
      <c r="N141" s="65"/>
      <c r="O141" s="67"/>
      <c r="P141" s="65"/>
      <c r="Q141" s="65"/>
      <c r="R141" s="65"/>
      <c r="S141" s="65"/>
      <c r="T141" s="65"/>
      <c r="U141" s="65"/>
      <c r="V141" s="68"/>
      <c r="W141" s="65"/>
      <c r="X141" s="65"/>
      <c r="Y141" s="65"/>
      <c r="Z141" s="65"/>
      <c r="AA141" s="65"/>
      <c r="AB141" s="65"/>
      <c r="AC141" s="65"/>
      <c r="AD141" s="65"/>
      <c r="AE141" s="65"/>
      <c r="AF141" s="65"/>
      <c r="AG141" s="65"/>
      <c r="AH141" s="65"/>
    </row>
    <row r="142">
      <c r="A142" s="61"/>
      <c r="B142" s="61"/>
      <c r="C142" s="61"/>
      <c r="D142" s="62"/>
      <c r="E142" s="61"/>
      <c r="F142" s="61"/>
      <c r="G142" s="61"/>
      <c r="H142" s="61"/>
      <c r="I142" s="61"/>
      <c r="J142" s="61"/>
      <c r="K142" s="61"/>
      <c r="L142" s="61"/>
      <c r="M142" s="61"/>
      <c r="N142" s="61"/>
      <c r="O142" s="63"/>
      <c r="P142" s="61"/>
      <c r="Q142" s="61"/>
      <c r="R142" s="61"/>
      <c r="S142" s="61"/>
      <c r="T142" s="61"/>
      <c r="U142" s="61"/>
      <c r="V142" s="64"/>
      <c r="W142" s="61"/>
      <c r="X142" s="61"/>
      <c r="Y142" s="61"/>
      <c r="Z142" s="61"/>
      <c r="AA142" s="61"/>
      <c r="AB142" s="61"/>
      <c r="AC142" s="61"/>
      <c r="AD142" s="61"/>
      <c r="AE142" s="61"/>
      <c r="AF142" s="61"/>
      <c r="AG142" s="61"/>
      <c r="AH142" s="61"/>
    </row>
    <row r="143">
      <c r="A143" s="65"/>
      <c r="B143" s="65"/>
      <c r="C143" s="65"/>
      <c r="D143" s="66"/>
      <c r="E143" s="65"/>
      <c r="F143" s="65"/>
      <c r="G143" s="65"/>
      <c r="H143" s="65"/>
      <c r="I143" s="65"/>
      <c r="J143" s="65"/>
      <c r="K143" s="65"/>
      <c r="L143" s="65"/>
      <c r="M143" s="65"/>
      <c r="N143" s="65"/>
      <c r="O143" s="67"/>
      <c r="P143" s="65"/>
      <c r="Q143" s="65"/>
      <c r="R143" s="65"/>
      <c r="S143" s="65"/>
      <c r="T143" s="65"/>
      <c r="U143" s="65"/>
      <c r="V143" s="68"/>
      <c r="W143" s="65"/>
      <c r="X143" s="65"/>
      <c r="Y143" s="65"/>
      <c r="Z143" s="65"/>
      <c r="AA143" s="65"/>
      <c r="AB143" s="65"/>
      <c r="AC143" s="65"/>
      <c r="AD143" s="65"/>
      <c r="AE143" s="65"/>
      <c r="AF143" s="65"/>
      <c r="AG143" s="65"/>
      <c r="AH143" s="65"/>
    </row>
    <row r="144">
      <c r="A144" s="61"/>
      <c r="B144" s="61"/>
      <c r="C144" s="61"/>
      <c r="D144" s="62"/>
      <c r="E144" s="61"/>
      <c r="F144" s="61"/>
      <c r="G144" s="61"/>
      <c r="H144" s="61"/>
      <c r="I144" s="61"/>
      <c r="J144" s="61"/>
      <c r="K144" s="61"/>
      <c r="L144" s="61"/>
      <c r="M144" s="61"/>
      <c r="N144" s="61"/>
      <c r="O144" s="63"/>
      <c r="P144" s="61"/>
      <c r="Q144" s="61"/>
      <c r="R144" s="61"/>
      <c r="S144" s="61"/>
      <c r="T144" s="61"/>
      <c r="U144" s="61"/>
      <c r="V144" s="64"/>
      <c r="W144" s="61"/>
      <c r="X144" s="61"/>
      <c r="Y144" s="61"/>
      <c r="Z144" s="61"/>
      <c r="AA144" s="61"/>
      <c r="AB144" s="61"/>
      <c r="AC144" s="61"/>
      <c r="AD144" s="61"/>
      <c r="AE144" s="61"/>
      <c r="AF144" s="61"/>
      <c r="AG144" s="61"/>
      <c r="AH144" s="61"/>
    </row>
    <row r="145">
      <c r="A145" s="65"/>
      <c r="B145" s="65"/>
      <c r="C145" s="65"/>
      <c r="D145" s="66"/>
      <c r="E145" s="65"/>
      <c r="F145" s="65"/>
      <c r="G145" s="65"/>
      <c r="H145" s="65"/>
      <c r="I145" s="65"/>
      <c r="J145" s="65"/>
      <c r="K145" s="65"/>
      <c r="L145" s="65"/>
      <c r="M145" s="65"/>
      <c r="N145" s="65"/>
      <c r="O145" s="67"/>
      <c r="P145" s="65"/>
      <c r="Q145" s="65"/>
      <c r="R145" s="65"/>
      <c r="S145" s="65"/>
      <c r="T145" s="65"/>
      <c r="U145" s="65"/>
      <c r="V145" s="68"/>
      <c r="W145" s="65"/>
      <c r="X145" s="65"/>
      <c r="Y145" s="65"/>
      <c r="Z145" s="65"/>
      <c r="AA145" s="65"/>
      <c r="AB145" s="65"/>
      <c r="AC145" s="65"/>
      <c r="AD145" s="65"/>
      <c r="AE145" s="65"/>
      <c r="AF145" s="65"/>
      <c r="AG145" s="65"/>
      <c r="AH145" s="65"/>
    </row>
    <row r="146">
      <c r="A146" s="61"/>
      <c r="B146" s="61"/>
      <c r="C146" s="61"/>
      <c r="D146" s="62"/>
      <c r="E146" s="61"/>
      <c r="F146" s="61"/>
      <c r="G146" s="61"/>
      <c r="H146" s="61"/>
      <c r="I146" s="61"/>
      <c r="J146" s="61"/>
      <c r="K146" s="61"/>
      <c r="L146" s="61"/>
      <c r="M146" s="61"/>
      <c r="N146" s="61"/>
      <c r="O146" s="63"/>
      <c r="P146" s="61"/>
      <c r="Q146" s="61"/>
      <c r="R146" s="61"/>
      <c r="S146" s="61"/>
      <c r="T146" s="61"/>
      <c r="U146" s="61"/>
      <c r="V146" s="64"/>
      <c r="W146" s="61"/>
      <c r="X146" s="61"/>
      <c r="Y146" s="61"/>
      <c r="Z146" s="61"/>
      <c r="AA146" s="61"/>
      <c r="AB146" s="61"/>
      <c r="AC146" s="61"/>
      <c r="AD146" s="61"/>
      <c r="AE146" s="61"/>
      <c r="AF146" s="61"/>
      <c r="AG146" s="61"/>
      <c r="AH146" s="61"/>
    </row>
    <row r="147">
      <c r="A147" s="65"/>
      <c r="B147" s="65"/>
      <c r="C147" s="65"/>
      <c r="D147" s="66"/>
      <c r="E147" s="65"/>
      <c r="F147" s="65"/>
      <c r="G147" s="65"/>
      <c r="H147" s="65"/>
      <c r="I147" s="65"/>
      <c r="J147" s="65"/>
      <c r="K147" s="65"/>
      <c r="L147" s="65"/>
      <c r="M147" s="65"/>
      <c r="N147" s="65"/>
      <c r="O147" s="67"/>
      <c r="P147" s="65"/>
      <c r="Q147" s="65"/>
      <c r="R147" s="65"/>
      <c r="S147" s="65"/>
      <c r="T147" s="65"/>
      <c r="U147" s="65"/>
      <c r="V147" s="68"/>
      <c r="W147" s="65"/>
      <c r="X147" s="65"/>
      <c r="Y147" s="65"/>
      <c r="Z147" s="65"/>
      <c r="AA147" s="65"/>
      <c r="AB147" s="65"/>
      <c r="AC147" s="65"/>
      <c r="AD147" s="65"/>
      <c r="AE147" s="65"/>
      <c r="AF147" s="65"/>
      <c r="AG147" s="65"/>
      <c r="AH147" s="65"/>
    </row>
    <row r="148">
      <c r="A148" s="61"/>
      <c r="B148" s="61"/>
      <c r="C148" s="61"/>
      <c r="D148" s="62"/>
      <c r="E148" s="61"/>
      <c r="F148" s="61"/>
      <c r="G148" s="61"/>
      <c r="H148" s="61"/>
      <c r="I148" s="61"/>
      <c r="J148" s="61"/>
      <c r="K148" s="61"/>
      <c r="L148" s="61"/>
      <c r="M148" s="61"/>
      <c r="N148" s="61"/>
      <c r="O148" s="63"/>
      <c r="P148" s="61"/>
      <c r="Q148" s="61"/>
      <c r="R148" s="61"/>
      <c r="S148" s="61"/>
      <c r="T148" s="61"/>
      <c r="U148" s="61"/>
      <c r="V148" s="64"/>
      <c r="W148" s="61"/>
      <c r="X148" s="61"/>
      <c r="Y148" s="61"/>
      <c r="Z148" s="61"/>
      <c r="AA148" s="61"/>
      <c r="AB148" s="61"/>
      <c r="AC148" s="61"/>
      <c r="AD148" s="61"/>
      <c r="AE148" s="61"/>
      <c r="AF148" s="61"/>
      <c r="AG148" s="61"/>
      <c r="AH148" s="61"/>
    </row>
    <row r="149">
      <c r="A149" s="65"/>
      <c r="B149" s="65"/>
      <c r="C149" s="65"/>
      <c r="D149" s="66"/>
      <c r="E149" s="65"/>
      <c r="F149" s="65"/>
      <c r="G149" s="65"/>
      <c r="H149" s="65"/>
      <c r="I149" s="65"/>
      <c r="J149" s="65"/>
      <c r="K149" s="65"/>
      <c r="L149" s="65"/>
      <c r="M149" s="65"/>
      <c r="N149" s="65"/>
      <c r="O149" s="67"/>
      <c r="P149" s="65"/>
      <c r="Q149" s="65"/>
      <c r="R149" s="65"/>
      <c r="S149" s="65"/>
      <c r="T149" s="65"/>
      <c r="U149" s="65"/>
      <c r="V149" s="68"/>
      <c r="W149" s="65"/>
      <c r="X149" s="65"/>
      <c r="Y149" s="65"/>
      <c r="Z149" s="65"/>
      <c r="AA149" s="65"/>
      <c r="AB149" s="65"/>
      <c r="AC149" s="65"/>
      <c r="AD149" s="65"/>
      <c r="AE149" s="65"/>
      <c r="AF149" s="65"/>
      <c r="AG149" s="65"/>
      <c r="AH149" s="65"/>
    </row>
    <row r="150">
      <c r="A150" s="61"/>
      <c r="B150" s="61"/>
      <c r="C150" s="61"/>
      <c r="D150" s="62"/>
      <c r="E150" s="61"/>
      <c r="F150" s="61"/>
      <c r="G150" s="61"/>
      <c r="H150" s="61"/>
      <c r="I150" s="61"/>
      <c r="J150" s="61"/>
      <c r="K150" s="61"/>
      <c r="L150" s="61"/>
      <c r="M150" s="61"/>
      <c r="N150" s="61"/>
      <c r="O150" s="63"/>
      <c r="P150" s="61"/>
      <c r="Q150" s="61"/>
      <c r="R150" s="61"/>
      <c r="S150" s="61"/>
      <c r="T150" s="61"/>
      <c r="U150" s="61"/>
      <c r="V150" s="64"/>
      <c r="W150" s="61"/>
      <c r="X150" s="61"/>
      <c r="Y150" s="61"/>
      <c r="Z150" s="61"/>
      <c r="AA150" s="61"/>
      <c r="AB150" s="61"/>
      <c r="AC150" s="61"/>
      <c r="AD150" s="61"/>
      <c r="AE150" s="61"/>
      <c r="AF150" s="61"/>
      <c r="AG150" s="61"/>
      <c r="AH150" s="61"/>
    </row>
    <row r="151">
      <c r="A151" s="65"/>
      <c r="B151" s="65"/>
      <c r="C151" s="65"/>
      <c r="D151" s="66"/>
      <c r="E151" s="65"/>
      <c r="F151" s="65"/>
      <c r="G151" s="65"/>
      <c r="H151" s="65"/>
      <c r="I151" s="65"/>
      <c r="J151" s="65"/>
      <c r="K151" s="65"/>
      <c r="L151" s="65"/>
      <c r="M151" s="65"/>
      <c r="N151" s="65"/>
      <c r="O151" s="67"/>
      <c r="P151" s="65"/>
      <c r="Q151" s="65"/>
      <c r="R151" s="65"/>
      <c r="S151" s="65"/>
      <c r="T151" s="65"/>
      <c r="U151" s="65"/>
      <c r="V151" s="68"/>
      <c r="W151" s="65"/>
      <c r="X151" s="65"/>
      <c r="Y151" s="65"/>
      <c r="Z151" s="65"/>
      <c r="AA151" s="65"/>
      <c r="AB151" s="65"/>
      <c r="AC151" s="65"/>
      <c r="AD151" s="65"/>
      <c r="AE151" s="65"/>
      <c r="AF151" s="65"/>
      <c r="AG151" s="65"/>
      <c r="AH151" s="65"/>
    </row>
    <row r="152">
      <c r="A152" s="61"/>
      <c r="B152" s="61"/>
      <c r="C152" s="61"/>
      <c r="D152" s="62"/>
      <c r="E152" s="61"/>
      <c r="F152" s="61"/>
      <c r="G152" s="61"/>
      <c r="H152" s="61"/>
      <c r="I152" s="61"/>
      <c r="J152" s="61"/>
      <c r="K152" s="61"/>
      <c r="L152" s="61"/>
      <c r="M152" s="61"/>
      <c r="N152" s="61"/>
      <c r="O152" s="63"/>
      <c r="P152" s="61"/>
      <c r="Q152" s="61"/>
      <c r="R152" s="61"/>
      <c r="S152" s="61"/>
      <c r="T152" s="61"/>
      <c r="U152" s="61"/>
      <c r="V152" s="64"/>
      <c r="W152" s="61"/>
      <c r="X152" s="61"/>
      <c r="Y152" s="61"/>
      <c r="Z152" s="61"/>
      <c r="AA152" s="61"/>
      <c r="AB152" s="61"/>
      <c r="AC152" s="61"/>
      <c r="AD152" s="61"/>
      <c r="AE152" s="61"/>
      <c r="AF152" s="61"/>
      <c r="AG152" s="61"/>
      <c r="AH152" s="61"/>
    </row>
    <row r="153">
      <c r="A153" s="65"/>
      <c r="B153" s="65"/>
      <c r="C153" s="65"/>
      <c r="D153" s="66"/>
      <c r="E153" s="65"/>
      <c r="F153" s="65"/>
      <c r="G153" s="65"/>
      <c r="H153" s="65"/>
      <c r="I153" s="65"/>
      <c r="J153" s="65"/>
      <c r="K153" s="65"/>
      <c r="L153" s="65"/>
      <c r="M153" s="65"/>
      <c r="N153" s="65"/>
      <c r="O153" s="67"/>
      <c r="P153" s="65"/>
      <c r="Q153" s="65"/>
      <c r="R153" s="65"/>
      <c r="S153" s="65"/>
      <c r="T153" s="65"/>
      <c r="U153" s="65"/>
      <c r="V153" s="68"/>
      <c r="W153" s="65"/>
      <c r="X153" s="65"/>
      <c r="Y153" s="65"/>
      <c r="Z153" s="65"/>
      <c r="AA153" s="65"/>
      <c r="AB153" s="65"/>
      <c r="AC153" s="65"/>
      <c r="AD153" s="65"/>
      <c r="AE153" s="65"/>
      <c r="AF153" s="65"/>
      <c r="AG153" s="65"/>
      <c r="AH153" s="65"/>
    </row>
    <row r="154">
      <c r="A154" s="61"/>
      <c r="B154" s="61"/>
      <c r="C154" s="61"/>
      <c r="D154" s="62"/>
      <c r="E154" s="61"/>
      <c r="F154" s="61"/>
      <c r="G154" s="61"/>
      <c r="H154" s="61"/>
      <c r="I154" s="61"/>
      <c r="J154" s="61"/>
      <c r="K154" s="61"/>
      <c r="L154" s="61"/>
      <c r="M154" s="61"/>
      <c r="N154" s="61"/>
      <c r="O154" s="63"/>
      <c r="P154" s="61"/>
      <c r="Q154" s="61"/>
      <c r="R154" s="61"/>
      <c r="S154" s="61"/>
      <c r="T154" s="61"/>
      <c r="U154" s="61"/>
      <c r="V154" s="64"/>
      <c r="W154" s="61"/>
      <c r="X154" s="61"/>
      <c r="Y154" s="61"/>
      <c r="Z154" s="61"/>
      <c r="AA154" s="61"/>
      <c r="AB154" s="61"/>
      <c r="AC154" s="61"/>
      <c r="AD154" s="61"/>
      <c r="AE154" s="61"/>
      <c r="AF154" s="61"/>
      <c r="AG154" s="61"/>
      <c r="AH154" s="61"/>
    </row>
    <row r="155">
      <c r="A155" s="65"/>
      <c r="B155" s="65"/>
      <c r="C155" s="65"/>
      <c r="D155" s="66"/>
      <c r="E155" s="65"/>
      <c r="F155" s="65"/>
      <c r="G155" s="65"/>
      <c r="H155" s="65"/>
      <c r="I155" s="65"/>
      <c r="J155" s="65"/>
      <c r="K155" s="65"/>
      <c r="L155" s="65"/>
      <c r="M155" s="65"/>
      <c r="N155" s="65"/>
      <c r="O155" s="67"/>
      <c r="P155" s="65"/>
      <c r="Q155" s="65"/>
      <c r="R155" s="65"/>
      <c r="S155" s="65"/>
      <c r="T155" s="65"/>
      <c r="U155" s="65"/>
      <c r="V155" s="68"/>
      <c r="W155" s="65"/>
      <c r="X155" s="65"/>
      <c r="Y155" s="65"/>
      <c r="Z155" s="65"/>
      <c r="AA155" s="65"/>
      <c r="AB155" s="65"/>
      <c r="AC155" s="65"/>
      <c r="AD155" s="65"/>
      <c r="AE155" s="65"/>
      <c r="AF155" s="65"/>
      <c r="AG155" s="65"/>
      <c r="AH155" s="65"/>
    </row>
    <row r="156">
      <c r="A156" s="61"/>
      <c r="B156" s="61"/>
      <c r="C156" s="61"/>
      <c r="D156" s="62"/>
      <c r="E156" s="61"/>
      <c r="F156" s="61"/>
      <c r="G156" s="61"/>
      <c r="H156" s="61"/>
      <c r="I156" s="61"/>
      <c r="J156" s="61"/>
      <c r="K156" s="61"/>
      <c r="L156" s="61"/>
      <c r="M156" s="61"/>
      <c r="N156" s="61"/>
      <c r="O156" s="63"/>
      <c r="P156" s="61"/>
      <c r="Q156" s="61"/>
      <c r="R156" s="61"/>
      <c r="S156" s="61"/>
      <c r="T156" s="61"/>
      <c r="U156" s="61"/>
      <c r="V156" s="64"/>
      <c r="W156" s="61"/>
      <c r="X156" s="61"/>
      <c r="Y156" s="61"/>
      <c r="Z156" s="61"/>
      <c r="AA156" s="61"/>
      <c r="AB156" s="61"/>
      <c r="AC156" s="61"/>
      <c r="AD156" s="61"/>
      <c r="AE156" s="61"/>
      <c r="AF156" s="61"/>
      <c r="AG156" s="61"/>
      <c r="AH156" s="61"/>
    </row>
    <row r="157">
      <c r="A157" s="65"/>
      <c r="B157" s="65"/>
      <c r="C157" s="65"/>
      <c r="D157" s="66"/>
      <c r="E157" s="65"/>
      <c r="F157" s="65"/>
      <c r="G157" s="65"/>
      <c r="H157" s="65"/>
      <c r="I157" s="65"/>
      <c r="J157" s="65"/>
      <c r="K157" s="65"/>
      <c r="L157" s="65"/>
      <c r="M157" s="65"/>
      <c r="N157" s="65"/>
      <c r="O157" s="67"/>
      <c r="P157" s="65"/>
      <c r="Q157" s="65"/>
      <c r="R157" s="65"/>
      <c r="S157" s="65"/>
      <c r="T157" s="65"/>
      <c r="U157" s="65"/>
      <c r="V157" s="68"/>
      <c r="W157" s="65"/>
      <c r="X157" s="65"/>
      <c r="Y157" s="65"/>
      <c r="Z157" s="65"/>
      <c r="AA157" s="65"/>
      <c r="AB157" s="65"/>
      <c r="AC157" s="65"/>
      <c r="AD157" s="65"/>
      <c r="AE157" s="65"/>
      <c r="AF157" s="65"/>
      <c r="AG157" s="65"/>
      <c r="AH157" s="65"/>
    </row>
    <row r="158">
      <c r="A158" s="61"/>
      <c r="B158" s="61"/>
      <c r="C158" s="61"/>
      <c r="D158" s="62"/>
      <c r="E158" s="61"/>
      <c r="F158" s="61"/>
      <c r="G158" s="61"/>
      <c r="H158" s="61"/>
      <c r="I158" s="61"/>
      <c r="J158" s="61"/>
      <c r="K158" s="61"/>
      <c r="L158" s="61"/>
      <c r="M158" s="61"/>
      <c r="N158" s="61"/>
      <c r="O158" s="63"/>
      <c r="P158" s="61"/>
      <c r="Q158" s="61"/>
      <c r="R158" s="61"/>
      <c r="S158" s="61"/>
      <c r="T158" s="61"/>
      <c r="U158" s="61"/>
      <c r="V158" s="64"/>
      <c r="W158" s="61"/>
      <c r="X158" s="61"/>
      <c r="Y158" s="61"/>
      <c r="Z158" s="61"/>
      <c r="AA158" s="61"/>
      <c r="AB158" s="61"/>
      <c r="AC158" s="61"/>
      <c r="AD158" s="61"/>
      <c r="AE158" s="61"/>
      <c r="AF158" s="61"/>
      <c r="AG158" s="61"/>
      <c r="AH158" s="61"/>
    </row>
    <row r="159">
      <c r="A159" s="65"/>
      <c r="B159" s="65"/>
      <c r="C159" s="65"/>
      <c r="D159" s="66"/>
      <c r="E159" s="65"/>
      <c r="F159" s="65"/>
      <c r="G159" s="65"/>
      <c r="H159" s="65"/>
      <c r="I159" s="65"/>
      <c r="J159" s="65"/>
      <c r="K159" s="65"/>
      <c r="L159" s="65"/>
      <c r="M159" s="65"/>
      <c r="N159" s="65"/>
      <c r="O159" s="67"/>
      <c r="P159" s="65"/>
      <c r="Q159" s="65"/>
      <c r="R159" s="65"/>
      <c r="S159" s="65"/>
      <c r="T159" s="65"/>
      <c r="U159" s="65"/>
      <c r="V159" s="68"/>
      <c r="W159" s="65"/>
      <c r="X159" s="65"/>
      <c r="Y159" s="65"/>
      <c r="Z159" s="65"/>
      <c r="AA159" s="65"/>
      <c r="AB159" s="65"/>
      <c r="AC159" s="65"/>
      <c r="AD159" s="65"/>
      <c r="AE159" s="65"/>
      <c r="AF159" s="65"/>
      <c r="AG159" s="65"/>
      <c r="AH159" s="65"/>
    </row>
    <row r="160">
      <c r="A160" s="61"/>
      <c r="B160" s="61"/>
      <c r="C160" s="61"/>
      <c r="D160" s="62"/>
      <c r="E160" s="61"/>
      <c r="F160" s="61"/>
      <c r="G160" s="61"/>
      <c r="H160" s="61"/>
      <c r="I160" s="61"/>
      <c r="J160" s="61"/>
      <c r="K160" s="61"/>
      <c r="L160" s="61"/>
      <c r="M160" s="61"/>
      <c r="N160" s="61"/>
      <c r="O160" s="63"/>
      <c r="P160" s="61"/>
      <c r="Q160" s="61"/>
      <c r="R160" s="61"/>
      <c r="S160" s="61"/>
      <c r="T160" s="61"/>
      <c r="U160" s="61"/>
      <c r="V160" s="64"/>
      <c r="W160" s="61"/>
      <c r="X160" s="61"/>
      <c r="Y160" s="61"/>
      <c r="Z160" s="61"/>
      <c r="AA160" s="61"/>
      <c r="AB160" s="61"/>
      <c r="AC160" s="61"/>
      <c r="AD160" s="61"/>
      <c r="AE160" s="61"/>
      <c r="AF160" s="61"/>
      <c r="AG160" s="61"/>
      <c r="AH160" s="61"/>
    </row>
    <row r="161">
      <c r="A161" s="65"/>
      <c r="B161" s="65"/>
      <c r="C161" s="65"/>
      <c r="D161" s="66"/>
      <c r="E161" s="65"/>
      <c r="F161" s="65"/>
      <c r="G161" s="65"/>
      <c r="H161" s="65"/>
      <c r="I161" s="65"/>
      <c r="J161" s="65"/>
      <c r="K161" s="65"/>
      <c r="L161" s="65"/>
      <c r="M161" s="65"/>
      <c r="N161" s="65"/>
      <c r="O161" s="67"/>
      <c r="P161" s="65"/>
      <c r="Q161" s="65"/>
      <c r="R161" s="65"/>
      <c r="S161" s="65"/>
      <c r="T161" s="65"/>
      <c r="U161" s="65"/>
      <c r="V161" s="68"/>
      <c r="W161" s="65"/>
      <c r="X161" s="65"/>
      <c r="Y161" s="65"/>
      <c r="Z161" s="65"/>
      <c r="AA161" s="65"/>
      <c r="AB161" s="65"/>
      <c r="AC161" s="65"/>
      <c r="AD161" s="65"/>
      <c r="AE161" s="65"/>
      <c r="AF161" s="65"/>
      <c r="AG161" s="65"/>
      <c r="AH161" s="65"/>
    </row>
    <row r="162">
      <c r="A162" s="61"/>
      <c r="B162" s="61"/>
      <c r="C162" s="61"/>
      <c r="D162" s="62"/>
      <c r="E162" s="61"/>
      <c r="F162" s="61"/>
      <c r="G162" s="61"/>
      <c r="H162" s="61"/>
      <c r="I162" s="61"/>
      <c r="J162" s="61"/>
      <c r="K162" s="61"/>
      <c r="L162" s="61"/>
      <c r="M162" s="61"/>
      <c r="N162" s="61"/>
      <c r="O162" s="63"/>
      <c r="P162" s="61"/>
      <c r="Q162" s="61"/>
      <c r="R162" s="61"/>
      <c r="S162" s="61"/>
      <c r="T162" s="61"/>
      <c r="U162" s="61"/>
      <c r="V162" s="64"/>
      <c r="W162" s="61"/>
      <c r="X162" s="61"/>
      <c r="Y162" s="61"/>
      <c r="Z162" s="61"/>
      <c r="AA162" s="61"/>
      <c r="AB162" s="61"/>
      <c r="AC162" s="61"/>
      <c r="AD162" s="61"/>
      <c r="AE162" s="61"/>
      <c r="AF162" s="61"/>
      <c r="AG162" s="61"/>
      <c r="AH162" s="61"/>
    </row>
    <row r="163">
      <c r="A163" s="65"/>
      <c r="B163" s="65"/>
      <c r="C163" s="65"/>
      <c r="D163" s="66"/>
      <c r="E163" s="65"/>
      <c r="F163" s="65"/>
      <c r="G163" s="65"/>
      <c r="H163" s="65"/>
      <c r="I163" s="65"/>
      <c r="J163" s="65"/>
      <c r="K163" s="65"/>
      <c r="L163" s="65"/>
      <c r="M163" s="65"/>
      <c r="N163" s="65"/>
      <c r="O163" s="67"/>
      <c r="P163" s="65"/>
      <c r="Q163" s="65"/>
      <c r="R163" s="65"/>
      <c r="S163" s="65"/>
      <c r="T163" s="65"/>
      <c r="U163" s="65"/>
      <c r="V163" s="68"/>
      <c r="W163" s="65"/>
      <c r="X163" s="65"/>
      <c r="Y163" s="65"/>
      <c r="Z163" s="65"/>
      <c r="AA163" s="65"/>
      <c r="AB163" s="65"/>
      <c r="AC163" s="65"/>
      <c r="AD163" s="65"/>
      <c r="AE163" s="65"/>
      <c r="AF163" s="65"/>
      <c r="AG163" s="65"/>
      <c r="AH163" s="65"/>
    </row>
    <row r="164">
      <c r="A164" s="61"/>
      <c r="B164" s="61"/>
      <c r="C164" s="61"/>
      <c r="D164" s="62"/>
      <c r="E164" s="61"/>
      <c r="F164" s="61"/>
      <c r="G164" s="61"/>
      <c r="H164" s="61"/>
      <c r="I164" s="61"/>
      <c r="J164" s="61"/>
      <c r="K164" s="61"/>
      <c r="L164" s="61"/>
      <c r="M164" s="61"/>
      <c r="N164" s="61"/>
      <c r="O164" s="63"/>
      <c r="P164" s="61"/>
      <c r="Q164" s="61"/>
      <c r="R164" s="61"/>
      <c r="S164" s="61"/>
      <c r="T164" s="61"/>
      <c r="U164" s="61"/>
      <c r="V164" s="64"/>
      <c r="W164" s="61"/>
      <c r="X164" s="61"/>
      <c r="Y164" s="61"/>
      <c r="Z164" s="61"/>
      <c r="AA164" s="61"/>
      <c r="AB164" s="61"/>
      <c r="AC164" s="61"/>
      <c r="AD164" s="61"/>
      <c r="AE164" s="61"/>
      <c r="AF164" s="61"/>
      <c r="AG164" s="61"/>
      <c r="AH164" s="61"/>
    </row>
    <row r="165">
      <c r="A165" s="65"/>
      <c r="B165" s="65"/>
      <c r="C165" s="65"/>
      <c r="D165" s="66"/>
      <c r="E165" s="65"/>
      <c r="F165" s="65"/>
      <c r="G165" s="65"/>
      <c r="H165" s="65"/>
      <c r="I165" s="65"/>
      <c r="J165" s="65"/>
      <c r="K165" s="65"/>
      <c r="L165" s="65"/>
      <c r="M165" s="65"/>
      <c r="N165" s="65"/>
      <c r="O165" s="67"/>
      <c r="P165" s="65"/>
      <c r="Q165" s="65"/>
      <c r="R165" s="65"/>
      <c r="S165" s="65"/>
      <c r="T165" s="65"/>
      <c r="U165" s="65"/>
      <c r="V165" s="68"/>
      <c r="W165" s="65"/>
      <c r="X165" s="65"/>
      <c r="Y165" s="65"/>
      <c r="Z165" s="65"/>
      <c r="AA165" s="65"/>
      <c r="AB165" s="65"/>
      <c r="AC165" s="65"/>
      <c r="AD165" s="65"/>
      <c r="AE165" s="65"/>
      <c r="AF165" s="65"/>
      <c r="AG165" s="65"/>
      <c r="AH165" s="65"/>
    </row>
    <row r="166">
      <c r="A166" s="61"/>
      <c r="B166" s="61"/>
      <c r="C166" s="61"/>
      <c r="D166" s="62"/>
      <c r="E166" s="61"/>
      <c r="F166" s="61"/>
      <c r="G166" s="61"/>
      <c r="H166" s="61"/>
      <c r="I166" s="61"/>
      <c r="J166" s="61"/>
      <c r="K166" s="61"/>
      <c r="L166" s="61"/>
      <c r="M166" s="61"/>
      <c r="N166" s="61"/>
      <c r="O166" s="63"/>
      <c r="P166" s="61"/>
      <c r="Q166" s="61"/>
      <c r="R166" s="61"/>
      <c r="S166" s="61"/>
      <c r="T166" s="61"/>
      <c r="U166" s="61"/>
      <c r="V166" s="64"/>
      <c r="W166" s="61"/>
      <c r="X166" s="61"/>
      <c r="Y166" s="61"/>
      <c r="Z166" s="61"/>
      <c r="AA166" s="61"/>
      <c r="AB166" s="61"/>
      <c r="AC166" s="61"/>
      <c r="AD166" s="61"/>
      <c r="AE166" s="61"/>
      <c r="AF166" s="61"/>
      <c r="AG166" s="61"/>
      <c r="AH166" s="61"/>
    </row>
    <row r="167">
      <c r="A167" s="65"/>
      <c r="B167" s="65"/>
      <c r="C167" s="65"/>
      <c r="D167" s="66"/>
      <c r="E167" s="65"/>
      <c r="F167" s="65"/>
      <c r="G167" s="65"/>
      <c r="H167" s="65"/>
      <c r="I167" s="65"/>
      <c r="J167" s="65"/>
      <c r="K167" s="65"/>
      <c r="L167" s="65"/>
      <c r="M167" s="65"/>
      <c r="N167" s="65"/>
      <c r="O167" s="67"/>
      <c r="P167" s="65"/>
      <c r="Q167" s="65"/>
      <c r="R167" s="65"/>
      <c r="S167" s="65"/>
      <c r="T167" s="65"/>
      <c r="U167" s="65"/>
      <c r="V167" s="68"/>
      <c r="W167" s="65"/>
      <c r="X167" s="65"/>
      <c r="Y167" s="65"/>
      <c r="Z167" s="65"/>
      <c r="AA167" s="65"/>
      <c r="AB167" s="65"/>
      <c r="AC167" s="65"/>
      <c r="AD167" s="65"/>
      <c r="AE167" s="65"/>
      <c r="AF167" s="65"/>
      <c r="AG167" s="65"/>
      <c r="AH167" s="65"/>
    </row>
    <row r="168">
      <c r="A168" s="61"/>
      <c r="B168" s="61"/>
      <c r="C168" s="61"/>
      <c r="D168" s="62"/>
      <c r="E168" s="61"/>
      <c r="F168" s="61"/>
      <c r="G168" s="61"/>
      <c r="H168" s="61"/>
      <c r="I168" s="61"/>
      <c r="J168" s="61"/>
      <c r="K168" s="61"/>
      <c r="L168" s="61"/>
      <c r="M168" s="61"/>
      <c r="N168" s="61"/>
      <c r="O168" s="63"/>
      <c r="P168" s="61"/>
      <c r="Q168" s="61"/>
      <c r="R168" s="61"/>
      <c r="S168" s="61"/>
      <c r="T168" s="61"/>
      <c r="U168" s="61"/>
      <c r="V168" s="64"/>
      <c r="W168" s="61"/>
      <c r="X168" s="61"/>
      <c r="Y168" s="61"/>
      <c r="Z168" s="61"/>
      <c r="AA168" s="61"/>
      <c r="AB168" s="61"/>
      <c r="AC168" s="61"/>
      <c r="AD168" s="61"/>
      <c r="AE168" s="61"/>
      <c r="AF168" s="61"/>
      <c r="AG168" s="61"/>
      <c r="AH168" s="61"/>
    </row>
    <row r="169">
      <c r="A169" s="65"/>
      <c r="B169" s="65"/>
      <c r="C169" s="65"/>
      <c r="D169" s="66"/>
      <c r="E169" s="65"/>
      <c r="F169" s="65"/>
      <c r="G169" s="65"/>
      <c r="H169" s="65"/>
      <c r="I169" s="65"/>
      <c r="J169" s="65"/>
      <c r="K169" s="65"/>
      <c r="L169" s="65"/>
      <c r="M169" s="65"/>
      <c r="N169" s="65"/>
      <c r="O169" s="67"/>
      <c r="P169" s="65"/>
      <c r="Q169" s="65"/>
      <c r="R169" s="65"/>
      <c r="S169" s="65"/>
      <c r="T169" s="65"/>
      <c r="U169" s="65"/>
      <c r="V169" s="68"/>
      <c r="W169" s="65"/>
      <c r="X169" s="65"/>
      <c r="Y169" s="65"/>
      <c r="Z169" s="65"/>
      <c r="AA169" s="65"/>
      <c r="AB169" s="65"/>
      <c r="AC169" s="65"/>
      <c r="AD169" s="65"/>
      <c r="AE169" s="65"/>
      <c r="AF169" s="65"/>
      <c r="AG169" s="65"/>
      <c r="AH169" s="65"/>
    </row>
    <row r="170">
      <c r="A170" s="61"/>
      <c r="B170" s="61"/>
      <c r="C170" s="61"/>
      <c r="D170" s="62"/>
      <c r="E170" s="61"/>
      <c r="F170" s="61"/>
      <c r="G170" s="61"/>
      <c r="H170" s="61"/>
      <c r="I170" s="61"/>
      <c r="J170" s="61"/>
      <c r="K170" s="61"/>
      <c r="L170" s="61"/>
      <c r="M170" s="61"/>
      <c r="N170" s="61"/>
      <c r="O170" s="63"/>
      <c r="P170" s="61"/>
      <c r="Q170" s="61"/>
      <c r="R170" s="61"/>
      <c r="S170" s="61"/>
      <c r="T170" s="61"/>
      <c r="U170" s="61"/>
      <c r="V170" s="64"/>
      <c r="W170" s="61"/>
      <c r="X170" s="61"/>
      <c r="Y170" s="61"/>
      <c r="Z170" s="61"/>
      <c r="AA170" s="61"/>
      <c r="AB170" s="61"/>
      <c r="AC170" s="61"/>
      <c r="AD170" s="61"/>
      <c r="AE170" s="61"/>
      <c r="AF170" s="61"/>
      <c r="AG170" s="61"/>
      <c r="AH170" s="61"/>
    </row>
    <row r="171">
      <c r="A171" s="65"/>
      <c r="B171" s="65"/>
      <c r="C171" s="65"/>
      <c r="D171" s="66"/>
      <c r="E171" s="65"/>
      <c r="F171" s="65"/>
      <c r="G171" s="65"/>
      <c r="H171" s="65"/>
      <c r="I171" s="65"/>
      <c r="J171" s="65"/>
      <c r="K171" s="65"/>
      <c r="L171" s="65"/>
      <c r="M171" s="65"/>
      <c r="N171" s="65"/>
      <c r="O171" s="67"/>
      <c r="P171" s="65"/>
      <c r="Q171" s="65"/>
      <c r="R171" s="65"/>
      <c r="S171" s="65"/>
      <c r="T171" s="65"/>
      <c r="U171" s="65"/>
      <c r="V171" s="68"/>
      <c r="W171" s="65"/>
      <c r="X171" s="65"/>
      <c r="Y171" s="65"/>
      <c r="Z171" s="65"/>
      <c r="AA171" s="65"/>
      <c r="AB171" s="65"/>
      <c r="AC171" s="65"/>
      <c r="AD171" s="65"/>
      <c r="AE171" s="65"/>
      <c r="AF171" s="65"/>
      <c r="AG171" s="65"/>
      <c r="AH171" s="65"/>
    </row>
    <row r="172">
      <c r="A172" s="61"/>
      <c r="B172" s="61"/>
      <c r="C172" s="61"/>
      <c r="D172" s="62"/>
      <c r="E172" s="61"/>
      <c r="F172" s="61"/>
      <c r="G172" s="61"/>
      <c r="H172" s="61"/>
      <c r="I172" s="61"/>
      <c r="J172" s="61"/>
      <c r="K172" s="61"/>
      <c r="L172" s="61"/>
      <c r="M172" s="61"/>
      <c r="N172" s="61"/>
      <c r="O172" s="63"/>
      <c r="P172" s="61"/>
      <c r="Q172" s="61"/>
      <c r="R172" s="61"/>
      <c r="S172" s="61"/>
      <c r="T172" s="61"/>
      <c r="U172" s="61"/>
      <c r="V172" s="64"/>
      <c r="W172" s="61"/>
      <c r="X172" s="61"/>
      <c r="Y172" s="61"/>
      <c r="Z172" s="61"/>
      <c r="AA172" s="61"/>
      <c r="AB172" s="61"/>
      <c r="AC172" s="61"/>
      <c r="AD172" s="61"/>
      <c r="AE172" s="61"/>
      <c r="AF172" s="61"/>
      <c r="AG172" s="61"/>
      <c r="AH172" s="61"/>
    </row>
    <row r="173">
      <c r="A173" s="65"/>
      <c r="B173" s="65"/>
      <c r="C173" s="65"/>
      <c r="D173" s="66"/>
      <c r="E173" s="65"/>
      <c r="F173" s="65"/>
      <c r="G173" s="65"/>
      <c r="H173" s="65"/>
      <c r="I173" s="65"/>
      <c r="J173" s="65"/>
      <c r="K173" s="65"/>
      <c r="L173" s="65"/>
      <c r="M173" s="65"/>
      <c r="N173" s="65"/>
      <c r="O173" s="67"/>
      <c r="P173" s="65"/>
      <c r="Q173" s="65"/>
      <c r="R173" s="65"/>
      <c r="S173" s="65"/>
      <c r="T173" s="65"/>
      <c r="U173" s="65"/>
      <c r="V173" s="68"/>
      <c r="W173" s="65"/>
      <c r="X173" s="65"/>
      <c r="Y173" s="65"/>
      <c r="Z173" s="65"/>
      <c r="AA173" s="65"/>
      <c r="AB173" s="65"/>
      <c r="AC173" s="65"/>
      <c r="AD173" s="65"/>
      <c r="AE173" s="65"/>
      <c r="AF173" s="65"/>
      <c r="AG173" s="65"/>
      <c r="AH173" s="65"/>
    </row>
    <row r="174">
      <c r="A174" s="61"/>
      <c r="B174" s="61"/>
      <c r="C174" s="61"/>
      <c r="D174" s="62"/>
      <c r="E174" s="61"/>
      <c r="F174" s="61"/>
      <c r="G174" s="61"/>
      <c r="H174" s="61"/>
      <c r="I174" s="61"/>
      <c r="J174" s="61"/>
      <c r="K174" s="61"/>
      <c r="L174" s="61"/>
      <c r="M174" s="61"/>
      <c r="N174" s="61"/>
      <c r="O174" s="63"/>
      <c r="P174" s="61"/>
      <c r="Q174" s="61"/>
      <c r="R174" s="61"/>
      <c r="S174" s="61"/>
      <c r="T174" s="61"/>
      <c r="U174" s="61"/>
      <c r="V174" s="64"/>
      <c r="W174" s="61"/>
      <c r="X174" s="61"/>
      <c r="Y174" s="61"/>
      <c r="Z174" s="61"/>
      <c r="AA174" s="61"/>
      <c r="AB174" s="61"/>
      <c r="AC174" s="61"/>
      <c r="AD174" s="61"/>
      <c r="AE174" s="61"/>
      <c r="AF174" s="61"/>
      <c r="AG174" s="61"/>
      <c r="AH174" s="61"/>
    </row>
    <row r="175">
      <c r="A175" s="65"/>
      <c r="B175" s="65"/>
      <c r="C175" s="65"/>
      <c r="D175" s="66"/>
      <c r="E175" s="65"/>
      <c r="F175" s="65"/>
      <c r="G175" s="65"/>
      <c r="H175" s="65"/>
      <c r="I175" s="65"/>
      <c r="J175" s="65"/>
      <c r="K175" s="65"/>
      <c r="L175" s="65"/>
      <c r="M175" s="65"/>
      <c r="N175" s="65"/>
      <c r="O175" s="67"/>
      <c r="P175" s="65"/>
      <c r="Q175" s="65"/>
      <c r="R175" s="65"/>
      <c r="S175" s="65"/>
      <c r="T175" s="65"/>
      <c r="U175" s="65"/>
      <c r="V175" s="68"/>
      <c r="W175" s="65"/>
      <c r="X175" s="65"/>
      <c r="Y175" s="65"/>
      <c r="Z175" s="65"/>
      <c r="AA175" s="65"/>
      <c r="AB175" s="65"/>
      <c r="AC175" s="65"/>
      <c r="AD175" s="65"/>
      <c r="AE175" s="65"/>
      <c r="AF175" s="65"/>
      <c r="AG175" s="65"/>
      <c r="AH175" s="65"/>
    </row>
    <row r="176">
      <c r="A176" s="61"/>
      <c r="B176" s="61"/>
      <c r="C176" s="61"/>
      <c r="D176" s="62"/>
      <c r="E176" s="61"/>
      <c r="F176" s="61"/>
      <c r="G176" s="61"/>
      <c r="H176" s="61"/>
      <c r="I176" s="61"/>
      <c r="J176" s="61"/>
      <c r="K176" s="61"/>
      <c r="L176" s="61"/>
      <c r="M176" s="61"/>
      <c r="N176" s="61"/>
      <c r="O176" s="63"/>
      <c r="P176" s="61"/>
      <c r="Q176" s="61"/>
      <c r="R176" s="61"/>
      <c r="S176" s="61"/>
      <c r="T176" s="61"/>
      <c r="U176" s="61"/>
      <c r="V176" s="64"/>
      <c r="W176" s="61"/>
      <c r="X176" s="61"/>
      <c r="Y176" s="61"/>
      <c r="Z176" s="61"/>
      <c r="AA176" s="61"/>
      <c r="AB176" s="61"/>
      <c r="AC176" s="61"/>
      <c r="AD176" s="61"/>
      <c r="AE176" s="61"/>
      <c r="AF176" s="61"/>
      <c r="AG176" s="61"/>
      <c r="AH176" s="61"/>
    </row>
    <row r="177">
      <c r="A177" s="65"/>
      <c r="B177" s="65"/>
      <c r="C177" s="65"/>
      <c r="D177" s="66"/>
      <c r="E177" s="65"/>
      <c r="F177" s="65"/>
      <c r="G177" s="65"/>
      <c r="H177" s="65"/>
      <c r="I177" s="65"/>
      <c r="J177" s="65"/>
      <c r="K177" s="65"/>
      <c r="L177" s="65"/>
      <c r="M177" s="65"/>
      <c r="N177" s="65"/>
      <c r="O177" s="67"/>
      <c r="P177" s="65"/>
      <c r="Q177" s="65"/>
      <c r="R177" s="65"/>
      <c r="S177" s="65"/>
      <c r="T177" s="65"/>
      <c r="U177" s="65"/>
      <c r="V177" s="68"/>
      <c r="W177" s="65"/>
      <c r="X177" s="65"/>
      <c r="Y177" s="65"/>
      <c r="Z177" s="65"/>
      <c r="AA177" s="65"/>
      <c r="AB177" s="65"/>
      <c r="AC177" s="65"/>
      <c r="AD177" s="65"/>
      <c r="AE177" s="65"/>
      <c r="AF177" s="65"/>
      <c r="AG177" s="65"/>
      <c r="AH177" s="65"/>
    </row>
    <row r="178">
      <c r="A178" s="61"/>
      <c r="B178" s="61"/>
      <c r="C178" s="61"/>
      <c r="D178" s="62"/>
      <c r="E178" s="61"/>
      <c r="F178" s="61"/>
      <c r="G178" s="61"/>
      <c r="H178" s="61"/>
      <c r="I178" s="61"/>
      <c r="J178" s="61"/>
      <c r="K178" s="61"/>
      <c r="L178" s="61"/>
      <c r="M178" s="61"/>
      <c r="N178" s="61"/>
      <c r="O178" s="63"/>
      <c r="P178" s="61"/>
      <c r="Q178" s="61"/>
      <c r="R178" s="61"/>
      <c r="S178" s="61"/>
      <c r="T178" s="61"/>
      <c r="U178" s="61"/>
      <c r="V178" s="64"/>
      <c r="W178" s="61"/>
      <c r="X178" s="61"/>
      <c r="Y178" s="61"/>
      <c r="Z178" s="61"/>
      <c r="AA178" s="61"/>
      <c r="AB178" s="61"/>
      <c r="AC178" s="61"/>
      <c r="AD178" s="61"/>
      <c r="AE178" s="61"/>
      <c r="AF178" s="61"/>
      <c r="AG178" s="61"/>
      <c r="AH178" s="61"/>
    </row>
    <row r="179">
      <c r="A179" s="65"/>
      <c r="B179" s="65"/>
      <c r="C179" s="65"/>
      <c r="D179" s="66"/>
      <c r="E179" s="65"/>
      <c r="F179" s="65"/>
      <c r="G179" s="65"/>
      <c r="H179" s="65"/>
      <c r="I179" s="65"/>
      <c r="J179" s="65"/>
      <c r="K179" s="65"/>
      <c r="L179" s="65"/>
      <c r="M179" s="65"/>
      <c r="N179" s="65"/>
      <c r="O179" s="67"/>
      <c r="P179" s="65"/>
      <c r="Q179" s="65"/>
      <c r="R179" s="65"/>
      <c r="S179" s="65"/>
      <c r="T179" s="65"/>
      <c r="U179" s="65"/>
      <c r="V179" s="68"/>
      <c r="W179" s="65"/>
      <c r="X179" s="65"/>
      <c r="Y179" s="65"/>
      <c r="Z179" s="65"/>
      <c r="AA179" s="65"/>
      <c r="AB179" s="65"/>
      <c r="AC179" s="65"/>
      <c r="AD179" s="65"/>
      <c r="AE179" s="65"/>
      <c r="AF179" s="65"/>
      <c r="AG179" s="65"/>
      <c r="AH179" s="65"/>
    </row>
    <row r="180">
      <c r="A180" s="61"/>
      <c r="B180" s="61"/>
      <c r="C180" s="61"/>
      <c r="D180" s="62"/>
      <c r="E180" s="61"/>
      <c r="F180" s="61"/>
      <c r="G180" s="61"/>
      <c r="H180" s="61"/>
      <c r="I180" s="61"/>
      <c r="J180" s="61"/>
      <c r="K180" s="61"/>
      <c r="L180" s="61"/>
      <c r="M180" s="61"/>
      <c r="N180" s="61"/>
      <c r="O180" s="63"/>
      <c r="P180" s="61"/>
      <c r="Q180" s="61"/>
      <c r="R180" s="61"/>
      <c r="S180" s="61"/>
      <c r="T180" s="61"/>
      <c r="U180" s="61"/>
      <c r="V180" s="64"/>
      <c r="W180" s="61"/>
      <c r="X180" s="61"/>
      <c r="Y180" s="61"/>
      <c r="Z180" s="61"/>
      <c r="AA180" s="61"/>
      <c r="AB180" s="61"/>
      <c r="AC180" s="61"/>
      <c r="AD180" s="61"/>
      <c r="AE180" s="61"/>
      <c r="AF180" s="61"/>
      <c r="AG180" s="61"/>
      <c r="AH180" s="61"/>
    </row>
    <row r="181">
      <c r="A181" s="65"/>
      <c r="B181" s="65"/>
      <c r="C181" s="65"/>
      <c r="D181" s="66"/>
      <c r="E181" s="65"/>
      <c r="F181" s="65"/>
      <c r="G181" s="65"/>
      <c r="H181" s="65"/>
      <c r="I181" s="65"/>
      <c r="J181" s="65"/>
      <c r="K181" s="65"/>
      <c r="L181" s="65"/>
      <c r="M181" s="65"/>
      <c r="N181" s="65"/>
      <c r="O181" s="67"/>
      <c r="P181" s="65"/>
      <c r="Q181" s="65"/>
      <c r="R181" s="65"/>
      <c r="S181" s="65"/>
      <c r="T181" s="65"/>
      <c r="U181" s="65"/>
      <c r="V181" s="68"/>
      <c r="W181" s="65"/>
      <c r="X181" s="65"/>
      <c r="Y181" s="65"/>
      <c r="Z181" s="65"/>
      <c r="AA181" s="65"/>
      <c r="AB181" s="65"/>
      <c r="AC181" s="65"/>
      <c r="AD181" s="65"/>
      <c r="AE181" s="65"/>
      <c r="AF181" s="65"/>
      <c r="AG181" s="65"/>
      <c r="AH181" s="65"/>
    </row>
    <row r="182">
      <c r="A182" s="61"/>
      <c r="B182" s="61"/>
      <c r="C182" s="61"/>
      <c r="D182" s="62"/>
      <c r="E182" s="61"/>
      <c r="F182" s="61"/>
      <c r="G182" s="61"/>
      <c r="H182" s="61"/>
      <c r="I182" s="61"/>
      <c r="J182" s="61"/>
      <c r="K182" s="61"/>
      <c r="L182" s="61"/>
      <c r="M182" s="61"/>
      <c r="N182" s="61"/>
      <c r="O182" s="63"/>
      <c r="P182" s="61"/>
      <c r="Q182" s="61"/>
      <c r="R182" s="61"/>
      <c r="S182" s="61"/>
      <c r="T182" s="61"/>
      <c r="U182" s="61"/>
      <c r="V182" s="64"/>
      <c r="W182" s="61"/>
      <c r="X182" s="61"/>
      <c r="Y182" s="61"/>
      <c r="Z182" s="61"/>
      <c r="AA182" s="61"/>
      <c r="AB182" s="61"/>
      <c r="AC182" s="61"/>
      <c r="AD182" s="61"/>
      <c r="AE182" s="61"/>
      <c r="AF182" s="61"/>
      <c r="AG182" s="61"/>
      <c r="AH182" s="61"/>
    </row>
    <row r="183">
      <c r="A183" s="65"/>
      <c r="B183" s="65"/>
      <c r="C183" s="65"/>
      <c r="D183" s="66"/>
      <c r="E183" s="65"/>
      <c r="F183" s="65"/>
      <c r="G183" s="65"/>
      <c r="H183" s="65"/>
      <c r="I183" s="65"/>
      <c r="J183" s="65"/>
      <c r="K183" s="65"/>
      <c r="L183" s="65"/>
      <c r="M183" s="65"/>
      <c r="N183" s="65"/>
      <c r="O183" s="67"/>
      <c r="P183" s="65"/>
      <c r="Q183" s="65"/>
      <c r="R183" s="65"/>
      <c r="S183" s="65"/>
      <c r="T183" s="65"/>
      <c r="U183" s="65"/>
      <c r="V183" s="68"/>
      <c r="W183" s="65"/>
      <c r="X183" s="65"/>
      <c r="Y183" s="65"/>
      <c r="Z183" s="65"/>
      <c r="AA183" s="65"/>
      <c r="AB183" s="65"/>
      <c r="AC183" s="65"/>
      <c r="AD183" s="65"/>
      <c r="AE183" s="65"/>
      <c r="AF183" s="65"/>
      <c r="AG183" s="65"/>
      <c r="AH183" s="65"/>
    </row>
    <row r="184">
      <c r="A184" s="61"/>
      <c r="B184" s="61"/>
      <c r="C184" s="61"/>
      <c r="D184" s="62"/>
      <c r="E184" s="61"/>
      <c r="F184" s="61"/>
      <c r="G184" s="61"/>
      <c r="H184" s="61"/>
      <c r="I184" s="61"/>
      <c r="J184" s="61"/>
      <c r="K184" s="61"/>
      <c r="L184" s="61"/>
      <c r="M184" s="61"/>
      <c r="N184" s="61"/>
      <c r="O184" s="63"/>
      <c r="P184" s="61"/>
      <c r="Q184" s="61"/>
      <c r="R184" s="61"/>
      <c r="S184" s="61"/>
      <c r="T184" s="61"/>
      <c r="U184" s="61"/>
      <c r="V184" s="64"/>
      <c r="W184" s="61"/>
      <c r="X184" s="61"/>
      <c r="Y184" s="61"/>
      <c r="Z184" s="61"/>
      <c r="AA184" s="61"/>
      <c r="AB184" s="61"/>
      <c r="AC184" s="61"/>
      <c r="AD184" s="61"/>
      <c r="AE184" s="61"/>
      <c r="AF184" s="61"/>
      <c r="AG184" s="61"/>
      <c r="AH184" s="61"/>
    </row>
    <row r="185">
      <c r="A185" s="65"/>
      <c r="B185" s="65"/>
      <c r="C185" s="65"/>
      <c r="D185" s="66"/>
      <c r="E185" s="65"/>
      <c r="F185" s="65"/>
      <c r="G185" s="65"/>
      <c r="H185" s="65"/>
      <c r="I185" s="65"/>
      <c r="J185" s="65"/>
      <c r="K185" s="65"/>
      <c r="L185" s="65"/>
      <c r="M185" s="65"/>
      <c r="N185" s="65"/>
      <c r="O185" s="67"/>
      <c r="P185" s="65"/>
      <c r="Q185" s="65"/>
      <c r="R185" s="65"/>
      <c r="S185" s="65"/>
      <c r="T185" s="65"/>
      <c r="U185" s="65"/>
      <c r="V185" s="68"/>
      <c r="W185" s="65"/>
      <c r="X185" s="65"/>
      <c r="Y185" s="65"/>
      <c r="Z185" s="65"/>
      <c r="AA185" s="65"/>
      <c r="AB185" s="65"/>
      <c r="AC185" s="65"/>
      <c r="AD185" s="65"/>
      <c r="AE185" s="65"/>
      <c r="AF185" s="65"/>
      <c r="AG185" s="65"/>
      <c r="AH185" s="65"/>
    </row>
    <row r="186">
      <c r="A186" s="61"/>
      <c r="B186" s="61"/>
      <c r="C186" s="61"/>
      <c r="D186" s="62"/>
      <c r="E186" s="61"/>
      <c r="F186" s="61"/>
      <c r="G186" s="61"/>
      <c r="H186" s="61"/>
      <c r="I186" s="61"/>
      <c r="J186" s="61"/>
      <c r="K186" s="61"/>
      <c r="L186" s="61"/>
      <c r="M186" s="61"/>
      <c r="N186" s="61"/>
      <c r="O186" s="63"/>
      <c r="P186" s="61"/>
      <c r="Q186" s="61"/>
      <c r="R186" s="61"/>
      <c r="S186" s="61"/>
      <c r="T186" s="61"/>
      <c r="U186" s="61"/>
      <c r="V186" s="64"/>
      <c r="W186" s="61"/>
      <c r="X186" s="61"/>
      <c r="Y186" s="61"/>
      <c r="Z186" s="61"/>
      <c r="AA186" s="61"/>
      <c r="AB186" s="61"/>
      <c r="AC186" s="61"/>
      <c r="AD186" s="61"/>
      <c r="AE186" s="61"/>
      <c r="AF186" s="61"/>
      <c r="AG186" s="61"/>
      <c r="AH186" s="61"/>
    </row>
    <row r="187">
      <c r="A187" s="65"/>
      <c r="B187" s="65"/>
      <c r="C187" s="65"/>
      <c r="D187" s="66"/>
      <c r="E187" s="65"/>
      <c r="F187" s="65"/>
      <c r="G187" s="65"/>
      <c r="H187" s="65"/>
      <c r="I187" s="65"/>
      <c r="J187" s="65"/>
      <c r="K187" s="65"/>
      <c r="L187" s="65"/>
      <c r="M187" s="65"/>
      <c r="N187" s="65"/>
      <c r="O187" s="67"/>
      <c r="P187" s="65"/>
      <c r="Q187" s="65"/>
      <c r="R187" s="65"/>
      <c r="S187" s="65"/>
      <c r="T187" s="65"/>
      <c r="U187" s="65"/>
      <c r="V187" s="68"/>
      <c r="W187" s="65"/>
      <c r="X187" s="65"/>
      <c r="Y187" s="65"/>
      <c r="Z187" s="65"/>
      <c r="AA187" s="65"/>
      <c r="AB187" s="65"/>
      <c r="AC187" s="65"/>
      <c r="AD187" s="65"/>
      <c r="AE187" s="65"/>
      <c r="AF187" s="65"/>
      <c r="AG187" s="65"/>
      <c r="AH187" s="65"/>
    </row>
    <row r="188">
      <c r="A188" s="61"/>
      <c r="B188" s="61"/>
      <c r="C188" s="61"/>
      <c r="D188" s="62"/>
      <c r="E188" s="61"/>
      <c r="F188" s="61"/>
      <c r="G188" s="61"/>
      <c r="H188" s="61"/>
      <c r="I188" s="61"/>
      <c r="J188" s="61"/>
      <c r="K188" s="61"/>
      <c r="L188" s="61"/>
      <c r="M188" s="61"/>
      <c r="N188" s="61"/>
      <c r="O188" s="63"/>
      <c r="P188" s="61"/>
      <c r="Q188" s="61"/>
      <c r="R188" s="61"/>
      <c r="S188" s="61"/>
      <c r="T188" s="61"/>
      <c r="U188" s="61"/>
      <c r="V188" s="64"/>
      <c r="W188" s="61"/>
      <c r="X188" s="61"/>
      <c r="Y188" s="61"/>
      <c r="Z188" s="61"/>
      <c r="AA188" s="61"/>
      <c r="AB188" s="61"/>
      <c r="AC188" s="61"/>
      <c r="AD188" s="61"/>
      <c r="AE188" s="61"/>
      <c r="AF188" s="61"/>
      <c r="AG188" s="61"/>
      <c r="AH188" s="61"/>
    </row>
    <row r="189">
      <c r="A189" s="65"/>
      <c r="B189" s="65"/>
      <c r="C189" s="65"/>
      <c r="D189" s="66"/>
      <c r="E189" s="65"/>
      <c r="F189" s="65"/>
      <c r="G189" s="65"/>
      <c r="H189" s="65"/>
      <c r="I189" s="65"/>
      <c r="J189" s="65"/>
      <c r="K189" s="65"/>
      <c r="L189" s="65"/>
      <c r="M189" s="65"/>
      <c r="N189" s="65"/>
      <c r="O189" s="67"/>
      <c r="P189" s="65"/>
      <c r="Q189" s="65"/>
      <c r="R189" s="65"/>
      <c r="S189" s="65"/>
      <c r="T189" s="65"/>
      <c r="U189" s="65"/>
      <c r="V189" s="68"/>
      <c r="W189" s="65"/>
      <c r="X189" s="65"/>
      <c r="Y189" s="65"/>
      <c r="Z189" s="65"/>
      <c r="AA189" s="65"/>
      <c r="AB189" s="65"/>
      <c r="AC189" s="65"/>
      <c r="AD189" s="65"/>
      <c r="AE189" s="65"/>
      <c r="AF189" s="65"/>
      <c r="AG189" s="65"/>
      <c r="AH189" s="65"/>
    </row>
    <row r="190">
      <c r="A190" s="61"/>
      <c r="B190" s="61"/>
      <c r="C190" s="61"/>
      <c r="D190" s="62"/>
      <c r="E190" s="61"/>
      <c r="F190" s="61"/>
      <c r="G190" s="61"/>
      <c r="H190" s="61"/>
      <c r="I190" s="61"/>
      <c r="J190" s="61"/>
      <c r="K190" s="61"/>
      <c r="L190" s="61"/>
      <c r="M190" s="61"/>
      <c r="N190" s="61"/>
      <c r="O190" s="63"/>
      <c r="P190" s="61"/>
      <c r="Q190" s="61"/>
      <c r="R190" s="61"/>
      <c r="S190" s="61"/>
      <c r="T190" s="61"/>
      <c r="U190" s="61"/>
      <c r="V190" s="64"/>
      <c r="W190" s="61"/>
      <c r="X190" s="61"/>
      <c r="Y190" s="61"/>
      <c r="Z190" s="61"/>
      <c r="AA190" s="61"/>
      <c r="AB190" s="61"/>
      <c r="AC190" s="61"/>
      <c r="AD190" s="61"/>
      <c r="AE190" s="61"/>
      <c r="AF190" s="61"/>
      <c r="AG190" s="61"/>
      <c r="AH190" s="61"/>
    </row>
    <row r="191">
      <c r="A191" s="65"/>
      <c r="B191" s="65"/>
      <c r="C191" s="65"/>
      <c r="D191" s="66"/>
      <c r="E191" s="65"/>
      <c r="F191" s="65"/>
      <c r="G191" s="65"/>
      <c r="H191" s="65"/>
      <c r="I191" s="65"/>
      <c r="J191" s="65"/>
      <c r="K191" s="65"/>
      <c r="L191" s="65"/>
      <c r="M191" s="65"/>
      <c r="N191" s="65"/>
      <c r="O191" s="67"/>
      <c r="P191" s="65"/>
      <c r="Q191" s="65"/>
      <c r="R191" s="65"/>
      <c r="S191" s="65"/>
      <c r="T191" s="65"/>
      <c r="U191" s="65"/>
      <c r="V191" s="68"/>
      <c r="W191" s="65"/>
      <c r="X191" s="65"/>
      <c r="Y191" s="65"/>
      <c r="Z191" s="65"/>
      <c r="AA191" s="65"/>
      <c r="AB191" s="65"/>
      <c r="AC191" s="65"/>
      <c r="AD191" s="65"/>
      <c r="AE191" s="65"/>
      <c r="AF191" s="65"/>
      <c r="AG191" s="65"/>
      <c r="AH191" s="65"/>
    </row>
    <row r="192">
      <c r="A192" s="61"/>
      <c r="B192" s="61"/>
      <c r="C192" s="61"/>
      <c r="D192" s="62"/>
      <c r="E192" s="61"/>
      <c r="F192" s="61"/>
      <c r="G192" s="61"/>
      <c r="H192" s="61"/>
      <c r="I192" s="61"/>
      <c r="J192" s="61"/>
      <c r="K192" s="61"/>
      <c r="L192" s="61"/>
      <c r="M192" s="61"/>
      <c r="N192" s="61"/>
      <c r="O192" s="63"/>
      <c r="P192" s="61"/>
      <c r="Q192" s="61"/>
      <c r="R192" s="61"/>
      <c r="S192" s="61"/>
      <c r="T192" s="61"/>
      <c r="U192" s="61"/>
      <c r="V192" s="64"/>
      <c r="W192" s="61"/>
      <c r="X192" s="61"/>
      <c r="Y192" s="61"/>
      <c r="Z192" s="61"/>
      <c r="AA192" s="61"/>
      <c r="AB192" s="61"/>
      <c r="AC192" s="61"/>
      <c r="AD192" s="61"/>
      <c r="AE192" s="61"/>
      <c r="AF192" s="61"/>
      <c r="AG192" s="61"/>
      <c r="AH192" s="61"/>
    </row>
    <row r="193">
      <c r="A193" s="65"/>
      <c r="B193" s="65"/>
      <c r="C193" s="65"/>
      <c r="D193" s="66"/>
      <c r="E193" s="65"/>
      <c r="F193" s="65"/>
      <c r="G193" s="65"/>
      <c r="H193" s="65"/>
      <c r="I193" s="65"/>
      <c r="J193" s="65"/>
      <c r="K193" s="65"/>
      <c r="L193" s="65"/>
      <c r="M193" s="65"/>
      <c r="N193" s="65"/>
      <c r="O193" s="67"/>
      <c r="P193" s="65"/>
      <c r="Q193" s="65"/>
      <c r="R193" s="65"/>
      <c r="S193" s="65"/>
      <c r="T193" s="65"/>
      <c r="U193" s="65"/>
      <c r="V193" s="68"/>
      <c r="W193" s="65"/>
      <c r="X193" s="65"/>
      <c r="Y193" s="65"/>
      <c r="Z193" s="65"/>
      <c r="AA193" s="65"/>
      <c r="AB193" s="65"/>
      <c r="AC193" s="65"/>
      <c r="AD193" s="65"/>
      <c r="AE193" s="65"/>
      <c r="AF193" s="65"/>
      <c r="AG193" s="65"/>
      <c r="AH193" s="65"/>
    </row>
    <row r="194">
      <c r="A194" s="61"/>
      <c r="B194" s="61"/>
      <c r="C194" s="61"/>
      <c r="D194" s="62"/>
      <c r="E194" s="61"/>
      <c r="F194" s="61"/>
      <c r="G194" s="61"/>
      <c r="H194" s="61"/>
      <c r="I194" s="61"/>
      <c r="J194" s="61"/>
      <c r="K194" s="61"/>
      <c r="L194" s="61"/>
      <c r="M194" s="61"/>
      <c r="N194" s="61"/>
      <c r="O194" s="63"/>
      <c r="P194" s="61"/>
      <c r="Q194" s="61"/>
      <c r="R194" s="61"/>
      <c r="S194" s="61"/>
      <c r="T194" s="61"/>
      <c r="U194" s="61"/>
      <c r="V194" s="64"/>
      <c r="W194" s="61"/>
      <c r="X194" s="61"/>
      <c r="Y194" s="61"/>
      <c r="Z194" s="61"/>
      <c r="AA194" s="61"/>
      <c r="AB194" s="61"/>
      <c r="AC194" s="61"/>
      <c r="AD194" s="61"/>
      <c r="AE194" s="61"/>
      <c r="AF194" s="61"/>
      <c r="AG194" s="61"/>
      <c r="AH194" s="61"/>
    </row>
    <row r="195">
      <c r="A195" s="65"/>
      <c r="B195" s="65"/>
      <c r="C195" s="65"/>
      <c r="D195" s="66"/>
      <c r="E195" s="65"/>
      <c r="F195" s="65"/>
      <c r="G195" s="65"/>
      <c r="H195" s="65"/>
      <c r="I195" s="65"/>
      <c r="J195" s="65"/>
      <c r="K195" s="65"/>
      <c r="L195" s="65"/>
      <c r="M195" s="65"/>
      <c r="N195" s="65"/>
      <c r="O195" s="67"/>
      <c r="P195" s="65"/>
      <c r="Q195" s="65"/>
      <c r="R195" s="65"/>
      <c r="S195" s="65"/>
      <c r="T195" s="65"/>
      <c r="U195" s="65"/>
      <c r="V195" s="68"/>
      <c r="W195" s="65"/>
      <c r="X195" s="65"/>
      <c r="Y195" s="65"/>
      <c r="Z195" s="65"/>
      <c r="AA195" s="65"/>
      <c r="AB195" s="65"/>
      <c r="AC195" s="65"/>
      <c r="AD195" s="65"/>
      <c r="AE195" s="65"/>
      <c r="AF195" s="65"/>
      <c r="AG195" s="65"/>
      <c r="AH195" s="65"/>
    </row>
    <row r="196">
      <c r="A196" s="61"/>
      <c r="B196" s="61"/>
      <c r="C196" s="61"/>
      <c r="D196" s="62"/>
      <c r="E196" s="61"/>
      <c r="F196" s="61"/>
      <c r="G196" s="61"/>
      <c r="H196" s="61"/>
      <c r="I196" s="61"/>
      <c r="J196" s="61"/>
      <c r="K196" s="61"/>
      <c r="L196" s="61"/>
      <c r="M196" s="61"/>
      <c r="N196" s="61"/>
      <c r="O196" s="63"/>
      <c r="P196" s="61"/>
      <c r="Q196" s="61"/>
      <c r="R196" s="61"/>
      <c r="S196" s="61"/>
      <c r="T196" s="61"/>
      <c r="U196" s="61"/>
      <c r="V196" s="64"/>
      <c r="W196" s="61"/>
      <c r="X196" s="61"/>
      <c r="Y196" s="61"/>
      <c r="Z196" s="61"/>
      <c r="AA196" s="61"/>
      <c r="AB196" s="61"/>
      <c r="AC196" s="61"/>
      <c r="AD196" s="61"/>
      <c r="AE196" s="61"/>
      <c r="AF196" s="61"/>
      <c r="AG196" s="61"/>
      <c r="AH196" s="61"/>
    </row>
    <row r="197">
      <c r="A197" s="65"/>
      <c r="B197" s="65"/>
      <c r="C197" s="65"/>
      <c r="D197" s="66"/>
      <c r="E197" s="65"/>
      <c r="F197" s="65"/>
      <c r="G197" s="65"/>
      <c r="H197" s="65"/>
      <c r="I197" s="65"/>
      <c r="J197" s="65"/>
      <c r="K197" s="65"/>
      <c r="L197" s="65"/>
      <c r="M197" s="65"/>
      <c r="N197" s="65"/>
      <c r="O197" s="67"/>
      <c r="P197" s="65"/>
      <c r="Q197" s="65"/>
      <c r="R197" s="65"/>
      <c r="S197" s="65"/>
      <c r="T197" s="65"/>
      <c r="U197" s="65"/>
      <c r="V197" s="68"/>
      <c r="W197" s="65"/>
      <c r="X197" s="65"/>
      <c r="Y197" s="65"/>
      <c r="Z197" s="65"/>
      <c r="AA197" s="65"/>
      <c r="AB197" s="65"/>
      <c r="AC197" s="65"/>
      <c r="AD197" s="65"/>
      <c r="AE197" s="65"/>
      <c r="AF197" s="65"/>
      <c r="AG197" s="65"/>
      <c r="AH197" s="65"/>
    </row>
    <row r="198">
      <c r="A198" s="61"/>
      <c r="B198" s="61"/>
      <c r="C198" s="61"/>
      <c r="D198" s="62"/>
      <c r="E198" s="61"/>
      <c r="F198" s="61"/>
      <c r="G198" s="61"/>
      <c r="H198" s="61"/>
      <c r="I198" s="61"/>
      <c r="J198" s="61"/>
      <c r="K198" s="61"/>
      <c r="L198" s="61"/>
      <c r="M198" s="61"/>
      <c r="N198" s="61"/>
      <c r="O198" s="63"/>
      <c r="P198" s="61"/>
      <c r="Q198" s="61"/>
      <c r="R198" s="61"/>
      <c r="S198" s="61"/>
      <c r="T198" s="61"/>
      <c r="U198" s="61"/>
      <c r="V198" s="64"/>
      <c r="W198" s="61"/>
      <c r="X198" s="61"/>
      <c r="Y198" s="61"/>
      <c r="Z198" s="61"/>
      <c r="AA198" s="61"/>
      <c r="AB198" s="61"/>
      <c r="AC198" s="61"/>
      <c r="AD198" s="61"/>
      <c r="AE198" s="61"/>
      <c r="AF198" s="61"/>
      <c r="AG198" s="61"/>
      <c r="AH198" s="61"/>
    </row>
    <row r="199">
      <c r="A199" s="65"/>
      <c r="B199" s="65"/>
      <c r="C199" s="65"/>
      <c r="D199" s="66"/>
      <c r="E199" s="65"/>
      <c r="F199" s="65"/>
      <c r="G199" s="65"/>
      <c r="H199" s="65"/>
      <c r="I199" s="65"/>
      <c r="J199" s="65"/>
      <c r="K199" s="65"/>
      <c r="L199" s="65"/>
      <c r="M199" s="65"/>
      <c r="N199" s="65"/>
      <c r="O199" s="67"/>
      <c r="P199" s="65"/>
      <c r="Q199" s="65"/>
      <c r="R199" s="65"/>
      <c r="S199" s="65"/>
      <c r="T199" s="65"/>
      <c r="U199" s="65"/>
      <c r="V199" s="68"/>
      <c r="W199" s="65"/>
      <c r="X199" s="65"/>
      <c r="Y199" s="65"/>
      <c r="Z199" s="65"/>
      <c r="AA199" s="65"/>
      <c r="AB199" s="65"/>
      <c r="AC199" s="65"/>
      <c r="AD199" s="65"/>
      <c r="AE199" s="65"/>
      <c r="AF199" s="65"/>
      <c r="AG199" s="65"/>
      <c r="AH199" s="65"/>
    </row>
    <row r="200">
      <c r="A200" s="61"/>
      <c r="B200" s="61"/>
      <c r="C200" s="61"/>
      <c r="D200" s="62"/>
      <c r="E200" s="61"/>
      <c r="F200" s="61"/>
      <c r="G200" s="61"/>
      <c r="H200" s="61"/>
      <c r="I200" s="61"/>
      <c r="J200" s="61"/>
      <c r="K200" s="61"/>
      <c r="L200" s="61"/>
      <c r="M200" s="61"/>
      <c r="N200" s="61"/>
      <c r="O200" s="63"/>
      <c r="P200" s="61"/>
      <c r="Q200" s="61"/>
      <c r="R200" s="61"/>
      <c r="S200" s="61"/>
      <c r="T200" s="61"/>
      <c r="U200" s="61"/>
      <c r="V200" s="64"/>
      <c r="W200" s="61"/>
      <c r="X200" s="61"/>
      <c r="Y200" s="61"/>
      <c r="Z200" s="61"/>
      <c r="AA200" s="61"/>
      <c r="AB200" s="61"/>
      <c r="AC200" s="61"/>
      <c r="AD200" s="61"/>
      <c r="AE200" s="61"/>
      <c r="AF200" s="61"/>
      <c r="AG200" s="61"/>
      <c r="AH200" s="61"/>
    </row>
    <row r="201">
      <c r="A201" s="65"/>
      <c r="B201" s="65"/>
      <c r="C201" s="65"/>
      <c r="D201" s="66"/>
      <c r="E201" s="65"/>
      <c r="F201" s="65"/>
      <c r="G201" s="65"/>
      <c r="H201" s="65"/>
      <c r="I201" s="65"/>
      <c r="J201" s="65"/>
      <c r="K201" s="65"/>
      <c r="L201" s="65"/>
      <c r="M201" s="65"/>
      <c r="N201" s="65"/>
      <c r="O201" s="67"/>
      <c r="P201" s="65"/>
      <c r="Q201" s="65"/>
      <c r="R201" s="65"/>
      <c r="S201" s="65"/>
      <c r="T201" s="65"/>
      <c r="U201" s="65"/>
      <c r="V201" s="68"/>
      <c r="W201" s="65"/>
      <c r="X201" s="65"/>
      <c r="Y201" s="65"/>
      <c r="Z201" s="65"/>
      <c r="AA201" s="65"/>
      <c r="AB201" s="65"/>
      <c r="AC201" s="65"/>
      <c r="AD201" s="65"/>
      <c r="AE201" s="65"/>
      <c r="AF201" s="65"/>
      <c r="AG201" s="65"/>
      <c r="AH201" s="65"/>
    </row>
    <row r="202">
      <c r="A202" s="61"/>
      <c r="B202" s="61"/>
      <c r="C202" s="61"/>
      <c r="D202" s="62"/>
      <c r="E202" s="61"/>
      <c r="F202" s="61"/>
      <c r="G202" s="61"/>
      <c r="H202" s="61"/>
      <c r="I202" s="61"/>
      <c r="J202" s="61"/>
      <c r="K202" s="61"/>
      <c r="L202" s="61"/>
      <c r="M202" s="61"/>
      <c r="N202" s="61"/>
      <c r="O202" s="63"/>
      <c r="P202" s="61"/>
      <c r="Q202" s="61"/>
      <c r="R202" s="61"/>
      <c r="S202" s="61"/>
      <c r="T202" s="61"/>
      <c r="U202" s="61"/>
      <c r="V202" s="64"/>
      <c r="W202" s="61"/>
      <c r="X202" s="61"/>
      <c r="Y202" s="61"/>
      <c r="Z202" s="61"/>
      <c r="AA202" s="61"/>
      <c r="AB202" s="61"/>
      <c r="AC202" s="61"/>
      <c r="AD202" s="61"/>
      <c r="AE202" s="61"/>
      <c r="AF202" s="61"/>
      <c r="AG202" s="61"/>
      <c r="AH202" s="61"/>
    </row>
    <row r="203">
      <c r="A203" s="65"/>
      <c r="B203" s="65"/>
      <c r="C203" s="65"/>
      <c r="D203" s="66"/>
      <c r="E203" s="65"/>
      <c r="F203" s="65"/>
      <c r="G203" s="65"/>
      <c r="H203" s="65"/>
      <c r="I203" s="65"/>
      <c r="J203" s="65"/>
      <c r="K203" s="65"/>
      <c r="L203" s="65"/>
      <c r="M203" s="65"/>
      <c r="N203" s="65"/>
      <c r="O203" s="67"/>
      <c r="P203" s="65"/>
      <c r="Q203" s="65"/>
      <c r="R203" s="65"/>
      <c r="S203" s="65"/>
      <c r="T203" s="65"/>
      <c r="U203" s="65"/>
      <c r="V203" s="68"/>
      <c r="W203" s="65"/>
      <c r="X203" s="65"/>
      <c r="Y203" s="65"/>
      <c r="Z203" s="65"/>
      <c r="AA203" s="65"/>
      <c r="AB203" s="65"/>
      <c r="AC203" s="65"/>
      <c r="AD203" s="65"/>
      <c r="AE203" s="65"/>
      <c r="AF203" s="65"/>
      <c r="AG203" s="65"/>
      <c r="AH203" s="65"/>
    </row>
    <row r="204">
      <c r="A204" s="61"/>
      <c r="B204" s="61"/>
      <c r="C204" s="61"/>
      <c r="D204" s="62"/>
      <c r="E204" s="61"/>
      <c r="F204" s="61"/>
      <c r="G204" s="61"/>
      <c r="H204" s="61"/>
      <c r="I204" s="61"/>
      <c r="J204" s="61"/>
      <c r="K204" s="61"/>
      <c r="L204" s="61"/>
      <c r="M204" s="61"/>
      <c r="N204" s="61"/>
      <c r="O204" s="63"/>
      <c r="P204" s="61"/>
      <c r="Q204" s="61"/>
      <c r="R204" s="61"/>
      <c r="S204" s="61"/>
      <c r="T204" s="61"/>
      <c r="U204" s="61"/>
      <c r="V204" s="64"/>
      <c r="W204" s="61"/>
      <c r="X204" s="61"/>
      <c r="Y204" s="61"/>
      <c r="Z204" s="61"/>
      <c r="AA204" s="61"/>
      <c r="AB204" s="61"/>
      <c r="AC204" s="61"/>
      <c r="AD204" s="61"/>
      <c r="AE204" s="61"/>
      <c r="AF204" s="61"/>
      <c r="AG204" s="61"/>
      <c r="AH204" s="61"/>
    </row>
    <row r="205">
      <c r="A205" s="65"/>
      <c r="B205" s="65"/>
      <c r="C205" s="65"/>
      <c r="D205" s="66"/>
      <c r="E205" s="65"/>
      <c r="F205" s="65"/>
      <c r="G205" s="65"/>
      <c r="H205" s="65"/>
      <c r="I205" s="65"/>
      <c r="J205" s="65"/>
      <c r="K205" s="65"/>
      <c r="L205" s="65"/>
      <c r="M205" s="65"/>
      <c r="N205" s="65"/>
      <c r="O205" s="67"/>
      <c r="P205" s="65"/>
      <c r="Q205" s="65"/>
      <c r="R205" s="65"/>
      <c r="S205" s="65"/>
      <c r="T205" s="65"/>
      <c r="U205" s="65"/>
      <c r="V205" s="68"/>
      <c r="W205" s="65"/>
      <c r="X205" s="65"/>
      <c r="Y205" s="65"/>
      <c r="Z205" s="65"/>
      <c r="AA205" s="65"/>
      <c r="AB205" s="65"/>
      <c r="AC205" s="65"/>
      <c r="AD205" s="65"/>
      <c r="AE205" s="65"/>
      <c r="AF205" s="65"/>
      <c r="AG205" s="65"/>
      <c r="AH205" s="65"/>
    </row>
    <row r="206">
      <c r="A206" s="61"/>
      <c r="B206" s="61"/>
      <c r="C206" s="61"/>
      <c r="D206" s="62"/>
      <c r="E206" s="61"/>
      <c r="F206" s="61"/>
      <c r="G206" s="61"/>
      <c r="H206" s="61"/>
      <c r="I206" s="61"/>
      <c r="J206" s="61"/>
      <c r="K206" s="61"/>
      <c r="L206" s="61"/>
      <c r="M206" s="61"/>
      <c r="N206" s="61"/>
      <c r="O206" s="63"/>
      <c r="P206" s="61"/>
      <c r="Q206" s="61"/>
      <c r="R206" s="61"/>
      <c r="S206" s="61"/>
      <c r="T206" s="61"/>
      <c r="U206" s="61"/>
      <c r="V206" s="64"/>
      <c r="W206" s="61"/>
      <c r="X206" s="61"/>
      <c r="Y206" s="61"/>
      <c r="Z206" s="61"/>
      <c r="AA206" s="61"/>
      <c r="AB206" s="61"/>
      <c r="AC206" s="61"/>
      <c r="AD206" s="61"/>
      <c r="AE206" s="61"/>
      <c r="AF206" s="61"/>
      <c r="AG206" s="61"/>
      <c r="AH206" s="61"/>
    </row>
    <row r="207">
      <c r="A207" s="65"/>
      <c r="B207" s="65"/>
      <c r="C207" s="65"/>
      <c r="D207" s="66"/>
      <c r="E207" s="65"/>
      <c r="F207" s="65"/>
      <c r="G207" s="65"/>
      <c r="H207" s="65"/>
      <c r="I207" s="65"/>
      <c r="J207" s="65"/>
      <c r="K207" s="65"/>
      <c r="L207" s="65"/>
      <c r="M207" s="65"/>
      <c r="N207" s="65"/>
      <c r="O207" s="67"/>
      <c r="P207" s="65"/>
      <c r="Q207" s="65"/>
      <c r="R207" s="65"/>
      <c r="S207" s="65"/>
      <c r="T207" s="65"/>
      <c r="U207" s="65"/>
      <c r="V207" s="68"/>
      <c r="W207" s="65"/>
      <c r="X207" s="65"/>
      <c r="Y207" s="65"/>
      <c r="Z207" s="65"/>
      <c r="AA207" s="65"/>
      <c r="AB207" s="65"/>
      <c r="AC207" s="65"/>
      <c r="AD207" s="65"/>
      <c r="AE207" s="65"/>
      <c r="AF207" s="65"/>
      <c r="AG207" s="65"/>
      <c r="AH207" s="65"/>
    </row>
    <row r="208">
      <c r="A208" s="61"/>
      <c r="B208" s="61"/>
      <c r="C208" s="61"/>
      <c r="D208" s="62"/>
      <c r="E208" s="61"/>
      <c r="F208" s="61"/>
      <c r="G208" s="61"/>
      <c r="H208" s="61"/>
      <c r="I208" s="61"/>
      <c r="J208" s="61"/>
      <c r="K208" s="61"/>
      <c r="L208" s="61"/>
      <c r="M208" s="61"/>
      <c r="N208" s="61"/>
      <c r="O208" s="63"/>
      <c r="P208" s="61"/>
      <c r="Q208" s="61"/>
      <c r="R208" s="61"/>
      <c r="S208" s="61"/>
      <c r="T208" s="61"/>
      <c r="U208" s="61"/>
      <c r="V208" s="64"/>
      <c r="W208" s="61"/>
      <c r="X208" s="61"/>
      <c r="Y208" s="61"/>
      <c r="Z208" s="61"/>
      <c r="AA208" s="61"/>
      <c r="AB208" s="61"/>
      <c r="AC208" s="61"/>
      <c r="AD208" s="61"/>
      <c r="AE208" s="61"/>
      <c r="AF208" s="61"/>
      <c r="AG208" s="61"/>
      <c r="AH208" s="61"/>
    </row>
    <row r="209">
      <c r="A209" s="65"/>
      <c r="B209" s="65"/>
      <c r="C209" s="65"/>
      <c r="D209" s="66"/>
      <c r="E209" s="65"/>
      <c r="F209" s="65"/>
      <c r="G209" s="65"/>
      <c r="H209" s="65"/>
      <c r="I209" s="65"/>
      <c r="J209" s="65"/>
      <c r="K209" s="65"/>
      <c r="L209" s="65"/>
      <c r="M209" s="65"/>
      <c r="N209" s="65"/>
      <c r="O209" s="67"/>
      <c r="P209" s="65"/>
      <c r="Q209" s="65"/>
      <c r="R209" s="65"/>
      <c r="S209" s="65"/>
      <c r="T209" s="65"/>
      <c r="U209" s="65"/>
      <c r="V209" s="68"/>
      <c r="W209" s="65"/>
      <c r="X209" s="65"/>
      <c r="Y209" s="65"/>
      <c r="Z209" s="65"/>
      <c r="AA209" s="65"/>
      <c r="AB209" s="65"/>
      <c r="AC209" s="65"/>
      <c r="AD209" s="65"/>
      <c r="AE209" s="65"/>
      <c r="AF209" s="65"/>
      <c r="AG209" s="65"/>
      <c r="AH209" s="65"/>
    </row>
    <row r="210">
      <c r="A210" s="61"/>
      <c r="B210" s="61"/>
      <c r="C210" s="61"/>
      <c r="D210" s="62"/>
      <c r="E210" s="61"/>
      <c r="F210" s="61"/>
      <c r="G210" s="61"/>
      <c r="H210" s="61"/>
      <c r="I210" s="61"/>
      <c r="J210" s="61"/>
      <c r="K210" s="61"/>
      <c r="L210" s="61"/>
      <c r="M210" s="61"/>
      <c r="N210" s="61"/>
      <c r="O210" s="63"/>
      <c r="P210" s="61"/>
      <c r="Q210" s="61"/>
      <c r="R210" s="61"/>
      <c r="S210" s="61"/>
      <c r="T210" s="61"/>
      <c r="U210" s="61"/>
      <c r="V210" s="64"/>
      <c r="W210" s="61"/>
      <c r="X210" s="61"/>
      <c r="Y210" s="61"/>
      <c r="Z210" s="61"/>
      <c r="AA210" s="61"/>
      <c r="AB210" s="61"/>
      <c r="AC210" s="61"/>
      <c r="AD210" s="61"/>
      <c r="AE210" s="61"/>
      <c r="AF210" s="61"/>
      <c r="AG210" s="61"/>
      <c r="AH210" s="61"/>
    </row>
    <row r="211">
      <c r="A211" s="65"/>
      <c r="B211" s="65"/>
      <c r="C211" s="65"/>
      <c r="D211" s="66"/>
      <c r="E211" s="65"/>
      <c r="F211" s="65"/>
      <c r="G211" s="65"/>
      <c r="H211" s="65"/>
      <c r="I211" s="65"/>
      <c r="J211" s="65"/>
      <c r="K211" s="65"/>
      <c r="L211" s="65"/>
      <c r="M211" s="65"/>
      <c r="N211" s="65"/>
      <c r="O211" s="67"/>
      <c r="P211" s="65"/>
      <c r="Q211" s="65"/>
      <c r="R211" s="65"/>
      <c r="S211" s="65"/>
      <c r="T211" s="65"/>
      <c r="U211" s="65"/>
      <c r="V211" s="68"/>
      <c r="W211" s="65"/>
      <c r="X211" s="65"/>
      <c r="Y211" s="65"/>
      <c r="Z211" s="65"/>
      <c r="AA211" s="65"/>
      <c r="AB211" s="65"/>
      <c r="AC211" s="65"/>
      <c r="AD211" s="65"/>
      <c r="AE211" s="65"/>
      <c r="AF211" s="65"/>
      <c r="AG211" s="65"/>
      <c r="AH211" s="65"/>
    </row>
    <row r="212">
      <c r="A212" s="61"/>
      <c r="B212" s="61"/>
      <c r="C212" s="61"/>
      <c r="D212" s="62"/>
      <c r="E212" s="61"/>
      <c r="F212" s="61"/>
      <c r="G212" s="61"/>
      <c r="H212" s="61"/>
      <c r="I212" s="61"/>
      <c r="J212" s="61"/>
      <c r="K212" s="61"/>
      <c r="L212" s="61"/>
      <c r="M212" s="61"/>
      <c r="N212" s="61"/>
      <c r="O212" s="63"/>
      <c r="P212" s="61"/>
      <c r="Q212" s="61"/>
      <c r="R212" s="61"/>
      <c r="S212" s="61"/>
      <c r="T212" s="61"/>
      <c r="U212" s="61"/>
      <c r="V212" s="64"/>
      <c r="W212" s="61"/>
      <c r="X212" s="61"/>
      <c r="Y212" s="61"/>
      <c r="Z212" s="61"/>
      <c r="AA212" s="61"/>
      <c r="AB212" s="61"/>
      <c r="AC212" s="61"/>
      <c r="AD212" s="61"/>
      <c r="AE212" s="61"/>
      <c r="AF212" s="61"/>
      <c r="AG212" s="61"/>
      <c r="AH212" s="61"/>
    </row>
    <row r="213">
      <c r="A213" s="65"/>
      <c r="B213" s="65"/>
      <c r="C213" s="65"/>
      <c r="D213" s="66"/>
      <c r="E213" s="65"/>
      <c r="F213" s="65"/>
      <c r="G213" s="65"/>
      <c r="H213" s="65"/>
      <c r="I213" s="65"/>
      <c r="J213" s="65"/>
      <c r="K213" s="65"/>
      <c r="L213" s="65"/>
      <c r="M213" s="65"/>
      <c r="N213" s="65"/>
      <c r="O213" s="67"/>
      <c r="P213" s="65"/>
      <c r="Q213" s="65"/>
      <c r="R213" s="65"/>
      <c r="S213" s="65"/>
      <c r="T213" s="65"/>
      <c r="U213" s="65"/>
      <c r="V213" s="68"/>
      <c r="W213" s="65"/>
      <c r="X213" s="65"/>
      <c r="Y213" s="65"/>
      <c r="Z213" s="65"/>
      <c r="AA213" s="65"/>
      <c r="AB213" s="65"/>
      <c r="AC213" s="65"/>
      <c r="AD213" s="65"/>
      <c r="AE213" s="65"/>
      <c r="AF213" s="65"/>
      <c r="AG213" s="65"/>
      <c r="AH213" s="65"/>
    </row>
    <row r="214">
      <c r="A214" s="61"/>
      <c r="B214" s="61"/>
      <c r="C214" s="61"/>
      <c r="D214" s="62"/>
      <c r="E214" s="61"/>
      <c r="F214" s="61"/>
      <c r="G214" s="61"/>
      <c r="H214" s="61"/>
      <c r="I214" s="61"/>
      <c r="J214" s="61"/>
      <c r="K214" s="61"/>
      <c r="L214" s="61"/>
      <c r="M214" s="61"/>
      <c r="N214" s="61"/>
      <c r="O214" s="63"/>
      <c r="P214" s="61"/>
      <c r="Q214" s="61"/>
      <c r="R214" s="61"/>
      <c r="S214" s="61"/>
      <c r="T214" s="61"/>
      <c r="U214" s="61"/>
      <c r="V214" s="64"/>
      <c r="W214" s="61"/>
      <c r="X214" s="61"/>
      <c r="Y214" s="61"/>
      <c r="Z214" s="61"/>
      <c r="AA214" s="61"/>
      <c r="AB214" s="61"/>
      <c r="AC214" s="61"/>
      <c r="AD214" s="61"/>
      <c r="AE214" s="61"/>
      <c r="AF214" s="61"/>
      <c r="AG214" s="61"/>
      <c r="AH214" s="61"/>
    </row>
    <row r="215">
      <c r="A215" s="65"/>
      <c r="B215" s="65"/>
      <c r="C215" s="65"/>
      <c r="D215" s="66"/>
      <c r="E215" s="65"/>
      <c r="F215" s="65"/>
      <c r="G215" s="65"/>
      <c r="H215" s="65"/>
      <c r="I215" s="65"/>
      <c r="J215" s="65"/>
      <c r="K215" s="65"/>
      <c r="L215" s="65"/>
      <c r="M215" s="65"/>
      <c r="N215" s="65"/>
      <c r="O215" s="67"/>
      <c r="P215" s="65"/>
      <c r="Q215" s="65"/>
      <c r="R215" s="65"/>
      <c r="S215" s="65"/>
      <c r="T215" s="65"/>
      <c r="U215" s="65"/>
      <c r="V215" s="68"/>
      <c r="W215" s="65"/>
      <c r="X215" s="65"/>
      <c r="Y215" s="65"/>
      <c r="Z215" s="65"/>
      <c r="AA215" s="65"/>
      <c r="AB215" s="65"/>
      <c r="AC215" s="65"/>
      <c r="AD215" s="65"/>
      <c r="AE215" s="65"/>
      <c r="AF215" s="65"/>
      <c r="AG215" s="65"/>
      <c r="AH215" s="65"/>
    </row>
    <row r="216">
      <c r="A216" s="61"/>
      <c r="B216" s="61"/>
      <c r="C216" s="61"/>
      <c r="D216" s="62"/>
      <c r="E216" s="61"/>
      <c r="F216" s="61"/>
      <c r="G216" s="61"/>
      <c r="H216" s="61"/>
      <c r="I216" s="61"/>
      <c r="J216" s="61"/>
      <c r="K216" s="61"/>
      <c r="L216" s="61"/>
      <c r="M216" s="61"/>
      <c r="N216" s="61"/>
      <c r="O216" s="63"/>
      <c r="P216" s="61"/>
      <c r="Q216" s="61"/>
      <c r="R216" s="61"/>
      <c r="S216" s="61"/>
      <c r="T216" s="61"/>
      <c r="U216" s="61"/>
      <c r="V216" s="64"/>
      <c r="W216" s="61"/>
      <c r="X216" s="61"/>
      <c r="Y216" s="61"/>
      <c r="Z216" s="61"/>
      <c r="AA216" s="61"/>
      <c r="AB216" s="61"/>
      <c r="AC216" s="61"/>
      <c r="AD216" s="61"/>
      <c r="AE216" s="61"/>
      <c r="AF216" s="61"/>
      <c r="AG216" s="61"/>
      <c r="AH216" s="61"/>
    </row>
    <row r="217">
      <c r="A217" s="65"/>
      <c r="B217" s="65"/>
      <c r="C217" s="65"/>
      <c r="D217" s="66"/>
      <c r="E217" s="65"/>
      <c r="F217" s="65"/>
      <c r="G217" s="65"/>
      <c r="H217" s="65"/>
      <c r="I217" s="65"/>
      <c r="J217" s="65"/>
      <c r="K217" s="65"/>
      <c r="L217" s="65"/>
      <c r="M217" s="65"/>
      <c r="N217" s="65"/>
      <c r="O217" s="67"/>
      <c r="P217" s="65"/>
      <c r="Q217" s="65"/>
      <c r="R217" s="65"/>
      <c r="S217" s="65"/>
      <c r="T217" s="65"/>
      <c r="U217" s="65"/>
      <c r="V217" s="68"/>
      <c r="W217" s="65"/>
      <c r="X217" s="65"/>
      <c r="Y217" s="65"/>
      <c r="Z217" s="65"/>
      <c r="AA217" s="65"/>
      <c r="AB217" s="65"/>
      <c r="AC217" s="65"/>
      <c r="AD217" s="65"/>
      <c r="AE217" s="65"/>
      <c r="AF217" s="65"/>
      <c r="AG217" s="65"/>
      <c r="AH217" s="65"/>
    </row>
    <row r="218">
      <c r="A218" s="61"/>
      <c r="B218" s="61"/>
      <c r="C218" s="61"/>
      <c r="D218" s="62"/>
      <c r="E218" s="61"/>
      <c r="F218" s="61"/>
      <c r="G218" s="61"/>
      <c r="H218" s="61"/>
      <c r="I218" s="61"/>
      <c r="J218" s="61"/>
      <c r="K218" s="61"/>
      <c r="L218" s="61"/>
      <c r="M218" s="61"/>
      <c r="N218" s="61"/>
      <c r="O218" s="63"/>
      <c r="P218" s="61"/>
      <c r="Q218" s="61"/>
      <c r="R218" s="61"/>
      <c r="S218" s="61"/>
      <c r="T218" s="61"/>
      <c r="U218" s="61"/>
      <c r="V218" s="64"/>
      <c r="W218" s="61"/>
      <c r="X218" s="61"/>
      <c r="Y218" s="61"/>
      <c r="Z218" s="61"/>
      <c r="AA218" s="61"/>
      <c r="AB218" s="61"/>
      <c r="AC218" s="61"/>
      <c r="AD218" s="61"/>
      <c r="AE218" s="61"/>
      <c r="AF218" s="61"/>
      <c r="AG218" s="61"/>
      <c r="AH218" s="61"/>
    </row>
    <row r="219">
      <c r="A219" s="65"/>
      <c r="B219" s="65"/>
      <c r="C219" s="65"/>
      <c r="D219" s="66"/>
      <c r="E219" s="65"/>
      <c r="F219" s="65"/>
      <c r="G219" s="65"/>
      <c r="H219" s="65"/>
      <c r="I219" s="65"/>
      <c r="J219" s="65"/>
      <c r="K219" s="65"/>
      <c r="L219" s="65"/>
      <c r="M219" s="65"/>
      <c r="N219" s="65"/>
      <c r="O219" s="67"/>
      <c r="P219" s="65"/>
      <c r="Q219" s="65"/>
      <c r="R219" s="65"/>
      <c r="S219" s="65"/>
      <c r="T219" s="65"/>
      <c r="U219" s="65"/>
      <c r="V219" s="68"/>
      <c r="W219" s="65"/>
      <c r="X219" s="65"/>
      <c r="Y219" s="65"/>
      <c r="Z219" s="65"/>
      <c r="AA219" s="65"/>
      <c r="AB219" s="65"/>
      <c r="AC219" s="65"/>
      <c r="AD219" s="65"/>
      <c r="AE219" s="65"/>
      <c r="AF219" s="65"/>
      <c r="AG219" s="65"/>
      <c r="AH219" s="65"/>
    </row>
    <row r="220">
      <c r="A220" s="61"/>
      <c r="B220" s="61"/>
      <c r="C220" s="61"/>
      <c r="D220" s="62"/>
      <c r="E220" s="61"/>
      <c r="F220" s="61"/>
      <c r="G220" s="61"/>
      <c r="H220" s="61"/>
      <c r="I220" s="61"/>
      <c r="J220" s="61"/>
      <c r="K220" s="61"/>
      <c r="L220" s="61"/>
      <c r="M220" s="61"/>
      <c r="N220" s="61"/>
      <c r="O220" s="63"/>
      <c r="P220" s="61"/>
      <c r="Q220" s="61"/>
      <c r="R220" s="61"/>
      <c r="S220" s="61"/>
      <c r="T220" s="61"/>
      <c r="U220" s="61"/>
      <c r="V220" s="64"/>
      <c r="W220" s="61"/>
      <c r="X220" s="61"/>
      <c r="Y220" s="61"/>
      <c r="Z220" s="61"/>
      <c r="AA220" s="61"/>
      <c r="AB220" s="61"/>
      <c r="AC220" s="61"/>
      <c r="AD220" s="61"/>
      <c r="AE220" s="61"/>
      <c r="AF220" s="61"/>
      <c r="AG220" s="61"/>
      <c r="AH220" s="61"/>
    </row>
    <row r="221">
      <c r="A221" s="65"/>
      <c r="B221" s="65"/>
      <c r="C221" s="65"/>
      <c r="D221" s="66"/>
      <c r="E221" s="65"/>
      <c r="F221" s="65"/>
      <c r="G221" s="65"/>
      <c r="H221" s="65"/>
      <c r="I221" s="65"/>
      <c r="J221" s="65"/>
      <c r="K221" s="65"/>
      <c r="L221" s="65"/>
      <c r="M221" s="65"/>
      <c r="N221" s="65"/>
      <c r="O221" s="67"/>
      <c r="P221" s="65"/>
      <c r="Q221" s="65"/>
      <c r="R221" s="65"/>
      <c r="S221" s="65"/>
      <c r="T221" s="65"/>
      <c r="U221" s="65"/>
      <c r="V221" s="68"/>
      <c r="W221" s="65"/>
      <c r="X221" s="65"/>
      <c r="Y221" s="65"/>
      <c r="Z221" s="65"/>
      <c r="AA221" s="65"/>
      <c r="AB221" s="65"/>
      <c r="AC221" s="65"/>
      <c r="AD221" s="65"/>
      <c r="AE221" s="65"/>
      <c r="AF221" s="65"/>
      <c r="AG221" s="65"/>
      <c r="AH221" s="65"/>
    </row>
    <row r="222">
      <c r="A222" s="61"/>
      <c r="B222" s="61"/>
      <c r="C222" s="61"/>
      <c r="D222" s="62"/>
      <c r="E222" s="61"/>
      <c r="F222" s="61"/>
      <c r="G222" s="61"/>
      <c r="H222" s="61"/>
      <c r="I222" s="61"/>
      <c r="J222" s="61"/>
      <c r="K222" s="61"/>
      <c r="L222" s="61"/>
      <c r="M222" s="61"/>
      <c r="N222" s="61"/>
      <c r="O222" s="63"/>
      <c r="P222" s="61"/>
      <c r="Q222" s="61"/>
      <c r="R222" s="61"/>
      <c r="S222" s="61"/>
      <c r="T222" s="61"/>
      <c r="U222" s="61"/>
      <c r="V222" s="64"/>
      <c r="W222" s="61"/>
      <c r="X222" s="61"/>
      <c r="Y222" s="61"/>
      <c r="Z222" s="61"/>
      <c r="AA222" s="61"/>
      <c r="AB222" s="61"/>
      <c r="AC222" s="61"/>
      <c r="AD222" s="61"/>
      <c r="AE222" s="61"/>
      <c r="AF222" s="61"/>
      <c r="AG222" s="61"/>
      <c r="AH222" s="61"/>
    </row>
    <row r="223">
      <c r="A223" s="65"/>
      <c r="B223" s="65"/>
      <c r="C223" s="65"/>
      <c r="D223" s="66"/>
      <c r="E223" s="65"/>
      <c r="F223" s="65"/>
      <c r="G223" s="65"/>
      <c r="H223" s="65"/>
      <c r="I223" s="65"/>
      <c r="J223" s="65"/>
      <c r="K223" s="65"/>
      <c r="L223" s="65"/>
      <c r="M223" s="65"/>
      <c r="N223" s="65"/>
      <c r="O223" s="67"/>
      <c r="P223" s="65"/>
      <c r="Q223" s="65"/>
      <c r="R223" s="65"/>
      <c r="S223" s="65"/>
      <c r="T223" s="65"/>
      <c r="U223" s="65"/>
      <c r="V223" s="68"/>
      <c r="W223" s="65"/>
      <c r="X223" s="65"/>
      <c r="Y223" s="65"/>
      <c r="Z223" s="65"/>
      <c r="AA223" s="65"/>
      <c r="AB223" s="65"/>
      <c r="AC223" s="65"/>
      <c r="AD223" s="65"/>
      <c r="AE223" s="65"/>
      <c r="AF223" s="65"/>
      <c r="AG223" s="65"/>
      <c r="AH223" s="65"/>
    </row>
    <row r="224">
      <c r="A224" s="61"/>
      <c r="B224" s="61"/>
      <c r="C224" s="61"/>
      <c r="D224" s="62"/>
      <c r="E224" s="61"/>
      <c r="F224" s="61"/>
      <c r="G224" s="61"/>
      <c r="H224" s="61"/>
      <c r="I224" s="61"/>
      <c r="J224" s="61"/>
      <c r="K224" s="61"/>
      <c r="L224" s="61"/>
      <c r="M224" s="61"/>
      <c r="N224" s="61"/>
      <c r="O224" s="63"/>
      <c r="P224" s="61"/>
      <c r="Q224" s="61"/>
      <c r="R224" s="61"/>
      <c r="S224" s="61"/>
      <c r="T224" s="61"/>
      <c r="U224" s="61"/>
      <c r="V224" s="64"/>
      <c r="W224" s="61"/>
      <c r="X224" s="61"/>
      <c r="Y224" s="61"/>
      <c r="Z224" s="61"/>
      <c r="AA224" s="61"/>
      <c r="AB224" s="61"/>
      <c r="AC224" s="61"/>
      <c r="AD224" s="61"/>
      <c r="AE224" s="61"/>
      <c r="AF224" s="61"/>
      <c r="AG224" s="61"/>
      <c r="AH224" s="61"/>
    </row>
    <row r="225">
      <c r="A225" s="65"/>
      <c r="B225" s="65"/>
      <c r="C225" s="65"/>
      <c r="D225" s="66"/>
      <c r="E225" s="65"/>
      <c r="F225" s="65"/>
      <c r="G225" s="65"/>
      <c r="H225" s="65"/>
      <c r="I225" s="65"/>
      <c r="J225" s="65"/>
      <c r="K225" s="65"/>
      <c r="L225" s="65"/>
      <c r="M225" s="65"/>
      <c r="N225" s="65"/>
      <c r="O225" s="67"/>
      <c r="P225" s="65"/>
      <c r="Q225" s="65"/>
      <c r="R225" s="65"/>
      <c r="S225" s="65"/>
      <c r="T225" s="65"/>
      <c r="U225" s="65"/>
      <c r="V225" s="68"/>
      <c r="W225" s="65"/>
      <c r="X225" s="65"/>
      <c r="Y225" s="65"/>
      <c r="Z225" s="65"/>
      <c r="AA225" s="65"/>
      <c r="AB225" s="65"/>
      <c r="AC225" s="65"/>
      <c r="AD225" s="65"/>
      <c r="AE225" s="65"/>
      <c r="AF225" s="65"/>
      <c r="AG225" s="65"/>
      <c r="AH225" s="65"/>
    </row>
    <row r="226">
      <c r="A226" s="61"/>
      <c r="B226" s="61"/>
      <c r="C226" s="61"/>
      <c r="D226" s="62"/>
      <c r="E226" s="61"/>
      <c r="F226" s="61"/>
      <c r="G226" s="61"/>
      <c r="H226" s="61"/>
      <c r="I226" s="61"/>
      <c r="J226" s="61"/>
      <c r="K226" s="61"/>
      <c r="L226" s="61"/>
      <c r="M226" s="61"/>
      <c r="N226" s="61"/>
      <c r="O226" s="63"/>
      <c r="P226" s="61"/>
      <c r="Q226" s="61"/>
      <c r="R226" s="61"/>
      <c r="S226" s="61"/>
      <c r="T226" s="61"/>
      <c r="U226" s="61"/>
      <c r="V226" s="64"/>
      <c r="W226" s="61"/>
      <c r="X226" s="61"/>
      <c r="Y226" s="61"/>
      <c r="Z226" s="61"/>
      <c r="AA226" s="61"/>
      <c r="AB226" s="61"/>
      <c r="AC226" s="61"/>
      <c r="AD226" s="61"/>
      <c r="AE226" s="61"/>
      <c r="AF226" s="61"/>
      <c r="AG226" s="61"/>
      <c r="AH226" s="61"/>
    </row>
    <row r="227">
      <c r="A227" s="65"/>
      <c r="B227" s="65"/>
      <c r="C227" s="65"/>
      <c r="D227" s="66"/>
      <c r="E227" s="65"/>
      <c r="F227" s="65"/>
      <c r="G227" s="65"/>
      <c r="H227" s="65"/>
      <c r="I227" s="65"/>
      <c r="J227" s="65"/>
      <c r="K227" s="65"/>
      <c r="L227" s="65"/>
      <c r="M227" s="65"/>
      <c r="N227" s="65"/>
      <c r="O227" s="67"/>
      <c r="P227" s="65"/>
      <c r="Q227" s="65"/>
      <c r="R227" s="65"/>
      <c r="S227" s="65"/>
      <c r="T227" s="65"/>
      <c r="U227" s="65"/>
      <c r="V227" s="68"/>
      <c r="W227" s="65"/>
      <c r="X227" s="65"/>
      <c r="Y227" s="65"/>
      <c r="Z227" s="65"/>
      <c r="AA227" s="65"/>
      <c r="AB227" s="65"/>
      <c r="AC227" s="65"/>
      <c r="AD227" s="65"/>
      <c r="AE227" s="65"/>
      <c r="AF227" s="65"/>
      <c r="AG227" s="65"/>
      <c r="AH227" s="65"/>
    </row>
    <row r="228">
      <c r="A228" s="61"/>
      <c r="B228" s="61"/>
      <c r="C228" s="61"/>
      <c r="D228" s="62"/>
      <c r="E228" s="61"/>
      <c r="F228" s="61"/>
      <c r="G228" s="61"/>
      <c r="H228" s="61"/>
      <c r="I228" s="61"/>
      <c r="J228" s="61"/>
      <c r="K228" s="61"/>
      <c r="L228" s="61"/>
      <c r="M228" s="61"/>
      <c r="N228" s="61"/>
      <c r="O228" s="63"/>
      <c r="P228" s="61"/>
      <c r="Q228" s="61"/>
      <c r="R228" s="61"/>
      <c r="S228" s="61"/>
      <c r="T228" s="61"/>
      <c r="U228" s="61"/>
      <c r="V228" s="64"/>
      <c r="W228" s="61"/>
      <c r="X228" s="61"/>
      <c r="Y228" s="61"/>
      <c r="Z228" s="61"/>
      <c r="AA228" s="61"/>
      <c r="AB228" s="61"/>
      <c r="AC228" s="61"/>
      <c r="AD228" s="61"/>
      <c r="AE228" s="61"/>
      <c r="AF228" s="61"/>
      <c r="AG228" s="61"/>
      <c r="AH228" s="61"/>
    </row>
    <row r="229">
      <c r="A229" s="65"/>
      <c r="B229" s="65"/>
      <c r="C229" s="65"/>
      <c r="D229" s="66"/>
      <c r="E229" s="65"/>
      <c r="F229" s="65"/>
      <c r="G229" s="65"/>
      <c r="H229" s="65"/>
      <c r="I229" s="65"/>
      <c r="J229" s="65"/>
      <c r="K229" s="65"/>
      <c r="L229" s="65"/>
      <c r="M229" s="65"/>
      <c r="N229" s="65"/>
      <c r="O229" s="67"/>
      <c r="P229" s="65"/>
      <c r="Q229" s="65"/>
      <c r="R229" s="65"/>
      <c r="S229" s="65"/>
      <c r="T229" s="65"/>
      <c r="U229" s="65"/>
      <c r="V229" s="68"/>
      <c r="W229" s="65"/>
      <c r="X229" s="65"/>
      <c r="Y229" s="65"/>
      <c r="Z229" s="65"/>
      <c r="AA229" s="65"/>
      <c r="AB229" s="65"/>
      <c r="AC229" s="65"/>
      <c r="AD229" s="65"/>
      <c r="AE229" s="65"/>
      <c r="AF229" s="65"/>
      <c r="AG229" s="65"/>
      <c r="AH229" s="65"/>
    </row>
    <row r="230">
      <c r="A230" s="61"/>
      <c r="B230" s="61"/>
      <c r="C230" s="61"/>
      <c r="D230" s="62"/>
      <c r="E230" s="61"/>
      <c r="F230" s="61"/>
      <c r="G230" s="61"/>
      <c r="H230" s="61"/>
      <c r="I230" s="61"/>
      <c r="J230" s="61"/>
      <c r="K230" s="61"/>
      <c r="L230" s="61"/>
      <c r="M230" s="61"/>
      <c r="N230" s="61"/>
      <c r="O230" s="63"/>
      <c r="P230" s="61"/>
      <c r="Q230" s="61"/>
      <c r="R230" s="61"/>
      <c r="S230" s="61"/>
      <c r="T230" s="61"/>
      <c r="U230" s="61"/>
      <c r="V230" s="64"/>
      <c r="W230" s="61"/>
      <c r="X230" s="61"/>
      <c r="Y230" s="61"/>
      <c r="Z230" s="61"/>
      <c r="AA230" s="61"/>
      <c r="AB230" s="61"/>
      <c r="AC230" s="61"/>
      <c r="AD230" s="61"/>
      <c r="AE230" s="61"/>
      <c r="AF230" s="61"/>
      <c r="AG230" s="61"/>
      <c r="AH230" s="61"/>
    </row>
    <row r="231">
      <c r="A231" s="65"/>
      <c r="B231" s="65"/>
      <c r="C231" s="65"/>
      <c r="D231" s="66"/>
      <c r="E231" s="65"/>
      <c r="F231" s="65"/>
      <c r="G231" s="65"/>
      <c r="H231" s="65"/>
      <c r="I231" s="65"/>
      <c r="J231" s="65"/>
      <c r="K231" s="65"/>
      <c r="L231" s="65"/>
      <c r="M231" s="65"/>
      <c r="N231" s="65"/>
      <c r="O231" s="67"/>
      <c r="P231" s="65"/>
      <c r="Q231" s="65"/>
      <c r="R231" s="65"/>
      <c r="S231" s="65"/>
      <c r="T231" s="65"/>
      <c r="U231" s="65"/>
      <c r="V231" s="68"/>
      <c r="W231" s="65"/>
      <c r="X231" s="65"/>
      <c r="Y231" s="65"/>
      <c r="Z231" s="65"/>
      <c r="AA231" s="65"/>
      <c r="AB231" s="65"/>
      <c r="AC231" s="65"/>
      <c r="AD231" s="65"/>
      <c r="AE231" s="65"/>
      <c r="AF231" s="65"/>
      <c r="AG231" s="65"/>
      <c r="AH231" s="65"/>
    </row>
    <row r="232">
      <c r="A232" s="61"/>
      <c r="B232" s="61"/>
      <c r="C232" s="61"/>
      <c r="D232" s="62"/>
      <c r="E232" s="61"/>
      <c r="F232" s="61"/>
      <c r="G232" s="61"/>
      <c r="H232" s="61"/>
      <c r="I232" s="61"/>
      <c r="J232" s="61"/>
      <c r="K232" s="61"/>
      <c r="L232" s="61"/>
      <c r="M232" s="61"/>
      <c r="N232" s="61"/>
      <c r="O232" s="63"/>
      <c r="P232" s="61"/>
      <c r="Q232" s="61"/>
      <c r="R232" s="61"/>
      <c r="S232" s="61"/>
      <c r="T232" s="61"/>
      <c r="U232" s="61"/>
      <c r="V232" s="64"/>
      <c r="W232" s="61"/>
      <c r="X232" s="61"/>
      <c r="Y232" s="61"/>
      <c r="Z232" s="61"/>
      <c r="AA232" s="61"/>
      <c r="AB232" s="61"/>
      <c r="AC232" s="61"/>
      <c r="AD232" s="61"/>
      <c r="AE232" s="61"/>
      <c r="AF232" s="61"/>
      <c r="AG232" s="61"/>
      <c r="AH232" s="61"/>
    </row>
    <row r="233">
      <c r="A233" s="65"/>
      <c r="B233" s="65"/>
      <c r="C233" s="65"/>
      <c r="D233" s="66"/>
      <c r="E233" s="65"/>
      <c r="F233" s="65"/>
      <c r="G233" s="65"/>
      <c r="H233" s="65"/>
      <c r="I233" s="65"/>
      <c r="J233" s="65"/>
      <c r="K233" s="65"/>
      <c r="L233" s="65"/>
      <c r="M233" s="65"/>
      <c r="N233" s="65"/>
      <c r="O233" s="67"/>
      <c r="P233" s="65"/>
      <c r="Q233" s="65"/>
      <c r="R233" s="65"/>
      <c r="S233" s="65"/>
      <c r="T233" s="65"/>
      <c r="U233" s="65"/>
      <c r="V233" s="68"/>
      <c r="W233" s="65"/>
      <c r="X233" s="65"/>
      <c r="Y233" s="65"/>
      <c r="Z233" s="65"/>
      <c r="AA233" s="65"/>
      <c r="AB233" s="65"/>
      <c r="AC233" s="65"/>
      <c r="AD233" s="65"/>
      <c r="AE233" s="65"/>
      <c r="AF233" s="65"/>
      <c r="AG233" s="65"/>
      <c r="AH233" s="65"/>
    </row>
    <row r="234">
      <c r="A234" s="61"/>
      <c r="B234" s="61"/>
      <c r="C234" s="61"/>
      <c r="D234" s="62"/>
      <c r="E234" s="61"/>
      <c r="F234" s="61"/>
      <c r="G234" s="61"/>
      <c r="H234" s="61"/>
      <c r="I234" s="61"/>
      <c r="J234" s="61"/>
      <c r="K234" s="61"/>
      <c r="L234" s="61"/>
      <c r="M234" s="61"/>
      <c r="N234" s="61"/>
      <c r="O234" s="63"/>
      <c r="P234" s="61"/>
      <c r="Q234" s="61"/>
      <c r="R234" s="61"/>
      <c r="S234" s="61"/>
      <c r="T234" s="61"/>
      <c r="U234" s="61"/>
      <c r="V234" s="64"/>
      <c r="W234" s="61"/>
      <c r="X234" s="61"/>
      <c r="Y234" s="61"/>
      <c r="Z234" s="61"/>
      <c r="AA234" s="61"/>
      <c r="AB234" s="61"/>
      <c r="AC234" s="61"/>
      <c r="AD234" s="61"/>
      <c r="AE234" s="61"/>
      <c r="AF234" s="61"/>
      <c r="AG234" s="61"/>
      <c r="AH234" s="61"/>
    </row>
    <row r="235">
      <c r="A235" s="65"/>
      <c r="B235" s="65"/>
      <c r="C235" s="65"/>
      <c r="D235" s="66"/>
      <c r="E235" s="65"/>
      <c r="F235" s="65"/>
      <c r="G235" s="65"/>
      <c r="H235" s="65"/>
      <c r="I235" s="65"/>
      <c r="J235" s="65"/>
      <c r="K235" s="65"/>
      <c r="L235" s="65"/>
      <c r="M235" s="65"/>
      <c r="N235" s="65"/>
      <c r="O235" s="67"/>
      <c r="P235" s="65"/>
      <c r="Q235" s="65"/>
      <c r="R235" s="65"/>
      <c r="S235" s="65"/>
      <c r="T235" s="65"/>
      <c r="U235" s="65"/>
      <c r="V235" s="68"/>
      <c r="W235" s="65"/>
      <c r="X235" s="65"/>
      <c r="Y235" s="65"/>
      <c r="Z235" s="65"/>
      <c r="AA235" s="65"/>
      <c r="AB235" s="65"/>
      <c r="AC235" s="65"/>
      <c r="AD235" s="65"/>
      <c r="AE235" s="65"/>
      <c r="AF235" s="65"/>
      <c r="AG235" s="65"/>
      <c r="AH235" s="65"/>
    </row>
    <row r="236">
      <c r="A236" s="61"/>
      <c r="B236" s="61"/>
      <c r="C236" s="61"/>
      <c r="D236" s="62"/>
      <c r="E236" s="61"/>
      <c r="F236" s="61"/>
      <c r="G236" s="61"/>
      <c r="H236" s="61"/>
      <c r="I236" s="61"/>
      <c r="J236" s="61"/>
      <c r="K236" s="61"/>
      <c r="L236" s="61"/>
      <c r="M236" s="61"/>
      <c r="N236" s="61"/>
      <c r="O236" s="63"/>
      <c r="P236" s="61"/>
      <c r="Q236" s="61"/>
      <c r="R236" s="61"/>
      <c r="S236" s="61"/>
      <c r="T236" s="61"/>
      <c r="U236" s="61"/>
      <c r="V236" s="64"/>
      <c r="W236" s="61"/>
      <c r="X236" s="61"/>
      <c r="Y236" s="61"/>
      <c r="Z236" s="61"/>
      <c r="AA236" s="61"/>
      <c r="AB236" s="61"/>
      <c r="AC236" s="61"/>
      <c r="AD236" s="61"/>
      <c r="AE236" s="61"/>
      <c r="AF236" s="61"/>
      <c r="AG236" s="61"/>
      <c r="AH236" s="61"/>
    </row>
    <row r="237">
      <c r="A237" s="65"/>
      <c r="B237" s="65"/>
      <c r="C237" s="65"/>
      <c r="D237" s="66"/>
      <c r="E237" s="65"/>
      <c r="F237" s="65"/>
      <c r="G237" s="65"/>
      <c r="H237" s="65"/>
      <c r="I237" s="65"/>
      <c r="J237" s="65"/>
      <c r="K237" s="65"/>
      <c r="L237" s="65"/>
      <c r="M237" s="65"/>
      <c r="N237" s="65"/>
      <c r="O237" s="67"/>
      <c r="P237" s="65"/>
      <c r="Q237" s="65"/>
      <c r="R237" s="65"/>
      <c r="S237" s="65"/>
      <c r="T237" s="65"/>
      <c r="U237" s="65"/>
      <c r="V237" s="68"/>
      <c r="W237" s="65"/>
      <c r="X237" s="65"/>
      <c r="Y237" s="65"/>
      <c r="Z237" s="65"/>
      <c r="AA237" s="65"/>
      <c r="AB237" s="65"/>
      <c r="AC237" s="65"/>
      <c r="AD237" s="65"/>
      <c r="AE237" s="65"/>
      <c r="AF237" s="65"/>
      <c r="AG237" s="65"/>
      <c r="AH237" s="65"/>
    </row>
    <row r="238">
      <c r="A238" s="61"/>
      <c r="B238" s="61"/>
      <c r="C238" s="61"/>
      <c r="D238" s="62"/>
      <c r="E238" s="61"/>
      <c r="F238" s="61"/>
      <c r="G238" s="61"/>
      <c r="H238" s="61"/>
      <c r="I238" s="61"/>
      <c r="J238" s="61"/>
      <c r="K238" s="61"/>
      <c r="L238" s="61"/>
      <c r="M238" s="61"/>
      <c r="N238" s="61"/>
      <c r="O238" s="63"/>
      <c r="P238" s="61"/>
      <c r="Q238" s="61"/>
      <c r="R238" s="61"/>
      <c r="S238" s="61"/>
      <c r="T238" s="61"/>
      <c r="U238" s="61"/>
      <c r="V238" s="64"/>
      <c r="W238" s="61"/>
      <c r="X238" s="61"/>
      <c r="Y238" s="61"/>
      <c r="Z238" s="61"/>
      <c r="AA238" s="61"/>
      <c r="AB238" s="61"/>
      <c r="AC238" s="61"/>
      <c r="AD238" s="61"/>
      <c r="AE238" s="61"/>
      <c r="AF238" s="61"/>
      <c r="AG238" s="61"/>
      <c r="AH238" s="61"/>
    </row>
    <row r="239">
      <c r="A239" s="65"/>
      <c r="B239" s="65"/>
      <c r="C239" s="65"/>
      <c r="D239" s="66"/>
      <c r="E239" s="65"/>
      <c r="F239" s="65"/>
      <c r="G239" s="65"/>
      <c r="H239" s="65"/>
      <c r="I239" s="65"/>
      <c r="J239" s="65"/>
      <c r="K239" s="65"/>
      <c r="L239" s="65"/>
      <c r="M239" s="65"/>
      <c r="N239" s="65"/>
      <c r="O239" s="67"/>
      <c r="P239" s="65"/>
      <c r="Q239" s="65"/>
      <c r="R239" s="65"/>
      <c r="S239" s="65"/>
      <c r="T239" s="65"/>
      <c r="U239" s="65"/>
      <c r="V239" s="68"/>
      <c r="W239" s="65"/>
      <c r="X239" s="65"/>
      <c r="Y239" s="65"/>
      <c r="Z239" s="65"/>
      <c r="AA239" s="65"/>
      <c r="AB239" s="65"/>
      <c r="AC239" s="65"/>
      <c r="AD239" s="65"/>
      <c r="AE239" s="65"/>
      <c r="AF239" s="65"/>
      <c r="AG239" s="65"/>
      <c r="AH239" s="65"/>
    </row>
    <row r="240">
      <c r="A240" s="61"/>
      <c r="B240" s="61"/>
      <c r="C240" s="61"/>
      <c r="D240" s="62"/>
      <c r="E240" s="61"/>
      <c r="F240" s="61"/>
      <c r="G240" s="61"/>
      <c r="H240" s="61"/>
      <c r="I240" s="61"/>
      <c r="J240" s="61"/>
      <c r="K240" s="61"/>
      <c r="L240" s="61"/>
      <c r="M240" s="61"/>
      <c r="N240" s="61"/>
      <c r="O240" s="63"/>
      <c r="P240" s="61"/>
      <c r="Q240" s="61"/>
      <c r="R240" s="61"/>
      <c r="S240" s="61"/>
      <c r="T240" s="61"/>
      <c r="U240" s="61"/>
      <c r="V240" s="64"/>
      <c r="W240" s="61"/>
      <c r="X240" s="61"/>
      <c r="Y240" s="61"/>
      <c r="Z240" s="61"/>
      <c r="AA240" s="61"/>
      <c r="AB240" s="61"/>
      <c r="AC240" s="61"/>
      <c r="AD240" s="61"/>
      <c r="AE240" s="61"/>
      <c r="AF240" s="61"/>
      <c r="AG240" s="61"/>
      <c r="AH240" s="61"/>
    </row>
    <row r="241">
      <c r="A241" s="65"/>
      <c r="B241" s="65"/>
      <c r="C241" s="65"/>
      <c r="D241" s="66"/>
      <c r="E241" s="65"/>
      <c r="F241" s="65"/>
      <c r="G241" s="65"/>
      <c r="H241" s="65"/>
      <c r="I241" s="65"/>
      <c r="J241" s="65"/>
      <c r="K241" s="65"/>
      <c r="L241" s="65"/>
      <c r="M241" s="65"/>
      <c r="N241" s="65"/>
      <c r="O241" s="67"/>
      <c r="P241" s="65"/>
      <c r="Q241" s="65"/>
      <c r="R241" s="65"/>
      <c r="S241" s="65"/>
      <c r="T241" s="65"/>
      <c r="U241" s="65"/>
      <c r="V241" s="68"/>
      <c r="W241" s="65"/>
      <c r="X241" s="65"/>
      <c r="Y241" s="65"/>
      <c r="Z241" s="65"/>
      <c r="AA241" s="65"/>
      <c r="AB241" s="65"/>
      <c r="AC241" s="65"/>
      <c r="AD241" s="65"/>
      <c r="AE241" s="65"/>
      <c r="AF241" s="65"/>
      <c r="AG241" s="65"/>
      <c r="AH241" s="65"/>
    </row>
    <row r="242">
      <c r="A242" s="61"/>
      <c r="B242" s="61"/>
      <c r="C242" s="61"/>
      <c r="D242" s="62"/>
      <c r="E242" s="61"/>
      <c r="F242" s="61"/>
      <c r="G242" s="61"/>
      <c r="H242" s="61"/>
      <c r="I242" s="61"/>
      <c r="J242" s="61"/>
      <c r="K242" s="61"/>
      <c r="L242" s="61"/>
      <c r="M242" s="61"/>
      <c r="N242" s="61"/>
      <c r="O242" s="63"/>
      <c r="P242" s="61"/>
      <c r="Q242" s="61"/>
      <c r="R242" s="61"/>
      <c r="S242" s="61"/>
      <c r="T242" s="61"/>
      <c r="U242" s="61"/>
      <c r="V242" s="64"/>
      <c r="W242" s="61"/>
      <c r="X242" s="61"/>
      <c r="Y242" s="61"/>
      <c r="Z242" s="61"/>
      <c r="AA242" s="61"/>
      <c r="AB242" s="61"/>
      <c r="AC242" s="61"/>
      <c r="AD242" s="61"/>
      <c r="AE242" s="61"/>
      <c r="AF242" s="61"/>
      <c r="AG242" s="61"/>
      <c r="AH242" s="61"/>
    </row>
    <row r="243">
      <c r="A243" s="65"/>
      <c r="B243" s="65"/>
      <c r="C243" s="65"/>
      <c r="D243" s="66"/>
      <c r="E243" s="65"/>
      <c r="F243" s="65"/>
      <c r="G243" s="65"/>
      <c r="H243" s="65"/>
      <c r="I243" s="65"/>
      <c r="J243" s="65"/>
      <c r="K243" s="65"/>
      <c r="L243" s="65"/>
      <c r="M243" s="65"/>
      <c r="N243" s="65"/>
      <c r="O243" s="67"/>
      <c r="P243" s="65"/>
      <c r="Q243" s="65"/>
      <c r="R243" s="65"/>
      <c r="S243" s="65"/>
      <c r="T243" s="65"/>
      <c r="U243" s="65"/>
      <c r="V243" s="68"/>
      <c r="W243" s="65"/>
      <c r="X243" s="65"/>
      <c r="Y243" s="65"/>
      <c r="Z243" s="65"/>
      <c r="AA243" s="65"/>
      <c r="AB243" s="65"/>
      <c r="AC243" s="65"/>
      <c r="AD243" s="65"/>
      <c r="AE243" s="65"/>
      <c r="AF243" s="65"/>
      <c r="AG243" s="65"/>
      <c r="AH243" s="65"/>
    </row>
    <row r="244">
      <c r="A244" s="61"/>
      <c r="B244" s="61"/>
      <c r="C244" s="61"/>
      <c r="D244" s="62"/>
      <c r="E244" s="61"/>
      <c r="F244" s="61"/>
      <c r="G244" s="61"/>
      <c r="H244" s="61"/>
      <c r="I244" s="61"/>
      <c r="J244" s="61"/>
      <c r="K244" s="61"/>
      <c r="L244" s="61"/>
      <c r="M244" s="61"/>
      <c r="N244" s="61"/>
      <c r="O244" s="63"/>
      <c r="P244" s="61"/>
      <c r="Q244" s="61"/>
      <c r="R244" s="61"/>
      <c r="S244" s="61"/>
      <c r="T244" s="61"/>
      <c r="U244" s="61"/>
      <c r="V244" s="64"/>
      <c r="W244" s="61"/>
      <c r="X244" s="61"/>
      <c r="Y244" s="61"/>
      <c r="Z244" s="61"/>
      <c r="AA244" s="61"/>
      <c r="AB244" s="61"/>
      <c r="AC244" s="61"/>
      <c r="AD244" s="61"/>
      <c r="AE244" s="61"/>
      <c r="AF244" s="61"/>
      <c r="AG244" s="61"/>
      <c r="AH244" s="61"/>
    </row>
    <row r="245">
      <c r="A245" s="65"/>
      <c r="B245" s="65"/>
      <c r="C245" s="65"/>
      <c r="D245" s="66"/>
      <c r="E245" s="65"/>
      <c r="F245" s="65"/>
      <c r="G245" s="65"/>
      <c r="H245" s="65"/>
      <c r="I245" s="65"/>
      <c r="J245" s="65"/>
      <c r="K245" s="65"/>
      <c r="L245" s="65"/>
      <c r="M245" s="65"/>
      <c r="N245" s="65"/>
      <c r="O245" s="67"/>
      <c r="P245" s="65"/>
      <c r="Q245" s="65"/>
      <c r="R245" s="65"/>
      <c r="S245" s="65"/>
      <c r="T245" s="65"/>
      <c r="U245" s="65"/>
      <c r="V245" s="68"/>
      <c r="W245" s="65"/>
      <c r="X245" s="65"/>
      <c r="Y245" s="65"/>
      <c r="Z245" s="65"/>
      <c r="AA245" s="65"/>
      <c r="AB245" s="65"/>
      <c r="AC245" s="65"/>
      <c r="AD245" s="65"/>
      <c r="AE245" s="65"/>
      <c r="AF245" s="65"/>
      <c r="AG245" s="65"/>
      <c r="AH245" s="65"/>
    </row>
    <row r="246">
      <c r="A246" s="61"/>
      <c r="B246" s="61"/>
      <c r="C246" s="61"/>
      <c r="D246" s="62"/>
      <c r="E246" s="61"/>
      <c r="F246" s="61"/>
      <c r="G246" s="61"/>
      <c r="H246" s="61"/>
      <c r="I246" s="61"/>
      <c r="J246" s="61"/>
      <c r="K246" s="61"/>
      <c r="L246" s="61"/>
      <c r="M246" s="61"/>
      <c r="N246" s="61"/>
      <c r="O246" s="63"/>
      <c r="P246" s="61"/>
      <c r="Q246" s="61"/>
      <c r="R246" s="61"/>
      <c r="S246" s="61"/>
      <c r="T246" s="61"/>
      <c r="U246" s="61"/>
      <c r="V246" s="64"/>
      <c r="W246" s="61"/>
      <c r="X246" s="61"/>
      <c r="Y246" s="61"/>
      <c r="Z246" s="61"/>
      <c r="AA246" s="61"/>
      <c r="AB246" s="61"/>
      <c r="AC246" s="61"/>
      <c r="AD246" s="61"/>
      <c r="AE246" s="61"/>
      <c r="AF246" s="61"/>
      <c r="AG246" s="61"/>
      <c r="AH246" s="61"/>
    </row>
    <row r="247">
      <c r="A247" s="65"/>
      <c r="B247" s="65"/>
      <c r="C247" s="65"/>
      <c r="D247" s="66"/>
      <c r="E247" s="65"/>
      <c r="F247" s="65"/>
      <c r="G247" s="65"/>
      <c r="H247" s="65"/>
      <c r="I247" s="65"/>
      <c r="J247" s="65"/>
      <c r="K247" s="65"/>
      <c r="L247" s="65"/>
      <c r="M247" s="65"/>
      <c r="N247" s="65"/>
      <c r="O247" s="67"/>
      <c r="P247" s="65"/>
      <c r="Q247" s="65"/>
      <c r="R247" s="65"/>
      <c r="S247" s="65"/>
      <c r="T247" s="65"/>
      <c r="U247" s="65"/>
      <c r="V247" s="68"/>
      <c r="W247" s="65"/>
      <c r="X247" s="65"/>
      <c r="Y247" s="65"/>
      <c r="Z247" s="65"/>
      <c r="AA247" s="65"/>
      <c r="AB247" s="65"/>
      <c r="AC247" s="65"/>
      <c r="AD247" s="65"/>
      <c r="AE247" s="65"/>
      <c r="AF247" s="65"/>
      <c r="AG247" s="65"/>
      <c r="AH247" s="65"/>
    </row>
    <row r="248">
      <c r="A248" s="61"/>
      <c r="B248" s="61"/>
      <c r="C248" s="61"/>
      <c r="D248" s="62"/>
      <c r="E248" s="61"/>
      <c r="F248" s="61"/>
      <c r="G248" s="61"/>
      <c r="H248" s="61"/>
      <c r="I248" s="61"/>
      <c r="J248" s="61"/>
      <c r="K248" s="61"/>
      <c r="L248" s="61"/>
      <c r="M248" s="61"/>
      <c r="N248" s="61"/>
      <c r="O248" s="63"/>
      <c r="P248" s="61"/>
      <c r="Q248" s="61"/>
      <c r="R248" s="61"/>
      <c r="S248" s="61"/>
      <c r="T248" s="61"/>
      <c r="U248" s="61"/>
      <c r="V248" s="64"/>
      <c r="W248" s="61"/>
      <c r="X248" s="61"/>
      <c r="Y248" s="61"/>
      <c r="Z248" s="61"/>
      <c r="AA248" s="61"/>
      <c r="AB248" s="61"/>
      <c r="AC248" s="61"/>
      <c r="AD248" s="61"/>
      <c r="AE248" s="61"/>
      <c r="AF248" s="61"/>
      <c r="AG248" s="61"/>
      <c r="AH248" s="61"/>
    </row>
    <row r="249">
      <c r="A249" s="65"/>
      <c r="B249" s="65"/>
      <c r="C249" s="65"/>
      <c r="D249" s="66"/>
      <c r="E249" s="65"/>
      <c r="F249" s="65"/>
      <c r="G249" s="65"/>
      <c r="H249" s="65"/>
      <c r="I249" s="65"/>
      <c r="J249" s="65"/>
      <c r="K249" s="65"/>
      <c r="L249" s="65"/>
      <c r="M249" s="65"/>
      <c r="N249" s="65"/>
      <c r="O249" s="67"/>
      <c r="P249" s="65"/>
      <c r="Q249" s="65"/>
      <c r="R249" s="65"/>
      <c r="S249" s="65"/>
      <c r="T249" s="65"/>
      <c r="U249" s="65"/>
      <c r="V249" s="68"/>
      <c r="W249" s="65"/>
      <c r="X249" s="65"/>
      <c r="Y249" s="65"/>
      <c r="Z249" s="65"/>
      <c r="AA249" s="65"/>
      <c r="AB249" s="65"/>
      <c r="AC249" s="65"/>
      <c r="AD249" s="65"/>
      <c r="AE249" s="65"/>
      <c r="AF249" s="65"/>
      <c r="AG249" s="65"/>
      <c r="AH249" s="65"/>
    </row>
    <row r="250">
      <c r="A250" s="61"/>
      <c r="B250" s="61"/>
      <c r="C250" s="61"/>
      <c r="D250" s="62"/>
      <c r="E250" s="61"/>
      <c r="F250" s="61"/>
      <c r="G250" s="61"/>
      <c r="H250" s="61"/>
      <c r="I250" s="61"/>
      <c r="J250" s="61"/>
      <c r="K250" s="61"/>
      <c r="L250" s="61"/>
      <c r="M250" s="61"/>
      <c r="N250" s="61"/>
      <c r="O250" s="63"/>
      <c r="P250" s="61"/>
      <c r="Q250" s="61"/>
      <c r="R250" s="61"/>
      <c r="S250" s="61"/>
      <c r="T250" s="61"/>
      <c r="U250" s="61"/>
      <c r="V250" s="64"/>
      <c r="W250" s="61"/>
      <c r="X250" s="61"/>
      <c r="Y250" s="61"/>
      <c r="Z250" s="61"/>
      <c r="AA250" s="61"/>
      <c r="AB250" s="61"/>
      <c r="AC250" s="61"/>
      <c r="AD250" s="61"/>
      <c r="AE250" s="61"/>
      <c r="AF250" s="61"/>
      <c r="AG250" s="61"/>
      <c r="AH250" s="61"/>
    </row>
    <row r="251">
      <c r="A251" s="65"/>
      <c r="B251" s="65"/>
      <c r="C251" s="65"/>
      <c r="D251" s="66"/>
      <c r="E251" s="65"/>
      <c r="F251" s="65"/>
      <c r="G251" s="65"/>
      <c r="H251" s="65"/>
      <c r="I251" s="65"/>
      <c r="J251" s="65"/>
      <c r="K251" s="65"/>
      <c r="L251" s="65"/>
      <c r="M251" s="65"/>
      <c r="N251" s="65"/>
      <c r="O251" s="67"/>
      <c r="P251" s="65"/>
      <c r="Q251" s="65"/>
      <c r="R251" s="65"/>
      <c r="S251" s="65"/>
      <c r="T251" s="65"/>
      <c r="U251" s="65"/>
      <c r="V251" s="68"/>
      <c r="W251" s="65"/>
      <c r="X251" s="65"/>
      <c r="Y251" s="65"/>
      <c r="Z251" s="65"/>
      <c r="AA251" s="65"/>
      <c r="AB251" s="65"/>
      <c r="AC251" s="65"/>
      <c r="AD251" s="65"/>
      <c r="AE251" s="65"/>
      <c r="AF251" s="65"/>
      <c r="AG251" s="65"/>
      <c r="AH251" s="65"/>
    </row>
    <row r="252">
      <c r="A252" s="61"/>
      <c r="B252" s="61"/>
      <c r="C252" s="61"/>
      <c r="D252" s="62"/>
      <c r="E252" s="61"/>
      <c r="F252" s="61"/>
      <c r="G252" s="61"/>
      <c r="H252" s="61"/>
      <c r="I252" s="61"/>
      <c r="J252" s="61"/>
      <c r="K252" s="61"/>
      <c r="L252" s="61"/>
      <c r="M252" s="61"/>
      <c r="N252" s="61"/>
      <c r="O252" s="63"/>
      <c r="P252" s="61"/>
      <c r="Q252" s="61"/>
      <c r="R252" s="61"/>
      <c r="S252" s="61"/>
      <c r="T252" s="61"/>
      <c r="U252" s="61"/>
      <c r="V252" s="64"/>
      <c r="W252" s="61"/>
      <c r="X252" s="61"/>
      <c r="Y252" s="61"/>
      <c r="Z252" s="61"/>
      <c r="AA252" s="61"/>
      <c r="AB252" s="61"/>
      <c r="AC252" s="61"/>
      <c r="AD252" s="61"/>
      <c r="AE252" s="61"/>
      <c r="AF252" s="61"/>
      <c r="AG252" s="61"/>
      <c r="AH252" s="61"/>
    </row>
    <row r="253">
      <c r="A253" s="65"/>
      <c r="B253" s="65"/>
      <c r="C253" s="65"/>
      <c r="D253" s="66"/>
      <c r="E253" s="65"/>
      <c r="F253" s="65"/>
      <c r="G253" s="65"/>
      <c r="H253" s="65"/>
      <c r="I253" s="65"/>
      <c r="J253" s="65"/>
      <c r="K253" s="65"/>
      <c r="L253" s="65"/>
      <c r="M253" s="65"/>
      <c r="N253" s="65"/>
      <c r="O253" s="67"/>
      <c r="P253" s="65"/>
      <c r="Q253" s="65"/>
      <c r="R253" s="65"/>
      <c r="S253" s="65"/>
      <c r="T253" s="65"/>
      <c r="U253" s="65"/>
      <c r="V253" s="68"/>
      <c r="W253" s="65"/>
      <c r="X253" s="65"/>
      <c r="Y253" s="65"/>
      <c r="Z253" s="65"/>
      <c r="AA253" s="65"/>
      <c r="AB253" s="65"/>
      <c r="AC253" s="65"/>
      <c r="AD253" s="65"/>
      <c r="AE253" s="65"/>
      <c r="AF253" s="65"/>
      <c r="AG253" s="65"/>
      <c r="AH253" s="65"/>
    </row>
    <row r="254">
      <c r="A254" s="61"/>
      <c r="B254" s="61"/>
      <c r="C254" s="61"/>
      <c r="D254" s="62"/>
      <c r="E254" s="61"/>
      <c r="F254" s="61"/>
      <c r="G254" s="61"/>
      <c r="H254" s="61"/>
      <c r="I254" s="61"/>
      <c r="J254" s="61"/>
      <c r="K254" s="61"/>
      <c r="L254" s="61"/>
      <c r="M254" s="61"/>
      <c r="N254" s="61"/>
      <c r="O254" s="63"/>
      <c r="P254" s="61"/>
      <c r="Q254" s="61"/>
      <c r="R254" s="61"/>
      <c r="S254" s="61"/>
      <c r="T254" s="61"/>
      <c r="U254" s="61"/>
      <c r="V254" s="64"/>
      <c r="W254" s="61"/>
      <c r="X254" s="61"/>
      <c r="Y254" s="61"/>
      <c r="Z254" s="61"/>
      <c r="AA254" s="61"/>
      <c r="AB254" s="61"/>
      <c r="AC254" s="61"/>
      <c r="AD254" s="61"/>
      <c r="AE254" s="61"/>
      <c r="AF254" s="61"/>
      <c r="AG254" s="61"/>
      <c r="AH254" s="61"/>
    </row>
    <row r="255">
      <c r="A255" s="65"/>
      <c r="B255" s="65"/>
      <c r="C255" s="65"/>
      <c r="D255" s="66"/>
      <c r="E255" s="65"/>
      <c r="F255" s="65"/>
      <c r="G255" s="65"/>
      <c r="H255" s="65"/>
      <c r="I255" s="65"/>
      <c r="J255" s="65"/>
      <c r="K255" s="65"/>
      <c r="L255" s="65"/>
      <c r="M255" s="65"/>
      <c r="N255" s="65"/>
      <c r="O255" s="67"/>
      <c r="P255" s="65"/>
      <c r="Q255" s="65"/>
      <c r="R255" s="65"/>
      <c r="S255" s="65"/>
      <c r="T255" s="65"/>
      <c r="U255" s="65"/>
      <c r="V255" s="68"/>
      <c r="W255" s="65"/>
      <c r="X255" s="65"/>
      <c r="Y255" s="65"/>
      <c r="Z255" s="65"/>
      <c r="AA255" s="65"/>
      <c r="AB255" s="65"/>
      <c r="AC255" s="65"/>
      <c r="AD255" s="65"/>
      <c r="AE255" s="65"/>
      <c r="AF255" s="65"/>
      <c r="AG255" s="65"/>
      <c r="AH255" s="65"/>
    </row>
    <row r="256">
      <c r="A256" s="61"/>
      <c r="B256" s="61"/>
      <c r="C256" s="61"/>
      <c r="D256" s="62"/>
      <c r="E256" s="61"/>
      <c r="F256" s="61"/>
      <c r="G256" s="61"/>
      <c r="H256" s="61"/>
      <c r="I256" s="61"/>
      <c r="J256" s="61"/>
      <c r="K256" s="61"/>
      <c r="L256" s="61"/>
      <c r="M256" s="61"/>
      <c r="N256" s="61"/>
      <c r="O256" s="63"/>
      <c r="P256" s="61"/>
      <c r="Q256" s="61"/>
      <c r="R256" s="61"/>
      <c r="S256" s="61"/>
      <c r="T256" s="61"/>
      <c r="U256" s="61"/>
      <c r="V256" s="64"/>
      <c r="W256" s="61"/>
      <c r="X256" s="61"/>
      <c r="Y256" s="61"/>
      <c r="Z256" s="61"/>
      <c r="AA256" s="61"/>
      <c r="AB256" s="61"/>
      <c r="AC256" s="61"/>
      <c r="AD256" s="61"/>
      <c r="AE256" s="61"/>
      <c r="AF256" s="61"/>
      <c r="AG256" s="61"/>
      <c r="AH256" s="61"/>
    </row>
    <row r="257">
      <c r="A257" s="65"/>
      <c r="B257" s="65"/>
      <c r="C257" s="65"/>
      <c r="D257" s="66"/>
      <c r="E257" s="65"/>
      <c r="F257" s="65"/>
      <c r="G257" s="65"/>
      <c r="H257" s="65"/>
      <c r="I257" s="65"/>
      <c r="J257" s="65"/>
      <c r="K257" s="65"/>
      <c r="L257" s="65"/>
      <c r="M257" s="65"/>
      <c r="N257" s="65"/>
      <c r="O257" s="67"/>
      <c r="P257" s="65"/>
      <c r="Q257" s="65"/>
      <c r="R257" s="65"/>
      <c r="S257" s="65"/>
      <c r="T257" s="65"/>
      <c r="U257" s="65"/>
      <c r="V257" s="68"/>
      <c r="W257" s="65"/>
      <c r="X257" s="65"/>
      <c r="Y257" s="65"/>
      <c r="Z257" s="65"/>
      <c r="AA257" s="65"/>
      <c r="AB257" s="65"/>
      <c r="AC257" s="65"/>
      <c r="AD257" s="65"/>
      <c r="AE257" s="65"/>
      <c r="AF257" s="65"/>
      <c r="AG257" s="65"/>
      <c r="AH257" s="65"/>
    </row>
    <row r="258">
      <c r="A258" s="61"/>
      <c r="B258" s="61"/>
      <c r="C258" s="61"/>
      <c r="D258" s="62"/>
      <c r="E258" s="61"/>
      <c r="F258" s="61"/>
      <c r="G258" s="61"/>
      <c r="H258" s="61"/>
      <c r="I258" s="61"/>
      <c r="J258" s="61"/>
      <c r="K258" s="61"/>
      <c r="L258" s="61"/>
      <c r="M258" s="61"/>
      <c r="N258" s="61"/>
      <c r="O258" s="63"/>
      <c r="P258" s="61"/>
      <c r="Q258" s="61"/>
      <c r="R258" s="61"/>
      <c r="S258" s="61"/>
      <c r="T258" s="61"/>
      <c r="U258" s="61"/>
      <c r="V258" s="64"/>
      <c r="W258" s="61"/>
      <c r="X258" s="61"/>
      <c r="Y258" s="61"/>
      <c r="Z258" s="61"/>
      <c r="AA258" s="61"/>
      <c r="AB258" s="61"/>
      <c r="AC258" s="61"/>
      <c r="AD258" s="61"/>
      <c r="AE258" s="61"/>
      <c r="AF258" s="61"/>
      <c r="AG258" s="61"/>
      <c r="AH258" s="61"/>
    </row>
    <row r="259">
      <c r="A259" s="65"/>
      <c r="B259" s="65"/>
      <c r="C259" s="65"/>
      <c r="D259" s="66"/>
      <c r="E259" s="65"/>
      <c r="F259" s="65"/>
      <c r="G259" s="65"/>
      <c r="H259" s="65"/>
      <c r="I259" s="65"/>
      <c r="J259" s="65"/>
      <c r="K259" s="65"/>
      <c r="L259" s="65"/>
      <c r="M259" s="65"/>
      <c r="N259" s="65"/>
      <c r="O259" s="67"/>
      <c r="P259" s="65"/>
      <c r="Q259" s="65"/>
      <c r="R259" s="65"/>
      <c r="S259" s="65"/>
      <c r="T259" s="65"/>
      <c r="U259" s="65"/>
      <c r="V259" s="68"/>
      <c r="W259" s="65"/>
      <c r="X259" s="65"/>
      <c r="Y259" s="65"/>
      <c r="Z259" s="65"/>
      <c r="AA259" s="65"/>
      <c r="AB259" s="65"/>
      <c r="AC259" s="65"/>
      <c r="AD259" s="65"/>
      <c r="AE259" s="65"/>
      <c r="AF259" s="65"/>
      <c r="AG259" s="65"/>
      <c r="AH259" s="65"/>
    </row>
    <row r="260">
      <c r="A260" s="61"/>
      <c r="B260" s="61"/>
      <c r="C260" s="61"/>
      <c r="D260" s="62"/>
      <c r="E260" s="61"/>
      <c r="F260" s="61"/>
      <c r="G260" s="61"/>
      <c r="H260" s="61"/>
      <c r="I260" s="61"/>
      <c r="J260" s="61"/>
      <c r="K260" s="61"/>
      <c r="L260" s="61"/>
      <c r="M260" s="61"/>
      <c r="N260" s="61"/>
      <c r="O260" s="63"/>
      <c r="P260" s="61"/>
      <c r="Q260" s="61"/>
      <c r="R260" s="61"/>
      <c r="S260" s="61"/>
      <c r="T260" s="61"/>
      <c r="U260" s="61"/>
      <c r="V260" s="64"/>
      <c r="W260" s="61"/>
      <c r="X260" s="61"/>
      <c r="Y260" s="61"/>
      <c r="Z260" s="61"/>
      <c r="AA260" s="61"/>
      <c r="AB260" s="61"/>
      <c r="AC260" s="61"/>
      <c r="AD260" s="61"/>
      <c r="AE260" s="61"/>
      <c r="AF260" s="61"/>
      <c r="AG260" s="61"/>
      <c r="AH260" s="61"/>
    </row>
    <row r="261">
      <c r="A261" s="65"/>
      <c r="B261" s="65"/>
      <c r="C261" s="65"/>
      <c r="D261" s="66"/>
      <c r="E261" s="65"/>
      <c r="F261" s="65"/>
      <c r="G261" s="65"/>
      <c r="H261" s="65"/>
      <c r="I261" s="65"/>
      <c r="J261" s="65"/>
      <c r="K261" s="65"/>
      <c r="L261" s="65"/>
      <c r="M261" s="65"/>
      <c r="N261" s="65"/>
      <c r="O261" s="67"/>
      <c r="P261" s="65"/>
      <c r="Q261" s="65"/>
      <c r="R261" s="65"/>
      <c r="S261" s="65"/>
      <c r="T261" s="65"/>
      <c r="U261" s="65"/>
      <c r="V261" s="68"/>
      <c r="W261" s="65"/>
      <c r="X261" s="65"/>
      <c r="Y261" s="65"/>
      <c r="Z261" s="65"/>
      <c r="AA261" s="65"/>
      <c r="AB261" s="65"/>
      <c r="AC261" s="65"/>
      <c r="AD261" s="65"/>
      <c r="AE261" s="65"/>
      <c r="AF261" s="65"/>
      <c r="AG261" s="65"/>
      <c r="AH261" s="65"/>
    </row>
    <row r="262">
      <c r="A262" s="61"/>
      <c r="B262" s="61"/>
      <c r="C262" s="61"/>
      <c r="D262" s="62"/>
      <c r="E262" s="61"/>
      <c r="F262" s="61"/>
      <c r="G262" s="61"/>
      <c r="H262" s="61"/>
      <c r="I262" s="61"/>
      <c r="J262" s="61"/>
      <c r="K262" s="61"/>
      <c r="L262" s="61"/>
      <c r="M262" s="61"/>
      <c r="N262" s="61"/>
      <c r="O262" s="63"/>
      <c r="P262" s="61"/>
      <c r="Q262" s="61"/>
      <c r="R262" s="61"/>
      <c r="S262" s="61"/>
      <c r="T262" s="61"/>
      <c r="U262" s="61"/>
      <c r="V262" s="64"/>
      <c r="W262" s="61"/>
      <c r="X262" s="61"/>
      <c r="Y262" s="61"/>
      <c r="Z262" s="61"/>
      <c r="AA262" s="61"/>
      <c r="AB262" s="61"/>
      <c r="AC262" s="61"/>
      <c r="AD262" s="61"/>
      <c r="AE262" s="61"/>
      <c r="AF262" s="61"/>
      <c r="AG262" s="61"/>
      <c r="AH262" s="61"/>
    </row>
    <row r="263">
      <c r="A263" s="65"/>
      <c r="B263" s="65"/>
      <c r="C263" s="65"/>
      <c r="D263" s="66"/>
      <c r="E263" s="65"/>
      <c r="F263" s="65"/>
      <c r="G263" s="65"/>
      <c r="H263" s="65"/>
      <c r="I263" s="65"/>
      <c r="J263" s="65"/>
      <c r="K263" s="65"/>
      <c r="L263" s="65"/>
      <c r="M263" s="65"/>
      <c r="N263" s="65"/>
      <c r="O263" s="67"/>
      <c r="P263" s="65"/>
      <c r="Q263" s="65"/>
      <c r="R263" s="65"/>
      <c r="S263" s="65"/>
      <c r="T263" s="65"/>
      <c r="U263" s="65"/>
      <c r="V263" s="68"/>
      <c r="W263" s="65"/>
      <c r="X263" s="65"/>
      <c r="Y263" s="65"/>
      <c r="Z263" s="65"/>
      <c r="AA263" s="65"/>
      <c r="AB263" s="65"/>
      <c r="AC263" s="65"/>
      <c r="AD263" s="65"/>
      <c r="AE263" s="65"/>
      <c r="AF263" s="65"/>
      <c r="AG263" s="65"/>
      <c r="AH263" s="65"/>
    </row>
    <row r="264">
      <c r="A264" s="61"/>
      <c r="B264" s="61"/>
      <c r="C264" s="61"/>
      <c r="D264" s="62"/>
      <c r="E264" s="61"/>
      <c r="F264" s="61"/>
      <c r="G264" s="61"/>
      <c r="H264" s="61"/>
      <c r="I264" s="61"/>
      <c r="J264" s="61"/>
      <c r="K264" s="61"/>
      <c r="L264" s="61"/>
      <c r="M264" s="61"/>
      <c r="N264" s="61"/>
      <c r="O264" s="63"/>
      <c r="P264" s="61"/>
      <c r="Q264" s="61"/>
      <c r="R264" s="61"/>
      <c r="S264" s="61"/>
      <c r="T264" s="61"/>
      <c r="U264" s="61"/>
      <c r="V264" s="64"/>
      <c r="W264" s="61"/>
      <c r="X264" s="61"/>
      <c r="Y264" s="61"/>
      <c r="Z264" s="61"/>
      <c r="AA264" s="61"/>
      <c r="AB264" s="61"/>
      <c r="AC264" s="61"/>
      <c r="AD264" s="61"/>
      <c r="AE264" s="61"/>
      <c r="AF264" s="61"/>
      <c r="AG264" s="61"/>
      <c r="AH264" s="61"/>
    </row>
    <row r="265">
      <c r="A265" s="65"/>
      <c r="B265" s="65"/>
      <c r="C265" s="65"/>
      <c r="D265" s="66"/>
      <c r="E265" s="65"/>
      <c r="F265" s="65"/>
      <c r="G265" s="65"/>
      <c r="H265" s="65"/>
      <c r="I265" s="65"/>
      <c r="J265" s="65"/>
      <c r="K265" s="65"/>
      <c r="L265" s="65"/>
      <c r="M265" s="65"/>
      <c r="N265" s="65"/>
      <c r="O265" s="67"/>
      <c r="P265" s="65"/>
      <c r="Q265" s="65"/>
      <c r="R265" s="65"/>
      <c r="S265" s="65"/>
      <c r="T265" s="65"/>
      <c r="U265" s="65"/>
      <c r="V265" s="68"/>
      <c r="W265" s="65"/>
      <c r="X265" s="65"/>
      <c r="Y265" s="65"/>
      <c r="Z265" s="65"/>
      <c r="AA265" s="65"/>
      <c r="AB265" s="65"/>
      <c r="AC265" s="65"/>
      <c r="AD265" s="65"/>
      <c r="AE265" s="65"/>
      <c r="AF265" s="65"/>
      <c r="AG265" s="65"/>
      <c r="AH265" s="65"/>
    </row>
    <row r="266">
      <c r="A266" s="61"/>
      <c r="B266" s="61"/>
      <c r="C266" s="61"/>
      <c r="D266" s="62"/>
      <c r="E266" s="61"/>
      <c r="F266" s="61"/>
      <c r="G266" s="61"/>
      <c r="H266" s="61"/>
      <c r="I266" s="61"/>
      <c r="J266" s="61"/>
      <c r="K266" s="61"/>
      <c r="L266" s="61"/>
      <c r="M266" s="61"/>
      <c r="N266" s="61"/>
      <c r="O266" s="63"/>
      <c r="P266" s="61"/>
      <c r="Q266" s="61"/>
      <c r="R266" s="61"/>
      <c r="S266" s="61"/>
      <c r="T266" s="61"/>
      <c r="U266" s="61"/>
      <c r="V266" s="64"/>
      <c r="W266" s="61"/>
      <c r="X266" s="61"/>
      <c r="Y266" s="61"/>
      <c r="Z266" s="61"/>
      <c r="AA266" s="61"/>
      <c r="AB266" s="61"/>
      <c r="AC266" s="61"/>
      <c r="AD266" s="61"/>
      <c r="AE266" s="61"/>
      <c r="AF266" s="61"/>
      <c r="AG266" s="61"/>
      <c r="AH266" s="61"/>
    </row>
    <row r="267">
      <c r="A267" s="65"/>
      <c r="B267" s="65"/>
      <c r="C267" s="65"/>
      <c r="D267" s="66"/>
      <c r="E267" s="65"/>
      <c r="F267" s="65"/>
      <c r="G267" s="65"/>
      <c r="H267" s="65"/>
      <c r="I267" s="65"/>
      <c r="J267" s="65"/>
      <c r="K267" s="65"/>
      <c r="L267" s="65"/>
      <c r="M267" s="65"/>
      <c r="N267" s="65"/>
      <c r="O267" s="67"/>
      <c r="P267" s="65"/>
      <c r="Q267" s="65"/>
      <c r="R267" s="65"/>
      <c r="S267" s="65"/>
      <c r="T267" s="65"/>
      <c r="U267" s="65"/>
      <c r="V267" s="68"/>
      <c r="W267" s="65"/>
      <c r="X267" s="65"/>
      <c r="Y267" s="65"/>
      <c r="Z267" s="65"/>
      <c r="AA267" s="65"/>
      <c r="AB267" s="65"/>
      <c r="AC267" s="65"/>
      <c r="AD267" s="65"/>
      <c r="AE267" s="65"/>
      <c r="AF267" s="65"/>
      <c r="AG267" s="65"/>
      <c r="AH267" s="65"/>
    </row>
    <row r="268">
      <c r="A268" s="61"/>
      <c r="B268" s="61"/>
      <c r="C268" s="61"/>
      <c r="D268" s="62"/>
      <c r="E268" s="61"/>
      <c r="F268" s="61"/>
      <c r="G268" s="61"/>
      <c r="H268" s="61"/>
      <c r="I268" s="61"/>
      <c r="J268" s="61"/>
      <c r="K268" s="61"/>
      <c r="L268" s="61"/>
      <c r="M268" s="61"/>
      <c r="N268" s="61"/>
      <c r="O268" s="63"/>
      <c r="P268" s="61"/>
      <c r="Q268" s="61"/>
      <c r="R268" s="61"/>
      <c r="S268" s="61"/>
      <c r="T268" s="61"/>
      <c r="U268" s="61"/>
      <c r="V268" s="64"/>
      <c r="W268" s="61"/>
      <c r="X268" s="61"/>
      <c r="Y268" s="61"/>
      <c r="Z268" s="61"/>
      <c r="AA268" s="61"/>
      <c r="AB268" s="61"/>
      <c r="AC268" s="61"/>
      <c r="AD268" s="61"/>
      <c r="AE268" s="61"/>
      <c r="AF268" s="61"/>
      <c r="AG268" s="61"/>
      <c r="AH268" s="61"/>
    </row>
    <row r="269">
      <c r="A269" s="65"/>
      <c r="B269" s="65"/>
      <c r="C269" s="65"/>
      <c r="D269" s="66"/>
      <c r="E269" s="65"/>
      <c r="F269" s="65"/>
      <c r="G269" s="65"/>
      <c r="H269" s="65"/>
      <c r="I269" s="65"/>
      <c r="J269" s="65"/>
      <c r="K269" s="65"/>
      <c r="L269" s="65"/>
      <c r="M269" s="65"/>
      <c r="N269" s="65"/>
      <c r="O269" s="67"/>
      <c r="P269" s="65"/>
      <c r="Q269" s="65"/>
      <c r="R269" s="65"/>
      <c r="S269" s="65"/>
      <c r="T269" s="65"/>
      <c r="U269" s="65"/>
      <c r="V269" s="68"/>
      <c r="W269" s="65"/>
      <c r="X269" s="65"/>
      <c r="Y269" s="65"/>
      <c r="Z269" s="65"/>
      <c r="AA269" s="65"/>
      <c r="AB269" s="65"/>
      <c r="AC269" s="65"/>
      <c r="AD269" s="65"/>
      <c r="AE269" s="65"/>
      <c r="AF269" s="65"/>
      <c r="AG269" s="65"/>
      <c r="AH269" s="65"/>
    </row>
    <row r="270">
      <c r="A270" s="61"/>
      <c r="B270" s="61"/>
      <c r="C270" s="61"/>
      <c r="D270" s="62"/>
      <c r="E270" s="61"/>
      <c r="F270" s="61"/>
      <c r="G270" s="61"/>
      <c r="H270" s="61"/>
      <c r="I270" s="61"/>
      <c r="J270" s="61"/>
      <c r="K270" s="61"/>
      <c r="L270" s="61"/>
      <c r="M270" s="61"/>
      <c r="N270" s="61"/>
      <c r="O270" s="63"/>
      <c r="P270" s="61"/>
      <c r="Q270" s="61"/>
      <c r="R270" s="61"/>
      <c r="S270" s="61"/>
      <c r="T270" s="61"/>
      <c r="U270" s="61"/>
      <c r="V270" s="64"/>
      <c r="W270" s="61"/>
      <c r="X270" s="61"/>
      <c r="Y270" s="61"/>
      <c r="Z270" s="61"/>
      <c r="AA270" s="61"/>
      <c r="AB270" s="61"/>
      <c r="AC270" s="61"/>
      <c r="AD270" s="61"/>
      <c r="AE270" s="61"/>
      <c r="AF270" s="61"/>
      <c r="AG270" s="61"/>
      <c r="AH270" s="61"/>
    </row>
    <row r="271">
      <c r="A271" s="65"/>
      <c r="B271" s="65"/>
      <c r="C271" s="65"/>
      <c r="D271" s="66"/>
      <c r="E271" s="65"/>
      <c r="F271" s="65"/>
      <c r="G271" s="65"/>
      <c r="H271" s="65"/>
      <c r="I271" s="65"/>
      <c r="J271" s="65"/>
      <c r="K271" s="65"/>
      <c r="L271" s="65"/>
      <c r="M271" s="65"/>
      <c r="N271" s="65"/>
      <c r="O271" s="67"/>
      <c r="P271" s="65"/>
      <c r="Q271" s="65"/>
      <c r="R271" s="65"/>
      <c r="S271" s="65"/>
      <c r="T271" s="65"/>
      <c r="U271" s="65"/>
      <c r="V271" s="68"/>
      <c r="W271" s="65"/>
      <c r="X271" s="65"/>
      <c r="Y271" s="65"/>
      <c r="Z271" s="65"/>
      <c r="AA271" s="65"/>
      <c r="AB271" s="65"/>
      <c r="AC271" s="65"/>
      <c r="AD271" s="65"/>
      <c r="AE271" s="65"/>
      <c r="AF271" s="65"/>
      <c r="AG271" s="65"/>
      <c r="AH271" s="65"/>
    </row>
    <row r="272">
      <c r="A272" s="61"/>
      <c r="B272" s="61"/>
      <c r="C272" s="61"/>
      <c r="D272" s="62"/>
      <c r="E272" s="61"/>
      <c r="F272" s="61"/>
      <c r="G272" s="61"/>
      <c r="H272" s="61"/>
      <c r="I272" s="61"/>
      <c r="J272" s="61"/>
      <c r="K272" s="61"/>
      <c r="L272" s="61"/>
      <c r="M272" s="61"/>
      <c r="N272" s="61"/>
      <c r="O272" s="63"/>
      <c r="P272" s="61"/>
      <c r="Q272" s="61"/>
      <c r="R272" s="61"/>
      <c r="S272" s="61"/>
      <c r="T272" s="61"/>
      <c r="U272" s="61"/>
      <c r="V272" s="64"/>
      <c r="W272" s="61"/>
      <c r="X272" s="61"/>
      <c r="Y272" s="61"/>
      <c r="Z272" s="61"/>
      <c r="AA272" s="61"/>
      <c r="AB272" s="61"/>
      <c r="AC272" s="61"/>
      <c r="AD272" s="61"/>
      <c r="AE272" s="61"/>
      <c r="AF272" s="61"/>
      <c r="AG272" s="61"/>
      <c r="AH272" s="61"/>
    </row>
    <row r="273">
      <c r="A273" s="65"/>
      <c r="B273" s="65"/>
      <c r="C273" s="65"/>
      <c r="D273" s="66"/>
      <c r="E273" s="65"/>
      <c r="F273" s="65"/>
      <c r="G273" s="65"/>
      <c r="H273" s="65"/>
      <c r="I273" s="65"/>
      <c r="J273" s="65"/>
      <c r="K273" s="65"/>
      <c r="L273" s="65"/>
      <c r="M273" s="65"/>
      <c r="N273" s="65"/>
      <c r="O273" s="67"/>
      <c r="P273" s="65"/>
      <c r="Q273" s="65"/>
      <c r="R273" s="65"/>
      <c r="S273" s="65"/>
      <c r="T273" s="65"/>
      <c r="U273" s="65"/>
      <c r="V273" s="68"/>
      <c r="W273" s="65"/>
      <c r="X273" s="65"/>
      <c r="Y273" s="65"/>
      <c r="Z273" s="65"/>
      <c r="AA273" s="65"/>
      <c r="AB273" s="65"/>
      <c r="AC273" s="65"/>
      <c r="AD273" s="65"/>
      <c r="AE273" s="65"/>
      <c r="AF273" s="65"/>
      <c r="AG273" s="65"/>
      <c r="AH273" s="65"/>
    </row>
    <row r="274">
      <c r="A274" s="61"/>
      <c r="B274" s="61"/>
      <c r="C274" s="61"/>
      <c r="D274" s="62"/>
      <c r="E274" s="61"/>
      <c r="F274" s="61"/>
      <c r="G274" s="61"/>
      <c r="H274" s="61"/>
      <c r="I274" s="61"/>
      <c r="J274" s="61"/>
      <c r="K274" s="61"/>
      <c r="L274" s="61"/>
      <c r="M274" s="61"/>
      <c r="N274" s="61"/>
      <c r="O274" s="63"/>
      <c r="P274" s="61"/>
      <c r="Q274" s="61"/>
      <c r="R274" s="61"/>
      <c r="S274" s="61"/>
      <c r="T274" s="61"/>
      <c r="U274" s="61"/>
      <c r="V274" s="64"/>
      <c r="W274" s="61"/>
      <c r="X274" s="61"/>
      <c r="Y274" s="61"/>
      <c r="Z274" s="61"/>
      <c r="AA274" s="61"/>
      <c r="AB274" s="61"/>
      <c r="AC274" s="61"/>
      <c r="AD274" s="61"/>
      <c r="AE274" s="61"/>
      <c r="AF274" s="61"/>
      <c r="AG274" s="61"/>
      <c r="AH274" s="61"/>
    </row>
    <row r="275">
      <c r="A275" s="65"/>
      <c r="B275" s="65"/>
      <c r="C275" s="65"/>
      <c r="D275" s="66"/>
      <c r="E275" s="65"/>
      <c r="F275" s="65"/>
      <c r="G275" s="65"/>
      <c r="H275" s="65"/>
      <c r="I275" s="65"/>
      <c r="J275" s="65"/>
      <c r="K275" s="65"/>
      <c r="L275" s="65"/>
      <c r="M275" s="65"/>
      <c r="N275" s="65"/>
      <c r="O275" s="67"/>
      <c r="P275" s="65"/>
      <c r="Q275" s="65"/>
      <c r="R275" s="65"/>
      <c r="S275" s="65"/>
      <c r="T275" s="65"/>
      <c r="U275" s="65"/>
      <c r="V275" s="68"/>
      <c r="W275" s="65"/>
      <c r="X275" s="65"/>
      <c r="Y275" s="65"/>
      <c r="Z275" s="65"/>
      <c r="AA275" s="65"/>
      <c r="AB275" s="65"/>
      <c r="AC275" s="65"/>
      <c r="AD275" s="65"/>
      <c r="AE275" s="65"/>
      <c r="AF275" s="65"/>
      <c r="AG275" s="65"/>
      <c r="AH275" s="65"/>
    </row>
    <row r="276">
      <c r="A276" s="61"/>
      <c r="B276" s="61"/>
      <c r="C276" s="61"/>
      <c r="D276" s="62"/>
      <c r="E276" s="61"/>
      <c r="F276" s="61"/>
      <c r="G276" s="61"/>
      <c r="H276" s="61"/>
      <c r="I276" s="61"/>
      <c r="J276" s="61"/>
      <c r="K276" s="61"/>
      <c r="L276" s="61"/>
      <c r="M276" s="61"/>
      <c r="N276" s="61"/>
      <c r="O276" s="63"/>
      <c r="P276" s="61"/>
      <c r="Q276" s="61"/>
      <c r="R276" s="61"/>
      <c r="S276" s="61"/>
      <c r="T276" s="61"/>
      <c r="U276" s="61"/>
      <c r="V276" s="64"/>
      <c r="W276" s="61"/>
      <c r="X276" s="61"/>
      <c r="Y276" s="61"/>
      <c r="Z276" s="61"/>
      <c r="AA276" s="61"/>
      <c r="AB276" s="61"/>
      <c r="AC276" s="61"/>
      <c r="AD276" s="61"/>
      <c r="AE276" s="61"/>
      <c r="AF276" s="61"/>
      <c r="AG276" s="61"/>
      <c r="AH276" s="61"/>
    </row>
    <row r="277">
      <c r="A277" s="65"/>
      <c r="B277" s="65"/>
      <c r="C277" s="65"/>
      <c r="D277" s="66"/>
      <c r="E277" s="65"/>
      <c r="F277" s="65"/>
      <c r="G277" s="65"/>
      <c r="H277" s="65"/>
      <c r="I277" s="65"/>
      <c r="J277" s="65"/>
      <c r="K277" s="65"/>
      <c r="L277" s="65"/>
      <c r="M277" s="65"/>
      <c r="N277" s="65"/>
      <c r="O277" s="67"/>
      <c r="P277" s="65"/>
      <c r="Q277" s="65"/>
      <c r="R277" s="65"/>
      <c r="S277" s="65"/>
      <c r="T277" s="65"/>
      <c r="U277" s="65"/>
      <c r="V277" s="68"/>
      <c r="W277" s="65"/>
      <c r="X277" s="65"/>
      <c r="Y277" s="65"/>
      <c r="Z277" s="65"/>
      <c r="AA277" s="65"/>
      <c r="AB277" s="65"/>
      <c r="AC277" s="65"/>
      <c r="AD277" s="65"/>
      <c r="AE277" s="65"/>
      <c r="AF277" s="65"/>
      <c r="AG277" s="65"/>
      <c r="AH277" s="65"/>
    </row>
    <row r="278">
      <c r="A278" s="61"/>
      <c r="B278" s="61"/>
      <c r="C278" s="61"/>
      <c r="D278" s="62"/>
      <c r="E278" s="61"/>
      <c r="F278" s="61"/>
      <c r="G278" s="61"/>
      <c r="H278" s="61"/>
      <c r="I278" s="61"/>
      <c r="J278" s="61"/>
      <c r="K278" s="61"/>
      <c r="L278" s="61"/>
      <c r="M278" s="61"/>
      <c r="N278" s="61"/>
      <c r="O278" s="63"/>
      <c r="P278" s="61"/>
      <c r="Q278" s="61"/>
      <c r="R278" s="61"/>
      <c r="S278" s="61"/>
      <c r="T278" s="61"/>
      <c r="U278" s="61"/>
      <c r="V278" s="64"/>
      <c r="W278" s="61"/>
      <c r="X278" s="61"/>
      <c r="Y278" s="61"/>
      <c r="Z278" s="61"/>
      <c r="AA278" s="61"/>
      <c r="AB278" s="61"/>
      <c r="AC278" s="61"/>
      <c r="AD278" s="61"/>
      <c r="AE278" s="61"/>
      <c r="AF278" s="61"/>
      <c r="AG278" s="61"/>
      <c r="AH278" s="61"/>
    </row>
    <row r="279">
      <c r="A279" s="65"/>
      <c r="B279" s="65"/>
      <c r="C279" s="65"/>
      <c r="D279" s="66"/>
      <c r="E279" s="65"/>
      <c r="F279" s="65"/>
      <c r="G279" s="65"/>
      <c r="H279" s="65"/>
      <c r="I279" s="65"/>
      <c r="J279" s="65"/>
      <c r="K279" s="65"/>
      <c r="L279" s="65"/>
      <c r="M279" s="65"/>
      <c r="N279" s="65"/>
      <c r="O279" s="67"/>
      <c r="P279" s="65"/>
      <c r="Q279" s="65"/>
      <c r="R279" s="65"/>
      <c r="S279" s="65"/>
      <c r="T279" s="65"/>
      <c r="U279" s="65"/>
      <c r="V279" s="68"/>
      <c r="W279" s="65"/>
      <c r="X279" s="65"/>
      <c r="Y279" s="65"/>
      <c r="Z279" s="65"/>
      <c r="AA279" s="65"/>
      <c r="AB279" s="65"/>
      <c r="AC279" s="65"/>
      <c r="AD279" s="65"/>
      <c r="AE279" s="65"/>
      <c r="AF279" s="65"/>
      <c r="AG279" s="65"/>
      <c r="AH279" s="65"/>
    </row>
    <row r="280">
      <c r="A280" s="61"/>
      <c r="B280" s="61"/>
      <c r="C280" s="61"/>
      <c r="D280" s="62"/>
      <c r="E280" s="61"/>
      <c r="F280" s="61"/>
      <c r="G280" s="61"/>
      <c r="H280" s="61"/>
      <c r="I280" s="61"/>
      <c r="J280" s="61"/>
      <c r="K280" s="61"/>
      <c r="L280" s="61"/>
      <c r="M280" s="61"/>
      <c r="N280" s="61"/>
      <c r="O280" s="63"/>
      <c r="P280" s="61"/>
      <c r="Q280" s="61"/>
      <c r="R280" s="61"/>
      <c r="S280" s="61"/>
      <c r="T280" s="61"/>
      <c r="U280" s="61"/>
      <c r="V280" s="64"/>
      <c r="W280" s="61"/>
      <c r="X280" s="61"/>
      <c r="Y280" s="61"/>
      <c r="Z280" s="61"/>
      <c r="AA280" s="61"/>
      <c r="AB280" s="61"/>
      <c r="AC280" s="61"/>
      <c r="AD280" s="61"/>
      <c r="AE280" s="61"/>
      <c r="AF280" s="61"/>
      <c r="AG280" s="61"/>
      <c r="AH280" s="61"/>
    </row>
    <row r="281">
      <c r="A281" s="65"/>
      <c r="B281" s="65"/>
      <c r="C281" s="65"/>
      <c r="D281" s="66"/>
      <c r="E281" s="65"/>
      <c r="F281" s="65"/>
      <c r="G281" s="65"/>
      <c r="H281" s="65"/>
      <c r="I281" s="65"/>
      <c r="J281" s="65"/>
      <c r="K281" s="65"/>
      <c r="L281" s="65"/>
      <c r="M281" s="65"/>
      <c r="N281" s="65"/>
      <c r="O281" s="67"/>
      <c r="P281" s="65"/>
      <c r="Q281" s="65"/>
      <c r="R281" s="65"/>
      <c r="S281" s="65"/>
      <c r="T281" s="65"/>
      <c r="U281" s="65"/>
      <c r="V281" s="68"/>
      <c r="W281" s="65"/>
      <c r="X281" s="65"/>
      <c r="Y281" s="65"/>
      <c r="Z281" s="65"/>
      <c r="AA281" s="65"/>
      <c r="AB281" s="65"/>
      <c r="AC281" s="65"/>
      <c r="AD281" s="65"/>
      <c r="AE281" s="65"/>
      <c r="AF281" s="65"/>
      <c r="AG281" s="65"/>
      <c r="AH281" s="65"/>
    </row>
    <row r="282">
      <c r="A282" s="61"/>
      <c r="B282" s="61"/>
      <c r="C282" s="61"/>
      <c r="D282" s="62"/>
      <c r="E282" s="61"/>
      <c r="F282" s="61"/>
      <c r="G282" s="61"/>
      <c r="H282" s="61"/>
      <c r="I282" s="61"/>
      <c r="J282" s="61"/>
      <c r="K282" s="61"/>
      <c r="L282" s="61"/>
      <c r="M282" s="61"/>
      <c r="N282" s="61"/>
      <c r="O282" s="63"/>
      <c r="P282" s="61"/>
      <c r="Q282" s="61"/>
      <c r="R282" s="61"/>
      <c r="S282" s="61"/>
      <c r="T282" s="61"/>
      <c r="U282" s="61"/>
      <c r="V282" s="64"/>
      <c r="W282" s="61"/>
      <c r="X282" s="61"/>
      <c r="Y282" s="61"/>
      <c r="Z282" s="61"/>
      <c r="AA282" s="61"/>
      <c r="AB282" s="61"/>
      <c r="AC282" s="61"/>
      <c r="AD282" s="61"/>
      <c r="AE282" s="61"/>
      <c r="AF282" s="61"/>
      <c r="AG282" s="61"/>
      <c r="AH282" s="61"/>
    </row>
    <row r="283">
      <c r="A283" s="65"/>
      <c r="B283" s="65"/>
      <c r="C283" s="65"/>
      <c r="D283" s="66"/>
      <c r="E283" s="65"/>
      <c r="F283" s="65"/>
      <c r="G283" s="65"/>
      <c r="H283" s="65"/>
      <c r="I283" s="65"/>
      <c r="J283" s="65"/>
      <c r="K283" s="65"/>
      <c r="L283" s="65"/>
      <c r="M283" s="65"/>
      <c r="N283" s="65"/>
      <c r="O283" s="67"/>
      <c r="P283" s="65"/>
      <c r="Q283" s="65"/>
      <c r="R283" s="65"/>
      <c r="S283" s="65"/>
      <c r="T283" s="65"/>
      <c r="U283" s="65"/>
      <c r="V283" s="68"/>
      <c r="W283" s="65"/>
      <c r="X283" s="65"/>
      <c r="Y283" s="65"/>
      <c r="Z283" s="65"/>
      <c r="AA283" s="65"/>
      <c r="AB283" s="65"/>
      <c r="AC283" s="65"/>
      <c r="AD283" s="65"/>
      <c r="AE283" s="65"/>
      <c r="AF283" s="65"/>
      <c r="AG283" s="65"/>
      <c r="AH283" s="65"/>
    </row>
    <row r="284">
      <c r="A284" s="61"/>
      <c r="B284" s="61"/>
      <c r="C284" s="61"/>
      <c r="D284" s="62"/>
      <c r="E284" s="61"/>
      <c r="F284" s="61"/>
      <c r="G284" s="61"/>
      <c r="H284" s="61"/>
      <c r="I284" s="61"/>
      <c r="J284" s="61"/>
      <c r="K284" s="61"/>
      <c r="L284" s="61"/>
      <c r="M284" s="61"/>
      <c r="N284" s="61"/>
      <c r="O284" s="63"/>
      <c r="P284" s="61"/>
      <c r="Q284" s="61"/>
      <c r="R284" s="61"/>
      <c r="S284" s="61"/>
      <c r="T284" s="61"/>
      <c r="U284" s="61"/>
      <c r="V284" s="64"/>
      <c r="W284" s="61"/>
      <c r="X284" s="61"/>
      <c r="Y284" s="61"/>
      <c r="Z284" s="61"/>
      <c r="AA284" s="61"/>
      <c r="AB284" s="61"/>
      <c r="AC284" s="61"/>
      <c r="AD284" s="61"/>
      <c r="AE284" s="61"/>
      <c r="AF284" s="61"/>
      <c r="AG284" s="61"/>
      <c r="AH284" s="61"/>
    </row>
    <row r="285">
      <c r="A285" s="65"/>
      <c r="B285" s="65"/>
      <c r="C285" s="65"/>
      <c r="D285" s="66"/>
      <c r="E285" s="65"/>
      <c r="F285" s="65"/>
      <c r="G285" s="65"/>
      <c r="H285" s="65"/>
      <c r="I285" s="65"/>
      <c r="J285" s="65"/>
      <c r="K285" s="65"/>
      <c r="L285" s="65"/>
      <c r="M285" s="65"/>
      <c r="N285" s="65"/>
      <c r="O285" s="67"/>
      <c r="P285" s="65"/>
      <c r="Q285" s="65"/>
      <c r="R285" s="65"/>
      <c r="S285" s="65"/>
      <c r="T285" s="65"/>
      <c r="U285" s="65"/>
      <c r="V285" s="68"/>
      <c r="W285" s="65"/>
      <c r="X285" s="65"/>
      <c r="Y285" s="65"/>
      <c r="Z285" s="65"/>
      <c r="AA285" s="65"/>
      <c r="AB285" s="65"/>
      <c r="AC285" s="65"/>
      <c r="AD285" s="65"/>
      <c r="AE285" s="65"/>
      <c r="AF285" s="65"/>
      <c r="AG285" s="65"/>
      <c r="AH285" s="65"/>
    </row>
    <row r="286">
      <c r="A286" s="61"/>
      <c r="B286" s="61"/>
      <c r="C286" s="61"/>
      <c r="D286" s="62"/>
      <c r="E286" s="61"/>
      <c r="F286" s="61"/>
      <c r="G286" s="61"/>
      <c r="H286" s="61"/>
      <c r="I286" s="61"/>
      <c r="J286" s="61"/>
      <c r="K286" s="61"/>
      <c r="L286" s="61"/>
      <c r="M286" s="61"/>
      <c r="N286" s="61"/>
      <c r="O286" s="63"/>
      <c r="P286" s="61"/>
      <c r="Q286" s="61"/>
      <c r="R286" s="61"/>
      <c r="S286" s="61"/>
      <c r="T286" s="61"/>
      <c r="U286" s="61"/>
      <c r="V286" s="64"/>
      <c r="W286" s="61"/>
      <c r="X286" s="61"/>
      <c r="Y286" s="61"/>
      <c r="Z286" s="61"/>
      <c r="AA286" s="61"/>
      <c r="AB286" s="61"/>
      <c r="AC286" s="61"/>
      <c r="AD286" s="61"/>
      <c r="AE286" s="61"/>
      <c r="AF286" s="61"/>
      <c r="AG286" s="61"/>
      <c r="AH286" s="61"/>
    </row>
    <row r="287">
      <c r="A287" s="65"/>
      <c r="B287" s="65"/>
      <c r="C287" s="65"/>
      <c r="D287" s="66"/>
      <c r="E287" s="65"/>
      <c r="F287" s="65"/>
      <c r="G287" s="65"/>
      <c r="H287" s="65"/>
      <c r="I287" s="65"/>
      <c r="J287" s="65"/>
      <c r="K287" s="65"/>
      <c r="L287" s="65"/>
      <c r="M287" s="65"/>
      <c r="N287" s="65"/>
      <c r="O287" s="67"/>
      <c r="P287" s="65"/>
      <c r="Q287" s="65"/>
      <c r="R287" s="65"/>
      <c r="S287" s="65"/>
      <c r="T287" s="65"/>
      <c r="U287" s="65"/>
      <c r="V287" s="68"/>
      <c r="W287" s="65"/>
      <c r="X287" s="65"/>
      <c r="Y287" s="65"/>
      <c r="Z287" s="65"/>
      <c r="AA287" s="65"/>
      <c r="AB287" s="65"/>
      <c r="AC287" s="65"/>
      <c r="AD287" s="65"/>
      <c r="AE287" s="65"/>
      <c r="AF287" s="65"/>
      <c r="AG287" s="65"/>
      <c r="AH287" s="65"/>
    </row>
    <row r="288">
      <c r="A288" s="61"/>
      <c r="B288" s="61"/>
      <c r="C288" s="61"/>
      <c r="D288" s="62"/>
      <c r="E288" s="61"/>
      <c r="F288" s="61"/>
      <c r="G288" s="61"/>
      <c r="H288" s="61"/>
      <c r="I288" s="61"/>
      <c r="J288" s="61"/>
      <c r="K288" s="61"/>
      <c r="L288" s="61"/>
      <c r="M288" s="61"/>
      <c r="N288" s="61"/>
      <c r="O288" s="63"/>
      <c r="P288" s="61"/>
      <c r="Q288" s="61"/>
      <c r="R288" s="61"/>
      <c r="S288" s="61"/>
      <c r="T288" s="61"/>
      <c r="U288" s="61"/>
      <c r="V288" s="64"/>
      <c r="W288" s="61"/>
      <c r="X288" s="61"/>
      <c r="Y288" s="61"/>
      <c r="Z288" s="61"/>
      <c r="AA288" s="61"/>
      <c r="AB288" s="61"/>
      <c r="AC288" s="61"/>
      <c r="AD288" s="61"/>
      <c r="AE288" s="61"/>
      <c r="AF288" s="61"/>
      <c r="AG288" s="61"/>
      <c r="AH288" s="61"/>
    </row>
    <row r="289">
      <c r="A289" s="65"/>
      <c r="B289" s="65"/>
      <c r="C289" s="65"/>
      <c r="D289" s="66"/>
      <c r="E289" s="65"/>
      <c r="F289" s="65"/>
      <c r="G289" s="65"/>
      <c r="H289" s="65"/>
      <c r="I289" s="65"/>
      <c r="J289" s="65"/>
      <c r="K289" s="65"/>
      <c r="L289" s="65"/>
      <c r="M289" s="65"/>
      <c r="N289" s="65"/>
      <c r="O289" s="67"/>
      <c r="P289" s="65"/>
      <c r="Q289" s="65"/>
      <c r="R289" s="65"/>
      <c r="S289" s="65"/>
      <c r="T289" s="65"/>
      <c r="U289" s="65"/>
      <c r="V289" s="68"/>
      <c r="W289" s="65"/>
      <c r="X289" s="65"/>
      <c r="Y289" s="65"/>
      <c r="Z289" s="65"/>
      <c r="AA289" s="65"/>
      <c r="AB289" s="65"/>
      <c r="AC289" s="65"/>
      <c r="AD289" s="65"/>
      <c r="AE289" s="65"/>
      <c r="AF289" s="65"/>
      <c r="AG289" s="65"/>
      <c r="AH289" s="65"/>
    </row>
    <row r="290">
      <c r="A290" s="61"/>
      <c r="B290" s="61"/>
      <c r="C290" s="61"/>
      <c r="D290" s="62"/>
      <c r="E290" s="61"/>
      <c r="F290" s="61"/>
      <c r="G290" s="61"/>
      <c r="H290" s="61"/>
      <c r="I290" s="61"/>
      <c r="J290" s="61"/>
      <c r="K290" s="61"/>
      <c r="L290" s="61"/>
      <c r="M290" s="61"/>
      <c r="N290" s="61"/>
      <c r="O290" s="63"/>
      <c r="P290" s="61"/>
      <c r="Q290" s="61"/>
      <c r="R290" s="61"/>
      <c r="S290" s="61"/>
      <c r="T290" s="61"/>
      <c r="U290" s="61"/>
      <c r="V290" s="64"/>
      <c r="W290" s="61"/>
      <c r="X290" s="61"/>
      <c r="Y290" s="61"/>
      <c r="Z290" s="61"/>
      <c r="AA290" s="61"/>
      <c r="AB290" s="61"/>
      <c r="AC290" s="61"/>
      <c r="AD290" s="61"/>
      <c r="AE290" s="61"/>
      <c r="AF290" s="61"/>
      <c r="AG290" s="61"/>
      <c r="AH290" s="61"/>
    </row>
    <row r="291">
      <c r="A291" s="65"/>
      <c r="B291" s="65"/>
      <c r="C291" s="65"/>
      <c r="D291" s="66"/>
      <c r="E291" s="65"/>
      <c r="F291" s="65"/>
      <c r="G291" s="65"/>
      <c r="H291" s="65"/>
      <c r="I291" s="65"/>
      <c r="J291" s="65"/>
      <c r="K291" s="65"/>
      <c r="L291" s="65"/>
      <c r="M291" s="65"/>
      <c r="N291" s="65"/>
      <c r="O291" s="67"/>
      <c r="P291" s="65"/>
      <c r="Q291" s="65"/>
      <c r="R291" s="65"/>
      <c r="S291" s="65"/>
      <c r="T291" s="65"/>
      <c r="U291" s="65"/>
      <c r="V291" s="68"/>
      <c r="W291" s="65"/>
      <c r="X291" s="65"/>
      <c r="Y291" s="65"/>
      <c r="Z291" s="65"/>
      <c r="AA291" s="65"/>
      <c r="AB291" s="65"/>
      <c r="AC291" s="65"/>
      <c r="AD291" s="65"/>
      <c r="AE291" s="65"/>
      <c r="AF291" s="65"/>
      <c r="AG291" s="65"/>
      <c r="AH291" s="65"/>
    </row>
    <row r="292">
      <c r="A292" s="61"/>
      <c r="B292" s="61"/>
      <c r="C292" s="61"/>
      <c r="D292" s="62"/>
      <c r="E292" s="61"/>
      <c r="F292" s="61"/>
      <c r="G292" s="61"/>
      <c r="H292" s="61"/>
      <c r="I292" s="61"/>
      <c r="J292" s="61"/>
      <c r="K292" s="61"/>
      <c r="L292" s="61"/>
      <c r="M292" s="61"/>
      <c r="N292" s="61"/>
      <c r="O292" s="63"/>
      <c r="P292" s="61"/>
      <c r="Q292" s="61"/>
      <c r="R292" s="61"/>
      <c r="S292" s="61"/>
      <c r="T292" s="61"/>
      <c r="U292" s="61"/>
      <c r="V292" s="64"/>
      <c r="W292" s="61"/>
      <c r="X292" s="61"/>
      <c r="Y292" s="61"/>
      <c r="Z292" s="61"/>
      <c r="AA292" s="61"/>
      <c r="AB292" s="61"/>
      <c r="AC292" s="61"/>
      <c r="AD292" s="61"/>
      <c r="AE292" s="61"/>
      <c r="AF292" s="61"/>
      <c r="AG292" s="61"/>
      <c r="AH292" s="61"/>
    </row>
    <row r="293">
      <c r="A293" s="65"/>
      <c r="B293" s="65"/>
      <c r="C293" s="65"/>
      <c r="D293" s="66"/>
      <c r="E293" s="65"/>
      <c r="F293" s="65"/>
      <c r="G293" s="65"/>
      <c r="H293" s="65"/>
      <c r="I293" s="65"/>
      <c r="J293" s="65"/>
      <c r="K293" s="65"/>
      <c r="L293" s="65"/>
      <c r="M293" s="65"/>
      <c r="N293" s="65"/>
      <c r="O293" s="67"/>
      <c r="P293" s="65"/>
      <c r="Q293" s="65"/>
      <c r="R293" s="65"/>
      <c r="S293" s="65"/>
      <c r="T293" s="65"/>
      <c r="U293" s="65"/>
      <c r="V293" s="68"/>
      <c r="W293" s="65"/>
      <c r="X293" s="65"/>
      <c r="Y293" s="65"/>
      <c r="Z293" s="65"/>
      <c r="AA293" s="65"/>
      <c r="AB293" s="65"/>
      <c r="AC293" s="65"/>
      <c r="AD293" s="65"/>
      <c r="AE293" s="65"/>
      <c r="AF293" s="65"/>
      <c r="AG293" s="65"/>
      <c r="AH293" s="65"/>
    </row>
    <row r="294">
      <c r="A294" s="61"/>
      <c r="B294" s="61"/>
      <c r="C294" s="61"/>
      <c r="D294" s="62"/>
      <c r="E294" s="61"/>
      <c r="F294" s="61"/>
      <c r="G294" s="61"/>
      <c r="H294" s="61"/>
      <c r="I294" s="61"/>
      <c r="J294" s="61"/>
      <c r="K294" s="61"/>
      <c r="L294" s="61"/>
      <c r="M294" s="61"/>
      <c r="N294" s="61"/>
      <c r="O294" s="63"/>
      <c r="P294" s="61"/>
      <c r="Q294" s="61"/>
      <c r="R294" s="61"/>
      <c r="S294" s="61"/>
      <c r="T294" s="61"/>
      <c r="U294" s="61"/>
      <c r="V294" s="64"/>
      <c r="W294" s="61"/>
      <c r="X294" s="61"/>
      <c r="Y294" s="61"/>
      <c r="Z294" s="61"/>
      <c r="AA294" s="61"/>
      <c r="AB294" s="61"/>
      <c r="AC294" s="61"/>
      <c r="AD294" s="61"/>
      <c r="AE294" s="61"/>
      <c r="AF294" s="61"/>
      <c r="AG294" s="61"/>
      <c r="AH294" s="61"/>
    </row>
    <row r="295">
      <c r="A295" s="65"/>
      <c r="B295" s="65"/>
      <c r="C295" s="65"/>
      <c r="D295" s="66"/>
      <c r="E295" s="65"/>
      <c r="F295" s="65"/>
      <c r="G295" s="65"/>
      <c r="H295" s="65"/>
      <c r="I295" s="65"/>
      <c r="J295" s="65"/>
      <c r="K295" s="65"/>
      <c r="L295" s="65"/>
      <c r="M295" s="65"/>
      <c r="N295" s="65"/>
      <c r="O295" s="67"/>
      <c r="P295" s="65"/>
      <c r="Q295" s="65"/>
      <c r="R295" s="65"/>
      <c r="S295" s="65"/>
      <c r="T295" s="65"/>
      <c r="U295" s="65"/>
      <c r="V295" s="68"/>
      <c r="W295" s="65"/>
      <c r="X295" s="65"/>
      <c r="Y295" s="65"/>
      <c r="Z295" s="65"/>
      <c r="AA295" s="65"/>
      <c r="AB295" s="65"/>
      <c r="AC295" s="65"/>
      <c r="AD295" s="65"/>
      <c r="AE295" s="65"/>
      <c r="AF295" s="65"/>
      <c r="AG295" s="65"/>
      <c r="AH295" s="65"/>
    </row>
    <row r="296">
      <c r="A296" s="61"/>
      <c r="B296" s="61"/>
      <c r="C296" s="61"/>
      <c r="D296" s="62"/>
      <c r="E296" s="61"/>
      <c r="F296" s="61"/>
      <c r="G296" s="61"/>
      <c r="H296" s="61"/>
      <c r="I296" s="61"/>
      <c r="J296" s="61"/>
      <c r="K296" s="61"/>
      <c r="L296" s="61"/>
      <c r="M296" s="61"/>
      <c r="N296" s="61"/>
      <c r="O296" s="63"/>
      <c r="P296" s="61"/>
      <c r="Q296" s="61"/>
      <c r="R296" s="61"/>
      <c r="S296" s="61"/>
      <c r="T296" s="61"/>
      <c r="U296" s="61"/>
      <c r="V296" s="64"/>
      <c r="W296" s="61"/>
      <c r="X296" s="61"/>
      <c r="Y296" s="61"/>
      <c r="Z296" s="61"/>
      <c r="AA296" s="61"/>
      <c r="AB296" s="61"/>
      <c r="AC296" s="61"/>
      <c r="AD296" s="61"/>
      <c r="AE296" s="61"/>
      <c r="AF296" s="61"/>
      <c r="AG296" s="61"/>
      <c r="AH296" s="61"/>
    </row>
    <row r="297">
      <c r="A297" s="65"/>
      <c r="B297" s="65"/>
      <c r="C297" s="65"/>
      <c r="D297" s="66"/>
      <c r="E297" s="65"/>
      <c r="F297" s="65"/>
      <c r="G297" s="65"/>
      <c r="H297" s="65"/>
      <c r="I297" s="65"/>
      <c r="J297" s="65"/>
      <c r="K297" s="65"/>
      <c r="L297" s="65"/>
      <c r="M297" s="65"/>
      <c r="N297" s="65"/>
      <c r="O297" s="67"/>
      <c r="P297" s="65"/>
      <c r="Q297" s="65"/>
      <c r="R297" s="65"/>
      <c r="S297" s="65"/>
      <c r="T297" s="65"/>
      <c r="U297" s="65"/>
      <c r="V297" s="68"/>
      <c r="W297" s="65"/>
      <c r="X297" s="65"/>
      <c r="Y297" s="65"/>
      <c r="Z297" s="65"/>
      <c r="AA297" s="65"/>
      <c r="AB297" s="65"/>
      <c r="AC297" s="65"/>
      <c r="AD297" s="65"/>
      <c r="AE297" s="65"/>
      <c r="AF297" s="65"/>
      <c r="AG297" s="65"/>
      <c r="AH297" s="65"/>
    </row>
    <row r="298">
      <c r="A298" s="61"/>
      <c r="B298" s="61"/>
      <c r="C298" s="61"/>
      <c r="D298" s="62"/>
      <c r="E298" s="61"/>
      <c r="F298" s="61"/>
      <c r="G298" s="61"/>
      <c r="H298" s="61"/>
      <c r="I298" s="61"/>
      <c r="J298" s="61"/>
      <c r="K298" s="61"/>
      <c r="L298" s="61"/>
      <c r="M298" s="61"/>
      <c r="N298" s="61"/>
      <c r="O298" s="63"/>
      <c r="P298" s="61"/>
      <c r="Q298" s="61"/>
      <c r="R298" s="61"/>
      <c r="S298" s="61"/>
      <c r="T298" s="61"/>
      <c r="U298" s="61"/>
      <c r="V298" s="64"/>
      <c r="W298" s="61"/>
      <c r="X298" s="61"/>
      <c r="Y298" s="61"/>
      <c r="Z298" s="61"/>
      <c r="AA298" s="61"/>
      <c r="AB298" s="61"/>
      <c r="AC298" s="61"/>
      <c r="AD298" s="61"/>
      <c r="AE298" s="61"/>
      <c r="AF298" s="61"/>
      <c r="AG298" s="61"/>
      <c r="AH298" s="61"/>
    </row>
    <row r="299">
      <c r="A299" s="65"/>
      <c r="B299" s="65"/>
      <c r="C299" s="65"/>
      <c r="D299" s="66"/>
      <c r="E299" s="65"/>
      <c r="F299" s="65"/>
      <c r="G299" s="65"/>
      <c r="H299" s="65"/>
      <c r="I299" s="65"/>
      <c r="J299" s="65"/>
      <c r="K299" s="65"/>
      <c r="L299" s="65"/>
      <c r="M299" s="65"/>
      <c r="N299" s="65"/>
      <c r="O299" s="67"/>
      <c r="P299" s="65"/>
      <c r="Q299" s="65"/>
      <c r="R299" s="65"/>
      <c r="S299" s="65"/>
      <c r="T299" s="65"/>
      <c r="U299" s="65"/>
      <c r="V299" s="68"/>
      <c r="W299" s="65"/>
      <c r="X299" s="65"/>
      <c r="Y299" s="65"/>
      <c r="Z299" s="65"/>
      <c r="AA299" s="65"/>
      <c r="AB299" s="65"/>
      <c r="AC299" s="65"/>
      <c r="AD299" s="65"/>
      <c r="AE299" s="65"/>
      <c r="AF299" s="65"/>
      <c r="AG299" s="65"/>
      <c r="AH299" s="65"/>
    </row>
    <row r="300">
      <c r="A300" s="61"/>
      <c r="B300" s="61"/>
      <c r="C300" s="61"/>
      <c r="D300" s="62"/>
      <c r="E300" s="61"/>
      <c r="F300" s="61"/>
      <c r="G300" s="61"/>
      <c r="H300" s="61"/>
      <c r="I300" s="61"/>
      <c r="J300" s="61"/>
      <c r="K300" s="61"/>
      <c r="L300" s="61"/>
      <c r="M300" s="61"/>
      <c r="N300" s="61"/>
      <c r="O300" s="63"/>
      <c r="P300" s="61"/>
      <c r="Q300" s="61"/>
      <c r="R300" s="61"/>
      <c r="S300" s="61"/>
      <c r="T300" s="61"/>
      <c r="U300" s="61"/>
      <c r="V300" s="64"/>
      <c r="W300" s="61"/>
      <c r="X300" s="61"/>
      <c r="Y300" s="61"/>
      <c r="Z300" s="61"/>
      <c r="AA300" s="61"/>
      <c r="AB300" s="61"/>
      <c r="AC300" s="61"/>
      <c r="AD300" s="61"/>
      <c r="AE300" s="61"/>
      <c r="AF300" s="61"/>
      <c r="AG300" s="61"/>
      <c r="AH300" s="61"/>
    </row>
    <row r="301">
      <c r="A301" s="65"/>
      <c r="B301" s="65"/>
      <c r="C301" s="65"/>
      <c r="D301" s="66"/>
      <c r="E301" s="65"/>
      <c r="F301" s="65"/>
      <c r="G301" s="65"/>
      <c r="H301" s="65"/>
      <c r="I301" s="65"/>
      <c r="J301" s="65"/>
      <c r="K301" s="65"/>
      <c r="L301" s="65"/>
      <c r="M301" s="65"/>
      <c r="N301" s="65"/>
      <c r="O301" s="67"/>
      <c r="P301" s="65"/>
      <c r="Q301" s="65"/>
      <c r="R301" s="65"/>
      <c r="S301" s="65"/>
      <c r="T301" s="65"/>
      <c r="U301" s="65"/>
      <c r="V301" s="68"/>
      <c r="W301" s="65"/>
      <c r="X301" s="65"/>
      <c r="Y301" s="65"/>
      <c r="Z301" s="65"/>
      <c r="AA301" s="65"/>
      <c r="AB301" s="65"/>
      <c r="AC301" s="65"/>
      <c r="AD301" s="65"/>
      <c r="AE301" s="65"/>
      <c r="AF301" s="65"/>
      <c r="AG301" s="65"/>
      <c r="AH301" s="65"/>
    </row>
    <row r="302">
      <c r="A302" s="61"/>
      <c r="B302" s="61"/>
      <c r="C302" s="61"/>
      <c r="D302" s="62"/>
      <c r="E302" s="61"/>
      <c r="F302" s="61"/>
      <c r="G302" s="61"/>
      <c r="H302" s="61"/>
      <c r="I302" s="61"/>
      <c r="J302" s="61"/>
      <c r="K302" s="61"/>
      <c r="L302" s="61"/>
      <c r="M302" s="61"/>
      <c r="N302" s="61"/>
      <c r="O302" s="63"/>
      <c r="P302" s="61"/>
      <c r="Q302" s="61"/>
      <c r="R302" s="61"/>
      <c r="S302" s="61"/>
      <c r="T302" s="61"/>
      <c r="U302" s="61"/>
      <c r="V302" s="64"/>
      <c r="W302" s="61"/>
      <c r="X302" s="61"/>
      <c r="Y302" s="61"/>
      <c r="Z302" s="61"/>
      <c r="AA302" s="61"/>
      <c r="AB302" s="61"/>
      <c r="AC302" s="61"/>
      <c r="AD302" s="61"/>
      <c r="AE302" s="61"/>
      <c r="AF302" s="61"/>
      <c r="AG302" s="61"/>
      <c r="AH302" s="61"/>
    </row>
    <row r="303">
      <c r="A303" s="65"/>
      <c r="B303" s="65"/>
      <c r="C303" s="65"/>
      <c r="D303" s="66"/>
      <c r="E303" s="65"/>
      <c r="F303" s="65"/>
      <c r="G303" s="65"/>
      <c r="H303" s="65"/>
      <c r="I303" s="65"/>
      <c r="J303" s="65"/>
      <c r="K303" s="65"/>
      <c r="L303" s="65"/>
      <c r="M303" s="65"/>
      <c r="N303" s="65"/>
      <c r="O303" s="67"/>
      <c r="P303" s="65"/>
      <c r="Q303" s="65"/>
      <c r="R303" s="65"/>
      <c r="S303" s="65"/>
      <c r="T303" s="65"/>
      <c r="U303" s="65"/>
      <c r="V303" s="68"/>
      <c r="W303" s="65"/>
      <c r="X303" s="65"/>
      <c r="Y303" s="65"/>
      <c r="Z303" s="65"/>
      <c r="AA303" s="65"/>
      <c r="AB303" s="65"/>
      <c r="AC303" s="65"/>
      <c r="AD303" s="65"/>
      <c r="AE303" s="65"/>
      <c r="AF303" s="65"/>
      <c r="AG303" s="65"/>
      <c r="AH303" s="65"/>
    </row>
    <row r="304">
      <c r="A304" s="61"/>
      <c r="B304" s="61"/>
      <c r="C304" s="61"/>
      <c r="D304" s="62"/>
      <c r="E304" s="61"/>
      <c r="F304" s="61"/>
      <c r="G304" s="61"/>
      <c r="H304" s="61"/>
      <c r="I304" s="61"/>
      <c r="J304" s="61"/>
      <c r="K304" s="61"/>
      <c r="L304" s="61"/>
      <c r="M304" s="61"/>
      <c r="N304" s="61"/>
      <c r="O304" s="63"/>
      <c r="P304" s="61"/>
      <c r="Q304" s="61"/>
      <c r="R304" s="61"/>
      <c r="S304" s="61"/>
      <c r="T304" s="61"/>
      <c r="U304" s="61"/>
      <c r="V304" s="64"/>
      <c r="W304" s="61"/>
      <c r="X304" s="61"/>
      <c r="Y304" s="61"/>
      <c r="Z304" s="61"/>
      <c r="AA304" s="61"/>
      <c r="AB304" s="61"/>
      <c r="AC304" s="61"/>
      <c r="AD304" s="61"/>
      <c r="AE304" s="61"/>
      <c r="AF304" s="61"/>
      <c r="AG304" s="61"/>
      <c r="AH304" s="61"/>
    </row>
    <row r="305">
      <c r="A305" s="65"/>
      <c r="B305" s="65"/>
      <c r="C305" s="65"/>
      <c r="D305" s="66"/>
      <c r="E305" s="65"/>
      <c r="F305" s="65"/>
      <c r="G305" s="65"/>
      <c r="H305" s="65"/>
      <c r="I305" s="65"/>
      <c r="J305" s="65"/>
      <c r="K305" s="65"/>
      <c r="L305" s="65"/>
      <c r="M305" s="65"/>
      <c r="N305" s="65"/>
      <c r="O305" s="67"/>
      <c r="P305" s="65"/>
      <c r="Q305" s="65"/>
      <c r="R305" s="65"/>
      <c r="S305" s="65"/>
      <c r="T305" s="65"/>
      <c r="U305" s="65"/>
      <c r="V305" s="68"/>
      <c r="W305" s="65"/>
      <c r="X305" s="65"/>
      <c r="Y305" s="65"/>
      <c r="Z305" s="65"/>
      <c r="AA305" s="65"/>
      <c r="AB305" s="65"/>
      <c r="AC305" s="65"/>
      <c r="AD305" s="65"/>
      <c r="AE305" s="65"/>
      <c r="AF305" s="65"/>
      <c r="AG305" s="65"/>
      <c r="AH305" s="65"/>
    </row>
    <row r="306">
      <c r="A306" s="61"/>
      <c r="B306" s="61"/>
      <c r="C306" s="61"/>
      <c r="D306" s="62"/>
      <c r="E306" s="61"/>
      <c r="F306" s="61"/>
      <c r="G306" s="61"/>
      <c r="H306" s="61"/>
      <c r="I306" s="61"/>
      <c r="J306" s="61"/>
      <c r="K306" s="61"/>
      <c r="L306" s="61"/>
      <c r="M306" s="61"/>
      <c r="N306" s="61"/>
      <c r="O306" s="63"/>
      <c r="P306" s="61"/>
      <c r="Q306" s="61"/>
      <c r="R306" s="61"/>
      <c r="S306" s="61"/>
      <c r="T306" s="61"/>
      <c r="U306" s="61"/>
      <c r="V306" s="64"/>
      <c r="W306" s="61"/>
      <c r="X306" s="61"/>
      <c r="Y306" s="61"/>
      <c r="Z306" s="61"/>
      <c r="AA306" s="61"/>
      <c r="AB306" s="61"/>
      <c r="AC306" s="61"/>
      <c r="AD306" s="61"/>
      <c r="AE306" s="61"/>
      <c r="AF306" s="61"/>
      <c r="AG306" s="61"/>
      <c r="AH306" s="61"/>
    </row>
    <row r="307">
      <c r="A307" s="65"/>
      <c r="B307" s="65"/>
      <c r="C307" s="65"/>
      <c r="D307" s="66"/>
      <c r="E307" s="65"/>
      <c r="F307" s="65"/>
      <c r="G307" s="65"/>
      <c r="H307" s="65"/>
      <c r="I307" s="65"/>
      <c r="J307" s="65"/>
      <c r="K307" s="65"/>
      <c r="L307" s="65"/>
      <c r="M307" s="65"/>
      <c r="N307" s="65"/>
      <c r="O307" s="67"/>
      <c r="P307" s="65"/>
      <c r="Q307" s="65"/>
      <c r="R307" s="65"/>
      <c r="S307" s="65"/>
      <c r="T307" s="65"/>
      <c r="U307" s="65"/>
      <c r="V307" s="68"/>
      <c r="W307" s="65"/>
      <c r="X307" s="65"/>
      <c r="Y307" s="65"/>
      <c r="Z307" s="65"/>
      <c r="AA307" s="65"/>
      <c r="AB307" s="65"/>
      <c r="AC307" s="65"/>
      <c r="AD307" s="65"/>
      <c r="AE307" s="65"/>
      <c r="AF307" s="65"/>
      <c r="AG307" s="65"/>
      <c r="AH307" s="65"/>
    </row>
    <row r="308">
      <c r="A308" s="61"/>
      <c r="B308" s="61"/>
      <c r="C308" s="61"/>
      <c r="D308" s="62"/>
      <c r="E308" s="61"/>
      <c r="F308" s="61"/>
      <c r="G308" s="61"/>
      <c r="H308" s="61"/>
      <c r="I308" s="61"/>
      <c r="J308" s="61"/>
      <c r="K308" s="61"/>
      <c r="L308" s="61"/>
      <c r="M308" s="61"/>
      <c r="N308" s="61"/>
      <c r="O308" s="63"/>
      <c r="P308" s="61"/>
      <c r="Q308" s="61"/>
      <c r="R308" s="61"/>
      <c r="S308" s="61"/>
      <c r="T308" s="61"/>
      <c r="U308" s="61"/>
      <c r="V308" s="64"/>
      <c r="W308" s="61"/>
      <c r="X308" s="61"/>
      <c r="Y308" s="61"/>
      <c r="Z308" s="61"/>
      <c r="AA308" s="61"/>
      <c r="AB308" s="61"/>
      <c r="AC308" s="61"/>
      <c r="AD308" s="61"/>
      <c r="AE308" s="61"/>
      <c r="AF308" s="61"/>
      <c r="AG308" s="61"/>
      <c r="AH308" s="61"/>
    </row>
    <row r="309">
      <c r="A309" s="65"/>
      <c r="B309" s="65"/>
      <c r="C309" s="65"/>
      <c r="D309" s="66"/>
      <c r="E309" s="65"/>
      <c r="F309" s="65"/>
      <c r="G309" s="65"/>
      <c r="H309" s="65"/>
      <c r="I309" s="65"/>
      <c r="J309" s="65"/>
      <c r="K309" s="65"/>
      <c r="L309" s="65"/>
      <c r="M309" s="65"/>
      <c r="N309" s="65"/>
      <c r="O309" s="67"/>
      <c r="P309" s="65"/>
      <c r="Q309" s="65"/>
      <c r="R309" s="65"/>
      <c r="S309" s="65"/>
      <c r="T309" s="65"/>
      <c r="U309" s="65"/>
      <c r="V309" s="68"/>
      <c r="W309" s="65"/>
      <c r="X309" s="65"/>
      <c r="Y309" s="65"/>
      <c r="Z309" s="65"/>
      <c r="AA309" s="65"/>
      <c r="AB309" s="65"/>
      <c r="AC309" s="65"/>
      <c r="AD309" s="65"/>
      <c r="AE309" s="65"/>
      <c r="AF309" s="65"/>
      <c r="AG309" s="65"/>
      <c r="AH309" s="65"/>
    </row>
    <row r="310">
      <c r="A310" s="61"/>
      <c r="B310" s="61"/>
      <c r="C310" s="61"/>
      <c r="D310" s="62"/>
      <c r="E310" s="61"/>
      <c r="F310" s="61"/>
      <c r="G310" s="61"/>
      <c r="H310" s="61"/>
      <c r="I310" s="61"/>
      <c r="J310" s="61"/>
      <c r="K310" s="61"/>
      <c r="L310" s="61"/>
      <c r="M310" s="61"/>
      <c r="N310" s="61"/>
      <c r="O310" s="63"/>
      <c r="P310" s="61"/>
      <c r="Q310" s="61"/>
      <c r="R310" s="61"/>
      <c r="S310" s="61"/>
      <c r="T310" s="61"/>
      <c r="U310" s="61"/>
      <c r="V310" s="64"/>
      <c r="W310" s="61"/>
      <c r="X310" s="61"/>
      <c r="Y310" s="61"/>
      <c r="Z310" s="61"/>
      <c r="AA310" s="61"/>
      <c r="AB310" s="61"/>
      <c r="AC310" s="61"/>
      <c r="AD310" s="61"/>
      <c r="AE310" s="61"/>
      <c r="AF310" s="61"/>
      <c r="AG310" s="61"/>
      <c r="AH310" s="61"/>
    </row>
    <row r="311">
      <c r="A311" s="65"/>
      <c r="B311" s="65"/>
      <c r="C311" s="65"/>
      <c r="D311" s="66"/>
      <c r="E311" s="65"/>
      <c r="F311" s="65"/>
      <c r="G311" s="65"/>
      <c r="H311" s="65"/>
      <c r="I311" s="65"/>
      <c r="J311" s="65"/>
      <c r="K311" s="65"/>
      <c r="L311" s="65"/>
      <c r="M311" s="65"/>
      <c r="N311" s="65"/>
      <c r="O311" s="67"/>
      <c r="P311" s="65"/>
      <c r="Q311" s="65"/>
      <c r="R311" s="65"/>
      <c r="S311" s="65"/>
      <c r="T311" s="65"/>
      <c r="U311" s="65"/>
      <c r="V311" s="68"/>
      <c r="W311" s="65"/>
      <c r="X311" s="65"/>
      <c r="Y311" s="65"/>
      <c r="Z311" s="65"/>
      <c r="AA311" s="65"/>
      <c r="AB311" s="65"/>
      <c r="AC311" s="65"/>
      <c r="AD311" s="65"/>
      <c r="AE311" s="65"/>
      <c r="AF311" s="65"/>
      <c r="AG311" s="65"/>
      <c r="AH311" s="65"/>
    </row>
    <row r="312">
      <c r="A312" s="61"/>
      <c r="B312" s="61"/>
      <c r="C312" s="61"/>
      <c r="D312" s="62"/>
      <c r="E312" s="61"/>
      <c r="F312" s="61"/>
      <c r="G312" s="61"/>
      <c r="H312" s="61"/>
      <c r="I312" s="61"/>
      <c r="J312" s="61"/>
      <c r="K312" s="61"/>
      <c r="L312" s="61"/>
      <c r="M312" s="61"/>
      <c r="N312" s="61"/>
      <c r="O312" s="63"/>
      <c r="P312" s="61"/>
      <c r="Q312" s="61"/>
      <c r="R312" s="61"/>
      <c r="S312" s="61"/>
      <c r="T312" s="61"/>
      <c r="U312" s="61"/>
      <c r="V312" s="64"/>
      <c r="W312" s="61"/>
      <c r="X312" s="61"/>
      <c r="Y312" s="61"/>
      <c r="Z312" s="61"/>
      <c r="AA312" s="61"/>
      <c r="AB312" s="61"/>
      <c r="AC312" s="61"/>
      <c r="AD312" s="61"/>
      <c r="AE312" s="61"/>
      <c r="AF312" s="61"/>
      <c r="AG312" s="61"/>
      <c r="AH312" s="61"/>
    </row>
    <row r="313">
      <c r="A313" s="65"/>
      <c r="B313" s="65"/>
      <c r="C313" s="65"/>
      <c r="D313" s="66"/>
      <c r="E313" s="65"/>
      <c r="F313" s="65"/>
      <c r="G313" s="65"/>
      <c r="H313" s="65"/>
      <c r="I313" s="65"/>
      <c r="J313" s="65"/>
      <c r="K313" s="65"/>
      <c r="L313" s="65"/>
      <c r="M313" s="65"/>
      <c r="N313" s="65"/>
      <c r="O313" s="67"/>
      <c r="P313" s="65"/>
      <c r="Q313" s="65"/>
      <c r="R313" s="65"/>
      <c r="S313" s="65"/>
      <c r="T313" s="65"/>
      <c r="U313" s="65"/>
      <c r="V313" s="68"/>
      <c r="W313" s="65"/>
      <c r="X313" s="65"/>
      <c r="Y313" s="65"/>
      <c r="Z313" s="65"/>
      <c r="AA313" s="65"/>
      <c r="AB313" s="65"/>
      <c r="AC313" s="65"/>
      <c r="AD313" s="65"/>
      <c r="AE313" s="65"/>
      <c r="AF313" s="65"/>
      <c r="AG313" s="65"/>
      <c r="AH313" s="65"/>
    </row>
    <row r="314">
      <c r="A314" s="61"/>
      <c r="B314" s="61"/>
      <c r="C314" s="61"/>
      <c r="D314" s="62"/>
      <c r="E314" s="61"/>
      <c r="F314" s="61"/>
      <c r="G314" s="61"/>
      <c r="H314" s="61"/>
      <c r="I314" s="61"/>
      <c r="J314" s="61"/>
      <c r="K314" s="61"/>
      <c r="L314" s="61"/>
      <c r="M314" s="61"/>
      <c r="N314" s="61"/>
      <c r="O314" s="63"/>
      <c r="P314" s="61"/>
      <c r="Q314" s="61"/>
      <c r="R314" s="61"/>
      <c r="S314" s="61"/>
      <c r="T314" s="61"/>
      <c r="U314" s="61"/>
      <c r="V314" s="64"/>
      <c r="W314" s="61"/>
      <c r="X314" s="61"/>
      <c r="Y314" s="61"/>
      <c r="Z314" s="61"/>
      <c r="AA314" s="61"/>
      <c r="AB314" s="61"/>
      <c r="AC314" s="61"/>
      <c r="AD314" s="61"/>
      <c r="AE314" s="61"/>
      <c r="AF314" s="61"/>
      <c r="AG314" s="61"/>
      <c r="AH314" s="61"/>
    </row>
    <row r="315">
      <c r="A315" s="65"/>
      <c r="B315" s="65"/>
      <c r="C315" s="65"/>
      <c r="D315" s="66"/>
      <c r="E315" s="65"/>
      <c r="F315" s="65"/>
      <c r="G315" s="65"/>
      <c r="H315" s="65"/>
      <c r="I315" s="65"/>
      <c r="J315" s="65"/>
      <c r="K315" s="65"/>
      <c r="L315" s="65"/>
      <c r="M315" s="65"/>
      <c r="N315" s="65"/>
      <c r="O315" s="67"/>
      <c r="P315" s="65"/>
      <c r="Q315" s="65"/>
      <c r="R315" s="65"/>
      <c r="S315" s="65"/>
      <c r="T315" s="65"/>
      <c r="U315" s="65"/>
      <c r="V315" s="68"/>
      <c r="W315" s="65"/>
      <c r="X315" s="65"/>
      <c r="Y315" s="65"/>
      <c r="Z315" s="65"/>
      <c r="AA315" s="65"/>
      <c r="AB315" s="65"/>
      <c r="AC315" s="65"/>
      <c r="AD315" s="65"/>
      <c r="AE315" s="65"/>
      <c r="AF315" s="65"/>
      <c r="AG315" s="65"/>
      <c r="AH315" s="65"/>
    </row>
    <row r="316">
      <c r="A316" s="61"/>
      <c r="B316" s="61"/>
      <c r="C316" s="61"/>
      <c r="D316" s="62"/>
      <c r="E316" s="61"/>
      <c r="F316" s="61"/>
      <c r="G316" s="61"/>
      <c r="H316" s="61"/>
      <c r="I316" s="61"/>
      <c r="J316" s="61"/>
      <c r="K316" s="61"/>
      <c r="L316" s="61"/>
      <c r="M316" s="61"/>
      <c r="N316" s="61"/>
      <c r="O316" s="63"/>
      <c r="P316" s="61"/>
      <c r="Q316" s="61"/>
      <c r="R316" s="61"/>
      <c r="S316" s="61"/>
      <c r="T316" s="61"/>
      <c r="U316" s="61"/>
      <c r="V316" s="64"/>
      <c r="W316" s="61"/>
      <c r="X316" s="61"/>
      <c r="Y316" s="61"/>
      <c r="Z316" s="61"/>
      <c r="AA316" s="61"/>
      <c r="AB316" s="61"/>
      <c r="AC316" s="61"/>
      <c r="AD316" s="61"/>
      <c r="AE316" s="61"/>
      <c r="AF316" s="61"/>
      <c r="AG316" s="61"/>
      <c r="AH316" s="61"/>
    </row>
    <row r="317">
      <c r="A317" s="65"/>
      <c r="B317" s="65"/>
      <c r="C317" s="65"/>
      <c r="D317" s="66"/>
      <c r="E317" s="65"/>
      <c r="F317" s="65"/>
      <c r="G317" s="65"/>
      <c r="H317" s="65"/>
      <c r="I317" s="65"/>
      <c r="J317" s="65"/>
      <c r="K317" s="65"/>
      <c r="L317" s="65"/>
      <c r="M317" s="65"/>
      <c r="N317" s="65"/>
      <c r="O317" s="67"/>
      <c r="P317" s="65"/>
      <c r="Q317" s="65"/>
      <c r="R317" s="65"/>
      <c r="S317" s="65"/>
      <c r="T317" s="65"/>
      <c r="U317" s="65"/>
      <c r="V317" s="68"/>
      <c r="W317" s="65"/>
      <c r="X317" s="65"/>
      <c r="Y317" s="65"/>
      <c r="Z317" s="65"/>
      <c r="AA317" s="65"/>
      <c r="AB317" s="65"/>
      <c r="AC317" s="65"/>
      <c r="AD317" s="65"/>
      <c r="AE317" s="65"/>
      <c r="AF317" s="65"/>
      <c r="AG317" s="65"/>
      <c r="AH317" s="65"/>
    </row>
    <row r="318">
      <c r="A318" s="61"/>
      <c r="B318" s="61"/>
      <c r="C318" s="61"/>
      <c r="D318" s="62"/>
      <c r="E318" s="61"/>
      <c r="F318" s="61"/>
      <c r="G318" s="61"/>
      <c r="H318" s="61"/>
      <c r="I318" s="61"/>
      <c r="J318" s="61"/>
      <c r="K318" s="61"/>
      <c r="L318" s="61"/>
      <c r="M318" s="61"/>
      <c r="N318" s="61"/>
      <c r="O318" s="63"/>
      <c r="P318" s="61"/>
      <c r="Q318" s="61"/>
      <c r="R318" s="61"/>
      <c r="S318" s="61"/>
      <c r="T318" s="61"/>
      <c r="U318" s="61"/>
      <c r="V318" s="64"/>
      <c r="W318" s="61"/>
      <c r="X318" s="61"/>
      <c r="Y318" s="61"/>
      <c r="Z318" s="61"/>
      <c r="AA318" s="61"/>
      <c r="AB318" s="61"/>
      <c r="AC318" s="61"/>
      <c r="AD318" s="61"/>
      <c r="AE318" s="61"/>
      <c r="AF318" s="61"/>
      <c r="AG318" s="61"/>
      <c r="AH318" s="61"/>
    </row>
    <row r="319">
      <c r="A319" s="65"/>
      <c r="B319" s="65"/>
      <c r="C319" s="65"/>
      <c r="D319" s="66"/>
      <c r="E319" s="65"/>
      <c r="F319" s="65"/>
      <c r="G319" s="65"/>
      <c r="H319" s="65"/>
      <c r="I319" s="65"/>
      <c r="J319" s="65"/>
      <c r="K319" s="65"/>
      <c r="L319" s="65"/>
      <c r="M319" s="65"/>
      <c r="N319" s="65"/>
      <c r="O319" s="67"/>
      <c r="P319" s="65"/>
      <c r="Q319" s="65"/>
      <c r="R319" s="65"/>
      <c r="S319" s="65"/>
      <c r="T319" s="65"/>
      <c r="U319" s="65"/>
      <c r="V319" s="68"/>
      <c r="W319" s="65"/>
      <c r="X319" s="65"/>
      <c r="Y319" s="65"/>
      <c r="Z319" s="65"/>
      <c r="AA319" s="65"/>
      <c r="AB319" s="65"/>
      <c r="AC319" s="65"/>
      <c r="AD319" s="65"/>
      <c r="AE319" s="65"/>
      <c r="AF319" s="65"/>
      <c r="AG319" s="65"/>
      <c r="AH319" s="65"/>
    </row>
    <row r="320">
      <c r="A320" s="61"/>
      <c r="B320" s="61"/>
      <c r="C320" s="61"/>
      <c r="D320" s="62"/>
      <c r="E320" s="61"/>
      <c r="F320" s="61"/>
      <c r="G320" s="61"/>
      <c r="H320" s="61"/>
      <c r="I320" s="61"/>
      <c r="J320" s="61"/>
      <c r="K320" s="61"/>
      <c r="L320" s="61"/>
      <c r="M320" s="61"/>
      <c r="N320" s="61"/>
      <c r="O320" s="63"/>
      <c r="P320" s="61"/>
      <c r="Q320" s="61"/>
      <c r="R320" s="61"/>
      <c r="S320" s="61"/>
      <c r="T320" s="61"/>
      <c r="U320" s="61"/>
      <c r="V320" s="64"/>
      <c r="W320" s="61"/>
      <c r="X320" s="61"/>
      <c r="Y320" s="61"/>
      <c r="Z320" s="61"/>
      <c r="AA320" s="61"/>
      <c r="AB320" s="61"/>
      <c r="AC320" s="61"/>
      <c r="AD320" s="61"/>
      <c r="AE320" s="61"/>
      <c r="AF320" s="61"/>
      <c r="AG320" s="61"/>
      <c r="AH320" s="61"/>
    </row>
    <row r="321">
      <c r="A321" s="65"/>
      <c r="B321" s="65"/>
      <c r="C321" s="65"/>
      <c r="D321" s="66"/>
      <c r="E321" s="65"/>
      <c r="F321" s="65"/>
      <c r="G321" s="65"/>
      <c r="H321" s="65"/>
      <c r="I321" s="65"/>
      <c r="J321" s="65"/>
      <c r="K321" s="65"/>
      <c r="L321" s="65"/>
      <c r="M321" s="65"/>
      <c r="N321" s="65"/>
      <c r="O321" s="67"/>
      <c r="P321" s="65"/>
      <c r="Q321" s="65"/>
      <c r="R321" s="65"/>
      <c r="S321" s="65"/>
      <c r="T321" s="65"/>
      <c r="U321" s="65"/>
      <c r="V321" s="68"/>
      <c r="W321" s="65"/>
      <c r="X321" s="65"/>
      <c r="Y321" s="65"/>
      <c r="Z321" s="65"/>
      <c r="AA321" s="65"/>
      <c r="AB321" s="65"/>
      <c r="AC321" s="65"/>
      <c r="AD321" s="65"/>
      <c r="AE321" s="65"/>
      <c r="AF321" s="65"/>
      <c r="AG321" s="65"/>
      <c r="AH321" s="65"/>
    </row>
    <row r="322">
      <c r="A322" s="61"/>
      <c r="B322" s="61"/>
      <c r="C322" s="61"/>
      <c r="D322" s="62"/>
      <c r="E322" s="61"/>
      <c r="F322" s="61"/>
      <c r="G322" s="61"/>
      <c r="H322" s="61"/>
      <c r="I322" s="61"/>
      <c r="J322" s="61"/>
      <c r="K322" s="61"/>
      <c r="L322" s="61"/>
      <c r="M322" s="61"/>
      <c r="N322" s="61"/>
      <c r="O322" s="63"/>
      <c r="P322" s="61"/>
      <c r="Q322" s="61"/>
      <c r="R322" s="61"/>
      <c r="S322" s="61"/>
      <c r="T322" s="61"/>
      <c r="U322" s="61"/>
      <c r="V322" s="64"/>
      <c r="W322" s="61"/>
      <c r="X322" s="61"/>
      <c r="Y322" s="61"/>
      <c r="Z322" s="61"/>
      <c r="AA322" s="61"/>
      <c r="AB322" s="61"/>
      <c r="AC322" s="61"/>
      <c r="AD322" s="61"/>
      <c r="AE322" s="61"/>
      <c r="AF322" s="61"/>
      <c r="AG322" s="61"/>
      <c r="AH322" s="61"/>
    </row>
    <row r="323">
      <c r="A323" s="65"/>
      <c r="B323" s="65"/>
      <c r="C323" s="65"/>
      <c r="D323" s="66"/>
      <c r="E323" s="65"/>
      <c r="F323" s="65"/>
      <c r="G323" s="65"/>
      <c r="H323" s="65"/>
      <c r="I323" s="65"/>
      <c r="J323" s="65"/>
      <c r="K323" s="65"/>
      <c r="L323" s="65"/>
      <c r="M323" s="65"/>
      <c r="N323" s="65"/>
      <c r="O323" s="67"/>
      <c r="P323" s="65"/>
      <c r="Q323" s="65"/>
      <c r="R323" s="65"/>
      <c r="S323" s="65"/>
      <c r="T323" s="65"/>
      <c r="U323" s="65"/>
      <c r="V323" s="68"/>
      <c r="W323" s="65"/>
      <c r="X323" s="65"/>
      <c r="Y323" s="65"/>
      <c r="Z323" s="65"/>
      <c r="AA323" s="65"/>
      <c r="AB323" s="65"/>
      <c r="AC323" s="65"/>
      <c r="AD323" s="65"/>
      <c r="AE323" s="65"/>
      <c r="AF323" s="65"/>
      <c r="AG323" s="65"/>
      <c r="AH323" s="65"/>
    </row>
    <row r="324">
      <c r="A324" s="61"/>
      <c r="B324" s="61"/>
      <c r="C324" s="61"/>
      <c r="D324" s="62"/>
      <c r="E324" s="61"/>
      <c r="F324" s="61"/>
      <c r="G324" s="61"/>
      <c r="H324" s="61"/>
      <c r="I324" s="61"/>
      <c r="J324" s="61"/>
      <c r="K324" s="61"/>
      <c r="L324" s="61"/>
      <c r="M324" s="61"/>
      <c r="N324" s="61"/>
      <c r="O324" s="63"/>
      <c r="P324" s="61"/>
      <c r="Q324" s="61"/>
      <c r="R324" s="61"/>
      <c r="S324" s="61"/>
      <c r="T324" s="61"/>
      <c r="U324" s="61"/>
      <c r="V324" s="64"/>
      <c r="W324" s="61"/>
      <c r="X324" s="61"/>
      <c r="Y324" s="61"/>
      <c r="Z324" s="61"/>
      <c r="AA324" s="61"/>
      <c r="AB324" s="61"/>
      <c r="AC324" s="61"/>
      <c r="AD324" s="61"/>
      <c r="AE324" s="61"/>
      <c r="AF324" s="61"/>
      <c r="AG324" s="61"/>
      <c r="AH324" s="61"/>
    </row>
    <row r="325">
      <c r="A325" s="65"/>
      <c r="B325" s="65"/>
      <c r="C325" s="65"/>
      <c r="D325" s="66"/>
      <c r="E325" s="65"/>
      <c r="F325" s="65"/>
      <c r="G325" s="65"/>
      <c r="H325" s="65"/>
      <c r="I325" s="65"/>
      <c r="J325" s="65"/>
      <c r="K325" s="65"/>
      <c r="L325" s="65"/>
      <c r="M325" s="65"/>
      <c r="N325" s="65"/>
      <c r="O325" s="67"/>
      <c r="P325" s="65"/>
      <c r="Q325" s="65"/>
      <c r="R325" s="65"/>
      <c r="S325" s="65"/>
      <c r="T325" s="65"/>
      <c r="U325" s="65"/>
      <c r="V325" s="68"/>
      <c r="W325" s="65"/>
      <c r="X325" s="65"/>
      <c r="Y325" s="65"/>
      <c r="Z325" s="65"/>
      <c r="AA325" s="65"/>
      <c r="AB325" s="65"/>
      <c r="AC325" s="65"/>
      <c r="AD325" s="65"/>
      <c r="AE325" s="65"/>
      <c r="AF325" s="65"/>
      <c r="AG325" s="65"/>
      <c r="AH325" s="65"/>
    </row>
    <row r="326">
      <c r="A326" s="61"/>
      <c r="B326" s="61"/>
      <c r="C326" s="61"/>
      <c r="D326" s="62"/>
      <c r="E326" s="61"/>
      <c r="F326" s="61"/>
      <c r="G326" s="61"/>
      <c r="H326" s="61"/>
      <c r="I326" s="61"/>
      <c r="J326" s="61"/>
      <c r="K326" s="61"/>
      <c r="L326" s="61"/>
      <c r="M326" s="61"/>
      <c r="N326" s="61"/>
      <c r="O326" s="63"/>
      <c r="P326" s="61"/>
      <c r="Q326" s="61"/>
      <c r="R326" s="61"/>
      <c r="S326" s="61"/>
      <c r="T326" s="61"/>
      <c r="U326" s="61"/>
      <c r="V326" s="64"/>
      <c r="W326" s="61"/>
      <c r="X326" s="61"/>
      <c r="Y326" s="61"/>
      <c r="Z326" s="61"/>
      <c r="AA326" s="61"/>
      <c r="AB326" s="61"/>
      <c r="AC326" s="61"/>
      <c r="AD326" s="61"/>
      <c r="AE326" s="61"/>
      <c r="AF326" s="61"/>
      <c r="AG326" s="61"/>
      <c r="AH326" s="61"/>
    </row>
    <row r="327">
      <c r="A327" s="65"/>
      <c r="B327" s="65"/>
      <c r="C327" s="65"/>
      <c r="D327" s="66"/>
      <c r="E327" s="65"/>
      <c r="F327" s="65"/>
      <c r="G327" s="65"/>
      <c r="H327" s="65"/>
      <c r="I327" s="65"/>
      <c r="J327" s="65"/>
      <c r="K327" s="65"/>
      <c r="L327" s="65"/>
      <c r="M327" s="65"/>
      <c r="N327" s="65"/>
      <c r="O327" s="67"/>
      <c r="P327" s="65"/>
      <c r="Q327" s="65"/>
      <c r="R327" s="65"/>
      <c r="S327" s="65"/>
      <c r="T327" s="65"/>
      <c r="U327" s="65"/>
      <c r="V327" s="68"/>
      <c r="W327" s="65"/>
      <c r="X327" s="65"/>
      <c r="Y327" s="65"/>
      <c r="Z327" s="65"/>
      <c r="AA327" s="65"/>
      <c r="AB327" s="65"/>
      <c r="AC327" s="65"/>
      <c r="AD327" s="65"/>
      <c r="AE327" s="65"/>
      <c r="AF327" s="65"/>
      <c r="AG327" s="65"/>
      <c r="AH327" s="65"/>
    </row>
    <row r="328">
      <c r="A328" s="61"/>
      <c r="B328" s="61"/>
      <c r="C328" s="61"/>
      <c r="D328" s="62"/>
      <c r="E328" s="61"/>
      <c r="F328" s="61"/>
      <c r="G328" s="61"/>
      <c r="H328" s="61"/>
      <c r="I328" s="61"/>
      <c r="J328" s="61"/>
      <c r="K328" s="61"/>
      <c r="L328" s="61"/>
      <c r="M328" s="61"/>
      <c r="N328" s="61"/>
      <c r="O328" s="63"/>
      <c r="P328" s="61"/>
      <c r="Q328" s="61"/>
      <c r="R328" s="61"/>
      <c r="S328" s="61"/>
      <c r="T328" s="61"/>
      <c r="U328" s="61"/>
      <c r="V328" s="64"/>
      <c r="W328" s="61"/>
      <c r="X328" s="61"/>
      <c r="Y328" s="61"/>
      <c r="Z328" s="61"/>
      <c r="AA328" s="61"/>
      <c r="AB328" s="61"/>
      <c r="AC328" s="61"/>
      <c r="AD328" s="61"/>
      <c r="AE328" s="61"/>
      <c r="AF328" s="61"/>
      <c r="AG328" s="61"/>
      <c r="AH328" s="61"/>
    </row>
    <row r="329">
      <c r="A329" s="65"/>
      <c r="B329" s="65"/>
      <c r="C329" s="65"/>
      <c r="D329" s="66"/>
      <c r="E329" s="65"/>
      <c r="F329" s="65"/>
      <c r="G329" s="65"/>
      <c r="H329" s="65"/>
      <c r="I329" s="65"/>
      <c r="J329" s="65"/>
      <c r="K329" s="65"/>
      <c r="L329" s="65"/>
      <c r="M329" s="65"/>
      <c r="N329" s="65"/>
      <c r="O329" s="67"/>
      <c r="P329" s="65"/>
      <c r="Q329" s="65"/>
      <c r="R329" s="65"/>
      <c r="S329" s="65"/>
      <c r="T329" s="65"/>
      <c r="U329" s="65"/>
      <c r="V329" s="68"/>
      <c r="W329" s="65"/>
      <c r="X329" s="65"/>
      <c r="Y329" s="65"/>
      <c r="Z329" s="65"/>
      <c r="AA329" s="65"/>
      <c r="AB329" s="65"/>
      <c r="AC329" s="65"/>
      <c r="AD329" s="65"/>
      <c r="AE329" s="65"/>
      <c r="AF329" s="65"/>
      <c r="AG329" s="65"/>
      <c r="AH329" s="65"/>
    </row>
    <row r="330">
      <c r="A330" s="61"/>
      <c r="B330" s="61"/>
      <c r="C330" s="61"/>
      <c r="D330" s="62"/>
      <c r="E330" s="61"/>
      <c r="F330" s="61"/>
      <c r="G330" s="61"/>
      <c r="H330" s="61"/>
      <c r="I330" s="61"/>
      <c r="J330" s="61"/>
      <c r="K330" s="61"/>
      <c r="L330" s="61"/>
      <c r="M330" s="61"/>
      <c r="N330" s="61"/>
      <c r="O330" s="63"/>
      <c r="P330" s="61"/>
      <c r="Q330" s="61"/>
      <c r="R330" s="61"/>
      <c r="S330" s="61"/>
      <c r="T330" s="61"/>
      <c r="U330" s="61"/>
      <c r="V330" s="64"/>
      <c r="W330" s="61"/>
      <c r="X330" s="61"/>
      <c r="Y330" s="61"/>
      <c r="Z330" s="61"/>
      <c r="AA330" s="61"/>
      <c r="AB330" s="61"/>
      <c r="AC330" s="61"/>
      <c r="AD330" s="61"/>
      <c r="AE330" s="61"/>
      <c r="AF330" s="61"/>
      <c r="AG330" s="61"/>
      <c r="AH330" s="61"/>
    </row>
    <row r="331">
      <c r="A331" s="65"/>
      <c r="B331" s="65"/>
      <c r="C331" s="65"/>
      <c r="D331" s="66"/>
      <c r="E331" s="65"/>
      <c r="F331" s="65"/>
      <c r="G331" s="65"/>
      <c r="H331" s="65"/>
      <c r="I331" s="65"/>
      <c r="J331" s="65"/>
      <c r="K331" s="65"/>
      <c r="L331" s="65"/>
      <c r="M331" s="65"/>
      <c r="N331" s="65"/>
      <c r="O331" s="67"/>
      <c r="P331" s="65"/>
      <c r="Q331" s="65"/>
      <c r="R331" s="65"/>
      <c r="S331" s="65"/>
      <c r="T331" s="65"/>
      <c r="U331" s="65"/>
      <c r="V331" s="68"/>
      <c r="W331" s="65"/>
      <c r="X331" s="65"/>
      <c r="Y331" s="65"/>
      <c r="Z331" s="65"/>
      <c r="AA331" s="65"/>
      <c r="AB331" s="65"/>
      <c r="AC331" s="65"/>
      <c r="AD331" s="65"/>
      <c r="AE331" s="65"/>
      <c r="AF331" s="65"/>
      <c r="AG331" s="65"/>
      <c r="AH331" s="65"/>
    </row>
    <row r="332">
      <c r="A332" s="61"/>
      <c r="B332" s="61"/>
      <c r="C332" s="61"/>
      <c r="D332" s="62"/>
      <c r="E332" s="61"/>
      <c r="F332" s="61"/>
      <c r="G332" s="61"/>
      <c r="H332" s="61"/>
      <c r="I332" s="61"/>
      <c r="J332" s="61"/>
      <c r="K332" s="61"/>
      <c r="L332" s="61"/>
      <c r="M332" s="61"/>
      <c r="N332" s="61"/>
      <c r="O332" s="63"/>
      <c r="P332" s="61"/>
      <c r="Q332" s="61"/>
      <c r="R332" s="61"/>
      <c r="S332" s="61"/>
      <c r="T332" s="61"/>
      <c r="U332" s="61"/>
      <c r="V332" s="64"/>
      <c r="W332" s="61"/>
      <c r="X332" s="61"/>
      <c r="Y332" s="61"/>
      <c r="Z332" s="61"/>
      <c r="AA332" s="61"/>
      <c r="AB332" s="61"/>
      <c r="AC332" s="61"/>
      <c r="AD332" s="61"/>
      <c r="AE332" s="61"/>
      <c r="AF332" s="61"/>
      <c r="AG332" s="61"/>
      <c r="AH332" s="61"/>
    </row>
    <row r="333">
      <c r="A333" s="65"/>
      <c r="B333" s="65"/>
      <c r="C333" s="65"/>
      <c r="D333" s="66"/>
      <c r="E333" s="65"/>
      <c r="F333" s="65"/>
      <c r="G333" s="65"/>
      <c r="H333" s="65"/>
      <c r="I333" s="65"/>
      <c r="J333" s="65"/>
      <c r="K333" s="65"/>
      <c r="L333" s="65"/>
      <c r="M333" s="65"/>
      <c r="N333" s="65"/>
      <c r="O333" s="67"/>
      <c r="P333" s="65"/>
      <c r="Q333" s="65"/>
      <c r="R333" s="65"/>
      <c r="S333" s="65"/>
      <c r="T333" s="65"/>
      <c r="U333" s="65"/>
      <c r="V333" s="68"/>
      <c r="W333" s="65"/>
      <c r="X333" s="65"/>
      <c r="Y333" s="65"/>
      <c r="Z333" s="65"/>
      <c r="AA333" s="65"/>
      <c r="AB333" s="65"/>
      <c r="AC333" s="65"/>
      <c r="AD333" s="65"/>
      <c r="AE333" s="65"/>
      <c r="AF333" s="65"/>
      <c r="AG333" s="65"/>
      <c r="AH333" s="65"/>
    </row>
    <row r="334">
      <c r="A334" s="61"/>
      <c r="B334" s="61"/>
      <c r="C334" s="61"/>
      <c r="D334" s="62"/>
      <c r="E334" s="61"/>
      <c r="F334" s="61"/>
      <c r="G334" s="61"/>
      <c r="H334" s="61"/>
      <c r="I334" s="61"/>
      <c r="J334" s="61"/>
      <c r="K334" s="61"/>
      <c r="L334" s="61"/>
      <c r="M334" s="61"/>
      <c r="N334" s="61"/>
      <c r="O334" s="63"/>
      <c r="P334" s="61"/>
      <c r="Q334" s="61"/>
      <c r="R334" s="61"/>
      <c r="S334" s="61"/>
      <c r="T334" s="61"/>
      <c r="U334" s="61"/>
      <c r="V334" s="64"/>
      <c r="W334" s="61"/>
      <c r="X334" s="61"/>
      <c r="Y334" s="61"/>
      <c r="Z334" s="61"/>
      <c r="AA334" s="61"/>
      <c r="AB334" s="61"/>
      <c r="AC334" s="61"/>
      <c r="AD334" s="61"/>
      <c r="AE334" s="61"/>
      <c r="AF334" s="61"/>
      <c r="AG334" s="61"/>
      <c r="AH334" s="61"/>
    </row>
    <row r="335">
      <c r="A335" s="65"/>
      <c r="B335" s="65"/>
      <c r="C335" s="65"/>
      <c r="D335" s="66"/>
      <c r="E335" s="65"/>
      <c r="F335" s="65"/>
      <c r="G335" s="65"/>
      <c r="H335" s="65"/>
      <c r="I335" s="65"/>
      <c r="J335" s="65"/>
      <c r="K335" s="65"/>
      <c r="L335" s="65"/>
      <c r="M335" s="65"/>
      <c r="N335" s="65"/>
      <c r="O335" s="67"/>
      <c r="P335" s="65"/>
      <c r="Q335" s="65"/>
      <c r="R335" s="65"/>
      <c r="S335" s="65"/>
      <c r="T335" s="65"/>
      <c r="U335" s="65"/>
      <c r="V335" s="68"/>
      <c r="W335" s="65"/>
      <c r="X335" s="65"/>
      <c r="Y335" s="65"/>
      <c r="Z335" s="65"/>
      <c r="AA335" s="65"/>
      <c r="AB335" s="65"/>
      <c r="AC335" s="65"/>
      <c r="AD335" s="65"/>
      <c r="AE335" s="65"/>
      <c r="AF335" s="65"/>
      <c r="AG335" s="65"/>
      <c r="AH335" s="65"/>
    </row>
    <row r="336">
      <c r="A336" s="61"/>
      <c r="B336" s="61"/>
      <c r="C336" s="61"/>
      <c r="D336" s="62"/>
      <c r="E336" s="61"/>
      <c r="F336" s="61"/>
      <c r="G336" s="61"/>
      <c r="H336" s="61"/>
      <c r="I336" s="61"/>
      <c r="J336" s="61"/>
      <c r="K336" s="61"/>
      <c r="L336" s="61"/>
      <c r="M336" s="61"/>
      <c r="N336" s="61"/>
      <c r="O336" s="63"/>
      <c r="P336" s="61"/>
      <c r="Q336" s="61"/>
      <c r="R336" s="61"/>
      <c r="S336" s="61"/>
      <c r="T336" s="61"/>
      <c r="U336" s="61"/>
      <c r="V336" s="64"/>
      <c r="W336" s="61"/>
      <c r="X336" s="61"/>
      <c r="Y336" s="61"/>
      <c r="Z336" s="61"/>
      <c r="AA336" s="61"/>
      <c r="AB336" s="61"/>
      <c r="AC336" s="61"/>
      <c r="AD336" s="61"/>
      <c r="AE336" s="61"/>
      <c r="AF336" s="61"/>
      <c r="AG336" s="61"/>
      <c r="AH336" s="61"/>
    </row>
    <row r="337">
      <c r="A337" s="65"/>
      <c r="B337" s="65"/>
      <c r="C337" s="65"/>
      <c r="D337" s="66"/>
      <c r="E337" s="65"/>
      <c r="F337" s="65"/>
      <c r="G337" s="65"/>
      <c r="H337" s="65"/>
      <c r="I337" s="65"/>
      <c r="J337" s="65"/>
      <c r="K337" s="65"/>
      <c r="L337" s="65"/>
      <c r="M337" s="65"/>
      <c r="N337" s="65"/>
      <c r="O337" s="67"/>
      <c r="P337" s="65"/>
      <c r="Q337" s="65"/>
      <c r="R337" s="65"/>
      <c r="S337" s="65"/>
      <c r="T337" s="65"/>
      <c r="U337" s="65"/>
      <c r="V337" s="68"/>
      <c r="W337" s="65"/>
      <c r="X337" s="65"/>
      <c r="Y337" s="65"/>
      <c r="Z337" s="65"/>
      <c r="AA337" s="65"/>
      <c r="AB337" s="65"/>
      <c r="AC337" s="65"/>
      <c r="AD337" s="65"/>
      <c r="AE337" s="65"/>
      <c r="AF337" s="65"/>
      <c r="AG337" s="65"/>
      <c r="AH337" s="65"/>
    </row>
    <row r="338">
      <c r="A338" s="61"/>
      <c r="B338" s="61"/>
      <c r="C338" s="61"/>
      <c r="D338" s="62"/>
      <c r="E338" s="61"/>
      <c r="F338" s="61"/>
      <c r="G338" s="61"/>
      <c r="H338" s="61"/>
      <c r="I338" s="61"/>
      <c r="J338" s="61"/>
      <c r="K338" s="61"/>
      <c r="L338" s="61"/>
      <c r="M338" s="61"/>
      <c r="N338" s="61"/>
      <c r="O338" s="63"/>
      <c r="P338" s="61"/>
      <c r="Q338" s="61"/>
      <c r="R338" s="61"/>
      <c r="S338" s="61"/>
      <c r="T338" s="61"/>
      <c r="U338" s="61"/>
      <c r="V338" s="64"/>
      <c r="W338" s="61"/>
      <c r="X338" s="61"/>
      <c r="Y338" s="61"/>
      <c r="Z338" s="61"/>
      <c r="AA338" s="61"/>
      <c r="AB338" s="61"/>
      <c r="AC338" s="61"/>
      <c r="AD338" s="61"/>
      <c r="AE338" s="61"/>
      <c r="AF338" s="61"/>
      <c r="AG338" s="61"/>
      <c r="AH338" s="61"/>
    </row>
    <row r="339">
      <c r="A339" s="65"/>
      <c r="B339" s="65"/>
      <c r="C339" s="65"/>
      <c r="D339" s="66"/>
      <c r="E339" s="65"/>
      <c r="F339" s="65"/>
      <c r="G339" s="65"/>
      <c r="H339" s="65"/>
      <c r="I339" s="65"/>
      <c r="J339" s="65"/>
      <c r="K339" s="65"/>
      <c r="L339" s="65"/>
      <c r="M339" s="65"/>
      <c r="N339" s="65"/>
      <c r="O339" s="67"/>
      <c r="P339" s="65"/>
      <c r="Q339" s="65"/>
      <c r="R339" s="65"/>
      <c r="S339" s="65"/>
      <c r="T339" s="65"/>
      <c r="U339" s="65"/>
      <c r="V339" s="68"/>
      <c r="W339" s="65"/>
      <c r="X339" s="65"/>
      <c r="Y339" s="65"/>
      <c r="Z339" s="65"/>
      <c r="AA339" s="65"/>
      <c r="AB339" s="65"/>
      <c r="AC339" s="65"/>
      <c r="AD339" s="65"/>
      <c r="AE339" s="65"/>
      <c r="AF339" s="65"/>
      <c r="AG339" s="65"/>
      <c r="AH339" s="65"/>
    </row>
    <row r="340">
      <c r="A340" s="61"/>
      <c r="B340" s="61"/>
      <c r="C340" s="61"/>
      <c r="D340" s="62"/>
      <c r="E340" s="61"/>
      <c r="F340" s="61"/>
      <c r="G340" s="61"/>
      <c r="H340" s="61"/>
      <c r="I340" s="61"/>
      <c r="J340" s="61"/>
      <c r="K340" s="61"/>
      <c r="L340" s="61"/>
      <c r="M340" s="61"/>
      <c r="N340" s="61"/>
      <c r="O340" s="63"/>
      <c r="P340" s="61"/>
      <c r="Q340" s="61"/>
      <c r="R340" s="61"/>
      <c r="S340" s="61"/>
      <c r="T340" s="61"/>
      <c r="U340" s="61"/>
      <c r="V340" s="64"/>
      <c r="W340" s="61"/>
      <c r="X340" s="61"/>
      <c r="Y340" s="61"/>
      <c r="Z340" s="61"/>
      <c r="AA340" s="61"/>
      <c r="AB340" s="61"/>
      <c r="AC340" s="61"/>
      <c r="AD340" s="61"/>
      <c r="AE340" s="61"/>
      <c r="AF340" s="61"/>
      <c r="AG340" s="61"/>
      <c r="AH340" s="61"/>
    </row>
    <row r="341">
      <c r="A341" s="65"/>
      <c r="B341" s="65"/>
      <c r="C341" s="65"/>
      <c r="D341" s="66"/>
      <c r="E341" s="65"/>
      <c r="F341" s="65"/>
      <c r="G341" s="65"/>
      <c r="H341" s="65"/>
      <c r="I341" s="65"/>
      <c r="J341" s="65"/>
      <c r="K341" s="65"/>
      <c r="L341" s="65"/>
      <c r="M341" s="65"/>
      <c r="N341" s="65"/>
      <c r="O341" s="67"/>
      <c r="P341" s="65"/>
      <c r="Q341" s="65"/>
      <c r="R341" s="65"/>
      <c r="S341" s="65"/>
      <c r="T341" s="65"/>
      <c r="U341" s="65"/>
      <c r="V341" s="68"/>
      <c r="W341" s="65"/>
      <c r="X341" s="65"/>
      <c r="Y341" s="65"/>
      <c r="Z341" s="65"/>
      <c r="AA341" s="65"/>
      <c r="AB341" s="65"/>
      <c r="AC341" s="65"/>
      <c r="AD341" s="65"/>
      <c r="AE341" s="65"/>
      <c r="AF341" s="65"/>
      <c r="AG341" s="65"/>
      <c r="AH341" s="65"/>
    </row>
    <row r="342">
      <c r="A342" s="61"/>
      <c r="B342" s="61"/>
      <c r="C342" s="61"/>
      <c r="D342" s="62"/>
      <c r="E342" s="61"/>
      <c r="F342" s="61"/>
      <c r="G342" s="61"/>
      <c r="H342" s="61"/>
      <c r="I342" s="61"/>
      <c r="J342" s="61"/>
      <c r="K342" s="61"/>
      <c r="L342" s="61"/>
      <c r="M342" s="61"/>
      <c r="N342" s="61"/>
      <c r="O342" s="63"/>
      <c r="P342" s="61"/>
      <c r="Q342" s="61"/>
      <c r="R342" s="61"/>
      <c r="S342" s="61"/>
      <c r="T342" s="61"/>
      <c r="U342" s="61"/>
      <c r="V342" s="64"/>
      <c r="W342" s="61"/>
      <c r="X342" s="61"/>
      <c r="Y342" s="61"/>
      <c r="Z342" s="61"/>
      <c r="AA342" s="61"/>
      <c r="AB342" s="61"/>
      <c r="AC342" s="61"/>
      <c r="AD342" s="61"/>
      <c r="AE342" s="61"/>
      <c r="AF342" s="61"/>
      <c r="AG342" s="61"/>
      <c r="AH342" s="61"/>
    </row>
    <row r="343">
      <c r="A343" s="65"/>
      <c r="B343" s="65"/>
      <c r="C343" s="65"/>
      <c r="D343" s="66"/>
      <c r="E343" s="65"/>
      <c r="F343" s="65"/>
      <c r="G343" s="65"/>
      <c r="H343" s="65"/>
      <c r="I343" s="65"/>
      <c r="J343" s="65"/>
      <c r="K343" s="65"/>
      <c r="L343" s="65"/>
      <c r="M343" s="65"/>
      <c r="N343" s="65"/>
      <c r="O343" s="67"/>
      <c r="P343" s="65"/>
      <c r="Q343" s="65"/>
      <c r="R343" s="65"/>
      <c r="S343" s="65"/>
      <c r="T343" s="65"/>
      <c r="U343" s="65"/>
      <c r="V343" s="68"/>
      <c r="W343" s="65"/>
      <c r="X343" s="65"/>
      <c r="Y343" s="65"/>
      <c r="Z343" s="65"/>
      <c r="AA343" s="65"/>
      <c r="AB343" s="65"/>
      <c r="AC343" s="65"/>
      <c r="AD343" s="65"/>
      <c r="AE343" s="65"/>
      <c r="AF343" s="65"/>
      <c r="AG343" s="65"/>
      <c r="AH343" s="65"/>
    </row>
    <row r="344">
      <c r="A344" s="61"/>
      <c r="B344" s="61"/>
      <c r="C344" s="61"/>
      <c r="D344" s="62"/>
      <c r="E344" s="61"/>
      <c r="F344" s="61"/>
      <c r="G344" s="61"/>
      <c r="H344" s="61"/>
      <c r="I344" s="61"/>
      <c r="J344" s="61"/>
      <c r="K344" s="61"/>
      <c r="L344" s="61"/>
      <c r="M344" s="61"/>
      <c r="N344" s="61"/>
      <c r="O344" s="63"/>
      <c r="P344" s="61"/>
      <c r="Q344" s="61"/>
      <c r="R344" s="61"/>
      <c r="S344" s="61"/>
      <c r="T344" s="61"/>
      <c r="U344" s="61"/>
      <c r="V344" s="64"/>
      <c r="W344" s="61"/>
      <c r="X344" s="61"/>
      <c r="Y344" s="61"/>
      <c r="Z344" s="61"/>
      <c r="AA344" s="61"/>
      <c r="AB344" s="61"/>
      <c r="AC344" s="61"/>
      <c r="AD344" s="61"/>
      <c r="AE344" s="61"/>
      <c r="AF344" s="61"/>
      <c r="AG344" s="61"/>
      <c r="AH344" s="61"/>
    </row>
    <row r="345">
      <c r="A345" s="65"/>
      <c r="B345" s="65"/>
      <c r="C345" s="65"/>
      <c r="D345" s="66"/>
      <c r="E345" s="65"/>
      <c r="F345" s="65"/>
      <c r="G345" s="65"/>
      <c r="H345" s="65"/>
      <c r="I345" s="65"/>
      <c r="J345" s="65"/>
      <c r="K345" s="65"/>
      <c r="L345" s="65"/>
      <c r="M345" s="65"/>
      <c r="N345" s="65"/>
      <c r="O345" s="67"/>
      <c r="P345" s="65"/>
      <c r="Q345" s="65"/>
      <c r="R345" s="65"/>
      <c r="S345" s="65"/>
      <c r="T345" s="65"/>
      <c r="U345" s="65"/>
      <c r="V345" s="68"/>
      <c r="W345" s="65"/>
      <c r="X345" s="65"/>
      <c r="Y345" s="65"/>
      <c r="Z345" s="65"/>
      <c r="AA345" s="65"/>
      <c r="AB345" s="65"/>
      <c r="AC345" s="65"/>
      <c r="AD345" s="65"/>
      <c r="AE345" s="65"/>
      <c r="AF345" s="65"/>
      <c r="AG345" s="65"/>
      <c r="AH345" s="65"/>
    </row>
    <row r="346">
      <c r="A346" s="61"/>
      <c r="B346" s="61"/>
      <c r="C346" s="61"/>
      <c r="D346" s="62"/>
      <c r="E346" s="61"/>
      <c r="F346" s="61"/>
      <c r="G346" s="61"/>
      <c r="H346" s="61"/>
      <c r="I346" s="61"/>
      <c r="J346" s="61"/>
      <c r="K346" s="61"/>
      <c r="L346" s="61"/>
      <c r="M346" s="61"/>
      <c r="N346" s="61"/>
      <c r="O346" s="63"/>
      <c r="P346" s="61"/>
      <c r="Q346" s="61"/>
      <c r="R346" s="61"/>
      <c r="S346" s="61"/>
      <c r="T346" s="61"/>
      <c r="U346" s="61"/>
      <c r="V346" s="64"/>
      <c r="W346" s="61"/>
      <c r="X346" s="61"/>
      <c r="Y346" s="61"/>
      <c r="Z346" s="61"/>
      <c r="AA346" s="61"/>
      <c r="AB346" s="61"/>
      <c r="AC346" s="61"/>
      <c r="AD346" s="61"/>
      <c r="AE346" s="61"/>
      <c r="AF346" s="61"/>
      <c r="AG346" s="61"/>
      <c r="AH346" s="61"/>
    </row>
    <row r="347">
      <c r="A347" s="65"/>
      <c r="B347" s="65"/>
      <c r="C347" s="65"/>
      <c r="D347" s="66"/>
      <c r="E347" s="65"/>
      <c r="F347" s="65"/>
      <c r="G347" s="65"/>
      <c r="H347" s="65"/>
      <c r="I347" s="65"/>
      <c r="J347" s="65"/>
      <c r="K347" s="65"/>
      <c r="L347" s="65"/>
      <c r="M347" s="65"/>
      <c r="N347" s="65"/>
      <c r="O347" s="67"/>
      <c r="P347" s="65"/>
      <c r="Q347" s="65"/>
      <c r="R347" s="65"/>
      <c r="S347" s="65"/>
      <c r="T347" s="65"/>
      <c r="U347" s="65"/>
      <c r="V347" s="68"/>
      <c r="W347" s="65"/>
      <c r="X347" s="65"/>
      <c r="Y347" s="65"/>
      <c r="Z347" s="65"/>
      <c r="AA347" s="65"/>
      <c r="AB347" s="65"/>
      <c r="AC347" s="65"/>
      <c r="AD347" s="65"/>
      <c r="AE347" s="65"/>
      <c r="AF347" s="65"/>
      <c r="AG347" s="65"/>
      <c r="AH347" s="65"/>
    </row>
    <row r="348">
      <c r="A348" s="61"/>
      <c r="B348" s="61"/>
      <c r="C348" s="61"/>
      <c r="D348" s="62"/>
      <c r="E348" s="61"/>
      <c r="F348" s="61"/>
      <c r="G348" s="61"/>
      <c r="H348" s="61"/>
      <c r="I348" s="61"/>
      <c r="J348" s="61"/>
      <c r="K348" s="61"/>
      <c r="L348" s="61"/>
      <c r="M348" s="61"/>
      <c r="N348" s="61"/>
      <c r="O348" s="63"/>
      <c r="P348" s="61"/>
      <c r="Q348" s="61"/>
      <c r="R348" s="61"/>
      <c r="S348" s="61"/>
      <c r="T348" s="61"/>
      <c r="U348" s="61"/>
      <c r="V348" s="64"/>
      <c r="W348" s="61"/>
      <c r="X348" s="61"/>
      <c r="Y348" s="61"/>
      <c r="Z348" s="61"/>
      <c r="AA348" s="61"/>
      <c r="AB348" s="61"/>
      <c r="AC348" s="61"/>
      <c r="AD348" s="61"/>
      <c r="AE348" s="61"/>
      <c r="AF348" s="61"/>
      <c r="AG348" s="61"/>
      <c r="AH348" s="61"/>
    </row>
    <row r="349">
      <c r="A349" s="65"/>
      <c r="B349" s="65"/>
      <c r="C349" s="65"/>
      <c r="D349" s="66"/>
      <c r="E349" s="65"/>
      <c r="F349" s="65"/>
      <c r="G349" s="65"/>
      <c r="H349" s="65"/>
      <c r="I349" s="65"/>
      <c r="J349" s="65"/>
      <c r="K349" s="65"/>
      <c r="L349" s="65"/>
      <c r="M349" s="65"/>
      <c r="N349" s="65"/>
      <c r="O349" s="67"/>
      <c r="P349" s="65"/>
      <c r="Q349" s="65"/>
      <c r="R349" s="65"/>
      <c r="S349" s="65"/>
      <c r="T349" s="65"/>
      <c r="U349" s="65"/>
      <c r="V349" s="68"/>
      <c r="W349" s="65"/>
      <c r="X349" s="65"/>
      <c r="Y349" s="65"/>
      <c r="Z349" s="65"/>
      <c r="AA349" s="65"/>
      <c r="AB349" s="65"/>
      <c r="AC349" s="65"/>
      <c r="AD349" s="65"/>
      <c r="AE349" s="65"/>
      <c r="AF349" s="65"/>
      <c r="AG349" s="65"/>
      <c r="AH349" s="65"/>
    </row>
    <row r="350">
      <c r="A350" s="61"/>
      <c r="B350" s="61"/>
      <c r="C350" s="61"/>
      <c r="D350" s="62"/>
      <c r="E350" s="61"/>
      <c r="F350" s="61"/>
      <c r="G350" s="61"/>
      <c r="H350" s="61"/>
      <c r="I350" s="61"/>
      <c r="J350" s="61"/>
      <c r="K350" s="61"/>
      <c r="L350" s="61"/>
      <c r="M350" s="61"/>
      <c r="N350" s="61"/>
      <c r="O350" s="63"/>
      <c r="P350" s="61"/>
      <c r="Q350" s="61"/>
      <c r="R350" s="61"/>
      <c r="S350" s="61"/>
      <c r="T350" s="61"/>
      <c r="U350" s="61"/>
      <c r="V350" s="64"/>
      <c r="W350" s="61"/>
      <c r="X350" s="61"/>
      <c r="Y350" s="61"/>
      <c r="Z350" s="61"/>
      <c r="AA350" s="61"/>
      <c r="AB350" s="61"/>
      <c r="AC350" s="61"/>
      <c r="AD350" s="61"/>
      <c r="AE350" s="61"/>
      <c r="AF350" s="61"/>
      <c r="AG350" s="61"/>
      <c r="AH350" s="61"/>
    </row>
    <row r="351">
      <c r="A351" s="65"/>
      <c r="B351" s="65"/>
      <c r="C351" s="65"/>
      <c r="D351" s="66"/>
      <c r="E351" s="65"/>
      <c r="F351" s="65"/>
      <c r="G351" s="65"/>
      <c r="H351" s="65"/>
      <c r="I351" s="65"/>
      <c r="J351" s="65"/>
      <c r="K351" s="65"/>
      <c r="L351" s="65"/>
      <c r="M351" s="65"/>
      <c r="N351" s="65"/>
      <c r="O351" s="67"/>
      <c r="P351" s="65"/>
      <c r="Q351" s="65"/>
      <c r="R351" s="65"/>
      <c r="S351" s="65"/>
      <c r="T351" s="65"/>
      <c r="U351" s="65"/>
      <c r="V351" s="68"/>
      <c r="W351" s="65"/>
      <c r="X351" s="65"/>
      <c r="Y351" s="65"/>
      <c r="Z351" s="65"/>
      <c r="AA351" s="65"/>
      <c r="AB351" s="65"/>
      <c r="AC351" s="65"/>
      <c r="AD351" s="65"/>
      <c r="AE351" s="65"/>
      <c r="AF351" s="65"/>
      <c r="AG351" s="65"/>
      <c r="AH351" s="65"/>
    </row>
    <row r="352">
      <c r="A352" s="61"/>
      <c r="B352" s="61"/>
      <c r="C352" s="61"/>
      <c r="D352" s="62"/>
      <c r="E352" s="61"/>
      <c r="F352" s="61"/>
      <c r="G352" s="61"/>
      <c r="H352" s="61"/>
      <c r="I352" s="61"/>
      <c r="J352" s="61"/>
      <c r="K352" s="61"/>
      <c r="L352" s="61"/>
      <c r="M352" s="61"/>
      <c r="N352" s="61"/>
      <c r="O352" s="63"/>
      <c r="P352" s="61"/>
      <c r="Q352" s="61"/>
      <c r="R352" s="61"/>
      <c r="S352" s="61"/>
      <c r="T352" s="61"/>
      <c r="U352" s="61"/>
      <c r="V352" s="64"/>
      <c r="W352" s="61"/>
      <c r="X352" s="61"/>
      <c r="Y352" s="61"/>
      <c r="Z352" s="61"/>
      <c r="AA352" s="61"/>
      <c r="AB352" s="61"/>
      <c r="AC352" s="61"/>
      <c r="AD352" s="61"/>
      <c r="AE352" s="61"/>
      <c r="AF352" s="61"/>
      <c r="AG352" s="61"/>
      <c r="AH352" s="61"/>
    </row>
    <row r="353">
      <c r="A353" s="65"/>
      <c r="B353" s="65"/>
      <c r="C353" s="65"/>
      <c r="D353" s="66"/>
      <c r="E353" s="65"/>
      <c r="F353" s="65"/>
      <c r="G353" s="65"/>
      <c r="H353" s="65"/>
      <c r="I353" s="65"/>
      <c r="J353" s="65"/>
      <c r="K353" s="65"/>
      <c r="L353" s="65"/>
      <c r="M353" s="65"/>
      <c r="N353" s="65"/>
      <c r="O353" s="67"/>
      <c r="P353" s="65"/>
      <c r="Q353" s="65"/>
      <c r="R353" s="65"/>
      <c r="S353" s="65"/>
      <c r="T353" s="65"/>
      <c r="U353" s="65"/>
      <c r="V353" s="68"/>
      <c r="W353" s="65"/>
      <c r="X353" s="65"/>
      <c r="Y353" s="65"/>
      <c r="Z353" s="65"/>
      <c r="AA353" s="65"/>
      <c r="AB353" s="65"/>
      <c r="AC353" s="65"/>
      <c r="AD353" s="65"/>
      <c r="AE353" s="65"/>
      <c r="AF353" s="65"/>
      <c r="AG353" s="65"/>
      <c r="AH353" s="65"/>
    </row>
    <row r="354">
      <c r="A354" s="61"/>
      <c r="B354" s="61"/>
      <c r="C354" s="61"/>
      <c r="D354" s="62"/>
      <c r="E354" s="61"/>
      <c r="F354" s="61"/>
      <c r="G354" s="61"/>
      <c r="H354" s="61"/>
      <c r="I354" s="61"/>
      <c r="J354" s="61"/>
      <c r="K354" s="61"/>
      <c r="L354" s="61"/>
      <c r="M354" s="61"/>
      <c r="N354" s="61"/>
      <c r="O354" s="63"/>
      <c r="P354" s="61"/>
      <c r="Q354" s="61"/>
      <c r="R354" s="61"/>
      <c r="S354" s="61"/>
      <c r="T354" s="61"/>
      <c r="U354" s="61"/>
      <c r="V354" s="64"/>
      <c r="W354" s="61"/>
      <c r="X354" s="61"/>
      <c r="Y354" s="61"/>
      <c r="Z354" s="61"/>
      <c r="AA354" s="61"/>
      <c r="AB354" s="61"/>
      <c r="AC354" s="61"/>
      <c r="AD354" s="61"/>
      <c r="AE354" s="61"/>
      <c r="AF354" s="61"/>
      <c r="AG354" s="61"/>
      <c r="AH354" s="61"/>
    </row>
    <row r="355">
      <c r="A355" s="65"/>
      <c r="B355" s="65"/>
      <c r="C355" s="65"/>
      <c r="D355" s="66"/>
      <c r="E355" s="65"/>
      <c r="F355" s="65"/>
      <c r="G355" s="65"/>
      <c r="H355" s="65"/>
      <c r="I355" s="65"/>
      <c r="J355" s="65"/>
      <c r="K355" s="65"/>
      <c r="L355" s="65"/>
      <c r="M355" s="65"/>
      <c r="N355" s="65"/>
      <c r="O355" s="67"/>
      <c r="P355" s="65"/>
      <c r="Q355" s="65"/>
      <c r="R355" s="65"/>
      <c r="S355" s="65"/>
      <c r="T355" s="65"/>
      <c r="U355" s="65"/>
      <c r="V355" s="68"/>
      <c r="W355" s="65"/>
      <c r="X355" s="65"/>
      <c r="Y355" s="65"/>
      <c r="Z355" s="65"/>
      <c r="AA355" s="65"/>
      <c r="AB355" s="65"/>
      <c r="AC355" s="65"/>
      <c r="AD355" s="65"/>
      <c r="AE355" s="65"/>
      <c r="AF355" s="65"/>
      <c r="AG355" s="65"/>
      <c r="AH355" s="65"/>
    </row>
    <row r="356">
      <c r="A356" s="61"/>
      <c r="B356" s="61"/>
      <c r="C356" s="61"/>
      <c r="D356" s="62"/>
      <c r="E356" s="61"/>
      <c r="F356" s="61"/>
      <c r="G356" s="61"/>
      <c r="H356" s="61"/>
      <c r="I356" s="61"/>
      <c r="J356" s="61"/>
      <c r="K356" s="61"/>
      <c r="L356" s="61"/>
      <c r="M356" s="61"/>
      <c r="N356" s="61"/>
      <c r="O356" s="63"/>
      <c r="P356" s="61"/>
      <c r="Q356" s="61"/>
      <c r="R356" s="61"/>
      <c r="S356" s="61"/>
      <c r="T356" s="61"/>
      <c r="U356" s="61"/>
      <c r="V356" s="64"/>
      <c r="W356" s="61"/>
      <c r="X356" s="61"/>
      <c r="Y356" s="61"/>
      <c r="Z356" s="61"/>
      <c r="AA356" s="61"/>
      <c r="AB356" s="61"/>
      <c r="AC356" s="61"/>
      <c r="AD356" s="61"/>
      <c r="AE356" s="61"/>
      <c r="AF356" s="61"/>
      <c r="AG356" s="61"/>
      <c r="AH356" s="61"/>
    </row>
    <row r="357">
      <c r="A357" s="65"/>
      <c r="B357" s="65"/>
      <c r="C357" s="65"/>
      <c r="D357" s="66"/>
      <c r="E357" s="65"/>
      <c r="F357" s="65"/>
      <c r="G357" s="65"/>
      <c r="H357" s="65"/>
      <c r="I357" s="65"/>
      <c r="J357" s="65"/>
      <c r="K357" s="65"/>
      <c r="L357" s="65"/>
      <c r="M357" s="65"/>
      <c r="N357" s="65"/>
      <c r="O357" s="67"/>
      <c r="P357" s="65"/>
      <c r="Q357" s="65"/>
      <c r="R357" s="65"/>
      <c r="S357" s="65"/>
      <c r="T357" s="65"/>
      <c r="U357" s="65"/>
      <c r="V357" s="68"/>
      <c r="W357" s="65"/>
      <c r="X357" s="65"/>
      <c r="Y357" s="65"/>
      <c r="Z357" s="65"/>
      <c r="AA357" s="65"/>
      <c r="AB357" s="65"/>
      <c r="AC357" s="65"/>
      <c r="AD357" s="65"/>
      <c r="AE357" s="65"/>
      <c r="AF357" s="65"/>
      <c r="AG357" s="65"/>
      <c r="AH357" s="65"/>
    </row>
    <row r="358">
      <c r="A358" s="61"/>
      <c r="B358" s="61"/>
      <c r="C358" s="61"/>
      <c r="D358" s="62"/>
      <c r="E358" s="61"/>
      <c r="F358" s="61"/>
      <c r="G358" s="61"/>
      <c r="H358" s="61"/>
      <c r="I358" s="61"/>
      <c r="J358" s="61"/>
      <c r="K358" s="61"/>
      <c r="L358" s="61"/>
      <c r="M358" s="61"/>
      <c r="N358" s="61"/>
      <c r="O358" s="63"/>
      <c r="P358" s="61"/>
      <c r="Q358" s="61"/>
      <c r="R358" s="61"/>
      <c r="S358" s="61"/>
      <c r="T358" s="61"/>
      <c r="U358" s="61"/>
      <c r="V358" s="64"/>
      <c r="W358" s="61"/>
      <c r="X358" s="61"/>
      <c r="Y358" s="61"/>
      <c r="Z358" s="61"/>
      <c r="AA358" s="61"/>
      <c r="AB358" s="61"/>
      <c r="AC358" s="61"/>
      <c r="AD358" s="61"/>
      <c r="AE358" s="61"/>
      <c r="AF358" s="61"/>
      <c r="AG358" s="61"/>
      <c r="AH358" s="61"/>
    </row>
    <row r="359">
      <c r="A359" s="65"/>
      <c r="B359" s="65"/>
      <c r="C359" s="65"/>
      <c r="D359" s="66"/>
      <c r="E359" s="65"/>
      <c r="F359" s="65"/>
      <c r="G359" s="65"/>
      <c r="H359" s="65"/>
      <c r="I359" s="65"/>
      <c r="J359" s="65"/>
      <c r="K359" s="65"/>
      <c r="L359" s="65"/>
      <c r="M359" s="65"/>
      <c r="N359" s="65"/>
      <c r="O359" s="67"/>
      <c r="P359" s="65"/>
      <c r="Q359" s="65"/>
      <c r="R359" s="65"/>
      <c r="S359" s="65"/>
      <c r="T359" s="65"/>
      <c r="U359" s="65"/>
      <c r="V359" s="68"/>
      <c r="W359" s="65"/>
      <c r="X359" s="65"/>
      <c r="Y359" s="65"/>
      <c r="Z359" s="65"/>
      <c r="AA359" s="65"/>
      <c r="AB359" s="65"/>
      <c r="AC359" s="65"/>
      <c r="AD359" s="65"/>
      <c r="AE359" s="65"/>
      <c r="AF359" s="65"/>
      <c r="AG359" s="65"/>
      <c r="AH359" s="65"/>
    </row>
    <row r="360">
      <c r="A360" s="61"/>
      <c r="B360" s="61"/>
      <c r="C360" s="61"/>
      <c r="D360" s="62"/>
      <c r="E360" s="61"/>
      <c r="F360" s="61"/>
      <c r="G360" s="61"/>
      <c r="H360" s="61"/>
      <c r="I360" s="61"/>
      <c r="J360" s="61"/>
      <c r="K360" s="61"/>
      <c r="L360" s="61"/>
      <c r="M360" s="61"/>
      <c r="N360" s="61"/>
      <c r="O360" s="63"/>
      <c r="P360" s="61"/>
      <c r="Q360" s="61"/>
      <c r="R360" s="61"/>
      <c r="S360" s="61"/>
      <c r="T360" s="61"/>
      <c r="U360" s="61"/>
      <c r="V360" s="64"/>
      <c r="W360" s="61"/>
      <c r="X360" s="61"/>
      <c r="Y360" s="61"/>
      <c r="Z360" s="61"/>
      <c r="AA360" s="61"/>
      <c r="AB360" s="61"/>
      <c r="AC360" s="61"/>
      <c r="AD360" s="61"/>
      <c r="AE360" s="61"/>
      <c r="AF360" s="61"/>
      <c r="AG360" s="61"/>
      <c r="AH360" s="61"/>
    </row>
    <row r="361">
      <c r="A361" s="65"/>
      <c r="B361" s="65"/>
      <c r="C361" s="65"/>
      <c r="D361" s="66"/>
      <c r="E361" s="65"/>
      <c r="F361" s="65"/>
      <c r="G361" s="65"/>
      <c r="H361" s="65"/>
      <c r="I361" s="65"/>
      <c r="J361" s="65"/>
      <c r="K361" s="65"/>
      <c r="L361" s="65"/>
      <c r="M361" s="65"/>
      <c r="N361" s="65"/>
      <c r="O361" s="67"/>
      <c r="P361" s="65"/>
      <c r="Q361" s="65"/>
      <c r="R361" s="65"/>
      <c r="S361" s="65"/>
      <c r="T361" s="65"/>
      <c r="U361" s="65"/>
      <c r="V361" s="68"/>
      <c r="W361" s="65"/>
      <c r="X361" s="65"/>
      <c r="Y361" s="65"/>
      <c r="Z361" s="65"/>
      <c r="AA361" s="65"/>
      <c r="AB361" s="65"/>
      <c r="AC361" s="65"/>
      <c r="AD361" s="65"/>
      <c r="AE361" s="65"/>
      <c r="AF361" s="65"/>
      <c r="AG361" s="65"/>
      <c r="AH361" s="65"/>
    </row>
    <row r="362">
      <c r="A362" s="61"/>
      <c r="B362" s="61"/>
      <c r="C362" s="61"/>
      <c r="D362" s="62"/>
      <c r="E362" s="61"/>
      <c r="F362" s="61"/>
      <c r="G362" s="61"/>
      <c r="H362" s="61"/>
      <c r="I362" s="61"/>
      <c r="J362" s="61"/>
      <c r="K362" s="61"/>
      <c r="L362" s="61"/>
      <c r="M362" s="61"/>
      <c r="N362" s="61"/>
      <c r="O362" s="63"/>
      <c r="P362" s="61"/>
      <c r="Q362" s="61"/>
      <c r="R362" s="61"/>
      <c r="S362" s="61"/>
      <c r="T362" s="61"/>
      <c r="U362" s="61"/>
      <c r="V362" s="64"/>
      <c r="W362" s="61"/>
      <c r="X362" s="61"/>
      <c r="Y362" s="61"/>
      <c r="Z362" s="61"/>
      <c r="AA362" s="61"/>
      <c r="AB362" s="61"/>
      <c r="AC362" s="61"/>
      <c r="AD362" s="61"/>
      <c r="AE362" s="61"/>
      <c r="AF362" s="61"/>
      <c r="AG362" s="61"/>
      <c r="AH362" s="61"/>
    </row>
    <row r="363">
      <c r="A363" s="65"/>
      <c r="B363" s="65"/>
      <c r="C363" s="65"/>
      <c r="D363" s="66"/>
      <c r="E363" s="65"/>
      <c r="F363" s="65"/>
      <c r="G363" s="65"/>
      <c r="H363" s="65"/>
      <c r="I363" s="65"/>
      <c r="J363" s="65"/>
      <c r="K363" s="65"/>
      <c r="L363" s="65"/>
      <c r="M363" s="65"/>
      <c r="N363" s="65"/>
      <c r="O363" s="67"/>
      <c r="P363" s="65"/>
      <c r="Q363" s="65"/>
      <c r="R363" s="65"/>
      <c r="S363" s="65"/>
      <c r="T363" s="65"/>
      <c r="U363" s="65"/>
      <c r="V363" s="68"/>
      <c r="W363" s="65"/>
      <c r="X363" s="65"/>
      <c r="Y363" s="65"/>
      <c r="Z363" s="65"/>
      <c r="AA363" s="65"/>
      <c r="AB363" s="65"/>
      <c r="AC363" s="65"/>
      <c r="AD363" s="65"/>
      <c r="AE363" s="65"/>
      <c r="AF363" s="65"/>
      <c r="AG363" s="65"/>
      <c r="AH363" s="65"/>
    </row>
    <row r="364">
      <c r="A364" s="61"/>
      <c r="B364" s="61"/>
      <c r="C364" s="61"/>
      <c r="D364" s="62"/>
      <c r="E364" s="61"/>
      <c r="F364" s="61"/>
      <c r="G364" s="61"/>
      <c r="H364" s="61"/>
      <c r="I364" s="61"/>
      <c r="J364" s="61"/>
      <c r="K364" s="61"/>
      <c r="L364" s="61"/>
      <c r="M364" s="61"/>
      <c r="N364" s="61"/>
      <c r="O364" s="63"/>
      <c r="P364" s="61"/>
      <c r="Q364" s="61"/>
      <c r="R364" s="61"/>
      <c r="S364" s="61"/>
      <c r="T364" s="61"/>
      <c r="U364" s="61"/>
      <c r="V364" s="64"/>
      <c r="W364" s="61"/>
      <c r="X364" s="61"/>
      <c r="Y364" s="61"/>
      <c r="Z364" s="61"/>
      <c r="AA364" s="61"/>
      <c r="AB364" s="61"/>
      <c r="AC364" s="61"/>
      <c r="AD364" s="61"/>
      <c r="AE364" s="61"/>
      <c r="AF364" s="61"/>
      <c r="AG364" s="61"/>
      <c r="AH364" s="61"/>
    </row>
    <row r="365">
      <c r="A365" s="65"/>
      <c r="B365" s="65"/>
      <c r="C365" s="65"/>
      <c r="D365" s="66"/>
      <c r="E365" s="65"/>
      <c r="F365" s="65"/>
      <c r="G365" s="65"/>
      <c r="H365" s="65"/>
      <c r="I365" s="65"/>
      <c r="J365" s="65"/>
      <c r="K365" s="65"/>
      <c r="L365" s="65"/>
      <c r="M365" s="65"/>
      <c r="N365" s="65"/>
      <c r="O365" s="67"/>
      <c r="P365" s="65"/>
      <c r="Q365" s="65"/>
      <c r="R365" s="65"/>
      <c r="S365" s="65"/>
      <c r="T365" s="65"/>
      <c r="U365" s="65"/>
      <c r="V365" s="68"/>
      <c r="W365" s="65"/>
      <c r="X365" s="65"/>
      <c r="Y365" s="65"/>
      <c r="Z365" s="65"/>
      <c r="AA365" s="65"/>
      <c r="AB365" s="65"/>
      <c r="AC365" s="65"/>
      <c r="AD365" s="65"/>
      <c r="AE365" s="65"/>
      <c r="AF365" s="65"/>
      <c r="AG365" s="65"/>
      <c r="AH365" s="65"/>
    </row>
    <row r="366">
      <c r="A366" s="61"/>
      <c r="B366" s="61"/>
      <c r="C366" s="61"/>
      <c r="D366" s="62"/>
      <c r="E366" s="61"/>
      <c r="F366" s="61"/>
      <c r="G366" s="61"/>
      <c r="H366" s="61"/>
      <c r="I366" s="61"/>
      <c r="J366" s="61"/>
      <c r="K366" s="61"/>
      <c r="L366" s="61"/>
      <c r="M366" s="61"/>
      <c r="N366" s="61"/>
      <c r="O366" s="63"/>
      <c r="P366" s="61"/>
      <c r="Q366" s="61"/>
      <c r="R366" s="61"/>
      <c r="S366" s="61"/>
      <c r="T366" s="61"/>
      <c r="U366" s="61"/>
      <c r="V366" s="64"/>
      <c r="W366" s="61"/>
      <c r="X366" s="61"/>
      <c r="Y366" s="61"/>
      <c r="Z366" s="61"/>
      <c r="AA366" s="61"/>
      <c r="AB366" s="61"/>
      <c r="AC366" s="61"/>
      <c r="AD366" s="61"/>
      <c r="AE366" s="61"/>
      <c r="AF366" s="61"/>
      <c r="AG366" s="61"/>
      <c r="AH366" s="61"/>
    </row>
    <row r="367">
      <c r="A367" s="65"/>
      <c r="B367" s="65"/>
      <c r="C367" s="65"/>
      <c r="D367" s="66"/>
      <c r="E367" s="65"/>
      <c r="F367" s="65"/>
      <c r="G367" s="65"/>
      <c r="H367" s="65"/>
      <c r="I367" s="65"/>
      <c r="J367" s="65"/>
      <c r="K367" s="65"/>
      <c r="L367" s="65"/>
      <c r="M367" s="65"/>
      <c r="N367" s="65"/>
      <c r="O367" s="67"/>
      <c r="P367" s="65"/>
      <c r="Q367" s="65"/>
      <c r="R367" s="65"/>
      <c r="S367" s="65"/>
      <c r="T367" s="65"/>
      <c r="U367" s="65"/>
      <c r="V367" s="68"/>
      <c r="W367" s="65"/>
      <c r="X367" s="65"/>
      <c r="Y367" s="65"/>
      <c r="Z367" s="65"/>
      <c r="AA367" s="65"/>
      <c r="AB367" s="65"/>
      <c r="AC367" s="65"/>
      <c r="AD367" s="65"/>
      <c r="AE367" s="65"/>
      <c r="AF367" s="65"/>
      <c r="AG367" s="65"/>
      <c r="AH367" s="65"/>
    </row>
    <row r="368">
      <c r="A368" s="61"/>
      <c r="B368" s="61"/>
      <c r="C368" s="61"/>
      <c r="D368" s="62"/>
      <c r="E368" s="61"/>
      <c r="F368" s="61"/>
      <c r="G368" s="61"/>
      <c r="H368" s="61"/>
      <c r="I368" s="61"/>
      <c r="J368" s="61"/>
      <c r="K368" s="61"/>
      <c r="L368" s="61"/>
      <c r="M368" s="61"/>
      <c r="N368" s="61"/>
      <c r="O368" s="63"/>
      <c r="P368" s="61"/>
      <c r="Q368" s="61"/>
      <c r="R368" s="61"/>
      <c r="S368" s="61"/>
      <c r="T368" s="61"/>
      <c r="U368" s="61"/>
      <c r="V368" s="64"/>
      <c r="W368" s="61"/>
      <c r="X368" s="61"/>
      <c r="Y368" s="61"/>
      <c r="Z368" s="61"/>
      <c r="AA368" s="61"/>
      <c r="AB368" s="61"/>
      <c r="AC368" s="61"/>
      <c r="AD368" s="61"/>
      <c r="AE368" s="61"/>
      <c r="AF368" s="61"/>
      <c r="AG368" s="61"/>
      <c r="AH368" s="61"/>
    </row>
    <row r="369">
      <c r="A369" s="65"/>
      <c r="B369" s="65"/>
      <c r="C369" s="65"/>
      <c r="D369" s="66"/>
      <c r="E369" s="65"/>
      <c r="F369" s="65"/>
      <c r="G369" s="65"/>
      <c r="H369" s="65"/>
      <c r="I369" s="65"/>
      <c r="J369" s="65"/>
      <c r="K369" s="65"/>
      <c r="L369" s="65"/>
      <c r="M369" s="65"/>
      <c r="N369" s="65"/>
      <c r="O369" s="67"/>
      <c r="P369" s="65"/>
      <c r="Q369" s="65"/>
      <c r="R369" s="65"/>
      <c r="S369" s="65"/>
      <c r="T369" s="65"/>
      <c r="U369" s="65"/>
      <c r="V369" s="68"/>
      <c r="W369" s="65"/>
      <c r="X369" s="65"/>
      <c r="Y369" s="65"/>
      <c r="Z369" s="65"/>
      <c r="AA369" s="65"/>
      <c r="AB369" s="65"/>
      <c r="AC369" s="65"/>
      <c r="AD369" s="65"/>
      <c r="AE369" s="65"/>
      <c r="AF369" s="65"/>
      <c r="AG369" s="65"/>
      <c r="AH369" s="65"/>
    </row>
    <row r="370">
      <c r="A370" s="61"/>
      <c r="B370" s="61"/>
      <c r="C370" s="61"/>
      <c r="D370" s="62"/>
      <c r="E370" s="61"/>
      <c r="F370" s="61"/>
      <c r="G370" s="61"/>
      <c r="H370" s="61"/>
      <c r="I370" s="61"/>
      <c r="J370" s="61"/>
      <c r="K370" s="61"/>
      <c r="L370" s="61"/>
      <c r="M370" s="61"/>
      <c r="N370" s="61"/>
      <c r="O370" s="63"/>
      <c r="P370" s="61"/>
      <c r="Q370" s="61"/>
      <c r="R370" s="61"/>
      <c r="S370" s="61"/>
      <c r="T370" s="61"/>
      <c r="U370" s="61"/>
      <c r="V370" s="64"/>
      <c r="W370" s="61"/>
      <c r="X370" s="61"/>
      <c r="Y370" s="61"/>
      <c r="Z370" s="61"/>
      <c r="AA370" s="61"/>
      <c r="AB370" s="61"/>
      <c r="AC370" s="61"/>
      <c r="AD370" s="61"/>
      <c r="AE370" s="61"/>
      <c r="AF370" s="61"/>
      <c r="AG370" s="61"/>
      <c r="AH370" s="61"/>
    </row>
    <row r="371">
      <c r="A371" s="65"/>
      <c r="B371" s="65"/>
      <c r="C371" s="65"/>
      <c r="D371" s="66"/>
      <c r="E371" s="65"/>
      <c r="F371" s="65"/>
      <c r="G371" s="65"/>
      <c r="H371" s="65"/>
      <c r="I371" s="65"/>
      <c r="J371" s="65"/>
      <c r="K371" s="65"/>
      <c r="L371" s="65"/>
      <c r="M371" s="65"/>
      <c r="N371" s="65"/>
      <c r="O371" s="67"/>
      <c r="P371" s="65"/>
      <c r="Q371" s="65"/>
      <c r="R371" s="65"/>
      <c r="S371" s="65"/>
      <c r="T371" s="65"/>
      <c r="U371" s="65"/>
      <c r="V371" s="68"/>
      <c r="W371" s="65"/>
      <c r="X371" s="65"/>
      <c r="Y371" s="65"/>
      <c r="Z371" s="65"/>
      <c r="AA371" s="65"/>
      <c r="AB371" s="65"/>
      <c r="AC371" s="65"/>
      <c r="AD371" s="65"/>
      <c r="AE371" s="65"/>
      <c r="AF371" s="65"/>
      <c r="AG371" s="65"/>
      <c r="AH371" s="65"/>
    </row>
    <row r="372">
      <c r="A372" s="61"/>
      <c r="B372" s="61"/>
      <c r="C372" s="61"/>
      <c r="D372" s="62"/>
      <c r="E372" s="61"/>
      <c r="F372" s="61"/>
      <c r="G372" s="61"/>
      <c r="H372" s="61"/>
      <c r="I372" s="61"/>
      <c r="J372" s="61"/>
      <c r="K372" s="61"/>
      <c r="L372" s="61"/>
      <c r="M372" s="61"/>
      <c r="N372" s="61"/>
      <c r="O372" s="63"/>
      <c r="P372" s="61"/>
      <c r="Q372" s="61"/>
      <c r="R372" s="61"/>
      <c r="S372" s="61"/>
      <c r="T372" s="61"/>
      <c r="U372" s="61"/>
      <c r="V372" s="64"/>
      <c r="W372" s="61"/>
      <c r="X372" s="61"/>
      <c r="Y372" s="61"/>
      <c r="Z372" s="61"/>
      <c r="AA372" s="61"/>
      <c r="AB372" s="61"/>
      <c r="AC372" s="61"/>
      <c r="AD372" s="61"/>
      <c r="AE372" s="61"/>
      <c r="AF372" s="61"/>
      <c r="AG372" s="61"/>
      <c r="AH372" s="61"/>
    </row>
    <row r="373">
      <c r="A373" s="65"/>
      <c r="B373" s="65"/>
      <c r="C373" s="65"/>
      <c r="D373" s="66"/>
      <c r="E373" s="65"/>
      <c r="F373" s="65"/>
      <c r="G373" s="65"/>
      <c r="H373" s="65"/>
      <c r="I373" s="65"/>
      <c r="J373" s="65"/>
      <c r="K373" s="65"/>
      <c r="L373" s="65"/>
      <c r="M373" s="65"/>
      <c r="N373" s="65"/>
      <c r="O373" s="67"/>
      <c r="P373" s="65"/>
      <c r="Q373" s="65"/>
      <c r="R373" s="65"/>
      <c r="S373" s="65"/>
      <c r="T373" s="65"/>
      <c r="U373" s="65"/>
      <c r="V373" s="68"/>
      <c r="W373" s="65"/>
      <c r="X373" s="65"/>
      <c r="Y373" s="65"/>
      <c r="Z373" s="65"/>
      <c r="AA373" s="65"/>
      <c r="AB373" s="65"/>
      <c r="AC373" s="65"/>
      <c r="AD373" s="65"/>
      <c r="AE373" s="65"/>
      <c r="AF373" s="65"/>
      <c r="AG373" s="65"/>
      <c r="AH373" s="65"/>
    </row>
    <row r="374">
      <c r="A374" s="61"/>
      <c r="B374" s="61"/>
      <c r="C374" s="61"/>
      <c r="D374" s="62"/>
      <c r="E374" s="61"/>
      <c r="F374" s="61"/>
      <c r="G374" s="61"/>
      <c r="H374" s="61"/>
      <c r="I374" s="61"/>
      <c r="J374" s="61"/>
      <c r="K374" s="61"/>
      <c r="L374" s="61"/>
      <c r="M374" s="61"/>
      <c r="N374" s="61"/>
      <c r="O374" s="63"/>
      <c r="P374" s="61"/>
      <c r="Q374" s="61"/>
      <c r="R374" s="61"/>
      <c r="S374" s="61"/>
      <c r="T374" s="61"/>
      <c r="U374" s="61"/>
      <c r="V374" s="64"/>
      <c r="W374" s="61"/>
      <c r="X374" s="61"/>
      <c r="Y374" s="61"/>
      <c r="Z374" s="61"/>
      <c r="AA374" s="61"/>
      <c r="AB374" s="61"/>
      <c r="AC374" s="61"/>
      <c r="AD374" s="61"/>
      <c r="AE374" s="61"/>
      <c r="AF374" s="61"/>
      <c r="AG374" s="61"/>
      <c r="AH374" s="61"/>
    </row>
    <row r="375">
      <c r="A375" s="65"/>
      <c r="B375" s="65"/>
      <c r="C375" s="65"/>
      <c r="D375" s="66"/>
      <c r="E375" s="65"/>
      <c r="F375" s="65"/>
      <c r="G375" s="65"/>
      <c r="H375" s="65"/>
      <c r="I375" s="65"/>
      <c r="J375" s="65"/>
      <c r="K375" s="65"/>
      <c r="L375" s="65"/>
      <c r="M375" s="65"/>
      <c r="N375" s="65"/>
      <c r="O375" s="67"/>
      <c r="P375" s="65"/>
      <c r="Q375" s="65"/>
      <c r="R375" s="65"/>
      <c r="S375" s="65"/>
      <c r="T375" s="65"/>
      <c r="U375" s="65"/>
      <c r="V375" s="68"/>
      <c r="W375" s="65"/>
      <c r="X375" s="65"/>
      <c r="Y375" s="65"/>
      <c r="Z375" s="65"/>
      <c r="AA375" s="65"/>
      <c r="AB375" s="65"/>
      <c r="AC375" s="65"/>
      <c r="AD375" s="65"/>
      <c r="AE375" s="65"/>
      <c r="AF375" s="65"/>
      <c r="AG375" s="65"/>
      <c r="AH375" s="65"/>
    </row>
    <row r="376">
      <c r="A376" s="61"/>
      <c r="B376" s="61"/>
      <c r="C376" s="61"/>
      <c r="D376" s="62"/>
      <c r="E376" s="61"/>
      <c r="F376" s="61"/>
      <c r="G376" s="61"/>
      <c r="H376" s="61"/>
      <c r="I376" s="61"/>
      <c r="J376" s="61"/>
      <c r="K376" s="61"/>
      <c r="L376" s="61"/>
      <c r="M376" s="61"/>
      <c r="N376" s="61"/>
      <c r="O376" s="63"/>
      <c r="P376" s="61"/>
      <c r="Q376" s="61"/>
      <c r="R376" s="61"/>
      <c r="S376" s="61"/>
      <c r="T376" s="61"/>
      <c r="U376" s="61"/>
      <c r="V376" s="64"/>
      <c r="W376" s="61"/>
      <c r="X376" s="61"/>
      <c r="Y376" s="61"/>
      <c r="Z376" s="61"/>
      <c r="AA376" s="61"/>
      <c r="AB376" s="61"/>
      <c r="AC376" s="61"/>
      <c r="AD376" s="61"/>
      <c r="AE376" s="61"/>
      <c r="AF376" s="61"/>
      <c r="AG376" s="61"/>
      <c r="AH376" s="61"/>
    </row>
    <row r="377">
      <c r="A377" s="65"/>
      <c r="B377" s="65"/>
      <c r="C377" s="65"/>
      <c r="D377" s="66"/>
      <c r="E377" s="65"/>
      <c r="F377" s="65"/>
      <c r="G377" s="65"/>
      <c r="H377" s="65"/>
      <c r="I377" s="65"/>
      <c r="J377" s="65"/>
      <c r="K377" s="65"/>
      <c r="L377" s="65"/>
      <c r="M377" s="65"/>
      <c r="N377" s="65"/>
      <c r="O377" s="67"/>
      <c r="P377" s="65"/>
      <c r="Q377" s="65"/>
      <c r="R377" s="65"/>
      <c r="S377" s="65"/>
      <c r="T377" s="65"/>
      <c r="U377" s="65"/>
      <c r="V377" s="68"/>
      <c r="W377" s="65"/>
      <c r="X377" s="65"/>
      <c r="Y377" s="65"/>
      <c r="Z377" s="65"/>
      <c r="AA377" s="65"/>
      <c r="AB377" s="65"/>
      <c r="AC377" s="65"/>
      <c r="AD377" s="65"/>
      <c r="AE377" s="65"/>
      <c r="AF377" s="65"/>
      <c r="AG377" s="65"/>
      <c r="AH377" s="65"/>
    </row>
    <row r="378">
      <c r="A378" s="61"/>
      <c r="B378" s="61"/>
      <c r="C378" s="61"/>
      <c r="D378" s="62"/>
      <c r="E378" s="61"/>
      <c r="F378" s="61"/>
      <c r="G378" s="61"/>
      <c r="H378" s="61"/>
      <c r="I378" s="61"/>
      <c r="J378" s="61"/>
      <c r="K378" s="61"/>
      <c r="L378" s="61"/>
      <c r="M378" s="61"/>
      <c r="N378" s="61"/>
      <c r="O378" s="63"/>
      <c r="P378" s="61"/>
      <c r="Q378" s="61"/>
      <c r="R378" s="61"/>
      <c r="S378" s="61"/>
      <c r="T378" s="61"/>
      <c r="U378" s="61"/>
      <c r="V378" s="64"/>
      <c r="W378" s="61"/>
      <c r="X378" s="61"/>
      <c r="Y378" s="61"/>
      <c r="Z378" s="61"/>
      <c r="AA378" s="61"/>
      <c r="AB378" s="61"/>
      <c r="AC378" s="61"/>
      <c r="AD378" s="61"/>
      <c r="AE378" s="61"/>
      <c r="AF378" s="61"/>
      <c r="AG378" s="61"/>
      <c r="AH378" s="61"/>
    </row>
    <row r="379">
      <c r="A379" s="65"/>
      <c r="B379" s="65"/>
      <c r="C379" s="65"/>
      <c r="D379" s="66"/>
      <c r="E379" s="65"/>
      <c r="F379" s="65"/>
      <c r="G379" s="65"/>
      <c r="H379" s="65"/>
      <c r="I379" s="65"/>
      <c r="J379" s="65"/>
      <c r="K379" s="65"/>
      <c r="L379" s="65"/>
      <c r="M379" s="65"/>
      <c r="N379" s="65"/>
      <c r="O379" s="67"/>
      <c r="P379" s="65"/>
      <c r="Q379" s="65"/>
      <c r="R379" s="65"/>
      <c r="S379" s="65"/>
      <c r="T379" s="65"/>
      <c r="U379" s="65"/>
      <c r="V379" s="68"/>
      <c r="W379" s="65"/>
      <c r="X379" s="65"/>
      <c r="Y379" s="65"/>
      <c r="Z379" s="65"/>
      <c r="AA379" s="65"/>
      <c r="AB379" s="65"/>
      <c r="AC379" s="65"/>
      <c r="AD379" s="65"/>
      <c r="AE379" s="65"/>
      <c r="AF379" s="65"/>
      <c r="AG379" s="65"/>
      <c r="AH379" s="65"/>
    </row>
    <row r="380">
      <c r="A380" s="61"/>
      <c r="B380" s="61"/>
      <c r="C380" s="61"/>
      <c r="D380" s="62"/>
      <c r="E380" s="61"/>
      <c r="F380" s="61"/>
      <c r="G380" s="61"/>
      <c r="H380" s="61"/>
      <c r="I380" s="61"/>
      <c r="J380" s="61"/>
      <c r="K380" s="61"/>
      <c r="L380" s="61"/>
      <c r="M380" s="61"/>
      <c r="N380" s="61"/>
      <c r="O380" s="63"/>
      <c r="P380" s="61"/>
      <c r="Q380" s="61"/>
      <c r="R380" s="61"/>
      <c r="S380" s="61"/>
      <c r="T380" s="61"/>
      <c r="U380" s="61"/>
      <c r="V380" s="64"/>
      <c r="W380" s="61"/>
      <c r="X380" s="61"/>
      <c r="Y380" s="61"/>
      <c r="Z380" s="61"/>
      <c r="AA380" s="61"/>
      <c r="AB380" s="61"/>
      <c r="AC380" s="61"/>
      <c r="AD380" s="61"/>
      <c r="AE380" s="61"/>
      <c r="AF380" s="61"/>
      <c r="AG380" s="61"/>
      <c r="AH380" s="61"/>
    </row>
    <row r="381">
      <c r="A381" s="65"/>
      <c r="B381" s="65"/>
      <c r="C381" s="65"/>
      <c r="D381" s="66"/>
      <c r="E381" s="65"/>
      <c r="F381" s="65"/>
      <c r="G381" s="65"/>
      <c r="H381" s="65"/>
      <c r="I381" s="65"/>
      <c r="J381" s="65"/>
      <c r="K381" s="65"/>
      <c r="L381" s="65"/>
      <c r="M381" s="65"/>
      <c r="N381" s="65"/>
      <c r="O381" s="67"/>
      <c r="P381" s="65"/>
      <c r="Q381" s="65"/>
      <c r="R381" s="65"/>
      <c r="S381" s="65"/>
      <c r="T381" s="65"/>
      <c r="U381" s="65"/>
      <c r="V381" s="68"/>
      <c r="W381" s="65"/>
      <c r="X381" s="65"/>
      <c r="Y381" s="65"/>
      <c r="Z381" s="65"/>
      <c r="AA381" s="65"/>
      <c r="AB381" s="65"/>
      <c r="AC381" s="65"/>
      <c r="AD381" s="65"/>
      <c r="AE381" s="65"/>
      <c r="AF381" s="65"/>
      <c r="AG381" s="65"/>
      <c r="AH381" s="65"/>
    </row>
    <row r="382">
      <c r="A382" s="61"/>
      <c r="B382" s="61"/>
      <c r="C382" s="61"/>
      <c r="D382" s="62"/>
      <c r="E382" s="61"/>
      <c r="F382" s="61"/>
      <c r="G382" s="61"/>
      <c r="H382" s="61"/>
      <c r="I382" s="61"/>
      <c r="J382" s="61"/>
      <c r="K382" s="61"/>
      <c r="L382" s="61"/>
      <c r="M382" s="61"/>
      <c r="N382" s="61"/>
      <c r="O382" s="63"/>
      <c r="P382" s="61"/>
      <c r="Q382" s="61"/>
      <c r="R382" s="61"/>
      <c r="S382" s="61"/>
      <c r="T382" s="61"/>
      <c r="U382" s="61"/>
      <c r="V382" s="64"/>
      <c r="W382" s="61"/>
      <c r="X382" s="61"/>
      <c r="Y382" s="61"/>
      <c r="Z382" s="61"/>
      <c r="AA382" s="61"/>
      <c r="AB382" s="61"/>
      <c r="AC382" s="61"/>
      <c r="AD382" s="61"/>
      <c r="AE382" s="61"/>
      <c r="AF382" s="61"/>
      <c r="AG382" s="61"/>
      <c r="AH382" s="61"/>
    </row>
    <row r="383">
      <c r="A383" s="65"/>
      <c r="B383" s="65"/>
      <c r="C383" s="65"/>
      <c r="D383" s="66"/>
      <c r="E383" s="65"/>
      <c r="F383" s="65"/>
      <c r="G383" s="65"/>
      <c r="H383" s="65"/>
      <c r="I383" s="65"/>
      <c r="J383" s="65"/>
      <c r="K383" s="65"/>
      <c r="L383" s="65"/>
      <c r="M383" s="65"/>
      <c r="N383" s="65"/>
      <c r="O383" s="67"/>
      <c r="P383" s="65"/>
      <c r="Q383" s="65"/>
      <c r="R383" s="65"/>
      <c r="S383" s="65"/>
      <c r="T383" s="65"/>
      <c r="U383" s="65"/>
      <c r="V383" s="68"/>
      <c r="W383" s="65"/>
      <c r="X383" s="65"/>
      <c r="Y383" s="65"/>
      <c r="Z383" s="65"/>
      <c r="AA383" s="65"/>
      <c r="AB383" s="65"/>
      <c r="AC383" s="65"/>
      <c r="AD383" s="65"/>
      <c r="AE383" s="65"/>
      <c r="AF383" s="65"/>
      <c r="AG383" s="65"/>
      <c r="AH383" s="65"/>
    </row>
    <row r="384">
      <c r="A384" s="61"/>
      <c r="B384" s="61"/>
      <c r="C384" s="61"/>
      <c r="D384" s="62"/>
      <c r="E384" s="61"/>
      <c r="F384" s="61"/>
      <c r="G384" s="61"/>
      <c r="H384" s="61"/>
      <c r="I384" s="61"/>
      <c r="J384" s="61"/>
      <c r="K384" s="61"/>
      <c r="L384" s="61"/>
      <c r="M384" s="61"/>
      <c r="N384" s="61"/>
      <c r="O384" s="63"/>
      <c r="P384" s="61"/>
      <c r="Q384" s="61"/>
      <c r="R384" s="61"/>
      <c r="S384" s="61"/>
      <c r="T384" s="61"/>
      <c r="U384" s="61"/>
      <c r="V384" s="64"/>
      <c r="W384" s="61"/>
      <c r="X384" s="61"/>
      <c r="Y384" s="61"/>
      <c r="Z384" s="61"/>
      <c r="AA384" s="61"/>
      <c r="AB384" s="61"/>
      <c r="AC384" s="61"/>
      <c r="AD384" s="61"/>
      <c r="AE384" s="61"/>
      <c r="AF384" s="61"/>
      <c r="AG384" s="61"/>
      <c r="AH384" s="61"/>
    </row>
    <row r="385">
      <c r="A385" s="65"/>
      <c r="B385" s="65"/>
      <c r="C385" s="65"/>
      <c r="D385" s="66"/>
      <c r="E385" s="65"/>
      <c r="F385" s="65"/>
      <c r="G385" s="65"/>
      <c r="H385" s="65"/>
      <c r="I385" s="65"/>
      <c r="J385" s="65"/>
      <c r="K385" s="65"/>
      <c r="L385" s="65"/>
      <c r="M385" s="65"/>
      <c r="N385" s="65"/>
      <c r="O385" s="67"/>
      <c r="P385" s="65"/>
      <c r="Q385" s="65"/>
      <c r="R385" s="65"/>
      <c r="S385" s="65"/>
      <c r="T385" s="65"/>
      <c r="U385" s="65"/>
      <c r="V385" s="68"/>
      <c r="W385" s="65"/>
      <c r="X385" s="65"/>
      <c r="Y385" s="65"/>
      <c r="Z385" s="65"/>
      <c r="AA385" s="65"/>
      <c r="AB385" s="65"/>
      <c r="AC385" s="65"/>
      <c r="AD385" s="65"/>
      <c r="AE385" s="65"/>
      <c r="AF385" s="65"/>
      <c r="AG385" s="65"/>
      <c r="AH385" s="65"/>
    </row>
    <row r="386">
      <c r="A386" s="61"/>
      <c r="B386" s="61"/>
      <c r="C386" s="61"/>
      <c r="D386" s="62"/>
      <c r="E386" s="61"/>
      <c r="F386" s="61"/>
      <c r="G386" s="61"/>
      <c r="H386" s="61"/>
      <c r="I386" s="61"/>
      <c r="J386" s="61"/>
      <c r="K386" s="61"/>
      <c r="L386" s="61"/>
      <c r="M386" s="61"/>
      <c r="N386" s="61"/>
      <c r="O386" s="63"/>
      <c r="P386" s="61"/>
      <c r="Q386" s="61"/>
      <c r="R386" s="61"/>
      <c r="S386" s="61"/>
      <c r="T386" s="61"/>
      <c r="U386" s="61"/>
      <c r="V386" s="64"/>
      <c r="W386" s="61"/>
      <c r="X386" s="61"/>
      <c r="Y386" s="61"/>
      <c r="Z386" s="61"/>
      <c r="AA386" s="61"/>
      <c r="AB386" s="61"/>
      <c r="AC386" s="61"/>
      <c r="AD386" s="61"/>
      <c r="AE386" s="61"/>
      <c r="AF386" s="61"/>
      <c r="AG386" s="61"/>
      <c r="AH386" s="61"/>
    </row>
    <row r="387">
      <c r="A387" s="65"/>
      <c r="B387" s="65"/>
      <c r="C387" s="65"/>
      <c r="D387" s="66"/>
      <c r="E387" s="65"/>
      <c r="F387" s="65"/>
      <c r="G387" s="65"/>
      <c r="H387" s="65"/>
      <c r="I387" s="65"/>
      <c r="J387" s="65"/>
      <c r="K387" s="65"/>
      <c r="L387" s="65"/>
      <c r="M387" s="65"/>
      <c r="N387" s="65"/>
      <c r="O387" s="67"/>
      <c r="P387" s="65"/>
      <c r="Q387" s="65"/>
      <c r="R387" s="65"/>
      <c r="S387" s="65"/>
      <c r="T387" s="65"/>
      <c r="U387" s="65"/>
      <c r="V387" s="68"/>
      <c r="W387" s="65"/>
      <c r="X387" s="65"/>
      <c r="Y387" s="65"/>
      <c r="Z387" s="65"/>
      <c r="AA387" s="65"/>
      <c r="AB387" s="65"/>
      <c r="AC387" s="65"/>
      <c r="AD387" s="65"/>
      <c r="AE387" s="65"/>
      <c r="AF387" s="65"/>
      <c r="AG387" s="65"/>
      <c r="AH387" s="65"/>
    </row>
    <row r="388">
      <c r="A388" s="61"/>
      <c r="B388" s="61"/>
      <c r="C388" s="61"/>
      <c r="D388" s="62"/>
      <c r="E388" s="61"/>
      <c r="F388" s="61"/>
      <c r="G388" s="61"/>
      <c r="H388" s="61"/>
      <c r="I388" s="61"/>
      <c r="J388" s="61"/>
      <c r="K388" s="61"/>
      <c r="L388" s="61"/>
      <c r="M388" s="61"/>
      <c r="N388" s="61"/>
      <c r="O388" s="63"/>
      <c r="P388" s="61"/>
      <c r="Q388" s="61"/>
      <c r="R388" s="61"/>
      <c r="S388" s="61"/>
      <c r="T388" s="61"/>
      <c r="U388" s="61"/>
      <c r="V388" s="64"/>
      <c r="W388" s="61"/>
      <c r="X388" s="61"/>
      <c r="Y388" s="61"/>
      <c r="Z388" s="61"/>
      <c r="AA388" s="61"/>
      <c r="AB388" s="61"/>
      <c r="AC388" s="61"/>
      <c r="AD388" s="61"/>
      <c r="AE388" s="61"/>
      <c r="AF388" s="61"/>
      <c r="AG388" s="61"/>
      <c r="AH388" s="61"/>
    </row>
    <row r="389">
      <c r="A389" s="65"/>
      <c r="B389" s="65"/>
      <c r="C389" s="65"/>
      <c r="D389" s="66"/>
      <c r="E389" s="65"/>
      <c r="F389" s="65"/>
      <c r="G389" s="65"/>
      <c r="H389" s="65"/>
      <c r="I389" s="65"/>
      <c r="J389" s="65"/>
      <c r="K389" s="65"/>
      <c r="L389" s="65"/>
      <c r="M389" s="65"/>
      <c r="N389" s="65"/>
      <c r="O389" s="67"/>
      <c r="P389" s="65"/>
      <c r="Q389" s="65"/>
      <c r="R389" s="65"/>
      <c r="S389" s="65"/>
      <c r="T389" s="65"/>
      <c r="U389" s="65"/>
      <c r="V389" s="68"/>
      <c r="W389" s="65"/>
      <c r="X389" s="65"/>
      <c r="Y389" s="65"/>
      <c r="Z389" s="65"/>
      <c r="AA389" s="65"/>
      <c r="AB389" s="65"/>
      <c r="AC389" s="65"/>
      <c r="AD389" s="65"/>
      <c r="AE389" s="65"/>
      <c r="AF389" s="65"/>
      <c r="AG389" s="65"/>
      <c r="AH389" s="65"/>
    </row>
    <row r="390">
      <c r="A390" s="61"/>
      <c r="B390" s="61"/>
      <c r="C390" s="61"/>
      <c r="D390" s="62"/>
      <c r="E390" s="61"/>
      <c r="F390" s="61"/>
      <c r="G390" s="61"/>
      <c r="H390" s="61"/>
      <c r="I390" s="61"/>
      <c r="J390" s="61"/>
      <c r="K390" s="61"/>
      <c r="L390" s="61"/>
      <c r="M390" s="61"/>
      <c r="N390" s="61"/>
      <c r="O390" s="63"/>
      <c r="P390" s="61"/>
      <c r="Q390" s="61"/>
      <c r="R390" s="61"/>
      <c r="S390" s="61"/>
      <c r="T390" s="61"/>
      <c r="U390" s="61"/>
      <c r="V390" s="64"/>
      <c r="W390" s="61"/>
      <c r="X390" s="61"/>
      <c r="Y390" s="61"/>
      <c r="Z390" s="61"/>
      <c r="AA390" s="61"/>
      <c r="AB390" s="61"/>
      <c r="AC390" s="61"/>
      <c r="AD390" s="61"/>
      <c r="AE390" s="61"/>
      <c r="AF390" s="61"/>
      <c r="AG390" s="61"/>
      <c r="AH390" s="61"/>
    </row>
    <row r="391">
      <c r="A391" s="65"/>
      <c r="B391" s="65"/>
      <c r="C391" s="65"/>
      <c r="D391" s="66"/>
      <c r="E391" s="65"/>
      <c r="F391" s="65"/>
      <c r="G391" s="65"/>
      <c r="H391" s="65"/>
      <c r="I391" s="65"/>
      <c r="J391" s="65"/>
      <c r="K391" s="65"/>
      <c r="L391" s="65"/>
      <c r="M391" s="65"/>
      <c r="N391" s="65"/>
      <c r="O391" s="67"/>
      <c r="P391" s="65"/>
      <c r="Q391" s="65"/>
      <c r="R391" s="65"/>
      <c r="S391" s="65"/>
      <c r="T391" s="65"/>
      <c r="U391" s="65"/>
      <c r="V391" s="68"/>
      <c r="W391" s="65"/>
      <c r="X391" s="65"/>
      <c r="Y391" s="65"/>
      <c r="Z391" s="65"/>
      <c r="AA391" s="65"/>
      <c r="AB391" s="65"/>
      <c r="AC391" s="65"/>
      <c r="AD391" s="65"/>
      <c r="AE391" s="65"/>
      <c r="AF391" s="65"/>
      <c r="AG391" s="65"/>
      <c r="AH391" s="65"/>
    </row>
    <row r="392">
      <c r="A392" s="61"/>
      <c r="B392" s="61"/>
      <c r="C392" s="61"/>
      <c r="D392" s="62"/>
      <c r="E392" s="61"/>
      <c r="F392" s="61"/>
      <c r="G392" s="61"/>
      <c r="H392" s="61"/>
      <c r="I392" s="61"/>
      <c r="J392" s="61"/>
      <c r="K392" s="61"/>
      <c r="L392" s="61"/>
      <c r="M392" s="61"/>
      <c r="N392" s="61"/>
      <c r="O392" s="63"/>
      <c r="P392" s="61"/>
      <c r="Q392" s="61"/>
      <c r="R392" s="61"/>
      <c r="S392" s="61"/>
      <c r="T392" s="61"/>
      <c r="U392" s="61"/>
      <c r="V392" s="64"/>
      <c r="W392" s="61"/>
      <c r="X392" s="61"/>
      <c r="Y392" s="61"/>
      <c r="Z392" s="61"/>
      <c r="AA392" s="61"/>
      <c r="AB392" s="61"/>
      <c r="AC392" s="61"/>
      <c r="AD392" s="61"/>
      <c r="AE392" s="61"/>
      <c r="AF392" s="61"/>
      <c r="AG392" s="61"/>
      <c r="AH392" s="61"/>
    </row>
    <row r="393">
      <c r="A393" s="65"/>
      <c r="B393" s="65"/>
      <c r="C393" s="65"/>
      <c r="D393" s="66"/>
      <c r="E393" s="65"/>
      <c r="F393" s="65"/>
      <c r="G393" s="65"/>
      <c r="H393" s="65"/>
      <c r="I393" s="65"/>
      <c r="J393" s="65"/>
      <c r="K393" s="65"/>
      <c r="L393" s="65"/>
      <c r="M393" s="65"/>
      <c r="N393" s="65"/>
      <c r="O393" s="67"/>
      <c r="P393" s="65"/>
      <c r="Q393" s="65"/>
      <c r="R393" s="65"/>
      <c r="S393" s="65"/>
      <c r="T393" s="65"/>
      <c r="U393" s="65"/>
      <c r="V393" s="68"/>
      <c r="W393" s="65"/>
      <c r="X393" s="65"/>
      <c r="Y393" s="65"/>
      <c r="Z393" s="65"/>
      <c r="AA393" s="65"/>
      <c r="AB393" s="65"/>
      <c r="AC393" s="65"/>
      <c r="AD393" s="65"/>
      <c r="AE393" s="65"/>
      <c r="AF393" s="65"/>
      <c r="AG393" s="65"/>
      <c r="AH393" s="65"/>
    </row>
    <row r="394">
      <c r="A394" s="61"/>
      <c r="B394" s="61"/>
      <c r="C394" s="61"/>
      <c r="D394" s="62"/>
      <c r="E394" s="61"/>
      <c r="F394" s="61"/>
      <c r="G394" s="61"/>
      <c r="H394" s="61"/>
      <c r="I394" s="61"/>
      <c r="J394" s="61"/>
      <c r="K394" s="61"/>
      <c r="L394" s="61"/>
      <c r="M394" s="61"/>
      <c r="N394" s="61"/>
      <c r="O394" s="63"/>
      <c r="P394" s="61"/>
      <c r="Q394" s="61"/>
      <c r="R394" s="61"/>
      <c r="S394" s="61"/>
      <c r="T394" s="61"/>
      <c r="U394" s="61"/>
      <c r="V394" s="64"/>
      <c r="W394" s="61"/>
      <c r="X394" s="61"/>
      <c r="Y394" s="61"/>
      <c r="Z394" s="61"/>
      <c r="AA394" s="61"/>
      <c r="AB394" s="61"/>
      <c r="AC394" s="61"/>
      <c r="AD394" s="61"/>
      <c r="AE394" s="61"/>
      <c r="AF394" s="61"/>
      <c r="AG394" s="61"/>
      <c r="AH394" s="61"/>
    </row>
    <row r="395">
      <c r="A395" s="65"/>
      <c r="B395" s="65"/>
      <c r="C395" s="65"/>
      <c r="D395" s="66"/>
      <c r="E395" s="65"/>
      <c r="F395" s="65"/>
      <c r="G395" s="65"/>
      <c r="H395" s="65"/>
      <c r="I395" s="65"/>
      <c r="J395" s="65"/>
      <c r="K395" s="65"/>
      <c r="L395" s="65"/>
      <c r="M395" s="65"/>
      <c r="N395" s="65"/>
      <c r="O395" s="67"/>
      <c r="P395" s="65"/>
      <c r="Q395" s="65"/>
      <c r="R395" s="65"/>
      <c r="S395" s="65"/>
      <c r="T395" s="65"/>
      <c r="U395" s="65"/>
      <c r="V395" s="68"/>
      <c r="W395" s="65"/>
      <c r="X395" s="65"/>
      <c r="Y395" s="65"/>
      <c r="Z395" s="65"/>
      <c r="AA395" s="65"/>
      <c r="AB395" s="65"/>
      <c r="AC395" s="65"/>
      <c r="AD395" s="65"/>
      <c r="AE395" s="65"/>
      <c r="AF395" s="65"/>
      <c r="AG395" s="65"/>
      <c r="AH395" s="65"/>
    </row>
    <row r="396">
      <c r="A396" s="61"/>
      <c r="B396" s="61"/>
      <c r="C396" s="61"/>
      <c r="D396" s="62"/>
      <c r="E396" s="61"/>
      <c r="F396" s="61"/>
      <c r="G396" s="61"/>
      <c r="H396" s="61"/>
      <c r="I396" s="61"/>
      <c r="J396" s="61"/>
      <c r="K396" s="61"/>
      <c r="L396" s="61"/>
      <c r="M396" s="61"/>
      <c r="N396" s="61"/>
      <c r="O396" s="63"/>
      <c r="P396" s="61"/>
      <c r="Q396" s="61"/>
      <c r="R396" s="61"/>
      <c r="S396" s="61"/>
      <c r="T396" s="61"/>
      <c r="U396" s="61"/>
      <c r="V396" s="64"/>
      <c r="W396" s="61"/>
      <c r="X396" s="61"/>
      <c r="Y396" s="61"/>
      <c r="Z396" s="61"/>
      <c r="AA396" s="61"/>
      <c r="AB396" s="61"/>
      <c r="AC396" s="61"/>
      <c r="AD396" s="61"/>
      <c r="AE396" s="61"/>
      <c r="AF396" s="61"/>
      <c r="AG396" s="61"/>
      <c r="AH396" s="61"/>
    </row>
    <row r="397">
      <c r="A397" s="65"/>
      <c r="B397" s="65"/>
      <c r="C397" s="65"/>
      <c r="D397" s="66"/>
      <c r="E397" s="65"/>
      <c r="F397" s="65"/>
      <c r="G397" s="65"/>
      <c r="H397" s="65"/>
      <c r="I397" s="65"/>
      <c r="J397" s="65"/>
      <c r="K397" s="65"/>
      <c r="L397" s="65"/>
      <c r="M397" s="65"/>
      <c r="N397" s="65"/>
      <c r="O397" s="67"/>
      <c r="P397" s="65"/>
      <c r="Q397" s="65"/>
      <c r="R397" s="65"/>
      <c r="S397" s="65"/>
      <c r="T397" s="65"/>
      <c r="U397" s="65"/>
      <c r="V397" s="68"/>
      <c r="W397" s="65"/>
      <c r="X397" s="65"/>
      <c r="Y397" s="65"/>
      <c r="Z397" s="65"/>
      <c r="AA397" s="65"/>
      <c r="AB397" s="65"/>
      <c r="AC397" s="65"/>
      <c r="AD397" s="65"/>
      <c r="AE397" s="65"/>
      <c r="AF397" s="65"/>
      <c r="AG397" s="65"/>
      <c r="AH397" s="65"/>
    </row>
    <row r="398">
      <c r="A398" s="61"/>
      <c r="B398" s="61"/>
      <c r="C398" s="61"/>
      <c r="D398" s="62"/>
      <c r="E398" s="61"/>
      <c r="F398" s="61"/>
      <c r="G398" s="61"/>
      <c r="H398" s="61"/>
      <c r="I398" s="61"/>
      <c r="J398" s="61"/>
      <c r="K398" s="61"/>
      <c r="L398" s="61"/>
      <c r="M398" s="61"/>
      <c r="N398" s="61"/>
      <c r="O398" s="63"/>
      <c r="P398" s="61"/>
      <c r="Q398" s="61"/>
      <c r="R398" s="61"/>
      <c r="S398" s="61"/>
      <c r="T398" s="61"/>
      <c r="U398" s="61"/>
      <c r="V398" s="64"/>
      <c r="W398" s="61"/>
      <c r="X398" s="61"/>
      <c r="Y398" s="61"/>
      <c r="Z398" s="61"/>
      <c r="AA398" s="61"/>
      <c r="AB398" s="61"/>
      <c r="AC398" s="61"/>
      <c r="AD398" s="61"/>
      <c r="AE398" s="61"/>
      <c r="AF398" s="61"/>
      <c r="AG398" s="61"/>
      <c r="AH398" s="61"/>
    </row>
    <row r="399">
      <c r="A399" s="65"/>
      <c r="B399" s="65"/>
      <c r="C399" s="65"/>
      <c r="D399" s="66"/>
      <c r="E399" s="65"/>
      <c r="F399" s="65"/>
      <c r="G399" s="65"/>
      <c r="H399" s="65"/>
      <c r="I399" s="65"/>
      <c r="J399" s="65"/>
      <c r="K399" s="65"/>
      <c r="L399" s="65"/>
      <c r="M399" s="65"/>
      <c r="N399" s="65"/>
      <c r="O399" s="67"/>
      <c r="P399" s="65"/>
      <c r="Q399" s="65"/>
      <c r="R399" s="65"/>
      <c r="S399" s="65"/>
      <c r="T399" s="65"/>
      <c r="U399" s="65"/>
      <c r="V399" s="68"/>
      <c r="W399" s="65"/>
      <c r="X399" s="65"/>
      <c r="Y399" s="65"/>
      <c r="Z399" s="65"/>
      <c r="AA399" s="65"/>
      <c r="AB399" s="65"/>
      <c r="AC399" s="65"/>
      <c r="AD399" s="65"/>
      <c r="AE399" s="65"/>
      <c r="AF399" s="65"/>
      <c r="AG399" s="65"/>
      <c r="AH399" s="65"/>
    </row>
    <row r="400">
      <c r="A400" s="61"/>
      <c r="B400" s="61"/>
      <c r="C400" s="61"/>
      <c r="D400" s="62"/>
      <c r="E400" s="61"/>
      <c r="F400" s="61"/>
      <c r="G400" s="61"/>
      <c r="H400" s="61"/>
      <c r="I400" s="61"/>
      <c r="J400" s="61"/>
      <c r="K400" s="61"/>
      <c r="L400" s="61"/>
      <c r="M400" s="61"/>
      <c r="N400" s="61"/>
      <c r="O400" s="63"/>
      <c r="P400" s="61"/>
      <c r="Q400" s="61"/>
      <c r="R400" s="61"/>
      <c r="S400" s="61"/>
      <c r="T400" s="61"/>
      <c r="U400" s="61"/>
      <c r="V400" s="64"/>
      <c r="W400" s="61"/>
      <c r="X400" s="61"/>
      <c r="Y400" s="61"/>
      <c r="Z400" s="61"/>
      <c r="AA400" s="61"/>
      <c r="AB400" s="61"/>
      <c r="AC400" s="61"/>
      <c r="AD400" s="61"/>
      <c r="AE400" s="61"/>
      <c r="AF400" s="61"/>
      <c r="AG400" s="61"/>
      <c r="AH400" s="61"/>
    </row>
    <row r="401">
      <c r="A401" s="65"/>
      <c r="B401" s="65"/>
      <c r="C401" s="65"/>
      <c r="D401" s="66"/>
      <c r="E401" s="65"/>
      <c r="F401" s="65"/>
      <c r="G401" s="65"/>
      <c r="H401" s="65"/>
      <c r="I401" s="65"/>
      <c r="J401" s="65"/>
      <c r="K401" s="65"/>
      <c r="L401" s="65"/>
      <c r="M401" s="65"/>
      <c r="N401" s="65"/>
      <c r="O401" s="67"/>
      <c r="P401" s="65"/>
      <c r="Q401" s="65"/>
      <c r="R401" s="65"/>
      <c r="S401" s="65"/>
      <c r="T401" s="65"/>
      <c r="U401" s="65"/>
      <c r="V401" s="68"/>
      <c r="W401" s="65"/>
      <c r="X401" s="65"/>
      <c r="Y401" s="65"/>
      <c r="Z401" s="65"/>
      <c r="AA401" s="65"/>
      <c r="AB401" s="65"/>
      <c r="AC401" s="65"/>
      <c r="AD401" s="65"/>
      <c r="AE401" s="65"/>
      <c r="AF401" s="65"/>
      <c r="AG401" s="65"/>
      <c r="AH401" s="65"/>
    </row>
    <row r="402">
      <c r="A402" s="61"/>
      <c r="B402" s="61"/>
      <c r="C402" s="61"/>
      <c r="D402" s="62"/>
      <c r="E402" s="61"/>
      <c r="F402" s="61"/>
      <c r="G402" s="61"/>
      <c r="H402" s="61"/>
      <c r="I402" s="61"/>
      <c r="J402" s="61"/>
      <c r="K402" s="61"/>
      <c r="L402" s="61"/>
      <c r="M402" s="61"/>
      <c r="N402" s="61"/>
      <c r="O402" s="63"/>
      <c r="P402" s="61"/>
      <c r="Q402" s="61"/>
      <c r="R402" s="61"/>
      <c r="S402" s="61"/>
      <c r="T402" s="61"/>
      <c r="U402" s="61"/>
      <c r="V402" s="64"/>
      <c r="W402" s="61"/>
      <c r="X402" s="61"/>
      <c r="Y402" s="61"/>
      <c r="Z402" s="61"/>
      <c r="AA402" s="61"/>
      <c r="AB402" s="61"/>
      <c r="AC402" s="61"/>
      <c r="AD402" s="61"/>
      <c r="AE402" s="61"/>
      <c r="AF402" s="61"/>
      <c r="AG402" s="61"/>
      <c r="AH402" s="61"/>
    </row>
    <row r="403">
      <c r="A403" s="65"/>
      <c r="B403" s="65"/>
      <c r="C403" s="65"/>
      <c r="D403" s="66"/>
      <c r="E403" s="65"/>
      <c r="F403" s="65"/>
      <c r="G403" s="65"/>
      <c r="H403" s="65"/>
      <c r="I403" s="65"/>
      <c r="J403" s="65"/>
      <c r="K403" s="65"/>
      <c r="L403" s="65"/>
      <c r="M403" s="65"/>
      <c r="N403" s="65"/>
      <c r="O403" s="67"/>
      <c r="P403" s="65"/>
      <c r="Q403" s="65"/>
      <c r="R403" s="65"/>
      <c r="S403" s="65"/>
      <c r="T403" s="65"/>
      <c r="U403" s="65"/>
      <c r="V403" s="68"/>
      <c r="W403" s="65"/>
      <c r="X403" s="65"/>
      <c r="Y403" s="65"/>
      <c r="Z403" s="65"/>
      <c r="AA403" s="65"/>
      <c r="AB403" s="65"/>
      <c r="AC403" s="65"/>
      <c r="AD403" s="65"/>
      <c r="AE403" s="65"/>
      <c r="AF403" s="65"/>
      <c r="AG403" s="65"/>
      <c r="AH403" s="65"/>
    </row>
    <row r="404">
      <c r="A404" s="61"/>
      <c r="B404" s="61"/>
      <c r="C404" s="61"/>
      <c r="D404" s="62"/>
      <c r="E404" s="61"/>
      <c r="F404" s="61"/>
      <c r="G404" s="61"/>
      <c r="H404" s="61"/>
      <c r="I404" s="61"/>
      <c r="J404" s="61"/>
      <c r="K404" s="61"/>
      <c r="L404" s="61"/>
      <c r="M404" s="61"/>
      <c r="N404" s="61"/>
      <c r="O404" s="63"/>
      <c r="P404" s="61"/>
      <c r="Q404" s="61"/>
      <c r="R404" s="61"/>
      <c r="S404" s="61"/>
      <c r="T404" s="61"/>
      <c r="U404" s="61"/>
      <c r="V404" s="64"/>
      <c r="W404" s="61"/>
      <c r="X404" s="61"/>
      <c r="Y404" s="61"/>
      <c r="Z404" s="61"/>
      <c r="AA404" s="61"/>
      <c r="AB404" s="61"/>
      <c r="AC404" s="61"/>
      <c r="AD404" s="61"/>
      <c r="AE404" s="61"/>
      <c r="AF404" s="61"/>
      <c r="AG404" s="61"/>
      <c r="AH404" s="61"/>
    </row>
    <row r="405">
      <c r="A405" s="65"/>
      <c r="B405" s="65"/>
      <c r="C405" s="65"/>
      <c r="D405" s="66"/>
      <c r="E405" s="65"/>
      <c r="F405" s="65"/>
      <c r="G405" s="65"/>
      <c r="H405" s="65"/>
      <c r="I405" s="65"/>
      <c r="J405" s="65"/>
      <c r="K405" s="65"/>
      <c r="L405" s="65"/>
      <c r="M405" s="65"/>
      <c r="N405" s="65"/>
      <c r="O405" s="67"/>
      <c r="P405" s="65"/>
      <c r="Q405" s="65"/>
      <c r="R405" s="65"/>
      <c r="S405" s="65"/>
      <c r="T405" s="65"/>
      <c r="U405" s="65"/>
      <c r="V405" s="68"/>
      <c r="W405" s="65"/>
      <c r="X405" s="65"/>
      <c r="Y405" s="65"/>
      <c r="Z405" s="65"/>
      <c r="AA405" s="65"/>
      <c r="AB405" s="65"/>
      <c r="AC405" s="65"/>
      <c r="AD405" s="65"/>
      <c r="AE405" s="65"/>
      <c r="AF405" s="65"/>
      <c r="AG405" s="65"/>
      <c r="AH405" s="65"/>
    </row>
    <row r="406">
      <c r="A406" s="61"/>
      <c r="B406" s="61"/>
      <c r="C406" s="61"/>
      <c r="D406" s="62"/>
      <c r="E406" s="61"/>
      <c r="F406" s="61"/>
      <c r="G406" s="61"/>
      <c r="H406" s="61"/>
      <c r="I406" s="61"/>
      <c r="J406" s="61"/>
      <c r="K406" s="61"/>
      <c r="L406" s="61"/>
      <c r="M406" s="61"/>
      <c r="N406" s="61"/>
      <c r="O406" s="63"/>
      <c r="P406" s="61"/>
      <c r="Q406" s="61"/>
      <c r="R406" s="61"/>
      <c r="S406" s="61"/>
      <c r="T406" s="61"/>
      <c r="U406" s="61"/>
      <c r="V406" s="64"/>
      <c r="W406" s="61"/>
      <c r="X406" s="61"/>
      <c r="Y406" s="61"/>
      <c r="Z406" s="61"/>
      <c r="AA406" s="61"/>
      <c r="AB406" s="61"/>
      <c r="AC406" s="61"/>
      <c r="AD406" s="61"/>
      <c r="AE406" s="61"/>
      <c r="AF406" s="61"/>
      <c r="AG406" s="61"/>
      <c r="AH406" s="61"/>
    </row>
    <row r="407">
      <c r="A407" s="65"/>
      <c r="B407" s="65"/>
      <c r="C407" s="65"/>
      <c r="D407" s="66"/>
      <c r="E407" s="65"/>
      <c r="F407" s="65"/>
      <c r="G407" s="65"/>
      <c r="H407" s="65"/>
      <c r="I407" s="65"/>
      <c r="J407" s="65"/>
      <c r="K407" s="65"/>
      <c r="L407" s="65"/>
      <c r="M407" s="65"/>
      <c r="N407" s="65"/>
      <c r="O407" s="67"/>
      <c r="P407" s="65"/>
      <c r="Q407" s="65"/>
      <c r="R407" s="65"/>
      <c r="S407" s="65"/>
      <c r="T407" s="65"/>
      <c r="U407" s="65"/>
      <c r="V407" s="68"/>
      <c r="W407" s="65"/>
      <c r="X407" s="65"/>
      <c r="Y407" s="65"/>
      <c r="Z407" s="65"/>
      <c r="AA407" s="65"/>
      <c r="AB407" s="65"/>
      <c r="AC407" s="65"/>
      <c r="AD407" s="65"/>
      <c r="AE407" s="65"/>
      <c r="AF407" s="65"/>
      <c r="AG407" s="65"/>
      <c r="AH407" s="65"/>
    </row>
    <row r="408">
      <c r="A408" s="61"/>
      <c r="B408" s="61"/>
      <c r="C408" s="61"/>
      <c r="D408" s="62"/>
      <c r="E408" s="61"/>
      <c r="F408" s="61"/>
      <c r="G408" s="61"/>
      <c r="H408" s="61"/>
      <c r="I408" s="61"/>
      <c r="J408" s="61"/>
      <c r="K408" s="61"/>
      <c r="L408" s="61"/>
      <c r="M408" s="61"/>
      <c r="N408" s="61"/>
      <c r="O408" s="63"/>
      <c r="P408" s="61"/>
      <c r="Q408" s="61"/>
      <c r="R408" s="61"/>
      <c r="S408" s="61"/>
      <c r="T408" s="61"/>
      <c r="U408" s="61"/>
      <c r="V408" s="64"/>
      <c r="W408" s="61"/>
      <c r="X408" s="61"/>
      <c r="Y408" s="61"/>
      <c r="Z408" s="61"/>
      <c r="AA408" s="61"/>
      <c r="AB408" s="61"/>
      <c r="AC408" s="61"/>
      <c r="AD408" s="61"/>
      <c r="AE408" s="61"/>
      <c r="AF408" s="61"/>
      <c r="AG408" s="61"/>
      <c r="AH408" s="61"/>
    </row>
    <row r="409">
      <c r="A409" s="65"/>
      <c r="B409" s="65"/>
      <c r="C409" s="65"/>
      <c r="D409" s="66"/>
      <c r="E409" s="65"/>
      <c r="F409" s="65"/>
      <c r="G409" s="65"/>
      <c r="H409" s="65"/>
      <c r="I409" s="65"/>
      <c r="J409" s="65"/>
      <c r="K409" s="65"/>
      <c r="L409" s="65"/>
      <c r="M409" s="65"/>
      <c r="N409" s="65"/>
      <c r="O409" s="67"/>
      <c r="P409" s="65"/>
      <c r="Q409" s="65"/>
      <c r="R409" s="65"/>
      <c r="S409" s="65"/>
      <c r="T409" s="65"/>
      <c r="U409" s="65"/>
      <c r="V409" s="68"/>
      <c r="W409" s="65"/>
      <c r="X409" s="65"/>
      <c r="Y409" s="65"/>
      <c r="Z409" s="65"/>
      <c r="AA409" s="65"/>
      <c r="AB409" s="65"/>
      <c r="AC409" s="65"/>
      <c r="AD409" s="65"/>
      <c r="AE409" s="65"/>
      <c r="AF409" s="65"/>
      <c r="AG409" s="65"/>
      <c r="AH409" s="65"/>
    </row>
    <row r="410">
      <c r="A410" s="61"/>
      <c r="B410" s="61"/>
      <c r="C410" s="61"/>
      <c r="D410" s="62"/>
      <c r="E410" s="61"/>
      <c r="F410" s="61"/>
      <c r="G410" s="61"/>
      <c r="H410" s="61"/>
      <c r="I410" s="61"/>
      <c r="J410" s="61"/>
      <c r="K410" s="61"/>
      <c r="L410" s="61"/>
      <c r="M410" s="61"/>
      <c r="N410" s="61"/>
      <c r="O410" s="63"/>
      <c r="P410" s="61"/>
      <c r="Q410" s="61"/>
      <c r="R410" s="61"/>
      <c r="S410" s="61"/>
      <c r="T410" s="61"/>
      <c r="U410" s="61"/>
      <c r="V410" s="64"/>
      <c r="W410" s="61"/>
      <c r="X410" s="61"/>
      <c r="Y410" s="61"/>
      <c r="Z410" s="61"/>
      <c r="AA410" s="61"/>
      <c r="AB410" s="61"/>
      <c r="AC410" s="61"/>
      <c r="AD410" s="61"/>
      <c r="AE410" s="61"/>
      <c r="AF410" s="61"/>
      <c r="AG410" s="61"/>
      <c r="AH410" s="61"/>
    </row>
    <row r="411">
      <c r="A411" s="65"/>
      <c r="B411" s="65"/>
      <c r="C411" s="65"/>
      <c r="D411" s="66"/>
      <c r="E411" s="65"/>
      <c r="F411" s="65"/>
      <c r="G411" s="65"/>
      <c r="H411" s="65"/>
      <c r="I411" s="65"/>
      <c r="J411" s="65"/>
      <c r="K411" s="65"/>
      <c r="L411" s="65"/>
      <c r="M411" s="65"/>
      <c r="N411" s="65"/>
      <c r="O411" s="67"/>
      <c r="P411" s="65"/>
      <c r="Q411" s="65"/>
      <c r="R411" s="65"/>
      <c r="S411" s="65"/>
      <c r="T411" s="65"/>
      <c r="U411" s="65"/>
      <c r="V411" s="68"/>
      <c r="W411" s="65"/>
      <c r="X411" s="65"/>
      <c r="Y411" s="65"/>
      <c r="Z411" s="65"/>
      <c r="AA411" s="65"/>
      <c r="AB411" s="65"/>
      <c r="AC411" s="65"/>
      <c r="AD411" s="65"/>
      <c r="AE411" s="65"/>
      <c r="AF411" s="65"/>
      <c r="AG411" s="65"/>
      <c r="AH411" s="65"/>
    </row>
    <row r="412">
      <c r="A412" s="61"/>
      <c r="B412" s="61"/>
      <c r="C412" s="61"/>
      <c r="D412" s="62"/>
      <c r="E412" s="61"/>
      <c r="F412" s="61"/>
      <c r="G412" s="61"/>
      <c r="H412" s="61"/>
      <c r="I412" s="61"/>
      <c r="J412" s="61"/>
      <c r="K412" s="61"/>
      <c r="L412" s="61"/>
      <c r="M412" s="61"/>
      <c r="N412" s="61"/>
      <c r="O412" s="63"/>
      <c r="P412" s="61"/>
      <c r="Q412" s="61"/>
      <c r="R412" s="61"/>
      <c r="S412" s="61"/>
      <c r="T412" s="61"/>
      <c r="U412" s="61"/>
      <c r="V412" s="64"/>
      <c r="W412" s="61"/>
      <c r="X412" s="61"/>
      <c r="Y412" s="61"/>
      <c r="Z412" s="61"/>
      <c r="AA412" s="61"/>
      <c r="AB412" s="61"/>
      <c r="AC412" s="61"/>
      <c r="AD412" s="61"/>
      <c r="AE412" s="61"/>
      <c r="AF412" s="61"/>
      <c r="AG412" s="61"/>
      <c r="AH412" s="61"/>
    </row>
    <row r="413">
      <c r="A413" s="65"/>
      <c r="B413" s="65"/>
      <c r="C413" s="65"/>
      <c r="D413" s="66"/>
      <c r="E413" s="65"/>
      <c r="F413" s="65"/>
      <c r="G413" s="65"/>
      <c r="H413" s="65"/>
      <c r="I413" s="65"/>
      <c r="J413" s="65"/>
      <c r="K413" s="65"/>
      <c r="L413" s="65"/>
      <c r="M413" s="65"/>
      <c r="N413" s="65"/>
      <c r="O413" s="67"/>
      <c r="P413" s="65"/>
      <c r="Q413" s="65"/>
      <c r="R413" s="65"/>
      <c r="S413" s="65"/>
      <c r="T413" s="65"/>
      <c r="U413" s="65"/>
      <c r="V413" s="68"/>
      <c r="W413" s="65"/>
      <c r="X413" s="65"/>
      <c r="Y413" s="65"/>
      <c r="Z413" s="65"/>
      <c r="AA413" s="65"/>
      <c r="AB413" s="65"/>
      <c r="AC413" s="65"/>
      <c r="AD413" s="65"/>
      <c r="AE413" s="65"/>
      <c r="AF413" s="65"/>
      <c r="AG413" s="65"/>
      <c r="AH413" s="65"/>
    </row>
    <row r="414">
      <c r="A414" s="61"/>
      <c r="B414" s="61"/>
      <c r="C414" s="61"/>
      <c r="D414" s="62"/>
      <c r="E414" s="61"/>
      <c r="F414" s="61"/>
      <c r="G414" s="61"/>
      <c r="H414" s="61"/>
      <c r="I414" s="61"/>
      <c r="J414" s="61"/>
      <c r="K414" s="61"/>
      <c r="L414" s="61"/>
      <c r="M414" s="61"/>
      <c r="N414" s="61"/>
      <c r="O414" s="63"/>
      <c r="P414" s="61"/>
      <c r="Q414" s="61"/>
      <c r="R414" s="61"/>
      <c r="S414" s="61"/>
      <c r="T414" s="61"/>
      <c r="U414" s="61"/>
      <c r="V414" s="64"/>
      <c r="W414" s="61"/>
      <c r="X414" s="61"/>
      <c r="Y414" s="61"/>
      <c r="Z414" s="61"/>
      <c r="AA414" s="61"/>
      <c r="AB414" s="61"/>
      <c r="AC414" s="61"/>
      <c r="AD414" s="61"/>
      <c r="AE414" s="61"/>
      <c r="AF414" s="61"/>
      <c r="AG414" s="61"/>
      <c r="AH414" s="61"/>
    </row>
    <row r="415">
      <c r="A415" s="65"/>
      <c r="B415" s="65"/>
      <c r="C415" s="65"/>
      <c r="D415" s="66"/>
      <c r="E415" s="65"/>
      <c r="F415" s="65"/>
      <c r="G415" s="65"/>
      <c r="H415" s="65"/>
      <c r="I415" s="65"/>
      <c r="J415" s="65"/>
      <c r="K415" s="65"/>
      <c r="L415" s="65"/>
      <c r="M415" s="65"/>
      <c r="N415" s="65"/>
      <c r="O415" s="67"/>
      <c r="P415" s="65"/>
      <c r="Q415" s="65"/>
      <c r="R415" s="65"/>
      <c r="S415" s="65"/>
      <c r="T415" s="65"/>
      <c r="U415" s="65"/>
      <c r="V415" s="68"/>
      <c r="W415" s="65"/>
      <c r="X415" s="65"/>
      <c r="Y415" s="65"/>
      <c r="Z415" s="65"/>
      <c r="AA415" s="65"/>
      <c r="AB415" s="65"/>
      <c r="AC415" s="65"/>
      <c r="AD415" s="65"/>
      <c r="AE415" s="65"/>
      <c r="AF415" s="65"/>
      <c r="AG415" s="65"/>
      <c r="AH415" s="65"/>
    </row>
    <row r="416">
      <c r="A416" s="61"/>
      <c r="B416" s="61"/>
      <c r="C416" s="61"/>
      <c r="D416" s="62"/>
      <c r="E416" s="61"/>
      <c r="F416" s="61"/>
      <c r="G416" s="61"/>
      <c r="H416" s="61"/>
      <c r="I416" s="61"/>
      <c r="J416" s="61"/>
      <c r="K416" s="61"/>
      <c r="L416" s="61"/>
      <c r="M416" s="61"/>
      <c r="N416" s="61"/>
      <c r="O416" s="63"/>
      <c r="P416" s="61"/>
      <c r="Q416" s="61"/>
      <c r="R416" s="61"/>
      <c r="S416" s="61"/>
      <c r="T416" s="61"/>
      <c r="U416" s="61"/>
      <c r="V416" s="64"/>
      <c r="W416" s="61"/>
      <c r="X416" s="61"/>
      <c r="Y416" s="61"/>
      <c r="Z416" s="61"/>
      <c r="AA416" s="61"/>
      <c r="AB416" s="61"/>
      <c r="AC416" s="61"/>
      <c r="AD416" s="61"/>
      <c r="AE416" s="61"/>
      <c r="AF416" s="61"/>
      <c r="AG416" s="61"/>
      <c r="AH416" s="61"/>
    </row>
    <row r="417">
      <c r="A417" s="65"/>
      <c r="B417" s="65"/>
      <c r="C417" s="65"/>
      <c r="D417" s="66"/>
      <c r="E417" s="65"/>
      <c r="F417" s="65"/>
      <c r="G417" s="65"/>
      <c r="H417" s="65"/>
      <c r="I417" s="65"/>
      <c r="J417" s="65"/>
      <c r="K417" s="65"/>
      <c r="L417" s="65"/>
      <c r="M417" s="65"/>
      <c r="N417" s="65"/>
      <c r="O417" s="67"/>
      <c r="P417" s="65"/>
      <c r="Q417" s="65"/>
      <c r="R417" s="65"/>
      <c r="S417" s="65"/>
      <c r="T417" s="65"/>
      <c r="U417" s="65"/>
      <c r="V417" s="68"/>
      <c r="W417" s="65"/>
      <c r="X417" s="65"/>
      <c r="Y417" s="65"/>
      <c r="Z417" s="65"/>
      <c r="AA417" s="65"/>
      <c r="AB417" s="65"/>
      <c r="AC417" s="65"/>
      <c r="AD417" s="65"/>
      <c r="AE417" s="65"/>
      <c r="AF417" s="65"/>
      <c r="AG417" s="65"/>
      <c r="AH417" s="65"/>
    </row>
    <row r="418">
      <c r="A418" s="61"/>
      <c r="B418" s="61"/>
      <c r="C418" s="61"/>
      <c r="D418" s="62"/>
      <c r="E418" s="61"/>
      <c r="F418" s="61"/>
      <c r="G418" s="61"/>
      <c r="H418" s="61"/>
      <c r="I418" s="61"/>
      <c r="J418" s="61"/>
      <c r="K418" s="61"/>
      <c r="L418" s="61"/>
      <c r="M418" s="61"/>
      <c r="N418" s="61"/>
      <c r="O418" s="63"/>
      <c r="P418" s="61"/>
      <c r="Q418" s="61"/>
      <c r="R418" s="61"/>
      <c r="S418" s="61"/>
      <c r="T418" s="61"/>
      <c r="U418" s="61"/>
      <c r="V418" s="64"/>
      <c r="W418" s="61"/>
      <c r="X418" s="61"/>
      <c r="Y418" s="61"/>
      <c r="Z418" s="61"/>
      <c r="AA418" s="61"/>
      <c r="AB418" s="61"/>
      <c r="AC418" s="61"/>
      <c r="AD418" s="61"/>
      <c r="AE418" s="61"/>
      <c r="AF418" s="61"/>
      <c r="AG418" s="61"/>
      <c r="AH418" s="61"/>
    </row>
    <row r="419">
      <c r="A419" s="65"/>
      <c r="B419" s="65"/>
      <c r="C419" s="65"/>
      <c r="D419" s="66"/>
      <c r="E419" s="65"/>
      <c r="F419" s="65"/>
      <c r="G419" s="65"/>
      <c r="H419" s="65"/>
      <c r="I419" s="65"/>
      <c r="J419" s="65"/>
      <c r="K419" s="65"/>
      <c r="L419" s="65"/>
      <c r="M419" s="65"/>
      <c r="N419" s="65"/>
      <c r="O419" s="67"/>
      <c r="P419" s="65"/>
      <c r="Q419" s="65"/>
      <c r="R419" s="65"/>
      <c r="S419" s="65"/>
      <c r="T419" s="65"/>
      <c r="U419" s="65"/>
      <c r="V419" s="68"/>
      <c r="W419" s="65"/>
      <c r="X419" s="65"/>
      <c r="Y419" s="65"/>
      <c r="Z419" s="65"/>
      <c r="AA419" s="65"/>
      <c r="AB419" s="65"/>
      <c r="AC419" s="65"/>
      <c r="AD419" s="65"/>
      <c r="AE419" s="65"/>
      <c r="AF419" s="65"/>
      <c r="AG419" s="65"/>
      <c r="AH419" s="65"/>
    </row>
    <row r="420">
      <c r="A420" s="61"/>
      <c r="B420" s="61"/>
      <c r="C420" s="61"/>
      <c r="D420" s="62"/>
      <c r="E420" s="61"/>
      <c r="F420" s="61"/>
      <c r="G420" s="61"/>
      <c r="H420" s="61"/>
      <c r="I420" s="61"/>
      <c r="J420" s="61"/>
      <c r="K420" s="61"/>
      <c r="L420" s="61"/>
      <c r="M420" s="61"/>
      <c r="N420" s="61"/>
      <c r="O420" s="63"/>
      <c r="P420" s="61"/>
      <c r="Q420" s="61"/>
      <c r="R420" s="61"/>
      <c r="S420" s="61"/>
      <c r="T420" s="61"/>
      <c r="U420" s="61"/>
      <c r="V420" s="64"/>
      <c r="W420" s="61"/>
      <c r="X420" s="61"/>
      <c r="Y420" s="61"/>
      <c r="Z420" s="61"/>
      <c r="AA420" s="61"/>
      <c r="AB420" s="61"/>
      <c r="AC420" s="61"/>
      <c r="AD420" s="61"/>
      <c r="AE420" s="61"/>
      <c r="AF420" s="61"/>
      <c r="AG420" s="61"/>
      <c r="AH420" s="61"/>
    </row>
    <row r="421">
      <c r="A421" s="65"/>
      <c r="B421" s="65"/>
      <c r="C421" s="65"/>
      <c r="D421" s="66"/>
      <c r="E421" s="65"/>
      <c r="F421" s="65"/>
      <c r="G421" s="65"/>
      <c r="H421" s="65"/>
      <c r="I421" s="65"/>
      <c r="J421" s="65"/>
      <c r="K421" s="65"/>
      <c r="L421" s="65"/>
      <c r="M421" s="65"/>
      <c r="N421" s="65"/>
      <c r="O421" s="67"/>
      <c r="P421" s="65"/>
      <c r="Q421" s="65"/>
      <c r="R421" s="65"/>
      <c r="S421" s="65"/>
      <c r="T421" s="65"/>
      <c r="U421" s="65"/>
      <c r="V421" s="68"/>
      <c r="W421" s="65"/>
      <c r="X421" s="65"/>
      <c r="Y421" s="65"/>
      <c r="Z421" s="65"/>
      <c r="AA421" s="65"/>
      <c r="AB421" s="65"/>
      <c r="AC421" s="65"/>
      <c r="AD421" s="65"/>
      <c r="AE421" s="65"/>
      <c r="AF421" s="65"/>
      <c r="AG421" s="65"/>
      <c r="AH421" s="65"/>
    </row>
    <row r="422">
      <c r="A422" s="61"/>
      <c r="B422" s="61"/>
      <c r="C422" s="61"/>
      <c r="D422" s="62"/>
      <c r="E422" s="61"/>
      <c r="F422" s="61"/>
      <c r="G422" s="61"/>
      <c r="H422" s="61"/>
      <c r="I422" s="61"/>
      <c r="J422" s="61"/>
      <c r="K422" s="61"/>
      <c r="L422" s="61"/>
      <c r="M422" s="61"/>
      <c r="N422" s="61"/>
      <c r="O422" s="63"/>
      <c r="P422" s="61"/>
      <c r="Q422" s="61"/>
      <c r="R422" s="61"/>
      <c r="S422" s="61"/>
      <c r="T422" s="61"/>
      <c r="U422" s="61"/>
      <c r="V422" s="64"/>
      <c r="W422" s="61"/>
      <c r="X422" s="61"/>
      <c r="Y422" s="61"/>
      <c r="Z422" s="61"/>
      <c r="AA422" s="61"/>
      <c r="AB422" s="61"/>
      <c r="AC422" s="61"/>
      <c r="AD422" s="61"/>
      <c r="AE422" s="61"/>
      <c r="AF422" s="61"/>
      <c r="AG422" s="61"/>
      <c r="AH422" s="61"/>
    </row>
    <row r="423">
      <c r="A423" s="65"/>
      <c r="B423" s="65"/>
      <c r="C423" s="65"/>
      <c r="D423" s="66"/>
      <c r="E423" s="65"/>
      <c r="F423" s="65"/>
      <c r="G423" s="65"/>
      <c r="H423" s="65"/>
      <c r="I423" s="65"/>
      <c r="J423" s="65"/>
      <c r="K423" s="65"/>
      <c r="L423" s="65"/>
      <c r="M423" s="65"/>
      <c r="N423" s="65"/>
      <c r="O423" s="67"/>
      <c r="P423" s="65"/>
      <c r="Q423" s="65"/>
      <c r="R423" s="65"/>
      <c r="S423" s="65"/>
      <c r="T423" s="65"/>
      <c r="U423" s="65"/>
      <c r="V423" s="68"/>
      <c r="W423" s="65"/>
      <c r="X423" s="65"/>
      <c r="Y423" s="65"/>
      <c r="Z423" s="65"/>
      <c r="AA423" s="65"/>
      <c r="AB423" s="65"/>
      <c r="AC423" s="65"/>
      <c r="AD423" s="65"/>
      <c r="AE423" s="65"/>
      <c r="AF423" s="65"/>
      <c r="AG423" s="65"/>
      <c r="AH423" s="65"/>
    </row>
    <row r="424">
      <c r="A424" s="61"/>
      <c r="B424" s="61"/>
      <c r="C424" s="61"/>
      <c r="D424" s="62"/>
      <c r="E424" s="61"/>
      <c r="F424" s="61"/>
      <c r="G424" s="61"/>
      <c r="H424" s="61"/>
      <c r="I424" s="61"/>
      <c r="J424" s="61"/>
      <c r="K424" s="61"/>
      <c r="L424" s="61"/>
      <c r="M424" s="61"/>
      <c r="N424" s="61"/>
      <c r="O424" s="63"/>
      <c r="P424" s="61"/>
      <c r="Q424" s="61"/>
      <c r="R424" s="61"/>
      <c r="S424" s="61"/>
      <c r="T424" s="61"/>
      <c r="U424" s="61"/>
      <c r="V424" s="64"/>
      <c r="W424" s="61"/>
      <c r="X424" s="61"/>
      <c r="Y424" s="61"/>
      <c r="Z424" s="61"/>
      <c r="AA424" s="61"/>
      <c r="AB424" s="61"/>
      <c r="AC424" s="61"/>
      <c r="AD424" s="61"/>
      <c r="AE424" s="61"/>
      <c r="AF424" s="61"/>
      <c r="AG424" s="61"/>
      <c r="AH424" s="61"/>
    </row>
    <row r="425">
      <c r="A425" s="65"/>
      <c r="B425" s="65"/>
      <c r="C425" s="65"/>
      <c r="D425" s="66"/>
      <c r="E425" s="65"/>
      <c r="F425" s="65"/>
      <c r="G425" s="65"/>
      <c r="H425" s="65"/>
      <c r="I425" s="65"/>
      <c r="J425" s="65"/>
      <c r="K425" s="65"/>
      <c r="L425" s="65"/>
      <c r="M425" s="65"/>
      <c r="N425" s="65"/>
      <c r="O425" s="67"/>
      <c r="P425" s="65"/>
      <c r="Q425" s="65"/>
      <c r="R425" s="65"/>
      <c r="S425" s="65"/>
      <c r="T425" s="65"/>
      <c r="U425" s="65"/>
      <c r="V425" s="68"/>
      <c r="W425" s="65"/>
      <c r="X425" s="65"/>
      <c r="Y425" s="65"/>
      <c r="Z425" s="65"/>
      <c r="AA425" s="65"/>
      <c r="AB425" s="65"/>
      <c r="AC425" s="65"/>
      <c r="AD425" s="65"/>
      <c r="AE425" s="65"/>
      <c r="AF425" s="65"/>
      <c r="AG425" s="65"/>
      <c r="AH425" s="65"/>
    </row>
    <row r="426">
      <c r="A426" s="61"/>
      <c r="B426" s="61"/>
      <c r="C426" s="61"/>
      <c r="D426" s="62"/>
      <c r="E426" s="61"/>
      <c r="F426" s="61"/>
      <c r="G426" s="61"/>
      <c r="H426" s="61"/>
      <c r="I426" s="61"/>
      <c r="J426" s="61"/>
      <c r="K426" s="61"/>
      <c r="L426" s="61"/>
      <c r="M426" s="61"/>
      <c r="N426" s="61"/>
      <c r="O426" s="63"/>
      <c r="P426" s="61"/>
      <c r="Q426" s="61"/>
      <c r="R426" s="61"/>
      <c r="S426" s="61"/>
      <c r="T426" s="61"/>
      <c r="U426" s="61"/>
      <c r="V426" s="64"/>
      <c r="W426" s="61"/>
      <c r="X426" s="61"/>
      <c r="Y426" s="61"/>
      <c r="Z426" s="61"/>
      <c r="AA426" s="61"/>
      <c r="AB426" s="61"/>
      <c r="AC426" s="61"/>
      <c r="AD426" s="61"/>
      <c r="AE426" s="61"/>
      <c r="AF426" s="61"/>
      <c r="AG426" s="61"/>
      <c r="AH426" s="61"/>
    </row>
    <row r="427">
      <c r="A427" s="65"/>
      <c r="B427" s="65"/>
      <c r="C427" s="65"/>
      <c r="D427" s="66"/>
      <c r="E427" s="65"/>
      <c r="F427" s="65"/>
      <c r="G427" s="65"/>
      <c r="H427" s="65"/>
      <c r="I427" s="65"/>
      <c r="J427" s="65"/>
      <c r="K427" s="65"/>
      <c r="L427" s="65"/>
      <c r="M427" s="65"/>
      <c r="N427" s="65"/>
      <c r="O427" s="67"/>
      <c r="P427" s="65"/>
      <c r="Q427" s="65"/>
      <c r="R427" s="65"/>
      <c r="S427" s="65"/>
      <c r="T427" s="65"/>
      <c r="U427" s="65"/>
      <c r="V427" s="68"/>
      <c r="W427" s="65"/>
      <c r="X427" s="65"/>
      <c r="Y427" s="65"/>
      <c r="Z427" s="65"/>
      <c r="AA427" s="65"/>
      <c r="AB427" s="65"/>
      <c r="AC427" s="65"/>
      <c r="AD427" s="65"/>
      <c r="AE427" s="65"/>
      <c r="AF427" s="65"/>
      <c r="AG427" s="65"/>
      <c r="AH427" s="65"/>
    </row>
    <row r="428">
      <c r="A428" s="61"/>
      <c r="B428" s="61"/>
      <c r="C428" s="61"/>
      <c r="D428" s="62"/>
      <c r="E428" s="61"/>
      <c r="F428" s="61"/>
      <c r="G428" s="61"/>
      <c r="H428" s="61"/>
      <c r="I428" s="61"/>
      <c r="J428" s="61"/>
      <c r="K428" s="61"/>
      <c r="L428" s="61"/>
      <c r="M428" s="61"/>
      <c r="N428" s="61"/>
      <c r="O428" s="63"/>
      <c r="P428" s="61"/>
      <c r="Q428" s="61"/>
      <c r="R428" s="61"/>
      <c r="S428" s="61"/>
      <c r="T428" s="61"/>
      <c r="U428" s="61"/>
      <c r="V428" s="64"/>
      <c r="W428" s="61"/>
      <c r="X428" s="61"/>
      <c r="Y428" s="61"/>
      <c r="Z428" s="61"/>
      <c r="AA428" s="61"/>
      <c r="AB428" s="61"/>
      <c r="AC428" s="61"/>
      <c r="AD428" s="61"/>
      <c r="AE428" s="61"/>
      <c r="AF428" s="61"/>
      <c r="AG428" s="61"/>
      <c r="AH428" s="61"/>
    </row>
    <row r="429">
      <c r="A429" s="65"/>
      <c r="B429" s="65"/>
      <c r="C429" s="65"/>
      <c r="D429" s="66"/>
      <c r="E429" s="65"/>
      <c r="F429" s="65"/>
      <c r="G429" s="65"/>
      <c r="H429" s="65"/>
      <c r="I429" s="65"/>
      <c r="J429" s="65"/>
      <c r="K429" s="65"/>
      <c r="L429" s="65"/>
      <c r="M429" s="65"/>
      <c r="N429" s="65"/>
      <c r="O429" s="67"/>
      <c r="P429" s="65"/>
      <c r="Q429" s="65"/>
      <c r="R429" s="65"/>
      <c r="S429" s="65"/>
      <c r="T429" s="65"/>
      <c r="U429" s="65"/>
      <c r="V429" s="68"/>
      <c r="W429" s="65"/>
      <c r="X429" s="65"/>
      <c r="Y429" s="65"/>
      <c r="Z429" s="65"/>
      <c r="AA429" s="65"/>
      <c r="AB429" s="65"/>
      <c r="AC429" s="65"/>
      <c r="AD429" s="65"/>
      <c r="AE429" s="65"/>
      <c r="AF429" s="65"/>
      <c r="AG429" s="65"/>
      <c r="AH429" s="65"/>
    </row>
    <row r="430">
      <c r="A430" s="61"/>
      <c r="B430" s="61"/>
      <c r="C430" s="61"/>
      <c r="D430" s="62"/>
      <c r="E430" s="61"/>
      <c r="F430" s="61"/>
      <c r="G430" s="61"/>
      <c r="H430" s="61"/>
      <c r="I430" s="61"/>
      <c r="J430" s="61"/>
      <c r="K430" s="61"/>
      <c r="L430" s="61"/>
      <c r="M430" s="61"/>
      <c r="N430" s="61"/>
      <c r="O430" s="63"/>
      <c r="P430" s="61"/>
      <c r="Q430" s="61"/>
      <c r="R430" s="61"/>
      <c r="S430" s="61"/>
      <c r="T430" s="61"/>
      <c r="U430" s="61"/>
      <c r="V430" s="64"/>
      <c r="W430" s="61"/>
      <c r="X430" s="61"/>
      <c r="Y430" s="61"/>
      <c r="Z430" s="61"/>
      <c r="AA430" s="61"/>
      <c r="AB430" s="61"/>
      <c r="AC430" s="61"/>
      <c r="AD430" s="61"/>
      <c r="AE430" s="61"/>
      <c r="AF430" s="61"/>
      <c r="AG430" s="61"/>
      <c r="AH430" s="61"/>
    </row>
    <row r="431">
      <c r="A431" s="65"/>
      <c r="B431" s="65"/>
      <c r="C431" s="65"/>
      <c r="D431" s="66"/>
      <c r="E431" s="65"/>
      <c r="F431" s="65"/>
      <c r="G431" s="65"/>
      <c r="H431" s="65"/>
      <c r="I431" s="65"/>
      <c r="J431" s="65"/>
      <c r="K431" s="65"/>
      <c r="L431" s="65"/>
      <c r="M431" s="65"/>
      <c r="N431" s="65"/>
      <c r="O431" s="67"/>
      <c r="P431" s="65"/>
      <c r="Q431" s="65"/>
      <c r="R431" s="65"/>
      <c r="S431" s="65"/>
      <c r="T431" s="65"/>
      <c r="U431" s="65"/>
      <c r="V431" s="68"/>
      <c r="W431" s="65"/>
      <c r="X431" s="65"/>
      <c r="Y431" s="65"/>
      <c r="Z431" s="65"/>
      <c r="AA431" s="65"/>
      <c r="AB431" s="65"/>
      <c r="AC431" s="65"/>
      <c r="AD431" s="65"/>
      <c r="AE431" s="65"/>
      <c r="AF431" s="65"/>
      <c r="AG431" s="65"/>
      <c r="AH431" s="65"/>
    </row>
    <row r="432">
      <c r="A432" s="61"/>
      <c r="B432" s="61"/>
      <c r="C432" s="61"/>
      <c r="D432" s="62"/>
      <c r="E432" s="61"/>
      <c r="F432" s="61"/>
      <c r="G432" s="61"/>
      <c r="H432" s="61"/>
      <c r="I432" s="61"/>
      <c r="J432" s="61"/>
      <c r="K432" s="61"/>
      <c r="L432" s="61"/>
      <c r="M432" s="61"/>
      <c r="N432" s="61"/>
      <c r="O432" s="63"/>
      <c r="P432" s="61"/>
      <c r="Q432" s="61"/>
      <c r="R432" s="61"/>
      <c r="S432" s="61"/>
      <c r="T432" s="61"/>
      <c r="U432" s="61"/>
      <c r="V432" s="64"/>
      <c r="W432" s="61"/>
      <c r="X432" s="61"/>
      <c r="Y432" s="61"/>
      <c r="Z432" s="61"/>
      <c r="AA432" s="61"/>
      <c r="AB432" s="61"/>
      <c r="AC432" s="61"/>
      <c r="AD432" s="61"/>
      <c r="AE432" s="61"/>
      <c r="AF432" s="61"/>
      <c r="AG432" s="61"/>
      <c r="AH432" s="61"/>
    </row>
    <row r="433">
      <c r="A433" s="65"/>
      <c r="B433" s="65"/>
      <c r="C433" s="65"/>
      <c r="D433" s="66"/>
      <c r="E433" s="65"/>
      <c r="F433" s="65"/>
      <c r="G433" s="65"/>
      <c r="H433" s="65"/>
      <c r="I433" s="65"/>
      <c r="J433" s="65"/>
      <c r="K433" s="65"/>
      <c r="L433" s="65"/>
      <c r="M433" s="65"/>
      <c r="N433" s="65"/>
      <c r="O433" s="67"/>
      <c r="P433" s="65"/>
      <c r="Q433" s="65"/>
      <c r="R433" s="65"/>
      <c r="S433" s="65"/>
      <c r="T433" s="65"/>
      <c r="U433" s="65"/>
      <c r="V433" s="68"/>
      <c r="W433" s="65"/>
      <c r="X433" s="65"/>
      <c r="Y433" s="65"/>
      <c r="Z433" s="65"/>
      <c r="AA433" s="65"/>
      <c r="AB433" s="65"/>
      <c r="AC433" s="65"/>
      <c r="AD433" s="65"/>
      <c r="AE433" s="65"/>
      <c r="AF433" s="65"/>
      <c r="AG433" s="65"/>
      <c r="AH433" s="65"/>
    </row>
    <row r="434">
      <c r="A434" s="61"/>
      <c r="B434" s="61"/>
      <c r="C434" s="61"/>
      <c r="D434" s="62"/>
      <c r="E434" s="61"/>
      <c r="F434" s="61"/>
      <c r="G434" s="61"/>
      <c r="H434" s="61"/>
      <c r="I434" s="61"/>
      <c r="J434" s="61"/>
      <c r="K434" s="61"/>
      <c r="L434" s="61"/>
      <c r="M434" s="61"/>
      <c r="N434" s="61"/>
      <c r="O434" s="63"/>
      <c r="P434" s="61"/>
      <c r="Q434" s="61"/>
      <c r="R434" s="61"/>
      <c r="S434" s="61"/>
      <c r="T434" s="61"/>
      <c r="U434" s="61"/>
      <c r="V434" s="64"/>
      <c r="W434" s="61"/>
      <c r="X434" s="61"/>
      <c r="Y434" s="61"/>
      <c r="Z434" s="61"/>
      <c r="AA434" s="61"/>
      <c r="AB434" s="61"/>
      <c r="AC434" s="61"/>
      <c r="AD434" s="61"/>
      <c r="AE434" s="61"/>
      <c r="AF434" s="61"/>
      <c r="AG434" s="61"/>
      <c r="AH434" s="61"/>
    </row>
    <row r="435">
      <c r="A435" s="65"/>
      <c r="B435" s="65"/>
      <c r="C435" s="65"/>
      <c r="D435" s="66"/>
      <c r="E435" s="65"/>
      <c r="F435" s="65"/>
      <c r="G435" s="65"/>
      <c r="H435" s="65"/>
      <c r="I435" s="65"/>
      <c r="J435" s="65"/>
      <c r="K435" s="65"/>
      <c r="L435" s="65"/>
      <c r="M435" s="65"/>
      <c r="N435" s="65"/>
      <c r="O435" s="67"/>
      <c r="P435" s="65"/>
      <c r="Q435" s="65"/>
      <c r="R435" s="65"/>
      <c r="S435" s="65"/>
      <c r="T435" s="65"/>
      <c r="U435" s="65"/>
      <c r="V435" s="68"/>
      <c r="W435" s="65"/>
      <c r="X435" s="65"/>
      <c r="Y435" s="65"/>
      <c r="Z435" s="65"/>
      <c r="AA435" s="65"/>
      <c r="AB435" s="65"/>
      <c r="AC435" s="65"/>
      <c r="AD435" s="65"/>
      <c r="AE435" s="65"/>
      <c r="AF435" s="65"/>
      <c r="AG435" s="65"/>
      <c r="AH435" s="65"/>
    </row>
    <row r="436">
      <c r="A436" s="61"/>
      <c r="B436" s="61"/>
      <c r="C436" s="61"/>
      <c r="D436" s="62"/>
      <c r="E436" s="61"/>
      <c r="F436" s="61"/>
      <c r="G436" s="61"/>
      <c r="H436" s="61"/>
      <c r="I436" s="61"/>
      <c r="J436" s="61"/>
      <c r="K436" s="61"/>
      <c r="L436" s="61"/>
      <c r="M436" s="61"/>
      <c r="N436" s="61"/>
      <c r="O436" s="63"/>
      <c r="P436" s="61"/>
      <c r="Q436" s="61"/>
      <c r="R436" s="61"/>
      <c r="S436" s="61"/>
      <c r="T436" s="61"/>
      <c r="U436" s="61"/>
      <c r="V436" s="64"/>
      <c r="W436" s="61"/>
      <c r="X436" s="61"/>
      <c r="Y436" s="61"/>
      <c r="Z436" s="61"/>
      <c r="AA436" s="61"/>
      <c r="AB436" s="61"/>
      <c r="AC436" s="61"/>
      <c r="AD436" s="61"/>
      <c r="AE436" s="61"/>
      <c r="AF436" s="61"/>
      <c r="AG436" s="61"/>
      <c r="AH436" s="61"/>
    </row>
    <row r="437">
      <c r="A437" s="65"/>
      <c r="B437" s="65"/>
      <c r="C437" s="65"/>
      <c r="D437" s="66"/>
      <c r="E437" s="65"/>
      <c r="F437" s="65"/>
      <c r="G437" s="65"/>
      <c r="H437" s="65"/>
      <c r="I437" s="65"/>
      <c r="J437" s="65"/>
      <c r="K437" s="65"/>
      <c r="L437" s="65"/>
      <c r="M437" s="65"/>
      <c r="N437" s="65"/>
      <c r="O437" s="67"/>
      <c r="P437" s="65"/>
      <c r="Q437" s="65"/>
      <c r="R437" s="65"/>
      <c r="S437" s="65"/>
      <c r="T437" s="65"/>
      <c r="U437" s="65"/>
      <c r="V437" s="68"/>
      <c r="W437" s="65"/>
      <c r="X437" s="65"/>
      <c r="Y437" s="65"/>
      <c r="Z437" s="65"/>
      <c r="AA437" s="65"/>
      <c r="AB437" s="65"/>
      <c r="AC437" s="65"/>
      <c r="AD437" s="65"/>
      <c r="AE437" s="65"/>
      <c r="AF437" s="65"/>
      <c r="AG437" s="65"/>
      <c r="AH437" s="65"/>
    </row>
    <row r="438">
      <c r="A438" s="61"/>
      <c r="B438" s="61"/>
      <c r="C438" s="61"/>
      <c r="D438" s="62"/>
      <c r="E438" s="61"/>
      <c r="F438" s="61"/>
      <c r="G438" s="61"/>
      <c r="H438" s="61"/>
      <c r="I438" s="61"/>
      <c r="J438" s="61"/>
      <c r="K438" s="61"/>
      <c r="L438" s="61"/>
      <c r="M438" s="61"/>
      <c r="N438" s="61"/>
      <c r="O438" s="63"/>
      <c r="P438" s="61"/>
      <c r="Q438" s="61"/>
      <c r="R438" s="61"/>
      <c r="S438" s="61"/>
      <c r="T438" s="61"/>
      <c r="U438" s="61"/>
      <c r="V438" s="64"/>
      <c r="W438" s="61"/>
      <c r="X438" s="61"/>
      <c r="Y438" s="61"/>
      <c r="Z438" s="61"/>
      <c r="AA438" s="61"/>
      <c r="AB438" s="61"/>
      <c r="AC438" s="61"/>
      <c r="AD438" s="61"/>
      <c r="AE438" s="61"/>
      <c r="AF438" s="61"/>
      <c r="AG438" s="61"/>
      <c r="AH438" s="61"/>
    </row>
    <row r="439">
      <c r="A439" s="65"/>
      <c r="B439" s="65"/>
      <c r="C439" s="65"/>
      <c r="D439" s="66"/>
      <c r="E439" s="65"/>
      <c r="F439" s="65"/>
      <c r="G439" s="65"/>
      <c r="H439" s="65"/>
      <c r="I439" s="65"/>
      <c r="J439" s="65"/>
      <c r="K439" s="65"/>
      <c r="L439" s="65"/>
      <c r="M439" s="65"/>
      <c r="N439" s="65"/>
      <c r="O439" s="67"/>
      <c r="P439" s="65"/>
      <c r="Q439" s="65"/>
      <c r="R439" s="65"/>
      <c r="S439" s="65"/>
      <c r="T439" s="65"/>
      <c r="U439" s="65"/>
      <c r="V439" s="68"/>
      <c r="W439" s="65"/>
      <c r="X439" s="65"/>
      <c r="Y439" s="65"/>
      <c r="Z439" s="65"/>
      <c r="AA439" s="65"/>
      <c r="AB439" s="65"/>
      <c r="AC439" s="65"/>
      <c r="AD439" s="65"/>
      <c r="AE439" s="65"/>
      <c r="AF439" s="65"/>
      <c r="AG439" s="65"/>
      <c r="AH439" s="65"/>
    </row>
    <row r="440">
      <c r="A440" s="61"/>
      <c r="B440" s="61"/>
      <c r="C440" s="61"/>
      <c r="D440" s="62"/>
      <c r="E440" s="61"/>
      <c r="F440" s="61"/>
      <c r="G440" s="61"/>
      <c r="H440" s="61"/>
      <c r="I440" s="61"/>
      <c r="J440" s="61"/>
      <c r="K440" s="61"/>
      <c r="L440" s="61"/>
      <c r="M440" s="61"/>
      <c r="N440" s="61"/>
      <c r="O440" s="63"/>
      <c r="P440" s="61"/>
      <c r="Q440" s="61"/>
      <c r="R440" s="61"/>
      <c r="S440" s="61"/>
      <c r="T440" s="61"/>
      <c r="U440" s="61"/>
      <c r="V440" s="64"/>
      <c r="W440" s="61"/>
      <c r="X440" s="61"/>
      <c r="Y440" s="61"/>
      <c r="Z440" s="61"/>
      <c r="AA440" s="61"/>
      <c r="AB440" s="61"/>
      <c r="AC440" s="61"/>
      <c r="AD440" s="61"/>
      <c r="AE440" s="61"/>
      <c r="AF440" s="61"/>
      <c r="AG440" s="61"/>
      <c r="AH440" s="61"/>
    </row>
    <row r="441">
      <c r="A441" s="65"/>
      <c r="B441" s="65"/>
      <c r="C441" s="65"/>
      <c r="D441" s="66"/>
      <c r="E441" s="65"/>
      <c r="F441" s="65"/>
      <c r="G441" s="65"/>
      <c r="H441" s="65"/>
      <c r="I441" s="65"/>
      <c r="J441" s="65"/>
      <c r="K441" s="65"/>
      <c r="L441" s="65"/>
      <c r="M441" s="65"/>
      <c r="N441" s="65"/>
      <c r="O441" s="67"/>
      <c r="P441" s="65"/>
      <c r="Q441" s="65"/>
      <c r="R441" s="65"/>
      <c r="S441" s="65"/>
      <c r="T441" s="65"/>
      <c r="U441" s="65"/>
      <c r="V441" s="68"/>
      <c r="W441" s="65"/>
      <c r="X441" s="65"/>
      <c r="Y441" s="65"/>
      <c r="Z441" s="65"/>
      <c r="AA441" s="65"/>
      <c r="AB441" s="65"/>
      <c r="AC441" s="65"/>
      <c r="AD441" s="65"/>
      <c r="AE441" s="65"/>
      <c r="AF441" s="65"/>
      <c r="AG441" s="65"/>
      <c r="AH441" s="65"/>
    </row>
    <row r="442">
      <c r="A442" s="61"/>
      <c r="B442" s="61"/>
      <c r="C442" s="61"/>
      <c r="D442" s="62"/>
      <c r="E442" s="61"/>
      <c r="F442" s="61"/>
      <c r="G442" s="61"/>
      <c r="H442" s="61"/>
      <c r="I442" s="61"/>
      <c r="J442" s="61"/>
      <c r="K442" s="61"/>
      <c r="L442" s="61"/>
      <c r="M442" s="61"/>
      <c r="N442" s="61"/>
      <c r="O442" s="63"/>
      <c r="P442" s="61"/>
      <c r="Q442" s="61"/>
      <c r="R442" s="61"/>
      <c r="S442" s="61"/>
      <c r="T442" s="61"/>
      <c r="U442" s="61"/>
      <c r="V442" s="64"/>
      <c r="W442" s="61"/>
      <c r="X442" s="61"/>
      <c r="Y442" s="61"/>
      <c r="Z442" s="61"/>
      <c r="AA442" s="61"/>
      <c r="AB442" s="61"/>
      <c r="AC442" s="61"/>
      <c r="AD442" s="61"/>
      <c r="AE442" s="61"/>
      <c r="AF442" s="61"/>
      <c r="AG442" s="61"/>
      <c r="AH442" s="61"/>
    </row>
    <row r="443">
      <c r="A443" s="65"/>
      <c r="B443" s="65"/>
      <c r="C443" s="65"/>
      <c r="D443" s="66"/>
      <c r="E443" s="65"/>
      <c r="F443" s="65"/>
      <c r="G443" s="65"/>
      <c r="H443" s="65"/>
      <c r="I443" s="65"/>
      <c r="J443" s="65"/>
      <c r="K443" s="65"/>
      <c r="L443" s="65"/>
      <c r="M443" s="65"/>
      <c r="N443" s="65"/>
      <c r="O443" s="67"/>
      <c r="P443" s="65"/>
      <c r="Q443" s="65"/>
      <c r="R443" s="65"/>
      <c r="S443" s="65"/>
      <c r="T443" s="65"/>
      <c r="U443" s="65"/>
      <c r="V443" s="68"/>
      <c r="W443" s="65"/>
      <c r="X443" s="65"/>
      <c r="Y443" s="65"/>
      <c r="Z443" s="65"/>
      <c r="AA443" s="65"/>
      <c r="AB443" s="65"/>
      <c r="AC443" s="65"/>
      <c r="AD443" s="65"/>
      <c r="AE443" s="65"/>
      <c r="AF443" s="65"/>
      <c r="AG443" s="65"/>
      <c r="AH443" s="65"/>
    </row>
    <row r="444">
      <c r="A444" s="61"/>
      <c r="B444" s="61"/>
      <c r="C444" s="61"/>
      <c r="D444" s="62"/>
      <c r="E444" s="61"/>
      <c r="F444" s="61"/>
      <c r="G444" s="61"/>
      <c r="H444" s="61"/>
      <c r="I444" s="61"/>
      <c r="J444" s="61"/>
      <c r="K444" s="61"/>
      <c r="L444" s="61"/>
      <c r="M444" s="61"/>
      <c r="N444" s="61"/>
      <c r="O444" s="63"/>
      <c r="P444" s="61"/>
      <c r="Q444" s="61"/>
      <c r="R444" s="61"/>
      <c r="S444" s="61"/>
      <c r="T444" s="61"/>
      <c r="U444" s="61"/>
      <c r="V444" s="64"/>
      <c r="W444" s="61"/>
      <c r="X444" s="61"/>
      <c r="Y444" s="61"/>
      <c r="Z444" s="61"/>
      <c r="AA444" s="61"/>
      <c r="AB444" s="61"/>
      <c r="AC444" s="61"/>
      <c r="AD444" s="61"/>
      <c r="AE444" s="61"/>
      <c r="AF444" s="61"/>
      <c r="AG444" s="61"/>
      <c r="AH444" s="61"/>
    </row>
    <row r="445">
      <c r="A445" s="65"/>
      <c r="B445" s="65"/>
      <c r="C445" s="65"/>
      <c r="D445" s="66"/>
      <c r="E445" s="65"/>
      <c r="F445" s="65"/>
      <c r="G445" s="65"/>
      <c r="H445" s="65"/>
      <c r="I445" s="65"/>
      <c r="J445" s="65"/>
      <c r="K445" s="65"/>
      <c r="L445" s="65"/>
      <c r="M445" s="65"/>
      <c r="N445" s="65"/>
      <c r="O445" s="67"/>
      <c r="P445" s="65"/>
      <c r="Q445" s="65"/>
      <c r="R445" s="65"/>
      <c r="S445" s="65"/>
      <c r="T445" s="65"/>
      <c r="U445" s="65"/>
      <c r="V445" s="68"/>
      <c r="W445" s="65"/>
      <c r="X445" s="65"/>
      <c r="Y445" s="65"/>
      <c r="Z445" s="65"/>
      <c r="AA445" s="65"/>
      <c r="AB445" s="65"/>
      <c r="AC445" s="65"/>
      <c r="AD445" s="65"/>
      <c r="AE445" s="65"/>
      <c r="AF445" s="65"/>
      <c r="AG445" s="65"/>
      <c r="AH445" s="65"/>
    </row>
    <row r="446">
      <c r="A446" s="61"/>
      <c r="B446" s="61"/>
      <c r="C446" s="61"/>
      <c r="D446" s="62"/>
      <c r="E446" s="61"/>
      <c r="F446" s="61"/>
      <c r="G446" s="61"/>
      <c r="H446" s="61"/>
      <c r="I446" s="61"/>
      <c r="J446" s="61"/>
      <c r="K446" s="61"/>
      <c r="L446" s="61"/>
      <c r="M446" s="61"/>
      <c r="N446" s="61"/>
      <c r="O446" s="63"/>
      <c r="P446" s="61"/>
      <c r="Q446" s="61"/>
      <c r="R446" s="61"/>
      <c r="S446" s="61"/>
      <c r="T446" s="61"/>
      <c r="U446" s="61"/>
      <c r="V446" s="64"/>
      <c r="W446" s="61"/>
      <c r="X446" s="61"/>
      <c r="Y446" s="61"/>
      <c r="Z446" s="61"/>
      <c r="AA446" s="61"/>
      <c r="AB446" s="61"/>
      <c r="AC446" s="61"/>
      <c r="AD446" s="61"/>
      <c r="AE446" s="61"/>
      <c r="AF446" s="61"/>
      <c r="AG446" s="61"/>
      <c r="AH446" s="61"/>
    </row>
    <row r="447">
      <c r="A447" s="65"/>
      <c r="B447" s="65"/>
      <c r="C447" s="65"/>
      <c r="D447" s="66"/>
      <c r="E447" s="65"/>
      <c r="F447" s="65"/>
      <c r="G447" s="65"/>
      <c r="H447" s="65"/>
      <c r="I447" s="65"/>
      <c r="J447" s="65"/>
      <c r="K447" s="65"/>
      <c r="L447" s="65"/>
      <c r="M447" s="65"/>
      <c r="N447" s="65"/>
      <c r="O447" s="67"/>
      <c r="P447" s="65"/>
      <c r="Q447" s="65"/>
      <c r="R447" s="65"/>
      <c r="S447" s="65"/>
      <c r="T447" s="65"/>
      <c r="U447" s="65"/>
      <c r="V447" s="68"/>
      <c r="W447" s="65"/>
      <c r="X447" s="65"/>
      <c r="Y447" s="65"/>
      <c r="Z447" s="65"/>
      <c r="AA447" s="65"/>
      <c r="AB447" s="65"/>
      <c r="AC447" s="65"/>
      <c r="AD447" s="65"/>
      <c r="AE447" s="65"/>
      <c r="AF447" s="65"/>
      <c r="AG447" s="65"/>
      <c r="AH447" s="65"/>
    </row>
    <row r="448">
      <c r="A448" s="61"/>
      <c r="B448" s="61"/>
      <c r="C448" s="61"/>
      <c r="D448" s="62"/>
      <c r="E448" s="61"/>
      <c r="F448" s="61"/>
      <c r="G448" s="61"/>
      <c r="H448" s="61"/>
      <c r="I448" s="61"/>
      <c r="J448" s="61"/>
      <c r="K448" s="61"/>
      <c r="L448" s="61"/>
      <c r="M448" s="61"/>
      <c r="N448" s="61"/>
      <c r="O448" s="63"/>
      <c r="P448" s="61"/>
      <c r="Q448" s="61"/>
      <c r="R448" s="61"/>
      <c r="S448" s="61"/>
      <c r="T448" s="61"/>
      <c r="U448" s="61"/>
      <c r="V448" s="64"/>
      <c r="W448" s="61"/>
      <c r="X448" s="61"/>
      <c r="Y448" s="61"/>
      <c r="Z448" s="61"/>
      <c r="AA448" s="61"/>
      <c r="AB448" s="61"/>
      <c r="AC448" s="61"/>
      <c r="AD448" s="61"/>
      <c r="AE448" s="61"/>
      <c r="AF448" s="61"/>
      <c r="AG448" s="61"/>
      <c r="AH448" s="61"/>
    </row>
    <row r="449">
      <c r="A449" s="65"/>
      <c r="B449" s="65"/>
      <c r="C449" s="65"/>
      <c r="D449" s="66"/>
      <c r="E449" s="65"/>
      <c r="F449" s="65"/>
      <c r="G449" s="65"/>
      <c r="H449" s="65"/>
      <c r="I449" s="65"/>
      <c r="J449" s="65"/>
      <c r="K449" s="65"/>
      <c r="L449" s="65"/>
      <c r="M449" s="65"/>
      <c r="N449" s="65"/>
      <c r="O449" s="67"/>
      <c r="P449" s="65"/>
      <c r="Q449" s="65"/>
      <c r="R449" s="65"/>
      <c r="S449" s="65"/>
      <c r="T449" s="65"/>
      <c r="U449" s="65"/>
      <c r="V449" s="68"/>
      <c r="W449" s="65"/>
      <c r="X449" s="65"/>
      <c r="Y449" s="65"/>
      <c r="Z449" s="65"/>
      <c r="AA449" s="65"/>
      <c r="AB449" s="65"/>
      <c r="AC449" s="65"/>
      <c r="AD449" s="65"/>
      <c r="AE449" s="65"/>
      <c r="AF449" s="65"/>
      <c r="AG449" s="65"/>
      <c r="AH449" s="65"/>
    </row>
    <row r="450">
      <c r="A450" s="61"/>
      <c r="B450" s="61"/>
      <c r="C450" s="61"/>
      <c r="D450" s="62"/>
      <c r="E450" s="61"/>
      <c r="F450" s="61"/>
      <c r="G450" s="61"/>
      <c r="H450" s="61"/>
      <c r="I450" s="61"/>
      <c r="J450" s="61"/>
      <c r="K450" s="61"/>
      <c r="L450" s="61"/>
      <c r="M450" s="61"/>
      <c r="N450" s="61"/>
      <c r="O450" s="63"/>
      <c r="P450" s="61"/>
      <c r="Q450" s="61"/>
      <c r="R450" s="61"/>
      <c r="S450" s="61"/>
      <c r="T450" s="61"/>
      <c r="U450" s="61"/>
      <c r="V450" s="64"/>
      <c r="W450" s="61"/>
      <c r="X450" s="61"/>
      <c r="Y450" s="61"/>
      <c r="Z450" s="61"/>
      <c r="AA450" s="61"/>
      <c r="AB450" s="61"/>
      <c r="AC450" s="61"/>
      <c r="AD450" s="61"/>
      <c r="AE450" s="61"/>
      <c r="AF450" s="61"/>
      <c r="AG450" s="61"/>
      <c r="AH450" s="61"/>
    </row>
    <row r="451">
      <c r="A451" s="65"/>
      <c r="B451" s="65"/>
      <c r="C451" s="65"/>
      <c r="D451" s="66"/>
      <c r="E451" s="65"/>
      <c r="F451" s="65"/>
      <c r="G451" s="65"/>
      <c r="H451" s="65"/>
      <c r="I451" s="65"/>
      <c r="J451" s="65"/>
      <c r="K451" s="65"/>
      <c r="L451" s="65"/>
      <c r="M451" s="65"/>
      <c r="N451" s="65"/>
      <c r="O451" s="67"/>
      <c r="P451" s="65"/>
      <c r="Q451" s="65"/>
      <c r="R451" s="65"/>
      <c r="S451" s="65"/>
      <c r="T451" s="65"/>
      <c r="U451" s="65"/>
      <c r="V451" s="68"/>
      <c r="W451" s="65"/>
      <c r="X451" s="65"/>
      <c r="Y451" s="65"/>
      <c r="Z451" s="65"/>
      <c r="AA451" s="65"/>
      <c r="AB451" s="65"/>
      <c r="AC451" s="65"/>
      <c r="AD451" s="65"/>
      <c r="AE451" s="65"/>
      <c r="AF451" s="65"/>
      <c r="AG451" s="65"/>
      <c r="AH451" s="65"/>
    </row>
    <row r="452">
      <c r="A452" s="61"/>
      <c r="B452" s="61"/>
      <c r="C452" s="61"/>
      <c r="D452" s="62"/>
      <c r="E452" s="61"/>
      <c r="F452" s="61"/>
      <c r="G452" s="61"/>
      <c r="H452" s="61"/>
      <c r="I452" s="61"/>
      <c r="J452" s="61"/>
      <c r="K452" s="61"/>
      <c r="L452" s="61"/>
      <c r="M452" s="61"/>
      <c r="N452" s="61"/>
      <c r="O452" s="63"/>
      <c r="P452" s="61"/>
      <c r="Q452" s="61"/>
      <c r="R452" s="61"/>
      <c r="S452" s="61"/>
      <c r="T452" s="61"/>
      <c r="U452" s="61"/>
      <c r="V452" s="64"/>
      <c r="W452" s="61"/>
      <c r="X452" s="61"/>
      <c r="Y452" s="61"/>
      <c r="Z452" s="61"/>
      <c r="AA452" s="61"/>
      <c r="AB452" s="61"/>
      <c r="AC452" s="61"/>
      <c r="AD452" s="61"/>
      <c r="AE452" s="61"/>
      <c r="AF452" s="61"/>
      <c r="AG452" s="61"/>
      <c r="AH452" s="61"/>
    </row>
    <row r="453">
      <c r="A453" s="65"/>
      <c r="B453" s="65"/>
      <c r="C453" s="65"/>
      <c r="D453" s="66"/>
      <c r="E453" s="65"/>
      <c r="F453" s="65"/>
      <c r="G453" s="65"/>
      <c r="H453" s="65"/>
      <c r="I453" s="65"/>
      <c r="J453" s="65"/>
      <c r="K453" s="65"/>
      <c r="L453" s="65"/>
      <c r="M453" s="65"/>
      <c r="N453" s="65"/>
      <c r="O453" s="67"/>
      <c r="P453" s="65"/>
      <c r="Q453" s="65"/>
      <c r="R453" s="65"/>
      <c r="S453" s="65"/>
      <c r="T453" s="65"/>
      <c r="U453" s="65"/>
      <c r="V453" s="68"/>
      <c r="W453" s="65"/>
      <c r="X453" s="65"/>
      <c r="Y453" s="65"/>
      <c r="Z453" s="65"/>
      <c r="AA453" s="65"/>
      <c r="AB453" s="65"/>
      <c r="AC453" s="65"/>
      <c r="AD453" s="65"/>
      <c r="AE453" s="65"/>
      <c r="AF453" s="65"/>
      <c r="AG453" s="65"/>
      <c r="AH453" s="65"/>
    </row>
    <row r="454">
      <c r="A454" s="61"/>
      <c r="B454" s="61"/>
      <c r="C454" s="61"/>
      <c r="D454" s="62"/>
      <c r="E454" s="61"/>
      <c r="F454" s="61"/>
      <c r="G454" s="61"/>
      <c r="H454" s="61"/>
      <c r="I454" s="61"/>
      <c r="J454" s="61"/>
      <c r="K454" s="61"/>
      <c r="L454" s="61"/>
      <c r="M454" s="61"/>
      <c r="N454" s="61"/>
      <c r="O454" s="63"/>
      <c r="P454" s="61"/>
      <c r="Q454" s="61"/>
      <c r="R454" s="61"/>
      <c r="S454" s="61"/>
      <c r="T454" s="61"/>
      <c r="U454" s="61"/>
      <c r="V454" s="64"/>
      <c r="W454" s="61"/>
      <c r="X454" s="61"/>
      <c r="Y454" s="61"/>
      <c r="Z454" s="61"/>
      <c r="AA454" s="61"/>
      <c r="AB454" s="61"/>
      <c r="AC454" s="61"/>
      <c r="AD454" s="61"/>
      <c r="AE454" s="61"/>
      <c r="AF454" s="61"/>
      <c r="AG454" s="61"/>
      <c r="AH454" s="61"/>
    </row>
    <row r="455">
      <c r="A455" s="65"/>
      <c r="B455" s="65"/>
      <c r="C455" s="65"/>
      <c r="D455" s="66"/>
      <c r="E455" s="65"/>
      <c r="F455" s="65"/>
      <c r="G455" s="65"/>
      <c r="H455" s="65"/>
      <c r="I455" s="65"/>
      <c r="J455" s="65"/>
      <c r="K455" s="65"/>
      <c r="L455" s="65"/>
      <c r="M455" s="65"/>
      <c r="N455" s="65"/>
      <c r="O455" s="67"/>
      <c r="P455" s="65"/>
      <c r="Q455" s="65"/>
      <c r="R455" s="65"/>
      <c r="S455" s="65"/>
      <c r="T455" s="65"/>
      <c r="U455" s="65"/>
      <c r="V455" s="68"/>
      <c r="W455" s="65"/>
      <c r="X455" s="65"/>
      <c r="Y455" s="65"/>
      <c r="Z455" s="65"/>
      <c r="AA455" s="65"/>
      <c r="AB455" s="65"/>
      <c r="AC455" s="65"/>
      <c r="AD455" s="65"/>
      <c r="AE455" s="65"/>
      <c r="AF455" s="65"/>
      <c r="AG455" s="65"/>
      <c r="AH455" s="65"/>
    </row>
    <row r="456">
      <c r="A456" s="61"/>
      <c r="B456" s="61"/>
      <c r="C456" s="61"/>
      <c r="D456" s="62"/>
      <c r="E456" s="61"/>
      <c r="F456" s="61"/>
      <c r="G456" s="61"/>
      <c r="H456" s="61"/>
      <c r="I456" s="61"/>
      <c r="J456" s="61"/>
      <c r="K456" s="61"/>
      <c r="L456" s="61"/>
      <c r="M456" s="61"/>
      <c r="N456" s="61"/>
      <c r="O456" s="63"/>
      <c r="P456" s="61"/>
      <c r="Q456" s="61"/>
      <c r="R456" s="61"/>
      <c r="S456" s="61"/>
      <c r="T456" s="61"/>
      <c r="U456" s="61"/>
      <c r="V456" s="64"/>
      <c r="W456" s="61"/>
      <c r="X456" s="61"/>
      <c r="Y456" s="61"/>
      <c r="Z456" s="61"/>
      <c r="AA456" s="61"/>
      <c r="AB456" s="61"/>
      <c r="AC456" s="61"/>
      <c r="AD456" s="61"/>
      <c r="AE456" s="61"/>
      <c r="AF456" s="61"/>
      <c r="AG456" s="61"/>
      <c r="AH456" s="61"/>
    </row>
    <row r="457">
      <c r="A457" s="65"/>
      <c r="B457" s="65"/>
      <c r="C457" s="65"/>
      <c r="D457" s="66"/>
      <c r="E457" s="65"/>
      <c r="F457" s="65"/>
      <c r="G457" s="65"/>
      <c r="H457" s="65"/>
      <c r="I457" s="65"/>
      <c r="J457" s="65"/>
      <c r="K457" s="65"/>
      <c r="L457" s="65"/>
      <c r="M457" s="65"/>
      <c r="N457" s="65"/>
      <c r="O457" s="67"/>
      <c r="P457" s="65"/>
      <c r="Q457" s="65"/>
      <c r="R457" s="65"/>
      <c r="S457" s="65"/>
      <c r="T457" s="65"/>
      <c r="U457" s="65"/>
      <c r="V457" s="68"/>
      <c r="W457" s="65"/>
      <c r="X457" s="65"/>
      <c r="Y457" s="65"/>
      <c r="Z457" s="65"/>
      <c r="AA457" s="65"/>
      <c r="AB457" s="65"/>
      <c r="AC457" s="65"/>
      <c r="AD457" s="65"/>
      <c r="AE457" s="65"/>
      <c r="AF457" s="65"/>
      <c r="AG457" s="65"/>
      <c r="AH457" s="65"/>
    </row>
    <row r="458">
      <c r="A458" s="61"/>
      <c r="B458" s="61"/>
      <c r="C458" s="61"/>
      <c r="D458" s="62"/>
      <c r="E458" s="61"/>
      <c r="F458" s="61"/>
      <c r="G458" s="61"/>
      <c r="H458" s="61"/>
      <c r="I458" s="61"/>
      <c r="J458" s="61"/>
      <c r="K458" s="61"/>
      <c r="L458" s="61"/>
      <c r="M458" s="61"/>
      <c r="N458" s="61"/>
      <c r="O458" s="63"/>
      <c r="P458" s="61"/>
      <c r="Q458" s="61"/>
      <c r="R458" s="61"/>
      <c r="S458" s="61"/>
      <c r="T458" s="61"/>
      <c r="U458" s="61"/>
      <c r="V458" s="64"/>
      <c r="W458" s="61"/>
      <c r="X458" s="61"/>
      <c r="Y458" s="61"/>
      <c r="Z458" s="61"/>
      <c r="AA458" s="61"/>
      <c r="AB458" s="61"/>
      <c r="AC458" s="61"/>
      <c r="AD458" s="61"/>
      <c r="AE458" s="61"/>
      <c r="AF458" s="61"/>
      <c r="AG458" s="61"/>
      <c r="AH458" s="61"/>
    </row>
    <row r="459">
      <c r="A459" s="65"/>
      <c r="B459" s="65"/>
      <c r="C459" s="65"/>
      <c r="D459" s="66"/>
      <c r="E459" s="65"/>
      <c r="F459" s="65"/>
      <c r="G459" s="65"/>
      <c r="H459" s="65"/>
      <c r="I459" s="65"/>
      <c r="J459" s="65"/>
      <c r="K459" s="65"/>
      <c r="L459" s="65"/>
      <c r="M459" s="65"/>
      <c r="N459" s="65"/>
      <c r="O459" s="67"/>
      <c r="P459" s="65"/>
      <c r="Q459" s="65"/>
      <c r="R459" s="65"/>
      <c r="S459" s="65"/>
      <c r="T459" s="65"/>
      <c r="U459" s="65"/>
      <c r="V459" s="68"/>
      <c r="W459" s="65"/>
      <c r="X459" s="65"/>
      <c r="Y459" s="65"/>
      <c r="Z459" s="65"/>
      <c r="AA459" s="65"/>
      <c r="AB459" s="65"/>
      <c r="AC459" s="65"/>
      <c r="AD459" s="65"/>
      <c r="AE459" s="65"/>
      <c r="AF459" s="65"/>
      <c r="AG459" s="65"/>
      <c r="AH459" s="65"/>
    </row>
    <row r="460">
      <c r="A460" s="61"/>
      <c r="B460" s="61"/>
      <c r="C460" s="61"/>
      <c r="D460" s="62"/>
      <c r="E460" s="61"/>
      <c r="F460" s="61"/>
      <c r="G460" s="61"/>
      <c r="H460" s="61"/>
      <c r="I460" s="61"/>
      <c r="J460" s="61"/>
      <c r="K460" s="61"/>
      <c r="L460" s="61"/>
      <c r="M460" s="61"/>
      <c r="N460" s="61"/>
      <c r="O460" s="63"/>
      <c r="P460" s="61"/>
      <c r="Q460" s="61"/>
      <c r="R460" s="61"/>
      <c r="S460" s="61"/>
      <c r="T460" s="61"/>
      <c r="U460" s="61"/>
      <c r="V460" s="64"/>
      <c r="W460" s="61"/>
      <c r="X460" s="61"/>
      <c r="Y460" s="61"/>
      <c r="Z460" s="61"/>
      <c r="AA460" s="61"/>
      <c r="AB460" s="61"/>
      <c r="AC460" s="61"/>
      <c r="AD460" s="61"/>
      <c r="AE460" s="61"/>
      <c r="AF460" s="61"/>
      <c r="AG460" s="61"/>
      <c r="AH460" s="61"/>
    </row>
    <row r="461">
      <c r="A461" s="65"/>
      <c r="B461" s="65"/>
      <c r="C461" s="65"/>
      <c r="D461" s="66"/>
      <c r="E461" s="65"/>
      <c r="F461" s="65"/>
      <c r="G461" s="65"/>
      <c r="H461" s="65"/>
      <c r="I461" s="65"/>
      <c r="J461" s="65"/>
      <c r="K461" s="65"/>
      <c r="L461" s="65"/>
      <c r="M461" s="65"/>
      <c r="N461" s="65"/>
      <c r="O461" s="67"/>
      <c r="P461" s="65"/>
      <c r="Q461" s="65"/>
      <c r="R461" s="65"/>
      <c r="S461" s="65"/>
      <c r="T461" s="65"/>
      <c r="U461" s="65"/>
      <c r="V461" s="68"/>
      <c r="W461" s="65"/>
      <c r="X461" s="65"/>
      <c r="Y461" s="65"/>
      <c r="Z461" s="65"/>
      <c r="AA461" s="65"/>
      <c r="AB461" s="65"/>
      <c r="AC461" s="65"/>
      <c r="AD461" s="65"/>
      <c r="AE461" s="65"/>
      <c r="AF461" s="65"/>
      <c r="AG461" s="65"/>
      <c r="AH461" s="65"/>
    </row>
    <row r="462">
      <c r="A462" s="61"/>
      <c r="B462" s="61"/>
      <c r="C462" s="61"/>
      <c r="D462" s="62"/>
      <c r="E462" s="61"/>
      <c r="F462" s="61"/>
      <c r="G462" s="61"/>
      <c r="H462" s="61"/>
      <c r="I462" s="61"/>
      <c r="J462" s="61"/>
      <c r="K462" s="61"/>
      <c r="L462" s="61"/>
      <c r="M462" s="61"/>
      <c r="N462" s="61"/>
      <c r="O462" s="63"/>
      <c r="P462" s="61"/>
      <c r="Q462" s="61"/>
      <c r="R462" s="61"/>
      <c r="S462" s="61"/>
      <c r="T462" s="61"/>
      <c r="U462" s="61"/>
      <c r="V462" s="64"/>
      <c r="W462" s="61"/>
      <c r="X462" s="61"/>
      <c r="Y462" s="61"/>
      <c r="Z462" s="61"/>
      <c r="AA462" s="61"/>
      <c r="AB462" s="61"/>
      <c r="AC462" s="61"/>
      <c r="AD462" s="61"/>
      <c r="AE462" s="61"/>
      <c r="AF462" s="61"/>
      <c r="AG462" s="61"/>
      <c r="AH462" s="61"/>
    </row>
    <row r="463">
      <c r="A463" s="65"/>
      <c r="B463" s="65"/>
      <c r="C463" s="65"/>
      <c r="D463" s="66"/>
      <c r="E463" s="65"/>
      <c r="F463" s="65"/>
      <c r="G463" s="65"/>
      <c r="H463" s="65"/>
      <c r="I463" s="65"/>
      <c r="J463" s="65"/>
      <c r="K463" s="65"/>
      <c r="L463" s="65"/>
      <c r="M463" s="65"/>
      <c r="N463" s="65"/>
      <c r="O463" s="67"/>
      <c r="P463" s="65"/>
      <c r="Q463" s="65"/>
      <c r="R463" s="65"/>
      <c r="S463" s="65"/>
      <c r="T463" s="65"/>
      <c r="U463" s="65"/>
      <c r="V463" s="68"/>
      <c r="W463" s="65"/>
      <c r="X463" s="65"/>
      <c r="Y463" s="65"/>
      <c r="Z463" s="65"/>
      <c r="AA463" s="65"/>
      <c r="AB463" s="65"/>
      <c r="AC463" s="65"/>
      <c r="AD463" s="65"/>
      <c r="AE463" s="65"/>
      <c r="AF463" s="65"/>
      <c r="AG463" s="65"/>
      <c r="AH463" s="65"/>
    </row>
    <row r="464">
      <c r="A464" s="61"/>
      <c r="B464" s="61"/>
      <c r="C464" s="61"/>
      <c r="D464" s="62"/>
      <c r="E464" s="61"/>
      <c r="F464" s="61"/>
      <c r="G464" s="61"/>
      <c r="H464" s="61"/>
      <c r="I464" s="61"/>
      <c r="J464" s="61"/>
      <c r="K464" s="61"/>
      <c r="L464" s="61"/>
      <c r="M464" s="61"/>
      <c r="N464" s="61"/>
      <c r="O464" s="63"/>
      <c r="P464" s="61"/>
      <c r="Q464" s="61"/>
      <c r="R464" s="61"/>
      <c r="S464" s="61"/>
      <c r="T464" s="61"/>
      <c r="U464" s="61"/>
      <c r="V464" s="64"/>
      <c r="W464" s="61"/>
      <c r="X464" s="61"/>
      <c r="Y464" s="61"/>
      <c r="Z464" s="61"/>
      <c r="AA464" s="61"/>
      <c r="AB464" s="61"/>
      <c r="AC464" s="61"/>
      <c r="AD464" s="61"/>
      <c r="AE464" s="61"/>
      <c r="AF464" s="61"/>
      <c r="AG464" s="61"/>
      <c r="AH464" s="61"/>
    </row>
    <row r="465">
      <c r="A465" s="65"/>
      <c r="B465" s="65"/>
      <c r="C465" s="65"/>
      <c r="D465" s="66"/>
      <c r="E465" s="65"/>
      <c r="F465" s="65"/>
      <c r="G465" s="65"/>
      <c r="H465" s="65"/>
      <c r="I465" s="65"/>
      <c r="J465" s="65"/>
      <c r="K465" s="65"/>
      <c r="L465" s="65"/>
      <c r="M465" s="65"/>
      <c r="N465" s="65"/>
      <c r="O465" s="67"/>
      <c r="P465" s="65"/>
      <c r="Q465" s="65"/>
      <c r="R465" s="65"/>
      <c r="S465" s="65"/>
      <c r="T465" s="65"/>
      <c r="U465" s="65"/>
      <c r="V465" s="68"/>
      <c r="W465" s="65"/>
      <c r="X465" s="65"/>
      <c r="Y465" s="65"/>
      <c r="Z465" s="65"/>
      <c r="AA465" s="65"/>
      <c r="AB465" s="65"/>
      <c r="AC465" s="65"/>
      <c r="AD465" s="65"/>
      <c r="AE465" s="65"/>
      <c r="AF465" s="65"/>
      <c r="AG465" s="65"/>
      <c r="AH465" s="65"/>
    </row>
    <row r="466">
      <c r="A466" s="61"/>
      <c r="B466" s="61"/>
      <c r="C466" s="61"/>
      <c r="D466" s="62"/>
      <c r="E466" s="61"/>
      <c r="F466" s="61"/>
      <c r="G466" s="61"/>
      <c r="H466" s="61"/>
      <c r="I466" s="61"/>
      <c r="J466" s="61"/>
      <c r="K466" s="61"/>
      <c r="L466" s="61"/>
      <c r="M466" s="61"/>
      <c r="N466" s="61"/>
      <c r="O466" s="63"/>
      <c r="P466" s="61"/>
      <c r="Q466" s="61"/>
      <c r="R466" s="61"/>
      <c r="S466" s="61"/>
      <c r="T466" s="61"/>
      <c r="U466" s="61"/>
      <c r="V466" s="64"/>
      <c r="W466" s="61"/>
      <c r="X466" s="61"/>
      <c r="Y466" s="61"/>
      <c r="Z466" s="61"/>
      <c r="AA466" s="61"/>
      <c r="AB466" s="61"/>
      <c r="AC466" s="61"/>
      <c r="AD466" s="61"/>
      <c r="AE466" s="61"/>
      <c r="AF466" s="61"/>
      <c r="AG466" s="61"/>
      <c r="AH466" s="61"/>
    </row>
    <row r="467">
      <c r="A467" s="65"/>
      <c r="B467" s="65"/>
      <c r="C467" s="65"/>
      <c r="D467" s="66"/>
      <c r="E467" s="65"/>
      <c r="F467" s="65"/>
      <c r="G467" s="65"/>
      <c r="H467" s="65"/>
      <c r="I467" s="65"/>
      <c r="J467" s="65"/>
      <c r="K467" s="65"/>
      <c r="L467" s="65"/>
      <c r="M467" s="65"/>
      <c r="N467" s="65"/>
      <c r="O467" s="67"/>
      <c r="P467" s="65"/>
      <c r="Q467" s="65"/>
      <c r="R467" s="65"/>
      <c r="S467" s="65"/>
      <c r="T467" s="65"/>
      <c r="U467" s="65"/>
      <c r="V467" s="68"/>
      <c r="W467" s="65"/>
      <c r="X467" s="65"/>
      <c r="Y467" s="65"/>
      <c r="Z467" s="65"/>
      <c r="AA467" s="65"/>
      <c r="AB467" s="65"/>
      <c r="AC467" s="65"/>
      <c r="AD467" s="65"/>
      <c r="AE467" s="65"/>
      <c r="AF467" s="65"/>
      <c r="AG467" s="65"/>
      <c r="AH467" s="65"/>
    </row>
    <row r="468">
      <c r="A468" s="61"/>
      <c r="B468" s="61"/>
      <c r="C468" s="61"/>
      <c r="D468" s="62"/>
      <c r="E468" s="61"/>
      <c r="F468" s="61"/>
      <c r="G468" s="61"/>
      <c r="H468" s="61"/>
      <c r="I468" s="61"/>
      <c r="J468" s="61"/>
      <c r="K468" s="61"/>
      <c r="L468" s="61"/>
      <c r="M468" s="61"/>
      <c r="N468" s="61"/>
      <c r="O468" s="63"/>
      <c r="P468" s="61"/>
      <c r="Q468" s="61"/>
      <c r="R468" s="61"/>
      <c r="S468" s="61"/>
      <c r="T468" s="61"/>
      <c r="U468" s="61"/>
      <c r="V468" s="64"/>
      <c r="W468" s="61"/>
      <c r="X468" s="61"/>
      <c r="Y468" s="61"/>
      <c r="Z468" s="61"/>
      <c r="AA468" s="61"/>
      <c r="AB468" s="61"/>
      <c r="AC468" s="61"/>
      <c r="AD468" s="61"/>
      <c r="AE468" s="61"/>
      <c r="AF468" s="61"/>
      <c r="AG468" s="61"/>
      <c r="AH468" s="61"/>
    </row>
    <row r="469">
      <c r="A469" s="65"/>
      <c r="B469" s="65"/>
      <c r="C469" s="65"/>
      <c r="D469" s="66"/>
      <c r="E469" s="65"/>
      <c r="F469" s="65"/>
      <c r="G469" s="65"/>
      <c r="H469" s="65"/>
      <c r="I469" s="65"/>
      <c r="J469" s="65"/>
      <c r="K469" s="65"/>
      <c r="L469" s="65"/>
      <c r="M469" s="65"/>
      <c r="N469" s="65"/>
      <c r="O469" s="67"/>
      <c r="P469" s="65"/>
      <c r="Q469" s="65"/>
      <c r="R469" s="65"/>
      <c r="S469" s="65"/>
      <c r="T469" s="65"/>
      <c r="U469" s="65"/>
      <c r="V469" s="68"/>
      <c r="W469" s="65"/>
      <c r="X469" s="65"/>
      <c r="Y469" s="65"/>
      <c r="Z469" s="65"/>
      <c r="AA469" s="65"/>
      <c r="AB469" s="65"/>
      <c r="AC469" s="65"/>
      <c r="AD469" s="65"/>
      <c r="AE469" s="65"/>
      <c r="AF469" s="65"/>
      <c r="AG469" s="65"/>
      <c r="AH469" s="65"/>
    </row>
    <row r="470">
      <c r="A470" s="61"/>
      <c r="B470" s="61"/>
      <c r="C470" s="61"/>
      <c r="D470" s="62"/>
      <c r="E470" s="61"/>
      <c r="F470" s="61"/>
      <c r="G470" s="61"/>
      <c r="H470" s="61"/>
      <c r="I470" s="61"/>
      <c r="J470" s="61"/>
      <c r="K470" s="61"/>
      <c r="L470" s="61"/>
      <c r="M470" s="61"/>
      <c r="N470" s="61"/>
      <c r="O470" s="63"/>
      <c r="P470" s="61"/>
      <c r="Q470" s="61"/>
      <c r="R470" s="61"/>
      <c r="S470" s="61"/>
      <c r="T470" s="61"/>
      <c r="U470" s="61"/>
      <c r="V470" s="64"/>
      <c r="W470" s="61"/>
      <c r="X470" s="61"/>
      <c r="Y470" s="61"/>
      <c r="Z470" s="61"/>
      <c r="AA470" s="61"/>
      <c r="AB470" s="61"/>
      <c r="AC470" s="61"/>
      <c r="AD470" s="61"/>
      <c r="AE470" s="61"/>
      <c r="AF470" s="61"/>
      <c r="AG470" s="61"/>
      <c r="AH470" s="61"/>
    </row>
    <row r="471">
      <c r="A471" s="65"/>
      <c r="B471" s="65"/>
      <c r="C471" s="65"/>
      <c r="D471" s="66"/>
      <c r="E471" s="65"/>
      <c r="F471" s="65"/>
      <c r="G471" s="65"/>
      <c r="H471" s="65"/>
      <c r="I471" s="65"/>
      <c r="J471" s="65"/>
      <c r="K471" s="65"/>
      <c r="L471" s="65"/>
      <c r="M471" s="65"/>
      <c r="N471" s="65"/>
      <c r="O471" s="67"/>
      <c r="P471" s="65"/>
      <c r="Q471" s="65"/>
      <c r="R471" s="65"/>
      <c r="S471" s="65"/>
      <c r="T471" s="65"/>
      <c r="U471" s="65"/>
      <c r="V471" s="68"/>
      <c r="W471" s="65"/>
      <c r="X471" s="65"/>
      <c r="Y471" s="65"/>
      <c r="Z471" s="65"/>
      <c r="AA471" s="65"/>
      <c r="AB471" s="65"/>
      <c r="AC471" s="65"/>
      <c r="AD471" s="65"/>
      <c r="AE471" s="65"/>
      <c r="AF471" s="65"/>
      <c r="AG471" s="65"/>
      <c r="AH471" s="65"/>
    </row>
    <row r="472">
      <c r="A472" s="61"/>
      <c r="B472" s="61"/>
      <c r="C472" s="61"/>
      <c r="D472" s="62"/>
      <c r="E472" s="61"/>
      <c r="F472" s="61"/>
      <c r="G472" s="61"/>
      <c r="H472" s="61"/>
      <c r="I472" s="61"/>
      <c r="J472" s="61"/>
      <c r="K472" s="61"/>
      <c r="L472" s="61"/>
      <c r="M472" s="61"/>
      <c r="N472" s="61"/>
      <c r="O472" s="63"/>
      <c r="P472" s="61"/>
      <c r="Q472" s="61"/>
      <c r="R472" s="61"/>
      <c r="S472" s="61"/>
      <c r="T472" s="61"/>
      <c r="U472" s="61"/>
      <c r="V472" s="64"/>
      <c r="W472" s="61"/>
      <c r="X472" s="61"/>
      <c r="Y472" s="61"/>
      <c r="Z472" s="61"/>
      <c r="AA472" s="61"/>
      <c r="AB472" s="61"/>
      <c r="AC472" s="61"/>
      <c r="AD472" s="61"/>
      <c r="AE472" s="61"/>
      <c r="AF472" s="61"/>
      <c r="AG472" s="61"/>
      <c r="AH472" s="61"/>
    </row>
    <row r="473">
      <c r="A473" s="65"/>
      <c r="B473" s="65"/>
      <c r="C473" s="65"/>
      <c r="D473" s="66"/>
      <c r="E473" s="65"/>
      <c r="F473" s="65"/>
      <c r="G473" s="65"/>
      <c r="H473" s="65"/>
      <c r="I473" s="65"/>
      <c r="J473" s="65"/>
      <c r="K473" s="65"/>
      <c r="L473" s="65"/>
      <c r="M473" s="65"/>
      <c r="N473" s="65"/>
      <c r="O473" s="67"/>
      <c r="P473" s="65"/>
      <c r="Q473" s="65"/>
      <c r="R473" s="65"/>
      <c r="S473" s="65"/>
      <c r="T473" s="65"/>
      <c r="U473" s="65"/>
      <c r="V473" s="68"/>
      <c r="W473" s="65"/>
      <c r="X473" s="65"/>
      <c r="Y473" s="65"/>
      <c r="Z473" s="65"/>
      <c r="AA473" s="65"/>
      <c r="AB473" s="65"/>
      <c r="AC473" s="65"/>
      <c r="AD473" s="65"/>
      <c r="AE473" s="65"/>
      <c r="AF473" s="65"/>
      <c r="AG473" s="65"/>
      <c r="AH473" s="65"/>
    </row>
    <row r="474">
      <c r="A474" s="61"/>
      <c r="B474" s="61"/>
      <c r="C474" s="61"/>
      <c r="D474" s="62"/>
      <c r="E474" s="61"/>
      <c r="F474" s="61"/>
      <c r="G474" s="61"/>
      <c r="H474" s="61"/>
      <c r="I474" s="61"/>
      <c r="J474" s="61"/>
      <c r="K474" s="61"/>
      <c r="L474" s="61"/>
      <c r="M474" s="61"/>
      <c r="N474" s="61"/>
      <c r="O474" s="63"/>
      <c r="P474" s="61"/>
      <c r="Q474" s="61"/>
      <c r="R474" s="61"/>
      <c r="S474" s="61"/>
      <c r="T474" s="61"/>
      <c r="U474" s="61"/>
      <c r="V474" s="64"/>
      <c r="W474" s="61"/>
      <c r="X474" s="61"/>
      <c r="Y474" s="61"/>
      <c r="Z474" s="61"/>
      <c r="AA474" s="61"/>
      <c r="AB474" s="61"/>
      <c r="AC474" s="61"/>
      <c r="AD474" s="61"/>
      <c r="AE474" s="61"/>
      <c r="AF474" s="61"/>
      <c r="AG474" s="61"/>
      <c r="AH474" s="61"/>
    </row>
    <row r="475">
      <c r="A475" s="65"/>
      <c r="B475" s="65"/>
      <c r="C475" s="65"/>
      <c r="D475" s="66"/>
      <c r="E475" s="65"/>
      <c r="F475" s="65"/>
      <c r="G475" s="65"/>
      <c r="H475" s="65"/>
      <c r="I475" s="65"/>
      <c r="J475" s="65"/>
      <c r="K475" s="65"/>
      <c r="L475" s="65"/>
      <c r="M475" s="65"/>
      <c r="N475" s="65"/>
      <c r="O475" s="67"/>
      <c r="P475" s="65"/>
      <c r="Q475" s="65"/>
      <c r="R475" s="65"/>
      <c r="S475" s="65"/>
      <c r="T475" s="65"/>
      <c r="U475" s="65"/>
      <c r="V475" s="68"/>
      <c r="W475" s="65"/>
      <c r="X475" s="65"/>
      <c r="Y475" s="65"/>
      <c r="Z475" s="65"/>
      <c r="AA475" s="65"/>
      <c r="AB475" s="65"/>
      <c r="AC475" s="65"/>
      <c r="AD475" s="65"/>
      <c r="AE475" s="65"/>
      <c r="AF475" s="65"/>
      <c r="AG475" s="65"/>
      <c r="AH475" s="65"/>
    </row>
    <row r="476">
      <c r="A476" s="61"/>
      <c r="B476" s="61"/>
      <c r="C476" s="61"/>
      <c r="D476" s="62"/>
      <c r="E476" s="61"/>
      <c r="F476" s="61"/>
      <c r="G476" s="61"/>
      <c r="H476" s="61"/>
      <c r="I476" s="61"/>
      <c r="J476" s="61"/>
      <c r="K476" s="61"/>
      <c r="L476" s="61"/>
      <c r="M476" s="61"/>
      <c r="N476" s="61"/>
      <c r="O476" s="63"/>
      <c r="P476" s="61"/>
      <c r="Q476" s="61"/>
      <c r="R476" s="61"/>
      <c r="S476" s="61"/>
      <c r="T476" s="61"/>
      <c r="U476" s="61"/>
      <c r="V476" s="64"/>
      <c r="W476" s="61"/>
      <c r="X476" s="61"/>
      <c r="Y476" s="61"/>
      <c r="Z476" s="61"/>
      <c r="AA476" s="61"/>
      <c r="AB476" s="61"/>
      <c r="AC476" s="61"/>
      <c r="AD476" s="61"/>
      <c r="AE476" s="61"/>
      <c r="AF476" s="61"/>
      <c r="AG476" s="61"/>
      <c r="AH476" s="61"/>
    </row>
    <row r="477">
      <c r="A477" s="65"/>
      <c r="B477" s="65"/>
      <c r="C477" s="65"/>
      <c r="D477" s="66"/>
      <c r="E477" s="65"/>
      <c r="F477" s="65"/>
      <c r="G477" s="65"/>
      <c r="H477" s="65"/>
      <c r="I477" s="65"/>
      <c r="J477" s="65"/>
      <c r="K477" s="65"/>
      <c r="L477" s="65"/>
      <c r="M477" s="65"/>
      <c r="N477" s="65"/>
      <c r="O477" s="67"/>
      <c r="P477" s="65"/>
      <c r="Q477" s="65"/>
      <c r="R477" s="65"/>
      <c r="S477" s="65"/>
      <c r="T477" s="65"/>
      <c r="U477" s="65"/>
      <c r="V477" s="68"/>
      <c r="W477" s="65"/>
      <c r="X477" s="65"/>
      <c r="Y477" s="65"/>
      <c r="Z477" s="65"/>
      <c r="AA477" s="65"/>
      <c r="AB477" s="65"/>
      <c r="AC477" s="65"/>
      <c r="AD477" s="65"/>
      <c r="AE477" s="65"/>
      <c r="AF477" s="65"/>
      <c r="AG477" s="65"/>
      <c r="AH477" s="65"/>
    </row>
    <row r="478">
      <c r="A478" s="61"/>
      <c r="B478" s="61"/>
      <c r="C478" s="61"/>
      <c r="D478" s="62"/>
      <c r="E478" s="61"/>
      <c r="F478" s="61"/>
      <c r="G478" s="61"/>
      <c r="H478" s="61"/>
      <c r="I478" s="61"/>
      <c r="J478" s="61"/>
      <c r="K478" s="61"/>
      <c r="L478" s="61"/>
      <c r="M478" s="61"/>
      <c r="N478" s="61"/>
      <c r="O478" s="63"/>
      <c r="P478" s="61"/>
      <c r="Q478" s="61"/>
      <c r="R478" s="61"/>
      <c r="S478" s="61"/>
      <c r="T478" s="61"/>
      <c r="U478" s="61"/>
      <c r="V478" s="64"/>
      <c r="W478" s="61"/>
      <c r="X478" s="61"/>
      <c r="Y478" s="61"/>
      <c r="Z478" s="61"/>
      <c r="AA478" s="61"/>
      <c r="AB478" s="61"/>
      <c r="AC478" s="61"/>
      <c r="AD478" s="61"/>
      <c r="AE478" s="61"/>
      <c r="AF478" s="61"/>
      <c r="AG478" s="61"/>
      <c r="AH478" s="61"/>
    </row>
    <row r="479">
      <c r="A479" s="65"/>
      <c r="B479" s="65"/>
      <c r="C479" s="65"/>
      <c r="D479" s="66"/>
      <c r="E479" s="65"/>
      <c r="F479" s="65"/>
      <c r="G479" s="65"/>
      <c r="H479" s="65"/>
      <c r="I479" s="65"/>
      <c r="J479" s="65"/>
      <c r="K479" s="65"/>
      <c r="L479" s="65"/>
      <c r="M479" s="65"/>
      <c r="N479" s="65"/>
      <c r="O479" s="67"/>
      <c r="P479" s="65"/>
      <c r="Q479" s="65"/>
      <c r="R479" s="65"/>
      <c r="S479" s="65"/>
      <c r="T479" s="65"/>
      <c r="U479" s="65"/>
      <c r="V479" s="68"/>
      <c r="W479" s="65"/>
      <c r="X479" s="65"/>
      <c r="Y479" s="65"/>
      <c r="Z479" s="65"/>
      <c r="AA479" s="65"/>
      <c r="AB479" s="65"/>
      <c r="AC479" s="65"/>
      <c r="AD479" s="65"/>
      <c r="AE479" s="65"/>
      <c r="AF479" s="65"/>
      <c r="AG479" s="65"/>
      <c r="AH479" s="65"/>
    </row>
    <row r="480">
      <c r="A480" s="61"/>
      <c r="B480" s="61"/>
      <c r="C480" s="61"/>
      <c r="D480" s="62"/>
      <c r="E480" s="61"/>
      <c r="F480" s="61"/>
      <c r="G480" s="61"/>
      <c r="H480" s="61"/>
      <c r="I480" s="61"/>
      <c r="J480" s="61"/>
      <c r="K480" s="61"/>
      <c r="L480" s="61"/>
      <c r="M480" s="61"/>
      <c r="N480" s="61"/>
      <c r="O480" s="63"/>
      <c r="P480" s="61"/>
      <c r="Q480" s="61"/>
      <c r="R480" s="61"/>
      <c r="S480" s="61"/>
      <c r="T480" s="61"/>
      <c r="U480" s="61"/>
      <c r="V480" s="64"/>
      <c r="W480" s="61"/>
      <c r="X480" s="61"/>
      <c r="Y480" s="61"/>
      <c r="Z480" s="61"/>
      <c r="AA480" s="61"/>
      <c r="AB480" s="61"/>
      <c r="AC480" s="61"/>
      <c r="AD480" s="61"/>
      <c r="AE480" s="61"/>
      <c r="AF480" s="61"/>
      <c r="AG480" s="61"/>
      <c r="AH480" s="61"/>
    </row>
    <row r="481">
      <c r="A481" s="65"/>
      <c r="B481" s="65"/>
      <c r="C481" s="65"/>
      <c r="D481" s="66"/>
      <c r="E481" s="65"/>
      <c r="F481" s="65"/>
      <c r="G481" s="65"/>
      <c r="H481" s="65"/>
      <c r="I481" s="65"/>
      <c r="J481" s="65"/>
      <c r="K481" s="65"/>
      <c r="L481" s="65"/>
      <c r="M481" s="65"/>
      <c r="N481" s="65"/>
      <c r="O481" s="67"/>
      <c r="P481" s="65"/>
      <c r="Q481" s="65"/>
      <c r="R481" s="65"/>
      <c r="S481" s="65"/>
      <c r="T481" s="65"/>
      <c r="U481" s="65"/>
      <c r="V481" s="68"/>
      <c r="W481" s="65"/>
      <c r="X481" s="65"/>
      <c r="Y481" s="65"/>
      <c r="Z481" s="65"/>
      <c r="AA481" s="65"/>
      <c r="AB481" s="65"/>
      <c r="AC481" s="65"/>
      <c r="AD481" s="65"/>
      <c r="AE481" s="65"/>
      <c r="AF481" s="65"/>
      <c r="AG481" s="65"/>
      <c r="AH481" s="65"/>
    </row>
    <row r="482">
      <c r="A482" s="61"/>
      <c r="B482" s="61"/>
      <c r="C482" s="61"/>
      <c r="D482" s="62"/>
      <c r="E482" s="61"/>
      <c r="F482" s="61"/>
      <c r="G482" s="61"/>
      <c r="H482" s="61"/>
      <c r="I482" s="61"/>
      <c r="J482" s="61"/>
      <c r="K482" s="61"/>
      <c r="L482" s="61"/>
      <c r="M482" s="61"/>
      <c r="N482" s="61"/>
      <c r="O482" s="63"/>
      <c r="P482" s="61"/>
      <c r="Q482" s="61"/>
      <c r="R482" s="61"/>
      <c r="S482" s="61"/>
      <c r="T482" s="61"/>
      <c r="U482" s="61"/>
      <c r="V482" s="64"/>
      <c r="W482" s="61"/>
      <c r="X482" s="61"/>
      <c r="Y482" s="61"/>
      <c r="Z482" s="61"/>
      <c r="AA482" s="61"/>
      <c r="AB482" s="61"/>
      <c r="AC482" s="61"/>
      <c r="AD482" s="61"/>
      <c r="AE482" s="61"/>
      <c r="AF482" s="61"/>
      <c r="AG482" s="61"/>
      <c r="AH482" s="61"/>
    </row>
    <row r="483">
      <c r="A483" s="65"/>
      <c r="B483" s="65"/>
      <c r="C483" s="65"/>
      <c r="D483" s="66"/>
      <c r="E483" s="65"/>
      <c r="F483" s="65"/>
      <c r="G483" s="65"/>
      <c r="H483" s="65"/>
      <c r="I483" s="65"/>
      <c r="J483" s="65"/>
      <c r="K483" s="65"/>
      <c r="L483" s="65"/>
      <c r="M483" s="65"/>
      <c r="N483" s="65"/>
      <c r="O483" s="67"/>
      <c r="P483" s="65"/>
      <c r="Q483" s="65"/>
      <c r="R483" s="65"/>
      <c r="S483" s="65"/>
      <c r="T483" s="65"/>
      <c r="U483" s="65"/>
      <c r="V483" s="68"/>
      <c r="W483" s="65"/>
      <c r="X483" s="65"/>
      <c r="Y483" s="65"/>
      <c r="Z483" s="65"/>
      <c r="AA483" s="65"/>
      <c r="AB483" s="65"/>
      <c r="AC483" s="65"/>
      <c r="AD483" s="65"/>
      <c r="AE483" s="65"/>
      <c r="AF483" s="65"/>
      <c r="AG483" s="65"/>
      <c r="AH483" s="65"/>
    </row>
    <row r="484">
      <c r="A484" s="61"/>
      <c r="B484" s="61"/>
      <c r="C484" s="61"/>
      <c r="D484" s="62"/>
      <c r="E484" s="61"/>
      <c r="F484" s="61"/>
      <c r="G484" s="61"/>
      <c r="H484" s="61"/>
      <c r="I484" s="61"/>
      <c r="J484" s="61"/>
      <c r="K484" s="61"/>
      <c r="L484" s="61"/>
      <c r="M484" s="61"/>
      <c r="N484" s="61"/>
      <c r="O484" s="63"/>
      <c r="P484" s="61"/>
      <c r="Q484" s="61"/>
      <c r="R484" s="61"/>
      <c r="S484" s="61"/>
      <c r="T484" s="61"/>
      <c r="U484" s="61"/>
      <c r="V484" s="64"/>
      <c r="W484" s="61"/>
      <c r="X484" s="61"/>
      <c r="Y484" s="61"/>
      <c r="Z484" s="61"/>
      <c r="AA484" s="61"/>
      <c r="AB484" s="61"/>
      <c r="AC484" s="61"/>
      <c r="AD484" s="61"/>
      <c r="AE484" s="61"/>
      <c r="AF484" s="61"/>
      <c r="AG484" s="61"/>
      <c r="AH484" s="61"/>
    </row>
    <row r="485">
      <c r="A485" s="65"/>
      <c r="B485" s="65"/>
      <c r="C485" s="65"/>
      <c r="D485" s="66"/>
      <c r="E485" s="65"/>
      <c r="F485" s="65"/>
      <c r="G485" s="65"/>
      <c r="H485" s="65"/>
      <c r="I485" s="65"/>
      <c r="J485" s="65"/>
      <c r="K485" s="65"/>
      <c r="L485" s="65"/>
      <c r="M485" s="65"/>
      <c r="N485" s="65"/>
      <c r="O485" s="67"/>
      <c r="P485" s="65"/>
      <c r="Q485" s="65"/>
      <c r="R485" s="65"/>
      <c r="S485" s="65"/>
      <c r="T485" s="65"/>
      <c r="U485" s="65"/>
      <c r="V485" s="68"/>
      <c r="W485" s="65"/>
      <c r="X485" s="65"/>
      <c r="Y485" s="65"/>
      <c r="Z485" s="65"/>
      <c r="AA485" s="65"/>
      <c r="AB485" s="65"/>
      <c r="AC485" s="65"/>
      <c r="AD485" s="65"/>
      <c r="AE485" s="65"/>
      <c r="AF485" s="65"/>
      <c r="AG485" s="65"/>
      <c r="AH485" s="65"/>
    </row>
    <row r="486">
      <c r="A486" s="61"/>
      <c r="B486" s="61"/>
      <c r="C486" s="61"/>
      <c r="D486" s="62"/>
      <c r="E486" s="61"/>
      <c r="F486" s="61"/>
      <c r="G486" s="61"/>
      <c r="H486" s="61"/>
      <c r="I486" s="61"/>
      <c r="J486" s="61"/>
      <c r="K486" s="61"/>
      <c r="L486" s="61"/>
      <c r="M486" s="61"/>
      <c r="N486" s="61"/>
      <c r="O486" s="63"/>
      <c r="P486" s="61"/>
      <c r="Q486" s="61"/>
      <c r="R486" s="61"/>
      <c r="S486" s="61"/>
      <c r="T486" s="61"/>
      <c r="U486" s="61"/>
      <c r="V486" s="64"/>
      <c r="W486" s="61"/>
      <c r="X486" s="61"/>
      <c r="Y486" s="61"/>
      <c r="Z486" s="61"/>
      <c r="AA486" s="61"/>
      <c r="AB486" s="61"/>
      <c r="AC486" s="61"/>
      <c r="AD486" s="61"/>
      <c r="AE486" s="61"/>
      <c r="AF486" s="61"/>
      <c r="AG486" s="61"/>
      <c r="AH486" s="61"/>
    </row>
    <row r="487">
      <c r="A487" s="65"/>
      <c r="B487" s="65"/>
      <c r="C487" s="65"/>
      <c r="D487" s="66"/>
      <c r="E487" s="65"/>
      <c r="F487" s="65"/>
      <c r="G487" s="65"/>
      <c r="H487" s="65"/>
      <c r="I487" s="65"/>
      <c r="J487" s="65"/>
      <c r="K487" s="65"/>
      <c r="L487" s="65"/>
      <c r="M487" s="65"/>
      <c r="N487" s="65"/>
      <c r="O487" s="67"/>
      <c r="P487" s="65"/>
      <c r="Q487" s="65"/>
      <c r="R487" s="65"/>
      <c r="S487" s="65"/>
      <c r="T487" s="65"/>
      <c r="U487" s="65"/>
      <c r="V487" s="68"/>
      <c r="W487" s="65"/>
      <c r="X487" s="65"/>
      <c r="Y487" s="65"/>
      <c r="Z487" s="65"/>
      <c r="AA487" s="65"/>
      <c r="AB487" s="65"/>
      <c r="AC487" s="65"/>
      <c r="AD487" s="65"/>
      <c r="AE487" s="65"/>
      <c r="AF487" s="65"/>
      <c r="AG487" s="65"/>
      <c r="AH487" s="65"/>
    </row>
    <row r="488">
      <c r="A488" s="61"/>
      <c r="B488" s="61"/>
      <c r="C488" s="61"/>
      <c r="D488" s="62"/>
      <c r="E488" s="61"/>
      <c r="F488" s="61"/>
      <c r="G488" s="61"/>
      <c r="H488" s="61"/>
      <c r="I488" s="61"/>
      <c r="J488" s="61"/>
      <c r="K488" s="61"/>
      <c r="L488" s="61"/>
      <c r="M488" s="61"/>
      <c r="N488" s="61"/>
      <c r="O488" s="63"/>
      <c r="P488" s="61"/>
      <c r="Q488" s="61"/>
      <c r="R488" s="61"/>
      <c r="S488" s="61"/>
      <c r="T488" s="61"/>
      <c r="U488" s="61"/>
      <c r="V488" s="64"/>
      <c r="W488" s="61"/>
      <c r="X488" s="61"/>
      <c r="Y488" s="61"/>
      <c r="Z488" s="61"/>
      <c r="AA488" s="61"/>
      <c r="AB488" s="61"/>
      <c r="AC488" s="61"/>
      <c r="AD488" s="61"/>
      <c r="AE488" s="61"/>
      <c r="AF488" s="61"/>
      <c r="AG488" s="61"/>
      <c r="AH488" s="61"/>
    </row>
    <row r="489">
      <c r="A489" s="65"/>
      <c r="B489" s="65"/>
      <c r="C489" s="65"/>
      <c r="D489" s="66"/>
      <c r="E489" s="65"/>
      <c r="F489" s="65"/>
      <c r="G489" s="65"/>
      <c r="H489" s="65"/>
      <c r="I489" s="65"/>
      <c r="J489" s="65"/>
      <c r="K489" s="65"/>
      <c r="L489" s="65"/>
      <c r="M489" s="65"/>
      <c r="N489" s="65"/>
      <c r="O489" s="67"/>
      <c r="P489" s="65"/>
      <c r="Q489" s="65"/>
      <c r="R489" s="65"/>
      <c r="S489" s="65"/>
      <c r="T489" s="65"/>
      <c r="U489" s="65"/>
      <c r="V489" s="68"/>
      <c r="W489" s="65"/>
      <c r="X489" s="65"/>
      <c r="Y489" s="65"/>
      <c r="Z489" s="65"/>
      <c r="AA489" s="65"/>
      <c r="AB489" s="65"/>
      <c r="AC489" s="65"/>
      <c r="AD489" s="65"/>
      <c r="AE489" s="65"/>
      <c r="AF489" s="65"/>
      <c r="AG489" s="65"/>
      <c r="AH489" s="65"/>
    </row>
    <row r="490">
      <c r="A490" s="61"/>
      <c r="B490" s="61"/>
      <c r="C490" s="61"/>
      <c r="D490" s="62"/>
      <c r="E490" s="61"/>
      <c r="F490" s="61"/>
      <c r="G490" s="61"/>
      <c r="H490" s="61"/>
      <c r="I490" s="61"/>
      <c r="J490" s="61"/>
      <c r="K490" s="61"/>
      <c r="L490" s="61"/>
      <c r="M490" s="61"/>
      <c r="N490" s="61"/>
      <c r="O490" s="63"/>
      <c r="P490" s="61"/>
      <c r="Q490" s="61"/>
      <c r="R490" s="61"/>
      <c r="S490" s="61"/>
      <c r="T490" s="61"/>
      <c r="U490" s="61"/>
      <c r="V490" s="64"/>
      <c r="W490" s="61"/>
      <c r="X490" s="61"/>
      <c r="Y490" s="61"/>
      <c r="Z490" s="61"/>
      <c r="AA490" s="61"/>
      <c r="AB490" s="61"/>
      <c r="AC490" s="61"/>
      <c r="AD490" s="61"/>
      <c r="AE490" s="61"/>
      <c r="AF490" s="61"/>
      <c r="AG490" s="61"/>
      <c r="AH490" s="61"/>
    </row>
    <row r="491">
      <c r="A491" s="65"/>
      <c r="B491" s="65"/>
      <c r="C491" s="65"/>
      <c r="D491" s="66"/>
      <c r="E491" s="65"/>
      <c r="F491" s="65"/>
      <c r="G491" s="65"/>
      <c r="H491" s="65"/>
      <c r="I491" s="65"/>
      <c r="J491" s="65"/>
      <c r="K491" s="65"/>
      <c r="L491" s="65"/>
      <c r="M491" s="65"/>
      <c r="N491" s="65"/>
      <c r="O491" s="67"/>
      <c r="P491" s="65"/>
      <c r="Q491" s="65"/>
      <c r="R491" s="65"/>
      <c r="S491" s="65"/>
      <c r="T491" s="65"/>
      <c r="U491" s="65"/>
      <c r="V491" s="68"/>
      <c r="W491" s="65"/>
      <c r="X491" s="65"/>
      <c r="Y491" s="65"/>
      <c r="Z491" s="65"/>
      <c r="AA491" s="65"/>
      <c r="AB491" s="65"/>
      <c r="AC491" s="65"/>
      <c r="AD491" s="65"/>
      <c r="AE491" s="65"/>
      <c r="AF491" s="65"/>
      <c r="AG491" s="65"/>
      <c r="AH491" s="65"/>
    </row>
    <row r="492">
      <c r="A492" s="61"/>
      <c r="B492" s="61"/>
      <c r="C492" s="61"/>
      <c r="D492" s="62"/>
      <c r="E492" s="61"/>
      <c r="F492" s="61"/>
      <c r="G492" s="61"/>
      <c r="H492" s="61"/>
      <c r="I492" s="61"/>
      <c r="J492" s="61"/>
      <c r="K492" s="61"/>
      <c r="L492" s="61"/>
      <c r="M492" s="61"/>
      <c r="N492" s="61"/>
      <c r="O492" s="63"/>
      <c r="P492" s="61"/>
      <c r="Q492" s="61"/>
      <c r="R492" s="61"/>
      <c r="S492" s="61"/>
      <c r="T492" s="61"/>
      <c r="U492" s="61"/>
      <c r="V492" s="64"/>
      <c r="W492" s="61"/>
      <c r="X492" s="61"/>
      <c r="Y492" s="61"/>
      <c r="Z492" s="61"/>
      <c r="AA492" s="61"/>
      <c r="AB492" s="61"/>
      <c r="AC492" s="61"/>
      <c r="AD492" s="61"/>
      <c r="AE492" s="61"/>
      <c r="AF492" s="61"/>
      <c r="AG492" s="61"/>
      <c r="AH492" s="61"/>
    </row>
    <row r="493">
      <c r="A493" s="65"/>
      <c r="B493" s="65"/>
      <c r="C493" s="65"/>
      <c r="D493" s="66"/>
      <c r="E493" s="65"/>
      <c r="F493" s="65"/>
      <c r="G493" s="65"/>
      <c r="H493" s="65"/>
      <c r="I493" s="65"/>
      <c r="J493" s="65"/>
      <c r="K493" s="65"/>
      <c r="L493" s="65"/>
      <c r="M493" s="65"/>
      <c r="N493" s="65"/>
      <c r="O493" s="67"/>
      <c r="P493" s="65"/>
      <c r="Q493" s="65"/>
      <c r="R493" s="65"/>
      <c r="S493" s="65"/>
      <c r="T493" s="65"/>
      <c r="U493" s="65"/>
      <c r="V493" s="68"/>
      <c r="W493" s="65"/>
      <c r="X493" s="65"/>
      <c r="Y493" s="65"/>
      <c r="Z493" s="65"/>
      <c r="AA493" s="65"/>
      <c r="AB493" s="65"/>
      <c r="AC493" s="65"/>
      <c r="AD493" s="65"/>
      <c r="AE493" s="65"/>
      <c r="AF493" s="65"/>
      <c r="AG493" s="65"/>
      <c r="AH493" s="65"/>
    </row>
    <row r="494">
      <c r="A494" s="61"/>
      <c r="B494" s="61"/>
      <c r="C494" s="61"/>
      <c r="D494" s="62"/>
      <c r="E494" s="61"/>
      <c r="F494" s="61"/>
      <c r="G494" s="61"/>
      <c r="H494" s="61"/>
      <c r="I494" s="61"/>
      <c r="J494" s="61"/>
      <c r="K494" s="61"/>
      <c r="L494" s="61"/>
      <c r="M494" s="61"/>
      <c r="N494" s="61"/>
      <c r="O494" s="63"/>
      <c r="P494" s="61"/>
      <c r="Q494" s="61"/>
      <c r="R494" s="61"/>
      <c r="S494" s="61"/>
      <c r="T494" s="61"/>
      <c r="U494" s="61"/>
      <c r="V494" s="64"/>
      <c r="W494" s="61"/>
      <c r="X494" s="61"/>
      <c r="Y494" s="61"/>
      <c r="Z494" s="61"/>
      <c r="AA494" s="61"/>
      <c r="AB494" s="61"/>
      <c r="AC494" s="61"/>
      <c r="AD494" s="61"/>
      <c r="AE494" s="61"/>
      <c r="AF494" s="61"/>
      <c r="AG494" s="61"/>
      <c r="AH494" s="61"/>
    </row>
    <row r="495">
      <c r="A495" s="65"/>
      <c r="B495" s="65"/>
      <c r="C495" s="65"/>
      <c r="D495" s="66"/>
      <c r="E495" s="65"/>
      <c r="F495" s="65"/>
      <c r="G495" s="65"/>
      <c r="H495" s="65"/>
      <c r="I495" s="65"/>
      <c r="J495" s="65"/>
      <c r="K495" s="65"/>
      <c r="L495" s="65"/>
      <c r="M495" s="65"/>
      <c r="N495" s="65"/>
      <c r="O495" s="67"/>
      <c r="P495" s="65"/>
      <c r="Q495" s="65"/>
      <c r="R495" s="65"/>
      <c r="S495" s="65"/>
      <c r="T495" s="65"/>
      <c r="U495" s="65"/>
      <c r="V495" s="68"/>
      <c r="W495" s="65"/>
      <c r="X495" s="65"/>
      <c r="Y495" s="65"/>
      <c r="Z495" s="65"/>
      <c r="AA495" s="65"/>
      <c r="AB495" s="65"/>
      <c r="AC495" s="65"/>
      <c r="AD495" s="65"/>
      <c r="AE495" s="65"/>
      <c r="AF495" s="65"/>
      <c r="AG495" s="65"/>
      <c r="AH495" s="65"/>
    </row>
    <row r="496">
      <c r="A496" s="61"/>
      <c r="B496" s="61"/>
      <c r="C496" s="61"/>
      <c r="D496" s="62"/>
      <c r="E496" s="61"/>
      <c r="F496" s="61"/>
      <c r="G496" s="61"/>
      <c r="H496" s="61"/>
      <c r="I496" s="61"/>
      <c r="J496" s="61"/>
      <c r="K496" s="61"/>
      <c r="L496" s="61"/>
      <c r="M496" s="61"/>
      <c r="N496" s="61"/>
      <c r="O496" s="63"/>
      <c r="P496" s="61"/>
      <c r="Q496" s="61"/>
      <c r="R496" s="61"/>
      <c r="S496" s="61"/>
      <c r="T496" s="61"/>
      <c r="U496" s="61"/>
      <c r="V496" s="64"/>
      <c r="W496" s="61"/>
      <c r="X496" s="61"/>
      <c r="Y496" s="61"/>
      <c r="Z496" s="61"/>
      <c r="AA496" s="61"/>
      <c r="AB496" s="61"/>
      <c r="AC496" s="61"/>
      <c r="AD496" s="61"/>
      <c r="AE496" s="61"/>
      <c r="AF496" s="61"/>
      <c r="AG496" s="61"/>
      <c r="AH496" s="61"/>
    </row>
    <row r="497">
      <c r="A497" s="65"/>
      <c r="B497" s="65"/>
      <c r="C497" s="65"/>
      <c r="D497" s="66"/>
      <c r="E497" s="65"/>
      <c r="F497" s="65"/>
      <c r="G497" s="65"/>
      <c r="H497" s="65"/>
      <c r="I497" s="65"/>
      <c r="J497" s="65"/>
      <c r="K497" s="65"/>
      <c r="L497" s="65"/>
      <c r="M497" s="65"/>
      <c r="N497" s="65"/>
      <c r="O497" s="67"/>
      <c r="P497" s="65"/>
      <c r="Q497" s="65"/>
      <c r="R497" s="65"/>
      <c r="S497" s="65"/>
      <c r="T497" s="65"/>
      <c r="U497" s="65"/>
      <c r="V497" s="68"/>
      <c r="W497" s="65"/>
      <c r="X497" s="65"/>
      <c r="Y497" s="65"/>
      <c r="Z497" s="65"/>
      <c r="AA497" s="65"/>
      <c r="AB497" s="65"/>
      <c r="AC497" s="65"/>
      <c r="AD497" s="65"/>
      <c r="AE497" s="65"/>
      <c r="AF497" s="65"/>
      <c r="AG497" s="65"/>
      <c r="AH497" s="65"/>
    </row>
    <row r="498">
      <c r="A498" s="61"/>
      <c r="B498" s="61"/>
      <c r="C498" s="61"/>
      <c r="D498" s="62"/>
      <c r="E498" s="61"/>
      <c r="F498" s="61"/>
      <c r="G498" s="61"/>
      <c r="H498" s="61"/>
      <c r="I498" s="61"/>
      <c r="J498" s="61"/>
      <c r="K498" s="61"/>
      <c r="L498" s="61"/>
      <c r="M498" s="61"/>
      <c r="N498" s="61"/>
      <c r="O498" s="63"/>
      <c r="P498" s="61"/>
      <c r="Q498" s="61"/>
      <c r="R498" s="61"/>
      <c r="S498" s="61"/>
      <c r="T498" s="61"/>
      <c r="U498" s="61"/>
      <c r="V498" s="64"/>
      <c r="W498" s="61"/>
      <c r="X498" s="61"/>
      <c r="Y498" s="61"/>
      <c r="Z498" s="61"/>
      <c r="AA498" s="61"/>
      <c r="AB498" s="61"/>
      <c r="AC498" s="61"/>
      <c r="AD498" s="61"/>
      <c r="AE498" s="61"/>
      <c r="AF498" s="61"/>
      <c r="AG498" s="61"/>
      <c r="AH498" s="61"/>
    </row>
    <row r="499">
      <c r="A499" s="65"/>
      <c r="B499" s="65"/>
      <c r="C499" s="65"/>
      <c r="D499" s="66"/>
      <c r="E499" s="65"/>
      <c r="F499" s="65"/>
      <c r="G499" s="65"/>
      <c r="H499" s="65"/>
      <c r="I499" s="65"/>
      <c r="J499" s="65"/>
      <c r="K499" s="65"/>
      <c r="L499" s="65"/>
      <c r="M499" s="65"/>
      <c r="N499" s="65"/>
      <c r="O499" s="67"/>
      <c r="P499" s="65"/>
      <c r="Q499" s="65"/>
      <c r="R499" s="65"/>
      <c r="S499" s="65"/>
      <c r="T499" s="65"/>
      <c r="U499" s="65"/>
      <c r="V499" s="68"/>
      <c r="W499" s="65"/>
      <c r="X499" s="65"/>
      <c r="Y499" s="65"/>
      <c r="Z499" s="65"/>
      <c r="AA499" s="65"/>
      <c r="AB499" s="65"/>
      <c r="AC499" s="65"/>
      <c r="AD499" s="65"/>
      <c r="AE499" s="65"/>
      <c r="AF499" s="65"/>
      <c r="AG499" s="65"/>
      <c r="AH499" s="65"/>
    </row>
    <row r="500">
      <c r="A500" s="61"/>
      <c r="B500" s="61"/>
      <c r="C500" s="61"/>
      <c r="D500" s="62"/>
      <c r="E500" s="61"/>
      <c r="F500" s="61"/>
      <c r="G500" s="61"/>
      <c r="H500" s="61"/>
      <c r="I500" s="61"/>
      <c r="J500" s="61"/>
      <c r="K500" s="61"/>
      <c r="L500" s="61"/>
      <c r="M500" s="61"/>
      <c r="N500" s="61"/>
      <c r="O500" s="63"/>
      <c r="P500" s="61"/>
      <c r="Q500" s="61"/>
      <c r="R500" s="61"/>
      <c r="S500" s="61"/>
      <c r="T500" s="61"/>
      <c r="U500" s="61"/>
      <c r="V500" s="64"/>
      <c r="W500" s="61"/>
      <c r="X500" s="61"/>
      <c r="Y500" s="61"/>
      <c r="Z500" s="61"/>
      <c r="AA500" s="61"/>
      <c r="AB500" s="61"/>
      <c r="AC500" s="61"/>
      <c r="AD500" s="61"/>
      <c r="AE500" s="61"/>
      <c r="AF500" s="61"/>
      <c r="AG500" s="61"/>
      <c r="AH500" s="61"/>
    </row>
    <row r="501">
      <c r="A501" s="65"/>
      <c r="B501" s="65"/>
      <c r="C501" s="65"/>
      <c r="D501" s="66"/>
      <c r="E501" s="65"/>
      <c r="F501" s="65"/>
      <c r="G501" s="65"/>
      <c r="H501" s="65"/>
      <c r="I501" s="65"/>
      <c r="J501" s="65"/>
      <c r="K501" s="65"/>
      <c r="L501" s="65"/>
      <c r="M501" s="65"/>
      <c r="N501" s="65"/>
      <c r="O501" s="67"/>
      <c r="P501" s="65"/>
      <c r="Q501" s="65"/>
      <c r="R501" s="65"/>
      <c r="S501" s="65"/>
      <c r="T501" s="65"/>
      <c r="U501" s="65"/>
      <c r="V501" s="68"/>
      <c r="W501" s="65"/>
      <c r="X501" s="65"/>
      <c r="Y501" s="65"/>
      <c r="Z501" s="65"/>
      <c r="AA501" s="65"/>
      <c r="AB501" s="65"/>
      <c r="AC501" s="65"/>
      <c r="AD501" s="65"/>
      <c r="AE501" s="65"/>
      <c r="AF501" s="65"/>
      <c r="AG501" s="65"/>
      <c r="AH501" s="65"/>
    </row>
    <row r="502">
      <c r="A502" s="61"/>
      <c r="B502" s="61"/>
      <c r="C502" s="61"/>
      <c r="D502" s="62"/>
      <c r="E502" s="61"/>
      <c r="F502" s="61"/>
      <c r="G502" s="61"/>
      <c r="H502" s="61"/>
      <c r="I502" s="61"/>
      <c r="J502" s="61"/>
      <c r="K502" s="61"/>
      <c r="L502" s="61"/>
      <c r="M502" s="61"/>
      <c r="N502" s="61"/>
      <c r="O502" s="63"/>
      <c r="P502" s="61"/>
      <c r="Q502" s="61"/>
      <c r="R502" s="61"/>
      <c r="S502" s="61"/>
      <c r="T502" s="61"/>
      <c r="U502" s="61"/>
      <c r="V502" s="64"/>
      <c r="W502" s="61"/>
      <c r="X502" s="61"/>
      <c r="Y502" s="61"/>
      <c r="Z502" s="61"/>
      <c r="AA502" s="61"/>
      <c r="AB502" s="61"/>
      <c r="AC502" s="61"/>
      <c r="AD502" s="61"/>
      <c r="AE502" s="61"/>
      <c r="AF502" s="61"/>
      <c r="AG502" s="61"/>
      <c r="AH502" s="61"/>
    </row>
    <row r="503">
      <c r="A503" s="65"/>
      <c r="B503" s="65"/>
      <c r="C503" s="65"/>
      <c r="D503" s="66"/>
      <c r="E503" s="65"/>
      <c r="F503" s="65"/>
      <c r="G503" s="65"/>
      <c r="H503" s="65"/>
      <c r="I503" s="65"/>
      <c r="J503" s="65"/>
      <c r="K503" s="65"/>
      <c r="L503" s="65"/>
      <c r="M503" s="65"/>
      <c r="N503" s="65"/>
      <c r="O503" s="67"/>
      <c r="P503" s="65"/>
      <c r="Q503" s="65"/>
      <c r="R503" s="65"/>
      <c r="S503" s="65"/>
      <c r="T503" s="65"/>
      <c r="U503" s="65"/>
      <c r="V503" s="68"/>
      <c r="W503" s="65"/>
      <c r="X503" s="65"/>
      <c r="Y503" s="65"/>
      <c r="Z503" s="65"/>
      <c r="AA503" s="65"/>
      <c r="AB503" s="65"/>
      <c r="AC503" s="65"/>
      <c r="AD503" s="65"/>
      <c r="AE503" s="65"/>
      <c r="AF503" s="65"/>
      <c r="AG503" s="65"/>
      <c r="AH503" s="65"/>
    </row>
    <row r="504">
      <c r="A504" s="61"/>
      <c r="B504" s="61"/>
      <c r="C504" s="61"/>
      <c r="D504" s="62"/>
      <c r="E504" s="61"/>
      <c r="F504" s="61"/>
      <c r="G504" s="61"/>
      <c r="H504" s="61"/>
      <c r="I504" s="61"/>
      <c r="J504" s="61"/>
      <c r="K504" s="61"/>
      <c r="L504" s="61"/>
      <c r="M504" s="61"/>
      <c r="N504" s="61"/>
      <c r="O504" s="63"/>
      <c r="P504" s="61"/>
      <c r="Q504" s="61"/>
      <c r="R504" s="61"/>
      <c r="S504" s="61"/>
      <c r="T504" s="61"/>
      <c r="U504" s="61"/>
      <c r="V504" s="64"/>
      <c r="W504" s="61"/>
      <c r="X504" s="61"/>
      <c r="Y504" s="61"/>
      <c r="Z504" s="61"/>
      <c r="AA504" s="61"/>
      <c r="AB504" s="61"/>
      <c r="AC504" s="61"/>
      <c r="AD504" s="61"/>
      <c r="AE504" s="61"/>
      <c r="AF504" s="61"/>
      <c r="AG504" s="61"/>
      <c r="AH504" s="61"/>
    </row>
    <row r="505">
      <c r="A505" s="65"/>
      <c r="B505" s="65"/>
      <c r="C505" s="65"/>
      <c r="D505" s="66"/>
      <c r="E505" s="65"/>
      <c r="F505" s="65"/>
      <c r="G505" s="65"/>
      <c r="H505" s="65"/>
      <c r="I505" s="65"/>
      <c r="J505" s="65"/>
      <c r="K505" s="65"/>
      <c r="L505" s="65"/>
      <c r="M505" s="65"/>
      <c r="N505" s="65"/>
      <c r="O505" s="67"/>
      <c r="P505" s="65"/>
      <c r="Q505" s="65"/>
      <c r="R505" s="65"/>
      <c r="S505" s="65"/>
      <c r="T505" s="65"/>
      <c r="U505" s="65"/>
      <c r="V505" s="68"/>
      <c r="W505" s="65"/>
      <c r="X505" s="65"/>
      <c r="Y505" s="65"/>
      <c r="Z505" s="65"/>
      <c r="AA505" s="65"/>
      <c r="AB505" s="65"/>
      <c r="AC505" s="65"/>
      <c r="AD505" s="65"/>
      <c r="AE505" s="65"/>
      <c r="AF505" s="65"/>
      <c r="AG505" s="65"/>
      <c r="AH505" s="65"/>
    </row>
    <row r="506">
      <c r="A506" s="61"/>
      <c r="B506" s="61"/>
      <c r="C506" s="61"/>
      <c r="D506" s="62"/>
      <c r="E506" s="61"/>
      <c r="F506" s="61"/>
      <c r="G506" s="61"/>
      <c r="H506" s="61"/>
      <c r="I506" s="61"/>
      <c r="J506" s="61"/>
      <c r="K506" s="61"/>
      <c r="L506" s="61"/>
      <c r="M506" s="61"/>
      <c r="N506" s="61"/>
      <c r="O506" s="63"/>
      <c r="P506" s="61"/>
      <c r="Q506" s="61"/>
      <c r="R506" s="61"/>
      <c r="S506" s="61"/>
      <c r="T506" s="61"/>
      <c r="U506" s="61"/>
      <c r="V506" s="64"/>
      <c r="W506" s="61"/>
      <c r="X506" s="61"/>
      <c r="Y506" s="61"/>
      <c r="Z506" s="61"/>
      <c r="AA506" s="61"/>
      <c r="AB506" s="61"/>
      <c r="AC506" s="61"/>
      <c r="AD506" s="61"/>
      <c r="AE506" s="61"/>
      <c r="AF506" s="61"/>
      <c r="AG506" s="61"/>
      <c r="AH506" s="61"/>
    </row>
    <row r="507">
      <c r="A507" s="65"/>
      <c r="B507" s="65"/>
      <c r="C507" s="65"/>
      <c r="D507" s="66"/>
      <c r="E507" s="65"/>
      <c r="F507" s="65"/>
      <c r="G507" s="65"/>
      <c r="H507" s="65"/>
      <c r="I507" s="65"/>
      <c r="J507" s="65"/>
      <c r="K507" s="65"/>
      <c r="L507" s="65"/>
      <c r="M507" s="65"/>
      <c r="N507" s="65"/>
      <c r="O507" s="67"/>
      <c r="P507" s="65"/>
      <c r="Q507" s="65"/>
      <c r="R507" s="65"/>
      <c r="S507" s="65"/>
      <c r="T507" s="65"/>
      <c r="U507" s="65"/>
      <c r="V507" s="68"/>
      <c r="W507" s="65"/>
      <c r="X507" s="65"/>
      <c r="Y507" s="65"/>
      <c r="Z507" s="65"/>
      <c r="AA507" s="65"/>
      <c r="AB507" s="65"/>
      <c r="AC507" s="65"/>
      <c r="AD507" s="65"/>
      <c r="AE507" s="65"/>
      <c r="AF507" s="65"/>
      <c r="AG507" s="65"/>
      <c r="AH507" s="65"/>
    </row>
    <row r="508">
      <c r="A508" s="61"/>
      <c r="B508" s="61"/>
      <c r="C508" s="61"/>
      <c r="D508" s="62"/>
      <c r="E508" s="61"/>
      <c r="F508" s="61"/>
      <c r="G508" s="61"/>
      <c r="H508" s="61"/>
      <c r="I508" s="61"/>
      <c r="J508" s="61"/>
      <c r="K508" s="61"/>
      <c r="L508" s="61"/>
      <c r="M508" s="61"/>
      <c r="N508" s="61"/>
      <c r="O508" s="63"/>
      <c r="P508" s="61"/>
      <c r="Q508" s="61"/>
      <c r="R508" s="61"/>
      <c r="S508" s="61"/>
      <c r="T508" s="61"/>
      <c r="U508" s="61"/>
      <c r="V508" s="64"/>
      <c r="W508" s="61"/>
      <c r="X508" s="61"/>
      <c r="Y508" s="61"/>
      <c r="Z508" s="61"/>
      <c r="AA508" s="61"/>
      <c r="AB508" s="61"/>
      <c r="AC508" s="61"/>
      <c r="AD508" s="61"/>
      <c r="AE508" s="61"/>
      <c r="AF508" s="61"/>
      <c r="AG508" s="61"/>
      <c r="AH508" s="61"/>
    </row>
    <row r="509">
      <c r="A509" s="65"/>
      <c r="B509" s="65"/>
      <c r="C509" s="65"/>
      <c r="D509" s="66"/>
      <c r="E509" s="65"/>
      <c r="F509" s="65"/>
      <c r="G509" s="65"/>
      <c r="H509" s="65"/>
      <c r="I509" s="65"/>
      <c r="J509" s="65"/>
      <c r="K509" s="65"/>
      <c r="L509" s="65"/>
      <c r="M509" s="65"/>
      <c r="N509" s="65"/>
      <c r="O509" s="67"/>
      <c r="P509" s="65"/>
      <c r="Q509" s="65"/>
      <c r="R509" s="65"/>
      <c r="S509" s="65"/>
      <c r="T509" s="65"/>
      <c r="U509" s="65"/>
      <c r="V509" s="68"/>
      <c r="W509" s="65"/>
      <c r="X509" s="65"/>
      <c r="Y509" s="65"/>
      <c r="Z509" s="65"/>
      <c r="AA509" s="65"/>
      <c r="AB509" s="65"/>
      <c r="AC509" s="65"/>
      <c r="AD509" s="65"/>
      <c r="AE509" s="65"/>
      <c r="AF509" s="65"/>
      <c r="AG509" s="65"/>
      <c r="AH509" s="65"/>
    </row>
    <row r="510">
      <c r="A510" s="61"/>
      <c r="B510" s="61"/>
      <c r="C510" s="61"/>
      <c r="D510" s="62"/>
      <c r="E510" s="61"/>
      <c r="F510" s="61"/>
      <c r="G510" s="61"/>
      <c r="H510" s="61"/>
      <c r="I510" s="61"/>
      <c r="J510" s="61"/>
      <c r="K510" s="61"/>
      <c r="L510" s="61"/>
      <c r="M510" s="61"/>
      <c r="N510" s="61"/>
      <c r="O510" s="63"/>
      <c r="P510" s="61"/>
      <c r="Q510" s="61"/>
      <c r="R510" s="61"/>
      <c r="S510" s="61"/>
      <c r="T510" s="61"/>
      <c r="U510" s="61"/>
      <c r="V510" s="64"/>
      <c r="W510" s="61"/>
      <c r="X510" s="61"/>
      <c r="Y510" s="61"/>
      <c r="Z510" s="61"/>
      <c r="AA510" s="61"/>
      <c r="AB510" s="61"/>
      <c r="AC510" s="61"/>
      <c r="AD510" s="61"/>
      <c r="AE510" s="61"/>
      <c r="AF510" s="61"/>
      <c r="AG510" s="61"/>
      <c r="AH510" s="61"/>
    </row>
    <row r="511">
      <c r="A511" s="65"/>
      <c r="B511" s="65"/>
      <c r="C511" s="65"/>
      <c r="D511" s="66"/>
      <c r="E511" s="65"/>
      <c r="F511" s="65"/>
      <c r="G511" s="65"/>
      <c r="H511" s="65"/>
      <c r="I511" s="65"/>
      <c r="J511" s="65"/>
      <c r="K511" s="65"/>
      <c r="L511" s="65"/>
      <c r="M511" s="65"/>
      <c r="N511" s="65"/>
      <c r="O511" s="67"/>
      <c r="P511" s="65"/>
      <c r="Q511" s="65"/>
      <c r="R511" s="65"/>
      <c r="S511" s="65"/>
      <c r="T511" s="65"/>
      <c r="U511" s="65"/>
      <c r="V511" s="68"/>
      <c r="W511" s="65"/>
      <c r="X511" s="65"/>
      <c r="Y511" s="65"/>
      <c r="Z511" s="65"/>
      <c r="AA511" s="65"/>
      <c r="AB511" s="65"/>
      <c r="AC511" s="65"/>
      <c r="AD511" s="65"/>
      <c r="AE511" s="65"/>
      <c r="AF511" s="65"/>
      <c r="AG511" s="65"/>
      <c r="AH511" s="65"/>
    </row>
    <row r="512">
      <c r="A512" s="61"/>
      <c r="B512" s="61"/>
      <c r="C512" s="61"/>
      <c r="D512" s="62"/>
      <c r="E512" s="61"/>
      <c r="F512" s="61"/>
      <c r="G512" s="61"/>
      <c r="H512" s="61"/>
      <c r="I512" s="61"/>
      <c r="J512" s="61"/>
      <c r="K512" s="61"/>
      <c r="L512" s="61"/>
      <c r="M512" s="61"/>
      <c r="N512" s="61"/>
      <c r="O512" s="63"/>
      <c r="P512" s="61"/>
      <c r="Q512" s="61"/>
      <c r="R512" s="61"/>
      <c r="S512" s="61"/>
      <c r="T512" s="61"/>
      <c r="U512" s="61"/>
      <c r="V512" s="64"/>
      <c r="W512" s="61"/>
      <c r="X512" s="61"/>
      <c r="Y512" s="61"/>
      <c r="Z512" s="61"/>
      <c r="AA512" s="61"/>
      <c r="AB512" s="61"/>
      <c r="AC512" s="61"/>
      <c r="AD512" s="61"/>
      <c r="AE512" s="61"/>
      <c r="AF512" s="61"/>
      <c r="AG512" s="61"/>
      <c r="AH512" s="61"/>
    </row>
    <row r="513">
      <c r="A513" s="65"/>
      <c r="B513" s="65"/>
      <c r="C513" s="65"/>
      <c r="D513" s="66"/>
      <c r="E513" s="65"/>
      <c r="F513" s="65"/>
      <c r="G513" s="65"/>
      <c r="H513" s="65"/>
      <c r="I513" s="65"/>
      <c r="J513" s="65"/>
      <c r="K513" s="65"/>
      <c r="L513" s="65"/>
      <c r="M513" s="65"/>
      <c r="N513" s="65"/>
      <c r="O513" s="67"/>
      <c r="P513" s="65"/>
      <c r="Q513" s="65"/>
      <c r="R513" s="65"/>
      <c r="S513" s="65"/>
      <c r="T513" s="65"/>
      <c r="U513" s="65"/>
      <c r="V513" s="68"/>
      <c r="W513" s="65"/>
      <c r="X513" s="65"/>
      <c r="Y513" s="65"/>
      <c r="Z513" s="65"/>
      <c r="AA513" s="65"/>
      <c r="AB513" s="65"/>
      <c r="AC513" s="65"/>
      <c r="AD513" s="65"/>
      <c r="AE513" s="65"/>
      <c r="AF513" s="65"/>
      <c r="AG513" s="65"/>
      <c r="AH513" s="65"/>
    </row>
    <row r="514">
      <c r="A514" s="61"/>
      <c r="B514" s="61"/>
      <c r="C514" s="61"/>
      <c r="D514" s="62"/>
      <c r="E514" s="61"/>
      <c r="F514" s="61"/>
      <c r="G514" s="61"/>
      <c r="H514" s="61"/>
      <c r="I514" s="61"/>
      <c r="J514" s="61"/>
      <c r="K514" s="61"/>
      <c r="L514" s="61"/>
      <c r="M514" s="61"/>
      <c r="N514" s="61"/>
      <c r="O514" s="63"/>
      <c r="P514" s="61"/>
      <c r="Q514" s="61"/>
      <c r="R514" s="61"/>
      <c r="S514" s="61"/>
      <c r="T514" s="61"/>
      <c r="U514" s="61"/>
      <c r="V514" s="64"/>
      <c r="W514" s="61"/>
      <c r="X514" s="61"/>
      <c r="Y514" s="61"/>
      <c r="Z514" s="61"/>
      <c r="AA514" s="61"/>
      <c r="AB514" s="61"/>
      <c r="AC514" s="61"/>
      <c r="AD514" s="61"/>
      <c r="AE514" s="61"/>
      <c r="AF514" s="61"/>
      <c r="AG514" s="61"/>
      <c r="AH514" s="61"/>
    </row>
    <row r="515">
      <c r="A515" s="65"/>
      <c r="B515" s="65"/>
      <c r="C515" s="65"/>
      <c r="D515" s="66"/>
      <c r="E515" s="65"/>
      <c r="F515" s="65"/>
      <c r="G515" s="65"/>
      <c r="H515" s="65"/>
      <c r="I515" s="65"/>
      <c r="J515" s="65"/>
      <c r="K515" s="65"/>
      <c r="L515" s="65"/>
      <c r="M515" s="65"/>
      <c r="N515" s="65"/>
      <c r="O515" s="67"/>
      <c r="P515" s="65"/>
      <c r="Q515" s="65"/>
      <c r="R515" s="65"/>
      <c r="S515" s="65"/>
      <c r="T515" s="65"/>
      <c r="U515" s="65"/>
      <c r="V515" s="68"/>
      <c r="W515" s="65"/>
      <c r="X515" s="65"/>
      <c r="Y515" s="65"/>
      <c r="Z515" s="65"/>
      <c r="AA515" s="65"/>
      <c r="AB515" s="65"/>
      <c r="AC515" s="65"/>
      <c r="AD515" s="65"/>
      <c r="AE515" s="65"/>
      <c r="AF515" s="65"/>
      <c r="AG515" s="65"/>
      <c r="AH515" s="65"/>
    </row>
    <row r="516">
      <c r="A516" s="61"/>
      <c r="B516" s="61"/>
      <c r="C516" s="61"/>
      <c r="D516" s="62"/>
      <c r="E516" s="61"/>
      <c r="F516" s="61"/>
      <c r="G516" s="61"/>
      <c r="H516" s="61"/>
      <c r="I516" s="61"/>
      <c r="J516" s="61"/>
      <c r="K516" s="61"/>
      <c r="L516" s="61"/>
      <c r="M516" s="61"/>
      <c r="N516" s="61"/>
      <c r="O516" s="63"/>
      <c r="P516" s="61"/>
      <c r="Q516" s="61"/>
      <c r="R516" s="61"/>
      <c r="S516" s="61"/>
      <c r="T516" s="61"/>
      <c r="U516" s="61"/>
      <c r="V516" s="64"/>
      <c r="W516" s="61"/>
      <c r="X516" s="61"/>
      <c r="Y516" s="61"/>
      <c r="Z516" s="61"/>
      <c r="AA516" s="61"/>
      <c r="AB516" s="61"/>
      <c r="AC516" s="61"/>
      <c r="AD516" s="61"/>
      <c r="AE516" s="61"/>
      <c r="AF516" s="61"/>
      <c r="AG516" s="61"/>
      <c r="AH516" s="61"/>
    </row>
    <row r="517">
      <c r="A517" s="65"/>
      <c r="B517" s="65"/>
      <c r="C517" s="65"/>
      <c r="D517" s="66"/>
      <c r="E517" s="65"/>
      <c r="F517" s="65"/>
      <c r="G517" s="65"/>
      <c r="H517" s="65"/>
      <c r="I517" s="65"/>
      <c r="J517" s="65"/>
      <c r="K517" s="65"/>
      <c r="L517" s="65"/>
      <c r="M517" s="65"/>
      <c r="N517" s="65"/>
      <c r="O517" s="67"/>
      <c r="P517" s="65"/>
      <c r="Q517" s="65"/>
      <c r="R517" s="65"/>
      <c r="S517" s="65"/>
      <c r="T517" s="65"/>
      <c r="U517" s="65"/>
      <c r="V517" s="68"/>
      <c r="W517" s="65"/>
      <c r="X517" s="65"/>
      <c r="Y517" s="65"/>
      <c r="Z517" s="65"/>
      <c r="AA517" s="65"/>
      <c r="AB517" s="65"/>
      <c r="AC517" s="65"/>
      <c r="AD517" s="65"/>
      <c r="AE517" s="65"/>
      <c r="AF517" s="65"/>
      <c r="AG517" s="65"/>
      <c r="AH517" s="65"/>
    </row>
    <row r="518">
      <c r="A518" s="61"/>
      <c r="B518" s="61"/>
      <c r="C518" s="61"/>
      <c r="D518" s="62"/>
      <c r="E518" s="61"/>
      <c r="F518" s="61"/>
      <c r="G518" s="61"/>
      <c r="H518" s="61"/>
      <c r="I518" s="61"/>
      <c r="J518" s="61"/>
      <c r="K518" s="61"/>
      <c r="L518" s="61"/>
      <c r="M518" s="61"/>
      <c r="N518" s="61"/>
      <c r="O518" s="63"/>
      <c r="P518" s="61"/>
      <c r="Q518" s="61"/>
      <c r="R518" s="61"/>
      <c r="S518" s="61"/>
      <c r="T518" s="61"/>
      <c r="U518" s="61"/>
      <c r="V518" s="64"/>
      <c r="W518" s="61"/>
      <c r="X518" s="61"/>
      <c r="Y518" s="61"/>
      <c r="Z518" s="61"/>
      <c r="AA518" s="61"/>
      <c r="AB518" s="61"/>
      <c r="AC518" s="61"/>
      <c r="AD518" s="61"/>
      <c r="AE518" s="61"/>
      <c r="AF518" s="61"/>
      <c r="AG518" s="61"/>
      <c r="AH518" s="61"/>
    </row>
    <row r="519">
      <c r="A519" s="65"/>
      <c r="B519" s="65"/>
      <c r="C519" s="65"/>
      <c r="D519" s="66"/>
      <c r="E519" s="65"/>
      <c r="F519" s="65"/>
      <c r="G519" s="65"/>
      <c r="H519" s="65"/>
      <c r="I519" s="65"/>
      <c r="J519" s="65"/>
      <c r="K519" s="65"/>
      <c r="L519" s="65"/>
      <c r="M519" s="65"/>
      <c r="N519" s="65"/>
      <c r="O519" s="67"/>
      <c r="P519" s="65"/>
      <c r="Q519" s="65"/>
      <c r="R519" s="65"/>
      <c r="S519" s="65"/>
      <c r="T519" s="65"/>
      <c r="U519" s="65"/>
      <c r="V519" s="68"/>
      <c r="W519" s="65"/>
      <c r="X519" s="65"/>
      <c r="Y519" s="65"/>
      <c r="Z519" s="65"/>
      <c r="AA519" s="65"/>
      <c r="AB519" s="65"/>
      <c r="AC519" s="65"/>
      <c r="AD519" s="65"/>
      <c r="AE519" s="65"/>
      <c r="AF519" s="65"/>
      <c r="AG519" s="65"/>
      <c r="AH519" s="65"/>
    </row>
    <row r="520">
      <c r="A520" s="61"/>
      <c r="B520" s="61"/>
      <c r="C520" s="61"/>
      <c r="D520" s="62"/>
      <c r="E520" s="61"/>
      <c r="F520" s="61"/>
      <c r="G520" s="61"/>
      <c r="H520" s="61"/>
      <c r="I520" s="61"/>
      <c r="J520" s="61"/>
      <c r="K520" s="61"/>
      <c r="L520" s="61"/>
      <c r="M520" s="61"/>
      <c r="N520" s="61"/>
      <c r="O520" s="63"/>
      <c r="P520" s="61"/>
      <c r="Q520" s="61"/>
      <c r="R520" s="61"/>
      <c r="S520" s="61"/>
      <c r="T520" s="61"/>
      <c r="U520" s="61"/>
      <c r="V520" s="64"/>
      <c r="W520" s="61"/>
      <c r="X520" s="61"/>
      <c r="Y520" s="61"/>
      <c r="Z520" s="61"/>
      <c r="AA520" s="61"/>
      <c r="AB520" s="61"/>
      <c r="AC520" s="61"/>
      <c r="AD520" s="61"/>
      <c r="AE520" s="61"/>
      <c r="AF520" s="61"/>
      <c r="AG520" s="61"/>
      <c r="AH520" s="61"/>
    </row>
    <row r="521">
      <c r="A521" s="65"/>
      <c r="B521" s="65"/>
      <c r="C521" s="65"/>
      <c r="D521" s="66"/>
      <c r="E521" s="65"/>
      <c r="F521" s="65"/>
      <c r="G521" s="65"/>
      <c r="H521" s="65"/>
      <c r="I521" s="65"/>
      <c r="J521" s="65"/>
      <c r="K521" s="65"/>
      <c r="L521" s="65"/>
      <c r="M521" s="65"/>
      <c r="N521" s="65"/>
      <c r="O521" s="67"/>
      <c r="P521" s="65"/>
      <c r="Q521" s="65"/>
      <c r="R521" s="65"/>
      <c r="S521" s="65"/>
      <c r="T521" s="65"/>
      <c r="U521" s="65"/>
      <c r="V521" s="68"/>
      <c r="W521" s="65"/>
      <c r="X521" s="65"/>
      <c r="Y521" s="65"/>
      <c r="Z521" s="65"/>
      <c r="AA521" s="65"/>
      <c r="AB521" s="65"/>
      <c r="AC521" s="65"/>
      <c r="AD521" s="65"/>
      <c r="AE521" s="65"/>
      <c r="AF521" s="65"/>
      <c r="AG521" s="65"/>
      <c r="AH521" s="65"/>
    </row>
    <row r="522">
      <c r="A522" s="61"/>
      <c r="B522" s="61"/>
      <c r="C522" s="61"/>
      <c r="D522" s="62"/>
      <c r="E522" s="61"/>
      <c r="F522" s="61"/>
      <c r="G522" s="61"/>
      <c r="H522" s="61"/>
      <c r="I522" s="61"/>
      <c r="J522" s="61"/>
      <c r="K522" s="61"/>
      <c r="L522" s="61"/>
      <c r="M522" s="61"/>
      <c r="N522" s="61"/>
      <c r="O522" s="63"/>
      <c r="P522" s="61"/>
      <c r="Q522" s="61"/>
      <c r="R522" s="61"/>
      <c r="S522" s="61"/>
      <c r="T522" s="61"/>
      <c r="U522" s="61"/>
      <c r="V522" s="64"/>
      <c r="W522" s="61"/>
      <c r="X522" s="61"/>
      <c r="Y522" s="61"/>
      <c r="Z522" s="61"/>
      <c r="AA522" s="61"/>
      <c r="AB522" s="61"/>
      <c r="AC522" s="61"/>
      <c r="AD522" s="61"/>
      <c r="AE522" s="61"/>
      <c r="AF522" s="61"/>
      <c r="AG522" s="61"/>
      <c r="AH522" s="61"/>
    </row>
    <row r="523">
      <c r="A523" s="65"/>
      <c r="B523" s="65"/>
      <c r="C523" s="65"/>
      <c r="D523" s="66"/>
      <c r="E523" s="65"/>
      <c r="F523" s="65"/>
      <c r="G523" s="65"/>
      <c r="H523" s="65"/>
      <c r="I523" s="65"/>
      <c r="J523" s="65"/>
      <c r="K523" s="65"/>
      <c r="L523" s="65"/>
      <c r="M523" s="65"/>
      <c r="N523" s="65"/>
      <c r="O523" s="67"/>
      <c r="P523" s="65"/>
      <c r="Q523" s="65"/>
      <c r="R523" s="65"/>
      <c r="S523" s="65"/>
      <c r="T523" s="65"/>
      <c r="U523" s="65"/>
      <c r="V523" s="68"/>
      <c r="W523" s="65"/>
      <c r="X523" s="65"/>
      <c r="Y523" s="65"/>
      <c r="Z523" s="65"/>
      <c r="AA523" s="65"/>
      <c r="AB523" s="65"/>
      <c r="AC523" s="65"/>
      <c r="AD523" s="65"/>
      <c r="AE523" s="65"/>
      <c r="AF523" s="65"/>
      <c r="AG523" s="65"/>
      <c r="AH523" s="65"/>
    </row>
    <row r="524">
      <c r="A524" s="61"/>
      <c r="B524" s="61"/>
      <c r="C524" s="61"/>
      <c r="D524" s="62"/>
      <c r="E524" s="61"/>
      <c r="F524" s="61"/>
      <c r="G524" s="61"/>
      <c r="H524" s="61"/>
      <c r="I524" s="61"/>
      <c r="J524" s="61"/>
      <c r="K524" s="61"/>
      <c r="L524" s="61"/>
      <c r="M524" s="61"/>
      <c r="N524" s="61"/>
      <c r="O524" s="63"/>
      <c r="P524" s="61"/>
      <c r="Q524" s="61"/>
      <c r="R524" s="61"/>
      <c r="S524" s="61"/>
      <c r="T524" s="61"/>
      <c r="U524" s="61"/>
      <c r="V524" s="64"/>
      <c r="W524" s="61"/>
      <c r="X524" s="61"/>
      <c r="Y524" s="61"/>
      <c r="Z524" s="61"/>
      <c r="AA524" s="61"/>
      <c r="AB524" s="61"/>
      <c r="AC524" s="61"/>
      <c r="AD524" s="61"/>
      <c r="AE524" s="61"/>
      <c r="AF524" s="61"/>
      <c r="AG524" s="61"/>
      <c r="AH524" s="61"/>
    </row>
    <row r="525">
      <c r="A525" s="65"/>
      <c r="B525" s="65"/>
      <c r="C525" s="65"/>
      <c r="D525" s="66"/>
      <c r="E525" s="65"/>
      <c r="F525" s="65"/>
      <c r="G525" s="65"/>
      <c r="H525" s="65"/>
      <c r="I525" s="65"/>
      <c r="J525" s="65"/>
      <c r="K525" s="65"/>
      <c r="L525" s="65"/>
      <c r="M525" s="65"/>
      <c r="N525" s="65"/>
      <c r="O525" s="67"/>
      <c r="P525" s="65"/>
      <c r="Q525" s="65"/>
      <c r="R525" s="65"/>
      <c r="S525" s="65"/>
      <c r="T525" s="65"/>
      <c r="U525" s="65"/>
      <c r="V525" s="68"/>
      <c r="W525" s="65"/>
      <c r="X525" s="65"/>
      <c r="Y525" s="65"/>
      <c r="Z525" s="65"/>
      <c r="AA525" s="65"/>
      <c r="AB525" s="65"/>
      <c r="AC525" s="65"/>
      <c r="AD525" s="65"/>
      <c r="AE525" s="65"/>
      <c r="AF525" s="65"/>
      <c r="AG525" s="65"/>
      <c r="AH525" s="65"/>
    </row>
    <row r="526">
      <c r="A526" s="61"/>
      <c r="B526" s="61"/>
      <c r="C526" s="61"/>
      <c r="D526" s="62"/>
      <c r="E526" s="61"/>
      <c r="F526" s="61"/>
      <c r="G526" s="61"/>
      <c r="H526" s="61"/>
      <c r="I526" s="61"/>
      <c r="J526" s="61"/>
      <c r="K526" s="61"/>
      <c r="L526" s="61"/>
      <c r="M526" s="61"/>
      <c r="N526" s="61"/>
      <c r="O526" s="63"/>
      <c r="P526" s="61"/>
      <c r="Q526" s="61"/>
      <c r="R526" s="61"/>
      <c r="S526" s="61"/>
      <c r="T526" s="61"/>
      <c r="U526" s="61"/>
      <c r="V526" s="64"/>
      <c r="W526" s="61"/>
      <c r="X526" s="61"/>
      <c r="Y526" s="61"/>
      <c r="Z526" s="61"/>
      <c r="AA526" s="61"/>
      <c r="AB526" s="61"/>
      <c r="AC526" s="61"/>
      <c r="AD526" s="61"/>
      <c r="AE526" s="61"/>
      <c r="AF526" s="61"/>
      <c r="AG526" s="61"/>
      <c r="AH526" s="61"/>
    </row>
    <row r="527">
      <c r="A527" s="65"/>
      <c r="B527" s="65"/>
      <c r="C527" s="65"/>
      <c r="D527" s="66"/>
      <c r="E527" s="65"/>
      <c r="F527" s="65"/>
      <c r="G527" s="65"/>
      <c r="H527" s="65"/>
      <c r="I527" s="65"/>
      <c r="J527" s="65"/>
      <c r="K527" s="65"/>
      <c r="L527" s="65"/>
      <c r="M527" s="65"/>
      <c r="N527" s="65"/>
      <c r="O527" s="67"/>
      <c r="P527" s="65"/>
      <c r="Q527" s="65"/>
      <c r="R527" s="65"/>
      <c r="S527" s="65"/>
      <c r="T527" s="65"/>
      <c r="U527" s="65"/>
      <c r="V527" s="68"/>
      <c r="W527" s="65"/>
      <c r="X527" s="65"/>
      <c r="Y527" s="65"/>
      <c r="Z527" s="65"/>
      <c r="AA527" s="65"/>
      <c r="AB527" s="65"/>
      <c r="AC527" s="65"/>
      <c r="AD527" s="65"/>
      <c r="AE527" s="65"/>
      <c r="AF527" s="65"/>
      <c r="AG527" s="65"/>
      <c r="AH527" s="65"/>
    </row>
    <row r="528">
      <c r="A528" s="61"/>
      <c r="B528" s="61"/>
      <c r="C528" s="61"/>
      <c r="D528" s="62"/>
      <c r="E528" s="61"/>
      <c r="F528" s="61"/>
      <c r="G528" s="61"/>
      <c r="H528" s="61"/>
      <c r="I528" s="61"/>
      <c r="J528" s="61"/>
      <c r="K528" s="61"/>
      <c r="L528" s="61"/>
      <c r="M528" s="61"/>
      <c r="N528" s="61"/>
      <c r="O528" s="63"/>
      <c r="P528" s="61"/>
      <c r="Q528" s="61"/>
      <c r="R528" s="61"/>
      <c r="S528" s="61"/>
      <c r="T528" s="61"/>
      <c r="U528" s="61"/>
      <c r="V528" s="64"/>
      <c r="W528" s="61"/>
      <c r="X528" s="61"/>
      <c r="Y528" s="61"/>
      <c r="Z528" s="61"/>
      <c r="AA528" s="61"/>
      <c r="AB528" s="61"/>
      <c r="AC528" s="61"/>
      <c r="AD528" s="61"/>
      <c r="AE528" s="61"/>
      <c r="AF528" s="61"/>
      <c r="AG528" s="61"/>
      <c r="AH528" s="61"/>
    </row>
    <row r="529">
      <c r="A529" s="65"/>
      <c r="B529" s="65"/>
      <c r="C529" s="65"/>
      <c r="D529" s="66"/>
      <c r="E529" s="65"/>
      <c r="F529" s="65"/>
      <c r="G529" s="65"/>
      <c r="H529" s="65"/>
      <c r="I529" s="65"/>
      <c r="J529" s="65"/>
      <c r="K529" s="65"/>
      <c r="L529" s="65"/>
      <c r="M529" s="65"/>
      <c r="N529" s="65"/>
      <c r="O529" s="67"/>
      <c r="P529" s="65"/>
      <c r="Q529" s="65"/>
      <c r="R529" s="65"/>
      <c r="S529" s="65"/>
      <c r="T529" s="65"/>
      <c r="U529" s="65"/>
      <c r="V529" s="68"/>
      <c r="W529" s="65"/>
      <c r="X529" s="65"/>
      <c r="Y529" s="65"/>
      <c r="Z529" s="65"/>
      <c r="AA529" s="65"/>
      <c r="AB529" s="65"/>
      <c r="AC529" s="65"/>
      <c r="AD529" s="65"/>
      <c r="AE529" s="65"/>
      <c r="AF529" s="65"/>
      <c r="AG529" s="65"/>
      <c r="AH529" s="65"/>
    </row>
    <row r="530">
      <c r="A530" s="61"/>
      <c r="B530" s="61"/>
      <c r="C530" s="61"/>
      <c r="D530" s="62"/>
      <c r="E530" s="61"/>
      <c r="F530" s="61"/>
      <c r="G530" s="61"/>
      <c r="H530" s="61"/>
      <c r="I530" s="61"/>
      <c r="J530" s="61"/>
      <c r="K530" s="61"/>
      <c r="L530" s="61"/>
      <c r="M530" s="61"/>
      <c r="N530" s="61"/>
      <c r="O530" s="63"/>
      <c r="P530" s="61"/>
      <c r="Q530" s="61"/>
      <c r="R530" s="61"/>
      <c r="S530" s="61"/>
      <c r="T530" s="61"/>
      <c r="U530" s="61"/>
      <c r="V530" s="64"/>
      <c r="W530" s="61"/>
      <c r="X530" s="61"/>
      <c r="Y530" s="61"/>
      <c r="Z530" s="61"/>
      <c r="AA530" s="61"/>
      <c r="AB530" s="61"/>
      <c r="AC530" s="61"/>
      <c r="AD530" s="61"/>
      <c r="AE530" s="61"/>
      <c r="AF530" s="61"/>
      <c r="AG530" s="61"/>
      <c r="AH530" s="61"/>
    </row>
    <row r="531">
      <c r="A531" s="65"/>
      <c r="B531" s="65"/>
      <c r="C531" s="65"/>
      <c r="D531" s="66"/>
      <c r="E531" s="65"/>
      <c r="F531" s="65"/>
      <c r="G531" s="65"/>
      <c r="H531" s="65"/>
      <c r="I531" s="65"/>
      <c r="J531" s="65"/>
      <c r="K531" s="65"/>
      <c r="L531" s="65"/>
      <c r="M531" s="65"/>
      <c r="N531" s="65"/>
      <c r="O531" s="67"/>
      <c r="P531" s="65"/>
      <c r="Q531" s="65"/>
      <c r="R531" s="65"/>
      <c r="S531" s="65"/>
      <c r="T531" s="65"/>
      <c r="U531" s="65"/>
      <c r="V531" s="68"/>
      <c r="W531" s="65"/>
      <c r="X531" s="65"/>
      <c r="Y531" s="65"/>
      <c r="Z531" s="65"/>
      <c r="AA531" s="65"/>
      <c r="AB531" s="65"/>
      <c r="AC531" s="65"/>
      <c r="AD531" s="65"/>
      <c r="AE531" s="65"/>
      <c r="AF531" s="65"/>
      <c r="AG531" s="65"/>
      <c r="AH531" s="65"/>
    </row>
    <row r="532">
      <c r="A532" s="61"/>
      <c r="B532" s="61"/>
      <c r="C532" s="61"/>
      <c r="D532" s="62"/>
      <c r="E532" s="61"/>
      <c r="F532" s="61"/>
      <c r="G532" s="61"/>
      <c r="H532" s="61"/>
      <c r="I532" s="61"/>
      <c r="J532" s="61"/>
      <c r="K532" s="61"/>
      <c r="L532" s="61"/>
      <c r="M532" s="61"/>
      <c r="N532" s="61"/>
      <c r="O532" s="63"/>
      <c r="P532" s="61"/>
      <c r="Q532" s="61"/>
      <c r="R532" s="61"/>
      <c r="S532" s="61"/>
      <c r="T532" s="61"/>
      <c r="U532" s="61"/>
      <c r="V532" s="64"/>
      <c r="W532" s="61"/>
      <c r="X532" s="61"/>
      <c r="Y532" s="61"/>
      <c r="Z532" s="61"/>
      <c r="AA532" s="61"/>
      <c r="AB532" s="61"/>
      <c r="AC532" s="61"/>
      <c r="AD532" s="61"/>
      <c r="AE532" s="61"/>
      <c r="AF532" s="61"/>
      <c r="AG532" s="61"/>
      <c r="AH532" s="61"/>
    </row>
    <row r="533">
      <c r="A533" s="65"/>
      <c r="B533" s="65"/>
      <c r="C533" s="65"/>
      <c r="D533" s="66"/>
      <c r="E533" s="65"/>
      <c r="F533" s="65"/>
      <c r="G533" s="65"/>
      <c r="H533" s="65"/>
      <c r="I533" s="65"/>
      <c r="J533" s="65"/>
      <c r="K533" s="65"/>
      <c r="L533" s="65"/>
      <c r="M533" s="65"/>
      <c r="N533" s="65"/>
      <c r="O533" s="67"/>
      <c r="P533" s="65"/>
      <c r="Q533" s="65"/>
      <c r="R533" s="65"/>
      <c r="S533" s="65"/>
      <c r="T533" s="65"/>
      <c r="U533" s="65"/>
      <c r="V533" s="68"/>
      <c r="W533" s="65"/>
      <c r="X533" s="65"/>
      <c r="Y533" s="65"/>
      <c r="Z533" s="65"/>
      <c r="AA533" s="65"/>
      <c r="AB533" s="65"/>
      <c r="AC533" s="65"/>
      <c r="AD533" s="65"/>
      <c r="AE533" s="65"/>
      <c r="AF533" s="65"/>
      <c r="AG533" s="65"/>
      <c r="AH533" s="65"/>
    </row>
    <row r="534">
      <c r="A534" s="61"/>
      <c r="B534" s="61"/>
      <c r="C534" s="61"/>
      <c r="D534" s="62"/>
      <c r="E534" s="61"/>
      <c r="F534" s="61"/>
      <c r="G534" s="61"/>
      <c r="H534" s="61"/>
      <c r="I534" s="61"/>
      <c r="J534" s="61"/>
      <c r="K534" s="61"/>
      <c r="L534" s="61"/>
      <c r="M534" s="61"/>
      <c r="N534" s="61"/>
      <c r="O534" s="63"/>
      <c r="P534" s="61"/>
      <c r="Q534" s="61"/>
      <c r="R534" s="61"/>
      <c r="S534" s="61"/>
      <c r="T534" s="61"/>
      <c r="U534" s="61"/>
      <c r="V534" s="64"/>
      <c r="W534" s="61"/>
      <c r="X534" s="61"/>
      <c r="Y534" s="61"/>
      <c r="Z534" s="61"/>
      <c r="AA534" s="61"/>
      <c r="AB534" s="61"/>
      <c r="AC534" s="61"/>
      <c r="AD534" s="61"/>
      <c r="AE534" s="61"/>
      <c r="AF534" s="61"/>
      <c r="AG534" s="61"/>
      <c r="AH534" s="61"/>
    </row>
    <row r="535">
      <c r="A535" s="65"/>
      <c r="B535" s="65"/>
      <c r="C535" s="65"/>
      <c r="D535" s="66"/>
      <c r="E535" s="65"/>
      <c r="F535" s="65"/>
      <c r="G535" s="65"/>
      <c r="H535" s="65"/>
      <c r="I535" s="65"/>
      <c r="J535" s="65"/>
      <c r="K535" s="65"/>
      <c r="L535" s="65"/>
      <c r="M535" s="65"/>
      <c r="N535" s="65"/>
      <c r="O535" s="67"/>
      <c r="P535" s="65"/>
      <c r="Q535" s="65"/>
      <c r="R535" s="65"/>
      <c r="S535" s="65"/>
      <c r="T535" s="65"/>
      <c r="U535" s="65"/>
      <c r="V535" s="68"/>
      <c r="W535" s="65"/>
      <c r="X535" s="65"/>
      <c r="Y535" s="65"/>
      <c r="Z535" s="65"/>
      <c r="AA535" s="65"/>
      <c r="AB535" s="65"/>
      <c r="AC535" s="65"/>
      <c r="AD535" s="65"/>
      <c r="AE535" s="65"/>
      <c r="AF535" s="65"/>
      <c r="AG535" s="65"/>
      <c r="AH535" s="65"/>
    </row>
    <row r="536">
      <c r="A536" s="61"/>
      <c r="B536" s="61"/>
      <c r="C536" s="61"/>
      <c r="D536" s="62"/>
      <c r="E536" s="61"/>
      <c r="F536" s="61"/>
      <c r="G536" s="61"/>
      <c r="H536" s="61"/>
      <c r="I536" s="61"/>
      <c r="J536" s="61"/>
      <c r="K536" s="61"/>
      <c r="L536" s="61"/>
      <c r="M536" s="61"/>
      <c r="N536" s="61"/>
      <c r="O536" s="63"/>
      <c r="P536" s="61"/>
      <c r="Q536" s="61"/>
      <c r="R536" s="61"/>
      <c r="S536" s="61"/>
      <c r="T536" s="61"/>
      <c r="U536" s="61"/>
      <c r="V536" s="64"/>
      <c r="W536" s="61"/>
      <c r="X536" s="61"/>
      <c r="Y536" s="61"/>
      <c r="Z536" s="61"/>
      <c r="AA536" s="61"/>
      <c r="AB536" s="61"/>
      <c r="AC536" s="61"/>
      <c r="AD536" s="61"/>
      <c r="AE536" s="61"/>
      <c r="AF536" s="61"/>
      <c r="AG536" s="61"/>
      <c r="AH536" s="61"/>
    </row>
    <row r="537">
      <c r="A537" s="65"/>
      <c r="B537" s="65"/>
      <c r="C537" s="65"/>
      <c r="D537" s="66"/>
      <c r="E537" s="65"/>
      <c r="F537" s="65"/>
      <c r="G537" s="65"/>
      <c r="H537" s="65"/>
      <c r="I537" s="65"/>
      <c r="J537" s="65"/>
      <c r="K537" s="65"/>
      <c r="L537" s="65"/>
      <c r="M537" s="65"/>
      <c r="N537" s="65"/>
      <c r="O537" s="67"/>
      <c r="P537" s="65"/>
      <c r="Q537" s="65"/>
      <c r="R537" s="65"/>
      <c r="S537" s="65"/>
      <c r="T537" s="65"/>
      <c r="U537" s="65"/>
      <c r="V537" s="68"/>
      <c r="W537" s="65"/>
      <c r="X537" s="65"/>
      <c r="Y537" s="65"/>
      <c r="Z537" s="65"/>
      <c r="AA537" s="65"/>
      <c r="AB537" s="65"/>
      <c r="AC537" s="65"/>
      <c r="AD537" s="65"/>
      <c r="AE537" s="65"/>
      <c r="AF537" s="65"/>
      <c r="AG537" s="65"/>
      <c r="AH537" s="65"/>
    </row>
    <row r="538">
      <c r="A538" s="61"/>
      <c r="B538" s="61"/>
      <c r="C538" s="61"/>
      <c r="D538" s="62"/>
      <c r="E538" s="61"/>
      <c r="F538" s="61"/>
      <c r="G538" s="61"/>
      <c r="H538" s="61"/>
      <c r="I538" s="61"/>
      <c r="J538" s="61"/>
      <c r="K538" s="61"/>
      <c r="L538" s="61"/>
      <c r="M538" s="61"/>
      <c r="N538" s="61"/>
      <c r="O538" s="63"/>
      <c r="P538" s="61"/>
      <c r="Q538" s="61"/>
      <c r="R538" s="61"/>
      <c r="S538" s="61"/>
      <c r="T538" s="61"/>
      <c r="U538" s="61"/>
      <c r="V538" s="64"/>
      <c r="W538" s="61"/>
      <c r="X538" s="61"/>
      <c r="Y538" s="61"/>
      <c r="Z538" s="61"/>
      <c r="AA538" s="61"/>
      <c r="AB538" s="61"/>
      <c r="AC538" s="61"/>
      <c r="AD538" s="61"/>
      <c r="AE538" s="61"/>
      <c r="AF538" s="61"/>
      <c r="AG538" s="61"/>
      <c r="AH538" s="61"/>
    </row>
    <row r="539">
      <c r="A539" s="65"/>
      <c r="B539" s="65"/>
      <c r="C539" s="65"/>
      <c r="D539" s="66"/>
      <c r="E539" s="65"/>
      <c r="F539" s="65"/>
      <c r="G539" s="65"/>
      <c r="H539" s="65"/>
      <c r="I539" s="65"/>
      <c r="J539" s="65"/>
      <c r="K539" s="65"/>
      <c r="L539" s="65"/>
      <c r="M539" s="65"/>
      <c r="N539" s="65"/>
      <c r="O539" s="67"/>
      <c r="P539" s="65"/>
      <c r="Q539" s="65"/>
      <c r="R539" s="65"/>
      <c r="S539" s="65"/>
      <c r="T539" s="65"/>
      <c r="U539" s="65"/>
      <c r="V539" s="68"/>
      <c r="W539" s="65"/>
      <c r="X539" s="65"/>
      <c r="Y539" s="65"/>
      <c r="Z539" s="65"/>
      <c r="AA539" s="65"/>
      <c r="AB539" s="65"/>
      <c r="AC539" s="65"/>
      <c r="AD539" s="65"/>
      <c r="AE539" s="65"/>
      <c r="AF539" s="65"/>
      <c r="AG539" s="65"/>
      <c r="AH539" s="65"/>
    </row>
    <row r="540">
      <c r="A540" s="61"/>
      <c r="B540" s="61"/>
      <c r="C540" s="61"/>
      <c r="D540" s="62"/>
      <c r="E540" s="61"/>
      <c r="F540" s="61"/>
      <c r="G540" s="61"/>
      <c r="H540" s="61"/>
      <c r="I540" s="61"/>
      <c r="J540" s="61"/>
      <c r="K540" s="61"/>
      <c r="L540" s="61"/>
      <c r="M540" s="61"/>
      <c r="N540" s="61"/>
      <c r="O540" s="63"/>
      <c r="P540" s="61"/>
      <c r="Q540" s="61"/>
      <c r="R540" s="61"/>
      <c r="S540" s="61"/>
      <c r="T540" s="61"/>
      <c r="U540" s="61"/>
      <c r="V540" s="64"/>
      <c r="W540" s="61"/>
      <c r="X540" s="61"/>
      <c r="Y540" s="61"/>
      <c r="Z540" s="61"/>
      <c r="AA540" s="61"/>
      <c r="AB540" s="61"/>
      <c r="AC540" s="61"/>
      <c r="AD540" s="61"/>
      <c r="AE540" s="61"/>
      <c r="AF540" s="61"/>
      <c r="AG540" s="61"/>
      <c r="AH540" s="61"/>
    </row>
    <row r="541">
      <c r="A541" s="65"/>
      <c r="B541" s="65"/>
      <c r="C541" s="65"/>
      <c r="D541" s="66"/>
      <c r="E541" s="65"/>
      <c r="F541" s="65"/>
      <c r="G541" s="65"/>
      <c r="H541" s="65"/>
      <c r="I541" s="65"/>
      <c r="J541" s="65"/>
      <c r="K541" s="65"/>
      <c r="L541" s="65"/>
      <c r="M541" s="65"/>
      <c r="N541" s="65"/>
      <c r="O541" s="67"/>
      <c r="P541" s="65"/>
      <c r="Q541" s="65"/>
      <c r="R541" s="65"/>
      <c r="S541" s="65"/>
      <c r="T541" s="65"/>
      <c r="U541" s="65"/>
      <c r="V541" s="68"/>
      <c r="W541" s="65"/>
      <c r="X541" s="65"/>
      <c r="Y541" s="65"/>
      <c r="Z541" s="65"/>
      <c r="AA541" s="65"/>
      <c r="AB541" s="65"/>
      <c r="AC541" s="65"/>
      <c r="AD541" s="65"/>
      <c r="AE541" s="65"/>
      <c r="AF541" s="65"/>
      <c r="AG541" s="65"/>
      <c r="AH541" s="65"/>
    </row>
    <row r="542">
      <c r="A542" s="61"/>
      <c r="B542" s="61"/>
      <c r="C542" s="61"/>
      <c r="D542" s="62"/>
      <c r="E542" s="61"/>
      <c r="F542" s="61"/>
      <c r="G542" s="61"/>
      <c r="H542" s="61"/>
      <c r="I542" s="61"/>
      <c r="J542" s="61"/>
      <c r="K542" s="61"/>
      <c r="L542" s="61"/>
      <c r="M542" s="61"/>
      <c r="N542" s="61"/>
      <c r="O542" s="63"/>
      <c r="P542" s="61"/>
      <c r="Q542" s="61"/>
      <c r="R542" s="61"/>
      <c r="S542" s="61"/>
      <c r="T542" s="61"/>
      <c r="U542" s="61"/>
      <c r="V542" s="64"/>
      <c r="W542" s="61"/>
      <c r="X542" s="61"/>
      <c r="Y542" s="61"/>
      <c r="Z542" s="61"/>
      <c r="AA542" s="61"/>
      <c r="AB542" s="61"/>
      <c r="AC542" s="61"/>
      <c r="AD542" s="61"/>
      <c r="AE542" s="61"/>
      <c r="AF542" s="61"/>
      <c r="AG542" s="61"/>
      <c r="AH542" s="61"/>
    </row>
    <row r="543">
      <c r="A543" s="65"/>
      <c r="B543" s="65"/>
      <c r="C543" s="65"/>
      <c r="D543" s="66"/>
      <c r="E543" s="65"/>
      <c r="F543" s="65"/>
      <c r="G543" s="65"/>
      <c r="H543" s="65"/>
      <c r="I543" s="65"/>
      <c r="J543" s="65"/>
      <c r="K543" s="65"/>
      <c r="L543" s="65"/>
      <c r="M543" s="65"/>
      <c r="N543" s="65"/>
      <c r="O543" s="67"/>
      <c r="P543" s="65"/>
      <c r="Q543" s="65"/>
      <c r="R543" s="65"/>
      <c r="S543" s="65"/>
      <c r="T543" s="65"/>
      <c r="U543" s="65"/>
      <c r="V543" s="68"/>
      <c r="W543" s="65"/>
      <c r="X543" s="65"/>
      <c r="Y543" s="65"/>
      <c r="Z543" s="65"/>
      <c r="AA543" s="65"/>
      <c r="AB543" s="65"/>
      <c r="AC543" s="65"/>
      <c r="AD543" s="65"/>
      <c r="AE543" s="65"/>
      <c r="AF543" s="65"/>
      <c r="AG543" s="65"/>
      <c r="AH543" s="65"/>
    </row>
    <row r="544">
      <c r="A544" s="61"/>
      <c r="B544" s="61"/>
      <c r="C544" s="61"/>
      <c r="D544" s="62"/>
      <c r="E544" s="61"/>
      <c r="F544" s="61"/>
      <c r="G544" s="61"/>
      <c r="H544" s="61"/>
      <c r="I544" s="61"/>
      <c r="J544" s="61"/>
      <c r="K544" s="61"/>
      <c r="L544" s="61"/>
      <c r="M544" s="61"/>
      <c r="N544" s="61"/>
      <c r="O544" s="63"/>
      <c r="P544" s="61"/>
      <c r="Q544" s="61"/>
      <c r="R544" s="61"/>
      <c r="S544" s="61"/>
      <c r="T544" s="61"/>
      <c r="U544" s="61"/>
      <c r="V544" s="64"/>
      <c r="W544" s="61"/>
      <c r="X544" s="61"/>
      <c r="Y544" s="61"/>
      <c r="Z544" s="61"/>
      <c r="AA544" s="61"/>
      <c r="AB544" s="61"/>
      <c r="AC544" s="61"/>
      <c r="AD544" s="61"/>
      <c r="AE544" s="61"/>
      <c r="AF544" s="61"/>
      <c r="AG544" s="61"/>
      <c r="AH544" s="61"/>
    </row>
    <row r="545">
      <c r="A545" s="65"/>
      <c r="B545" s="65"/>
      <c r="C545" s="65"/>
      <c r="D545" s="66"/>
      <c r="E545" s="65"/>
      <c r="F545" s="65"/>
      <c r="G545" s="65"/>
      <c r="H545" s="65"/>
      <c r="I545" s="65"/>
      <c r="J545" s="65"/>
      <c r="K545" s="65"/>
      <c r="L545" s="65"/>
      <c r="M545" s="65"/>
      <c r="N545" s="65"/>
      <c r="O545" s="67"/>
      <c r="P545" s="65"/>
      <c r="Q545" s="65"/>
      <c r="R545" s="65"/>
      <c r="S545" s="65"/>
      <c r="T545" s="65"/>
      <c r="U545" s="65"/>
      <c r="V545" s="68"/>
      <c r="W545" s="65"/>
      <c r="X545" s="65"/>
      <c r="Y545" s="65"/>
      <c r="Z545" s="65"/>
      <c r="AA545" s="65"/>
      <c r="AB545" s="65"/>
      <c r="AC545" s="65"/>
      <c r="AD545" s="65"/>
      <c r="AE545" s="65"/>
      <c r="AF545" s="65"/>
      <c r="AG545" s="65"/>
      <c r="AH545" s="65"/>
    </row>
    <row r="546">
      <c r="A546" s="61"/>
      <c r="B546" s="61"/>
      <c r="C546" s="61"/>
      <c r="D546" s="62"/>
      <c r="E546" s="61"/>
      <c r="F546" s="61"/>
      <c r="G546" s="61"/>
      <c r="H546" s="61"/>
      <c r="I546" s="61"/>
      <c r="J546" s="61"/>
      <c r="K546" s="61"/>
      <c r="L546" s="61"/>
      <c r="M546" s="61"/>
      <c r="N546" s="61"/>
      <c r="O546" s="63"/>
      <c r="P546" s="61"/>
      <c r="Q546" s="61"/>
      <c r="R546" s="61"/>
      <c r="S546" s="61"/>
      <c r="T546" s="61"/>
      <c r="U546" s="61"/>
      <c r="V546" s="64"/>
      <c r="W546" s="61"/>
      <c r="X546" s="61"/>
      <c r="Y546" s="61"/>
      <c r="Z546" s="61"/>
      <c r="AA546" s="61"/>
      <c r="AB546" s="61"/>
      <c r="AC546" s="61"/>
      <c r="AD546" s="61"/>
      <c r="AE546" s="61"/>
      <c r="AF546" s="61"/>
      <c r="AG546" s="61"/>
      <c r="AH546" s="61"/>
    </row>
    <row r="547">
      <c r="A547" s="65"/>
      <c r="B547" s="65"/>
      <c r="C547" s="65"/>
      <c r="D547" s="66"/>
      <c r="E547" s="65"/>
      <c r="F547" s="65"/>
      <c r="G547" s="65"/>
      <c r="H547" s="65"/>
      <c r="I547" s="65"/>
      <c r="J547" s="65"/>
      <c r="K547" s="65"/>
      <c r="L547" s="65"/>
      <c r="M547" s="65"/>
      <c r="N547" s="65"/>
      <c r="O547" s="67"/>
      <c r="P547" s="65"/>
      <c r="Q547" s="65"/>
      <c r="R547" s="65"/>
      <c r="S547" s="65"/>
      <c r="T547" s="65"/>
      <c r="U547" s="65"/>
      <c r="V547" s="68"/>
      <c r="W547" s="65"/>
      <c r="X547" s="65"/>
      <c r="Y547" s="65"/>
      <c r="Z547" s="65"/>
      <c r="AA547" s="65"/>
      <c r="AB547" s="65"/>
      <c r="AC547" s="65"/>
      <c r="AD547" s="65"/>
      <c r="AE547" s="65"/>
      <c r="AF547" s="65"/>
      <c r="AG547" s="65"/>
      <c r="AH547" s="65"/>
    </row>
    <row r="548">
      <c r="A548" s="61"/>
      <c r="B548" s="61"/>
      <c r="C548" s="61"/>
      <c r="D548" s="62"/>
      <c r="E548" s="61"/>
      <c r="F548" s="61"/>
      <c r="G548" s="61"/>
      <c r="H548" s="61"/>
      <c r="I548" s="61"/>
      <c r="J548" s="61"/>
      <c r="K548" s="61"/>
      <c r="L548" s="61"/>
      <c r="M548" s="61"/>
      <c r="N548" s="61"/>
      <c r="O548" s="63"/>
      <c r="P548" s="61"/>
      <c r="Q548" s="61"/>
      <c r="R548" s="61"/>
      <c r="S548" s="61"/>
      <c r="T548" s="61"/>
      <c r="U548" s="61"/>
      <c r="V548" s="64"/>
      <c r="W548" s="61"/>
      <c r="X548" s="61"/>
      <c r="Y548" s="61"/>
      <c r="Z548" s="61"/>
      <c r="AA548" s="61"/>
      <c r="AB548" s="61"/>
      <c r="AC548" s="61"/>
      <c r="AD548" s="61"/>
      <c r="AE548" s="61"/>
      <c r="AF548" s="61"/>
      <c r="AG548" s="61"/>
      <c r="AH548" s="61"/>
    </row>
    <row r="549">
      <c r="A549" s="65"/>
      <c r="B549" s="65"/>
      <c r="C549" s="65"/>
      <c r="D549" s="66"/>
      <c r="E549" s="65"/>
      <c r="F549" s="65"/>
      <c r="G549" s="65"/>
      <c r="H549" s="65"/>
      <c r="I549" s="65"/>
      <c r="J549" s="65"/>
      <c r="K549" s="65"/>
      <c r="L549" s="65"/>
      <c r="M549" s="65"/>
      <c r="N549" s="65"/>
      <c r="O549" s="67"/>
      <c r="P549" s="65"/>
      <c r="Q549" s="65"/>
      <c r="R549" s="65"/>
      <c r="S549" s="65"/>
      <c r="T549" s="65"/>
      <c r="U549" s="65"/>
      <c r="V549" s="68"/>
      <c r="W549" s="65"/>
      <c r="X549" s="65"/>
      <c r="Y549" s="65"/>
      <c r="Z549" s="65"/>
      <c r="AA549" s="65"/>
      <c r="AB549" s="65"/>
      <c r="AC549" s="65"/>
      <c r="AD549" s="65"/>
      <c r="AE549" s="65"/>
      <c r="AF549" s="65"/>
      <c r="AG549" s="65"/>
      <c r="AH549" s="65"/>
    </row>
    <row r="550">
      <c r="A550" s="61"/>
      <c r="B550" s="61"/>
      <c r="C550" s="61"/>
      <c r="D550" s="62"/>
      <c r="E550" s="61"/>
      <c r="F550" s="61"/>
      <c r="G550" s="61"/>
      <c r="H550" s="61"/>
      <c r="I550" s="61"/>
      <c r="J550" s="61"/>
      <c r="K550" s="61"/>
      <c r="L550" s="61"/>
      <c r="M550" s="61"/>
      <c r="N550" s="61"/>
      <c r="O550" s="63"/>
      <c r="P550" s="61"/>
      <c r="Q550" s="61"/>
      <c r="R550" s="61"/>
      <c r="S550" s="61"/>
      <c r="T550" s="61"/>
      <c r="U550" s="61"/>
      <c r="V550" s="64"/>
      <c r="W550" s="61"/>
      <c r="X550" s="61"/>
      <c r="Y550" s="61"/>
      <c r="Z550" s="61"/>
      <c r="AA550" s="61"/>
      <c r="AB550" s="61"/>
      <c r="AC550" s="61"/>
      <c r="AD550" s="61"/>
      <c r="AE550" s="61"/>
      <c r="AF550" s="61"/>
      <c r="AG550" s="61"/>
      <c r="AH550" s="61"/>
    </row>
    <row r="551">
      <c r="A551" s="65"/>
      <c r="B551" s="65"/>
      <c r="C551" s="65"/>
      <c r="D551" s="66"/>
      <c r="E551" s="65"/>
      <c r="F551" s="65"/>
      <c r="G551" s="65"/>
      <c r="H551" s="65"/>
      <c r="I551" s="65"/>
      <c r="J551" s="65"/>
      <c r="K551" s="65"/>
      <c r="L551" s="65"/>
      <c r="M551" s="65"/>
      <c r="N551" s="65"/>
      <c r="O551" s="67"/>
      <c r="P551" s="65"/>
      <c r="Q551" s="65"/>
      <c r="R551" s="65"/>
      <c r="S551" s="65"/>
      <c r="T551" s="65"/>
      <c r="U551" s="65"/>
      <c r="V551" s="68"/>
      <c r="W551" s="65"/>
      <c r="X551" s="65"/>
      <c r="Y551" s="65"/>
      <c r="Z551" s="65"/>
      <c r="AA551" s="65"/>
      <c r="AB551" s="65"/>
      <c r="AC551" s="65"/>
      <c r="AD551" s="65"/>
      <c r="AE551" s="65"/>
      <c r="AF551" s="65"/>
      <c r="AG551" s="65"/>
      <c r="AH551" s="65"/>
    </row>
    <row r="552">
      <c r="A552" s="61"/>
      <c r="B552" s="61"/>
      <c r="C552" s="61"/>
      <c r="D552" s="62"/>
      <c r="E552" s="61"/>
      <c r="F552" s="61"/>
      <c r="G552" s="61"/>
      <c r="H552" s="61"/>
      <c r="I552" s="61"/>
      <c r="J552" s="61"/>
      <c r="K552" s="61"/>
      <c r="L552" s="61"/>
      <c r="M552" s="61"/>
      <c r="N552" s="61"/>
      <c r="O552" s="63"/>
      <c r="P552" s="61"/>
      <c r="Q552" s="61"/>
      <c r="R552" s="61"/>
      <c r="S552" s="61"/>
      <c r="T552" s="61"/>
      <c r="U552" s="61"/>
      <c r="V552" s="64"/>
      <c r="W552" s="61"/>
      <c r="X552" s="61"/>
      <c r="Y552" s="61"/>
      <c r="Z552" s="61"/>
      <c r="AA552" s="61"/>
      <c r="AB552" s="61"/>
      <c r="AC552" s="61"/>
      <c r="AD552" s="61"/>
      <c r="AE552" s="61"/>
      <c r="AF552" s="61"/>
      <c r="AG552" s="61"/>
      <c r="AH552" s="61"/>
    </row>
    <row r="553">
      <c r="A553" s="65"/>
      <c r="B553" s="65"/>
      <c r="C553" s="65"/>
      <c r="D553" s="66"/>
      <c r="E553" s="65"/>
      <c r="F553" s="65"/>
      <c r="G553" s="65"/>
      <c r="H553" s="65"/>
      <c r="I553" s="65"/>
      <c r="J553" s="65"/>
      <c r="K553" s="65"/>
      <c r="L553" s="65"/>
      <c r="M553" s="65"/>
      <c r="N553" s="65"/>
      <c r="O553" s="67"/>
      <c r="P553" s="65"/>
      <c r="Q553" s="65"/>
      <c r="R553" s="65"/>
      <c r="S553" s="65"/>
      <c r="T553" s="65"/>
      <c r="U553" s="65"/>
      <c r="V553" s="68"/>
      <c r="W553" s="65"/>
      <c r="X553" s="65"/>
      <c r="Y553" s="65"/>
      <c r="Z553" s="65"/>
      <c r="AA553" s="65"/>
      <c r="AB553" s="65"/>
      <c r="AC553" s="65"/>
      <c r="AD553" s="65"/>
      <c r="AE553" s="65"/>
      <c r="AF553" s="65"/>
      <c r="AG553" s="65"/>
      <c r="AH553" s="65"/>
    </row>
    <row r="554">
      <c r="A554" s="61"/>
      <c r="B554" s="61"/>
      <c r="C554" s="61"/>
      <c r="D554" s="62"/>
      <c r="E554" s="61"/>
      <c r="F554" s="61"/>
      <c r="G554" s="61"/>
      <c r="H554" s="61"/>
      <c r="I554" s="61"/>
      <c r="J554" s="61"/>
      <c r="K554" s="61"/>
      <c r="L554" s="61"/>
      <c r="M554" s="61"/>
      <c r="N554" s="61"/>
      <c r="O554" s="63"/>
      <c r="P554" s="61"/>
      <c r="Q554" s="61"/>
      <c r="R554" s="61"/>
      <c r="S554" s="61"/>
      <c r="T554" s="61"/>
      <c r="U554" s="61"/>
      <c r="V554" s="64"/>
      <c r="W554" s="61"/>
      <c r="X554" s="61"/>
      <c r="Y554" s="61"/>
      <c r="Z554" s="61"/>
      <c r="AA554" s="61"/>
      <c r="AB554" s="61"/>
      <c r="AC554" s="61"/>
      <c r="AD554" s="61"/>
      <c r="AE554" s="61"/>
      <c r="AF554" s="61"/>
      <c r="AG554" s="61"/>
      <c r="AH554" s="61"/>
    </row>
    <row r="555">
      <c r="A555" s="65"/>
      <c r="B555" s="65"/>
      <c r="C555" s="65"/>
      <c r="D555" s="66"/>
      <c r="E555" s="65"/>
      <c r="F555" s="65"/>
      <c r="G555" s="65"/>
      <c r="H555" s="65"/>
      <c r="I555" s="65"/>
      <c r="J555" s="65"/>
      <c r="K555" s="65"/>
      <c r="L555" s="65"/>
      <c r="M555" s="65"/>
      <c r="N555" s="65"/>
      <c r="O555" s="67"/>
      <c r="P555" s="65"/>
      <c r="Q555" s="65"/>
      <c r="R555" s="65"/>
      <c r="S555" s="65"/>
      <c r="T555" s="65"/>
      <c r="U555" s="65"/>
      <c r="V555" s="68"/>
      <c r="W555" s="65"/>
      <c r="X555" s="65"/>
      <c r="Y555" s="65"/>
      <c r="Z555" s="65"/>
      <c r="AA555" s="65"/>
      <c r="AB555" s="65"/>
      <c r="AC555" s="65"/>
      <c r="AD555" s="65"/>
      <c r="AE555" s="65"/>
      <c r="AF555" s="65"/>
      <c r="AG555" s="65"/>
      <c r="AH555" s="65"/>
    </row>
    <row r="556">
      <c r="A556" s="61"/>
      <c r="B556" s="61"/>
      <c r="C556" s="61"/>
      <c r="D556" s="62"/>
      <c r="E556" s="61"/>
      <c r="F556" s="61"/>
      <c r="G556" s="61"/>
      <c r="H556" s="61"/>
      <c r="I556" s="61"/>
      <c r="J556" s="61"/>
      <c r="K556" s="61"/>
      <c r="L556" s="61"/>
      <c r="M556" s="61"/>
      <c r="N556" s="61"/>
      <c r="O556" s="63"/>
      <c r="P556" s="61"/>
      <c r="Q556" s="61"/>
      <c r="R556" s="61"/>
      <c r="S556" s="61"/>
      <c r="T556" s="61"/>
      <c r="U556" s="61"/>
      <c r="V556" s="64"/>
      <c r="W556" s="61"/>
      <c r="X556" s="61"/>
      <c r="Y556" s="61"/>
      <c r="Z556" s="61"/>
      <c r="AA556" s="61"/>
      <c r="AB556" s="61"/>
      <c r="AC556" s="61"/>
      <c r="AD556" s="61"/>
      <c r="AE556" s="61"/>
      <c r="AF556" s="61"/>
      <c r="AG556" s="61"/>
      <c r="AH556" s="61"/>
    </row>
    <row r="557">
      <c r="A557" s="65"/>
      <c r="B557" s="65"/>
      <c r="C557" s="65"/>
      <c r="D557" s="66"/>
      <c r="E557" s="65"/>
      <c r="F557" s="65"/>
      <c r="G557" s="65"/>
      <c r="H557" s="65"/>
      <c r="I557" s="65"/>
      <c r="J557" s="65"/>
      <c r="K557" s="65"/>
      <c r="L557" s="65"/>
      <c r="M557" s="65"/>
      <c r="N557" s="65"/>
      <c r="O557" s="67"/>
      <c r="P557" s="65"/>
      <c r="Q557" s="65"/>
      <c r="R557" s="65"/>
      <c r="S557" s="65"/>
      <c r="T557" s="65"/>
      <c r="U557" s="65"/>
      <c r="V557" s="68"/>
      <c r="W557" s="65"/>
      <c r="X557" s="65"/>
      <c r="Y557" s="65"/>
      <c r="Z557" s="65"/>
      <c r="AA557" s="65"/>
      <c r="AB557" s="65"/>
      <c r="AC557" s="65"/>
      <c r="AD557" s="65"/>
      <c r="AE557" s="65"/>
      <c r="AF557" s="65"/>
      <c r="AG557" s="65"/>
      <c r="AH557" s="65"/>
    </row>
    <row r="558">
      <c r="A558" s="61"/>
      <c r="B558" s="61"/>
      <c r="C558" s="61"/>
      <c r="D558" s="62"/>
      <c r="E558" s="61"/>
      <c r="F558" s="61"/>
      <c r="G558" s="61"/>
      <c r="H558" s="61"/>
      <c r="I558" s="61"/>
      <c r="J558" s="61"/>
      <c r="K558" s="61"/>
      <c r="L558" s="61"/>
      <c r="M558" s="61"/>
      <c r="N558" s="61"/>
      <c r="O558" s="63"/>
      <c r="P558" s="61"/>
      <c r="Q558" s="61"/>
      <c r="R558" s="61"/>
      <c r="S558" s="61"/>
      <c r="T558" s="61"/>
      <c r="U558" s="61"/>
      <c r="V558" s="64"/>
      <c r="W558" s="61"/>
      <c r="X558" s="61"/>
      <c r="Y558" s="61"/>
      <c r="Z558" s="61"/>
      <c r="AA558" s="61"/>
      <c r="AB558" s="61"/>
      <c r="AC558" s="61"/>
      <c r="AD558" s="61"/>
      <c r="AE558" s="61"/>
      <c r="AF558" s="61"/>
      <c r="AG558" s="61"/>
      <c r="AH558" s="61"/>
    </row>
    <row r="559">
      <c r="A559" s="65"/>
      <c r="B559" s="65"/>
      <c r="C559" s="65"/>
      <c r="D559" s="66"/>
      <c r="E559" s="65"/>
      <c r="F559" s="65"/>
      <c r="G559" s="65"/>
      <c r="H559" s="65"/>
      <c r="I559" s="65"/>
      <c r="J559" s="65"/>
      <c r="K559" s="65"/>
      <c r="L559" s="65"/>
      <c r="M559" s="65"/>
      <c r="N559" s="65"/>
      <c r="O559" s="67"/>
      <c r="P559" s="65"/>
      <c r="Q559" s="65"/>
      <c r="R559" s="65"/>
      <c r="S559" s="65"/>
      <c r="T559" s="65"/>
      <c r="U559" s="65"/>
      <c r="V559" s="68"/>
      <c r="W559" s="65"/>
      <c r="X559" s="65"/>
      <c r="Y559" s="65"/>
      <c r="Z559" s="65"/>
      <c r="AA559" s="65"/>
      <c r="AB559" s="65"/>
      <c r="AC559" s="65"/>
      <c r="AD559" s="65"/>
      <c r="AE559" s="65"/>
      <c r="AF559" s="65"/>
      <c r="AG559" s="65"/>
      <c r="AH559" s="65"/>
    </row>
    <row r="560">
      <c r="A560" s="61"/>
      <c r="B560" s="61"/>
      <c r="C560" s="61"/>
      <c r="D560" s="62"/>
      <c r="E560" s="61"/>
      <c r="F560" s="61"/>
      <c r="G560" s="61"/>
      <c r="H560" s="61"/>
      <c r="I560" s="61"/>
      <c r="J560" s="61"/>
      <c r="K560" s="61"/>
      <c r="L560" s="61"/>
      <c r="M560" s="61"/>
      <c r="N560" s="61"/>
      <c r="O560" s="63"/>
      <c r="P560" s="61"/>
      <c r="Q560" s="61"/>
      <c r="R560" s="61"/>
      <c r="S560" s="61"/>
      <c r="T560" s="61"/>
      <c r="U560" s="61"/>
      <c r="V560" s="64"/>
      <c r="W560" s="61"/>
      <c r="X560" s="61"/>
      <c r="Y560" s="61"/>
      <c r="Z560" s="61"/>
      <c r="AA560" s="61"/>
      <c r="AB560" s="61"/>
      <c r="AC560" s="61"/>
      <c r="AD560" s="61"/>
      <c r="AE560" s="61"/>
      <c r="AF560" s="61"/>
      <c r="AG560" s="61"/>
      <c r="AH560" s="61"/>
    </row>
    <row r="561">
      <c r="A561" s="65"/>
      <c r="B561" s="65"/>
      <c r="C561" s="65"/>
      <c r="D561" s="66"/>
      <c r="E561" s="65"/>
      <c r="F561" s="65"/>
      <c r="G561" s="65"/>
      <c r="H561" s="65"/>
      <c r="I561" s="65"/>
      <c r="J561" s="65"/>
      <c r="K561" s="65"/>
      <c r="L561" s="65"/>
      <c r="M561" s="65"/>
      <c r="N561" s="65"/>
      <c r="O561" s="67"/>
      <c r="P561" s="65"/>
      <c r="Q561" s="65"/>
      <c r="R561" s="65"/>
      <c r="S561" s="65"/>
      <c r="T561" s="65"/>
      <c r="U561" s="65"/>
      <c r="V561" s="68"/>
      <c r="W561" s="65"/>
      <c r="X561" s="65"/>
      <c r="Y561" s="65"/>
      <c r="Z561" s="65"/>
      <c r="AA561" s="65"/>
      <c r="AB561" s="65"/>
      <c r="AC561" s="65"/>
      <c r="AD561" s="65"/>
      <c r="AE561" s="65"/>
      <c r="AF561" s="65"/>
      <c r="AG561" s="65"/>
      <c r="AH561" s="65"/>
    </row>
    <row r="562">
      <c r="A562" s="61"/>
      <c r="B562" s="61"/>
      <c r="C562" s="61"/>
      <c r="D562" s="62"/>
      <c r="E562" s="61"/>
      <c r="F562" s="61"/>
      <c r="G562" s="61"/>
      <c r="H562" s="61"/>
      <c r="I562" s="61"/>
      <c r="J562" s="61"/>
      <c r="K562" s="61"/>
      <c r="L562" s="61"/>
      <c r="M562" s="61"/>
      <c r="N562" s="61"/>
      <c r="O562" s="63"/>
      <c r="P562" s="61"/>
      <c r="Q562" s="61"/>
      <c r="R562" s="61"/>
      <c r="S562" s="61"/>
      <c r="T562" s="61"/>
      <c r="U562" s="61"/>
      <c r="V562" s="64"/>
      <c r="W562" s="61"/>
      <c r="X562" s="61"/>
      <c r="Y562" s="61"/>
      <c r="Z562" s="61"/>
      <c r="AA562" s="61"/>
      <c r="AB562" s="61"/>
      <c r="AC562" s="61"/>
      <c r="AD562" s="61"/>
      <c r="AE562" s="61"/>
      <c r="AF562" s="61"/>
      <c r="AG562" s="61"/>
      <c r="AH562" s="61"/>
    </row>
    <row r="563">
      <c r="A563" s="65"/>
      <c r="B563" s="65"/>
      <c r="C563" s="65"/>
      <c r="D563" s="66"/>
      <c r="E563" s="65"/>
      <c r="F563" s="65"/>
      <c r="G563" s="65"/>
      <c r="H563" s="65"/>
      <c r="I563" s="65"/>
      <c r="J563" s="65"/>
      <c r="K563" s="65"/>
      <c r="L563" s="65"/>
      <c r="M563" s="65"/>
      <c r="N563" s="65"/>
      <c r="O563" s="67"/>
      <c r="P563" s="65"/>
      <c r="Q563" s="65"/>
      <c r="R563" s="65"/>
      <c r="S563" s="65"/>
      <c r="T563" s="65"/>
      <c r="U563" s="65"/>
      <c r="V563" s="68"/>
      <c r="W563" s="65"/>
      <c r="X563" s="65"/>
      <c r="Y563" s="65"/>
      <c r="Z563" s="65"/>
      <c r="AA563" s="65"/>
      <c r="AB563" s="65"/>
      <c r="AC563" s="65"/>
      <c r="AD563" s="65"/>
      <c r="AE563" s="65"/>
      <c r="AF563" s="65"/>
      <c r="AG563" s="65"/>
      <c r="AH563" s="65"/>
    </row>
    <row r="564">
      <c r="A564" s="61"/>
      <c r="B564" s="61"/>
      <c r="C564" s="61"/>
      <c r="D564" s="62"/>
      <c r="E564" s="61"/>
      <c r="F564" s="61"/>
      <c r="G564" s="61"/>
      <c r="H564" s="61"/>
      <c r="I564" s="61"/>
      <c r="J564" s="61"/>
      <c r="K564" s="61"/>
      <c r="L564" s="61"/>
      <c r="M564" s="61"/>
      <c r="N564" s="61"/>
      <c r="O564" s="63"/>
      <c r="P564" s="61"/>
      <c r="Q564" s="61"/>
      <c r="R564" s="61"/>
      <c r="S564" s="61"/>
      <c r="T564" s="61"/>
      <c r="U564" s="61"/>
      <c r="V564" s="64"/>
      <c r="W564" s="61"/>
      <c r="X564" s="61"/>
      <c r="Y564" s="61"/>
      <c r="Z564" s="61"/>
      <c r="AA564" s="61"/>
      <c r="AB564" s="61"/>
      <c r="AC564" s="61"/>
      <c r="AD564" s="61"/>
      <c r="AE564" s="61"/>
      <c r="AF564" s="61"/>
      <c r="AG564" s="61"/>
      <c r="AH564" s="61"/>
    </row>
    <row r="565">
      <c r="A565" s="65"/>
      <c r="B565" s="65"/>
      <c r="C565" s="65"/>
      <c r="D565" s="66"/>
      <c r="E565" s="65"/>
      <c r="F565" s="65"/>
      <c r="G565" s="65"/>
      <c r="H565" s="65"/>
      <c r="I565" s="65"/>
      <c r="J565" s="65"/>
      <c r="K565" s="65"/>
      <c r="L565" s="65"/>
      <c r="M565" s="65"/>
      <c r="N565" s="65"/>
      <c r="O565" s="67"/>
      <c r="P565" s="65"/>
      <c r="Q565" s="65"/>
      <c r="R565" s="65"/>
      <c r="S565" s="65"/>
      <c r="T565" s="65"/>
      <c r="U565" s="65"/>
      <c r="V565" s="68"/>
      <c r="W565" s="65"/>
      <c r="X565" s="65"/>
      <c r="Y565" s="65"/>
      <c r="Z565" s="65"/>
      <c r="AA565" s="65"/>
      <c r="AB565" s="65"/>
      <c r="AC565" s="65"/>
      <c r="AD565" s="65"/>
      <c r="AE565" s="65"/>
      <c r="AF565" s="65"/>
      <c r="AG565" s="65"/>
      <c r="AH565" s="65"/>
    </row>
    <row r="566">
      <c r="A566" s="61"/>
      <c r="B566" s="61"/>
      <c r="C566" s="61"/>
      <c r="D566" s="62"/>
      <c r="E566" s="61"/>
      <c r="F566" s="61"/>
      <c r="G566" s="61"/>
      <c r="H566" s="61"/>
      <c r="I566" s="61"/>
      <c r="J566" s="61"/>
      <c r="K566" s="61"/>
      <c r="L566" s="61"/>
      <c r="M566" s="61"/>
      <c r="N566" s="61"/>
      <c r="O566" s="63"/>
      <c r="P566" s="61"/>
      <c r="Q566" s="61"/>
      <c r="R566" s="61"/>
      <c r="S566" s="61"/>
      <c r="T566" s="61"/>
      <c r="U566" s="61"/>
      <c r="V566" s="64"/>
      <c r="W566" s="61"/>
      <c r="X566" s="61"/>
      <c r="Y566" s="61"/>
      <c r="Z566" s="61"/>
      <c r="AA566" s="61"/>
      <c r="AB566" s="61"/>
      <c r="AC566" s="61"/>
      <c r="AD566" s="61"/>
      <c r="AE566" s="61"/>
      <c r="AF566" s="61"/>
      <c r="AG566" s="61"/>
      <c r="AH566" s="61"/>
    </row>
    <row r="567">
      <c r="A567" s="65"/>
      <c r="B567" s="65"/>
      <c r="C567" s="65"/>
      <c r="D567" s="66"/>
      <c r="E567" s="65"/>
      <c r="F567" s="65"/>
      <c r="G567" s="65"/>
      <c r="H567" s="65"/>
      <c r="I567" s="65"/>
      <c r="J567" s="65"/>
      <c r="K567" s="65"/>
      <c r="L567" s="65"/>
      <c r="M567" s="65"/>
      <c r="N567" s="65"/>
      <c r="O567" s="67"/>
      <c r="P567" s="65"/>
      <c r="Q567" s="65"/>
      <c r="R567" s="65"/>
      <c r="S567" s="65"/>
      <c r="T567" s="65"/>
      <c r="U567" s="65"/>
      <c r="V567" s="68"/>
      <c r="W567" s="65"/>
      <c r="X567" s="65"/>
      <c r="Y567" s="65"/>
      <c r="Z567" s="65"/>
      <c r="AA567" s="65"/>
      <c r="AB567" s="65"/>
      <c r="AC567" s="65"/>
      <c r="AD567" s="65"/>
      <c r="AE567" s="65"/>
      <c r="AF567" s="65"/>
      <c r="AG567" s="65"/>
      <c r="AH567" s="65"/>
    </row>
    <row r="568">
      <c r="A568" s="61"/>
      <c r="B568" s="61"/>
      <c r="C568" s="61"/>
      <c r="D568" s="62"/>
      <c r="E568" s="61"/>
      <c r="F568" s="61"/>
      <c r="G568" s="61"/>
      <c r="H568" s="61"/>
      <c r="I568" s="61"/>
      <c r="J568" s="61"/>
      <c r="K568" s="61"/>
      <c r="L568" s="61"/>
      <c r="M568" s="61"/>
      <c r="N568" s="61"/>
      <c r="O568" s="63"/>
      <c r="P568" s="61"/>
      <c r="Q568" s="61"/>
      <c r="R568" s="61"/>
      <c r="S568" s="61"/>
      <c r="T568" s="61"/>
      <c r="U568" s="61"/>
      <c r="V568" s="64"/>
      <c r="W568" s="61"/>
      <c r="X568" s="61"/>
      <c r="Y568" s="61"/>
      <c r="Z568" s="61"/>
      <c r="AA568" s="61"/>
      <c r="AB568" s="61"/>
      <c r="AC568" s="61"/>
      <c r="AD568" s="61"/>
      <c r="AE568" s="61"/>
      <c r="AF568" s="61"/>
      <c r="AG568" s="61"/>
      <c r="AH568" s="61"/>
    </row>
    <row r="569">
      <c r="A569" s="65"/>
      <c r="B569" s="65"/>
      <c r="C569" s="65"/>
      <c r="D569" s="66"/>
      <c r="E569" s="65"/>
      <c r="F569" s="65"/>
      <c r="G569" s="65"/>
      <c r="H569" s="65"/>
      <c r="I569" s="65"/>
      <c r="J569" s="65"/>
      <c r="K569" s="65"/>
      <c r="L569" s="65"/>
      <c r="M569" s="65"/>
      <c r="N569" s="65"/>
      <c r="O569" s="67"/>
      <c r="P569" s="65"/>
      <c r="Q569" s="65"/>
      <c r="R569" s="65"/>
      <c r="S569" s="65"/>
      <c r="T569" s="65"/>
      <c r="U569" s="65"/>
      <c r="V569" s="68"/>
      <c r="W569" s="65"/>
      <c r="X569" s="65"/>
      <c r="Y569" s="65"/>
      <c r="Z569" s="65"/>
      <c r="AA569" s="65"/>
      <c r="AB569" s="65"/>
      <c r="AC569" s="65"/>
      <c r="AD569" s="65"/>
      <c r="AE569" s="65"/>
      <c r="AF569" s="65"/>
      <c r="AG569" s="65"/>
      <c r="AH569" s="65"/>
    </row>
    <row r="570">
      <c r="A570" s="61"/>
      <c r="B570" s="61"/>
      <c r="C570" s="61"/>
      <c r="D570" s="62"/>
      <c r="E570" s="61"/>
      <c r="F570" s="61"/>
      <c r="G570" s="61"/>
      <c r="H570" s="61"/>
      <c r="I570" s="61"/>
      <c r="J570" s="61"/>
      <c r="K570" s="61"/>
      <c r="L570" s="61"/>
      <c r="M570" s="61"/>
      <c r="N570" s="61"/>
      <c r="O570" s="63"/>
      <c r="P570" s="61"/>
      <c r="Q570" s="61"/>
      <c r="R570" s="61"/>
      <c r="S570" s="61"/>
      <c r="T570" s="61"/>
      <c r="U570" s="61"/>
      <c r="V570" s="64"/>
      <c r="W570" s="61"/>
      <c r="X570" s="61"/>
      <c r="Y570" s="61"/>
      <c r="Z570" s="61"/>
      <c r="AA570" s="61"/>
      <c r="AB570" s="61"/>
      <c r="AC570" s="61"/>
      <c r="AD570" s="61"/>
      <c r="AE570" s="61"/>
      <c r="AF570" s="61"/>
      <c r="AG570" s="61"/>
      <c r="AH570" s="61"/>
    </row>
    <row r="571">
      <c r="A571" s="65"/>
      <c r="B571" s="65"/>
      <c r="C571" s="65"/>
      <c r="D571" s="66"/>
      <c r="E571" s="65"/>
      <c r="F571" s="65"/>
      <c r="G571" s="65"/>
      <c r="H571" s="65"/>
      <c r="I571" s="65"/>
      <c r="J571" s="65"/>
      <c r="K571" s="65"/>
      <c r="L571" s="65"/>
      <c r="M571" s="65"/>
      <c r="N571" s="65"/>
      <c r="O571" s="67"/>
      <c r="P571" s="65"/>
      <c r="Q571" s="65"/>
      <c r="R571" s="65"/>
      <c r="S571" s="65"/>
      <c r="T571" s="65"/>
      <c r="U571" s="65"/>
      <c r="V571" s="68"/>
      <c r="W571" s="65"/>
      <c r="X571" s="65"/>
      <c r="Y571" s="65"/>
      <c r="Z571" s="65"/>
      <c r="AA571" s="65"/>
      <c r="AB571" s="65"/>
      <c r="AC571" s="65"/>
      <c r="AD571" s="65"/>
      <c r="AE571" s="65"/>
      <c r="AF571" s="65"/>
      <c r="AG571" s="65"/>
      <c r="AH571" s="65"/>
    </row>
    <row r="572">
      <c r="A572" s="61"/>
      <c r="B572" s="61"/>
      <c r="C572" s="61"/>
      <c r="D572" s="62"/>
      <c r="E572" s="61"/>
      <c r="F572" s="61"/>
      <c r="G572" s="61"/>
      <c r="H572" s="61"/>
      <c r="I572" s="61"/>
      <c r="J572" s="61"/>
      <c r="K572" s="61"/>
      <c r="L572" s="61"/>
      <c r="M572" s="61"/>
      <c r="N572" s="61"/>
      <c r="O572" s="63"/>
      <c r="P572" s="61"/>
      <c r="Q572" s="61"/>
      <c r="R572" s="61"/>
      <c r="S572" s="61"/>
      <c r="T572" s="61"/>
      <c r="U572" s="61"/>
      <c r="V572" s="64"/>
      <c r="W572" s="61"/>
      <c r="X572" s="61"/>
      <c r="Y572" s="61"/>
      <c r="Z572" s="61"/>
      <c r="AA572" s="61"/>
      <c r="AB572" s="61"/>
      <c r="AC572" s="61"/>
      <c r="AD572" s="61"/>
      <c r="AE572" s="61"/>
      <c r="AF572" s="61"/>
      <c r="AG572" s="61"/>
      <c r="AH572" s="61"/>
    </row>
    <row r="573">
      <c r="A573" s="65"/>
      <c r="B573" s="65"/>
      <c r="C573" s="65"/>
      <c r="D573" s="66"/>
      <c r="E573" s="65"/>
      <c r="F573" s="65"/>
      <c r="G573" s="65"/>
      <c r="H573" s="65"/>
      <c r="I573" s="65"/>
      <c r="J573" s="65"/>
      <c r="K573" s="65"/>
      <c r="L573" s="65"/>
      <c r="M573" s="65"/>
      <c r="N573" s="65"/>
      <c r="O573" s="67"/>
      <c r="P573" s="65"/>
      <c r="Q573" s="65"/>
      <c r="R573" s="65"/>
      <c r="S573" s="65"/>
      <c r="T573" s="65"/>
      <c r="U573" s="65"/>
      <c r="V573" s="68"/>
      <c r="W573" s="65"/>
      <c r="X573" s="65"/>
      <c r="Y573" s="65"/>
      <c r="Z573" s="65"/>
      <c r="AA573" s="65"/>
      <c r="AB573" s="65"/>
      <c r="AC573" s="65"/>
      <c r="AD573" s="65"/>
      <c r="AE573" s="65"/>
      <c r="AF573" s="65"/>
      <c r="AG573" s="65"/>
      <c r="AH573" s="65"/>
    </row>
    <row r="574">
      <c r="A574" s="61"/>
      <c r="B574" s="61"/>
      <c r="C574" s="61"/>
      <c r="D574" s="62"/>
      <c r="E574" s="61"/>
      <c r="F574" s="61"/>
      <c r="G574" s="61"/>
      <c r="H574" s="61"/>
      <c r="I574" s="61"/>
      <c r="J574" s="61"/>
      <c r="K574" s="61"/>
      <c r="L574" s="61"/>
      <c r="M574" s="61"/>
      <c r="N574" s="61"/>
      <c r="O574" s="63"/>
      <c r="P574" s="61"/>
      <c r="Q574" s="61"/>
      <c r="R574" s="61"/>
      <c r="S574" s="61"/>
      <c r="T574" s="61"/>
      <c r="U574" s="61"/>
      <c r="V574" s="64"/>
      <c r="W574" s="61"/>
      <c r="X574" s="61"/>
      <c r="Y574" s="61"/>
      <c r="Z574" s="61"/>
      <c r="AA574" s="61"/>
      <c r="AB574" s="61"/>
      <c r="AC574" s="61"/>
      <c r="AD574" s="61"/>
      <c r="AE574" s="61"/>
      <c r="AF574" s="61"/>
      <c r="AG574" s="61"/>
      <c r="AH574" s="61"/>
    </row>
    <row r="575">
      <c r="A575" s="65"/>
      <c r="B575" s="65"/>
      <c r="C575" s="65"/>
      <c r="D575" s="66"/>
      <c r="E575" s="65"/>
      <c r="F575" s="65"/>
      <c r="G575" s="65"/>
      <c r="H575" s="65"/>
      <c r="I575" s="65"/>
      <c r="J575" s="65"/>
      <c r="K575" s="65"/>
      <c r="L575" s="65"/>
      <c r="M575" s="65"/>
      <c r="N575" s="65"/>
      <c r="O575" s="67"/>
      <c r="P575" s="65"/>
      <c r="Q575" s="65"/>
      <c r="R575" s="65"/>
      <c r="S575" s="65"/>
      <c r="T575" s="65"/>
      <c r="U575" s="65"/>
      <c r="V575" s="68"/>
      <c r="W575" s="65"/>
      <c r="X575" s="65"/>
      <c r="Y575" s="65"/>
      <c r="Z575" s="65"/>
      <c r="AA575" s="65"/>
      <c r="AB575" s="65"/>
      <c r="AC575" s="65"/>
      <c r="AD575" s="65"/>
      <c r="AE575" s="65"/>
      <c r="AF575" s="65"/>
      <c r="AG575" s="65"/>
      <c r="AH575" s="65"/>
    </row>
    <row r="576">
      <c r="A576" s="61"/>
      <c r="B576" s="61"/>
      <c r="C576" s="61"/>
      <c r="D576" s="62"/>
      <c r="E576" s="61"/>
      <c r="F576" s="61"/>
      <c r="G576" s="61"/>
      <c r="H576" s="61"/>
      <c r="I576" s="61"/>
      <c r="J576" s="61"/>
      <c r="K576" s="61"/>
      <c r="L576" s="61"/>
      <c r="M576" s="61"/>
      <c r="N576" s="61"/>
      <c r="O576" s="63"/>
      <c r="P576" s="61"/>
      <c r="Q576" s="61"/>
      <c r="R576" s="61"/>
      <c r="S576" s="61"/>
      <c r="T576" s="61"/>
      <c r="U576" s="61"/>
      <c r="V576" s="64"/>
      <c r="W576" s="61"/>
      <c r="X576" s="61"/>
      <c r="Y576" s="61"/>
      <c r="Z576" s="61"/>
      <c r="AA576" s="61"/>
      <c r="AB576" s="61"/>
      <c r="AC576" s="61"/>
      <c r="AD576" s="61"/>
      <c r="AE576" s="61"/>
      <c r="AF576" s="61"/>
      <c r="AG576" s="61"/>
      <c r="AH576" s="61"/>
    </row>
    <row r="577">
      <c r="A577" s="65"/>
      <c r="B577" s="65"/>
      <c r="C577" s="65"/>
      <c r="D577" s="66"/>
      <c r="E577" s="65"/>
      <c r="F577" s="65"/>
      <c r="G577" s="65"/>
      <c r="H577" s="65"/>
      <c r="I577" s="65"/>
      <c r="J577" s="65"/>
      <c r="K577" s="65"/>
      <c r="L577" s="65"/>
      <c r="M577" s="65"/>
      <c r="N577" s="65"/>
      <c r="O577" s="67"/>
      <c r="P577" s="65"/>
      <c r="Q577" s="65"/>
      <c r="R577" s="65"/>
      <c r="S577" s="65"/>
      <c r="T577" s="65"/>
      <c r="U577" s="65"/>
      <c r="V577" s="68"/>
      <c r="W577" s="65"/>
      <c r="X577" s="65"/>
      <c r="Y577" s="65"/>
      <c r="Z577" s="65"/>
      <c r="AA577" s="65"/>
      <c r="AB577" s="65"/>
      <c r="AC577" s="65"/>
      <c r="AD577" s="65"/>
      <c r="AE577" s="65"/>
      <c r="AF577" s="65"/>
      <c r="AG577" s="65"/>
      <c r="AH577" s="65"/>
    </row>
    <row r="578">
      <c r="A578" s="61"/>
      <c r="B578" s="61"/>
      <c r="C578" s="61"/>
      <c r="D578" s="62"/>
      <c r="E578" s="61"/>
      <c r="F578" s="61"/>
      <c r="G578" s="61"/>
      <c r="H578" s="61"/>
      <c r="I578" s="61"/>
      <c r="J578" s="61"/>
      <c r="K578" s="61"/>
      <c r="L578" s="61"/>
      <c r="M578" s="61"/>
      <c r="N578" s="61"/>
      <c r="O578" s="63"/>
      <c r="P578" s="61"/>
      <c r="Q578" s="61"/>
      <c r="R578" s="61"/>
      <c r="S578" s="61"/>
      <c r="T578" s="61"/>
      <c r="U578" s="61"/>
      <c r="V578" s="64"/>
      <c r="W578" s="61"/>
      <c r="X578" s="61"/>
      <c r="Y578" s="61"/>
      <c r="Z578" s="61"/>
      <c r="AA578" s="61"/>
      <c r="AB578" s="61"/>
      <c r="AC578" s="61"/>
      <c r="AD578" s="61"/>
      <c r="AE578" s="61"/>
      <c r="AF578" s="61"/>
      <c r="AG578" s="61"/>
      <c r="AH578" s="61"/>
    </row>
    <row r="579">
      <c r="A579" s="65"/>
      <c r="B579" s="65"/>
      <c r="C579" s="65"/>
      <c r="D579" s="66"/>
      <c r="E579" s="65"/>
      <c r="F579" s="65"/>
      <c r="G579" s="65"/>
      <c r="H579" s="65"/>
      <c r="I579" s="65"/>
      <c r="J579" s="65"/>
      <c r="K579" s="65"/>
      <c r="L579" s="65"/>
      <c r="M579" s="65"/>
      <c r="N579" s="65"/>
      <c r="O579" s="67"/>
      <c r="P579" s="65"/>
      <c r="Q579" s="65"/>
      <c r="R579" s="65"/>
      <c r="S579" s="65"/>
      <c r="T579" s="65"/>
      <c r="U579" s="65"/>
      <c r="V579" s="68"/>
      <c r="W579" s="65"/>
      <c r="X579" s="65"/>
      <c r="Y579" s="65"/>
      <c r="Z579" s="65"/>
      <c r="AA579" s="65"/>
      <c r="AB579" s="65"/>
      <c r="AC579" s="65"/>
      <c r="AD579" s="65"/>
      <c r="AE579" s="65"/>
      <c r="AF579" s="65"/>
      <c r="AG579" s="65"/>
      <c r="AH579" s="65"/>
    </row>
    <row r="580">
      <c r="A580" s="61"/>
      <c r="B580" s="61"/>
      <c r="C580" s="61"/>
      <c r="D580" s="62"/>
      <c r="E580" s="61"/>
      <c r="F580" s="61"/>
      <c r="G580" s="61"/>
      <c r="H580" s="61"/>
      <c r="I580" s="61"/>
      <c r="J580" s="61"/>
      <c r="K580" s="61"/>
      <c r="L580" s="61"/>
      <c r="M580" s="61"/>
      <c r="N580" s="61"/>
      <c r="O580" s="63"/>
      <c r="P580" s="61"/>
      <c r="Q580" s="61"/>
      <c r="R580" s="61"/>
      <c r="S580" s="61"/>
      <c r="T580" s="61"/>
      <c r="U580" s="61"/>
      <c r="V580" s="64"/>
      <c r="W580" s="61"/>
      <c r="X580" s="61"/>
      <c r="Y580" s="61"/>
      <c r="Z580" s="61"/>
      <c r="AA580" s="61"/>
      <c r="AB580" s="61"/>
      <c r="AC580" s="61"/>
      <c r="AD580" s="61"/>
      <c r="AE580" s="61"/>
      <c r="AF580" s="61"/>
      <c r="AG580" s="61"/>
      <c r="AH580" s="61"/>
    </row>
    <row r="581">
      <c r="A581" s="65"/>
      <c r="B581" s="65"/>
      <c r="C581" s="65"/>
      <c r="D581" s="66"/>
      <c r="E581" s="65"/>
      <c r="F581" s="65"/>
      <c r="G581" s="65"/>
      <c r="H581" s="65"/>
      <c r="I581" s="65"/>
      <c r="J581" s="65"/>
      <c r="K581" s="65"/>
      <c r="L581" s="65"/>
      <c r="M581" s="65"/>
      <c r="N581" s="65"/>
      <c r="O581" s="67"/>
      <c r="P581" s="65"/>
      <c r="Q581" s="65"/>
      <c r="R581" s="65"/>
      <c r="S581" s="65"/>
      <c r="T581" s="65"/>
      <c r="U581" s="65"/>
      <c r="V581" s="68"/>
      <c r="W581" s="65"/>
      <c r="X581" s="65"/>
      <c r="Y581" s="65"/>
      <c r="Z581" s="65"/>
      <c r="AA581" s="65"/>
      <c r="AB581" s="65"/>
      <c r="AC581" s="65"/>
      <c r="AD581" s="65"/>
      <c r="AE581" s="65"/>
      <c r="AF581" s="65"/>
      <c r="AG581" s="65"/>
      <c r="AH581" s="65"/>
    </row>
    <row r="582">
      <c r="A582" s="61"/>
      <c r="B582" s="61"/>
      <c r="C582" s="61"/>
      <c r="D582" s="62"/>
      <c r="E582" s="61"/>
      <c r="F582" s="61"/>
      <c r="G582" s="61"/>
      <c r="H582" s="61"/>
      <c r="I582" s="61"/>
      <c r="J582" s="61"/>
      <c r="K582" s="61"/>
      <c r="L582" s="61"/>
      <c r="M582" s="61"/>
      <c r="N582" s="61"/>
      <c r="O582" s="63"/>
      <c r="P582" s="61"/>
      <c r="Q582" s="61"/>
      <c r="R582" s="61"/>
      <c r="S582" s="61"/>
      <c r="T582" s="61"/>
      <c r="U582" s="61"/>
      <c r="V582" s="64"/>
      <c r="W582" s="61"/>
      <c r="X582" s="61"/>
      <c r="Y582" s="61"/>
      <c r="Z582" s="61"/>
      <c r="AA582" s="61"/>
      <c r="AB582" s="61"/>
      <c r="AC582" s="61"/>
      <c r="AD582" s="61"/>
      <c r="AE582" s="61"/>
      <c r="AF582" s="61"/>
      <c r="AG582" s="61"/>
      <c r="AH582" s="61"/>
    </row>
    <row r="583">
      <c r="A583" s="65"/>
      <c r="B583" s="65"/>
      <c r="C583" s="65"/>
      <c r="D583" s="66"/>
      <c r="E583" s="65"/>
      <c r="F583" s="65"/>
      <c r="G583" s="65"/>
      <c r="H583" s="65"/>
      <c r="I583" s="65"/>
      <c r="J583" s="65"/>
      <c r="K583" s="65"/>
      <c r="L583" s="65"/>
      <c r="M583" s="65"/>
      <c r="N583" s="65"/>
      <c r="O583" s="67"/>
      <c r="P583" s="65"/>
      <c r="Q583" s="65"/>
      <c r="R583" s="65"/>
      <c r="S583" s="65"/>
      <c r="T583" s="65"/>
      <c r="U583" s="65"/>
      <c r="V583" s="68"/>
      <c r="W583" s="65"/>
      <c r="X583" s="65"/>
      <c r="Y583" s="65"/>
      <c r="Z583" s="65"/>
      <c r="AA583" s="65"/>
      <c r="AB583" s="65"/>
      <c r="AC583" s="65"/>
      <c r="AD583" s="65"/>
      <c r="AE583" s="65"/>
      <c r="AF583" s="65"/>
      <c r="AG583" s="65"/>
      <c r="AH583" s="65"/>
    </row>
    <row r="584">
      <c r="A584" s="61"/>
      <c r="B584" s="61"/>
      <c r="C584" s="61"/>
      <c r="D584" s="62"/>
      <c r="E584" s="61"/>
      <c r="F584" s="61"/>
      <c r="G584" s="61"/>
      <c r="H584" s="61"/>
      <c r="I584" s="61"/>
      <c r="J584" s="61"/>
      <c r="K584" s="61"/>
      <c r="L584" s="61"/>
      <c r="M584" s="61"/>
      <c r="N584" s="61"/>
      <c r="O584" s="63"/>
      <c r="P584" s="61"/>
      <c r="Q584" s="61"/>
      <c r="R584" s="61"/>
      <c r="S584" s="61"/>
      <c r="T584" s="61"/>
      <c r="U584" s="61"/>
      <c r="V584" s="64"/>
      <c r="W584" s="61"/>
      <c r="X584" s="61"/>
      <c r="Y584" s="61"/>
      <c r="Z584" s="61"/>
      <c r="AA584" s="61"/>
      <c r="AB584" s="61"/>
      <c r="AC584" s="61"/>
      <c r="AD584" s="61"/>
      <c r="AE584" s="61"/>
      <c r="AF584" s="61"/>
      <c r="AG584" s="61"/>
      <c r="AH584" s="61"/>
    </row>
    <row r="585">
      <c r="A585" s="65"/>
      <c r="B585" s="65"/>
      <c r="C585" s="65"/>
      <c r="D585" s="66"/>
      <c r="E585" s="65"/>
      <c r="F585" s="65"/>
      <c r="G585" s="65"/>
      <c r="H585" s="65"/>
      <c r="I585" s="65"/>
      <c r="J585" s="65"/>
      <c r="K585" s="65"/>
      <c r="L585" s="65"/>
      <c r="M585" s="65"/>
      <c r="N585" s="65"/>
      <c r="O585" s="67"/>
      <c r="P585" s="65"/>
      <c r="Q585" s="65"/>
      <c r="R585" s="65"/>
      <c r="S585" s="65"/>
      <c r="T585" s="65"/>
      <c r="U585" s="65"/>
      <c r="V585" s="68"/>
      <c r="W585" s="65"/>
      <c r="X585" s="65"/>
      <c r="Y585" s="65"/>
      <c r="Z585" s="65"/>
      <c r="AA585" s="65"/>
      <c r="AB585" s="65"/>
      <c r="AC585" s="65"/>
      <c r="AD585" s="65"/>
      <c r="AE585" s="65"/>
      <c r="AF585" s="65"/>
      <c r="AG585" s="65"/>
      <c r="AH585" s="65"/>
    </row>
    <row r="586">
      <c r="A586" s="61"/>
      <c r="B586" s="61"/>
      <c r="C586" s="61"/>
      <c r="D586" s="62"/>
      <c r="E586" s="61"/>
      <c r="F586" s="61"/>
      <c r="G586" s="61"/>
      <c r="H586" s="61"/>
      <c r="I586" s="61"/>
      <c r="J586" s="61"/>
      <c r="K586" s="61"/>
      <c r="L586" s="61"/>
      <c r="M586" s="61"/>
      <c r="N586" s="61"/>
      <c r="O586" s="63"/>
      <c r="P586" s="61"/>
      <c r="Q586" s="61"/>
      <c r="R586" s="61"/>
      <c r="S586" s="61"/>
      <c r="T586" s="61"/>
      <c r="U586" s="61"/>
      <c r="V586" s="64"/>
      <c r="W586" s="61"/>
      <c r="X586" s="61"/>
      <c r="Y586" s="61"/>
      <c r="Z586" s="61"/>
      <c r="AA586" s="61"/>
      <c r="AB586" s="61"/>
      <c r="AC586" s="61"/>
      <c r="AD586" s="61"/>
      <c r="AE586" s="61"/>
      <c r="AF586" s="61"/>
      <c r="AG586" s="61"/>
      <c r="AH586" s="61"/>
    </row>
    <row r="587">
      <c r="A587" s="65"/>
      <c r="B587" s="65"/>
      <c r="C587" s="65"/>
      <c r="D587" s="66"/>
      <c r="E587" s="65"/>
      <c r="F587" s="65"/>
      <c r="G587" s="65"/>
      <c r="H587" s="65"/>
      <c r="I587" s="65"/>
      <c r="J587" s="65"/>
      <c r="K587" s="65"/>
      <c r="L587" s="65"/>
      <c r="M587" s="65"/>
      <c r="N587" s="65"/>
      <c r="O587" s="67"/>
      <c r="P587" s="65"/>
      <c r="Q587" s="65"/>
      <c r="R587" s="65"/>
      <c r="S587" s="65"/>
      <c r="T587" s="65"/>
      <c r="U587" s="65"/>
      <c r="V587" s="68"/>
      <c r="W587" s="65"/>
      <c r="X587" s="65"/>
      <c r="Y587" s="65"/>
      <c r="Z587" s="65"/>
      <c r="AA587" s="65"/>
      <c r="AB587" s="65"/>
      <c r="AC587" s="65"/>
      <c r="AD587" s="65"/>
      <c r="AE587" s="65"/>
      <c r="AF587" s="65"/>
      <c r="AG587" s="65"/>
      <c r="AH587" s="65"/>
    </row>
    <row r="588">
      <c r="A588" s="61"/>
      <c r="B588" s="61"/>
      <c r="C588" s="61"/>
      <c r="D588" s="62"/>
      <c r="E588" s="61"/>
      <c r="F588" s="61"/>
      <c r="G588" s="61"/>
      <c r="H588" s="61"/>
      <c r="I588" s="61"/>
      <c r="J588" s="61"/>
      <c r="K588" s="61"/>
      <c r="L588" s="61"/>
      <c r="M588" s="61"/>
      <c r="N588" s="61"/>
      <c r="O588" s="63"/>
      <c r="P588" s="61"/>
      <c r="Q588" s="61"/>
      <c r="R588" s="61"/>
      <c r="S588" s="61"/>
      <c r="T588" s="61"/>
      <c r="U588" s="61"/>
      <c r="V588" s="64"/>
      <c r="W588" s="61"/>
      <c r="X588" s="61"/>
      <c r="Y588" s="61"/>
      <c r="Z588" s="61"/>
      <c r="AA588" s="61"/>
      <c r="AB588" s="61"/>
      <c r="AC588" s="61"/>
      <c r="AD588" s="61"/>
      <c r="AE588" s="61"/>
      <c r="AF588" s="61"/>
      <c r="AG588" s="61"/>
      <c r="AH588" s="61"/>
    </row>
    <row r="589">
      <c r="A589" s="65"/>
      <c r="B589" s="65"/>
      <c r="C589" s="65"/>
      <c r="D589" s="66"/>
      <c r="E589" s="65"/>
      <c r="F589" s="65"/>
      <c r="G589" s="65"/>
      <c r="H589" s="65"/>
      <c r="I589" s="65"/>
      <c r="J589" s="65"/>
      <c r="K589" s="65"/>
      <c r="L589" s="65"/>
      <c r="M589" s="65"/>
      <c r="N589" s="65"/>
      <c r="O589" s="67"/>
      <c r="P589" s="65"/>
      <c r="Q589" s="65"/>
      <c r="R589" s="65"/>
      <c r="S589" s="65"/>
      <c r="T589" s="65"/>
      <c r="U589" s="65"/>
      <c r="V589" s="68"/>
      <c r="W589" s="65"/>
      <c r="X589" s="65"/>
      <c r="Y589" s="65"/>
      <c r="Z589" s="65"/>
      <c r="AA589" s="65"/>
      <c r="AB589" s="65"/>
      <c r="AC589" s="65"/>
      <c r="AD589" s="65"/>
      <c r="AE589" s="65"/>
      <c r="AF589" s="65"/>
      <c r="AG589" s="65"/>
      <c r="AH589" s="65"/>
    </row>
    <row r="590">
      <c r="A590" s="61"/>
      <c r="B590" s="61"/>
      <c r="C590" s="61"/>
      <c r="D590" s="62"/>
      <c r="E590" s="61"/>
      <c r="F590" s="61"/>
      <c r="G590" s="61"/>
      <c r="H590" s="61"/>
      <c r="I590" s="61"/>
      <c r="J590" s="61"/>
      <c r="K590" s="61"/>
      <c r="L590" s="61"/>
      <c r="M590" s="61"/>
      <c r="N590" s="61"/>
      <c r="O590" s="63"/>
      <c r="P590" s="61"/>
      <c r="Q590" s="61"/>
      <c r="R590" s="61"/>
      <c r="S590" s="61"/>
      <c r="T590" s="61"/>
      <c r="U590" s="61"/>
      <c r="V590" s="64"/>
      <c r="W590" s="61"/>
      <c r="X590" s="61"/>
      <c r="Y590" s="61"/>
      <c r="Z590" s="61"/>
      <c r="AA590" s="61"/>
      <c r="AB590" s="61"/>
      <c r="AC590" s="61"/>
      <c r="AD590" s="61"/>
      <c r="AE590" s="61"/>
      <c r="AF590" s="61"/>
      <c r="AG590" s="61"/>
      <c r="AH590" s="61"/>
    </row>
    <row r="591">
      <c r="A591" s="65"/>
      <c r="B591" s="65"/>
      <c r="C591" s="65"/>
      <c r="D591" s="66"/>
      <c r="E591" s="65"/>
      <c r="F591" s="65"/>
      <c r="G591" s="65"/>
      <c r="H591" s="65"/>
      <c r="I591" s="65"/>
      <c r="J591" s="65"/>
      <c r="K591" s="65"/>
      <c r="L591" s="65"/>
      <c r="M591" s="65"/>
      <c r="N591" s="65"/>
      <c r="O591" s="67"/>
      <c r="P591" s="65"/>
      <c r="Q591" s="65"/>
      <c r="R591" s="65"/>
      <c r="S591" s="65"/>
      <c r="T591" s="65"/>
      <c r="U591" s="65"/>
      <c r="V591" s="68"/>
      <c r="W591" s="65"/>
      <c r="X591" s="65"/>
      <c r="Y591" s="65"/>
      <c r="Z591" s="65"/>
      <c r="AA591" s="65"/>
      <c r="AB591" s="65"/>
      <c r="AC591" s="65"/>
      <c r="AD591" s="65"/>
      <c r="AE591" s="65"/>
      <c r="AF591" s="65"/>
      <c r="AG591" s="65"/>
      <c r="AH591" s="65"/>
    </row>
    <row r="592">
      <c r="A592" s="61"/>
      <c r="B592" s="61"/>
      <c r="C592" s="61"/>
      <c r="D592" s="62"/>
      <c r="E592" s="61"/>
      <c r="F592" s="61"/>
      <c r="G592" s="61"/>
      <c r="H592" s="61"/>
      <c r="I592" s="61"/>
      <c r="J592" s="61"/>
      <c r="K592" s="61"/>
      <c r="L592" s="61"/>
      <c r="M592" s="61"/>
      <c r="N592" s="61"/>
      <c r="O592" s="63"/>
      <c r="P592" s="61"/>
      <c r="Q592" s="61"/>
      <c r="R592" s="61"/>
      <c r="S592" s="61"/>
      <c r="T592" s="61"/>
      <c r="U592" s="61"/>
      <c r="V592" s="64"/>
      <c r="W592" s="61"/>
      <c r="X592" s="61"/>
      <c r="Y592" s="61"/>
      <c r="Z592" s="61"/>
      <c r="AA592" s="61"/>
      <c r="AB592" s="61"/>
      <c r="AC592" s="61"/>
      <c r="AD592" s="61"/>
      <c r="AE592" s="61"/>
      <c r="AF592" s="61"/>
      <c r="AG592" s="61"/>
      <c r="AH592" s="61"/>
    </row>
    <row r="593">
      <c r="A593" s="65"/>
      <c r="B593" s="65"/>
      <c r="C593" s="65"/>
      <c r="D593" s="66"/>
      <c r="E593" s="65"/>
      <c r="F593" s="65"/>
      <c r="G593" s="65"/>
      <c r="H593" s="65"/>
      <c r="I593" s="65"/>
      <c r="J593" s="65"/>
      <c r="K593" s="65"/>
      <c r="L593" s="65"/>
      <c r="M593" s="65"/>
      <c r="N593" s="65"/>
      <c r="O593" s="67"/>
      <c r="P593" s="65"/>
      <c r="Q593" s="65"/>
      <c r="R593" s="65"/>
      <c r="S593" s="65"/>
      <c r="T593" s="65"/>
      <c r="U593" s="65"/>
      <c r="V593" s="68"/>
      <c r="W593" s="65"/>
      <c r="X593" s="65"/>
      <c r="Y593" s="65"/>
      <c r="Z593" s="65"/>
      <c r="AA593" s="65"/>
      <c r="AB593" s="65"/>
      <c r="AC593" s="65"/>
      <c r="AD593" s="65"/>
      <c r="AE593" s="65"/>
      <c r="AF593" s="65"/>
      <c r="AG593" s="65"/>
      <c r="AH593" s="65"/>
    </row>
    <row r="594">
      <c r="A594" s="61"/>
      <c r="B594" s="61"/>
      <c r="C594" s="61"/>
      <c r="D594" s="62"/>
      <c r="E594" s="61"/>
      <c r="F594" s="61"/>
      <c r="G594" s="61"/>
      <c r="H594" s="61"/>
      <c r="I594" s="61"/>
      <c r="J594" s="61"/>
      <c r="K594" s="61"/>
      <c r="L594" s="61"/>
      <c r="M594" s="61"/>
      <c r="N594" s="61"/>
      <c r="O594" s="63"/>
      <c r="P594" s="61"/>
      <c r="Q594" s="61"/>
      <c r="R594" s="61"/>
      <c r="S594" s="61"/>
      <c r="T594" s="61"/>
      <c r="U594" s="61"/>
      <c r="V594" s="64"/>
      <c r="W594" s="61"/>
      <c r="X594" s="61"/>
      <c r="Y594" s="61"/>
      <c r="Z594" s="61"/>
      <c r="AA594" s="61"/>
      <c r="AB594" s="61"/>
      <c r="AC594" s="61"/>
      <c r="AD594" s="61"/>
      <c r="AE594" s="61"/>
      <c r="AF594" s="61"/>
      <c r="AG594" s="61"/>
      <c r="AH594" s="61"/>
    </row>
    <row r="595">
      <c r="A595" s="65"/>
      <c r="B595" s="65"/>
      <c r="C595" s="65"/>
      <c r="D595" s="66"/>
      <c r="E595" s="65"/>
      <c r="F595" s="65"/>
      <c r="G595" s="65"/>
      <c r="H595" s="65"/>
      <c r="I595" s="65"/>
      <c r="J595" s="65"/>
      <c r="K595" s="65"/>
      <c r="L595" s="65"/>
      <c r="M595" s="65"/>
      <c r="N595" s="65"/>
      <c r="O595" s="67"/>
      <c r="P595" s="65"/>
      <c r="Q595" s="65"/>
      <c r="R595" s="65"/>
      <c r="S595" s="65"/>
      <c r="T595" s="65"/>
      <c r="U595" s="65"/>
      <c r="V595" s="68"/>
      <c r="W595" s="65"/>
      <c r="X595" s="65"/>
      <c r="Y595" s="65"/>
      <c r="Z595" s="65"/>
      <c r="AA595" s="65"/>
      <c r="AB595" s="65"/>
      <c r="AC595" s="65"/>
      <c r="AD595" s="65"/>
      <c r="AE595" s="65"/>
      <c r="AF595" s="65"/>
      <c r="AG595" s="65"/>
      <c r="AH595" s="65"/>
    </row>
    <row r="596">
      <c r="A596" s="61"/>
      <c r="B596" s="61"/>
      <c r="C596" s="61"/>
      <c r="D596" s="62"/>
      <c r="E596" s="61"/>
      <c r="F596" s="61"/>
      <c r="G596" s="61"/>
      <c r="H596" s="61"/>
      <c r="I596" s="61"/>
      <c r="J596" s="61"/>
      <c r="K596" s="61"/>
      <c r="L596" s="61"/>
      <c r="M596" s="61"/>
      <c r="N596" s="61"/>
      <c r="O596" s="63"/>
      <c r="P596" s="61"/>
      <c r="Q596" s="61"/>
      <c r="R596" s="61"/>
      <c r="S596" s="61"/>
      <c r="T596" s="61"/>
      <c r="U596" s="61"/>
      <c r="V596" s="64"/>
      <c r="W596" s="61"/>
      <c r="X596" s="61"/>
      <c r="Y596" s="61"/>
      <c r="Z596" s="61"/>
      <c r="AA596" s="61"/>
      <c r="AB596" s="61"/>
      <c r="AC596" s="61"/>
      <c r="AD596" s="61"/>
      <c r="AE596" s="61"/>
      <c r="AF596" s="61"/>
      <c r="AG596" s="61"/>
      <c r="AH596" s="61"/>
    </row>
    <row r="597">
      <c r="A597" s="65"/>
      <c r="B597" s="65"/>
      <c r="C597" s="65"/>
      <c r="D597" s="66"/>
      <c r="E597" s="65"/>
      <c r="F597" s="65"/>
      <c r="G597" s="65"/>
      <c r="H597" s="65"/>
      <c r="I597" s="65"/>
      <c r="J597" s="65"/>
      <c r="K597" s="65"/>
      <c r="L597" s="65"/>
      <c r="M597" s="65"/>
      <c r="N597" s="65"/>
      <c r="O597" s="67"/>
      <c r="P597" s="65"/>
      <c r="Q597" s="65"/>
      <c r="R597" s="65"/>
      <c r="S597" s="65"/>
      <c r="T597" s="65"/>
      <c r="U597" s="65"/>
      <c r="V597" s="68"/>
      <c r="W597" s="65"/>
      <c r="X597" s="65"/>
      <c r="Y597" s="65"/>
      <c r="Z597" s="65"/>
      <c r="AA597" s="65"/>
      <c r="AB597" s="65"/>
      <c r="AC597" s="65"/>
      <c r="AD597" s="65"/>
      <c r="AE597" s="65"/>
      <c r="AF597" s="65"/>
      <c r="AG597" s="65"/>
      <c r="AH597" s="65"/>
    </row>
    <row r="598">
      <c r="A598" s="61"/>
      <c r="B598" s="61"/>
      <c r="C598" s="61"/>
      <c r="D598" s="62"/>
      <c r="E598" s="61"/>
      <c r="F598" s="61"/>
      <c r="G598" s="61"/>
      <c r="H598" s="61"/>
      <c r="I598" s="61"/>
      <c r="J598" s="61"/>
      <c r="K598" s="61"/>
      <c r="L598" s="61"/>
      <c r="M598" s="61"/>
      <c r="N598" s="61"/>
      <c r="O598" s="63"/>
      <c r="P598" s="61"/>
      <c r="Q598" s="61"/>
      <c r="R598" s="61"/>
      <c r="S598" s="61"/>
      <c r="T598" s="61"/>
      <c r="U598" s="61"/>
      <c r="V598" s="64"/>
      <c r="W598" s="61"/>
      <c r="X598" s="61"/>
      <c r="Y598" s="61"/>
      <c r="Z598" s="61"/>
      <c r="AA598" s="61"/>
      <c r="AB598" s="61"/>
      <c r="AC598" s="61"/>
      <c r="AD598" s="61"/>
      <c r="AE598" s="61"/>
      <c r="AF598" s="61"/>
      <c r="AG598" s="61"/>
      <c r="AH598" s="61"/>
    </row>
    <row r="599">
      <c r="A599" s="65"/>
      <c r="B599" s="65"/>
      <c r="C599" s="65"/>
      <c r="D599" s="66"/>
      <c r="E599" s="65"/>
      <c r="F599" s="65"/>
      <c r="G599" s="65"/>
      <c r="H599" s="65"/>
      <c r="I599" s="65"/>
      <c r="J599" s="65"/>
      <c r="K599" s="65"/>
      <c r="L599" s="65"/>
      <c r="M599" s="65"/>
      <c r="N599" s="65"/>
      <c r="O599" s="67"/>
      <c r="P599" s="65"/>
      <c r="Q599" s="65"/>
      <c r="R599" s="65"/>
      <c r="S599" s="65"/>
      <c r="T599" s="65"/>
      <c r="U599" s="65"/>
      <c r="V599" s="68"/>
      <c r="W599" s="65"/>
      <c r="X599" s="65"/>
      <c r="Y599" s="65"/>
      <c r="Z599" s="65"/>
      <c r="AA599" s="65"/>
      <c r="AB599" s="65"/>
      <c r="AC599" s="65"/>
      <c r="AD599" s="65"/>
      <c r="AE599" s="65"/>
      <c r="AF599" s="65"/>
      <c r="AG599" s="65"/>
      <c r="AH599" s="65"/>
    </row>
    <row r="600">
      <c r="A600" s="61"/>
      <c r="B600" s="61"/>
      <c r="C600" s="61"/>
      <c r="D600" s="62"/>
      <c r="E600" s="61"/>
      <c r="F600" s="61"/>
      <c r="G600" s="61"/>
      <c r="H600" s="61"/>
      <c r="I600" s="61"/>
      <c r="J600" s="61"/>
      <c r="K600" s="61"/>
      <c r="L600" s="61"/>
      <c r="M600" s="61"/>
      <c r="N600" s="61"/>
      <c r="O600" s="63"/>
      <c r="P600" s="61"/>
      <c r="Q600" s="61"/>
      <c r="R600" s="61"/>
      <c r="S600" s="61"/>
      <c r="T600" s="61"/>
      <c r="U600" s="61"/>
      <c r="V600" s="64"/>
      <c r="W600" s="61"/>
      <c r="X600" s="61"/>
      <c r="Y600" s="61"/>
      <c r="Z600" s="61"/>
      <c r="AA600" s="61"/>
      <c r="AB600" s="61"/>
      <c r="AC600" s="61"/>
      <c r="AD600" s="61"/>
      <c r="AE600" s="61"/>
      <c r="AF600" s="61"/>
      <c r="AG600" s="61"/>
      <c r="AH600" s="61"/>
    </row>
    <row r="601">
      <c r="A601" s="65"/>
      <c r="B601" s="65"/>
      <c r="C601" s="65"/>
      <c r="D601" s="66"/>
      <c r="E601" s="65"/>
      <c r="F601" s="65"/>
      <c r="G601" s="65"/>
      <c r="H601" s="65"/>
      <c r="I601" s="65"/>
      <c r="J601" s="65"/>
      <c r="K601" s="65"/>
      <c r="L601" s="65"/>
      <c r="M601" s="65"/>
      <c r="N601" s="65"/>
      <c r="O601" s="67"/>
      <c r="P601" s="65"/>
      <c r="Q601" s="65"/>
      <c r="R601" s="65"/>
      <c r="S601" s="65"/>
      <c r="T601" s="65"/>
      <c r="U601" s="65"/>
      <c r="V601" s="68"/>
      <c r="W601" s="65"/>
      <c r="X601" s="65"/>
      <c r="Y601" s="65"/>
      <c r="Z601" s="65"/>
      <c r="AA601" s="65"/>
      <c r="AB601" s="65"/>
      <c r="AC601" s="65"/>
      <c r="AD601" s="65"/>
      <c r="AE601" s="65"/>
      <c r="AF601" s="65"/>
      <c r="AG601" s="65"/>
      <c r="AH601" s="65"/>
    </row>
    <row r="602">
      <c r="A602" s="61"/>
      <c r="B602" s="61"/>
      <c r="C602" s="61"/>
      <c r="D602" s="62"/>
      <c r="E602" s="61"/>
      <c r="F602" s="61"/>
      <c r="G602" s="61"/>
      <c r="H602" s="61"/>
      <c r="I602" s="61"/>
      <c r="J602" s="61"/>
      <c r="K602" s="61"/>
      <c r="L602" s="61"/>
      <c r="M602" s="61"/>
      <c r="N602" s="61"/>
      <c r="O602" s="63"/>
      <c r="P602" s="61"/>
      <c r="Q602" s="61"/>
      <c r="R602" s="61"/>
      <c r="S602" s="61"/>
      <c r="T602" s="61"/>
      <c r="U602" s="61"/>
      <c r="V602" s="64"/>
      <c r="W602" s="61"/>
      <c r="X602" s="61"/>
      <c r="Y602" s="61"/>
      <c r="Z602" s="61"/>
      <c r="AA602" s="61"/>
      <c r="AB602" s="61"/>
      <c r="AC602" s="61"/>
      <c r="AD602" s="61"/>
      <c r="AE602" s="61"/>
      <c r="AF602" s="61"/>
      <c r="AG602" s="61"/>
      <c r="AH602" s="61"/>
    </row>
    <row r="603">
      <c r="A603" s="65"/>
      <c r="B603" s="65"/>
      <c r="C603" s="65"/>
      <c r="D603" s="66"/>
      <c r="E603" s="65"/>
      <c r="F603" s="65"/>
      <c r="G603" s="65"/>
      <c r="H603" s="65"/>
      <c r="I603" s="65"/>
      <c r="J603" s="65"/>
      <c r="K603" s="65"/>
      <c r="L603" s="65"/>
      <c r="M603" s="65"/>
      <c r="N603" s="65"/>
      <c r="O603" s="67"/>
      <c r="P603" s="65"/>
      <c r="Q603" s="65"/>
      <c r="R603" s="65"/>
      <c r="S603" s="65"/>
      <c r="T603" s="65"/>
      <c r="U603" s="65"/>
      <c r="V603" s="68"/>
      <c r="W603" s="65"/>
      <c r="X603" s="65"/>
      <c r="Y603" s="65"/>
      <c r="Z603" s="65"/>
      <c r="AA603" s="65"/>
      <c r="AB603" s="65"/>
      <c r="AC603" s="65"/>
      <c r="AD603" s="65"/>
      <c r="AE603" s="65"/>
      <c r="AF603" s="65"/>
      <c r="AG603" s="65"/>
      <c r="AH603" s="65"/>
    </row>
    <row r="604">
      <c r="A604" s="61"/>
      <c r="B604" s="61"/>
      <c r="C604" s="61"/>
      <c r="D604" s="62"/>
      <c r="E604" s="61"/>
      <c r="F604" s="61"/>
      <c r="G604" s="61"/>
      <c r="H604" s="61"/>
      <c r="I604" s="61"/>
      <c r="J604" s="61"/>
      <c r="K604" s="61"/>
      <c r="L604" s="61"/>
      <c r="M604" s="61"/>
      <c r="N604" s="61"/>
      <c r="O604" s="63"/>
      <c r="P604" s="61"/>
      <c r="Q604" s="61"/>
      <c r="R604" s="61"/>
      <c r="S604" s="61"/>
      <c r="T604" s="61"/>
      <c r="U604" s="61"/>
      <c r="V604" s="64"/>
      <c r="W604" s="61"/>
      <c r="X604" s="61"/>
      <c r="Y604" s="61"/>
      <c r="Z604" s="61"/>
      <c r="AA604" s="61"/>
      <c r="AB604" s="61"/>
      <c r="AC604" s="61"/>
      <c r="AD604" s="61"/>
      <c r="AE604" s="61"/>
      <c r="AF604" s="61"/>
      <c r="AG604" s="61"/>
      <c r="AH604" s="61"/>
    </row>
    <row r="605">
      <c r="A605" s="65"/>
      <c r="B605" s="65"/>
      <c r="C605" s="65"/>
      <c r="D605" s="66"/>
      <c r="E605" s="65"/>
      <c r="F605" s="65"/>
      <c r="G605" s="65"/>
      <c r="H605" s="65"/>
      <c r="I605" s="65"/>
      <c r="J605" s="65"/>
      <c r="K605" s="65"/>
      <c r="L605" s="65"/>
      <c r="M605" s="65"/>
      <c r="N605" s="65"/>
      <c r="O605" s="67"/>
      <c r="P605" s="65"/>
      <c r="Q605" s="65"/>
      <c r="R605" s="65"/>
      <c r="S605" s="65"/>
      <c r="T605" s="65"/>
      <c r="U605" s="65"/>
      <c r="V605" s="68"/>
      <c r="W605" s="65"/>
      <c r="X605" s="65"/>
      <c r="Y605" s="65"/>
      <c r="Z605" s="65"/>
      <c r="AA605" s="65"/>
      <c r="AB605" s="65"/>
      <c r="AC605" s="65"/>
      <c r="AD605" s="65"/>
      <c r="AE605" s="65"/>
      <c r="AF605" s="65"/>
      <c r="AG605" s="65"/>
      <c r="AH605" s="65"/>
    </row>
    <row r="606">
      <c r="A606" s="61"/>
      <c r="B606" s="61"/>
      <c r="C606" s="61"/>
      <c r="D606" s="62"/>
      <c r="E606" s="61"/>
      <c r="F606" s="61"/>
      <c r="G606" s="61"/>
      <c r="H606" s="61"/>
      <c r="I606" s="61"/>
      <c r="J606" s="61"/>
      <c r="K606" s="61"/>
      <c r="L606" s="61"/>
      <c r="M606" s="61"/>
      <c r="N606" s="61"/>
      <c r="O606" s="63"/>
      <c r="P606" s="61"/>
      <c r="Q606" s="61"/>
      <c r="R606" s="61"/>
      <c r="S606" s="61"/>
      <c r="T606" s="61"/>
      <c r="U606" s="61"/>
      <c r="V606" s="64"/>
      <c r="W606" s="61"/>
      <c r="X606" s="61"/>
      <c r="Y606" s="61"/>
      <c r="Z606" s="61"/>
      <c r="AA606" s="61"/>
      <c r="AB606" s="61"/>
      <c r="AC606" s="61"/>
      <c r="AD606" s="61"/>
      <c r="AE606" s="61"/>
      <c r="AF606" s="61"/>
      <c r="AG606" s="61"/>
      <c r="AH606" s="61"/>
    </row>
    <row r="607">
      <c r="A607" s="65"/>
      <c r="B607" s="65"/>
      <c r="C607" s="65"/>
      <c r="D607" s="66"/>
      <c r="E607" s="65"/>
      <c r="F607" s="65"/>
      <c r="G607" s="65"/>
      <c r="H607" s="65"/>
      <c r="I607" s="65"/>
      <c r="J607" s="65"/>
      <c r="K607" s="65"/>
      <c r="L607" s="65"/>
      <c r="M607" s="65"/>
      <c r="N607" s="65"/>
      <c r="O607" s="67"/>
      <c r="P607" s="65"/>
      <c r="Q607" s="65"/>
      <c r="R607" s="65"/>
      <c r="S607" s="65"/>
      <c r="T607" s="65"/>
      <c r="U607" s="65"/>
      <c r="V607" s="68"/>
      <c r="W607" s="65"/>
      <c r="X607" s="65"/>
      <c r="Y607" s="65"/>
      <c r="Z607" s="65"/>
      <c r="AA607" s="65"/>
      <c r="AB607" s="65"/>
      <c r="AC607" s="65"/>
      <c r="AD607" s="65"/>
      <c r="AE607" s="65"/>
      <c r="AF607" s="65"/>
      <c r="AG607" s="65"/>
      <c r="AH607" s="65"/>
    </row>
    <row r="608">
      <c r="A608" s="61"/>
      <c r="B608" s="61"/>
      <c r="C608" s="61"/>
      <c r="D608" s="62"/>
      <c r="E608" s="61"/>
      <c r="F608" s="61"/>
      <c r="G608" s="61"/>
      <c r="H608" s="61"/>
      <c r="I608" s="61"/>
      <c r="J608" s="61"/>
      <c r="K608" s="61"/>
      <c r="L608" s="61"/>
      <c r="M608" s="61"/>
      <c r="N608" s="61"/>
      <c r="O608" s="63"/>
      <c r="P608" s="61"/>
      <c r="Q608" s="61"/>
      <c r="R608" s="61"/>
      <c r="S608" s="61"/>
      <c r="T608" s="61"/>
      <c r="U608" s="61"/>
      <c r="V608" s="64"/>
      <c r="W608" s="61"/>
      <c r="X608" s="61"/>
      <c r="Y608" s="61"/>
      <c r="Z608" s="61"/>
      <c r="AA608" s="61"/>
      <c r="AB608" s="61"/>
      <c r="AC608" s="61"/>
      <c r="AD608" s="61"/>
      <c r="AE608" s="61"/>
      <c r="AF608" s="61"/>
      <c r="AG608" s="61"/>
      <c r="AH608" s="61"/>
    </row>
    <row r="609">
      <c r="A609" s="65"/>
      <c r="B609" s="65"/>
      <c r="C609" s="65"/>
      <c r="D609" s="66"/>
      <c r="E609" s="65"/>
      <c r="F609" s="65"/>
      <c r="G609" s="65"/>
      <c r="H609" s="65"/>
      <c r="I609" s="65"/>
      <c r="J609" s="65"/>
      <c r="K609" s="65"/>
      <c r="L609" s="65"/>
      <c r="M609" s="65"/>
      <c r="N609" s="65"/>
      <c r="O609" s="67"/>
      <c r="P609" s="65"/>
      <c r="Q609" s="65"/>
      <c r="R609" s="65"/>
      <c r="S609" s="65"/>
      <c r="T609" s="65"/>
      <c r="U609" s="65"/>
      <c r="V609" s="68"/>
      <c r="W609" s="65"/>
      <c r="X609" s="65"/>
      <c r="Y609" s="65"/>
      <c r="Z609" s="65"/>
      <c r="AA609" s="65"/>
      <c r="AB609" s="65"/>
      <c r="AC609" s="65"/>
      <c r="AD609" s="65"/>
      <c r="AE609" s="65"/>
      <c r="AF609" s="65"/>
      <c r="AG609" s="65"/>
      <c r="AH609" s="65"/>
    </row>
    <row r="610">
      <c r="A610" s="61"/>
      <c r="B610" s="61"/>
      <c r="C610" s="61"/>
      <c r="D610" s="62"/>
      <c r="E610" s="61"/>
      <c r="F610" s="61"/>
      <c r="G610" s="61"/>
      <c r="H610" s="61"/>
      <c r="I610" s="61"/>
      <c r="J610" s="61"/>
      <c r="K610" s="61"/>
      <c r="L610" s="61"/>
      <c r="M610" s="61"/>
      <c r="N610" s="61"/>
      <c r="O610" s="63"/>
      <c r="P610" s="61"/>
      <c r="Q610" s="61"/>
      <c r="R610" s="61"/>
      <c r="S610" s="61"/>
      <c r="T610" s="61"/>
      <c r="U610" s="61"/>
      <c r="V610" s="64"/>
      <c r="W610" s="61"/>
      <c r="X610" s="61"/>
      <c r="Y610" s="61"/>
      <c r="Z610" s="61"/>
      <c r="AA610" s="61"/>
      <c r="AB610" s="61"/>
      <c r="AC610" s="61"/>
      <c r="AD610" s="61"/>
      <c r="AE610" s="61"/>
      <c r="AF610" s="61"/>
      <c r="AG610" s="61"/>
      <c r="AH610" s="61"/>
    </row>
    <row r="611">
      <c r="A611" s="65"/>
      <c r="B611" s="65"/>
      <c r="C611" s="65"/>
      <c r="D611" s="66"/>
      <c r="E611" s="65"/>
      <c r="F611" s="65"/>
      <c r="G611" s="65"/>
      <c r="H611" s="65"/>
      <c r="I611" s="65"/>
      <c r="J611" s="65"/>
      <c r="K611" s="65"/>
      <c r="L611" s="65"/>
      <c r="M611" s="65"/>
      <c r="N611" s="65"/>
      <c r="O611" s="67"/>
      <c r="P611" s="65"/>
      <c r="Q611" s="65"/>
      <c r="R611" s="65"/>
      <c r="S611" s="65"/>
      <c r="T611" s="65"/>
      <c r="U611" s="65"/>
      <c r="V611" s="68"/>
      <c r="W611" s="65"/>
      <c r="X611" s="65"/>
      <c r="Y611" s="65"/>
      <c r="Z611" s="65"/>
      <c r="AA611" s="65"/>
      <c r="AB611" s="65"/>
      <c r="AC611" s="65"/>
      <c r="AD611" s="65"/>
      <c r="AE611" s="65"/>
      <c r="AF611" s="65"/>
      <c r="AG611" s="65"/>
      <c r="AH611" s="65"/>
    </row>
    <row r="612">
      <c r="A612" s="61"/>
      <c r="B612" s="61"/>
      <c r="C612" s="61"/>
      <c r="D612" s="62"/>
      <c r="E612" s="61"/>
      <c r="F612" s="61"/>
      <c r="G612" s="61"/>
      <c r="H612" s="61"/>
      <c r="I612" s="61"/>
      <c r="J612" s="61"/>
      <c r="K612" s="61"/>
      <c r="L612" s="61"/>
      <c r="M612" s="61"/>
      <c r="N612" s="61"/>
      <c r="O612" s="63"/>
      <c r="P612" s="61"/>
      <c r="Q612" s="61"/>
      <c r="R612" s="61"/>
      <c r="S612" s="61"/>
      <c r="T612" s="61"/>
      <c r="U612" s="61"/>
      <c r="V612" s="64"/>
      <c r="W612" s="61"/>
      <c r="X612" s="61"/>
      <c r="Y612" s="61"/>
      <c r="Z612" s="61"/>
      <c r="AA612" s="61"/>
      <c r="AB612" s="61"/>
      <c r="AC612" s="61"/>
      <c r="AD612" s="61"/>
      <c r="AE612" s="61"/>
      <c r="AF612" s="61"/>
      <c r="AG612" s="61"/>
      <c r="AH612" s="61"/>
    </row>
    <row r="613">
      <c r="A613" s="65"/>
      <c r="B613" s="65"/>
      <c r="C613" s="65"/>
      <c r="D613" s="66"/>
      <c r="E613" s="65"/>
      <c r="F613" s="65"/>
      <c r="G613" s="65"/>
      <c r="H613" s="65"/>
      <c r="I613" s="65"/>
      <c r="J613" s="65"/>
      <c r="K613" s="65"/>
      <c r="L613" s="65"/>
      <c r="M613" s="65"/>
      <c r="N613" s="65"/>
      <c r="O613" s="67"/>
      <c r="P613" s="65"/>
      <c r="Q613" s="65"/>
      <c r="R613" s="65"/>
      <c r="S613" s="65"/>
      <c r="T613" s="65"/>
      <c r="U613" s="65"/>
      <c r="V613" s="68"/>
      <c r="W613" s="65"/>
      <c r="X613" s="65"/>
      <c r="Y613" s="65"/>
      <c r="Z613" s="65"/>
      <c r="AA613" s="65"/>
      <c r="AB613" s="65"/>
      <c r="AC613" s="65"/>
      <c r="AD613" s="65"/>
      <c r="AE613" s="65"/>
      <c r="AF613" s="65"/>
      <c r="AG613" s="65"/>
      <c r="AH613" s="65"/>
    </row>
    <row r="614">
      <c r="A614" s="61"/>
      <c r="B614" s="61"/>
      <c r="C614" s="61"/>
      <c r="D614" s="62"/>
      <c r="E614" s="61"/>
      <c r="F614" s="61"/>
      <c r="G614" s="61"/>
      <c r="H614" s="61"/>
      <c r="I614" s="61"/>
      <c r="J614" s="61"/>
      <c r="K614" s="61"/>
      <c r="L614" s="61"/>
      <c r="M614" s="61"/>
      <c r="N614" s="61"/>
      <c r="O614" s="63"/>
      <c r="P614" s="61"/>
      <c r="Q614" s="61"/>
      <c r="R614" s="61"/>
      <c r="S614" s="61"/>
      <c r="T614" s="61"/>
      <c r="U614" s="61"/>
      <c r="V614" s="64"/>
      <c r="W614" s="61"/>
      <c r="X614" s="61"/>
      <c r="Y614" s="61"/>
      <c r="Z614" s="61"/>
      <c r="AA614" s="61"/>
      <c r="AB614" s="61"/>
      <c r="AC614" s="61"/>
      <c r="AD614" s="61"/>
      <c r="AE614" s="61"/>
      <c r="AF614" s="61"/>
      <c r="AG614" s="61"/>
      <c r="AH614" s="61"/>
    </row>
    <row r="615">
      <c r="A615" s="65"/>
      <c r="B615" s="65"/>
      <c r="C615" s="65"/>
      <c r="D615" s="66"/>
      <c r="E615" s="65"/>
      <c r="F615" s="65"/>
      <c r="G615" s="65"/>
      <c r="H615" s="65"/>
      <c r="I615" s="65"/>
      <c r="J615" s="65"/>
      <c r="K615" s="65"/>
      <c r="L615" s="65"/>
      <c r="M615" s="65"/>
      <c r="N615" s="65"/>
      <c r="O615" s="67"/>
      <c r="P615" s="65"/>
      <c r="Q615" s="65"/>
      <c r="R615" s="65"/>
      <c r="S615" s="65"/>
      <c r="T615" s="65"/>
      <c r="U615" s="65"/>
      <c r="V615" s="68"/>
      <c r="W615" s="65"/>
      <c r="X615" s="65"/>
      <c r="Y615" s="65"/>
      <c r="Z615" s="65"/>
      <c r="AA615" s="65"/>
      <c r="AB615" s="65"/>
      <c r="AC615" s="65"/>
      <c r="AD615" s="65"/>
      <c r="AE615" s="65"/>
      <c r="AF615" s="65"/>
      <c r="AG615" s="65"/>
      <c r="AH615" s="65"/>
    </row>
    <row r="616">
      <c r="A616" s="61"/>
      <c r="B616" s="61"/>
      <c r="C616" s="61"/>
      <c r="D616" s="62"/>
      <c r="E616" s="61"/>
      <c r="F616" s="61"/>
      <c r="G616" s="61"/>
      <c r="H616" s="61"/>
      <c r="I616" s="61"/>
      <c r="J616" s="61"/>
      <c r="K616" s="61"/>
      <c r="L616" s="61"/>
      <c r="M616" s="61"/>
      <c r="N616" s="61"/>
      <c r="O616" s="63"/>
      <c r="P616" s="61"/>
      <c r="Q616" s="61"/>
      <c r="R616" s="61"/>
      <c r="S616" s="61"/>
      <c r="T616" s="61"/>
      <c r="U616" s="61"/>
      <c r="V616" s="64"/>
      <c r="W616" s="61"/>
      <c r="X616" s="61"/>
      <c r="Y616" s="61"/>
      <c r="Z616" s="61"/>
      <c r="AA616" s="61"/>
      <c r="AB616" s="61"/>
      <c r="AC616" s="61"/>
      <c r="AD616" s="61"/>
      <c r="AE616" s="61"/>
      <c r="AF616" s="61"/>
      <c r="AG616" s="61"/>
      <c r="AH616" s="61"/>
    </row>
    <row r="617">
      <c r="A617" s="65"/>
      <c r="B617" s="65"/>
      <c r="C617" s="65"/>
      <c r="D617" s="66"/>
      <c r="E617" s="65"/>
      <c r="F617" s="65"/>
      <c r="G617" s="65"/>
      <c r="H617" s="65"/>
      <c r="I617" s="65"/>
      <c r="J617" s="65"/>
      <c r="K617" s="65"/>
      <c r="L617" s="65"/>
      <c r="M617" s="65"/>
      <c r="N617" s="65"/>
      <c r="O617" s="67"/>
      <c r="P617" s="65"/>
      <c r="Q617" s="65"/>
      <c r="R617" s="65"/>
      <c r="S617" s="65"/>
      <c r="T617" s="65"/>
      <c r="U617" s="65"/>
      <c r="V617" s="68"/>
      <c r="W617" s="65"/>
      <c r="X617" s="65"/>
      <c r="Y617" s="65"/>
      <c r="Z617" s="65"/>
      <c r="AA617" s="65"/>
      <c r="AB617" s="65"/>
      <c r="AC617" s="65"/>
      <c r="AD617" s="65"/>
      <c r="AE617" s="65"/>
      <c r="AF617" s="65"/>
      <c r="AG617" s="65"/>
      <c r="AH617" s="65"/>
    </row>
    <row r="618">
      <c r="A618" s="61"/>
      <c r="B618" s="61"/>
      <c r="C618" s="61"/>
      <c r="D618" s="62"/>
      <c r="E618" s="61"/>
      <c r="F618" s="61"/>
      <c r="G618" s="61"/>
      <c r="H618" s="61"/>
      <c r="I618" s="61"/>
      <c r="J618" s="61"/>
      <c r="K618" s="61"/>
      <c r="L618" s="61"/>
      <c r="M618" s="61"/>
      <c r="N618" s="61"/>
      <c r="O618" s="63"/>
      <c r="P618" s="61"/>
      <c r="Q618" s="61"/>
      <c r="R618" s="61"/>
      <c r="S618" s="61"/>
      <c r="T618" s="61"/>
      <c r="U618" s="61"/>
      <c r="V618" s="64"/>
      <c r="W618" s="61"/>
      <c r="X618" s="61"/>
      <c r="Y618" s="61"/>
      <c r="Z618" s="61"/>
      <c r="AA618" s="61"/>
      <c r="AB618" s="61"/>
      <c r="AC618" s="61"/>
      <c r="AD618" s="61"/>
      <c r="AE618" s="61"/>
      <c r="AF618" s="61"/>
      <c r="AG618" s="61"/>
      <c r="AH618" s="61"/>
    </row>
    <row r="619">
      <c r="A619" s="65"/>
      <c r="B619" s="65"/>
      <c r="C619" s="65"/>
      <c r="D619" s="66"/>
      <c r="E619" s="65"/>
      <c r="F619" s="65"/>
      <c r="G619" s="65"/>
      <c r="H619" s="65"/>
      <c r="I619" s="65"/>
      <c r="J619" s="65"/>
      <c r="K619" s="65"/>
      <c r="L619" s="65"/>
      <c r="M619" s="65"/>
      <c r="N619" s="65"/>
      <c r="O619" s="67"/>
      <c r="P619" s="65"/>
      <c r="Q619" s="65"/>
      <c r="R619" s="65"/>
      <c r="S619" s="65"/>
      <c r="T619" s="65"/>
      <c r="U619" s="65"/>
      <c r="V619" s="68"/>
      <c r="W619" s="65"/>
      <c r="X619" s="65"/>
      <c r="Y619" s="65"/>
      <c r="Z619" s="65"/>
      <c r="AA619" s="65"/>
      <c r="AB619" s="65"/>
      <c r="AC619" s="65"/>
      <c r="AD619" s="65"/>
      <c r="AE619" s="65"/>
      <c r="AF619" s="65"/>
      <c r="AG619" s="65"/>
      <c r="AH619" s="65"/>
    </row>
    <row r="620">
      <c r="A620" s="61"/>
      <c r="B620" s="61"/>
      <c r="C620" s="61"/>
      <c r="D620" s="62"/>
      <c r="E620" s="61"/>
      <c r="F620" s="61"/>
      <c r="G620" s="61"/>
      <c r="H620" s="61"/>
      <c r="I620" s="61"/>
      <c r="J620" s="61"/>
      <c r="K620" s="61"/>
      <c r="L620" s="61"/>
      <c r="M620" s="61"/>
      <c r="N620" s="61"/>
      <c r="O620" s="63"/>
      <c r="P620" s="61"/>
      <c r="Q620" s="61"/>
      <c r="R620" s="61"/>
      <c r="S620" s="61"/>
      <c r="T620" s="61"/>
      <c r="U620" s="61"/>
      <c r="V620" s="64"/>
      <c r="W620" s="61"/>
      <c r="X620" s="61"/>
      <c r="Y620" s="61"/>
      <c r="Z620" s="61"/>
      <c r="AA620" s="61"/>
      <c r="AB620" s="61"/>
      <c r="AC620" s="61"/>
      <c r="AD620" s="61"/>
      <c r="AE620" s="61"/>
      <c r="AF620" s="61"/>
      <c r="AG620" s="61"/>
      <c r="AH620" s="61"/>
    </row>
    <row r="621">
      <c r="A621" s="65"/>
      <c r="B621" s="65"/>
      <c r="C621" s="65"/>
      <c r="D621" s="66"/>
      <c r="E621" s="65"/>
      <c r="F621" s="65"/>
      <c r="G621" s="65"/>
      <c r="H621" s="65"/>
      <c r="I621" s="65"/>
      <c r="J621" s="65"/>
      <c r="K621" s="65"/>
      <c r="L621" s="65"/>
      <c r="M621" s="65"/>
      <c r="N621" s="65"/>
      <c r="O621" s="67"/>
      <c r="P621" s="65"/>
      <c r="Q621" s="65"/>
      <c r="R621" s="65"/>
      <c r="S621" s="65"/>
      <c r="T621" s="65"/>
      <c r="U621" s="65"/>
      <c r="V621" s="68"/>
      <c r="W621" s="65"/>
      <c r="X621" s="65"/>
      <c r="Y621" s="65"/>
      <c r="Z621" s="65"/>
      <c r="AA621" s="65"/>
      <c r="AB621" s="65"/>
      <c r="AC621" s="65"/>
      <c r="AD621" s="65"/>
      <c r="AE621" s="65"/>
      <c r="AF621" s="65"/>
      <c r="AG621" s="65"/>
      <c r="AH621" s="65"/>
    </row>
    <row r="622">
      <c r="A622" s="61"/>
      <c r="B622" s="61"/>
      <c r="C622" s="61"/>
      <c r="D622" s="62"/>
      <c r="E622" s="61"/>
      <c r="F622" s="61"/>
      <c r="G622" s="61"/>
      <c r="H622" s="61"/>
      <c r="I622" s="61"/>
      <c r="J622" s="61"/>
      <c r="K622" s="61"/>
      <c r="L622" s="61"/>
      <c r="M622" s="61"/>
      <c r="N622" s="61"/>
      <c r="O622" s="63"/>
      <c r="P622" s="61"/>
      <c r="Q622" s="61"/>
      <c r="R622" s="61"/>
      <c r="S622" s="61"/>
      <c r="T622" s="61"/>
      <c r="U622" s="61"/>
      <c r="V622" s="64"/>
      <c r="W622" s="61"/>
      <c r="X622" s="61"/>
      <c r="Y622" s="61"/>
      <c r="Z622" s="61"/>
      <c r="AA622" s="61"/>
      <c r="AB622" s="61"/>
      <c r="AC622" s="61"/>
      <c r="AD622" s="61"/>
      <c r="AE622" s="61"/>
      <c r="AF622" s="61"/>
      <c r="AG622" s="61"/>
      <c r="AH622" s="61"/>
    </row>
    <row r="623">
      <c r="A623" s="65"/>
      <c r="B623" s="65"/>
      <c r="C623" s="65"/>
      <c r="D623" s="66"/>
      <c r="E623" s="65"/>
      <c r="F623" s="65"/>
      <c r="G623" s="65"/>
      <c r="H623" s="65"/>
      <c r="I623" s="65"/>
      <c r="J623" s="65"/>
      <c r="K623" s="65"/>
      <c r="L623" s="65"/>
      <c r="M623" s="65"/>
      <c r="N623" s="65"/>
      <c r="O623" s="67"/>
      <c r="P623" s="65"/>
      <c r="Q623" s="65"/>
      <c r="R623" s="65"/>
      <c r="S623" s="65"/>
      <c r="T623" s="65"/>
      <c r="U623" s="65"/>
      <c r="V623" s="68"/>
      <c r="W623" s="65"/>
      <c r="X623" s="65"/>
      <c r="Y623" s="65"/>
      <c r="Z623" s="65"/>
      <c r="AA623" s="65"/>
      <c r="AB623" s="65"/>
      <c r="AC623" s="65"/>
      <c r="AD623" s="65"/>
      <c r="AE623" s="65"/>
      <c r="AF623" s="65"/>
      <c r="AG623" s="65"/>
      <c r="AH623" s="65"/>
    </row>
    <row r="624">
      <c r="A624" s="61"/>
      <c r="B624" s="61"/>
      <c r="C624" s="61"/>
      <c r="D624" s="62"/>
      <c r="E624" s="61"/>
      <c r="F624" s="61"/>
      <c r="G624" s="61"/>
      <c r="H624" s="61"/>
      <c r="I624" s="61"/>
      <c r="J624" s="61"/>
      <c r="K624" s="61"/>
      <c r="L624" s="61"/>
      <c r="M624" s="61"/>
      <c r="N624" s="61"/>
      <c r="O624" s="63"/>
      <c r="P624" s="61"/>
      <c r="Q624" s="61"/>
      <c r="R624" s="61"/>
      <c r="S624" s="61"/>
      <c r="T624" s="61"/>
      <c r="U624" s="61"/>
      <c r="V624" s="64"/>
      <c r="W624" s="61"/>
      <c r="X624" s="61"/>
      <c r="Y624" s="61"/>
      <c r="Z624" s="61"/>
      <c r="AA624" s="61"/>
      <c r="AB624" s="61"/>
      <c r="AC624" s="61"/>
      <c r="AD624" s="61"/>
      <c r="AE624" s="61"/>
      <c r="AF624" s="61"/>
      <c r="AG624" s="61"/>
      <c r="AH624" s="61"/>
    </row>
    <row r="625">
      <c r="A625" s="65"/>
      <c r="B625" s="65"/>
      <c r="C625" s="65"/>
      <c r="D625" s="66"/>
      <c r="E625" s="65"/>
      <c r="F625" s="65"/>
      <c r="G625" s="65"/>
      <c r="H625" s="65"/>
      <c r="I625" s="65"/>
      <c r="J625" s="65"/>
      <c r="K625" s="65"/>
      <c r="L625" s="65"/>
      <c r="M625" s="65"/>
      <c r="N625" s="65"/>
      <c r="O625" s="67"/>
      <c r="P625" s="65"/>
      <c r="Q625" s="65"/>
      <c r="R625" s="65"/>
      <c r="S625" s="65"/>
      <c r="T625" s="65"/>
      <c r="U625" s="65"/>
      <c r="V625" s="68"/>
      <c r="W625" s="65"/>
      <c r="X625" s="65"/>
      <c r="Y625" s="65"/>
      <c r="Z625" s="65"/>
      <c r="AA625" s="65"/>
      <c r="AB625" s="65"/>
      <c r="AC625" s="65"/>
      <c r="AD625" s="65"/>
      <c r="AE625" s="65"/>
      <c r="AF625" s="65"/>
      <c r="AG625" s="65"/>
      <c r="AH625" s="65"/>
    </row>
    <row r="626">
      <c r="A626" s="61"/>
      <c r="B626" s="61"/>
      <c r="C626" s="61"/>
      <c r="D626" s="62"/>
      <c r="E626" s="61"/>
      <c r="F626" s="61"/>
      <c r="G626" s="61"/>
      <c r="H626" s="61"/>
      <c r="I626" s="61"/>
      <c r="J626" s="61"/>
      <c r="K626" s="61"/>
      <c r="L626" s="61"/>
      <c r="M626" s="61"/>
      <c r="N626" s="61"/>
      <c r="O626" s="63"/>
      <c r="P626" s="61"/>
      <c r="Q626" s="61"/>
      <c r="R626" s="61"/>
      <c r="S626" s="61"/>
      <c r="T626" s="61"/>
      <c r="U626" s="61"/>
      <c r="V626" s="64"/>
      <c r="W626" s="61"/>
      <c r="X626" s="61"/>
      <c r="Y626" s="61"/>
      <c r="Z626" s="61"/>
      <c r="AA626" s="61"/>
      <c r="AB626" s="61"/>
      <c r="AC626" s="61"/>
      <c r="AD626" s="61"/>
      <c r="AE626" s="61"/>
      <c r="AF626" s="61"/>
      <c r="AG626" s="61"/>
      <c r="AH626" s="61"/>
    </row>
    <row r="627">
      <c r="A627" s="65"/>
      <c r="B627" s="65"/>
      <c r="C627" s="65"/>
      <c r="D627" s="66"/>
      <c r="E627" s="65"/>
      <c r="F627" s="65"/>
      <c r="G627" s="65"/>
      <c r="H627" s="65"/>
      <c r="I627" s="65"/>
      <c r="J627" s="65"/>
      <c r="K627" s="65"/>
      <c r="L627" s="65"/>
      <c r="M627" s="65"/>
      <c r="N627" s="65"/>
      <c r="O627" s="67"/>
      <c r="P627" s="65"/>
      <c r="Q627" s="65"/>
      <c r="R627" s="65"/>
      <c r="S627" s="65"/>
      <c r="T627" s="65"/>
      <c r="U627" s="65"/>
      <c r="V627" s="68"/>
      <c r="W627" s="65"/>
      <c r="X627" s="65"/>
      <c r="Y627" s="65"/>
      <c r="Z627" s="65"/>
      <c r="AA627" s="65"/>
      <c r="AB627" s="65"/>
      <c r="AC627" s="65"/>
      <c r="AD627" s="65"/>
      <c r="AE627" s="65"/>
      <c r="AF627" s="65"/>
      <c r="AG627" s="65"/>
      <c r="AH627" s="65"/>
    </row>
    <row r="628">
      <c r="A628" s="61"/>
      <c r="B628" s="61"/>
      <c r="C628" s="61"/>
      <c r="D628" s="62"/>
      <c r="E628" s="61"/>
      <c r="F628" s="61"/>
      <c r="G628" s="61"/>
      <c r="H628" s="61"/>
      <c r="I628" s="61"/>
      <c r="J628" s="61"/>
      <c r="K628" s="61"/>
      <c r="L628" s="61"/>
      <c r="M628" s="61"/>
      <c r="N628" s="61"/>
      <c r="O628" s="63"/>
      <c r="P628" s="61"/>
      <c r="Q628" s="61"/>
      <c r="R628" s="61"/>
      <c r="S628" s="61"/>
      <c r="T628" s="61"/>
      <c r="U628" s="61"/>
      <c r="V628" s="64"/>
      <c r="W628" s="61"/>
      <c r="X628" s="61"/>
      <c r="Y628" s="61"/>
      <c r="Z628" s="61"/>
      <c r="AA628" s="61"/>
      <c r="AB628" s="61"/>
      <c r="AC628" s="61"/>
      <c r="AD628" s="61"/>
      <c r="AE628" s="61"/>
      <c r="AF628" s="61"/>
      <c r="AG628" s="61"/>
      <c r="AH628" s="61"/>
    </row>
    <row r="629">
      <c r="A629" s="65"/>
      <c r="B629" s="65"/>
      <c r="C629" s="65"/>
      <c r="D629" s="66"/>
      <c r="E629" s="65"/>
      <c r="F629" s="65"/>
      <c r="G629" s="65"/>
      <c r="H629" s="65"/>
      <c r="I629" s="65"/>
      <c r="J629" s="65"/>
      <c r="K629" s="65"/>
      <c r="L629" s="65"/>
      <c r="M629" s="65"/>
      <c r="N629" s="65"/>
      <c r="O629" s="67"/>
      <c r="P629" s="65"/>
      <c r="Q629" s="65"/>
      <c r="R629" s="65"/>
      <c r="S629" s="65"/>
      <c r="T629" s="65"/>
      <c r="U629" s="65"/>
      <c r="V629" s="68"/>
      <c r="W629" s="65"/>
      <c r="X629" s="65"/>
      <c r="Y629" s="65"/>
      <c r="Z629" s="65"/>
      <c r="AA629" s="65"/>
      <c r="AB629" s="65"/>
      <c r="AC629" s="65"/>
      <c r="AD629" s="65"/>
      <c r="AE629" s="65"/>
      <c r="AF629" s="65"/>
      <c r="AG629" s="65"/>
      <c r="AH629" s="65"/>
    </row>
    <row r="630">
      <c r="A630" s="61"/>
      <c r="B630" s="61"/>
      <c r="C630" s="61"/>
      <c r="D630" s="62"/>
      <c r="E630" s="61"/>
      <c r="F630" s="61"/>
      <c r="G630" s="61"/>
      <c r="H630" s="61"/>
      <c r="I630" s="61"/>
      <c r="J630" s="61"/>
      <c r="K630" s="61"/>
      <c r="L630" s="61"/>
      <c r="M630" s="61"/>
      <c r="N630" s="61"/>
      <c r="O630" s="63"/>
      <c r="P630" s="61"/>
      <c r="Q630" s="61"/>
      <c r="R630" s="61"/>
      <c r="S630" s="61"/>
      <c r="T630" s="61"/>
      <c r="U630" s="61"/>
      <c r="V630" s="64"/>
      <c r="W630" s="61"/>
      <c r="X630" s="61"/>
      <c r="Y630" s="61"/>
      <c r="Z630" s="61"/>
      <c r="AA630" s="61"/>
      <c r="AB630" s="61"/>
      <c r="AC630" s="61"/>
      <c r="AD630" s="61"/>
      <c r="AE630" s="61"/>
      <c r="AF630" s="61"/>
      <c r="AG630" s="61"/>
      <c r="AH630" s="61"/>
    </row>
    <row r="631">
      <c r="A631" s="65"/>
      <c r="B631" s="65"/>
      <c r="C631" s="65"/>
      <c r="D631" s="66"/>
      <c r="E631" s="65"/>
      <c r="F631" s="65"/>
      <c r="G631" s="65"/>
      <c r="H631" s="65"/>
      <c r="I631" s="65"/>
      <c r="J631" s="65"/>
      <c r="K631" s="65"/>
      <c r="L631" s="65"/>
      <c r="M631" s="65"/>
      <c r="N631" s="65"/>
      <c r="O631" s="67"/>
      <c r="P631" s="65"/>
      <c r="Q631" s="65"/>
      <c r="R631" s="65"/>
      <c r="S631" s="65"/>
      <c r="T631" s="65"/>
      <c r="U631" s="65"/>
      <c r="V631" s="68"/>
      <c r="W631" s="65"/>
      <c r="X631" s="65"/>
      <c r="Y631" s="65"/>
      <c r="Z631" s="65"/>
      <c r="AA631" s="65"/>
      <c r="AB631" s="65"/>
      <c r="AC631" s="65"/>
      <c r="AD631" s="65"/>
      <c r="AE631" s="65"/>
      <c r="AF631" s="65"/>
      <c r="AG631" s="65"/>
      <c r="AH631" s="65"/>
    </row>
    <row r="632">
      <c r="A632" s="61"/>
      <c r="B632" s="61"/>
      <c r="C632" s="61"/>
      <c r="D632" s="62"/>
      <c r="E632" s="61"/>
      <c r="F632" s="61"/>
      <c r="G632" s="61"/>
      <c r="H632" s="61"/>
      <c r="I632" s="61"/>
      <c r="J632" s="61"/>
      <c r="K632" s="61"/>
      <c r="L632" s="61"/>
      <c r="M632" s="61"/>
      <c r="N632" s="61"/>
      <c r="O632" s="63"/>
      <c r="P632" s="61"/>
      <c r="Q632" s="61"/>
      <c r="R632" s="61"/>
      <c r="S632" s="61"/>
      <c r="T632" s="61"/>
      <c r="U632" s="61"/>
      <c r="V632" s="64"/>
      <c r="W632" s="61"/>
      <c r="X632" s="61"/>
      <c r="Y632" s="61"/>
      <c r="Z632" s="61"/>
      <c r="AA632" s="61"/>
      <c r="AB632" s="61"/>
      <c r="AC632" s="61"/>
      <c r="AD632" s="61"/>
      <c r="AE632" s="61"/>
      <c r="AF632" s="61"/>
      <c r="AG632" s="61"/>
      <c r="AH632" s="61"/>
    </row>
    <row r="633">
      <c r="A633" s="65"/>
      <c r="B633" s="65"/>
      <c r="C633" s="65"/>
      <c r="D633" s="66"/>
      <c r="E633" s="65"/>
      <c r="F633" s="65"/>
      <c r="G633" s="65"/>
      <c r="H633" s="65"/>
      <c r="I633" s="65"/>
      <c r="J633" s="65"/>
      <c r="K633" s="65"/>
      <c r="L633" s="65"/>
      <c r="M633" s="65"/>
      <c r="N633" s="65"/>
      <c r="O633" s="67"/>
      <c r="P633" s="65"/>
      <c r="Q633" s="65"/>
      <c r="R633" s="65"/>
      <c r="S633" s="65"/>
      <c r="T633" s="65"/>
      <c r="U633" s="65"/>
      <c r="V633" s="68"/>
      <c r="W633" s="65"/>
      <c r="X633" s="65"/>
      <c r="Y633" s="65"/>
      <c r="Z633" s="65"/>
      <c r="AA633" s="65"/>
      <c r="AB633" s="65"/>
      <c r="AC633" s="65"/>
      <c r="AD633" s="65"/>
      <c r="AE633" s="65"/>
      <c r="AF633" s="65"/>
      <c r="AG633" s="65"/>
      <c r="AH633" s="65"/>
    </row>
    <row r="634">
      <c r="A634" s="61"/>
      <c r="B634" s="61"/>
      <c r="C634" s="61"/>
      <c r="D634" s="62"/>
      <c r="E634" s="61"/>
      <c r="F634" s="61"/>
      <c r="G634" s="61"/>
      <c r="H634" s="61"/>
      <c r="I634" s="61"/>
      <c r="J634" s="61"/>
      <c r="K634" s="61"/>
      <c r="L634" s="61"/>
      <c r="M634" s="61"/>
      <c r="N634" s="61"/>
      <c r="O634" s="63"/>
      <c r="P634" s="61"/>
      <c r="Q634" s="61"/>
      <c r="R634" s="61"/>
      <c r="S634" s="61"/>
      <c r="T634" s="61"/>
      <c r="U634" s="61"/>
      <c r="V634" s="64"/>
      <c r="W634" s="61"/>
      <c r="X634" s="61"/>
      <c r="Y634" s="61"/>
      <c r="Z634" s="61"/>
      <c r="AA634" s="61"/>
      <c r="AB634" s="61"/>
      <c r="AC634" s="61"/>
      <c r="AD634" s="61"/>
      <c r="AE634" s="61"/>
      <c r="AF634" s="61"/>
      <c r="AG634" s="61"/>
      <c r="AH634" s="61"/>
    </row>
    <row r="635">
      <c r="A635" s="65"/>
      <c r="B635" s="65"/>
      <c r="C635" s="65"/>
      <c r="D635" s="66"/>
      <c r="E635" s="65"/>
      <c r="F635" s="65"/>
      <c r="G635" s="65"/>
      <c r="H635" s="65"/>
      <c r="I635" s="65"/>
      <c r="J635" s="65"/>
      <c r="K635" s="65"/>
      <c r="L635" s="65"/>
      <c r="M635" s="65"/>
      <c r="N635" s="65"/>
      <c r="O635" s="67"/>
      <c r="P635" s="65"/>
      <c r="Q635" s="65"/>
      <c r="R635" s="65"/>
      <c r="S635" s="65"/>
      <c r="T635" s="65"/>
      <c r="U635" s="65"/>
      <c r="V635" s="68"/>
      <c r="W635" s="65"/>
      <c r="X635" s="65"/>
      <c r="Y635" s="65"/>
      <c r="Z635" s="65"/>
      <c r="AA635" s="65"/>
      <c r="AB635" s="65"/>
      <c r="AC635" s="65"/>
      <c r="AD635" s="65"/>
      <c r="AE635" s="65"/>
      <c r="AF635" s="65"/>
      <c r="AG635" s="65"/>
      <c r="AH635" s="65"/>
    </row>
    <row r="636">
      <c r="A636" s="61"/>
      <c r="B636" s="61"/>
      <c r="C636" s="61"/>
      <c r="D636" s="62"/>
      <c r="E636" s="61"/>
      <c r="F636" s="61"/>
      <c r="G636" s="61"/>
      <c r="H636" s="61"/>
      <c r="I636" s="61"/>
      <c r="J636" s="61"/>
      <c r="K636" s="61"/>
      <c r="L636" s="61"/>
      <c r="M636" s="61"/>
      <c r="N636" s="61"/>
      <c r="O636" s="63"/>
      <c r="P636" s="61"/>
      <c r="Q636" s="61"/>
      <c r="R636" s="61"/>
      <c r="S636" s="61"/>
      <c r="T636" s="61"/>
      <c r="U636" s="61"/>
      <c r="V636" s="64"/>
      <c r="W636" s="61"/>
      <c r="X636" s="61"/>
      <c r="Y636" s="61"/>
      <c r="Z636" s="61"/>
      <c r="AA636" s="61"/>
      <c r="AB636" s="61"/>
      <c r="AC636" s="61"/>
      <c r="AD636" s="61"/>
      <c r="AE636" s="61"/>
      <c r="AF636" s="61"/>
      <c r="AG636" s="61"/>
      <c r="AH636" s="61"/>
    </row>
    <row r="637">
      <c r="A637" s="65"/>
      <c r="B637" s="65"/>
      <c r="C637" s="65"/>
      <c r="D637" s="66"/>
      <c r="E637" s="65"/>
      <c r="F637" s="65"/>
      <c r="G637" s="65"/>
      <c r="H637" s="65"/>
      <c r="I637" s="65"/>
      <c r="J637" s="65"/>
      <c r="K637" s="65"/>
      <c r="L637" s="65"/>
      <c r="M637" s="65"/>
      <c r="N637" s="65"/>
      <c r="O637" s="67"/>
      <c r="P637" s="65"/>
      <c r="Q637" s="65"/>
      <c r="R637" s="65"/>
      <c r="S637" s="65"/>
      <c r="T637" s="65"/>
      <c r="U637" s="65"/>
      <c r="V637" s="68"/>
      <c r="W637" s="65"/>
      <c r="X637" s="65"/>
      <c r="Y637" s="65"/>
      <c r="Z637" s="65"/>
      <c r="AA637" s="65"/>
      <c r="AB637" s="65"/>
      <c r="AC637" s="65"/>
      <c r="AD637" s="65"/>
      <c r="AE637" s="65"/>
      <c r="AF637" s="65"/>
      <c r="AG637" s="65"/>
      <c r="AH637" s="65"/>
    </row>
    <row r="638">
      <c r="A638" s="61"/>
      <c r="B638" s="61"/>
      <c r="C638" s="61"/>
      <c r="D638" s="62"/>
      <c r="E638" s="61"/>
      <c r="F638" s="61"/>
      <c r="G638" s="61"/>
      <c r="H638" s="61"/>
      <c r="I638" s="61"/>
      <c r="J638" s="61"/>
      <c r="K638" s="61"/>
      <c r="L638" s="61"/>
      <c r="M638" s="61"/>
      <c r="N638" s="61"/>
      <c r="O638" s="63"/>
      <c r="P638" s="61"/>
      <c r="Q638" s="61"/>
      <c r="R638" s="61"/>
      <c r="S638" s="61"/>
      <c r="T638" s="61"/>
      <c r="U638" s="61"/>
      <c r="V638" s="64"/>
      <c r="W638" s="61"/>
      <c r="X638" s="61"/>
      <c r="Y638" s="61"/>
      <c r="Z638" s="61"/>
      <c r="AA638" s="61"/>
      <c r="AB638" s="61"/>
      <c r="AC638" s="61"/>
      <c r="AD638" s="61"/>
      <c r="AE638" s="61"/>
      <c r="AF638" s="61"/>
      <c r="AG638" s="61"/>
      <c r="AH638" s="61"/>
    </row>
    <row r="639">
      <c r="A639" s="65"/>
      <c r="B639" s="65"/>
      <c r="C639" s="65"/>
      <c r="D639" s="66"/>
      <c r="E639" s="65"/>
      <c r="F639" s="65"/>
      <c r="G639" s="65"/>
      <c r="H639" s="65"/>
      <c r="I639" s="65"/>
      <c r="J639" s="65"/>
      <c r="K639" s="65"/>
      <c r="L639" s="65"/>
      <c r="M639" s="65"/>
      <c r="N639" s="65"/>
      <c r="O639" s="67"/>
      <c r="P639" s="65"/>
      <c r="Q639" s="65"/>
      <c r="R639" s="65"/>
      <c r="S639" s="65"/>
      <c r="T639" s="65"/>
      <c r="U639" s="65"/>
      <c r="V639" s="68"/>
      <c r="W639" s="65"/>
      <c r="X639" s="65"/>
      <c r="Y639" s="65"/>
      <c r="Z639" s="65"/>
      <c r="AA639" s="65"/>
      <c r="AB639" s="65"/>
      <c r="AC639" s="65"/>
      <c r="AD639" s="65"/>
      <c r="AE639" s="65"/>
      <c r="AF639" s="65"/>
      <c r="AG639" s="65"/>
      <c r="AH639" s="65"/>
    </row>
    <row r="640">
      <c r="A640" s="61"/>
      <c r="B640" s="61"/>
      <c r="C640" s="61"/>
      <c r="D640" s="62"/>
      <c r="E640" s="61"/>
      <c r="F640" s="61"/>
      <c r="G640" s="61"/>
      <c r="H640" s="61"/>
      <c r="I640" s="61"/>
      <c r="J640" s="61"/>
      <c r="K640" s="61"/>
      <c r="L640" s="61"/>
      <c r="M640" s="61"/>
      <c r="N640" s="61"/>
      <c r="O640" s="63"/>
      <c r="P640" s="61"/>
      <c r="Q640" s="61"/>
      <c r="R640" s="61"/>
      <c r="S640" s="61"/>
      <c r="T640" s="61"/>
      <c r="U640" s="61"/>
      <c r="V640" s="64"/>
      <c r="W640" s="61"/>
      <c r="X640" s="61"/>
      <c r="Y640" s="61"/>
      <c r="Z640" s="61"/>
      <c r="AA640" s="61"/>
      <c r="AB640" s="61"/>
      <c r="AC640" s="61"/>
      <c r="AD640" s="61"/>
      <c r="AE640" s="61"/>
      <c r="AF640" s="61"/>
      <c r="AG640" s="61"/>
      <c r="AH640" s="61"/>
    </row>
    <row r="641">
      <c r="A641" s="65"/>
      <c r="B641" s="65"/>
      <c r="C641" s="65"/>
      <c r="D641" s="66"/>
      <c r="E641" s="65"/>
      <c r="F641" s="65"/>
      <c r="G641" s="65"/>
      <c r="H641" s="65"/>
      <c r="I641" s="65"/>
      <c r="J641" s="65"/>
      <c r="K641" s="65"/>
      <c r="L641" s="65"/>
      <c r="M641" s="65"/>
      <c r="N641" s="65"/>
      <c r="O641" s="67"/>
      <c r="P641" s="65"/>
      <c r="Q641" s="65"/>
      <c r="R641" s="65"/>
      <c r="S641" s="65"/>
      <c r="T641" s="65"/>
      <c r="U641" s="65"/>
      <c r="V641" s="68"/>
      <c r="W641" s="65"/>
      <c r="X641" s="65"/>
      <c r="Y641" s="65"/>
      <c r="Z641" s="65"/>
      <c r="AA641" s="65"/>
      <c r="AB641" s="65"/>
      <c r="AC641" s="65"/>
      <c r="AD641" s="65"/>
      <c r="AE641" s="65"/>
      <c r="AF641" s="65"/>
      <c r="AG641" s="65"/>
      <c r="AH641" s="65"/>
    </row>
    <row r="642">
      <c r="A642" s="61"/>
      <c r="B642" s="61"/>
      <c r="C642" s="61"/>
      <c r="D642" s="62"/>
      <c r="E642" s="61"/>
      <c r="F642" s="61"/>
      <c r="G642" s="61"/>
      <c r="H642" s="61"/>
      <c r="I642" s="61"/>
      <c r="J642" s="61"/>
      <c r="K642" s="61"/>
      <c r="L642" s="61"/>
      <c r="M642" s="61"/>
      <c r="N642" s="61"/>
      <c r="O642" s="63"/>
      <c r="P642" s="61"/>
      <c r="Q642" s="61"/>
      <c r="R642" s="61"/>
      <c r="S642" s="61"/>
      <c r="T642" s="61"/>
      <c r="U642" s="61"/>
      <c r="V642" s="64"/>
      <c r="W642" s="61"/>
      <c r="X642" s="61"/>
      <c r="Y642" s="61"/>
      <c r="Z642" s="61"/>
      <c r="AA642" s="61"/>
      <c r="AB642" s="61"/>
      <c r="AC642" s="61"/>
      <c r="AD642" s="61"/>
      <c r="AE642" s="61"/>
      <c r="AF642" s="61"/>
      <c r="AG642" s="61"/>
      <c r="AH642" s="61"/>
    </row>
    <row r="643">
      <c r="A643" s="65"/>
      <c r="B643" s="65"/>
      <c r="C643" s="65"/>
      <c r="D643" s="66"/>
      <c r="E643" s="65"/>
      <c r="F643" s="65"/>
      <c r="G643" s="65"/>
      <c r="H643" s="65"/>
      <c r="I643" s="65"/>
      <c r="J643" s="65"/>
      <c r="K643" s="65"/>
      <c r="L643" s="65"/>
      <c r="M643" s="65"/>
      <c r="N643" s="65"/>
      <c r="O643" s="67"/>
      <c r="P643" s="65"/>
      <c r="Q643" s="65"/>
      <c r="R643" s="65"/>
      <c r="S643" s="65"/>
      <c r="T643" s="65"/>
      <c r="U643" s="65"/>
      <c r="V643" s="68"/>
      <c r="W643" s="65"/>
      <c r="X643" s="65"/>
      <c r="Y643" s="65"/>
      <c r="Z643" s="65"/>
      <c r="AA643" s="65"/>
      <c r="AB643" s="65"/>
      <c r="AC643" s="65"/>
      <c r="AD643" s="65"/>
      <c r="AE643" s="65"/>
      <c r="AF643" s="65"/>
      <c r="AG643" s="65"/>
      <c r="AH643" s="65"/>
    </row>
    <row r="644">
      <c r="A644" s="61"/>
      <c r="B644" s="61"/>
      <c r="C644" s="61"/>
      <c r="D644" s="62"/>
      <c r="E644" s="61"/>
      <c r="F644" s="61"/>
      <c r="G644" s="61"/>
      <c r="H644" s="61"/>
      <c r="I644" s="61"/>
      <c r="J644" s="61"/>
      <c r="K644" s="61"/>
      <c r="L644" s="61"/>
      <c r="M644" s="61"/>
      <c r="N644" s="61"/>
      <c r="O644" s="63"/>
      <c r="P644" s="61"/>
      <c r="Q644" s="61"/>
      <c r="R644" s="61"/>
      <c r="S644" s="61"/>
      <c r="T644" s="61"/>
      <c r="U644" s="61"/>
      <c r="V644" s="64"/>
      <c r="W644" s="61"/>
      <c r="X644" s="61"/>
      <c r="Y644" s="61"/>
      <c r="Z644" s="61"/>
      <c r="AA644" s="61"/>
      <c r="AB644" s="61"/>
      <c r="AC644" s="61"/>
      <c r="AD644" s="61"/>
      <c r="AE644" s="61"/>
      <c r="AF644" s="61"/>
      <c r="AG644" s="61"/>
      <c r="AH644" s="61"/>
    </row>
    <row r="645">
      <c r="A645" s="65"/>
      <c r="B645" s="65"/>
      <c r="C645" s="65"/>
      <c r="D645" s="66"/>
      <c r="E645" s="65"/>
      <c r="F645" s="65"/>
      <c r="G645" s="65"/>
      <c r="H645" s="65"/>
      <c r="I645" s="65"/>
      <c r="J645" s="65"/>
      <c r="K645" s="65"/>
      <c r="L645" s="65"/>
      <c r="M645" s="65"/>
      <c r="N645" s="65"/>
      <c r="O645" s="67"/>
      <c r="P645" s="65"/>
      <c r="Q645" s="65"/>
      <c r="R645" s="65"/>
      <c r="S645" s="65"/>
      <c r="T645" s="65"/>
      <c r="U645" s="65"/>
      <c r="V645" s="68"/>
      <c r="W645" s="65"/>
      <c r="X645" s="65"/>
      <c r="Y645" s="65"/>
      <c r="Z645" s="65"/>
      <c r="AA645" s="65"/>
      <c r="AB645" s="65"/>
      <c r="AC645" s="65"/>
      <c r="AD645" s="65"/>
      <c r="AE645" s="65"/>
      <c r="AF645" s="65"/>
      <c r="AG645" s="65"/>
      <c r="AH645" s="65"/>
    </row>
    <row r="646">
      <c r="A646" s="61"/>
      <c r="B646" s="61"/>
      <c r="C646" s="61"/>
      <c r="D646" s="62"/>
      <c r="E646" s="61"/>
      <c r="F646" s="61"/>
      <c r="G646" s="61"/>
      <c r="H646" s="61"/>
      <c r="I646" s="61"/>
      <c r="J646" s="61"/>
      <c r="K646" s="61"/>
      <c r="L646" s="61"/>
      <c r="M646" s="61"/>
      <c r="N646" s="61"/>
      <c r="O646" s="63"/>
      <c r="P646" s="61"/>
      <c r="Q646" s="61"/>
      <c r="R646" s="61"/>
      <c r="S646" s="61"/>
      <c r="T646" s="61"/>
      <c r="U646" s="61"/>
      <c r="V646" s="64"/>
      <c r="W646" s="61"/>
      <c r="X646" s="61"/>
      <c r="Y646" s="61"/>
      <c r="Z646" s="61"/>
      <c r="AA646" s="61"/>
      <c r="AB646" s="61"/>
      <c r="AC646" s="61"/>
      <c r="AD646" s="61"/>
      <c r="AE646" s="61"/>
      <c r="AF646" s="61"/>
      <c r="AG646" s="61"/>
      <c r="AH646" s="61"/>
    </row>
    <row r="647">
      <c r="A647" s="65"/>
      <c r="B647" s="65"/>
      <c r="C647" s="65"/>
      <c r="D647" s="66"/>
      <c r="E647" s="65"/>
      <c r="F647" s="65"/>
      <c r="G647" s="65"/>
      <c r="H647" s="65"/>
      <c r="I647" s="65"/>
      <c r="J647" s="65"/>
      <c r="K647" s="65"/>
      <c r="L647" s="65"/>
      <c r="M647" s="65"/>
      <c r="N647" s="65"/>
      <c r="O647" s="67"/>
      <c r="P647" s="65"/>
      <c r="Q647" s="65"/>
      <c r="R647" s="65"/>
      <c r="S647" s="65"/>
      <c r="T647" s="65"/>
      <c r="U647" s="65"/>
      <c r="V647" s="68"/>
      <c r="W647" s="65"/>
      <c r="X647" s="65"/>
      <c r="Y647" s="65"/>
      <c r="Z647" s="65"/>
      <c r="AA647" s="65"/>
      <c r="AB647" s="65"/>
      <c r="AC647" s="65"/>
      <c r="AD647" s="65"/>
      <c r="AE647" s="65"/>
      <c r="AF647" s="65"/>
      <c r="AG647" s="65"/>
      <c r="AH647" s="65"/>
    </row>
    <row r="648">
      <c r="A648" s="61"/>
      <c r="B648" s="61"/>
      <c r="C648" s="61"/>
      <c r="D648" s="62"/>
      <c r="E648" s="61"/>
      <c r="F648" s="61"/>
      <c r="G648" s="61"/>
      <c r="H648" s="61"/>
      <c r="I648" s="61"/>
      <c r="J648" s="61"/>
      <c r="K648" s="61"/>
      <c r="L648" s="61"/>
      <c r="M648" s="61"/>
      <c r="N648" s="61"/>
      <c r="O648" s="63"/>
      <c r="P648" s="61"/>
      <c r="Q648" s="61"/>
      <c r="R648" s="61"/>
      <c r="S648" s="61"/>
      <c r="T648" s="61"/>
      <c r="U648" s="61"/>
      <c r="V648" s="64"/>
      <c r="W648" s="61"/>
      <c r="X648" s="61"/>
      <c r="Y648" s="61"/>
      <c r="Z648" s="61"/>
      <c r="AA648" s="61"/>
      <c r="AB648" s="61"/>
      <c r="AC648" s="61"/>
      <c r="AD648" s="61"/>
      <c r="AE648" s="61"/>
      <c r="AF648" s="61"/>
      <c r="AG648" s="61"/>
      <c r="AH648" s="61"/>
    </row>
    <row r="649">
      <c r="A649" s="65"/>
      <c r="B649" s="65"/>
      <c r="C649" s="65"/>
      <c r="D649" s="66"/>
      <c r="E649" s="65"/>
      <c r="F649" s="65"/>
      <c r="G649" s="65"/>
      <c r="H649" s="65"/>
      <c r="I649" s="65"/>
      <c r="J649" s="65"/>
      <c r="K649" s="65"/>
      <c r="L649" s="65"/>
      <c r="M649" s="65"/>
      <c r="N649" s="65"/>
      <c r="O649" s="67"/>
      <c r="P649" s="65"/>
      <c r="Q649" s="65"/>
      <c r="R649" s="65"/>
      <c r="S649" s="65"/>
      <c r="T649" s="65"/>
      <c r="U649" s="65"/>
      <c r="V649" s="68"/>
      <c r="W649" s="65"/>
      <c r="X649" s="65"/>
      <c r="Y649" s="65"/>
      <c r="Z649" s="65"/>
      <c r="AA649" s="65"/>
      <c r="AB649" s="65"/>
      <c r="AC649" s="65"/>
      <c r="AD649" s="65"/>
      <c r="AE649" s="65"/>
      <c r="AF649" s="65"/>
      <c r="AG649" s="65"/>
      <c r="AH649" s="65"/>
    </row>
    <row r="650">
      <c r="A650" s="61"/>
      <c r="B650" s="61"/>
      <c r="C650" s="61"/>
      <c r="D650" s="62"/>
      <c r="E650" s="61"/>
      <c r="F650" s="61"/>
      <c r="G650" s="61"/>
      <c r="H650" s="61"/>
      <c r="I650" s="61"/>
      <c r="J650" s="61"/>
      <c r="K650" s="61"/>
      <c r="L650" s="61"/>
      <c r="M650" s="61"/>
      <c r="N650" s="61"/>
      <c r="O650" s="63"/>
      <c r="P650" s="61"/>
      <c r="Q650" s="61"/>
      <c r="R650" s="61"/>
      <c r="S650" s="61"/>
      <c r="T650" s="61"/>
      <c r="U650" s="61"/>
      <c r="V650" s="64"/>
      <c r="W650" s="61"/>
      <c r="X650" s="61"/>
      <c r="Y650" s="61"/>
      <c r="Z650" s="61"/>
      <c r="AA650" s="61"/>
      <c r="AB650" s="61"/>
      <c r="AC650" s="61"/>
      <c r="AD650" s="61"/>
      <c r="AE650" s="61"/>
      <c r="AF650" s="61"/>
      <c r="AG650" s="61"/>
      <c r="AH650" s="61"/>
    </row>
    <row r="651">
      <c r="A651" s="65"/>
      <c r="B651" s="65"/>
      <c r="C651" s="65"/>
      <c r="D651" s="66"/>
      <c r="E651" s="65"/>
      <c r="F651" s="65"/>
      <c r="G651" s="65"/>
      <c r="H651" s="65"/>
      <c r="I651" s="65"/>
      <c r="J651" s="65"/>
      <c r="K651" s="65"/>
      <c r="L651" s="65"/>
      <c r="M651" s="65"/>
      <c r="N651" s="65"/>
      <c r="O651" s="67"/>
      <c r="P651" s="65"/>
      <c r="Q651" s="65"/>
      <c r="R651" s="65"/>
      <c r="S651" s="65"/>
      <c r="T651" s="65"/>
      <c r="U651" s="65"/>
      <c r="V651" s="68"/>
      <c r="W651" s="65"/>
      <c r="X651" s="65"/>
      <c r="Y651" s="65"/>
      <c r="Z651" s="65"/>
      <c r="AA651" s="65"/>
      <c r="AB651" s="65"/>
      <c r="AC651" s="65"/>
      <c r="AD651" s="65"/>
      <c r="AE651" s="65"/>
      <c r="AF651" s="65"/>
      <c r="AG651" s="65"/>
      <c r="AH651" s="65"/>
    </row>
    <row r="652">
      <c r="A652" s="61"/>
      <c r="B652" s="61"/>
      <c r="C652" s="61"/>
      <c r="D652" s="62"/>
      <c r="E652" s="61"/>
      <c r="F652" s="61"/>
      <c r="G652" s="61"/>
      <c r="H652" s="61"/>
      <c r="I652" s="61"/>
      <c r="J652" s="61"/>
      <c r="K652" s="61"/>
      <c r="L652" s="61"/>
      <c r="M652" s="61"/>
      <c r="N652" s="61"/>
      <c r="O652" s="63"/>
      <c r="P652" s="61"/>
      <c r="Q652" s="61"/>
      <c r="R652" s="61"/>
      <c r="S652" s="61"/>
      <c r="T652" s="61"/>
      <c r="U652" s="61"/>
      <c r="V652" s="64"/>
      <c r="W652" s="61"/>
      <c r="X652" s="61"/>
      <c r="Y652" s="61"/>
      <c r="Z652" s="61"/>
      <c r="AA652" s="61"/>
      <c r="AB652" s="61"/>
      <c r="AC652" s="61"/>
      <c r="AD652" s="61"/>
      <c r="AE652" s="61"/>
      <c r="AF652" s="61"/>
      <c r="AG652" s="61"/>
      <c r="AH652" s="61"/>
    </row>
    <row r="653">
      <c r="A653" s="65"/>
      <c r="B653" s="65"/>
      <c r="C653" s="65"/>
      <c r="D653" s="66"/>
      <c r="E653" s="65"/>
      <c r="F653" s="65"/>
      <c r="G653" s="65"/>
      <c r="H653" s="65"/>
      <c r="I653" s="65"/>
      <c r="J653" s="65"/>
      <c r="K653" s="65"/>
      <c r="L653" s="65"/>
      <c r="M653" s="65"/>
      <c r="N653" s="65"/>
      <c r="O653" s="67"/>
      <c r="P653" s="65"/>
      <c r="Q653" s="65"/>
      <c r="R653" s="65"/>
      <c r="S653" s="65"/>
      <c r="T653" s="65"/>
      <c r="U653" s="65"/>
      <c r="V653" s="68"/>
      <c r="W653" s="65"/>
      <c r="X653" s="65"/>
      <c r="Y653" s="65"/>
      <c r="Z653" s="65"/>
      <c r="AA653" s="65"/>
      <c r="AB653" s="65"/>
      <c r="AC653" s="65"/>
      <c r="AD653" s="65"/>
      <c r="AE653" s="65"/>
      <c r="AF653" s="65"/>
      <c r="AG653" s="65"/>
      <c r="AH653" s="65"/>
    </row>
    <row r="654">
      <c r="A654" s="61"/>
      <c r="B654" s="61"/>
      <c r="C654" s="61"/>
      <c r="D654" s="62"/>
      <c r="E654" s="61"/>
      <c r="F654" s="61"/>
      <c r="G654" s="61"/>
      <c r="H654" s="61"/>
      <c r="I654" s="61"/>
      <c r="J654" s="61"/>
      <c r="K654" s="61"/>
      <c r="L654" s="61"/>
      <c r="M654" s="61"/>
      <c r="N654" s="61"/>
      <c r="O654" s="63"/>
      <c r="P654" s="61"/>
      <c r="Q654" s="61"/>
      <c r="R654" s="61"/>
      <c r="S654" s="61"/>
      <c r="T654" s="61"/>
      <c r="U654" s="61"/>
      <c r="V654" s="64"/>
      <c r="W654" s="61"/>
      <c r="X654" s="61"/>
      <c r="Y654" s="61"/>
      <c r="Z654" s="61"/>
      <c r="AA654" s="61"/>
      <c r="AB654" s="61"/>
      <c r="AC654" s="61"/>
      <c r="AD654" s="61"/>
      <c r="AE654" s="61"/>
      <c r="AF654" s="61"/>
      <c r="AG654" s="61"/>
      <c r="AH654" s="61"/>
    </row>
    <row r="655">
      <c r="A655" s="65"/>
      <c r="B655" s="65"/>
      <c r="C655" s="65"/>
      <c r="D655" s="66"/>
      <c r="E655" s="65"/>
      <c r="F655" s="65"/>
      <c r="G655" s="65"/>
      <c r="H655" s="65"/>
      <c r="I655" s="65"/>
      <c r="J655" s="65"/>
      <c r="K655" s="65"/>
      <c r="L655" s="65"/>
      <c r="M655" s="65"/>
      <c r="N655" s="65"/>
      <c r="O655" s="67"/>
      <c r="P655" s="65"/>
      <c r="Q655" s="65"/>
      <c r="R655" s="65"/>
      <c r="S655" s="65"/>
      <c r="T655" s="65"/>
      <c r="U655" s="65"/>
      <c r="V655" s="68"/>
      <c r="W655" s="65"/>
      <c r="X655" s="65"/>
      <c r="Y655" s="65"/>
      <c r="Z655" s="65"/>
      <c r="AA655" s="65"/>
      <c r="AB655" s="65"/>
      <c r="AC655" s="65"/>
      <c r="AD655" s="65"/>
      <c r="AE655" s="65"/>
      <c r="AF655" s="65"/>
      <c r="AG655" s="65"/>
      <c r="AH655" s="65"/>
    </row>
    <row r="656">
      <c r="A656" s="61"/>
      <c r="B656" s="61"/>
      <c r="C656" s="61"/>
      <c r="D656" s="62"/>
      <c r="E656" s="61"/>
      <c r="F656" s="61"/>
      <c r="G656" s="61"/>
      <c r="H656" s="61"/>
      <c r="I656" s="61"/>
      <c r="J656" s="61"/>
      <c r="K656" s="61"/>
      <c r="L656" s="61"/>
      <c r="M656" s="61"/>
      <c r="N656" s="61"/>
      <c r="O656" s="63"/>
      <c r="P656" s="61"/>
      <c r="Q656" s="61"/>
      <c r="R656" s="61"/>
      <c r="S656" s="61"/>
      <c r="T656" s="61"/>
      <c r="U656" s="61"/>
      <c r="V656" s="64"/>
      <c r="W656" s="61"/>
      <c r="X656" s="61"/>
      <c r="Y656" s="61"/>
      <c r="Z656" s="61"/>
      <c r="AA656" s="61"/>
      <c r="AB656" s="61"/>
      <c r="AC656" s="61"/>
      <c r="AD656" s="61"/>
      <c r="AE656" s="61"/>
      <c r="AF656" s="61"/>
      <c r="AG656" s="61"/>
      <c r="AH656" s="61"/>
    </row>
    <row r="657">
      <c r="A657" s="65"/>
      <c r="B657" s="65"/>
      <c r="C657" s="65"/>
      <c r="D657" s="66"/>
      <c r="E657" s="65"/>
      <c r="F657" s="65"/>
      <c r="G657" s="65"/>
      <c r="H657" s="65"/>
      <c r="I657" s="65"/>
      <c r="J657" s="65"/>
      <c r="K657" s="65"/>
      <c r="L657" s="65"/>
      <c r="M657" s="65"/>
      <c r="N657" s="65"/>
      <c r="O657" s="67"/>
      <c r="P657" s="65"/>
      <c r="Q657" s="65"/>
      <c r="R657" s="65"/>
      <c r="S657" s="65"/>
      <c r="T657" s="65"/>
      <c r="U657" s="65"/>
      <c r="V657" s="68"/>
      <c r="W657" s="65"/>
      <c r="X657" s="65"/>
      <c r="Y657" s="65"/>
      <c r="Z657" s="65"/>
      <c r="AA657" s="65"/>
      <c r="AB657" s="65"/>
      <c r="AC657" s="65"/>
      <c r="AD657" s="65"/>
      <c r="AE657" s="65"/>
      <c r="AF657" s="65"/>
      <c r="AG657" s="65"/>
      <c r="AH657" s="65"/>
    </row>
    <row r="658">
      <c r="A658" s="61"/>
      <c r="B658" s="61"/>
      <c r="C658" s="61"/>
      <c r="D658" s="62"/>
      <c r="E658" s="61"/>
      <c r="F658" s="61"/>
      <c r="G658" s="61"/>
      <c r="H658" s="61"/>
      <c r="I658" s="61"/>
      <c r="J658" s="61"/>
      <c r="K658" s="61"/>
      <c r="L658" s="61"/>
      <c r="M658" s="61"/>
      <c r="N658" s="61"/>
      <c r="O658" s="63"/>
      <c r="P658" s="61"/>
      <c r="Q658" s="61"/>
      <c r="R658" s="61"/>
      <c r="S658" s="61"/>
      <c r="T658" s="61"/>
      <c r="U658" s="61"/>
      <c r="V658" s="64"/>
      <c r="W658" s="61"/>
      <c r="X658" s="61"/>
      <c r="Y658" s="61"/>
      <c r="Z658" s="61"/>
      <c r="AA658" s="61"/>
      <c r="AB658" s="61"/>
      <c r="AC658" s="61"/>
      <c r="AD658" s="61"/>
      <c r="AE658" s="61"/>
      <c r="AF658" s="61"/>
      <c r="AG658" s="61"/>
      <c r="AH658" s="61"/>
    </row>
    <row r="659">
      <c r="A659" s="65"/>
      <c r="B659" s="65"/>
      <c r="C659" s="65"/>
      <c r="D659" s="66"/>
      <c r="E659" s="65"/>
      <c r="F659" s="65"/>
      <c r="G659" s="65"/>
      <c r="H659" s="65"/>
      <c r="I659" s="65"/>
      <c r="J659" s="65"/>
      <c r="K659" s="65"/>
      <c r="L659" s="65"/>
      <c r="M659" s="65"/>
      <c r="N659" s="65"/>
      <c r="O659" s="67"/>
      <c r="P659" s="65"/>
      <c r="Q659" s="65"/>
      <c r="R659" s="65"/>
      <c r="S659" s="65"/>
      <c r="T659" s="65"/>
      <c r="U659" s="65"/>
      <c r="V659" s="68"/>
      <c r="W659" s="65"/>
      <c r="X659" s="65"/>
      <c r="Y659" s="65"/>
      <c r="Z659" s="65"/>
      <c r="AA659" s="65"/>
      <c r="AB659" s="65"/>
      <c r="AC659" s="65"/>
      <c r="AD659" s="65"/>
      <c r="AE659" s="65"/>
      <c r="AF659" s="65"/>
      <c r="AG659" s="65"/>
      <c r="AH659" s="65"/>
    </row>
    <row r="660">
      <c r="A660" s="61"/>
      <c r="B660" s="61"/>
      <c r="C660" s="61"/>
      <c r="D660" s="62"/>
      <c r="E660" s="61"/>
      <c r="F660" s="61"/>
      <c r="G660" s="61"/>
      <c r="H660" s="61"/>
      <c r="I660" s="61"/>
      <c r="J660" s="61"/>
      <c r="K660" s="61"/>
      <c r="L660" s="61"/>
      <c r="M660" s="61"/>
      <c r="N660" s="61"/>
      <c r="O660" s="63"/>
      <c r="P660" s="61"/>
      <c r="Q660" s="61"/>
      <c r="R660" s="61"/>
      <c r="S660" s="61"/>
      <c r="T660" s="61"/>
      <c r="U660" s="61"/>
      <c r="V660" s="64"/>
      <c r="W660" s="61"/>
      <c r="X660" s="61"/>
      <c r="Y660" s="61"/>
      <c r="Z660" s="61"/>
      <c r="AA660" s="61"/>
      <c r="AB660" s="61"/>
      <c r="AC660" s="61"/>
      <c r="AD660" s="61"/>
      <c r="AE660" s="61"/>
      <c r="AF660" s="61"/>
      <c r="AG660" s="61"/>
      <c r="AH660" s="61"/>
    </row>
    <row r="661">
      <c r="A661" s="65"/>
      <c r="B661" s="65"/>
      <c r="C661" s="65"/>
      <c r="D661" s="66"/>
      <c r="E661" s="65"/>
      <c r="F661" s="65"/>
      <c r="G661" s="65"/>
      <c r="H661" s="65"/>
      <c r="I661" s="65"/>
      <c r="J661" s="65"/>
      <c r="K661" s="65"/>
      <c r="L661" s="65"/>
      <c r="M661" s="65"/>
      <c r="N661" s="65"/>
      <c r="O661" s="67"/>
      <c r="P661" s="65"/>
      <c r="Q661" s="65"/>
      <c r="R661" s="65"/>
      <c r="S661" s="65"/>
      <c r="T661" s="65"/>
      <c r="U661" s="65"/>
      <c r="V661" s="68"/>
      <c r="W661" s="65"/>
      <c r="X661" s="65"/>
      <c r="Y661" s="65"/>
      <c r="Z661" s="65"/>
      <c r="AA661" s="65"/>
      <c r="AB661" s="65"/>
      <c r="AC661" s="65"/>
      <c r="AD661" s="65"/>
      <c r="AE661" s="65"/>
      <c r="AF661" s="65"/>
      <c r="AG661" s="65"/>
      <c r="AH661" s="65"/>
    </row>
    <row r="662">
      <c r="A662" s="61"/>
      <c r="B662" s="61"/>
      <c r="C662" s="61"/>
      <c r="D662" s="62"/>
      <c r="E662" s="61"/>
      <c r="F662" s="61"/>
      <c r="G662" s="61"/>
      <c r="H662" s="61"/>
      <c r="I662" s="61"/>
      <c r="J662" s="61"/>
      <c r="K662" s="61"/>
      <c r="L662" s="61"/>
      <c r="M662" s="61"/>
      <c r="N662" s="61"/>
      <c r="O662" s="63"/>
      <c r="P662" s="61"/>
      <c r="Q662" s="61"/>
      <c r="R662" s="61"/>
      <c r="S662" s="61"/>
      <c r="T662" s="61"/>
      <c r="U662" s="61"/>
      <c r="V662" s="64"/>
      <c r="W662" s="61"/>
      <c r="X662" s="61"/>
      <c r="Y662" s="61"/>
      <c r="Z662" s="61"/>
      <c r="AA662" s="61"/>
      <c r="AB662" s="61"/>
      <c r="AC662" s="61"/>
      <c r="AD662" s="61"/>
      <c r="AE662" s="61"/>
      <c r="AF662" s="61"/>
      <c r="AG662" s="61"/>
      <c r="AH662" s="61"/>
    </row>
    <row r="663">
      <c r="A663" s="65"/>
      <c r="B663" s="65"/>
      <c r="C663" s="65"/>
      <c r="D663" s="66"/>
      <c r="E663" s="65"/>
      <c r="F663" s="65"/>
      <c r="G663" s="65"/>
      <c r="H663" s="65"/>
      <c r="I663" s="65"/>
      <c r="J663" s="65"/>
      <c r="K663" s="65"/>
      <c r="L663" s="65"/>
      <c r="M663" s="65"/>
      <c r="N663" s="65"/>
      <c r="O663" s="67"/>
      <c r="P663" s="65"/>
      <c r="Q663" s="65"/>
      <c r="R663" s="65"/>
      <c r="S663" s="65"/>
      <c r="T663" s="65"/>
      <c r="U663" s="65"/>
      <c r="V663" s="68"/>
      <c r="W663" s="65"/>
      <c r="X663" s="65"/>
      <c r="Y663" s="65"/>
      <c r="Z663" s="65"/>
      <c r="AA663" s="65"/>
      <c r="AB663" s="65"/>
      <c r="AC663" s="65"/>
      <c r="AD663" s="65"/>
      <c r="AE663" s="65"/>
      <c r="AF663" s="65"/>
      <c r="AG663" s="65"/>
      <c r="AH663" s="65"/>
    </row>
    <row r="664">
      <c r="A664" s="61"/>
      <c r="B664" s="61"/>
      <c r="C664" s="61"/>
      <c r="D664" s="62"/>
      <c r="E664" s="61"/>
      <c r="F664" s="61"/>
      <c r="G664" s="61"/>
      <c r="H664" s="61"/>
      <c r="I664" s="61"/>
      <c r="J664" s="61"/>
      <c r="K664" s="61"/>
      <c r="L664" s="61"/>
      <c r="M664" s="61"/>
      <c r="N664" s="61"/>
      <c r="O664" s="63"/>
      <c r="P664" s="61"/>
      <c r="Q664" s="61"/>
      <c r="R664" s="61"/>
      <c r="S664" s="61"/>
      <c r="T664" s="61"/>
      <c r="U664" s="61"/>
      <c r="V664" s="64"/>
      <c r="W664" s="61"/>
      <c r="X664" s="61"/>
      <c r="Y664" s="61"/>
      <c r="Z664" s="61"/>
      <c r="AA664" s="61"/>
      <c r="AB664" s="61"/>
      <c r="AC664" s="61"/>
      <c r="AD664" s="61"/>
      <c r="AE664" s="61"/>
      <c r="AF664" s="61"/>
      <c r="AG664" s="61"/>
      <c r="AH664" s="61"/>
    </row>
    <row r="665">
      <c r="A665" s="65"/>
      <c r="B665" s="65"/>
      <c r="C665" s="65"/>
      <c r="D665" s="66"/>
      <c r="E665" s="65"/>
      <c r="F665" s="65"/>
      <c r="G665" s="65"/>
      <c r="H665" s="65"/>
      <c r="I665" s="65"/>
      <c r="J665" s="65"/>
      <c r="K665" s="65"/>
      <c r="L665" s="65"/>
      <c r="M665" s="65"/>
      <c r="N665" s="65"/>
      <c r="O665" s="67"/>
      <c r="P665" s="65"/>
      <c r="Q665" s="65"/>
      <c r="R665" s="65"/>
      <c r="S665" s="65"/>
      <c r="T665" s="65"/>
      <c r="U665" s="65"/>
      <c r="V665" s="68"/>
      <c r="W665" s="65"/>
      <c r="X665" s="65"/>
      <c r="Y665" s="65"/>
      <c r="Z665" s="65"/>
      <c r="AA665" s="65"/>
      <c r="AB665" s="65"/>
      <c r="AC665" s="65"/>
      <c r="AD665" s="65"/>
      <c r="AE665" s="65"/>
      <c r="AF665" s="65"/>
      <c r="AG665" s="65"/>
      <c r="AH665" s="65"/>
    </row>
    <row r="666">
      <c r="A666" s="61"/>
      <c r="B666" s="61"/>
      <c r="C666" s="61"/>
      <c r="D666" s="62"/>
      <c r="E666" s="61"/>
      <c r="F666" s="61"/>
      <c r="G666" s="61"/>
      <c r="H666" s="61"/>
      <c r="I666" s="61"/>
      <c r="J666" s="61"/>
      <c r="K666" s="61"/>
      <c r="L666" s="61"/>
      <c r="M666" s="61"/>
      <c r="N666" s="61"/>
      <c r="O666" s="63"/>
      <c r="P666" s="61"/>
      <c r="Q666" s="61"/>
      <c r="R666" s="61"/>
      <c r="S666" s="61"/>
      <c r="T666" s="61"/>
      <c r="U666" s="61"/>
      <c r="V666" s="64"/>
      <c r="W666" s="61"/>
      <c r="X666" s="61"/>
      <c r="Y666" s="61"/>
      <c r="Z666" s="61"/>
      <c r="AA666" s="61"/>
      <c r="AB666" s="61"/>
      <c r="AC666" s="61"/>
      <c r="AD666" s="61"/>
      <c r="AE666" s="61"/>
      <c r="AF666" s="61"/>
      <c r="AG666" s="61"/>
      <c r="AH666" s="61"/>
    </row>
    <row r="667">
      <c r="A667" s="65"/>
      <c r="B667" s="65"/>
      <c r="C667" s="65"/>
      <c r="D667" s="66"/>
      <c r="E667" s="65"/>
      <c r="F667" s="65"/>
      <c r="G667" s="65"/>
      <c r="H667" s="65"/>
      <c r="I667" s="65"/>
      <c r="J667" s="65"/>
      <c r="K667" s="65"/>
      <c r="L667" s="65"/>
      <c r="M667" s="65"/>
      <c r="N667" s="65"/>
      <c r="O667" s="67"/>
      <c r="P667" s="65"/>
      <c r="Q667" s="65"/>
      <c r="R667" s="65"/>
      <c r="S667" s="65"/>
      <c r="T667" s="65"/>
      <c r="U667" s="65"/>
      <c r="V667" s="68"/>
      <c r="W667" s="65"/>
      <c r="X667" s="65"/>
      <c r="Y667" s="65"/>
      <c r="Z667" s="65"/>
      <c r="AA667" s="65"/>
      <c r="AB667" s="65"/>
      <c r="AC667" s="65"/>
      <c r="AD667" s="65"/>
      <c r="AE667" s="65"/>
      <c r="AF667" s="65"/>
      <c r="AG667" s="65"/>
      <c r="AH667" s="65"/>
    </row>
    <row r="668">
      <c r="A668" s="61"/>
      <c r="B668" s="61"/>
      <c r="C668" s="61"/>
      <c r="D668" s="62"/>
      <c r="E668" s="61"/>
      <c r="F668" s="61"/>
      <c r="G668" s="61"/>
      <c r="H668" s="61"/>
      <c r="I668" s="61"/>
      <c r="J668" s="61"/>
      <c r="K668" s="61"/>
      <c r="L668" s="61"/>
      <c r="M668" s="61"/>
      <c r="N668" s="61"/>
      <c r="O668" s="63"/>
      <c r="P668" s="61"/>
      <c r="Q668" s="61"/>
      <c r="R668" s="61"/>
      <c r="S668" s="61"/>
      <c r="T668" s="61"/>
      <c r="U668" s="61"/>
      <c r="V668" s="64"/>
      <c r="W668" s="61"/>
      <c r="X668" s="61"/>
      <c r="Y668" s="61"/>
      <c r="Z668" s="61"/>
      <c r="AA668" s="61"/>
      <c r="AB668" s="61"/>
      <c r="AC668" s="61"/>
      <c r="AD668" s="61"/>
      <c r="AE668" s="61"/>
      <c r="AF668" s="61"/>
      <c r="AG668" s="61"/>
      <c r="AH668" s="61"/>
    </row>
    <row r="669">
      <c r="A669" s="65"/>
      <c r="B669" s="65"/>
      <c r="C669" s="65"/>
      <c r="D669" s="66"/>
      <c r="E669" s="65"/>
      <c r="F669" s="65"/>
      <c r="G669" s="65"/>
      <c r="H669" s="65"/>
      <c r="I669" s="65"/>
      <c r="J669" s="65"/>
      <c r="K669" s="65"/>
      <c r="L669" s="65"/>
      <c r="M669" s="65"/>
      <c r="N669" s="65"/>
      <c r="O669" s="67"/>
      <c r="P669" s="65"/>
      <c r="Q669" s="65"/>
      <c r="R669" s="65"/>
      <c r="S669" s="65"/>
      <c r="T669" s="65"/>
      <c r="U669" s="65"/>
      <c r="V669" s="68"/>
      <c r="W669" s="65"/>
      <c r="X669" s="65"/>
      <c r="Y669" s="65"/>
      <c r="Z669" s="65"/>
      <c r="AA669" s="65"/>
      <c r="AB669" s="65"/>
      <c r="AC669" s="65"/>
      <c r="AD669" s="65"/>
      <c r="AE669" s="65"/>
      <c r="AF669" s="65"/>
      <c r="AG669" s="65"/>
      <c r="AH669" s="65"/>
    </row>
    <row r="670">
      <c r="A670" s="61"/>
      <c r="B670" s="61"/>
      <c r="C670" s="61"/>
      <c r="D670" s="62"/>
      <c r="E670" s="61"/>
      <c r="F670" s="61"/>
      <c r="G670" s="61"/>
      <c r="H670" s="61"/>
      <c r="I670" s="61"/>
      <c r="J670" s="61"/>
      <c r="K670" s="61"/>
      <c r="L670" s="61"/>
      <c r="M670" s="61"/>
      <c r="N670" s="61"/>
      <c r="O670" s="63"/>
      <c r="P670" s="61"/>
      <c r="Q670" s="61"/>
      <c r="R670" s="61"/>
      <c r="S670" s="61"/>
      <c r="T670" s="61"/>
      <c r="U670" s="61"/>
      <c r="V670" s="64"/>
      <c r="W670" s="61"/>
      <c r="X670" s="61"/>
      <c r="Y670" s="61"/>
      <c r="Z670" s="61"/>
      <c r="AA670" s="61"/>
      <c r="AB670" s="61"/>
      <c r="AC670" s="61"/>
      <c r="AD670" s="61"/>
      <c r="AE670" s="61"/>
      <c r="AF670" s="61"/>
      <c r="AG670" s="61"/>
      <c r="AH670" s="61"/>
    </row>
    <row r="671">
      <c r="A671" s="65"/>
      <c r="B671" s="65"/>
      <c r="C671" s="65"/>
      <c r="D671" s="66"/>
      <c r="E671" s="65"/>
      <c r="F671" s="65"/>
      <c r="G671" s="65"/>
      <c r="H671" s="65"/>
      <c r="I671" s="65"/>
      <c r="J671" s="65"/>
      <c r="K671" s="65"/>
      <c r="L671" s="65"/>
      <c r="M671" s="65"/>
      <c r="N671" s="65"/>
      <c r="O671" s="67"/>
      <c r="P671" s="65"/>
      <c r="Q671" s="65"/>
      <c r="R671" s="65"/>
      <c r="S671" s="65"/>
      <c r="T671" s="65"/>
      <c r="U671" s="65"/>
      <c r="V671" s="68"/>
      <c r="W671" s="65"/>
      <c r="X671" s="65"/>
      <c r="Y671" s="65"/>
      <c r="Z671" s="65"/>
      <c r="AA671" s="65"/>
      <c r="AB671" s="65"/>
      <c r="AC671" s="65"/>
      <c r="AD671" s="65"/>
      <c r="AE671" s="65"/>
      <c r="AF671" s="65"/>
      <c r="AG671" s="65"/>
      <c r="AH671" s="65"/>
    </row>
    <row r="672">
      <c r="A672" s="61"/>
      <c r="B672" s="61"/>
      <c r="C672" s="61"/>
      <c r="D672" s="62"/>
      <c r="E672" s="61"/>
      <c r="F672" s="61"/>
      <c r="G672" s="61"/>
      <c r="H672" s="61"/>
      <c r="I672" s="61"/>
      <c r="J672" s="61"/>
      <c r="K672" s="61"/>
      <c r="L672" s="61"/>
      <c r="M672" s="61"/>
      <c r="N672" s="61"/>
      <c r="O672" s="63"/>
      <c r="P672" s="61"/>
      <c r="Q672" s="61"/>
      <c r="R672" s="61"/>
      <c r="S672" s="61"/>
      <c r="T672" s="61"/>
      <c r="U672" s="61"/>
      <c r="V672" s="64"/>
      <c r="W672" s="61"/>
      <c r="X672" s="61"/>
      <c r="Y672" s="61"/>
      <c r="Z672" s="61"/>
      <c r="AA672" s="61"/>
      <c r="AB672" s="61"/>
      <c r="AC672" s="61"/>
      <c r="AD672" s="61"/>
      <c r="AE672" s="61"/>
      <c r="AF672" s="61"/>
      <c r="AG672" s="61"/>
      <c r="AH672" s="61"/>
    </row>
    <row r="673">
      <c r="A673" s="65"/>
      <c r="B673" s="65"/>
      <c r="C673" s="65"/>
      <c r="D673" s="66"/>
      <c r="E673" s="65"/>
      <c r="F673" s="65"/>
      <c r="G673" s="65"/>
      <c r="H673" s="65"/>
      <c r="I673" s="65"/>
      <c r="J673" s="65"/>
      <c r="K673" s="65"/>
      <c r="L673" s="65"/>
      <c r="M673" s="65"/>
      <c r="N673" s="65"/>
      <c r="O673" s="67"/>
      <c r="P673" s="65"/>
      <c r="Q673" s="65"/>
      <c r="R673" s="65"/>
      <c r="S673" s="65"/>
      <c r="T673" s="65"/>
      <c r="U673" s="65"/>
      <c r="V673" s="68"/>
      <c r="W673" s="65"/>
      <c r="X673" s="65"/>
      <c r="Y673" s="65"/>
      <c r="Z673" s="65"/>
      <c r="AA673" s="65"/>
      <c r="AB673" s="65"/>
      <c r="AC673" s="65"/>
      <c r="AD673" s="65"/>
      <c r="AE673" s="65"/>
      <c r="AF673" s="65"/>
      <c r="AG673" s="65"/>
      <c r="AH673" s="65"/>
    </row>
    <row r="674">
      <c r="A674" s="61"/>
      <c r="B674" s="61"/>
      <c r="C674" s="61"/>
      <c r="D674" s="62"/>
      <c r="E674" s="61"/>
      <c r="F674" s="61"/>
      <c r="G674" s="61"/>
      <c r="H674" s="61"/>
      <c r="I674" s="61"/>
      <c r="J674" s="61"/>
      <c r="K674" s="61"/>
      <c r="L674" s="61"/>
      <c r="M674" s="61"/>
      <c r="N674" s="61"/>
      <c r="O674" s="63"/>
      <c r="P674" s="61"/>
      <c r="Q674" s="61"/>
      <c r="R674" s="61"/>
      <c r="S674" s="61"/>
      <c r="T674" s="61"/>
      <c r="U674" s="61"/>
      <c r="V674" s="64"/>
      <c r="W674" s="61"/>
      <c r="X674" s="61"/>
      <c r="Y674" s="61"/>
      <c r="Z674" s="61"/>
      <c r="AA674" s="61"/>
      <c r="AB674" s="61"/>
      <c r="AC674" s="61"/>
      <c r="AD674" s="61"/>
      <c r="AE674" s="61"/>
      <c r="AF674" s="61"/>
      <c r="AG674" s="61"/>
      <c r="AH674" s="61"/>
    </row>
    <row r="675">
      <c r="A675" s="65"/>
      <c r="B675" s="65"/>
      <c r="C675" s="65"/>
      <c r="D675" s="66"/>
      <c r="E675" s="65"/>
      <c r="F675" s="65"/>
      <c r="G675" s="65"/>
      <c r="H675" s="65"/>
      <c r="I675" s="65"/>
      <c r="J675" s="65"/>
      <c r="K675" s="65"/>
      <c r="L675" s="65"/>
      <c r="M675" s="65"/>
      <c r="N675" s="65"/>
      <c r="O675" s="67"/>
      <c r="P675" s="65"/>
      <c r="Q675" s="65"/>
      <c r="R675" s="65"/>
      <c r="S675" s="65"/>
      <c r="T675" s="65"/>
      <c r="U675" s="65"/>
      <c r="V675" s="68"/>
      <c r="W675" s="65"/>
      <c r="X675" s="65"/>
      <c r="Y675" s="65"/>
      <c r="Z675" s="65"/>
      <c r="AA675" s="65"/>
      <c r="AB675" s="65"/>
      <c r="AC675" s="65"/>
      <c r="AD675" s="65"/>
      <c r="AE675" s="65"/>
      <c r="AF675" s="65"/>
      <c r="AG675" s="65"/>
      <c r="AH675" s="65"/>
    </row>
    <row r="676">
      <c r="A676" s="61"/>
      <c r="B676" s="61"/>
      <c r="C676" s="61"/>
      <c r="D676" s="62"/>
      <c r="E676" s="61"/>
      <c r="F676" s="61"/>
      <c r="G676" s="61"/>
      <c r="H676" s="61"/>
      <c r="I676" s="61"/>
      <c r="J676" s="61"/>
      <c r="K676" s="61"/>
      <c r="L676" s="61"/>
      <c r="M676" s="61"/>
      <c r="N676" s="61"/>
      <c r="O676" s="63"/>
      <c r="P676" s="61"/>
      <c r="Q676" s="61"/>
      <c r="R676" s="61"/>
      <c r="S676" s="61"/>
      <c r="T676" s="61"/>
      <c r="U676" s="61"/>
      <c r="V676" s="64"/>
      <c r="W676" s="61"/>
      <c r="X676" s="61"/>
      <c r="Y676" s="61"/>
      <c r="Z676" s="61"/>
      <c r="AA676" s="61"/>
      <c r="AB676" s="61"/>
      <c r="AC676" s="61"/>
      <c r="AD676" s="61"/>
      <c r="AE676" s="61"/>
      <c r="AF676" s="61"/>
      <c r="AG676" s="61"/>
      <c r="AH676" s="61"/>
    </row>
    <row r="677">
      <c r="A677" s="65"/>
      <c r="B677" s="65"/>
      <c r="C677" s="65"/>
      <c r="D677" s="66"/>
      <c r="E677" s="65"/>
      <c r="F677" s="65"/>
      <c r="G677" s="65"/>
      <c r="H677" s="65"/>
      <c r="I677" s="65"/>
      <c r="J677" s="65"/>
      <c r="K677" s="65"/>
      <c r="L677" s="65"/>
      <c r="M677" s="65"/>
      <c r="N677" s="65"/>
      <c r="O677" s="67"/>
      <c r="P677" s="65"/>
      <c r="Q677" s="65"/>
      <c r="R677" s="65"/>
      <c r="S677" s="65"/>
      <c r="T677" s="65"/>
      <c r="U677" s="65"/>
      <c r="V677" s="68"/>
      <c r="W677" s="65"/>
      <c r="X677" s="65"/>
      <c r="Y677" s="65"/>
      <c r="Z677" s="65"/>
      <c r="AA677" s="65"/>
      <c r="AB677" s="65"/>
      <c r="AC677" s="65"/>
      <c r="AD677" s="65"/>
      <c r="AE677" s="65"/>
      <c r="AF677" s="65"/>
      <c r="AG677" s="65"/>
      <c r="AH677" s="65"/>
    </row>
    <row r="678">
      <c r="A678" s="61"/>
      <c r="B678" s="61"/>
      <c r="C678" s="61"/>
      <c r="D678" s="62"/>
      <c r="E678" s="61"/>
      <c r="F678" s="61"/>
      <c r="G678" s="61"/>
      <c r="H678" s="61"/>
      <c r="I678" s="61"/>
      <c r="J678" s="61"/>
      <c r="K678" s="61"/>
      <c r="L678" s="61"/>
      <c r="M678" s="61"/>
      <c r="N678" s="61"/>
      <c r="O678" s="63"/>
      <c r="P678" s="61"/>
      <c r="Q678" s="61"/>
      <c r="R678" s="61"/>
      <c r="S678" s="61"/>
      <c r="T678" s="61"/>
      <c r="U678" s="61"/>
      <c r="V678" s="64"/>
      <c r="W678" s="61"/>
      <c r="X678" s="61"/>
      <c r="Y678" s="61"/>
      <c r="Z678" s="61"/>
      <c r="AA678" s="61"/>
      <c r="AB678" s="61"/>
      <c r="AC678" s="61"/>
      <c r="AD678" s="61"/>
      <c r="AE678" s="61"/>
      <c r="AF678" s="61"/>
      <c r="AG678" s="61"/>
      <c r="AH678" s="61"/>
    </row>
    <row r="679">
      <c r="A679" s="65"/>
      <c r="B679" s="65"/>
      <c r="C679" s="65"/>
      <c r="D679" s="66"/>
      <c r="E679" s="65"/>
      <c r="F679" s="65"/>
      <c r="G679" s="65"/>
      <c r="H679" s="65"/>
      <c r="I679" s="65"/>
      <c r="J679" s="65"/>
      <c r="K679" s="65"/>
      <c r="L679" s="65"/>
      <c r="M679" s="65"/>
      <c r="N679" s="65"/>
      <c r="O679" s="67"/>
      <c r="P679" s="65"/>
      <c r="Q679" s="65"/>
      <c r="R679" s="65"/>
      <c r="S679" s="65"/>
      <c r="T679" s="65"/>
      <c r="U679" s="65"/>
      <c r="V679" s="68"/>
      <c r="W679" s="65"/>
      <c r="X679" s="65"/>
      <c r="Y679" s="65"/>
      <c r="Z679" s="65"/>
      <c r="AA679" s="65"/>
      <c r="AB679" s="65"/>
      <c r="AC679" s="65"/>
      <c r="AD679" s="65"/>
      <c r="AE679" s="65"/>
      <c r="AF679" s="65"/>
      <c r="AG679" s="65"/>
      <c r="AH679" s="65"/>
    </row>
    <row r="680">
      <c r="A680" s="61"/>
      <c r="B680" s="61"/>
      <c r="C680" s="61"/>
      <c r="D680" s="62"/>
      <c r="E680" s="61"/>
      <c r="F680" s="61"/>
      <c r="G680" s="61"/>
      <c r="H680" s="61"/>
      <c r="I680" s="61"/>
      <c r="J680" s="61"/>
      <c r="K680" s="61"/>
      <c r="L680" s="61"/>
      <c r="M680" s="61"/>
      <c r="N680" s="61"/>
      <c r="O680" s="63"/>
      <c r="P680" s="61"/>
      <c r="Q680" s="61"/>
      <c r="R680" s="61"/>
      <c r="S680" s="61"/>
      <c r="T680" s="61"/>
      <c r="U680" s="61"/>
      <c r="V680" s="64"/>
      <c r="W680" s="61"/>
      <c r="X680" s="61"/>
      <c r="Y680" s="61"/>
      <c r="Z680" s="61"/>
      <c r="AA680" s="61"/>
      <c r="AB680" s="61"/>
      <c r="AC680" s="61"/>
      <c r="AD680" s="61"/>
      <c r="AE680" s="61"/>
      <c r="AF680" s="61"/>
      <c r="AG680" s="61"/>
      <c r="AH680" s="61"/>
    </row>
    <row r="681">
      <c r="A681" s="65"/>
      <c r="B681" s="65"/>
      <c r="C681" s="65"/>
      <c r="D681" s="66"/>
      <c r="E681" s="65"/>
      <c r="F681" s="65"/>
      <c r="G681" s="65"/>
      <c r="H681" s="65"/>
      <c r="I681" s="65"/>
      <c r="J681" s="65"/>
      <c r="K681" s="65"/>
      <c r="L681" s="65"/>
      <c r="M681" s="65"/>
      <c r="N681" s="65"/>
      <c r="O681" s="67"/>
      <c r="P681" s="65"/>
      <c r="Q681" s="65"/>
      <c r="R681" s="65"/>
      <c r="S681" s="65"/>
      <c r="T681" s="65"/>
      <c r="U681" s="65"/>
      <c r="V681" s="68"/>
      <c r="W681" s="65"/>
      <c r="X681" s="65"/>
      <c r="Y681" s="65"/>
      <c r="Z681" s="65"/>
      <c r="AA681" s="65"/>
      <c r="AB681" s="65"/>
      <c r="AC681" s="65"/>
      <c r="AD681" s="65"/>
      <c r="AE681" s="65"/>
      <c r="AF681" s="65"/>
      <c r="AG681" s="65"/>
      <c r="AH681" s="65"/>
    </row>
    <row r="682">
      <c r="A682" s="61"/>
      <c r="B682" s="61"/>
      <c r="C682" s="61"/>
      <c r="D682" s="62"/>
      <c r="E682" s="61"/>
      <c r="F682" s="61"/>
      <c r="G682" s="61"/>
      <c r="H682" s="61"/>
      <c r="I682" s="61"/>
      <c r="J682" s="61"/>
      <c r="K682" s="61"/>
      <c r="L682" s="61"/>
      <c r="M682" s="61"/>
      <c r="N682" s="61"/>
      <c r="O682" s="63"/>
      <c r="P682" s="61"/>
      <c r="Q682" s="61"/>
      <c r="R682" s="61"/>
      <c r="S682" s="61"/>
      <c r="T682" s="61"/>
      <c r="U682" s="61"/>
      <c r="V682" s="64"/>
      <c r="W682" s="61"/>
      <c r="X682" s="61"/>
      <c r="Y682" s="61"/>
      <c r="Z682" s="61"/>
      <c r="AA682" s="61"/>
      <c r="AB682" s="61"/>
      <c r="AC682" s="61"/>
      <c r="AD682" s="61"/>
      <c r="AE682" s="61"/>
      <c r="AF682" s="61"/>
      <c r="AG682" s="61"/>
      <c r="AH682" s="61"/>
    </row>
    <row r="683">
      <c r="A683" s="65"/>
      <c r="B683" s="65"/>
      <c r="C683" s="65"/>
      <c r="D683" s="66"/>
      <c r="E683" s="65"/>
      <c r="F683" s="65"/>
      <c r="G683" s="65"/>
      <c r="H683" s="65"/>
      <c r="I683" s="65"/>
      <c r="J683" s="65"/>
      <c r="K683" s="65"/>
      <c r="L683" s="65"/>
      <c r="M683" s="65"/>
      <c r="N683" s="65"/>
      <c r="O683" s="67"/>
      <c r="P683" s="65"/>
      <c r="Q683" s="65"/>
      <c r="R683" s="65"/>
      <c r="S683" s="65"/>
      <c r="T683" s="65"/>
      <c r="U683" s="65"/>
      <c r="V683" s="68"/>
      <c r="W683" s="65"/>
      <c r="X683" s="65"/>
      <c r="Y683" s="65"/>
      <c r="Z683" s="65"/>
      <c r="AA683" s="65"/>
      <c r="AB683" s="65"/>
      <c r="AC683" s="65"/>
      <c r="AD683" s="65"/>
      <c r="AE683" s="65"/>
      <c r="AF683" s="65"/>
      <c r="AG683" s="65"/>
      <c r="AH683" s="65"/>
    </row>
    <row r="684">
      <c r="A684" s="61"/>
      <c r="B684" s="61"/>
      <c r="C684" s="61"/>
      <c r="D684" s="62"/>
      <c r="E684" s="61"/>
      <c r="F684" s="61"/>
      <c r="G684" s="61"/>
      <c r="H684" s="61"/>
      <c r="I684" s="61"/>
      <c r="J684" s="61"/>
      <c r="K684" s="61"/>
      <c r="L684" s="61"/>
      <c r="M684" s="61"/>
      <c r="N684" s="61"/>
      <c r="O684" s="63"/>
      <c r="P684" s="61"/>
      <c r="Q684" s="61"/>
      <c r="R684" s="61"/>
      <c r="S684" s="61"/>
      <c r="T684" s="61"/>
      <c r="U684" s="61"/>
      <c r="V684" s="64"/>
      <c r="W684" s="61"/>
      <c r="X684" s="61"/>
      <c r="Y684" s="61"/>
      <c r="Z684" s="61"/>
      <c r="AA684" s="61"/>
      <c r="AB684" s="61"/>
      <c r="AC684" s="61"/>
      <c r="AD684" s="61"/>
      <c r="AE684" s="61"/>
      <c r="AF684" s="61"/>
      <c r="AG684" s="61"/>
      <c r="AH684" s="61"/>
    </row>
    <row r="685">
      <c r="A685" s="65"/>
      <c r="B685" s="65"/>
      <c r="C685" s="65"/>
      <c r="D685" s="66"/>
      <c r="E685" s="65"/>
      <c r="F685" s="65"/>
      <c r="G685" s="65"/>
      <c r="H685" s="65"/>
      <c r="I685" s="65"/>
      <c r="J685" s="65"/>
      <c r="K685" s="65"/>
      <c r="L685" s="65"/>
      <c r="M685" s="65"/>
      <c r="N685" s="65"/>
      <c r="O685" s="67"/>
      <c r="P685" s="65"/>
      <c r="Q685" s="65"/>
      <c r="R685" s="65"/>
      <c r="S685" s="65"/>
      <c r="T685" s="65"/>
      <c r="U685" s="65"/>
      <c r="V685" s="68"/>
      <c r="W685" s="65"/>
      <c r="X685" s="65"/>
      <c r="Y685" s="65"/>
      <c r="Z685" s="65"/>
      <c r="AA685" s="65"/>
      <c r="AB685" s="65"/>
      <c r="AC685" s="65"/>
      <c r="AD685" s="65"/>
      <c r="AE685" s="65"/>
      <c r="AF685" s="65"/>
      <c r="AG685" s="65"/>
      <c r="AH685" s="65"/>
    </row>
    <row r="686">
      <c r="A686" s="61"/>
      <c r="B686" s="61"/>
      <c r="C686" s="61"/>
      <c r="D686" s="62"/>
      <c r="E686" s="61"/>
      <c r="F686" s="61"/>
      <c r="G686" s="61"/>
      <c r="H686" s="61"/>
      <c r="I686" s="61"/>
      <c r="J686" s="61"/>
      <c r="K686" s="61"/>
      <c r="L686" s="61"/>
      <c r="M686" s="61"/>
      <c r="N686" s="61"/>
      <c r="O686" s="63"/>
      <c r="P686" s="61"/>
      <c r="Q686" s="61"/>
      <c r="R686" s="61"/>
      <c r="S686" s="61"/>
      <c r="T686" s="61"/>
      <c r="U686" s="61"/>
      <c r="V686" s="64"/>
      <c r="W686" s="61"/>
      <c r="X686" s="61"/>
      <c r="Y686" s="61"/>
      <c r="Z686" s="61"/>
      <c r="AA686" s="61"/>
      <c r="AB686" s="61"/>
      <c r="AC686" s="61"/>
      <c r="AD686" s="61"/>
      <c r="AE686" s="61"/>
      <c r="AF686" s="61"/>
      <c r="AG686" s="61"/>
      <c r="AH686" s="61"/>
    </row>
    <row r="687">
      <c r="A687" s="65"/>
      <c r="B687" s="65"/>
      <c r="C687" s="65"/>
      <c r="D687" s="66"/>
      <c r="E687" s="65"/>
      <c r="F687" s="65"/>
      <c r="G687" s="65"/>
      <c r="H687" s="65"/>
      <c r="I687" s="65"/>
      <c r="J687" s="65"/>
      <c r="K687" s="65"/>
      <c r="L687" s="65"/>
      <c r="M687" s="65"/>
      <c r="N687" s="65"/>
      <c r="O687" s="67"/>
      <c r="P687" s="65"/>
      <c r="Q687" s="65"/>
      <c r="R687" s="65"/>
      <c r="S687" s="65"/>
      <c r="T687" s="65"/>
      <c r="U687" s="65"/>
      <c r="V687" s="68"/>
      <c r="W687" s="65"/>
      <c r="X687" s="65"/>
      <c r="Y687" s="65"/>
      <c r="Z687" s="65"/>
      <c r="AA687" s="65"/>
      <c r="AB687" s="65"/>
      <c r="AC687" s="65"/>
      <c r="AD687" s="65"/>
      <c r="AE687" s="65"/>
      <c r="AF687" s="65"/>
      <c r="AG687" s="65"/>
      <c r="AH687" s="65"/>
    </row>
    <row r="688">
      <c r="A688" s="61"/>
      <c r="B688" s="61"/>
      <c r="C688" s="61"/>
      <c r="D688" s="62"/>
      <c r="E688" s="61"/>
      <c r="F688" s="61"/>
      <c r="G688" s="61"/>
      <c r="H688" s="61"/>
      <c r="I688" s="61"/>
      <c r="J688" s="61"/>
      <c r="K688" s="61"/>
      <c r="L688" s="61"/>
      <c r="M688" s="61"/>
      <c r="N688" s="61"/>
      <c r="O688" s="63"/>
      <c r="P688" s="61"/>
      <c r="Q688" s="61"/>
      <c r="R688" s="61"/>
      <c r="S688" s="61"/>
      <c r="T688" s="61"/>
      <c r="U688" s="61"/>
      <c r="V688" s="64"/>
      <c r="W688" s="61"/>
      <c r="X688" s="61"/>
      <c r="Y688" s="61"/>
      <c r="Z688" s="61"/>
      <c r="AA688" s="61"/>
      <c r="AB688" s="61"/>
      <c r="AC688" s="61"/>
      <c r="AD688" s="61"/>
      <c r="AE688" s="61"/>
      <c r="AF688" s="61"/>
      <c r="AG688" s="61"/>
      <c r="AH688" s="61"/>
    </row>
    <row r="689">
      <c r="A689" s="65"/>
      <c r="B689" s="65"/>
      <c r="C689" s="65"/>
      <c r="D689" s="66"/>
      <c r="E689" s="65"/>
      <c r="F689" s="65"/>
      <c r="G689" s="65"/>
      <c r="H689" s="65"/>
      <c r="I689" s="65"/>
      <c r="J689" s="65"/>
      <c r="K689" s="65"/>
      <c r="L689" s="65"/>
      <c r="M689" s="65"/>
      <c r="N689" s="65"/>
      <c r="O689" s="67"/>
      <c r="P689" s="65"/>
      <c r="Q689" s="65"/>
      <c r="R689" s="65"/>
      <c r="S689" s="65"/>
      <c r="T689" s="65"/>
      <c r="U689" s="65"/>
      <c r="V689" s="68"/>
      <c r="W689" s="65"/>
      <c r="X689" s="65"/>
      <c r="Y689" s="65"/>
      <c r="Z689" s="65"/>
      <c r="AA689" s="65"/>
      <c r="AB689" s="65"/>
      <c r="AC689" s="65"/>
      <c r="AD689" s="65"/>
      <c r="AE689" s="65"/>
      <c r="AF689" s="65"/>
      <c r="AG689" s="65"/>
      <c r="AH689" s="65"/>
    </row>
    <row r="690">
      <c r="A690" s="61"/>
      <c r="B690" s="61"/>
      <c r="C690" s="61"/>
      <c r="D690" s="62"/>
      <c r="E690" s="61"/>
      <c r="F690" s="61"/>
      <c r="G690" s="61"/>
      <c r="H690" s="61"/>
      <c r="I690" s="61"/>
      <c r="J690" s="61"/>
      <c r="K690" s="61"/>
      <c r="L690" s="61"/>
      <c r="M690" s="61"/>
      <c r="N690" s="61"/>
      <c r="O690" s="63"/>
      <c r="P690" s="61"/>
      <c r="Q690" s="61"/>
      <c r="R690" s="61"/>
      <c r="S690" s="61"/>
      <c r="T690" s="61"/>
      <c r="U690" s="61"/>
      <c r="V690" s="64"/>
      <c r="W690" s="61"/>
      <c r="X690" s="61"/>
      <c r="Y690" s="61"/>
      <c r="Z690" s="61"/>
      <c r="AA690" s="61"/>
      <c r="AB690" s="61"/>
      <c r="AC690" s="61"/>
      <c r="AD690" s="61"/>
      <c r="AE690" s="61"/>
      <c r="AF690" s="61"/>
      <c r="AG690" s="61"/>
      <c r="AH690" s="61"/>
    </row>
    <row r="691">
      <c r="A691" s="65"/>
      <c r="B691" s="65"/>
      <c r="C691" s="65"/>
      <c r="D691" s="66"/>
      <c r="E691" s="65"/>
      <c r="F691" s="65"/>
      <c r="G691" s="65"/>
      <c r="H691" s="65"/>
      <c r="I691" s="65"/>
      <c r="J691" s="65"/>
      <c r="K691" s="65"/>
      <c r="L691" s="65"/>
      <c r="M691" s="65"/>
      <c r="N691" s="65"/>
      <c r="O691" s="67"/>
      <c r="P691" s="65"/>
      <c r="Q691" s="65"/>
      <c r="R691" s="65"/>
      <c r="S691" s="65"/>
      <c r="T691" s="65"/>
      <c r="U691" s="65"/>
      <c r="V691" s="68"/>
      <c r="W691" s="65"/>
      <c r="X691" s="65"/>
      <c r="Y691" s="65"/>
      <c r="Z691" s="65"/>
      <c r="AA691" s="65"/>
      <c r="AB691" s="65"/>
      <c r="AC691" s="65"/>
      <c r="AD691" s="65"/>
      <c r="AE691" s="65"/>
      <c r="AF691" s="65"/>
      <c r="AG691" s="65"/>
      <c r="AH691" s="65"/>
    </row>
    <row r="692">
      <c r="A692" s="61"/>
      <c r="B692" s="61"/>
      <c r="C692" s="61"/>
      <c r="D692" s="62"/>
      <c r="E692" s="61"/>
      <c r="F692" s="61"/>
      <c r="G692" s="61"/>
      <c r="H692" s="61"/>
      <c r="I692" s="61"/>
      <c r="J692" s="61"/>
      <c r="K692" s="61"/>
      <c r="L692" s="61"/>
      <c r="M692" s="61"/>
      <c r="N692" s="61"/>
      <c r="O692" s="63"/>
      <c r="P692" s="61"/>
      <c r="Q692" s="61"/>
      <c r="R692" s="61"/>
      <c r="S692" s="61"/>
      <c r="T692" s="61"/>
      <c r="U692" s="61"/>
      <c r="V692" s="64"/>
      <c r="W692" s="61"/>
      <c r="X692" s="61"/>
      <c r="Y692" s="61"/>
      <c r="Z692" s="61"/>
      <c r="AA692" s="61"/>
      <c r="AB692" s="61"/>
      <c r="AC692" s="61"/>
      <c r="AD692" s="61"/>
      <c r="AE692" s="61"/>
      <c r="AF692" s="61"/>
      <c r="AG692" s="61"/>
      <c r="AH692" s="61"/>
    </row>
    <row r="693">
      <c r="A693" s="65"/>
      <c r="B693" s="65"/>
      <c r="C693" s="65"/>
      <c r="D693" s="66"/>
      <c r="E693" s="65"/>
      <c r="F693" s="65"/>
      <c r="G693" s="65"/>
      <c r="H693" s="65"/>
      <c r="I693" s="65"/>
      <c r="J693" s="65"/>
      <c r="K693" s="65"/>
      <c r="L693" s="65"/>
      <c r="M693" s="65"/>
      <c r="N693" s="65"/>
      <c r="O693" s="67"/>
      <c r="P693" s="65"/>
      <c r="Q693" s="65"/>
      <c r="R693" s="65"/>
      <c r="S693" s="65"/>
      <c r="T693" s="65"/>
      <c r="U693" s="65"/>
      <c r="V693" s="68"/>
      <c r="W693" s="65"/>
      <c r="X693" s="65"/>
      <c r="Y693" s="65"/>
      <c r="Z693" s="65"/>
      <c r="AA693" s="65"/>
      <c r="AB693" s="65"/>
      <c r="AC693" s="65"/>
      <c r="AD693" s="65"/>
      <c r="AE693" s="65"/>
      <c r="AF693" s="65"/>
      <c r="AG693" s="65"/>
      <c r="AH693" s="65"/>
    </row>
    <row r="694">
      <c r="A694" s="61"/>
      <c r="B694" s="61"/>
      <c r="C694" s="61"/>
      <c r="D694" s="62"/>
      <c r="E694" s="61"/>
      <c r="F694" s="61"/>
      <c r="G694" s="61"/>
      <c r="H694" s="61"/>
      <c r="I694" s="61"/>
      <c r="J694" s="61"/>
      <c r="K694" s="61"/>
      <c r="L694" s="61"/>
      <c r="M694" s="61"/>
      <c r="N694" s="61"/>
      <c r="O694" s="63"/>
      <c r="P694" s="61"/>
      <c r="Q694" s="61"/>
      <c r="R694" s="61"/>
      <c r="S694" s="61"/>
      <c r="T694" s="61"/>
      <c r="U694" s="61"/>
      <c r="V694" s="64"/>
      <c r="W694" s="61"/>
      <c r="X694" s="61"/>
      <c r="Y694" s="61"/>
      <c r="Z694" s="61"/>
      <c r="AA694" s="61"/>
      <c r="AB694" s="61"/>
      <c r="AC694" s="61"/>
      <c r="AD694" s="61"/>
      <c r="AE694" s="61"/>
      <c r="AF694" s="61"/>
      <c r="AG694" s="61"/>
      <c r="AH694" s="61"/>
    </row>
    <row r="695">
      <c r="A695" s="65"/>
      <c r="B695" s="65"/>
      <c r="C695" s="65"/>
      <c r="D695" s="66"/>
      <c r="E695" s="65"/>
      <c r="F695" s="65"/>
      <c r="G695" s="65"/>
      <c r="H695" s="65"/>
      <c r="I695" s="65"/>
      <c r="J695" s="65"/>
      <c r="K695" s="65"/>
      <c r="L695" s="65"/>
      <c r="M695" s="65"/>
      <c r="N695" s="65"/>
      <c r="O695" s="67"/>
      <c r="P695" s="65"/>
      <c r="Q695" s="65"/>
      <c r="R695" s="65"/>
      <c r="S695" s="65"/>
      <c r="T695" s="65"/>
      <c r="U695" s="65"/>
      <c r="V695" s="68"/>
      <c r="W695" s="65"/>
      <c r="X695" s="65"/>
      <c r="Y695" s="65"/>
      <c r="Z695" s="65"/>
      <c r="AA695" s="65"/>
      <c r="AB695" s="65"/>
      <c r="AC695" s="65"/>
      <c r="AD695" s="65"/>
      <c r="AE695" s="65"/>
      <c r="AF695" s="65"/>
      <c r="AG695" s="65"/>
      <c r="AH695" s="65"/>
    </row>
    <row r="696">
      <c r="A696" s="61"/>
      <c r="B696" s="61"/>
      <c r="C696" s="61"/>
      <c r="D696" s="62"/>
      <c r="E696" s="61"/>
      <c r="F696" s="61"/>
      <c r="G696" s="61"/>
      <c r="H696" s="61"/>
      <c r="I696" s="61"/>
      <c r="J696" s="61"/>
      <c r="K696" s="61"/>
      <c r="L696" s="61"/>
      <c r="M696" s="61"/>
      <c r="N696" s="61"/>
      <c r="O696" s="63"/>
      <c r="P696" s="61"/>
      <c r="Q696" s="61"/>
      <c r="R696" s="61"/>
      <c r="S696" s="61"/>
      <c r="T696" s="61"/>
      <c r="U696" s="61"/>
      <c r="V696" s="64"/>
      <c r="W696" s="61"/>
      <c r="X696" s="61"/>
      <c r="Y696" s="61"/>
      <c r="Z696" s="61"/>
      <c r="AA696" s="61"/>
      <c r="AB696" s="61"/>
      <c r="AC696" s="61"/>
      <c r="AD696" s="61"/>
      <c r="AE696" s="61"/>
      <c r="AF696" s="61"/>
      <c r="AG696" s="61"/>
      <c r="AH696" s="61"/>
    </row>
    <row r="697">
      <c r="A697" s="65"/>
      <c r="B697" s="65"/>
      <c r="C697" s="65"/>
      <c r="D697" s="66"/>
      <c r="E697" s="65"/>
      <c r="F697" s="65"/>
      <c r="G697" s="65"/>
      <c r="H697" s="65"/>
      <c r="I697" s="65"/>
      <c r="J697" s="65"/>
      <c r="K697" s="65"/>
      <c r="L697" s="65"/>
      <c r="M697" s="65"/>
      <c r="N697" s="65"/>
      <c r="O697" s="67"/>
      <c r="P697" s="65"/>
      <c r="Q697" s="65"/>
      <c r="R697" s="65"/>
      <c r="S697" s="65"/>
      <c r="T697" s="65"/>
      <c r="U697" s="65"/>
      <c r="V697" s="68"/>
      <c r="W697" s="65"/>
      <c r="X697" s="65"/>
      <c r="Y697" s="65"/>
      <c r="Z697" s="65"/>
      <c r="AA697" s="65"/>
      <c r="AB697" s="65"/>
      <c r="AC697" s="65"/>
      <c r="AD697" s="65"/>
      <c r="AE697" s="65"/>
      <c r="AF697" s="65"/>
      <c r="AG697" s="65"/>
      <c r="AH697" s="65"/>
    </row>
    <row r="698">
      <c r="A698" s="61"/>
      <c r="B698" s="61"/>
      <c r="C698" s="61"/>
      <c r="D698" s="62"/>
      <c r="E698" s="61"/>
      <c r="F698" s="61"/>
      <c r="G698" s="61"/>
      <c r="H698" s="61"/>
      <c r="I698" s="61"/>
      <c r="J698" s="61"/>
      <c r="K698" s="61"/>
      <c r="L698" s="61"/>
      <c r="M698" s="61"/>
      <c r="N698" s="61"/>
      <c r="O698" s="63"/>
      <c r="P698" s="61"/>
      <c r="Q698" s="61"/>
      <c r="R698" s="61"/>
      <c r="S698" s="61"/>
      <c r="T698" s="61"/>
      <c r="U698" s="61"/>
      <c r="V698" s="64"/>
      <c r="W698" s="61"/>
      <c r="X698" s="61"/>
      <c r="Y698" s="61"/>
      <c r="Z698" s="61"/>
      <c r="AA698" s="61"/>
      <c r="AB698" s="61"/>
      <c r="AC698" s="61"/>
      <c r="AD698" s="61"/>
      <c r="AE698" s="61"/>
      <c r="AF698" s="61"/>
      <c r="AG698" s="61"/>
      <c r="AH698" s="61"/>
    </row>
    <row r="699">
      <c r="A699" s="65"/>
      <c r="B699" s="65"/>
      <c r="C699" s="65"/>
      <c r="D699" s="66"/>
      <c r="E699" s="65"/>
      <c r="F699" s="65"/>
      <c r="G699" s="65"/>
      <c r="H699" s="65"/>
      <c r="I699" s="65"/>
      <c r="J699" s="65"/>
      <c r="K699" s="65"/>
      <c r="L699" s="65"/>
      <c r="M699" s="65"/>
      <c r="N699" s="65"/>
      <c r="O699" s="67"/>
      <c r="P699" s="65"/>
      <c r="Q699" s="65"/>
      <c r="R699" s="65"/>
      <c r="S699" s="65"/>
      <c r="T699" s="65"/>
      <c r="U699" s="65"/>
      <c r="V699" s="68"/>
      <c r="W699" s="65"/>
      <c r="X699" s="65"/>
      <c r="Y699" s="65"/>
      <c r="Z699" s="65"/>
      <c r="AA699" s="65"/>
      <c r="AB699" s="65"/>
      <c r="AC699" s="65"/>
      <c r="AD699" s="65"/>
      <c r="AE699" s="65"/>
      <c r="AF699" s="65"/>
      <c r="AG699" s="65"/>
      <c r="AH699" s="65"/>
    </row>
    <row r="700">
      <c r="A700" s="61"/>
      <c r="B700" s="61"/>
      <c r="C700" s="61"/>
      <c r="D700" s="62"/>
      <c r="E700" s="61"/>
      <c r="F700" s="61"/>
      <c r="G700" s="61"/>
      <c r="H700" s="61"/>
      <c r="I700" s="61"/>
      <c r="J700" s="61"/>
      <c r="K700" s="61"/>
      <c r="L700" s="61"/>
      <c r="M700" s="61"/>
      <c r="N700" s="61"/>
      <c r="O700" s="63"/>
      <c r="P700" s="61"/>
      <c r="Q700" s="61"/>
      <c r="R700" s="61"/>
      <c r="S700" s="61"/>
      <c r="T700" s="61"/>
      <c r="U700" s="61"/>
      <c r="V700" s="64"/>
      <c r="W700" s="61"/>
      <c r="X700" s="61"/>
      <c r="Y700" s="61"/>
      <c r="Z700" s="61"/>
      <c r="AA700" s="61"/>
      <c r="AB700" s="61"/>
      <c r="AC700" s="61"/>
      <c r="AD700" s="61"/>
      <c r="AE700" s="61"/>
      <c r="AF700" s="61"/>
      <c r="AG700" s="61"/>
      <c r="AH700" s="61"/>
    </row>
    <row r="701">
      <c r="A701" s="65"/>
      <c r="B701" s="65"/>
      <c r="C701" s="65"/>
      <c r="D701" s="66"/>
      <c r="E701" s="65"/>
      <c r="F701" s="65"/>
      <c r="G701" s="65"/>
      <c r="H701" s="65"/>
      <c r="I701" s="65"/>
      <c r="J701" s="65"/>
      <c r="K701" s="65"/>
      <c r="L701" s="65"/>
      <c r="M701" s="65"/>
      <c r="N701" s="65"/>
      <c r="O701" s="67"/>
      <c r="P701" s="65"/>
      <c r="Q701" s="65"/>
      <c r="R701" s="65"/>
      <c r="S701" s="65"/>
      <c r="T701" s="65"/>
      <c r="U701" s="65"/>
      <c r="V701" s="68"/>
      <c r="W701" s="65"/>
      <c r="X701" s="65"/>
      <c r="Y701" s="65"/>
      <c r="Z701" s="65"/>
      <c r="AA701" s="65"/>
      <c r="AB701" s="65"/>
      <c r="AC701" s="65"/>
      <c r="AD701" s="65"/>
      <c r="AE701" s="65"/>
      <c r="AF701" s="65"/>
      <c r="AG701" s="65"/>
      <c r="AH701" s="65"/>
    </row>
    <row r="702">
      <c r="A702" s="61"/>
      <c r="B702" s="61"/>
      <c r="C702" s="61"/>
      <c r="D702" s="62"/>
      <c r="E702" s="61"/>
      <c r="F702" s="61"/>
      <c r="G702" s="61"/>
      <c r="H702" s="61"/>
      <c r="I702" s="61"/>
      <c r="J702" s="61"/>
      <c r="K702" s="61"/>
      <c r="L702" s="61"/>
      <c r="M702" s="61"/>
      <c r="N702" s="61"/>
      <c r="O702" s="63"/>
      <c r="P702" s="61"/>
      <c r="Q702" s="61"/>
      <c r="R702" s="61"/>
      <c r="S702" s="61"/>
      <c r="T702" s="61"/>
      <c r="U702" s="61"/>
      <c r="V702" s="64"/>
      <c r="W702" s="61"/>
      <c r="X702" s="61"/>
      <c r="Y702" s="61"/>
      <c r="Z702" s="61"/>
      <c r="AA702" s="61"/>
      <c r="AB702" s="61"/>
      <c r="AC702" s="61"/>
      <c r="AD702" s="61"/>
      <c r="AE702" s="61"/>
      <c r="AF702" s="61"/>
      <c r="AG702" s="61"/>
      <c r="AH702" s="61"/>
    </row>
    <row r="703">
      <c r="A703" s="65"/>
      <c r="B703" s="65"/>
      <c r="C703" s="65"/>
      <c r="D703" s="66"/>
      <c r="E703" s="65"/>
      <c r="F703" s="65"/>
      <c r="G703" s="65"/>
      <c r="H703" s="65"/>
      <c r="I703" s="65"/>
      <c r="J703" s="65"/>
      <c r="K703" s="65"/>
      <c r="L703" s="65"/>
      <c r="M703" s="65"/>
      <c r="N703" s="65"/>
      <c r="O703" s="67"/>
      <c r="P703" s="65"/>
      <c r="Q703" s="65"/>
      <c r="R703" s="65"/>
      <c r="S703" s="65"/>
      <c r="T703" s="65"/>
      <c r="U703" s="65"/>
      <c r="V703" s="68"/>
      <c r="W703" s="65"/>
      <c r="X703" s="65"/>
      <c r="Y703" s="65"/>
      <c r="Z703" s="65"/>
      <c r="AA703" s="65"/>
      <c r="AB703" s="65"/>
      <c r="AC703" s="65"/>
      <c r="AD703" s="65"/>
      <c r="AE703" s="65"/>
      <c r="AF703" s="65"/>
      <c r="AG703" s="65"/>
      <c r="AH703" s="65"/>
    </row>
    <row r="704">
      <c r="A704" s="61"/>
      <c r="B704" s="61"/>
      <c r="C704" s="61"/>
      <c r="D704" s="62"/>
      <c r="E704" s="61"/>
      <c r="F704" s="61"/>
      <c r="G704" s="61"/>
      <c r="H704" s="61"/>
      <c r="I704" s="61"/>
      <c r="J704" s="61"/>
      <c r="K704" s="61"/>
      <c r="L704" s="61"/>
      <c r="M704" s="61"/>
      <c r="N704" s="61"/>
      <c r="O704" s="63"/>
      <c r="P704" s="61"/>
      <c r="Q704" s="61"/>
      <c r="R704" s="61"/>
      <c r="S704" s="61"/>
      <c r="T704" s="61"/>
      <c r="U704" s="61"/>
      <c r="V704" s="64"/>
      <c r="W704" s="61"/>
      <c r="X704" s="61"/>
      <c r="Y704" s="61"/>
      <c r="Z704" s="61"/>
      <c r="AA704" s="61"/>
      <c r="AB704" s="61"/>
      <c r="AC704" s="61"/>
      <c r="AD704" s="61"/>
      <c r="AE704" s="61"/>
      <c r="AF704" s="61"/>
      <c r="AG704" s="61"/>
      <c r="AH704" s="61"/>
    </row>
    <row r="705">
      <c r="A705" s="65"/>
      <c r="B705" s="65"/>
      <c r="C705" s="65"/>
      <c r="D705" s="66"/>
      <c r="E705" s="65"/>
      <c r="F705" s="65"/>
      <c r="G705" s="65"/>
      <c r="H705" s="65"/>
      <c r="I705" s="65"/>
      <c r="J705" s="65"/>
      <c r="K705" s="65"/>
      <c r="L705" s="65"/>
      <c r="M705" s="65"/>
      <c r="N705" s="65"/>
      <c r="O705" s="67"/>
      <c r="P705" s="65"/>
      <c r="Q705" s="65"/>
      <c r="R705" s="65"/>
      <c r="S705" s="65"/>
      <c r="T705" s="65"/>
      <c r="U705" s="65"/>
      <c r="V705" s="68"/>
      <c r="W705" s="65"/>
      <c r="X705" s="65"/>
      <c r="Y705" s="65"/>
      <c r="Z705" s="65"/>
      <c r="AA705" s="65"/>
      <c r="AB705" s="65"/>
      <c r="AC705" s="65"/>
      <c r="AD705" s="65"/>
      <c r="AE705" s="65"/>
      <c r="AF705" s="65"/>
      <c r="AG705" s="65"/>
      <c r="AH705" s="65"/>
    </row>
    <row r="706">
      <c r="A706" s="61"/>
      <c r="B706" s="61"/>
      <c r="C706" s="61"/>
      <c r="D706" s="62"/>
      <c r="E706" s="61"/>
      <c r="F706" s="61"/>
      <c r="G706" s="61"/>
      <c r="H706" s="61"/>
      <c r="I706" s="61"/>
      <c r="J706" s="61"/>
      <c r="K706" s="61"/>
      <c r="L706" s="61"/>
      <c r="M706" s="61"/>
      <c r="N706" s="61"/>
      <c r="O706" s="63"/>
      <c r="P706" s="61"/>
      <c r="Q706" s="61"/>
      <c r="R706" s="61"/>
      <c r="S706" s="61"/>
      <c r="T706" s="61"/>
      <c r="U706" s="61"/>
      <c r="V706" s="64"/>
      <c r="W706" s="61"/>
      <c r="X706" s="61"/>
      <c r="Y706" s="61"/>
      <c r="Z706" s="61"/>
      <c r="AA706" s="61"/>
      <c r="AB706" s="61"/>
      <c r="AC706" s="61"/>
      <c r="AD706" s="61"/>
      <c r="AE706" s="61"/>
      <c r="AF706" s="61"/>
      <c r="AG706" s="61"/>
      <c r="AH706" s="61"/>
    </row>
    <row r="707">
      <c r="A707" s="65"/>
      <c r="B707" s="65"/>
      <c r="C707" s="65"/>
      <c r="D707" s="66"/>
      <c r="E707" s="65"/>
      <c r="F707" s="65"/>
      <c r="G707" s="65"/>
      <c r="H707" s="65"/>
      <c r="I707" s="65"/>
      <c r="J707" s="65"/>
      <c r="K707" s="65"/>
      <c r="L707" s="65"/>
      <c r="M707" s="65"/>
      <c r="N707" s="65"/>
      <c r="O707" s="67"/>
      <c r="P707" s="65"/>
      <c r="Q707" s="65"/>
      <c r="R707" s="65"/>
      <c r="S707" s="65"/>
      <c r="T707" s="65"/>
      <c r="U707" s="65"/>
      <c r="V707" s="68"/>
      <c r="W707" s="65"/>
      <c r="X707" s="65"/>
      <c r="Y707" s="65"/>
      <c r="Z707" s="65"/>
      <c r="AA707" s="65"/>
      <c r="AB707" s="65"/>
      <c r="AC707" s="65"/>
      <c r="AD707" s="65"/>
      <c r="AE707" s="65"/>
      <c r="AF707" s="65"/>
      <c r="AG707" s="65"/>
      <c r="AH707" s="65"/>
    </row>
    <row r="708">
      <c r="A708" s="61"/>
      <c r="B708" s="61"/>
      <c r="C708" s="61"/>
      <c r="D708" s="62"/>
      <c r="E708" s="61"/>
      <c r="F708" s="61"/>
      <c r="G708" s="61"/>
      <c r="H708" s="61"/>
      <c r="I708" s="61"/>
      <c r="J708" s="61"/>
      <c r="K708" s="61"/>
      <c r="L708" s="61"/>
      <c r="M708" s="61"/>
      <c r="N708" s="61"/>
      <c r="O708" s="63"/>
      <c r="P708" s="61"/>
      <c r="Q708" s="61"/>
      <c r="R708" s="61"/>
      <c r="S708" s="61"/>
      <c r="T708" s="61"/>
      <c r="U708" s="61"/>
      <c r="V708" s="64"/>
      <c r="W708" s="61"/>
      <c r="X708" s="61"/>
      <c r="Y708" s="61"/>
      <c r="Z708" s="61"/>
      <c r="AA708" s="61"/>
      <c r="AB708" s="61"/>
      <c r="AC708" s="61"/>
      <c r="AD708" s="61"/>
      <c r="AE708" s="61"/>
      <c r="AF708" s="61"/>
      <c r="AG708" s="61"/>
      <c r="AH708" s="61"/>
    </row>
    <row r="709">
      <c r="A709" s="65"/>
      <c r="B709" s="65"/>
      <c r="C709" s="65"/>
      <c r="D709" s="66"/>
      <c r="E709" s="65"/>
      <c r="F709" s="65"/>
      <c r="G709" s="65"/>
      <c r="H709" s="65"/>
      <c r="I709" s="65"/>
      <c r="J709" s="65"/>
      <c r="K709" s="65"/>
      <c r="L709" s="65"/>
      <c r="M709" s="65"/>
      <c r="N709" s="65"/>
      <c r="O709" s="67"/>
      <c r="P709" s="65"/>
      <c r="Q709" s="65"/>
      <c r="R709" s="65"/>
      <c r="S709" s="65"/>
      <c r="T709" s="65"/>
      <c r="U709" s="65"/>
      <c r="V709" s="68"/>
      <c r="W709" s="65"/>
      <c r="X709" s="65"/>
      <c r="Y709" s="65"/>
      <c r="Z709" s="65"/>
      <c r="AA709" s="65"/>
      <c r="AB709" s="65"/>
      <c r="AC709" s="65"/>
      <c r="AD709" s="65"/>
      <c r="AE709" s="65"/>
      <c r="AF709" s="65"/>
      <c r="AG709" s="65"/>
      <c r="AH709" s="65"/>
    </row>
    <row r="710">
      <c r="A710" s="61"/>
      <c r="B710" s="61"/>
      <c r="C710" s="61"/>
      <c r="D710" s="62"/>
      <c r="E710" s="61"/>
      <c r="F710" s="61"/>
      <c r="G710" s="61"/>
      <c r="H710" s="61"/>
      <c r="I710" s="61"/>
      <c r="J710" s="61"/>
      <c r="K710" s="61"/>
      <c r="L710" s="61"/>
      <c r="M710" s="61"/>
      <c r="N710" s="61"/>
      <c r="O710" s="63"/>
      <c r="P710" s="61"/>
      <c r="Q710" s="61"/>
      <c r="R710" s="61"/>
      <c r="S710" s="61"/>
      <c r="T710" s="61"/>
      <c r="U710" s="61"/>
      <c r="V710" s="64"/>
      <c r="W710" s="61"/>
      <c r="X710" s="61"/>
      <c r="Y710" s="61"/>
      <c r="Z710" s="61"/>
      <c r="AA710" s="61"/>
      <c r="AB710" s="61"/>
      <c r="AC710" s="61"/>
      <c r="AD710" s="61"/>
      <c r="AE710" s="61"/>
      <c r="AF710" s="61"/>
      <c r="AG710" s="61"/>
      <c r="AH710" s="61"/>
    </row>
    <row r="711">
      <c r="A711" s="65"/>
      <c r="B711" s="65"/>
      <c r="C711" s="65"/>
      <c r="D711" s="66"/>
      <c r="E711" s="65"/>
      <c r="F711" s="65"/>
      <c r="G711" s="65"/>
      <c r="H711" s="65"/>
      <c r="I711" s="65"/>
      <c r="J711" s="65"/>
      <c r="K711" s="65"/>
      <c r="L711" s="65"/>
      <c r="M711" s="65"/>
      <c r="N711" s="65"/>
      <c r="O711" s="67"/>
      <c r="P711" s="65"/>
      <c r="Q711" s="65"/>
      <c r="R711" s="65"/>
      <c r="S711" s="65"/>
      <c r="T711" s="65"/>
      <c r="U711" s="65"/>
      <c r="V711" s="68"/>
      <c r="W711" s="65"/>
      <c r="X711" s="65"/>
      <c r="Y711" s="65"/>
      <c r="Z711" s="65"/>
      <c r="AA711" s="65"/>
      <c r="AB711" s="65"/>
      <c r="AC711" s="65"/>
      <c r="AD711" s="65"/>
      <c r="AE711" s="65"/>
      <c r="AF711" s="65"/>
      <c r="AG711" s="65"/>
      <c r="AH711" s="65"/>
    </row>
    <row r="712">
      <c r="A712" s="61"/>
      <c r="B712" s="61"/>
      <c r="C712" s="61"/>
      <c r="D712" s="62"/>
      <c r="E712" s="61"/>
      <c r="F712" s="61"/>
      <c r="G712" s="61"/>
      <c r="H712" s="61"/>
      <c r="I712" s="61"/>
      <c r="J712" s="61"/>
      <c r="K712" s="61"/>
      <c r="L712" s="61"/>
      <c r="M712" s="61"/>
      <c r="N712" s="61"/>
      <c r="O712" s="63"/>
      <c r="P712" s="61"/>
      <c r="Q712" s="61"/>
      <c r="R712" s="61"/>
      <c r="S712" s="61"/>
      <c r="T712" s="61"/>
      <c r="U712" s="61"/>
      <c r="V712" s="64"/>
      <c r="W712" s="61"/>
      <c r="X712" s="61"/>
      <c r="Y712" s="61"/>
      <c r="Z712" s="61"/>
      <c r="AA712" s="61"/>
      <c r="AB712" s="61"/>
      <c r="AC712" s="61"/>
      <c r="AD712" s="61"/>
      <c r="AE712" s="61"/>
      <c r="AF712" s="61"/>
      <c r="AG712" s="61"/>
      <c r="AH712" s="61"/>
    </row>
    <row r="713">
      <c r="A713" s="65"/>
      <c r="B713" s="65"/>
      <c r="C713" s="65"/>
      <c r="D713" s="66"/>
      <c r="E713" s="65"/>
      <c r="F713" s="65"/>
      <c r="G713" s="65"/>
      <c r="H713" s="65"/>
      <c r="I713" s="65"/>
      <c r="J713" s="65"/>
      <c r="K713" s="65"/>
      <c r="L713" s="65"/>
      <c r="M713" s="65"/>
      <c r="N713" s="65"/>
      <c r="O713" s="67"/>
      <c r="P713" s="65"/>
      <c r="Q713" s="65"/>
      <c r="R713" s="65"/>
      <c r="S713" s="65"/>
      <c r="T713" s="65"/>
      <c r="U713" s="65"/>
      <c r="V713" s="68"/>
      <c r="W713" s="65"/>
      <c r="X713" s="65"/>
      <c r="Y713" s="65"/>
      <c r="Z713" s="65"/>
      <c r="AA713" s="65"/>
      <c r="AB713" s="65"/>
      <c r="AC713" s="65"/>
      <c r="AD713" s="65"/>
      <c r="AE713" s="65"/>
      <c r="AF713" s="65"/>
      <c r="AG713" s="65"/>
      <c r="AH713" s="65"/>
    </row>
    <row r="714">
      <c r="A714" s="61"/>
      <c r="B714" s="61"/>
      <c r="C714" s="61"/>
      <c r="D714" s="62"/>
      <c r="E714" s="61"/>
      <c r="F714" s="61"/>
      <c r="G714" s="61"/>
      <c r="H714" s="61"/>
      <c r="I714" s="61"/>
      <c r="J714" s="61"/>
      <c r="K714" s="61"/>
      <c r="L714" s="61"/>
      <c r="M714" s="61"/>
      <c r="N714" s="61"/>
      <c r="O714" s="63"/>
      <c r="P714" s="61"/>
      <c r="Q714" s="61"/>
      <c r="R714" s="61"/>
      <c r="S714" s="61"/>
      <c r="T714" s="61"/>
      <c r="U714" s="61"/>
      <c r="V714" s="64"/>
      <c r="W714" s="61"/>
      <c r="X714" s="61"/>
      <c r="Y714" s="61"/>
      <c r="Z714" s="61"/>
      <c r="AA714" s="61"/>
      <c r="AB714" s="61"/>
      <c r="AC714" s="61"/>
      <c r="AD714" s="61"/>
      <c r="AE714" s="61"/>
      <c r="AF714" s="61"/>
      <c r="AG714" s="61"/>
      <c r="AH714" s="61"/>
    </row>
    <row r="715">
      <c r="A715" s="65"/>
      <c r="B715" s="65"/>
      <c r="C715" s="65"/>
      <c r="D715" s="66"/>
      <c r="E715" s="65"/>
      <c r="F715" s="65"/>
      <c r="G715" s="65"/>
      <c r="H715" s="65"/>
      <c r="I715" s="65"/>
      <c r="J715" s="65"/>
      <c r="K715" s="65"/>
      <c r="L715" s="65"/>
      <c r="M715" s="65"/>
      <c r="N715" s="65"/>
      <c r="O715" s="67"/>
      <c r="P715" s="65"/>
      <c r="Q715" s="65"/>
      <c r="R715" s="65"/>
      <c r="S715" s="65"/>
      <c r="T715" s="65"/>
      <c r="U715" s="65"/>
      <c r="V715" s="68"/>
      <c r="W715" s="65"/>
      <c r="X715" s="65"/>
      <c r="Y715" s="65"/>
      <c r="Z715" s="65"/>
      <c r="AA715" s="65"/>
      <c r="AB715" s="65"/>
      <c r="AC715" s="65"/>
      <c r="AD715" s="65"/>
      <c r="AE715" s="65"/>
      <c r="AF715" s="65"/>
      <c r="AG715" s="65"/>
      <c r="AH715" s="65"/>
    </row>
    <row r="716">
      <c r="A716" s="61"/>
      <c r="B716" s="61"/>
      <c r="C716" s="61"/>
      <c r="D716" s="62"/>
      <c r="E716" s="61"/>
      <c r="F716" s="61"/>
      <c r="G716" s="61"/>
      <c r="H716" s="61"/>
      <c r="I716" s="61"/>
      <c r="J716" s="61"/>
      <c r="K716" s="61"/>
      <c r="L716" s="61"/>
      <c r="M716" s="61"/>
      <c r="N716" s="61"/>
      <c r="O716" s="63"/>
      <c r="P716" s="61"/>
      <c r="Q716" s="61"/>
      <c r="R716" s="61"/>
      <c r="S716" s="61"/>
      <c r="T716" s="61"/>
      <c r="U716" s="61"/>
      <c r="V716" s="64"/>
      <c r="W716" s="61"/>
      <c r="X716" s="61"/>
      <c r="Y716" s="61"/>
      <c r="Z716" s="61"/>
      <c r="AA716" s="61"/>
      <c r="AB716" s="61"/>
      <c r="AC716" s="61"/>
      <c r="AD716" s="61"/>
      <c r="AE716" s="61"/>
      <c r="AF716" s="61"/>
      <c r="AG716" s="61"/>
      <c r="AH716" s="61"/>
    </row>
    <row r="717">
      <c r="A717" s="65"/>
      <c r="B717" s="65"/>
      <c r="C717" s="65"/>
      <c r="D717" s="66"/>
      <c r="E717" s="65"/>
      <c r="F717" s="65"/>
      <c r="G717" s="65"/>
      <c r="H717" s="65"/>
      <c r="I717" s="65"/>
      <c r="J717" s="65"/>
      <c r="K717" s="65"/>
      <c r="L717" s="65"/>
      <c r="M717" s="65"/>
      <c r="N717" s="65"/>
      <c r="O717" s="67"/>
      <c r="P717" s="65"/>
      <c r="Q717" s="65"/>
      <c r="R717" s="65"/>
      <c r="S717" s="65"/>
      <c r="T717" s="65"/>
      <c r="U717" s="65"/>
      <c r="V717" s="68"/>
      <c r="W717" s="65"/>
      <c r="X717" s="65"/>
      <c r="Y717" s="65"/>
      <c r="Z717" s="65"/>
      <c r="AA717" s="65"/>
      <c r="AB717" s="65"/>
      <c r="AC717" s="65"/>
      <c r="AD717" s="65"/>
      <c r="AE717" s="65"/>
      <c r="AF717" s="65"/>
      <c r="AG717" s="65"/>
      <c r="AH717" s="65"/>
    </row>
    <row r="718">
      <c r="A718" s="61"/>
      <c r="B718" s="61"/>
      <c r="C718" s="61"/>
      <c r="D718" s="62"/>
      <c r="E718" s="61"/>
      <c r="F718" s="61"/>
      <c r="G718" s="61"/>
      <c r="H718" s="61"/>
      <c r="I718" s="61"/>
      <c r="J718" s="61"/>
      <c r="K718" s="61"/>
      <c r="L718" s="61"/>
      <c r="M718" s="61"/>
      <c r="N718" s="61"/>
      <c r="O718" s="63"/>
      <c r="P718" s="61"/>
      <c r="Q718" s="61"/>
      <c r="R718" s="61"/>
      <c r="S718" s="61"/>
      <c r="T718" s="61"/>
      <c r="U718" s="61"/>
      <c r="V718" s="64"/>
      <c r="W718" s="61"/>
      <c r="X718" s="61"/>
      <c r="Y718" s="61"/>
      <c r="Z718" s="61"/>
      <c r="AA718" s="61"/>
      <c r="AB718" s="61"/>
      <c r="AC718" s="61"/>
      <c r="AD718" s="61"/>
      <c r="AE718" s="61"/>
      <c r="AF718" s="61"/>
      <c r="AG718" s="61"/>
      <c r="AH718" s="61"/>
    </row>
    <row r="719">
      <c r="A719" s="65"/>
      <c r="B719" s="65"/>
      <c r="C719" s="65"/>
      <c r="D719" s="66"/>
      <c r="E719" s="65"/>
      <c r="F719" s="65"/>
      <c r="G719" s="65"/>
      <c r="H719" s="65"/>
      <c r="I719" s="65"/>
      <c r="J719" s="65"/>
      <c r="K719" s="65"/>
      <c r="L719" s="65"/>
      <c r="M719" s="65"/>
      <c r="N719" s="65"/>
      <c r="O719" s="67"/>
      <c r="P719" s="65"/>
      <c r="Q719" s="65"/>
      <c r="R719" s="65"/>
      <c r="S719" s="65"/>
      <c r="T719" s="65"/>
      <c r="U719" s="65"/>
      <c r="V719" s="68"/>
      <c r="W719" s="65"/>
      <c r="X719" s="65"/>
      <c r="Y719" s="65"/>
      <c r="Z719" s="65"/>
      <c r="AA719" s="65"/>
      <c r="AB719" s="65"/>
      <c r="AC719" s="65"/>
      <c r="AD719" s="65"/>
      <c r="AE719" s="65"/>
      <c r="AF719" s="65"/>
      <c r="AG719" s="65"/>
      <c r="AH719" s="65"/>
    </row>
    <row r="720">
      <c r="A720" s="61"/>
      <c r="B720" s="61"/>
      <c r="C720" s="61"/>
      <c r="D720" s="62"/>
      <c r="E720" s="61"/>
      <c r="F720" s="61"/>
      <c r="G720" s="61"/>
      <c r="H720" s="61"/>
      <c r="I720" s="61"/>
      <c r="J720" s="61"/>
      <c r="K720" s="61"/>
      <c r="L720" s="61"/>
      <c r="M720" s="61"/>
      <c r="N720" s="61"/>
      <c r="O720" s="63"/>
      <c r="P720" s="61"/>
      <c r="Q720" s="61"/>
      <c r="R720" s="61"/>
      <c r="S720" s="61"/>
      <c r="T720" s="61"/>
      <c r="U720" s="61"/>
      <c r="V720" s="64"/>
      <c r="W720" s="61"/>
      <c r="X720" s="61"/>
      <c r="Y720" s="61"/>
      <c r="Z720" s="61"/>
      <c r="AA720" s="61"/>
      <c r="AB720" s="61"/>
      <c r="AC720" s="61"/>
      <c r="AD720" s="61"/>
      <c r="AE720" s="61"/>
      <c r="AF720" s="61"/>
      <c r="AG720" s="61"/>
      <c r="AH720" s="61"/>
    </row>
    <row r="721">
      <c r="A721" s="65"/>
      <c r="B721" s="65"/>
      <c r="C721" s="65"/>
      <c r="D721" s="66"/>
      <c r="E721" s="65"/>
      <c r="F721" s="65"/>
      <c r="G721" s="65"/>
      <c r="H721" s="65"/>
      <c r="I721" s="65"/>
      <c r="J721" s="65"/>
      <c r="K721" s="65"/>
      <c r="L721" s="65"/>
      <c r="M721" s="65"/>
      <c r="N721" s="65"/>
      <c r="O721" s="67"/>
      <c r="P721" s="65"/>
      <c r="Q721" s="65"/>
      <c r="R721" s="65"/>
      <c r="S721" s="65"/>
      <c r="T721" s="65"/>
      <c r="U721" s="65"/>
      <c r="V721" s="68"/>
      <c r="W721" s="65"/>
      <c r="X721" s="65"/>
      <c r="Y721" s="65"/>
      <c r="Z721" s="65"/>
      <c r="AA721" s="65"/>
      <c r="AB721" s="65"/>
      <c r="AC721" s="65"/>
      <c r="AD721" s="65"/>
      <c r="AE721" s="65"/>
      <c r="AF721" s="65"/>
      <c r="AG721" s="65"/>
      <c r="AH721" s="65"/>
    </row>
    <row r="722">
      <c r="A722" s="61"/>
      <c r="B722" s="61"/>
      <c r="C722" s="61"/>
      <c r="D722" s="62"/>
      <c r="E722" s="61"/>
      <c r="F722" s="61"/>
      <c r="G722" s="61"/>
      <c r="H722" s="61"/>
      <c r="I722" s="61"/>
      <c r="J722" s="61"/>
      <c r="K722" s="61"/>
      <c r="L722" s="61"/>
      <c r="M722" s="61"/>
      <c r="N722" s="61"/>
      <c r="O722" s="63"/>
      <c r="P722" s="61"/>
      <c r="Q722" s="61"/>
      <c r="R722" s="61"/>
      <c r="S722" s="61"/>
      <c r="T722" s="61"/>
      <c r="U722" s="61"/>
      <c r="V722" s="64"/>
      <c r="W722" s="61"/>
      <c r="X722" s="61"/>
      <c r="Y722" s="61"/>
      <c r="Z722" s="61"/>
      <c r="AA722" s="61"/>
      <c r="AB722" s="61"/>
      <c r="AC722" s="61"/>
      <c r="AD722" s="61"/>
      <c r="AE722" s="61"/>
      <c r="AF722" s="61"/>
      <c r="AG722" s="61"/>
      <c r="AH722" s="61"/>
    </row>
    <row r="723">
      <c r="A723" s="65"/>
      <c r="B723" s="65"/>
      <c r="C723" s="65"/>
      <c r="D723" s="66"/>
      <c r="E723" s="65"/>
      <c r="F723" s="65"/>
      <c r="G723" s="65"/>
      <c r="H723" s="65"/>
      <c r="I723" s="65"/>
      <c r="J723" s="65"/>
      <c r="K723" s="65"/>
      <c r="L723" s="65"/>
      <c r="M723" s="65"/>
      <c r="N723" s="65"/>
      <c r="O723" s="67"/>
      <c r="P723" s="65"/>
      <c r="Q723" s="65"/>
      <c r="R723" s="65"/>
      <c r="S723" s="65"/>
      <c r="T723" s="65"/>
      <c r="U723" s="65"/>
      <c r="V723" s="68"/>
      <c r="W723" s="65"/>
      <c r="X723" s="65"/>
      <c r="Y723" s="65"/>
      <c r="Z723" s="65"/>
      <c r="AA723" s="65"/>
      <c r="AB723" s="65"/>
      <c r="AC723" s="65"/>
      <c r="AD723" s="65"/>
      <c r="AE723" s="65"/>
      <c r="AF723" s="65"/>
      <c r="AG723" s="65"/>
      <c r="AH723" s="65"/>
    </row>
    <row r="724">
      <c r="A724" s="61"/>
      <c r="B724" s="61"/>
      <c r="C724" s="61"/>
      <c r="D724" s="62"/>
      <c r="E724" s="61"/>
      <c r="F724" s="61"/>
      <c r="G724" s="61"/>
      <c r="H724" s="61"/>
      <c r="I724" s="61"/>
      <c r="J724" s="61"/>
      <c r="K724" s="61"/>
      <c r="L724" s="61"/>
      <c r="M724" s="61"/>
      <c r="N724" s="61"/>
      <c r="O724" s="63"/>
      <c r="P724" s="61"/>
      <c r="Q724" s="61"/>
      <c r="R724" s="61"/>
      <c r="S724" s="61"/>
      <c r="T724" s="61"/>
      <c r="U724" s="61"/>
      <c r="V724" s="64"/>
      <c r="W724" s="61"/>
      <c r="X724" s="61"/>
      <c r="Y724" s="61"/>
      <c r="Z724" s="61"/>
      <c r="AA724" s="61"/>
      <c r="AB724" s="61"/>
      <c r="AC724" s="61"/>
      <c r="AD724" s="61"/>
      <c r="AE724" s="61"/>
      <c r="AF724" s="61"/>
      <c r="AG724" s="61"/>
      <c r="AH724" s="61"/>
    </row>
    <row r="725">
      <c r="A725" s="65"/>
      <c r="B725" s="65"/>
      <c r="C725" s="65"/>
      <c r="D725" s="66"/>
      <c r="E725" s="65"/>
      <c r="F725" s="65"/>
      <c r="G725" s="65"/>
      <c r="H725" s="65"/>
      <c r="I725" s="65"/>
      <c r="J725" s="65"/>
      <c r="K725" s="65"/>
      <c r="L725" s="65"/>
      <c r="M725" s="65"/>
      <c r="N725" s="65"/>
      <c r="O725" s="67"/>
      <c r="P725" s="65"/>
      <c r="Q725" s="65"/>
      <c r="R725" s="65"/>
      <c r="S725" s="65"/>
      <c r="T725" s="65"/>
      <c r="U725" s="65"/>
      <c r="V725" s="68"/>
      <c r="W725" s="65"/>
      <c r="X725" s="65"/>
      <c r="Y725" s="65"/>
      <c r="Z725" s="65"/>
      <c r="AA725" s="65"/>
      <c r="AB725" s="65"/>
      <c r="AC725" s="65"/>
      <c r="AD725" s="65"/>
      <c r="AE725" s="65"/>
      <c r="AF725" s="65"/>
      <c r="AG725" s="65"/>
      <c r="AH725" s="65"/>
    </row>
    <row r="726">
      <c r="A726" s="61"/>
      <c r="B726" s="61"/>
      <c r="C726" s="61"/>
      <c r="D726" s="62"/>
      <c r="E726" s="61"/>
      <c r="F726" s="61"/>
      <c r="G726" s="61"/>
      <c r="H726" s="61"/>
      <c r="I726" s="61"/>
      <c r="J726" s="61"/>
      <c r="K726" s="61"/>
      <c r="L726" s="61"/>
      <c r="M726" s="61"/>
      <c r="N726" s="61"/>
      <c r="O726" s="63"/>
      <c r="P726" s="61"/>
      <c r="Q726" s="61"/>
      <c r="R726" s="61"/>
      <c r="S726" s="61"/>
      <c r="T726" s="61"/>
      <c r="U726" s="61"/>
      <c r="V726" s="64"/>
      <c r="W726" s="61"/>
      <c r="X726" s="61"/>
      <c r="Y726" s="61"/>
      <c r="Z726" s="61"/>
      <c r="AA726" s="61"/>
      <c r="AB726" s="61"/>
      <c r="AC726" s="61"/>
      <c r="AD726" s="61"/>
      <c r="AE726" s="61"/>
      <c r="AF726" s="61"/>
      <c r="AG726" s="61"/>
      <c r="AH726" s="61"/>
    </row>
    <row r="727">
      <c r="A727" s="65"/>
      <c r="B727" s="65"/>
      <c r="C727" s="65"/>
      <c r="D727" s="66"/>
      <c r="E727" s="65"/>
      <c r="F727" s="65"/>
      <c r="G727" s="65"/>
      <c r="H727" s="65"/>
      <c r="I727" s="65"/>
      <c r="J727" s="65"/>
      <c r="K727" s="65"/>
      <c r="L727" s="65"/>
      <c r="M727" s="65"/>
      <c r="N727" s="65"/>
      <c r="O727" s="67"/>
      <c r="P727" s="65"/>
      <c r="Q727" s="65"/>
      <c r="R727" s="65"/>
      <c r="S727" s="65"/>
      <c r="T727" s="65"/>
      <c r="U727" s="65"/>
      <c r="V727" s="68"/>
      <c r="W727" s="65"/>
      <c r="X727" s="65"/>
      <c r="Y727" s="65"/>
      <c r="Z727" s="65"/>
      <c r="AA727" s="65"/>
      <c r="AB727" s="65"/>
      <c r="AC727" s="65"/>
      <c r="AD727" s="65"/>
      <c r="AE727" s="65"/>
      <c r="AF727" s="65"/>
      <c r="AG727" s="65"/>
      <c r="AH727" s="65"/>
    </row>
    <row r="728">
      <c r="A728" s="61"/>
      <c r="B728" s="61"/>
      <c r="C728" s="61"/>
      <c r="D728" s="62"/>
      <c r="E728" s="61"/>
      <c r="F728" s="61"/>
      <c r="G728" s="61"/>
      <c r="H728" s="61"/>
      <c r="I728" s="61"/>
      <c r="J728" s="61"/>
      <c r="K728" s="61"/>
      <c r="L728" s="61"/>
      <c r="M728" s="61"/>
      <c r="N728" s="61"/>
      <c r="O728" s="63"/>
      <c r="P728" s="61"/>
      <c r="Q728" s="61"/>
      <c r="R728" s="61"/>
      <c r="S728" s="61"/>
      <c r="T728" s="61"/>
      <c r="U728" s="61"/>
      <c r="V728" s="64"/>
      <c r="W728" s="61"/>
      <c r="X728" s="61"/>
      <c r="Y728" s="61"/>
      <c r="Z728" s="61"/>
      <c r="AA728" s="61"/>
      <c r="AB728" s="61"/>
      <c r="AC728" s="61"/>
      <c r="AD728" s="61"/>
      <c r="AE728" s="61"/>
      <c r="AF728" s="61"/>
      <c r="AG728" s="61"/>
      <c r="AH728" s="61"/>
    </row>
    <row r="729">
      <c r="A729" s="65"/>
      <c r="B729" s="65"/>
      <c r="C729" s="65"/>
      <c r="D729" s="66"/>
      <c r="E729" s="65"/>
      <c r="F729" s="65"/>
      <c r="G729" s="65"/>
      <c r="H729" s="65"/>
      <c r="I729" s="65"/>
      <c r="J729" s="65"/>
      <c r="K729" s="65"/>
      <c r="L729" s="65"/>
      <c r="M729" s="65"/>
      <c r="N729" s="65"/>
      <c r="O729" s="67"/>
      <c r="P729" s="65"/>
      <c r="Q729" s="65"/>
      <c r="R729" s="65"/>
      <c r="S729" s="65"/>
      <c r="T729" s="65"/>
      <c r="U729" s="65"/>
      <c r="V729" s="68"/>
      <c r="W729" s="65"/>
      <c r="X729" s="65"/>
      <c r="Y729" s="65"/>
      <c r="Z729" s="65"/>
      <c r="AA729" s="65"/>
      <c r="AB729" s="65"/>
      <c r="AC729" s="65"/>
      <c r="AD729" s="65"/>
      <c r="AE729" s="65"/>
      <c r="AF729" s="65"/>
      <c r="AG729" s="65"/>
      <c r="AH729" s="65"/>
    </row>
    <row r="730">
      <c r="A730" s="61"/>
      <c r="B730" s="61"/>
      <c r="C730" s="61"/>
      <c r="D730" s="62"/>
      <c r="E730" s="61"/>
      <c r="F730" s="61"/>
      <c r="G730" s="61"/>
      <c r="H730" s="61"/>
      <c r="I730" s="61"/>
      <c r="J730" s="61"/>
      <c r="K730" s="61"/>
      <c r="L730" s="61"/>
      <c r="M730" s="61"/>
      <c r="N730" s="61"/>
      <c r="O730" s="63"/>
      <c r="P730" s="61"/>
      <c r="Q730" s="61"/>
      <c r="R730" s="61"/>
      <c r="S730" s="61"/>
      <c r="T730" s="61"/>
      <c r="U730" s="61"/>
      <c r="V730" s="64"/>
      <c r="W730" s="61"/>
      <c r="X730" s="61"/>
      <c r="Y730" s="61"/>
      <c r="Z730" s="61"/>
      <c r="AA730" s="61"/>
      <c r="AB730" s="61"/>
      <c r="AC730" s="61"/>
      <c r="AD730" s="61"/>
      <c r="AE730" s="61"/>
      <c r="AF730" s="61"/>
      <c r="AG730" s="61"/>
      <c r="AH730" s="61"/>
    </row>
    <row r="731">
      <c r="A731" s="65"/>
      <c r="B731" s="65"/>
      <c r="C731" s="65"/>
      <c r="D731" s="66"/>
      <c r="E731" s="65"/>
      <c r="F731" s="65"/>
      <c r="G731" s="65"/>
      <c r="H731" s="65"/>
      <c r="I731" s="65"/>
      <c r="J731" s="65"/>
      <c r="K731" s="65"/>
      <c r="L731" s="65"/>
      <c r="M731" s="65"/>
      <c r="N731" s="65"/>
      <c r="O731" s="67"/>
      <c r="P731" s="65"/>
      <c r="Q731" s="65"/>
      <c r="R731" s="65"/>
      <c r="S731" s="65"/>
      <c r="T731" s="65"/>
      <c r="U731" s="65"/>
      <c r="V731" s="68"/>
      <c r="W731" s="65"/>
      <c r="X731" s="65"/>
      <c r="Y731" s="65"/>
      <c r="Z731" s="65"/>
      <c r="AA731" s="65"/>
      <c r="AB731" s="65"/>
      <c r="AC731" s="65"/>
      <c r="AD731" s="65"/>
      <c r="AE731" s="65"/>
      <c r="AF731" s="65"/>
      <c r="AG731" s="65"/>
      <c r="AH731" s="65"/>
    </row>
    <row r="732">
      <c r="A732" s="61"/>
      <c r="B732" s="61"/>
      <c r="C732" s="61"/>
      <c r="D732" s="62"/>
      <c r="E732" s="61"/>
      <c r="F732" s="61"/>
      <c r="G732" s="61"/>
      <c r="H732" s="61"/>
      <c r="I732" s="61"/>
      <c r="J732" s="61"/>
      <c r="K732" s="61"/>
      <c r="L732" s="61"/>
      <c r="M732" s="61"/>
      <c r="N732" s="61"/>
      <c r="O732" s="63"/>
      <c r="P732" s="61"/>
      <c r="Q732" s="61"/>
      <c r="R732" s="61"/>
      <c r="S732" s="61"/>
      <c r="T732" s="61"/>
      <c r="U732" s="61"/>
      <c r="V732" s="64"/>
      <c r="W732" s="61"/>
      <c r="X732" s="61"/>
      <c r="Y732" s="61"/>
      <c r="Z732" s="61"/>
      <c r="AA732" s="61"/>
      <c r="AB732" s="61"/>
      <c r="AC732" s="61"/>
      <c r="AD732" s="61"/>
      <c r="AE732" s="61"/>
      <c r="AF732" s="61"/>
      <c r="AG732" s="61"/>
      <c r="AH732" s="61"/>
    </row>
    <row r="733">
      <c r="A733" s="65"/>
      <c r="B733" s="65"/>
      <c r="C733" s="65"/>
      <c r="D733" s="66"/>
      <c r="E733" s="65"/>
      <c r="F733" s="65"/>
      <c r="G733" s="65"/>
      <c r="H733" s="65"/>
      <c r="I733" s="65"/>
      <c r="J733" s="65"/>
      <c r="K733" s="65"/>
      <c r="L733" s="65"/>
      <c r="M733" s="65"/>
      <c r="N733" s="65"/>
      <c r="O733" s="67"/>
      <c r="P733" s="65"/>
      <c r="Q733" s="65"/>
      <c r="R733" s="65"/>
      <c r="S733" s="65"/>
      <c r="T733" s="65"/>
      <c r="U733" s="65"/>
      <c r="V733" s="68"/>
      <c r="W733" s="65"/>
      <c r="X733" s="65"/>
      <c r="Y733" s="65"/>
      <c r="Z733" s="65"/>
      <c r="AA733" s="65"/>
      <c r="AB733" s="65"/>
      <c r="AC733" s="65"/>
      <c r="AD733" s="65"/>
      <c r="AE733" s="65"/>
      <c r="AF733" s="65"/>
      <c r="AG733" s="65"/>
      <c r="AH733" s="65"/>
    </row>
    <row r="734">
      <c r="A734" s="61"/>
      <c r="B734" s="61"/>
      <c r="C734" s="61"/>
      <c r="D734" s="62"/>
      <c r="E734" s="61"/>
      <c r="F734" s="61"/>
      <c r="G734" s="61"/>
      <c r="H734" s="61"/>
      <c r="I734" s="61"/>
      <c r="J734" s="61"/>
      <c r="K734" s="61"/>
      <c r="L734" s="61"/>
      <c r="M734" s="61"/>
      <c r="N734" s="61"/>
      <c r="O734" s="63"/>
      <c r="P734" s="61"/>
      <c r="Q734" s="61"/>
      <c r="R734" s="61"/>
      <c r="S734" s="61"/>
      <c r="T734" s="61"/>
      <c r="U734" s="61"/>
      <c r="V734" s="64"/>
      <c r="W734" s="61"/>
      <c r="X734" s="61"/>
      <c r="Y734" s="61"/>
      <c r="Z734" s="61"/>
      <c r="AA734" s="61"/>
      <c r="AB734" s="61"/>
      <c r="AC734" s="61"/>
      <c r="AD734" s="61"/>
      <c r="AE734" s="61"/>
      <c r="AF734" s="61"/>
      <c r="AG734" s="61"/>
      <c r="AH734" s="61"/>
    </row>
    <row r="735">
      <c r="A735" s="65"/>
      <c r="B735" s="65"/>
      <c r="C735" s="65"/>
      <c r="D735" s="66"/>
      <c r="E735" s="65"/>
      <c r="F735" s="65"/>
      <c r="G735" s="65"/>
      <c r="H735" s="65"/>
      <c r="I735" s="65"/>
      <c r="J735" s="65"/>
      <c r="K735" s="65"/>
      <c r="L735" s="65"/>
      <c r="M735" s="65"/>
      <c r="N735" s="65"/>
      <c r="O735" s="67"/>
      <c r="P735" s="65"/>
      <c r="Q735" s="65"/>
      <c r="R735" s="65"/>
      <c r="S735" s="65"/>
      <c r="T735" s="65"/>
      <c r="U735" s="65"/>
      <c r="V735" s="68"/>
      <c r="W735" s="65"/>
      <c r="X735" s="65"/>
      <c r="Y735" s="65"/>
      <c r="Z735" s="65"/>
      <c r="AA735" s="65"/>
      <c r="AB735" s="65"/>
      <c r="AC735" s="65"/>
      <c r="AD735" s="65"/>
      <c r="AE735" s="65"/>
      <c r="AF735" s="65"/>
      <c r="AG735" s="65"/>
      <c r="AH735" s="65"/>
    </row>
    <row r="736">
      <c r="A736" s="61"/>
      <c r="B736" s="61"/>
      <c r="C736" s="61"/>
      <c r="D736" s="62"/>
      <c r="E736" s="61"/>
      <c r="F736" s="61"/>
      <c r="G736" s="61"/>
      <c r="H736" s="61"/>
      <c r="I736" s="61"/>
      <c r="J736" s="61"/>
      <c r="K736" s="61"/>
      <c r="L736" s="61"/>
      <c r="M736" s="61"/>
      <c r="N736" s="61"/>
      <c r="O736" s="63"/>
      <c r="P736" s="61"/>
      <c r="Q736" s="61"/>
      <c r="R736" s="61"/>
      <c r="S736" s="61"/>
      <c r="T736" s="61"/>
      <c r="U736" s="61"/>
      <c r="V736" s="64"/>
      <c r="W736" s="61"/>
      <c r="X736" s="61"/>
      <c r="Y736" s="61"/>
      <c r="Z736" s="61"/>
      <c r="AA736" s="61"/>
      <c r="AB736" s="61"/>
      <c r="AC736" s="61"/>
      <c r="AD736" s="61"/>
      <c r="AE736" s="61"/>
      <c r="AF736" s="61"/>
      <c r="AG736" s="61"/>
      <c r="AH736" s="61"/>
    </row>
    <row r="737">
      <c r="A737" s="65"/>
      <c r="B737" s="65"/>
      <c r="C737" s="65"/>
      <c r="D737" s="66"/>
      <c r="E737" s="65"/>
      <c r="F737" s="65"/>
      <c r="G737" s="65"/>
      <c r="H737" s="65"/>
      <c r="I737" s="65"/>
      <c r="J737" s="65"/>
      <c r="K737" s="65"/>
      <c r="L737" s="65"/>
      <c r="M737" s="65"/>
      <c r="N737" s="65"/>
      <c r="O737" s="67"/>
      <c r="P737" s="65"/>
      <c r="Q737" s="65"/>
      <c r="R737" s="65"/>
      <c r="S737" s="65"/>
      <c r="T737" s="65"/>
      <c r="U737" s="65"/>
      <c r="V737" s="68"/>
      <c r="W737" s="65"/>
      <c r="X737" s="65"/>
      <c r="Y737" s="65"/>
      <c r="Z737" s="65"/>
      <c r="AA737" s="65"/>
      <c r="AB737" s="65"/>
      <c r="AC737" s="65"/>
      <c r="AD737" s="65"/>
      <c r="AE737" s="65"/>
      <c r="AF737" s="65"/>
      <c r="AG737" s="65"/>
      <c r="AH737" s="65"/>
    </row>
    <row r="738">
      <c r="A738" s="61"/>
      <c r="B738" s="61"/>
      <c r="C738" s="61"/>
      <c r="D738" s="62"/>
      <c r="E738" s="61"/>
      <c r="F738" s="61"/>
      <c r="G738" s="61"/>
      <c r="H738" s="61"/>
      <c r="I738" s="61"/>
      <c r="J738" s="61"/>
      <c r="K738" s="61"/>
      <c r="L738" s="61"/>
      <c r="M738" s="61"/>
      <c r="N738" s="61"/>
      <c r="O738" s="63"/>
      <c r="P738" s="61"/>
      <c r="Q738" s="61"/>
      <c r="R738" s="61"/>
      <c r="S738" s="61"/>
      <c r="T738" s="61"/>
      <c r="U738" s="61"/>
      <c r="V738" s="64"/>
      <c r="W738" s="61"/>
      <c r="X738" s="61"/>
      <c r="Y738" s="61"/>
      <c r="Z738" s="61"/>
      <c r="AA738" s="61"/>
      <c r="AB738" s="61"/>
      <c r="AC738" s="61"/>
      <c r="AD738" s="61"/>
      <c r="AE738" s="61"/>
      <c r="AF738" s="61"/>
      <c r="AG738" s="61"/>
      <c r="AH738" s="61"/>
    </row>
    <row r="739">
      <c r="A739" s="65"/>
      <c r="B739" s="65"/>
      <c r="C739" s="65"/>
      <c r="D739" s="66"/>
      <c r="E739" s="65"/>
      <c r="F739" s="65"/>
      <c r="G739" s="65"/>
      <c r="H739" s="65"/>
      <c r="I739" s="65"/>
      <c r="J739" s="65"/>
      <c r="K739" s="65"/>
      <c r="L739" s="65"/>
      <c r="M739" s="65"/>
      <c r="N739" s="65"/>
      <c r="O739" s="67"/>
      <c r="P739" s="65"/>
      <c r="Q739" s="65"/>
      <c r="R739" s="65"/>
      <c r="S739" s="65"/>
      <c r="T739" s="65"/>
      <c r="U739" s="65"/>
      <c r="V739" s="68"/>
      <c r="W739" s="65"/>
      <c r="X739" s="65"/>
      <c r="Y739" s="65"/>
      <c r="Z739" s="65"/>
      <c r="AA739" s="65"/>
      <c r="AB739" s="65"/>
      <c r="AC739" s="65"/>
      <c r="AD739" s="65"/>
      <c r="AE739" s="65"/>
      <c r="AF739" s="65"/>
      <c r="AG739" s="65"/>
      <c r="AH739" s="65"/>
    </row>
    <row r="740">
      <c r="A740" s="61"/>
      <c r="B740" s="61"/>
      <c r="C740" s="61"/>
      <c r="D740" s="62"/>
      <c r="E740" s="61"/>
      <c r="F740" s="61"/>
      <c r="G740" s="61"/>
      <c r="H740" s="61"/>
      <c r="I740" s="61"/>
      <c r="J740" s="61"/>
      <c r="K740" s="61"/>
      <c r="L740" s="61"/>
      <c r="M740" s="61"/>
      <c r="N740" s="61"/>
      <c r="O740" s="63"/>
      <c r="P740" s="61"/>
      <c r="Q740" s="61"/>
      <c r="R740" s="61"/>
      <c r="S740" s="61"/>
      <c r="T740" s="61"/>
      <c r="U740" s="61"/>
      <c r="V740" s="64"/>
      <c r="W740" s="61"/>
      <c r="X740" s="61"/>
      <c r="Y740" s="61"/>
      <c r="Z740" s="61"/>
      <c r="AA740" s="61"/>
      <c r="AB740" s="61"/>
      <c r="AC740" s="61"/>
      <c r="AD740" s="61"/>
      <c r="AE740" s="61"/>
      <c r="AF740" s="61"/>
      <c r="AG740" s="61"/>
      <c r="AH740" s="61"/>
    </row>
    <row r="741">
      <c r="A741" s="65"/>
      <c r="B741" s="65"/>
      <c r="C741" s="65"/>
      <c r="D741" s="66"/>
      <c r="E741" s="65"/>
      <c r="F741" s="65"/>
      <c r="G741" s="65"/>
      <c r="H741" s="65"/>
      <c r="I741" s="65"/>
      <c r="J741" s="65"/>
      <c r="K741" s="65"/>
      <c r="L741" s="65"/>
      <c r="M741" s="65"/>
      <c r="N741" s="65"/>
      <c r="O741" s="67"/>
      <c r="P741" s="65"/>
      <c r="Q741" s="65"/>
      <c r="R741" s="65"/>
      <c r="S741" s="65"/>
      <c r="T741" s="65"/>
      <c r="U741" s="65"/>
      <c r="V741" s="68"/>
      <c r="W741" s="65"/>
      <c r="X741" s="65"/>
      <c r="Y741" s="65"/>
      <c r="Z741" s="65"/>
      <c r="AA741" s="65"/>
      <c r="AB741" s="65"/>
      <c r="AC741" s="65"/>
      <c r="AD741" s="65"/>
      <c r="AE741" s="65"/>
      <c r="AF741" s="65"/>
      <c r="AG741" s="65"/>
      <c r="AH741" s="65"/>
    </row>
    <row r="742">
      <c r="A742" s="61"/>
      <c r="B742" s="61"/>
      <c r="C742" s="61"/>
      <c r="D742" s="62"/>
      <c r="E742" s="61"/>
      <c r="F742" s="61"/>
      <c r="G742" s="61"/>
      <c r="H742" s="61"/>
      <c r="I742" s="61"/>
      <c r="J742" s="61"/>
      <c r="K742" s="61"/>
      <c r="L742" s="61"/>
      <c r="M742" s="61"/>
      <c r="N742" s="61"/>
      <c r="O742" s="63"/>
      <c r="P742" s="61"/>
      <c r="Q742" s="61"/>
      <c r="R742" s="61"/>
      <c r="S742" s="61"/>
      <c r="T742" s="61"/>
      <c r="U742" s="61"/>
      <c r="V742" s="64"/>
      <c r="W742" s="61"/>
      <c r="X742" s="61"/>
      <c r="Y742" s="61"/>
      <c r="Z742" s="61"/>
      <c r="AA742" s="61"/>
      <c r="AB742" s="61"/>
      <c r="AC742" s="61"/>
      <c r="AD742" s="61"/>
      <c r="AE742" s="61"/>
      <c r="AF742" s="61"/>
      <c r="AG742" s="61"/>
      <c r="AH742" s="61"/>
    </row>
    <row r="743">
      <c r="A743" s="65"/>
      <c r="B743" s="65"/>
      <c r="C743" s="65"/>
      <c r="D743" s="66"/>
      <c r="E743" s="65"/>
      <c r="F743" s="65"/>
      <c r="G743" s="65"/>
      <c r="H743" s="65"/>
      <c r="I743" s="65"/>
      <c r="J743" s="65"/>
      <c r="K743" s="65"/>
      <c r="L743" s="65"/>
      <c r="M743" s="65"/>
      <c r="N743" s="65"/>
      <c r="O743" s="67"/>
      <c r="P743" s="65"/>
      <c r="Q743" s="65"/>
      <c r="R743" s="65"/>
      <c r="S743" s="65"/>
      <c r="T743" s="65"/>
      <c r="U743" s="65"/>
      <c r="V743" s="68"/>
      <c r="W743" s="65"/>
      <c r="X743" s="65"/>
      <c r="Y743" s="65"/>
      <c r="Z743" s="65"/>
      <c r="AA743" s="65"/>
      <c r="AB743" s="65"/>
      <c r="AC743" s="65"/>
      <c r="AD743" s="65"/>
      <c r="AE743" s="65"/>
      <c r="AF743" s="65"/>
      <c r="AG743" s="65"/>
      <c r="AH743" s="65"/>
    </row>
    <row r="744">
      <c r="A744" s="61"/>
      <c r="B744" s="61"/>
      <c r="C744" s="61"/>
      <c r="D744" s="62"/>
      <c r="E744" s="61"/>
      <c r="F744" s="61"/>
      <c r="G744" s="61"/>
      <c r="H744" s="61"/>
      <c r="I744" s="61"/>
      <c r="J744" s="61"/>
      <c r="K744" s="61"/>
      <c r="L744" s="61"/>
      <c r="M744" s="61"/>
      <c r="N744" s="61"/>
      <c r="O744" s="63"/>
      <c r="P744" s="61"/>
      <c r="Q744" s="61"/>
      <c r="R744" s="61"/>
      <c r="S744" s="61"/>
      <c r="T744" s="61"/>
      <c r="U744" s="61"/>
      <c r="V744" s="64"/>
      <c r="W744" s="61"/>
      <c r="X744" s="61"/>
      <c r="Y744" s="61"/>
      <c r="Z744" s="61"/>
      <c r="AA744" s="61"/>
      <c r="AB744" s="61"/>
      <c r="AC744" s="61"/>
      <c r="AD744" s="61"/>
      <c r="AE744" s="61"/>
      <c r="AF744" s="61"/>
      <c r="AG744" s="61"/>
      <c r="AH744" s="61"/>
    </row>
    <row r="745">
      <c r="A745" s="65"/>
      <c r="B745" s="65"/>
      <c r="C745" s="65"/>
      <c r="D745" s="66"/>
      <c r="E745" s="65"/>
      <c r="F745" s="65"/>
      <c r="G745" s="65"/>
      <c r="H745" s="65"/>
      <c r="I745" s="65"/>
      <c r="J745" s="65"/>
      <c r="K745" s="65"/>
      <c r="L745" s="65"/>
      <c r="M745" s="65"/>
      <c r="N745" s="65"/>
      <c r="O745" s="67"/>
      <c r="P745" s="65"/>
      <c r="Q745" s="65"/>
      <c r="R745" s="65"/>
      <c r="S745" s="65"/>
      <c r="T745" s="65"/>
      <c r="U745" s="65"/>
      <c r="V745" s="68"/>
      <c r="W745" s="65"/>
      <c r="X745" s="65"/>
      <c r="Y745" s="65"/>
      <c r="Z745" s="65"/>
      <c r="AA745" s="65"/>
      <c r="AB745" s="65"/>
      <c r="AC745" s="65"/>
      <c r="AD745" s="65"/>
      <c r="AE745" s="65"/>
      <c r="AF745" s="65"/>
      <c r="AG745" s="65"/>
      <c r="AH745" s="65"/>
    </row>
    <row r="746">
      <c r="A746" s="61"/>
      <c r="B746" s="61"/>
      <c r="C746" s="61"/>
      <c r="D746" s="62"/>
      <c r="E746" s="61"/>
      <c r="F746" s="61"/>
      <c r="G746" s="61"/>
      <c r="H746" s="61"/>
      <c r="I746" s="61"/>
      <c r="J746" s="61"/>
      <c r="K746" s="61"/>
      <c r="L746" s="61"/>
      <c r="M746" s="61"/>
      <c r="N746" s="61"/>
      <c r="O746" s="63"/>
      <c r="P746" s="61"/>
      <c r="Q746" s="61"/>
      <c r="R746" s="61"/>
      <c r="S746" s="61"/>
      <c r="T746" s="61"/>
      <c r="U746" s="61"/>
      <c r="V746" s="64"/>
      <c r="W746" s="61"/>
      <c r="X746" s="61"/>
      <c r="Y746" s="61"/>
      <c r="Z746" s="61"/>
      <c r="AA746" s="61"/>
      <c r="AB746" s="61"/>
      <c r="AC746" s="61"/>
      <c r="AD746" s="61"/>
      <c r="AE746" s="61"/>
      <c r="AF746" s="61"/>
      <c r="AG746" s="61"/>
      <c r="AH746" s="61"/>
    </row>
    <row r="747">
      <c r="A747" s="65"/>
      <c r="B747" s="65"/>
      <c r="C747" s="65"/>
      <c r="D747" s="66"/>
      <c r="E747" s="65"/>
      <c r="F747" s="65"/>
      <c r="G747" s="65"/>
      <c r="H747" s="65"/>
      <c r="I747" s="65"/>
      <c r="J747" s="65"/>
      <c r="K747" s="65"/>
      <c r="L747" s="65"/>
      <c r="M747" s="65"/>
      <c r="N747" s="65"/>
      <c r="O747" s="67"/>
      <c r="P747" s="65"/>
      <c r="Q747" s="65"/>
      <c r="R747" s="65"/>
      <c r="S747" s="65"/>
      <c r="T747" s="65"/>
      <c r="U747" s="65"/>
      <c r="V747" s="68"/>
      <c r="W747" s="65"/>
      <c r="X747" s="65"/>
      <c r="Y747" s="65"/>
      <c r="Z747" s="65"/>
      <c r="AA747" s="65"/>
      <c r="AB747" s="65"/>
      <c r="AC747" s="65"/>
      <c r="AD747" s="65"/>
      <c r="AE747" s="65"/>
      <c r="AF747" s="65"/>
      <c r="AG747" s="65"/>
      <c r="AH747" s="65"/>
    </row>
    <row r="748">
      <c r="A748" s="61"/>
      <c r="B748" s="61"/>
      <c r="C748" s="61"/>
      <c r="D748" s="62"/>
      <c r="E748" s="61"/>
      <c r="F748" s="61"/>
      <c r="G748" s="61"/>
      <c r="H748" s="61"/>
      <c r="I748" s="61"/>
      <c r="J748" s="61"/>
      <c r="K748" s="61"/>
      <c r="L748" s="61"/>
      <c r="M748" s="61"/>
      <c r="N748" s="61"/>
      <c r="O748" s="63"/>
      <c r="P748" s="61"/>
      <c r="Q748" s="61"/>
      <c r="R748" s="61"/>
      <c r="S748" s="61"/>
      <c r="T748" s="61"/>
      <c r="U748" s="61"/>
      <c r="V748" s="64"/>
      <c r="W748" s="61"/>
      <c r="X748" s="61"/>
      <c r="Y748" s="61"/>
      <c r="Z748" s="61"/>
      <c r="AA748" s="61"/>
      <c r="AB748" s="61"/>
      <c r="AC748" s="61"/>
      <c r="AD748" s="61"/>
      <c r="AE748" s="61"/>
      <c r="AF748" s="61"/>
      <c r="AG748" s="61"/>
      <c r="AH748" s="61"/>
    </row>
    <row r="749">
      <c r="A749" s="65"/>
      <c r="B749" s="65"/>
      <c r="C749" s="65"/>
      <c r="D749" s="66"/>
      <c r="E749" s="65"/>
      <c r="F749" s="65"/>
      <c r="G749" s="65"/>
      <c r="H749" s="65"/>
      <c r="I749" s="65"/>
      <c r="J749" s="65"/>
      <c r="K749" s="65"/>
      <c r="L749" s="65"/>
      <c r="M749" s="65"/>
      <c r="N749" s="65"/>
      <c r="O749" s="67"/>
      <c r="P749" s="65"/>
      <c r="Q749" s="65"/>
      <c r="R749" s="65"/>
      <c r="S749" s="65"/>
      <c r="T749" s="65"/>
      <c r="U749" s="65"/>
      <c r="V749" s="68"/>
      <c r="W749" s="65"/>
      <c r="X749" s="65"/>
      <c r="Y749" s="65"/>
      <c r="Z749" s="65"/>
      <c r="AA749" s="65"/>
      <c r="AB749" s="65"/>
      <c r="AC749" s="65"/>
      <c r="AD749" s="65"/>
      <c r="AE749" s="65"/>
      <c r="AF749" s="65"/>
      <c r="AG749" s="65"/>
      <c r="AH749" s="65"/>
    </row>
    <row r="750">
      <c r="A750" s="61"/>
      <c r="B750" s="61"/>
      <c r="C750" s="61"/>
      <c r="D750" s="62"/>
      <c r="E750" s="61"/>
      <c r="F750" s="61"/>
      <c r="G750" s="61"/>
      <c r="H750" s="61"/>
      <c r="I750" s="61"/>
      <c r="J750" s="61"/>
      <c r="K750" s="61"/>
      <c r="L750" s="61"/>
      <c r="M750" s="61"/>
      <c r="N750" s="61"/>
      <c r="O750" s="63"/>
      <c r="P750" s="61"/>
      <c r="Q750" s="61"/>
      <c r="R750" s="61"/>
      <c r="S750" s="61"/>
      <c r="T750" s="61"/>
      <c r="U750" s="61"/>
      <c r="V750" s="64"/>
      <c r="W750" s="61"/>
      <c r="X750" s="61"/>
      <c r="Y750" s="61"/>
      <c r="Z750" s="61"/>
      <c r="AA750" s="61"/>
      <c r="AB750" s="61"/>
      <c r="AC750" s="61"/>
      <c r="AD750" s="61"/>
      <c r="AE750" s="61"/>
      <c r="AF750" s="61"/>
      <c r="AG750" s="61"/>
      <c r="AH750" s="61"/>
    </row>
    <row r="751">
      <c r="A751" s="65"/>
      <c r="B751" s="65"/>
      <c r="C751" s="65"/>
      <c r="D751" s="66"/>
      <c r="E751" s="65"/>
      <c r="F751" s="65"/>
      <c r="G751" s="65"/>
      <c r="H751" s="65"/>
      <c r="I751" s="65"/>
      <c r="J751" s="65"/>
      <c r="K751" s="65"/>
      <c r="L751" s="65"/>
      <c r="M751" s="65"/>
      <c r="N751" s="65"/>
      <c r="O751" s="67"/>
      <c r="P751" s="65"/>
      <c r="Q751" s="65"/>
      <c r="R751" s="65"/>
      <c r="S751" s="65"/>
      <c r="T751" s="65"/>
      <c r="U751" s="65"/>
      <c r="V751" s="68"/>
      <c r="W751" s="65"/>
      <c r="X751" s="65"/>
      <c r="Y751" s="65"/>
      <c r="Z751" s="65"/>
      <c r="AA751" s="65"/>
      <c r="AB751" s="65"/>
      <c r="AC751" s="65"/>
      <c r="AD751" s="65"/>
      <c r="AE751" s="65"/>
      <c r="AF751" s="65"/>
      <c r="AG751" s="65"/>
      <c r="AH751" s="65"/>
    </row>
    <row r="752">
      <c r="A752" s="61"/>
      <c r="B752" s="61"/>
      <c r="C752" s="61"/>
      <c r="D752" s="62"/>
      <c r="E752" s="61"/>
      <c r="F752" s="61"/>
      <c r="G752" s="61"/>
      <c r="H752" s="61"/>
      <c r="I752" s="61"/>
      <c r="J752" s="61"/>
      <c r="K752" s="61"/>
      <c r="L752" s="61"/>
      <c r="M752" s="61"/>
      <c r="N752" s="61"/>
      <c r="O752" s="63"/>
      <c r="P752" s="61"/>
      <c r="Q752" s="61"/>
      <c r="R752" s="61"/>
      <c r="S752" s="61"/>
      <c r="T752" s="61"/>
      <c r="U752" s="61"/>
      <c r="V752" s="64"/>
      <c r="W752" s="61"/>
      <c r="X752" s="61"/>
      <c r="Y752" s="61"/>
      <c r="Z752" s="61"/>
      <c r="AA752" s="61"/>
      <c r="AB752" s="61"/>
      <c r="AC752" s="61"/>
      <c r="AD752" s="61"/>
      <c r="AE752" s="61"/>
      <c r="AF752" s="61"/>
      <c r="AG752" s="61"/>
      <c r="AH752" s="61"/>
    </row>
    <row r="753">
      <c r="A753" s="65"/>
      <c r="B753" s="65"/>
      <c r="C753" s="65"/>
      <c r="D753" s="66"/>
      <c r="E753" s="65"/>
      <c r="F753" s="65"/>
      <c r="G753" s="65"/>
      <c r="H753" s="65"/>
      <c r="I753" s="65"/>
      <c r="J753" s="65"/>
      <c r="K753" s="65"/>
      <c r="L753" s="65"/>
      <c r="M753" s="65"/>
      <c r="N753" s="65"/>
      <c r="O753" s="67"/>
      <c r="P753" s="65"/>
      <c r="Q753" s="65"/>
      <c r="R753" s="65"/>
      <c r="S753" s="65"/>
      <c r="T753" s="65"/>
      <c r="U753" s="65"/>
      <c r="V753" s="68"/>
      <c r="W753" s="65"/>
      <c r="X753" s="65"/>
      <c r="Y753" s="65"/>
      <c r="Z753" s="65"/>
      <c r="AA753" s="65"/>
      <c r="AB753" s="65"/>
      <c r="AC753" s="65"/>
      <c r="AD753" s="65"/>
      <c r="AE753" s="65"/>
      <c r="AF753" s="65"/>
      <c r="AG753" s="65"/>
      <c r="AH753" s="65"/>
    </row>
    <row r="754">
      <c r="A754" s="61"/>
      <c r="B754" s="61"/>
      <c r="C754" s="61"/>
      <c r="D754" s="62"/>
      <c r="E754" s="61"/>
      <c r="F754" s="61"/>
      <c r="G754" s="61"/>
      <c r="H754" s="61"/>
      <c r="I754" s="61"/>
      <c r="J754" s="61"/>
      <c r="K754" s="61"/>
      <c r="L754" s="61"/>
      <c r="M754" s="61"/>
      <c r="N754" s="61"/>
      <c r="O754" s="63"/>
      <c r="P754" s="61"/>
      <c r="Q754" s="61"/>
      <c r="R754" s="61"/>
      <c r="S754" s="61"/>
      <c r="T754" s="61"/>
      <c r="U754" s="61"/>
      <c r="V754" s="64"/>
      <c r="W754" s="61"/>
      <c r="X754" s="61"/>
      <c r="Y754" s="61"/>
      <c r="Z754" s="61"/>
      <c r="AA754" s="61"/>
      <c r="AB754" s="61"/>
      <c r="AC754" s="61"/>
      <c r="AD754" s="61"/>
      <c r="AE754" s="61"/>
      <c r="AF754" s="61"/>
      <c r="AG754" s="61"/>
      <c r="AH754" s="61"/>
    </row>
    <row r="755">
      <c r="A755" s="65"/>
      <c r="B755" s="65"/>
      <c r="C755" s="65"/>
      <c r="D755" s="66"/>
      <c r="E755" s="65"/>
      <c r="F755" s="65"/>
      <c r="G755" s="65"/>
      <c r="H755" s="65"/>
      <c r="I755" s="65"/>
      <c r="J755" s="65"/>
      <c r="K755" s="65"/>
      <c r="L755" s="65"/>
      <c r="M755" s="65"/>
      <c r="N755" s="65"/>
      <c r="O755" s="67"/>
      <c r="P755" s="65"/>
      <c r="Q755" s="65"/>
      <c r="R755" s="65"/>
      <c r="S755" s="65"/>
      <c r="T755" s="65"/>
      <c r="U755" s="65"/>
      <c r="V755" s="68"/>
      <c r="W755" s="65"/>
      <c r="X755" s="65"/>
      <c r="Y755" s="65"/>
      <c r="Z755" s="65"/>
      <c r="AA755" s="65"/>
      <c r="AB755" s="65"/>
      <c r="AC755" s="65"/>
      <c r="AD755" s="65"/>
      <c r="AE755" s="65"/>
      <c r="AF755" s="65"/>
      <c r="AG755" s="65"/>
      <c r="AH755" s="65"/>
    </row>
    <row r="756">
      <c r="A756" s="61"/>
      <c r="B756" s="61"/>
      <c r="C756" s="61"/>
      <c r="D756" s="62"/>
      <c r="E756" s="61"/>
      <c r="F756" s="61"/>
      <c r="G756" s="61"/>
      <c r="H756" s="61"/>
      <c r="I756" s="61"/>
      <c r="J756" s="61"/>
      <c r="K756" s="61"/>
      <c r="L756" s="61"/>
      <c r="M756" s="61"/>
      <c r="N756" s="61"/>
      <c r="O756" s="63"/>
      <c r="P756" s="61"/>
      <c r="Q756" s="61"/>
      <c r="R756" s="61"/>
      <c r="S756" s="61"/>
      <c r="T756" s="61"/>
      <c r="U756" s="61"/>
      <c r="V756" s="64"/>
      <c r="W756" s="61"/>
      <c r="X756" s="61"/>
      <c r="Y756" s="61"/>
      <c r="Z756" s="61"/>
      <c r="AA756" s="61"/>
      <c r="AB756" s="61"/>
      <c r="AC756" s="61"/>
      <c r="AD756" s="61"/>
      <c r="AE756" s="61"/>
      <c r="AF756" s="61"/>
      <c r="AG756" s="61"/>
      <c r="AH756" s="61"/>
    </row>
    <row r="757">
      <c r="A757" s="65"/>
      <c r="B757" s="65"/>
      <c r="C757" s="65"/>
      <c r="D757" s="66"/>
      <c r="E757" s="65"/>
      <c r="F757" s="65"/>
      <c r="G757" s="65"/>
      <c r="H757" s="65"/>
      <c r="I757" s="65"/>
      <c r="J757" s="65"/>
      <c r="K757" s="65"/>
      <c r="L757" s="65"/>
      <c r="M757" s="65"/>
      <c r="N757" s="65"/>
      <c r="O757" s="67"/>
      <c r="P757" s="65"/>
      <c r="Q757" s="65"/>
      <c r="R757" s="65"/>
      <c r="S757" s="65"/>
      <c r="T757" s="65"/>
      <c r="U757" s="65"/>
      <c r="V757" s="68"/>
      <c r="W757" s="65"/>
      <c r="X757" s="65"/>
      <c r="Y757" s="65"/>
      <c r="Z757" s="65"/>
      <c r="AA757" s="65"/>
      <c r="AB757" s="65"/>
      <c r="AC757" s="65"/>
      <c r="AD757" s="65"/>
      <c r="AE757" s="65"/>
      <c r="AF757" s="65"/>
      <c r="AG757" s="65"/>
      <c r="AH757" s="65"/>
    </row>
    <row r="758">
      <c r="A758" s="61"/>
      <c r="B758" s="61"/>
      <c r="C758" s="61"/>
      <c r="D758" s="62"/>
      <c r="E758" s="61"/>
      <c r="F758" s="61"/>
      <c r="G758" s="61"/>
      <c r="H758" s="61"/>
      <c r="I758" s="61"/>
      <c r="J758" s="61"/>
      <c r="K758" s="61"/>
      <c r="L758" s="61"/>
      <c r="M758" s="61"/>
      <c r="N758" s="61"/>
      <c r="O758" s="63"/>
      <c r="P758" s="61"/>
      <c r="Q758" s="61"/>
      <c r="R758" s="61"/>
      <c r="S758" s="61"/>
      <c r="T758" s="61"/>
      <c r="U758" s="61"/>
      <c r="V758" s="64"/>
      <c r="W758" s="61"/>
      <c r="X758" s="61"/>
      <c r="Y758" s="61"/>
      <c r="Z758" s="61"/>
      <c r="AA758" s="61"/>
      <c r="AB758" s="61"/>
      <c r="AC758" s="61"/>
      <c r="AD758" s="61"/>
      <c r="AE758" s="61"/>
      <c r="AF758" s="61"/>
      <c r="AG758" s="61"/>
      <c r="AH758" s="61"/>
    </row>
    <row r="759">
      <c r="A759" s="65"/>
      <c r="B759" s="65"/>
      <c r="C759" s="65"/>
      <c r="D759" s="66"/>
      <c r="E759" s="65"/>
      <c r="F759" s="65"/>
      <c r="G759" s="65"/>
      <c r="H759" s="65"/>
      <c r="I759" s="65"/>
      <c r="J759" s="65"/>
      <c r="K759" s="65"/>
      <c r="L759" s="65"/>
      <c r="M759" s="65"/>
      <c r="N759" s="65"/>
      <c r="O759" s="67"/>
      <c r="P759" s="65"/>
      <c r="Q759" s="65"/>
      <c r="R759" s="65"/>
      <c r="S759" s="65"/>
      <c r="T759" s="65"/>
      <c r="U759" s="65"/>
      <c r="V759" s="68"/>
      <c r="W759" s="65"/>
      <c r="X759" s="65"/>
      <c r="Y759" s="65"/>
      <c r="Z759" s="65"/>
      <c r="AA759" s="65"/>
      <c r="AB759" s="65"/>
      <c r="AC759" s="65"/>
      <c r="AD759" s="65"/>
      <c r="AE759" s="65"/>
      <c r="AF759" s="65"/>
      <c r="AG759" s="65"/>
      <c r="AH759" s="65"/>
    </row>
    <row r="760">
      <c r="A760" s="61"/>
      <c r="B760" s="61"/>
      <c r="C760" s="61"/>
      <c r="D760" s="62"/>
      <c r="E760" s="61"/>
      <c r="F760" s="61"/>
      <c r="G760" s="61"/>
      <c r="H760" s="61"/>
      <c r="I760" s="61"/>
      <c r="J760" s="61"/>
      <c r="K760" s="61"/>
      <c r="L760" s="61"/>
      <c r="M760" s="61"/>
      <c r="N760" s="61"/>
      <c r="O760" s="63"/>
      <c r="P760" s="61"/>
      <c r="Q760" s="61"/>
      <c r="R760" s="61"/>
      <c r="S760" s="61"/>
      <c r="T760" s="61"/>
      <c r="U760" s="61"/>
      <c r="V760" s="64"/>
      <c r="W760" s="61"/>
      <c r="X760" s="61"/>
      <c r="Y760" s="61"/>
      <c r="Z760" s="61"/>
      <c r="AA760" s="61"/>
      <c r="AB760" s="61"/>
      <c r="AC760" s="61"/>
      <c r="AD760" s="61"/>
      <c r="AE760" s="61"/>
      <c r="AF760" s="61"/>
      <c r="AG760" s="61"/>
      <c r="AH760" s="61"/>
    </row>
    <row r="761">
      <c r="A761" s="65"/>
      <c r="B761" s="65"/>
      <c r="C761" s="65"/>
      <c r="D761" s="66"/>
      <c r="E761" s="65"/>
      <c r="F761" s="65"/>
      <c r="G761" s="65"/>
      <c r="H761" s="65"/>
      <c r="I761" s="65"/>
      <c r="J761" s="65"/>
      <c r="K761" s="65"/>
      <c r="L761" s="65"/>
      <c r="M761" s="65"/>
      <c r="N761" s="65"/>
      <c r="O761" s="67"/>
      <c r="P761" s="65"/>
      <c r="Q761" s="65"/>
      <c r="R761" s="65"/>
      <c r="S761" s="65"/>
      <c r="T761" s="65"/>
      <c r="U761" s="65"/>
      <c r="V761" s="68"/>
      <c r="W761" s="65"/>
      <c r="X761" s="65"/>
      <c r="Y761" s="65"/>
      <c r="Z761" s="65"/>
      <c r="AA761" s="65"/>
      <c r="AB761" s="65"/>
      <c r="AC761" s="65"/>
      <c r="AD761" s="65"/>
      <c r="AE761" s="65"/>
      <c r="AF761" s="65"/>
      <c r="AG761" s="65"/>
      <c r="AH761" s="65"/>
    </row>
    <row r="762">
      <c r="A762" s="61"/>
      <c r="B762" s="61"/>
      <c r="C762" s="61"/>
      <c r="D762" s="62"/>
      <c r="E762" s="61"/>
      <c r="F762" s="61"/>
      <c r="G762" s="61"/>
      <c r="H762" s="61"/>
      <c r="I762" s="61"/>
      <c r="J762" s="61"/>
      <c r="K762" s="61"/>
      <c r="L762" s="61"/>
      <c r="M762" s="61"/>
      <c r="N762" s="61"/>
      <c r="O762" s="63"/>
      <c r="P762" s="61"/>
      <c r="Q762" s="61"/>
      <c r="R762" s="61"/>
      <c r="S762" s="61"/>
      <c r="T762" s="61"/>
      <c r="U762" s="61"/>
      <c r="V762" s="64"/>
      <c r="W762" s="61"/>
      <c r="X762" s="61"/>
      <c r="Y762" s="61"/>
      <c r="Z762" s="61"/>
      <c r="AA762" s="61"/>
      <c r="AB762" s="61"/>
      <c r="AC762" s="61"/>
      <c r="AD762" s="61"/>
      <c r="AE762" s="61"/>
      <c r="AF762" s="61"/>
      <c r="AG762" s="61"/>
      <c r="AH762" s="61"/>
    </row>
    <row r="763">
      <c r="A763" s="65"/>
      <c r="B763" s="65"/>
      <c r="C763" s="65"/>
      <c r="D763" s="66"/>
      <c r="E763" s="65"/>
      <c r="F763" s="65"/>
      <c r="G763" s="65"/>
      <c r="H763" s="65"/>
      <c r="I763" s="65"/>
      <c r="J763" s="65"/>
      <c r="K763" s="65"/>
      <c r="L763" s="65"/>
      <c r="M763" s="65"/>
      <c r="N763" s="65"/>
      <c r="O763" s="67"/>
      <c r="P763" s="65"/>
      <c r="Q763" s="65"/>
      <c r="R763" s="65"/>
      <c r="S763" s="65"/>
      <c r="T763" s="65"/>
      <c r="U763" s="65"/>
      <c r="V763" s="68"/>
      <c r="W763" s="65"/>
      <c r="X763" s="65"/>
      <c r="Y763" s="65"/>
      <c r="Z763" s="65"/>
      <c r="AA763" s="65"/>
      <c r="AB763" s="65"/>
      <c r="AC763" s="65"/>
      <c r="AD763" s="65"/>
      <c r="AE763" s="65"/>
      <c r="AF763" s="65"/>
      <c r="AG763" s="65"/>
      <c r="AH763" s="65"/>
    </row>
    <row r="764">
      <c r="A764" s="61"/>
      <c r="B764" s="61"/>
      <c r="C764" s="61"/>
      <c r="D764" s="62"/>
      <c r="E764" s="61"/>
      <c r="F764" s="61"/>
      <c r="G764" s="61"/>
      <c r="H764" s="61"/>
      <c r="I764" s="61"/>
      <c r="J764" s="61"/>
      <c r="K764" s="61"/>
      <c r="L764" s="61"/>
      <c r="M764" s="61"/>
      <c r="N764" s="61"/>
      <c r="O764" s="63"/>
      <c r="P764" s="61"/>
      <c r="Q764" s="61"/>
      <c r="R764" s="61"/>
      <c r="S764" s="61"/>
      <c r="T764" s="61"/>
      <c r="U764" s="61"/>
      <c r="V764" s="64"/>
      <c r="W764" s="61"/>
      <c r="X764" s="61"/>
      <c r="Y764" s="61"/>
      <c r="Z764" s="61"/>
      <c r="AA764" s="61"/>
      <c r="AB764" s="61"/>
      <c r="AC764" s="61"/>
      <c r="AD764" s="61"/>
      <c r="AE764" s="61"/>
      <c r="AF764" s="61"/>
      <c r="AG764" s="61"/>
      <c r="AH764" s="61"/>
    </row>
    <row r="765">
      <c r="A765" s="65"/>
      <c r="B765" s="65"/>
      <c r="C765" s="65"/>
      <c r="D765" s="66"/>
      <c r="E765" s="65"/>
      <c r="F765" s="65"/>
      <c r="G765" s="65"/>
      <c r="H765" s="65"/>
      <c r="I765" s="65"/>
      <c r="J765" s="65"/>
      <c r="K765" s="65"/>
      <c r="L765" s="65"/>
      <c r="M765" s="65"/>
      <c r="N765" s="65"/>
      <c r="O765" s="67"/>
      <c r="P765" s="65"/>
      <c r="Q765" s="65"/>
      <c r="R765" s="65"/>
      <c r="S765" s="65"/>
      <c r="T765" s="65"/>
      <c r="U765" s="65"/>
      <c r="V765" s="68"/>
      <c r="W765" s="65"/>
      <c r="X765" s="65"/>
      <c r="Y765" s="65"/>
      <c r="Z765" s="65"/>
      <c r="AA765" s="65"/>
      <c r="AB765" s="65"/>
      <c r="AC765" s="65"/>
      <c r="AD765" s="65"/>
      <c r="AE765" s="65"/>
      <c r="AF765" s="65"/>
      <c r="AG765" s="65"/>
      <c r="AH765" s="65"/>
    </row>
    <row r="766">
      <c r="A766" s="61"/>
      <c r="B766" s="61"/>
      <c r="C766" s="61"/>
      <c r="D766" s="62"/>
      <c r="E766" s="61"/>
      <c r="F766" s="61"/>
      <c r="G766" s="61"/>
      <c r="H766" s="61"/>
      <c r="I766" s="61"/>
      <c r="J766" s="61"/>
      <c r="K766" s="61"/>
      <c r="L766" s="61"/>
      <c r="M766" s="61"/>
      <c r="N766" s="61"/>
      <c r="O766" s="63"/>
      <c r="P766" s="61"/>
      <c r="Q766" s="61"/>
      <c r="R766" s="61"/>
      <c r="S766" s="61"/>
      <c r="T766" s="61"/>
      <c r="U766" s="61"/>
      <c r="V766" s="64"/>
      <c r="W766" s="61"/>
      <c r="X766" s="61"/>
      <c r="Y766" s="61"/>
      <c r="Z766" s="61"/>
      <c r="AA766" s="61"/>
      <c r="AB766" s="61"/>
      <c r="AC766" s="61"/>
      <c r="AD766" s="61"/>
      <c r="AE766" s="61"/>
      <c r="AF766" s="61"/>
      <c r="AG766" s="61"/>
      <c r="AH766" s="61"/>
    </row>
    <row r="767">
      <c r="A767" s="65"/>
      <c r="B767" s="65"/>
      <c r="C767" s="65"/>
      <c r="D767" s="66"/>
      <c r="E767" s="65"/>
      <c r="F767" s="65"/>
      <c r="G767" s="65"/>
      <c r="H767" s="65"/>
      <c r="I767" s="65"/>
      <c r="J767" s="65"/>
      <c r="K767" s="65"/>
      <c r="L767" s="65"/>
      <c r="M767" s="65"/>
      <c r="N767" s="65"/>
      <c r="O767" s="67"/>
      <c r="P767" s="65"/>
      <c r="Q767" s="65"/>
      <c r="R767" s="65"/>
      <c r="S767" s="65"/>
      <c r="T767" s="65"/>
      <c r="U767" s="65"/>
      <c r="V767" s="68"/>
      <c r="W767" s="65"/>
      <c r="X767" s="65"/>
      <c r="Y767" s="65"/>
      <c r="Z767" s="65"/>
      <c r="AA767" s="65"/>
      <c r="AB767" s="65"/>
      <c r="AC767" s="65"/>
      <c r="AD767" s="65"/>
      <c r="AE767" s="65"/>
      <c r="AF767" s="65"/>
      <c r="AG767" s="65"/>
      <c r="AH767" s="65"/>
    </row>
    <row r="768">
      <c r="A768" s="61"/>
      <c r="B768" s="61"/>
      <c r="C768" s="61"/>
      <c r="D768" s="62"/>
      <c r="E768" s="61"/>
      <c r="F768" s="61"/>
      <c r="G768" s="61"/>
      <c r="H768" s="61"/>
      <c r="I768" s="61"/>
      <c r="J768" s="61"/>
      <c r="K768" s="61"/>
      <c r="L768" s="61"/>
      <c r="M768" s="61"/>
      <c r="N768" s="61"/>
      <c r="O768" s="63"/>
      <c r="P768" s="61"/>
      <c r="Q768" s="61"/>
      <c r="R768" s="61"/>
      <c r="S768" s="61"/>
      <c r="T768" s="61"/>
      <c r="U768" s="61"/>
      <c r="V768" s="64"/>
      <c r="W768" s="61"/>
      <c r="X768" s="61"/>
      <c r="Y768" s="61"/>
      <c r="Z768" s="61"/>
      <c r="AA768" s="61"/>
      <c r="AB768" s="61"/>
      <c r="AC768" s="61"/>
      <c r="AD768" s="61"/>
      <c r="AE768" s="61"/>
      <c r="AF768" s="61"/>
      <c r="AG768" s="61"/>
      <c r="AH768" s="61"/>
    </row>
    <row r="769">
      <c r="A769" s="65"/>
      <c r="B769" s="65"/>
      <c r="C769" s="65"/>
      <c r="D769" s="66"/>
      <c r="E769" s="65"/>
      <c r="F769" s="65"/>
      <c r="G769" s="65"/>
      <c r="H769" s="65"/>
      <c r="I769" s="65"/>
      <c r="J769" s="65"/>
      <c r="K769" s="65"/>
      <c r="L769" s="65"/>
      <c r="M769" s="65"/>
      <c r="N769" s="65"/>
      <c r="O769" s="67"/>
      <c r="P769" s="65"/>
      <c r="Q769" s="65"/>
      <c r="R769" s="65"/>
      <c r="S769" s="65"/>
      <c r="T769" s="65"/>
      <c r="U769" s="65"/>
      <c r="V769" s="68"/>
      <c r="W769" s="65"/>
      <c r="X769" s="65"/>
      <c r="Y769" s="65"/>
      <c r="Z769" s="65"/>
      <c r="AA769" s="65"/>
      <c r="AB769" s="65"/>
      <c r="AC769" s="65"/>
      <c r="AD769" s="65"/>
      <c r="AE769" s="65"/>
      <c r="AF769" s="65"/>
      <c r="AG769" s="65"/>
      <c r="AH769" s="65"/>
    </row>
    <row r="770">
      <c r="A770" s="61"/>
      <c r="B770" s="61"/>
      <c r="C770" s="61"/>
      <c r="D770" s="62"/>
      <c r="E770" s="61"/>
      <c r="F770" s="61"/>
      <c r="G770" s="61"/>
      <c r="H770" s="61"/>
      <c r="I770" s="61"/>
      <c r="J770" s="61"/>
      <c r="K770" s="61"/>
      <c r="L770" s="61"/>
      <c r="M770" s="61"/>
      <c r="N770" s="61"/>
      <c r="O770" s="63"/>
      <c r="P770" s="61"/>
      <c r="Q770" s="61"/>
      <c r="R770" s="61"/>
      <c r="S770" s="61"/>
      <c r="T770" s="61"/>
      <c r="U770" s="61"/>
      <c r="V770" s="64"/>
      <c r="W770" s="61"/>
      <c r="X770" s="61"/>
      <c r="Y770" s="61"/>
      <c r="Z770" s="61"/>
      <c r="AA770" s="61"/>
      <c r="AB770" s="61"/>
      <c r="AC770" s="61"/>
      <c r="AD770" s="61"/>
      <c r="AE770" s="61"/>
      <c r="AF770" s="61"/>
      <c r="AG770" s="61"/>
      <c r="AH770" s="61"/>
    </row>
    <row r="771">
      <c r="A771" s="65"/>
      <c r="B771" s="65"/>
      <c r="C771" s="65"/>
      <c r="D771" s="66"/>
      <c r="E771" s="65"/>
      <c r="F771" s="65"/>
      <c r="G771" s="65"/>
      <c r="H771" s="65"/>
      <c r="I771" s="65"/>
      <c r="J771" s="65"/>
      <c r="K771" s="65"/>
      <c r="L771" s="65"/>
      <c r="M771" s="65"/>
      <c r="N771" s="65"/>
      <c r="O771" s="67"/>
      <c r="P771" s="65"/>
      <c r="Q771" s="65"/>
      <c r="R771" s="65"/>
      <c r="S771" s="65"/>
      <c r="T771" s="65"/>
      <c r="U771" s="65"/>
      <c r="V771" s="68"/>
      <c r="W771" s="65"/>
      <c r="X771" s="65"/>
      <c r="Y771" s="65"/>
      <c r="Z771" s="65"/>
      <c r="AA771" s="65"/>
      <c r="AB771" s="65"/>
      <c r="AC771" s="65"/>
      <c r="AD771" s="65"/>
      <c r="AE771" s="65"/>
      <c r="AF771" s="65"/>
      <c r="AG771" s="65"/>
      <c r="AH771" s="65"/>
    </row>
    <row r="772">
      <c r="A772" s="61"/>
      <c r="B772" s="61"/>
      <c r="C772" s="61"/>
      <c r="D772" s="62"/>
      <c r="E772" s="61"/>
      <c r="F772" s="61"/>
      <c r="G772" s="61"/>
      <c r="H772" s="61"/>
      <c r="I772" s="61"/>
      <c r="J772" s="61"/>
      <c r="K772" s="61"/>
      <c r="L772" s="61"/>
      <c r="M772" s="61"/>
      <c r="N772" s="61"/>
      <c r="O772" s="63"/>
      <c r="P772" s="61"/>
      <c r="Q772" s="61"/>
      <c r="R772" s="61"/>
      <c r="S772" s="61"/>
      <c r="T772" s="61"/>
      <c r="U772" s="61"/>
      <c r="V772" s="64"/>
      <c r="W772" s="61"/>
      <c r="X772" s="61"/>
      <c r="Y772" s="61"/>
      <c r="Z772" s="61"/>
      <c r="AA772" s="61"/>
      <c r="AB772" s="61"/>
      <c r="AC772" s="61"/>
      <c r="AD772" s="61"/>
      <c r="AE772" s="61"/>
      <c r="AF772" s="61"/>
      <c r="AG772" s="61"/>
      <c r="AH772" s="61"/>
    </row>
    <row r="773">
      <c r="A773" s="65"/>
      <c r="B773" s="65"/>
      <c r="C773" s="65"/>
      <c r="D773" s="66"/>
      <c r="E773" s="65"/>
      <c r="F773" s="65"/>
      <c r="G773" s="65"/>
      <c r="H773" s="65"/>
      <c r="I773" s="65"/>
      <c r="J773" s="65"/>
      <c r="K773" s="65"/>
      <c r="L773" s="65"/>
      <c r="M773" s="65"/>
      <c r="N773" s="65"/>
      <c r="O773" s="67"/>
      <c r="P773" s="65"/>
      <c r="Q773" s="65"/>
      <c r="R773" s="65"/>
      <c r="S773" s="65"/>
      <c r="T773" s="65"/>
      <c r="U773" s="65"/>
      <c r="V773" s="68"/>
      <c r="W773" s="65"/>
      <c r="X773" s="65"/>
      <c r="Y773" s="65"/>
      <c r="Z773" s="65"/>
      <c r="AA773" s="65"/>
      <c r="AB773" s="65"/>
      <c r="AC773" s="65"/>
      <c r="AD773" s="65"/>
      <c r="AE773" s="65"/>
      <c r="AF773" s="65"/>
      <c r="AG773" s="65"/>
      <c r="AH773" s="65"/>
    </row>
    <row r="774">
      <c r="A774" s="61"/>
      <c r="B774" s="61"/>
      <c r="C774" s="61"/>
      <c r="D774" s="62"/>
      <c r="E774" s="61"/>
      <c r="F774" s="61"/>
      <c r="G774" s="61"/>
      <c r="H774" s="61"/>
      <c r="I774" s="61"/>
      <c r="J774" s="61"/>
      <c r="K774" s="61"/>
      <c r="L774" s="61"/>
      <c r="M774" s="61"/>
      <c r="N774" s="61"/>
      <c r="O774" s="63"/>
      <c r="P774" s="61"/>
      <c r="Q774" s="61"/>
      <c r="R774" s="61"/>
      <c r="S774" s="61"/>
      <c r="T774" s="61"/>
      <c r="U774" s="61"/>
      <c r="V774" s="64"/>
      <c r="W774" s="61"/>
      <c r="X774" s="61"/>
      <c r="Y774" s="61"/>
      <c r="Z774" s="61"/>
      <c r="AA774" s="61"/>
      <c r="AB774" s="61"/>
      <c r="AC774" s="61"/>
      <c r="AD774" s="61"/>
      <c r="AE774" s="61"/>
      <c r="AF774" s="61"/>
      <c r="AG774" s="61"/>
      <c r="AH774" s="61"/>
    </row>
    <row r="775">
      <c r="A775" s="65"/>
      <c r="B775" s="65"/>
      <c r="C775" s="65"/>
      <c r="D775" s="66"/>
      <c r="E775" s="65"/>
      <c r="F775" s="65"/>
      <c r="G775" s="65"/>
      <c r="H775" s="65"/>
      <c r="I775" s="65"/>
      <c r="J775" s="65"/>
      <c r="K775" s="65"/>
      <c r="L775" s="65"/>
      <c r="M775" s="65"/>
      <c r="N775" s="65"/>
      <c r="O775" s="67"/>
      <c r="P775" s="65"/>
      <c r="Q775" s="65"/>
      <c r="R775" s="65"/>
      <c r="S775" s="65"/>
      <c r="T775" s="65"/>
      <c r="U775" s="65"/>
      <c r="V775" s="68"/>
      <c r="W775" s="65"/>
      <c r="X775" s="65"/>
      <c r="Y775" s="65"/>
      <c r="Z775" s="65"/>
      <c r="AA775" s="65"/>
      <c r="AB775" s="65"/>
      <c r="AC775" s="65"/>
      <c r="AD775" s="65"/>
      <c r="AE775" s="65"/>
      <c r="AF775" s="65"/>
      <c r="AG775" s="65"/>
      <c r="AH775" s="65"/>
    </row>
    <row r="776">
      <c r="A776" s="61"/>
      <c r="B776" s="61"/>
      <c r="C776" s="61"/>
      <c r="D776" s="62"/>
      <c r="E776" s="61"/>
      <c r="F776" s="61"/>
      <c r="G776" s="61"/>
      <c r="H776" s="61"/>
      <c r="I776" s="61"/>
      <c r="J776" s="61"/>
      <c r="K776" s="61"/>
      <c r="L776" s="61"/>
      <c r="M776" s="61"/>
      <c r="N776" s="61"/>
      <c r="O776" s="63"/>
      <c r="P776" s="61"/>
      <c r="Q776" s="61"/>
      <c r="R776" s="61"/>
      <c r="S776" s="61"/>
      <c r="T776" s="61"/>
      <c r="U776" s="61"/>
      <c r="V776" s="64"/>
      <c r="W776" s="61"/>
      <c r="X776" s="61"/>
      <c r="Y776" s="61"/>
      <c r="Z776" s="61"/>
      <c r="AA776" s="61"/>
      <c r="AB776" s="61"/>
      <c r="AC776" s="61"/>
      <c r="AD776" s="61"/>
      <c r="AE776" s="61"/>
      <c r="AF776" s="61"/>
      <c r="AG776" s="61"/>
      <c r="AH776" s="61"/>
    </row>
    <row r="777">
      <c r="A777" s="65"/>
      <c r="B777" s="65"/>
      <c r="C777" s="65"/>
      <c r="D777" s="66"/>
      <c r="E777" s="65"/>
      <c r="F777" s="65"/>
      <c r="G777" s="65"/>
      <c r="H777" s="65"/>
      <c r="I777" s="65"/>
      <c r="J777" s="65"/>
      <c r="K777" s="65"/>
      <c r="L777" s="65"/>
      <c r="M777" s="65"/>
      <c r="N777" s="65"/>
      <c r="O777" s="67"/>
      <c r="P777" s="65"/>
      <c r="Q777" s="65"/>
      <c r="R777" s="65"/>
      <c r="S777" s="65"/>
      <c r="T777" s="65"/>
      <c r="U777" s="65"/>
      <c r="V777" s="68"/>
      <c r="W777" s="65"/>
      <c r="X777" s="65"/>
      <c r="Y777" s="65"/>
      <c r="Z777" s="65"/>
      <c r="AA777" s="65"/>
      <c r="AB777" s="65"/>
      <c r="AC777" s="65"/>
      <c r="AD777" s="65"/>
      <c r="AE777" s="65"/>
      <c r="AF777" s="65"/>
      <c r="AG777" s="65"/>
      <c r="AH777" s="65"/>
    </row>
    <row r="778">
      <c r="A778" s="61"/>
      <c r="B778" s="61"/>
      <c r="C778" s="61"/>
      <c r="D778" s="62"/>
      <c r="E778" s="61"/>
      <c r="F778" s="61"/>
      <c r="G778" s="61"/>
      <c r="H778" s="61"/>
      <c r="I778" s="61"/>
      <c r="J778" s="61"/>
      <c r="K778" s="61"/>
      <c r="L778" s="61"/>
      <c r="M778" s="61"/>
      <c r="N778" s="61"/>
      <c r="O778" s="63"/>
      <c r="P778" s="61"/>
      <c r="Q778" s="61"/>
      <c r="R778" s="61"/>
      <c r="S778" s="61"/>
      <c r="T778" s="61"/>
      <c r="U778" s="61"/>
      <c r="V778" s="64"/>
      <c r="W778" s="61"/>
      <c r="X778" s="61"/>
      <c r="Y778" s="61"/>
      <c r="Z778" s="61"/>
      <c r="AA778" s="61"/>
      <c r="AB778" s="61"/>
      <c r="AC778" s="61"/>
      <c r="AD778" s="61"/>
      <c r="AE778" s="61"/>
      <c r="AF778" s="61"/>
      <c r="AG778" s="61"/>
      <c r="AH778" s="61"/>
    </row>
    <row r="779">
      <c r="A779" s="65"/>
      <c r="B779" s="65"/>
      <c r="C779" s="65"/>
      <c r="D779" s="66"/>
      <c r="E779" s="65"/>
      <c r="F779" s="65"/>
      <c r="G779" s="65"/>
      <c r="H779" s="65"/>
      <c r="I779" s="65"/>
      <c r="J779" s="65"/>
      <c r="K779" s="65"/>
      <c r="L779" s="65"/>
      <c r="M779" s="65"/>
      <c r="N779" s="65"/>
      <c r="O779" s="67"/>
      <c r="P779" s="65"/>
      <c r="Q779" s="65"/>
      <c r="R779" s="65"/>
      <c r="S779" s="65"/>
      <c r="T779" s="65"/>
      <c r="U779" s="65"/>
      <c r="V779" s="68"/>
      <c r="W779" s="65"/>
      <c r="X779" s="65"/>
      <c r="Y779" s="65"/>
      <c r="Z779" s="65"/>
      <c r="AA779" s="65"/>
      <c r="AB779" s="65"/>
      <c r="AC779" s="65"/>
      <c r="AD779" s="65"/>
      <c r="AE779" s="65"/>
      <c r="AF779" s="65"/>
      <c r="AG779" s="65"/>
      <c r="AH779" s="65"/>
    </row>
    <row r="780">
      <c r="A780" s="61"/>
      <c r="B780" s="61"/>
      <c r="C780" s="61"/>
      <c r="D780" s="62"/>
      <c r="E780" s="61"/>
      <c r="F780" s="61"/>
      <c r="G780" s="61"/>
      <c r="H780" s="61"/>
      <c r="I780" s="61"/>
      <c r="J780" s="61"/>
      <c r="K780" s="61"/>
      <c r="L780" s="61"/>
      <c r="M780" s="61"/>
      <c r="N780" s="61"/>
      <c r="O780" s="63"/>
      <c r="P780" s="61"/>
      <c r="Q780" s="61"/>
      <c r="R780" s="61"/>
      <c r="S780" s="61"/>
      <c r="T780" s="61"/>
      <c r="U780" s="61"/>
      <c r="V780" s="64"/>
      <c r="W780" s="61"/>
      <c r="X780" s="61"/>
      <c r="Y780" s="61"/>
      <c r="Z780" s="61"/>
      <c r="AA780" s="61"/>
      <c r="AB780" s="61"/>
      <c r="AC780" s="61"/>
      <c r="AD780" s="61"/>
      <c r="AE780" s="61"/>
      <c r="AF780" s="61"/>
      <c r="AG780" s="61"/>
      <c r="AH780" s="61"/>
    </row>
    <row r="781">
      <c r="A781" s="65"/>
      <c r="B781" s="65"/>
      <c r="C781" s="65"/>
      <c r="D781" s="66"/>
      <c r="E781" s="65"/>
      <c r="F781" s="65"/>
      <c r="G781" s="65"/>
      <c r="H781" s="65"/>
      <c r="I781" s="65"/>
      <c r="J781" s="65"/>
      <c r="K781" s="65"/>
      <c r="L781" s="65"/>
      <c r="M781" s="65"/>
      <c r="N781" s="65"/>
      <c r="O781" s="67"/>
      <c r="P781" s="65"/>
      <c r="Q781" s="65"/>
      <c r="R781" s="65"/>
      <c r="S781" s="65"/>
      <c r="T781" s="65"/>
      <c r="U781" s="65"/>
      <c r="V781" s="68"/>
      <c r="W781" s="65"/>
      <c r="X781" s="65"/>
      <c r="Y781" s="65"/>
      <c r="Z781" s="65"/>
      <c r="AA781" s="65"/>
      <c r="AB781" s="65"/>
      <c r="AC781" s="65"/>
      <c r="AD781" s="65"/>
      <c r="AE781" s="65"/>
      <c r="AF781" s="65"/>
      <c r="AG781" s="65"/>
      <c r="AH781" s="65"/>
    </row>
    <row r="782">
      <c r="A782" s="61"/>
      <c r="B782" s="61"/>
      <c r="C782" s="61"/>
      <c r="D782" s="62"/>
      <c r="E782" s="61"/>
      <c r="F782" s="61"/>
      <c r="G782" s="61"/>
      <c r="H782" s="61"/>
      <c r="I782" s="61"/>
      <c r="J782" s="61"/>
      <c r="K782" s="61"/>
      <c r="L782" s="61"/>
      <c r="M782" s="61"/>
      <c r="N782" s="61"/>
      <c r="O782" s="63"/>
      <c r="P782" s="61"/>
      <c r="Q782" s="61"/>
      <c r="R782" s="61"/>
      <c r="S782" s="61"/>
      <c r="T782" s="61"/>
      <c r="U782" s="61"/>
      <c r="V782" s="64"/>
      <c r="W782" s="61"/>
      <c r="X782" s="61"/>
      <c r="Y782" s="61"/>
      <c r="Z782" s="61"/>
      <c r="AA782" s="61"/>
      <c r="AB782" s="61"/>
      <c r="AC782" s="61"/>
      <c r="AD782" s="61"/>
      <c r="AE782" s="61"/>
      <c r="AF782" s="61"/>
      <c r="AG782" s="61"/>
      <c r="AH782" s="61"/>
    </row>
    <row r="783">
      <c r="A783" s="65"/>
      <c r="B783" s="65"/>
      <c r="C783" s="65"/>
      <c r="D783" s="66"/>
      <c r="E783" s="65"/>
      <c r="F783" s="65"/>
      <c r="G783" s="65"/>
      <c r="H783" s="65"/>
      <c r="I783" s="65"/>
      <c r="J783" s="65"/>
      <c r="K783" s="65"/>
      <c r="L783" s="65"/>
      <c r="M783" s="65"/>
      <c r="N783" s="65"/>
      <c r="O783" s="67"/>
      <c r="P783" s="65"/>
      <c r="Q783" s="65"/>
      <c r="R783" s="65"/>
      <c r="S783" s="65"/>
      <c r="T783" s="65"/>
      <c r="U783" s="65"/>
      <c r="V783" s="68"/>
      <c r="W783" s="65"/>
      <c r="X783" s="65"/>
      <c r="Y783" s="65"/>
      <c r="Z783" s="65"/>
      <c r="AA783" s="65"/>
      <c r="AB783" s="65"/>
      <c r="AC783" s="65"/>
      <c r="AD783" s="65"/>
      <c r="AE783" s="65"/>
      <c r="AF783" s="65"/>
      <c r="AG783" s="65"/>
      <c r="AH783" s="65"/>
    </row>
    <row r="784">
      <c r="A784" s="61"/>
      <c r="B784" s="61"/>
      <c r="C784" s="61"/>
      <c r="D784" s="62"/>
      <c r="E784" s="61"/>
      <c r="F784" s="61"/>
      <c r="G784" s="61"/>
      <c r="H784" s="61"/>
      <c r="I784" s="61"/>
      <c r="J784" s="61"/>
      <c r="K784" s="61"/>
      <c r="L784" s="61"/>
      <c r="M784" s="61"/>
      <c r="N784" s="61"/>
      <c r="O784" s="63"/>
      <c r="P784" s="61"/>
      <c r="Q784" s="61"/>
      <c r="R784" s="61"/>
      <c r="S784" s="61"/>
      <c r="T784" s="61"/>
      <c r="U784" s="61"/>
      <c r="V784" s="64"/>
      <c r="W784" s="61"/>
      <c r="X784" s="61"/>
      <c r="Y784" s="61"/>
      <c r="Z784" s="61"/>
      <c r="AA784" s="61"/>
      <c r="AB784" s="61"/>
      <c r="AC784" s="61"/>
      <c r="AD784" s="61"/>
      <c r="AE784" s="61"/>
      <c r="AF784" s="61"/>
      <c r="AG784" s="61"/>
      <c r="AH784" s="61"/>
    </row>
    <row r="785">
      <c r="A785" s="65"/>
      <c r="B785" s="65"/>
      <c r="C785" s="65"/>
      <c r="D785" s="66"/>
      <c r="E785" s="65"/>
      <c r="F785" s="65"/>
      <c r="G785" s="65"/>
      <c r="H785" s="65"/>
      <c r="I785" s="65"/>
      <c r="J785" s="65"/>
      <c r="K785" s="65"/>
      <c r="L785" s="65"/>
      <c r="M785" s="65"/>
      <c r="N785" s="65"/>
      <c r="O785" s="67"/>
      <c r="P785" s="65"/>
      <c r="Q785" s="65"/>
      <c r="R785" s="65"/>
      <c r="S785" s="65"/>
      <c r="T785" s="65"/>
      <c r="U785" s="65"/>
      <c r="V785" s="68"/>
      <c r="W785" s="65"/>
      <c r="X785" s="65"/>
      <c r="Y785" s="65"/>
      <c r="Z785" s="65"/>
      <c r="AA785" s="65"/>
      <c r="AB785" s="65"/>
      <c r="AC785" s="65"/>
      <c r="AD785" s="65"/>
      <c r="AE785" s="65"/>
      <c r="AF785" s="65"/>
      <c r="AG785" s="65"/>
      <c r="AH785" s="65"/>
    </row>
    <row r="786">
      <c r="A786" s="61"/>
      <c r="B786" s="61"/>
      <c r="C786" s="61"/>
      <c r="D786" s="62"/>
      <c r="E786" s="61"/>
      <c r="F786" s="61"/>
      <c r="G786" s="61"/>
      <c r="H786" s="61"/>
      <c r="I786" s="61"/>
      <c r="J786" s="61"/>
      <c r="K786" s="61"/>
      <c r="L786" s="61"/>
      <c r="M786" s="61"/>
      <c r="N786" s="61"/>
      <c r="O786" s="63"/>
      <c r="P786" s="61"/>
      <c r="Q786" s="61"/>
      <c r="R786" s="61"/>
      <c r="S786" s="61"/>
      <c r="T786" s="61"/>
      <c r="U786" s="61"/>
      <c r="V786" s="64"/>
      <c r="W786" s="61"/>
      <c r="X786" s="61"/>
      <c r="Y786" s="61"/>
      <c r="Z786" s="61"/>
      <c r="AA786" s="61"/>
      <c r="AB786" s="61"/>
      <c r="AC786" s="61"/>
      <c r="AD786" s="61"/>
      <c r="AE786" s="61"/>
      <c r="AF786" s="61"/>
      <c r="AG786" s="61"/>
      <c r="AH786" s="61"/>
    </row>
    <row r="787">
      <c r="A787" s="65"/>
      <c r="B787" s="65"/>
      <c r="C787" s="65"/>
      <c r="D787" s="66"/>
      <c r="E787" s="65"/>
      <c r="F787" s="65"/>
      <c r="G787" s="65"/>
      <c r="H787" s="65"/>
      <c r="I787" s="65"/>
      <c r="J787" s="65"/>
      <c r="K787" s="65"/>
      <c r="L787" s="65"/>
      <c r="M787" s="65"/>
      <c r="N787" s="65"/>
      <c r="O787" s="67"/>
      <c r="P787" s="65"/>
      <c r="Q787" s="65"/>
      <c r="R787" s="65"/>
      <c r="S787" s="65"/>
      <c r="T787" s="65"/>
      <c r="U787" s="65"/>
      <c r="V787" s="68"/>
      <c r="W787" s="65"/>
      <c r="X787" s="65"/>
      <c r="Y787" s="65"/>
      <c r="Z787" s="65"/>
      <c r="AA787" s="65"/>
      <c r="AB787" s="65"/>
      <c r="AC787" s="65"/>
      <c r="AD787" s="65"/>
      <c r="AE787" s="65"/>
      <c r="AF787" s="65"/>
      <c r="AG787" s="65"/>
      <c r="AH787" s="65"/>
    </row>
    <row r="788">
      <c r="A788" s="61"/>
      <c r="B788" s="61"/>
      <c r="C788" s="61"/>
      <c r="D788" s="62"/>
      <c r="E788" s="61"/>
      <c r="F788" s="61"/>
      <c r="G788" s="61"/>
      <c r="H788" s="61"/>
      <c r="I788" s="61"/>
      <c r="J788" s="61"/>
      <c r="K788" s="61"/>
      <c r="L788" s="61"/>
      <c r="M788" s="61"/>
      <c r="N788" s="61"/>
      <c r="O788" s="63"/>
      <c r="P788" s="61"/>
      <c r="Q788" s="61"/>
      <c r="R788" s="61"/>
      <c r="S788" s="61"/>
      <c r="T788" s="61"/>
      <c r="U788" s="61"/>
      <c r="V788" s="64"/>
      <c r="W788" s="61"/>
      <c r="X788" s="61"/>
      <c r="Y788" s="61"/>
      <c r="Z788" s="61"/>
      <c r="AA788" s="61"/>
      <c r="AB788" s="61"/>
      <c r="AC788" s="61"/>
      <c r="AD788" s="61"/>
      <c r="AE788" s="61"/>
      <c r="AF788" s="61"/>
      <c r="AG788" s="61"/>
      <c r="AH788" s="61"/>
    </row>
    <row r="789">
      <c r="A789" s="65"/>
      <c r="B789" s="65"/>
      <c r="C789" s="65"/>
      <c r="D789" s="66"/>
      <c r="E789" s="65"/>
      <c r="F789" s="65"/>
      <c r="G789" s="65"/>
      <c r="H789" s="65"/>
      <c r="I789" s="65"/>
      <c r="J789" s="65"/>
      <c r="K789" s="65"/>
      <c r="L789" s="65"/>
      <c r="M789" s="65"/>
      <c r="N789" s="65"/>
      <c r="O789" s="67"/>
      <c r="P789" s="65"/>
      <c r="Q789" s="65"/>
      <c r="R789" s="65"/>
      <c r="S789" s="65"/>
      <c r="T789" s="65"/>
      <c r="U789" s="65"/>
      <c r="V789" s="68"/>
      <c r="W789" s="65"/>
      <c r="X789" s="65"/>
      <c r="Y789" s="65"/>
      <c r="Z789" s="65"/>
      <c r="AA789" s="65"/>
      <c r="AB789" s="65"/>
      <c r="AC789" s="65"/>
      <c r="AD789" s="65"/>
      <c r="AE789" s="65"/>
      <c r="AF789" s="65"/>
      <c r="AG789" s="65"/>
      <c r="AH789" s="65"/>
    </row>
    <row r="790">
      <c r="A790" s="61"/>
      <c r="B790" s="61"/>
      <c r="C790" s="61"/>
      <c r="D790" s="62"/>
      <c r="E790" s="61"/>
      <c r="F790" s="61"/>
      <c r="G790" s="61"/>
      <c r="H790" s="61"/>
      <c r="I790" s="61"/>
      <c r="J790" s="61"/>
      <c r="K790" s="61"/>
      <c r="L790" s="61"/>
      <c r="M790" s="61"/>
      <c r="N790" s="61"/>
      <c r="O790" s="63"/>
      <c r="P790" s="61"/>
      <c r="Q790" s="61"/>
      <c r="R790" s="61"/>
      <c r="S790" s="61"/>
      <c r="T790" s="61"/>
      <c r="U790" s="61"/>
      <c r="V790" s="64"/>
      <c r="W790" s="61"/>
      <c r="X790" s="61"/>
      <c r="Y790" s="61"/>
      <c r="Z790" s="61"/>
      <c r="AA790" s="61"/>
      <c r="AB790" s="61"/>
      <c r="AC790" s="61"/>
      <c r="AD790" s="61"/>
      <c r="AE790" s="61"/>
      <c r="AF790" s="61"/>
      <c r="AG790" s="61"/>
      <c r="AH790" s="61"/>
    </row>
    <row r="791">
      <c r="A791" s="65"/>
      <c r="B791" s="65"/>
      <c r="C791" s="65"/>
      <c r="D791" s="66"/>
      <c r="E791" s="65"/>
      <c r="F791" s="65"/>
      <c r="G791" s="65"/>
      <c r="H791" s="65"/>
      <c r="I791" s="65"/>
      <c r="J791" s="65"/>
      <c r="K791" s="65"/>
      <c r="L791" s="65"/>
      <c r="M791" s="65"/>
      <c r="N791" s="65"/>
      <c r="O791" s="67"/>
      <c r="P791" s="65"/>
      <c r="Q791" s="65"/>
      <c r="R791" s="65"/>
      <c r="S791" s="65"/>
      <c r="T791" s="65"/>
      <c r="U791" s="65"/>
      <c r="V791" s="68"/>
      <c r="W791" s="65"/>
      <c r="X791" s="65"/>
      <c r="Y791" s="65"/>
      <c r="Z791" s="65"/>
      <c r="AA791" s="65"/>
      <c r="AB791" s="65"/>
      <c r="AC791" s="65"/>
      <c r="AD791" s="65"/>
      <c r="AE791" s="65"/>
      <c r="AF791" s="65"/>
      <c r="AG791" s="65"/>
      <c r="AH791" s="65"/>
    </row>
    <row r="792">
      <c r="A792" s="61"/>
      <c r="B792" s="61"/>
      <c r="C792" s="61"/>
      <c r="D792" s="62"/>
      <c r="E792" s="61"/>
      <c r="F792" s="61"/>
      <c r="G792" s="61"/>
      <c r="H792" s="61"/>
      <c r="I792" s="61"/>
      <c r="J792" s="61"/>
      <c r="K792" s="61"/>
      <c r="L792" s="61"/>
      <c r="M792" s="61"/>
      <c r="N792" s="61"/>
      <c r="O792" s="63"/>
      <c r="P792" s="61"/>
      <c r="Q792" s="61"/>
      <c r="R792" s="61"/>
      <c r="S792" s="61"/>
      <c r="T792" s="61"/>
      <c r="U792" s="61"/>
      <c r="V792" s="64"/>
      <c r="W792" s="61"/>
      <c r="X792" s="61"/>
      <c r="Y792" s="61"/>
      <c r="Z792" s="61"/>
      <c r="AA792" s="61"/>
      <c r="AB792" s="61"/>
      <c r="AC792" s="61"/>
      <c r="AD792" s="61"/>
      <c r="AE792" s="61"/>
      <c r="AF792" s="61"/>
      <c r="AG792" s="61"/>
      <c r="AH792" s="61"/>
    </row>
    <row r="793">
      <c r="A793" s="65"/>
      <c r="B793" s="65"/>
      <c r="C793" s="65"/>
      <c r="D793" s="66"/>
      <c r="E793" s="65"/>
      <c r="F793" s="65"/>
      <c r="G793" s="65"/>
      <c r="H793" s="65"/>
      <c r="I793" s="65"/>
      <c r="J793" s="65"/>
      <c r="K793" s="65"/>
      <c r="L793" s="65"/>
      <c r="M793" s="65"/>
      <c r="N793" s="65"/>
      <c r="O793" s="67"/>
      <c r="P793" s="65"/>
      <c r="Q793" s="65"/>
      <c r="R793" s="65"/>
      <c r="S793" s="65"/>
      <c r="T793" s="65"/>
      <c r="U793" s="65"/>
      <c r="V793" s="68"/>
      <c r="W793" s="65"/>
      <c r="X793" s="65"/>
      <c r="Y793" s="65"/>
      <c r="Z793" s="65"/>
      <c r="AA793" s="65"/>
      <c r="AB793" s="65"/>
      <c r="AC793" s="65"/>
      <c r="AD793" s="65"/>
      <c r="AE793" s="65"/>
      <c r="AF793" s="65"/>
      <c r="AG793" s="65"/>
      <c r="AH793" s="65"/>
    </row>
    <row r="794">
      <c r="A794" s="61"/>
      <c r="B794" s="61"/>
      <c r="C794" s="61"/>
      <c r="D794" s="62"/>
      <c r="E794" s="61"/>
      <c r="F794" s="61"/>
      <c r="G794" s="61"/>
      <c r="H794" s="61"/>
      <c r="I794" s="61"/>
      <c r="J794" s="61"/>
      <c r="K794" s="61"/>
      <c r="L794" s="61"/>
      <c r="M794" s="61"/>
      <c r="N794" s="61"/>
      <c r="O794" s="63"/>
      <c r="P794" s="61"/>
      <c r="Q794" s="61"/>
      <c r="R794" s="61"/>
      <c r="S794" s="61"/>
      <c r="T794" s="61"/>
      <c r="U794" s="61"/>
      <c r="V794" s="64"/>
      <c r="W794" s="61"/>
      <c r="X794" s="61"/>
      <c r="Y794" s="61"/>
      <c r="Z794" s="61"/>
      <c r="AA794" s="61"/>
      <c r="AB794" s="61"/>
      <c r="AC794" s="61"/>
      <c r="AD794" s="61"/>
      <c r="AE794" s="61"/>
      <c r="AF794" s="61"/>
      <c r="AG794" s="61"/>
      <c r="AH794" s="61"/>
    </row>
    <row r="795">
      <c r="A795" s="65"/>
      <c r="B795" s="65"/>
      <c r="C795" s="65"/>
      <c r="D795" s="66"/>
      <c r="E795" s="65"/>
      <c r="F795" s="65"/>
      <c r="G795" s="65"/>
      <c r="H795" s="65"/>
      <c r="I795" s="65"/>
      <c r="J795" s="65"/>
      <c r="K795" s="65"/>
      <c r="L795" s="65"/>
      <c r="M795" s="65"/>
      <c r="N795" s="65"/>
      <c r="O795" s="67"/>
      <c r="P795" s="65"/>
      <c r="Q795" s="65"/>
      <c r="R795" s="65"/>
      <c r="S795" s="65"/>
      <c r="T795" s="65"/>
      <c r="U795" s="65"/>
      <c r="V795" s="68"/>
      <c r="W795" s="65"/>
      <c r="X795" s="65"/>
      <c r="Y795" s="65"/>
      <c r="Z795" s="65"/>
      <c r="AA795" s="65"/>
      <c r="AB795" s="65"/>
      <c r="AC795" s="65"/>
      <c r="AD795" s="65"/>
      <c r="AE795" s="65"/>
      <c r="AF795" s="65"/>
      <c r="AG795" s="65"/>
      <c r="AH795" s="65"/>
    </row>
    <row r="796">
      <c r="A796" s="61"/>
      <c r="B796" s="61"/>
      <c r="C796" s="61"/>
      <c r="D796" s="62"/>
      <c r="E796" s="61"/>
      <c r="F796" s="61"/>
      <c r="G796" s="61"/>
      <c r="H796" s="61"/>
      <c r="I796" s="61"/>
      <c r="J796" s="61"/>
      <c r="K796" s="61"/>
      <c r="L796" s="61"/>
      <c r="M796" s="61"/>
      <c r="N796" s="61"/>
      <c r="O796" s="63"/>
      <c r="P796" s="61"/>
      <c r="Q796" s="61"/>
      <c r="R796" s="61"/>
      <c r="S796" s="61"/>
      <c r="T796" s="61"/>
      <c r="U796" s="61"/>
      <c r="V796" s="64"/>
      <c r="W796" s="61"/>
      <c r="X796" s="61"/>
      <c r="Y796" s="61"/>
      <c r="Z796" s="61"/>
      <c r="AA796" s="61"/>
      <c r="AB796" s="61"/>
      <c r="AC796" s="61"/>
      <c r="AD796" s="61"/>
      <c r="AE796" s="61"/>
      <c r="AF796" s="61"/>
      <c r="AG796" s="61"/>
      <c r="AH796" s="61"/>
    </row>
    <row r="797">
      <c r="A797" s="65"/>
      <c r="B797" s="65"/>
      <c r="C797" s="65"/>
      <c r="D797" s="66"/>
      <c r="E797" s="65"/>
      <c r="F797" s="65"/>
      <c r="G797" s="65"/>
      <c r="H797" s="65"/>
      <c r="I797" s="65"/>
      <c r="J797" s="65"/>
      <c r="K797" s="65"/>
      <c r="L797" s="65"/>
      <c r="M797" s="65"/>
      <c r="N797" s="65"/>
      <c r="O797" s="67"/>
      <c r="P797" s="65"/>
      <c r="Q797" s="65"/>
      <c r="R797" s="65"/>
      <c r="S797" s="65"/>
      <c r="T797" s="65"/>
      <c r="U797" s="65"/>
      <c r="V797" s="68"/>
      <c r="W797" s="65"/>
      <c r="X797" s="65"/>
      <c r="Y797" s="65"/>
      <c r="Z797" s="65"/>
      <c r="AA797" s="65"/>
      <c r="AB797" s="65"/>
      <c r="AC797" s="65"/>
      <c r="AD797" s="65"/>
      <c r="AE797" s="65"/>
      <c r="AF797" s="65"/>
      <c r="AG797" s="65"/>
      <c r="AH797" s="65"/>
    </row>
    <row r="798">
      <c r="A798" s="61"/>
      <c r="B798" s="61"/>
      <c r="C798" s="61"/>
      <c r="D798" s="62"/>
      <c r="E798" s="61"/>
      <c r="F798" s="61"/>
      <c r="G798" s="61"/>
      <c r="H798" s="61"/>
      <c r="I798" s="61"/>
      <c r="J798" s="61"/>
      <c r="K798" s="61"/>
      <c r="L798" s="61"/>
      <c r="M798" s="61"/>
      <c r="N798" s="61"/>
      <c r="O798" s="63"/>
      <c r="P798" s="61"/>
      <c r="Q798" s="61"/>
      <c r="R798" s="61"/>
      <c r="S798" s="61"/>
      <c r="T798" s="61"/>
      <c r="U798" s="61"/>
      <c r="V798" s="64"/>
      <c r="W798" s="61"/>
      <c r="X798" s="61"/>
      <c r="Y798" s="61"/>
      <c r="Z798" s="61"/>
      <c r="AA798" s="61"/>
      <c r="AB798" s="61"/>
      <c r="AC798" s="61"/>
      <c r="AD798" s="61"/>
      <c r="AE798" s="61"/>
      <c r="AF798" s="61"/>
      <c r="AG798" s="61"/>
      <c r="AH798" s="61"/>
    </row>
    <row r="799">
      <c r="A799" s="65"/>
      <c r="B799" s="65"/>
      <c r="C799" s="65"/>
      <c r="D799" s="66"/>
      <c r="E799" s="65"/>
      <c r="F799" s="65"/>
      <c r="G799" s="65"/>
      <c r="H799" s="65"/>
      <c r="I799" s="65"/>
      <c r="J799" s="65"/>
      <c r="K799" s="65"/>
      <c r="L799" s="65"/>
      <c r="M799" s="65"/>
      <c r="N799" s="65"/>
      <c r="O799" s="67"/>
      <c r="P799" s="65"/>
      <c r="Q799" s="65"/>
      <c r="R799" s="65"/>
      <c r="S799" s="65"/>
      <c r="T799" s="65"/>
      <c r="U799" s="65"/>
      <c r="V799" s="68"/>
      <c r="W799" s="65"/>
      <c r="X799" s="65"/>
      <c r="Y799" s="65"/>
      <c r="Z799" s="65"/>
      <c r="AA799" s="65"/>
      <c r="AB799" s="65"/>
      <c r="AC799" s="65"/>
      <c r="AD799" s="65"/>
      <c r="AE799" s="65"/>
      <c r="AF799" s="65"/>
      <c r="AG799" s="65"/>
      <c r="AH799" s="65"/>
    </row>
    <row r="800">
      <c r="A800" s="61"/>
      <c r="B800" s="61"/>
      <c r="C800" s="61"/>
      <c r="D800" s="62"/>
      <c r="E800" s="61"/>
      <c r="F800" s="61"/>
      <c r="G800" s="61"/>
      <c r="H800" s="61"/>
      <c r="I800" s="61"/>
      <c r="J800" s="61"/>
      <c r="K800" s="61"/>
      <c r="L800" s="61"/>
      <c r="M800" s="61"/>
      <c r="N800" s="61"/>
      <c r="O800" s="63"/>
      <c r="P800" s="61"/>
      <c r="Q800" s="61"/>
      <c r="R800" s="61"/>
      <c r="S800" s="61"/>
      <c r="T800" s="61"/>
      <c r="U800" s="61"/>
      <c r="V800" s="64"/>
      <c r="W800" s="61"/>
      <c r="X800" s="61"/>
      <c r="Y800" s="61"/>
      <c r="Z800" s="61"/>
      <c r="AA800" s="61"/>
      <c r="AB800" s="61"/>
      <c r="AC800" s="61"/>
      <c r="AD800" s="61"/>
      <c r="AE800" s="61"/>
      <c r="AF800" s="61"/>
      <c r="AG800" s="61"/>
      <c r="AH800" s="61"/>
    </row>
    <row r="801">
      <c r="A801" s="65"/>
      <c r="B801" s="65"/>
      <c r="C801" s="65"/>
      <c r="D801" s="66"/>
      <c r="E801" s="65"/>
      <c r="F801" s="65"/>
      <c r="G801" s="65"/>
      <c r="H801" s="65"/>
      <c r="I801" s="65"/>
      <c r="J801" s="65"/>
      <c r="K801" s="65"/>
      <c r="L801" s="65"/>
      <c r="M801" s="65"/>
      <c r="N801" s="65"/>
      <c r="O801" s="67"/>
      <c r="P801" s="65"/>
      <c r="Q801" s="65"/>
      <c r="R801" s="65"/>
      <c r="S801" s="65"/>
      <c r="T801" s="65"/>
      <c r="U801" s="65"/>
      <c r="V801" s="68"/>
      <c r="W801" s="65"/>
      <c r="X801" s="65"/>
      <c r="Y801" s="65"/>
      <c r="Z801" s="65"/>
      <c r="AA801" s="65"/>
      <c r="AB801" s="65"/>
      <c r="AC801" s="65"/>
      <c r="AD801" s="65"/>
      <c r="AE801" s="65"/>
      <c r="AF801" s="65"/>
      <c r="AG801" s="65"/>
      <c r="AH801" s="65"/>
    </row>
    <row r="802">
      <c r="A802" s="61"/>
      <c r="B802" s="61"/>
      <c r="C802" s="61"/>
      <c r="D802" s="62"/>
      <c r="E802" s="61"/>
      <c r="F802" s="61"/>
      <c r="G802" s="61"/>
      <c r="H802" s="61"/>
      <c r="I802" s="61"/>
      <c r="J802" s="61"/>
      <c r="K802" s="61"/>
      <c r="L802" s="61"/>
      <c r="M802" s="61"/>
      <c r="N802" s="61"/>
      <c r="O802" s="63"/>
      <c r="P802" s="61"/>
      <c r="Q802" s="61"/>
      <c r="R802" s="61"/>
      <c r="S802" s="61"/>
      <c r="T802" s="61"/>
      <c r="U802" s="61"/>
      <c r="V802" s="64"/>
      <c r="W802" s="61"/>
      <c r="X802" s="61"/>
      <c r="Y802" s="61"/>
      <c r="Z802" s="61"/>
      <c r="AA802" s="61"/>
      <c r="AB802" s="61"/>
      <c r="AC802" s="61"/>
      <c r="AD802" s="61"/>
      <c r="AE802" s="61"/>
      <c r="AF802" s="61"/>
      <c r="AG802" s="61"/>
      <c r="AH802" s="61"/>
    </row>
    <row r="803">
      <c r="A803" s="65"/>
      <c r="B803" s="65"/>
      <c r="C803" s="65"/>
      <c r="D803" s="66"/>
      <c r="E803" s="65"/>
      <c r="F803" s="65"/>
      <c r="G803" s="65"/>
      <c r="H803" s="65"/>
      <c r="I803" s="65"/>
      <c r="J803" s="65"/>
      <c r="K803" s="65"/>
      <c r="L803" s="65"/>
      <c r="M803" s="65"/>
      <c r="N803" s="65"/>
      <c r="O803" s="67"/>
      <c r="P803" s="65"/>
      <c r="Q803" s="65"/>
      <c r="R803" s="65"/>
      <c r="S803" s="65"/>
      <c r="T803" s="65"/>
      <c r="U803" s="65"/>
      <c r="V803" s="68"/>
      <c r="W803" s="65"/>
      <c r="X803" s="65"/>
      <c r="Y803" s="65"/>
      <c r="Z803" s="65"/>
      <c r="AA803" s="65"/>
      <c r="AB803" s="65"/>
      <c r="AC803" s="65"/>
      <c r="AD803" s="65"/>
      <c r="AE803" s="65"/>
      <c r="AF803" s="65"/>
      <c r="AG803" s="65"/>
      <c r="AH803" s="65"/>
    </row>
    <row r="804">
      <c r="A804" s="61"/>
      <c r="B804" s="61"/>
      <c r="C804" s="61"/>
      <c r="D804" s="62"/>
      <c r="E804" s="61"/>
      <c r="F804" s="61"/>
      <c r="G804" s="61"/>
      <c r="H804" s="61"/>
      <c r="I804" s="61"/>
      <c r="J804" s="61"/>
      <c r="K804" s="61"/>
      <c r="L804" s="61"/>
      <c r="M804" s="61"/>
      <c r="N804" s="61"/>
      <c r="O804" s="63"/>
      <c r="P804" s="61"/>
      <c r="Q804" s="61"/>
      <c r="R804" s="61"/>
      <c r="S804" s="61"/>
      <c r="T804" s="61"/>
      <c r="U804" s="61"/>
      <c r="V804" s="64"/>
      <c r="W804" s="61"/>
      <c r="X804" s="61"/>
      <c r="Y804" s="61"/>
      <c r="Z804" s="61"/>
      <c r="AA804" s="61"/>
      <c r="AB804" s="61"/>
      <c r="AC804" s="61"/>
      <c r="AD804" s="61"/>
      <c r="AE804" s="61"/>
      <c r="AF804" s="61"/>
      <c r="AG804" s="61"/>
      <c r="AH804" s="61"/>
    </row>
    <row r="805">
      <c r="A805" s="65"/>
      <c r="B805" s="65"/>
      <c r="C805" s="65"/>
      <c r="D805" s="66"/>
      <c r="E805" s="65"/>
      <c r="F805" s="65"/>
      <c r="G805" s="65"/>
      <c r="H805" s="65"/>
      <c r="I805" s="65"/>
      <c r="J805" s="65"/>
      <c r="K805" s="65"/>
      <c r="L805" s="65"/>
      <c r="M805" s="65"/>
      <c r="N805" s="65"/>
      <c r="O805" s="67"/>
      <c r="P805" s="65"/>
      <c r="Q805" s="65"/>
      <c r="R805" s="65"/>
      <c r="S805" s="65"/>
      <c r="T805" s="65"/>
      <c r="U805" s="65"/>
      <c r="V805" s="68"/>
      <c r="W805" s="65"/>
      <c r="X805" s="65"/>
      <c r="Y805" s="65"/>
      <c r="Z805" s="65"/>
      <c r="AA805" s="65"/>
      <c r="AB805" s="65"/>
      <c r="AC805" s="65"/>
      <c r="AD805" s="65"/>
      <c r="AE805" s="65"/>
      <c r="AF805" s="65"/>
      <c r="AG805" s="65"/>
      <c r="AH805" s="65"/>
    </row>
    <row r="806">
      <c r="A806" s="61"/>
      <c r="B806" s="61"/>
      <c r="C806" s="61"/>
      <c r="D806" s="62"/>
      <c r="E806" s="61"/>
      <c r="F806" s="61"/>
      <c r="G806" s="61"/>
      <c r="H806" s="61"/>
      <c r="I806" s="61"/>
      <c r="J806" s="61"/>
      <c r="K806" s="61"/>
      <c r="L806" s="61"/>
      <c r="M806" s="61"/>
      <c r="N806" s="61"/>
      <c r="O806" s="63"/>
      <c r="P806" s="61"/>
      <c r="Q806" s="61"/>
      <c r="R806" s="61"/>
      <c r="S806" s="61"/>
      <c r="T806" s="61"/>
      <c r="U806" s="61"/>
      <c r="V806" s="64"/>
      <c r="W806" s="61"/>
      <c r="X806" s="61"/>
      <c r="Y806" s="61"/>
      <c r="Z806" s="61"/>
      <c r="AA806" s="61"/>
      <c r="AB806" s="61"/>
      <c r="AC806" s="61"/>
      <c r="AD806" s="61"/>
      <c r="AE806" s="61"/>
      <c r="AF806" s="61"/>
      <c r="AG806" s="61"/>
      <c r="AH806" s="61"/>
    </row>
    <row r="807">
      <c r="A807" s="65"/>
      <c r="B807" s="65"/>
      <c r="C807" s="65"/>
      <c r="D807" s="66"/>
      <c r="E807" s="65"/>
      <c r="F807" s="65"/>
      <c r="G807" s="65"/>
      <c r="H807" s="65"/>
      <c r="I807" s="65"/>
      <c r="J807" s="65"/>
      <c r="K807" s="65"/>
      <c r="L807" s="65"/>
      <c r="M807" s="65"/>
      <c r="N807" s="65"/>
      <c r="O807" s="67"/>
      <c r="P807" s="65"/>
      <c r="Q807" s="65"/>
      <c r="R807" s="65"/>
      <c r="S807" s="65"/>
      <c r="T807" s="65"/>
      <c r="U807" s="65"/>
      <c r="V807" s="68"/>
      <c r="W807" s="65"/>
      <c r="X807" s="65"/>
      <c r="Y807" s="65"/>
      <c r="Z807" s="65"/>
      <c r="AA807" s="65"/>
      <c r="AB807" s="65"/>
      <c r="AC807" s="65"/>
      <c r="AD807" s="65"/>
      <c r="AE807" s="65"/>
      <c r="AF807" s="65"/>
      <c r="AG807" s="65"/>
      <c r="AH807" s="65"/>
    </row>
    <row r="808">
      <c r="A808" s="61"/>
      <c r="B808" s="61"/>
      <c r="C808" s="61"/>
      <c r="D808" s="62"/>
      <c r="E808" s="61"/>
      <c r="F808" s="61"/>
      <c r="G808" s="61"/>
      <c r="H808" s="61"/>
      <c r="I808" s="61"/>
      <c r="J808" s="61"/>
      <c r="K808" s="61"/>
      <c r="L808" s="61"/>
      <c r="M808" s="61"/>
      <c r="N808" s="61"/>
      <c r="O808" s="63"/>
      <c r="P808" s="61"/>
      <c r="Q808" s="61"/>
      <c r="R808" s="61"/>
      <c r="S808" s="61"/>
      <c r="T808" s="61"/>
      <c r="U808" s="61"/>
      <c r="V808" s="64"/>
      <c r="W808" s="61"/>
      <c r="X808" s="61"/>
      <c r="Y808" s="61"/>
      <c r="Z808" s="61"/>
      <c r="AA808" s="61"/>
      <c r="AB808" s="61"/>
      <c r="AC808" s="61"/>
      <c r="AD808" s="61"/>
      <c r="AE808" s="61"/>
      <c r="AF808" s="61"/>
      <c r="AG808" s="61"/>
      <c r="AH808" s="61"/>
    </row>
    <row r="809">
      <c r="A809" s="65"/>
      <c r="B809" s="65"/>
      <c r="C809" s="65"/>
      <c r="D809" s="66"/>
      <c r="E809" s="65"/>
      <c r="F809" s="65"/>
      <c r="G809" s="65"/>
      <c r="H809" s="65"/>
      <c r="I809" s="65"/>
      <c r="J809" s="65"/>
      <c r="K809" s="65"/>
      <c r="L809" s="65"/>
      <c r="M809" s="65"/>
      <c r="N809" s="65"/>
      <c r="O809" s="67"/>
      <c r="P809" s="65"/>
      <c r="Q809" s="65"/>
      <c r="R809" s="65"/>
      <c r="S809" s="65"/>
      <c r="T809" s="65"/>
      <c r="U809" s="65"/>
      <c r="V809" s="68"/>
      <c r="W809" s="65"/>
      <c r="X809" s="65"/>
      <c r="Y809" s="65"/>
      <c r="Z809" s="65"/>
      <c r="AA809" s="65"/>
      <c r="AB809" s="65"/>
      <c r="AC809" s="65"/>
      <c r="AD809" s="65"/>
      <c r="AE809" s="65"/>
      <c r="AF809" s="65"/>
      <c r="AG809" s="65"/>
      <c r="AH809" s="65"/>
    </row>
    <row r="810">
      <c r="A810" s="61"/>
      <c r="B810" s="61"/>
      <c r="C810" s="61"/>
      <c r="D810" s="62"/>
      <c r="E810" s="61"/>
      <c r="F810" s="61"/>
      <c r="G810" s="61"/>
      <c r="H810" s="61"/>
      <c r="I810" s="61"/>
      <c r="J810" s="61"/>
      <c r="K810" s="61"/>
      <c r="L810" s="61"/>
      <c r="M810" s="61"/>
      <c r="N810" s="61"/>
      <c r="O810" s="63"/>
      <c r="P810" s="61"/>
      <c r="Q810" s="61"/>
      <c r="R810" s="61"/>
      <c r="S810" s="61"/>
      <c r="T810" s="61"/>
      <c r="U810" s="61"/>
      <c r="V810" s="64"/>
      <c r="W810" s="61"/>
      <c r="X810" s="61"/>
      <c r="Y810" s="61"/>
      <c r="Z810" s="61"/>
      <c r="AA810" s="61"/>
      <c r="AB810" s="61"/>
      <c r="AC810" s="61"/>
      <c r="AD810" s="61"/>
      <c r="AE810" s="61"/>
      <c r="AF810" s="61"/>
      <c r="AG810" s="61"/>
      <c r="AH810" s="61"/>
    </row>
    <row r="811">
      <c r="A811" s="65"/>
      <c r="B811" s="65"/>
      <c r="C811" s="65"/>
      <c r="D811" s="66"/>
      <c r="E811" s="65"/>
      <c r="F811" s="65"/>
      <c r="G811" s="65"/>
      <c r="H811" s="65"/>
      <c r="I811" s="65"/>
      <c r="J811" s="65"/>
      <c r="K811" s="65"/>
      <c r="L811" s="65"/>
      <c r="M811" s="65"/>
      <c r="N811" s="65"/>
      <c r="O811" s="67"/>
      <c r="P811" s="65"/>
      <c r="Q811" s="65"/>
      <c r="R811" s="65"/>
      <c r="S811" s="65"/>
      <c r="T811" s="65"/>
      <c r="U811" s="65"/>
      <c r="V811" s="68"/>
      <c r="W811" s="65"/>
      <c r="X811" s="65"/>
      <c r="Y811" s="65"/>
      <c r="Z811" s="65"/>
      <c r="AA811" s="65"/>
      <c r="AB811" s="65"/>
      <c r="AC811" s="65"/>
      <c r="AD811" s="65"/>
      <c r="AE811" s="65"/>
      <c r="AF811" s="65"/>
      <c r="AG811" s="65"/>
      <c r="AH811" s="65"/>
    </row>
    <row r="812">
      <c r="A812" s="61"/>
      <c r="B812" s="61"/>
      <c r="C812" s="61"/>
      <c r="D812" s="62"/>
      <c r="E812" s="61"/>
      <c r="F812" s="61"/>
      <c r="G812" s="61"/>
      <c r="H812" s="61"/>
      <c r="I812" s="61"/>
      <c r="J812" s="61"/>
      <c r="K812" s="61"/>
      <c r="L812" s="61"/>
      <c r="M812" s="61"/>
      <c r="N812" s="61"/>
      <c r="O812" s="63"/>
      <c r="P812" s="61"/>
      <c r="Q812" s="61"/>
      <c r="R812" s="61"/>
      <c r="S812" s="61"/>
      <c r="T812" s="61"/>
      <c r="U812" s="61"/>
      <c r="V812" s="64"/>
      <c r="W812" s="61"/>
      <c r="X812" s="61"/>
      <c r="Y812" s="61"/>
      <c r="Z812" s="61"/>
      <c r="AA812" s="61"/>
      <c r="AB812" s="61"/>
      <c r="AC812" s="61"/>
      <c r="AD812" s="61"/>
      <c r="AE812" s="61"/>
      <c r="AF812" s="61"/>
      <c r="AG812" s="61"/>
      <c r="AH812" s="61"/>
    </row>
    <row r="813">
      <c r="A813" s="65"/>
      <c r="B813" s="65"/>
      <c r="C813" s="65"/>
      <c r="D813" s="66"/>
      <c r="E813" s="65"/>
      <c r="F813" s="65"/>
      <c r="G813" s="65"/>
      <c r="H813" s="65"/>
      <c r="I813" s="65"/>
      <c r="J813" s="65"/>
      <c r="K813" s="65"/>
      <c r="L813" s="65"/>
      <c r="M813" s="65"/>
      <c r="N813" s="65"/>
      <c r="O813" s="67"/>
      <c r="P813" s="65"/>
      <c r="Q813" s="65"/>
      <c r="R813" s="65"/>
      <c r="S813" s="65"/>
      <c r="T813" s="65"/>
      <c r="U813" s="65"/>
      <c r="V813" s="68"/>
      <c r="W813" s="65"/>
      <c r="X813" s="65"/>
      <c r="Y813" s="65"/>
      <c r="Z813" s="65"/>
      <c r="AA813" s="65"/>
      <c r="AB813" s="65"/>
      <c r="AC813" s="65"/>
      <c r="AD813" s="65"/>
      <c r="AE813" s="65"/>
      <c r="AF813" s="65"/>
      <c r="AG813" s="65"/>
      <c r="AH813" s="65"/>
    </row>
    <row r="814">
      <c r="A814" s="61"/>
      <c r="B814" s="61"/>
      <c r="C814" s="61"/>
      <c r="D814" s="62"/>
      <c r="E814" s="61"/>
      <c r="F814" s="61"/>
      <c r="G814" s="61"/>
      <c r="H814" s="61"/>
      <c r="I814" s="61"/>
      <c r="J814" s="61"/>
      <c r="K814" s="61"/>
      <c r="L814" s="61"/>
      <c r="M814" s="61"/>
      <c r="N814" s="61"/>
      <c r="O814" s="63"/>
      <c r="P814" s="61"/>
      <c r="Q814" s="61"/>
      <c r="R814" s="61"/>
      <c r="S814" s="61"/>
      <c r="T814" s="61"/>
      <c r="U814" s="61"/>
      <c r="V814" s="64"/>
      <c r="W814" s="61"/>
      <c r="X814" s="61"/>
      <c r="Y814" s="61"/>
      <c r="Z814" s="61"/>
      <c r="AA814" s="61"/>
      <c r="AB814" s="61"/>
      <c r="AC814" s="61"/>
      <c r="AD814" s="61"/>
      <c r="AE814" s="61"/>
      <c r="AF814" s="61"/>
      <c r="AG814" s="61"/>
      <c r="AH814" s="61"/>
    </row>
    <row r="815">
      <c r="A815" s="65"/>
      <c r="B815" s="65"/>
      <c r="C815" s="65"/>
      <c r="D815" s="66"/>
      <c r="E815" s="65"/>
      <c r="F815" s="65"/>
      <c r="G815" s="65"/>
      <c r="H815" s="65"/>
      <c r="I815" s="65"/>
      <c r="J815" s="65"/>
      <c r="K815" s="65"/>
      <c r="L815" s="65"/>
      <c r="M815" s="65"/>
      <c r="N815" s="65"/>
      <c r="O815" s="67"/>
      <c r="P815" s="65"/>
      <c r="Q815" s="65"/>
      <c r="R815" s="65"/>
      <c r="S815" s="65"/>
      <c r="T815" s="65"/>
      <c r="U815" s="65"/>
      <c r="V815" s="68"/>
      <c r="W815" s="65"/>
      <c r="X815" s="65"/>
      <c r="Y815" s="65"/>
      <c r="Z815" s="65"/>
      <c r="AA815" s="65"/>
      <c r="AB815" s="65"/>
      <c r="AC815" s="65"/>
      <c r="AD815" s="65"/>
      <c r="AE815" s="65"/>
      <c r="AF815" s="65"/>
      <c r="AG815" s="65"/>
      <c r="AH815" s="65"/>
    </row>
    <row r="816">
      <c r="A816" s="61"/>
      <c r="B816" s="61"/>
      <c r="C816" s="61"/>
      <c r="D816" s="62"/>
      <c r="E816" s="61"/>
      <c r="F816" s="61"/>
      <c r="G816" s="61"/>
      <c r="H816" s="61"/>
      <c r="I816" s="61"/>
      <c r="J816" s="61"/>
      <c r="K816" s="61"/>
      <c r="L816" s="61"/>
      <c r="M816" s="61"/>
      <c r="N816" s="61"/>
      <c r="O816" s="63"/>
      <c r="P816" s="61"/>
      <c r="Q816" s="61"/>
      <c r="R816" s="61"/>
      <c r="S816" s="61"/>
      <c r="T816" s="61"/>
      <c r="U816" s="61"/>
      <c r="V816" s="64"/>
      <c r="W816" s="61"/>
      <c r="X816" s="61"/>
      <c r="Y816" s="61"/>
      <c r="Z816" s="61"/>
      <c r="AA816" s="61"/>
      <c r="AB816" s="61"/>
      <c r="AC816" s="61"/>
      <c r="AD816" s="61"/>
      <c r="AE816" s="61"/>
      <c r="AF816" s="61"/>
      <c r="AG816" s="61"/>
      <c r="AH816" s="61"/>
    </row>
    <row r="817">
      <c r="A817" s="65"/>
      <c r="B817" s="65"/>
      <c r="C817" s="65"/>
      <c r="D817" s="66"/>
      <c r="E817" s="65"/>
      <c r="F817" s="65"/>
      <c r="G817" s="65"/>
      <c r="H817" s="65"/>
      <c r="I817" s="65"/>
      <c r="J817" s="65"/>
      <c r="K817" s="65"/>
      <c r="L817" s="65"/>
      <c r="M817" s="65"/>
      <c r="N817" s="65"/>
      <c r="O817" s="67"/>
      <c r="P817" s="65"/>
      <c r="Q817" s="65"/>
      <c r="R817" s="65"/>
      <c r="S817" s="65"/>
      <c r="T817" s="65"/>
      <c r="U817" s="65"/>
      <c r="V817" s="68"/>
      <c r="W817" s="65"/>
      <c r="X817" s="65"/>
      <c r="Y817" s="65"/>
      <c r="Z817" s="65"/>
      <c r="AA817" s="65"/>
      <c r="AB817" s="65"/>
      <c r="AC817" s="65"/>
      <c r="AD817" s="65"/>
      <c r="AE817" s="65"/>
      <c r="AF817" s="65"/>
      <c r="AG817" s="65"/>
      <c r="AH817" s="65"/>
    </row>
    <row r="818">
      <c r="A818" s="61"/>
      <c r="B818" s="61"/>
      <c r="C818" s="61"/>
      <c r="D818" s="62"/>
      <c r="E818" s="61"/>
      <c r="F818" s="61"/>
      <c r="G818" s="61"/>
      <c r="H818" s="61"/>
      <c r="I818" s="61"/>
      <c r="J818" s="61"/>
      <c r="K818" s="61"/>
      <c r="L818" s="61"/>
      <c r="M818" s="61"/>
      <c r="N818" s="61"/>
      <c r="O818" s="63"/>
      <c r="P818" s="61"/>
      <c r="Q818" s="61"/>
      <c r="R818" s="61"/>
      <c r="S818" s="61"/>
      <c r="T818" s="61"/>
      <c r="U818" s="61"/>
      <c r="V818" s="64"/>
      <c r="W818" s="61"/>
      <c r="X818" s="61"/>
      <c r="Y818" s="61"/>
      <c r="Z818" s="61"/>
      <c r="AA818" s="61"/>
      <c r="AB818" s="61"/>
      <c r="AC818" s="61"/>
      <c r="AD818" s="61"/>
      <c r="AE818" s="61"/>
      <c r="AF818" s="61"/>
      <c r="AG818" s="61"/>
      <c r="AH818" s="61"/>
    </row>
    <row r="819">
      <c r="A819" s="65"/>
      <c r="B819" s="65"/>
      <c r="C819" s="65"/>
      <c r="D819" s="66"/>
      <c r="E819" s="65"/>
      <c r="F819" s="65"/>
      <c r="G819" s="65"/>
      <c r="H819" s="65"/>
      <c r="I819" s="65"/>
      <c r="J819" s="65"/>
      <c r="K819" s="65"/>
      <c r="L819" s="65"/>
      <c r="M819" s="65"/>
      <c r="N819" s="65"/>
      <c r="O819" s="67"/>
      <c r="P819" s="65"/>
      <c r="Q819" s="65"/>
      <c r="R819" s="65"/>
      <c r="S819" s="65"/>
      <c r="T819" s="65"/>
      <c r="U819" s="65"/>
      <c r="V819" s="68"/>
      <c r="W819" s="65"/>
      <c r="X819" s="65"/>
      <c r="Y819" s="65"/>
      <c r="Z819" s="65"/>
      <c r="AA819" s="65"/>
      <c r="AB819" s="65"/>
      <c r="AC819" s="65"/>
      <c r="AD819" s="65"/>
      <c r="AE819" s="65"/>
      <c r="AF819" s="65"/>
      <c r="AG819" s="65"/>
      <c r="AH819" s="65"/>
    </row>
    <row r="820">
      <c r="A820" s="61"/>
      <c r="B820" s="61"/>
      <c r="C820" s="61"/>
      <c r="D820" s="62"/>
      <c r="E820" s="61"/>
      <c r="F820" s="61"/>
      <c r="G820" s="61"/>
      <c r="H820" s="61"/>
      <c r="I820" s="61"/>
      <c r="J820" s="61"/>
      <c r="K820" s="61"/>
      <c r="L820" s="61"/>
      <c r="M820" s="61"/>
      <c r="N820" s="61"/>
      <c r="O820" s="63"/>
      <c r="P820" s="61"/>
      <c r="Q820" s="61"/>
      <c r="R820" s="61"/>
      <c r="S820" s="61"/>
      <c r="T820" s="61"/>
      <c r="U820" s="61"/>
      <c r="V820" s="64"/>
      <c r="W820" s="61"/>
      <c r="X820" s="61"/>
      <c r="Y820" s="61"/>
      <c r="Z820" s="61"/>
      <c r="AA820" s="61"/>
      <c r="AB820" s="61"/>
      <c r="AC820" s="61"/>
      <c r="AD820" s="61"/>
      <c r="AE820" s="61"/>
      <c r="AF820" s="61"/>
      <c r="AG820" s="61"/>
      <c r="AH820" s="61"/>
    </row>
    <row r="821">
      <c r="A821" s="65"/>
      <c r="B821" s="65"/>
      <c r="C821" s="65"/>
      <c r="D821" s="66"/>
      <c r="E821" s="65"/>
      <c r="F821" s="65"/>
      <c r="G821" s="65"/>
      <c r="H821" s="65"/>
      <c r="I821" s="65"/>
      <c r="J821" s="65"/>
      <c r="K821" s="65"/>
      <c r="L821" s="65"/>
      <c r="M821" s="65"/>
      <c r="N821" s="65"/>
      <c r="O821" s="67"/>
      <c r="P821" s="65"/>
      <c r="Q821" s="65"/>
      <c r="R821" s="65"/>
      <c r="S821" s="65"/>
      <c r="T821" s="65"/>
      <c r="U821" s="65"/>
      <c r="V821" s="68"/>
      <c r="W821" s="65"/>
      <c r="X821" s="65"/>
      <c r="Y821" s="65"/>
      <c r="Z821" s="65"/>
      <c r="AA821" s="65"/>
      <c r="AB821" s="65"/>
      <c r="AC821" s="65"/>
      <c r="AD821" s="65"/>
      <c r="AE821" s="65"/>
      <c r="AF821" s="65"/>
      <c r="AG821" s="65"/>
      <c r="AH821" s="65"/>
    </row>
    <row r="822">
      <c r="A822" s="61"/>
      <c r="B822" s="61"/>
      <c r="C822" s="61"/>
      <c r="D822" s="62"/>
      <c r="E822" s="61"/>
      <c r="F822" s="61"/>
      <c r="G822" s="61"/>
      <c r="H822" s="61"/>
      <c r="I822" s="61"/>
      <c r="J822" s="61"/>
      <c r="K822" s="61"/>
      <c r="L822" s="61"/>
      <c r="M822" s="61"/>
      <c r="N822" s="61"/>
      <c r="O822" s="63"/>
      <c r="P822" s="61"/>
      <c r="Q822" s="61"/>
      <c r="R822" s="61"/>
      <c r="S822" s="61"/>
      <c r="T822" s="61"/>
      <c r="U822" s="61"/>
      <c r="V822" s="64"/>
      <c r="W822" s="61"/>
      <c r="X822" s="61"/>
      <c r="Y822" s="61"/>
      <c r="Z822" s="61"/>
      <c r="AA822" s="61"/>
      <c r="AB822" s="61"/>
      <c r="AC822" s="61"/>
      <c r="AD822" s="61"/>
      <c r="AE822" s="61"/>
      <c r="AF822" s="61"/>
      <c r="AG822" s="61"/>
      <c r="AH822" s="61"/>
    </row>
    <row r="823">
      <c r="A823" s="65"/>
      <c r="B823" s="65"/>
      <c r="C823" s="65"/>
      <c r="D823" s="66"/>
      <c r="E823" s="65"/>
      <c r="F823" s="65"/>
      <c r="G823" s="65"/>
      <c r="H823" s="65"/>
      <c r="I823" s="65"/>
      <c r="J823" s="65"/>
      <c r="K823" s="65"/>
      <c r="L823" s="65"/>
      <c r="M823" s="65"/>
      <c r="N823" s="65"/>
      <c r="O823" s="67"/>
      <c r="P823" s="65"/>
      <c r="Q823" s="65"/>
      <c r="R823" s="65"/>
      <c r="S823" s="65"/>
      <c r="T823" s="65"/>
      <c r="U823" s="65"/>
      <c r="V823" s="68"/>
      <c r="W823" s="65"/>
      <c r="X823" s="65"/>
      <c r="Y823" s="65"/>
      <c r="Z823" s="65"/>
      <c r="AA823" s="65"/>
      <c r="AB823" s="65"/>
      <c r="AC823" s="65"/>
      <c r="AD823" s="65"/>
      <c r="AE823" s="65"/>
      <c r="AF823" s="65"/>
      <c r="AG823" s="65"/>
      <c r="AH823" s="65"/>
    </row>
    <row r="824">
      <c r="A824" s="61"/>
      <c r="B824" s="61"/>
      <c r="C824" s="61"/>
      <c r="D824" s="62"/>
      <c r="E824" s="61"/>
      <c r="F824" s="61"/>
      <c r="G824" s="61"/>
      <c r="H824" s="61"/>
      <c r="I824" s="61"/>
      <c r="J824" s="61"/>
      <c r="K824" s="61"/>
      <c r="L824" s="61"/>
      <c r="M824" s="61"/>
      <c r="N824" s="61"/>
      <c r="O824" s="63"/>
      <c r="P824" s="61"/>
      <c r="Q824" s="61"/>
      <c r="R824" s="61"/>
      <c r="S824" s="61"/>
      <c r="T824" s="61"/>
      <c r="U824" s="61"/>
      <c r="V824" s="64"/>
      <c r="W824" s="61"/>
      <c r="X824" s="61"/>
      <c r="Y824" s="61"/>
      <c r="Z824" s="61"/>
      <c r="AA824" s="61"/>
      <c r="AB824" s="61"/>
      <c r="AC824" s="61"/>
      <c r="AD824" s="61"/>
      <c r="AE824" s="61"/>
      <c r="AF824" s="61"/>
      <c r="AG824" s="61"/>
      <c r="AH824" s="61"/>
    </row>
    <row r="825">
      <c r="A825" s="65"/>
      <c r="B825" s="65"/>
      <c r="C825" s="65"/>
      <c r="D825" s="66"/>
      <c r="E825" s="65"/>
      <c r="F825" s="65"/>
      <c r="G825" s="65"/>
      <c r="H825" s="65"/>
      <c r="I825" s="65"/>
      <c r="J825" s="65"/>
      <c r="K825" s="65"/>
      <c r="L825" s="65"/>
      <c r="M825" s="65"/>
      <c r="N825" s="65"/>
      <c r="O825" s="67"/>
      <c r="P825" s="65"/>
      <c r="Q825" s="65"/>
      <c r="R825" s="65"/>
      <c r="S825" s="65"/>
      <c r="T825" s="65"/>
      <c r="U825" s="65"/>
      <c r="V825" s="68"/>
      <c r="W825" s="65"/>
      <c r="X825" s="65"/>
      <c r="Y825" s="65"/>
      <c r="Z825" s="65"/>
      <c r="AA825" s="65"/>
      <c r="AB825" s="65"/>
      <c r="AC825" s="65"/>
      <c r="AD825" s="65"/>
      <c r="AE825" s="65"/>
      <c r="AF825" s="65"/>
      <c r="AG825" s="65"/>
      <c r="AH825" s="65"/>
    </row>
    <row r="826">
      <c r="A826" s="61"/>
      <c r="B826" s="61"/>
      <c r="C826" s="61"/>
      <c r="D826" s="62"/>
      <c r="E826" s="61"/>
      <c r="F826" s="61"/>
      <c r="G826" s="61"/>
      <c r="H826" s="61"/>
      <c r="I826" s="61"/>
      <c r="J826" s="61"/>
      <c r="K826" s="61"/>
      <c r="L826" s="61"/>
      <c r="M826" s="61"/>
      <c r="N826" s="61"/>
      <c r="O826" s="63"/>
      <c r="P826" s="61"/>
      <c r="Q826" s="61"/>
      <c r="R826" s="61"/>
      <c r="S826" s="61"/>
      <c r="T826" s="61"/>
      <c r="U826" s="61"/>
      <c r="V826" s="64"/>
      <c r="W826" s="61"/>
      <c r="X826" s="61"/>
      <c r="Y826" s="61"/>
      <c r="Z826" s="61"/>
      <c r="AA826" s="61"/>
      <c r="AB826" s="61"/>
      <c r="AC826" s="61"/>
      <c r="AD826" s="61"/>
      <c r="AE826" s="61"/>
      <c r="AF826" s="61"/>
      <c r="AG826" s="61"/>
      <c r="AH826" s="61"/>
    </row>
    <row r="827">
      <c r="A827" s="65"/>
      <c r="B827" s="65"/>
      <c r="C827" s="65"/>
      <c r="D827" s="66"/>
      <c r="E827" s="65"/>
      <c r="F827" s="65"/>
      <c r="G827" s="65"/>
      <c r="H827" s="65"/>
      <c r="I827" s="65"/>
      <c r="J827" s="65"/>
      <c r="K827" s="65"/>
      <c r="L827" s="65"/>
      <c r="M827" s="65"/>
      <c r="N827" s="65"/>
      <c r="O827" s="67"/>
      <c r="P827" s="65"/>
      <c r="Q827" s="65"/>
      <c r="R827" s="65"/>
      <c r="S827" s="65"/>
      <c r="T827" s="65"/>
      <c r="U827" s="65"/>
      <c r="V827" s="68"/>
      <c r="W827" s="65"/>
      <c r="X827" s="65"/>
      <c r="Y827" s="65"/>
      <c r="Z827" s="65"/>
      <c r="AA827" s="65"/>
      <c r="AB827" s="65"/>
      <c r="AC827" s="65"/>
      <c r="AD827" s="65"/>
      <c r="AE827" s="65"/>
      <c r="AF827" s="65"/>
      <c r="AG827" s="65"/>
      <c r="AH827" s="65"/>
    </row>
    <row r="828">
      <c r="A828" s="61"/>
      <c r="B828" s="61"/>
      <c r="C828" s="61"/>
      <c r="D828" s="62"/>
      <c r="E828" s="61"/>
      <c r="F828" s="61"/>
      <c r="G828" s="61"/>
      <c r="H828" s="61"/>
      <c r="I828" s="61"/>
      <c r="J828" s="61"/>
      <c r="K828" s="61"/>
      <c r="L828" s="61"/>
      <c r="M828" s="61"/>
      <c r="N828" s="61"/>
      <c r="O828" s="63"/>
      <c r="P828" s="61"/>
      <c r="Q828" s="61"/>
      <c r="R828" s="61"/>
      <c r="S828" s="61"/>
      <c r="T828" s="61"/>
      <c r="U828" s="61"/>
      <c r="V828" s="64"/>
      <c r="W828" s="61"/>
      <c r="X828" s="61"/>
      <c r="Y828" s="61"/>
      <c r="Z828" s="61"/>
      <c r="AA828" s="61"/>
      <c r="AB828" s="61"/>
      <c r="AC828" s="61"/>
      <c r="AD828" s="61"/>
      <c r="AE828" s="61"/>
      <c r="AF828" s="61"/>
      <c r="AG828" s="61"/>
      <c r="AH828" s="61"/>
    </row>
    <row r="829">
      <c r="A829" s="65"/>
      <c r="B829" s="65"/>
      <c r="C829" s="65"/>
      <c r="D829" s="66"/>
      <c r="E829" s="65"/>
      <c r="F829" s="65"/>
      <c r="G829" s="65"/>
      <c r="H829" s="65"/>
      <c r="I829" s="65"/>
      <c r="J829" s="65"/>
      <c r="K829" s="65"/>
      <c r="L829" s="65"/>
      <c r="M829" s="65"/>
      <c r="N829" s="65"/>
      <c r="O829" s="67"/>
      <c r="P829" s="65"/>
      <c r="Q829" s="65"/>
      <c r="R829" s="65"/>
      <c r="S829" s="65"/>
      <c r="T829" s="65"/>
      <c r="U829" s="65"/>
      <c r="V829" s="68"/>
      <c r="W829" s="65"/>
      <c r="X829" s="65"/>
      <c r="Y829" s="65"/>
      <c r="Z829" s="65"/>
      <c r="AA829" s="65"/>
      <c r="AB829" s="65"/>
      <c r="AC829" s="65"/>
      <c r="AD829" s="65"/>
      <c r="AE829" s="65"/>
      <c r="AF829" s="65"/>
      <c r="AG829" s="65"/>
      <c r="AH829" s="65"/>
    </row>
    <row r="830">
      <c r="A830" s="61"/>
      <c r="B830" s="61"/>
      <c r="C830" s="61"/>
      <c r="D830" s="62"/>
      <c r="E830" s="61"/>
      <c r="F830" s="61"/>
      <c r="G830" s="61"/>
      <c r="H830" s="61"/>
      <c r="I830" s="61"/>
      <c r="J830" s="61"/>
      <c r="K830" s="61"/>
      <c r="L830" s="61"/>
      <c r="M830" s="61"/>
      <c r="N830" s="61"/>
      <c r="O830" s="63"/>
      <c r="P830" s="61"/>
      <c r="Q830" s="61"/>
      <c r="R830" s="61"/>
      <c r="S830" s="61"/>
      <c r="T830" s="61"/>
      <c r="U830" s="61"/>
      <c r="V830" s="64"/>
      <c r="W830" s="61"/>
      <c r="X830" s="61"/>
      <c r="Y830" s="61"/>
      <c r="Z830" s="61"/>
      <c r="AA830" s="61"/>
      <c r="AB830" s="61"/>
      <c r="AC830" s="61"/>
      <c r="AD830" s="61"/>
      <c r="AE830" s="61"/>
      <c r="AF830" s="61"/>
      <c r="AG830" s="61"/>
      <c r="AH830" s="61"/>
    </row>
    <row r="831">
      <c r="A831" s="65"/>
      <c r="B831" s="65"/>
      <c r="C831" s="65"/>
      <c r="D831" s="66"/>
      <c r="E831" s="65"/>
      <c r="F831" s="65"/>
      <c r="G831" s="65"/>
      <c r="H831" s="65"/>
      <c r="I831" s="65"/>
      <c r="J831" s="65"/>
      <c r="K831" s="65"/>
      <c r="L831" s="65"/>
      <c r="M831" s="65"/>
      <c r="N831" s="65"/>
      <c r="O831" s="67"/>
      <c r="P831" s="65"/>
      <c r="Q831" s="65"/>
      <c r="R831" s="65"/>
      <c r="S831" s="65"/>
      <c r="T831" s="65"/>
      <c r="U831" s="65"/>
      <c r="V831" s="68"/>
      <c r="W831" s="65"/>
      <c r="X831" s="65"/>
      <c r="Y831" s="65"/>
      <c r="Z831" s="65"/>
      <c r="AA831" s="65"/>
      <c r="AB831" s="65"/>
      <c r="AC831" s="65"/>
      <c r="AD831" s="65"/>
      <c r="AE831" s="65"/>
      <c r="AF831" s="65"/>
      <c r="AG831" s="65"/>
      <c r="AH831" s="65"/>
    </row>
    <row r="832">
      <c r="A832" s="61"/>
      <c r="B832" s="61"/>
      <c r="C832" s="61"/>
      <c r="D832" s="62"/>
      <c r="E832" s="61"/>
      <c r="F832" s="61"/>
      <c r="G832" s="61"/>
      <c r="H832" s="61"/>
      <c r="I832" s="61"/>
      <c r="J832" s="61"/>
      <c r="K832" s="61"/>
      <c r="L832" s="61"/>
      <c r="M832" s="61"/>
      <c r="N832" s="61"/>
      <c r="O832" s="63"/>
      <c r="P832" s="61"/>
      <c r="Q832" s="61"/>
      <c r="R832" s="61"/>
      <c r="S832" s="61"/>
      <c r="T832" s="61"/>
      <c r="U832" s="61"/>
      <c r="V832" s="64"/>
      <c r="W832" s="61"/>
      <c r="X832" s="61"/>
      <c r="Y832" s="61"/>
      <c r="Z832" s="61"/>
      <c r="AA832" s="61"/>
      <c r="AB832" s="61"/>
      <c r="AC832" s="61"/>
      <c r="AD832" s="61"/>
      <c r="AE832" s="61"/>
      <c r="AF832" s="61"/>
      <c r="AG832" s="61"/>
      <c r="AH832" s="61"/>
    </row>
    <row r="833">
      <c r="A833" s="65"/>
      <c r="B833" s="65"/>
      <c r="C833" s="65"/>
      <c r="D833" s="66"/>
      <c r="E833" s="65"/>
      <c r="F833" s="65"/>
      <c r="G833" s="65"/>
      <c r="H833" s="65"/>
      <c r="I833" s="65"/>
      <c r="J833" s="65"/>
      <c r="K833" s="65"/>
      <c r="L833" s="65"/>
      <c r="M833" s="65"/>
      <c r="N833" s="65"/>
      <c r="O833" s="67"/>
      <c r="P833" s="65"/>
      <c r="Q833" s="65"/>
      <c r="R833" s="65"/>
      <c r="S833" s="65"/>
      <c r="T833" s="65"/>
      <c r="U833" s="65"/>
      <c r="V833" s="68"/>
      <c r="W833" s="65"/>
      <c r="X833" s="65"/>
      <c r="Y833" s="65"/>
      <c r="Z833" s="65"/>
      <c r="AA833" s="65"/>
      <c r="AB833" s="65"/>
      <c r="AC833" s="65"/>
      <c r="AD833" s="65"/>
      <c r="AE833" s="65"/>
      <c r="AF833" s="65"/>
      <c r="AG833" s="65"/>
      <c r="AH833" s="65"/>
    </row>
    <row r="834">
      <c r="A834" s="61"/>
      <c r="B834" s="61"/>
      <c r="C834" s="61"/>
      <c r="D834" s="62"/>
      <c r="E834" s="61"/>
      <c r="F834" s="61"/>
      <c r="G834" s="61"/>
      <c r="H834" s="61"/>
      <c r="I834" s="61"/>
      <c r="J834" s="61"/>
      <c r="K834" s="61"/>
      <c r="L834" s="61"/>
      <c r="M834" s="61"/>
      <c r="N834" s="61"/>
      <c r="O834" s="63"/>
      <c r="P834" s="61"/>
      <c r="Q834" s="61"/>
      <c r="R834" s="61"/>
      <c r="S834" s="61"/>
      <c r="T834" s="61"/>
      <c r="U834" s="61"/>
      <c r="V834" s="64"/>
      <c r="W834" s="61"/>
      <c r="X834" s="61"/>
      <c r="Y834" s="61"/>
      <c r="Z834" s="61"/>
      <c r="AA834" s="61"/>
      <c r="AB834" s="61"/>
      <c r="AC834" s="61"/>
      <c r="AD834" s="61"/>
      <c r="AE834" s="61"/>
      <c r="AF834" s="61"/>
      <c r="AG834" s="61"/>
      <c r="AH834" s="61"/>
    </row>
    <row r="835">
      <c r="A835" s="65"/>
      <c r="B835" s="65"/>
      <c r="C835" s="65"/>
      <c r="D835" s="66"/>
      <c r="E835" s="65"/>
      <c r="F835" s="65"/>
      <c r="G835" s="65"/>
      <c r="H835" s="65"/>
      <c r="I835" s="65"/>
      <c r="J835" s="65"/>
      <c r="K835" s="65"/>
      <c r="L835" s="65"/>
      <c r="M835" s="65"/>
      <c r="N835" s="65"/>
      <c r="O835" s="67"/>
      <c r="P835" s="65"/>
      <c r="Q835" s="65"/>
      <c r="R835" s="65"/>
      <c r="S835" s="65"/>
      <c r="T835" s="65"/>
      <c r="U835" s="65"/>
      <c r="V835" s="68"/>
      <c r="W835" s="65"/>
      <c r="X835" s="65"/>
      <c r="Y835" s="65"/>
      <c r="Z835" s="65"/>
      <c r="AA835" s="65"/>
      <c r="AB835" s="65"/>
      <c r="AC835" s="65"/>
      <c r="AD835" s="65"/>
      <c r="AE835" s="65"/>
      <c r="AF835" s="65"/>
      <c r="AG835" s="65"/>
      <c r="AH835" s="65"/>
    </row>
    <row r="836">
      <c r="A836" s="61"/>
      <c r="B836" s="61"/>
      <c r="C836" s="61"/>
      <c r="D836" s="62"/>
      <c r="E836" s="61"/>
      <c r="F836" s="61"/>
      <c r="G836" s="61"/>
      <c r="H836" s="61"/>
      <c r="I836" s="61"/>
      <c r="J836" s="61"/>
      <c r="K836" s="61"/>
      <c r="L836" s="61"/>
      <c r="M836" s="61"/>
      <c r="N836" s="61"/>
      <c r="O836" s="63"/>
      <c r="P836" s="61"/>
      <c r="Q836" s="61"/>
      <c r="R836" s="61"/>
      <c r="S836" s="61"/>
      <c r="T836" s="61"/>
      <c r="U836" s="61"/>
      <c r="V836" s="64"/>
      <c r="W836" s="61"/>
      <c r="X836" s="61"/>
      <c r="Y836" s="61"/>
      <c r="Z836" s="61"/>
      <c r="AA836" s="61"/>
      <c r="AB836" s="61"/>
      <c r="AC836" s="61"/>
      <c r="AD836" s="61"/>
      <c r="AE836" s="61"/>
      <c r="AF836" s="61"/>
      <c r="AG836" s="61"/>
      <c r="AH836" s="61"/>
    </row>
    <row r="837">
      <c r="A837" s="65"/>
      <c r="B837" s="65"/>
      <c r="C837" s="65"/>
      <c r="D837" s="66"/>
      <c r="E837" s="65"/>
      <c r="F837" s="65"/>
      <c r="G837" s="65"/>
      <c r="H837" s="65"/>
      <c r="I837" s="65"/>
      <c r="J837" s="65"/>
      <c r="K837" s="65"/>
      <c r="L837" s="65"/>
      <c r="M837" s="65"/>
      <c r="N837" s="65"/>
      <c r="O837" s="67"/>
      <c r="P837" s="65"/>
      <c r="Q837" s="65"/>
      <c r="R837" s="65"/>
      <c r="S837" s="65"/>
      <c r="T837" s="65"/>
      <c r="U837" s="65"/>
      <c r="V837" s="68"/>
      <c r="W837" s="65"/>
      <c r="X837" s="65"/>
      <c r="Y837" s="65"/>
      <c r="Z837" s="65"/>
      <c r="AA837" s="65"/>
      <c r="AB837" s="65"/>
      <c r="AC837" s="65"/>
      <c r="AD837" s="65"/>
      <c r="AE837" s="65"/>
      <c r="AF837" s="65"/>
      <c r="AG837" s="65"/>
      <c r="AH837" s="65"/>
    </row>
    <row r="838">
      <c r="A838" s="61"/>
      <c r="B838" s="61"/>
      <c r="C838" s="61"/>
      <c r="D838" s="62"/>
      <c r="E838" s="61"/>
      <c r="F838" s="61"/>
      <c r="G838" s="61"/>
      <c r="H838" s="61"/>
      <c r="I838" s="61"/>
      <c r="J838" s="61"/>
      <c r="K838" s="61"/>
      <c r="L838" s="61"/>
      <c r="M838" s="61"/>
      <c r="N838" s="61"/>
      <c r="O838" s="63"/>
      <c r="P838" s="61"/>
      <c r="Q838" s="61"/>
      <c r="R838" s="61"/>
      <c r="S838" s="61"/>
      <c r="T838" s="61"/>
      <c r="U838" s="61"/>
      <c r="V838" s="64"/>
      <c r="W838" s="61"/>
      <c r="X838" s="61"/>
      <c r="Y838" s="61"/>
      <c r="Z838" s="61"/>
      <c r="AA838" s="61"/>
      <c r="AB838" s="61"/>
      <c r="AC838" s="61"/>
      <c r="AD838" s="61"/>
      <c r="AE838" s="61"/>
      <c r="AF838" s="61"/>
      <c r="AG838" s="61"/>
      <c r="AH838" s="61"/>
    </row>
    <row r="839">
      <c r="A839" s="65"/>
      <c r="B839" s="65"/>
      <c r="C839" s="65"/>
      <c r="D839" s="66"/>
      <c r="E839" s="65"/>
      <c r="F839" s="65"/>
      <c r="G839" s="65"/>
      <c r="H839" s="65"/>
      <c r="I839" s="65"/>
      <c r="J839" s="65"/>
      <c r="K839" s="65"/>
      <c r="L839" s="65"/>
      <c r="M839" s="65"/>
      <c r="N839" s="65"/>
      <c r="O839" s="67"/>
      <c r="P839" s="65"/>
      <c r="Q839" s="65"/>
      <c r="R839" s="65"/>
      <c r="S839" s="65"/>
      <c r="T839" s="65"/>
      <c r="U839" s="65"/>
      <c r="V839" s="68"/>
      <c r="W839" s="65"/>
      <c r="X839" s="65"/>
      <c r="Y839" s="65"/>
      <c r="Z839" s="65"/>
      <c r="AA839" s="65"/>
      <c r="AB839" s="65"/>
      <c r="AC839" s="65"/>
      <c r="AD839" s="65"/>
      <c r="AE839" s="65"/>
      <c r="AF839" s="65"/>
      <c r="AG839" s="65"/>
      <c r="AH839" s="65"/>
    </row>
    <row r="840">
      <c r="A840" s="61"/>
      <c r="B840" s="61"/>
      <c r="C840" s="61"/>
      <c r="D840" s="62"/>
      <c r="E840" s="61"/>
      <c r="F840" s="61"/>
      <c r="G840" s="61"/>
      <c r="H840" s="61"/>
      <c r="I840" s="61"/>
      <c r="J840" s="61"/>
      <c r="K840" s="61"/>
      <c r="L840" s="61"/>
      <c r="M840" s="61"/>
      <c r="N840" s="61"/>
      <c r="O840" s="63"/>
      <c r="P840" s="61"/>
      <c r="Q840" s="61"/>
      <c r="R840" s="61"/>
      <c r="S840" s="61"/>
      <c r="T840" s="61"/>
      <c r="U840" s="61"/>
      <c r="V840" s="64"/>
      <c r="W840" s="61"/>
      <c r="X840" s="61"/>
      <c r="Y840" s="61"/>
      <c r="Z840" s="61"/>
      <c r="AA840" s="61"/>
      <c r="AB840" s="61"/>
      <c r="AC840" s="61"/>
      <c r="AD840" s="61"/>
      <c r="AE840" s="61"/>
      <c r="AF840" s="61"/>
      <c r="AG840" s="61"/>
      <c r="AH840" s="61"/>
    </row>
    <row r="841">
      <c r="A841" s="65"/>
      <c r="B841" s="65"/>
      <c r="C841" s="65"/>
      <c r="D841" s="66"/>
      <c r="E841" s="65"/>
      <c r="F841" s="65"/>
      <c r="G841" s="65"/>
      <c r="H841" s="65"/>
      <c r="I841" s="65"/>
      <c r="J841" s="65"/>
      <c r="K841" s="65"/>
      <c r="L841" s="65"/>
      <c r="M841" s="65"/>
      <c r="N841" s="65"/>
      <c r="O841" s="67"/>
      <c r="P841" s="65"/>
      <c r="Q841" s="65"/>
      <c r="R841" s="65"/>
      <c r="S841" s="65"/>
      <c r="T841" s="65"/>
      <c r="U841" s="65"/>
      <c r="V841" s="68"/>
      <c r="W841" s="65"/>
      <c r="X841" s="65"/>
      <c r="Y841" s="65"/>
      <c r="Z841" s="65"/>
      <c r="AA841" s="65"/>
      <c r="AB841" s="65"/>
      <c r="AC841" s="65"/>
      <c r="AD841" s="65"/>
      <c r="AE841" s="65"/>
      <c r="AF841" s="65"/>
      <c r="AG841" s="65"/>
      <c r="AH841" s="65"/>
    </row>
    <row r="842">
      <c r="A842" s="61"/>
      <c r="B842" s="61"/>
      <c r="C842" s="61"/>
      <c r="D842" s="62"/>
      <c r="E842" s="61"/>
      <c r="F842" s="61"/>
      <c r="G842" s="61"/>
      <c r="H842" s="61"/>
      <c r="I842" s="61"/>
      <c r="J842" s="61"/>
      <c r="K842" s="61"/>
      <c r="L842" s="61"/>
      <c r="M842" s="61"/>
      <c r="N842" s="61"/>
      <c r="O842" s="63"/>
      <c r="P842" s="61"/>
      <c r="Q842" s="61"/>
      <c r="R842" s="61"/>
      <c r="S842" s="61"/>
      <c r="T842" s="61"/>
      <c r="U842" s="61"/>
      <c r="V842" s="64"/>
      <c r="W842" s="61"/>
      <c r="X842" s="61"/>
      <c r="Y842" s="61"/>
      <c r="Z842" s="61"/>
      <c r="AA842" s="61"/>
      <c r="AB842" s="61"/>
      <c r="AC842" s="61"/>
      <c r="AD842" s="61"/>
      <c r="AE842" s="61"/>
      <c r="AF842" s="61"/>
      <c r="AG842" s="61"/>
      <c r="AH842" s="61"/>
    </row>
    <row r="843">
      <c r="A843" s="65"/>
      <c r="B843" s="65"/>
      <c r="C843" s="65"/>
      <c r="D843" s="66"/>
      <c r="E843" s="65"/>
      <c r="F843" s="65"/>
      <c r="G843" s="65"/>
      <c r="H843" s="65"/>
      <c r="I843" s="65"/>
      <c r="J843" s="65"/>
      <c r="K843" s="65"/>
      <c r="L843" s="65"/>
      <c r="M843" s="65"/>
      <c r="N843" s="65"/>
      <c r="O843" s="67"/>
      <c r="P843" s="65"/>
      <c r="Q843" s="65"/>
      <c r="R843" s="65"/>
      <c r="S843" s="65"/>
      <c r="T843" s="65"/>
      <c r="U843" s="65"/>
      <c r="V843" s="68"/>
      <c r="W843" s="65"/>
      <c r="X843" s="65"/>
      <c r="Y843" s="65"/>
      <c r="Z843" s="65"/>
      <c r="AA843" s="65"/>
      <c r="AB843" s="65"/>
      <c r="AC843" s="65"/>
      <c r="AD843" s="65"/>
      <c r="AE843" s="65"/>
      <c r="AF843" s="65"/>
      <c r="AG843" s="65"/>
      <c r="AH843" s="65"/>
    </row>
    <row r="844">
      <c r="A844" s="61"/>
      <c r="B844" s="61"/>
      <c r="C844" s="61"/>
      <c r="D844" s="62"/>
      <c r="E844" s="61"/>
      <c r="F844" s="61"/>
      <c r="G844" s="61"/>
      <c r="H844" s="61"/>
      <c r="I844" s="61"/>
      <c r="J844" s="61"/>
      <c r="K844" s="61"/>
      <c r="L844" s="61"/>
      <c r="M844" s="61"/>
      <c r="N844" s="61"/>
      <c r="O844" s="63"/>
      <c r="P844" s="61"/>
      <c r="Q844" s="61"/>
      <c r="R844" s="61"/>
      <c r="S844" s="61"/>
      <c r="T844" s="61"/>
      <c r="U844" s="61"/>
      <c r="V844" s="64"/>
      <c r="W844" s="61"/>
      <c r="X844" s="61"/>
      <c r="Y844" s="61"/>
      <c r="Z844" s="61"/>
      <c r="AA844" s="61"/>
      <c r="AB844" s="61"/>
      <c r="AC844" s="61"/>
      <c r="AD844" s="61"/>
      <c r="AE844" s="61"/>
      <c r="AF844" s="61"/>
      <c r="AG844" s="61"/>
      <c r="AH844" s="61"/>
    </row>
    <row r="845">
      <c r="A845" s="65"/>
      <c r="B845" s="65"/>
      <c r="C845" s="65"/>
      <c r="D845" s="66"/>
      <c r="E845" s="65"/>
      <c r="F845" s="65"/>
      <c r="G845" s="65"/>
      <c r="H845" s="65"/>
      <c r="I845" s="65"/>
      <c r="J845" s="65"/>
      <c r="K845" s="65"/>
      <c r="L845" s="65"/>
      <c r="M845" s="65"/>
      <c r="N845" s="65"/>
      <c r="O845" s="67"/>
      <c r="P845" s="65"/>
      <c r="Q845" s="65"/>
      <c r="R845" s="65"/>
      <c r="S845" s="65"/>
      <c r="T845" s="65"/>
      <c r="U845" s="65"/>
      <c r="V845" s="68"/>
      <c r="W845" s="65"/>
      <c r="X845" s="65"/>
      <c r="Y845" s="65"/>
      <c r="Z845" s="65"/>
      <c r="AA845" s="65"/>
      <c r="AB845" s="65"/>
      <c r="AC845" s="65"/>
      <c r="AD845" s="65"/>
      <c r="AE845" s="65"/>
      <c r="AF845" s="65"/>
      <c r="AG845" s="65"/>
      <c r="AH845" s="65"/>
    </row>
    <row r="846">
      <c r="A846" s="61"/>
      <c r="B846" s="61"/>
      <c r="C846" s="61"/>
      <c r="D846" s="62"/>
      <c r="E846" s="61"/>
      <c r="F846" s="61"/>
      <c r="G846" s="61"/>
      <c r="H846" s="61"/>
      <c r="I846" s="61"/>
      <c r="J846" s="61"/>
      <c r="K846" s="61"/>
      <c r="L846" s="61"/>
      <c r="M846" s="61"/>
      <c r="N846" s="61"/>
      <c r="O846" s="63"/>
      <c r="P846" s="61"/>
      <c r="Q846" s="61"/>
      <c r="R846" s="61"/>
      <c r="S846" s="61"/>
      <c r="T846" s="61"/>
      <c r="U846" s="61"/>
      <c r="V846" s="64"/>
      <c r="W846" s="61"/>
      <c r="X846" s="61"/>
      <c r="Y846" s="61"/>
      <c r="Z846" s="61"/>
      <c r="AA846" s="61"/>
      <c r="AB846" s="61"/>
      <c r="AC846" s="61"/>
      <c r="AD846" s="61"/>
      <c r="AE846" s="61"/>
      <c r="AF846" s="61"/>
      <c r="AG846" s="61"/>
      <c r="AH846" s="61"/>
    </row>
    <row r="847">
      <c r="A847" s="65"/>
      <c r="B847" s="65"/>
      <c r="C847" s="65"/>
      <c r="D847" s="66"/>
      <c r="E847" s="65"/>
      <c r="F847" s="65"/>
      <c r="G847" s="65"/>
      <c r="H847" s="65"/>
      <c r="I847" s="65"/>
      <c r="J847" s="65"/>
      <c r="K847" s="65"/>
      <c r="L847" s="65"/>
      <c r="M847" s="65"/>
      <c r="N847" s="65"/>
      <c r="O847" s="67"/>
      <c r="P847" s="65"/>
      <c r="Q847" s="65"/>
      <c r="R847" s="65"/>
      <c r="S847" s="65"/>
      <c r="T847" s="65"/>
      <c r="U847" s="65"/>
      <c r="V847" s="68"/>
      <c r="W847" s="65"/>
      <c r="X847" s="65"/>
      <c r="Y847" s="65"/>
      <c r="Z847" s="65"/>
      <c r="AA847" s="65"/>
      <c r="AB847" s="65"/>
      <c r="AC847" s="65"/>
      <c r="AD847" s="65"/>
      <c r="AE847" s="65"/>
      <c r="AF847" s="65"/>
      <c r="AG847" s="65"/>
      <c r="AH847" s="65"/>
    </row>
    <row r="848">
      <c r="A848" s="61"/>
      <c r="B848" s="61"/>
      <c r="C848" s="61"/>
      <c r="D848" s="62"/>
      <c r="E848" s="61"/>
      <c r="F848" s="61"/>
      <c r="G848" s="61"/>
      <c r="H848" s="61"/>
      <c r="I848" s="61"/>
      <c r="J848" s="61"/>
      <c r="K848" s="61"/>
      <c r="L848" s="61"/>
      <c r="M848" s="61"/>
      <c r="N848" s="61"/>
      <c r="O848" s="63"/>
      <c r="P848" s="61"/>
      <c r="Q848" s="61"/>
      <c r="R848" s="61"/>
      <c r="S848" s="61"/>
      <c r="T848" s="61"/>
      <c r="U848" s="61"/>
      <c r="V848" s="64"/>
      <c r="W848" s="61"/>
      <c r="X848" s="61"/>
      <c r="Y848" s="61"/>
      <c r="Z848" s="61"/>
      <c r="AA848" s="61"/>
      <c r="AB848" s="61"/>
      <c r="AC848" s="61"/>
      <c r="AD848" s="61"/>
      <c r="AE848" s="61"/>
      <c r="AF848" s="61"/>
      <c r="AG848" s="61"/>
      <c r="AH848" s="61"/>
    </row>
    <row r="849">
      <c r="A849" s="65"/>
      <c r="B849" s="65"/>
      <c r="C849" s="65"/>
      <c r="D849" s="66"/>
      <c r="E849" s="65"/>
      <c r="F849" s="65"/>
      <c r="G849" s="65"/>
      <c r="H849" s="65"/>
      <c r="I849" s="65"/>
      <c r="J849" s="65"/>
      <c r="K849" s="65"/>
      <c r="L849" s="65"/>
      <c r="M849" s="65"/>
      <c r="N849" s="65"/>
      <c r="O849" s="67"/>
      <c r="P849" s="65"/>
      <c r="Q849" s="65"/>
      <c r="R849" s="65"/>
      <c r="S849" s="65"/>
      <c r="T849" s="65"/>
      <c r="U849" s="65"/>
      <c r="V849" s="68"/>
      <c r="W849" s="65"/>
      <c r="X849" s="65"/>
      <c r="Y849" s="65"/>
      <c r="Z849" s="65"/>
      <c r="AA849" s="65"/>
      <c r="AB849" s="65"/>
      <c r="AC849" s="65"/>
      <c r="AD849" s="65"/>
      <c r="AE849" s="65"/>
      <c r="AF849" s="65"/>
      <c r="AG849" s="65"/>
      <c r="AH849" s="65"/>
    </row>
    <row r="850">
      <c r="A850" s="61"/>
      <c r="B850" s="61"/>
      <c r="C850" s="61"/>
      <c r="D850" s="62"/>
      <c r="E850" s="61"/>
      <c r="F850" s="61"/>
      <c r="G850" s="61"/>
      <c r="H850" s="61"/>
      <c r="I850" s="61"/>
      <c r="J850" s="61"/>
      <c r="K850" s="61"/>
      <c r="L850" s="61"/>
      <c r="M850" s="61"/>
      <c r="N850" s="61"/>
      <c r="O850" s="63"/>
      <c r="P850" s="61"/>
      <c r="Q850" s="61"/>
      <c r="R850" s="61"/>
      <c r="S850" s="61"/>
      <c r="T850" s="61"/>
      <c r="U850" s="61"/>
      <c r="V850" s="64"/>
      <c r="W850" s="61"/>
      <c r="X850" s="61"/>
      <c r="Y850" s="61"/>
      <c r="Z850" s="61"/>
      <c r="AA850" s="61"/>
      <c r="AB850" s="61"/>
      <c r="AC850" s="61"/>
      <c r="AD850" s="61"/>
      <c r="AE850" s="61"/>
      <c r="AF850" s="61"/>
      <c r="AG850" s="61"/>
      <c r="AH850" s="61"/>
    </row>
    <row r="851">
      <c r="A851" s="65"/>
      <c r="B851" s="65"/>
      <c r="C851" s="65"/>
      <c r="D851" s="66"/>
      <c r="E851" s="65"/>
      <c r="F851" s="65"/>
      <c r="G851" s="65"/>
      <c r="H851" s="65"/>
      <c r="I851" s="65"/>
      <c r="J851" s="65"/>
      <c r="K851" s="65"/>
      <c r="L851" s="65"/>
      <c r="M851" s="65"/>
      <c r="N851" s="65"/>
      <c r="O851" s="67"/>
      <c r="P851" s="65"/>
      <c r="Q851" s="65"/>
      <c r="R851" s="65"/>
      <c r="S851" s="65"/>
      <c r="T851" s="65"/>
      <c r="U851" s="65"/>
      <c r="V851" s="68"/>
      <c r="W851" s="65"/>
      <c r="X851" s="65"/>
      <c r="Y851" s="65"/>
      <c r="Z851" s="65"/>
      <c r="AA851" s="65"/>
      <c r="AB851" s="65"/>
      <c r="AC851" s="65"/>
      <c r="AD851" s="65"/>
      <c r="AE851" s="65"/>
      <c r="AF851" s="65"/>
      <c r="AG851" s="65"/>
      <c r="AH851" s="65"/>
    </row>
    <row r="852">
      <c r="A852" s="61"/>
      <c r="B852" s="61"/>
      <c r="C852" s="61"/>
      <c r="D852" s="62"/>
      <c r="E852" s="61"/>
      <c r="F852" s="61"/>
      <c r="G852" s="61"/>
      <c r="H852" s="61"/>
      <c r="I852" s="61"/>
      <c r="J852" s="61"/>
      <c r="K852" s="61"/>
      <c r="L852" s="61"/>
      <c r="M852" s="61"/>
      <c r="N852" s="61"/>
      <c r="O852" s="63"/>
      <c r="P852" s="61"/>
      <c r="Q852" s="61"/>
      <c r="R852" s="61"/>
      <c r="S852" s="61"/>
      <c r="T852" s="61"/>
      <c r="U852" s="61"/>
      <c r="V852" s="64"/>
      <c r="W852" s="61"/>
      <c r="X852" s="61"/>
      <c r="Y852" s="61"/>
      <c r="Z852" s="61"/>
      <c r="AA852" s="61"/>
      <c r="AB852" s="61"/>
      <c r="AC852" s="61"/>
      <c r="AD852" s="61"/>
      <c r="AE852" s="61"/>
      <c r="AF852" s="61"/>
      <c r="AG852" s="61"/>
      <c r="AH852" s="61"/>
    </row>
    <row r="853">
      <c r="A853" s="65"/>
      <c r="B853" s="65"/>
      <c r="C853" s="65"/>
      <c r="D853" s="66"/>
      <c r="E853" s="65"/>
      <c r="F853" s="65"/>
      <c r="G853" s="65"/>
      <c r="H853" s="65"/>
      <c r="I853" s="65"/>
      <c r="J853" s="65"/>
      <c r="K853" s="65"/>
      <c r="L853" s="65"/>
      <c r="M853" s="65"/>
      <c r="N853" s="65"/>
      <c r="O853" s="67"/>
      <c r="P853" s="65"/>
      <c r="Q853" s="65"/>
      <c r="R853" s="65"/>
      <c r="S853" s="65"/>
      <c r="T853" s="65"/>
      <c r="U853" s="65"/>
      <c r="V853" s="68"/>
      <c r="W853" s="65"/>
      <c r="X853" s="65"/>
      <c r="Y853" s="65"/>
      <c r="Z853" s="65"/>
      <c r="AA853" s="65"/>
      <c r="AB853" s="65"/>
      <c r="AC853" s="65"/>
      <c r="AD853" s="65"/>
      <c r="AE853" s="65"/>
      <c r="AF853" s="65"/>
      <c r="AG853" s="65"/>
      <c r="AH853" s="65"/>
    </row>
    <row r="854">
      <c r="A854" s="61"/>
      <c r="B854" s="61"/>
      <c r="C854" s="61"/>
      <c r="D854" s="62"/>
      <c r="E854" s="61"/>
      <c r="F854" s="61"/>
      <c r="G854" s="61"/>
      <c r="H854" s="61"/>
      <c r="I854" s="61"/>
      <c r="J854" s="61"/>
      <c r="K854" s="61"/>
      <c r="L854" s="61"/>
      <c r="M854" s="61"/>
      <c r="N854" s="61"/>
      <c r="O854" s="63"/>
      <c r="P854" s="61"/>
      <c r="Q854" s="61"/>
      <c r="R854" s="61"/>
      <c r="S854" s="61"/>
      <c r="T854" s="61"/>
      <c r="U854" s="61"/>
      <c r="V854" s="64"/>
      <c r="W854" s="61"/>
      <c r="X854" s="61"/>
      <c r="Y854" s="61"/>
      <c r="Z854" s="61"/>
      <c r="AA854" s="61"/>
      <c r="AB854" s="61"/>
      <c r="AC854" s="61"/>
      <c r="AD854" s="61"/>
      <c r="AE854" s="61"/>
      <c r="AF854" s="61"/>
      <c r="AG854" s="61"/>
      <c r="AH854" s="61"/>
    </row>
    <row r="855">
      <c r="A855" s="65"/>
      <c r="B855" s="65"/>
      <c r="C855" s="65"/>
      <c r="D855" s="66"/>
      <c r="E855" s="65"/>
      <c r="F855" s="65"/>
      <c r="G855" s="65"/>
      <c r="H855" s="65"/>
      <c r="I855" s="65"/>
      <c r="J855" s="65"/>
      <c r="K855" s="65"/>
      <c r="L855" s="65"/>
      <c r="M855" s="65"/>
      <c r="N855" s="65"/>
      <c r="O855" s="67"/>
      <c r="P855" s="65"/>
      <c r="Q855" s="65"/>
      <c r="R855" s="65"/>
      <c r="S855" s="65"/>
      <c r="T855" s="65"/>
      <c r="U855" s="65"/>
      <c r="V855" s="68"/>
      <c r="W855" s="65"/>
      <c r="X855" s="65"/>
      <c r="Y855" s="65"/>
      <c r="Z855" s="65"/>
      <c r="AA855" s="65"/>
      <c r="AB855" s="65"/>
      <c r="AC855" s="65"/>
      <c r="AD855" s="65"/>
      <c r="AE855" s="65"/>
      <c r="AF855" s="65"/>
      <c r="AG855" s="65"/>
      <c r="AH855" s="65"/>
    </row>
    <row r="856">
      <c r="A856" s="61"/>
      <c r="B856" s="61"/>
      <c r="C856" s="61"/>
      <c r="D856" s="62"/>
      <c r="E856" s="61"/>
      <c r="F856" s="61"/>
      <c r="G856" s="61"/>
      <c r="H856" s="61"/>
      <c r="I856" s="61"/>
      <c r="J856" s="61"/>
      <c r="K856" s="61"/>
      <c r="L856" s="61"/>
      <c r="M856" s="61"/>
      <c r="N856" s="61"/>
      <c r="O856" s="63"/>
      <c r="P856" s="61"/>
      <c r="Q856" s="61"/>
      <c r="R856" s="61"/>
      <c r="S856" s="61"/>
      <c r="T856" s="61"/>
      <c r="U856" s="61"/>
      <c r="V856" s="64"/>
      <c r="W856" s="61"/>
      <c r="X856" s="61"/>
      <c r="Y856" s="61"/>
      <c r="Z856" s="61"/>
      <c r="AA856" s="61"/>
      <c r="AB856" s="61"/>
      <c r="AC856" s="61"/>
      <c r="AD856" s="61"/>
      <c r="AE856" s="61"/>
      <c r="AF856" s="61"/>
      <c r="AG856" s="61"/>
      <c r="AH856" s="61"/>
    </row>
    <row r="857">
      <c r="A857" s="65"/>
      <c r="B857" s="65"/>
      <c r="C857" s="65"/>
      <c r="D857" s="66"/>
      <c r="E857" s="65"/>
      <c r="F857" s="65"/>
      <c r="G857" s="65"/>
      <c r="H857" s="65"/>
      <c r="I857" s="65"/>
      <c r="J857" s="65"/>
      <c r="K857" s="65"/>
      <c r="L857" s="65"/>
      <c r="M857" s="65"/>
      <c r="N857" s="65"/>
      <c r="O857" s="67"/>
      <c r="P857" s="65"/>
      <c r="Q857" s="65"/>
      <c r="R857" s="65"/>
      <c r="S857" s="65"/>
      <c r="T857" s="65"/>
      <c r="U857" s="65"/>
      <c r="V857" s="68"/>
      <c r="W857" s="65"/>
      <c r="X857" s="65"/>
      <c r="Y857" s="65"/>
      <c r="Z857" s="65"/>
      <c r="AA857" s="65"/>
      <c r="AB857" s="65"/>
      <c r="AC857" s="65"/>
      <c r="AD857" s="65"/>
      <c r="AE857" s="65"/>
      <c r="AF857" s="65"/>
      <c r="AG857" s="65"/>
      <c r="AH857" s="65"/>
    </row>
    <row r="858">
      <c r="A858" s="61"/>
      <c r="B858" s="61"/>
      <c r="C858" s="61"/>
      <c r="D858" s="62"/>
      <c r="E858" s="61"/>
      <c r="F858" s="61"/>
      <c r="G858" s="61"/>
      <c r="H858" s="61"/>
      <c r="I858" s="61"/>
      <c r="J858" s="61"/>
      <c r="K858" s="61"/>
      <c r="L858" s="61"/>
      <c r="M858" s="61"/>
      <c r="N858" s="61"/>
      <c r="O858" s="63"/>
      <c r="P858" s="61"/>
      <c r="Q858" s="61"/>
      <c r="R858" s="61"/>
      <c r="S858" s="61"/>
      <c r="T858" s="61"/>
      <c r="U858" s="61"/>
      <c r="V858" s="64"/>
      <c r="W858" s="61"/>
      <c r="X858" s="61"/>
      <c r="Y858" s="61"/>
      <c r="Z858" s="61"/>
      <c r="AA858" s="61"/>
      <c r="AB858" s="61"/>
      <c r="AC858" s="61"/>
      <c r="AD858" s="61"/>
      <c r="AE858" s="61"/>
      <c r="AF858" s="61"/>
      <c r="AG858" s="61"/>
      <c r="AH858" s="61"/>
    </row>
    <row r="859">
      <c r="A859" s="65"/>
      <c r="B859" s="65"/>
      <c r="C859" s="65"/>
      <c r="D859" s="66"/>
      <c r="E859" s="65"/>
      <c r="F859" s="65"/>
      <c r="G859" s="65"/>
      <c r="H859" s="65"/>
      <c r="I859" s="65"/>
      <c r="J859" s="65"/>
      <c r="K859" s="65"/>
      <c r="L859" s="65"/>
      <c r="M859" s="65"/>
      <c r="N859" s="65"/>
      <c r="O859" s="67"/>
      <c r="P859" s="65"/>
      <c r="Q859" s="65"/>
      <c r="R859" s="65"/>
      <c r="S859" s="65"/>
      <c r="T859" s="65"/>
      <c r="U859" s="65"/>
      <c r="V859" s="68"/>
      <c r="W859" s="65"/>
      <c r="X859" s="65"/>
      <c r="Y859" s="65"/>
      <c r="Z859" s="65"/>
      <c r="AA859" s="65"/>
      <c r="AB859" s="65"/>
      <c r="AC859" s="65"/>
      <c r="AD859" s="65"/>
      <c r="AE859" s="65"/>
      <c r="AF859" s="65"/>
      <c r="AG859" s="65"/>
      <c r="AH859" s="65"/>
    </row>
    <row r="860">
      <c r="A860" s="61"/>
      <c r="B860" s="61"/>
      <c r="C860" s="61"/>
      <c r="D860" s="62"/>
      <c r="E860" s="61"/>
      <c r="F860" s="61"/>
      <c r="G860" s="61"/>
      <c r="H860" s="61"/>
      <c r="I860" s="61"/>
      <c r="J860" s="61"/>
      <c r="K860" s="61"/>
      <c r="L860" s="61"/>
      <c r="M860" s="61"/>
      <c r="N860" s="61"/>
      <c r="O860" s="63"/>
      <c r="P860" s="61"/>
      <c r="Q860" s="61"/>
      <c r="R860" s="61"/>
      <c r="S860" s="61"/>
      <c r="T860" s="61"/>
      <c r="U860" s="61"/>
      <c r="V860" s="64"/>
      <c r="W860" s="61"/>
      <c r="X860" s="61"/>
      <c r="Y860" s="61"/>
      <c r="Z860" s="61"/>
      <c r="AA860" s="61"/>
      <c r="AB860" s="61"/>
      <c r="AC860" s="61"/>
      <c r="AD860" s="61"/>
      <c r="AE860" s="61"/>
      <c r="AF860" s="61"/>
      <c r="AG860" s="61"/>
      <c r="AH860" s="61"/>
    </row>
    <row r="861">
      <c r="A861" s="65"/>
      <c r="B861" s="65"/>
      <c r="C861" s="65"/>
      <c r="D861" s="66"/>
      <c r="E861" s="65"/>
      <c r="F861" s="65"/>
      <c r="G861" s="65"/>
      <c r="H861" s="65"/>
      <c r="I861" s="65"/>
      <c r="J861" s="65"/>
      <c r="K861" s="65"/>
      <c r="L861" s="65"/>
      <c r="M861" s="65"/>
      <c r="N861" s="65"/>
      <c r="O861" s="67"/>
      <c r="P861" s="65"/>
      <c r="Q861" s="65"/>
      <c r="R861" s="65"/>
      <c r="S861" s="65"/>
      <c r="T861" s="65"/>
      <c r="U861" s="65"/>
      <c r="V861" s="68"/>
      <c r="W861" s="65"/>
      <c r="X861" s="65"/>
      <c r="Y861" s="65"/>
      <c r="Z861" s="65"/>
      <c r="AA861" s="65"/>
      <c r="AB861" s="65"/>
      <c r="AC861" s="65"/>
      <c r="AD861" s="65"/>
      <c r="AE861" s="65"/>
      <c r="AF861" s="65"/>
      <c r="AG861" s="65"/>
      <c r="AH861" s="65"/>
    </row>
    <row r="862">
      <c r="A862" s="61"/>
      <c r="B862" s="61"/>
      <c r="C862" s="61"/>
      <c r="D862" s="62"/>
      <c r="E862" s="61"/>
      <c r="F862" s="61"/>
      <c r="G862" s="61"/>
      <c r="H862" s="61"/>
      <c r="I862" s="61"/>
      <c r="J862" s="61"/>
      <c r="K862" s="61"/>
      <c r="L862" s="61"/>
      <c r="M862" s="61"/>
      <c r="N862" s="61"/>
      <c r="O862" s="63"/>
      <c r="P862" s="61"/>
      <c r="Q862" s="61"/>
      <c r="R862" s="61"/>
      <c r="S862" s="61"/>
      <c r="T862" s="61"/>
      <c r="U862" s="61"/>
      <c r="V862" s="64"/>
      <c r="W862" s="61"/>
      <c r="X862" s="61"/>
      <c r="Y862" s="61"/>
      <c r="Z862" s="61"/>
      <c r="AA862" s="61"/>
      <c r="AB862" s="61"/>
      <c r="AC862" s="61"/>
      <c r="AD862" s="61"/>
      <c r="AE862" s="61"/>
      <c r="AF862" s="61"/>
      <c r="AG862" s="61"/>
      <c r="AH862" s="61"/>
    </row>
    <row r="863">
      <c r="A863" s="65"/>
      <c r="B863" s="65"/>
      <c r="C863" s="65"/>
      <c r="D863" s="66"/>
      <c r="E863" s="65"/>
      <c r="F863" s="65"/>
      <c r="G863" s="65"/>
      <c r="H863" s="65"/>
      <c r="I863" s="65"/>
      <c r="J863" s="65"/>
      <c r="K863" s="65"/>
      <c r="L863" s="65"/>
      <c r="M863" s="65"/>
      <c r="N863" s="65"/>
      <c r="O863" s="67"/>
      <c r="P863" s="65"/>
      <c r="Q863" s="65"/>
      <c r="R863" s="65"/>
      <c r="S863" s="65"/>
      <c r="T863" s="65"/>
      <c r="U863" s="65"/>
      <c r="V863" s="68"/>
      <c r="W863" s="65"/>
      <c r="X863" s="65"/>
      <c r="Y863" s="65"/>
      <c r="Z863" s="65"/>
      <c r="AA863" s="65"/>
      <c r="AB863" s="65"/>
      <c r="AC863" s="65"/>
      <c r="AD863" s="65"/>
      <c r="AE863" s="65"/>
      <c r="AF863" s="65"/>
      <c r="AG863" s="65"/>
      <c r="AH863" s="65"/>
    </row>
    <row r="864">
      <c r="A864" s="61"/>
      <c r="B864" s="61"/>
      <c r="C864" s="61"/>
      <c r="D864" s="62"/>
      <c r="E864" s="61"/>
      <c r="F864" s="61"/>
      <c r="G864" s="61"/>
      <c r="H864" s="61"/>
      <c r="I864" s="61"/>
      <c r="J864" s="61"/>
      <c r="K864" s="61"/>
      <c r="L864" s="61"/>
      <c r="M864" s="61"/>
      <c r="N864" s="61"/>
      <c r="O864" s="63"/>
      <c r="P864" s="61"/>
      <c r="Q864" s="61"/>
      <c r="R864" s="61"/>
      <c r="S864" s="61"/>
      <c r="T864" s="61"/>
      <c r="U864" s="61"/>
      <c r="V864" s="64"/>
      <c r="W864" s="61"/>
      <c r="X864" s="61"/>
      <c r="Y864" s="61"/>
      <c r="Z864" s="61"/>
      <c r="AA864" s="61"/>
      <c r="AB864" s="61"/>
      <c r="AC864" s="61"/>
      <c r="AD864" s="61"/>
      <c r="AE864" s="61"/>
      <c r="AF864" s="61"/>
      <c r="AG864" s="61"/>
      <c r="AH864" s="61"/>
    </row>
    <row r="865">
      <c r="A865" s="65"/>
      <c r="B865" s="65"/>
      <c r="C865" s="65"/>
      <c r="D865" s="66"/>
      <c r="E865" s="65"/>
      <c r="F865" s="65"/>
      <c r="G865" s="65"/>
      <c r="H865" s="65"/>
      <c r="I865" s="65"/>
      <c r="J865" s="65"/>
      <c r="K865" s="65"/>
      <c r="L865" s="65"/>
      <c r="M865" s="65"/>
      <c r="N865" s="65"/>
      <c r="O865" s="67"/>
      <c r="P865" s="65"/>
      <c r="Q865" s="65"/>
      <c r="R865" s="65"/>
      <c r="S865" s="65"/>
      <c r="T865" s="65"/>
      <c r="U865" s="65"/>
      <c r="V865" s="68"/>
      <c r="W865" s="65"/>
      <c r="X865" s="65"/>
      <c r="Y865" s="65"/>
      <c r="Z865" s="65"/>
      <c r="AA865" s="65"/>
      <c r="AB865" s="65"/>
      <c r="AC865" s="65"/>
      <c r="AD865" s="65"/>
      <c r="AE865" s="65"/>
      <c r="AF865" s="65"/>
      <c r="AG865" s="65"/>
      <c r="AH865" s="65"/>
    </row>
    <row r="866">
      <c r="A866" s="61"/>
      <c r="B866" s="61"/>
      <c r="C866" s="61"/>
      <c r="D866" s="62"/>
      <c r="E866" s="61"/>
      <c r="F866" s="61"/>
      <c r="G866" s="61"/>
      <c r="H866" s="61"/>
      <c r="I866" s="61"/>
      <c r="J866" s="61"/>
      <c r="K866" s="61"/>
      <c r="L866" s="61"/>
      <c r="M866" s="61"/>
      <c r="N866" s="61"/>
      <c r="O866" s="63"/>
      <c r="P866" s="61"/>
      <c r="Q866" s="61"/>
      <c r="R866" s="61"/>
      <c r="S866" s="61"/>
      <c r="T866" s="61"/>
      <c r="U866" s="61"/>
      <c r="V866" s="64"/>
      <c r="W866" s="61"/>
      <c r="X866" s="61"/>
      <c r="Y866" s="61"/>
      <c r="Z866" s="61"/>
      <c r="AA866" s="61"/>
      <c r="AB866" s="61"/>
      <c r="AC866" s="61"/>
      <c r="AD866" s="61"/>
      <c r="AE866" s="61"/>
      <c r="AF866" s="61"/>
      <c r="AG866" s="61"/>
      <c r="AH866" s="61"/>
    </row>
    <row r="867">
      <c r="A867" s="65"/>
      <c r="B867" s="65"/>
      <c r="C867" s="65"/>
      <c r="D867" s="66"/>
      <c r="E867" s="65"/>
      <c r="F867" s="65"/>
      <c r="G867" s="65"/>
      <c r="H867" s="65"/>
      <c r="I867" s="65"/>
      <c r="J867" s="65"/>
      <c r="K867" s="65"/>
      <c r="L867" s="65"/>
      <c r="M867" s="65"/>
      <c r="N867" s="65"/>
      <c r="O867" s="67"/>
      <c r="P867" s="65"/>
      <c r="Q867" s="65"/>
      <c r="R867" s="65"/>
      <c r="S867" s="65"/>
      <c r="T867" s="65"/>
      <c r="U867" s="65"/>
      <c r="V867" s="68"/>
      <c r="W867" s="65"/>
      <c r="X867" s="65"/>
      <c r="Y867" s="65"/>
      <c r="Z867" s="65"/>
      <c r="AA867" s="65"/>
      <c r="AB867" s="65"/>
      <c r="AC867" s="65"/>
      <c r="AD867" s="65"/>
      <c r="AE867" s="65"/>
      <c r="AF867" s="65"/>
      <c r="AG867" s="65"/>
      <c r="AH867" s="65"/>
    </row>
    <row r="868">
      <c r="A868" s="61"/>
      <c r="B868" s="61"/>
      <c r="C868" s="61"/>
      <c r="D868" s="62"/>
      <c r="E868" s="61"/>
      <c r="F868" s="61"/>
      <c r="G868" s="61"/>
      <c r="H868" s="61"/>
      <c r="I868" s="61"/>
      <c r="J868" s="61"/>
      <c r="K868" s="61"/>
      <c r="L868" s="61"/>
      <c r="M868" s="61"/>
      <c r="N868" s="61"/>
      <c r="O868" s="63"/>
      <c r="P868" s="61"/>
      <c r="Q868" s="61"/>
      <c r="R868" s="61"/>
      <c r="S868" s="61"/>
      <c r="T868" s="61"/>
      <c r="U868" s="61"/>
      <c r="V868" s="64"/>
      <c r="W868" s="61"/>
      <c r="X868" s="61"/>
      <c r="Y868" s="61"/>
      <c r="Z868" s="61"/>
      <c r="AA868" s="61"/>
      <c r="AB868" s="61"/>
      <c r="AC868" s="61"/>
      <c r="AD868" s="61"/>
      <c r="AE868" s="61"/>
      <c r="AF868" s="61"/>
      <c r="AG868" s="61"/>
      <c r="AH868" s="61"/>
    </row>
    <row r="869">
      <c r="A869" s="65"/>
      <c r="B869" s="65"/>
      <c r="C869" s="65"/>
      <c r="D869" s="66"/>
      <c r="E869" s="65"/>
      <c r="F869" s="65"/>
      <c r="G869" s="65"/>
      <c r="H869" s="65"/>
      <c r="I869" s="65"/>
      <c r="J869" s="65"/>
      <c r="K869" s="65"/>
      <c r="L869" s="65"/>
      <c r="M869" s="65"/>
      <c r="N869" s="65"/>
      <c r="O869" s="67"/>
      <c r="P869" s="65"/>
      <c r="Q869" s="65"/>
      <c r="R869" s="65"/>
      <c r="S869" s="65"/>
      <c r="T869" s="65"/>
      <c r="U869" s="65"/>
      <c r="V869" s="68"/>
      <c r="W869" s="65"/>
      <c r="X869" s="65"/>
      <c r="Y869" s="65"/>
      <c r="Z869" s="65"/>
      <c r="AA869" s="65"/>
      <c r="AB869" s="65"/>
      <c r="AC869" s="65"/>
      <c r="AD869" s="65"/>
      <c r="AE869" s="65"/>
      <c r="AF869" s="65"/>
      <c r="AG869" s="65"/>
      <c r="AH869" s="65"/>
    </row>
    <row r="870">
      <c r="A870" s="61"/>
      <c r="B870" s="61"/>
      <c r="C870" s="61"/>
      <c r="D870" s="62"/>
      <c r="E870" s="61"/>
      <c r="F870" s="61"/>
      <c r="G870" s="61"/>
      <c r="H870" s="61"/>
      <c r="I870" s="61"/>
      <c r="J870" s="61"/>
      <c r="K870" s="61"/>
      <c r="L870" s="61"/>
      <c r="M870" s="61"/>
      <c r="N870" s="61"/>
      <c r="O870" s="63"/>
      <c r="P870" s="61"/>
      <c r="Q870" s="61"/>
      <c r="R870" s="61"/>
      <c r="S870" s="61"/>
      <c r="T870" s="61"/>
      <c r="U870" s="61"/>
      <c r="V870" s="64"/>
      <c r="W870" s="61"/>
      <c r="X870" s="61"/>
      <c r="Y870" s="61"/>
      <c r="Z870" s="61"/>
      <c r="AA870" s="61"/>
      <c r="AB870" s="61"/>
      <c r="AC870" s="61"/>
      <c r="AD870" s="61"/>
      <c r="AE870" s="61"/>
      <c r="AF870" s="61"/>
      <c r="AG870" s="61"/>
      <c r="AH870" s="61"/>
    </row>
    <row r="871">
      <c r="A871" s="65"/>
      <c r="B871" s="65"/>
      <c r="C871" s="65"/>
      <c r="D871" s="66"/>
      <c r="E871" s="65"/>
      <c r="F871" s="65"/>
      <c r="G871" s="65"/>
      <c r="H871" s="65"/>
      <c r="I871" s="65"/>
      <c r="J871" s="65"/>
      <c r="K871" s="65"/>
      <c r="L871" s="65"/>
      <c r="M871" s="65"/>
      <c r="N871" s="65"/>
      <c r="O871" s="67"/>
      <c r="P871" s="65"/>
      <c r="Q871" s="65"/>
      <c r="R871" s="65"/>
      <c r="S871" s="65"/>
      <c r="T871" s="65"/>
      <c r="U871" s="65"/>
      <c r="V871" s="68"/>
      <c r="W871" s="65"/>
      <c r="X871" s="65"/>
      <c r="Y871" s="65"/>
      <c r="Z871" s="65"/>
      <c r="AA871" s="65"/>
      <c r="AB871" s="65"/>
      <c r="AC871" s="65"/>
      <c r="AD871" s="65"/>
      <c r="AE871" s="65"/>
      <c r="AF871" s="65"/>
      <c r="AG871" s="65"/>
      <c r="AH871" s="65"/>
    </row>
    <row r="872">
      <c r="A872" s="61"/>
      <c r="B872" s="61"/>
      <c r="C872" s="61"/>
      <c r="D872" s="62"/>
      <c r="E872" s="61"/>
      <c r="F872" s="61"/>
      <c r="G872" s="61"/>
      <c r="H872" s="61"/>
      <c r="I872" s="61"/>
      <c r="J872" s="61"/>
      <c r="K872" s="61"/>
      <c r="L872" s="61"/>
      <c r="M872" s="61"/>
      <c r="N872" s="61"/>
      <c r="O872" s="63"/>
      <c r="P872" s="61"/>
      <c r="Q872" s="61"/>
      <c r="R872" s="61"/>
      <c r="S872" s="61"/>
      <c r="T872" s="61"/>
      <c r="U872" s="61"/>
      <c r="V872" s="64"/>
      <c r="W872" s="61"/>
      <c r="X872" s="61"/>
      <c r="Y872" s="61"/>
      <c r="Z872" s="61"/>
      <c r="AA872" s="61"/>
      <c r="AB872" s="61"/>
      <c r="AC872" s="61"/>
      <c r="AD872" s="61"/>
      <c r="AE872" s="61"/>
      <c r="AF872" s="61"/>
      <c r="AG872" s="61"/>
      <c r="AH872" s="61"/>
    </row>
    <row r="873">
      <c r="A873" s="65"/>
      <c r="B873" s="65"/>
      <c r="C873" s="65"/>
      <c r="D873" s="66"/>
      <c r="E873" s="65"/>
      <c r="F873" s="65"/>
      <c r="G873" s="65"/>
      <c r="H873" s="65"/>
      <c r="I873" s="65"/>
      <c r="J873" s="65"/>
      <c r="K873" s="65"/>
      <c r="L873" s="65"/>
      <c r="M873" s="65"/>
      <c r="N873" s="65"/>
      <c r="O873" s="67"/>
      <c r="P873" s="65"/>
      <c r="Q873" s="65"/>
      <c r="R873" s="65"/>
      <c r="S873" s="65"/>
      <c r="T873" s="65"/>
      <c r="U873" s="65"/>
      <c r="V873" s="68"/>
      <c r="W873" s="65"/>
      <c r="X873" s="65"/>
      <c r="Y873" s="65"/>
      <c r="Z873" s="65"/>
      <c r="AA873" s="65"/>
      <c r="AB873" s="65"/>
      <c r="AC873" s="65"/>
      <c r="AD873" s="65"/>
      <c r="AE873" s="65"/>
      <c r="AF873" s="65"/>
      <c r="AG873" s="65"/>
      <c r="AH873" s="65"/>
    </row>
    <row r="874">
      <c r="A874" s="61"/>
      <c r="B874" s="61"/>
      <c r="C874" s="61"/>
      <c r="D874" s="62"/>
      <c r="E874" s="61"/>
      <c r="F874" s="61"/>
      <c r="G874" s="61"/>
      <c r="H874" s="61"/>
      <c r="I874" s="61"/>
      <c r="J874" s="61"/>
      <c r="K874" s="61"/>
      <c r="L874" s="61"/>
      <c r="M874" s="61"/>
      <c r="N874" s="61"/>
      <c r="O874" s="63"/>
      <c r="P874" s="61"/>
      <c r="Q874" s="61"/>
      <c r="R874" s="61"/>
      <c r="S874" s="61"/>
      <c r="T874" s="61"/>
      <c r="U874" s="61"/>
      <c r="V874" s="64"/>
      <c r="W874" s="61"/>
      <c r="X874" s="61"/>
      <c r="Y874" s="61"/>
      <c r="Z874" s="61"/>
      <c r="AA874" s="61"/>
      <c r="AB874" s="61"/>
      <c r="AC874" s="61"/>
      <c r="AD874" s="61"/>
      <c r="AE874" s="61"/>
      <c r="AF874" s="61"/>
      <c r="AG874" s="61"/>
      <c r="AH874" s="61"/>
    </row>
    <row r="875">
      <c r="A875" s="65"/>
      <c r="B875" s="65"/>
      <c r="C875" s="65"/>
      <c r="D875" s="66"/>
      <c r="E875" s="65"/>
      <c r="F875" s="65"/>
      <c r="G875" s="65"/>
      <c r="H875" s="65"/>
      <c r="I875" s="65"/>
      <c r="J875" s="65"/>
      <c r="K875" s="65"/>
      <c r="L875" s="65"/>
      <c r="M875" s="65"/>
      <c r="N875" s="65"/>
      <c r="O875" s="67"/>
      <c r="P875" s="65"/>
      <c r="Q875" s="65"/>
      <c r="R875" s="65"/>
      <c r="S875" s="65"/>
      <c r="T875" s="65"/>
      <c r="U875" s="65"/>
      <c r="V875" s="68"/>
      <c r="W875" s="65"/>
      <c r="X875" s="65"/>
      <c r="Y875" s="65"/>
      <c r="Z875" s="65"/>
      <c r="AA875" s="65"/>
      <c r="AB875" s="65"/>
      <c r="AC875" s="65"/>
      <c r="AD875" s="65"/>
      <c r="AE875" s="65"/>
      <c r="AF875" s="65"/>
      <c r="AG875" s="65"/>
      <c r="AH875" s="65"/>
    </row>
    <row r="876">
      <c r="A876" s="61"/>
      <c r="B876" s="61"/>
      <c r="C876" s="61"/>
      <c r="D876" s="62"/>
      <c r="E876" s="61"/>
      <c r="F876" s="61"/>
      <c r="G876" s="61"/>
      <c r="H876" s="61"/>
      <c r="I876" s="61"/>
      <c r="J876" s="61"/>
      <c r="K876" s="61"/>
      <c r="L876" s="61"/>
      <c r="M876" s="61"/>
      <c r="N876" s="61"/>
      <c r="O876" s="63"/>
      <c r="P876" s="61"/>
      <c r="Q876" s="61"/>
      <c r="R876" s="61"/>
      <c r="S876" s="61"/>
      <c r="T876" s="61"/>
      <c r="U876" s="61"/>
      <c r="V876" s="64"/>
      <c r="W876" s="61"/>
      <c r="X876" s="61"/>
      <c r="Y876" s="61"/>
      <c r="Z876" s="61"/>
      <c r="AA876" s="61"/>
      <c r="AB876" s="61"/>
      <c r="AC876" s="61"/>
      <c r="AD876" s="61"/>
      <c r="AE876" s="61"/>
      <c r="AF876" s="61"/>
      <c r="AG876" s="61"/>
      <c r="AH876" s="61"/>
    </row>
    <row r="877">
      <c r="A877" s="65"/>
      <c r="B877" s="65"/>
      <c r="C877" s="65"/>
      <c r="D877" s="66"/>
      <c r="E877" s="65"/>
      <c r="F877" s="65"/>
      <c r="G877" s="65"/>
      <c r="H877" s="65"/>
      <c r="I877" s="65"/>
      <c r="J877" s="65"/>
      <c r="K877" s="65"/>
      <c r="L877" s="65"/>
      <c r="M877" s="65"/>
      <c r="N877" s="65"/>
      <c r="O877" s="67"/>
      <c r="P877" s="65"/>
      <c r="Q877" s="65"/>
      <c r="R877" s="65"/>
      <c r="S877" s="65"/>
      <c r="T877" s="65"/>
      <c r="U877" s="65"/>
      <c r="V877" s="68"/>
      <c r="W877" s="65"/>
      <c r="X877" s="65"/>
      <c r="Y877" s="65"/>
      <c r="Z877" s="65"/>
      <c r="AA877" s="65"/>
      <c r="AB877" s="65"/>
      <c r="AC877" s="65"/>
      <c r="AD877" s="65"/>
      <c r="AE877" s="65"/>
      <c r="AF877" s="65"/>
      <c r="AG877" s="65"/>
      <c r="AH877" s="65"/>
    </row>
    <row r="878">
      <c r="A878" s="61"/>
      <c r="B878" s="61"/>
      <c r="C878" s="61"/>
      <c r="D878" s="62"/>
      <c r="E878" s="61"/>
      <c r="F878" s="61"/>
      <c r="G878" s="61"/>
      <c r="H878" s="61"/>
      <c r="I878" s="61"/>
      <c r="J878" s="61"/>
      <c r="K878" s="61"/>
      <c r="L878" s="61"/>
      <c r="M878" s="61"/>
      <c r="N878" s="61"/>
      <c r="O878" s="63"/>
      <c r="P878" s="61"/>
      <c r="Q878" s="61"/>
      <c r="R878" s="61"/>
      <c r="S878" s="61"/>
      <c r="T878" s="61"/>
      <c r="U878" s="61"/>
      <c r="V878" s="64"/>
      <c r="W878" s="61"/>
      <c r="X878" s="61"/>
      <c r="Y878" s="61"/>
      <c r="Z878" s="61"/>
      <c r="AA878" s="61"/>
      <c r="AB878" s="61"/>
      <c r="AC878" s="61"/>
      <c r="AD878" s="61"/>
      <c r="AE878" s="61"/>
      <c r="AF878" s="61"/>
      <c r="AG878" s="61"/>
      <c r="AH878" s="61"/>
    </row>
    <row r="879">
      <c r="A879" s="65"/>
      <c r="B879" s="65"/>
      <c r="C879" s="65"/>
      <c r="D879" s="66"/>
      <c r="E879" s="65"/>
      <c r="F879" s="65"/>
      <c r="G879" s="65"/>
      <c r="H879" s="65"/>
      <c r="I879" s="65"/>
      <c r="J879" s="65"/>
      <c r="K879" s="65"/>
      <c r="L879" s="65"/>
      <c r="M879" s="65"/>
      <c r="N879" s="65"/>
      <c r="O879" s="67"/>
      <c r="P879" s="65"/>
      <c r="Q879" s="65"/>
      <c r="R879" s="65"/>
      <c r="S879" s="65"/>
      <c r="T879" s="65"/>
      <c r="U879" s="65"/>
      <c r="V879" s="68"/>
      <c r="W879" s="65"/>
      <c r="X879" s="65"/>
      <c r="Y879" s="65"/>
      <c r="Z879" s="65"/>
      <c r="AA879" s="65"/>
      <c r="AB879" s="65"/>
      <c r="AC879" s="65"/>
      <c r="AD879" s="65"/>
      <c r="AE879" s="65"/>
      <c r="AF879" s="65"/>
      <c r="AG879" s="65"/>
      <c r="AH879" s="65"/>
    </row>
    <row r="880">
      <c r="A880" s="61"/>
      <c r="B880" s="61"/>
      <c r="C880" s="61"/>
      <c r="D880" s="62"/>
      <c r="E880" s="61"/>
      <c r="F880" s="61"/>
      <c r="G880" s="61"/>
      <c r="H880" s="61"/>
      <c r="I880" s="61"/>
      <c r="J880" s="61"/>
      <c r="K880" s="61"/>
      <c r="L880" s="61"/>
      <c r="M880" s="61"/>
      <c r="N880" s="61"/>
      <c r="O880" s="63"/>
      <c r="P880" s="61"/>
      <c r="Q880" s="61"/>
      <c r="R880" s="61"/>
      <c r="S880" s="61"/>
      <c r="T880" s="61"/>
      <c r="U880" s="61"/>
      <c r="V880" s="64"/>
      <c r="W880" s="61"/>
      <c r="X880" s="61"/>
      <c r="Y880" s="61"/>
      <c r="Z880" s="61"/>
      <c r="AA880" s="61"/>
      <c r="AB880" s="61"/>
      <c r="AC880" s="61"/>
      <c r="AD880" s="61"/>
      <c r="AE880" s="61"/>
      <c r="AF880" s="61"/>
      <c r="AG880" s="61"/>
      <c r="AH880" s="61"/>
    </row>
    <row r="881">
      <c r="A881" s="65"/>
      <c r="B881" s="65"/>
      <c r="C881" s="65"/>
      <c r="D881" s="66"/>
      <c r="E881" s="65"/>
      <c r="F881" s="65"/>
      <c r="G881" s="65"/>
      <c r="H881" s="65"/>
      <c r="I881" s="65"/>
      <c r="J881" s="65"/>
      <c r="K881" s="65"/>
      <c r="L881" s="65"/>
      <c r="M881" s="65"/>
      <c r="N881" s="65"/>
      <c r="O881" s="67"/>
      <c r="P881" s="65"/>
      <c r="Q881" s="65"/>
      <c r="R881" s="65"/>
      <c r="S881" s="65"/>
      <c r="T881" s="65"/>
      <c r="U881" s="65"/>
      <c r="V881" s="68"/>
      <c r="W881" s="65"/>
      <c r="X881" s="65"/>
      <c r="Y881" s="65"/>
      <c r="Z881" s="65"/>
      <c r="AA881" s="65"/>
      <c r="AB881" s="65"/>
      <c r="AC881" s="65"/>
      <c r="AD881" s="65"/>
      <c r="AE881" s="65"/>
      <c r="AF881" s="65"/>
      <c r="AG881" s="65"/>
      <c r="AH881" s="65"/>
    </row>
    <row r="882">
      <c r="A882" s="61"/>
      <c r="B882" s="61"/>
      <c r="C882" s="61"/>
      <c r="D882" s="62"/>
      <c r="E882" s="61"/>
      <c r="F882" s="61"/>
      <c r="G882" s="61"/>
      <c r="H882" s="61"/>
      <c r="I882" s="61"/>
      <c r="J882" s="61"/>
      <c r="K882" s="61"/>
      <c r="L882" s="61"/>
      <c r="M882" s="61"/>
      <c r="N882" s="61"/>
      <c r="O882" s="63"/>
      <c r="P882" s="61"/>
      <c r="Q882" s="61"/>
      <c r="R882" s="61"/>
      <c r="S882" s="61"/>
      <c r="T882" s="61"/>
      <c r="U882" s="61"/>
      <c r="V882" s="64"/>
      <c r="W882" s="61"/>
      <c r="X882" s="61"/>
      <c r="Y882" s="61"/>
      <c r="Z882" s="61"/>
      <c r="AA882" s="61"/>
      <c r="AB882" s="61"/>
      <c r="AC882" s="61"/>
      <c r="AD882" s="61"/>
      <c r="AE882" s="61"/>
      <c r="AF882" s="61"/>
      <c r="AG882" s="61"/>
      <c r="AH882" s="61"/>
    </row>
    <row r="883">
      <c r="A883" s="65"/>
      <c r="B883" s="65"/>
      <c r="C883" s="65"/>
      <c r="D883" s="66"/>
      <c r="E883" s="65"/>
      <c r="F883" s="65"/>
      <c r="G883" s="65"/>
      <c r="H883" s="65"/>
      <c r="I883" s="65"/>
      <c r="J883" s="65"/>
      <c r="K883" s="65"/>
      <c r="L883" s="65"/>
      <c r="M883" s="65"/>
      <c r="N883" s="65"/>
      <c r="O883" s="67"/>
      <c r="P883" s="65"/>
      <c r="Q883" s="65"/>
      <c r="R883" s="65"/>
      <c r="S883" s="65"/>
      <c r="T883" s="65"/>
      <c r="U883" s="65"/>
      <c r="V883" s="68"/>
      <c r="W883" s="65"/>
      <c r="X883" s="65"/>
      <c r="Y883" s="65"/>
      <c r="Z883" s="65"/>
      <c r="AA883" s="65"/>
      <c r="AB883" s="65"/>
      <c r="AC883" s="65"/>
      <c r="AD883" s="65"/>
      <c r="AE883" s="65"/>
      <c r="AF883" s="65"/>
      <c r="AG883" s="65"/>
      <c r="AH883" s="65"/>
    </row>
    <row r="884">
      <c r="A884" s="61"/>
      <c r="B884" s="61"/>
      <c r="C884" s="61"/>
      <c r="D884" s="62"/>
      <c r="E884" s="61"/>
      <c r="F884" s="61"/>
      <c r="G884" s="61"/>
      <c r="H884" s="61"/>
      <c r="I884" s="61"/>
      <c r="J884" s="61"/>
      <c r="K884" s="61"/>
      <c r="L884" s="61"/>
      <c r="M884" s="61"/>
      <c r="N884" s="61"/>
      <c r="O884" s="63"/>
      <c r="P884" s="61"/>
      <c r="Q884" s="61"/>
      <c r="R884" s="61"/>
      <c r="S884" s="61"/>
      <c r="T884" s="61"/>
      <c r="U884" s="61"/>
      <c r="V884" s="64"/>
      <c r="W884" s="61"/>
      <c r="X884" s="61"/>
      <c r="Y884" s="61"/>
      <c r="Z884" s="61"/>
      <c r="AA884" s="61"/>
      <c r="AB884" s="61"/>
      <c r="AC884" s="61"/>
      <c r="AD884" s="61"/>
      <c r="AE884" s="61"/>
      <c r="AF884" s="61"/>
      <c r="AG884" s="61"/>
      <c r="AH884" s="61"/>
    </row>
    <row r="885">
      <c r="A885" s="65"/>
      <c r="B885" s="65"/>
      <c r="C885" s="65"/>
      <c r="D885" s="66"/>
      <c r="E885" s="65"/>
      <c r="F885" s="65"/>
      <c r="G885" s="65"/>
      <c r="H885" s="65"/>
      <c r="I885" s="65"/>
      <c r="J885" s="65"/>
      <c r="K885" s="65"/>
      <c r="L885" s="65"/>
      <c r="M885" s="65"/>
      <c r="N885" s="65"/>
      <c r="O885" s="67"/>
      <c r="P885" s="65"/>
      <c r="Q885" s="65"/>
      <c r="R885" s="65"/>
      <c r="S885" s="65"/>
      <c r="T885" s="65"/>
      <c r="U885" s="65"/>
      <c r="V885" s="68"/>
      <c r="W885" s="65"/>
      <c r="X885" s="65"/>
      <c r="Y885" s="65"/>
      <c r="Z885" s="65"/>
      <c r="AA885" s="65"/>
      <c r="AB885" s="65"/>
      <c r="AC885" s="65"/>
      <c r="AD885" s="65"/>
      <c r="AE885" s="65"/>
      <c r="AF885" s="65"/>
      <c r="AG885" s="65"/>
      <c r="AH885" s="65"/>
    </row>
    <row r="886">
      <c r="A886" s="61"/>
      <c r="B886" s="61"/>
      <c r="C886" s="61"/>
      <c r="D886" s="62"/>
      <c r="E886" s="61"/>
      <c r="F886" s="61"/>
      <c r="G886" s="61"/>
      <c r="H886" s="61"/>
      <c r="I886" s="61"/>
      <c r="J886" s="61"/>
      <c r="K886" s="61"/>
      <c r="L886" s="61"/>
      <c r="M886" s="61"/>
      <c r="N886" s="61"/>
      <c r="O886" s="63"/>
      <c r="P886" s="61"/>
      <c r="Q886" s="61"/>
      <c r="R886" s="61"/>
      <c r="S886" s="61"/>
      <c r="T886" s="61"/>
      <c r="U886" s="61"/>
      <c r="V886" s="64"/>
      <c r="W886" s="61"/>
      <c r="X886" s="61"/>
      <c r="Y886" s="61"/>
      <c r="Z886" s="61"/>
      <c r="AA886" s="61"/>
      <c r="AB886" s="61"/>
      <c r="AC886" s="61"/>
      <c r="AD886" s="61"/>
      <c r="AE886" s="61"/>
      <c r="AF886" s="61"/>
      <c r="AG886" s="61"/>
      <c r="AH886" s="61"/>
    </row>
    <row r="887">
      <c r="A887" s="65"/>
      <c r="B887" s="65"/>
      <c r="C887" s="65"/>
      <c r="D887" s="66"/>
      <c r="E887" s="65"/>
      <c r="F887" s="65"/>
      <c r="G887" s="65"/>
      <c r="H887" s="65"/>
      <c r="I887" s="65"/>
      <c r="J887" s="65"/>
      <c r="K887" s="65"/>
      <c r="L887" s="65"/>
      <c r="M887" s="65"/>
      <c r="N887" s="65"/>
      <c r="O887" s="67"/>
      <c r="P887" s="65"/>
      <c r="Q887" s="65"/>
      <c r="R887" s="65"/>
      <c r="S887" s="65"/>
      <c r="T887" s="65"/>
      <c r="U887" s="65"/>
      <c r="V887" s="68"/>
      <c r="W887" s="65"/>
      <c r="X887" s="65"/>
      <c r="Y887" s="65"/>
      <c r="Z887" s="65"/>
      <c r="AA887" s="65"/>
      <c r="AB887" s="65"/>
      <c r="AC887" s="65"/>
      <c r="AD887" s="65"/>
      <c r="AE887" s="65"/>
      <c r="AF887" s="65"/>
      <c r="AG887" s="65"/>
      <c r="AH887" s="65"/>
    </row>
    <row r="888">
      <c r="A888" s="61"/>
      <c r="B888" s="61"/>
      <c r="C888" s="61"/>
      <c r="D888" s="62"/>
      <c r="E888" s="61"/>
      <c r="F888" s="61"/>
      <c r="G888" s="61"/>
      <c r="H888" s="61"/>
      <c r="I888" s="61"/>
      <c r="J888" s="61"/>
      <c r="K888" s="61"/>
      <c r="L888" s="61"/>
      <c r="M888" s="61"/>
      <c r="N888" s="61"/>
      <c r="O888" s="63"/>
      <c r="P888" s="61"/>
      <c r="Q888" s="61"/>
      <c r="R888" s="61"/>
      <c r="S888" s="61"/>
      <c r="T888" s="61"/>
      <c r="U888" s="61"/>
      <c r="V888" s="64"/>
      <c r="W888" s="61"/>
      <c r="X888" s="61"/>
      <c r="Y888" s="61"/>
      <c r="Z888" s="61"/>
      <c r="AA888" s="61"/>
      <c r="AB888" s="61"/>
      <c r="AC888" s="61"/>
      <c r="AD888" s="61"/>
      <c r="AE888" s="61"/>
      <c r="AF888" s="61"/>
      <c r="AG888" s="61"/>
      <c r="AH888" s="61"/>
    </row>
    <row r="889">
      <c r="A889" s="65"/>
      <c r="B889" s="65"/>
      <c r="C889" s="65"/>
      <c r="D889" s="66"/>
      <c r="E889" s="65"/>
      <c r="F889" s="65"/>
      <c r="G889" s="65"/>
      <c r="H889" s="65"/>
      <c r="I889" s="65"/>
      <c r="J889" s="65"/>
      <c r="K889" s="65"/>
      <c r="L889" s="65"/>
      <c r="M889" s="65"/>
      <c r="N889" s="65"/>
      <c r="O889" s="67"/>
      <c r="P889" s="65"/>
      <c r="Q889" s="65"/>
      <c r="R889" s="65"/>
      <c r="S889" s="65"/>
      <c r="T889" s="65"/>
      <c r="U889" s="65"/>
      <c r="V889" s="68"/>
      <c r="W889" s="65"/>
      <c r="X889" s="65"/>
      <c r="Y889" s="65"/>
      <c r="Z889" s="65"/>
      <c r="AA889" s="65"/>
      <c r="AB889" s="65"/>
      <c r="AC889" s="65"/>
      <c r="AD889" s="65"/>
      <c r="AE889" s="65"/>
      <c r="AF889" s="65"/>
      <c r="AG889" s="65"/>
      <c r="AH889" s="65"/>
    </row>
    <row r="890">
      <c r="A890" s="61"/>
      <c r="B890" s="61"/>
      <c r="C890" s="61"/>
      <c r="D890" s="62"/>
      <c r="E890" s="61"/>
      <c r="F890" s="61"/>
      <c r="G890" s="61"/>
      <c r="H890" s="61"/>
      <c r="I890" s="61"/>
      <c r="J890" s="61"/>
      <c r="K890" s="61"/>
      <c r="L890" s="61"/>
      <c r="M890" s="61"/>
      <c r="N890" s="61"/>
      <c r="O890" s="63"/>
      <c r="P890" s="61"/>
      <c r="Q890" s="61"/>
      <c r="R890" s="61"/>
      <c r="S890" s="61"/>
      <c r="T890" s="61"/>
      <c r="U890" s="61"/>
      <c r="V890" s="64"/>
      <c r="W890" s="61"/>
      <c r="X890" s="61"/>
      <c r="Y890" s="61"/>
      <c r="Z890" s="61"/>
      <c r="AA890" s="61"/>
      <c r="AB890" s="61"/>
      <c r="AC890" s="61"/>
      <c r="AD890" s="61"/>
      <c r="AE890" s="61"/>
      <c r="AF890" s="61"/>
      <c r="AG890" s="61"/>
      <c r="AH890" s="61"/>
    </row>
    <row r="891">
      <c r="A891" s="65"/>
      <c r="B891" s="65"/>
      <c r="C891" s="65"/>
      <c r="D891" s="66"/>
      <c r="E891" s="65"/>
      <c r="F891" s="65"/>
      <c r="G891" s="65"/>
      <c r="H891" s="65"/>
      <c r="I891" s="65"/>
      <c r="J891" s="65"/>
      <c r="K891" s="65"/>
      <c r="L891" s="65"/>
      <c r="M891" s="65"/>
      <c r="N891" s="65"/>
      <c r="O891" s="67"/>
      <c r="P891" s="65"/>
      <c r="Q891" s="65"/>
      <c r="R891" s="65"/>
      <c r="S891" s="65"/>
      <c r="T891" s="65"/>
      <c r="U891" s="65"/>
      <c r="V891" s="68"/>
      <c r="W891" s="65"/>
      <c r="X891" s="65"/>
      <c r="Y891" s="65"/>
      <c r="Z891" s="65"/>
      <c r="AA891" s="65"/>
      <c r="AB891" s="65"/>
      <c r="AC891" s="65"/>
      <c r="AD891" s="65"/>
      <c r="AE891" s="65"/>
      <c r="AF891" s="65"/>
      <c r="AG891" s="65"/>
      <c r="AH891" s="65"/>
    </row>
    <row r="892">
      <c r="A892" s="61"/>
      <c r="B892" s="61"/>
      <c r="C892" s="61"/>
      <c r="D892" s="62"/>
      <c r="E892" s="61"/>
      <c r="F892" s="61"/>
      <c r="G892" s="61"/>
      <c r="H892" s="61"/>
      <c r="I892" s="61"/>
      <c r="J892" s="61"/>
      <c r="K892" s="61"/>
      <c r="L892" s="61"/>
      <c r="M892" s="61"/>
      <c r="N892" s="61"/>
      <c r="O892" s="63"/>
      <c r="P892" s="61"/>
      <c r="Q892" s="61"/>
      <c r="R892" s="61"/>
      <c r="S892" s="61"/>
      <c r="T892" s="61"/>
      <c r="U892" s="61"/>
      <c r="V892" s="64"/>
      <c r="W892" s="61"/>
      <c r="X892" s="61"/>
      <c r="Y892" s="61"/>
      <c r="Z892" s="61"/>
      <c r="AA892" s="61"/>
      <c r="AB892" s="61"/>
      <c r="AC892" s="61"/>
      <c r="AD892" s="61"/>
      <c r="AE892" s="61"/>
      <c r="AF892" s="61"/>
      <c r="AG892" s="61"/>
      <c r="AH892" s="61"/>
    </row>
    <row r="893">
      <c r="A893" s="65"/>
      <c r="B893" s="65"/>
      <c r="C893" s="65"/>
      <c r="D893" s="66"/>
      <c r="E893" s="65"/>
      <c r="F893" s="65"/>
      <c r="G893" s="65"/>
      <c r="H893" s="65"/>
      <c r="I893" s="65"/>
      <c r="J893" s="65"/>
      <c r="K893" s="65"/>
      <c r="L893" s="65"/>
      <c r="M893" s="65"/>
      <c r="N893" s="65"/>
      <c r="O893" s="67"/>
      <c r="P893" s="65"/>
      <c r="Q893" s="65"/>
      <c r="R893" s="65"/>
      <c r="S893" s="65"/>
      <c r="T893" s="65"/>
      <c r="U893" s="65"/>
      <c r="V893" s="68"/>
      <c r="W893" s="65"/>
      <c r="X893" s="65"/>
      <c r="Y893" s="65"/>
      <c r="Z893" s="65"/>
      <c r="AA893" s="65"/>
      <c r="AB893" s="65"/>
      <c r="AC893" s="65"/>
      <c r="AD893" s="65"/>
      <c r="AE893" s="65"/>
      <c r="AF893" s="65"/>
      <c r="AG893" s="65"/>
      <c r="AH893" s="65"/>
    </row>
    <row r="894">
      <c r="A894" s="61"/>
      <c r="B894" s="61"/>
      <c r="C894" s="61"/>
      <c r="D894" s="62"/>
      <c r="E894" s="61"/>
      <c r="F894" s="61"/>
      <c r="G894" s="61"/>
      <c r="H894" s="61"/>
      <c r="I894" s="61"/>
      <c r="J894" s="61"/>
      <c r="K894" s="61"/>
      <c r="L894" s="61"/>
      <c r="M894" s="61"/>
      <c r="N894" s="61"/>
      <c r="O894" s="63"/>
      <c r="P894" s="61"/>
      <c r="Q894" s="61"/>
      <c r="R894" s="61"/>
      <c r="S894" s="61"/>
      <c r="T894" s="61"/>
      <c r="U894" s="61"/>
      <c r="V894" s="64"/>
      <c r="W894" s="61"/>
      <c r="X894" s="61"/>
      <c r="Y894" s="61"/>
      <c r="Z894" s="61"/>
      <c r="AA894" s="61"/>
      <c r="AB894" s="61"/>
      <c r="AC894" s="61"/>
      <c r="AD894" s="61"/>
      <c r="AE894" s="61"/>
      <c r="AF894" s="61"/>
      <c r="AG894" s="61"/>
      <c r="AH894" s="61"/>
    </row>
    <row r="895">
      <c r="A895" s="65"/>
      <c r="B895" s="65"/>
      <c r="C895" s="65"/>
      <c r="D895" s="66"/>
      <c r="E895" s="65"/>
      <c r="F895" s="65"/>
      <c r="G895" s="65"/>
      <c r="H895" s="65"/>
      <c r="I895" s="65"/>
      <c r="J895" s="65"/>
      <c r="K895" s="65"/>
      <c r="L895" s="65"/>
      <c r="M895" s="65"/>
      <c r="N895" s="65"/>
      <c r="O895" s="67"/>
      <c r="P895" s="65"/>
      <c r="Q895" s="65"/>
      <c r="R895" s="65"/>
      <c r="S895" s="65"/>
      <c r="T895" s="65"/>
      <c r="U895" s="65"/>
      <c r="V895" s="68"/>
      <c r="W895" s="65"/>
      <c r="X895" s="65"/>
      <c r="Y895" s="65"/>
      <c r="Z895" s="65"/>
      <c r="AA895" s="65"/>
      <c r="AB895" s="65"/>
      <c r="AC895" s="65"/>
      <c r="AD895" s="65"/>
      <c r="AE895" s="65"/>
      <c r="AF895" s="65"/>
      <c r="AG895" s="65"/>
      <c r="AH895" s="65"/>
    </row>
    <row r="896">
      <c r="A896" s="61"/>
      <c r="B896" s="61"/>
      <c r="C896" s="61"/>
      <c r="D896" s="62"/>
      <c r="E896" s="61"/>
      <c r="F896" s="61"/>
      <c r="G896" s="61"/>
      <c r="H896" s="61"/>
      <c r="I896" s="61"/>
      <c r="J896" s="61"/>
      <c r="K896" s="61"/>
      <c r="L896" s="61"/>
      <c r="M896" s="61"/>
      <c r="N896" s="61"/>
      <c r="O896" s="63"/>
      <c r="P896" s="61"/>
      <c r="Q896" s="61"/>
      <c r="R896" s="61"/>
      <c r="S896" s="61"/>
      <c r="T896" s="61"/>
      <c r="U896" s="61"/>
      <c r="V896" s="64"/>
      <c r="W896" s="61"/>
      <c r="X896" s="61"/>
      <c r="Y896" s="61"/>
      <c r="Z896" s="61"/>
      <c r="AA896" s="61"/>
      <c r="AB896" s="61"/>
      <c r="AC896" s="61"/>
      <c r="AD896" s="61"/>
      <c r="AE896" s="61"/>
      <c r="AF896" s="61"/>
      <c r="AG896" s="61"/>
      <c r="AH896" s="61"/>
    </row>
    <row r="897">
      <c r="A897" s="65"/>
      <c r="B897" s="65"/>
      <c r="C897" s="65"/>
      <c r="D897" s="66"/>
      <c r="E897" s="65"/>
      <c r="F897" s="65"/>
      <c r="G897" s="65"/>
      <c r="H897" s="65"/>
      <c r="I897" s="65"/>
      <c r="J897" s="65"/>
      <c r="K897" s="65"/>
      <c r="L897" s="65"/>
      <c r="M897" s="65"/>
      <c r="N897" s="65"/>
      <c r="O897" s="67"/>
      <c r="P897" s="65"/>
      <c r="Q897" s="65"/>
      <c r="R897" s="65"/>
      <c r="S897" s="65"/>
      <c r="T897" s="65"/>
      <c r="U897" s="65"/>
      <c r="V897" s="68"/>
      <c r="W897" s="65"/>
      <c r="X897" s="65"/>
      <c r="Y897" s="65"/>
      <c r="Z897" s="65"/>
      <c r="AA897" s="65"/>
      <c r="AB897" s="65"/>
      <c r="AC897" s="65"/>
      <c r="AD897" s="65"/>
      <c r="AE897" s="65"/>
      <c r="AF897" s="65"/>
      <c r="AG897" s="65"/>
      <c r="AH897" s="65"/>
    </row>
    <row r="898">
      <c r="A898" s="61"/>
      <c r="B898" s="61"/>
      <c r="C898" s="61"/>
      <c r="D898" s="62"/>
      <c r="E898" s="61"/>
      <c r="F898" s="61"/>
      <c r="G898" s="61"/>
      <c r="H898" s="61"/>
      <c r="I898" s="61"/>
      <c r="J898" s="61"/>
      <c r="K898" s="61"/>
      <c r="L898" s="61"/>
      <c r="M898" s="61"/>
      <c r="N898" s="61"/>
      <c r="O898" s="63"/>
      <c r="P898" s="61"/>
      <c r="Q898" s="61"/>
      <c r="R898" s="61"/>
      <c r="S898" s="61"/>
      <c r="T898" s="61"/>
      <c r="U898" s="61"/>
      <c r="V898" s="64"/>
      <c r="W898" s="61"/>
      <c r="X898" s="61"/>
      <c r="Y898" s="61"/>
      <c r="Z898" s="61"/>
      <c r="AA898" s="61"/>
      <c r="AB898" s="61"/>
      <c r="AC898" s="61"/>
      <c r="AD898" s="61"/>
      <c r="AE898" s="61"/>
      <c r="AF898" s="61"/>
      <c r="AG898" s="61"/>
      <c r="AH898" s="61"/>
    </row>
    <row r="899">
      <c r="A899" s="65"/>
      <c r="B899" s="65"/>
      <c r="C899" s="65"/>
      <c r="D899" s="66"/>
      <c r="E899" s="65"/>
      <c r="F899" s="65"/>
      <c r="G899" s="65"/>
      <c r="H899" s="65"/>
      <c r="I899" s="65"/>
      <c r="J899" s="65"/>
      <c r="K899" s="65"/>
      <c r="L899" s="65"/>
      <c r="M899" s="65"/>
      <c r="N899" s="65"/>
      <c r="O899" s="67"/>
      <c r="P899" s="65"/>
      <c r="Q899" s="65"/>
      <c r="R899" s="65"/>
      <c r="S899" s="65"/>
      <c r="T899" s="65"/>
      <c r="U899" s="65"/>
      <c r="V899" s="68"/>
      <c r="W899" s="65"/>
      <c r="X899" s="65"/>
      <c r="Y899" s="65"/>
      <c r="Z899" s="65"/>
      <c r="AA899" s="65"/>
      <c r="AB899" s="65"/>
      <c r="AC899" s="65"/>
      <c r="AD899" s="65"/>
      <c r="AE899" s="65"/>
      <c r="AF899" s="65"/>
      <c r="AG899" s="65"/>
      <c r="AH899" s="65"/>
    </row>
    <row r="900">
      <c r="A900" s="61"/>
      <c r="B900" s="61"/>
      <c r="C900" s="61"/>
      <c r="D900" s="62"/>
      <c r="E900" s="61"/>
      <c r="F900" s="61"/>
      <c r="G900" s="61"/>
      <c r="H900" s="61"/>
      <c r="I900" s="61"/>
      <c r="J900" s="61"/>
      <c r="K900" s="61"/>
      <c r="L900" s="61"/>
      <c r="M900" s="61"/>
      <c r="N900" s="61"/>
      <c r="O900" s="63"/>
      <c r="P900" s="61"/>
      <c r="Q900" s="61"/>
      <c r="R900" s="61"/>
      <c r="S900" s="61"/>
      <c r="T900" s="61"/>
      <c r="U900" s="61"/>
      <c r="V900" s="64"/>
      <c r="W900" s="61"/>
      <c r="X900" s="61"/>
      <c r="Y900" s="61"/>
      <c r="Z900" s="61"/>
      <c r="AA900" s="61"/>
      <c r="AB900" s="61"/>
      <c r="AC900" s="61"/>
      <c r="AD900" s="61"/>
      <c r="AE900" s="61"/>
      <c r="AF900" s="61"/>
      <c r="AG900" s="61"/>
      <c r="AH900" s="61"/>
    </row>
    <row r="901">
      <c r="A901" s="65"/>
      <c r="B901" s="65"/>
      <c r="C901" s="65"/>
      <c r="D901" s="66"/>
      <c r="E901" s="65"/>
      <c r="F901" s="65"/>
      <c r="G901" s="65"/>
      <c r="H901" s="65"/>
      <c r="I901" s="65"/>
      <c r="J901" s="65"/>
      <c r="K901" s="65"/>
      <c r="L901" s="65"/>
      <c r="M901" s="65"/>
      <c r="N901" s="65"/>
      <c r="O901" s="67"/>
      <c r="P901" s="65"/>
      <c r="Q901" s="65"/>
      <c r="R901" s="65"/>
      <c r="S901" s="65"/>
      <c r="T901" s="65"/>
      <c r="U901" s="65"/>
      <c r="V901" s="68"/>
      <c r="W901" s="65"/>
      <c r="X901" s="65"/>
      <c r="Y901" s="65"/>
      <c r="Z901" s="65"/>
      <c r="AA901" s="65"/>
      <c r="AB901" s="65"/>
      <c r="AC901" s="65"/>
      <c r="AD901" s="65"/>
      <c r="AE901" s="65"/>
      <c r="AF901" s="65"/>
      <c r="AG901" s="65"/>
      <c r="AH901" s="65"/>
    </row>
    <row r="902">
      <c r="A902" s="61"/>
      <c r="B902" s="61"/>
      <c r="C902" s="61"/>
      <c r="D902" s="62"/>
      <c r="E902" s="61"/>
      <c r="F902" s="61"/>
      <c r="G902" s="61"/>
      <c r="H902" s="61"/>
      <c r="I902" s="61"/>
      <c r="J902" s="61"/>
      <c r="K902" s="61"/>
      <c r="L902" s="61"/>
      <c r="M902" s="61"/>
      <c r="N902" s="61"/>
      <c r="O902" s="63"/>
      <c r="P902" s="61"/>
      <c r="Q902" s="61"/>
      <c r="R902" s="61"/>
      <c r="S902" s="61"/>
      <c r="T902" s="61"/>
      <c r="U902" s="61"/>
      <c r="V902" s="64"/>
      <c r="W902" s="61"/>
      <c r="X902" s="61"/>
      <c r="Y902" s="61"/>
      <c r="Z902" s="61"/>
      <c r="AA902" s="61"/>
      <c r="AB902" s="61"/>
      <c r="AC902" s="61"/>
      <c r="AD902" s="61"/>
      <c r="AE902" s="61"/>
      <c r="AF902" s="61"/>
      <c r="AG902" s="61"/>
      <c r="AH902" s="61"/>
    </row>
    <row r="903">
      <c r="A903" s="65"/>
      <c r="B903" s="65"/>
      <c r="C903" s="65"/>
      <c r="D903" s="66"/>
      <c r="E903" s="65"/>
      <c r="F903" s="65"/>
      <c r="G903" s="65"/>
      <c r="H903" s="65"/>
      <c r="I903" s="65"/>
      <c r="J903" s="65"/>
      <c r="K903" s="65"/>
      <c r="L903" s="65"/>
      <c r="M903" s="65"/>
      <c r="N903" s="65"/>
      <c r="O903" s="67"/>
      <c r="P903" s="65"/>
      <c r="Q903" s="65"/>
      <c r="R903" s="65"/>
      <c r="S903" s="65"/>
      <c r="T903" s="65"/>
      <c r="U903" s="65"/>
      <c r="V903" s="68"/>
      <c r="W903" s="65"/>
      <c r="X903" s="65"/>
      <c r="Y903" s="65"/>
      <c r="Z903" s="65"/>
      <c r="AA903" s="65"/>
      <c r="AB903" s="65"/>
      <c r="AC903" s="65"/>
      <c r="AD903" s="65"/>
      <c r="AE903" s="65"/>
      <c r="AF903" s="65"/>
      <c r="AG903" s="65"/>
      <c r="AH903" s="65"/>
    </row>
    <row r="904">
      <c r="A904" s="61"/>
      <c r="B904" s="61"/>
      <c r="C904" s="61"/>
      <c r="D904" s="62"/>
      <c r="E904" s="61"/>
      <c r="F904" s="61"/>
      <c r="G904" s="61"/>
      <c r="H904" s="61"/>
      <c r="I904" s="61"/>
      <c r="J904" s="61"/>
      <c r="K904" s="61"/>
      <c r="L904" s="61"/>
      <c r="M904" s="61"/>
      <c r="N904" s="61"/>
      <c r="O904" s="63"/>
      <c r="P904" s="61"/>
      <c r="Q904" s="61"/>
      <c r="R904" s="61"/>
      <c r="S904" s="61"/>
      <c r="T904" s="61"/>
      <c r="U904" s="61"/>
      <c r="V904" s="64"/>
      <c r="W904" s="61"/>
      <c r="X904" s="61"/>
      <c r="Y904" s="61"/>
      <c r="Z904" s="61"/>
      <c r="AA904" s="61"/>
      <c r="AB904" s="61"/>
      <c r="AC904" s="61"/>
      <c r="AD904" s="61"/>
      <c r="AE904" s="61"/>
      <c r="AF904" s="61"/>
      <c r="AG904" s="61"/>
      <c r="AH904" s="61"/>
    </row>
    <row r="905">
      <c r="A905" s="65"/>
      <c r="B905" s="65"/>
      <c r="C905" s="65"/>
      <c r="D905" s="66"/>
      <c r="E905" s="65"/>
      <c r="F905" s="65"/>
      <c r="G905" s="65"/>
      <c r="H905" s="65"/>
      <c r="I905" s="65"/>
      <c r="J905" s="65"/>
      <c r="K905" s="65"/>
      <c r="L905" s="65"/>
      <c r="M905" s="65"/>
      <c r="N905" s="65"/>
      <c r="O905" s="67"/>
      <c r="P905" s="65"/>
      <c r="Q905" s="65"/>
      <c r="R905" s="65"/>
      <c r="S905" s="65"/>
      <c r="T905" s="65"/>
      <c r="U905" s="65"/>
      <c r="V905" s="68"/>
      <c r="W905" s="65"/>
      <c r="X905" s="65"/>
      <c r="Y905" s="65"/>
      <c r="Z905" s="65"/>
      <c r="AA905" s="65"/>
      <c r="AB905" s="65"/>
      <c r="AC905" s="65"/>
      <c r="AD905" s="65"/>
      <c r="AE905" s="65"/>
      <c r="AF905" s="65"/>
      <c r="AG905" s="65"/>
      <c r="AH905" s="65"/>
    </row>
    <row r="906">
      <c r="A906" s="61"/>
      <c r="B906" s="61"/>
      <c r="C906" s="61"/>
      <c r="D906" s="62"/>
      <c r="E906" s="61"/>
      <c r="F906" s="61"/>
      <c r="G906" s="61"/>
      <c r="H906" s="61"/>
      <c r="I906" s="61"/>
      <c r="J906" s="61"/>
      <c r="K906" s="61"/>
      <c r="L906" s="61"/>
      <c r="M906" s="61"/>
      <c r="N906" s="61"/>
      <c r="O906" s="63"/>
      <c r="P906" s="61"/>
      <c r="Q906" s="61"/>
      <c r="R906" s="61"/>
      <c r="S906" s="61"/>
      <c r="T906" s="61"/>
      <c r="U906" s="61"/>
      <c r="V906" s="64"/>
      <c r="W906" s="61"/>
      <c r="X906" s="61"/>
      <c r="Y906" s="61"/>
      <c r="Z906" s="61"/>
      <c r="AA906" s="61"/>
      <c r="AB906" s="61"/>
      <c r="AC906" s="61"/>
      <c r="AD906" s="61"/>
      <c r="AE906" s="61"/>
      <c r="AF906" s="61"/>
      <c r="AG906" s="61"/>
      <c r="AH906" s="61"/>
    </row>
    <row r="907">
      <c r="A907" s="65"/>
      <c r="B907" s="65"/>
      <c r="C907" s="65"/>
      <c r="D907" s="66"/>
      <c r="E907" s="65"/>
      <c r="F907" s="65"/>
      <c r="G907" s="65"/>
      <c r="H907" s="65"/>
      <c r="I907" s="65"/>
      <c r="J907" s="65"/>
      <c r="K907" s="65"/>
      <c r="L907" s="65"/>
      <c r="M907" s="65"/>
      <c r="N907" s="65"/>
      <c r="O907" s="67"/>
      <c r="P907" s="65"/>
      <c r="Q907" s="65"/>
      <c r="R907" s="65"/>
      <c r="S907" s="65"/>
      <c r="T907" s="65"/>
      <c r="U907" s="65"/>
      <c r="V907" s="68"/>
      <c r="W907" s="65"/>
      <c r="X907" s="65"/>
      <c r="Y907" s="65"/>
      <c r="Z907" s="65"/>
      <c r="AA907" s="65"/>
      <c r="AB907" s="65"/>
      <c r="AC907" s="65"/>
      <c r="AD907" s="65"/>
      <c r="AE907" s="65"/>
      <c r="AF907" s="65"/>
      <c r="AG907" s="65"/>
      <c r="AH907" s="65"/>
    </row>
    <row r="908">
      <c r="A908" s="61"/>
      <c r="B908" s="61"/>
      <c r="C908" s="61"/>
      <c r="D908" s="62"/>
      <c r="E908" s="61"/>
      <c r="F908" s="61"/>
      <c r="G908" s="61"/>
      <c r="H908" s="61"/>
      <c r="I908" s="61"/>
      <c r="J908" s="61"/>
      <c r="K908" s="61"/>
      <c r="L908" s="61"/>
      <c r="M908" s="61"/>
      <c r="N908" s="61"/>
      <c r="O908" s="63"/>
      <c r="P908" s="61"/>
      <c r="Q908" s="61"/>
      <c r="R908" s="61"/>
      <c r="S908" s="61"/>
      <c r="T908" s="61"/>
      <c r="U908" s="61"/>
      <c r="V908" s="64"/>
      <c r="W908" s="61"/>
      <c r="X908" s="61"/>
      <c r="Y908" s="61"/>
      <c r="Z908" s="61"/>
      <c r="AA908" s="61"/>
      <c r="AB908" s="61"/>
      <c r="AC908" s="61"/>
      <c r="AD908" s="61"/>
      <c r="AE908" s="61"/>
      <c r="AF908" s="61"/>
      <c r="AG908" s="61"/>
      <c r="AH908" s="61"/>
    </row>
    <row r="909">
      <c r="A909" s="65"/>
      <c r="B909" s="65"/>
      <c r="C909" s="65"/>
      <c r="D909" s="66"/>
      <c r="E909" s="65"/>
      <c r="F909" s="65"/>
      <c r="G909" s="65"/>
      <c r="H909" s="65"/>
      <c r="I909" s="65"/>
      <c r="J909" s="65"/>
      <c r="K909" s="65"/>
      <c r="L909" s="65"/>
      <c r="M909" s="65"/>
      <c r="N909" s="65"/>
      <c r="O909" s="67"/>
      <c r="P909" s="65"/>
      <c r="Q909" s="65"/>
      <c r="R909" s="65"/>
      <c r="S909" s="65"/>
      <c r="T909" s="65"/>
      <c r="U909" s="65"/>
      <c r="V909" s="68"/>
      <c r="W909" s="65"/>
      <c r="X909" s="65"/>
      <c r="Y909" s="65"/>
      <c r="Z909" s="65"/>
      <c r="AA909" s="65"/>
      <c r="AB909" s="65"/>
      <c r="AC909" s="65"/>
      <c r="AD909" s="65"/>
      <c r="AE909" s="65"/>
      <c r="AF909" s="65"/>
      <c r="AG909" s="65"/>
      <c r="AH909" s="65"/>
    </row>
    <row r="910">
      <c r="A910" s="61"/>
      <c r="B910" s="61"/>
      <c r="C910" s="61"/>
      <c r="D910" s="62"/>
      <c r="E910" s="61"/>
      <c r="F910" s="61"/>
      <c r="G910" s="61"/>
      <c r="H910" s="61"/>
      <c r="I910" s="61"/>
      <c r="J910" s="61"/>
      <c r="K910" s="61"/>
      <c r="L910" s="61"/>
      <c r="M910" s="61"/>
      <c r="N910" s="61"/>
      <c r="O910" s="63"/>
      <c r="P910" s="61"/>
      <c r="Q910" s="61"/>
      <c r="R910" s="61"/>
      <c r="S910" s="61"/>
      <c r="T910" s="61"/>
      <c r="U910" s="61"/>
      <c r="V910" s="64"/>
      <c r="W910" s="61"/>
      <c r="X910" s="61"/>
      <c r="Y910" s="61"/>
      <c r="Z910" s="61"/>
      <c r="AA910" s="61"/>
      <c r="AB910" s="61"/>
      <c r="AC910" s="61"/>
      <c r="AD910" s="61"/>
      <c r="AE910" s="61"/>
      <c r="AF910" s="61"/>
      <c r="AG910" s="61"/>
      <c r="AH910" s="61"/>
    </row>
    <row r="911">
      <c r="A911" s="65"/>
      <c r="B911" s="65"/>
      <c r="C911" s="65"/>
      <c r="D911" s="66"/>
      <c r="E911" s="65"/>
      <c r="F911" s="65"/>
      <c r="G911" s="65"/>
      <c r="H911" s="65"/>
      <c r="I911" s="65"/>
      <c r="J911" s="65"/>
      <c r="K911" s="65"/>
      <c r="L911" s="65"/>
      <c r="M911" s="65"/>
      <c r="N911" s="65"/>
      <c r="O911" s="67"/>
      <c r="P911" s="65"/>
      <c r="Q911" s="65"/>
      <c r="R911" s="65"/>
      <c r="S911" s="65"/>
      <c r="T911" s="65"/>
      <c r="U911" s="65"/>
      <c r="V911" s="68"/>
      <c r="W911" s="65"/>
      <c r="X911" s="65"/>
      <c r="Y911" s="65"/>
      <c r="Z911" s="65"/>
      <c r="AA911" s="65"/>
      <c r="AB911" s="65"/>
      <c r="AC911" s="65"/>
      <c r="AD911" s="65"/>
      <c r="AE911" s="65"/>
      <c r="AF911" s="65"/>
      <c r="AG911" s="65"/>
      <c r="AH911" s="65"/>
    </row>
    <row r="912">
      <c r="A912" s="61"/>
      <c r="B912" s="61"/>
      <c r="C912" s="61"/>
      <c r="D912" s="62"/>
      <c r="E912" s="61"/>
      <c r="F912" s="61"/>
      <c r="G912" s="61"/>
      <c r="H912" s="61"/>
      <c r="I912" s="61"/>
      <c r="J912" s="61"/>
      <c r="K912" s="61"/>
      <c r="L912" s="61"/>
      <c r="M912" s="61"/>
      <c r="N912" s="61"/>
      <c r="O912" s="63"/>
      <c r="P912" s="61"/>
      <c r="Q912" s="61"/>
      <c r="R912" s="61"/>
      <c r="S912" s="61"/>
      <c r="T912" s="61"/>
      <c r="U912" s="61"/>
      <c r="V912" s="64"/>
      <c r="W912" s="61"/>
      <c r="X912" s="61"/>
      <c r="Y912" s="61"/>
      <c r="Z912" s="61"/>
      <c r="AA912" s="61"/>
      <c r="AB912" s="61"/>
      <c r="AC912" s="61"/>
      <c r="AD912" s="61"/>
      <c r="AE912" s="61"/>
      <c r="AF912" s="61"/>
      <c r="AG912" s="61"/>
      <c r="AH912" s="61"/>
    </row>
    <row r="913">
      <c r="A913" s="65"/>
      <c r="B913" s="65"/>
      <c r="C913" s="65"/>
      <c r="D913" s="66"/>
      <c r="E913" s="65"/>
      <c r="F913" s="65"/>
      <c r="G913" s="65"/>
      <c r="H913" s="65"/>
      <c r="I913" s="65"/>
      <c r="J913" s="65"/>
      <c r="K913" s="65"/>
      <c r="L913" s="65"/>
      <c r="M913" s="65"/>
      <c r="N913" s="65"/>
      <c r="O913" s="67"/>
      <c r="P913" s="65"/>
      <c r="Q913" s="65"/>
      <c r="R913" s="65"/>
      <c r="S913" s="65"/>
      <c r="T913" s="65"/>
      <c r="U913" s="65"/>
      <c r="V913" s="68"/>
      <c r="W913" s="65"/>
      <c r="X913" s="65"/>
      <c r="Y913" s="65"/>
      <c r="Z913" s="65"/>
      <c r="AA913" s="65"/>
      <c r="AB913" s="65"/>
      <c r="AC913" s="65"/>
      <c r="AD913" s="65"/>
      <c r="AE913" s="65"/>
      <c r="AF913" s="65"/>
      <c r="AG913" s="65"/>
      <c r="AH913" s="65"/>
    </row>
    <row r="914">
      <c r="A914" s="61"/>
      <c r="B914" s="61"/>
      <c r="C914" s="61"/>
      <c r="D914" s="62"/>
      <c r="E914" s="61"/>
      <c r="F914" s="61"/>
      <c r="G914" s="61"/>
      <c r="H914" s="61"/>
      <c r="I914" s="61"/>
      <c r="J914" s="61"/>
      <c r="K914" s="61"/>
      <c r="L914" s="61"/>
      <c r="M914" s="61"/>
      <c r="N914" s="61"/>
      <c r="O914" s="63"/>
      <c r="P914" s="61"/>
      <c r="Q914" s="61"/>
      <c r="R914" s="61"/>
      <c r="S914" s="61"/>
      <c r="T914" s="61"/>
      <c r="U914" s="61"/>
      <c r="V914" s="64"/>
      <c r="W914" s="61"/>
      <c r="X914" s="61"/>
      <c r="Y914" s="61"/>
      <c r="Z914" s="61"/>
      <c r="AA914" s="61"/>
      <c r="AB914" s="61"/>
      <c r="AC914" s="61"/>
      <c r="AD914" s="61"/>
      <c r="AE914" s="61"/>
      <c r="AF914" s="61"/>
      <c r="AG914" s="61"/>
      <c r="AH914" s="61"/>
    </row>
    <row r="915">
      <c r="A915" s="65"/>
      <c r="B915" s="65"/>
      <c r="C915" s="65"/>
      <c r="D915" s="66"/>
      <c r="E915" s="65"/>
      <c r="F915" s="65"/>
      <c r="G915" s="65"/>
      <c r="H915" s="65"/>
      <c r="I915" s="65"/>
      <c r="J915" s="65"/>
      <c r="K915" s="65"/>
      <c r="L915" s="65"/>
      <c r="M915" s="65"/>
      <c r="N915" s="65"/>
      <c r="O915" s="67"/>
      <c r="P915" s="65"/>
      <c r="Q915" s="65"/>
      <c r="R915" s="65"/>
      <c r="S915" s="65"/>
      <c r="T915" s="65"/>
      <c r="U915" s="65"/>
      <c r="V915" s="68"/>
      <c r="W915" s="65"/>
      <c r="X915" s="65"/>
      <c r="Y915" s="65"/>
      <c r="Z915" s="65"/>
      <c r="AA915" s="65"/>
      <c r="AB915" s="65"/>
      <c r="AC915" s="65"/>
      <c r="AD915" s="65"/>
      <c r="AE915" s="65"/>
      <c r="AF915" s="65"/>
      <c r="AG915" s="65"/>
      <c r="AH915" s="65"/>
    </row>
    <row r="916">
      <c r="A916" s="61"/>
      <c r="B916" s="61"/>
      <c r="C916" s="61"/>
      <c r="D916" s="62"/>
      <c r="E916" s="61"/>
      <c r="F916" s="61"/>
      <c r="G916" s="61"/>
      <c r="H916" s="61"/>
      <c r="I916" s="61"/>
      <c r="J916" s="61"/>
      <c r="K916" s="61"/>
      <c r="L916" s="61"/>
      <c r="M916" s="61"/>
      <c r="N916" s="61"/>
      <c r="O916" s="63"/>
      <c r="P916" s="61"/>
      <c r="Q916" s="61"/>
      <c r="R916" s="61"/>
      <c r="S916" s="61"/>
      <c r="T916" s="61"/>
      <c r="U916" s="61"/>
      <c r="V916" s="64"/>
      <c r="W916" s="61"/>
      <c r="X916" s="61"/>
      <c r="Y916" s="61"/>
      <c r="Z916" s="61"/>
      <c r="AA916" s="61"/>
      <c r="AB916" s="61"/>
      <c r="AC916" s="61"/>
      <c r="AD916" s="61"/>
      <c r="AE916" s="61"/>
      <c r="AF916" s="61"/>
      <c r="AG916" s="61"/>
      <c r="AH916" s="61"/>
    </row>
    <row r="917">
      <c r="A917" s="65"/>
      <c r="B917" s="65"/>
      <c r="C917" s="65"/>
      <c r="D917" s="66"/>
      <c r="E917" s="65"/>
      <c r="F917" s="65"/>
      <c r="G917" s="65"/>
      <c r="H917" s="65"/>
      <c r="I917" s="65"/>
      <c r="J917" s="65"/>
      <c r="K917" s="65"/>
      <c r="L917" s="65"/>
      <c r="M917" s="65"/>
      <c r="N917" s="65"/>
      <c r="O917" s="67"/>
      <c r="P917" s="65"/>
      <c r="Q917" s="65"/>
      <c r="R917" s="65"/>
      <c r="S917" s="65"/>
      <c r="T917" s="65"/>
      <c r="U917" s="65"/>
      <c r="V917" s="68"/>
      <c r="W917" s="65"/>
      <c r="X917" s="65"/>
      <c r="Y917" s="65"/>
      <c r="Z917" s="65"/>
      <c r="AA917" s="65"/>
      <c r="AB917" s="65"/>
      <c r="AC917" s="65"/>
      <c r="AD917" s="65"/>
      <c r="AE917" s="65"/>
      <c r="AF917" s="65"/>
      <c r="AG917" s="65"/>
      <c r="AH917" s="65"/>
    </row>
    <row r="918">
      <c r="A918" s="61"/>
      <c r="B918" s="61"/>
      <c r="C918" s="61"/>
      <c r="D918" s="62"/>
      <c r="E918" s="61"/>
      <c r="F918" s="61"/>
      <c r="G918" s="61"/>
      <c r="H918" s="61"/>
      <c r="I918" s="61"/>
      <c r="J918" s="61"/>
      <c r="K918" s="61"/>
      <c r="L918" s="61"/>
      <c r="M918" s="61"/>
      <c r="N918" s="61"/>
      <c r="O918" s="63"/>
      <c r="P918" s="61"/>
      <c r="Q918" s="61"/>
      <c r="R918" s="61"/>
      <c r="S918" s="61"/>
      <c r="T918" s="61"/>
      <c r="U918" s="61"/>
      <c r="V918" s="64"/>
      <c r="W918" s="61"/>
      <c r="X918" s="61"/>
      <c r="Y918" s="61"/>
      <c r="Z918" s="61"/>
      <c r="AA918" s="61"/>
      <c r="AB918" s="61"/>
      <c r="AC918" s="61"/>
      <c r="AD918" s="61"/>
      <c r="AE918" s="61"/>
      <c r="AF918" s="61"/>
      <c r="AG918" s="61"/>
      <c r="AH918" s="61"/>
    </row>
    <row r="919">
      <c r="A919" s="65"/>
      <c r="B919" s="65"/>
      <c r="C919" s="65"/>
      <c r="D919" s="66"/>
      <c r="E919" s="65"/>
      <c r="F919" s="65"/>
      <c r="G919" s="65"/>
      <c r="H919" s="65"/>
      <c r="I919" s="65"/>
      <c r="J919" s="65"/>
      <c r="K919" s="65"/>
      <c r="L919" s="65"/>
      <c r="M919" s="65"/>
      <c r="N919" s="65"/>
      <c r="O919" s="67"/>
      <c r="P919" s="65"/>
      <c r="Q919" s="65"/>
      <c r="R919" s="65"/>
      <c r="S919" s="65"/>
      <c r="T919" s="65"/>
      <c r="U919" s="65"/>
      <c r="V919" s="68"/>
      <c r="W919" s="65"/>
      <c r="X919" s="65"/>
      <c r="Y919" s="65"/>
      <c r="Z919" s="65"/>
      <c r="AA919" s="65"/>
      <c r="AB919" s="65"/>
      <c r="AC919" s="65"/>
      <c r="AD919" s="65"/>
      <c r="AE919" s="65"/>
      <c r="AF919" s="65"/>
      <c r="AG919" s="65"/>
      <c r="AH919" s="65"/>
    </row>
    <row r="920">
      <c r="A920" s="61"/>
      <c r="B920" s="61"/>
      <c r="C920" s="61"/>
      <c r="D920" s="62"/>
      <c r="E920" s="61"/>
      <c r="F920" s="61"/>
      <c r="G920" s="61"/>
      <c r="H920" s="61"/>
      <c r="I920" s="61"/>
      <c r="J920" s="61"/>
      <c r="K920" s="61"/>
      <c r="L920" s="61"/>
      <c r="M920" s="61"/>
      <c r="N920" s="61"/>
      <c r="O920" s="63"/>
      <c r="P920" s="61"/>
      <c r="Q920" s="61"/>
      <c r="R920" s="61"/>
      <c r="S920" s="61"/>
      <c r="T920" s="61"/>
      <c r="U920" s="61"/>
      <c r="V920" s="64"/>
      <c r="W920" s="61"/>
      <c r="X920" s="61"/>
      <c r="Y920" s="61"/>
      <c r="Z920" s="61"/>
      <c r="AA920" s="61"/>
      <c r="AB920" s="61"/>
      <c r="AC920" s="61"/>
      <c r="AD920" s="61"/>
      <c r="AE920" s="61"/>
      <c r="AF920" s="61"/>
      <c r="AG920" s="61"/>
      <c r="AH920" s="61"/>
    </row>
    <row r="921">
      <c r="A921" s="65"/>
      <c r="B921" s="65"/>
      <c r="C921" s="65"/>
      <c r="D921" s="66"/>
      <c r="E921" s="65"/>
      <c r="F921" s="65"/>
      <c r="G921" s="65"/>
      <c r="H921" s="65"/>
      <c r="I921" s="65"/>
      <c r="J921" s="65"/>
      <c r="K921" s="65"/>
      <c r="L921" s="65"/>
      <c r="M921" s="65"/>
      <c r="N921" s="65"/>
      <c r="O921" s="67"/>
      <c r="P921" s="65"/>
      <c r="Q921" s="65"/>
      <c r="R921" s="65"/>
      <c r="S921" s="65"/>
      <c r="T921" s="65"/>
      <c r="U921" s="65"/>
      <c r="V921" s="68"/>
      <c r="W921" s="65"/>
      <c r="X921" s="65"/>
      <c r="Y921" s="65"/>
      <c r="Z921" s="65"/>
      <c r="AA921" s="65"/>
      <c r="AB921" s="65"/>
      <c r="AC921" s="65"/>
      <c r="AD921" s="65"/>
      <c r="AE921" s="65"/>
      <c r="AF921" s="65"/>
      <c r="AG921" s="65"/>
      <c r="AH921" s="65"/>
    </row>
    <row r="922">
      <c r="A922" s="61"/>
      <c r="B922" s="61"/>
      <c r="C922" s="61"/>
      <c r="D922" s="62"/>
      <c r="E922" s="61"/>
      <c r="F922" s="61"/>
      <c r="G922" s="61"/>
      <c r="H922" s="61"/>
      <c r="I922" s="61"/>
      <c r="J922" s="61"/>
      <c r="K922" s="61"/>
      <c r="L922" s="61"/>
      <c r="M922" s="61"/>
      <c r="N922" s="61"/>
      <c r="O922" s="63"/>
      <c r="P922" s="61"/>
      <c r="Q922" s="61"/>
      <c r="R922" s="61"/>
      <c r="S922" s="61"/>
      <c r="T922" s="61"/>
      <c r="U922" s="61"/>
      <c r="V922" s="64"/>
      <c r="W922" s="61"/>
      <c r="X922" s="61"/>
      <c r="Y922" s="61"/>
      <c r="Z922" s="61"/>
      <c r="AA922" s="61"/>
      <c r="AB922" s="61"/>
      <c r="AC922" s="61"/>
      <c r="AD922" s="61"/>
      <c r="AE922" s="61"/>
      <c r="AF922" s="61"/>
      <c r="AG922" s="61"/>
      <c r="AH922" s="61"/>
    </row>
    <row r="923">
      <c r="A923" s="65"/>
      <c r="B923" s="65"/>
      <c r="C923" s="65"/>
      <c r="D923" s="66"/>
      <c r="E923" s="65"/>
      <c r="F923" s="65"/>
      <c r="G923" s="65"/>
      <c r="H923" s="65"/>
      <c r="I923" s="65"/>
      <c r="J923" s="65"/>
      <c r="K923" s="65"/>
      <c r="L923" s="65"/>
      <c r="M923" s="65"/>
      <c r="N923" s="65"/>
      <c r="O923" s="67"/>
      <c r="P923" s="65"/>
      <c r="Q923" s="65"/>
      <c r="R923" s="65"/>
      <c r="S923" s="65"/>
      <c r="T923" s="65"/>
      <c r="U923" s="65"/>
      <c r="V923" s="68"/>
      <c r="W923" s="65"/>
      <c r="X923" s="65"/>
      <c r="Y923" s="65"/>
      <c r="Z923" s="65"/>
      <c r="AA923" s="65"/>
      <c r="AB923" s="65"/>
      <c r="AC923" s="65"/>
      <c r="AD923" s="65"/>
      <c r="AE923" s="65"/>
      <c r="AF923" s="65"/>
      <c r="AG923" s="65"/>
      <c r="AH923" s="65"/>
    </row>
    <row r="924">
      <c r="A924" s="61"/>
      <c r="B924" s="61"/>
      <c r="C924" s="61"/>
      <c r="D924" s="62"/>
      <c r="E924" s="61"/>
      <c r="F924" s="61"/>
      <c r="G924" s="61"/>
      <c r="H924" s="61"/>
      <c r="I924" s="61"/>
      <c r="J924" s="61"/>
      <c r="K924" s="61"/>
      <c r="L924" s="61"/>
      <c r="M924" s="61"/>
      <c r="N924" s="61"/>
      <c r="O924" s="63"/>
      <c r="P924" s="61"/>
      <c r="Q924" s="61"/>
      <c r="R924" s="61"/>
      <c r="S924" s="61"/>
      <c r="T924" s="61"/>
      <c r="U924" s="61"/>
      <c r="V924" s="64"/>
      <c r="W924" s="61"/>
      <c r="X924" s="61"/>
      <c r="Y924" s="61"/>
      <c r="Z924" s="61"/>
      <c r="AA924" s="61"/>
      <c r="AB924" s="61"/>
      <c r="AC924" s="61"/>
      <c r="AD924" s="61"/>
      <c r="AE924" s="61"/>
      <c r="AF924" s="61"/>
      <c r="AG924" s="61"/>
      <c r="AH924" s="61"/>
    </row>
    <row r="925">
      <c r="A925" s="65"/>
      <c r="B925" s="65"/>
      <c r="C925" s="65"/>
      <c r="D925" s="66"/>
      <c r="E925" s="65"/>
      <c r="F925" s="65"/>
      <c r="G925" s="65"/>
      <c r="H925" s="65"/>
      <c r="I925" s="65"/>
      <c r="J925" s="65"/>
      <c r="K925" s="65"/>
      <c r="L925" s="65"/>
      <c r="M925" s="65"/>
      <c r="N925" s="65"/>
      <c r="O925" s="67"/>
      <c r="P925" s="65"/>
      <c r="Q925" s="65"/>
      <c r="R925" s="65"/>
      <c r="S925" s="65"/>
      <c r="T925" s="65"/>
      <c r="U925" s="65"/>
      <c r="V925" s="68"/>
      <c r="W925" s="65"/>
      <c r="X925" s="65"/>
      <c r="Y925" s="65"/>
      <c r="Z925" s="65"/>
      <c r="AA925" s="65"/>
      <c r="AB925" s="65"/>
      <c r="AC925" s="65"/>
      <c r="AD925" s="65"/>
      <c r="AE925" s="65"/>
      <c r="AF925" s="65"/>
      <c r="AG925" s="65"/>
      <c r="AH925" s="65"/>
    </row>
    <row r="926">
      <c r="A926" s="61"/>
      <c r="B926" s="61"/>
      <c r="C926" s="61"/>
      <c r="D926" s="62"/>
      <c r="E926" s="61"/>
      <c r="F926" s="61"/>
      <c r="G926" s="61"/>
      <c r="H926" s="61"/>
      <c r="I926" s="61"/>
      <c r="J926" s="61"/>
      <c r="K926" s="61"/>
      <c r="L926" s="61"/>
      <c r="M926" s="61"/>
      <c r="N926" s="61"/>
      <c r="O926" s="63"/>
      <c r="P926" s="61"/>
      <c r="Q926" s="61"/>
      <c r="R926" s="61"/>
      <c r="S926" s="61"/>
      <c r="T926" s="61"/>
      <c r="U926" s="61"/>
      <c r="V926" s="64"/>
      <c r="W926" s="61"/>
      <c r="X926" s="61"/>
      <c r="Y926" s="61"/>
      <c r="Z926" s="61"/>
      <c r="AA926" s="61"/>
      <c r="AB926" s="61"/>
      <c r="AC926" s="61"/>
      <c r="AD926" s="61"/>
      <c r="AE926" s="61"/>
      <c r="AF926" s="61"/>
      <c r="AG926" s="61"/>
      <c r="AH926" s="61"/>
    </row>
    <row r="927">
      <c r="A927" s="65"/>
      <c r="B927" s="65"/>
      <c r="C927" s="65"/>
      <c r="D927" s="66"/>
      <c r="E927" s="65"/>
      <c r="F927" s="65"/>
      <c r="G927" s="65"/>
      <c r="H927" s="65"/>
      <c r="I927" s="65"/>
      <c r="J927" s="65"/>
      <c r="K927" s="65"/>
      <c r="L927" s="65"/>
      <c r="M927" s="65"/>
      <c r="N927" s="65"/>
      <c r="O927" s="67"/>
      <c r="P927" s="65"/>
      <c r="Q927" s="65"/>
      <c r="R927" s="65"/>
      <c r="S927" s="65"/>
      <c r="T927" s="65"/>
      <c r="U927" s="65"/>
      <c r="V927" s="68"/>
      <c r="W927" s="65"/>
      <c r="X927" s="65"/>
      <c r="Y927" s="65"/>
      <c r="Z927" s="65"/>
      <c r="AA927" s="65"/>
      <c r="AB927" s="65"/>
      <c r="AC927" s="65"/>
      <c r="AD927" s="65"/>
      <c r="AE927" s="65"/>
      <c r="AF927" s="65"/>
      <c r="AG927" s="65"/>
      <c r="AH927" s="65"/>
    </row>
    <row r="928">
      <c r="A928" s="61"/>
      <c r="B928" s="61"/>
      <c r="C928" s="61"/>
      <c r="D928" s="62"/>
      <c r="E928" s="61"/>
      <c r="F928" s="61"/>
      <c r="G928" s="61"/>
      <c r="H928" s="61"/>
      <c r="I928" s="61"/>
      <c r="J928" s="61"/>
      <c r="K928" s="61"/>
      <c r="L928" s="61"/>
      <c r="M928" s="61"/>
      <c r="N928" s="61"/>
      <c r="O928" s="63"/>
      <c r="P928" s="61"/>
      <c r="Q928" s="61"/>
      <c r="R928" s="61"/>
      <c r="S928" s="61"/>
      <c r="T928" s="61"/>
      <c r="U928" s="61"/>
      <c r="V928" s="64"/>
      <c r="W928" s="61"/>
      <c r="X928" s="61"/>
      <c r="Y928" s="61"/>
      <c r="Z928" s="61"/>
      <c r="AA928" s="61"/>
      <c r="AB928" s="61"/>
      <c r="AC928" s="61"/>
      <c r="AD928" s="61"/>
      <c r="AE928" s="61"/>
      <c r="AF928" s="61"/>
      <c r="AG928" s="61"/>
      <c r="AH928" s="61"/>
    </row>
    <row r="929">
      <c r="A929" s="65"/>
      <c r="B929" s="65"/>
      <c r="C929" s="65"/>
      <c r="D929" s="66"/>
      <c r="E929" s="65"/>
      <c r="F929" s="65"/>
      <c r="G929" s="65"/>
      <c r="H929" s="65"/>
      <c r="I929" s="65"/>
      <c r="J929" s="65"/>
      <c r="K929" s="65"/>
      <c r="L929" s="65"/>
      <c r="M929" s="65"/>
      <c r="N929" s="65"/>
      <c r="O929" s="67"/>
      <c r="P929" s="65"/>
      <c r="Q929" s="65"/>
      <c r="R929" s="65"/>
      <c r="S929" s="65"/>
      <c r="T929" s="65"/>
      <c r="U929" s="65"/>
      <c r="V929" s="68"/>
      <c r="W929" s="65"/>
      <c r="X929" s="65"/>
      <c r="Y929" s="65"/>
      <c r="Z929" s="65"/>
      <c r="AA929" s="65"/>
      <c r="AB929" s="65"/>
      <c r="AC929" s="65"/>
      <c r="AD929" s="65"/>
      <c r="AE929" s="65"/>
      <c r="AF929" s="65"/>
      <c r="AG929" s="65"/>
      <c r="AH929" s="65"/>
    </row>
    <row r="930">
      <c r="A930" s="61"/>
      <c r="B930" s="61"/>
      <c r="C930" s="61"/>
      <c r="D930" s="62"/>
      <c r="E930" s="61"/>
      <c r="F930" s="61"/>
      <c r="G930" s="61"/>
      <c r="H930" s="61"/>
      <c r="I930" s="61"/>
      <c r="J930" s="61"/>
      <c r="K930" s="61"/>
      <c r="L930" s="61"/>
      <c r="M930" s="61"/>
      <c r="N930" s="61"/>
      <c r="O930" s="63"/>
      <c r="P930" s="61"/>
      <c r="Q930" s="61"/>
      <c r="R930" s="61"/>
      <c r="S930" s="61"/>
      <c r="T930" s="61"/>
      <c r="U930" s="61"/>
      <c r="V930" s="64"/>
      <c r="W930" s="61"/>
      <c r="X930" s="61"/>
      <c r="Y930" s="61"/>
      <c r="Z930" s="61"/>
      <c r="AA930" s="61"/>
      <c r="AB930" s="61"/>
      <c r="AC930" s="61"/>
      <c r="AD930" s="61"/>
      <c r="AE930" s="61"/>
      <c r="AF930" s="61"/>
      <c r="AG930" s="61"/>
      <c r="AH930" s="61"/>
    </row>
    <row r="931">
      <c r="A931" s="65"/>
      <c r="B931" s="65"/>
      <c r="C931" s="65"/>
      <c r="D931" s="66"/>
      <c r="E931" s="65"/>
      <c r="F931" s="65"/>
      <c r="G931" s="65"/>
      <c r="H931" s="65"/>
      <c r="I931" s="65"/>
      <c r="J931" s="65"/>
      <c r="K931" s="65"/>
      <c r="L931" s="65"/>
      <c r="M931" s="65"/>
      <c r="N931" s="65"/>
      <c r="O931" s="67"/>
      <c r="P931" s="65"/>
      <c r="Q931" s="65"/>
      <c r="R931" s="65"/>
      <c r="S931" s="65"/>
      <c r="T931" s="65"/>
      <c r="U931" s="65"/>
      <c r="V931" s="68"/>
      <c r="W931" s="65"/>
      <c r="X931" s="65"/>
      <c r="Y931" s="65"/>
      <c r="Z931" s="65"/>
      <c r="AA931" s="65"/>
      <c r="AB931" s="65"/>
      <c r="AC931" s="65"/>
      <c r="AD931" s="65"/>
      <c r="AE931" s="65"/>
      <c r="AF931" s="65"/>
      <c r="AG931" s="65"/>
      <c r="AH931" s="65"/>
    </row>
    <row r="932">
      <c r="A932" s="61"/>
      <c r="B932" s="61"/>
      <c r="C932" s="61"/>
      <c r="D932" s="62"/>
      <c r="E932" s="61"/>
      <c r="F932" s="61"/>
      <c r="G932" s="61"/>
      <c r="H932" s="61"/>
      <c r="I932" s="61"/>
      <c r="J932" s="61"/>
      <c r="K932" s="61"/>
      <c r="L932" s="61"/>
      <c r="M932" s="61"/>
      <c r="N932" s="61"/>
      <c r="O932" s="63"/>
      <c r="P932" s="61"/>
      <c r="Q932" s="61"/>
      <c r="R932" s="61"/>
      <c r="S932" s="61"/>
      <c r="T932" s="61"/>
      <c r="U932" s="61"/>
      <c r="V932" s="64"/>
      <c r="W932" s="61"/>
      <c r="X932" s="61"/>
      <c r="Y932" s="61"/>
      <c r="Z932" s="61"/>
      <c r="AA932" s="61"/>
      <c r="AB932" s="61"/>
      <c r="AC932" s="61"/>
      <c r="AD932" s="61"/>
      <c r="AE932" s="61"/>
      <c r="AF932" s="61"/>
      <c r="AG932" s="61"/>
      <c r="AH932" s="61"/>
    </row>
    <row r="933">
      <c r="A933" s="65"/>
      <c r="B933" s="65"/>
      <c r="C933" s="65"/>
      <c r="D933" s="66"/>
      <c r="E933" s="65"/>
      <c r="F933" s="65"/>
      <c r="G933" s="65"/>
      <c r="H933" s="65"/>
      <c r="I933" s="65"/>
      <c r="J933" s="65"/>
      <c r="K933" s="65"/>
      <c r="L933" s="65"/>
      <c r="M933" s="65"/>
      <c r="N933" s="65"/>
      <c r="O933" s="67"/>
      <c r="P933" s="65"/>
      <c r="Q933" s="65"/>
      <c r="R933" s="65"/>
      <c r="S933" s="65"/>
      <c r="T933" s="65"/>
      <c r="U933" s="65"/>
      <c r="V933" s="68"/>
      <c r="W933" s="65"/>
      <c r="X933" s="65"/>
      <c r="Y933" s="65"/>
      <c r="Z933" s="65"/>
      <c r="AA933" s="65"/>
      <c r="AB933" s="65"/>
      <c r="AC933" s="65"/>
      <c r="AD933" s="65"/>
      <c r="AE933" s="65"/>
      <c r="AF933" s="65"/>
      <c r="AG933" s="65"/>
      <c r="AH933" s="65"/>
    </row>
    <row r="934">
      <c r="A934" s="61"/>
      <c r="B934" s="61"/>
      <c r="C934" s="61"/>
      <c r="D934" s="62"/>
      <c r="E934" s="61"/>
      <c r="F934" s="61"/>
      <c r="G934" s="61"/>
      <c r="H934" s="61"/>
      <c r="I934" s="61"/>
      <c r="J934" s="61"/>
      <c r="K934" s="61"/>
      <c r="L934" s="61"/>
      <c r="M934" s="61"/>
      <c r="N934" s="61"/>
      <c r="O934" s="63"/>
      <c r="P934" s="61"/>
      <c r="Q934" s="61"/>
      <c r="R934" s="61"/>
      <c r="S934" s="61"/>
      <c r="T934" s="61"/>
      <c r="U934" s="61"/>
      <c r="V934" s="64"/>
      <c r="W934" s="61"/>
      <c r="X934" s="61"/>
      <c r="Y934" s="61"/>
      <c r="Z934" s="61"/>
      <c r="AA934" s="61"/>
      <c r="AB934" s="61"/>
      <c r="AC934" s="61"/>
      <c r="AD934" s="61"/>
      <c r="AE934" s="61"/>
      <c r="AF934" s="61"/>
      <c r="AG934" s="61"/>
      <c r="AH934" s="61"/>
    </row>
    <row r="935">
      <c r="A935" s="65"/>
      <c r="B935" s="65"/>
      <c r="C935" s="65"/>
      <c r="D935" s="66"/>
      <c r="E935" s="65"/>
      <c r="F935" s="65"/>
      <c r="G935" s="65"/>
      <c r="H935" s="65"/>
      <c r="I935" s="65"/>
      <c r="J935" s="65"/>
      <c r="K935" s="65"/>
      <c r="L935" s="65"/>
      <c r="M935" s="65"/>
      <c r="N935" s="65"/>
      <c r="O935" s="67"/>
      <c r="P935" s="65"/>
      <c r="Q935" s="65"/>
      <c r="R935" s="65"/>
      <c r="S935" s="65"/>
      <c r="T935" s="65"/>
      <c r="U935" s="65"/>
      <c r="V935" s="68"/>
      <c r="W935" s="65"/>
      <c r="X935" s="65"/>
      <c r="Y935" s="65"/>
      <c r="Z935" s="65"/>
      <c r="AA935" s="65"/>
      <c r="AB935" s="65"/>
      <c r="AC935" s="65"/>
      <c r="AD935" s="65"/>
      <c r="AE935" s="65"/>
      <c r="AF935" s="65"/>
      <c r="AG935" s="65"/>
      <c r="AH935" s="65"/>
    </row>
    <row r="936">
      <c r="A936" s="61"/>
      <c r="B936" s="61"/>
      <c r="C936" s="61"/>
      <c r="D936" s="62"/>
      <c r="E936" s="61"/>
      <c r="F936" s="61"/>
      <c r="G936" s="61"/>
      <c r="H936" s="61"/>
      <c r="I936" s="61"/>
      <c r="J936" s="61"/>
      <c r="K936" s="61"/>
      <c r="L936" s="61"/>
      <c r="M936" s="61"/>
      <c r="N936" s="61"/>
      <c r="O936" s="63"/>
      <c r="P936" s="61"/>
      <c r="Q936" s="61"/>
      <c r="R936" s="61"/>
      <c r="S936" s="61"/>
      <c r="T936" s="61"/>
      <c r="U936" s="61"/>
      <c r="V936" s="64"/>
      <c r="W936" s="61"/>
      <c r="X936" s="61"/>
      <c r="Y936" s="61"/>
      <c r="Z936" s="61"/>
      <c r="AA936" s="61"/>
      <c r="AB936" s="61"/>
      <c r="AC936" s="61"/>
      <c r="AD936" s="61"/>
      <c r="AE936" s="61"/>
      <c r="AF936" s="61"/>
      <c r="AG936" s="61"/>
      <c r="AH936" s="61"/>
    </row>
    <row r="937">
      <c r="A937" s="65"/>
      <c r="B937" s="65"/>
      <c r="C937" s="65"/>
      <c r="D937" s="66"/>
      <c r="E937" s="65"/>
      <c r="F937" s="65"/>
      <c r="G937" s="65"/>
      <c r="H937" s="65"/>
      <c r="I937" s="65"/>
      <c r="J937" s="65"/>
      <c r="K937" s="65"/>
      <c r="L937" s="65"/>
      <c r="M937" s="65"/>
      <c r="N937" s="65"/>
      <c r="O937" s="67"/>
      <c r="P937" s="65"/>
      <c r="Q937" s="65"/>
      <c r="R937" s="65"/>
      <c r="S937" s="65"/>
      <c r="T937" s="65"/>
      <c r="U937" s="65"/>
      <c r="V937" s="68"/>
      <c r="W937" s="65"/>
      <c r="X937" s="65"/>
      <c r="Y937" s="65"/>
      <c r="Z937" s="65"/>
      <c r="AA937" s="65"/>
      <c r="AB937" s="65"/>
      <c r="AC937" s="65"/>
      <c r="AD937" s="65"/>
      <c r="AE937" s="65"/>
      <c r="AF937" s="65"/>
      <c r="AG937" s="65"/>
      <c r="AH937" s="65"/>
    </row>
    <row r="938">
      <c r="A938" s="61"/>
      <c r="B938" s="61"/>
      <c r="C938" s="61"/>
      <c r="D938" s="62"/>
      <c r="E938" s="61"/>
      <c r="F938" s="61"/>
      <c r="G938" s="61"/>
      <c r="H938" s="61"/>
      <c r="I938" s="61"/>
      <c r="J938" s="61"/>
      <c r="K938" s="61"/>
      <c r="L938" s="61"/>
      <c r="M938" s="61"/>
      <c r="N938" s="61"/>
      <c r="O938" s="63"/>
      <c r="P938" s="61"/>
      <c r="Q938" s="61"/>
      <c r="R938" s="61"/>
      <c r="S938" s="61"/>
      <c r="T938" s="61"/>
      <c r="U938" s="61"/>
      <c r="V938" s="64"/>
      <c r="W938" s="61"/>
      <c r="X938" s="61"/>
      <c r="Y938" s="61"/>
      <c r="Z938" s="61"/>
      <c r="AA938" s="61"/>
      <c r="AB938" s="61"/>
      <c r="AC938" s="61"/>
      <c r="AD938" s="61"/>
      <c r="AE938" s="61"/>
      <c r="AF938" s="61"/>
      <c r="AG938" s="61"/>
      <c r="AH938" s="61"/>
    </row>
    <row r="939">
      <c r="A939" s="65"/>
      <c r="B939" s="65"/>
      <c r="C939" s="65"/>
      <c r="D939" s="66"/>
      <c r="E939" s="65"/>
      <c r="F939" s="65"/>
      <c r="G939" s="65"/>
      <c r="H939" s="65"/>
      <c r="I939" s="65"/>
      <c r="J939" s="65"/>
      <c r="K939" s="65"/>
      <c r="L939" s="65"/>
      <c r="M939" s="65"/>
      <c r="N939" s="65"/>
      <c r="O939" s="67"/>
      <c r="P939" s="65"/>
      <c r="Q939" s="65"/>
      <c r="R939" s="65"/>
      <c r="S939" s="65"/>
      <c r="T939" s="65"/>
      <c r="U939" s="65"/>
      <c r="V939" s="68"/>
      <c r="W939" s="65"/>
      <c r="X939" s="65"/>
      <c r="Y939" s="65"/>
      <c r="Z939" s="65"/>
      <c r="AA939" s="65"/>
      <c r="AB939" s="65"/>
      <c r="AC939" s="65"/>
      <c r="AD939" s="65"/>
      <c r="AE939" s="65"/>
      <c r="AF939" s="65"/>
      <c r="AG939" s="65"/>
      <c r="AH939" s="65"/>
    </row>
    <row r="940">
      <c r="A940" s="61"/>
      <c r="B940" s="61"/>
      <c r="C940" s="61"/>
      <c r="D940" s="62"/>
      <c r="E940" s="61"/>
      <c r="F940" s="61"/>
      <c r="G940" s="61"/>
      <c r="H940" s="61"/>
      <c r="I940" s="61"/>
      <c r="J940" s="61"/>
      <c r="K940" s="61"/>
      <c r="L940" s="61"/>
      <c r="M940" s="61"/>
      <c r="N940" s="61"/>
      <c r="O940" s="63"/>
      <c r="P940" s="61"/>
      <c r="Q940" s="61"/>
      <c r="R940" s="61"/>
      <c r="S940" s="61"/>
      <c r="T940" s="61"/>
      <c r="U940" s="61"/>
      <c r="V940" s="64"/>
      <c r="W940" s="61"/>
      <c r="X940" s="61"/>
      <c r="Y940" s="61"/>
      <c r="Z940" s="61"/>
      <c r="AA940" s="61"/>
      <c r="AB940" s="61"/>
      <c r="AC940" s="61"/>
      <c r="AD940" s="61"/>
      <c r="AE940" s="61"/>
      <c r="AF940" s="61"/>
      <c r="AG940" s="61"/>
      <c r="AH940" s="61"/>
    </row>
    <row r="941">
      <c r="A941" s="65"/>
      <c r="B941" s="65"/>
      <c r="C941" s="65"/>
      <c r="D941" s="66"/>
      <c r="E941" s="65"/>
      <c r="F941" s="65"/>
      <c r="G941" s="65"/>
      <c r="H941" s="65"/>
      <c r="I941" s="65"/>
      <c r="J941" s="65"/>
      <c r="K941" s="65"/>
      <c r="L941" s="65"/>
      <c r="M941" s="65"/>
      <c r="N941" s="65"/>
      <c r="O941" s="67"/>
      <c r="P941" s="65"/>
      <c r="Q941" s="65"/>
      <c r="R941" s="65"/>
      <c r="S941" s="65"/>
      <c r="T941" s="65"/>
      <c r="U941" s="65"/>
      <c r="V941" s="68"/>
      <c r="W941" s="65"/>
      <c r="X941" s="65"/>
      <c r="Y941" s="65"/>
      <c r="Z941" s="65"/>
      <c r="AA941" s="65"/>
      <c r="AB941" s="65"/>
      <c r="AC941" s="65"/>
      <c r="AD941" s="65"/>
      <c r="AE941" s="65"/>
      <c r="AF941" s="65"/>
      <c r="AG941" s="65"/>
      <c r="AH941" s="65"/>
    </row>
    <row r="942">
      <c r="A942" s="61"/>
      <c r="B942" s="61"/>
      <c r="C942" s="61"/>
      <c r="D942" s="62"/>
      <c r="E942" s="61"/>
      <c r="F942" s="61"/>
      <c r="G942" s="61"/>
      <c r="H942" s="61"/>
      <c r="I942" s="61"/>
      <c r="J942" s="61"/>
      <c r="K942" s="61"/>
      <c r="L942" s="61"/>
      <c r="M942" s="61"/>
      <c r="N942" s="61"/>
      <c r="O942" s="63"/>
      <c r="P942" s="61"/>
      <c r="Q942" s="61"/>
      <c r="R942" s="61"/>
      <c r="S942" s="61"/>
      <c r="T942" s="61"/>
      <c r="U942" s="61"/>
      <c r="V942" s="64"/>
      <c r="W942" s="61"/>
      <c r="X942" s="61"/>
      <c r="Y942" s="61"/>
      <c r="Z942" s="61"/>
      <c r="AA942" s="61"/>
      <c r="AB942" s="61"/>
      <c r="AC942" s="61"/>
      <c r="AD942" s="61"/>
      <c r="AE942" s="61"/>
      <c r="AF942" s="61"/>
      <c r="AG942" s="61"/>
      <c r="AH942" s="61"/>
    </row>
    <row r="943">
      <c r="A943" s="65"/>
      <c r="B943" s="65"/>
      <c r="C943" s="65"/>
      <c r="D943" s="66"/>
      <c r="E943" s="65"/>
      <c r="F943" s="65"/>
      <c r="G943" s="65"/>
      <c r="H943" s="65"/>
      <c r="I943" s="65"/>
      <c r="J943" s="65"/>
      <c r="K943" s="65"/>
      <c r="L943" s="65"/>
      <c r="M943" s="65"/>
      <c r="N943" s="65"/>
      <c r="O943" s="67"/>
      <c r="P943" s="65"/>
      <c r="Q943" s="65"/>
      <c r="R943" s="65"/>
      <c r="S943" s="65"/>
      <c r="T943" s="65"/>
      <c r="U943" s="65"/>
      <c r="V943" s="68"/>
      <c r="W943" s="65"/>
      <c r="X943" s="65"/>
      <c r="Y943" s="65"/>
      <c r="Z943" s="65"/>
      <c r="AA943" s="65"/>
      <c r="AB943" s="65"/>
      <c r="AC943" s="65"/>
      <c r="AD943" s="65"/>
      <c r="AE943" s="65"/>
      <c r="AF943" s="65"/>
      <c r="AG943" s="65"/>
      <c r="AH943" s="65"/>
    </row>
    <row r="944">
      <c r="A944" s="61"/>
      <c r="B944" s="61"/>
      <c r="C944" s="61"/>
      <c r="D944" s="62"/>
      <c r="E944" s="61"/>
      <c r="F944" s="61"/>
      <c r="G944" s="61"/>
      <c r="H944" s="61"/>
      <c r="I944" s="61"/>
      <c r="J944" s="61"/>
      <c r="K944" s="61"/>
      <c r="L944" s="61"/>
      <c r="M944" s="61"/>
      <c r="N944" s="61"/>
      <c r="O944" s="63"/>
      <c r="P944" s="61"/>
      <c r="Q944" s="61"/>
      <c r="R944" s="61"/>
      <c r="S944" s="61"/>
      <c r="T944" s="61"/>
      <c r="U944" s="61"/>
      <c r="V944" s="64"/>
      <c r="W944" s="61"/>
      <c r="X944" s="61"/>
      <c r="Y944" s="61"/>
      <c r="Z944" s="61"/>
      <c r="AA944" s="61"/>
      <c r="AB944" s="61"/>
      <c r="AC944" s="61"/>
      <c r="AD944" s="61"/>
      <c r="AE944" s="61"/>
      <c r="AF944" s="61"/>
      <c r="AG944" s="61"/>
      <c r="AH944" s="61"/>
    </row>
    <row r="945">
      <c r="A945" s="65"/>
      <c r="B945" s="65"/>
      <c r="C945" s="65"/>
      <c r="D945" s="66"/>
      <c r="E945" s="65"/>
      <c r="F945" s="65"/>
      <c r="G945" s="65"/>
      <c r="H945" s="65"/>
      <c r="I945" s="65"/>
      <c r="J945" s="65"/>
      <c r="K945" s="65"/>
      <c r="L945" s="65"/>
      <c r="M945" s="65"/>
      <c r="N945" s="65"/>
      <c r="O945" s="67"/>
      <c r="P945" s="65"/>
      <c r="Q945" s="65"/>
      <c r="R945" s="65"/>
      <c r="S945" s="65"/>
      <c r="T945" s="65"/>
      <c r="U945" s="65"/>
      <c r="V945" s="68"/>
      <c r="W945" s="65"/>
      <c r="X945" s="65"/>
      <c r="Y945" s="65"/>
      <c r="Z945" s="65"/>
      <c r="AA945" s="65"/>
      <c r="AB945" s="65"/>
      <c r="AC945" s="65"/>
      <c r="AD945" s="65"/>
      <c r="AE945" s="65"/>
      <c r="AF945" s="65"/>
      <c r="AG945" s="65"/>
      <c r="AH945" s="65"/>
    </row>
    <row r="946">
      <c r="A946" s="61"/>
      <c r="B946" s="61"/>
      <c r="C946" s="61"/>
      <c r="D946" s="62"/>
      <c r="E946" s="61"/>
      <c r="F946" s="61"/>
      <c r="G946" s="61"/>
      <c r="H946" s="61"/>
      <c r="I946" s="61"/>
      <c r="J946" s="61"/>
      <c r="K946" s="61"/>
      <c r="L946" s="61"/>
      <c r="M946" s="61"/>
      <c r="N946" s="61"/>
      <c r="O946" s="63"/>
      <c r="P946" s="61"/>
      <c r="Q946" s="61"/>
      <c r="R946" s="61"/>
      <c r="S946" s="61"/>
      <c r="T946" s="61"/>
      <c r="U946" s="61"/>
      <c r="V946" s="64"/>
      <c r="W946" s="61"/>
      <c r="X946" s="61"/>
      <c r="Y946" s="61"/>
      <c r="Z946" s="61"/>
      <c r="AA946" s="61"/>
      <c r="AB946" s="61"/>
      <c r="AC946" s="61"/>
      <c r="AD946" s="61"/>
      <c r="AE946" s="61"/>
      <c r="AF946" s="61"/>
      <c r="AG946" s="61"/>
      <c r="AH946" s="61"/>
    </row>
    <row r="947">
      <c r="A947" s="65"/>
      <c r="B947" s="65"/>
      <c r="C947" s="65"/>
      <c r="D947" s="66"/>
      <c r="E947" s="65"/>
      <c r="F947" s="65"/>
      <c r="G947" s="65"/>
      <c r="H947" s="65"/>
      <c r="I947" s="65"/>
      <c r="J947" s="65"/>
      <c r="K947" s="65"/>
      <c r="L947" s="65"/>
      <c r="M947" s="65"/>
      <c r="N947" s="65"/>
      <c r="O947" s="67"/>
      <c r="P947" s="65"/>
      <c r="Q947" s="65"/>
      <c r="R947" s="65"/>
      <c r="S947" s="65"/>
      <c r="T947" s="65"/>
      <c r="U947" s="65"/>
      <c r="V947" s="68"/>
      <c r="W947" s="65"/>
      <c r="X947" s="65"/>
      <c r="Y947" s="65"/>
      <c r="Z947" s="65"/>
      <c r="AA947" s="65"/>
      <c r="AB947" s="65"/>
      <c r="AC947" s="65"/>
      <c r="AD947" s="65"/>
      <c r="AE947" s="65"/>
      <c r="AF947" s="65"/>
      <c r="AG947" s="65"/>
      <c r="AH947" s="65"/>
    </row>
    <row r="948">
      <c r="A948" s="61"/>
      <c r="B948" s="61"/>
      <c r="C948" s="61"/>
      <c r="D948" s="62"/>
      <c r="E948" s="61"/>
      <c r="F948" s="61"/>
      <c r="G948" s="61"/>
      <c r="H948" s="61"/>
      <c r="I948" s="61"/>
      <c r="J948" s="61"/>
      <c r="K948" s="61"/>
      <c r="L948" s="61"/>
      <c r="M948" s="61"/>
      <c r="N948" s="61"/>
      <c r="O948" s="63"/>
      <c r="P948" s="61"/>
      <c r="Q948" s="61"/>
      <c r="R948" s="61"/>
      <c r="S948" s="61"/>
      <c r="T948" s="61"/>
      <c r="U948" s="61"/>
      <c r="V948" s="64"/>
      <c r="W948" s="61"/>
      <c r="X948" s="61"/>
      <c r="Y948" s="61"/>
      <c r="Z948" s="61"/>
      <c r="AA948" s="61"/>
      <c r="AB948" s="61"/>
      <c r="AC948" s="61"/>
      <c r="AD948" s="61"/>
      <c r="AE948" s="61"/>
      <c r="AF948" s="61"/>
      <c r="AG948" s="61"/>
      <c r="AH948" s="61"/>
    </row>
    <row r="949">
      <c r="A949" s="65"/>
      <c r="B949" s="65"/>
      <c r="C949" s="65"/>
      <c r="D949" s="66"/>
      <c r="E949" s="65"/>
      <c r="F949" s="65"/>
      <c r="G949" s="65"/>
      <c r="H949" s="65"/>
      <c r="I949" s="65"/>
      <c r="J949" s="65"/>
      <c r="K949" s="65"/>
      <c r="L949" s="65"/>
      <c r="M949" s="65"/>
      <c r="N949" s="65"/>
      <c r="O949" s="67"/>
      <c r="P949" s="65"/>
      <c r="Q949" s="65"/>
      <c r="R949" s="65"/>
      <c r="S949" s="65"/>
      <c r="T949" s="65"/>
      <c r="U949" s="65"/>
      <c r="V949" s="68"/>
      <c r="W949" s="65"/>
      <c r="X949" s="65"/>
      <c r="Y949" s="65"/>
      <c r="Z949" s="65"/>
      <c r="AA949" s="65"/>
      <c r="AB949" s="65"/>
      <c r="AC949" s="65"/>
      <c r="AD949" s="65"/>
      <c r="AE949" s="65"/>
      <c r="AF949" s="65"/>
      <c r="AG949" s="65"/>
      <c r="AH949" s="65"/>
    </row>
    <row r="950">
      <c r="A950" s="61"/>
      <c r="B950" s="61"/>
      <c r="C950" s="61"/>
      <c r="D950" s="62"/>
      <c r="E950" s="61"/>
      <c r="F950" s="61"/>
      <c r="G950" s="61"/>
      <c r="H950" s="61"/>
      <c r="I950" s="61"/>
      <c r="J950" s="61"/>
      <c r="K950" s="61"/>
      <c r="L950" s="61"/>
      <c r="M950" s="61"/>
      <c r="N950" s="61"/>
      <c r="O950" s="63"/>
      <c r="P950" s="61"/>
      <c r="Q950" s="61"/>
      <c r="R950" s="61"/>
      <c r="S950" s="61"/>
      <c r="T950" s="61"/>
      <c r="U950" s="61"/>
      <c r="V950" s="64"/>
      <c r="W950" s="61"/>
      <c r="X950" s="61"/>
      <c r="Y950" s="61"/>
      <c r="Z950" s="61"/>
      <c r="AA950" s="61"/>
      <c r="AB950" s="61"/>
      <c r="AC950" s="61"/>
      <c r="AD950" s="61"/>
      <c r="AE950" s="61"/>
      <c r="AF950" s="61"/>
      <c r="AG950" s="61"/>
      <c r="AH950" s="61"/>
    </row>
    <row r="951">
      <c r="A951" s="65"/>
      <c r="B951" s="65"/>
      <c r="C951" s="65"/>
      <c r="D951" s="66"/>
      <c r="E951" s="65"/>
      <c r="F951" s="65"/>
      <c r="G951" s="65"/>
      <c r="H951" s="65"/>
      <c r="I951" s="65"/>
      <c r="J951" s="65"/>
      <c r="K951" s="65"/>
      <c r="L951" s="65"/>
      <c r="M951" s="65"/>
      <c r="N951" s="65"/>
      <c r="O951" s="67"/>
      <c r="P951" s="65"/>
      <c r="Q951" s="65"/>
      <c r="R951" s="65"/>
      <c r="S951" s="65"/>
      <c r="T951" s="65"/>
      <c r="U951" s="65"/>
      <c r="V951" s="68"/>
      <c r="W951" s="65"/>
      <c r="X951" s="65"/>
      <c r="Y951" s="65"/>
      <c r="Z951" s="65"/>
      <c r="AA951" s="65"/>
      <c r="AB951" s="65"/>
      <c r="AC951" s="65"/>
      <c r="AD951" s="65"/>
      <c r="AE951" s="65"/>
      <c r="AF951" s="65"/>
      <c r="AG951" s="65"/>
      <c r="AH951" s="65"/>
    </row>
    <row r="952">
      <c r="A952" s="61"/>
      <c r="B952" s="61"/>
      <c r="C952" s="61"/>
      <c r="D952" s="62"/>
      <c r="E952" s="61"/>
      <c r="F952" s="61"/>
      <c r="G952" s="61"/>
      <c r="H952" s="61"/>
      <c r="I952" s="61"/>
      <c r="J952" s="61"/>
      <c r="K952" s="61"/>
      <c r="L952" s="61"/>
      <c r="M952" s="61"/>
      <c r="N952" s="61"/>
      <c r="O952" s="63"/>
      <c r="P952" s="61"/>
      <c r="Q952" s="61"/>
      <c r="R952" s="61"/>
      <c r="S952" s="61"/>
      <c r="T952" s="61"/>
      <c r="U952" s="61"/>
      <c r="V952" s="64"/>
      <c r="W952" s="61"/>
      <c r="X952" s="61"/>
      <c r="Y952" s="61"/>
      <c r="Z952" s="61"/>
      <c r="AA952" s="61"/>
      <c r="AB952" s="61"/>
      <c r="AC952" s="61"/>
      <c r="AD952" s="61"/>
      <c r="AE952" s="61"/>
      <c r="AF952" s="61"/>
      <c r="AG952" s="61"/>
      <c r="AH952" s="61"/>
    </row>
    <row r="953">
      <c r="A953" s="65"/>
      <c r="B953" s="65"/>
      <c r="C953" s="65"/>
      <c r="D953" s="66"/>
      <c r="E953" s="65"/>
      <c r="F953" s="65"/>
      <c r="G953" s="65"/>
      <c r="H953" s="65"/>
      <c r="I953" s="65"/>
      <c r="J953" s="65"/>
      <c r="K953" s="65"/>
      <c r="L953" s="65"/>
      <c r="M953" s="65"/>
      <c r="N953" s="65"/>
      <c r="O953" s="67"/>
      <c r="P953" s="65"/>
      <c r="Q953" s="65"/>
      <c r="R953" s="65"/>
      <c r="S953" s="65"/>
      <c r="T953" s="65"/>
      <c r="U953" s="65"/>
      <c r="V953" s="68"/>
      <c r="W953" s="65"/>
      <c r="X953" s="65"/>
      <c r="Y953" s="65"/>
      <c r="Z953" s="65"/>
      <c r="AA953" s="65"/>
      <c r="AB953" s="65"/>
      <c r="AC953" s="65"/>
      <c r="AD953" s="65"/>
      <c r="AE953" s="65"/>
      <c r="AF953" s="65"/>
      <c r="AG953" s="65"/>
      <c r="AH953" s="65"/>
    </row>
    <row r="954">
      <c r="A954" s="61"/>
      <c r="B954" s="61"/>
      <c r="C954" s="61"/>
      <c r="D954" s="62"/>
      <c r="E954" s="61"/>
      <c r="F954" s="61"/>
      <c r="G954" s="61"/>
      <c r="H954" s="61"/>
      <c r="I954" s="61"/>
      <c r="J954" s="61"/>
      <c r="K954" s="61"/>
      <c r="L954" s="61"/>
      <c r="M954" s="61"/>
      <c r="N954" s="61"/>
      <c r="O954" s="63"/>
      <c r="P954" s="61"/>
      <c r="Q954" s="61"/>
      <c r="R954" s="61"/>
      <c r="S954" s="61"/>
      <c r="T954" s="61"/>
      <c r="U954" s="61"/>
      <c r="V954" s="64"/>
      <c r="W954" s="61"/>
      <c r="X954" s="61"/>
      <c r="Y954" s="61"/>
      <c r="Z954" s="61"/>
      <c r="AA954" s="61"/>
      <c r="AB954" s="61"/>
      <c r="AC954" s="61"/>
      <c r="AD954" s="61"/>
      <c r="AE954" s="61"/>
      <c r="AF954" s="61"/>
      <c r="AG954" s="61"/>
      <c r="AH954" s="61"/>
    </row>
    <row r="955">
      <c r="A955" s="65"/>
      <c r="B955" s="65"/>
      <c r="C955" s="65"/>
      <c r="D955" s="66"/>
      <c r="E955" s="65"/>
      <c r="F955" s="65"/>
      <c r="G955" s="65"/>
      <c r="H955" s="65"/>
      <c r="I955" s="65"/>
      <c r="J955" s="65"/>
      <c r="K955" s="65"/>
      <c r="L955" s="65"/>
      <c r="M955" s="65"/>
      <c r="N955" s="65"/>
      <c r="O955" s="67"/>
      <c r="P955" s="65"/>
      <c r="Q955" s="65"/>
      <c r="R955" s="65"/>
      <c r="S955" s="65"/>
      <c r="T955" s="65"/>
      <c r="U955" s="65"/>
      <c r="V955" s="68"/>
      <c r="W955" s="65"/>
      <c r="X955" s="65"/>
      <c r="Y955" s="65"/>
      <c r="Z955" s="65"/>
      <c r="AA955" s="65"/>
      <c r="AB955" s="65"/>
      <c r="AC955" s="65"/>
      <c r="AD955" s="65"/>
      <c r="AE955" s="65"/>
      <c r="AF955" s="65"/>
      <c r="AG955" s="65"/>
      <c r="AH955" s="65"/>
    </row>
    <row r="956">
      <c r="A956" s="61"/>
      <c r="B956" s="61"/>
      <c r="C956" s="61"/>
      <c r="D956" s="62"/>
      <c r="E956" s="61"/>
      <c r="F956" s="61"/>
      <c r="G956" s="61"/>
      <c r="H956" s="61"/>
      <c r="I956" s="61"/>
      <c r="J956" s="61"/>
      <c r="K956" s="61"/>
      <c r="L956" s="61"/>
      <c r="M956" s="61"/>
      <c r="N956" s="61"/>
      <c r="O956" s="63"/>
      <c r="P956" s="61"/>
      <c r="Q956" s="61"/>
      <c r="R956" s="61"/>
      <c r="S956" s="61"/>
      <c r="T956" s="61"/>
      <c r="U956" s="61"/>
      <c r="V956" s="64"/>
      <c r="W956" s="61"/>
      <c r="X956" s="61"/>
      <c r="Y956" s="61"/>
      <c r="Z956" s="61"/>
      <c r="AA956" s="61"/>
      <c r="AB956" s="61"/>
      <c r="AC956" s="61"/>
      <c r="AD956" s="61"/>
      <c r="AE956" s="61"/>
      <c r="AF956" s="61"/>
      <c r="AG956" s="61"/>
      <c r="AH956" s="61"/>
    </row>
    <row r="957">
      <c r="A957" s="65"/>
      <c r="B957" s="65"/>
      <c r="C957" s="65"/>
      <c r="D957" s="66"/>
      <c r="E957" s="65"/>
      <c r="F957" s="65"/>
      <c r="G957" s="65"/>
      <c r="H957" s="65"/>
      <c r="I957" s="65"/>
      <c r="J957" s="65"/>
      <c r="K957" s="65"/>
      <c r="L957" s="65"/>
      <c r="M957" s="65"/>
      <c r="N957" s="65"/>
      <c r="O957" s="67"/>
      <c r="P957" s="65"/>
      <c r="Q957" s="65"/>
      <c r="R957" s="65"/>
      <c r="S957" s="65"/>
      <c r="T957" s="65"/>
      <c r="U957" s="65"/>
      <c r="V957" s="68"/>
      <c r="W957" s="65"/>
      <c r="X957" s="65"/>
      <c r="Y957" s="65"/>
      <c r="Z957" s="65"/>
      <c r="AA957" s="65"/>
      <c r="AB957" s="65"/>
      <c r="AC957" s="65"/>
      <c r="AD957" s="65"/>
      <c r="AE957" s="65"/>
      <c r="AF957" s="65"/>
      <c r="AG957" s="65"/>
      <c r="AH957" s="65"/>
    </row>
    <row r="958">
      <c r="A958" s="61"/>
      <c r="B958" s="61"/>
      <c r="C958" s="61"/>
      <c r="D958" s="62"/>
      <c r="E958" s="61"/>
      <c r="F958" s="61"/>
      <c r="G958" s="61"/>
      <c r="H958" s="61"/>
      <c r="I958" s="61"/>
      <c r="J958" s="61"/>
      <c r="K958" s="61"/>
      <c r="L958" s="61"/>
      <c r="M958" s="61"/>
      <c r="N958" s="61"/>
      <c r="O958" s="63"/>
      <c r="P958" s="61"/>
      <c r="Q958" s="61"/>
      <c r="R958" s="61"/>
      <c r="S958" s="61"/>
      <c r="T958" s="61"/>
      <c r="U958" s="61"/>
      <c r="V958" s="64"/>
      <c r="W958" s="61"/>
      <c r="X958" s="61"/>
      <c r="Y958" s="61"/>
      <c r="Z958" s="61"/>
      <c r="AA958" s="61"/>
      <c r="AB958" s="61"/>
      <c r="AC958" s="61"/>
      <c r="AD958" s="61"/>
      <c r="AE958" s="61"/>
      <c r="AF958" s="61"/>
      <c r="AG958" s="61"/>
      <c r="AH958" s="61"/>
    </row>
    <row r="959">
      <c r="A959" s="65"/>
      <c r="B959" s="65"/>
      <c r="C959" s="65"/>
      <c r="D959" s="66"/>
      <c r="E959" s="65"/>
      <c r="F959" s="65"/>
      <c r="G959" s="65"/>
      <c r="H959" s="65"/>
      <c r="I959" s="65"/>
      <c r="J959" s="65"/>
      <c r="K959" s="65"/>
      <c r="L959" s="65"/>
      <c r="M959" s="65"/>
      <c r="N959" s="65"/>
      <c r="O959" s="67"/>
      <c r="P959" s="65"/>
      <c r="Q959" s="65"/>
      <c r="R959" s="65"/>
      <c r="S959" s="65"/>
      <c r="T959" s="65"/>
      <c r="U959" s="65"/>
      <c r="V959" s="68"/>
      <c r="W959" s="65"/>
      <c r="X959" s="65"/>
      <c r="Y959" s="65"/>
      <c r="Z959" s="65"/>
      <c r="AA959" s="65"/>
      <c r="AB959" s="65"/>
      <c r="AC959" s="65"/>
      <c r="AD959" s="65"/>
      <c r="AE959" s="65"/>
      <c r="AF959" s="65"/>
      <c r="AG959" s="65"/>
      <c r="AH959" s="65"/>
    </row>
    <row r="960">
      <c r="A960" s="61"/>
      <c r="B960" s="61"/>
      <c r="C960" s="61"/>
      <c r="D960" s="62"/>
      <c r="E960" s="61"/>
      <c r="F960" s="61"/>
      <c r="G960" s="61"/>
      <c r="H960" s="61"/>
      <c r="I960" s="61"/>
      <c r="J960" s="61"/>
      <c r="K960" s="61"/>
      <c r="L960" s="61"/>
      <c r="M960" s="61"/>
      <c r="N960" s="61"/>
      <c r="O960" s="63"/>
      <c r="P960" s="61"/>
      <c r="Q960" s="61"/>
      <c r="R960" s="61"/>
      <c r="S960" s="61"/>
      <c r="T960" s="61"/>
      <c r="U960" s="61"/>
      <c r="V960" s="64"/>
      <c r="W960" s="61"/>
      <c r="X960" s="61"/>
      <c r="Y960" s="61"/>
      <c r="Z960" s="61"/>
      <c r="AA960" s="61"/>
      <c r="AB960" s="61"/>
      <c r="AC960" s="61"/>
      <c r="AD960" s="61"/>
      <c r="AE960" s="61"/>
      <c r="AF960" s="61"/>
      <c r="AG960" s="61"/>
      <c r="AH960" s="61"/>
    </row>
    <row r="961">
      <c r="A961" s="65"/>
      <c r="B961" s="65"/>
      <c r="C961" s="65"/>
      <c r="D961" s="66"/>
      <c r="E961" s="65"/>
      <c r="F961" s="65"/>
      <c r="G961" s="65"/>
      <c r="H961" s="65"/>
      <c r="I961" s="65"/>
      <c r="J961" s="65"/>
      <c r="K961" s="65"/>
      <c r="L961" s="65"/>
      <c r="M961" s="65"/>
      <c r="N961" s="65"/>
      <c r="O961" s="67"/>
      <c r="P961" s="65"/>
      <c r="Q961" s="65"/>
      <c r="R961" s="65"/>
      <c r="S961" s="65"/>
      <c r="T961" s="65"/>
      <c r="U961" s="65"/>
      <c r="V961" s="68"/>
      <c r="W961" s="65"/>
      <c r="X961" s="65"/>
      <c r="Y961" s="65"/>
      <c r="Z961" s="65"/>
      <c r="AA961" s="65"/>
      <c r="AB961" s="65"/>
      <c r="AC961" s="65"/>
      <c r="AD961" s="65"/>
      <c r="AE961" s="65"/>
      <c r="AF961" s="65"/>
      <c r="AG961" s="65"/>
      <c r="AH961" s="65"/>
    </row>
    <row r="962">
      <c r="A962" s="61"/>
      <c r="B962" s="61"/>
      <c r="C962" s="61"/>
      <c r="D962" s="62"/>
      <c r="E962" s="61"/>
      <c r="F962" s="61"/>
      <c r="G962" s="61"/>
      <c r="H962" s="61"/>
      <c r="I962" s="61"/>
      <c r="J962" s="61"/>
      <c r="K962" s="61"/>
      <c r="L962" s="61"/>
      <c r="M962" s="61"/>
      <c r="N962" s="61"/>
      <c r="O962" s="63"/>
      <c r="P962" s="61"/>
      <c r="Q962" s="61"/>
      <c r="R962" s="61"/>
      <c r="S962" s="61"/>
      <c r="T962" s="61"/>
      <c r="U962" s="61"/>
      <c r="V962" s="64"/>
      <c r="W962" s="61"/>
      <c r="X962" s="61"/>
      <c r="Y962" s="61"/>
      <c r="Z962" s="61"/>
      <c r="AA962" s="61"/>
      <c r="AB962" s="61"/>
      <c r="AC962" s="61"/>
      <c r="AD962" s="61"/>
      <c r="AE962" s="61"/>
      <c r="AF962" s="61"/>
      <c r="AG962" s="61"/>
      <c r="AH962" s="61"/>
    </row>
    <row r="963">
      <c r="A963" s="65"/>
      <c r="B963" s="65"/>
      <c r="C963" s="65"/>
      <c r="D963" s="66"/>
      <c r="E963" s="65"/>
      <c r="F963" s="65"/>
      <c r="G963" s="65"/>
      <c r="H963" s="65"/>
      <c r="I963" s="65"/>
      <c r="J963" s="65"/>
      <c r="K963" s="65"/>
      <c r="L963" s="65"/>
      <c r="M963" s="65"/>
      <c r="N963" s="65"/>
      <c r="O963" s="67"/>
      <c r="P963" s="65"/>
      <c r="Q963" s="65"/>
      <c r="R963" s="65"/>
      <c r="S963" s="65"/>
      <c r="T963" s="65"/>
      <c r="U963" s="65"/>
      <c r="V963" s="68"/>
      <c r="W963" s="65"/>
      <c r="X963" s="65"/>
      <c r="Y963" s="65"/>
      <c r="Z963" s="65"/>
      <c r="AA963" s="65"/>
      <c r="AB963" s="65"/>
      <c r="AC963" s="65"/>
      <c r="AD963" s="65"/>
      <c r="AE963" s="65"/>
      <c r="AF963" s="65"/>
      <c r="AG963" s="65"/>
      <c r="AH963" s="65"/>
    </row>
    <row r="964">
      <c r="A964" s="61"/>
      <c r="B964" s="61"/>
      <c r="C964" s="61"/>
      <c r="D964" s="62"/>
      <c r="E964" s="61"/>
      <c r="F964" s="61"/>
      <c r="G964" s="61"/>
      <c r="H964" s="61"/>
      <c r="I964" s="61"/>
      <c r="J964" s="61"/>
      <c r="K964" s="61"/>
      <c r="L964" s="61"/>
      <c r="M964" s="61"/>
      <c r="N964" s="61"/>
      <c r="O964" s="63"/>
      <c r="P964" s="61"/>
      <c r="Q964" s="61"/>
      <c r="R964" s="61"/>
      <c r="S964" s="61"/>
      <c r="T964" s="61"/>
      <c r="U964" s="61"/>
      <c r="V964" s="64"/>
      <c r="W964" s="61"/>
      <c r="X964" s="61"/>
      <c r="Y964" s="61"/>
      <c r="Z964" s="61"/>
      <c r="AA964" s="61"/>
      <c r="AB964" s="61"/>
      <c r="AC964" s="61"/>
      <c r="AD964" s="61"/>
      <c r="AE964" s="61"/>
      <c r="AF964" s="61"/>
      <c r="AG964" s="61"/>
      <c r="AH964" s="61"/>
    </row>
    <row r="965">
      <c r="A965" s="65"/>
      <c r="B965" s="65"/>
      <c r="C965" s="65"/>
      <c r="D965" s="66"/>
      <c r="E965" s="65"/>
      <c r="F965" s="65"/>
      <c r="G965" s="65"/>
      <c r="H965" s="65"/>
      <c r="I965" s="65"/>
      <c r="J965" s="65"/>
      <c r="K965" s="65"/>
      <c r="L965" s="65"/>
      <c r="M965" s="65"/>
      <c r="N965" s="65"/>
      <c r="O965" s="67"/>
      <c r="P965" s="65"/>
      <c r="Q965" s="65"/>
      <c r="R965" s="65"/>
      <c r="S965" s="65"/>
      <c r="T965" s="65"/>
      <c r="U965" s="65"/>
      <c r="V965" s="68"/>
      <c r="W965" s="65"/>
      <c r="X965" s="65"/>
      <c r="Y965" s="65"/>
      <c r="Z965" s="65"/>
      <c r="AA965" s="65"/>
      <c r="AB965" s="65"/>
      <c r="AC965" s="65"/>
      <c r="AD965" s="65"/>
      <c r="AE965" s="65"/>
      <c r="AF965" s="65"/>
      <c r="AG965" s="65"/>
      <c r="AH965" s="65"/>
    </row>
    <row r="966">
      <c r="A966" s="61"/>
      <c r="B966" s="61"/>
      <c r="C966" s="61"/>
      <c r="D966" s="62"/>
      <c r="E966" s="61"/>
      <c r="F966" s="61"/>
      <c r="G966" s="61"/>
      <c r="H966" s="61"/>
      <c r="I966" s="61"/>
      <c r="J966" s="61"/>
      <c r="K966" s="61"/>
      <c r="L966" s="61"/>
      <c r="M966" s="61"/>
      <c r="N966" s="61"/>
      <c r="O966" s="63"/>
      <c r="P966" s="61"/>
      <c r="Q966" s="61"/>
      <c r="R966" s="61"/>
      <c r="S966" s="61"/>
      <c r="T966" s="61"/>
      <c r="U966" s="61"/>
      <c r="V966" s="64"/>
      <c r="W966" s="61"/>
      <c r="X966" s="61"/>
      <c r="Y966" s="61"/>
      <c r="Z966" s="61"/>
      <c r="AA966" s="61"/>
      <c r="AB966" s="61"/>
      <c r="AC966" s="61"/>
      <c r="AD966" s="61"/>
      <c r="AE966" s="61"/>
      <c r="AF966" s="61"/>
      <c r="AG966" s="61"/>
      <c r="AH966" s="61"/>
    </row>
    <row r="967">
      <c r="A967" s="65"/>
      <c r="B967" s="65"/>
      <c r="C967" s="65"/>
      <c r="D967" s="66"/>
      <c r="E967" s="65"/>
      <c r="F967" s="65"/>
      <c r="G967" s="65"/>
      <c r="H967" s="65"/>
      <c r="I967" s="65"/>
      <c r="J967" s="65"/>
      <c r="K967" s="65"/>
      <c r="L967" s="65"/>
      <c r="M967" s="65"/>
      <c r="N967" s="65"/>
      <c r="O967" s="67"/>
      <c r="P967" s="65"/>
      <c r="Q967" s="65"/>
      <c r="R967" s="65"/>
      <c r="S967" s="65"/>
      <c r="T967" s="65"/>
      <c r="U967" s="65"/>
      <c r="V967" s="68"/>
      <c r="W967" s="65"/>
      <c r="X967" s="65"/>
      <c r="Y967" s="65"/>
      <c r="Z967" s="65"/>
      <c r="AA967" s="65"/>
      <c r="AB967" s="65"/>
      <c r="AC967" s="65"/>
      <c r="AD967" s="65"/>
      <c r="AE967" s="65"/>
      <c r="AF967" s="65"/>
      <c r="AG967" s="65"/>
      <c r="AH967" s="65"/>
    </row>
    <row r="968">
      <c r="A968" s="61"/>
      <c r="B968" s="61"/>
      <c r="C968" s="61"/>
      <c r="D968" s="62"/>
      <c r="E968" s="61"/>
      <c r="F968" s="61"/>
      <c r="G968" s="61"/>
      <c r="H968" s="61"/>
      <c r="I968" s="61"/>
      <c r="J968" s="61"/>
      <c r="K968" s="61"/>
      <c r="L968" s="61"/>
      <c r="M968" s="61"/>
      <c r="N968" s="61"/>
      <c r="O968" s="63"/>
      <c r="P968" s="61"/>
      <c r="Q968" s="61"/>
      <c r="R968" s="61"/>
      <c r="S968" s="61"/>
      <c r="T968" s="61"/>
      <c r="U968" s="61"/>
      <c r="V968" s="64"/>
      <c r="W968" s="61"/>
      <c r="X968" s="61"/>
      <c r="Y968" s="61"/>
      <c r="Z968" s="61"/>
      <c r="AA968" s="61"/>
      <c r="AB968" s="61"/>
      <c r="AC968" s="61"/>
      <c r="AD968" s="61"/>
      <c r="AE968" s="61"/>
      <c r="AF968" s="61"/>
      <c r="AG968" s="61"/>
      <c r="AH968" s="61"/>
    </row>
    <row r="969">
      <c r="A969" s="65"/>
      <c r="B969" s="65"/>
      <c r="C969" s="65"/>
      <c r="D969" s="66"/>
      <c r="E969" s="65"/>
      <c r="F969" s="65"/>
      <c r="G969" s="65"/>
      <c r="H969" s="65"/>
      <c r="I969" s="65"/>
      <c r="J969" s="65"/>
      <c r="K969" s="65"/>
      <c r="L969" s="65"/>
      <c r="M969" s="65"/>
      <c r="N969" s="65"/>
      <c r="O969" s="67"/>
      <c r="P969" s="65"/>
      <c r="Q969" s="65"/>
      <c r="R969" s="65"/>
      <c r="S969" s="65"/>
      <c r="T969" s="65"/>
      <c r="U969" s="65"/>
      <c r="V969" s="68"/>
      <c r="W969" s="65"/>
      <c r="X969" s="65"/>
      <c r="Y969" s="65"/>
      <c r="Z969" s="65"/>
      <c r="AA969" s="65"/>
      <c r="AB969" s="65"/>
      <c r="AC969" s="65"/>
      <c r="AD969" s="65"/>
      <c r="AE969" s="65"/>
      <c r="AF969" s="65"/>
      <c r="AG969" s="65"/>
      <c r="AH969" s="65"/>
    </row>
    <row r="970">
      <c r="A970" s="61"/>
      <c r="B970" s="61"/>
      <c r="C970" s="61"/>
      <c r="D970" s="62"/>
      <c r="E970" s="61"/>
      <c r="F970" s="61"/>
      <c r="G970" s="61"/>
      <c r="H970" s="61"/>
      <c r="I970" s="61"/>
      <c r="J970" s="61"/>
      <c r="K970" s="61"/>
      <c r="L970" s="61"/>
      <c r="M970" s="61"/>
      <c r="N970" s="61"/>
      <c r="O970" s="63"/>
      <c r="P970" s="61"/>
      <c r="Q970" s="61"/>
      <c r="R970" s="61"/>
      <c r="S970" s="61"/>
      <c r="T970" s="61"/>
      <c r="U970" s="61"/>
      <c r="V970" s="64"/>
      <c r="W970" s="61"/>
      <c r="X970" s="61"/>
      <c r="Y970" s="61"/>
      <c r="Z970" s="61"/>
      <c r="AA970" s="61"/>
      <c r="AB970" s="61"/>
      <c r="AC970" s="61"/>
      <c r="AD970" s="61"/>
      <c r="AE970" s="61"/>
      <c r="AF970" s="61"/>
      <c r="AG970" s="61"/>
      <c r="AH970" s="61"/>
    </row>
    <row r="971">
      <c r="A971" s="65"/>
      <c r="B971" s="65"/>
      <c r="C971" s="65"/>
      <c r="D971" s="66"/>
      <c r="E971" s="65"/>
      <c r="F971" s="65"/>
      <c r="G971" s="65"/>
      <c r="H971" s="65"/>
      <c r="I971" s="65"/>
      <c r="J971" s="65"/>
      <c r="K971" s="65"/>
      <c r="L971" s="65"/>
      <c r="M971" s="65"/>
      <c r="N971" s="65"/>
      <c r="O971" s="67"/>
      <c r="P971" s="65"/>
      <c r="Q971" s="65"/>
      <c r="R971" s="65"/>
      <c r="S971" s="65"/>
      <c r="T971" s="65"/>
      <c r="U971" s="65"/>
      <c r="V971" s="68"/>
      <c r="W971" s="65"/>
      <c r="X971" s="65"/>
      <c r="Y971" s="65"/>
      <c r="Z971" s="65"/>
      <c r="AA971" s="65"/>
      <c r="AB971" s="65"/>
      <c r="AC971" s="65"/>
      <c r="AD971" s="65"/>
      <c r="AE971" s="65"/>
      <c r="AF971" s="65"/>
      <c r="AG971" s="65"/>
      <c r="AH971" s="65"/>
    </row>
    <row r="972">
      <c r="A972" s="61"/>
      <c r="B972" s="61"/>
      <c r="C972" s="61"/>
      <c r="D972" s="62"/>
      <c r="E972" s="61"/>
      <c r="F972" s="61"/>
      <c r="G972" s="61"/>
      <c r="H972" s="61"/>
      <c r="I972" s="61"/>
      <c r="J972" s="61"/>
      <c r="K972" s="61"/>
      <c r="L972" s="61"/>
      <c r="M972" s="61"/>
      <c r="N972" s="61"/>
      <c r="O972" s="63"/>
      <c r="P972" s="61"/>
      <c r="Q972" s="61"/>
      <c r="R972" s="61"/>
      <c r="S972" s="61"/>
      <c r="T972" s="61"/>
      <c r="U972" s="61"/>
      <c r="V972" s="64"/>
      <c r="W972" s="61"/>
      <c r="X972" s="61"/>
      <c r="Y972" s="61"/>
      <c r="Z972" s="61"/>
      <c r="AA972" s="61"/>
      <c r="AB972" s="61"/>
      <c r="AC972" s="61"/>
      <c r="AD972" s="61"/>
      <c r="AE972" s="61"/>
      <c r="AF972" s="61"/>
      <c r="AG972" s="61"/>
      <c r="AH972" s="61"/>
    </row>
    <row r="973">
      <c r="A973" s="65"/>
      <c r="B973" s="65"/>
      <c r="C973" s="65"/>
      <c r="D973" s="66"/>
      <c r="E973" s="65"/>
      <c r="F973" s="65"/>
      <c r="G973" s="65"/>
      <c r="H973" s="65"/>
      <c r="I973" s="65"/>
      <c r="J973" s="65"/>
      <c r="K973" s="65"/>
      <c r="L973" s="65"/>
      <c r="M973" s="65"/>
      <c r="N973" s="65"/>
      <c r="O973" s="67"/>
      <c r="P973" s="65"/>
      <c r="Q973" s="65"/>
      <c r="R973" s="65"/>
      <c r="S973" s="65"/>
      <c r="T973" s="65"/>
      <c r="U973" s="65"/>
      <c r="V973" s="68"/>
      <c r="W973" s="65"/>
      <c r="X973" s="65"/>
      <c r="Y973" s="65"/>
      <c r="Z973" s="65"/>
      <c r="AA973" s="65"/>
      <c r="AB973" s="65"/>
      <c r="AC973" s="65"/>
      <c r="AD973" s="65"/>
      <c r="AE973" s="65"/>
      <c r="AF973" s="65"/>
      <c r="AG973" s="65"/>
      <c r="AH973" s="65"/>
    </row>
    <row r="974">
      <c r="A974" s="61"/>
      <c r="B974" s="61"/>
      <c r="C974" s="61"/>
      <c r="D974" s="62"/>
      <c r="E974" s="61"/>
      <c r="F974" s="61"/>
      <c r="G974" s="61"/>
      <c r="H974" s="61"/>
      <c r="I974" s="61"/>
      <c r="J974" s="61"/>
      <c r="K974" s="61"/>
      <c r="L974" s="61"/>
      <c r="M974" s="61"/>
      <c r="N974" s="61"/>
      <c r="O974" s="63"/>
      <c r="P974" s="61"/>
      <c r="Q974" s="61"/>
      <c r="R974" s="61"/>
      <c r="S974" s="61"/>
      <c r="T974" s="61"/>
      <c r="U974" s="61"/>
      <c r="V974" s="64"/>
      <c r="W974" s="61"/>
      <c r="X974" s="61"/>
      <c r="Y974" s="61"/>
      <c r="Z974" s="61"/>
      <c r="AA974" s="61"/>
      <c r="AB974" s="61"/>
      <c r="AC974" s="61"/>
      <c r="AD974" s="61"/>
      <c r="AE974" s="61"/>
      <c r="AF974" s="61"/>
      <c r="AG974" s="61"/>
      <c r="AH974" s="61"/>
    </row>
    <row r="975">
      <c r="A975" s="65"/>
      <c r="B975" s="65"/>
      <c r="C975" s="65"/>
      <c r="D975" s="66"/>
      <c r="E975" s="65"/>
      <c r="F975" s="65"/>
      <c r="G975" s="65"/>
      <c r="H975" s="65"/>
      <c r="I975" s="65"/>
      <c r="J975" s="65"/>
      <c r="K975" s="65"/>
      <c r="L975" s="65"/>
      <c r="M975" s="65"/>
      <c r="N975" s="65"/>
      <c r="O975" s="67"/>
      <c r="P975" s="65"/>
      <c r="Q975" s="65"/>
      <c r="R975" s="65"/>
      <c r="S975" s="65"/>
      <c r="T975" s="65"/>
      <c r="U975" s="65"/>
      <c r="V975" s="68"/>
      <c r="W975" s="65"/>
      <c r="X975" s="65"/>
      <c r="Y975" s="65"/>
      <c r="Z975" s="65"/>
      <c r="AA975" s="65"/>
      <c r="AB975" s="65"/>
      <c r="AC975" s="65"/>
      <c r="AD975" s="65"/>
      <c r="AE975" s="65"/>
      <c r="AF975" s="65"/>
      <c r="AG975" s="65"/>
      <c r="AH975" s="65"/>
    </row>
    <row r="976">
      <c r="A976" s="61"/>
      <c r="B976" s="61"/>
      <c r="C976" s="61"/>
      <c r="D976" s="62"/>
      <c r="E976" s="61"/>
      <c r="F976" s="61"/>
      <c r="G976" s="61"/>
      <c r="H976" s="61"/>
      <c r="I976" s="61"/>
      <c r="J976" s="61"/>
      <c r="K976" s="61"/>
      <c r="L976" s="61"/>
      <c r="M976" s="61"/>
      <c r="N976" s="61"/>
      <c r="O976" s="63"/>
      <c r="P976" s="61"/>
      <c r="Q976" s="61"/>
      <c r="R976" s="61"/>
      <c r="S976" s="61"/>
      <c r="T976" s="61"/>
      <c r="U976" s="61"/>
      <c r="V976" s="64"/>
      <c r="W976" s="61"/>
      <c r="X976" s="61"/>
      <c r="Y976" s="61"/>
      <c r="Z976" s="61"/>
      <c r="AA976" s="61"/>
      <c r="AB976" s="61"/>
      <c r="AC976" s="61"/>
      <c r="AD976" s="61"/>
      <c r="AE976" s="61"/>
      <c r="AF976" s="61"/>
      <c r="AG976" s="61"/>
      <c r="AH976" s="61"/>
    </row>
    <row r="977">
      <c r="A977" s="65"/>
      <c r="B977" s="65"/>
      <c r="C977" s="65"/>
      <c r="D977" s="66"/>
      <c r="E977" s="65"/>
      <c r="F977" s="65"/>
      <c r="G977" s="65"/>
      <c r="H977" s="65"/>
      <c r="I977" s="65"/>
      <c r="J977" s="65"/>
      <c r="K977" s="65"/>
      <c r="L977" s="65"/>
      <c r="M977" s="65"/>
      <c r="N977" s="65"/>
      <c r="O977" s="67"/>
      <c r="P977" s="65"/>
      <c r="Q977" s="65"/>
      <c r="R977" s="65"/>
      <c r="S977" s="65"/>
      <c r="T977" s="65"/>
      <c r="U977" s="65"/>
      <c r="V977" s="68"/>
      <c r="W977" s="65"/>
      <c r="X977" s="65"/>
      <c r="Y977" s="65"/>
      <c r="Z977" s="65"/>
      <c r="AA977" s="65"/>
      <c r="AB977" s="65"/>
      <c r="AC977" s="65"/>
      <c r="AD977" s="65"/>
      <c r="AE977" s="65"/>
      <c r="AF977" s="65"/>
      <c r="AG977" s="65"/>
      <c r="AH977" s="65"/>
    </row>
    <row r="978">
      <c r="A978" s="61"/>
      <c r="B978" s="61"/>
      <c r="C978" s="61"/>
      <c r="D978" s="62"/>
      <c r="E978" s="61"/>
      <c r="F978" s="61"/>
      <c r="G978" s="61"/>
      <c r="H978" s="61"/>
      <c r="I978" s="61"/>
      <c r="J978" s="61"/>
      <c r="K978" s="61"/>
      <c r="L978" s="61"/>
      <c r="M978" s="61"/>
      <c r="N978" s="61"/>
      <c r="O978" s="63"/>
      <c r="P978" s="61"/>
      <c r="Q978" s="61"/>
      <c r="R978" s="61"/>
      <c r="S978" s="61"/>
      <c r="T978" s="61"/>
      <c r="U978" s="61"/>
      <c r="V978" s="64"/>
      <c r="W978" s="61"/>
      <c r="X978" s="61"/>
      <c r="Y978" s="61"/>
      <c r="Z978" s="61"/>
      <c r="AA978" s="61"/>
      <c r="AB978" s="61"/>
      <c r="AC978" s="61"/>
      <c r="AD978" s="61"/>
      <c r="AE978" s="61"/>
      <c r="AF978" s="61"/>
      <c r="AG978" s="61"/>
      <c r="AH978" s="61"/>
    </row>
    <row r="979">
      <c r="A979" s="65"/>
      <c r="B979" s="65"/>
      <c r="C979" s="65"/>
      <c r="D979" s="66"/>
      <c r="E979" s="65"/>
      <c r="F979" s="65"/>
      <c r="G979" s="65"/>
      <c r="H979" s="65"/>
      <c r="I979" s="65"/>
      <c r="J979" s="65"/>
      <c r="K979" s="65"/>
      <c r="L979" s="65"/>
      <c r="M979" s="65"/>
      <c r="N979" s="65"/>
      <c r="O979" s="67"/>
      <c r="P979" s="65"/>
      <c r="Q979" s="65"/>
      <c r="R979" s="65"/>
      <c r="S979" s="65"/>
      <c r="T979" s="65"/>
      <c r="U979" s="65"/>
      <c r="V979" s="68"/>
      <c r="W979" s="65"/>
      <c r="X979" s="65"/>
      <c r="Y979" s="65"/>
      <c r="Z979" s="65"/>
      <c r="AA979" s="65"/>
      <c r="AB979" s="65"/>
      <c r="AC979" s="65"/>
      <c r="AD979" s="65"/>
      <c r="AE979" s="65"/>
      <c r="AF979" s="65"/>
      <c r="AG979" s="65"/>
      <c r="AH979" s="65"/>
    </row>
    <row r="980">
      <c r="A980" s="61"/>
      <c r="B980" s="61"/>
      <c r="C980" s="61"/>
      <c r="D980" s="62"/>
      <c r="E980" s="61"/>
      <c r="F980" s="61"/>
      <c r="G980" s="61"/>
      <c r="H980" s="61"/>
      <c r="I980" s="61"/>
      <c r="J980" s="61"/>
      <c r="K980" s="61"/>
      <c r="L980" s="61"/>
      <c r="M980" s="61"/>
      <c r="N980" s="61"/>
      <c r="O980" s="63"/>
      <c r="P980" s="61"/>
      <c r="Q980" s="61"/>
      <c r="R980" s="61"/>
      <c r="S980" s="61"/>
      <c r="T980" s="61"/>
      <c r="U980" s="61"/>
      <c r="V980" s="64"/>
      <c r="W980" s="61"/>
      <c r="X980" s="61"/>
      <c r="Y980" s="61"/>
      <c r="Z980" s="61"/>
      <c r="AA980" s="61"/>
      <c r="AB980" s="61"/>
      <c r="AC980" s="61"/>
      <c r="AD980" s="61"/>
      <c r="AE980" s="61"/>
      <c r="AF980" s="61"/>
      <c r="AG980" s="61"/>
      <c r="AH980" s="61"/>
    </row>
    <row r="981">
      <c r="A981" s="65"/>
      <c r="B981" s="65"/>
      <c r="C981" s="65"/>
      <c r="D981" s="66"/>
      <c r="E981" s="65"/>
      <c r="F981" s="65"/>
      <c r="G981" s="65"/>
      <c r="H981" s="65"/>
      <c r="I981" s="65"/>
      <c r="J981" s="65"/>
      <c r="K981" s="65"/>
      <c r="L981" s="65"/>
      <c r="M981" s="65"/>
      <c r="N981" s="65"/>
      <c r="O981" s="67"/>
      <c r="P981" s="65"/>
      <c r="Q981" s="65"/>
      <c r="R981" s="65"/>
      <c r="S981" s="65"/>
      <c r="T981" s="65"/>
      <c r="U981" s="65"/>
      <c r="V981" s="68"/>
      <c r="W981" s="65"/>
      <c r="X981" s="65"/>
      <c r="Y981" s="65"/>
      <c r="Z981" s="65"/>
      <c r="AA981" s="65"/>
      <c r="AB981" s="65"/>
      <c r="AC981" s="65"/>
      <c r="AD981" s="65"/>
      <c r="AE981" s="65"/>
      <c r="AF981" s="65"/>
      <c r="AG981" s="65"/>
      <c r="AH981" s="65"/>
    </row>
    <row r="982">
      <c r="A982" s="61"/>
      <c r="B982" s="61"/>
      <c r="C982" s="61"/>
      <c r="D982" s="62"/>
      <c r="E982" s="61"/>
      <c r="F982" s="61"/>
      <c r="G982" s="61"/>
      <c r="H982" s="61"/>
      <c r="I982" s="61"/>
      <c r="J982" s="61"/>
      <c r="K982" s="61"/>
      <c r="L982" s="61"/>
      <c r="M982" s="61"/>
      <c r="N982" s="61"/>
      <c r="O982" s="63"/>
      <c r="P982" s="61"/>
      <c r="Q982" s="61"/>
      <c r="R982" s="61"/>
      <c r="S982" s="61"/>
      <c r="T982" s="61"/>
      <c r="U982" s="61"/>
      <c r="V982" s="64"/>
      <c r="W982" s="61"/>
      <c r="X982" s="61"/>
      <c r="Y982" s="61"/>
      <c r="Z982" s="61"/>
      <c r="AA982" s="61"/>
      <c r="AB982" s="61"/>
      <c r="AC982" s="61"/>
      <c r="AD982" s="61"/>
      <c r="AE982" s="61"/>
      <c r="AF982" s="61"/>
      <c r="AG982" s="61"/>
      <c r="AH982" s="61"/>
    </row>
    <row r="983">
      <c r="A983" s="65"/>
      <c r="B983" s="65"/>
      <c r="C983" s="65"/>
      <c r="D983" s="66"/>
      <c r="E983" s="65"/>
      <c r="F983" s="65"/>
      <c r="G983" s="65"/>
      <c r="H983" s="65"/>
      <c r="I983" s="65"/>
      <c r="J983" s="65"/>
      <c r="K983" s="65"/>
      <c r="L983" s="65"/>
      <c r="M983" s="65"/>
      <c r="N983" s="65"/>
      <c r="O983" s="67"/>
      <c r="P983" s="65"/>
      <c r="Q983" s="65"/>
      <c r="R983" s="65"/>
      <c r="S983" s="65"/>
      <c r="T983" s="65"/>
      <c r="U983" s="65"/>
      <c r="V983" s="68"/>
      <c r="W983" s="65"/>
      <c r="X983" s="65"/>
      <c r="Y983" s="65"/>
      <c r="Z983" s="65"/>
      <c r="AA983" s="65"/>
      <c r="AB983" s="65"/>
      <c r="AC983" s="65"/>
      <c r="AD983" s="65"/>
      <c r="AE983" s="65"/>
      <c r="AF983" s="65"/>
      <c r="AG983" s="65"/>
      <c r="AH983" s="65"/>
    </row>
    <row r="984">
      <c r="A984" s="61"/>
      <c r="B984" s="61"/>
      <c r="C984" s="61"/>
      <c r="D984" s="62"/>
      <c r="E984" s="61"/>
      <c r="F984" s="61"/>
      <c r="G984" s="61"/>
      <c r="H984" s="61"/>
      <c r="I984" s="61"/>
      <c r="J984" s="61"/>
      <c r="K984" s="61"/>
      <c r="L984" s="61"/>
      <c r="M984" s="61"/>
      <c r="N984" s="61"/>
      <c r="O984" s="63"/>
      <c r="P984" s="61"/>
      <c r="Q984" s="61"/>
      <c r="R984" s="61"/>
      <c r="S984" s="61"/>
      <c r="T984" s="61"/>
      <c r="U984" s="61"/>
      <c r="V984" s="64"/>
      <c r="W984" s="61"/>
      <c r="X984" s="61"/>
      <c r="Y984" s="61"/>
      <c r="Z984" s="61"/>
      <c r="AA984" s="61"/>
      <c r="AB984" s="61"/>
      <c r="AC984" s="61"/>
      <c r="AD984" s="61"/>
      <c r="AE984" s="61"/>
      <c r="AF984" s="61"/>
      <c r="AG984" s="61"/>
      <c r="AH984" s="61"/>
    </row>
    <row r="985">
      <c r="A985" s="65"/>
      <c r="B985" s="65"/>
      <c r="C985" s="65"/>
      <c r="D985" s="66"/>
      <c r="E985" s="65"/>
      <c r="F985" s="65"/>
      <c r="G985" s="65"/>
      <c r="H985" s="65"/>
      <c r="I985" s="65"/>
      <c r="J985" s="65"/>
      <c r="K985" s="65"/>
      <c r="L985" s="65"/>
      <c r="M985" s="65"/>
      <c r="N985" s="65"/>
      <c r="O985" s="67"/>
      <c r="P985" s="65"/>
      <c r="Q985" s="65"/>
      <c r="R985" s="65"/>
      <c r="S985" s="65"/>
      <c r="T985" s="65"/>
      <c r="U985" s="65"/>
      <c r="V985" s="68"/>
      <c r="W985" s="65"/>
      <c r="X985" s="65"/>
      <c r="Y985" s="65"/>
      <c r="Z985" s="65"/>
      <c r="AA985" s="65"/>
      <c r="AB985" s="65"/>
      <c r="AC985" s="65"/>
      <c r="AD985" s="65"/>
      <c r="AE985" s="65"/>
      <c r="AF985" s="65"/>
      <c r="AG985" s="65"/>
      <c r="AH985" s="65"/>
    </row>
    <row r="986">
      <c r="A986" s="61"/>
      <c r="B986" s="61"/>
      <c r="C986" s="61"/>
      <c r="D986" s="62"/>
      <c r="E986" s="61"/>
      <c r="F986" s="61"/>
      <c r="G986" s="61"/>
      <c r="H986" s="61"/>
      <c r="I986" s="61"/>
      <c r="J986" s="61"/>
      <c r="K986" s="61"/>
      <c r="L986" s="61"/>
      <c r="M986" s="61"/>
      <c r="N986" s="61"/>
      <c r="O986" s="63"/>
      <c r="P986" s="61"/>
      <c r="Q986" s="61"/>
      <c r="R986" s="61"/>
      <c r="S986" s="61"/>
      <c r="T986" s="61"/>
      <c r="U986" s="61"/>
      <c r="V986" s="64"/>
      <c r="W986" s="61"/>
      <c r="X986" s="61"/>
      <c r="Y986" s="61"/>
      <c r="Z986" s="61"/>
      <c r="AA986" s="61"/>
      <c r="AB986" s="61"/>
      <c r="AC986" s="61"/>
      <c r="AD986" s="61"/>
      <c r="AE986" s="61"/>
      <c r="AF986" s="61"/>
      <c r="AG986" s="61"/>
      <c r="AH986" s="61"/>
    </row>
    <row r="987">
      <c r="A987" s="65"/>
      <c r="B987" s="65"/>
      <c r="C987" s="65"/>
      <c r="D987" s="66"/>
      <c r="E987" s="65"/>
      <c r="F987" s="65"/>
      <c r="G987" s="65"/>
      <c r="H987" s="65"/>
      <c r="I987" s="65"/>
      <c r="J987" s="65"/>
      <c r="K987" s="65"/>
      <c r="L987" s="65"/>
      <c r="M987" s="65"/>
      <c r="N987" s="65"/>
      <c r="O987" s="67"/>
      <c r="P987" s="65"/>
      <c r="Q987" s="65"/>
      <c r="R987" s="65"/>
      <c r="S987" s="65"/>
      <c r="T987" s="65"/>
      <c r="U987" s="65"/>
      <c r="V987" s="68"/>
      <c r="W987" s="65"/>
      <c r="X987" s="65"/>
      <c r="Y987" s="65"/>
      <c r="Z987" s="65"/>
      <c r="AA987" s="65"/>
      <c r="AB987" s="65"/>
      <c r="AC987" s="65"/>
      <c r="AD987" s="65"/>
      <c r="AE987" s="65"/>
      <c r="AF987" s="65"/>
      <c r="AG987" s="65"/>
      <c r="AH987" s="65"/>
    </row>
    <row r="988">
      <c r="A988" s="61"/>
      <c r="B988" s="61"/>
      <c r="C988" s="61"/>
      <c r="D988" s="62"/>
      <c r="E988" s="61"/>
      <c r="F988" s="61"/>
      <c r="G988" s="61"/>
      <c r="H988" s="61"/>
      <c r="I988" s="61"/>
      <c r="J988" s="61"/>
      <c r="K988" s="61"/>
      <c r="L988" s="61"/>
      <c r="M988" s="61"/>
      <c r="N988" s="61"/>
      <c r="O988" s="63"/>
      <c r="P988" s="61"/>
      <c r="Q988" s="61"/>
      <c r="R988" s="61"/>
      <c r="S988" s="61"/>
      <c r="T988" s="61"/>
      <c r="U988" s="61"/>
      <c r="V988" s="64"/>
      <c r="W988" s="61"/>
      <c r="X988" s="61"/>
      <c r="Y988" s="61"/>
      <c r="Z988" s="61"/>
      <c r="AA988" s="61"/>
      <c r="AB988" s="61"/>
      <c r="AC988" s="61"/>
      <c r="AD988" s="61"/>
      <c r="AE988" s="61"/>
      <c r="AF988" s="61"/>
      <c r="AG988" s="61"/>
      <c r="AH988" s="61"/>
    </row>
    <row r="989">
      <c r="A989" s="65"/>
      <c r="B989" s="65"/>
      <c r="C989" s="65"/>
      <c r="D989" s="66"/>
      <c r="E989" s="65"/>
      <c r="F989" s="65"/>
      <c r="G989" s="65"/>
      <c r="H989" s="65"/>
      <c r="I989" s="65"/>
      <c r="J989" s="65"/>
      <c r="K989" s="65"/>
      <c r="L989" s="65"/>
      <c r="M989" s="65"/>
      <c r="N989" s="65"/>
      <c r="O989" s="67"/>
      <c r="P989" s="65"/>
      <c r="Q989" s="65"/>
      <c r="R989" s="65"/>
      <c r="S989" s="65"/>
      <c r="T989" s="65"/>
      <c r="U989" s="65"/>
      <c r="V989" s="68"/>
      <c r="W989" s="65"/>
      <c r="X989" s="65"/>
      <c r="Y989" s="65"/>
      <c r="Z989" s="65"/>
      <c r="AA989" s="65"/>
      <c r="AB989" s="65"/>
      <c r="AC989" s="65"/>
      <c r="AD989" s="65"/>
      <c r="AE989" s="65"/>
      <c r="AF989" s="65"/>
      <c r="AG989" s="65"/>
      <c r="AH989" s="65"/>
    </row>
    <row r="990">
      <c r="A990" s="61"/>
      <c r="B990" s="61"/>
      <c r="C990" s="61"/>
      <c r="D990" s="62"/>
      <c r="E990" s="61"/>
      <c r="F990" s="61"/>
      <c r="G990" s="61"/>
      <c r="H990" s="61"/>
      <c r="I990" s="61"/>
      <c r="J990" s="61"/>
      <c r="K990" s="61"/>
      <c r="L990" s="61"/>
      <c r="M990" s="61"/>
      <c r="N990" s="61"/>
      <c r="O990" s="63"/>
      <c r="P990" s="61"/>
      <c r="Q990" s="61"/>
      <c r="R990" s="61"/>
      <c r="S990" s="61"/>
      <c r="T990" s="61"/>
      <c r="U990" s="61"/>
      <c r="V990" s="64"/>
      <c r="W990" s="61"/>
      <c r="X990" s="61"/>
      <c r="Y990" s="61"/>
      <c r="Z990" s="61"/>
      <c r="AA990" s="61"/>
      <c r="AB990" s="61"/>
      <c r="AC990" s="61"/>
      <c r="AD990" s="61"/>
      <c r="AE990" s="61"/>
      <c r="AF990" s="61"/>
      <c r="AG990" s="61"/>
      <c r="AH990" s="61"/>
    </row>
    <row r="991">
      <c r="A991" s="65"/>
      <c r="B991" s="65"/>
      <c r="C991" s="65"/>
      <c r="D991" s="66"/>
      <c r="E991" s="65"/>
      <c r="F991" s="65"/>
      <c r="G991" s="65"/>
      <c r="H991" s="65"/>
      <c r="I991" s="65"/>
      <c r="J991" s="65"/>
      <c r="K991" s="65"/>
      <c r="L991" s="65"/>
      <c r="M991" s="65"/>
      <c r="N991" s="65"/>
      <c r="O991" s="67"/>
      <c r="P991" s="65"/>
      <c r="Q991" s="65"/>
      <c r="R991" s="65"/>
      <c r="S991" s="65"/>
      <c r="T991" s="65"/>
      <c r="U991" s="65"/>
      <c r="V991" s="68"/>
      <c r="W991" s="65"/>
      <c r="X991" s="65"/>
      <c r="Y991" s="65"/>
      <c r="Z991" s="65"/>
      <c r="AA991" s="65"/>
      <c r="AB991" s="65"/>
      <c r="AC991" s="65"/>
      <c r="AD991" s="65"/>
      <c r="AE991" s="65"/>
      <c r="AF991" s="65"/>
      <c r="AG991" s="65"/>
      <c r="AH991" s="65"/>
    </row>
    <row r="992">
      <c r="A992" s="61"/>
      <c r="B992" s="61"/>
      <c r="C992" s="61"/>
      <c r="D992" s="62"/>
      <c r="E992" s="61"/>
      <c r="F992" s="61"/>
      <c r="G992" s="61"/>
      <c r="H992" s="61"/>
      <c r="I992" s="61"/>
      <c r="J992" s="61"/>
      <c r="K992" s="61"/>
      <c r="L992" s="61"/>
      <c r="M992" s="61"/>
      <c r="N992" s="61"/>
      <c r="O992" s="63"/>
      <c r="P992" s="61"/>
      <c r="Q992" s="61"/>
      <c r="R992" s="61"/>
      <c r="S992" s="61"/>
      <c r="T992" s="61"/>
      <c r="U992" s="61"/>
      <c r="V992" s="64"/>
      <c r="W992" s="61"/>
      <c r="X992" s="61"/>
      <c r="Y992" s="61"/>
      <c r="Z992" s="61"/>
      <c r="AA992" s="61"/>
      <c r="AB992" s="61"/>
      <c r="AC992" s="61"/>
      <c r="AD992" s="61"/>
      <c r="AE992" s="61"/>
      <c r="AF992" s="61"/>
      <c r="AG992" s="61"/>
      <c r="AH992" s="61"/>
    </row>
    <row r="993">
      <c r="A993" s="65"/>
      <c r="B993" s="65"/>
      <c r="C993" s="65"/>
      <c r="D993" s="66"/>
      <c r="E993" s="65"/>
      <c r="F993" s="65"/>
      <c r="G993" s="65"/>
      <c r="H993" s="65"/>
      <c r="I993" s="65"/>
      <c r="J993" s="65"/>
      <c r="K993" s="65"/>
      <c r="L993" s="65"/>
      <c r="M993" s="65"/>
      <c r="N993" s="65"/>
      <c r="O993" s="67"/>
      <c r="P993" s="65"/>
      <c r="Q993" s="65"/>
      <c r="R993" s="65"/>
      <c r="S993" s="65"/>
      <c r="T993" s="65"/>
      <c r="U993" s="65"/>
      <c r="V993" s="68"/>
      <c r="W993" s="65"/>
      <c r="X993" s="65"/>
      <c r="Y993" s="65"/>
      <c r="Z993" s="65"/>
      <c r="AA993" s="65"/>
      <c r="AB993" s="65"/>
      <c r="AC993" s="65"/>
      <c r="AD993" s="65"/>
      <c r="AE993" s="65"/>
      <c r="AF993" s="65"/>
      <c r="AG993" s="65"/>
      <c r="AH993" s="65"/>
    </row>
    <row r="994">
      <c r="A994" s="61"/>
      <c r="B994" s="61"/>
      <c r="C994" s="61"/>
      <c r="D994" s="62"/>
      <c r="E994" s="61"/>
      <c r="F994" s="61"/>
      <c r="G994" s="61"/>
      <c r="H994" s="61"/>
      <c r="I994" s="61"/>
      <c r="J994" s="61"/>
      <c r="K994" s="61"/>
      <c r="L994" s="61"/>
      <c r="M994" s="61"/>
      <c r="N994" s="61"/>
      <c r="O994" s="63"/>
      <c r="P994" s="61"/>
      <c r="Q994" s="61"/>
      <c r="R994" s="61"/>
      <c r="S994" s="61"/>
      <c r="T994" s="61"/>
      <c r="U994" s="61"/>
      <c r="V994" s="64"/>
      <c r="W994" s="61"/>
      <c r="X994" s="61"/>
      <c r="Y994" s="61"/>
      <c r="Z994" s="61"/>
      <c r="AA994" s="61"/>
      <c r="AB994" s="61"/>
      <c r="AC994" s="61"/>
      <c r="AD994" s="61"/>
      <c r="AE994" s="61"/>
      <c r="AF994" s="61"/>
      <c r="AG994" s="61"/>
      <c r="AH994" s="61"/>
    </row>
    <row r="995">
      <c r="A995" s="65"/>
      <c r="B995" s="65"/>
      <c r="C995" s="65"/>
      <c r="D995" s="66"/>
      <c r="E995" s="65"/>
      <c r="F995" s="65"/>
      <c r="G995" s="65"/>
      <c r="H995" s="65"/>
      <c r="I995" s="65"/>
      <c r="J995" s="65"/>
      <c r="K995" s="65"/>
      <c r="L995" s="65"/>
      <c r="M995" s="65"/>
      <c r="N995" s="65"/>
      <c r="O995" s="67"/>
      <c r="P995" s="65"/>
      <c r="Q995" s="65"/>
      <c r="R995" s="65"/>
      <c r="S995" s="65"/>
      <c r="T995" s="65"/>
      <c r="U995" s="65"/>
      <c r="V995" s="68"/>
      <c r="W995" s="65"/>
      <c r="X995" s="65"/>
      <c r="Y995" s="65"/>
      <c r="Z995" s="65"/>
      <c r="AA995" s="65"/>
      <c r="AB995" s="65"/>
      <c r="AC995" s="65"/>
      <c r="AD995" s="65"/>
      <c r="AE995" s="65"/>
      <c r="AF995" s="65"/>
      <c r="AG995" s="65"/>
      <c r="AH995" s="65"/>
    </row>
    <row r="996">
      <c r="A996" s="61"/>
      <c r="B996" s="61"/>
      <c r="C996" s="61"/>
      <c r="D996" s="62"/>
      <c r="E996" s="61"/>
      <c r="F996" s="61"/>
      <c r="G996" s="61"/>
      <c r="H996" s="61"/>
      <c r="I996" s="61"/>
      <c r="J996" s="61"/>
      <c r="K996" s="61"/>
      <c r="L996" s="61"/>
      <c r="M996" s="61"/>
      <c r="N996" s="61"/>
      <c r="O996" s="63"/>
      <c r="P996" s="61"/>
      <c r="Q996" s="61"/>
      <c r="R996" s="61"/>
      <c r="S996" s="61"/>
      <c r="T996" s="61"/>
      <c r="U996" s="61"/>
      <c r="V996" s="64"/>
      <c r="W996" s="61"/>
      <c r="X996" s="61"/>
      <c r="Y996" s="61"/>
      <c r="Z996" s="61"/>
      <c r="AA996" s="61"/>
      <c r="AB996" s="61"/>
      <c r="AC996" s="61"/>
      <c r="AD996" s="61"/>
      <c r="AE996" s="61"/>
      <c r="AF996" s="61"/>
      <c r="AG996" s="61"/>
      <c r="AH996" s="61"/>
    </row>
    <row r="997">
      <c r="A997" s="65"/>
      <c r="B997" s="65"/>
      <c r="C997" s="65"/>
      <c r="D997" s="66"/>
      <c r="E997" s="65"/>
      <c r="F997" s="65"/>
      <c r="G997" s="65"/>
      <c r="H997" s="65"/>
      <c r="I997" s="65"/>
      <c r="J997" s="65"/>
      <c r="K997" s="65"/>
      <c r="L997" s="65"/>
      <c r="M997" s="65"/>
      <c r="N997" s="65"/>
      <c r="O997" s="67"/>
      <c r="P997" s="65"/>
      <c r="Q997" s="65"/>
      <c r="R997" s="65"/>
      <c r="S997" s="65"/>
      <c r="T997" s="65"/>
      <c r="U997" s="65"/>
      <c r="V997" s="68"/>
      <c r="W997" s="65"/>
      <c r="X997" s="65"/>
      <c r="Y997" s="65"/>
      <c r="Z997" s="65"/>
      <c r="AA997" s="65"/>
      <c r="AB997" s="65"/>
      <c r="AC997" s="65"/>
      <c r="AD997" s="65"/>
      <c r="AE997" s="65"/>
      <c r="AF997" s="65"/>
      <c r="AG997" s="65"/>
      <c r="AH997" s="65"/>
    </row>
    <row r="998">
      <c r="A998" s="61"/>
      <c r="B998" s="61"/>
      <c r="C998" s="61"/>
      <c r="D998" s="62"/>
      <c r="E998" s="61"/>
      <c r="F998" s="61"/>
      <c r="G998" s="61"/>
      <c r="H998" s="61"/>
      <c r="I998" s="61"/>
      <c r="J998" s="61"/>
      <c r="K998" s="61"/>
      <c r="L998" s="61"/>
      <c r="M998" s="61"/>
      <c r="N998" s="61"/>
      <c r="O998" s="63"/>
      <c r="P998" s="61"/>
      <c r="Q998" s="61"/>
      <c r="R998" s="61"/>
      <c r="S998" s="61"/>
      <c r="T998" s="61"/>
      <c r="U998" s="61"/>
      <c r="V998" s="64"/>
      <c r="W998" s="61"/>
      <c r="X998" s="61"/>
      <c r="Y998" s="61"/>
      <c r="Z998" s="61"/>
      <c r="AA998" s="61"/>
      <c r="AB998" s="61"/>
      <c r="AC998" s="61"/>
      <c r="AD998" s="61"/>
      <c r="AE998" s="61"/>
      <c r="AF998" s="61"/>
      <c r="AG998" s="61"/>
      <c r="AH998" s="61"/>
    </row>
    <row r="999">
      <c r="A999" s="65"/>
      <c r="B999" s="65"/>
      <c r="C999" s="65"/>
      <c r="D999" s="66"/>
      <c r="E999" s="65"/>
      <c r="F999" s="65"/>
      <c r="G999" s="65"/>
      <c r="H999" s="65"/>
      <c r="I999" s="65"/>
      <c r="J999" s="65"/>
      <c r="K999" s="65"/>
      <c r="L999" s="65"/>
      <c r="M999" s="65"/>
      <c r="N999" s="65"/>
      <c r="O999" s="67"/>
      <c r="P999" s="65"/>
      <c r="Q999" s="65"/>
      <c r="R999" s="65"/>
      <c r="S999" s="65"/>
      <c r="T999" s="65"/>
      <c r="U999" s="65"/>
      <c r="V999" s="68"/>
      <c r="W999" s="65"/>
      <c r="X999" s="65"/>
      <c r="Y999" s="65"/>
      <c r="Z999" s="65"/>
      <c r="AA999" s="65"/>
      <c r="AB999" s="65"/>
      <c r="AC999" s="65"/>
      <c r="AD999" s="65"/>
      <c r="AE999" s="65"/>
      <c r="AF999" s="65"/>
      <c r="AG999" s="65"/>
      <c r="AH999" s="65"/>
    </row>
    <row r="1000">
      <c r="A1000" s="61"/>
      <c r="B1000" s="61"/>
      <c r="C1000" s="61"/>
      <c r="D1000" s="62"/>
      <c r="E1000" s="61"/>
      <c r="F1000" s="61"/>
      <c r="G1000" s="61"/>
      <c r="H1000" s="61"/>
      <c r="I1000" s="61"/>
      <c r="J1000" s="61"/>
      <c r="K1000" s="61"/>
      <c r="L1000" s="61"/>
      <c r="M1000" s="61"/>
      <c r="N1000" s="61"/>
      <c r="O1000" s="63"/>
      <c r="P1000" s="61"/>
      <c r="Q1000" s="61"/>
      <c r="R1000" s="61"/>
      <c r="S1000" s="61"/>
      <c r="T1000" s="61"/>
      <c r="U1000" s="61"/>
      <c r="V1000" s="64"/>
      <c r="W1000" s="61"/>
      <c r="X1000" s="61"/>
      <c r="Y1000" s="61"/>
      <c r="Z1000" s="61"/>
      <c r="AA1000" s="61"/>
      <c r="AB1000" s="61"/>
      <c r="AC1000" s="61"/>
      <c r="AD1000" s="61"/>
      <c r="AE1000" s="61"/>
      <c r="AF1000" s="61"/>
      <c r="AG1000" s="61"/>
      <c r="AH1000" s="61"/>
    </row>
    <row r="1001">
      <c r="A1001" s="65"/>
      <c r="B1001" s="65"/>
      <c r="C1001" s="65"/>
      <c r="D1001" s="66"/>
      <c r="E1001" s="65"/>
      <c r="F1001" s="65"/>
      <c r="G1001" s="65"/>
      <c r="H1001" s="65"/>
      <c r="I1001" s="65"/>
      <c r="J1001" s="65"/>
      <c r="K1001" s="65"/>
      <c r="L1001" s="65"/>
      <c r="M1001" s="65"/>
      <c r="N1001" s="65"/>
      <c r="O1001" s="67"/>
      <c r="P1001" s="65"/>
      <c r="Q1001" s="65"/>
      <c r="R1001" s="65"/>
      <c r="S1001" s="65"/>
      <c r="T1001" s="65"/>
      <c r="U1001" s="65"/>
      <c r="V1001" s="68"/>
      <c r="W1001" s="65"/>
      <c r="X1001" s="65"/>
      <c r="Y1001" s="65"/>
      <c r="Z1001" s="65"/>
      <c r="AA1001" s="65"/>
      <c r="AB1001" s="65"/>
      <c r="AC1001" s="65"/>
      <c r="AD1001" s="65"/>
      <c r="AE1001" s="65"/>
      <c r="AF1001" s="65"/>
      <c r="AG1001" s="65"/>
      <c r="AH1001" s="65"/>
    </row>
    <row r="1002">
      <c r="A1002" s="61"/>
      <c r="B1002" s="61"/>
      <c r="C1002" s="61"/>
      <c r="D1002" s="62"/>
      <c r="E1002" s="61"/>
      <c r="F1002" s="61"/>
      <c r="G1002" s="61"/>
      <c r="H1002" s="61"/>
      <c r="I1002" s="61"/>
      <c r="J1002" s="61"/>
      <c r="K1002" s="61"/>
      <c r="L1002" s="61"/>
      <c r="M1002" s="61"/>
      <c r="N1002" s="61"/>
      <c r="O1002" s="63"/>
      <c r="P1002" s="61"/>
      <c r="Q1002" s="61"/>
      <c r="R1002" s="61"/>
      <c r="S1002" s="61"/>
      <c r="T1002" s="61"/>
      <c r="U1002" s="61"/>
      <c r="V1002" s="64"/>
      <c r="W1002" s="61"/>
      <c r="X1002" s="61"/>
      <c r="Y1002" s="61"/>
      <c r="Z1002" s="61"/>
      <c r="AA1002" s="61"/>
      <c r="AB1002" s="61"/>
      <c r="AC1002" s="61"/>
      <c r="AD1002" s="61"/>
      <c r="AE1002" s="61"/>
      <c r="AF1002" s="61"/>
      <c r="AG1002" s="61"/>
      <c r="AH1002" s="61"/>
    </row>
    <row r="1003">
      <c r="A1003" s="65"/>
      <c r="B1003" s="65"/>
      <c r="C1003" s="65"/>
      <c r="D1003" s="66"/>
      <c r="E1003" s="65"/>
      <c r="F1003" s="65"/>
      <c r="G1003" s="65"/>
      <c r="H1003" s="65"/>
      <c r="I1003" s="65"/>
      <c r="J1003" s="65"/>
      <c r="K1003" s="65"/>
      <c r="L1003" s="65"/>
      <c r="M1003" s="65"/>
      <c r="N1003" s="65"/>
      <c r="O1003" s="67"/>
      <c r="P1003" s="65"/>
      <c r="Q1003" s="65"/>
      <c r="R1003" s="65"/>
      <c r="S1003" s="65"/>
      <c r="T1003" s="65"/>
      <c r="U1003" s="65"/>
      <c r="V1003" s="68"/>
      <c r="W1003" s="65"/>
      <c r="X1003" s="65"/>
      <c r="Y1003" s="65"/>
      <c r="Z1003" s="65"/>
      <c r="AA1003" s="65"/>
      <c r="AB1003" s="65"/>
      <c r="AC1003" s="65"/>
      <c r="AD1003" s="65"/>
      <c r="AE1003" s="65"/>
      <c r="AF1003" s="65"/>
      <c r="AG1003" s="65"/>
      <c r="AH1003" s="65"/>
    </row>
    <row r="1004">
      <c r="A1004" s="61"/>
      <c r="B1004" s="61"/>
      <c r="C1004" s="61"/>
      <c r="D1004" s="62"/>
      <c r="E1004" s="61"/>
      <c r="F1004" s="61"/>
      <c r="G1004" s="61"/>
      <c r="H1004" s="61"/>
      <c r="I1004" s="61"/>
      <c r="J1004" s="61"/>
      <c r="K1004" s="61"/>
      <c r="L1004" s="61"/>
      <c r="M1004" s="61"/>
      <c r="N1004" s="61"/>
      <c r="O1004" s="63"/>
      <c r="P1004" s="61"/>
      <c r="Q1004" s="61"/>
      <c r="R1004" s="61"/>
      <c r="S1004" s="61"/>
      <c r="T1004" s="61"/>
      <c r="U1004" s="61"/>
      <c r="V1004" s="64"/>
      <c r="W1004" s="61"/>
      <c r="X1004" s="61"/>
      <c r="Y1004" s="61"/>
      <c r="Z1004" s="61"/>
      <c r="AA1004" s="61"/>
      <c r="AB1004" s="61"/>
      <c r="AC1004" s="61"/>
      <c r="AD1004" s="61"/>
      <c r="AE1004" s="61"/>
      <c r="AF1004" s="61"/>
      <c r="AG1004" s="61"/>
      <c r="AH1004" s="61"/>
    </row>
    <row r="1005">
      <c r="A1005" s="65"/>
      <c r="B1005" s="65"/>
      <c r="C1005" s="65"/>
      <c r="D1005" s="66"/>
      <c r="E1005" s="65"/>
      <c r="F1005" s="65"/>
      <c r="G1005" s="65"/>
      <c r="H1005" s="65"/>
      <c r="I1005" s="65"/>
      <c r="J1005" s="65"/>
      <c r="K1005" s="65"/>
      <c r="L1005" s="65"/>
      <c r="M1005" s="65"/>
      <c r="N1005" s="65"/>
      <c r="O1005" s="67"/>
      <c r="P1005" s="65"/>
      <c r="Q1005" s="65"/>
      <c r="R1005" s="65"/>
      <c r="S1005" s="65"/>
      <c r="T1005" s="65"/>
      <c r="U1005" s="65"/>
      <c r="V1005" s="68"/>
      <c r="W1005" s="65"/>
      <c r="X1005" s="65"/>
      <c r="Y1005" s="65"/>
      <c r="Z1005" s="65"/>
      <c r="AA1005" s="65"/>
      <c r="AB1005" s="65"/>
      <c r="AC1005" s="65"/>
      <c r="AD1005" s="65"/>
      <c r="AE1005" s="65"/>
      <c r="AF1005" s="65"/>
      <c r="AG1005" s="65"/>
      <c r="AH1005" s="65"/>
    </row>
    <row r="1006">
      <c r="A1006" s="61"/>
      <c r="B1006" s="61"/>
      <c r="C1006" s="61"/>
      <c r="D1006" s="62"/>
      <c r="E1006" s="61"/>
      <c r="F1006" s="61"/>
      <c r="G1006" s="61"/>
      <c r="H1006" s="61"/>
      <c r="I1006" s="61"/>
      <c r="J1006" s="61"/>
      <c r="K1006" s="61"/>
      <c r="L1006" s="61"/>
      <c r="M1006" s="61"/>
      <c r="N1006" s="61"/>
      <c r="O1006" s="63"/>
      <c r="P1006" s="61"/>
      <c r="Q1006" s="61"/>
      <c r="R1006" s="61"/>
      <c r="S1006" s="61"/>
      <c r="T1006" s="61"/>
      <c r="U1006" s="61"/>
      <c r="V1006" s="64"/>
      <c r="W1006" s="61"/>
      <c r="X1006" s="61"/>
      <c r="Y1006" s="61"/>
      <c r="Z1006" s="61"/>
      <c r="AA1006" s="61"/>
      <c r="AB1006" s="61"/>
      <c r="AC1006" s="61"/>
      <c r="AD1006" s="61"/>
      <c r="AE1006" s="61"/>
      <c r="AF1006" s="61"/>
      <c r="AG1006" s="61"/>
      <c r="AH1006" s="61"/>
    </row>
    <row r="1007">
      <c r="A1007" s="65"/>
      <c r="B1007" s="65"/>
      <c r="C1007" s="65"/>
      <c r="D1007" s="66"/>
      <c r="E1007" s="65"/>
      <c r="F1007" s="65"/>
      <c r="G1007" s="65"/>
      <c r="H1007" s="65"/>
      <c r="I1007" s="65"/>
      <c r="J1007" s="65"/>
      <c r="K1007" s="65"/>
      <c r="L1007" s="65"/>
      <c r="M1007" s="65"/>
      <c r="N1007" s="65"/>
      <c r="O1007" s="67"/>
      <c r="P1007" s="65"/>
      <c r="Q1007" s="65"/>
      <c r="R1007" s="65"/>
      <c r="S1007" s="65"/>
      <c r="T1007" s="65"/>
      <c r="U1007" s="65"/>
      <c r="V1007" s="68"/>
      <c r="W1007" s="65"/>
      <c r="X1007" s="65"/>
      <c r="Y1007" s="65"/>
      <c r="Z1007" s="65"/>
      <c r="AA1007" s="65"/>
      <c r="AB1007" s="65"/>
      <c r="AC1007" s="65"/>
      <c r="AD1007" s="65"/>
      <c r="AE1007" s="65"/>
      <c r="AF1007" s="65"/>
      <c r="AG1007" s="65"/>
      <c r="AH1007" s="65"/>
    </row>
    <row r="1008">
      <c r="A1008" s="61"/>
      <c r="B1008" s="61"/>
      <c r="C1008" s="61"/>
      <c r="D1008" s="62"/>
      <c r="E1008" s="61"/>
      <c r="F1008" s="61"/>
      <c r="G1008" s="61"/>
      <c r="H1008" s="61"/>
      <c r="I1008" s="61"/>
      <c r="J1008" s="61"/>
      <c r="K1008" s="61"/>
      <c r="L1008" s="61"/>
      <c r="M1008" s="61"/>
      <c r="N1008" s="61"/>
      <c r="O1008" s="63"/>
      <c r="P1008" s="61"/>
      <c r="Q1008" s="61"/>
      <c r="R1008" s="61"/>
      <c r="S1008" s="61"/>
      <c r="T1008" s="61"/>
      <c r="U1008" s="61"/>
      <c r="V1008" s="64"/>
      <c r="W1008" s="61"/>
      <c r="X1008" s="61"/>
      <c r="Y1008" s="61"/>
      <c r="Z1008" s="61"/>
      <c r="AA1008" s="61"/>
      <c r="AB1008" s="61"/>
      <c r="AC1008" s="61"/>
      <c r="AD1008" s="61"/>
      <c r="AE1008" s="61"/>
      <c r="AF1008" s="61"/>
      <c r="AG1008" s="61"/>
      <c r="AH1008" s="61"/>
    </row>
    <row r="1009">
      <c r="A1009" s="65"/>
      <c r="B1009" s="65"/>
      <c r="C1009" s="65"/>
      <c r="D1009" s="66"/>
      <c r="E1009" s="65"/>
      <c r="F1009" s="65"/>
      <c r="G1009" s="65"/>
      <c r="H1009" s="65"/>
      <c r="I1009" s="65"/>
      <c r="J1009" s="65"/>
      <c r="K1009" s="65"/>
      <c r="L1009" s="65"/>
      <c r="M1009" s="65"/>
      <c r="N1009" s="65"/>
      <c r="O1009" s="67"/>
      <c r="P1009" s="65"/>
      <c r="Q1009" s="65"/>
      <c r="R1009" s="65"/>
      <c r="S1009" s="65"/>
      <c r="T1009" s="65"/>
      <c r="U1009" s="65"/>
      <c r="V1009" s="68"/>
      <c r="W1009" s="65"/>
      <c r="X1009" s="65"/>
      <c r="Y1009" s="65"/>
      <c r="Z1009" s="65"/>
      <c r="AA1009" s="65"/>
      <c r="AB1009" s="65"/>
      <c r="AC1009" s="65"/>
      <c r="AD1009" s="65"/>
      <c r="AE1009" s="65"/>
      <c r="AF1009" s="65"/>
      <c r="AG1009" s="65"/>
      <c r="AH1009" s="65"/>
    </row>
    <row r="1010">
      <c r="A1010" s="61"/>
      <c r="B1010" s="61"/>
      <c r="C1010" s="61"/>
      <c r="D1010" s="62"/>
      <c r="E1010" s="61"/>
      <c r="F1010" s="61"/>
      <c r="G1010" s="61"/>
      <c r="H1010" s="61"/>
      <c r="I1010" s="61"/>
      <c r="J1010" s="61"/>
      <c r="K1010" s="61"/>
      <c r="L1010" s="61"/>
      <c r="M1010" s="61"/>
      <c r="N1010" s="61"/>
      <c r="O1010" s="63"/>
      <c r="P1010" s="61"/>
      <c r="Q1010" s="61"/>
      <c r="R1010" s="61"/>
      <c r="S1010" s="61"/>
      <c r="T1010" s="61"/>
      <c r="U1010" s="61"/>
      <c r="V1010" s="64"/>
      <c r="W1010" s="61"/>
      <c r="X1010" s="61"/>
      <c r="Y1010" s="61"/>
      <c r="Z1010" s="61"/>
      <c r="AA1010" s="61"/>
      <c r="AB1010" s="61"/>
      <c r="AC1010" s="61"/>
      <c r="AD1010" s="61"/>
      <c r="AE1010" s="61"/>
      <c r="AF1010" s="61"/>
      <c r="AG1010" s="61"/>
      <c r="AH1010" s="61"/>
    </row>
    <row r="1011">
      <c r="A1011" s="65"/>
      <c r="B1011" s="65"/>
      <c r="C1011" s="65"/>
      <c r="D1011" s="66"/>
      <c r="E1011" s="65"/>
      <c r="F1011" s="65"/>
      <c r="G1011" s="65"/>
      <c r="H1011" s="65"/>
      <c r="I1011" s="65"/>
      <c r="J1011" s="65"/>
      <c r="K1011" s="65"/>
      <c r="L1011" s="65"/>
      <c r="M1011" s="65"/>
      <c r="N1011" s="65"/>
      <c r="O1011" s="67"/>
      <c r="P1011" s="65"/>
      <c r="Q1011" s="65"/>
      <c r="R1011" s="65"/>
      <c r="S1011" s="65"/>
      <c r="T1011" s="65"/>
      <c r="U1011" s="65"/>
      <c r="V1011" s="68"/>
      <c r="W1011" s="65"/>
      <c r="X1011" s="65"/>
      <c r="Y1011" s="65"/>
      <c r="Z1011" s="65"/>
      <c r="AA1011" s="65"/>
      <c r="AB1011" s="65"/>
      <c r="AC1011" s="65"/>
      <c r="AD1011" s="65"/>
      <c r="AE1011" s="65"/>
      <c r="AF1011" s="65"/>
      <c r="AG1011" s="65"/>
      <c r="AH1011" s="65"/>
    </row>
    <row r="1012">
      <c r="A1012" s="61"/>
      <c r="B1012" s="61"/>
      <c r="C1012" s="61"/>
      <c r="D1012" s="62"/>
      <c r="E1012" s="61"/>
      <c r="F1012" s="61"/>
      <c r="G1012" s="61"/>
      <c r="H1012" s="61"/>
      <c r="I1012" s="61"/>
      <c r="J1012" s="61"/>
      <c r="K1012" s="61"/>
      <c r="L1012" s="61"/>
      <c r="M1012" s="61"/>
      <c r="N1012" s="61"/>
      <c r="O1012" s="63"/>
      <c r="P1012" s="61"/>
      <c r="Q1012" s="61"/>
      <c r="R1012" s="61"/>
      <c r="S1012" s="61"/>
      <c r="T1012" s="61"/>
      <c r="U1012" s="61"/>
      <c r="V1012" s="64"/>
      <c r="W1012" s="61"/>
      <c r="X1012" s="61"/>
      <c r="Y1012" s="61"/>
      <c r="Z1012" s="61"/>
      <c r="AA1012" s="61"/>
      <c r="AB1012" s="61"/>
      <c r="AC1012" s="61"/>
      <c r="AD1012" s="61"/>
      <c r="AE1012" s="61"/>
      <c r="AF1012" s="61"/>
      <c r="AG1012" s="61"/>
      <c r="AH1012" s="61"/>
    </row>
    <row r="1013">
      <c r="A1013" s="65"/>
      <c r="B1013" s="65"/>
      <c r="C1013" s="65"/>
      <c r="D1013" s="66"/>
      <c r="E1013" s="65"/>
      <c r="F1013" s="65"/>
      <c r="G1013" s="65"/>
      <c r="H1013" s="65"/>
      <c r="I1013" s="65"/>
      <c r="J1013" s="65"/>
      <c r="K1013" s="65"/>
      <c r="L1013" s="65"/>
      <c r="M1013" s="65"/>
      <c r="N1013" s="65"/>
      <c r="O1013" s="67"/>
      <c r="P1013" s="65"/>
      <c r="Q1013" s="65"/>
      <c r="R1013" s="65"/>
      <c r="S1013" s="65"/>
      <c r="T1013" s="65"/>
      <c r="U1013" s="65"/>
      <c r="V1013" s="68"/>
      <c r="W1013" s="65"/>
      <c r="X1013" s="65"/>
      <c r="Y1013" s="65"/>
      <c r="Z1013" s="65"/>
      <c r="AA1013" s="65"/>
      <c r="AB1013" s="65"/>
      <c r="AC1013" s="65"/>
      <c r="AD1013" s="65"/>
      <c r="AE1013" s="65"/>
      <c r="AF1013" s="65"/>
      <c r="AG1013" s="65"/>
      <c r="AH1013" s="65"/>
    </row>
    <row r="1014">
      <c r="A1014" s="61"/>
      <c r="B1014" s="61"/>
      <c r="C1014" s="61"/>
      <c r="D1014" s="62"/>
      <c r="E1014" s="61"/>
      <c r="F1014" s="61"/>
      <c r="G1014" s="61"/>
      <c r="H1014" s="61"/>
      <c r="I1014" s="61"/>
      <c r="J1014" s="61"/>
      <c r="K1014" s="61"/>
      <c r="L1014" s="61"/>
      <c r="M1014" s="61"/>
      <c r="N1014" s="61"/>
      <c r="O1014" s="63"/>
      <c r="P1014" s="61"/>
      <c r="Q1014" s="61"/>
      <c r="R1014" s="61"/>
      <c r="S1014" s="61"/>
      <c r="T1014" s="61"/>
      <c r="U1014" s="61"/>
      <c r="V1014" s="64"/>
      <c r="W1014" s="61"/>
      <c r="X1014" s="61"/>
      <c r="Y1014" s="61"/>
      <c r="Z1014" s="61"/>
      <c r="AA1014" s="61"/>
      <c r="AB1014" s="61"/>
      <c r="AC1014" s="61"/>
      <c r="AD1014" s="61"/>
      <c r="AE1014" s="61"/>
      <c r="AF1014" s="61"/>
      <c r="AG1014" s="61"/>
      <c r="AH1014" s="61"/>
    </row>
    <row r="1015">
      <c r="A1015" s="65"/>
      <c r="B1015" s="65"/>
      <c r="C1015" s="65"/>
      <c r="D1015" s="66"/>
      <c r="E1015" s="65"/>
      <c r="F1015" s="65"/>
      <c r="G1015" s="65"/>
      <c r="H1015" s="65"/>
      <c r="I1015" s="65"/>
      <c r="J1015" s="65"/>
      <c r="K1015" s="65"/>
      <c r="L1015" s="65"/>
      <c r="M1015" s="65"/>
      <c r="N1015" s="65"/>
      <c r="O1015" s="67"/>
      <c r="P1015" s="65"/>
      <c r="Q1015" s="65"/>
      <c r="R1015" s="65"/>
      <c r="S1015" s="65"/>
      <c r="T1015" s="65"/>
      <c r="U1015" s="65"/>
      <c r="V1015" s="68"/>
      <c r="W1015" s="65"/>
      <c r="X1015" s="65"/>
      <c r="Y1015" s="65"/>
      <c r="Z1015" s="65"/>
      <c r="AA1015" s="65"/>
      <c r="AB1015" s="65"/>
      <c r="AC1015" s="65"/>
      <c r="AD1015" s="65"/>
      <c r="AE1015" s="65"/>
      <c r="AF1015" s="65"/>
      <c r="AG1015" s="65"/>
      <c r="AH1015" s="65"/>
    </row>
    <row r="1016">
      <c r="A1016" s="61"/>
      <c r="B1016" s="61"/>
      <c r="C1016" s="61"/>
      <c r="D1016" s="62"/>
      <c r="E1016" s="61"/>
      <c r="F1016" s="61"/>
      <c r="G1016" s="61"/>
      <c r="H1016" s="61"/>
      <c r="I1016" s="61"/>
      <c r="J1016" s="61"/>
      <c r="K1016" s="61"/>
      <c r="L1016" s="61"/>
      <c r="M1016" s="61"/>
      <c r="N1016" s="61"/>
      <c r="O1016" s="63"/>
      <c r="P1016" s="61"/>
      <c r="Q1016" s="61"/>
      <c r="R1016" s="61"/>
      <c r="S1016" s="61"/>
      <c r="T1016" s="61"/>
      <c r="U1016" s="61"/>
      <c r="V1016" s="64"/>
      <c r="W1016" s="61"/>
      <c r="X1016" s="61"/>
      <c r="Y1016" s="61"/>
      <c r="Z1016" s="61"/>
      <c r="AA1016" s="61"/>
      <c r="AB1016" s="61"/>
      <c r="AC1016" s="61"/>
      <c r="AD1016" s="61"/>
      <c r="AE1016" s="61"/>
      <c r="AF1016" s="61"/>
      <c r="AG1016" s="61"/>
      <c r="AH1016" s="61"/>
    </row>
    <row r="1017">
      <c r="A1017" s="65"/>
      <c r="B1017" s="65"/>
      <c r="C1017" s="65"/>
      <c r="D1017" s="66"/>
      <c r="E1017" s="65"/>
      <c r="F1017" s="65"/>
      <c r="G1017" s="65"/>
      <c r="H1017" s="65"/>
      <c r="I1017" s="65"/>
      <c r="J1017" s="65"/>
      <c r="K1017" s="65"/>
      <c r="L1017" s="65"/>
      <c r="M1017" s="65"/>
      <c r="N1017" s="65"/>
      <c r="O1017" s="67"/>
      <c r="P1017" s="65"/>
      <c r="Q1017" s="65"/>
      <c r="R1017" s="65"/>
      <c r="S1017" s="65"/>
      <c r="T1017" s="65"/>
      <c r="U1017" s="65"/>
      <c r="V1017" s="68"/>
      <c r="W1017" s="65"/>
      <c r="X1017" s="65"/>
      <c r="Y1017" s="65"/>
      <c r="Z1017" s="65"/>
      <c r="AA1017" s="65"/>
      <c r="AB1017" s="65"/>
      <c r="AC1017" s="65"/>
      <c r="AD1017" s="65"/>
      <c r="AE1017" s="65"/>
      <c r="AF1017" s="65"/>
      <c r="AG1017" s="65"/>
      <c r="AH1017" s="65"/>
    </row>
    <row r="1018">
      <c r="A1018" s="61"/>
      <c r="B1018" s="61"/>
      <c r="C1018" s="61"/>
      <c r="D1018" s="62"/>
      <c r="E1018" s="61"/>
      <c r="F1018" s="61"/>
      <c r="G1018" s="61"/>
      <c r="H1018" s="61"/>
      <c r="I1018" s="61"/>
      <c r="J1018" s="61"/>
      <c r="K1018" s="61"/>
      <c r="L1018" s="61"/>
      <c r="M1018" s="61"/>
      <c r="N1018" s="61"/>
      <c r="O1018" s="63"/>
      <c r="P1018" s="61"/>
      <c r="Q1018" s="61"/>
      <c r="R1018" s="61"/>
      <c r="S1018" s="61"/>
      <c r="T1018" s="61"/>
      <c r="U1018" s="61"/>
      <c r="V1018" s="64"/>
      <c r="W1018" s="61"/>
      <c r="X1018" s="61"/>
      <c r="Y1018" s="61"/>
      <c r="Z1018" s="61"/>
      <c r="AA1018" s="61"/>
      <c r="AB1018" s="61"/>
      <c r="AC1018" s="61"/>
      <c r="AD1018" s="61"/>
      <c r="AE1018" s="61"/>
      <c r="AF1018" s="61"/>
      <c r="AG1018" s="61"/>
      <c r="AH1018" s="61"/>
    </row>
    <row r="1019">
      <c r="A1019" s="65"/>
      <c r="B1019" s="65"/>
      <c r="C1019" s="65"/>
      <c r="D1019" s="66"/>
      <c r="E1019" s="65"/>
      <c r="F1019" s="65"/>
      <c r="G1019" s="65"/>
      <c r="H1019" s="65"/>
      <c r="I1019" s="65"/>
      <c r="J1019" s="65"/>
      <c r="K1019" s="65"/>
      <c r="L1019" s="65"/>
      <c r="M1019" s="65"/>
      <c r="N1019" s="65"/>
      <c r="O1019" s="67"/>
      <c r="P1019" s="65"/>
      <c r="Q1019" s="65"/>
      <c r="R1019" s="65"/>
      <c r="S1019" s="65"/>
      <c r="T1019" s="65"/>
      <c r="U1019" s="65"/>
      <c r="V1019" s="68"/>
      <c r="W1019" s="65"/>
      <c r="X1019" s="65"/>
      <c r="Y1019" s="65"/>
      <c r="Z1019" s="65"/>
      <c r="AA1019" s="65"/>
      <c r="AB1019" s="65"/>
      <c r="AC1019" s="65"/>
      <c r="AD1019" s="65"/>
      <c r="AE1019" s="65"/>
      <c r="AF1019" s="65"/>
      <c r="AG1019" s="65"/>
      <c r="AH1019" s="65"/>
    </row>
    <row r="1020">
      <c r="A1020" s="61"/>
      <c r="B1020" s="61"/>
      <c r="C1020" s="61"/>
      <c r="D1020" s="62"/>
      <c r="E1020" s="61"/>
      <c r="F1020" s="61"/>
      <c r="G1020" s="61"/>
      <c r="H1020" s="61"/>
      <c r="I1020" s="61"/>
      <c r="J1020" s="61"/>
      <c r="K1020" s="61"/>
      <c r="L1020" s="61"/>
      <c r="M1020" s="61"/>
      <c r="N1020" s="61"/>
      <c r="O1020" s="63"/>
      <c r="P1020" s="61"/>
      <c r="Q1020" s="61"/>
      <c r="R1020" s="61"/>
      <c r="S1020" s="61"/>
      <c r="T1020" s="61"/>
      <c r="U1020" s="61"/>
      <c r="V1020" s="64"/>
      <c r="W1020" s="61"/>
      <c r="X1020" s="61"/>
      <c r="Y1020" s="61"/>
      <c r="Z1020" s="61"/>
      <c r="AA1020" s="61"/>
      <c r="AB1020" s="61"/>
      <c r="AC1020" s="61"/>
      <c r="AD1020" s="61"/>
      <c r="AE1020" s="61"/>
      <c r="AF1020" s="61"/>
      <c r="AG1020" s="61"/>
      <c r="AH1020" s="61"/>
    </row>
    <row r="1021">
      <c r="A1021" s="65"/>
      <c r="B1021" s="65"/>
      <c r="C1021" s="65"/>
      <c r="D1021" s="66"/>
      <c r="E1021" s="65"/>
      <c r="F1021" s="65"/>
      <c r="G1021" s="65"/>
      <c r="H1021" s="65"/>
      <c r="I1021" s="65"/>
      <c r="J1021" s="65"/>
      <c r="K1021" s="65"/>
      <c r="L1021" s="65"/>
      <c r="M1021" s="65"/>
      <c r="N1021" s="65"/>
      <c r="O1021" s="67"/>
      <c r="P1021" s="65"/>
      <c r="Q1021" s="65"/>
      <c r="R1021" s="65"/>
      <c r="S1021" s="65"/>
      <c r="T1021" s="65"/>
      <c r="U1021" s="65"/>
      <c r="V1021" s="68"/>
      <c r="W1021" s="65"/>
      <c r="X1021" s="65"/>
      <c r="Y1021" s="65"/>
      <c r="Z1021" s="65"/>
      <c r="AA1021" s="65"/>
      <c r="AB1021" s="65"/>
      <c r="AC1021" s="65"/>
      <c r="AD1021" s="65"/>
      <c r="AE1021" s="65"/>
      <c r="AF1021" s="65"/>
      <c r="AG1021" s="65"/>
      <c r="AH1021" s="65"/>
    </row>
    <row r="1022">
      <c r="A1022" s="61"/>
      <c r="B1022" s="61"/>
      <c r="C1022" s="61"/>
      <c r="D1022" s="62"/>
      <c r="E1022" s="61"/>
      <c r="F1022" s="61"/>
      <c r="G1022" s="61"/>
      <c r="H1022" s="61"/>
      <c r="I1022" s="61"/>
      <c r="J1022" s="61"/>
      <c r="K1022" s="61"/>
      <c r="L1022" s="61"/>
      <c r="M1022" s="61"/>
      <c r="N1022" s="61"/>
      <c r="O1022" s="63"/>
      <c r="P1022" s="61"/>
      <c r="Q1022" s="61"/>
      <c r="R1022" s="61"/>
      <c r="S1022" s="61"/>
      <c r="T1022" s="61"/>
      <c r="U1022" s="61"/>
      <c r="V1022" s="64"/>
      <c r="W1022" s="61"/>
      <c r="X1022" s="61"/>
      <c r="Y1022" s="61"/>
      <c r="Z1022" s="61"/>
      <c r="AA1022" s="61"/>
      <c r="AB1022" s="61"/>
      <c r="AC1022" s="61"/>
      <c r="AD1022" s="61"/>
      <c r="AE1022" s="61"/>
      <c r="AF1022" s="61"/>
      <c r="AG1022" s="61"/>
      <c r="AH1022" s="61"/>
    </row>
    <row r="1023">
      <c r="A1023" s="65"/>
      <c r="B1023" s="65"/>
      <c r="C1023" s="65"/>
      <c r="D1023" s="66"/>
      <c r="E1023" s="65"/>
      <c r="F1023" s="65"/>
      <c r="G1023" s="65"/>
      <c r="H1023" s="65"/>
      <c r="I1023" s="65"/>
      <c r="J1023" s="65"/>
      <c r="K1023" s="65"/>
      <c r="L1023" s="65"/>
      <c r="M1023" s="65"/>
      <c r="N1023" s="65"/>
      <c r="O1023" s="67"/>
      <c r="P1023" s="65"/>
      <c r="Q1023" s="65"/>
      <c r="R1023" s="65"/>
      <c r="S1023" s="65"/>
      <c r="T1023" s="65"/>
      <c r="U1023" s="65"/>
      <c r="V1023" s="68"/>
      <c r="W1023" s="65"/>
      <c r="X1023" s="65"/>
      <c r="Y1023" s="65"/>
      <c r="Z1023" s="65"/>
      <c r="AA1023" s="65"/>
      <c r="AB1023" s="65"/>
      <c r="AC1023" s="65"/>
      <c r="AD1023" s="65"/>
      <c r="AE1023" s="65"/>
      <c r="AF1023" s="65"/>
      <c r="AG1023" s="65"/>
      <c r="AH1023" s="65"/>
    </row>
    <row r="1024">
      <c r="A1024" s="61"/>
      <c r="B1024" s="61"/>
      <c r="C1024" s="61"/>
      <c r="D1024" s="62"/>
      <c r="E1024" s="61"/>
      <c r="F1024" s="61"/>
      <c r="G1024" s="61"/>
      <c r="H1024" s="61"/>
      <c r="I1024" s="61"/>
      <c r="J1024" s="61"/>
      <c r="K1024" s="61"/>
      <c r="L1024" s="61"/>
      <c r="M1024" s="61"/>
      <c r="N1024" s="61"/>
      <c r="O1024" s="63"/>
      <c r="P1024" s="61"/>
      <c r="Q1024" s="61"/>
      <c r="R1024" s="61"/>
      <c r="S1024" s="61"/>
      <c r="T1024" s="61"/>
      <c r="U1024" s="61"/>
      <c r="V1024" s="64"/>
      <c r="W1024" s="61"/>
      <c r="X1024" s="61"/>
      <c r="Y1024" s="61"/>
      <c r="Z1024" s="61"/>
      <c r="AA1024" s="61"/>
      <c r="AB1024" s="61"/>
      <c r="AC1024" s="61"/>
      <c r="AD1024" s="61"/>
      <c r="AE1024" s="61"/>
      <c r="AF1024" s="61"/>
      <c r="AG1024" s="61"/>
      <c r="AH1024" s="61"/>
    </row>
    <row r="1025">
      <c r="A1025" s="65"/>
      <c r="B1025" s="65"/>
      <c r="C1025" s="65"/>
      <c r="D1025" s="66"/>
      <c r="E1025" s="65"/>
      <c r="F1025" s="65"/>
      <c r="G1025" s="65"/>
      <c r="H1025" s="65"/>
      <c r="I1025" s="65"/>
      <c r="J1025" s="65"/>
      <c r="K1025" s="65"/>
      <c r="L1025" s="65"/>
      <c r="M1025" s="65"/>
      <c r="N1025" s="65"/>
      <c r="O1025" s="67"/>
      <c r="P1025" s="65"/>
      <c r="Q1025" s="65"/>
      <c r="R1025" s="65"/>
      <c r="S1025" s="65"/>
      <c r="T1025" s="65"/>
      <c r="U1025" s="65"/>
      <c r="V1025" s="68"/>
      <c r="W1025" s="65"/>
      <c r="X1025" s="65"/>
      <c r="Y1025" s="65"/>
      <c r="Z1025" s="65"/>
      <c r="AA1025" s="65"/>
      <c r="AB1025" s="65"/>
      <c r="AC1025" s="65"/>
      <c r="AD1025" s="65"/>
      <c r="AE1025" s="65"/>
      <c r="AF1025" s="65"/>
      <c r="AG1025" s="65"/>
      <c r="AH1025" s="65"/>
    </row>
    <row r="1026">
      <c r="A1026" s="61"/>
      <c r="B1026" s="61"/>
      <c r="C1026" s="61"/>
      <c r="D1026" s="62"/>
      <c r="E1026" s="61"/>
      <c r="F1026" s="61"/>
      <c r="G1026" s="61"/>
      <c r="H1026" s="61"/>
      <c r="I1026" s="61"/>
      <c r="J1026" s="61"/>
      <c r="K1026" s="61"/>
      <c r="L1026" s="61"/>
      <c r="M1026" s="61"/>
      <c r="N1026" s="61"/>
      <c r="O1026" s="63"/>
      <c r="P1026" s="61"/>
      <c r="Q1026" s="61"/>
      <c r="R1026" s="61"/>
      <c r="S1026" s="61"/>
      <c r="T1026" s="61"/>
      <c r="U1026" s="61"/>
      <c r="V1026" s="64"/>
      <c r="W1026" s="61"/>
      <c r="X1026" s="61"/>
      <c r="Y1026" s="61"/>
      <c r="Z1026" s="61"/>
      <c r="AA1026" s="61"/>
      <c r="AB1026" s="61"/>
      <c r="AC1026" s="61"/>
      <c r="AD1026" s="61"/>
      <c r="AE1026" s="61"/>
      <c r="AF1026" s="61"/>
      <c r="AG1026" s="61"/>
      <c r="AH1026" s="61"/>
    </row>
    <row r="1027">
      <c r="A1027" s="65"/>
      <c r="B1027" s="65"/>
      <c r="C1027" s="65"/>
      <c r="D1027" s="66"/>
      <c r="E1027" s="65"/>
      <c r="F1027" s="65"/>
      <c r="G1027" s="65"/>
      <c r="H1027" s="65"/>
      <c r="I1027" s="65"/>
      <c r="J1027" s="65"/>
      <c r="K1027" s="65"/>
      <c r="L1027" s="65"/>
      <c r="M1027" s="65"/>
      <c r="N1027" s="65"/>
      <c r="O1027" s="67"/>
      <c r="P1027" s="65"/>
      <c r="Q1027" s="65"/>
      <c r="R1027" s="65"/>
      <c r="S1027" s="65"/>
      <c r="T1027" s="65"/>
      <c r="U1027" s="65"/>
      <c r="V1027" s="68"/>
      <c r="W1027" s="65"/>
      <c r="X1027" s="65"/>
      <c r="Y1027" s="65"/>
      <c r="Z1027" s="65"/>
      <c r="AA1027" s="65"/>
      <c r="AB1027" s="65"/>
      <c r="AC1027" s="65"/>
      <c r="AD1027" s="65"/>
      <c r="AE1027" s="65"/>
      <c r="AF1027" s="65"/>
      <c r="AG1027" s="65"/>
      <c r="AH1027" s="65"/>
    </row>
    <row r="1028">
      <c r="A1028" s="61"/>
      <c r="B1028" s="61"/>
      <c r="C1028" s="61"/>
      <c r="D1028" s="62"/>
      <c r="E1028" s="61"/>
      <c r="F1028" s="61"/>
      <c r="G1028" s="61"/>
      <c r="H1028" s="61"/>
      <c r="I1028" s="61"/>
      <c r="J1028" s="61"/>
      <c r="K1028" s="61"/>
      <c r="L1028" s="61"/>
      <c r="M1028" s="61"/>
      <c r="N1028" s="61"/>
      <c r="O1028" s="63"/>
      <c r="P1028" s="61"/>
      <c r="Q1028" s="61"/>
      <c r="R1028" s="61"/>
      <c r="S1028" s="61"/>
      <c r="T1028" s="61"/>
      <c r="U1028" s="61"/>
      <c r="V1028" s="64"/>
      <c r="W1028" s="61"/>
      <c r="X1028" s="61"/>
      <c r="Y1028" s="61"/>
      <c r="Z1028" s="61"/>
      <c r="AA1028" s="61"/>
      <c r="AB1028" s="61"/>
      <c r="AC1028" s="61"/>
      <c r="AD1028" s="61"/>
      <c r="AE1028" s="61"/>
      <c r="AF1028" s="61"/>
      <c r="AG1028" s="61"/>
      <c r="AH1028" s="61"/>
    </row>
    <row r="1029">
      <c r="A1029" s="65"/>
      <c r="B1029" s="65"/>
      <c r="C1029" s="65"/>
      <c r="D1029" s="66"/>
      <c r="E1029" s="65"/>
      <c r="F1029" s="65"/>
      <c r="G1029" s="65"/>
      <c r="H1029" s="65"/>
      <c r="I1029" s="65"/>
      <c r="J1029" s="65"/>
      <c r="K1029" s="65"/>
      <c r="L1029" s="65"/>
      <c r="M1029" s="65"/>
      <c r="N1029" s="65"/>
      <c r="O1029" s="67"/>
      <c r="P1029" s="65"/>
      <c r="Q1029" s="65"/>
      <c r="R1029" s="65"/>
      <c r="S1029" s="65"/>
      <c r="T1029" s="65"/>
      <c r="U1029" s="65"/>
      <c r="V1029" s="68"/>
      <c r="W1029" s="65"/>
      <c r="X1029" s="65"/>
      <c r="Y1029" s="65"/>
      <c r="Z1029" s="65"/>
      <c r="AA1029" s="65"/>
      <c r="AB1029" s="65"/>
      <c r="AC1029" s="65"/>
      <c r="AD1029" s="65"/>
      <c r="AE1029" s="65"/>
      <c r="AF1029" s="65"/>
      <c r="AG1029" s="65"/>
      <c r="AH1029" s="65"/>
    </row>
    <row r="1030">
      <c r="A1030" s="61"/>
      <c r="B1030" s="61"/>
      <c r="C1030" s="61"/>
      <c r="D1030" s="62"/>
      <c r="E1030" s="61"/>
      <c r="F1030" s="61"/>
      <c r="G1030" s="61"/>
      <c r="H1030" s="61"/>
      <c r="I1030" s="61"/>
      <c r="J1030" s="61"/>
      <c r="K1030" s="61"/>
      <c r="L1030" s="61"/>
      <c r="M1030" s="61"/>
      <c r="N1030" s="61"/>
      <c r="O1030" s="63"/>
      <c r="P1030" s="61"/>
      <c r="Q1030" s="61"/>
      <c r="R1030" s="61"/>
      <c r="S1030" s="61"/>
      <c r="T1030" s="61"/>
      <c r="U1030" s="61"/>
      <c r="V1030" s="64"/>
      <c r="W1030" s="61"/>
      <c r="X1030" s="61"/>
      <c r="Y1030" s="61"/>
      <c r="Z1030" s="61"/>
      <c r="AA1030" s="61"/>
      <c r="AB1030" s="61"/>
      <c r="AC1030" s="61"/>
      <c r="AD1030" s="61"/>
      <c r="AE1030" s="61"/>
      <c r="AF1030" s="61"/>
      <c r="AG1030" s="61"/>
      <c r="AH1030" s="61"/>
    </row>
    <row r="1031">
      <c r="A1031" s="65"/>
      <c r="B1031" s="65"/>
      <c r="C1031" s="65"/>
      <c r="D1031" s="66"/>
      <c r="E1031" s="65"/>
      <c r="F1031" s="65"/>
      <c r="G1031" s="65"/>
      <c r="H1031" s="65"/>
      <c r="I1031" s="65"/>
      <c r="J1031" s="65"/>
      <c r="K1031" s="65"/>
      <c r="L1031" s="65"/>
      <c r="M1031" s="65"/>
      <c r="N1031" s="65"/>
      <c r="O1031" s="67"/>
      <c r="P1031" s="65"/>
      <c r="Q1031" s="65"/>
      <c r="R1031" s="65"/>
      <c r="S1031" s="65"/>
      <c r="T1031" s="65"/>
      <c r="U1031" s="65"/>
      <c r="V1031" s="68"/>
      <c r="W1031" s="65"/>
      <c r="X1031" s="65"/>
      <c r="Y1031" s="65"/>
      <c r="Z1031" s="65"/>
      <c r="AA1031" s="65"/>
      <c r="AB1031" s="65"/>
      <c r="AC1031" s="65"/>
      <c r="AD1031" s="65"/>
      <c r="AE1031" s="65"/>
      <c r="AF1031" s="65"/>
      <c r="AG1031" s="65"/>
      <c r="AH1031" s="65"/>
    </row>
    <row r="1032">
      <c r="A1032" s="61"/>
      <c r="B1032" s="61"/>
      <c r="C1032" s="61"/>
      <c r="D1032" s="62"/>
      <c r="E1032" s="61"/>
      <c r="F1032" s="61"/>
      <c r="G1032" s="61"/>
      <c r="H1032" s="61"/>
      <c r="I1032" s="61"/>
      <c r="J1032" s="61"/>
      <c r="K1032" s="61"/>
      <c r="L1032" s="61"/>
      <c r="M1032" s="61"/>
      <c r="N1032" s="61"/>
      <c r="O1032" s="63"/>
      <c r="P1032" s="61"/>
      <c r="Q1032" s="61"/>
      <c r="R1032" s="61"/>
      <c r="S1032" s="61"/>
      <c r="T1032" s="61"/>
      <c r="U1032" s="61"/>
      <c r="V1032" s="64"/>
      <c r="W1032" s="61"/>
      <c r="X1032" s="61"/>
      <c r="Y1032" s="61"/>
      <c r="Z1032" s="61"/>
      <c r="AA1032" s="61"/>
      <c r="AB1032" s="61"/>
      <c r="AC1032" s="61"/>
      <c r="AD1032" s="61"/>
      <c r="AE1032" s="61"/>
      <c r="AF1032" s="61"/>
      <c r="AG1032" s="61"/>
      <c r="AH1032" s="61"/>
    </row>
    <row r="1033">
      <c r="A1033" s="65"/>
      <c r="B1033" s="65"/>
      <c r="C1033" s="65"/>
      <c r="D1033" s="66"/>
      <c r="E1033" s="65"/>
      <c r="F1033" s="65"/>
      <c r="G1033" s="65"/>
      <c r="H1033" s="65"/>
      <c r="I1033" s="65"/>
      <c r="J1033" s="65"/>
      <c r="K1033" s="65"/>
      <c r="L1033" s="65"/>
      <c r="M1033" s="65"/>
      <c r="N1033" s="65"/>
      <c r="O1033" s="67"/>
      <c r="P1033" s="65"/>
      <c r="Q1033" s="65"/>
      <c r="R1033" s="65"/>
      <c r="S1033" s="65"/>
      <c r="T1033" s="65"/>
      <c r="U1033" s="65"/>
      <c r="V1033" s="68"/>
      <c r="W1033" s="65"/>
      <c r="X1033" s="65"/>
      <c r="Y1033" s="65"/>
      <c r="Z1033" s="65"/>
      <c r="AA1033" s="65"/>
      <c r="AB1033" s="65"/>
      <c r="AC1033" s="65"/>
      <c r="AD1033" s="65"/>
      <c r="AE1033" s="65"/>
      <c r="AF1033" s="65"/>
      <c r="AG1033" s="65"/>
      <c r="AH1033" s="65"/>
    </row>
    <row r="1034">
      <c r="A1034" s="61"/>
      <c r="B1034" s="61"/>
      <c r="C1034" s="61"/>
      <c r="D1034" s="62"/>
      <c r="E1034" s="61"/>
      <c r="F1034" s="61"/>
      <c r="G1034" s="61"/>
      <c r="H1034" s="61"/>
      <c r="I1034" s="61"/>
      <c r="J1034" s="61"/>
      <c r="K1034" s="61"/>
      <c r="L1034" s="61"/>
      <c r="M1034" s="61"/>
      <c r="N1034" s="61"/>
      <c r="O1034" s="63"/>
      <c r="P1034" s="61"/>
      <c r="Q1034" s="61"/>
      <c r="R1034" s="61"/>
      <c r="S1034" s="61"/>
      <c r="T1034" s="61"/>
      <c r="U1034" s="61"/>
      <c r="V1034" s="64"/>
      <c r="W1034" s="61"/>
      <c r="X1034" s="61"/>
      <c r="Y1034" s="61"/>
      <c r="Z1034" s="61"/>
      <c r="AA1034" s="61"/>
      <c r="AB1034" s="61"/>
      <c r="AC1034" s="61"/>
      <c r="AD1034" s="61"/>
      <c r="AE1034" s="61"/>
      <c r="AF1034" s="61"/>
      <c r="AG1034" s="61"/>
      <c r="AH1034" s="61"/>
    </row>
    <row r="1035">
      <c r="A1035" s="65"/>
      <c r="B1035" s="65"/>
      <c r="C1035" s="65"/>
      <c r="D1035" s="66"/>
      <c r="E1035" s="65"/>
      <c r="F1035" s="65"/>
      <c r="G1035" s="65"/>
      <c r="H1035" s="65"/>
      <c r="I1035" s="65"/>
      <c r="J1035" s="65"/>
      <c r="K1035" s="65"/>
      <c r="L1035" s="65"/>
      <c r="M1035" s="65"/>
      <c r="N1035" s="65"/>
      <c r="O1035" s="67"/>
      <c r="P1035" s="65"/>
      <c r="Q1035" s="65"/>
      <c r="R1035" s="65"/>
      <c r="S1035" s="65"/>
      <c r="T1035" s="65"/>
      <c r="U1035" s="65"/>
      <c r="V1035" s="68"/>
      <c r="W1035" s="65"/>
      <c r="X1035" s="65"/>
      <c r="Y1035" s="65"/>
      <c r="Z1035" s="65"/>
      <c r="AA1035" s="65"/>
      <c r="AB1035" s="65"/>
      <c r="AC1035" s="65"/>
      <c r="AD1035" s="65"/>
      <c r="AE1035" s="65"/>
      <c r="AF1035" s="65"/>
      <c r="AG1035" s="65"/>
      <c r="AH1035" s="65"/>
    </row>
    <row r="1036">
      <c r="A1036" s="61"/>
      <c r="B1036" s="61"/>
      <c r="C1036" s="61"/>
      <c r="D1036" s="62"/>
      <c r="E1036" s="61"/>
      <c r="F1036" s="61"/>
      <c r="G1036" s="61"/>
      <c r="H1036" s="61"/>
      <c r="I1036" s="61"/>
      <c r="J1036" s="61"/>
      <c r="K1036" s="61"/>
      <c r="L1036" s="61"/>
      <c r="M1036" s="61"/>
      <c r="N1036" s="61"/>
      <c r="O1036" s="63"/>
      <c r="P1036" s="61"/>
      <c r="Q1036" s="61"/>
      <c r="R1036" s="61"/>
      <c r="S1036" s="61"/>
      <c r="T1036" s="61"/>
      <c r="U1036" s="61"/>
      <c r="V1036" s="64"/>
      <c r="W1036" s="61"/>
      <c r="X1036" s="61"/>
      <c r="Y1036" s="61"/>
      <c r="Z1036" s="61"/>
      <c r="AA1036" s="61"/>
      <c r="AB1036" s="61"/>
      <c r="AC1036" s="61"/>
      <c r="AD1036" s="61"/>
      <c r="AE1036" s="61"/>
      <c r="AF1036" s="61"/>
      <c r="AG1036" s="61"/>
      <c r="AH1036" s="61"/>
    </row>
    <row r="1037">
      <c r="A1037" s="65"/>
      <c r="B1037" s="65"/>
      <c r="C1037" s="65"/>
      <c r="D1037" s="66"/>
      <c r="E1037" s="65"/>
      <c r="F1037" s="65"/>
      <c r="G1037" s="65"/>
      <c r="H1037" s="65"/>
      <c r="I1037" s="65"/>
      <c r="J1037" s="65"/>
      <c r="K1037" s="65"/>
      <c r="L1037" s="65"/>
      <c r="M1037" s="65"/>
      <c r="N1037" s="65"/>
      <c r="O1037" s="67"/>
      <c r="P1037" s="65"/>
      <c r="Q1037" s="65"/>
      <c r="R1037" s="65"/>
      <c r="S1037" s="65"/>
      <c r="T1037" s="65"/>
      <c r="U1037" s="65"/>
      <c r="V1037" s="68"/>
      <c r="W1037" s="65"/>
      <c r="X1037" s="65"/>
      <c r="Y1037" s="65"/>
      <c r="Z1037" s="65"/>
      <c r="AA1037" s="65"/>
      <c r="AB1037" s="65"/>
      <c r="AC1037" s="65"/>
      <c r="AD1037" s="65"/>
      <c r="AE1037" s="65"/>
      <c r="AF1037" s="65"/>
      <c r="AG1037" s="65"/>
      <c r="AH1037" s="65"/>
    </row>
    <row r="1038">
      <c r="A1038" s="61"/>
      <c r="B1038" s="61"/>
      <c r="C1038" s="61"/>
      <c r="D1038" s="62"/>
      <c r="E1038" s="61"/>
      <c r="F1038" s="61"/>
      <c r="G1038" s="61"/>
      <c r="H1038" s="61"/>
      <c r="I1038" s="61"/>
      <c r="J1038" s="61"/>
      <c r="K1038" s="61"/>
      <c r="L1038" s="61"/>
      <c r="M1038" s="61"/>
      <c r="N1038" s="61"/>
      <c r="O1038" s="63"/>
      <c r="P1038" s="61"/>
      <c r="Q1038" s="61"/>
      <c r="R1038" s="61"/>
      <c r="S1038" s="61"/>
      <c r="T1038" s="61"/>
      <c r="U1038" s="61"/>
      <c r="V1038" s="64"/>
      <c r="W1038" s="61"/>
      <c r="X1038" s="61"/>
      <c r="Y1038" s="61"/>
      <c r="Z1038" s="61"/>
      <c r="AA1038" s="61"/>
      <c r="AB1038" s="61"/>
      <c r="AC1038" s="61"/>
      <c r="AD1038" s="61"/>
      <c r="AE1038" s="61"/>
      <c r="AF1038" s="61"/>
      <c r="AG1038" s="61"/>
      <c r="AH1038" s="61"/>
    </row>
    <row r="1039">
      <c r="A1039" s="65"/>
      <c r="B1039" s="65"/>
      <c r="C1039" s="65"/>
      <c r="D1039" s="66"/>
      <c r="E1039" s="65"/>
      <c r="F1039" s="65"/>
      <c r="G1039" s="65"/>
      <c r="H1039" s="65"/>
      <c r="I1039" s="65"/>
      <c r="J1039" s="65"/>
      <c r="K1039" s="65"/>
      <c r="L1039" s="65"/>
      <c r="M1039" s="65"/>
      <c r="N1039" s="65"/>
      <c r="O1039" s="67"/>
      <c r="P1039" s="65"/>
      <c r="Q1039" s="65"/>
      <c r="R1039" s="65"/>
      <c r="S1039" s="65"/>
      <c r="T1039" s="65"/>
      <c r="U1039" s="65"/>
      <c r="V1039" s="68"/>
      <c r="W1039" s="65"/>
      <c r="X1039" s="65"/>
      <c r="Y1039" s="65"/>
      <c r="Z1039" s="65"/>
      <c r="AA1039" s="65"/>
      <c r="AB1039" s="65"/>
      <c r="AC1039" s="65"/>
      <c r="AD1039" s="65"/>
      <c r="AE1039" s="65"/>
      <c r="AF1039" s="65"/>
      <c r="AG1039" s="65"/>
      <c r="AH1039" s="65"/>
    </row>
    <row r="1040">
      <c r="A1040" s="61"/>
      <c r="B1040" s="61"/>
      <c r="C1040" s="61"/>
      <c r="D1040" s="62"/>
      <c r="E1040" s="61"/>
      <c r="F1040" s="61"/>
      <c r="G1040" s="61"/>
      <c r="H1040" s="61"/>
      <c r="I1040" s="61"/>
      <c r="J1040" s="61"/>
      <c r="K1040" s="61"/>
      <c r="L1040" s="61"/>
      <c r="M1040" s="61"/>
      <c r="N1040" s="61"/>
      <c r="O1040" s="63"/>
      <c r="P1040" s="61"/>
      <c r="Q1040" s="61"/>
      <c r="R1040" s="61"/>
      <c r="S1040" s="61"/>
      <c r="T1040" s="61"/>
      <c r="U1040" s="61"/>
      <c r="V1040" s="64"/>
      <c r="W1040" s="61"/>
      <c r="X1040" s="61"/>
      <c r="Y1040" s="61"/>
      <c r="Z1040" s="61"/>
      <c r="AA1040" s="61"/>
      <c r="AB1040" s="61"/>
      <c r="AC1040" s="61"/>
      <c r="AD1040" s="61"/>
      <c r="AE1040" s="61"/>
      <c r="AF1040" s="61"/>
      <c r="AG1040" s="61"/>
      <c r="AH1040" s="61"/>
    </row>
    <row r="1041">
      <c r="A1041" s="65"/>
      <c r="B1041" s="65"/>
      <c r="C1041" s="65"/>
      <c r="D1041" s="66"/>
      <c r="E1041" s="65"/>
      <c r="F1041" s="65"/>
      <c r="G1041" s="65"/>
      <c r="H1041" s="65"/>
      <c r="I1041" s="65"/>
      <c r="J1041" s="65"/>
      <c r="K1041" s="65"/>
      <c r="L1041" s="65"/>
      <c r="M1041" s="65"/>
      <c r="N1041" s="65"/>
      <c r="O1041" s="67"/>
      <c r="P1041" s="65"/>
      <c r="Q1041" s="65"/>
      <c r="R1041" s="65"/>
      <c r="S1041" s="65"/>
      <c r="T1041" s="65"/>
      <c r="U1041" s="65"/>
      <c r="V1041" s="68"/>
      <c r="W1041" s="65"/>
      <c r="X1041" s="65"/>
      <c r="Y1041" s="65"/>
      <c r="Z1041" s="65"/>
      <c r="AA1041" s="65"/>
      <c r="AB1041" s="65"/>
      <c r="AC1041" s="65"/>
      <c r="AD1041" s="65"/>
      <c r="AE1041" s="65"/>
      <c r="AF1041" s="65"/>
      <c r="AG1041" s="65"/>
      <c r="AH1041" s="65"/>
    </row>
    <row r="1042">
      <c r="A1042" s="61"/>
      <c r="B1042" s="61"/>
      <c r="C1042" s="61"/>
      <c r="D1042" s="62"/>
      <c r="E1042" s="61"/>
      <c r="F1042" s="61"/>
      <c r="G1042" s="61"/>
      <c r="H1042" s="61"/>
      <c r="I1042" s="61"/>
      <c r="J1042" s="61"/>
      <c r="K1042" s="61"/>
      <c r="L1042" s="61"/>
      <c r="M1042" s="61"/>
      <c r="N1042" s="61"/>
      <c r="O1042" s="63"/>
      <c r="P1042" s="61"/>
      <c r="Q1042" s="61"/>
      <c r="R1042" s="61"/>
      <c r="S1042" s="61"/>
      <c r="T1042" s="61"/>
      <c r="U1042" s="61"/>
      <c r="V1042" s="64"/>
      <c r="W1042" s="61"/>
      <c r="X1042" s="61"/>
      <c r="Y1042" s="61"/>
      <c r="Z1042" s="61"/>
      <c r="AA1042" s="61"/>
      <c r="AB1042" s="61"/>
      <c r="AC1042" s="61"/>
      <c r="AD1042" s="61"/>
      <c r="AE1042" s="61"/>
      <c r="AF1042" s="61"/>
      <c r="AG1042" s="61"/>
      <c r="AH1042" s="61"/>
    </row>
    <row r="1043">
      <c r="A1043" s="65"/>
      <c r="B1043" s="65"/>
      <c r="C1043" s="65"/>
      <c r="D1043" s="66"/>
      <c r="E1043" s="65"/>
      <c r="F1043" s="65"/>
      <c r="G1043" s="65"/>
      <c r="H1043" s="65"/>
      <c r="I1043" s="65"/>
      <c r="J1043" s="65"/>
      <c r="K1043" s="65"/>
      <c r="L1043" s="65"/>
      <c r="M1043" s="65"/>
      <c r="N1043" s="65"/>
      <c r="O1043" s="67"/>
      <c r="P1043" s="65"/>
      <c r="Q1043" s="65"/>
      <c r="R1043" s="65"/>
      <c r="S1043" s="65"/>
      <c r="T1043" s="65"/>
      <c r="U1043" s="65"/>
      <c r="V1043" s="68"/>
      <c r="W1043" s="65"/>
      <c r="X1043" s="65"/>
      <c r="Y1043" s="65"/>
      <c r="Z1043" s="65"/>
      <c r="AA1043" s="65"/>
      <c r="AB1043" s="65"/>
      <c r="AC1043" s="65"/>
      <c r="AD1043" s="65"/>
      <c r="AE1043" s="65"/>
      <c r="AF1043" s="65"/>
      <c r="AG1043" s="65"/>
      <c r="AH1043" s="65"/>
    </row>
    <row r="1044">
      <c r="A1044" s="61"/>
      <c r="B1044" s="61"/>
      <c r="C1044" s="61"/>
      <c r="D1044" s="62"/>
      <c r="E1044" s="61"/>
      <c r="F1044" s="61"/>
      <c r="G1044" s="61"/>
      <c r="H1044" s="61"/>
      <c r="I1044" s="61"/>
      <c r="J1044" s="61"/>
      <c r="K1044" s="61"/>
      <c r="L1044" s="61"/>
      <c r="M1044" s="61"/>
      <c r="N1044" s="61"/>
      <c r="O1044" s="63"/>
      <c r="P1044" s="61"/>
      <c r="Q1044" s="61"/>
      <c r="R1044" s="61"/>
      <c r="S1044" s="61"/>
      <c r="T1044" s="61"/>
      <c r="U1044" s="61"/>
      <c r="V1044" s="64"/>
      <c r="W1044" s="61"/>
      <c r="X1044" s="61"/>
      <c r="Y1044" s="61"/>
      <c r="Z1044" s="61"/>
      <c r="AA1044" s="61"/>
      <c r="AB1044" s="61"/>
      <c r="AC1044" s="61"/>
      <c r="AD1044" s="61"/>
      <c r="AE1044" s="61"/>
      <c r="AF1044" s="61"/>
      <c r="AG1044" s="61"/>
      <c r="AH1044" s="61"/>
    </row>
    <row r="1045">
      <c r="A1045" s="65"/>
      <c r="B1045" s="65"/>
      <c r="C1045" s="65"/>
      <c r="D1045" s="66"/>
      <c r="E1045" s="65"/>
      <c r="F1045" s="65"/>
      <c r="G1045" s="65"/>
      <c r="H1045" s="65"/>
      <c r="I1045" s="65"/>
      <c r="J1045" s="65"/>
      <c r="K1045" s="65"/>
      <c r="L1045" s="65"/>
      <c r="M1045" s="65"/>
      <c r="N1045" s="65"/>
      <c r="O1045" s="67"/>
      <c r="P1045" s="65"/>
      <c r="Q1045" s="65"/>
      <c r="R1045" s="65"/>
      <c r="S1045" s="65"/>
      <c r="T1045" s="65"/>
      <c r="U1045" s="65"/>
      <c r="V1045" s="68"/>
      <c r="W1045" s="65"/>
      <c r="X1045" s="65"/>
      <c r="Y1045" s="65"/>
      <c r="Z1045" s="65"/>
      <c r="AA1045" s="65"/>
      <c r="AB1045" s="65"/>
      <c r="AC1045" s="65"/>
      <c r="AD1045" s="65"/>
      <c r="AE1045" s="65"/>
      <c r="AF1045" s="65"/>
      <c r="AG1045" s="65"/>
      <c r="AH1045" s="65"/>
    </row>
    <row r="1046">
      <c r="A1046" s="61"/>
      <c r="B1046" s="61"/>
      <c r="C1046" s="61"/>
      <c r="D1046" s="62"/>
      <c r="E1046" s="61"/>
      <c r="F1046" s="61"/>
      <c r="G1046" s="61"/>
      <c r="H1046" s="61"/>
      <c r="I1046" s="61"/>
      <c r="J1046" s="61"/>
      <c r="K1046" s="61"/>
      <c r="L1046" s="61"/>
      <c r="M1046" s="61"/>
      <c r="N1046" s="61"/>
      <c r="O1046" s="63"/>
      <c r="P1046" s="61"/>
      <c r="Q1046" s="61"/>
      <c r="R1046" s="61"/>
      <c r="S1046" s="61"/>
      <c r="T1046" s="61"/>
      <c r="U1046" s="61"/>
      <c r="V1046" s="64"/>
      <c r="W1046" s="61"/>
      <c r="X1046" s="61"/>
      <c r="Y1046" s="61"/>
      <c r="Z1046" s="61"/>
      <c r="AA1046" s="61"/>
      <c r="AB1046" s="61"/>
      <c r="AC1046" s="61"/>
      <c r="AD1046" s="61"/>
      <c r="AE1046" s="61"/>
      <c r="AF1046" s="61"/>
      <c r="AG1046" s="61"/>
      <c r="AH1046" s="61"/>
    </row>
    <row r="1047">
      <c r="A1047" s="65"/>
      <c r="B1047" s="65"/>
      <c r="C1047" s="65"/>
      <c r="D1047" s="66"/>
      <c r="E1047" s="65"/>
      <c r="F1047" s="65"/>
      <c r="G1047" s="65"/>
      <c r="H1047" s="65"/>
      <c r="I1047" s="65"/>
      <c r="J1047" s="65"/>
      <c r="K1047" s="65"/>
      <c r="L1047" s="65"/>
      <c r="M1047" s="65"/>
      <c r="N1047" s="65"/>
      <c r="O1047" s="67"/>
      <c r="P1047" s="65"/>
      <c r="Q1047" s="65"/>
      <c r="R1047" s="65"/>
      <c r="S1047" s="65"/>
      <c r="T1047" s="65"/>
      <c r="U1047" s="65"/>
      <c r="V1047" s="68"/>
      <c r="W1047" s="65"/>
      <c r="X1047" s="65"/>
      <c r="Y1047" s="65"/>
      <c r="Z1047" s="65"/>
      <c r="AA1047" s="65"/>
      <c r="AB1047" s="65"/>
      <c r="AC1047" s="65"/>
      <c r="AD1047" s="65"/>
      <c r="AE1047" s="65"/>
      <c r="AF1047" s="65"/>
      <c r="AG1047" s="65"/>
      <c r="AH1047" s="65"/>
    </row>
    <row r="1048">
      <c r="A1048" s="61"/>
      <c r="B1048" s="61"/>
      <c r="C1048" s="61"/>
      <c r="D1048" s="62"/>
      <c r="E1048" s="61"/>
      <c r="F1048" s="61"/>
      <c r="G1048" s="61"/>
      <c r="H1048" s="61"/>
      <c r="I1048" s="61"/>
      <c r="J1048" s="61"/>
      <c r="K1048" s="61"/>
      <c r="L1048" s="61"/>
      <c r="M1048" s="61"/>
      <c r="N1048" s="61"/>
      <c r="O1048" s="63"/>
      <c r="P1048" s="61"/>
      <c r="Q1048" s="61"/>
      <c r="R1048" s="61"/>
      <c r="S1048" s="61"/>
      <c r="T1048" s="61"/>
      <c r="U1048" s="61"/>
      <c r="V1048" s="64"/>
      <c r="W1048" s="61"/>
      <c r="X1048" s="61"/>
      <c r="Y1048" s="61"/>
      <c r="Z1048" s="61"/>
      <c r="AA1048" s="61"/>
      <c r="AB1048" s="61"/>
      <c r="AC1048" s="61"/>
      <c r="AD1048" s="61"/>
      <c r="AE1048" s="61"/>
      <c r="AF1048" s="61"/>
      <c r="AG1048" s="61"/>
      <c r="AH1048" s="61"/>
    </row>
    <row r="1049">
      <c r="A1049" s="65"/>
      <c r="B1049" s="65"/>
      <c r="C1049" s="65"/>
      <c r="D1049" s="66"/>
      <c r="E1049" s="65"/>
      <c r="F1049" s="65"/>
      <c r="G1049" s="65"/>
      <c r="H1049" s="65"/>
      <c r="I1049" s="65"/>
      <c r="J1049" s="65"/>
      <c r="K1049" s="65"/>
      <c r="L1049" s="65"/>
      <c r="M1049" s="65"/>
      <c r="N1049" s="65"/>
      <c r="O1049" s="67"/>
      <c r="P1049" s="65"/>
      <c r="Q1049" s="65"/>
      <c r="R1049" s="65"/>
      <c r="S1049" s="65"/>
      <c r="T1049" s="65"/>
      <c r="U1049" s="65"/>
      <c r="V1049" s="68"/>
      <c r="W1049" s="65"/>
      <c r="X1049" s="65"/>
      <c r="Y1049" s="65"/>
      <c r="Z1049" s="65"/>
      <c r="AA1049" s="65"/>
      <c r="AB1049" s="65"/>
      <c r="AC1049" s="65"/>
      <c r="AD1049" s="65"/>
      <c r="AE1049" s="65"/>
      <c r="AF1049" s="65"/>
      <c r="AG1049" s="65"/>
      <c r="AH1049" s="65"/>
    </row>
    <row r="1050">
      <c r="A1050" s="61"/>
      <c r="B1050" s="61"/>
      <c r="C1050" s="61"/>
      <c r="D1050" s="62"/>
      <c r="E1050" s="61"/>
      <c r="F1050" s="61"/>
      <c r="G1050" s="61"/>
      <c r="H1050" s="61"/>
      <c r="I1050" s="61"/>
      <c r="J1050" s="61"/>
      <c r="K1050" s="61"/>
      <c r="L1050" s="61"/>
      <c r="M1050" s="61"/>
      <c r="N1050" s="61"/>
      <c r="O1050" s="63"/>
      <c r="P1050" s="61"/>
      <c r="Q1050" s="61"/>
      <c r="R1050" s="61"/>
      <c r="S1050" s="61"/>
      <c r="T1050" s="61"/>
      <c r="U1050" s="61"/>
      <c r="V1050" s="64"/>
      <c r="W1050" s="61"/>
      <c r="X1050" s="61"/>
      <c r="Y1050" s="61"/>
      <c r="Z1050" s="61"/>
      <c r="AA1050" s="61"/>
      <c r="AB1050" s="61"/>
      <c r="AC1050" s="61"/>
      <c r="AD1050" s="61"/>
      <c r="AE1050" s="61"/>
      <c r="AF1050" s="61"/>
      <c r="AG1050" s="61"/>
      <c r="AH1050" s="61"/>
    </row>
    <row r="1051">
      <c r="A1051" s="65"/>
      <c r="B1051" s="65"/>
      <c r="C1051" s="65"/>
      <c r="D1051" s="66"/>
      <c r="E1051" s="65"/>
      <c r="F1051" s="65"/>
      <c r="G1051" s="65"/>
      <c r="H1051" s="65"/>
      <c r="I1051" s="65"/>
      <c r="J1051" s="65"/>
      <c r="K1051" s="65"/>
      <c r="L1051" s="65"/>
      <c r="M1051" s="65"/>
      <c r="N1051" s="65"/>
      <c r="O1051" s="67"/>
      <c r="P1051" s="65"/>
      <c r="Q1051" s="65"/>
      <c r="R1051" s="65"/>
      <c r="S1051" s="65"/>
      <c r="T1051" s="65"/>
      <c r="U1051" s="65"/>
      <c r="V1051" s="68"/>
      <c r="W1051" s="65"/>
      <c r="X1051" s="65"/>
      <c r="Y1051" s="65"/>
      <c r="Z1051" s="65"/>
      <c r="AA1051" s="65"/>
      <c r="AB1051" s="65"/>
      <c r="AC1051" s="65"/>
      <c r="AD1051" s="65"/>
      <c r="AE1051" s="65"/>
      <c r="AF1051" s="65"/>
      <c r="AG1051" s="65"/>
      <c r="AH1051" s="65"/>
    </row>
    <row r="1052">
      <c r="A1052" s="61"/>
      <c r="B1052" s="61"/>
      <c r="C1052" s="61"/>
      <c r="D1052" s="62"/>
      <c r="E1052" s="61"/>
      <c r="F1052" s="61"/>
      <c r="G1052" s="61"/>
      <c r="H1052" s="61"/>
      <c r="I1052" s="61"/>
      <c r="J1052" s="61"/>
      <c r="K1052" s="61"/>
      <c r="L1052" s="61"/>
      <c r="M1052" s="61"/>
      <c r="N1052" s="61"/>
      <c r="O1052" s="63"/>
      <c r="P1052" s="61"/>
      <c r="Q1052" s="61"/>
      <c r="R1052" s="61"/>
      <c r="S1052" s="61"/>
      <c r="T1052" s="61"/>
      <c r="U1052" s="61"/>
      <c r="V1052" s="64"/>
      <c r="W1052" s="61"/>
      <c r="X1052" s="61"/>
      <c r="Y1052" s="61"/>
      <c r="Z1052" s="61"/>
      <c r="AA1052" s="61"/>
      <c r="AB1052" s="61"/>
      <c r="AC1052" s="61"/>
      <c r="AD1052" s="61"/>
      <c r="AE1052" s="61"/>
      <c r="AF1052" s="61"/>
      <c r="AG1052" s="61"/>
      <c r="AH1052" s="61"/>
    </row>
    <row r="1053">
      <c r="A1053" s="65"/>
      <c r="B1053" s="65"/>
      <c r="C1053" s="65"/>
      <c r="D1053" s="66"/>
      <c r="E1053" s="65"/>
      <c r="F1053" s="65"/>
      <c r="G1053" s="65"/>
      <c r="H1053" s="65"/>
      <c r="I1053" s="65"/>
      <c r="J1053" s="65"/>
      <c r="K1053" s="65"/>
      <c r="L1053" s="65"/>
      <c r="M1053" s="65"/>
      <c r="N1053" s="65"/>
      <c r="O1053" s="67"/>
      <c r="P1053" s="65"/>
      <c r="Q1053" s="65"/>
      <c r="R1053" s="65"/>
      <c r="S1053" s="65"/>
      <c r="T1053" s="65"/>
      <c r="U1053" s="65"/>
      <c r="V1053" s="68"/>
      <c r="W1053" s="65"/>
      <c r="X1053" s="65"/>
      <c r="Y1053" s="65"/>
      <c r="Z1053" s="65"/>
      <c r="AA1053" s="65"/>
      <c r="AB1053" s="65"/>
      <c r="AC1053" s="65"/>
      <c r="AD1053" s="65"/>
      <c r="AE1053" s="65"/>
      <c r="AF1053" s="65"/>
      <c r="AG1053" s="65"/>
      <c r="AH1053" s="65"/>
    </row>
    <row r="1054">
      <c r="A1054" s="61"/>
      <c r="B1054" s="61"/>
      <c r="C1054" s="61"/>
      <c r="D1054" s="62"/>
      <c r="E1054" s="61"/>
      <c r="F1054" s="61"/>
      <c r="G1054" s="61"/>
      <c r="H1054" s="61"/>
      <c r="I1054" s="61"/>
      <c r="J1054" s="61"/>
      <c r="K1054" s="61"/>
      <c r="L1054" s="61"/>
      <c r="M1054" s="61"/>
      <c r="N1054" s="61"/>
      <c r="O1054" s="63"/>
      <c r="P1054" s="61"/>
      <c r="Q1054" s="61"/>
      <c r="R1054" s="61"/>
      <c r="S1054" s="61"/>
      <c r="T1054" s="61"/>
      <c r="U1054" s="61"/>
      <c r="V1054" s="64"/>
      <c r="W1054" s="61"/>
      <c r="X1054" s="61"/>
      <c r="Y1054" s="61"/>
      <c r="Z1054" s="61"/>
      <c r="AA1054" s="61"/>
      <c r="AB1054" s="61"/>
      <c r="AC1054" s="61"/>
      <c r="AD1054" s="61"/>
      <c r="AE1054" s="61"/>
      <c r="AF1054" s="61"/>
      <c r="AG1054" s="61"/>
      <c r="AH1054" s="61"/>
    </row>
    <row r="1055">
      <c r="A1055" s="65"/>
      <c r="B1055" s="65"/>
      <c r="C1055" s="65"/>
      <c r="D1055" s="66"/>
      <c r="E1055" s="65"/>
      <c r="F1055" s="65"/>
      <c r="G1055" s="65"/>
      <c r="H1055" s="65"/>
      <c r="I1055" s="65"/>
      <c r="J1055" s="65"/>
      <c r="K1055" s="65"/>
      <c r="L1055" s="65"/>
      <c r="M1055" s="65"/>
      <c r="N1055" s="65"/>
      <c r="O1055" s="67"/>
      <c r="P1055" s="65"/>
      <c r="Q1055" s="65"/>
      <c r="R1055" s="65"/>
      <c r="S1055" s="65"/>
      <c r="T1055" s="65"/>
      <c r="U1055" s="65"/>
      <c r="V1055" s="68"/>
      <c r="W1055" s="65"/>
      <c r="X1055" s="65"/>
      <c r="Y1055" s="65"/>
      <c r="Z1055" s="65"/>
      <c r="AA1055" s="65"/>
      <c r="AB1055" s="65"/>
      <c r="AC1055" s="65"/>
      <c r="AD1055" s="65"/>
      <c r="AE1055" s="65"/>
      <c r="AF1055" s="65"/>
      <c r="AG1055" s="65"/>
      <c r="AH1055" s="65"/>
    </row>
    <row r="1056">
      <c r="A1056" s="61"/>
      <c r="B1056" s="61"/>
      <c r="C1056" s="61"/>
      <c r="D1056" s="62"/>
      <c r="E1056" s="61"/>
      <c r="F1056" s="61"/>
      <c r="G1056" s="61"/>
      <c r="H1056" s="61"/>
      <c r="I1056" s="61"/>
      <c r="J1056" s="61"/>
      <c r="K1056" s="61"/>
      <c r="L1056" s="61"/>
      <c r="M1056" s="61"/>
      <c r="N1056" s="61"/>
      <c r="O1056" s="63"/>
      <c r="P1056" s="61"/>
      <c r="Q1056" s="61"/>
      <c r="R1056" s="61"/>
      <c r="S1056" s="61"/>
      <c r="T1056" s="61"/>
      <c r="U1056" s="61"/>
      <c r="V1056" s="64"/>
      <c r="W1056" s="61"/>
      <c r="X1056" s="61"/>
      <c r="Y1056" s="61"/>
      <c r="Z1056" s="61"/>
      <c r="AA1056" s="61"/>
      <c r="AB1056" s="61"/>
      <c r="AC1056" s="61"/>
      <c r="AD1056" s="61"/>
      <c r="AE1056" s="61"/>
      <c r="AF1056" s="61"/>
      <c r="AG1056" s="61"/>
      <c r="AH1056" s="61"/>
    </row>
    <row r="1057">
      <c r="A1057" s="65"/>
      <c r="B1057" s="65"/>
      <c r="C1057" s="65"/>
      <c r="D1057" s="66"/>
      <c r="E1057" s="65"/>
      <c r="F1057" s="65"/>
      <c r="G1057" s="65"/>
      <c r="H1057" s="65"/>
      <c r="I1057" s="65"/>
      <c r="J1057" s="65"/>
      <c r="K1057" s="65"/>
      <c r="L1057" s="65"/>
      <c r="M1057" s="65"/>
      <c r="N1057" s="65"/>
      <c r="O1057" s="67"/>
      <c r="P1057" s="65"/>
      <c r="Q1057" s="65"/>
      <c r="R1057" s="65"/>
      <c r="S1057" s="65"/>
      <c r="T1057" s="65"/>
      <c r="U1057" s="65"/>
      <c r="V1057" s="68"/>
      <c r="W1057" s="65"/>
      <c r="X1057" s="65"/>
      <c r="Y1057" s="65"/>
      <c r="Z1057" s="65"/>
      <c r="AA1057" s="65"/>
      <c r="AB1057" s="65"/>
      <c r="AC1057" s="65"/>
      <c r="AD1057" s="65"/>
      <c r="AE1057" s="65"/>
      <c r="AF1057" s="65"/>
      <c r="AG1057" s="65"/>
      <c r="AH1057" s="65"/>
    </row>
    <row r="1058">
      <c r="A1058" s="61"/>
      <c r="B1058" s="61"/>
      <c r="C1058" s="61"/>
      <c r="D1058" s="62"/>
      <c r="E1058" s="61"/>
      <c r="F1058" s="61"/>
      <c r="G1058" s="61"/>
      <c r="H1058" s="61"/>
      <c r="I1058" s="61"/>
      <c r="J1058" s="61"/>
      <c r="K1058" s="61"/>
      <c r="L1058" s="61"/>
      <c r="M1058" s="61"/>
      <c r="N1058" s="61"/>
      <c r="O1058" s="63"/>
      <c r="P1058" s="61"/>
      <c r="Q1058" s="61"/>
      <c r="R1058" s="61"/>
      <c r="S1058" s="61"/>
      <c r="T1058" s="61"/>
      <c r="U1058" s="61"/>
      <c r="V1058" s="64"/>
      <c r="W1058" s="61"/>
      <c r="X1058" s="61"/>
      <c r="Y1058" s="61"/>
      <c r="Z1058" s="61"/>
      <c r="AA1058" s="61"/>
      <c r="AB1058" s="61"/>
      <c r="AC1058" s="61"/>
      <c r="AD1058" s="61"/>
      <c r="AE1058" s="61"/>
      <c r="AF1058" s="61"/>
      <c r="AG1058" s="61"/>
      <c r="AH1058" s="61"/>
    </row>
    <row r="1059">
      <c r="A1059" s="65"/>
      <c r="B1059" s="65"/>
      <c r="C1059" s="65"/>
      <c r="D1059" s="66"/>
      <c r="E1059" s="65"/>
      <c r="F1059" s="65"/>
      <c r="G1059" s="65"/>
      <c r="H1059" s="65"/>
      <c r="I1059" s="65"/>
      <c r="J1059" s="65"/>
      <c r="K1059" s="65"/>
      <c r="L1059" s="65"/>
      <c r="M1059" s="65"/>
      <c r="N1059" s="65"/>
      <c r="O1059" s="67"/>
      <c r="P1059" s="65"/>
      <c r="Q1059" s="65"/>
      <c r="R1059" s="65"/>
      <c r="S1059" s="65"/>
      <c r="T1059" s="65"/>
      <c r="U1059" s="65"/>
      <c r="V1059" s="68"/>
      <c r="W1059" s="65"/>
      <c r="X1059" s="65"/>
      <c r="Y1059" s="65"/>
      <c r="Z1059" s="65"/>
      <c r="AA1059" s="65"/>
      <c r="AB1059" s="65"/>
      <c r="AC1059" s="65"/>
      <c r="AD1059" s="65"/>
      <c r="AE1059" s="65"/>
      <c r="AF1059" s="65"/>
      <c r="AG1059" s="65"/>
      <c r="AH1059" s="65"/>
    </row>
    <row r="1060">
      <c r="A1060" s="61"/>
      <c r="B1060" s="61"/>
      <c r="C1060" s="61"/>
      <c r="D1060" s="62"/>
      <c r="E1060" s="61"/>
      <c r="F1060" s="61"/>
      <c r="G1060" s="61"/>
      <c r="H1060" s="61"/>
      <c r="I1060" s="61"/>
      <c r="J1060" s="61"/>
      <c r="K1060" s="61"/>
      <c r="L1060" s="61"/>
      <c r="M1060" s="61"/>
      <c r="N1060" s="61"/>
      <c r="O1060" s="63"/>
      <c r="P1060" s="61"/>
      <c r="Q1060" s="61"/>
      <c r="R1060" s="61"/>
      <c r="S1060" s="61"/>
      <c r="T1060" s="61"/>
      <c r="U1060" s="61"/>
      <c r="V1060" s="64"/>
      <c r="W1060" s="61"/>
      <c r="X1060" s="61"/>
      <c r="Y1060" s="61"/>
      <c r="Z1060" s="61"/>
      <c r="AA1060" s="61"/>
      <c r="AB1060" s="61"/>
      <c r="AC1060" s="61"/>
      <c r="AD1060" s="61"/>
      <c r="AE1060" s="61"/>
      <c r="AF1060" s="61"/>
      <c r="AG1060" s="61"/>
      <c r="AH1060" s="61"/>
    </row>
    <row r="1061">
      <c r="A1061" s="65"/>
      <c r="B1061" s="65"/>
      <c r="C1061" s="65"/>
      <c r="D1061" s="66"/>
      <c r="E1061" s="65"/>
      <c r="F1061" s="65"/>
      <c r="G1061" s="65"/>
      <c r="H1061" s="65"/>
      <c r="I1061" s="65"/>
      <c r="J1061" s="65"/>
      <c r="K1061" s="65"/>
      <c r="L1061" s="65"/>
      <c r="M1061" s="65"/>
      <c r="N1061" s="65"/>
      <c r="O1061" s="67"/>
      <c r="P1061" s="65"/>
      <c r="Q1061" s="65"/>
      <c r="R1061" s="65"/>
      <c r="S1061" s="65"/>
      <c r="T1061" s="65"/>
      <c r="U1061" s="65"/>
      <c r="V1061" s="68"/>
      <c r="W1061" s="65"/>
      <c r="X1061" s="65"/>
      <c r="Y1061" s="65"/>
      <c r="Z1061" s="65"/>
      <c r="AA1061" s="65"/>
      <c r="AB1061" s="65"/>
      <c r="AC1061" s="65"/>
      <c r="AD1061" s="65"/>
      <c r="AE1061" s="65"/>
      <c r="AF1061" s="65"/>
      <c r="AG1061" s="65"/>
      <c r="AH1061" s="65"/>
    </row>
    <row r="1062">
      <c r="A1062" s="61"/>
      <c r="B1062" s="61"/>
      <c r="C1062" s="61"/>
      <c r="D1062" s="62"/>
      <c r="E1062" s="61"/>
      <c r="F1062" s="61"/>
      <c r="G1062" s="61"/>
      <c r="H1062" s="61"/>
      <c r="I1062" s="61"/>
      <c r="J1062" s="61"/>
      <c r="K1062" s="61"/>
      <c r="L1062" s="61"/>
      <c r="M1062" s="61"/>
      <c r="N1062" s="61"/>
      <c r="O1062" s="63"/>
      <c r="P1062" s="61"/>
      <c r="Q1062" s="61"/>
      <c r="R1062" s="61"/>
      <c r="S1062" s="61"/>
      <c r="T1062" s="61"/>
      <c r="U1062" s="61"/>
      <c r="V1062" s="64"/>
      <c r="W1062" s="61"/>
      <c r="X1062" s="61"/>
      <c r="Y1062" s="61"/>
      <c r="Z1062" s="61"/>
      <c r="AA1062" s="61"/>
      <c r="AB1062" s="61"/>
      <c r="AC1062" s="61"/>
      <c r="AD1062" s="61"/>
      <c r="AE1062" s="61"/>
      <c r="AF1062" s="61"/>
      <c r="AG1062" s="61"/>
      <c r="AH1062" s="61"/>
    </row>
    <row r="1063">
      <c r="A1063" s="65"/>
      <c r="B1063" s="65"/>
      <c r="C1063" s="65"/>
      <c r="D1063" s="66"/>
      <c r="E1063" s="65"/>
      <c r="F1063" s="65"/>
      <c r="G1063" s="65"/>
      <c r="H1063" s="65"/>
      <c r="I1063" s="65"/>
      <c r="J1063" s="65"/>
      <c r="K1063" s="65"/>
      <c r="L1063" s="65"/>
      <c r="M1063" s="65"/>
      <c r="N1063" s="65"/>
      <c r="O1063" s="67"/>
      <c r="P1063" s="65"/>
      <c r="Q1063" s="65"/>
      <c r="R1063" s="65"/>
      <c r="S1063" s="65"/>
      <c r="T1063" s="65"/>
      <c r="U1063" s="65"/>
      <c r="V1063" s="68"/>
      <c r="W1063" s="65"/>
      <c r="X1063" s="65"/>
      <c r="Y1063" s="65"/>
      <c r="Z1063" s="65"/>
      <c r="AA1063" s="65"/>
      <c r="AB1063" s="65"/>
      <c r="AC1063" s="65"/>
      <c r="AD1063" s="65"/>
      <c r="AE1063" s="65"/>
      <c r="AF1063" s="65"/>
      <c r="AG1063" s="65"/>
      <c r="AH1063" s="65"/>
    </row>
    <row r="1064">
      <c r="A1064" s="61"/>
      <c r="B1064" s="61"/>
      <c r="C1064" s="61"/>
      <c r="D1064" s="62"/>
      <c r="E1064" s="61"/>
      <c r="F1064" s="61"/>
      <c r="G1064" s="61"/>
      <c r="H1064" s="61"/>
      <c r="I1064" s="61"/>
      <c r="J1064" s="61"/>
      <c r="K1064" s="61"/>
      <c r="L1064" s="61"/>
      <c r="M1064" s="61"/>
      <c r="N1064" s="61"/>
      <c r="O1064" s="63"/>
      <c r="P1064" s="61"/>
      <c r="Q1064" s="61"/>
      <c r="R1064" s="61"/>
      <c r="S1064" s="61"/>
      <c r="T1064" s="61"/>
      <c r="U1064" s="61"/>
      <c r="V1064" s="64"/>
      <c r="W1064" s="61"/>
      <c r="X1064" s="61"/>
      <c r="Y1064" s="61"/>
      <c r="Z1064" s="61"/>
      <c r="AA1064" s="61"/>
      <c r="AB1064" s="61"/>
      <c r="AC1064" s="61"/>
      <c r="AD1064" s="61"/>
      <c r="AE1064" s="61"/>
      <c r="AF1064" s="61"/>
      <c r="AG1064" s="61"/>
      <c r="AH1064" s="61"/>
    </row>
    <row r="1065">
      <c r="A1065" s="65"/>
      <c r="B1065" s="65"/>
      <c r="C1065" s="65"/>
      <c r="D1065" s="66"/>
      <c r="E1065" s="65"/>
      <c r="F1065" s="65"/>
      <c r="G1065" s="65"/>
      <c r="H1065" s="65"/>
      <c r="I1065" s="65"/>
      <c r="J1065" s="65"/>
      <c r="K1065" s="65"/>
      <c r="L1065" s="65"/>
      <c r="M1065" s="65"/>
      <c r="N1065" s="65"/>
      <c r="O1065" s="67"/>
      <c r="P1065" s="65"/>
      <c r="Q1065" s="65"/>
      <c r="R1065" s="65"/>
      <c r="S1065" s="65"/>
      <c r="T1065" s="65"/>
      <c r="U1065" s="65"/>
      <c r="V1065" s="68"/>
      <c r="W1065" s="65"/>
      <c r="X1065" s="65"/>
      <c r="Y1065" s="65"/>
      <c r="Z1065" s="65"/>
      <c r="AA1065" s="65"/>
      <c r="AB1065" s="65"/>
      <c r="AC1065" s="65"/>
      <c r="AD1065" s="65"/>
      <c r="AE1065" s="65"/>
      <c r="AF1065" s="65"/>
      <c r="AG1065" s="65"/>
      <c r="AH1065" s="65"/>
    </row>
    <row r="1066">
      <c r="A1066" s="61"/>
      <c r="B1066" s="61"/>
      <c r="C1066" s="61"/>
      <c r="D1066" s="62"/>
      <c r="E1066" s="61"/>
      <c r="F1066" s="61"/>
      <c r="G1066" s="61"/>
      <c r="H1066" s="61"/>
      <c r="I1066" s="61"/>
      <c r="J1066" s="61"/>
      <c r="K1066" s="61"/>
      <c r="L1066" s="61"/>
      <c r="M1066" s="61"/>
      <c r="N1066" s="61"/>
      <c r="O1066" s="63"/>
      <c r="P1066" s="61"/>
      <c r="Q1066" s="61"/>
      <c r="R1066" s="61"/>
      <c r="S1066" s="61"/>
      <c r="T1066" s="61"/>
      <c r="U1066" s="61"/>
      <c r="V1066" s="64"/>
      <c r="W1066" s="61"/>
      <c r="X1066" s="61"/>
      <c r="Y1066" s="61"/>
      <c r="Z1066" s="61"/>
      <c r="AA1066" s="61"/>
      <c r="AB1066" s="61"/>
      <c r="AC1066" s="61"/>
      <c r="AD1066" s="61"/>
      <c r="AE1066" s="61"/>
      <c r="AF1066" s="61"/>
      <c r="AG1066" s="61"/>
      <c r="AH1066" s="61"/>
    </row>
    <row r="1067">
      <c r="A1067" s="65"/>
      <c r="B1067" s="65"/>
      <c r="C1067" s="65"/>
      <c r="D1067" s="66"/>
      <c r="E1067" s="65"/>
      <c r="F1067" s="65"/>
      <c r="G1067" s="65"/>
      <c r="H1067" s="65"/>
      <c r="I1067" s="65"/>
      <c r="J1067" s="65"/>
      <c r="K1067" s="65"/>
      <c r="L1067" s="65"/>
      <c r="M1067" s="65"/>
      <c r="N1067" s="65"/>
      <c r="O1067" s="67"/>
      <c r="P1067" s="65"/>
      <c r="Q1067" s="65"/>
      <c r="R1067" s="65"/>
      <c r="S1067" s="65"/>
      <c r="T1067" s="65"/>
      <c r="U1067" s="65"/>
      <c r="V1067" s="68"/>
      <c r="W1067" s="65"/>
      <c r="X1067" s="65"/>
      <c r="Y1067" s="65"/>
      <c r="Z1067" s="65"/>
      <c r="AA1067" s="65"/>
      <c r="AB1067" s="65"/>
      <c r="AC1067" s="65"/>
      <c r="AD1067" s="65"/>
      <c r="AE1067" s="65"/>
      <c r="AF1067" s="65"/>
      <c r="AG1067" s="65"/>
      <c r="AH1067" s="65"/>
    </row>
    <row r="1068">
      <c r="A1068" s="61"/>
      <c r="B1068" s="61"/>
      <c r="C1068" s="61"/>
      <c r="D1068" s="62"/>
      <c r="E1068" s="61"/>
      <c r="F1068" s="61"/>
      <c r="G1068" s="61"/>
      <c r="H1068" s="61"/>
      <c r="I1068" s="61"/>
      <c r="J1068" s="61"/>
      <c r="K1068" s="61"/>
      <c r="L1068" s="61"/>
      <c r="M1068" s="61"/>
      <c r="N1068" s="61"/>
      <c r="O1068" s="63"/>
      <c r="P1068" s="61"/>
      <c r="Q1068" s="61"/>
      <c r="R1068" s="61"/>
      <c r="S1068" s="61"/>
      <c r="T1068" s="61"/>
      <c r="U1068" s="61"/>
      <c r="V1068" s="64"/>
      <c r="W1068" s="61"/>
      <c r="X1068" s="61"/>
      <c r="Y1068" s="61"/>
      <c r="Z1068" s="61"/>
      <c r="AA1068" s="61"/>
      <c r="AB1068" s="61"/>
      <c r="AC1068" s="61"/>
      <c r="AD1068" s="61"/>
      <c r="AE1068" s="61"/>
      <c r="AF1068" s="61"/>
      <c r="AG1068" s="61"/>
      <c r="AH1068" s="61"/>
    </row>
    <row r="1069">
      <c r="A1069" s="65"/>
      <c r="B1069" s="65"/>
      <c r="C1069" s="65"/>
      <c r="D1069" s="66"/>
      <c r="E1069" s="65"/>
      <c r="F1069" s="65"/>
      <c r="G1069" s="65"/>
      <c r="H1069" s="65"/>
      <c r="I1069" s="65"/>
      <c r="J1069" s="65"/>
      <c r="K1069" s="65"/>
      <c r="L1069" s="65"/>
      <c r="M1069" s="65"/>
      <c r="N1069" s="65"/>
      <c r="O1069" s="67"/>
      <c r="P1069" s="65"/>
      <c r="Q1069" s="65"/>
      <c r="R1069" s="65"/>
      <c r="S1069" s="65"/>
      <c r="T1069" s="65"/>
      <c r="U1069" s="65"/>
      <c r="V1069" s="68"/>
      <c r="W1069" s="65"/>
      <c r="X1069" s="65"/>
      <c r="Y1069" s="65"/>
      <c r="Z1069" s="65"/>
      <c r="AA1069" s="65"/>
      <c r="AB1069" s="65"/>
      <c r="AC1069" s="65"/>
      <c r="AD1069" s="65"/>
      <c r="AE1069" s="65"/>
      <c r="AF1069" s="65"/>
      <c r="AG1069" s="65"/>
      <c r="AH1069" s="65"/>
    </row>
    <row r="1070">
      <c r="A1070" s="61"/>
      <c r="B1070" s="61"/>
      <c r="C1070" s="61"/>
      <c r="D1070" s="62"/>
      <c r="E1070" s="61"/>
      <c r="F1070" s="61"/>
      <c r="G1070" s="61"/>
      <c r="H1070" s="61"/>
      <c r="I1070" s="61"/>
      <c r="J1070" s="61"/>
      <c r="K1070" s="61"/>
      <c r="L1070" s="61"/>
      <c r="M1070" s="61"/>
      <c r="N1070" s="61"/>
      <c r="O1070" s="63"/>
      <c r="P1070" s="61"/>
      <c r="Q1070" s="61"/>
      <c r="R1070" s="61"/>
      <c r="S1070" s="61"/>
      <c r="T1070" s="61"/>
      <c r="U1070" s="61"/>
      <c r="V1070" s="64"/>
      <c r="W1070" s="61"/>
      <c r="X1070" s="61"/>
      <c r="Y1070" s="61"/>
      <c r="Z1070" s="61"/>
      <c r="AA1070" s="61"/>
      <c r="AB1070" s="61"/>
      <c r="AC1070" s="61"/>
      <c r="AD1070" s="61"/>
      <c r="AE1070" s="61"/>
      <c r="AF1070" s="61"/>
      <c r="AG1070" s="61"/>
      <c r="AH1070" s="61"/>
    </row>
    <row r="1071">
      <c r="A1071" s="65"/>
      <c r="B1071" s="65"/>
      <c r="C1071" s="65"/>
      <c r="D1071" s="66"/>
      <c r="E1071" s="65"/>
      <c r="F1071" s="65"/>
      <c r="G1071" s="65"/>
      <c r="H1071" s="65"/>
      <c r="I1071" s="65"/>
      <c r="J1071" s="65"/>
      <c r="K1071" s="65"/>
      <c r="L1071" s="65"/>
      <c r="M1071" s="65"/>
      <c r="N1071" s="65"/>
      <c r="O1071" s="67"/>
      <c r="P1071" s="65"/>
      <c r="Q1071" s="65"/>
      <c r="R1071" s="65"/>
      <c r="S1071" s="65"/>
      <c r="T1071" s="65"/>
      <c r="U1071" s="65"/>
      <c r="V1071" s="68"/>
      <c r="W1071" s="65"/>
      <c r="X1071" s="65"/>
      <c r="Y1071" s="65"/>
      <c r="Z1071" s="65"/>
      <c r="AA1071" s="65"/>
      <c r="AB1071" s="65"/>
      <c r="AC1071" s="65"/>
      <c r="AD1071" s="65"/>
      <c r="AE1071" s="65"/>
      <c r="AF1071" s="65"/>
      <c r="AG1071" s="65"/>
      <c r="AH1071" s="65"/>
    </row>
    <row r="1072">
      <c r="A1072" s="61"/>
      <c r="B1072" s="61"/>
      <c r="C1072" s="61"/>
      <c r="D1072" s="62"/>
      <c r="E1072" s="61"/>
      <c r="F1072" s="61"/>
      <c r="G1072" s="61"/>
      <c r="H1072" s="61"/>
      <c r="I1072" s="61"/>
      <c r="J1072" s="61"/>
      <c r="K1072" s="61"/>
      <c r="L1072" s="61"/>
      <c r="M1072" s="61"/>
      <c r="N1072" s="61"/>
      <c r="O1072" s="63"/>
      <c r="P1072" s="61"/>
      <c r="Q1072" s="61"/>
      <c r="R1072" s="61"/>
      <c r="S1072" s="61"/>
      <c r="T1072" s="61"/>
      <c r="U1072" s="61"/>
      <c r="V1072" s="64"/>
      <c r="W1072" s="61"/>
      <c r="X1072" s="61"/>
      <c r="Y1072" s="61"/>
      <c r="Z1072" s="61"/>
      <c r="AA1072" s="61"/>
      <c r="AB1072" s="61"/>
      <c r="AC1072" s="61"/>
      <c r="AD1072" s="61"/>
      <c r="AE1072" s="61"/>
      <c r="AF1072" s="61"/>
      <c r="AG1072" s="61"/>
      <c r="AH1072" s="61"/>
    </row>
    <row r="1073">
      <c r="A1073" s="65"/>
      <c r="B1073" s="65"/>
      <c r="C1073" s="65"/>
      <c r="D1073" s="66"/>
      <c r="E1073" s="65"/>
      <c r="F1073" s="65"/>
      <c r="G1073" s="65"/>
      <c r="H1073" s="65"/>
      <c r="I1073" s="65"/>
      <c r="J1073" s="65"/>
      <c r="K1073" s="65"/>
      <c r="L1073" s="65"/>
      <c r="M1073" s="65"/>
      <c r="N1073" s="65"/>
      <c r="O1073" s="67"/>
      <c r="P1073" s="65"/>
      <c r="Q1073" s="65"/>
      <c r="R1073" s="65"/>
      <c r="S1073" s="65"/>
      <c r="T1073" s="65"/>
      <c r="U1073" s="65"/>
      <c r="V1073" s="68"/>
      <c r="W1073" s="65"/>
      <c r="X1073" s="65"/>
      <c r="Y1073" s="65"/>
      <c r="Z1073" s="65"/>
      <c r="AA1073" s="65"/>
      <c r="AB1073" s="65"/>
      <c r="AC1073" s="65"/>
      <c r="AD1073" s="65"/>
      <c r="AE1073" s="65"/>
      <c r="AF1073" s="65"/>
      <c r="AG1073" s="65"/>
      <c r="AH1073" s="65"/>
    </row>
    <row r="1074">
      <c r="A1074" s="61"/>
      <c r="B1074" s="61"/>
      <c r="C1074" s="61"/>
      <c r="D1074" s="62"/>
      <c r="E1074" s="61"/>
      <c r="F1074" s="61"/>
      <c r="G1074" s="61"/>
      <c r="H1074" s="61"/>
      <c r="I1074" s="61"/>
      <c r="J1074" s="61"/>
      <c r="K1074" s="61"/>
      <c r="L1074" s="61"/>
      <c r="M1074" s="61"/>
      <c r="N1074" s="61"/>
      <c r="O1074" s="63"/>
      <c r="P1074" s="61"/>
      <c r="Q1074" s="61"/>
      <c r="R1074" s="61"/>
      <c r="S1074" s="61"/>
      <c r="T1074" s="61"/>
      <c r="U1074" s="61"/>
      <c r="V1074" s="64"/>
      <c r="W1074" s="61"/>
      <c r="X1074" s="61"/>
      <c r="Y1074" s="61"/>
      <c r="Z1074" s="61"/>
      <c r="AA1074" s="61"/>
      <c r="AB1074" s="61"/>
      <c r="AC1074" s="61"/>
      <c r="AD1074" s="61"/>
      <c r="AE1074" s="61"/>
      <c r="AF1074" s="61"/>
      <c r="AG1074" s="61"/>
      <c r="AH1074" s="61"/>
    </row>
    <row r="1075">
      <c r="A1075" s="65"/>
      <c r="B1075" s="65"/>
      <c r="C1075" s="65"/>
      <c r="D1075" s="66"/>
      <c r="E1075" s="65"/>
      <c r="F1075" s="65"/>
      <c r="G1075" s="65"/>
      <c r="H1075" s="65"/>
      <c r="I1075" s="65"/>
      <c r="J1075" s="65"/>
      <c r="K1075" s="65"/>
      <c r="L1075" s="65"/>
      <c r="M1075" s="65"/>
      <c r="N1075" s="65"/>
      <c r="O1075" s="67"/>
      <c r="P1075" s="65"/>
      <c r="Q1075" s="65"/>
      <c r="R1075" s="65"/>
      <c r="S1075" s="65"/>
      <c r="T1075" s="65"/>
      <c r="U1075" s="65"/>
      <c r="V1075" s="68"/>
      <c r="W1075" s="65"/>
      <c r="X1075" s="65"/>
      <c r="Y1075" s="65"/>
      <c r="Z1075" s="65"/>
      <c r="AA1075" s="65"/>
      <c r="AB1075" s="65"/>
      <c r="AC1075" s="65"/>
      <c r="AD1075" s="65"/>
      <c r="AE1075" s="65"/>
      <c r="AF1075" s="65"/>
      <c r="AG1075" s="65"/>
      <c r="AH1075" s="65"/>
    </row>
    <row r="1076">
      <c r="A1076" s="61"/>
      <c r="B1076" s="61"/>
      <c r="C1076" s="61"/>
      <c r="D1076" s="62"/>
      <c r="E1076" s="61"/>
      <c r="F1076" s="61"/>
      <c r="G1076" s="61"/>
      <c r="H1076" s="61"/>
      <c r="I1076" s="61"/>
      <c r="J1076" s="61"/>
      <c r="K1076" s="61"/>
      <c r="L1076" s="61"/>
      <c r="M1076" s="61"/>
      <c r="N1076" s="61"/>
      <c r="O1076" s="63"/>
      <c r="P1076" s="61"/>
      <c r="Q1076" s="61"/>
      <c r="R1076" s="61"/>
      <c r="S1076" s="61"/>
      <c r="T1076" s="61"/>
      <c r="U1076" s="61"/>
      <c r="V1076" s="64"/>
      <c r="W1076" s="61"/>
      <c r="X1076" s="61"/>
      <c r="Y1076" s="61"/>
      <c r="Z1076" s="61"/>
      <c r="AA1076" s="61"/>
      <c r="AB1076" s="61"/>
      <c r="AC1076" s="61"/>
      <c r="AD1076" s="61"/>
      <c r="AE1076" s="61"/>
      <c r="AF1076" s="61"/>
      <c r="AG1076" s="61"/>
      <c r="AH1076" s="61"/>
    </row>
    <row r="1077">
      <c r="A1077" s="65"/>
      <c r="B1077" s="65"/>
      <c r="C1077" s="65"/>
      <c r="D1077" s="66"/>
      <c r="E1077" s="65"/>
      <c r="F1077" s="65"/>
      <c r="G1077" s="65"/>
      <c r="H1077" s="65"/>
      <c r="I1077" s="65"/>
      <c r="J1077" s="65"/>
      <c r="K1077" s="65"/>
      <c r="L1077" s="65"/>
      <c r="M1077" s="65"/>
      <c r="N1077" s="65"/>
      <c r="O1077" s="67"/>
      <c r="P1077" s="65"/>
      <c r="Q1077" s="65"/>
      <c r="R1077" s="65"/>
      <c r="S1077" s="65"/>
      <c r="T1077" s="65"/>
      <c r="U1077" s="65"/>
      <c r="V1077" s="68"/>
      <c r="W1077" s="65"/>
      <c r="X1077" s="65"/>
      <c r="Y1077" s="65"/>
      <c r="Z1077" s="65"/>
      <c r="AA1077" s="65"/>
      <c r="AB1077" s="65"/>
      <c r="AC1077" s="65"/>
      <c r="AD1077" s="65"/>
      <c r="AE1077" s="65"/>
      <c r="AF1077" s="65"/>
      <c r="AG1077" s="65"/>
      <c r="AH1077" s="65"/>
    </row>
    <row r="1078">
      <c r="A1078" s="61"/>
      <c r="B1078" s="61"/>
      <c r="C1078" s="61"/>
      <c r="D1078" s="62"/>
      <c r="E1078" s="61"/>
      <c r="F1078" s="61"/>
      <c r="G1078" s="61"/>
      <c r="H1078" s="61"/>
      <c r="I1078" s="61"/>
      <c r="J1078" s="61"/>
      <c r="K1078" s="61"/>
      <c r="L1078" s="61"/>
      <c r="M1078" s="61"/>
      <c r="N1078" s="61"/>
      <c r="O1078" s="63"/>
      <c r="P1078" s="61"/>
      <c r="Q1078" s="61"/>
      <c r="R1078" s="61"/>
      <c r="S1078" s="61"/>
      <c r="T1078" s="61"/>
      <c r="U1078" s="61"/>
      <c r="V1078" s="64"/>
      <c r="W1078" s="61"/>
      <c r="X1078" s="61"/>
      <c r="Y1078" s="61"/>
      <c r="Z1078" s="61"/>
      <c r="AA1078" s="61"/>
      <c r="AB1078" s="61"/>
      <c r="AC1078" s="61"/>
      <c r="AD1078" s="61"/>
      <c r="AE1078" s="61"/>
      <c r="AF1078" s="61"/>
      <c r="AG1078" s="61"/>
      <c r="AH1078" s="61"/>
    </row>
    <row r="1079">
      <c r="A1079" s="65"/>
      <c r="B1079" s="65"/>
      <c r="C1079" s="65"/>
      <c r="D1079" s="66"/>
      <c r="E1079" s="65"/>
      <c r="F1079" s="65"/>
      <c r="G1079" s="65"/>
      <c r="H1079" s="65"/>
      <c r="I1079" s="65"/>
      <c r="J1079" s="65"/>
      <c r="K1079" s="65"/>
      <c r="L1079" s="65"/>
      <c r="M1079" s="65"/>
      <c r="N1079" s="65"/>
      <c r="O1079" s="67"/>
      <c r="P1079" s="65"/>
      <c r="Q1079" s="65"/>
      <c r="R1079" s="65"/>
      <c r="S1079" s="65"/>
      <c r="T1079" s="65"/>
      <c r="U1079" s="65"/>
      <c r="V1079" s="68"/>
      <c r="W1079" s="65"/>
      <c r="X1079" s="65"/>
      <c r="Y1079" s="65"/>
      <c r="Z1079" s="65"/>
      <c r="AA1079" s="65"/>
      <c r="AB1079" s="65"/>
      <c r="AC1079" s="65"/>
      <c r="AD1079" s="65"/>
      <c r="AE1079" s="65"/>
      <c r="AF1079" s="65"/>
      <c r="AG1079" s="65"/>
      <c r="AH1079" s="65"/>
    </row>
    <row r="1080">
      <c r="A1080" s="61"/>
      <c r="B1080" s="61"/>
      <c r="C1080" s="61"/>
      <c r="D1080" s="62"/>
      <c r="E1080" s="61"/>
      <c r="F1080" s="61"/>
      <c r="G1080" s="61"/>
      <c r="H1080" s="61"/>
      <c r="I1080" s="61"/>
      <c r="J1080" s="61"/>
      <c r="K1080" s="61"/>
      <c r="L1080" s="61"/>
      <c r="M1080" s="61"/>
      <c r="N1080" s="61"/>
      <c r="O1080" s="63"/>
      <c r="P1080" s="61"/>
      <c r="Q1080" s="61"/>
      <c r="R1080" s="61"/>
      <c r="S1080" s="61"/>
      <c r="T1080" s="61"/>
      <c r="U1080" s="61"/>
      <c r="V1080" s="64"/>
      <c r="W1080" s="61"/>
      <c r="X1080" s="61"/>
      <c r="Y1080" s="61"/>
      <c r="Z1080" s="61"/>
      <c r="AA1080" s="61"/>
      <c r="AB1080" s="61"/>
      <c r="AC1080" s="61"/>
      <c r="AD1080" s="61"/>
      <c r="AE1080" s="61"/>
      <c r="AF1080" s="61"/>
      <c r="AG1080" s="61"/>
      <c r="AH1080" s="61"/>
    </row>
    <row r="1081">
      <c r="A1081" s="65"/>
      <c r="B1081" s="65"/>
      <c r="C1081" s="65"/>
      <c r="D1081" s="66"/>
      <c r="E1081" s="65"/>
      <c r="F1081" s="65"/>
      <c r="G1081" s="65"/>
      <c r="H1081" s="65"/>
      <c r="I1081" s="65"/>
      <c r="J1081" s="65"/>
      <c r="K1081" s="65"/>
      <c r="L1081" s="65"/>
      <c r="M1081" s="65"/>
      <c r="N1081" s="65"/>
      <c r="O1081" s="67"/>
      <c r="P1081" s="65"/>
      <c r="Q1081" s="65"/>
      <c r="R1081" s="65"/>
      <c r="S1081" s="65"/>
      <c r="T1081" s="65"/>
      <c r="U1081" s="65"/>
      <c r="V1081" s="68"/>
      <c r="W1081" s="65"/>
      <c r="X1081" s="65"/>
      <c r="Y1081" s="65"/>
      <c r="Z1081" s="65"/>
      <c r="AA1081" s="65"/>
      <c r="AB1081" s="65"/>
      <c r="AC1081" s="65"/>
      <c r="AD1081" s="65"/>
      <c r="AE1081" s="65"/>
      <c r="AF1081" s="65"/>
      <c r="AG1081" s="65"/>
      <c r="AH1081" s="65"/>
    </row>
    <row r="1082">
      <c r="A1082" s="61"/>
      <c r="B1082" s="61"/>
      <c r="C1082" s="61"/>
      <c r="D1082" s="62"/>
      <c r="E1082" s="61"/>
      <c r="F1082" s="61"/>
      <c r="G1082" s="61"/>
      <c r="H1082" s="61"/>
      <c r="I1082" s="61"/>
      <c r="J1082" s="61"/>
      <c r="K1082" s="61"/>
      <c r="L1082" s="61"/>
      <c r="M1082" s="61"/>
      <c r="N1082" s="61"/>
      <c r="O1082" s="63"/>
      <c r="P1082" s="61"/>
      <c r="Q1082" s="61"/>
      <c r="R1082" s="61"/>
      <c r="S1082" s="61"/>
      <c r="T1082" s="61"/>
      <c r="U1082" s="61"/>
      <c r="V1082" s="64"/>
      <c r="W1082" s="61"/>
      <c r="X1082" s="61"/>
      <c r="Y1082" s="61"/>
      <c r="Z1082" s="61"/>
      <c r="AA1082" s="61"/>
      <c r="AB1082" s="61"/>
      <c r="AC1082" s="61"/>
      <c r="AD1082" s="61"/>
      <c r="AE1082" s="61"/>
      <c r="AF1082" s="61"/>
      <c r="AG1082" s="61"/>
      <c r="AH1082" s="61"/>
    </row>
    <row r="1083">
      <c r="A1083" s="65"/>
      <c r="B1083" s="65"/>
      <c r="C1083" s="65"/>
      <c r="D1083" s="66"/>
      <c r="E1083" s="65"/>
      <c r="F1083" s="65"/>
      <c r="G1083" s="65"/>
      <c r="H1083" s="65"/>
      <c r="I1083" s="65"/>
      <c r="J1083" s="65"/>
      <c r="K1083" s="65"/>
      <c r="L1083" s="65"/>
      <c r="M1083" s="65"/>
      <c r="N1083" s="65"/>
      <c r="O1083" s="67"/>
      <c r="P1083" s="65"/>
      <c r="Q1083" s="65"/>
      <c r="R1083" s="65"/>
      <c r="S1083" s="65"/>
      <c r="T1083" s="65"/>
      <c r="U1083" s="65"/>
      <c r="V1083" s="68"/>
      <c r="W1083" s="65"/>
      <c r="X1083" s="65"/>
      <c r="Y1083" s="65"/>
      <c r="Z1083" s="65"/>
      <c r="AA1083" s="65"/>
      <c r="AB1083" s="65"/>
      <c r="AC1083" s="65"/>
      <c r="AD1083" s="65"/>
      <c r="AE1083" s="65"/>
      <c r="AF1083" s="65"/>
      <c r="AG1083" s="65"/>
      <c r="AH1083" s="65"/>
    </row>
    <row r="1084">
      <c r="A1084" s="61"/>
      <c r="B1084" s="61"/>
      <c r="C1084" s="61"/>
      <c r="D1084" s="62"/>
      <c r="E1084" s="61"/>
      <c r="F1084" s="61"/>
      <c r="G1084" s="61"/>
      <c r="H1084" s="61"/>
      <c r="I1084" s="61"/>
      <c r="J1084" s="61"/>
      <c r="K1084" s="61"/>
      <c r="L1084" s="61"/>
      <c r="M1084" s="61"/>
      <c r="N1084" s="61"/>
      <c r="O1084" s="63"/>
      <c r="P1084" s="61"/>
      <c r="Q1084" s="61"/>
      <c r="R1084" s="61"/>
      <c r="S1084" s="61"/>
      <c r="T1084" s="61"/>
      <c r="U1084" s="61"/>
      <c r="V1084" s="64"/>
      <c r="W1084" s="61"/>
      <c r="X1084" s="61"/>
      <c r="Y1084" s="61"/>
      <c r="Z1084" s="61"/>
      <c r="AA1084" s="61"/>
      <c r="AB1084" s="61"/>
      <c r="AC1084" s="61"/>
      <c r="AD1084" s="61"/>
      <c r="AE1084" s="61"/>
      <c r="AF1084" s="61"/>
      <c r="AG1084" s="61"/>
      <c r="AH1084" s="61"/>
    </row>
    <row r="1085">
      <c r="A1085" s="65"/>
      <c r="B1085" s="65"/>
      <c r="C1085" s="65"/>
      <c r="D1085" s="66"/>
      <c r="E1085" s="65"/>
      <c r="F1085" s="65"/>
      <c r="G1085" s="65"/>
      <c r="H1085" s="65"/>
      <c r="I1085" s="65"/>
      <c r="J1085" s="65"/>
      <c r="K1085" s="65"/>
      <c r="L1085" s="65"/>
      <c r="M1085" s="65"/>
      <c r="N1085" s="65"/>
      <c r="O1085" s="67"/>
      <c r="P1085" s="65"/>
      <c r="Q1085" s="65"/>
      <c r="R1085" s="65"/>
      <c r="S1085" s="65"/>
      <c r="T1085" s="65"/>
      <c r="U1085" s="65"/>
      <c r="V1085" s="68"/>
      <c r="W1085" s="65"/>
      <c r="X1085" s="65"/>
      <c r="Y1085" s="65"/>
      <c r="Z1085" s="65"/>
      <c r="AA1085" s="65"/>
      <c r="AB1085" s="65"/>
      <c r="AC1085" s="65"/>
      <c r="AD1085" s="65"/>
      <c r="AE1085" s="65"/>
      <c r="AF1085" s="65"/>
      <c r="AG1085" s="65"/>
      <c r="AH1085" s="65"/>
    </row>
    <row r="1086">
      <c r="A1086" s="61"/>
      <c r="B1086" s="61"/>
      <c r="C1086" s="61"/>
      <c r="D1086" s="62"/>
      <c r="E1086" s="61"/>
      <c r="F1086" s="61"/>
      <c r="G1086" s="61"/>
      <c r="H1086" s="61"/>
      <c r="I1086" s="61"/>
      <c r="J1086" s="61"/>
      <c r="K1086" s="61"/>
      <c r="L1086" s="61"/>
      <c r="M1086" s="61"/>
      <c r="N1086" s="61"/>
      <c r="O1086" s="63"/>
      <c r="P1086" s="61"/>
      <c r="Q1086" s="61"/>
      <c r="R1086" s="61"/>
      <c r="S1086" s="61"/>
      <c r="T1086" s="61"/>
      <c r="U1086" s="61"/>
      <c r="V1086" s="64"/>
      <c r="W1086" s="61"/>
      <c r="X1086" s="61"/>
      <c r="Y1086" s="61"/>
      <c r="Z1086" s="61"/>
      <c r="AA1086" s="61"/>
      <c r="AB1086" s="61"/>
      <c r="AC1086" s="61"/>
      <c r="AD1086" s="61"/>
      <c r="AE1086" s="61"/>
      <c r="AF1086" s="61"/>
      <c r="AG1086" s="61"/>
      <c r="AH1086" s="61"/>
    </row>
    <row r="1087">
      <c r="A1087" s="65"/>
      <c r="B1087" s="65"/>
      <c r="C1087" s="65"/>
      <c r="D1087" s="66"/>
      <c r="E1087" s="65"/>
      <c r="F1087" s="65"/>
      <c r="G1087" s="65"/>
      <c r="H1087" s="65"/>
      <c r="I1087" s="65"/>
      <c r="J1087" s="65"/>
      <c r="K1087" s="65"/>
      <c r="L1087" s="65"/>
      <c r="M1087" s="65"/>
      <c r="N1087" s="65"/>
      <c r="O1087" s="67"/>
      <c r="P1087" s="65"/>
      <c r="Q1087" s="65"/>
      <c r="R1087" s="65"/>
      <c r="S1087" s="65"/>
      <c r="T1087" s="65"/>
      <c r="U1087" s="65"/>
      <c r="V1087" s="68"/>
      <c r="W1087" s="65"/>
      <c r="X1087" s="65"/>
      <c r="Y1087" s="65"/>
      <c r="Z1087" s="65"/>
      <c r="AA1087" s="65"/>
      <c r="AB1087" s="65"/>
      <c r="AC1087" s="65"/>
      <c r="AD1087" s="65"/>
      <c r="AE1087" s="65"/>
      <c r="AF1087" s="65"/>
      <c r="AG1087" s="65"/>
      <c r="AH1087" s="65"/>
    </row>
    <row r="1088">
      <c r="A1088" s="61"/>
      <c r="B1088" s="61"/>
      <c r="C1088" s="61"/>
      <c r="D1088" s="62"/>
      <c r="E1088" s="61"/>
      <c r="F1088" s="61"/>
      <c r="G1088" s="61"/>
      <c r="H1088" s="61"/>
      <c r="I1088" s="61"/>
      <c r="J1088" s="61"/>
      <c r="K1088" s="61"/>
      <c r="L1088" s="61"/>
      <c r="M1088" s="61"/>
      <c r="N1088" s="61"/>
      <c r="O1088" s="63"/>
      <c r="P1088" s="61"/>
      <c r="Q1088" s="61"/>
      <c r="R1088" s="61"/>
      <c r="S1088" s="61"/>
      <c r="T1088" s="61"/>
      <c r="U1088" s="61"/>
      <c r="V1088" s="64"/>
      <c r="W1088" s="61"/>
      <c r="X1088" s="61"/>
      <c r="Y1088" s="61"/>
      <c r="Z1088" s="61"/>
      <c r="AA1088" s="61"/>
      <c r="AB1088" s="61"/>
      <c r="AC1088" s="61"/>
      <c r="AD1088" s="61"/>
      <c r="AE1088" s="61"/>
      <c r="AF1088" s="61"/>
      <c r="AG1088" s="61"/>
      <c r="AH1088" s="61"/>
    </row>
    <row r="1089">
      <c r="A1089" s="65"/>
      <c r="B1089" s="65"/>
      <c r="C1089" s="65"/>
      <c r="D1089" s="66"/>
      <c r="E1089" s="65"/>
      <c r="F1089" s="65"/>
      <c r="G1089" s="65"/>
      <c r="H1089" s="65"/>
      <c r="I1089" s="65"/>
      <c r="J1089" s="65"/>
      <c r="K1089" s="65"/>
      <c r="L1089" s="65"/>
      <c r="M1089" s="65"/>
      <c r="N1089" s="65"/>
      <c r="O1089" s="67"/>
      <c r="P1089" s="65"/>
      <c r="Q1089" s="65"/>
      <c r="R1089" s="65"/>
      <c r="S1089" s="65"/>
      <c r="T1089" s="65"/>
      <c r="U1089" s="65"/>
      <c r="V1089" s="68"/>
      <c r="W1089" s="65"/>
      <c r="X1089" s="65"/>
      <c r="Y1089" s="65"/>
      <c r="Z1089" s="65"/>
      <c r="AA1089" s="65"/>
      <c r="AB1089" s="65"/>
      <c r="AC1089" s="65"/>
      <c r="AD1089" s="65"/>
      <c r="AE1089" s="65"/>
      <c r="AF1089" s="65"/>
      <c r="AG1089" s="65"/>
      <c r="AH1089" s="65"/>
    </row>
    <row r="1090">
      <c r="A1090" s="61"/>
      <c r="B1090" s="61"/>
      <c r="C1090" s="61"/>
      <c r="D1090" s="62"/>
      <c r="E1090" s="61"/>
      <c r="F1090" s="61"/>
      <c r="G1090" s="61"/>
      <c r="H1090" s="61"/>
      <c r="I1090" s="61"/>
      <c r="J1090" s="61"/>
      <c r="K1090" s="61"/>
      <c r="L1090" s="61"/>
      <c r="M1090" s="61"/>
      <c r="N1090" s="61"/>
      <c r="O1090" s="63"/>
      <c r="P1090" s="61"/>
      <c r="Q1090" s="61"/>
      <c r="R1090" s="61"/>
      <c r="S1090" s="61"/>
      <c r="T1090" s="61"/>
      <c r="U1090" s="61"/>
      <c r="V1090" s="64"/>
      <c r="W1090" s="61"/>
      <c r="X1090" s="61"/>
      <c r="Y1090" s="61"/>
      <c r="Z1090" s="61"/>
      <c r="AA1090" s="61"/>
      <c r="AB1090" s="61"/>
      <c r="AC1090" s="61"/>
      <c r="AD1090" s="61"/>
      <c r="AE1090" s="61"/>
      <c r="AF1090" s="61"/>
      <c r="AG1090" s="61"/>
      <c r="AH1090" s="61"/>
    </row>
    <row r="1091">
      <c r="A1091" s="65"/>
      <c r="B1091" s="65"/>
      <c r="C1091" s="65"/>
      <c r="D1091" s="66"/>
      <c r="E1091" s="65"/>
      <c r="F1091" s="65"/>
      <c r="G1091" s="65"/>
      <c r="H1091" s="65"/>
      <c r="I1091" s="65"/>
      <c r="J1091" s="65"/>
      <c r="K1091" s="65"/>
      <c r="L1091" s="65"/>
      <c r="M1091" s="65"/>
      <c r="N1091" s="65"/>
      <c r="O1091" s="67"/>
      <c r="P1091" s="65"/>
      <c r="Q1091" s="65"/>
      <c r="R1091" s="65"/>
      <c r="S1091" s="65"/>
      <c r="T1091" s="65"/>
      <c r="U1091" s="65"/>
      <c r="V1091" s="68"/>
      <c r="W1091" s="65"/>
      <c r="X1091" s="65"/>
      <c r="Y1091" s="65"/>
      <c r="Z1091" s="65"/>
      <c r="AA1091" s="65"/>
      <c r="AB1091" s="65"/>
      <c r="AC1091" s="65"/>
      <c r="AD1091" s="65"/>
      <c r="AE1091" s="65"/>
      <c r="AF1091" s="65"/>
      <c r="AG1091" s="65"/>
      <c r="AH1091" s="65"/>
    </row>
    <row r="1092">
      <c r="A1092" s="61"/>
      <c r="B1092" s="61"/>
      <c r="C1092" s="61"/>
      <c r="D1092" s="62"/>
      <c r="E1092" s="61"/>
      <c r="F1092" s="61"/>
      <c r="G1092" s="61"/>
      <c r="H1092" s="61"/>
      <c r="I1092" s="61"/>
      <c r="J1092" s="61"/>
      <c r="K1092" s="61"/>
      <c r="L1092" s="61"/>
      <c r="M1092" s="61"/>
      <c r="N1092" s="61"/>
      <c r="O1092" s="63"/>
      <c r="P1092" s="61"/>
      <c r="Q1092" s="61"/>
      <c r="R1092" s="61"/>
      <c r="S1092" s="61"/>
      <c r="T1092" s="61"/>
      <c r="U1092" s="61"/>
      <c r="V1092" s="64"/>
      <c r="W1092" s="61"/>
      <c r="X1092" s="61"/>
      <c r="Y1092" s="61"/>
      <c r="Z1092" s="61"/>
      <c r="AA1092" s="61"/>
      <c r="AB1092" s="61"/>
      <c r="AC1092" s="61"/>
      <c r="AD1092" s="61"/>
      <c r="AE1092" s="61"/>
      <c r="AF1092" s="61"/>
      <c r="AG1092" s="61"/>
      <c r="AH1092" s="61"/>
    </row>
    <row r="1093">
      <c r="A1093" s="65"/>
      <c r="B1093" s="65"/>
      <c r="C1093" s="65"/>
      <c r="D1093" s="66"/>
      <c r="E1093" s="65"/>
      <c r="F1093" s="65"/>
      <c r="G1093" s="65"/>
      <c r="H1093" s="65"/>
      <c r="I1093" s="65"/>
      <c r="J1093" s="65"/>
      <c r="K1093" s="65"/>
      <c r="L1093" s="65"/>
      <c r="M1093" s="65"/>
      <c r="N1093" s="65"/>
      <c r="O1093" s="67"/>
      <c r="P1093" s="65"/>
      <c r="Q1093" s="65"/>
      <c r="R1093" s="65"/>
      <c r="S1093" s="65"/>
      <c r="T1093" s="65"/>
      <c r="U1093" s="65"/>
      <c r="V1093" s="68"/>
      <c r="W1093" s="65"/>
      <c r="X1093" s="65"/>
      <c r="Y1093" s="65"/>
      <c r="Z1093" s="65"/>
      <c r="AA1093" s="65"/>
      <c r="AB1093" s="65"/>
      <c r="AC1093" s="65"/>
      <c r="AD1093" s="65"/>
      <c r="AE1093" s="65"/>
      <c r="AF1093" s="65"/>
      <c r="AG1093" s="65"/>
      <c r="AH1093" s="65"/>
    </row>
    <row r="1094">
      <c r="A1094" s="61"/>
      <c r="B1094" s="61"/>
      <c r="C1094" s="61"/>
      <c r="D1094" s="62"/>
      <c r="E1094" s="61"/>
      <c r="F1094" s="61"/>
      <c r="G1094" s="61"/>
      <c r="H1094" s="61"/>
      <c r="I1094" s="61"/>
      <c r="J1094" s="61"/>
      <c r="K1094" s="61"/>
      <c r="L1094" s="61"/>
      <c r="M1094" s="61"/>
      <c r="N1094" s="61"/>
      <c r="O1094" s="63"/>
      <c r="P1094" s="61"/>
      <c r="Q1094" s="61"/>
      <c r="R1094" s="61"/>
      <c r="S1094" s="61"/>
      <c r="T1094" s="61"/>
      <c r="U1094" s="61"/>
      <c r="V1094" s="64"/>
      <c r="W1094" s="61"/>
      <c r="X1094" s="61"/>
      <c r="Y1094" s="61"/>
      <c r="Z1094" s="61"/>
      <c r="AA1094" s="61"/>
      <c r="AB1094" s="61"/>
      <c r="AC1094" s="61"/>
      <c r="AD1094" s="61"/>
      <c r="AE1094" s="61"/>
      <c r="AF1094" s="61"/>
      <c r="AG1094" s="61"/>
      <c r="AH1094" s="61"/>
    </row>
    <row r="1095">
      <c r="A1095" s="65"/>
      <c r="B1095" s="65"/>
      <c r="C1095" s="65"/>
      <c r="D1095" s="66"/>
      <c r="E1095" s="65"/>
      <c r="F1095" s="65"/>
      <c r="G1095" s="65"/>
      <c r="H1095" s="65"/>
      <c r="I1095" s="65"/>
      <c r="J1095" s="65"/>
      <c r="K1095" s="65"/>
      <c r="L1095" s="65"/>
      <c r="M1095" s="65"/>
      <c r="N1095" s="65"/>
      <c r="O1095" s="67"/>
      <c r="P1095" s="65"/>
      <c r="Q1095" s="65"/>
      <c r="R1095" s="65"/>
      <c r="S1095" s="65"/>
      <c r="T1095" s="65"/>
      <c r="U1095" s="65"/>
      <c r="V1095" s="68"/>
      <c r="W1095" s="65"/>
      <c r="X1095" s="65"/>
      <c r="Y1095" s="65"/>
      <c r="Z1095" s="65"/>
      <c r="AA1095" s="65"/>
      <c r="AB1095" s="65"/>
      <c r="AC1095" s="65"/>
      <c r="AD1095" s="65"/>
      <c r="AE1095" s="65"/>
      <c r="AF1095" s="65"/>
      <c r="AG1095" s="65"/>
      <c r="AH1095" s="65"/>
    </row>
    <row r="1096">
      <c r="A1096" s="61"/>
      <c r="B1096" s="61"/>
      <c r="C1096" s="61"/>
      <c r="D1096" s="62"/>
      <c r="E1096" s="61"/>
      <c r="F1096" s="61"/>
      <c r="G1096" s="61"/>
      <c r="H1096" s="61"/>
      <c r="I1096" s="61"/>
      <c r="J1096" s="61"/>
      <c r="K1096" s="61"/>
      <c r="L1096" s="61"/>
      <c r="M1096" s="61"/>
      <c r="N1096" s="61"/>
      <c r="O1096" s="63"/>
      <c r="P1096" s="61"/>
      <c r="Q1096" s="61"/>
      <c r="R1096" s="61"/>
      <c r="S1096" s="61"/>
      <c r="T1096" s="61"/>
      <c r="U1096" s="61"/>
      <c r="V1096" s="64"/>
      <c r="W1096" s="61"/>
      <c r="X1096" s="61"/>
      <c r="Y1096" s="61"/>
      <c r="Z1096" s="61"/>
      <c r="AA1096" s="61"/>
      <c r="AB1096" s="61"/>
      <c r="AC1096" s="61"/>
      <c r="AD1096" s="61"/>
      <c r="AE1096" s="61"/>
      <c r="AF1096" s="61"/>
      <c r="AG1096" s="61"/>
      <c r="AH1096" s="61"/>
    </row>
    <row r="1097">
      <c r="A1097" s="65"/>
      <c r="B1097" s="65"/>
      <c r="C1097" s="65"/>
      <c r="D1097" s="66"/>
      <c r="E1097" s="65"/>
      <c r="F1097" s="65"/>
      <c r="G1097" s="65"/>
      <c r="H1097" s="65"/>
      <c r="I1097" s="65"/>
      <c r="J1097" s="65"/>
      <c r="K1097" s="65"/>
      <c r="L1097" s="65"/>
      <c r="M1097" s="65"/>
      <c r="N1097" s="65"/>
      <c r="O1097" s="67"/>
      <c r="P1097" s="65"/>
      <c r="Q1097" s="65"/>
      <c r="R1097" s="65"/>
      <c r="S1097" s="65"/>
      <c r="T1097" s="65"/>
      <c r="U1097" s="65"/>
      <c r="V1097" s="68"/>
      <c r="W1097" s="65"/>
      <c r="X1097" s="65"/>
      <c r="Y1097" s="65"/>
      <c r="Z1097" s="65"/>
      <c r="AA1097" s="65"/>
      <c r="AB1097" s="65"/>
      <c r="AC1097" s="65"/>
      <c r="AD1097" s="65"/>
      <c r="AE1097" s="65"/>
      <c r="AF1097" s="65"/>
      <c r="AG1097" s="65"/>
      <c r="AH1097" s="65"/>
    </row>
    <row r="1098">
      <c r="A1098" s="61"/>
      <c r="B1098" s="61"/>
      <c r="C1098" s="61"/>
      <c r="D1098" s="62"/>
      <c r="E1098" s="61"/>
      <c r="F1098" s="61"/>
      <c r="G1098" s="61"/>
      <c r="H1098" s="61"/>
      <c r="I1098" s="61"/>
      <c r="J1098" s="61"/>
      <c r="K1098" s="61"/>
      <c r="L1098" s="61"/>
      <c r="M1098" s="61"/>
      <c r="N1098" s="61"/>
      <c r="O1098" s="63"/>
      <c r="P1098" s="61"/>
      <c r="Q1098" s="61"/>
      <c r="R1098" s="61"/>
      <c r="S1098" s="61"/>
      <c r="T1098" s="61"/>
      <c r="U1098" s="61"/>
      <c r="V1098" s="64"/>
      <c r="W1098" s="61"/>
      <c r="X1098" s="61"/>
      <c r="Y1098" s="61"/>
      <c r="Z1098" s="61"/>
      <c r="AA1098" s="61"/>
      <c r="AB1098" s="61"/>
      <c r="AC1098" s="61"/>
      <c r="AD1098" s="61"/>
      <c r="AE1098" s="61"/>
      <c r="AF1098" s="61"/>
      <c r="AG1098" s="61"/>
      <c r="AH1098" s="61"/>
    </row>
    <row r="1099">
      <c r="A1099" s="65"/>
      <c r="B1099" s="65"/>
      <c r="C1099" s="65"/>
      <c r="D1099" s="66"/>
      <c r="E1099" s="65"/>
      <c r="F1099" s="65"/>
      <c r="G1099" s="65"/>
      <c r="H1099" s="65"/>
      <c r="I1099" s="65"/>
      <c r="J1099" s="65"/>
      <c r="K1099" s="65"/>
      <c r="L1099" s="65"/>
      <c r="M1099" s="65"/>
      <c r="N1099" s="65"/>
      <c r="O1099" s="67"/>
      <c r="P1099" s="65"/>
      <c r="Q1099" s="65"/>
      <c r="R1099" s="65"/>
      <c r="S1099" s="65"/>
      <c r="T1099" s="65"/>
      <c r="U1099" s="65"/>
      <c r="V1099" s="68"/>
      <c r="W1099" s="65"/>
      <c r="X1099" s="65"/>
      <c r="Y1099" s="65"/>
      <c r="Z1099" s="65"/>
      <c r="AA1099" s="65"/>
      <c r="AB1099" s="65"/>
      <c r="AC1099" s="65"/>
      <c r="AD1099" s="65"/>
      <c r="AE1099" s="65"/>
      <c r="AF1099" s="65"/>
      <c r="AG1099" s="65"/>
      <c r="AH1099" s="65"/>
    </row>
    <row r="1100">
      <c r="A1100" s="61"/>
      <c r="B1100" s="61"/>
      <c r="C1100" s="61"/>
      <c r="D1100" s="62"/>
      <c r="E1100" s="61"/>
      <c r="F1100" s="61"/>
      <c r="G1100" s="61"/>
      <c r="H1100" s="61"/>
      <c r="I1100" s="61"/>
      <c r="J1100" s="61"/>
      <c r="K1100" s="61"/>
      <c r="L1100" s="61"/>
      <c r="M1100" s="61"/>
      <c r="N1100" s="61"/>
      <c r="O1100" s="63"/>
      <c r="P1100" s="61"/>
      <c r="Q1100" s="61"/>
      <c r="R1100" s="61"/>
      <c r="S1100" s="61"/>
      <c r="T1100" s="61"/>
      <c r="U1100" s="61"/>
      <c r="V1100" s="64"/>
      <c r="W1100" s="61"/>
      <c r="X1100" s="61"/>
      <c r="Y1100" s="61"/>
      <c r="Z1100" s="61"/>
      <c r="AA1100" s="61"/>
      <c r="AB1100" s="61"/>
      <c r="AC1100" s="61"/>
      <c r="AD1100" s="61"/>
      <c r="AE1100" s="61"/>
      <c r="AF1100" s="61"/>
      <c r="AG1100" s="61"/>
      <c r="AH1100" s="61"/>
    </row>
    <row r="1101">
      <c r="A1101" s="65"/>
      <c r="B1101" s="65"/>
      <c r="C1101" s="65"/>
      <c r="D1101" s="66"/>
      <c r="E1101" s="65"/>
      <c r="F1101" s="65"/>
      <c r="G1101" s="65"/>
      <c r="H1101" s="65"/>
      <c r="I1101" s="65"/>
      <c r="J1101" s="65"/>
      <c r="K1101" s="65"/>
      <c r="L1101" s="65"/>
      <c r="M1101" s="65"/>
      <c r="N1101" s="65"/>
      <c r="O1101" s="67"/>
      <c r="P1101" s="65"/>
      <c r="Q1101" s="65"/>
      <c r="R1101" s="65"/>
      <c r="S1101" s="65"/>
      <c r="T1101" s="65"/>
      <c r="U1101" s="65"/>
      <c r="V1101" s="68"/>
      <c r="W1101" s="65"/>
      <c r="X1101" s="65"/>
      <c r="Y1101" s="65"/>
      <c r="Z1101" s="65"/>
      <c r="AA1101" s="65"/>
      <c r="AB1101" s="65"/>
      <c r="AC1101" s="65"/>
      <c r="AD1101" s="65"/>
      <c r="AE1101" s="65"/>
      <c r="AF1101" s="65"/>
      <c r="AG1101" s="65"/>
      <c r="AH1101" s="65"/>
    </row>
    <row r="1102">
      <c r="A1102" s="61"/>
      <c r="B1102" s="61"/>
      <c r="C1102" s="61"/>
      <c r="D1102" s="62"/>
      <c r="E1102" s="61"/>
      <c r="F1102" s="61"/>
      <c r="G1102" s="61"/>
      <c r="H1102" s="61"/>
      <c r="I1102" s="61"/>
      <c r="J1102" s="61"/>
      <c r="K1102" s="61"/>
      <c r="L1102" s="61"/>
      <c r="M1102" s="61"/>
      <c r="N1102" s="61"/>
      <c r="O1102" s="63"/>
      <c r="P1102" s="61"/>
      <c r="Q1102" s="61"/>
      <c r="R1102" s="61"/>
      <c r="S1102" s="61"/>
      <c r="T1102" s="61"/>
      <c r="U1102" s="61"/>
      <c r="V1102" s="64"/>
      <c r="W1102" s="61"/>
      <c r="X1102" s="61"/>
      <c r="Y1102" s="61"/>
      <c r="Z1102" s="61"/>
      <c r="AA1102" s="61"/>
      <c r="AB1102" s="61"/>
      <c r="AC1102" s="61"/>
      <c r="AD1102" s="61"/>
      <c r="AE1102" s="61"/>
      <c r="AF1102" s="61"/>
      <c r="AG1102" s="61"/>
      <c r="AH1102" s="61"/>
    </row>
    <row r="1103">
      <c r="A1103" s="65"/>
      <c r="B1103" s="65"/>
      <c r="C1103" s="65"/>
      <c r="D1103" s="66"/>
      <c r="E1103" s="65"/>
      <c r="F1103" s="65"/>
      <c r="G1103" s="65"/>
      <c r="H1103" s="65"/>
      <c r="I1103" s="65"/>
      <c r="J1103" s="65"/>
      <c r="K1103" s="65"/>
      <c r="L1103" s="65"/>
      <c r="M1103" s="65"/>
      <c r="N1103" s="65"/>
      <c r="O1103" s="67"/>
      <c r="P1103" s="65"/>
      <c r="Q1103" s="65"/>
      <c r="R1103" s="65"/>
      <c r="S1103" s="65"/>
      <c r="T1103" s="65"/>
      <c r="U1103" s="65"/>
      <c r="V1103" s="68"/>
      <c r="W1103" s="65"/>
      <c r="X1103" s="65"/>
      <c r="Y1103" s="65"/>
      <c r="Z1103" s="65"/>
      <c r="AA1103" s="65"/>
      <c r="AB1103" s="65"/>
      <c r="AC1103" s="65"/>
      <c r="AD1103" s="65"/>
      <c r="AE1103" s="65"/>
      <c r="AF1103" s="65"/>
      <c r="AG1103" s="65"/>
      <c r="AH1103" s="65"/>
    </row>
    <row r="1104">
      <c r="A1104" s="61"/>
      <c r="B1104" s="61"/>
      <c r="C1104" s="61"/>
      <c r="D1104" s="62"/>
      <c r="E1104" s="61"/>
      <c r="F1104" s="61"/>
      <c r="G1104" s="61"/>
      <c r="H1104" s="61"/>
      <c r="I1104" s="61"/>
      <c r="J1104" s="61"/>
      <c r="K1104" s="61"/>
      <c r="L1104" s="61"/>
      <c r="M1104" s="61"/>
      <c r="N1104" s="61"/>
      <c r="O1104" s="63"/>
      <c r="P1104" s="61"/>
      <c r="Q1104" s="61"/>
      <c r="R1104" s="61"/>
      <c r="S1104" s="61"/>
      <c r="T1104" s="61"/>
      <c r="U1104" s="61"/>
      <c r="V1104" s="64"/>
      <c r="W1104" s="61"/>
      <c r="X1104" s="61"/>
      <c r="Y1104" s="61"/>
      <c r="Z1104" s="61"/>
      <c r="AA1104" s="61"/>
      <c r="AB1104" s="61"/>
      <c r="AC1104" s="61"/>
      <c r="AD1104" s="61"/>
      <c r="AE1104" s="61"/>
      <c r="AF1104" s="61"/>
      <c r="AG1104" s="61"/>
      <c r="AH1104" s="61"/>
    </row>
    <row r="1105">
      <c r="A1105" s="65"/>
      <c r="B1105" s="65"/>
      <c r="C1105" s="65"/>
      <c r="D1105" s="66"/>
      <c r="E1105" s="65"/>
      <c r="F1105" s="65"/>
      <c r="G1105" s="65"/>
      <c r="H1105" s="65"/>
      <c r="I1105" s="65"/>
      <c r="J1105" s="65"/>
      <c r="K1105" s="65"/>
      <c r="L1105" s="65"/>
      <c r="M1105" s="65"/>
      <c r="N1105" s="65"/>
      <c r="O1105" s="67"/>
      <c r="P1105" s="65"/>
      <c r="Q1105" s="65"/>
      <c r="R1105" s="65"/>
      <c r="S1105" s="65"/>
      <c r="T1105" s="65"/>
      <c r="U1105" s="65"/>
      <c r="V1105" s="68"/>
      <c r="W1105" s="65"/>
      <c r="X1105" s="65"/>
      <c r="Y1105" s="65"/>
      <c r="Z1105" s="65"/>
      <c r="AA1105" s="65"/>
      <c r="AB1105" s="65"/>
      <c r="AC1105" s="65"/>
      <c r="AD1105" s="65"/>
      <c r="AE1105" s="65"/>
      <c r="AF1105" s="65"/>
      <c r="AG1105" s="65"/>
      <c r="AH1105" s="65"/>
    </row>
    <row r="1106">
      <c r="A1106" s="61"/>
      <c r="B1106" s="61"/>
      <c r="C1106" s="61"/>
      <c r="D1106" s="62"/>
      <c r="E1106" s="61"/>
      <c r="F1106" s="61"/>
      <c r="G1106" s="61"/>
      <c r="H1106" s="61"/>
      <c r="I1106" s="61"/>
      <c r="J1106" s="61"/>
      <c r="K1106" s="61"/>
      <c r="L1106" s="61"/>
      <c r="M1106" s="61"/>
      <c r="N1106" s="61"/>
      <c r="O1106" s="63"/>
      <c r="P1106" s="61"/>
      <c r="Q1106" s="61"/>
      <c r="R1106" s="61"/>
      <c r="S1106" s="61"/>
      <c r="T1106" s="61"/>
      <c r="U1106" s="61"/>
      <c r="V1106" s="64"/>
      <c r="W1106" s="61"/>
      <c r="X1106" s="61"/>
      <c r="Y1106" s="61"/>
      <c r="Z1106" s="61"/>
      <c r="AA1106" s="61"/>
      <c r="AB1106" s="61"/>
      <c r="AC1106" s="61"/>
      <c r="AD1106" s="61"/>
      <c r="AE1106" s="61"/>
      <c r="AF1106" s="61"/>
      <c r="AG1106" s="61"/>
      <c r="AH1106" s="61"/>
    </row>
    <row r="1107">
      <c r="A1107" s="65"/>
      <c r="B1107" s="65"/>
      <c r="C1107" s="65"/>
      <c r="D1107" s="66"/>
      <c r="E1107" s="65"/>
      <c r="F1107" s="65"/>
      <c r="G1107" s="65"/>
      <c r="H1107" s="65"/>
      <c r="I1107" s="65"/>
      <c r="J1107" s="65"/>
      <c r="K1107" s="65"/>
      <c r="L1107" s="65"/>
      <c r="M1107" s="65"/>
      <c r="N1107" s="65"/>
      <c r="O1107" s="67"/>
      <c r="P1107" s="65"/>
      <c r="Q1107" s="65"/>
      <c r="R1107" s="65"/>
      <c r="S1107" s="65"/>
      <c r="T1107" s="65"/>
      <c r="U1107" s="65"/>
      <c r="V1107" s="68"/>
      <c r="W1107" s="65"/>
      <c r="X1107" s="65"/>
      <c r="Y1107" s="65"/>
      <c r="Z1107" s="65"/>
      <c r="AA1107" s="65"/>
      <c r="AB1107" s="65"/>
      <c r="AC1107" s="65"/>
      <c r="AD1107" s="65"/>
      <c r="AE1107" s="65"/>
      <c r="AF1107" s="65"/>
      <c r="AG1107" s="65"/>
      <c r="AH1107" s="65"/>
    </row>
    <row r="1108">
      <c r="A1108" s="61"/>
      <c r="B1108" s="61"/>
      <c r="C1108" s="61"/>
      <c r="D1108" s="62"/>
      <c r="E1108" s="61"/>
      <c r="F1108" s="61"/>
      <c r="G1108" s="61"/>
      <c r="H1108" s="61"/>
      <c r="I1108" s="61"/>
      <c r="J1108" s="61"/>
      <c r="K1108" s="61"/>
      <c r="L1108" s="61"/>
      <c r="M1108" s="61"/>
      <c r="N1108" s="61"/>
      <c r="O1108" s="63"/>
      <c r="P1108" s="61"/>
      <c r="Q1108" s="61"/>
      <c r="R1108" s="61"/>
      <c r="S1108" s="61"/>
      <c r="T1108" s="61"/>
      <c r="U1108" s="61"/>
      <c r="V1108" s="64"/>
      <c r="W1108" s="61"/>
      <c r="X1108" s="61"/>
      <c r="Y1108" s="61"/>
      <c r="Z1108" s="61"/>
      <c r="AA1108" s="61"/>
      <c r="AB1108" s="61"/>
      <c r="AC1108" s="61"/>
      <c r="AD1108" s="61"/>
      <c r="AE1108" s="61"/>
      <c r="AF1108" s="61"/>
      <c r="AG1108" s="61"/>
      <c r="AH1108" s="61"/>
    </row>
    <row r="1109">
      <c r="A1109" s="65"/>
      <c r="B1109" s="65"/>
      <c r="C1109" s="65"/>
      <c r="D1109" s="66"/>
      <c r="E1109" s="65"/>
      <c r="F1109" s="65"/>
      <c r="G1109" s="65"/>
      <c r="H1109" s="65"/>
      <c r="I1109" s="65"/>
      <c r="J1109" s="65"/>
      <c r="K1109" s="65"/>
      <c r="L1109" s="65"/>
      <c r="M1109" s="65"/>
      <c r="N1109" s="65"/>
      <c r="O1109" s="67"/>
      <c r="P1109" s="65"/>
      <c r="Q1109" s="65"/>
      <c r="R1109" s="65"/>
      <c r="S1109" s="65"/>
      <c r="T1109" s="65"/>
      <c r="U1109" s="65"/>
      <c r="V1109" s="68"/>
      <c r="W1109" s="65"/>
      <c r="X1109" s="65"/>
      <c r="Y1109" s="65"/>
      <c r="Z1109" s="65"/>
      <c r="AA1109" s="65"/>
      <c r="AB1109" s="65"/>
      <c r="AC1109" s="65"/>
      <c r="AD1109" s="65"/>
      <c r="AE1109" s="65"/>
      <c r="AF1109" s="65"/>
      <c r="AG1109" s="65"/>
      <c r="AH1109" s="65"/>
    </row>
    <row r="1110">
      <c r="A1110" s="61"/>
      <c r="B1110" s="61"/>
      <c r="C1110" s="61"/>
      <c r="D1110" s="62"/>
      <c r="E1110" s="61"/>
      <c r="F1110" s="61"/>
      <c r="G1110" s="61"/>
      <c r="H1110" s="61"/>
      <c r="I1110" s="61"/>
      <c r="J1110" s="61"/>
      <c r="K1110" s="61"/>
      <c r="L1110" s="61"/>
      <c r="M1110" s="61"/>
      <c r="N1110" s="61"/>
      <c r="O1110" s="63"/>
      <c r="P1110" s="61"/>
      <c r="Q1110" s="61"/>
      <c r="R1110" s="61"/>
      <c r="S1110" s="61"/>
      <c r="T1110" s="61"/>
      <c r="U1110" s="61"/>
      <c r="V1110" s="64"/>
      <c r="W1110" s="61"/>
      <c r="X1110" s="61"/>
      <c r="Y1110" s="61"/>
      <c r="Z1110" s="61"/>
      <c r="AA1110" s="61"/>
      <c r="AB1110" s="61"/>
      <c r="AC1110" s="61"/>
      <c r="AD1110" s="61"/>
      <c r="AE1110" s="61"/>
      <c r="AF1110" s="61"/>
      <c r="AG1110" s="61"/>
      <c r="AH1110" s="61"/>
    </row>
    <row r="1111">
      <c r="A1111" s="65"/>
      <c r="B1111" s="65"/>
      <c r="C1111" s="65"/>
      <c r="D1111" s="66"/>
      <c r="E1111" s="65"/>
      <c r="F1111" s="65"/>
      <c r="G1111" s="65"/>
      <c r="H1111" s="65"/>
      <c r="I1111" s="65"/>
      <c r="J1111" s="65"/>
      <c r="K1111" s="65"/>
      <c r="L1111" s="65"/>
      <c r="M1111" s="65"/>
      <c r="N1111" s="65"/>
      <c r="O1111" s="67"/>
      <c r="P1111" s="65"/>
      <c r="Q1111" s="65"/>
      <c r="R1111" s="65"/>
      <c r="S1111" s="65"/>
      <c r="T1111" s="65"/>
      <c r="U1111" s="65"/>
      <c r="V1111" s="68"/>
      <c r="W1111" s="65"/>
      <c r="X1111" s="65"/>
      <c r="Y1111" s="65"/>
      <c r="Z1111" s="65"/>
      <c r="AA1111" s="65"/>
      <c r="AB1111" s="65"/>
      <c r="AC1111" s="65"/>
      <c r="AD1111" s="65"/>
      <c r="AE1111" s="65"/>
      <c r="AF1111" s="65"/>
      <c r="AG1111" s="65"/>
      <c r="AH1111" s="65"/>
    </row>
    <row r="1112">
      <c r="A1112" s="61"/>
      <c r="B1112" s="61"/>
      <c r="C1112" s="61"/>
      <c r="D1112" s="62"/>
      <c r="E1112" s="61"/>
      <c r="F1112" s="61"/>
      <c r="G1112" s="61"/>
      <c r="H1112" s="61"/>
      <c r="I1112" s="61"/>
      <c r="J1112" s="61"/>
      <c r="K1112" s="61"/>
      <c r="L1112" s="61"/>
      <c r="M1112" s="61"/>
      <c r="N1112" s="61"/>
      <c r="O1112" s="63"/>
      <c r="P1112" s="61"/>
      <c r="Q1112" s="61"/>
      <c r="R1112" s="61"/>
      <c r="S1112" s="61"/>
      <c r="T1112" s="61"/>
      <c r="U1112" s="61"/>
      <c r="V1112" s="64"/>
      <c r="W1112" s="61"/>
      <c r="X1112" s="61"/>
      <c r="Y1112" s="61"/>
      <c r="Z1112" s="61"/>
      <c r="AA1112" s="61"/>
      <c r="AB1112" s="61"/>
      <c r="AC1112" s="61"/>
      <c r="AD1112" s="61"/>
      <c r="AE1112" s="61"/>
      <c r="AF1112" s="61"/>
      <c r="AG1112" s="61"/>
      <c r="AH1112" s="61"/>
    </row>
    <row r="1113">
      <c r="A1113" s="65"/>
      <c r="B1113" s="65"/>
      <c r="C1113" s="65"/>
      <c r="D1113" s="66"/>
      <c r="E1113" s="65"/>
      <c r="F1113" s="65"/>
      <c r="G1113" s="65"/>
      <c r="H1113" s="65"/>
      <c r="I1113" s="65"/>
      <c r="J1113" s="65"/>
      <c r="K1113" s="65"/>
      <c r="L1113" s="65"/>
      <c r="M1113" s="65"/>
      <c r="N1113" s="65"/>
      <c r="O1113" s="67"/>
      <c r="P1113" s="65"/>
      <c r="Q1113" s="65"/>
      <c r="R1113" s="65"/>
      <c r="S1113" s="65"/>
      <c r="T1113" s="65"/>
      <c r="U1113" s="65"/>
      <c r="V1113" s="68"/>
      <c r="W1113" s="65"/>
      <c r="X1113" s="65"/>
      <c r="Y1113" s="65"/>
      <c r="Z1113" s="65"/>
      <c r="AA1113" s="65"/>
      <c r="AB1113" s="65"/>
      <c r="AC1113" s="65"/>
      <c r="AD1113" s="65"/>
      <c r="AE1113" s="65"/>
      <c r="AF1113" s="65"/>
      <c r="AG1113" s="65"/>
      <c r="AH1113" s="65"/>
    </row>
    <row r="1114">
      <c r="A1114" s="61"/>
      <c r="B1114" s="61"/>
      <c r="C1114" s="61"/>
      <c r="D1114" s="62"/>
      <c r="E1114" s="61"/>
      <c r="F1114" s="61"/>
      <c r="G1114" s="61"/>
      <c r="H1114" s="61"/>
      <c r="I1114" s="61"/>
      <c r="J1114" s="61"/>
      <c r="K1114" s="61"/>
      <c r="L1114" s="61"/>
      <c r="M1114" s="61"/>
      <c r="N1114" s="61"/>
      <c r="O1114" s="63"/>
      <c r="P1114" s="61"/>
      <c r="Q1114" s="61"/>
      <c r="R1114" s="61"/>
      <c r="S1114" s="61"/>
      <c r="T1114" s="61"/>
      <c r="U1114" s="61"/>
      <c r="V1114" s="64"/>
      <c r="W1114" s="61"/>
      <c r="X1114" s="61"/>
      <c r="Y1114" s="61"/>
      <c r="Z1114" s="61"/>
      <c r="AA1114" s="61"/>
      <c r="AB1114" s="61"/>
      <c r="AC1114" s="61"/>
      <c r="AD1114" s="61"/>
      <c r="AE1114" s="61"/>
      <c r="AF1114" s="61"/>
      <c r="AG1114" s="61"/>
      <c r="AH1114" s="61"/>
    </row>
    <row r="1115">
      <c r="A1115" s="65"/>
      <c r="B1115" s="65"/>
      <c r="C1115" s="65"/>
      <c r="D1115" s="66"/>
      <c r="E1115" s="65"/>
      <c r="F1115" s="65"/>
      <c r="G1115" s="65"/>
      <c r="H1115" s="65"/>
      <c r="I1115" s="65"/>
      <c r="J1115" s="65"/>
      <c r="K1115" s="65"/>
      <c r="L1115" s="65"/>
      <c r="M1115" s="65"/>
      <c r="N1115" s="65"/>
      <c r="O1115" s="67"/>
      <c r="P1115" s="65"/>
      <c r="Q1115" s="65"/>
      <c r="R1115" s="65"/>
      <c r="S1115" s="65"/>
      <c r="T1115" s="65"/>
      <c r="U1115" s="65"/>
      <c r="V1115" s="68"/>
      <c r="W1115" s="65"/>
      <c r="X1115" s="65"/>
      <c r="Y1115" s="65"/>
      <c r="Z1115" s="65"/>
      <c r="AA1115" s="65"/>
      <c r="AB1115" s="65"/>
      <c r="AC1115" s="65"/>
      <c r="AD1115" s="65"/>
      <c r="AE1115" s="65"/>
      <c r="AF1115" s="65"/>
      <c r="AG1115" s="65"/>
      <c r="AH1115" s="65"/>
    </row>
    <row r="1116">
      <c r="A1116" s="61"/>
      <c r="B1116" s="61"/>
      <c r="C1116" s="61"/>
      <c r="D1116" s="62"/>
      <c r="E1116" s="61"/>
      <c r="F1116" s="61"/>
      <c r="G1116" s="61"/>
      <c r="H1116" s="61"/>
      <c r="I1116" s="61"/>
      <c r="J1116" s="61"/>
      <c r="K1116" s="61"/>
      <c r="L1116" s="61"/>
      <c r="M1116" s="61"/>
      <c r="N1116" s="61"/>
      <c r="O1116" s="63"/>
      <c r="P1116" s="61"/>
      <c r="Q1116" s="61"/>
      <c r="R1116" s="61"/>
      <c r="S1116" s="61"/>
      <c r="T1116" s="61"/>
      <c r="U1116" s="61"/>
      <c r="V1116" s="64"/>
      <c r="W1116" s="61"/>
      <c r="X1116" s="61"/>
      <c r="Y1116" s="61"/>
      <c r="Z1116" s="61"/>
      <c r="AA1116" s="61"/>
      <c r="AB1116" s="61"/>
      <c r="AC1116" s="61"/>
      <c r="AD1116" s="61"/>
      <c r="AE1116" s="61"/>
      <c r="AF1116" s="61"/>
      <c r="AG1116" s="61"/>
      <c r="AH1116" s="61"/>
    </row>
    <row r="1117">
      <c r="A1117" s="65"/>
      <c r="B1117" s="65"/>
      <c r="C1117" s="65"/>
      <c r="D1117" s="66"/>
      <c r="E1117" s="65"/>
      <c r="F1117" s="65"/>
      <c r="G1117" s="65"/>
      <c r="H1117" s="65"/>
      <c r="I1117" s="65"/>
      <c r="J1117" s="65"/>
      <c r="K1117" s="65"/>
      <c r="L1117" s="65"/>
      <c r="M1117" s="65"/>
      <c r="N1117" s="65"/>
      <c r="O1117" s="67"/>
      <c r="P1117" s="65"/>
      <c r="Q1117" s="65"/>
      <c r="R1117" s="65"/>
      <c r="S1117" s="65"/>
      <c r="T1117" s="65"/>
      <c r="U1117" s="65"/>
      <c r="V1117" s="68"/>
      <c r="W1117" s="65"/>
      <c r="X1117" s="65"/>
      <c r="Y1117" s="65"/>
      <c r="Z1117" s="65"/>
      <c r="AA1117" s="65"/>
      <c r="AB1117" s="65"/>
      <c r="AC1117" s="65"/>
      <c r="AD1117" s="65"/>
      <c r="AE1117" s="65"/>
      <c r="AF1117" s="65"/>
      <c r="AG1117" s="65"/>
      <c r="AH1117" s="65"/>
    </row>
    <row r="1118">
      <c r="A1118" s="61"/>
      <c r="B1118" s="61"/>
      <c r="C1118" s="61"/>
      <c r="D1118" s="62"/>
      <c r="E1118" s="61"/>
      <c r="F1118" s="61"/>
      <c r="G1118" s="61"/>
      <c r="H1118" s="61"/>
      <c r="I1118" s="61"/>
      <c r="J1118" s="61"/>
      <c r="K1118" s="61"/>
      <c r="L1118" s="61"/>
      <c r="M1118" s="61"/>
      <c r="N1118" s="61"/>
      <c r="O1118" s="63"/>
      <c r="P1118" s="61"/>
      <c r="Q1118" s="61"/>
      <c r="R1118" s="61"/>
      <c r="S1118" s="61"/>
      <c r="T1118" s="61"/>
      <c r="U1118" s="61"/>
      <c r="V1118" s="64"/>
      <c r="W1118" s="61"/>
      <c r="X1118" s="61"/>
      <c r="Y1118" s="61"/>
      <c r="Z1118" s="61"/>
      <c r="AA1118" s="61"/>
      <c r="AB1118" s="61"/>
      <c r="AC1118" s="61"/>
      <c r="AD1118" s="61"/>
      <c r="AE1118" s="61"/>
      <c r="AF1118" s="61"/>
      <c r="AG1118" s="61"/>
      <c r="AH1118" s="61"/>
    </row>
    <row r="1119">
      <c r="A1119" s="65"/>
      <c r="B1119" s="65"/>
      <c r="C1119" s="65"/>
      <c r="D1119" s="66"/>
      <c r="E1119" s="65"/>
      <c r="F1119" s="65"/>
      <c r="G1119" s="65"/>
      <c r="H1119" s="65"/>
      <c r="I1119" s="65"/>
      <c r="J1119" s="65"/>
      <c r="K1119" s="65"/>
      <c r="L1119" s="65"/>
      <c r="M1119" s="65"/>
      <c r="N1119" s="65"/>
      <c r="O1119" s="67"/>
      <c r="P1119" s="65"/>
      <c r="Q1119" s="65"/>
      <c r="R1119" s="65"/>
      <c r="S1119" s="65"/>
      <c r="T1119" s="65"/>
      <c r="U1119" s="65"/>
      <c r="V1119" s="68"/>
      <c r="W1119" s="65"/>
      <c r="X1119" s="65"/>
      <c r="Y1119" s="65"/>
      <c r="Z1119" s="65"/>
      <c r="AA1119" s="65"/>
      <c r="AB1119" s="65"/>
      <c r="AC1119" s="65"/>
      <c r="AD1119" s="65"/>
      <c r="AE1119" s="65"/>
      <c r="AF1119" s="65"/>
      <c r="AG1119" s="65"/>
      <c r="AH1119" s="65"/>
    </row>
    <row r="1120">
      <c r="A1120" s="61"/>
      <c r="B1120" s="61"/>
      <c r="C1120" s="61"/>
      <c r="D1120" s="62"/>
      <c r="E1120" s="61"/>
      <c r="F1120" s="61"/>
      <c r="G1120" s="61"/>
      <c r="H1120" s="61"/>
      <c r="I1120" s="61"/>
      <c r="J1120" s="61"/>
      <c r="K1120" s="61"/>
      <c r="L1120" s="61"/>
      <c r="M1120" s="61"/>
      <c r="N1120" s="61"/>
      <c r="O1120" s="63"/>
      <c r="P1120" s="61"/>
      <c r="Q1120" s="61"/>
      <c r="R1120" s="61"/>
      <c r="S1120" s="61"/>
      <c r="T1120" s="61"/>
      <c r="U1120" s="61"/>
      <c r="V1120" s="64"/>
      <c r="W1120" s="61"/>
      <c r="X1120" s="61"/>
      <c r="Y1120" s="61"/>
      <c r="Z1120" s="61"/>
      <c r="AA1120" s="61"/>
      <c r="AB1120" s="61"/>
      <c r="AC1120" s="61"/>
      <c r="AD1120" s="61"/>
      <c r="AE1120" s="61"/>
      <c r="AF1120" s="61"/>
      <c r="AG1120" s="61"/>
      <c r="AH1120" s="61"/>
    </row>
    <row r="1121">
      <c r="A1121" s="65"/>
      <c r="B1121" s="65"/>
      <c r="C1121" s="65"/>
      <c r="D1121" s="66"/>
      <c r="E1121" s="65"/>
      <c r="F1121" s="65"/>
      <c r="G1121" s="65"/>
      <c r="H1121" s="65"/>
      <c r="I1121" s="65"/>
      <c r="J1121" s="65"/>
      <c r="K1121" s="65"/>
      <c r="L1121" s="65"/>
      <c r="M1121" s="65"/>
      <c r="N1121" s="65"/>
      <c r="O1121" s="67"/>
      <c r="P1121" s="65"/>
      <c r="Q1121" s="65"/>
      <c r="R1121" s="65"/>
      <c r="S1121" s="65"/>
      <c r="T1121" s="65"/>
      <c r="U1121" s="65"/>
      <c r="V1121" s="68"/>
      <c r="W1121" s="65"/>
      <c r="X1121" s="65"/>
      <c r="Y1121" s="65"/>
      <c r="Z1121" s="65"/>
      <c r="AA1121" s="65"/>
      <c r="AB1121" s="65"/>
      <c r="AC1121" s="65"/>
      <c r="AD1121" s="65"/>
      <c r="AE1121" s="65"/>
      <c r="AF1121" s="65"/>
      <c r="AG1121" s="65"/>
      <c r="AH1121" s="65"/>
    </row>
    <row r="1122">
      <c r="A1122" s="61"/>
      <c r="B1122" s="61"/>
      <c r="C1122" s="61"/>
      <c r="D1122" s="62"/>
      <c r="E1122" s="61"/>
      <c r="F1122" s="61"/>
      <c r="G1122" s="61"/>
      <c r="H1122" s="61"/>
      <c r="I1122" s="61"/>
      <c r="J1122" s="61"/>
      <c r="K1122" s="61"/>
      <c r="L1122" s="61"/>
      <c r="M1122" s="61"/>
      <c r="N1122" s="61"/>
      <c r="O1122" s="63"/>
      <c r="P1122" s="61"/>
      <c r="Q1122" s="61"/>
      <c r="R1122" s="61"/>
      <c r="S1122" s="61"/>
      <c r="T1122" s="61"/>
      <c r="U1122" s="61"/>
      <c r="V1122" s="64"/>
      <c r="W1122" s="61"/>
      <c r="X1122" s="61"/>
      <c r="Y1122" s="61"/>
      <c r="Z1122" s="61"/>
      <c r="AA1122" s="61"/>
      <c r="AB1122" s="61"/>
      <c r="AC1122" s="61"/>
      <c r="AD1122" s="61"/>
      <c r="AE1122" s="61"/>
      <c r="AF1122" s="61"/>
      <c r="AG1122" s="61"/>
      <c r="AH1122" s="61"/>
    </row>
    <row r="1123">
      <c r="A1123" s="65"/>
      <c r="B1123" s="65"/>
      <c r="C1123" s="65"/>
      <c r="D1123" s="66"/>
      <c r="E1123" s="65"/>
      <c r="F1123" s="65"/>
      <c r="G1123" s="65"/>
      <c r="H1123" s="65"/>
      <c r="I1123" s="65"/>
      <c r="J1123" s="65"/>
      <c r="K1123" s="65"/>
      <c r="L1123" s="65"/>
      <c r="M1123" s="65"/>
      <c r="N1123" s="65"/>
      <c r="O1123" s="67"/>
      <c r="P1123" s="65"/>
      <c r="Q1123" s="65"/>
      <c r="R1123" s="65"/>
      <c r="S1123" s="65"/>
      <c r="T1123" s="65"/>
      <c r="U1123" s="65"/>
      <c r="V1123" s="68"/>
      <c r="W1123" s="65"/>
      <c r="X1123" s="65"/>
      <c r="Y1123" s="65"/>
      <c r="Z1123" s="65"/>
      <c r="AA1123" s="65"/>
      <c r="AB1123" s="65"/>
      <c r="AC1123" s="65"/>
      <c r="AD1123" s="65"/>
      <c r="AE1123" s="65"/>
      <c r="AF1123" s="65"/>
      <c r="AG1123" s="65"/>
      <c r="AH1123" s="65"/>
    </row>
    <row r="1124">
      <c r="A1124" s="61"/>
      <c r="B1124" s="61"/>
      <c r="C1124" s="61"/>
      <c r="D1124" s="62"/>
      <c r="E1124" s="61"/>
      <c r="F1124" s="61"/>
      <c r="G1124" s="61"/>
      <c r="H1124" s="61"/>
      <c r="I1124" s="61"/>
      <c r="J1124" s="61"/>
      <c r="K1124" s="61"/>
      <c r="L1124" s="61"/>
      <c r="M1124" s="61"/>
      <c r="N1124" s="61"/>
      <c r="O1124" s="63"/>
      <c r="P1124" s="61"/>
      <c r="Q1124" s="61"/>
      <c r="R1124" s="61"/>
      <c r="S1124" s="61"/>
      <c r="T1124" s="61"/>
      <c r="U1124" s="61"/>
      <c r="V1124" s="64"/>
      <c r="W1124" s="61"/>
      <c r="X1124" s="61"/>
      <c r="Y1124" s="61"/>
      <c r="Z1124" s="61"/>
      <c r="AA1124" s="61"/>
      <c r="AB1124" s="61"/>
      <c r="AC1124" s="61"/>
      <c r="AD1124" s="61"/>
      <c r="AE1124" s="61"/>
      <c r="AF1124" s="61"/>
      <c r="AG1124" s="61"/>
      <c r="AH1124" s="61"/>
    </row>
    <row r="1125">
      <c r="A1125" s="65"/>
      <c r="B1125" s="65"/>
      <c r="C1125" s="65"/>
      <c r="D1125" s="66"/>
      <c r="E1125" s="65"/>
      <c r="F1125" s="65"/>
      <c r="G1125" s="65"/>
      <c r="H1125" s="65"/>
      <c r="I1125" s="65"/>
      <c r="J1125" s="65"/>
      <c r="K1125" s="65"/>
      <c r="L1125" s="65"/>
      <c r="M1125" s="65"/>
      <c r="N1125" s="65"/>
      <c r="O1125" s="67"/>
      <c r="P1125" s="65"/>
      <c r="Q1125" s="65"/>
      <c r="R1125" s="65"/>
      <c r="S1125" s="65"/>
      <c r="T1125" s="65"/>
      <c r="U1125" s="65"/>
      <c r="V1125" s="68"/>
      <c r="W1125" s="65"/>
      <c r="X1125" s="65"/>
      <c r="Y1125" s="65"/>
      <c r="Z1125" s="65"/>
      <c r="AA1125" s="65"/>
      <c r="AB1125" s="65"/>
      <c r="AC1125" s="65"/>
      <c r="AD1125" s="65"/>
      <c r="AE1125" s="65"/>
      <c r="AF1125" s="65"/>
      <c r="AG1125" s="65"/>
      <c r="AH1125" s="65"/>
    </row>
    <row r="1126">
      <c r="A1126" s="61"/>
      <c r="B1126" s="61"/>
      <c r="C1126" s="61"/>
      <c r="D1126" s="62"/>
      <c r="E1126" s="61"/>
      <c r="F1126" s="61"/>
      <c r="G1126" s="61"/>
      <c r="H1126" s="61"/>
      <c r="I1126" s="61"/>
      <c r="J1126" s="61"/>
      <c r="K1126" s="61"/>
      <c r="L1126" s="61"/>
      <c r="M1126" s="61"/>
      <c r="N1126" s="61"/>
      <c r="O1126" s="63"/>
      <c r="P1126" s="61"/>
      <c r="Q1126" s="61"/>
      <c r="R1126" s="61"/>
      <c r="S1126" s="61"/>
      <c r="T1126" s="61"/>
      <c r="U1126" s="61"/>
      <c r="V1126" s="64"/>
      <c r="W1126" s="61"/>
      <c r="X1126" s="61"/>
      <c r="Y1126" s="61"/>
      <c r="Z1126" s="61"/>
      <c r="AA1126" s="61"/>
      <c r="AB1126" s="61"/>
      <c r="AC1126" s="61"/>
      <c r="AD1126" s="61"/>
      <c r="AE1126" s="61"/>
      <c r="AF1126" s="61"/>
      <c r="AG1126" s="61"/>
      <c r="AH1126" s="61"/>
    </row>
    <row r="1127">
      <c r="A1127" s="65"/>
      <c r="B1127" s="65"/>
      <c r="C1127" s="65"/>
      <c r="D1127" s="66"/>
      <c r="E1127" s="65"/>
      <c r="F1127" s="65"/>
      <c r="G1127" s="65"/>
      <c r="H1127" s="65"/>
      <c r="I1127" s="65"/>
      <c r="J1127" s="65"/>
      <c r="K1127" s="65"/>
      <c r="L1127" s="65"/>
      <c r="M1127" s="65"/>
      <c r="N1127" s="65"/>
      <c r="O1127" s="67"/>
      <c r="P1127" s="65"/>
      <c r="Q1127" s="65"/>
      <c r="R1127" s="65"/>
      <c r="S1127" s="65"/>
      <c r="T1127" s="65"/>
      <c r="U1127" s="65"/>
      <c r="V1127" s="68"/>
      <c r="W1127" s="65"/>
      <c r="X1127" s="65"/>
      <c r="Y1127" s="65"/>
      <c r="Z1127" s="65"/>
      <c r="AA1127" s="65"/>
      <c r="AB1127" s="65"/>
      <c r="AC1127" s="65"/>
      <c r="AD1127" s="65"/>
      <c r="AE1127" s="65"/>
      <c r="AF1127" s="65"/>
      <c r="AG1127" s="65"/>
      <c r="AH1127" s="65"/>
    </row>
  </sheetData>
  <autoFilter ref="$A$1:$AH$1127">
    <sortState ref="A1:AH1127">
      <sortCondition ref="B1:B1127"/>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s>
  <drawing r:id="rId1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13"/>
    <col customWidth="1" min="2" max="2" width="10.13"/>
    <col customWidth="1" min="3" max="3" width="20.0"/>
    <col customWidth="1" min="4" max="4" width="12.38"/>
    <col customWidth="1" min="5" max="5" width="16.5"/>
    <col customWidth="1" min="6" max="6" width="9.25"/>
    <col customWidth="1" min="7" max="7" width="11.88"/>
    <col customWidth="1" min="8" max="8" width="5.63"/>
    <col customWidth="1" min="9" max="9" width="11.0"/>
    <col customWidth="1" min="10" max="10" width="16.0"/>
    <col customWidth="1" min="11" max="11" width="10.63"/>
    <col customWidth="1" min="13" max="13" width="10.0"/>
    <col customWidth="1" min="14" max="14" width="10.13"/>
    <col customWidth="1" min="15" max="15" width="12.75"/>
    <col customWidth="1" min="16" max="16" width="6.88"/>
    <col customWidth="1" min="17" max="17" width="11.88"/>
    <col customWidth="1" min="18" max="18" width="16.5"/>
    <col customWidth="1" min="19" max="19" width="18.5"/>
    <col customWidth="1" min="20" max="20" width="11.0"/>
    <col customWidth="1" min="21" max="21" width="18.5"/>
    <col customWidth="1" min="22" max="22" width="15.25"/>
    <col customWidth="1" min="23" max="23" width="9.0"/>
    <col customWidth="1" min="24" max="24" width="9.13"/>
    <col customWidth="1" min="25" max="25" width="29.13"/>
    <col customWidth="1" min="26" max="26" width="22.75"/>
    <col customWidth="1" min="27" max="27" width="4.5"/>
    <col customWidth="1" min="28" max="28" width="8.38"/>
    <col customWidth="1" min="29" max="29" width="12.63"/>
    <col customWidth="1" min="30" max="30" width="11.38"/>
    <col customWidth="1" min="31" max="31" width="25.13"/>
  </cols>
  <sheetData>
    <row r="1">
      <c r="A1" s="1" t="s">
        <v>14039</v>
      </c>
      <c r="B1" s="1" t="s">
        <v>1</v>
      </c>
      <c r="C1" s="1" t="s">
        <v>2</v>
      </c>
      <c r="D1" s="2" t="s">
        <v>4</v>
      </c>
      <c r="E1" s="1" t="s">
        <v>5</v>
      </c>
      <c r="F1" s="1" t="s">
        <v>6</v>
      </c>
      <c r="G1" s="1" t="s">
        <v>7</v>
      </c>
      <c r="H1" s="1" t="s">
        <v>14041</v>
      </c>
      <c r="I1" s="1" t="s">
        <v>9</v>
      </c>
      <c r="J1" s="1" t="s">
        <v>14042</v>
      </c>
      <c r="K1" s="1" t="s">
        <v>11</v>
      </c>
      <c r="L1" s="1" t="s">
        <v>12</v>
      </c>
      <c r="M1" s="1" t="s">
        <v>30</v>
      </c>
      <c r="N1" s="1" t="s">
        <v>31</v>
      </c>
      <c r="O1" s="69" t="s">
        <v>32</v>
      </c>
      <c r="P1" s="1" t="s">
        <v>20</v>
      </c>
      <c r="Q1" s="1" t="s">
        <v>14</v>
      </c>
      <c r="R1" s="1" t="s">
        <v>14043</v>
      </c>
      <c r="S1" s="1" t="s">
        <v>13</v>
      </c>
      <c r="T1" s="1" t="s">
        <v>15</v>
      </c>
      <c r="U1" s="1" t="s">
        <v>16</v>
      </c>
      <c r="V1" s="1" t="s">
        <v>28</v>
      </c>
      <c r="W1" s="1" t="s">
        <v>14044</v>
      </c>
      <c r="X1" s="1" t="s">
        <v>14045</v>
      </c>
      <c r="Y1" s="1" t="s">
        <v>14046</v>
      </c>
      <c r="Z1" s="1" t="s">
        <v>14047</v>
      </c>
      <c r="AA1" s="1" t="s">
        <v>14048</v>
      </c>
      <c r="AB1" s="1" t="s">
        <v>25</v>
      </c>
      <c r="AC1" s="1" t="s">
        <v>29</v>
      </c>
      <c r="AD1" s="1" t="s">
        <v>18</v>
      </c>
      <c r="AE1" s="1" t="s">
        <v>17</v>
      </c>
    </row>
    <row r="2">
      <c r="A2" s="5" t="s">
        <v>1326</v>
      </c>
      <c r="B2" s="1" t="s">
        <v>1327</v>
      </c>
      <c r="C2" s="1" t="s">
        <v>1328</v>
      </c>
      <c r="D2" s="2" t="s">
        <v>1925</v>
      </c>
      <c r="E2" s="1"/>
      <c r="F2" s="1"/>
      <c r="G2" s="1"/>
      <c r="H2" s="1"/>
      <c r="I2" s="1"/>
      <c r="J2" s="1" t="s">
        <v>51</v>
      </c>
      <c r="K2" s="1" t="s">
        <v>1152</v>
      </c>
      <c r="L2" s="1">
        <v>1.0</v>
      </c>
      <c r="M2" s="1"/>
      <c r="N2" s="1"/>
      <c r="O2" s="69"/>
      <c r="P2" s="1"/>
      <c r="Q2" s="1"/>
      <c r="R2" s="1" t="s">
        <v>1333</v>
      </c>
      <c r="S2" s="1" t="s">
        <v>124</v>
      </c>
      <c r="T2" s="18">
        <v>45875.0</v>
      </c>
      <c r="U2" s="1" t="s">
        <v>1103</v>
      </c>
      <c r="V2" s="1"/>
      <c r="W2" s="1"/>
      <c r="X2" s="1"/>
      <c r="Y2" s="1"/>
      <c r="Z2" s="1"/>
      <c r="AA2" s="1"/>
      <c r="AB2" s="1"/>
      <c r="AC2" s="1"/>
      <c r="AD2" s="1"/>
      <c r="AE2" s="1"/>
    </row>
    <row r="3">
      <c r="A3" s="5" t="s">
        <v>1326</v>
      </c>
      <c r="B3" s="1" t="s">
        <v>1327</v>
      </c>
      <c r="C3" s="1" t="s">
        <v>1328</v>
      </c>
      <c r="D3" s="1" t="s">
        <v>1329</v>
      </c>
      <c r="E3" s="1" t="s">
        <v>1330</v>
      </c>
      <c r="F3" s="1" t="s">
        <v>1331</v>
      </c>
      <c r="G3" s="1" t="s">
        <v>989</v>
      </c>
      <c r="H3" s="1">
        <v>90035.0</v>
      </c>
      <c r="I3" s="1" t="s">
        <v>752</v>
      </c>
      <c r="J3" s="1" t="s">
        <v>51</v>
      </c>
      <c r="K3" s="1" t="s">
        <v>1152</v>
      </c>
      <c r="L3" s="1">
        <v>1.0</v>
      </c>
      <c r="M3" s="1"/>
      <c r="N3" s="1"/>
      <c r="O3" s="69"/>
      <c r="P3" s="1"/>
      <c r="Q3" s="1"/>
      <c r="R3" s="1" t="s">
        <v>1333</v>
      </c>
      <c r="S3" s="1" t="s">
        <v>124</v>
      </c>
      <c r="T3" s="18">
        <v>45875.0</v>
      </c>
      <c r="U3" s="1" t="s">
        <v>1103</v>
      </c>
      <c r="V3" s="1"/>
      <c r="W3" s="1"/>
      <c r="X3" s="1"/>
      <c r="Y3" s="1"/>
      <c r="Z3" s="1"/>
      <c r="AA3" s="1"/>
      <c r="AB3" s="1"/>
      <c r="AC3" s="1"/>
      <c r="AD3" s="1"/>
      <c r="AE3" s="1"/>
    </row>
  </sheetData>
  <hyperlinks>
    <hyperlink r:id="rId1" ref="A2"/>
    <hyperlink r:id="rId2" ref="A3"/>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13"/>
    <col customWidth="1" min="7" max="7" width="20.5"/>
    <col customWidth="1" min="8" max="8" width="60.38"/>
    <col customWidth="1" min="9" max="9" width="16.13"/>
    <col customWidth="1" min="10" max="10" width="17.88"/>
    <col customWidth="1" min="11" max="11" width="10.5"/>
    <col customWidth="1" min="12" max="12" width="8.38"/>
    <col customWidth="1" min="13" max="13" width="8.63"/>
  </cols>
  <sheetData>
    <row r="1">
      <c r="A1" s="70" t="s">
        <v>14049</v>
      </c>
      <c r="B1" s="70" t="s">
        <v>14050</v>
      </c>
      <c r="C1" s="71" t="s">
        <v>14051</v>
      </c>
      <c r="D1" s="70" t="s">
        <v>14052</v>
      </c>
      <c r="E1" s="70" t="s">
        <v>14053</v>
      </c>
      <c r="F1" s="70" t="s">
        <v>14054</v>
      </c>
      <c r="G1" s="70" t="s">
        <v>14055</v>
      </c>
      <c r="H1" s="70" t="s">
        <v>34</v>
      </c>
      <c r="I1" s="70" t="s">
        <v>14056</v>
      </c>
      <c r="J1" s="70" t="s">
        <v>14057</v>
      </c>
      <c r="K1" s="72" t="s">
        <v>14058</v>
      </c>
      <c r="L1" s="73" t="s">
        <v>14059</v>
      </c>
      <c r="M1" s="74" t="s">
        <v>14060</v>
      </c>
    </row>
    <row r="2">
      <c r="A2" s="1" t="s">
        <v>992</v>
      </c>
      <c r="B2" s="1" t="s">
        <v>14061</v>
      </c>
      <c r="C2" s="75">
        <v>45884.0</v>
      </c>
      <c r="D2" s="19"/>
      <c r="E2" s="1">
        <v>412.0</v>
      </c>
      <c r="F2" s="1" t="s">
        <v>146</v>
      </c>
      <c r="G2" s="19"/>
      <c r="H2" s="19"/>
      <c r="I2" s="1" t="b">
        <v>1</v>
      </c>
      <c r="J2" s="1" t="b">
        <v>1</v>
      </c>
      <c r="K2" s="72"/>
      <c r="L2" s="73">
        <v>45853.0</v>
      </c>
      <c r="M2" s="69" t="s">
        <v>14062</v>
      </c>
    </row>
    <row r="3">
      <c r="A3" s="1" t="s">
        <v>999</v>
      </c>
      <c r="B3" s="1" t="s">
        <v>14061</v>
      </c>
      <c r="C3" s="75">
        <v>45885.0</v>
      </c>
      <c r="D3" s="19"/>
      <c r="E3" s="1">
        <v>3304.0</v>
      </c>
      <c r="F3" s="1" t="s">
        <v>116</v>
      </c>
      <c r="G3" s="19"/>
      <c r="H3" s="19"/>
      <c r="I3" s="1" t="b">
        <v>1</v>
      </c>
      <c r="J3" s="1" t="b">
        <v>1</v>
      </c>
      <c r="K3" s="72"/>
      <c r="L3" s="73">
        <v>45853.0</v>
      </c>
      <c r="M3" s="69" t="s">
        <v>14062</v>
      </c>
    </row>
    <row r="4">
      <c r="A4" s="1" t="s">
        <v>1007</v>
      </c>
      <c r="B4" s="1" t="s">
        <v>14061</v>
      </c>
      <c r="C4" s="75">
        <v>45884.0</v>
      </c>
      <c r="D4" s="19"/>
      <c r="E4" s="1">
        <v>4421.0</v>
      </c>
      <c r="F4" s="1" t="s">
        <v>186</v>
      </c>
      <c r="G4" s="19"/>
      <c r="H4" s="19"/>
      <c r="I4" s="1" t="b">
        <v>1</v>
      </c>
      <c r="J4" s="1" t="b">
        <v>1</v>
      </c>
      <c r="K4" s="72"/>
      <c r="L4" s="73">
        <v>45853.0</v>
      </c>
      <c r="M4" s="69" t="s">
        <v>14062</v>
      </c>
    </row>
    <row r="5">
      <c r="A5" s="1" t="s">
        <v>1227</v>
      </c>
      <c r="B5" s="1" t="s">
        <v>14061</v>
      </c>
      <c r="C5" s="75">
        <v>45884.0</v>
      </c>
      <c r="D5" s="19"/>
      <c r="E5" s="1">
        <v>3310.0</v>
      </c>
      <c r="F5" s="1" t="s">
        <v>116</v>
      </c>
      <c r="G5" s="19"/>
      <c r="H5" s="19"/>
      <c r="I5" s="1" t="b">
        <v>1</v>
      </c>
      <c r="J5" s="1" t="b">
        <v>1</v>
      </c>
      <c r="K5" s="72"/>
      <c r="L5" s="73">
        <v>45853.0</v>
      </c>
      <c r="M5" s="69" t="s">
        <v>14062</v>
      </c>
    </row>
    <row r="6">
      <c r="A6" s="1" t="s">
        <v>1235</v>
      </c>
      <c r="B6" s="1" t="s">
        <v>14063</v>
      </c>
      <c r="C6" s="76"/>
      <c r="D6" s="19"/>
      <c r="E6" s="1">
        <v>2224.0</v>
      </c>
      <c r="F6" s="1" t="s">
        <v>78</v>
      </c>
      <c r="G6" s="19"/>
      <c r="H6" s="19"/>
      <c r="I6" s="1" t="b">
        <v>1</v>
      </c>
      <c r="J6" s="1" t="b">
        <v>1</v>
      </c>
      <c r="K6" s="72"/>
      <c r="L6" s="73">
        <v>45853.0</v>
      </c>
      <c r="M6" s="69" t="s">
        <v>14062</v>
      </c>
    </row>
    <row r="7">
      <c r="A7" s="1" t="s">
        <v>1265</v>
      </c>
      <c r="B7" s="1" t="s">
        <v>14064</v>
      </c>
      <c r="C7" s="75">
        <v>45883.0</v>
      </c>
      <c r="D7" s="19"/>
      <c r="E7" s="19"/>
      <c r="F7" s="19"/>
      <c r="G7" s="19"/>
      <c r="H7" s="19"/>
      <c r="I7" s="1" t="b">
        <v>1</v>
      </c>
      <c r="J7" s="1" t="b">
        <v>1</v>
      </c>
      <c r="K7" s="72"/>
      <c r="L7" s="73">
        <v>45853.0</v>
      </c>
      <c r="M7" s="69" t="s">
        <v>14062</v>
      </c>
    </row>
    <row r="8">
      <c r="A8" s="1" t="s">
        <v>1393</v>
      </c>
      <c r="B8" s="1" t="s">
        <v>14064</v>
      </c>
      <c r="C8" s="75">
        <v>45883.0</v>
      </c>
      <c r="D8" s="19"/>
      <c r="E8" s="19"/>
      <c r="F8" s="19"/>
      <c r="G8" s="19"/>
      <c r="H8" s="19"/>
      <c r="I8" s="1" t="b">
        <v>1</v>
      </c>
      <c r="J8" s="1" t="b">
        <v>1</v>
      </c>
      <c r="K8" s="72"/>
      <c r="L8" s="73">
        <v>45853.0</v>
      </c>
      <c r="M8" s="69" t="s">
        <v>14062</v>
      </c>
    </row>
    <row r="9">
      <c r="A9" s="1" t="s">
        <v>1657</v>
      </c>
      <c r="B9" s="1" t="s">
        <v>14065</v>
      </c>
      <c r="C9" s="75">
        <v>45888.0</v>
      </c>
      <c r="D9" s="77">
        <v>45911.0</v>
      </c>
      <c r="E9" s="19"/>
      <c r="F9" s="19"/>
      <c r="G9" s="19"/>
      <c r="H9" s="1" t="s">
        <v>14066</v>
      </c>
      <c r="I9" s="1" t="b">
        <v>1</v>
      </c>
      <c r="J9" s="1" t="b">
        <v>1</v>
      </c>
      <c r="K9" s="72"/>
      <c r="L9" s="73">
        <v>45853.0</v>
      </c>
      <c r="M9" s="69" t="s">
        <v>14062</v>
      </c>
    </row>
    <row r="10">
      <c r="A10" s="1" t="s">
        <v>1723</v>
      </c>
      <c r="B10" s="1" t="s">
        <v>14064</v>
      </c>
      <c r="C10" s="75">
        <v>45883.0</v>
      </c>
      <c r="D10" s="19"/>
      <c r="E10" s="19"/>
      <c r="F10" s="19"/>
      <c r="G10" s="19"/>
      <c r="H10" s="19"/>
      <c r="I10" s="1" t="b">
        <v>1</v>
      </c>
      <c r="J10" s="1" t="b">
        <v>1</v>
      </c>
      <c r="K10" s="72"/>
      <c r="L10" s="73">
        <v>45853.0</v>
      </c>
      <c r="M10" s="69" t="s">
        <v>14062</v>
      </c>
    </row>
    <row r="11">
      <c r="A11" s="1" t="s">
        <v>1856</v>
      </c>
      <c r="B11" s="1" t="s">
        <v>14067</v>
      </c>
      <c r="C11" s="76"/>
      <c r="D11" s="19"/>
      <c r="E11" s="19"/>
      <c r="F11" s="19"/>
      <c r="G11" s="19"/>
      <c r="H11" s="1" t="s">
        <v>14068</v>
      </c>
      <c r="I11" s="1" t="b">
        <v>1</v>
      </c>
      <c r="J11" s="1" t="b">
        <v>1</v>
      </c>
      <c r="K11" s="72"/>
      <c r="L11" s="73">
        <v>45859.0</v>
      </c>
      <c r="M11" s="69" t="s">
        <v>14062</v>
      </c>
    </row>
    <row r="12">
      <c r="A12" s="1" t="s">
        <v>1719</v>
      </c>
      <c r="B12" s="1" t="s">
        <v>14067</v>
      </c>
      <c r="C12" s="76"/>
      <c r="D12" s="19"/>
      <c r="E12" s="19"/>
      <c r="F12" s="19"/>
      <c r="G12" s="19"/>
      <c r="H12" s="1" t="s">
        <v>14069</v>
      </c>
      <c r="I12" s="1" t="b">
        <v>1</v>
      </c>
      <c r="J12" s="1" t="b">
        <v>1</v>
      </c>
      <c r="K12" s="72"/>
      <c r="L12" s="73">
        <v>45859.0</v>
      </c>
      <c r="M12" s="69" t="s">
        <v>14062</v>
      </c>
    </row>
    <row r="13">
      <c r="A13" s="1" t="s">
        <v>2001</v>
      </c>
      <c r="B13" s="1" t="s">
        <v>14064</v>
      </c>
      <c r="C13" s="75">
        <v>45883.0</v>
      </c>
      <c r="D13" s="19"/>
      <c r="E13" s="19"/>
      <c r="F13" s="19"/>
      <c r="G13" s="19"/>
      <c r="H13" s="19"/>
      <c r="I13" s="1" t="b">
        <v>1</v>
      </c>
      <c r="J13" s="1" t="b">
        <v>1</v>
      </c>
      <c r="K13" s="72"/>
      <c r="L13" s="73">
        <v>45859.0</v>
      </c>
      <c r="M13" s="69" t="s">
        <v>14062</v>
      </c>
    </row>
    <row r="14">
      <c r="A14" s="1" t="s">
        <v>745</v>
      </c>
      <c r="B14" s="1" t="s">
        <v>14063</v>
      </c>
      <c r="C14" s="76"/>
      <c r="D14" s="19"/>
      <c r="E14" s="1">
        <v>3309.0</v>
      </c>
      <c r="F14" s="1" t="s">
        <v>109</v>
      </c>
      <c r="G14" s="19"/>
      <c r="H14" s="19"/>
      <c r="I14" s="1" t="b">
        <v>1</v>
      </c>
      <c r="J14" s="1" t="b">
        <v>1</v>
      </c>
      <c r="K14" s="72"/>
      <c r="L14" s="73">
        <v>45859.0</v>
      </c>
      <c r="M14" s="69" t="s">
        <v>14062</v>
      </c>
    </row>
    <row r="15">
      <c r="A15" s="1" t="s">
        <v>14070</v>
      </c>
      <c r="B15" s="1" t="s">
        <v>14071</v>
      </c>
      <c r="C15" s="76"/>
      <c r="D15" s="19"/>
      <c r="E15" s="19"/>
      <c r="F15" s="19"/>
      <c r="G15" s="19"/>
      <c r="H15" s="1" t="s">
        <v>14072</v>
      </c>
      <c r="I15" s="1" t="b">
        <v>1</v>
      </c>
      <c r="J15" s="1" t="b">
        <v>1</v>
      </c>
      <c r="K15" s="72"/>
      <c r="L15" s="73"/>
      <c r="M15" s="78"/>
    </row>
    <row r="16">
      <c r="A16" s="1" t="s">
        <v>692</v>
      </c>
      <c r="B16" s="1" t="s">
        <v>14063</v>
      </c>
      <c r="C16" s="76"/>
      <c r="D16" s="19"/>
      <c r="E16" s="1">
        <v>4427.0</v>
      </c>
      <c r="F16" s="1" t="s">
        <v>68</v>
      </c>
      <c r="G16" s="19"/>
      <c r="H16" s="19"/>
      <c r="I16" s="1" t="b">
        <v>1</v>
      </c>
      <c r="J16" s="1" t="b">
        <v>1</v>
      </c>
      <c r="K16" s="72">
        <v>45857.0</v>
      </c>
      <c r="L16" s="73">
        <v>45859.0</v>
      </c>
      <c r="M16" s="69" t="s">
        <v>14062</v>
      </c>
    </row>
    <row r="17">
      <c r="A17" s="1" t="s">
        <v>71</v>
      </c>
      <c r="B17" s="1" t="s">
        <v>14063</v>
      </c>
      <c r="C17" s="76"/>
      <c r="D17" s="19"/>
      <c r="E17" s="1">
        <v>3331.0</v>
      </c>
      <c r="F17" s="1" t="s">
        <v>78</v>
      </c>
      <c r="G17" s="19"/>
      <c r="H17" s="19"/>
      <c r="I17" s="1" t="b">
        <v>1</v>
      </c>
      <c r="J17" s="1" t="b">
        <v>1</v>
      </c>
      <c r="K17" s="72">
        <v>45857.0</v>
      </c>
      <c r="L17" s="73">
        <v>45859.0</v>
      </c>
      <c r="M17" s="69" t="s">
        <v>14062</v>
      </c>
    </row>
    <row r="18">
      <c r="A18" s="1" t="s">
        <v>739</v>
      </c>
      <c r="B18" s="1" t="s">
        <v>14073</v>
      </c>
      <c r="C18" s="75">
        <v>45891.0</v>
      </c>
      <c r="D18" s="19"/>
      <c r="E18" s="1">
        <v>3062.0</v>
      </c>
      <c r="F18" s="1" t="s">
        <v>743</v>
      </c>
      <c r="G18" s="19"/>
      <c r="H18" s="1" t="s">
        <v>14074</v>
      </c>
      <c r="I18" s="1" t="b">
        <v>1</v>
      </c>
      <c r="J18" s="1" t="b">
        <v>1</v>
      </c>
      <c r="K18" s="72">
        <v>45858.0</v>
      </c>
      <c r="L18" s="73">
        <v>45859.0</v>
      </c>
      <c r="M18" s="69" t="s">
        <v>14062</v>
      </c>
    </row>
    <row r="19">
      <c r="A19" s="1" t="s">
        <v>1657</v>
      </c>
      <c r="B19" s="1" t="s">
        <v>14075</v>
      </c>
      <c r="C19" s="75">
        <v>45888.0</v>
      </c>
      <c r="D19" s="77">
        <v>45942.0</v>
      </c>
      <c r="E19" s="19"/>
      <c r="F19" s="19"/>
      <c r="G19" s="19"/>
      <c r="H19" s="19"/>
      <c r="I19" s="1" t="b">
        <v>1</v>
      </c>
      <c r="J19" s="1" t="b">
        <v>1</v>
      </c>
      <c r="K19" s="72">
        <v>45859.0</v>
      </c>
      <c r="L19" s="73"/>
      <c r="M19" s="78"/>
    </row>
    <row r="20">
      <c r="A20" s="1" t="s">
        <v>2871</v>
      </c>
      <c r="B20" s="1" t="s">
        <v>14076</v>
      </c>
      <c r="C20" s="75">
        <v>45881.0</v>
      </c>
      <c r="D20" s="19"/>
      <c r="E20" s="19"/>
      <c r="F20" s="19"/>
      <c r="G20" s="19"/>
      <c r="H20" s="19"/>
      <c r="I20" s="1" t="b">
        <v>1</v>
      </c>
      <c r="J20" s="1" t="b">
        <v>1</v>
      </c>
      <c r="K20" s="72">
        <v>45859.0</v>
      </c>
      <c r="L20" s="73">
        <v>45860.0</v>
      </c>
      <c r="M20" s="69" t="s">
        <v>14062</v>
      </c>
    </row>
    <row r="21">
      <c r="A21" s="1" t="s">
        <v>3013</v>
      </c>
      <c r="B21" s="1" t="s">
        <v>14064</v>
      </c>
      <c r="C21" s="75">
        <v>45860.0</v>
      </c>
      <c r="D21" s="19"/>
      <c r="E21" s="19"/>
      <c r="F21" s="19"/>
      <c r="G21" s="19"/>
      <c r="H21" s="1" t="s">
        <v>14077</v>
      </c>
      <c r="I21" s="1" t="b">
        <v>1</v>
      </c>
      <c r="J21" s="1" t="b">
        <v>1</v>
      </c>
      <c r="K21" s="72">
        <v>45859.0</v>
      </c>
      <c r="L21" s="73">
        <v>45860.0</v>
      </c>
      <c r="M21" s="69" t="s">
        <v>14062</v>
      </c>
    </row>
    <row r="22">
      <c r="A22" s="1" t="s">
        <v>441</v>
      </c>
      <c r="B22" s="1" t="s">
        <v>14078</v>
      </c>
      <c r="C22" s="76"/>
      <c r="D22" s="19"/>
      <c r="E22" s="1">
        <v>372.0</v>
      </c>
      <c r="F22" s="1" t="s">
        <v>153</v>
      </c>
      <c r="G22" s="19"/>
      <c r="H22" s="19"/>
      <c r="I22" s="1" t="b">
        <v>1</v>
      </c>
      <c r="J22" s="1" t="b">
        <v>1</v>
      </c>
      <c r="K22" s="72"/>
      <c r="L22" s="73">
        <v>45863.0</v>
      </c>
      <c r="M22" s="69" t="s">
        <v>14062</v>
      </c>
    </row>
    <row r="23">
      <c r="A23" s="19" t="s">
        <v>535</v>
      </c>
      <c r="B23" s="1" t="s">
        <v>14078</v>
      </c>
      <c r="C23" s="76"/>
      <c r="D23" s="19"/>
      <c r="E23" s="1" t="s">
        <v>540</v>
      </c>
      <c r="F23" s="1" t="s">
        <v>146</v>
      </c>
      <c r="G23" s="19"/>
      <c r="H23" s="19"/>
      <c r="I23" s="1" t="b">
        <v>1</v>
      </c>
      <c r="J23" s="1" t="b">
        <v>1</v>
      </c>
      <c r="K23" s="72"/>
      <c r="L23" s="73">
        <v>45863.0</v>
      </c>
      <c r="M23" s="69" t="s">
        <v>14062</v>
      </c>
    </row>
    <row r="24">
      <c r="A24" s="19" t="s">
        <v>819</v>
      </c>
      <c r="B24" s="1" t="s">
        <v>14078</v>
      </c>
      <c r="C24" s="76"/>
      <c r="D24" s="19"/>
      <c r="E24" s="1" t="s">
        <v>821</v>
      </c>
      <c r="F24" s="1" t="s">
        <v>109</v>
      </c>
      <c r="G24" s="19"/>
      <c r="H24" s="19"/>
      <c r="I24" s="1" t="b">
        <v>1</v>
      </c>
      <c r="J24" s="1" t="b">
        <v>1</v>
      </c>
      <c r="K24" s="72"/>
      <c r="L24" s="73">
        <v>45863.0</v>
      </c>
      <c r="M24" s="69" t="s">
        <v>14062</v>
      </c>
    </row>
    <row r="25">
      <c r="A25" s="1" t="s">
        <v>2880</v>
      </c>
      <c r="B25" s="1" t="s">
        <v>14076</v>
      </c>
      <c r="C25" s="75">
        <v>45890.0</v>
      </c>
      <c r="D25" s="19"/>
      <c r="E25" s="19"/>
      <c r="F25" s="19"/>
      <c r="G25" s="19"/>
      <c r="H25" s="19"/>
      <c r="I25" s="1" t="b">
        <v>1</v>
      </c>
      <c r="J25" s="1" t="b">
        <v>1</v>
      </c>
      <c r="K25" s="72"/>
      <c r="L25" s="73">
        <v>45863.0</v>
      </c>
      <c r="M25" s="69" t="s">
        <v>14062</v>
      </c>
    </row>
    <row r="26">
      <c r="A26" s="1" t="s">
        <v>3049</v>
      </c>
      <c r="B26" s="1" t="s">
        <v>14075</v>
      </c>
      <c r="C26" s="75">
        <v>45887.0</v>
      </c>
      <c r="D26" s="77">
        <v>45911.0</v>
      </c>
      <c r="E26" s="19"/>
      <c r="F26" s="19"/>
      <c r="G26" s="19"/>
      <c r="H26" s="19"/>
      <c r="I26" s="1" t="b">
        <v>1</v>
      </c>
      <c r="J26" s="1" t="b">
        <v>1</v>
      </c>
      <c r="K26" s="72"/>
      <c r="L26" s="73">
        <v>45863.0</v>
      </c>
      <c r="M26" s="69" t="s">
        <v>14062</v>
      </c>
    </row>
    <row r="27">
      <c r="A27" s="19" t="s">
        <v>1302</v>
      </c>
      <c r="B27" s="1" t="s">
        <v>14076</v>
      </c>
      <c r="C27" s="75">
        <v>45876.0</v>
      </c>
      <c r="D27" s="19"/>
      <c r="E27" s="19"/>
      <c r="F27" s="19"/>
      <c r="G27" s="19"/>
      <c r="H27" s="19"/>
      <c r="I27" s="1" t="b">
        <v>1</v>
      </c>
      <c r="J27" s="1" t="b">
        <v>1</v>
      </c>
      <c r="K27" s="72"/>
      <c r="L27" s="73">
        <v>45863.0</v>
      </c>
      <c r="M27" s="69" t="s">
        <v>14062</v>
      </c>
    </row>
    <row r="28">
      <c r="A28" s="6" t="s">
        <v>516</v>
      </c>
      <c r="B28" s="1" t="s">
        <v>14078</v>
      </c>
      <c r="C28" s="76"/>
      <c r="D28" s="19"/>
      <c r="E28" s="1">
        <v>4419.0</v>
      </c>
      <c r="F28" s="1" t="s">
        <v>68</v>
      </c>
      <c r="G28" s="19"/>
      <c r="H28" s="19"/>
      <c r="I28" s="1" t="b">
        <v>1</v>
      </c>
      <c r="J28" s="1" t="b">
        <v>1</v>
      </c>
      <c r="K28" s="72"/>
      <c r="L28" s="73">
        <v>45863.0</v>
      </c>
      <c r="M28" s="69" t="s">
        <v>14062</v>
      </c>
    </row>
    <row r="29">
      <c r="A29" s="19" t="s">
        <v>3054</v>
      </c>
      <c r="B29" s="1" t="s">
        <v>14075</v>
      </c>
      <c r="C29" s="75">
        <v>45891.0</v>
      </c>
      <c r="D29" s="77">
        <v>45941.0</v>
      </c>
      <c r="E29" s="19"/>
      <c r="F29" s="19"/>
      <c r="G29" s="19"/>
      <c r="H29" s="19"/>
      <c r="I29" s="1" t="b">
        <v>1</v>
      </c>
      <c r="J29" s="1" t="b">
        <v>1</v>
      </c>
      <c r="K29" s="72"/>
      <c r="L29" s="73">
        <v>45863.0</v>
      </c>
      <c r="M29" s="69" t="s">
        <v>14062</v>
      </c>
    </row>
    <row r="30">
      <c r="A30" s="6" t="s">
        <v>240</v>
      </c>
      <c r="B30" s="1" t="s">
        <v>14078</v>
      </c>
      <c r="C30" s="76"/>
      <c r="D30" s="19"/>
      <c r="E30" s="1">
        <v>413.0</v>
      </c>
      <c r="F30" s="1" t="s">
        <v>245</v>
      </c>
      <c r="G30" s="19"/>
      <c r="H30" s="19"/>
      <c r="I30" s="1" t="b">
        <v>1</v>
      </c>
      <c r="J30" s="1" t="b">
        <v>1</v>
      </c>
      <c r="K30" s="72"/>
      <c r="L30" s="73">
        <v>45863.0</v>
      </c>
      <c r="M30" s="69" t="s">
        <v>14062</v>
      </c>
    </row>
    <row r="31">
      <c r="A31" s="1" t="s">
        <v>3696</v>
      </c>
      <c r="B31" s="1" t="s">
        <v>14079</v>
      </c>
      <c r="C31" s="76"/>
      <c r="D31" s="19"/>
      <c r="E31" s="19"/>
      <c r="F31" s="19"/>
      <c r="G31" s="19"/>
      <c r="H31" s="1" t="s">
        <v>14080</v>
      </c>
      <c r="I31" s="1" t="b">
        <v>1</v>
      </c>
      <c r="J31" s="1" t="b">
        <v>1</v>
      </c>
      <c r="K31" s="72"/>
      <c r="L31" s="73">
        <v>45863.0</v>
      </c>
      <c r="M31" s="69" t="s">
        <v>14062</v>
      </c>
    </row>
    <row r="32">
      <c r="A32" s="1" t="s">
        <v>14081</v>
      </c>
      <c r="B32" s="1" t="s">
        <v>14082</v>
      </c>
      <c r="C32" s="76"/>
      <c r="D32" s="19"/>
      <c r="E32" s="19"/>
      <c r="F32" s="19"/>
      <c r="G32" s="19"/>
      <c r="H32" s="1" t="s">
        <v>14072</v>
      </c>
      <c r="I32" s="1" t="b">
        <v>1</v>
      </c>
      <c r="J32" s="1" t="b">
        <v>1</v>
      </c>
      <c r="K32" s="72"/>
      <c r="L32" s="73">
        <v>45863.0</v>
      </c>
      <c r="M32" s="69" t="s">
        <v>14062</v>
      </c>
    </row>
    <row r="33">
      <c r="A33" s="1" t="s">
        <v>2822</v>
      </c>
      <c r="B33" s="1" t="s">
        <v>14078</v>
      </c>
      <c r="C33" s="76"/>
      <c r="D33" s="19"/>
      <c r="E33" s="1">
        <v>3319.0</v>
      </c>
      <c r="F33" s="1" t="s">
        <v>68</v>
      </c>
      <c r="G33" s="19"/>
      <c r="H33" s="19"/>
      <c r="I33" s="1" t="b">
        <v>1</v>
      </c>
      <c r="J33" s="1" t="b">
        <v>1</v>
      </c>
      <c r="K33" s="72"/>
      <c r="L33" s="73">
        <v>45865.0</v>
      </c>
      <c r="M33" s="69" t="s">
        <v>14062</v>
      </c>
    </row>
    <row r="34">
      <c r="A34" s="1" t="s">
        <v>283</v>
      </c>
      <c r="B34" s="1" t="s">
        <v>14078</v>
      </c>
      <c r="C34" s="76"/>
      <c r="D34" s="19"/>
      <c r="E34" s="1">
        <v>3323.0</v>
      </c>
      <c r="F34" s="1" t="s">
        <v>109</v>
      </c>
      <c r="G34" s="19"/>
      <c r="H34" s="19"/>
      <c r="I34" s="1" t="b">
        <v>1</v>
      </c>
      <c r="J34" s="1" t="b">
        <v>1</v>
      </c>
      <c r="K34" s="72"/>
      <c r="L34" s="73">
        <v>45865.0</v>
      </c>
      <c r="M34" s="69" t="s">
        <v>14062</v>
      </c>
    </row>
    <row r="35">
      <c r="A35" s="1" t="s">
        <v>189</v>
      </c>
      <c r="B35" s="1" t="s">
        <v>14083</v>
      </c>
      <c r="C35" s="76"/>
      <c r="D35" s="19"/>
      <c r="E35" s="1">
        <v>3301.0</v>
      </c>
      <c r="F35" s="1" t="s">
        <v>116</v>
      </c>
      <c r="G35" s="19"/>
      <c r="H35" s="1" t="s">
        <v>14084</v>
      </c>
      <c r="I35" s="1" t="b">
        <v>1</v>
      </c>
      <c r="J35" s="1" t="b">
        <v>1</v>
      </c>
      <c r="K35" s="72"/>
      <c r="L35" s="73">
        <v>45865.0</v>
      </c>
      <c r="M35" s="69" t="s">
        <v>14062</v>
      </c>
    </row>
    <row r="36">
      <c r="A36" s="6" t="s">
        <v>413</v>
      </c>
      <c r="B36" s="1" t="s">
        <v>14078</v>
      </c>
      <c r="C36" s="76"/>
      <c r="D36" s="19"/>
      <c r="E36" s="1">
        <v>3302.0</v>
      </c>
      <c r="F36" s="1" t="s">
        <v>109</v>
      </c>
      <c r="G36" s="19"/>
      <c r="H36" s="1" t="s">
        <v>1152</v>
      </c>
      <c r="I36" s="1" t="b">
        <v>1</v>
      </c>
      <c r="J36" s="1" t="b">
        <v>1</v>
      </c>
      <c r="K36" s="72"/>
      <c r="L36" s="73">
        <v>45865.0</v>
      </c>
      <c r="M36" s="69" t="s">
        <v>14062</v>
      </c>
    </row>
    <row r="37">
      <c r="A37" s="6" t="s">
        <v>646</v>
      </c>
      <c r="B37" s="1" t="s">
        <v>14078</v>
      </c>
      <c r="C37" s="76"/>
      <c r="D37" s="19"/>
      <c r="E37" s="1">
        <v>3302.0</v>
      </c>
      <c r="F37" s="1" t="s">
        <v>109</v>
      </c>
      <c r="G37" s="19"/>
      <c r="H37" s="19"/>
      <c r="I37" s="1" t="b">
        <v>1</v>
      </c>
      <c r="J37" s="1" t="b">
        <v>1</v>
      </c>
      <c r="K37" s="72"/>
      <c r="L37" s="73">
        <v>45865.0</v>
      </c>
      <c r="M37" s="69" t="s">
        <v>14062</v>
      </c>
    </row>
    <row r="38">
      <c r="A38" s="79" t="s">
        <v>492</v>
      </c>
      <c r="B38" s="1" t="s">
        <v>14078</v>
      </c>
      <c r="C38" s="76"/>
      <c r="D38" s="19"/>
      <c r="E38" s="1">
        <v>2240.0</v>
      </c>
      <c r="F38" s="1" t="s">
        <v>109</v>
      </c>
      <c r="G38" s="19"/>
      <c r="H38" s="19"/>
      <c r="I38" s="1" t="b">
        <v>1</v>
      </c>
      <c r="J38" s="1" t="b">
        <v>1</v>
      </c>
      <c r="K38" s="72"/>
      <c r="L38" s="73">
        <v>45865.0</v>
      </c>
      <c r="M38" s="69" t="s">
        <v>14062</v>
      </c>
    </row>
    <row r="39">
      <c r="A39" s="1" t="s">
        <v>2529</v>
      </c>
      <c r="B39" s="1" t="s">
        <v>14079</v>
      </c>
      <c r="C39" s="76"/>
      <c r="D39" s="19"/>
      <c r="E39" s="19"/>
      <c r="F39" s="19"/>
      <c r="G39" s="19"/>
      <c r="H39" s="1" t="s">
        <v>14085</v>
      </c>
      <c r="I39" s="1" t="b">
        <v>1</v>
      </c>
      <c r="J39" s="1" t="b">
        <v>1</v>
      </c>
      <c r="K39" s="72"/>
      <c r="L39" s="73">
        <v>45865.0</v>
      </c>
      <c r="M39" s="69" t="s">
        <v>14062</v>
      </c>
    </row>
    <row r="40">
      <c r="A40" s="1" t="s">
        <v>2688</v>
      </c>
      <c r="B40" s="1" t="s">
        <v>14086</v>
      </c>
      <c r="C40" s="75">
        <v>45891.0</v>
      </c>
      <c r="D40" s="19"/>
      <c r="E40" s="1">
        <v>1051.0</v>
      </c>
      <c r="F40" s="1" t="s">
        <v>680</v>
      </c>
      <c r="G40" s="19"/>
      <c r="H40" s="19"/>
      <c r="I40" s="1" t="b">
        <v>1</v>
      </c>
      <c r="J40" s="1" t="b">
        <v>1</v>
      </c>
      <c r="K40" s="72"/>
      <c r="L40" s="73">
        <v>45865.0</v>
      </c>
      <c r="M40" s="69" t="s">
        <v>14062</v>
      </c>
    </row>
    <row r="41">
      <c r="A41" s="1" t="s">
        <v>1279</v>
      </c>
      <c r="B41" s="1" t="s">
        <v>14087</v>
      </c>
      <c r="C41" s="76"/>
      <c r="D41" s="19"/>
      <c r="E41" s="19"/>
      <c r="F41" s="1" t="s">
        <v>1285</v>
      </c>
      <c r="G41" s="19"/>
      <c r="H41" s="19"/>
      <c r="I41" s="1" t="b">
        <v>1</v>
      </c>
      <c r="J41" s="1" t="b">
        <v>1</v>
      </c>
      <c r="K41" s="72"/>
      <c r="L41" s="73">
        <v>45865.0</v>
      </c>
      <c r="M41" s="69" t="s">
        <v>14062</v>
      </c>
    </row>
    <row r="42">
      <c r="A42" s="1" t="s">
        <v>2432</v>
      </c>
      <c r="B42" s="1" t="s">
        <v>14087</v>
      </c>
      <c r="C42" s="76"/>
      <c r="D42" s="19"/>
      <c r="E42" s="19"/>
      <c r="F42" s="1" t="s">
        <v>2437</v>
      </c>
      <c r="G42" s="19"/>
      <c r="H42" s="19"/>
      <c r="I42" s="1" t="b">
        <v>1</v>
      </c>
      <c r="J42" s="1" t="b">
        <v>1</v>
      </c>
      <c r="K42" s="72"/>
      <c r="L42" s="73">
        <v>45865.0</v>
      </c>
      <c r="M42" s="69" t="s">
        <v>14062</v>
      </c>
    </row>
    <row r="43">
      <c r="A43" s="1" t="s">
        <v>3149</v>
      </c>
      <c r="B43" s="1" t="s">
        <v>14087</v>
      </c>
      <c r="C43" s="76"/>
      <c r="D43" s="19"/>
      <c r="E43" s="19"/>
      <c r="F43" s="1" t="s">
        <v>1285</v>
      </c>
      <c r="G43" s="19"/>
      <c r="H43" s="19"/>
      <c r="I43" s="1" t="b">
        <v>1</v>
      </c>
      <c r="J43" s="1" t="b">
        <v>1</v>
      </c>
      <c r="K43" s="72"/>
      <c r="L43" s="73">
        <v>45865.0</v>
      </c>
      <c r="M43" s="69" t="s">
        <v>14062</v>
      </c>
    </row>
    <row r="44">
      <c r="A44" s="1" t="s">
        <v>3087</v>
      </c>
      <c r="B44" s="1" t="s">
        <v>14087</v>
      </c>
      <c r="C44" s="76"/>
      <c r="D44" s="19"/>
      <c r="E44" s="19"/>
      <c r="F44" s="1" t="s">
        <v>2437</v>
      </c>
      <c r="G44" s="19"/>
      <c r="H44" s="19"/>
      <c r="I44" s="1" t="b">
        <v>1</v>
      </c>
      <c r="J44" s="1" t="b">
        <v>1</v>
      </c>
      <c r="K44" s="72"/>
      <c r="L44" s="73">
        <v>45865.0</v>
      </c>
      <c r="M44" s="69" t="s">
        <v>14062</v>
      </c>
    </row>
    <row r="45">
      <c r="A45" s="1" t="s">
        <v>3524</v>
      </c>
      <c r="B45" s="1" t="s">
        <v>14088</v>
      </c>
      <c r="C45" s="75">
        <v>45889.0</v>
      </c>
      <c r="D45" s="77">
        <v>45660.0</v>
      </c>
      <c r="E45" s="19"/>
      <c r="F45" s="19"/>
      <c r="G45" s="1" t="s">
        <v>14089</v>
      </c>
      <c r="H45" s="19"/>
      <c r="I45" s="1" t="b">
        <v>1</v>
      </c>
      <c r="J45" s="1" t="b">
        <v>1</v>
      </c>
      <c r="K45" s="72"/>
      <c r="L45" s="73">
        <v>45867.0</v>
      </c>
      <c r="M45" s="69" t="s">
        <v>14062</v>
      </c>
    </row>
    <row r="46">
      <c r="A46" s="79" t="s">
        <v>571</v>
      </c>
      <c r="B46" s="1" t="s">
        <v>14078</v>
      </c>
      <c r="C46" s="76"/>
      <c r="D46" s="19"/>
      <c r="E46" s="1">
        <v>3320.0</v>
      </c>
      <c r="F46" s="1" t="s">
        <v>68</v>
      </c>
      <c r="G46" s="19"/>
      <c r="H46" s="19"/>
      <c r="I46" s="1" t="b">
        <v>1</v>
      </c>
      <c r="J46" s="1" t="b">
        <v>1</v>
      </c>
      <c r="K46" s="72"/>
      <c r="L46" s="73">
        <v>45867.0</v>
      </c>
      <c r="M46" s="69" t="s">
        <v>14062</v>
      </c>
    </row>
    <row r="47">
      <c r="A47" s="79" t="s">
        <v>577</v>
      </c>
      <c r="B47" s="1" t="s">
        <v>14078</v>
      </c>
      <c r="C47" s="76"/>
      <c r="D47" s="19"/>
      <c r="E47" s="1">
        <v>3320.0</v>
      </c>
      <c r="F47" s="1" t="s">
        <v>68</v>
      </c>
      <c r="G47" s="19"/>
      <c r="H47" s="19"/>
      <c r="I47" s="1" t="b">
        <v>1</v>
      </c>
      <c r="J47" s="1" t="b">
        <v>1</v>
      </c>
      <c r="K47" s="72"/>
      <c r="L47" s="73">
        <v>45867.0</v>
      </c>
      <c r="M47" s="69" t="s">
        <v>14062</v>
      </c>
    </row>
    <row r="48">
      <c r="A48" s="1" t="s">
        <v>119</v>
      </c>
      <c r="B48" s="1" t="s">
        <v>14090</v>
      </c>
      <c r="C48" s="75">
        <v>45893.0</v>
      </c>
      <c r="D48" s="77">
        <v>45692.0</v>
      </c>
      <c r="E48" s="19"/>
      <c r="F48" s="19"/>
      <c r="G48" s="1" t="s">
        <v>126</v>
      </c>
      <c r="H48" s="1" t="s">
        <v>14091</v>
      </c>
      <c r="I48" s="1" t="b">
        <v>1</v>
      </c>
      <c r="J48" s="1" t="b">
        <v>1</v>
      </c>
      <c r="K48" s="72"/>
      <c r="L48" s="73">
        <v>45869.0</v>
      </c>
      <c r="M48" s="69" t="s">
        <v>14062</v>
      </c>
    </row>
    <row r="49">
      <c r="A49" s="19" t="s">
        <v>294</v>
      </c>
      <c r="B49" s="1" t="s">
        <v>14078</v>
      </c>
      <c r="C49" s="76"/>
      <c r="D49" s="19"/>
      <c r="E49" s="1" t="s">
        <v>14092</v>
      </c>
      <c r="F49" s="1" t="s">
        <v>299</v>
      </c>
      <c r="G49" s="19"/>
      <c r="H49" s="19"/>
      <c r="I49" s="1" t="b">
        <v>1</v>
      </c>
      <c r="J49" s="1" t="b">
        <v>1</v>
      </c>
      <c r="K49" s="72"/>
      <c r="L49" s="73">
        <v>45869.0</v>
      </c>
      <c r="M49" s="69" t="s">
        <v>14062</v>
      </c>
    </row>
    <row r="50">
      <c r="A50" s="1" t="s">
        <v>3874</v>
      </c>
      <c r="B50" s="1" t="s">
        <v>14093</v>
      </c>
      <c r="C50" s="75">
        <v>45892.0</v>
      </c>
      <c r="D50" s="1">
        <v>5.0</v>
      </c>
      <c r="E50" s="19"/>
      <c r="F50" s="19"/>
      <c r="G50" s="19"/>
      <c r="H50" s="1" t="s">
        <v>3878</v>
      </c>
      <c r="I50" s="1" t="b">
        <v>1</v>
      </c>
      <c r="J50" s="1" t="b">
        <v>1</v>
      </c>
      <c r="K50" s="72"/>
      <c r="L50" s="73">
        <v>45869.0</v>
      </c>
      <c r="M50" s="69" t="s">
        <v>14062</v>
      </c>
    </row>
    <row r="51">
      <c r="A51" s="1" t="s">
        <v>1814</v>
      </c>
      <c r="B51" s="1" t="s">
        <v>14094</v>
      </c>
      <c r="C51" s="76"/>
      <c r="D51" s="19"/>
      <c r="E51" s="1">
        <v>2053.0</v>
      </c>
      <c r="F51" s="19"/>
      <c r="G51" s="19"/>
      <c r="H51" s="19"/>
      <c r="I51" s="1" t="b">
        <v>1</v>
      </c>
      <c r="J51" s="1" t="b">
        <v>1</v>
      </c>
      <c r="K51" s="72"/>
      <c r="L51" s="73">
        <v>45869.0</v>
      </c>
      <c r="M51" s="69" t="s">
        <v>14062</v>
      </c>
    </row>
    <row r="52">
      <c r="A52" s="1" t="s">
        <v>586</v>
      </c>
      <c r="B52" s="1" t="s">
        <v>14078</v>
      </c>
      <c r="C52" s="76"/>
      <c r="D52" s="19"/>
      <c r="E52" s="1">
        <v>422.0</v>
      </c>
      <c r="F52" s="1" t="s">
        <v>146</v>
      </c>
      <c r="G52" s="19"/>
      <c r="H52" s="19"/>
      <c r="I52" s="1" t="b">
        <v>1</v>
      </c>
      <c r="J52" s="1" t="b">
        <v>1</v>
      </c>
      <c r="K52" s="72"/>
      <c r="L52" s="73">
        <v>45869.0</v>
      </c>
      <c r="M52" s="69" t="s">
        <v>14062</v>
      </c>
    </row>
    <row r="53">
      <c r="A53" s="1" t="s">
        <v>2744</v>
      </c>
      <c r="B53" s="1" t="s">
        <v>14087</v>
      </c>
      <c r="C53" s="76"/>
      <c r="D53" s="19"/>
      <c r="E53" s="19"/>
      <c r="F53" s="1" t="s">
        <v>680</v>
      </c>
      <c r="G53" s="19"/>
      <c r="H53" s="19"/>
      <c r="I53" s="1" t="b">
        <v>1</v>
      </c>
      <c r="J53" s="1" t="b">
        <v>1</v>
      </c>
      <c r="K53" s="72"/>
      <c r="L53" s="73">
        <v>45869.0</v>
      </c>
      <c r="M53" s="69" t="s">
        <v>14062</v>
      </c>
    </row>
    <row r="54">
      <c r="A54" s="1" t="s">
        <v>4729</v>
      </c>
      <c r="B54" s="1" t="s">
        <v>14075</v>
      </c>
      <c r="C54" s="75">
        <v>45891.0</v>
      </c>
      <c r="D54" s="77">
        <v>45911.0</v>
      </c>
      <c r="E54" s="19"/>
      <c r="F54" s="19"/>
      <c r="G54" s="19"/>
      <c r="H54" s="19"/>
      <c r="I54" s="1" t="b">
        <v>1</v>
      </c>
      <c r="J54" s="1" t="b">
        <v>1</v>
      </c>
      <c r="K54" s="72"/>
      <c r="L54" s="73">
        <v>45869.0</v>
      </c>
      <c r="M54" s="69" t="s">
        <v>14062</v>
      </c>
    </row>
    <row r="55">
      <c r="A55" s="80" t="s">
        <v>1869</v>
      </c>
      <c r="B55" s="12" t="s">
        <v>14076</v>
      </c>
      <c r="C55" s="81">
        <v>45891.0</v>
      </c>
      <c r="D55" s="82" t="s">
        <v>14095</v>
      </c>
      <c r="E55" s="80" t="s">
        <v>1870</v>
      </c>
      <c r="F55" s="80" t="s">
        <v>1871</v>
      </c>
      <c r="G55" s="80" t="s">
        <v>551</v>
      </c>
      <c r="H55" s="80"/>
      <c r="I55" s="1" t="b">
        <v>1</v>
      </c>
      <c r="J55" s="1" t="b">
        <v>1</v>
      </c>
      <c r="K55" s="83"/>
      <c r="L55" s="73">
        <v>45869.0</v>
      </c>
      <c r="M55" s="69" t="s">
        <v>14062</v>
      </c>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row>
    <row r="56">
      <c r="A56" s="1" t="s">
        <v>1763</v>
      </c>
      <c r="B56" s="1" t="s">
        <v>14094</v>
      </c>
      <c r="C56" s="76"/>
      <c r="D56" s="19"/>
      <c r="E56" s="1">
        <v>3312.0</v>
      </c>
      <c r="F56" s="19"/>
      <c r="G56" s="19"/>
      <c r="H56" s="19"/>
      <c r="I56" s="1" t="b">
        <v>1</v>
      </c>
      <c r="J56" s="1" t="b">
        <v>1</v>
      </c>
      <c r="K56" s="72"/>
      <c r="L56" s="73">
        <v>45869.0</v>
      </c>
      <c r="M56" s="69" t="s">
        <v>14062</v>
      </c>
    </row>
    <row r="57">
      <c r="A57" s="1" t="s">
        <v>4339</v>
      </c>
      <c r="B57" s="1" t="s">
        <v>14094</v>
      </c>
      <c r="C57" s="76"/>
      <c r="D57" s="19"/>
      <c r="E57" s="1" t="s">
        <v>14096</v>
      </c>
      <c r="F57" s="19"/>
      <c r="G57" s="19"/>
      <c r="H57" s="19"/>
      <c r="I57" s="1" t="b">
        <v>1</v>
      </c>
      <c r="J57" s="1" t="b">
        <v>1</v>
      </c>
      <c r="K57" s="72"/>
      <c r="L57" s="73">
        <v>45869.0</v>
      </c>
      <c r="M57" s="69" t="s">
        <v>14062</v>
      </c>
    </row>
    <row r="58">
      <c r="A58" s="1" t="s">
        <v>724</v>
      </c>
      <c r="B58" s="1" t="s">
        <v>14078</v>
      </c>
      <c r="C58" s="76"/>
      <c r="D58" s="19"/>
      <c r="E58" s="1">
        <v>2224.0</v>
      </c>
      <c r="F58" s="1" t="s">
        <v>78</v>
      </c>
      <c r="G58" s="19"/>
      <c r="H58" s="19"/>
      <c r="I58" s="1" t="b">
        <v>1</v>
      </c>
      <c r="J58" s="1" t="b">
        <v>1</v>
      </c>
      <c r="K58" s="72"/>
      <c r="L58" s="73">
        <v>45869.0</v>
      </c>
      <c r="M58" s="69" t="s">
        <v>14062</v>
      </c>
    </row>
    <row r="59">
      <c r="A59" s="1" t="s">
        <v>3330</v>
      </c>
      <c r="B59" s="1" t="s">
        <v>14078</v>
      </c>
      <c r="C59" s="76"/>
      <c r="D59" s="19"/>
      <c r="E59" s="1">
        <v>2224.0</v>
      </c>
      <c r="F59" s="1" t="s">
        <v>78</v>
      </c>
      <c r="G59" s="19"/>
      <c r="H59" s="19"/>
      <c r="I59" s="1" t="b">
        <v>1</v>
      </c>
      <c r="J59" s="1" t="b">
        <v>1</v>
      </c>
      <c r="K59" s="72"/>
      <c r="L59" s="73">
        <v>45869.0</v>
      </c>
      <c r="M59" s="69" t="s">
        <v>14062</v>
      </c>
    </row>
    <row r="60">
      <c r="A60" s="19" t="s">
        <v>558</v>
      </c>
      <c r="B60" s="1" t="s">
        <v>14097</v>
      </c>
      <c r="C60" s="76"/>
      <c r="D60" s="19"/>
      <c r="E60" s="19"/>
      <c r="F60" s="19"/>
      <c r="G60" s="19"/>
      <c r="H60" s="1" t="s">
        <v>14098</v>
      </c>
      <c r="I60" s="1" t="b">
        <v>1</v>
      </c>
      <c r="J60" s="1" t="b">
        <v>1</v>
      </c>
      <c r="K60" s="72"/>
      <c r="L60" s="73">
        <v>45869.0</v>
      </c>
      <c r="M60" s="69" t="s">
        <v>14062</v>
      </c>
    </row>
    <row r="61">
      <c r="A61" s="1" t="s">
        <v>1594</v>
      </c>
      <c r="B61" s="1" t="s">
        <v>14078</v>
      </c>
      <c r="C61" s="76"/>
      <c r="D61" s="19"/>
      <c r="E61" s="1" t="s">
        <v>14099</v>
      </c>
      <c r="F61" s="1" t="s">
        <v>245</v>
      </c>
      <c r="G61" s="19"/>
      <c r="H61" s="19"/>
      <c r="I61" s="1" t="b">
        <v>1</v>
      </c>
      <c r="J61" s="1" t="b">
        <v>1</v>
      </c>
      <c r="K61" s="72"/>
      <c r="L61" s="73">
        <v>45869.0</v>
      </c>
      <c r="M61" s="69" t="s">
        <v>14062</v>
      </c>
    </row>
    <row r="62">
      <c r="A62" s="6" t="s">
        <v>857</v>
      </c>
      <c r="B62" s="1" t="s">
        <v>14078</v>
      </c>
      <c r="C62" s="76"/>
      <c r="D62" s="19"/>
      <c r="E62" s="1" t="s">
        <v>187</v>
      </c>
      <c r="F62" s="1" t="s">
        <v>116</v>
      </c>
      <c r="G62" s="19"/>
      <c r="H62" s="19"/>
      <c r="I62" s="1" t="b">
        <v>1</v>
      </c>
      <c r="J62" s="1" t="b">
        <v>1</v>
      </c>
      <c r="K62" s="72"/>
      <c r="L62" s="73">
        <v>45869.0</v>
      </c>
      <c r="M62" s="69" t="s">
        <v>14062</v>
      </c>
    </row>
    <row r="63">
      <c r="A63" s="19" t="s">
        <v>1203</v>
      </c>
      <c r="B63" s="1" t="s">
        <v>14100</v>
      </c>
      <c r="C63" s="76"/>
      <c r="D63" s="77">
        <v>45911.0</v>
      </c>
      <c r="E63" s="19"/>
      <c r="F63" s="19"/>
      <c r="G63" s="19"/>
      <c r="H63" s="19"/>
      <c r="I63" s="1" t="b">
        <v>1</v>
      </c>
      <c r="J63" s="1" t="b">
        <v>1</v>
      </c>
      <c r="K63" s="72"/>
      <c r="L63" s="73">
        <v>45869.0</v>
      </c>
      <c r="M63" s="69" t="s">
        <v>14062</v>
      </c>
    </row>
    <row r="64">
      <c r="A64" s="1" t="s">
        <v>4000</v>
      </c>
      <c r="B64" s="1" t="s">
        <v>14078</v>
      </c>
      <c r="C64" s="76"/>
      <c r="D64" s="19"/>
      <c r="E64" s="1" t="s">
        <v>14101</v>
      </c>
      <c r="F64" s="1" t="s">
        <v>675</v>
      </c>
      <c r="G64" s="19"/>
      <c r="H64" s="19"/>
      <c r="I64" s="1" t="b">
        <v>1</v>
      </c>
      <c r="J64" s="1" t="b">
        <v>1</v>
      </c>
      <c r="K64" s="72"/>
      <c r="L64" s="73">
        <v>45869.0</v>
      </c>
      <c r="M64" s="69" t="s">
        <v>14062</v>
      </c>
    </row>
    <row r="65">
      <c r="A65" s="6" t="s">
        <v>259</v>
      </c>
      <c r="B65" s="1" t="s">
        <v>14078</v>
      </c>
      <c r="C65" s="76"/>
      <c r="D65" s="19"/>
      <c r="E65" s="84">
        <v>2210.0</v>
      </c>
      <c r="F65" s="1" t="s">
        <v>186</v>
      </c>
      <c r="G65" s="19"/>
      <c r="H65" s="19"/>
      <c r="I65" s="1" t="b">
        <v>1</v>
      </c>
      <c r="J65" s="1" t="b">
        <v>1</v>
      </c>
      <c r="K65" s="72"/>
      <c r="L65" s="73">
        <v>45869.0</v>
      </c>
      <c r="M65" s="69" t="s">
        <v>14062</v>
      </c>
    </row>
    <row r="66">
      <c r="A66" s="1" t="s">
        <v>4997</v>
      </c>
      <c r="B66" s="1" t="s">
        <v>14078</v>
      </c>
      <c r="C66" s="76"/>
      <c r="D66" s="19"/>
      <c r="E66" s="1">
        <v>1173.0</v>
      </c>
      <c r="F66" s="1" t="s">
        <v>737</v>
      </c>
      <c r="G66" s="19"/>
      <c r="H66" s="19"/>
      <c r="I66" s="1" t="b">
        <v>1</v>
      </c>
      <c r="J66" s="1" t="b">
        <v>1</v>
      </c>
      <c r="K66" s="72"/>
      <c r="L66" s="73">
        <v>45869.0</v>
      </c>
      <c r="M66" s="69" t="s">
        <v>14062</v>
      </c>
    </row>
    <row r="67">
      <c r="A67" s="1" t="s">
        <v>3441</v>
      </c>
      <c r="B67" s="1" t="s">
        <v>14094</v>
      </c>
      <c r="C67" s="76"/>
      <c r="D67" s="19"/>
      <c r="E67" s="1">
        <v>422.0</v>
      </c>
      <c r="F67" s="19"/>
      <c r="G67" s="19"/>
      <c r="H67" s="19"/>
      <c r="I67" s="1" t="b">
        <v>1</v>
      </c>
      <c r="J67" s="1" t="b">
        <v>1</v>
      </c>
      <c r="K67" s="72"/>
      <c r="L67" s="73">
        <v>45872.0</v>
      </c>
      <c r="M67" s="69" t="s">
        <v>14062</v>
      </c>
    </row>
    <row r="68">
      <c r="A68" s="1" t="s">
        <v>5005</v>
      </c>
      <c r="B68" s="1" t="s">
        <v>14102</v>
      </c>
      <c r="C68" s="76"/>
      <c r="D68" s="19"/>
      <c r="E68" s="19"/>
      <c r="F68" s="19"/>
      <c r="G68" s="1" t="s">
        <v>5008</v>
      </c>
      <c r="H68" s="19"/>
      <c r="I68" s="1" t="b">
        <v>1</v>
      </c>
      <c r="J68" s="1" t="b">
        <v>1</v>
      </c>
      <c r="K68" s="72"/>
      <c r="L68" s="73">
        <v>45872.0</v>
      </c>
      <c r="M68" s="69" t="s">
        <v>14062</v>
      </c>
    </row>
    <row r="69">
      <c r="A69" s="1" t="s">
        <v>4248</v>
      </c>
      <c r="B69" s="1" t="s">
        <v>14078</v>
      </c>
      <c r="C69" s="76"/>
      <c r="D69" s="19"/>
      <c r="E69" s="1" t="s">
        <v>4262</v>
      </c>
      <c r="F69" s="1" t="s">
        <v>116</v>
      </c>
      <c r="G69" s="1"/>
      <c r="H69" s="19"/>
      <c r="I69" s="1" t="b">
        <v>1</v>
      </c>
      <c r="J69" s="1" t="b">
        <v>1</v>
      </c>
      <c r="K69" s="72"/>
      <c r="L69" s="73">
        <v>45872.0</v>
      </c>
      <c r="M69" s="69" t="s">
        <v>14062</v>
      </c>
    </row>
    <row r="70">
      <c r="A70" s="1" t="s">
        <v>5164</v>
      </c>
      <c r="B70" s="1" t="s">
        <v>14103</v>
      </c>
      <c r="C70" s="76"/>
      <c r="D70" s="19"/>
      <c r="E70" s="19"/>
      <c r="F70" s="19"/>
      <c r="H70" s="1" t="s">
        <v>5169</v>
      </c>
      <c r="I70" s="1" t="b">
        <v>1</v>
      </c>
      <c r="J70" s="1" t="b">
        <v>1</v>
      </c>
      <c r="K70" s="72"/>
      <c r="L70" s="73">
        <v>45872.0</v>
      </c>
      <c r="M70" s="69" t="s">
        <v>14062</v>
      </c>
    </row>
    <row r="71">
      <c r="A71" s="1" t="s">
        <v>5171</v>
      </c>
      <c r="B71" s="1" t="s">
        <v>14103</v>
      </c>
      <c r="C71" s="76"/>
      <c r="D71" s="19"/>
      <c r="E71" s="19"/>
      <c r="F71" s="19"/>
      <c r="G71" s="19"/>
      <c r="H71" s="1" t="s">
        <v>5173</v>
      </c>
      <c r="I71" s="1" t="b">
        <v>1</v>
      </c>
      <c r="J71" s="1" t="b">
        <v>1</v>
      </c>
      <c r="K71" s="72"/>
      <c r="L71" s="73">
        <v>45872.0</v>
      </c>
      <c r="M71" s="69" t="s">
        <v>14062</v>
      </c>
    </row>
    <row r="72">
      <c r="A72" s="1" t="s">
        <v>3135</v>
      </c>
      <c r="B72" s="1" t="s">
        <v>14094</v>
      </c>
      <c r="C72" s="76"/>
      <c r="D72" s="19"/>
      <c r="E72" s="1">
        <v>3330.0</v>
      </c>
      <c r="F72" s="19"/>
      <c r="G72" s="19"/>
      <c r="H72" s="19"/>
      <c r="I72" s="1" t="b">
        <v>1</v>
      </c>
      <c r="J72" s="1" t="b">
        <v>1</v>
      </c>
      <c r="K72" s="72"/>
      <c r="L72" s="73">
        <v>45872.0</v>
      </c>
      <c r="M72" s="69" t="s">
        <v>14062</v>
      </c>
    </row>
    <row r="73">
      <c r="A73" s="79" t="s">
        <v>553</v>
      </c>
      <c r="B73" s="1" t="s">
        <v>14078</v>
      </c>
      <c r="C73" s="76"/>
      <c r="D73" s="19"/>
      <c r="E73" s="1">
        <v>4402.0</v>
      </c>
      <c r="F73" s="1" t="s">
        <v>186</v>
      </c>
      <c r="G73" s="19"/>
      <c r="H73" s="19"/>
      <c r="I73" s="1" t="b">
        <v>1</v>
      </c>
      <c r="J73" s="1" t="b">
        <v>1</v>
      </c>
      <c r="K73" s="72"/>
      <c r="L73" s="73">
        <v>45873.0</v>
      </c>
      <c r="M73" s="69" t="s">
        <v>14062</v>
      </c>
    </row>
    <row r="74">
      <c r="A74" s="79" t="s">
        <v>553</v>
      </c>
      <c r="B74" s="1" t="s">
        <v>14078</v>
      </c>
      <c r="C74" s="76"/>
      <c r="D74" s="19"/>
      <c r="E74" s="1">
        <v>4402.0</v>
      </c>
      <c r="F74" s="1" t="s">
        <v>186</v>
      </c>
      <c r="G74" s="19"/>
      <c r="H74" s="19"/>
      <c r="I74" s="1" t="b">
        <v>1</v>
      </c>
      <c r="J74" s="1" t="b">
        <v>1</v>
      </c>
      <c r="K74" s="72"/>
      <c r="L74" s="73">
        <v>45873.0</v>
      </c>
      <c r="M74" s="69" t="s">
        <v>14062</v>
      </c>
    </row>
    <row r="75">
      <c r="A75" s="79" t="s">
        <v>805</v>
      </c>
      <c r="B75" s="1" t="s">
        <v>14078</v>
      </c>
      <c r="C75" s="76"/>
      <c r="D75" s="19"/>
      <c r="E75" s="1">
        <v>244.0</v>
      </c>
      <c r="F75" s="1" t="s">
        <v>299</v>
      </c>
      <c r="G75" s="19"/>
      <c r="H75" s="19"/>
      <c r="I75" s="1" t="b">
        <v>1</v>
      </c>
      <c r="J75" s="1" t="b">
        <v>1</v>
      </c>
      <c r="K75" s="72"/>
      <c r="L75" s="73">
        <v>45873.0</v>
      </c>
      <c r="M75" s="69" t="s">
        <v>14062</v>
      </c>
    </row>
    <row r="76">
      <c r="A76" s="1" t="s">
        <v>2143</v>
      </c>
      <c r="B76" s="1" t="s">
        <v>14078</v>
      </c>
      <c r="C76" s="76"/>
      <c r="D76" s="19"/>
      <c r="E76" s="1">
        <v>1107.0</v>
      </c>
      <c r="F76" s="1" t="s">
        <v>116</v>
      </c>
      <c r="G76" s="19"/>
      <c r="H76" s="19"/>
      <c r="I76" s="1" t="b">
        <v>1</v>
      </c>
      <c r="J76" s="1" t="b">
        <v>1</v>
      </c>
      <c r="K76" s="72"/>
      <c r="L76" s="73">
        <v>45873.0</v>
      </c>
      <c r="M76" s="69" t="s">
        <v>14062</v>
      </c>
    </row>
    <row r="77">
      <c r="A77" s="1" t="s">
        <v>3135</v>
      </c>
      <c r="B77" s="1" t="s">
        <v>14078</v>
      </c>
      <c r="C77" s="76"/>
      <c r="D77" s="19"/>
      <c r="E77" s="1">
        <v>3330.0</v>
      </c>
      <c r="F77" s="1" t="s">
        <v>78</v>
      </c>
      <c r="G77" s="19"/>
      <c r="H77" s="19"/>
      <c r="I77" s="1" t="b">
        <v>1</v>
      </c>
      <c r="J77" s="1" t="b">
        <v>1</v>
      </c>
      <c r="K77" s="72"/>
      <c r="L77" s="73">
        <v>45874.0</v>
      </c>
      <c r="M77" s="69" t="s">
        <v>14062</v>
      </c>
    </row>
    <row r="78">
      <c r="A78" s="1" t="s">
        <v>4943</v>
      </c>
      <c r="B78" s="1" t="s">
        <v>14075</v>
      </c>
      <c r="C78" s="75">
        <v>45877.0</v>
      </c>
      <c r="D78" s="1" t="s">
        <v>14104</v>
      </c>
      <c r="E78" s="19"/>
      <c r="F78" s="19"/>
      <c r="G78" s="19"/>
      <c r="H78" s="19"/>
      <c r="I78" s="1" t="b">
        <v>1</v>
      </c>
      <c r="J78" s="1" t="b">
        <v>1</v>
      </c>
      <c r="K78" s="72"/>
      <c r="L78" s="73">
        <v>45874.0</v>
      </c>
      <c r="M78" s="69" t="s">
        <v>14062</v>
      </c>
    </row>
    <row r="79">
      <c r="A79" s="1" t="s">
        <v>5310</v>
      </c>
      <c r="B79" s="1" t="s">
        <v>14102</v>
      </c>
      <c r="C79" s="76"/>
      <c r="D79" s="19"/>
      <c r="E79" s="19"/>
      <c r="F79" s="19"/>
      <c r="G79" s="1" t="s">
        <v>5316</v>
      </c>
      <c r="H79" s="19"/>
      <c r="I79" s="1" t="b">
        <v>1</v>
      </c>
      <c r="J79" s="1" t="b">
        <v>1</v>
      </c>
      <c r="K79" s="72"/>
      <c r="L79" s="73">
        <v>45874.0</v>
      </c>
      <c r="M79" s="69" t="s">
        <v>14062</v>
      </c>
    </row>
    <row r="80">
      <c r="A80" s="1" t="s">
        <v>1490</v>
      </c>
      <c r="B80" s="1" t="s">
        <v>14078</v>
      </c>
      <c r="C80" s="76"/>
      <c r="D80" s="19"/>
      <c r="E80" s="1">
        <v>2204.0</v>
      </c>
      <c r="F80" s="1" t="s">
        <v>186</v>
      </c>
      <c r="G80" s="1"/>
      <c r="H80" s="19"/>
      <c r="I80" s="1" t="b">
        <v>1</v>
      </c>
      <c r="J80" s="1" t="b">
        <v>1</v>
      </c>
      <c r="K80" s="72"/>
      <c r="L80" s="73">
        <v>45875.0</v>
      </c>
      <c r="M80" s="69" t="s">
        <v>14062</v>
      </c>
    </row>
    <row r="81">
      <c r="A81" s="1" t="s">
        <v>3634</v>
      </c>
      <c r="B81" s="1" t="s">
        <v>14078</v>
      </c>
      <c r="C81" s="76"/>
      <c r="D81" s="19"/>
      <c r="E81" s="1">
        <v>2102.0</v>
      </c>
      <c r="F81" s="1" t="s">
        <v>45</v>
      </c>
      <c r="G81" s="19"/>
      <c r="H81" s="19"/>
      <c r="I81" s="1" t="b">
        <v>1</v>
      </c>
      <c r="J81" s="1" t="b">
        <v>1</v>
      </c>
      <c r="K81" s="72"/>
      <c r="L81" s="73">
        <v>45875.0</v>
      </c>
      <c r="M81" s="69" t="s">
        <v>14062</v>
      </c>
    </row>
    <row r="82">
      <c r="A82" s="79" t="s">
        <v>265</v>
      </c>
      <c r="B82" s="1" t="s">
        <v>14078</v>
      </c>
      <c r="C82" s="76"/>
      <c r="D82" s="19"/>
      <c r="E82" s="1">
        <v>4402.0</v>
      </c>
      <c r="F82" s="1" t="s">
        <v>186</v>
      </c>
      <c r="G82" s="19"/>
      <c r="H82" s="19"/>
      <c r="I82" s="1" t="b">
        <v>1</v>
      </c>
      <c r="J82" s="1" t="b">
        <v>1</v>
      </c>
      <c r="K82" s="72"/>
      <c r="L82" s="73">
        <v>45876.0</v>
      </c>
      <c r="M82" s="69" t="s">
        <v>14062</v>
      </c>
    </row>
    <row r="83">
      <c r="A83" s="6" t="s">
        <v>90</v>
      </c>
      <c r="B83" s="1" t="s">
        <v>14075</v>
      </c>
      <c r="C83" s="75">
        <v>45889.0</v>
      </c>
      <c r="D83" s="1" t="s">
        <v>14105</v>
      </c>
      <c r="E83" s="19"/>
      <c r="F83" s="19"/>
      <c r="G83" s="19"/>
      <c r="H83" s="19"/>
      <c r="I83" s="1" t="b">
        <v>1</v>
      </c>
      <c r="J83" s="1" t="b">
        <v>1</v>
      </c>
      <c r="K83" s="72"/>
      <c r="L83" s="73">
        <v>45877.0</v>
      </c>
      <c r="M83" s="69" t="s">
        <v>14062</v>
      </c>
    </row>
    <row r="84">
      <c r="A84" s="80" t="s">
        <v>5347</v>
      </c>
      <c r="B84" s="12" t="s">
        <v>14106</v>
      </c>
      <c r="C84" s="85"/>
      <c r="D84" s="86"/>
      <c r="E84" s="80"/>
      <c r="F84" s="80"/>
      <c r="G84" s="80"/>
      <c r="H84" s="12" t="s">
        <v>14107</v>
      </c>
      <c r="I84" s="1" t="b">
        <v>1</v>
      </c>
      <c r="J84" s="1" t="b">
        <v>1</v>
      </c>
      <c r="K84" s="72"/>
      <c r="L84" s="73">
        <v>45879.0</v>
      </c>
      <c r="M84" s="69" t="s">
        <v>14062</v>
      </c>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80"/>
      <c r="BK84" s="80"/>
      <c r="BL84" s="80"/>
      <c r="BM84" s="80"/>
      <c r="BN84" s="80"/>
      <c r="BO84" s="80"/>
      <c r="BP84" s="80"/>
      <c r="BQ84" s="80"/>
      <c r="BR84" s="80"/>
      <c r="BS84" s="80"/>
      <c r="BT84" s="80"/>
      <c r="BU84" s="80"/>
      <c r="BV84" s="80"/>
      <c r="BW84" s="80"/>
      <c r="BX84" s="80"/>
      <c r="BY84" s="80"/>
      <c r="BZ84" s="80"/>
      <c r="CA84" s="80"/>
      <c r="CB84" s="80"/>
      <c r="CC84" s="80"/>
      <c r="CD84" s="80"/>
      <c r="CE84" s="80"/>
      <c r="CF84" s="80"/>
      <c r="CG84" s="80"/>
      <c r="CH84" s="80"/>
      <c r="CI84" s="80"/>
      <c r="CJ84" s="80"/>
      <c r="CK84" s="80"/>
      <c r="CL84" s="80"/>
      <c r="CM84" s="80"/>
      <c r="CN84" s="80"/>
      <c r="CO84" s="80"/>
      <c r="CP84" s="80"/>
      <c r="CQ84" s="80"/>
      <c r="CR84" s="80"/>
      <c r="CS84" s="80"/>
      <c r="CT84" s="80"/>
      <c r="CU84" s="80"/>
      <c r="CV84" s="80"/>
    </row>
    <row r="85">
      <c r="A85" s="1" t="s">
        <v>6091</v>
      </c>
      <c r="B85" s="1" t="s">
        <v>14078</v>
      </c>
      <c r="C85" s="76"/>
      <c r="D85" s="19"/>
      <c r="E85" s="1">
        <v>3073.0</v>
      </c>
      <c r="F85" s="1" t="s">
        <v>551</v>
      </c>
      <c r="G85" s="19"/>
      <c r="H85" s="19"/>
      <c r="I85" s="1" t="b">
        <v>1</v>
      </c>
      <c r="J85" s="1" t="b">
        <v>1</v>
      </c>
      <c r="K85" s="72"/>
      <c r="L85" s="73">
        <v>45879.0</v>
      </c>
      <c r="M85" s="69" t="s">
        <v>14062</v>
      </c>
    </row>
    <row r="86">
      <c r="A86" s="1" t="s">
        <v>6065</v>
      </c>
      <c r="B86" s="1" t="s">
        <v>14076</v>
      </c>
      <c r="C86" s="75">
        <v>45878.0</v>
      </c>
      <c r="D86" s="19"/>
      <c r="E86" s="19"/>
      <c r="F86" s="19"/>
      <c r="G86" s="19"/>
      <c r="H86" s="19"/>
      <c r="I86" s="1" t="b">
        <v>1</v>
      </c>
      <c r="J86" s="1" t="b">
        <v>1</v>
      </c>
      <c r="K86" s="72"/>
      <c r="L86" s="73">
        <v>45879.0</v>
      </c>
      <c r="M86" s="69" t="s">
        <v>14062</v>
      </c>
    </row>
    <row r="87">
      <c r="A87" s="1" t="s">
        <v>3426</v>
      </c>
      <c r="B87" s="1" t="s">
        <v>14075</v>
      </c>
      <c r="C87" s="75">
        <v>45894.0</v>
      </c>
      <c r="D87" s="1" t="s">
        <v>14108</v>
      </c>
      <c r="E87" s="19"/>
      <c r="F87" s="19"/>
      <c r="G87" s="19"/>
      <c r="H87" s="19"/>
      <c r="I87" s="1" t="b">
        <v>1</v>
      </c>
      <c r="J87" s="1" t="b">
        <v>1</v>
      </c>
      <c r="K87" s="72"/>
      <c r="L87" s="73">
        <v>45879.0</v>
      </c>
      <c r="M87" s="69" t="s">
        <v>14062</v>
      </c>
    </row>
    <row r="88">
      <c r="A88" s="1" t="s">
        <v>1357</v>
      </c>
      <c r="B88" s="1" t="s">
        <v>14078</v>
      </c>
      <c r="C88" s="76"/>
      <c r="D88" s="19"/>
      <c r="E88" s="1">
        <v>306.0</v>
      </c>
      <c r="F88" s="1" t="s">
        <v>132</v>
      </c>
      <c r="G88" s="19"/>
      <c r="H88" s="19"/>
      <c r="I88" s="1" t="b">
        <v>1</v>
      </c>
      <c r="J88" s="1" t="b">
        <v>1</v>
      </c>
      <c r="K88" s="72"/>
      <c r="L88" s="73">
        <v>45879.0</v>
      </c>
      <c r="M88" s="69" t="s">
        <v>14062</v>
      </c>
    </row>
    <row r="89">
      <c r="A89" s="1" t="s">
        <v>2497</v>
      </c>
      <c r="B89" s="1" t="s">
        <v>14109</v>
      </c>
      <c r="C89" s="75">
        <v>45891.0</v>
      </c>
      <c r="D89" s="1" t="s">
        <v>14110</v>
      </c>
      <c r="E89" s="19"/>
      <c r="F89" s="19"/>
      <c r="G89" s="1" t="s">
        <v>2503</v>
      </c>
      <c r="H89" s="19"/>
      <c r="I89" s="1" t="b">
        <v>1</v>
      </c>
      <c r="J89" s="1" t="b">
        <v>1</v>
      </c>
      <c r="K89" s="72"/>
      <c r="L89" s="73">
        <v>45880.0</v>
      </c>
      <c r="M89" s="69" t="s">
        <v>14062</v>
      </c>
    </row>
    <row r="90">
      <c r="A90" s="1" t="s">
        <v>6181</v>
      </c>
      <c r="B90" s="1" t="s">
        <v>14078</v>
      </c>
      <c r="C90" s="76"/>
      <c r="D90" s="19"/>
      <c r="E90" s="1">
        <v>3124.0</v>
      </c>
      <c r="F90" s="1" t="s">
        <v>222</v>
      </c>
      <c r="G90" s="19"/>
      <c r="H90" s="19"/>
      <c r="I90" s="1" t="b">
        <v>1</v>
      </c>
      <c r="J90" s="1" t="b">
        <v>1</v>
      </c>
      <c r="K90" s="72"/>
      <c r="L90" s="73">
        <v>45881.0</v>
      </c>
      <c r="M90" s="69" t="s">
        <v>14062</v>
      </c>
    </row>
    <row r="91">
      <c r="A91" s="87" t="s">
        <v>6462</v>
      </c>
      <c r="B91" s="1" t="s">
        <v>14078</v>
      </c>
      <c r="C91" s="76"/>
      <c r="D91" s="19"/>
      <c r="E91" s="1">
        <v>3124.0</v>
      </c>
      <c r="F91" s="1" t="s">
        <v>222</v>
      </c>
      <c r="G91" s="19"/>
      <c r="H91" s="19"/>
      <c r="I91" s="1" t="b">
        <v>1</v>
      </c>
      <c r="J91" s="1" t="b">
        <v>1</v>
      </c>
      <c r="K91" s="72"/>
      <c r="L91" s="73">
        <v>45881.0</v>
      </c>
      <c r="M91" s="69" t="s">
        <v>14062</v>
      </c>
    </row>
    <row r="92">
      <c r="A92" s="1" t="s">
        <v>6496</v>
      </c>
      <c r="B92" s="1" t="s">
        <v>14111</v>
      </c>
      <c r="C92" s="76"/>
      <c r="D92" s="19"/>
      <c r="E92" s="19"/>
      <c r="F92" s="19"/>
      <c r="G92" s="1" t="s">
        <v>6498</v>
      </c>
      <c r="H92" s="19"/>
      <c r="I92" s="1" t="b">
        <v>1</v>
      </c>
      <c r="J92" s="1" t="b">
        <v>1</v>
      </c>
      <c r="K92" s="72"/>
      <c r="L92" s="73">
        <v>45881.0</v>
      </c>
      <c r="M92" s="69" t="s">
        <v>14062</v>
      </c>
    </row>
    <row r="93">
      <c r="A93" s="1" t="s">
        <v>6633</v>
      </c>
      <c r="B93" s="1" t="s">
        <v>14103</v>
      </c>
      <c r="C93" s="76"/>
      <c r="D93" s="19"/>
      <c r="E93" s="19"/>
      <c r="F93" s="19"/>
      <c r="G93" s="1"/>
      <c r="H93" s="37" t="s">
        <v>6637</v>
      </c>
      <c r="I93" s="1" t="b">
        <v>1</v>
      </c>
      <c r="J93" s="1" t="b">
        <v>1</v>
      </c>
      <c r="K93" s="72"/>
      <c r="L93" s="73">
        <v>45882.0</v>
      </c>
      <c r="M93" s="69" t="s">
        <v>14062</v>
      </c>
    </row>
    <row r="94">
      <c r="A94" s="1" t="s">
        <v>6240</v>
      </c>
      <c r="B94" s="1" t="s">
        <v>14075</v>
      </c>
      <c r="C94" s="75">
        <v>45888.0</v>
      </c>
      <c r="D94" s="1" t="s">
        <v>14112</v>
      </c>
      <c r="E94" s="19"/>
      <c r="F94" s="19"/>
      <c r="G94" s="19"/>
      <c r="H94" s="19"/>
      <c r="I94" s="1" t="b">
        <v>1</v>
      </c>
      <c r="J94" s="1" t="b">
        <v>1</v>
      </c>
      <c r="K94" s="72"/>
      <c r="L94" s="73">
        <v>45883.0</v>
      </c>
      <c r="M94" s="69" t="s">
        <v>14062</v>
      </c>
    </row>
    <row r="95">
      <c r="A95" s="1" t="s">
        <v>5037</v>
      </c>
      <c r="B95" s="1" t="s">
        <v>14075</v>
      </c>
      <c r="C95" s="75">
        <v>45890.0</v>
      </c>
      <c r="D95" s="1" t="s">
        <v>14112</v>
      </c>
      <c r="E95" s="19"/>
      <c r="F95" s="19"/>
      <c r="G95" s="19"/>
      <c r="H95" s="19"/>
      <c r="I95" s="1" t="b">
        <v>1</v>
      </c>
      <c r="J95" s="1" t="b">
        <v>1</v>
      </c>
      <c r="K95" s="72"/>
      <c r="L95" s="73">
        <v>45883.0</v>
      </c>
      <c r="M95" s="69" t="s">
        <v>14062</v>
      </c>
    </row>
    <row r="96">
      <c r="A96" s="1" t="s">
        <v>4988</v>
      </c>
      <c r="B96" s="1" t="s">
        <v>14109</v>
      </c>
      <c r="C96" s="75">
        <v>45891.0</v>
      </c>
      <c r="D96" s="1" t="s">
        <v>14113</v>
      </c>
      <c r="E96" s="19"/>
      <c r="F96" s="19"/>
      <c r="G96" s="1" t="s">
        <v>4990</v>
      </c>
      <c r="H96" s="19"/>
      <c r="I96" s="1" t="b">
        <v>1</v>
      </c>
      <c r="J96" s="1" t="b">
        <v>1</v>
      </c>
      <c r="K96" s="72"/>
      <c r="L96" s="73">
        <v>45888.0</v>
      </c>
      <c r="M96" s="69" t="s">
        <v>14062</v>
      </c>
    </row>
    <row r="97">
      <c r="A97" s="1" t="s">
        <v>5037</v>
      </c>
      <c r="B97" s="1" t="s">
        <v>14075</v>
      </c>
      <c r="C97" s="75">
        <v>45891.0</v>
      </c>
      <c r="D97" s="1" t="s">
        <v>14112</v>
      </c>
      <c r="E97" s="19"/>
      <c r="F97" s="19"/>
      <c r="G97" s="19"/>
      <c r="H97" s="19"/>
      <c r="I97" s="1" t="b">
        <v>1</v>
      </c>
      <c r="J97" s="1" t="b">
        <v>1</v>
      </c>
      <c r="K97" s="72"/>
      <c r="L97" s="73">
        <v>45888.0</v>
      </c>
      <c r="M97" s="69" t="s">
        <v>14062</v>
      </c>
    </row>
    <row r="98">
      <c r="A98" s="1" t="s">
        <v>5123</v>
      </c>
      <c r="B98" s="1" t="s">
        <v>14109</v>
      </c>
      <c r="C98" s="75">
        <v>45890.0</v>
      </c>
      <c r="D98" s="1" t="s">
        <v>14112</v>
      </c>
      <c r="E98" s="19"/>
      <c r="F98" s="19"/>
      <c r="G98" s="1" t="s">
        <v>5127</v>
      </c>
      <c r="H98" s="19"/>
      <c r="I98" s="1" t="b">
        <v>1</v>
      </c>
      <c r="J98" s="1" t="b">
        <v>1</v>
      </c>
      <c r="K98" s="72"/>
      <c r="L98" s="73">
        <v>45888.0</v>
      </c>
      <c r="M98" s="69" t="s">
        <v>14062</v>
      </c>
    </row>
    <row r="99">
      <c r="A99" s="1" t="s">
        <v>7325</v>
      </c>
      <c r="B99" s="1" t="s">
        <v>14102</v>
      </c>
      <c r="C99" s="76"/>
      <c r="D99" s="19"/>
      <c r="E99" s="19"/>
      <c r="F99" s="19"/>
      <c r="G99" s="1" t="s">
        <v>14114</v>
      </c>
      <c r="H99" s="19"/>
      <c r="I99" s="1" t="b">
        <v>1</v>
      </c>
      <c r="J99" s="1" t="b">
        <v>1</v>
      </c>
      <c r="K99" s="72"/>
      <c r="L99" s="73">
        <v>45888.0</v>
      </c>
      <c r="M99" s="69" t="s">
        <v>14062</v>
      </c>
    </row>
    <row r="100">
      <c r="A100" s="1" t="s">
        <v>6240</v>
      </c>
      <c r="B100" s="1" t="s">
        <v>14075</v>
      </c>
      <c r="C100" s="75">
        <v>45890.0</v>
      </c>
      <c r="D100" s="1" t="s">
        <v>14110</v>
      </c>
      <c r="E100" s="19"/>
      <c r="F100" s="19"/>
      <c r="G100" s="19"/>
      <c r="H100" s="19"/>
      <c r="I100" s="1" t="b">
        <v>1</v>
      </c>
      <c r="J100" s="1" t="b">
        <v>1</v>
      </c>
      <c r="K100" s="72"/>
      <c r="L100" s="73">
        <v>45888.0</v>
      </c>
      <c r="M100" s="69" t="s">
        <v>14062</v>
      </c>
    </row>
    <row r="101">
      <c r="A101" s="1" t="s">
        <v>7387</v>
      </c>
      <c r="B101" s="1" t="s">
        <v>14075</v>
      </c>
      <c r="C101" s="75">
        <v>45889.0</v>
      </c>
      <c r="D101" s="1" t="s">
        <v>14115</v>
      </c>
      <c r="E101" s="19"/>
      <c r="F101" s="19"/>
      <c r="G101" s="19"/>
      <c r="H101" s="19"/>
      <c r="I101" s="1" t="b">
        <v>1</v>
      </c>
      <c r="J101" s="1" t="b">
        <v>1</v>
      </c>
      <c r="K101" s="72"/>
      <c r="L101" s="73">
        <v>45888.0</v>
      </c>
      <c r="M101" s="69" t="s">
        <v>14062</v>
      </c>
    </row>
    <row r="102">
      <c r="A102" s="1" t="s">
        <v>7406</v>
      </c>
      <c r="B102" s="1" t="s">
        <v>14075</v>
      </c>
      <c r="C102" s="75">
        <v>45889.0</v>
      </c>
      <c r="D102" s="1" t="s">
        <v>5879</v>
      </c>
      <c r="E102" s="19"/>
      <c r="F102" s="19"/>
      <c r="G102" s="19"/>
      <c r="H102" s="19"/>
      <c r="I102" s="1" t="b">
        <v>1</v>
      </c>
      <c r="J102" s="1" t="b">
        <v>1</v>
      </c>
      <c r="K102" s="72"/>
      <c r="L102" s="73">
        <v>45888.0</v>
      </c>
      <c r="M102" s="69" t="s">
        <v>14062</v>
      </c>
    </row>
    <row r="103">
      <c r="A103" s="1" t="s">
        <v>5844</v>
      </c>
      <c r="B103" s="1" t="s">
        <v>14075</v>
      </c>
      <c r="C103" s="75">
        <v>45892.0</v>
      </c>
      <c r="D103" s="1" t="s">
        <v>14105</v>
      </c>
      <c r="E103" s="19"/>
      <c r="F103" s="19"/>
      <c r="G103" s="19"/>
      <c r="H103" s="19"/>
      <c r="I103" s="1" t="b">
        <v>1</v>
      </c>
      <c r="J103" s="1" t="b">
        <v>1</v>
      </c>
      <c r="K103" s="72"/>
      <c r="L103" s="73">
        <v>45889.0</v>
      </c>
      <c r="M103" s="69" t="s">
        <v>14062</v>
      </c>
    </row>
    <row r="104">
      <c r="A104" s="1" t="s">
        <v>7482</v>
      </c>
      <c r="B104" s="1" t="s">
        <v>14075</v>
      </c>
      <c r="C104" s="75">
        <v>45890.0</v>
      </c>
      <c r="D104" s="1" t="s">
        <v>14108</v>
      </c>
      <c r="E104" s="19"/>
      <c r="F104" s="19"/>
      <c r="G104" s="19"/>
      <c r="H104" s="19"/>
      <c r="I104" s="1" t="b">
        <v>1</v>
      </c>
      <c r="J104" s="1" t="b">
        <v>1</v>
      </c>
      <c r="K104" s="72"/>
      <c r="L104" s="73">
        <v>45890.0</v>
      </c>
      <c r="M104" s="69" t="s">
        <v>14062</v>
      </c>
    </row>
    <row r="105">
      <c r="A105" s="1" t="s">
        <v>5474</v>
      </c>
      <c r="B105" s="1" t="s">
        <v>14075</v>
      </c>
      <c r="C105" s="75">
        <v>45891.0</v>
      </c>
      <c r="D105" s="1" t="s">
        <v>14116</v>
      </c>
      <c r="E105" s="19"/>
      <c r="F105" s="19"/>
      <c r="G105" s="19"/>
      <c r="H105" s="19"/>
      <c r="I105" s="1" t="b">
        <v>1</v>
      </c>
      <c r="J105" s="1" t="b">
        <v>1</v>
      </c>
      <c r="K105" s="72"/>
      <c r="L105" s="73">
        <v>45890.0</v>
      </c>
      <c r="M105" s="69" t="s">
        <v>14062</v>
      </c>
    </row>
    <row r="106">
      <c r="A106" s="1" t="s">
        <v>7584</v>
      </c>
      <c r="B106" s="1" t="s">
        <v>14100</v>
      </c>
      <c r="C106" s="76"/>
      <c r="D106" s="1" t="s">
        <v>14117</v>
      </c>
      <c r="E106" s="19"/>
      <c r="F106" s="19"/>
      <c r="G106" s="19"/>
      <c r="H106" s="19"/>
      <c r="I106" s="1" t="b">
        <v>1</v>
      </c>
      <c r="J106" s="1" t="b">
        <v>1</v>
      </c>
      <c r="K106" s="72"/>
      <c r="L106" s="73">
        <v>45891.0</v>
      </c>
      <c r="M106" s="69" t="s">
        <v>14062</v>
      </c>
    </row>
    <row r="107">
      <c r="A107" s="1" t="s">
        <v>4729</v>
      </c>
      <c r="B107" s="1" t="s">
        <v>14100</v>
      </c>
      <c r="C107" s="76"/>
      <c r="D107" s="1" t="s">
        <v>14105</v>
      </c>
      <c r="E107" s="19"/>
      <c r="F107" s="19"/>
      <c r="G107" s="19"/>
      <c r="H107" s="19"/>
      <c r="I107" s="1" t="b">
        <v>1</v>
      </c>
      <c r="J107" s="1" t="b">
        <v>1</v>
      </c>
      <c r="K107" s="72"/>
      <c r="L107" s="73">
        <v>45891.0</v>
      </c>
      <c r="M107" s="69" t="s">
        <v>14062</v>
      </c>
    </row>
    <row r="108">
      <c r="A108" s="1" t="s">
        <v>6935</v>
      </c>
      <c r="B108" s="1" t="s">
        <v>14118</v>
      </c>
      <c r="C108" s="88">
        <v>45891.0</v>
      </c>
      <c r="D108" s="1" t="s">
        <v>14115</v>
      </c>
      <c r="E108" s="19"/>
      <c r="F108" s="19"/>
      <c r="G108" s="19"/>
      <c r="H108" s="1" t="s">
        <v>6938</v>
      </c>
      <c r="I108" s="1" t="b">
        <v>1</v>
      </c>
      <c r="J108" s="1" t="b">
        <v>1</v>
      </c>
      <c r="K108" s="72"/>
      <c r="L108" s="73">
        <v>45891.0</v>
      </c>
      <c r="M108" s="69" t="s">
        <v>14062</v>
      </c>
    </row>
    <row r="109">
      <c r="A109" s="1" t="s">
        <v>7590</v>
      </c>
      <c r="B109" s="1" t="s">
        <v>14118</v>
      </c>
      <c r="C109" s="88">
        <v>45891.0</v>
      </c>
      <c r="D109" s="1" t="s">
        <v>14115</v>
      </c>
      <c r="E109" s="19"/>
      <c r="F109" s="19"/>
      <c r="G109" s="1"/>
      <c r="H109" s="1" t="s">
        <v>6938</v>
      </c>
      <c r="I109" s="1" t="b">
        <v>1</v>
      </c>
      <c r="J109" s="1" t="b">
        <v>1</v>
      </c>
      <c r="K109" s="72"/>
      <c r="L109" s="73">
        <v>45891.0</v>
      </c>
      <c r="M109" s="69" t="s">
        <v>14062</v>
      </c>
    </row>
    <row r="110">
      <c r="A110" s="1" t="s">
        <v>5869</v>
      </c>
      <c r="B110" s="1" t="s">
        <v>14075</v>
      </c>
      <c r="C110" s="75">
        <v>45891.0</v>
      </c>
      <c r="D110" s="1" t="s">
        <v>5879</v>
      </c>
      <c r="E110" s="19"/>
      <c r="F110" s="19"/>
      <c r="G110" s="19"/>
      <c r="H110" s="19"/>
      <c r="I110" s="1" t="b">
        <v>1</v>
      </c>
      <c r="J110" s="1" t="b">
        <v>1</v>
      </c>
      <c r="K110" s="72"/>
      <c r="L110" s="73">
        <v>45891.0</v>
      </c>
      <c r="M110" s="69" t="s">
        <v>14062</v>
      </c>
    </row>
    <row r="111">
      <c r="A111" s="1" t="s">
        <v>5644</v>
      </c>
      <c r="B111" s="1" t="s">
        <v>14075</v>
      </c>
      <c r="C111" s="75">
        <v>45891.0</v>
      </c>
      <c r="D111" s="1" t="s">
        <v>14110</v>
      </c>
      <c r="E111" s="19"/>
      <c r="F111" s="19"/>
      <c r="G111" s="19"/>
      <c r="H111" s="19"/>
      <c r="I111" s="1" t="b">
        <v>1</v>
      </c>
      <c r="J111" s="1" t="b">
        <v>1</v>
      </c>
      <c r="K111" s="72"/>
      <c r="L111" s="73">
        <v>45891.0</v>
      </c>
      <c r="M111" s="69" t="s">
        <v>14062</v>
      </c>
    </row>
    <row r="112">
      <c r="A112" s="1" t="s">
        <v>3854</v>
      </c>
      <c r="B112" s="1" t="s">
        <v>14103</v>
      </c>
      <c r="C112" s="76"/>
      <c r="D112" s="19"/>
      <c r="E112" s="19"/>
      <c r="F112" s="19"/>
      <c r="G112" s="19"/>
      <c r="H112" s="1" t="s">
        <v>3858</v>
      </c>
      <c r="I112" s="1" t="b">
        <v>1</v>
      </c>
      <c r="J112" s="1" t="b">
        <v>1</v>
      </c>
      <c r="K112" s="72"/>
      <c r="L112" s="73"/>
      <c r="M112" s="78"/>
    </row>
    <row r="113">
      <c r="A113" s="1" t="s">
        <v>8018</v>
      </c>
      <c r="B113" s="1" t="s">
        <v>14119</v>
      </c>
      <c r="C113" s="76"/>
      <c r="D113" s="19"/>
      <c r="E113" s="19"/>
      <c r="F113" s="19"/>
      <c r="G113" s="19"/>
      <c r="H113" s="1" t="s">
        <v>14120</v>
      </c>
      <c r="I113" s="1" t="b">
        <v>1</v>
      </c>
      <c r="J113" s="1" t="b">
        <v>1</v>
      </c>
      <c r="K113" s="72"/>
      <c r="L113" s="73"/>
      <c r="M113" s="78"/>
    </row>
    <row r="114">
      <c r="A114" s="1" t="s">
        <v>14121</v>
      </c>
      <c r="B114" s="1" t="s">
        <v>14122</v>
      </c>
      <c r="C114" s="76"/>
      <c r="D114" s="19"/>
      <c r="E114" s="19"/>
      <c r="F114" s="19"/>
      <c r="G114" s="19"/>
      <c r="H114" s="19"/>
      <c r="I114" s="1" t="b">
        <v>1</v>
      </c>
      <c r="J114" s="1" t="b">
        <v>1</v>
      </c>
      <c r="K114" s="72"/>
      <c r="L114" s="73"/>
      <c r="M114" s="78"/>
    </row>
    <row r="115">
      <c r="A115" s="1" t="s">
        <v>14123</v>
      </c>
      <c r="B115" s="1" t="s">
        <v>14122</v>
      </c>
      <c r="C115" s="76"/>
      <c r="D115" s="19"/>
      <c r="E115" s="19"/>
      <c r="F115" s="19"/>
      <c r="G115" s="19"/>
      <c r="H115" s="19"/>
      <c r="I115" s="1" t="b">
        <v>1</v>
      </c>
      <c r="J115" s="1" t="b">
        <v>1</v>
      </c>
      <c r="K115" s="69" t="s">
        <v>1152</v>
      </c>
      <c r="L115" s="73"/>
      <c r="M115" s="78"/>
    </row>
    <row r="116">
      <c r="A116" s="1" t="s">
        <v>8076</v>
      </c>
      <c r="B116" s="1" t="s">
        <v>14064</v>
      </c>
      <c r="C116" s="75">
        <v>46000.0</v>
      </c>
      <c r="D116" s="19"/>
      <c r="E116" s="19"/>
      <c r="F116" s="19"/>
      <c r="G116" s="19"/>
      <c r="H116" s="19"/>
      <c r="I116" s="1" t="b">
        <v>1</v>
      </c>
      <c r="J116" s="1" t="b">
        <v>1</v>
      </c>
      <c r="K116" s="72"/>
      <c r="L116" s="73"/>
      <c r="M116" s="78"/>
    </row>
    <row r="117">
      <c r="A117" s="1" t="s">
        <v>8314</v>
      </c>
      <c r="B117" s="1" t="s">
        <v>14064</v>
      </c>
      <c r="C117" s="75">
        <v>46148.0</v>
      </c>
      <c r="D117" s="35">
        <v>0.5416666666666666</v>
      </c>
      <c r="E117" s="19"/>
      <c r="F117" s="19"/>
      <c r="G117" s="19"/>
      <c r="H117" s="1" t="s">
        <v>14124</v>
      </c>
      <c r="I117" s="1" t="b">
        <v>1</v>
      </c>
      <c r="J117" s="1" t="b">
        <v>1</v>
      </c>
      <c r="K117" s="72"/>
      <c r="L117" s="73"/>
      <c r="M117" s="78"/>
    </row>
    <row r="118">
      <c r="A118" s="1" t="s">
        <v>14125</v>
      </c>
      <c r="B118" s="1" t="s">
        <v>14126</v>
      </c>
      <c r="C118" s="76"/>
      <c r="D118" s="19"/>
      <c r="E118" s="19"/>
      <c r="F118" s="19"/>
      <c r="G118" s="19"/>
      <c r="H118" s="1" t="s">
        <v>14127</v>
      </c>
      <c r="I118" s="1" t="b">
        <v>1</v>
      </c>
      <c r="J118" s="1" t="b">
        <v>1</v>
      </c>
      <c r="K118" s="72"/>
      <c r="L118" s="73"/>
      <c r="M118" s="78"/>
    </row>
    <row r="119">
      <c r="A119" s="19" t="s">
        <v>14128</v>
      </c>
      <c r="B119" s="1" t="s">
        <v>14129</v>
      </c>
      <c r="C119" s="76"/>
      <c r="D119" s="19"/>
      <c r="E119" s="19"/>
      <c r="F119" s="19"/>
      <c r="G119" s="19"/>
      <c r="H119" s="19"/>
      <c r="I119" s="1" t="b">
        <v>1</v>
      </c>
      <c r="J119" s="1" t="b">
        <v>1</v>
      </c>
      <c r="K119" s="72"/>
      <c r="L119" s="73"/>
      <c r="M119" s="78"/>
    </row>
    <row r="120">
      <c r="A120" s="1" t="s">
        <v>8649</v>
      </c>
      <c r="B120" s="1" t="s">
        <v>14130</v>
      </c>
      <c r="C120" s="75">
        <v>46162.0</v>
      </c>
      <c r="D120" s="19"/>
      <c r="E120" s="19"/>
      <c r="F120" s="19"/>
      <c r="G120" s="19"/>
      <c r="H120" s="1" t="s">
        <v>14131</v>
      </c>
      <c r="I120" s="1" t="b">
        <v>1</v>
      </c>
      <c r="J120" s="1" t="b">
        <v>1</v>
      </c>
      <c r="K120" s="72"/>
      <c r="L120" s="73"/>
      <c r="M120" s="78"/>
    </row>
    <row r="121">
      <c r="A121" s="84" t="s">
        <v>14132</v>
      </c>
      <c r="B121" s="1" t="s">
        <v>14133</v>
      </c>
      <c r="C121" s="75">
        <v>46148.0</v>
      </c>
      <c r="D121" s="35">
        <v>0.625</v>
      </c>
      <c r="E121" s="19"/>
      <c r="F121" s="19"/>
      <c r="G121" s="19"/>
      <c r="H121" s="1" t="s">
        <v>14131</v>
      </c>
      <c r="I121" s="1" t="b">
        <v>1</v>
      </c>
      <c r="J121" s="1" t="b">
        <v>1</v>
      </c>
      <c r="K121" s="72"/>
      <c r="L121" s="73"/>
      <c r="M121" s="78"/>
    </row>
    <row r="122">
      <c r="A122" s="1" t="s">
        <v>8709</v>
      </c>
      <c r="B122" s="1" t="s">
        <v>14134</v>
      </c>
      <c r="C122" s="75">
        <v>46148.0</v>
      </c>
      <c r="D122" s="19"/>
      <c r="E122" s="19"/>
      <c r="F122" s="19"/>
      <c r="G122" s="19"/>
      <c r="H122" s="19"/>
      <c r="I122" s="1" t="b">
        <v>1</v>
      </c>
      <c r="J122" s="1" t="b">
        <v>1</v>
      </c>
      <c r="K122" s="72"/>
      <c r="L122" s="73"/>
      <c r="M122" s="78"/>
    </row>
    <row r="123">
      <c r="A123" s="19" t="s">
        <v>8830</v>
      </c>
      <c r="B123" s="1" t="s">
        <v>14134</v>
      </c>
      <c r="C123" s="75">
        <v>46150.0</v>
      </c>
      <c r="D123" s="19"/>
      <c r="E123" s="19"/>
      <c r="F123" s="19"/>
      <c r="G123" s="19"/>
      <c r="H123" s="1" t="s">
        <v>14135</v>
      </c>
      <c r="I123" s="1" t="b">
        <v>1</v>
      </c>
      <c r="J123" s="1" t="b">
        <v>1</v>
      </c>
      <c r="K123" s="72"/>
      <c r="L123" s="73"/>
      <c r="M123" s="78"/>
    </row>
    <row r="124">
      <c r="A124" s="1" t="s">
        <v>8920</v>
      </c>
      <c r="B124" s="1" t="s">
        <v>14133</v>
      </c>
      <c r="C124" s="75">
        <v>46144.0</v>
      </c>
      <c r="D124" s="35">
        <v>0.625</v>
      </c>
      <c r="E124" s="19"/>
      <c r="F124" s="19"/>
      <c r="G124" s="19"/>
      <c r="H124" s="1" t="s">
        <v>14136</v>
      </c>
      <c r="I124" s="1" t="b">
        <v>1</v>
      </c>
      <c r="J124" s="1" t="b">
        <v>1</v>
      </c>
      <c r="K124" s="72"/>
      <c r="L124" s="73"/>
      <c r="M124" s="78"/>
    </row>
    <row r="125">
      <c r="A125" s="1" t="s">
        <v>14137</v>
      </c>
      <c r="B125" s="1" t="s">
        <v>14138</v>
      </c>
      <c r="C125" s="76"/>
      <c r="D125" s="19"/>
      <c r="E125" s="19"/>
      <c r="F125" s="19"/>
      <c r="G125" s="19"/>
      <c r="H125" s="1" t="s">
        <v>14139</v>
      </c>
      <c r="I125" s="89" t="s">
        <v>14140</v>
      </c>
      <c r="J125" s="1" t="b">
        <v>1</v>
      </c>
      <c r="K125" s="72"/>
      <c r="L125" s="73"/>
      <c r="M125" s="78"/>
    </row>
    <row r="126">
      <c r="A126" s="1" t="s">
        <v>9307</v>
      </c>
      <c r="B126" s="1" t="s">
        <v>14141</v>
      </c>
      <c r="C126" s="76"/>
      <c r="D126" s="19"/>
      <c r="E126" s="1" t="s">
        <v>9312</v>
      </c>
      <c r="F126" s="1" t="s">
        <v>737</v>
      </c>
      <c r="G126" s="19"/>
      <c r="H126" s="1" t="s">
        <v>14142</v>
      </c>
      <c r="I126" s="1" t="b">
        <v>1</v>
      </c>
      <c r="J126" s="1" t="b">
        <v>1</v>
      </c>
      <c r="K126" s="72"/>
      <c r="L126" s="73"/>
      <c r="M126" s="78"/>
    </row>
    <row r="127">
      <c r="A127" s="1" t="s">
        <v>8944</v>
      </c>
      <c r="B127" s="1" t="s">
        <v>14133</v>
      </c>
      <c r="C127" s="75">
        <v>46149.0</v>
      </c>
      <c r="D127" s="19"/>
      <c r="E127" s="19"/>
      <c r="F127" s="19"/>
      <c r="G127" s="19"/>
      <c r="H127" s="1" t="s">
        <v>14136</v>
      </c>
      <c r="I127" s="1" t="b">
        <v>1</v>
      </c>
      <c r="J127" s="1" t="b">
        <v>1</v>
      </c>
      <c r="K127" s="72"/>
      <c r="L127" s="73"/>
      <c r="M127" s="78"/>
    </row>
    <row r="128">
      <c r="A128" s="1" t="s">
        <v>9230</v>
      </c>
      <c r="B128" s="1" t="s">
        <v>14133</v>
      </c>
      <c r="C128" s="75">
        <v>46147.0</v>
      </c>
      <c r="D128" s="19"/>
      <c r="E128" s="19"/>
      <c r="F128" s="19"/>
      <c r="G128" s="19"/>
      <c r="H128" s="1" t="s">
        <v>14136</v>
      </c>
      <c r="I128" s="1" t="b">
        <v>1</v>
      </c>
      <c r="J128" s="1" t="b">
        <v>1</v>
      </c>
      <c r="K128" s="72"/>
      <c r="L128" s="73"/>
      <c r="M128" s="78"/>
    </row>
    <row r="129">
      <c r="A129" s="1" t="s">
        <v>8655</v>
      </c>
      <c r="B129" s="1" t="s">
        <v>14134</v>
      </c>
      <c r="C129" s="90">
        <v>46144.0</v>
      </c>
      <c r="D129" s="19"/>
      <c r="E129" s="19"/>
      <c r="F129" s="19"/>
      <c r="G129" s="19"/>
      <c r="H129" s="1" t="s">
        <v>14143</v>
      </c>
      <c r="I129" s="1" t="b">
        <v>1</v>
      </c>
      <c r="J129" s="1" t="b">
        <v>1</v>
      </c>
      <c r="K129" s="72"/>
      <c r="L129" s="73"/>
      <c r="M129" s="78"/>
    </row>
    <row r="130">
      <c r="A130" s="87" t="s">
        <v>14144</v>
      </c>
      <c r="B130" s="1" t="s">
        <v>14145</v>
      </c>
      <c r="C130" s="76"/>
      <c r="D130" s="19"/>
      <c r="E130" s="19"/>
      <c r="F130" s="19"/>
      <c r="G130" s="19"/>
      <c r="H130" s="19"/>
      <c r="I130" s="1" t="b">
        <v>1</v>
      </c>
      <c r="J130" s="1" t="b">
        <v>1</v>
      </c>
      <c r="K130" s="72"/>
      <c r="L130" s="73"/>
      <c r="M130" s="78"/>
    </row>
    <row r="131">
      <c r="A131" s="1" t="s">
        <v>9431</v>
      </c>
      <c r="B131" s="1" t="s">
        <v>14146</v>
      </c>
      <c r="C131" s="76"/>
      <c r="D131" s="19"/>
      <c r="E131" s="19"/>
      <c r="F131" s="19"/>
      <c r="G131" s="19"/>
      <c r="H131" s="19"/>
      <c r="I131" s="1" t="b">
        <v>1</v>
      </c>
      <c r="J131" s="1" t="b">
        <v>1</v>
      </c>
      <c r="K131" s="72"/>
      <c r="L131" s="73"/>
      <c r="M131" s="78"/>
    </row>
    <row r="132">
      <c r="A132" s="87" t="s">
        <v>9071</v>
      </c>
      <c r="B132" s="1" t="s">
        <v>14147</v>
      </c>
      <c r="C132" s="75">
        <v>46149.0</v>
      </c>
      <c r="D132" s="1" t="s">
        <v>14148</v>
      </c>
      <c r="E132" s="19"/>
      <c r="F132" s="19"/>
      <c r="G132" s="19"/>
      <c r="H132" s="1" t="s">
        <v>14149</v>
      </c>
      <c r="I132" s="1" t="b">
        <v>1</v>
      </c>
      <c r="J132" s="1" t="b">
        <v>1</v>
      </c>
      <c r="K132" s="72"/>
      <c r="L132" s="73"/>
      <c r="M132" s="78"/>
    </row>
    <row r="133">
      <c r="A133" s="1" t="s">
        <v>14150</v>
      </c>
      <c r="B133" s="1" t="s">
        <v>14151</v>
      </c>
      <c r="C133" s="76"/>
      <c r="D133" s="19"/>
      <c r="E133" s="19"/>
      <c r="F133" s="19"/>
      <c r="G133" s="19"/>
      <c r="H133" s="19"/>
      <c r="I133" s="1" t="b">
        <v>1</v>
      </c>
      <c r="J133" s="1" t="b">
        <v>1</v>
      </c>
      <c r="K133" s="72"/>
      <c r="L133" s="73"/>
      <c r="M133" s="78"/>
    </row>
    <row r="134">
      <c r="A134" s="1" t="s">
        <v>9727</v>
      </c>
      <c r="B134" s="1" t="s">
        <v>14152</v>
      </c>
      <c r="C134" s="75">
        <v>46149.0</v>
      </c>
      <c r="D134" s="19"/>
      <c r="E134" s="19"/>
      <c r="F134" s="19"/>
      <c r="G134" s="19"/>
      <c r="H134" s="19"/>
      <c r="I134" s="1" t="b">
        <v>1</v>
      </c>
      <c r="J134" s="1" t="b">
        <v>1</v>
      </c>
      <c r="K134" s="72"/>
      <c r="L134" s="73"/>
      <c r="M134" s="78"/>
    </row>
    <row r="135">
      <c r="A135" s="1" t="s">
        <v>14153</v>
      </c>
      <c r="B135" s="1" t="s">
        <v>14151</v>
      </c>
      <c r="C135" s="76"/>
      <c r="D135" s="19"/>
      <c r="E135" s="19"/>
      <c r="F135" s="19"/>
      <c r="G135" s="19"/>
      <c r="H135" s="19"/>
      <c r="I135" s="1" t="b">
        <v>1</v>
      </c>
      <c r="J135" s="1" t="b">
        <v>1</v>
      </c>
      <c r="K135" s="72"/>
      <c r="L135" s="73"/>
      <c r="M135" s="78"/>
    </row>
    <row r="136">
      <c r="A136" s="84" t="s">
        <v>8594</v>
      </c>
      <c r="B136" s="1" t="s">
        <v>14154</v>
      </c>
      <c r="C136" s="76"/>
      <c r="D136" s="19"/>
      <c r="E136" s="1">
        <v>3160.0</v>
      </c>
      <c r="F136" s="19"/>
      <c r="G136" s="19"/>
      <c r="H136" s="19"/>
      <c r="I136" s="1" t="b">
        <v>1</v>
      </c>
      <c r="J136" s="1" t="b">
        <v>1</v>
      </c>
      <c r="K136" s="72"/>
      <c r="L136" s="73"/>
      <c r="M136" s="78"/>
    </row>
    <row r="137">
      <c r="A137" s="1" t="s">
        <v>8497</v>
      </c>
      <c r="B137" s="1" t="s">
        <v>14154</v>
      </c>
      <c r="C137" s="76"/>
      <c r="D137" s="19"/>
      <c r="E137" s="1">
        <v>3308.0</v>
      </c>
      <c r="F137" s="19"/>
      <c r="G137" s="19"/>
      <c r="H137" s="19"/>
      <c r="I137" s="1" t="b">
        <v>1</v>
      </c>
      <c r="J137" s="1" t="b">
        <v>1</v>
      </c>
      <c r="K137" s="72"/>
      <c r="L137" s="73"/>
      <c r="M137" s="78"/>
    </row>
    <row r="138">
      <c r="A138" s="1" t="s">
        <v>9431</v>
      </c>
      <c r="B138" s="1" t="s">
        <v>14147</v>
      </c>
      <c r="C138" s="75">
        <v>46158.0</v>
      </c>
      <c r="D138" s="1" t="s">
        <v>44</v>
      </c>
      <c r="E138" s="19"/>
      <c r="F138" s="19"/>
      <c r="G138" s="19"/>
      <c r="H138" s="19"/>
      <c r="I138" s="1" t="b">
        <v>1</v>
      </c>
      <c r="J138" s="1" t="b">
        <v>1</v>
      </c>
      <c r="K138" s="72"/>
      <c r="L138" s="73"/>
      <c r="M138" s="78"/>
    </row>
    <row r="139">
      <c r="A139" s="91" t="s">
        <v>10274</v>
      </c>
      <c r="B139" s="1" t="s">
        <v>14147</v>
      </c>
      <c r="C139" s="75">
        <v>46147.0</v>
      </c>
      <c r="D139" s="19"/>
      <c r="E139" s="19"/>
      <c r="F139" s="19"/>
      <c r="G139" s="19"/>
      <c r="H139" s="1" t="s">
        <v>14155</v>
      </c>
      <c r="I139" s="1" t="b">
        <v>1</v>
      </c>
      <c r="J139" s="1" t="b">
        <v>1</v>
      </c>
      <c r="K139" s="72"/>
      <c r="L139" s="73"/>
      <c r="M139" s="78"/>
    </row>
    <row r="140">
      <c r="A140" s="1" t="s">
        <v>14156</v>
      </c>
      <c r="B140" s="1" t="s">
        <v>14151</v>
      </c>
      <c r="C140" s="76"/>
      <c r="D140" s="19"/>
      <c r="E140" s="19"/>
      <c r="F140" s="19"/>
      <c r="G140" s="19"/>
      <c r="H140" s="19"/>
      <c r="I140" s="1" t="b">
        <v>1</v>
      </c>
      <c r="J140" s="1" t="b">
        <v>1</v>
      </c>
      <c r="K140" s="72"/>
      <c r="L140" s="73"/>
      <c r="M140" s="78"/>
    </row>
    <row r="141">
      <c r="A141" s="1" t="s">
        <v>10359</v>
      </c>
      <c r="B141" s="1" t="s">
        <v>14157</v>
      </c>
      <c r="C141" s="76"/>
      <c r="D141" s="19"/>
      <c r="E141" s="19"/>
      <c r="F141" s="19"/>
      <c r="G141" s="19"/>
      <c r="H141" s="19"/>
      <c r="I141" s="1" t="b">
        <v>1</v>
      </c>
      <c r="J141" s="1" t="s">
        <v>14158</v>
      </c>
      <c r="K141" s="72"/>
      <c r="L141" s="73"/>
      <c r="M141" s="78"/>
    </row>
    <row r="142">
      <c r="A142" s="1" t="s">
        <v>9819</v>
      </c>
      <c r="B142" s="1" t="s">
        <v>14159</v>
      </c>
      <c r="C142" s="75"/>
      <c r="D142" s="1" t="s">
        <v>14160</v>
      </c>
      <c r="E142" s="19"/>
      <c r="F142" s="19"/>
      <c r="G142" s="19"/>
      <c r="H142" s="19"/>
      <c r="I142" s="1" t="b">
        <v>1</v>
      </c>
      <c r="J142" s="1" t="b">
        <v>1</v>
      </c>
      <c r="K142" s="72"/>
      <c r="L142" s="73"/>
      <c r="M142" s="78"/>
    </row>
    <row r="143">
      <c r="A143" s="1" t="s">
        <v>8466</v>
      </c>
      <c r="B143" s="1" t="s">
        <v>14161</v>
      </c>
      <c r="C143" s="76"/>
      <c r="D143" s="19"/>
      <c r="E143" s="1">
        <v>3062.0</v>
      </c>
      <c r="F143" s="1" t="s">
        <v>551</v>
      </c>
      <c r="G143" s="19"/>
      <c r="H143" s="19"/>
      <c r="I143" s="1" t="b">
        <v>1</v>
      </c>
      <c r="J143" s="1" t="b">
        <v>1</v>
      </c>
      <c r="K143" s="72"/>
      <c r="L143" s="73"/>
      <c r="M143" s="78"/>
    </row>
    <row r="144">
      <c r="A144" s="19" t="s">
        <v>10141</v>
      </c>
      <c r="B144" s="1" t="s">
        <v>14162</v>
      </c>
      <c r="C144" s="76"/>
      <c r="D144" s="19"/>
      <c r="E144" s="1">
        <v>2213.0</v>
      </c>
      <c r="F144" s="19"/>
      <c r="G144" s="19"/>
      <c r="H144" s="19"/>
      <c r="I144" s="1" t="b">
        <v>1</v>
      </c>
      <c r="J144" s="1" t="b">
        <v>1</v>
      </c>
      <c r="K144" s="72"/>
      <c r="L144" s="73"/>
      <c r="M144" s="78"/>
    </row>
    <row r="145">
      <c r="A145" s="1" t="s">
        <v>9549</v>
      </c>
      <c r="B145" s="1" t="s">
        <v>14163</v>
      </c>
      <c r="C145" s="76"/>
      <c r="D145" s="19"/>
      <c r="E145" s="19"/>
      <c r="F145" s="19"/>
      <c r="G145" s="92" t="s">
        <v>9552</v>
      </c>
      <c r="H145" s="1" t="s">
        <v>14164</v>
      </c>
      <c r="I145" s="1" t="b">
        <v>1</v>
      </c>
      <c r="J145" s="1" t="b">
        <v>1</v>
      </c>
      <c r="K145" s="72"/>
      <c r="L145" s="73"/>
      <c r="M145" s="78"/>
    </row>
    <row r="146">
      <c r="A146" s="1" t="s">
        <v>10773</v>
      </c>
      <c r="B146" s="1" t="s">
        <v>14165</v>
      </c>
      <c r="C146" s="76"/>
      <c r="D146" s="19"/>
      <c r="E146" s="1">
        <v>207.0</v>
      </c>
      <c r="F146" s="1" t="s">
        <v>766</v>
      </c>
      <c r="G146" s="19"/>
      <c r="H146" s="19"/>
      <c r="I146" s="1" t="b">
        <v>1</v>
      </c>
      <c r="J146" s="1" t="b">
        <v>1</v>
      </c>
      <c r="K146" s="72"/>
      <c r="L146" s="73"/>
      <c r="M146" s="78"/>
    </row>
    <row r="147">
      <c r="A147" s="84" t="s">
        <v>14166</v>
      </c>
      <c r="B147" s="1" t="s">
        <v>14151</v>
      </c>
      <c r="C147" s="76"/>
      <c r="D147" s="19"/>
      <c r="E147" s="19"/>
      <c r="F147" s="19"/>
      <c r="G147" s="19"/>
      <c r="H147" s="19"/>
      <c r="I147" s="1" t="b">
        <v>1</v>
      </c>
      <c r="J147" s="1" t="b">
        <v>1</v>
      </c>
      <c r="K147" s="72"/>
      <c r="L147" s="73"/>
      <c r="M147" s="78"/>
    </row>
    <row r="148">
      <c r="A148" s="1" t="s">
        <v>8794</v>
      </c>
      <c r="B148" s="1" t="s">
        <v>14076</v>
      </c>
      <c r="C148" s="75">
        <v>46158.0</v>
      </c>
      <c r="D148" s="19"/>
      <c r="E148" s="19"/>
      <c r="F148" s="19"/>
      <c r="G148" s="19"/>
      <c r="H148" s="19"/>
      <c r="I148" s="1" t="b">
        <v>1</v>
      </c>
      <c r="J148" s="1" t="b">
        <v>1</v>
      </c>
      <c r="K148" s="72"/>
      <c r="L148" s="73"/>
      <c r="M148" s="78"/>
    </row>
    <row r="149">
      <c r="A149" s="1" t="s">
        <v>10773</v>
      </c>
      <c r="B149" s="1" t="s">
        <v>14167</v>
      </c>
      <c r="C149" s="75">
        <v>46148.0</v>
      </c>
      <c r="D149" s="19"/>
      <c r="E149" s="19"/>
      <c r="F149" s="19"/>
      <c r="G149" s="19"/>
      <c r="H149" s="19"/>
      <c r="I149" s="1" t="b">
        <v>1</v>
      </c>
      <c r="J149" s="1" t="b">
        <v>1</v>
      </c>
      <c r="K149" s="72"/>
      <c r="L149" s="73"/>
      <c r="M149" s="78"/>
    </row>
    <row r="150">
      <c r="A150" s="1" t="s">
        <v>11005</v>
      </c>
      <c r="B150" s="1" t="s">
        <v>14157</v>
      </c>
      <c r="C150" s="76"/>
      <c r="D150" s="19"/>
      <c r="E150" s="19"/>
      <c r="F150" s="19"/>
      <c r="G150" s="19"/>
      <c r="H150" s="19"/>
      <c r="I150" s="1" t="b">
        <v>1</v>
      </c>
      <c r="J150" s="1" t="b">
        <v>1</v>
      </c>
      <c r="K150" s="72"/>
      <c r="L150" s="73"/>
      <c r="M150" s="78"/>
    </row>
    <row r="151">
      <c r="A151" s="1" t="s">
        <v>8447</v>
      </c>
      <c r="B151" s="1" t="s">
        <v>14133</v>
      </c>
      <c r="C151" s="75">
        <v>46147.0</v>
      </c>
      <c r="D151" s="19"/>
      <c r="E151" s="19"/>
      <c r="F151" s="19"/>
      <c r="G151" s="19"/>
      <c r="H151" s="1" t="s">
        <v>14168</v>
      </c>
      <c r="I151" s="1" t="b">
        <v>1</v>
      </c>
      <c r="J151" s="1" t="b">
        <v>1</v>
      </c>
      <c r="K151" s="72"/>
      <c r="L151" s="73"/>
      <c r="M151" s="78"/>
    </row>
    <row r="152">
      <c r="A152" s="84" t="s">
        <v>8798</v>
      </c>
      <c r="B152" s="1" t="s">
        <v>14094</v>
      </c>
      <c r="C152" s="76"/>
      <c r="D152" s="19"/>
      <c r="E152" s="1">
        <v>4421.0</v>
      </c>
      <c r="F152" s="19"/>
      <c r="G152" s="19"/>
      <c r="H152" s="19"/>
      <c r="I152" s="1" t="b">
        <v>1</v>
      </c>
      <c r="J152" s="1" t="b">
        <v>1</v>
      </c>
      <c r="K152" s="72"/>
      <c r="L152" s="73"/>
      <c r="M152" s="78"/>
    </row>
    <row r="153">
      <c r="A153" s="84" t="s">
        <v>8872</v>
      </c>
      <c r="B153" s="1" t="s">
        <v>14094</v>
      </c>
      <c r="C153" s="76"/>
      <c r="D153" s="19"/>
      <c r="E153" s="1">
        <v>4071.0</v>
      </c>
      <c r="F153" s="19"/>
      <c r="G153" s="19"/>
      <c r="H153" s="19"/>
      <c r="I153" s="1" t="b">
        <v>1</v>
      </c>
      <c r="J153" s="1" t="b">
        <v>1</v>
      </c>
      <c r="K153" s="72"/>
      <c r="L153" s="73"/>
      <c r="M153" s="78"/>
    </row>
    <row r="154">
      <c r="A154" s="1" t="s">
        <v>14169</v>
      </c>
      <c r="B154" s="1" t="s">
        <v>14170</v>
      </c>
      <c r="C154" s="76"/>
      <c r="D154" s="19"/>
      <c r="E154" s="19"/>
      <c r="F154" s="19"/>
      <c r="G154" s="19"/>
      <c r="H154" s="19"/>
      <c r="I154" s="1" t="b">
        <v>1</v>
      </c>
      <c r="J154" s="1" t="b">
        <v>1</v>
      </c>
      <c r="K154" s="72"/>
      <c r="L154" s="73"/>
      <c r="M154" s="78"/>
    </row>
    <row r="155">
      <c r="A155" s="1" t="s">
        <v>11060</v>
      </c>
      <c r="B155" s="1" t="s">
        <v>14171</v>
      </c>
      <c r="C155" s="76"/>
      <c r="D155" s="19"/>
      <c r="E155" s="19"/>
      <c r="F155" s="19"/>
      <c r="G155" s="19"/>
      <c r="H155" s="19"/>
      <c r="I155" s="1" t="b">
        <v>1</v>
      </c>
      <c r="J155" s="1" t="b">
        <v>1</v>
      </c>
      <c r="K155" s="72"/>
      <c r="L155" s="73"/>
      <c r="M155" s="78"/>
    </row>
    <row r="156">
      <c r="A156" s="1" t="s">
        <v>14172</v>
      </c>
      <c r="B156" s="1" t="s">
        <v>14170</v>
      </c>
      <c r="C156" s="76"/>
      <c r="D156" s="19"/>
      <c r="E156" s="19"/>
      <c r="F156" s="19"/>
      <c r="G156" s="19"/>
      <c r="H156" s="19"/>
      <c r="I156" s="1" t="b">
        <v>1</v>
      </c>
      <c r="J156" s="1" t="b">
        <v>1</v>
      </c>
      <c r="K156" s="72"/>
      <c r="L156" s="73"/>
      <c r="M156" s="78"/>
    </row>
    <row r="157">
      <c r="A157" s="1" t="s">
        <v>14173</v>
      </c>
      <c r="B157" s="1" t="s">
        <v>14170</v>
      </c>
      <c r="C157" s="76"/>
      <c r="D157" s="19"/>
      <c r="E157" s="19"/>
      <c r="F157" s="19"/>
      <c r="G157" s="19"/>
      <c r="H157" s="19"/>
      <c r="I157" s="1" t="b">
        <v>1</v>
      </c>
      <c r="J157" s="1" t="b">
        <v>1</v>
      </c>
      <c r="K157" s="72"/>
      <c r="L157" s="73"/>
      <c r="M157" s="78"/>
    </row>
    <row r="158">
      <c r="A158" s="1" t="s">
        <v>11284</v>
      </c>
      <c r="B158" s="1" t="s">
        <v>14167</v>
      </c>
      <c r="C158" s="75">
        <v>46147.0</v>
      </c>
      <c r="D158" s="19"/>
      <c r="E158" s="19"/>
      <c r="F158" s="19"/>
      <c r="G158" s="19"/>
      <c r="H158" s="19"/>
      <c r="I158" s="1" t="b">
        <v>1</v>
      </c>
      <c r="J158" s="1" t="b">
        <v>1</v>
      </c>
      <c r="K158" s="72"/>
      <c r="L158" s="73"/>
      <c r="M158" s="78"/>
    </row>
    <row r="159">
      <c r="A159" s="1" t="s">
        <v>14174</v>
      </c>
      <c r="B159" s="1" t="s">
        <v>14129</v>
      </c>
      <c r="C159" s="76"/>
      <c r="D159" s="19"/>
      <c r="E159" s="19"/>
      <c r="F159" s="19"/>
      <c r="G159" s="19"/>
      <c r="H159" s="1" t="s">
        <v>14175</v>
      </c>
      <c r="I159" s="1" t="b">
        <v>1</v>
      </c>
      <c r="J159" s="1" t="b">
        <v>1</v>
      </c>
      <c r="K159" s="72"/>
      <c r="L159" s="73"/>
      <c r="M159" s="78"/>
    </row>
    <row r="160">
      <c r="A160" s="1" t="s">
        <v>14176</v>
      </c>
      <c r="B160" s="1" t="s">
        <v>14129</v>
      </c>
      <c r="C160" s="76"/>
      <c r="D160" s="19"/>
      <c r="E160" s="19"/>
      <c r="F160" s="19"/>
      <c r="G160" s="19"/>
      <c r="H160" s="19"/>
      <c r="I160" s="1" t="b">
        <v>1</v>
      </c>
      <c r="J160" s="1" t="b">
        <v>1</v>
      </c>
      <c r="K160" s="72"/>
      <c r="L160" s="73"/>
      <c r="M160" s="78"/>
    </row>
    <row r="161">
      <c r="A161" s="1" t="s">
        <v>14177</v>
      </c>
      <c r="B161" s="1" t="s">
        <v>14178</v>
      </c>
      <c r="C161" s="76"/>
      <c r="D161" s="19"/>
      <c r="E161" s="19"/>
      <c r="F161" s="19"/>
      <c r="G161" s="19"/>
      <c r="H161" s="19"/>
      <c r="I161" s="1" t="b">
        <v>1</v>
      </c>
      <c r="J161" s="1" t="b">
        <v>1</v>
      </c>
      <c r="K161" s="72"/>
      <c r="L161" s="73"/>
      <c r="M161" s="78"/>
    </row>
    <row r="162">
      <c r="A162" s="1" t="s">
        <v>10763</v>
      </c>
      <c r="B162" s="1" t="s">
        <v>14179</v>
      </c>
      <c r="C162" s="76"/>
      <c r="D162" s="19"/>
      <c r="E162" s="19"/>
      <c r="F162" s="19"/>
      <c r="G162" s="19"/>
      <c r="H162" s="19"/>
      <c r="I162" s="1" t="b">
        <v>1</v>
      </c>
      <c r="J162" s="1" t="b">
        <v>1</v>
      </c>
      <c r="K162" s="72"/>
      <c r="L162" s="73"/>
      <c r="M162" s="78"/>
    </row>
    <row r="163">
      <c r="A163" s="1" t="s">
        <v>9837</v>
      </c>
      <c r="B163" s="1" t="s">
        <v>14180</v>
      </c>
      <c r="C163" s="75">
        <v>46156.0</v>
      </c>
      <c r="D163" s="35">
        <v>0.6666666666666666</v>
      </c>
      <c r="E163" s="19"/>
      <c r="F163" s="19"/>
      <c r="G163" s="19"/>
      <c r="H163" s="1" t="s">
        <v>9842</v>
      </c>
      <c r="I163" s="1" t="b">
        <v>1</v>
      </c>
      <c r="J163" s="1" t="b">
        <v>1</v>
      </c>
      <c r="K163" s="72"/>
      <c r="L163" s="73"/>
      <c r="M163" s="78"/>
    </row>
    <row r="164">
      <c r="A164" s="1" t="s">
        <v>14137</v>
      </c>
      <c r="B164" s="1" t="s">
        <v>14181</v>
      </c>
      <c r="C164" s="76"/>
      <c r="D164" s="19"/>
      <c r="E164" s="19"/>
      <c r="F164" s="19"/>
      <c r="G164" s="19"/>
      <c r="H164" s="19"/>
      <c r="I164" s="1" t="b">
        <v>1</v>
      </c>
      <c r="J164" s="1" t="b">
        <v>1</v>
      </c>
      <c r="K164" s="72"/>
      <c r="L164" s="73"/>
      <c r="M164" s="78"/>
    </row>
    <row r="165">
      <c r="A165" s="1" t="s">
        <v>11580</v>
      </c>
      <c r="B165" s="1" t="s">
        <v>14157</v>
      </c>
      <c r="C165" s="76"/>
      <c r="D165" s="19"/>
      <c r="E165" s="19"/>
      <c r="F165" s="19"/>
      <c r="G165" s="19"/>
      <c r="H165" s="19"/>
      <c r="I165" s="1" t="b">
        <v>1</v>
      </c>
      <c r="J165" s="1" t="b">
        <v>1</v>
      </c>
      <c r="K165" s="72"/>
      <c r="L165" s="73"/>
      <c r="M165" s="78"/>
    </row>
    <row r="166">
      <c r="A166" s="1" t="s">
        <v>14132</v>
      </c>
      <c r="B166" s="1" t="s">
        <v>14064</v>
      </c>
      <c r="C166" s="75">
        <v>46149.0</v>
      </c>
      <c r="D166" s="19"/>
      <c r="E166" s="19"/>
      <c r="F166" s="19"/>
      <c r="G166" s="19"/>
      <c r="H166" s="19"/>
      <c r="I166" s="1" t="b">
        <v>1</v>
      </c>
      <c r="J166" s="1" t="b">
        <v>1</v>
      </c>
      <c r="K166" s="72"/>
      <c r="L166" s="73"/>
      <c r="M166" s="78"/>
    </row>
    <row r="167">
      <c r="A167" s="84" t="s">
        <v>10107</v>
      </c>
      <c r="B167" s="1" t="s">
        <v>14182</v>
      </c>
      <c r="C167" s="75">
        <v>46149.0</v>
      </c>
      <c r="D167" s="19"/>
      <c r="E167" s="19"/>
      <c r="F167" s="19"/>
      <c r="G167" s="19"/>
      <c r="H167" s="1" t="s">
        <v>14155</v>
      </c>
      <c r="I167" s="1" t="b">
        <v>1</v>
      </c>
      <c r="J167" s="1" t="b">
        <v>1</v>
      </c>
      <c r="K167" s="72"/>
      <c r="L167" s="73"/>
      <c r="M167" s="78"/>
    </row>
    <row r="168">
      <c r="A168" s="1" t="s">
        <v>14183</v>
      </c>
      <c r="B168" s="1" t="s">
        <v>14181</v>
      </c>
      <c r="C168" s="76"/>
      <c r="D168" s="19"/>
      <c r="E168" s="19"/>
      <c r="F168" s="19"/>
      <c r="G168" s="19"/>
      <c r="H168" s="19"/>
      <c r="I168" s="1" t="b">
        <v>1</v>
      </c>
      <c r="J168" s="1" t="b">
        <v>1</v>
      </c>
      <c r="K168" s="72"/>
      <c r="L168" s="73"/>
      <c r="M168" s="78"/>
    </row>
    <row r="169">
      <c r="A169" s="1" t="s">
        <v>12296</v>
      </c>
      <c r="B169" s="1" t="s">
        <v>14157</v>
      </c>
      <c r="C169" s="76"/>
      <c r="D169" s="19"/>
      <c r="E169" s="19"/>
      <c r="F169" s="19"/>
      <c r="G169" s="19"/>
      <c r="H169" s="19"/>
      <c r="I169" s="1" t="b">
        <v>1</v>
      </c>
      <c r="J169" s="1" t="b">
        <v>1</v>
      </c>
      <c r="K169" s="72"/>
      <c r="L169" s="73"/>
      <c r="M169" s="78"/>
    </row>
    <row r="170">
      <c r="A170" s="1" t="s">
        <v>14184</v>
      </c>
      <c r="B170" s="1" t="s">
        <v>14134</v>
      </c>
      <c r="C170" s="75">
        <v>46148.0</v>
      </c>
      <c r="D170" s="19"/>
      <c r="E170" s="19"/>
      <c r="F170" s="19"/>
      <c r="G170" s="19"/>
      <c r="H170" s="19"/>
      <c r="I170" s="1" t="b">
        <v>1</v>
      </c>
      <c r="J170" s="1" t="b">
        <v>1</v>
      </c>
      <c r="K170" s="72"/>
      <c r="L170" s="73"/>
      <c r="M170" s="78"/>
    </row>
    <row r="171">
      <c r="A171" s="1" t="s">
        <v>9587</v>
      </c>
      <c r="B171" s="1" t="s">
        <v>14134</v>
      </c>
      <c r="C171" s="75">
        <v>46148.0</v>
      </c>
      <c r="D171" s="19"/>
      <c r="E171" s="19"/>
      <c r="F171" s="19"/>
      <c r="G171" s="19"/>
      <c r="H171" s="19"/>
      <c r="I171" s="1" t="b">
        <v>1</v>
      </c>
      <c r="J171" s="1" t="b">
        <v>1</v>
      </c>
      <c r="K171" s="72"/>
      <c r="L171" s="73"/>
      <c r="M171" s="78"/>
    </row>
    <row r="172">
      <c r="A172" s="1" t="s">
        <v>14185</v>
      </c>
      <c r="B172" s="1" t="s">
        <v>14181</v>
      </c>
      <c r="C172" s="76"/>
      <c r="D172" s="19"/>
      <c r="E172" s="19"/>
      <c r="F172" s="19"/>
      <c r="G172" s="19"/>
      <c r="H172" s="19"/>
      <c r="I172" s="1" t="b">
        <v>1</v>
      </c>
      <c r="J172" s="1" t="b">
        <v>1</v>
      </c>
      <c r="K172" s="72"/>
      <c r="L172" s="73"/>
      <c r="M172" s="78"/>
    </row>
    <row r="173">
      <c r="A173" s="1" t="s">
        <v>12745</v>
      </c>
      <c r="B173" s="1" t="s">
        <v>14186</v>
      </c>
      <c r="C173" s="76"/>
      <c r="D173" s="19"/>
      <c r="E173" s="1">
        <v>491.0</v>
      </c>
      <c r="F173" s="1" t="s">
        <v>153</v>
      </c>
      <c r="G173" s="19"/>
      <c r="H173" s="1"/>
      <c r="I173" s="1" t="b">
        <v>1</v>
      </c>
      <c r="J173" s="1" t="b">
        <v>1</v>
      </c>
      <c r="K173" s="72"/>
      <c r="L173" s="73"/>
      <c r="M173" s="78"/>
    </row>
    <row r="174">
      <c r="A174" s="1" t="s">
        <v>14187</v>
      </c>
      <c r="B174" s="1" t="s">
        <v>14181</v>
      </c>
      <c r="C174" s="76"/>
      <c r="D174" s="19"/>
      <c r="E174" s="19"/>
      <c r="F174" s="19"/>
      <c r="G174" s="19"/>
      <c r="H174" s="19"/>
      <c r="I174" s="1" t="b">
        <v>1</v>
      </c>
      <c r="J174" s="1" t="b">
        <v>1</v>
      </c>
      <c r="K174" s="72"/>
      <c r="L174" s="73"/>
      <c r="M174" s="78"/>
    </row>
    <row r="175">
      <c r="A175" s="1" t="s">
        <v>14188</v>
      </c>
      <c r="B175" s="1" t="s">
        <v>14181</v>
      </c>
      <c r="C175" s="76"/>
      <c r="D175" s="19"/>
      <c r="E175" s="19"/>
      <c r="F175" s="19"/>
      <c r="G175" s="19"/>
      <c r="H175" s="19"/>
      <c r="I175" s="1" t="b">
        <v>1</v>
      </c>
      <c r="J175" s="1" t="b">
        <v>1</v>
      </c>
      <c r="K175" s="72"/>
      <c r="L175" s="73"/>
      <c r="M175" s="78"/>
    </row>
    <row r="176">
      <c r="A176" s="1" t="s">
        <v>10864</v>
      </c>
      <c r="B176" s="1" t="s">
        <v>14154</v>
      </c>
      <c r="C176" s="76"/>
      <c r="D176" s="19"/>
      <c r="E176" s="1">
        <v>3052.0</v>
      </c>
      <c r="F176" s="19"/>
      <c r="G176" s="19"/>
      <c r="H176" s="19"/>
      <c r="I176" s="1" t="b">
        <v>1</v>
      </c>
      <c r="J176" s="1" t="b">
        <v>1</v>
      </c>
      <c r="K176" s="72"/>
      <c r="L176" s="73"/>
      <c r="M176" s="78"/>
    </row>
    <row r="177">
      <c r="A177" s="1" t="s">
        <v>12716</v>
      </c>
      <c r="B177" s="1" t="s">
        <v>14157</v>
      </c>
      <c r="C177" s="76"/>
      <c r="D177" s="19"/>
      <c r="E177" s="19"/>
      <c r="F177" s="19"/>
      <c r="G177" s="19"/>
      <c r="H177" s="19"/>
      <c r="I177" s="1" t="b">
        <v>1</v>
      </c>
      <c r="J177" s="1" t="b">
        <v>1</v>
      </c>
      <c r="K177" s="72"/>
      <c r="L177" s="73"/>
      <c r="M177" s="78"/>
    </row>
    <row r="178">
      <c r="A178" s="1" t="s">
        <v>8697</v>
      </c>
      <c r="B178" s="1" t="s">
        <v>14189</v>
      </c>
      <c r="C178" s="76"/>
      <c r="D178" s="19"/>
      <c r="E178" s="19"/>
      <c r="F178" s="19"/>
      <c r="G178" s="19"/>
      <c r="H178" s="19"/>
      <c r="I178" s="1" t="b">
        <v>1</v>
      </c>
      <c r="J178" s="1" t="b">
        <v>1</v>
      </c>
      <c r="K178" s="72"/>
      <c r="L178" s="73"/>
      <c r="M178" s="78"/>
    </row>
    <row r="179">
      <c r="A179" s="1" t="s">
        <v>9500</v>
      </c>
      <c r="B179" s="1" t="s">
        <v>14189</v>
      </c>
      <c r="C179" s="76"/>
      <c r="D179" s="19"/>
      <c r="E179" s="19"/>
      <c r="F179" s="19"/>
      <c r="G179" s="19"/>
      <c r="H179" s="19"/>
      <c r="I179" s="1" t="b">
        <v>1</v>
      </c>
      <c r="J179" s="1" t="b">
        <v>1</v>
      </c>
      <c r="K179" s="72"/>
      <c r="L179" s="73"/>
      <c r="M179" s="78"/>
    </row>
    <row r="180">
      <c r="A180" s="1" t="s">
        <v>10450</v>
      </c>
      <c r="B180" s="1" t="s">
        <v>14190</v>
      </c>
      <c r="C180" s="76"/>
      <c r="D180" s="19"/>
      <c r="E180" s="19"/>
      <c r="F180" s="19"/>
      <c r="G180" s="19"/>
      <c r="H180" s="19"/>
      <c r="I180" s="1" t="b">
        <v>1</v>
      </c>
      <c r="J180" s="1" t="b">
        <v>1</v>
      </c>
      <c r="K180" s="72"/>
      <c r="L180" s="73"/>
      <c r="M180" s="78"/>
    </row>
    <row r="181">
      <c r="A181" s="1" t="s">
        <v>11639</v>
      </c>
      <c r="B181" s="1" t="s">
        <v>14134</v>
      </c>
      <c r="C181" s="75">
        <v>46178.0</v>
      </c>
      <c r="D181" s="19"/>
      <c r="E181" s="19"/>
      <c r="F181" s="19"/>
      <c r="G181" s="19"/>
      <c r="H181" s="19"/>
      <c r="I181" s="1" t="b">
        <v>1</v>
      </c>
      <c r="J181" s="1" t="b">
        <v>1</v>
      </c>
      <c r="K181" s="72"/>
      <c r="L181" s="73"/>
      <c r="M181" s="78"/>
    </row>
    <row r="182">
      <c r="A182" s="1" t="s">
        <v>14191</v>
      </c>
      <c r="B182" s="1" t="s">
        <v>14129</v>
      </c>
      <c r="C182" s="76"/>
      <c r="D182" s="19"/>
      <c r="E182" s="19"/>
      <c r="F182" s="19"/>
      <c r="G182" s="19"/>
      <c r="H182" s="1" t="s">
        <v>14192</v>
      </c>
      <c r="I182" s="1" t="b">
        <v>1</v>
      </c>
      <c r="J182" s="1" t="b">
        <v>1</v>
      </c>
      <c r="K182" s="72"/>
      <c r="L182" s="73"/>
      <c r="M182" s="78"/>
    </row>
    <row r="183">
      <c r="A183" s="1" t="s">
        <v>12040</v>
      </c>
      <c r="B183" s="1" t="s">
        <v>14133</v>
      </c>
      <c r="C183" s="75">
        <v>46153.0</v>
      </c>
      <c r="D183" s="19"/>
      <c r="E183" s="19"/>
      <c r="F183" s="19"/>
      <c r="G183" s="19"/>
      <c r="H183" s="1" t="s">
        <v>14193</v>
      </c>
      <c r="I183" s="1" t="b">
        <v>1</v>
      </c>
      <c r="J183" s="1" t="b">
        <v>1</v>
      </c>
      <c r="K183" s="72"/>
      <c r="L183" s="73"/>
      <c r="M183" s="78"/>
    </row>
    <row r="184">
      <c r="A184" s="1" t="s">
        <v>14194</v>
      </c>
      <c r="B184" s="1" t="s">
        <v>14129</v>
      </c>
      <c r="C184" s="76"/>
      <c r="D184" s="19"/>
      <c r="E184" s="19"/>
      <c r="F184" s="19"/>
      <c r="G184" s="19"/>
      <c r="H184" s="1" t="s">
        <v>14195</v>
      </c>
      <c r="I184" s="1" t="b">
        <v>1</v>
      </c>
      <c r="J184" s="1" t="b">
        <v>1</v>
      </c>
      <c r="K184" s="72"/>
      <c r="L184" s="73"/>
      <c r="M184" s="78"/>
    </row>
    <row r="185">
      <c r="A185" s="1" t="s">
        <v>14196</v>
      </c>
      <c r="B185" s="1" t="s">
        <v>14129</v>
      </c>
      <c r="C185" s="76"/>
      <c r="D185" s="19"/>
      <c r="E185" s="19"/>
      <c r="F185" s="19"/>
      <c r="G185" s="19"/>
      <c r="H185" s="19"/>
      <c r="I185" s="1" t="b">
        <v>1</v>
      </c>
      <c r="J185" s="1" t="b">
        <v>1</v>
      </c>
      <c r="K185" s="72"/>
      <c r="L185" s="73"/>
      <c r="M185" s="78"/>
    </row>
    <row r="186">
      <c r="A186" s="1" t="s">
        <v>11989</v>
      </c>
      <c r="B186" s="1" t="s">
        <v>14133</v>
      </c>
      <c r="C186" s="75">
        <v>46155.0</v>
      </c>
      <c r="D186" s="19"/>
      <c r="E186" s="19"/>
      <c r="F186" s="19"/>
      <c r="G186" s="19"/>
      <c r="H186" s="1" t="s">
        <v>14193</v>
      </c>
      <c r="I186" s="1" t="b">
        <v>1</v>
      </c>
      <c r="J186" s="1" t="b">
        <v>1</v>
      </c>
      <c r="K186" s="72"/>
      <c r="L186" s="73"/>
      <c r="M186" s="78"/>
    </row>
    <row r="187">
      <c r="A187" s="1" t="s">
        <v>10803</v>
      </c>
      <c r="B187" s="1" t="s">
        <v>14197</v>
      </c>
      <c r="C187" s="75">
        <v>46149.0</v>
      </c>
      <c r="D187" s="1" t="s">
        <v>14108</v>
      </c>
      <c r="E187" s="19"/>
      <c r="F187" s="19"/>
      <c r="G187" s="19"/>
      <c r="H187" s="19"/>
      <c r="I187" s="1" t="b">
        <v>1</v>
      </c>
      <c r="J187" s="1" t="b">
        <v>1</v>
      </c>
      <c r="K187" s="72"/>
      <c r="L187" s="73"/>
      <c r="M187" s="78"/>
    </row>
    <row r="188">
      <c r="A188" s="1" t="s">
        <v>14198</v>
      </c>
      <c r="B188" s="1" t="s">
        <v>14129</v>
      </c>
      <c r="C188" s="76"/>
      <c r="D188" s="19"/>
      <c r="E188" s="19"/>
      <c r="F188" s="19"/>
      <c r="G188" s="19"/>
      <c r="H188" s="1" t="s">
        <v>14199</v>
      </c>
      <c r="I188" s="1" t="b">
        <v>1</v>
      </c>
      <c r="J188" s="1" t="b">
        <v>1</v>
      </c>
      <c r="K188" s="72"/>
      <c r="L188" s="73"/>
      <c r="M188" s="78"/>
    </row>
    <row r="189">
      <c r="A189" s="1" t="s">
        <v>12968</v>
      </c>
      <c r="B189" s="1" t="s">
        <v>14200</v>
      </c>
      <c r="C189" s="76"/>
      <c r="D189" s="19"/>
      <c r="E189" s="1">
        <v>3133.0</v>
      </c>
      <c r="F189" s="19"/>
      <c r="G189" s="19"/>
      <c r="H189" s="1" t="s">
        <v>648</v>
      </c>
      <c r="I189" s="1" t="b">
        <v>1</v>
      </c>
      <c r="J189" s="1" t="b">
        <v>1</v>
      </c>
      <c r="K189" s="72"/>
      <c r="L189" s="73"/>
      <c r="M189" s="78"/>
    </row>
    <row r="190">
      <c r="A190" s="1" t="s">
        <v>13576</v>
      </c>
      <c r="B190" s="1" t="s">
        <v>14147</v>
      </c>
      <c r="C190" s="75">
        <v>46159.0</v>
      </c>
      <c r="D190" s="19"/>
      <c r="E190" s="19"/>
      <c r="F190" s="19"/>
      <c r="G190" s="19"/>
      <c r="H190" s="19"/>
      <c r="I190" s="1" t="b">
        <v>1</v>
      </c>
      <c r="J190" s="1" t="b">
        <v>1</v>
      </c>
      <c r="K190" s="72"/>
      <c r="L190" s="73"/>
      <c r="M190" s="78"/>
    </row>
    <row r="191">
      <c r="A191" s="1" t="s">
        <v>14132</v>
      </c>
      <c r="B191" s="1" t="s">
        <v>14181</v>
      </c>
      <c r="C191" s="76"/>
      <c r="D191" s="19"/>
      <c r="E191" s="19"/>
      <c r="F191" s="19"/>
      <c r="G191" s="19"/>
      <c r="H191" s="1"/>
      <c r="I191" s="1" t="b">
        <v>1</v>
      </c>
      <c r="J191" s="1" t="b">
        <v>1</v>
      </c>
      <c r="K191" s="72"/>
      <c r="L191" s="73"/>
      <c r="M191" s="78"/>
    </row>
    <row r="192">
      <c r="A192" s="1" t="s">
        <v>11071</v>
      </c>
      <c r="B192" s="1" t="s">
        <v>14201</v>
      </c>
      <c r="C192" s="76"/>
      <c r="D192" s="19"/>
      <c r="E192" s="1">
        <v>472.0</v>
      </c>
      <c r="F192" s="19"/>
      <c r="G192" s="19"/>
      <c r="H192" s="1"/>
      <c r="I192" s="1" t="b">
        <v>1</v>
      </c>
      <c r="J192" s="1" t="b">
        <v>1</v>
      </c>
      <c r="K192" s="72"/>
      <c r="L192" s="73"/>
      <c r="M192" s="78"/>
    </row>
    <row r="193">
      <c r="A193" s="1" t="s">
        <v>9981</v>
      </c>
      <c r="B193" s="1" t="s">
        <v>14202</v>
      </c>
      <c r="C193" s="76"/>
      <c r="D193" s="19"/>
      <c r="E193" s="19"/>
      <c r="F193" s="19"/>
      <c r="G193" s="19"/>
      <c r="H193" s="1" t="s">
        <v>14203</v>
      </c>
      <c r="I193" s="1" t="s">
        <v>14158</v>
      </c>
      <c r="J193" s="1" t="b">
        <v>1</v>
      </c>
      <c r="K193" s="72"/>
      <c r="L193" s="73"/>
      <c r="M193" s="78"/>
    </row>
    <row r="194">
      <c r="A194" s="1" t="s">
        <v>8314</v>
      </c>
      <c r="B194" s="1" t="s">
        <v>14204</v>
      </c>
      <c r="C194" s="76"/>
      <c r="D194" s="19"/>
      <c r="E194" s="19"/>
      <c r="F194" s="19"/>
      <c r="G194" s="19"/>
      <c r="H194" s="1" t="s">
        <v>14205</v>
      </c>
      <c r="I194" s="1" t="s">
        <v>14158</v>
      </c>
      <c r="J194" s="1" t="b">
        <v>1</v>
      </c>
      <c r="K194" s="72"/>
      <c r="L194" s="73"/>
      <c r="M194" s="78"/>
    </row>
    <row r="195">
      <c r="A195" s="1" t="s">
        <v>12315</v>
      </c>
      <c r="B195" s="1" t="s">
        <v>14167</v>
      </c>
      <c r="C195" s="75">
        <v>46153.0</v>
      </c>
      <c r="D195" s="19"/>
      <c r="E195" s="19"/>
      <c r="F195" s="1"/>
      <c r="G195" s="19"/>
      <c r="H195" s="19"/>
      <c r="I195" s="1" t="b">
        <v>1</v>
      </c>
      <c r="J195" s="1" t="b">
        <v>1</v>
      </c>
      <c r="K195" s="69" t="s">
        <v>1152</v>
      </c>
      <c r="L195" s="73"/>
      <c r="M195" s="78"/>
    </row>
    <row r="196">
      <c r="A196" s="1" t="s">
        <v>13155</v>
      </c>
      <c r="B196" s="1" t="s">
        <v>14206</v>
      </c>
      <c r="C196" s="76"/>
      <c r="D196" s="19"/>
      <c r="E196" s="1">
        <v>2044.0</v>
      </c>
      <c r="F196" s="1" t="s">
        <v>551</v>
      </c>
      <c r="G196" s="19"/>
      <c r="H196" s="19"/>
      <c r="I196" s="1" t="b">
        <v>1</v>
      </c>
      <c r="J196" s="1" t="b">
        <v>1</v>
      </c>
      <c r="K196" s="72"/>
      <c r="L196" s="73"/>
      <c r="M196" s="78"/>
    </row>
    <row r="197">
      <c r="A197" s="1" t="s">
        <v>12734</v>
      </c>
      <c r="B197" s="1" t="s">
        <v>14147</v>
      </c>
      <c r="C197" s="75">
        <v>46164.0</v>
      </c>
      <c r="D197" s="19"/>
      <c r="E197" s="19"/>
      <c r="F197" s="19"/>
      <c r="G197" s="19"/>
      <c r="H197" s="19"/>
      <c r="I197" s="1" t="b">
        <v>1</v>
      </c>
      <c r="J197" s="1" t="b">
        <v>1</v>
      </c>
      <c r="K197" s="72"/>
      <c r="L197" s="73"/>
      <c r="M197" s="78"/>
    </row>
    <row r="198">
      <c r="A198" s="1" t="s">
        <v>14207</v>
      </c>
      <c r="B198" s="1" t="s">
        <v>14145</v>
      </c>
      <c r="C198" s="76"/>
      <c r="D198" s="19"/>
      <c r="E198" s="19"/>
      <c r="F198" s="19"/>
      <c r="G198" s="19"/>
      <c r="H198" s="19"/>
      <c r="I198" s="1" t="b">
        <v>1</v>
      </c>
      <c r="J198" s="1" t="b">
        <v>1</v>
      </c>
      <c r="K198" s="72"/>
      <c r="L198" s="73"/>
      <c r="M198" s="78"/>
    </row>
    <row r="199">
      <c r="A199" s="1" t="s">
        <v>14208</v>
      </c>
      <c r="B199" s="1" t="s">
        <v>14209</v>
      </c>
      <c r="C199" s="76"/>
      <c r="D199" s="19"/>
      <c r="E199" s="19"/>
      <c r="F199" s="19"/>
      <c r="G199" s="19"/>
      <c r="H199" s="19"/>
      <c r="I199" s="1" t="b">
        <v>1</v>
      </c>
      <c r="J199" s="1" t="b">
        <v>1</v>
      </c>
      <c r="K199" s="72"/>
      <c r="L199" s="73"/>
      <c r="M199" s="78"/>
    </row>
    <row r="200">
      <c r="A200" s="1" t="s">
        <v>13939</v>
      </c>
      <c r="B200" s="1" t="s">
        <v>14157</v>
      </c>
      <c r="C200" s="76"/>
      <c r="D200" s="19"/>
      <c r="E200" s="19"/>
      <c r="F200" s="19"/>
      <c r="G200" s="19"/>
      <c r="H200" s="19"/>
      <c r="I200" s="1" t="b">
        <v>1</v>
      </c>
      <c r="J200" s="1" t="b">
        <v>1</v>
      </c>
      <c r="K200" s="72"/>
      <c r="L200" s="73"/>
      <c r="M200" s="78"/>
    </row>
    <row r="201">
      <c r="A201" s="1" t="s">
        <v>14210</v>
      </c>
      <c r="B201" s="1" t="s">
        <v>14181</v>
      </c>
      <c r="C201" s="76"/>
      <c r="D201" s="19"/>
      <c r="E201" s="19"/>
      <c r="F201" s="19"/>
      <c r="G201" s="19"/>
      <c r="H201" s="19"/>
      <c r="I201" s="19" t="b">
        <v>0</v>
      </c>
      <c r="J201" s="19" t="b">
        <v>0</v>
      </c>
      <c r="K201" s="72"/>
      <c r="L201" s="73"/>
      <c r="M201" s="78"/>
    </row>
    <row r="202">
      <c r="A202" s="1" t="s">
        <v>13965</v>
      </c>
      <c r="B202" s="1" t="s">
        <v>14134</v>
      </c>
      <c r="C202" s="75">
        <v>46158.0</v>
      </c>
      <c r="D202" s="19"/>
      <c r="E202" s="19"/>
      <c r="F202" s="19"/>
      <c r="G202" s="19"/>
      <c r="H202" s="19"/>
      <c r="I202" s="19" t="b">
        <v>0</v>
      </c>
      <c r="J202" s="19" t="b">
        <v>0</v>
      </c>
      <c r="K202" s="72"/>
      <c r="L202" s="73"/>
      <c r="M202" s="78"/>
    </row>
    <row r="203">
      <c r="A203" s="1" t="s">
        <v>13676</v>
      </c>
      <c r="B203" s="1" t="s">
        <v>14133</v>
      </c>
      <c r="C203" s="75">
        <v>46164.0</v>
      </c>
      <c r="D203" s="19"/>
      <c r="E203" s="19"/>
      <c r="F203" s="19"/>
      <c r="G203" s="19"/>
      <c r="H203" s="19"/>
      <c r="I203" s="19" t="b">
        <v>0</v>
      </c>
      <c r="J203" s="19" t="b">
        <v>0</v>
      </c>
      <c r="K203" s="72"/>
      <c r="L203" s="73"/>
      <c r="M203" s="78"/>
    </row>
    <row r="204">
      <c r="A204" s="1" t="s">
        <v>10426</v>
      </c>
      <c r="B204" s="1" t="s">
        <v>14134</v>
      </c>
      <c r="C204" s="75">
        <v>46174.0</v>
      </c>
      <c r="D204" s="19"/>
      <c r="E204" s="19"/>
      <c r="F204" s="19"/>
      <c r="G204" s="19"/>
      <c r="H204" s="19"/>
      <c r="I204" s="19" t="b">
        <v>0</v>
      </c>
      <c r="J204" s="19" t="b">
        <v>0</v>
      </c>
      <c r="K204" s="72"/>
      <c r="L204" s="73"/>
      <c r="M204" s="78"/>
    </row>
    <row r="205">
      <c r="A205" s="19"/>
      <c r="B205" s="19"/>
      <c r="C205" s="76"/>
      <c r="D205" s="19"/>
      <c r="E205" s="19"/>
      <c r="F205" s="19"/>
      <c r="G205" s="19"/>
      <c r="H205" s="19"/>
      <c r="I205" s="19" t="b">
        <v>0</v>
      </c>
      <c r="J205" s="19" t="b">
        <v>0</v>
      </c>
      <c r="K205" s="72"/>
      <c r="L205" s="73"/>
      <c r="M205" s="78"/>
    </row>
    <row r="206">
      <c r="A206" s="19"/>
      <c r="B206" s="19"/>
      <c r="C206" s="76"/>
      <c r="D206" s="19"/>
      <c r="E206" s="19"/>
      <c r="F206" s="19"/>
      <c r="G206" s="19"/>
      <c r="H206" s="19"/>
      <c r="I206" s="19" t="b">
        <v>0</v>
      </c>
      <c r="J206" s="19" t="b">
        <v>0</v>
      </c>
      <c r="K206" s="72"/>
      <c r="L206" s="73"/>
      <c r="M206" s="78"/>
    </row>
    <row r="207">
      <c r="A207" s="19"/>
      <c r="B207" s="19"/>
      <c r="C207" s="76"/>
      <c r="D207" s="19"/>
      <c r="E207" s="19"/>
      <c r="F207" s="19"/>
      <c r="G207" s="19"/>
      <c r="H207" s="19"/>
      <c r="I207" s="19" t="b">
        <v>0</v>
      </c>
      <c r="J207" s="19" t="b">
        <v>0</v>
      </c>
      <c r="K207" s="72"/>
      <c r="L207" s="73"/>
      <c r="M207" s="78"/>
    </row>
    <row r="208">
      <c r="A208" s="19"/>
      <c r="B208" s="19"/>
      <c r="C208" s="76"/>
      <c r="D208" s="19"/>
      <c r="E208" s="19"/>
      <c r="F208" s="19"/>
      <c r="G208" s="19"/>
      <c r="H208" s="19"/>
      <c r="I208" s="19" t="b">
        <v>0</v>
      </c>
      <c r="J208" s="19" t="b">
        <v>0</v>
      </c>
      <c r="K208" s="72"/>
      <c r="L208" s="73"/>
      <c r="M208" s="78"/>
    </row>
    <row r="209">
      <c r="A209" s="19"/>
      <c r="B209" s="19"/>
      <c r="C209" s="76"/>
      <c r="D209" s="19"/>
      <c r="E209" s="19"/>
      <c r="F209" s="19"/>
      <c r="G209" s="19"/>
      <c r="H209" s="19"/>
      <c r="I209" s="19" t="b">
        <v>0</v>
      </c>
      <c r="J209" s="19" t="b">
        <v>0</v>
      </c>
      <c r="K209" s="72"/>
      <c r="L209" s="73"/>
      <c r="M209" s="78"/>
    </row>
    <row r="210">
      <c r="A210" s="19"/>
      <c r="B210" s="19"/>
      <c r="C210" s="76"/>
      <c r="D210" s="19"/>
      <c r="E210" s="19"/>
      <c r="F210" s="19"/>
      <c r="G210" s="19"/>
      <c r="H210" s="19"/>
      <c r="I210" s="19" t="b">
        <v>0</v>
      </c>
      <c r="J210" s="19" t="b">
        <v>0</v>
      </c>
      <c r="K210" s="72"/>
      <c r="L210" s="73"/>
      <c r="M210" s="78"/>
    </row>
    <row r="211">
      <c r="A211" s="19"/>
      <c r="B211" s="19"/>
      <c r="C211" s="76"/>
      <c r="D211" s="19"/>
      <c r="E211" s="19"/>
      <c r="F211" s="19"/>
      <c r="G211" s="19"/>
      <c r="H211" s="19"/>
      <c r="I211" s="19" t="b">
        <v>0</v>
      </c>
      <c r="J211" s="19" t="b">
        <v>0</v>
      </c>
      <c r="K211" s="72"/>
      <c r="L211" s="73"/>
      <c r="M211" s="78"/>
    </row>
    <row r="212">
      <c r="A212" s="19"/>
      <c r="B212" s="19"/>
      <c r="C212" s="76"/>
      <c r="D212" s="19"/>
      <c r="E212" s="19"/>
      <c r="F212" s="19"/>
      <c r="G212" s="19"/>
      <c r="H212" s="19"/>
      <c r="I212" s="19" t="b">
        <v>0</v>
      </c>
      <c r="J212" s="19" t="b">
        <v>0</v>
      </c>
      <c r="K212" s="72"/>
      <c r="L212" s="73"/>
      <c r="M212" s="78"/>
    </row>
    <row r="213">
      <c r="A213" s="19"/>
      <c r="B213" s="19"/>
      <c r="C213" s="76"/>
      <c r="D213" s="19"/>
      <c r="E213" s="19"/>
      <c r="F213" s="19"/>
      <c r="G213" s="19"/>
      <c r="H213" s="19"/>
      <c r="I213" s="19" t="b">
        <v>0</v>
      </c>
      <c r="J213" s="19" t="b">
        <v>0</v>
      </c>
      <c r="K213" s="72"/>
      <c r="L213" s="73"/>
      <c r="M213" s="78"/>
    </row>
    <row r="214">
      <c r="A214" s="19"/>
      <c r="B214" s="19"/>
      <c r="C214" s="76"/>
      <c r="D214" s="19"/>
      <c r="E214" s="19"/>
      <c r="F214" s="19"/>
      <c r="G214" s="19"/>
      <c r="H214" s="19"/>
      <c r="I214" s="19" t="b">
        <v>0</v>
      </c>
      <c r="J214" s="19" t="b">
        <v>0</v>
      </c>
      <c r="K214" s="72"/>
      <c r="L214" s="73"/>
      <c r="M214" s="78"/>
    </row>
    <row r="215">
      <c r="A215" s="19"/>
      <c r="B215" s="19"/>
      <c r="C215" s="76"/>
      <c r="D215" s="19"/>
      <c r="E215" s="19"/>
      <c r="F215" s="19"/>
      <c r="G215" s="19"/>
      <c r="H215" s="19"/>
      <c r="I215" s="19" t="b">
        <v>0</v>
      </c>
      <c r="J215" s="19" t="b">
        <v>0</v>
      </c>
      <c r="K215" s="72"/>
      <c r="L215" s="73"/>
      <c r="M215" s="78"/>
    </row>
    <row r="216">
      <c r="A216" s="19"/>
      <c r="B216" s="19"/>
      <c r="C216" s="76"/>
      <c r="D216" s="19"/>
      <c r="E216" s="19"/>
      <c r="F216" s="19"/>
      <c r="G216" s="19"/>
      <c r="H216" s="19"/>
      <c r="I216" s="19" t="b">
        <v>0</v>
      </c>
      <c r="J216" s="19" t="b">
        <v>0</v>
      </c>
      <c r="K216" s="72"/>
      <c r="L216" s="73"/>
      <c r="M216" s="78"/>
    </row>
    <row r="217">
      <c r="A217" s="19"/>
      <c r="B217" s="19"/>
      <c r="C217" s="76"/>
      <c r="D217" s="19"/>
      <c r="E217" s="19"/>
      <c r="F217" s="19"/>
      <c r="G217" s="19"/>
      <c r="H217" s="19"/>
      <c r="I217" s="19" t="b">
        <v>0</v>
      </c>
      <c r="J217" s="19" t="b">
        <v>0</v>
      </c>
      <c r="K217" s="72"/>
      <c r="L217" s="73"/>
      <c r="M217" s="78"/>
    </row>
    <row r="218">
      <c r="A218" s="19"/>
      <c r="B218" s="19"/>
      <c r="C218" s="76"/>
      <c r="D218" s="19"/>
      <c r="E218" s="19"/>
      <c r="F218" s="19"/>
      <c r="G218" s="19"/>
      <c r="H218" s="19"/>
      <c r="I218" s="19" t="b">
        <v>0</v>
      </c>
      <c r="J218" s="19" t="b">
        <v>0</v>
      </c>
      <c r="K218" s="72"/>
      <c r="L218" s="73"/>
      <c r="M218" s="78"/>
    </row>
    <row r="219">
      <c r="A219" s="19"/>
      <c r="B219" s="19"/>
      <c r="C219" s="76"/>
      <c r="D219" s="19"/>
      <c r="E219" s="19"/>
      <c r="F219" s="19"/>
      <c r="G219" s="19"/>
      <c r="H219" s="19"/>
      <c r="I219" s="19" t="b">
        <v>0</v>
      </c>
      <c r="J219" s="19" t="b">
        <v>0</v>
      </c>
      <c r="K219" s="72"/>
      <c r="L219" s="73"/>
      <c r="M219" s="78"/>
    </row>
    <row r="220">
      <c r="A220" s="19"/>
      <c r="B220" s="19"/>
      <c r="C220" s="76"/>
      <c r="D220" s="19"/>
      <c r="E220" s="19"/>
      <c r="F220" s="19"/>
      <c r="G220" s="19"/>
      <c r="H220" s="19"/>
      <c r="I220" s="19" t="b">
        <v>0</v>
      </c>
      <c r="J220" s="19" t="b">
        <v>0</v>
      </c>
      <c r="K220" s="72"/>
      <c r="L220" s="73"/>
      <c r="M220" s="78"/>
    </row>
    <row r="221">
      <c r="A221" s="19"/>
      <c r="B221" s="19"/>
      <c r="C221" s="76"/>
      <c r="D221" s="19"/>
      <c r="E221" s="19"/>
      <c r="F221" s="19"/>
      <c r="G221" s="19"/>
      <c r="H221" s="19"/>
      <c r="I221" s="19" t="b">
        <v>0</v>
      </c>
      <c r="J221" s="19" t="b">
        <v>0</v>
      </c>
      <c r="K221" s="72"/>
      <c r="L221" s="73"/>
      <c r="M221" s="78"/>
    </row>
    <row r="222">
      <c r="A222" s="19"/>
      <c r="B222" s="19"/>
      <c r="C222" s="76"/>
      <c r="D222" s="19"/>
      <c r="E222" s="19"/>
      <c r="F222" s="19"/>
      <c r="G222" s="19"/>
      <c r="H222" s="19"/>
      <c r="I222" s="19" t="b">
        <v>0</v>
      </c>
      <c r="J222" s="19" t="b">
        <v>0</v>
      </c>
      <c r="K222" s="72"/>
      <c r="L222" s="73"/>
      <c r="M222" s="78"/>
    </row>
    <row r="223">
      <c r="A223" s="19"/>
      <c r="B223" s="19"/>
      <c r="C223" s="76"/>
      <c r="D223" s="19"/>
      <c r="E223" s="19"/>
      <c r="F223" s="19"/>
      <c r="G223" s="19"/>
      <c r="H223" s="19"/>
      <c r="I223" s="19" t="b">
        <v>0</v>
      </c>
      <c r="J223" s="19" t="b">
        <v>0</v>
      </c>
      <c r="K223" s="72"/>
      <c r="L223" s="73"/>
      <c r="M223" s="78"/>
    </row>
    <row r="224">
      <c r="A224" s="19"/>
      <c r="B224" s="19"/>
      <c r="C224" s="76"/>
      <c r="D224" s="19"/>
      <c r="E224" s="19"/>
      <c r="F224" s="19"/>
      <c r="G224" s="19"/>
      <c r="H224" s="19"/>
      <c r="I224" s="19" t="b">
        <v>0</v>
      </c>
      <c r="J224" s="19" t="b">
        <v>0</v>
      </c>
      <c r="K224" s="72"/>
      <c r="L224" s="73"/>
      <c r="M224" s="78"/>
    </row>
    <row r="225">
      <c r="A225" s="19"/>
      <c r="B225" s="19"/>
      <c r="C225" s="76"/>
      <c r="D225" s="19"/>
      <c r="E225" s="19"/>
      <c r="F225" s="19"/>
      <c r="G225" s="19"/>
      <c r="H225" s="19"/>
      <c r="I225" s="19" t="b">
        <v>0</v>
      </c>
      <c r="J225" s="19" t="b">
        <v>0</v>
      </c>
      <c r="K225" s="72"/>
      <c r="L225" s="73"/>
      <c r="M225" s="78"/>
    </row>
    <row r="226">
      <c r="A226" s="19"/>
      <c r="B226" s="19"/>
      <c r="C226" s="76"/>
      <c r="D226" s="19"/>
      <c r="E226" s="19"/>
      <c r="F226" s="19"/>
      <c r="G226" s="19"/>
      <c r="H226" s="19"/>
      <c r="I226" s="19"/>
      <c r="J226" s="19"/>
      <c r="K226" s="72"/>
      <c r="L226" s="73"/>
      <c r="M226" s="78"/>
    </row>
    <row r="227">
      <c r="A227" s="19"/>
      <c r="B227" s="19"/>
      <c r="C227" s="76"/>
      <c r="D227" s="19"/>
      <c r="E227" s="19"/>
      <c r="F227" s="19"/>
      <c r="G227" s="19"/>
      <c r="H227" s="19"/>
      <c r="I227" s="19"/>
      <c r="J227" s="19"/>
      <c r="K227" s="72"/>
      <c r="L227" s="73"/>
      <c r="M227" s="78"/>
    </row>
    <row r="228">
      <c r="A228" s="19"/>
      <c r="B228" s="19"/>
      <c r="C228" s="76"/>
      <c r="D228" s="19"/>
      <c r="E228" s="19"/>
      <c r="F228" s="19"/>
      <c r="G228" s="19"/>
      <c r="H228" s="19"/>
      <c r="I228" s="19"/>
      <c r="J228" s="19"/>
      <c r="K228" s="72"/>
      <c r="L228" s="73"/>
      <c r="M228" s="78"/>
    </row>
    <row r="229">
      <c r="A229" s="19"/>
      <c r="B229" s="19"/>
      <c r="C229" s="76"/>
      <c r="D229" s="19"/>
      <c r="E229" s="19"/>
      <c r="F229" s="19"/>
      <c r="G229" s="19"/>
      <c r="H229" s="19"/>
      <c r="I229" s="19"/>
      <c r="J229" s="19"/>
      <c r="K229" s="72"/>
      <c r="L229" s="73"/>
      <c r="M229" s="78"/>
    </row>
    <row r="230">
      <c r="A230" s="19"/>
      <c r="B230" s="19"/>
      <c r="C230" s="76"/>
      <c r="D230" s="19"/>
      <c r="E230" s="19"/>
      <c r="F230" s="19"/>
      <c r="G230" s="19"/>
      <c r="H230" s="19"/>
      <c r="I230" s="19"/>
      <c r="J230" s="19"/>
      <c r="K230" s="72"/>
      <c r="L230" s="73"/>
      <c r="M230" s="78"/>
    </row>
    <row r="231">
      <c r="A231" s="19"/>
      <c r="B231" s="19"/>
      <c r="C231" s="76"/>
      <c r="D231" s="19"/>
      <c r="E231" s="19"/>
      <c r="F231" s="19"/>
      <c r="G231" s="19"/>
      <c r="H231" s="19"/>
      <c r="I231" s="19"/>
      <c r="J231" s="19"/>
      <c r="K231" s="72"/>
      <c r="L231" s="73"/>
      <c r="M231" s="78"/>
    </row>
    <row r="232">
      <c r="A232" s="19"/>
      <c r="B232" s="19"/>
      <c r="C232" s="76"/>
      <c r="D232" s="19"/>
      <c r="E232" s="19"/>
      <c r="F232" s="19"/>
      <c r="G232" s="19"/>
      <c r="H232" s="19"/>
      <c r="I232" s="19"/>
      <c r="J232" s="19"/>
      <c r="K232" s="72"/>
      <c r="L232" s="73"/>
      <c r="M232" s="78"/>
    </row>
    <row r="233">
      <c r="A233" s="19"/>
      <c r="B233" s="19"/>
      <c r="C233" s="76"/>
      <c r="D233" s="19"/>
      <c r="E233" s="19"/>
      <c r="F233" s="19"/>
      <c r="G233" s="19"/>
      <c r="H233" s="19"/>
      <c r="I233" s="19"/>
      <c r="J233" s="19"/>
      <c r="K233" s="72"/>
      <c r="L233" s="73"/>
      <c r="M233" s="78"/>
    </row>
    <row r="234">
      <c r="A234" s="19"/>
      <c r="B234" s="19"/>
      <c r="C234" s="76"/>
      <c r="D234" s="19"/>
      <c r="E234" s="19"/>
      <c r="F234" s="19"/>
      <c r="G234" s="19"/>
      <c r="H234" s="19"/>
      <c r="I234" s="19"/>
      <c r="J234" s="19"/>
      <c r="K234" s="72"/>
      <c r="L234" s="73"/>
      <c r="M234" s="78"/>
    </row>
    <row r="235">
      <c r="A235" s="19"/>
      <c r="B235" s="19"/>
      <c r="C235" s="76"/>
      <c r="D235" s="19"/>
      <c r="E235" s="19"/>
      <c r="F235" s="19"/>
      <c r="G235" s="19"/>
      <c r="H235" s="19"/>
      <c r="I235" s="19"/>
      <c r="J235" s="19"/>
      <c r="K235" s="72"/>
      <c r="L235" s="73"/>
      <c r="M235" s="78"/>
    </row>
    <row r="236">
      <c r="A236" s="19"/>
      <c r="B236" s="19"/>
      <c r="C236" s="76"/>
      <c r="D236" s="19"/>
      <c r="E236" s="19"/>
      <c r="F236" s="19"/>
      <c r="G236" s="19"/>
      <c r="H236" s="19"/>
      <c r="I236" s="19"/>
      <c r="J236" s="19"/>
      <c r="K236" s="72"/>
      <c r="L236" s="73"/>
      <c r="M236" s="78"/>
    </row>
    <row r="237">
      <c r="A237" s="19"/>
      <c r="B237" s="19"/>
      <c r="C237" s="76"/>
      <c r="D237" s="19"/>
      <c r="E237" s="19"/>
      <c r="F237" s="19"/>
      <c r="G237" s="19"/>
      <c r="H237" s="19"/>
      <c r="I237" s="19"/>
      <c r="J237" s="19"/>
      <c r="K237" s="72"/>
      <c r="L237" s="73"/>
      <c r="M237" s="78"/>
    </row>
    <row r="238">
      <c r="A238" s="19"/>
      <c r="B238" s="19"/>
      <c r="C238" s="76"/>
      <c r="D238" s="19"/>
      <c r="E238" s="19"/>
      <c r="F238" s="19"/>
      <c r="G238" s="19"/>
      <c r="H238" s="19"/>
      <c r="I238" s="19"/>
      <c r="J238" s="19"/>
      <c r="K238" s="72"/>
      <c r="L238" s="73"/>
      <c r="M238" s="78"/>
    </row>
    <row r="239">
      <c r="A239" s="19"/>
      <c r="B239" s="19"/>
      <c r="C239" s="76"/>
      <c r="D239" s="19"/>
      <c r="E239" s="19"/>
      <c r="F239" s="19"/>
      <c r="G239" s="19"/>
      <c r="H239" s="19"/>
      <c r="I239" s="19"/>
      <c r="J239" s="19"/>
      <c r="K239" s="72"/>
      <c r="L239" s="73"/>
      <c r="M239" s="78"/>
    </row>
    <row r="240">
      <c r="A240" s="19"/>
      <c r="B240" s="19"/>
      <c r="C240" s="76"/>
      <c r="D240" s="19"/>
      <c r="E240" s="19"/>
      <c r="F240" s="19"/>
      <c r="G240" s="19"/>
      <c r="H240" s="19"/>
      <c r="I240" s="19"/>
      <c r="J240" s="19"/>
      <c r="K240" s="72"/>
      <c r="L240" s="73"/>
      <c r="M240" s="78"/>
    </row>
    <row r="241">
      <c r="A241" s="19"/>
      <c r="B241" s="19"/>
      <c r="C241" s="76"/>
      <c r="D241" s="19"/>
      <c r="E241" s="19"/>
      <c r="F241" s="19"/>
      <c r="G241" s="19"/>
      <c r="H241" s="19"/>
      <c r="I241" s="19"/>
      <c r="J241" s="19"/>
      <c r="K241" s="72"/>
      <c r="L241" s="73"/>
      <c r="M241" s="78"/>
    </row>
    <row r="242">
      <c r="A242" s="19"/>
      <c r="B242" s="19"/>
      <c r="C242" s="76"/>
      <c r="D242" s="19"/>
      <c r="E242" s="19"/>
      <c r="F242" s="19"/>
      <c r="G242" s="19"/>
      <c r="H242" s="19"/>
      <c r="I242" s="19"/>
      <c r="J242" s="19"/>
      <c r="K242" s="72"/>
      <c r="L242" s="73"/>
      <c r="M242" s="78"/>
    </row>
    <row r="243">
      <c r="A243" s="19"/>
      <c r="B243" s="19"/>
      <c r="C243" s="76"/>
      <c r="D243" s="19"/>
      <c r="E243" s="19"/>
      <c r="F243" s="19"/>
      <c r="G243" s="19"/>
      <c r="H243" s="19"/>
      <c r="I243" s="19"/>
      <c r="J243" s="19"/>
      <c r="K243" s="72"/>
      <c r="L243" s="73"/>
      <c r="M243" s="78"/>
    </row>
    <row r="244">
      <c r="A244" s="19"/>
      <c r="B244" s="19"/>
      <c r="C244" s="76"/>
      <c r="D244" s="19"/>
      <c r="E244" s="19"/>
      <c r="F244" s="19"/>
      <c r="G244" s="19"/>
      <c r="H244" s="19"/>
      <c r="I244" s="19"/>
      <c r="J244" s="19"/>
      <c r="K244" s="72"/>
      <c r="L244" s="73"/>
      <c r="M244" s="78"/>
    </row>
    <row r="245">
      <c r="A245" s="19"/>
      <c r="B245" s="19"/>
      <c r="C245" s="76"/>
      <c r="D245" s="19"/>
      <c r="E245" s="19"/>
      <c r="F245" s="19"/>
      <c r="G245" s="19"/>
      <c r="H245" s="19"/>
      <c r="I245" s="19"/>
      <c r="J245" s="19"/>
      <c r="K245" s="72"/>
      <c r="L245" s="73"/>
      <c r="M245" s="78"/>
    </row>
    <row r="246">
      <c r="A246" s="19"/>
      <c r="B246" s="19"/>
      <c r="C246" s="76"/>
      <c r="D246" s="19"/>
      <c r="E246" s="19"/>
      <c r="F246" s="19"/>
      <c r="G246" s="19"/>
      <c r="H246" s="19"/>
      <c r="I246" s="19"/>
      <c r="J246" s="19"/>
      <c r="K246" s="72"/>
      <c r="L246" s="73"/>
      <c r="M246" s="78"/>
    </row>
    <row r="247">
      <c r="A247" s="19"/>
      <c r="B247" s="19"/>
      <c r="C247" s="76"/>
      <c r="D247" s="19"/>
      <c r="E247" s="19"/>
      <c r="F247" s="19"/>
      <c r="G247" s="19"/>
      <c r="H247" s="19"/>
      <c r="I247" s="19"/>
      <c r="J247" s="19"/>
      <c r="K247" s="72"/>
      <c r="L247" s="73"/>
      <c r="M247" s="78"/>
    </row>
    <row r="248">
      <c r="A248" s="19"/>
      <c r="B248" s="19"/>
      <c r="C248" s="76"/>
      <c r="D248" s="19"/>
      <c r="E248" s="19"/>
      <c r="F248" s="19"/>
      <c r="G248" s="19"/>
      <c r="H248" s="19"/>
      <c r="I248" s="19"/>
      <c r="J248" s="19"/>
      <c r="K248" s="72"/>
      <c r="L248" s="73"/>
      <c r="M248" s="78"/>
    </row>
    <row r="249">
      <c r="A249" s="19"/>
      <c r="B249" s="19"/>
      <c r="C249" s="76"/>
      <c r="D249" s="19"/>
      <c r="E249" s="19"/>
      <c r="F249" s="19"/>
      <c r="G249" s="19"/>
      <c r="H249" s="19"/>
      <c r="I249" s="19"/>
      <c r="J249" s="19"/>
      <c r="K249" s="72"/>
      <c r="L249" s="73"/>
      <c r="M249" s="78"/>
    </row>
    <row r="250">
      <c r="A250" s="19"/>
      <c r="B250" s="19"/>
      <c r="C250" s="76"/>
      <c r="D250" s="19"/>
      <c r="E250" s="19"/>
      <c r="F250" s="19"/>
      <c r="G250" s="19"/>
      <c r="H250" s="19"/>
      <c r="I250" s="19"/>
      <c r="J250" s="19"/>
      <c r="K250" s="72"/>
      <c r="L250" s="73"/>
      <c r="M250" s="78"/>
    </row>
    <row r="251">
      <c r="A251" s="19"/>
      <c r="B251" s="19"/>
      <c r="C251" s="76"/>
      <c r="D251" s="19"/>
      <c r="E251" s="19"/>
      <c r="F251" s="19"/>
      <c r="G251" s="19"/>
      <c r="H251" s="19"/>
      <c r="I251" s="19"/>
      <c r="J251" s="19"/>
      <c r="K251" s="72"/>
      <c r="L251" s="73"/>
      <c r="M251" s="78"/>
    </row>
    <row r="252">
      <c r="A252" s="19"/>
      <c r="B252" s="19"/>
      <c r="C252" s="76"/>
      <c r="D252" s="19"/>
      <c r="E252" s="19"/>
      <c r="F252" s="19"/>
      <c r="G252" s="19"/>
      <c r="H252" s="19"/>
      <c r="I252" s="19"/>
      <c r="J252" s="19"/>
      <c r="K252" s="72"/>
      <c r="L252" s="73"/>
      <c r="M252" s="78"/>
    </row>
    <row r="253">
      <c r="A253" s="19"/>
      <c r="B253" s="19"/>
      <c r="C253" s="76"/>
      <c r="D253" s="19"/>
      <c r="E253" s="19"/>
      <c r="F253" s="19"/>
      <c r="G253" s="19"/>
      <c r="H253" s="19"/>
      <c r="I253" s="19"/>
      <c r="J253" s="19"/>
      <c r="K253" s="72"/>
      <c r="L253" s="73"/>
      <c r="M253" s="78"/>
    </row>
    <row r="254">
      <c r="A254" s="19"/>
      <c r="B254" s="19"/>
      <c r="C254" s="76"/>
      <c r="D254" s="19"/>
      <c r="E254" s="19"/>
      <c r="F254" s="19"/>
      <c r="G254" s="19"/>
      <c r="H254" s="19"/>
      <c r="I254" s="19"/>
      <c r="J254" s="19"/>
      <c r="K254" s="72"/>
      <c r="L254" s="73"/>
      <c r="M254" s="78"/>
    </row>
    <row r="255">
      <c r="A255" s="19"/>
      <c r="B255" s="19"/>
      <c r="C255" s="76"/>
      <c r="D255" s="19"/>
      <c r="E255" s="19"/>
      <c r="F255" s="19"/>
      <c r="G255" s="19"/>
      <c r="H255" s="19"/>
      <c r="I255" s="19"/>
      <c r="J255" s="19"/>
      <c r="K255" s="72"/>
      <c r="L255" s="73"/>
      <c r="M255" s="78"/>
    </row>
    <row r="256">
      <c r="A256" s="19"/>
      <c r="B256" s="19"/>
      <c r="C256" s="76"/>
      <c r="D256" s="19"/>
      <c r="E256" s="19"/>
      <c r="F256" s="19"/>
      <c r="G256" s="19"/>
      <c r="H256" s="19"/>
      <c r="I256" s="19"/>
      <c r="J256" s="19"/>
      <c r="K256" s="72"/>
      <c r="L256" s="73"/>
      <c r="M256" s="78"/>
    </row>
    <row r="257">
      <c r="A257" s="19"/>
      <c r="B257" s="19"/>
      <c r="C257" s="76"/>
      <c r="D257" s="19"/>
      <c r="E257" s="19"/>
      <c r="F257" s="19"/>
      <c r="G257" s="19"/>
      <c r="H257" s="19"/>
      <c r="I257" s="19"/>
      <c r="J257" s="19"/>
      <c r="K257" s="72"/>
      <c r="L257" s="73"/>
      <c r="M257" s="78"/>
    </row>
    <row r="258">
      <c r="A258" s="19"/>
      <c r="B258" s="19"/>
      <c r="C258" s="76"/>
      <c r="D258" s="19"/>
      <c r="E258" s="19"/>
      <c r="F258" s="19"/>
      <c r="G258" s="19"/>
      <c r="H258" s="19"/>
      <c r="I258" s="19"/>
      <c r="J258" s="19"/>
      <c r="K258" s="72"/>
      <c r="L258" s="73"/>
      <c r="M258" s="78"/>
    </row>
    <row r="259">
      <c r="A259" s="19"/>
      <c r="B259" s="19"/>
      <c r="C259" s="76"/>
      <c r="D259" s="19"/>
      <c r="E259" s="19"/>
      <c r="F259" s="19"/>
      <c r="G259" s="19"/>
      <c r="H259" s="19"/>
      <c r="I259" s="19"/>
      <c r="J259" s="19"/>
      <c r="K259" s="72"/>
      <c r="L259" s="73"/>
      <c r="M259" s="78"/>
    </row>
    <row r="260">
      <c r="A260" s="19"/>
      <c r="B260" s="19"/>
      <c r="C260" s="76"/>
      <c r="D260" s="19"/>
      <c r="E260" s="19"/>
      <c r="F260" s="19"/>
      <c r="G260" s="19"/>
      <c r="H260" s="19"/>
      <c r="I260" s="19"/>
      <c r="J260" s="19"/>
      <c r="K260" s="72"/>
      <c r="L260" s="73"/>
      <c r="M260" s="78"/>
    </row>
    <row r="261">
      <c r="A261" s="19"/>
      <c r="B261" s="19"/>
      <c r="C261" s="76"/>
      <c r="D261" s="19"/>
      <c r="E261" s="19"/>
      <c r="F261" s="19"/>
      <c r="G261" s="19"/>
      <c r="H261" s="19"/>
      <c r="I261" s="19"/>
      <c r="J261" s="19"/>
      <c r="K261" s="72"/>
      <c r="L261" s="73"/>
      <c r="M261" s="78"/>
    </row>
    <row r="262">
      <c r="A262" s="19"/>
      <c r="B262" s="19"/>
      <c r="C262" s="76"/>
      <c r="D262" s="19"/>
      <c r="E262" s="19"/>
      <c r="F262" s="19"/>
      <c r="G262" s="19"/>
      <c r="H262" s="19"/>
      <c r="I262" s="19"/>
      <c r="J262" s="19"/>
      <c r="K262" s="72"/>
      <c r="L262" s="73"/>
      <c r="M262" s="78"/>
    </row>
    <row r="263">
      <c r="A263" s="19"/>
      <c r="B263" s="19"/>
      <c r="C263" s="76"/>
      <c r="D263" s="19"/>
      <c r="E263" s="19"/>
      <c r="F263" s="19"/>
      <c r="G263" s="19"/>
      <c r="H263" s="19"/>
      <c r="I263" s="19"/>
      <c r="J263" s="19"/>
      <c r="K263" s="72"/>
      <c r="L263" s="73"/>
      <c r="M263" s="78"/>
    </row>
    <row r="264">
      <c r="A264" s="19"/>
      <c r="B264" s="19"/>
      <c r="C264" s="76"/>
      <c r="D264" s="19"/>
      <c r="E264" s="19"/>
      <c r="F264" s="19"/>
      <c r="G264" s="19"/>
      <c r="H264" s="19"/>
      <c r="I264" s="19"/>
      <c r="J264" s="19"/>
      <c r="K264" s="72"/>
      <c r="L264" s="73"/>
      <c r="M264" s="78"/>
    </row>
    <row r="265">
      <c r="A265" s="19"/>
      <c r="B265" s="19"/>
      <c r="C265" s="76"/>
      <c r="D265" s="19"/>
      <c r="E265" s="19"/>
      <c r="F265" s="19"/>
      <c r="G265" s="19"/>
      <c r="H265" s="19"/>
      <c r="I265" s="19"/>
      <c r="J265" s="19"/>
      <c r="K265" s="72"/>
      <c r="L265" s="73"/>
      <c r="M265" s="78"/>
    </row>
    <row r="266">
      <c r="A266" s="19"/>
      <c r="B266" s="19"/>
      <c r="C266" s="76"/>
      <c r="D266" s="19"/>
      <c r="E266" s="19"/>
      <c r="F266" s="19"/>
      <c r="G266" s="19"/>
      <c r="H266" s="19"/>
      <c r="I266" s="19"/>
      <c r="J266" s="19"/>
      <c r="K266" s="72"/>
      <c r="L266" s="73"/>
      <c r="M266" s="78"/>
    </row>
    <row r="267">
      <c r="A267" s="19"/>
      <c r="B267" s="19"/>
      <c r="C267" s="76"/>
      <c r="D267" s="19"/>
      <c r="E267" s="19"/>
      <c r="F267" s="19"/>
      <c r="G267" s="19"/>
      <c r="H267" s="19"/>
      <c r="I267" s="19"/>
      <c r="J267" s="19"/>
      <c r="K267" s="72"/>
      <c r="L267" s="73"/>
      <c r="M267" s="78"/>
    </row>
    <row r="268">
      <c r="A268" s="19"/>
      <c r="B268" s="19"/>
      <c r="C268" s="76"/>
      <c r="D268" s="19"/>
      <c r="E268" s="19"/>
      <c r="F268" s="19"/>
      <c r="G268" s="19"/>
      <c r="H268" s="19"/>
      <c r="I268" s="19"/>
      <c r="J268" s="19"/>
      <c r="K268" s="72"/>
      <c r="L268" s="73"/>
      <c r="M268" s="78"/>
    </row>
    <row r="269">
      <c r="A269" s="19"/>
      <c r="B269" s="19"/>
      <c r="C269" s="76"/>
      <c r="D269" s="19"/>
      <c r="E269" s="19"/>
      <c r="F269" s="19"/>
      <c r="G269" s="19"/>
      <c r="H269" s="19"/>
      <c r="I269" s="19"/>
      <c r="J269" s="19"/>
      <c r="K269" s="72"/>
      <c r="L269" s="73"/>
      <c r="M269" s="78"/>
    </row>
    <row r="270">
      <c r="A270" s="19"/>
      <c r="B270" s="19"/>
      <c r="C270" s="76"/>
      <c r="D270" s="19"/>
      <c r="E270" s="19"/>
      <c r="F270" s="19"/>
      <c r="G270" s="19"/>
      <c r="H270" s="19"/>
      <c r="I270" s="19"/>
      <c r="J270" s="19"/>
      <c r="K270" s="72"/>
      <c r="L270" s="73"/>
      <c r="M270" s="78"/>
    </row>
    <row r="271">
      <c r="A271" s="19"/>
      <c r="B271" s="19"/>
      <c r="C271" s="76"/>
      <c r="D271" s="19"/>
      <c r="E271" s="19"/>
      <c r="F271" s="19"/>
      <c r="G271" s="19"/>
      <c r="H271" s="19"/>
      <c r="I271" s="19"/>
      <c r="J271" s="19"/>
      <c r="K271" s="72"/>
      <c r="L271" s="73"/>
      <c r="M271" s="78"/>
    </row>
    <row r="272">
      <c r="A272" s="19"/>
      <c r="B272" s="19"/>
      <c r="C272" s="76"/>
      <c r="D272" s="19"/>
      <c r="E272" s="19"/>
      <c r="F272" s="19"/>
      <c r="G272" s="19"/>
      <c r="H272" s="19"/>
      <c r="I272" s="19"/>
      <c r="J272" s="19"/>
      <c r="K272" s="72"/>
      <c r="L272" s="73"/>
      <c r="M272" s="78"/>
    </row>
    <row r="273">
      <c r="A273" s="19"/>
      <c r="B273" s="19"/>
      <c r="C273" s="76"/>
      <c r="D273" s="19"/>
      <c r="E273" s="19"/>
      <c r="F273" s="19"/>
      <c r="G273" s="19"/>
      <c r="H273" s="19"/>
      <c r="I273" s="19"/>
      <c r="J273" s="19"/>
      <c r="K273" s="72"/>
      <c r="L273" s="73"/>
      <c r="M273" s="78"/>
    </row>
    <row r="274">
      <c r="A274" s="19"/>
      <c r="B274" s="19"/>
      <c r="C274" s="76"/>
      <c r="D274" s="19"/>
      <c r="E274" s="19"/>
      <c r="F274" s="19"/>
      <c r="G274" s="19"/>
      <c r="H274" s="19"/>
      <c r="I274" s="19"/>
      <c r="J274" s="19"/>
      <c r="K274" s="72"/>
      <c r="L274" s="73"/>
      <c r="M274" s="78"/>
    </row>
    <row r="275">
      <c r="A275" s="19"/>
      <c r="B275" s="19"/>
      <c r="C275" s="76"/>
      <c r="D275" s="19"/>
      <c r="E275" s="19"/>
      <c r="F275" s="19"/>
      <c r="G275" s="19"/>
      <c r="H275" s="19"/>
      <c r="I275" s="19"/>
      <c r="J275" s="19"/>
      <c r="K275" s="72"/>
      <c r="L275" s="73"/>
      <c r="M275" s="78"/>
    </row>
    <row r="276">
      <c r="A276" s="19"/>
      <c r="B276" s="19"/>
      <c r="C276" s="76"/>
      <c r="D276" s="19"/>
      <c r="E276" s="19"/>
      <c r="F276" s="19"/>
      <c r="G276" s="19"/>
      <c r="H276" s="19"/>
      <c r="I276" s="19"/>
      <c r="J276" s="19"/>
      <c r="K276" s="72"/>
      <c r="L276" s="73"/>
      <c r="M276" s="78"/>
    </row>
    <row r="277">
      <c r="A277" s="19"/>
      <c r="B277" s="19"/>
      <c r="C277" s="76"/>
      <c r="D277" s="19"/>
      <c r="E277" s="19"/>
      <c r="F277" s="19"/>
      <c r="G277" s="19"/>
      <c r="H277" s="19"/>
      <c r="I277" s="19"/>
      <c r="J277" s="19"/>
      <c r="K277" s="72"/>
      <c r="L277" s="73"/>
      <c r="M277" s="78"/>
    </row>
    <row r="278">
      <c r="A278" s="19"/>
      <c r="B278" s="19"/>
      <c r="C278" s="76"/>
      <c r="D278" s="19"/>
      <c r="E278" s="19"/>
      <c r="F278" s="19"/>
      <c r="G278" s="19"/>
      <c r="H278" s="19"/>
      <c r="I278" s="19"/>
      <c r="J278" s="19"/>
      <c r="K278" s="72"/>
      <c r="L278" s="73"/>
      <c r="M278" s="78"/>
    </row>
    <row r="279">
      <c r="A279" s="19"/>
      <c r="B279" s="19"/>
      <c r="C279" s="76"/>
      <c r="D279" s="19"/>
      <c r="E279" s="19"/>
      <c r="F279" s="19"/>
      <c r="G279" s="19"/>
      <c r="H279" s="19"/>
      <c r="I279" s="19"/>
      <c r="J279" s="19"/>
      <c r="K279" s="72"/>
      <c r="L279" s="73"/>
      <c r="M279" s="78"/>
    </row>
    <row r="280">
      <c r="A280" s="19"/>
      <c r="B280" s="19"/>
      <c r="C280" s="76"/>
      <c r="D280" s="19"/>
      <c r="E280" s="19"/>
      <c r="F280" s="19"/>
      <c r="G280" s="19"/>
      <c r="H280" s="19"/>
      <c r="I280" s="19"/>
      <c r="J280" s="19"/>
      <c r="K280" s="72"/>
      <c r="L280" s="73"/>
      <c r="M280" s="78"/>
    </row>
    <row r="281">
      <c r="A281" s="19"/>
      <c r="B281" s="19"/>
      <c r="C281" s="76"/>
      <c r="D281" s="19"/>
      <c r="E281" s="19"/>
      <c r="F281" s="19"/>
      <c r="G281" s="19"/>
      <c r="H281" s="19"/>
      <c r="I281" s="19"/>
      <c r="J281" s="19"/>
      <c r="K281" s="72"/>
      <c r="L281" s="73"/>
      <c r="M281" s="78"/>
    </row>
    <row r="282">
      <c r="A282" s="19"/>
      <c r="B282" s="19"/>
      <c r="C282" s="76"/>
      <c r="D282" s="19"/>
      <c r="E282" s="19"/>
      <c r="F282" s="19"/>
      <c r="G282" s="19"/>
      <c r="H282" s="19"/>
      <c r="I282" s="19"/>
      <c r="J282" s="19"/>
      <c r="K282" s="72"/>
      <c r="L282" s="73"/>
      <c r="M282" s="78"/>
    </row>
    <row r="283">
      <c r="A283" s="19"/>
      <c r="B283" s="19"/>
      <c r="C283" s="76"/>
      <c r="D283" s="19"/>
      <c r="E283" s="19"/>
      <c r="F283" s="19"/>
      <c r="G283" s="19"/>
      <c r="H283" s="19"/>
      <c r="I283" s="19"/>
      <c r="J283" s="19"/>
      <c r="K283" s="72"/>
      <c r="L283" s="73"/>
      <c r="M283" s="78"/>
    </row>
    <row r="284">
      <c r="A284" s="19"/>
      <c r="B284" s="19"/>
      <c r="C284" s="76"/>
      <c r="D284" s="19"/>
      <c r="E284" s="19"/>
      <c r="F284" s="19"/>
      <c r="G284" s="19"/>
      <c r="H284" s="19"/>
      <c r="I284" s="19"/>
      <c r="J284" s="19"/>
      <c r="K284" s="72"/>
      <c r="L284" s="73"/>
      <c r="M284" s="78"/>
    </row>
    <row r="285">
      <c r="A285" s="19"/>
      <c r="B285" s="19"/>
      <c r="C285" s="76"/>
      <c r="D285" s="19"/>
      <c r="E285" s="19"/>
      <c r="F285" s="19"/>
      <c r="G285" s="19"/>
      <c r="H285" s="19"/>
      <c r="I285" s="19"/>
      <c r="J285" s="19"/>
      <c r="K285" s="72"/>
      <c r="L285" s="73"/>
      <c r="M285" s="78"/>
    </row>
    <row r="286">
      <c r="A286" s="19"/>
      <c r="B286" s="19"/>
      <c r="C286" s="76"/>
      <c r="D286" s="19"/>
      <c r="E286" s="19"/>
      <c r="F286" s="19"/>
      <c r="G286" s="19"/>
      <c r="H286" s="19"/>
      <c r="I286" s="19"/>
      <c r="J286" s="19"/>
      <c r="K286" s="72"/>
      <c r="L286" s="73"/>
      <c r="M286" s="78"/>
    </row>
    <row r="287">
      <c r="A287" s="19"/>
      <c r="B287" s="19"/>
      <c r="C287" s="76"/>
      <c r="D287" s="19"/>
      <c r="E287" s="19"/>
      <c r="F287" s="19"/>
      <c r="G287" s="19"/>
      <c r="H287" s="19"/>
      <c r="I287" s="19"/>
      <c r="J287" s="19"/>
      <c r="K287" s="72"/>
      <c r="L287" s="73"/>
      <c r="M287" s="78"/>
    </row>
    <row r="288">
      <c r="A288" s="19"/>
      <c r="B288" s="19"/>
      <c r="C288" s="76"/>
      <c r="D288" s="19"/>
      <c r="E288" s="19"/>
      <c r="F288" s="19"/>
      <c r="G288" s="19"/>
      <c r="H288" s="19"/>
      <c r="I288" s="19"/>
      <c r="J288" s="19"/>
      <c r="K288" s="72"/>
      <c r="L288" s="73"/>
      <c r="M288" s="78"/>
    </row>
    <row r="289">
      <c r="A289" s="19"/>
      <c r="B289" s="19"/>
      <c r="C289" s="76"/>
      <c r="D289" s="19"/>
      <c r="E289" s="19"/>
      <c r="F289" s="19"/>
      <c r="G289" s="19"/>
      <c r="H289" s="19"/>
      <c r="I289" s="19"/>
      <c r="J289" s="19"/>
      <c r="K289" s="72"/>
      <c r="L289" s="73"/>
      <c r="M289" s="78"/>
    </row>
    <row r="290">
      <c r="A290" s="19"/>
      <c r="B290" s="19"/>
      <c r="C290" s="76"/>
      <c r="D290" s="19"/>
      <c r="E290" s="19"/>
      <c r="F290" s="19"/>
      <c r="G290" s="19"/>
      <c r="H290" s="19"/>
      <c r="I290" s="19"/>
      <c r="J290" s="19"/>
      <c r="K290" s="72"/>
      <c r="L290" s="73"/>
      <c r="M290" s="78"/>
    </row>
    <row r="291">
      <c r="A291" s="19"/>
      <c r="B291" s="19"/>
      <c r="C291" s="76"/>
      <c r="D291" s="19"/>
      <c r="E291" s="19"/>
      <c r="F291" s="19"/>
      <c r="G291" s="19"/>
      <c r="H291" s="19"/>
      <c r="I291" s="19"/>
      <c r="J291" s="19"/>
      <c r="K291" s="72"/>
      <c r="L291" s="73"/>
      <c r="M291" s="78"/>
    </row>
    <row r="292">
      <c r="A292" s="19"/>
      <c r="B292" s="19"/>
      <c r="C292" s="76"/>
      <c r="D292" s="19"/>
      <c r="E292" s="19"/>
      <c r="F292" s="19"/>
      <c r="G292" s="19"/>
      <c r="H292" s="19"/>
      <c r="I292" s="19"/>
      <c r="J292" s="19"/>
      <c r="K292" s="72"/>
      <c r="L292" s="73"/>
      <c r="M292" s="78"/>
    </row>
    <row r="293">
      <c r="A293" s="19"/>
      <c r="B293" s="19"/>
      <c r="C293" s="76"/>
      <c r="D293" s="19"/>
      <c r="E293" s="19"/>
      <c r="F293" s="19"/>
      <c r="G293" s="19"/>
      <c r="H293" s="19"/>
      <c r="I293" s="19"/>
      <c r="J293" s="19"/>
      <c r="K293" s="72"/>
      <c r="L293" s="73"/>
      <c r="M293" s="78"/>
    </row>
    <row r="294">
      <c r="A294" s="19"/>
      <c r="B294" s="19"/>
      <c r="C294" s="76"/>
      <c r="D294" s="19"/>
      <c r="E294" s="19"/>
      <c r="F294" s="19"/>
      <c r="G294" s="19"/>
      <c r="H294" s="19"/>
      <c r="I294" s="19"/>
      <c r="J294" s="19"/>
      <c r="K294" s="72"/>
      <c r="L294" s="73"/>
      <c r="M294" s="78"/>
    </row>
    <row r="295">
      <c r="A295" s="19"/>
      <c r="B295" s="19"/>
      <c r="C295" s="76"/>
      <c r="D295" s="19"/>
      <c r="E295" s="19"/>
      <c r="F295" s="19"/>
      <c r="G295" s="19"/>
      <c r="H295" s="19"/>
      <c r="I295" s="19"/>
      <c r="J295" s="19"/>
      <c r="K295" s="72"/>
      <c r="L295" s="73"/>
      <c r="M295" s="78"/>
    </row>
    <row r="296">
      <c r="A296" s="19"/>
      <c r="B296" s="19"/>
      <c r="C296" s="76"/>
      <c r="D296" s="19"/>
      <c r="E296" s="19"/>
      <c r="F296" s="19"/>
      <c r="G296" s="19"/>
      <c r="H296" s="19"/>
      <c r="I296" s="19"/>
      <c r="J296" s="19"/>
      <c r="K296" s="72"/>
      <c r="L296" s="73"/>
      <c r="M296" s="78"/>
    </row>
    <row r="297">
      <c r="A297" s="19"/>
      <c r="B297" s="19"/>
      <c r="C297" s="76"/>
      <c r="D297" s="19"/>
      <c r="E297" s="19"/>
      <c r="F297" s="19"/>
      <c r="G297" s="19"/>
      <c r="H297" s="19"/>
      <c r="I297" s="19"/>
      <c r="J297" s="19"/>
      <c r="K297" s="72"/>
      <c r="L297" s="73"/>
      <c r="M297" s="78"/>
    </row>
    <row r="298">
      <c r="A298" s="19"/>
      <c r="B298" s="19"/>
      <c r="C298" s="76"/>
      <c r="D298" s="19"/>
      <c r="E298" s="19"/>
      <c r="F298" s="19"/>
      <c r="G298" s="19"/>
      <c r="H298" s="19"/>
      <c r="I298" s="19"/>
      <c r="J298" s="19"/>
      <c r="K298" s="72"/>
      <c r="L298" s="73"/>
      <c r="M298" s="78"/>
    </row>
    <row r="299">
      <c r="A299" s="19"/>
      <c r="B299" s="19"/>
      <c r="C299" s="76"/>
      <c r="D299" s="19"/>
      <c r="E299" s="19"/>
      <c r="F299" s="19"/>
      <c r="G299" s="19"/>
      <c r="H299" s="19"/>
      <c r="I299" s="19"/>
      <c r="J299" s="19"/>
      <c r="K299" s="72"/>
      <c r="L299" s="73"/>
      <c r="M299" s="78"/>
    </row>
    <row r="300">
      <c r="A300" s="19"/>
      <c r="B300" s="19"/>
      <c r="C300" s="76"/>
      <c r="D300" s="19"/>
      <c r="E300" s="19"/>
      <c r="F300" s="19"/>
      <c r="G300" s="19"/>
      <c r="H300" s="19"/>
      <c r="I300" s="19"/>
      <c r="J300" s="19"/>
      <c r="K300" s="72"/>
      <c r="L300" s="73"/>
      <c r="M300" s="78"/>
    </row>
    <row r="301">
      <c r="A301" s="19"/>
      <c r="B301" s="19"/>
      <c r="C301" s="76"/>
      <c r="D301" s="19"/>
      <c r="E301" s="19"/>
      <c r="F301" s="19"/>
      <c r="G301" s="19"/>
      <c r="H301" s="19"/>
      <c r="I301" s="19"/>
      <c r="J301" s="19"/>
      <c r="K301" s="72"/>
      <c r="L301" s="73"/>
      <c r="M301" s="78"/>
    </row>
    <row r="302">
      <c r="A302" s="19"/>
      <c r="B302" s="19"/>
      <c r="C302" s="76"/>
      <c r="D302" s="19"/>
      <c r="E302" s="19"/>
      <c r="F302" s="19"/>
      <c r="G302" s="19"/>
      <c r="H302" s="19"/>
      <c r="I302" s="19"/>
      <c r="J302" s="19"/>
      <c r="K302" s="72"/>
      <c r="L302" s="73"/>
      <c r="M302" s="78"/>
    </row>
    <row r="303">
      <c r="A303" s="19"/>
      <c r="B303" s="19"/>
      <c r="C303" s="76"/>
      <c r="D303" s="19"/>
      <c r="E303" s="19"/>
      <c r="F303" s="19"/>
      <c r="G303" s="19"/>
      <c r="H303" s="19"/>
      <c r="I303" s="19"/>
      <c r="J303" s="19"/>
      <c r="K303" s="72"/>
      <c r="L303" s="73"/>
      <c r="M303" s="78"/>
    </row>
    <row r="304">
      <c r="A304" s="19"/>
      <c r="B304" s="19"/>
      <c r="C304" s="76"/>
      <c r="D304" s="19"/>
      <c r="E304" s="19"/>
      <c r="F304" s="19"/>
      <c r="G304" s="19"/>
      <c r="H304" s="19"/>
      <c r="I304" s="19"/>
      <c r="J304" s="19"/>
      <c r="K304" s="72"/>
      <c r="L304" s="73"/>
      <c r="M304" s="78"/>
    </row>
    <row r="305">
      <c r="A305" s="19"/>
      <c r="B305" s="19"/>
      <c r="C305" s="76"/>
      <c r="D305" s="19"/>
      <c r="E305" s="19"/>
      <c r="F305" s="19"/>
      <c r="G305" s="19"/>
      <c r="H305" s="19"/>
      <c r="I305" s="19"/>
      <c r="J305" s="19"/>
      <c r="K305" s="72"/>
      <c r="L305" s="73"/>
      <c r="M305" s="78"/>
    </row>
    <row r="306">
      <c r="A306" s="19"/>
      <c r="B306" s="19"/>
      <c r="C306" s="76"/>
      <c r="D306" s="19"/>
      <c r="E306" s="19"/>
      <c r="F306" s="19"/>
      <c r="G306" s="19"/>
      <c r="H306" s="19"/>
      <c r="I306" s="19"/>
      <c r="J306" s="19"/>
      <c r="K306" s="72"/>
      <c r="L306" s="73"/>
      <c r="M306" s="78"/>
    </row>
    <row r="307">
      <c r="A307" s="19"/>
      <c r="B307" s="19"/>
      <c r="C307" s="76"/>
      <c r="D307" s="19"/>
      <c r="E307" s="19"/>
      <c r="F307" s="19"/>
      <c r="G307" s="19"/>
      <c r="H307" s="19"/>
      <c r="I307" s="19"/>
      <c r="J307" s="19"/>
      <c r="K307" s="72"/>
      <c r="L307" s="73"/>
      <c r="M307" s="78"/>
    </row>
    <row r="308">
      <c r="A308" s="19"/>
      <c r="B308" s="19"/>
      <c r="C308" s="76"/>
      <c r="D308" s="19"/>
      <c r="E308" s="19"/>
      <c r="F308" s="19"/>
      <c r="G308" s="19"/>
      <c r="H308" s="19"/>
      <c r="I308" s="19"/>
      <c r="J308" s="19"/>
      <c r="K308" s="72"/>
      <c r="L308" s="73"/>
      <c r="M308" s="78"/>
    </row>
    <row r="309">
      <c r="A309" s="19"/>
      <c r="B309" s="19"/>
      <c r="C309" s="76"/>
      <c r="D309" s="19"/>
      <c r="E309" s="19"/>
      <c r="F309" s="19"/>
      <c r="G309" s="19"/>
      <c r="H309" s="19"/>
      <c r="I309" s="19"/>
      <c r="J309" s="19"/>
      <c r="K309" s="72"/>
      <c r="L309" s="73"/>
      <c r="M309" s="78"/>
    </row>
    <row r="310">
      <c r="A310" s="19"/>
      <c r="B310" s="19"/>
      <c r="C310" s="76"/>
      <c r="D310" s="19"/>
      <c r="E310" s="19"/>
      <c r="F310" s="19"/>
      <c r="G310" s="19"/>
      <c r="H310" s="19"/>
      <c r="I310" s="19"/>
      <c r="J310" s="19"/>
      <c r="K310" s="72"/>
      <c r="L310" s="73"/>
      <c r="M310" s="78"/>
    </row>
    <row r="311">
      <c r="A311" s="19"/>
      <c r="B311" s="19"/>
      <c r="C311" s="76"/>
      <c r="D311" s="19"/>
      <c r="E311" s="19"/>
      <c r="F311" s="19"/>
      <c r="G311" s="19"/>
      <c r="H311" s="19"/>
      <c r="I311" s="19"/>
      <c r="J311" s="19"/>
      <c r="K311" s="72"/>
      <c r="L311" s="73"/>
      <c r="M311" s="78"/>
    </row>
    <row r="312">
      <c r="A312" s="19"/>
      <c r="B312" s="19"/>
      <c r="C312" s="76"/>
      <c r="D312" s="19"/>
      <c r="E312" s="19"/>
      <c r="F312" s="19"/>
      <c r="G312" s="19"/>
      <c r="H312" s="19"/>
      <c r="I312" s="19"/>
      <c r="J312" s="19"/>
      <c r="K312" s="72"/>
      <c r="L312" s="73"/>
      <c r="M312" s="78"/>
    </row>
    <row r="313">
      <c r="A313" s="19"/>
      <c r="B313" s="19"/>
      <c r="C313" s="76"/>
      <c r="D313" s="19"/>
      <c r="E313" s="19"/>
      <c r="F313" s="19"/>
      <c r="G313" s="19"/>
      <c r="H313" s="19"/>
      <c r="I313" s="19"/>
      <c r="J313" s="19"/>
      <c r="K313" s="72"/>
      <c r="L313" s="73"/>
      <c r="M313" s="78"/>
    </row>
    <row r="314">
      <c r="A314" s="19"/>
      <c r="B314" s="19"/>
      <c r="C314" s="76"/>
      <c r="D314" s="19"/>
      <c r="E314" s="19"/>
      <c r="F314" s="19"/>
      <c r="G314" s="19"/>
      <c r="H314" s="19"/>
      <c r="I314" s="19"/>
      <c r="J314" s="19"/>
      <c r="K314" s="72"/>
      <c r="L314" s="73"/>
      <c r="M314" s="78"/>
    </row>
    <row r="315">
      <c r="A315" s="19"/>
      <c r="B315" s="19"/>
      <c r="C315" s="76"/>
      <c r="D315" s="19"/>
      <c r="E315" s="19"/>
      <c r="F315" s="19"/>
      <c r="G315" s="19"/>
      <c r="H315" s="19"/>
      <c r="I315" s="19"/>
      <c r="J315" s="19"/>
      <c r="K315" s="72"/>
      <c r="L315" s="73"/>
      <c r="M315" s="78"/>
    </row>
    <row r="316">
      <c r="A316" s="19"/>
      <c r="B316" s="19"/>
      <c r="C316" s="76"/>
      <c r="D316" s="19"/>
      <c r="E316" s="19"/>
      <c r="F316" s="19"/>
      <c r="G316" s="19"/>
      <c r="H316" s="19"/>
      <c r="I316" s="19"/>
      <c r="J316" s="19"/>
      <c r="K316" s="72"/>
      <c r="L316" s="73"/>
      <c r="M316" s="78"/>
    </row>
    <row r="317">
      <c r="A317" s="19"/>
      <c r="B317" s="19"/>
      <c r="C317" s="76"/>
      <c r="D317" s="19"/>
      <c r="E317" s="19"/>
      <c r="F317" s="19"/>
      <c r="G317" s="19"/>
      <c r="H317" s="19"/>
      <c r="I317" s="19"/>
      <c r="J317" s="19"/>
      <c r="K317" s="72"/>
      <c r="L317" s="73"/>
      <c r="M317" s="78"/>
    </row>
    <row r="318">
      <c r="A318" s="19"/>
      <c r="B318" s="19"/>
      <c r="C318" s="76"/>
      <c r="D318" s="19"/>
      <c r="E318" s="19"/>
      <c r="F318" s="19"/>
      <c r="G318" s="19"/>
      <c r="H318" s="19"/>
      <c r="I318" s="19"/>
      <c r="J318" s="19"/>
      <c r="K318" s="72"/>
      <c r="L318" s="73"/>
      <c r="M318" s="78"/>
    </row>
    <row r="319">
      <c r="A319" s="19"/>
      <c r="B319" s="19"/>
      <c r="C319" s="76"/>
      <c r="D319" s="19"/>
      <c r="E319" s="19"/>
      <c r="F319" s="19"/>
      <c r="G319" s="19"/>
      <c r="H319" s="19"/>
      <c r="I319" s="19"/>
      <c r="J319" s="19"/>
      <c r="K319" s="72"/>
      <c r="L319" s="73"/>
      <c r="M319" s="78"/>
    </row>
    <row r="320">
      <c r="A320" s="19"/>
      <c r="B320" s="19"/>
      <c r="C320" s="76"/>
      <c r="D320" s="19"/>
      <c r="E320" s="19"/>
      <c r="F320" s="19"/>
      <c r="G320" s="19"/>
      <c r="H320" s="19"/>
      <c r="I320" s="19"/>
      <c r="J320" s="19"/>
      <c r="K320" s="72"/>
      <c r="L320" s="73"/>
      <c r="M320" s="78"/>
    </row>
    <row r="321">
      <c r="A321" s="19"/>
      <c r="B321" s="19"/>
      <c r="C321" s="76"/>
      <c r="D321" s="19"/>
      <c r="E321" s="19"/>
      <c r="F321" s="19"/>
      <c r="G321" s="19"/>
      <c r="H321" s="19"/>
      <c r="I321" s="19"/>
      <c r="J321" s="19"/>
      <c r="K321" s="72"/>
      <c r="L321" s="73"/>
      <c r="M321" s="78"/>
    </row>
    <row r="322">
      <c r="A322" s="19"/>
      <c r="B322" s="19"/>
      <c r="C322" s="76"/>
      <c r="D322" s="19"/>
      <c r="E322" s="19"/>
      <c r="F322" s="19"/>
      <c r="G322" s="19"/>
      <c r="H322" s="19"/>
      <c r="I322" s="19"/>
      <c r="J322" s="19"/>
      <c r="K322" s="72"/>
      <c r="L322" s="73"/>
      <c r="M322" s="78"/>
    </row>
    <row r="323">
      <c r="A323" s="19"/>
      <c r="B323" s="19"/>
      <c r="C323" s="76"/>
      <c r="D323" s="19"/>
      <c r="E323" s="19"/>
      <c r="F323" s="19"/>
      <c r="G323" s="19"/>
      <c r="H323" s="19"/>
      <c r="I323" s="19"/>
      <c r="J323" s="19"/>
      <c r="K323" s="72"/>
      <c r="L323" s="73"/>
      <c r="M323" s="78"/>
    </row>
    <row r="324">
      <c r="A324" s="19"/>
      <c r="B324" s="19"/>
      <c r="C324" s="76"/>
      <c r="D324" s="19"/>
      <c r="E324" s="19"/>
      <c r="F324" s="19"/>
      <c r="G324" s="19"/>
      <c r="H324" s="19"/>
      <c r="I324" s="19"/>
      <c r="J324" s="19"/>
      <c r="K324" s="72"/>
      <c r="L324" s="73"/>
      <c r="M324" s="78"/>
    </row>
    <row r="325">
      <c r="A325" s="19"/>
      <c r="B325" s="19"/>
      <c r="C325" s="76"/>
      <c r="D325" s="19"/>
      <c r="E325" s="19"/>
      <c r="F325" s="19"/>
      <c r="G325" s="19"/>
      <c r="H325" s="19"/>
      <c r="I325" s="19"/>
      <c r="J325" s="19"/>
      <c r="K325" s="72"/>
      <c r="L325" s="73"/>
      <c r="M325" s="78"/>
    </row>
    <row r="326">
      <c r="A326" s="19"/>
      <c r="B326" s="19"/>
      <c r="C326" s="76"/>
      <c r="D326" s="19"/>
      <c r="E326" s="19"/>
      <c r="F326" s="19"/>
      <c r="G326" s="19"/>
      <c r="H326" s="19"/>
      <c r="I326" s="19"/>
      <c r="J326" s="19"/>
      <c r="K326" s="72"/>
      <c r="L326" s="73"/>
      <c r="M326" s="78"/>
    </row>
    <row r="327">
      <c r="A327" s="19"/>
      <c r="B327" s="19"/>
      <c r="C327" s="76"/>
      <c r="D327" s="19"/>
      <c r="E327" s="19"/>
      <c r="F327" s="19"/>
      <c r="G327" s="19"/>
      <c r="H327" s="19"/>
      <c r="I327" s="19"/>
      <c r="J327" s="19"/>
      <c r="K327" s="72"/>
      <c r="L327" s="73"/>
      <c r="M327" s="78"/>
    </row>
    <row r="328">
      <c r="A328" s="19"/>
      <c r="B328" s="19"/>
      <c r="C328" s="76"/>
      <c r="D328" s="19"/>
      <c r="E328" s="19"/>
      <c r="F328" s="19"/>
      <c r="G328" s="19"/>
      <c r="H328" s="19"/>
      <c r="I328" s="19"/>
      <c r="J328" s="19"/>
      <c r="K328" s="72"/>
      <c r="L328" s="73"/>
      <c r="M328" s="78"/>
    </row>
    <row r="329">
      <c r="A329" s="19"/>
      <c r="B329" s="19"/>
      <c r="C329" s="76"/>
      <c r="D329" s="19"/>
      <c r="E329" s="19"/>
      <c r="F329" s="19"/>
      <c r="G329" s="19"/>
      <c r="H329" s="19"/>
      <c r="I329" s="19"/>
      <c r="J329" s="19"/>
      <c r="K329" s="72"/>
      <c r="L329" s="73"/>
      <c r="M329" s="78"/>
    </row>
    <row r="330">
      <c r="A330" s="19"/>
      <c r="B330" s="19"/>
      <c r="C330" s="76"/>
      <c r="D330" s="19"/>
      <c r="E330" s="19"/>
      <c r="F330" s="19"/>
      <c r="G330" s="19"/>
      <c r="H330" s="19"/>
      <c r="I330" s="19"/>
      <c r="J330" s="19"/>
      <c r="K330" s="72"/>
      <c r="L330" s="73"/>
      <c r="M330" s="78"/>
    </row>
    <row r="331">
      <c r="A331" s="19"/>
      <c r="B331" s="19"/>
      <c r="C331" s="76"/>
      <c r="D331" s="19"/>
      <c r="E331" s="19"/>
      <c r="F331" s="19"/>
      <c r="G331" s="19"/>
      <c r="H331" s="19"/>
      <c r="I331" s="19"/>
      <c r="J331" s="19"/>
      <c r="K331" s="72"/>
      <c r="L331" s="73"/>
      <c r="M331" s="78"/>
    </row>
    <row r="332">
      <c r="A332" s="19"/>
      <c r="B332" s="19"/>
      <c r="C332" s="76"/>
      <c r="D332" s="19"/>
      <c r="E332" s="19"/>
      <c r="F332" s="19"/>
      <c r="G332" s="19"/>
      <c r="H332" s="19"/>
      <c r="I332" s="19"/>
      <c r="J332" s="19"/>
      <c r="K332" s="72"/>
      <c r="L332" s="73"/>
      <c r="M332" s="78"/>
    </row>
    <row r="333">
      <c r="A333" s="19"/>
      <c r="B333" s="19"/>
      <c r="C333" s="76"/>
      <c r="D333" s="19"/>
      <c r="E333" s="19"/>
      <c r="F333" s="19"/>
      <c r="G333" s="19"/>
      <c r="H333" s="19"/>
      <c r="I333" s="19"/>
      <c r="J333" s="19"/>
      <c r="K333" s="72"/>
      <c r="L333" s="73"/>
      <c r="M333" s="78"/>
    </row>
    <row r="334">
      <c r="A334" s="19"/>
      <c r="B334" s="19"/>
      <c r="C334" s="76"/>
      <c r="D334" s="19"/>
      <c r="E334" s="19"/>
      <c r="F334" s="19"/>
      <c r="G334" s="19"/>
      <c r="H334" s="19"/>
      <c r="I334" s="19"/>
      <c r="J334" s="19"/>
      <c r="K334" s="72"/>
      <c r="L334" s="73"/>
      <c r="M334" s="78"/>
    </row>
    <row r="335">
      <c r="A335" s="19"/>
      <c r="B335" s="19"/>
      <c r="C335" s="76"/>
      <c r="D335" s="19"/>
      <c r="E335" s="19"/>
      <c r="F335" s="19"/>
      <c r="G335" s="19"/>
      <c r="H335" s="19"/>
      <c r="I335" s="19"/>
      <c r="J335" s="19"/>
      <c r="K335" s="72"/>
      <c r="L335" s="73"/>
      <c r="M335" s="78"/>
    </row>
    <row r="336">
      <c r="A336" s="19"/>
      <c r="B336" s="19"/>
      <c r="C336" s="76"/>
      <c r="D336" s="19"/>
      <c r="E336" s="19"/>
      <c r="F336" s="19"/>
      <c r="G336" s="19"/>
      <c r="H336" s="19"/>
      <c r="I336" s="19"/>
      <c r="J336" s="19"/>
      <c r="K336" s="72"/>
      <c r="L336" s="73"/>
      <c r="M336" s="78"/>
    </row>
    <row r="337">
      <c r="A337" s="19"/>
      <c r="B337" s="19"/>
      <c r="C337" s="76"/>
      <c r="D337" s="19"/>
      <c r="E337" s="19"/>
      <c r="F337" s="19"/>
      <c r="G337" s="19"/>
      <c r="H337" s="19"/>
      <c r="I337" s="19"/>
      <c r="J337" s="19"/>
      <c r="K337" s="72"/>
      <c r="L337" s="73"/>
      <c r="M337" s="78"/>
    </row>
    <row r="338">
      <c r="A338" s="19"/>
      <c r="B338" s="19"/>
      <c r="C338" s="76"/>
      <c r="D338" s="19"/>
      <c r="E338" s="19"/>
      <c r="F338" s="19"/>
      <c r="G338" s="19"/>
      <c r="H338" s="19"/>
      <c r="I338" s="19"/>
      <c r="J338" s="19"/>
      <c r="K338" s="72"/>
      <c r="L338" s="73"/>
      <c r="M338" s="78"/>
    </row>
    <row r="339">
      <c r="A339" s="19"/>
      <c r="B339" s="19"/>
      <c r="C339" s="76"/>
      <c r="D339" s="19"/>
      <c r="E339" s="19"/>
      <c r="F339" s="19"/>
      <c r="G339" s="19"/>
      <c r="H339" s="19"/>
      <c r="I339" s="19"/>
      <c r="J339" s="19"/>
      <c r="K339" s="72"/>
      <c r="L339" s="73"/>
      <c r="M339" s="78"/>
    </row>
    <row r="340">
      <c r="A340" s="19"/>
      <c r="B340" s="19"/>
      <c r="C340" s="76"/>
      <c r="D340" s="19"/>
      <c r="E340" s="19"/>
      <c r="F340" s="19"/>
      <c r="G340" s="19"/>
      <c r="H340" s="19"/>
      <c r="I340" s="19"/>
      <c r="J340" s="19"/>
      <c r="K340" s="72"/>
      <c r="L340" s="73"/>
      <c r="M340" s="78"/>
    </row>
    <row r="341">
      <c r="A341" s="19"/>
      <c r="B341" s="19"/>
      <c r="C341" s="76"/>
      <c r="D341" s="19"/>
      <c r="E341" s="19"/>
      <c r="F341" s="19"/>
      <c r="G341" s="19"/>
      <c r="H341" s="19"/>
      <c r="I341" s="19"/>
      <c r="J341" s="19"/>
      <c r="K341" s="72"/>
      <c r="L341" s="73"/>
      <c r="M341" s="78"/>
    </row>
    <row r="342">
      <c r="A342" s="19"/>
      <c r="B342" s="19"/>
      <c r="C342" s="76"/>
      <c r="D342" s="19"/>
      <c r="E342" s="19"/>
      <c r="F342" s="19"/>
      <c r="G342" s="19"/>
      <c r="H342" s="19"/>
      <c r="I342" s="19"/>
      <c r="J342" s="19"/>
      <c r="K342" s="72"/>
      <c r="L342" s="73"/>
      <c r="M342" s="78"/>
    </row>
    <row r="343">
      <c r="A343" s="19"/>
      <c r="B343" s="19"/>
      <c r="C343" s="76"/>
      <c r="D343" s="19"/>
      <c r="E343" s="19"/>
      <c r="F343" s="19"/>
      <c r="G343" s="19"/>
      <c r="H343" s="19"/>
      <c r="I343" s="19"/>
      <c r="J343" s="19"/>
      <c r="K343" s="72"/>
      <c r="L343" s="73"/>
      <c r="M343" s="78"/>
    </row>
    <row r="344">
      <c r="A344" s="19"/>
      <c r="B344" s="19"/>
      <c r="C344" s="76"/>
      <c r="D344" s="19"/>
      <c r="E344" s="19"/>
      <c r="F344" s="19"/>
      <c r="G344" s="19"/>
      <c r="H344" s="19"/>
      <c r="I344" s="19"/>
      <c r="J344" s="19"/>
      <c r="K344" s="72"/>
      <c r="L344" s="73"/>
      <c r="M344" s="78"/>
    </row>
    <row r="345">
      <c r="A345" s="19"/>
      <c r="B345" s="19"/>
      <c r="C345" s="76"/>
      <c r="D345" s="19"/>
      <c r="E345" s="19"/>
      <c r="F345" s="19"/>
      <c r="G345" s="19"/>
      <c r="H345" s="19"/>
      <c r="I345" s="19"/>
      <c r="J345" s="19"/>
      <c r="K345" s="72"/>
      <c r="L345" s="73"/>
      <c r="M345" s="78"/>
    </row>
    <row r="346">
      <c r="A346" s="19"/>
      <c r="B346" s="19"/>
      <c r="C346" s="76"/>
      <c r="D346" s="19"/>
      <c r="E346" s="19"/>
      <c r="F346" s="19"/>
      <c r="G346" s="19"/>
      <c r="H346" s="19"/>
      <c r="I346" s="19"/>
      <c r="J346" s="19"/>
      <c r="K346" s="72"/>
      <c r="L346" s="73"/>
      <c r="M346" s="78"/>
    </row>
    <row r="347">
      <c r="A347" s="19"/>
      <c r="B347" s="19"/>
      <c r="C347" s="76"/>
      <c r="D347" s="19"/>
      <c r="E347" s="19"/>
      <c r="F347" s="19"/>
      <c r="G347" s="19"/>
      <c r="H347" s="19"/>
      <c r="I347" s="19"/>
      <c r="J347" s="19"/>
      <c r="K347" s="72"/>
      <c r="L347" s="73"/>
      <c r="M347" s="78"/>
    </row>
    <row r="348">
      <c r="A348" s="19"/>
      <c r="B348" s="19"/>
      <c r="C348" s="76"/>
      <c r="D348" s="19"/>
      <c r="E348" s="19"/>
      <c r="F348" s="19"/>
      <c r="G348" s="19"/>
      <c r="H348" s="19"/>
      <c r="I348" s="19"/>
      <c r="J348" s="19"/>
      <c r="K348" s="72"/>
      <c r="L348" s="73"/>
      <c r="M348" s="78"/>
    </row>
    <row r="349">
      <c r="A349" s="19"/>
      <c r="B349" s="19"/>
      <c r="C349" s="76"/>
      <c r="D349" s="19"/>
      <c r="E349" s="19"/>
      <c r="F349" s="19"/>
      <c r="G349" s="19"/>
      <c r="H349" s="19"/>
      <c r="I349" s="19"/>
      <c r="J349" s="19"/>
      <c r="K349" s="72"/>
      <c r="L349" s="73"/>
      <c r="M349" s="78"/>
    </row>
    <row r="350">
      <c r="A350" s="19"/>
      <c r="B350" s="19"/>
      <c r="C350" s="76"/>
      <c r="D350" s="19"/>
      <c r="E350" s="19"/>
      <c r="F350" s="19"/>
      <c r="G350" s="19"/>
      <c r="H350" s="19"/>
      <c r="I350" s="19"/>
      <c r="J350" s="19"/>
      <c r="K350" s="72"/>
      <c r="L350" s="73"/>
      <c r="M350" s="78"/>
    </row>
    <row r="351">
      <c r="A351" s="19"/>
      <c r="B351" s="19"/>
      <c r="C351" s="76"/>
      <c r="D351" s="19"/>
      <c r="E351" s="19"/>
      <c r="F351" s="19"/>
      <c r="G351" s="19"/>
      <c r="H351" s="19"/>
      <c r="I351" s="19"/>
      <c r="J351" s="19"/>
      <c r="K351" s="72"/>
      <c r="L351" s="73"/>
      <c r="M351" s="78"/>
    </row>
    <row r="352">
      <c r="A352" s="19"/>
      <c r="B352" s="19"/>
      <c r="C352" s="76"/>
      <c r="D352" s="19"/>
      <c r="E352" s="19"/>
      <c r="F352" s="19"/>
      <c r="G352" s="19"/>
      <c r="H352" s="19"/>
      <c r="I352" s="19"/>
      <c r="J352" s="19"/>
      <c r="K352" s="72"/>
      <c r="L352" s="73"/>
      <c r="M352" s="78"/>
    </row>
    <row r="353">
      <c r="A353" s="19"/>
      <c r="B353" s="19"/>
      <c r="C353" s="76"/>
      <c r="D353" s="19"/>
      <c r="E353" s="19"/>
      <c r="F353" s="19"/>
      <c r="G353" s="19"/>
      <c r="H353" s="19"/>
      <c r="I353" s="19"/>
      <c r="J353" s="19"/>
      <c r="K353" s="72"/>
      <c r="L353" s="73"/>
      <c r="M353" s="78"/>
    </row>
    <row r="354">
      <c r="A354" s="19"/>
      <c r="B354" s="19"/>
      <c r="C354" s="76"/>
      <c r="D354" s="19"/>
      <c r="E354" s="19"/>
      <c r="F354" s="19"/>
      <c r="G354" s="19"/>
      <c r="H354" s="19"/>
      <c r="I354" s="19"/>
      <c r="J354" s="19"/>
      <c r="K354" s="72"/>
      <c r="L354" s="73"/>
      <c r="M354" s="78"/>
    </row>
    <row r="355">
      <c r="A355" s="19"/>
      <c r="B355" s="19"/>
      <c r="C355" s="76"/>
      <c r="D355" s="19"/>
      <c r="E355" s="19"/>
      <c r="F355" s="19"/>
      <c r="G355" s="19"/>
      <c r="H355" s="19"/>
      <c r="I355" s="19"/>
      <c r="J355" s="19"/>
      <c r="K355" s="72"/>
      <c r="L355" s="73"/>
      <c r="M355" s="78"/>
    </row>
    <row r="356">
      <c r="A356" s="19"/>
      <c r="B356" s="19"/>
      <c r="C356" s="76"/>
      <c r="D356" s="19"/>
      <c r="E356" s="19"/>
      <c r="F356" s="19"/>
      <c r="G356" s="19"/>
      <c r="H356" s="19"/>
      <c r="I356" s="19"/>
      <c r="J356" s="19"/>
      <c r="K356" s="72"/>
      <c r="L356" s="73"/>
      <c r="M356" s="78"/>
    </row>
    <row r="357">
      <c r="A357" s="19"/>
      <c r="B357" s="19"/>
      <c r="C357" s="76"/>
      <c r="D357" s="19"/>
      <c r="E357" s="19"/>
      <c r="F357" s="19"/>
      <c r="G357" s="19"/>
      <c r="H357" s="19"/>
      <c r="I357" s="19"/>
      <c r="J357" s="19"/>
      <c r="K357" s="72"/>
      <c r="L357" s="73"/>
      <c r="M357" s="78"/>
    </row>
    <row r="358">
      <c r="A358" s="19"/>
      <c r="B358" s="19"/>
      <c r="C358" s="76"/>
      <c r="D358" s="19"/>
      <c r="E358" s="19"/>
      <c r="F358" s="19"/>
      <c r="G358" s="19"/>
      <c r="H358" s="19"/>
      <c r="I358" s="19"/>
      <c r="J358" s="19"/>
      <c r="K358" s="72"/>
      <c r="L358" s="73"/>
      <c r="M358" s="78"/>
    </row>
    <row r="359">
      <c r="A359" s="19"/>
      <c r="B359" s="19"/>
      <c r="C359" s="76"/>
      <c r="D359" s="19"/>
      <c r="E359" s="19"/>
      <c r="F359" s="19"/>
      <c r="G359" s="19"/>
      <c r="H359" s="19"/>
      <c r="I359" s="19"/>
      <c r="J359" s="19"/>
      <c r="K359" s="72"/>
      <c r="L359" s="73"/>
      <c r="M359" s="78"/>
    </row>
    <row r="360">
      <c r="A360" s="19"/>
      <c r="B360" s="19"/>
      <c r="C360" s="76"/>
      <c r="D360" s="19"/>
      <c r="E360" s="19"/>
      <c r="F360" s="19"/>
      <c r="G360" s="19"/>
      <c r="H360" s="19"/>
      <c r="I360" s="19"/>
      <c r="J360" s="19"/>
      <c r="K360" s="72"/>
      <c r="L360" s="73"/>
      <c r="M360" s="78"/>
    </row>
    <row r="361">
      <c r="A361" s="19"/>
      <c r="B361" s="19"/>
      <c r="C361" s="76"/>
      <c r="D361" s="19"/>
      <c r="E361" s="19"/>
      <c r="F361" s="19"/>
      <c r="G361" s="19"/>
      <c r="H361" s="19"/>
      <c r="I361" s="19"/>
      <c r="J361" s="19"/>
      <c r="K361" s="72"/>
      <c r="L361" s="73"/>
      <c r="M361" s="78"/>
    </row>
    <row r="362">
      <c r="A362" s="19"/>
      <c r="B362" s="19"/>
      <c r="C362" s="76"/>
      <c r="D362" s="19"/>
      <c r="E362" s="19"/>
      <c r="F362" s="19"/>
      <c r="G362" s="19"/>
      <c r="H362" s="19"/>
      <c r="I362" s="19"/>
      <c r="J362" s="19"/>
      <c r="K362" s="72"/>
      <c r="L362" s="73"/>
      <c r="M362" s="78"/>
    </row>
    <row r="363">
      <c r="A363" s="19"/>
      <c r="B363" s="19"/>
      <c r="C363" s="76"/>
      <c r="D363" s="19"/>
      <c r="E363" s="19"/>
      <c r="F363" s="19"/>
      <c r="G363" s="19"/>
      <c r="H363" s="19"/>
      <c r="I363" s="19"/>
      <c r="J363" s="19"/>
      <c r="K363" s="72"/>
      <c r="L363" s="73"/>
      <c r="M363" s="78"/>
    </row>
    <row r="364">
      <c r="A364" s="19"/>
      <c r="B364" s="19"/>
      <c r="C364" s="76"/>
      <c r="D364" s="19"/>
      <c r="E364" s="19"/>
      <c r="F364" s="19"/>
      <c r="G364" s="19"/>
      <c r="H364" s="19"/>
      <c r="I364" s="19"/>
      <c r="J364" s="19"/>
      <c r="K364" s="72"/>
      <c r="L364" s="73"/>
      <c r="M364" s="78"/>
    </row>
    <row r="365">
      <c r="A365" s="19"/>
      <c r="B365" s="19"/>
      <c r="C365" s="76"/>
      <c r="D365" s="19"/>
      <c r="E365" s="19"/>
      <c r="F365" s="19"/>
      <c r="G365" s="19"/>
      <c r="H365" s="19"/>
      <c r="I365" s="19"/>
      <c r="J365" s="19"/>
      <c r="K365" s="72"/>
      <c r="L365" s="73"/>
      <c r="M365" s="78"/>
    </row>
    <row r="366">
      <c r="A366" s="19"/>
      <c r="B366" s="19"/>
      <c r="C366" s="76"/>
      <c r="D366" s="19"/>
      <c r="E366" s="19"/>
      <c r="F366" s="19"/>
      <c r="G366" s="19"/>
      <c r="H366" s="19"/>
      <c r="I366" s="19"/>
      <c r="J366" s="19"/>
      <c r="K366" s="72"/>
      <c r="L366" s="73"/>
      <c r="M366" s="78"/>
    </row>
    <row r="367">
      <c r="A367" s="19"/>
      <c r="B367" s="19"/>
      <c r="C367" s="76"/>
      <c r="D367" s="19"/>
      <c r="E367" s="19"/>
      <c r="F367" s="19"/>
      <c r="G367" s="19"/>
      <c r="H367" s="19"/>
      <c r="I367" s="19"/>
      <c r="J367" s="19"/>
      <c r="K367" s="72"/>
      <c r="L367" s="73"/>
      <c r="M367" s="78"/>
    </row>
    <row r="368">
      <c r="A368" s="19"/>
      <c r="B368" s="19"/>
      <c r="C368" s="76"/>
      <c r="D368" s="19"/>
      <c r="E368" s="19"/>
      <c r="F368" s="19"/>
      <c r="G368" s="19"/>
      <c r="H368" s="19"/>
      <c r="I368" s="19"/>
      <c r="J368" s="19"/>
      <c r="K368" s="72"/>
      <c r="L368" s="73"/>
      <c r="M368" s="78"/>
    </row>
    <row r="369">
      <c r="A369" s="19"/>
      <c r="B369" s="19"/>
      <c r="C369" s="76"/>
      <c r="D369" s="19"/>
      <c r="E369" s="19"/>
      <c r="F369" s="19"/>
      <c r="G369" s="19"/>
      <c r="H369" s="19"/>
      <c r="I369" s="19"/>
      <c r="J369" s="19"/>
      <c r="K369" s="72"/>
      <c r="L369" s="73"/>
      <c r="M369" s="78"/>
    </row>
    <row r="370">
      <c r="A370" s="19"/>
      <c r="B370" s="19"/>
      <c r="C370" s="76"/>
      <c r="D370" s="19"/>
      <c r="E370" s="19"/>
      <c r="F370" s="19"/>
      <c r="G370" s="19"/>
      <c r="H370" s="19"/>
      <c r="I370" s="19"/>
      <c r="J370" s="19"/>
      <c r="K370" s="72"/>
      <c r="L370" s="73"/>
      <c r="M370" s="78"/>
    </row>
    <row r="371">
      <c r="A371" s="19"/>
      <c r="B371" s="19"/>
      <c r="C371" s="76"/>
      <c r="D371" s="19"/>
      <c r="E371" s="19"/>
      <c r="F371" s="19"/>
      <c r="G371" s="19"/>
      <c r="H371" s="19"/>
      <c r="I371" s="19"/>
      <c r="J371" s="19"/>
      <c r="K371" s="72"/>
      <c r="L371" s="73"/>
      <c r="M371" s="78"/>
    </row>
    <row r="372">
      <c r="A372" s="19"/>
      <c r="B372" s="19"/>
      <c r="C372" s="76"/>
      <c r="D372" s="19"/>
      <c r="E372" s="19"/>
      <c r="F372" s="19"/>
      <c r="G372" s="19"/>
      <c r="H372" s="19"/>
      <c r="I372" s="19"/>
      <c r="J372" s="19"/>
      <c r="K372" s="72"/>
      <c r="L372" s="73"/>
      <c r="M372" s="78"/>
    </row>
    <row r="373">
      <c r="A373" s="19"/>
      <c r="B373" s="19"/>
      <c r="C373" s="76"/>
      <c r="D373" s="19"/>
      <c r="E373" s="19"/>
      <c r="F373" s="19"/>
      <c r="G373" s="19"/>
      <c r="H373" s="19"/>
      <c r="I373" s="19"/>
      <c r="J373" s="19"/>
      <c r="K373" s="72"/>
      <c r="L373" s="73"/>
      <c r="M373" s="78"/>
    </row>
    <row r="374">
      <c r="A374" s="19"/>
      <c r="B374" s="19"/>
      <c r="C374" s="76"/>
      <c r="D374" s="19"/>
      <c r="E374" s="19"/>
      <c r="F374" s="19"/>
      <c r="G374" s="19"/>
      <c r="H374" s="19"/>
      <c r="I374" s="19"/>
      <c r="J374" s="19"/>
      <c r="K374" s="72"/>
      <c r="L374" s="73"/>
      <c r="M374" s="78"/>
    </row>
    <row r="375">
      <c r="A375" s="19"/>
      <c r="B375" s="19"/>
      <c r="C375" s="76"/>
      <c r="D375" s="19"/>
      <c r="E375" s="19"/>
      <c r="F375" s="19"/>
      <c r="G375" s="19"/>
      <c r="H375" s="19"/>
      <c r="I375" s="19"/>
      <c r="J375" s="19"/>
      <c r="K375" s="72"/>
      <c r="L375" s="73"/>
      <c r="M375" s="78"/>
    </row>
    <row r="376">
      <c r="A376" s="19"/>
      <c r="B376" s="19"/>
      <c r="C376" s="76"/>
      <c r="D376" s="19"/>
      <c r="E376" s="19"/>
      <c r="F376" s="19"/>
      <c r="G376" s="19"/>
      <c r="H376" s="19"/>
      <c r="I376" s="19"/>
      <c r="J376" s="19"/>
      <c r="K376" s="72"/>
      <c r="L376" s="73"/>
      <c r="M376" s="78"/>
    </row>
    <row r="377">
      <c r="A377" s="19"/>
      <c r="B377" s="19"/>
      <c r="C377" s="76"/>
      <c r="D377" s="19"/>
      <c r="E377" s="19"/>
      <c r="F377" s="19"/>
      <c r="G377" s="19"/>
      <c r="H377" s="19"/>
      <c r="I377" s="19"/>
      <c r="J377" s="19"/>
      <c r="K377" s="72"/>
      <c r="L377" s="73"/>
      <c r="M377" s="78"/>
    </row>
    <row r="378">
      <c r="A378" s="19"/>
      <c r="B378" s="19"/>
      <c r="C378" s="76"/>
      <c r="D378" s="19"/>
      <c r="E378" s="19"/>
      <c r="F378" s="19"/>
      <c r="G378" s="19"/>
      <c r="H378" s="19"/>
      <c r="I378" s="19"/>
      <c r="J378" s="19"/>
      <c r="K378" s="72"/>
      <c r="L378" s="73"/>
      <c r="M378" s="78"/>
    </row>
    <row r="379">
      <c r="A379" s="19"/>
      <c r="B379" s="19"/>
      <c r="C379" s="76"/>
      <c r="D379" s="19"/>
      <c r="E379" s="19"/>
      <c r="F379" s="19"/>
      <c r="G379" s="19"/>
      <c r="H379" s="19"/>
      <c r="I379" s="19"/>
      <c r="J379" s="19"/>
      <c r="K379" s="72"/>
      <c r="L379" s="73"/>
      <c r="M379" s="78"/>
    </row>
    <row r="380">
      <c r="A380" s="19"/>
      <c r="B380" s="19"/>
      <c r="C380" s="76"/>
      <c r="D380" s="19"/>
      <c r="E380" s="19"/>
      <c r="F380" s="19"/>
      <c r="G380" s="19"/>
      <c r="H380" s="19"/>
      <c r="I380" s="19"/>
      <c r="J380" s="19"/>
      <c r="K380" s="72"/>
      <c r="L380" s="73"/>
      <c r="M380" s="78"/>
    </row>
    <row r="381">
      <c r="A381" s="19"/>
      <c r="B381" s="19"/>
      <c r="C381" s="76"/>
      <c r="D381" s="19"/>
      <c r="E381" s="19"/>
      <c r="F381" s="19"/>
      <c r="G381" s="19"/>
      <c r="H381" s="19"/>
      <c r="I381" s="19"/>
      <c r="J381" s="19"/>
      <c r="K381" s="72"/>
      <c r="L381" s="73"/>
      <c r="M381" s="78"/>
    </row>
    <row r="382">
      <c r="A382" s="19"/>
      <c r="B382" s="19"/>
      <c r="C382" s="76"/>
      <c r="D382" s="19"/>
      <c r="E382" s="19"/>
      <c r="F382" s="19"/>
      <c r="G382" s="19"/>
      <c r="H382" s="19"/>
      <c r="I382" s="19"/>
      <c r="J382" s="19"/>
      <c r="K382" s="72"/>
      <c r="L382" s="73"/>
      <c r="M382" s="78"/>
    </row>
    <row r="383">
      <c r="A383" s="19"/>
      <c r="B383" s="19"/>
      <c r="C383" s="76"/>
      <c r="D383" s="19"/>
      <c r="E383" s="19"/>
      <c r="F383" s="19"/>
      <c r="G383" s="19"/>
      <c r="H383" s="19"/>
      <c r="I383" s="19"/>
      <c r="J383" s="19"/>
      <c r="K383" s="72"/>
      <c r="L383" s="73"/>
      <c r="M383" s="78"/>
    </row>
    <row r="384">
      <c r="A384" s="19"/>
      <c r="B384" s="19"/>
      <c r="C384" s="76"/>
      <c r="D384" s="19"/>
      <c r="E384" s="19"/>
      <c r="F384" s="19"/>
      <c r="G384" s="19"/>
      <c r="H384" s="19"/>
      <c r="I384" s="19"/>
      <c r="J384" s="19"/>
      <c r="K384" s="72"/>
      <c r="L384" s="73"/>
      <c r="M384" s="78"/>
    </row>
    <row r="385">
      <c r="A385" s="19"/>
      <c r="B385" s="19"/>
      <c r="C385" s="76"/>
      <c r="D385" s="19"/>
      <c r="E385" s="19"/>
      <c r="F385" s="19"/>
      <c r="G385" s="19"/>
      <c r="H385" s="19"/>
      <c r="I385" s="19"/>
      <c r="J385" s="19"/>
      <c r="K385" s="72"/>
      <c r="L385" s="73"/>
      <c r="M385" s="78"/>
    </row>
    <row r="386">
      <c r="A386" s="19"/>
      <c r="B386" s="19"/>
      <c r="C386" s="76"/>
      <c r="D386" s="19"/>
      <c r="E386" s="19"/>
      <c r="F386" s="19"/>
      <c r="G386" s="19"/>
      <c r="H386" s="19"/>
      <c r="I386" s="19"/>
      <c r="J386" s="19"/>
      <c r="K386" s="72"/>
      <c r="L386" s="73"/>
      <c r="M386" s="78"/>
    </row>
    <row r="387">
      <c r="A387" s="19"/>
      <c r="B387" s="19"/>
      <c r="C387" s="76"/>
      <c r="D387" s="19"/>
      <c r="E387" s="19"/>
      <c r="F387" s="19"/>
      <c r="G387" s="19"/>
      <c r="H387" s="19"/>
      <c r="I387" s="19"/>
      <c r="J387" s="19"/>
      <c r="K387" s="72"/>
      <c r="L387" s="73"/>
      <c r="M387" s="78"/>
    </row>
    <row r="388">
      <c r="A388" s="19"/>
      <c r="B388" s="19"/>
      <c r="C388" s="76"/>
      <c r="D388" s="19"/>
      <c r="E388" s="19"/>
      <c r="F388" s="19"/>
      <c r="G388" s="19"/>
      <c r="H388" s="19"/>
      <c r="I388" s="19"/>
      <c r="J388" s="19"/>
      <c r="K388" s="72"/>
      <c r="L388" s="73"/>
      <c r="M388" s="78"/>
    </row>
    <row r="389">
      <c r="A389" s="19"/>
      <c r="B389" s="19"/>
      <c r="C389" s="76"/>
      <c r="D389" s="19"/>
      <c r="E389" s="19"/>
      <c r="F389" s="19"/>
      <c r="G389" s="19"/>
      <c r="H389" s="19"/>
      <c r="I389" s="19"/>
      <c r="J389" s="19"/>
      <c r="K389" s="72"/>
      <c r="L389" s="73"/>
      <c r="M389" s="78"/>
    </row>
    <row r="390">
      <c r="A390" s="19"/>
      <c r="B390" s="19"/>
      <c r="C390" s="76"/>
      <c r="D390" s="19"/>
      <c r="E390" s="19"/>
      <c r="F390" s="19"/>
      <c r="G390" s="19"/>
      <c r="H390" s="19"/>
      <c r="I390" s="19"/>
      <c r="J390" s="19"/>
      <c r="K390" s="72"/>
      <c r="L390" s="73"/>
      <c r="M390" s="78"/>
    </row>
    <row r="391">
      <c r="A391" s="19"/>
      <c r="B391" s="19"/>
      <c r="C391" s="76"/>
      <c r="D391" s="19"/>
      <c r="E391" s="19"/>
      <c r="F391" s="19"/>
      <c r="G391" s="19"/>
      <c r="H391" s="19"/>
      <c r="I391" s="19"/>
      <c r="J391" s="19"/>
      <c r="K391" s="72"/>
      <c r="L391" s="73"/>
      <c r="M391" s="78"/>
    </row>
    <row r="392">
      <c r="A392" s="19"/>
      <c r="B392" s="19"/>
      <c r="C392" s="76"/>
      <c r="D392" s="19"/>
      <c r="E392" s="19"/>
      <c r="F392" s="19"/>
      <c r="G392" s="19"/>
      <c r="H392" s="19"/>
      <c r="I392" s="19"/>
      <c r="J392" s="19"/>
      <c r="K392" s="72"/>
      <c r="L392" s="73"/>
      <c r="M392" s="78"/>
    </row>
    <row r="393">
      <c r="A393" s="19"/>
      <c r="B393" s="19"/>
      <c r="C393" s="76"/>
      <c r="D393" s="19"/>
      <c r="E393" s="19"/>
      <c r="F393" s="19"/>
      <c r="G393" s="19"/>
      <c r="H393" s="19"/>
      <c r="I393" s="19"/>
      <c r="J393" s="19"/>
      <c r="K393" s="72"/>
      <c r="L393" s="73"/>
      <c r="M393" s="78"/>
    </row>
    <row r="394">
      <c r="A394" s="19"/>
      <c r="B394" s="19"/>
      <c r="C394" s="76"/>
      <c r="D394" s="19"/>
      <c r="E394" s="19"/>
      <c r="F394" s="19"/>
      <c r="G394" s="19"/>
      <c r="H394" s="19"/>
      <c r="I394" s="19"/>
      <c r="J394" s="19"/>
      <c r="K394" s="72"/>
      <c r="L394" s="73"/>
      <c r="M394" s="78"/>
    </row>
    <row r="395">
      <c r="A395" s="19"/>
      <c r="B395" s="19"/>
      <c r="C395" s="76"/>
      <c r="D395" s="19"/>
      <c r="E395" s="19"/>
      <c r="F395" s="19"/>
      <c r="G395" s="19"/>
      <c r="H395" s="19"/>
      <c r="I395" s="19"/>
      <c r="J395" s="19"/>
      <c r="K395" s="72"/>
      <c r="L395" s="73"/>
      <c r="M395" s="78"/>
    </row>
    <row r="396">
      <c r="A396" s="19"/>
      <c r="B396" s="19"/>
      <c r="C396" s="76"/>
      <c r="D396" s="19"/>
      <c r="E396" s="19"/>
      <c r="F396" s="19"/>
      <c r="G396" s="19"/>
      <c r="H396" s="19"/>
      <c r="I396" s="19"/>
      <c r="J396" s="19"/>
      <c r="K396" s="72"/>
      <c r="L396" s="73"/>
      <c r="M396" s="78"/>
    </row>
    <row r="397">
      <c r="A397" s="19"/>
      <c r="B397" s="19"/>
      <c r="C397" s="76"/>
      <c r="D397" s="19"/>
      <c r="E397" s="19"/>
      <c r="F397" s="19"/>
      <c r="G397" s="19"/>
      <c r="H397" s="19"/>
      <c r="I397" s="19"/>
      <c r="J397" s="19"/>
      <c r="K397" s="72"/>
      <c r="L397" s="73"/>
      <c r="M397" s="78"/>
    </row>
    <row r="398">
      <c r="A398" s="19"/>
      <c r="B398" s="19"/>
      <c r="C398" s="76"/>
      <c r="D398" s="19"/>
      <c r="E398" s="19"/>
      <c r="F398" s="19"/>
      <c r="G398" s="19"/>
      <c r="H398" s="19"/>
      <c r="I398" s="19"/>
      <c r="J398" s="19"/>
      <c r="K398" s="72"/>
      <c r="L398" s="73"/>
      <c r="M398" s="78"/>
    </row>
    <row r="399">
      <c r="A399" s="19"/>
      <c r="B399" s="19"/>
      <c r="C399" s="76"/>
      <c r="D399" s="19"/>
      <c r="E399" s="19"/>
      <c r="F399" s="19"/>
      <c r="G399" s="19"/>
      <c r="H399" s="19"/>
      <c r="I399" s="19"/>
      <c r="J399" s="19"/>
      <c r="K399" s="72"/>
      <c r="L399" s="73"/>
      <c r="M399" s="78"/>
    </row>
    <row r="400">
      <c r="A400" s="19"/>
      <c r="B400" s="19"/>
      <c r="C400" s="76"/>
      <c r="D400" s="19"/>
      <c r="E400" s="19"/>
      <c r="F400" s="19"/>
      <c r="G400" s="19"/>
      <c r="H400" s="19"/>
      <c r="I400" s="19"/>
      <c r="J400" s="19"/>
      <c r="K400" s="72"/>
      <c r="L400" s="73"/>
      <c r="M400" s="78"/>
    </row>
    <row r="401">
      <c r="A401" s="19"/>
      <c r="B401" s="19"/>
      <c r="C401" s="76"/>
      <c r="D401" s="19"/>
      <c r="E401" s="19"/>
      <c r="F401" s="19"/>
      <c r="G401" s="19"/>
      <c r="H401" s="19"/>
      <c r="I401" s="19"/>
      <c r="J401" s="19"/>
      <c r="K401" s="72"/>
      <c r="L401" s="73"/>
      <c r="M401" s="78"/>
    </row>
    <row r="402">
      <c r="A402" s="19"/>
      <c r="B402" s="19"/>
      <c r="C402" s="76"/>
      <c r="D402" s="19"/>
      <c r="E402" s="19"/>
      <c r="F402" s="19"/>
      <c r="G402" s="19"/>
      <c r="H402" s="19"/>
      <c r="I402" s="19"/>
      <c r="J402" s="19"/>
      <c r="K402" s="72"/>
      <c r="L402" s="73"/>
      <c r="M402" s="78"/>
    </row>
    <row r="403">
      <c r="A403" s="19"/>
      <c r="B403" s="19"/>
      <c r="C403" s="76"/>
      <c r="D403" s="19"/>
      <c r="E403" s="19"/>
      <c r="F403" s="19"/>
      <c r="G403" s="19"/>
      <c r="H403" s="19"/>
      <c r="I403" s="19"/>
      <c r="J403" s="19"/>
      <c r="K403" s="72"/>
      <c r="L403" s="73"/>
      <c r="M403" s="78"/>
    </row>
    <row r="404">
      <c r="A404" s="19"/>
      <c r="B404" s="19"/>
      <c r="C404" s="76"/>
      <c r="D404" s="19"/>
      <c r="E404" s="19"/>
      <c r="F404" s="19"/>
      <c r="G404" s="19"/>
      <c r="H404" s="19"/>
      <c r="I404" s="19"/>
      <c r="J404" s="19"/>
      <c r="K404" s="72"/>
      <c r="L404" s="73"/>
      <c r="M404" s="78"/>
    </row>
    <row r="405">
      <c r="A405" s="19"/>
      <c r="B405" s="19"/>
      <c r="C405" s="76"/>
      <c r="D405" s="19"/>
      <c r="E405" s="19"/>
      <c r="F405" s="19"/>
      <c r="G405" s="19"/>
      <c r="H405" s="19"/>
      <c r="I405" s="19"/>
      <c r="J405" s="19"/>
      <c r="K405" s="72"/>
      <c r="L405" s="73"/>
      <c r="M405" s="78"/>
    </row>
    <row r="406">
      <c r="A406" s="19"/>
      <c r="B406" s="19"/>
      <c r="C406" s="76"/>
      <c r="D406" s="19"/>
      <c r="E406" s="19"/>
      <c r="F406" s="19"/>
      <c r="G406" s="19"/>
      <c r="H406" s="19"/>
      <c r="I406" s="19"/>
      <c r="J406" s="19"/>
      <c r="K406" s="72"/>
      <c r="L406" s="73"/>
      <c r="M406" s="78"/>
    </row>
    <row r="407">
      <c r="A407" s="19"/>
      <c r="B407" s="19"/>
      <c r="C407" s="76"/>
      <c r="D407" s="19"/>
      <c r="E407" s="19"/>
      <c r="F407" s="19"/>
      <c r="G407" s="19"/>
      <c r="H407" s="19"/>
      <c r="I407" s="19"/>
      <c r="J407" s="19"/>
      <c r="K407" s="72"/>
      <c r="L407" s="73"/>
      <c r="M407" s="78"/>
    </row>
    <row r="408">
      <c r="A408" s="19"/>
      <c r="B408" s="19"/>
      <c r="C408" s="76"/>
      <c r="D408" s="19"/>
      <c r="E408" s="19"/>
      <c r="F408" s="19"/>
      <c r="G408" s="19"/>
      <c r="H408" s="19"/>
      <c r="I408" s="19"/>
      <c r="J408" s="19"/>
      <c r="K408" s="72"/>
      <c r="L408" s="73"/>
      <c r="M408" s="78"/>
    </row>
    <row r="409">
      <c r="A409" s="19"/>
      <c r="B409" s="19"/>
      <c r="C409" s="76"/>
      <c r="D409" s="19"/>
      <c r="E409" s="19"/>
      <c r="F409" s="19"/>
      <c r="G409" s="19"/>
      <c r="H409" s="19"/>
      <c r="I409" s="19"/>
      <c r="J409" s="19"/>
      <c r="K409" s="72"/>
      <c r="L409" s="73"/>
      <c r="M409" s="78"/>
    </row>
    <row r="410">
      <c r="A410" s="19"/>
      <c r="B410" s="19"/>
      <c r="C410" s="76"/>
      <c r="D410" s="19"/>
      <c r="E410" s="19"/>
      <c r="F410" s="19"/>
      <c r="G410" s="19"/>
      <c r="H410" s="19"/>
      <c r="I410" s="19"/>
      <c r="J410" s="19"/>
      <c r="K410" s="72"/>
      <c r="L410" s="73"/>
      <c r="M410" s="78"/>
    </row>
    <row r="411">
      <c r="A411" s="19"/>
      <c r="B411" s="19"/>
      <c r="C411" s="76"/>
      <c r="D411" s="19"/>
      <c r="E411" s="19"/>
      <c r="F411" s="19"/>
      <c r="G411" s="19"/>
      <c r="H411" s="19"/>
      <c r="I411" s="19"/>
      <c r="J411" s="19"/>
      <c r="K411" s="72"/>
      <c r="L411" s="73"/>
      <c r="M411" s="78"/>
    </row>
    <row r="412">
      <c r="A412" s="19"/>
      <c r="B412" s="19"/>
      <c r="C412" s="76"/>
      <c r="D412" s="19"/>
      <c r="E412" s="19"/>
      <c r="F412" s="19"/>
      <c r="G412" s="19"/>
      <c r="H412" s="19"/>
      <c r="I412" s="19"/>
      <c r="J412" s="19"/>
      <c r="K412" s="72"/>
      <c r="L412" s="73"/>
      <c r="M412" s="78"/>
    </row>
    <row r="413">
      <c r="A413" s="19"/>
      <c r="B413" s="19"/>
      <c r="C413" s="76"/>
      <c r="D413" s="19"/>
      <c r="E413" s="19"/>
      <c r="F413" s="19"/>
      <c r="G413" s="19"/>
      <c r="H413" s="19"/>
      <c r="I413" s="19"/>
      <c r="J413" s="19"/>
      <c r="K413" s="72"/>
      <c r="L413" s="73"/>
      <c r="M413" s="78"/>
    </row>
    <row r="414">
      <c r="A414" s="19"/>
      <c r="B414" s="19"/>
      <c r="C414" s="76"/>
      <c r="D414" s="19"/>
      <c r="E414" s="19"/>
      <c r="F414" s="19"/>
      <c r="G414" s="19"/>
      <c r="H414" s="19"/>
      <c r="I414" s="19"/>
      <c r="J414" s="19"/>
      <c r="K414" s="72"/>
      <c r="L414" s="73"/>
      <c r="M414" s="78"/>
    </row>
    <row r="415">
      <c r="A415" s="19"/>
      <c r="B415" s="19"/>
      <c r="C415" s="76"/>
      <c r="D415" s="19"/>
      <c r="E415" s="19"/>
      <c r="F415" s="19"/>
      <c r="G415" s="19"/>
      <c r="H415" s="19"/>
      <c r="I415" s="19"/>
      <c r="J415" s="19"/>
      <c r="K415" s="72"/>
      <c r="L415" s="73"/>
      <c r="M415" s="78"/>
    </row>
    <row r="416">
      <c r="A416" s="19"/>
      <c r="B416" s="19"/>
      <c r="C416" s="76"/>
      <c r="D416" s="19"/>
      <c r="E416" s="19"/>
      <c r="F416" s="19"/>
      <c r="G416" s="19"/>
      <c r="H416" s="19"/>
      <c r="I416" s="19"/>
      <c r="J416" s="19"/>
      <c r="K416" s="72"/>
      <c r="L416" s="73"/>
      <c r="M416" s="78"/>
    </row>
    <row r="417">
      <c r="A417" s="19"/>
      <c r="B417" s="19"/>
      <c r="C417" s="76"/>
      <c r="D417" s="19"/>
      <c r="E417" s="19"/>
      <c r="F417" s="19"/>
      <c r="G417" s="19"/>
      <c r="H417" s="19"/>
      <c r="I417" s="19"/>
      <c r="J417" s="19"/>
      <c r="K417" s="72"/>
      <c r="L417" s="73"/>
      <c r="M417" s="78"/>
    </row>
    <row r="418">
      <c r="A418" s="19"/>
      <c r="B418" s="19"/>
      <c r="C418" s="76"/>
      <c r="D418" s="19"/>
      <c r="E418" s="19"/>
      <c r="F418" s="19"/>
      <c r="G418" s="19"/>
      <c r="H418" s="19"/>
      <c r="I418" s="19"/>
      <c r="J418" s="19"/>
      <c r="K418" s="72"/>
      <c r="L418" s="73"/>
      <c r="M418" s="78"/>
    </row>
    <row r="419">
      <c r="A419" s="19"/>
      <c r="B419" s="19"/>
      <c r="C419" s="76"/>
      <c r="D419" s="19"/>
      <c r="E419" s="19"/>
      <c r="F419" s="19"/>
      <c r="G419" s="19"/>
      <c r="H419" s="19"/>
      <c r="I419" s="19"/>
      <c r="J419" s="19"/>
      <c r="K419" s="72"/>
      <c r="L419" s="73"/>
      <c r="M419" s="78"/>
    </row>
    <row r="420">
      <c r="A420" s="19"/>
      <c r="B420" s="19"/>
      <c r="C420" s="76"/>
      <c r="D420" s="19"/>
      <c r="E420" s="19"/>
      <c r="F420" s="19"/>
      <c r="G420" s="19"/>
      <c r="H420" s="19"/>
      <c r="I420" s="19"/>
      <c r="J420" s="19"/>
      <c r="K420" s="72"/>
      <c r="L420" s="73"/>
      <c r="M420" s="78"/>
    </row>
    <row r="421">
      <c r="A421" s="19"/>
      <c r="B421" s="19"/>
      <c r="C421" s="76"/>
      <c r="D421" s="19"/>
      <c r="E421" s="19"/>
      <c r="F421" s="19"/>
      <c r="G421" s="19"/>
      <c r="H421" s="19"/>
      <c r="I421" s="19"/>
      <c r="J421" s="19"/>
      <c r="K421" s="72"/>
      <c r="L421" s="73"/>
      <c r="M421" s="78"/>
    </row>
    <row r="422">
      <c r="A422" s="19"/>
      <c r="B422" s="19"/>
      <c r="C422" s="76"/>
      <c r="D422" s="19"/>
      <c r="E422" s="19"/>
      <c r="F422" s="19"/>
      <c r="G422" s="19"/>
      <c r="H422" s="19"/>
      <c r="I422" s="19"/>
      <c r="J422" s="19"/>
      <c r="K422" s="72"/>
      <c r="L422" s="73"/>
      <c r="M422" s="78"/>
    </row>
    <row r="423">
      <c r="A423" s="19"/>
      <c r="B423" s="19"/>
      <c r="C423" s="76"/>
      <c r="D423" s="19"/>
      <c r="E423" s="19"/>
      <c r="F423" s="19"/>
      <c r="G423" s="19"/>
      <c r="H423" s="19"/>
      <c r="I423" s="19"/>
      <c r="J423" s="19"/>
      <c r="K423" s="72"/>
      <c r="L423" s="73"/>
      <c r="M423" s="78"/>
    </row>
    <row r="424">
      <c r="A424" s="19"/>
      <c r="B424" s="19"/>
      <c r="C424" s="76"/>
      <c r="D424" s="19"/>
      <c r="E424" s="19"/>
      <c r="F424" s="19"/>
      <c r="G424" s="19"/>
      <c r="H424" s="19"/>
      <c r="I424" s="19"/>
      <c r="J424" s="19"/>
      <c r="K424" s="72"/>
      <c r="L424" s="73"/>
      <c r="M424" s="78"/>
    </row>
    <row r="425">
      <c r="A425" s="19"/>
      <c r="B425" s="19"/>
      <c r="C425" s="76"/>
      <c r="D425" s="19"/>
      <c r="E425" s="19"/>
      <c r="F425" s="19"/>
      <c r="G425" s="19"/>
      <c r="H425" s="19"/>
      <c r="I425" s="19"/>
      <c r="J425" s="19"/>
      <c r="K425" s="72"/>
      <c r="L425" s="73"/>
      <c r="M425" s="78"/>
    </row>
    <row r="426">
      <c r="A426" s="19"/>
      <c r="B426" s="19"/>
      <c r="C426" s="76"/>
      <c r="D426" s="19"/>
      <c r="E426" s="19"/>
      <c r="F426" s="19"/>
      <c r="G426" s="19"/>
      <c r="H426" s="19"/>
      <c r="I426" s="19"/>
      <c r="J426" s="19"/>
      <c r="K426" s="72"/>
      <c r="L426" s="73"/>
      <c r="M426" s="78"/>
    </row>
    <row r="427">
      <c r="A427" s="19"/>
      <c r="B427" s="19"/>
      <c r="C427" s="76"/>
      <c r="D427" s="19"/>
      <c r="E427" s="19"/>
      <c r="F427" s="19"/>
      <c r="G427" s="19"/>
      <c r="H427" s="19"/>
      <c r="I427" s="19"/>
      <c r="J427" s="19"/>
      <c r="K427" s="72"/>
      <c r="L427" s="73"/>
      <c r="M427" s="78"/>
    </row>
    <row r="428">
      <c r="A428" s="19"/>
      <c r="B428" s="19"/>
      <c r="C428" s="76"/>
      <c r="D428" s="19"/>
      <c r="E428" s="19"/>
      <c r="F428" s="19"/>
      <c r="G428" s="19"/>
      <c r="H428" s="19"/>
      <c r="I428" s="19"/>
      <c r="J428" s="19"/>
      <c r="K428" s="72"/>
      <c r="L428" s="73"/>
      <c r="M428" s="78"/>
    </row>
    <row r="429">
      <c r="A429" s="19"/>
      <c r="B429" s="19"/>
      <c r="C429" s="76"/>
      <c r="D429" s="19"/>
      <c r="E429" s="19"/>
      <c r="F429" s="19"/>
      <c r="G429" s="19"/>
      <c r="H429" s="19"/>
      <c r="I429" s="19"/>
      <c r="J429" s="19"/>
      <c r="K429" s="72"/>
      <c r="L429" s="73"/>
      <c r="M429" s="78"/>
    </row>
    <row r="430">
      <c r="A430" s="19"/>
      <c r="B430" s="19"/>
      <c r="C430" s="76"/>
      <c r="D430" s="19"/>
      <c r="E430" s="19"/>
      <c r="F430" s="19"/>
      <c r="G430" s="19"/>
      <c r="H430" s="19"/>
      <c r="I430" s="19"/>
      <c r="J430" s="19"/>
      <c r="K430" s="72"/>
      <c r="L430" s="73"/>
      <c r="M430" s="78"/>
    </row>
    <row r="431">
      <c r="A431" s="19"/>
      <c r="B431" s="19"/>
      <c r="C431" s="76"/>
      <c r="D431" s="19"/>
      <c r="E431" s="19"/>
      <c r="F431" s="19"/>
      <c r="G431" s="19"/>
      <c r="H431" s="19"/>
      <c r="I431" s="19"/>
      <c r="J431" s="19"/>
      <c r="K431" s="72"/>
      <c r="L431" s="73"/>
      <c r="M431" s="78"/>
    </row>
    <row r="432">
      <c r="A432" s="19"/>
      <c r="B432" s="19"/>
      <c r="C432" s="76"/>
      <c r="D432" s="19"/>
      <c r="E432" s="19"/>
      <c r="F432" s="19"/>
      <c r="G432" s="19"/>
      <c r="H432" s="19"/>
      <c r="I432" s="19"/>
      <c r="J432" s="19"/>
      <c r="K432" s="72"/>
      <c r="L432" s="73"/>
      <c r="M432" s="78"/>
    </row>
    <row r="433">
      <c r="A433" s="19"/>
      <c r="B433" s="19"/>
      <c r="C433" s="76"/>
      <c r="D433" s="19"/>
      <c r="E433" s="19"/>
      <c r="F433" s="19"/>
      <c r="G433" s="19"/>
      <c r="H433" s="19"/>
      <c r="I433" s="19"/>
      <c r="J433" s="19"/>
      <c r="K433" s="72"/>
      <c r="L433" s="73"/>
      <c r="M433" s="78"/>
    </row>
    <row r="434">
      <c r="A434" s="19"/>
      <c r="B434" s="19"/>
      <c r="C434" s="76"/>
      <c r="D434" s="19"/>
      <c r="E434" s="19"/>
      <c r="F434" s="19"/>
      <c r="G434" s="19"/>
      <c r="H434" s="19"/>
      <c r="I434" s="19"/>
      <c r="J434" s="19"/>
      <c r="K434" s="72"/>
      <c r="L434" s="73"/>
      <c r="M434" s="78"/>
    </row>
    <row r="435">
      <c r="A435" s="19"/>
      <c r="B435" s="19"/>
      <c r="C435" s="76"/>
      <c r="D435" s="19"/>
      <c r="E435" s="19"/>
      <c r="F435" s="19"/>
      <c r="G435" s="19"/>
      <c r="H435" s="19"/>
      <c r="I435" s="19"/>
      <c r="J435" s="19"/>
      <c r="K435" s="72"/>
      <c r="L435" s="73"/>
      <c r="M435" s="78"/>
    </row>
    <row r="436">
      <c r="A436" s="19"/>
      <c r="B436" s="19"/>
      <c r="C436" s="76"/>
      <c r="D436" s="19"/>
      <c r="E436" s="19"/>
      <c r="F436" s="19"/>
      <c r="G436" s="19"/>
      <c r="H436" s="19"/>
      <c r="I436" s="19"/>
      <c r="J436" s="19"/>
      <c r="K436" s="72"/>
      <c r="L436" s="73"/>
      <c r="M436" s="78"/>
    </row>
    <row r="437">
      <c r="A437" s="19"/>
      <c r="B437" s="19"/>
      <c r="C437" s="76"/>
      <c r="D437" s="19"/>
      <c r="E437" s="19"/>
      <c r="F437" s="19"/>
      <c r="G437" s="19"/>
      <c r="H437" s="19"/>
      <c r="I437" s="19"/>
      <c r="J437" s="19"/>
      <c r="K437" s="72"/>
      <c r="L437" s="73"/>
      <c r="M437" s="78"/>
    </row>
    <row r="438">
      <c r="A438" s="19"/>
      <c r="B438" s="19"/>
      <c r="C438" s="76"/>
      <c r="D438" s="19"/>
      <c r="E438" s="19"/>
      <c r="F438" s="19"/>
      <c r="G438" s="19"/>
      <c r="H438" s="19"/>
      <c r="I438" s="19"/>
      <c r="J438" s="19"/>
      <c r="K438" s="72"/>
      <c r="L438" s="73"/>
      <c r="M438" s="78"/>
    </row>
    <row r="439">
      <c r="A439" s="19"/>
      <c r="B439" s="19"/>
      <c r="C439" s="76"/>
      <c r="D439" s="19"/>
      <c r="E439" s="19"/>
      <c r="F439" s="19"/>
      <c r="G439" s="19"/>
      <c r="H439" s="19"/>
      <c r="I439" s="19"/>
      <c r="J439" s="19"/>
      <c r="K439" s="72"/>
      <c r="L439" s="73"/>
      <c r="M439" s="78"/>
    </row>
    <row r="440">
      <c r="A440" s="19"/>
      <c r="B440" s="19"/>
      <c r="C440" s="76"/>
      <c r="D440" s="19"/>
      <c r="E440" s="19"/>
      <c r="F440" s="19"/>
      <c r="G440" s="19"/>
      <c r="H440" s="19"/>
      <c r="I440" s="19"/>
      <c r="J440" s="19"/>
      <c r="K440" s="72"/>
      <c r="L440" s="73"/>
      <c r="M440" s="78"/>
    </row>
    <row r="441">
      <c r="A441" s="19"/>
      <c r="B441" s="19"/>
      <c r="C441" s="76"/>
      <c r="D441" s="19"/>
      <c r="E441" s="19"/>
      <c r="F441" s="19"/>
      <c r="G441" s="19"/>
      <c r="H441" s="19"/>
      <c r="I441" s="19"/>
      <c r="J441" s="19"/>
      <c r="K441" s="72"/>
      <c r="L441" s="73"/>
      <c r="M441" s="78"/>
    </row>
    <row r="442">
      <c r="A442" s="19"/>
      <c r="B442" s="19"/>
      <c r="C442" s="76"/>
      <c r="D442" s="19"/>
      <c r="E442" s="19"/>
      <c r="F442" s="19"/>
      <c r="G442" s="19"/>
      <c r="H442" s="19"/>
      <c r="I442" s="19"/>
      <c r="J442" s="19"/>
      <c r="K442" s="72"/>
      <c r="L442" s="73"/>
      <c r="M442" s="78"/>
    </row>
    <row r="443">
      <c r="A443" s="19"/>
      <c r="B443" s="19"/>
      <c r="C443" s="76"/>
      <c r="D443" s="19"/>
      <c r="E443" s="19"/>
      <c r="F443" s="19"/>
      <c r="G443" s="19"/>
      <c r="H443" s="19"/>
      <c r="I443" s="19"/>
      <c r="J443" s="19"/>
      <c r="K443" s="72"/>
      <c r="L443" s="73"/>
      <c r="M443" s="78"/>
    </row>
    <row r="444">
      <c r="A444" s="19"/>
      <c r="B444" s="19"/>
      <c r="C444" s="76"/>
      <c r="D444" s="19"/>
      <c r="E444" s="19"/>
      <c r="F444" s="19"/>
      <c r="G444" s="19"/>
      <c r="H444" s="19"/>
      <c r="I444" s="19"/>
      <c r="J444" s="19"/>
      <c r="K444" s="72"/>
      <c r="L444" s="73"/>
      <c r="M444" s="78"/>
    </row>
    <row r="445">
      <c r="A445" s="19"/>
      <c r="B445" s="19"/>
      <c r="C445" s="76"/>
      <c r="D445" s="19"/>
      <c r="E445" s="19"/>
      <c r="F445" s="19"/>
      <c r="G445" s="19"/>
      <c r="H445" s="19"/>
      <c r="I445" s="19"/>
      <c r="J445" s="19"/>
      <c r="K445" s="72"/>
      <c r="L445" s="73"/>
      <c r="M445" s="78"/>
    </row>
    <row r="446">
      <c r="A446" s="19"/>
      <c r="B446" s="19"/>
      <c r="C446" s="76"/>
      <c r="D446" s="19"/>
      <c r="E446" s="19"/>
      <c r="F446" s="19"/>
      <c r="G446" s="19"/>
      <c r="H446" s="19"/>
      <c r="I446" s="19"/>
      <c r="J446" s="19"/>
      <c r="K446" s="72"/>
      <c r="L446" s="73"/>
      <c r="M446" s="78"/>
    </row>
    <row r="447">
      <c r="A447" s="19"/>
      <c r="B447" s="19"/>
      <c r="C447" s="76"/>
      <c r="D447" s="19"/>
      <c r="E447" s="19"/>
      <c r="F447" s="19"/>
      <c r="G447" s="19"/>
      <c r="H447" s="19"/>
      <c r="I447" s="19"/>
      <c r="J447" s="19"/>
      <c r="K447" s="72"/>
      <c r="L447" s="73"/>
      <c r="M447" s="78"/>
    </row>
    <row r="448">
      <c r="A448" s="19"/>
      <c r="B448" s="19"/>
      <c r="C448" s="76"/>
      <c r="D448" s="19"/>
      <c r="E448" s="19"/>
      <c r="F448" s="19"/>
      <c r="G448" s="19"/>
      <c r="H448" s="19"/>
      <c r="I448" s="19"/>
      <c r="J448" s="19"/>
      <c r="K448" s="72"/>
      <c r="L448" s="73"/>
      <c r="M448" s="78"/>
    </row>
    <row r="449">
      <c r="A449" s="19"/>
      <c r="B449" s="19"/>
      <c r="C449" s="76"/>
      <c r="D449" s="19"/>
      <c r="E449" s="19"/>
      <c r="F449" s="19"/>
      <c r="G449" s="19"/>
      <c r="H449" s="19"/>
      <c r="I449" s="19"/>
      <c r="J449" s="19"/>
      <c r="K449" s="72"/>
      <c r="L449" s="73"/>
      <c r="M449" s="78"/>
    </row>
    <row r="450">
      <c r="A450" s="19"/>
      <c r="B450" s="19"/>
      <c r="C450" s="76"/>
      <c r="D450" s="19"/>
      <c r="E450" s="19"/>
      <c r="F450" s="19"/>
      <c r="G450" s="19"/>
      <c r="H450" s="19"/>
      <c r="I450" s="19"/>
      <c r="J450" s="19"/>
      <c r="K450" s="72"/>
      <c r="L450" s="73"/>
      <c r="M450" s="78"/>
    </row>
    <row r="451">
      <c r="A451" s="19"/>
      <c r="B451" s="19"/>
      <c r="C451" s="76"/>
      <c r="D451" s="19"/>
      <c r="E451" s="19"/>
      <c r="F451" s="19"/>
      <c r="G451" s="19"/>
      <c r="H451" s="19"/>
      <c r="I451" s="19"/>
      <c r="J451" s="19"/>
      <c r="K451" s="72"/>
      <c r="L451" s="73"/>
      <c r="M451" s="78"/>
    </row>
    <row r="452">
      <c r="A452" s="19"/>
      <c r="B452" s="19"/>
      <c r="C452" s="76"/>
      <c r="D452" s="19"/>
      <c r="E452" s="19"/>
      <c r="F452" s="19"/>
      <c r="G452" s="19"/>
      <c r="H452" s="19"/>
      <c r="I452" s="19"/>
      <c r="J452" s="19"/>
      <c r="K452" s="72"/>
      <c r="L452" s="73"/>
      <c r="M452" s="78"/>
    </row>
    <row r="453">
      <c r="A453" s="19"/>
      <c r="B453" s="19"/>
      <c r="C453" s="76"/>
      <c r="D453" s="19"/>
      <c r="E453" s="19"/>
      <c r="F453" s="19"/>
      <c r="G453" s="19"/>
      <c r="H453" s="19"/>
      <c r="I453" s="19"/>
      <c r="J453" s="19"/>
      <c r="K453" s="72"/>
      <c r="L453" s="73"/>
      <c r="M453" s="78"/>
    </row>
    <row r="454">
      <c r="A454" s="19"/>
      <c r="B454" s="19"/>
      <c r="C454" s="76"/>
      <c r="D454" s="19"/>
      <c r="E454" s="19"/>
      <c r="F454" s="19"/>
      <c r="G454" s="19"/>
      <c r="H454" s="19"/>
      <c r="I454" s="19"/>
      <c r="J454" s="19"/>
      <c r="K454" s="72"/>
      <c r="L454" s="73"/>
      <c r="M454" s="78"/>
    </row>
    <row r="455">
      <c r="A455" s="19"/>
      <c r="B455" s="19"/>
      <c r="C455" s="76"/>
      <c r="D455" s="19"/>
      <c r="E455" s="19"/>
      <c r="F455" s="19"/>
      <c r="G455" s="19"/>
      <c r="H455" s="19"/>
      <c r="I455" s="19"/>
      <c r="J455" s="19"/>
      <c r="K455" s="72"/>
      <c r="L455" s="73"/>
      <c r="M455" s="78"/>
    </row>
    <row r="456">
      <c r="A456" s="19"/>
      <c r="B456" s="19"/>
      <c r="C456" s="76"/>
      <c r="D456" s="19"/>
      <c r="E456" s="19"/>
      <c r="F456" s="19"/>
      <c r="G456" s="19"/>
      <c r="H456" s="19"/>
      <c r="I456" s="19"/>
      <c r="J456" s="19"/>
      <c r="K456" s="72"/>
      <c r="L456" s="73"/>
      <c r="M456" s="78"/>
    </row>
    <row r="457">
      <c r="A457" s="19"/>
      <c r="B457" s="19"/>
      <c r="C457" s="76"/>
      <c r="D457" s="19"/>
      <c r="E457" s="19"/>
      <c r="F457" s="19"/>
      <c r="G457" s="19"/>
      <c r="H457" s="19"/>
      <c r="I457" s="19"/>
      <c r="J457" s="19"/>
      <c r="K457" s="72"/>
      <c r="L457" s="73"/>
      <c r="M457" s="78"/>
    </row>
    <row r="458">
      <c r="A458" s="19"/>
      <c r="B458" s="19"/>
      <c r="C458" s="76"/>
      <c r="D458" s="19"/>
      <c r="E458" s="19"/>
      <c r="F458" s="19"/>
      <c r="G458" s="19"/>
      <c r="H458" s="19"/>
      <c r="I458" s="19"/>
      <c r="J458" s="19"/>
      <c r="K458" s="72"/>
      <c r="L458" s="73"/>
      <c r="M458" s="78"/>
    </row>
    <row r="459">
      <c r="A459" s="19"/>
      <c r="B459" s="19"/>
      <c r="C459" s="76"/>
      <c r="D459" s="19"/>
      <c r="E459" s="19"/>
      <c r="F459" s="19"/>
      <c r="G459" s="19"/>
      <c r="H459" s="19"/>
      <c r="I459" s="19"/>
      <c r="J459" s="19"/>
      <c r="K459" s="72"/>
      <c r="L459" s="73"/>
      <c r="M459" s="78"/>
    </row>
    <row r="460">
      <c r="A460" s="19"/>
      <c r="B460" s="19"/>
      <c r="C460" s="76"/>
      <c r="D460" s="19"/>
      <c r="E460" s="19"/>
      <c r="F460" s="19"/>
      <c r="G460" s="19"/>
      <c r="H460" s="19"/>
      <c r="I460" s="19"/>
      <c r="J460" s="19"/>
      <c r="K460" s="72"/>
      <c r="L460" s="73"/>
      <c r="M460" s="78"/>
    </row>
    <row r="461">
      <c r="A461" s="19"/>
      <c r="B461" s="19"/>
      <c r="C461" s="76"/>
      <c r="D461" s="19"/>
      <c r="E461" s="19"/>
      <c r="F461" s="19"/>
      <c r="G461" s="19"/>
      <c r="H461" s="19"/>
      <c r="I461" s="19"/>
      <c r="J461" s="19"/>
      <c r="K461" s="72"/>
      <c r="L461" s="73"/>
      <c r="M461" s="78"/>
    </row>
    <row r="462">
      <c r="A462" s="19"/>
      <c r="B462" s="19"/>
      <c r="C462" s="76"/>
      <c r="D462" s="19"/>
      <c r="E462" s="19"/>
      <c r="F462" s="19"/>
      <c r="G462" s="19"/>
      <c r="H462" s="19"/>
      <c r="I462" s="19"/>
      <c r="J462" s="19"/>
      <c r="K462" s="72"/>
      <c r="L462" s="73"/>
      <c r="M462" s="78"/>
    </row>
    <row r="463">
      <c r="A463" s="19"/>
      <c r="B463" s="19"/>
      <c r="C463" s="76"/>
      <c r="D463" s="19"/>
      <c r="E463" s="19"/>
      <c r="F463" s="19"/>
      <c r="G463" s="19"/>
      <c r="H463" s="19"/>
      <c r="I463" s="19"/>
      <c r="J463" s="19"/>
      <c r="K463" s="72"/>
      <c r="L463" s="73"/>
      <c r="M463" s="78"/>
    </row>
    <row r="464">
      <c r="A464" s="19"/>
      <c r="B464" s="19"/>
      <c r="C464" s="76"/>
      <c r="D464" s="19"/>
      <c r="E464" s="19"/>
      <c r="F464" s="19"/>
      <c r="G464" s="19"/>
      <c r="H464" s="19"/>
      <c r="I464" s="19"/>
      <c r="J464" s="19"/>
      <c r="K464" s="72"/>
      <c r="L464" s="73"/>
      <c r="M464" s="78"/>
    </row>
    <row r="465">
      <c r="A465" s="19"/>
      <c r="B465" s="19"/>
      <c r="C465" s="76"/>
      <c r="D465" s="19"/>
      <c r="E465" s="19"/>
      <c r="F465" s="19"/>
      <c r="G465" s="19"/>
      <c r="H465" s="19"/>
      <c r="I465" s="19"/>
      <c r="J465" s="19"/>
      <c r="K465" s="72"/>
      <c r="L465" s="73"/>
      <c r="M465" s="78"/>
    </row>
    <row r="466">
      <c r="A466" s="19"/>
      <c r="B466" s="19"/>
      <c r="C466" s="76"/>
      <c r="D466" s="19"/>
      <c r="E466" s="19"/>
      <c r="F466" s="19"/>
      <c r="G466" s="19"/>
      <c r="H466" s="19"/>
      <c r="I466" s="19"/>
      <c r="J466" s="19"/>
      <c r="K466" s="72"/>
      <c r="L466" s="73"/>
      <c r="M466" s="78"/>
    </row>
    <row r="467">
      <c r="A467" s="19"/>
      <c r="B467" s="19"/>
      <c r="C467" s="76"/>
      <c r="D467" s="19"/>
      <c r="E467" s="19"/>
      <c r="F467" s="19"/>
      <c r="G467" s="19"/>
      <c r="H467" s="19"/>
      <c r="I467" s="19"/>
      <c r="J467" s="19"/>
      <c r="K467" s="72"/>
      <c r="L467" s="73"/>
      <c r="M467" s="78"/>
    </row>
    <row r="468">
      <c r="A468" s="19"/>
      <c r="B468" s="19"/>
      <c r="C468" s="76"/>
      <c r="D468" s="19"/>
      <c r="E468" s="19"/>
      <c r="F468" s="19"/>
      <c r="G468" s="19"/>
      <c r="H468" s="19"/>
      <c r="I468" s="19"/>
      <c r="J468" s="19"/>
      <c r="K468" s="72"/>
      <c r="L468" s="73"/>
      <c r="M468" s="78"/>
    </row>
    <row r="469">
      <c r="A469" s="19"/>
      <c r="B469" s="19"/>
      <c r="C469" s="76"/>
      <c r="D469" s="19"/>
      <c r="E469" s="19"/>
      <c r="F469" s="19"/>
      <c r="G469" s="19"/>
      <c r="H469" s="19"/>
      <c r="I469" s="19"/>
      <c r="J469" s="19"/>
      <c r="K469" s="72"/>
      <c r="L469" s="73"/>
      <c r="M469" s="78"/>
    </row>
    <row r="470">
      <c r="A470" s="19"/>
      <c r="B470" s="19"/>
      <c r="C470" s="76"/>
      <c r="D470" s="19"/>
      <c r="E470" s="19"/>
      <c r="F470" s="19"/>
      <c r="G470" s="19"/>
      <c r="H470" s="19"/>
      <c r="I470" s="19"/>
      <c r="J470" s="19"/>
      <c r="K470" s="72"/>
      <c r="L470" s="73"/>
      <c r="M470" s="78"/>
    </row>
    <row r="471">
      <c r="A471" s="19"/>
      <c r="B471" s="19"/>
      <c r="C471" s="76"/>
      <c r="D471" s="19"/>
      <c r="E471" s="19"/>
      <c r="F471" s="19"/>
      <c r="G471" s="19"/>
      <c r="H471" s="19"/>
      <c r="I471" s="19"/>
      <c r="J471" s="19"/>
      <c r="K471" s="72"/>
      <c r="L471" s="73"/>
      <c r="M471" s="78"/>
    </row>
    <row r="472">
      <c r="A472" s="19"/>
      <c r="B472" s="19"/>
      <c r="C472" s="76"/>
      <c r="D472" s="19"/>
      <c r="E472" s="19"/>
      <c r="F472" s="19"/>
      <c r="G472" s="19"/>
      <c r="H472" s="19"/>
      <c r="I472" s="19"/>
      <c r="J472" s="19"/>
      <c r="K472" s="72"/>
      <c r="L472" s="73"/>
      <c r="M472" s="78"/>
    </row>
    <row r="473">
      <c r="A473" s="19"/>
      <c r="B473" s="19"/>
      <c r="C473" s="76"/>
      <c r="D473" s="19"/>
      <c r="E473" s="19"/>
      <c r="F473" s="19"/>
      <c r="G473" s="19"/>
      <c r="H473" s="19"/>
      <c r="I473" s="19"/>
      <c r="J473" s="19"/>
      <c r="K473" s="72"/>
      <c r="L473" s="73"/>
      <c r="M473" s="78"/>
    </row>
    <row r="474">
      <c r="A474" s="19"/>
      <c r="B474" s="19"/>
      <c r="C474" s="76"/>
      <c r="D474" s="19"/>
      <c r="E474" s="19"/>
      <c r="F474" s="19"/>
      <c r="G474" s="19"/>
      <c r="H474" s="19"/>
      <c r="I474" s="19"/>
      <c r="J474" s="19"/>
      <c r="K474" s="72"/>
      <c r="L474" s="73"/>
      <c r="M474" s="78"/>
    </row>
    <row r="475">
      <c r="A475" s="19"/>
      <c r="B475" s="19"/>
      <c r="C475" s="76"/>
      <c r="D475" s="19"/>
      <c r="E475" s="19"/>
      <c r="F475" s="19"/>
      <c r="G475" s="19"/>
      <c r="H475" s="19"/>
      <c r="I475" s="19"/>
      <c r="J475" s="19"/>
      <c r="K475" s="72"/>
      <c r="L475" s="73"/>
      <c r="M475" s="78"/>
    </row>
    <row r="476">
      <c r="A476" s="19"/>
      <c r="B476" s="19"/>
      <c r="C476" s="76"/>
      <c r="D476" s="19"/>
      <c r="E476" s="19"/>
      <c r="F476" s="19"/>
      <c r="G476" s="19"/>
      <c r="H476" s="19"/>
      <c r="I476" s="19"/>
      <c r="J476" s="19"/>
      <c r="K476" s="72"/>
      <c r="L476" s="73"/>
      <c r="M476" s="78"/>
    </row>
    <row r="477">
      <c r="A477" s="19"/>
      <c r="B477" s="19"/>
      <c r="C477" s="76"/>
      <c r="D477" s="19"/>
      <c r="E477" s="19"/>
      <c r="F477" s="19"/>
      <c r="G477" s="19"/>
      <c r="H477" s="19"/>
      <c r="I477" s="19"/>
      <c r="J477" s="19"/>
      <c r="K477" s="72"/>
      <c r="L477" s="73"/>
      <c r="M477" s="78"/>
    </row>
    <row r="478">
      <c r="A478" s="19"/>
      <c r="B478" s="19"/>
      <c r="C478" s="76"/>
      <c r="D478" s="19"/>
      <c r="E478" s="19"/>
      <c r="F478" s="19"/>
      <c r="G478" s="19"/>
      <c r="H478" s="19"/>
      <c r="I478" s="19"/>
      <c r="J478" s="19"/>
      <c r="K478" s="72"/>
      <c r="L478" s="73"/>
      <c r="M478" s="78"/>
    </row>
    <row r="479">
      <c r="A479" s="19"/>
      <c r="B479" s="19"/>
      <c r="C479" s="76"/>
      <c r="D479" s="19"/>
      <c r="E479" s="19"/>
      <c r="F479" s="19"/>
      <c r="G479" s="19"/>
      <c r="H479" s="19"/>
      <c r="I479" s="19"/>
      <c r="J479" s="19"/>
      <c r="K479" s="72"/>
      <c r="L479" s="73"/>
      <c r="M479" s="78"/>
    </row>
    <row r="480">
      <c r="A480" s="19"/>
      <c r="B480" s="19"/>
      <c r="C480" s="76"/>
      <c r="D480" s="19"/>
      <c r="E480" s="19"/>
      <c r="F480" s="19"/>
      <c r="G480" s="19"/>
      <c r="H480" s="19"/>
      <c r="I480" s="19"/>
      <c r="J480" s="19"/>
      <c r="K480" s="72"/>
      <c r="L480" s="73"/>
      <c r="M480" s="78"/>
    </row>
    <row r="481">
      <c r="A481" s="19"/>
      <c r="B481" s="19"/>
      <c r="C481" s="76"/>
      <c r="D481" s="19"/>
      <c r="E481" s="19"/>
      <c r="F481" s="19"/>
      <c r="G481" s="19"/>
      <c r="H481" s="19"/>
      <c r="I481" s="19"/>
      <c r="J481" s="19"/>
      <c r="K481" s="72"/>
      <c r="L481" s="73"/>
      <c r="M481" s="78"/>
    </row>
    <row r="482">
      <c r="A482" s="19"/>
      <c r="B482" s="19"/>
      <c r="C482" s="76"/>
      <c r="D482" s="19"/>
      <c r="E482" s="19"/>
      <c r="F482" s="19"/>
      <c r="G482" s="19"/>
      <c r="H482" s="19"/>
      <c r="I482" s="19"/>
      <c r="J482" s="19"/>
      <c r="K482" s="72"/>
      <c r="L482" s="73"/>
      <c r="M482" s="78"/>
    </row>
    <row r="483">
      <c r="A483" s="19"/>
      <c r="B483" s="19"/>
      <c r="C483" s="76"/>
      <c r="D483" s="19"/>
      <c r="E483" s="19"/>
      <c r="F483" s="19"/>
      <c r="G483" s="19"/>
      <c r="H483" s="19"/>
      <c r="I483" s="19"/>
      <c r="J483" s="19"/>
      <c r="K483" s="72"/>
      <c r="L483" s="73"/>
      <c r="M483" s="78"/>
    </row>
    <row r="484">
      <c r="A484" s="19"/>
      <c r="B484" s="19"/>
      <c r="C484" s="76"/>
      <c r="D484" s="19"/>
      <c r="E484" s="19"/>
      <c r="F484" s="19"/>
      <c r="G484" s="19"/>
      <c r="H484" s="19"/>
      <c r="I484" s="19"/>
      <c r="J484" s="19"/>
      <c r="K484" s="72"/>
      <c r="L484" s="73"/>
      <c r="M484" s="78"/>
    </row>
    <row r="485">
      <c r="A485" s="19"/>
      <c r="B485" s="19"/>
      <c r="C485" s="76"/>
      <c r="D485" s="19"/>
      <c r="E485" s="19"/>
      <c r="F485" s="19"/>
      <c r="G485" s="19"/>
      <c r="H485" s="19"/>
      <c r="I485" s="19"/>
      <c r="J485" s="19"/>
      <c r="K485" s="72"/>
      <c r="L485" s="73"/>
      <c r="M485" s="78"/>
    </row>
    <row r="486">
      <c r="A486" s="19"/>
      <c r="B486" s="19"/>
      <c r="C486" s="76"/>
      <c r="D486" s="19"/>
      <c r="E486" s="19"/>
      <c r="F486" s="19"/>
      <c r="G486" s="19"/>
      <c r="H486" s="19"/>
      <c r="I486" s="19"/>
      <c r="J486" s="19"/>
      <c r="K486" s="72"/>
      <c r="L486" s="73"/>
      <c r="M486" s="78"/>
    </row>
    <row r="487">
      <c r="A487" s="19"/>
      <c r="B487" s="19"/>
      <c r="C487" s="76"/>
      <c r="D487" s="19"/>
      <c r="E487" s="19"/>
      <c r="F487" s="19"/>
      <c r="G487" s="19"/>
      <c r="H487" s="19"/>
      <c r="I487" s="19"/>
      <c r="J487" s="19"/>
      <c r="K487" s="72"/>
      <c r="L487" s="73"/>
      <c r="M487" s="78"/>
    </row>
    <row r="488">
      <c r="A488" s="19"/>
      <c r="B488" s="19"/>
      <c r="C488" s="76"/>
      <c r="D488" s="19"/>
      <c r="E488" s="19"/>
      <c r="F488" s="19"/>
      <c r="G488" s="19"/>
      <c r="H488" s="19"/>
      <c r="I488" s="19"/>
      <c r="J488" s="19"/>
      <c r="K488" s="72"/>
      <c r="L488" s="73"/>
      <c r="M488" s="78"/>
    </row>
    <row r="489">
      <c r="A489" s="19"/>
      <c r="B489" s="19"/>
      <c r="C489" s="76"/>
      <c r="D489" s="19"/>
      <c r="E489" s="19"/>
      <c r="F489" s="19"/>
      <c r="G489" s="19"/>
      <c r="H489" s="19"/>
      <c r="I489" s="19"/>
      <c r="J489" s="19"/>
      <c r="K489" s="72"/>
      <c r="L489" s="73"/>
      <c r="M489" s="78"/>
    </row>
    <row r="490">
      <c r="A490" s="19"/>
      <c r="B490" s="19"/>
      <c r="C490" s="76"/>
      <c r="D490" s="19"/>
      <c r="E490" s="19"/>
      <c r="F490" s="19"/>
      <c r="G490" s="19"/>
      <c r="H490" s="19"/>
      <c r="I490" s="19"/>
      <c r="J490" s="19"/>
      <c r="K490" s="72"/>
      <c r="L490" s="73"/>
      <c r="M490" s="78"/>
    </row>
    <row r="491">
      <c r="A491" s="19"/>
      <c r="B491" s="19"/>
      <c r="C491" s="76"/>
      <c r="D491" s="19"/>
      <c r="E491" s="19"/>
      <c r="F491" s="19"/>
      <c r="G491" s="19"/>
      <c r="H491" s="19"/>
      <c r="I491" s="19"/>
      <c r="J491" s="19"/>
      <c r="K491" s="72"/>
      <c r="L491" s="73"/>
      <c r="M491" s="78"/>
    </row>
    <row r="492">
      <c r="A492" s="19"/>
      <c r="B492" s="19"/>
      <c r="C492" s="76"/>
      <c r="D492" s="19"/>
      <c r="E492" s="19"/>
      <c r="F492" s="19"/>
      <c r="G492" s="19"/>
      <c r="H492" s="19"/>
      <c r="I492" s="19"/>
      <c r="J492" s="19"/>
      <c r="K492" s="72"/>
      <c r="L492" s="73"/>
      <c r="M492" s="78"/>
    </row>
    <row r="493">
      <c r="A493" s="19"/>
      <c r="B493" s="19"/>
      <c r="C493" s="76"/>
      <c r="D493" s="19"/>
      <c r="E493" s="19"/>
      <c r="F493" s="19"/>
      <c r="G493" s="19"/>
      <c r="H493" s="19"/>
      <c r="I493" s="19"/>
      <c r="J493" s="19"/>
      <c r="K493" s="72"/>
      <c r="L493" s="73"/>
      <c r="M493" s="78"/>
    </row>
    <row r="494">
      <c r="A494" s="19"/>
      <c r="B494" s="19"/>
      <c r="C494" s="76"/>
      <c r="D494" s="19"/>
      <c r="E494" s="19"/>
      <c r="F494" s="19"/>
      <c r="G494" s="19"/>
      <c r="H494" s="19"/>
      <c r="I494" s="19"/>
      <c r="J494" s="19"/>
      <c r="K494" s="72"/>
      <c r="L494" s="73"/>
      <c r="M494" s="78"/>
    </row>
    <row r="495">
      <c r="A495" s="19"/>
      <c r="B495" s="19"/>
      <c r="C495" s="76"/>
      <c r="D495" s="19"/>
      <c r="E495" s="19"/>
      <c r="F495" s="19"/>
      <c r="G495" s="19"/>
      <c r="H495" s="19"/>
      <c r="I495" s="19"/>
      <c r="J495" s="19"/>
      <c r="K495" s="72"/>
      <c r="L495" s="73"/>
      <c r="M495" s="78"/>
    </row>
    <row r="496">
      <c r="A496" s="19"/>
      <c r="B496" s="19"/>
      <c r="C496" s="76"/>
      <c r="D496" s="19"/>
      <c r="E496" s="19"/>
      <c r="F496" s="19"/>
      <c r="G496" s="19"/>
      <c r="H496" s="19"/>
      <c r="I496" s="19"/>
      <c r="J496" s="19"/>
      <c r="K496" s="72"/>
      <c r="L496" s="73"/>
      <c r="M496" s="78"/>
    </row>
    <row r="497">
      <c r="A497" s="19"/>
      <c r="B497" s="19"/>
      <c r="C497" s="76"/>
      <c r="D497" s="19"/>
      <c r="E497" s="19"/>
      <c r="F497" s="19"/>
      <c r="G497" s="19"/>
      <c r="H497" s="19"/>
      <c r="I497" s="19"/>
      <c r="J497" s="19"/>
      <c r="K497" s="72"/>
      <c r="L497" s="73"/>
      <c r="M497" s="78"/>
    </row>
    <row r="498">
      <c r="A498" s="19"/>
      <c r="B498" s="19"/>
      <c r="C498" s="76"/>
      <c r="D498" s="19"/>
      <c r="E498" s="19"/>
      <c r="F498" s="19"/>
      <c r="G498" s="19"/>
      <c r="H498" s="19"/>
      <c r="I498" s="19"/>
      <c r="J498" s="19"/>
      <c r="K498" s="72"/>
      <c r="L498" s="73"/>
      <c r="M498" s="78"/>
    </row>
    <row r="499">
      <c r="A499" s="19"/>
      <c r="B499" s="19"/>
      <c r="C499" s="76"/>
      <c r="D499" s="19"/>
      <c r="E499" s="19"/>
      <c r="F499" s="19"/>
      <c r="G499" s="19"/>
      <c r="H499" s="19"/>
      <c r="I499" s="19"/>
      <c r="J499" s="19"/>
      <c r="K499" s="72"/>
      <c r="L499" s="73"/>
      <c r="M499" s="78"/>
    </row>
    <row r="500">
      <c r="A500" s="19"/>
      <c r="B500" s="19"/>
      <c r="C500" s="76"/>
      <c r="D500" s="19"/>
      <c r="E500" s="19"/>
      <c r="F500" s="19"/>
      <c r="G500" s="19"/>
      <c r="H500" s="19"/>
      <c r="I500" s="19"/>
      <c r="J500" s="19"/>
      <c r="K500" s="72"/>
      <c r="L500" s="73"/>
      <c r="M500" s="78"/>
    </row>
    <row r="501">
      <c r="A501" s="19"/>
      <c r="B501" s="19"/>
      <c r="C501" s="76"/>
      <c r="D501" s="19"/>
      <c r="E501" s="19"/>
      <c r="F501" s="19"/>
      <c r="G501" s="19"/>
      <c r="H501" s="19"/>
      <c r="I501" s="19"/>
      <c r="J501" s="19"/>
      <c r="K501" s="72"/>
      <c r="L501" s="73"/>
      <c r="M501" s="78"/>
    </row>
    <row r="502">
      <c r="A502" s="19"/>
      <c r="B502" s="19"/>
      <c r="C502" s="76"/>
      <c r="D502" s="19"/>
      <c r="E502" s="19"/>
      <c r="F502" s="19"/>
      <c r="G502" s="19"/>
      <c r="H502" s="19"/>
      <c r="I502" s="19"/>
      <c r="J502" s="19"/>
      <c r="K502" s="72"/>
      <c r="L502" s="73"/>
      <c r="M502" s="78"/>
    </row>
    <row r="503">
      <c r="A503" s="19"/>
      <c r="B503" s="19"/>
      <c r="C503" s="76"/>
      <c r="D503" s="19"/>
      <c r="E503" s="19"/>
      <c r="F503" s="19"/>
      <c r="G503" s="19"/>
      <c r="H503" s="19"/>
      <c r="I503" s="19"/>
      <c r="J503" s="19"/>
      <c r="K503" s="72"/>
      <c r="L503" s="73"/>
      <c r="M503" s="78"/>
    </row>
    <row r="504">
      <c r="A504" s="19"/>
      <c r="B504" s="19"/>
      <c r="C504" s="76"/>
      <c r="D504" s="19"/>
      <c r="E504" s="19"/>
      <c r="F504" s="19"/>
      <c r="G504" s="19"/>
      <c r="H504" s="19"/>
      <c r="I504" s="19"/>
      <c r="J504" s="19"/>
      <c r="K504" s="72"/>
      <c r="L504" s="73"/>
      <c r="M504" s="78"/>
    </row>
    <row r="505">
      <c r="A505" s="19"/>
      <c r="B505" s="19"/>
      <c r="C505" s="76"/>
      <c r="D505" s="19"/>
      <c r="E505" s="19"/>
      <c r="F505" s="19"/>
      <c r="G505" s="19"/>
      <c r="H505" s="19"/>
      <c r="I505" s="19"/>
      <c r="J505" s="19"/>
      <c r="K505" s="72"/>
      <c r="L505" s="73"/>
      <c r="M505" s="78"/>
    </row>
    <row r="506">
      <c r="A506" s="19"/>
      <c r="B506" s="19"/>
      <c r="C506" s="76"/>
      <c r="D506" s="19"/>
      <c r="E506" s="19"/>
      <c r="F506" s="19"/>
      <c r="G506" s="19"/>
      <c r="H506" s="19"/>
      <c r="I506" s="19"/>
      <c r="J506" s="19"/>
      <c r="K506" s="72"/>
      <c r="L506" s="73"/>
      <c r="M506" s="78"/>
    </row>
    <row r="507">
      <c r="A507" s="19"/>
      <c r="B507" s="19"/>
      <c r="C507" s="76"/>
      <c r="D507" s="19"/>
      <c r="E507" s="19"/>
      <c r="F507" s="19"/>
      <c r="G507" s="19"/>
      <c r="H507" s="19"/>
      <c r="I507" s="19"/>
      <c r="J507" s="19"/>
      <c r="K507" s="72"/>
      <c r="L507" s="73"/>
      <c r="M507" s="78"/>
    </row>
    <row r="508">
      <c r="A508" s="19"/>
      <c r="B508" s="19"/>
      <c r="C508" s="76"/>
      <c r="D508" s="19"/>
      <c r="E508" s="19"/>
      <c r="F508" s="19"/>
      <c r="G508" s="19"/>
      <c r="H508" s="19"/>
      <c r="I508" s="19"/>
      <c r="J508" s="19"/>
      <c r="K508" s="72"/>
      <c r="L508" s="73"/>
      <c r="M508" s="78"/>
    </row>
    <row r="509">
      <c r="A509" s="19"/>
      <c r="B509" s="19"/>
      <c r="C509" s="76"/>
      <c r="D509" s="19"/>
      <c r="E509" s="19"/>
      <c r="F509" s="19"/>
      <c r="G509" s="19"/>
      <c r="H509" s="19"/>
      <c r="I509" s="19"/>
      <c r="J509" s="19"/>
      <c r="K509" s="72"/>
      <c r="L509" s="73"/>
      <c r="M509" s="78"/>
    </row>
    <row r="510">
      <c r="A510" s="19"/>
      <c r="B510" s="19"/>
      <c r="C510" s="76"/>
      <c r="D510" s="19"/>
      <c r="E510" s="19"/>
      <c r="F510" s="19"/>
      <c r="G510" s="19"/>
      <c r="H510" s="19"/>
      <c r="I510" s="19"/>
      <c r="J510" s="19"/>
      <c r="K510" s="72"/>
      <c r="L510" s="73"/>
      <c r="M510" s="78"/>
    </row>
    <row r="511">
      <c r="A511" s="19"/>
      <c r="B511" s="19"/>
      <c r="C511" s="76"/>
      <c r="D511" s="19"/>
      <c r="E511" s="19"/>
      <c r="F511" s="19"/>
      <c r="G511" s="19"/>
      <c r="H511" s="19"/>
      <c r="I511" s="19"/>
      <c r="J511" s="19"/>
      <c r="K511" s="72"/>
      <c r="L511" s="73"/>
      <c r="M511" s="78"/>
    </row>
    <row r="512">
      <c r="A512" s="19"/>
      <c r="B512" s="19"/>
      <c r="C512" s="76"/>
      <c r="D512" s="19"/>
      <c r="E512" s="19"/>
      <c r="F512" s="19"/>
      <c r="G512" s="19"/>
      <c r="H512" s="19"/>
      <c r="I512" s="19"/>
      <c r="J512" s="19"/>
      <c r="K512" s="72"/>
      <c r="L512" s="73"/>
      <c r="M512" s="78"/>
    </row>
    <row r="513">
      <c r="A513" s="19"/>
      <c r="B513" s="19"/>
      <c r="C513" s="76"/>
      <c r="D513" s="19"/>
      <c r="E513" s="19"/>
      <c r="F513" s="19"/>
      <c r="G513" s="19"/>
      <c r="H513" s="19"/>
      <c r="I513" s="19"/>
      <c r="J513" s="19"/>
      <c r="K513" s="72"/>
      <c r="L513" s="73"/>
      <c r="M513" s="78"/>
    </row>
    <row r="514">
      <c r="A514" s="19"/>
      <c r="B514" s="19"/>
      <c r="C514" s="76"/>
      <c r="D514" s="19"/>
      <c r="E514" s="19"/>
      <c r="F514" s="19"/>
      <c r="G514" s="19"/>
      <c r="H514" s="19"/>
      <c r="I514" s="19"/>
      <c r="J514" s="19"/>
      <c r="K514" s="72"/>
      <c r="L514" s="73"/>
      <c r="M514" s="78"/>
    </row>
    <row r="515">
      <c r="A515" s="19"/>
      <c r="B515" s="19"/>
      <c r="C515" s="76"/>
      <c r="D515" s="19"/>
      <c r="E515" s="19"/>
      <c r="F515" s="19"/>
      <c r="G515" s="19"/>
      <c r="H515" s="19"/>
      <c r="I515" s="19"/>
      <c r="J515" s="19"/>
      <c r="K515" s="72"/>
      <c r="L515" s="73"/>
      <c r="M515" s="78"/>
    </row>
    <row r="516">
      <c r="A516" s="19"/>
      <c r="B516" s="19"/>
      <c r="C516" s="76"/>
      <c r="D516" s="19"/>
      <c r="E516" s="19"/>
      <c r="F516" s="19"/>
      <c r="G516" s="19"/>
      <c r="H516" s="19"/>
      <c r="I516" s="19"/>
      <c r="J516" s="19"/>
      <c r="K516" s="72"/>
      <c r="L516" s="73"/>
      <c r="M516" s="78"/>
    </row>
    <row r="517">
      <c r="A517" s="19"/>
      <c r="B517" s="19"/>
      <c r="C517" s="76"/>
      <c r="D517" s="19"/>
      <c r="E517" s="19"/>
      <c r="F517" s="19"/>
      <c r="G517" s="19"/>
      <c r="H517" s="19"/>
      <c r="I517" s="19"/>
      <c r="J517" s="19"/>
      <c r="K517" s="72"/>
      <c r="L517" s="73"/>
      <c r="M517" s="78"/>
    </row>
    <row r="518">
      <c r="A518" s="19"/>
      <c r="B518" s="19"/>
      <c r="C518" s="76"/>
      <c r="D518" s="19"/>
      <c r="E518" s="19"/>
      <c r="F518" s="19"/>
      <c r="G518" s="19"/>
      <c r="H518" s="19"/>
      <c r="I518" s="19"/>
      <c r="J518" s="19"/>
      <c r="K518" s="72"/>
      <c r="L518" s="73"/>
      <c r="M518" s="78"/>
    </row>
    <row r="519">
      <c r="A519" s="19"/>
      <c r="B519" s="19"/>
      <c r="C519" s="76"/>
      <c r="D519" s="19"/>
      <c r="E519" s="19"/>
      <c r="F519" s="19"/>
      <c r="G519" s="19"/>
      <c r="H519" s="19"/>
      <c r="I519" s="19"/>
      <c r="J519" s="19"/>
      <c r="K519" s="72"/>
      <c r="L519" s="73"/>
      <c r="M519" s="78"/>
    </row>
    <row r="520">
      <c r="A520" s="19"/>
      <c r="B520" s="19"/>
      <c r="C520" s="76"/>
      <c r="D520" s="19"/>
      <c r="E520" s="19"/>
      <c r="F520" s="19"/>
      <c r="G520" s="19"/>
      <c r="H520" s="19"/>
      <c r="I520" s="19"/>
      <c r="J520" s="19"/>
      <c r="K520" s="72"/>
      <c r="L520" s="73"/>
      <c r="M520" s="78"/>
    </row>
    <row r="521">
      <c r="A521" s="19"/>
      <c r="B521" s="19"/>
      <c r="C521" s="76"/>
      <c r="D521" s="19"/>
      <c r="E521" s="19"/>
      <c r="F521" s="19"/>
      <c r="G521" s="19"/>
      <c r="H521" s="19"/>
      <c r="I521" s="19"/>
      <c r="J521" s="19"/>
      <c r="K521" s="72"/>
      <c r="L521" s="73"/>
      <c r="M521" s="78"/>
    </row>
    <row r="522">
      <c r="A522" s="19"/>
      <c r="B522" s="19"/>
      <c r="C522" s="76"/>
      <c r="D522" s="19"/>
      <c r="E522" s="19"/>
      <c r="F522" s="19"/>
      <c r="G522" s="19"/>
      <c r="H522" s="19"/>
      <c r="I522" s="19"/>
      <c r="J522" s="19"/>
      <c r="K522" s="72"/>
      <c r="L522" s="73"/>
      <c r="M522" s="78"/>
    </row>
    <row r="523">
      <c r="A523" s="19"/>
      <c r="B523" s="19"/>
      <c r="C523" s="76"/>
      <c r="D523" s="19"/>
      <c r="E523" s="19"/>
      <c r="F523" s="19"/>
      <c r="G523" s="19"/>
      <c r="H523" s="19"/>
      <c r="I523" s="19"/>
      <c r="J523" s="19"/>
      <c r="K523" s="72"/>
      <c r="L523" s="73"/>
      <c r="M523" s="78"/>
    </row>
    <row r="524">
      <c r="A524" s="19"/>
      <c r="B524" s="19"/>
      <c r="C524" s="76"/>
      <c r="D524" s="19"/>
      <c r="E524" s="19"/>
      <c r="F524" s="19"/>
      <c r="G524" s="19"/>
      <c r="H524" s="19"/>
      <c r="I524" s="19"/>
      <c r="J524" s="19"/>
      <c r="K524" s="72"/>
      <c r="L524" s="73"/>
      <c r="M524" s="78"/>
    </row>
    <row r="525">
      <c r="A525" s="19"/>
      <c r="B525" s="19"/>
      <c r="C525" s="76"/>
      <c r="D525" s="19"/>
      <c r="E525" s="19"/>
      <c r="F525" s="19"/>
      <c r="G525" s="19"/>
      <c r="H525" s="19"/>
      <c r="I525" s="19"/>
      <c r="J525" s="19"/>
      <c r="K525" s="72"/>
      <c r="L525" s="73"/>
      <c r="M525" s="78"/>
    </row>
    <row r="526">
      <c r="A526" s="19"/>
      <c r="B526" s="19"/>
      <c r="C526" s="76"/>
      <c r="D526" s="19"/>
      <c r="E526" s="19"/>
      <c r="F526" s="19"/>
      <c r="G526" s="19"/>
      <c r="H526" s="19"/>
      <c r="I526" s="19"/>
      <c r="J526" s="19"/>
      <c r="K526" s="72"/>
      <c r="L526" s="73"/>
      <c r="M526" s="78"/>
    </row>
    <row r="527">
      <c r="A527" s="19"/>
      <c r="B527" s="19"/>
      <c r="C527" s="76"/>
      <c r="D527" s="19"/>
      <c r="E527" s="19"/>
      <c r="F527" s="19"/>
      <c r="G527" s="19"/>
      <c r="H527" s="19"/>
      <c r="I527" s="19"/>
      <c r="J527" s="19"/>
      <c r="K527" s="72"/>
      <c r="L527" s="73"/>
      <c r="M527" s="78"/>
    </row>
    <row r="528">
      <c r="A528" s="19"/>
      <c r="B528" s="19"/>
      <c r="C528" s="76"/>
      <c r="D528" s="19"/>
      <c r="E528" s="19"/>
      <c r="F528" s="19"/>
      <c r="G528" s="19"/>
      <c r="H528" s="19"/>
      <c r="I528" s="19"/>
      <c r="J528" s="19"/>
      <c r="K528" s="72"/>
      <c r="L528" s="73"/>
      <c r="M528" s="78"/>
    </row>
    <row r="529">
      <c r="A529" s="19"/>
      <c r="B529" s="19"/>
      <c r="C529" s="76"/>
      <c r="D529" s="19"/>
      <c r="E529" s="19"/>
      <c r="F529" s="19"/>
      <c r="G529" s="19"/>
      <c r="H529" s="19"/>
      <c r="I529" s="19"/>
      <c r="J529" s="19"/>
      <c r="K529" s="72"/>
      <c r="L529" s="73"/>
      <c r="M529" s="78"/>
    </row>
    <row r="530">
      <c r="A530" s="19"/>
      <c r="B530" s="19"/>
      <c r="C530" s="76"/>
      <c r="D530" s="19"/>
      <c r="E530" s="19"/>
      <c r="F530" s="19"/>
      <c r="G530" s="19"/>
      <c r="H530" s="19"/>
      <c r="I530" s="19"/>
      <c r="J530" s="19"/>
      <c r="K530" s="72"/>
      <c r="L530" s="73"/>
      <c r="M530" s="78"/>
    </row>
    <row r="531">
      <c r="A531" s="19"/>
      <c r="B531" s="19"/>
      <c r="C531" s="76"/>
      <c r="D531" s="19"/>
      <c r="E531" s="19"/>
      <c r="F531" s="19"/>
      <c r="G531" s="19"/>
      <c r="H531" s="19"/>
      <c r="I531" s="19"/>
      <c r="J531" s="19"/>
      <c r="K531" s="72"/>
      <c r="L531" s="73"/>
      <c r="M531" s="78"/>
    </row>
    <row r="532">
      <c r="A532" s="19"/>
      <c r="B532" s="19"/>
      <c r="C532" s="76"/>
      <c r="D532" s="19"/>
      <c r="E532" s="19"/>
      <c r="F532" s="19"/>
      <c r="G532" s="19"/>
      <c r="H532" s="19"/>
      <c r="I532" s="19"/>
      <c r="J532" s="19"/>
      <c r="K532" s="72"/>
      <c r="L532" s="73"/>
      <c r="M532" s="78"/>
    </row>
    <row r="533">
      <c r="A533" s="19"/>
      <c r="B533" s="19"/>
      <c r="C533" s="76"/>
      <c r="D533" s="19"/>
      <c r="E533" s="19"/>
      <c r="F533" s="19"/>
      <c r="G533" s="19"/>
      <c r="H533" s="19"/>
      <c r="I533" s="19"/>
      <c r="J533" s="19"/>
      <c r="K533" s="72"/>
      <c r="L533" s="73"/>
      <c r="M533" s="78"/>
    </row>
    <row r="534">
      <c r="A534" s="19"/>
      <c r="B534" s="19"/>
      <c r="C534" s="76"/>
      <c r="D534" s="19"/>
      <c r="E534" s="19"/>
      <c r="F534" s="19"/>
      <c r="G534" s="19"/>
      <c r="H534" s="19"/>
      <c r="I534" s="19"/>
      <c r="J534" s="19"/>
      <c r="K534" s="72"/>
      <c r="L534" s="73"/>
      <c r="M534" s="78"/>
    </row>
    <row r="535">
      <c r="A535" s="19"/>
      <c r="B535" s="19"/>
      <c r="C535" s="76"/>
      <c r="D535" s="19"/>
      <c r="E535" s="19"/>
      <c r="F535" s="19"/>
      <c r="G535" s="19"/>
      <c r="H535" s="19"/>
      <c r="I535" s="19"/>
      <c r="J535" s="19"/>
      <c r="K535" s="72"/>
      <c r="L535" s="73"/>
      <c r="M535" s="78"/>
    </row>
    <row r="536">
      <c r="A536" s="19"/>
      <c r="B536" s="19"/>
      <c r="C536" s="76"/>
      <c r="D536" s="19"/>
      <c r="E536" s="19"/>
      <c r="F536" s="19"/>
      <c r="G536" s="19"/>
      <c r="H536" s="19"/>
      <c r="I536" s="19"/>
      <c r="J536" s="19"/>
      <c r="K536" s="72"/>
      <c r="L536" s="73"/>
      <c r="M536" s="78"/>
    </row>
    <row r="537">
      <c r="A537" s="19"/>
      <c r="B537" s="19"/>
      <c r="C537" s="76"/>
      <c r="D537" s="19"/>
      <c r="E537" s="19"/>
      <c r="F537" s="19"/>
      <c r="G537" s="19"/>
      <c r="H537" s="19"/>
      <c r="I537" s="19"/>
      <c r="J537" s="19"/>
      <c r="K537" s="72"/>
      <c r="L537" s="73"/>
      <c r="M537" s="78"/>
    </row>
    <row r="538">
      <c r="A538" s="19"/>
      <c r="B538" s="19"/>
      <c r="C538" s="76"/>
      <c r="D538" s="19"/>
      <c r="E538" s="19"/>
      <c r="F538" s="19"/>
      <c r="G538" s="19"/>
      <c r="H538" s="19"/>
      <c r="I538" s="19"/>
      <c r="J538" s="19"/>
      <c r="K538" s="72"/>
      <c r="L538" s="73"/>
      <c r="M538" s="78"/>
    </row>
    <row r="539">
      <c r="A539" s="19"/>
      <c r="B539" s="19"/>
      <c r="C539" s="76"/>
      <c r="D539" s="19"/>
      <c r="E539" s="19"/>
      <c r="F539" s="19"/>
      <c r="G539" s="19"/>
      <c r="H539" s="19"/>
      <c r="I539" s="19"/>
      <c r="J539" s="19"/>
      <c r="K539" s="72"/>
      <c r="L539" s="73"/>
      <c r="M539" s="78"/>
    </row>
    <row r="540">
      <c r="A540" s="19"/>
      <c r="B540" s="19"/>
      <c r="C540" s="76"/>
      <c r="D540" s="19"/>
      <c r="E540" s="19"/>
      <c r="F540" s="19"/>
      <c r="G540" s="19"/>
      <c r="H540" s="19"/>
      <c r="I540" s="19"/>
      <c r="J540" s="19"/>
      <c r="K540" s="72"/>
      <c r="L540" s="73"/>
      <c r="M540" s="78"/>
    </row>
    <row r="541">
      <c r="A541" s="19"/>
      <c r="B541" s="19"/>
      <c r="C541" s="76"/>
      <c r="D541" s="19"/>
      <c r="E541" s="19"/>
      <c r="F541" s="19"/>
      <c r="G541" s="19"/>
      <c r="H541" s="19"/>
      <c r="I541" s="19"/>
      <c r="J541" s="19"/>
      <c r="K541" s="72"/>
      <c r="L541" s="73"/>
      <c r="M541" s="78"/>
    </row>
    <row r="542">
      <c r="A542" s="19"/>
      <c r="B542" s="19"/>
      <c r="C542" s="76"/>
      <c r="D542" s="19"/>
      <c r="E542" s="19"/>
      <c r="F542" s="19"/>
      <c r="G542" s="19"/>
      <c r="H542" s="19"/>
      <c r="I542" s="19"/>
      <c r="J542" s="19"/>
      <c r="K542" s="72"/>
      <c r="L542" s="73"/>
      <c r="M542" s="78"/>
    </row>
    <row r="543">
      <c r="A543" s="19"/>
      <c r="B543" s="19"/>
      <c r="C543" s="76"/>
      <c r="D543" s="19"/>
      <c r="E543" s="19"/>
      <c r="F543" s="19"/>
      <c r="G543" s="19"/>
      <c r="H543" s="19"/>
      <c r="I543" s="19"/>
      <c r="J543" s="19"/>
      <c r="K543" s="72"/>
      <c r="L543" s="73"/>
      <c r="M543" s="78"/>
    </row>
    <row r="544">
      <c r="A544" s="19"/>
      <c r="B544" s="19"/>
      <c r="C544" s="76"/>
      <c r="D544" s="19"/>
      <c r="E544" s="19"/>
      <c r="F544" s="19"/>
      <c r="G544" s="19"/>
      <c r="H544" s="19"/>
      <c r="I544" s="19"/>
      <c r="J544" s="19"/>
      <c r="K544" s="72"/>
      <c r="L544" s="73"/>
      <c r="M544" s="78"/>
    </row>
    <row r="545">
      <c r="A545" s="19"/>
      <c r="B545" s="19"/>
      <c r="C545" s="76"/>
      <c r="D545" s="19"/>
      <c r="E545" s="19"/>
      <c r="F545" s="19"/>
      <c r="G545" s="19"/>
      <c r="H545" s="19"/>
      <c r="I545" s="19"/>
      <c r="J545" s="19"/>
      <c r="K545" s="72"/>
      <c r="L545" s="73"/>
      <c r="M545" s="78"/>
    </row>
    <row r="546">
      <c r="A546" s="19"/>
      <c r="B546" s="19"/>
      <c r="C546" s="76"/>
      <c r="D546" s="19"/>
      <c r="E546" s="19"/>
      <c r="F546" s="19"/>
      <c r="G546" s="19"/>
      <c r="H546" s="19"/>
      <c r="I546" s="19"/>
      <c r="J546" s="19"/>
      <c r="K546" s="72"/>
      <c r="L546" s="73"/>
      <c r="M546" s="78"/>
    </row>
    <row r="547">
      <c r="A547" s="19"/>
      <c r="B547" s="19"/>
      <c r="C547" s="76"/>
      <c r="D547" s="19"/>
      <c r="E547" s="19"/>
      <c r="F547" s="19"/>
      <c r="G547" s="19"/>
      <c r="H547" s="19"/>
      <c r="I547" s="19"/>
      <c r="J547" s="19"/>
      <c r="K547" s="72"/>
      <c r="L547" s="73"/>
      <c r="M547" s="78"/>
    </row>
    <row r="548">
      <c r="A548" s="19"/>
      <c r="B548" s="19"/>
      <c r="C548" s="76"/>
      <c r="D548" s="19"/>
      <c r="E548" s="19"/>
      <c r="F548" s="19"/>
      <c r="G548" s="19"/>
      <c r="H548" s="19"/>
      <c r="I548" s="19"/>
      <c r="J548" s="19"/>
      <c r="K548" s="72"/>
      <c r="L548" s="73"/>
      <c r="M548" s="78"/>
    </row>
    <row r="549">
      <c r="A549" s="19"/>
      <c r="B549" s="19"/>
      <c r="C549" s="76"/>
      <c r="D549" s="19"/>
      <c r="E549" s="19"/>
      <c r="F549" s="19"/>
      <c r="G549" s="19"/>
      <c r="H549" s="19"/>
      <c r="I549" s="19"/>
      <c r="J549" s="19"/>
      <c r="K549" s="72"/>
      <c r="L549" s="73"/>
      <c r="M549" s="78"/>
    </row>
    <row r="550">
      <c r="A550" s="19"/>
      <c r="B550" s="19"/>
      <c r="C550" s="76"/>
      <c r="D550" s="19"/>
      <c r="E550" s="19"/>
      <c r="F550" s="19"/>
      <c r="G550" s="19"/>
      <c r="H550" s="19"/>
      <c r="I550" s="19"/>
      <c r="J550" s="19"/>
      <c r="K550" s="72"/>
      <c r="L550" s="73"/>
      <c r="M550" s="78"/>
    </row>
    <row r="551">
      <c r="A551" s="19"/>
      <c r="B551" s="19"/>
      <c r="C551" s="76"/>
      <c r="D551" s="19"/>
      <c r="E551" s="19"/>
      <c r="F551" s="19"/>
      <c r="G551" s="19"/>
      <c r="H551" s="19"/>
      <c r="I551" s="19"/>
      <c r="J551" s="19"/>
      <c r="K551" s="72"/>
      <c r="L551" s="73"/>
      <c r="M551" s="78"/>
    </row>
    <row r="552">
      <c r="A552" s="19"/>
      <c r="B552" s="19"/>
      <c r="C552" s="76"/>
      <c r="D552" s="19"/>
      <c r="E552" s="19"/>
      <c r="F552" s="19"/>
      <c r="G552" s="19"/>
      <c r="H552" s="19"/>
      <c r="I552" s="19"/>
      <c r="J552" s="19"/>
      <c r="K552" s="72"/>
      <c r="L552" s="73"/>
      <c r="M552" s="78"/>
    </row>
    <row r="553">
      <c r="A553" s="19"/>
      <c r="B553" s="19"/>
      <c r="C553" s="76"/>
      <c r="D553" s="19"/>
      <c r="E553" s="19"/>
      <c r="F553" s="19"/>
      <c r="G553" s="19"/>
      <c r="H553" s="19"/>
      <c r="I553" s="19"/>
      <c r="J553" s="19"/>
      <c r="K553" s="72"/>
      <c r="L553" s="73"/>
      <c r="M553" s="78"/>
    </row>
    <row r="554">
      <c r="A554" s="19"/>
      <c r="B554" s="19"/>
      <c r="C554" s="76"/>
      <c r="D554" s="19"/>
      <c r="E554" s="19"/>
      <c r="F554" s="19"/>
      <c r="G554" s="19"/>
      <c r="H554" s="19"/>
      <c r="I554" s="19"/>
      <c r="J554" s="19"/>
      <c r="K554" s="72"/>
      <c r="L554" s="73"/>
      <c r="M554" s="78"/>
    </row>
    <row r="555">
      <c r="A555" s="19"/>
      <c r="B555" s="19"/>
      <c r="C555" s="76"/>
      <c r="D555" s="19"/>
      <c r="E555" s="19"/>
      <c r="F555" s="19"/>
      <c r="G555" s="19"/>
      <c r="H555" s="19"/>
      <c r="I555" s="19"/>
      <c r="J555" s="19"/>
      <c r="K555" s="72"/>
      <c r="L555" s="73"/>
      <c r="M555" s="78"/>
    </row>
    <row r="556">
      <c r="A556" s="19"/>
      <c r="B556" s="19"/>
      <c r="C556" s="76"/>
      <c r="D556" s="19"/>
      <c r="E556" s="19"/>
      <c r="F556" s="19"/>
      <c r="G556" s="19"/>
      <c r="H556" s="19"/>
      <c r="I556" s="19"/>
      <c r="J556" s="19"/>
      <c r="K556" s="72"/>
      <c r="L556" s="73"/>
      <c r="M556" s="78"/>
    </row>
    <row r="557">
      <c r="A557" s="19"/>
      <c r="B557" s="19"/>
      <c r="C557" s="76"/>
      <c r="D557" s="19"/>
      <c r="E557" s="19"/>
      <c r="F557" s="19"/>
      <c r="G557" s="19"/>
      <c r="H557" s="19"/>
      <c r="I557" s="19"/>
      <c r="J557" s="19"/>
      <c r="K557" s="72"/>
      <c r="L557" s="73"/>
      <c r="M557" s="78"/>
    </row>
    <row r="558">
      <c r="A558" s="19"/>
      <c r="B558" s="19"/>
      <c r="C558" s="76"/>
      <c r="D558" s="19"/>
      <c r="E558" s="19"/>
      <c r="F558" s="19"/>
      <c r="G558" s="19"/>
      <c r="H558" s="19"/>
      <c r="I558" s="19"/>
      <c r="J558" s="19"/>
      <c r="K558" s="72"/>
      <c r="L558" s="73"/>
      <c r="M558" s="78"/>
    </row>
    <row r="559">
      <c r="A559" s="19"/>
      <c r="B559" s="19"/>
      <c r="C559" s="76"/>
      <c r="D559" s="19"/>
      <c r="E559" s="19"/>
      <c r="F559" s="19"/>
      <c r="G559" s="19"/>
      <c r="H559" s="19"/>
      <c r="I559" s="19"/>
      <c r="J559" s="19"/>
      <c r="K559" s="72"/>
      <c r="L559" s="73"/>
      <c r="M559" s="78"/>
    </row>
    <row r="560">
      <c r="A560" s="19"/>
      <c r="B560" s="19"/>
      <c r="C560" s="76"/>
      <c r="D560" s="19"/>
      <c r="E560" s="19"/>
      <c r="F560" s="19"/>
      <c r="G560" s="19"/>
      <c r="H560" s="19"/>
      <c r="I560" s="19"/>
      <c r="J560" s="19"/>
      <c r="K560" s="72"/>
      <c r="L560" s="73"/>
      <c r="M560" s="78"/>
    </row>
    <row r="561">
      <c r="A561" s="19"/>
      <c r="B561" s="19"/>
      <c r="C561" s="76"/>
      <c r="D561" s="19"/>
      <c r="E561" s="19"/>
      <c r="F561" s="19"/>
      <c r="G561" s="19"/>
      <c r="H561" s="19"/>
      <c r="I561" s="19"/>
      <c r="J561" s="19"/>
      <c r="K561" s="72"/>
      <c r="L561" s="73"/>
      <c r="M561" s="78"/>
    </row>
    <row r="562">
      <c r="A562" s="19"/>
      <c r="B562" s="19"/>
      <c r="C562" s="76"/>
      <c r="D562" s="19"/>
      <c r="E562" s="19"/>
      <c r="F562" s="19"/>
      <c r="G562" s="19"/>
      <c r="H562" s="19"/>
      <c r="I562" s="19"/>
      <c r="J562" s="19"/>
      <c r="K562" s="72"/>
      <c r="L562" s="73"/>
      <c r="M562" s="78"/>
    </row>
    <row r="563">
      <c r="A563" s="19"/>
      <c r="B563" s="19"/>
      <c r="C563" s="76"/>
      <c r="D563" s="19"/>
      <c r="E563" s="19"/>
      <c r="F563" s="19"/>
      <c r="G563" s="19"/>
      <c r="H563" s="19"/>
      <c r="I563" s="19"/>
      <c r="J563" s="19"/>
      <c r="K563" s="72"/>
      <c r="L563" s="73"/>
      <c r="M563" s="78"/>
    </row>
    <row r="564">
      <c r="A564" s="19"/>
      <c r="B564" s="19"/>
      <c r="C564" s="76"/>
      <c r="D564" s="19"/>
      <c r="E564" s="19"/>
      <c r="F564" s="19"/>
      <c r="G564" s="19"/>
      <c r="H564" s="19"/>
      <c r="I564" s="19"/>
      <c r="J564" s="19"/>
      <c r="K564" s="72"/>
      <c r="L564" s="73"/>
      <c r="M564" s="78"/>
    </row>
    <row r="565">
      <c r="A565" s="19"/>
      <c r="B565" s="19"/>
      <c r="C565" s="76"/>
      <c r="D565" s="19"/>
      <c r="E565" s="19"/>
      <c r="F565" s="19"/>
      <c r="G565" s="19"/>
      <c r="H565" s="19"/>
      <c r="I565" s="19"/>
      <c r="J565" s="19"/>
      <c r="K565" s="72"/>
      <c r="L565" s="73"/>
      <c r="M565" s="78"/>
    </row>
    <row r="566">
      <c r="A566" s="19"/>
      <c r="B566" s="19"/>
      <c r="C566" s="76"/>
      <c r="D566" s="19"/>
      <c r="E566" s="19"/>
      <c r="F566" s="19"/>
      <c r="G566" s="19"/>
      <c r="H566" s="19"/>
      <c r="I566" s="19"/>
      <c r="J566" s="19"/>
      <c r="K566" s="72"/>
      <c r="L566" s="73"/>
      <c r="M566" s="78"/>
    </row>
    <row r="567">
      <c r="A567" s="19"/>
      <c r="B567" s="19"/>
      <c r="C567" s="76"/>
      <c r="D567" s="19"/>
      <c r="E567" s="19"/>
      <c r="F567" s="19"/>
      <c r="G567" s="19"/>
      <c r="H567" s="19"/>
      <c r="I567" s="19"/>
      <c r="J567" s="19"/>
      <c r="K567" s="72"/>
      <c r="L567" s="73"/>
      <c r="M567" s="78"/>
    </row>
    <row r="568">
      <c r="A568" s="19"/>
      <c r="B568" s="19"/>
      <c r="C568" s="76"/>
      <c r="D568" s="19"/>
      <c r="E568" s="19"/>
      <c r="F568" s="19"/>
      <c r="G568" s="19"/>
      <c r="H568" s="19"/>
      <c r="I568" s="19"/>
      <c r="J568" s="19"/>
      <c r="K568" s="72"/>
      <c r="L568" s="73"/>
      <c r="M568" s="78"/>
    </row>
    <row r="569">
      <c r="A569" s="19"/>
      <c r="B569" s="19"/>
      <c r="C569" s="76"/>
      <c r="D569" s="19"/>
      <c r="E569" s="19"/>
      <c r="F569" s="19"/>
      <c r="G569" s="19"/>
      <c r="H569" s="19"/>
      <c r="I569" s="19"/>
      <c r="J569" s="19"/>
      <c r="K569" s="72"/>
      <c r="L569" s="73"/>
      <c r="M569" s="78"/>
    </row>
    <row r="570">
      <c r="A570" s="19"/>
      <c r="B570" s="19"/>
      <c r="C570" s="76"/>
      <c r="D570" s="19"/>
      <c r="E570" s="19"/>
      <c r="F570" s="19"/>
      <c r="G570" s="19"/>
      <c r="H570" s="19"/>
      <c r="I570" s="19"/>
      <c r="J570" s="19"/>
      <c r="K570" s="72"/>
      <c r="L570" s="73"/>
      <c r="M570" s="78"/>
    </row>
    <row r="571">
      <c r="A571" s="19"/>
      <c r="B571" s="19"/>
      <c r="C571" s="76"/>
      <c r="D571" s="19"/>
      <c r="E571" s="19"/>
      <c r="F571" s="19"/>
      <c r="G571" s="19"/>
      <c r="H571" s="19"/>
      <c r="I571" s="19"/>
      <c r="J571" s="19"/>
      <c r="K571" s="72"/>
      <c r="L571" s="73"/>
      <c r="M571" s="78"/>
    </row>
    <row r="572">
      <c r="A572" s="19"/>
      <c r="B572" s="19"/>
      <c r="C572" s="76"/>
      <c r="D572" s="19"/>
      <c r="E572" s="19"/>
      <c r="F572" s="19"/>
      <c r="G572" s="19"/>
      <c r="H572" s="19"/>
      <c r="I572" s="19"/>
      <c r="J572" s="19"/>
      <c r="K572" s="72"/>
      <c r="L572" s="73"/>
      <c r="M572" s="78"/>
    </row>
    <row r="573">
      <c r="A573" s="19"/>
      <c r="B573" s="19"/>
      <c r="C573" s="76"/>
      <c r="D573" s="19"/>
      <c r="E573" s="19"/>
      <c r="F573" s="19"/>
      <c r="G573" s="19"/>
      <c r="H573" s="19"/>
      <c r="I573" s="19"/>
      <c r="J573" s="19"/>
      <c r="K573" s="72"/>
      <c r="L573" s="73"/>
      <c r="M573" s="78"/>
    </row>
    <row r="574">
      <c r="A574" s="19"/>
      <c r="B574" s="19"/>
      <c r="C574" s="76"/>
      <c r="D574" s="19"/>
      <c r="E574" s="19"/>
      <c r="F574" s="19"/>
      <c r="G574" s="19"/>
      <c r="H574" s="19"/>
      <c r="I574" s="19"/>
      <c r="J574" s="19"/>
      <c r="K574" s="72"/>
      <c r="L574" s="73"/>
      <c r="M574" s="78"/>
    </row>
    <row r="575">
      <c r="A575" s="19"/>
      <c r="B575" s="19"/>
      <c r="C575" s="76"/>
      <c r="D575" s="19"/>
      <c r="E575" s="19"/>
      <c r="F575" s="19"/>
      <c r="G575" s="19"/>
      <c r="H575" s="19"/>
      <c r="I575" s="19"/>
      <c r="J575" s="19"/>
      <c r="K575" s="72"/>
      <c r="L575" s="73"/>
      <c r="M575" s="78"/>
    </row>
    <row r="576">
      <c r="A576" s="19"/>
      <c r="B576" s="19"/>
      <c r="C576" s="76"/>
      <c r="D576" s="19"/>
      <c r="E576" s="19"/>
      <c r="F576" s="19"/>
      <c r="G576" s="19"/>
      <c r="H576" s="19"/>
      <c r="I576" s="19"/>
      <c r="J576" s="19"/>
      <c r="K576" s="72"/>
      <c r="L576" s="73"/>
      <c r="M576" s="78"/>
    </row>
    <row r="577">
      <c r="A577" s="19"/>
      <c r="B577" s="19"/>
      <c r="C577" s="76"/>
      <c r="D577" s="19"/>
      <c r="E577" s="19"/>
      <c r="F577" s="19"/>
      <c r="G577" s="19"/>
      <c r="H577" s="19"/>
      <c r="I577" s="19"/>
      <c r="J577" s="19"/>
      <c r="K577" s="72"/>
      <c r="L577" s="73"/>
      <c r="M577" s="78"/>
    </row>
    <row r="578">
      <c r="A578" s="19"/>
      <c r="B578" s="19"/>
      <c r="C578" s="76"/>
      <c r="D578" s="19"/>
      <c r="E578" s="19"/>
      <c r="F578" s="19"/>
      <c r="G578" s="19"/>
      <c r="H578" s="19"/>
      <c r="I578" s="19"/>
      <c r="J578" s="19"/>
      <c r="K578" s="72"/>
      <c r="L578" s="73"/>
      <c r="M578" s="78"/>
    </row>
    <row r="579">
      <c r="A579" s="19"/>
      <c r="B579" s="19"/>
      <c r="C579" s="76"/>
      <c r="D579" s="19"/>
      <c r="E579" s="19"/>
      <c r="F579" s="19"/>
      <c r="G579" s="19"/>
      <c r="H579" s="19"/>
      <c r="I579" s="19"/>
      <c r="J579" s="19"/>
      <c r="K579" s="72"/>
      <c r="L579" s="73"/>
      <c r="M579" s="78"/>
    </row>
    <row r="580">
      <c r="A580" s="19"/>
      <c r="B580" s="19"/>
      <c r="C580" s="76"/>
      <c r="D580" s="19"/>
      <c r="E580" s="19"/>
      <c r="F580" s="19"/>
      <c r="G580" s="19"/>
      <c r="H580" s="19"/>
      <c r="I580" s="19"/>
      <c r="J580" s="19"/>
      <c r="K580" s="72"/>
      <c r="L580" s="73"/>
      <c r="M580" s="78"/>
    </row>
    <row r="581">
      <c r="A581" s="19"/>
      <c r="B581" s="19"/>
      <c r="C581" s="76"/>
      <c r="D581" s="19"/>
      <c r="E581" s="19"/>
      <c r="F581" s="19"/>
      <c r="G581" s="19"/>
      <c r="H581" s="19"/>
      <c r="I581" s="19"/>
      <c r="J581" s="19"/>
      <c r="K581" s="72"/>
      <c r="L581" s="73"/>
      <c r="M581" s="78"/>
    </row>
    <row r="582">
      <c r="A582" s="19"/>
      <c r="B582" s="19"/>
      <c r="C582" s="76"/>
      <c r="D582" s="19"/>
      <c r="E582" s="19"/>
      <c r="F582" s="19"/>
      <c r="G582" s="19"/>
      <c r="H582" s="19"/>
      <c r="I582" s="19"/>
      <c r="J582" s="19"/>
      <c r="K582" s="72"/>
      <c r="L582" s="73"/>
      <c r="M582" s="78"/>
    </row>
    <row r="583">
      <c r="A583" s="19"/>
      <c r="B583" s="19"/>
      <c r="C583" s="76"/>
      <c r="D583" s="19"/>
      <c r="E583" s="19"/>
      <c r="F583" s="19"/>
      <c r="G583" s="19"/>
      <c r="H583" s="19"/>
      <c r="I583" s="19"/>
      <c r="J583" s="19"/>
      <c r="K583" s="72"/>
      <c r="L583" s="73"/>
      <c r="M583" s="78"/>
    </row>
    <row r="584">
      <c r="A584" s="19"/>
      <c r="B584" s="19"/>
      <c r="C584" s="76"/>
      <c r="D584" s="19"/>
      <c r="E584" s="19"/>
      <c r="F584" s="19"/>
      <c r="G584" s="19"/>
      <c r="H584" s="19"/>
      <c r="I584" s="19"/>
      <c r="J584" s="19"/>
      <c r="K584" s="72"/>
      <c r="L584" s="73"/>
      <c r="M584" s="78"/>
    </row>
    <row r="585">
      <c r="A585" s="19"/>
      <c r="B585" s="19"/>
      <c r="C585" s="76"/>
      <c r="D585" s="19"/>
      <c r="E585" s="19"/>
      <c r="F585" s="19"/>
      <c r="G585" s="19"/>
      <c r="H585" s="19"/>
      <c r="I585" s="19"/>
      <c r="J585" s="19"/>
      <c r="K585" s="72"/>
      <c r="L585" s="73"/>
      <c r="M585" s="78"/>
    </row>
    <row r="586">
      <c r="A586" s="19"/>
      <c r="B586" s="19"/>
      <c r="C586" s="76"/>
      <c r="D586" s="19"/>
      <c r="E586" s="19"/>
      <c r="F586" s="19"/>
      <c r="G586" s="19"/>
      <c r="H586" s="19"/>
      <c r="I586" s="19"/>
      <c r="J586" s="19"/>
      <c r="K586" s="72"/>
      <c r="L586" s="73"/>
      <c r="M586" s="78"/>
    </row>
    <row r="587">
      <c r="A587" s="19"/>
      <c r="B587" s="19"/>
      <c r="C587" s="76"/>
      <c r="D587" s="19"/>
      <c r="E587" s="19"/>
      <c r="F587" s="19"/>
      <c r="G587" s="19"/>
      <c r="H587" s="19"/>
      <c r="I587" s="19"/>
      <c r="J587" s="19"/>
      <c r="K587" s="72"/>
      <c r="L587" s="73"/>
      <c r="M587" s="78"/>
    </row>
    <row r="588">
      <c r="A588" s="19"/>
      <c r="B588" s="19"/>
      <c r="C588" s="76"/>
      <c r="D588" s="19"/>
      <c r="E588" s="19"/>
      <c r="F588" s="19"/>
      <c r="G588" s="19"/>
      <c r="H588" s="19"/>
      <c r="I588" s="19"/>
      <c r="J588" s="19"/>
      <c r="K588" s="72"/>
      <c r="L588" s="73"/>
      <c r="M588" s="78"/>
    </row>
    <row r="589">
      <c r="A589" s="19"/>
      <c r="B589" s="19"/>
      <c r="C589" s="76"/>
      <c r="D589" s="19"/>
      <c r="E589" s="19"/>
      <c r="F589" s="19"/>
      <c r="G589" s="19"/>
      <c r="H589" s="19"/>
      <c r="I589" s="19"/>
      <c r="J589" s="19"/>
      <c r="K589" s="72"/>
      <c r="L589" s="73"/>
      <c r="M589" s="78"/>
    </row>
    <row r="590">
      <c r="A590" s="19"/>
      <c r="B590" s="19"/>
      <c r="C590" s="76"/>
      <c r="D590" s="19"/>
      <c r="E590" s="19"/>
      <c r="F590" s="19"/>
      <c r="G590" s="19"/>
      <c r="H590" s="19"/>
      <c r="I590" s="19"/>
      <c r="J590" s="19"/>
      <c r="K590" s="72"/>
      <c r="L590" s="73"/>
      <c r="M590" s="78"/>
    </row>
    <row r="591">
      <c r="A591" s="19"/>
      <c r="B591" s="19"/>
      <c r="C591" s="76"/>
      <c r="D591" s="19"/>
      <c r="E591" s="19"/>
      <c r="F591" s="19"/>
      <c r="G591" s="19"/>
      <c r="H591" s="19"/>
      <c r="I591" s="19"/>
      <c r="J591" s="19"/>
      <c r="K591" s="72"/>
      <c r="L591" s="73"/>
      <c r="M591" s="78"/>
    </row>
    <row r="592">
      <c r="A592" s="19"/>
      <c r="B592" s="19"/>
      <c r="C592" s="76"/>
      <c r="D592" s="19"/>
      <c r="E592" s="19"/>
      <c r="F592" s="19"/>
      <c r="G592" s="19"/>
      <c r="H592" s="19"/>
      <c r="I592" s="19"/>
      <c r="J592" s="19"/>
      <c r="K592" s="72"/>
      <c r="L592" s="73"/>
      <c r="M592" s="78"/>
    </row>
    <row r="593">
      <c r="A593" s="19"/>
      <c r="B593" s="19"/>
      <c r="C593" s="76"/>
      <c r="D593" s="19"/>
      <c r="E593" s="19"/>
      <c r="F593" s="19"/>
      <c r="G593" s="19"/>
      <c r="H593" s="19"/>
      <c r="I593" s="19"/>
      <c r="J593" s="19"/>
      <c r="K593" s="72"/>
      <c r="L593" s="73"/>
      <c r="M593" s="78"/>
    </row>
    <row r="594">
      <c r="A594" s="19"/>
      <c r="B594" s="19"/>
      <c r="C594" s="76"/>
      <c r="D594" s="19"/>
      <c r="E594" s="19"/>
      <c r="F594" s="19"/>
      <c r="G594" s="19"/>
      <c r="H594" s="19"/>
      <c r="I594" s="19"/>
      <c r="J594" s="19"/>
      <c r="K594" s="72"/>
      <c r="L594" s="73"/>
      <c r="M594" s="78"/>
    </row>
    <row r="595">
      <c r="A595" s="19"/>
      <c r="B595" s="19"/>
      <c r="C595" s="76"/>
      <c r="D595" s="19"/>
      <c r="E595" s="19"/>
      <c r="F595" s="19"/>
      <c r="G595" s="19"/>
      <c r="H595" s="19"/>
      <c r="I595" s="19"/>
      <c r="J595" s="19"/>
      <c r="K595" s="72"/>
      <c r="L595" s="73"/>
      <c r="M595" s="78"/>
    </row>
    <row r="596">
      <c r="A596" s="19"/>
      <c r="B596" s="19"/>
      <c r="C596" s="76"/>
      <c r="D596" s="19"/>
      <c r="E596" s="19"/>
      <c r="F596" s="19"/>
      <c r="G596" s="19"/>
      <c r="H596" s="19"/>
      <c r="I596" s="19"/>
      <c r="J596" s="19"/>
      <c r="K596" s="72"/>
      <c r="L596" s="73"/>
      <c r="M596" s="78"/>
    </row>
    <row r="597">
      <c r="A597" s="19"/>
      <c r="B597" s="19"/>
      <c r="C597" s="76"/>
      <c r="D597" s="19"/>
      <c r="E597" s="19"/>
      <c r="F597" s="19"/>
      <c r="G597" s="19"/>
      <c r="H597" s="19"/>
      <c r="I597" s="19"/>
      <c r="J597" s="19"/>
      <c r="K597" s="72"/>
      <c r="L597" s="73"/>
      <c r="M597" s="78"/>
    </row>
    <row r="598">
      <c r="A598" s="19"/>
      <c r="B598" s="19"/>
      <c r="C598" s="76"/>
      <c r="D598" s="19"/>
      <c r="E598" s="19"/>
      <c r="F598" s="19"/>
      <c r="G598" s="19"/>
      <c r="H598" s="19"/>
      <c r="I598" s="19"/>
      <c r="J598" s="19"/>
      <c r="K598" s="72"/>
      <c r="L598" s="73"/>
      <c r="M598" s="78"/>
    </row>
    <row r="599">
      <c r="A599" s="19"/>
      <c r="B599" s="19"/>
      <c r="C599" s="76"/>
      <c r="D599" s="19"/>
      <c r="E599" s="19"/>
      <c r="F599" s="19"/>
      <c r="G599" s="19"/>
      <c r="H599" s="19"/>
      <c r="I599" s="19"/>
      <c r="J599" s="19"/>
      <c r="K599" s="72"/>
      <c r="L599" s="73"/>
      <c r="M599" s="78"/>
    </row>
    <row r="600">
      <c r="A600" s="19"/>
      <c r="B600" s="19"/>
      <c r="C600" s="76"/>
      <c r="D600" s="19"/>
      <c r="E600" s="19"/>
      <c r="F600" s="19"/>
      <c r="G600" s="19"/>
      <c r="H600" s="19"/>
      <c r="I600" s="19"/>
      <c r="J600" s="19"/>
      <c r="K600" s="72"/>
      <c r="L600" s="73"/>
      <c r="M600" s="78"/>
    </row>
    <row r="601">
      <c r="A601" s="19"/>
      <c r="B601" s="19"/>
      <c r="C601" s="76"/>
      <c r="D601" s="19"/>
      <c r="E601" s="19"/>
      <c r="F601" s="19"/>
      <c r="G601" s="19"/>
      <c r="H601" s="19"/>
      <c r="I601" s="19"/>
      <c r="J601" s="19"/>
      <c r="K601" s="72"/>
      <c r="L601" s="73"/>
      <c r="M601" s="78"/>
    </row>
    <row r="602">
      <c r="A602" s="19"/>
      <c r="B602" s="19"/>
      <c r="C602" s="76"/>
      <c r="D602" s="19"/>
      <c r="E602" s="19"/>
      <c r="F602" s="19"/>
      <c r="G602" s="19"/>
      <c r="H602" s="19"/>
      <c r="I602" s="19"/>
      <c r="J602" s="19"/>
      <c r="K602" s="72"/>
      <c r="L602" s="73"/>
      <c r="M602" s="78"/>
    </row>
    <row r="603">
      <c r="A603" s="19"/>
      <c r="B603" s="19"/>
      <c r="C603" s="76"/>
      <c r="D603" s="19"/>
      <c r="E603" s="19"/>
      <c r="F603" s="19"/>
      <c r="G603" s="19"/>
      <c r="H603" s="19"/>
      <c r="I603" s="19"/>
      <c r="J603" s="19"/>
      <c r="K603" s="72"/>
      <c r="L603" s="73"/>
      <c r="M603" s="78"/>
    </row>
    <row r="604">
      <c r="A604" s="19"/>
      <c r="B604" s="19"/>
      <c r="C604" s="76"/>
      <c r="D604" s="19"/>
      <c r="E604" s="19"/>
      <c r="F604" s="19"/>
      <c r="G604" s="19"/>
      <c r="H604" s="19"/>
      <c r="I604" s="19"/>
      <c r="J604" s="19"/>
      <c r="K604" s="72"/>
      <c r="L604" s="73"/>
      <c r="M604" s="78"/>
    </row>
    <row r="605">
      <c r="A605" s="19"/>
      <c r="B605" s="19"/>
      <c r="C605" s="76"/>
      <c r="D605" s="19"/>
      <c r="E605" s="19"/>
      <c r="F605" s="19"/>
      <c r="G605" s="19"/>
      <c r="H605" s="19"/>
      <c r="I605" s="19"/>
      <c r="J605" s="19"/>
      <c r="K605" s="72"/>
      <c r="L605" s="73"/>
      <c r="M605" s="78"/>
    </row>
    <row r="606">
      <c r="A606" s="19"/>
      <c r="B606" s="19"/>
      <c r="C606" s="76"/>
      <c r="D606" s="19"/>
      <c r="E606" s="19"/>
      <c r="F606" s="19"/>
      <c r="G606" s="19"/>
      <c r="H606" s="19"/>
      <c r="I606" s="19"/>
      <c r="J606" s="19"/>
      <c r="K606" s="72"/>
      <c r="L606" s="73"/>
      <c r="M606" s="78"/>
    </row>
    <row r="607">
      <c r="A607" s="19"/>
      <c r="B607" s="19"/>
      <c r="C607" s="76"/>
      <c r="D607" s="19"/>
      <c r="E607" s="19"/>
      <c r="F607" s="19"/>
      <c r="G607" s="19"/>
      <c r="H607" s="19"/>
      <c r="I607" s="19"/>
      <c r="J607" s="19"/>
      <c r="K607" s="72"/>
      <c r="L607" s="73"/>
      <c r="M607" s="78"/>
    </row>
    <row r="608">
      <c r="A608" s="19"/>
      <c r="B608" s="19"/>
      <c r="C608" s="76"/>
      <c r="D608" s="19"/>
      <c r="E608" s="19"/>
      <c r="F608" s="19"/>
      <c r="G608" s="19"/>
      <c r="H608" s="19"/>
      <c r="I608" s="19"/>
      <c r="J608" s="19"/>
      <c r="K608" s="72"/>
      <c r="L608" s="73"/>
      <c r="M608" s="78"/>
    </row>
    <row r="609">
      <c r="A609" s="19"/>
      <c r="B609" s="19"/>
      <c r="C609" s="76"/>
      <c r="D609" s="19"/>
      <c r="E609" s="19"/>
      <c r="F609" s="19"/>
      <c r="G609" s="19"/>
      <c r="H609" s="19"/>
      <c r="I609" s="19"/>
      <c r="J609" s="19"/>
      <c r="K609" s="72"/>
      <c r="L609" s="73"/>
      <c r="M609" s="78"/>
    </row>
    <row r="610">
      <c r="A610" s="19"/>
      <c r="B610" s="19"/>
      <c r="C610" s="76"/>
      <c r="D610" s="19"/>
      <c r="E610" s="19"/>
      <c r="F610" s="19"/>
      <c r="G610" s="19"/>
      <c r="H610" s="19"/>
      <c r="I610" s="19"/>
      <c r="J610" s="19"/>
      <c r="K610" s="72"/>
      <c r="L610" s="73"/>
      <c r="M610" s="78"/>
    </row>
    <row r="611">
      <c r="A611" s="19"/>
      <c r="B611" s="19"/>
      <c r="C611" s="76"/>
      <c r="D611" s="19"/>
      <c r="E611" s="19"/>
      <c r="F611" s="19"/>
      <c r="G611" s="19"/>
      <c r="H611" s="19"/>
      <c r="I611" s="19"/>
      <c r="J611" s="19"/>
      <c r="K611" s="72"/>
      <c r="L611" s="73"/>
      <c r="M611" s="78"/>
    </row>
    <row r="612">
      <c r="A612" s="19"/>
      <c r="B612" s="19"/>
      <c r="C612" s="76"/>
      <c r="D612" s="19"/>
      <c r="E612" s="19"/>
      <c r="F612" s="19"/>
      <c r="G612" s="19"/>
      <c r="H612" s="19"/>
      <c r="I612" s="19"/>
      <c r="J612" s="19"/>
      <c r="K612" s="72"/>
      <c r="L612" s="73"/>
      <c r="M612" s="78"/>
    </row>
    <row r="613">
      <c r="A613" s="19"/>
      <c r="B613" s="19"/>
      <c r="C613" s="76"/>
      <c r="D613" s="19"/>
      <c r="E613" s="19"/>
      <c r="F613" s="19"/>
      <c r="G613" s="19"/>
      <c r="H613" s="19"/>
      <c r="I613" s="19"/>
      <c r="J613" s="19"/>
      <c r="K613" s="72"/>
      <c r="L613" s="73"/>
      <c r="M613" s="78"/>
    </row>
    <row r="614">
      <c r="A614" s="19"/>
      <c r="B614" s="19"/>
      <c r="C614" s="76"/>
      <c r="D614" s="19"/>
      <c r="E614" s="19"/>
      <c r="F614" s="19"/>
      <c r="G614" s="19"/>
      <c r="H614" s="19"/>
      <c r="I614" s="19"/>
      <c r="J614" s="19"/>
      <c r="K614" s="72"/>
      <c r="L614" s="73"/>
      <c r="M614" s="78"/>
    </row>
    <row r="615">
      <c r="A615" s="19"/>
      <c r="B615" s="19"/>
      <c r="C615" s="76"/>
      <c r="D615" s="19"/>
      <c r="E615" s="19"/>
      <c r="F615" s="19"/>
      <c r="G615" s="19"/>
      <c r="H615" s="19"/>
      <c r="I615" s="19"/>
      <c r="J615" s="19"/>
      <c r="K615" s="72"/>
      <c r="L615" s="73"/>
      <c r="M615" s="78"/>
    </row>
    <row r="616">
      <c r="A616" s="19"/>
      <c r="B616" s="19"/>
      <c r="C616" s="76"/>
      <c r="D616" s="19"/>
      <c r="E616" s="19"/>
      <c r="F616" s="19"/>
      <c r="G616" s="19"/>
      <c r="H616" s="19"/>
      <c r="I616" s="19"/>
      <c r="J616" s="19"/>
      <c r="K616" s="72"/>
      <c r="L616" s="73"/>
      <c r="M616" s="78"/>
    </row>
    <row r="617">
      <c r="A617" s="19"/>
      <c r="B617" s="19"/>
      <c r="C617" s="76"/>
      <c r="D617" s="19"/>
      <c r="E617" s="19"/>
      <c r="F617" s="19"/>
      <c r="G617" s="19"/>
      <c r="H617" s="19"/>
      <c r="I617" s="19"/>
      <c r="J617" s="19"/>
      <c r="K617" s="72"/>
      <c r="L617" s="73"/>
      <c r="M617" s="78"/>
    </row>
    <row r="618">
      <c r="A618" s="19"/>
      <c r="B618" s="19"/>
      <c r="C618" s="76"/>
      <c r="D618" s="19"/>
      <c r="E618" s="19"/>
      <c r="F618" s="19"/>
      <c r="G618" s="19"/>
      <c r="H618" s="19"/>
      <c r="I618" s="19"/>
      <c r="J618" s="19"/>
      <c r="K618" s="72"/>
      <c r="L618" s="73"/>
      <c r="M618" s="78"/>
    </row>
    <row r="619">
      <c r="A619" s="19"/>
      <c r="B619" s="19"/>
      <c r="C619" s="76"/>
      <c r="D619" s="19"/>
      <c r="E619" s="19"/>
      <c r="F619" s="19"/>
      <c r="G619" s="19"/>
      <c r="H619" s="19"/>
      <c r="I619" s="19"/>
      <c r="J619" s="19"/>
      <c r="K619" s="72"/>
      <c r="L619" s="73"/>
      <c r="M619" s="78"/>
    </row>
    <row r="620">
      <c r="A620" s="19"/>
      <c r="B620" s="19"/>
      <c r="C620" s="76"/>
      <c r="D620" s="19"/>
      <c r="E620" s="19"/>
      <c r="F620" s="19"/>
      <c r="G620" s="19"/>
      <c r="H620" s="19"/>
      <c r="I620" s="19"/>
      <c r="J620" s="19"/>
      <c r="K620" s="72"/>
      <c r="L620" s="73"/>
      <c r="M620" s="78"/>
    </row>
    <row r="621">
      <c r="A621" s="19"/>
      <c r="B621" s="19"/>
      <c r="C621" s="76"/>
      <c r="D621" s="19"/>
      <c r="E621" s="19"/>
      <c r="F621" s="19"/>
      <c r="G621" s="19"/>
      <c r="H621" s="19"/>
      <c r="I621" s="19"/>
      <c r="J621" s="19"/>
      <c r="K621" s="72"/>
      <c r="L621" s="73"/>
      <c r="M621" s="78"/>
    </row>
    <row r="622">
      <c r="A622" s="19"/>
      <c r="B622" s="19"/>
      <c r="C622" s="76"/>
      <c r="D622" s="19"/>
      <c r="E622" s="19"/>
      <c r="F622" s="19"/>
      <c r="G622" s="19"/>
      <c r="H622" s="19"/>
      <c r="I622" s="19"/>
      <c r="J622" s="19"/>
      <c r="K622" s="72"/>
      <c r="L622" s="73"/>
      <c r="M622" s="78"/>
    </row>
    <row r="623">
      <c r="A623" s="19"/>
      <c r="B623" s="19"/>
      <c r="C623" s="76"/>
      <c r="D623" s="19"/>
      <c r="E623" s="19"/>
      <c r="F623" s="19"/>
      <c r="G623" s="19"/>
      <c r="H623" s="19"/>
      <c r="I623" s="19"/>
      <c r="J623" s="19"/>
      <c r="K623" s="72"/>
      <c r="L623" s="73"/>
      <c r="M623" s="78"/>
    </row>
    <row r="624">
      <c r="A624" s="19"/>
      <c r="B624" s="19"/>
      <c r="C624" s="76"/>
      <c r="D624" s="19"/>
      <c r="E624" s="19"/>
      <c r="F624" s="19"/>
      <c r="G624" s="19"/>
      <c r="H624" s="19"/>
      <c r="I624" s="19"/>
      <c r="J624" s="19"/>
      <c r="K624" s="72"/>
      <c r="L624" s="73"/>
      <c r="M624" s="78"/>
    </row>
    <row r="625">
      <c r="A625" s="19"/>
      <c r="B625" s="19"/>
      <c r="C625" s="76"/>
      <c r="D625" s="19"/>
      <c r="E625" s="19"/>
      <c r="F625" s="19"/>
      <c r="G625" s="19"/>
      <c r="H625" s="19"/>
      <c r="I625" s="19"/>
      <c r="J625" s="19"/>
      <c r="K625" s="72"/>
      <c r="L625" s="73"/>
      <c r="M625" s="78"/>
    </row>
    <row r="626">
      <c r="A626" s="19"/>
      <c r="B626" s="19"/>
      <c r="C626" s="76"/>
      <c r="D626" s="19"/>
      <c r="E626" s="19"/>
      <c r="F626" s="19"/>
      <c r="G626" s="19"/>
      <c r="H626" s="19"/>
      <c r="I626" s="19"/>
      <c r="J626" s="19"/>
      <c r="K626" s="72"/>
      <c r="L626" s="73"/>
      <c r="M626" s="78"/>
    </row>
    <row r="627">
      <c r="A627" s="19"/>
      <c r="B627" s="19"/>
      <c r="C627" s="76"/>
      <c r="D627" s="19"/>
      <c r="E627" s="19"/>
      <c r="F627" s="19"/>
      <c r="G627" s="19"/>
      <c r="H627" s="19"/>
      <c r="I627" s="19"/>
      <c r="J627" s="19"/>
      <c r="K627" s="72"/>
      <c r="L627" s="73"/>
      <c r="M627" s="78"/>
    </row>
    <row r="628">
      <c r="A628" s="19"/>
      <c r="B628" s="19"/>
      <c r="C628" s="76"/>
      <c r="D628" s="19"/>
      <c r="E628" s="19"/>
      <c r="F628" s="19"/>
      <c r="G628" s="19"/>
      <c r="H628" s="19"/>
      <c r="I628" s="19"/>
      <c r="J628" s="19"/>
      <c r="K628" s="72"/>
      <c r="L628" s="73"/>
      <c r="M628" s="78"/>
    </row>
    <row r="629">
      <c r="A629" s="19"/>
      <c r="B629" s="19"/>
      <c r="C629" s="76"/>
      <c r="D629" s="19"/>
      <c r="E629" s="19"/>
      <c r="F629" s="19"/>
      <c r="G629" s="19"/>
      <c r="H629" s="19"/>
      <c r="I629" s="19"/>
      <c r="J629" s="19"/>
      <c r="K629" s="72"/>
      <c r="L629" s="73"/>
      <c r="M629" s="78"/>
    </row>
    <row r="630">
      <c r="A630" s="19"/>
      <c r="B630" s="19"/>
      <c r="C630" s="76"/>
      <c r="D630" s="19"/>
      <c r="E630" s="19"/>
      <c r="F630" s="19"/>
      <c r="G630" s="19"/>
      <c r="H630" s="19"/>
      <c r="I630" s="19"/>
      <c r="J630" s="19"/>
      <c r="K630" s="72"/>
      <c r="L630" s="73"/>
      <c r="M630" s="78"/>
    </row>
    <row r="631">
      <c r="A631" s="19"/>
      <c r="B631" s="19"/>
      <c r="C631" s="76"/>
      <c r="D631" s="19"/>
      <c r="E631" s="19"/>
      <c r="F631" s="19"/>
      <c r="G631" s="19"/>
      <c r="H631" s="19"/>
      <c r="I631" s="19"/>
      <c r="J631" s="19"/>
      <c r="K631" s="72"/>
      <c r="L631" s="73"/>
      <c r="M631" s="78"/>
    </row>
    <row r="632">
      <c r="A632" s="19"/>
      <c r="B632" s="19"/>
      <c r="C632" s="76"/>
      <c r="D632" s="19"/>
      <c r="E632" s="19"/>
      <c r="F632" s="19"/>
      <c r="G632" s="19"/>
      <c r="H632" s="19"/>
      <c r="I632" s="19"/>
      <c r="J632" s="19"/>
      <c r="K632" s="72"/>
      <c r="L632" s="73"/>
      <c r="M632" s="78"/>
    </row>
    <row r="633">
      <c r="A633" s="19"/>
      <c r="B633" s="19"/>
      <c r="C633" s="76"/>
      <c r="D633" s="19"/>
      <c r="E633" s="19"/>
      <c r="F633" s="19"/>
      <c r="G633" s="19"/>
      <c r="H633" s="19"/>
      <c r="I633" s="19"/>
      <c r="J633" s="19"/>
      <c r="K633" s="72"/>
      <c r="L633" s="73"/>
      <c r="M633" s="78"/>
    </row>
    <row r="634">
      <c r="A634" s="19"/>
      <c r="B634" s="19"/>
      <c r="C634" s="76"/>
      <c r="D634" s="19"/>
      <c r="E634" s="19"/>
      <c r="F634" s="19"/>
      <c r="G634" s="19"/>
      <c r="H634" s="19"/>
      <c r="I634" s="19"/>
      <c r="J634" s="19"/>
      <c r="K634" s="72"/>
      <c r="L634" s="73"/>
      <c r="M634" s="78"/>
    </row>
    <row r="635">
      <c r="A635" s="19"/>
      <c r="B635" s="19"/>
      <c r="C635" s="76"/>
      <c r="D635" s="19"/>
      <c r="E635" s="19"/>
      <c r="F635" s="19"/>
      <c r="G635" s="19"/>
      <c r="H635" s="19"/>
      <c r="I635" s="19"/>
      <c r="J635" s="19"/>
      <c r="K635" s="72"/>
      <c r="L635" s="73"/>
      <c r="M635" s="78"/>
    </row>
    <row r="636">
      <c r="A636" s="19"/>
      <c r="B636" s="19"/>
      <c r="C636" s="76"/>
      <c r="D636" s="19"/>
      <c r="E636" s="19"/>
      <c r="F636" s="19"/>
      <c r="G636" s="19"/>
      <c r="H636" s="19"/>
      <c r="I636" s="19"/>
      <c r="J636" s="19"/>
      <c r="K636" s="72"/>
      <c r="L636" s="73"/>
      <c r="M636" s="78"/>
    </row>
    <row r="637">
      <c r="A637" s="19"/>
      <c r="B637" s="19"/>
      <c r="C637" s="76"/>
      <c r="D637" s="19"/>
      <c r="E637" s="19"/>
      <c r="F637" s="19"/>
      <c r="G637" s="19"/>
      <c r="H637" s="19"/>
      <c r="I637" s="19"/>
      <c r="J637" s="19"/>
      <c r="K637" s="72"/>
      <c r="L637" s="73"/>
      <c r="M637" s="78"/>
    </row>
    <row r="638">
      <c r="A638" s="19"/>
      <c r="B638" s="19"/>
      <c r="C638" s="76"/>
      <c r="D638" s="19"/>
      <c r="E638" s="19"/>
      <c r="F638" s="19"/>
      <c r="G638" s="19"/>
      <c r="H638" s="19"/>
      <c r="I638" s="19"/>
      <c r="J638" s="19"/>
      <c r="K638" s="72"/>
      <c r="L638" s="73"/>
      <c r="M638" s="78"/>
    </row>
    <row r="639">
      <c r="A639" s="19"/>
      <c r="B639" s="19"/>
      <c r="C639" s="76"/>
      <c r="D639" s="19"/>
      <c r="E639" s="19"/>
      <c r="F639" s="19"/>
      <c r="G639" s="19"/>
      <c r="H639" s="19"/>
      <c r="I639" s="19"/>
      <c r="J639" s="19"/>
      <c r="K639" s="72"/>
      <c r="L639" s="73"/>
      <c r="M639" s="78"/>
    </row>
    <row r="640">
      <c r="A640" s="19"/>
      <c r="B640" s="19"/>
      <c r="C640" s="76"/>
      <c r="D640" s="19"/>
      <c r="E640" s="19"/>
      <c r="F640" s="19"/>
      <c r="G640" s="19"/>
      <c r="H640" s="19"/>
      <c r="I640" s="19"/>
      <c r="J640" s="19"/>
      <c r="K640" s="72"/>
      <c r="L640" s="73"/>
      <c r="M640" s="78"/>
    </row>
    <row r="641">
      <c r="A641" s="19"/>
      <c r="B641" s="19"/>
      <c r="C641" s="76"/>
      <c r="D641" s="19"/>
      <c r="E641" s="19"/>
      <c r="F641" s="19"/>
      <c r="G641" s="19"/>
      <c r="H641" s="19"/>
      <c r="I641" s="19"/>
      <c r="J641" s="19"/>
      <c r="K641" s="72"/>
      <c r="L641" s="73"/>
      <c r="M641" s="78"/>
    </row>
    <row r="642">
      <c r="A642" s="19"/>
      <c r="B642" s="19"/>
      <c r="C642" s="76"/>
      <c r="D642" s="19"/>
      <c r="E642" s="19"/>
      <c r="F642" s="19"/>
      <c r="G642" s="19"/>
      <c r="H642" s="19"/>
      <c r="I642" s="19"/>
      <c r="J642" s="19"/>
      <c r="K642" s="72"/>
      <c r="L642" s="73"/>
      <c r="M642" s="78"/>
    </row>
    <row r="643">
      <c r="A643" s="19"/>
      <c r="B643" s="19"/>
      <c r="C643" s="76"/>
      <c r="D643" s="19"/>
      <c r="E643" s="19"/>
      <c r="F643" s="19"/>
      <c r="G643" s="19"/>
      <c r="H643" s="19"/>
      <c r="I643" s="19"/>
      <c r="J643" s="19"/>
      <c r="K643" s="72"/>
      <c r="L643" s="73"/>
      <c r="M643" s="78"/>
    </row>
    <row r="644">
      <c r="A644" s="19"/>
      <c r="B644" s="19"/>
      <c r="C644" s="76"/>
      <c r="D644" s="19"/>
      <c r="E644" s="19"/>
      <c r="F644" s="19"/>
      <c r="G644" s="19"/>
      <c r="H644" s="19"/>
      <c r="I644" s="19"/>
      <c r="J644" s="19"/>
      <c r="K644" s="72"/>
      <c r="L644" s="73"/>
      <c r="M644" s="78"/>
    </row>
    <row r="645">
      <c r="A645" s="19"/>
      <c r="B645" s="19"/>
      <c r="C645" s="76"/>
      <c r="D645" s="19"/>
      <c r="E645" s="19"/>
      <c r="F645" s="19"/>
      <c r="G645" s="19"/>
      <c r="H645" s="19"/>
      <c r="I645" s="19"/>
      <c r="J645" s="19"/>
      <c r="K645" s="72"/>
      <c r="L645" s="73"/>
      <c r="M645" s="78"/>
    </row>
    <row r="646">
      <c r="A646" s="19"/>
      <c r="B646" s="19"/>
      <c r="C646" s="76"/>
      <c r="D646" s="19"/>
      <c r="E646" s="19"/>
      <c r="F646" s="19"/>
      <c r="G646" s="19"/>
      <c r="H646" s="19"/>
      <c r="I646" s="19"/>
      <c r="J646" s="19"/>
      <c r="K646" s="72"/>
      <c r="L646" s="73"/>
      <c r="M646" s="78"/>
    </row>
    <row r="647">
      <c r="A647" s="19"/>
      <c r="B647" s="19"/>
      <c r="C647" s="76"/>
      <c r="D647" s="19"/>
      <c r="E647" s="19"/>
      <c r="F647" s="19"/>
      <c r="G647" s="19"/>
      <c r="H647" s="19"/>
      <c r="I647" s="19"/>
      <c r="J647" s="19"/>
      <c r="K647" s="72"/>
      <c r="L647" s="73"/>
      <c r="M647" s="78"/>
    </row>
    <row r="648">
      <c r="A648" s="19"/>
      <c r="B648" s="19"/>
      <c r="C648" s="76"/>
      <c r="D648" s="19"/>
      <c r="E648" s="19"/>
      <c r="F648" s="19"/>
      <c r="G648" s="19"/>
      <c r="H648" s="19"/>
      <c r="I648" s="19"/>
      <c r="J648" s="19"/>
      <c r="K648" s="72"/>
      <c r="L648" s="73"/>
      <c r="M648" s="78"/>
    </row>
    <row r="649">
      <c r="A649" s="19"/>
      <c r="B649" s="19"/>
      <c r="C649" s="76"/>
      <c r="D649" s="19"/>
      <c r="E649" s="19"/>
      <c r="F649" s="19"/>
      <c r="G649" s="19"/>
      <c r="H649" s="19"/>
      <c r="I649" s="19"/>
      <c r="J649" s="19"/>
      <c r="K649" s="72"/>
      <c r="L649" s="73"/>
      <c r="M649" s="78"/>
    </row>
    <row r="650">
      <c r="A650" s="19"/>
      <c r="B650" s="19"/>
      <c r="C650" s="76"/>
      <c r="D650" s="19"/>
      <c r="E650" s="19"/>
      <c r="F650" s="19"/>
      <c r="G650" s="19"/>
      <c r="H650" s="19"/>
      <c r="I650" s="19"/>
      <c r="J650" s="19"/>
      <c r="K650" s="72"/>
      <c r="L650" s="73"/>
      <c r="M650" s="78"/>
    </row>
    <row r="651">
      <c r="A651" s="19"/>
      <c r="B651" s="19"/>
      <c r="C651" s="76"/>
      <c r="D651" s="19"/>
      <c r="E651" s="19"/>
      <c r="F651" s="19"/>
      <c r="G651" s="19"/>
      <c r="H651" s="19"/>
      <c r="I651" s="19"/>
      <c r="J651" s="19"/>
      <c r="K651" s="72"/>
      <c r="L651" s="73"/>
      <c r="M651" s="78"/>
    </row>
    <row r="652">
      <c r="A652" s="19"/>
      <c r="B652" s="19"/>
      <c r="C652" s="76"/>
      <c r="D652" s="19"/>
      <c r="E652" s="19"/>
      <c r="F652" s="19"/>
      <c r="G652" s="19"/>
      <c r="H652" s="19"/>
      <c r="I652" s="19"/>
      <c r="J652" s="19"/>
      <c r="K652" s="72"/>
      <c r="L652" s="73"/>
      <c r="M652" s="78"/>
    </row>
    <row r="653">
      <c r="A653" s="19"/>
      <c r="B653" s="19"/>
      <c r="C653" s="76"/>
      <c r="D653" s="19"/>
      <c r="E653" s="19"/>
      <c r="F653" s="19"/>
      <c r="G653" s="19"/>
      <c r="H653" s="19"/>
      <c r="I653" s="19"/>
      <c r="J653" s="19"/>
      <c r="K653" s="72"/>
      <c r="L653" s="73"/>
      <c r="M653" s="78"/>
    </row>
    <row r="654">
      <c r="A654" s="19"/>
      <c r="B654" s="19"/>
      <c r="C654" s="76"/>
      <c r="D654" s="19"/>
      <c r="E654" s="19"/>
      <c r="F654" s="19"/>
      <c r="G654" s="19"/>
      <c r="H654" s="19"/>
      <c r="I654" s="19"/>
      <c r="J654" s="19"/>
      <c r="K654" s="72"/>
      <c r="L654" s="73"/>
      <c r="M654" s="78"/>
    </row>
    <row r="655">
      <c r="A655" s="19"/>
      <c r="B655" s="19"/>
      <c r="C655" s="76"/>
      <c r="D655" s="19"/>
      <c r="E655" s="19"/>
      <c r="F655" s="19"/>
      <c r="G655" s="19"/>
      <c r="H655" s="19"/>
      <c r="I655" s="19"/>
      <c r="J655" s="19"/>
      <c r="K655" s="72"/>
      <c r="L655" s="73"/>
      <c r="M655" s="78"/>
    </row>
    <row r="656">
      <c r="A656" s="19"/>
      <c r="B656" s="19"/>
      <c r="C656" s="76"/>
      <c r="D656" s="19"/>
      <c r="E656" s="19"/>
      <c r="F656" s="19"/>
      <c r="G656" s="19"/>
      <c r="H656" s="19"/>
      <c r="I656" s="19"/>
      <c r="J656" s="19"/>
      <c r="K656" s="72"/>
      <c r="L656" s="73"/>
      <c r="M656" s="78"/>
    </row>
    <row r="657">
      <c r="A657" s="19"/>
      <c r="B657" s="19"/>
      <c r="C657" s="76"/>
      <c r="D657" s="19"/>
      <c r="E657" s="19"/>
      <c r="F657" s="19"/>
      <c r="G657" s="19"/>
      <c r="H657" s="19"/>
      <c r="I657" s="19"/>
      <c r="J657" s="19"/>
      <c r="K657" s="72"/>
      <c r="L657" s="73"/>
      <c r="M657" s="78"/>
    </row>
    <row r="658">
      <c r="A658" s="19"/>
      <c r="B658" s="19"/>
      <c r="C658" s="76"/>
      <c r="D658" s="19"/>
      <c r="E658" s="19"/>
      <c r="F658" s="19"/>
      <c r="G658" s="19"/>
      <c r="H658" s="19"/>
      <c r="I658" s="19"/>
      <c r="J658" s="19"/>
      <c r="K658" s="72"/>
      <c r="L658" s="73"/>
      <c r="M658" s="78"/>
    </row>
    <row r="659">
      <c r="A659" s="19"/>
      <c r="B659" s="19"/>
      <c r="C659" s="76"/>
      <c r="D659" s="19"/>
      <c r="E659" s="19"/>
      <c r="F659" s="19"/>
      <c r="G659" s="19"/>
      <c r="H659" s="19"/>
      <c r="I659" s="19"/>
      <c r="J659" s="19"/>
      <c r="K659" s="72"/>
      <c r="L659" s="73"/>
      <c r="M659" s="78"/>
    </row>
    <row r="660">
      <c r="A660" s="19"/>
      <c r="B660" s="19"/>
      <c r="C660" s="76"/>
      <c r="D660" s="19"/>
      <c r="E660" s="19"/>
      <c r="F660" s="19"/>
      <c r="G660" s="19"/>
      <c r="H660" s="19"/>
      <c r="I660" s="19"/>
      <c r="J660" s="19"/>
      <c r="K660" s="72"/>
      <c r="L660" s="73"/>
      <c r="M660" s="78"/>
    </row>
    <row r="661">
      <c r="A661" s="19"/>
      <c r="B661" s="19"/>
      <c r="C661" s="76"/>
      <c r="D661" s="19"/>
      <c r="E661" s="19"/>
      <c r="F661" s="19"/>
      <c r="G661" s="19"/>
      <c r="H661" s="19"/>
      <c r="I661" s="19"/>
      <c r="J661" s="19"/>
      <c r="K661" s="72"/>
      <c r="L661" s="73"/>
      <c r="M661" s="78"/>
    </row>
    <row r="662">
      <c r="A662" s="19"/>
      <c r="B662" s="19"/>
      <c r="C662" s="76"/>
      <c r="D662" s="19"/>
      <c r="E662" s="19"/>
      <c r="F662" s="19"/>
      <c r="G662" s="19"/>
      <c r="H662" s="19"/>
      <c r="I662" s="19"/>
      <c r="J662" s="19"/>
      <c r="K662" s="72"/>
      <c r="L662" s="73"/>
      <c r="M662" s="78"/>
    </row>
    <row r="663">
      <c r="A663" s="19"/>
      <c r="B663" s="19"/>
      <c r="C663" s="76"/>
      <c r="D663" s="19"/>
      <c r="E663" s="19"/>
      <c r="F663" s="19"/>
      <c r="G663" s="19"/>
      <c r="H663" s="19"/>
      <c r="I663" s="19"/>
      <c r="J663" s="19"/>
      <c r="K663" s="72"/>
      <c r="L663" s="73"/>
      <c r="M663" s="78"/>
    </row>
    <row r="664">
      <c r="A664" s="19"/>
      <c r="B664" s="19"/>
      <c r="C664" s="76"/>
      <c r="D664" s="19"/>
      <c r="E664" s="19"/>
      <c r="F664" s="19"/>
      <c r="G664" s="19"/>
      <c r="H664" s="19"/>
      <c r="I664" s="19"/>
      <c r="J664" s="19"/>
      <c r="K664" s="72"/>
      <c r="L664" s="73"/>
      <c r="M664" s="78"/>
    </row>
    <row r="665">
      <c r="A665" s="19"/>
      <c r="B665" s="19"/>
      <c r="C665" s="76"/>
      <c r="D665" s="19"/>
      <c r="E665" s="19"/>
      <c r="F665" s="19"/>
      <c r="G665" s="19"/>
      <c r="H665" s="19"/>
      <c r="I665" s="19"/>
      <c r="J665" s="19"/>
      <c r="K665" s="72"/>
      <c r="L665" s="73"/>
      <c r="M665" s="78"/>
    </row>
    <row r="666">
      <c r="A666" s="19"/>
      <c r="B666" s="19"/>
      <c r="C666" s="76"/>
      <c r="D666" s="19"/>
      <c r="E666" s="19"/>
      <c r="F666" s="19"/>
      <c r="G666" s="19"/>
      <c r="H666" s="19"/>
      <c r="I666" s="19"/>
      <c r="J666" s="19"/>
      <c r="K666" s="72"/>
      <c r="L666" s="73"/>
      <c r="M666" s="78"/>
    </row>
    <row r="667">
      <c r="A667" s="19"/>
      <c r="B667" s="19"/>
      <c r="C667" s="76"/>
      <c r="D667" s="19"/>
      <c r="E667" s="19"/>
      <c r="F667" s="19"/>
      <c r="G667" s="19"/>
      <c r="H667" s="19"/>
      <c r="I667" s="19"/>
      <c r="J667" s="19"/>
      <c r="K667" s="72"/>
      <c r="L667" s="73"/>
      <c r="M667" s="78"/>
    </row>
    <row r="668">
      <c r="A668" s="19"/>
      <c r="B668" s="19"/>
      <c r="C668" s="76"/>
      <c r="D668" s="19"/>
      <c r="E668" s="19"/>
      <c r="F668" s="19"/>
      <c r="G668" s="19"/>
      <c r="H668" s="19"/>
      <c r="I668" s="19"/>
      <c r="J668" s="19"/>
      <c r="K668" s="72"/>
      <c r="L668" s="73"/>
      <c r="M668" s="78"/>
    </row>
    <row r="669">
      <c r="A669" s="19"/>
      <c r="B669" s="19"/>
      <c r="C669" s="76"/>
      <c r="D669" s="19"/>
      <c r="E669" s="19"/>
      <c r="F669" s="19"/>
      <c r="G669" s="19"/>
      <c r="H669" s="19"/>
      <c r="I669" s="19"/>
      <c r="J669" s="19"/>
      <c r="K669" s="72"/>
      <c r="L669" s="73"/>
      <c r="M669" s="78"/>
    </row>
    <row r="670">
      <c r="A670" s="19"/>
      <c r="B670" s="19"/>
      <c r="C670" s="76"/>
      <c r="D670" s="19"/>
      <c r="E670" s="19"/>
      <c r="F670" s="19"/>
      <c r="G670" s="19"/>
      <c r="H670" s="19"/>
      <c r="I670" s="19"/>
      <c r="J670" s="19"/>
      <c r="K670" s="72"/>
      <c r="L670" s="73"/>
      <c r="M670" s="78"/>
    </row>
    <row r="671">
      <c r="A671" s="19"/>
      <c r="B671" s="19"/>
      <c r="C671" s="76"/>
      <c r="D671" s="19"/>
      <c r="E671" s="19"/>
      <c r="F671" s="19"/>
      <c r="G671" s="19"/>
      <c r="H671" s="19"/>
      <c r="I671" s="19"/>
      <c r="J671" s="19"/>
      <c r="K671" s="72"/>
      <c r="L671" s="73"/>
      <c r="M671" s="78"/>
    </row>
    <row r="672">
      <c r="A672" s="19"/>
      <c r="B672" s="19"/>
      <c r="C672" s="76"/>
      <c r="D672" s="19"/>
      <c r="E672" s="19"/>
      <c r="F672" s="19"/>
      <c r="G672" s="19"/>
      <c r="H672" s="19"/>
      <c r="I672" s="19"/>
      <c r="J672" s="19"/>
      <c r="K672" s="72"/>
      <c r="L672" s="73"/>
      <c r="M672" s="78"/>
    </row>
    <row r="673">
      <c r="A673" s="19"/>
      <c r="B673" s="19"/>
      <c r="C673" s="76"/>
      <c r="D673" s="19"/>
      <c r="E673" s="19"/>
      <c r="F673" s="19"/>
      <c r="G673" s="19"/>
      <c r="H673" s="19"/>
      <c r="I673" s="19"/>
      <c r="J673" s="19"/>
      <c r="K673" s="72"/>
      <c r="L673" s="73"/>
      <c r="M673" s="78"/>
    </row>
    <row r="674">
      <c r="A674" s="19"/>
      <c r="B674" s="19"/>
      <c r="C674" s="76"/>
      <c r="D674" s="19"/>
      <c r="E674" s="19"/>
      <c r="F674" s="19"/>
      <c r="G674" s="19"/>
      <c r="H674" s="19"/>
      <c r="I674" s="19"/>
      <c r="J674" s="19"/>
      <c r="K674" s="72"/>
      <c r="L674" s="73"/>
      <c r="M674" s="78"/>
    </row>
    <row r="675">
      <c r="A675" s="19"/>
      <c r="B675" s="19"/>
      <c r="C675" s="76"/>
      <c r="D675" s="19"/>
      <c r="E675" s="19"/>
      <c r="F675" s="19"/>
      <c r="G675" s="19"/>
      <c r="H675" s="19"/>
      <c r="I675" s="19"/>
      <c r="J675" s="19"/>
      <c r="K675" s="72"/>
      <c r="L675" s="73"/>
      <c r="M675" s="78"/>
    </row>
    <row r="676">
      <c r="A676" s="19"/>
      <c r="B676" s="19"/>
      <c r="C676" s="76"/>
      <c r="D676" s="19"/>
      <c r="E676" s="19"/>
      <c r="F676" s="19"/>
      <c r="G676" s="19"/>
      <c r="H676" s="19"/>
      <c r="I676" s="19"/>
      <c r="J676" s="19"/>
      <c r="K676" s="72"/>
      <c r="L676" s="73"/>
      <c r="M676" s="78"/>
    </row>
    <row r="677">
      <c r="A677" s="19"/>
      <c r="B677" s="19"/>
      <c r="C677" s="76"/>
      <c r="D677" s="19"/>
      <c r="E677" s="19"/>
      <c r="F677" s="19"/>
      <c r="G677" s="19"/>
      <c r="H677" s="19"/>
      <c r="I677" s="19"/>
      <c r="J677" s="19"/>
      <c r="K677" s="72"/>
      <c r="L677" s="73"/>
      <c r="M677" s="78"/>
    </row>
    <row r="678">
      <c r="A678" s="19"/>
      <c r="B678" s="19"/>
      <c r="C678" s="76"/>
      <c r="D678" s="19"/>
      <c r="E678" s="19"/>
      <c r="F678" s="19"/>
      <c r="G678" s="19"/>
      <c r="H678" s="19"/>
      <c r="I678" s="19"/>
      <c r="J678" s="19"/>
      <c r="K678" s="72"/>
      <c r="L678" s="73"/>
      <c r="M678" s="78"/>
    </row>
    <row r="679">
      <c r="A679" s="19"/>
      <c r="B679" s="19"/>
      <c r="C679" s="76"/>
      <c r="D679" s="19"/>
      <c r="E679" s="19"/>
      <c r="F679" s="19"/>
      <c r="G679" s="19"/>
      <c r="H679" s="19"/>
      <c r="I679" s="19"/>
      <c r="J679" s="19"/>
      <c r="K679" s="72"/>
      <c r="L679" s="73"/>
      <c r="M679" s="78"/>
    </row>
    <row r="680">
      <c r="A680" s="19"/>
      <c r="B680" s="19"/>
      <c r="C680" s="76"/>
      <c r="D680" s="19"/>
      <c r="E680" s="19"/>
      <c r="F680" s="19"/>
      <c r="G680" s="19"/>
      <c r="H680" s="19"/>
      <c r="I680" s="19"/>
      <c r="J680" s="19"/>
      <c r="K680" s="72"/>
      <c r="L680" s="73"/>
      <c r="M680" s="78"/>
    </row>
    <row r="681">
      <c r="A681" s="19"/>
      <c r="B681" s="19"/>
      <c r="C681" s="76"/>
      <c r="D681" s="19"/>
      <c r="E681" s="19"/>
      <c r="F681" s="19"/>
      <c r="G681" s="19"/>
      <c r="H681" s="19"/>
      <c r="I681" s="19"/>
      <c r="J681" s="19"/>
      <c r="K681" s="72"/>
      <c r="L681" s="73"/>
      <c r="M681" s="78"/>
    </row>
    <row r="682">
      <c r="A682" s="19"/>
      <c r="B682" s="19"/>
      <c r="C682" s="76"/>
      <c r="D682" s="19"/>
      <c r="E682" s="19"/>
      <c r="F682" s="19"/>
      <c r="G682" s="19"/>
      <c r="H682" s="19"/>
      <c r="I682" s="19"/>
      <c r="J682" s="19"/>
      <c r="K682" s="72"/>
      <c r="L682" s="73"/>
      <c r="M682" s="78"/>
    </row>
    <row r="683">
      <c r="A683" s="19"/>
      <c r="B683" s="19"/>
      <c r="C683" s="76"/>
      <c r="D683" s="19"/>
      <c r="E683" s="19"/>
      <c r="F683" s="19"/>
      <c r="G683" s="19"/>
      <c r="H683" s="19"/>
      <c r="I683" s="19"/>
      <c r="J683" s="19"/>
      <c r="K683" s="72"/>
      <c r="L683" s="73"/>
      <c r="M683" s="78"/>
    </row>
    <row r="684">
      <c r="A684" s="19"/>
      <c r="B684" s="19"/>
      <c r="C684" s="76"/>
      <c r="D684" s="19"/>
      <c r="E684" s="19"/>
      <c r="F684" s="19"/>
      <c r="G684" s="19"/>
      <c r="H684" s="19"/>
      <c r="I684" s="19"/>
      <c r="J684" s="19"/>
      <c r="K684" s="72"/>
      <c r="L684" s="73"/>
      <c r="M684" s="78"/>
    </row>
    <row r="685">
      <c r="A685" s="19"/>
      <c r="B685" s="19"/>
      <c r="C685" s="76"/>
      <c r="D685" s="19"/>
      <c r="E685" s="19"/>
      <c r="F685" s="19"/>
      <c r="G685" s="19"/>
      <c r="H685" s="19"/>
      <c r="I685" s="19"/>
      <c r="J685" s="19"/>
      <c r="K685" s="72"/>
      <c r="L685" s="73"/>
      <c r="M685" s="78"/>
    </row>
    <row r="686">
      <c r="A686" s="19"/>
      <c r="B686" s="19"/>
      <c r="C686" s="76"/>
      <c r="D686" s="19"/>
      <c r="E686" s="19"/>
      <c r="F686" s="19"/>
      <c r="G686" s="19"/>
      <c r="H686" s="19"/>
      <c r="I686" s="19"/>
      <c r="J686" s="19"/>
      <c r="K686" s="72"/>
      <c r="L686" s="73"/>
      <c r="M686" s="78"/>
    </row>
    <row r="687">
      <c r="A687" s="19"/>
      <c r="B687" s="19"/>
      <c r="C687" s="76"/>
      <c r="D687" s="19"/>
      <c r="E687" s="19"/>
      <c r="F687" s="19"/>
      <c r="G687" s="19"/>
      <c r="H687" s="19"/>
      <c r="I687" s="19"/>
      <c r="J687" s="19"/>
      <c r="K687" s="72"/>
      <c r="L687" s="73"/>
      <c r="M687" s="78"/>
    </row>
    <row r="688">
      <c r="A688" s="19"/>
      <c r="B688" s="19"/>
      <c r="C688" s="76"/>
      <c r="D688" s="19"/>
      <c r="E688" s="19"/>
      <c r="F688" s="19"/>
      <c r="G688" s="19"/>
      <c r="H688" s="19"/>
      <c r="I688" s="19"/>
      <c r="J688" s="19"/>
      <c r="K688" s="72"/>
      <c r="L688" s="73"/>
      <c r="M688" s="78"/>
    </row>
    <row r="689">
      <c r="A689" s="19"/>
      <c r="B689" s="19"/>
      <c r="C689" s="76"/>
      <c r="D689" s="19"/>
      <c r="E689" s="19"/>
      <c r="F689" s="19"/>
      <c r="G689" s="19"/>
      <c r="H689" s="19"/>
      <c r="I689" s="19"/>
      <c r="J689" s="19"/>
      <c r="K689" s="72"/>
      <c r="L689" s="73"/>
      <c r="M689" s="78"/>
    </row>
    <row r="690">
      <c r="A690" s="19"/>
      <c r="B690" s="19"/>
      <c r="C690" s="76"/>
      <c r="D690" s="19"/>
      <c r="E690" s="19"/>
      <c r="F690" s="19"/>
      <c r="G690" s="19"/>
      <c r="H690" s="19"/>
      <c r="I690" s="19"/>
      <c r="J690" s="19"/>
      <c r="K690" s="72"/>
      <c r="L690" s="73"/>
      <c r="M690" s="78"/>
    </row>
    <row r="691">
      <c r="A691" s="19"/>
      <c r="B691" s="19"/>
      <c r="C691" s="76"/>
      <c r="D691" s="19"/>
      <c r="E691" s="19"/>
      <c r="F691" s="19"/>
      <c r="G691" s="19"/>
      <c r="H691" s="19"/>
      <c r="I691" s="19"/>
      <c r="J691" s="19"/>
      <c r="K691" s="72"/>
      <c r="L691" s="73"/>
      <c r="M691" s="78"/>
    </row>
    <row r="692">
      <c r="A692" s="19"/>
      <c r="B692" s="19"/>
      <c r="C692" s="76"/>
      <c r="D692" s="19"/>
      <c r="E692" s="19"/>
      <c r="F692" s="19"/>
      <c r="G692" s="19"/>
      <c r="H692" s="19"/>
      <c r="I692" s="19"/>
      <c r="J692" s="19"/>
      <c r="K692" s="72"/>
      <c r="L692" s="73"/>
      <c r="M692" s="78"/>
    </row>
    <row r="693">
      <c r="A693" s="19"/>
      <c r="B693" s="19"/>
      <c r="C693" s="76"/>
      <c r="D693" s="19"/>
      <c r="E693" s="19"/>
      <c r="F693" s="19"/>
      <c r="G693" s="19"/>
      <c r="H693" s="19"/>
      <c r="I693" s="19"/>
      <c r="J693" s="19"/>
      <c r="K693" s="72"/>
      <c r="L693" s="73"/>
      <c r="M693" s="78"/>
    </row>
    <row r="694">
      <c r="A694" s="19"/>
      <c r="B694" s="19"/>
      <c r="C694" s="76"/>
      <c r="D694" s="19"/>
      <c r="E694" s="19"/>
      <c r="F694" s="19"/>
      <c r="G694" s="19"/>
      <c r="H694" s="19"/>
      <c r="I694" s="19"/>
      <c r="J694" s="19"/>
      <c r="K694" s="72"/>
      <c r="L694" s="73"/>
      <c r="M694" s="78"/>
    </row>
    <row r="695">
      <c r="A695" s="19"/>
      <c r="B695" s="19"/>
      <c r="C695" s="76"/>
      <c r="D695" s="19"/>
      <c r="E695" s="19"/>
      <c r="F695" s="19"/>
      <c r="G695" s="19"/>
      <c r="H695" s="19"/>
      <c r="I695" s="19"/>
      <c r="J695" s="19"/>
      <c r="K695" s="72"/>
      <c r="L695" s="73"/>
      <c r="M695" s="78"/>
    </row>
    <row r="696">
      <c r="A696" s="19"/>
      <c r="B696" s="19"/>
      <c r="C696" s="76"/>
      <c r="D696" s="19"/>
      <c r="E696" s="19"/>
      <c r="F696" s="19"/>
      <c r="G696" s="19"/>
      <c r="H696" s="19"/>
      <c r="I696" s="19"/>
      <c r="J696" s="19"/>
      <c r="K696" s="72"/>
      <c r="L696" s="73"/>
      <c r="M696" s="78"/>
    </row>
    <row r="697">
      <c r="A697" s="19"/>
      <c r="B697" s="19"/>
      <c r="C697" s="76"/>
      <c r="D697" s="19"/>
      <c r="E697" s="19"/>
      <c r="F697" s="19"/>
      <c r="G697" s="19"/>
      <c r="H697" s="19"/>
      <c r="I697" s="19"/>
      <c r="J697" s="19"/>
      <c r="K697" s="72"/>
      <c r="L697" s="73"/>
      <c r="M697" s="78"/>
    </row>
    <row r="698">
      <c r="A698" s="19"/>
      <c r="B698" s="19"/>
      <c r="C698" s="76"/>
      <c r="D698" s="19"/>
      <c r="E698" s="19"/>
      <c r="F698" s="19"/>
      <c r="G698" s="19"/>
      <c r="H698" s="19"/>
      <c r="I698" s="19"/>
      <c r="J698" s="19"/>
      <c r="K698" s="72"/>
      <c r="L698" s="73"/>
      <c r="M698" s="78"/>
    </row>
    <row r="699">
      <c r="A699" s="19"/>
      <c r="B699" s="19"/>
      <c r="C699" s="76"/>
      <c r="D699" s="19"/>
      <c r="E699" s="19"/>
      <c r="F699" s="19"/>
      <c r="G699" s="19"/>
      <c r="H699" s="19"/>
      <c r="I699" s="19"/>
      <c r="J699" s="19"/>
      <c r="K699" s="72"/>
      <c r="L699" s="73"/>
      <c r="M699" s="78"/>
    </row>
    <row r="700">
      <c r="A700" s="19"/>
      <c r="B700" s="19"/>
      <c r="C700" s="76"/>
      <c r="D700" s="19"/>
      <c r="E700" s="19"/>
      <c r="F700" s="19"/>
      <c r="G700" s="19"/>
      <c r="H700" s="19"/>
      <c r="I700" s="19"/>
      <c r="J700" s="19"/>
      <c r="K700" s="72"/>
      <c r="L700" s="73"/>
      <c r="M700" s="78"/>
    </row>
    <row r="701">
      <c r="A701" s="19"/>
      <c r="B701" s="19"/>
      <c r="C701" s="76"/>
      <c r="D701" s="19"/>
      <c r="E701" s="19"/>
      <c r="F701" s="19"/>
      <c r="G701" s="19"/>
      <c r="H701" s="19"/>
      <c r="I701" s="19"/>
      <c r="J701" s="19"/>
      <c r="K701" s="72"/>
      <c r="L701" s="73"/>
      <c r="M701" s="78"/>
    </row>
    <row r="702">
      <c r="A702" s="19"/>
      <c r="B702" s="19"/>
      <c r="C702" s="76"/>
      <c r="D702" s="19"/>
      <c r="E702" s="19"/>
      <c r="F702" s="19"/>
      <c r="G702" s="19"/>
      <c r="H702" s="19"/>
      <c r="I702" s="19"/>
      <c r="J702" s="19"/>
      <c r="K702" s="72"/>
      <c r="L702" s="73"/>
      <c r="M702" s="78"/>
    </row>
    <row r="703">
      <c r="A703" s="19"/>
      <c r="B703" s="19"/>
      <c r="C703" s="76"/>
      <c r="D703" s="19"/>
      <c r="E703" s="19"/>
      <c r="F703" s="19"/>
      <c r="G703" s="19"/>
      <c r="H703" s="19"/>
      <c r="I703" s="19"/>
      <c r="J703" s="19"/>
      <c r="K703" s="72"/>
      <c r="L703" s="73"/>
      <c r="M703" s="78"/>
    </row>
    <row r="704">
      <c r="A704" s="19"/>
      <c r="B704" s="19"/>
      <c r="C704" s="76"/>
      <c r="D704" s="19"/>
      <c r="E704" s="19"/>
      <c r="F704" s="19"/>
      <c r="G704" s="19"/>
      <c r="H704" s="19"/>
      <c r="I704" s="19"/>
      <c r="J704" s="19"/>
      <c r="K704" s="72"/>
      <c r="L704" s="73"/>
      <c r="M704" s="78"/>
    </row>
    <row r="705">
      <c r="A705" s="19"/>
      <c r="B705" s="19"/>
      <c r="C705" s="76"/>
      <c r="D705" s="19"/>
      <c r="E705" s="19"/>
      <c r="F705" s="19"/>
      <c r="G705" s="19"/>
      <c r="H705" s="19"/>
      <c r="I705" s="19"/>
      <c r="J705" s="19"/>
      <c r="K705" s="72"/>
      <c r="L705" s="73"/>
      <c r="M705" s="78"/>
    </row>
    <row r="706">
      <c r="A706" s="19"/>
      <c r="B706" s="19"/>
      <c r="C706" s="76"/>
      <c r="D706" s="19"/>
      <c r="E706" s="19"/>
      <c r="F706" s="19"/>
      <c r="G706" s="19"/>
      <c r="H706" s="19"/>
      <c r="I706" s="19"/>
      <c r="J706" s="19"/>
      <c r="K706" s="72"/>
      <c r="L706" s="73"/>
      <c r="M706" s="78"/>
    </row>
    <row r="707">
      <c r="A707" s="19"/>
      <c r="B707" s="19"/>
      <c r="C707" s="76"/>
      <c r="D707" s="19"/>
      <c r="E707" s="19"/>
      <c r="F707" s="19"/>
      <c r="G707" s="19"/>
      <c r="H707" s="19"/>
      <c r="I707" s="19"/>
      <c r="J707" s="19"/>
      <c r="K707" s="72"/>
      <c r="L707" s="73"/>
      <c r="M707" s="78"/>
    </row>
    <row r="708">
      <c r="A708" s="19"/>
      <c r="B708" s="19"/>
      <c r="C708" s="76"/>
      <c r="D708" s="19"/>
      <c r="E708" s="19"/>
      <c r="F708" s="19"/>
      <c r="G708" s="19"/>
      <c r="H708" s="19"/>
      <c r="I708" s="19"/>
      <c r="J708" s="19"/>
      <c r="K708" s="72"/>
      <c r="L708" s="73"/>
      <c r="M708" s="78"/>
    </row>
    <row r="709">
      <c r="A709" s="19"/>
      <c r="B709" s="19"/>
      <c r="C709" s="76"/>
      <c r="D709" s="19"/>
      <c r="E709" s="19"/>
      <c r="F709" s="19"/>
      <c r="G709" s="19"/>
      <c r="H709" s="19"/>
      <c r="I709" s="19"/>
      <c r="J709" s="19"/>
      <c r="K709" s="72"/>
      <c r="L709" s="73"/>
      <c r="M709" s="78"/>
    </row>
    <row r="710">
      <c r="A710" s="19"/>
      <c r="B710" s="19"/>
      <c r="C710" s="76"/>
      <c r="D710" s="19"/>
      <c r="E710" s="19"/>
      <c r="F710" s="19"/>
      <c r="G710" s="19"/>
      <c r="H710" s="19"/>
      <c r="I710" s="19"/>
      <c r="J710" s="19"/>
      <c r="K710" s="72"/>
      <c r="L710" s="73"/>
      <c r="M710" s="78"/>
    </row>
    <row r="711">
      <c r="A711" s="19"/>
      <c r="B711" s="19"/>
      <c r="C711" s="76"/>
      <c r="D711" s="19"/>
      <c r="E711" s="19"/>
      <c r="F711" s="19"/>
      <c r="G711" s="19"/>
      <c r="H711" s="19"/>
      <c r="I711" s="19"/>
      <c r="J711" s="19"/>
      <c r="K711" s="72"/>
      <c r="L711" s="73"/>
      <c r="M711" s="78"/>
    </row>
    <row r="712">
      <c r="A712" s="19"/>
      <c r="B712" s="19"/>
      <c r="C712" s="76"/>
      <c r="D712" s="19"/>
      <c r="E712" s="19"/>
      <c r="F712" s="19"/>
      <c r="G712" s="19"/>
      <c r="H712" s="19"/>
      <c r="I712" s="19"/>
      <c r="J712" s="19"/>
      <c r="K712" s="72"/>
      <c r="L712" s="73"/>
      <c r="M712" s="78"/>
    </row>
    <row r="713">
      <c r="A713" s="19"/>
      <c r="B713" s="19"/>
      <c r="C713" s="76"/>
      <c r="D713" s="19"/>
      <c r="E713" s="19"/>
      <c r="F713" s="19"/>
      <c r="G713" s="19"/>
      <c r="H713" s="19"/>
      <c r="I713" s="19"/>
      <c r="J713" s="19"/>
      <c r="K713" s="72"/>
      <c r="L713" s="73"/>
      <c r="M713" s="78"/>
    </row>
    <row r="714">
      <c r="A714" s="19"/>
      <c r="B714" s="19"/>
      <c r="C714" s="76"/>
      <c r="D714" s="19"/>
      <c r="E714" s="19"/>
      <c r="F714" s="19"/>
      <c r="G714" s="19"/>
      <c r="H714" s="19"/>
      <c r="I714" s="19"/>
      <c r="J714" s="19"/>
      <c r="K714" s="72"/>
      <c r="L714" s="73"/>
      <c r="M714" s="78"/>
    </row>
    <row r="715">
      <c r="A715" s="19"/>
      <c r="B715" s="19"/>
      <c r="C715" s="76"/>
      <c r="D715" s="19"/>
      <c r="E715" s="19"/>
      <c r="F715" s="19"/>
      <c r="G715" s="19"/>
      <c r="H715" s="19"/>
      <c r="I715" s="19"/>
      <c r="J715" s="19"/>
      <c r="K715" s="72"/>
      <c r="L715" s="73"/>
      <c r="M715" s="78"/>
    </row>
    <row r="716">
      <c r="A716" s="19"/>
      <c r="B716" s="19"/>
      <c r="C716" s="76"/>
      <c r="D716" s="19"/>
      <c r="E716" s="19"/>
      <c r="F716" s="19"/>
      <c r="G716" s="19"/>
      <c r="H716" s="19"/>
      <c r="I716" s="19"/>
      <c r="J716" s="19"/>
      <c r="K716" s="72"/>
      <c r="L716" s="73"/>
      <c r="M716" s="78"/>
    </row>
    <row r="717">
      <c r="A717" s="19"/>
      <c r="B717" s="19"/>
      <c r="C717" s="76"/>
      <c r="D717" s="19"/>
      <c r="E717" s="19"/>
      <c r="F717" s="19"/>
      <c r="G717" s="19"/>
      <c r="H717" s="19"/>
      <c r="I717" s="19"/>
      <c r="J717" s="19"/>
      <c r="K717" s="72"/>
      <c r="L717" s="73"/>
      <c r="M717" s="78"/>
    </row>
    <row r="718">
      <c r="A718" s="19"/>
      <c r="B718" s="19"/>
      <c r="C718" s="76"/>
      <c r="D718" s="19"/>
      <c r="E718" s="19"/>
      <c r="F718" s="19"/>
      <c r="G718" s="19"/>
      <c r="H718" s="19"/>
      <c r="I718" s="19"/>
      <c r="J718" s="19"/>
      <c r="K718" s="72"/>
      <c r="L718" s="73"/>
      <c r="M718" s="78"/>
    </row>
    <row r="719">
      <c r="A719" s="19"/>
      <c r="B719" s="19"/>
      <c r="C719" s="76"/>
      <c r="D719" s="19"/>
      <c r="E719" s="19"/>
      <c r="F719" s="19"/>
      <c r="G719" s="19"/>
      <c r="H719" s="19"/>
      <c r="I719" s="19"/>
      <c r="J719" s="19"/>
      <c r="K719" s="72"/>
      <c r="L719" s="73"/>
      <c r="M719" s="78"/>
    </row>
    <row r="720">
      <c r="A720" s="19"/>
      <c r="B720" s="19"/>
      <c r="C720" s="76"/>
      <c r="D720" s="19"/>
      <c r="E720" s="19"/>
      <c r="F720" s="19"/>
      <c r="G720" s="19"/>
      <c r="H720" s="19"/>
      <c r="I720" s="19"/>
      <c r="J720" s="19"/>
      <c r="K720" s="72"/>
      <c r="L720" s="73"/>
      <c r="M720" s="78"/>
    </row>
    <row r="721">
      <c r="A721" s="19"/>
      <c r="B721" s="19"/>
      <c r="C721" s="76"/>
      <c r="D721" s="19"/>
      <c r="E721" s="19"/>
      <c r="F721" s="19"/>
      <c r="G721" s="19"/>
      <c r="H721" s="19"/>
      <c r="I721" s="19"/>
      <c r="J721" s="19"/>
      <c r="K721" s="72"/>
      <c r="L721" s="73"/>
      <c r="M721" s="78"/>
    </row>
    <row r="722">
      <c r="A722" s="19"/>
      <c r="B722" s="19"/>
      <c r="C722" s="76"/>
      <c r="D722" s="19"/>
      <c r="E722" s="19"/>
      <c r="F722" s="19"/>
      <c r="G722" s="19"/>
      <c r="H722" s="19"/>
      <c r="I722" s="19"/>
      <c r="J722" s="19"/>
      <c r="K722" s="72"/>
      <c r="L722" s="73"/>
      <c r="M722" s="78"/>
    </row>
    <row r="723">
      <c r="A723" s="19"/>
      <c r="B723" s="19"/>
      <c r="C723" s="76"/>
      <c r="D723" s="19"/>
      <c r="E723" s="19"/>
      <c r="F723" s="19"/>
      <c r="G723" s="19"/>
      <c r="H723" s="19"/>
      <c r="I723" s="19"/>
      <c r="J723" s="19"/>
      <c r="K723" s="72"/>
      <c r="L723" s="73"/>
      <c r="M723" s="78"/>
    </row>
    <row r="724">
      <c r="A724" s="19"/>
      <c r="B724" s="19"/>
      <c r="C724" s="76"/>
      <c r="D724" s="19"/>
      <c r="E724" s="19"/>
      <c r="F724" s="19"/>
      <c r="G724" s="19"/>
      <c r="H724" s="19"/>
      <c r="I724" s="19"/>
      <c r="J724" s="19"/>
      <c r="K724" s="72"/>
      <c r="L724" s="73"/>
      <c r="M724" s="78"/>
    </row>
    <row r="725">
      <c r="A725" s="19"/>
      <c r="B725" s="19"/>
      <c r="C725" s="76"/>
      <c r="D725" s="19"/>
      <c r="E725" s="19"/>
      <c r="F725" s="19"/>
      <c r="G725" s="19"/>
      <c r="H725" s="19"/>
      <c r="I725" s="19"/>
      <c r="J725" s="19"/>
      <c r="K725" s="72"/>
      <c r="L725" s="73"/>
      <c r="M725" s="78"/>
    </row>
    <row r="726">
      <c r="A726" s="19"/>
      <c r="B726" s="19"/>
      <c r="C726" s="76"/>
      <c r="D726" s="19"/>
      <c r="E726" s="19"/>
      <c r="F726" s="19"/>
      <c r="G726" s="19"/>
      <c r="H726" s="19"/>
      <c r="I726" s="19"/>
      <c r="J726" s="19"/>
      <c r="K726" s="72"/>
      <c r="L726" s="73"/>
      <c r="M726" s="78"/>
    </row>
    <row r="727">
      <c r="A727" s="19"/>
      <c r="B727" s="19"/>
      <c r="C727" s="76"/>
      <c r="D727" s="19"/>
      <c r="E727" s="19"/>
      <c r="F727" s="19"/>
      <c r="G727" s="19"/>
      <c r="H727" s="19"/>
      <c r="I727" s="19"/>
      <c r="J727" s="19"/>
      <c r="K727" s="72"/>
      <c r="L727" s="73"/>
      <c r="M727" s="78"/>
    </row>
    <row r="728">
      <c r="A728" s="19"/>
      <c r="B728" s="19"/>
      <c r="C728" s="76"/>
      <c r="D728" s="19"/>
      <c r="E728" s="19"/>
      <c r="F728" s="19"/>
      <c r="G728" s="19"/>
      <c r="H728" s="19"/>
      <c r="I728" s="19"/>
      <c r="J728" s="19"/>
      <c r="K728" s="72"/>
      <c r="L728" s="73"/>
      <c r="M728" s="78"/>
    </row>
    <row r="729">
      <c r="A729" s="19"/>
      <c r="B729" s="19"/>
      <c r="C729" s="76"/>
      <c r="D729" s="19"/>
      <c r="E729" s="19"/>
      <c r="F729" s="19"/>
      <c r="G729" s="19"/>
      <c r="H729" s="19"/>
      <c r="I729" s="19"/>
      <c r="J729" s="19"/>
      <c r="K729" s="72"/>
      <c r="L729" s="73"/>
      <c r="M729" s="78"/>
    </row>
    <row r="730">
      <c r="A730" s="19"/>
      <c r="B730" s="19"/>
      <c r="C730" s="76"/>
      <c r="D730" s="19"/>
      <c r="E730" s="19"/>
      <c r="F730" s="19"/>
      <c r="G730" s="19"/>
      <c r="H730" s="19"/>
      <c r="I730" s="19"/>
      <c r="J730" s="19"/>
      <c r="K730" s="72"/>
      <c r="L730" s="73"/>
      <c r="M730" s="78"/>
    </row>
    <row r="731">
      <c r="A731" s="19"/>
      <c r="B731" s="19"/>
      <c r="C731" s="76"/>
      <c r="D731" s="19"/>
      <c r="E731" s="19"/>
      <c r="F731" s="19"/>
      <c r="G731" s="19"/>
      <c r="H731" s="19"/>
      <c r="I731" s="19"/>
      <c r="J731" s="19"/>
      <c r="K731" s="72"/>
      <c r="L731" s="73"/>
      <c r="M731" s="78"/>
    </row>
    <row r="732">
      <c r="A732" s="19"/>
      <c r="B732" s="19"/>
      <c r="C732" s="76"/>
      <c r="D732" s="19"/>
      <c r="E732" s="19"/>
      <c r="F732" s="19"/>
      <c r="G732" s="19"/>
      <c r="H732" s="19"/>
      <c r="I732" s="19"/>
      <c r="J732" s="19"/>
      <c r="K732" s="72"/>
      <c r="L732" s="73"/>
      <c r="M732" s="78"/>
    </row>
    <row r="733">
      <c r="A733" s="19"/>
      <c r="B733" s="19"/>
      <c r="C733" s="76"/>
      <c r="D733" s="19"/>
      <c r="E733" s="19"/>
      <c r="F733" s="19"/>
      <c r="G733" s="19"/>
      <c r="H733" s="19"/>
      <c r="I733" s="19"/>
      <c r="J733" s="19"/>
      <c r="K733" s="72"/>
      <c r="L733" s="73"/>
      <c r="M733" s="78"/>
    </row>
    <row r="734">
      <c r="A734" s="19"/>
      <c r="B734" s="19"/>
      <c r="C734" s="76"/>
      <c r="D734" s="19"/>
      <c r="E734" s="19"/>
      <c r="F734" s="19"/>
      <c r="G734" s="19"/>
      <c r="H734" s="19"/>
      <c r="I734" s="19"/>
      <c r="J734" s="19"/>
      <c r="K734" s="72"/>
      <c r="L734" s="73"/>
      <c r="M734" s="78"/>
    </row>
    <row r="735">
      <c r="A735" s="19"/>
      <c r="B735" s="19"/>
      <c r="C735" s="76"/>
      <c r="D735" s="19"/>
      <c r="E735" s="19"/>
      <c r="F735" s="19"/>
      <c r="G735" s="19"/>
      <c r="H735" s="19"/>
      <c r="I735" s="19"/>
      <c r="J735" s="19"/>
      <c r="K735" s="72"/>
      <c r="L735" s="73"/>
      <c r="M735" s="78"/>
    </row>
    <row r="736">
      <c r="A736" s="19"/>
      <c r="B736" s="19"/>
      <c r="C736" s="76"/>
      <c r="D736" s="19"/>
      <c r="E736" s="19"/>
      <c r="F736" s="19"/>
      <c r="G736" s="19"/>
      <c r="H736" s="19"/>
      <c r="I736" s="19"/>
      <c r="J736" s="19"/>
      <c r="K736" s="72"/>
      <c r="L736" s="73"/>
      <c r="M736" s="78"/>
    </row>
    <row r="737">
      <c r="A737" s="19"/>
      <c r="B737" s="19"/>
      <c r="C737" s="76"/>
      <c r="D737" s="19"/>
      <c r="E737" s="19"/>
      <c r="F737" s="19"/>
      <c r="G737" s="19"/>
      <c r="H737" s="19"/>
      <c r="I737" s="19"/>
      <c r="J737" s="19"/>
      <c r="K737" s="72"/>
      <c r="L737" s="73"/>
      <c r="M737" s="78"/>
    </row>
    <row r="738">
      <c r="A738" s="19"/>
      <c r="B738" s="19"/>
      <c r="C738" s="76"/>
      <c r="D738" s="19"/>
      <c r="E738" s="19"/>
      <c r="F738" s="19"/>
      <c r="G738" s="19"/>
      <c r="H738" s="19"/>
      <c r="I738" s="19"/>
      <c r="J738" s="19"/>
      <c r="K738" s="72"/>
      <c r="L738" s="73"/>
      <c r="M738" s="78"/>
    </row>
    <row r="739">
      <c r="A739" s="19"/>
      <c r="B739" s="19"/>
      <c r="C739" s="76"/>
      <c r="D739" s="19"/>
      <c r="E739" s="19"/>
      <c r="F739" s="19"/>
      <c r="G739" s="19"/>
      <c r="H739" s="19"/>
      <c r="I739" s="19"/>
      <c r="J739" s="19"/>
      <c r="K739" s="72"/>
      <c r="L739" s="73"/>
      <c r="M739" s="78"/>
    </row>
    <row r="740">
      <c r="A740" s="19"/>
      <c r="B740" s="19"/>
      <c r="C740" s="76"/>
      <c r="D740" s="19"/>
      <c r="E740" s="19"/>
      <c r="F740" s="19"/>
      <c r="G740" s="19"/>
      <c r="H740" s="19"/>
      <c r="I740" s="19"/>
      <c r="J740" s="19"/>
      <c r="K740" s="72"/>
      <c r="L740" s="73"/>
      <c r="M740" s="78"/>
    </row>
    <row r="741">
      <c r="A741" s="19"/>
      <c r="B741" s="19"/>
      <c r="C741" s="76"/>
      <c r="D741" s="19"/>
      <c r="E741" s="19"/>
      <c r="F741" s="19"/>
      <c r="G741" s="19"/>
      <c r="H741" s="19"/>
      <c r="I741" s="19"/>
      <c r="J741" s="19"/>
      <c r="K741" s="72"/>
      <c r="L741" s="73"/>
      <c r="M741" s="78"/>
    </row>
    <row r="742">
      <c r="A742" s="19"/>
      <c r="B742" s="19"/>
      <c r="C742" s="76"/>
      <c r="D742" s="19"/>
      <c r="E742" s="19"/>
      <c r="F742" s="19"/>
      <c r="G742" s="19"/>
      <c r="H742" s="19"/>
      <c r="I742" s="19"/>
      <c r="J742" s="19"/>
      <c r="K742" s="72"/>
      <c r="L742" s="73"/>
      <c r="M742" s="78"/>
    </row>
    <row r="743">
      <c r="A743" s="19"/>
      <c r="B743" s="19"/>
      <c r="C743" s="76"/>
      <c r="D743" s="19"/>
      <c r="E743" s="19"/>
      <c r="F743" s="19"/>
      <c r="G743" s="19"/>
      <c r="H743" s="19"/>
      <c r="I743" s="19"/>
      <c r="J743" s="19"/>
      <c r="K743" s="72"/>
      <c r="L743" s="73"/>
      <c r="M743" s="78"/>
    </row>
    <row r="744">
      <c r="A744" s="19"/>
      <c r="B744" s="19"/>
      <c r="C744" s="76"/>
      <c r="D744" s="19"/>
      <c r="E744" s="19"/>
      <c r="F744" s="19"/>
      <c r="G744" s="19"/>
      <c r="H744" s="19"/>
      <c r="I744" s="19"/>
      <c r="J744" s="19"/>
      <c r="K744" s="72"/>
      <c r="L744" s="73"/>
      <c r="M744" s="78"/>
    </row>
    <row r="745">
      <c r="A745" s="19"/>
      <c r="B745" s="19"/>
      <c r="C745" s="76"/>
      <c r="D745" s="19"/>
      <c r="E745" s="19"/>
      <c r="F745" s="19"/>
      <c r="G745" s="19"/>
      <c r="H745" s="19"/>
      <c r="I745" s="19"/>
      <c r="J745" s="19"/>
      <c r="K745" s="72"/>
      <c r="L745" s="73"/>
      <c r="M745" s="78"/>
    </row>
    <row r="746">
      <c r="A746" s="19"/>
      <c r="B746" s="19"/>
      <c r="C746" s="76"/>
      <c r="D746" s="19"/>
      <c r="E746" s="19"/>
      <c r="F746" s="19"/>
      <c r="G746" s="19"/>
      <c r="H746" s="19"/>
      <c r="I746" s="19"/>
      <c r="J746" s="19"/>
      <c r="K746" s="72"/>
      <c r="L746" s="73"/>
      <c r="M746" s="78"/>
    </row>
    <row r="747">
      <c r="A747" s="19"/>
      <c r="B747" s="19"/>
      <c r="C747" s="76"/>
      <c r="D747" s="19"/>
      <c r="E747" s="19"/>
      <c r="F747" s="19"/>
      <c r="G747" s="19"/>
      <c r="H747" s="19"/>
      <c r="I747" s="19"/>
      <c r="J747" s="19"/>
      <c r="K747" s="72"/>
      <c r="L747" s="73"/>
      <c r="M747" s="78"/>
    </row>
    <row r="748">
      <c r="A748" s="19"/>
      <c r="B748" s="19"/>
      <c r="C748" s="76"/>
      <c r="D748" s="19"/>
      <c r="E748" s="19"/>
      <c r="F748" s="19"/>
      <c r="G748" s="19"/>
      <c r="H748" s="19"/>
      <c r="I748" s="19"/>
      <c r="J748" s="19"/>
      <c r="K748" s="72"/>
      <c r="L748" s="73"/>
      <c r="M748" s="78"/>
    </row>
    <row r="749">
      <c r="A749" s="19"/>
      <c r="B749" s="19"/>
      <c r="C749" s="76"/>
      <c r="D749" s="19"/>
      <c r="E749" s="19"/>
      <c r="F749" s="19"/>
      <c r="G749" s="19"/>
      <c r="H749" s="19"/>
      <c r="I749" s="19"/>
      <c r="J749" s="19"/>
      <c r="K749" s="72"/>
      <c r="L749" s="73"/>
      <c r="M749" s="78"/>
    </row>
    <row r="750">
      <c r="A750" s="19"/>
      <c r="B750" s="19"/>
      <c r="C750" s="76"/>
      <c r="D750" s="19"/>
      <c r="E750" s="19"/>
      <c r="F750" s="19"/>
      <c r="G750" s="19"/>
      <c r="H750" s="19"/>
      <c r="I750" s="19"/>
      <c r="J750" s="19"/>
      <c r="K750" s="72"/>
      <c r="L750" s="73"/>
      <c r="M750" s="78"/>
    </row>
    <row r="751">
      <c r="A751" s="19"/>
      <c r="B751" s="19"/>
      <c r="C751" s="76"/>
      <c r="D751" s="19"/>
      <c r="E751" s="19"/>
      <c r="F751" s="19"/>
      <c r="G751" s="19"/>
      <c r="H751" s="19"/>
      <c r="I751" s="19"/>
      <c r="J751" s="19"/>
      <c r="K751" s="72"/>
      <c r="L751" s="73"/>
      <c r="M751" s="78"/>
    </row>
    <row r="752">
      <c r="A752" s="19"/>
      <c r="B752" s="19"/>
      <c r="C752" s="76"/>
      <c r="D752" s="19"/>
      <c r="E752" s="19"/>
      <c r="F752" s="19"/>
      <c r="G752" s="19"/>
      <c r="H752" s="19"/>
      <c r="I752" s="19"/>
      <c r="J752" s="19"/>
      <c r="K752" s="72"/>
      <c r="L752" s="73"/>
      <c r="M752" s="78"/>
    </row>
    <row r="753">
      <c r="A753" s="19"/>
      <c r="B753" s="19"/>
      <c r="C753" s="76"/>
      <c r="D753" s="19"/>
      <c r="E753" s="19"/>
      <c r="F753" s="19"/>
      <c r="G753" s="19"/>
      <c r="H753" s="19"/>
      <c r="I753" s="19"/>
      <c r="J753" s="19"/>
      <c r="K753" s="72"/>
      <c r="L753" s="73"/>
      <c r="M753" s="78"/>
    </row>
    <row r="754">
      <c r="A754" s="19"/>
      <c r="B754" s="19"/>
      <c r="C754" s="76"/>
      <c r="D754" s="19"/>
      <c r="E754" s="19"/>
      <c r="F754" s="19"/>
      <c r="G754" s="19"/>
      <c r="H754" s="19"/>
      <c r="I754" s="19"/>
      <c r="J754" s="19"/>
      <c r="K754" s="72"/>
      <c r="L754" s="73"/>
      <c r="M754" s="78"/>
    </row>
    <row r="755">
      <c r="A755" s="19"/>
      <c r="B755" s="19"/>
      <c r="C755" s="76"/>
      <c r="D755" s="19"/>
      <c r="E755" s="19"/>
      <c r="F755" s="19"/>
      <c r="G755" s="19"/>
      <c r="H755" s="19"/>
      <c r="I755" s="19"/>
      <c r="J755" s="19"/>
      <c r="K755" s="72"/>
      <c r="L755" s="73"/>
      <c r="M755" s="78"/>
    </row>
    <row r="756">
      <c r="A756" s="19"/>
      <c r="B756" s="19"/>
      <c r="C756" s="76"/>
      <c r="D756" s="19"/>
      <c r="E756" s="19"/>
      <c r="F756" s="19"/>
      <c r="G756" s="19"/>
      <c r="H756" s="19"/>
      <c r="I756" s="19"/>
      <c r="J756" s="19"/>
      <c r="K756" s="72"/>
      <c r="L756" s="73"/>
      <c r="M756" s="78"/>
    </row>
    <row r="757">
      <c r="A757" s="19"/>
      <c r="B757" s="19"/>
      <c r="C757" s="76"/>
      <c r="D757" s="19"/>
      <c r="E757" s="19"/>
      <c r="F757" s="19"/>
      <c r="G757" s="19"/>
      <c r="H757" s="19"/>
      <c r="I757" s="19"/>
      <c r="J757" s="19"/>
      <c r="K757" s="72"/>
      <c r="L757" s="73"/>
      <c r="M757" s="78"/>
    </row>
    <row r="758">
      <c r="A758" s="19"/>
      <c r="B758" s="19"/>
      <c r="C758" s="76"/>
      <c r="D758" s="19"/>
      <c r="E758" s="19"/>
      <c r="F758" s="19"/>
      <c r="G758" s="19"/>
      <c r="H758" s="19"/>
      <c r="I758" s="19"/>
      <c r="J758" s="19"/>
      <c r="K758" s="72"/>
      <c r="L758" s="73"/>
      <c r="M758" s="78"/>
    </row>
    <row r="759">
      <c r="A759" s="19"/>
      <c r="B759" s="19"/>
      <c r="C759" s="76"/>
      <c r="D759" s="19"/>
      <c r="E759" s="19"/>
      <c r="F759" s="19"/>
      <c r="G759" s="19"/>
      <c r="H759" s="19"/>
      <c r="I759" s="19"/>
      <c r="J759" s="19"/>
      <c r="K759" s="72"/>
      <c r="L759" s="73"/>
      <c r="M759" s="78"/>
    </row>
    <row r="760">
      <c r="A760" s="19"/>
      <c r="B760" s="19"/>
      <c r="C760" s="76"/>
      <c r="D760" s="19"/>
      <c r="E760" s="19"/>
      <c r="F760" s="19"/>
      <c r="G760" s="19"/>
      <c r="H760" s="19"/>
      <c r="I760" s="19"/>
      <c r="J760" s="19"/>
      <c r="K760" s="72"/>
      <c r="L760" s="73"/>
      <c r="M760" s="78"/>
    </row>
    <row r="761">
      <c r="A761" s="19"/>
      <c r="B761" s="19"/>
      <c r="C761" s="76"/>
      <c r="D761" s="19"/>
      <c r="E761" s="19"/>
      <c r="F761" s="19"/>
      <c r="G761" s="19"/>
      <c r="H761" s="19"/>
      <c r="I761" s="19"/>
      <c r="J761" s="19"/>
      <c r="K761" s="72"/>
      <c r="L761" s="73"/>
      <c r="M761" s="78"/>
    </row>
    <row r="762">
      <c r="A762" s="19"/>
      <c r="B762" s="19"/>
      <c r="C762" s="76"/>
      <c r="D762" s="19"/>
      <c r="E762" s="19"/>
      <c r="F762" s="19"/>
      <c r="G762" s="19"/>
      <c r="H762" s="19"/>
      <c r="I762" s="19"/>
      <c r="J762" s="19"/>
      <c r="K762" s="72"/>
      <c r="L762" s="73"/>
      <c r="M762" s="78"/>
    </row>
    <row r="763">
      <c r="A763" s="19"/>
      <c r="B763" s="19"/>
      <c r="C763" s="76"/>
      <c r="D763" s="19"/>
      <c r="E763" s="19"/>
      <c r="F763" s="19"/>
      <c r="G763" s="19"/>
      <c r="H763" s="19"/>
      <c r="I763" s="19"/>
      <c r="J763" s="19"/>
      <c r="K763" s="72"/>
      <c r="L763" s="73"/>
      <c r="M763" s="78"/>
    </row>
    <row r="764">
      <c r="A764" s="19"/>
      <c r="B764" s="19"/>
      <c r="C764" s="76"/>
      <c r="D764" s="19"/>
      <c r="E764" s="19"/>
      <c r="F764" s="19"/>
      <c r="G764" s="19"/>
      <c r="H764" s="19"/>
      <c r="I764" s="19"/>
      <c r="J764" s="19"/>
      <c r="K764" s="72"/>
      <c r="L764" s="73"/>
      <c r="M764" s="78"/>
    </row>
    <row r="765">
      <c r="A765" s="19"/>
      <c r="B765" s="19"/>
      <c r="C765" s="76"/>
      <c r="D765" s="19"/>
      <c r="E765" s="19"/>
      <c r="F765" s="19"/>
      <c r="G765" s="19"/>
      <c r="H765" s="19"/>
      <c r="I765" s="19"/>
      <c r="J765" s="19"/>
      <c r="K765" s="72"/>
      <c r="L765" s="73"/>
      <c r="M765" s="78"/>
    </row>
    <row r="766">
      <c r="A766" s="19"/>
      <c r="B766" s="19"/>
      <c r="C766" s="76"/>
      <c r="D766" s="19"/>
      <c r="E766" s="19"/>
      <c r="F766" s="19"/>
      <c r="G766" s="19"/>
      <c r="H766" s="19"/>
      <c r="I766" s="19"/>
      <c r="J766" s="19"/>
      <c r="K766" s="72"/>
      <c r="L766" s="73"/>
      <c r="M766" s="78"/>
    </row>
    <row r="767">
      <c r="A767" s="19"/>
      <c r="B767" s="19"/>
      <c r="C767" s="76"/>
      <c r="D767" s="19"/>
      <c r="E767" s="19"/>
      <c r="F767" s="19"/>
      <c r="G767" s="19"/>
      <c r="H767" s="19"/>
      <c r="I767" s="19"/>
      <c r="J767" s="19"/>
      <c r="K767" s="72"/>
      <c r="L767" s="73"/>
      <c r="M767" s="78"/>
    </row>
    <row r="768">
      <c r="A768" s="19"/>
      <c r="B768" s="19"/>
      <c r="C768" s="76"/>
      <c r="D768" s="19"/>
      <c r="E768" s="19"/>
      <c r="F768" s="19"/>
      <c r="G768" s="19"/>
      <c r="H768" s="19"/>
      <c r="I768" s="19"/>
      <c r="J768" s="19"/>
      <c r="K768" s="72"/>
      <c r="L768" s="73"/>
      <c r="M768" s="78"/>
    </row>
    <row r="769">
      <c r="A769" s="19"/>
      <c r="B769" s="19"/>
      <c r="C769" s="76"/>
      <c r="D769" s="19"/>
      <c r="E769" s="19"/>
      <c r="F769" s="19"/>
      <c r="G769" s="19"/>
      <c r="H769" s="19"/>
      <c r="I769" s="19"/>
      <c r="J769" s="19"/>
      <c r="K769" s="72"/>
      <c r="L769" s="73"/>
      <c r="M769" s="78"/>
    </row>
    <row r="770">
      <c r="A770" s="19"/>
      <c r="B770" s="19"/>
      <c r="C770" s="76"/>
      <c r="D770" s="19"/>
      <c r="E770" s="19"/>
      <c r="F770" s="19"/>
      <c r="G770" s="19"/>
      <c r="H770" s="19"/>
      <c r="I770" s="19"/>
      <c r="J770" s="19"/>
      <c r="K770" s="72"/>
      <c r="L770" s="73"/>
      <c r="M770" s="78"/>
    </row>
    <row r="771">
      <c r="A771" s="19"/>
      <c r="B771" s="19"/>
      <c r="C771" s="76"/>
      <c r="D771" s="19"/>
      <c r="E771" s="19"/>
      <c r="F771" s="19"/>
      <c r="G771" s="19"/>
      <c r="H771" s="19"/>
      <c r="I771" s="19"/>
      <c r="J771" s="19"/>
      <c r="K771" s="72"/>
      <c r="L771" s="73"/>
      <c r="M771" s="78"/>
    </row>
    <row r="772">
      <c r="A772" s="19"/>
      <c r="B772" s="19"/>
      <c r="C772" s="76"/>
      <c r="D772" s="19"/>
      <c r="E772" s="19"/>
      <c r="F772" s="19"/>
      <c r="G772" s="19"/>
      <c r="H772" s="19"/>
      <c r="I772" s="19"/>
      <c r="J772" s="19"/>
      <c r="K772" s="72"/>
      <c r="L772" s="73"/>
      <c r="M772" s="78"/>
    </row>
    <row r="773">
      <c r="A773" s="19"/>
      <c r="B773" s="19"/>
      <c r="C773" s="76"/>
      <c r="D773" s="19"/>
      <c r="E773" s="19"/>
      <c r="F773" s="19"/>
      <c r="G773" s="19"/>
      <c r="H773" s="19"/>
      <c r="I773" s="19"/>
      <c r="J773" s="19"/>
      <c r="K773" s="72"/>
      <c r="L773" s="73"/>
      <c r="M773" s="78"/>
    </row>
    <row r="774">
      <c r="A774" s="19"/>
      <c r="B774" s="19"/>
      <c r="C774" s="76"/>
      <c r="D774" s="19"/>
      <c r="E774" s="19"/>
      <c r="F774" s="19"/>
      <c r="G774" s="19"/>
      <c r="H774" s="19"/>
      <c r="I774" s="19"/>
      <c r="J774" s="19"/>
      <c r="K774" s="72"/>
      <c r="L774" s="73"/>
      <c r="M774" s="78"/>
    </row>
    <row r="775">
      <c r="A775" s="19"/>
      <c r="B775" s="19"/>
      <c r="C775" s="76"/>
      <c r="D775" s="19"/>
      <c r="E775" s="19"/>
      <c r="F775" s="19"/>
      <c r="G775" s="19"/>
      <c r="H775" s="19"/>
      <c r="I775" s="19"/>
      <c r="J775" s="19"/>
      <c r="K775" s="72"/>
      <c r="L775" s="73"/>
      <c r="M775" s="78"/>
    </row>
    <row r="776">
      <c r="A776" s="19"/>
      <c r="B776" s="19"/>
      <c r="C776" s="76"/>
      <c r="D776" s="19"/>
      <c r="E776" s="19"/>
      <c r="F776" s="19"/>
      <c r="G776" s="19"/>
      <c r="H776" s="19"/>
      <c r="I776" s="19"/>
      <c r="J776" s="19"/>
      <c r="K776" s="72"/>
      <c r="L776" s="73"/>
      <c r="M776" s="78"/>
    </row>
    <row r="777">
      <c r="A777" s="19"/>
      <c r="B777" s="19"/>
      <c r="C777" s="76"/>
      <c r="D777" s="19"/>
      <c r="E777" s="19"/>
      <c r="F777" s="19"/>
      <c r="G777" s="19"/>
      <c r="H777" s="19"/>
      <c r="I777" s="19"/>
      <c r="J777" s="19"/>
      <c r="K777" s="72"/>
      <c r="L777" s="73"/>
      <c r="M777" s="78"/>
    </row>
    <row r="778">
      <c r="A778" s="19"/>
      <c r="B778" s="19"/>
      <c r="C778" s="76"/>
      <c r="D778" s="19"/>
      <c r="E778" s="19"/>
      <c r="F778" s="19"/>
      <c r="G778" s="19"/>
      <c r="H778" s="19"/>
      <c r="I778" s="19"/>
      <c r="J778" s="19"/>
      <c r="K778" s="72"/>
      <c r="L778" s="73"/>
      <c r="M778" s="78"/>
    </row>
    <row r="779">
      <c r="A779" s="19"/>
      <c r="B779" s="19"/>
      <c r="C779" s="76"/>
      <c r="D779" s="19"/>
      <c r="E779" s="19"/>
      <c r="F779" s="19"/>
      <c r="G779" s="19"/>
      <c r="H779" s="19"/>
      <c r="I779" s="19"/>
      <c r="J779" s="19"/>
      <c r="K779" s="72"/>
      <c r="L779" s="73"/>
      <c r="M779" s="78"/>
    </row>
    <row r="780">
      <c r="A780" s="19"/>
      <c r="B780" s="19"/>
      <c r="C780" s="76"/>
      <c r="D780" s="19"/>
      <c r="E780" s="19"/>
      <c r="F780" s="19"/>
      <c r="G780" s="19"/>
      <c r="H780" s="19"/>
      <c r="I780" s="19"/>
      <c r="J780" s="19"/>
      <c r="K780" s="72"/>
      <c r="L780" s="73"/>
      <c r="M780" s="78"/>
    </row>
    <row r="781">
      <c r="A781" s="19"/>
      <c r="B781" s="19"/>
      <c r="C781" s="76"/>
      <c r="D781" s="19"/>
      <c r="E781" s="19"/>
      <c r="F781" s="19"/>
      <c r="G781" s="19"/>
      <c r="H781" s="19"/>
      <c r="I781" s="19"/>
      <c r="J781" s="19"/>
      <c r="K781" s="72"/>
      <c r="L781" s="73"/>
      <c r="M781" s="78"/>
    </row>
    <row r="782">
      <c r="A782" s="19"/>
      <c r="B782" s="19"/>
      <c r="C782" s="76"/>
      <c r="D782" s="19"/>
      <c r="E782" s="19"/>
      <c r="F782" s="19"/>
      <c r="G782" s="19"/>
      <c r="H782" s="19"/>
      <c r="I782" s="19"/>
      <c r="J782" s="19"/>
      <c r="K782" s="72"/>
      <c r="L782" s="73"/>
      <c r="M782" s="78"/>
    </row>
    <row r="783">
      <c r="A783" s="19"/>
      <c r="B783" s="19"/>
      <c r="C783" s="76"/>
      <c r="D783" s="19"/>
      <c r="E783" s="19"/>
      <c r="F783" s="19"/>
      <c r="G783" s="19"/>
      <c r="H783" s="19"/>
      <c r="I783" s="19"/>
      <c r="J783" s="19"/>
      <c r="K783" s="72"/>
      <c r="L783" s="73"/>
      <c r="M783" s="78"/>
    </row>
    <row r="784">
      <c r="A784" s="19"/>
      <c r="B784" s="19"/>
      <c r="C784" s="76"/>
      <c r="D784" s="19"/>
      <c r="E784" s="19"/>
      <c r="F784" s="19"/>
      <c r="G784" s="19"/>
      <c r="H784" s="19"/>
      <c r="I784" s="19"/>
      <c r="J784" s="19"/>
      <c r="K784" s="72"/>
      <c r="L784" s="73"/>
      <c r="M784" s="78"/>
    </row>
    <row r="785">
      <c r="A785" s="19"/>
      <c r="B785" s="19"/>
      <c r="C785" s="76"/>
      <c r="D785" s="19"/>
      <c r="E785" s="19"/>
      <c r="F785" s="19"/>
      <c r="G785" s="19"/>
      <c r="H785" s="19"/>
      <c r="I785" s="19"/>
      <c r="J785" s="19"/>
      <c r="K785" s="72"/>
      <c r="L785" s="73"/>
      <c r="M785" s="78"/>
    </row>
    <row r="786">
      <c r="A786" s="19"/>
      <c r="B786" s="19"/>
      <c r="C786" s="76"/>
      <c r="D786" s="19"/>
      <c r="E786" s="19"/>
      <c r="F786" s="19"/>
      <c r="G786" s="19"/>
      <c r="H786" s="19"/>
      <c r="I786" s="19"/>
      <c r="J786" s="19"/>
      <c r="K786" s="72"/>
      <c r="L786" s="73"/>
      <c r="M786" s="78"/>
    </row>
    <row r="787">
      <c r="A787" s="19"/>
      <c r="B787" s="19"/>
      <c r="C787" s="76"/>
      <c r="D787" s="19"/>
      <c r="E787" s="19"/>
      <c r="F787" s="19"/>
      <c r="G787" s="19"/>
      <c r="H787" s="19"/>
      <c r="I787" s="19"/>
      <c r="J787" s="19"/>
      <c r="K787" s="72"/>
      <c r="L787" s="73"/>
      <c r="M787" s="78"/>
    </row>
    <row r="788">
      <c r="A788" s="19"/>
      <c r="B788" s="19"/>
      <c r="C788" s="76"/>
      <c r="D788" s="19"/>
      <c r="E788" s="19"/>
      <c r="F788" s="19"/>
      <c r="G788" s="19"/>
      <c r="H788" s="19"/>
      <c r="I788" s="19"/>
      <c r="J788" s="19"/>
      <c r="K788" s="72"/>
      <c r="L788" s="73"/>
      <c r="M788" s="78"/>
    </row>
    <row r="789">
      <c r="A789" s="19"/>
      <c r="B789" s="19"/>
      <c r="C789" s="76"/>
      <c r="D789" s="19"/>
      <c r="E789" s="19"/>
      <c r="F789" s="19"/>
      <c r="G789" s="19"/>
      <c r="H789" s="19"/>
      <c r="I789" s="19"/>
      <c r="J789" s="19"/>
      <c r="K789" s="72"/>
      <c r="L789" s="73"/>
      <c r="M789" s="78"/>
    </row>
    <row r="790">
      <c r="A790" s="19"/>
      <c r="B790" s="19"/>
      <c r="C790" s="76"/>
      <c r="D790" s="19"/>
      <c r="E790" s="19"/>
      <c r="F790" s="19"/>
      <c r="G790" s="19"/>
      <c r="H790" s="19"/>
      <c r="I790" s="19"/>
      <c r="J790" s="19"/>
      <c r="K790" s="72"/>
      <c r="L790" s="73"/>
      <c r="M790" s="78"/>
    </row>
    <row r="791">
      <c r="A791" s="19"/>
      <c r="B791" s="19"/>
      <c r="C791" s="76"/>
      <c r="D791" s="19"/>
      <c r="E791" s="19"/>
      <c r="F791" s="19"/>
      <c r="G791" s="19"/>
      <c r="H791" s="19"/>
      <c r="I791" s="19"/>
      <c r="J791" s="19"/>
      <c r="K791" s="72"/>
      <c r="L791" s="73"/>
      <c r="M791" s="78"/>
    </row>
    <row r="792">
      <c r="A792" s="19"/>
      <c r="B792" s="19"/>
      <c r="C792" s="76"/>
      <c r="D792" s="19"/>
      <c r="E792" s="19"/>
      <c r="F792" s="19"/>
      <c r="G792" s="19"/>
      <c r="H792" s="19"/>
      <c r="I792" s="19"/>
      <c r="J792" s="19"/>
      <c r="K792" s="72"/>
      <c r="L792" s="73"/>
      <c r="M792" s="78"/>
    </row>
    <row r="793">
      <c r="A793" s="19"/>
      <c r="B793" s="19"/>
      <c r="C793" s="76"/>
      <c r="D793" s="19"/>
      <c r="E793" s="19"/>
      <c r="F793" s="19"/>
      <c r="G793" s="19"/>
      <c r="H793" s="19"/>
      <c r="I793" s="19"/>
      <c r="J793" s="19"/>
      <c r="K793" s="72"/>
      <c r="L793" s="73"/>
      <c r="M793" s="78"/>
    </row>
    <row r="794">
      <c r="A794" s="19"/>
      <c r="B794" s="19"/>
      <c r="C794" s="76"/>
      <c r="D794" s="19"/>
      <c r="E794" s="19"/>
      <c r="F794" s="19"/>
      <c r="G794" s="19"/>
      <c r="H794" s="19"/>
      <c r="I794" s="19"/>
      <c r="J794" s="19"/>
      <c r="K794" s="72"/>
      <c r="L794" s="73"/>
      <c r="M794" s="78"/>
    </row>
    <row r="795">
      <c r="A795" s="19"/>
      <c r="B795" s="19"/>
      <c r="C795" s="76"/>
      <c r="D795" s="19"/>
      <c r="E795" s="19"/>
      <c r="F795" s="19"/>
      <c r="G795" s="19"/>
      <c r="H795" s="19"/>
      <c r="I795" s="19"/>
      <c r="J795" s="19"/>
      <c r="K795" s="72"/>
      <c r="L795" s="73"/>
      <c r="M795" s="78"/>
    </row>
    <row r="796">
      <c r="A796" s="19"/>
      <c r="B796" s="19"/>
      <c r="C796" s="76"/>
      <c r="D796" s="19"/>
      <c r="E796" s="19"/>
      <c r="F796" s="19"/>
      <c r="G796" s="19"/>
      <c r="H796" s="19"/>
      <c r="I796" s="19"/>
      <c r="J796" s="19"/>
      <c r="K796" s="72"/>
      <c r="L796" s="73"/>
      <c r="M796" s="78"/>
    </row>
    <row r="797">
      <c r="A797" s="19"/>
      <c r="B797" s="19"/>
      <c r="C797" s="76"/>
      <c r="D797" s="19"/>
      <c r="E797" s="19"/>
      <c r="F797" s="19"/>
      <c r="G797" s="19"/>
      <c r="H797" s="19"/>
      <c r="I797" s="19"/>
      <c r="J797" s="19"/>
      <c r="K797" s="72"/>
      <c r="L797" s="73"/>
      <c r="M797" s="78"/>
    </row>
    <row r="798">
      <c r="A798" s="19"/>
      <c r="B798" s="19"/>
      <c r="C798" s="76"/>
      <c r="D798" s="19"/>
      <c r="E798" s="19"/>
      <c r="F798" s="19"/>
      <c r="G798" s="19"/>
      <c r="H798" s="19"/>
      <c r="I798" s="19"/>
      <c r="J798" s="19"/>
      <c r="K798" s="72"/>
      <c r="L798" s="73"/>
      <c r="M798" s="78"/>
    </row>
    <row r="799">
      <c r="A799" s="19"/>
      <c r="B799" s="19"/>
      <c r="C799" s="76"/>
      <c r="D799" s="19"/>
      <c r="E799" s="19"/>
      <c r="F799" s="19"/>
      <c r="G799" s="19"/>
      <c r="H799" s="19"/>
      <c r="I799" s="19"/>
      <c r="J799" s="19"/>
      <c r="K799" s="72"/>
      <c r="L799" s="73"/>
      <c r="M799" s="78"/>
    </row>
    <row r="800">
      <c r="A800" s="19"/>
      <c r="B800" s="19"/>
      <c r="C800" s="76"/>
      <c r="D800" s="19"/>
      <c r="E800" s="19"/>
      <c r="F800" s="19"/>
      <c r="G800" s="19"/>
      <c r="H800" s="19"/>
      <c r="I800" s="19"/>
      <c r="J800" s="19"/>
      <c r="K800" s="72"/>
      <c r="L800" s="73"/>
      <c r="M800" s="78"/>
    </row>
    <row r="801">
      <c r="A801" s="19"/>
      <c r="B801" s="19"/>
      <c r="C801" s="76"/>
      <c r="D801" s="19"/>
      <c r="E801" s="19"/>
      <c r="F801" s="19"/>
      <c r="G801" s="19"/>
      <c r="H801" s="19"/>
      <c r="I801" s="19"/>
      <c r="J801" s="19"/>
      <c r="K801" s="72"/>
      <c r="L801" s="73"/>
      <c r="M801" s="78"/>
    </row>
    <row r="802">
      <c r="A802" s="19"/>
      <c r="B802" s="19"/>
      <c r="C802" s="76"/>
      <c r="D802" s="19"/>
      <c r="E802" s="19"/>
      <c r="F802" s="19"/>
      <c r="G802" s="19"/>
      <c r="H802" s="19"/>
      <c r="I802" s="19"/>
      <c r="J802" s="19"/>
      <c r="K802" s="72"/>
      <c r="L802" s="73"/>
      <c r="M802" s="78"/>
    </row>
    <row r="803">
      <c r="A803" s="19"/>
      <c r="B803" s="19"/>
      <c r="C803" s="76"/>
      <c r="D803" s="19"/>
      <c r="E803" s="19"/>
      <c r="F803" s="19"/>
      <c r="G803" s="19"/>
      <c r="H803" s="19"/>
      <c r="I803" s="19"/>
      <c r="J803" s="19"/>
      <c r="K803" s="72"/>
      <c r="L803" s="73"/>
      <c r="M803" s="78"/>
    </row>
    <row r="804">
      <c r="A804" s="19"/>
      <c r="B804" s="19"/>
      <c r="C804" s="76"/>
      <c r="D804" s="19"/>
      <c r="E804" s="19"/>
      <c r="F804" s="19"/>
      <c r="G804" s="19"/>
      <c r="H804" s="19"/>
      <c r="I804" s="19"/>
      <c r="J804" s="19"/>
      <c r="K804" s="72"/>
      <c r="L804" s="73"/>
      <c r="M804" s="78"/>
    </row>
    <row r="805">
      <c r="A805" s="19"/>
      <c r="B805" s="19"/>
      <c r="C805" s="76"/>
      <c r="D805" s="19"/>
      <c r="E805" s="19"/>
      <c r="F805" s="19"/>
      <c r="G805" s="19"/>
      <c r="H805" s="19"/>
      <c r="I805" s="19"/>
      <c r="J805" s="19"/>
      <c r="K805" s="72"/>
      <c r="L805" s="73"/>
      <c r="M805" s="78"/>
    </row>
    <row r="806">
      <c r="A806" s="19"/>
      <c r="B806" s="19"/>
      <c r="C806" s="76"/>
      <c r="D806" s="19"/>
      <c r="E806" s="19"/>
      <c r="F806" s="19"/>
      <c r="G806" s="19"/>
      <c r="H806" s="19"/>
      <c r="I806" s="19"/>
      <c r="J806" s="19"/>
      <c r="K806" s="72"/>
      <c r="L806" s="73"/>
      <c r="M806" s="78"/>
    </row>
    <row r="807">
      <c r="A807" s="19"/>
      <c r="B807" s="19"/>
      <c r="C807" s="76"/>
      <c r="D807" s="19"/>
      <c r="E807" s="19"/>
      <c r="F807" s="19"/>
      <c r="G807" s="19"/>
      <c r="H807" s="19"/>
      <c r="I807" s="19"/>
      <c r="J807" s="19"/>
      <c r="K807" s="72"/>
      <c r="L807" s="73"/>
      <c r="M807" s="78"/>
    </row>
    <row r="808">
      <c r="A808" s="19"/>
      <c r="B808" s="19"/>
      <c r="C808" s="76"/>
      <c r="D808" s="19"/>
      <c r="E808" s="19"/>
      <c r="F808" s="19"/>
      <c r="G808" s="19"/>
      <c r="H808" s="19"/>
      <c r="I808" s="19"/>
      <c r="J808" s="19"/>
      <c r="K808" s="72"/>
      <c r="L808" s="73"/>
      <c r="M808" s="78"/>
    </row>
    <row r="809">
      <c r="A809" s="19"/>
      <c r="B809" s="19"/>
      <c r="C809" s="76"/>
      <c r="D809" s="19"/>
      <c r="E809" s="19"/>
      <c r="F809" s="19"/>
      <c r="G809" s="19"/>
      <c r="H809" s="19"/>
      <c r="I809" s="19"/>
      <c r="J809" s="19"/>
      <c r="K809" s="72"/>
      <c r="L809" s="73"/>
      <c r="M809" s="78"/>
    </row>
    <row r="810">
      <c r="A810" s="19"/>
      <c r="B810" s="19"/>
      <c r="C810" s="76"/>
      <c r="D810" s="19"/>
      <c r="E810" s="19"/>
      <c r="F810" s="19"/>
      <c r="G810" s="19"/>
      <c r="H810" s="19"/>
      <c r="I810" s="19"/>
      <c r="J810" s="19"/>
      <c r="K810" s="72"/>
      <c r="L810" s="73"/>
      <c r="M810" s="78"/>
    </row>
    <row r="811">
      <c r="A811" s="19"/>
      <c r="B811" s="19"/>
      <c r="C811" s="76"/>
      <c r="D811" s="19"/>
      <c r="E811" s="19"/>
      <c r="F811" s="19"/>
      <c r="G811" s="19"/>
      <c r="H811" s="19"/>
      <c r="I811" s="19"/>
      <c r="J811" s="19"/>
      <c r="K811" s="72"/>
      <c r="L811" s="73"/>
      <c r="M811" s="78"/>
    </row>
    <row r="812">
      <c r="A812" s="19"/>
      <c r="B812" s="19"/>
      <c r="C812" s="76"/>
      <c r="D812" s="19"/>
      <c r="E812" s="19"/>
      <c r="F812" s="19"/>
      <c r="G812" s="19"/>
      <c r="H812" s="19"/>
      <c r="I812" s="19"/>
      <c r="J812" s="19"/>
      <c r="K812" s="72"/>
      <c r="L812" s="73"/>
      <c r="M812" s="78"/>
    </row>
    <row r="813">
      <c r="A813" s="19"/>
      <c r="B813" s="19"/>
      <c r="C813" s="76"/>
      <c r="D813" s="19"/>
      <c r="E813" s="19"/>
      <c r="F813" s="19"/>
      <c r="G813" s="19"/>
      <c r="H813" s="19"/>
      <c r="I813" s="19"/>
      <c r="J813" s="19"/>
      <c r="K813" s="72"/>
      <c r="L813" s="73"/>
      <c r="M813" s="78"/>
    </row>
    <row r="814">
      <c r="A814" s="19"/>
      <c r="B814" s="19"/>
      <c r="C814" s="76"/>
      <c r="D814" s="19"/>
      <c r="E814" s="19"/>
      <c r="F814" s="19"/>
      <c r="G814" s="19"/>
      <c r="H814" s="19"/>
      <c r="I814" s="19"/>
      <c r="J814" s="19"/>
      <c r="K814" s="72"/>
      <c r="L814" s="73"/>
      <c r="M814" s="78"/>
    </row>
    <row r="815">
      <c r="A815" s="19"/>
      <c r="B815" s="19"/>
      <c r="C815" s="76"/>
      <c r="D815" s="19"/>
      <c r="E815" s="19"/>
      <c r="F815" s="19"/>
      <c r="G815" s="19"/>
      <c r="H815" s="19"/>
      <c r="I815" s="19"/>
      <c r="J815" s="19"/>
      <c r="K815" s="72"/>
      <c r="L815" s="73"/>
      <c r="M815" s="78"/>
    </row>
    <row r="816">
      <c r="A816" s="19"/>
      <c r="B816" s="19"/>
      <c r="C816" s="76"/>
      <c r="D816" s="19"/>
      <c r="E816" s="19"/>
      <c r="F816" s="19"/>
      <c r="G816" s="19"/>
      <c r="H816" s="19"/>
      <c r="I816" s="19"/>
      <c r="J816" s="19"/>
      <c r="K816" s="72"/>
      <c r="L816" s="73"/>
      <c r="M816" s="78"/>
    </row>
    <row r="817">
      <c r="A817" s="19"/>
      <c r="B817" s="19"/>
      <c r="C817" s="76"/>
      <c r="D817" s="19"/>
      <c r="E817" s="19"/>
      <c r="F817" s="19"/>
      <c r="G817" s="19"/>
      <c r="H817" s="19"/>
      <c r="I817" s="19"/>
      <c r="J817" s="19"/>
      <c r="K817" s="72"/>
      <c r="L817" s="73"/>
      <c r="M817" s="78"/>
    </row>
    <row r="818">
      <c r="A818" s="19"/>
      <c r="B818" s="19"/>
      <c r="C818" s="76"/>
      <c r="D818" s="19"/>
      <c r="E818" s="19"/>
      <c r="F818" s="19"/>
      <c r="G818" s="19"/>
      <c r="H818" s="19"/>
      <c r="I818" s="19"/>
      <c r="J818" s="19"/>
      <c r="K818" s="72"/>
      <c r="L818" s="73"/>
      <c r="M818" s="78"/>
    </row>
    <row r="819">
      <c r="A819" s="19"/>
      <c r="B819" s="19"/>
      <c r="C819" s="76"/>
      <c r="D819" s="19"/>
      <c r="E819" s="19"/>
      <c r="F819" s="19"/>
      <c r="G819" s="19"/>
      <c r="H819" s="19"/>
      <c r="I819" s="19"/>
      <c r="J819" s="19"/>
      <c r="K819" s="72"/>
      <c r="L819" s="73"/>
      <c r="M819" s="78"/>
    </row>
    <row r="820">
      <c r="A820" s="19"/>
      <c r="B820" s="19"/>
      <c r="C820" s="76"/>
      <c r="D820" s="19"/>
      <c r="E820" s="19"/>
      <c r="F820" s="19"/>
      <c r="G820" s="19"/>
      <c r="H820" s="19"/>
      <c r="I820" s="19"/>
      <c r="J820" s="19"/>
      <c r="K820" s="72"/>
      <c r="L820" s="73"/>
      <c r="M820" s="78"/>
    </row>
    <row r="821">
      <c r="A821" s="19"/>
      <c r="B821" s="19"/>
      <c r="C821" s="76"/>
      <c r="D821" s="19"/>
      <c r="E821" s="19"/>
      <c r="F821" s="19"/>
      <c r="G821" s="19"/>
      <c r="H821" s="19"/>
      <c r="I821" s="19"/>
      <c r="J821" s="19"/>
      <c r="K821" s="72"/>
      <c r="L821" s="73"/>
      <c r="M821" s="78"/>
    </row>
    <row r="822">
      <c r="A822" s="19"/>
      <c r="B822" s="19"/>
      <c r="C822" s="76"/>
      <c r="D822" s="19"/>
      <c r="E822" s="19"/>
      <c r="F822" s="19"/>
      <c r="G822" s="19"/>
      <c r="H822" s="19"/>
      <c r="I822" s="19"/>
      <c r="J822" s="19"/>
      <c r="K822" s="72"/>
      <c r="L822" s="73"/>
      <c r="M822" s="78"/>
    </row>
    <row r="823">
      <c r="A823" s="19"/>
      <c r="B823" s="19"/>
      <c r="C823" s="76"/>
      <c r="D823" s="19"/>
      <c r="E823" s="19"/>
      <c r="F823" s="19"/>
      <c r="G823" s="19"/>
      <c r="H823" s="19"/>
      <c r="I823" s="19"/>
      <c r="J823" s="19"/>
      <c r="K823" s="72"/>
      <c r="L823" s="73"/>
      <c r="M823" s="78"/>
    </row>
    <row r="824">
      <c r="A824" s="19"/>
      <c r="B824" s="19"/>
      <c r="C824" s="76"/>
      <c r="D824" s="19"/>
      <c r="E824" s="19"/>
      <c r="F824" s="19"/>
      <c r="G824" s="19"/>
      <c r="H824" s="19"/>
      <c r="I824" s="19"/>
      <c r="J824" s="19"/>
      <c r="K824" s="72"/>
      <c r="L824" s="73"/>
      <c r="M824" s="78"/>
    </row>
    <row r="825">
      <c r="A825" s="19"/>
      <c r="B825" s="19"/>
      <c r="C825" s="76"/>
      <c r="D825" s="19"/>
      <c r="E825" s="19"/>
      <c r="F825" s="19"/>
      <c r="G825" s="19"/>
      <c r="H825" s="19"/>
      <c r="I825" s="19"/>
      <c r="J825" s="19"/>
      <c r="K825" s="72"/>
      <c r="L825" s="73"/>
      <c r="M825" s="78"/>
    </row>
    <row r="826">
      <c r="A826" s="19"/>
      <c r="B826" s="19"/>
      <c r="C826" s="76"/>
      <c r="D826" s="19"/>
      <c r="E826" s="19"/>
      <c r="F826" s="19"/>
      <c r="G826" s="19"/>
      <c r="H826" s="19"/>
      <c r="I826" s="19"/>
      <c r="J826" s="19"/>
      <c r="K826" s="72"/>
      <c r="L826" s="73"/>
      <c r="M826" s="78"/>
    </row>
    <row r="827">
      <c r="A827" s="19"/>
      <c r="B827" s="19"/>
      <c r="C827" s="76"/>
      <c r="D827" s="19"/>
      <c r="E827" s="19"/>
      <c r="F827" s="19"/>
      <c r="G827" s="19"/>
      <c r="H827" s="19"/>
      <c r="I827" s="19"/>
      <c r="J827" s="19"/>
      <c r="K827" s="72"/>
      <c r="L827" s="73"/>
      <c r="M827" s="78"/>
    </row>
    <row r="828">
      <c r="A828" s="19"/>
      <c r="B828" s="19"/>
      <c r="C828" s="76"/>
      <c r="D828" s="19"/>
      <c r="E828" s="19"/>
      <c r="F828" s="19"/>
      <c r="G828" s="19"/>
      <c r="H828" s="19"/>
      <c r="I828" s="19"/>
      <c r="J828" s="19"/>
      <c r="K828" s="72"/>
      <c r="L828" s="73"/>
      <c r="M828" s="78"/>
    </row>
    <row r="829">
      <c r="A829" s="19"/>
      <c r="B829" s="19"/>
      <c r="C829" s="76"/>
      <c r="D829" s="19"/>
      <c r="E829" s="19"/>
      <c r="F829" s="19"/>
      <c r="G829" s="19"/>
      <c r="H829" s="19"/>
      <c r="I829" s="19"/>
      <c r="J829" s="19"/>
      <c r="K829" s="72"/>
      <c r="L829" s="73"/>
      <c r="M829" s="78"/>
    </row>
    <row r="830">
      <c r="A830" s="19"/>
      <c r="B830" s="19"/>
      <c r="C830" s="76"/>
      <c r="D830" s="19"/>
      <c r="E830" s="19"/>
      <c r="F830" s="19"/>
      <c r="G830" s="19"/>
      <c r="H830" s="19"/>
      <c r="I830" s="19"/>
      <c r="J830" s="19"/>
      <c r="K830" s="72"/>
      <c r="L830" s="73"/>
      <c r="M830" s="78"/>
    </row>
    <row r="831">
      <c r="A831" s="19"/>
      <c r="B831" s="19"/>
      <c r="C831" s="76"/>
      <c r="D831" s="19"/>
      <c r="E831" s="19"/>
      <c r="F831" s="19"/>
      <c r="G831" s="19"/>
      <c r="H831" s="19"/>
      <c r="I831" s="19"/>
      <c r="J831" s="19"/>
      <c r="K831" s="72"/>
      <c r="L831" s="73"/>
      <c r="M831" s="78"/>
    </row>
    <row r="832">
      <c r="A832" s="19"/>
      <c r="B832" s="19"/>
      <c r="C832" s="76"/>
      <c r="D832" s="19"/>
      <c r="E832" s="19"/>
      <c r="F832" s="19"/>
      <c r="G832" s="19"/>
      <c r="H832" s="19"/>
      <c r="I832" s="19"/>
      <c r="J832" s="19"/>
      <c r="K832" s="72"/>
      <c r="L832" s="73"/>
      <c r="M832" s="78"/>
    </row>
    <row r="833">
      <c r="A833" s="19"/>
      <c r="B833" s="19"/>
      <c r="C833" s="76"/>
      <c r="D833" s="19"/>
      <c r="E833" s="19"/>
      <c r="F833" s="19"/>
      <c r="G833" s="19"/>
      <c r="H833" s="19"/>
      <c r="I833" s="19"/>
      <c r="J833" s="19"/>
      <c r="K833" s="72"/>
      <c r="L833" s="73"/>
      <c r="M833" s="78"/>
    </row>
    <row r="834">
      <c r="A834" s="19"/>
      <c r="B834" s="19"/>
      <c r="C834" s="76"/>
      <c r="D834" s="19"/>
      <c r="E834" s="19"/>
      <c r="F834" s="19"/>
      <c r="G834" s="19"/>
      <c r="H834" s="19"/>
      <c r="I834" s="19"/>
      <c r="J834" s="19"/>
      <c r="K834" s="72"/>
      <c r="L834" s="73"/>
      <c r="M834" s="78"/>
    </row>
    <row r="835">
      <c r="A835" s="19"/>
      <c r="B835" s="19"/>
      <c r="C835" s="76"/>
      <c r="D835" s="19"/>
      <c r="E835" s="19"/>
      <c r="F835" s="19"/>
      <c r="G835" s="19"/>
      <c r="H835" s="19"/>
      <c r="I835" s="19"/>
      <c r="J835" s="19"/>
      <c r="K835" s="72"/>
      <c r="L835" s="73"/>
      <c r="M835" s="78"/>
    </row>
    <row r="836">
      <c r="A836" s="19"/>
      <c r="B836" s="19"/>
      <c r="C836" s="76"/>
      <c r="D836" s="19"/>
      <c r="E836" s="19"/>
      <c r="F836" s="19"/>
      <c r="G836" s="19"/>
      <c r="H836" s="19"/>
      <c r="I836" s="19"/>
      <c r="J836" s="19"/>
      <c r="K836" s="72"/>
      <c r="L836" s="73"/>
      <c r="M836" s="78"/>
    </row>
    <row r="837">
      <c r="A837" s="19"/>
      <c r="B837" s="19"/>
      <c r="C837" s="76"/>
      <c r="D837" s="19"/>
      <c r="E837" s="19"/>
      <c r="F837" s="19"/>
      <c r="G837" s="19"/>
      <c r="H837" s="19"/>
      <c r="I837" s="19"/>
      <c r="J837" s="19"/>
      <c r="K837" s="72"/>
      <c r="L837" s="73"/>
      <c r="M837" s="78"/>
    </row>
    <row r="838">
      <c r="A838" s="19"/>
      <c r="B838" s="19"/>
      <c r="C838" s="76"/>
      <c r="D838" s="19"/>
      <c r="E838" s="19"/>
      <c r="F838" s="19"/>
      <c r="G838" s="19"/>
      <c r="H838" s="19"/>
      <c r="I838" s="19"/>
      <c r="J838" s="19"/>
      <c r="K838" s="72"/>
      <c r="L838" s="73"/>
      <c r="M838" s="78"/>
    </row>
    <row r="839">
      <c r="A839" s="19"/>
      <c r="B839" s="19"/>
      <c r="C839" s="76"/>
      <c r="D839" s="19"/>
      <c r="E839" s="19"/>
      <c r="F839" s="19"/>
      <c r="G839" s="19"/>
      <c r="H839" s="19"/>
      <c r="I839" s="19"/>
      <c r="J839" s="19"/>
      <c r="K839" s="72"/>
      <c r="L839" s="73"/>
      <c r="M839" s="78"/>
    </row>
    <row r="840">
      <c r="A840" s="19"/>
      <c r="B840" s="19"/>
      <c r="C840" s="76"/>
      <c r="D840" s="19"/>
      <c r="E840" s="19"/>
      <c r="F840" s="19"/>
      <c r="G840" s="19"/>
      <c r="H840" s="19"/>
      <c r="I840" s="19"/>
      <c r="J840" s="19"/>
      <c r="K840" s="72"/>
      <c r="L840" s="73"/>
      <c r="M840" s="78"/>
    </row>
    <row r="841">
      <c r="A841" s="19"/>
      <c r="B841" s="19"/>
      <c r="C841" s="76"/>
      <c r="D841" s="19"/>
      <c r="E841" s="19"/>
      <c r="F841" s="19"/>
      <c r="G841" s="19"/>
      <c r="H841" s="19"/>
      <c r="I841" s="19"/>
      <c r="J841" s="19"/>
      <c r="K841" s="72"/>
      <c r="L841" s="73"/>
      <c r="M841" s="78"/>
    </row>
    <row r="842">
      <c r="A842" s="19"/>
      <c r="B842" s="19"/>
      <c r="C842" s="76"/>
      <c r="D842" s="19"/>
      <c r="E842" s="19"/>
      <c r="F842" s="19"/>
      <c r="G842" s="19"/>
      <c r="H842" s="19"/>
      <c r="I842" s="19"/>
      <c r="J842" s="19"/>
      <c r="K842" s="72"/>
      <c r="L842" s="73"/>
      <c r="M842" s="78"/>
    </row>
    <row r="843">
      <c r="A843" s="19"/>
      <c r="B843" s="19"/>
      <c r="C843" s="76"/>
      <c r="D843" s="19"/>
      <c r="E843" s="19"/>
      <c r="F843" s="19"/>
      <c r="G843" s="19"/>
      <c r="H843" s="19"/>
      <c r="I843" s="19"/>
      <c r="J843" s="19"/>
      <c r="K843" s="72"/>
      <c r="L843" s="73"/>
      <c r="M843" s="78"/>
    </row>
    <row r="844">
      <c r="A844" s="19"/>
      <c r="B844" s="19"/>
      <c r="C844" s="76"/>
      <c r="D844" s="19"/>
      <c r="E844" s="19"/>
      <c r="F844" s="19"/>
      <c r="G844" s="19"/>
      <c r="H844" s="19"/>
      <c r="I844" s="19"/>
      <c r="J844" s="19"/>
      <c r="K844" s="72"/>
      <c r="L844" s="73"/>
      <c r="M844" s="78"/>
    </row>
    <row r="845">
      <c r="A845" s="19"/>
      <c r="B845" s="19"/>
      <c r="C845" s="76"/>
      <c r="D845" s="19"/>
      <c r="E845" s="19"/>
      <c r="F845" s="19"/>
      <c r="G845" s="19"/>
      <c r="H845" s="19"/>
      <c r="I845" s="19"/>
      <c r="J845" s="19"/>
      <c r="K845" s="72"/>
      <c r="L845" s="73"/>
      <c r="M845" s="78"/>
    </row>
    <row r="846">
      <c r="A846" s="19"/>
      <c r="B846" s="19"/>
      <c r="C846" s="76"/>
      <c r="D846" s="19"/>
      <c r="E846" s="19"/>
      <c r="F846" s="19"/>
      <c r="G846" s="19"/>
      <c r="H846" s="19"/>
      <c r="I846" s="19"/>
      <c r="J846" s="19"/>
      <c r="K846" s="72"/>
      <c r="L846" s="73"/>
      <c r="M846" s="78"/>
    </row>
    <row r="847">
      <c r="A847" s="19"/>
      <c r="B847" s="19"/>
      <c r="C847" s="76"/>
      <c r="D847" s="19"/>
      <c r="E847" s="19"/>
      <c r="F847" s="19"/>
      <c r="G847" s="19"/>
      <c r="H847" s="19"/>
      <c r="I847" s="19"/>
      <c r="J847" s="19"/>
      <c r="K847" s="72"/>
      <c r="L847" s="73"/>
      <c r="M847" s="78"/>
    </row>
    <row r="848">
      <c r="A848" s="19"/>
      <c r="B848" s="19"/>
      <c r="C848" s="76"/>
      <c r="D848" s="19"/>
      <c r="E848" s="19"/>
      <c r="F848" s="19"/>
      <c r="G848" s="19"/>
      <c r="H848" s="19"/>
      <c r="I848" s="19"/>
      <c r="J848" s="19"/>
      <c r="K848" s="72"/>
      <c r="L848" s="73"/>
      <c r="M848" s="78"/>
    </row>
    <row r="849">
      <c r="A849" s="19"/>
      <c r="B849" s="19"/>
      <c r="C849" s="76"/>
      <c r="D849" s="19"/>
      <c r="E849" s="19"/>
      <c r="F849" s="19"/>
      <c r="G849" s="19"/>
      <c r="H849" s="19"/>
      <c r="I849" s="19"/>
      <c r="J849" s="19"/>
      <c r="K849" s="72"/>
      <c r="L849" s="73"/>
      <c r="M849" s="78"/>
    </row>
    <row r="850">
      <c r="A850" s="19"/>
      <c r="B850" s="19"/>
      <c r="C850" s="76"/>
      <c r="D850" s="19"/>
      <c r="E850" s="19"/>
      <c r="F850" s="19"/>
      <c r="G850" s="19"/>
      <c r="H850" s="19"/>
      <c r="I850" s="19"/>
      <c r="J850" s="19"/>
      <c r="K850" s="72"/>
      <c r="L850" s="73"/>
      <c r="M850" s="78"/>
    </row>
    <row r="851">
      <c r="A851" s="19"/>
      <c r="B851" s="19"/>
      <c r="C851" s="76"/>
      <c r="D851" s="19"/>
      <c r="E851" s="19"/>
      <c r="F851" s="19"/>
      <c r="G851" s="19"/>
      <c r="H851" s="19"/>
      <c r="I851" s="19"/>
      <c r="J851" s="19"/>
      <c r="K851" s="72"/>
      <c r="L851" s="73"/>
      <c r="M851" s="78"/>
    </row>
    <row r="852">
      <c r="A852" s="19"/>
      <c r="B852" s="19"/>
      <c r="C852" s="76"/>
      <c r="D852" s="19"/>
      <c r="E852" s="19"/>
      <c r="F852" s="19"/>
      <c r="G852" s="19"/>
      <c r="H852" s="19"/>
      <c r="I852" s="19"/>
      <c r="J852" s="19"/>
      <c r="K852" s="72"/>
      <c r="L852" s="73"/>
      <c r="M852" s="78"/>
    </row>
    <row r="853">
      <c r="A853" s="19"/>
      <c r="B853" s="19"/>
      <c r="C853" s="76"/>
      <c r="D853" s="19"/>
      <c r="E853" s="19"/>
      <c r="F853" s="19"/>
      <c r="G853" s="19"/>
      <c r="H853" s="19"/>
      <c r="I853" s="19"/>
      <c r="J853" s="19"/>
      <c r="K853" s="72"/>
      <c r="L853" s="73"/>
      <c r="M853" s="78"/>
    </row>
    <row r="854">
      <c r="A854" s="19"/>
      <c r="B854" s="19"/>
      <c r="C854" s="76"/>
      <c r="D854" s="19"/>
      <c r="E854" s="19"/>
      <c r="F854" s="19"/>
      <c r="G854" s="19"/>
      <c r="H854" s="19"/>
      <c r="I854" s="19"/>
      <c r="J854" s="19"/>
      <c r="K854" s="72"/>
      <c r="L854" s="73"/>
      <c r="M854" s="78"/>
    </row>
    <row r="855">
      <c r="A855" s="19"/>
      <c r="B855" s="19"/>
      <c r="C855" s="76"/>
      <c r="D855" s="19"/>
      <c r="E855" s="19"/>
      <c r="F855" s="19"/>
      <c r="G855" s="19"/>
      <c r="H855" s="19"/>
      <c r="I855" s="19"/>
      <c r="J855" s="19"/>
      <c r="K855" s="72"/>
      <c r="L855" s="73"/>
      <c r="M855" s="78"/>
    </row>
    <row r="856">
      <c r="A856" s="19"/>
      <c r="B856" s="19"/>
      <c r="C856" s="76"/>
      <c r="D856" s="19"/>
      <c r="E856" s="19"/>
      <c r="F856" s="19"/>
      <c r="G856" s="19"/>
      <c r="H856" s="19"/>
      <c r="I856" s="19"/>
      <c r="J856" s="19"/>
      <c r="K856" s="72"/>
      <c r="L856" s="73"/>
      <c r="M856" s="78"/>
    </row>
    <row r="857">
      <c r="A857" s="19"/>
      <c r="B857" s="19"/>
      <c r="C857" s="76"/>
      <c r="D857" s="19"/>
      <c r="E857" s="19"/>
      <c r="F857" s="19"/>
      <c r="G857" s="19"/>
      <c r="H857" s="19"/>
      <c r="I857" s="19"/>
      <c r="J857" s="19"/>
      <c r="K857" s="72"/>
      <c r="L857" s="73"/>
      <c r="M857" s="78"/>
    </row>
    <row r="858">
      <c r="A858" s="19"/>
      <c r="B858" s="19"/>
      <c r="C858" s="76"/>
      <c r="D858" s="19"/>
      <c r="E858" s="19"/>
      <c r="F858" s="19"/>
      <c r="G858" s="19"/>
      <c r="H858" s="19"/>
      <c r="I858" s="19"/>
      <c r="J858" s="19"/>
      <c r="K858" s="72"/>
      <c r="L858" s="73"/>
      <c r="M858" s="78"/>
    </row>
    <row r="859">
      <c r="A859" s="19"/>
      <c r="B859" s="19"/>
      <c r="C859" s="76"/>
      <c r="D859" s="19"/>
      <c r="E859" s="19"/>
      <c r="F859" s="19"/>
      <c r="G859" s="19"/>
      <c r="H859" s="19"/>
      <c r="I859" s="19"/>
      <c r="J859" s="19"/>
      <c r="K859" s="72"/>
      <c r="L859" s="73"/>
      <c r="M859" s="78"/>
    </row>
    <row r="860">
      <c r="A860" s="19"/>
      <c r="B860" s="19"/>
      <c r="C860" s="76"/>
      <c r="D860" s="19"/>
      <c r="E860" s="19"/>
      <c r="F860" s="19"/>
      <c r="G860" s="19"/>
      <c r="H860" s="19"/>
      <c r="I860" s="19"/>
      <c r="J860" s="19"/>
      <c r="K860" s="72"/>
      <c r="L860" s="73"/>
      <c r="M860" s="78"/>
    </row>
    <row r="861">
      <c r="A861" s="19"/>
      <c r="B861" s="19"/>
      <c r="C861" s="76"/>
      <c r="D861" s="19"/>
      <c r="E861" s="19"/>
      <c r="F861" s="19"/>
      <c r="G861" s="19"/>
      <c r="H861" s="19"/>
      <c r="I861" s="19"/>
      <c r="J861" s="19"/>
      <c r="K861" s="72"/>
      <c r="L861" s="73"/>
      <c r="M861" s="78"/>
    </row>
    <row r="862">
      <c r="A862" s="19"/>
      <c r="B862" s="19"/>
      <c r="C862" s="76"/>
      <c r="D862" s="19"/>
      <c r="E862" s="19"/>
      <c r="F862" s="19"/>
      <c r="G862" s="19"/>
      <c r="H862" s="19"/>
      <c r="I862" s="19"/>
      <c r="J862" s="19"/>
      <c r="K862" s="72"/>
      <c r="L862" s="73"/>
      <c r="M862" s="78"/>
    </row>
    <row r="863">
      <c r="A863" s="19"/>
      <c r="B863" s="19"/>
      <c r="C863" s="76"/>
      <c r="D863" s="19"/>
      <c r="E863" s="19"/>
      <c r="F863" s="19"/>
      <c r="G863" s="19"/>
      <c r="H863" s="19"/>
      <c r="I863" s="19"/>
      <c r="J863" s="19"/>
      <c r="K863" s="72"/>
      <c r="L863" s="73"/>
      <c r="M863" s="78"/>
    </row>
    <row r="864">
      <c r="A864" s="19"/>
      <c r="B864" s="19"/>
      <c r="C864" s="76"/>
      <c r="D864" s="19"/>
      <c r="E864" s="19"/>
      <c r="F864" s="19"/>
      <c r="G864" s="19"/>
      <c r="H864" s="19"/>
      <c r="I864" s="19"/>
      <c r="J864" s="19"/>
      <c r="K864" s="72"/>
      <c r="L864" s="73"/>
      <c r="M864" s="78"/>
    </row>
    <row r="865">
      <c r="A865" s="19"/>
      <c r="B865" s="19"/>
      <c r="C865" s="76"/>
      <c r="D865" s="19"/>
      <c r="E865" s="19"/>
      <c r="F865" s="19"/>
      <c r="G865" s="19"/>
      <c r="H865" s="19"/>
      <c r="I865" s="19"/>
      <c r="J865" s="19"/>
      <c r="K865" s="72"/>
      <c r="L865" s="73"/>
      <c r="M865" s="78"/>
    </row>
    <row r="866">
      <c r="A866" s="19"/>
      <c r="B866" s="19"/>
      <c r="C866" s="76"/>
      <c r="D866" s="19"/>
      <c r="E866" s="19"/>
      <c r="F866" s="19"/>
      <c r="G866" s="19"/>
      <c r="H866" s="19"/>
      <c r="I866" s="19"/>
      <c r="J866" s="19"/>
      <c r="K866" s="72"/>
      <c r="L866" s="73"/>
      <c r="M866" s="78"/>
    </row>
    <row r="867">
      <c r="A867" s="19"/>
      <c r="B867" s="19"/>
      <c r="C867" s="76"/>
      <c r="D867" s="19"/>
      <c r="E867" s="19"/>
      <c r="F867" s="19"/>
      <c r="G867" s="19"/>
      <c r="H867" s="19"/>
      <c r="I867" s="19"/>
      <c r="J867" s="19"/>
      <c r="K867" s="72"/>
      <c r="L867" s="73"/>
      <c r="M867" s="78"/>
    </row>
    <row r="868">
      <c r="A868" s="19"/>
      <c r="B868" s="19"/>
      <c r="C868" s="76"/>
      <c r="D868" s="19"/>
      <c r="E868" s="19"/>
      <c r="F868" s="19"/>
      <c r="G868" s="19"/>
      <c r="H868" s="19"/>
      <c r="I868" s="19"/>
      <c r="J868" s="19"/>
      <c r="K868" s="72"/>
      <c r="L868" s="73"/>
      <c r="M868" s="78"/>
    </row>
    <row r="869">
      <c r="A869" s="19"/>
      <c r="B869" s="19"/>
      <c r="C869" s="76"/>
      <c r="D869" s="19"/>
      <c r="E869" s="19"/>
      <c r="F869" s="19"/>
      <c r="G869" s="19"/>
      <c r="H869" s="19"/>
      <c r="I869" s="19"/>
      <c r="J869" s="19"/>
      <c r="K869" s="72"/>
      <c r="L869" s="73"/>
      <c r="M869" s="78"/>
    </row>
    <row r="870">
      <c r="A870" s="19"/>
      <c r="B870" s="19"/>
      <c r="C870" s="76"/>
      <c r="D870" s="19"/>
      <c r="E870" s="19"/>
      <c r="F870" s="19"/>
      <c r="G870" s="19"/>
      <c r="H870" s="19"/>
      <c r="I870" s="19"/>
      <c r="J870" s="19"/>
      <c r="K870" s="72"/>
      <c r="L870" s="73"/>
      <c r="M870" s="78"/>
    </row>
    <row r="871">
      <c r="A871" s="19"/>
      <c r="B871" s="19"/>
      <c r="C871" s="76"/>
      <c r="D871" s="19"/>
      <c r="E871" s="19"/>
      <c r="F871" s="19"/>
      <c r="G871" s="19"/>
      <c r="H871" s="19"/>
      <c r="I871" s="19"/>
      <c r="J871" s="19"/>
      <c r="K871" s="72"/>
      <c r="L871" s="73"/>
      <c r="M871" s="78"/>
    </row>
    <row r="872">
      <c r="A872" s="19"/>
      <c r="B872" s="19"/>
      <c r="C872" s="76"/>
      <c r="D872" s="19"/>
      <c r="E872" s="19"/>
      <c r="F872" s="19"/>
      <c r="G872" s="19"/>
      <c r="H872" s="19"/>
      <c r="I872" s="19"/>
      <c r="J872" s="19"/>
      <c r="K872" s="72"/>
      <c r="L872" s="73"/>
      <c r="M872" s="78"/>
    </row>
    <row r="873">
      <c r="A873" s="19"/>
      <c r="B873" s="19"/>
      <c r="C873" s="76"/>
      <c r="D873" s="19"/>
      <c r="E873" s="19"/>
      <c r="F873" s="19"/>
      <c r="G873" s="19"/>
      <c r="H873" s="19"/>
      <c r="I873" s="19"/>
      <c r="J873" s="19"/>
      <c r="K873" s="72"/>
      <c r="L873" s="73"/>
      <c r="M873" s="78"/>
    </row>
    <row r="874">
      <c r="A874" s="19"/>
      <c r="B874" s="19"/>
      <c r="C874" s="76"/>
      <c r="D874" s="19"/>
      <c r="E874" s="19"/>
      <c r="F874" s="19"/>
      <c r="G874" s="19"/>
      <c r="H874" s="19"/>
      <c r="I874" s="19"/>
      <c r="J874" s="19"/>
      <c r="K874" s="72"/>
      <c r="L874" s="73"/>
      <c r="M874" s="78"/>
    </row>
    <row r="875">
      <c r="A875" s="19"/>
      <c r="B875" s="19"/>
      <c r="C875" s="76"/>
      <c r="D875" s="19"/>
      <c r="E875" s="19"/>
      <c r="F875" s="19"/>
      <c r="G875" s="19"/>
      <c r="H875" s="19"/>
      <c r="I875" s="19"/>
      <c r="J875" s="19"/>
      <c r="K875" s="72"/>
      <c r="L875" s="73"/>
      <c r="M875" s="78"/>
    </row>
    <row r="876">
      <c r="A876" s="19"/>
      <c r="B876" s="19"/>
      <c r="C876" s="76"/>
      <c r="D876" s="19"/>
      <c r="E876" s="19"/>
      <c r="F876" s="19"/>
      <c r="G876" s="19"/>
      <c r="H876" s="19"/>
      <c r="I876" s="19"/>
      <c r="J876" s="19"/>
      <c r="K876" s="72"/>
      <c r="L876" s="73"/>
      <c r="M876" s="78"/>
    </row>
    <row r="877">
      <c r="A877" s="19"/>
      <c r="B877" s="19"/>
      <c r="C877" s="76"/>
      <c r="D877" s="19"/>
      <c r="E877" s="19"/>
      <c r="F877" s="19"/>
      <c r="G877" s="19"/>
      <c r="H877" s="19"/>
      <c r="I877" s="19"/>
      <c r="J877" s="19"/>
      <c r="K877" s="72"/>
      <c r="L877" s="73"/>
      <c r="M877" s="78"/>
    </row>
    <row r="878">
      <c r="A878" s="19"/>
      <c r="B878" s="19"/>
      <c r="C878" s="76"/>
      <c r="D878" s="19"/>
      <c r="E878" s="19"/>
      <c r="F878" s="19"/>
      <c r="G878" s="19"/>
      <c r="H878" s="19"/>
      <c r="I878" s="19"/>
      <c r="J878" s="19"/>
      <c r="K878" s="72"/>
      <c r="L878" s="73"/>
      <c r="M878" s="78"/>
    </row>
    <row r="879">
      <c r="A879" s="19"/>
      <c r="B879" s="19"/>
      <c r="C879" s="76"/>
      <c r="D879" s="19"/>
      <c r="E879" s="19"/>
      <c r="F879" s="19"/>
      <c r="G879" s="19"/>
      <c r="H879" s="19"/>
      <c r="I879" s="19"/>
      <c r="J879" s="19"/>
      <c r="K879" s="72"/>
      <c r="L879" s="73"/>
      <c r="M879" s="78"/>
    </row>
    <row r="880">
      <c r="A880" s="19"/>
      <c r="B880" s="19"/>
      <c r="C880" s="76"/>
      <c r="D880" s="19"/>
      <c r="E880" s="19"/>
      <c r="F880" s="19"/>
      <c r="G880" s="19"/>
      <c r="H880" s="19"/>
      <c r="I880" s="19"/>
      <c r="J880" s="19"/>
      <c r="K880" s="72"/>
      <c r="L880" s="73"/>
      <c r="M880" s="78"/>
    </row>
    <row r="881">
      <c r="A881" s="19"/>
      <c r="B881" s="19"/>
      <c r="C881" s="76"/>
      <c r="D881" s="19"/>
      <c r="E881" s="19"/>
      <c r="F881" s="19"/>
      <c r="G881" s="19"/>
      <c r="H881" s="19"/>
      <c r="I881" s="19"/>
      <c r="J881" s="19"/>
      <c r="K881" s="72"/>
      <c r="L881" s="73"/>
      <c r="M881" s="78"/>
    </row>
    <row r="882">
      <c r="A882" s="19"/>
      <c r="B882" s="19"/>
      <c r="C882" s="76"/>
      <c r="D882" s="19"/>
      <c r="E882" s="19"/>
      <c r="F882" s="19"/>
      <c r="G882" s="19"/>
      <c r="H882" s="19"/>
      <c r="I882" s="19"/>
      <c r="J882" s="19"/>
      <c r="K882" s="72"/>
      <c r="L882" s="73"/>
      <c r="M882" s="78"/>
    </row>
    <row r="883">
      <c r="A883" s="19"/>
      <c r="B883" s="19"/>
      <c r="C883" s="76"/>
      <c r="D883" s="19"/>
      <c r="E883" s="19"/>
      <c r="F883" s="19"/>
      <c r="G883" s="19"/>
      <c r="H883" s="19"/>
      <c r="I883" s="19"/>
      <c r="J883" s="19"/>
      <c r="K883" s="72"/>
      <c r="L883" s="73"/>
      <c r="M883" s="78"/>
    </row>
    <row r="884">
      <c r="A884" s="19"/>
      <c r="B884" s="19"/>
      <c r="C884" s="76"/>
      <c r="D884" s="19"/>
      <c r="E884" s="19"/>
      <c r="F884" s="19"/>
      <c r="G884" s="19"/>
      <c r="H884" s="19"/>
      <c r="I884" s="19"/>
      <c r="J884" s="19"/>
      <c r="K884" s="72"/>
      <c r="L884" s="73"/>
      <c r="M884" s="78"/>
    </row>
    <row r="885">
      <c r="A885" s="19"/>
      <c r="B885" s="19"/>
      <c r="C885" s="76"/>
      <c r="D885" s="19"/>
      <c r="E885" s="19"/>
      <c r="F885" s="19"/>
      <c r="G885" s="19"/>
      <c r="H885" s="19"/>
      <c r="I885" s="19"/>
      <c r="J885" s="19"/>
      <c r="K885" s="72"/>
      <c r="L885" s="73"/>
      <c r="M885" s="78"/>
    </row>
    <row r="886">
      <c r="A886" s="19"/>
      <c r="B886" s="19"/>
      <c r="C886" s="76"/>
      <c r="D886" s="19"/>
      <c r="E886" s="19"/>
      <c r="F886" s="19"/>
      <c r="G886" s="19"/>
      <c r="H886" s="19"/>
      <c r="I886" s="19"/>
      <c r="J886" s="19"/>
      <c r="K886" s="72"/>
      <c r="L886" s="73"/>
      <c r="M886" s="78"/>
    </row>
    <row r="887">
      <c r="A887" s="19"/>
      <c r="B887" s="19"/>
      <c r="C887" s="76"/>
      <c r="D887" s="19"/>
      <c r="E887" s="19"/>
      <c r="F887" s="19"/>
      <c r="G887" s="19"/>
      <c r="H887" s="19"/>
      <c r="I887" s="19"/>
      <c r="J887" s="19"/>
      <c r="K887" s="72"/>
      <c r="L887" s="73"/>
      <c r="M887" s="78"/>
    </row>
    <row r="888">
      <c r="A888" s="19"/>
      <c r="B888" s="19"/>
      <c r="C888" s="76"/>
      <c r="D888" s="19"/>
      <c r="E888" s="19"/>
      <c r="F888" s="19"/>
      <c r="G888" s="19"/>
      <c r="H888" s="19"/>
      <c r="I888" s="19"/>
      <c r="J888" s="19"/>
      <c r="K888" s="72"/>
      <c r="L888" s="73"/>
      <c r="M888" s="78"/>
    </row>
    <row r="889">
      <c r="A889" s="19"/>
      <c r="B889" s="19"/>
      <c r="C889" s="76"/>
      <c r="D889" s="19"/>
      <c r="E889" s="19"/>
      <c r="F889" s="19"/>
      <c r="G889" s="19"/>
      <c r="H889" s="19"/>
      <c r="I889" s="19"/>
      <c r="J889" s="19"/>
      <c r="K889" s="72"/>
      <c r="L889" s="73"/>
      <c r="M889" s="78"/>
    </row>
    <row r="890">
      <c r="A890" s="19"/>
      <c r="B890" s="19"/>
      <c r="C890" s="76"/>
      <c r="D890" s="19"/>
      <c r="E890" s="19"/>
      <c r="F890" s="19"/>
      <c r="G890" s="19"/>
      <c r="H890" s="19"/>
      <c r="I890" s="19"/>
      <c r="J890" s="19"/>
      <c r="K890" s="72"/>
      <c r="L890" s="73"/>
      <c r="M890" s="78"/>
    </row>
    <row r="891">
      <c r="A891" s="19"/>
      <c r="B891" s="19"/>
      <c r="C891" s="76"/>
      <c r="D891" s="19"/>
      <c r="E891" s="19"/>
      <c r="F891" s="19"/>
      <c r="G891" s="19"/>
      <c r="H891" s="19"/>
      <c r="I891" s="19"/>
      <c r="J891" s="19"/>
      <c r="K891" s="72"/>
      <c r="L891" s="73"/>
      <c r="M891" s="78"/>
    </row>
    <row r="892">
      <c r="A892" s="19"/>
      <c r="B892" s="19"/>
      <c r="C892" s="76"/>
      <c r="D892" s="19"/>
      <c r="E892" s="19"/>
      <c r="F892" s="19"/>
      <c r="G892" s="19"/>
      <c r="H892" s="19"/>
      <c r="I892" s="19"/>
      <c r="J892" s="19"/>
      <c r="K892" s="72"/>
      <c r="L892" s="73"/>
      <c r="M892" s="78"/>
    </row>
    <row r="893">
      <c r="A893" s="19"/>
      <c r="B893" s="19"/>
      <c r="C893" s="76"/>
      <c r="D893" s="19"/>
      <c r="E893" s="19"/>
      <c r="F893" s="19"/>
      <c r="G893" s="19"/>
      <c r="H893" s="19"/>
      <c r="I893" s="19"/>
      <c r="J893" s="19"/>
      <c r="K893" s="72"/>
      <c r="L893" s="73"/>
      <c r="M893" s="78"/>
    </row>
    <row r="894">
      <c r="A894" s="19"/>
      <c r="B894" s="19"/>
      <c r="C894" s="76"/>
      <c r="D894" s="19"/>
      <c r="E894" s="19"/>
      <c r="F894" s="19"/>
      <c r="G894" s="19"/>
      <c r="H894" s="19"/>
      <c r="I894" s="19"/>
      <c r="J894" s="19"/>
      <c r="K894" s="72"/>
      <c r="L894" s="73"/>
      <c r="M894" s="78"/>
    </row>
    <row r="895">
      <c r="A895" s="19"/>
      <c r="B895" s="19"/>
      <c r="C895" s="76"/>
      <c r="D895" s="19"/>
      <c r="E895" s="19"/>
      <c r="F895" s="19"/>
      <c r="G895" s="19"/>
      <c r="H895" s="19"/>
      <c r="I895" s="19"/>
      <c r="J895" s="19"/>
      <c r="K895" s="72"/>
      <c r="L895" s="73"/>
      <c r="M895" s="78"/>
    </row>
    <row r="896">
      <c r="A896" s="19"/>
      <c r="B896" s="19"/>
      <c r="C896" s="76"/>
      <c r="D896" s="19"/>
      <c r="E896" s="19"/>
      <c r="F896" s="19"/>
      <c r="G896" s="19"/>
      <c r="H896" s="19"/>
      <c r="I896" s="19"/>
      <c r="J896" s="19"/>
      <c r="K896" s="72"/>
      <c r="L896" s="73"/>
      <c r="M896" s="78"/>
    </row>
    <row r="897">
      <c r="A897" s="19"/>
      <c r="B897" s="19"/>
      <c r="C897" s="76"/>
      <c r="D897" s="19"/>
      <c r="E897" s="19"/>
      <c r="F897" s="19"/>
      <c r="G897" s="19"/>
      <c r="H897" s="19"/>
      <c r="I897" s="19"/>
      <c r="J897" s="19"/>
      <c r="K897" s="72"/>
      <c r="L897" s="73"/>
      <c r="M897" s="78"/>
    </row>
    <row r="898">
      <c r="A898" s="19"/>
      <c r="B898" s="19"/>
      <c r="C898" s="76"/>
      <c r="D898" s="19"/>
      <c r="E898" s="19"/>
      <c r="F898" s="19"/>
      <c r="G898" s="19"/>
      <c r="H898" s="19"/>
      <c r="I898" s="19"/>
      <c r="J898" s="19"/>
      <c r="K898" s="72"/>
      <c r="L898" s="73"/>
      <c r="M898" s="78"/>
    </row>
    <row r="899">
      <c r="A899" s="19"/>
      <c r="B899" s="19"/>
      <c r="C899" s="76"/>
      <c r="D899" s="19"/>
      <c r="E899" s="19"/>
      <c r="F899" s="19"/>
      <c r="G899" s="19"/>
      <c r="H899" s="19"/>
      <c r="I899" s="19"/>
      <c r="J899" s="19"/>
      <c r="K899" s="72"/>
      <c r="L899" s="73"/>
      <c r="M899" s="78"/>
    </row>
    <row r="900">
      <c r="A900" s="19"/>
      <c r="B900" s="19"/>
      <c r="C900" s="76"/>
      <c r="D900" s="19"/>
      <c r="E900" s="19"/>
      <c r="F900" s="19"/>
      <c r="G900" s="19"/>
      <c r="H900" s="19"/>
      <c r="I900" s="19"/>
      <c r="J900" s="19"/>
      <c r="K900" s="72"/>
      <c r="L900" s="73"/>
      <c r="M900" s="78"/>
    </row>
    <row r="901">
      <c r="A901" s="19"/>
      <c r="B901" s="19"/>
      <c r="C901" s="76"/>
      <c r="D901" s="19"/>
      <c r="E901" s="19"/>
      <c r="F901" s="19"/>
      <c r="G901" s="19"/>
      <c r="H901" s="19"/>
      <c r="I901" s="19"/>
      <c r="J901" s="19"/>
      <c r="K901" s="72"/>
      <c r="L901" s="73"/>
      <c r="M901" s="78"/>
    </row>
    <row r="902">
      <c r="A902" s="19"/>
      <c r="B902" s="19"/>
      <c r="C902" s="76"/>
      <c r="D902" s="19"/>
      <c r="E902" s="19"/>
      <c r="F902" s="19"/>
      <c r="G902" s="19"/>
      <c r="H902" s="19"/>
      <c r="I902" s="19"/>
      <c r="J902" s="19"/>
      <c r="K902" s="72"/>
      <c r="L902" s="73"/>
      <c r="M902" s="78"/>
    </row>
    <row r="903">
      <c r="A903" s="19"/>
      <c r="B903" s="19"/>
      <c r="C903" s="76"/>
      <c r="D903" s="19"/>
      <c r="E903" s="19"/>
      <c r="F903" s="19"/>
      <c r="G903" s="19"/>
      <c r="H903" s="19"/>
      <c r="I903" s="19"/>
      <c r="J903" s="19"/>
      <c r="K903" s="72"/>
      <c r="L903" s="73"/>
      <c r="M903" s="78"/>
    </row>
    <row r="904">
      <c r="A904" s="19"/>
      <c r="B904" s="19"/>
      <c r="C904" s="76"/>
      <c r="D904" s="19"/>
      <c r="E904" s="19"/>
      <c r="F904" s="19"/>
      <c r="G904" s="19"/>
      <c r="H904" s="19"/>
      <c r="I904" s="19"/>
      <c r="J904" s="19"/>
      <c r="K904" s="72"/>
      <c r="L904" s="73"/>
      <c r="M904" s="78"/>
    </row>
    <row r="905">
      <c r="A905" s="19"/>
      <c r="B905" s="19"/>
      <c r="C905" s="76"/>
      <c r="D905" s="19"/>
      <c r="E905" s="19"/>
      <c r="F905" s="19"/>
      <c r="G905" s="19"/>
      <c r="H905" s="19"/>
      <c r="I905" s="19"/>
      <c r="J905" s="19"/>
      <c r="K905" s="72"/>
      <c r="L905" s="73"/>
      <c r="M905" s="78"/>
    </row>
    <row r="906">
      <c r="A906" s="19"/>
      <c r="B906" s="19"/>
      <c r="C906" s="76"/>
      <c r="D906" s="19"/>
      <c r="E906" s="19"/>
      <c r="F906" s="19"/>
      <c r="G906" s="19"/>
      <c r="H906" s="19"/>
      <c r="I906" s="19"/>
      <c r="J906" s="19"/>
      <c r="K906" s="72"/>
      <c r="L906" s="73"/>
      <c r="M906" s="78"/>
    </row>
    <row r="907">
      <c r="A907" s="19"/>
      <c r="B907" s="19"/>
      <c r="C907" s="76"/>
      <c r="D907" s="19"/>
      <c r="E907" s="19"/>
      <c r="F907" s="19"/>
      <c r="G907" s="19"/>
      <c r="H907" s="19"/>
      <c r="I907" s="19"/>
      <c r="J907" s="19"/>
      <c r="K907" s="72"/>
      <c r="L907" s="73"/>
      <c r="M907" s="78"/>
    </row>
    <row r="908">
      <c r="A908" s="19"/>
      <c r="B908" s="19"/>
      <c r="C908" s="76"/>
      <c r="D908" s="19"/>
      <c r="E908" s="19"/>
      <c r="F908" s="19"/>
      <c r="G908" s="19"/>
      <c r="H908" s="19"/>
      <c r="I908" s="19"/>
      <c r="J908" s="19"/>
      <c r="K908" s="72"/>
      <c r="L908" s="73"/>
      <c r="M908" s="78"/>
    </row>
    <row r="909">
      <c r="A909" s="19"/>
      <c r="B909" s="19"/>
      <c r="C909" s="76"/>
      <c r="D909" s="19"/>
      <c r="E909" s="19"/>
      <c r="F909" s="19"/>
      <c r="G909" s="19"/>
      <c r="H909" s="19"/>
      <c r="I909" s="19"/>
      <c r="J909" s="19"/>
      <c r="K909" s="72"/>
      <c r="L909" s="73"/>
      <c r="M909" s="78"/>
    </row>
    <row r="910">
      <c r="A910" s="19"/>
      <c r="B910" s="19"/>
      <c r="C910" s="76"/>
      <c r="D910" s="19"/>
      <c r="E910" s="19"/>
      <c r="F910" s="19"/>
      <c r="G910" s="19"/>
      <c r="H910" s="19"/>
      <c r="I910" s="19"/>
      <c r="J910" s="19"/>
      <c r="K910" s="72"/>
      <c r="L910" s="73"/>
      <c r="M910" s="78"/>
    </row>
    <row r="911">
      <c r="A911" s="19"/>
      <c r="B911" s="19"/>
      <c r="C911" s="76"/>
      <c r="D911" s="19"/>
      <c r="E911" s="19"/>
      <c r="F911" s="19"/>
      <c r="G911" s="19"/>
      <c r="H911" s="19"/>
      <c r="I911" s="19"/>
      <c r="J911" s="19"/>
      <c r="K911" s="72"/>
      <c r="L911" s="73"/>
      <c r="M911" s="78"/>
    </row>
    <row r="912">
      <c r="A912" s="19"/>
      <c r="B912" s="19"/>
      <c r="C912" s="76"/>
      <c r="D912" s="19"/>
      <c r="E912" s="19"/>
      <c r="F912" s="19"/>
      <c r="G912" s="19"/>
      <c r="H912" s="19"/>
      <c r="I912" s="19"/>
      <c r="J912" s="19"/>
      <c r="K912" s="72"/>
      <c r="L912" s="73"/>
      <c r="M912" s="78"/>
    </row>
    <row r="913">
      <c r="A913" s="19"/>
      <c r="B913" s="19"/>
      <c r="C913" s="76"/>
      <c r="D913" s="19"/>
      <c r="E913" s="19"/>
      <c r="F913" s="19"/>
      <c r="G913" s="19"/>
      <c r="H913" s="19"/>
      <c r="I913" s="19"/>
      <c r="J913" s="19"/>
      <c r="K913" s="72"/>
      <c r="L913" s="73"/>
      <c r="M913" s="78"/>
    </row>
    <row r="914">
      <c r="A914" s="19"/>
      <c r="B914" s="19"/>
      <c r="C914" s="76"/>
      <c r="D914" s="19"/>
      <c r="E914" s="19"/>
      <c r="F914" s="19"/>
      <c r="G914" s="19"/>
      <c r="H914" s="19"/>
      <c r="I914" s="19"/>
      <c r="J914" s="19"/>
      <c r="K914" s="72"/>
      <c r="L914" s="73"/>
      <c r="M914" s="78"/>
    </row>
    <row r="915">
      <c r="A915" s="19"/>
      <c r="B915" s="19"/>
      <c r="C915" s="76"/>
      <c r="D915" s="19"/>
      <c r="E915" s="19"/>
      <c r="F915" s="19"/>
      <c r="G915" s="19"/>
      <c r="H915" s="19"/>
      <c r="I915" s="19"/>
      <c r="J915" s="19"/>
      <c r="K915" s="72"/>
      <c r="L915" s="73"/>
      <c r="M915" s="78"/>
    </row>
    <row r="916">
      <c r="A916" s="19"/>
      <c r="B916" s="19"/>
      <c r="C916" s="76"/>
      <c r="D916" s="19"/>
      <c r="E916" s="19"/>
      <c r="F916" s="19"/>
      <c r="G916" s="19"/>
      <c r="H916" s="19"/>
      <c r="I916" s="19"/>
      <c r="J916" s="19"/>
      <c r="K916" s="72"/>
      <c r="L916" s="73"/>
      <c r="M916" s="78"/>
    </row>
    <row r="917">
      <c r="A917" s="19"/>
      <c r="B917" s="19"/>
      <c r="C917" s="76"/>
      <c r="D917" s="19"/>
      <c r="E917" s="19"/>
      <c r="F917" s="19"/>
      <c r="G917" s="19"/>
      <c r="H917" s="19"/>
      <c r="I917" s="19"/>
      <c r="J917" s="19"/>
      <c r="K917" s="72"/>
      <c r="L917" s="73"/>
      <c r="M917" s="78"/>
    </row>
    <row r="918">
      <c r="A918" s="19"/>
      <c r="B918" s="19"/>
      <c r="C918" s="76"/>
      <c r="D918" s="19"/>
      <c r="E918" s="19"/>
      <c r="F918" s="19"/>
      <c r="G918" s="19"/>
      <c r="H918" s="19"/>
      <c r="I918" s="19"/>
      <c r="J918" s="19"/>
      <c r="K918" s="72"/>
      <c r="L918" s="73"/>
      <c r="M918" s="78"/>
    </row>
    <row r="919">
      <c r="A919" s="19"/>
      <c r="B919" s="19"/>
      <c r="C919" s="76"/>
      <c r="D919" s="19"/>
      <c r="E919" s="19"/>
      <c r="F919" s="19"/>
      <c r="G919" s="19"/>
      <c r="H919" s="19"/>
      <c r="I919" s="19"/>
      <c r="J919" s="19"/>
      <c r="K919" s="72"/>
      <c r="L919" s="73"/>
      <c r="M919" s="78"/>
    </row>
    <row r="920">
      <c r="A920" s="19"/>
      <c r="B920" s="19"/>
      <c r="C920" s="76"/>
      <c r="D920" s="19"/>
      <c r="E920" s="19"/>
      <c r="F920" s="19"/>
      <c r="G920" s="19"/>
      <c r="H920" s="19"/>
      <c r="I920" s="19"/>
      <c r="J920" s="19"/>
      <c r="K920" s="72"/>
      <c r="L920" s="73"/>
      <c r="M920" s="78"/>
    </row>
    <row r="921">
      <c r="A921" s="19"/>
      <c r="B921" s="19"/>
      <c r="C921" s="76"/>
      <c r="D921" s="19"/>
      <c r="E921" s="19"/>
      <c r="F921" s="19"/>
      <c r="G921" s="19"/>
      <c r="H921" s="19"/>
      <c r="I921" s="19"/>
      <c r="J921" s="19"/>
      <c r="K921" s="72"/>
      <c r="L921" s="73"/>
      <c r="M921" s="78"/>
    </row>
    <row r="922">
      <c r="A922" s="19"/>
      <c r="B922" s="19"/>
      <c r="C922" s="76"/>
      <c r="D922" s="19"/>
      <c r="E922" s="19"/>
      <c r="F922" s="19"/>
      <c r="G922" s="19"/>
      <c r="H922" s="19"/>
      <c r="I922" s="19"/>
      <c r="J922" s="19"/>
      <c r="K922" s="72"/>
      <c r="L922" s="73"/>
      <c r="M922" s="78"/>
    </row>
    <row r="923">
      <c r="A923" s="19"/>
      <c r="B923" s="19"/>
      <c r="C923" s="76"/>
      <c r="D923" s="19"/>
      <c r="E923" s="19"/>
      <c r="F923" s="19"/>
      <c r="G923" s="19"/>
      <c r="H923" s="19"/>
      <c r="I923" s="19"/>
      <c r="J923" s="19"/>
      <c r="K923" s="72"/>
      <c r="L923" s="73"/>
      <c r="M923" s="78"/>
    </row>
    <row r="924">
      <c r="A924" s="19"/>
      <c r="B924" s="19"/>
      <c r="C924" s="76"/>
      <c r="D924" s="19"/>
      <c r="E924" s="19"/>
      <c r="F924" s="19"/>
      <c r="G924" s="19"/>
      <c r="H924" s="19"/>
      <c r="I924" s="19"/>
      <c r="J924" s="19"/>
      <c r="K924" s="72"/>
      <c r="L924" s="73"/>
      <c r="M924" s="78"/>
    </row>
    <row r="925">
      <c r="A925" s="19"/>
      <c r="B925" s="19"/>
      <c r="C925" s="76"/>
      <c r="D925" s="19"/>
      <c r="E925" s="19"/>
      <c r="F925" s="19"/>
      <c r="G925" s="19"/>
      <c r="H925" s="19"/>
      <c r="I925" s="19"/>
      <c r="J925" s="19"/>
      <c r="K925" s="72"/>
      <c r="L925" s="73"/>
      <c r="M925" s="78"/>
    </row>
    <row r="926">
      <c r="A926" s="19"/>
      <c r="B926" s="19"/>
      <c r="C926" s="76"/>
      <c r="D926" s="19"/>
      <c r="E926" s="19"/>
      <c r="F926" s="19"/>
      <c r="G926" s="19"/>
      <c r="H926" s="19"/>
      <c r="I926" s="19"/>
      <c r="J926" s="19"/>
      <c r="K926" s="72"/>
      <c r="L926" s="73"/>
      <c r="M926" s="78"/>
    </row>
    <row r="927">
      <c r="A927" s="19"/>
      <c r="B927" s="19"/>
      <c r="C927" s="76"/>
      <c r="D927" s="19"/>
      <c r="E927" s="19"/>
      <c r="F927" s="19"/>
      <c r="G927" s="19"/>
      <c r="H927" s="19"/>
      <c r="I927" s="19"/>
      <c r="J927" s="19"/>
      <c r="K927" s="72"/>
      <c r="L927" s="73"/>
      <c r="M927" s="78"/>
    </row>
    <row r="928">
      <c r="A928" s="19"/>
      <c r="B928" s="19"/>
      <c r="C928" s="76"/>
      <c r="D928" s="19"/>
      <c r="E928" s="19"/>
      <c r="F928" s="19"/>
      <c r="G928" s="19"/>
      <c r="H928" s="19"/>
      <c r="I928" s="19"/>
      <c r="J928" s="19"/>
      <c r="K928" s="72"/>
      <c r="L928" s="73"/>
      <c r="M928" s="78"/>
    </row>
    <row r="929">
      <c r="A929" s="19"/>
      <c r="B929" s="19"/>
      <c r="C929" s="76"/>
      <c r="D929" s="19"/>
      <c r="E929" s="19"/>
      <c r="F929" s="19"/>
      <c r="G929" s="19"/>
      <c r="H929" s="19"/>
      <c r="I929" s="19"/>
      <c r="J929" s="19"/>
      <c r="K929" s="72"/>
      <c r="L929" s="73"/>
      <c r="M929" s="78"/>
    </row>
    <row r="930">
      <c r="A930" s="19"/>
      <c r="B930" s="19"/>
      <c r="C930" s="76"/>
      <c r="D930" s="19"/>
      <c r="E930" s="19"/>
      <c r="F930" s="19"/>
      <c r="G930" s="19"/>
      <c r="H930" s="19"/>
      <c r="I930" s="19"/>
      <c r="J930" s="19"/>
      <c r="K930" s="72"/>
      <c r="L930" s="73"/>
      <c r="M930" s="78"/>
    </row>
    <row r="931">
      <c r="A931" s="19"/>
      <c r="B931" s="19"/>
      <c r="C931" s="76"/>
      <c r="D931" s="19"/>
      <c r="E931" s="19"/>
      <c r="F931" s="19"/>
      <c r="G931" s="19"/>
      <c r="H931" s="19"/>
      <c r="I931" s="19"/>
      <c r="J931" s="19"/>
      <c r="K931" s="72"/>
      <c r="L931" s="73"/>
      <c r="M931" s="78"/>
    </row>
    <row r="932">
      <c r="A932" s="19"/>
      <c r="B932" s="19"/>
      <c r="C932" s="76"/>
      <c r="D932" s="19"/>
      <c r="E932" s="19"/>
      <c r="F932" s="19"/>
      <c r="G932" s="19"/>
      <c r="H932" s="19"/>
      <c r="I932" s="19"/>
      <c r="J932" s="19"/>
      <c r="K932" s="72"/>
      <c r="L932" s="73"/>
      <c r="M932" s="78"/>
    </row>
    <row r="933">
      <c r="A933" s="19"/>
      <c r="B933" s="19"/>
      <c r="C933" s="76"/>
      <c r="D933" s="19"/>
      <c r="E933" s="19"/>
      <c r="F933" s="19"/>
      <c r="G933" s="19"/>
      <c r="H933" s="19"/>
      <c r="I933" s="19"/>
      <c r="J933" s="19"/>
      <c r="K933" s="72"/>
      <c r="L933" s="73"/>
      <c r="M933" s="78"/>
    </row>
    <row r="934">
      <c r="A934" s="19"/>
      <c r="B934" s="19"/>
      <c r="C934" s="76"/>
      <c r="D934" s="19"/>
      <c r="E934" s="19"/>
      <c r="F934" s="19"/>
      <c r="G934" s="19"/>
      <c r="H934" s="19"/>
      <c r="I934" s="19"/>
      <c r="J934" s="19"/>
      <c r="K934" s="72"/>
      <c r="L934" s="73"/>
      <c r="M934" s="78"/>
    </row>
    <row r="935">
      <c r="A935" s="19"/>
      <c r="B935" s="19"/>
      <c r="C935" s="76"/>
      <c r="D935" s="19"/>
      <c r="E935" s="19"/>
      <c r="F935" s="19"/>
      <c r="G935" s="19"/>
      <c r="H935" s="19"/>
      <c r="I935" s="19"/>
      <c r="J935" s="19"/>
      <c r="K935" s="72"/>
      <c r="L935" s="73"/>
      <c r="M935" s="78"/>
    </row>
    <row r="936">
      <c r="A936" s="19"/>
      <c r="B936" s="19"/>
      <c r="C936" s="76"/>
      <c r="D936" s="19"/>
      <c r="E936" s="19"/>
      <c r="F936" s="19"/>
      <c r="G936" s="19"/>
      <c r="H936" s="19"/>
      <c r="I936" s="19"/>
      <c r="J936" s="19"/>
      <c r="K936" s="72"/>
      <c r="L936" s="73"/>
      <c r="M936" s="78"/>
    </row>
    <row r="937">
      <c r="A937" s="19"/>
      <c r="B937" s="19"/>
      <c r="C937" s="76"/>
      <c r="D937" s="19"/>
      <c r="E937" s="19"/>
      <c r="F937" s="19"/>
      <c r="G937" s="19"/>
      <c r="H937" s="19"/>
      <c r="I937" s="19"/>
      <c r="J937" s="19"/>
      <c r="K937" s="72"/>
      <c r="L937" s="73"/>
      <c r="M937" s="78"/>
    </row>
    <row r="938">
      <c r="A938" s="19"/>
      <c r="B938" s="19"/>
      <c r="C938" s="76"/>
      <c r="D938" s="19"/>
      <c r="E938" s="19"/>
      <c r="F938" s="19"/>
      <c r="G938" s="19"/>
      <c r="H938" s="19"/>
      <c r="I938" s="19"/>
      <c r="J938" s="19"/>
      <c r="K938" s="72"/>
      <c r="L938" s="73"/>
      <c r="M938" s="78"/>
    </row>
    <row r="939">
      <c r="A939" s="19"/>
      <c r="B939" s="19"/>
      <c r="C939" s="76"/>
      <c r="D939" s="19"/>
      <c r="E939" s="19"/>
      <c r="F939" s="19"/>
      <c r="G939" s="19"/>
      <c r="H939" s="19"/>
      <c r="I939" s="19"/>
      <c r="J939" s="19"/>
      <c r="K939" s="72"/>
      <c r="L939" s="73"/>
      <c r="M939" s="78"/>
    </row>
    <row r="940">
      <c r="A940" s="19"/>
      <c r="B940" s="19"/>
      <c r="C940" s="76"/>
      <c r="D940" s="19"/>
      <c r="E940" s="19"/>
      <c r="F940" s="19"/>
      <c r="G940" s="19"/>
      <c r="H940" s="19"/>
      <c r="I940" s="19"/>
      <c r="J940" s="19"/>
      <c r="K940" s="72"/>
      <c r="L940" s="73"/>
      <c r="M940" s="78"/>
    </row>
    <row r="941">
      <c r="A941" s="19"/>
      <c r="B941" s="19"/>
      <c r="C941" s="76"/>
      <c r="D941" s="19"/>
      <c r="E941" s="19"/>
      <c r="F941" s="19"/>
      <c r="G941" s="19"/>
      <c r="H941" s="19"/>
      <c r="I941" s="19"/>
      <c r="J941" s="19"/>
      <c r="K941" s="72"/>
      <c r="L941" s="73"/>
      <c r="M941" s="78"/>
    </row>
    <row r="942">
      <c r="A942" s="19"/>
      <c r="B942" s="19"/>
      <c r="C942" s="76"/>
      <c r="D942" s="19"/>
      <c r="E942" s="19"/>
      <c r="F942" s="19"/>
      <c r="G942" s="19"/>
      <c r="H942" s="19"/>
      <c r="I942" s="19"/>
      <c r="J942" s="19"/>
      <c r="K942" s="72"/>
      <c r="L942" s="73"/>
      <c r="M942" s="78"/>
    </row>
    <row r="943">
      <c r="A943" s="19"/>
      <c r="B943" s="19"/>
      <c r="C943" s="76"/>
      <c r="D943" s="19"/>
      <c r="E943" s="19"/>
      <c r="F943" s="19"/>
      <c r="G943" s="19"/>
      <c r="H943" s="19"/>
      <c r="I943" s="19"/>
      <c r="J943" s="19"/>
      <c r="K943" s="72"/>
      <c r="L943" s="73"/>
      <c r="M943" s="78"/>
    </row>
    <row r="944">
      <c r="A944" s="19"/>
      <c r="B944" s="19"/>
      <c r="C944" s="76"/>
      <c r="D944" s="19"/>
      <c r="E944" s="19"/>
      <c r="F944" s="19"/>
      <c r="G944" s="19"/>
      <c r="H944" s="19"/>
      <c r="I944" s="19"/>
      <c r="J944" s="19"/>
      <c r="K944" s="72"/>
      <c r="L944" s="73"/>
      <c r="M944" s="78"/>
    </row>
    <row r="945">
      <c r="A945" s="19"/>
      <c r="B945" s="19"/>
      <c r="C945" s="76"/>
      <c r="D945" s="19"/>
      <c r="E945" s="19"/>
      <c r="F945" s="19"/>
      <c r="G945" s="19"/>
      <c r="H945" s="19"/>
      <c r="I945" s="19"/>
      <c r="J945" s="19"/>
      <c r="K945" s="72"/>
      <c r="L945" s="73"/>
      <c r="M945" s="78"/>
    </row>
    <row r="946">
      <c r="A946" s="19"/>
      <c r="B946" s="19"/>
      <c r="C946" s="76"/>
      <c r="D946" s="19"/>
      <c r="E946" s="19"/>
      <c r="F946" s="19"/>
      <c r="G946" s="19"/>
      <c r="H946" s="19"/>
      <c r="I946" s="19"/>
      <c r="J946" s="19"/>
      <c r="K946" s="72"/>
      <c r="L946" s="73"/>
      <c r="M946" s="78"/>
    </row>
    <row r="947">
      <c r="A947" s="19"/>
      <c r="B947" s="19"/>
      <c r="C947" s="76"/>
      <c r="D947" s="19"/>
      <c r="E947" s="19"/>
      <c r="F947" s="19"/>
      <c r="G947" s="19"/>
      <c r="H947" s="19"/>
      <c r="I947" s="19"/>
      <c r="J947" s="19"/>
      <c r="K947" s="72"/>
      <c r="L947" s="73"/>
      <c r="M947" s="78"/>
    </row>
    <row r="948">
      <c r="A948" s="19"/>
      <c r="B948" s="19"/>
      <c r="C948" s="76"/>
      <c r="D948" s="19"/>
      <c r="E948" s="19"/>
      <c r="F948" s="19"/>
      <c r="G948" s="19"/>
      <c r="H948" s="19"/>
      <c r="I948" s="19"/>
      <c r="J948" s="19"/>
      <c r="K948" s="72"/>
      <c r="L948" s="73"/>
      <c r="M948" s="78"/>
    </row>
    <row r="949">
      <c r="A949" s="19"/>
      <c r="B949" s="19"/>
      <c r="C949" s="76"/>
      <c r="D949" s="19"/>
      <c r="E949" s="19"/>
      <c r="F949" s="19"/>
      <c r="G949" s="19"/>
      <c r="H949" s="19"/>
      <c r="I949" s="19"/>
      <c r="J949" s="19"/>
      <c r="K949" s="72"/>
      <c r="L949" s="73"/>
      <c r="M949" s="78"/>
    </row>
    <row r="950">
      <c r="A950" s="19"/>
      <c r="B950" s="19"/>
      <c r="C950" s="76"/>
      <c r="D950" s="19"/>
      <c r="E950" s="19"/>
      <c r="F950" s="19"/>
      <c r="G950" s="19"/>
      <c r="H950" s="19"/>
      <c r="I950" s="19"/>
      <c r="J950" s="19"/>
      <c r="K950" s="72"/>
      <c r="L950" s="73"/>
      <c r="M950" s="78"/>
    </row>
    <row r="951">
      <c r="A951" s="19"/>
      <c r="B951" s="19"/>
      <c r="C951" s="76"/>
      <c r="D951" s="19"/>
      <c r="E951" s="19"/>
      <c r="F951" s="19"/>
      <c r="G951" s="19"/>
      <c r="H951" s="19"/>
      <c r="I951" s="19"/>
      <c r="J951" s="19"/>
      <c r="K951" s="72"/>
      <c r="L951" s="73"/>
      <c r="M951" s="78"/>
    </row>
    <row r="952">
      <c r="A952" s="19"/>
      <c r="B952" s="19"/>
      <c r="C952" s="76"/>
      <c r="D952" s="19"/>
      <c r="E952" s="19"/>
      <c r="F952" s="19"/>
      <c r="G952" s="19"/>
      <c r="H952" s="19"/>
      <c r="I952" s="19"/>
      <c r="J952" s="19"/>
      <c r="K952" s="72"/>
      <c r="L952" s="73"/>
      <c r="M952" s="78"/>
    </row>
    <row r="953">
      <c r="A953" s="19"/>
      <c r="B953" s="19"/>
      <c r="C953" s="76"/>
      <c r="D953" s="19"/>
      <c r="E953" s="19"/>
      <c r="F953" s="19"/>
      <c r="G953" s="19"/>
      <c r="H953" s="19"/>
      <c r="I953" s="19"/>
      <c r="J953" s="19"/>
      <c r="K953" s="72"/>
      <c r="L953" s="73"/>
      <c r="M953" s="78"/>
    </row>
    <row r="954">
      <c r="A954" s="19"/>
      <c r="B954" s="19"/>
      <c r="C954" s="76"/>
      <c r="D954" s="19"/>
      <c r="E954" s="19"/>
      <c r="F954" s="19"/>
      <c r="G954" s="19"/>
      <c r="H954" s="19"/>
      <c r="I954" s="19"/>
      <c r="J954" s="19"/>
      <c r="K954" s="72"/>
      <c r="L954" s="73"/>
      <c r="M954" s="78"/>
    </row>
    <row r="955">
      <c r="A955" s="19"/>
      <c r="B955" s="19"/>
      <c r="C955" s="76"/>
      <c r="D955" s="19"/>
      <c r="E955" s="19"/>
      <c r="F955" s="19"/>
      <c r="G955" s="19"/>
      <c r="H955" s="19"/>
      <c r="I955" s="19"/>
      <c r="J955" s="19"/>
      <c r="K955" s="72"/>
      <c r="L955" s="73"/>
      <c r="M955" s="78"/>
    </row>
    <row r="956">
      <c r="A956" s="19"/>
      <c r="B956" s="19"/>
      <c r="C956" s="76"/>
      <c r="D956" s="19"/>
      <c r="E956" s="19"/>
      <c r="F956" s="19"/>
      <c r="G956" s="19"/>
      <c r="H956" s="19"/>
      <c r="I956" s="19"/>
      <c r="J956" s="19"/>
      <c r="K956" s="72"/>
      <c r="L956" s="73"/>
      <c r="M956" s="78"/>
    </row>
    <row r="957">
      <c r="A957" s="19"/>
      <c r="B957" s="19"/>
      <c r="C957" s="76"/>
      <c r="D957" s="19"/>
      <c r="E957" s="19"/>
      <c r="F957" s="19"/>
      <c r="G957" s="19"/>
      <c r="H957" s="19"/>
      <c r="I957" s="19"/>
      <c r="J957" s="19"/>
      <c r="K957" s="72"/>
      <c r="L957" s="73"/>
      <c r="M957" s="78"/>
    </row>
    <row r="958">
      <c r="A958" s="19"/>
      <c r="B958" s="19"/>
      <c r="C958" s="76"/>
      <c r="D958" s="19"/>
      <c r="E958" s="19"/>
      <c r="F958" s="19"/>
      <c r="G958" s="19"/>
      <c r="H958" s="19"/>
      <c r="I958" s="19"/>
      <c r="J958" s="19"/>
      <c r="K958" s="72"/>
      <c r="L958" s="73"/>
      <c r="M958" s="78"/>
    </row>
    <row r="959">
      <c r="A959" s="19"/>
      <c r="B959" s="19"/>
      <c r="C959" s="76"/>
      <c r="D959" s="19"/>
      <c r="E959" s="19"/>
      <c r="F959" s="19"/>
      <c r="G959" s="19"/>
      <c r="H959" s="19"/>
      <c r="I959" s="19"/>
      <c r="J959" s="19"/>
      <c r="K959" s="72"/>
      <c r="L959" s="73"/>
      <c r="M959" s="78"/>
    </row>
    <row r="960">
      <c r="A960" s="19"/>
      <c r="B960" s="19"/>
      <c r="C960" s="76"/>
      <c r="D960" s="19"/>
      <c r="E960" s="19"/>
      <c r="F960" s="19"/>
      <c r="G960" s="19"/>
      <c r="H960" s="19"/>
      <c r="I960" s="19"/>
      <c r="J960" s="19"/>
      <c r="K960" s="72"/>
      <c r="L960" s="73"/>
      <c r="M960" s="78"/>
    </row>
    <row r="961">
      <c r="A961" s="19"/>
      <c r="B961" s="19"/>
      <c r="C961" s="76"/>
      <c r="D961" s="19"/>
      <c r="E961" s="19"/>
      <c r="F961" s="19"/>
      <c r="G961" s="19"/>
      <c r="H961" s="19"/>
      <c r="I961" s="19"/>
      <c r="J961" s="19"/>
      <c r="K961" s="72"/>
      <c r="L961" s="73"/>
      <c r="M961" s="78"/>
    </row>
    <row r="962">
      <c r="A962" s="19"/>
      <c r="B962" s="19"/>
      <c r="C962" s="76"/>
      <c r="D962" s="19"/>
      <c r="E962" s="19"/>
      <c r="F962" s="19"/>
      <c r="G962" s="19"/>
      <c r="H962" s="19"/>
      <c r="I962" s="19"/>
      <c r="J962" s="19"/>
      <c r="K962" s="72"/>
      <c r="L962" s="73"/>
      <c r="M962" s="78"/>
    </row>
    <row r="963">
      <c r="A963" s="19"/>
      <c r="B963" s="19"/>
      <c r="C963" s="76"/>
      <c r="D963" s="19"/>
      <c r="E963" s="19"/>
      <c r="F963" s="19"/>
      <c r="G963" s="19"/>
      <c r="H963" s="19"/>
      <c r="I963" s="19"/>
      <c r="J963" s="19"/>
      <c r="K963" s="72"/>
      <c r="L963" s="73"/>
      <c r="M963" s="78"/>
    </row>
    <row r="964">
      <c r="A964" s="19"/>
      <c r="B964" s="19"/>
      <c r="C964" s="76"/>
      <c r="D964" s="19"/>
      <c r="E964" s="19"/>
      <c r="F964" s="19"/>
      <c r="G964" s="19"/>
      <c r="H964" s="19"/>
      <c r="I964" s="19"/>
      <c r="J964" s="19"/>
      <c r="K964" s="72"/>
      <c r="L964" s="73"/>
      <c r="M964" s="78"/>
    </row>
    <row r="965">
      <c r="A965" s="19"/>
      <c r="B965" s="19"/>
      <c r="C965" s="76"/>
      <c r="D965" s="19"/>
      <c r="E965" s="19"/>
      <c r="F965" s="19"/>
      <c r="G965" s="19"/>
      <c r="H965" s="19"/>
      <c r="I965" s="19"/>
      <c r="J965" s="19"/>
      <c r="K965" s="72"/>
      <c r="L965" s="73"/>
      <c r="M965" s="78"/>
    </row>
    <row r="966">
      <c r="A966" s="19"/>
      <c r="B966" s="19"/>
      <c r="C966" s="76"/>
      <c r="D966" s="19"/>
      <c r="E966" s="19"/>
      <c r="F966" s="19"/>
      <c r="G966" s="19"/>
      <c r="H966" s="19"/>
      <c r="I966" s="19"/>
      <c r="J966" s="19"/>
      <c r="K966" s="72"/>
      <c r="L966" s="73"/>
      <c r="M966" s="78"/>
    </row>
    <row r="967">
      <c r="A967" s="19"/>
      <c r="B967" s="19"/>
      <c r="C967" s="76"/>
      <c r="D967" s="19"/>
      <c r="E967" s="19"/>
      <c r="F967" s="19"/>
      <c r="G967" s="19"/>
      <c r="H967" s="19"/>
      <c r="I967" s="19"/>
      <c r="J967" s="19"/>
      <c r="K967" s="72"/>
      <c r="L967" s="73"/>
      <c r="M967" s="78"/>
    </row>
    <row r="968">
      <c r="A968" s="19"/>
      <c r="B968" s="19"/>
      <c r="C968" s="76"/>
      <c r="D968" s="19"/>
      <c r="E968" s="19"/>
      <c r="F968" s="19"/>
      <c r="G968" s="19"/>
      <c r="H968" s="19"/>
      <c r="I968" s="19"/>
      <c r="J968" s="19"/>
      <c r="K968" s="72"/>
      <c r="L968" s="73"/>
      <c r="M968" s="78"/>
    </row>
    <row r="969">
      <c r="A969" s="19"/>
      <c r="B969" s="19"/>
      <c r="C969" s="76"/>
      <c r="D969" s="19"/>
      <c r="E969" s="19"/>
      <c r="F969" s="19"/>
      <c r="G969" s="19"/>
      <c r="H969" s="19"/>
      <c r="I969" s="19"/>
      <c r="J969" s="19"/>
      <c r="K969" s="72"/>
      <c r="L969" s="73"/>
      <c r="M969" s="78"/>
    </row>
    <row r="970">
      <c r="A970" s="19"/>
      <c r="B970" s="19"/>
      <c r="C970" s="76"/>
      <c r="D970" s="19"/>
      <c r="E970" s="19"/>
      <c r="F970" s="19"/>
      <c r="G970" s="19"/>
      <c r="H970" s="19"/>
      <c r="I970" s="19"/>
      <c r="J970" s="19"/>
      <c r="K970" s="72"/>
      <c r="L970" s="73"/>
      <c r="M970" s="78"/>
    </row>
    <row r="971">
      <c r="A971" s="19"/>
      <c r="B971" s="19"/>
      <c r="C971" s="76"/>
      <c r="D971" s="19"/>
      <c r="E971" s="19"/>
      <c r="F971" s="19"/>
      <c r="G971" s="19"/>
      <c r="H971" s="19"/>
      <c r="I971" s="19"/>
      <c r="J971" s="19"/>
      <c r="K971" s="72"/>
      <c r="L971" s="73"/>
      <c r="M971" s="78"/>
    </row>
    <row r="972">
      <c r="A972" s="19"/>
      <c r="B972" s="19"/>
      <c r="C972" s="76"/>
      <c r="D972" s="19"/>
      <c r="E972" s="19"/>
      <c r="F972" s="19"/>
      <c r="G972" s="19"/>
      <c r="H972" s="19"/>
      <c r="I972" s="19"/>
      <c r="J972" s="19"/>
      <c r="K972" s="72"/>
      <c r="L972" s="73"/>
      <c r="M972" s="78"/>
    </row>
    <row r="973">
      <c r="A973" s="19"/>
      <c r="B973" s="19"/>
      <c r="C973" s="76"/>
      <c r="D973" s="19"/>
      <c r="E973" s="19"/>
      <c r="F973" s="19"/>
      <c r="G973" s="19"/>
      <c r="H973" s="19"/>
      <c r="I973" s="19"/>
      <c r="J973" s="19"/>
      <c r="K973" s="72"/>
      <c r="L973" s="73"/>
      <c r="M973" s="78"/>
    </row>
    <row r="974">
      <c r="A974" s="19"/>
      <c r="B974" s="19"/>
      <c r="C974" s="76"/>
      <c r="D974" s="19"/>
      <c r="E974" s="19"/>
      <c r="F974" s="19"/>
      <c r="G974" s="19"/>
      <c r="H974" s="19"/>
      <c r="I974" s="19"/>
      <c r="J974" s="19"/>
      <c r="K974" s="72"/>
      <c r="L974" s="73"/>
      <c r="M974" s="78"/>
    </row>
    <row r="975">
      <c r="A975" s="19"/>
      <c r="B975" s="19"/>
      <c r="C975" s="76"/>
      <c r="D975" s="19"/>
      <c r="E975" s="19"/>
      <c r="F975" s="19"/>
      <c r="G975" s="19"/>
      <c r="H975" s="19"/>
      <c r="I975" s="19"/>
      <c r="J975" s="19"/>
      <c r="K975" s="72"/>
      <c r="L975" s="73"/>
      <c r="M975" s="78"/>
    </row>
    <row r="976">
      <c r="A976" s="19"/>
      <c r="B976" s="19"/>
      <c r="C976" s="76"/>
      <c r="D976" s="19"/>
      <c r="E976" s="19"/>
      <c r="F976" s="19"/>
      <c r="G976" s="19"/>
      <c r="H976" s="19"/>
      <c r="I976" s="19"/>
      <c r="J976" s="19"/>
      <c r="K976" s="72"/>
      <c r="L976" s="73"/>
      <c r="M976" s="78"/>
    </row>
    <row r="977">
      <c r="A977" s="19"/>
      <c r="B977" s="19"/>
      <c r="C977" s="76"/>
      <c r="D977" s="19"/>
      <c r="E977" s="19"/>
      <c r="F977" s="19"/>
      <c r="G977" s="19"/>
      <c r="H977" s="19"/>
      <c r="I977" s="19"/>
      <c r="J977" s="19"/>
      <c r="K977" s="72"/>
      <c r="L977" s="73"/>
      <c r="M977" s="78"/>
    </row>
    <row r="978">
      <c r="A978" s="19"/>
      <c r="B978" s="19"/>
      <c r="C978" s="76"/>
      <c r="D978" s="19"/>
      <c r="E978" s="19"/>
      <c r="F978" s="19"/>
      <c r="G978" s="19"/>
      <c r="H978" s="19"/>
      <c r="I978" s="19"/>
      <c r="J978" s="19"/>
      <c r="K978" s="72"/>
      <c r="L978" s="73"/>
      <c r="M978" s="78"/>
    </row>
    <row r="979">
      <c r="A979" s="19"/>
      <c r="B979" s="19"/>
      <c r="C979" s="76"/>
      <c r="D979" s="19"/>
      <c r="E979" s="19"/>
      <c r="F979" s="19"/>
      <c r="G979" s="19"/>
      <c r="H979" s="19"/>
      <c r="I979" s="19"/>
      <c r="J979" s="19"/>
      <c r="K979" s="72"/>
      <c r="L979" s="73"/>
      <c r="M979" s="78"/>
    </row>
    <row r="980">
      <c r="A980" s="19"/>
      <c r="B980" s="19"/>
      <c r="C980" s="76"/>
      <c r="D980" s="19"/>
      <c r="E980" s="19"/>
      <c r="F980" s="19"/>
      <c r="G980" s="19"/>
      <c r="H980" s="19"/>
      <c r="I980" s="19"/>
      <c r="J980" s="19"/>
      <c r="K980" s="72"/>
      <c r="L980" s="73"/>
      <c r="M980" s="78"/>
    </row>
    <row r="981">
      <c r="A981" s="19"/>
      <c r="B981" s="19"/>
      <c r="C981" s="76"/>
      <c r="D981" s="19"/>
      <c r="E981" s="19"/>
      <c r="F981" s="19"/>
      <c r="G981" s="19"/>
      <c r="H981" s="19"/>
      <c r="I981" s="19"/>
      <c r="J981" s="19"/>
      <c r="K981" s="72"/>
      <c r="L981" s="73"/>
      <c r="M981" s="78"/>
    </row>
    <row r="982">
      <c r="A982" s="19"/>
      <c r="B982" s="19"/>
      <c r="C982" s="76"/>
      <c r="D982" s="19"/>
      <c r="E982" s="19"/>
      <c r="F982" s="19"/>
      <c r="G982" s="19"/>
      <c r="H982" s="19"/>
      <c r="I982" s="19"/>
      <c r="J982" s="19"/>
      <c r="K982" s="72"/>
      <c r="L982" s="73"/>
      <c r="M982" s="78"/>
    </row>
    <row r="983">
      <c r="A983" s="19"/>
      <c r="B983" s="19"/>
      <c r="C983" s="76"/>
      <c r="D983" s="19"/>
      <c r="E983" s="19"/>
      <c r="F983" s="19"/>
      <c r="G983" s="19"/>
      <c r="H983" s="19"/>
      <c r="I983" s="19"/>
      <c r="J983" s="19"/>
      <c r="K983" s="72"/>
      <c r="L983" s="73"/>
      <c r="M983" s="78"/>
    </row>
    <row r="984">
      <c r="A984" s="19"/>
      <c r="B984" s="19"/>
      <c r="C984" s="76"/>
      <c r="D984" s="19"/>
      <c r="E984" s="19"/>
      <c r="F984" s="19"/>
      <c r="G984" s="19"/>
      <c r="H984" s="19"/>
      <c r="I984" s="19"/>
      <c r="J984" s="19"/>
      <c r="K984" s="72"/>
      <c r="L984" s="73"/>
      <c r="M984" s="78"/>
    </row>
    <row r="985">
      <c r="A985" s="19"/>
      <c r="B985" s="19"/>
      <c r="C985" s="76"/>
      <c r="D985" s="19"/>
      <c r="E985" s="19"/>
      <c r="F985" s="19"/>
      <c r="G985" s="19"/>
      <c r="H985" s="19"/>
      <c r="I985" s="19"/>
      <c r="J985" s="19"/>
      <c r="K985" s="72"/>
      <c r="L985" s="73"/>
      <c r="M985" s="78"/>
    </row>
    <row r="986">
      <c r="A986" s="19"/>
      <c r="B986" s="19"/>
      <c r="C986" s="76"/>
      <c r="D986" s="19"/>
      <c r="E986" s="19"/>
      <c r="F986" s="19"/>
      <c r="G986" s="19"/>
      <c r="H986" s="19"/>
      <c r="I986" s="19"/>
      <c r="J986" s="19"/>
      <c r="K986" s="72"/>
      <c r="L986" s="73"/>
      <c r="M986" s="78"/>
    </row>
    <row r="987">
      <c r="A987" s="19"/>
      <c r="B987" s="19"/>
      <c r="C987" s="76"/>
      <c r="D987" s="19"/>
      <c r="E987" s="19"/>
      <c r="F987" s="19"/>
      <c r="G987" s="19"/>
      <c r="H987" s="19"/>
      <c r="I987" s="19"/>
      <c r="J987" s="19"/>
      <c r="K987" s="72"/>
      <c r="L987" s="73"/>
      <c r="M987" s="78"/>
    </row>
    <row r="988">
      <c r="A988" s="19"/>
      <c r="B988" s="19"/>
      <c r="C988" s="76"/>
      <c r="D988" s="19"/>
      <c r="E988" s="19"/>
      <c r="F988" s="19"/>
      <c r="G988" s="19"/>
      <c r="H988" s="19"/>
      <c r="I988" s="19"/>
      <c r="J988" s="19"/>
      <c r="K988" s="72"/>
      <c r="L988" s="73"/>
      <c r="M988" s="78"/>
    </row>
    <row r="989">
      <c r="A989" s="19"/>
      <c r="B989" s="19"/>
      <c r="C989" s="76"/>
      <c r="D989" s="19"/>
      <c r="E989" s="19"/>
      <c r="F989" s="19"/>
      <c r="G989" s="19"/>
      <c r="H989" s="19"/>
      <c r="I989" s="19"/>
      <c r="J989" s="19"/>
      <c r="K989" s="72"/>
      <c r="L989" s="73"/>
      <c r="M989" s="78"/>
    </row>
    <row r="990">
      <c r="A990" s="19"/>
      <c r="B990" s="19"/>
      <c r="C990" s="76"/>
      <c r="D990" s="19"/>
      <c r="E990" s="19"/>
      <c r="F990" s="19"/>
      <c r="G990" s="19"/>
      <c r="H990" s="19"/>
      <c r="I990" s="19"/>
      <c r="J990" s="19"/>
      <c r="K990" s="72"/>
      <c r="L990" s="73"/>
      <c r="M990" s="78"/>
    </row>
    <row r="991">
      <c r="A991" s="19"/>
      <c r="B991" s="19"/>
      <c r="C991" s="76"/>
      <c r="D991" s="19"/>
      <c r="E991" s="19"/>
      <c r="F991" s="19"/>
      <c r="G991" s="19"/>
      <c r="H991" s="19"/>
      <c r="I991" s="19"/>
      <c r="J991" s="19"/>
      <c r="K991" s="72"/>
      <c r="L991" s="73"/>
      <c r="M991" s="78"/>
    </row>
    <row r="992">
      <c r="A992" s="19"/>
      <c r="B992" s="19"/>
      <c r="C992" s="76"/>
      <c r="D992" s="19"/>
      <c r="E992" s="19"/>
      <c r="F992" s="19"/>
      <c r="G992" s="19"/>
      <c r="H992" s="19"/>
      <c r="I992" s="19"/>
      <c r="J992" s="19"/>
      <c r="K992" s="72"/>
      <c r="L992" s="73"/>
      <c r="M992" s="78"/>
    </row>
    <row r="993">
      <c r="A993" s="19"/>
      <c r="B993" s="19"/>
      <c r="C993" s="76"/>
      <c r="D993" s="19"/>
      <c r="E993" s="19"/>
      <c r="F993" s="19"/>
      <c r="G993" s="19"/>
      <c r="H993" s="19"/>
      <c r="I993" s="19"/>
      <c r="J993" s="19"/>
      <c r="K993" s="72"/>
      <c r="L993" s="73"/>
      <c r="M993" s="78"/>
    </row>
    <row r="994">
      <c r="A994" s="19"/>
      <c r="B994" s="19"/>
      <c r="C994" s="76"/>
      <c r="D994" s="19"/>
      <c r="E994" s="19"/>
      <c r="F994" s="19"/>
      <c r="G994" s="19"/>
      <c r="H994" s="19"/>
      <c r="I994" s="19"/>
      <c r="J994" s="19"/>
      <c r="K994" s="72"/>
      <c r="L994" s="73"/>
      <c r="M994" s="78"/>
    </row>
    <row r="995">
      <c r="A995" s="19"/>
      <c r="B995" s="19"/>
      <c r="C995" s="76"/>
      <c r="D995" s="19"/>
      <c r="E995" s="19"/>
      <c r="F995" s="19"/>
      <c r="G995" s="19"/>
      <c r="H995" s="19"/>
      <c r="I995" s="19"/>
      <c r="J995" s="19"/>
      <c r="K995" s="72"/>
      <c r="L995" s="73"/>
      <c r="M995" s="78"/>
    </row>
    <row r="996">
      <c r="A996" s="19"/>
      <c r="B996" s="19"/>
      <c r="C996" s="76"/>
      <c r="D996" s="19"/>
      <c r="E996" s="19"/>
      <c r="F996" s="19"/>
      <c r="G996" s="19"/>
      <c r="H996" s="19"/>
      <c r="I996" s="19"/>
      <c r="J996" s="19"/>
      <c r="K996" s="72"/>
      <c r="L996" s="73"/>
      <c r="M996" s="78"/>
    </row>
    <row r="997">
      <c r="A997" s="19"/>
      <c r="B997" s="19"/>
      <c r="C997" s="76"/>
      <c r="D997" s="19"/>
      <c r="E997" s="19"/>
      <c r="F997" s="19"/>
      <c r="G997" s="19"/>
      <c r="H997" s="19"/>
      <c r="I997" s="19"/>
      <c r="J997" s="19"/>
      <c r="K997" s="72"/>
      <c r="L997" s="73"/>
      <c r="M997" s="78"/>
    </row>
    <row r="998">
      <c r="A998" s="19"/>
      <c r="B998" s="19"/>
      <c r="C998" s="76"/>
      <c r="D998" s="19"/>
      <c r="E998" s="19"/>
      <c r="F998" s="19"/>
      <c r="G998" s="19"/>
      <c r="H998" s="19"/>
      <c r="I998" s="19"/>
      <c r="J998" s="19"/>
      <c r="K998" s="72"/>
      <c r="L998" s="73"/>
      <c r="M998" s="78"/>
    </row>
    <row r="999">
      <c r="A999" s="19"/>
      <c r="B999" s="19"/>
      <c r="C999" s="76"/>
      <c r="D999" s="19"/>
      <c r="E999" s="19"/>
      <c r="F999" s="19"/>
      <c r="G999" s="19"/>
      <c r="H999" s="19"/>
      <c r="I999" s="19"/>
      <c r="J999" s="19"/>
      <c r="K999" s="72"/>
      <c r="L999" s="73"/>
      <c r="M999" s="7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tr">
        <f>IFERROR(__xludf.DUMMYFUNCTION("IMPORTRANGE(""1x5MQbsCFMJX5eafA6uoFF0nU4qfvCaK-2EyZNPs__kM"", ""'Kit History'!A:Z"")"),"ID")</f>
        <v>ID</v>
      </c>
      <c r="B1" s="93" t="str">
        <f>IFERROR(__xludf.DUMMYFUNCTION("""COMPUTED_VALUE"""),"Date")</f>
        <v>Date</v>
      </c>
      <c r="C1" s="93" t="str">
        <f>IFERROR(__xludf.DUMMYFUNCTION("""COMPUTED_VALUE"""),"Mode")</f>
        <v>Mode</v>
      </c>
      <c r="D1" s="93" t="str">
        <f>IFERROR(__xludf.DUMMYFUNCTION("""COMPUTED_VALUE"""),"Truck")</f>
        <v>Truck</v>
      </c>
      <c r="E1" s="93" t="str">
        <f>IFERROR(__xludf.DUMMYFUNCTION("""COMPUTED_VALUE"""),"Building")</f>
        <v>Building</v>
      </c>
      <c r="F1" s="93" t="str">
        <f>IFERROR(__xludf.DUMMYFUNCTION("""COMPUTED_VALUE"""),"Room")</f>
        <v>Room</v>
      </c>
      <c r="G1" s="93" t="str">
        <f>IFERROR(__xludf.DUMMYFUNCTION("""COMPUTED_VALUE"""),"Student")</f>
        <v>Student</v>
      </c>
      <c r="H1" s="93" t="str">
        <f>IFERROR(__xludf.DUMMYFUNCTION("""COMPUTED_VALUE"""),"Phone")</f>
        <v>Phone</v>
      </c>
      <c r="I1" s="93" t="str">
        <f>IFERROR(__xludf.DUMMYFUNCTION("""COMPUTED_VALUE"""),"Time Slot")</f>
        <v>Time Slot</v>
      </c>
      <c r="J1" s="93" t="str">
        <f>IFERROR(__xludf.DUMMYFUNCTION("""COMPUTED_VALUE"""),"Kits")</f>
        <v>Kits</v>
      </c>
      <c r="K1" s="93" t="str">
        <f>IFERROR(__xludf.DUMMYFUNCTION("""COMPUTED_VALUE"""),"Status")</f>
        <v>Status</v>
      </c>
      <c r="L1" s="93" t="str">
        <f>IFERROR(__xludf.DUMMYFUNCTION("""COMPUTED_VALUE"""),"Mover Notes")</f>
        <v>Mover Notes</v>
      </c>
      <c r="M1" s="93" t="str">
        <f>IFERROR(__xludf.DUMMYFUNCTION("""COMPUTED_VALUE"""),"Completed At")</f>
        <v>Completed At</v>
      </c>
      <c r="N1" s="93" t="str">
        <f>IFERROR(__xludf.DUMMYFUNCTION("""COMPUTED_VALUE"""),"Sort Order")</f>
        <v>Sort Order</v>
      </c>
      <c r="O1" s="93" t="str">
        <f>IFERROR(__xludf.DUMMYFUNCTION("""COMPUTED_VALUE"""),"Address")</f>
        <v>Address</v>
      </c>
      <c r="P1" s="93" t="str">
        <f>IFERROR(__xludf.DUMMYFUNCTION("""COMPUTED_VALUE"""),"Service")</f>
        <v>Service</v>
      </c>
      <c r="Q1" s="93" t="str">
        <f>IFERROR(__xludf.DUMMYFUNCTION("""COMPUTED_VALUE"""),"Customer Note")</f>
        <v>Customer Note</v>
      </c>
      <c r="R1" s="93" t="str">
        <f>IFERROR(__xludf.DUMMYFUNCTION("""COMPUTED_VALUE"""),"Product")</f>
        <v>Product</v>
      </c>
      <c r="S1" s="93" t="str">
        <f>IFERROR(__xludf.DUMMYFUNCTION("""COMPUTED_VALUE"""),"Photos")</f>
        <v>Photos</v>
      </c>
      <c r="T1" s="93" t="str">
        <f>IFERROR(__xludf.DUMMYFUNCTION("""COMPUTED_VALUE"""),"Archived On")</f>
        <v>Archived On</v>
      </c>
      <c r="U1" s="93" t="str">
        <f>IFERROR(__xludf.DUMMYFUNCTION("""COMPUTED_VALUE"""),"Order Number")</f>
        <v>Order Number</v>
      </c>
      <c r="V1" s="93"/>
      <c r="W1" s="93"/>
      <c r="X1" s="93"/>
      <c r="Y1" s="93"/>
      <c r="Z1" s="93"/>
    </row>
    <row r="2">
      <c r="A2" s="93" t="str">
        <f>IFERROR(__xludf.DUMMYFUNCTION("""COMPUTED_VALUE"""),"KIT-#17764")</f>
        <v>KIT-#17764</v>
      </c>
      <c r="B2" s="94">
        <f>IFERROR(__xludf.DUMMYFUNCTION("""COMPUTED_VALUE"""),46139.0)</f>
        <v>46139</v>
      </c>
      <c r="C2" s="93" t="str">
        <f>IFERROR(__xludf.DUMMYFUNCTION("""COMPUTED_VALUE"""),"Kit Delivery")</f>
        <v>Kit Delivery</v>
      </c>
      <c r="D2" s="93">
        <f>IFERROR(__xludf.DUMMYFUNCTION("""COMPUTED_VALUE"""),1.0)</f>
        <v>1</v>
      </c>
      <c r="E2" s="93" t="str">
        <f>IFERROR(__xludf.DUMMYFUNCTION("""COMPUTED_VALUE"""),"Off-Campus")</f>
        <v>Off-Campus</v>
      </c>
      <c r="F2" s="93"/>
      <c r="G2" s="93" t="str">
        <f>IFERROR(__xludf.DUMMYFUNCTION("""COMPUTED_VALUE"""),"Yujin He")</f>
        <v>Yujin He</v>
      </c>
      <c r="H2" s="93">
        <f>IFERROR(__xludf.DUMMYFUNCTION("""COMPUTED_VALUE"""),3.144377856E9)</f>
        <v>3144377856</v>
      </c>
      <c r="I2" s="93" t="str">
        <f>IFERROR(__xludf.DUMMYFUNCTION("""COMPUTED_VALUE"""),"12PM-2PM")</f>
        <v>12PM-2PM</v>
      </c>
      <c r="J2" s="93">
        <f>IFERROR(__xludf.DUMMYFUNCTION("""COMPUTED_VALUE"""),0.0)</f>
        <v>0</v>
      </c>
      <c r="K2" s="93" t="str">
        <f>IFERROR(__xludf.DUMMYFUNCTION("""COMPUTED_VALUE"""),"Complete")</f>
        <v>Complete</v>
      </c>
      <c r="L2" s="93" t="str">
        <f>IFERROR(__xludf.DUMMYFUNCTION("""COMPUTED_VALUE"""),"no kit")</f>
        <v>no kit</v>
      </c>
      <c r="M2" s="93"/>
      <c r="N2" s="93">
        <f>IFERROR(__xludf.DUMMYFUNCTION("""COMPUTED_VALUE"""),228.0)</f>
        <v>228</v>
      </c>
      <c r="O2" s="93" t="str">
        <f>IFERROR(__xludf.DUMMYFUNCTION("""COMPUTED_VALUE"""),"605 Leland Ave, University City, MO, 63130; University Squares Apartment")</f>
        <v>605 Leland Ave, University City, MO, 63130; University Squares Apartment</v>
      </c>
      <c r="P2" s="93" t="str">
        <f>IFERROR(__xludf.DUMMYFUNCTION("""COMPUTED_VALUE"""),"Kit Delivery")</f>
        <v>Kit Delivery</v>
      </c>
      <c r="Q2" s="93"/>
      <c r="R2" s="93"/>
      <c r="S2" s="93"/>
      <c r="T2" s="95">
        <f>IFERROR(__xludf.DUMMYFUNCTION("""COMPUTED_VALUE"""),46137.738217592596)</f>
        <v>46137.73822</v>
      </c>
      <c r="U2" s="93"/>
      <c r="V2" s="93"/>
      <c r="W2" s="93"/>
      <c r="X2" s="93"/>
      <c r="Y2" s="93"/>
      <c r="Z2" s="93"/>
    </row>
    <row r="3">
      <c r="A3" s="93" t="str">
        <f>IFERROR(__xludf.DUMMYFUNCTION("""COMPUTED_VALUE"""),"KIT-#17350")</f>
        <v>KIT-#17350</v>
      </c>
      <c r="B3" s="94">
        <f>IFERROR(__xludf.DUMMYFUNCTION("""COMPUTED_VALUE"""),46140.0)</f>
        <v>46140</v>
      </c>
      <c r="C3" s="93" t="str">
        <f>IFERROR(__xludf.DUMMYFUNCTION("""COMPUTED_VALUE"""),"Kit Delivery")</f>
        <v>Kit Delivery</v>
      </c>
      <c r="D3" s="93">
        <f>IFERROR(__xludf.DUMMYFUNCTION("""COMPUTED_VALUE"""),1.0)</f>
        <v>1</v>
      </c>
      <c r="E3" s="93" t="str">
        <f>IFERROR(__xludf.DUMMYFUNCTION("""COMPUTED_VALUE"""),"LL6300")</f>
        <v>LL6300</v>
      </c>
      <c r="F3" s="93" t="str">
        <f>IFERROR(__xludf.DUMMYFUNCTION("""COMPUTED_VALUE"""),"304C")</f>
        <v>304C</v>
      </c>
      <c r="G3" s="93" t="str">
        <f>IFERROR(__xludf.DUMMYFUNCTION("""COMPUTED_VALUE"""),"Nena Tesinsky")</f>
        <v>Nena Tesinsky</v>
      </c>
      <c r="H3" s="93">
        <f>IFERROR(__xludf.DUMMYFUNCTION("""COMPUTED_VALUE"""),9.195618234E9)</f>
        <v>9195618234</v>
      </c>
      <c r="I3" s="93" t="str">
        <f>IFERROR(__xludf.DUMMYFUNCTION("""COMPUTED_VALUE"""),"3PM-5PM")</f>
        <v>3PM-5PM</v>
      </c>
      <c r="J3" s="93">
        <f>IFERROR(__xludf.DUMMYFUNCTION("""COMPUTED_VALUE"""),0.0)</f>
        <v>0</v>
      </c>
      <c r="K3" s="93" t="str">
        <f>IFERROR(__xludf.DUMMYFUNCTION("""COMPUTED_VALUE"""),"Complete")</f>
        <v>Complete</v>
      </c>
      <c r="L3" s="93"/>
      <c r="M3" s="93"/>
      <c r="N3" s="93">
        <f>IFERROR(__xludf.DUMMYFUNCTION("""COMPUTED_VALUE"""),37.0)</f>
        <v>37</v>
      </c>
      <c r="O3" s="93"/>
      <c r="P3" s="93" t="str">
        <f>IFERROR(__xludf.DUMMYFUNCTION("""COMPUTED_VALUE"""),"Kit Delivery")</f>
        <v>Kit Delivery</v>
      </c>
      <c r="Q3" s="93"/>
      <c r="R3" s="93"/>
      <c r="S3" s="95">
        <f>IFERROR(__xludf.DUMMYFUNCTION("""COMPUTED_VALUE"""),46122.53804398148)</f>
        <v>46122.53804</v>
      </c>
      <c r="T3" s="93"/>
      <c r="U3" s="93"/>
      <c r="V3" s="93"/>
      <c r="W3" s="93"/>
      <c r="X3" s="93"/>
      <c r="Y3" s="93"/>
      <c r="Z3" s="93"/>
    </row>
    <row r="4">
      <c r="A4" s="93" t="str">
        <f>IFERROR(__xludf.DUMMYFUNCTION("""COMPUTED_VALUE"""),"KIT-#17765")</f>
        <v>KIT-#17765</v>
      </c>
      <c r="B4" s="94">
        <f>IFERROR(__xludf.DUMMYFUNCTION("""COMPUTED_VALUE"""),46143.0)</f>
        <v>46143</v>
      </c>
      <c r="C4" s="93" t="str">
        <f>IFERROR(__xludf.DUMMYFUNCTION("""COMPUTED_VALUE"""),"Kit Delivery")</f>
        <v>Kit Delivery</v>
      </c>
      <c r="D4" s="93">
        <f>IFERROR(__xludf.DUMMYFUNCTION("""COMPUTED_VALUE"""),1.0)</f>
        <v>1</v>
      </c>
      <c r="E4" s="93" t="str">
        <f>IFERROR(__xludf.DUMMYFUNCTION("""COMPUTED_VALUE"""),"Park")</f>
        <v>Park</v>
      </c>
      <c r="F4" s="93">
        <f>IFERROR(__xludf.DUMMYFUNCTION("""COMPUTED_VALUE"""),162.0)</f>
        <v>162</v>
      </c>
      <c r="G4" s="93" t="str">
        <f>IFERROR(__xludf.DUMMYFUNCTION("""COMPUTED_VALUE"""),"Casey Ference")</f>
        <v>Casey Ference</v>
      </c>
      <c r="H4" s="93" t="str">
        <f>IFERROR(__xludf.DUMMYFUNCTION("""COMPUTED_VALUE"""),"(917) 733-1526")</f>
        <v>(917) 733-1526</v>
      </c>
      <c r="I4" s="93" t="str">
        <f>IFERROR(__xludf.DUMMYFUNCTION("""COMPUTED_VALUE"""),"9AM-11AM")</f>
        <v>9AM-11AM</v>
      </c>
      <c r="J4" s="93">
        <f>IFERROR(__xludf.DUMMYFUNCTION("""COMPUTED_VALUE"""),0.0)</f>
        <v>0</v>
      </c>
      <c r="K4" s="93" t="str">
        <f>IFERROR(__xludf.DUMMYFUNCTION("""COMPUTED_VALUE"""),"Complete")</f>
        <v>Complete</v>
      </c>
      <c r="L4" s="93" t="str">
        <f>IFERROR(__xludf.DUMMYFUNCTION("""COMPUTED_VALUE"""),"no kit")</f>
        <v>no kit</v>
      </c>
      <c r="M4" s="93"/>
      <c r="N4" s="93">
        <f>IFERROR(__xludf.DUMMYFUNCTION("""COMPUTED_VALUE"""),49.0)</f>
        <v>49</v>
      </c>
      <c r="O4" s="93" t="str">
        <f>IFERROR(__xludf.DUMMYFUNCTION("""COMPUTED_VALUE"""),"8 John Street
Demarest, NJ 07627")</f>
        <v>8 John Street
Demarest, NJ 07627</v>
      </c>
      <c r="P4" s="93" t="str">
        <f>IFERROR(__xludf.DUMMYFUNCTION("""COMPUTED_VALUE"""),"Kit Delivery")</f>
        <v>Kit Delivery</v>
      </c>
      <c r="Q4" s="93"/>
      <c r="R4" s="93"/>
      <c r="S4" s="93"/>
      <c r="T4" s="95">
        <f>IFERROR(__xludf.DUMMYFUNCTION("""COMPUTED_VALUE"""),46137.738217592596)</f>
        <v>46137.73822</v>
      </c>
      <c r="U4" s="93"/>
      <c r="V4" s="93"/>
      <c r="W4" s="93"/>
      <c r="X4" s="93"/>
      <c r="Y4" s="93"/>
      <c r="Z4" s="93"/>
    </row>
    <row r="5">
      <c r="A5" s="93" t="str">
        <f>IFERROR(__xludf.DUMMYFUNCTION("""COMPUTED_VALUE"""),"KIT-#17767")</f>
        <v>KIT-#17767</v>
      </c>
      <c r="B5" s="94">
        <f>IFERROR(__xludf.DUMMYFUNCTION("""COMPUTED_VALUE"""),46143.0)</f>
        <v>46143</v>
      </c>
      <c r="C5" s="93" t="str">
        <f>IFERROR(__xludf.DUMMYFUNCTION("""COMPUTED_VALUE"""),"Kit Delivery")</f>
        <v>Kit Delivery</v>
      </c>
      <c r="D5" s="93">
        <f>IFERROR(__xludf.DUMMYFUNCTION("""COMPUTED_VALUE"""),2.0)</f>
        <v>2</v>
      </c>
      <c r="E5" s="93" t="str">
        <f>IFERROR(__xludf.DUMMYFUNCTION("""COMPUTED_VALUE"""),"Umrath")</f>
        <v>Umrath</v>
      </c>
      <c r="F5" s="93" t="str">
        <f>IFERROR(__xludf.DUMMYFUNCTION("""COMPUTED_VALUE"""),"L239")</f>
        <v>L239</v>
      </c>
      <c r="G5" s="93" t="str">
        <f>IFERROR(__xludf.DUMMYFUNCTION("""COMPUTED_VALUE"""),"Mia Galpern")</f>
        <v>Mia Galpern</v>
      </c>
      <c r="H5" s="93">
        <f>IFERROR(__xludf.DUMMYFUNCTION("""COMPUTED_VALUE"""),9.177155789E9)</f>
        <v>9177155789</v>
      </c>
      <c r="I5" s="93" t="str">
        <f>IFERROR(__xludf.DUMMYFUNCTION("""COMPUTED_VALUE"""),"10AM-12PM")</f>
        <v>10AM-12PM</v>
      </c>
      <c r="J5" s="93">
        <f>IFERROR(__xludf.DUMMYFUNCTION("""COMPUTED_VALUE"""),0.0)</f>
        <v>0</v>
      </c>
      <c r="K5" s="93" t="str">
        <f>IFERROR(__xludf.DUMMYFUNCTION("""COMPUTED_VALUE"""),"Complete")</f>
        <v>Complete</v>
      </c>
      <c r="L5" s="93"/>
      <c r="M5" s="93"/>
      <c r="N5" s="93">
        <f>IFERROR(__xludf.DUMMYFUNCTION("""COMPUTED_VALUE"""),85.0)</f>
        <v>85</v>
      </c>
      <c r="O5" s="93" t="str">
        <f>IFERROR(__xludf.DUMMYFUNCTION("""COMPUTED_VALUE"""),"66 Leonard street 9b
New York, NY 10013")</f>
        <v>66 Leonard street 9b
New York, NY 10013</v>
      </c>
      <c r="P5" s="93" t="str">
        <f>IFERROR(__xludf.DUMMYFUNCTION("""COMPUTED_VALUE"""),"Kit Delivery")</f>
        <v>Kit Delivery</v>
      </c>
      <c r="Q5" s="93"/>
      <c r="R5" s="93"/>
      <c r="S5" s="93"/>
      <c r="T5" s="95">
        <f>IFERROR(__xludf.DUMMYFUNCTION("""COMPUTED_VALUE"""),46138.009050925924)</f>
        <v>46138.00905</v>
      </c>
      <c r="U5" s="93"/>
      <c r="V5" s="93"/>
      <c r="W5" s="93"/>
      <c r="X5" s="93"/>
      <c r="Y5" s="93"/>
      <c r="Z5" s="93"/>
    </row>
    <row r="6">
      <c r="A6" s="93" t="str">
        <f>IFERROR(__xludf.DUMMYFUNCTION("""COMPUTED_VALUE"""),"KIT-#17508")</f>
        <v>KIT-#17508</v>
      </c>
      <c r="B6" s="94">
        <f>IFERROR(__xludf.DUMMYFUNCTION("""COMPUTED_VALUE"""),46144.0)</f>
        <v>46144</v>
      </c>
      <c r="C6" s="93" t="str">
        <f>IFERROR(__xludf.DUMMYFUNCTION("""COMPUTED_VALUE"""),"Kit Delivery")</f>
        <v>Kit Delivery</v>
      </c>
      <c r="D6" s="93">
        <f>IFERROR(__xludf.DUMMYFUNCTION("""COMPUTED_VALUE"""),3.0)</f>
        <v>3</v>
      </c>
      <c r="E6" s="93" t="str">
        <f>IFERROR(__xludf.DUMMYFUNCTION("""COMPUTED_VALUE"""),"Koenig")</f>
        <v>Koenig</v>
      </c>
      <c r="F6" s="93">
        <f>IFERROR(__xludf.DUMMYFUNCTION("""COMPUTED_VALUE"""),4413.0)</f>
        <v>4413</v>
      </c>
      <c r="G6" s="93" t="str">
        <f>IFERROR(__xludf.DUMMYFUNCTION("""COMPUTED_VALUE"""),"Ava Virmani")</f>
        <v>Ava Virmani</v>
      </c>
      <c r="H6" s="93">
        <f>IFERROR(__xludf.DUMMYFUNCTION("""COMPUTED_VALUE"""),3.123998535E9)</f>
        <v>3123998535</v>
      </c>
      <c r="I6" s="93" t="str">
        <f>IFERROR(__xludf.DUMMYFUNCTION("""COMPUTED_VALUE"""),"2PM-4PM")</f>
        <v>2PM-4PM</v>
      </c>
      <c r="J6" s="93">
        <f>IFERROR(__xludf.DUMMYFUNCTION("""COMPUTED_VALUE"""),0.0)</f>
        <v>0</v>
      </c>
      <c r="K6" s="93" t="str">
        <f>IFERROR(__xludf.DUMMYFUNCTION("""COMPUTED_VALUE"""),"Complete")</f>
        <v>Complete</v>
      </c>
      <c r="L6" s="93" t="str">
        <f>IFERROR(__xludf.DUMMYFUNCTION("""COMPUTED_VALUE"""),"No kit, don't SMS")</f>
        <v>No kit, don't SMS</v>
      </c>
      <c r="M6" s="94">
        <f>IFERROR(__xludf.DUMMYFUNCTION("""COMPUTED_VALUE"""),46130.421076388884)</f>
        <v>46130.42108</v>
      </c>
      <c r="N6" s="93">
        <f>IFERROR(__xludf.DUMMYFUNCTION("""COMPUTED_VALUE"""),212.0)</f>
        <v>212</v>
      </c>
      <c r="O6" s="93"/>
      <c r="P6" s="93" t="str">
        <f>IFERROR(__xludf.DUMMYFUNCTION("""COMPUTED_VALUE"""),"Kit Delivery")</f>
        <v>Kit Delivery</v>
      </c>
      <c r="Q6" s="93"/>
      <c r="R6" s="93"/>
      <c r="S6" s="93" t="str">
        <f>IFERROR(__xludf.DUMMYFUNCTION("""COMPUTED_VALUE"""),"Dispatch_Images/KIT--17508.Photos.150618.jpg")</f>
        <v>Dispatch_Images/KIT--17508.Photos.150618.jpg</v>
      </c>
      <c r="T6" s="95">
        <f>IFERROR(__xludf.DUMMYFUNCTION("""COMPUTED_VALUE"""),46130.42574074074)</f>
        <v>46130.42574</v>
      </c>
      <c r="U6" s="93"/>
      <c r="V6" s="93"/>
      <c r="W6" s="93"/>
      <c r="X6" s="93"/>
      <c r="Y6" s="93"/>
      <c r="Z6" s="93"/>
    </row>
    <row r="7">
      <c r="A7" s="93" t="str">
        <f>IFERROR(__xludf.DUMMYFUNCTION("""COMPUTED_VALUE"""),"KIT-#18101")</f>
        <v>KIT-#18101</v>
      </c>
      <c r="B7" s="94">
        <f>IFERROR(__xludf.DUMMYFUNCTION("""COMPUTED_VALUE"""),46144.0)</f>
        <v>46144</v>
      </c>
      <c r="C7" s="93" t="str">
        <f>IFERROR(__xludf.DUMMYFUNCTION("""COMPUTED_VALUE"""),"Kit Delivery")</f>
        <v>Kit Delivery</v>
      </c>
      <c r="D7" s="93">
        <f>IFERROR(__xludf.DUMMYFUNCTION("""COMPUTED_VALUE"""),2.0)</f>
        <v>2</v>
      </c>
      <c r="E7" s="93" t="str">
        <f>IFERROR(__xludf.DUMMYFUNCTION("""COMPUTED_VALUE"""),"Eliot B")</f>
        <v>Eliot B</v>
      </c>
      <c r="F7" s="93">
        <f>IFERROR(__xludf.DUMMYFUNCTION("""COMPUTED_VALUE"""),3060.0)</f>
        <v>3060</v>
      </c>
      <c r="G7" s="93" t="str">
        <f>IFERROR(__xludf.DUMMYFUNCTION("""COMPUTED_VALUE"""),"Juliet Quisenberry")</f>
        <v>Juliet Quisenberry</v>
      </c>
      <c r="H7" s="93">
        <f>IFERROR(__xludf.DUMMYFUNCTION("""COMPUTED_VALUE"""),5.124612236E9)</f>
        <v>5124612236</v>
      </c>
      <c r="I7" s="93" t="str">
        <f>IFERROR(__xludf.DUMMYFUNCTION("""COMPUTED_VALUE"""),"9AM-11AM")</f>
        <v>9AM-11AM</v>
      </c>
      <c r="J7" s="93">
        <f>IFERROR(__xludf.DUMMYFUNCTION("""COMPUTED_VALUE"""),0.0)</f>
        <v>0</v>
      </c>
      <c r="K7" s="93" t="str">
        <f>IFERROR(__xludf.DUMMYFUNCTION("""COMPUTED_VALUE"""),"Complete")</f>
        <v>Complete</v>
      </c>
      <c r="L7" s="93"/>
      <c r="M7" s="93"/>
      <c r="N7" s="93">
        <f>IFERROR(__xludf.DUMMYFUNCTION("""COMPUTED_VALUE"""),33.0)</f>
        <v>33</v>
      </c>
      <c r="O7" s="93"/>
      <c r="P7" s="93" t="str">
        <f>IFERROR(__xludf.DUMMYFUNCTION("""COMPUTED_VALUE"""),"Kit Delivery")</f>
        <v>Kit Delivery</v>
      </c>
      <c r="Q7" s="93"/>
      <c r="R7" s="93"/>
      <c r="S7" s="93"/>
      <c r="T7" s="95">
        <f>IFERROR(__xludf.DUMMYFUNCTION("""COMPUTED_VALUE"""),46142.69212962963)</f>
        <v>46142.69213</v>
      </c>
      <c r="U7" s="93"/>
      <c r="V7" s="93"/>
      <c r="W7" s="93"/>
      <c r="X7" s="93"/>
      <c r="Y7" s="93"/>
      <c r="Z7" s="93"/>
    </row>
    <row r="8">
      <c r="A8" s="93" t="str">
        <f>IFERROR(__xludf.DUMMYFUNCTION("""COMPUTED_VALUE"""),"KIT-#18079")</f>
        <v>KIT-#18079</v>
      </c>
      <c r="B8" s="94">
        <f>IFERROR(__xludf.DUMMYFUNCTION("""COMPUTED_VALUE"""),46144.0)</f>
        <v>46144</v>
      </c>
      <c r="C8" s="93" t="str">
        <f>IFERROR(__xludf.DUMMYFUNCTION("""COMPUTED_VALUE"""),"Kit Delivery")</f>
        <v>Kit Delivery</v>
      </c>
      <c r="D8" s="93">
        <f>IFERROR(__xludf.DUMMYFUNCTION("""COMPUTED_VALUE"""),2.0)</f>
        <v>2</v>
      </c>
      <c r="E8" s="93" t="str">
        <f>IFERROR(__xludf.DUMMYFUNCTION("""COMPUTED_VALUE"""),"Park")</f>
        <v>Park</v>
      </c>
      <c r="F8" s="93">
        <f>IFERROR(__xludf.DUMMYFUNCTION("""COMPUTED_VALUE"""),162.0)</f>
        <v>162</v>
      </c>
      <c r="G8" s="93" t="str">
        <f>IFERROR(__xludf.DUMMYFUNCTION("""COMPUTED_VALUE"""),"Casey Ference")</f>
        <v>Casey Ference</v>
      </c>
      <c r="H8" s="93">
        <f>IFERROR(__xludf.DUMMYFUNCTION("""COMPUTED_VALUE"""),9.17414012E9)</f>
        <v>9174140120</v>
      </c>
      <c r="I8" s="93" t="str">
        <f>IFERROR(__xludf.DUMMYFUNCTION("""COMPUTED_VALUE"""),"9AM-11AM")</f>
        <v>9AM-11AM</v>
      </c>
      <c r="J8" s="93">
        <f>IFERROR(__xludf.DUMMYFUNCTION("""COMPUTED_VALUE"""),0.0)</f>
        <v>0</v>
      </c>
      <c r="K8" s="93" t="str">
        <f>IFERROR(__xludf.DUMMYFUNCTION("""COMPUTED_VALUE"""),"Complete")</f>
        <v>Complete</v>
      </c>
      <c r="L8" s="93"/>
      <c r="M8" s="93"/>
      <c r="N8" s="93">
        <f>IFERROR(__xludf.DUMMYFUNCTION("""COMPUTED_VALUE"""),39.0)</f>
        <v>39</v>
      </c>
      <c r="O8" s="93"/>
      <c r="P8" s="93" t="str">
        <f>IFERROR(__xludf.DUMMYFUNCTION("""COMPUTED_VALUE"""),"Kit Delivery")</f>
        <v>Kit Delivery</v>
      </c>
      <c r="Q8" s="93"/>
      <c r="R8" s="93"/>
      <c r="S8" s="93"/>
      <c r="T8" s="95">
        <f>IFERROR(__xludf.DUMMYFUNCTION("""COMPUTED_VALUE"""),46142.69212962963)</f>
        <v>46142.69213</v>
      </c>
      <c r="U8" s="93"/>
      <c r="V8" s="93"/>
      <c r="W8" s="93"/>
      <c r="X8" s="93"/>
      <c r="Y8" s="93"/>
      <c r="Z8" s="93"/>
    </row>
    <row r="9">
      <c r="A9" s="93" t="str">
        <f>IFERROR(__xludf.DUMMYFUNCTION("""COMPUTED_VALUE"""),"KIT-#17495")</f>
        <v>KIT-#17495</v>
      </c>
      <c r="B9" s="94">
        <f>IFERROR(__xludf.DUMMYFUNCTION("""COMPUTED_VALUE"""),46146.0)</f>
        <v>46146</v>
      </c>
      <c r="C9" s="93" t="str">
        <f>IFERROR(__xludf.DUMMYFUNCTION("""COMPUTED_VALUE"""),"Kit Delivery")</f>
        <v>Kit Delivery</v>
      </c>
      <c r="D9" s="93">
        <f>IFERROR(__xludf.DUMMYFUNCTION("""COMPUTED_VALUE"""),2.0)</f>
        <v>2</v>
      </c>
      <c r="E9" s="93" t="str">
        <f>IFERROR(__xludf.DUMMYFUNCTION("""COMPUTED_VALUE"""),"Park")</f>
        <v>Park</v>
      </c>
      <c r="F9" s="93">
        <f>IFERROR(__xludf.DUMMYFUNCTION("""COMPUTED_VALUE"""),191.0)</f>
        <v>191</v>
      </c>
      <c r="G9" s="93" t="str">
        <f>IFERROR(__xludf.DUMMYFUNCTION("""COMPUTED_VALUE"""),"Yanyu Yao")</f>
        <v>Yanyu Yao</v>
      </c>
      <c r="H9" s="93">
        <f>IFERROR(__xludf.DUMMYFUNCTION("""COMPUTED_VALUE"""),3.142034028E9)</f>
        <v>3142034028</v>
      </c>
      <c r="I9" s="93" t="str">
        <f>IFERROR(__xludf.DUMMYFUNCTION("""COMPUTED_VALUE"""),"1PM-3PM")</f>
        <v>1PM-3PM</v>
      </c>
      <c r="J9" s="93">
        <f>IFERROR(__xludf.DUMMYFUNCTION("""COMPUTED_VALUE"""),0.0)</f>
        <v>0</v>
      </c>
      <c r="K9" s="93" t="str">
        <f>IFERROR(__xludf.DUMMYFUNCTION("""COMPUTED_VALUE"""),"Complete")</f>
        <v>Complete</v>
      </c>
      <c r="L9" s="93"/>
      <c r="M9" s="93"/>
      <c r="N9" s="93">
        <f>IFERROR(__xludf.DUMMYFUNCTION("""COMPUTED_VALUE"""),62.0)</f>
        <v>62</v>
      </c>
      <c r="O9" s="93"/>
      <c r="P9" s="93" t="str">
        <f>IFERROR(__xludf.DUMMYFUNCTION("""COMPUTED_VALUE"""),"Kit Delivery")</f>
        <v>Kit Delivery</v>
      </c>
      <c r="Q9" s="93"/>
      <c r="R9" s="93"/>
      <c r="S9" s="93"/>
      <c r="T9" s="95">
        <f>IFERROR(__xludf.DUMMYFUNCTION("""COMPUTED_VALUE"""),46130.474340277775)</f>
        <v>46130.47434</v>
      </c>
      <c r="U9" s="93"/>
      <c r="V9" s="93"/>
      <c r="W9" s="93"/>
      <c r="X9" s="93"/>
      <c r="Y9" s="93"/>
      <c r="Z9" s="93"/>
    </row>
    <row r="10">
      <c r="A10" s="93" t="str">
        <f>IFERROR(__xludf.DUMMYFUNCTION("""COMPUTED_VALUE"""),"KIT-#18095")</f>
        <v>KIT-#18095</v>
      </c>
      <c r="B10" s="94">
        <f>IFERROR(__xludf.DUMMYFUNCTION("""COMPUTED_VALUE"""),46146.0)</f>
        <v>46146</v>
      </c>
      <c r="C10" s="93" t="str">
        <f>IFERROR(__xludf.DUMMYFUNCTION("""COMPUTED_VALUE"""),"Kit Delivery")</f>
        <v>Kit Delivery</v>
      </c>
      <c r="D10" s="93">
        <f>IFERROR(__xludf.DUMMYFUNCTION("""COMPUTED_VALUE"""),2.0)</f>
        <v>2</v>
      </c>
      <c r="E10" s="93" t="str">
        <f>IFERROR(__xludf.DUMMYFUNCTION("""COMPUTED_VALUE"""),"Park")</f>
        <v>Park</v>
      </c>
      <c r="F10" s="93">
        <f>IFERROR(__xludf.DUMMYFUNCTION("""COMPUTED_VALUE"""),291.0)</f>
        <v>291</v>
      </c>
      <c r="G10" s="93" t="str">
        <f>IFERROR(__xludf.DUMMYFUNCTION("""COMPUTED_VALUE"""),"Miranda Pineda")</f>
        <v>Miranda Pineda</v>
      </c>
      <c r="H10" s="93">
        <f>IFERROR(__xludf.DUMMYFUNCTION("""COMPUTED_VALUE"""),4.845877048E9)</f>
        <v>4845877048</v>
      </c>
      <c r="I10" s="93" t="str">
        <f>IFERROR(__xludf.DUMMYFUNCTION("""COMPUTED_VALUE"""),"1PM-3PM")</f>
        <v>1PM-3PM</v>
      </c>
      <c r="J10" s="93">
        <f>IFERROR(__xludf.DUMMYFUNCTION("""COMPUTED_VALUE"""),0.0)</f>
        <v>0</v>
      </c>
      <c r="K10" s="93" t="str">
        <f>IFERROR(__xludf.DUMMYFUNCTION("""COMPUTED_VALUE"""),"Complete")</f>
        <v>Complete</v>
      </c>
      <c r="L10" s="93"/>
      <c r="M10" s="93"/>
      <c r="N10" s="93">
        <f>IFERROR(__xludf.DUMMYFUNCTION("""COMPUTED_VALUE"""),42.0)</f>
        <v>42</v>
      </c>
      <c r="O10" s="93"/>
      <c r="P10" s="93" t="str">
        <f>IFERROR(__xludf.DUMMYFUNCTION("""COMPUTED_VALUE"""),"Kit Delivery")</f>
        <v>Kit Delivery</v>
      </c>
      <c r="Q10" s="93" t="str">
        <f>IFERROR(__xludf.DUMMYFUNCTION("""COMPUTED_VALUE"""),"double door mini fridge")</f>
        <v>double door mini fridge</v>
      </c>
      <c r="R10" s="93"/>
      <c r="S10" s="93"/>
      <c r="T10" s="95">
        <f>IFERROR(__xludf.DUMMYFUNCTION("""COMPUTED_VALUE"""),46142.69212962963)</f>
        <v>46142.69213</v>
      </c>
      <c r="U10" s="93"/>
      <c r="V10" s="93"/>
      <c r="W10" s="93"/>
      <c r="X10" s="93"/>
      <c r="Y10" s="93"/>
      <c r="Z10" s="93"/>
    </row>
    <row r="11">
      <c r="A11" s="93" t="str">
        <f>IFERROR(__xludf.DUMMYFUNCTION("""COMPUTED_VALUE"""),"KIT-#18090")</f>
        <v>KIT-#18090</v>
      </c>
      <c r="B11" s="94">
        <f>IFERROR(__xludf.DUMMYFUNCTION("""COMPUTED_VALUE"""),46146.0)</f>
        <v>46146</v>
      </c>
      <c r="C11" s="93" t="str">
        <f>IFERROR(__xludf.DUMMYFUNCTION("""COMPUTED_VALUE"""),"Kit Delivery")</f>
        <v>Kit Delivery</v>
      </c>
      <c r="D11" s="93">
        <f>IFERROR(__xludf.DUMMYFUNCTION("""COMPUTED_VALUE"""),2.0)</f>
        <v>2</v>
      </c>
      <c r="E11" s="93" t="str">
        <f>IFERROR(__xludf.DUMMYFUNCTION("""COMPUTED_VALUE"""),"Lopata")</f>
        <v>Lopata</v>
      </c>
      <c r="F11" s="93">
        <f>IFERROR(__xludf.DUMMYFUNCTION("""COMPUTED_VALUE"""),3022.0)</f>
        <v>3022</v>
      </c>
      <c r="G11" s="93" t="str">
        <f>IFERROR(__xludf.DUMMYFUNCTION("""COMPUTED_VALUE"""),"Estelle Rosenblatt")</f>
        <v>Estelle Rosenblatt</v>
      </c>
      <c r="H11" s="93">
        <f>IFERROR(__xludf.DUMMYFUNCTION("""COMPUTED_VALUE"""),8.476916696E9)</f>
        <v>8476916696</v>
      </c>
      <c r="I11" s="93" t="str">
        <f>IFERROR(__xludf.DUMMYFUNCTION("""COMPUTED_VALUE"""),"11AM-1PM")</f>
        <v>11AM-1PM</v>
      </c>
      <c r="J11" s="93">
        <f>IFERROR(__xludf.DUMMYFUNCTION("""COMPUTED_VALUE"""),0.0)</f>
        <v>0</v>
      </c>
      <c r="K11" s="93" t="str">
        <f>IFERROR(__xludf.DUMMYFUNCTION("""COMPUTED_VALUE"""),"Complete")</f>
        <v>Complete</v>
      </c>
      <c r="L11" s="93"/>
      <c r="M11" s="93"/>
      <c r="N11" s="93">
        <f>IFERROR(__xludf.DUMMYFUNCTION("""COMPUTED_VALUE"""),118.0)</f>
        <v>118</v>
      </c>
      <c r="O11" s="93" t="str">
        <f>IFERROR(__xludf.DUMMYFUNCTION("""COMPUTED_VALUE"""),"2248 Egandale Rd")</f>
        <v>2248 Egandale Rd</v>
      </c>
      <c r="P11" s="93" t="str">
        <f>IFERROR(__xludf.DUMMYFUNCTION("""COMPUTED_VALUE"""),"Kit Delivery")</f>
        <v>Kit Delivery</v>
      </c>
      <c r="Q11" s="93"/>
      <c r="R11" s="93"/>
      <c r="S11" s="93"/>
      <c r="T11" s="95">
        <f>IFERROR(__xludf.DUMMYFUNCTION("""COMPUTED_VALUE"""),46142.69212962963)</f>
        <v>46142.69213</v>
      </c>
      <c r="U11" s="93"/>
      <c r="V11" s="93"/>
      <c r="W11" s="93"/>
      <c r="X11" s="93"/>
      <c r="Y11" s="93"/>
      <c r="Z11" s="93"/>
    </row>
    <row r="12">
      <c r="A12" s="93" t="str">
        <f>IFERROR(__xludf.DUMMYFUNCTION("""COMPUTED_VALUE"""),"KIT-#17282")</f>
        <v>KIT-#17282</v>
      </c>
      <c r="B12" s="94">
        <f>IFERROR(__xludf.DUMMYFUNCTION("""COMPUTED_VALUE"""),46146.0)</f>
        <v>46146</v>
      </c>
      <c r="C12" s="93" t="str">
        <f>IFERROR(__xludf.DUMMYFUNCTION("""COMPUTED_VALUE"""),"Kit Delivery")</f>
        <v>Kit Delivery</v>
      </c>
      <c r="D12" s="93">
        <f>IFERROR(__xludf.DUMMYFUNCTION("""COMPUTED_VALUE"""),1.0)</f>
        <v>1</v>
      </c>
      <c r="E12" s="93" t="str">
        <f>IFERROR(__xludf.DUMMYFUNCTION("""COMPUTED_VALUE"""),"Dauten")</f>
        <v>Dauten</v>
      </c>
      <c r="F12" s="93" t="str">
        <f>IFERROR(__xludf.DUMMYFUNCTION("""COMPUTED_VALUE"""),"242-b")</f>
        <v>242-b</v>
      </c>
      <c r="G12" s="93" t="str">
        <f>IFERROR(__xludf.DUMMYFUNCTION("""COMPUTED_VALUE"""),"Jonah Glass")</f>
        <v>Jonah Glass</v>
      </c>
      <c r="H12" s="93">
        <f>IFERROR(__xludf.DUMMYFUNCTION("""COMPUTED_VALUE"""),9.144326482E9)</f>
        <v>9144326482</v>
      </c>
      <c r="I12" s="93" t="str">
        <f>IFERROR(__xludf.DUMMYFUNCTION("""COMPUTED_VALUE"""),"11AM-1PM")</f>
        <v>11AM-1PM</v>
      </c>
      <c r="J12" s="93">
        <f>IFERROR(__xludf.DUMMYFUNCTION("""COMPUTED_VALUE"""),0.0)</f>
        <v>0</v>
      </c>
      <c r="K12" s="93" t="str">
        <f>IFERROR(__xludf.DUMMYFUNCTION("""COMPUTED_VALUE"""),"Complete")</f>
        <v>Complete</v>
      </c>
      <c r="L12" s="93"/>
      <c r="M12" s="94">
        <f>IFERROR(__xludf.DUMMYFUNCTION("""COMPUTED_VALUE"""),46123.674791666665)</f>
        <v>46123.67479</v>
      </c>
      <c r="N12" s="93">
        <f>IFERROR(__xludf.DUMMYFUNCTION("""COMPUTED_VALUE"""),82.0)</f>
        <v>82</v>
      </c>
      <c r="O12" s="93"/>
      <c r="P12" s="93" t="str">
        <f>IFERROR(__xludf.DUMMYFUNCTION("""COMPUTED_VALUE"""),"Kit Delivery")</f>
        <v>Kit Delivery</v>
      </c>
      <c r="Q12" s="93"/>
      <c r="R12" s="93"/>
      <c r="S12" s="95">
        <f>IFERROR(__xludf.DUMMYFUNCTION("""COMPUTED_VALUE"""),46123.70133101852)</f>
        <v>46123.70133</v>
      </c>
      <c r="T12" s="93"/>
      <c r="U12" s="93"/>
      <c r="V12" s="93"/>
      <c r="W12" s="93"/>
      <c r="X12" s="93"/>
      <c r="Y12" s="93"/>
      <c r="Z12" s="93"/>
    </row>
    <row r="13">
      <c r="A13" s="93" t="str">
        <f>IFERROR(__xludf.DUMMYFUNCTION("""COMPUTED_VALUE"""),"KIT-#17624")</f>
        <v>KIT-#17624</v>
      </c>
      <c r="B13" s="94">
        <f>IFERROR(__xludf.DUMMYFUNCTION("""COMPUTED_VALUE"""),46147.0)</f>
        <v>46147</v>
      </c>
      <c r="C13" s="93" t="str">
        <f>IFERROR(__xludf.DUMMYFUNCTION("""COMPUTED_VALUE"""),"Kit Delivery")</f>
        <v>Kit Delivery</v>
      </c>
      <c r="D13" s="93">
        <f>IFERROR(__xludf.DUMMYFUNCTION("""COMPUTED_VALUE"""),2.0)</f>
        <v>2</v>
      </c>
      <c r="E13" s="93" t="str">
        <f>IFERROR(__xludf.DUMMYFUNCTION("""COMPUTED_VALUE"""),"Park")</f>
        <v>Park</v>
      </c>
      <c r="F13" s="93">
        <f>IFERROR(__xludf.DUMMYFUNCTION("""COMPUTED_VALUE"""),441.0)</f>
        <v>441</v>
      </c>
      <c r="G13" s="93" t="str">
        <f>IFERROR(__xludf.DUMMYFUNCTION("""COMPUTED_VALUE"""),"Casey Yung")</f>
        <v>Casey Yung</v>
      </c>
      <c r="H13" s="93">
        <f>IFERROR(__xludf.DUMMYFUNCTION("""COMPUTED_VALUE"""),4.153078559E9)</f>
        <v>4153078559</v>
      </c>
      <c r="I13" s="93" t="str">
        <f>IFERROR(__xludf.DUMMYFUNCTION("""COMPUTED_VALUE"""),"3PM-5PM")</f>
        <v>3PM-5PM</v>
      </c>
      <c r="J13" s="93">
        <f>IFERROR(__xludf.DUMMYFUNCTION("""COMPUTED_VALUE"""),0.0)</f>
        <v>0</v>
      </c>
      <c r="K13" s="93" t="str">
        <f>IFERROR(__xludf.DUMMYFUNCTION("""COMPUTED_VALUE"""),"Complete")</f>
        <v>Complete</v>
      </c>
      <c r="L13" s="93" t="str">
        <f>IFERROR(__xludf.DUMMYFUNCTION("""COMPUTED_VALUE"""),"0 kits")</f>
        <v>0 kits</v>
      </c>
      <c r="M13" s="93"/>
      <c r="N13" s="93">
        <f>IFERROR(__xludf.DUMMYFUNCTION("""COMPUTED_VALUE"""),80.0)</f>
        <v>80</v>
      </c>
      <c r="O13" s="93" t="str">
        <f>IFERROR(__xludf.DUMMYFUNCTION("""COMPUTED_VALUE"""),"18 Warford Ter, Orinda, CA 94563")</f>
        <v>18 Warford Ter, Orinda, CA 94563</v>
      </c>
      <c r="P13" s="93" t="str">
        <f>IFERROR(__xludf.DUMMYFUNCTION("""COMPUTED_VALUE"""),"Kit Delivery")</f>
        <v>Kit Delivery</v>
      </c>
      <c r="Q13" s="93" t="str">
        <f>IFERROR(__xludf.DUMMYFUNCTION("""COMPUTED_VALUE"""),"I already received a kit for summer storage but need some shipping labels for shipping 1-2 boxes home")</f>
        <v>I already received a kit for summer storage but need some shipping labels for shipping 1-2 boxes home</v>
      </c>
      <c r="R13" s="93"/>
      <c r="S13" s="93"/>
      <c r="T13" s="95">
        <f>IFERROR(__xludf.DUMMYFUNCTION("""COMPUTED_VALUE"""),46134.6340625)</f>
        <v>46134.63406</v>
      </c>
      <c r="U13" s="93"/>
      <c r="V13" s="93"/>
      <c r="W13" s="93"/>
      <c r="X13" s="93"/>
      <c r="Y13" s="93"/>
      <c r="Z13" s="93"/>
    </row>
    <row r="14">
      <c r="A14" s="93" t="str">
        <f>IFERROR(__xludf.DUMMYFUNCTION("""COMPUTED_VALUE"""),"KIT-#18183")</f>
        <v>KIT-#18183</v>
      </c>
      <c r="B14" s="94">
        <f>IFERROR(__xludf.DUMMYFUNCTION("""COMPUTED_VALUE"""),46148.0)</f>
        <v>46148</v>
      </c>
      <c r="C14" s="93" t="str">
        <f>IFERROR(__xludf.DUMMYFUNCTION("""COMPUTED_VALUE"""),"Kit Delivery")</f>
        <v>Kit Delivery</v>
      </c>
      <c r="D14" s="93">
        <f>IFERROR(__xludf.DUMMYFUNCTION("""COMPUTED_VALUE"""),2.0)</f>
        <v>2</v>
      </c>
      <c r="E14" s="93" t="str">
        <f>IFERROR(__xludf.DUMMYFUNCTION("""COMPUTED_VALUE"""),"Rutledge")</f>
        <v>Rutledge</v>
      </c>
      <c r="F14" s="93">
        <f>IFERROR(__xludf.DUMMYFUNCTION("""COMPUTED_VALUE"""),211.0)</f>
        <v>211</v>
      </c>
      <c r="G14" s="93" t="str">
        <f>IFERROR(__xludf.DUMMYFUNCTION("""COMPUTED_VALUE"""),"Yuxuan Xu")</f>
        <v>Yuxuan Xu</v>
      </c>
      <c r="H14" s="93">
        <f>IFERROR(__xludf.DUMMYFUNCTION("""COMPUTED_VALUE"""),3.1429609E9)</f>
        <v>3142960900</v>
      </c>
      <c r="I14" s="93" t="str">
        <f>IFERROR(__xludf.DUMMYFUNCTION("""COMPUTED_VALUE"""),"3PM-5PM")</f>
        <v>3PM-5PM</v>
      </c>
      <c r="J14" s="93">
        <f>IFERROR(__xludf.DUMMYFUNCTION("""COMPUTED_VALUE"""),0.0)</f>
        <v>0</v>
      </c>
      <c r="K14" s="93" t="str">
        <f>IFERROR(__xludf.DUMMYFUNCTION("""COMPUTED_VALUE"""),"Complete")</f>
        <v>Complete</v>
      </c>
      <c r="L14" s="93" t="str">
        <f>IFERROR(__xludf.DUMMYFUNCTION("""COMPUTED_VALUE"""),"0 kits")</f>
        <v>0 kits</v>
      </c>
      <c r="M14" s="94">
        <f>IFERROR(__xludf.DUMMYFUNCTION("""COMPUTED_VALUE"""),46145.5777662037)</f>
        <v>46145.57777</v>
      </c>
      <c r="N14" s="93">
        <f>IFERROR(__xludf.DUMMYFUNCTION("""COMPUTED_VALUE"""),11.0)</f>
        <v>11</v>
      </c>
      <c r="O14" s="93"/>
      <c r="P14" s="93" t="str">
        <f>IFERROR(__xludf.DUMMYFUNCTION("""COMPUTED_VALUE"""),"Kit Delivery")</f>
        <v>Kit Delivery</v>
      </c>
      <c r="Q14" s="93"/>
      <c r="R14" s="93"/>
      <c r="S14" s="93" t="str">
        <f>IFERROR(__xludf.DUMMYFUNCTION("""COMPUTED_VALUE"""),"Dispatch_Images/KIT--18183.Photos.185155.jpg")</f>
        <v>Dispatch_Images/KIT--18183.Photos.185155.jpg</v>
      </c>
      <c r="T14" s="95">
        <f>IFERROR(__xludf.DUMMYFUNCTION("""COMPUTED_VALUE"""),46145.58099537037)</f>
        <v>46145.581</v>
      </c>
      <c r="U14" s="93"/>
      <c r="V14" s="93"/>
      <c r="W14" s="93"/>
      <c r="X14" s="93"/>
      <c r="Y14" s="93"/>
      <c r="Z14" s="93"/>
    </row>
    <row r="15">
      <c r="A15" s="93" t="str">
        <f>IFERROR(__xludf.DUMMYFUNCTION("""COMPUTED_VALUE"""),"KIT-#17417")</f>
        <v>KIT-#17417</v>
      </c>
      <c r="B15" s="94">
        <f>IFERROR(__xludf.DUMMYFUNCTION("""COMPUTED_VALUE"""),46149.0)</f>
        <v>46149</v>
      </c>
      <c r="C15" s="93" t="str">
        <f>IFERROR(__xludf.DUMMYFUNCTION("""COMPUTED_VALUE"""),"Kit Delivery")</f>
        <v>Kit Delivery</v>
      </c>
      <c r="D15" s="93">
        <f>IFERROR(__xludf.DUMMYFUNCTION("""COMPUTED_VALUE"""),1.0)</f>
        <v>1</v>
      </c>
      <c r="E15" s="93" t="str">
        <f>IFERROR(__xludf.DUMMYFUNCTION("""COMPUTED_VALUE"""),"Shanedling")</f>
        <v>Shanedling</v>
      </c>
      <c r="F15" s="93">
        <f>IFERROR(__xludf.DUMMYFUNCTION("""COMPUTED_VALUE"""),433.0)</f>
        <v>433</v>
      </c>
      <c r="G15" s="93" t="str">
        <f>IFERROR(__xludf.DUMMYFUNCTION("""COMPUTED_VALUE"""),"Zachary Bergman")</f>
        <v>Zachary Bergman</v>
      </c>
      <c r="H15" s="93">
        <f>IFERROR(__xludf.DUMMYFUNCTION("""COMPUTED_VALUE"""),6.787839777E9)</f>
        <v>6787839777</v>
      </c>
      <c r="I15" s="93" t="str">
        <f>IFERROR(__xludf.DUMMYFUNCTION("""COMPUTED_VALUE"""),"1PM-3PM")</f>
        <v>1PM-3PM</v>
      </c>
      <c r="J15" s="93">
        <f>IFERROR(__xludf.DUMMYFUNCTION("""COMPUTED_VALUE"""),0.0)</f>
        <v>0</v>
      </c>
      <c r="K15" s="93" t="str">
        <f>IFERROR(__xludf.DUMMYFUNCTION("""COMPUTED_VALUE"""),"Complete")</f>
        <v>Complete</v>
      </c>
      <c r="L15" s="93"/>
      <c r="M15" s="93"/>
      <c r="N15" s="93">
        <f>IFERROR(__xludf.DUMMYFUNCTION("""COMPUTED_VALUE"""),116.0)</f>
        <v>116</v>
      </c>
      <c r="O15" s="93"/>
      <c r="P15" s="93" t="str">
        <f>IFERROR(__xludf.DUMMYFUNCTION("""COMPUTED_VALUE"""),"Kit Delivery")</f>
        <v>Kit Delivery</v>
      </c>
      <c r="Q15" s="93"/>
      <c r="R15" s="93"/>
      <c r="S15" s="93"/>
      <c r="T15" s="95">
        <f>IFERROR(__xludf.DUMMYFUNCTION("""COMPUTED_VALUE"""),46130.474340277775)</f>
        <v>46130.47434</v>
      </c>
      <c r="U15" s="93"/>
      <c r="V15" s="93"/>
      <c r="W15" s="93"/>
      <c r="X15" s="93"/>
      <c r="Y15" s="93"/>
      <c r="Z15" s="93"/>
    </row>
    <row r="16">
      <c r="A16" s="93" t="str">
        <f>IFERROR(__xludf.DUMMYFUNCTION("""COMPUTED_VALUE"""),"KIT-#18122")</f>
        <v>KIT-#18122</v>
      </c>
      <c r="B16" s="94">
        <f>IFERROR(__xludf.DUMMYFUNCTION("""COMPUTED_VALUE"""),46150.0)</f>
        <v>46150</v>
      </c>
      <c r="C16" s="93" t="str">
        <f>IFERROR(__xludf.DUMMYFUNCTION("""COMPUTED_VALUE"""),"Kit Delivery")</f>
        <v>Kit Delivery</v>
      </c>
      <c r="D16" s="93">
        <f>IFERROR(__xludf.DUMMYFUNCTION("""COMPUTED_VALUE"""),2.0)</f>
        <v>2</v>
      </c>
      <c r="E16" s="93" t="str">
        <f>IFERROR(__xludf.DUMMYFUNCTION("""COMPUTED_VALUE"""),"House 1")</f>
        <v>House 1</v>
      </c>
      <c r="F16" s="93">
        <f>IFERROR(__xludf.DUMMYFUNCTION("""COMPUTED_VALUE"""),117.0)</f>
        <v>117</v>
      </c>
      <c r="G16" s="93" t="str">
        <f>IFERROR(__xludf.DUMMYFUNCTION("""COMPUTED_VALUE"""),"Hao")</f>
        <v>Hao</v>
      </c>
      <c r="H16" s="93">
        <f>IFERROR(__xludf.DUMMYFUNCTION("""COMPUTED_VALUE"""),6.46203634E9)</f>
        <v>6462036340</v>
      </c>
      <c r="I16" s="93" t="str">
        <f>IFERROR(__xludf.DUMMYFUNCTION("""COMPUTED_VALUE"""),"9AM-11AM")</f>
        <v>9AM-11AM</v>
      </c>
      <c r="J16" s="93">
        <f>IFERROR(__xludf.DUMMYFUNCTION("""COMPUTED_VALUE"""),0.0)</f>
        <v>0</v>
      </c>
      <c r="K16" s="93" t="str">
        <f>IFERROR(__xludf.DUMMYFUNCTION("""COMPUTED_VALUE"""),"Complete")</f>
        <v>Complete</v>
      </c>
      <c r="L16" s="93" t="str">
        <f>IFERROR(__xludf.DUMMYFUNCTION("""COMPUTED_VALUE"""),"0 kits")</f>
        <v>0 kits</v>
      </c>
      <c r="M16" s="94">
        <f>IFERROR(__xludf.DUMMYFUNCTION("""COMPUTED_VALUE"""),46145.57760416667)</f>
        <v>46145.5776</v>
      </c>
      <c r="N16" s="93">
        <f>IFERROR(__xludf.DUMMYFUNCTION("""COMPUTED_VALUE"""),36.0)</f>
        <v>36</v>
      </c>
      <c r="O16" s="93"/>
      <c r="P16" s="93" t="str">
        <f>IFERROR(__xludf.DUMMYFUNCTION("""COMPUTED_VALUE"""),"Kit Delivery")</f>
        <v>Kit Delivery</v>
      </c>
      <c r="Q16" s="93"/>
      <c r="R16" s="93"/>
      <c r="S16" s="93" t="str">
        <f>IFERROR(__xludf.DUMMYFUNCTION("""COMPUTED_VALUE"""),"Dispatch_Images/KIT--18122.Photos.185141.jpg")</f>
        <v>Dispatch_Images/KIT--18122.Photos.185141.jpg</v>
      </c>
      <c r="T16" s="95">
        <f>IFERROR(__xludf.DUMMYFUNCTION("""COMPUTED_VALUE"""),46145.58099537037)</f>
        <v>46145.581</v>
      </c>
      <c r="U16" s="93"/>
      <c r="V16" s="93"/>
      <c r="W16" s="93"/>
      <c r="X16" s="93"/>
      <c r="Y16" s="93"/>
      <c r="Z16" s="93"/>
    </row>
    <row r="17">
      <c r="A17" s="93" t="str">
        <f>IFERROR(__xludf.DUMMYFUNCTION("""COMPUTED_VALUE"""),"KIT-#17074")</f>
        <v>KIT-#17074</v>
      </c>
      <c r="B17" s="94">
        <f>IFERROR(__xludf.DUMMYFUNCTION("""COMPUTED_VALUE"""),46151.0)</f>
        <v>46151</v>
      </c>
      <c r="C17" s="93" t="str">
        <f>IFERROR(__xludf.DUMMYFUNCTION("""COMPUTED_VALUE"""),"Kit Delivery")</f>
        <v>Kit Delivery</v>
      </c>
      <c r="D17" s="93">
        <f>IFERROR(__xludf.DUMMYFUNCTION("""COMPUTED_VALUE"""),2.0)</f>
        <v>2</v>
      </c>
      <c r="E17" s="93" t="str">
        <f>IFERROR(__xludf.DUMMYFUNCTION("""COMPUTED_VALUE"""),"Umrath")</f>
        <v>Umrath</v>
      </c>
      <c r="F17" s="93">
        <f>IFERROR(__xludf.DUMMYFUNCTION("""COMPUTED_VALUE"""),4403.0)</f>
        <v>4403</v>
      </c>
      <c r="G17" s="93" t="str">
        <f>IFERROR(__xludf.DUMMYFUNCTION("""COMPUTED_VALUE"""),"Allison Pearl")</f>
        <v>Allison Pearl</v>
      </c>
      <c r="H17" s="93">
        <f>IFERROR(__xludf.DUMMYFUNCTION("""COMPUTED_VALUE"""),6.163282714E9)</f>
        <v>6163282714</v>
      </c>
      <c r="I17" s="93" t="str">
        <f>IFERROR(__xludf.DUMMYFUNCTION("""COMPUTED_VALUE"""),"10AM-12PM")</f>
        <v>10AM-12PM</v>
      </c>
      <c r="J17" s="93">
        <f>IFERROR(__xludf.DUMMYFUNCTION("""COMPUTED_VALUE"""),0.0)</f>
        <v>0</v>
      </c>
      <c r="K17" s="93" t="str">
        <f>IFERROR(__xludf.DUMMYFUNCTION("""COMPUTED_VALUE"""),"Complete")</f>
        <v>Complete</v>
      </c>
      <c r="L17" s="93"/>
      <c r="M17" s="94">
        <f>IFERROR(__xludf.DUMMYFUNCTION("""COMPUTED_VALUE"""),46129.890555555554)</f>
        <v>46129.89056</v>
      </c>
      <c r="N17" s="93">
        <f>IFERROR(__xludf.DUMMYFUNCTION("""COMPUTED_VALUE"""),174.0)</f>
        <v>174</v>
      </c>
      <c r="O17" s="93"/>
      <c r="P17" s="93" t="str">
        <f>IFERROR(__xludf.DUMMYFUNCTION("""COMPUTED_VALUE"""),"Kit Delivery")</f>
        <v>Kit Delivery</v>
      </c>
      <c r="Q17" s="93"/>
      <c r="R17" s="93"/>
      <c r="S17" s="93" t="str">
        <f>IFERROR(__xludf.DUMMYFUNCTION("""COMPUTED_VALUE"""),"Dispatch_Images/KIT--17074.Photos.022221.jpg")</f>
        <v>Dispatch_Images/KIT--17074.Photos.022221.jpg</v>
      </c>
      <c r="T17" s="95">
        <f>IFERROR(__xludf.DUMMYFUNCTION("""COMPUTED_VALUE"""),46129.89100694445)</f>
        <v>46129.89101</v>
      </c>
      <c r="U17" s="93"/>
      <c r="V17" s="93"/>
      <c r="W17" s="93"/>
      <c r="X17" s="93"/>
      <c r="Y17" s="93"/>
      <c r="Z17" s="93"/>
    </row>
    <row r="18">
      <c r="A18" s="93" t="str">
        <f>IFERROR(__xludf.DUMMYFUNCTION("""COMPUTED_VALUE"""),"KIT-#17101")</f>
        <v>KIT-#17101</v>
      </c>
      <c r="B18" s="94">
        <f>IFERROR(__xludf.DUMMYFUNCTION("""COMPUTED_VALUE"""),46158.0)</f>
        <v>46158</v>
      </c>
      <c r="C18" s="93" t="str">
        <f>IFERROR(__xludf.DUMMYFUNCTION("""COMPUTED_VALUE"""),"Kit Delivery")</f>
        <v>Kit Delivery</v>
      </c>
      <c r="D18" s="93">
        <f>IFERROR(__xludf.DUMMYFUNCTION("""COMPUTED_VALUE"""),2.0)</f>
        <v>2</v>
      </c>
      <c r="E18" s="93" t="str">
        <f>IFERROR(__xludf.DUMMYFUNCTION("""COMPUTED_VALUE"""),"Greenway Apartments")</f>
        <v>Greenway Apartments</v>
      </c>
      <c r="F18" s="93" t="str">
        <f>IFERROR(__xludf.DUMMYFUNCTION("""COMPUTED_VALUE"""),"324B")</f>
        <v>324B</v>
      </c>
      <c r="G18" s="93" t="str">
        <f>IFERROR(__xludf.DUMMYFUNCTION("""COMPUTED_VALUE"""),"Helen Ives")</f>
        <v>Helen Ives</v>
      </c>
      <c r="H18" s="93">
        <f>IFERROR(__xludf.DUMMYFUNCTION("""COMPUTED_VALUE"""),8.572188168E9)</f>
        <v>8572188168</v>
      </c>
      <c r="I18" s="93" t="str">
        <f>IFERROR(__xludf.DUMMYFUNCTION("""COMPUTED_VALUE"""),"3PM-5PM")</f>
        <v>3PM-5PM</v>
      </c>
      <c r="J18" s="93">
        <f>IFERROR(__xludf.DUMMYFUNCTION("""COMPUTED_VALUE"""),0.0)</f>
        <v>0</v>
      </c>
      <c r="K18" s="93" t="str">
        <f>IFERROR(__xludf.DUMMYFUNCTION("""COMPUTED_VALUE"""),"Complete")</f>
        <v>Complete</v>
      </c>
      <c r="L18" s="93" t="str">
        <f>IFERROR(__xludf.DUMMYFUNCTION("""COMPUTED_VALUE"""),"0 kits")</f>
        <v>0 kits</v>
      </c>
      <c r="M18" s="93"/>
      <c r="N18" s="93">
        <f>IFERROR(__xludf.DUMMYFUNCTION("""COMPUTED_VALUE"""),287.0)</f>
        <v>287</v>
      </c>
      <c r="O18" s="93" t="str">
        <f>IFERROR(__xludf.DUMMYFUNCTION("""COMPUTED_VALUE"""),"23 Monmouth Street
Brookline, Massachusetts 02446")</f>
        <v>23 Monmouth Street
Brookline, Massachusetts 02446</v>
      </c>
      <c r="P18" s="93" t="str">
        <f>IFERROR(__xludf.DUMMYFUNCTION("""COMPUTED_VALUE"""),"Kit Delivery")</f>
        <v>Kit Delivery</v>
      </c>
      <c r="Q18" s="93"/>
      <c r="R18" s="93"/>
      <c r="S18" s="93"/>
      <c r="T18" s="95">
        <f>IFERROR(__xludf.DUMMYFUNCTION("""COMPUTED_VALUE"""),46134.6340625)</f>
        <v>46134.63406</v>
      </c>
      <c r="U18" s="93"/>
      <c r="V18" s="93"/>
      <c r="W18" s="93"/>
      <c r="X18" s="93"/>
      <c r="Y18" s="93"/>
      <c r="Z18" s="93"/>
    </row>
    <row r="19">
      <c r="A19" s="93" t="str">
        <f>IFERROR(__xludf.DUMMYFUNCTION("""COMPUTED_VALUE"""),"KIT-#17572")</f>
        <v>KIT-#17572</v>
      </c>
      <c r="B19" s="94">
        <f>IFERROR(__xludf.DUMMYFUNCTION("""COMPUTED_VALUE"""),46160.0)</f>
        <v>46160</v>
      </c>
      <c r="C19" s="93" t="str">
        <f>IFERROR(__xludf.DUMMYFUNCTION("""COMPUTED_VALUE"""),"Kit Delivery")</f>
        <v>Kit Delivery</v>
      </c>
      <c r="D19" s="93">
        <f>IFERROR(__xludf.DUMMYFUNCTION("""COMPUTED_VALUE"""),1.0)</f>
        <v>1</v>
      </c>
      <c r="E19" s="93" t="str">
        <f>IFERROR(__xludf.DUMMYFUNCTION("""COMPUTED_VALUE"""),"Off-Campus")</f>
        <v>Off-Campus</v>
      </c>
      <c r="F19" s="93"/>
      <c r="G19" s="93" t="str">
        <f>IFERROR(__xludf.DUMMYFUNCTION("""COMPUTED_VALUE"""),"Sam Modlinger")</f>
        <v>Sam Modlinger</v>
      </c>
      <c r="H19" s="93">
        <f>IFERROR(__xludf.DUMMYFUNCTION("""COMPUTED_VALUE"""),6.467570626E9)</f>
        <v>6467570626</v>
      </c>
      <c r="I19" s="93" t="str">
        <f>IFERROR(__xludf.DUMMYFUNCTION("""COMPUTED_VALUE"""),"10AM-12PM")</f>
        <v>10AM-12PM</v>
      </c>
      <c r="J19" s="93">
        <f>IFERROR(__xludf.DUMMYFUNCTION("""COMPUTED_VALUE"""),0.0)</f>
        <v>0</v>
      </c>
      <c r="K19" s="93" t="str">
        <f>IFERROR(__xludf.DUMMYFUNCTION("""COMPUTED_VALUE"""),"Complete")</f>
        <v>Complete</v>
      </c>
      <c r="L19" s="93"/>
      <c r="M19" s="93"/>
      <c r="N19" s="93">
        <f>IFERROR(__xludf.DUMMYFUNCTION("""COMPUTED_VALUE"""),350.0)</f>
        <v>350</v>
      </c>
      <c r="O19" s="93" t="str">
        <f>IFERROR(__xludf.DUMMYFUNCTION("""COMPUTED_VALUE"""),"6127 waterman blvd")</f>
        <v>6127 waterman blvd</v>
      </c>
      <c r="P19" s="93" t="str">
        <f>IFERROR(__xludf.DUMMYFUNCTION("""COMPUTED_VALUE"""),"Kit Delivery")</f>
        <v>Kit Delivery</v>
      </c>
      <c r="Q19" s="93"/>
      <c r="R19" s="93"/>
      <c r="S19" s="93"/>
      <c r="T19" s="95">
        <f>IFERROR(__xludf.DUMMYFUNCTION("""COMPUTED_VALUE"""),46130.474340277775)</f>
        <v>46130.47434</v>
      </c>
      <c r="U19" s="93"/>
      <c r="V19" s="93"/>
      <c r="W19" s="93"/>
      <c r="X19" s="93"/>
      <c r="Y19" s="93"/>
      <c r="Z19" s="93"/>
    </row>
    <row r="20">
      <c r="A20" s="93" t="str">
        <f>IFERROR(__xludf.DUMMYFUNCTION("""COMPUTED_VALUE"""),"KIT-#17408")</f>
        <v>KIT-#17408</v>
      </c>
      <c r="B20" s="94">
        <f>IFERROR(__xludf.DUMMYFUNCTION("""COMPUTED_VALUE"""),46125.0)</f>
        <v>46125</v>
      </c>
      <c r="C20" s="93" t="str">
        <f>IFERROR(__xludf.DUMMYFUNCTION("""COMPUTED_VALUE"""),"Kit Delivery")</f>
        <v>Kit Delivery</v>
      </c>
      <c r="D20" s="93">
        <f>IFERROR(__xludf.DUMMYFUNCTION("""COMPUTED_VALUE"""),1.0)</f>
        <v>1</v>
      </c>
      <c r="E20" s="93" t="str">
        <f>IFERROR(__xludf.DUMMYFUNCTION("""COMPUTED_VALUE"""),"LL6200")</f>
        <v>LL6200</v>
      </c>
      <c r="F20" s="93" t="str">
        <f>IFERROR(__xludf.DUMMYFUNCTION("""COMPUTED_VALUE"""),"111B")</f>
        <v>111B</v>
      </c>
      <c r="G20" s="93" t="str">
        <f>IFERROR(__xludf.DUMMYFUNCTION("""COMPUTED_VALUE"""),"Chelsea Smalling")</f>
        <v>Chelsea Smalling</v>
      </c>
      <c r="H20" s="93">
        <f>IFERROR(__xludf.DUMMYFUNCTION("""COMPUTED_VALUE"""),7.542642584E9)</f>
        <v>7542642584</v>
      </c>
      <c r="I20" s="93" t="str">
        <f>IFERROR(__xludf.DUMMYFUNCTION("""COMPUTED_VALUE"""),"2PM-4PM")</f>
        <v>2PM-4PM</v>
      </c>
      <c r="J20" s="93">
        <f>IFERROR(__xludf.DUMMYFUNCTION("""COMPUTED_VALUE"""),2.0)</f>
        <v>2</v>
      </c>
      <c r="K20" s="93" t="str">
        <f>IFERROR(__xludf.DUMMYFUNCTION("""COMPUTED_VALUE"""),"Complete")</f>
        <v>Complete</v>
      </c>
      <c r="L20" s="93"/>
      <c r="M20" s="94">
        <f>IFERROR(__xludf.DUMMYFUNCTION("""COMPUTED_VALUE"""),46122.83730324074)</f>
        <v>46122.8373</v>
      </c>
      <c r="N20" s="93">
        <f>IFERROR(__xludf.DUMMYFUNCTION("""COMPUTED_VALUE"""),205.0)</f>
        <v>205</v>
      </c>
      <c r="O20" s="93"/>
      <c r="P20" s="93" t="str">
        <f>IFERROR(__xludf.DUMMYFUNCTION("""COMPUTED_VALUE"""),"Kit Delivery")</f>
        <v>Kit Delivery</v>
      </c>
      <c r="Q20" s="93"/>
      <c r="R20" s="93"/>
      <c r="S20" s="95">
        <f>IFERROR(__xludf.DUMMYFUNCTION("""COMPUTED_VALUE"""),46122.84841435185)</f>
        <v>46122.84841</v>
      </c>
      <c r="T20" s="93"/>
      <c r="U20" s="93" t="str">
        <f>IFERROR(__xludf.DUMMYFUNCTION("""COMPUTED_VALUE"""),"#REF!")</f>
        <v>#REF!</v>
      </c>
      <c r="V20" s="93"/>
      <c r="W20" s="93"/>
      <c r="X20" s="93"/>
      <c r="Y20" s="93"/>
      <c r="Z20" s="93"/>
    </row>
    <row r="21">
      <c r="A21" s="93" t="str">
        <f>IFERROR(__xludf.DUMMYFUNCTION("""COMPUTED_VALUE"""),"KIT-#17492")</f>
        <v>KIT-#17492</v>
      </c>
      <c r="B21" s="94">
        <f>IFERROR(__xludf.DUMMYFUNCTION("""COMPUTED_VALUE"""),46128.0)</f>
        <v>46128</v>
      </c>
      <c r="C21" s="93" t="str">
        <f>IFERROR(__xludf.DUMMYFUNCTION("""COMPUTED_VALUE"""),"Kit Delivery")</f>
        <v>Kit Delivery</v>
      </c>
      <c r="D21" s="93">
        <f>IFERROR(__xludf.DUMMYFUNCTION("""COMPUTED_VALUE"""),2.0)</f>
        <v>2</v>
      </c>
      <c r="E21" s="93" t="str">
        <f>IFERROR(__xludf.DUMMYFUNCTION("""COMPUTED_VALUE"""),"Rutledge")</f>
        <v>Rutledge</v>
      </c>
      <c r="F21" s="93" t="str">
        <f>IFERROR(__xludf.DUMMYFUNCTION("""COMPUTED_VALUE"""),"242A")</f>
        <v>242A</v>
      </c>
      <c r="G21" s="93" t="str">
        <f>IFERROR(__xludf.DUMMYFUNCTION("""COMPUTED_VALUE"""),"David Kern")</f>
        <v>David Kern</v>
      </c>
      <c r="H21" s="93">
        <f>IFERROR(__xludf.DUMMYFUNCTION("""COMPUTED_VALUE"""),9.176968178E9)</f>
        <v>9176968178</v>
      </c>
      <c r="I21" s="93" t="str">
        <f>IFERROR(__xludf.DUMMYFUNCTION("""COMPUTED_VALUE"""),"2PM-4PM")</f>
        <v>2PM-4PM</v>
      </c>
      <c r="J21" s="93">
        <f>IFERROR(__xludf.DUMMYFUNCTION("""COMPUTED_VALUE"""),1.0)</f>
        <v>1</v>
      </c>
      <c r="K21" s="93" t="str">
        <f>IFERROR(__xludf.DUMMYFUNCTION("""COMPUTED_VALUE"""),"Complete")</f>
        <v>Complete</v>
      </c>
      <c r="L21" s="93"/>
      <c r="M21" s="94">
        <f>IFERROR(__xludf.DUMMYFUNCTION("""COMPUTED_VALUE"""),46125.84377314815)</f>
        <v>46125.84377</v>
      </c>
      <c r="N21" s="93">
        <f>IFERROR(__xludf.DUMMYFUNCTION("""COMPUTED_VALUE"""),71.0)</f>
        <v>71</v>
      </c>
      <c r="O21" s="93"/>
      <c r="P21" s="93" t="str">
        <f>IFERROR(__xludf.DUMMYFUNCTION("""COMPUTED_VALUE"""),"Kit Delivery")</f>
        <v>Kit Delivery</v>
      </c>
      <c r="Q21" s="93" t="str">
        <f>IFERROR(__xludf.DUMMYFUNCTION("""COMPUTED_VALUE"""),"Summer storage")</f>
        <v>Summer storage</v>
      </c>
      <c r="R21" s="93"/>
      <c r="S21" s="93" t="str">
        <f>IFERROR(__xludf.DUMMYFUNCTION("""COMPUTED_VALUE"""),"Dispatch_Photos/KIT--17492/KIT--17492.Photo.011457.jpg")</f>
        <v>Dispatch_Photos/KIT--17492/KIT--17492.Photo.011457.jpg</v>
      </c>
      <c r="T21" s="95">
        <f>IFERROR(__xludf.DUMMYFUNCTION("""COMPUTED_VALUE"""),46125.849328703705)</f>
        <v>46125.84933</v>
      </c>
      <c r="U21" s="93" t="str">
        <f>IFERROR(__xludf.DUMMYFUNCTION("""COMPUTED_VALUE"""),"#17492")</f>
        <v>#17492</v>
      </c>
      <c r="V21" s="93"/>
      <c r="W21" s="93"/>
      <c r="X21" s="93"/>
      <c r="Y21" s="93"/>
      <c r="Z21" s="93"/>
    </row>
    <row r="22">
      <c r="A22" s="93" t="str">
        <f>IFERROR(__xludf.DUMMYFUNCTION("""COMPUTED_VALUE"""),"KIT-#17591")</f>
        <v>KIT-#17591</v>
      </c>
      <c r="B22" s="94">
        <f>IFERROR(__xludf.DUMMYFUNCTION("""COMPUTED_VALUE"""),46134.0)</f>
        <v>46134</v>
      </c>
      <c r="C22" s="93" t="str">
        <f>IFERROR(__xludf.DUMMYFUNCTION("""COMPUTED_VALUE"""),"Kit Delivery")</f>
        <v>Kit Delivery</v>
      </c>
      <c r="D22" s="93">
        <f>IFERROR(__xludf.DUMMYFUNCTION("""COMPUTED_VALUE"""),1.0)</f>
        <v>1</v>
      </c>
      <c r="E22" s="93" t="str">
        <f>IFERROR(__xludf.DUMMYFUNCTION("""COMPUTED_VALUE"""),"Beaumont")</f>
        <v>Beaumont</v>
      </c>
      <c r="F22" s="93">
        <f>IFERROR(__xludf.DUMMYFUNCTION("""COMPUTED_VALUE"""),207.0)</f>
        <v>207</v>
      </c>
      <c r="G22" s="93" t="str">
        <f>IFERROR(__xludf.DUMMYFUNCTION("""COMPUTED_VALUE"""),"Tom Wang")</f>
        <v>Tom Wang</v>
      </c>
      <c r="H22" s="93">
        <f>IFERROR(__xludf.DUMMYFUNCTION("""COMPUTED_VALUE"""),3.142241746E9)</f>
        <v>3142241746</v>
      </c>
      <c r="I22" s="93" t="str">
        <f>IFERROR(__xludf.DUMMYFUNCTION("""COMPUTED_VALUE"""),"3PM-5PM")</f>
        <v>3PM-5PM</v>
      </c>
      <c r="J22" s="93">
        <f>IFERROR(__xludf.DUMMYFUNCTION("""COMPUTED_VALUE"""),2.0)</f>
        <v>2</v>
      </c>
      <c r="K22" s="93" t="str">
        <f>IFERROR(__xludf.DUMMYFUNCTION("""COMPUTED_VALUE"""),"Complete")</f>
        <v>Complete</v>
      </c>
      <c r="L22" s="93"/>
      <c r="M22" s="94">
        <f>IFERROR(__xludf.DUMMYFUNCTION("""COMPUTED_VALUE"""),46133.775775462964)</f>
        <v>46133.77578</v>
      </c>
      <c r="N22" s="93">
        <f>IFERROR(__xludf.DUMMYFUNCTION("""COMPUTED_VALUE"""),11.0)</f>
        <v>11</v>
      </c>
      <c r="O22" s="93"/>
      <c r="P22" s="93" t="str">
        <f>IFERROR(__xludf.DUMMYFUNCTION("""COMPUTED_VALUE"""),"Kit Delivery")</f>
        <v>Kit Delivery</v>
      </c>
      <c r="Q22" s="93"/>
      <c r="R22" s="93"/>
      <c r="S22" s="93" t="str">
        <f>IFERROR(__xludf.DUMMYFUNCTION("""COMPUTED_VALUE"""),"Dispatch_Images/KIT--17591.Photos.233703.jpg")</f>
        <v>Dispatch_Images/KIT--17591.Photos.233703.jpg</v>
      </c>
      <c r="T22" s="95">
        <f>IFERROR(__xludf.DUMMYFUNCTION("""COMPUTED_VALUE"""),46133.77988425926)</f>
        <v>46133.77988</v>
      </c>
      <c r="U22" s="93"/>
      <c r="V22" s="93"/>
      <c r="W22" s="93"/>
      <c r="X22" s="93"/>
      <c r="Y22" s="93"/>
      <c r="Z22" s="93"/>
    </row>
    <row r="23">
      <c r="A23" s="93" t="str">
        <f>IFERROR(__xludf.DUMMYFUNCTION("""COMPUTED_VALUE"""),"KIT-#17363")</f>
        <v>KIT-#17363</v>
      </c>
      <c r="B23" s="94">
        <f>IFERROR(__xludf.DUMMYFUNCTION("""COMPUTED_VALUE"""),46136.0)</f>
        <v>46136</v>
      </c>
      <c r="C23" s="93" t="str">
        <f>IFERROR(__xludf.DUMMYFUNCTION("""COMPUTED_VALUE"""),"Kit Delivery")</f>
        <v>Kit Delivery</v>
      </c>
      <c r="D23" s="93">
        <f>IFERROR(__xludf.DUMMYFUNCTION("""COMPUTED_VALUE"""),1.0)</f>
        <v>1</v>
      </c>
      <c r="E23" s="93" t="str">
        <f>IFERROR(__xludf.DUMMYFUNCTION("""COMPUTED_VALUE"""),"Millbrook Bldg. 2")</f>
        <v>Millbrook Bldg. 2</v>
      </c>
      <c r="F23" s="93" t="str">
        <f>IFERROR(__xludf.DUMMYFUNCTION("""COMPUTED_VALUE"""),"203C")</f>
        <v>203C</v>
      </c>
      <c r="G23" s="93" t="str">
        <f>IFERROR(__xludf.DUMMYFUNCTION("""COMPUTED_VALUE"""),"Doyoon Kim")</f>
        <v>Doyoon Kim</v>
      </c>
      <c r="H23" s="93">
        <f>IFERROR(__xludf.DUMMYFUNCTION("""COMPUTED_VALUE"""),1.039438367E9)</f>
        <v>1039438367</v>
      </c>
      <c r="I23" s="93" t="str">
        <f>IFERROR(__xludf.DUMMYFUNCTION("""COMPUTED_VALUE"""),"9AM-11AM")</f>
        <v>9AM-11AM</v>
      </c>
      <c r="J23" s="93">
        <f>IFERROR(__xludf.DUMMYFUNCTION("""COMPUTED_VALUE"""),1.0)</f>
        <v>1</v>
      </c>
      <c r="K23" s="93" t="str">
        <f>IFERROR(__xludf.DUMMYFUNCTION("""COMPUTED_VALUE"""),"Complete")</f>
        <v>Complete</v>
      </c>
      <c r="L23" s="93"/>
      <c r="M23" s="94">
        <f>IFERROR(__xludf.DUMMYFUNCTION("""COMPUTED_VALUE"""),46123.97975694445)</f>
        <v>46123.97976</v>
      </c>
      <c r="N23" s="93">
        <f>IFERROR(__xludf.DUMMYFUNCTION("""COMPUTED_VALUE"""),188.0)</f>
        <v>188</v>
      </c>
      <c r="O23" s="93"/>
      <c r="P23" s="93" t="str">
        <f>IFERROR(__xludf.DUMMYFUNCTION("""COMPUTED_VALUE"""),"Kit Delivery")</f>
        <v>Kit Delivery</v>
      </c>
      <c r="Q23" s="93"/>
      <c r="R23" s="93"/>
      <c r="S23" s="95">
        <f>IFERROR(__xludf.DUMMYFUNCTION("""COMPUTED_VALUE"""),46124.4096875)</f>
        <v>46124.40969</v>
      </c>
      <c r="T23" s="93"/>
      <c r="U23" s="93"/>
      <c r="V23" s="93"/>
      <c r="W23" s="93"/>
      <c r="X23" s="93"/>
      <c r="Y23" s="93"/>
      <c r="Z23" s="93"/>
    </row>
    <row r="24">
      <c r="A24" s="93" t="str">
        <f>IFERROR(__xludf.DUMMYFUNCTION("""COMPUTED_VALUE"""),"KIT-#17075")</f>
        <v>KIT-#17075</v>
      </c>
      <c r="B24" s="94">
        <f>IFERROR(__xludf.DUMMYFUNCTION("""COMPUTED_VALUE"""),46137.0)</f>
        <v>46137</v>
      </c>
      <c r="C24" s="93" t="str">
        <f>IFERROR(__xludf.DUMMYFUNCTION("""COMPUTED_VALUE"""),"Kit Delivery")</f>
        <v>Kit Delivery</v>
      </c>
      <c r="D24" s="93">
        <f>IFERROR(__xludf.DUMMYFUNCTION("""COMPUTED_VALUE"""),1.0)</f>
        <v>1</v>
      </c>
      <c r="E24" s="93" t="str">
        <f>IFERROR(__xludf.DUMMYFUNCTION("""COMPUTED_VALUE"""),"Danforth")</f>
        <v>Danforth</v>
      </c>
      <c r="F24" s="93">
        <f>IFERROR(__xludf.DUMMYFUNCTION("""COMPUTED_VALUE"""),3304.0)</f>
        <v>3304</v>
      </c>
      <c r="G24" s="93" t="str">
        <f>IFERROR(__xludf.DUMMYFUNCTION("""COMPUTED_VALUE"""),"Benjamin Schwed")</f>
        <v>Benjamin Schwed</v>
      </c>
      <c r="H24" s="93">
        <f>IFERROR(__xludf.DUMMYFUNCTION("""COMPUTED_VALUE"""),5.163590784E9)</f>
        <v>5163590784</v>
      </c>
      <c r="I24" s="93" t="str">
        <f>IFERROR(__xludf.DUMMYFUNCTION("""COMPUTED_VALUE"""),"3PM-5PM")</f>
        <v>3PM-5PM</v>
      </c>
      <c r="J24" s="93">
        <f>IFERROR(__xludf.DUMMYFUNCTION("""COMPUTED_VALUE"""),1.0)</f>
        <v>1</v>
      </c>
      <c r="K24" s="93" t="str">
        <f>IFERROR(__xludf.DUMMYFUNCTION("""COMPUTED_VALUE"""),"Complete")</f>
        <v>Complete</v>
      </c>
      <c r="L24" s="93"/>
      <c r="M24" s="94">
        <f>IFERROR(__xludf.DUMMYFUNCTION("""COMPUTED_VALUE"""),46123.56894675926)</f>
        <v>46123.56895</v>
      </c>
      <c r="N24" s="93">
        <f>IFERROR(__xludf.DUMMYFUNCTION("""COMPUTED_VALUE"""),30.0)</f>
        <v>30</v>
      </c>
      <c r="O24" s="93"/>
      <c r="P24" s="93" t="str">
        <f>IFERROR(__xludf.DUMMYFUNCTION("""COMPUTED_VALUE"""),"Kit Delivery")</f>
        <v>Kit Delivery</v>
      </c>
      <c r="Q24" s="93"/>
      <c r="R24" s="93"/>
      <c r="S24" s="95">
        <f>IFERROR(__xludf.DUMMYFUNCTION("""COMPUTED_VALUE"""),46123.61150462963)</f>
        <v>46123.6115</v>
      </c>
      <c r="T24" s="93"/>
      <c r="U24" s="93"/>
      <c r="V24" s="93"/>
      <c r="W24" s="93"/>
      <c r="X24" s="93"/>
      <c r="Y24" s="93"/>
      <c r="Z24" s="93"/>
    </row>
    <row r="25">
      <c r="A25" s="93" t="str">
        <f>IFERROR(__xludf.DUMMYFUNCTION("""COMPUTED_VALUE"""),"KIT-#17541")</f>
        <v>KIT-#17541</v>
      </c>
      <c r="B25" s="94">
        <f>IFERROR(__xludf.DUMMYFUNCTION("""COMPUTED_VALUE"""),46137.0)</f>
        <v>46137</v>
      </c>
      <c r="C25" s="93" t="str">
        <f>IFERROR(__xludf.DUMMYFUNCTION("""COMPUTED_VALUE"""),"Kit Delivery")</f>
        <v>Kit Delivery</v>
      </c>
      <c r="D25" s="93">
        <f>IFERROR(__xludf.DUMMYFUNCTION("""COMPUTED_VALUE"""),2.0)</f>
        <v>2</v>
      </c>
      <c r="E25" s="93" t="str">
        <f>IFERROR(__xludf.DUMMYFUNCTION("""COMPUTED_VALUE"""),"Umrath")</f>
        <v>Umrath</v>
      </c>
      <c r="F25" s="93">
        <f>IFERROR(__xludf.DUMMYFUNCTION("""COMPUTED_VALUE"""),2235.0)</f>
        <v>2235</v>
      </c>
      <c r="G25" s="93" t="str">
        <f>IFERROR(__xludf.DUMMYFUNCTION("""COMPUTED_VALUE"""),"Giovanna Springer")</f>
        <v>Giovanna Springer</v>
      </c>
      <c r="H25" s="93">
        <f>IFERROR(__xludf.DUMMYFUNCTION("""COMPUTED_VALUE"""),9.174471523E9)</f>
        <v>9174471523</v>
      </c>
      <c r="I25" s="93" t="str">
        <f>IFERROR(__xludf.DUMMYFUNCTION("""COMPUTED_VALUE"""),"9AM-11AM")</f>
        <v>9AM-11AM</v>
      </c>
      <c r="J25" s="93">
        <f>IFERROR(__xludf.DUMMYFUNCTION("""COMPUTED_VALUE"""),1.0)</f>
        <v>1</v>
      </c>
      <c r="K25" s="93" t="str">
        <f>IFERROR(__xludf.DUMMYFUNCTION("""COMPUTED_VALUE"""),"Complete")</f>
        <v>Complete</v>
      </c>
      <c r="L25" s="93"/>
      <c r="M25" s="94">
        <f>IFERROR(__xludf.DUMMYFUNCTION("""COMPUTED_VALUE"""),46129.88265046296)</f>
        <v>46129.88265</v>
      </c>
      <c r="N25" s="93">
        <f>IFERROR(__xludf.DUMMYFUNCTION("""COMPUTED_VALUE"""),162.0)</f>
        <v>162</v>
      </c>
      <c r="O25" s="93"/>
      <c r="P25" s="93" t="str">
        <f>IFERROR(__xludf.DUMMYFUNCTION("""COMPUTED_VALUE"""),"Kit Delivery")</f>
        <v>Kit Delivery</v>
      </c>
      <c r="Q25" s="93"/>
      <c r="R25" s="93"/>
      <c r="S25" s="93" t="str">
        <f>IFERROR(__xludf.DUMMYFUNCTION("""COMPUTED_VALUE"""),"Dispatch_Images/KIT--17541.Photos.021057.jpg")</f>
        <v>Dispatch_Images/KIT--17541.Photos.021057.jpg</v>
      </c>
      <c r="T25" s="95">
        <f>IFERROR(__xludf.DUMMYFUNCTION("""COMPUTED_VALUE"""),46129.884050925924)</f>
        <v>46129.88405</v>
      </c>
      <c r="U25" s="93"/>
      <c r="V25" s="93"/>
      <c r="W25" s="93"/>
      <c r="X25" s="93"/>
      <c r="Y25" s="93"/>
      <c r="Z25" s="93"/>
    </row>
    <row r="26">
      <c r="A26" s="93" t="str">
        <f>IFERROR(__xludf.DUMMYFUNCTION("""COMPUTED_VALUE"""),"KIT-#17536")</f>
        <v>KIT-#17536</v>
      </c>
      <c r="B26" s="94">
        <f>IFERROR(__xludf.DUMMYFUNCTION("""COMPUTED_VALUE"""),46137.0)</f>
        <v>46137</v>
      </c>
      <c r="C26" s="93" t="str">
        <f>IFERROR(__xludf.DUMMYFUNCTION("""COMPUTED_VALUE"""),"Kit Delivery")</f>
        <v>Kit Delivery</v>
      </c>
      <c r="D26" s="93">
        <f>IFERROR(__xludf.DUMMYFUNCTION("""COMPUTED_VALUE"""),2.0)</f>
        <v>2</v>
      </c>
      <c r="E26" s="93" t="str">
        <f>IFERROR(__xludf.DUMMYFUNCTION("""COMPUTED_VALUE"""),"Danforth")</f>
        <v>Danforth</v>
      </c>
      <c r="F26" s="93">
        <f>IFERROR(__xludf.DUMMYFUNCTION("""COMPUTED_VALUE"""),4415.0)</f>
        <v>4415</v>
      </c>
      <c r="G26" s="93" t="str">
        <f>IFERROR(__xludf.DUMMYFUNCTION("""COMPUTED_VALUE"""),"Claire Rigdon")</f>
        <v>Claire Rigdon</v>
      </c>
      <c r="H26" s="93">
        <f>IFERROR(__xludf.DUMMYFUNCTION("""COMPUTED_VALUE"""),2.152018284E9)</f>
        <v>2152018284</v>
      </c>
      <c r="I26" s="93" t="str">
        <f>IFERROR(__xludf.DUMMYFUNCTION("""COMPUTED_VALUE"""),"3PM-5PM")</f>
        <v>3PM-5PM</v>
      </c>
      <c r="J26" s="93">
        <f>IFERROR(__xludf.DUMMYFUNCTION("""COMPUTED_VALUE"""),1.0)</f>
        <v>1</v>
      </c>
      <c r="K26" s="93" t="str">
        <f>IFERROR(__xludf.DUMMYFUNCTION("""COMPUTED_VALUE"""),"Complete")</f>
        <v>Complete</v>
      </c>
      <c r="L26" s="93"/>
      <c r="M26" s="94">
        <f>IFERROR(__xludf.DUMMYFUNCTION("""COMPUTED_VALUE"""),46129.91130787037)</f>
        <v>46129.91131</v>
      </c>
      <c r="N26" s="93">
        <f>IFERROR(__xludf.DUMMYFUNCTION("""COMPUTED_VALUE"""),45.0)</f>
        <v>45</v>
      </c>
      <c r="O26" s="93"/>
      <c r="P26" s="93" t="str">
        <f>IFERROR(__xludf.DUMMYFUNCTION("""COMPUTED_VALUE"""),"Kit Delivery")</f>
        <v>Kit Delivery</v>
      </c>
      <c r="Q26" s="93"/>
      <c r="R26" s="93"/>
      <c r="S26" s="93" t="str">
        <f>IFERROR(__xludf.DUMMYFUNCTION("""COMPUTED_VALUE"""),"Dispatch_Images/KIT--17536.Photos.025214.jpg")</f>
        <v>Dispatch_Images/KIT--17536.Photos.025214.jpg</v>
      </c>
      <c r="T26" s="95">
        <f>IFERROR(__xludf.DUMMYFUNCTION("""COMPUTED_VALUE"""),46129.911840277775)</f>
        <v>46129.91184</v>
      </c>
      <c r="U26" s="93"/>
      <c r="V26" s="93"/>
      <c r="W26" s="93"/>
      <c r="X26" s="93"/>
      <c r="Y26" s="93"/>
      <c r="Z26" s="93"/>
    </row>
    <row r="27">
      <c r="A27" s="93" t="str">
        <f>IFERROR(__xludf.DUMMYFUNCTION("""COMPUTED_VALUE"""),"KIT-#17685")</f>
        <v>KIT-#17685</v>
      </c>
      <c r="B27" s="94">
        <f>IFERROR(__xludf.DUMMYFUNCTION("""COMPUTED_VALUE"""),46137.0)</f>
        <v>46137</v>
      </c>
      <c r="C27" s="93" t="str">
        <f>IFERROR(__xludf.DUMMYFUNCTION("""COMPUTED_VALUE"""),"Kit Delivery")</f>
        <v>Kit Delivery</v>
      </c>
      <c r="D27" s="93">
        <f>IFERROR(__xludf.DUMMYFUNCTION("""COMPUTED_VALUE"""),2.0)</f>
        <v>2</v>
      </c>
      <c r="E27" s="93" t="str">
        <f>IFERROR(__xludf.DUMMYFUNCTION("""COMPUTED_VALUE"""),"Hitzeman")</f>
        <v>Hitzeman</v>
      </c>
      <c r="F27" s="93">
        <f>IFERROR(__xludf.DUMMYFUNCTION("""COMPUTED_VALUE"""),22.0)</f>
        <v>22</v>
      </c>
      <c r="G27" s="93" t="str">
        <f>IFERROR(__xludf.DUMMYFUNCTION("""COMPUTED_VALUE"""),"Kelly Zhang*")</f>
        <v>Kelly Zhang*</v>
      </c>
      <c r="H27" s="93">
        <f>IFERROR(__xludf.DUMMYFUNCTION("""COMPUTED_VALUE"""),3.142242038E9)</f>
        <v>3142242038</v>
      </c>
      <c r="I27" s="93" t="str">
        <f>IFERROR(__xludf.DUMMYFUNCTION("""COMPUTED_VALUE"""),"10AM-12PM")</f>
        <v>10AM-12PM</v>
      </c>
      <c r="J27" s="93">
        <f>IFERROR(__xludf.DUMMYFUNCTION("""COMPUTED_VALUE"""),1.0)</f>
        <v>1</v>
      </c>
      <c r="K27" s="93" t="str">
        <f>IFERROR(__xludf.DUMMYFUNCTION("""COMPUTED_VALUE"""),"Complete")</f>
        <v>Complete</v>
      </c>
      <c r="L27" s="93"/>
      <c r="M27" s="94">
        <f>IFERROR(__xludf.DUMMYFUNCTION("""COMPUTED_VALUE"""),46134.75690972222)</f>
        <v>46134.75691</v>
      </c>
      <c r="N27" s="93">
        <f>IFERROR(__xludf.DUMMYFUNCTION("""COMPUTED_VALUE"""),2.0)</f>
        <v>2</v>
      </c>
      <c r="O27" s="93"/>
      <c r="P27" s="93" t="str">
        <f>IFERROR(__xludf.DUMMYFUNCTION("""COMPUTED_VALUE"""),"Kit Delivery")</f>
        <v>Kit Delivery</v>
      </c>
      <c r="Q27" s="93"/>
      <c r="R27" s="93"/>
      <c r="S27" s="93" t="str">
        <f>IFERROR(__xludf.DUMMYFUNCTION("""COMPUTED_VALUE"""),"Dispatch_Images/KIT--17685.Photos.230954.jpg")</f>
        <v>Dispatch_Images/KIT--17685.Photos.230954.jpg</v>
      </c>
      <c r="T27" s="95">
        <f>IFERROR(__xludf.DUMMYFUNCTION("""COMPUTED_VALUE"""),46134.75907407407)</f>
        <v>46134.75907</v>
      </c>
      <c r="U27" s="93"/>
      <c r="V27" s="93"/>
      <c r="W27" s="93"/>
      <c r="X27" s="93"/>
      <c r="Y27" s="93"/>
      <c r="Z27" s="93"/>
    </row>
    <row r="28">
      <c r="A28" s="93" t="str">
        <f>IFERROR(__xludf.DUMMYFUNCTION("""COMPUTED_VALUE"""),"KIT-#17714")</f>
        <v>KIT-#17714</v>
      </c>
      <c r="B28" s="94">
        <f>IFERROR(__xludf.DUMMYFUNCTION("""COMPUTED_VALUE"""),46137.0)</f>
        <v>46137</v>
      </c>
      <c r="C28" s="93" t="str">
        <f>IFERROR(__xludf.DUMMYFUNCTION("""COMPUTED_VALUE"""),"Kit Delivery")</f>
        <v>Kit Delivery</v>
      </c>
      <c r="D28" s="93">
        <f>IFERROR(__xludf.DUMMYFUNCTION("""COMPUTED_VALUE"""),2.0)</f>
        <v>2</v>
      </c>
      <c r="E28" s="93" t="str">
        <f>IFERROR(__xludf.DUMMYFUNCTION("""COMPUTED_VALUE"""),"Dardick")</f>
        <v>Dardick</v>
      </c>
      <c r="F28" s="93">
        <f>IFERROR(__xludf.DUMMYFUNCTION("""COMPUTED_VALUE"""),4420.0)</f>
        <v>4420</v>
      </c>
      <c r="G28" s="93" t="str">
        <f>IFERROR(__xludf.DUMMYFUNCTION("""COMPUTED_VALUE"""),"Evie Frohsin")</f>
        <v>Evie Frohsin</v>
      </c>
      <c r="H28" s="93">
        <f>IFERROR(__xludf.DUMMYFUNCTION("""COMPUTED_VALUE"""),2.058954063E9)</f>
        <v>2058954063</v>
      </c>
      <c r="I28" s="93" t="str">
        <f>IFERROR(__xludf.DUMMYFUNCTION("""COMPUTED_VALUE"""),"12PM-2PM")</f>
        <v>12PM-2PM</v>
      </c>
      <c r="J28" s="93">
        <f>IFERROR(__xludf.DUMMYFUNCTION("""COMPUTED_VALUE"""),1.0)</f>
        <v>1</v>
      </c>
      <c r="K28" s="93" t="str">
        <f>IFERROR(__xludf.DUMMYFUNCTION("""COMPUTED_VALUE"""),"Complete")</f>
        <v>Complete</v>
      </c>
      <c r="L28" s="93"/>
      <c r="M28" s="94">
        <f>IFERROR(__xludf.DUMMYFUNCTION("""COMPUTED_VALUE"""),46136.575162037036)</f>
        <v>46136.57516</v>
      </c>
      <c r="N28" s="93">
        <f>IFERROR(__xludf.DUMMYFUNCTION("""COMPUTED_VALUE"""),109.0)</f>
        <v>109</v>
      </c>
      <c r="O28" s="93"/>
      <c r="P28" s="93" t="str">
        <f>IFERROR(__xludf.DUMMYFUNCTION("""COMPUTED_VALUE"""),"Kit Delivery")</f>
        <v>Kit Delivery</v>
      </c>
      <c r="Q28" s="93"/>
      <c r="R28" s="93"/>
      <c r="S28" s="93" t="str">
        <f>IFERROR(__xludf.DUMMYFUNCTION("""COMPUTED_VALUE"""),"Dispatch_Images/KIT--17714.Photos.184810.jpg")</f>
        <v>Dispatch_Images/KIT--17714.Photos.184810.jpg</v>
      </c>
      <c r="T28" s="95">
        <f>IFERROR(__xludf.DUMMYFUNCTION("""COMPUTED_VALUE"""),46136.57850694445)</f>
        <v>46136.57851</v>
      </c>
      <c r="U28" s="93"/>
      <c r="V28" s="93"/>
      <c r="W28" s="93"/>
      <c r="X28" s="93"/>
      <c r="Y28" s="93"/>
      <c r="Z28" s="93"/>
    </row>
    <row r="29">
      <c r="A29" s="93" t="str">
        <f>IFERROR(__xludf.DUMMYFUNCTION("""COMPUTED_VALUE"""),"KIT-#17149")</f>
        <v>KIT-#17149</v>
      </c>
      <c r="B29" s="94">
        <f>IFERROR(__xludf.DUMMYFUNCTION("""COMPUTED_VALUE"""),46139.0)</f>
        <v>46139</v>
      </c>
      <c r="C29" s="93" t="str">
        <f>IFERROR(__xludf.DUMMYFUNCTION("""COMPUTED_VALUE"""),"Kit Delivery")</f>
        <v>Kit Delivery</v>
      </c>
      <c r="D29" s="93">
        <f>IFERROR(__xludf.DUMMYFUNCTION("""COMPUTED_VALUE"""),1.0)</f>
        <v>1</v>
      </c>
      <c r="E29" s="93" t="str">
        <f>IFERROR(__xludf.DUMMYFUNCTION("""COMPUTED_VALUE"""),"Lee")</f>
        <v>Lee</v>
      </c>
      <c r="F29" s="93" t="str">
        <f>IFERROR(__xludf.DUMMYFUNCTION("""COMPUTED_VALUE"""),"Ground Floor 006")</f>
        <v>Ground Floor 006</v>
      </c>
      <c r="G29" s="93" t="str">
        <f>IFERROR(__xludf.DUMMYFUNCTION("""COMPUTED_VALUE"""),"Crystal Liu")</f>
        <v>Crystal Liu</v>
      </c>
      <c r="H29" s="93">
        <f>IFERROR(__xludf.DUMMYFUNCTION("""COMPUTED_VALUE"""),7.812268576E9)</f>
        <v>7812268576</v>
      </c>
      <c r="I29" s="93" t="str">
        <f>IFERROR(__xludf.DUMMYFUNCTION("""COMPUTED_VALUE"""),"9AM-11AM")</f>
        <v>9AM-11AM</v>
      </c>
      <c r="J29" s="93">
        <f>IFERROR(__xludf.DUMMYFUNCTION("""COMPUTED_VALUE"""),1.0)</f>
        <v>1</v>
      </c>
      <c r="K29" s="93" t="str">
        <f>IFERROR(__xludf.DUMMYFUNCTION("""COMPUTED_VALUE"""),"Complete")</f>
        <v>Complete</v>
      </c>
      <c r="L29" s="93"/>
      <c r="M29" s="94">
        <f>IFERROR(__xludf.DUMMYFUNCTION("""COMPUTED_VALUE"""),46123.7647337963)</f>
        <v>46123.76473</v>
      </c>
      <c r="N29" s="93">
        <f>IFERROR(__xludf.DUMMYFUNCTION("""COMPUTED_VALUE"""),61.0)</f>
        <v>61</v>
      </c>
      <c r="O29" s="93"/>
      <c r="P29" s="93" t="str">
        <f>IFERROR(__xludf.DUMMYFUNCTION("""COMPUTED_VALUE"""),"Kit Delivery")</f>
        <v>Kit Delivery</v>
      </c>
      <c r="Q29" s="93"/>
      <c r="R29" s="93"/>
      <c r="S29" s="95">
        <f>IFERROR(__xludf.DUMMYFUNCTION("""COMPUTED_VALUE"""),46123.796273148146)</f>
        <v>46123.79627</v>
      </c>
      <c r="T29" s="93"/>
      <c r="U29" s="93"/>
      <c r="V29" s="93"/>
      <c r="W29" s="93"/>
      <c r="X29" s="93"/>
      <c r="Y29" s="93"/>
      <c r="Z29" s="93"/>
    </row>
    <row r="30">
      <c r="A30" s="93" t="str">
        <f>IFERROR(__xludf.DUMMYFUNCTION("""COMPUTED_VALUE"""),"KIT-#17364")</f>
        <v>KIT-#17364</v>
      </c>
      <c r="B30" s="94">
        <f>IFERROR(__xludf.DUMMYFUNCTION("""COMPUTED_VALUE"""),46139.0)</f>
        <v>46139</v>
      </c>
      <c r="C30" s="93" t="str">
        <f>IFERROR(__xludf.DUMMYFUNCTION("""COMPUTED_VALUE"""),"Kit Delivery")</f>
        <v>Kit Delivery</v>
      </c>
      <c r="D30" s="93">
        <f>IFERROR(__xludf.DUMMYFUNCTION("""COMPUTED_VALUE"""),1.0)</f>
        <v>1</v>
      </c>
      <c r="E30" s="93" t="str">
        <f>IFERROR(__xludf.DUMMYFUNCTION("""COMPUTED_VALUE"""),"Eliot A")</f>
        <v>Eliot A</v>
      </c>
      <c r="F30" s="93">
        <f>IFERROR(__xludf.DUMMYFUNCTION("""COMPUTED_VALUE"""),2052.0)</f>
        <v>2052</v>
      </c>
      <c r="G30" s="93" t="str">
        <f>IFERROR(__xludf.DUMMYFUNCTION("""COMPUTED_VALUE"""),"Ava Ayad")</f>
        <v>Ava Ayad</v>
      </c>
      <c r="H30" s="93">
        <f>IFERROR(__xludf.DUMMYFUNCTION("""COMPUTED_VALUE"""),8.172395173E9)</f>
        <v>8172395173</v>
      </c>
      <c r="I30" s="93" t="str">
        <f>IFERROR(__xludf.DUMMYFUNCTION("""COMPUTED_VALUE"""),"3PM-5PM")</f>
        <v>3PM-5PM</v>
      </c>
      <c r="J30" s="93">
        <f>IFERROR(__xludf.DUMMYFUNCTION("""COMPUTED_VALUE"""),2.0)</f>
        <v>2</v>
      </c>
      <c r="K30" s="93" t="str">
        <f>IFERROR(__xludf.DUMMYFUNCTION("""COMPUTED_VALUE"""),"Complete")</f>
        <v>Complete</v>
      </c>
      <c r="L30" s="93"/>
      <c r="M30" s="94">
        <f>IFERROR(__xludf.DUMMYFUNCTION("""COMPUTED_VALUE"""),46123.87986111111)</f>
        <v>46123.87986</v>
      </c>
      <c r="N30" s="93">
        <f>IFERROR(__xludf.DUMMYFUNCTION("""COMPUTED_VALUE"""),22.0)</f>
        <v>22</v>
      </c>
      <c r="O30" s="93"/>
      <c r="P30" s="93" t="str">
        <f>IFERROR(__xludf.DUMMYFUNCTION("""COMPUTED_VALUE"""),"Kit Delivery")</f>
        <v>Kit Delivery</v>
      </c>
      <c r="Q30" s="93"/>
      <c r="R30" s="93"/>
      <c r="S30" s="95">
        <f>IFERROR(__xludf.DUMMYFUNCTION("""COMPUTED_VALUE"""),46124.4096875)</f>
        <v>46124.40969</v>
      </c>
      <c r="T30" s="93"/>
      <c r="U30" s="93"/>
      <c r="V30" s="93"/>
      <c r="W30" s="93"/>
      <c r="X30" s="93"/>
      <c r="Y30" s="93"/>
      <c r="Z30" s="93"/>
    </row>
    <row r="31">
      <c r="A31" s="93" t="str">
        <f>IFERROR(__xludf.DUMMYFUNCTION("""COMPUTED_VALUE"""),"KIT-#17147")</f>
        <v>KIT-#17147</v>
      </c>
      <c r="B31" s="94">
        <f>IFERROR(__xludf.DUMMYFUNCTION("""COMPUTED_VALUE"""),46139.0)</f>
        <v>46139</v>
      </c>
      <c r="C31" s="93" t="str">
        <f>IFERROR(__xludf.DUMMYFUNCTION("""COMPUTED_VALUE"""),"Kit Delivery")</f>
        <v>Kit Delivery</v>
      </c>
      <c r="D31" s="93">
        <f>IFERROR(__xludf.DUMMYFUNCTION("""COMPUTED_VALUE"""),1.0)</f>
        <v>1</v>
      </c>
      <c r="E31" s="93" t="str">
        <f>IFERROR(__xludf.DUMMYFUNCTION("""COMPUTED_VALUE"""),"Eliot A")</f>
        <v>Eliot A</v>
      </c>
      <c r="F31" s="93" t="str">
        <f>IFERROR(__xludf.DUMMYFUNCTION("""COMPUTED_VALUE"""),"Lower Level 0403")</f>
        <v>Lower Level 0403</v>
      </c>
      <c r="G31" s="93" t="str">
        <f>IFERROR(__xludf.DUMMYFUNCTION("""COMPUTED_VALUE"""),"Belinda Dong")</f>
        <v>Belinda Dong</v>
      </c>
      <c r="H31" s="93">
        <f>IFERROR(__xludf.DUMMYFUNCTION("""COMPUTED_VALUE"""),5.772139303E9)</f>
        <v>5772139303</v>
      </c>
      <c r="I31" s="93" t="str">
        <f>IFERROR(__xludf.DUMMYFUNCTION("""COMPUTED_VALUE"""),"2PM-4PM")</f>
        <v>2PM-4PM</v>
      </c>
      <c r="J31" s="93">
        <f>IFERROR(__xludf.DUMMYFUNCTION("""COMPUTED_VALUE"""),1.0)</f>
        <v>1</v>
      </c>
      <c r="K31" s="93" t="str">
        <f>IFERROR(__xludf.DUMMYFUNCTION("""COMPUTED_VALUE"""),"Complete")</f>
        <v>Complete</v>
      </c>
      <c r="L31" s="93"/>
      <c r="M31" s="94">
        <f>IFERROR(__xludf.DUMMYFUNCTION("""COMPUTED_VALUE"""),46123.88358796296)</f>
        <v>46123.88359</v>
      </c>
      <c r="N31" s="93">
        <f>IFERROR(__xludf.DUMMYFUNCTION("""COMPUTED_VALUE"""),15.0)</f>
        <v>15</v>
      </c>
      <c r="O31" s="93"/>
      <c r="P31" s="93" t="str">
        <f>IFERROR(__xludf.DUMMYFUNCTION("""COMPUTED_VALUE"""),"Kit Delivery")</f>
        <v>Kit Delivery</v>
      </c>
      <c r="Q31" s="93"/>
      <c r="R31" s="93"/>
      <c r="S31" s="95">
        <f>IFERROR(__xludf.DUMMYFUNCTION("""COMPUTED_VALUE"""),46124.4096875)</f>
        <v>46124.40969</v>
      </c>
      <c r="T31" s="93"/>
      <c r="U31" s="93"/>
      <c r="V31" s="93"/>
      <c r="W31" s="93"/>
      <c r="X31" s="93"/>
      <c r="Y31" s="93"/>
      <c r="Z31" s="93"/>
    </row>
    <row r="32">
      <c r="A32" s="93" t="str">
        <f>IFERROR(__xludf.DUMMYFUNCTION("""COMPUTED_VALUE"""),"KIT-#17114")</f>
        <v>KIT-#17114</v>
      </c>
      <c r="B32" s="94">
        <f>IFERROR(__xludf.DUMMYFUNCTION("""COMPUTED_VALUE"""),46139.0)</f>
        <v>46139</v>
      </c>
      <c r="C32" s="93" t="str">
        <f>IFERROR(__xludf.DUMMYFUNCTION("""COMPUTED_VALUE"""),"Kit Delivery")</f>
        <v>Kit Delivery</v>
      </c>
      <c r="D32" s="93">
        <f>IFERROR(__xludf.DUMMYFUNCTION("""COMPUTED_VALUE"""),1.0)</f>
        <v>1</v>
      </c>
      <c r="E32" s="93" t="str">
        <f>IFERROR(__xludf.DUMMYFUNCTION("""COMPUTED_VALUE"""),"Dardick")</f>
        <v>Dardick</v>
      </c>
      <c r="F32" s="93" t="str">
        <f>IFERROR(__xludf.DUMMYFUNCTION("""COMPUTED_VALUE"""),"409 Left side")</f>
        <v>409 Left side</v>
      </c>
      <c r="G32" s="93" t="str">
        <f>IFERROR(__xludf.DUMMYFUNCTION("""COMPUTED_VALUE"""),"Lily Rulnick")</f>
        <v>Lily Rulnick</v>
      </c>
      <c r="H32" s="93">
        <f>IFERROR(__xludf.DUMMYFUNCTION("""COMPUTED_VALUE"""),2.409944982E9)</f>
        <v>2409944982</v>
      </c>
      <c r="I32" s="93" t="str">
        <f>IFERROR(__xludf.DUMMYFUNCTION("""COMPUTED_VALUE"""),"10AM-12PM")</f>
        <v>10AM-12PM</v>
      </c>
      <c r="J32" s="93">
        <f>IFERROR(__xludf.DUMMYFUNCTION("""COMPUTED_VALUE"""),1.0)</f>
        <v>1</v>
      </c>
      <c r="K32" s="93" t="str">
        <f>IFERROR(__xludf.DUMMYFUNCTION("""COMPUTED_VALUE"""),"Complete")</f>
        <v>Complete</v>
      </c>
      <c r="L32" s="93"/>
      <c r="M32" s="94">
        <f>IFERROR(__xludf.DUMMYFUNCTION("""COMPUTED_VALUE"""),46124.03331018519)</f>
        <v>46124.03331</v>
      </c>
      <c r="N32" s="93">
        <f>IFERROR(__xludf.DUMMYFUNCTION("""COMPUTED_VALUE"""),88.0)</f>
        <v>88</v>
      </c>
      <c r="O32" s="93"/>
      <c r="P32" s="93" t="str">
        <f>IFERROR(__xludf.DUMMYFUNCTION("""COMPUTED_VALUE"""),"Kit Delivery")</f>
        <v>Kit Delivery</v>
      </c>
      <c r="Q32" s="93"/>
      <c r="R32" s="93"/>
      <c r="S32" s="95">
        <f>IFERROR(__xludf.DUMMYFUNCTION("""COMPUTED_VALUE"""),46124.4096875)</f>
        <v>46124.40969</v>
      </c>
      <c r="T32" s="93"/>
      <c r="U32" s="93"/>
      <c r="V32" s="93"/>
      <c r="W32" s="93"/>
      <c r="X32" s="93"/>
      <c r="Y32" s="93"/>
      <c r="Z32" s="93"/>
    </row>
    <row r="33">
      <c r="A33" s="93" t="str">
        <f>IFERROR(__xludf.DUMMYFUNCTION("""COMPUTED_VALUE"""),"KIT-#17303")</f>
        <v>KIT-#17303</v>
      </c>
      <c r="B33" s="94">
        <f>IFERROR(__xludf.DUMMYFUNCTION("""COMPUTED_VALUE"""),46139.0)</f>
        <v>46139</v>
      </c>
      <c r="C33" s="93" t="str">
        <f>IFERROR(__xludf.DUMMYFUNCTION("""COMPUTED_VALUE"""),"Kit Delivery")</f>
        <v>Kit Delivery</v>
      </c>
      <c r="D33" s="93">
        <f>IFERROR(__xludf.DUMMYFUNCTION("""COMPUTED_VALUE"""),2.0)</f>
        <v>2</v>
      </c>
      <c r="E33" s="93" t="str">
        <f>IFERROR(__xludf.DUMMYFUNCTION("""COMPUTED_VALUE"""),"House 5")</f>
        <v>House 5</v>
      </c>
      <c r="F33" s="93">
        <f>IFERROR(__xludf.DUMMYFUNCTION("""COMPUTED_VALUE"""),308.0)</f>
        <v>308</v>
      </c>
      <c r="G33" s="93" t="str">
        <f>IFERROR(__xludf.DUMMYFUNCTION("""COMPUTED_VALUE"""),"Yike Li (Grace)")</f>
        <v>Yike Li (Grace)</v>
      </c>
      <c r="H33" s="93">
        <f>IFERROR(__xludf.DUMMYFUNCTION("""COMPUTED_VALUE"""),8.613911331289E12)</f>
        <v>8613911331289</v>
      </c>
      <c r="I33" s="93" t="str">
        <f>IFERROR(__xludf.DUMMYFUNCTION("""COMPUTED_VALUE"""),"12PM-2PM")</f>
        <v>12PM-2PM</v>
      </c>
      <c r="J33" s="93">
        <f>IFERROR(__xludf.DUMMYFUNCTION("""COMPUTED_VALUE"""),1.0)</f>
        <v>1</v>
      </c>
      <c r="K33" s="93" t="str">
        <f>IFERROR(__xludf.DUMMYFUNCTION("""COMPUTED_VALUE"""),"Complete")</f>
        <v>Complete</v>
      </c>
      <c r="L33" s="93"/>
      <c r="M33" s="94">
        <f>IFERROR(__xludf.DUMMYFUNCTION("""COMPUTED_VALUE"""),46129.92461805556)</f>
        <v>46129.92462</v>
      </c>
      <c r="N33" s="93">
        <f>IFERROR(__xludf.DUMMYFUNCTION("""COMPUTED_VALUE"""),302.0)</f>
        <v>302</v>
      </c>
      <c r="O33" s="93"/>
      <c r="P33" s="93" t="str">
        <f>IFERROR(__xludf.DUMMYFUNCTION("""COMPUTED_VALUE"""),"Kit Delivery")</f>
        <v>Kit Delivery</v>
      </c>
      <c r="Q33" s="93"/>
      <c r="R33" s="93"/>
      <c r="S33" s="93" t="str">
        <f>IFERROR(__xludf.DUMMYFUNCTION("""COMPUTED_VALUE"""),"Dispatch_Images/KIT--17303.Photos.031123.jpg")</f>
        <v>Dispatch_Images/KIT--17303.Photos.031123.jpg</v>
      </c>
      <c r="T33" s="95">
        <f>IFERROR(__xludf.DUMMYFUNCTION("""COMPUTED_VALUE"""),46129.925717592596)</f>
        <v>46129.92572</v>
      </c>
      <c r="U33" s="93"/>
      <c r="V33" s="93"/>
      <c r="W33" s="93"/>
      <c r="X33" s="93"/>
      <c r="Y33" s="93"/>
      <c r="Z33" s="93"/>
    </row>
    <row r="34">
      <c r="A34" s="93" t="str">
        <f>IFERROR(__xludf.DUMMYFUNCTION("""COMPUTED_VALUE"""),"KIT-#17110")</f>
        <v>KIT-#17110</v>
      </c>
      <c r="B34" s="94">
        <f>IFERROR(__xludf.DUMMYFUNCTION("""COMPUTED_VALUE"""),46139.0)</f>
        <v>46139</v>
      </c>
      <c r="C34" s="93" t="str">
        <f>IFERROR(__xludf.DUMMYFUNCTION("""COMPUTED_VALUE"""),"Kit Delivery")</f>
        <v>Kit Delivery</v>
      </c>
      <c r="D34" s="93">
        <f>IFERROR(__xludf.DUMMYFUNCTION("""COMPUTED_VALUE"""),2.0)</f>
        <v>2</v>
      </c>
      <c r="E34" s="93" t="str">
        <f>IFERROR(__xludf.DUMMYFUNCTION("""COMPUTED_VALUE"""),"6627 UDrive")</f>
        <v>6627 UDrive</v>
      </c>
      <c r="F34" s="93" t="str">
        <f>IFERROR(__xludf.DUMMYFUNCTION("""COMPUTED_VALUE"""),"2W B")</f>
        <v>2W B</v>
      </c>
      <c r="G34" s="93" t="str">
        <f>IFERROR(__xludf.DUMMYFUNCTION("""COMPUTED_VALUE"""),"Liora Raimondi")</f>
        <v>Liora Raimondi</v>
      </c>
      <c r="H34" s="93">
        <f>IFERROR(__xludf.DUMMYFUNCTION("""COMPUTED_VALUE"""),5.162417683E9)</f>
        <v>5162417683</v>
      </c>
      <c r="I34" s="93" t="str">
        <f>IFERROR(__xludf.DUMMYFUNCTION("""COMPUTED_VALUE"""),"9AM-11AM")</f>
        <v>9AM-11AM</v>
      </c>
      <c r="J34" s="93">
        <f>IFERROR(__xludf.DUMMYFUNCTION("""COMPUTED_VALUE"""),1.0)</f>
        <v>1</v>
      </c>
      <c r="K34" s="93" t="str">
        <f>IFERROR(__xludf.DUMMYFUNCTION("""COMPUTED_VALUE"""),"Complete")</f>
        <v>Complete</v>
      </c>
      <c r="L34" s="93"/>
      <c r="M34" s="94">
        <f>IFERROR(__xludf.DUMMYFUNCTION("""COMPUTED_VALUE"""),46129.93157407407)</f>
        <v>46129.93157</v>
      </c>
      <c r="N34" s="93">
        <f>IFERROR(__xludf.DUMMYFUNCTION("""COMPUTED_VALUE"""),310.0)</f>
        <v>310</v>
      </c>
      <c r="O34" s="93"/>
      <c r="P34" s="93" t="str">
        <f>IFERROR(__xludf.DUMMYFUNCTION("""COMPUTED_VALUE"""),"Kit Delivery")</f>
        <v>Kit Delivery</v>
      </c>
      <c r="Q34" s="93"/>
      <c r="R34" s="93"/>
      <c r="S34" s="93" t="str">
        <f>IFERROR(__xludf.DUMMYFUNCTION("""COMPUTED_VALUE"""),"Dispatch_Images/KIT--17110.Photos.032125.jpg")</f>
        <v>Dispatch_Images/KIT--17110.Photos.032125.jpg</v>
      </c>
      <c r="T34" s="95">
        <f>IFERROR(__xludf.DUMMYFUNCTION("""COMPUTED_VALUE"""),46129.93267361111)</f>
        <v>46129.93267</v>
      </c>
      <c r="U34" s="93"/>
      <c r="V34" s="93"/>
      <c r="W34" s="93"/>
      <c r="X34" s="93"/>
      <c r="Y34" s="93"/>
      <c r="Z34" s="93"/>
    </row>
    <row r="35">
      <c r="A35" s="93" t="str">
        <f>IFERROR(__xludf.DUMMYFUNCTION("""COMPUTED_VALUE"""),"KIT-#17070")</f>
        <v>KIT-#17070</v>
      </c>
      <c r="B35" s="94">
        <f>IFERROR(__xludf.DUMMYFUNCTION("""COMPUTED_VALUE"""),46139.0)</f>
        <v>46139</v>
      </c>
      <c r="C35" s="93" t="str">
        <f>IFERROR(__xludf.DUMMYFUNCTION("""COMPUTED_VALUE"""),"Kit Delivery")</f>
        <v>Kit Delivery</v>
      </c>
      <c r="D35" s="93">
        <f>IFERROR(__xludf.DUMMYFUNCTION("""COMPUTED_VALUE"""),2.0)</f>
        <v>2</v>
      </c>
      <c r="E35" s="93" t="str">
        <f>IFERROR(__xludf.DUMMYFUNCTION("""COMPUTED_VALUE"""),"Off-Campus")</f>
        <v>Off-Campus</v>
      </c>
      <c r="F35" s="93"/>
      <c r="G35" s="93" t="str">
        <f>IFERROR(__xludf.DUMMYFUNCTION("""COMPUTED_VALUE"""),"JORDAN KIM")</f>
        <v>JORDAN KIM</v>
      </c>
      <c r="H35" s="93">
        <f>IFERROR(__xludf.DUMMYFUNCTION("""COMPUTED_VALUE"""),8.187513679E9)</f>
        <v>8187513679</v>
      </c>
      <c r="I35" s="93" t="str">
        <f>IFERROR(__xludf.DUMMYFUNCTION("""COMPUTED_VALUE"""),"9AM-11AM")</f>
        <v>9AM-11AM</v>
      </c>
      <c r="J35" s="93">
        <f>IFERROR(__xludf.DUMMYFUNCTION("""COMPUTED_VALUE"""),1.0)</f>
        <v>1</v>
      </c>
      <c r="K35" s="93" t="str">
        <f>IFERROR(__xludf.DUMMYFUNCTION("""COMPUTED_VALUE"""),"Complete")</f>
        <v>Complete</v>
      </c>
      <c r="L35" s="93"/>
      <c r="M35" s="94">
        <f>IFERROR(__xludf.DUMMYFUNCTION("""COMPUTED_VALUE"""),46129.93913194444)</f>
        <v>46129.93913</v>
      </c>
      <c r="N35" s="93">
        <f>IFERROR(__xludf.DUMMYFUNCTION("""COMPUTED_VALUE"""),327.0)</f>
        <v>327</v>
      </c>
      <c r="O35" s="93" t="str">
        <f>IFERROR(__xludf.DUMMYFUNCTION("""COMPUTED_VALUE"""),"5959 McPherson Avenue, Floor G")</f>
        <v>5959 McPherson Avenue, Floor G</v>
      </c>
      <c r="P35" s="93" t="str">
        <f>IFERROR(__xludf.DUMMYFUNCTION("""COMPUTED_VALUE"""),"Kit Delivery")</f>
        <v>Kit Delivery</v>
      </c>
      <c r="Q35" s="93"/>
      <c r="R35" s="93"/>
      <c r="S35" s="93" t="str">
        <f>IFERROR(__xludf.DUMMYFUNCTION("""COMPUTED_VALUE"""),"Dispatch_Images/KIT--17070.Photos.033217.jpg")</f>
        <v>Dispatch_Images/KIT--17070.Photos.033217.jpg</v>
      </c>
      <c r="T35" s="95">
        <f>IFERROR(__xludf.DUMMYFUNCTION("""COMPUTED_VALUE"""),46129.93960648148)</f>
        <v>46129.93961</v>
      </c>
      <c r="U35" s="93"/>
      <c r="V35" s="93"/>
      <c r="W35" s="93"/>
      <c r="X35" s="93"/>
      <c r="Y35" s="93"/>
      <c r="Z35" s="93"/>
    </row>
    <row r="36">
      <c r="A36" s="93" t="str">
        <f>IFERROR(__xludf.DUMMYFUNCTION("""COMPUTED_VALUE"""),"KIT-#17294")</f>
        <v>KIT-#17294</v>
      </c>
      <c r="B36" s="94">
        <f>IFERROR(__xludf.DUMMYFUNCTION("""COMPUTED_VALUE"""),46139.0)</f>
        <v>46139</v>
      </c>
      <c r="C36" s="93" t="str">
        <f>IFERROR(__xludf.DUMMYFUNCTION("""COMPUTED_VALUE"""),"Kit Delivery")</f>
        <v>Kit Delivery</v>
      </c>
      <c r="D36" s="93">
        <f>IFERROR(__xludf.DUMMYFUNCTION("""COMPUTED_VALUE"""),2.0)</f>
        <v>2</v>
      </c>
      <c r="E36" s="93" t="str">
        <f>IFERROR(__xludf.DUMMYFUNCTION("""COMPUTED_VALUE"""),"Off-Campus")</f>
        <v>Off-Campus</v>
      </c>
      <c r="F36" s="93"/>
      <c r="G36" s="93" t="str">
        <f>IFERROR(__xludf.DUMMYFUNCTION("""COMPUTED_VALUE"""),"Peiyu Qian*")</f>
        <v>Peiyu Qian*</v>
      </c>
      <c r="H36" s="93">
        <f>IFERROR(__xludf.DUMMYFUNCTION("""COMPUTED_VALUE"""),7.302268851E9)</f>
        <v>7302268851</v>
      </c>
      <c r="I36" s="93" t="str">
        <f>IFERROR(__xludf.DUMMYFUNCTION("""COMPUTED_VALUE"""),"09:00 AM to 11:00 AM")</f>
        <v>09:00 AM to 11:00 AM</v>
      </c>
      <c r="J36" s="93">
        <f>IFERROR(__xludf.DUMMYFUNCTION("""COMPUTED_VALUE"""),1.0)</f>
        <v>1</v>
      </c>
      <c r="K36" s="93" t="str">
        <f>IFERROR(__xludf.DUMMYFUNCTION("""COMPUTED_VALUE"""),"Complete")</f>
        <v>Complete</v>
      </c>
      <c r="L36" s="93"/>
      <c r="M36" s="94">
        <f>IFERROR(__xludf.DUMMYFUNCTION("""COMPUTED_VALUE"""),46134.81003472222)</f>
        <v>46134.81003</v>
      </c>
      <c r="N36" s="93">
        <f>IFERROR(__xludf.DUMMYFUNCTION("""COMPUTED_VALUE"""),715.0)</f>
        <v>715</v>
      </c>
      <c r="O36" s="93" t="str">
        <f>IFERROR(__xludf.DUMMYFUNCTION("""COMPUTED_VALUE"""),"212S Meramec Ave. 2406")</f>
        <v>212S Meramec Ave. 2406</v>
      </c>
      <c r="P36" s="93" t="str">
        <f>IFERROR(__xludf.DUMMYFUNCTION("""COMPUTED_VALUE"""),"Kit Delivery")</f>
        <v>Kit Delivery</v>
      </c>
      <c r="Q36" s="93"/>
      <c r="R36" s="93"/>
      <c r="S36" s="93" t="str">
        <f>IFERROR(__xludf.DUMMYFUNCTION("""COMPUTED_VALUE"""),"Dispatch_Images/KIT--17294.Photos.002623.jpg")</f>
        <v>Dispatch_Images/KIT--17294.Photos.002623.jpg</v>
      </c>
      <c r="T36" s="95">
        <f>IFERROR(__xludf.DUMMYFUNCTION("""COMPUTED_VALUE"""),46134.814618055556)</f>
        <v>46134.81462</v>
      </c>
      <c r="U36" s="93"/>
      <c r="V36" s="93"/>
      <c r="W36" s="93"/>
      <c r="X36" s="93"/>
      <c r="Y36" s="93"/>
      <c r="Z36" s="93"/>
    </row>
    <row r="37">
      <c r="A37" s="93" t="str">
        <f>IFERROR(__xludf.DUMMYFUNCTION("""COMPUTED_VALUE"""),"KIT-#17240")</f>
        <v>KIT-#17240</v>
      </c>
      <c r="B37" s="94">
        <f>IFERROR(__xludf.DUMMYFUNCTION("""COMPUTED_VALUE"""),46140.0)</f>
        <v>46140</v>
      </c>
      <c r="C37" s="93" t="str">
        <f>IFERROR(__xludf.DUMMYFUNCTION("""COMPUTED_VALUE"""),"Kit Delivery")</f>
        <v>Kit Delivery</v>
      </c>
      <c r="D37" s="93">
        <f>IFERROR(__xludf.DUMMYFUNCTION("""COMPUTED_VALUE"""),1.0)</f>
        <v>1</v>
      </c>
      <c r="E37" s="93" t="str">
        <f>IFERROR(__xludf.DUMMYFUNCTION("""COMPUTED_VALUE"""),"Park")</f>
        <v>Park</v>
      </c>
      <c r="F37" s="93">
        <f>IFERROR(__xludf.DUMMYFUNCTION("""COMPUTED_VALUE"""),481.0)</f>
        <v>481</v>
      </c>
      <c r="G37" s="93" t="str">
        <f>IFERROR(__xludf.DUMMYFUNCTION("""COMPUTED_VALUE"""),"Naveli Singh")</f>
        <v>Naveli Singh</v>
      </c>
      <c r="H37" s="93">
        <f>IFERROR(__xludf.DUMMYFUNCTION("""COMPUTED_VALUE"""),4.087991099E9)</f>
        <v>4087991099</v>
      </c>
      <c r="I37" s="93" t="str">
        <f>IFERROR(__xludf.DUMMYFUNCTION("""COMPUTED_VALUE"""),"3PM-5PM")</f>
        <v>3PM-5PM</v>
      </c>
      <c r="J37" s="93">
        <f>IFERROR(__xludf.DUMMYFUNCTION("""COMPUTED_VALUE"""),1.0)</f>
        <v>1</v>
      </c>
      <c r="K37" s="93" t="str">
        <f>IFERROR(__xludf.DUMMYFUNCTION("""COMPUTED_VALUE"""),"Complete")</f>
        <v>Complete</v>
      </c>
      <c r="L37" s="93"/>
      <c r="M37" s="94">
        <f>IFERROR(__xludf.DUMMYFUNCTION("""COMPUTED_VALUE"""),46123.60449074074)</f>
        <v>46123.60449</v>
      </c>
      <c r="N37" s="93">
        <f>IFERROR(__xludf.DUMMYFUNCTION("""COMPUTED_VALUE"""),53.0)</f>
        <v>53</v>
      </c>
      <c r="O37" s="93"/>
      <c r="P37" s="93" t="str">
        <f>IFERROR(__xludf.DUMMYFUNCTION("""COMPUTED_VALUE"""),"Kit Delivery")</f>
        <v>Kit Delivery</v>
      </c>
      <c r="Q37" s="93"/>
      <c r="R37" s="93"/>
      <c r="S37" s="95">
        <f>IFERROR(__xludf.DUMMYFUNCTION("""COMPUTED_VALUE"""),46123.61150462963)</f>
        <v>46123.6115</v>
      </c>
      <c r="T37" s="93"/>
      <c r="U37" s="93"/>
      <c r="V37" s="93"/>
      <c r="W37" s="93"/>
      <c r="X37" s="93"/>
      <c r="Y37" s="93"/>
      <c r="Z37" s="93"/>
    </row>
    <row r="38">
      <c r="A38" s="93" t="str">
        <f>IFERROR(__xludf.DUMMYFUNCTION("""COMPUTED_VALUE"""),"KIT-#17233")</f>
        <v>KIT-#17233</v>
      </c>
      <c r="B38" s="94">
        <f>IFERROR(__xludf.DUMMYFUNCTION("""COMPUTED_VALUE"""),46140.0)</f>
        <v>46140</v>
      </c>
      <c r="C38" s="93" t="str">
        <f>IFERROR(__xludf.DUMMYFUNCTION("""COMPUTED_VALUE"""),"Kit Delivery")</f>
        <v>Kit Delivery</v>
      </c>
      <c r="D38" s="93">
        <f>IFERROR(__xludf.DUMMYFUNCTION("""COMPUTED_VALUE"""),1.0)</f>
        <v>1</v>
      </c>
      <c r="E38" s="93" t="str">
        <f>IFERROR(__xludf.DUMMYFUNCTION("""COMPUTED_VALUE"""),"Liggett")</f>
        <v>Liggett</v>
      </c>
      <c r="F38" s="93" t="str">
        <f>IFERROR(__xludf.DUMMYFUNCTION("""COMPUTED_VALUE"""),"2274A")</f>
        <v>2274A</v>
      </c>
      <c r="G38" s="93" t="str">
        <f>IFERROR(__xludf.DUMMYFUNCTION("""COMPUTED_VALUE"""),"Sophie Schwartz")</f>
        <v>Sophie Schwartz</v>
      </c>
      <c r="H38" s="93" t="str">
        <f>IFERROR(__xludf.DUMMYFUNCTION("""COMPUTED_VALUE"""),"(949)230-0616")</f>
        <v>(949)230-0616</v>
      </c>
      <c r="I38" s="93" t="str">
        <f>IFERROR(__xludf.DUMMYFUNCTION("""COMPUTED_VALUE"""),"3PM-5PM")</f>
        <v>3PM-5PM</v>
      </c>
      <c r="J38" s="93">
        <f>IFERROR(__xludf.DUMMYFUNCTION("""COMPUTED_VALUE"""),1.0)</f>
        <v>1</v>
      </c>
      <c r="K38" s="93" t="str">
        <f>IFERROR(__xludf.DUMMYFUNCTION("""COMPUTED_VALUE"""),"Complete")</f>
        <v>Complete</v>
      </c>
      <c r="L38" s="93"/>
      <c r="M38" s="94">
        <f>IFERROR(__xludf.DUMMYFUNCTION("""COMPUTED_VALUE"""),46124.045949074076)</f>
        <v>46124.04595</v>
      </c>
      <c r="N38" s="93">
        <f>IFERROR(__xludf.DUMMYFUNCTION("""COMPUTED_VALUE"""),147.0)</f>
        <v>147</v>
      </c>
      <c r="O38" s="93"/>
      <c r="P38" s="93" t="str">
        <f>IFERROR(__xludf.DUMMYFUNCTION("""COMPUTED_VALUE"""),"Kit Delivery")</f>
        <v>Kit Delivery</v>
      </c>
      <c r="Q38" s="93"/>
      <c r="R38" s="93"/>
      <c r="S38" s="95">
        <f>IFERROR(__xludf.DUMMYFUNCTION("""COMPUTED_VALUE"""),46124.4096875)</f>
        <v>46124.40969</v>
      </c>
      <c r="T38" s="93"/>
      <c r="U38" s="93"/>
      <c r="V38" s="93"/>
      <c r="W38" s="93"/>
      <c r="X38" s="93"/>
      <c r="Y38" s="93"/>
      <c r="Z38" s="93"/>
    </row>
    <row r="39">
      <c r="A39" s="93" t="str">
        <f>IFERROR(__xludf.DUMMYFUNCTION("""COMPUTED_VALUE"""),"KIT-#17094")</f>
        <v>KIT-#17094</v>
      </c>
      <c r="B39" s="94">
        <f>IFERROR(__xludf.DUMMYFUNCTION("""COMPUTED_VALUE"""),46140.0)</f>
        <v>46140</v>
      </c>
      <c r="C39" s="93" t="str">
        <f>IFERROR(__xludf.DUMMYFUNCTION("""COMPUTED_VALUE"""),"Kit Delivery")</f>
        <v>Kit Delivery</v>
      </c>
      <c r="D39" s="93">
        <f>IFERROR(__xludf.DUMMYFUNCTION("""COMPUTED_VALUE"""),1.0)</f>
        <v>1</v>
      </c>
      <c r="E39" s="93" t="str">
        <f>IFERROR(__xludf.DUMMYFUNCTION("""COMPUTED_VALUE"""),"Liggett")</f>
        <v>Liggett</v>
      </c>
      <c r="F39" s="93" t="str">
        <f>IFERROR(__xludf.DUMMYFUNCTION("""COMPUTED_VALUE"""),"2274 (Drom Room) (There will be 2 tables in 2270 Common Area)")</f>
        <v>2274 (Drom Room) (There will be 2 tables in 2270 Common Area)</v>
      </c>
      <c r="G39" s="93" t="str">
        <f>IFERROR(__xludf.DUMMYFUNCTION("""COMPUTED_VALUE"""),"Sophie Schwartz")</f>
        <v>Sophie Schwartz</v>
      </c>
      <c r="H39" s="93">
        <f>IFERROR(__xludf.DUMMYFUNCTION("""COMPUTED_VALUE"""),9.492300616E9)</f>
        <v>9492300616</v>
      </c>
      <c r="I39" s="93" t="str">
        <f>IFERROR(__xludf.DUMMYFUNCTION("""COMPUTED_VALUE"""),"3PM-5PM")</f>
        <v>3PM-5PM</v>
      </c>
      <c r="J39" s="93">
        <f>IFERROR(__xludf.DUMMYFUNCTION("""COMPUTED_VALUE"""),2.0)</f>
        <v>2</v>
      </c>
      <c r="K39" s="93" t="str">
        <f>IFERROR(__xludf.DUMMYFUNCTION("""COMPUTED_VALUE"""),"Complete")</f>
        <v>Complete</v>
      </c>
      <c r="L39" s="93"/>
      <c r="M39" s="94">
        <f>IFERROR(__xludf.DUMMYFUNCTION("""COMPUTED_VALUE"""),46124.045960648145)</f>
        <v>46124.04596</v>
      </c>
      <c r="N39" s="93">
        <f>IFERROR(__xludf.DUMMYFUNCTION("""COMPUTED_VALUE"""),146.0)</f>
        <v>146</v>
      </c>
      <c r="O39" s="93"/>
      <c r="P39" s="93" t="str">
        <f>IFERROR(__xludf.DUMMYFUNCTION("""COMPUTED_VALUE"""),"Kit Delivery")</f>
        <v>Kit Delivery</v>
      </c>
      <c r="Q39" s="93"/>
      <c r="R39" s="93"/>
      <c r="S39" s="95">
        <f>IFERROR(__xludf.DUMMYFUNCTION("""COMPUTED_VALUE"""),46124.4096875)</f>
        <v>46124.40969</v>
      </c>
      <c r="T39" s="93"/>
      <c r="U39" s="93"/>
      <c r="V39" s="93"/>
      <c r="W39" s="93"/>
      <c r="X39" s="93"/>
      <c r="Y39" s="93"/>
      <c r="Z39" s="93"/>
    </row>
    <row r="40">
      <c r="A40" s="93" t="str">
        <f>IFERROR(__xludf.DUMMYFUNCTION("""COMPUTED_VALUE"""),"KIT-#17559")</f>
        <v>KIT-#17559</v>
      </c>
      <c r="B40" s="94">
        <f>IFERROR(__xludf.DUMMYFUNCTION("""COMPUTED_VALUE"""),46140.0)</f>
        <v>46140</v>
      </c>
      <c r="C40" s="93" t="str">
        <f>IFERROR(__xludf.DUMMYFUNCTION("""COMPUTED_VALUE"""),"Kit Delivery")</f>
        <v>Kit Delivery</v>
      </c>
      <c r="D40" s="93">
        <f>IFERROR(__xludf.DUMMYFUNCTION("""COMPUTED_VALUE"""),2.0)</f>
        <v>2</v>
      </c>
      <c r="E40" s="93" t="str">
        <f>IFERROR(__xludf.DUMMYFUNCTION("""COMPUTED_VALUE"""),"Eliot B")</f>
        <v>Eliot B</v>
      </c>
      <c r="F40" s="93">
        <f>IFERROR(__xludf.DUMMYFUNCTION("""COMPUTED_VALUE"""),1033.0)</f>
        <v>1033</v>
      </c>
      <c r="G40" s="93" t="str">
        <f>IFERROR(__xludf.DUMMYFUNCTION("""COMPUTED_VALUE"""),"Zia Bärfuss—Liao")</f>
        <v>Zia Bärfuss—Liao</v>
      </c>
      <c r="H40" s="93">
        <f>IFERROR(__xludf.DUMMYFUNCTION("""COMPUTED_VALUE"""),3.147325905E9)</f>
        <v>3147325905</v>
      </c>
      <c r="I40" s="93" t="str">
        <f>IFERROR(__xludf.DUMMYFUNCTION("""COMPUTED_VALUE"""),"11AM-1PM")</f>
        <v>11AM-1PM</v>
      </c>
      <c r="J40" s="93">
        <f>IFERROR(__xludf.DUMMYFUNCTION("""COMPUTED_VALUE"""),1.0)</f>
        <v>1</v>
      </c>
      <c r="K40" s="93" t="str">
        <f>IFERROR(__xludf.DUMMYFUNCTION("""COMPUTED_VALUE"""),"Complete")</f>
        <v>Complete</v>
      </c>
      <c r="L40" s="93"/>
      <c r="M40" s="94">
        <f>IFERROR(__xludf.DUMMYFUNCTION("""COMPUTED_VALUE"""),46129.84064814815)</f>
        <v>46129.84065</v>
      </c>
      <c r="N40" s="93">
        <f>IFERROR(__xludf.DUMMYFUNCTION("""COMPUTED_VALUE"""),30.0)</f>
        <v>30</v>
      </c>
      <c r="O40" s="93"/>
      <c r="P40" s="93" t="str">
        <f>IFERROR(__xludf.DUMMYFUNCTION("""COMPUTED_VALUE"""),"Kit Delivery")</f>
        <v>Kit Delivery</v>
      </c>
      <c r="Q40" s="93"/>
      <c r="R40" s="93"/>
      <c r="S40" s="93" t="str">
        <f>IFERROR(__xludf.DUMMYFUNCTION("""COMPUTED_VALUE"""),"Dispatch_Images/KIT--17559.Photos.011029.jpg")</f>
        <v>Dispatch_Images/KIT--17559.Photos.011029.jpg</v>
      </c>
      <c r="T40" s="95">
        <f>IFERROR(__xludf.DUMMYFUNCTION("""COMPUTED_VALUE"""),46129.84243055555)</f>
        <v>46129.84243</v>
      </c>
      <c r="U40" s="93"/>
      <c r="V40" s="93"/>
      <c r="W40" s="93"/>
      <c r="X40" s="93"/>
      <c r="Y40" s="93"/>
      <c r="Z40" s="93"/>
    </row>
    <row r="41">
      <c r="A41" s="93" t="str">
        <f>IFERROR(__xludf.DUMMYFUNCTION("""COMPUTED_VALUE"""),"KIT-#17510")</f>
        <v>KIT-#17510</v>
      </c>
      <c r="B41" s="94">
        <f>IFERROR(__xludf.DUMMYFUNCTION("""COMPUTED_VALUE"""),46140.0)</f>
        <v>46140</v>
      </c>
      <c r="C41" s="93" t="str">
        <f>IFERROR(__xludf.DUMMYFUNCTION("""COMPUTED_VALUE"""),"Kit Delivery")</f>
        <v>Kit Delivery</v>
      </c>
      <c r="D41" s="93">
        <f>IFERROR(__xludf.DUMMYFUNCTION("""COMPUTED_VALUE"""),3.0)</f>
        <v>3</v>
      </c>
      <c r="E41" s="93" t="str">
        <f>IFERROR(__xludf.DUMMYFUNCTION("""COMPUTED_VALUE"""),"Koenig")</f>
        <v>Koenig</v>
      </c>
      <c r="F41" s="93">
        <f>IFERROR(__xludf.DUMMYFUNCTION("""COMPUTED_VALUE"""),3316.0)</f>
        <v>3316</v>
      </c>
      <c r="G41" s="93" t="str">
        <f>IFERROR(__xludf.DUMMYFUNCTION("""COMPUTED_VALUE"""),"Emmy May")</f>
        <v>Emmy May</v>
      </c>
      <c r="H41" s="93">
        <f>IFERROR(__xludf.DUMMYFUNCTION("""COMPUTED_VALUE"""),8.174803764E9)</f>
        <v>8174803764</v>
      </c>
      <c r="I41" s="93" t="str">
        <f>IFERROR(__xludf.DUMMYFUNCTION("""COMPUTED_VALUE"""),"11AM-1PM")</f>
        <v>11AM-1PM</v>
      </c>
      <c r="J41" s="93">
        <f>IFERROR(__xludf.DUMMYFUNCTION("""COMPUTED_VALUE"""),1.0)</f>
        <v>1</v>
      </c>
      <c r="K41" s="93" t="str">
        <f>IFERROR(__xludf.DUMMYFUNCTION("""COMPUTED_VALUE"""),"Complete")</f>
        <v>Complete</v>
      </c>
      <c r="L41" s="93"/>
      <c r="M41" s="94">
        <f>IFERROR(__xludf.DUMMYFUNCTION("""COMPUTED_VALUE"""),46130.435636574075)</f>
        <v>46130.43564</v>
      </c>
      <c r="N41" s="93">
        <f>IFERROR(__xludf.DUMMYFUNCTION("""COMPUTED_VALUE"""),207.0)</f>
        <v>207</v>
      </c>
      <c r="O41" s="93"/>
      <c r="P41" s="93" t="str">
        <f>IFERROR(__xludf.DUMMYFUNCTION("""COMPUTED_VALUE"""),"Kit Delivery")</f>
        <v>Kit Delivery</v>
      </c>
      <c r="Q41" s="93"/>
      <c r="R41" s="93"/>
      <c r="S41" s="93" t="str">
        <f>IFERROR(__xludf.DUMMYFUNCTION("""COMPUTED_VALUE"""),"Dispatch_Images/KIT--17510.Photos.152716.jpg")</f>
        <v>Dispatch_Images/KIT--17510.Photos.152716.jpg</v>
      </c>
      <c r="T41" s="95">
        <f>IFERROR(__xludf.DUMMYFUNCTION("""COMPUTED_VALUE"""),46130.43962962963)</f>
        <v>46130.43963</v>
      </c>
      <c r="U41" s="93"/>
      <c r="V41" s="93"/>
      <c r="W41" s="93"/>
      <c r="X41" s="93"/>
      <c r="Y41" s="93"/>
      <c r="Z41" s="93"/>
    </row>
    <row r="42">
      <c r="A42" s="93" t="str">
        <f>IFERROR(__xludf.DUMMYFUNCTION("""COMPUTED_VALUE"""),"KIT-#17422")</f>
        <v>KIT-#17422</v>
      </c>
      <c r="B42" s="94">
        <f>IFERROR(__xludf.DUMMYFUNCTION("""COMPUTED_VALUE"""),46140.0)</f>
        <v>46140</v>
      </c>
      <c r="C42" s="93" t="str">
        <f>IFERROR(__xludf.DUMMYFUNCTION("""COMPUTED_VALUE"""),"Kit Delivery")</f>
        <v>Kit Delivery</v>
      </c>
      <c r="D42" s="93">
        <f>IFERROR(__xludf.DUMMYFUNCTION("""COMPUTED_VALUE"""),3.0)</f>
        <v>3</v>
      </c>
      <c r="E42" s="93" t="str">
        <f>IFERROR(__xludf.DUMMYFUNCTION("""COMPUTED_VALUE"""),"Village East")</f>
        <v>Village East</v>
      </c>
      <c r="F42" s="93">
        <f>IFERROR(__xludf.DUMMYFUNCTION("""COMPUTED_VALUE"""),2092.0)</f>
        <v>2092</v>
      </c>
      <c r="G42" s="93" t="str">
        <f>IFERROR(__xludf.DUMMYFUNCTION("""COMPUTED_VALUE"""),"Anna Siegel")</f>
        <v>Anna Siegel</v>
      </c>
      <c r="H42" s="93">
        <f>IFERROR(__xludf.DUMMYFUNCTION("""COMPUTED_VALUE"""),5.732590239E9)</f>
        <v>5732590239</v>
      </c>
      <c r="I42" s="93" t="str">
        <f>IFERROR(__xludf.DUMMYFUNCTION("""COMPUTED_VALUE"""),"9AM-11AM")</f>
        <v>9AM-11AM</v>
      </c>
      <c r="J42" s="93">
        <f>IFERROR(__xludf.DUMMYFUNCTION("""COMPUTED_VALUE"""),1.0)</f>
        <v>1</v>
      </c>
      <c r="K42" s="93" t="str">
        <f>IFERROR(__xludf.DUMMYFUNCTION("""COMPUTED_VALUE"""),"Complete")</f>
        <v>Complete</v>
      </c>
      <c r="L42" s="93"/>
      <c r="M42" s="94">
        <f>IFERROR(__xludf.DUMMYFUNCTION("""COMPUTED_VALUE"""),46130.48664351852)</f>
        <v>46130.48664</v>
      </c>
      <c r="N42" s="93">
        <f>IFERROR(__xludf.DUMMYFUNCTION("""COMPUTED_VALUE"""),268.0)</f>
        <v>268</v>
      </c>
      <c r="O42" s="93"/>
      <c r="P42" s="93" t="str">
        <f>IFERROR(__xludf.DUMMYFUNCTION("""COMPUTED_VALUE"""),"Kit Delivery")</f>
        <v>Kit Delivery</v>
      </c>
      <c r="Q42" s="93"/>
      <c r="R42" s="93"/>
      <c r="S42" s="93" t="str">
        <f>IFERROR(__xludf.DUMMYFUNCTION("""COMPUTED_VALUE"""),"Dispatch_Images/KIT--17422.Photos.164042.jpg")</f>
        <v>Dispatch_Images/KIT--17422.Photos.164042.jpg</v>
      </c>
      <c r="T42" s="95">
        <f>IFERROR(__xludf.DUMMYFUNCTION("""COMPUTED_VALUE"""),46130.488229166665)</f>
        <v>46130.48823</v>
      </c>
      <c r="U42" s="93"/>
      <c r="V42" s="93"/>
      <c r="W42" s="93"/>
      <c r="X42" s="93"/>
      <c r="Y42" s="93"/>
      <c r="Z42" s="93"/>
    </row>
    <row r="43">
      <c r="A43" s="93" t="str">
        <f>IFERROR(__xludf.DUMMYFUNCTION("""COMPUTED_VALUE"""),"KIT-#17668")</f>
        <v>KIT-#17668</v>
      </c>
      <c r="B43" s="94">
        <f>IFERROR(__xludf.DUMMYFUNCTION("""COMPUTED_VALUE"""),46140.0)</f>
        <v>46140</v>
      </c>
      <c r="C43" s="93" t="str">
        <f>IFERROR(__xludf.DUMMYFUNCTION("""COMPUTED_VALUE"""),"Kit Delivery")</f>
        <v>Kit Delivery</v>
      </c>
      <c r="D43" s="93">
        <f>IFERROR(__xludf.DUMMYFUNCTION("""COMPUTED_VALUE"""),2.0)</f>
        <v>2</v>
      </c>
      <c r="E43" s="93" t="str">
        <f>IFERROR(__xludf.DUMMYFUNCTION("""COMPUTED_VALUE"""),"Wheeler")</f>
        <v>Wheeler</v>
      </c>
      <c r="F43" s="93">
        <f>IFERROR(__xludf.DUMMYFUNCTION("""COMPUTED_VALUE"""),2090.0)</f>
        <v>2090</v>
      </c>
      <c r="G43" s="93" t="str">
        <f>IFERROR(__xludf.DUMMYFUNCTION("""COMPUTED_VALUE"""),"Beckett Miller*")</f>
        <v>Beckett Miller*</v>
      </c>
      <c r="H43" s="93">
        <f>IFERROR(__xludf.DUMMYFUNCTION("""COMPUTED_VALUE"""),1.6507879908E10)</f>
        <v>16507879908</v>
      </c>
      <c r="I43" s="93" t="str">
        <f>IFERROR(__xludf.DUMMYFUNCTION("""COMPUTED_VALUE"""),"12PM-2PM")</f>
        <v>12PM-2PM</v>
      </c>
      <c r="J43" s="93">
        <f>IFERROR(__xludf.DUMMYFUNCTION("""COMPUTED_VALUE"""),1.0)</f>
        <v>1</v>
      </c>
      <c r="K43" s="93" t="str">
        <f>IFERROR(__xludf.DUMMYFUNCTION("""COMPUTED_VALUE"""),"Complete")</f>
        <v>Complete</v>
      </c>
      <c r="L43" s="93"/>
      <c r="M43" s="94">
        <f>IFERROR(__xludf.DUMMYFUNCTION("""COMPUTED_VALUE"""),46134.70043981481)</f>
        <v>46134.70044</v>
      </c>
      <c r="N43" s="93">
        <f>IFERROR(__xludf.DUMMYFUNCTION("""COMPUTED_VALUE"""),63.0)</f>
        <v>63</v>
      </c>
      <c r="O43" s="93"/>
      <c r="P43" s="93" t="str">
        <f>IFERROR(__xludf.DUMMYFUNCTION("""COMPUTED_VALUE"""),"Kit Delivery")</f>
        <v>Kit Delivery</v>
      </c>
      <c r="Q43" s="93"/>
      <c r="R43" s="93"/>
      <c r="S43" s="93" t="str">
        <f>IFERROR(__xludf.DUMMYFUNCTION("""COMPUTED_VALUE"""),"Dispatch_Images/KIT--17668.Photos.214834.jpg")</f>
        <v>Dispatch_Images/KIT--17668.Photos.214834.jpg</v>
      </c>
      <c r="T43" s="95">
        <f>IFERROR(__xludf.DUMMYFUNCTION("""COMPUTED_VALUE"""),46134.703518518516)</f>
        <v>46134.70352</v>
      </c>
      <c r="U43" s="93"/>
      <c r="V43" s="93"/>
      <c r="W43" s="93"/>
      <c r="X43" s="93"/>
      <c r="Y43" s="93"/>
      <c r="Z43" s="93"/>
    </row>
    <row r="44">
      <c r="A44" s="93" t="str">
        <f>IFERROR(__xludf.DUMMYFUNCTION("""COMPUTED_VALUE"""),"KIT-#17629")</f>
        <v>KIT-#17629</v>
      </c>
      <c r="B44" s="94">
        <f>IFERROR(__xludf.DUMMYFUNCTION("""COMPUTED_VALUE"""),46140.0)</f>
        <v>46140</v>
      </c>
      <c r="C44" s="93" t="str">
        <f>IFERROR(__xludf.DUMMYFUNCTION("""COMPUTED_VALUE"""),"Kit Delivery")</f>
        <v>Kit Delivery</v>
      </c>
      <c r="D44" s="93">
        <f>IFERROR(__xludf.DUMMYFUNCTION("""COMPUTED_VALUE"""),2.0)</f>
        <v>2</v>
      </c>
      <c r="E44" s="93" t="str">
        <f>IFERROR(__xludf.DUMMYFUNCTION("""COMPUTED_VALUE"""),"Umrath")</f>
        <v>Umrath</v>
      </c>
      <c r="F44" s="93">
        <f>IFERROR(__xludf.DUMMYFUNCTION("""COMPUTED_VALUE"""),2235.0)</f>
        <v>2235</v>
      </c>
      <c r="G44" s="93" t="str">
        <f>IFERROR(__xludf.DUMMYFUNCTION("""COMPUTED_VALUE"""),"Ava A. Malick*")</f>
        <v>Ava A. Malick*</v>
      </c>
      <c r="H44" s="93">
        <f>IFERROR(__xludf.DUMMYFUNCTION("""COMPUTED_VALUE"""),9.176694027E9)</f>
        <v>9176694027</v>
      </c>
      <c r="I44" s="93" t="str">
        <f>IFERROR(__xludf.DUMMYFUNCTION("""COMPUTED_VALUE"""),"9AM-11AM")</f>
        <v>9AM-11AM</v>
      </c>
      <c r="J44" s="93">
        <f>IFERROR(__xludf.DUMMYFUNCTION("""COMPUTED_VALUE"""),2.0)</f>
        <v>2</v>
      </c>
      <c r="K44" s="93" t="str">
        <f>IFERROR(__xludf.DUMMYFUNCTION("""COMPUTED_VALUE"""),"Complete")</f>
        <v>Complete</v>
      </c>
      <c r="L44" s="93"/>
      <c r="M44" s="94">
        <f>IFERROR(__xludf.DUMMYFUNCTION("""COMPUTED_VALUE"""),46134.76447916667)</f>
        <v>46134.76448</v>
      </c>
      <c r="N44" s="93">
        <f>IFERROR(__xludf.DUMMYFUNCTION("""COMPUTED_VALUE"""),141.0)</f>
        <v>141</v>
      </c>
      <c r="O44" s="93"/>
      <c r="P44" s="93" t="str">
        <f>IFERROR(__xludf.DUMMYFUNCTION("""COMPUTED_VALUE"""),"Kit Delivery")</f>
        <v>Kit Delivery</v>
      </c>
      <c r="Q44" s="93"/>
      <c r="R44" s="93"/>
      <c r="S44" s="93" t="str">
        <f>IFERROR(__xludf.DUMMYFUNCTION("""COMPUTED_VALUE"""),"Dispatch_Images/KIT--17629.Photos.232048.jpg")</f>
        <v>Dispatch_Images/KIT--17629.Photos.232048.jpg</v>
      </c>
      <c r="T44" s="95">
        <f>IFERROR(__xludf.DUMMYFUNCTION("""COMPUTED_VALUE"""),46134.76600694445)</f>
        <v>46134.76601</v>
      </c>
      <c r="U44" s="93"/>
      <c r="V44" s="93"/>
      <c r="W44" s="93"/>
      <c r="X44" s="93"/>
      <c r="Y44" s="93"/>
      <c r="Z44" s="93"/>
    </row>
    <row r="45">
      <c r="A45" s="93" t="str">
        <f>IFERROR(__xludf.DUMMYFUNCTION("""COMPUTED_VALUE"""),"KIT-#17650")</f>
        <v>KIT-#17650</v>
      </c>
      <c r="B45" s="94">
        <f>IFERROR(__xludf.DUMMYFUNCTION("""COMPUTED_VALUE"""),46140.0)</f>
        <v>46140</v>
      </c>
      <c r="C45" s="93" t="str">
        <f>IFERROR(__xludf.DUMMYFUNCTION("""COMPUTED_VALUE"""),"Kit Delivery")</f>
        <v>Kit Delivery</v>
      </c>
      <c r="D45" s="93">
        <f>IFERROR(__xludf.DUMMYFUNCTION("""COMPUTED_VALUE"""),2.0)</f>
        <v>2</v>
      </c>
      <c r="E45" s="93" t="str">
        <f>IFERROR(__xludf.DUMMYFUNCTION("""COMPUTED_VALUE"""),"Off-Campus")</f>
        <v>Off-Campus</v>
      </c>
      <c r="F45" s="93"/>
      <c r="G45" s="93" t="str">
        <f>IFERROR(__xludf.DUMMYFUNCTION("""COMPUTED_VALUE"""),"Yi Zheng")</f>
        <v>Yi Zheng</v>
      </c>
      <c r="H45" s="93">
        <f>IFERROR(__xludf.DUMMYFUNCTION("""COMPUTED_VALUE"""),9.497057772E9)</f>
        <v>9497057772</v>
      </c>
      <c r="I45" s="93" t="str">
        <f>IFERROR(__xludf.DUMMYFUNCTION("""COMPUTED_VALUE"""),"9AM-11AM")</f>
        <v>9AM-11AM</v>
      </c>
      <c r="J45" s="93">
        <f>IFERROR(__xludf.DUMMYFUNCTION("""COMPUTED_VALUE"""),1.0)</f>
        <v>1</v>
      </c>
      <c r="K45" s="93" t="str">
        <f>IFERROR(__xludf.DUMMYFUNCTION("""COMPUTED_VALUE"""),"Complete")</f>
        <v>Complete</v>
      </c>
      <c r="L45" s="93" t="str">
        <f>IFERROR(__xludf.DUMMYFUNCTION("""COMPUTED_VALUE"""),"david did 4/23")</f>
        <v>david did 4/23</v>
      </c>
      <c r="M45" s="93"/>
      <c r="N45" s="93">
        <f>IFERROR(__xludf.DUMMYFUNCTION("""COMPUTED_VALUE"""),281.0)</f>
        <v>281</v>
      </c>
      <c r="O45" s="93" t="str">
        <f>IFERROR(__xludf.DUMMYFUNCTION("""COMPUTED_VALUE"""),"6136 Delmar Blvd, Apt 302, Saint Louis, MO  63112")</f>
        <v>6136 Delmar Blvd, Apt 302, Saint Louis, MO  63112</v>
      </c>
      <c r="P45" s="93" t="str">
        <f>IFERROR(__xludf.DUMMYFUNCTION("""COMPUTED_VALUE"""),"Kit Delivery")</f>
        <v>Kit Delivery</v>
      </c>
      <c r="Q45" s="93"/>
      <c r="R45" s="93"/>
      <c r="S45" s="93"/>
      <c r="T45" s="95">
        <f>IFERROR(__xludf.DUMMYFUNCTION("""COMPUTED_VALUE"""),46135.65489583334)</f>
        <v>46135.6549</v>
      </c>
      <c r="U45" s="93"/>
      <c r="V45" s="93"/>
      <c r="W45" s="93"/>
      <c r="X45" s="93"/>
      <c r="Y45" s="93"/>
      <c r="Z45" s="93"/>
    </row>
    <row r="46">
      <c r="A46" s="93" t="str">
        <f>IFERROR(__xludf.DUMMYFUNCTION("""COMPUTED_VALUE"""),"KIT-#17258")</f>
        <v>KIT-#17258</v>
      </c>
      <c r="B46" s="94">
        <f>IFERROR(__xludf.DUMMYFUNCTION("""COMPUTED_VALUE"""),46141.0)</f>
        <v>46141</v>
      </c>
      <c r="C46" s="93" t="str">
        <f>IFERROR(__xludf.DUMMYFUNCTION("""COMPUTED_VALUE"""),"Kit Delivery")</f>
        <v>Kit Delivery</v>
      </c>
      <c r="D46" s="93">
        <f>IFERROR(__xludf.DUMMYFUNCTION("""COMPUTED_VALUE"""),1.0)</f>
        <v>1</v>
      </c>
      <c r="E46" s="93" t="str">
        <f>IFERROR(__xludf.DUMMYFUNCTION("""COMPUTED_VALUE"""),"Danforth")</f>
        <v>Danforth</v>
      </c>
      <c r="F46" s="93">
        <f>IFERROR(__xludf.DUMMYFUNCTION("""COMPUTED_VALUE"""),4430.0)</f>
        <v>4430</v>
      </c>
      <c r="G46" s="93" t="str">
        <f>IFERROR(__xludf.DUMMYFUNCTION("""COMPUTED_VALUE"""),"Levi Cutler")</f>
        <v>Levi Cutler</v>
      </c>
      <c r="H46" s="93">
        <f>IFERROR(__xludf.DUMMYFUNCTION("""COMPUTED_VALUE"""),3.234014182E9)</f>
        <v>3234014182</v>
      </c>
      <c r="I46" s="93" t="str">
        <f>IFERROR(__xludf.DUMMYFUNCTION("""COMPUTED_VALUE"""),"9AM-11AM")</f>
        <v>9AM-11AM</v>
      </c>
      <c r="J46" s="93">
        <f>IFERROR(__xludf.DUMMYFUNCTION("""COMPUTED_VALUE"""),2.0)</f>
        <v>2</v>
      </c>
      <c r="K46" s="93" t="str">
        <f>IFERROR(__xludf.DUMMYFUNCTION("""COMPUTED_VALUE"""),"Complete")</f>
        <v>Complete</v>
      </c>
      <c r="L46" s="93"/>
      <c r="M46" s="94">
        <f>IFERROR(__xludf.DUMMYFUNCTION("""COMPUTED_VALUE"""),46123.58806712963)</f>
        <v>46123.58807</v>
      </c>
      <c r="N46" s="93">
        <f>IFERROR(__xludf.DUMMYFUNCTION("""COMPUTED_VALUE"""),42.0)</f>
        <v>42</v>
      </c>
      <c r="O46" s="93"/>
      <c r="P46" s="93" t="str">
        <f>IFERROR(__xludf.DUMMYFUNCTION("""COMPUTED_VALUE"""),"Kit Delivery")</f>
        <v>Kit Delivery</v>
      </c>
      <c r="Q46" s="93"/>
      <c r="R46" s="93"/>
      <c r="S46" s="95">
        <f>IFERROR(__xludf.DUMMYFUNCTION("""COMPUTED_VALUE"""),46123.61150462963)</f>
        <v>46123.6115</v>
      </c>
      <c r="T46" s="93"/>
      <c r="U46" s="93"/>
      <c r="V46" s="93"/>
      <c r="W46" s="93"/>
      <c r="X46" s="93"/>
      <c r="Y46" s="93"/>
      <c r="Z46" s="93"/>
    </row>
    <row r="47">
      <c r="A47" s="93" t="str">
        <f>IFERROR(__xludf.DUMMYFUNCTION("""COMPUTED_VALUE"""),"KIT-#17272")</f>
        <v>KIT-#17272</v>
      </c>
      <c r="B47" s="94">
        <f>IFERROR(__xludf.DUMMYFUNCTION("""COMPUTED_VALUE"""),46141.0)</f>
        <v>46141</v>
      </c>
      <c r="C47" s="93" t="str">
        <f>IFERROR(__xludf.DUMMYFUNCTION("""COMPUTED_VALUE"""),"Kit Delivery")</f>
        <v>Kit Delivery</v>
      </c>
      <c r="D47" s="93">
        <f>IFERROR(__xludf.DUMMYFUNCTION("""COMPUTED_VALUE"""),1.0)</f>
        <v>1</v>
      </c>
      <c r="E47" s="93" t="str">
        <f>IFERROR(__xludf.DUMMYFUNCTION("""COMPUTED_VALUE"""),"Hurd")</f>
        <v>Hurd</v>
      </c>
      <c r="F47" s="93">
        <f>IFERROR(__xludf.DUMMYFUNCTION("""COMPUTED_VALUE"""),312.0)</f>
        <v>312</v>
      </c>
      <c r="G47" s="93" t="str">
        <f>IFERROR(__xludf.DUMMYFUNCTION("""COMPUTED_VALUE"""),"Nancy Bai")</f>
        <v>Nancy Bai</v>
      </c>
      <c r="H47" s="93">
        <f>IFERROR(__xludf.DUMMYFUNCTION("""COMPUTED_VALUE"""),5.572289736E9)</f>
        <v>5572289736</v>
      </c>
      <c r="I47" s="93" t="str">
        <f>IFERROR(__xludf.DUMMYFUNCTION("""COMPUTED_VALUE"""),"2PM-4PM")</f>
        <v>2PM-4PM</v>
      </c>
      <c r="J47" s="93">
        <f>IFERROR(__xludf.DUMMYFUNCTION("""COMPUTED_VALUE"""),2.0)</f>
        <v>2</v>
      </c>
      <c r="K47" s="93" t="str">
        <f>IFERROR(__xludf.DUMMYFUNCTION("""COMPUTED_VALUE"""),"Complete")</f>
        <v>Complete</v>
      </c>
      <c r="L47" s="93"/>
      <c r="M47" s="94">
        <f>IFERROR(__xludf.DUMMYFUNCTION("""COMPUTED_VALUE"""),46123.69918981481)</f>
        <v>46123.69919</v>
      </c>
      <c r="N47" s="93">
        <f>IFERROR(__xludf.DUMMYFUNCTION("""COMPUTED_VALUE"""),6.0)</f>
        <v>6</v>
      </c>
      <c r="O47" s="93"/>
      <c r="P47" s="93" t="str">
        <f>IFERROR(__xludf.DUMMYFUNCTION("""COMPUTED_VALUE"""),"Kit Delivery")</f>
        <v>Kit Delivery</v>
      </c>
      <c r="Q47" s="93"/>
      <c r="R47" s="93"/>
      <c r="S47" s="95">
        <f>IFERROR(__xludf.DUMMYFUNCTION("""COMPUTED_VALUE"""),46123.70133101852)</f>
        <v>46123.70133</v>
      </c>
      <c r="T47" s="93"/>
      <c r="U47" s="93"/>
      <c r="V47" s="93"/>
      <c r="W47" s="93"/>
      <c r="X47" s="93"/>
      <c r="Y47" s="93"/>
      <c r="Z47" s="93"/>
    </row>
    <row r="48">
      <c r="A48" s="93" t="str">
        <f>IFERROR(__xludf.DUMMYFUNCTION("""COMPUTED_VALUE"""),"KIT-#17193")</f>
        <v>KIT-#17193</v>
      </c>
      <c r="B48" s="94">
        <f>IFERROR(__xludf.DUMMYFUNCTION("""COMPUTED_VALUE"""),46141.0)</f>
        <v>46141</v>
      </c>
      <c r="C48" s="93" t="str">
        <f>IFERROR(__xludf.DUMMYFUNCTION("""COMPUTED_VALUE"""),"Kit Delivery")</f>
        <v>Kit Delivery</v>
      </c>
      <c r="D48" s="93">
        <f>IFERROR(__xludf.DUMMYFUNCTION("""COMPUTED_VALUE"""),1.0)</f>
        <v>1</v>
      </c>
      <c r="E48" s="93" t="str">
        <f>IFERROR(__xludf.DUMMYFUNCTION("""COMPUTED_VALUE"""),"Gregg")</f>
        <v>Gregg</v>
      </c>
      <c r="F48" s="93">
        <f>IFERROR(__xludf.DUMMYFUNCTION("""COMPUTED_VALUE"""),3102.0)</f>
        <v>3102</v>
      </c>
      <c r="G48" s="93" t="str">
        <f>IFERROR(__xludf.DUMMYFUNCTION("""COMPUTED_VALUE"""),"Kaila Brooks")</f>
        <v>Kaila Brooks</v>
      </c>
      <c r="H48" s="93">
        <f>IFERROR(__xludf.DUMMYFUNCTION("""COMPUTED_VALUE"""),8.454439805E9)</f>
        <v>8454439805</v>
      </c>
      <c r="I48" s="93" t="str">
        <f>IFERROR(__xludf.DUMMYFUNCTION("""COMPUTED_VALUE"""),"9AM-11AM")</f>
        <v>9AM-11AM</v>
      </c>
      <c r="J48" s="93">
        <f>IFERROR(__xludf.DUMMYFUNCTION("""COMPUTED_VALUE"""),2.0)</f>
        <v>2</v>
      </c>
      <c r="K48" s="93" t="str">
        <f>IFERROR(__xludf.DUMMYFUNCTION("""COMPUTED_VALUE"""),"Complete")</f>
        <v>Complete</v>
      </c>
      <c r="L48" s="93"/>
      <c r="M48" s="94">
        <f>IFERROR(__xludf.DUMMYFUNCTION("""COMPUTED_VALUE"""),46123.824212962965)</f>
        <v>46123.82421</v>
      </c>
      <c r="N48" s="93">
        <f>IFERROR(__xludf.DUMMYFUNCTION("""COMPUTED_VALUE"""),153.0)</f>
        <v>153</v>
      </c>
      <c r="O48" s="93"/>
      <c r="P48" s="93" t="str">
        <f>IFERROR(__xludf.DUMMYFUNCTION("""COMPUTED_VALUE"""),"Kit Delivery")</f>
        <v>Kit Delivery</v>
      </c>
      <c r="Q48" s="93"/>
      <c r="R48" s="93"/>
      <c r="S48" s="95">
        <f>IFERROR(__xludf.DUMMYFUNCTION("""COMPUTED_VALUE"""),46124.4096875)</f>
        <v>46124.40969</v>
      </c>
      <c r="T48" s="93"/>
      <c r="U48" s="93"/>
      <c r="V48" s="93"/>
      <c r="W48" s="93"/>
      <c r="X48" s="93"/>
      <c r="Y48" s="93"/>
      <c r="Z48" s="93"/>
    </row>
    <row r="49">
      <c r="A49" s="93" t="str">
        <f>IFERROR(__xludf.DUMMYFUNCTION("""COMPUTED_VALUE"""),"KIT-#17189")</f>
        <v>KIT-#17189</v>
      </c>
      <c r="B49" s="94">
        <f>IFERROR(__xludf.DUMMYFUNCTION("""COMPUTED_VALUE"""),46141.0)</f>
        <v>46141</v>
      </c>
      <c r="C49" s="93" t="str">
        <f>IFERROR(__xludf.DUMMYFUNCTION("""COMPUTED_VALUE"""),"Kit Delivery")</f>
        <v>Kit Delivery</v>
      </c>
      <c r="D49" s="93">
        <f>IFERROR(__xludf.DUMMYFUNCTION("""COMPUTED_VALUE"""),1.0)</f>
        <v>1</v>
      </c>
      <c r="E49" s="93" t="str">
        <f>IFERROR(__xludf.DUMMYFUNCTION("""COMPUTED_VALUE"""),"Eliot A")</f>
        <v>Eliot A</v>
      </c>
      <c r="F49" s="93">
        <f>IFERROR(__xludf.DUMMYFUNCTION("""COMPUTED_VALUE"""),2131.0)</f>
        <v>2131</v>
      </c>
      <c r="G49" s="93" t="str">
        <f>IFERROR(__xludf.DUMMYFUNCTION("""COMPUTED_VALUE"""),"Portia Francois")</f>
        <v>Portia Francois</v>
      </c>
      <c r="H49" s="93">
        <f>IFERROR(__xludf.DUMMYFUNCTION("""COMPUTED_VALUE"""),5.202381522E9)</f>
        <v>5202381522</v>
      </c>
      <c r="I49" s="93" t="str">
        <f>IFERROR(__xludf.DUMMYFUNCTION("""COMPUTED_VALUE"""),"9AM-11AM")</f>
        <v>9AM-11AM</v>
      </c>
      <c r="J49" s="93">
        <f>IFERROR(__xludf.DUMMYFUNCTION("""COMPUTED_VALUE"""),2.0)</f>
        <v>2</v>
      </c>
      <c r="K49" s="93" t="str">
        <f>IFERROR(__xludf.DUMMYFUNCTION("""COMPUTED_VALUE"""),"Complete")</f>
        <v>Complete</v>
      </c>
      <c r="L49" s="93"/>
      <c r="M49" s="94">
        <f>IFERROR(__xludf.DUMMYFUNCTION("""COMPUTED_VALUE"""),46123.877905092595)</f>
        <v>46123.87791</v>
      </c>
      <c r="N49" s="93">
        <f>IFERROR(__xludf.DUMMYFUNCTION("""COMPUTED_VALUE"""),23.0)</f>
        <v>23</v>
      </c>
      <c r="O49" s="93"/>
      <c r="P49" s="93" t="str">
        <f>IFERROR(__xludf.DUMMYFUNCTION("""COMPUTED_VALUE"""),"Kit Delivery")</f>
        <v>Kit Delivery</v>
      </c>
      <c r="Q49" s="93"/>
      <c r="R49" s="93"/>
      <c r="S49" s="95">
        <f>IFERROR(__xludf.DUMMYFUNCTION("""COMPUTED_VALUE"""),46124.4096875)</f>
        <v>46124.40969</v>
      </c>
      <c r="T49" s="93"/>
      <c r="U49" s="93"/>
      <c r="V49" s="93"/>
      <c r="W49" s="93"/>
      <c r="X49" s="93"/>
      <c r="Y49" s="93"/>
      <c r="Z49" s="93"/>
    </row>
    <row r="50">
      <c r="A50" s="93" t="str">
        <f>IFERROR(__xludf.DUMMYFUNCTION("""COMPUTED_VALUE"""),"KIT-#17383")</f>
        <v>KIT-#17383</v>
      </c>
      <c r="B50" s="94">
        <f>IFERROR(__xludf.DUMMYFUNCTION("""COMPUTED_VALUE"""),46141.0)</f>
        <v>46141</v>
      </c>
      <c r="C50" s="93" t="str">
        <f>IFERROR(__xludf.DUMMYFUNCTION("""COMPUTED_VALUE"""),"Kit Delivery")</f>
        <v>Kit Delivery</v>
      </c>
      <c r="D50" s="93">
        <f>IFERROR(__xludf.DUMMYFUNCTION("""COMPUTED_VALUE"""),1.0)</f>
        <v>1</v>
      </c>
      <c r="E50" s="93" t="str">
        <f>IFERROR(__xludf.DUMMYFUNCTION("""COMPUTED_VALUE"""),"Lopata")</f>
        <v>Lopata</v>
      </c>
      <c r="F50" s="93" t="str">
        <f>IFERROR(__xludf.DUMMYFUNCTION("""COMPUTED_VALUE"""),"Suite3050RoomA")</f>
        <v>Suite3050RoomA</v>
      </c>
      <c r="G50" s="93" t="str">
        <f>IFERROR(__xludf.DUMMYFUNCTION("""COMPUTED_VALUE"""),"Paisley Flamenbaum")</f>
        <v>Paisley Flamenbaum</v>
      </c>
      <c r="H50" s="93">
        <f>IFERROR(__xludf.DUMMYFUNCTION("""COMPUTED_VALUE"""),9.145259746E9)</f>
        <v>9145259746</v>
      </c>
      <c r="I50" s="93" t="str">
        <f>IFERROR(__xludf.DUMMYFUNCTION("""COMPUTED_VALUE"""),"9AM-11AM")</f>
        <v>9AM-11AM</v>
      </c>
      <c r="J50" s="93">
        <f>IFERROR(__xludf.DUMMYFUNCTION("""COMPUTED_VALUE"""),1.0)</f>
        <v>1</v>
      </c>
      <c r="K50" s="93" t="str">
        <f>IFERROR(__xludf.DUMMYFUNCTION("""COMPUTED_VALUE"""),"Complete")</f>
        <v>Complete</v>
      </c>
      <c r="L50" s="93"/>
      <c r="M50" s="94">
        <f>IFERROR(__xludf.DUMMYFUNCTION("""COMPUTED_VALUE"""),46123.95502314815)</f>
        <v>46123.95502</v>
      </c>
      <c r="N50" s="93">
        <f>IFERROR(__xludf.DUMMYFUNCTION("""COMPUTED_VALUE"""),173.0)</f>
        <v>173</v>
      </c>
      <c r="O50" s="93"/>
      <c r="P50" s="93" t="str">
        <f>IFERROR(__xludf.DUMMYFUNCTION("""COMPUTED_VALUE"""),"Kit Delivery")</f>
        <v>Kit Delivery</v>
      </c>
      <c r="Q50" s="93"/>
      <c r="R50" s="93"/>
      <c r="S50" s="95">
        <f>IFERROR(__xludf.DUMMYFUNCTION("""COMPUTED_VALUE"""),46124.4096875)</f>
        <v>46124.40969</v>
      </c>
      <c r="T50" s="93"/>
      <c r="U50" s="93"/>
      <c r="V50" s="93"/>
      <c r="W50" s="93"/>
      <c r="X50" s="93"/>
      <c r="Y50" s="93"/>
      <c r="Z50" s="93"/>
    </row>
    <row r="51">
      <c r="A51" s="93" t="str">
        <f>IFERROR(__xludf.DUMMYFUNCTION("""COMPUTED_VALUE"""),"KIT-#17454")</f>
        <v>KIT-#17454</v>
      </c>
      <c r="B51" s="94">
        <f>IFERROR(__xludf.DUMMYFUNCTION("""COMPUTED_VALUE"""),46141.0)</f>
        <v>46141</v>
      </c>
      <c r="C51" s="93" t="str">
        <f>IFERROR(__xludf.DUMMYFUNCTION("""COMPUTED_VALUE"""),"Kit Delivery")</f>
        <v>Kit Delivery</v>
      </c>
      <c r="D51" s="93">
        <f>IFERROR(__xludf.DUMMYFUNCTION("""COMPUTED_VALUE"""),1.0)</f>
        <v>1</v>
      </c>
      <c r="E51" s="93" t="str">
        <f>IFERROR(__xludf.DUMMYFUNCTION("""COMPUTED_VALUE"""),"Dardick")</f>
        <v>Dardick</v>
      </c>
      <c r="F51" s="93">
        <f>IFERROR(__xludf.DUMMYFUNCTION("""COMPUTED_VALUE"""),3305.0)</f>
        <v>3305</v>
      </c>
      <c r="G51" s="93" t="str">
        <f>IFERROR(__xludf.DUMMYFUNCTION("""COMPUTED_VALUE"""),"Olivia Petlak")</f>
        <v>Olivia Petlak</v>
      </c>
      <c r="H51" s="93">
        <f>IFERROR(__xludf.DUMMYFUNCTION("""COMPUTED_VALUE"""),4.24303052E9)</f>
        <v>4243030520</v>
      </c>
      <c r="I51" s="93" t="str">
        <f>IFERROR(__xludf.DUMMYFUNCTION("""COMPUTED_VALUE"""),"3PM-5PM")</f>
        <v>3PM-5PM</v>
      </c>
      <c r="J51" s="93">
        <f>IFERROR(__xludf.DUMMYFUNCTION("""COMPUTED_VALUE"""),1.0)</f>
        <v>1</v>
      </c>
      <c r="K51" s="93" t="str">
        <f>IFERROR(__xludf.DUMMYFUNCTION("""COMPUTED_VALUE"""),"Complete")</f>
        <v>Complete</v>
      </c>
      <c r="L51" s="93"/>
      <c r="M51" s="94">
        <f>IFERROR(__xludf.DUMMYFUNCTION("""COMPUTED_VALUE"""),46130.390798611115)</f>
        <v>46130.3908</v>
      </c>
      <c r="N51" s="93">
        <f>IFERROR(__xludf.DUMMYFUNCTION("""COMPUTED_VALUE"""),123.0)</f>
        <v>123</v>
      </c>
      <c r="O51" s="93"/>
      <c r="P51" s="93" t="str">
        <f>IFERROR(__xludf.DUMMYFUNCTION("""COMPUTED_VALUE"""),"Kit Delivery")</f>
        <v>Kit Delivery</v>
      </c>
      <c r="Q51" s="93"/>
      <c r="R51" s="93"/>
      <c r="S51" s="93" t="str">
        <f>IFERROR(__xludf.DUMMYFUNCTION("""COMPUTED_VALUE"""),"Dispatch_Images/KIT--17454.Photos.142242.jpg")</f>
        <v>Dispatch_Images/KIT--17454.Photos.142242.jpg</v>
      </c>
      <c r="T51" s="95">
        <f>IFERROR(__xludf.DUMMYFUNCTION("""COMPUTED_VALUE"""),46130.39099537037)</f>
        <v>46130.391</v>
      </c>
      <c r="U51" s="93"/>
      <c r="V51" s="93"/>
      <c r="W51" s="93"/>
      <c r="X51" s="93"/>
      <c r="Y51" s="93"/>
      <c r="Z51" s="93"/>
    </row>
    <row r="52">
      <c r="A52" s="93" t="str">
        <f>IFERROR(__xludf.DUMMYFUNCTION("""COMPUTED_VALUE"""),"KIT-#17471")</f>
        <v>KIT-#17471</v>
      </c>
      <c r="B52" s="94">
        <f>IFERROR(__xludf.DUMMYFUNCTION("""COMPUTED_VALUE"""),46141.0)</f>
        <v>46141</v>
      </c>
      <c r="C52" s="93" t="str">
        <f>IFERROR(__xludf.DUMMYFUNCTION("""COMPUTED_VALUE"""),"Kit Delivery")</f>
        <v>Kit Delivery</v>
      </c>
      <c r="D52" s="93">
        <f>IFERROR(__xludf.DUMMYFUNCTION("""COMPUTED_VALUE"""),2.0)</f>
        <v>2</v>
      </c>
      <c r="E52" s="93" t="str">
        <f>IFERROR(__xludf.DUMMYFUNCTION("""COMPUTED_VALUE"""),"Park")</f>
        <v>Park</v>
      </c>
      <c r="F52" s="93">
        <f>IFERROR(__xludf.DUMMYFUNCTION("""COMPUTED_VALUE"""),162.0)</f>
        <v>162</v>
      </c>
      <c r="G52" s="93" t="str">
        <f>IFERROR(__xludf.DUMMYFUNCTION("""COMPUTED_VALUE"""),"Casey Ference*")</f>
        <v>Casey Ference*</v>
      </c>
      <c r="H52" s="93">
        <f>IFERROR(__xludf.DUMMYFUNCTION("""COMPUTED_VALUE"""),9.17414012E9)</f>
        <v>9174140120</v>
      </c>
      <c r="I52" s="93" t="str">
        <f>IFERROR(__xludf.DUMMYFUNCTION("""COMPUTED_VALUE"""),"3PM-5PM")</f>
        <v>3PM-5PM</v>
      </c>
      <c r="J52" s="93">
        <f>IFERROR(__xludf.DUMMYFUNCTION("""COMPUTED_VALUE"""),1.0)</f>
        <v>1</v>
      </c>
      <c r="K52" s="93" t="str">
        <f>IFERROR(__xludf.DUMMYFUNCTION("""COMPUTED_VALUE"""),"Complete")</f>
        <v>Complete</v>
      </c>
      <c r="L52" s="93"/>
      <c r="M52" s="94">
        <f>IFERROR(__xludf.DUMMYFUNCTION("""COMPUTED_VALUE"""),46134.72127314815)</f>
        <v>46134.72127</v>
      </c>
      <c r="N52" s="93">
        <f>IFERROR(__xludf.DUMMYFUNCTION("""COMPUTED_VALUE"""),68.0)</f>
        <v>68</v>
      </c>
      <c r="O52" s="93"/>
      <c r="P52" s="93" t="str">
        <f>IFERROR(__xludf.DUMMYFUNCTION("""COMPUTED_VALUE"""),"Kit Delivery")</f>
        <v>Kit Delivery</v>
      </c>
      <c r="Q52" s="93"/>
      <c r="R52" s="93"/>
      <c r="S52" s="93" t="str">
        <f>IFERROR(__xludf.DUMMYFUNCTION("""COMPUTED_VALUE"""),"Dispatch_Images/KIT--17471.Photos.221834.jpg")</f>
        <v>Dispatch_Images/KIT--17471.Photos.221834.jpg</v>
      </c>
      <c r="T52" s="95">
        <f>IFERROR(__xludf.DUMMYFUNCTION("""COMPUTED_VALUE"""),46134.724340277775)</f>
        <v>46134.72434</v>
      </c>
      <c r="U52" s="93"/>
      <c r="V52" s="93"/>
      <c r="W52" s="93"/>
      <c r="X52" s="93"/>
      <c r="Y52" s="93"/>
      <c r="Z52" s="93"/>
    </row>
    <row r="53">
      <c r="A53" s="93" t="str">
        <f>IFERROR(__xludf.DUMMYFUNCTION("""COMPUTED_VALUE"""),"KIT-#17493")</f>
        <v>KIT-#17493</v>
      </c>
      <c r="B53" s="94">
        <f>IFERROR(__xludf.DUMMYFUNCTION("""COMPUTED_VALUE"""),46141.0)</f>
        <v>46141</v>
      </c>
      <c r="C53" s="93" t="str">
        <f>IFERROR(__xludf.DUMMYFUNCTION("""COMPUTED_VALUE"""),"Kit Delivery")</f>
        <v>Kit Delivery</v>
      </c>
      <c r="D53" s="93">
        <f>IFERROR(__xludf.DUMMYFUNCTION("""COMPUTED_VALUE"""),2.0)</f>
        <v>2</v>
      </c>
      <c r="E53" s="93" t="str">
        <f>IFERROR(__xludf.DUMMYFUNCTION("""COMPUTED_VALUE"""),"Myers")</f>
        <v>Myers</v>
      </c>
      <c r="F53" s="93">
        <f>IFERROR(__xludf.DUMMYFUNCTION("""COMPUTED_VALUE"""),343.0)</f>
        <v>343</v>
      </c>
      <c r="G53" s="93" t="str">
        <f>IFERROR(__xludf.DUMMYFUNCTION("""COMPUTED_VALUE"""),"Max Zeller*")</f>
        <v>Max Zeller*</v>
      </c>
      <c r="H53" s="93">
        <f>IFERROR(__xludf.DUMMYFUNCTION("""COMPUTED_VALUE"""),6.50241876E9)</f>
        <v>6502418760</v>
      </c>
      <c r="I53" s="93" t="str">
        <f>IFERROR(__xludf.DUMMYFUNCTION("""COMPUTED_VALUE"""),"10AM-12PM")</f>
        <v>10AM-12PM</v>
      </c>
      <c r="J53" s="93">
        <f>IFERROR(__xludf.DUMMYFUNCTION("""COMPUTED_VALUE"""),1.0)</f>
        <v>1</v>
      </c>
      <c r="K53" s="93" t="str">
        <f>IFERROR(__xludf.DUMMYFUNCTION("""COMPUTED_VALUE"""),"Complete")</f>
        <v>Complete</v>
      </c>
      <c r="L53" s="93"/>
      <c r="M53" s="94">
        <f>IFERROR(__xludf.DUMMYFUNCTION("""COMPUTED_VALUE"""),46134.75255787037)</f>
        <v>46134.75256</v>
      </c>
      <c r="N53" s="93">
        <f>IFERROR(__xludf.DUMMYFUNCTION("""COMPUTED_VALUE"""),25.0)</f>
        <v>25</v>
      </c>
      <c r="O53" s="93" t="str">
        <f>IFERROR(__xludf.DUMMYFUNCTION("""COMPUTED_VALUE"""),"4137 Donald Dr
Palo Alto, CA 94306")</f>
        <v>4137 Donald Dr
Palo Alto, CA 94306</v>
      </c>
      <c r="P53" s="93" t="str">
        <f>IFERROR(__xludf.DUMMYFUNCTION("""COMPUTED_VALUE"""),"Kit Delivery")</f>
        <v>Kit Delivery</v>
      </c>
      <c r="Q53" s="93" t="str">
        <f>IFERROR(__xludf.DUMMYFUNCTION("""COMPUTED_VALUE"""),"Student phone number: 650-441-2955")</f>
        <v>Student phone number: 650-441-2955</v>
      </c>
      <c r="R53" s="93"/>
      <c r="S53" s="93" t="str">
        <f>IFERROR(__xludf.DUMMYFUNCTION("""COMPUTED_VALUE"""),"Dispatch_Images/KIT--17493.Photos.230338.jpg")</f>
        <v>Dispatch_Images/KIT--17493.Photos.230338.jpg</v>
      </c>
      <c r="T53" s="95">
        <f>IFERROR(__xludf.DUMMYFUNCTION("""COMPUTED_VALUE"""),46134.75907407407)</f>
        <v>46134.75907</v>
      </c>
      <c r="U53" s="93"/>
      <c r="V53" s="93"/>
      <c r="W53" s="93"/>
      <c r="X53" s="93"/>
      <c r="Y53" s="93"/>
      <c r="Z53" s="93"/>
    </row>
    <row r="54">
      <c r="A54" s="93" t="str">
        <f>IFERROR(__xludf.DUMMYFUNCTION("""COMPUTED_VALUE"""),"KIT-#17606")</f>
        <v>KIT-#17606</v>
      </c>
      <c r="B54" s="94">
        <f>IFERROR(__xludf.DUMMYFUNCTION("""COMPUTED_VALUE"""),46141.0)</f>
        <v>46141</v>
      </c>
      <c r="C54" s="93" t="str">
        <f>IFERROR(__xludf.DUMMYFUNCTION("""COMPUTED_VALUE"""),"Kit Delivery")</f>
        <v>Kit Delivery</v>
      </c>
      <c r="D54" s="93">
        <f>IFERROR(__xludf.DUMMYFUNCTION("""COMPUTED_VALUE"""),2.0)</f>
        <v>2</v>
      </c>
      <c r="E54" s="93" t="str">
        <f>IFERROR(__xludf.DUMMYFUNCTION("""COMPUTED_VALUE"""),"Lien")</f>
        <v>Lien</v>
      </c>
      <c r="F54" s="93">
        <f>IFERROR(__xludf.DUMMYFUNCTION("""COMPUTED_VALUE"""),1117.0)</f>
        <v>1117</v>
      </c>
      <c r="G54" s="93" t="str">
        <f>IFERROR(__xludf.DUMMYFUNCTION("""COMPUTED_VALUE"""),"Ella Zhu")</f>
        <v>Ella Zhu</v>
      </c>
      <c r="H54" s="93">
        <f>IFERROR(__xludf.DUMMYFUNCTION("""COMPUTED_VALUE"""),2.038181729E9)</f>
        <v>2038181729</v>
      </c>
      <c r="I54" s="93" t="str">
        <f>IFERROR(__xludf.DUMMYFUNCTION("""COMPUTED_VALUE"""),"9AM-11AM")</f>
        <v>9AM-11AM</v>
      </c>
      <c r="J54" s="93">
        <f>IFERROR(__xludf.DUMMYFUNCTION("""COMPUTED_VALUE"""),1.0)</f>
        <v>1</v>
      </c>
      <c r="K54" s="93" t="str">
        <f>IFERROR(__xludf.DUMMYFUNCTION("""COMPUTED_VALUE"""),"Complete")</f>
        <v>Complete</v>
      </c>
      <c r="L54" s="93"/>
      <c r="M54" s="94">
        <f>IFERROR(__xludf.DUMMYFUNCTION("""COMPUTED_VALUE"""),46136.57098379629)</f>
        <v>46136.57098</v>
      </c>
      <c r="N54" s="93">
        <f>IFERROR(__xludf.DUMMYFUNCTION("""COMPUTED_VALUE"""),165.0)</f>
        <v>165</v>
      </c>
      <c r="O54" s="93"/>
      <c r="P54" s="93" t="str">
        <f>IFERROR(__xludf.DUMMYFUNCTION("""COMPUTED_VALUE"""),"Kit Delivery")</f>
        <v>Kit Delivery</v>
      </c>
      <c r="Q54" s="93"/>
      <c r="R54" s="93"/>
      <c r="S54" s="93" t="str">
        <f>IFERROR(__xludf.DUMMYFUNCTION("""COMPUTED_VALUE"""),"Dispatch_Images/KIT--17606.Photos.184209.jpg")</f>
        <v>Dispatch_Images/KIT--17606.Photos.184209.jpg</v>
      </c>
      <c r="T54" s="95">
        <f>IFERROR(__xludf.DUMMYFUNCTION("""COMPUTED_VALUE"""),46136.57157407407)</f>
        <v>46136.57157</v>
      </c>
      <c r="U54" s="93"/>
      <c r="V54" s="93"/>
      <c r="W54" s="93"/>
      <c r="X54" s="93"/>
      <c r="Y54" s="93"/>
      <c r="Z54" s="93"/>
    </row>
    <row r="55">
      <c r="A55" s="93" t="str">
        <f>IFERROR(__xludf.DUMMYFUNCTION("""COMPUTED_VALUE"""),"KIT-#17820")</f>
        <v>KIT-#17820</v>
      </c>
      <c r="B55" s="94">
        <f>IFERROR(__xludf.DUMMYFUNCTION("""COMPUTED_VALUE"""),46141.0)</f>
        <v>46141</v>
      </c>
      <c r="C55" s="93" t="str">
        <f>IFERROR(__xludf.DUMMYFUNCTION("""COMPUTED_VALUE"""),"Kit Delivery")</f>
        <v>Kit Delivery</v>
      </c>
      <c r="D55" s="93">
        <f>IFERROR(__xludf.DUMMYFUNCTION("""COMPUTED_VALUE"""),3.0)</f>
        <v>3</v>
      </c>
      <c r="E55" s="93" t="str">
        <f>IFERROR(__xludf.DUMMYFUNCTION("""COMPUTED_VALUE"""),"Koenig")</f>
        <v>Koenig</v>
      </c>
      <c r="F55" s="93">
        <f>IFERROR(__xludf.DUMMYFUNCTION("""COMPUTED_VALUE"""),1112.0)</f>
        <v>1112</v>
      </c>
      <c r="G55" s="93" t="str">
        <f>IFERROR(__xludf.DUMMYFUNCTION("""COMPUTED_VALUE"""),"Ethan Talapatra")</f>
        <v>Ethan Talapatra</v>
      </c>
      <c r="H55" s="93">
        <f>IFERROR(__xludf.DUMMYFUNCTION("""COMPUTED_VALUE"""),2.022954621E9)</f>
        <v>2022954621</v>
      </c>
      <c r="I55" s="93" t="str">
        <f>IFERROR(__xludf.DUMMYFUNCTION("""COMPUTED_VALUE"""),"3PM-5PM")</f>
        <v>3PM-5PM</v>
      </c>
      <c r="J55" s="93">
        <f>IFERROR(__xludf.DUMMYFUNCTION("""COMPUTED_VALUE"""),1.0)</f>
        <v>1</v>
      </c>
      <c r="K55" s="93" t="str">
        <f>IFERROR(__xludf.DUMMYFUNCTION("""COMPUTED_VALUE"""),"Complete")</f>
        <v>Complete</v>
      </c>
      <c r="L55" s="93"/>
      <c r="M55" s="94">
        <f>IFERROR(__xludf.DUMMYFUNCTION("""COMPUTED_VALUE"""),46139.706562499996)</f>
        <v>46139.70656</v>
      </c>
      <c r="N55" s="93">
        <f>IFERROR(__xludf.DUMMYFUNCTION("""COMPUTED_VALUE"""),31.0)</f>
        <v>31</v>
      </c>
      <c r="O55" s="93"/>
      <c r="P55" s="93" t="str">
        <f>IFERROR(__xludf.DUMMYFUNCTION("""COMPUTED_VALUE"""),"Kit Delivery")</f>
        <v>Kit Delivery</v>
      </c>
      <c r="Q55" s="93"/>
      <c r="R55" s="93"/>
      <c r="S55" s="93" t="str">
        <f>IFERROR(__xludf.DUMMYFUNCTION("""COMPUTED_VALUE"""),"Dispatch_Images/KIT--17820.Photos.215723.jpg")</f>
        <v>Dispatch_Images/KIT--17820.Photos.215723.jpg</v>
      </c>
      <c r="T55" s="95">
        <f>IFERROR(__xludf.DUMMYFUNCTION("""COMPUTED_VALUE"""),46139.71046296296)</f>
        <v>46139.71046</v>
      </c>
      <c r="U55" s="93"/>
      <c r="V55" s="93"/>
      <c r="W55" s="93"/>
      <c r="X55" s="93"/>
      <c r="Y55" s="93"/>
      <c r="Z55" s="93"/>
    </row>
    <row r="56">
      <c r="A56" s="93" t="str">
        <f>IFERROR(__xludf.DUMMYFUNCTION("""COMPUTED_VALUE"""),"KIT-#17097")</f>
        <v>KIT-#17097</v>
      </c>
      <c r="B56" s="94">
        <f>IFERROR(__xludf.DUMMYFUNCTION("""COMPUTED_VALUE"""),46142.0)</f>
        <v>46142</v>
      </c>
      <c r="C56" s="93" t="str">
        <f>IFERROR(__xludf.DUMMYFUNCTION("""COMPUTED_VALUE"""),"Kit Delivery")</f>
        <v>Kit Delivery</v>
      </c>
      <c r="D56" s="93">
        <f>IFERROR(__xludf.DUMMYFUNCTION("""COMPUTED_VALUE"""),1.0)</f>
        <v>1</v>
      </c>
      <c r="E56" s="93" t="str">
        <f>IFERROR(__xludf.DUMMYFUNCTION("""COMPUTED_VALUE"""),"Park")</f>
        <v>Park</v>
      </c>
      <c r="F56" s="93">
        <f>IFERROR(__xludf.DUMMYFUNCTION("""COMPUTED_VALUE"""),370.0)</f>
        <v>370</v>
      </c>
      <c r="G56" s="93" t="str">
        <f>IFERROR(__xludf.DUMMYFUNCTION("""COMPUTED_VALUE"""),"Sydney Caplan")</f>
        <v>Sydney Caplan</v>
      </c>
      <c r="H56" s="93">
        <f>IFERROR(__xludf.DUMMYFUNCTION("""COMPUTED_VALUE"""),9.84960909E9)</f>
        <v>9849609090</v>
      </c>
      <c r="I56" s="93" t="str">
        <f>IFERROR(__xludf.DUMMYFUNCTION("""COMPUTED_VALUE"""),"11AM-1PM")</f>
        <v>11AM-1PM</v>
      </c>
      <c r="J56" s="93">
        <f>IFERROR(__xludf.DUMMYFUNCTION("""COMPUTED_VALUE"""),1.0)</f>
        <v>1</v>
      </c>
      <c r="K56" s="93" t="str">
        <f>IFERROR(__xludf.DUMMYFUNCTION("""COMPUTED_VALUE"""),"Complete")</f>
        <v>Complete</v>
      </c>
      <c r="L56" s="93"/>
      <c r="M56" s="94">
        <f>IFERROR(__xludf.DUMMYFUNCTION("""COMPUTED_VALUE"""),46123.610543981486)</f>
        <v>46123.61054</v>
      </c>
      <c r="N56" s="93">
        <f>IFERROR(__xludf.DUMMYFUNCTION("""COMPUTED_VALUE"""),48.0)</f>
        <v>48</v>
      </c>
      <c r="O56" s="93"/>
      <c r="P56" s="93" t="str">
        <f>IFERROR(__xludf.DUMMYFUNCTION("""COMPUTED_VALUE"""),"Kit Delivery")</f>
        <v>Kit Delivery</v>
      </c>
      <c r="Q56" s="93"/>
      <c r="R56" s="93"/>
      <c r="S56" s="95">
        <f>IFERROR(__xludf.DUMMYFUNCTION("""COMPUTED_VALUE"""),46123.61150462963)</f>
        <v>46123.6115</v>
      </c>
      <c r="T56" s="93"/>
      <c r="U56" s="93"/>
      <c r="V56" s="93"/>
      <c r="W56" s="93"/>
      <c r="X56" s="93"/>
      <c r="Y56" s="93"/>
      <c r="Z56" s="93"/>
    </row>
    <row r="57">
      <c r="A57" s="93" t="str">
        <f>IFERROR(__xludf.DUMMYFUNCTION("""COMPUTED_VALUE"""),"KIT-#17280")</f>
        <v>KIT-#17280</v>
      </c>
      <c r="B57" s="94">
        <f>IFERROR(__xludf.DUMMYFUNCTION("""COMPUTED_VALUE"""),46142.0)</f>
        <v>46142</v>
      </c>
      <c r="C57" s="93" t="str">
        <f>IFERROR(__xludf.DUMMYFUNCTION("""COMPUTED_VALUE"""),"Kit Delivery")</f>
        <v>Kit Delivery</v>
      </c>
      <c r="D57" s="93">
        <f>IFERROR(__xludf.DUMMYFUNCTION("""COMPUTED_VALUE"""),1.0)</f>
        <v>1</v>
      </c>
      <c r="E57" s="93" t="str">
        <f>IFERROR(__xludf.DUMMYFUNCTION("""COMPUTED_VALUE"""),"Mudd")</f>
        <v>Mudd</v>
      </c>
      <c r="F57" s="93">
        <f>IFERROR(__xludf.DUMMYFUNCTION("""COMPUTED_VALUE"""),161.0)</f>
        <v>161</v>
      </c>
      <c r="G57" s="93" t="str">
        <f>IFERROR(__xludf.DUMMYFUNCTION("""COMPUTED_VALUE"""),"Alexander Wetzler")</f>
        <v>Alexander Wetzler</v>
      </c>
      <c r="H57" s="93">
        <f>IFERROR(__xludf.DUMMYFUNCTION("""COMPUTED_VALUE"""),9.175093592E9)</f>
        <v>9175093592</v>
      </c>
      <c r="I57" s="93" t="str">
        <f>IFERROR(__xludf.DUMMYFUNCTION("""COMPUTED_VALUE"""),"9AM-11AM")</f>
        <v>9AM-11AM</v>
      </c>
      <c r="J57" s="93">
        <f>IFERROR(__xludf.DUMMYFUNCTION("""COMPUTED_VALUE"""),1.0)</f>
        <v>1</v>
      </c>
      <c r="K57" s="93" t="str">
        <f>IFERROR(__xludf.DUMMYFUNCTION("""COMPUTED_VALUE"""),"Complete")</f>
        <v>Complete</v>
      </c>
      <c r="L57" s="93"/>
      <c r="M57" s="94">
        <f>IFERROR(__xludf.DUMMYFUNCTION("""COMPUTED_VALUE"""),46123.939421296294)</f>
        <v>46123.93942</v>
      </c>
      <c r="N57" s="93">
        <f>IFERROR(__xludf.DUMMYFUNCTION("""COMPUTED_VALUE"""),54.0)</f>
        <v>54</v>
      </c>
      <c r="O57" s="93"/>
      <c r="P57" s="93" t="str">
        <f>IFERROR(__xludf.DUMMYFUNCTION("""COMPUTED_VALUE"""),"Kit Delivery")</f>
        <v>Kit Delivery</v>
      </c>
      <c r="Q57" s="93"/>
      <c r="R57" s="93"/>
      <c r="S57" s="95">
        <f>IFERROR(__xludf.DUMMYFUNCTION("""COMPUTED_VALUE"""),46124.4096875)</f>
        <v>46124.40969</v>
      </c>
      <c r="T57" s="93"/>
      <c r="U57" s="93"/>
      <c r="V57" s="93"/>
      <c r="W57" s="93"/>
      <c r="X57" s="93"/>
      <c r="Y57" s="93"/>
      <c r="Z57" s="93"/>
    </row>
    <row r="58">
      <c r="A58" s="93" t="str">
        <f>IFERROR(__xludf.DUMMYFUNCTION("""COMPUTED_VALUE"""),"KIT-#17155")</f>
        <v>KIT-#17155</v>
      </c>
      <c r="B58" s="94">
        <f>IFERROR(__xludf.DUMMYFUNCTION("""COMPUTED_VALUE"""),46142.0)</f>
        <v>46142</v>
      </c>
      <c r="C58" s="93" t="str">
        <f>IFERROR(__xludf.DUMMYFUNCTION("""COMPUTED_VALUE"""),"Kit Delivery")</f>
        <v>Kit Delivery</v>
      </c>
      <c r="D58" s="93">
        <f>IFERROR(__xludf.DUMMYFUNCTION("""COMPUTED_VALUE"""),1.0)</f>
        <v>1</v>
      </c>
      <c r="E58" s="93" t="str">
        <f>IFERROR(__xludf.DUMMYFUNCTION("""COMPUTED_VALUE"""),"Dardick")</f>
        <v>Dardick</v>
      </c>
      <c r="F58" s="93">
        <f>IFERROR(__xludf.DUMMYFUNCTION("""COMPUTED_VALUE"""),4404.0)</f>
        <v>4404</v>
      </c>
      <c r="G58" s="93" t="str">
        <f>IFERROR(__xludf.DUMMYFUNCTION("""COMPUTED_VALUE"""),"Robin Hong")</f>
        <v>Robin Hong</v>
      </c>
      <c r="H58" s="93">
        <f>IFERROR(__xludf.DUMMYFUNCTION("""COMPUTED_VALUE"""),6.787799677E9)</f>
        <v>6787799677</v>
      </c>
      <c r="I58" s="93" t="str">
        <f>IFERROR(__xludf.DUMMYFUNCTION("""COMPUTED_VALUE"""),"1PM-3PM")</f>
        <v>1PM-3PM</v>
      </c>
      <c r="J58" s="93">
        <f>IFERROR(__xludf.DUMMYFUNCTION("""COMPUTED_VALUE"""),1.0)</f>
        <v>1</v>
      </c>
      <c r="K58" s="93" t="str">
        <f>IFERROR(__xludf.DUMMYFUNCTION("""COMPUTED_VALUE"""),"Complete")</f>
        <v>Complete</v>
      </c>
      <c r="L58" s="93"/>
      <c r="M58" s="94">
        <f>IFERROR(__xludf.DUMMYFUNCTION("""COMPUTED_VALUE"""),46124.03255787037)</f>
        <v>46124.03256</v>
      </c>
      <c r="N58" s="93">
        <f>IFERROR(__xludf.DUMMYFUNCTION("""COMPUTED_VALUE"""),101.0)</f>
        <v>101</v>
      </c>
      <c r="O58" s="93"/>
      <c r="P58" s="93" t="str">
        <f>IFERROR(__xludf.DUMMYFUNCTION("""COMPUTED_VALUE"""),"Kit Delivery")</f>
        <v>Kit Delivery</v>
      </c>
      <c r="Q58" s="93"/>
      <c r="R58" s="93"/>
      <c r="S58" s="95">
        <f>IFERROR(__xludf.DUMMYFUNCTION("""COMPUTED_VALUE"""),46124.4096875)</f>
        <v>46124.40969</v>
      </c>
      <c r="T58" s="93"/>
      <c r="U58" s="93"/>
      <c r="V58" s="93"/>
      <c r="W58" s="93"/>
      <c r="X58" s="93"/>
      <c r="Y58" s="93"/>
      <c r="Z58" s="93"/>
    </row>
    <row r="59">
      <c r="A59" s="93" t="str">
        <f>IFERROR(__xludf.DUMMYFUNCTION("""COMPUTED_VALUE"""),"KIT-#17522")</f>
        <v>KIT-#17522</v>
      </c>
      <c r="B59" s="94">
        <f>IFERROR(__xludf.DUMMYFUNCTION("""COMPUTED_VALUE"""),46142.0)</f>
        <v>46142</v>
      </c>
      <c r="C59" s="93" t="str">
        <f>IFERROR(__xludf.DUMMYFUNCTION("""COMPUTED_VALUE"""),"Kit Delivery")</f>
        <v>Kit Delivery</v>
      </c>
      <c r="D59" s="93">
        <f>IFERROR(__xludf.DUMMYFUNCTION("""COMPUTED_VALUE"""),2.0)</f>
        <v>2</v>
      </c>
      <c r="E59" s="93" t="str">
        <f>IFERROR(__xludf.DUMMYFUNCTION("""COMPUTED_VALUE"""),"Shanedling")</f>
        <v>Shanedling</v>
      </c>
      <c r="F59" s="93">
        <f>IFERROR(__xludf.DUMMYFUNCTION("""COMPUTED_VALUE"""),333.0)</f>
        <v>333</v>
      </c>
      <c r="G59" s="93" t="str">
        <f>IFERROR(__xludf.DUMMYFUNCTION("""COMPUTED_VALUE"""),"Joyce Zhao*")</f>
        <v>Joyce Zhao*</v>
      </c>
      <c r="H59" s="93">
        <f>IFERROR(__xludf.DUMMYFUNCTION("""COMPUTED_VALUE"""),8.402056469E9)</f>
        <v>8402056469</v>
      </c>
      <c r="I59" s="93" t="str">
        <f>IFERROR(__xludf.DUMMYFUNCTION("""COMPUTED_VALUE"""),"3PM-5PM")</f>
        <v>3PM-5PM</v>
      </c>
      <c r="J59" s="93">
        <f>IFERROR(__xludf.DUMMYFUNCTION("""COMPUTED_VALUE"""),1.0)</f>
        <v>1</v>
      </c>
      <c r="K59" s="93" t="str">
        <f>IFERROR(__xludf.DUMMYFUNCTION("""COMPUTED_VALUE"""),"Complete")</f>
        <v>Complete</v>
      </c>
      <c r="L59" s="93"/>
      <c r="M59" s="94">
        <f>IFERROR(__xludf.DUMMYFUNCTION("""COMPUTED_VALUE"""),46134.69553240741)</f>
        <v>46134.69553</v>
      </c>
      <c r="N59" s="93">
        <f>IFERROR(__xludf.DUMMYFUNCTION("""COMPUTED_VALUE"""),133.0)</f>
        <v>133</v>
      </c>
      <c r="O59" s="93"/>
      <c r="P59" s="93" t="str">
        <f>IFERROR(__xludf.DUMMYFUNCTION("""COMPUTED_VALUE"""),"Kit Delivery")</f>
        <v>Kit Delivery</v>
      </c>
      <c r="Q59" s="93"/>
      <c r="R59" s="93"/>
      <c r="S59" s="93" t="str">
        <f>IFERROR(__xludf.DUMMYFUNCTION("""COMPUTED_VALUE"""),"Dispatch_Images/KIT--17522.Photos.214130.jpg")</f>
        <v>Dispatch_Images/KIT--17522.Photos.214130.jpg</v>
      </c>
      <c r="T59" s="95">
        <f>IFERROR(__xludf.DUMMYFUNCTION("""COMPUTED_VALUE"""),46134.6965625)</f>
        <v>46134.69656</v>
      </c>
      <c r="U59" s="93"/>
      <c r="V59" s="93"/>
      <c r="W59" s="93"/>
      <c r="X59" s="93"/>
      <c r="Y59" s="93"/>
      <c r="Z59" s="93"/>
    </row>
    <row r="60">
      <c r="A60" s="93" t="str">
        <f>IFERROR(__xludf.DUMMYFUNCTION("""COMPUTED_VALUE"""),"KIT-#17502")</f>
        <v>KIT-#17502</v>
      </c>
      <c r="B60" s="94">
        <f>IFERROR(__xludf.DUMMYFUNCTION("""COMPUTED_VALUE"""),46142.0)</f>
        <v>46142</v>
      </c>
      <c r="C60" s="93" t="str">
        <f>IFERROR(__xludf.DUMMYFUNCTION("""COMPUTED_VALUE"""),"Kit Delivery")</f>
        <v>Kit Delivery</v>
      </c>
      <c r="D60" s="93">
        <f>IFERROR(__xludf.DUMMYFUNCTION("""COMPUTED_VALUE"""),2.0)</f>
        <v>2</v>
      </c>
      <c r="E60" s="93" t="str">
        <f>IFERROR(__xludf.DUMMYFUNCTION("""COMPUTED_VALUE"""),"House 4")</f>
        <v>House 4</v>
      </c>
      <c r="F60" s="93">
        <f>IFERROR(__xludf.DUMMYFUNCTION("""COMPUTED_VALUE"""),201.0)</f>
        <v>201</v>
      </c>
      <c r="G60" s="93" t="str">
        <f>IFERROR(__xludf.DUMMYFUNCTION("""COMPUTED_VALUE"""),"Bernie Grunzweig*")</f>
        <v>Bernie Grunzweig*</v>
      </c>
      <c r="H60" s="93">
        <f>IFERROR(__xludf.DUMMYFUNCTION("""COMPUTED_VALUE"""),8.052845691E9)</f>
        <v>8052845691</v>
      </c>
      <c r="I60" s="93" t="str">
        <f>IFERROR(__xludf.DUMMYFUNCTION("""COMPUTED_VALUE"""),"9AM-11AM")</f>
        <v>9AM-11AM</v>
      </c>
      <c r="J60" s="93">
        <f>IFERROR(__xludf.DUMMYFUNCTION("""COMPUTED_VALUE"""),1.0)</f>
        <v>1</v>
      </c>
      <c r="K60" s="93" t="str">
        <f>IFERROR(__xludf.DUMMYFUNCTION("""COMPUTED_VALUE"""),"Complete")</f>
        <v>Complete</v>
      </c>
      <c r="L60" s="93"/>
      <c r="M60" s="94">
        <f>IFERROR(__xludf.DUMMYFUNCTION("""COMPUTED_VALUE"""),46134.776620370365)</f>
        <v>46134.77662</v>
      </c>
      <c r="N60" s="93">
        <f>IFERROR(__xludf.DUMMYFUNCTION("""COMPUTED_VALUE"""),255.0)</f>
        <v>255</v>
      </c>
      <c r="O60" s="93"/>
      <c r="P60" s="93" t="str">
        <f>IFERROR(__xludf.DUMMYFUNCTION("""COMPUTED_VALUE"""),"Kit Delivery")</f>
        <v>Kit Delivery</v>
      </c>
      <c r="Q60" s="93"/>
      <c r="R60" s="93"/>
      <c r="S60" s="93" t="str">
        <f>IFERROR(__xludf.DUMMYFUNCTION("""COMPUTED_VALUE"""),"Dispatch_Images/KIT--17502.Photos.233816.jpg")</f>
        <v>Dispatch_Images/KIT--17502.Photos.233816.jpg</v>
      </c>
      <c r="T60" s="95">
        <f>IFERROR(__xludf.DUMMYFUNCTION("""COMPUTED_VALUE"""),46134.77989583334)</f>
        <v>46134.7799</v>
      </c>
      <c r="U60" s="93"/>
      <c r="V60" s="93"/>
      <c r="W60" s="93"/>
      <c r="X60" s="93"/>
      <c r="Y60" s="93"/>
      <c r="Z60" s="93"/>
    </row>
    <row r="61">
      <c r="A61" s="93" t="str">
        <f>IFERROR(__xludf.DUMMYFUNCTION("""COMPUTED_VALUE"""),"KIT-#17694")</f>
        <v>KIT-#17694</v>
      </c>
      <c r="B61" s="94">
        <f>IFERROR(__xludf.DUMMYFUNCTION("""COMPUTED_VALUE"""),46142.0)</f>
        <v>46142</v>
      </c>
      <c r="C61" s="93" t="str">
        <f>IFERROR(__xludf.DUMMYFUNCTION("""COMPUTED_VALUE"""),"Kit Delivery")</f>
        <v>Kit Delivery</v>
      </c>
      <c r="D61" s="93">
        <f>IFERROR(__xludf.DUMMYFUNCTION("""COMPUTED_VALUE"""),2.0)</f>
        <v>2</v>
      </c>
      <c r="E61" s="93" t="str">
        <f>IFERROR(__xludf.DUMMYFUNCTION("""COMPUTED_VALUE"""),"Dardick")</f>
        <v>Dardick</v>
      </c>
      <c r="F61" s="93">
        <f>IFERROR(__xludf.DUMMYFUNCTION("""COMPUTED_VALUE"""),2210.0)</f>
        <v>2210</v>
      </c>
      <c r="G61" s="93" t="str">
        <f>IFERROR(__xludf.DUMMYFUNCTION("""COMPUTED_VALUE"""),"Andrew Hermann")</f>
        <v>Andrew Hermann</v>
      </c>
      <c r="H61" s="93">
        <f>IFERROR(__xludf.DUMMYFUNCTION("""COMPUTED_VALUE"""),9.739512137E9)</f>
        <v>9739512137</v>
      </c>
      <c r="I61" s="93" t="str">
        <f>IFERROR(__xludf.DUMMYFUNCTION("""COMPUTED_VALUE"""),"10AM-12PM")</f>
        <v>10AM-12PM</v>
      </c>
      <c r="J61" s="93">
        <f>IFERROR(__xludf.DUMMYFUNCTION("""COMPUTED_VALUE"""),1.0)</f>
        <v>1</v>
      </c>
      <c r="K61" s="93" t="str">
        <f>IFERROR(__xludf.DUMMYFUNCTION("""COMPUTED_VALUE"""),"Complete")</f>
        <v>Complete</v>
      </c>
      <c r="L61" s="93"/>
      <c r="M61" s="94">
        <f>IFERROR(__xludf.DUMMYFUNCTION("""COMPUTED_VALUE"""),46137.56060185185)</f>
        <v>46137.5606</v>
      </c>
      <c r="N61" s="93">
        <f>IFERROR(__xludf.DUMMYFUNCTION("""COMPUTED_VALUE"""),102.0)</f>
        <v>102</v>
      </c>
      <c r="O61" s="93" t="str">
        <f>IFERROR(__xludf.DUMMYFUNCTION("""COMPUTED_VALUE"""),"1070 Park Avenue
Apt 4B
NY,NY 10128")</f>
        <v>1070 Park Avenue
Apt 4B
NY,NY 10128</v>
      </c>
      <c r="P61" s="93" t="str">
        <f>IFERROR(__xludf.DUMMYFUNCTION("""COMPUTED_VALUE"""),"Kit Delivery")</f>
        <v>Kit Delivery</v>
      </c>
      <c r="Q61" s="93"/>
      <c r="R61" s="93"/>
      <c r="S61" s="93" t="str">
        <f>IFERROR(__xludf.DUMMYFUNCTION("""COMPUTED_VALUE"""),"Dispatch_Images/KIT--17694.Photos.182712.jpg")</f>
        <v>Dispatch_Images/KIT--17694.Photos.182712.jpg</v>
      </c>
      <c r="T61" s="95">
        <f>IFERROR(__xludf.DUMMYFUNCTION("""COMPUTED_VALUE"""),46137.56460648148)</f>
        <v>46137.56461</v>
      </c>
      <c r="U61" s="93"/>
      <c r="V61" s="93"/>
      <c r="W61" s="93"/>
      <c r="X61" s="93"/>
      <c r="Y61" s="93"/>
      <c r="Z61" s="93"/>
    </row>
    <row r="62">
      <c r="A62" s="93" t="str">
        <f>IFERROR(__xludf.DUMMYFUNCTION("""COMPUTED_VALUE"""),"KIT-#17790")</f>
        <v>KIT-#17790</v>
      </c>
      <c r="B62" s="94">
        <f>IFERROR(__xludf.DUMMYFUNCTION("""COMPUTED_VALUE"""),46142.0)</f>
        <v>46142</v>
      </c>
      <c r="C62" s="93" t="str">
        <f>IFERROR(__xludf.DUMMYFUNCTION("""COMPUTED_VALUE"""),"Kit Delivery")</f>
        <v>Kit Delivery</v>
      </c>
      <c r="D62" s="93">
        <f>IFERROR(__xludf.DUMMYFUNCTION("""COMPUTED_VALUE"""),3.0)</f>
        <v>3</v>
      </c>
      <c r="E62" s="93" t="str">
        <f>IFERROR(__xludf.DUMMYFUNCTION("""COMPUTED_VALUE"""),"Greenway Apartments")</f>
        <v>Greenway Apartments</v>
      </c>
      <c r="F62" s="93">
        <f>IFERROR(__xludf.DUMMYFUNCTION("""COMPUTED_VALUE"""),10.0)</f>
        <v>10</v>
      </c>
      <c r="G62" s="93" t="str">
        <f>IFERROR(__xludf.DUMMYFUNCTION("""COMPUTED_VALUE"""),"Saydee Star")</f>
        <v>Saydee Star</v>
      </c>
      <c r="H62" s="93">
        <f>IFERROR(__xludf.DUMMYFUNCTION("""COMPUTED_VALUE"""),9.176120198E9)</f>
        <v>9176120198</v>
      </c>
      <c r="I62" s="93" t="str">
        <f>IFERROR(__xludf.DUMMYFUNCTION("""COMPUTED_VALUE"""),"3PM-5PM")</f>
        <v>3PM-5PM</v>
      </c>
      <c r="J62" s="93">
        <f>IFERROR(__xludf.DUMMYFUNCTION("""COMPUTED_VALUE"""),1.0)</f>
        <v>1</v>
      </c>
      <c r="K62" s="93" t="str">
        <f>IFERROR(__xludf.DUMMYFUNCTION("""COMPUTED_VALUE"""),"Complete")</f>
        <v>Complete</v>
      </c>
      <c r="L62" s="93" t="str">
        <f>IFERROR(__xludf.DUMMYFUNCTION("""COMPUTED_VALUE"""),"Met customer")</f>
        <v>Met customer</v>
      </c>
      <c r="M62" s="94">
        <f>IFERROR(__xludf.DUMMYFUNCTION("""COMPUTED_VALUE"""),46139.71269675926)</f>
        <v>46139.7127</v>
      </c>
      <c r="N62" s="93">
        <f>IFERROR(__xludf.DUMMYFUNCTION("""COMPUTED_VALUE"""),64.0)</f>
        <v>64</v>
      </c>
      <c r="O62" s="93" t="str">
        <f>IFERROR(__xludf.DUMMYFUNCTION("""COMPUTED_VALUE"""),"457 Old Sleepy Hollow Rd
Pleasantville, NY 10570")</f>
        <v>457 Old Sleepy Hollow Rd
Pleasantville, NY 10570</v>
      </c>
      <c r="P62" s="93" t="str">
        <f>IFERROR(__xludf.DUMMYFUNCTION("""COMPUTED_VALUE"""),"Kit Delivery")</f>
        <v>Kit Delivery</v>
      </c>
      <c r="Q62" s="93"/>
      <c r="R62" s="93"/>
      <c r="S62" s="93" t="str">
        <f>IFERROR(__xludf.DUMMYFUNCTION("""COMPUTED_VALUE"""),"Dispatch_Images/KIT--17790.Photos.220614.jpg")</f>
        <v>Dispatch_Images/KIT--17790.Photos.220614.jpg</v>
      </c>
      <c r="T62" s="95">
        <f>IFERROR(__xludf.DUMMYFUNCTION("""COMPUTED_VALUE"""),46139.71739583334)</f>
        <v>46139.7174</v>
      </c>
      <c r="U62" s="93"/>
      <c r="V62" s="93"/>
      <c r="W62" s="93"/>
      <c r="X62" s="93"/>
      <c r="Y62" s="93"/>
      <c r="Z62" s="93"/>
    </row>
    <row r="63">
      <c r="A63" s="93" t="str">
        <f>IFERROR(__xludf.DUMMYFUNCTION("""COMPUTED_VALUE"""),"KIT-#17266")</f>
        <v>KIT-#17266</v>
      </c>
      <c r="B63" s="94">
        <f>IFERROR(__xludf.DUMMYFUNCTION("""COMPUTED_VALUE"""),46142.0)</f>
        <v>46142</v>
      </c>
      <c r="C63" s="93" t="str">
        <f>IFERROR(__xludf.DUMMYFUNCTION("""COMPUTED_VALUE"""),"Kit Delivery")</f>
        <v>Kit Delivery</v>
      </c>
      <c r="D63" s="93">
        <f>IFERROR(__xludf.DUMMYFUNCTION("""COMPUTED_VALUE"""),1.0)</f>
        <v>1</v>
      </c>
      <c r="E63" s="93" t="str">
        <f>IFERROR(__xludf.DUMMYFUNCTION("""COMPUTED_VALUE"""),"Umrath")</f>
        <v>Umrath</v>
      </c>
      <c r="F63" s="93">
        <f>IFERROR(__xludf.DUMMYFUNCTION("""COMPUTED_VALUE"""),3322.0)</f>
        <v>3322</v>
      </c>
      <c r="G63" s="93" t="str">
        <f>IFERROR(__xludf.DUMMYFUNCTION("""COMPUTED_VALUE"""),"Sally Liberman")</f>
        <v>Sally Liberman</v>
      </c>
      <c r="H63" s="93">
        <f>IFERROR(__xludf.DUMMYFUNCTION("""COMPUTED_VALUE"""),2.143369342E9)</f>
        <v>2143369342</v>
      </c>
      <c r="I63" s="93" t="str">
        <f>IFERROR(__xludf.DUMMYFUNCTION("""COMPUTED_VALUE"""),"9AM-11AM")</f>
        <v>9AM-11AM</v>
      </c>
      <c r="J63" s="93">
        <f>IFERROR(__xludf.DUMMYFUNCTION("""COMPUTED_VALUE"""),1.0)</f>
        <v>1</v>
      </c>
      <c r="K63" s="93" t="str">
        <f>IFERROR(__xludf.DUMMYFUNCTION("""COMPUTED_VALUE"""),"Complete")</f>
        <v>Complete</v>
      </c>
      <c r="L63" s="93"/>
      <c r="M63" s="93"/>
      <c r="N63" s="93">
        <f>IFERROR(__xludf.DUMMYFUNCTION("""COMPUTED_VALUE"""),19.0)</f>
        <v>19</v>
      </c>
      <c r="O63" s="93"/>
      <c r="P63" s="93" t="str">
        <f>IFERROR(__xludf.DUMMYFUNCTION("""COMPUTED_VALUE"""),"Kit Delivery")</f>
        <v>Kit Delivery</v>
      </c>
      <c r="Q63" s="93"/>
      <c r="R63" s="93"/>
      <c r="S63" s="95">
        <f>IFERROR(__xludf.DUMMYFUNCTION("""COMPUTED_VALUE"""),46122.53804398148)</f>
        <v>46122.53804</v>
      </c>
      <c r="T63" s="93"/>
      <c r="U63" s="93"/>
      <c r="V63" s="93"/>
      <c r="W63" s="93"/>
      <c r="X63" s="93"/>
      <c r="Y63" s="93"/>
      <c r="Z63" s="93"/>
    </row>
    <row r="64">
      <c r="A64" s="93" t="str">
        <f>IFERROR(__xludf.DUMMYFUNCTION("""COMPUTED_VALUE"""),"KIT-#17358")</f>
        <v>KIT-#17358</v>
      </c>
      <c r="B64" s="94">
        <f>IFERROR(__xludf.DUMMYFUNCTION("""COMPUTED_VALUE"""),46143.0)</f>
        <v>46143</v>
      </c>
      <c r="C64" s="93" t="str">
        <f>IFERROR(__xludf.DUMMYFUNCTION("""COMPUTED_VALUE"""),"Kit Delivery")</f>
        <v>Kit Delivery</v>
      </c>
      <c r="D64" s="93">
        <f>IFERROR(__xludf.DUMMYFUNCTION("""COMPUTED_VALUE"""),1.0)</f>
        <v>1</v>
      </c>
      <c r="E64" s="93" t="str">
        <f>IFERROR(__xludf.DUMMYFUNCTION("""COMPUTED_VALUE"""),"Danforth")</f>
        <v>Danforth</v>
      </c>
      <c r="F64" s="93">
        <f>IFERROR(__xludf.DUMMYFUNCTION("""COMPUTED_VALUE"""),3321.0)</f>
        <v>3321</v>
      </c>
      <c r="G64" s="93" t="str">
        <f>IFERROR(__xludf.DUMMYFUNCTION("""COMPUTED_VALUE"""),"Julia Josephson")</f>
        <v>Julia Josephson</v>
      </c>
      <c r="H64" s="93">
        <f>IFERROR(__xludf.DUMMYFUNCTION("""COMPUTED_VALUE"""),8.472871066E9)</f>
        <v>8472871066</v>
      </c>
      <c r="I64" s="93" t="str">
        <f>IFERROR(__xludf.DUMMYFUNCTION("""COMPUTED_VALUE"""),"12PM-2PM")</f>
        <v>12PM-2PM</v>
      </c>
      <c r="J64" s="93">
        <f>IFERROR(__xludf.DUMMYFUNCTION("""COMPUTED_VALUE"""),1.0)</f>
        <v>1</v>
      </c>
      <c r="K64" s="93" t="str">
        <f>IFERROR(__xludf.DUMMYFUNCTION("""COMPUTED_VALUE"""),"Complete")</f>
        <v>Complete</v>
      </c>
      <c r="L64" s="93"/>
      <c r="M64" s="94">
        <f>IFERROR(__xludf.DUMMYFUNCTION("""COMPUTED_VALUE"""),46123.570601851854)</f>
        <v>46123.5706</v>
      </c>
      <c r="N64" s="93">
        <f>IFERROR(__xludf.DUMMYFUNCTION("""COMPUTED_VALUE"""),35.0)</f>
        <v>35</v>
      </c>
      <c r="O64" s="93"/>
      <c r="P64" s="93" t="str">
        <f>IFERROR(__xludf.DUMMYFUNCTION("""COMPUTED_VALUE"""),"Kit Delivery")</f>
        <v>Kit Delivery</v>
      </c>
      <c r="Q64" s="93"/>
      <c r="R64" s="93"/>
      <c r="S64" s="95">
        <f>IFERROR(__xludf.DUMMYFUNCTION("""COMPUTED_VALUE"""),46123.61150462963)</f>
        <v>46123.6115</v>
      </c>
      <c r="T64" s="93"/>
      <c r="U64" s="93"/>
      <c r="V64" s="93"/>
      <c r="W64" s="93"/>
      <c r="X64" s="93"/>
      <c r="Y64" s="93"/>
      <c r="Z64" s="93"/>
    </row>
    <row r="65">
      <c r="A65" s="93" t="str">
        <f>IFERROR(__xludf.DUMMYFUNCTION("""COMPUTED_VALUE"""),"KIT-#17163")</f>
        <v>KIT-#17163</v>
      </c>
      <c r="B65" s="94">
        <f>IFERROR(__xludf.DUMMYFUNCTION("""COMPUTED_VALUE"""),46143.0)</f>
        <v>46143</v>
      </c>
      <c r="C65" s="93" t="str">
        <f>IFERROR(__xludf.DUMMYFUNCTION("""COMPUTED_VALUE"""),"Kit Delivery")</f>
        <v>Kit Delivery</v>
      </c>
      <c r="D65" s="93">
        <f>IFERROR(__xludf.DUMMYFUNCTION("""COMPUTED_VALUE"""),1.0)</f>
        <v>1</v>
      </c>
      <c r="E65" s="93" t="str">
        <f>IFERROR(__xludf.DUMMYFUNCTION("""COMPUTED_VALUE"""),"Hitzeman")</f>
        <v>Hitzeman</v>
      </c>
      <c r="F65" s="93">
        <f>IFERROR(__xludf.DUMMYFUNCTION("""COMPUTED_VALUE"""),314.0)</f>
        <v>314</v>
      </c>
      <c r="G65" s="93" t="str">
        <f>IFERROR(__xludf.DUMMYFUNCTION("""COMPUTED_VALUE"""),"Laura Kowal")</f>
        <v>Laura Kowal</v>
      </c>
      <c r="H65" s="93">
        <f>IFERROR(__xludf.DUMMYFUNCTION("""COMPUTED_VALUE"""),2.039123958E9)</f>
        <v>2039123958</v>
      </c>
      <c r="I65" s="93" t="str">
        <f>IFERROR(__xludf.DUMMYFUNCTION("""COMPUTED_VALUE"""),"3PM-5PM")</f>
        <v>3PM-5PM</v>
      </c>
      <c r="J65" s="93">
        <f>IFERROR(__xludf.DUMMYFUNCTION("""COMPUTED_VALUE"""),1.0)</f>
        <v>1</v>
      </c>
      <c r="K65" s="93" t="str">
        <f>IFERROR(__xludf.DUMMYFUNCTION("""COMPUTED_VALUE"""),"Complete")</f>
        <v>Complete</v>
      </c>
      <c r="L65" s="93"/>
      <c r="M65" s="94">
        <f>IFERROR(__xludf.DUMMYFUNCTION("""COMPUTED_VALUE"""),46123.80265046297)</f>
        <v>46123.80265</v>
      </c>
      <c r="N65" s="93">
        <f>IFERROR(__xludf.DUMMYFUNCTION("""COMPUTED_VALUE"""),3.0)</f>
        <v>3</v>
      </c>
      <c r="O65" s="93"/>
      <c r="P65" s="93" t="str">
        <f>IFERROR(__xludf.DUMMYFUNCTION("""COMPUTED_VALUE"""),"Kit Delivery")</f>
        <v>Kit Delivery</v>
      </c>
      <c r="Q65" s="93"/>
      <c r="R65" s="93"/>
      <c r="S65" s="95">
        <f>IFERROR(__xludf.DUMMYFUNCTION("""COMPUTED_VALUE"""),46124.4096875)</f>
        <v>46124.40969</v>
      </c>
      <c r="T65" s="93"/>
      <c r="U65" s="93"/>
      <c r="V65" s="93"/>
      <c r="W65" s="93"/>
      <c r="X65" s="93"/>
      <c r="Y65" s="93"/>
      <c r="Z65" s="93"/>
    </row>
    <row r="66">
      <c r="A66" s="93" t="str">
        <f>IFERROR(__xludf.DUMMYFUNCTION("""COMPUTED_VALUE"""),"KIT-#17226")</f>
        <v>KIT-#17226</v>
      </c>
      <c r="B66" s="94">
        <f>IFERROR(__xludf.DUMMYFUNCTION("""COMPUTED_VALUE"""),46143.0)</f>
        <v>46143</v>
      </c>
      <c r="C66" s="93" t="str">
        <f>IFERROR(__xludf.DUMMYFUNCTION("""COMPUTED_VALUE"""),"Kit Delivery")</f>
        <v>Kit Delivery</v>
      </c>
      <c r="D66" s="93">
        <f>IFERROR(__xludf.DUMMYFUNCTION("""COMPUTED_VALUE"""),1.0)</f>
        <v>1</v>
      </c>
      <c r="E66" s="93" t="str">
        <f>IFERROR(__xludf.DUMMYFUNCTION("""COMPUTED_VALUE"""),"Lien")</f>
        <v>Lien</v>
      </c>
      <c r="F66" s="93">
        <f>IFERROR(__xludf.DUMMYFUNCTION("""COMPUTED_VALUE"""),3330.0)</f>
        <v>3330</v>
      </c>
      <c r="G66" s="93" t="str">
        <f>IFERROR(__xludf.DUMMYFUNCTION("""COMPUTED_VALUE"""),"Casey Manno")</f>
        <v>Casey Manno</v>
      </c>
      <c r="H66" s="93"/>
      <c r="I66" s="93" t="str">
        <f>IFERROR(__xludf.DUMMYFUNCTION("""COMPUTED_VALUE"""),"3PM-5PM")</f>
        <v>3PM-5PM</v>
      </c>
      <c r="J66" s="93">
        <f>IFERROR(__xludf.DUMMYFUNCTION("""COMPUTED_VALUE"""),1.0)</f>
        <v>1</v>
      </c>
      <c r="K66" s="93" t="str">
        <f>IFERROR(__xludf.DUMMYFUNCTION("""COMPUTED_VALUE"""),"Complete")</f>
        <v>Complete</v>
      </c>
      <c r="L66" s="93"/>
      <c r="M66" s="94">
        <f>IFERROR(__xludf.DUMMYFUNCTION("""COMPUTED_VALUE"""),46123.81701388889)</f>
        <v>46123.81701</v>
      </c>
      <c r="N66" s="93">
        <f>IFERROR(__xludf.DUMMYFUNCTION("""COMPUTED_VALUE"""),166.0)</f>
        <v>166</v>
      </c>
      <c r="O66" s="93"/>
      <c r="P66" s="93" t="str">
        <f>IFERROR(__xludf.DUMMYFUNCTION("""COMPUTED_VALUE"""),"Kit Delivery")</f>
        <v>Kit Delivery</v>
      </c>
      <c r="Q66" s="93"/>
      <c r="R66" s="93"/>
      <c r="S66" s="95">
        <f>IFERROR(__xludf.DUMMYFUNCTION("""COMPUTED_VALUE"""),46124.4096875)</f>
        <v>46124.40969</v>
      </c>
      <c r="T66" s="93"/>
      <c r="U66" s="93"/>
      <c r="V66" s="93"/>
      <c r="W66" s="93"/>
      <c r="X66" s="93"/>
      <c r="Y66" s="93"/>
      <c r="Z66" s="93"/>
    </row>
    <row r="67">
      <c r="A67" s="93" t="str">
        <f>IFERROR(__xludf.DUMMYFUNCTION("""COMPUTED_VALUE"""),"KIT-#16833")</f>
        <v>KIT-#16833</v>
      </c>
      <c r="B67" s="94">
        <f>IFERROR(__xludf.DUMMYFUNCTION("""COMPUTED_VALUE"""),46143.0)</f>
        <v>46143</v>
      </c>
      <c r="C67" s="93" t="str">
        <f>IFERROR(__xludf.DUMMYFUNCTION("""COMPUTED_VALUE"""),"Kit Delivery")</f>
        <v>Kit Delivery</v>
      </c>
      <c r="D67" s="93">
        <f>IFERROR(__xludf.DUMMYFUNCTION("""COMPUTED_VALUE"""),1.0)</f>
        <v>1</v>
      </c>
      <c r="E67" s="93" t="str">
        <f>IFERROR(__xludf.DUMMYFUNCTION("""COMPUTED_VALUE"""),"Lien")</f>
        <v>Lien</v>
      </c>
      <c r="F67" s="93">
        <f>IFERROR(__xludf.DUMMYFUNCTION("""COMPUTED_VALUE"""),3326.0)</f>
        <v>3326</v>
      </c>
      <c r="G67" s="93" t="str">
        <f>IFERROR(__xludf.DUMMYFUNCTION("""COMPUTED_VALUE"""),"John Oyasodun")</f>
        <v>John Oyasodun</v>
      </c>
      <c r="H67" s="93">
        <f>IFERROR(__xludf.DUMMYFUNCTION("""COMPUTED_VALUE"""),9.734746215E9)</f>
        <v>9734746215</v>
      </c>
      <c r="I67" s="93" t="str">
        <f>IFERROR(__xludf.DUMMYFUNCTION("""COMPUTED_VALUE"""),"11AM-1PM")</f>
        <v>11AM-1PM</v>
      </c>
      <c r="J67" s="93">
        <f>IFERROR(__xludf.DUMMYFUNCTION("""COMPUTED_VALUE"""),1.0)</f>
        <v>1</v>
      </c>
      <c r="K67" s="93" t="str">
        <f>IFERROR(__xludf.DUMMYFUNCTION("""COMPUTED_VALUE"""),"Complete")</f>
        <v>Complete</v>
      </c>
      <c r="L67" s="93"/>
      <c r="M67" s="94">
        <f>IFERROR(__xludf.DUMMYFUNCTION("""COMPUTED_VALUE"""),46123.81805555556)</f>
        <v>46123.81806</v>
      </c>
      <c r="N67" s="93">
        <f>IFERROR(__xludf.DUMMYFUNCTION("""COMPUTED_VALUE"""),162.0)</f>
        <v>162</v>
      </c>
      <c r="O67" s="93"/>
      <c r="P67" s="93" t="str">
        <f>IFERROR(__xludf.DUMMYFUNCTION("""COMPUTED_VALUE"""),"Kit Delivery")</f>
        <v>Kit Delivery</v>
      </c>
      <c r="Q67" s="93"/>
      <c r="R67" s="93"/>
      <c r="S67" s="95">
        <f>IFERROR(__xludf.DUMMYFUNCTION("""COMPUTED_VALUE"""),46124.4096875)</f>
        <v>46124.40969</v>
      </c>
      <c r="T67" s="93"/>
      <c r="U67" s="93"/>
      <c r="V67" s="93"/>
      <c r="W67" s="93"/>
      <c r="X67" s="93"/>
      <c r="Y67" s="93"/>
      <c r="Z67" s="93"/>
    </row>
    <row r="68">
      <c r="A68" s="93" t="str">
        <f>IFERROR(__xludf.DUMMYFUNCTION("""COMPUTED_VALUE"""),"KIT-#17281")</f>
        <v>KIT-#17281</v>
      </c>
      <c r="B68" s="94">
        <f>IFERROR(__xludf.DUMMYFUNCTION("""COMPUTED_VALUE"""),46143.0)</f>
        <v>46143</v>
      </c>
      <c r="C68" s="93" t="str">
        <f>IFERROR(__xludf.DUMMYFUNCTION("""COMPUTED_VALUE"""),"Kit Delivery")</f>
        <v>Kit Delivery</v>
      </c>
      <c r="D68" s="93">
        <f>IFERROR(__xludf.DUMMYFUNCTION("""COMPUTED_VALUE"""),1.0)</f>
        <v>1</v>
      </c>
      <c r="E68" s="93" t="str">
        <f>IFERROR(__xludf.DUMMYFUNCTION("""COMPUTED_VALUE"""),"Umrath")</f>
        <v>Umrath</v>
      </c>
      <c r="F68" s="93">
        <f>IFERROR(__xludf.DUMMYFUNCTION("""COMPUTED_VALUE"""),3341.0)</f>
        <v>3341</v>
      </c>
      <c r="G68" s="93" t="str">
        <f>IFERROR(__xludf.DUMMYFUNCTION("""COMPUTED_VALUE"""),"Arjun")</f>
        <v>Arjun</v>
      </c>
      <c r="H68" s="93">
        <f>IFERROR(__xludf.DUMMYFUNCTION("""COMPUTED_VALUE"""),9.177034377E9)</f>
        <v>9177034377</v>
      </c>
      <c r="I68" s="93" t="str">
        <f>IFERROR(__xludf.DUMMYFUNCTION("""COMPUTED_VALUE"""),"3PM-5PM")</f>
        <v>3PM-5PM</v>
      </c>
      <c r="J68" s="93">
        <f>IFERROR(__xludf.DUMMYFUNCTION("""COMPUTED_VALUE"""),1.0)</f>
        <v>1</v>
      </c>
      <c r="K68" s="93" t="str">
        <f>IFERROR(__xludf.DUMMYFUNCTION("""COMPUTED_VALUE"""),"Complete")</f>
        <v>Complete</v>
      </c>
      <c r="L68" s="93"/>
      <c r="M68" s="94">
        <f>IFERROR(__xludf.DUMMYFUNCTION("""COMPUTED_VALUE"""),46123.89460648148)</f>
        <v>46123.89461</v>
      </c>
      <c r="N68" s="93">
        <f>IFERROR(__xludf.DUMMYFUNCTION("""COMPUTED_VALUE"""),121.0)</f>
        <v>121</v>
      </c>
      <c r="O68" s="93"/>
      <c r="P68" s="93" t="str">
        <f>IFERROR(__xludf.DUMMYFUNCTION("""COMPUTED_VALUE"""),"Kit Delivery")</f>
        <v>Kit Delivery</v>
      </c>
      <c r="Q68" s="93"/>
      <c r="R68" s="93"/>
      <c r="S68" s="95">
        <f>IFERROR(__xludf.DUMMYFUNCTION("""COMPUTED_VALUE"""),46124.4096875)</f>
        <v>46124.40969</v>
      </c>
      <c r="T68" s="93"/>
      <c r="U68" s="93"/>
      <c r="V68" s="93"/>
      <c r="W68" s="93"/>
      <c r="X68" s="93"/>
      <c r="Y68" s="93"/>
      <c r="Z68" s="93"/>
    </row>
    <row r="69">
      <c r="A69" s="93" t="str">
        <f>IFERROR(__xludf.DUMMYFUNCTION("""COMPUTED_VALUE"""),"KIT-#17288")</f>
        <v>KIT-#17288</v>
      </c>
      <c r="B69" s="94">
        <f>IFERROR(__xludf.DUMMYFUNCTION("""COMPUTED_VALUE"""),46143.0)</f>
        <v>46143</v>
      </c>
      <c r="C69" s="93" t="str">
        <f>IFERROR(__xludf.DUMMYFUNCTION("""COMPUTED_VALUE"""),"Kit Delivery")</f>
        <v>Kit Delivery</v>
      </c>
      <c r="D69" s="93">
        <f>IFERROR(__xludf.DUMMYFUNCTION("""COMPUTED_VALUE"""),1.0)</f>
        <v>1</v>
      </c>
      <c r="E69" s="93" t="str">
        <f>IFERROR(__xludf.DUMMYFUNCTION("""COMPUTED_VALUE"""),"Umrath")</f>
        <v>Umrath</v>
      </c>
      <c r="F69" s="93">
        <f>IFERROR(__xludf.DUMMYFUNCTION("""COMPUTED_VALUE"""),4437.0)</f>
        <v>4437</v>
      </c>
      <c r="G69" s="93" t="str">
        <f>IFERROR(__xludf.DUMMYFUNCTION("""COMPUTED_VALUE"""),"Luke Mitchell")</f>
        <v>Luke Mitchell</v>
      </c>
      <c r="H69" s="93">
        <f>IFERROR(__xludf.DUMMYFUNCTION("""COMPUTED_VALUE"""),9.143576469E9)</f>
        <v>9143576469</v>
      </c>
      <c r="I69" s="93" t="str">
        <f>IFERROR(__xludf.DUMMYFUNCTION("""COMPUTED_VALUE"""),"11AM-1PM")</f>
        <v>11AM-1PM</v>
      </c>
      <c r="J69" s="93">
        <f>IFERROR(__xludf.DUMMYFUNCTION("""COMPUTED_VALUE"""),1.0)</f>
        <v>1</v>
      </c>
      <c r="K69" s="93" t="str">
        <f>IFERROR(__xludf.DUMMYFUNCTION("""COMPUTED_VALUE"""),"Complete")</f>
        <v>Complete</v>
      </c>
      <c r="L69" s="93"/>
      <c r="M69" s="94">
        <f>IFERROR(__xludf.DUMMYFUNCTION("""COMPUTED_VALUE"""),46123.897569444445)</f>
        <v>46123.89757</v>
      </c>
      <c r="N69" s="93">
        <f>IFERROR(__xludf.DUMMYFUNCTION("""COMPUTED_VALUE"""),127.0)</f>
        <v>127</v>
      </c>
      <c r="O69" s="93"/>
      <c r="P69" s="93" t="str">
        <f>IFERROR(__xludf.DUMMYFUNCTION("""COMPUTED_VALUE"""),"Kit Delivery")</f>
        <v>Kit Delivery</v>
      </c>
      <c r="Q69" s="93"/>
      <c r="R69" s="93"/>
      <c r="S69" s="95">
        <f>IFERROR(__xludf.DUMMYFUNCTION("""COMPUTED_VALUE"""),46124.4096875)</f>
        <v>46124.40969</v>
      </c>
      <c r="T69" s="93"/>
      <c r="U69" s="93"/>
      <c r="V69" s="93"/>
      <c r="W69" s="93"/>
      <c r="X69" s="93"/>
      <c r="Y69" s="93"/>
      <c r="Z69" s="93"/>
    </row>
    <row r="70">
      <c r="A70" s="93" t="str">
        <f>IFERROR(__xludf.DUMMYFUNCTION("""COMPUTED_VALUE"""),"KIT-#17409")</f>
        <v>KIT-#17409</v>
      </c>
      <c r="B70" s="94">
        <f>IFERROR(__xludf.DUMMYFUNCTION("""COMPUTED_VALUE"""),46143.0)</f>
        <v>46143</v>
      </c>
      <c r="C70" s="93" t="str">
        <f>IFERROR(__xludf.DUMMYFUNCTION("""COMPUTED_VALUE"""),"Kit Delivery")</f>
        <v>Kit Delivery</v>
      </c>
      <c r="D70" s="93">
        <f>IFERROR(__xludf.DUMMYFUNCTION("""COMPUTED_VALUE"""),1.0)</f>
        <v>1</v>
      </c>
      <c r="E70" s="93" t="str">
        <f>IFERROR(__xludf.DUMMYFUNCTION("""COMPUTED_VALUE"""),"Lopata")</f>
        <v>Lopata</v>
      </c>
      <c r="F70" s="93">
        <f>IFERROR(__xludf.DUMMYFUNCTION("""COMPUTED_VALUE"""),3061.0)</f>
        <v>3061</v>
      </c>
      <c r="G70" s="93" t="str">
        <f>IFERROR(__xludf.DUMMYFUNCTION("""COMPUTED_VALUE"""),"Iris Zhang")</f>
        <v>Iris Zhang</v>
      </c>
      <c r="H70" s="93">
        <f>IFERROR(__xludf.DUMMYFUNCTION("""COMPUTED_VALUE"""),3.14319707E9)</f>
        <v>3143197070</v>
      </c>
      <c r="I70" s="93" t="str">
        <f>IFERROR(__xludf.DUMMYFUNCTION("""COMPUTED_VALUE"""),"9AM-11AM")</f>
        <v>9AM-11AM</v>
      </c>
      <c r="J70" s="93">
        <f>IFERROR(__xludf.DUMMYFUNCTION("""COMPUTED_VALUE"""),1.0)</f>
        <v>1</v>
      </c>
      <c r="K70" s="93" t="str">
        <f>IFERROR(__xludf.DUMMYFUNCTION("""COMPUTED_VALUE"""),"Complete")</f>
        <v>Complete</v>
      </c>
      <c r="L70" s="93"/>
      <c r="M70" s="94">
        <f>IFERROR(__xludf.DUMMYFUNCTION("""COMPUTED_VALUE"""),46123.954293981486)</f>
        <v>46123.95429</v>
      </c>
      <c r="N70" s="93">
        <f>IFERROR(__xludf.DUMMYFUNCTION("""COMPUTED_VALUE"""),174.0)</f>
        <v>174</v>
      </c>
      <c r="O70" s="93"/>
      <c r="P70" s="93" t="str">
        <f>IFERROR(__xludf.DUMMYFUNCTION("""COMPUTED_VALUE"""),"Kit Delivery")</f>
        <v>Kit Delivery</v>
      </c>
      <c r="Q70" s="93"/>
      <c r="R70" s="93"/>
      <c r="S70" s="95">
        <f>IFERROR(__xludf.DUMMYFUNCTION("""COMPUTED_VALUE"""),46124.4096875)</f>
        <v>46124.40969</v>
      </c>
      <c r="T70" s="93"/>
      <c r="U70" s="93"/>
      <c r="V70" s="93"/>
      <c r="W70" s="93"/>
      <c r="X70" s="93"/>
      <c r="Y70" s="93"/>
      <c r="Z70" s="93"/>
    </row>
    <row r="71">
      <c r="A71" s="93" t="str">
        <f>IFERROR(__xludf.DUMMYFUNCTION("""COMPUTED_VALUE"""),"KIT-#17156")</f>
        <v>KIT-#17156</v>
      </c>
      <c r="B71" s="94">
        <f>IFERROR(__xludf.DUMMYFUNCTION("""COMPUTED_VALUE"""),46143.0)</f>
        <v>46143</v>
      </c>
      <c r="C71" s="93" t="str">
        <f>IFERROR(__xludf.DUMMYFUNCTION("""COMPUTED_VALUE"""),"Kit Delivery")</f>
        <v>Kit Delivery</v>
      </c>
      <c r="D71" s="93">
        <f>IFERROR(__xludf.DUMMYFUNCTION("""COMPUTED_VALUE"""),1.0)</f>
        <v>1</v>
      </c>
      <c r="E71" s="93" t="str">
        <f>IFERROR(__xludf.DUMMYFUNCTION("""COMPUTED_VALUE"""),"Dardick")</f>
        <v>Dardick</v>
      </c>
      <c r="F71" s="93">
        <f>IFERROR(__xludf.DUMMYFUNCTION("""COMPUTED_VALUE"""),2222.0)</f>
        <v>2222</v>
      </c>
      <c r="G71" s="93" t="str">
        <f>IFERROR(__xludf.DUMMYFUNCTION("""COMPUTED_VALUE"""),"Jack Tajkef")</f>
        <v>Jack Tajkef</v>
      </c>
      <c r="H71" s="93">
        <f>IFERROR(__xludf.DUMMYFUNCTION("""COMPUTED_VALUE"""),1.8183140867E10)</f>
        <v>18183140867</v>
      </c>
      <c r="I71" s="93" t="str">
        <f>IFERROR(__xludf.DUMMYFUNCTION("""COMPUTED_VALUE"""),"2PM-4PM")</f>
        <v>2PM-4PM</v>
      </c>
      <c r="J71" s="93">
        <f>IFERROR(__xludf.DUMMYFUNCTION("""COMPUTED_VALUE"""),1.0)</f>
        <v>1</v>
      </c>
      <c r="K71" s="93" t="str">
        <f>IFERROR(__xludf.DUMMYFUNCTION("""COMPUTED_VALUE"""),"Complete")</f>
        <v>Complete</v>
      </c>
      <c r="L71" s="93"/>
      <c r="M71" s="94">
        <f>IFERROR(__xludf.DUMMYFUNCTION("""COMPUTED_VALUE"""),46124.02405092593)</f>
        <v>46124.02405</v>
      </c>
      <c r="N71" s="93">
        <f>IFERROR(__xludf.DUMMYFUNCTION("""COMPUTED_VALUE"""),96.0)</f>
        <v>96</v>
      </c>
      <c r="O71" s="93"/>
      <c r="P71" s="93" t="str">
        <f>IFERROR(__xludf.DUMMYFUNCTION("""COMPUTED_VALUE"""),"Kit Delivery")</f>
        <v>Kit Delivery</v>
      </c>
      <c r="Q71" s="93"/>
      <c r="R71" s="93"/>
      <c r="S71" s="95">
        <f>IFERROR(__xludf.DUMMYFUNCTION("""COMPUTED_VALUE"""),46124.4096875)</f>
        <v>46124.40969</v>
      </c>
      <c r="T71" s="93"/>
      <c r="U71" s="93"/>
      <c r="V71" s="93"/>
      <c r="W71" s="93"/>
      <c r="X71" s="93"/>
      <c r="Y71" s="93"/>
      <c r="Z71" s="93"/>
    </row>
    <row r="72">
      <c r="A72" s="93" t="str">
        <f>IFERROR(__xludf.DUMMYFUNCTION("""COMPUTED_VALUE"""),"KIT-#17188")</f>
        <v>KIT-#17188</v>
      </c>
      <c r="B72" s="94">
        <f>IFERROR(__xludf.DUMMYFUNCTION("""COMPUTED_VALUE"""),46143.0)</f>
        <v>46143</v>
      </c>
      <c r="C72" s="93" t="str">
        <f>IFERROR(__xludf.DUMMYFUNCTION("""COMPUTED_VALUE"""),"Kit Delivery")</f>
        <v>Kit Delivery</v>
      </c>
      <c r="D72" s="93">
        <f>IFERROR(__xludf.DUMMYFUNCTION("""COMPUTED_VALUE"""),1.0)</f>
        <v>1</v>
      </c>
      <c r="E72" s="93" t="str">
        <f>IFERROR(__xludf.DUMMYFUNCTION("""COMPUTED_VALUE"""),"Dardick")</f>
        <v>Dardick</v>
      </c>
      <c r="F72" s="93">
        <f>IFERROR(__xludf.DUMMYFUNCTION("""COMPUTED_VALUE"""),4402.0)</f>
        <v>4402</v>
      </c>
      <c r="G72" s="93" t="str">
        <f>IFERROR(__xludf.DUMMYFUNCTION("""COMPUTED_VALUE"""),"Rachel Shames")</f>
        <v>Rachel Shames</v>
      </c>
      <c r="H72" s="93">
        <f>IFERROR(__xludf.DUMMYFUNCTION("""COMPUTED_VALUE"""),9.176034125E9)</f>
        <v>9176034125</v>
      </c>
      <c r="I72" s="93" t="str">
        <f>IFERROR(__xludf.DUMMYFUNCTION("""COMPUTED_VALUE"""),"9AM-11AM")</f>
        <v>9AM-11AM</v>
      </c>
      <c r="J72" s="93">
        <f>IFERROR(__xludf.DUMMYFUNCTION("""COMPUTED_VALUE"""),1.0)</f>
        <v>1</v>
      </c>
      <c r="K72" s="93" t="str">
        <f>IFERROR(__xludf.DUMMYFUNCTION("""COMPUTED_VALUE"""),"Complete")</f>
        <v>Complete</v>
      </c>
      <c r="L72" s="93"/>
      <c r="M72" s="94">
        <f>IFERROR(__xludf.DUMMYFUNCTION("""COMPUTED_VALUE"""),46124.032488425924)</f>
        <v>46124.03249</v>
      </c>
      <c r="N72" s="93">
        <f>IFERROR(__xludf.DUMMYFUNCTION("""COMPUTED_VALUE"""),100.0)</f>
        <v>100</v>
      </c>
      <c r="O72" s="93"/>
      <c r="P72" s="93" t="str">
        <f>IFERROR(__xludf.DUMMYFUNCTION("""COMPUTED_VALUE"""),"Kit Delivery")</f>
        <v>Kit Delivery</v>
      </c>
      <c r="Q72" s="93"/>
      <c r="R72" s="93"/>
      <c r="S72" s="95">
        <f>IFERROR(__xludf.DUMMYFUNCTION("""COMPUTED_VALUE"""),46124.4096875)</f>
        <v>46124.40969</v>
      </c>
      <c r="T72" s="93"/>
      <c r="U72" s="93"/>
      <c r="V72" s="93"/>
      <c r="W72" s="93"/>
      <c r="X72" s="93"/>
      <c r="Y72" s="93"/>
      <c r="Z72" s="93"/>
    </row>
    <row r="73">
      <c r="A73" s="93" t="str">
        <f>IFERROR(__xludf.DUMMYFUNCTION("""COMPUTED_VALUE"""),"KIT-#17237")</f>
        <v>KIT-#17237</v>
      </c>
      <c r="B73" s="94">
        <f>IFERROR(__xludf.DUMMYFUNCTION("""COMPUTED_VALUE"""),46143.0)</f>
        <v>46143</v>
      </c>
      <c r="C73" s="93" t="str">
        <f>IFERROR(__xludf.DUMMYFUNCTION("""COMPUTED_VALUE"""),"Kit Delivery")</f>
        <v>Kit Delivery</v>
      </c>
      <c r="D73" s="93">
        <f>IFERROR(__xludf.DUMMYFUNCTION("""COMPUTED_VALUE"""),1.0)</f>
        <v>1</v>
      </c>
      <c r="E73" s="93" t="str">
        <f>IFERROR(__xludf.DUMMYFUNCTION("""COMPUTED_VALUE"""),"Dardick")</f>
        <v>Dardick</v>
      </c>
      <c r="F73" s="93">
        <f>IFERROR(__xludf.DUMMYFUNCTION("""COMPUTED_VALUE"""),4408.0)</f>
        <v>4408</v>
      </c>
      <c r="G73" s="93" t="str">
        <f>IFERROR(__xludf.DUMMYFUNCTION("""COMPUTED_VALUE"""),"Landon Sanchez")</f>
        <v>Landon Sanchez</v>
      </c>
      <c r="H73" s="93">
        <f>IFERROR(__xludf.DUMMYFUNCTION("""COMPUTED_VALUE"""),4.159919104E9)</f>
        <v>4159919104</v>
      </c>
      <c r="I73" s="93" t="str">
        <f>IFERROR(__xludf.DUMMYFUNCTION("""COMPUTED_VALUE"""),"2PM-4PM")</f>
        <v>2PM-4PM</v>
      </c>
      <c r="J73" s="93">
        <f>IFERROR(__xludf.DUMMYFUNCTION("""COMPUTED_VALUE"""),1.0)</f>
        <v>1</v>
      </c>
      <c r="K73" s="93" t="str">
        <f>IFERROR(__xludf.DUMMYFUNCTION("""COMPUTED_VALUE"""),"Complete")</f>
        <v>Complete</v>
      </c>
      <c r="L73" s="93"/>
      <c r="M73" s="94">
        <f>IFERROR(__xludf.DUMMYFUNCTION("""COMPUTED_VALUE"""),46124.03262731481)</f>
        <v>46124.03263</v>
      </c>
      <c r="N73" s="93">
        <f>IFERROR(__xludf.DUMMYFUNCTION("""COMPUTED_VALUE"""),102.0)</f>
        <v>102</v>
      </c>
      <c r="O73" s="93"/>
      <c r="P73" s="93" t="str">
        <f>IFERROR(__xludf.DUMMYFUNCTION("""COMPUTED_VALUE"""),"Kit Delivery")</f>
        <v>Kit Delivery</v>
      </c>
      <c r="Q73" s="93"/>
      <c r="R73" s="93"/>
      <c r="S73" s="95">
        <f>IFERROR(__xludf.DUMMYFUNCTION("""COMPUTED_VALUE"""),46124.4096875)</f>
        <v>46124.40969</v>
      </c>
      <c r="T73" s="93"/>
      <c r="U73" s="93"/>
      <c r="V73" s="93"/>
      <c r="W73" s="93"/>
      <c r="X73" s="93"/>
      <c r="Y73" s="93"/>
      <c r="Z73" s="93"/>
    </row>
    <row r="74">
      <c r="A74" s="93" t="str">
        <f>IFERROR(__xludf.DUMMYFUNCTION("""COMPUTED_VALUE"""),"KIT-#17227")</f>
        <v>KIT-#17227</v>
      </c>
      <c r="B74" s="94">
        <f>IFERROR(__xludf.DUMMYFUNCTION("""COMPUTED_VALUE"""),46143.0)</f>
        <v>46143</v>
      </c>
      <c r="C74" s="93" t="str">
        <f>IFERROR(__xludf.DUMMYFUNCTION("""COMPUTED_VALUE"""),"Kit Delivery")</f>
        <v>Kit Delivery</v>
      </c>
      <c r="D74" s="93">
        <f>IFERROR(__xludf.DUMMYFUNCTION("""COMPUTED_VALUE"""),1.0)</f>
        <v>1</v>
      </c>
      <c r="E74" s="93" t="str">
        <f>IFERROR(__xludf.DUMMYFUNCTION("""COMPUTED_VALUE"""),"Dardick")</f>
        <v>Dardick</v>
      </c>
      <c r="F74" s="93">
        <f>IFERROR(__xludf.DUMMYFUNCTION("""COMPUTED_VALUE"""),3309.0)</f>
        <v>3309</v>
      </c>
      <c r="G74" s="93" t="str">
        <f>IFERROR(__xludf.DUMMYFUNCTION("""COMPUTED_VALUE"""),"Cami Pastrano")</f>
        <v>Cami Pastrano</v>
      </c>
      <c r="H74" s="93">
        <f>IFERROR(__xludf.DUMMYFUNCTION("""COMPUTED_VALUE"""),6.465993393E9)</f>
        <v>6465993393</v>
      </c>
      <c r="I74" s="93" t="str">
        <f>IFERROR(__xludf.DUMMYFUNCTION("""COMPUTED_VALUE"""),"2PM-4PM")</f>
        <v>2PM-4PM</v>
      </c>
      <c r="J74" s="93">
        <f>IFERROR(__xludf.DUMMYFUNCTION("""COMPUTED_VALUE"""),2.0)</f>
        <v>2</v>
      </c>
      <c r="K74" s="93" t="str">
        <f>IFERROR(__xludf.DUMMYFUNCTION("""COMPUTED_VALUE"""),"Complete")</f>
        <v>Complete</v>
      </c>
      <c r="L74" s="93"/>
      <c r="M74" s="94">
        <f>IFERROR(__xludf.DUMMYFUNCTION("""COMPUTED_VALUE"""),46124.03325231481)</f>
        <v>46124.03325</v>
      </c>
      <c r="N74" s="93">
        <f>IFERROR(__xludf.DUMMYFUNCTION("""COMPUTED_VALUE"""),98.0)</f>
        <v>98</v>
      </c>
      <c r="O74" s="93"/>
      <c r="P74" s="93" t="str">
        <f>IFERROR(__xludf.DUMMYFUNCTION("""COMPUTED_VALUE"""),"Kit Delivery")</f>
        <v>Kit Delivery</v>
      </c>
      <c r="Q74" s="93"/>
      <c r="R74" s="93"/>
      <c r="S74" s="95">
        <f>IFERROR(__xludf.DUMMYFUNCTION("""COMPUTED_VALUE"""),46124.4096875)</f>
        <v>46124.40969</v>
      </c>
      <c r="T74" s="93"/>
      <c r="U74" s="93"/>
      <c r="V74" s="93"/>
      <c r="W74" s="93"/>
      <c r="X74" s="93"/>
      <c r="Y74" s="93"/>
      <c r="Z74" s="93"/>
    </row>
    <row r="75">
      <c r="A75" s="93" t="str">
        <f>IFERROR(__xludf.DUMMYFUNCTION("""COMPUTED_VALUE"""),"KIT-#17042")</f>
        <v>KIT-#17042</v>
      </c>
      <c r="B75" s="94">
        <f>IFERROR(__xludf.DUMMYFUNCTION("""COMPUTED_VALUE"""),46143.0)</f>
        <v>46143</v>
      </c>
      <c r="C75" s="93" t="str">
        <f>IFERROR(__xludf.DUMMYFUNCTION("""COMPUTED_VALUE"""),"Kit Delivery")</f>
        <v>Kit Delivery</v>
      </c>
      <c r="D75" s="93">
        <f>IFERROR(__xludf.DUMMYFUNCTION("""COMPUTED_VALUE"""),1.0)</f>
        <v>1</v>
      </c>
      <c r="E75" s="93" t="str">
        <f>IFERROR(__xludf.DUMMYFUNCTION("""COMPUTED_VALUE"""),"Koenig")</f>
        <v>Koenig</v>
      </c>
      <c r="F75" s="93">
        <f>IFERROR(__xludf.DUMMYFUNCTION("""COMPUTED_VALUE"""),3304.0)</f>
        <v>3304</v>
      </c>
      <c r="G75" s="93" t="str">
        <f>IFERROR(__xludf.DUMMYFUNCTION("""COMPUTED_VALUE"""),"Zachary Modlinger")</f>
        <v>Zachary Modlinger</v>
      </c>
      <c r="H75" s="93"/>
      <c r="I75" s="93" t="str">
        <f>IFERROR(__xludf.DUMMYFUNCTION("""COMPUTED_VALUE"""),"10AM-12PM")</f>
        <v>10AM-12PM</v>
      </c>
      <c r="J75" s="93">
        <f>IFERROR(__xludf.DUMMYFUNCTION("""COMPUTED_VALUE"""),1.0)</f>
        <v>1</v>
      </c>
      <c r="K75" s="93" t="str">
        <f>IFERROR(__xludf.DUMMYFUNCTION("""COMPUTED_VALUE"""),"Complete")</f>
        <v>Complete</v>
      </c>
      <c r="L75" s="93"/>
      <c r="M75" s="94">
        <f>IFERROR(__xludf.DUMMYFUNCTION("""COMPUTED_VALUE"""),46124.04251157407)</f>
        <v>46124.04251</v>
      </c>
      <c r="N75" s="93">
        <f>IFERROR(__xludf.DUMMYFUNCTION("""COMPUTED_VALUE"""),139.0)</f>
        <v>139</v>
      </c>
      <c r="O75" s="93"/>
      <c r="P75" s="93" t="str">
        <f>IFERROR(__xludf.DUMMYFUNCTION("""COMPUTED_VALUE"""),"Kit Delivery")</f>
        <v>Kit Delivery</v>
      </c>
      <c r="Q75" s="93"/>
      <c r="R75" s="93"/>
      <c r="S75" s="95">
        <f>IFERROR(__xludf.DUMMYFUNCTION("""COMPUTED_VALUE"""),46124.4096875)</f>
        <v>46124.40969</v>
      </c>
      <c r="T75" s="93"/>
      <c r="U75" s="93"/>
      <c r="V75" s="93"/>
      <c r="W75" s="93"/>
      <c r="X75" s="93"/>
      <c r="Y75" s="93"/>
      <c r="Z75" s="93"/>
    </row>
    <row r="76">
      <c r="A76" s="93" t="str">
        <f>IFERROR(__xludf.DUMMYFUNCTION("""COMPUTED_VALUE"""),"KIT-#17095")</f>
        <v>KIT-#17095</v>
      </c>
      <c r="B76" s="94">
        <f>IFERROR(__xludf.DUMMYFUNCTION("""COMPUTED_VALUE"""),46143.0)</f>
        <v>46143</v>
      </c>
      <c r="C76" s="93" t="str">
        <f>IFERROR(__xludf.DUMMYFUNCTION("""COMPUTED_VALUE"""),"Kit Delivery")</f>
        <v>Kit Delivery</v>
      </c>
      <c r="D76" s="93">
        <f>IFERROR(__xludf.DUMMYFUNCTION("""COMPUTED_VALUE"""),1.0)</f>
        <v>1</v>
      </c>
      <c r="E76" s="93" t="str">
        <f>IFERROR(__xludf.DUMMYFUNCTION("""COMPUTED_VALUE"""),"Liggett")</f>
        <v>Liggett</v>
      </c>
      <c r="F76" s="93">
        <f>IFERROR(__xludf.DUMMYFUNCTION("""COMPUTED_VALUE"""),3422.0)</f>
        <v>3422</v>
      </c>
      <c r="G76" s="93" t="str">
        <f>IFERROR(__xludf.DUMMYFUNCTION("""COMPUTED_VALUE"""),"Tamia Prioleau")</f>
        <v>Tamia Prioleau</v>
      </c>
      <c r="H76" s="93">
        <f>IFERROR(__xludf.DUMMYFUNCTION("""COMPUTED_VALUE"""),8.439062372E9)</f>
        <v>8439062372</v>
      </c>
      <c r="I76" s="93" t="str">
        <f>IFERROR(__xludf.DUMMYFUNCTION("""COMPUTED_VALUE"""),"9AM-11AM")</f>
        <v>9AM-11AM</v>
      </c>
      <c r="J76" s="93">
        <f>IFERROR(__xludf.DUMMYFUNCTION("""COMPUTED_VALUE"""),2.0)</f>
        <v>2</v>
      </c>
      <c r="K76" s="93" t="str">
        <f>IFERROR(__xludf.DUMMYFUNCTION("""COMPUTED_VALUE"""),"Complete")</f>
        <v>Complete</v>
      </c>
      <c r="L76" s="93"/>
      <c r="M76" s="94">
        <f>IFERROR(__xludf.DUMMYFUNCTION("""COMPUTED_VALUE"""),46124.04366898148)</f>
        <v>46124.04367</v>
      </c>
      <c r="N76" s="93">
        <f>IFERROR(__xludf.DUMMYFUNCTION("""COMPUTED_VALUE"""),149.0)</f>
        <v>149</v>
      </c>
      <c r="O76" s="93"/>
      <c r="P76" s="93" t="str">
        <f>IFERROR(__xludf.DUMMYFUNCTION("""COMPUTED_VALUE"""),"Kit Delivery")</f>
        <v>Kit Delivery</v>
      </c>
      <c r="Q76" s="93"/>
      <c r="R76" s="93"/>
      <c r="S76" s="95">
        <f>IFERROR(__xludf.DUMMYFUNCTION("""COMPUTED_VALUE"""),46124.4096875)</f>
        <v>46124.40969</v>
      </c>
      <c r="T76" s="93"/>
      <c r="U76" s="93"/>
      <c r="V76" s="93"/>
      <c r="W76" s="93"/>
      <c r="X76" s="93"/>
      <c r="Y76" s="93"/>
      <c r="Z76" s="93"/>
    </row>
    <row r="77">
      <c r="A77" s="93" t="str">
        <f>IFERROR(__xludf.DUMMYFUNCTION("""COMPUTED_VALUE"""),"KIT-#17204")</f>
        <v>KIT-#17204</v>
      </c>
      <c r="B77" s="94">
        <f>IFERROR(__xludf.DUMMYFUNCTION("""COMPUTED_VALUE"""),46143.0)</f>
        <v>46143</v>
      </c>
      <c r="C77" s="93" t="str">
        <f>IFERROR(__xludf.DUMMYFUNCTION("""COMPUTED_VALUE"""),"Kit Delivery")</f>
        <v>Kit Delivery</v>
      </c>
      <c r="D77" s="93">
        <f>IFERROR(__xludf.DUMMYFUNCTION("""COMPUTED_VALUE"""),1.0)</f>
        <v>1</v>
      </c>
      <c r="E77" s="93" t="str">
        <f>IFERROR(__xludf.DUMMYFUNCTION("""COMPUTED_VALUE"""),"Liggett")</f>
        <v>Liggett</v>
      </c>
      <c r="F77" s="93">
        <f>IFERROR(__xludf.DUMMYFUNCTION("""COMPUTED_VALUE"""),2312.0)</f>
        <v>2312</v>
      </c>
      <c r="G77" s="93" t="str">
        <f>IFERROR(__xludf.DUMMYFUNCTION("""COMPUTED_VALUE"""),"Miriam Moyes")</f>
        <v>Miriam Moyes</v>
      </c>
      <c r="H77" s="93">
        <f>IFERROR(__xludf.DUMMYFUNCTION("""COMPUTED_VALUE"""),9.253341357E9)</f>
        <v>9253341357</v>
      </c>
      <c r="I77" s="93" t="str">
        <f>IFERROR(__xludf.DUMMYFUNCTION("""COMPUTED_VALUE"""),"9AM-11AM")</f>
        <v>9AM-11AM</v>
      </c>
      <c r="J77" s="93">
        <f>IFERROR(__xludf.DUMMYFUNCTION("""COMPUTED_VALUE"""),1.0)</f>
        <v>1</v>
      </c>
      <c r="K77" s="93" t="str">
        <f>IFERROR(__xludf.DUMMYFUNCTION("""COMPUTED_VALUE"""),"Complete")</f>
        <v>Complete</v>
      </c>
      <c r="L77" s="93"/>
      <c r="M77" s="94">
        <f>IFERROR(__xludf.DUMMYFUNCTION("""COMPUTED_VALUE"""),46124.04678240741)</f>
        <v>46124.04678</v>
      </c>
      <c r="N77" s="93">
        <f>IFERROR(__xludf.DUMMYFUNCTION("""COMPUTED_VALUE"""),148.0)</f>
        <v>148</v>
      </c>
      <c r="O77" s="93"/>
      <c r="P77" s="93" t="str">
        <f>IFERROR(__xludf.DUMMYFUNCTION("""COMPUTED_VALUE"""),"Kit Delivery")</f>
        <v>Kit Delivery</v>
      </c>
      <c r="Q77" s="93"/>
      <c r="R77" s="93"/>
      <c r="S77" s="95">
        <f>IFERROR(__xludf.DUMMYFUNCTION("""COMPUTED_VALUE"""),46124.4096875)</f>
        <v>46124.40969</v>
      </c>
      <c r="T77" s="93"/>
      <c r="U77" s="93"/>
      <c r="V77" s="93"/>
      <c r="W77" s="93"/>
      <c r="X77" s="93"/>
      <c r="Y77" s="93"/>
      <c r="Z77" s="93"/>
    </row>
    <row r="78">
      <c r="A78" s="93" t="str">
        <f>IFERROR(__xludf.DUMMYFUNCTION("""COMPUTED_VALUE"""),"KIT-#17567")</f>
        <v>KIT-#17567</v>
      </c>
      <c r="B78" s="94">
        <f>IFERROR(__xludf.DUMMYFUNCTION("""COMPUTED_VALUE"""),46143.0)</f>
        <v>46143</v>
      </c>
      <c r="C78" s="93" t="str">
        <f>IFERROR(__xludf.DUMMYFUNCTION("""COMPUTED_VALUE"""),"Kit Delivery")</f>
        <v>Kit Delivery</v>
      </c>
      <c r="D78" s="93">
        <f>IFERROR(__xludf.DUMMYFUNCTION("""COMPUTED_VALUE"""),2.0)</f>
        <v>2</v>
      </c>
      <c r="E78" s="93" t="str">
        <f>IFERROR(__xludf.DUMMYFUNCTION("""COMPUTED_VALUE"""),"Umrath")</f>
        <v>Umrath</v>
      </c>
      <c r="F78" s="93">
        <f>IFERROR(__xludf.DUMMYFUNCTION("""COMPUTED_VALUE"""),3331.0)</f>
        <v>3331</v>
      </c>
      <c r="G78" s="93" t="str">
        <f>IFERROR(__xludf.DUMMYFUNCTION("""COMPUTED_VALUE"""),"Ethan Kim")</f>
        <v>Ethan Kim</v>
      </c>
      <c r="H78" s="93">
        <f>IFERROR(__xludf.DUMMYFUNCTION("""COMPUTED_VALUE"""),3.109624564E9)</f>
        <v>3109624564</v>
      </c>
      <c r="I78" s="93" t="str">
        <f>IFERROR(__xludf.DUMMYFUNCTION("""COMPUTED_VALUE"""),"9AM-11AM")</f>
        <v>9AM-11AM</v>
      </c>
      <c r="J78" s="93">
        <f>IFERROR(__xludf.DUMMYFUNCTION("""COMPUTED_VALUE"""),1.0)</f>
        <v>1</v>
      </c>
      <c r="K78" s="93" t="str">
        <f>IFERROR(__xludf.DUMMYFUNCTION("""COMPUTED_VALUE"""),"Complete")</f>
        <v>Complete</v>
      </c>
      <c r="L78" s="93"/>
      <c r="M78" s="94">
        <f>IFERROR(__xludf.DUMMYFUNCTION("""COMPUTED_VALUE"""),46129.86516203704)</f>
        <v>46129.86516</v>
      </c>
      <c r="N78" s="93">
        <f>IFERROR(__xludf.DUMMYFUNCTION("""COMPUTED_VALUE"""),169.0)</f>
        <v>169</v>
      </c>
      <c r="O78" s="93"/>
      <c r="P78" s="93" t="str">
        <f>IFERROR(__xludf.DUMMYFUNCTION("""COMPUTED_VALUE"""),"Kit Delivery")</f>
        <v>Kit Delivery</v>
      </c>
      <c r="Q78" s="93"/>
      <c r="R78" s="93"/>
      <c r="S78" s="93" t="str">
        <f>IFERROR(__xludf.DUMMYFUNCTION("""COMPUTED_VALUE"""),"Dispatch_Images/KIT--17567.Photos.014547.jpg")</f>
        <v>Dispatch_Images/KIT--17567.Photos.014547.jpg</v>
      </c>
      <c r="T78" s="95">
        <f>IFERROR(__xludf.DUMMYFUNCTION("""COMPUTED_VALUE"""),46129.870162037034)</f>
        <v>46129.87016</v>
      </c>
      <c r="U78" s="93"/>
      <c r="V78" s="93"/>
      <c r="W78" s="93"/>
      <c r="X78" s="93"/>
      <c r="Y78" s="93"/>
      <c r="Z78" s="93"/>
    </row>
    <row r="79">
      <c r="A79" s="93" t="str">
        <f>IFERROR(__xludf.DUMMYFUNCTION("""COMPUTED_VALUE"""),"KIT-#17555")</f>
        <v>KIT-#17555</v>
      </c>
      <c r="B79" s="94">
        <f>IFERROR(__xludf.DUMMYFUNCTION("""COMPUTED_VALUE"""),46143.0)</f>
        <v>46143</v>
      </c>
      <c r="C79" s="93" t="str">
        <f>IFERROR(__xludf.DUMMYFUNCTION("""COMPUTED_VALUE"""),"Kit Delivery")</f>
        <v>Kit Delivery</v>
      </c>
      <c r="D79" s="93">
        <f>IFERROR(__xludf.DUMMYFUNCTION("""COMPUTED_VALUE"""),2.0)</f>
        <v>2</v>
      </c>
      <c r="E79" s="93" t="str">
        <f>IFERROR(__xludf.DUMMYFUNCTION("""COMPUTED_VALUE"""),"Danforth")</f>
        <v>Danforth</v>
      </c>
      <c r="F79" s="93">
        <f>IFERROR(__xludf.DUMMYFUNCTION("""COMPUTED_VALUE"""),2221.0)</f>
        <v>2221</v>
      </c>
      <c r="G79" s="93" t="str">
        <f>IFERROR(__xludf.DUMMYFUNCTION("""COMPUTED_VALUE"""),"Leia Karczmer")</f>
        <v>Leia Karczmer</v>
      </c>
      <c r="H79" s="93">
        <f>IFERROR(__xludf.DUMMYFUNCTION("""COMPUTED_VALUE"""),6.46745612E9)</f>
        <v>6467456120</v>
      </c>
      <c r="I79" s="93" t="str">
        <f>IFERROR(__xludf.DUMMYFUNCTION("""COMPUTED_VALUE"""),"3PM-5PM")</f>
        <v>3PM-5PM</v>
      </c>
      <c r="J79" s="93">
        <f>IFERROR(__xludf.DUMMYFUNCTION("""COMPUTED_VALUE"""),1.0)</f>
        <v>1</v>
      </c>
      <c r="K79" s="93" t="str">
        <f>IFERROR(__xludf.DUMMYFUNCTION("""COMPUTED_VALUE"""),"Complete")</f>
        <v>Complete</v>
      </c>
      <c r="L79" s="93"/>
      <c r="M79" s="94">
        <f>IFERROR(__xludf.DUMMYFUNCTION("""COMPUTED_VALUE"""),46129.90983796296)</f>
        <v>46129.90984</v>
      </c>
      <c r="N79" s="93">
        <f>IFERROR(__xludf.DUMMYFUNCTION("""COMPUTED_VALUE"""),39.0)</f>
        <v>39</v>
      </c>
      <c r="O79" s="93"/>
      <c r="P79" s="93" t="str">
        <f>IFERROR(__xludf.DUMMYFUNCTION("""COMPUTED_VALUE"""),"Kit Delivery")</f>
        <v>Kit Delivery</v>
      </c>
      <c r="Q79" s="93"/>
      <c r="R79" s="93"/>
      <c r="S79" s="93" t="str">
        <f>IFERROR(__xludf.DUMMYFUNCTION("""COMPUTED_VALUE"""),"Dispatch_Images/KIT--17555.Photos.025007.jpg")</f>
        <v>Dispatch_Images/KIT--17555.Photos.025007.jpg</v>
      </c>
      <c r="T79" s="95">
        <f>IFERROR(__xludf.DUMMYFUNCTION("""COMPUTED_VALUE"""),46129.911840277775)</f>
        <v>46129.91184</v>
      </c>
      <c r="U79" s="93"/>
      <c r="V79" s="93"/>
      <c r="W79" s="93"/>
      <c r="X79" s="93"/>
      <c r="Y79" s="93"/>
      <c r="Z79" s="93"/>
    </row>
    <row r="80">
      <c r="A80" s="93" t="str">
        <f>IFERROR(__xludf.DUMMYFUNCTION("""COMPUTED_VALUE"""),"KIT-#17511")</f>
        <v>KIT-#17511</v>
      </c>
      <c r="B80" s="94">
        <f>IFERROR(__xludf.DUMMYFUNCTION("""COMPUTED_VALUE"""),46143.0)</f>
        <v>46143</v>
      </c>
      <c r="C80" s="93" t="str">
        <f>IFERROR(__xludf.DUMMYFUNCTION("""COMPUTED_VALUE"""),"Kit Delivery")</f>
        <v>Kit Delivery</v>
      </c>
      <c r="D80" s="93">
        <f>IFERROR(__xludf.DUMMYFUNCTION("""COMPUTED_VALUE"""),1.0)</f>
        <v>1</v>
      </c>
      <c r="E80" s="93" t="str">
        <f>IFERROR(__xludf.DUMMYFUNCTION("""COMPUTED_VALUE"""),"Dardick")</f>
        <v>Dardick</v>
      </c>
      <c r="F80" s="93">
        <f>IFERROR(__xludf.DUMMYFUNCTION("""COMPUTED_VALUE"""),3309.0)</f>
        <v>3309</v>
      </c>
      <c r="G80" s="93" t="str">
        <f>IFERROR(__xludf.DUMMYFUNCTION("""COMPUTED_VALUE"""),"Noa Wofsey-Carter")</f>
        <v>Noa Wofsey-Carter</v>
      </c>
      <c r="H80" s="93">
        <f>IFERROR(__xludf.DUMMYFUNCTION("""COMPUTED_VALUE"""),9.176890085E9)</f>
        <v>9176890085</v>
      </c>
      <c r="I80" s="93" t="str">
        <f>IFERROR(__xludf.DUMMYFUNCTION("""COMPUTED_VALUE"""),"1PM-3PM")</f>
        <v>1PM-3PM</v>
      </c>
      <c r="J80" s="93">
        <f>IFERROR(__xludf.DUMMYFUNCTION("""COMPUTED_VALUE"""),2.0)</f>
        <v>2</v>
      </c>
      <c r="K80" s="93" t="str">
        <f>IFERROR(__xludf.DUMMYFUNCTION("""COMPUTED_VALUE"""),"Complete")</f>
        <v>Complete</v>
      </c>
      <c r="L80" s="93"/>
      <c r="M80" s="94">
        <f>IFERROR(__xludf.DUMMYFUNCTION("""COMPUTED_VALUE"""),46130.39025462963)</f>
        <v>46130.39025</v>
      </c>
      <c r="N80" s="93">
        <f>IFERROR(__xludf.DUMMYFUNCTION("""COMPUTED_VALUE"""),124.0)</f>
        <v>124</v>
      </c>
      <c r="O80" s="93"/>
      <c r="P80" s="93" t="str">
        <f>IFERROR(__xludf.DUMMYFUNCTION("""COMPUTED_VALUE"""),"Kit Delivery")</f>
        <v>Kit Delivery</v>
      </c>
      <c r="Q80" s="93"/>
      <c r="R80" s="93"/>
      <c r="S80" s="93" t="str">
        <f>IFERROR(__xludf.DUMMYFUNCTION("""COMPUTED_VALUE"""),"Dispatch_Images/KIT--17511.Photos.142155.jpg")</f>
        <v>Dispatch_Images/KIT--17511.Photos.142155.jpg</v>
      </c>
      <c r="T80" s="95">
        <f>IFERROR(__xludf.DUMMYFUNCTION("""COMPUTED_VALUE"""),46130.39099537037)</f>
        <v>46130.391</v>
      </c>
      <c r="U80" s="93"/>
      <c r="V80" s="93"/>
      <c r="W80" s="93"/>
      <c r="X80" s="93"/>
      <c r="Y80" s="93"/>
      <c r="Z80" s="93"/>
    </row>
    <row r="81">
      <c r="A81" s="93" t="str">
        <f>IFERROR(__xludf.DUMMYFUNCTION("""COMPUTED_VALUE"""),"KIT-#17435")</f>
        <v>KIT-#17435</v>
      </c>
      <c r="B81" s="94">
        <f>IFERROR(__xludf.DUMMYFUNCTION("""COMPUTED_VALUE"""),46143.0)</f>
        <v>46143</v>
      </c>
      <c r="C81" s="93" t="str">
        <f>IFERROR(__xludf.DUMMYFUNCTION("""COMPUTED_VALUE"""),"Kit Delivery")</f>
        <v>Kit Delivery</v>
      </c>
      <c r="D81" s="93">
        <f>IFERROR(__xludf.DUMMYFUNCTION("""COMPUTED_VALUE"""),3.0)</f>
        <v>3</v>
      </c>
      <c r="E81" s="93" t="str">
        <f>IFERROR(__xludf.DUMMYFUNCTION("""COMPUTED_VALUE"""),"Liggett")</f>
        <v>Liggett</v>
      </c>
      <c r="F81" s="93">
        <f>IFERROR(__xludf.DUMMYFUNCTION("""COMPUTED_VALUE"""),2310.0)</f>
        <v>2310</v>
      </c>
      <c r="G81" s="93" t="str">
        <f>IFERROR(__xludf.DUMMYFUNCTION("""COMPUTED_VALUE"""),"Alison Conner")</f>
        <v>Alison Conner</v>
      </c>
      <c r="H81" s="93">
        <f>IFERROR(__xludf.DUMMYFUNCTION("""COMPUTED_VALUE"""),4.155398239E9)</f>
        <v>4155398239</v>
      </c>
      <c r="I81" s="93" t="str">
        <f>IFERROR(__xludf.DUMMYFUNCTION("""COMPUTED_VALUE"""),"9AM-11AM")</f>
        <v>9AM-11AM</v>
      </c>
      <c r="J81" s="93">
        <f>IFERROR(__xludf.DUMMYFUNCTION("""COMPUTED_VALUE"""),1.0)</f>
        <v>1</v>
      </c>
      <c r="K81" s="93" t="str">
        <f>IFERROR(__xludf.DUMMYFUNCTION("""COMPUTED_VALUE"""),"Complete")</f>
        <v>Complete</v>
      </c>
      <c r="L81" s="93"/>
      <c r="M81" s="94">
        <f>IFERROR(__xludf.DUMMYFUNCTION("""COMPUTED_VALUE"""),46130.44975694444)</f>
        <v>46130.44976</v>
      </c>
      <c r="N81" s="93">
        <f>IFERROR(__xludf.DUMMYFUNCTION("""COMPUTED_VALUE"""),214.0)</f>
        <v>214</v>
      </c>
      <c r="O81" s="93"/>
      <c r="P81" s="93" t="str">
        <f>IFERROR(__xludf.DUMMYFUNCTION("""COMPUTED_VALUE"""),"Kit Delivery")</f>
        <v>Kit Delivery</v>
      </c>
      <c r="Q81" s="93"/>
      <c r="R81" s="93"/>
      <c r="S81" s="93" t="str">
        <f>IFERROR(__xludf.DUMMYFUNCTION("""COMPUTED_VALUE"""),"Dispatch_Images/KIT--17435.Photos.154735.jpg")</f>
        <v>Dispatch_Images/KIT--17435.Photos.154735.jpg</v>
      </c>
      <c r="T81" s="95">
        <f>IFERROR(__xludf.DUMMYFUNCTION("""COMPUTED_VALUE"""),46130.45349537037)</f>
        <v>46130.4535</v>
      </c>
      <c r="U81" s="93"/>
      <c r="V81" s="93"/>
      <c r="W81" s="93"/>
      <c r="X81" s="93"/>
      <c r="Y81" s="93"/>
      <c r="Z81" s="93"/>
    </row>
    <row r="82">
      <c r="A82" s="93" t="str">
        <f>IFERROR(__xludf.DUMMYFUNCTION("""COMPUTED_VALUE"""),"KIT-#17542")</f>
        <v>KIT-#17542</v>
      </c>
      <c r="B82" s="94">
        <f>IFERROR(__xludf.DUMMYFUNCTION("""COMPUTED_VALUE"""),46143.0)</f>
        <v>46143</v>
      </c>
      <c r="C82" s="93" t="str">
        <f>IFERROR(__xludf.DUMMYFUNCTION("""COMPUTED_VALUE"""),"Kit Delivery")</f>
        <v>Kit Delivery</v>
      </c>
      <c r="D82" s="93">
        <f>IFERROR(__xludf.DUMMYFUNCTION("""COMPUTED_VALUE"""),2.0)</f>
        <v>2</v>
      </c>
      <c r="E82" s="93" t="str">
        <f>IFERROR(__xludf.DUMMYFUNCTION("""COMPUTED_VALUE"""),"Dauten")</f>
        <v>Dauten</v>
      </c>
      <c r="F82" s="93">
        <f>IFERROR(__xludf.DUMMYFUNCTION("""COMPUTED_VALUE"""),412.0)</f>
        <v>412</v>
      </c>
      <c r="G82" s="93" t="str">
        <f>IFERROR(__xludf.DUMMYFUNCTION("""COMPUTED_VALUE"""),"Collin Maher*")</f>
        <v>Collin Maher*</v>
      </c>
      <c r="H82" s="93">
        <f>IFERROR(__xludf.DUMMYFUNCTION("""COMPUTED_VALUE"""),4.045786708E9)</f>
        <v>4045786708</v>
      </c>
      <c r="I82" s="93" t="str">
        <f>IFERROR(__xludf.DUMMYFUNCTION("""COMPUTED_VALUE"""),"10AM-12PM")</f>
        <v>10AM-12PM</v>
      </c>
      <c r="J82" s="93">
        <f>IFERROR(__xludf.DUMMYFUNCTION("""COMPUTED_VALUE"""),1.0)</f>
        <v>1</v>
      </c>
      <c r="K82" s="93" t="str">
        <f>IFERROR(__xludf.DUMMYFUNCTION("""COMPUTED_VALUE"""),"Complete")</f>
        <v>Complete</v>
      </c>
      <c r="L82" s="93"/>
      <c r="M82" s="94">
        <f>IFERROR(__xludf.DUMMYFUNCTION("""COMPUTED_VALUE"""),46134.693298611106)</f>
        <v>46134.6933</v>
      </c>
      <c r="N82" s="93">
        <f>IFERROR(__xludf.DUMMYFUNCTION("""COMPUTED_VALUE"""),123.0)</f>
        <v>123</v>
      </c>
      <c r="O82" s="93"/>
      <c r="P82" s="93" t="str">
        <f>IFERROR(__xludf.DUMMYFUNCTION("""COMPUTED_VALUE"""),"Kit Delivery")</f>
        <v>Kit Delivery</v>
      </c>
      <c r="Q82" s="93"/>
      <c r="R82" s="93"/>
      <c r="S82" s="93" t="str">
        <f>IFERROR(__xludf.DUMMYFUNCTION("""COMPUTED_VALUE"""),"Dispatch_Images/KIT--17542.Photos.213817.jpg")</f>
        <v>Dispatch_Images/KIT--17542.Photos.213817.jpg</v>
      </c>
      <c r="T82" s="95">
        <f>IFERROR(__xludf.DUMMYFUNCTION("""COMPUTED_VALUE"""),46134.6965625)</f>
        <v>46134.69656</v>
      </c>
      <c r="U82" s="93"/>
      <c r="V82" s="93"/>
      <c r="W82" s="93"/>
      <c r="X82" s="93"/>
      <c r="Y82" s="93"/>
      <c r="Z82" s="93"/>
    </row>
    <row r="83">
      <c r="A83" s="93" t="str">
        <f>IFERROR(__xludf.DUMMYFUNCTION("""COMPUTED_VALUE"""),"KIT-#17558")</f>
        <v>KIT-#17558</v>
      </c>
      <c r="B83" s="94">
        <f>IFERROR(__xludf.DUMMYFUNCTION("""COMPUTED_VALUE"""),46143.0)</f>
        <v>46143</v>
      </c>
      <c r="C83" s="93" t="str">
        <f>IFERROR(__xludf.DUMMYFUNCTION("""COMPUTED_VALUE"""),"Kit Delivery")</f>
        <v>Kit Delivery</v>
      </c>
      <c r="D83" s="93">
        <f>IFERROR(__xludf.DUMMYFUNCTION("""COMPUTED_VALUE"""),2.0)</f>
        <v>2</v>
      </c>
      <c r="E83" s="93" t="str">
        <f>IFERROR(__xludf.DUMMYFUNCTION("""COMPUTED_VALUE"""),"Park")</f>
        <v>Park</v>
      </c>
      <c r="F83" s="93">
        <f>IFERROR(__xludf.DUMMYFUNCTION("""COMPUTED_VALUE"""),312.0)</f>
        <v>312</v>
      </c>
      <c r="G83" s="93" t="str">
        <f>IFERROR(__xludf.DUMMYFUNCTION("""COMPUTED_VALUE"""),"Lauren Iaccino *")</f>
        <v>Lauren Iaccino *</v>
      </c>
      <c r="H83" s="93">
        <f>IFERROR(__xludf.DUMMYFUNCTION("""COMPUTED_VALUE"""),8.189201726E9)</f>
        <v>8189201726</v>
      </c>
      <c r="I83" s="93" t="str">
        <f>IFERROR(__xludf.DUMMYFUNCTION("""COMPUTED_VALUE"""),"3PM-5PM")</f>
        <v>3PM-5PM</v>
      </c>
      <c r="J83" s="93">
        <f>IFERROR(__xludf.DUMMYFUNCTION("""COMPUTED_VALUE"""),1.0)</f>
        <v>1</v>
      </c>
      <c r="K83" s="93" t="str">
        <f>IFERROR(__xludf.DUMMYFUNCTION("""COMPUTED_VALUE"""),"Complete")</f>
        <v>Complete</v>
      </c>
      <c r="L83" s="93"/>
      <c r="M83" s="94">
        <f>IFERROR(__xludf.DUMMYFUNCTION("""COMPUTED_VALUE"""),46134.71032407407)</f>
        <v>46134.71032</v>
      </c>
      <c r="N83" s="93">
        <f>IFERROR(__xludf.DUMMYFUNCTION("""COMPUTED_VALUE"""),73.0)</f>
        <v>73</v>
      </c>
      <c r="O83" s="93"/>
      <c r="P83" s="93" t="str">
        <f>IFERROR(__xludf.DUMMYFUNCTION("""COMPUTED_VALUE"""),"Kit Delivery")</f>
        <v>Kit Delivery</v>
      </c>
      <c r="Q83" s="93"/>
      <c r="R83" s="93"/>
      <c r="S83" s="93" t="str">
        <f>IFERROR(__xludf.DUMMYFUNCTION("""COMPUTED_VALUE"""),"Dispatch_Images/KIT--17558.Photos.220248.jpg")</f>
        <v>Dispatch_Images/KIT--17558.Photos.220248.jpg</v>
      </c>
      <c r="T83" s="95">
        <f>IFERROR(__xludf.DUMMYFUNCTION("""COMPUTED_VALUE"""),46134.71045138889)</f>
        <v>46134.71045</v>
      </c>
      <c r="U83" s="93"/>
      <c r="V83" s="93"/>
      <c r="W83" s="93"/>
      <c r="X83" s="93"/>
      <c r="Y83" s="93"/>
      <c r="Z83" s="93"/>
    </row>
    <row r="84">
      <c r="A84" s="93" t="str">
        <f>IFERROR(__xludf.DUMMYFUNCTION("""COMPUTED_VALUE"""),"KIT-#17456")</f>
        <v>KIT-#17456</v>
      </c>
      <c r="B84" s="94">
        <f>IFERROR(__xludf.DUMMYFUNCTION("""COMPUTED_VALUE"""),46143.0)</f>
        <v>46143</v>
      </c>
      <c r="C84" s="93" t="str">
        <f>IFERROR(__xludf.DUMMYFUNCTION("""COMPUTED_VALUE"""),"Kit Delivery")</f>
        <v>Kit Delivery</v>
      </c>
      <c r="D84" s="93">
        <f>IFERROR(__xludf.DUMMYFUNCTION("""COMPUTED_VALUE"""),2.0)</f>
        <v>2</v>
      </c>
      <c r="E84" s="93" t="str">
        <f>IFERROR(__xludf.DUMMYFUNCTION("""COMPUTED_VALUE"""),"Park")</f>
        <v>Park</v>
      </c>
      <c r="F84" s="93" t="str">
        <f>IFERROR(__xludf.DUMMYFUNCTION("""COMPUTED_VALUE"""),"Ste. 240 - Room 242")</f>
        <v>Ste. 240 - Room 242</v>
      </c>
      <c r="G84" s="93" t="str">
        <f>IFERROR(__xludf.DUMMYFUNCTION("""COMPUTED_VALUE"""),"Breylin France *")</f>
        <v>Breylin France *</v>
      </c>
      <c r="H84" s="93">
        <f>IFERROR(__xludf.DUMMYFUNCTION("""COMPUTED_VALUE"""),3.10462273E9)</f>
        <v>3104622730</v>
      </c>
      <c r="I84" s="93" t="str">
        <f>IFERROR(__xludf.DUMMYFUNCTION("""COMPUTED_VALUE"""),"11AM-1PM")</f>
        <v>11AM-1PM</v>
      </c>
      <c r="J84" s="93">
        <f>IFERROR(__xludf.DUMMYFUNCTION("""COMPUTED_VALUE"""),1.0)</f>
        <v>1</v>
      </c>
      <c r="K84" s="93" t="str">
        <f>IFERROR(__xludf.DUMMYFUNCTION("""COMPUTED_VALUE"""),"Complete")</f>
        <v>Complete</v>
      </c>
      <c r="L84" s="93"/>
      <c r="M84" s="94">
        <f>IFERROR(__xludf.DUMMYFUNCTION("""COMPUTED_VALUE"""),46134.72204861111)</f>
        <v>46134.72205</v>
      </c>
      <c r="N84" s="93">
        <f>IFERROR(__xludf.DUMMYFUNCTION("""COMPUTED_VALUE"""),71.0)</f>
        <v>71</v>
      </c>
      <c r="O84" s="93"/>
      <c r="P84" s="93" t="str">
        <f>IFERROR(__xludf.DUMMYFUNCTION("""COMPUTED_VALUE"""),"Kit Delivery")</f>
        <v>Kit Delivery</v>
      </c>
      <c r="Q84" s="93"/>
      <c r="R84" s="93"/>
      <c r="S84" s="93" t="str">
        <f>IFERROR(__xludf.DUMMYFUNCTION("""COMPUTED_VALUE"""),"Dispatch_Images/KIT--17456.Photos.221941.jpg")</f>
        <v>Dispatch_Images/KIT--17456.Photos.221941.jpg</v>
      </c>
      <c r="T84" s="95">
        <f>IFERROR(__xludf.DUMMYFUNCTION("""COMPUTED_VALUE"""),46134.724340277775)</f>
        <v>46134.72434</v>
      </c>
      <c r="U84" s="93"/>
      <c r="V84" s="93"/>
      <c r="W84" s="93"/>
      <c r="X84" s="93"/>
      <c r="Y84" s="93"/>
      <c r="Z84" s="93"/>
    </row>
    <row r="85">
      <c r="A85" s="93" t="str">
        <f>IFERROR(__xludf.DUMMYFUNCTION("""COMPUTED_VALUE"""),"KIT-#17556")</f>
        <v>KIT-#17556</v>
      </c>
      <c r="B85" s="94">
        <f>IFERROR(__xludf.DUMMYFUNCTION("""COMPUTED_VALUE"""),46143.0)</f>
        <v>46143</v>
      </c>
      <c r="C85" s="93" t="str">
        <f>IFERROR(__xludf.DUMMYFUNCTION("""COMPUTED_VALUE"""),"Kit Delivery")</f>
        <v>Kit Delivery</v>
      </c>
      <c r="D85" s="93">
        <f>IFERROR(__xludf.DUMMYFUNCTION("""COMPUTED_VALUE"""),2.0)</f>
        <v>2</v>
      </c>
      <c r="E85" s="93" t="str">
        <f>IFERROR(__xludf.DUMMYFUNCTION("""COMPUTED_VALUE"""),"Park")</f>
        <v>Park</v>
      </c>
      <c r="F85" s="93">
        <f>IFERROR(__xludf.DUMMYFUNCTION("""COMPUTED_VALUE"""),471.0)</f>
        <v>471</v>
      </c>
      <c r="G85" s="93" t="str">
        <f>IFERROR(__xludf.DUMMYFUNCTION("""COMPUTED_VALUE"""),"Katya Galanin *")</f>
        <v>Katya Galanin *</v>
      </c>
      <c r="H85" s="93">
        <f>IFERROR(__xludf.DUMMYFUNCTION("""COMPUTED_VALUE"""),9.293750172E9)</f>
        <v>9293750172</v>
      </c>
      <c r="I85" s="93" t="str">
        <f>IFERROR(__xludf.DUMMYFUNCTION("""COMPUTED_VALUE"""),"10AM-12PM")</f>
        <v>10AM-12PM</v>
      </c>
      <c r="J85" s="93">
        <f>IFERROR(__xludf.DUMMYFUNCTION("""COMPUTED_VALUE"""),1.0)</f>
        <v>1</v>
      </c>
      <c r="K85" s="93" t="str">
        <f>IFERROR(__xludf.DUMMYFUNCTION("""COMPUTED_VALUE"""),"Complete")</f>
        <v>Complete</v>
      </c>
      <c r="L85" s="93"/>
      <c r="M85" s="94">
        <f>IFERROR(__xludf.DUMMYFUNCTION("""COMPUTED_VALUE"""),46134.723495370374)</f>
        <v>46134.7235</v>
      </c>
      <c r="N85" s="93">
        <f>IFERROR(__xludf.DUMMYFUNCTION("""COMPUTED_VALUE"""),85.0)</f>
        <v>85</v>
      </c>
      <c r="O85" s="93"/>
      <c r="P85" s="93" t="str">
        <f>IFERROR(__xludf.DUMMYFUNCTION("""COMPUTED_VALUE"""),"Kit Delivery")</f>
        <v>Kit Delivery</v>
      </c>
      <c r="Q85" s="93"/>
      <c r="R85" s="93"/>
      <c r="S85" s="93" t="str">
        <f>IFERROR(__xludf.DUMMYFUNCTION("""COMPUTED_VALUE"""),"Dispatch_Images/KIT--17556.Photos.222147.jpg")</f>
        <v>Dispatch_Images/KIT--17556.Photos.222147.jpg</v>
      </c>
      <c r="T85" s="95">
        <f>IFERROR(__xludf.DUMMYFUNCTION("""COMPUTED_VALUE"""),46134.724340277775)</f>
        <v>46134.72434</v>
      </c>
      <c r="U85" s="93"/>
      <c r="V85" s="93"/>
      <c r="W85" s="93"/>
      <c r="X85" s="93"/>
      <c r="Y85" s="93"/>
      <c r="Z85" s="93"/>
    </row>
    <row r="86">
      <c r="A86" s="93" t="str">
        <f>IFERROR(__xludf.DUMMYFUNCTION("""COMPUTED_VALUE"""),"KIT-#17677")</f>
        <v>KIT-#17677</v>
      </c>
      <c r="B86" s="94">
        <f>IFERROR(__xludf.DUMMYFUNCTION("""COMPUTED_VALUE"""),46143.0)</f>
        <v>46143</v>
      </c>
      <c r="C86" s="93" t="str">
        <f>IFERROR(__xludf.DUMMYFUNCTION("""COMPUTED_VALUE"""),"Kit Delivery")</f>
        <v>Kit Delivery</v>
      </c>
      <c r="D86" s="93">
        <f>IFERROR(__xludf.DUMMYFUNCTION("""COMPUTED_VALUE"""),2.0)</f>
        <v>2</v>
      </c>
      <c r="E86" s="93" t="str">
        <f>IFERROR(__xludf.DUMMYFUNCTION("""COMPUTED_VALUE"""),"Mudd")</f>
        <v>Mudd</v>
      </c>
      <c r="F86" s="93">
        <f>IFERROR(__xludf.DUMMYFUNCTION("""COMPUTED_VALUE"""),124.0)</f>
        <v>124</v>
      </c>
      <c r="G86" s="93" t="str">
        <f>IFERROR(__xludf.DUMMYFUNCTION("""COMPUTED_VALUE"""),"Louis Quartararo*")</f>
        <v>Louis Quartararo*</v>
      </c>
      <c r="H86" s="93">
        <f>IFERROR(__xludf.DUMMYFUNCTION("""COMPUTED_VALUE"""),2.016009548E9)</f>
        <v>2016009548</v>
      </c>
      <c r="I86" s="93" t="str">
        <f>IFERROR(__xludf.DUMMYFUNCTION("""COMPUTED_VALUE"""),"3PM-5PM")</f>
        <v>3PM-5PM</v>
      </c>
      <c r="J86" s="93">
        <f>IFERROR(__xludf.DUMMYFUNCTION("""COMPUTED_VALUE"""),1.0)</f>
        <v>1</v>
      </c>
      <c r="K86" s="93" t="str">
        <f>IFERROR(__xludf.DUMMYFUNCTION("""COMPUTED_VALUE"""),"Complete")</f>
        <v>Complete</v>
      </c>
      <c r="L86" s="93"/>
      <c r="M86" s="94">
        <f>IFERROR(__xludf.DUMMYFUNCTION("""COMPUTED_VALUE"""),46134.72709490741)</f>
        <v>46134.72709</v>
      </c>
      <c r="N86" s="93">
        <f>IFERROR(__xludf.DUMMYFUNCTION("""COMPUTED_VALUE"""),88.0)</f>
        <v>88</v>
      </c>
      <c r="O86" s="93"/>
      <c r="P86" s="93" t="str">
        <f>IFERROR(__xludf.DUMMYFUNCTION("""COMPUTED_VALUE"""),"Kit Delivery")</f>
        <v>Kit Delivery</v>
      </c>
      <c r="Q86" s="93"/>
      <c r="R86" s="93"/>
      <c r="S86" s="93" t="str">
        <f>IFERROR(__xludf.DUMMYFUNCTION("""COMPUTED_VALUE"""),"Dispatch_Images/KIT--17677.Photos.222658.jpg")</f>
        <v>Dispatch_Images/KIT--17677.Photos.222658.jpg</v>
      </c>
      <c r="T86" s="95">
        <f>IFERROR(__xludf.DUMMYFUNCTION("""COMPUTED_VALUE"""),46134.73128472222)</f>
        <v>46134.73128</v>
      </c>
      <c r="U86" s="93"/>
      <c r="V86" s="93"/>
      <c r="W86" s="93"/>
      <c r="X86" s="93"/>
      <c r="Y86" s="93"/>
      <c r="Z86" s="93"/>
    </row>
    <row r="87">
      <c r="A87" s="93" t="str">
        <f>IFERROR(__xludf.DUMMYFUNCTION("""COMPUTED_VALUE"""),"KIT-#17553")</f>
        <v>KIT-#17553</v>
      </c>
      <c r="B87" s="94">
        <f>IFERROR(__xludf.DUMMYFUNCTION("""COMPUTED_VALUE"""),46143.0)</f>
        <v>46143</v>
      </c>
      <c r="C87" s="93" t="str">
        <f>IFERROR(__xludf.DUMMYFUNCTION("""COMPUTED_VALUE"""),"Kit Delivery")</f>
        <v>Kit Delivery</v>
      </c>
      <c r="D87" s="93">
        <f>IFERROR(__xludf.DUMMYFUNCTION("""COMPUTED_VALUE"""),2.0)</f>
        <v>2</v>
      </c>
      <c r="E87" s="93" t="str">
        <f>IFERROR(__xludf.DUMMYFUNCTION("""COMPUTED_VALUE"""),"Mudd")</f>
        <v>Mudd</v>
      </c>
      <c r="F87" s="93">
        <f>IFERROR(__xludf.DUMMYFUNCTION("""COMPUTED_VALUE"""),161.0)</f>
        <v>161</v>
      </c>
      <c r="G87" s="93" t="str">
        <f>IFERROR(__xludf.DUMMYFUNCTION("""COMPUTED_VALUE"""),"Alexander Wetzler*")</f>
        <v>Alexander Wetzler*</v>
      </c>
      <c r="H87" s="93">
        <f>IFERROR(__xludf.DUMMYFUNCTION("""COMPUTED_VALUE"""),9.175093592E9)</f>
        <v>9175093592</v>
      </c>
      <c r="I87" s="93" t="str">
        <f>IFERROR(__xludf.DUMMYFUNCTION("""COMPUTED_VALUE"""),"1PM-3PM")</f>
        <v>1PM-3PM</v>
      </c>
      <c r="J87" s="93">
        <f>IFERROR(__xludf.DUMMYFUNCTION("""COMPUTED_VALUE"""),1.0)</f>
        <v>1</v>
      </c>
      <c r="K87" s="93" t="str">
        <f>IFERROR(__xludf.DUMMYFUNCTION("""COMPUTED_VALUE"""),"Complete")</f>
        <v>Complete</v>
      </c>
      <c r="L87" s="93"/>
      <c r="M87" s="94">
        <f>IFERROR(__xludf.DUMMYFUNCTION("""COMPUTED_VALUE"""),46134.72844907407)</f>
        <v>46134.72845</v>
      </c>
      <c r="N87" s="93">
        <f>IFERROR(__xludf.DUMMYFUNCTION("""COMPUTED_VALUE"""),90.0)</f>
        <v>90</v>
      </c>
      <c r="O87" s="93" t="str">
        <f>IFERROR(__xludf.DUMMYFUNCTION("""COMPUTED_VALUE"""),"4719 Stonehearth Place, Dallas, Texas, 75287")</f>
        <v>4719 Stonehearth Place, Dallas, Texas, 75287</v>
      </c>
      <c r="P87" s="93" t="str">
        <f>IFERROR(__xludf.DUMMYFUNCTION("""COMPUTED_VALUE"""),"Kit Delivery")</f>
        <v>Kit Delivery</v>
      </c>
      <c r="Q87" s="93"/>
      <c r="R87" s="93"/>
      <c r="S87" s="93" t="str">
        <f>IFERROR(__xludf.DUMMYFUNCTION("""COMPUTED_VALUE"""),"Dispatch_Images/KIT--17553.Photos.222855.jpg")</f>
        <v>Dispatch_Images/KIT--17553.Photos.222855.jpg</v>
      </c>
      <c r="T87" s="95">
        <f>IFERROR(__xludf.DUMMYFUNCTION("""COMPUTED_VALUE"""),46134.73128472222)</f>
        <v>46134.73128</v>
      </c>
      <c r="U87" s="93"/>
      <c r="V87" s="93"/>
      <c r="W87" s="93"/>
      <c r="X87" s="93"/>
      <c r="Y87" s="93"/>
      <c r="Z87" s="93"/>
    </row>
    <row r="88">
      <c r="A88" s="93" t="str">
        <f>IFERROR(__xludf.DUMMYFUNCTION("""COMPUTED_VALUE"""),"KIT-#17503")</f>
        <v>KIT-#17503</v>
      </c>
      <c r="B88" s="94">
        <f>IFERROR(__xludf.DUMMYFUNCTION("""COMPUTED_VALUE"""),46143.0)</f>
        <v>46143</v>
      </c>
      <c r="C88" s="93" t="str">
        <f>IFERROR(__xludf.DUMMYFUNCTION("""COMPUTED_VALUE"""),"Kit Delivery")</f>
        <v>Kit Delivery</v>
      </c>
      <c r="D88" s="93">
        <f>IFERROR(__xludf.DUMMYFUNCTION("""COMPUTED_VALUE"""),2.0)</f>
        <v>2</v>
      </c>
      <c r="E88" s="93" t="str">
        <f>IFERROR(__xludf.DUMMYFUNCTION("""COMPUTED_VALUE"""),"Hurd")</f>
        <v>Hurd</v>
      </c>
      <c r="F88" s="93">
        <f>IFERROR(__xludf.DUMMYFUNCTION("""COMPUTED_VALUE"""),322.0)</f>
        <v>322</v>
      </c>
      <c r="G88" s="93" t="str">
        <f>IFERROR(__xludf.DUMMYFUNCTION("""COMPUTED_VALUE"""),"Whitney Xu*")</f>
        <v>Whitney Xu*</v>
      </c>
      <c r="H88" s="93">
        <f>IFERROR(__xludf.DUMMYFUNCTION("""COMPUTED_VALUE"""),4.752618419E9)</f>
        <v>4752618419</v>
      </c>
      <c r="I88" s="93" t="str">
        <f>IFERROR(__xludf.DUMMYFUNCTION("""COMPUTED_VALUE"""),"9AM-11AM")</f>
        <v>9AM-11AM</v>
      </c>
      <c r="J88" s="93">
        <f>IFERROR(__xludf.DUMMYFUNCTION("""COMPUTED_VALUE"""),1.0)</f>
        <v>1</v>
      </c>
      <c r="K88" s="93" t="str">
        <f>IFERROR(__xludf.DUMMYFUNCTION("""COMPUTED_VALUE"""),"Complete")</f>
        <v>Complete</v>
      </c>
      <c r="L88" s="93"/>
      <c r="M88" s="94">
        <f>IFERROR(__xludf.DUMMYFUNCTION("""COMPUTED_VALUE"""),46134.74394675926)</f>
        <v>46134.74395</v>
      </c>
      <c r="N88" s="93">
        <f>IFERROR(__xludf.DUMMYFUNCTION("""COMPUTED_VALUE"""),20.0)</f>
        <v>20</v>
      </c>
      <c r="O88" s="93"/>
      <c r="P88" s="93" t="str">
        <f>IFERROR(__xludf.DUMMYFUNCTION("""COMPUTED_VALUE"""),"Kit Delivery")</f>
        <v>Kit Delivery</v>
      </c>
      <c r="Q88" s="93"/>
      <c r="R88" s="93"/>
      <c r="S88" s="93" t="str">
        <f>IFERROR(__xludf.DUMMYFUNCTION("""COMPUTED_VALUE"""),"Dispatch_Images/KIT--17503.Photos.225113.jpg")</f>
        <v>Dispatch_Images/KIT--17503.Photos.225113.jpg</v>
      </c>
      <c r="T88" s="95">
        <f>IFERROR(__xludf.DUMMYFUNCTION("""COMPUTED_VALUE"""),46134.74517361111)</f>
        <v>46134.74517</v>
      </c>
      <c r="U88" s="93"/>
      <c r="V88" s="93"/>
      <c r="W88" s="93"/>
      <c r="X88" s="93"/>
      <c r="Y88" s="93"/>
      <c r="Z88" s="93"/>
    </row>
    <row r="89">
      <c r="A89" s="93" t="str">
        <f>IFERROR(__xludf.DUMMYFUNCTION("""COMPUTED_VALUE"""),"KIT-#17427")</f>
        <v>KIT-#17427</v>
      </c>
      <c r="B89" s="94">
        <f>IFERROR(__xludf.DUMMYFUNCTION("""COMPUTED_VALUE"""),46143.0)</f>
        <v>46143</v>
      </c>
      <c r="C89" s="93" t="str">
        <f>IFERROR(__xludf.DUMMYFUNCTION("""COMPUTED_VALUE"""),"Kit Delivery")</f>
        <v>Kit Delivery</v>
      </c>
      <c r="D89" s="93">
        <f>IFERROR(__xludf.DUMMYFUNCTION("""COMPUTED_VALUE"""),2.0)</f>
        <v>2</v>
      </c>
      <c r="E89" s="93" t="str">
        <f>IFERROR(__xludf.DUMMYFUNCTION("""COMPUTED_VALUE"""),"Myers")</f>
        <v>Myers</v>
      </c>
      <c r="F89" s="93">
        <f>IFERROR(__xludf.DUMMYFUNCTION("""COMPUTED_VALUE"""),341.0)</f>
        <v>341</v>
      </c>
      <c r="G89" s="93" t="str">
        <f>IFERROR(__xludf.DUMMYFUNCTION("""COMPUTED_VALUE"""),"Ben Blackford*")</f>
        <v>Ben Blackford*</v>
      </c>
      <c r="H89" s="93">
        <f>IFERROR(__xludf.DUMMYFUNCTION("""COMPUTED_VALUE"""),5.027026505E9)</f>
        <v>5027026505</v>
      </c>
      <c r="I89" s="93" t="str">
        <f>IFERROR(__xludf.DUMMYFUNCTION("""COMPUTED_VALUE"""),"12PM-2PM")</f>
        <v>12PM-2PM</v>
      </c>
      <c r="J89" s="93">
        <f>IFERROR(__xludf.DUMMYFUNCTION("""COMPUTED_VALUE"""),2.0)</f>
        <v>2</v>
      </c>
      <c r="K89" s="93" t="str">
        <f>IFERROR(__xludf.DUMMYFUNCTION("""COMPUTED_VALUE"""),"Complete")</f>
        <v>Complete</v>
      </c>
      <c r="L89" s="93"/>
      <c r="M89" s="94">
        <f>IFERROR(__xludf.DUMMYFUNCTION("""COMPUTED_VALUE"""),46134.74678240741)</f>
        <v>46134.74678</v>
      </c>
      <c r="N89" s="93">
        <f>IFERROR(__xludf.DUMMYFUNCTION("""COMPUTED_VALUE"""),23.0)</f>
        <v>23</v>
      </c>
      <c r="O89" s="93"/>
      <c r="P89" s="93" t="str">
        <f>IFERROR(__xludf.DUMMYFUNCTION("""COMPUTED_VALUE"""),"Kit Delivery")</f>
        <v>Kit Delivery</v>
      </c>
      <c r="Q89" s="93"/>
      <c r="R89" s="93"/>
      <c r="S89" s="93" t="str">
        <f>IFERROR(__xludf.DUMMYFUNCTION("""COMPUTED_VALUE"""),"Dispatch_Images/KIT--17427.Photos.225518.jpg")</f>
        <v>Dispatch_Images/KIT--17427.Photos.225518.jpg</v>
      </c>
      <c r="T89" s="95">
        <f>IFERROR(__xludf.DUMMYFUNCTION("""COMPUTED_VALUE"""),46134.752118055556)</f>
        <v>46134.75212</v>
      </c>
      <c r="U89" s="93"/>
      <c r="V89" s="93"/>
      <c r="W89" s="93"/>
      <c r="X89" s="93"/>
      <c r="Y89" s="93"/>
      <c r="Z89" s="93"/>
    </row>
    <row r="90">
      <c r="A90" s="93" t="str">
        <f>IFERROR(__xludf.DUMMYFUNCTION("""COMPUTED_VALUE"""),"KIT-#17577")</f>
        <v>KIT-#17577</v>
      </c>
      <c r="B90" s="94">
        <f>IFERROR(__xludf.DUMMYFUNCTION("""COMPUTED_VALUE"""),46143.0)</f>
        <v>46143</v>
      </c>
      <c r="C90" s="93" t="str">
        <f>IFERROR(__xludf.DUMMYFUNCTION("""COMPUTED_VALUE"""),"Kit Delivery")</f>
        <v>Kit Delivery</v>
      </c>
      <c r="D90" s="93">
        <f>IFERROR(__xludf.DUMMYFUNCTION("""COMPUTED_VALUE"""),2.0)</f>
        <v>2</v>
      </c>
      <c r="E90" s="93" t="str">
        <f>IFERROR(__xludf.DUMMYFUNCTION("""COMPUTED_VALUE"""),"Hitzeman")</f>
        <v>Hitzeman</v>
      </c>
      <c r="F90" s="93">
        <f>IFERROR(__xludf.DUMMYFUNCTION("""COMPUTED_VALUE"""),422.0)</f>
        <v>422</v>
      </c>
      <c r="G90" s="93" t="str">
        <f>IFERROR(__xludf.DUMMYFUNCTION("""COMPUTED_VALUE"""),"Joyce Chen*")</f>
        <v>Joyce Chen*</v>
      </c>
      <c r="H90" s="93">
        <f>IFERROR(__xludf.DUMMYFUNCTION("""COMPUTED_VALUE"""),4.177666098E9)</f>
        <v>4177666098</v>
      </c>
      <c r="I90" s="93" t="str">
        <f>IFERROR(__xludf.DUMMYFUNCTION("""COMPUTED_VALUE"""),"2PM-4PM")</f>
        <v>2PM-4PM</v>
      </c>
      <c r="J90" s="93">
        <f>IFERROR(__xludf.DUMMYFUNCTION("""COMPUTED_VALUE"""),1.0)</f>
        <v>1</v>
      </c>
      <c r="K90" s="93" t="str">
        <f>IFERROR(__xludf.DUMMYFUNCTION("""COMPUTED_VALUE"""),"Complete")</f>
        <v>Complete</v>
      </c>
      <c r="L90" s="93"/>
      <c r="M90" s="94">
        <f>IFERROR(__xludf.DUMMYFUNCTION("""COMPUTED_VALUE"""),46134.75623842592)</f>
        <v>46134.75624</v>
      </c>
      <c r="N90" s="93">
        <f>IFERROR(__xludf.DUMMYFUNCTION("""COMPUTED_VALUE"""),11.0)</f>
        <v>11</v>
      </c>
      <c r="O90" s="93"/>
      <c r="P90" s="93" t="str">
        <f>IFERROR(__xludf.DUMMYFUNCTION("""COMPUTED_VALUE"""),"Kit Delivery")</f>
        <v>Kit Delivery</v>
      </c>
      <c r="Q90" s="93"/>
      <c r="R90" s="93"/>
      <c r="S90" s="93" t="str">
        <f>IFERROR(__xludf.DUMMYFUNCTION("""COMPUTED_VALUE"""),"Dispatch_Images/KIT--17577.Photos.230855.jpg")</f>
        <v>Dispatch_Images/KIT--17577.Photos.230855.jpg</v>
      </c>
      <c r="T90" s="95">
        <f>IFERROR(__xludf.DUMMYFUNCTION("""COMPUTED_VALUE"""),46134.75907407407)</f>
        <v>46134.75907</v>
      </c>
      <c r="U90" s="93"/>
      <c r="V90" s="93"/>
      <c r="W90" s="93"/>
      <c r="X90" s="93"/>
      <c r="Y90" s="93"/>
      <c r="Z90" s="93"/>
    </row>
    <row r="91">
      <c r="A91" s="93" t="str">
        <f>IFERROR(__xludf.DUMMYFUNCTION("""COMPUTED_VALUE"""),"KIT-#17486")</f>
        <v>KIT-#17486</v>
      </c>
      <c r="B91" s="94">
        <f>IFERROR(__xludf.DUMMYFUNCTION("""COMPUTED_VALUE"""),46143.0)</f>
        <v>46143</v>
      </c>
      <c r="C91" s="93" t="str">
        <f>IFERROR(__xludf.DUMMYFUNCTION("""COMPUTED_VALUE"""),"Kit Delivery")</f>
        <v>Kit Delivery</v>
      </c>
      <c r="D91" s="93">
        <f>IFERROR(__xludf.DUMMYFUNCTION("""COMPUTED_VALUE"""),2.0)</f>
        <v>2</v>
      </c>
      <c r="E91" s="93" t="str">
        <f>IFERROR(__xludf.DUMMYFUNCTION("""COMPUTED_VALUE"""),"House 6")</f>
        <v>House 6</v>
      </c>
      <c r="F91" s="93">
        <f>IFERROR(__xludf.DUMMYFUNCTION("""COMPUTED_VALUE"""),305.0)</f>
        <v>305</v>
      </c>
      <c r="G91" s="93" t="str">
        <f>IFERROR(__xludf.DUMMYFUNCTION("""COMPUTED_VALUE"""),"Gabriel Freedman*")</f>
        <v>Gabriel Freedman*</v>
      </c>
      <c r="H91" s="93">
        <f>IFERROR(__xludf.DUMMYFUNCTION("""COMPUTED_VALUE"""),3.107401036E9)</f>
        <v>3107401036</v>
      </c>
      <c r="I91" s="93" t="str">
        <f>IFERROR(__xludf.DUMMYFUNCTION("""COMPUTED_VALUE"""),"9AM-11AM")</f>
        <v>9AM-11AM</v>
      </c>
      <c r="J91" s="93">
        <f>IFERROR(__xludf.DUMMYFUNCTION("""COMPUTED_VALUE"""),2.0)</f>
        <v>2</v>
      </c>
      <c r="K91" s="93" t="str">
        <f>IFERROR(__xludf.DUMMYFUNCTION("""COMPUTED_VALUE"""),"Complete")</f>
        <v>Complete</v>
      </c>
      <c r="L91" s="93"/>
      <c r="M91" s="94">
        <f>IFERROR(__xludf.DUMMYFUNCTION("""COMPUTED_VALUE"""),46134.77751157407)</f>
        <v>46134.77751</v>
      </c>
      <c r="N91" s="93">
        <f>IFERROR(__xludf.DUMMYFUNCTION("""COMPUTED_VALUE"""),262.0)</f>
        <v>262</v>
      </c>
      <c r="O91" s="93"/>
      <c r="P91" s="93" t="str">
        <f>IFERROR(__xludf.DUMMYFUNCTION("""COMPUTED_VALUE"""),"Kit Delivery")</f>
        <v>Kit Delivery</v>
      </c>
      <c r="Q91" s="93" t="str">
        <f>IFERROR(__xludf.DUMMYFUNCTION("""COMPUTED_VALUE"""),"Return in Fall will be to same house (House 6 SAE) but to a different as yet unassigned room.")</f>
        <v>Return in Fall will be to same house (House 6 SAE) but to a different as yet unassigned room.</v>
      </c>
      <c r="R91" s="93"/>
      <c r="S91" s="93" t="str">
        <f>IFERROR(__xludf.DUMMYFUNCTION("""COMPUTED_VALUE"""),"Dispatch_Images/KIT--17486.Photos.233934.jpg")</f>
        <v>Dispatch_Images/KIT--17486.Photos.233934.jpg</v>
      </c>
      <c r="T91" s="95">
        <f>IFERROR(__xludf.DUMMYFUNCTION("""COMPUTED_VALUE"""),46134.77989583334)</f>
        <v>46134.7799</v>
      </c>
      <c r="U91" s="93"/>
      <c r="V91" s="93"/>
      <c r="W91" s="93"/>
      <c r="X91" s="93"/>
      <c r="Y91" s="93"/>
      <c r="Z91" s="93"/>
    </row>
    <row r="92">
      <c r="A92" s="93" t="str">
        <f>IFERROR(__xludf.DUMMYFUNCTION("""COMPUTED_VALUE"""),"KIT-#17089")</f>
        <v>KIT-#17089</v>
      </c>
      <c r="B92" s="94">
        <f>IFERROR(__xludf.DUMMYFUNCTION("""COMPUTED_VALUE"""),46143.0)</f>
        <v>46143</v>
      </c>
      <c r="C92" s="93" t="str">
        <f>IFERROR(__xludf.DUMMYFUNCTION("""COMPUTED_VALUE"""),"Kit Delivery")</f>
        <v>Kit Delivery</v>
      </c>
      <c r="D92" s="93">
        <f>IFERROR(__xludf.DUMMYFUNCTION("""COMPUTED_VALUE"""),2.0)</f>
        <v>2</v>
      </c>
      <c r="E92" s="93" t="str">
        <f>IFERROR(__xludf.DUMMYFUNCTION("""COMPUTED_VALUE"""),"Greenway Apartments")</f>
        <v>Greenway Apartments</v>
      </c>
      <c r="F92" s="93" t="str">
        <f>IFERROR(__xludf.DUMMYFUNCTION("""COMPUTED_VALUE"""),"112a")</f>
        <v>112a</v>
      </c>
      <c r="G92" s="93" t="str">
        <f>IFERROR(__xludf.DUMMYFUNCTION("""COMPUTED_VALUE"""),"Margot Kades")</f>
        <v>Margot Kades</v>
      </c>
      <c r="H92" s="93">
        <f>IFERROR(__xludf.DUMMYFUNCTION("""COMPUTED_VALUE"""),7.13321044E9)</f>
        <v>7133210440</v>
      </c>
      <c r="I92" s="93" t="str">
        <f>IFERROR(__xludf.DUMMYFUNCTION("""COMPUTED_VALUE"""),"11AM-1PM")</f>
        <v>11AM-1PM</v>
      </c>
      <c r="J92" s="93">
        <f>IFERROR(__xludf.DUMMYFUNCTION("""COMPUTED_VALUE"""),2.0)</f>
        <v>2</v>
      </c>
      <c r="K92" s="93" t="str">
        <f>IFERROR(__xludf.DUMMYFUNCTION("""COMPUTED_VALUE"""),"Complete")</f>
        <v>Complete</v>
      </c>
      <c r="L92" s="93"/>
      <c r="M92" s="94">
        <f>IFERROR(__xludf.DUMMYFUNCTION("""COMPUTED_VALUE"""),46136.54682870371)</f>
        <v>46136.54683</v>
      </c>
      <c r="N92" s="93">
        <f>IFERROR(__xludf.DUMMYFUNCTION("""COMPUTED_VALUE"""),268.0)</f>
        <v>268</v>
      </c>
      <c r="O92" s="93"/>
      <c r="P92" s="93" t="str">
        <f>IFERROR(__xludf.DUMMYFUNCTION("""COMPUTED_VALUE"""),"Kit Delivery")</f>
        <v>Kit Delivery</v>
      </c>
      <c r="Q92" s="93"/>
      <c r="R92" s="93"/>
      <c r="S92" s="93" t="str">
        <f>IFERROR(__xludf.DUMMYFUNCTION("""COMPUTED_VALUE"""),"Dispatch_Images/KIT--17089.Photos.180721.jpg")</f>
        <v>Dispatch_Images/KIT--17089.Photos.180721.jpg</v>
      </c>
      <c r="T92" s="95">
        <f>IFERROR(__xludf.DUMMYFUNCTION("""COMPUTED_VALUE"""),46136.550717592596)</f>
        <v>46136.55072</v>
      </c>
      <c r="U92" s="93"/>
      <c r="V92" s="93"/>
      <c r="W92" s="93"/>
      <c r="X92" s="93"/>
      <c r="Y92" s="93"/>
      <c r="Z92" s="93"/>
    </row>
    <row r="93">
      <c r="A93" s="93" t="str">
        <f>IFERROR(__xludf.DUMMYFUNCTION("""COMPUTED_VALUE"""),"KIT-#17631")</f>
        <v>KIT-#17631</v>
      </c>
      <c r="B93" s="94">
        <f>IFERROR(__xludf.DUMMYFUNCTION("""COMPUTED_VALUE"""),46143.0)</f>
        <v>46143</v>
      </c>
      <c r="C93" s="93" t="str">
        <f>IFERROR(__xludf.DUMMYFUNCTION("""COMPUTED_VALUE"""),"Kit Delivery")</f>
        <v>Kit Delivery</v>
      </c>
      <c r="D93" s="93">
        <f>IFERROR(__xludf.DUMMYFUNCTION("""COMPUTED_VALUE"""),2.0)</f>
        <v>2</v>
      </c>
      <c r="E93" s="93" t="str">
        <f>IFERROR(__xludf.DUMMYFUNCTION("""COMPUTED_VALUE"""),"Lien")</f>
        <v>Lien</v>
      </c>
      <c r="F93" s="93">
        <f>IFERROR(__xludf.DUMMYFUNCTION("""COMPUTED_VALUE"""),2233.0)</f>
        <v>2233</v>
      </c>
      <c r="G93" s="93" t="str">
        <f>IFERROR(__xludf.DUMMYFUNCTION("""COMPUTED_VALUE"""),"Miles Newman")</f>
        <v>Miles Newman</v>
      </c>
      <c r="H93" s="93">
        <f>IFERROR(__xludf.DUMMYFUNCTION("""COMPUTED_VALUE"""),1.914777099E10)</f>
        <v>19147770990</v>
      </c>
      <c r="I93" s="93" t="str">
        <f>IFERROR(__xludf.DUMMYFUNCTION("""COMPUTED_VALUE"""),"1PM-3PM")</f>
        <v>1PM-3PM</v>
      </c>
      <c r="J93" s="93">
        <f>IFERROR(__xludf.DUMMYFUNCTION("""COMPUTED_VALUE"""),1.0)</f>
        <v>1</v>
      </c>
      <c r="K93" s="93" t="str">
        <f>IFERROR(__xludf.DUMMYFUNCTION("""COMPUTED_VALUE"""),"Complete")</f>
        <v>Complete</v>
      </c>
      <c r="L93" s="93"/>
      <c r="M93" s="94">
        <f>IFERROR(__xludf.DUMMYFUNCTION("""COMPUTED_VALUE"""),46137.56434027778)</f>
        <v>46137.56434</v>
      </c>
      <c r="N93" s="93">
        <f>IFERROR(__xludf.DUMMYFUNCTION("""COMPUTED_VALUE"""),166.0)</f>
        <v>166</v>
      </c>
      <c r="O93" s="93"/>
      <c r="P93" s="93" t="str">
        <f>IFERROR(__xludf.DUMMYFUNCTION("""COMPUTED_VALUE"""),"Kit Delivery")</f>
        <v>Kit Delivery</v>
      </c>
      <c r="Q93" s="93"/>
      <c r="R93" s="93"/>
      <c r="S93" s="93" t="str">
        <f>IFERROR(__xludf.DUMMYFUNCTION("""COMPUTED_VALUE"""),"Dispatch_Images/KIT--17631.Photos.183236.jpg")</f>
        <v>Dispatch_Images/KIT--17631.Photos.183236.jpg</v>
      </c>
      <c r="T93" s="95">
        <f>IFERROR(__xludf.DUMMYFUNCTION("""COMPUTED_VALUE"""),46137.56460648148)</f>
        <v>46137.56461</v>
      </c>
      <c r="U93" s="93"/>
      <c r="V93" s="93"/>
      <c r="W93" s="93"/>
      <c r="X93" s="93"/>
      <c r="Y93" s="93"/>
      <c r="Z93" s="93"/>
    </row>
    <row r="94">
      <c r="A94" s="93" t="str">
        <f>IFERROR(__xludf.DUMMYFUNCTION("""COMPUTED_VALUE"""),"KIT-#17696")</f>
        <v>KIT-#17696</v>
      </c>
      <c r="B94" s="94">
        <f>IFERROR(__xludf.DUMMYFUNCTION("""COMPUTED_VALUE"""),46143.0)</f>
        <v>46143</v>
      </c>
      <c r="C94" s="93" t="str">
        <f>IFERROR(__xludf.DUMMYFUNCTION("""COMPUTED_VALUE"""),"Kit Delivery")</f>
        <v>Kit Delivery</v>
      </c>
      <c r="D94" s="93">
        <f>IFERROR(__xludf.DUMMYFUNCTION("""COMPUTED_VALUE"""),2.0)</f>
        <v>2</v>
      </c>
      <c r="E94" s="93" t="str">
        <f>IFERROR(__xludf.DUMMYFUNCTION("""COMPUTED_VALUE"""),"Koenig")</f>
        <v>Koenig</v>
      </c>
      <c r="F94" s="93">
        <f>IFERROR(__xludf.DUMMYFUNCTION("""COMPUTED_VALUE"""),1108.0)</f>
        <v>1108</v>
      </c>
      <c r="G94" s="93" t="str">
        <f>IFERROR(__xludf.DUMMYFUNCTION("""COMPUTED_VALUE"""),"Kayla Tinsley")</f>
        <v>Kayla Tinsley</v>
      </c>
      <c r="H94" s="93">
        <f>IFERROR(__xludf.DUMMYFUNCTION("""COMPUTED_VALUE"""),8.033715949E9)</f>
        <v>8033715949</v>
      </c>
      <c r="I94" s="93" t="str">
        <f>IFERROR(__xludf.DUMMYFUNCTION("""COMPUTED_VALUE"""),"12PM-2PM")</f>
        <v>12PM-2PM</v>
      </c>
      <c r="J94" s="93">
        <f>IFERROR(__xludf.DUMMYFUNCTION("""COMPUTED_VALUE"""),1.0)</f>
        <v>1</v>
      </c>
      <c r="K94" s="93" t="str">
        <f>IFERROR(__xludf.DUMMYFUNCTION("""COMPUTED_VALUE"""),"Complete")</f>
        <v>Complete</v>
      </c>
      <c r="L94" s="93"/>
      <c r="M94" s="94">
        <f>IFERROR(__xludf.DUMMYFUNCTION("""COMPUTED_VALUE"""),46137.573796296296)</f>
        <v>46137.5738</v>
      </c>
      <c r="N94" s="93">
        <f>IFERROR(__xludf.DUMMYFUNCTION("""COMPUTED_VALUE"""),128.0)</f>
        <v>128</v>
      </c>
      <c r="O94" s="93"/>
      <c r="P94" s="93" t="str">
        <f>IFERROR(__xludf.DUMMYFUNCTION("""COMPUTED_VALUE"""),"Kit Delivery")</f>
        <v>Kit Delivery</v>
      </c>
      <c r="Q94" s="93"/>
      <c r="R94" s="93"/>
      <c r="S94" s="93" t="str">
        <f>IFERROR(__xludf.DUMMYFUNCTION("""COMPUTED_VALUE"""),"Dispatch_Images/KIT--17696.Photos.184613.jpg")</f>
        <v>Dispatch_Images/KIT--17696.Photos.184613.jpg</v>
      </c>
      <c r="T94" s="95">
        <f>IFERROR(__xludf.DUMMYFUNCTION("""COMPUTED_VALUE"""),46137.57849537037)</f>
        <v>46137.5785</v>
      </c>
      <c r="U94" s="93"/>
      <c r="V94" s="93"/>
      <c r="W94" s="93"/>
      <c r="X94" s="93"/>
      <c r="Y94" s="93"/>
      <c r="Z94" s="93"/>
    </row>
    <row r="95">
      <c r="A95" s="93" t="str">
        <f>IFERROR(__xludf.DUMMYFUNCTION("""COMPUTED_VALUE"""),"KIT-#17119")</f>
        <v>KIT-#17119</v>
      </c>
      <c r="B95" s="94">
        <f>IFERROR(__xludf.DUMMYFUNCTION("""COMPUTED_VALUE"""),46143.0)</f>
        <v>46143</v>
      </c>
      <c r="C95" s="93" t="str">
        <f>IFERROR(__xludf.DUMMYFUNCTION("""COMPUTED_VALUE"""),"Kit Delivery")</f>
        <v>Kit Delivery</v>
      </c>
      <c r="D95" s="93">
        <f>IFERROR(__xludf.DUMMYFUNCTION("""COMPUTED_VALUE"""),2.0)</f>
        <v>2</v>
      </c>
      <c r="E95" s="93" t="str">
        <f>IFERROR(__xludf.DUMMYFUNCTION("""COMPUTED_VALUE"""),"Village House")</f>
        <v>Village House</v>
      </c>
      <c r="F95" s="93">
        <f>IFERROR(__xludf.DUMMYFUNCTION("""COMPUTED_VALUE"""),4071.0)</f>
        <v>4071</v>
      </c>
      <c r="G95" s="93" t="str">
        <f>IFERROR(__xludf.DUMMYFUNCTION("""COMPUTED_VALUE"""),"Anna Schwartz")</f>
        <v>Anna Schwartz</v>
      </c>
      <c r="H95" s="93">
        <f>IFERROR(__xludf.DUMMYFUNCTION("""COMPUTED_VALUE"""),1.4043457378E10)</f>
        <v>14043457378</v>
      </c>
      <c r="I95" s="93" t="str">
        <f>IFERROR(__xludf.DUMMYFUNCTION("""COMPUTED_VALUE"""),"3PM-5PM")</f>
        <v>3PM-5PM</v>
      </c>
      <c r="J95" s="93">
        <f>IFERROR(__xludf.DUMMYFUNCTION("""COMPUTED_VALUE"""),1.0)</f>
        <v>1</v>
      </c>
      <c r="K95" s="93" t="str">
        <f>IFERROR(__xludf.DUMMYFUNCTION("""COMPUTED_VALUE"""),"Complete")</f>
        <v>Complete</v>
      </c>
      <c r="L95" s="93" t="str">
        <f>IFERROR(__xludf.DUMMYFUNCTION("""COMPUTED_VALUE"""),"reached out 4/22")</f>
        <v>reached out 4/22</v>
      </c>
      <c r="M95" s="94">
        <f>IFERROR(__xludf.DUMMYFUNCTION("""COMPUTED_VALUE"""),46137.67202546296)</f>
        <v>46137.67203</v>
      </c>
      <c r="N95" s="93">
        <f>IFERROR(__xludf.DUMMYFUNCTION("""COMPUTED_VALUE"""),198.0)</f>
        <v>198</v>
      </c>
      <c r="O95" s="93"/>
      <c r="P95" s="93" t="str">
        <f>IFERROR(__xludf.DUMMYFUNCTION("""COMPUTED_VALUE"""),"Kit Delivery")</f>
        <v>Kit Delivery</v>
      </c>
      <c r="Q95" s="93"/>
      <c r="R95" s="93"/>
      <c r="S95" s="93" t="str">
        <f>IFERROR(__xludf.DUMMYFUNCTION("""COMPUTED_VALUE"""),"Dispatch_Images/KIT--17119.Photos.210740.jpg")</f>
        <v>Dispatch_Images/KIT--17119.Photos.210740.jpg</v>
      </c>
      <c r="T95" s="95">
        <f>IFERROR(__xludf.DUMMYFUNCTION("""COMPUTED_VALUE"""),46137.675729166665)</f>
        <v>46137.67573</v>
      </c>
      <c r="U95" s="93"/>
      <c r="V95" s="93"/>
      <c r="W95" s="93"/>
      <c r="X95" s="93"/>
      <c r="Y95" s="93"/>
      <c r="Z95" s="93"/>
    </row>
    <row r="96">
      <c r="A96" s="93" t="str">
        <f>IFERROR(__xludf.DUMMYFUNCTION("""COMPUTED_VALUE"""),"KIT-#17716")</f>
        <v>KIT-#17716</v>
      </c>
      <c r="B96" s="94">
        <f>IFERROR(__xludf.DUMMYFUNCTION("""COMPUTED_VALUE"""),46143.0)</f>
        <v>46143</v>
      </c>
      <c r="C96" s="93" t="str">
        <f>IFERROR(__xludf.DUMMYFUNCTION("""COMPUTED_VALUE"""),"Kit Delivery")</f>
        <v>Kit Delivery</v>
      </c>
      <c r="D96" s="93">
        <f>IFERROR(__xludf.DUMMYFUNCTION("""COMPUTED_VALUE"""),2.0)</f>
        <v>2</v>
      </c>
      <c r="E96" s="93" t="str">
        <f>IFERROR(__xludf.DUMMYFUNCTION("""COMPUTED_VALUE"""),"House 21")</f>
        <v>House 21</v>
      </c>
      <c r="F96" s="93" t="str">
        <f>IFERROR(__xludf.DUMMYFUNCTION("""COMPUTED_VALUE"""),"lobby for now")</f>
        <v>lobby for now</v>
      </c>
      <c r="G96" s="93" t="str">
        <f>IFERROR(__xludf.DUMMYFUNCTION("""COMPUTED_VALUE"""),"Jordan Ali Khan")</f>
        <v>Jordan Ali Khan</v>
      </c>
      <c r="H96" s="93">
        <f>IFERROR(__xludf.DUMMYFUNCTION("""COMPUTED_VALUE"""),4.165709784E9)</f>
        <v>4165709784</v>
      </c>
      <c r="I96" s="93" t="str">
        <f>IFERROR(__xludf.DUMMYFUNCTION("""COMPUTED_VALUE"""),"10AM-12PM")</f>
        <v>10AM-12PM</v>
      </c>
      <c r="J96" s="93">
        <f>IFERROR(__xludf.DUMMYFUNCTION("""COMPUTED_VALUE"""),1.0)</f>
        <v>1</v>
      </c>
      <c r="K96" s="93" t="str">
        <f>IFERROR(__xludf.DUMMYFUNCTION("""COMPUTED_VALUE"""),"Complete")</f>
        <v>Complete</v>
      </c>
      <c r="L96" s="93"/>
      <c r="M96" s="94">
        <f>IFERROR(__xludf.DUMMYFUNCTION("""COMPUTED_VALUE"""),46137.68784722222)</f>
        <v>46137.68785</v>
      </c>
      <c r="N96" s="93">
        <f>IFERROR(__xludf.DUMMYFUNCTION("""COMPUTED_VALUE"""),239.0)</f>
        <v>239</v>
      </c>
      <c r="O96" s="93"/>
      <c r="P96" s="93" t="str">
        <f>IFERROR(__xludf.DUMMYFUNCTION("""COMPUTED_VALUE"""),"Kit Delivery")</f>
        <v>Kit Delivery</v>
      </c>
      <c r="Q96" s="93"/>
      <c r="R96" s="93"/>
      <c r="S96" s="93" t="str">
        <f>IFERROR(__xludf.DUMMYFUNCTION("""COMPUTED_VALUE"""),"Dispatch_Images/KIT--17716.Photos.213026.jpg")</f>
        <v>Dispatch_Images/KIT--17716.Photos.213026.jpg</v>
      </c>
      <c r="T96" s="95">
        <f>IFERROR(__xludf.DUMMYFUNCTION("""COMPUTED_VALUE"""),46137.68960648148)</f>
        <v>46137.68961</v>
      </c>
      <c r="U96" s="93"/>
      <c r="V96" s="93"/>
      <c r="W96" s="93"/>
      <c r="X96" s="93"/>
      <c r="Y96" s="93"/>
      <c r="Z96" s="93"/>
    </row>
    <row r="97">
      <c r="A97" s="93" t="str">
        <f>IFERROR(__xludf.DUMMYFUNCTION("""COMPUTED_VALUE"""),"KIT-#17703")</f>
        <v>KIT-#17703</v>
      </c>
      <c r="B97" s="94">
        <f>IFERROR(__xludf.DUMMYFUNCTION("""COMPUTED_VALUE"""),46143.0)</f>
        <v>46143</v>
      </c>
      <c r="C97" s="93" t="str">
        <f>IFERROR(__xludf.DUMMYFUNCTION("""COMPUTED_VALUE"""),"Kit Delivery")</f>
        <v>Kit Delivery</v>
      </c>
      <c r="D97" s="93">
        <f>IFERROR(__xludf.DUMMYFUNCTION("""COMPUTED_VALUE"""),2.0)</f>
        <v>2</v>
      </c>
      <c r="E97" s="93" t="str">
        <f>IFERROR(__xludf.DUMMYFUNCTION("""COMPUTED_VALUE"""),"6057 Waterman")</f>
        <v>6057 Waterman</v>
      </c>
      <c r="F97" s="93" t="str">
        <f>IFERROR(__xludf.DUMMYFUNCTION("""COMPUTED_VALUE"""),"Apt 2S Room A")</f>
        <v>Apt 2S Room A</v>
      </c>
      <c r="G97" s="93" t="str">
        <f>IFERROR(__xludf.DUMMYFUNCTION("""COMPUTED_VALUE"""),"Aram Ashrafzadeh")</f>
        <v>Aram Ashrafzadeh</v>
      </c>
      <c r="H97" s="93">
        <f>IFERROR(__xludf.DUMMYFUNCTION("""COMPUTED_VALUE"""),2.092891888E9)</f>
        <v>2092891888</v>
      </c>
      <c r="I97" s="93" t="str">
        <f>IFERROR(__xludf.DUMMYFUNCTION("""COMPUTED_VALUE"""),"12PM-2PM")</f>
        <v>12PM-2PM</v>
      </c>
      <c r="J97" s="93">
        <f>IFERROR(__xludf.DUMMYFUNCTION("""COMPUTED_VALUE"""),1.0)</f>
        <v>1</v>
      </c>
      <c r="K97" s="93" t="str">
        <f>IFERROR(__xludf.DUMMYFUNCTION("""COMPUTED_VALUE"""),"Complete")</f>
        <v>Complete</v>
      </c>
      <c r="L97" s="93"/>
      <c r="M97" s="94">
        <f>IFERROR(__xludf.DUMMYFUNCTION("""COMPUTED_VALUE"""),46137.71253472222)</f>
        <v>46137.71253</v>
      </c>
      <c r="N97" s="93">
        <f>IFERROR(__xludf.DUMMYFUNCTION("""COMPUTED_VALUE"""),254.0)</f>
        <v>254</v>
      </c>
      <c r="O97" s="93"/>
      <c r="P97" s="93" t="str">
        <f>IFERROR(__xludf.DUMMYFUNCTION("""COMPUTED_VALUE"""),"Kit Delivery")</f>
        <v>Kit Delivery</v>
      </c>
      <c r="Q97" s="93"/>
      <c r="R97" s="93"/>
      <c r="S97" s="93" t="str">
        <f>IFERROR(__xludf.DUMMYFUNCTION("""COMPUTED_VALUE"""),"Dispatch_Images/KIT--17703.Photos.220600.jpg")</f>
        <v>Dispatch_Images/KIT--17703.Photos.220600.jpg</v>
      </c>
      <c r="T97" s="95">
        <f>IFERROR(__xludf.DUMMYFUNCTION("""COMPUTED_VALUE"""),46137.71739583334)</f>
        <v>46137.7174</v>
      </c>
      <c r="U97" s="93"/>
      <c r="V97" s="93"/>
      <c r="W97" s="93"/>
      <c r="X97" s="93"/>
      <c r="Y97" s="93"/>
      <c r="Z97" s="93"/>
    </row>
    <row r="98">
      <c r="A98" s="93" t="str">
        <f>IFERROR(__xludf.DUMMYFUNCTION("""COMPUTED_VALUE"""),"KIT-#17671")</f>
        <v>KIT-#17671</v>
      </c>
      <c r="B98" s="94">
        <f>IFERROR(__xludf.DUMMYFUNCTION("""COMPUTED_VALUE"""),46143.0)</f>
        <v>46143</v>
      </c>
      <c r="C98" s="93" t="str">
        <f>IFERROR(__xludf.DUMMYFUNCTION("""COMPUTED_VALUE"""),"Kit Delivery")</f>
        <v>Kit Delivery</v>
      </c>
      <c r="D98" s="93">
        <f>IFERROR(__xludf.DUMMYFUNCTION("""COMPUTED_VALUE"""),2.0)</f>
        <v>2</v>
      </c>
      <c r="E98" s="93" t="str">
        <f>IFERROR(__xludf.DUMMYFUNCTION("""COMPUTED_VALUE"""),"Gregg")</f>
        <v>Gregg</v>
      </c>
      <c r="F98" s="93">
        <f>IFERROR(__xludf.DUMMYFUNCTION("""COMPUTED_VALUE"""),3104.0)</f>
        <v>3104</v>
      </c>
      <c r="G98" s="93" t="str">
        <f>IFERROR(__xludf.DUMMYFUNCTION("""COMPUTED_VALUE"""),"Ashlynn Huebner*")</f>
        <v>Ashlynn Huebner*</v>
      </c>
      <c r="H98" s="93">
        <f>IFERROR(__xludf.DUMMYFUNCTION("""COMPUTED_VALUE"""),3.107795102E9)</f>
        <v>3107795102</v>
      </c>
      <c r="I98" s="93" t="str">
        <f>IFERROR(__xludf.DUMMYFUNCTION("""COMPUTED_VALUE"""),"2PM-4PM")</f>
        <v>2PM-4PM</v>
      </c>
      <c r="J98" s="93">
        <f>IFERROR(__xludf.DUMMYFUNCTION("""COMPUTED_VALUE"""),1.0)</f>
        <v>1</v>
      </c>
      <c r="K98" s="93" t="str">
        <f>IFERROR(__xludf.DUMMYFUNCTION("""COMPUTED_VALUE"""),"Complete")</f>
        <v>Complete</v>
      </c>
      <c r="L98" s="93"/>
      <c r="M98" s="94">
        <f>IFERROR(__xludf.DUMMYFUNCTION("""COMPUTED_VALUE"""),46137.8134375)</f>
        <v>46137.81344</v>
      </c>
      <c r="N98" s="93">
        <f>IFERROR(__xludf.DUMMYFUNCTION("""COMPUTED_VALUE"""),125.0)</f>
        <v>125</v>
      </c>
      <c r="O98" s="93"/>
      <c r="P98" s="93" t="str">
        <f>IFERROR(__xludf.DUMMYFUNCTION("""COMPUTED_VALUE"""),"Kit Delivery")</f>
        <v>Kit Delivery</v>
      </c>
      <c r="Q98" s="93"/>
      <c r="R98" s="93"/>
      <c r="S98" s="93" t="str">
        <f>IFERROR(__xludf.DUMMYFUNCTION("""COMPUTED_VALUE"""),"Dispatch_Images/KIT--17671.Photos.003117.jpg")</f>
        <v>Dispatch_Images/KIT--17671.Photos.003117.jpg</v>
      </c>
      <c r="T98" s="95">
        <f>IFERROR(__xludf.DUMMYFUNCTION("""COMPUTED_VALUE"""),46137.814618055556)</f>
        <v>46137.81462</v>
      </c>
      <c r="U98" s="93"/>
      <c r="V98" s="93"/>
      <c r="W98" s="93"/>
      <c r="X98" s="93"/>
      <c r="Y98" s="93"/>
      <c r="Z98" s="93"/>
    </row>
    <row r="99">
      <c r="A99" s="93" t="str">
        <f>IFERROR(__xludf.DUMMYFUNCTION("""COMPUTED_VALUE"""),"KIT-#17769")</f>
        <v>KIT-#17769</v>
      </c>
      <c r="B99" s="94">
        <f>IFERROR(__xludf.DUMMYFUNCTION("""COMPUTED_VALUE"""),46143.0)</f>
        <v>46143</v>
      </c>
      <c r="C99" s="93" t="str">
        <f>IFERROR(__xludf.DUMMYFUNCTION("""COMPUTED_VALUE"""),"Kit Delivery")</f>
        <v>Kit Delivery</v>
      </c>
      <c r="D99" s="93">
        <f>IFERROR(__xludf.DUMMYFUNCTION("""COMPUTED_VALUE"""),3.0)</f>
        <v>3</v>
      </c>
      <c r="E99" s="93" t="str">
        <f>IFERROR(__xludf.DUMMYFUNCTION("""COMPUTED_VALUE"""),"Mudd")</f>
        <v>Mudd</v>
      </c>
      <c r="F99" s="93">
        <f>IFERROR(__xludf.DUMMYFUNCTION("""COMPUTED_VALUE"""),351.0)</f>
        <v>351</v>
      </c>
      <c r="G99" s="93" t="str">
        <f>IFERROR(__xludf.DUMMYFUNCTION("""COMPUTED_VALUE"""),"Lucia Kreimont")</f>
        <v>Lucia Kreimont</v>
      </c>
      <c r="H99" s="93">
        <f>IFERROR(__xludf.DUMMYFUNCTION("""COMPUTED_VALUE"""),7.73750107E9)</f>
        <v>7737501070</v>
      </c>
      <c r="I99" s="93" t="str">
        <f>IFERROR(__xludf.DUMMYFUNCTION("""COMPUTED_VALUE"""),"3PM-5PM")</f>
        <v>3PM-5PM</v>
      </c>
      <c r="J99" s="93">
        <f>IFERROR(__xludf.DUMMYFUNCTION("""COMPUTED_VALUE"""),1.0)</f>
        <v>1</v>
      </c>
      <c r="K99" s="93" t="str">
        <f>IFERROR(__xludf.DUMMYFUNCTION("""COMPUTED_VALUE"""),"Complete")</f>
        <v>Complete</v>
      </c>
      <c r="L99" s="93"/>
      <c r="M99" s="94">
        <f>IFERROR(__xludf.DUMMYFUNCTION("""COMPUTED_VALUE"""),46139.68777777778)</f>
        <v>46139.68778</v>
      </c>
      <c r="N99" s="93">
        <f>IFERROR(__xludf.DUMMYFUNCTION("""COMPUTED_VALUE"""),12.0)</f>
        <v>12</v>
      </c>
      <c r="O99" s="93"/>
      <c r="P99" s="93" t="str">
        <f>IFERROR(__xludf.DUMMYFUNCTION("""COMPUTED_VALUE"""),"Kit Delivery")</f>
        <v>Kit Delivery</v>
      </c>
      <c r="Q99" s="93"/>
      <c r="R99" s="93"/>
      <c r="S99" s="93" t="str">
        <f>IFERROR(__xludf.DUMMYFUNCTION("""COMPUTED_VALUE"""),"Dispatch_Images/KIT--17769.Photos.213019.jpg")</f>
        <v>Dispatch_Images/KIT--17769.Photos.213019.jpg</v>
      </c>
      <c r="T99" s="95">
        <f>IFERROR(__xludf.DUMMYFUNCTION("""COMPUTED_VALUE"""),46139.689618055556)</f>
        <v>46139.68962</v>
      </c>
      <c r="U99" s="93"/>
      <c r="V99" s="93"/>
      <c r="W99" s="93"/>
      <c r="X99" s="93"/>
      <c r="Y99" s="93"/>
      <c r="Z99" s="93"/>
    </row>
    <row r="100">
      <c r="A100" s="93" t="str">
        <f>IFERROR(__xludf.DUMMYFUNCTION("""COMPUTED_VALUE"""),"KIT-#17611")</f>
        <v>KIT-#17611</v>
      </c>
      <c r="B100" s="94">
        <f>IFERROR(__xludf.DUMMYFUNCTION("""COMPUTED_VALUE"""),46143.0)</f>
        <v>46143</v>
      </c>
      <c r="C100" s="93" t="str">
        <f>IFERROR(__xludf.DUMMYFUNCTION("""COMPUTED_VALUE"""),"Kit Delivery")</f>
        <v>Kit Delivery</v>
      </c>
      <c r="D100" s="93">
        <f>IFERROR(__xludf.DUMMYFUNCTION("""COMPUTED_VALUE"""),3.0)</f>
        <v>3</v>
      </c>
      <c r="E100" s="93" t="str">
        <f>IFERROR(__xludf.DUMMYFUNCTION("""COMPUTED_VALUE"""),"LL6300")</f>
        <v>LL6300</v>
      </c>
      <c r="F100" s="93" t="str">
        <f>IFERROR(__xludf.DUMMYFUNCTION("""COMPUTED_VALUE"""),"206 B")</f>
        <v>206 B</v>
      </c>
      <c r="G100" s="93" t="str">
        <f>IFERROR(__xludf.DUMMYFUNCTION("""COMPUTED_VALUE"""),"Taeeun Lim")</f>
        <v>Taeeun Lim</v>
      </c>
      <c r="H100" s="93">
        <f>IFERROR(__xludf.DUMMYFUNCTION("""COMPUTED_VALUE"""),3.144482959E9)</f>
        <v>3144482959</v>
      </c>
      <c r="I100" s="93" t="str">
        <f>IFERROR(__xludf.DUMMYFUNCTION("""COMPUTED_VALUE"""),"3PM-5PM")</f>
        <v>3PM-5PM</v>
      </c>
      <c r="J100" s="93">
        <f>IFERROR(__xludf.DUMMYFUNCTION("""COMPUTED_VALUE"""),2.0)</f>
        <v>2</v>
      </c>
      <c r="K100" s="93" t="str">
        <f>IFERROR(__xludf.DUMMYFUNCTION("""COMPUTED_VALUE"""),"Complete")</f>
        <v>Complete</v>
      </c>
      <c r="L100" s="93"/>
      <c r="M100" s="94">
        <f>IFERROR(__xludf.DUMMYFUNCTION("""COMPUTED_VALUE"""),46140.73677083333)</f>
        <v>46140.73677</v>
      </c>
      <c r="N100" s="93">
        <f>IFERROR(__xludf.DUMMYFUNCTION("""COMPUTED_VALUE"""),213.0)</f>
        <v>213</v>
      </c>
      <c r="O100" s="93"/>
      <c r="P100" s="93" t="str">
        <f>IFERROR(__xludf.DUMMYFUNCTION("""COMPUTED_VALUE"""),"Kit Delivery")</f>
        <v>Kit Delivery</v>
      </c>
      <c r="Q100" s="93"/>
      <c r="R100" s="93"/>
      <c r="S100" s="93" t="str">
        <f>IFERROR(__xludf.DUMMYFUNCTION("""COMPUTED_VALUE"""),"Dispatch_Images/KIT--17611.Photos.224054.jpg")</f>
        <v>Dispatch_Images/KIT--17611.Photos.224054.jpg</v>
      </c>
      <c r="T100" s="95">
        <f>IFERROR(__xludf.DUMMYFUNCTION("""COMPUTED_VALUE"""),46140.738391203704)</f>
        <v>46140.73839</v>
      </c>
      <c r="U100" s="93"/>
      <c r="V100" s="93"/>
      <c r="W100" s="93"/>
      <c r="X100" s="93"/>
      <c r="Y100" s="93"/>
      <c r="Z100" s="93"/>
    </row>
    <row r="101">
      <c r="A101" s="93" t="str">
        <f>IFERROR(__xludf.DUMMYFUNCTION("""COMPUTED_VALUE"""),"KIT-#17929-HS")</f>
        <v>KIT-#17929-HS</v>
      </c>
      <c r="B101" s="94">
        <f>IFERROR(__xludf.DUMMYFUNCTION("""COMPUTED_VALUE"""),46143.0)</f>
        <v>46143</v>
      </c>
      <c r="C101" s="93" t="str">
        <f>IFERROR(__xludf.DUMMYFUNCTION("""COMPUTED_VALUE"""),"Kit Delivery")</f>
        <v>Kit Delivery</v>
      </c>
      <c r="D101" s="93">
        <f>IFERROR(__xludf.DUMMYFUNCTION("""COMPUTED_VALUE"""),3.0)</f>
        <v>3</v>
      </c>
      <c r="E101" s="93" t="str">
        <f>IFERROR(__xludf.DUMMYFUNCTION("""COMPUTED_VALUE"""),"House 1")</f>
        <v>House 1</v>
      </c>
      <c r="F101" s="93">
        <f>IFERROR(__xludf.DUMMYFUNCTION("""COMPUTED_VALUE"""),114.0)</f>
        <v>114</v>
      </c>
      <c r="G101" s="93" t="str">
        <f>IFERROR(__xludf.DUMMYFUNCTION("""COMPUTED_VALUE"""),"Raj Sugavanam")</f>
        <v>Raj Sugavanam</v>
      </c>
      <c r="H101" s="93">
        <f>IFERROR(__xludf.DUMMYFUNCTION("""COMPUTED_VALUE"""),8.583619963E9)</f>
        <v>8583619963</v>
      </c>
      <c r="I101" s="93" t="str">
        <f>IFERROR(__xludf.DUMMYFUNCTION("""COMPUTED_VALUE"""),"09:00 AM to 11:00 AM")</f>
        <v>09:00 AM to 11:00 AM</v>
      </c>
      <c r="J101" s="93">
        <f>IFERROR(__xludf.DUMMYFUNCTION("""COMPUTED_VALUE"""),1.0)</f>
        <v>1</v>
      </c>
      <c r="K101" s="93" t="str">
        <f>IFERROR(__xludf.DUMMYFUNCTION("""COMPUTED_VALUE"""),"Complete")</f>
        <v>Complete</v>
      </c>
      <c r="L101" s="93"/>
      <c r="M101" s="94">
        <f>IFERROR(__xludf.DUMMYFUNCTION("""COMPUTED_VALUE"""),46140.83619212963)</f>
        <v>46140.83619</v>
      </c>
      <c r="N101" s="93">
        <f>IFERROR(__xludf.DUMMYFUNCTION("""COMPUTED_VALUE"""),1006.0)</f>
        <v>1006</v>
      </c>
      <c r="O101" s="93" t="str">
        <f>IFERROR(__xludf.DUMMYFUNCTION("""COMPUTED_VALUE"""),"7777 Starlight Drive, La Jolla, CA")</f>
        <v>7777 Starlight Drive, La Jolla, CA</v>
      </c>
      <c r="P101" s="93" t="str">
        <f>IFERROR(__xludf.DUMMYFUNCTION("""COMPUTED_VALUE"""),"Kit Delivery")</f>
        <v>Kit Delivery</v>
      </c>
      <c r="Q101" s="93"/>
      <c r="R101" s="93"/>
      <c r="S101" s="93" t="str">
        <f>IFERROR(__xludf.DUMMYFUNCTION("""COMPUTED_VALUE"""),"Dispatch_Images/KIT--17929-HS.Photos.010404.jpg")</f>
        <v>Dispatch_Images/KIT--17929-HS.Photos.010404.jpg</v>
      </c>
      <c r="T101" s="95">
        <f>IFERROR(__xludf.DUMMYFUNCTION("""COMPUTED_VALUE"""),46140.84238425926)</f>
        <v>46140.84238</v>
      </c>
      <c r="U101" s="93"/>
      <c r="V101" s="93"/>
      <c r="W101" s="93"/>
      <c r="X101" s="93"/>
      <c r="Y101" s="93"/>
      <c r="Z101" s="93"/>
    </row>
    <row r="102">
      <c r="A102" s="93" t="str">
        <f>IFERROR(__xludf.DUMMYFUNCTION("""COMPUTED_VALUE"""),"KIT-#17934")</f>
        <v>KIT-#17934</v>
      </c>
      <c r="B102" s="94">
        <f>IFERROR(__xludf.DUMMYFUNCTION("""COMPUTED_VALUE"""),46143.0)</f>
        <v>46143</v>
      </c>
      <c r="C102" s="93" t="str">
        <f>IFERROR(__xludf.DUMMYFUNCTION("""COMPUTED_VALUE"""),"Kit Delivery")</f>
        <v>Kit Delivery</v>
      </c>
      <c r="D102" s="93">
        <f>IFERROR(__xludf.DUMMYFUNCTION("""COMPUTED_VALUE"""),3.0)</f>
        <v>3</v>
      </c>
      <c r="E102" s="93" t="str">
        <f>IFERROR(__xludf.DUMMYFUNCTION("""COMPUTED_VALUE"""),"Danforth")</f>
        <v>Danforth</v>
      </c>
      <c r="F102" s="93">
        <f>IFERROR(__xludf.DUMMYFUNCTION("""COMPUTED_VALUE"""),2209.0)</f>
        <v>2209</v>
      </c>
      <c r="G102" s="93" t="str">
        <f>IFERROR(__xludf.DUMMYFUNCTION("""COMPUTED_VALUE"""),"Kemi Kim")</f>
        <v>Kemi Kim</v>
      </c>
      <c r="H102" s="93">
        <f>IFERROR(__xludf.DUMMYFUNCTION("""COMPUTED_VALUE"""),3.145710865E9)</f>
        <v>3145710865</v>
      </c>
      <c r="I102" s="93" t="str">
        <f>IFERROR(__xludf.DUMMYFUNCTION("""COMPUTED_VALUE"""),"11AM-1PM")</f>
        <v>11AM-1PM</v>
      </c>
      <c r="J102" s="93">
        <f>IFERROR(__xludf.DUMMYFUNCTION("""COMPUTED_VALUE"""),1.0)</f>
        <v>1</v>
      </c>
      <c r="K102" s="93" t="str">
        <f>IFERROR(__xludf.DUMMYFUNCTION("""COMPUTED_VALUE"""),"Complete")</f>
        <v>Complete</v>
      </c>
      <c r="L102" s="93"/>
      <c r="M102" s="94">
        <f>IFERROR(__xludf.DUMMYFUNCTION("""COMPUTED_VALUE"""),46141.85915509259)</f>
        <v>46141.85916</v>
      </c>
      <c r="N102" s="93">
        <f>IFERROR(__xludf.DUMMYFUNCTION("""COMPUTED_VALUE"""),41.0)</f>
        <v>41</v>
      </c>
      <c r="O102" s="93"/>
      <c r="P102" s="93" t="str">
        <f>IFERROR(__xludf.DUMMYFUNCTION("""COMPUTED_VALUE"""),"Kit Delivery")</f>
        <v>Kit Delivery</v>
      </c>
      <c r="Q102" s="93"/>
      <c r="R102" s="93"/>
      <c r="S102" s="93" t="str">
        <f>IFERROR(__xludf.DUMMYFUNCTION("""COMPUTED_VALUE"""),"Dispatch_Images/KIT--17934.Photos.013707.jpg")</f>
        <v>Dispatch_Images/KIT--17934.Photos.013707.jpg</v>
      </c>
      <c r="T102" s="95">
        <f>IFERROR(__xludf.DUMMYFUNCTION("""COMPUTED_VALUE"""),46141.86325231481)</f>
        <v>46141.86325</v>
      </c>
      <c r="U102" s="93"/>
      <c r="V102" s="93"/>
      <c r="W102" s="93"/>
      <c r="X102" s="93"/>
      <c r="Y102" s="93"/>
      <c r="Z102" s="93"/>
    </row>
    <row r="103">
      <c r="A103" s="93" t="str">
        <f>IFERROR(__xludf.DUMMYFUNCTION("""COMPUTED_VALUE"""),"KIT-#18040")</f>
        <v>KIT-#18040</v>
      </c>
      <c r="B103" s="94">
        <f>IFERROR(__xludf.DUMMYFUNCTION("""COMPUTED_VALUE"""),46143.0)</f>
        <v>46143</v>
      </c>
      <c r="C103" s="93" t="str">
        <f>IFERROR(__xludf.DUMMYFUNCTION("""COMPUTED_VALUE"""),"Kit Delivery")</f>
        <v>Kit Delivery</v>
      </c>
      <c r="D103" s="93">
        <f>IFERROR(__xludf.DUMMYFUNCTION("""COMPUTED_VALUE"""),3.0)</f>
        <v>3</v>
      </c>
      <c r="E103" s="93" t="str">
        <f>IFERROR(__xludf.DUMMYFUNCTION("""COMPUTED_VALUE"""),"Park")</f>
        <v>Park</v>
      </c>
      <c r="F103" s="93">
        <f>IFERROR(__xludf.DUMMYFUNCTION("""COMPUTED_VALUE"""),160.0)</f>
        <v>160</v>
      </c>
      <c r="G103" s="93" t="str">
        <f>IFERROR(__xludf.DUMMYFUNCTION("""COMPUTED_VALUE"""),"Shane dell")</f>
        <v>Shane dell</v>
      </c>
      <c r="H103" s="93">
        <f>IFERROR(__xludf.DUMMYFUNCTION("""COMPUTED_VALUE"""),9.548026083E9)</f>
        <v>9548026083</v>
      </c>
      <c r="I103" s="93" t="str">
        <f>IFERROR(__xludf.DUMMYFUNCTION("""COMPUTED_VALUE"""),"3PM-5PM")</f>
        <v>3PM-5PM</v>
      </c>
      <c r="J103" s="93">
        <f>IFERROR(__xludf.DUMMYFUNCTION("""COMPUTED_VALUE"""),1.0)</f>
        <v>1</v>
      </c>
      <c r="K103" s="93" t="str">
        <f>IFERROR(__xludf.DUMMYFUNCTION("""COMPUTED_VALUE"""),"Complete")</f>
        <v>Complete</v>
      </c>
      <c r="L103" s="93"/>
      <c r="M103" s="94">
        <f>IFERROR(__xludf.DUMMYFUNCTION("""COMPUTED_VALUE"""),46141.87633101852)</f>
        <v>46141.87633</v>
      </c>
      <c r="N103" s="93">
        <f>IFERROR(__xludf.DUMMYFUNCTION("""COMPUTED_VALUE"""),44.0)</f>
        <v>44</v>
      </c>
      <c r="O103" s="93"/>
      <c r="P103" s="93" t="str">
        <f>IFERROR(__xludf.DUMMYFUNCTION("""COMPUTED_VALUE"""),"Kit Delivery")</f>
        <v>Kit Delivery</v>
      </c>
      <c r="Q103" s="93"/>
      <c r="R103" s="93"/>
      <c r="S103" s="93" t="str">
        <f>IFERROR(__xludf.DUMMYFUNCTION("""COMPUTED_VALUE"""),"Dispatch_Images/KIT--18040.Photos.020151.jpg")</f>
        <v>Dispatch_Images/KIT--18040.Photos.020151.jpg</v>
      </c>
      <c r="T103" s="95">
        <f>IFERROR(__xludf.DUMMYFUNCTION("""COMPUTED_VALUE"""),46141.87712962963)</f>
        <v>46141.87713</v>
      </c>
      <c r="U103" s="93"/>
      <c r="V103" s="93"/>
      <c r="W103" s="93"/>
      <c r="X103" s="93"/>
      <c r="Y103" s="93"/>
      <c r="Z103" s="93"/>
    </row>
    <row r="104">
      <c r="A104" s="93" t="str">
        <f>IFERROR(__xludf.DUMMYFUNCTION("""COMPUTED_VALUE"""),"KIT-#17994")</f>
        <v>KIT-#17994</v>
      </c>
      <c r="B104" s="94">
        <f>IFERROR(__xludf.DUMMYFUNCTION("""COMPUTED_VALUE"""),46143.0)</f>
        <v>46143</v>
      </c>
      <c r="C104" s="93" t="str">
        <f>IFERROR(__xludf.DUMMYFUNCTION("""COMPUTED_VALUE"""),"Kit Delivery")</f>
        <v>Kit Delivery</v>
      </c>
      <c r="D104" s="93">
        <f>IFERROR(__xludf.DUMMYFUNCTION("""COMPUTED_VALUE"""),3.0)</f>
        <v>3</v>
      </c>
      <c r="E104" s="93" t="str">
        <f>IFERROR(__xludf.DUMMYFUNCTION("""COMPUTED_VALUE"""),"Lien")</f>
        <v>Lien</v>
      </c>
      <c r="F104" s="93">
        <f>IFERROR(__xludf.DUMMYFUNCTION("""COMPUTED_VALUE"""),2206.0)</f>
        <v>2206</v>
      </c>
      <c r="G104" s="93" t="str">
        <f>IFERROR(__xludf.DUMMYFUNCTION("""COMPUTED_VALUE"""),"Anna Lieberman")</f>
        <v>Anna Lieberman</v>
      </c>
      <c r="H104" s="93">
        <f>IFERROR(__xludf.DUMMYFUNCTION("""COMPUTED_VALUE"""),4.705503103E9)</f>
        <v>4705503103</v>
      </c>
      <c r="I104" s="93" t="str">
        <f>IFERROR(__xludf.DUMMYFUNCTION("""COMPUTED_VALUE"""),"3PM-5PM")</f>
        <v>3PM-5PM</v>
      </c>
      <c r="J104" s="93">
        <f>IFERROR(__xludf.DUMMYFUNCTION("""COMPUTED_VALUE"""),2.0)</f>
        <v>2</v>
      </c>
      <c r="K104" s="93" t="str">
        <f>IFERROR(__xludf.DUMMYFUNCTION("""COMPUTED_VALUE"""),"Complete")</f>
        <v>Complete</v>
      </c>
      <c r="L104" s="93"/>
      <c r="M104" s="94">
        <f>IFERROR(__xludf.DUMMYFUNCTION("""COMPUTED_VALUE"""),46141.89739583334)</f>
        <v>46141.8974</v>
      </c>
      <c r="N104" s="93">
        <f>IFERROR(__xludf.DUMMYFUNCTION("""COMPUTED_VALUE"""),118.0)</f>
        <v>118</v>
      </c>
      <c r="O104" s="93"/>
      <c r="P104" s="93" t="str">
        <f>IFERROR(__xludf.DUMMYFUNCTION("""COMPUTED_VALUE"""),"Kit Delivery")</f>
        <v>Kit Delivery</v>
      </c>
      <c r="Q104" s="93"/>
      <c r="R104" s="93"/>
      <c r="S104" s="93" t="str">
        <f>IFERROR(__xludf.DUMMYFUNCTION("""COMPUTED_VALUE"""),"Dispatch_Images/KIT--17994.Photos.023211.jpg")</f>
        <v>Dispatch_Images/KIT--17994.Photos.023211.jpg</v>
      </c>
      <c r="T104" s="95">
        <f>IFERROR(__xludf.DUMMYFUNCTION("""COMPUTED_VALUE"""),46141.897939814815)</f>
        <v>46141.89794</v>
      </c>
      <c r="U104" s="93"/>
      <c r="V104" s="93"/>
      <c r="W104" s="93"/>
      <c r="X104" s="93"/>
      <c r="Y104" s="93"/>
      <c r="Z104" s="93"/>
    </row>
    <row r="105">
      <c r="A105" s="93" t="str">
        <f>IFERROR(__xludf.DUMMYFUNCTION("""COMPUTED_VALUE"""),"KIT-#17929")</f>
        <v>KIT-#17929</v>
      </c>
      <c r="B105" s="94">
        <f>IFERROR(__xludf.DUMMYFUNCTION("""COMPUTED_VALUE"""),46143.0)</f>
        <v>46143</v>
      </c>
      <c r="C105" s="93" t="str">
        <f>IFERROR(__xludf.DUMMYFUNCTION("""COMPUTED_VALUE"""),"Kit Delivery")</f>
        <v>Kit Delivery</v>
      </c>
      <c r="D105" s="93">
        <f>IFERROR(__xludf.DUMMYFUNCTION("""COMPUTED_VALUE"""),3.0)</f>
        <v>3</v>
      </c>
      <c r="E105" s="93" t="str">
        <f>IFERROR(__xludf.DUMMYFUNCTION("""COMPUTED_VALUE"""),"House 1")</f>
        <v>House 1</v>
      </c>
      <c r="F105" s="93">
        <f>IFERROR(__xludf.DUMMYFUNCTION("""COMPUTED_VALUE"""),114.0)</f>
        <v>114</v>
      </c>
      <c r="G105" s="93" t="str">
        <f>IFERROR(__xludf.DUMMYFUNCTION("""COMPUTED_VALUE"""),"Raj Sugavanam")</f>
        <v>Raj Sugavanam</v>
      </c>
      <c r="H105" s="93">
        <f>IFERROR(__xludf.DUMMYFUNCTION("""COMPUTED_VALUE"""),8.583619963E9)</f>
        <v>8583619963</v>
      </c>
      <c r="I105" s="93" t="str">
        <f>IFERROR(__xludf.DUMMYFUNCTION("""COMPUTED_VALUE"""),"9AM-11AM")</f>
        <v>9AM-11AM</v>
      </c>
      <c r="J105" s="93">
        <f>IFERROR(__xludf.DUMMYFUNCTION("""COMPUTED_VALUE"""),1.0)</f>
        <v>1</v>
      </c>
      <c r="K105" s="93" t="str">
        <f>IFERROR(__xludf.DUMMYFUNCTION("""COMPUTED_VALUE"""),"Complete")</f>
        <v>Complete</v>
      </c>
      <c r="L105" s="93"/>
      <c r="M105" s="94">
        <f>IFERROR(__xludf.DUMMYFUNCTION("""COMPUTED_VALUE"""),46141.9392824074)</f>
        <v>46141.93928</v>
      </c>
      <c r="N105" s="93">
        <f>IFERROR(__xludf.DUMMYFUNCTION("""COMPUTED_VALUE"""),171.0)</f>
        <v>171</v>
      </c>
      <c r="O105" s="93" t="str">
        <f>IFERROR(__xludf.DUMMYFUNCTION("""COMPUTED_VALUE"""),"7777 Starlight Drive, La Jolla, CA")</f>
        <v>7777 Starlight Drive, La Jolla, CA</v>
      </c>
      <c r="P105" s="93" t="str">
        <f>IFERROR(__xludf.DUMMYFUNCTION("""COMPUTED_VALUE"""),"Kit Delivery")</f>
        <v>Kit Delivery</v>
      </c>
      <c r="Q105" s="93"/>
      <c r="R105" s="93"/>
      <c r="S105" s="93" t="str">
        <f>IFERROR(__xludf.DUMMYFUNCTION("""COMPUTED_VALUE"""),"Dispatch_Images/KIT--17929.Photos.033227.jpg")</f>
        <v>Dispatch_Images/KIT--17929.Photos.033227.jpg</v>
      </c>
      <c r="T105" s="95">
        <f>IFERROR(__xludf.DUMMYFUNCTION("""COMPUTED_VALUE"""),46141.94212962963)</f>
        <v>46141.94213</v>
      </c>
      <c r="U105" s="93"/>
      <c r="V105" s="93"/>
      <c r="W105" s="93"/>
      <c r="X105" s="93"/>
      <c r="Y105" s="93"/>
      <c r="Z105" s="93"/>
    </row>
    <row r="106">
      <c r="A106" s="93" t="str">
        <f>IFERROR(__xludf.DUMMYFUNCTION("""COMPUTED_VALUE"""),"KIT-#18073")</f>
        <v>KIT-#18073</v>
      </c>
      <c r="B106" s="94">
        <f>IFERROR(__xludf.DUMMYFUNCTION("""COMPUTED_VALUE"""),46143.0)</f>
        <v>46143</v>
      </c>
      <c r="C106" s="93" t="str">
        <f>IFERROR(__xludf.DUMMYFUNCTION("""COMPUTED_VALUE"""),"Kit Delivery")</f>
        <v>Kit Delivery</v>
      </c>
      <c r="D106" s="93">
        <f>IFERROR(__xludf.DUMMYFUNCTION("""COMPUTED_VALUE"""),3.0)</f>
        <v>3</v>
      </c>
      <c r="E106" s="93" t="str">
        <f>IFERROR(__xludf.DUMMYFUNCTION("""COMPUTED_VALUE"""),"Village House")</f>
        <v>Village House</v>
      </c>
      <c r="F106" s="93">
        <f>IFERROR(__xludf.DUMMYFUNCTION("""COMPUTED_VALUE"""),2141.0)</f>
        <v>2141</v>
      </c>
      <c r="G106" s="93" t="str">
        <f>IFERROR(__xludf.DUMMYFUNCTION("""COMPUTED_VALUE"""),"Najee Shakir")</f>
        <v>Najee Shakir</v>
      </c>
      <c r="H106" s="93">
        <f>IFERROR(__xludf.DUMMYFUNCTION("""COMPUTED_VALUE"""),6.466479402E9)</f>
        <v>6466479402</v>
      </c>
      <c r="I106" s="93" t="str">
        <f>IFERROR(__xludf.DUMMYFUNCTION("""COMPUTED_VALUE"""),"12PM-2PM")</f>
        <v>12PM-2PM</v>
      </c>
      <c r="J106" s="93">
        <f>IFERROR(__xludf.DUMMYFUNCTION("""COMPUTED_VALUE"""),2.0)</f>
        <v>2</v>
      </c>
      <c r="K106" s="93" t="str">
        <f>IFERROR(__xludf.DUMMYFUNCTION("""COMPUTED_VALUE"""),"Complete")</f>
        <v>Complete</v>
      </c>
      <c r="L106" s="93"/>
      <c r="M106" s="94">
        <f>IFERROR(__xludf.DUMMYFUNCTION("""COMPUTED_VALUE"""),46142.89519675926)</f>
        <v>46142.8952</v>
      </c>
      <c r="N106" s="93">
        <f>IFERROR(__xludf.DUMMYFUNCTION("""COMPUTED_VALUE"""),133.0)</f>
        <v>133</v>
      </c>
      <c r="O106" s="93" t="str">
        <f>IFERROR(__xludf.DUMMYFUNCTION("""COMPUTED_VALUE"""),"2916 Philip Avenue
New York, NY 10465")</f>
        <v>2916 Philip Avenue
New York, NY 10465</v>
      </c>
      <c r="P106" s="93" t="str">
        <f>IFERROR(__xludf.DUMMYFUNCTION("""COMPUTED_VALUE"""),"Kit Delivery")</f>
        <v>Kit Delivery</v>
      </c>
      <c r="Q106" s="93"/>
      <c r="R106" s="93"/>
      <c r="S106" s="93" t="str">
        <f>IFERROR(__xludf.DUMMYFUNCTION("""COMPUTED_VALUE"""),"Dispatch_Images/KIT--18073.Photos.022901.jpg")</f>
        <v>Dispatch_Images/KIT--18073.Photos.022901.jpg</v>
      </c>
      <c r="T106" s="95">
        <f>IFERROR(__xludf.DUMMYFUNCTION("""COMPUTED_VALUE"""),46142.90043981482)</f>
        <v>46142.90044</v>
      </c>
      <c r="U106" s="93"/>
      <c r="V106" s="93"/>
      <c r="W106" s="93"/>
      <c r="X106" s="93"/>
      <c r="Y106" s="93"/>
      <c r="Z106" s="93"/>
    </row>
    <row r="107">
      <c r="A107" s="93" t="str">
        <f>IFERROR(__xludf.DUMMYFUNCTION("""COMPUTED_VALUE"""),"KIT-#17277")</f>
        <v>KIT-#17277</v>
      </c>
      <c r="B107" s="94">
        <f>IFERROR(__xludf.DUMMYFUNCTION("""COMPUTED_VALUE"""),46144.0)</f>
        <v>46144</v>
      </c>
      <c r="C107" s="93" t="str">
        <f>IFERROR(__xludf.DUMMYFUNCTION("""COMPUTED_VALUE"""),"Kit Delivery")</f>
        <v>Kit Delivery</v>
      </c>
      <c r="D107" s="93">
        <f>IFERROR(__xludf.DUMMYFUNCTION("""COMPUTED_VALUE"""),1.0)</f>
        <v>1</v>
      </c>
      <c r="E107" s="93" t="str">
        <f>IFERROR(__xludf.DUMMYFUNCTION("""COMPUTED_VALUE"""),"Danforth")</f>
        <v>Danforth</v>
      </c>
      <c r="F107" s="93">
        <f>IFERROR(__xludf.DUMMYFUNCTION("""COMPUTED_VALUE"""),4421.0)</f>
        <v>4421</v>
      </c>
      <c r="G107" s="93" t="str">
        <f>IFERROR(__xludf.DUMMYFUNCTION("""COMPUTED_VALUE"""),"Mulan Zhang")</f>
        <v>Mulan Zhang</v>
      </c>
      <c r="H107" s="93">
        <f>IFERROR(__xludf.DUMMYFUNCTION("""COMPUTED_VALUE"""),6.179702248E9)</f>
        <v>6179702248</v>
      </c>
      <c r="I107" s="93" t="str">
        <f>IFERROR(__xludf.DUMMYFUNCTION("""COMPUTED_VALUE"""),"2PM-4PM")</f>
        <v>2PM-4PM</v>
      </c>
      <c r="J107" s="93">
        <f>IFERROR(__xludf.DUMMYFUNCTION("""COMPUTED_VALUE"""),1.0)</f>
        <v>1</v>
      </c>
      <c r="K107" s="93" t="str">
        <f>IFERROR(__xludf.DUMMYFUNCTION("""COMPUTED_VALUE"""),"Complete")</f>
        <v>Complete</v>
      </c>
      <c r="L107" s="93"/>
      <c r="M107" s="94">
        <f>IFERROR(__xludf.DUMMYFUNCTION("""COMPUTED_VALUE"""),46123.59212962963)</f>
        <v>46123.59213</v>
      </c>
      <c r="N107" s="93">
        <f>IFERROR(__xludf.DUMMYFUNCTION("""COMPUTED_VALUE"""),38.0)</f>
        <v>38</v>
      </c>
      <c r="O107" s="93"/>
      <c r="P107" s="93" t="str">
        <f>IFERROR(__xludf.DUMMYFUNCTION("""COMPUTED_VALUE"""),"Kit Delivery")</f>
        <v>Kit Delivery</v>
      </c>
      <c r="Q107" s="93"/>
      <c r="R107" s="93"/>
      <c r="S107" s="95">
        <f>IFERROR(__xludf.DUMMYFUNCTION("""COMPUTED_VALUE"""),46123.61150462963)</f>
        <v>46123.6115</v>
      </c>
      <c r="T107" s="93"/>
      <c r="U107" s="93"/>
      <c r="V107" s="93"/>
      <c r="W107" s="93"/>
      <c r="X107" s="93"/>
      <c r="Y107" s="93"/>
      <c r="Z107" s="93"/>
    </row>
    <row r="108">
      <c r="A108" s="93" t="str">
        <f>IFERROR(__xludf.DUMMYFUNCTION("""COMPUTED_VALUE"""),"KIT-#17299")</f>
        <v>KIT-#17299</v>
      </c>
      <c r="B108" s="94">
        <f>IFERROR(__xludf.DUMMYFUNCTION("""COMPUTED_VALUE"""),46144.0)</f>
        <v>46144</v>
      </c>
      <c r="C108" s="93" t="str">
        <f>IFERROR(__xludf.DUMMYFUNCTION("""COMPUTED_VALUE"""),"Kit Delivery")</f>
        <v>Kit Delivery</v>
      </c>
      <c r="D108" s="93">
        <f>IFERROR(__xludf.DUMMYFUNCTION("""COMPUTED_VALUE"""),1.0)</f>
        <v>1</v>
      </c>
      <c r="E108" s="93" t="str">
        <f>IFERROR(__xludf.DUMMYFUNCTION("""COMPUTED_VALUE"""),"Park")</f>
        <v>Park</v>
      </c>
      <c r="F108" s="93">
        <f>IFERROR(__xludf.DUMMYFUNCTION("""COMPUTED_VALUE"""),192.0)</f>
        <v>192</v>
      </c>
      <c r="G108" s="93" t="str">
        <f>IFERROR(__xludf.DUMMYFUNCTION("""COMPUTED_VALUE"""),"Bethany Anderson")</f>
        <v>Bethany Anderson</v>
      </c>
      <c r="H108" s="93">
        <f>IFERROR(__xludf.DUMMYFUNCTION("""COMPUTED_VALUE"""),3.522262436E9)</f>
        <v>3522262436</v>
      </c>
      <c r="I108" s="93" t="str">
        <f>IFERROR(__xludf.DUMMYFUNCTION("""COMPUTED_VALUE"""),"11AM-1PM")</f>
        <v>11AM-1PM</v>
      </c>
      <c r="J108" s="93">
        <f>IFERROR(__xludf.DUMMYFUNCTION("""COMPUTED_VALUE"""),1.0)</f>
        <v>1</v>
      </c>
      <c r="K108" s="93" t="str">
        <f>IFERROR(__xludf.DUMMYFUNCTION("""COMPUTED_VALUE"""),"Complete")</f>
        <v>Complete</v>
      </c>
      <c r="L108" s="93"/>
      <c r="M108" s="94">
        <f>IFERROR(__xludf.DUMMYFUNCTION("""COMPUTED_VALUE"""),46123.61247685185)</f>
        <v>46123.61248</v>
      </c>
      <c r="N108" s="93">
        <f>IFERROR(__xludf.DUMMYFUNCTION("""COMPUTED_VALUE"""),45.0)</f>
        <v>45</v>
      </c>
      <c r="O108" s="93"/>
      <c r="P108" s="93" t="str">
        <f>IFERROR(__xludf.DUMMYFUNCTION("""COMPUTED_VALUE"""),"Kit Delivery")</f>
        <v>Kit Delivery</v>
      </c>
      <c r="Q108" s="93"/>
      <c r="R108" s="93"/>
      <c r="S108" s="95">
        <f>IFERROR(__xludf.DUMMYFUNCTION("""COMPUTED_VALUE"""),46123.70133101852)</f>
        <v>46123.70133</v>
      </c>
      <c r="T108" s="93"/>
      <c r="U108" s="93"/>
      <c r="V108" s="93"/>
      <c r="W108" s="93"/>
      <c r="X108" s="93"/>
      <c r="Y108" s="93"/>
      <c r="Z108" s="93"/>
    </row>
    <row r="109">
      <c r="A109" s="93" t="str">
        <f>IFERROR(__xludf.DUMMYFUNCTION("""COMPUTED_VALUE"""),"KIT-#17372")</f>
        <v>KIT-#17372</v>
      </c>
      <c r="B109" s="94">
        <f>IFERROR(__xludf.DUMMYFUNCTION("""COMPUTED_VALUE"""),46144.0)</f>
        <v>46144</v>
      </c>
      <c r="C109" s="93" t="str">
        <f>IFERROR(__xludf.DUMMYFUNCTION("""COMPUTED_VALUE"""),"Kit Delivery")</f>
        <v>Kit Delivery</v>
      </c>
      <c r="D109" s="93">
        <f>IFERROR(__xludf.DUMMYFUNCTION("""COMPUTED_VALUE"""),1.0)</f>
        <v>1</v>
      </c>
      <c r="E109" s="93" t="str">
        <f>IFERROR(__xludf.DUMMYFUNCTION("""COMPUTED_VALUE"""),"Dauten")</f>
        <v>Dauten</v>
      </c>
      <c r="F109" s="93">
        <f>IFERROR(__xludf.DUMMYFUNCTION("""COMPUTED_VALUE"""),213.0)</f>
        <v>213</v>
      </c>
      <c r="G109" s="93" t="str">
        <f>IFERROR(__xludf.DUMMYFUNCTION("""COMPUTED_VALUE"""),"Noah Hunt")</f>
        <v>Noah Hunt</v>
      </c>
      <c r="H109" s="93">
        <f>IFERROR(__xludf.DUMMYFUNCTION("""COMPUTED_VALUE"""),6.175823313E9)</f>
        <v>6175823313</v>
      </c>
      <c r="I109" s="93" t="str">
        <f>IFERROR(__xludf.DUMMYFUNCTION("""COMPUTED_VALUE"""),"11AM-1PM")</f>
        <v>11AM-1PM</v>
      </c>
      <c r="J109" s="93">
        <f>IFERROR(__xludf.DUMMYFUNCTION("""COMPUTED_VALUE"""),1.0)</f>
        <v>1</v>
      </c>
      <c r="K109" s="93" t="str">
        <f>IFERROR(__xludf.DUMMYFUNCTION("""COMPUTED_VALUE"""),"Complete")</f>
        <v>Complete</v>
      </c>
      <c r="L109" s="93"/>
      <c r="M109" s="94">
        <f>IFERROR(__xludf.DUMMYFUNCTION("""COMPUTED_VALUE"""),46123.67570601852)</f>
        <v>46123.67571</v>
      </c>
      <c r="N109" s="93">
        <f>IFERROR(__xludf.DUMMYFUNCTION("""COMPUTED_VALUE"""),80.0)</f>
        <v>80</v>
      </c>
      <c r="O109" s="93"/>
      <c r="P109" s="93" t="str">
        <f>IFERROR(__xludf.DUMMYFUNCTION("""COMPUTED_VALUE"""),"Kit Delivery")</f>
        <v>Kit Delivery</v>
      </c>
      <c r="Q109" s="93"/>
      <c r="R109" s="93"/>
      <c r="S109" s="95">
        <f>IFERROR(__xludf.DUMMYFUNCTION("""COMPUTED_VALUE"""),46123.70133101852)</f>
        <v>46123.70133</v>
      </c>
      <c r="T109" s="93"/>
      <c r="U109" s="93"/>
      <c r="V109" s="93"/>
      <c r="W109" s="93"/>
      <c r="X109" s="93"/>
      <c r="Y109" s="93"/>
      <c r="Z109" s="93"/>
    </row>
    <row r="110">
      <c r="A110" s="93" t="str">
        <f>IFERROR(__xludf.DUMMYFUNCTION("""COMPUTED_VALUE"""),"KIT-#17067")</f>
        <v>KIT-#17067</v>
      </c>
      <c r="B110" s="94">
        <f>IFERROR(__xludf.DUMMYFUNCTION("""COMPUTED_VALUE"""),46144.0)</f>
        <v>46144</v>
      </c>
      <c r="C110" s="93" t="str">
        <f>IFERROR(__xludf.DUMMYFUNCTION("""COMPUTED_VALUE"""),"Kit Delivery")</f>
        <v>Kit Delivery</v>
      </c>
      <c r="D110" s="93">
        <f>IFERROR(__xludf.DUMMYFUNCTION("""COMPUTED_VALUE"""),1.0)</f>
        <v>1</v>
      </c>
      <c r="E110" s="93" t="str">
        <f>IFERROR(__xludf.DUMMYFUNCTION("""COMPUTED_VALUE"""),"Dauten")</f>
        <v>Dauten</v>
      </c>
      <c r="F110" s="93" t="str">
        <f>IFERROR(__xludf.DUMMYFUNCTION("""COMPUTED_VALUE"""),"23-B")</f>
        <v>23-B</v>
      </c>
      <c r="G110" s="93" t="str">
        <f>IFERROR(__xludf.DUMMYFUNCTION("""COMPUTED_VALUE"""),"Ava Feldman")</f>
        <v>Ava Feldman</v>
      </c>
      <c r="H110" s="93">
        <f>IFERROR(__xludf.DUMMYFUNCTION("""COMPUTED_VALUE"""),9.143648E9)</f>
        <v>9143648000</v>
      </c>
      <c r="I110" s="93" t="str">
        <f>IFERROR(__xludf.DUMMYFUNCTION("""COMPUTED_VALUE"""),"9AM-11AM")</f>
        <v>9AM-11AM</v>
      </c>
      <c r="J110" s="93">
        <f>IFERROR(__xludf.DUMMYFUNCTION("""COMPUTED_VALUE"""),1.0)</f>
        <v>1</v>
      </c>
      <c r="K110" s="93" t="str">
        <f>IFERROR(__xludf.DUMMYFUNCTION("""COMPUTED_VALUE"""),"Complete")</f>
        <v>Complete</v>
      </c>
      <c r="L110" s="93"/>
      <c r="M110" s="94">
        <f>IFERROR(__xludf.DUMMYFUNCTION("""COMPUTED_VALUE"""),46123.67732638889)</f>
        <v>46123.67733</v>
      </c>
      <c r="N110" s="93">
        <f>IFERROR(__xludf.DUMMYFUNCTION("""COMPUTED_VALUE"""),77.0)</f>
        <v>77</v>
      </c>
      <c r="O110" s="93"/>
      <c r="P110" s="93" t="str">
        <f>IFERROR(__xludf.DUMMYFUNCTION("""COMPUTED_VALUE"""),"Kit Delivery")</f>
        <v>Kit Delivery</v>
      </c>
      <c r="Q110" s="93"/>
      <c r="R110" s="93"/>
      <c r="S110" s="95">
        <f>IFERROR(__xludf.DUMMYFUNCTION("""COMPUTED_VALUE"""),46123.70133101852)</f>
        <v>46123.70133</v>
      </c>
      <c r="T110" s="93"/>
      <c r="U110" s="93"/>
      <c r="V110" s="93"/>
      <c r="W110" s="93"/>
      <c r="X110" s="93"/>
      <c r="Y110" s="93"/>
      <c r="Z110" s="93"/>
    </row>
    <row r="111">
      <c r="A111" s="93" t="str">
        <f>IFERROR(__xludf.DUMMYFUNCTION("""COMPUTED_VALUE"""),"KIT-#17405")</f>
        <v>KIT-#17405</v>
      </c>
      <c r="B111" s="94">
        <f>IFERROR(__xludf.DUMMYFUNCTION("""COMPUTED_VALUE"""),46144.0)</f>
        <v>46144</v>
      </c>
      <c r="C111" s="93" t="str">
        <f>IFERROR(__xludf.DUMMYFUNCTION("""COMPUTED_VALUE"""),"Kit Delivery")</f>
        <v>Kit Delivery</v>
      </c>
      <c r="D111" s="93">
        <f>IFERROR(__xludf.DUMMYFUNCTION("""COMPUTED_VALUE"""),1.0)</f>
        <v>1</v>
      </c>
      <c r="E111" s="93" t="str">
        <f>IFERROR(__xludf.DUMMYFUNCTION("""COMPUTED_VALUE"""),"Hurd")</f>
        <v>Hurd</v>
      </c>
      <c r="F111" s="93">
        <f>IFERROR(__xludf.DUMMYFUNCTION("""COMPUTED_VALUE"""),312.0)</f>
        <v>312</v>
      </c>
      <c r="G111" s="93" t="str">
        <f>IFERROR(__xludf.DUMMYFUNCTION("""COMPUTED_VALUE"""),"Mai Chen")</f>
        <v>Mai Chen</v>
      </c>
      <c r="H111" s="93">
        <f>IFERROR(__xludf.DUMMYFUNCTION("""COMPUTED_VALUE"""),5.572289739E9)</f>
        <v>5572289739</v>
      </c>
      <c r="I111" s="93" t="str">
        <f>IFERROR(__xludf.DUMMYFUNCTION("""COMPUTED_VALUE"""),"3PM-5PM")</f>
        <v>3PM-5PM</v>
      </c>
      <c r="J111" s="93">
        <f>IFERROR(__xludf.DUMMYFUNCTION("""COMPUTED_VALUE"""),2.0)</f>
        <v>2</v>
      </c>
      <c r="K111" s="93" t="str">
        <f>IFERROR(__xludf.DUMMYFUNCTION("""COMPUTED_VALUE"""),"Complete")</f>
        <v>Complete</v>
      </c>
      <c r="L111" s="93"/>
      <c r="M111" s="94">
        <f>IFERROR(__xludf.DUMMYFUNCTION("""COMPUTED_VALUE"""),46123.69797453703)</f>
        <v>46123.69797</v>
      </c>
      <c r="N111" s="93">
        <f>IFERROR(__xludf.DUMMYFUNCTION("""COMPUTED_VALUE"""),7.0)</f>
        <v>7</v>
      </c>
      <c r="O111" s="93"/>
      <c r="P111" s="93" t="str">
        <f>IFERROR(__xludf.DUMMYFUNCTION("""COMPUTED_VALUE"""),"Kit Delivery")</f>
        <v>Kit Delivery</v>
      </c>
      <c r="Q111" s="93"/>
      <c r="R111" s="93"/>
      <c r="S111" s="95">
        <f>IFERROR(__xludf.DUMMYFUNCTION("""COMPUTED_VALUE"""),46123.70133101852)</f>
        <v>46123.70133</v>
      </c>
      <c r="T111" s="93"/>
      <c r="U111" s="93"/>
      <c r="V111" s="93"/>
      <c r="W111" s="93"/>
      <c r="X111" s="93"/>
      <c r="Y111" s="93"/>
      <c r="Z111" s="93"/>
    </row>
    <row r="112">
      <c r="A112" s="93" t="str">
        <f>IFERROR(__xludf.DUMMYFUNCTION("""COMPUTED_VALUE"""),"KIT-#17334")</f>
        <v>KIT-#17334</v>
      </c>
      <c r="B112" s="94">
        <f>IFERROR(__xludf.DUMMYFUNCTION("""COMPUTED_VALUE"""),46144.0)</f>
        <v>46144</v>
      </c>
      <c r="C112" s="93" t="str">
        <f>IFERROR(__xludf.DUMMYFUNCTION("""COMPUTED_VALUE"""),"Kit Delivery")</f>
        <v>Kit Delivery</v>
      </c>
      <c r="D112" s="93">
        <f>IFERROR(__xludf.DUMMYFUNCTION("""COMPUTED_VALUE"""),1.0)</f>
        <v>1</v>
      </c>
      <c r="E112" s="93" t="str">
        <f>IFERROR(__xludf.DUMMYFUNCTION("""COMPUTED_VALUE"""),"Lee")</f>
        <v>Lee</v>
      </c>
      <c r="F112" s="93">
        <f>IFERROR(__xludf.DUMMYFUNCTION("""COMPUTED_VALUE"""),311.0)</f>
        <v>311</v>
      </c>
      <c r="G112" s="93" t="str">
        <f>IFERROR(__xludf.DUMMYFUNCTION("""COMPUTED_VALUE"""),"Seoyeong Lee")</f>
        <v>Seoyeong Lee</v>
      </c>
      <c r="H112" s="93">
        <f>IFERROR(__xludf.DUMMYFUNCTION("""COMPUTED_VALUE"""),6.503097068E9)</f>
        <v>6503097068</v>
      </c>
      <c r="I112" s="93" t="str">
        <f>IFERROR(__xludf.DUMMYFUNCTION("""COMPUTED_VALUE"""),"11AM-1PM")</f>
        <v>11AM-1PM</v>
      </c>
      <c r="J112" s="93">
        <f>IFERROR(__xludf.DUMMYFUNCTION("""COMPUTED_VALUE"""),1.0)</f>
        <v>1</v>
      </c>
      <c r="K112" s="93" t="str">
        <f>IFERROR(__xludf.DUMMYFUNCTION("""COMPUTED_VALUE"""),"Complete")</f>
        <v>Complete</v>
      </c>
      <c r="L112" s="93"/>
      <c r="M112" s="94">
        <f>IFERROR(__xludf.DUMMYFUNCTION("""COMPUTED_VALUE"""),46123.770266203705)</f>
        <v>46123.77027</v>
      </c>
      <c r="N112" s="93">
        <f>IFERROR(__xludf.DUMMYFUNCTION("""COMPUTED_VALUE"""),68.0)</f>
        <v>68</v>
      </c>
      <c r="O112" s="93"/>
      <c r="P112" s="93" t="str">
        <f>IFERROR(__xludf.DUMMYFUNCTION("""COMPUTED_VALUE"""),"Kit Delivery")</f>
        <v>Kit Delivery</v>
      </c>
      <c r="Q112" s="93"/>
      <c r="R112" s="93"/>
      <c r="S112" s="95">
        <f>IFERROR(__xludf.DUMMYFUNCTION("""COMPUTED_VALUE"""),46123.796273148146)</f>
        <v>46123.79627</v>
      </c>
      <c r="T112" s="93"/>
      <c r="U112" s="93"/>
      <c r="V112" s="93"/>
      <c r="W112" s="93"/>
      <c r="X112" s="93"/>
      <c r="Y112" s="93"/>
      <c r="Z112" s="93"/>
    </row>
    <row r="113">
      <c r="A113" s="93" t="str">
        <f>IFERROR(__xludf.DUMMYFUNCTION("""COMPUTED_VALUE"""),"KIT-#17336")</f>
        <v>KIT-#17336</v>
      </c>
      <c r="B113" s="94">
        <f>IFERROR(__xludf.DUMMYFUNCTION("""COMPUTED_VALUE"""),46144.0)</f>
        <v>46144</v>
      </c>
      <c r="C113" s="93" t="str">
        <f>IFERROR(__xludf.DUMMYFUNCTION("""COMPUTED_VALUE"""),"Kit Delivery")</f>
        <v>Kit Delivery</v>
      </c>
      <c r="D113" s="93">
        <f>IFERROR(__xludf.DUMMYFUNCTION("""COMPUTED_VALUE"""),1.0)</f>
        <v>1</v>
      </c>
      <c r="E113" s="93" t="str">
        <f>IFERROR(__xludf.DUMMYFUNCTION("""COMPUTED_VALUE"""),"Lee")</f>
        <v>Lee</v>
      </c>
      <c r="F113" s="93">
        <f>IFERROR(__xludf.DUMMYFUNCTION("""COMPUTED_VALUE"""),222.0)</f>
        <v>222</v>
      </c>
      <c r="G113" s="93" t="str">
        <f>IFERROR(__xludf.DUMMYFUNCTION("""COMPUTED_VALUE"""),"Grant Wilson")</f>
        <v>Grant Wilson</v>
      </c>
      <c r="H113" s="93">
        <f>IFERROR(__xludf.DUMMYFUNCTION("""COMPUTED_VALUE"""),8.476918994E9)</f>
        <v>8476918994</v>
      </c>
      <c r="I113" s="93" t="str">
        <f>IFERROR(__xludf.DUMMYFUNCTION("""COMPUTED_VALUE"""),"3PM-5PM")</f>
        <v>3PM-5PM</v>
      </c>
      <c r="J113" s="93">
        <f>IFERROR(__xludf.DUMMYFUNCTION("""COMPUTED_VALUE"""),1.0)</f>
        <v>1</v>
      </c>
      <c r="K113" s="93" t="str">
        <f>IFERROR(__xludf.DUMMYFUNCTION("""COMPUTED_VALUE"""),"Complete")</f>
        <v>Complete</v>
      </c>
      <c r="L113" s="93"/>
      <c r="M113" s="94">
        <f>IFERROR(__xludf.DUMMYFUNCTION("""COMPUTED_VALUE"""),46123.77303240741)</f>
        <v>46123.77303</v>
      </c>
      <c r="N113" s="93">
        <f>IFERROR(__xludf.DUMMYFUNCTION("""COMPUTED_VALUE"""),64.0)</f>
        <v>64</v>
      </c>
      <c r="O113" s="93"/>
      <c r="P113" s="93" t="str">
        <f>IFERROR(__xludf.DUMMYFUNCTION("""COMPUTED_VALUE"""),"Kit Delivery")</f>
        <v>Kit Delivery</v>
      </c>
      <c r="Q113" s="93"/>
      <c r="R113" s="93"/>
      <c r="S113" s="95">
        <f>IFERROR(__xludf.DUMMYFUNCTION("""COMPUTED_VALUE"""),46123.796273148146)</f>
        <v>46123.79627</v>
      </c>
      <c r="T113" s="93"/>
      <c r="U113" s="93"/>
      <c r="V113" s="93"/>
      <c r="W113" s="93"/>
      <c r="X113" s="93"/>
      <c r="Y113" s="93"/>
      <c r="Z113" s="93"/>
    </row>
    <row r="114">
      <c r="A114" s="93" t="str">
        <f>IFERROR(__xludf.DUMMYFUNCTION("""COMPUTED_VALUE"""),"KIT-#17202")</f>
        <v>KIT-#17202</v>
      </c>
      <c r="B114" s="94">
        <f>IFERROR(__xludf.DUMMYFUNCTION("""COMPUTED_VALUE"""),46144.0)</f>
        <v>46144</v>
      </c>
      <c r="C114" s="93" t="str">
        <f>IFERROR(__xludf.DUMMYFUNCTION("""COMPUTED_VALUE"""),"Kit Delivery")</f>
        <v>Kit Delivery</v>
      </c>
      <c r="D114" s="93">
        <f>IFERROR(__xludf.DUMMYFUNCTION("""COMPUTED_VALUE"""),1.0)</f>
        <v>1</v>
      </c>
      <c r="E114" s="93" t="str">
        <f>IFERROR(__xludf.DUMMYFUNCTION("""COMPUTED_VALUE"""),"Myers")</f>
        <v>Myers</v>
      </c>
      <c r="F114" s="93" t="str">
        <f>IFERROR(__xludf.DUMMYFUNCTION("""COMPUTED_VALUE"""),"423 - b")</f>
        <v>423 - b</v>
      </c>
      <c r="G114" s="93" t="str">
        <f>IFERROR(__xludf.DUMMYFUNCTION("""COMPUTED_VALUE"""),"Cooper Hazday")</f>
        <v>Cooper Hazday</v>
      </c>
      <c r="H114" s="93">
        <f>IFERROR(__xludf.DUMMYFUNCTION("""COMPUTED_VALUE"""),9.173750383E9)</f>
        <v>9173750383</v>
      </c>
      <c r="I114" s="93" t="str">
        <f>IFERROR(__xludf.DUMMYFUNCTION("""COMPUTED_VALUE"""),"10AM-12PM")</f>
        <v>10AM-12PM</v>
      </c>
      <c r="J114" s="93">
        <f>IFERROR(__xludf.DUMMYFUNCTION("""COMPUTED_VALUE"""),2.0)</f>
        <v>2</v>
      </c>
      <c r="K114" s="93" t="str">
        <f>IFERROR(__xludf.DUMMYFUNCTION("""COMPUTED_VALUE"""),"Complete")</f>
        <v>Complete</v>
      </c>
      <c r="L114" s="93"/>
      <c r="M114" s="94">
        <f>IFERROR(__xludf.DUMMYFUNCTION("""COMPUTED_VALUE"""),46123.79341435185)</f>
        <v>46123.79341</v>
      </c>
      <c r="N114" s="93">
        <f>IFERROR(__xludf.DUMMYFUNCTION("""COMPUTED_VALUE"""),14.0)</f>
        <v>14</v>
      </c>
      <c r="O114" s="93"/>
      <c r="P114" s="93" t="str">
        <f>IFERROR(__xludf.DUMMYFUNCTION("""COMPUTED_VALUE"""),"Kit Delivery")</f>
        <v>Kit Delivery</v>
      </c>
      <c r="Q114" s="93"/>
      <c r="R114" s="93"/>
      <c r="S114" s="95">
        <f>IFERROR(__xludf.DUMMYFUNCTION("""COMPUTED_VALUE"""),46123.796273148146)</f>
        <v>46123.79627</v>
      </c>
      <c r="T114" s="93"/>
      <c r="U114" s="93"/>
      <c r="V114" s="93"/>
      <c r="W114" s="93"/>
      <c r="X114" s="93"/>
      <c r="Y114" s="93"/>
      <c r="Z114" s="93"/>
    </row>
    <row r="115">
      <c r="A115" s="93" t="str">
        <f>IFERROR(__xludf.DUMMYFUNCTION("""COMPUTED_VALUE"""),"KIT-#17195")</f>
        <v>KIT-#17195</v>
      </c>
      <c r="B115" s="94">
        <f>IFERROR(__xludf.DUMMYFUNCTION("""COMPUTED_VALUE"""),46144.0)</f>
        <v>46144</v>
      </c>
      <c r="C115" s="93" t="str">
        <f>IFERROR(__xludf.DUMMYFUNCTION("""COMPUTED_VALUE"""),"Kit Delivery")</f>
        <v>Kit Delivery</v>
      </c>
      <c r="D115" s="93">
        <f>IFERROR(__xludf.DUMMYFUNCTION("""COMPUTED_VALUE"""),1.0)</f>
        <v>1</v>
      </c>
      <c r="E115" s="93" t="str">
        <f>IFERROR(__xludf.DUMMYFUNCTION("""COMPUTED_VALUE"""),"Umrath")</f>
        <v>Umrath</v>
      </c>
      <c r="F115" s="93">
        <f>IFERROR(__xludf.DUMMYFUNCTION("""COMPUTED_VALUE"""),4404.0)</f>
        <v>4404</v>
      </c>
      <c r="G115" s="93" t="str">
        <f>IFERROR(__xludf.DUMMYFUNCTION("""COMPUTED_VALUE"""),"Julia Kahn")</f>
        <v>Julia Kahn</v>
      </c>
      <c r="H115" s="93">
        <f>IFERROR(__xludf.DUMMYFUNCTION("""COMPUTED_VALUE"""),9.14522341E9)</f>
        <v>9145223410</v>
      </c>
      <c r="I115" s="93" t="str">
        <f>IFERROR(__xludf.DUMMYFUNCTION("""COMPUTED_VALUE"""),"3PM-5PM")</f>
        <v>3PM-5PM</v>
      </c>
      <c r="J115" s="93">
        <f>IFERROR(__xludf.DUMMYFUNCTION("""COMPUTED_VALUE"""),2.0)</f>
        <v>2</v>
      </c>
      <c r="K115" s="93" t="str">
        <f>IFERROR(__xludf.DUMMYFUNCTION("""COMPUTED_VALUE"""),"Complete")</f>
        <v>Complete</v>
      </c>
      <c r="L115" s="93"/>
      <c r="M115" s="94">
        <f>IFERROR(__xludf.DUMMYFUNCTION("""COMPUTED_VALUE"""),46123.896631944444)</f>
        <v>46123.89663</v>
      </c>
      <c r="N115" s="93">
        <f>IFERROR(__xludf.DUMMYFUNCTION("""COMPUTED_VALUE"""),122.0)</f>
        <v>122</v>
      </c>
      <c r="O115" s="93"/>
      <c r="P115" s="93" t="str">
        <f>IFERROR(__xludf.DUMMYFUNCTION("""COMPUTED_VALUE"""),"Kit Delivery")</f>
        <v>Kit Delivery</v>
      </c>
      <c r="Q115" s="93"/>
      <c r="R115" s="93"/>
      <c r="S115" s="95">
        <f>IFERROR(__xludf.DUMMYFUNCTION("""COMPUTED_VALUE"""),46124.4096875)</f>
        <v>46124.40969</v>
      </c>
      <c r="T115" s="93"/>
      <c r="U115" s="93"/>
      <c r="V115" s="93"/>
      <c r="W115" s="93"/>
      <c r="X115" s="93"/>
      <c r="Y115" s="93"/>
      <c r="Z115" s="93"/>
    </row>
    <row r="116">
      <c r="A116" s="93" t="str">
        <f>IFERROR(__xludf.DUMMYFUNCTION("""COMPUTED_VALUE"""),"KIT-#17172")</f>
        <v>KIT-#17172</v>
      </c>
      <c r="B116" s="94">
        <f>IFERROR(__xludf.DUMMYFUNCTION("""COMPUTED_VALUE"""),46144.0)</f>
        <v>46144</v>
      </c>
      <c r="C116" s="93" t="str">
        <f>IFERROR(__xludf.DUMMYFUNCTION("""COMPUTED_VALUE"""),"Kit Delivery")</f>
        <v>Kit Delivery</v>
      </c>
      <c r="D116" s="93">
        <f>IFERROR(__xludf.DUMMYFUNCTION("""COMPUTED_VALUE"""),1.0)</f>
        <v>1</v>
      </c>
      <c r="E116" s="93" t="str">
        <f>IFERROR(__xludf.DUMMYFUNCTION("""COMPUTED_VALUE"""),"Umrath")</f>
        <v>Umrath</v>
      </c>
      <c r="F116" s="93">
        <f>IFERROR(__xludf.DUMMYFUNCTION("""COMPUTED_VALUE"""),3337.0)</f>
        <v>3337</v>
      </c>
      <c r="G116" s="93" t="str">
        <f>IFERROR(__xludf.DUMMYFUNCTION("""COMPUTED_VALUE"""),"Zhuoer Gu")</f>
        <v>Zhuoer Gu</v>
      </c>
      <c r="H116" s="93">
        <f>IFERROR(__xludf.DUMMYFUNCTION("""COMPUTED_VALUE"""),3.143194069E9)</f>
        <v>3143194069</v>
      </c>
      <c r="I116" s="93" t="str">
        <f>IFERROR(__xludf.DUMMYFUNCTION("""COMPUTED_VALUE"""),"3PM-5PM")</f>
        <v>3PM-5PM</v>
      </c>
      <c r="J116" s="93">
        <f>IFERROR(__xludf.DUMMYFUNCTION("""COMPUTED_VALUE"""),3.0)</f>
        <v>3</v>
      </c>
      <c r="K116" s="93" t="str">
        <f>IFERROR(__xludf.DUMMYFUNCTION("""COMPUTED_VALUE"""),"Complete")</f>
        <v>Complete</v>
      </c>
      <c r="L116" s="93"/>
      <c r="M116" s="94">
        <f>IFERROR(__xludf.DUMMYFUNCTION("""COMPUTED_VALUE"""),46123.89791666667)</f>
        <v>46123.89792</v>
      </c>
      <c r="N116" s="93">
        <f>IFERROR(__xludf.DUMMYFUNCTION("""COMPUTED_VALUE"""),120.0)</f>
        <v>120</v>
      </c>
      <c r="O116" s="93"/>
      <c r="P116" s="93" t="str">
        <f>IFERROR(__xludf.DUMMYFUNCTION("""COMPUTED_VALUE"""),"Kit Delivery")</f>
        <v>Kit Delivery</v>
      </c>
      <c r="Q116" s="93"/>
      <c r="R116" s="93"/>
      <c r="S116" s="95">
        <f>IFERROR(__xludf.DUMMYFUNCTION("""COMPUTED_VALUE"""),46124.4096875)</f>
        <v>46124.40969</v>
      </c>
      <c r="T116" s="93"/>
      <c r="U116" s="93"/>
      <c r="V116" s="93"/>
      <c r="W116" s="93"/>
      <c r="X116" s="93"/>
      <c r="Y116" s="93"/>
      <c r="Z116" s="93"/>
    </row>
    <row r="117">
      <c r="A117" s="93" t="str">
        <f>IFERROR(__xludf.DUMMYFUNCTION("""COMPUTED_VALUE"""),"KIT-#17223")</f>
        <v>KIT-#17223</v>
      </c>
      <c r="B117" s="94">
        <f>IFERROR(__xludf.DUMMYFUNCTION("""COMPUTED_VALUE"""),46144.0)</f>
        <v>46144</v>
      </c>
      <c r="C117" s="93" t="str">
        <f>IFERROR(__xludf.DUMMYFUNCTION("""COMPUTED_VALUE"""),"Kit Delivery")</f>
        <v>Kit Delivery</v>
      </c>
      <c r="D117" s="93">
        <f>IFERROR(__xludf.DUMMYFUNCTION("""COMPUTED_VALUE"""),1.0)</f>
        <v>1</v>
      </c>
      <c r="E117" s="93" t="str">
        <f>IFERROR(__xludf.DUMMYFUNCTION("""COMPUTED_VALUE"""),"Umrath")</f>
        <v>Umrath</v>
      </c>
      <c r="F117" s="93">
        <f>IFERROR(__xludf.DUMMYFUNCTION("""COMPUTED_VALUE"""),4434.0)</f>
        <v>4434</v>
      </c>
      <c r="G117" s="93" t="str">
        <f>IFERROR(__xludf.DUMMYFUNCTION("""COMPUTED_VALUE"""),"Khadija Sissoko")</f>
        <v>Khadija Sissoko</v>
      </c>
      <c r="H117" s="93">
        <f>IFERROR(__xludf.DUMMYFUNCTION("""COMPUTED_VALUE"""),3.045332912E9)</f>
        <v>3045332912</v>
      </c>
      <c r="I117" s="93" t="str">
        <f>IFERROR(__xludf.DUMMYFUNCTION("""COMPUTED_VALUE"""),"2PM-4PM")</f>
        <v>2PM-4PM</v>
      </c>
      <c r="J117" s="93">
        <f>IFERROR(__xludf.DUMMYFUNCTION("""COMPUTED_VALUE"""),1.0)</f>
        <v>1</v>
      </c>
      <c r="K117" s="93" t="str">
        <f>IFERROR(__xludf.DUMMYFUNCTION("""COMPUTED_VALUE"""),"Complete")</f>
        <v>Complete</v>
      </c>
      <c r="L117" s="93"/>
      <c r="M117" s="94">
        <f>IFERROR(__xludf.DUMMYFUNCTION("""COMPUTED_VALUE"""),46123.89810185185)</f>
        <v>46123.8981</v>
      </c>
      <c r="N117" s="93">
        <f>IFERROR(__xludf.DUMMYFUNCTION("""COMPUTED_VALUE"""),126.0)</f>
        <v>126</v>
      </c>
      <c r="O117" s="93"/>
      <c r="P117" s="93" t="str">
        <f>IFERROR(__xludf.DUMMYFUNCTION("""COMPUTED_VALUE"""),"Kit Delivery")</f>
        <v>Kit Delivery</v>
      </c>
      <c r="Q117" s="93"/>
      <c r="R117" s="93"/>
      <c r="S117" s="95">
        <f>IFERROR(__xludf.DUMMYFUNCTION("""COMPUTED_VALUE"""),46124.4096875)</f>
        <v>46124.40969</v>
      </c>
      <c r="T117" s="93"/>
      <c r="U117" s="93"/>
      <c r="V117" s="93"/>
      <c r="W117" s="93"/>
      <c r="X117" s="93"/>
      <c r="Y117" s="93"/>
      <c r="Z117" s="93"/>
    </row>
    <row r="118">
      <c r="A118" s="93" t="str">
        <f>IFERROR(__xludf.DUMMYFUNCTION("""COMPUTED_VALUE"""),"KIT-#17043")</f>
        <v>KIT-#17043</v>
      </c>
      <c r="B118" s="94">
        <f>IFERROR(__xludf.DUMMYFUNCTION("""COMPUTED_VALUE"""),46144.0)</f>
        <v>46144</v>
      </c>
      <c r="C118" s="93" t="str">
        <f>IFERROR(__xludf.DUMMYFUNCTION("""COMPUTED_VALUE"""),"Kit Delivery")</f>
        <v>Kit Delivery</v>
      </c>
      <c r="D118" s="93">
        <f>IFERROR(__xludf.DUMMYFUNCTION("""COMPUTED_VALUE"""),1.0)</f>
        <v>1</v>
      </c>
      <c r="E118" s="93" t="str">
        <f>IFERROR(__xludf.DUMMYFUNCTION("""COMPUTED_VALUE"""),"Zetcher")</f>
        <v>Zetcher</v>
      </c>
      <c r="F118" s="93">
        <f>IFERROR(__xludf.DUMMYFUNCTION("""COMPUTED_VALUE"""),4043.0)</f>
        <v>4043</v>
      </c>
      <c r="G118" s="93" t="str">
        <f>IFERROR(__xludf.DUMMYFUNCTION("""COMPUTED_VALUE"""),"Kyle Chang")</f>
        <v>Kyle Chang</v>
      </c>
      <c r="H118" s="93"/>
      <c r="I118" s="93" t="str">
        <f>IFERROR(__xludf.DUMMYFUNCTION("""COMPUTED_VALUE"""),"3PM-5PM")</f>
        <v>3PM-5PM</v>
      </c>
      <c r="J118" s="93">
        <f>IFERROR(__xludf.DUMMYFUNCTION("""COMPUTED_VALUE"""),1.0)</f>
        <v>1</v>
      </c>
      <c r="K118" s="93" t="str">
        <f>IFERROR(__xludf.DUMMYFUNCTION("""COMPUTED_VALUE"""),"Complete")</f>
        <v>Complete</v>
      </c>
      <c r="L118" s="93"/>
      <c r="M118" s="94">
        <f>IFERROR(__xludf.DUMMYFUNCTION("""COMPUTED_VALUE"""),46123.991215277776)</f>
        <v>46123.99122</v>
      </c>
      <c r="N118" s="93">
        <f>IFERROR(__xludf.DUMMYFUNCTION("""COMPUTED_VALUE"""),131.0)</f>
        <v>131</v>
      </c>
      <c r="O118" s="93"/>
      <c r="P118" s="93" t="str">
        <f>IFERROR(__xludf.DUMMYFUNCTION("""COMPUTED_VALUE"""),"Kit Delivery")</f>
        <v>Kit Delivery</v>
      </c>
      <c r="Q118" s="93"/>
      <c r="R118" s="93"/>
      <c r="S118" s="95">
        <f>IFERROR(__xludf.DUMMYFUNCTION("""COMPUTED_VALUE"""),46124.4096875)</f>
        <v>46124.40969</v>
      </c>
      <c r="T118" s="93"/>
      <c r="U118" s="93"/>
      <c r="V118" s="93"/>
      <c r="W118" s="93"/>
      <c r="X118" s="93"/>
      <c r="Y118" s="93"/>
      <c r="Z118" s="93"/>
    </row>
    <row r="119">
      <c r="A119" s="93" t="str">
        <f>IFERROR(__xludf.DUMMYFUNCTION("""COMPUTED_VALUE"""),"KIT-#17356")</f>
        <v>KIT-#17356</v>
      </c>
      <c r="B119" s="94">
        <f>IFERROR(__xludf.DUMMYFUNCTION("""COMPUTED_VALUE"""),46144.0)</f>
        <v>46144</v>
      </c>
      <c r="C119" s="93" t="str">
        <f>IFERROR(__xludf.DUMMYFUNCTION("""COMPUTED_VALUE"""),"Kit Delivery")</f>
        <v>Kit Delivery</v>
      </c>
      <c r="D119" s="93">
        <f>IFERROR(__xludf.DUMMYFUNCTION("""COMPUTED_VALUE"""),1.0)</f>
        <v>1</v>
      </c>
      <c r="E119" s="93" t="str">
        <f>IFERROR(__xludf.DUMMYFUNCTION("""COMPUTED_VALUE"""),"Dardick")</f>
        <v>Dardick</v>
      </c>
      <c r="F119" s="93">
        <f>IFERROR(__xludf.DUMMYFUNCTION("""COMPUTED_VALUE"""),2210.0)</f>
        <v>2210</v>
      </c>
      <c r="G119" s="93" t="str">
        <f>IFERROR(__xludf.DUMMYFUNCTION("""COMPUTED_VALUE"""),"Daniel Bean")</f>
        <v>Daniel Bean</v>
      </c>
      <c r="H119" s="93">
        <f>IFERROR(__xludf.DUMMYFUNCTION("""COMPUTED_VALUE"""),9.178215595E9)</f>
        <v>9178215595</v>
      </c>
      <c r="I119" s="93" t="str">
        <f>IFERROR(__xludf.DUMMYFUNCTION("""COMPUTED_VALUE"""),"10AM-12PM")</f>
        <v>10AM-12PM</v>
      </c>
      <c r="J119" s="93">
        <f>IFERROR(__xludf.DUMMYFUNCTION("""COMPUTED_VALUE"""),1.0)</f>
        <v>1</v>
      </c>
      <c r="K119" s="93" t="str">
        <f>IFERROR(__xludf.DUMMYFUNCTION("""COMPUTED_VALUE"""),"Complete")</f>
        <v>Complete</v>
      </c>
      <c r="L119" s="93"/>
      <c r="M119" s="94">
        <f>IFERROR(__xludf.DUMMYFUNCTION("""COMPUTED_VALUE"""),46124.02626157408)</f>
        <v>46124.02626</v>
      </c>
      <c r="N119" s="93">
        <f>IFERROR(__xludf.DUMMYFUNCTION("""COMPUTED_VALUE"""),91.0)</f>
        <v>91</v>
      </c>
      <c r="O119" s="93"/>
      <c r="P119" s="93" t="str">
        <f>IFERROR(__xludf.DUMMYFUNCTION("""COMPUTED_VALUE"""),"Kit Delivery")</f>
        <v>Kit Delivery</v>
      </c>
      <c r="Q119" s="93"/>
      <c r="R119" s="93"/>
      <c r="S119" s="95">
        <f>IFERROR(__xludf.DUMMYFUNCTION("""COMPUTED_VALUE"""),46124.4096875)</f>
        <v>46124.40969</v>
      </c>
      <c r="T119" s="93"/>
      <c r="U119" s="93"/>
      <c r="V119" s="93"/>
      <c r="W119" s="93"/>
      <c r="X119" s="93"/>
      <c r="Y119" s="93"/>
      <c r="Z119" s="93"/>
    </row>
    <row r="120">
      <c r="A120" s="93" t="str">
        <f>IFERROR(__xludf.DUMMYFUNCTION("""COMPUTED_VALUE"""),"KIT-#17385")</f>
        <v>KIT-#17385</v>
      </c>
      <c r="B120" s="94">
        <f>IFERROR(__xludf.DUMMYFUNCTION("""COMPUTED_VALUE"""),46144.0)</f>
        <v>46144</v>
      </c>
      <c r="C120" s="93" t="str">
        <f>IFERROR(__xludf.DUMMYFUNCTION("""COMPUTED_VALUE"""),"Kit Delivery")</f>
        <v>Kit Delivery</v>
      </c>
      <c r="D120" s="93">
        <f>IFERROR(__xludf.DUMMYFUNCTION("""COMPUTED_VALUE"""),1.0)</f>
        <v>1</v>
      </c>
      <c r="E120" s="93" t="str">
        <f>IFERROR(__xludf.DUMMYFUNCTION("""COMPUTED_VALUE"""),"Koenig")</f>
        <v>Koenig</v>
      </c>
      <c r="F120" s="93">
        <f>IFERROR(__xludf.DUMMYFUNCTION("""COMPUTED_VALUE"""),3321.0)</f>
        <v>3321</v>
      </c>
      <c r="G120" s="93" t="str">
        <f>IFERROR(__xludf.DUMMYFUNCTION("""COMPUTED_VALUE"""),"Evelyn Lu")</f>
        <v>Evelyn Lu</v>
      </c>
      <c r="H120" s="93">
        <f>IFERROR(__xludf.DUMMYFUNCTION("""COMPUTED_VALUE"""),3.146654598E9)</f>
        <v>3146654598</v>
      </c>
      <c r="I120" s="93" t="str">
        <f>IFERROR(__xludf.DUMMYFUNCTION("""COMPUTED_VALUE"""),"1PM-3PM")</f>
        <v>1PM-3PM</v>
      </c>
      <c r="J120" s="93">
        <f>IFERROR(__xludf.DUMMYFUNCTION("""COMPUTED_VALUE"""),1.0)</f>
        <v>1</v>
      </c>
      <c r="K120" s="93" t="str">
        <f>IFERROR(__xludf.DUMMYFUNCTION("""COMPUTED_VALUE"""),"Complete")</f>
        <v>Complete</v>
      </c>
      <c r="L120" s="93"/>
      <c r="M120" s="94">
        <f>IFERROR(__xludf.DUMMYFUNCTION("""COMPUTED_VALUE"""),46124.04131944444)</f>
        <v>46124.04132</v>
      </c>
      <c r="N120" s="93">
        <f>IFERROR(__xludf.DUMMYFUNCTION("""COMPUTED_VALUE"""),143.0)</f>
        <v>143</v>
      </c>
      <c r="O120" s="93"/>
      <c r="P120" s="93" t="str">
        <f>IFERROR(__xludf.DUMMYFUNCTION("""COMPUTED_VALUE"""),"Kit Delivery")</f>
        <v>Kit Delivery</v>
      </c>
      <c r="Q120" s="93"/>
      <c r="R120" s="93"/>
      <c r="S120" s="95">
        <f>IFERROR(__xludf.DUMMYFUNCTION("""COMPUTED_VALUE"""),46124.4096875)</f>
        <v>46124.40969</v>
      </c>
      <c r="T120" s="93"/>
      <c r="U120" s="93"/>
      <c r="V120" s="93"/>
      <c r="W120" s="93"/>
      <c r="X120" s="93"/>
      <c r="Y120" s="93"/>
      <c r="Z120" s="93"/>
    </row>
    <row r="121">
      <c r="A121" s="93" t="str">
        <f>IFERROR(__xludf.DUMMYFUNCTION("""COMPUTED_VALUE"""),"KIT-#17473")</f>
        <v>KIT-#17473</v>
      </c>
      <c r="B121" s="94">
        <f>IFERROR(__xludf.DUMMYFUNCTION("""COMPUTED_VALUE"""),46144.0)</f>
        <v>46144</v>
      </c>
      <c r="C121" s="93" t="str">
        <f>IFERROR(__xludf.DUMMYFUNCTION("""COMPUTED_VALUE"""),"Kit Delivery")</f>
        <v>Kit Delivery</v>
      </c>
      <c r="D121" s="93">
        <f>IFERROR(__xludf.DUMMYFUNCTION("""COMPUTED_VALUE"""),2.0)</f>
        <v>2</v>
      </c>
      <c r="E121" s="93" t="str">
        <f>IFERROR(__xludf.DUMMYFUNCTION("""COMPUTED_VALUE"""),"Umrath")</f>
        <v>Umrath</v>
      </c>
      <c r="F121" s="93" t="str">
        <f>IFERROR(__xludf.DUMMYFUNCTION("""COMPUTED_VALUE"""),"L239")</f>
        <v>L239</v>
      </c>
      <c r="G121" s="93" t="str">
        <f>IFERROR(__xludf.DUMMYFUNCTION("""COMPUTED_VALUE"""),"Mia Galpern")</f>
        <v>Mia Galpern</v>
      </c>
      <c r="H121" s="93">
        <f>IFERROR(__xludf.DUMMYFUNCTION("""COMPUTED_VALUE"""),9.177155789E9)</f>
        <v>9177155789</v>
      </c>
      <c r="I121" s="93" t="str">
        <f>IFERROR(__xludf.DUMMYFUNCTION("""COMPUTED_VALUE"""),"9AM-11AM")</f>
        <v>9AM-11AM</v>
      </c>
      <c r="J121" s="93">
        <f>IFERROR(__xludf.DUMMYFUNCTION("""COMPUTED_VALUE"""),2.0)</f>
        <v>2</v>
      </c>
      <c r="K121" s="93" t="str">
        <f>IFERROR(__xludf.DUMMYFUNCTION("""COMPUTED_VALUE"""),"Complete")</f>
        <v>Complete</v>
      </c>
      <c r="L121" s="93"/>
      <c r="M121" s="94">
        <f>IFERROR(__xludf.DUMMYFUNCTION("""COMPUTED_VALUE"""),46129.856886574074)</f>
        <v>46129.85689</v>
      </c>
      <c r="N121" s="93">
        <f>IFERROR(__xludf.DUMMYFUNCTION("""COMPUTED_VALUE"""),148.0)</f>
        <v>148</v>
      </c>
      <c r="O121" s="93"/>
      <c r="P121" s="93" t="str">
        <f>IFERROR(__xludf.DUMMYFUNCTION("""COMPUTED_VALUE"""),"Kit Delivery")</f>
        <v>Kit Delivery</v>
      </c>
      <c r="Q121" s="93"/>
      <c r="R121" s="93"/>
      <c r="S121" s="93" t="str">
        <f>IFERROR(__xludf.DUMMYFUNCTION("""COMPUTED_VALUE"""),"Dispatch_Images/KIT--17473.Photos.013351.jpg")</f>
        <v>Dispatch_Images/KIT--17473.Photos.013351.jpg</v>
      </c>
      <c r="T121" s="95">
        <f>IFERROR(__xludf.DUMMYFUNCTION("""COMPUTED_VALUE"""),46129.863217592596)</f>
        <v>46129.86322</v>
      </c>
      <c r="U121" s="93"/>
      <c r="V121" s="93"/>
      <c r="W121" s="93"/>
      <c r="X121" s="93"/>
      <c r="Y121" s="93"/>
      <c r="Z121" s="93"/>
    </row>
    <row r="122">
      <c r="A122" s="93" t="str">
        <f>IFERROR(__xludf.DUMMYFUNCTION("""COMPUTED_VALUE"""),"KIT-#17436")</f>
        <v>KIT-#17436</v>
      </c>
      <c r="B122" s="94">
        <f>IFERROR(__xludf.DUMMYFUNCTION("""COMPUTED_VALUE"""),46144.0)</f>
        <v>46144</v>
      </c>
      <c r="C122" s="93" t="str">
        <f>IFERROR(__xludf.DUMMYFUNCTION("""COMPUTED_VALUE"""),"Kit Delivery")</f>
        <v>Kit Delivery</v>
      </c>
      <c r="D122" s="93">
        <f>IFERROR(__xludf.DUMMYFUNCTION("""COMPUTED_VALUE"""),2.0)</f>
        <v>2</v>
      </c>
      <c r="E122" s="93" t="str">
        <f>IFERROR(__xludf.DUMMYFUNCTION("""COMPUTED_VALUE"""),"Danforth")</f>
        <v>Danforth</v>
      </c>
      <c r="F122" s="93">
        <f>IFERROR(__xludf.DUMMYFUNCTION("""COMPUTED_VALUE"""),3310.0)</f>
        <v>3310</v>
      </c>
      <c r="G122" s="93" t="str">
        <f>IFERROR(__xludf.DUMMYFUNCTION("""COMPUTED_VALUE"""),"Sofia striker")</f>
        <v>Sofia striker</v>
      </c>
      <c r="H122" s="93">
        <f>IFERROR(__xludf.DUMMYFUNCTION("""COMPUTED_VALUE"""),3.123399797E9)</f>
        <v>3123399797</v>
      </c>
      <c r="I122" s="93" t="str">
        <f>IFERROR(__xludf.DUMMYFUNCTION("""COMPUTED_VALUE"""),"3PM-5PM")</f>
        <v>3PM-5PM</v>
      </c>
      <c r="J122" s="93">
        <f>IFERROR(__xludf.DUMMYFUNCTION("""COMPUTED_VALUE"""),2.0)</f>
        <v>2</v>
      </c>
      <c r="K122" s="93" t="str">
        <f>IFERROR(__xludf.DUMMYFUNCTION("""COMPUTED_VALUE"""),"Complete")</f>
        <v>Complete</v>
      </c>
      <c r="L122" s="93"/>
      <c r="M122" s="94">
        <f>IFERROR(__xludf.DUMMYFUNCTION("""COMPUTED_VALUE"""),46129.914768518516)</f>
        <v>46129.91477</v>
      </c>
      <c r="N122" s="93">
        <f>IFERROR(__xludf.DUMMYFUNCTION("""COMPUTED_VALUE"""),42.0)</f>
        <v>42</v>
      </c>
      <c r="O122" s="93"/>
      <c r="P122" s="93" t="str">
        <f>IFERROR(__xludf.DUMMYFUNCTION("""COMPUTED_VALUE"""),"Kit Delivery")</f>
        <v>Kit Delivery</v>
      </c>
      <c r="Q122" s="93"/>
      <c r="R122" s="93"/>
      <c r="S122" s="93" t="str">
        <f>IFERROR(__xludf.DUMMYFUNCTION("""COMPUTED_VALUE"""),"Dispatch_Images/KIT--17436.Photos.025713.jpg")</f>
        <v>Dispatch_Images/KIT--17436.Photos.025713.jpg</v>
      </c>
      <c r="T122" s="95">
        <f>IFERROR(__xludf.DUMMYFUNCTION("""COMPUTED_VALUE"""),46129.91878472222)</f>
        <v>46129.91878</v>
      </c>
      <c r="U122" s="93"/>
      <c r="V122" s="93"/>
      <c r="W122" s="93"/>
      <c r="X122" s="93"/>
      <c r="Y122" s="93"/>
      <c r="Z122" s="93"/>
    </row>
    <row r="123">
      <c r="A123" s="93" t="str">
        <f>IFERROR(__xludf.DUMMYFUNCTION("""COMPUTED_VALUE"""),"KIT-#17429")</f>
        <v>KIT-#17429</v>
      </c>
      <c r="B123" s="94">
        <f>IFERROR(__xludf.DUMMYFUNCTION("""COMPUTED_VALUE"""),46144.0)</f>
        <v>46144</v>
      </c>
      <c r="C123" s="93" t="str">
        <f>IFERROR(__xludf.DUMMYFUNCTION("""COMPUTED_VALUE"""),"Kit Delivery")</f>
        <v>Kit Delivery</v>
      </c>
      <c r="D123" s="93">
        <f>IFERROR(__xludf.DUMMYFUNCTION("""COMPUTED_VALUE"""),1.0)</f>
        <v>1</v>
      </c>
      <c r="E123" s="93" t="str">
        <f>IFERROR(__xludf.DUMMYFUNCTION("""COMPUTED_VALUE"""),"Nemerov")</f>
        <v>Nemerov</v>
      </c>
      <c r="F123" s="93" t="str">
        <f>IFERROR(__xludf.DUMMYFUNCTION("""COMPUTED_VALUE"""),"4083-a")</f>
        <v>4083-a</v>
      </c>
      <c r="G123" s="93" t="str">
        <f>IFERROR(__xludf.DUMMYFUNCTION("""COMPUTED_VALUE"""),"Emma Hait")</f>
        <v>Emma Hait</v>
      </c>
      <c r="H123" s="93">
        <f>IFERROR(__xludf.DUMMYFUNCTION("""COMPUTED_VALUE"""),6.177339661E9)</f>
        <v>6177339661</v>
      </c>
      <c r="I123" s="93" t="str">
        <f>IFERROR(__xludf.DUMMYFUNCTION("""COMPUTED_VALUE"""),"3PM-5PM")</f>
        <v>3PM-5PM</v>
      </c>
      <c r="J123" s="93">
        <f>IFERROR(__xludf.DUMMYFUNCTION("""COMPUTED_VALUE"""),2.0)</f>
        <v>2</v>
      </c>
      <c r="K123" s="93" t="str">
        <f>IFERROR(__xludf.DUMMYFUNCTION("""COMPUTED_VALUE"""),"Complete")</f>
        <v>Complete</v>
      </c>
      <c r="L123" s="93"/>
      <c r="M123" s="94">
        <f>IFERROR(__xludf.DUMMYFUNCTION("""COMPUTED_VALUE"""),46130.410254629634)</f>
        <v>46130.41025</v>
      </c>
      <c r="N123" s="93">
        <f>IFERROR(__xludf.DUMMYFUNCTION("""COMPUTED_VALUE"""),143.0)</f>
        <v>143</v>
      </c>
      <c r="O123" s="93"/>
      <c r="P123" s="93" t="str">
        <f>IFERROR(__xludf.DUMMYFUNCTION("""COMPUTED_VALUE"""),"Kit Delivery")</f>
        <v>Kit Delivery</v>
      </c>
      <c r="Q123" s="93"/>
      <c r="R123" s="93"/>
      <c r="S123" s="93" t="str">
        <f>IFERROR(__xludf.DUMMYFUNCTION("""COMPUTED_VALUE"""),"Dispatch_Images/KIT--17429.Photos.145043.jpg")</f>
        <v>Dispatch_Images/KIT--17429.Photos.145043.jpg</v>
      </c>
      <c r="T123" s="95">
        <f>IFERROR(__xludf.DUMMYFUNCTION("""COMPUTED_VALUE"""),46130.411828703705)</f>
        <v>46130.41183</v>
      </c>
      <c r="U123" s="93"/>
      <c r="V123" s="93"/>
      <c r="W123" s="93"/>
      <c r="X123" s="93"/>
      <c r="Y123" s="93"/>
      <c r="Z123" s="93"/>
    </row>
    <row r="124">
      <c r="A124" s="93" t="str">
        <f>IFERROR(__xludf.DUMMYFUNCTION("""COMPUTED_VALUE"""),"KIT-#17378")</f>
        <v>KIT-#17378</v>
      </c>
      <c r="B124" s="94">
        <f>IFERROR(__xludf.DUMMYFUNCTION("""COMPUTED_VALUE"""),46144.0)</f>
        <v>46144</v>
      </c>
      <c r="C124" s="93" t="str">
        <f>IFERROR(__xludf.DUMMYFUNCTION("""COMPUTED_VALUE"""),"Kit Delivery")</f>
        <v>Kit Delivery</v>
      </c>
      <c r="D124" s="93">
        <f>IFERROR(__xludf.DUMMYFUNCTION("""COMPUTED_VALUE"""),3.0)</f>
        <v>3</v>
      </c>
      <c r="E124" s="93" t="str">
        <f>IFERROR(__xludf.DUMMYFUNCTION("""COMPUTED_VALUE"""),"Koenig")</f>
        <v>Koenig</v>
      </c>
      <c r="F124" s="93">
        <f>IFERROR(__xludf.DUMMYFUNCTION("""COMPUTED_VALUE"""),1112.0)</f>
        <v>1112</v>
      </c>
      <c r="G124" s="93" t="str">
        <f>IFERROR(__xludf.DUMMYFUNCTION("""COMPUTED_VALUE"""),"William Atticks")</f>
        <v>William Atticks</v>
      </c>
      <c r="H124" s="93">
        <f>IFERROR(__xludf.DUMMYFUNCTION("""COMPUTED_VALUE"""),4.439155111E9)</f>
        <v>4439155111</v>
      </c>
      <c r="I124" s="93" t="str">
        <f>IFERROR(__xludf.DUMMYFUNCTION("""COMPUTED_VALUE"""),"11AM-1PM")</f>
        <v>11AM-1PM</v>
      </c>
      <c r="J124" s="93">
        <f>IFERROR(__xludf.DUMMYFUNCTION("""COMPUTED_VALUE"""),1.0)</f>
        <v>1</v>
      </c>
      <c r="K124" s="93" t="str">
        <f>IFERROR(__xludf.DUMMYFUNCTION("""COMPUTED_VALUE"""),"Complete")</f>
        <v>Complete</v>
      </c>
      <c r="L124" s="93"/>
      <c r="M124" s="94">
        <f>IFERROR(__xludf.DUMMYFUNCTION("""COMPUTED_VALUE"""),46130.43079861111)</f>
        <v>46130.4308</v>
      </c>
      <c r="N124" s="93">
        <f>IFERROR(__xludf.DUMMYFUNCTION("""COMPUTED_VALUE"""),197.0)</f>
        <v>197</v>
      </c>
      <c r="O124" s="93" t="str">
        <f>IFERROR(__xludf.DUMMYFUNCTION("""COMPUTED_VALUE"""),"819 west padonia rd")</f>
        <v>819 west padonia rd</v>
      </c>
      <c r="P124" s="93" t="str">
        <f>IFERROR(__xludf.DUMMYFUNCTION("""COMPUTED_VALUE"""),"Kit Delivery")</f>
        <v>Kit Delivery</v>
      </c>
      <c r="Q124" s="93"/>
      <c r="R124" s="93"/>
      <c r="S124" s="93" t="str">
        <f>IFERROR(__xludf.DUMMYFUNCTION("""COMPUTED_VALUE"""),"Dispatch_Images/KIT--17378.Photos.152017.jpg")</f>
        <v>Dispatch_Images/KIT--17378.Photos.152017.jpg</v>
      </c>
      <c r="T124" s="95">
        <f>IFERROR(__xludf.DUMMYFUNCTION("""COMPUTED_VALUE"""),46130.432662037034)</f>
        <v>46130.43266</v>
      </c>
      <c r="U124" s="93"/>
      <c r="V124" s="93"/>
      <c r="W124" s="93"/>
      <c r="X124" s="93"/>
      <c r="Y124" s="93"/>
      <c r="Z124" s="93"/>
    </row>
    <row r="125">
      <c r="A125" s="93" t="str">
        <f>IFERROR(__xludf.DUMMYFUNCTION("""COMPUTED_VALUE"""),"KIT-#17468")</f>
        <v>KIT-#17468</v>
      </c>
      <c r="B125" s="94">
        <f>IFERROR(__xludf.DUMMYFUNCTION("""COMPUTED_VALUE"""),46144.0)</f>
        <v>46144</v>
      </c>
      <c r="C125" s="93" t="str">
        <f>IFERROR(__xludf.DUMMYFUNCTION("""COMPUTED_VALUE"""),"Kit Delivery")</f>
        <v>Kit Delivery</v>
      </c>
      <c r="D125" s="93">
        <f>IFERROR(__xludf.DUMMYFUNCTION("""COMPUTED_VALUE"""),2.0)</f>
        <v>2</v>
      </c>
      <c r="E125" s="93" t="str">
        <f>IFERROR(__xludf.DUMMYFUNCTION("""COMPUTED_VALUE"""),"Park")</f>
        <v>Park</v>
      </c>
      <c r="F125" s="93">
        <f>IFERROR(__xludf.DUMMYFUNCTION("""COMPUTED_VALUE"""),442.0)</f>
        <v>442</v>
      </c>
      <c r="G125" s="93" t="str">
        <f>IFERROR(__xludf.DUMMYFUNCTION("""COMPUTED_VALUE"""),"Emmett Fajgenbaum")</f>
        <v>Emmett Fajgenbaum</v>
      </c>
      <c r="H125" s="93">
        <f>IFERROR(__xludf.DUMMYFUNCTION("""COMPUTED_VALUE"""),9.179934166E9)</f>
        <v>9179934166</v>
      </c>
      <c r="I125" s="93" t="str">
        <f>IFERROR(__xludf.DUMMYFUNCTION("""COMPUTED_VALUE"""),"3PM-5PM")</f>
        <v>3PM-5PM</v>
      </c>
      <c r="J125" s="93">
        <f>IFERROR(__xludf.DUMMYFUNCTION("""COMPUTED_VALUE"""),2.0)</f>
        <v>2</v>
      </c>
      <c r="K125" s="93" t="str">
        <f>IFERROR(__xludf.DUMMYFUNCTION("""COMPUTED_VALUE"""),"Complete")</f>
        <v>Complete</v>
      </c>
      <c r="L125" s="93"/>
      <c r="M125" s="94">
        <f>IFERROR(__xludf.DUMMYFUNCTION("""COMPUTED_VALUE"""),46134.70717592593)</f>
        <v>46134.70718</v>
      </c>
      <c r="N125" s="93">
        <f>IFERROR(__xludf.DUMMYFUNCTION("""COMPUTED_VALUE"""),81.0)</f>
        <v>81</v>
      </c>
      <c r="O125" s="93"/>
      <c r="P125" s="93" t="str">
        <f>IFERROR(__xludf.DUMMYFUNCTION("""COMPUTED_VALUE"""),"Kit Delivery")</f>
        <v>Kit Delivery</v>
      </c>
      <c r="Q125" s="93"/>
      <c r="R125" s="93"/>
      <c r="S125" s="93" t="str">
        <f>IFERROR(__xludf.DUMMYFUNCTION("""COMPUTED_VALUE"""),"Dispatch_Images/KIT--17468.Photos.215816.jpg")</f>
        <v>Dispatch_Images/KIT--17468.Photos.215816.jpg</v>
      </c>
      <c r="T125" s="95">
        <f>IFERROR(__xludf.DUMMYFUNCTION("""COMPUTED_VALUE"""),46134.71045138889)</f>
        <v>46134.71045</v>
      </c>
      <c r="U125" s="93"/>
      <c r="V125" s="93"/>
      <c r="W125" s="93"/>
      <c r="X125" s="93"/>
      <c r="Y125" s="93"/>
      <c r="Z125" s="93"/>
    </row>
    <row r="126">
      <c r="A126" s="93" t="str">
        <f>IFERROR(__xludf.DUMMYFUNCTION("""COMPUTED_VALUE"""),"KIT-#17630")</f>
        <v>KIT-#17630</v>
      </c>
      <c r="B126" s="94">
        <f>IFERROR(__xludf.DUMMYFUNCTION("""COMPUTED_VALUE"""),46144.0)</f>
        <v>46144</v>
      </c>
      <c r="C126" s="93" t="str">
        <f>IFERROR(__xludf.DUMMYFUNCTION("""COMPUTED_VALUE"""),"Kit Delivery")</f>
        <v>Kit Delivery</v>
      </c>
      <c r="D126" s="93">
        <f>IFERROR(__xludf.DUMMYFUNCTION("""COMPUTED_VALUE"""),2.0)</f>
        <v>2</v>
      </c>
      <c r="E126" s="93" t="str">
        <f>IFERROR(__xludf.DUMMYFUNCTION("""COMPUTED_VALUE"""),"Park")</f>
        <v>Park</v>
      </c>
      <c r="F126" s="93">
        <f>IFERROR(__xludf.DUMMYFUNCTION("""COMPUTED_VALUE"""),442.0)</f>
        <v>442</v>
      </c>
      <c r="G126" s="93" t="str">
        <f>IFERROR(__xludf.DUMMYFUNCTION("""COMPUTED_VALUE"""),"Jason Morris")</f>
        <v>Jason Morris</v>
      </c>
      <c r="H126" s="93">
        <f>IFERROR(__xludf.DUMMYFUNCTION("""COMPUTED_VALUE"""),4.155319804E9)</f>
        <v>4155319804</v>
      </c>
      <c r="I126" s="93" t="str">
        <f>IFERROR(__xludf.DUMMYFUNCTION("""COMPUTED_VALUE"""),"12PM-2PM")</f>
        <v>12PM-2PM</v>
      </c>
      <c r="J126" s="93">
        <f>IFERROR(__xludf.DUMMYFUNCTION("""COMPUTED_VALUE"""),1.0)</f>
        <v>1</v>
      </c>
      <c r="K126" s="93" t="str">
        <f>IFERROR(__xludf.DUMMYFUNCTION("""COMPUTED_VALUE"""),"Complete")</f>
        <v>Complete</v>
      </c>
      <c r="L126" s="93"/>
      <c r="M126" s="94">
        <f>IFERROR(__xludf.DUMMYFUNCTION("""COMPUTED_VALUE"""),46134.70747685185)</f>
        <v>46134.70748</v>
      </c>
      <c r="N126" s="93">
        <f>IFERROR(__xludf.DUMMYFUNCTION("""COMPUTED_VALUE"""),82.0)</f>
        <v>82</v>
      </c>
      <c r="O126" s="93"/>
      <c r="P126" s="93" t="str">
        <f>IFERROR(__xludf.DUMMYFUNCTION("""COMPUTED_VALUE"""),"Kit Delivery")</f>
        <v>Kit Delivery</v>
      </c>
      <c r="Q126" s="93"/>
      <c r="R126" s="93"/>
      <c r="S126" s="93" t="str">
        <f>IFERROR(__xludf.DUMMYFUNCTION("""COMPUTED_VALUE"""),"Dispatch_Images/KIT--17630.Photos.215842.jpg")</f>
        <v>Dispatch_Images/KIT--17630.Photos.215842.jpg</v>
      </c>
      <c r="T126" s="95">
        <f>IFERROR(__xludf.DUMMYFUNCTION("""COMPUTED_VALUE"""),46134.71045138889)</f>
        <v>46134.71045</v>
      </c>
      <c r="U126" s="93"/>
      <c r="V126" s="93"/>
      <c r="W126" s="93"/>
      <c r="X126" s="93"/>
      <c r="Y126" s="93"/>
      <c r="Z126" s="93"/>
    </row>
    <row r="127">
      <c r="A127" s="93" t="str">
        <f>IFERROR(__xludf.DUMMYFUNCTION("""COMPUTED_VALUE"""),"KIT-#17552")</f>
        <v>KIT-#17552</v>
      </c>
      <c r="B127" s="94">
        <f>IFERROR(__xludf.DUMMYFUNCTION("""COMPUTED_VALUE"""),46144.0)</f>
        <v>46144</v>
      </c>
      <c r="C127" s="93" t="str">
        <f>IFERROR(__xludf.DUMMYFUNCTION("""COMPUTED_VALUE"""),"Kit Delivery")</f>
        <v>Kit Delivery</v>
      </c>
      <c r="D127" s="93">
        <f>IFERROR(__xludf.DUMMYFUNCTION("""COMPUTED_VALUE"""),2.0)</f>
        <v>2</v>
      </c>
      <c r="E127" s="93" t="str">
        <f>IFERROR(__xludf.DUMMYFUNCTION("""COMPUTED_VALUE"""),"Shepley")</f>
        <v>Shepley</v>
      </c>
      <c r="F127" s="93">
        <f>IFERROR(__xludf.DUMMYFUNCTION("""COMPUTED_VALUE"""),3030.0)</f>
        <v>3030</v>
      </c>
      <c r="G127" s="93" t="str">
        <f>IFERROR(__xludf.DUMMYFUNCTION("""COMPUTED_VALUE"""),"Sophia Kalimian")</f>
        <v>Sophia Kalimian</v>
      </c>
      <c r="H127" s="93">
        <f>IFERROR(__xludf.DUMMYFUNCTION("""COMPUTED_VALUE"""),9.292724687E9)</f>
        <v>9292724687</v>
      </c>
      <c r="I127" s="93" t="str">
        <f>IFERROR(__xludf.DUMMYFUNCTION("""COMPUTED_VALUE"""),"9AM-11AM")</f>
        <v>9AM-11AM</v>
      </c>
      <c r="J127" s="93">
        <f>IFERROR(__xludf.DUMMYFUNCTION("""COMPUTED_VALUE"""),1.0)</f>
        <v>1</v>
      </c>
      <c r="K127" s="93" t="str">
        <f>IFERROR(__xludf.DUMMYFUNCTION("""COMPUTED_VALUE"""),"Complete")</f>
        <v>Complete</v>
      </c>
      <c r="L127" s="93"/>
      <c r="M127" s="94">
        <f>IFERROR(__xludf.DUMMYFUNCTION("""COMPUTED_VALUE"""),46136.52070601852)</f>
        <v>46136.52071</v>
      </c>
      <c r="N127" s="93">
        <f>IFERROR(__xludf.DUMMYFUNCTION("""COMPUTED_VALUE"""),60.0)</f>
        <v>60</v>
      </c>
      <c r="O127" s="93"/>
      <c r="P127" s="93" t="str">
        <f>IFERROR(__xludf.DUMMYFUNCTION("""COMPUTED_VALUE"""),"Kit Delivery")</f>
        <v>Kit Delivery</v>
      </c>
      <c r="Q127" s="93"/>
      <c r="R127" s="93"/>
      <c r="S127" s="93" t="str">
        <f>IFERROR(__xludf.DUMMYFUNCTION("""COMPUTED_VALUE"""),"Dispatch_Images/KIT--17552.Photos.172946.jpg")</f>
        <v>Dispatch_Images/KIT--17552.Photos.172946.jpg</v>
      </c>
      <c r="T127" s="95">
        <f>IFERROR(__xludf.DUMMYFUNCTION("""COMPUTED_VALUE"""),46136.52296296296)</f>
        <v>46136.52296</v>
      </c>
      <c r="U127" s="93"/>
      <c r="V127" s="93"/>
      <c r="W127" s="93"/>
      <c r="X127" s="93"/>
      <c r="Y127" s="93"/>
      <c r="Z127" s="93"/>
    </row>
    <row r="128">
      <c r="A128" s="93" t="str">
        <f>IFERROR(__xludf.DUMMYFUNCTION("""COMPUTED_VALUE"""),"KIT-#17701")</f>
        <v>KIT-#17701</v>
      </c>
      <c r="B128" s="94">
        <f>IFERROR(__xludf.DUMMYFUNCTION("""COMPUTED_VALUE"""),46144.0)</f>
        <v>46144</v>
      </c>
      <c r="C128" s="93" t="str">
        <f>IFERROR(__xludf.DUMMYFUNCTION("""COMPUTED_VALUE"""),"Kit Delivery")</f>
        <v>Kit Delivery</v>
      </c>
      <c r="D128" s="93">
        <f>IFERROR(__xludf.DUMMYFUNCTION("""COMPUTED_VALUE"""),2.0)</f>
        <v>2</v>
      </c>
      <c r="E128" s="93" t="str">
        <f>IFERROR(__xludf.DUMMYFUNCTION("""COMPUTED_VALUE"""),"Park")</f>
        <v>Park</v>
      </c>
      <c r="F128" s="93">
        <f>IFERROR(__xludf.DUMMYFUNCTION("""COMPUTED_VALUE"""),471.0)</f>
        <v>471</v>
      </c>
      <c r="G128" s="93" t="str">
        <f>IFERROR(__xludf.DUMMYFUNCTION("""COMPUTED_VALUE"""),"Brooke Rabinowitz")</f>
        <v>Brooke Rabinowitz</v>
      </c>
      <c r="H128" s="93">
        <f>IFERROR(__xludf.DUMMYFUNCTION("""COMPUTED_VALUE"""),9.178808249E9)</f>
        <v>9178808249</v>
      </c>
      <c r="I128" s="93" t="str">
        <f>IFERROR(__xludf.DUMMYFUNCTION("""COMPUTED_VALUE"""),"3PM-5PM")</f>
        <v>3PM-5PM</v>
      </c>
      <c r="J128" s="93">
        <f>IFERROR(__xludf.DUMMYFUNCTION("""COMPUTED_VALUE"""),1.0)</f>
        <v>1</v>
      </c>
      <c r="K128" s="93" t="str">
        <f>IFERROR(__xludf.DUMMYFUNCTION("""COMPUTED_VALUE"""),"Complete")</f>
        <v>Complete</v>
      </c>
      <c r="L128" s="93"/>
      <c r="M128" s="94">
        <f>IFERROR(__xludf.DUMMYFUNCTION("""COMPUTED_VALUE"""),46136.53050925926)</f>
        <v>46136.53051</v>
      </c>
      <c r="N128" s="93">
        <f>IFERROR(__xludf.DUMMYFUNCTION("""COMPUTED_VALUE"""),64.0)</f>
        <v>64</v>
      </c>
      <c r="O128" s="93"/>
      <c r="P128" s="93" t="str">
        <f>IFERROR(__xludf.DUMMYFUNCTION("""COMPUTED_VALUE"""),"Kit Delivery")</f>
        <v>Kit Delivery</v>
      </c>
      <c r="Q128" s="93"/>
      <c r="R128" s="93"/>
      <c r="S128" s="93" t="str">
        <f>IFERROR(__xludf.DUMMYFUNCTION("""COMPUTED_VALUE"""),"Dispatch_Images/KIT--17701.Photos.174352.jpg")</f>
        <v>Dispatch_Images/KIT--17701.Photos.174352.jpg</v>
      </c>
      <c r="T128" s="95">
        <f>IFERROR(__xludf.DUMMYFUNCTION("""COMPUTED_VALUE"""),46136.536840277775)</f>
        <v>46136.53684</v>
      </c>
      <c r="U128" s="93"/>
      <c r="V128" s="93"/>
      <c r="W128" s="93"/>
      <c r="X128" s="93"/>
      <c r="Y128" s="93"/>
      <c r="Z128" s="93"/>
    </row>
    <row r="129">
      <c r="A129" s="93" t="str">
        <f>IFERROR(__xludf.DUMMYFUNCTION("""COMPUTED_VALUE"""),"KIT-#17184")</f>
        <v>KIT-#17184</v>
      </c>
      <c r="B129" s="94">
        <f>IFERROR(__xludf.DUMMYFUNCTION("""COMPUTED_VALUE"""),46144.0)</f>
        <v>46144</v>
      </c>
      <c r="C129" s="93" t="str">
        <f>IFERROR(__xludf.DUMMYFUNCTION("""COMPUTED_VALUE"""),"Kit Delivery")</f>
        <v>Kit Delivery</v>
      </c>
      <c r="D129" s="93">
        <f>IFERROR(__xludf.DUMMYFUNCTION("""COMPUTED_VALUE"""),2.0)</f>
        <v>2</v>
      </c>
      <c r="E129" s="93" t="str">
        <f>IFERROR(__xludf.DUMMYFUNCTION("""COMPUTED_VALUE"""),"Greenway Apartments")</f>
        <v>Greenway Apartments</v>
      </c>
      <c r="F129" s="93" t="str">
        <f>IFERROR(__xludf.DUMMYFUNCTION("""COMPUTED_VALUE"""),"Apartment 009-A")</f>
        <v>Apartment 009-A</v>
      </c>
      <c r="G129" s="93" t="str">
        <f>IFERROR(__xludf.DUMMYFUNCTION("""COMPUTED_VALUE"""),"Rohan Krishnamoorthi")</f>
        <v>Rohan Krishnamoorthi</v>
      </c>
      <c r="H129" s="93">
        <f>IFERROR(__xludf.DUMMYFUNCTION("""COMPUTED_VALUE"""),9.255499908E9)</f>
        <v>9255499908</v>
      </c>
      <c r="I129" s="93" t="str">
        <f>IFERROR(__xludf.DUMMYFUNCTION("""COMPUTED_VALUE"""),"3PM-5PM")</f>
        <v>3PM-5PM</v>
      </c>
      <c r="J129" s="93">
        <f>IFERROR(__xludf.DUMMYFUNCTION("""COMPUTED_VALUE"""),1.0)</f>
        <v>1</v>
      </c>
      <c r="K129" s="93" t="str">
        <f>IFERROR(__xludf.DUMMYFUNCTION("""COMPUTED_VALUE"""),"Complete")</f>
        <v>Complete</v>
      </c>
      <c r="L129" s="93"/>
      <c r="M129" s="94">
        <f>IFERROR(__xludf.DUMMYFUNCTION("""COMPUTED_VALUE"""),46136.55440972222)</f>
        <v>46136.55441</v>
      </c>
      <c r="N129" s="93">
        <f>IFERROR(__xludf.DUMMYFUNCTION("""COMPUTED_VALUE"""),266.0)</f>
        <v>266</v>
      </c>
      <c r="O129" s="93"/>
      <c r="P129" s="93" t="str">
        <f>IFERROR(__xludf.DUMMYFUNCTION("""COMPUTED_VALUE"""),"Kit Delivery")</f>
        <v>Kit Delivery</v>
      </c>
      <c r="Q129" s="93"/>
      <c r="R129" s="93"/>
      <c r="S129" s="93" t="str">
        <f>IFERROR(__xludf.DUMMYFUNCTION("""COMPUTED_VALUE"""),"Dispatch_Images/KIT--17184.Photos.181817.jpg")</f>
        <v>Dispatch_Images/KIT--17184.Photos.181817.jpg</v>
      </c>
      <c r="T129" s="95">
        <f>IFERROR(__xludf.DUMMYFUNCTION("""COMPUTED_VALUE"""),46136.55768518519)</f>
        <v>46136.55769</v>
      </c>
      <c r="U129" s="93"/>
      <c r="V129" s="93"/>
      <c r="W129" s="93"/>
      <c r="X129" s="93"/>
      <c r="Y129" s="93"/>
      <c r="Z129" s="93"/>
    </row>
    <row r="130">
      <c r="A130" s="93" t="str">
        <f>IFERROR(__xludf.DUMMYFUNCTION("""COMPUTED_VALUE"""),"KIT-#16832")</f>
        <v>KIT-#16832</v>
      </c>
      <c r="B130" s="94">
        <f>IFERROR(__xludf.DUMMYFUNCTION("""COMPUTED_VALUE"""),46144.0)</f>
        <v>46144</v>
      </c>
      <c r="C130" s="93" t="str">
        <f>IFERROR(__xludf.DUMMYFUNCTION("""COMPUTED_VALUE"""),"Kit Delivery")</f>
        <v>Kit Delivery</v>
      </c>
      <c r="D130" s="93">
        <f>IFERROR(__xludf.DUMMYFUNCTION("""COMPUTED_VALUE"""),2.0)</f>
        <v>2</v>
      </c>
      <c r="E130" s="93" t="str">
        <f>IFERROR(__xludf.DUMMYFUNCTION("""COMPUTED_VALUE"""),"Greenway Apartments")</f>
        <v>Greenway Apartments</v>
      </c>
      <c r="F130" s="93">
        <f>IFERROR(__xludf.DUMMYFUNCTION("""COMPUTED_VALUE"""),12.0)</f>
        <v>12</v>
      </c>
      <c r="G130" s="93" t="str">
        <f>IFERROR(__xludf.DUMMYFUNCTION("""COMPUTED_VALUE"""),"Avery Meer")</f>
        <v>Avery Meer</v>
      </c>
      <c r="H130" s="93">
        <f>IFERROR(__xludf.DUMMYFUNCTION("""COMPUTED_VALUE"""),9.179292134E9)</f>
        <v>9179292134</v>
      </c>
      <c r="I130" s="93" t="str">
        <f>IFERROR(__xludf.DUMMYFUNCTION("""COMPUTED_VALUE"""),"9AM-11AM")</f>
        <v>9AM-11AM</v>
      </c>
      <c r="J130" s="93">
        <f>IFERROR(__xludf.DUMMYFUNCTION("""COMPUTED_VALUE"""),1.0)</f>
        <v>1</v>
      </c>
      <c r="K130" s="93" t="str">
        <f>IFERROR(__xludf.DUMMYFUNCTION("""COMPUTED_VALUE"""),"Complete")</f>
        <v>Complete</v>
      </c>
      <c r="L130" s="93"/>
      <c r="M130" s="94">
        <f>IFERROR(__xludf.DUMMYFUNCTION("""COMPUTED_VALUE"""),46136.5550462963)</f>
        <v>46136.55505</v>
      </c>
      <c r="N130" s="93">
        <f>IFERROR(__xludf.DUMMYFUNCTION("""COMPUTED_VALUE"""),267.0)</f>
        <v>267</v>
      </c>
      <c r="O130" s="93"/>
      <c r="P130" s="93" t="str">
        <f>IFERROR(__xludf.DUMMYFUNCTION("""COMPUTED_VALUE"""),"Kit Delivery")</f>
        <v>Kit Delivery</v>
      </c>
      <c r="Q130" s="93"/>
      <c r="R130" s="93"/>
      <c r="S130" s="93" t="str">
        <f>IFERROR(__xludf.DUMMYFUNCTION("""COMPUTED_VALUE"""),"Dispatch_Images/KIT--16832.Photos.181912.jpg")</f>
        <v>Dispatch_Images/KIT--16832.Photos.181912.jpg</v>
      </c>
      <c r="T130" s="95">
        <f>IFERROR(__xludf.DUMMYFUNCTION("""COMPUTED_VALUE"""),46136.55768518519)</f>
        <v>46136.55769</v>
      </c>
      <c r="U130" s="93"/>
      <c r="V130" s="93"/>
      <c r="W130" s="93"/>
      <c r="X130" s="93"/>
      <c r="Y130" s="93"/>
      <c r="Z130" s="93"/>
    </row>
    <row r="131">
      <c r="A131" s="93" t="str">
        <f>IFERROR(__xludf.DUMMYFUNCTION("""COMPUTED_VALUE"""),"KIT-#17720")</f>
        <v>KIT-#17720</v>
      </c>
      <c r="B131" s="94">
        <f>IFERROR(__xludf.DUMMYFUNCTION("""COMPUTED_VALUE"""),46144.0)</f>
        <v>46144</v>
      </c>
      <c r="C131" s="93" t="str">
        <f>IFERROR(__xludf.DUMMYFUNCTION("""COMPUTED_VALUE"""),"Kit Delivery")</f>
        <v>Kit Delivery</v>
      </c>
      <c r="D131" s="93">
        <f>IFERROR(__xludf.DUMMYFUNCTION("""COMPUTED_VALUE"""),2.0)</f>
        <v>2</v>
      </c>
      <c r="E131" s="93" t="str">
        <f>IFERROR(__xludf.DUMMYFUNCTION("""COMPUTED_VALUE"""),"Dardick")</f>
        <v>Dardick</v>
      </c>
      <c r="F131" s="93">
        <f>IFERROR(__xludf.DUMMYFUNCTION("""COMPUTED_VALUE"""),4418.0)</f>
        <v>4418</v>
      </c>
      <c r="G131" s="93" t="str">
        <f>IFERROR(__xludf.DUMMYFUNCTION("""COMPUTED_VALUE"""),"Abako Yartel")</f>
        <v>Abako Yartel</v>
      </c>
      <c r="H131" s="93">
        <f>IFERROR(__xludf.DUMMYFUNCTION("""COMPUTED_VALUE"""),4.049520464E9)</f>
        <v>4049520464</v>
      </c>
      <c r="I131" s="93" t="str">
        <f>IFERROR(__xludf.DUMMYFUNCTION("""COMPUTED_VALUE"""),"3PM-5PM")</f>
        <v>3PM-5PM</v>
      </c>
      <c r="J131" s="93">
        <f>IFERROR(__xludf.DUMMYFUNCTION("""COMPUTED_VALUE"""),1.0)</f>
        <v>1</v>
      </c>
      <c r="K131" s="93" t="str">
        <f>IFERROR(__xludf.DUMMYFUNCTION("""COMPUTED_VALUE"""),"Complete")</f>
        <v>Complete</v>
      </c>
      <c r="L131" s="93"/>
      <c r="M131" s="94">
        <f>IFERROR(__xludf.DUMMYFUNCTION("""COMPUTED_VALUE"""),46136.57523148148)</f>
        <v>46136.57523</v>
      </c>
      <c r="N131" s="93">
        <f>IFERROR(__xludf.DUMMYFUNCTION("""COMPUTED_VALUE"""),108.0)</f>
        <v>108</v>
      </c>
      <c r="O131" s="93"/>
      <c r="P131" s="93" t="str">
        <f>IFERROR(__xludf.DUMMYFUNCTION("""COMPUTED_VALUE"""),"Kit Delivery")</f>
        <v>Kit Delivery</v>
      </c>
      <c r="Q131" s="93"/>
      <c r="R131" s="93"/>
      <c r="S131" s="93" t="str">
        <f>IFERROR(__xludf.DUMMYFUNCTION("""COMPUTED_VALUE"""),"Dispatch_Images/KIT--17720.Photos.184815.jpg")</f>
        <v>Dispatch_Images/KIT--17720.Photos.184815.jpg</v>
      </c>
      <c r="T131" s="95">
        <f>IFERROR(__xludf.DUMMYFUNCTION("""COMPUTED_VALUE"""),46136.57850694445)</f>
        <v>46136.57851</v>
      </c>
      <c r="U131" s="93"/>
      <c r="V131" s="93"/>
      <c r="W131" s="93"/>
      <c r="X131" s="93"/>
      <c r="Y131" s="93"/>
      <c r="Z131" s="93"/>
    </row>
    <row r="132">
      <c r="A132" s="93" t="str">
        <f>IFERROR(__xludf.DUMMYFUNCTION("""COMPUTED_VALUE"""),"KIT-#17636")</f>
        <v>KIT-#17636</v>
      </c>
      <c r="B132" s="94">
        <f>IFERROR(__xludf.DUMMYFUNCTION("""COMPUTED_VALUE"""),46144.0)</f>
        <v>46144</v>
      </c>
      <c r="C132" s="93" t="str">
        <f>IFERROR(__xludf.DUMMYFUNCTION("""COMPUTED_VALUE"""),"Kit Delivery")</f>
        <v>Kit Delivery</v>
      </c>
      <c r="D132" s="93">
        <f>IFERROR(__xludf.DUMMYFUNCTION("""COMPUTED_VALUE"""),2.0)</f>
        <v>2</v>
      </c>
      <c r="E132" s="93" t="str">
        <f>IFERROR(__xludf.DUMMYFUNCTION("""COMPUTED_VALUE"""),"Hurd")</f>
        <v>Hurd</v>
      </c>
      <c r="F132" s="93">
        <f>IFERROR(__xludf.DUMMYFUNCTION("""COMPUTED_VALUE"""),322.0)</f>
        <v>322</v>
      </c>
      <c r="G132" s="93" t="str">
        <f>IFERROR(__xludf.DUMMYFUNCTION("""COMPUTED_VALUE"""),"Jill Jia")</f>
        <v>Jill Jia</v>
      </c>
      <c r="H132" s="93">
        <f>IFERROR(__xludf.DUMMYFUNCTION("""COMPUTED_VALUE"""),9.082690734E9)</f>
        <v>9082690734</v>
      </c>
      <c r="I132" s="93" t="str">
        <f>IFERROR(__xludf.DUMMYFUNCTION("""COMPUTED_VALUE"""),"9AM-11AM")</f>
        <v>9AM-11AM</v>
      </c>
      <c r="J132" s="93">
        <f>IFERROR(__xludf.DUMMYFUNCTION("""COMPUTED_VALUE"""),1.0)</f>
        <v>1</v>
      </c>
      <c r="K132" s="93" t="str">
        <f>IFERROR(__xludf.DUMMYFUNCTION("""COMPUTED_VALUE"""),"Complete")</f>
        <v>Complete</v>
      </c>
      <c r="L132" s="93"/>
      <c r="M132" s="94">
        <f>IFERROR(__xludf.DUMMYFUNCTION("""COMPUTED_VALUE"""),46137.585069444445)</f>
        <v>46137.58507</v>
      </c>
      <c r="N132" s="93">
        <f>IFERROR(__xludf.DUMMYFUNCTION("""COMPUTED_VALUE"""),21.0)</f>
        <v>21</v>
      </c>
      <c r="O132" s="93"/>
      <c r="P132" s="93" t="str">
        <f>IFERROR(__xludf.DUMMYFUNCTION("""COMPUTED_VALUE"""),"Kit Delivery")</f>
        <v>Kit Delivery</v>
      </c>
      <c r="Q132" s="93"/>
      <c r="R132" s="93"/>
      <c r="S132" s="93" t="str">
        <f>IFERROR(__xludf.DUMMYFUNCTION("""COMPUTED_VALUE"""),"Dispatch_Images/KIT--17636.Photos.190226.jpg")</f>
        <v>Dispatch_Images/KIT--17636.Photos.190226.jpg</v>
      </c>
      <c r="T132" s="95">
        <f>IFERROR(__xludf.DUMMYFUNCTION("""COMPUTED_VALUE"""),46137.58545138889)</f>
        <v>46137.58545</v>
      </c>
      <c r="U132" s="93"/>
      <c r="V132" s="93"/>
      <c r="W132" s="93"/>
      <c r="X132" s="93"/>
      <c r="Y132" s="93"/>
      <c r="Z132" s="93"/>
    </row>
    <row r="133">
      <c r="A133" s="93" t="str">
        <f>IFERROR(__xludf.DUMMYFUNCTION("""COMPUTED_VALUE"""),"KIT-#17713")</f>
        <v>KIT-#17713</v>
      </c>
      <c r="B133" s="94">
        <f>IFERROR(__xludf.DUMMYFUNCTION("""COMPUTED_VALUE"""),46144.0)</f>
        <v>46144</v>
      </c>
      <c r="C133" s="93" t="str">
        <f>IFERROR(__xludf.DUMMYFUNCTION("""COMPUTED_VALUE"""),"Kit Delivery")</f>
        <v>Kit Delivery</v>
      </c>
      <c r="D133" s="93">
        <f>IFERROR(__xludf.DUMMYFUNCTION("""COMPUTED_VALUE"""),2.0)</f>
        <v>2</v>
      </c>
      <c r="E133" s="93" t="str">
        <f>IFERROR(__xludf.DUMMYFUNCTION("""COMPUTED_VALUE"""),"House 21")</f>
        <v>House 21</v>
      </c>
      <c r="F133" s="93">
        <f>IFERROR(__xludf.DUMMYFUNCTION("""COMPUTED_VALUE"""),2071.0)</f>
        <v>2071</v>
      </c>
      <c r="G133" s="93" t="str">
        <f>IFERROR(__xludf.DUMMYFUNCTION("""COMPUTED_VALUE"""),"Itai Komoroff")</f>
        <v>Itai Komoroff</v>
      </c>
      <c r="H133" s="93">
        <f>IFERROR(__xludf.DUMMYFUNCTION("""COMPUTED_VALUE"""),9.178628772E9)</f>
        <v>9178628772</v>
      </c>
      <c r="I133" s="93" t="str">
        <f>IFERROR(__xludf.DUMMYFUNCTION("""COMPUTED_VALUE"""),"9AM-11AM")</f>
        <v>9AM-11AM</v>
      </c>
      <c r="J133" s="93">
        <f>IFERROR(__xludf.DUMMYFUNCTION("""COMPUTED_VALUE"""),1.0)</f>
        <v>1</v>
      </c>
      <c r="K133" s="93" t="str">
        <f>IFERROR(__xludf.DUMMYFUNCTION("""COMPUTED_VALUE"""),"Complete")</f>
        <v>Complete</v>
      </c>
      <c r="L133" s="93"/>
      <c r="M133" s="94">
        <f>IFERROR(__xludf.DUMMYFUNCTION("""COMPUTED_VALUE"""),46137.68017361111)</f>
        <v>46137.68017</v>
      </c>
      <c r="N133" s="93">
        <f>IFERROR(__xludf.DUMMYFUNCTION("""COMPUTED_VALUE"""),245.0)</f>
        <v>245</v>
      </c>
      <c r="O133" s="93"/>
      <c r="P133" s="93" t="str">
        <f>IFERROR(__xludf.DUMMYFUNCTION("""COMPUTED_VALUE"""),"Kit Delivery")</f>
        <v>Kit Delivery</v>
      </c>
      <c r="Q133" s="93"/>
      <c r="R133" s="93"/>
      <c r="S133" s="93" t="str">
        <f>IFERROR(__xludf.DUMMYFUNCTION("""COMPUTED_VALUE"""),"Dispatch_Images/KIT--17713.Photos.211923.jpg")</f>
        <v>Dispatch_Images/KIT--17713.Photos.211923.jpg</v>
      </c>
      <c r="T133" s="95">
        <f>IFERROR(__xludf.DUMMYFUNCTION("""COMPUTED_VALUE"""),46137.682662037034)</f>
        <v>46137.68266</v>
      </c>
      <c r="U133" s="93"/>
      <c r="V133" s="93"/>
      <c r="W133" s="93"/>
      <c r="X133" s="93"/>
      <c r="Y133" s="93"/>
      <c r="Z133" s="93"/>
    </row>
    <row r="134">
      <c r="A134" s="93" t="str">
        <f>IFERROR(__xludf.DUMMYFUNCTION("""COMPUTED_VALUE"""),"KIT-#17129")</f>
        <v>KIT-#17129</v>
      </c>
      <c r="B134" s="94">
        <f>IFERROR(__xludf.DUMMYFUNCTION("""COMPUTED_VALUE"""),46144.0)</f>
        <v>46144</v>
      </c>
      <c r="C134" s="93" t="str">
        <f>IFERROR(__xludf.DUMMYFUNCTION("""COMPUTED_VALUE"""),"Kit Delivery")</f>
        <v>Kit Delivery</v>
      </c>
      <c r="D134" s="93">
        <f>IFERROR(__xludf.DUMMYFUNCTION("""COMPUTED_VALUE"""),2.0)</f>
        <v>2</v>
      </c>
      <c r="E134" s="93" t="str">
        <f>IFERROR(__xludf.DUMMYFUNCTION("""COMPUTED_VALUE"""),"Hitzeman")</f>
        <v>Hitzeman</v>
      </c>
      <c r="F134" s="93">
        <f>IFERROR(__xludf.DUMMYFUNCTION("""COMPUTED_VALUE"""),434.0)</f>
        <v>434</v>
      </c>
      <c r="G134" s="93" t="str">
        <f>IFERROR(__xludf.DUMMYFUNCTION("""COMPUTED_VALUE"""),"Tenley Seirer")</f>
        <v>Tenley Seirer</v>
      </c>
      <c r="H134" s="93">
        <f>IFERROR(__xludf.DUMMYFUNCTION("""COMPUTED_VALUE"""),9.177100102E9)</f>
        <v>9177100102</v>
      </c>
      <c r="I134" s="93" t="str">
        <f>IFERROR(__xludf.DUMMYFUNCTION("""COMPUTED_VALUE"""),"3PM-5PM")</f>
        <v>3PM-5PM</v>
      </c>
      <c r="J134" s="93">
        <f>IFERROR(__xludf.DUMMYFUNCTION("""COMPUTED_VALUE"""),2.0)</f>
        <v>2</v>
      </c>
      <c r="K134" s="93" t="str">
        <f>IFERROR(__xludf.DUMMYFUNCTION("""COMPUTED_VALUE"""),"Complete")</f>
        <v>Complete</v>
      </c>
      <c r="L134" s="93"/>
      <c r="M134" s="94">
        <f>IFERROR(__xludf.DUMMYFUNCTION("""COMPUTED_VALUE"""),46137.78512731481)</f>
        <v>46137.78513</v>
      </c>
      <c r="N134" s="93">
        <f>IFERROR(__xludf.DUMMYFUNCTION("""COMPUTED_VALUE"""),11.0)</f>
        <v>11</v>
      </c>
      <c r="O134" s="93" t="str">
        <f>IFERROR(__xludf.DUMMYFUNCTION("""COMPUTED_VALUE"""),"29 Bank Street New York, New York 10014")</f>
        <v>29 Bank Street New York, New York 10014</v>
      </c>
      <c r="P134" s="93" t="str">
        <f>IFERROR(__xludf.DUMMYFUNCTION("""COMPUTED_VALUE"""),"Kit Delivery")</f>
        <v>Kit Delivery</v>
      </c>
      <c r="Q134" s="93"/>
      <c r="R134" s="93"/>
      <c r="S134" s="93" t="str">
        <f>IFERROR(__xludf.DUMMYFUNCTION("""COMPUTED_VALUE"""),"Dispatch_Images/KIT--17129.Photos.235032.jpg")</f>
        <v>Dispatch_Images/KIT--17129.Photos.235032.jpg</v>
      </c>
      <c r="T134" s="95">
        <f>IFERROR(__xludf.DUMMYFUNCTION("""COMPUTED_VALUE"""),46137.786828703705)</f>
        <v>46137.78683</v>
      </c>
      <c r="U134" s="93"/>
      <c r="V134" s="93"/>
      <c r="W134" s="93"/>
      <c r="X134" s="93"/>
      <c r="Y134" s="93"/>
      <c r="Z134" s="93"/>
    </row>
    <row r="135">
      <c r="A135" s="93" t="str">
        <f>IFERROR(__xludf.DUMMYFUNCTION("""COMPUTED_VALUE"""),"KIT-#17570")</f>
        <v>KIT-#17570</v>
      </c>
      <c r="B135" s="94">
        <f>IFERROR(__xludf.DUMMYFUNCTION("""COMPUTED_VALUE"""),46144.0)</f>
        <v>46144</v>
      </c>
      <c r="C135" s="93" t="str">
        <f>IFERROR(__xludf.DUMMYFUNCTION("""COMPUTED_VALUE"""),"Kit Delivery")</f>
        <v>Kit Delivery</v>
      </c>
      <c r="D135" s="93">
        <f>IFERROR(__xludf.DUMMYFUNCTION("""COMPUTED_VALUE"""),2.0)</f>
        <v>2</v>
      </c>
      <c r="E135" s="93" t="str">
        <f>IFERROR(__xludf.DUMMYFUNCTION("""COMPUTED_VALUE"""),"Hitzeman")</f>
        <v>Hitzeman</v>
      </c>
      <c r="F135" s="93">
        <f>IFERROR(__xludf.DUMMYFUNCTION("""COMPUTED_VALUE"""),14.0)</f>
        <v>14</v>
      </c>
      <c r="G135" s="93" t="str">
        <f>IFERROR(__xludf.DUMMYFUNCTION("""COMPUTED_VALUE"""),"Maisy Wyss")</f>
        <v>Maisy Wyss</v>
      </c>
      <c r="H135" s="93">
        <f>IFERROR(__xludf.DUMMYFUNCTION("""COMPUTED_VALUE"""),4.155318474E9)</f>
        <v>4155318474</v>
      </c>
      <c r="I135" s="93" t="str">
        <f>IFERROR(__xludf.DUMMYFUNCTION("""COMPUTED_VALUE"""),"9AM-11AM")</f>
        <v>9AM-11AM</v>
      </c>
      <c r="J135" s="93">
        <f>IFERROR(__xludf.DUMMYFUNCTION("""COMPUTED_VALUE"""),2.0)</f>
        <v>2</v>
      </c>
      <c r="K135" s="93" t="str">
        <f>IFERROR(__xludf.DUMMYFUNCTION("""COMPUTED_VALUE"""),"Complete")</f>
        <v>Complete</v>
      </c>
      <c r="L135" s="93"/>
      <c r="M135" s="94">
        <f>IFERROR(__xludf.DUMMYFUNCTION("""COMPUTED_VALUE"""),46137.79318287037)</f>
        <v>46137.79318</v>
      </c>
      <c r="N135" s="93">
        <f>IFERROR(__xludf.DUMMYFUNCTION("""COMPUTED_VALUE"""),1.0)</f>
        <v>1</v>
      </c>
      <c r="O135" s="93"/>
      <c r="P135" s="93" t="str">
        <f>IFERROR(__xludf.DUMMYFUNCTION("""COMPUTED_VALUE"""),"Kit Delivery")</f>
        <v>Kit Delivery</v>
      </c>
      <c r="Q135" s="93" t="str">
        <f>IFERROR(__xludf.DUMMYFUNCTION("""COMPUTED_VALUE"""),"maisy’s room is the single across from the bathroom.")</f>
        <v>maisy’s room is the single across from the bathroom.</v>
      </c>
      <c r="R135" s="93"/>
      <c r="S135" s="93" t="str">
        <f>IFERROR(__xludf.DUMMYFUNCTION("""COMPUTED_VALUE"""),"Dispatch_Images/KIT--17570.Photos.000208.jpg")</f>
        <v>Dispatch_Images/KIT--17570.Photos.000208.jpg</v>
      </c>
      <c r="T135" s="95">
        <f>IFERROR(__xludf.DUMMYFUNCTION("""COMPUTED_VALUE"""),46137.79378472222)</f>
        <v>46137.79378</v>
      </c>
      <c r="U135" s="93"/>
      <c r="V135" s="93"/>
      <c r="W135" s="93"/>
      <c r="X135" s="93"/>
      <c r="Y135" s="93"/>
      <c r="Z135" s="93"/>
    </row>
    <row r="136">
      <c r="A136" s="93" t="str">
        <f>IFERROR(__xludf.DUMMYFUNCTION("""COMPUTED_VALUE"""),"KIT-#17613")</f>
        <v>KIT-#17613</v>
      </c>
      <c r="B136" s="94">
        <f>IFERROR(__xludf.DUMMYFUNCTION("""COMPUTED_VALUE"""),46144.0)</f>
        <v>46144</v>
      </c>
      <c r="C136" s="93" t="str">
        <f>IFERROR(__xludf.DUMMYFUNCTION("""COMPUTED_VALUE"""),"Kit Delivery")</f>
        <v>Kit Delivery</v>
      </c>
      <c r="D136" s="93">
        <f>IFERROR(__xludf.DUMMYFUNCTION("""COMPUTED_VALUE"""),2.0)</f>
        <v>2</v>
      </c>
      <c r="E136" s="93" t="str">
        <f>IFERROR(__xludf.DUMMYFUNCTION("""COMPUTED_VALUE"""),"Gregg")</f>
        <v>Gregg</v>
      </c>
      <c r="F136" s="93">
        <f>IFERROR(__xludf.DUMMYFUNCTION("""COMPUTED_VALUE"""),1013.0)</f>
        <v>1013</v>
      </c>
      <c r="G136" s="93" t="str">
        <f>IFERROR(__xludf.DUMMYFUNCTION("""COMPUTED_VALUE"""),"Gillian Nevins-Saunders")</f>
        <v>Gillian Nevins-Saunders</v>
      </c>
      <c r="H136" s="93">
        <f>IFERROR(__xludf.DUMMYFUNCTION("""COMPUTED_VALUE"""),9.176793079E9)</f>
        <v>9176793079</v>
      </c>
      <c r="I136" s="93" t="str">
        <f>IFERROR(__xludf.DUMMYFUNCTION("""COMPUTED_VALUE"""),"9AM-11AM")</f>
        <v>9AM-11AM</v>
      </c>
      <c r="J136" s="93">
        <f>IFERROR(__xludf.DUMMYFUNCTION("""COMPUTED_VALUE"""),1.0)</f>
        <v>1</v>
      </c>
      <c r="K136" s="93" t="str">
        <f>IFERROR(__xludf.DUMMYFUNCTION("""COMPUTED_VALUE"""),"Complete")</f>
        <v>Complete</v>
      </c>
      <c r="L136" s="93"/>
      <c r="M136" s="94">
        <f>IFERROR(__xludf.DUMMYFUNCTION("""COMPUTED_VALUE"""),46137.80703703704)</f>
        <v>46137.80704</v>
      </c>
      <c r="N136" s="93">
        <f>IFERROR(__xludf.DUMMYFUNCTION("""COMPUTED_VALUE"""),115.0)</f>
        <v>115</v>
      </c>
      <c r="O136" s="93"/>
      <c r="P136" s="93" t="str">
        <f>IFERROR(__xludf.DUMMYFUNCTION("""COMPUTED_VALUE"""),"Kit Delivery")</f>
        <v>Kit Delivery</v>
      </c>
      <c r="Q136" s="93"/>
      <c r="R136" s="93"/>
      <c r="S136" s="93" t="str">
        <f>IFERROR(__xludf.DUMMYFUNCTION("""COMPUTED_VALUE"""),"Dispatch_Images/KIT--17613.Photos.002205.jpg")</f>
        <v>Dispatch_Images/KIT--17613.Photos.002205.jpg</v>
      </c>
      <c r="T136" s="95">
        <f>IFERROR(__xludf.DUMMYFUNCTION("""COMPUTED_VALUE"""),46137.80768518519)</f>
        <v>46137.80769</v>
      </c>
      <c r="U136" s="93"/>
      <c r="V136" s="93"/>
      <c r="W136" s="93"/>
      <c r="X136" s="93"/>
      <c r="Y136" s="93"/>
      <c r="Z136" s="93"/>
    </row>
    <row r="137">
      <c r="A137" s="93" t="str">
        <f>IFERROR(__xludf.DUMMYFUNCTION("""COMPUTED_VALUE"""),"KIT-#17770")</f>
        <v>KIT-#17770</v>
      </c>
      <c r="B137" s="94">
        <f>IFERROR(__xludf.DUMMYFUNCTION("""COMPUTED_VALUE"""),46144.0)</f>
        <v>46144</v>
      </c>
      <c r="C137" s="93" t="str">
        <f>IFERROR(__xludf.DUMMYFUNCTION("""COMPUTED_VALUE"""),"Kit Delivery")</f>
        <v>Kit Delivery</v>
      </c>
      <c r="D137" s="93">
        <f>IFERROR(__xludf.DUMMYFUNCTION("""COMPUTED_VALUE"""),3.0)</f>
        <v>3</v>
      </c>
      <c r="E137" s="93" t="str">
        <f>IFERROR(__xludf.DUMMYFUNCTION("""COMPUTED_VALUE"""),"6053 Waterman")</f>
        <v>6053 Waterman</v>
      </c>
      <c r="F137" s="93" t="str">
        <f>IFERROR(__xludf.DUMMYFUNCTION("""COMPUTED_VALUE"""),"3N-A")</f>
        <v>3N-A</v>
      </c>
      <c r="G137" s="93" t="str">
        <f>IFERROR(__xludf.DUMMYFUNCTION("""COMPUTED_VALUE"""),"Mark Mao")</f>
        <v>Mark Mao</v>
      </c>
      <c r="H137" s="93">
        <f>IFERROR(__xludf.DUMMYFUNCTION("""COMPUTED_VALUE"""),3.14297997E9)</f>
        <v>3142979970</v>
      </c>
      <c r="I137" s="93" t="str">
        <f>IFERROR(__xludf.DUMMYFUNCTION("""COMPUTED_VALUE"""),"9AM-11AM")</f>
        <v>9AM-11AM</v>
      </c>
      <c r="J137" s="93">
        <f>IFERROR(__xludf.DUMMYFUNCTION("""COMPUTED_VALUE"""),1.0)</f>
        <v>1</v>
      </c>
      <c r="K137" s="93" t="str">
        <f>IFERROR(__xludf.DUMMYFUNCTION("""COMPUTED_VALUE"""),"Complete")</f>
        <v>Complete</v>
      </c>
      <c r="L137" s="93"/>
      <c r="M137" s="94">
        <f>IFERROR(__xludf.DUMMYFUNCTION("""COMPUTED_VALUE"""),46139.66306712963)</f>
        <v>46139.66307</v>
      </c>
      <c r="N137" s="93">
        <f>IFERROR(__xludf.DUMMYFUNCTION("""COMPUTED_VALUE"""),57.0)</f>
        <v>57</v>
      </c>
      <c r="O137" s="93"/>
      <c r="P137" s="93" t="str">
        <f>IFERROR(__xludf.DUMMYFUNCTION("""COMPUTED_VALUE"""),"Kit Delivery")</f>
        <v>Kit Delivery</v>
      </c>
      <c r="Q137" s="93"/>
      <c r="R137" s="93"/>
      <c r="S137" s="93" t="str">
        <f>IFERROR(__xludf.DUMMYFUNCTION("""COMPUTED_VALUE"""),"Dispatch_Images/KIT--17770.Photos.205445.jpg")</f>
        <v>Dispatch_Images/KIT--17770.Photos.205445.jpg</v>
      </c>
      <c r="T137" s="95">
        <f>IFERROR(__xludf.DUMMYFUNCTION("""COMPUTED_VALUE"""),46139.66877314815)</f>
        <v>46139.66877</v>
      </c>
      <c r="U137" s="93"/>
      <c r="V137" s="93"/>
      <c r="W137" s="93"/>
      <c r="X137" s="93"/>
      <c r="Y137" s="93"/>
      <c r="Z137" s="93"/>
    </row>
    <row r="138">
      <c r="A138" s="93" t="str">
        <f>IFERROR(__xludf.DUMMYFUNCTION("""COMPUTED_VALUE"""),"KIT-#17604")</f>
        <v>KIT-#17604</v>
      </c>
      <c r="B138" s="94">
        <f>IFERROR(__xludf.DUMMYFUNCTION("""COMPUTED_VALUE"""),46144.0)</f>
        <v>46144</v>
      </c>
      <c r="C138" s="93" t="str">
        <f>IFERROR(__xludf.DUMMYFUNCTION("""COMPUTED_VALUE"""),"Kit Delivery")</f>
        <v>Kit Delivery</v>
      </c>
      <c r="D138" s="93">
        <f>IFERROR(__xludf.DUMMYFUNCTION("""COMPUTED_VALUE"""),3.0)</f>
        <v>3</v>
      </c>
      <c r="E138" s="93" t="str">
        <f>IFERROR(__xludf.DUMMYFUNCTION("""COMPUTED_VALUE"""),"Eliot B")</f>
        <v>Eliot B</v>
      </c>
      <c r="F138" s="93">
        <f>IFERROR(__xludf.DUMMYFUNCTION("""COMPUTED_VALUE"""),4034.0)</f>
        <v>4034</v>
      </c>
      <c r="G138" s="93" t="str">
        <f>IFERROR(__xludf.DUMMYFUNCTION("""COMPUTED_VALUE"""),"Donovan Trieu")</f>
        <v>Donovan Trieu</v>
      </c>
      <c r="H138" s="93">
        <f>IFERROR(__xludf.DUMMYFUNCTION("""COMPUTED_VALUE"""),8.083438168E9)</f>
        <v>8083438168</v>
      </c>
      <c r="I138" s="93" t="str">
        <f>IFERROR(__xludf.DUMMYFUNCTION("""COMPUTED_VALUE"""),"9AM-11AM")</f>
        <v>9AM-11AM</v>
      </c>
      <c r="J138" s="93">
        <f>IFERROR(__xludf.DUMMYFUNCTION("""COMPUTED_VALUE"""),1.0)</f>
        <v>1</v>
      </c>
      <c r="K138" s="93" t="str">
        <f>IFERROR(__xludf.DUMMYFUNCTION("""COMPUTED_VALUE"""),"Complete")</f>
        <v>Complete</v>
      </c>
      <c r="L138" s="93"/>
      <c r="M138" s="94">
        <f>IFERROR(__xludf.DUMMYFUNCTION("""COMPUTED_VALUE"""),46139.674166666664)</f>
        <v>46139.67417</v>
      </c>
      <c r="N138" s="93">
        <f>IFERROR(__xludf.DUMMYFUNCTION("""COMPUTED_VALUE"""),8.0)</f>
        <v>8</v>
      </c>
      <c r="O138" s="93"/>
      <c r="P138" s="93" t="str">
        <f>IFERROR(__xludf.DUMMYFUNCTION("""COMPUTED_VALUE"""),"Kit Delivery")</f>
        <v>Kit Delivery</v>
      </c>
      <c r="Q138" s="93"/>
      <c r="R138" s="93"/>
      <c r="S138" s="93" t="str">
        <f>IFERROR(__xludf.DUMMYFUNCTION("""COMPUTED_VALUE"""),"Dispatch_Images/KIT--17604.Photos.211044.jpg")</f>
        <v>Dispatch_Images/KIT--17604.Photos.211044.jpg</v>
      </c>
      <c r="T138" s="95">
        <f>IFERROR(__xludf.DUMMYFUNCTION("""COMPUTED_VALUE"""),46139.675717592596)</f>
        <v>46139.67572</v>
      </c>
      <c r="U138" s="93"/>
      <c r="V138" s="93"/>
      <c r="W138" s="93"/>
      <c r="X138" s="93"/>
      <c r="Y138" s="93"/>
      <c r="Z138" s="93"/>
    </row>
    <row r="139">
      <c r="A139" s="93" t="str">
        <f>IFERROR(__xludf.DUMMYFUNCTION("""COMPUTED_VALUE"""),"KIT-#17760")</f>
        <v>KIT-#17760</v>
      </c>
      <c r="B139" s="94">
        <f>IFERROR(__xludf.DUMMYFUNCTION("""COMPUTED_VALUE"""),46144.0)</f>
        <v>46144</v>
      </c>
      <c r="C139" s="93" t="str">
        <f>IFERROR(__xludf.DUMMYFUNCTION("""COMPUTED_VALUE"""),"Kit Delivery")</f>
        <v>Kit Delivery</v>
      </c>
      <c r="D139" s="93">
        <f>IFERROR(__xludf.DUMMYFUNCTION("""COMPUTED_VALUE"""),3.0)</f>
        <v>3</v>
      </c>
      <c r="E139" s="93" t="str">
        <f>IFERROR(__xludf.DUMMYFUNCTION("""COMPUTED_VALUE"""),"Umrath")</f>
        <v>Umrath</v>
      </c>
      <c r="F139" s="93">
        <f>IFERROR(__xludf.DUMMYFUNCTION("""COMPUTED_VALUE"""),3333.0)</f>
        <v>3333</v>
      </c>
      <c r="G139" s="93" t="str">
        <f>IFERROR(__xludf.DUMMYFUNCTION("""COMPUTED_VALUE"""),"Rita Zhou")</f>
        <v>Rita Zhou</v>
      </c>
      <c r="H139" s="93">
        <f>IFERROR(__xludf.DUMMYFUNCTION("""COMPUTED_VALUE"""),3.143058028E9)</f>
        <v>3143058028</v>
      </c>
      <c r="I139" s="93" t="str">
        <f>IFERROR(__xludf.DUMMYFUNCTION("""COMPUTED_VALUE"""),"9AM-11AM")</f>
        <v>9AM-11AM</v>
      </c>
      <c r="J139" s="93">
        <f>IFERROR(__xludf.DUMMYFUNCTION("""COMPUTED_VALUE"""),1.0)</f>
        <v>1</v>
      </c>
      <c r="K139" s="93" t="str">
        <f>IFERROR(__xludf.DUMMYFUNCTION("""COMPUTED_VALUE"""),"Complete")</f>
        <v>Complete</v>
      </c>
      <c r="L139" s="93"/>
      <c r="M139" s="94">
        <f>IFERROR(__xludf.DUMMYFUNCTION("""COMPUTED_VALUE"""),46139.68053240741)</f>
        <v>46139.68053</v>
      </c>
      <c r="N139" s="93">
        <f>IFERROR(__xludf.DUMMYFUNCTION("""COMPUTED_VALUE"""),29.0)</f>
        <v>29</v>
      </c>
      <c r="O139" s="93"/>
      <c r="P139" s="93" t="str">
        <f>IFERROR(__xludf.DUMMYFUNCTION("""COMPUTED_VALUE"""),"Kit Delivery")</f>
        <v>Kit Delivery</v>
      </c>
      <c r="Q139" s="93"/>
      <c r="R139" s="93"/>
      <c r="S139" s="93" t="str">
        <f>IFERROR(__xludf.DUMMYFUNCTION("""COMPUTED_VALUE"""),"Dispatch_Images/KIT--17760.Photos.211955.jpg")</f>
        <v>Dispatch_Images/KIT--17760.Photos.211955.jpg</v>
      </c>
      <c r="T139" s="95">
        <f>IFERROR(__xludf.DUMMYFUNCTION("""COMPUTED_VALUE"""),46139.68267361111)</f>
        <v>46139.68267</v>
      </c>
      <c r="U139" s="93"/>
      <c r="V139" s="93"/>
      <c r="W139" s="93"/>
      <c r="X139" s="93"/>
      <c r="Y139" s="93"/>
      <c r="Z139" s="93"/>
    </row>
    <row r="140">
      <c r="A140" s="93" t="str">
        <f>IFERROR(__xludf.DUMMYFUNCTION("""COMPUTED_VALUE"""),"KIT-#17568")</f>
        <v>KIT-#17568</v>
      </c>
      <c r="B140" s="94">
        <f>IFERROR(__xludf.DUMMYFUNCTION("""COMPUTED_VALUE"""),46144.0)</f>
        <v>46144</v>
      </c>
      <c r="C140" s="93" t="str">
        <f>IFERROR(__xludf.DUMMYFUNCTION("""COMPUTED_VALUE"""),"Kit Delivery")</f>
        <v>Kit Delivery</v>
      </c>
      <c r="D140" s="93">
        <f>IFERROR(__xludf.DUMMYFUNCTION("""COMPUTED_VALUE"""),3.0)</f>
        <v>3</v>
      </c>
      <c r="E140" s="93" t="str">
        <f>IFERROR(__xludf.DUMMYFUNCTION("""COMPUTED_VALUE"""),"Dauten")</f>
        <v>Dauten</v>
      </c>
      <c r="F140" s="93" t="str">
        <f>IFERROR(__xludf.DUMMYFUNCTION("""COMPUTED_VALUE"""),"411-A")</f>
        <v>411-A</v>
      </c>
      <c r="G140" s="93" t="str">
        <f>IFERROR(__xludf.DUMMYFUNCTION("""COMPUTED_VALUE"""),"Austen Downey")</f>
        <v>Austen Downey</v>
      </c>
      <c r="H140" s="93">
        <f>IFERROR(__xludf.DUMMYFUNCTION("""COMPUTED_VALUE"""),6.466259442E9)</f>
        <v>6466259442</v>
      </c>
      <c r="I140" s="93" t="str">
        <f>IFERROR(__xludf.DUMMYFUNCTION("""COMPUTED_VALUE"""),"2PM-4PM")</f>
        <v>2PM-4PM</v>
      </c>
      <c r="J140" s="93">
        <f>IFERROR(__xludf.DUMMYFUNCTION("""COMPUTED_VALUE"""),1.0)</f>
        <v>1</v>
      </c>
      <c r="K140" s="93" t="str">
        <f>IFERROR(__xludf.DUMMYFUNCTION("""COMPUTED_VALUE"""),"Complete")</f>
        <v>Complete</v>
      </c>
      <c r="L140" s="93"/>
      <c r="M140" s="94">
        <f>IFERROR(__xludf.DUMMYFUNCTION("""COMPUTED_VALUE"""),46139.69208333333)</f>
        <v>46139.69208</v>
      </c>
      <c r="N140" s="93">
        <f>IFERROR(__xludf.DUMMYFUNCTION("""COMPUTED_VALUE"""),22.0)</f>
        <v>22</v>
      </c>
      <c r="O140" s="93"/>
      <c r="P140" s="93" t="str">
        <f>IFERROR(__xludf.DUMMYFUNCTION("""COMPUTED_VALUE"""),"Kit Delivery")</f>
        <v>Kit Delivery</v>
      </c>
      <c r="Q140" s="93"/>
      <c r="R140" s="93"/>
      <c r="S140" s="93" t="str">
        <f>IFERROR(__xludf.DUMMYFUNCTION("""COMPUTED_VALUE"""),"Dispatch_Images/KIT--17568.Photos.213632.jpg")</f>
        <v>Dispatch_Images/KIT--17568.Photos.213632.jpg</v>
      </c>
      <c r="T140" s="95">
        <f>IFERROR(__xludf.DUMMYFUNCTION("""COMPUTED_VALUE"""),46139.696550925924)</f>
        <v>46139.69655</v>
      </c>
      <c r="U140" s="93"/>
      <c r="V140" s="93"/>
      <c r="W140" s="93"/>
      <c r="X140" s="93"/>
      <c r="Y140" s="93"/>
      <c r="Z140" s="93"/>
    </row>
    <row r="141">
      <c r="A141" s="93" t="str">
        <f>IFERROR(__xludf.DUMMYFUNCTION("""COMPUTED_VALUE"""),"KIT-#17772")</f>
        <v>KIT-#17772</v>
      </c>
      <c r="B141" s="94">
        <f>IFERROR(__xludf.DUMMYFUNCTION("""COMPUTED_VALUE"""),46144.0)</f>
        <v>46144</v>
      </c>
      <c r="C141" s="93" t="str">
        <f>IFERROR(__xludf.DUMMYFUNCTION("""COMPUTED_VALUE"""),"Kit Delivery")</f>
        <v>Kit Delivery</v>
      </c>
      <c r="D141" s="93">
        <f>IFERROR(__xludf.DUMMYFUNCTION("""COMPUTED_VALUE"""),3.0)</f>
        <v>3</v>
      </c>
      <c r="E141" s="93" t="str">
        <f>IFERROR(__xludf.DUMMYFUNCTION("""COMPUTED_VALUE"""),"Lien")</f>
        <v>Lien</v>
      </c>
      <c r="F141" s="93">
        <f>IFERROR(__xludf.DUMMYFUNCTION("""COMPUTED_VALUE"""),1110.0)</f>
        <v>1110</v>
      </c>
      <c r="G141" s="93" t="str">
        <f>IFERROR(__xludf.DUMMYFUNCTION("""COMPUTED_VALUE"""),"Shayna Aidasani")</f>
        <v>Shayna Aidasani</v>
      </c>
      <c r="H141" s="93">
        <f>IFERROR(__xludf.DUMMYFUNCTION("""COMPUTED_VALUE"""),8.325204933E9)</f>
        <v>8325204933</v>
      </c>
      <c r="I141" s="93" t="str">
        <f>IFERROR(__xludf.DUMMYFUNCTION("""COMPUTED_VALUE"""),"3PM-5PM")</f>
        <v>3PM-5PM</v>
      </c>
      <c r="J141" s="93">
        <f>IFERROR(__xludf.DUMMYFUNCTION("""COMPUTED_VALUE"""),2.0)</f>
        <v>2</v>
      </c>
      <c r="K141" s="93" t="str">
        <f>IFERROR(__xludf.DUMMYFUNCTION("""COMPUTED_VALUE"""),"Complete")</f>
        <v>Complete</v>
      </c>
      <c r="L141" s="93"/>
      <c r="M141" s="94">
        <f>IFERROR(__xludf.DUMMYFUNCTION("""COMPUTED_VALUE"""),46139.69872685186)</f>
        <v>46139.69873</v>
      </c>
      <c r="N141" s="93">
        <f>IFERROR(__xludf.DUMMYFUNCTION("""COMPUTED_VALUE"""),34.0)</f>
        <v>34</v>
      </c>
      <c r="O141" s="93"/>
      <c r="P141" s="93" t="str">
        <f>IFERROR(__xludf.DUMMYFUNCTION("""COMPUTED_VALUE"""),"Kit Delivery")</f>
        <v>Kit Delivery</v>
      </c>
      <c r="Q141" s="93"/>
      <c r="R141" s="93"/>
      <c r="S141" s="93" t="str">
        <f>IFERROR(__xludf.DUMMYFUNCTION("""COMPUTED_VALUE"""),"Dispatch_Images/KIT--17772.Photos.214607.jpg")</f>
        <v>Dispatch_Images/KIT--17772.Photos.214607.jpg</v>
      </c>
      <c r="T141" s="95">
        <f>IFERROR(__xludf.DUMMYFUNCTION("""COMPUTED_VALUE"""),46139.70350694445)</f>
        <v>46139.70351</v>
      </c>
      <c r="U141" s="93"/>
      <c r="V141" s="93"/>
      <c r="W141" s="93"/>
      <c r="X141" s="93"/>
      <c r="Y141" s="93"/>
      <c r="Z141" s="93"/>
    </row>
    <row r="142">
      <c r="A142" s="93" t="str">
        <f>IFERROR(__xludf.DUMMYFUNCTION("""COMPUTED_VALUE"""),"KIT-#17777")</f>
        <v>KIT-#17777</v>
      </c>
      <c r="B142" s="94">
        <f>IFERROR(__xludf.DUMMYFUNCTION("""COMPUTED_VALUE"""),46144.0)</f>
        <v>46144</v>
      </c>
      <c r="C142" s="93" t="str">
        <f>IFERROR(__xludf.DUMMYFUNCTION("""COMPUTED_VALUE"""),"Kit Delivery")</f>
        <v>Kit Delivery</v>
      </c>
      <c r="D142" s="93">
        <f>IFERROR(__xludf.DUMMYFUNCTION("""COMPUTED_VALUE"""),3.0)</f>
        <v>3</v>
      </c>
      <c r="E142" s="93" t="str">
        <f>IFERROR(__xludf.DUMMYFUNCTION("""COMPUTED_VALUE"""),"Gregg")</f>
        <v>Gregg</v>
      </c>
      <c r="F142" s="93">
        <f>IFERROR(__xludf.DUMMYFUNCTION("""COMPUTED_VALUE"""),3080.0)</f>
        <v>3080</v>
      </c>
      <c r="G142" s="93" t="str">
        <f>IFERROR(__xludf.DUMMYFUNCTION("""COMPUTED_VALUE"""),"Andie Hansen")</f>
        <v>Andie Hansen</v>
      </c>
      <c r="H142" s="93">
        <f>IFERROR(__xludf.DUMMYFUNCTION("""COMPUTED_VALUE"""),5.132183219E9)</f>
        <v>5132183219</v>
      </c>
      <c r="I142" s="93" t="str">
        <f>IFERROR(__xludf.DUMMYFUNCTION("""COMPUTED_VALUE"""),"11AM-1PM")</f>
        <v>11AM-1PM</v>
      </c>
      <c r="J142" s="93">
        <f>IFERROR(__xludf.DUMMYFUNCTION("""COMPUTED_VALUE"""),1.0)</f>
        <v>1</v>
      </c>
      <c r="K142" s="93" t="str">
        <f>IFERROR(__xludf.DUMMYFUNCTION("""COMPUTED_VALUE"""),"Complete")</f>
        <v>Complete</v>
      </c>
      <c r="L142" s="93"/>
      <c r="M142" s="94">
        <f>IFERROR(__xludf.DUMMYFUNCTION("""COMPUTED_VALUE"""),46139.703298611115)</f>
        <v>46139.7033</v>
      </c>
      <c r="N142" s="93">
        <f>IFERROR(__xludf.DUMMYFUNCTION("""COMPUTED_VALUE"""),32.0)</f>
        <v>32</v>
      </c>
      <c r="O142" s="93"/>
      <c r="P142" s="93" t="str">
        <f>IFERROR(__xludf.DUMMYFUNCTION("""COMPUTED_VALUE"""),"Kit Delivery")</f>
        <v>Kit Delivery</v>
      </c>
      <c r="Q142" s="93"/>
      <c r="R142" s="93"/>
      <c r="S142" s="93" t="str">
        <f>IFERROR(__xludf.DUMMYFUNCTION("""COMPUTED_VALUE"""),"Dispatch_Images/KIT--17777.Photos.215241.jpg")</f>
        <v>Dispatch_Images/KIT--17777.Photos.215241.jpg</v>
      </c>
      <c r="T142" s="95">
        <f>IFERROR(__xludf.DUMMYFUNCTION("""COMPUTED_VALUE"""),46139.70350694445)</f>
        <v>46139.70351</v>
      </c>
      <c r="U142" s="93"/>
      <c r="V142" s="93"/>
      <c r="W142" s="93"/>
      <c r="X142" s="93"/>
      <c r="Y142" s="93"/>
      <c r="Z142" s="93"/>
    </row>
    <row r="143">
      <c r="A143" s="93" t="str">
        <f>IFERROR(__xludf.DUMMYFUNCTION("""COMPUTED_VALUE"""),"KIT-#17397")</f>
        <v>KIT-#17397</v>
      </c>
      <c r="B143" s="94">
        <f>IFERROR(__xludf.DUMMYFUNCTION("""COMPUTED_VALUE"""),46144.0)</f>
        <v>46144</v>
      </c>
      <c r="C143" s="93" t="str">
        <f>IFERROR(__xludf.DUMMYFUNCTION("""COMPUTED_VALUE"""),"Kit Delivery")</f>
        <v>Kit Delivery</v>
      </c>
      <c r="D143" s="93">
        <f>IFERROR(__xludf.DUMMYFUNCTION("""COMPUTED_VALUE"""),3.0)</f>
        <v>3</v>
      </c>
      <c r="E143" s="93" t="str">
        <f>IFERROR(__xludf.DUMMYFUNCTION("""COMPUTED_VALUE"""),"LL6255")</f>
        <v>LL6255</v>
      </c>
      <c r="F143" s="93" t="str">
        <f>IFERROR(__xludf.DUMMYFUNCTION("""COMPUTED_VALUE"""),"416A")</f>
        <v>416A</v>
      </c>
      <c r="G143" s="93" t="str">
        <f>IFERROR(__xludf.DUMMYFUNCTION("""COMPUTED_VALUE"""),"Eric Zimmerman")</f>
        <v>Eric Zimmerman</v>
      </c>
      <c r="H143" s="93">
        <f>IFERROR(__xludf.DUMMYFUNCTION("""COMPUTED_VALUE"""),5.163447738E9)</f>
        <v>5163447738</v>
      </c>
      <c r="I143" s="93" t="str">
        <f>IFERROR(__xludf.DUMMYFUNCTION("""COMPUTED_VALUE"""),"9AM-11AM")</f>
        <v>9AM-11AM</v>
      </c>
      <c r="J143" s="93">
        <f>IFERROR(__xludf.DUMMYFUNCTION("""COMPUTED_VALUE"""),1.0)</f>
        <v>1</v>
      </c>
      <c r="K143" s="93" t="str">
        <f>IFERROR(__xludf.DUMMYFUNCTION("""COMPUTED_VALUE"""),"Complete")</f>
        <v>Complete</v>
      </c>
      <c r="L143" s="93"/>
      <c r="M143" s="94">
        <f>IFERROR(__xludf.DUMMYFUNCTION("""COMPUTED_VALUE"""),46140.74349537037)</f>
        <v>46140.7435</v>
      </c>
      <c r="N143" s="93">
        <f>IFERROR(__xludf.DUMMYFUNCTION("""COMPUTED_VALUE"""),211.0)</f>
        <v>211</v>
      </c>
      <c r="O143" s="93"/>
      <c r="P143" s="93" t="str">
        <f>IFERROR(__xludf.DUMMYFUNCTION("""COMPUTED_VALUE"""),"Kit Delivery")</f>
        <v>Kit Delivery</v>
      </c>
      <c r="Q143" s="93"/>
      <c r="R143" s="93"/>
      <c r="S143" s="93" t="str">
        <f>IFERROR(__xludf.DUMMYFUNCTION("""COMPUTED_VALUE"""),"Dispatch_Images/KIT--17397.Photos.225032.jpg")</f>
        <v>Dispatch_Images/KIT--17397.Photos.225032.jpg</v>
      </c>
      <c r="T143" s="95">
        <f>IFERROR(__xludf.DUMMYFUNCTION("""COMPUTED_VALUE"""),46140.74519675926)</f>
        <v>46140.7452</v>
      </c>
      <c r="U143" s="93"/>
      <c r="V143" s="93"/>
      <c r="W143" s="93"/>
      <c r="X143" s="93"/>
      <c r="Y143" s="93"/>
      <c r="Z143" s="93"/>
    </row>
    <row r="144">
      <c r="A144" s="93" t="str">
        <f>IFERROR(__xludf.DUMMYFUNCTION("""COMPUTED_VALUE"""),"KIT-#17788")</f>
        <v>KIT-#17788</v>
      </c>
      <c r="B144" s="94">
        <f>IFERROR(__xludf.DUMMYFUNCTION("""COMPUTED_VALUE"""),46144.0)</f>
        <v>46144</v>
      </c>
      <c r="C144" s="93" t="str">
        <f>IFERROR(__xludf.DUMMYFUNCTION("""COMPUTED_VALUE"""),"Kit Delivery")</f>
        <v>Kit Delivery</v>
      </c>
      <c r="D144" s="93">
        <f>IFERROR(__xludf.DUMMYFUNCTION("""COMPUTED_VALUE"""),3.0)</f>
        <v>3</v>
      </c>
      <c r="E144" s="93" t="str">
        <f>IFERROR(__xludf.DUMMYFUNCTION("""COMPUTED_VALUE"""),"LL6255")</f>
        <v>LL6255</v>
      </c>
      <c r="F144" s="93" t="str">
        <f>IFERROR(__xludf.DUMMYFUNCTION("""COMPUTED_VALUE"""),"416A")</f>
        <v>416A</v>
      </c>
      <c r="G144" s="93" t="str">
        <f>IFERROR(__xludf.DUMMYFUNCTION("""COMPUTED_VALUE"""),"Eric Zimmerman")</f>
        <v>Eric Zimmerman</v>
      </c>
      <c r="H144" s="93">
        <f>IFERROR(__xludf.DUMMYFUNCTION("""COMPUTED_VALUE"""),5.163447738E9)</f>
        <v>5163447738</v>
      </c>
      <c r="I144" s="93" t="str">
        <f>IFERROR(__xludf.DUMMYFUNCTION("""COMPUTED_VALUE"""),"9AM-11AM")</f>
        <v>9AM-11AM</v>
      </c>
      <c r="J144" s="93">
        <f>IFERROR(__xludf.DUMMYFUNCTION("""COMPUTED_VALUE"""),1.0)</f>
        <v>1</v>
      </c>
      <c r="K144" s="93" t="str">
        <f>IFERROR(__xludf.DUMMYFUNCTION("""COMPUTED_VALUE"""),"Complete")</f>
        <v>Complete</v>
      </c>
      <c r="L144" s="93"/>
      <c r="M144" s="94">
        <f>IFERROR(__xludf.DUMMYFUNCTION("""COMPUTED_VALUE"""),46140.74369212963)</f>
        <v>46140.74369</v>
      </c>
      <c r="N144" s="93">
        <f>IFERROR(__xludf.DUMMYFUNCTION("""COMPUTED_VALUE"""),212.0)</f>
        <v>212</v>
      </c>
      <c r="O144" s="93"/>
      <c r="P144" s="93" t="str">
        <f>IFERROR(__xludf.DUMMYFUNCTION("""COMPUTED_VALUE"""),"Kit Delivery")</f>
        <v>Kit Delivery</v>
      </c>
      <c r="Q144" s="93"/>
      <c r="R144" s="93"/>
      <c r="S144" s="93" t="str">
        <f>IFERROR(__xludf.DUMMYFUNCTION("""COMPUTED_VALUE"""),"Dispatch_Images/KIT--17788.Photos.225049.jpg")</f>
        <v>Dispatch_Images/KIT--17788.Photos.225049.jpg</v>
      </c>
      <c r="T144" s="95">
        <f>IFERROR(__xludf.DUMMYFUNCTION("""COMPUTED_VALUE"""),46140.74519675926)</f>
        <v>46140.7452</v>
      </c>
      <c r="U144" s="93"/>
      <c r="V144" s="93"/>
      <c r="W144" s="93"/>
      <c r="X144" s="93"/>
      <c r="Y144" s="93"/>
      <c r="Z144" s="93"/>
    </row>
    <row r="145">
      <c r="A145" s="93" t="str">
        <f>IFERROR(__xludf.DUMMYFUNCTION("""COMPUTED_VALUE"""),"KIT-#17873")</f>
        <v>KIT-#17873</v>
      </c>
      <c r="B145" s="94">
        <f>IFERROR(__xludf.DUMMYFUNCTION("""COMPUTED_VALUE"""),46144.0)</f>
        <v>46144</v>
      </c>
      <c r="C145" s="93" t="str">
        <f>IFERROR(__xludf.DUMMYFUNCTION("""COMPUTED_VALUE"""),"Kit Delivery")</f>
        <v>Kit Delivery</v>
      </c>
      <c r="D145" s="93">
        <f>IFERROR(__xludf.DUMMYFUNCTION("""COMPUTED_VALUE"""),3.0)</f>
        <v>3</v>
      </c>
      <c r="E145" s="93" t="str">
        <f>IFERROR(__xludf.DUMMYFUNCTION("""COMPUTED_VALUE"""),"Zetcher")</f>
        <v>Zetcher</v>
      </c>
      <c r="F145" s="93" t="str">
        <f>IFERROR(__xludf.DUMMYFUNCTION("""COMPUTED_VALUE"""),"4200 (my room is 4201)")</f>
        <v>4200 (my room is 4201)</v>
      </c>
      <c r="G145" s="93" t="str">
        <f>IFERROR(__xludf.DUMMYFUNCTION("""COMPUTED_VALUE"""),"Shivam Purohit")</f>
        <v>Shivam Purohit</v>
      </c>
      <c r="H145" s="93">
        <f>IFERROR(__xludf.DUMMYFUNCTION("""COMPUTED_VALUE"""),6.308909563E9)</f>
        <v>6308909563</v>
      </c>
      <c r="I145" s="93" t="str">
        <f>IFERROR(__xludf.DUMMYFUNCTION("""COMPUTED_VALUE"""),"3PM-5PM")</f>
        <v>3PM-5PM</v>
      </c>
      <c r="J145" s="93">
        <f>IFERROR(__xludf.DUMMYFUNCTION("""COMPUTED_VALUE"""),1.0)</f>
        <v>1</v>
      </c>
      <c r="K145" s="93" t="str">
        <f>IFERROR(__xludf.DUMMYFUNCTION("""COMPUTED_VALUE"""),"Complete")</f>
        <v>Complete</v>
      </c>
      <c r="L145" s="93"/>
      <c r="M145" s="94">
        <f>IFERROR(__xludf.DUMMYFUNCTION("""COMPUTED_VALUE"""),46140.7749537037)</f>
        <v>46140.77495</v>
      </c>
      <c r="N145" s="93">
        <f>IFERROR(__xludf.DUMMYFUNCTION("""COMPUTED_VALUE"""),129.0)</f>
        <v>129</v>
      </c>
      <c r="O145" s="93"/>
      <c r="P145" s="93" t="str">
        <f>IFERROR(__xludf.DUMMYFUNCTION("""COMPUTED_VALUE"""),"Kit Delivery")</f>
        <v>Kit Delivery</v>
      </c>
      <c r="Q145" s="93"/>
      <c r="R145" s="93"/>
      <c r="S145" s="93" t="str">
        <f>IFERROR(__xludf.DUMMYFUNCTION("""COMPUTED_VALUE"""),"Dispatch_Images/KIT--17873.Photos.233553.jpg")</f>
        <v>Dispatch_Images/KIT--17873.Photos.233553.jpg</v>
      </c>
      <c r="T145" s="95">
        <f>IFERROR(__xludf.DUMMYFUNCTION("""COMPUTED_VALUE"""),46140.77990740741)</f>
        <v>46140.77991</v>
      </c>
      <c r="U145" s="93"/>
      <c r="V145" s="93"/>
      <c r="W145" s="93"/>
      <c r="X145" s="93"/>
      <c r="Y145" s="93"/>
      <c r="Z145" s="93"/>
    </row>
    <row r="146">
      <c r="A146" s="93" t="str">
        <f>IFERROR(__xludf.DUMMYFUNCTION("""COMPUTED_VALUE"""),"KIT-#17750")</f>
        <v>KIT-#17750</v>
      </c>
      <c r="B146" s="94">
        <f>IFERROR(__xludf.DUMMYFUNCTION("""COMPUTED_VALUE"""),46144.0)</f>
        <v>46144</v>
      </c>
      <c r="C146" s="93" t="str">
        <f>IFERROR(__xludf.DUMMYFUNCTION("""COMPUTED_VALUE"""),"Kit Delivery")</f>
        <v>Kit Delivery</v>
      </c>
      <c r="D146" s="93">
        <f>IFERROR(__xludf.DUMMYFUNCTION("""COMPUTED_VALUE"""),3.0)</f>
        <v>3</v>
      </c>
      <c r="E146" s="93" t="str">
        <f>IFERROR(__xludf.DUMMYFUNCTION("""COMPUTED_VALUE"""),"House 4")</f>
        <v>House 4</v>
      </c>
      <c r="F146" s="93" t="str">
        <f>IFERROR(__xludf.DUMMYFUNCTION("""COMPUTED_VALUE"""),"3rd floor")</f>
        <v>3rd floor</v>
      </c>
      <c r="G146" s="93" t="str">
        <f>IFERROR(__xludf.DUMMYFUNCTION("""COMPUTED_VALUE"""),"Jonathan Ross")</f>
        <v>Jonathan Ross</v>
      </c>
      <c r="H146" s="93">
        <f>IFERROR(__xludf.DUMMYFUNCTION("""COMPUTED_VALUE"""),5.083410848E9)</f>
        <v>5083410848</v>
      </c>
      <c r="I146" s="93" t="str">
        <f>IFERROR(__xludf.DUMMYFUNCTION("""COMPUTED_VALUE"""),"10AM-12PM")</f>
        <v>10AM-12PM</v>
      </c>
      <c r="J146" s="93">
        <f>IFERROR(__xludf.DUMMYFUNCTION("""COMPUTED_VALUE"""),2.0)</f>
        <v>2</v>
      </c>
      <c r="K146" s="93" t="str">
        <f>IFERROR(__xludf.DUMMYFUNCTION("""COMPUTED_VALUE"""),"Complete")</f>
        <v>Complete</v>
      </c>
      <c r="L146" s="93"/>
      <c r="M146" s="94">
        <f>IFERROR(__xludf.DUMMYFUNCTION("""COMPUTED_VALUE"""),46140.83346064815)</f>
        <v>46140.83346</v>
      </c>
      <c r="N146" s="93">
        <f>IFERROR(__xludf.DUMMYFUNCTION("""COMPUTED_VALUE"""),192.0)</f>
        <v>192</v>
      </c>
      <c r="O146" s="93"/>
      <c r="P146" s="93" t="str">
        <f>IFERROR(__xludf.DUMMYFUNCTION("""COMPUTED_VALUE"""),"Kit Delivery")</f>
        <v>Kit Delivery</v>
      </c>
      <c r="Q146" s="93" t="str">
        <f>IFERROR(__xludf.DUMMYFUNCTION("""COMPUTED_VALUE"""),"When will the boxes be dropped off?")</f>
        <v>When will the boxes be dropped off?</v>
      </c>
      <c r="R146" s="93"/>
      <c r="S146" s="93" t="str">
        <f>IFERROR(__xludf.DUMMYFUNCTION("""COMPUTED_VALUE"""),"Dispatch_Images/KIT--17750.Photos.010006.jpg")</f>
        <v>Dispatch_Images/KIT--17750.Photos.010006.jpg</v>
      </c>
      <c r="T146" s="95">
        <f>IFERROR(__xludf.DUMMYFUNCTION("""COMPUTED_VALUE"""),46140.83545138889)</f>
        <v>46140.83545</v>
      </c>
      <c r="U146" s="93"/>
      <c r="V146" s="93"/>
      <c r="W146" s="93"/>
      <c r="X146" s="93"/>
      <c r="Y146" s="93"/>
      <c r="Z146" s="93"/>
    </row>
    <row r="147">
      <c r="A147" s="93" t="str">
        <f>IFERROR(__xludf.DUMMYFUNCTION("""COMPUTED_VALUE"""),"KIT-#17763")</f>
        <v>KIT-#17763</v>
      </c>
      <c r="B147" s="94">
        <f>IFERROR(__xludf.DUMMYFUNCTION("""COMPUTED_VALUE"""),46144.0)</f>
        <v>46144</v>
      </c>
      <c r="C147" s="93" t="str">
        <f>IFERROR(__xludf.DUMMYFUNCTION("""COMPUTED_VALUE"""),"Kit Delivery")</f>
        <v>Kit Delivery</v>
      </c>
      <c r="D147" s="93">
        <f>IFERROR(__xludf.DUMMYFUNCTION("""COMPUTED_VALUE"""),3.0)</f>
        <v>3</v>
      </c>
      <c r="E147" s="93" t="str">
        <f>IFERROR(__xludf.DUMMYFUNCTION("""COMPUTED_VALUE"""),"House 21")</f>
        <v>House 21</v>
      </c>
      <c r="F147" s="93">
        <f>IFERROR(__xludf.DUMMYFUNCTION("""COMPUTED_VALUE"""),1041.0)</f>
        <v>1041</v>
      </c>
      <c r="G147" s="93" t="str">
        <f>IFERROR(__xludf.DUMMYFUNCTION("""COMPUTED_VALUE"""),"Ilan Roisenfeld")</f>
        <v>Ilan Roisenfeld</v>
      </c>
      <c r="H147" s="93">
        <f>IFERROR(__xludf.DUMMYFUNCTION("""COMPUTED_VALUE"""),7.542650198E9)</f>
        <v>7542650198</v>
      </c>
      <c r="I147" s="93" t="str">
        <f>IFERROR(__xludf.DUMMYFUNCTION("""COMPUTED_VALUE"""),"9AM-11AM")</f>
        <v>9AM-11AM</v>
      </c>
      <c r="J147" s="93">
        <f>IFERROR(__xludf.DUMMYFUNCTION("""COMPUTED_VALUE"""),1.0)</f>
        <v>1</v>
      </c>
      <c r="K147" s="93" t="str">
        <f>IFERROR(__xludf.DUMMYFUNCTION("""COMPUTED_VALUE"""),"Complete")</f>
        <v>Complete</v>
      </c>
      <c r="L147" s="93"/>
      <c r="M147" s="94">
        <f>IFERROR(__xludf.DUMMYFUNCTION("""COMPUTED_VALUE"""),46140.84398148148)</f>
        <v>46140.84398</v>
      </c>
      <c r="N147" s="93">
        <f>IFERROR(__xludf.DUMMYFUNCTION("""COMPUTED_VALUE"""),203.0)</f>
        <v>203</v>
      </c>
      <c r="O147" s="93"/>
      <c r="P147" s="93" t="str">
        <f>IFERROR(__xludf.DUMMYFUNCTION("""COMPUTED_VALUE"""),"Kit Delivery")</f>
        <v>Kit Delivery</v>
      </c>
      <c r="Q147" s="93"/>
      <c r="R147" s="93"/>
      <c r="S147" s="93" t="str">
        <f>IFERROR(__xludf.DUMMYFUNCTION("""COMPUTED_VALUE"""),"Dispatch_Images/KIT--17763.Photos.011516.jpg")</f>
        <v>Dispatch_Images/KIT--17763.Photos.011516.jpg</v>
      </c>
      <c r="T147" s="95">
        <f>IFERROR(__xludf.DUMMYFUNCTION("""COMPUTED_VALUE"""),46140.849340277775)</f>
        <v>46140.84934</v>
      </c>
      <c r="U147" s="93"/>
      <c r="V147" s="93"/>
      <c r="W147" s="93"/>
      <c r="X147" s="93"/>
      <c r="Y147" s="93"/>
      <c r="Z147" s="93"/>
    </row>
    <row r="148">
      <c r="A148" s="93" t="str">
        <f>IFERROR(__xludf.DUMMYFUNCTION("""COMPUTED_VALUE"""),"KIT-#18018")</f>
        <v>KIT-#18018</v>
      </c>
      <c r="B148" s="94">
        <f>IFERROR(__xludf.DUMMYFUNCTION("""COMPUTED_VALUE"""),46144.0)</f>
        <v>46144</v>
      </c>
      <c r="C148" s="93" t="str">
        <f>IFERROR(__xludf.DUMMYFUNCTION("""COMPUTED_VALUE"""),"Kit Delivery")</f>
        <v>Kit Delivery</v>
      </c>
      <c r="D148" s="93">
        <f>IFERROR(__xludf.DUMMYFUNCTION("""COMPUTED_VALUE"""),3.0)</f>
        <v>3</v>
      </c>
      <c r="E148" s="93" t="str">
        <f>IFERROR(__xludf.DUMMYFUNCTION("""COMPUTED_VALUE"""),"Eliot A")</f>
        <v>Eliot A</v>
      </c>
      <c r="F148" s="93">
        <f>IFERROR(__xludf.DUMMYFUNCTION("""COMPUTED_VALUE"""),1090.0)</f>
        <v>1090</v>
      </c>
      <c r="G148" s="93" t="str">
        <f>IFERROR(__xludf.DUMMYFUNCTION("""COMPUTED_VALUE"""),"Alyssa Yim")</f>
        <v>Alyssa Yim</v>
      </c>
      <c r="H148" s="93">
        <f>IFERROR(__xludf.DUMMYFUNCTION("""COMPUTED_VALUE"""),2.017140733E9)</f>
        <v>2017140733</v>
      </c>
      <c r="I148" s="93" t="str">
        <f>IFERROR(__xludf.DUMMYFUNCTION("""COMPUTED_VALUE"""),"3PM-5PM")</f>
        <v>3PM-5PM</v>
      </c>
      <c r="J148" s="93">
        <f>IFERROR(__xludf.DUMMYFUNCTION("""COMPUTED_VALUE"""),1.0)</f>
        <v>1</v>
      </c>
      <c r="K148" s="93" t="str">
        <f>IFERROR(__xludf.DUMMYFUNCTION("""COMPUTED_VALUE"""),"Complete")</f>
        <v>Complete</v>
      </c>
      <c r="L148" s="93"/>
      <c r="M148" s="94">
        <f>IFERROR(__xludf.DUMMYFUNCTION("""COMPUTED_VALUE"""),46141.84793981482)</f>
        <v>46141.84794</v>
      </c>
      <c r="N148" s="93">
        <f>IFERROR(__xludf.DUMMYFUNCTION("""COMPUTED_VALUE"""),20.0)</f>
        <v>20</v>
      </c>
      <c r="O148" s="93"/>
      <c r="P148" s="93" t="str">
        <f>IFERROR(__xludf.DUMMYFUNCTION("""COMPUTED_VALUE"""),"Kit Delivery")</f>
        <v>Kit Delivery</v>
      </c>
      <c r="Q148" s="93"/>
      <c r="R148" s="93"/>
      <c r="S148" s="93" t="str">
        <f>IFERROR(__xludf.DUMMYFUNCTION("""COMPUTED_VALUE"""),"Dispatch_Images/KIT--18018.Photos.012059.jpg")</f>
        <v>Dispatch_Images/KIT--18018.Photos.012059.jpg</v>
      </c>
      <c r="T148" s="95">
        <f>IFERROR(__xludf.DUMMYFUNCTION("""COMPUTED_VALUE"""),46141.849340277775)</f>
        <v>46141.84934</v>
      </c>
      <c r="U148" s="93"/>
      <c r="V148" s="93"/>
      <c r="W148" s="93"/>
      <c r="X148" s="93"/>
      <c r="Y148" s="93"/>
      <c r="Z148" s="93"/>
    </row>
    <row r="149">
      <c r="A149" s="93" t="str">
        <f>IFERROR(__xludf.DUMMYFUNCTION("""COMPUTED_VALUE"""),"KIT-#18037")</f>
        <v>KIT-#18037</v>
      </c>
      <c r="B149" s="94">
        <f>IFERROR(__xludf.DUMMYFUNCTION("""COMPUTED_VALUE"""),46144.0)</f>
        <v>46144</v>
      </c>
      <c r="C149" s="93" t="str">
        <f>IFERROR(__xludf.DUMMYFUNCTION("""COMPUTED_VALUE"""),"Kit Delivery")</f>
        <v>Kit Delivery</v>
      </c>
      <c r="D149" s="93">
        <f>IFERROR(__xludf.DUMMYFUNCTION("""COMPUTED_VALUE"""),3.0)</f>
        <v>3</v>
      </c>
      <c r="E149" s="93" t="str">
        <f>IFERROR(__xludf.DUMMYFUNCTION("""COMPUTED_VALUE"""),"Beaumont")</f>
        <v>Beaumont</v>
      </c>
      <c r="F149" s="93">
        <f>IFERROR(__xludf.DUMMYFUNCTION("""COMPUTED_VALUE"""),222.0)</f>
        <v>222</v>
      </c>
      <c r="G149" s="93" t="str">
        <f>IFERROR(__xludf.DUMMYFUNCTION("""COMPUTED_VALUE"""),"Gloria Eah")</f>
        <v>Gloria Eah</v>
      </c>
      <c r="H149" s="93">
        <f>IFERROR(__xludf.DUMMYFUNCTION("""COMPUTED_VALUE"""),6.467816801E9)</f>
        <v>6467816801</v>
      </c>
      <c r="I149" s="93" t="str">
        <f>IFERROR(__xludf.DUMMYFUNCTION("""COMPUTED_VALUE"""),"9AM-11AM")</f>
        <v>9AM-11AM</v>
      </c>
      <c r="J149" s="93">
        <f>IFERROR(__xludf.DUMMYFUNCTION("""COMPUTED_VALUE"""),1.0)</f>
        <v>1</v>
      </c>
      <c r="K149" s="93" t="str">
        <f>IFERROR(__xludf.DUMMYFUNCTION("""COMPUTED_VALUE"""),"Complete")</f>
        <v>Complete</v>
      </c>
      <c r="L149" s="93"/>
      <c r="M149" s="94">
        <f>IFERROR(__xludf.DUMMYFUNCTION("""COMPUTED_VALUE"""),46141.864178240736)</f>
        <v>46141.86418</v>
      </c>
      <c r="N149" s="93">
        <f>IFERROR(__xludf.DUMMYFUNCTION("""COMPUTED_VALUE"""),52.0)</f>
        <v>52</v>
      </c>
      <c r="O149" s="93"/>
      <c r="P149" s="93" t="str">
        <f>IFERROR(__xludf.DUMMYFUNCTION("""COMPUTED_VALUE"""),"Kit Delivery")</f>
        <v>Kit Delivery</v>
      </c>
      <c r="Q149" s="93"/>
      <c r="R149" s="93"/>
      <c r="S149" s="93" t="str">
        <f>IFERROR(__xludf.DUMMYFUNCTION("""COMPUTED_VALUE"""),"Dispatch_Images/KIT--18037.Photos.014422.jpg")</f>
        <v>Dispatch_Images/KIT--18037.Photos.014422.jpg</v>
      </c>
      <c r="T149" s="95">
        <f>IFERROR(__xludf.DUMMYFUNCTION("""COMPUTED_VALUE"""),46141.87017361111)</f>
        <v>46141.87017</v>
      </c>
      <c r="U149" s="93"/>
      <c r="V149" s="93"/>
      <c r="W149" s="93"/>
      <c r="X149" s="93"/>
      <c r="Y149" s="93"/>
      <c r="Z149" s="93"/>
    </row>
    <row r="150">
      <c r="A150" s="93" t="str">
        <f>IFERROR(__xludf.DUMMYFUNCTION("""COMPUTED_VALUE"""),"KIT-#17935")</f>
        <v>KIT-#17935</v>
      </c>
      <c r="B150" s="94">
        <f>IFERROR(__xludf.DUMMYFUNCTION("""COMPUTED_VALUE"""),46144.0)</f>
        <v>46144</v>
      </c>
      <c r="C150" s="93" t="str">
        <f>IFERROR(__xludf.DUMMYFUNCTION("""COMPUTED_VALUE"""),"Kit Delivery")</f>
        <v>Kit Delivery</v>
      </c>
      <c r="D150" s="93">
        <f>IFERROR(__xludf.DUMMYFUNCTION("""COMPUTED_VALUE"""),3.0)</f>
        <v>3</v>
      </c>
      <c r="E150" s="93" t="str">
        <f>IFERROR(__xludf.DUMMYFUNCTION("""COMPUTED_VALUE"""),"Park")</f>
        <v>Park</v>
      </c>
      <c r="F150" s="93">
        <f>IFERROR(__xludf.DUMMYFUNCTION("""COMPUTED_VALUE"""),190.0)</f>
        <v>190</v>
      </c>
      <c r="G150" s="93" t="str">
        <f>IFERROR(__xludf.DUMMYFUNCTION("""COMPUTED_VALUE"""),"ye hyeon")</f>
        <v>ye hyeon</v>
      </c>
      <c r="H150" s="93">
        <f>IFERROR(__xludf.DUMMYFUNCTION("""COMPUTED_VALUE"""),3.143931536E9)</f>
        <v>3143931536</v>
      </c>
      <c r="I150" s="93" t="str">
        <f>IFERROR(__xludf.DUMMYFUNCTION("""COMPUTED_VALUE"""),"9AM-11AM")</f>
        <v>9AM-11AM</v>
      </c>
      <c r="J150" s="93">
        <f>IFERROR(__xludf.DUMMYFUNCTION("""COMPUTED_VALUE"""),1.0)</f>
        <v>1</v>
      </c>
      <c r="K150" s="93" t="str">
        <f>IFERROR(__xludf.DUMMYFUNCTION("""COMPUTED_VALUE"""),"Complete")</f>
        <v>Complete</v>
      </c>
      <c r="L150" s="93"/>
      <c r="M150" s="94">
        <f>IFERROR(__xludf.DUMMYFUNCTION("""COMPUTED_VALUE"""),46141.87587962963)</f>
        <v>46141.87588</v>
      </c>
      <c r="N150" s="93">
        <f>IFERROR(__xludf.DUMMYFUNCTION("""COMPUTED_VALUE"""),46.0)</f>
        <v>46</v>
      </c>
      <c r="O150" s="93"/>
      <c r="P150" s="93" t="str">
        <f>IFERROR(__xludf.DUMMYFUNCTION("""COMPUTED_VALUE"""),"Kit Delivery")</f>
        <v>Kit Delivery</v>
      </c>
      <c r="Q150" s="93"/>
      <c r="R150" s="93"/>
      <c r="S150" s="93" t="str">
        <f>IFERROR(__xludf.DUMMYFUNCTION("""COMPUTED_VALUE"""),"Dispatch_Images/KIT--17935.Photos.020112.jpg")</f>
        <v>Dispatch_Images/KIT--17935.Photos.020112.jpg</v>
      </c>
      <c r="T150" s="95">
        <f>IFERROR(__xludf.DUMMYFUNCTION("""COMPUTED_VALUE"""),46141.87712962963)</f>
        <v>46141.87713</v>
      </c>
      <c r="U150" s="93"/>
      <c r="V150" s="93"/>
      <c r="W150" s="93"/>
      <c r="X150" s="93"/>
      <c r="Y150" s="93"/>
      <c r="Z150" s="93"/>
    </row>
    <row r="151">
      <c r="A151" s="93" t="str">
        <f>IFERROR(__xludf.DUMMYFUNCTION("""COMPUTED_VALUE"""),"KIT-#17996")</f>
        <v>KIT-#17996</v>
      </c>
      <c r="B151" s="94">
        <f>IFERROR(__xludf.DUMMYFUNCTION("""COMPUTED_VALUE"""),46144.0)</f>
        <v>46144</v>
      </c>
      <c r="C151" s="93" t="str">
        <f>IFERROR(__xludf.DUMMYFUNCTION("""COMPUTED_VALUE"""),"Kit Delivery")</f>
        <v>Kit Delivery</v>
      </c>
      <c r="D151" s="93">
        <f>IFERROR(__xludf.DUMMYFUNCTION("""COMPUTED_VALUE"""),3.0)</f>
        <v>3</v>
      </c>
      <c r="E151" s="93" t="str">
        <f>IFERROR(__xludf.DUMMYFUNCTION("""COMPUTED_VALUE"""),"Gregg")</f>
        <v>Gregg</v>
      </c>
      <c r="F151" s="93">
        <f>IFERROR(__xludf.DUMMYFUNCTION("""COMPUTED_VALUE"""),3171.0)</f>
        <v>3171</v>
      </c>
      <c r="G151" s="93" t="str">
        <f>IFERROR(__xludf.DUMMYFUNCTION("""COMPUTED_VALUE"""),"Zander Silverman")</f>
        <v>Zander Silverman</v>
      </c>
      <c r="H151" s="93">
        <f>IFERROR(__xludf.DUMMYFUNCTION("""COMPUTED_VALUE"""),6.092857804E9)</f>
        <v>6092857804</v>
      </c>
      <c r="I151" s="93" t="str">
        <f>IFERROR(__xludf.DUMMYFUNCTION("""COMPUTED_VALUE"""),"3PM-5PM")</f>
        <v>3PM-5PM</v>
      </c>
      <c r="J151" s="93">
        <f>IFERROR(__xludf.DUMMYFUNCTION("""COMPUTED_VALUE"""),1.0)</f>
        <v>1</v>
      </c>
      <c r="K151" s="93" t="str">
        <f>IFERROR(__xludf.DUMMYFUNCTION("""COMPUTED_VALUE"""),"Complete")</f>
        <v>Complete</v>
      </c>
      <c r="L151" s="93"/>
      <c r="M151" s="94">
        <f>IFERROR(__xludf.DUMMYFUNCTION("""COMPUTED_VALUE"""),46141.895277777774)</f>
        <v>46141.89528</v>
      </c>
      <c r="N151" s="93">
        <f>IFERROR(__xludf.DUMMYFUNCTION("""COMPUTED_VALUE"""),116.0)</f>
        <v>116</v>
      </c>
      <c r="O151" s="93" t="str">
        <f>IFERROR(__xludf.DUMMYFUNCTION("""COMPUTED_VALUE"""),"243 Russell Rd, Princeton, NJ, 08540")</f>
        <v>243 Russell Rd, Princeton, NJ, 08540</v>
      </c>
      <c r="P151" s="93" t="str">
        <f>IFERROR(__xludf.DUMMYFUNCTION("""COMPUTED_VALUE"""),"Kit Delivery")</f>
        <v>Kit Delivery</v>
      </c>
      <c r="Q151" s="93"/>
      <c r="R151" s="93"/>
      <c r="S151" s="93" t="str">
        <f>IFERROR(__xludf.DUMMYFUNCTION("""COMPUTED_VALUE"""),"Dispatch_Images/KIT--17996.Photos.022909.jpg")</f>
        <v>Dispatch_Images/KIT--17996.Photos.022909.jpg</v>
      </c>
      <c r="T151" s="95">
        <f>IFERROR(__xludf.DUMMYFUNCTION("""COMPUTED_VALUE"""),46141.897939814815)</f>
        <v>46141.89794</v>
      </c>
      <c r="U151" s="93"/>
      <c r="V151" s="93"/>
      <c r="W151" s="93"/>
      <c r="X151" s="93"/>
      <c r="Y151" s="93"/>
      <c r="Z151" s="93"/>
    </row>
    <row r="152">
      <c r="A152" s="93" t="str">
        <f>IFERROR(__xludf.DUMMYFUNCTION("""COMPUTED_VALUE"""),"KIT-#17932")</f>
        <v>KIT-#17932</v>
      </c>
      <c r="B152" s="94">
        <f>IFERROR(__xludf.DUMMYFUNCTION("""COMPUTED_VALUE"""),46144.0)</f>
        <v>46144</v>
      </c>
      <c r="C152" s="93" t="str">
        <f>IFERROR(__xludf.DUMMYFUNCTION("""COMPUTED_VALUE"""),"Kit Delivery")</f>
        <v>Kit Delivery</v>
      </c>
      <c r="D152" s="93">
        <f>IFERROR(__xludf.DUMMYFUNCTION("""COMPUTED_VALUE"""),3.0)</f>
        <v>3</v>
      </c>
      <c r="E152" s="93" t="str">
        <f>IFERROR(__xludf.DUMMYFUNCTION("""COMPUTED_VALUE"""),"LL6300")</f>
        <v>LL6300</v>
      </c>
      <c r="F152" s="93" t="str">
        <f>IFERROR(__xludf.DUMMYFUNCTION("""COMPUTED_VALUE"""),"206C-a")</f>
        <v>206C-a</v>
      </c>
      <c r="G152" s="93" t="str">
        <f>IFERROR(__xludf.DUMMYFUNCTION("""COMPUTED_VALUE"""),"Jeeho Kang")</f>
        <v>Jeeho Kang</v>
      </c>
      <c r="H152" s="93">
        <f>IFERROR(__xludf.DUMMYFUNCTION("""COMPUTED_VALUE"""),8.21065833994E11)</f>
        <v>821065833994</v>
      </c>
      <c r="I152" s="93" t="str">
        <f>IFERROR(__xludf.DUMMYFUNCTION("""COMPUTED_VALUE"""),"9AM-11AM")</f>
        <v>9AM-11AM</v>
      </c>
      <c r="J152" s="93">
        <f>IFERROR(__xludf.DUMMYFUNCTION("""COMPUTED_VALUE"""),1.0)</f>
        <v>1</v>
      </c>
      <c r="K152" s="93" t="str">
        <f>IFERROR(__xludf.DUMMYFUNCTION("""COMPUTED_VALUE"""),"Complete")</f>
        <v>Complete</v>
      </c>
      <c r="L152" s="93"/>
      <c r="M152" s="94">
        <f>IFERROR(__xludf.DUMMYFUNCTION("""COMPUTED_VALUE"""),46141.95298611111)</f>
        <v>46141.95299</v>
      </c>
      <c r="N152" s="93">
        <f>IFERROR(__xludf.DUMMYFUNCTION("""COMPUTED_VALUE"""),182.0)</f>
        <v>182</v>
      </c>
      <c r="O152" s="93"/>
      <c r="P152" s="93" t="str">
        <f>IFERROR(__xludf.DUMMYFUNCTION("""COMPUTED_VALUE"""),"Kit Delivery")</f>
        <v>Kit Delivery</v>
      </c>
      <c r="Q152" s="93"/>
      <c r="R152" s="93"/>
      <c r="S152" s="93" t="str">
        <f>IFERROR(__xludf.DUMMYFUNCTION("""COMPUTED_VALUE"""),"Dispatch_Images/KIT--17932.Photos.035214.jpg")</f>
        <v>Dispatch_Images/KIT--17932.Photos.035214.jpg</v>
      </c>
      <c r="T152" s="95">
        <f>IFERROR(__xludf.DUMMYFUNCTION("""COMPUTED_VALUE"""),46141.956030092595)</f>
        <v>46141.95603</v>
      </c>
      <c r="U152" s="93"/>
      <c r="V152" s="93"/>
      <c r="W152" s="93"/>
      <c r="X152" s="93"/>
      <c r="Y152" s="93"/>
      <c r="Z152" s="93"/>
    </row>
    <row r="153">
      <c r="A153" s="93" t="str">
        <f>IFERROR(__xludf.DUMMYFUNCTION("""COMPUTED_VALUE"""),"KIT-#17778")</f>
        <v>KIT-#17778</v>
      </c>
      <c r="B153" s="94">
        <f>IFERROR(__xludf.DUMMYFUNCTION("""COMPUTED_VALUE"""),46145.0)</f>
        <v>46145</v>
      </c>
      <c r="C153" s="93" t="str">
        <f>IFERROR(__xludf.DUMMYFUNCTION("""COMPUTED_VALUE"""),"Kit Delivery")</f>
        <v>Kit Delivery</v>
      </c>
      <c r="D153" s="93">
        <f>IFERROR(__xludf.DUMMYFUNCTION("""COMPUTED_VALUE"""),3.0)</f>
        <v>3</v>
      </c>
      <c r="E153" s="93" t="str">
        <f>IFERROR(__xludf.DUMMYFUNCTION("""COMPUTED_VALUE"""),"Danforth")</f>
        <v>Danforth</v>
      </c>
      <c r="F153" s="93">
        <f>IFERROR(__xludf.DUMMYFUNCTION("""COMPUTED_VALUE"""),4421.0)</f>
        <v>4421</v>
      </c>
      <c r="G153" s="93" t="str">
        <f>IFERROR(__xludf.DUMMYFUNCTION("""COMPUTED_VALUE"""),"Coco Zhang")</f>
        <v>Coco Zhang</v>
      </c>
      <c r="H153" s="93" t="str">
        <f>IFERROR(__xludf.DUMMYFUNCTION("""COMPUTED_VALUE"""),"314-240-0505")</f>
        <v>314-240-0505</v>
      </c>
      <c r="I153" s="93" t="str">
        <f>IFERROR(__xludf.DUMMYFUNCTION("""COMPUTED_VALUE"""),"Sat Dec 30 1899 09:54:51 GMT-0600 (Central Standard Time)")</f>
        <v>Sat Dec 30 1899 09:54:51 GMT-0600 (Central Standard Time)</v>
      </c>
      <c r="J153" s="93">
        <f>IFERROR(__xludf.DUMMYFUNCTION("""COMPUTED_VALUE"""),1.0)</f>
        <v>1</v>
      </c>
      <c r="K153" s="93" t="str">
        <f>IFERROR(__xludf.DUMMYFUNCTION("""COMPUTED_VALUE"""),"Complete")</f>
        <v>Complete</v>
      </c>
      <c r="L153" s="93"/>
      <c r="M153" s="94">
        <f>IFERROR(__xludf.DUMMYFUNCTION("""COMPUTED_VALUE"""),46141.85690972222)</f>
        <v>46141.85691</v>
      </c>
      <c r="N153" s="93">
        <f>IFERROR(__xludf.DUMMYFUNCTION("""COMPUTED_VALUE"""),43.0)</f>
        <v>43</v>
      </c>
      <c r="O153" s="93"/>
      <c r="P153" s="93" t="str">
        <f>IFERROR(__xludf.DUMMYFUNCTION("""COMPUTED_VALUE"""),"Kit Delivery")</f>
        <v>Kit Delivery</v>
      </c>
      <c r="Q153" s="93"/>
      <c r="R153" s="93"/>
      <c r="S153" s="93" t="str">
        <f>IFERROR(__xludf.DUMMYFUNCTION("""COMPUTED_VALUE"""),"Dispatch_Images/KIT--17778.Photos.013353.jpg")</f>
        <v>Dispatch_Images/KIT--17778.Photos.013353.jpg</v>
      </c>
      <c r="T153" s="95">
        <f>IFERROR(__xludf.DUMMYFUNCTION("""COMPUTED_VALUE"""),46141.86325231481)</f>
        <v>46141.86325</v>
      </c>
      <c r="U153" s="93"/>
      <c r="V153" s="93"/>
      <c r="W153" s="93"/>
      <c r="X153" s="93"/>
      <c r="Y153" s="93"/>
      <c r="Z153" s="93"/>
    </row>
    <row r="154">
      <c r="A154" s="93" t="str">
        <f>IFERROR(__xludf.DUMMYFUNCTION("""COMPUTED_VALUE"""),"KIT-#17335")</f>
        <v>KIT-#17335</v>
      </c>
      <c r="B154" s="94">
        <f>IFERROR(__xludf.DUMMYFUNCTION("""COMPUTED_VALUE"""),46146.0)</f>
        <v>46146</v>
      </c>
      <c r="C154" s="93" t="str">
        <f>IFERROR(__xludf.DUMMYFUNCTION("""COMPUTED_VALUE"""),"Kit Delivery")</f>
        <v>Kit Delivery</v>
      </c>
      <c r="D154" s="93">
        <f>IFERROR(__xludf.DUMMYFUNCTION("""COMPUTED_VALUE"""),1.0)</f>
        <v>1</v>
      </c>
      <c r="E154" s="93" t="str">
        <f>IFERROR(__xludf.DUMMYFUNCTION("""COMPUTED_VALUE"""),"Danforth")</f>
        <v>Danforth</v>
      </c>
      <c r="F154" s="93">
        <f>IFERROR(__xludf.DUMMYFUNCTION("""COMPUTED_VALUE"""),3315.0)</f>
        <v>3315</v>
      </c>
      <c r="G154" s="93" t="str">
        <f>IFERROR(__xludf.DUMMYFUNCTION("""COMPUTED_VALUE"""),"Ruby Castillo")</f>
        <v>Ruby Castillo</v>
      </c>
      <c r="H154" s="93">
        <f>IFERROR(__xludf.DUMMYFUNCTION("""COMPUTED_VALUE"""),6.504395227E9)</f>
        <v>6504395227</v>
      </c>
      <c r="I154" s="93" t="str">
        <f>IFERROR(__xludf.DUMMYFUNCTION("""COMPUTED_VALUE"""),"9AM-11AM")</f>
        <v>9AM-11AM</v>
      </c>
      <c r="J154" s="93">
        <f>IFERROR(__xludf.DUMMYFUNCTION("""COMPUTED_VALUE"""),1.0)</f>
        <v>1</v>
      </c>
      <c r="K154" s="93" t="str">
        <f>IFERROR(__xludf.DUMMYFUNCTION("""COMPUTED_VALUE"""),"Complete")</f>
        <v>Complete</v>
      </c>
      <c r="L154" s="93"/>
      <c r="M154" s="94">
        <f>IFERROR(__xludf.DUMMYFUNCTION("""COMPUTED_VALUE"""),46123.56826388889)</f>
        <v>46123.56826</v>
      </c>
      <c r="N154" s="93">
        <f>IFERROR(__xludf.DUMMYFUNCTION("""COMPUTED_VALUE"""),32.0)</f>
        <v>32</v>
      </c>
      <c r="O154" s="93"/>
      <c r="P154" s="93" t="str">
        <f>IFERROR(__xludf.DUMMYFUNCTION("""COMPUTED_VALUE"""),"Kit Delivery")</f>
        <v>Kit Delivery</v>
      </c>
      <c r="Q154" s="93"/>
      <c r="R154" s="93"/>
      <c r="S154" s="95">
        <f>IFERROR(__xludf.DUMMYFUNCTION("""COMPUTED_VALUE"""),46123.61150462963)</f>
        <v>46123.6115</v>
      </c>
      <c r="T154" s="93"/>
      <c r="U154" s="93"/>
      <c r="V154" s="93"/>
      <c r="W154" s="93"/>
      <c r="X154" s="93"/>
      <c r="Y154" s="93"/>
      <c r="Z154" s="93"/>
    </row>
    <row r="155">
      <c r="A155" s="93" t="str">
        <f>IFERROR(__xludf.DUMMYFUNCTION("""COMPUTED_VALUE"""),"KIT-#17387")</f>
        <v>KIT-#17387</v>
      </c>
      <c r="B155" s="94">
        <f>IFERROR(__xludf.DUMMYFUNCTION("""COMPUTED_VALUE"""),46146.0)</f>
        <v>46146</v>
      </c>
      <c r="C155" s="93" t="str">
        <f>IFERROR(__xludf.DUMMYFUNCTION("""COMPUTED_VALUE"""),"Kit Delivery")</f>
        <v>Kit Delivery</v>
      </c>
      <c r="D155" s="93">
        <f>IFERROR(__xludf.DUMMYFUNCTION("""COMPUTED_VALUE"""),1.0)</f>
        <v>1</v>
      </c>
      <c r="E155" s="93" t="str">
        <f>IFERROR(__xludf.DUMMYFUNCTION("""COMPUTED_VALUE"""),"Danforth")</f>
        <v>Danforth</v>
      </c>
      <c r="F155" s="93">
        <f>IFERROR(__xludf.DUMMYFUNCTION("""COMPUTED_VALUE"""),2229.0)</f>
        <v>2229</v>
      </c>
      <c r="G155" s="93" t="str">
        <f>IFERROR(__xludf.DUMMYFUNCTION("""COMPUTED_VALUE"""),"Sienna Shrier")</f>
        <v>Sienna Shrier</v>
      </c>
      <c r="H155" s="93">
        <f>IFERROR(__xludf.DUMMYFUNCTION("""COMPUTED_VALUE"""),9.175583799E9)</f>
        <v>9175583799</v>
      </c>
      <c r="I155" s="93" t="str">
        <f>IFERROR(__xludf.DUMMYFUNCTION("""COMPUTED_VALUE"""),"12PM-2PM")</f>
        <v>12PM-2PM</v>
      </c>
      <c r="J155" s="93">
        <f>IFERROR(__xludf.DUMMYFUNCTION("""COMPUTED_VALUE"""),1.0)</f>
        <v>1</v>
      </c>
      <c r="K155" s="93" t="str">
        <f>IFERROR(__xludf.DUMMYFUNCTION("""COMPUTED_VALUE"""),"Complete")</f>
        <v>Complete</v>
      </c>
      <c r="L155" s="93"/>
      <c r="M155" s="94">
        <f>IFERROR(__xludf.DUMMYFUNCTION("""COMPUTED_VALUE"""),46123.594768518524)</f>
        <v>46123.59477</v>
      </c>
      <c r="N155" s="93">
        <f>IFERROR(__xludf.DUMMYFUNCTION("""COMPUTED_VALUE"""),28.0)</f>
        <v>28</v>
      </c>
      <c r="O155" s="93"/>
      <c r="P155" s="93" t="str">
        <f>IFERROR(__xludf.DUMMYFUNCTION("""COMPUTED_VALUE"""),"Kit Delivery")</f>
        <v>Kit Delivery</v>
      </c>
      <c r="Q155" s="93"/>
      <c r="R155" s="93"/>
      <c r="S155" s="95">
        <f>IFERROR(__xludf.DUMMYFUNCTION("""COMPUTED_VALUE"""),46123.61150462963)</f>
        <v>46123.6115</v>
      </c>
      <c r="T155" s="93"/>
      <c r="U155" s="93"/>
      <c r="V155" s="93"/>
      <c r="W155" s="93"/>
      <c r="X155" s="93"/>
      <c r="Y155" s="93"/>
      <c r="Z155" s="93"/>
    </row>
    <row r="156">
      <c r="A156" s="93" t="str">
        <f>IFERROR(__xludf.DUMMYFUNCTION("""COMPUTED_VALUE"""),"KIT-#17131")</f>
        <v>KIT-#17131</v>
      </c>
      <c r="B156" s="94">
        <f>IFERROR(__xludf.DUMMYFUNCTION("""COMPUTED_VALUE"""),46146.0)</f>
        <v>46146</v>
      </c>
      <c r="C156" s="93" t="str">
        <f>IFERROR(__xludf.DUMMYFUNCTION("""COMPUTED_VALUE"""),"Kit Delivery")</f>
        <v>Kit Delivery</v>
      </c>
      <c r="D156" s="93">
        <f>IFERROR(__xludf.DUMMYFUNCTION("""COMPUTED_VALUE"""),1.0)</f>
        <v>1</v>
      </c>
      <c r="E156" s="93" t="str">
        <f>IFERROR(__xludf.DUMMYFUNCTION("""COMPUTED_VALUE"""),"Wheeler")</f>
        <v>Wheeler</v>
      </c>
      <c r="F156" s="93">
        <f>IFERROR(__xludf.DUMMYFUNCTION("""COMPUTED_VALUE"""),3100.0)</f>
        <v>3100</v>
      </c>
      <c r="G156" s="93" t="str">
        <f>IFERROR(__xludf.DUMMYFUNCTION("""COMPUTED_VALUE"""),"James Pollack")</f>
        <v>James Pollack</v>
      </c>
      <c r="H156" s="93">
        <f>IFERROR(__xludf.DUMMYFUNCTION("""COMPUTED_VALUE"""),9.176897822E9)</f>
        <v>9176897822</v>
      </c>
      <c r="I156" s="93" t="str">
        <f>IFERROR(__xludf.DUMMYFUNCTION("""COMPUTED_VALUE"""),"9AM-11AM")</f>
        <v>9AM-11AM</v>
      </c>
      <c r="J156" s="93">
        <f>IFERROR(__xludf.DUMMYFUNCTION("""COMPUTED_VALUE"""),2.0)</f>
        <v>2</v>
      </c>
      <c r="K156" s="93" t="str">
        <f>IFERROR(__xludf.DUMMYFUNCTION("""COMPUTED_VALUE"""),"Complete")</f>
        <v>Complete</v>
      </c>
      <c r="L156" s="93"/>
      <c r="M156" s="94">
        <f>IFERROR(__xludf.DUMMYFUNCTION("""COMPUTED_VALUE"""),46123.6033912037)</f>
        <v>46123.60339</v>
      </c>
      <c r="N156" s="93">
        <f>IFERROR(__xludf.DUMMYFUNCTION("""COMPUTED_VALUE"""),43.0)</f>
        <v>43</v>
      </c>
      <c r="O156" s="93"/>
      <c r="P156" s="93" t="str">
        <f>IFERROR(__xludf.DUMMYFUNCTION("""COMPUTED_VALUE"""),"Kit Delivery")</f>
        <v>Kit Delivery</v>
      </c>
      <c r="Q156" s="93"/>
      <c r="R156" s="93"/>
      <c r="S156" s="95">
        <f>IFERROR(__xludf.DUMMYFUNCTION("""COMPUTED_VALUE"""),46123.61150462963)</f>
        <v>46123.6115</v>
      </c>
      <c r="T156" s="93"/>
      <c r="U156" s="93"/>
      <c r="V156" s="93"/>
      <c r="W156" s="93"/>
      <c r="X156" s="93"/>
      <c r="Y156" s="93"/>
      <c r="Z156" s="93"/>
    </row>
    <row r="157">
      <c r="A157" s="93" t="str">
        <f>IFERROR(__xludf.DUMMYFUNCTION("""COMPUTED_VALUE"""),"KIT-#17330")</f>
        <v>KIT-#17330</v>
      </c>
      <c r="B157" s="94">
        <f>IFERROR(__xludf.DUMMYFUNCTION("""COMPUTED_VALUE"""),46146.0)</f>
        <v>46146</v>
      </c>
      <c r="C157" s="93" t="str">
        <f>IFERROR(__xludf.DUMMYFUNCTION("""COMPUTED_VALUE"""),"Kit Delivery")</f>
        <v>Kit Delivery</v>
      </c>
      <c r="D157" s="93">
        <f>IFERROR(__xludf.DUMMYFUNCTION("""COMPUTED_VALUE"""),1.0)</f>
        <v>1</v>
      </c>
      <c r="E157" s="93" t="str">
        <f>IFERROR(__xludf.DUMMYFUNCTION("""COMPUTED_VALUE"""),"Park")</f>
        <v>Park</v>
      </c>
      <c r="F157" s="93">
        <f>IFERROR(__xludf.DUMMYFUNCTION("""COMPUTED_VALUE"""),441.0)</f>
        <v>441</v>
      </c>
      <c r="G157" s="93" t="str">
        <f>IFERROR(__xludf.DUMMYFUNCTION("""COMPUTED_VALUE"""),"Justin Rosenblatt")</f>
        <v>Justin Rosenblatt</v>
      </c>
      <c r="H157" s="93">
        <f>IFERROR(__xludf.DUMMYFUNCTION("""COMPUTED_VALUE"""),9.254087907E9)</f>
        <v>9254087907</v>
      </c>
      <c r="I157" s="93" t="str">
        <f>IFERROR(__xludf.DUMMYFUNCTION("""COMPUTED_VALUE"""),"9AM-11AM")</f>
        <v>9AM-11AM</v>
      </c>
      <c r="J157" s="93">
        <f>IFERROR(__xludf.DUMMYFUNCTION("""COMPUTED_VALUE"""),1.0)</f>
        <v>1</v>
      </c>
      <c r="K157" s="93" t="str">
        <f>IFERROR(__xludf.DUMMYFUNCTION("""COMPUTED_VALUE"""),"Complete")</f>
        <v>Complete</v>
      </c>
      <c r="L157" s="93"/>
      <c r="M157" s="94">
        <f>IFERROR(__xludf.DUMMYFUNCTION("""COMPUTED_VALUE"""),46123.605891203704)</f>
        <v>46123.60589</v>
      </c>
      <c r="N157" s="93">
        <f>IFERROR(__xludf.DUMMYFUNCTION("""COMPUTED_VALUE"""),51.0)</f>
        <v>51</v>
      </c>
      <c r="O157" s="93"/>
      <c r="P157" s="93" t="str">
        <f>IFERROR(__xludf.DUMMYFUNCTION("""COMPUTED_VALUE"""),"Kit Delivery")</f>
        <v>Kit Delivery</v>
      </c>
      <c r="Q157" s="93"/>
      <c r="R157" s="93"/>
      <c r="S157" s="95">
        <f>IFERROR(__xludf.DUMMYFUNCTION("""COMPUTED_VALUE"""),46123.61150462963)</f>
        <v>46123.6115</v>
      </c>
      <c r="T157" s="93"/>
      <c r="U157" s="93"/>
      <c r="V157" s="93"/>
      <c r="W157" s="93"/>
      <c r="X157" s="93"/>
      <c r="Y157" s="93"/>
      <c r="Z157" s="93"/>
    </row>
    <row r="158">
      <c r="A158" s="93" t="str">
        <f>IFERROR(__xludf.DUMMYFUNCTION("""COMPUTED_VALUE"""),"KIT-#17291")</f>
        <v>KIT-#17291</v>
      </c>
      <c r="B158" s="94">
        <f>IFERROR(__xludf.DUMMYFUNCTION("""COMPUTED_VALUE"""),46146.0)</f>
        <v>46146</v>
      </c>
      <c r="C158" s="93" t="str">
        <f>IFERROR(__xludf.DUMMYFUNCTION("""COMPUTED_VALUE"""),"Kit Delivery")</f>
        <v>Kit Delivery</v>
      </c>
      <c r="D158" s="93">
        <f>IFERROR(__xludf.DUMMYFUNCTION("""COMPUTED_VALUE"""),1.0)</f>
        <v>1</v>
      </c>
      <c r="E158" s="93" t="str">
        <f>IFERROR(__xludf.DUMMYFUNCTION("""COMPUTED_VALUE"""),"Park")</f>
        <v>Park</v>
      </c>
      <c r="F158" s="93">
        <f>IFERROR(__xludf.DUMMYFUNCTION("""COMPUTED_VALUE"""),392.0)</f>
        <v>392</v>
      </c>
      <c r="G158" s="93" t="str">
        <f>IFERROR(__xludf.DUMMYFUNCTION("""COMPUTED_VALUE"""),"Avery Reed")</f>
        <v>Avery Reed</v>
      </c>
      <c r="H158" s="93">
        <f>IFERROR(__xludf.DUMMYFUNCTION("""COMPUTED_VALUE"""),8.167057088E9)</f>
        <v>8167057088</v>
      </c>
      <c r="I158" s="93" t="str">
        <f>IFERROR(__xludf.DUMMYFUNCTION("""COMPUTED_VALUE"""),"10AM-12PM")</f>
        <v>10AM-12PM</v>
      </c>
      <c r="J158" s="93">
        <f>IFERROR(__xludf.DUMMYFUNCTION("""COMPUTED_VALUE"""),2.0)</f>
        <v>2</v>
      </c>
      <c r="K158" s="93" t="str">
        <f>IFERROR(__xludf.DUMMYFUNCTION("""COMPUTED_VALUE"""),"Complete")</f>
        <v>Complete</v>
      </c>
      <c r="L158" s="93"/>
      <c r="M158" s="94">
        <f>IFERROR(__xludf.DUMMYFUNCTION("""COMPUTED_VALUE"""),46123.61125)</f>
        <v>46123.61125</v>
      </c>
      <c r="N158" s="93">
        <f>IFERROR(__xludf.DUMMYFUNCTION("""COMPUTED_VALUE"""),49.0)</f>
        <v>49</v>
      </c>
      <c r="O158" s="93"/>
      <c r="P158" s="93" t="str">
        <f>IFERROR(__xludf.DUMMYFUNCTION("""COMPUTED_VALUE"""),"Kit Delivery")</f>
        <v>Kit Delivery</v>
      </c>
      <c r="Q158" s="93"/>
      <c r="R158" s="93"/>
      <c r="S158" s="95">
        <f>IFERROR(__xludf.DUMMYFUNCTION("""COMPUTED_VALUE"""),46123.61150462963)</f>
        <v>46123.6115</v>
      </c>
      <c r="T158" s="93"/>
      <c r="U158" s="93"/>
      <c r="V158" s="93"/>
      <c r="W158" s="93"/>
      <c r="X158" s="93"/>
      <c r="Y158" s="93"/>
      <c r="Z158" s="93"/>
    </row>
    <row r="159">
      <c r="A159" s="93" t="str">
        <f>IFERROR(__xludf.DUMMYFUNCTION("""COMPUTED_VALUE"""),"KIT-#17058")</f>
        <v>KIT-#17058</v>
      </c>
      <c r="B159" s="94">
        <f>IFERROR(__xludf.DUMMYFUNCTION("""COMPUTED_VALUE"""),46146.0)</f>
        <v>46146</v>
      </c>
      <c r="C159" s="93" t="str">
        <f>IFERROR(__xludf.DUMMYFUNCTION("""COMPUTED_VALUE"""),"Kit Delivery")</f>
        <v>Kit Delivery</v>
      </c>
      <c r="D159" s="93">
        <f>IFERROR(__xludf.DUMMYFUNCTION("""COMPUTED_VALUE"""),1.0)</f>
        <v>1</v>
      </c>
      <c r="E159" s="93" t="str">
        <f>IFERROR(__xludf.DUMMYFUNCTION("""COMPUTED_VALUE"""),"Rutledge")</f>
        <v>Rutledge</v>
      </c>
      <c r="F159" s="93">
        <f>IFERROR(__xludf.DUMMYFUNCTION("""COMPUTED_VALUE"""),323.0)</f>
        <v>323</v>
      </c>
      <c r="G159" s="93" t="str">
        <f>IFERROR(__xludf.DUMMYFUNCTION("""COMPUTED_VALUE"""),"Nina Wang")</f>
        <v>Nina Wang</v>
      </c>
      <c r="H159" s="93">
        <f>IFERROR(__xludf.DUMMYFUNCTION("""COMPUTED_VALUE"""),3.147280364E9)</f>
        <v>3147280364</v>
      </c>
      <c r="I159" s="93" t="str">
        <f>IFERROR(__xludf.DUMMYFUNCTION("""COMPUTED_VALUE"""),"10AM-12PM")</f>
        <v>10AM-12PM</v>
      </c>
      <c r="J159" s="93">
        <f>IFERROR(__xludf.DUMMYFUNCTION("""COMPUTED_VALUE"""),2.0)</f>
        <v>2</v>
      </c>
      <c r="K159" s="93" t="str">
        <f>IFERROR(__xludf.DUMMYFUNCTION("""COMPUTED_VALUE"""),"Complete")</f>
        <v>Complete</v>
      </c>
      <c r="L159" s="93"/>
      <c r="M159" s="94">
        <f>IFERROR(__xludf.DUMMYFUNCTION("""COMPUTED_VALUE"""),46123.670949074076)</f>
        <v>46123.67095</v>
      </c>
      <c r="N159" s="93">
        <f>IFERROR(__xludf.DUMMYFUNCTION("""COMPUTED_VALUE"""),75.0)</f>
        <v>75</v>
      </c>
      <c r="O159" s="93"/>
      <c r="P159" s="93" t="str">
        <f>IFERROR(__xludf.DUMMYFUNCTION("""COMPUTED_VALUE"""),"Kit Delivery")</f>
        <v>Kit Delivery</v>
      </c>
      <c r="Q159" s="93"/>
      <c r="R159" s="93"/>
      <c r="S159" s="95">
        <f>IFERROR(__xludf.DUMMYFUNCTION("""COMPUTED_VALUE"""),46123.70133101852)</f>
        <v>46123.70133</v>
      </c>
      <c r="T159" s="93"/>
      <c r="U159" s="93"/>
      <c r="V159" s="93"/>
      <c r="W159" s="93"/>
      <c r="X159" s="93"/>
      <c r="Y159" s="93"/>
      <c r="Z159" s="93"/>
    </row>
    <row r="160">
      <c r="A160" s="93" t="str">
        <f>IFERROR(__xludf.DUMMYFUNCTION("""COMPUTED_VALUE"""),"KIT-#17108")</f>
        <v>KIT-#17108</v>
      </c>
      <c r="B160" s="94">
        <f>IFERROR(__xludf.DUMMYFUNCTION("""COMPUTED_VALUE"""),46146.0)</f>
        <v>46146</v>
      </c>
      <c r="C160" s="93" t="str">
        <f>IFERROR(__xludf.DUMMYFUNCTION("""COMPUTED_VALUE"""),"Kit Delivery")</f>
        <v>Kit Delivery</v>
      </c>
      <c r="D160" s="93">
        <f>IFERROR(__xludf.DUMMYFUNCTION("""COMPUTED_VALUE"""),1.0)</f>
        <v>1</v>
      </c>
      <c r="E160" s="93" t="str">
        <f>IFERROR(__xludf.DUMMYFUNCTION("""COMPUTED_VALUE"""),"Dauten")</f>
        <v>Dauten</v>
      </c>
      <c r="F160" s="93" t="str">
        <f>IFERROR(__xludf.DUMMYFUNCTION("""COMPUTED_VALUE"""),"413a")</f>
        <v>413a</v>
      </c>
      <c r="G160" s="93" t="str">
        <f>IFERROR(__xludf.DUMMYFUNCTION("""COMPUTED_VALUE"""),"Peter Watkins")</f>
        <v>Peter Watkins</v>
      </c>
      <c r="H160" s="93">
        <f>IFERROR(__xludf.DUMMYFUNCTION("""COMPUTED_VALUE"""),2.163337757E9)</f>
        <v>2163337757</v>
      </c>
      <c r="I160" s="93" t="str">
        <f>IFERROR(__xludf.DUMMYFUNCTION("""COMPUTED_VALUE"""),"10AM-12PM")</f>
        <v>10AM-12PM</v>
      </c>
      <c r="J160" s="93">
        <f>IFERROR(__xludf.DUMMYFUNCTION("""COMPUTED_VALUE"""),1.0)</f>
        <v>1</v>
      </c>
      <c r="K160" s="93" t="str">
        <f>IFERROR(__xludf.DUMMYFUNCTION("""COMPUTED_VALUE"""),"Complete")</f>
        <v>Complete</v>
      </c>
      <c r="L160" s="93"/>
      <c r="M160" s="94">
        <f>IFERROR(__xludf.DUMMYFUNCTION("""COMPUTED_VALUE"""),46123.67910879629)</f>
        <v>46123.67911</v>
      </c>
      <c r="N160" s="93">
        <f>IFERROR(__xludf.DUMMYFUNCTION("""COMPUTED_VALUE"""),83.0)</f>
        <v>83</v>
      </c>
      <c r="O160" s="93"/>
      <c r="P160" s="93" t="str">
        <f>IFERROR(__xludf.DUMMYFUNCTION("""COMPUTED_VALUE"""),"Kit Delivery")</f>
        <v>Kit Delivery</v>
      </c>
      <c r="Q160" s="93"/>
      <c r="R160" s="93"/>
      <c r="S160" s="95">
        <f>IFERROR(__xludf.DUMMYFUNCTION("""COMPUTED_VALUE"""),46123.70133101852)</f>
        <v>46123.70133</v>
      </c>
      <c r="T160" s="93"/>
      <c r="U160" s="93"/>
      <c r="V160" s="93"/>
      <c r="W160" s="93"/>
      <c r="X160" s="93"/>
      <c r="Y160" s="93"/>
      <c r="Z160" s="93"/>
    </row>
    <row r="161">
      <c r="A161" s="93" t="str">
        <f>IFERROR(__xludf.DUMMYFUNCTION("""COMPUTED_VALUE"""),"KIT-#17106")</f>
        <v>KIT-#17106</v>
      </c>
      <c r="B161" s="94">
        <f>IFERROR(__xludf.DUMMYFUNCTION("""COMPUTED_VALUE"""),46146.0)</f>
        <v>46146</v>
      </c>
      <c r="C161" s="93" t="str">
        <f>IFERROR(__xludf.DUMMYFUNCTION("""COMPUTED_VALUE"""),"Kit Delivery")</f>
        <v>Kit Delivery</v>
      </c>
      <c r="D161" s="93">
        <f>IFERROR(__xludf.DUMMYFUNCTION("""COMPUTED_VALUE"""),1.0)</f>
        <v>1</v>
      </c>
      <c r="E161" s="93" t="str">
        <f>IFERROR(__xludf.DUMMYFUNCTION("""COMPUTED_VALUE"""),"Hurd")</f>
        <v>Hurd</v>
      </c>
      <c r="F161" s="93">
        <f>IFERROR(__xludf.DUMMYFUNCTION("""COMPUTED_VALUE"""),111.0)</f>
        <v>111</v>
      </c>
      <c r="G161" s="93" t="str">
        <f>IFERROR(__xludf.DUMMYFUNCTION("""COMPUTED_VALUE"""),"Samson Nwobi")</f>
        <v>Samson Nwobi</v>
      </c>
      <c r="H161" s="93">
        <f>IFERROR(__xludf.DUMMYFUNCTION("""COMPUTED_VALUE"""),9.737052053E9)</f>
        <v>9737052053</v>
      </c>
      <c r="I161" s="93" t="str">
        <f>IFERROR(__xludf.DUMMYFUNCTION("""COMPUTED_VALUE"""),"9AM-11AM")</f>
        <v>9AM-11AM</v>
      </c>
      <c r="J161" s="93">
        <f>IFERROR(__xludf.DUMMYFUNCTION("""COMPUTED_VALUE"""),1.0)</f>
        <v>1</v>
      </c>
      <c r="K161" s="93" t="str">
        <f>IFERROR(__xludf.DUMMYFUNCTION("""COMPUTED_VALUE"""),"Complete")</f>
        <v>Complete</v>
      </c>
      <c r="L161" s="93"/>
      <c r="M161" s="94">
        <f>IFERROR(__xludf.DUMMYFUNCTION("""COMPUTED_VALUE"""),46123.6965625)</f>
        <v>46123.69656</v>
      </c>
      <c r="N161" s="93">
        <f>IFERROR(__xludf.DUMMYFUNCTION("""COMPUTED_VALUE"""),4.0)</f>
        <v>4</v>
      </c>
      <c r="O161" s="93"/>
      <c r="P161" s="93" t="str">
        <f>IFERROR(__xludf.DUMMYFUNCTION("""COMPUTED_VALUE"""),"Kit Delivery")</f>
        <v>Kit Delivery</v>
      </c>
      <c r="Q161" s="93"/>
      <c r="R161" s="93"/>
      <c r="S161" s="95">
        <f>IFERROR(__xludf.DUMMYFUNCTION("""COMPUTED_VALUE"""),46123.70133101852)</f>
        <v>46123.70133</v>
      </c>
      <c r="T161" s="93"/>
      <c r="U161" s="93"/>
      <c r="V161" s="93"/>
      <c r="W161" s="93"/>
      <c r="X161" s="93"/>
      <c r="Y161" s="93"/>
      <c r="Z161" s="93"/>
    </row>
    <row r="162">
      <c r="A162" s="93" t="str">
        <f>IFERROR(__xludf.DUMMYFUNCTION("""COMPUTED_VALUE"""),"KIT-#17376")</f>
        <v>KIT-#17376</v>
      </c>
      <c r="B162" s="94">
        <f>IFERROR(__xludf.DUMMYFUNCTION("""COMPUTED_VALUE"""),46146.0)</f>
        <v>46146</v>
      </c>
      <c r="C162" s="93" t="str">
        <f>IFERROR(__xludf.DUMMYFUNCTION("""COMPUTED_VALUE"""),"Kit Delivery")</f>
        <v>Kit Delivery</v>
      </c>
      <c r="D162" s="93">
        <f>IFERROR(__xludf.DUMMYFUNCTION("""COMPUTED_VALUE"""),1.0)</f>
        <v>1</v>
      </c>
      <c r="E162" s="93" t="str">
        <f>IFERROR(__xludf.DUMMYFUNCTION("""COMPUTED_VALUE"""),"Beaumont")</f>
        <v>Beaumont</v>
      </c>
      <c r="F162" s="93">
        <f>IFERROR(__xludf.DUMMYFUNCTION("""COMPUTED_VALUE"""),304.0)</f>
        <v>304</v>
      </c>
      <c r="G162" s="93" t="str">
        <f>IFERROR(__xludf.DUMMYFUNCTION("""COMPUTED_VALUE"""),"Scarlett Gerber")</f>
        <v>Scarlett Gerber</v>
      </c>
      <c r="H162" s="93">
        <f>IFERROR(__xludf.DUMMYFUNCTION("""COMPUTED_VALUE"""),2.038148546E9)</f>
        <v>2038148546</v>
      </c>
      <c r="I162" s="93" t="str">
        <f>IFERROR(__xludf.DUMMYFUNCTION("""COMPUTED_VALUE"""),"9AM-11AM")</f>
        <v>9AM-11AM</v>
      </c>
      <c r="J162" s="93">
        <f>IFERROR(__xludf.DUMMYFUNCTION("""COMPUTED_VALUE"""),2.0)</f>
        <v>2</v>
      </c>
      <c r="K162" s="93" t="str">
        <f>IFERROR(__xludf.DUMMYFUNCTION("""COMPUTED_VALUE"""),"Complete")</f>
        <v>Complete</v>
      </c>
      <c r="L162" s="93"/>
      <c r="M162" s="94">
        <f>IFERROR(__xludf.DUMMYFUNCTION("""COMPUTED_VALUE"""),46123.75918981481)</f>
        <v>46123.75919</v>
      </c>
      <c r="N162" s="93">
        <f>IFERROR(__xludf.DUMMYFUNCTION("""COMPUTED_VALUE"""),59.0)</f>
        <v>59</v>
      </c>
      <c r="O162" s="93"/>
      <c r="P162" s="93" t="str">
        <f>IFERROR(__xludf.DUMMYFUNCTION("""COMPUTED_VALUE"""),"Kit Delivery")</f>
        <v>Kit Delivery</v>
      </c>
      <c r="Q162" s="93"/>
      <c r="R162" s="93"/>
      <c r="S162" s="95">
        <f>IFERROR(__xludf.DUMMYFUNCTION("""COMPUTED_VALUE"""),46123.796273148146)</f>
        <v>46123.79627</v>
      </c>
      <c r="T162" s="93"/>
      <c r="U162" s="93"/>
      <c r="V162" s="93"/>
      <c r="W162" s="93"/>
      <c r="X162" s="93"/>
      <c r="Y162" s="93"/>
      <c r="Z162" s="93"/>
    </row>
    <row r="163">
      <c r="A163" s="93" t="str">
        <f>IFERROR(__xludf.DUMMYFUNCTION("""COMPUTED_VALUE"""),"KIT-#17050")</f>
        <v>KIT-#17050</v>
      </c>
      <c r="B163" s="94">
        <f>IFERROR(__xludf.DUMMYFUNCTION("""COMPUTED_VALUE"""),46146.0)</f>
        <v>46146</v>
      </c>
      <c r="C163" s="93" t="str">
        <f>IFERROR(__xludf.DUMMYFUNCTION("""COMPUTED_VALUE"""),"Kit Delivery")</f>
        <v>Kit Delivery</v>
      </c>
      <c r="D163" s="93">
        <f>IFERROR(__xludf.DUMMYFUNCTION("""COMPUTED_VALUE"""),1.0)</f>
        <v>1</v>
      </c>
      <c r="E163" s="93" t="str">
        <f>IFERROR(__xludf.DUMMYFUNCTION("""COMPUTED_VALUE"""),"Lee")</f>
        <v>Lee</v>
      </c>
      <c r="F163" s="93">
        <f>IFERROR(__xludf.DUMMYFUNCTION("""COMPUTED_VALUE"""),10.0)</f>
        <v>10</v>
      </c>
      <c r="G163" s="93" t="str">
        <f>IFERROR(__xludf.DUMMYFUNCTION("""COMPUTED_VALUE"""),"Harley Wang")</f>
        <v>Harley Wang</v>
      </c>
      <c r="H163" s="93">
        <f>IFERROR(__xludf.DUMMYFUNCTION("""COMPUTED_VALUE"""),3.146578093E9)</f>
        <v>3146578093</v>
      </c>
      <c r="I163" s="93" t="str">
        <f>IFERROR(__xludf.DUMMYFUNCTION("""COMPUTED_VALUE"""),"3PM-5PM")</f>
        <v>3PM-5PM</v>
      </c>
      <c r="J163" s="93">
        <f>IFERROR(__xludf.DUMMYFUNCTION("""COMPUTED_VALUE"""),1.0)</f>
        <v>1</v>
      </c>
      <c r="K163" s="93" t="str">
        <f>IFERROR(__xludf.DUMMYFUNCTION("""COMPUTED_VALUE"""),"Complete")</f>
        <v>Complete</v>
      </c>
      <c r="L163" s="93"/>
      <c r="M163" s="94">
        <f>IFERROR(__xludf.DUMMYFUNCTION("""COMPUTED_VALUE"""),46123.763391203705)</f>
        <v>46123.76339</v>
      </c>
      <c r="N163" s="93">
        <f>IFERROR(__xludf.DUMMYFUNCTION("""COMPUTED_VALUE"""),62.0)</f>
        <v>62</v>
      </c>
      <c r="O163" s="93"/>
      <c r="P163" s="93" t="str">
        <f>IFERROR(__xludf.DUMMYFUNCTION("""COMPUTED_VALUE"""),"Kit Delivery")</f>
        <v>Kit Delivery</v>
      </c>
      <c r="Q163" s="93"/>
      <c r="R163" s="93"/>
      <c r="S163" s="95">
        <f>IFERROR(__xludf.DUMMYFUNCTION("""COMPUTED_VALUE"""),46123.796273148146)</f>
        <v>46123.79627</v>
      </c>
      <c r="T163" s="93"/>
      <c r="U163" s="93"/>
      <c r="V163" s="93"/>
      <c r="W163" s="93"/>
      <c r="X163" s="93"/>
      <c r="Y163" s="93"/>
      <c r="Z163" s="93"/>
    </row>
    <row r="164">
      <c r="A164" s="93" t="str">
        <f>IFERROR(__xludf.DUMMYFUNCTION("""COMPUTED_VALUE"""),"KIT-#17139")</f>
        <v>KIT-#17139</v>
      </c>
      <c r="B164" s="94">
        <f>IFERROR(__xludf.DUMMYFUNCTION("""COMPUTED_VALUE"""),46146.0)</f>
        <v>46146</v>
      </c>
      <c r="C164" s="93" t="str">
        <f>IFERROR(__xludf.DUMMYFUNCTION("""COMPUTED_VALUE"""),"Kit Delivery")</f>
        <v>Kit Delivery</v>
      </c>
      <c r="D164" s="93">
        <f>IFERROR(__xludf.DUMMYFUNCTION("""COMPUTED_VALUE"""),1.0)</f>
        <v>1</v>
      </c>
      <c r="E164" s="93" t="str">
        <f>IFERROR(__xludf.DUMMYFUNCTION("""COMPUTED_VALUE"""),"Lee")</f>
        <v>Lee</v>
      </c>
      <c r="F164" s="93">
        <f>IFERROR(__xludf.DUMMYFUNCTION("""COMPUTED_VALUE"""),320.0)</f>
        <v>320</v>
      </c>
      <c r="G164" s="93" t="str">
        <f>IFERROR(__xludf.DUMMYFUNCTION("""COMPUTED_VALUE"""),"YujiaDeng")</f>
        <v>YujiaDeng</v>
      </c>
      <c r="H164" s="93">
        <f>IFERROR(__xludf.DUMMYFUNCTION("""COMPUTED_VALUE"""),3.146590828E9)</f>
        <v>3146590828</v>
      </c>
      <c r="I164" s="93" t="str">
        <f>IFERROR(__xludf.DUMMYFUNCTION("""COMPUTED_VALUE"""),"9AM-11AM")</f>
        <v>9AM-11AM</v>
      </c>
      <c r="J164" s="93">
        <f>IFERROR(__xludf.DUMMYFUNCTION("""COMPUTED_VALUE"""),1.0)</f>
        <v>1</v>
      </c>
      <c r="K164" s="93" t="str">
        <f>IFERROR(__xludf.DUMMYFUNCTION("""COMPUTED_VALUE"""),"Complete")</f>
        <v>Complete</v>
      </c>
      <c r="L164" s="93"/>
      <c r="M164" s="94">
        <f>IFERROR(__xludf.DUMMYFUNCTION("""COMPUTED_VALUE"""),46123.77060185185)</f>
        <v>46123.7706</v>
      </c>
      <c r="N164" s="93">
        <f>IFERROR(__xludf.DUMMYFUNCTION("""COMPUTED_VALUE"""),69.0)</f>
        <v>69</v>
      </c>
      <c r="O164" s="93"/>
      <c r="P164" s="93" t="str">
        <f>IFERROR(__xludf.DUMMYFUNCTION("""COMPUTED_VALUE"""),"Kit Delivery")</f>
        <v>Kit Delivery</v>
      </c>
      <c r="Q164" s="93"/>
      <c r="R164" s="93"/>
      <c r="S164" s="95">
        <f>IFERROR(__xludf.DUMMYFUNCTION("""COMPUTED_VALUE"""),46123.796273148146)</f>
        <v>46123.79627</v>
      </c>
      <c r="T164" s="93"/>
      <c r="U164" s="93"/>
      <c r="V164" s="93"/>
      <c r="W164" s="93"/>
      <c r="X164" s="93"/>
      <c r="Y164" s="93"/>
      <c r="Z164" s="93"/>
    </row>
    <row r="165">
      <c r="A165" s="93" t="str">
        <f>IFERROR(__xludf.DUMMYFUNCTION("""COMPUTED_VALUE"""),"KIT-#17377")</f>
        <v>KIT-#17377</v>
      </c>
      <c r="B165" s="94">
        <f>IFERROR(__xludf.DUMMYFUNCTION("""COMPUTED_VALUE"""),46146.0)</f>
        <v>46146</v>
      </c>
      <c r="C165" s="93" t="str">
        <f>IFERROR(__xludf.DUMMYFUNCTION("""COMPUTED_VALUE"""),"Kit Delivery")</f>
        <v>Kit Delivery</v>
      </c>
      <c r="D165" s="93">
        <f>IFERROR(__xludf.DUMMYFUNCTION("""COMPUTED_VALUE"""),1.0)</f>
        <v>1</v>
      </c>
      <c r="E165" s="93" t="str">
        <f>IFERROR(__xludf.DUMMYFUNCTION("""COMPUTED_VALUE"""),"Lee")</f>
        <v>Lee</v>
      </c>
      <c r="F165" s="93">
        <f>IFERROR(__xludf.DUMMYFUNCTION("""COMPUTED_VALUE"""),109.0)</f>
        <v>109</v>
      </c>
      <c r="G165" s="93" t="str">
        <f>IFERROR(__xludf.DUMMYFUNCTION("""COMPUTED_VALUE"""),"Nia Lawrence")</f>
        <v>Nia Lawrence</v>
      </c>
      <c r="H165" s="93">
        <f>IFERROR(__xludf.DUMMYFUNCTION("""COMPUTED_VALUE"""),9.175769331E9)</f>
        <v>9175769331</v>
      </c>
      <c r="I165" s="93" t="str">
        <f>IFERROR(__xludf.DUMMYFUNCTION("""COMPUTED_VALUE"""),"9AM-11AM")</f>
        <v>9AM-11AM</v>
      </c>
      <c r="J165" s="93">
        <f>IFERROR(__xludf.DUMMYFUNCTION("""COMPUTED_VALUE"""),1.0)</f>
        <v>1</v>
      </c>
      <c r="K165" s="93" t="str">
        <f>IFERROR(__xludf.DUMMYFUNCTION("""COMPUTED_VALUE"""),"Complete")</f>
        <v>Complete</v>
      </c>
      <c r="L165" s="93"/>
      <c r="M165" s="94">
        <f>IFERROR(__xludf.DUMMYFUNCTION("""COMPUTED_VALUE"""),46123.77170138889)</f>
        <v>46123.7717</v>
      </c>
      <c r="N165" s="93">
        <f>IFERROR(__xludf.DUMMYFUNCTION("""COMPUTED_VALUE"""),63.0)</f>
        <v>63</v>
      </c>
      <c r="O165" s="93"/>
      <c r="P165" s="93" t="str">
        <f>IFERROR(__xludf.DUMMYFUNCTION("""COMPUTED_VALUE"""),"Kit Delivery")</f>
        <v>Kit Delivery</v>
      </c>
      <c r="Q165" s="93"/>
      <c r="R165" s="93"/>
      <c r="S165" s="95">
        <f>IFERROR(__xludf.DUMMYFUNCTION("""COMPUTED_VALUE"""),46123.796273148146)</f>
        <v>46123.79627</v>
      </c>
      <c r="T165" s="93"/>
      <c r="U165" s="93"/>
      <c r="V165" s="93"/>
      <c r="W165" s="93"/>
      <c r="X165" s="93"/>
      <c r="Y165" s="93"/>
      <c r="Z165" s="93"/>
    </row>
    <row r="166">
      <c r="A166" s="93" t="str">
        <f>IFERROR(__xludf.DUMMYFUNCTION("""COMPUTED_VALUE"""),"KIT-#17128")</f>
        <v>KIT-#17128</v>
      </c>
      <c r="B166" s="94">
        <f>IFERROR(__xludf.DUMMYFUNCTION("""COMPUTED_VALUE"""),46146.0)</f>
        <v>46146</v>
      </c>
      <c r="C166" s="93" t="str">
        <f>IFERROR(__xludf.DUMMYFUNCTION("""COMPUTED_VALUE"""),"Kit Delivery")</f>
        <v>Kit Delivery</v>
      </c>
      <c r="D166" s="93">
        <f>IFERROR(__xludf.DUMMYFUNCTION("""COMPUTED_VALUE"""),1.0)</f>
        <v>1</v>
      </c>
      <c r="E166" s="93" t="str">
        <f>IFERROR(__xludf.DUMMYFUNCTION("""COMPUTED_VALUE"""),"Myers")</f>
        <v>Myers</v>
      </c>
      <c r="F166" s="93">
        <f>IFERROR(__xludf.DUMMYFUNCTION("""COMPUTED_VALUE"""),311.0)</f>
        <v>311</v>
      </c>
      <c r="G166" s="93" t="str">
        <f>IFERROR(__xludf.DUMMYFUNCTION("""COMPUTED_VALUE"""),"Emmanuel Amalu")</f>
        <v>Emmanuel Amalu</v>
      </c>
      <c r="H166" s="93">
        <f>IFERROR(__xludf.DUMMYFUNCTION("""COMPUTED_VALUE"""),7.135430173E9)</f>
        <v>7135430173</v>
      </c>
      <c r="I166" s="93" t="str">
        <f>IFERROR(__xludf.DUMMYFUNCTION("""COMPUTED_VALUE"""),"3PM-5PM")</f>
        <v>3PM-5PM</v>
      </c>
      <c r="J166" s="93">
        <f>IFERROR(__xludf.DUMMYFUNCTION("""COMPUTED_VALUE"""),1.0)</f>
        <v>1</v>
      </c>
      <c r="K166" s="93" t="str">
        <f>IFERROR(__xludf.DUMMYFUNCTION("""COMPUTED_VALUE"""),"Complete")</f>
        <v>Complete</v>
      </c>
      <c r="L166" s="93"/>
      <c r="M166" s="94">
        <f>IFERROR(__xludf.DUMMYFUNCTION("""COMPUTED_VALUE"""),46123.79549768519)</f>
        <v>46123.7955</v>
      </c>
      <c r="N166" s="93">
        <f>IFERROR(__xludf.DUMMYFUNCTION("""COMPUTED_VALUE"""),12.0)</f>
        <v>12</v>
      </c>
      <c r="O166" s="93"/>
      <c r="P166" s="93" t="str">
        <f>IFERROR(__xludf.DUMMYFUNCTION("""COMPUTED_VALUE"""),"Kit Delivery")</f>
        <v>Kit Delivery</v>
      </c>
      <c r="Q166" s="93"/>
      <c r="R166" s="93"/>
      <c r="S166" s="95">
        <f>IFERROR(__xludf.DUMMYFUNCTION("""COMPUTED_VALUE"""),46123.796273148146)</f>
        <v>46123.79627</v>
      </c>
      <c r="T166" s="93"/>
      <c r="U166" s="93"/>
      <c r="V166" s="93"/>
      <c r="W166" s="93"/>
      <c r="X166" s="93"/>
      <c r="Y166" s="93"/>
      <c r="Z166" s="93"/>
    </row>
    <row r="167">
      <c r="A167" s="93" t="str">
        <f>IFERROR(__xludf.DUMMYFUNCTION("""COMPUTED_VALUE"""),"KIT-#17349")</f>
        <v>KIT-#17349</v>
      </c>
      <c r="B167" s="94">
        <f>IFERROR(__xludf.DUMMYFUNCTION("""COMPUTED_VALUE"""),46146.0)</f>
        <v>46146</v>
      </c>
      <c r="C167" s="93" t="str">
        <f>IFERROR(__xludf.DUMMYFUNCTION("""COMPUTED_VALUE"""),"Kit Delivery")</f>
        <v>Kit Delivery</v>
      </c>
      <c r="D167" s="93">
        <f>IFERROR(__xludf.DUMMYFUNCTION("""COMPUTED_VALUE"""),1.0)</f>
        <v>1</v>
      </c>
      <c r="E167" s="93" t="str">
        <f>IFERROR(__xludf.DUMMYFUNCTION("""COMPUTED_VALUE"""),"Lien")</f>
        <v>Lien</v>
      </c>
      <c r="F167" s="93">
        <f>IFERROR(__xludf.DUMMYFUNCTION("""COMPUTED_VALUE"""),3330.0)</f>
        <v>3330</v>
      </c>
      <c r="G167" s="93" t="str">
        <f>IFERROR(__xludf.DUMMYFUNCTION("""COMPUTED_VALUE"""),"Casey Manno")</f>
        <v>Casey Manno</v>
      </c>
      <c r="H167" s="93">
        <f>IFERROR(__xludf.DUMMYFUNCTION("""COMPUTED_VALUE"""),3.054318757E9)</f>
        <v>3054318757</v>
      </c>
      <c r="I167" s="93" t="str">
        <f>IFERROR(__xludf.DUMMYFUNCTION("""COMPUTED_VALUE"""),"10AM-12PM")</f>
        <v>10AM-12PM</v>
      </c>
      <c r="J167" s="93">
        <f>IFERROR(__xludf.DUMMYFUNCTION("""COMPUTED_VALUE"""),1.0)</f>
        <v>1</v>
      </c>
      <c r="K167" s="93" t="str">
        <f>IFERROR(__xludf.DUMMYFUNCTION("""COMPUTED_VALUE"""),"Complete")</f>
        <v>Complete</v>
      </c>
      <c r="L167" s="93"/>
      <c r="M167" s="94">
        <f>IFERROR(__xludf.DUMMYFUNCTION("""COMPUTED_VALUE"""),46123.81710648148)</f>
        <v>46123.81711</v>
      </c>
      <c r="N167" s="93">
        <f>IFERROR(__xludf.DUMMYFUNCTION("""COMPUTED_VALUE"""),167.0)</f>
        <v>167</v>
      </c>
      <c r="O167" s="93"/>
      <c r="P167" s="93" t="str">
        <f>IFERROR(__xludf.DUMMYFUNCTION("""COMPUTED_VALUE"""),"Kit Delivery")</f>
        <v>Kit Delivery</v>
      </c>
      <c r="Q167" s="93"/>
      <c r="R167" s="93"/>
      <c r="S167" s="95">
        <f>IFERROR(__xludf.DUMMYFUNCTION("""COMPUTED_VALUE"""),46124.4096875)</f>
        <v>46124.40969</v>
      </c>
      <c r="T167" s="93"/>
      <c r="U167" s="93"/>
      <c r="V167" s="93"/>
      <c r="W167" s="93"/>
      <c r="X167" s="93"/>
      <c r="Y167" s="93"/>
      <c r="Z167" s="93"/>
    </row>
    <row r="168">
      <c r="A168" s="93" t="str">
        <f>IFERROR(__xludf.DUMMYFUNCTION("""COMPUTED_VALUE"""),"KIT-#17181")</f>
        <v>KIT-#17181</v>
      </c>
      <c r="B168" s="94">
        <f>IFERROR(__xludf.DUMMYFUNCTION("""COMPUTED_VALUE"""),46146.0)</f>
        <v>46146</v>
      </c>
      <c r="C168" s="93" t="str">
        <f>IFERROR(__xludf.DUMMYFUNCTION("""COMPUTED_VALUE"""),"Kit Delivery")</f>
        <v>Kit Delivery</v>
      </c>
      <c r="D168" s="93">
        <f>IFERROR(__xludf.DUMMYFUNCTION("""COMPUTED_VALUE"""),1.0)</f>
        <v>1</v>
      </c>
      <c r="E168" s="93" t="str">
        <f>IFERROR(__xludf.DUMMYFUNCTION("""COMPUTED_VALUE"""),"Lien")</f>
        <v>Lien</v>
      </c>
      <c r="F168" s="93">
        <f>IFERROR(__xludf.DUMMYFUNCTION("""COMPUTED_VALUE"""),3310.0)</f>
        <v>3310</v>
      </c>
      <c r="G168" s="93" t="str">
        <f>IFERROR(__xludf.DUMMYFUNCTION("""COMPUTED_VALUE"""),"Lauren Lee Slovin")</f>
        <v>Lauren Lee Slovin</v>
      </c>
      <c r="H168" s="93">
        <f>IFERROR(__xludf.DUMMYFUNCTION("""COMPUTED_VALUE"""),2.039136275E9)</f>
        <v>2039136275</v>
      </c>
      <c r="I168" s="93" t="str">
        <f>IFERROR(__xludf.DUMMYFUNCTION("""COMPUTED_VALUE"""),"9AM-11AM")</f>
        <v>9AM-11AM</v>
      </c>
      <c r="J168" s="93">
        <f>IFERROR(__xludf.DUMMYFUNCTION("""COMPUTED_VALUE"""),1.0)</f>
        <v>1</v>
      </c>
      <c r="K168" s="93" t="str">
        <f>IFERROR(__xludf.DUMMYFUNCTION("""COMPUTED_VALUE"""),"Complete")</f>
        <v>Complete</v>
      </c>
      <c r="L168" s="93"/>
      <c r="M168" s="94">
        <f>IFERROR(__xludf.DUMMYFUNCTION("""COMPUTED_VALUE"""),46123.81862268518)</f>
        <v>46123.81862</v>
      </c>
      <c r="N168" s="93">
        <f>IFERROR(__xludf.DUMMYFUNCTION("""COMPUTED_VALUE"""),160.0)</f>
        <v>160</v>
      </c>
      <c r="O168" s="93"/>
      <c r="P168" s="93" t="str">
        <f>IFERROR(__xludf.DUMMYFUNCTION("""COMPUTED_VALUE"""),"Kit Delivery")</f>
        <v>Kit Delivery</v>
      </c>
      <c r="Q168" s="93"/>
      <c r="R168" s="93"/>
      <c r="S168" s="95">
        <f>IFERROR(__xludf.DUMMYFUNCTION("""COMPUTED_VALUE"""),46124.4096875)</f>
        <v>46124.40969</v>
      </c>
      <c r="T168" s="93"/>
      <c r="U168" s="93"/>
      <c r="V168" s="93"/>
      <c r="W168" s="93"/>
      <c r="X168" s="93"/>
      <c r="Y168" s="93"/>
      <c r="Z168" s="93"/>
    </row>
    <row r="169">
      <c r="A169" s="93" t="str">
        <f>IFERROR(__xludf.DUMMYFUNCTION("""COMPUTED_VALUE"""),"KIT-#17120")</f>
        <v>KIT-#17120</v>
      </c>
      <c r="B169" s="94">
        <f>IFERROR(__xludf.DUMMYFUNCTION("""COMPUTED_VALUE"""),46146.0)</f>
        <v>46146</v>
      </c>
      <c r="C169" s="93" t="str">
        <f>IFERROR(__xludf.DUMMYFUNCTION("""COMPUTED_VALUE"""),"Kit Delivery")</f>
        <v>Kit Delivery</v>
      </c>
      <c r="D169" s="93">
        <f>IFERROR(__xludf.DUMMYFUNCTION("""COMPUTED_VALUE"""),1.0)</f>
        <v>1</v>
      </c>
      <c r="E169" s="93" t="str">
        <f>IFERROR(__xludf.DUMMYFUNCTION("""COMPUTED_VALUE"""),"Eliot A")</f>
        <v>Eliot A</v>
      </c>
      <c r="F169" s="93">
        <f>IFERROR(__xludf.DUMMYFUNCTION("""COMPUTED_VALUE"""),1043.0)</f>
        <v>1043</v>
      </c>
      <c r="G169" s="93" t="str">
        <f>IFERROR(__xludf.DUMMYFUNCTION("""COMPUTED_VALUE"""),"Ella Amit")</f>
        <v>Ella Amit</v>
      </c>
      <c r="H169" s="93">
        <f>IFERROR(__xludf.DUMMYFUNCTION("""COMPUTED_VALUE"""),8.476124001E9)</f>
        <v>8476124001</v>
      </c>
      <c r="I169" s="93" t="str">
        <f>IFERROR(__xludf.DUMMYFUNCTION("""COMPUTED_VALUE"""),"12PM-2PM")</f>
        <v>12PM-2PM</v>
      </c>
      <c r="J169" s="93">
        <f>IFERROR(__xludf.DUMMYFUNCTION("""COMPUTED_VALUE"""),1.0)</f>
        <v>1</v>
      </c>
      <c r="K169" s="93" t="str">
        <f>IFERROR(__xludf.DUMMYFUNCTION("""COMPUTED_VALUE"""),"Complete")</f>
        <v>Complete</v>
      </c>
      <c r="L169" s="93"/>
      <c r="M169" s="94">
        <f>IFERROR(__xludf.DUMMYFUNCTION("""COMPUTED_VALUE"""),46123.88105324074)</f>
        <v>46123.88105</v>
      </c>
      <c r="N169" s="93">
        <f>IFERROR(__xludf.DUMMYFUNCTION("""COMPUTED_VALUE"""),18.0)</f>
        <v>18</v>
      </c>
      <c r="O169" s="93"/>
      <c r="P169" s="93" t="str">
        <f>IFERROR(__xludf.DUMMYFUNCTION("""COMPUTED_VALUE"""),"Kit Delivery")</f>
        <v>Kit Delivery</v>
      </c>
      <c r="Q169" s="93"/>
      <c r="R169" s="93"/>
      <c r="S169" s="95">
        <f>IFERROR(__xludf.DUMMYFUNCTION("""COMPUTED_VALUE"""),46124.4096875)</f>
        <v>46124.40969</v>
      </c>
      <c r="T169" s="93"/>
      <c r="U169" s="93"/>
      <c r="V169" s="93"/>
      <c r="W169" s="93"/>
      <c r="X169" s="93"/>
      <c r="Y169" s="93"/>
      <c r="Z169" s="93"/>
    </row>
    <row r="170">
      <c r="A170" s="93" t="str">
        <f>IFERROR(__xludf.DUMMYFUNCTION("""COMPUTED_VALUE"""),"KIT-#17113")</f>
        <v>KIT-#17113</v>
      </c>
      <c r="B170" s="94">
        <f>IFERROR(__xludf.DUMMYFUNCTION("""COMPUTED_VALUE"""),46146.0)</f>
        <v>46146</v>
      </c>
      <c r="C170" s="93" t="str">
        <f>IFERROR(__xludf.DUMMYFUNCTION("""COMPUTED_VALUE"""),"Kit Delivery")</f>
        <v>Kit Delivery</v>
      </c>
      <c r="D170" s="93">
        <f>IFERROR(__xludf.DUMMYFUNCTION("""COMPUTED_VALUE"""),1.0)</f>
        <v>1</v>
      </c>
      <c r="E170" s="93" t="str">
        <f>IFERROR(__xludf.DUMMYFUNCTION("""COMPUTED_VALUE"""),"Umrath")</f>
        <v>Umrath</v>
      </c>
      <c r="F170" s="93">
        <f>IFERROR(__xludf.DUMMYFUNCTION("""COMPUTED_VALUE"""),3314.0)</f>
        <v>3314</v>
      </c>
      <c r="G170" s="93" t="str">
        <f>IFERROR(__xludf.DUMMYFUNCTION("""COMPUTED_VALUE"""),"Andre Romero-Carey")</f>
        <v>Andre Romero-Carey</v>
      </c>
      <c r="H170" s="93">
        <f>IFERROR(__xludf.DUMMYFUNCTION("""COMPUTED_VALUE"""),5.054149711E9)</f>
        <v>5054149711</v>
      </c>
      <c r="I170" s="93" t="str">
        <f>IFERROR(__xludf.DUMMYFUNCTION("""COMPUTED_VALUE"""),"11AM-1PM")</f>
        <v>11AM-1PM</v>
      </c>
      <c r="J170" s="93">
        <f>IFERROR(__xludf.DUMMYFUNCTION("""COMPUTED_VALUE"""),1.0)</f>
        <v>1</v>
      </c>
      <c r="K170" s="93" t="str">
        <f>IFERROR(__xludf.DUMMYFUNCTION("""COMPUTED_VALUE"""),"Complete")</f>
        <v>Complete</v>
      </c>
      <c r="L170" s="93"/>
      <c r="M170" s="94">
        <f>IFERROR(__xludf.DUMMYFUNCTION("""COMPUTED_VALUE"""),46123.89366898148)</f>
        <v>46123.89367</v>
      </c>
      <c r="N170" s="93">
        <f>IFERROR(__xludf.DUMMYFUNCTION("""COMPUTED_VALUE"""),115.0)</f>
        <v>115</v>
      </c>
      <c r="O170" s="93"/>
      <c r="P170" s="93" t="str">
        <f>IFERROR(__xludf.DUMMYFUNCTION("""COMPUTED_VALUE"""),"Kit Delivery")</f>
        <v>Kit Delivery</v>
      </c>
      <c r="Q170" s="93"/>
      <c r="R170" s="93"/>
      <c r="S170" s="95">
        <f>IFERROR(__xludf.DUMMYFUNCTION("""COMPUTED_VALUE"""),46124.4096875)</f>
        <v>46124.40969</v>
      </c>
      <c r="T170" s="93"/>
      <c r="U170" s="93"/>
      <c r="V170" s="93"/>
      <c r="W170" s="93"/>
      <c r="X170" s="93"/>
      <c r="Y170" s="93"/>
      <c r="Z170" s="93"/>
    </row>
    <row r="171">
      <c r="A171" s="93" t="str">
        <f>IFERROR(__xludf.DUMMYFUNCTION("""COMPUTED_VALUE"""),"KIT-#17255")</f>
        <v>KIT-#17255</v>
      </c>
      <c r="B171" s="94">
        <f>IFERROR(__xludf.DUMMYFUNCTION("""COMPUTED_VALUE"""),46146.0)</f>
        <v>46146</v>
      </c>
      <c r="C171" s="93" t="str">
        <f>IFERROR(__xludf.DUMMYFUNCTION("""COMPUTED_VALUE"""),"Kit Delivery")</f>
        <v>Kit Delivery</v>
      </c>
      <c r="D171" s="93">
        <f>IFERROR(__xludf.DUMMYFUNCTION("""COMPUTED_VALUE"""),1.0)</f>
        <v>1</v>
      </c>
      <c r="E171" s="93" t="str">
        <f>IFERROR(__xludf.DUMMYFUNCTION("""COMPUTED_VALUE"""),"Umrath")</f>
        <v>Umrath</v>
      </c>
      <c r="F171" s="93">
        <f>IFERROR(__xludf.DUMMYFUNCTION("""COMPUTED_VALUE"""),3326.0)</f>
        <v>3326</v>
      </c>
      <c r="G171" s="93" t="str">
        <f>IFERROR(__xludf.DUMMYFUNCTION("""COMPUTED_VALUE"""),"Chloe Dehn")</f>
        <v>Chloe Dehn</v>
      </c>
      <c r="H171" s="93">
        <f>IFERROR(__xludf.DUMMYFUNCTION("""COMPUTED_VALUE"""),7.032232446E9)</f>
        <v>7032232446</v>
      </c>
      <c r="I171" s="93" t="str">
        <f>IFERROR(__xludf.DUMMYFUNCTION("""COMPUTED_VALUE"""),"9AM-11AM")</f>
        <v>9AM-11AM</v>
      </c>
      <c r="J171" s="93">
        <f>IFERROR(__xludf.DUMMYFUNCTION("""COMPUTED_VALUE"""),3.0)</f>
        <v>3</v>
      </c>
      <c r="K171" s="93" t="str">
        <f>IFERROR(__xludf.DUMMYFUNCTION("""COMPUTED_VALUE"""),"Complete")</f>
        <v>Complete</v>
      </c>
      <c r="L171" s="93"/>
      <c r="M171" s="94">
        <f>IFERROR(__xludf.DUMMYFUNCTION("""COMPUTED_VALUE"""),46123.8987037037)</f>
        <v>46123.8987</v>
      </c>
      <c r="N171" s="93">
        <f>IFERROR(__xludf.DUMMYFUNCTION("""COMPUTED_VALUE"""),119.0)</f>
        <v>119</v>
      </c>
      <c r="O171" s="93"/>
      <c r="P171" s="93" t="str">
        <f>IFERROR(__xludf.DUMMYFUNCTION("""COMPUTED_VALUE"""),"Kit Delivery")</f>
        <v>Kit Delivery</v>
      </c>
      <c r="Q171" s="93"/>
      <c r="R171" s="93"/>
      <c r="S171" s="95">
        <f>IFERROR(__xludf.DUMMYFUNCTION("""COMPUTED_VALUE"""),46124.4096875)</f>
        <v>46124.40969</v>
      </c>
      <c r="T171" s="93"/>
      <c r="U171" s="93"/>
      <c r="V171" s="93"/>
      <c r="W171" s="93"/>
      <c r="X171" s="93"/>
      <c r="Y171" s="93"/>
      <c r="Z171" s="93"/>
    </row>
    <row r="172">
      <c r="A172" s="93" t="str">
        <f>IFERROR(__xludf.DUMMYFUNCTION("""COMPUTED_VALUE"""),"KIT-#16829")</f>
        <v>KIT-#16829</v>
      </c>
      <c r="B172" s="94">
        <f>IFERROR(__xludf.DUMMYFUNCTION("""COMPUTED_VALUE"""),46146.0)</f>
        <v>46146</v>
      </c>
      <c r="C172" s="93" t="str">
        <f>IFERROR(__xludf.DUMMYFUNCTION("""COMPUTED_VALUE"""),"Kit Delivery")</f>
        <v>Kit Delivery</v>
      </c>
      <c r="D172" s="93">
        <f>IFERROR(__xludf.DUMMYFUNCTION("""COMPUTED_VALUE"""),1.0)</f>
        <v>1</v>
      </c>
      <c r="E172" s="93" t="str">
        <f>IFERROR(__xludf.DUMMYFUNCTION("""COMPUTED_VALUE"""),"Umrath")</f>
        <v>Umrath</v>
      </c>
      <c r="F172" s="93">
        <f>IFERROR(__xludf.DUMMYFUNCTION("""COMPUTED_VALUE"""),2207.0)</f>
        <v>2207</v>
      </c>
      <c r="G172" s="93" t="str">
        <f>IFERROR(__xludf.DUMMYFUNCTION("""COMPUTED_VALUE"""),"Sarah Yan")</f>
        <v>Sarah Yan</v>
      </c>
      <c r="H172" s="93">
        <f>IFERROR(__xludf.DUMMYFUNCTION("""COMPUTED_VALUE"""),2.146866499E9)</f>
        <v>2146866499</v>
      </c>
      <c r="I172" s="93" t="str">
        <f>IFERROR(__xludf.DUMMYFUNCTION("""COMPUTED_VALUE"""),"3PM-5PM")</f>
        <v>3PM-5PM</v>
      </c>
      <c r="J172" s="93">
        <f>IFERROR(__xludf.DUMMYFUNCTION("""COMPUTED_VALUE"""),1.0)</f>
        <v>1</v>
      </c>
      <c r="K172" s="93" t="str">
        <f>IFERROR(__xludf.DUMMYFUNCTION("""COMPUTED_VALUE"""),"Complete")</f>
        <v>Complete</v>
      </c>
      <c r="L172" s="93"/>
      <c r="M172" s="94">
        <f>IFERROR(__xludf.DUMMYFUNCTION("""COMPUTED_VALUE"""),46123.90074074074)</f>
        <v>46123.90074</v>
      </c>
      <c r="N172" s="93">
        <f>IFERROR(__xludf.DUMMYFUNCTION("""COMPUTED_VALUE"""),110.0)</f>
        <v>110</v>
      </c>
      <c r="O172" s="93"/>
      <c r="P172" s="93" t="str">
        <f>IFERROR(__xludf.DUMMYFUNCTION("""COMPUTED_VALUE"""),"Kit Delivery")</f>
        <v>Kit Delivery</v>
      </c>
      <c r="Q172" s="93"/>
      <c r="R172" s="93"/>
      <c r="S172" s="95">
        <f>IFERROR(__xludf.DUMMYFUNCTION("""COMPUTED_VALUE"""),46124.4096875)</f>
        <v>46124.40969</v>
      </c>
      <c r="T172" s="93"/>
      <c r="U172" s="93"/>
      <c r="V172" s="93"/>
      <c r="W172" s="93"/>
      <c r="X172" s="93"/>
      <c r="Y172" s="93"/>
      <c r="Z172" s="93"/>
    </row>
    <row r="173">
      <c r="A173" s="93" t="str">
        <f>IFERROR(__xludf.DUMMYFUNCTION("""COMPUTED_VALUE"""),"KIT-#17406")</f>
        <v>KIT-#17406</v>
      </c>
      <c r="B173" s="94">
        <f>IFERROR(__xludf.DUMMYFUNCTION("""COMPUTED_VALUE"""),46146.0)</f>
        <v>46146</v>
      </c>
      <c r="C173" s="93" t="str">
        <f>IFERROR(__xludf.DUMMYFUNCTION("""COMPUTED_VALUE"""),"Kit Delivery")</f>
        <v>Kit Delivery</v>
      </c>
      <c r="D173" s="93">
        <f>IFERROR(__xludf.DUMMYFUNCTION("""COMPUTED_VALUE"""),1.0)</f>
        <v>1</v>
      </c>
      <c r="E173" s="93" t="str">
        <f>IFERROR(__xludf.DUMMYFUNCTION("""COMPUTED_VALUE"""),"Mudd")</f>
        <v>Mudd</v>
      </c>
      <c r="F173" s="93">
        <f>IFERROR(__xludf.DUMMYFUNCTION("""COMPUTED_VALUE"""),252.0)</f>
        <v>252</v>
      </c>
      <c r="G173" s="93" t="str">
        <f>IFERROR(__xludf.DUMMYFUNCTION("""COMPUTED_VALUE"""),"Evan Froehlich")</f>
        <v>Evan Froehlich</v>
      </c>
      <c r="H173" s="93">
        <f>IFERROR(__xludf.DUMMYFUNCTION("""COMPUTED_VALUE"""),9.173916026E9)</f>
        <v>9173916026</v>
      </c>
      <c r="I173" s="93" t="str">
        <f>IFERROR(__xludf.DUMMYFUNCTION("""COMPUTED_VALUE"""),"1PM-3PM")</f>
        <v>1PM-3PM</v>
      </c>
      <c r="J173" s="93">
        <f>IFERROR(__xludf.DUMMYFUNCTION("""COMPUTED_VALUE"""),1.0)</f>
        <v>1</v>
      </c>
      <c r="K173" s="93" t="str">
        <f>IFERROR(__xludf.DUMMYFUNCTION("""COMPUTED_VALUE"""),"Complete")</f>
        <v>Complete</v>
      </c>
      <c r="L173" s="93"/>
      <c r="M173" s="94">
        <f>IFERROR(__xludf.DUMMYFUNCTION("""COMPUTED_VALUE"""),46123.9356712963)</f>
        <v>46123.93567</v>
      </c>
      <c r="N173" s="93">
        <f>IFERROR(__xludf.DUMMYFUNCTION("""COMPUTED_VALUE"""),57.0)</f>
        <v>57</v>
      </c>
      <c r="O173" s="93"/>
      <c r="P173" s="93" t="str">
        <f>IFERROR(__xludf.DUMMYFUNCTION("""COMPUTED_VALUE"""),"Kit Delivery")</f>
        <v>Kit Delivery</v>
      </c>
      <c r="Q173" s="93"/>
      <c r="R173" s="93"/>
      <c r="S173" s="95">
        <f>IFERROR(__xludf.DUMMYFUNCTION("""COMPUTED_VALUE"""),46124.4096875)</f>
        <v>46124.40969</v>
      </c>
      <c r="T173" s="93"/>
      <c r="U173" s="93"/>
      <c r="V173" s="93"/>
      <c r="W173" s="93"/>
      <c r="X173" s="93"/>
      <c r="Y173" s="93"/>
      <c r="Z173" s="93"/>
    </row>
    <row r="174">
      <c r="A174" s="93" t="str">
        <f>IFERROR(__xludf.DUMMYFUNCTION("""COMPUTED_VALUE"""),"KIT-#16817")</f>
        <v>KIT-#16817</v>
      </c>
      <c r="B174" s="94">
        <f>IFERROR(__xludf.DUMMYFUNCTION("""COMPUTED_VALUE"""),46146.0)</f>
        <v>46146</v>
      </c>
      <c r="C174" s="93" t="str">
        <f>IFERROR(__xludf.DUMMYFUNCTION("""COMPUTED_VALUE"""),"Kit Delivery")</f>
        <v>Kit Delivery</v>
      </c>
      <c r="D174" s="93">
        <f>IFERROR(__xludf.DUMMYFUNCTION("""COMPUTED_VALUE"""),1.0)</f>
        <v>1</v>
      </c>
      <c r="E174" s="93" t="str">
        <f>IFERROR(__xludf.DUMMYFUNCTION("""COMPUTED_VALUE"""),"Lopata")</f>
        <v>Lopata</v>
      </c>
      <c r="F174" s="93">
        <f>IFERROR(__xludf.DUMMYFUNCTION("""COMPUTED_VALUE"""),3070.0)</f>
        <v>3070</v>
      </c>
      <c r="G174" s="93" t="str">
        <f>IFERROR(__xludf.DUMMYFUNCTION("""COMPUTED_VALUE"""),"Kennedy Hack-Juman")</f>
        <v>Kennedy Hack-Juman</v>
      </c>
      <c r="H174" s="93">
        <f>IFERROR(__xludf.DUMMYFUNCTION("""COMPUTED_VALUE"""),9.548065446E9)</f>
        <v>9548065446</v>
      </c>
      <c r="I174" s="93" t="str">
        <f>IFERROR(__xludf.DUMMYFUNCTION("""COMPUTED_VALUE"""),"9AM-11AM")</f>
        <v>9AM-11AM</v>
      </c>
      <c r="J174" s="93">
        <f>IFERROR(__xludf.DUMMYFUNCTION("""COMPUTED_VALUE"""),1.0)</f>
        <v>1</v>
      </c>
      <c r="K174" s="93" t="str">
        <f>IFERROR(__xludf.DUMMYFUNCTION("""COMPUTED_VALUE"""),"Complete")</f>
        <v>Complete</v>
      </c>
      <c r="L174" s="93"/>
      <c r="M174" s="94">
        <f>IFERROR(__xludf.DUMMYFUNCTION("""COMPUTED_VALUE"""),46123.95091435185)</f>
        <v>46123.95091</v>
      </c>
      <c r="N174" s="93">
        <f>IFERROR(__xludf.DUMMYFUNCTION("""COMPUTED_VALUE"""),175.0)</f>
        <v>175</v>
      </c>
      <c r="O174" s="93"/>
      <c r="P174" s="93" t="str">
        <f>IFERROR(__xludf.DUMMYFUNCTION("""COMPUTED_VALUE"""),"Kit Delivery")</f>
        <v>Kit Delivery</v>
      </c>
      <c r="Q174" s="93"/>
      <c r="R174" s="93"/>
      <c r="S174" s="95">
        <f>IFERROR(__xludf.DUMMYFUNCTION("""COMPUTED_VALUE"""),46124.4096875)</f>
        <v>46124.40969</v>
      </c>
      <c r="T174" s="93"/>
      <c r="U174" s="93"/>
      <c r="V174" s="93"/>
      <c r="W174" s="93"/>
      <c r="X174" s="93"/>
      <c r="Y174" s="93"/>
      <c r="Z174" s="93"/>
    </row>
    <row r="175">
      <c r="A175" s="93" t="str">
        <f>IFERROR(__xludf.DUMMYFUNCTION("""COMPUTED_VALUE"""),"KIT-#17107")</f>
        <v>KIT-#17107</v>
      </c>
      <c r="B175" s="94">
        <f>IFERROR(__xludf.DUMMYFUNCTION("""COMPUTED_VALUE"""),46146.0)</f>
        <v>46146</v>
      </c>
      <c r="C175" s="93" t="str">
        <f>IFERROR(__xludf.DUMMYFUNCTION("""COMPUTED_VALUE"""),"Kit Delivery")</f>
        <v>Kit Delivery</v>
      </c>
      <c r="D175" s="93">
        <f>IFERROR(__xludf.DUMMYFUNCTION("""COMPUTED_VALUE"""),1.0)</f>
        <v>1</v>
      </c>
      <c r="E175" s="93" t="str">
        <f>IFERROR(__xludf.DUMMYFUNCTION("""COMPUTED_VALUE"""),"Lopata")</f>
        <v>Lopata</v>
      </c>
      <c r="F175" s="93">
        <f>IFERROR(__xludf.DUMMYFUNCTION("""COMPUTED_VALUE"""),3073.0)</f>
        <v>3073</v>
      </c>
      <c r="G175" s="93" t="str">
        <f>IFERROR(__xludf.DUMMYFUNCTION("""COMPUTED_VALUE"""),"Lindsay Kweit")</f>
        <v>Lindsay Kweit</v>
      </c>
      <c r="H175" s="93">
        <f>IFERROR(__xludf.DUMMYFUNCTION("""COMPUTED_VALUE"""),5.166597079E9)</f>
        <v>5166597079</v>
      </c>
      <c r="I175" s="93" t="str">
        <f>IFERROR(__xludf.DUMMYFUNCTION("""COMPUTED_VALUE"""),"9AM-11AM")</f>
        <v>9AM-11AM</v>
      </c>
      <c r="J175" s="93">
        <f>IFERROR(__xludf.DUMMYFUNCTION("""COMPUTED_VALUE"""),1.0)</f>
        <v>1</v>
      </c>
      <c r="K175" s="93" t="str">
        <f>IFERROR(__xludf.DUMMYFUNCTION("""COMPUTED_VALUE"""),"Complete")</f>
        <v>Complete</v>
      </c>
      <c r="L175" s="93"/>
      <c r="M175" s="94">
        <f>IFERROR(__xludf.DUMMYFUNCTION("""COMPUTED_VALUE"""),46123.95128472222)</f>
        <v>46123.95128</v>
      </c>
      <c r="N175" s="93">
        <f>IFERROR(__xludf.DUMMYFUNCTION("""COMPUTED_VALUE"""),176.0)</f>
        <v>176</v>
      </c>
      <c r="O175" s="93"/>
      <c r="P175" s="93" t="str">
        <f>IFERROR(__xludf.DUMMYFUNCTION("""COMPUTED_VALUE"""),"Kit Delivery")</f>
        <v>Kit Delivery</v>
      </c>
      <c r="Q175" s="93"/>
      <c r="R175" s="93"/>
      <c r="S175" s="95">
        <f>IFERROR(__xludf.DUMMYFUNCTION("""COMPUTED_VALUE"""),46124.4096875)</f>
        <v>46124.40969</v>
      </c>
      <c r="T175" s="93"/>
      <c r="U175" s="93"/>
      <c r="V175" s="93"/>
      <c r="W175" s="93"/>
      <c r="X175" s="93"/>
      <c r="Y175" s="93"/>
      <c r="Z175" s="93"/>
    </row>
    <row r="176">
      <c r="A176" s="93" t="str">
        <f>IFERROR(__xludf.DUMMYFUNCTION("""COMPUTED_VALUE"""),"KIT-#17085")</f>
        <v>KIT-#17085</v>
      </c>
      <c r="B176" s="94">
        <f>IFERROR(__xludf.DUMMYFUNCTION("""COMPUTED_VALUE"""),46146.0)</f>
        <v>46146</v>
      </c>
      <c r="C176" s="93" t="str">
        <f>IFERROR(__xludf.DUMMYFUNCTION("""COMPUTED_VALUE"""),"Kit Delivery")</f>
        <v>Kit Delivery</v>
      </c>
      <c r="D176" s="93">
        <f>IFERROR(__xludf.DUMMYFUNCTION("""COMPUTED_VALUE"""),1.0)</f>
        <v>1</v>
      </c>
      <c r="E176" s="93" t="str">
        <f>IFERROR(__xludf.DUMMYFUNCTION("""COMPUTED_VALUE"""),"Village House")</f>
        <v>Village House</v>
      </c>
      <c r="F176" s="93">
        <f>IFERROR(__xludf.DUMMYFUNCTION("""COMPUTED_VALUE"""),4072.0)</f>
        <v>4072</v>
      </c>
      <c r="G176" s="93" t="str">
        <f>IFERROR(__xludf.DUMMYFUNCTION("""COMPUTED_VALUE"""),"Madeline Schneider")</f>
        <v>Madeline Schneider</v>
      </c>
      <c r="H176" s="93">
        <f>IFERROR(__xludf.DUMMYFUNCTION("""COMPUTED_VALUE"""),7.132137252E9)</f>
        <v>7132137252</v>
      </c>
      <c r="I176" s="93" t="str">
        <f>IFERROR(__xludf.DUMMYFUNCTION("""COMPUTED_VALUE"""),"9AM-11AM")</f>
        <v>9AM-11AM</v>
      </c>
      <c r="J176" s="93">
        <f>IFERROR(__xludf.DUMMYFUNCTION("""COMPUTED_VALUE"""),2.0)</f>
        <v>2</v>
      </c>
      <c r="K176" s="93" t="str">
        <f>IFERROR(__xludf.DUMMYFUNCTION("""COMPUTED_VALUE"""),"Complete")</f>
        <v>Complete</v>
      </c>
      <c r="L176" s="93"/>
      <c r="M176" s="94">
        <f>IFERROR(__xludf.DUMMYFUNCTION("""COMPUTED_VALUE"""),46123.952326388884)</f>
        <v>46123.95233</v>
      </c>
      <c r="N176" s="93">
        <f>IFERROR(__xludf.DUMMYFUNCTION("""COMPUTED_VALUE"""),184.0)</f>
        <v>184</v>
      </c>
      <c r="O176" s="93"/>
      <c r="P176" s="93" t="str">
        <f>IFERROR(__xludf.DUMMYFUNCTION("""COMPUTED_VALUE"""),"Kit Delivery")</f>
        <v>Kit Delivery</v>
      </c>
      <c r="Q176" s="93"/>
      <c r="R176" s="93"/>
      <c r="S176" s="95">
        <f>IFERROR(__xludf.DUMMYFUNCTION("""COMPUTED_VALUE"""),46124.4096875)</f>
        <v>46124.40969</v>
      </c>
      <c r="T176" s="93"/>
      <c r="U176" s="93"/>
      <c r="V176" s="93"/>
      <c r="W176" s="93"/>
      <c r="X176" s="93"/>
      <c r="Y176" s="93"/>
      <c r="Z176" s="93"/>
    </row>
    <row r="177">
      <c r="A177" s="93" t="str">
        <f>IFERROR(__xludf.DUMMYFUNCTION("""COMPUTED_VALUE"""),"KIT-#17382")</f>
        <v>KIT-#17382</v>
      </c>
      <c r="B177" s="94">
        <f>IFERROR(__xludf.DUMMYFUNCTION("""COMPUTED_VALUE"""),46146.0)</f>
        <v>46146</v>
      </c>
      <c r="C177" s="93" t="str">
        <f>IFERROR(__xludf.DUMMYFUNCTION("""COMPUTED_VALUE"""),"Kit Delivery")</f>
        <v>Kit Delivery</v>
      </c>
      <c r="D177" s="93">
        <f>IFERROR(__xludf.DUMMYFUNCTION("""COMPUTED_VALUE"""),1.0)</f>
        <v>1</v>
      </c>
      <c r="E177" s="93" t="str">
        <f>IFERROR(__xludf.DUMMYFUNCTION("""COMPUTED_VALUE"""),"Lopata")</f>
        <v>Lopata</v>
      </c>
      <c r="F177" s="93">
        <f>IFERROR(__xludf.DUMMYFUNCTION("""COMPUTED_VALUE"""),3091.0)</f>
        <v>3091</v>
      </c>
      <c r="G177" s="93" t="str">
        <f>IFERROR(__xludf.DUMMYFUNCTION("""COMPUTED_VALUE"""),"Jordyn White")</f>
        <v>Jordyn White</v>
      </c>
      <c r="H177" s="93">
        <f>IFERROR(__xludf.DUMMYFUNCTION("""COMPUTED_VALUE"""),3.015298187E9)</f>
        <v>3015298187</v>
      </c>
      <c r="I177" s="93" t="str">
        <f>IFERROR(__xludf.DUMMYFUNCTION("""COMPUTED_VALUE"""),"9AM-11AM")</f>
        <v>9AM-11AM</v>
      </c>
      <c r="J177" s="93">
        <f>IFERROR(__xludf.DUMMYFUNCTION("""COMPUTED_VALUE"""),2.0)</f>
        <v>2</v>
      </c>
      <c r="K177" s="93" t="str">
        <f>IFERROR(__xludf.DUMMYFUNCTION("""COMPUTED_VALUE"""),"Complete")</f>
        <v>Complete</v>
      </c>
      <c r="L177" s="93"/>
      <c r="M177" s="94">
        <f>IFERROR(__xludf.DUMMYFUNCTION("""COMPUTED_VALUE"""),46123.95265046296)</f>
        <v>46123.95265</v>
      </c>
      <c r="N177" s="93">
        <f>IFERROR(__xludf.DUMMYFUNCTION("""COMPUTED_VALUE"""),177.0)</f>
        <v>177</v>
      </c>
      <c r="O177" s="93"/>
      <c r="P177" s="93" t="str">
        <f>IFERROR(__xludf.DUMMYFUNCTION("""COMPUTED_VALUE"""),"Kit Delivery")</f>
        <v>Kit Delivery</v>
      </c>
      <c r="Q177" s="93"/>
      <c r="R177" s="93"/>
      <c r="S177" s="95">
        <f>IFERROR(__xludf.DUMMYFUNCTION("""COMPUTED_VALUE"""),46124.4096875)</f>
        <v>46124.40969</v>
      </c>
      <c r="T177" s="93"/>
      <c r="U177" s="93"/>
      <c r="V177" s="93"/>
      <c r="W177" s="93"/>
      <c r="X177" s="93"/>
      <c r="Y177" s="93"/>
      <c r="Z177" s="93"/>
    </row>
    <row r="178">
      <c r="A178" s="93" t="str">
        <f>IFERROR(__xludf.DUMMYFUNCTION("""COMPUTED_VALUE"""),"KIT-#17116")</f>
        <v>KIT-#17116</v>
      </c>
      <c r="B178" s="94">
        <f>IFERROR(__xludf.DUMMYFUNCTION("""COMPUTED_VALUE"""),46146.0)</f>
        <v>46146</v>
      </c>
      <c r="C178" s="93" t="str">
        <f>IFERROR(__xludf.DUMMYFUNCTION("""COMPUTED_VALUE"""),"Kit Delivery")</f>
        <v>Kit Delivery</v>
      </c>
      <c r="D178" s="93">
        <f>IFERROR(__xludf.DUMMYFUNCTION("""COMPUTED_VALUE"""),1.0)</f>
        <v>1</v>
      </c>
      <c r="E178" s="93" t="str">
        <f>IFERROR(__xludf.DUMMYFUNCTION("""COMPUTED_VALUE"""),"Lopata")</f>
        <v>Lopata</v>
      </c>
      <c r="F178" s="93">
        <f>IFERROR(__xludf.DUMMYFUNCTION("""COMPUTED_VALUE"""),3092.0)</f>
        <v>3092</v>
      </c>
      <c r="G178" s="93" t="str">
        <f>IFERROR(__xludf.DUMMYFUNCTION("""COMPUTED_VALUE"""),"Mason Miller")</f>
        <v>Mason Miller</v>
      </c>
      <c r="H178" s="93">
        <f>IFERROR(__xludf.DUMMYFUNCTION("""COMPUTED_VALUE"""),4.439707907E9)</f>
        <v>4439707907</v>
      </c>
      <c r="I178" s="93" t="str">
        <f>IFERROR(__xludf.DUMMYFUNCTION("""COMPUTED_VALUE"""),"9AM-11AM")</f>
        <v>9AM-11AM</v>
      </c>
      <c r="J178" s="93">
        <f>IFERROR(__xludf.DUMMYFUNCTION("""COMPUTED_VALUE"""),2.0)</f>
        <v>2</v>
      </c>
      <c r="K178" s="93" t="str">
        <f>IFERROR(__xludf.DUMMYFUNCTION("""COMPUTED_VALUE"""),"Complete")</f>
        <v>Complete</v>
      </c>
      <c r="L178" s="93"/>
      <c r="M178" s="94">
        <f>IFERROR(__xludf.DUMMYFUNCTION("""COMPUTED_VALUE"""),46123.95314814815)</f>
        <v>46123.95315</v>
      </c>
      <c r="N178" s="93">
        <f>IFERROR(__xludf.DUMMYFUNCTION("""COMPUTED_VALUE"""),178.0)</f>
        <v>178</v>
      </c>
      <c r="O178" s="93"/>
      <c r="P178" s="93" t="str">
        <f>IFERROR(__xludf.DUMMYFUNCTION("""COMPUTED_VALUE"""),"Kit Delivery")</f>
        <v>Kit Delivery</v>
      </c>
      <c r="Q178" s="93"/>
      <c r="R178" s="93"/>
      <c r="S178" s="95">
        <f>IFERROR(__xludf.DUMMYFUNCTION("""COMPUTED_VALUE"""),46124.4096875)</f>
        <v>46124.40969</v>
      </c>
      <c r="T178" s="93"/>
      <c r="U178" s="93"/>
      <c r="V178" s="93"/>
      <c r="W178" s="93"/>
      <c r="X178" s="93"/>
      <c r="Y178" s="93"/>
      <c r="Z178" s="93"/>
    </row>
    <row r="179">
      <c r="A179" s="93" t="str">
        <f>IFERROR(__xludf.DUMMYFUNCTION("""COMPUTED_VALUE"""),"KIT-#17044")</f>
        <v>KIT-#17044</v>
      </c>
      <c r="B179" s="94">
        <f>IFERROR(__xludf.DUMMYFUNCTION("""COMPUTED_VALUE"""),46146.0)</f>
        <v>46146</v>
      </c>
      <c r="C179" s="93" t="str">
        <f>IFERROR(__xludf.DUMMYFUNCTION("""COMPUTED_VALUE"""),"Kit Delivery")</f>
        <v>Kit Delivery</v>
      </c>
      <c r="D179" s="93">
        <f>IFERROR(__xludf.DUMMYFUNCTION("""COMPUTED_VALUE"""),1.0)</f>
        <v>1</v>
      </c>
      <c r="E179" s="93" t="str">
        <f>IFERROR(__xludf.DUMMYFUNCTION("""COMPUTED_VALUE"""),"Village House")</f>
        <v>Village House</v>
      </c>
      <c r="F179" s="93" t="str">
        <f>IFERROR(__xludf.DUMMYFUNCTION("""COMPUTED_VALUE"""),"3131A")</f>
        <v>3131A</v>
      </c>
      <c r="G179" s="93" t="str">
        <f>IFERROR(__xludf.DUMMYFUNCTION("""COMPUTED_VALUE"""),"Rena Cohen")</f>
        <v>Rena Cohen</v>
      </c>
      <c r="H179" s="93">
        <f>IFERROR(__xludf.DUMMYFUNCTION("""COMPUTED_VALUE"""),9.176694873E9)</f>
        <v>9176694873</v>
      </c>
      <c r="I179" s="93" t="str">
        <f>IFERROR(__xludf.DUMMYFUNCTION("""COMPUTED_VALUE"""),"9AM-11AM")</f>
        <v>9AM-11AM</v>
      </c>
      <c r="J179" s="93">
        <f>IFERROR(__xludf.DUMMYFUNCTION("""COMPUTED_VALUE"""),1.0)</f>
        <v>1</v>
      </c>
      <c r="K179" s="93" t="str">
        <f>IFERROR(__xludf.DUMMYFUNCTION("""COMPUTED_VALUE"""),"Complete")</f>
        <v>Complete</v>
      </c>
      <c r="L179" s="93"/>
      <c r="M179" s="94">
        <f>IFERROR(__xludf.DUMMYFUNCTION("""COMPUTED_VALUE"""),46123.95416666666)</f>
        <v>46123.95417</v>
      </c>
      <c r="N179" s="93">
        <f>IFERROR(__xludf.DUMMYFUNCTION("""COMPUTED_VALUE"""),183.0)</f>
        <v>183</v>
      </c>
      <c r="O179" s="93"/>
      <c r="P179" s="93" t="str">
        <f>IFERROR(__xludf.DUMMYFUNCTION("""COMPUTED_VALUE"""),"Kit Delivery")</f>
        <v>Kit Delivery</v>
      </c>
      <c r="Q179" s="93"/>
      <c r="R179" s="93"/>
      <c r="S179" s="95">
        <f>IFERROR(__xludf.DUMMYFUNCTION("""COMPUTED_VALUE"""),46124.4096875)</f>
        <v>46124.40969</v>
      </c>
      <c r="T179" s="93"/>
      <c r="U179" s="93"/>
      <c r="V179" s="93"/>
      <c r="W179" s="93"/>
      <c r="X179" s="93"/>
      <c r="Y179" s="93"/>
      <c r="Z179" s="93"/>
    </row>
    <row r="180">
      <c r="A180" s="93" t="str">
        <f>IFERROR(__xludf.DUMMYFUNCTION("""COMPUTED_VALUE"""),"KIT-#17331")</f>
        <v>KIT-#17331</v>
      </c>
      <c r="B180" s="94">
        <f>IFERROR(__xludf.DUMMYFUNCTION("""COMPUTED_VALUE"""),46146.0)</f>
        <v>46146</v>
      </c>
      <c r="C180" s="93" t="str">
        <f>IFERROR(__xludf.DUMMYFUNCTION("""COMPUTED_VALUE"""),"Kit Delivery")</f>
        <v>Kit Delivery</v>
      </c>
      <c r="D180" s="93">
        <f>IFERROR(__xludf.DUMMYFUNCTION("""COMPUTED_VALUE"""),1.0)</f>
        <v>1</v>
      </c>
      <c r="E180" s="93" t="str">
        <f>IFERROR(__xludf.DUMMYFUNCTION("""COMPUTED_VALUE"""),"Millbrook Bldg. 1")</f>
        <v>Millbrook Bldg. 1</v>
      </c>
      <c r="F180" s="93" t="str">
        <f>IFERROR(__xludf.DUMMYFUNCTION("""COMPUTED_VALUE"""),"104B")</f>
        <v>104B</v>
      </c>
      <c r="G180" s="93" t="str">
        <f>IFERROR(__xludf.DUMMYFUNCTION("""COMPUTED_VALUE"""),"Rae Kaplan")</f>
        <v>Rae Kaplan</v>
      </c>
      <c r="H180" s="93">
        <f>IFERROR(__xludf.DUMMYFUNCTION("""COMPUTED_VALUE"""),6.465285819E9)</f>
        <v>6465285819</v>
      </c>
      <c r="I180" s="93" t="str">
        <f>IFERROR(__xludf.DUMMYFUNCTION("""COMPUTED_VALUE"""),"9AM-11AM")</f>
        <v>9AM-11AM</v>
      </c>
      <c r="J180" s="93">
        <f>IFERROR(__xludf.DUMMYFUNCTION("""COMPUTED_VALUE"""),1.0)</f>
        <v>1</v>
      </c>
      <c r="K180" s="93" t="str">
        <f>IFERROR(__xludf.DUMMYFUNCTION("""COMPUTED_VALUE"""),"Complete")</f>
        <v>Complete</v>
      </c>
      <c r="L180" s="93"/>
      <c r="M180" s="94">
        <f>IFERROR(__xludf.DUMMYFUNCTION("""COMPUTED_VALUE"""),46123.96604166667)</f>
        <v>46123.96604</v>
      </c>
      <c r="N180" s="93">
        <f>IFERROR(__xludf.DUMMYFUNCTION("""COMPUTED_VALUE"""),186.0)</f>
        <v>186</v>
      </c>
      <c r="O180" s="93"/>
      <c r="P180" s="93" t="str">
        <f>IFERROR(__xludf.DUMMYFUNCTION("""COMPUTED_VALUE"""),"Kit Delivery")</f>
        <v>Kit Delivery</v>
      </c>
      <c r="Q180" s="93"/>
      <c r="R180" s="93"/>
      <c r="S180" s="95">
        <f>IFERROR(__xludf.DUMMYFUNCTION("""COMPUTED_VALUE"""),46124.4096875)</f>
        <v>46124.40969</v>
      </c>
      <c r="T180" s="93"/>
      <c r="U180" s="93"/>
      <c r="V180" s="93"/>
      <c r="W180" s="93"/>
      <c r="X180" s="93"/>
      <c r="Y180" s="93"/>
      <c r="Z180" s="93"/>
    </row>
    <row r="181">
      <c r="A181" s="93" t="str">
        <f>IFERROR(__xludf.DUMMYFUNCTION("""COMPUTED_VALUE"""),"KIT-#17217")</f>
        <v>KIT-#17217</v>
      </c>
      <c r="B181" s="94">
        <f>IFERROR(__xludf.DUMMYFUNCTION("""COMPUTED_VALUE"""),46146.0)</f>
        <v>46146</v>
      </c>
      <c r="C181" s="93" t="str">
        <f>IFERROR(__xludf.DUMMYFUNCTION("""COMPUTED_VALUE"""),"Kit Delivery")</f>
        <v>Kit Delivery</v>
      </c>
      <c r="D181" s="93">
        <f>IFERROR(__xludf.DUMMYFUNCTION("""COMPUTED_VALUE"""),1.0)</f>
        <v>1</v>
      </c>
      <c r="E181" s="93" t="str">
        <f>IFERROR(__xludf.DUMMYFUNCTION("""COMPUTED_VALUE"""),"Millbrook Bldg. 1")</f>
        <v>Millbrook Bldg. 1</v>
      </c>
      <c r="F181" s="93" t="str">
        <f>IFERROR(__xludf.DUMMYFUNCTION("""COMPUTED_VALUE"""),"104D")</f>
        <v>104D</v>
      </c>
      <c r="G181" s="93" t="str">
        <f>IFERROR(__xludf.DUMMYFUNCTION("""COMPUTED_VALUE"""),"Hallie Kopel")</f>
        <v>Hallie Kopel</v>
      </c>
      <c r="H181" s="93">
        <f>IFERROR(__xludf.DUMMYFUNCTION("""COMPUTED_VALUE"""),9.175533135E9)</f>
        <v>9175533135</v>
      </c>
      <c r="I181" s="93" t="str">
        <f>IFERROR(__xludf.DUMMYFUNCTION("""COMPUTED_VALUE"""),"9AM-11AM")</f>
        <v>9AM-11AM</v>
      </c>
      <c r="J181" s="93">
        <f>IFERROR(__xludf.DUMMYFUNCTION("""COMPUTED_VALUE"""),2.0)</f>
        <v>2</v>
      </c>
      <c r="K181" s="93" t="str">
        <f>IFERROR(__xludf.DUMMYFUNCTION("""COMPUTED_VALUE"""),"Complete")</f>
        <v>Complete</v>
      </c>
      <c r="L181" s="93"/>
      <c r="M181" s="94">
        <f>IFERROR(__xludf.DUMMYFUNCTION("""COMPUTED_VALUE"""),46123.966574074075)</f>
        <v>46123.96657</v>
      </c>
      <c r="N181" s="93">
        <f>IFERROR(__xludf.DUMMYFUNCTION("""COMPUTED_VALUE"""),187.0)</f>
        <v>187</v>
      </c>
      <c r="O181" s="93"/>
      <c r="P181" s="93" t="str">
        <f>IFERROR(__xludf.DUMMYFUNCTION("""COMPUTED_VALUE"""),"Kit Delivery")</f>
        <v>Kit Delivery</v>
      </c>
      <c r="Q181" s="93"/>
      <c r="R181" s="93"/>
      <c r="S181" s="95">
        <f>IFERROR(__xludf.DUMMYFUNCTION("""COMPUTED_VALUE"""),46124.4096875)</f>
        <v>46124.40969</v>
      </c>
      <c r="T181" s="93"/>
      <c r="U181" s="93"/>
      <c r="V181" s="93"/>
      <c r="W181" s="93"/>
      <c r="X181" s="93"/>
      <c r="Y181" s="93"/>
      <c r="Z181" s="93"/>
    </row>
    <row r="182">
      <c r="A182" s="93" t="str">
        <f>IFERROR(__xludf.DUMMYFUNCTION("""COMPUTED_VALUE"""),"KIT-#17212")</f>
        <v>KIT-#17212</v>
      </c>
      <c r="B182" s="94">
        <f>IFERROR(__xludf.DUMMYFUNCTION("""COMPUTED_VALUE"""),46146.0)</f>
        <v>46146</v>
      </c>
      <c r="C182" s="93" t="str">
        <f>IFERROR(__xludf.DUMMYFUNCTION("""COMPUTED_VALUE"""),"Kit Delivery")</f>
        <v>Kit Delivery</v>
      </c>
      <c r="D182" s="93">
        <f>IFERROR(__xludf.DUMMYFUNCTION("""COMPUTED_VALUE"""),1.0)</f>
        <v>1</v>
      </c>
      <c r="E182" s="93" t="str">
        <f>IFERROR(__xludf.DUMMYFUNCTION("""COMPUTED_VALUE"""),"Millbrook Bldg. 3")</f>
        <v>Millbrook Bldg. 3</v>
      </c>
      <c r="F182" s="93" t="str">
        <f>IFERROR(__xludf.DUMMYFUNCTION("""COMPUTED_VALUE"""),"202B - Room A")</f>
        <v>202B - Room A</v>
      </c>
      <c r="G182" s="93" t="str">
        <f>IFERROR(__xludf.DUMMYFUNCTION("""COMPUTED_VALUE"""),"Hahyun (Gloria) Lee")</f>
        <v>Hahyun (Gloria) Lee</v>
      </c>
      <c r="H182" s="93">
        <f>IFERROR(__xludf.DUMMYFUNCTION("""COMPUTED_VALUE"""),1.054911922E9)</f>
        <v>1054911922</v>
      </c>
      <c r="I182" s="93" t="str">
        <f>IFERROR(__xludf.DUMMYFUNCTION("""COMPUTED_VALUE"""),"9AM-11AM")</f>
        <v>9AM-11AM</v>
      </c>
      <c r="J182" s="93">
        <f>IFERROR(__xludf.DUMMYFUNCTION("""COMPUTED_VALUE"""),1.0)</f>
        <v>1</v>
      </c>
      <c r="K182" s="93" t="str">
        <f>IFERROR(__xludf.DUMMYFUNCTION("""COMPUTED_VALUE"""),"Complete")</f>
        <v>Complete</v>
      </c>
      <c r="L182" s="93"/>
      <c r="M182" s="94">
        <f>IFERROR(__xludf.DUMMYFUNCTION("""COMPUTED_VALUE"""),46123.97528935185)</f>
        <v>46123.97529</v>
      </c>
      <c r="N182" s="93">
        <f>IFERROR(__xludf.DUMMYFUNCTION("""COMPUTED_VALUE"""),191.0)</f>
        <v>191</v>
      </c>
      <c r="O182" s="93"/>
      <c r="P182" s="93" t="str">
        <f>IFERROR(__xludf.DUMMYFUNCTION("""COMPUTED_VALUE"""),"Kit Delivery")</f>
        <v>Kit Delivery</v>
      </c>
      <c r="Q182" s="93"/>
      <c r="R182" s="93"/>
      <c r="S182" s="95">
        <f>IFERROR(__xludf.DUMMYFUNCTION("""COMPUTED_VALUE"""),46124.4096875)</f>
        <v>46124.40969</v>
      </c>
      <c r="T182" s="93"/>
      <c r="U182" s="93"/>
      <c r="V182" s="93"/>
      <c r="W182" s="93"/>
      <c r="X182" s="93"/>
      <c r="Y182" s="93"/>
      <c r="Z182" s="93"/>
    </row>
    <row r="183">
      <c r="A183" s="93" t="str">
        <f>IFERROR(__xludf.DUMMYFUNCTION("""COMPUTED_VALUE"""),"KIT-#17137")</f>
        <v>KIT-#17137</v>
      </c>
      <c r="B183" s="94">
        <f>IFERROR(__xludf.DUMMYFUNCTION("""COMPUTED_VALUE"""),46146.0)</f>
        <v>46146</v>
      </c>
      <c r="C183" s="93" t="str">
        <f>IFERROR(__xludf.DUMMYFUNCTION("""COMPUTED_VALUE"""),"Kit Delivery")</f>
        <v>Kit Delivery</v>
      </c>
      <c r="D183" s="93">
        <f>IFERROR(__xludf.DUMMYFUNCTION("""COMPUTED_VALUE"""),1.0)</f>
        <v>1</v>
      </c>
      <c r="E183" s="93" t="str">
        <f>IFERROR(__xludf.DUMMYFUNCTION("""COMPUTED_VALUE"""),"Zetcher")</f>
        <v>Zetcher</v>
      </c>
      <c r="F183" s="93">
        <f>IFERROR(__xludf.DUMMYFUNCTION("""COMPUTED_VALUE"""),2102.0)</f>
        <v>2102</v>
      </c>
      <c r="G183" s="93" t="str">
        <f>IFERROR(__xludf.DUMMYFUNCTION("""COMPUTED_VALUE"""),"Cléo Gauthier")</f>
        <v>Cléo Gauthier</v>
      </c>
      <c r="H183" s="93">
        <f>IFERROR(__xludf.DUMMYFUNCTION("""COMPUTED_VALUE"""),1.6156090081E10)</f>
        <v>16156090081</v>
      </c>
      <c r="I183" s="93" t="str">
        <f>IFERROR(__xludf.DUMMYFUNCTION("""COMPUTED_VALUE"""),"9AM-11AM")</f>
        <v>9AM-11AM</v>
      </c>
      <c r="J183" s="93">
        <f>IFERROR(__xludf.DUMMYFUNCTION("""COMPUTED_VALUE"""),2.0)</f>
        <v>2</v>
      </c>
      <c r="K183" s="93" t="str">
        <f>IFERROR(__xludf.DUMMYFUNCTION("""COMPUTED_VALUE"""),"Complete")</f>
        <v>Complete</v>
      </c>
      <c r="L183" s="93"/>
      <c r="M183" s="94">
        <f>IFERROR(__xludf.DUMMYFUNCTION("""COMPUTED_VALUE"""),46123.99034722222)</f>
        <v>46123.99035</v>
      </c>
      <c r="N183" s="93">
        <f>IFERROR(__xludf.DUMMYFUNCTION("""COMPUTED_VALUE"""),128.0)</f>
        <v>128</v>
      </c>
      <c r="O183" s="93"/>
      <c r="P183" s="93" t="str">
        <f>IFERROR(__xludf.DUMMYFUNCTION("""COMPUTED_VALUE"""),"Kit Delivery")</f>
        <v>Kit Delivery</v>
      </c>
      <c r="Q183" s="93"/>
      <c r="R183" s="93"/>
      <c r="S183" s="95">
        <f>IFERROR(__xludf.DUMMYFUNCTION("""COMPUTED_VALUE"""),46124.4096875)</f>
        <v>46124.40969</v>
      </c>
      <c r="T183" s="93"/>
      <c r="U183" s="93"/>
      <c r="V183" s="93"/>
      <c r="W183" s="93"/>
      <c r="X183" s="93"/>
      <c r="Y183" s="93"/>
      <c r="Z183" s="93"/>
    </row>
    <row r="184">
      <c r="A184" s="93" t="str">
        <f>IFERROR(__xludf.DUMMYFUNCTION("""COMPUTED_VALUE"""),"KIT-#17374")</f>
        <v>KIT-#17374</v>
      </c>
      <c r="B184" s="94">
        <f>IFERROR(__xludf.DUMMYFUNCTION("""COMPUTED_VALUE"""),46146.0)</f>
        <v>46146</v>
      </c>
      <c r="C184" s="93" t="str">
        <f>IFERROR(__xludf.DUMMYFUNCTION("""COMPUTED_VALUE"""),"Kit Delivery")</f>
        <v>Kit Delivery</v>
      </c>
      <c r="D184" s="93">
        <f>IFERROR(__xludf.DUMMYFUNCTION("""COMPUTED_VALUE"""),1.0)</f>
        <v>1</v>
      </c>
      <c r="E184" s="93" t="str">
        <f>IFERROR(__xludf.DUMMYFUNCTION("""COMPUTED_VALUE"""),"Dardick")</f>
        <v>Dardick</v>
      </c>
      <c r="F184" s="93">
        <f>IFERROR(__xludf.DUMMYFUNCTION("""COMPUTED_VALUE"""),2214.0)</f>
        <v>2214</v>
      </c>
      <c r="G184" s="93" t="str">
        <f>IFERROR(__xludf.DUMMYFUNCTION("""COMPUTED_VALUE"""),"Nitesh Fernando")</f>
        <v>Nitesh Fernando</v>
      </c>
      <c r="H184" s="93">
        <f>IFERROR(__xludf.DUMMYFUNCTION("""COMPUTED_VALUE"""),1.818319301E10)</f>
        <v>18183193010</v>
      </c>
      <c r="I184" s="93" t="str">
        <f>IFERROR(__xludf.DUMMYFUNCTION("""COMPUTED_VALUE"""),"12PM-2PM")</f>
        <v>12PM-2PM</v>
      </c>
      <c r="J184" s="93">
        <f>IFERROR(__xludf.DUMMYFUNCTION("""COMPUTED_VALUE"""),1.0)</f>
        <v>1</v>
      </c>
      <c r="K184" s="93" t="str">
        <f>IFERROR(__xludf.DUMMYFUNCTION("""COMPUTED_VALUE"""),"Complete")</f>
        <v>Complete</v>
      </c>
      <c r="L184" s="93"/>
      <c r="M184" s="94">
        <f>IFERROR(__xludf.DUMMYFUNCTION("""COMPUTED_VALUE"""),46124.02774305556)</f>
        <v>46124.02774</v>
      </c>
      <c r="N184" s="93">
        <f>IFERROR(__xludf.DUMMYFUNCTION("""COMPUTED_VALUE"""),94.0)</f>
        <v>94</v>
      </c>
      <c r="O184" s="93"/>
      <c r="P184" s="93" t="str">
        <f>IFERROR(__xludf.DUMMYFUNCTION("""COMPUTED_VALUE"""),"Kit Delivery")</f>
        <v>Kit Delivery</v>
      </c>
      <c r="Q184" s="93"/>
      <c r="R184" s="93"/>
      <c r="S184" s="95">
        <f>IFERROR(__xludf.DUMMYFUNCTION("""COMPUTED_VALUE"""),46124.4096875)</f>
        <v>46124.40969</v>
      </c>
      <c r="T184" s="93"/>
      <c r="U184" s="93"/>
      <c r="V184" s="93"/>
      <c r="W184" s="93"/>
      <c r="X184" s="93"/>
      <c r="Y184" s="93"/>
      <c r="Z184" s="93"/>
    </row>
    <row r="185">
      <c r="A185" s="93" t="str">
        <f>IFERROR(__xludf.DUMMYFUNCTION("""COMPUTED_VALUE"""),"KIT-#16813")</f>
        <v>KIT-#16813</v>
      </c>
      <c r="B185" s="94">
        <f>IFERROR(__xludf.DUMMYFUNCTION("""COMPUTED_VALUE"""),46146.0)</f>
        <v>46146</v>
      </c>
      <c r="C185" s="93" t="str">
        <f>IFERROR(__xludf.DUMMYFUNCTION("""COMPUTED_VALUE"""),"Kit Delivery")</f>
        <v>Kit Delivery</v>
      </c>
      <c r="D185" s="93">
        <f>IFERROR(__xludf.DUMMYFUNCTION("""COMPUTED_VALUE"""),1.0)</f>
        <v>1</v>
      </c>
      <c r="E185" s="93" t="str">
        <f>IFERROR(__xludf.DUMMYFUNCTION("""COMPUTED_VALUE"""),"Dardick")</f>
        <v>Dardick</v>
      </c>
      <c r="F185" s="93">
        <f>IFERROR(__xludf.DUMMYFUNCTION("""COMPUTED_VALUE"""),4402.0)</f>
        <v>4402</v>
      </c>
      <c r="G185" s="93" t="str">
        <f>IFERROR(__xludf.DUMMYFUNCTION("""COMPUTED_VALUE"""),"Jackie Kershner")</f>
        <v>Jackie Kershner</v>
      </c>
      <c r="H185" s="93">
        <f>IFERROR(__xludf.DUMMYFUNCTION("""COMPUTED_VALUE"""),9.175660907E9)</f>
        <v>9175660907</v>
      </c>
      <c r="I185" s="93" t="str">
        <f>IFERROR(__xludf.DUMMYFUNCTION("""COMPUTED_VALUE"""),"12PM-2PM")</f>
        <v>12PM-2PM</v>
      </c>
      <c r="J185" s="93">
        <f>IFERROR(__xludf.DUMMYFUNCTION("""COMPUTED_VALUE"""),1.0)</f>
        <v>1</v>
      </c>
      <c r="K185" s="93" t="str">
        <f>IFERROR(__xludf.DUMMYFUNCTION("""COMPUTED_VALUE"""),"Complete")</f>
        <v>Complete</v>
      </c>
      <c r="L185" s="93"/>
      <c r="M185" s="94">
        <f>IFERROR(__xludf.DUMMYFUNCTION("""COMPUTED_VALUE"""),46124.029085648144)</f>
        <v>46124.02909</v>
      </c>
      <c r="N185" s="93">
        <f>IFERROR(__xludf.DUMMYFUNCTION("""COMPUTED_VALUE"""),99.0)</f>
        <v>99</v>
      </c>
      <c r="O185" s="93"/>
      <c r="P185" s="93" t="str">
        <f>IFERROR(__xludf.DUMMYFUNCTION("""COMPUTED_VALUE"""),"Kit Delivery")</f>
        <v>Kit Delivery</v>
      </c>
      <c r="Q185" s="93"/>
      <c r="R185" s="93"/>
      <c r="S185" s="95">
        <f>IFERROR(__xludf.DUMMYFUNCTION("""COMPUTED_VALUE"""),46124.4096875)</f>
        <v>46124.40969</v>
      </c>
      <c r="T185" s="93"/>
      <c r="U185" s="93"/>
      <c r="V185" s="93"/>
      <c r="W185" s="93"/>
      <c r="X185" s="93"/>
      <c r="Y185" s="93"/>
      <c r="Z185" s="93"/>
    </row>
    <row r="186">
      <c r="A186" s="93" t="str">
        <f>IFERROR(__xludf.DUMMYFUNCTION("""COMPUTED_VALUE"""),"KIT-#17248")</f>
        <v>KIT-#17248</v>
      </c>
      <c r="B186" s="94">
        <f>IFERROR(__xludf.DUMMYFUNCTION("""COMPUTED_VALUE"""),46146.0)</f>
        <v>46146</v>
      </c>
      <c r="C186" s="93" t="str">
        <f>IFERROR(__xludf.DUMMYFUNCTION("""COMPUTED_VALUE"""),"Kit Delivery")</f>
        <v>Kit Delivery</v>
      </c>
      <c r="D186" s="93">
        <f>IFERROR(__xludf.DUMMYFUNCTION("""COMPUTED_VALUE"""),1.0)</f>
        <v>1</v>
      </c>
      <c r="E186" s="93" t="str">
        <f>IFERROR(__xludf.DUMMYFUNCTION("""COMPUTED_VALUE"""),"Koenig")</f>
        <v>Koenig</v>
      </c>
      <c r="F186" s="93">
        <f>IFERROR(__xludf.DUMMYFUNCTION("""COMPUTED_VALUE"""),4410.0)</f>
        <v>4410</v>
      </c>
      <c r="G186" s="93" t="str">
        <f>IFERROR(__xludf.DUMMYFUNCTION("""COMPUTED_VALUE"""),"Kate Roddriguez")</f>
        <v>Kate Roddriguez</v>
      </c>
      <c r="H186" s="93">
        <f>IFERROR(__xludf.DUMMYFUNCTION("""COMPUTED_VALUE"""),4.752832419E9)</f>
        <v>4752832419</v>
      </c>
      <c r="I186" s="93" t="str">
        <f>IFERROR(__xludf.DUMMYFUNCTION("""COMPUTED_VALUE"""),"9AM-11AM")</f>
        <v>9AM-11AM</v>
      </c>
      <c r="J186" s="93">
        <f>IFERROR(__xludf.DUMMYFUNCTION("""COMPUTED_VALUE"""),2.0)</f>
        <v>2</v>
      </c>
      <c r="K186" s="93" t="str">
        <f>IFERROR(__xludf.DUMMYFUNCTION("""COMPUTED_VALUE"""),"Complete")</f>
        <v>Complete</v>
      </c>
      <c r="L186" s="93" t="str">
        <f>IFERROR(__xludf.DUMMYFUNCTION("""COMPUTED_VALUE"""),"Call her and let her know tomorrow, this is the girl Kate that room got flooded that me and Carlos helped move. I’m leaving her stuff at her old building number 4410 because I don’t have her new one !")</f>
        <v>Call her and let her know tomorrow, this is the girl Kate that room got flooded that me and Carlos helped move. I’m leaving her stuff at her old building number 4410 because I don’t have her new one !</v>
      </c>
      <c r="M186" s="94">
        <f>IFERROR(__xludf.DUMMYFUNCTION("""COMPUTED_VALUE"""),46124.051898148144)</f>
        <v>46124.0519</v>
      </c>
      <c r="N186" s="93">
        <f>IFERROR(__xludf.DUMMYFUNCTION("""COMPUTED_VALUE"""),144.0)</f>
        <v>144</v>
      </c>
      <c r="O186" s="93"/>
      <c r="P186" s="93" t="str">
        <f>IFERROR(__xludf.DUMMYFUNCTION("""COMPUTED_VALUE"""),"Kit Delivery")</f>
        <v>Kit Delivery</v>
      </c>
      <c r="Q186" s="93"/>
      <c r="R186" s="93"/>
      <c r="S186" s="95">
        <f>IFERROR(__xludf.DUMMYFUNCTION("""COMPUTED_VALUE"""),46124.4096875)</f>
        <v>46124.40969</v>
      </c>
      <c r="T186" s="93"/>
      <c r="U186" s="93"/>
      <c r="V186" s="93"/>
      <c r="W186" s="93"/>
      <c r="X186" s="93"/>
      <c r="Y186" s="93"/>
      <c r="Z186" s="93"/>
    </row>
    <row r="187">
      <c r="A187" s="93" t="str">
        <f>IFERROR(__xludf.DUMMYFUNCTION("""COMPUTED_VALUE"""),"KIT-#17576")</f>
        <v>KIT-#17576</v>
      </c>
      <c r="B187" s="94">
        <f>IFERROR(__xludf.DUMMYFUNCTION("""COMPUTED_VALUE"""),46146.0)</f>
        <v>46146</v>
      </c>
      <c r="C187" s="93" t="str">
        <f>IFERROR(__xludf.DUMMYFUNCTION("""COMPUTED_VALUE"""),"Kit Delivery")</f>
        <v>Kit Delivery</v>
      </c>
      <c r="D187" s="93">
        <f>IFERROR(__xludf.DUMMYFUNCTION("""COMPUTED_VALUE"""),2.0)</f>
        <v>2</v>
      </c>
      <c r="E187" s="93" t="str">
        <f>IFERROR(__xludf.DUMMYFUNCTION("""COMPUTED_VALUE"""),"Umrath")</f>
        <v>Umrath</v>
      </c>
      <c r="F187" s="93">
        <f>IFERROR(__xludf.DUMMYFUNCTION("""COMPUTED_VALUE"""),3319.0)</f>
        <v>3319</v>
      </c>
      <c r="G187" s="93" t="str">
        <f>IFERROR(__xludf.DUMMYFUNCTION("""COMPUTED_VALUE"""),"Sarah Kim")</f>
        <v>Sarah Kim</v>
      </c>
      <c r="H187" s="93">
        <f>IFERROR(__xludf.DUMMYFUNCTION("""COMPUTED_VALUE"""),6.615053724E9)</f>
        <v>6615053724</v>
      </c>
      <c r="I187" s="93" t="str">
        <f>IFERROR(__xludf.DUMMYFUNCTION("""COMPUTED_VALUE"""),"9AM-11AM")</f>
        <v>9AM-11AM</v>
      </c>
      <c r="J187" s="93">
        <f>IFERROR(__xludf.DUMMYFUNCTION("""COMPUTED_VALUE"""),1.0)</f>
        <v>1</v>
      </c>
      <c r="K187" s="93" t="str">
        <f>IFERROR(__xludf.DUMMYFUNCTION("""COMPUTED_VALUE"""),"Complete")</f>
        <v>Complete</v>
      </c>
      <c r="L187" s="93"/>
      <c r="M187" s="94">
        <f>IFERROR(__xludf.DUMMYFUNCTION("""COMPUTED_VALUE"""),46129.86046296296)</f>
        <v>46129.86046</v>
      </c>
      <c r="N187" s="93">
        <f>IFERROR(__xludf.DUMMYFUNCTION("""COMPUTED_VALUE"""),166.0)</f>
        <v>166</v>
      </c>
      <c r="O187" s="93"/>
      <c r="P187" s="93" t="str">
        <f>IFERROR(__xludf.DUMMYFUNCTION("""COMPUTED_VALUE"""),"Kit Delivery")</f>
        <v>Kit Delivery</v>
      </c>
      <c r="Q187" s="93"/>
      <c r="R187" s="93"/>
      <c r="S187" s="93" t="str">
        <f>IFERROR(__xludf.DUMMYFUNCTION("""COMPUTED_VALUE"""),"Dispatch_Images/KIT--17576.Photos.013901.jpg")</f>
        <v>Dispatch_Images/KIT--17576.Photos.013901.jpg</v>
      </c>
      <c r="T187" s="95">
        <f>IFERROR(__xludf.DUMMYFUNCTION("""COMPUTED_VALUE"""),46129.863217592596)</f>
        <v>46129.86322</v>
      </c>
      <c r="U187" s="93"/>
      <c r="V187" s="93"/>
      <c r="W187" s="93"/>
      <c r="X187" s="93"/>
      <c r="Y187" s="93"/>
      <c r="Z187" s="93"/>
    </row>
    <row r="188">
      <c r="A188" s="93" t="str">
        <f>IFERROR(__xludf.DUMMYFUNCTION("""COMPUTED_VALUE"""),"KIT-#17433")</f>
        <v>KIT-#17433</v>
      </c>
      <c r="B188" s="94">
        <f>IFERROR(__xludf.DUMMYFUNCTION("""COMPUTED_VALUE"""),46146.0)</f>
        <v>46146</v>
      </c>
      <c r="C188" s="93" t="str">
        <f>IFERROR(__xludf.DUMMYFUNCTION("""COMPUTED_VALUE"""),"Kit Delivery")</f>
        <v>Kit Delivery</v>
      </c>
      <c r="D188" s="93">
        <f>IFERROR(__xludf.DUMMYFUNCTION("""COMPUTED_VALUE"""),2.0)</f>
        <v>2</v>
      </c>
      <c r="E188" s="93" t="str">
        <f>IFERROR(__xludf.DUMMYFUNCTION("""COMPUTED_VALUE"""),"Umrath")</f>
        <v>Umrath</v>
      </c>
      <c r="F188" s="93">
        <f>IFERROR(__xludf.DUMMYFUNCTION("""COMPUTED_VALUE"""),3330.0)</f>
        <v>3330</v>
      </c>
      <c r="G188" s="93" t="str">
        <f>IFERROR(__xludf.DUMMYFUNCTION("""COMPUTED_VALUE"""),"Kai Lee")</f>
        <v>Kai Lee</v>
      </c>
      <c r="H188" s="93">
        <f>IFERROR(__xludf.DUMMYFUNCTION("""COMPUTED_VALUE"""),2.018447205E9)</f>
        <v>2018447205</v>
      </c>
      <c r="I188" s="93" t="str">
        <f>IFERROR(__xludf.DUMMYFUNCTION("""COMPUTED_VALUE"""),"3PM-5PM")</f>
        <v>3PM-5PM</v>
      </c>
      <c r="J188" s="93">
        <f>IFERROR(__xludf.DUMMYFUNCTION("""COMPUTED_VALUE"""),1.0)</f>
        <v>1</v>
      </c>
      <c r="K188" s="93" t="str">
        <f>IFERROR(__xludf.DUMMYFUNCTION("""COMPUTED_VALUE"""),"Complete")</f>
        <v>Complete</v>
      </c>
      <c r="L188" s="93"/>
      <c r="M188" s="94">
        <f>IFERROR(__xludf.DUMMYFUNCTION("""COMPUTED_VALUE"""),46129.8656712963)</f>
        <v>46129.86567</v>
      </c>
      <c r="N188" s="93">
        <f>IFERROR(__xludf.DUMMYFUNCTION("""COMPUTED_VALUE"""),168.0)</f>
        <v>168</v>
      </c>
      <c r="O188" s="93"/>
      <c r="P188" s="93" t="str">
        <f>IFERROR(__xludf.DUMMYFUNCTION("""COMPUTED_VALUE"""),"Kit Delivery")</f>
        <v>Kit Delivery</v>
      </c>
      <c r="Q188" s="93"/>
      <c r="R188" s="93"/>
      <c r="S188" s="93" t="str">
        <f>IFERROR(__xludf.DUMMYFUNCTION("""COMPUTED_VALUE"""),"Dispatch_Images/KIT--17433.Photos.014630.jpg")</f>
        <v>Dispatch_Images/KIT--17433.Photos.014630.jpg</v>
      </c>
      <c r="T188" s="95">
        <f>IFERROR(__xludf.DUMMYFUNCTION("""COMPUTED_VALUE"""),46129.870162037034)</f>
        <v>46129.87016</v>
      </c>
      <c r="U188" s="93"/>
      <c r="V188" s="93"/>
      <c r="W188" s="93"/>
      <c r="X188" s="93"/>
      <c r="Y188" s="93"/>
      <c r="Z188" s="93"/>
    </row>
    <row r="189">
      <c r="A189" s="93" t="str">
        <f>IFERROR(__xludf.DUMMYFUNCTION("""COMPUTED_VALUE"""),"KIT-#17439")</f>
        <v>KIT-#17439</v>
      </c>
      <c r="B189" s="94">
        <f>IFERROR(__xludf.DUMMYFUNCTION("""COMPUTED_VALUE"""),46146.0)</f>
        <v>46146</v>
      </c>
      <c r="C189" s="93" t="str">
        <f>IFERROR(__xludf.DUMMYFUNCTION("""COMPUTED_VALUE"""),"Kit Delivery")</f>
        <v>Kit Delivery</v>
      </c>
      <c r="D189" s="93">
        <f>IFERROR(__xludf.DUMMYFUNCTION("""COMPUTED_VALUE"""),1.0)</f>
        <v>1</v>
      </c>
      <c r="E189" s="93" t="str">
        <f>IFERROR(__xludf.DUMMYFUNCTION("""COMPUTED_VALUE"""),"Dardick")</f>
        <v>Dardick</v>
      </c>
      <c r="F189" s="93">
        <f>IFERROR(__xludf.DUMMYFUNCTION("""COMPUTED_VALUE"""),4415.0)</f>
        <v>4415</v>
      </c>
      <c r="G189" s="93" t="str">
        <f>IFERROR(__xludf.DUMMYFUNCTION("""COMPUTED_VALUE"""),"Eunice")</f>
        <v>Eunice</v>
      </c>
      <c r="H189" s="93">
        <f>IFERROR(__xludf.DUMMYFUNCTION("""COMPUTED_VALUE"""),4.847522285E9)</f>
        <v>4847522285</v>
      </c>
      <c r="I189" s="93" t="str">
        <f>IFERROR(__xludf.DUMMYFUNCTION("""COMPUTED_VALUE"""),"12PM-2PM")</f>
        <v>12PM-2PM</v>
      </c>
      <c r="J189" s="93">
        <f>IFERROR(__xludf.DUMMYFUNCTION("""COMPUTED_VALUE"""),1.0)</f>
        <v>1</v>
      </c>
      <c r="K189" s="93" t="str">
        <f>IFERROR(__xludf.DUMMYFUNCTION("""COMPUTED_VALUE"""),"Complete")</f>
        <v>Complete</v>
      </c>
      <c r="L189" s="93"/>
      <c r="M189" s="94">
        <f>IFERROR(__xludf.DUMMYFUNCTION("""COMPUTED_VALUE"""),46130.38927083333)</f>
        <v>46130.38927</v>
      </c>
      <c r="N189" s="93">
        <f>IFERROR(__xludf.DUMMYFUNCTION("""COMPUTED_VALUE"""),127.0)</f>
        <v>127</v>
      </c>
      <c r="O189" s="93"/>
      <c r="P189" s="93" t="str">
        <f>IFERROR(__xludf.DUMMYFUNCTION("""COMPUTED_VALUE"""),"Kit Delivery")</f>
        <v>Kit Delivery</v>
      </c>
      <c r="Q189" s="93" t="str">
        <f>IFERROR(__xludf.DUMMYFUNCTION("""COMPUTED_VALUE"""),"Delivery Address: Village - 2122 - a")</f>
        <v>Delivery Address: Village - 2122 - a</v>
      </c>
      <c r="R189" s="93"/>
      <c r="S189" s="93" t="str">
        <f>IFERROR(__xludf.DUMMYFUNCTION("""COMPUTED_VALUE"""),"Dispatch_Images/KIT--17439.Photos.142029.jpg")</f>
        <v>Dispatch_Images/KIT--17439.Photos.142029.jpg</v>
      </c>
      <c r="T189" s="95">
        <f>IFERROR(__xludf.DUMMYFUNCTION("""COMPUTED_VALUE"""),46130.39099537037)</f>
        <v>46130.391</v>
      </c>
      <c r="U189" s="93"/>
      <c r="V189" s="93"/>
      <c r="W189" s="93"/>
      <c r="X189" s="93"/>
      <c r="Y189" s="93"/>
      <c r="Z189" s="93"/>
    </row>
    <row r="190">
      <c r="A190" s="93" t="str">
        <f>IFERROR(__xludf.DUMMYFUNCTION("""COMPUTED_VALUE"""),"KIT-#17481")</f>
        <v>KIT-#17481</v>
      </c>
      <c r="B190" s="94">
        <f>IFERROR(__xludf.DUMMYFUNCTION("""COMPUTED_VALUE"""),46146.0)</f>
        <v>46146</v>
      </c>
      <c r="C190" s="93" t="str">
        <f>IFERROR(__xludf.DUMMYFUNCTION("""COMPUTED_VALUE"""),"Kit Delivery")</f>
        <v>Kit Delivery</v>
      </c>
      <c r="D190" s="93">
        <f>IFERROR(__xludf.DUMMYFUNCTION("""COMPUTED_VALUE"""),1.0)</f>
        <v>1</v>
      </c>
      <c r="E190" s="93" t="str">
        <f>IFERROR(__xludf.DUMMYFUNCTION("""COMPUTED_VALUE"""),"Dardick")</f>
        <v>Dardick</v>
      </c>
      <c r="F190" s="93">
        <f>IFERROR(__xludf.DUMMYFUNCTION("""COMPUTED_VALUE"""),2207.0)</f>
        <v>2207</v>
      </c>
      <c r="G190" s="93" t="str">
        <f>IFERROR(__xludf.DUMMYFUNCTION("""COMPUTED_VALUE"""),"Elizabeth Ciment")</f>
        <v>Elizabeth Ciment</v>
      </c>
      <c r="H190" s="93">
        <f>IFERROR(__xludf.DUMMYFUNCTION("""COMPUTED_VALUE"""),6.468894671E9)</f>
        <v>6468894671</v>
      </c>
      <c r="I190" s="93" t="str">
        <f>IFERROR(__xludf.DUMMYFUNCTION("""COMPUTED_VALUE"""),"11AM-1PM")</f>
        <v>11AM-1PM</v>
      </c>
      <c r="J190" s="93">
        <f>IFERROR(__xludf.DUMMYFUNCTION("""COMPUTED_VALUE"""),1.0)</f>
        <v>1</v>
      </c>
      <c r="K190" s="93" t="str">
        <f>IFERROR(__xludf.DUMMYFUNCTION("""COMPUTED_VALUE"""),"Complete")</f>
        <v>Complete</v>
      </c>
      <c r="L190" s="93"/>
      <c r="M190" s="94">
        <f>IFERROR(__xludf.DUMMYFUNCTION("""COMPUTED_VALUE"""),46130.393912037034)</f>
        <v>46130.39391</v>
      </c>
      <c r="N190" s="93">
        <f>IFERROR(__xludf.DUMMYFUNCTION("""COMPUTED_VALUE"""),118.0)</f>
        <v>118</v>
      </c>
      <c r="O190" s="93"/>
      <c r="P190" s="93" t="str">
        <f>IFERROR(__xludf.DUMMYFUNCTION("""COMPUTED_VALUE"""),"Kit Delivery")</f>
        <v>Kit Delivery</v>
      </c>
      <c r="Q190" s="93"/>
      <c r="R190" s="93"/>
      <c r="S190" s="93" t="str">
        <f>IFERROR(__xludf.DUMMYFUNCTION("""COMPUTED_VALUE"""),"Dispatch_Images/KIT--17481.Photos.142711.jpg")</f>
        <v>Dispatch_Images/KIT--17481.Photos.142711.jpg</v>
      </c>
      <c r="T190" s="95">
        <f>IFERROR(__xludf.DUMMYFUNCTION("""COMPUTED_VALUE"""),46130.39796296296)</f>
        <v>46130.39796</v>
      </c>
      <c r="U190" s="93"/>
      <c r="V190" s="93"/>
      <c r="W190" s="93"/>
      <c r="X190" s="93"/>
      <c r="Y190" s="93"/>
      <c r="Z190" s="93"/>
    </row>
    <row r="191">
      <c r="A191" s="93" t="str">
        <f>IFERROR(__xludf.DUMMYFUNCTION("""COMPUTED_VALUE"""),"KIT-#17432")</f>
        <v>KIT-#17432</v>
      </c>
      <c r="B191" s="94">
        <f>IFERROR(__xludf.DUMMYFUNCTION("""COMPUTED_VALUE"""),46146.0)</f>
        <v>46146</v>
      </c>
      <c r="C191" s="93" t="str">
        <f>IFERROR(__xludf.DUMMYFUNCTION("""COMPUTED_VALUE"""),"Kit Delivery")</f>
        <v>Kit Delivery</v>
      </c>
      <c r="D191" s="93">
        <f>IFERROR(__xludf.DUMMYFUNCTION("""COMPUTED_VALUE"""),3.0)</f>
        <v>3</v>
      </c>
      <c r="E191" s="93" t="str">
        <f>IFERROR(__xludf.DUMMYFUNCTION("""COMPUTED_VALUE"""),"Koenig")</f>
        <v>Koenig</v>
      </c>
      <c r="F191" s="93">
        <f>IFERROR(__xludf.DUMMYFUNCTION("""COMPUTED_VALUE"""),3321.0)</f>
        <v>3321</v>
      </c>
      <c r="G191" s="93" t="str">
        <f>IFERROR(__xludf.DUMMYFUNCTION("""COMPUTED_VALUE"""),"Moshu Yuan")</f>
        <v>Moshu Yuan</v>
      </c>
      <c r="H191" s="93">
        <f>IFERROR(__xludf.DUMMYFUNCTION("""COMPUTED_VALUE"""),3.146469956E9)</f>
        <v>3146469956</v>
      </c>
      <c r="I191" s="93" t="str">
        <f>IFERROR(__xludf.DUMMYFUNCTION("""COMPUTED_VALUE"""),"1PM-3PM")</f>
        <v>1PM-3PM</v>
      </c>
      <c r="J191" s="93">
        <f>IFERROR(__xludf.DUMMYFUNCTION("""COMPUTED_VALUE"""),1.0)</f>
        <v>1</v>
      </c>
      <c r="K191" s="93" t="str">
        <f>IFERROR(__xludf.DUMMYFUNCTION("""COMPUTED_VALUE"""),"Complete")</f>
        <v>Complete</v>
      </c>
      <c r="L191" s="93"/>
      <c r="M191" s="94">
        <f>IFERROR(__xludf.DUMMYFUNCTION("""COMPUTED_VALUE"""),46130.43498842593)</f>
        <v>46130.43499</v>
      </c>
      <c r="N191" s="93">
        <f>IFERROR(__xludf.DUMMYFUNCTION("""COMPUTED_VALUE"""),208.0)</f>
        <v>208</v>
      </c>
      <c r="O191" s="93"/>
      <c r="P191" s="93" t="str">
        <f>IFERROR(__xludf.DUMMYFUNCTION("""COMPUTED_VALUE"""),"Kit Delivery")</f>
        <v>Kit Delivery</v>
      </c>
      <c r="Q191" s="93"/>
      <c r="R191" s="93"/>
      <c r="S191" s="93" t="str">
        <f>IFERROR(__xludf.DUMMYFUNCTION("""COMPUTED_VALUE"""),"Dispatch_Images/KIT--17432.Photos.152619.jpg")</f>
        <v>Dispatch_Images/KIT--17432.Photos.152619.jpg</v>
      </c>
      <c r="T191" s="95">
        <f>IFERROR(__xludf.DUMMYFUNCTION("""COMPUTED_VALUE"""),46130.43962962963)</f>
        <v>46130.43963</v>
      </c>
      <c r="U191" s="93"/>
      <c r="V191" s="93"/>
      <c r="W191" s="93"/>
      <c r="X191" s="93"/>
      <c r="Y191" s="93"/>
      <c r="Z191" s="93"/>
    </row>
    <row r="192">
      <c r="A192" s="93" t="str">
        <f>IFERROR(__xludf.DUMMYFUNCTION("""COMPUTED_VALUE"""),"KIT-#17418")</f>
        <v>KIT-#17418</v>
      </c>
      <c r="B192" s="94">
        <f>IFERROR(__xludf.DUMMYFUNCTION("""COMPUTED_VALUE"""),46146.0)</f>
        <v>46146</v>
      </c>
      <c r="C192" s="93" t="str">
        <f>IFERROR(__xludf.DUMMYFUNCTION("""COMPUTED_VALUE"""),"Kit Delivery")</f>
        <v>Kit Delivery</v>
      </c>
      <c r="D192" s="93">
        <f>IFERROR(__xludf.DUMMYFUNCTION("""COMPUTED_VALUE"""),3.0)</f>
        <v>3</v>
      </c>
      <c r="E192" s="93" t="str">
        <f>IFERROR(__xludf.DUMMYFUNCTION("""COMPUTED_VALUE"""),"Village East")</f>
        <v>Village East</v>
      </c>
      <c r="F192" s="93">
        <f>IFERROR(__xludf.DUMMYFUNCTION("""COMPUTED_VALUE"""),2093.0)</f>
        <v>2093</v>
      </c>
      <c r="G192" s="93" t="str">
        <f>IFERROR(__xludf.DUMMYFUNCTION("""COMPUTED_VALUE"""),"Noelle Hornback")</f>
        <v>Noelle Hornback</v>
      </c>
      <c r="H192" s="93">
        <f>IFERROR(__xludf.DUMMYFUNCTION("""COMPUTED_VALUE"""),6.4655256E9)</f>
        <v>6465525600</v>
      </c>
      <c r="I192" s="93" t="str">
        <f>IFERROR(__xludf.DUMMYFUNCTION("""COMPUTED_VALUE"""),"9AM-11AM")</f>
        <v>9AM-11AM</v>
      </c>
      <c r="J192" s="93">
        <f>IFERROR(__xludf.DUMMYFUNCTION("""COMPUTED_VALUE"""),1.0)</f>
        <v>1</v>
      </c>
      <c r="K192" s="93" t="str">
        <f>IFERROR(__xludf.DUMMYFUNCTION("""COMPUTED_VALUE"""),"Complete")</f>
        <v>Complete</v>
      </c>
      <c r="L192" s="93"/>
      <c r="M192" s="94">
        <f>IFERROR(__xludf.DUMMYFUNCTION("""COMPUTED_VALUE"""),46130.48679398149)</f>
        <v>46130.48679</v>
      </c>
      <c r="N192" s="93">
        <f>IFERROR(__xludf.DUMMYFUNCTION("""COMPUTED_VALUE"""),269.0)</f>
        <v>269</v>
      </c>
      <c r="O192" s="93"/>
      <c r="P192" s="93" t="str">
        <f>IFERROR(__xludf.DUMMYFUNCTION("""COMPUTED_VALUE"""),"Kit Delivery")</f>
        <v>Kit Delivery</v>
      </c>
      <c r="Q192" s="93"/>
      <c r="R192" s="93"/>
      <c r="S192" s="93" t="str">
        <f>IFERROR(__xludf.DUMMYFUNCTION("""COMPUTED_VALUE"""),"Dispatch_Images/KIT--17418.Photos.164056.jpg")</f>
        <v>Dispatch_Images/KIT--17418.Photos.164056.jpg</v>
      </c>
      <c r="T192" s="95">
        <f>IFERROR(__xludf.DUMMYFUNCTION("""COMPUTED_VALUE"""),46130.488229166665)</f>
        <v>46130.48823</v>
      </c>
      <c r="U192" s="93"/>
      <c r="V192" s="93"/>
      <c r="W192" s="93"/>
      <c r="X192" s="93"/>
      <c r="Y192" s="93"/>
      <c r="Z192" s="93"/>
    </row>
    <row r="193">
      <c r="A193" s="93" t="str">
        <f>IFERROR(__xludf.DUMMYFUNCTION("""COMPUTED_VALUE"""),"KIT-#17628")</f>
        <v>KIT-#17628</v>
      </c>
      <c r="B193" s="94">
        <f>IFERROR(__xludf.DUMMYFUNCTION("""COMPUTED_VALUE"""),46146.0)</f>
        <v>46146</v>
      </c>
      <c r="C193" s="93" t="str">
        <f>IFERROR(__xludf.DUMMYFUNCTION("""COMPUTED_VALUE"""),"Kit Delivery")</f>
        <v>Kit Delivery</v>
      </c>
      <c r="D193" s="93">
        <f>IFERROR(__xludf.DUMMYFUNCTION("""COMPUTED_VALUE"""),2.0)</f>
        <v>2</v>
      </c>
      <c r="E193" s="93" t="str">
        <f>IFERROR(__xludf.DUMMYFUNCTION("""COMPUTED_VALUE"""),"Village House")</f>
        <v>Village House</v>
      </c>
      <c r="F193" s="93">
        <f>IFERROR(__xludf.DUMMYFUNCTION("""COMPUTED_VALUE"""),3021.0)</f>
        <v>3021</v>
      </c>
      <c r="G193" s="93" t="str">
        <f>IFERROR(__xludf.DUMMYFUNCTION("""COMPUTED_VALUE"""),"Ava Glaser")</f>
        <v>Ava Glaser</v>
      </c>
      <c r="H193" s="93">
        <f>IFERROR(__xludf.DUMMYFUNCTION("""COMPUTED_VALUE"""),6.176335474E9)</f>
        <v>6176335474</v>
      </c>
      <c r="I193" s="93" t="str">
        <f>IFERROR(__xludf.DUMMYFUNCTION("""COMPUTED_VALUE"""),"2PM-4PM")</f>
        <v>2PM-4PM</v>
      </c>
      <c r="J193" s="93">
        <f>IFERROR(__xludf.DUMMYFUNCTION("""COMPUTED_VALUE"""),1.0)</f>
        <v>1</v>
      </c>
      <c r="K193" s="93" t="str">
        <f>IFERROR(__xludf.DUMMYFUNCTION("""COMPUTED_VALUE"""),"Complete")</f>
        <v>Complete</v>
      </c>
      <c r="L193" s="93"/>
      <c r="M193" s="94">
        <f>IFERROR(__xludf.DUMMYFUNCTION("""COMPUTED_VALUE"""),46134.786412037036)</f>
        <v>46134.78641</v>
      </c>
      <c r="N193" s="93">
        <f>IFERROR(__xludf.DUMMYFUNCTION("""COMPUTED_VALUE"""),222.0)</f>
        <v>222</v>
      </c>
      <c r="O193" s="93"/>
      <c r="P193" s="93" t="str">
        <f>IFERROR(__xludf.DUMMYFUNCTION("""COMPUTED_VALUE"""),"Kit Delivery")</f>
        <v>Kit Delivery</v>
      </c>
      <c r="Q193" s="93"/>
      <c r="R193" s="93"/>
      <c r="S193" s="93" t="str">
        <f>IFERROR(__xludf.DUMMYFUNCTION("""COMPUTED_VALUE"""),"Dispatch_Images/KIT--17628.Photos.235222.jpg")</f>
        <v>Dispatch_Images/KIT--17628.Photos.235222.jpg</v>
      </c>
      <c r="T193" s="95">
        <f>IFERROR(__xludf.DUMMYFUNCTION("""COMPUTED_VALUE"""),46134.786840277775)</f>
        <v>46134.78684</v>
      </c>
      <c r="U193" s="93"/>
      <c r="V193" s="93"/>
      <c r="W193" s="93"/>
      <c r="X193" s="93"/>
      <c r="Y193" s="93"/>
      <c r="Z193" s="93"/>
    </row>
    <row r="194">
      <c r="A194" s="93" t="str">
        <f>IFERROR(__xludf.DUMMYFUNCTION("""COMPUTED_VALUE"""),"KIT-#17657")</f>
        <v>KIT-#17657</v>
      </c>
      <c r="B194" s="94">
        <f>IFERROR(__xludf.DUMMYFUNCTION("""COMPUTED_VALUE"""),46146.0)</f>
        <v>46146</v>
      </c>
      <c r="C194" s="93" t="str">
        <f>IFERROR(__xludf.DUMMYFUNCTION("""COMPUTED_VALUE"""),"Kit Delivery")</f>
        <v>Kit Delivery</v>
      </c>
      <c r="D194" s="93">
        <f>IFERROR(__xludf.DUMMYFUNCTION("""COMPUTED_VALUE"""),2.0)</f>
        <v>2</v>
      </c>
      <c r="E194" s="93" t="str">
        <f>IFERROR(__xludf.DUMMYFUNCTION("""COMPUTED_VALUE"""),"Village House")</f>
        <v>Village House</v>
      </c>
      <c r="F194" s="93">
        <f>IFERROR(__xludf.DUMMYFUNCTION("""COMPUTED_VALUE"""),3032.0)</f>
        <v>3032</v>
      </c>
      <c r="G194" s="93" t="str">
        <f>IFERROR(__xludf.DUMMYFUNCTION("""COMPUTED_VALUE"""),"Rain Cao")</f>
        <v>Rain Cao</v>
      </c>
      <c r="H194" s="93">
        <f>IFERROR(__xludf.DUMMYFUNCTION("""COMPUTED_VALUE"""),3.144371708E9)</f>
        <v>3144371708</v>
      </c>
      <c r="I194" s="93" t="str">
        <f>IFERROR(__xludf.DUMMYFUNCTION("""COMPUTED_VALUE"""),"9AM-11AM")</f>
        <v>9AM-11AM</v>
      </c>
      <c r="J194" s="93">
        <f>IFERROR(__xludf.DUMMYFUNCTION("""COMPUTED_VALUE"""),1.0)</f>
        <v>1</v>
      </c>
      <c r="K194" s="93" t="str">
        <f>IFERROR(__xludf.DUMMYFUNCTION("""COMPUTED_VALUE"""),"Complete")</f>
        <v>Complete</v>
      </c>
      <c r="L194" s="93"/>
      <c r="M194" s="94">
        <f>IFERROR(__xludf.DUMMYFUNCTION("""COMPUTED_VALUE"""),46134.786886574075)</f>
        <v>46134.78689</v>
      </c>
      <c r="N194" s="93">
        <f>IFERROR(__xludf.DUMMYFUNCTION("""COMPUTED_VALUE"""),223.0)</f>
        <v>223</v>
      </c>
      <c r="O194" s="93"/>
      <c r="P194" s="93" t="str">
        <f>IFERROR(__xludf.DUMMYFUNCTION("""COMPUTED_VALUE"""),"Kit Delivery")</f>
        <v>Kit Delivery</v>
      </c>
      <c r="Q194" s="93"/>
      <c r="R194" s="93"/>
      <c r="S194" s="93" t="str">
        <f>IFERROR(__xludf.DUMMYFUNCTION("""COMPUTED_VALUE"""),"Dispatch_Images/KIT--17657.Photos.235303.jpg")</f>
        <v>Dispatch_Images/KIT--17657.Photos.235303.jpg</v>
      </c>
      <c r="T194" s="95">
        <f>IFERROR(__xludf.DUMMYFUNCTION("""COMPUTED_VALUE"""),46134.79378472222)</f>
        <v>46134.79378</v>
      </c>
      <c r="U194" s="93"/>
      <c r="V194" s="93"/>
      <c r="W194" s="93"/>
      <c r="X194" s="93"/>
      <c r="Y194" s="93"/>
      <c r="Z194" s="93"/>
    </row>
    <row r="195">
      <c r="A195" s="93" t="str">
        <f>IFERROR(__xludf.DUMMYFUNCTION("""COMPUTED_VALUE"""),"KIT-#17664")</f>
        <v>KIT-#17664</v>
      </c>
      <c r="B195" s="94">
        <f>IFERROR(__xludf.DUMMYFUNCTION("""COMPUTED_VALUE"""),46146.0)</f>
        <v>46146</v>
      </c>
      <c r="C195" s="93" t="str">
        <f>IFERROR(__xludf.DUMMYFUNCTION("""COMPUTED_VALUE"""),"Kit Delivery")</f>
        <v>Kit Delivery</v>
      </c>
      <c r="D195" s="93">
        <f>IFERROR(__xludf.DUMMYFUNCTION("""COMPUTED_VALUE"""),2.0)</f>
        <v>2</v>
      </c>
      <c r="E195" s="93" t="str">
        <f>IFERROR(__xludf.DUMMYFUNCTION("""COMPUTED_VALUE"""),"Danforth")</f>
        <v>Danforth</v>
      </c>
      <c r="F195" s="93">
        <f>IFERROR(__xludf.DUMMYFUNCTION("""COMPUTED_VALUE"""),2222.0)</f>
        <v>2222</v>
      </c>
      <c r="G195" s="93" t="str">
        <f>IFERROR(__xludf.DUMMYFUNCTION("""COMPUTED_VALUE"""),"Betsy Slover")</f>
        <v>Betsy Slover</v>
      </c>
      <c r="H195" s="93">
        <f>IFERROR(__xludf.DUMMYFUNCTION("""COMPUTED_VALUE"""),5.125850522E9)</f>
        <v>5125850522</v>
      </c>
      <c r="I195" s="93" t="str">
        <f>IFERROR(__xludf.DUMMYFUNCTION("""COMPUTED_VALUE"""),"9AM-11AM")</f>
        <v>9AM-11AM</v>
      </c>
      <c r="J195" s="93">
        <f>IFERROR(__xludf.DUMMYFUNCTION("""COMPUTED_VALUE"""),2.0)</f>
        <v>2</v>
      </c>
      <c r="K195" s="93" t="str">
        <f>IFERROR(__xludf.DUMMYFUNCTION("""COMPUTED_VALUE"""),"Complete")</f>
        <v>Complete</v>
      </c>
      <c r="L195" s="93"/>
      <c r="M195" s="94">
        <f>IFERROR(__xludf.DUMMYFUNCTION("""COMPUTED_VALUE"""),46136.5153125)</f>
        <v>46136.51531</v>
      </c>
      <c r="N195" s="93">
        <f>IFERROR(__xludf.DUMMYFUNCTION("""COMPUTED_VALUE"""),49.0)</f>
        <v>49</v>
      </c>
      <c r="O195" s="93" t="str">
        <f>IFERROR(__xludf.DUMMYFUNCTION("""COMPUTED_VALUE"""),"4814 City park Road, Austin Texas 78730")</f>
        <v>4814 City park Road, Austin Texas 78730</v>
      </c>
      <c r="P195" s="93" t="str">
        <f>IFERROR(__xludf.DUMMYFUNCTION("""COMPUTED_VALUE"""),"Kit Delivery")</f>
        <v>Kit Delivery</v>
      </c>
      <c r="Q195" s="93"/>
      <c r="R195" s="93"/>
      <c r="S195" s="93" t="str">
        <f>IFERROR(__xludf.DUMMYFUNCTION("""COMPUTED_VALUE"""),"Dispatch_Images/KIT--17664.Photos.172159.jpg")</f>
        <v>Dispatch_Images/KIT--17664.Photos.172159.jpg</v>
      </c>
      <c r="T195" s="95">
        <f>IFERROR(__xludf.DUMMYFUNCTION("""COMPUTED_VALUE"""),46136.516018518516)</f>
        <v>46136.51602</v>
      </c>
      <c r="U195" s="93"/>
      <c r="V195" s="93"/>
      <c r="W195" s="93"/>
      <c r="X195" s="93"/>
      <c r="Y195" s="93"/>
      <c r="Z195" s="93"/>
    </row>
    <row r="196">
      <c r="A196" s="93" t="str">
        <f>IFERROR(__xludf.DUMMYFUNCTION("""COMPUTED_VALUE"""),"KIT-#17706")</f>
        <v>KIT-#17706</v>
      </c>
      <c r="B196" s="94">
        <f>IFERROR(__xludf.DUMMYFUNCTION("""COMPUTED_VALUE"""),46146.0)</f>
        <v>46146</v>
      </c>
      <c r="C196" s="93" t="str">
        <f>IFERROR(__xludf.DUMMYFUNCTION("""COMPUTED_VALUE"""),"Kit Delivery")</f>
        <v>Kit Delivery</v>
      </c>
      <c r="D196" s="93">
        <f>IFERROR(__xludf.DUMMYFUNCTION("""COMPUTED_VALUE"""),2.0)</f>
        <v>2</v>
      </c>
      <c r="E196" s="93" t="str">
        <f>IFERROR(__xludf.DUMMYFUNCTION("""COMPUTED_VALUE"""),"Dardick")</f>
        <v>Dardick</v>
      </c>
      <c r="F196" s="93">
        <f>IFERROR(__xludf.DUMMYFUNCTION("""COMPUTED_VALUE"""),3325.0)</f>
        <v>3325</v>
      </c>
      <c r="G196" s="93" t="str">
        <f>IFERROR(__xludf.DUMMYFUNCTION("""COMPUTED_VALUE"""),"Huili Jin")</f>
        <v>Huili Jin</v>
      </c>
      <c r="H196" s="93">
        <f>IFERROR(__xludf.DUMMYFUNCTION("""COMPUTED_VALUE"""),3.477073688E9)</f>
        <v>3477073688</v>
      </c>
      <c r="I196" s="93" t="str">
        <f>IFERROR(__xludf.DUMMYFUNCTION("""COMPUTED_VALUE"""),"12PM-2PM")</f>
        <v>12PM-2PM</v>
      </c>
      <c r="J196" s="93">
        <f>IFERROR(__xludf.DUMMYFUNCTION("""COMPUTED_VALUE"""),1.0)</f>
        <v>1</v>
      </c>
      <c r="K196" s="93" t="str">
        <f>IFERROR(__xludf.DUMMYFUNCTION("""COMPUTED_VALUE"""),"Complete")</f>
        <v>Complete</v>
      </c>
      <c r="L196" s="93"/>
      <c r="M196" s="94">
        <f>IFERROR(__xludf.DUMMYFUNCTION("""COMPUTED_VALUE"""),46136.57543981481)</f>
        <v>46136.57544</v>
      </c>
      <c r="N196" s="93">
        <f>IFERROR(__xludf.DUMMYFUNCTION("""COMPUTED_VALUE"""),107.0)</f>
        <v>107</v>
      </c>
      <c r="O196" s="93"/>
      <c r="P196" s="93" t="str">
        <f>IFERROR(__xludf.DUMMYFUNCTION("""COMPUTED_VALUE"""),"Kit Delivery")</f>
        <v>Kit Delivery</v>
      </c>
      <c r="Q196" s="93"/>
      <c r="R196" s="93"/>
      <c r="S196" s="93" t="str">
        <f>IFERROR(__xludf.DUMMYFUNCTION("""COMPUTED_VALUE"""),"Dispatch_Images/KIT--17706.Photos.184835.jpg")</f>
        <v>Dispatch_Images/KIT--17706.Photos.184835.jpg</v>
      </c>
      <c r="T196" s="95">
        <f>IFERROR(__xludf.DUMMYFUNCTION("""COMPUTED_VALUE"""),46136.57850694445)</f>
        <v>46136.57851</v>
      </c>
      <c r="U196" s="93"/>
      <c r="V196" s="93"/>
      <c r="W196" s="93"/>
      <c r="X196" s="93"/>
      <c r="Y196" s="93"/>
      <c r="Z196" s="93"/>
    </row>
    <row r="197">
      <c r="A197" s="93" t="str">
        <f>IFERROR(__xludf.DUMMYFUNCTION("""COMPUTED_VALUE"""),"KIT-#17587")</f>
        <v>KIT-#17587</v>
      </c>
      <c r="B197" s="94">
        <f>IFERROR(__xludf.DUMMYFUNCTION("""COMPUTED_VALUE"""),46146.0)</f>
        <v>46146</v>
      </c>
      <c r="C197" s="93" t="str">
        <f>IFERROR(__xludf.DUMMYFUNCTION("""COMPUTED_VALUE"""),"Kit Delivery")</f>
        <v>Kit Delivery</v>
      </c>
      <c r="D197" s="93">
        <f>IFERROR(__xludf.DUMMYFUNCTION("""COMPUTED_VALUE"""),2.0)</f>
        <v>2</v>
      </c>
      <c r="E197" s="93" t="str">
        <f>IFERROR(__xludf.DUMMYFUNCTION("""COMPUTED_VALUE"""),"Nemerov")</f>
        <v>Nemerov</v>
      </c>
      <c r="F197" s="93">
        <f>IFERROR(__xludf.DUMMYFUNCTION("""COMPUTED_VALUE"""),2010.0)</f>
        <v>2010</v>
      </c>
      <c r="G197" s="93" t="str">
        <f>IFERROR(__xludf.DUMMYFUNCTION("""COMPUTED_VALUE"""),"Kenneth Love-Fabrizio")</f>
        <v>Kenneth Love-Fabrizio</v>
      </c>
      <c r="H197" s="93">
        <f>IFERROR(__xludf.DUMMYFUNCTION("""COMPUTED_VALUE"""),1.2023085714E10)</f>
        <v>12023085714</v>
      </c>
      <c r="I197" s="93" t="str">
        <f>IFERROR(__xludf.DUMMYFUNCTION("""COMPUTED_VALUE"""),"3PM-5PM")</f>
        <v>3PM-5PM</v>
      </c>
      <c r="J197" s="93">
        <f>IFERROR(__xludf.DUMMYFUNCTION("""COMPUTED_VALUE"""),1.0)</f>
        <v>1</v>
      </c>
      <c r="K197" s="93" t="str">
        <f>IFERROR(__xludf.DUMMYFUNCTION("""COMPUTED_VALUE"""),"Complete")</f>
        <v>Complete</v>
      </c>
      <c r="L197" s="93"/>
      <c r="M197" s="94">
        <f>IFERROR(__xludf.DUMMYFUNCTION("""COMPUTED_VALUE"""),46137.55693287037)</f>
        <v>46137.55693</v>
      </c>
      <c r="N197" s="93">
        <f>IFERROR(__xludf.DUMMYFUNCTION("""COMPUTED_VALUE"""),104.0)</f>
        <v>104</v>
      </c>
      <c r="O197" s="93"/>
      <c r="P197" s="93" t="str">
        <f>IFERROR(__xludf.DUMMYFUNCTION("""COMPUTED_VALUE"""),"Kit Delivery")</f>
        <v>Kit Delivery</v>
      </c>
      <c r="Q197" s="93"/>
      <c r="R197" s="93"/>
      <c r="S197" s="93" t="str">
        <f>IFERROR(__xludf.DUMMYFUNCTION("""COMPUTED_VALUE"""),"Dispatch_Images/KIT--17587.Photos.182156.jpg")</f>
        <v>Dispatch_Images/KIT--17587.Photos.182156.jpg</v>
      </c>
      <c r="T197" s="95">
        <f>IFERROR(__xludf.DUMMYFUNCTION("""COMPUTED_VALUE"""),46137.55767361111)</f>
        <v>46137.55767</v>
      </c>
      <c r="U197" s="93"/>
      <c r="V197" s="93"/>
      <c r="W197" s="93"/>
      <c r="X197" s="93"/>
      <c r="Y197" s="93"/>
      <c r="Z197" s="93"/>
    </row>
    <row r="198">
      <c r="A198" s="93" t="str">
        <f>IFERROR(__xludf.DUMMYFUNCTION("""COMPUTED_VALUE"""),"KIT-#17632")</f>
        <v>KIT-#17632</v>
      </c>
      <c r="B198" s="94">
        <f>IFERROR(__xludf.DUMMYFUNCTION("""COMPUTED_VALUE"""),46146.0)</f>
        <v>46146</v>
      </c>
      <c r="C198" s="93" t="str">
        <f>IFERROR(__xludf.DUMMYFUNCTION("""COMPUTED_VALUE"""),"Kit Delivery")</f>
        <v>Kit Delivery</v>
      </c>
      <c r="D198" s="93">
        <f>IFERROR(__xludf.DUMMYFUNCTION("""COMPUTED_VALUE"""),2.0)</f>
        <v>2</v>
      </c>
      <c r="E198" s="93" t="str">
        <f>IFERROR(__xludf.DUMMYFUNCTION("""COMPUTED_VALUE"""),"Liggett")</f>
        <v>Liggett</v>
      </c>
      <c r="F198" s="93">
        <f>IFERROR(__xludf.DUMMYFUNCTION("""COMPUTED_VALUE"""),2272.0)</f>
        <v>2272</v>
      </c>
      <c r="G198" s="93" t="str">
        <f>IFERROR(__xludf.DUMMYFUNCTION("""COMPUTED_VALUE"""),"Libby Hurwitz")</f>
        <v>Libby Hurwitz</v>
      </c>
      <c r="H198" s="93">
        <f>IFERROR(__xludf.DUMMYFUNCTION("""COMPUTED_VALUE"""),2.026970061E9)</f>
        <v>2026970061</v>
      </c>
      <c r="I198" s="93" t="str">
        <f>IFERROR(__xludf.DUMMYFUNCTION("""COMPUTED_VALUE"""),"9AM-11AM")</f>
        <v>9AM-11AM</v>
      </c>
      <c r="J198" s="93">
        <f>IFERROR(__xludf.DUMMYFUNCTION("""COMPUTED_VALUE"""),1.0)</f>
        <v>1</v>
      </c>
      <c r="K198" s="93" t="str">
        <f>IFERROR(__xludf.DUMMYFUNCTION("""COMPUTED_VALUE"""),"Complete")</f>
        <v>Complete</v>
      </c>
      <c r="L198" s="93"/>
      <c r="M198" s="94">
        <f>IFERROR(__xludf.DUMMYFUNCTION("""COMPUTED_VALUE"""),46137.568194444444)</f>
        <v>46137.56819</v>
      </c>
      <c r="N198" s="93">
        <f>IFERROR(__xludf.DUMMYFUNCTION("""COMPUTED_VALUE"""),139.0)</f>
        <v>139</v>
      </c>
      <c r="O198" s="93"/>
      <c r="P198" s="93" t="str">
        <f>IFERROR(__xludf.DUMMYFUNCTION("""COMPUTED_VALUE"""),"Kit Delivery")</f>
        <v>Kit Delivery</v>
      </c>
      <c r="Q198" s="93"/>
      <c r="R198" s="93"/>
      <c r="S198" s="93" t="str">
        <f>IFERROR(__xludf.DUMMYFUNCTION("""COMPUTED_VALUE"""),"Dispatch_Images/KIT--17632.Photos.183808.jpg")</f>
        <v>Dispatch_Images/KIT--17632.Photos.183808.jpg</v>
      </c>
      <c r="T198" s="95">
        <f>IFERROR(__xludf.DUMMYFUNCTION("""COMPUTED_VALUE"""),46137.571550925924)</f>
        <v>46137.57155</v>
      </c>
      <c r="U198" s="93"/>
      <c r="V198" s="93"/>
      <c r="W198" s="93"/>
      <c r="X198" s="93"/>
      <c r="Y198" s="93"/>
      <c r="Z198" s="93"/>
    </row>
    <row r="199">
      <c r="A199" s="93" t="str">
        <f>IFERROR(__xludf.DUMMYFUNCTION("""COMPUTED_VALUE"""),"KIT-#17603")</f>
        <v>KIT-#17603</v>
      </c>
      <c r="B199" s="94">
        <f>IFERROR(__xludf.DUMMYFUNCTION("""COMPUTED_VALUE"""),46146.0)</f>
        <v>46146</v>
      </c>
      <c r="C199" s="93" t="str">
        <f>IFERROR(__xludf.DUMMYFUNCTION("""COMPUTED_VALUE"""),"Kit Delivery")</f>
        <v>Kit Delivery</v>
      </c>
      <c r="D199" s="93">
        <f>IFERROR(__xludf.DUMMYFUNCTION("""COMPUTED_VALUE"""),2.0)</f>
        <v>2</v>
      </c>
      <c r="E199" s="93" t="str">
        <f>IFERROR(__xludf.DUMMYFUNCTION("""COMPUTED_VALUE"""),"Liggett")</f>
        <v>Liggett</v>
      </c>
      <c r="F199" s="93">
        <f>IFERROR(__xludf.DUMMYFUNCTION("""COMPUTED_VALUE"""),3412.0)</f>
        <v>3412</v>
      </c>
      <c r="G199" s="93" t="str">
        <f>IFERROR(__xludf.DUMMYFUNCTION("""COMPUTED_VALUE"""),"Selena Bahl")</f>
        <v>Selena Bahl</v>
      </c>
      <c r="H199" s="93">
        <f>IFERROR(__xludf.DUMMYFUNCTION("""COMPUTED_VALUE"""),8.622060481E9)</f>
        <v>8622060481</v>
      </c>
      <c r="I199" s="93" t="str">
        <f>IFERROR(__xludf.DUMMYFUNCTION("""COMPUTED_VALUE"""),"10AM-12PM")</f>
        <v>10AM-12PM</v>
      </c>
      <c r="J199" s="93">
        <f>IFERROR(__xludf.DUMMYFUNCTION("""COMPUTED_VALUE"""),1.0)</f>
        <v>1</v>
      </c>
      <c r="K199" s="93" t="str">
        <f>IFERROR(__xludf.DUMMYFUNCTION("""COMPUTED_VALUE"""),"Complete")</f>
        <v>Complete</v>
      </c>
      <c r="L199" s="93"/>
      <c r="M199" s="94">
        <f>IFERROR(__xludf.DUMMYFUNCTION("""COMPUTED_VALUE"""),46137.57033564815)</f>
        <v>46137.57034</v>
      </c>
      <c r="N199" s="93">
        <f>IFERROR(__xludf.DUMMYFUNCTION("""COMPUTED_VALUE"""),141.0)</f>
        <v>141</v>
      </c>
      <c r="O199" s="93" t="str">
        <f>IFERROR(__xludf.DUMMYFUNCTION("""COMPUTED_VALUE"""),"9 Crestwood Drive Chatham NJ 07928")</f>
        <v>9 Crestwood Drive Chatham NJ 07928</v>
      </c>
      <c r="P199" s="93" t="str">
        <f>IFERROR(__xludf.DUMMYFUNCTION("""COMPUTED_VALUE"""),"Kit Delivery")</f>
        <v>Kit Delivery</v>
      </c>
      <c r="Q199" s="93"/>
      <c r="R199" s="93"/>
      <c r="S199" s="93" t="str">
        <f>IFERROR(__xludf.DUMMYFUNCTION("""COMPUTED_VALUE"""),"Dispatch_Images/KIT--17603.Photos.184114.jpg")</f>
        <v>Dispatch_Images/KIT--17603.Photos.184114.jpg</v>
      </c>
      <c r="T199" s="95">
        <f>IFERROR(__xludf.DUMMYFUNCTION("""COMPUTED_VALUE"""),46137.571550925924)</f>
        <v>46137.57155</v>
      </c>
      <c r="U199" s="93"/>
      <c r="V199" s="93"/>
      <c r="W199" s="93"/>
      <c r="X199" s="93"/>
      <c r="Y199" s="93"/>
      <c r="Z199" s="93"/>
    </row>
    <row r="200">
      <c r="A200" s="93" t="str">
        <f>IFERROR(__xludf.DUMMYFUNCTION("""COMPUTED_VALUE"""),"KIT-#17218")</f>
        <v>KIT-#17218</v>
      </c>
      <c r="B200" s="94">
        <f>IFERROR(__xludf.DUMMYFUNCTION("""COMPUTED_VALUE"""),46146.0)</f>
        <v>46146</v>
      </c>
      <c r="C200" s="93" t="str">
        <f>IFERROR(__xludf.DUMMYFUNCTION("""COMPUTED_VALUE"""),"Kit Delivery")</f>
        <v>Kit Delivery</v>
      </c>
      <c r="D200" s="93">
        <f>IFERROR(__xludf.DUMMYFUNCTION("""COMPUTED_VALUE"""),2.0)</f>
        <v>2</v>
      </c>
      <c r="E200" s="93" t="str">
        <f>IFERROR(__xludf.DUMMYFUNCTION("""COMPUTED_VALUE"""),"House 21")</f>
        <v>House 21</v>
      </c>
      <c r="F200" s="93">
        <f>IFERROR(__xludf.DUMMYFUNCTION("""COMPUTED_VALUE"""),3093.0)</f>
        <v>3093</v>
      </c>
      <c r="G200" s="93" t="str">
        <f>IFERROR(__xludf.DUMMYFUNCTION("""COMPUTED_VALUE"""),"Ari Blumenthal")</f>
        <v>Ari Blumenthal</v>
      </c>
      <c r="H200" s="93">
        <f>IFERROR(__xludf.DUMMYFUNCTION("""COMPUTED_VALUE"""),3.012761373E9)</f>
        <v>3012761373</v>
      </c>
      <c r="I200" s="93" t="str">
        <f>IFERROR(__xludf.DUMMYFUNCTION("""COMPUTED_VALUE"""),"3PM-5PM")</f>
        <v>3PM-5PM</v>
      </c>
      <c r="J200" s="93">
        <f>IFERROR(__xludf.DUMMYFUNCTION("""COMPUTED_VALUE"""),3.0)</f>
        <v>3</v>
      </c>
      <c r="K200" s="93" t="str">
        <f>IFERROR(__xludf.DUMMYFUNCTION("""COMPUTED_VALUE"""),"Complete")</f>
        <v>Complete</v>
      </c>
      <c r="L200" s="93"/>
      <c r="M200" s="94">
        <f>IFERROR(__xludf.DUMMYFUNCTION("""COMPUTED_VALUE"""),46137.67797453704)</f>
        <v>46137.67797</v>
      </c>
      <c r="N200" s="93">
        <f>IFERROR(__xludf.DUMMYFUNCTION("""COMPUTED_VALUE"""),247.0)</f>
        <v>247</v>
      </c>
      <c r="O200" s="93"/>
      <c r="P200" s="93" t="str">
        <f>IFERROR(__xludf.DUMMYFUNCTION("""COMPUTED_VALUE"""),"Kit Delivery")</f>
        <v>Kit Delivery</v>
      </c>
      <c r="Q200" s="93"/>
      <c r="R200" s="93"/>
      <c r="S200" s="93" t="str">
        <f>IFERROR(__xludf.DUMMYFUNCTION("""COMPUTED_VALUE"""),"Dispatch_Images/KIT--17218.Photos.211614.jpg")</f>
        <v>Dispatch_Images/KIT--17218.Photos.211614.jpg</v>
      </c>
      <c r="T200" s="95">
        <f>IFERROR(__xludf.DUMMYFUNCTION("""COMPUTED_VALUE"""),46137.682662037034)</f>
        <v>46137.68266</v>
      </c>
      <c r="U200" s="93"/>
      <c r="V200" s="93"/>
      <c r="W200" s="93"/>
      <c r="X200" s="93"/>
      <c r="Y200" s="93"/>
      <c r="Z200" s="93"/>
    </row>
    <row r="201">
      <c r="A201" s="93" t="str">
        <f>IFERROR(__xludf.DUMMYFUNCTION("""COMPUTED_VALUE"""),"KIT-#17622")</f>
        <v>KIT-#17622</v>
      </c>
      <c r="B201" s="94">
        <f>IFERROR(__xludf.DUMMYFUNCTION("""COMPUTED_VALUE"""),46146.0)</f>
        <v>46146</v>
      </c>
      <c r="C201" s="93" t="str">
        <f>IFERROR(__xludf.DUMMYFUNCTION("""COMPUTED_VALUE"""),"Kit Delivery")</f>
        <v>Kit Delivery</v>
      </c>
      <c r="D201" s="93">
        <f>IFERROR(__xludf.DUMMYFUNCTION("""COMPUTED_VALUE"""),2.0)</f>
        <v>2</v>
      </c>
      <c r="E201" s="93" t="str">
        <f>IFERROR(__xludf.DUMMYFUNCTION("""COMPUTED_VALUE"""),"House 21")</f>
        <v>House 21</v>
      </c>
      <c r="F201" s="93">
        <f>IFERROR(__xludf.DUMMYFUNCTION("""COMPUTED_VALUE"""),2061.0)</f>
        <v>2061</v>
      </c>
      <c r="G201" s="93" t="str">
        <f>IFERROR(__xludf.DUMMYFUNCTION("""COMPUTED_VALUE"""),"Miles Kelly")</f>
        <v>Miles Kelly</v>
      </c>
      <c r="H201" s="93">
        <f>IFERROR(__xludf.DUMMYFUNCTION("""COMPUTED_VALUE"""),9.083770194E9)</f>
        <v>9083770194</v>
      </c>
      <c r="I201" s="93" t="str">
        <f>IFERROR(__xludf.DUMMYFUNCTION("""COMPUTED_VALUE"""),"12PM-2PM")</f>
        <v>12PM-2PM</v>
      </c>
      <c r="J201" s="93">
        <f>IFERROR(__xludf.DUMMYFUNCTION("""COMPUTED_VALUE"""),1.0)</f>
        <v>1</v>
      </c>
      <c r="K201" s="93" t="str">
        <f>IFERROR(__xludf.DUMMYFUNCTION("""COMPUTED_VALUE"""),"Complete")</f>
        <v>Complete</v>
      </c>
      <c r="L201" s="93"/>
      <c r="M201" s="94">
        <f>IFERROR(__xludf.DUMMYFUNCTION("""COMPUTED_VALUE"""),46137.68054398148)</f>
        <v>46137.68054</v>
      </c>
      <c r="N201" s="93">
        <f>IFERROR(__xludf.DUMMYFUNCTION("""COMPUTED_VALUE"""),244.0)</f>
        <v>244</v>
      </c>
      <c r="O201" s="93" t="str">
        <f>IFERROR(__xludf.DUMMYFUNCTION("""COMPUTED_VALUE"""),"50 Parmley Place, 101
Summit, NJ 07901")</f>
        <v>50 Parmley Place, 101
Summit, NJ 07901</v>
      </c>
      <c r="P201" s="93" t="str">
        <f>IFERROR(__xludf.DUMMYFUNCTION("""COMPUTED_VALUE"""),"Kit Delivery")</f>
        <v>Kit Delivery</v>
      </c>
      <c r="Q201" s="93"/>
      <c r="R201" s="93"/>
      <c r="S201" s="93" t="str">
        <f>IFERROR(__xludf.DUMMYFUNCTION("""COMPUTED_VALUE"""),"Dispatch_Images/KIT--17622.Photos.211956.jpg")</f>
        <v>Dispatch_Images/KIT--17622.Photos.211956.jpg</v>
      </c>
      <c r="T201" s="95">
        <f>IFERROR(__xludf.DUMMYFUNCTION("""COMPUTED_VALUE"""),46137.682662037034)</f>
        <v>46137.68266</v>
      </c>
      <c r="U201" s="93"/>
      <c r="V201" s="93"/>
      <c r="W201" s="93"/>
      <c r="X201" s="93"/>
      <c r="Y201" s="93"/>
      <c r="Z201" s="93"/>
    </row>
    <row r="202">
      <c r="A202" s="93" t="str">
        <f>IFERROR(__xludf.DUMMYFUNCTION("""COMPUTED_VALUE"""),"KIT-#17623")</f>
        <v>KIT-#17623</v>
      </c>
      <c r="B202" s="94">
        <f>IFERROR(__xludf.DUMMYFUNCTION("""COMPUTED_VALUE"""),46146.0)</f>
        <v>46146</v>
      </c>
      <c r="C202" s="93" t="str">
        <f>IFERROR(__xludf.DUMMYFUNCTION("""COMPUTED_VALUE"""),"Kit Delivery")</f>
        <v>Kit Delivery</v>
      </c>
      <c r="D202" s="93">
        <f>IFERROR(__xludf.DUMMYFUNCTION("""COMPUTED_VALUE"""),2.0)</f>
        <v>2</v>
      </c>
      <c r="E202" s="93" t="str">
        <f>IFERROR(__xludf.DUMMYFUNCTION("""COMPUTED_VALUE"""),"House 21")</f>
        <v>House 21</v>
      </c>
      <c r="F202" s="93">
        <f>IFERROR(__xludf.DUMMYFUNCTION("""COMPUTED_VALUE"""),2061.0)</f>
        <v>2061</v>
      </c>
      <c r="G202" s="93" t="str">
        <f>IFERROR(__xludf.DUMMYFUNCTION("""COMPUTED_VALUE"""),"Miles Kelly")</f>
        <v>Miles Kelly</v>
      </c>
      <c r="H202" s="93">
        <f>IFERROR(__xludf.DUMMYFUNCTION("""COMPUTED_VALUE"""),9.083770194E9)</f>
        <v>9083770194</v>
      </c>
      <c r="I202" s="93" t="str">
        <f>IFERROR(__xludf.DUMMYFUNCTION("""COMPUTED_VALUE"""),"12PM-2PM")</f>
        <v>12PM-2PM</v>
      </c>
      <c r="J202" s="93">
        <f>IFERROR(__xludf.DUMMYFUNCTION("""COMPUTED_VALUE"""),1.0)</f>
        <v>1</v>
      </c>
      <c r="K202" s="93" t="str">
        <f>IFERROR(__xludf.DUMMYFUNCTION("""COMPUTED_VALUE"""),"Complete")</f>
        <v>Complete</v>
      </c>
      <c r="L202" s="93"/>
      <c r="M202" s="94">
        <f>IFERROR(__xludf.DUMMYFUNCTION("""COMPUTED_VALUE"""),46137.6806712963)</f>
        <v>46137.68067</v>
      </c>
      <c r="N202" s="93">
        <f>IFERROR(__xludf.DUMMYFUNCTION("""COMPUTED_VALUE"""),243.0)</f>
        <v>243</v>
      </c>
      <c r="O202" s="93"/>
      <c r="P202" s="93" t="str">
        <f>IFERROR(__xludf.DUMMYFUNCTION("""COMPUTED_VALUE"""),"Kit Delivery")</f>
        <v>Kit Delivery</v>
      </c>
      <c r="Q202" s="93" t="str">
        <f>IFERROR(__xludf.DUMMYFUNCTION("""COMPUTED_VALUE"""),"Will be storing a large TV")</f>
        <v>Will be storing a large TV</v>
      </c>
      <c r="R202" s="93"/>
      <c r="S202" s="93" t="str">
        <f>IFERROR(__xludf.DUMMYFUNCTION("""COMPUTED_VALUE"""),"Dispatch_Images/KIT--17623.Photos.212006.jpg")</f>
        <v>Dispatch_Images/KIT--17623.Photos.212006.jpg</v>
      </c>
      <c r="T202" s="95">
        <f>IFERROR(__xludf.DUMMYFUNCTION("""COMPUTED_VALUE"""),46137.682662037034)</f>
        <v>46137.68266</v>
      </c>
      <c r="U202" s="93"/>
      <c r="V202" s="93"/>
      <c r="W202" s="93"/>
      <c r="X202" s="93"/>
      <c r="Y202" s="93"/>
      <c r="Z202" s="93"/>
    </row>
    <row r="203">
      <c r="A203" s="93" t="str">
        <f>IFERROR(__xludf.DUMMYFUNCTION("""COMPUTED_VALUE"""),"KIT-#17083")</f>
        <v>KIT-#17083</v>
      </c>
      <c r="B203" s="94">
        <f>IFERROR(__xludf.DUMMYFUNCTION("""COMPUTED_VALUE"""),46146.0)</f>
        <v>46146</v>
      </c>
      <c r="C203" s="93" t="str">
        <f>IFERROR(__xludf.DUMMYFUNCTION("""COMPUTED_VALUE"""),"Kit Delivery")</f>
        <v>Kit Delivery</v>
      </c>
      <c r="D203" s="93">
        <f>IFERROR(__xludf.DUMMYFUNCTION("""COMPUTED_VALUE"""),2.0)</f>
        <v>2</v>
      </c>
      <c r="E203" s="93" t="str">
        <f>IFERROR(__xludf.DUMMYFUNCTION("""COMPUTED_VALUE"""),"House 21")</f>
        <v>House 21</v>
      </c>
      <c r="F203" s="93" t="str">
        <f>IFERROR(__xludf.DUMMYFUNCTION("""COMPUTED_VALUE"""),"2061-a")</f>
        <v>2061-a</v>
      </c>
      <c r="G203" s="93" t="str">
        <f>IFERROR(__xludf.DUMMYFUNCTION("""COMPUTED_VALUE"""),"Ryan Garcia")</f>
        <v>Ryan Garcia</v>
      </c>
      <c r="H203" s="93">
        <f>IFERROR(__xludf.DUMMYFUNCTION("""COMPUTED_VALUE"""),9.177447372E9)</f>
        <v>9177447372</v>
      </c>
      <c r="I203" s="93" t="str">
        <f>IFERROR(__xludf.DUMMYFUNCTION("""COMPUTED_VALUE"""),"9AM-11AM")</f>
        <v>9AM-11AM</v>
      </c>
      <c r="J203" s="93">
        <f>IFERROR(__xludf.DUMMYFUNCTION("""COMPUTED_VALUE"""),1.0)</f>
        <v>1</v>
      </c>
      <c r="K203" s="93" t="str">
        <f>IFERROR(__xludf.DUMMYFUNCTION("""COMPUTED_VALUE"""),"Complete")</f>
        <v>Complete</v>
      </c>
      <c r="L203" s="93"/>
      <c r="M203" s="94">
        <f>IFERROR(__xludf.DUMMYFUNCTION("""COMPUTED_VALUE"""),46137.68101851852)</f>
        <v>46137.68102</v>
      </c>
      <c r="N203" s="93">
        <f>IFERROR(__xludf.DUMMYFUNCTION("""COMPUTED_VALUE"""),242.0)</f>
        <v>242</v>
      </c>
      <c r="O203" s="93"/>
      <c r="P203" s="93" t="str">
        <f>IFERROR(__xludf.DUMMYFUNCTION("""COMPUTED_VALUE"""),"Kit Delivery")</f>
        <v>Kit Delivery</v>
      </c>
      <c r="Q203" s="93"/>
      <c r="R203" s="93"/>
      <c r="S203" s="93" t="str">
        <f>IFERROR(__xludf.DUMMYFUNCTION("""COMPUTED_VALUE"""),"Dispatch_Images/KIT--17083.Photos.212036.jpg")</f>
        <v>Dispatch_Images/KIT--17083.Photos.212036.jpg</v>
      </c>
      <c r="T203" s="95">
        <f>IFERROR(__xludf.DUMMYFUNCTION("""COMPUTED_VALUE"""),46137.682662037034)</f>
        <v>46137.68266</v>
      </c>
      <c r="U203" s="93"/>
      <c r="V203" s="93"/>
      <c r="W203" s="93"/>
      <c r="X203" s="93"/>
      <c r="Y203" s="93"/>
      <c r="Z203" s="93"/>
    </row>
    <row r="204">
      <c r="A204" s="93" t="str">
        <f>IFERROR(__xludf.DUMMYFUNCTION("""COMPUTED_VALUE"""),"KIT-#17724")</f>
        <v>KIT-#17724</v>
      </c>
      <c r="B204" s="94">
        <f>IFERROR(__xludf.DUMMYFUNCTION("""COMPUTED_VALUE"""),46146.0)</f>
        <v>46146</v>
      </c>
      <c r="C204" s="93" t="str">
        <f>IFERROR(__xludf.DUMMYFUNCTION("""COMPUTED_VALUE"""),"Kit Delivery")</f>
        <v>Kit Delivery</v>
      </c>
      <c r="D204" s="93">
        <f>IFERROR(__xludf.DUMMYFUNCTION("""COMPUTED_VALUE"""),2.0)</f>
        <v>2</v>
      </c>
      <c r="E204" s="93" t="str">
        <f>IFERROR(__xludf.DUMMYFUNCTION("""COMPUTED_VALUE"""),"House 21")</f>
        <v>House 21</v>
      </c>
      <c r="F204" s="93">
        <f>IFERROR(__xludf.DUMMYFUNCTION("""COMPUTED_VALUE"""),1040.0)</f>
        <v>1040</v>
      </c>
      <c r="G204" s="93" t="str">
        <f>IFERROR(__xludf.DUMMYFUNCTION("""COMPUTED_VALUE"""),"Ander Pineda")</f>
        <v>Ander Pineda</v>
      </c>
      <c r="H204" s="93">
        <f>IFERROR(__xludf.DUMMYFUNCTION("""COMPUTED_VALUE"""),9.175021828E9)</f>
        <v>9175021828</v>
      </c>
      <c r="I204" s="93" t="str">
        <f>IFERROR(__xludf.DUMMYFUNCTION("""COMPUTED_VALUE"""),"9AM-11AM")</f>
        <v>9AM-11AM</v>
      </c>
      <c r="J204" s="93">
        <f>IFERROR(__xludf.DUMMYFUNCTION("""COMPUTED_VALUE"""),1.0)</f>
        <v>1</v>
      </c>
      <c r="K204" s="93" t="str">
        <f>IFERROR(__xludf.DUMMYFUNCTION("""COMPUTED_VALUE"""),"Complete")</f>
        <v>Complete</v>
      </c>
      <c r="L204" s="93"/>
      <c r="M204" s="94">
        <f>IFERROR(__xludf.DUMMYFUNCTION("""COMPUTED_VALUE"""),46137.68141203704)</f>
        <v>46137.68141</v>
      </c>
      <c r="N204" s="93">
        <f>IFERROR(__xludf.DUMMYFUNCTION("""COMPUTED_VALUE"""),241.0)</f>
        <v>241</v>
      </c>
      <c r="O204" s="93"/>
      <c r="P204" s="93" t="str">
        <f>IFERROR(__xludf.DUMMYFUNCTION("""COMPUTED_VALUE"""),"Kit Delivery")</f>
        <v>Kit Delivery</v>
      </c>
      <c r="Q204" s="93" t="str">
        <f>IFERROR(__xludf.DUMMYFUNCTION("""COMPUTED_VALUE"""),"suite 1040")</f>
        <v>suite 1040</v>
      </c>
      <c r="R204" s="93"/>
      <c r="S204" s="93" t="str">
        <f>IFERROR(__xludf.DUMMYFUNCTION("""COMPUTED_VALUE"""),"Dispatch_Images/KIT--17724.Photos.212110.jpg")</f>
        <v>Dispatch_Images/KIT--17724.Photos.212110.jpg</v>
      </c>
      <c r="T204" s="95">
        <f>IFERROR(__xludf.DUMMYFUNCTION("""COMPUTED_VALUE"""),46137.682662037034)</f>
        <v>46137.68266</v>
      </c>
      <c r="U204" s="93"/>
      <c r="V204" s="93"/>
      <c r="W204" s="93"/>
      <c r="X204" s="93"/>
      <c r="Y204" s="93"/>
      <c r="Z204" s="93"/>
    </row>
    <row r="205">
      <c r="A205" s="93" t="str">
        <f>IFERROR(__xludf.DUMMYFUNCTION("""COMPUTED_VALUE"""),"KIT-#17267")</f>
        <v>KIT-#17267</v>
      </c>
      <c r="B205" s="94">
        <f>IFERROR(__xludf.DUMMYFUNCTION("""COMPUTED_VALUE"""),46146.0)</f>
        <v>46146</v>
      </c>
      <c r="C205" s="93" t="str">
        <f>IFERROR(__xludf.DUMMYFUNCTION("""COMPUTED_VALUE"""),"Kit Delivery")</f>
        <v>Kit Delivery</v>
      </c>
      <c r="D205" s="93">
        <f>IFERROR(__xludf.DUMMYFUNCTION("""COMPUTED_VALUE"""),2.0)</f>
        <v>2</v>
      </c>
      <c r="E205" s="93" t="str">
        <f>IFERROR(__xludf.DUMMYFUNCTION("""COMPUTED_VALUE"""),"6639 UDrive")</f>
        <v>6639 UDrive</v>
      </c>
      <c r="F205" s="93" t="str">
        <f>IFERROR(__xludf.DUMMYFUNCTION("""COMPUTED_VALUE"""),"2E-B")</f>
        <v>2E-B</v>
      </c>
      <c r="G205" s="93" t="str">
        <f>IFERROR(__xludf.DUMMYFUNCTION("""COMPUTED_VALUE"""),"Faheem Rahman")</f>
        <v>Faheem Rahman</v>
      </c>
      <c r="H205" s="93">
        <f>IFERROR(__xludf.DUMMYFUNCTION("""COMPUTED_VALUE"""),6.615995133E9)</f>
        <v>6615995133</v>
      </c>
      <c r="I205" s="93" t="str">
        <f>IFERROR(__xludf.DUMMYFUNCTION("""COMPUTED_VALUE"""),"9AM-11AM")</f>
        <v>9AM-11AM</v>
      </c>
      <c r="J205" s="93">
        <f>IFERROR(__xludf.DUMMYFUNCTION("""COMPUTED_VALUE"""),1.0)</f>
        <v>1</v>
      </c>
      <c r="K205" s="93" t="str">
        <f>IFERROR(__xludf.DUMMYFUNCTION("""COMPUTED_VALUE"""),"Complete")</f>
        <v>Complete</v>
      </c>
      <c r="L205" s="93"/>
      <c r="M205" s="94">
        <f>IFERROR(__xludf.DUMMYFUNCTION("""COMPUTED_VALUE"""),46137.69930555555)</f>
        <v>46137.69931</v>
      </c>
      <c r="N205" s="93">
        <f>IFERROR(__xludf.DUMMYFUNCTION("""COMPUTED_VALUE"""),251.0)</f>
        <v>251</v>
      </c>
      <c r="O205" s="93"/>
      <c r="P205" s="93" t="str">
        <f>IFERROR(__xludf.DUMMYFUNCTION("""COMPUTED_VALUE"""),"Kit Delivery")</f>
        <v>Kit Delivery</v>
      </c>
      <c r="Q205" s="93"/>
      <c r="R205" s="93"/>
      <c r="S205" s="93" t="str">
        <f>IFERROR(__xludf.DUMMYFUNCTION("""COMPUTED_VALUE"""),"Dispatch_Images/KIT--17267.Photos.214656.jpg")</f>
        <v>Dispatch_Images/KIT--17267.Photos.214656.jpg</v>
      </c>
      <c r="T205" s="95">
        <f>IFERROR(__xludf.DUMMYFUNCTION("""COMPUTED_VALUE"""),46137.70349537037)</f>
        <v>46137.7035</v>
      </c>
      <c r="U205" s="93"/>
      <c r="V205" s="93"/>
      <c r="W205" s="93"/>
      <c r="X205" s="93"/>
      <c r="Y205" s="93"/>
      <c r="Z205" s="93"/>
    </row>
    <row r="206">
      <c r="A206" s="93" t="str">
        <f>IFERROR(__xludf.DUMMYFUNCTION("""COMPUTED_VALUE"""),"KIT-#17597")</f>
        <v>KIT-#17597</v>
      </c>
      <c r="B206" s="94">
        <f>IFERROR(__xludf.DUMMYFUNCTION("""COMPUTED_VALUE"""),46146.0)</f>
        <v>46146</v>
      </c>
      <c r="C206" s="93" t="str">
        <f>IFERROR(__xludf.DUMMYFUNCTION("""COMPUTED_VALUE"""),"Kit Delivery")</f>
        <v>Kit Delivery</v>
      </c>
      <c r="D206" s="93">
        <f>IFERROR(__xludf.DUMMYFUNCTION("""COMPUTED_VALUE"""),2.0)</f>
        <v>2</v>
      </c>
      <c r="E206" s="93" t="str">
        <f>IFERROR(__xludf.DUMMYFUNCTION("""COMPUTED_VALUE"""),"Hitzeman")</f>
        <v>Hitzeman</v>
      </c>
      <c r="F206" s="93">
        <f>IFERROR(__xludf.DUMMYFUNCTION("""COMPUTED_VALUE"""),122.0)</f>
        <v>122</v>
      </c>
      <c r="G206" s="93" t="str">
        <f>IFERROR(__xludf.DUMMYFUNCTION("""COMPUTED_VALUE"""),"Gamble Lehmann-Karp")</f>
        <v>Gamble Lehmann-Karp</v>
      </c>
      <c r="H206" s="93">
        <f>IFERROR(__xludf.DUMMYFUNCTION("""COMPUTED_VALUE"""),9.146567811E9)</f>
        <v>9146567811</v>
      </c>
      <c r="I206" s="93" t="str">
        <f>IFERROR(__xludf.DUMMYFUNCTION("""COMPUTED_VALUE"""),"9AM-11AM")</f>
        <v>9AM-11AM</v>
      </c>
      <c r="J206" s="93">
        <f>IFERROR(__xludf.DUMMYFUNCTION("""COMPUTED_VALUE"""),2.0)</f>
        <v>2</v>
      </c>
      <c r="K206" s="93" t="str">
        <f>IFERROR(__xludf.DUMMYFUNCTION("""COMPUTED_VALUE"""),"Complete")</f>
        <v>Complete</v>
      </c>
      <c r="L206" s="93"/>
      <c r="M206" s="94">
        <f>IFERROR(__xludf.DUMMYFUNCTION("""COMPUTED_VALUE"""),46137.79350694444)</f>
        <v>46137.79351</v>
      </c>
      <c r="N206" s="93">
        <f>IFERROR(__xludf.DUMMYFUNCTION("""COMPUTED_VALUE"""),4.0)</f>
        <v>4</v>
      </c>
      <c r="O206" s="93"/>
      <c r="P206" s="93" t="str">
        <f>IFERROR(__xludf.DUMMYFUNCTION("""COMPUTED_VALUE"""),"Kit Delivery")</f>
        <v>Kit Delivery</v>
      </c>
      <c r="Q206" s="93"/>
      <c r="R206" s="93"/>
      <c r="S206" s="93" t="str">
        <f>IFERROR(__xludf.DUMMYFUNCTION("""COMPUTED_VALUE"""),"Dispatch_Images/KIT--17597.Photos.000235.jpg")</f>
        <v>Dispatch_Images/KIT--17597.Photos.000235.jpg</v>
      </c>
      <c r="T206" s="95">
        <f>IFERROR(__xludf.DUMMYFUNCTION("""COMPUTED_VALUE"""),46137.79378472222)</f>
        <v>46137.79378</v>
      </c>
      <c r="U206" s="93"/>
      <c r="V206" s="93"/>
      <c r="W206" s="93"/>
      <c r="X206" s="93"/>
      <c r="Y206" s="93"/>
      <c r="Z206" s="93"/>
    </row>
    <row r="207">
      <c r="A207" s="93" t="str">
        <f>IFERROR(__xludf.DUMMYFUNCTION("""COMPUTED_VALUE"""),"KIT-#17521")</f>
        <v>KIT-#17521</v>
      </c>
      <c r="B207" s="94">
        <f>IFERROR(__xludf.DUMMYFUNCTION("""COMPUTED_VALUE"""),46146.0)</f>
        <v>46146</v>
      </c>
      <c r="C207" s="93" t="str">
        <f>IFERROR(__xludf.DUMMYFUNCTION("""COMPUTED_VALUE"""),"Kit Delivery")</f>
        <v>Kit Delivery</v>
      </c>
      <c r="D207" s="93">
        <f>IFERROR(__xludf.DUMMYFUNCTION("""COMPUTED_VALUE"""),2.0)</f>
        <v>2</v>
      </c>
      <c r="E207" s="93" t="str">
        <f>IFERROR(__xludf.DUMMYFUNCTION("""COMPUTED_VALUE"""),"Lien")</f>
        <v>Lien</v>
      </c>
      <c r="F207" s="93">
        <f>IFERROR(__xludf.DUMMYFUNCTION("""COMPUTED_VALUE"""),1104.0)</f>
        <v>1104</v>
      </c>
      <c r="G207" s="93" t="str">
        <f>IFERROR(__xludf.DUMMYFUNCTION("""COMPUTED_VALUE"""),"Esme Tublin")</f>
        <v>Esme Tublin</v>
      </c>
      <c r="H207" s="93">
        <f>IFERROR(__xludf.DUMMYFUNCTION("""COMPUTED_VALUE"""),9.175763017E9)</f>
        <v>9175763017</v>
      </c>
      <c r="I207" s="93" t="str">
        <f>IFERROR(__xludf.DUMMYFUNCTION("""COMPUTED_VALUE"""),"9AM-11AM")</f>
        <v>9AM-11AM</v>
      </c>
      <c r="J207" s="93">
        <f>IFERROR(__xludf.DUMMYFUNCTION("""COMPUTED_VALUE"""),1.0)</f>
        <v>1</v>
      </c>
      <c r="K207" s="93" t="str">
        <f>IFERROR(__xludf.DUMMYFUNCTION("""COMPUTED_VALUE"""),"Complete")</f>
        <v>Complete</v>
      </c>
      <c r="L207" s="93"/>
      <c r="M207" s="94">
        <f>IFERROR(__xludf.DUMMYFUNCTION("""COMPUTED_VALUE"""),46137.827060185184)</f>
        <v>46137.82706</v>
      </c>
      <c r="N207" s="93">
        <f>IFERROR(__xludf.DUMMYFUNCTION("""COMPUTED_VALUE"""),128.0)</f>
        <v>128</v>
      </c>
      <c r="O207" s="93"/>
      <c r="P207" s="93" t="str">
        <f>IFERROR(__xludf.DUMMYFUNCTION("""COMPUTED_VALUE"""),"Kit Delivery")</f>
        <v>Kit Delivery</v>
      </c>
      <c r="Q207" s="93" t="str">
        <f>IFERROR(__xludf.DUMMYFUNCTION("""COMPUTED_VALUE"""),"I'm going to have some things that won't fit in boxed like some dressers and a guitar.")</f>
        <v>I'm going to have some things that won't fit in boxed like some dressers and a guitar.</v>
      </c>
      <c r="R207" s="93"/>
      <c r="S207" s="93" t="str">
        <f>IFERROR(__xludf.DUMMYFUNCTION("""COMPUTED_VALUE"""),"Dispatch_Images/KIT--17521.Photos.005055.jpg")</f>
        <v>Dispatch_Images/KIT--17521.Photos.005055.jpg</v>
      </c>
      <c r="T207" s="95">
        <f>IFERROR(__xludf.DUMMYFUNCTION("""COMPUTED_VALUE"""),46137.82849537037)</f>
        <v>46137.8285</v>
      </c>
      <c r="U207" s="93"/>
      <c r="V207" s="93"/>
      <c r="W207" s="93"/>
      <c r="X207" s="93"/>
      <c r="Y207" s="93"/>
      <c r="Z207" s="93"/>
    </row>
    <row r="208">
      <c r="A208" s="93" t="str">
        <f>IFERROR(__xludf.DUMMYFUNCTION("""COMPUTED_VALUE"""),"KIT-#17757")</f>
        <v>KIT-#17757</v>
      </c>
      <c r="B208" s="94">
        <f>IFERROR(__xludf.DUMMYFUNCTION("""COMPUTED_VALUE"""),46146.0)</f>
        <v>46146</v>
      </c>
      <c r="C208" s="93" t="str">
        <f>IFERROR(__xludf.DUMMYFUNCTION("""COMPUTED_VALUE"""),"Kit Delivery")</f>
        <v>Kit Delivery</v>
      </c>
      <c r="D208" s="93">
        <f>IFERROR(__xludf.DUMMYFUNCTION("""COMPUTED_VALUE"""),2.0)</f>
        <v>2</v>
      </c>
      <c r="E208" s="93" t="str">
        <f>IFERROR(__xludf.DUMMYFUNCTION("""COMPUTED_VALUE"""),"Lien")</f>
        <v>Lien</v>
      </c>
      <c r="F208" s="93">
        <f>IFERROR(__xludf.DUMMYFUNCTION("""COMPUTED_VALUE"""),3312.0)</f>
        <v>3312</v>
      </c>
      <c r="G208" s="93" t="str">
        <f>IFERROR(__xludf.DUMMYFUNCTION("""COMPUTED_VALUE"""),"Luca Minnich")</f>
        <v>Luca Minnich</v>
      </c>
      <c r="H208" s="93">
        <f>IFERROR(__xludf.DUMMYFUNCTION("""COMPUTED_VALUE"""),1.9178288162E10)</f>
        <v>19178288162</v>
      </c>
      <c r="I208" s="93" t="str">
        <f>IFERROR(__xludf.DUMMYFUNCTION("""COMPUTED_VALUE"""),"3PM-5PM")</f>
        <v>3PM-5PM</v>
      </c>
      <c r="J208" s="93">
        <f>IFERROR(__xludf.DUMMYFUNCTION("""COMPUTED_VALUE"""),1.0)</f>
        <v>1</v>
      </c>
      <c r="K208" s="93" t="str">
        <f>IFERROR(__xludf.DUMMYFUNCTION("""COMPUTED_VALUE"""),"Complete")</f>
        <v>Complete</v>
      </c>
      <c r="L208" s="93"/>
      <c r="M208" s="94">
        <f>IFERROR(__xludf.DUMMYFUNCTION("""COMPUTED_VALUE"""),46137.834027777775)</f>
        <v>46137.83403</v>
      </c>
      <c r="N208" s="93">
        <f>IFERROR(__xludf.DUMMYFUNCTION("""COMPUTED_VALUE"""),140.0)</f>
        <v>140</v>
      </c>
      <c r="O208" s="93"/>
      <c r="P208" s="93" t="str">
        <f>IFERROR(__xludf.DUMMYFUNCTION("""COMPUTED_VALUE"""),"Kit Delivery")</f>
        <v>Kit Delivery</v>
      </c>
      <c r="Q208" s="93"/>
      <c r="R208" s="93"/>
      <c r="S208" s="93" t="str">
        <f>IFERROR(__xludf.DUMMYFUNCTION("""COMPUTED_VALUE"""),"Dispatch_Images/KIT--17757.Photos.010057.jpg")</f>
        <v>Dispatch_Images/KIT--17757.Photos.010057.jpg</v>
      </c>
      <c r="T208" s="95">
        <f>IFERROR(__xludf.DUMMYFUNCTION("""COMPUTED_VALUE"""),46137.83546296296)</f>
        <v>46137.83546</v>
      </c>
      <c r="U208" s="93"/>
      <c r="V208" s="93"/>
      <c r="W208" s="93"/>
      <c r="X208" s="93"/>
      <c r="Y208" s="93"/>
      <c r="Z208" s="93"/>
    </row>
    <row r="209">
      <c r="A209" s="93" t="str">
        <f>IFERROR(__xludf.DUMMYFUNCTION("""COMPUTED_VALUE"""),"KIT-#17544")</f>
        <v>KIT-#17544</v>
      </c>
      <c r="B209" s="94">
        <f>IFERROR(__xludf.DUMMYFUNCTION("""COMPUTED_VALUE"""),46146.0)</f>
        <v>46146</v>
      </c>
      <c r="C209" s="93" t="str">
        <f>IFERROR(__xludf.DUMMYFUNCTION("""COMPUTED_VALUE"""),"Kit Delivery")</f>
        <v>Kit Delivery</v>
      </c>
      <c r="D209" s="93">
        <f>IFERROR(__xludf.DUMMYFUNCTION("""COMPUTED_VALUE"""),2.0)</f>
        <v>2</v>
      </c>
      <c r="E209" s="93" t="str">
        <f>IFERROR(__xludf.DUMMYFUNCTION("""COMPUTED_VALUE"""),"Lien")</f>
        <v>Lien</v>
      </c>
      <c r="F209" s="93">
        <f>IFERROR(__xludf.DUMMYFUNCTION("""COMPUTED_VALUE"""),3312.0)</f>
        <v>3312</v>
      </c>
      <c r="G209" s="93" t="str">
        <f>IFERROR(__xludf.DUMMYFUNCTION("""COMPUTED_VALUE"""),"Luca Minnich")</f>
        <v>Luca Minnich</v>
      </c>
      <c r="H209" s="93">
        <f>IFERROR(__xludf.DUMMYFUNCTION("""COMPUTED_VALUE"""),9.178288162E9)</f>
        <v>9178288162</v>
      </c>
      <c r="I209" s="93" t="str">
        <f>IFERROR(__xludf.DUMMYFUNCTION("""COMPUTED_VALUE"""),"3PM-5PM")</f>
        <v>3PM-5PM</v>
      </c>
      <c r="J209" s="93">
        <f>IFERROR(__xludf.DUMMYFUNCTION("""COMPUTED_VALUE"""),1.0)</f>
        <v>1</v>
      </c>
      <c r="K209" s="93" t="str">
        <f>IFERROR(__xludf.DUMMYFUNCTION("""COMPUTED_VALUE"""),"Complete")</f>
        <v>Complete</v>
      </c>
      <c r="L209" s="93"/>
      <c r="M209" s="94">
        <f>IFERROR(__xludf.DUMMYFUNCTION("""COMPUTED_VALUE"""),46137.83417824074)</f>
        <v>46137.83418</v>
      </c>
      <c r="N209" s="93">
        <f>IFERROR(__xludf.DUMMYFUNCTION("""COMPUTED_VALUE"""),141.0)</f>
        <v>141</v>
      </c>
      <c r="O209" s="93" t="str">
        <f>IFERROR(__xludf.DUMMYFUNCTION("""COMPUTED_VALUE"""),"19 Brookridge Drive, Greenwich, CT, 06830")</f>
        <v>19 Brookridge Drive, Greenwich, CT, 06830</v>
      </c>
      <c r="P209" s="93" t="str">
        <f>IFERROR(__xludf.DUMMYFUNCTION("""COMPUTED_VALUE"""),"Kit Delivery")</f>
        <v>Kit Delivery</v>
      </c>
      <c r="Q209" s="93"/>
      <c r="R209" s="93"/>
      <c r="S209" s="93" t="str">
        <f>IFERROR(__xludf.DUMMYFUNCTION("""COMPUTED_VALUE"""),"Dispatch_Images/KIT--17544.Photos.010109.jpg")</f>
        <v>Dispatch_Images/KIT--17544.Photos.010109.jpg</v>
      </c>
      <c r="T209" s="95">
        <f>IFERROR(__xludf.DUMMYFUNCTION("""COMPUTED_VALUE"""),46137.83546296296)</f>
        <v>46137.83546</v>
      </c>
      <c r="U209" s="93"/>
      <c r="V209" s="93"/>
      <c r="W209" s="93"/>
      <c r="X209" s="93"/>
      <c r="Y209" s="93"/>
      <c r="Z209" s="93"/>
    </row>
    <row r="210">
      <c r="A210" s="93" t="str">
        <f>IFERROR(__xludf.DUMMYFUNCTION("""COMPUTED_VALUE"""),"KIT-#17573")</f>
        <v>KIT-#17573</v>
      </c>
      <c r="B210" s="94">
        <f>IFERROR(__xludf.DUMMYFUNCTION("""COMPUTED_VALUE"""),46146.0)</f>
        <v>46146</v>
      </c>
      <c r="C210" s="93" t="str">
        <f>IFERROR(__xludf.DUMMYFUNCTION("""COMPUTED_VALUE"""),"Kit Delivery")</f>
        <v>Kit Delivery</v>
      </c>
      <c r="D210" s="93">
        <f>IFERROR(__xludf.DUMMYFUNCTION("""COMPUTED_VALUE"""),2.0)</f>
        <v>2</v>
      </c>
      <c r="E210" s="93" t="str">
        <f>IFERROR(__xludf.DUMMYFUNCTION("""COMPUTED_VALUE"""),"Zetcher")</f>
        <v>Zetcher</v>
      </c>
      <c r="F210" s="93">
        <f>IFERROR(__xludf.DUMMYFUNCTION("""COMPUTED_VALUE"""),2012.0)</f>
        <v>2012</v>
      </c>
      <c r="G210" s="93" t="str">
        <f>IFERROR(__xludf.DUMMYFUNCTION("""COMPUTED_VALUE"""),"Alexis Rooks")</f>
        <v>Alexis Rooks</v>
      </c>
      <c r="H210" s="93">
        <f>IFERROR(__xludf.DUMMYFUNCTION("""COMPUTED_VALUE"""),7.342105336E9)</f>
        <v>7342105336</v>
      </c>
      <c r="I210" s="93" t="str">
        <f>IFERROR(__xludf.DUMMYFUNCTION("""COMPUTED_VALUE"""),"10AM-12PM")</f>
        <v>10AM-12PM</v>
      </c>
      <c r="J210" s="93">
        <f>IFERROR(__xludf.DUMMYFUNCTION("""COMPUTED_VALUE"""),1.0)</f>
        <v>1</v>
      </c>
      <c r="K210" s="93" t="str">
        <f>IFERROR(__xludf.DUMMYFUNCTION("""COMPUTED_VALUE"""),"Complete")</f>
        <v>Complete</v>
      </c>
      <c r="L210" s="93"/>
      <c r="M210" s="94">
        <f>IFERROR(__xludf.DUMMYFUNCTION("""COMPUTED_VALUE"""),46140.772511574076)</f>
        <v>46140.77251</v>
      </c>
      <c r="N210" s="93">
        <f>IFERROR(__xludf.DUMMYFUNCTION("""COMPUTED_VALUE"""),110.0)</f>
        <v>110</v>
      </c>
      <c r="O210" s="93"/>
      <c r="P210" s="93" t="str">
        <f>IFERROR(__xludf.DUMMYFUNCTION("""COMPUTED_VALUE"""),"Kit Delivery")</f>
        <v>Kit Delivery</v>
      </c>
      <c r="Q210" s="93"/>
      <c r="R210" s="93"/>
      <c r="S210" s="93" t="str">
        <f>IFERROR(__xludf.DUMMYFUNCTION("""COMPUTED_VALUE"""),"Dispatch_Images/KIT--17573.Photos.233221.jpg")</f>
        <v>Dispatch_Images/KIT--17573.Photos.233221.jpg</v>
      </c>
      <c r="T210" s="95">
        <f>IFERROR(__xludf.DUMMYFUNCTION("""COMPUTED_VALUE"""),46140.77295138889)</f>
        <v>46140.77295</v>
      </c>
      <c r="U210" s="93"/>
      <c r="V210" s="93"/>
      <c r="W210" s="93"/>
      <c r="X210" s="93"/>
      <c r="Y210" s="93"/>
      <c r="Z210" s="93"/>
    </row>
    <row r="211">
      <c r="A211" s="93" t="str">
        <f>IFERROR(__xludf.DUMMYFUNCTION("""COMPUTED_VALUE"""),"KIT-#17799")</f>
        <v>KIT-#17799</v>
      </c>
      <c r="B211" s="94">
        <f>IFERROR(__xludf.DUMMYFUNCTION("""COMPUTED_VALUE"""),46146.0)</f>
        <v>46146</v>
      </c>
      <c r="C211" s="93" t="str">
        <f>IFERROR(__xludf.DUMMYFUNCTION("""COMPUTED_VALUE"""),"Kit Delivery")</f>
        <v>Kit Delivery</v>
      </c>
      <c r="D211" s="93">
        <f>IFERROR(__xludf.DUMMYFUNCTION("""COMPUTED_VALUE"""),2.0)</f>
        <v>2</v>
      </c>
      <c r="E211" s="93" t="str">
        <f>IFERROR(__xludf.DUMMYFUNCTION("""COMPUTED_VALUE"""),"Wheeler")</f>
        <v>Wheeler</v>
      </c>
      <c r="F211" s="93">
        <f>IFERROR(__xludf.DUMMYFUNCTION("""COMPUTED_VALUE"""),3102.0)</f>
        <v>3102</v>
      </c>
      <c r="G211" s="93" t="str">
        <f>IFERROR(__xludf.DUMMYFUNCTION("""COMPUTED_VALUE"""),"Kian Sharifi")</f>
        <v>Kian Sharifi</v>
      </c>
      <c r="H211" s="93">
        <f>IFERROR(__xludf.DUMMYFUNCTION("""COMPUTED_VALUE"""),3.109818861E9)</f>
        <v>3109818861</v>
      </c>
      <c r="I211" s="93" t="str">
        <f>IFERROR(__xludf.DUMMYFUNCTION("""COMPUTED_VALUE"""),"12PM-2PM")</f>
        <v>12PM-2PM</v>
      </c>
      <c r="J211" s="93">
        <f>IFERROR(__xludf.DUMMYFUNCTION("""COMPUTED_VALUE"""),1.0)</f>
        <v>1</v>
      </c>
      <c r="K211" s="93" t="str">
        <f>IFERROR(__xludf.DUMMYFUNCTION("""COMPUTED_VALUE"""),"Complete")</f>
        <v>Complete</v>
      </c>
      <c r="L211" s="93"/>
      <c r="M211" s="94">
        <f>IFERROR(__xludf.DUMMYFUNCTION("""COMPUTED_VALUE"""),46140.81710648148)</f>
        <v>46140.81711</v>
      </c>
      <c r="N211" s="93">
        <f>IFERROR(__xludf.DUMMYFUNCTION("""COMPUTED_VALUE"""),44.0)</f>
        <v>44</v>
      </c>
      <c r="O211" s="93"/>
      <c r="P211" s="93" t="str">
        <f>IFERROR(__xludf.DUMMYFUNCTION("""COMPUTED_VALUE"""),"Kit Delivery")</f>
        <v>Kit Delivery</v>
      </c>
      <c r="Q211" s="93"/>
      <c r="R211" s="93"/>
      <c r="S211" s="93" t="str">
        <f>IFERROR(__xludf.DUMMYFUNCTION("""COMPUTED_VALUE"""),"Dispatch_Images/KIT--17799.Photos.003634.jpg")</f>
        <v>Dispatch_Images/KIT--17799.Photos.003634.jpg</v>
      </c>
      <c r="T211" s="95">
        <f>IFERROR(__xludf.DUMMYFUNCTION("""COMPUTED_VALUE"""),46140.82157407407)</f>
        <v>46140.82157</v>
      </c>
      <c r="U211" s="93"/>
      <c r="V211" s="93"/>
      <c r="W211" s="93"/>
      <c r="X211" s="93"/>
      <c r="Y211" s="93"/>
      <c r="Z211" s="93"/>
    </row>
    <row r="212">
      <c r="A212" s="93" t="str">
        <f>IFERROR(__xludf.DUMMYFUNCTION("""COMPUTED_VALUE"""),"KIT-#17467")</f>
        <v>KIT-#17467</v>
      </c>
      <c r="B212" s="94">
        <f>IFERROR(__xludf.DUMMYFUNCTION("""COMPUTED_VALUE"""),46146.0)</f>
        <v>46146</v>
      </c>
      <c r="C212" s="93" t="str">
        <f>IFERROR(__xludf.DUMMYFUNCTION("""COMPUTED_VALUE"""),"Kit Delivery")</f>
        <v>Kit Delivery</v>
      </c>
      <c r="D212" s="93">
        <f>IFERROR(__xludf.DUMMYFUNCTION("""COMPUTED_VALUE"""),3.0)</f>
        <v>3</v>
      </c>
      <c r="E212" s="93" t="str">
        <f>IFERROR(__xludf.DUMMYFUNCTION("""COMPUTED_VALUE"""),"House 3")</f>
        <v>House 3</v>
      </c>
      <c r="F212" s="93">
        <f>IFERROR(__xludf.DUMMYFUNCTION("""COMPUTED_VALUE"""),204.0)</f>
        <v>204</v>
      </c>
      <c r="G212" s="93" t="str">
        <f>IFERROR(__xludf.DUMMYFUNCTION("""COMPUTED_VALUE"""),"Eli Jubelirer*")</f>
        <v>Eli Jubelirer*</v>
      </c>
      <c r="H212" s="93">
        <f>IFERROR(__xludf.DUMMYFUNCTION("""COMPUTED_VALUE"""),9.179712001E9)</f>
        <v>9179712001</v>
      </c>
      <c r="I212" s="93" t="str">
        <f>IFERROR(__xludf.DUMMYFUNCTION("""COMPUTED_VALUE"""),"10AM-12PM")</f>
        <v>10AM-12PM</v>
      </c>
      <c r="J212" s="93">
        <f>IFERROR(__xludf.DUMMYFUNCTION("""COMPUTED_VALUE"""),1.0)</f>
        <v>1</v>
      </c>
      <c r="K212" s="93" t="str">
        <f>IFERROR(__xludf.DUMMYFUNCTION("""COMPUTED_VALUE"""),"Complete")</f>
        <v>Complete</v>
      </c>
      <c r="L212" s="93"/>
      <c r="M212" s="94">
        <f>IFERROR(__xludf.DUMMYFUNCTION("""COMPUTED_VALUE"""),46140.83479166667)</f>
        <v>46140.83479</v>
      </c>
      <c r="N212" s="93">
        <f>IFERROR(__xludf.DUMMYFUNCTION("""COMPUTED_VALUE"""),191.0)</f>
        <v>191</v>
      </c>
      <c r="O212" s="93"/>
      <c r="P212" s="93" t="str">
        <f>IFERROR(__xludf.DUMMYFUNCTION("""COMPUTED_VALUE"""),"Kit Delivery")</f>
        <v>Kit Delivery</v>
      </c>
      <c r="Q212" s="93"/>
      <c r="R212" s="93"/>
      <c r="S212" s="93" t="str">
        <f>IFERROR(__xludf.DUMMYFUNCTION("""COMPUTED_VALUE"""),"Dispatch_Images/KIT--17467.Photos.010202.jpg")</f>
        <v>Dispatch_Images/KIT--17467.Photos.010202.jpg</v>
      </c>
      <c r="T212" s="95">
        <f>IFERROR(__xludf.DUMMYFUNCTION("""COMPUTED_VALUE"""),46140.83545138889)</f>
        <v>46140.83545</v>
      </c>
      <c r="U212" s="93"/>
      <c r="V212" s="93"/>
      <c r="W212" s="93"/>
      <c r="X212" s="93"/>
      <c r="Y212" s="93"/>
      <c r="Z212" s="93"/>
    </row>
    <row r="213">
      <c r="A213" s="93" t="str">
        <f>IFERROR(__xludf.DUMMYFUNCTION("""COMPUTED_VALUE"""),"KIT-#17744")</f>
        <v>KIT-#17744</v>
      </c>
      <c r="B213" s="94">
        <f>IFERROR(__xludf.DUMMYFUNCTION("""COMPUTED_VALUE"""),46146.0)</f>
        <v>46146</v>
      </c>
      <c r="C213" s="93" t="str">
        <f>IFERROR(__xludf.DUMMYFUNCTION("""COMPUTED_VALUE"""),"Kit Delivery")</f>
        <v>Kit Delivery</v>
      </c>
      <c r="D213" s="93">
        <f>IFERROR(__xludf.DUMMYFUNCTION("""COMPUTED_VALUE"""),3.0)</f>
        <v>3</v>
      </c>
      <c r="E213" s="93" t="str">
        <f>IFERROR(__xludf.DUMMYFUNCTION("""COMPUTED_VALUE"""),"Umrath")</f>
        <v>Umrath</v>
      </c>
      <c r="F213" s="93">
        <f>IFERROR(__xludf.DUMMYFUNCTION("""COMPUTED_VALUE"""),2225.0)</f>
        <v>2225</v>
      </c>
      <c r="G213" s="93" t="str">
        <f>IFERROR(__xludf.DUMMYFUNCTION("""COMPUTED_VALUE"""),"Brad  Shearer")</f>
        <v>Brad  Shearer</v>
      </c>
      <c r="H213" s="93">
        <f>IFERROR(__xludf.DUMMYFUNCTION("""COMPUTED_VALUE"""),3.107954249E9)</f>
        <v>3107954249</v>
      </c>
      <c r="I213" s="93" t="str">
        <f>IFERROR(__xludf.DUMMYFUNCTION("""COMPUTED_VALUE"""),"9AM-11AM")</f>
        <v>9AM-11AM</v>
      </c>
      <c r="J213" s="93">
        <f>IFERROR(__xludf.DUMMYFUNCTION("""COMPUTED_VALUE"""),1.0)</f>
        <v>1</v>
      </c>
      <c r="K213" s="93" t="str">
        <f>IFERROR(__xludf.DUMMYFUNCTION("""COMPUTED_VALUE"""),"Complete")</f>
        <v>Complete</v>
      </c>
      <c r="L213" s="93"/>
      <c r="M213" s="94">
        <f>IFERROR(__xludf.DUMMYFUNCTION("""COMPUTED_VALUE"""),46141.842685185184)</f>
        <v>46141.84269</v>
      </c>
      <c r="N213" s="93">
        <f>IFERROR(__xludf.DUMMYFUNCTION("""COMPUTED_VALUE"""),101.0)</f>
        <v>101</v>
      </c>
      <c r="O213" s="93"/>
      <c r="P213" s="93" t="str">
        <f>IFERROR(__xludf.DUMMYFUNCTION("""COMPUTED_VALUE"""),"Kit Delivery")</f>
        <v>Kit Delivery</v>
      </c>
      <c r="Q213" s="93"/>
      <c r="R213" s="93"/>
      <c r="S213" s="93" t="str">
        <f>IFERROR(__xludf.DUMMYFUNCTION("""COMPUTED_VALUE"""),"Dispatch_Images/KIT--17744.Photos.011325.jpg")</f>
        <v>Dispatch_Images/KIT--17744.Photos.011325.jpg</v>
      </c>
      <c r="T213" s="95">
        <f>IFERROR(__xludf.DUMMYFUNCTION("""COMPUTED_VALUE"""),46141.849340277775)</f>
        <v>46141.84934</v>
      </c>
      <c r="U213" s="93"/>
      <c r="V213" s="93"/>
      <c r="W213" s="93"/>
      <c r="X213" s="93"/>
      <c r="Y213" s="93"/>
      <c r="Z213" s="93"/>
    </row>
    <row r="214">
      <c r="A214" s="93" t="str">
        <f>IFERROR(__xludf.DUMMYFUNCTION("""COMPUTED_VALUE"""),"KIT-#17691")</f>
        <v>KIT-#17691</v>
      </c>
      <c r="B214" s="94">
        <f>IFERROR(__xludf.DUMMYFUNCTION("""COMPUTED_VALUE"""),46146.0)</f>
        <v>46146</v>
      </c>
      <c r="C214" s="93" t="str">
        <f>IFERROR(__xludf.DUMMYFUNCTION("""COMPUTED_VALUE"""),"Kit Delivery")</f>
        <v>Kit Delivery</v>
      </c>
      <c r="D214" s="93">
        <f>IFERROR(__xludf.DUMMYFUNCTION("""COMPUTED_VALUE"""),3.0)</f>
        <v>3</v>
      </c>
      <c r="E214" s="93" t="str">
        <f>IFERROR(__xludf.DUMMYFUNCTION("""COMPUTED_VALUE"""),"Eliot A")</f>
        <v>Eliot A</v>
      </c>
      <c r="F214" s="93">
        <f>IFERROR(__xludf.DUMMYFUNCTION("""COMPUTED_VALUE"""),1000.0)</f>
        <v>1000</v>
      </c>
      <c r="G214" s="93" t="str">
        <f>IFERROR(__xludf.DUMMYFUNCTION("""COMPUTED_VALUE"""),"Somya Dave")</f>
        <v>Somya Dave</v>
      </c>
      <c r="H214" s="93">
        <f>IFERROR(__xludf.DUMMYFUNCTION("""COMPUTED_VALUE"""),9.736654223E9)</f>
        <v>9736654223</v>
      </c>
      <c r="I214" s="93" t="str">
        <f>IFERROR(__xludf.DUMMYFUNCTION("""COMPUTED_VALUE"""),"9AM-11AM")</f>
        <v>9AM-11AM</v>
      </c>
      <c r="J214" s="93">
        <f>IFERROR(__xludf.DUMMYFUNCTION("""COMPUTED_VALUE"""),1.0)</f>
        <v>1</v>
      </c>
      <c r="K214" s="93" t="str">
        <f>IFERROR(__xludf.DUMMYFUNCTION("""COMPUTED_VALUE"""),"Complete")</f>
        <v>Complete</v>
      </c>
      <c r="L214" s="93"/>
      <c r="M214" s="94">
        <f>IFERROR(__xludf.DUMMYFUNCTION("""COMPUTED_VALUE"""),46141.84774305555)</f>
        <v>46141.84774</v>
      </c>
      <c r="N214" s="93">
        <f>IFERROR(__xludf.DUMMYFUNCTION("""COMPUTED_VALUE"""),15.0)</f>
        <v>15</v>
      </c>
      <c r="O214" s="93" t="str">
        <f>IFERROR(__xludf.DUMMYFUNCTION("""COMPUTED_VALUE"""),"5 Forest Drive, Short Hills Nj, 07078")</f>
        <v>5 Forest Drive, Short Hills Nj, 07078</v>
      </c>
      <c r="P214" s="93" t="str">
        <f>IFERROR(__xludf.DUMMYFUNCTION("""COMPUTED_VALUE"""),"Kit Delivery")</f>
        <v>Kit Delivery</v>
      </c>
      <c r="Q214" s="93"/>
      <c r="R214" s="93"/>
      <c r="S214" s="93" t="str">
        <f>IFERROR(__xludf.DUMMYFUNCTION("""COMPUTED_VALUE"""),"Dispatch_Images/KIT--17691.Photos.012041.jpg")</f>
        <v>Dispatch_Images/KIT--17691.Photos.012041.jpg</v>
      </c>
      <c r="T214" s="95">
        <f>IFERROR(__xludf.DUMMYFUNCTION("""COMPUTED_VALUE"""),46141.849340277775)</f>
        <v>46141.84934</v>
      </c>
      <c r="U214" s="93"/>
      <c r="V214" s="93"/>
      <c r="W214" s="93"/>
      <c r="X214" s="93"/>
      <c r="Y214" s="93"/>
      <c r="Z214" s="93"/>
    </row>
    <row r="215">
      <c r="A215" s="93" t="str">
        <f>IFERROR(__xludf.DUMMYFUNCTION("""COMPUTED_VALUE"""),"KIT-#17798")</f>
        <v>KIT-#17798</v>
      </c>
      <c r="B215" s="94">
        <f>IFERROR(__xludf.DUMMYFUNCTION("""COMPUTED_VALUE"""),46146.0)</f>
        <v>46146</v>
      </c>
      <c r="C215" s="93" t="str">
        <f>IFERROR(__xludf.DUMMYFUNCTION("""COMPUTED_VALUE"""),"Kit Delivery")</f>
        <v>Kit Delivery</v>
      </c>
      <c r="D215" s="93">
        <f>IFERROR(__xludf.DUMMYFUNCTION("""COMPUTED_VALUE"""),3.0)</f>
        <v>3</v>
      </c>
      <c r="E215" s="93" t="str">
        <f>IFERROR(__xludf.DUMMYFUNCTION("""COMPUTED_VALUE"""),"Lee")</f>
        <v>Lee</v>
      </c>
      <c r="F215" s="93">
        <f>IFERROR(__xludf.DUMMYFUNCTION("""COMPUTED_VALUE"""),223.0)</f>
        <v>223</v>
      </c>
      <c r="G215" s="93" t="str">
        <f>IFERROR(__xludf.DUMMYFUNCTION("""COMPUTED_VALUE"""),"Michael Zhang")</f>
        <v>Michael Zhang</v>
      </c>
      <c r="H215" s="93">
        <f>IFERROR(__xludf.DUMMYFUNCTION("""COMPUTED_VALUE"""),3.142037739E9)</f>
        <v>3142037739</v>
      </c>
      <c r="I215" s="93" t="str">
        <f>IFERROR(__xludf.DUMMYFUNCTION("""COMPUTED_VALUE"""),"3PM-5PM")</f>
        <v>3PM-5PM</v>
      </c>
      <c r="J215" s="93">
        <f>IFERROR(__xludf.DUMMYFUNCTION("""COMPUTED_VALUE"""),1.0)</f>
        <v>1</v>
      </c>
      <c r="K215" s="93" t="str">
        <f>IFERROR(__xludf.DUMMYFUNCTION("""COMPUTED_VALUE"""),"Complete")</f>
        <v>Complete</v>
      </c>
      <c r="L215" s="93"/>
      <c r="M215" s="94">
        <f>IFERROR(__xludf.DUMMYFUNCTION("""COMPUTED_VALUE"""),46141.856944444444)</f>
        <v>46141.85694</v>
      </c>
      <c r="N215" s="93">
        <f>IFERROR(__xludf.DUMMYFUNCTION("""COMPUTED_VALUE"""),63.0)</f>
        <v>63</v>
      </c>
      <c r="O215" s="93"/>
      <c r="P215" s="93" t="str">
        <f>IFERROR(__xludf.DUMMYFUNCTION("""COMPUTED_VALUE"""),"Kit Delivery")</f>
        <v>Kit Delivery</v>
      </c>
      <c r="Q215" s="93" t="str">
        <f>IFERROR(__xludf.DUMMYFUNCTION("""COMPUTED_VALUE"""),"Shepley - 3034 - a   is the dorm I live for the fall semester. Please deliver to that dorm.")</f>
        <v>Shepley - 3034 - a   is the dorm I live for the fall semester. Please deliver to that dorm.</v>
      </c>
      <c r="R215" s="93"/>
      <c r="S215" s="93" t="str">
        <f>IFERROR(__xludf.DUMMYFUNCTION("""COMPUTED_VALUE"""),"Dispatch_Images/KIT--17798.Photos.013356.jpg")</f>
        <v>Dispatch_Images/KIT--17798.Photos.013356.jpg</v>
      </c>
      <c r="T215" s="95">
        <f>IFERROR(__xludf.DUMMYFUNCTION("""COMPUTED_VALUE"""),46141.86325231481)</f>
        <v>46141.86325</v>
      </c>
      <c r="U215" s="93"/>
      <c r="V215" s="93"/>
      <c r="W215" s="93"/>
      <c r="X215" s="93"/>
      <c r="Y215" s="93"/>
      <c r="Z215" s="93"/>
    </row>
    <row r="216">
      <c r="A216" s="93" t="str">
        <f>IFERROR(__xludf.DUMMYFUNCTION("""COMPUTED_VALUE"""),"KIT-#17787")</f>
        <v>KIT-#17787</v>
      </c>
      <c r="B216" s="94">
        <f>IFERROR(__xludf.DUMMYFUNCTION("""COMPUTED_VALUE"""),46146.0)</f>
        <v>46146</v>
      </c>
      <c r="C216" s="93" t="str">
        <f>IFERROR(__xludf.DUMMYFUNCTION("""COMPUTED_VALUE"""),"Kit Delivery")</f>
        <v>Kit Delivery</v>
      </c>
      <c r="D216" s="93">
        <f>IFERROR(__xludf.DUMMYFUNCTION("""COMPUTED_VALUE"""),3.0)</f>
        <v>3</v>
      </c>
      <c r="E216" s="93" t="str">
        <f>IFERROR(__xludf.DUMMYFUNCTION("""COMPUTED_VALUE"""),"Beaumont")</f>
        <v>Beaumont</v>
      </c>
      <c r="F216" s="93">
        <f>IFERROR(__xludf.DUMMYFUNCTION("""COMPUTED_VALUE"""),326.0)</f>
        <v>326</v>
      </c>
      <c r="G216" s="93" t="str">
        <f>IFERROR(__xludf.DUMMYFUNCTION("""COMPUTED_VALUE"""),"Hannah Seo")</f>
        <v>Hannah Seo</v>
      </c>
      <c r="H216" s="93">
        <f>IFERROR(__xludf.DUMMYFUNCTION("""COMPUTED_VALUE"""),4.698918022E9)</f>
        <v>4698918022</v>
      </c>
      <c r="I216" s="93" t="str">
        <f>IFERROR(__xludf.DUMMYFUNCTION("""COMPUTED_VALUE"""),"9AM-11AM")</f>
        <v>9AM-11AM</v>
      </c>
      <c r="J216" s="93">
        <f>IFERROR(__xludf.DUMMYFUNCTION("""COMPUTED_VALUE"""),1.0)</f>
        <v>1</v>
      </c>
      <c r="K216" s="93" t="str">
        <f>IFERROR(__xludf.DUMMYFUNCTION("""COMPUTED_VALUE"""),"Complete")</f>
        <v>Complete</v>
      </c>
      <c r="L216" s="93"/>
      <c r="M216" s="94">
        <f>IFERROR(__xludf.DUMMYFUNCTION("""COMPUTED_VALUE"""),46141.86672453704)</f>
        <v>46141.86672</v>
      </c>
      <c r="N216" s="93">
        <f>IFERROR(__xludf.DUMMYFUNCTION("""COMPUTED_VALUE"""),53.0)</f>
        <v>53</v>
      </c>
      <c r="O216" s="93"/>
      <c r="P216" s="93" t="str">
        <f>IFERROR(__xludf.DUMMYFUNCTION("""COMPUTED_VALUE"""),"Kit Delivery")</f>
        <v>Kit Delivery</v>
      </c>
      <c r="Q216" s="93"/>
      <c r="R216" s="93"/>
      <c r="S216" s="93" t="str">
        <f>IFERROR(__xludf.DUMMYFUNCTION("""COMPUTED_VALUE"""),"Dispatch_Images/KIT--17787.Photos.014801.jpg")</f>
        <v>Dispatch_Images/KIT--17787.Photos.014801.jpg</v>
      </c>
      <c r="T216" s="95">
        <f>IFERROR(__xludf.DUMMYFUNCTION("""COMPUTED_VALUE"""),46141.87017361111)</f>
        <v>46141.87017</v>
      </c>
      <c r="U216" s="93"/>
      <c r="V216" s="93"/>
      <c r="W216" s="93"/>
      <c r="X216" s="93"/>
      <c r="Y216" s="93"/>
      <c r="Z216" s="93"/>
    </row>
    <row r="217">
      <c r="A217" s="93" t="str">
        <f>IFERROR(__xludf.DUMMYFUNCTION("""COMPUTED_VALUE"""),"KIT-#17497")</f>
        <v>KIT-#17497</v>
      </c>
      <c r="B217" s="94">
        <f>IFERROR(__xludf.DUMMYFUNCTION("""COMPUTED_VALUE"""),46146.0)</f>
        <v>46146</v>
      </c>
      <c r="C217" s="93" t="str">
        <f>IFERROR(__xludf.DUMMYFUNCTION("""COMPUTED_VALUE"""),"Kit Delivery")</f>
        <v>Kit Delivery</v>
      </c>
      <c r="D217" s="93">
        <f>IFERROR(__xludf.DUMMYFUNCTION("""COMPUTED_VALUE"""),3.0)</f>
        <v>3</v>
      </c>
      <c r="E217" s="93" t="str">
        <f>IFERROR(__xludf.DUMMYFUNCTION("""COMPUTED_VALUE"""),"Dauten")</f>
        <v>Dauten</v>
      </c>
      <c r="F217" s="93">
        <f>IFERROR(__xludf.DUMMYFUNCTION("""COMPUTED_VALUE"""),23.0)</f>
        <v>23</v>
      </c>
      <c r="G217" s="93" t="str">
        <f>IFERROR(__xludf.DUMMYFUNCTION("""COMPUTED_VALUE"""),"Darcey Edwards")</f>
        <v>Darcey Edwards</v>
      </c>
      <c r="H217" s="93">
        <f>IFERROR(__xludf.DUMMYFUNCTION("""COMPUTED_VALUE"""),6.467172614E9)</f>
        <v>6467172614</v>
      </c>
      <c r="I217" s="93" t="str">
        <f>IFERROR(__xludf.DUMMYFUNCTION("""COMPUTED_VALUE"""),"10AM-12PM")</f>
        <v>10AM-12PM</v>
      </c>
      <c r="J217" s="93">
        <f>IFERROR(__xludf.DUMMYFUNCTION("""COMPUTED_VALUE"""),2.0)</f>
        <v>2</v>
      </c>
      <c r="K217" s="93" t="str">
        <f>IFERROR(__xludf.DUMMYFUNCTION("""COMPUTED_VALUE"""),"Complete")</f>
        <v>Complete</v>
      </c>
      <c r="L217" s="93"/>
      <c r="M217" s="94">
        <f>IFERROR(__xludf.DUMMYFUNCTION("""COMPUTED_VALUE"""),46141.867106481484)</f>
        <v>46141.86711</v>
      </c>
      <c r="N217" s="93">
        <f>IFERROR(__xludf.DUMMYFUNCTION("""COMPUTED_VALUE"""),78.0)</f>
        <v>78</v>
      </c>
      <c r="O217" s="93"/>
      <c r="P217" s="93" t="str">
        <f>IFERROR(__xludf.DUMMYFUNCTION("""COMPUTED_VALUE"""),"Kit Delivery")</f>
        <v>Kit Delivery</v>
      </c>
      <c r="Q217" s="93"/>
      <c r="R217" s="93"/>
      <c r="S217" s="93" t="str">
        <f>IFERROR(__xludf.DUMMYFUNCTION("""COMPUTED_VALUE"""),"Dispatch_Images/KIT--17497.Photos.014835.jpg")</f>
        <v>Dispatch_Images/KIT--17497.Photos.014835.jpg</v>
      </c>
      <c r="T217" s="95">
        <f>IFERROR(__xludf.DUMMYFUNCTION("""COMPUTED_VALUE"""),46141.87017361111)</f>
        <v>46141.87017</v>
      </c>
      <c r="U217" s="93"/>
      <c r="V217" s="93"/>
      <c r="W217" s="93"/>
      <c r="X217" s="93"/>
      <c r="Y217" s="93"/>
      <c r="Z217" s="93"/>
    </row>
    <row r="218">
      <c r="A218" s="93" t="str">
        <f>IFERROR(__xludf.DUMMYFUNCTION("""COMPUTED_VALUE"""),"KIT-#17735")</f>
        <v>KIT-#17735</v>
      </c>
      <c r="B218" s="94">
        <f>IFERROR(__xludf.DUMMYFUNCTION("""COMPUTED_VALUE"""),46146.0)</f>
        <v>46146</v>
      </c>
      <c r="C218" s="93" t="str">
        <f>IFERROR(__xludf.DUMMYFUNCTION("""COMPUTED_VALUE"""),"Kit Delivery")</f>
        <v>Kit Delivery</v>
      </c>
      <c r="D218" s="93">
        <f>IFERROR(__xludf.DUMMYFUNCTION("""COMPUTED_VALUE"""),3.0)</f>
        <v>3</v>
      </c>
      <c r="E218" s="93" t="str">
        <f>IFERROR(__xludf.DUMMYFUNCTION("""COMPUTED_VALUE"""),"Dauten")</f>
        <v>Dauten</v>
      </c>
      <c r="F218" s="93">
        <f>IFERROR(__xludf.DUMMYFUNCTION("""COMPUTED_VALUE"""),44.0)</f>
        <v>44</v>
      </c>
      <c r="G218" s="93" t="str">
        <f>IFERROR(__xludf.DUMMYFUNCTION("""COMPUTED_VALUE"""),"Lucy Johnson")</f>
        <v>Lucy Johnson</v>
      </c>
      <c r="H218" s="93">
        <f>IFERROR(__xludf.DUMMYFUNCTION("""COMPUTED_VALUE"""),4.043745992E9)</f>
        <v>4043745992</v>
      </c>
      <c r="I218" s="93" t="str">
        <f>IFERROR(__xludf.DUMMYFUNCTION("""COMPUTED_VALUE"""),"11AM-1PM")</f>
        <v>11AM-1PM</v>
      </c>
      <c r="J218" s="93">
        <f>IFERROR(__xludf.DUMMYFUNCTION("""COMPUTED_VALUE"""),1.0)</f>
        <v>1</v>
      </c>
      <c r="K218" s="93" t="str">
        <f>IFERROR(__xludf.DUMMYFUNCTION("""COMPUTED_VALUE"""),"Complete")</f>
        <v>Complete</v>
      </c>
      <c r="L218" s="93"/>
      <c r="M218" s="94">
        <f>IFERROR(__xludf.DUMMYFUNCTION("""COMPUTED_VALUE"""),46141.8687037037)</f>
        <v>46141.8687</v>
      </c>
      <c r="N218" s="93">
        <f>IFERROR(__xludf.DUMMYFUNCTION("""COMPUTED_VALUE"""),80.0)</f>
        <v>80</v>
      </c>
      <c r="O218" s="93"/>
      <c r="P218" s="93" t="str">
        <f>IFERROR(__xludf.DUMMYFUNCTION("""COMPUTED_VALUE"""),"Kit Delivery")</f>
        <v>Kit Delivery</v>
      </c>
      <c r="Q218" s="93" t="str">
        <f>IFERROR(__xludf.DUMMYFUNCTION("""COMPUTED_VALUE"""),"Lucy's last day on campus is Sunday, May 3rd.")</f>
        <v>Lucy's last day on campus is Sunday, May 3rd.</v>
      </c>
      <c r="R218" s="93"/>
      <c r="S218" s="93" t="str">
        <f>IFERROR(__xludf.DUMMYFUNCTION("""COMPUTED_VALUE"""),"Dispatch_Images/KIT--17735.Photos.015053.jpg")</f>
        <v>Dispatch_Images/KIT--17735.Photos.015053.jpg</v>
      </c>
      <c r="T218" s="95">
        <f>IFERROR(__xludf.DUMMYFUNCTION("""COMPUTED_VALUE"""),46141.87017361111)</f>
        <v>46141.87017</v>
      </c>
      <c r="U218" s="93"/>
      <c r="V218" s="93"/>
      <c r="W218" s="93"/>
      <c r="X218" s="93"/>
      <c r="Y218" s="93"/>
      <c r="Z218" s="93"/>
    </row>
    <row r="219">
      <c r="A219" s="93" t="str">
        <f>IFERROR(__xludf.DUMMYFUNCTION("""COMPUTED_VALUE"""),"KIT-#17780")</f>
        <v>KIT-#17780</v>
      </c>
      <c r="B219" s="94">
        <f>IFERROR(__xludf.DUMMYFUNCTION("""COMPUTED_VALUE"""),46146.0)</f>
        <v>46146</v>
      </c>
      <c r="C219" s="93" t="str">
        <f>IFERROR(__xludf.DUMMYFUNCTION("""COMPUTED_VALUE"""),"Kit Delivery")</f>
        <v>Kit Delivery</v>
      </c>
      <c r="D219" s="93">
        <f>IFERROR(__xludf.DUMMYFUNCTION("""COMPUTED_VALUE"""),3.0)</f>
        <v>3</v>
      </c>
      <c r="E219" s="93" t="str">
        <f>IFERROR(__xludf.DUMMYFUNCTION("""COMPUTED_VALUE"""),"Park")</f>
        <v>Park</v>
      </c>
      <c r="F219" s="93">
        <f>IFERROR(__xludf.DUMMYFUNCTION("""COMPUTED_VALUE"""),410.0)</f>
        <v>410</v>
      </c>
      <c r="G219" s="93" t="str">
        <f>IFERROR(__xludf.DUMMYFUNCTION("""COMPUTED_VALUE"""),"Charles Maxell III")</f>
        <v>Charles Maxell III</v>
      </c>
      <c r="H219" s="93">
        <f>IFERROR(__xludf.DUMMYFUNCTION("""COMPUTED_VALUE"""),7.7066832E9)</f>
        <v>7706683200</v>
      </c>
      <c r="I219" s="93" t="str">
        <f>IFERROR(__xludf.DUMMYFUNCTION("""COMPUTED_VALUE"""),"9AM-11AM")</f>
        <v>9AM-11AM</v>
      </c>
      <c r="J219" s="93">
        <f>IFERROR(__xludf.DUMMYFUNCTION("""COMPUTED_VALUE"""),1.0)</f>
        <v>1</v>
      </c>
      <c r="K219" s="93" t="str">
        <f>IFERROR(__xludf.DUMMYFUNCTION("""COMPUTED_VALUE"""),"Complete")</f>
        <v>Complete</v>
      </c>
      <c r="L219" s="93"/>
      <c r="M219" s="94">
        <f>IFERROR(__xludf.DUMMYFUNCTION("""COMPUTED_VALUE"""),46141.87515046296)</f>
        <v>46141.87515</v>
      </c>
      <c r="N219" s="93">
        <f>IFERROR(__xludf.DUMMYFUNCTION("""COMPUTED_VALUE"""),49.0)</f>
        <v>49</v>
      </c>
      <c r="O219" s="93" t="str">
        <f>IFERROR(__xludf.DUMMYFUNCTION("""COMPUTED_VALUE"""),"5025 Duxford Drive SE")</f>
        <v>5025 Duxford Drive SE</v>
      </c>
      <c r="P219" s="93" t="str">
        <f>IFERROR(__xludf.DUMMYFUNCTION("""COMPUTED_VALUE"""),"Kit Delivery")</f>
        <v>Kit Delivery</v>
      </c>
      <c r="Q219" s="93"/>
      <c r="R219" s="93"/>
      <c r="S219" s="93" t="str">
        <f>IFERROR(__xludf.DUMMYFUNCTION("""COMPUTED_VALUE"""),"Dispatch_Images/KIT--17780.Photos.020008.jpg")</f>
        <v>Dispatch_Images/KIT--17780.Photos.020008.jpg</v>
      </c>
      <c r="T219" s="95">
        <f>IFERROR(__xludf.DUMMYFUNCTION("""COMPUTED_VALUE"""),46141.87712962963)</f>
        <v>46141.87713</v>
      </c>
      <c r="U219" s="93"/>
      <c r="V219" s="93"/>
      <c r="W219" s="93"/>
      <c r="X219" s="93"/>
      <c r="Y219" s="93"/>
      <c r="Z219" s="93"/>
    </row>
    <row r="220">
      <c r="A220" s="93" t="str">
        <f>IFERROR(__xludf.DUMMYFUNCTION("""COMPUTED_VALUE"""),"KIT-#17759")</f>
        <v>KIT-#17759</v>
      </c>
      <c r="B220" s="94">
        <f>IFERROR(__xludf.DUMMYFUNCTION("""COMPUTED_VALUE"""),46146.0)</f>
        <v>46146</v>
      </c>
      <c r="C220" s="93" t="str">
        <f>IFERROR(__xludf.DUMMYFUNCTION("""COMPUTED_VALUE"""),"Kit Delivery")</f>
        <v>Kit Delivery</v>
      </c>
      <c r="D220" s="93">
        <f>IFERROR(__xludf.DUMMYFUNCTION("""COMPUTED_VALUE"""),3.0)</f>
        <v>3</v>
      </c>
      <c r="E220" s="93" t="str">
        <f>IFERROR(__xludf.DUMMYFUNCTION("""COMPUTED_VALUE"""),"Park")</f>
        <v>Park</v>
      </c>
      <c r="F220" s="93">
        <f>IFERROR(__xludf.DUMMYFUNCTION("""COMPUTED_VALUE"""),171.0)</f>
        <v>171</v>
      </c>
      <c r="G220" s="93" t="str">
        <f>IFERROR(__xludf.DUMMYFUNCTION("""COMPUTED_VALUE"""),"Avni Kajaria")</f>
        <v>Avni Kajaria</v>
      </c>
      <c r="H220" s="93">
        <f>IFERROR(__xludf.DUMMYFUNCTION("""COMPUTED_VALUE"""),4.403642051E9)</f>
        <v>4403642051</v>
      </c>
      <c r="I220" s="93" t="str">
        <f>IFERROR(__xludf.DUMMYFUNCTION("""COMPUTED_VALUE"""),"1PM-3PM")</f>
        <v>1PM-3PM</v>
      </c>
      <c r="J220" s="93">
        <f>IFERROR(__xludf.DUMMYFUNCTION("""COMPUTED_VALUE"""),2.0)</f>
        <v>2</v>
      </c>
      <c r="K220" s="93" t="str">
        <f>IFERROR(__xludf.DUMMYFUNCTION("""COMPUTED_VALUE"""),"Complete")</f>
        <v>Complete</v>
      </c>
      <c r="L220" s="93"/>
      <c r="M220" s="94">
        <f>IFERROR(__xludf.DUMMYFUNCTION("""COMPUTED_VALUE"""),46141.8765625)</f>
        <v>46141.87656</v>
      </c>
      <c r="N220" s="93">
        <f>IFERROR(__xludf.DUMMYFUNCTION("""COMPUTED_VALUE"""),45.0)</f>
        <v>45</v>
      </c>
      <c r="O220" s="93"/>
      <c r="P220" s="93" t="str">
        <f>IFERROR(__xludf.DUMMYFUNCTION("""COMPUTED_VALUE"""),"Kit Delivery")</f>
        <v>Kit Delivery</v>
      </c>
      <c r="Q220" s="93"/>
      <c r="R220" s="93"/>
      <c r="S220" s="93" t="str">
        <f>IFERROR(__xludf.DUMMYFUNCTION("""COMPUTED_VALUE"""),"Dispatch_Images/KIT--17759.Photos.020212.jpg")</f>
        <v>Dispatch_Images/KIT--17759.Photos.020212.jpg</v>
      </c>
      <c r="T220" s="95">
        <f>IFERROR(__xludf.DUMMYFUNCTION("""COMPUTED_VALUE"""),46141.87712962963)</f>
        <v>46141.87713</v>
      </c>
      <c r="U220" s="93"/>
      <c r="V220" s="93"/>
      <c r="W220" s="93"/>
      <c r="X220" s="93"/>
      <c r="Y220" s="93"/>
      <c r="Z220" s="93"/>
    </row>
    <row r="221">
      <c r="A221" s="93" t="str">
        <f>IFERROR(__xludf.DUMMYFUNCTION("""COMPUTED_VALUE"""),"KIT-#17782")</f>
        <v>KIT-#17782</v>
      </c>
      <c r="B221" s="94">
        <f>IFERROR(__xludf.DUMMYFUNCTION("""COMPUTED_VALUE"""),46146.0)</f>
        <v>46146</v>
      </c>
      <c r="C221" s="93" t="str">
        <f>IFERROR(__xludf.DUMMYFUNCTION("""COMPUTED_VALUE"""),"Kit Delivery")</f>
        <v>Kit Delivery</v>
      </c>
      <c r="D221" s="93">
        <f>IFERROR(__xludf.DUMMYFUNCTION("""COMPUTED_VALUE"""),3.0)</f>
        <v>3</v>
      </c>
      <c r="E221" s="93" t="str">
        <f>IFERROR(__xludf.DUMMYFUNCTION("""COMPUTED_VALUE"""),"Gregg")</f>
        <v>Gregg</v>
      </c>
      <c r="F221" s="93">
        <f>IFERROR(__xludf.DUMMYFUNCTION("""COMPUTED_VALUE"""),3142.0)</f>
        <v>3142</v>
      </c>
      <c r="G221" s="93" t="str">
        <f>IFERROR(__xludf.DUMMYFUNCTION("""COMPUTED_VALUE"""),"Sophie Bongiorno")</f>
        <v>Sophie Bongiorno</v>
      </c>
      <c r="H221" s="93">
        <f>IFERROR(__xludf.DUMMYFUNCTION("""COMPUTED_VALUE"""),4.154079377E9)</f>
        <v>4154079377</v>
      </c>
      <c r="I221" s="93" t="str">
        <f>IFERROR(__xludf.DUMMYFUNCTION("""COMPUTED_VALUE"""),"2PM-4PM")</f>
        <v>2PM-4PM</v>
      </c>
      <c r="J221" s="93">
        <f>IFERROR(__xludf.DUMMYFUNCTION("""COMPUTED_VALUE"""),2.0)</f>
        <v>2</v>
      </c>
      <c r="K221" s="93" t="str">
        <f>IFERROR(__xludf.DUMMYFUNCTION("""COMPUTED_VALUE"""),"Complete")</f>
        <v>Complete</v>
      </c>
      <c r="L221" s="93"/>
      <c r="M221" s="94">
        <f>IFERROR(__xludf.DUMMYFUNCTION("""COMPUTED_VALUE"""),46141.900983796295)</f>
        <v>46141.90098</v>
      </c>
      <c r="N221" s="93">
        <f>IFERROR(__xludf.DUMMYFUNCTION("""COMPUTED_VALUE"""),115.0)</f>
        <v>115</v>
      </c>
      <c r="O221" s="93"/>
      <c r="P221" s="93" t="str">
        <f>IFERROR(__xludf.DUMMYFUNCTION("""COMPUTED_VALUE"""),"Kit Delivery")</f>
        <v>Kit Delivery</v>
      </c>
      <c r="Q221" s="93"/>
      <c r="R221" s="93"/>
      <c r="S221" s="93" t="str">
        <f>IFERROR(__xludf.DUMMYFUNCTION("""COMPUTED_VALUE"""),"Dispatch_Images/KIT--17782.Photos.023721.jpg")</f>
        <v>Dispatch_Images/KIT--17782.Photos.023721.jpg</v>
      </c>
      <c r="T221" s="95">
        <f>IFERROR(__xludf.DUMMYFUNCTION("""COMPUTED_VALUE"""),46141.90488425926)</f>
        <v>46141.90488</v>
      </c>
      <c r="U221" s="93"/>
      <c r="V221" s="93"/>
      <c r="W221" s="93"/>
      <c r="X221" s="93"/>
      <c r="Y221" s="93"/>
      <c r="Z221" s="93"/>
    </row>
    <row r="222">
      <c r="A222" s="93" t="str">
        <f>IFERROR(__xludf.DUMMYFUNCTION("""COMPUTED_VALUE"""),"KIT-#17988")</f>
        <v>KIT-#17988</v>
      </c>
      <c r="B222" s="94">
        <f>IFERROR(__xludf.DUMMYFUNCTION("""COMPUTED_VALUE"""),46146.0)</f>
        <v>46146</v>
      </c>
      <c r="C222" s="93" t="str">
        <f>IFERROR(__xludf.DUMMYFUNCTION("""COMPUTED_VALUE"""),"Kit Delivery")</f>
        <v>Kit Delivery</v>
      </c>
      <c r="D222" s="93">
        <f>IFERROR(__xludf.DUMMYFUNCTION("""COMPUTED_VALUE"""),3.0)</f>
        <v>3</v>
      </c>
      <c r="E222" s="93" t="str">
        <f>IFERROR(__xludf.DUMMYFUNCTION("""COMPUTED_VALUE"""),"Lien")</f>
        <v>Lien</v>
      </c>
      <c r="F222" s="93">
        <f>IFERROR(__xludf.DUMMYFUNCTION("""COMPUTED_VALUE"""),1102.0)</f>
        <v>1102</v>
      </c>
      <c r="G222" s="93" t="str">
        <f>IFERROR(__xludf.DUMMYFUNCTION("""COMPUTED_VALUE"""),"Eliana Green")</f>
        <v>Eliana Green</v>
      </c>
      <c r="H222" s="93">
        <f>IFERROR(__xludf.DUMMYFUNCTION("""COMPUTED_VALUE"""),2.407034219E9)</f>
        <v>2407034219</v>
      </c>
      <c r="I222" s="93" t="str">
        <f>IFERROR(__xludf.DUMMYFUNCTION("""COMPUTED_VALUE"""),"9AM-11AM")</f>
        <v>9AM-11AM</v>
      </c>
      <c r="J222" s="93">
        <f>IFERROR(__xludf.DUMMYFUNCTION("""COMPUTED_VALUE"""),1.0)</f>
        <v>1</v>
      </c>
      <c r="K222" s="93" t="str">
        <f>IFERROR(__xludf.DUMMYFUNCTION("""COMPUTED_VALUE"""),"Complete")</f>
        <v>Complete</v>
      </c>
      <c r="L222" s="93"/>
      <c r="M222" s="94">
        <f>IFERROR(__xludf.DUMMYFUNCTION("""COMPUTED_VALUE"""),46141.901087962964)</f>
        <v>46141.90109</v>
      </c>
      <c r="N222" s="93">
        <f>IFERROR(__xludf.DUMMYFUNCTION("""COMPUTED_VALUE"""),117.0)</f>
        <v>117</v>
      </c>
      <c r="O222" s="93"/>
      <c r="P222" s="93" t="str">
        <f>IFERROR(__xludf.DUMMYFUNCTION("""COMPUTED_VALUE"""),"Kit Delivery")</f>
        <v>Kit Delivery</v>
      </c>
      <c r="Q222" s="93"/>
      <c r="R222" s="93"/>
      <c r="S222" s="93" t="str">
        <f>IFERROR(__xludf.DUMMYFUNCTION("""COMPUTED_VALUE"""),"Dispatch_Images/KIT--17988.Photos.023730.jpg")</f>
        <v>Dispatch_Images/KIT--17988.Photos.023730.jpg</v>
      </c>
      <c r="T222" s="95">
        <f>IFERROR(__xludf.DUMMYFUNCTION("""COMPUTED_VALUE"""),46141.90488425926)</f>
        <v>46141.90488</v>
      </c>
      <c r="U222" s="93"/>
      <c r="V222" s="93"/>
      <c r="W222" s="93"/>
      <c r="X222" s="93"/>
      <c r="Y222" s="93"/>
      <c r="Z222" s="93"/>
    </row>
    <row r="223">
      <c r="A223" s="93" t="str">
        <f>IFERROR(__xludf.DUMMYFUNCTION("""COMPUTED_VALUE"""),"KIT-#17161")</f>
        <v>KIT-#17161</v>
      </c>
      <c r="B223" s="94">
        <f>IFERROR(__xludf.DUMMYFUNCTION("""COMPUTED_VALUE"""),46146.0)</f>
        <v>46146</v>
      </c>
      <c r="C223" s="93" t="str">
        <f>IFERROR(__xludf.DUMMYFUNCTION("""COMPUTED_VALUE"""),"Kit Delivery")</f>
        <v>Kit Delivery</v>
      </c>
      <c r="D223" s="93">
        <f>IFERROR(__xludf.DUMMYFUNCTION("""COMPUTED_VALUE"""),3.0)</f>
        <v>3</v>
      </c>
      <c r="E223" s="93" t="str">
        <f>IFERROR(__xludf.DUMMYFUNCTION("""COMPUTED_VALUE"""),"House 22")</f>
        <v>House 22</v>
      </c>
      <c r="F223" s="93">
        <f>IFERROR(__xludf.DUMMYFUNCTION("""COMPUTED_VALUE"""),2041.0)</f>
        <v>2041</v>
      </c>
      <c r="G223" s="93" t="str">
        <f>IFERROR(__xludf.DUMMYFUNCTION("""COMPUTED_VALUE"""),"Lucas Vogel")</f>
        <v>Lucas Vogel</v>
      </c>
      <c r="H223" s="93">
        <f>IFERROR(__xludf.DUMMYFUNCTION("""COMPUTED_VALUE"""),4.088722805E9)</f>
        <v>4088722805</v>
      </c>
      <c r="I223" s="93" t="str">
        <f>IFERROR(__xludf.DUMMYFUNCTION("""COMPUTED_VALUE"""),"9AM-11AM")</f>
        <v>9AM-11AM</v>
      </c>
      <c r="J223" s="93">
        <f>IFERROR(__xludf.DUMMYFUNCTION("""COMPUTED_VALUE"""),1.0)</f>
        <v>1</v>
      </c>
      <c r="K223" s="93" t="str">
        <f>IFERROR(__xludf.DUMMYFUNCTION("""COMPUTED_VALUE"""),"Complete")</f>
        <v>Complete</v>
      </c>
      <c r="L223" s="93"/>
      <c r="M223" s="94">
        <f>IFERROR(__xludf.DUMMYFUNCTION("""COMPUTED_VALUE"""),46141.91237268518)</f>
        <v>46141.91237</v>
      </c>
      <c r="N223" s="93">
        <f>IFERROR(__xludf.DUMMYFUNCTION("""COMPUTED_VALUE"""),140.0)</f>
        <v>140</v>
      </c>
      <c r="O223" s="93"/>
      <c r="P223" s="93" t="str">
        <f>IFERROR(__xludf.DUMMYFUNCTION("""COMPUTED_VALUE"""),"Kit Delivery")</f>
        <v>Kit Delivery</v>
      </c>
      <c r="Q223" s="93"/>
      <c r="R223" s="93"/>
      <c r="S223" s="93" t="str">
        <f>IFERROR(__xludf.DUMMYFUNCTION("""COMPUTED_VALUE"""),"Dispatch_Images/KIT--17161.Photos.025345.jpg")</f>
        <v>Dispatch_Images/KIT--17161.Photos.025345.jpg</v>
      </c>
      <c r="T223" s="95">
        <f>IFERROR(__xludf.DUMMYFUNCTION("""COMPUTED_VALUE"""),46141.921273148146)</f>
        <v>46141.92127</v>
      </c>
      <c r="U223" s="93"/>
      <c r="V223" s="93"/>
      <c r="W223" s="93"/>
      <c r="X223" s="93"/>
      <c r="Y223" s="93"/>
      <c r="Z223" s="93"/>
    </row>
    <row r="224">
      <c r="A224" s="93" t="str">
        <f>IFERROR(__xludf.DUMMYFUNCTION("""COMPUTED_VALUE"""),"KIT-#17837")</f>
        <v>KIT-#17837</v>
      </c>
      <c r="B224" s="94">
        <f>IFERROR(__xludf.DUMMYFUNCTION("""COMPUTED_VALUE"""),46146.0)</f>
        <v>46146</v>
      </c>
      <c r="C224" s="93" t="str">
        <f>IFERROR(__xludf.DUMMYFUNCTION("""COMPUTED_VALUE"""),"Kit Delivery")</f>
        <v>Kit Delivery</v>
      </c>
      <c r="D224" s="93">
        <f>IFERROR(__xludf.DUMMYFUNCTION("""COMPUTED_VALUE"""),3.0)</f>
        <v>3</v>
      </c>
      <c r="E224" s="93" t="str">
        <f>IFERROR(__xludf.DUMMYFUNCTION("""COMPUTED_VALUE"""),"Village East")</f>
        <v>Village East</v>
      </c>
      <c r="F224" s="93">
        <f>IFERROR(__xludf.DUMMYFUNCTION("""COMPUTED_VALUE"""),2011.0)</f>
        <v>2011</v>
      </c>
      <c r="G224" s="93" t="str">
        <f>IFERROR(__xludf.DUMMYFUNCTION("""COMPUTED_VALUE"""),"Sophia Acker")</f>
        <v>Sophia Acker</v>
      </c>
      <c r="H224" s="93">
        <f>IFERROR(__xludf.DUMMYFUNCTION("""COMPUTED_VALUE"""),4.159604245E9)</f>
        <v>4159604245</v>
      </c>
      <c r="I224" s="93" t="str">
        <f>IFERROR(__xludf.DUMMYFUNCTION("""COMPUTED_VALUE"""),"9AM-11AM")</f>
        <v>9AM-11AM</v>
      </c>
      <c r="J224" s="93">
        <f>IFERROR(__xludf.DUMMYFUNCTION("""COMPUTED_VALUE"""),2.0)</f>
        <v>2</v>
      </c>
      <c r="K224" s="93" t="str">
        <f>IFERROR(__xludf.DUMMYFUNCTION("""COMPUTED_VALUE"""),"Complete")</f>
        <v>Complete</v>
      </c>
      <c r="L224" s="93"/>
      <c r="M224" s="94">
        <f>IFERROR(__xludf.DUMMYFUNCTION("""COMPUTED_VALUE"""),46141.919444444444)</f>
        <v>46141.91944</v>
      </c>
      <c r="N224" s="93">
        <f>IFERROR(__xludf.DUMMYFUNCTION("""COMPUTED_VALUE"""),145.0)</f>
        <v>145</v>
      </c>
      <c r="O224" s="93"/>
      <c r="P224" s="93" t="str">
        <f>IFERROR(__xludf.DUMMYFUNCTION("""COMPUTED_VALUE"""),"Kit Delivery")</f>
        <v>Kit Delivery</v>
      </c>
      <c r="Q224" s="93"/>
      <c r="R224" s="93"/>
      <c r="S224" s="93" t="str">
        <f>IFERROR(__xludf.DUMMYFUNCTION("""COMPUTED_VALUE"""),"Dispatch_Images/KIT--17837.Photos.030354.jpg")</f>
        <v>Dispatch_Images/KIT--17837.Photos.030354.jpg</v>
      </c>
      <c r="T224" s="95">
        <f>IFERROR(__xludf.DUMMYFUNCTION("""COMPUTED_VALUE"""),46141.921273148146)</f>
        <v>46141.92127</v>
      </c>
      <c r="U224" s="93"/>
      <c r="V224" s="93"/>
      <c r="W224" s="93"/>
      <c r="X224" s="93"/>
      <c r="Y224" s="93"/>
      <c r="Z224" s="93"/>
    </row>
    <row r="225">
      <c r="A225" s="93" t="str">
        <f>IFERROR(__xludf.DUMMYFUNCTION("""COMPUTED_VALUE"""),"KIT-#17678")</f>
        <v>KIT-#17678</v>
      </c>
      <c r="B225" s="94">
        <f>IFERROR(__xludf.DUMMYFUNCTION("""COMPUTED_VALUE"""),46146.0)</f>
        <v>46146</v>
      </c>
      <c r="C225" s="93" t="str">
        <f>IFERROR(__xludf.DUMMYFUNCTION("""COMPUTED_VALUE"""),"Kit Delivery")</f>
        <v>Kit Delivery</v>
      </c>
      <c r="D225" s="93">
        <f>IFERROR(__xludf.DUMMYFUNCTION("""COMPUTED_VALUE"""),3.0)</f>
        <v>3</v>
      </c>
      <c r="E225" s="93" t="str">
        <f>IFERROR(__xludf.DUMMYFUNCTION("""COMPUTED_VALUE"""),"Millbrook Bldg. 3")</f>
        <v>Millbrook Bldg. 3</v>
      </c>
      <c r="F225" s="93" t="str">
        <f>IFERROR(__xludf.DUMMYFUNCTION("""COMPUTED_VALUE"""),"301C")</f>
        <v>301C</v>
      </c>
      <c r="G225" s="93" t="str">
        <f>IFERROR(__xludf.DUMMYFUNCTION("""COMPUTED_VALUE"""),"Jane Spiro")</f>
        <v>Jane Spiro</v>
      </c>
      <c r="H225" s="93">
        <f>IFERROR(__xludf.DUMMYFUNCTION("""COMPUTED_VALUE"""),9.146024774E9)</f>
        <v>9146024774</v>
      </c>
      <c r="I225" s="93" t="str">
        <f>IFERROR(__xludf.DUMMYFUNCTION("""COMPUTED_VALUE"""),"9AM-11AM")</f>
        <v>9AM-11AM</v>
      </c>
      <c r="J225" s="93">
        <f>IFERROR(__xludf.DUMMYFUNCTION("""COMPUTED_VALUE"""),1.0)</f>
        <v>1</v>
      </c>
      <c r="K225" s="93" t="str">
        <f>IFERROR(__xludf.DUMMYFUNCTION("""COMPUTED_VALUE"""),"Complete")</f>
        <v>Complete</v>
      </c>
      <c r="L225" s="93"/>
      <c r="M225" s="94">
        <f>IFERROR(__xludf.DUMMYFUNCTION("""COMPUTED_VALUE"""),46141.924780092595)</f>
        <v>46141.92478</v>
      </c>
      <c r="N225" s="93">
        <f>IFERROR(__xludf.DUMMYFUNCTION("""COMPUTED_VALUE"""),159.0)</f>
        <v>159</v>
      </c>
      <c r="O225" s="93"/>
      <c r="P225" s="93" t="str">
        <f>IFERROR(__xludf.DUMMYFUNCTION("""COMPUTED_VALUE"""),"Kit Delivery")</f>
        <v>Kit Delivery</v>
      </c>
      <c r="Q225" s="93"/>
      <c r="R225" s="93"/>
      <c r="S225" s="93" t="str">
        <f>IFERROR(__xludf.DUMMYFUNCTION("""COMPUTED_VALUE"""),"Dispatch_Images/KIT--17678.Photos.031136.jpg")</f>
        <v>Dispatch_Images/KIT--17678.Photos.031136.jpg</v>
      </c>
      <c r="T225" s="95">
        <f>IFERROR(__xludf.DUMMYFUNCTION("""COMPUTED_VALUE"""),46141.92824074074)</f>
        <v>46141.92824</v>
      </c>
      <c r="U225" s="93"/>
      <c r="V225" s="93"/>
      <c r="W225" s="93"/>
      <c r="X225" s="93"/>
      <c r="Y225" s="93"/>
      <c r="Z225" s="93"/>
    </row>
    <row r="226">
      <c r="A226" s="93" t="str">
        <f>IFERROR(__xludf.DUMMYFUNCTION("""COMPUTED_VALUE"""),"KIT-#17762")</f>
        <v>KIT-#17762</v>
      </c>
      <c r="B226" s="94">
        <f>IFERROR(__xludf.DUMMYFUNCTION("""COMPUTED_VALUE"""),46146.0)</f>
        <v>46146</v>
      </c>
      <c r="C226" s="93" t="str">
        <f>IFERROR(__xludf.DUMMYFUNCTION("""COMPUTED_VALUE"""),"Kit Delivery")</f>
        <v>Kit Delivery</v>
      </c>
      <c r="D226" s="93">
        <f>IFERROR(__xludf.DUMMYFUNCTION("""COMPUTED_VALUE"""),3.0)</f>
        <v>3</v>
      </c>
      <c r="E226" s="93" t="str">
        <f>IFERROR(__xludf.DUMMYFUNCTION("""COMPUTED_VALUE"""),"Millbrook Bldg. 3")</f>
        <v>Millbrook Bldg. 3</v>
      </c>
      <c r="F226" s="93" t="str">
        <f>IFERROR(__xludf.DUMMYFUNCTION("""COMPUTED_VALUE"""),"303 A")</f>
        <v>303 A</v>
      </c>
      <c r="G226" s="93" t="str">
        <f>IFERROR(__xludf.DUMMYFUNCTION("""COMPUTED_VALUE"""),"Addison Steinberg")</f>
        <v>Addison Steinberg</v>
      </c>
      <c r="H226" s="93">
        <f>IFERROR(__xludf.DUMMYFUNCTION("""COMPUTED_VALUE"""),9.17828078E9)</f>
        <v>9178280780</v>
      </c>
      <c r="I226" s="93" t="str">
        <f>IFERROR(__xludf.DUMMYFUNCTION("""COMPUTED_VALUE"""),"9AM-11AM")</f>
        <v>9AM-11AM</v>
      </c>
      <c r="J226" s="93">
        <f>IFERROR(__xludf.DUMMYFUNCTION("""COMPUTED_VALUE"""),1.0)</f>
        <v>1</v>
      </c>
      <c r="K226" s="93" t="str">
        <f>IFERROR(__xludf.DUMMYFUNCTION("""COMPUTED_VALUE"""),"Complete")</f>
        <v>Complete</v>
      </c>
      <c r="L226" s="93"/>
      <c r="M226" s="94">
        <f>IFERROR(__xludf.DUMMYFUNCTION("""COMPUTED_VALUE"""),46141.92643518519)</f>
        <v>46141.92644</v>
      </c>
      <c r="N226" s="93">
        <f>IFERROR(__xludf.DUMMYFUNCTION("""COMPUTED_VALUE"""),161.0)</f>
        <v>161</v>
      </c>
      <c r="O226" s="93" t="str">
        <f>IFERROR(__xludf.DUMMYFUNCTION("""COMPUTED_VALUE"""),"1045 Park Ave Apt 2AB
New York, NY 10028")</f>
        <v>1045 Park Ave Apt 2AB
New York, NY 10028</v>
      </c>
      <c r="P226" s="93" t="str">
        <f>IFERROR(__xludf.DUMMYFUNCTION("""COMPUTED_VALUE"""),"Kit Delivery")</f>
        <v>Kit Delivery</v>
      </c>
      <c r="Q226" s="93"/>
      <c r="R226" s="93"/>
      <c r="S226" s="93" t="str">
        <f>IFERROR(__xludf.DUMMYFUNCTION("""COMPUTED_VALUE"""),"Dispatch_Images/KIT--17762.Photos.031400.jpg")</f>
        <v>Dispatch_Images/KIT--17762.Photos.031400.jpg</v>
      </c>
      <c r="T226" s="95">
        <f>IFERROR(__xludf.DUMMYFUNCTION("""COMPUTED_VALUE"""),46141.92824074074)</f>
        <v>46141.92824</v>
      </c>
      <c r="U226" s="93"/>
      <c r="V226" s="93"/>
      <c r="W226" s="93"/>
      <c r="X226" s="93"/>
      <c r="Y226" s="93"/>
      <c r="Z226" s="93"/>
    </row>
    <row r="227">
      <c r="A227" s="93" t="str">
        <f>IFERROR(__xludf.DUMMYFUNCTION("""COMPUTED_VALUE"""),"KIT-#17635")</f>
        <v>KIT-#17635</v>
      </c>
      <c r="B227" s="94">
        <f>IFERROR(__xludf.DUMMYFUNCTION("""COMPUTED_VALUE"""),46146.0)</f>
        <v>46146</v>
      </c>
      <c r="C227" s="93" t="str">
        <f>IFERROR(__xludf.DUMMYFUNCTION("""COMPUTED_VALUE"""),"Kit Delivery")</f>
        <v>Kit Delivery</v>
      </c>
      <c r="D227" s="93">
        <f>IFERROR(__xludf.DUMMYFUNCTION("""COMPUTED_VALUE"""),3.0)</f>
        <v>3</v>
      </c>
      <c r="E227" s="93" t="str">
        <f>IFERROR(__xludf.DUMMYFUNCTION("""COMPUTED_VALUE"""),"Millbrook Bldg. 4")</f>
        <v>Millbrook Bldg. 4</v>
      </c>
      <c r="F227" s="93" t="str">
        <f>IFERROR(__xludf.DUMMYFUNCTION("""COMPUTED_VALUE"""),"4b1")</f>
        <v>4b1</v>
      </c>
      <c r="G227" s="93" t="str">
        <f>IFERROR(__xludf.DUMMYFUNCTION("""COMPUTED_VALUE"""),"Arya Mehta")</f>
        <v>Arya Mehta</v>
      </c>
      <c r="H227" s="93">
        <f>IFERROR(__xludf.DUMMYFUNCTION("""COMPUTED_VALUE"""),5.086546802E9)</f>
        <v>5086546802</v>
      </c>
      <c r="I227" s="93" t="str">
        <f>IFERROR(__xludf.DUMMYFUNCTION("""COMPUTED_VALUE"""),"9AM-11AM")</f>
        <v>9AM-11AM</v>
      </c>
      <c r="J227" s="93">
        <f>IFERROR(__xludf.DUMMYFUNCTION("""COMPUTED_VALUE"""),2.0)</f>
        <v>2</v>
      </c>
      <c r="K227" s="93" t="str">
        <f>IFERROR(__xludf.DUMMYFUNCTION("""COMPUTED_VALUE"""),"Complete")</f>
        <v>Complete</v>
      </c>
      <c r="L227" s="93"/>
      <c r="M227" s="94">
        <f>IFERROR(__xludf.DUMMYFUNCTION("""COMPUTED_VALUE"""),46141.928935185184)</f>
        <v>46141.92894</v>
      </c>
      <c r="N227" s="93">
        <f>IFERROR(__xludf.DUMMYFUNCTION("""COMPUTED_VALUE"""),163.0)</f>
        <v>163</v>
      </c>
      <c r="O227" s="93"/>
      <c r="P227" s="93" t="str">
        <f>IFERROR(__xludf.DUMMYFUNCTION("""COMPUTED_VALUE"""),"Kit Delivery")</f>
        <v>Kit Delivery</v>
      </c>
      <c r="Q227" s="93"/>
      <c r="R227" s="93"/>
      <c r="S227" s="93" t="str">
        <f>IFERROR(__xludf.DUMMYFUNCTION("""COMPUTED_VALUE"""),"Dispatch_Images/KIT--17635.Photos.031736.jpg")</f>
        <v>Dispatch_Images/KIT--17635.Photos.031736.jpg</v>
      </c>
      <c r="T227" s="95">
        <f>IFERROR(__xludf.DUMMYFUNCTION("""COMPUTED_VALUE"""),46141.93515046296)</f>
        <v>46141.93515</v>
      </c>
      <c r="U227" s="93"/>
      <c r="V227" s="93"/>
      <c r="W227" s="93"/>
      <c r="X227" s="93"/>
      <c r="Y227" s="93"/>
      <c r="Z227" s="93"/>
    </row>
    <row r="228">
      <c r="A228" s="93" t="str">
        <f>IFERROR(__xludf.DUMMYFUNCTION("""COMPUTED_VALUE"""),"KIT-#17698")</f>
        <v>KIT-#17698</v>
      </c>
      <c r="B228" s="94">
        <f>IFERROR(__xludf.DUMMYFUNCTION("""COMPUTED_VALUE"""),46146.0)</f>
        <v>46146</v>
      </c>
      <c r="C228" s="93" t="str">
        <f>IFERROR(__xludf.DUMMYFUNCTION("""COMPUTED_VALUE"""),"Kit Delivery")</f>
        <v>Kit Delivery</v>
      </c>
      <c r="D228" s="93">
        <f>IFERROR(__xludf.DUMMYFUNCTION("""COMPUTED_VALUE"""),3.0)</f>
        <v>3</v>
      </c>
      <c r="E228" s="93" t="str">
        <f>IFERROR(__xludf.DUMMYFUNCTION("""COMPUTED_VALUE"""),"House 5")</f>
        <v>House 5</v>
      </c>
      <c r="F228" s="93">
        <f>IFERROR(__xludf.DUMMYFUNCTION("""COMPUTED_VALUE"""),202.0)</f>
        <v>202</v>
      </c>
      <c r="G228" s="93" t="str">
        <f>IFERROR(__xludf.DUMMYFUNCTION("""COMPUTED_VALUE"""),"Chengwei Shang")</f>
        <v>Chengwei Shang</v>
      </c>
      <c r="H228" s="93">
        <f>IFERROR(__xludf.DUMMYFUNCTION("""COMPUTED_VALUE"""),3.14437011E9)</f>
        <v>3144370110</v>
      </c>
      <c r="I228" s="93" t="str">
        <f>IFERROR(__xludf.DUMMYFUNCTION("""COMPUTED_VALUE"""),"3PM-5PM")</f>
        <v>3PM-5PM</v>
      </c>
      <c r="J228" s="93">
        <f>IFERROR(__xludf.DUMMYFUNCTION("""COMPUTED_VALUE"""),1.0)</f>
        <v>1</v>
      </c>
      <c r="K228" s="93" t="str">
        <f>IFERROR(__xludf.DUMMYFUNCTION("""COMPUTED_VALUE"""),"Complete")</f>
        <v>Complete</v>
      </c>
      <c r="L228" s="93"/>
      <c r="M228" s="94">
        <f>IFERROR(__xludf.DUMMYFUNCTION("""COMPUTED_VALUE"""),46141.93740740741)</f>
        <v>46141.93741</v>
      </c>
      <c r="N228" s="93">
        <f>IFERROR(__xludf.DUMMYFUNCTION("""COMPUTED_VALUE"""),179.0)</f>
        <v>179</v>
      </c>
      <c r="O228" s="93"/>
      <c r="P228" s="93" t="str">
        <f>IFERROR(__xludf.DUMMYFUNCTION("""COMPUTED_VALUE"""),"Kit Delivery")</f>
        <v>Kit Delivery</v>
      </c>
      <c r="Q228" s="93"/>
      <c r="R228" s="93"/>
      <c r="S228" s="93" t="str">
        <f>IFERROR(__xludf.DUMMYFUNCTION("""COMPUTED_VALUE"""),"Dispatch_Images/KIT--17698.Photos.032948.jpg")</f>
        <v>Dispatch_Images/KIT--17698.Photos.032948.jpg</v>
      </c>
      <c r="T228" s="95">
        <f>IFERROR(__xludf.DUMMYFUNCTION("""COMPUTED_VALUE"""),46141.94212962963)</f>
        <v>46141.94213</v>
      </c>
      <c r="U228" s="93"/>
      <c r="V228" s="93"/>
      <c r="W228" s="93"/>
      <c r="X228" s="93"/>
      <c r="Y228" s="93"/>
      <c r="Z228" s="93"/>
    </row>
    <row r="229">
      <c r="A229" s="93" t="str">
        <f>IFERROR(__xludf.DUMMYFUNCTION("""COMPUTED_VALUE"""),"KIT-#18028")</f>
        <v>KIT-#18028</v>
      </c>
      <c r="B229" s="94">
        <f>IFERROR(__xludf.DUMMYFUNCTION("""COMPUTED_VALUE"""),46146.0)</f>
        <v>46146</v>
      </c>
      <c r="C229" s="93" t="str">
        <f>IFERROR(__xludf.DUMMYFUNCTION("""COMPUTED_VALUE"""),"Kit Delivery")</f>
        <v>Kit Delivery</v>
      </c>
      <c r="D229" s="93">
        <f>IFERROR(__xludf.DUMMYFUNCTION("""COMPUTED_VALUE"""),3.0)</f>
        <v>3</v>
      </c>
      <c r="E229" s="93" t="str">
        <f>IFERROR(__xludf.DUMMYFUNCTION("""COMPUTED_VALUE"""),"LL6255")</f>
        <v>LL6255</v>
      </c>
      <c r="F229" s="93">
        <f>IFERROR(__xludf.DUMMYFUNCTION("""COMPUTED_VALUE"""),211.0)</f>
        <v>211</v>
      </c>
      <c r="G229" s="93" t="str">
        <f>IFERROR(__xludf.DUMMYFUNCTION("""COMPUTED_VALUE"""),"Dayana Villasano")</f>
        <v>Dayana Villasano</v>
      </c>
      <c r="H229" s="93">
        <f>IFERROR(__xludf.DUMMYFUNCTION("""COMPUTED_VALUE"""),7.13367085E9)</f>
        <v>7133670850</v>
      </c>
      <c r="I229" s="93" t="str">
        <f>IFERROR(__xludf.DUMMYFUNCTION("""COMPUTED_VALUE"""),"9AM-11AM")</f>
        <v>9AM-11AM</v>
      </c>
      <c r="J229" s="93">
        <f>IFERROR(__xludf.DUMMYFUNCTION("""COMPUTED_VALUE"""),1.0)</f>
        <v>1</v>
      </c>
      <c r="K229" s="93" t="str">
        <f>IFERROR(__xludf.DUMMYFUNCTION("""COMPUTED_VALUE"""),"Complete")</f>
        <v>Complete</v>
      </c>
      <c r="L229" s="93"/>
      <c r="M229" s="94">
        <f>IFERROR(__xludf.DUMMYFUNCTION("""COMPUTED_VALUE"""),46141.95537037037)</f>
        <v>46141.95537</v>
      </c>
      <c r="N229" s="93">
        <f>IFERROR(__xludf.DUMMYFUNCTION("""COMPUTED_VALUE"""),181.0)</f>
        <v>181</v>
      </c>
      <c r="O229" s="93"/>
      <c r="P229" s="93" t="str">
        <f>IFERROR(__xludf.DUMMYFUNCTION("""COMPUTED_VALUE"""),"Kit Delivery")</f>
        <v>Kit Delivery</v>
      </c>
      <c r="Q229" s="93"/>
      <c r="R229" s="93"/>
      <c r="S229" s="93" t="str">
        <f>IFERROR(__xludf.DUMMYFUNCTION("""COMPUTED_VALUE"""),"Dispatch_Images/KIT--18028.Photos.035538.jpg")</f>
        <v>Dispatch_Images/KIT--18028.Photos.035538.jpg</v>
      </c>
      <c r="T229" s="95">
        <f>IFERROR(__xludf.DUMMYFUNCTION("""COMPUTED_VALUE"""),46141.956030092595)</f>
        <v>46141.95603</v>
      </c>
      <c r="U229" s="93"/>
      <c r="V229" s="93"/>
      <c r="W229" s="93"/>
      <c r="X229" s="93"/>
      <c r="Y229" s="93"/>
      <c r="Z229" s="93"/>
    </row>
    <row r="230">
      <c r="A230" s="93" t="str">
        <f>IFERROR(__xludf.DUMMYFUNCTION("""COMPUTED_VALUE"""),"KIT-#17756")</f>
        <v>KIT-#17756</v>
      </c>
      <c r="B230" s="94">
        <f>IFERROR(__xludf.DUMMYFUNCTION("""COMPUTED_VALUE"""),46146.0)</f>
        <v>46146</v>
      </c>
      <c r="C230" s="93" t="str">
        <f>IFERROR(__xludf.DUMMYFUNCTION("""COMPUTED_VALUE"""),"Kit Delivery")</f>
        <v>Kit Delivery</v>
      </c>
      <c r="D230" s="93">
        <f>IFERROR(__xludf.DUMMYFUNCTION("""COMPUTED_VALUE"""),3.0)</f>
        <v>3</v>
      </c>
      <c r="E230" s="93" t="str">
        <f>IFERROR(__xludf.DUMMYFUNCTION("""COMPUTED_VALUE"""),"Greenway Apartments")</f>
        <v>Greenway Apartments</v>
      </c>
      <c r="F230" s="93" t="str">
        <f>IFERROR(__xludf.DUMMYFUNCTION("""COMPUTED_VALUE"""),"012-C")</f>
        <v>012-C</v>
      </c>
      <c r="G230" s="93" t="str">
        <f>IFERROR(__xludf.DUMMYFUNCTION("""COMPUTED_VALUE"""),"Drew Rosenberg")</f>
        <v>Drew Rosenberg</v>
      </c>
      <c r="H230" s="93">
        <f>IFERROR(__xludf.DUMMYFUNCTION("""COMPUTED_VALUE"""),3.124481629E9)</f>
        <v>3124481629</v>
      </c>
      <c r="I230" s="93" t="str">
        <f>IFERROR(__xludf.DUMMYFUNCTION("""COMPUTED_VALUE"""),"9AM-11AM")</f>
        <v>9AM-11AM</v>
      </c>
      <c r="J230" s="93">
        <f>IFERROR(__xludf.DUMMYFUNCTION("""COMPUTED_VALUE"""),2.0)</f>
        <v>2</v>
      </c>
      <c r="K230" s="93" t="str">
        <f>IFERROR(__xludf.DUMMYFUNCTION("""COMPUTED_VALUE"""),"Complete")</f>
        <v>Complete</v>
      </c>
      <c r="L230" s="93"/>
      <c r="M230" s="94">
        <f>IFERROR(__xludf.DUMMYFUNCTION("""COMPUTED_VALUE"""),46141.96184027778)</f>
        <v>46141.96184</v>
      </c>
      <c r="N230" s="93">
        <f>IFERROR(__xludf.DUMMYFUNCTION("""COMPUTED_VALUE"""),183.0)</f>
        <v>183</v>
      </c>
      <c r="O230" s="93"/>
      <c r="P230" s="93" t="str">
        <f>IFERROR(__xludf.DUMMYFUNCTION("""COMPUTED_VALUE"""),"Kit Delivery")</f>
        <v>Kit Delivery</v>
      </c>
      <c r="Q230" s="93" t="str">
        <f>IFERROR(__xludf.DUMMYFUNCTION("""COMPUTED_VALUE"""),"Please deliver the kits by Thursday, May 1st")</f>
        <v>Please deliver the kits by Thursday, May 1st</v>
      </c>
      <c r="R230" s="93"/>
      <c r="S230" s="93" t="str">
        <f>IFERROR(__xludf.DUMMYFUNCTION("""COMPUTED_VALUE"""),"Dispatch_Images/KIT--17756.Photos.040459.jpg")</f>
        <v>Dispatch_Images/KIT--17756.Photos.040459.jpg</v>
      </c>
      <c r="T230" s="95">
        <f>IFERROR(__xludf.DUMMYFUNCTION("""COMPUTED_VALUE"""),46141.96292824074)</f>
        <v>46141.96293</v>
      </c>
      <c r="U230" s="93"/>
      <c r="V230" s="93"/>
      <c r="W230" s="93"/>
      <c r="X230" s="93"/>
      <c r="Y230" s="93"/>
      <c r="Z230" s="93"/>
    </row>
    <row r="231">
      <c r="A231" s="93" t="str">
        <f>IFERROR(__xludf.DUMMYFUNCTION("""COMPUTED_VALUE"""),"KIT-#18059")</f>
        <v>KIT-#18059</v>
      </c>
      <c r="B231" s="94">
        <f>IFERROR(__xludf.DUMMYFUNCTION("""COMPUTED_VALUE"""),46146.0)</f>
        <v>46146</v>
      </c>
      <c r="C231" s="93" t="str">
        <f>IFERROR(__xludf.DUMMYFUNCTION("""COMPUTED_VALUE"""),"Kit Delivery")</f>
        <v>Kit Delivery</v>
      </c>
      <c r="D231" s="93">
        <f>IFERROR(__xludf.DUMMYFUNCTION("""COMPUTED_VALUE"""),3.0)</f>
        <v>3</v>
      </c>
      <c r="E231" s="93" t="str">
        <f>IFERROR(__xludf.DUMMYFUNCTION("""COMPUTED_VALUE"""),"Gregg")</f>
        <v>Gregg</v>
      </c>
      <c r="F231" s="93">
        <f>IFERROR(__xludf.DUMMYFUNCTION("""COMPUTED_VALUE"""),3030.0)</f>
        <v>3030</v>
      </c>
      <c r="G231" s="93" t="str">
        <f>IFERROR(__xludf.DUMMYFUNCTION("""COMPUTED_VALUE"""),"Hera")</f>
        <v>Hera</v>
      </c>
      <c r="H231" s="93">
        <f>IFERROR(__xludf.DUMMYFUNCTION("""COMPUTED_VALUE"""),7.032232616E9)</f>
        <v>7032232616</v>
      </c>
      <c r="I231" s="93" t="str">
        <f>IFERROR(__xludf.DUMMYFUNCTION("""COMPUTED_VALUE"""),"9AM-11AM")</f>
        <v>9AM-11AM</v>
      </c>
      <c r="J231" s="93">
        <f>IFERROR(__xludf.DUMMYFUNCTION("""COMPUTED_VALUE"""),2.0)</f>
        <v>2</v>
      </c>
      <c r="K231" s="93" t="str">
        <f>IFERROR(__xludf.DUMMYFUNCTION("""COMPUTED_VALUE"""),"Complete")</f>
        <v>Complete</v>
      </c>
      <c r="L231" s="93"/>
      <c r="M231" s="94">
        <f>IFERROR(__xludf.DUMMYFUNCTION("""COMPUTED_VALUE"""),46142.91100694444)</f>
        <v>46142.91101</v>
      </c>
      <c r="N231" s="93">
        <f>IFERROR(__xludf.DUMMYFUNCTION("""COMPUTED_VALUE"""),106.0)</f>
        <v>106</v>
      </c>
      <c r="O231" s="93"/>
      <c r="P231" s="93" t="str">
        <f>IFERROR(__xludf.DUMMYFUNCTION("""COMPUTED_VALUE"""),"Kit Delivery")</f>
        <v>Kit Delivery</v>
      </c>
      <c r="Q231" s="93"/>
      <c r="R231" s="93"/>
      <c r="S231" s="93" t="str">
        <f>IFERROR(__xludf.DUMMYFUNCTION("""COMPUTED_VALUE"""),"Dispatch_Images/KIT--18059.Photos.025147.jpg")</f>
        <v>Dispatch_Images/KIT--18059.Photos.025147.jpg</v>
      </c>
      <c r="T231" s="95">
        <f>IFERROR(__xludf.DUMMYFUNCTION("""COMPUTED_VALUE"""),46142.9143287037)</f>
        <v>46142.91433</v>
      </c>
      <c r="U231" s="93"/>
      <c r="V231" s="93"/>
      <c r="W231" s="93"/>
      <c r="X231" s="93"/>
      <c r="Y231" s="93"/>
      <c r="Z231" s="93"/>
    </row>
    <row r="232">
      <c r="A232" s="93" t="str">
        <f>IFERROR(__xludf.DUMMYFUNCTION("""COMPUTED_VALUE"""),"KIT-#18061")</f>
        <v>KIT-#18061</v>
      </c>
      <c r="B232" s="94">
        <f>IFERROR(__xludf.DUMMYFUNCTION("""COMPUTED_VALUE"""),46146.0)</f>
        <v>46146</v>
      </c>
      <c r="C232" s="93" t="str">
        <f>IFERROR(__xludf.DUMMYFUNCTION("""COMPUTED_VALUE"""),"Kit Delivery")</f>
        <v>Kit Delivery</v>
      </c>
      <c r="D232" s="93">
        <f>IFERROR(__xludf.DUMMYFUNCTION("""COMPUTED_VALUE"""),3.0)</f>
        <v>3</v>
      </c>
      <c r="E232" s="93" t="str">
        <f>IFERROR(__xludf.DUMMYFUNCTION("""COMPUTED_VALUE"""),"Park")</f>
        <v>Park</v>
      </c>
      <c r="F232" s="93">
        <f>IFERROR(__xludf.DUMMYFUNCTION("""COMPUTED_VALUE"""),262.0)</f>
        <v>262</v>
      </c>
      <c r="G232" s="93" t="str">
        <f>IFERROR(__xludf.DUMMYFUNCTION("""COMPUTED_VALUE"""),"Allen Han")</f>
        <v>Allen Han</v>
      </c>
      <c r="H232" s="93">
        <f>IFERROR(__xludf.DUMMYFUNCTION("""COMPUTED_VALUE"""),1.042821592E9)</f>
        <v>1042821592</v>
      </c>
      <c r="I232" s="93" t="str">
        <f>IFERROR(__xludf.DUMMYFUNCTION("""COMPUTED_VALUE"""),"2PM-4PM")</f>
        <v>2PM-4PM</v>
      </c>
      <c r="J232" s="93">
        <f>IFERROR(__xludf.DUMMYFUNCTION("""COMPUTED_VALUE"""),1.0)</f>
        <v>1</v>
      </c>
      <c r="K232" s="93" t="str">
        <f>IFERROR(__xludf.DUMMYFUNCTION("""COMPUTED_VALUE"""),"Complete")</f>
        <v>Complete</v>
      </c>
      <c r="L232" s="93"/>
      <c r="M232" s="94">
        <f>IFERROR(__xludf.DUMMYFUNCTION("""COMPUTED_VALUE"""),46142.91856481481)</f>
        <v>46142.91856</v>
      </c>
      <c r="N232" s="93">
        <f>IFERROR(__xludf.DUMMYFUNCTION("""COMPUTED_VALUE"""),41.0)</f>
        <v>41</v>
      </c>
      <c r="O232" s="93"/>
      <c r="P232" s="93" t="str">
        <f>IFERROR(__xludf.DUMMYFUNCTION("""COMPUTED_VALUE"""),"Kit Delivery")</f>
        <v>Kit Delivery</v>
      </c>
      <c r="Q232" s="93"/>
      <c r="R232" s="93"/>
      <c r="S232" s="93" t="str">
        <f>IFERROR(__xludf.DUMMYFUNCTION("""COMPUTED_VALUE"""),"Dispatch_Images/KIT--18061.Photos.030241.jpg")</f>
        <v>Dispatch_Images/KIT--18061.Photos.030241.jpg</v>
      </c>
      <c r="T232" s="95">
        <f>IFERROR(__xludf.DUMMYFUNCTION("""COMPUTED_VALUE"""),46142.92128472222)</f>
        <v>46142.92128</v>
      </c>
      <c r="U232" s="93"/>
      <c r="V232" s="93"/>
      <c r="W232" s="93"/>
      <c r="X232" s="93"/>
      <c r="Y232" s="93"/>
      <c r="Z232" s="93"/>
    </row>
    <row r="233">
      <c r="A233" s="93" t="str">
        <f>IFERROR(__xludf.DUMMYFUNCTION("""COMPUTED_VALUE"""),"KIT-#18128")</f>
        <v>KIT-#18128</v>
      </c>
      <c r="B233" s="94">
        <f>IFERROR(__xludf.DUMMYFUNCTION("""COMPUTED_VALUE"""),46146.0)</f>
        <v>46146</v>
      </c>
      <c r="C233" s="93" t="str">
        <f>IFERROR(__xludf.DUMMYFUNCTION("""COMPUTED_VALUE"""),"Kit Delivery")</f>
        <v>Kit Delivery</v>
      </c>
      <c r="D233" s="93">
        <f>IFERROR(__xludf.DUMMYFUNCTION("""COMPUTED_VALUE"""),2.0)</f>
        <v>2</v>
      </c>
      <c r="E233" s="93" t="str">
        <f>IFERROR(__xludf.DUMMYFUNCTION("""COMPUTED_VALUE"""),"Danforth")</f>
        <v>Danforth</v>
      </c>
      <c r="F233" s="93">
        <f>IFERROR(__xludf.DUMMYFUNCTION("""COMPUTED_VALUE"""),3311.0)</f>
        <v>3311</v>
      </c>
      <c r="G233" s="93" t="str">
        <f>IFERROR(__xludf.DUMMYFUNCTION("""COMPUTED_VALUE"""),"Noah Sokol")</f>
        <v>Noah Sokol</v>
      </c>
      <c r="H233" s="93">
        <f>IFERROR(__xludf.DUMMYFUNCTION("""COMPUTED_VALUE"""),9.142073828E9)</f>
        <v>9142073828</v>
      </c>
      <c r="I233" s="93" t="str">
        <f>IFERROR(__xludf.DUMMYFUNCTION("""COMPUTED_VALUE"""),"9AM-11AM")</f>
        <v>9AM-11AM</v>
      </c>
      <c r="J233" s="93">
        <f>IFERROR(__xludf.DUMMYFUNCTION("""COMPUTED_VALUE"""),2.0)</f>
        <v>2</v>
      </c>
      <c r="K233" s="93" t="str">
        <f>IFERROR(__xludf.DUMMYFUNCTION("""COMPUTED_VALUE"""),"Complete")</f>
        <v>Complete</v>
      </c>
      <c r="L233" s="93"/>
      <c r="M233" s="94">
        <f>IFERROR(__xludf.DUMMYFUNCTION("""COMPUTED_VALUE"""),46144.15081018519)</f>
        <v>46144.15081</v>
      </c>
      <c r="N233" s="93">
        <f>IFERROR(__xludf.DUMMYFUNCTION("""COMPUTED_VALUE"""),41.0)</f>
        <v>41</v>
      </c>
      <c r="O233" s="93"/>
      <c r="P233" s="93" t="str">
        <f>IFERROR(__xludf.DUMMYFUNCTION("""COMPUTED_VALUE"""),"Kit Delivery")</f>
        <v>Kit Delivery</v>
      </c>
      <c r="Q233" s="93"/>
      <c r="R233" s="93"/>
      <c r="S233" s="93" t="str">
        <f>IFERROR(__xludf.DUMMYFUNCTION("""COMPUTED_VALUE"""),"Dispatch_Images/KIT--18128.Photos.083706.jpg")</f>
        <v>Dispatch_Images/KIT--18128.Photos.083706.jpg</v>
      </c>
      <c r="T233" s="95">
        <f>IFERROR(__xludf.DUMMYFUNCTION("""COMPUTED_VALUE"""),46144.15738425926)</f>
        <v>46144.15738</v>
      </c>
      <c r="U233" s="93"/>
      <c r="V233" s="93"/>
      <c r="W233" s="93"/>
      <c r="X233" s="93"/>
      <c r="Y233" s="93"/>
      <c r="Z233" s="93"/>
    </row>
    <row r="234">
      <c r="A234" s="93" t="str">
        <f>IFERROR(__xludf.DUMMYFUNCTION("""COMPUTED_VALUE"""),"KIT-#18150")</f>
        <v>KIT-#18150</v>
      </c>
      <c r="B234" s="94">
        <f>IFERROR(__xludf.DUMMYFUNCTION("""COMPUTED_VALUE"""),46146.0)</f>
        <v>46146</v>
      </c>
      <c r="C234" s="93" t="str">
        <f>IFERROR(__xludf.DUMMYFUNCTION("""COMPUTED_VALUE"""),"Kit Delivery")</f>
        <v>Kit Delivery</v>
      </c>
      <c r="D234" s="93">
        <f>IFERROR(__xludf.DUMMYFUNCTION("""COMPUTED_VALUE"""),2.0)</f>
        <v>2</v>
      </c>
      <c r="E234" s="93" t="str">
        <f>IFERROR(__xludf.DUMMYFUNCTION("""COMPUTED_VALUE"""),"Koenig")</f>
        <v>Koenig</v>
      </c>
      <c r="F234" s="93">
        <f>IFERROR(__xludf.DUMMYFUNCTION("""COMPUTED_VALUE"""),1119.0)</f>
        <v>1119</v>
      </c>
      <c r="G234" s="93" t="str">
        <f>IFERROR(__xludf.DUMMYFUNCTION("""COMPUTED_VALUE"""),"Fallon Anderson")</f>
        <v>Fallon Anderson</v>
      </c>
      <c r="H234" s="93">
        <f>IFERROR(__xludf.DUMMYFUNCTION("""COMPUTED_VALUE"""),2.243003206E9)</f>
        <v>2243003206</v>
      </c>
      <c r="I234" s="93" t="str">
        <f>IFERROR(__xludf.DUMMYFUNCTION("""COMPUTED_VALUE"""),"9AM-11AM")</f>
        <v>9AM-11AM</v>
      </c>
      <c r="J234" s="93">
        <f>IFERROR(__xludf.DUMMYFUNCTION("""COMPUTED_VALUE"""),1.0)</f>
        <v>1</v>
      </c>
      <c r="K234" s="93" t="str">
        <f>IFERROR(__xludf.DUMMYFUNCTION("""COMPUTED_VALUE"""),"Complete")</f>
        <v>Complete</v>
      </c>
      <c r="L234" s="93"/>
      <c r="M234" s="94">
        <f>IFERROR(__xludf.DUMMYFUNCTION("""COMPUTED_VALUE"""),46144.16628472222)</f>
        <v>46144.16628</v>
      </c>
      <c r="N234" s="93">
        <f>IFERROR(__xludf.DUMMYFUNCTION("""COMPUTED_VALUE"""),103.0)</f>
        <v>103</v>
      </c>
      <c r="O234" s="93"/>
      <c r="P234" s="93" t="str">
        <f>IFERROR(__xludf.DUMMYFUNCTION("""COMPUTED_VALUE"""),"Kit Delivery")</f>
        <v>Kit Delivery</v>
      </c>
      <c r="Q234" s="93" t="str">
        <f>IFERROR(__xludf.DUMMYFUNCTION("""COMPUTED_VALUE"""),"leaving on the 3rd, would like to have the boxes by the 2nd!!")</f>
        <v>leaving on the 3rd, would like to have the boxes by the 2nd!!</v>
      </c>
      <c r="R234" s="93"/>
      <c r="S234" s="93" t="str">
        <f>IFERROR(__xludf.DUMMYFUNCTION("""COMPUTED_VALUE"""),"Dispatch_Images/KIT--18150.Photos.085923.jpg")</f>
        <v>Dispatch_Images/KIT--18150.Photos.085923.jpg</v>
      </c>
      <c r="T234" s="95">
        <f>IFERROR(__xludf.DUMMYFUNCTION("""COMPUTED_VALUE"""),46144.171261574076)</f>
        <v>46144.17126</v>
      </c>
      <c r="U234" s="93"/>
      <c r="V234" s="93"/>
      <c r="W234" s="93"/>
      <c r="X234" s="93"/>
      <c r="Y234" s="93"/>
      <c r="Z234" s="93"/>
    </row>
    <row r="235">
      <c r="A235" s="93" t="str">
        <f>IFERROR(__xludf.DUMMYFUNCTION("""COMPUTED_VALUE"""),"KIT-#18085-HS")</f>
        <v>KIT-#18085-HS</v>
      </c>
      <c r="B235" s="94">
        <f>IFERROR(__xludf.DUMMYFUNCTION("""COMPUTED_VALUE"""),46146.0)</f>
        <v>46146</v>
      </c>
      <c r="C235" s="93"/>
      <c r="D235" s="93">
        <f>IFERROR(__xludf.DUMMYFUNCTION("""COMPUTED_VALUE"""),2.0)</f>
        <v>2</v>
      </c>
      <c r="E235" s="93" t="str">
        <f>IFERROR(__xludf.DUMMYFUNCTION("""COMPUTED_VALUE"""),"Off-Campus")</f>
        <v>Off-Campus</v>
      </c>
      <c r="F235" s="93"/>
      <c r="G235" s="93" t="str">
        <f>IFERROR(__xludf.DUMMYFUNCTION("""COMPUTED_VALUE"""),"Madeleine Lew")</f>
        <v>Madeleine Lew</v>
      </c>
      <c r="H235" s="93">
        <f>IFERROR(__xludf.DUMMYFUNCTION("""COMPUTED_VALUE"""),4.159885221E9)</f>
        <v>4159885221</v>
      </c>
      <c r="I235" s="93" t="str">
        <f>IFERROR(__xludf.DUMMYFUNCTION("""COMPUTED_VALUE"""),"10:00 AM to 12:00 PM")</f>
        <v>10:00 AM to 12:00 PM</v>
      </c>
      <c r="J235" s="93">
        <f>IFERROR(__xludf.DUMMYFUNCTION("""COMPUTED_VALUE"""),1.0)</f>
        <v>1</v>
      </c>
      <c r="K235" s="93" t="str">
        <f>IFERROR(__xludf.DUMMYFUNCTION("""COMPUTED_VALUE"""),"Complete")</f>
        <v>Complete</v>
      </c>
      <c r="L235" s="93"/>
      <c r="M235" s="94">
        <f>IFERROR(__xludf.DUMMYFUNCTION("""COMPUTED_VALUE"""),46144.226481481484)</f>
        <v>46144.22648</v>
      </c>
      <c r="N235" s="93">
        <f>IFERROR(__xludf.DUMMYFUNCTION("""COMPUTED_VALUE"""),1191.0)</f>
        <v>1191</v>
      </c>
      <c r="O235" s="93" t="str">
        <f>IFERROR(__xludf.DUMMYFUNCTION("""COMPUTED_VALUE"""),"605 Leland Ave Saint Louis, MO 63130")</f>
        <v>605 Leland Ave Saint Louis, MO 63130</v>
      </c>
      <c r="P235" s="93" t="str">
        <f>IFERROR(__xludf.DUMMYFUNCTION("""COMPUTED_VALUE"""),"Kit Delivery")</f>
        <v>Kit Delivery</v>
      </c>
      <c r="Q235" s="93"/>
      <c r="R235" s="93"/>
      <c r="S235" s="93" t="str">
        <f>IFERROR(__xludf.DUMMYFUNCTION("""COMPUTED_VALUE"""),"Dispatch_Images/KIT--18085-HS.Photos.102603.jpg")</f>
        <v>Dispatch_Images/KIT--18085-HS.Photos.102603.jpg</v>
      </c>
      <c r="T235" s="95">
        <f>IFERROR(__xludf.DUMMYFUNCTION("""COMPUTED_VALUE"""),46144.2268287037)</f>
        <v>46144.22683</v>
      </c>
      <c r="U235" s="93"/>
      <c r="V235" s="93"/>
      <c r="W235" s="93"/>
      <c r="X235" s="93"/>
      <c r="Y235" s="93"/>
      <c r="Z235" s="93"/>
    </row>
    <row r="236">
      <c r="A236" s="93" t="str">
        <f>IFERROR(__xludf.DUMMYFUNCTION("""COMPUTED_VALUE"""),"KIT-#17519-SS")</f>
        <v>KIT-#17519-SS</v>
      </c>
      <c r="B236" s="94">
        <f>IFERROR(__xludf.DUMMYFUNCTION("""COMPUTED_VALUE"""),46146.0)</f>
        <v>46146</v>
      </c>
      <c r="C236" s="93"/>
      <c r="D236" s="93">
        <f>IFERROR(__xludf.DUMMYFUNCTION("""COMPUTED_VALUE"""),2.0)</f>
        <v>2</v>
      </c>
      <c r="E236" s="93" t="str">
        <f>IFERROR(__xludf.DUMMYFUNCTION("""COMPUTED_VALUE"""),"Off-Campus")</f>
        <v>Off-Campus</v>
      </c>
      <c r="F236" s="93"/>
      <c r="G236" s="93" t="str">
        <f>IFERROR(__xludf.DUMMYFUNCTION("""COMPUTED_VALUE"""),"Sophie Whang")</f>
        <v>Sophie Whang</v>
      </c>
      <c r="H236" s="93">
        <f>IFERROR(__xludf.DUMMYFUNCTION("""COMPUTED_VALUE"""),7.03859443E9)</f>
        <v>7038594430</v>
      </c>
      <c r="I236" s="93" t="str">
        <f>IFERROR(__xludf.DUMMYFUNCTION("""COMPUTED_VALUE"""),"11:00 AM to 01:00 PM")</f>
        <v>11:00 AM to 01:00 PM</v>
      </c>
      <c r="J236" s="93">
        <f>IFERROR(__xludf.DUMMYFUNCTION("""COMPUTED_VALUE"""),1.0)</f>
        <v>1</v>
      </c>
      <c r="K236" s="93" t="str">
        <f>IFERROR(__xludf.DUMMYFUNCTION("""COMPUTED_VALUE"""),"Complete")</f>
        <v>Complete</v>
      </c>
      <c r="L236" s="93"/>
      <c r="M236" s="94">
        <f>IFERROR(__xludf.DUMMYFUNCTION("""COMPUTED_VALUE"""),46144.24716435185)</f>
        <v>46144.24716</v>
      </c>
      <c r="N236" s="93">
        <f>IFERROR(__xludf.DUMMYFUNCTION("""COMPUTED_VALUE"""),434.0)</f>
        <v>434</v>
      </c>
      <c r="O236" s="93" t="str">
        <f>IFERROR(__xludf.DUMMYFUNCTION("""COMPUTED_VALUE"""),"6105 Delmar Blvd Apt. 816")</f>
        <v>6105 Delmar Blvd Apt. 816</v>
      </c>
      <c r="P236" s="93" t="str">
        <f>IFERROR(__xludf.DUMMYFUNCTION("""COMPUTED_VALUE"""),"Kit Delivery")</f>
        <v>Kit Delivery</v>
      </c>
      <c r="Q236" s="93"/>
      <c r="R236" s="93"/>
      <c r="S236" s="93" t="str">
        <f>IFERROR(__xludf.DUMMYFUNCTION("""COMPUTED_VALUE"""),"Dispatch_Images/KIT--17519-SS.Photos.105551.jpg")</f>
        <v>Dispatch_Images/KIT--17519-SS.Photos.105551.jpg</v>
      </c>
      <c r="T236" s="95">
        <f>IFERROR(__xludf.DUMMYFUNCTION("""COMPUTED_VALUE"""),46144.24765046296)</f>
        <v>46144.24765</v>
      </c>
      <c r="U236" s="93"/>
      <c r="V236" s="93"/>
      <c r="W236" s="93"/>
      <c r="X236" s="93"/>
      <c r="Y236" s="93"/>
      <c r="Z236" s="93"/>
    </row>
    <row r="237">
      <c r="A237" s="93" t="str">
        <f>IFERROR(__xludf.DUMMYFUNCTION("""COMPUTED_VALUE"""),"KIT-#18159")</f>
        <v>KIT-#18159</v>
      </c>
      <c r="B237" s="94">
        <f>IFERROR(__xludf.DUMMYFUNCTION("""COMPUTED_VALUE"""),46146.0)</f>
        <v>46146</v>
      </c>
      <c r="C237" s="93" t="str">
        <f>IFERROR(__xludf.DUMMYFUNCTION("""COMPUTED_VALUE"""),"Kit Delivery")</f>
        <v>Kit Delivery</v>
      </c>
      <c r="D237" s="93">
        <f>IFERROR(__xludf.DUMMYFUNCTION("""COMPUTED_VALUE"""),2.0)</f>
        <v>2</v>
      </c>
      <c r="E237" s="93" t="str">
        <f>IFERROR(__xludf.DUMMYFUNCTION("""COMPUTED_VALUE"""),"Danforth")</f>
        <v>Danforth</v>
      </c>
      <c r="F237" s="93">
        <f>IFERROR(__xludf.DUMMYFUNCTION("""COMPUTED_VALUE"""),4421.0)</f>
        <v>4421</v>
      </c>
      <c r="G237" s="93" t="str">
        <f>IFERROR(__xludf.DUMMYFUNCTION("""COMPUTED_VALUE"""),"Mulan Zhang")</f>
        <v>Mulan Zhang</v>
      </c>
      <c r="H237" s="93">
        <f>IFERROR(__xludf.DUMMYFUNCTION("""COMPUTED_VALUE"""),6.179702248E9)</f>
        <v>6179702248</v>
      </c>
      <c r="I237" s="93" t="str">
        <f>IFERROR(__xludf.DUMMYFUNCTION("""COMPUTED_VALUE"""),"9AM-11AM")</f>
        <v>9AM-11AM</v>
      </c>
      <c r="J237" s="93">
        <f>IFERROR(__xludf.DUMMYFUNCTION("""COMPUTED_VALUE"""),1.0)</f>
        <v>1</v>
      </c>
      <c r="K237" s="93" t="str">
        <f>IFERROR(__xludf.DUMMYFUNCTION("""COMPUTED_VALUE"""),"Complete")</f>
        <v>Complete</v>
      </c>
      <c r="L237" s="93"/>
      <c r="M237" s="94">
        <f>IFERROR(__xludf.DUMMYFUNCTION("""COMPUTED_VALUE"""),46145.06910879629)</f>
        <v>46145.06911</v>
      </c>
      <c r="N237" s="93">
        <f>IFERROR(__xludf.DUMMYFUNCTION("""COMPUTED_VALUE"""),31.0)</f>
        <v>31</v>
      </c>
      <c r="O237" s="93" t="str">
        <f>IFERROR(__xludf.DUMMYFUNCTION("""COMPUTED_VALUE"""),"311 Upland Ave
Newton Highlands, Massachusetts 02461")</f>
        <v>311 Upland Ave
Newton Highlands, Massachusetts 02461</v>
      </c>
      <c r="P237" s="93" t="str">
        <f>IFERROR(__xludf.DUMMYFUNCTION("""COMPUTED_VALUE"""),"Kit Delivery")</f>
        <v>Kit Delivery</v>
      </c>
      <c r="Q237" s="93"/>
      <c r="R237" s="93"/>
      <c r="S237" s="93" t="str">
        <f>IFERROR(__xludf.DUMMYFUNCTION("""COMPUTED_VALUE"""),"Dispatch_Images/KIT--18159.Photos.063927.jpg")</f>
        <v>Dispatch_Images/KIT--18159.Photos.063927.jpg</v>
      </c>
      <c r="T237" s="95">
        <f>IFERROR(__xludf.DUMMYFUNCTION("""COMPUTED_VALUE"""),46145.07403935185)</f>
        <v>46145.07404</v>
      </c>
      <c r="U237" s="93"/>
      <c r="V237" s="93"/>
      <c r="W237" s="93"/>
      <c r="X237" s="93"/>
      <c r="Y237" s="93"/>
      <c r="Z237" s="93"/>
    </row>
    <row r="238">
      <c r="A238" s="93" t="str">
        <f>IFERROR(__xludf.DUMMYFUNCTION("""COMPUTED_VALUE"""),"KIT-#18160")</f>
        <v>KIT-#18160</v>
      </c>
      <c r="B238" s="94">
        <f>IFERROR(__xludf.DUMMYFUNCTION("""COMPUTED_VALUE"""),46146.0)</f>
        <v>46146</v>
      </c>
      <c r="C238" s="93" t="str">
        <f>IFERROR(__xludf.DUMMYFUNCTION("""COMPUTED_VALUE"""),"Kit Delivery")</f>
        <v>Kit Delivery</v>
      </c>
      <c r="D238" s="93">
        <f>IFERROR(__xludf.DUMMYFUNCTION("""COMPUTED_VALUE"""),2.0)</f>
        <v>2</v>
      </c>
      <c r="E238" s="93" t="str">
        <f>IFERROR(__xludf.DUMMYFUNCTION("""COMPUTED_VALUE"""),"Koenig")</f>
        <v>Koenig</v>
      </c>
      <c r="F238" s="93">
        <f>IFERROR(__xludf.DUMMYFUNCTION("""COMPUTED_VALUE"""),3320.0)</f>
        <v>3320</v>
      </c>
      <c r="G238" s="93" t="str">
        <f>IFERROR(__xludf.DUMMYFUNCTION("""COMPUTED_VALUE"""),"Ruohan Shao")</f>
        <v>Ruohan Shao</v>
      </c>
      <c r="H238" s="93">
        <f>IFERROR(__xludf.DUMMYFUNCTION("""COMPUTED_VALUE"""),3.143932318E9)</f>
        <v>3143932318</v>
      </c>
      <c r="I238" s="93" t="str">
        <f>IFERROR(__xludf.DUMMYFUNCTION("""COMPUTED_VALUE"""),"10AM-12PM")</f>
        <v>10AM-12PM</v>
      </c>
      <c r="J238" s="93">
        <f>IFERROR(__xludf.DUMMYFUNCTION("""COMPUTED_VALUE"""),1.0)</f>
        <v>1</v>
      </c>
      <c r="K238" s="93" t="str">
        <f>IFERROR(__xludf.DUMMYFUNCTION("""COMPUTED_VALUE"""),"Complete")</f>
        <v>Complete</v>
      </c>
      <c r="L238" s="93"/>
      <c r="M238" s="94">
        <f>IFERROR(__xludf.DUMMYFUNCTION("""COMPUTED_VALUE"""),46145.23032407407)</f>
        <v>46145.23032</v>
      </c>
      <c r="N238" s="93">
        <f>IFERROR(__xludf.DUMMYFUNCTION("""COMPUTED_VALUE"""),76.0)</f>
        <v>76</v>
      </c>
      <c r="O238" s="93"/>
      <c r="P238" s="93" t="str">
        <f>IFERROR(__xludf.DUMMYFUNCTION("""COMPUTED_VALUE"""),"Kit Delivery")</f>
        <v>Kit Delivery</v>
      </c>
      <c r="Q238" s="93"/>
      <c r="R238" s="93"/>
      <c r="S238" s="93" t="str">
        <f>IFERROR(__xludf.DUMMYFUNCTION("""COMPUTED_VALUE"""),"Dispatch_Images/KIT--18160.Photos.103136.jpg")</f>
        <v>Dispatch_Images/KIT--18160.Photos.103136.jpg</v>
      </c>
      <c r="T238" s="95">
        <f>IFERROR(__xludf.DUMMYFUNCTION("""COMPUTED_VALUE"""),46145.233773148146)</f>
        <v>46145.23377</v>
      </c>
      <c r="U238" s="93"/>
      <c r="V238" s="93"/>
      <c r="W238" s="93"/>
      <c r="X238" s="93"/>
      <c r="Y238" s="93"/>
      <c r="Z238" s="93"/>
    </row>
    <row r="239">
      <c r="A239" s="93" t="str">
        <f>IFERROR(__xludf.DUMMYFUNCTION("""COMPUTED_VALUE"""),"KIT-#18223")</f>
        <v>KIT-#18223</v>
      </c>
      <c r="B239" s="94">
        <f>IFERROR(__xludf.DUMMYFUNCTION("""COMPUTED_VALUE"""),46146.0)</f>
        <v>46146</v>
      </c>
      <c r="C239" s="93" t="str">
        <f>IFERROR(__xludf.DUMMYFUNCTION("""COMPUTED_VALUE"""),"Kit Delivery")</f>
        <v>Kit Delivery</v>
      </c>
      <c r="D239" s="93">
        <f>IFERROR(__xludf.DUMMYFUNCTION("""COMPUTED_VALUE"""),2.0)</f>
        <v>2</v>
      </c>
      <c r="E239" s="93" t="str">
        <f>IFERROR(__xludf.DUMMYFUNCTION("""COMPUTED_VALUE"""),"Lien")</f>
        <v>Lien</v>
      </c>
      <c r="F239" s="93">
        <f>IFERROR(__xludf.DUMMYFUNCTION("""COMPUTED_VALUE"""),2218.0)</f>
        <v>2218</v>
      </c>
      <c r="G239" s="93" t="str">
        <f>IFERROR(__xludf.DUMMYFUNCTION("""COMPUTED_VALUE"""),"Eason Zhao")</f>
        <v>Eason Zhao</v>
      </c>
      <c r="H239" s="93">
        <f>IFERROR(__xludf.DUMMYFUNCTION("""COMPUTED_VALUE"""),5.715194057E9)</f>
        <v>5715194057</v>
      </c>
      <c r="I239" s="93" t="str">
        <f>IFERROR(__xludf.DUMMYFUNCTION("""COMPUTED_VALUE"""),"3PM-5PM")</f>
        <v>3PM-5PM</v>
      </c>
      <c r="J239" s="93">
        <f>IFERROR(__xludf.DUMMYFUNCTION("""COMPUTED_VALUE"""),1.0)</f>
        <v>1</v>
      </c>
      <c r="K239" s="93" t="str">
        <f>IFERROR(__xludf.DUMMYFUNCTION("""COMPUTED_VALUE"""),"Complete")</f>
        <v>Complete</v>
      </c>
      <c r="L239" s="93"/>
      <c r="M239" s="94">
        <f>IFERROR(__xludf.DUMMYFUNCTION("""COMPUTED_VALUE"""),46146.74407407407)</f>
        <v>46146.74407</v>
      </c>
      <c r="N239" s="93">
        <f>IFERROR(__xludf.DUMMYFUNCTION("""COMPUTED_VALUE"""),8.0)</f>
        <v>8</v>
      </c>
      <c r="O239" s="93"/>
      <c r="P239" s="93" t="str">
        <f>IFERROR(__xludf.DUMMYFUNCTION("""COMPUTED_VALUE"""),"Kit Delivery")</f>
        <v>Kit Delivery</v>
      </c>
      <c r="Q239" s="93"/>
      <c r="R239" s="93"/>
      <c r="S239" s="93" t="str">
        <f>IFERROR(__xludf.DUMMYFUNCTION("""COMPUTED_VALUE"""),"Dispatch_Images/KIT--18223.Photos.225124.jpg")</f>
        <v>Dispatch_Images/KIT--18223.Photos.225124.jpg</v>
      </c>
      <c r="T239" s="95">
        <f>IFERROR(__xludf.DUMMYFUNCTION("""COMPUTED_VALUE"""),46146.74765046296)</f>
        <v>46146.74765</v>
      </c>
      <c r="U239" s="93"/>
      <c r="V239" s="93"/>
      <c r="W239" s="93"/>
      <c r="X239" s="93"/>
      <c r="Y239" s="93"/>
      <c r="Z239" s="93"/>
    </row>
    <row r="240">
      <c r="A240" s="93" t="str">
        <f>IFERROR(__xludf.DUMMYFUNCTION("""COMPUTED_VALUE"""),"KIT-#17519")</f>
        <v>KIT-#17519</v>
      </c>
      <c r="B240" s="94">
        <f>IFERROR(__xludf.DUMMYFUNCTION("""COMPUTED_VALUE"""),46146.0)</f>
        <v>46146</v>
      </c>
      <c r="C240" s="93" t="str">
        <f>IFERROR(__xludf.DUMMYFUNCTION("""COMPUTED_VALUE"""),"Kit Delivery")</f>
        <v>Kit Delivery</v>
      </c>
      <c r="D240" s="93">
        <f>IFERROR(__xludf.DUMMYFUNCTION("""COMPUTED_VALUE"""),2.0)</f>
        <v>2</v>
      </c>
      <c r="E240" s="93" t="str">
        <f>IFERROR(__xludf.DUMMYFUNCTION("""COMPUTED_VALUE"""),"Off-Campus")</f>
        <v>Off-Campus</v>
      </c>
      <c r="F240" s="93"/>
      <c r="G240" s="93" t="str">
        <f>IFERROR(__xludf.DUMMYFUNCTION("""COMPUTED_VALUE"""),"Sophie Whang")</f>
        <v>Sophie Whang</v>
      </c>
      <c r="H240" s="93">
        <f>IFERROR(__xludf.DUMMYFUNCTION("""COMPUTED_VALUE"""),7.03859443E9)</f>
        <v>7038594430</v>
      </c>
      <c r="I240" s="93" t="str">
        <f>IFERROR(__xludf.DUMMYFUNCTION("""COMPUTED_VALUE"""),"11AM-1PM")</f>
        <v>11AM-1PM</v>
      </c>
      <c r="J240" s="93">
        <f>IFERROR(__xludf.DUMMYFUNCTION("""COMPUTED_VALUE"""),1.0)</f>
        <v>1</v>
      </c>
      <c r="K240" s="93" t="str">
        <f>IFERROR(__xludf.DUMMYFUNCTION("""COMPUTED_VALUE"""),"Complete")</f>
        <v>Complete</v>
      </c>
      <c r="L240" s="93"/>
      <c r="M240" s="93"/>
      <c r="N240" s="93">
        <f>IFERROR(__xludf.DUMMYFUNCTION("""COMPUTED_VALUE"""),115.0)</f>
        <v>115</v>
      </c>
      <c r="O240" s="93" t="str">
        <f>IFERROR(__xludf.DUMMYFUNCTION("""COMPUTED_VALUE"""),"6105 Delmar Blvd Apt. 816")</f>
        <v>6105 Delmar Blvd Apt. 816</v>
      </c>
      <c r="P240" s="93" t="str">
        <f>IFERROR(__xludf.DUMMYFUNCTION("""COMPUTED_VALUE"""),"Kit Delivery")</f>
        <v>Kit Delivery</v>
      </c>
      <c r="Q240" s="93"/>
      <c r="R240" s="93"/>
      <c r="S240" s="93"/>
      <c r="T240" s="95">
        <f>IFERROR(__xludf.DUMMYFUNCTION("""COMPUTED_VALUE"""),46144.73924768518)</f>
        <v>46144.73925</v>
      </c>
      <c r="U240" s="93"/>
      <c r="V240" s="93"/>
      <c r="W240" s="93"/>
      <c r="X240" s="93"/>
      <c r="Y240" s="93"/>
      <c r="Z240" s="93"/>
    </row>
    <row r="241">
      <c r="A241" s="93" t="str">
        <f>IFERROR(__xludf.DUMMYFUNCTION("""COMPUTED_VALUE"""),"KIT-#18085")</f>
        <v>KIT-#18085</v>
      </c>
      <c r="B241" s="94">
        <f>IFERROR(__xludf.DUMMYFUNCTION("""COMPUTED_VALUE"""),46146.0)</f>
        <v>46146</v>
      </c>
      <c r="C241" s="93" t="str">
        <f>IFERROR(__xludf.DUMMYFUNCTION("""COMPUTED_VALUE"""),"Kit Delivery")</f>
        <v>Kit Delivery</v>
      </c>
      <c r="D241" s="93">
        <f>IFERROR(__xludf.DUMMYFUNCTION("""COMPUTED_VALUE"""),2.0)</f>
        <v>2</v>
      </c>
      <c r="E241" s="93" t="str">
        <f>IFERROR(__xludf.DUMMYFUNCTION("""COMPUTED_VALUE"""),"Off-Campus")</f>
        <v>Off-Campus</v>
      </c>
      <c r="F241" s="93"/>
      <c r="G241" s="93" t="str">
        <f>IFERROR(__xludf.DUMMYFUNCTION("""COMPUTED_VALUE"""),"Madeleine Lew")</f>
        <v>Madeleine Lew</v>
      </c>
      <c r="H241" s="93">
        <f>IFERROR(__xludf.DUMMYFUNCTION("""COMPUTED_VALUE"""),4.159885221E9)</f>
        <v>4159885221</v>
      </c>
      <c r="I241" s="93" t="str">
        <f>IFERROR(__xludf.DUMMYFUNCTION("""COMPUTED_VALUE"""),"10AM-12PM")</f>
        <v>10AM-12PM</v>
      </c>
      <c r="J241" s="93">
        <f>IFERROR(__xludf.DUMMYFUNCTION("""COMPUTED_VALUE"""),1.0)</f>
        <v>1</v>
      </c>
      <c r="K241" s="93" t="str">
        <f>IFERROR(__xludf.DUMMYFUNCTION("""COMPUTED_VALUE"""),"Complete")</f>
        <v>Complete</v>
      </c>
      <c r="L241" s="93"/>
      <c r="M241" s="93"/>
      <c r="N241" s="93">
        <f>IFERROR(__xludf.DUMMYFUNCTION("""COMPUTED_VALUE"""),146.0)</f>
        <v>146</v>
      </c>
      <c r="O241" s="93" t="str">
        <f>IFERROR(__xludf.DUMMYFUNCTION("""COMPUTED_VALUE"""),"605 Leland Ave Saint Louis, MO 63130")</f>
        <v>605 Leland Ave Saint Louis, MO 63130</v>
      </c>
      <c r="P241" s="93" t="str">
        <f>IFERROR(__xludf.DUMMYFUNCTION("""COMPUTED_VALUE"""),"Kit Delivery")</f>
        <v>Kit Delivery</v>
      </c>
      <c r="Q241" s="93"/>
      <c r="R241" s="93"/>
      <c r="S241" s="93"/>
      <c r="T241" s="95">
        <f>IFERROR(__xludf.DUMMYFUNCTION("""COMPUTED_VALUE"""),46144.73924768518)</f>
        <v>46144.73925</v>
      </c>
      <c r="U241" s="93"/>
      <c r="V241" s="93"/>
      <c r="W241" s="93"/>
      <c r="X241" s="93"/>
      <c r="Y241" s="93"/>
      <c r="Z241" s="93"/>
    </row>
    <row r="242">
      <c r="A242" s="93" t="str">
        <f>IFERROR(__xludf.DUMMYFUNCTION("""COMPUTED_VALUE"""),"KIT-#17225")</f>
        <v>KIT-#17225</v>
      </c>
      <c r="B242" s="94">
        <f>IFERROR(__xludf.DUMMYFUNCTION("""COMPUTED_VALUE"""),46147.0)</f>
        <v>46147</v>
      </c>
      <c r="C242" s="93" t="str">
        <f>IFERROR(__xludf.DUMMYFUNCTION("""COMPUTED_VALUE"""),"Kit Delivery")</f>
        <v>Kit Delivery</v>
      </c>
      <c r="D242" s="93">
        <f>IFERROR(__xludf.DUMMYFUNCTION("""COMPUTED_VALUE"""),1.0)</f>
        <v>1</v>
      </c>
      <c r="E242" s="93" t="str">
        <f>IFERROR(__xludf.DUMMYFUNCTION("""COMPUTED_VALUE"""),"Danforth")</f>
        <v>Danforth</v>
      </c>
      <c r="F242" s="93">
        <f>IFERROR(__xludf.DUMMYFUNCTION("""COMPUTED_VALUE"""),3302.0)</f>
        <v>3302</v>
      </c>
      <c r="G242" s="93" t="str">
        <f>IFERROR(__xludf.DUMMYFUNCTION("""COMPUTED_VALUE"""),"William Rothstein")</f>
        <v>William Rothstein</v>
      </c>
      <c r="H242" s="93">
        <f>IFERROR(__xludf.DUMMYFUNCTION("""COMPUTED_VALUE"""),3.104150928E9)</f>
        <v>3104150928</v>
      </c>
      <c r="I242" s="93" t="str">
        <f>IFERROR(__xludf.DUMMYFUNCTION("""COMPUTED_VALUE"""),"12PM-2PM")</f>
        <v>12PM-2PM</v>
      </c>
      <c r="J242" s="93">
        <f>IFERROR(__xludf.DUMMYFUNCTION("""COMPUTED_VALUE"""),1.0)</f>
        <v>1</v>
      </c>
      <c r="K242" s="93" t="str">
        <f>IFERROR(__xludf.DUMMYFUNCTION("""COMPUTED_VALUE"""),"Complete")</f>
        <v>Complete</v>
      </c>
      <c r="L242" s="93"/>
      <c r="M242" s="94">
        <f>IFERROR(__xludf.DUMMYFUNCTION("""COMPUTED_VALUE"""),46123.56737268518)</f>
        <v>46123.56737</v>
      </c>
      <c r="N242" s="93">
        <f>IFERROR(__xludf.DUMMYFUNCTION("""COMPUTED_VALUE"""),29.0)</f>
        <v>29</v>
      </c>
      <c r="O242" s="93"/>
      <c r="P242" s="93" t="str">
        <f>IFERROR(__xludf.DUMMYFUNCTION("""COMPUTED_VALUE"""),"Kit Delivery")</f>
        <v>Kit Delivery</v>
      </c>
      <c r="Q242" s="93"/>
      <c r="R242" s="93"/>
      <c r="S242" s="95">
        <f>IFERROR(__xludf.DUMMYFUNCTION("""COMPUTED_VALUE"""),46123.61150462963)</f>
        <v>46123.6115</v>
      </c>
      <c r="T242" s="93"/>
      <c r="U242" s="93"/>
      <c r="V242" s="93"/>
      <c r="W242" s="93"/>
      <c r="X242" s="93"/>
      <c r="Y242" s="93"/>
      <c r="Z242" s="93"/>
    </row>
    <row r="243">
      <c r="A243" s="93" t="str">
        <f>IFERROR(__xludf.DUMMYFUNCTION("""COMPUTED_VALUE"""),"KIT-#17052")</f>
        <v>KIT-#17052</v>
      </c>
      <c r="B243" s="94">
        <f>IFERROR(__xludf.DUMMYFUNCTION("""COMPUTED_VALUE"""),46147.0)</f>
        <v>46147</v>
      </c>
      <c r="C243" s="93" t="str">
        <f>IFERROR(__xludf.DUMMYFUNCTION("""COMPUTED_VALUE"""),"Kit Delivery")</f>
        <v>Kit Delivery</v>
      </c>
      <c r="D243" s="93">
        <f>IFERROR(__xludf.DUMMYFUNCTION("""COMPUTED_VALUE"""),1.0)</f>
        <v>1</v>
      </c>
      <c r="E243" s="93" t="str">
        <f>IFERROR(__xludf.DUMMYFUNCTION("""COMPUTED_VALUE"""),"Danforth")</f>
        <v>Danforth</v>
      </c>
      <c r="F243" s="93" t="str">
        <f>IFERROR(__xludf.DUMMYFUNCTION("""COMPUTED_VALUE"""),"3321-b")</f>
        <v>3321-b</v>
      </c>
      <c r="G243" s="93" t="str">
        <f>IFERROR(__xludf.DUMMYFUNCTION("""COMPUTED_VALUE"""),"Samantha Rosenberg")</f>
        <v>Samantha Rosenberg</v>
      </c>
      <c r="H243" s="93">
        <f>IFERROR(__xludf.DUMMYFUNCTION("""COMPUTED_VALUE"""),3.12351071E9)</f>
        <v>3123510710</v>
      </c>
      <c r="I243" s="93" t="str">
        <f>IFERROR(__xludf.DUMMYFUNCTION("""COMPUTED_VALUE"""),"9AM-11AM")</f>
        <v>9AM-11AM</v>
      </c>
      <c r="J243" s="93">
        <f>IFERROR(__xludf.DUMMYFUNCTION("""COMPUTED_VALUE"""),2.0)</f>
        <v>2</v>
      </c>
      <c r="K243" s="93" t="str">
        <f>IFERROR(__xludf.DUMMYFUNCTION("""COMPUTED_VALUE"""),"Complete")</f>
        <v>Complete</v>
      </c>
      <c r="L243" s="93"/>
      <c r="M243" s="94">
        <f>IFERROR(__xludf.DUMMYFUNCTION("""COMPUTED_VALUE"""),46123.57166666667)</f>
        <v>46123.57167</v>
      </c>
      <c r="N243" s="93">
        <f>IFERROR(__xludf.DUMMYFUNCTION("""COMPUTED_VALUE"""),34.0)</f>
        <v>34</v>
      </c>
      <c r="O243" s="93"/>
      <c r="P243" s="93" t="str">
        <f>IFERROR(__xludf.DUMMYFUNCTION("""COMPUTED_VALUE"""),"Kit Delivery")</f>
        <v>Kit Delivery</v>
      </c>
      <c r="Q243" s="93"/>
      <c r="R243" s="93"/>
      <c r="S243" s="95">
        <f>IFERROR(__xludf.DUMMYFUNCTION("""COMPUTED_VALUE"""),46123.61150462963)</f>
        <v>46123.6115</v>
      </c>
      <c r="T243" s="93"/>
      <c r="U243" s="93"/>
      <c r="V243" s="93"/>
      <c r="W243" s="93"/>
      <c r="X243" s="93"/>
      <c r="Y243" s="93"/>
      <c r="Z243" s="93"/>
    </row>
    <row r="244">
      <c r="A244" s="93" t="str">
        <f>IFERROR(__xludf.DUMMYFUNCTION("""COMPUTED_VALUE"""),"KIT-#17289")</f>
        <v>KIT-#17289</v>
      </c>
      <c r="B244" s="94">
        <f>IFERROR(__xludf.DUMMYFUNCTION("""COMPUTED_VALUE"""),46147.0)</f>
        <v>46147</v>
      </c>
      <c r="C244" s="93" t="str">
        <f>IFERROR(__xludf.DUMMYFUNCTION("""COMPUTED_VALUE"""),"Kit Delivery")</f>
        <v>Kit Delivery</v>
      </c>
      <c r="D244" s="93">
        <f>IFERROR(__xludf.DUMMYFUNCTION("""COMPUTED_VALUE"""),1.0)</f>
        <v>1</v>
      </c>
      <c r="E244" s="93" t="str">
        <f>IFERROR(__xludf.DUMMYFUNCTION("""COMPUTED_VALUE"""),"Danforth")</f>
        <v>Danforth</v>
      </c>
      <c r="F244" s="93">
        <f>IFERROR(__xludf.DUMMYFUNCTION("""COMPUTED_VALUE"""),3319.0)</f>
        <v>3319</v>
      </c>
      <c r="G244" s="93" t="str">
        <f>IFERROR(__xludf.DUMMYFUNCTION("""COMPUTED_VALUE"""),"Aviva Kleinhaus")</f>
        <v>Aviva Kleinhaus</v>
      </c>
      <c r="H244" s="93">
        <f>IFERROR(__xludf.DUMMYFUNCTION("""COMPUTED_VALUE"""),9.174801265E9)</f>
        <v>9174801265</v>
      </c>
      <c r="I244" s="93" t="str">
        <f>IFERROR(__xludf.DUMMYFUNCTION("""COMPUTED_VALUE"""),"1PM-3PM")</f>
        <v>1PM-3PM</v>
      </c>
      <c r="J244" s="93">
        <f>IFERROR(__xludf.DUMMYFUNCTION("""COMPUTED_VALUE"""),1.0)</f>
        <v>1</v>
      </c>
      <c r="K244" s="93" t="str">
        <f>IFERROR(__xludf.DUMMYFUNCTION("""COMPUTED_VALUE"""),"Complete")</f>
        <v>Complete</v>
      </c>
      <c r="L244" s="93"/>
      <c r="M244" s="94">
        <f>IFERROR(__xludf.DUMMYFUNCTION("""COMPUTED_VALUE"""),46123.5730787037)</f>
        <v>46123.57308</v>
      </c>
      <c r="N244" s="93">
        <f>IFERROR(__xludf.DUMMYFUNCTION("""COMPUTED_VALUE"""),33.0)</f>
        <v>33</v>
      </c>
      <c r="O244" s="93"/>
      <c r="P244" s="93" t="str">
        <f>IFERROR(__xludf.DUMMYFUNCTION("""COMPUTED_VALUE"""),"Kit Delivery")</f>
        <v>Kit Delivery</v>
      </c>
      <c r="Q244" s="93"/>
      <c r="R244" s="93"/>
      <c r="S244" s="95">
        <f>IFERROR(__xludf.DUMMYFUNCTION("""COMPUTED_VALUE"""),46123.61150462963)</f>
        <v>46123.6115</v>
      </c>
      <c r="T244" s="93"/>
      <c r="U244" s="93"/>
      <c r="V244" s="93"/>
      <c r="W244" s="93"/>
      <c r="X244" s="93"/>
      <c r="Y244" s="93"/>
      <c r="Z244" s="93"/>
    </row>
    <row r="245">
      <c r="A245" s="93" t="str">
        <f>IFERROR(__xludf.DUMMYFUNCTION("""COMPUTED_VALUE"""),"KIT-#17300")</f>
        <v>KIT-#17300</v>
      </c>
      <c r="B245" s="94">
        <f>IFERROR(__xludf.DUMMYFUNCTION("""COMPUTED_VALUE"""),46147.0)</f>
        <v>46147</v>
      </c>
      <c r="C245" s="93" t="str">
        <f>IFERROR(__xludf.DUMMYFUNCTION("""COMPUTED_VALUE"""),"Kit Delivery")</f>
        <v>Kit Delivery</v>
      </c>
      <c r="D245" s="93">
        <f>IFERROR(__xludf.DUMMYFUNCTION("""COMPUTED_VALUE"""),1.0)</f>
        <v>1</v>
      </c>
      <c r="E245" s="93" t="str">
        <f>IFERROR(__xludf.DUMMYFUNCTION("""COMPUTED_VALUE"""),"Danforth")</f>
        <v>Danforth</v>
      </c>
      <c r="F245" s="93">
        <f>IFERROR(__xludf.DUMMYFUNCTION("""COMPUTED_VALUE"""),4422.0)</f>
        <v>4422</v>
      </c>
      <c r="G245" s="93" t="str">
        <f>IFERROR(__xludf.DUMMYFUNCTION("""COMPUTED_VALUE"""),"Kate Talbert")</f>
        <v>Kate Talbert</v>
      </c>
      <c r="H245" s="93">
        <f>IFERROR(__xludf.DUMMYFUNCTION("""COMPUTED_VALUE"""),6.468325628E9)</f>
        <v>6468325628</v>
      </c>
      <c r="I245" s="93" t="str">
        <f>IFERROR(__xludf.DUMMYFUNCTION("""COMPUTED_VALUE"""),"1PM-3PM")</f>
        <v>1PM-3PM</v>
      </c>
      <c r="J245" s="93">
        <f>IFERROR(__xludf.DUMMYFUNCTION("""COMPUTED_VALUE"""),1.0)</f>
        <v>1</v>
      </c>
      <c r="K245" s="93" t="str">
        <f>IFERROR(__xludf.DUMMYFUNCTION("""COMPUTED_VALUE"""),"Complete")</f>
        <v>Complete</v>
      </c>
      <c r="L245" s="93"/>
      <c r="M245" s="94">
        <f>IFERROR(__xludf.DUMMYFUNCTION("""COMPUTED_VALUE"""),46123.58579861111)</f>
        <v>46123.5858</v>
      </c>
      <c r="N245" s="93">
        <f>IFERROR(__xludf.DUMMYFUNCTION("""COMPUTED_VALUE"""),40.0)</f>
        <v>40</v>
      </c>
      <c r="O245" s="93"/>
      <c r="P245" s="93" t="str">
        <f>IFERROR(__xludf.DUMMYFUNCTION("""COMPUTED_VALUE"""),"Kit Delivery")</f>
        <v>Kit Delivery</v>
      </c>
      <c r="Q245" s="93"/>
      <c r="R245" s="93"/>
      <c r="S245" s="95">
        <f>IFERROR(__xludf.DUMMYFUNCTION("""COMPUTED_VALUE"""),46123.61150462963)</f>
        <v>46123.6115</v>
      </c>
      <c r="T245" s="93"/>
      <c r="U245" s="93"/>
      <c r="V245" s="93"/>
      <c r="W245" s="93"/>
      <c r="X245" s="93"/>
      <c r="Y245" s="93"/>
      <c r="Z245" s="93"/>
    </row>
    <row r="246">
      <c r="A246" s="93" t="str">
        <f>IFERROR(__xludf.DUMMYFUNCTION("""COMPUTED_VALUE"""),"KIT-#17308")</f>
        <v>KIT-#17308</v>
      </c>
      <c r="B246" s="94">
        <f>IFERROR(__xludf.DUMMYFUNCTION("""COMPUTED_VALUE"""),46147.0)</f>
        <v>46147</v>
      </c>
      <c r="C246" s="93" t="str">
        <f>IFERROR(__xludf.DUMMYFUNCTION("""COMPUTED_VALUE"""),"Kit Delivery")</f>
        <v>Kit Delivery</v>
      </c>
      <c r="D246" s="93">
        <f>IFERROR(__xludf.DUMMYFUNCTION("""COMPUTED_VALUE"""),1.0)</f>
        <v>1</v>
      </c>
      <c r="E246" s="93" t="str">
        <f>IFERROR(__xludf.DUMMYFUNCTION("""COMPUTED_VALUE"""),"Park")</f>
        <v>Park</v>
      </c>
      <c r="F246" s="93">
        <f>IFERROR(__xludf.DUMMYFUNCTION("""COMPUTED_VALUE"""),441.0)</f>
        <v>441</v>
      </c>
      <c r="G246" s="93" t="str">
        <f>IFERROR(__xludf.DUMMYFUNCTION("""COMPUTED_VALUE"""),"Casey Yung")</f>
        <v>Casey Yung</v>
      </c>
      <c r="H246" s="93">
        <f>IFERROR(__xludf.DUMMYFUNCTION("""COMPUTED_VALUE"""),4.153078559E9)</f>
        <v>4153078559</v>
      </c>
      <c r="I246" s="93" t="str">
        <f>IFERROR(__xludf.DUMMYFUNCTION("""COMPUTED_VALUE"""),"3PM-5PM")</f>
        <v>3PM-5PM</v>
      </c>
      <c r="J246" s="93">
        <f>IFERROR(__xludf.DUMMYFUNCTION("""COMPUTED_VALUE"""),1.0)</f>
        <v>1</v>
      </c>
      <c r="K246" s="93" t="str">
        <f>IFERROR(__xludf.DUMMYFUNCTION("""COMPUTED_VALUE"""),"Complete")</f>
        <v>Complete</v>
      </c>
      <c r="L246" s="93"/>
      <c r="M246" s="94">
        <f>IFERROR(__xludf.DUMMYFUNCTION("""COMPUTED_VALUE"""),46123.606192129635)</f>
        <v>46123.60619</v>
      </c>
      <c r="N246" s="93">
        <f>IFERROR(__xludf.DUMMYFUNCTION("""COMPUTED_VALUE"""),50.0)</f>
        <v>50</v>
      </c>
      <c r="O246" s="93"/>
      <c r="P246" s="93" t="str">
        <f>IFERROR(__xludf.DUMMYFUNCTION("""COMPUTED_VALUE"""),"Kit Delivery")</f>
        <v>Kit Delivery</v>
      </c>
      <c r="Q246" s="93"/>
      <c r="R246" s="93"/>
      <c r="S246" s="95">
        <f>IFERROR(__xludf.DUMMYFUNCTION("""COMPUTED_VALUE"""),46123.61150462963)</f>
        <v>46123.6115</v>
      </c>
      <c r="T246" s="93"/>
      <c r="U246" s="93"/>
      <c r="V246" s="93"/>
      <c r="W246" s="93"/>
      <c r="X246" s="93"/>
      <c r="Y246" s="93"/>
      <c r="Z246" s="93"/>
    </row>
    <row r="247">
      <c r="A247" s="93" t="str">
        <f>IFERROR(__xludf.DUMMYFUNCTION("""COMPUTED_VALUE"""),"KIT-#17206")</f>
        <v>KIT-#17206</v>
      </c>
      <c r="B247" s="94">
        <f>IFERROR(__xludf.DUMMYFUNCTION("""COMPUTED_VALUE"""),46147.0)</f>
        <v>46147</v>
      </c>
      <c r="C247" s="93" t="str">
        <f>IFERROR(__xludf.DUMMYFUNCTION("""COMPUTED_VALUE"""),"Kit Delivery")</f>
        <v>Kit Delivery</v>
      </c>
      <c r="D247" s="93">
        <f>IFERROR(__xludf.DUMMYFUNCTION("""COMPUTED_VALUE"""),1.0)</f>
        <v>1</v>
      </c>
      <c r="E247" s="93" t="str">
        <f>IFERROR(__xludf.DUMMYFUNCTION("""COMPUTED_VALUE"""),"Park")</f>
        <v>Park</v>
      </c>
      <c r="F247" s="93">
        <f>IFERROR(__xludf.DUMMYFUNCTION("""COMPUTED_VALUE"""),242.0)</f>
        <v>242</v>
      </c>
      <c r="G247" s="93" t="str">
        <f>IFERROR(__xludf.DUMMYFUNCTION("""COMPUTED_VALUE"""),"Nicole Yang")</f>
        <v>Nicole Yang</v>
      </c>
      <c r="H247" s="93">
        <f>IFERROR(__xludf.DUMMYFUNCTION("""COMPUTED_VALUE"""),3.147173921E9)</f>
        <v>3147173921</v>
      </c>
      <c r="I247" s="93" t="str">
        <f>IFERROR(__xludf.DUMMYFUNCTION("""COMPUTED_VALUE"""),"3PM-5PM")</f>
        <v>3PM-5PM</v>
      </c>
      <c r="J247" s="93">
        <f>IFERROR(__xludf.DUMMYFUNCTION("""COMPUTED_VALUE"""),2.0)</f>
        <v>2</v>
      </c>
      <c r="K247" s="93" t="str">
        <f>IFERROR(__xludf.DUMMYFUNCTION("""COMPUTED_VALUE"""),"Complete")</f>
        <v>Complete</v>
      </c>
      <c r="L247" s="93"/>
      <c r="M247" s="94">
        <f>IFERROR(__xludf.DUMMYFUNCTION("""COMPUTED_VALUE"""),46123.628657407404)</f>
        <v>46123.62866</v>
      </c>
      <c r="N247" s="93">
        <f>IFERROR(__xludf.DUMMYFUNCTION("""COMPUTED_VALUE"""),46.0)</f>
        <v>46</v>
      </c>
      <c r="O247" s="93"/>
      <c r="P247" s="93" t="str">
        <f>IFERROR(__xludf.DUMMYFUNCTION("""COMPUTED_VALUE"""),"Kit Delivery")</f>
        <v>Kit Delivery</v>
      </c>
      <c r="Q247" s="93"/>
      <c r="R247" s="93"/>
      <c r="S247" s="95">
        <f>IFERROR(__xludf.DUMMYFUNCTION("""COMPUTED_VALUE"""),46123.70133101852)</f>
        <v>46123.70133</v>
      </c>
      <c r="T247" s="93"/>
      <c r="U247" s="93"/>
      <c r="V247" s="93"/>
      <c r="W247" s="93"/>
      <c r="X247" s="93"/>
      <c r="Y247" s="93"/>
      <c r="Z247" s="93"/>
    </row>
    <row r="248">
      <c r="A248" s="93" t="str">
        <f>IFERROR(__xludf.DUMMYFUNCTION("""COMPUTED_VALUE"""),"KIT-#17361")</f>
        <v>KIT-#17361</v>
      </c>
      <c r="B248" s="94">
        <f>IFERROR(__xludf.DUMMYFUNCTION("""COMPUTED_VALUE"""),46147.0)</f>
        <v>46147</v>
      </c>
      <c r="C248" s="93" t="str">
        <f>IFERROR(__xludf.DUMMYFUNCTION("""COMPUTED_VALUE"""),"Kit Delivery")</f>
        <v>Kit Delivery</v>
      </c>
      <c r="D248" s="93">
        <f>IFERROR(__xludf.DUMMYFUNCTION("""COMPUTED_VALUE"""),1.0)</f>
        <v>1</v>
      </c>
      <c r="E248" s="93" t="str">
        <f>IFERROR(__xludf.DUMMYFUNCTION("""COMPUTED_VALUE"""),"Rutledge")</f>
        <v>Rutledge</v>
      </c>
      <c r="F248" s="93">
        <f>IFERROR(__xludf.DUMMYFUNCTION("""COMPUTED_VALUE"""),241.0)</f>
        <v>241</v>
      </c>
      <c r="G248" s="93" t="str">
        <f>IFERROR(__xludf.DUMMYFUNCTION("""COMPUTED_VALUE"""),"Tyler Osit")</f>
        <v>Tyler Osit</v>
      </c>
      <c r="H248" s="93">
        <f>IFERROR(__xludf.DUMMYFUNCTION("""COMPUTED_VALUE"""),5.169455306E9)</f>
        <v>5169455306</v>
      </c>
      <c r="I248" s="93" t="str">
        <f>IFERROR(__xludf.DUMMYFUNCTION("""COMPUTED_VALUE"""),"12PM-2PM")</f>
        <v>12PM-2PM</v>
      </c>
      <c r="J248" s="93">
        <f>IFERROR(__xludf.DUMMYFUNCTION("""COMPUTED_VALUE"""),1.0)</f>
        <v>1</v>
      </c>
      <c r="K248" s="93" t="str">
        <f>IFERROR(__xludf.DUMMYFUNCTION("""COMPUTED_VALUE"""),"Complete")</f>
        <v>Complete</v>
      </c>
      <c r="L248" s="93"/>
      <c r="M248" s="94">
        <f>IFERROR(__xludf.DUMMYFUNCTION("""COMPUTED_VALUE"""),46123.66820601852)</f>
        <v>46123.66821</v>
      </c>
      <c r="N248" s="93">
        <f>IFERROR(__xludf.DUMMYFUNCTION("""COMPUTED_VALUE"""),72.0)</f>
        <v>72</v>
      </c>
      <c r="O248" s="93"/>
      <c r="P248" s="93" t="str">
        <f>IFERROR(__xludf.DUMMYFUNCTION("""COMPUTED_VALUE"""),"Kit Delivery")</f>
        <v>Kit Delivery</v>
      </c>
      <c r="Q248" s="93"/>
      <c r="R248" s="93"/>
      <c r="S248" s="95">
        <f>IFERROR(__xludf.DUMMYFUNCTION("""COMPUTED_VALUE"""),46123.70133101852)</f>
        <v>46123.70133</v>
      </c>
      <c r="T248" s="93"/>
      <c r="U248" s="93"/>
      <c r="V248" s="93"/>
      <c r="W248" s="93"/>
      <c r="X248" s="93"/>
      <c r="Y248" s="93"/>
      <c r="Z248" s="93"/>
    </row>
    <row r="249">
      <c r="A249" s="93" t="str">
        <f>IFERROR(__xludf.DUMMYFUNCTION("""COMPUTED_VALUE"""),"KIT-#17391")</f>
        <v>KIT-#17391</v>
      </c>
      <c r="B249" s="94">
        <f>IFERROR(__xludf.DUMMYFUNCTION("""COMPUTED_VALUE"""),46147.0)</f>
        <v>46147</v>
      </c>
      <c r="C249" s="93" t="str">
        <f>IFERROR(__xludf.DUMMYFUNCTION("""COMPUTED_VALUE"""),"Kit Delivery")</f>
        <v>Kit Delivery</v>
      </c>
      <c r="D249" s="93">
        <f>IFERROR(__xludf.DUMMYFUNCTION("""COMPUTED_VALUE"""),1.0)</f>
        <v>1</v>
      </c>
      <c r="E249" s="93" t="str">
        <f>IFERROR(__xludf.DUMMYFUNCTION("""COMPUTED_VALUE"""),"Rutledge")</f>
        <v>Rutledge</v>
      </c>
      <c r="F249" s="93">
        <f>IFERROR(__xludf.DUMMYFUNCTION("""COMPUTED_VALUE"""),341.0)</f>
        <v>341</v>
      </c>
      <c r="G249" s="93" t="str">
        <f>IFERROR(__xludf.DUMMYFUNCTION("""COMPUTED_VALUE"""),"Alexa Hernandez")</f>
        <v>Alexa Hernandez</v>
      </c>
      <c r="H249" s="93">
        <f>IFERROR(__xludf.DUMMYFUNCTION("""COMPUTED_VALUE"""),9.729461383E9)</f>
        <v>9729461383</v>
      </c>
      <c r="I249" s="93" t="str">
        <f>IFERROR(__xludf.DUMMYFUNCTION("""COMPUTED_VALUE"""),"2PM-4PM")</f>
        <v>2PM-4PM</v>
      </c>
      <c r="J249" s="93">
        <f>IFERROR(__xludf.DUMMYFUNCTION("""COMPUTED_VALUE"""),1.0)</f>
        <v>1</v>
      </c>
      <c r="K249" s="93" t="str">
        <f>IFERROR(__xludf.DUMMYFUNCTION("""COMPUTED_VALUE"""),"Complete")</f>
        <v>Complete</v>
      </c>
      <c r="L249" s="93"/>
      <c r="M249" s="94">
        <f>IFERROR(__xludf.DUMMYFUNCTION("""COMPUTED_VALUE"""),46123.668703703705)</f>
        <v>46123.6687</v>
      </c>
      <c r="N249" s="93">
        <f>IFERROR(__xludf.DUMMYFUNCTION("""COMPUTED_VALUE"""),76.0)</f>
        <v>76</v>
      </c>
      <c r="O249" s="93"/>
      <c r="P249" s="93" t="str">
        <f>IFERROR(__xludf.DUMMYFUNCTION("""COMPUTED_VALUE"""),"Kit Delivery")</f>
        <v>Kit Delivery</v>
      </c>
      <c r="Q249" s="93"/>
      <c r="R249" s="93"/>
      <c r="S249" s="95">
        <f>IFERROR(__xludf.DUMMYFUNCTION("""COMPUTED_VALUE"""),46123.70133101852)</f>
        <v>46123.70133</v>
      </c>
      <c r="T249" s="93"/>
      <c r="U249" s="93"/>
      <c r="V249" s="93"/>
      <c r="W249" s="93"/>
      <c r="X249" s="93"/>
      <c r="Y249" s="93"/>
      <c r="Z249" s="93"/>
    </row>
    <row r="250">
      <c r="A250" s="93" t="str">
        <f>IFERROR(__xludf.DUMMYFUNCTION("""COMPUTED_VALUE"""),"KIT-#17056")</f>
        <v>KIT-#17056</v>
      </c>
      <c r="B250" s="94">
        <f>IFERROR(__xludf.DUMMYFUNCTION("""COMPUTED_VALUE"""),46147.0)</f>
        <v>46147</v>
      </c>
      <c r="C250" s="93" t="str">
        <f>IFERROR(__xludf.DUMMYFUNCTION("""COMPUTED_VALUE"""),"Kit Delivery")</f>
        <v>Kit Delivery</v>
      </c>
      <c r="D250" s="93">
        <f>IFERROR(__xludf.DUMMYFUNCTION("""COMPUTED_VALUE"""),1.0)</f>
        <v>1</v>
      </c>
      <c r="E250" s="93" t="str">
        <f>IFERROR(__xludf.DUMMYFUNCTION("""COMPUTED_VALUE"""),"Dauten")</f>
        <v>Dauten</v>
      </c>
      <c r="F250" s="93">
        <f>IFERROR(__xludf.DUMMYFUNCTION("""COMPUTED_VALUE"""),144.0)</f>
        <v>144</v>
      </c>
      <c r="G250" s="93" t="str">
        <f>IFERROR(__xludf.DUMMYFUNCTION("""COMPUTED_VALUE"""),"Zachary Dang")</f>
        <v>Zachary Dang</v>
      </c>
      <c r="H250" s="93">
        <f>IFERROR(__xludf.DUMMYFUNCTION("""COMPUTED_VALUE"""),7.637424532E9)</f>
        <v>7637424532</v>
      </c>
      <c r="I250" s="93" t="str">
        <f>IFERROR(__xludf.DUMMYFUNCTION("""COMPUTED_VALUE"""),"3PM-5PM")</f>
        <v>3PM-5PM</v>
      </c>
      <c r="J250" s="93">
        <f>IFERROR(__xludf.DUMMYFUNCTION("""COMPUTED_VALUE"""),1.0)</f>
        <v>1</v>
      </c>
      <c r="K250" s="93" t="str">
        <f>IFERROR(__xludf.DUMMYFUNCTION("""COMPUTED_VALUE"""),"Complete")</f>
        <v>Complete</v>
      </c>
      <c r="L250" s="93"/>
      <c r="M250" s="94">
        <f>IFERROR(__xludf.DUMMYFUNCTION("""COMPUTED_VALUE"""),46123.678252314814)</f>
        <v>46123.67825</v>
      </c>
      <c r="N250" s="93">
        <f>IFERROR(__xludf.DUMMYFUNCTION("""COMPUTED_VALUE"""),79.0)</f>
        <v>79</v>
      </c>
      <c r="O250" s="93"/>
      <c r="P250" s="93" t="str">
        <f>IFERROR(__xludf.DUMMYFUNCTION("""COMPUTED_VALUE"""),"Kit Delivery")</f>
        <v>Kit Delivery</v>
      </c>
      <c r="Q250" s="93"/>
      <c r="R250" s="93"/>
      <c r="S250" s="95">
        <f>IFERROR(__xludf.DUMMYFUNCTION("""COMPUTED_VALUE"""),46123.70133101852)</f>
        <v>46123.70133</v>
      </c>
      <c r="T250" s="93"/>
      <c r="U250" s="93"/>
      <c r="V250" s="93"/>
      <c r="W250" s="93"/>
      <c r="X250" s="93"/>
      <c r="Y250" s="93"/>
      <c r="Z250" s="93"/>
    </row>
    <row r="251">
      <c r="A251" s="93" t="str">
        <f>IFERROR(__xludf.DUMMYFUNCTION("""COMPUTED_VALUE"""),"KIT-#17071")</f>
        <v>KIT-#17071</v>
      </c>
      <c r="B251" s="94">
        <f>IFERROR(__xludf.DUMMYFUNCTION("""COMPUTED_VALUE"""),46147.0)</f>
        <v>46147</v>
      </c>
      <c r="C251" s="93" t="str">
        <f>IFERROR(__xludf.DUMMYFUNCTION("""COMPUTED_VALUE"""),"Kit Delivery")</f>
        <v>Kit Delivery</v>
      </c>
      <c r="D251" s="93">
        <f>IFERROR(__xludf.DUMMYFUNCTION("""COMPUTED_VALUE"""),1.0)</f>
        <v>1</v>
      </c>
      <c r="E251" s="93" t="str">
        <f>IFERROR(__xludf.DUMMYFUNCTION("""COMPUTED_VALUE"""),"Dauten")</f>
        <v>Dauten</v>
      </c>
      <c r="F251" s="93">
        <f>IFERROR(__xludf.DUMMYFUNCTION("""COMPUTED_VALUE"""),424.0)</f>
        <v>424</v>
      </c>
      <c r="G251" s="93" t="str">
        <f>IFERROR(__xludf.DUMMYFUNCTION("""COMPUTED_VALUE"""),"Meredith Christ")</f>
        <v>Meredith Christ</v>
      </c>
      <c r="H251" s="93">
        <f>IFERROR(__xludf.DUMMYFUNCTION("""COMPUTED_VALUE"""),6.177518602E9)</f>
        <v>6177518602</v>
      </c>
      <c r="I251" s="93" t="str">
        <f>IFERROR(__xludf.DUMMYFUNCTION("""COMPUTED_VALUE"""),"11AM-1PM")</f>
        <v>11AM-1PM</v>
      </c>
      <c r="J251" s="93">
        <f>IFERROR(__xludf.DUMMYFUNCTION("""COMPUTED_VALUE"""),3.0)</f>
        <v>3</v>
      </c>
      <c r="K251" s="93" t="str">
        <f>IFERROR(__xludf.DUMMYFUNCTION("""COMPUTED_VALUE"""),"Complete")</f>
        <v>Complete</v>
      </c>
      <c r="L251" s="93"/>
      <c r="M251" s="94">
        <f>IFERROR(__xludf.DUMMYFUNCTION("""COMPUTED_VALUE"""),46123.68331018518)</f>
        <v>46123.68331</v>
      </c>
      <c r="N251" s="93">
        <f>IFERROR(__xludf.DUMMYFUNCTION("""COMPUTED_VALUE"""),85.0)</f>
        <v>85</v>
      </c>
      <c r="O251" s="93"/>
      <c r="P251" s="93" t="str">
        <f>IFERROR(__xludf.DUMMYFUNCTION("""COMPUTED_VALUE"""),"Kit Delivery")</f>
        <v>Kit Delivery</v>
      </c>
      <c r="Q251" s="93"/>
      <c r="R251" s="93"/>
      <c r="S251" s="95">
        <f>IFERROR(__xludf.DUMMYFUNCTION("""COMPUTED_VALUE"""),46123.70133101852)</f>
        <v>46123.70133</v>
      </c>
      <c r="T251" s="93"/>
      <c r="U251" s="93"/>
      <c r="V251" s="93"/>
      <c r="W251" s="93"/>
      <c r="X251" s="93"/>
      <c r="Y251" s="93"/>
      <c r="Z251" s="93"/>
    </row>
    <row r="252">
      <c r="A252" s="93" t="str">
        <f>IFERROR(__xludf.DUMMYFUNCTION("""COMPUTED_VALUE"""),"KIT-#17062")</f>
        <v>KIT-#17062</v>
      </c>
      <c r="B252" s="94">
        <f>IFERROR(__xludf.DUMMYFUNCTION("""COMPUTED_VALUE"""),46147.0)</f>
        <v>46147</v>
      </c>
      <c r="C252" s="93" t="str">
        <f>IFERROR(__xludf.DUMMYFUNCTION("""COMPUTED_VALUE"""),"Kit Delivery")</f>
        <v>Kit Delivery</v>
      </c>
      <c r="D252" s="93">
        <f>IFERROR(__xludf.DUMMYFUNCTION("""COMPUTED_VALUE"""),1.0)</f>
        <v>1</v>
      </c>
      <c r="E252" s="93" t="str">
        <f>IFERROR(__xludf.DUMMYFUNCTION("""COMPUTED_VALUE"""),"Shanedling")</f>
        <v>Shanedling</v>
      </c>
      <c r="F252" s="93">
        <f>IFERROR(__xludf.DUMMYFUNCTION("""COMPUTED_VALUE"""),422.0)</f>
        <v>422</v>
      </c>
      <c r="G252" s="93" t="str">
        <f>IFERROR(__xludf.DUMMYFUNCTION("""COMPUTED_VALUE"""),"Grace Harris")</f>
        <v>Grace Harris</v>
      </c>
      <c r="H252" s="93">
        <f>IFERROR(__xludf.DUMMYFUNCTION("""COMPUTED_VALUE"""),9.178549554E9)</f>
        <v>9178549554</v>
      </c>
      <c r="I252" s="93" t="str">
        <f>IFERROR(__xludf.DUMMYFUNCTION("""COMPUTED_VALUE"""),"3PM-5PM")</f>
        <v>3PM-5PM</v>
      </c>
      <c r="J252" s="93">
        <f>IFERROR(__xludf.DUMMYFUNCTION("""COMPUTED_VALUE"""),1.0)</f>
        <v>1</v>
      </c>
      <c r="K252" s="93" t="str">
        <f>IFERROR(__xludf.DUMMYFUNCTION("""COMPUTED_VALUE"""),"Complete")</f>
        <v>Complete</v>
      </c>
      <c r="L252" s="93"/>
      <c r="M252" s="94">
        <f>IFERROR(__xludf.DUMMYFUNCTION("""COMPUTED_VALUE"""),46123.68604166667)</f>
        <v>46123.68604</v>
      </c>
      <c r="N252" s="93">
        <f>IFERROR(__xludf.DUMMYFUNCTION("""COMPUTED_VALUE"""),87.0)</f>
        <v>87</v>
      </c>
      <c r="O252" s="93"/>
      <c r="P252" s="93" t="str">
        <f>IFERROR(__xludf.DUMMYFUNCTION("""COMPUTED_VALUE"""),"Kit Delivery")</f>
        <v>Kit Delivery</v>
      </c>
      <c r="Q252" s="93"/>
      <c r="R252" s="93"/>
      <c r="S252" s="95">
        <f>IFERROR(__xludf.DUMMYFUNCTION("""COMPUTED_VALUE"""),46123.70133101852)</f>
        <v>46123.70133</v>
      </c>
      <c r="T252" s="93"/>
      <c r="U252" s="93"/>
      <c r="V252" s="93"/>
      <c r="W252" s="93"/>
      <c r="X252" s="93"/>
      <c r="Y252" s="93"/>
      <c r="Z252" s="93"/>
    </row>
    <row r="253">
      <c r="A253" s="93" t="str">
        <f>IFERROR(__xludf.DUMMYFUNCTION("""COMPUTED_VALUE"""),"KIT-#16826")</f>
        <v>KIT-#16826</v>
      </c>
      <c r="B253" s="94">
        <f>IFERROR(__xludf.DUMMYFUNCTION("""COMPUTED_VALUE"""),46147.0)</f>
        <v>46147</v>
      </c>
      <c r="C253" s="93" t="str">
        <f>IFERROR(__xludf.DUMMYFUNCTION("""COMPUTED_VALUE"""),"Kit Delivery")</f>
        <v>Kit Delivery</v>
      </c>
      <c r="D253" s="93">
        <f>IFERROR(__xludf.DUMMYFUNCTION("""COMPUTED_VALUE"""),3.0)</f>
        <v>3</v>
      </c>
      <c r="E253" s="93" t="str">
        <f>IFERROR(__xludf.DUMMYFUNCTION("""COMPUTED_VALUE"""),"6645 UDrive")</f>
        <v>6645 UDrive</v>
      </c>
      <c r="F253" s="93" t="str">
        <f>IFERROR(__xludf.DUMMYFUNCTION("""COMPUTED_VALUE"""),"1EB")</f>
        <v>1EB</v>
      </c>
      <c r="G253" s="93" t="str">
        <f>IFERROR(__xludf.DUMMYFUNCTION("""COMPUTED_VALUE"""),"David Klein")</f>
        <v>David Klein</v>
      </c>
      <c r="H253" s="93" t="str">
        <f>IFERROR(__xludf.DUMMYFUNCTION("""COMPUTED_VALUE"""),"(410) 382-2747")</f>
        <v>(410) 382-2747</v>
      </c>
      <c r="I253" s="93" t="str">
        <f>IFERROR(__xludf.DUMMYFUNCTION("""COMPUTED_VALUE"""),"3PM-5PM")</f>
        <v>3PM-5PM</v>
      </c>
      <c r="J253" s="93">
        <f>IFERROR(__xludf.DUMMYFUNCTION("""COMPUTED_VALUE"""),2.0)</f>
        <v>2</v>
      </c>
      <c r="K253" s="93" t="str">
        <f>IFERROR(__xludf.DUMMYFUNCTION("""COMPUTED_VALUE"""),"Complete")</f>
        <v>Complete</v>
      </c>
      <c r="L253" s="93" t="str">
        <f>IFERROR(__xludf.DUMMYFUNCTION("""COMPUTED_VALUE"""),"He got there when I delivered them, didn’t take the a picture but he definitely received it.")</f>
        <v>He got there when I delivered them, didn’t take the a picture but he definitely received it.</v>
      </c>
      <c r="M253" s="94">
        <f>IFERROR(__xludf.DUMMYFUNCTION("""COMPUTED_VALUE"""),46123.71912037037)</f>
        <v>46123.71912</v>
      </c>
      <c r="N253" s="93">
        <f>IFERROR(__xludf.DUMMYFUNCTION("""COMPUTED_VALUE"""),204.0)</f>
        <v>204</v>
      </c>
      <c r="O253" s="93"/>
      <c r="P253" s="93" t="str">
        <f>IFERROR(__xludf.DUMMYFUNCTION("""COMPUTED_VALUE"""),"Kit Delivery")</f>
        <v>Kit Delivery</v>
      </c>
      <c r="Q253" s="93"/>
      <c r="R253" s="93"/>
      <c r="S253" s="95">
        <f>IFERROR(__xludf.DUMMYFUNCTION("""COMPUTED_VALUE"""),46123.796273148146)</f>
        <v>46123.79627</v>
      </c>
      <c r="T253" s="93"/>
      <c r="U253" s="93"/>
      <c r="V253" s="93"/>
      <c r="W253" s="93"/>
      <c r="X253" s="93"/>
      <c r="Y253" s="93"/>
      <c r="Z253" s="93"/>
    </row>
    <row r="254">
      <c r="A254" s="93" t="str">
        <f>IFERROR(__xludf.DUMMYFUNCTION("""COMPUTED_VALUE"""),"KIT-#17250")</f>
        <v>KIT-#17250</v>
      </c>
      <c r="B254" s="94">
        <f>IFERROR(__xludf.DUMMYFUNCTION("""COMPUTED_VALUE"""),46147.0)</f>
        <v>46147</v>
      </c>
      <c r="C254" s="93" t="str">
        <f>IFERROR(__xludf.DUMMYFUNCTION("""COMPUTED_VALUE"""),"Kit Delivery")</f>
        <v>Kit Delivery</v>
      </c>
      <c r="D254" s="93">
        <f>IFERROR(__xludf.DUMMYFUNCTION("""COMPUTED_VALUE"""),1.0)</f>
        <v>1</v>
      </c>
      <c r="E254" s="93" t="str">
        <f>IFERROR(__xludf.DUMMYFUNCTION("""COMPUTED_VALUE"""),"Lee")</f>
        <v>Lee</v>
      </c>
      <c r="F254" s="93">
        <f>IFERROR(__xludf.DUMMYFUNCTION("""COMPUTED_VALUE"""),309.0)</f>
        <v>309</v>
      </c>
      <c r="G254" s="93" t="str">
        <f>IFERROR(__xludf.DUMMYFUNCTION("""COMPUTED_VALUE"""),"Sophia Hasan")</f>
        <v>Sophia Hasan</v>
      </c>
      <c r="H254" s="93">
        <f>IFERROR(__xludf.DUMMYFUNCTION("""COMPUTED_VALUE"""),7.089816391E9)</f>
        <v>7089816391</v>
      </c>
      <c r="I254" s="93" t="str">
        <f>IFERROR(__xludf.DUMMYFUNCTION("""COMPUTED_VALUE"""),"12PM-2PM")</f>
        <v>12PM-2PM</v>
      </c>
      <c r="J254" s="93">
        <f>IFERROR(__xludf.DUMMYFUNCTION("""COMPUTED_VALUE"""),1.0)</f>
        <v>1</v>
      </c>
      <c r="K254" s="93" t="str">
        <f>IFERROR(__xludf.DUMMYFUNCTION("""COMPUTED_VALUE"""),"Complete")</f>
        <v>Complete</v>
      </c>
      <c r="L254" s="93"/>
      <c r="M254" s="94">
        <f>IFERROR(__xludf.DUMMYFUNCTION("""COMPUTED_VALUE"""),46123.768055555556)</f>
        <v>46123.76806</v>
      </c>
      <c r="N254" s="93">
        <f>IFERROR(__xludf.DUMMYFUNCTION("""COMPUTED_VALUE"""),67.0)</f>
        <v>67</v>
      </c>
      <c r="O254" s="93"/>
      <c r="P254" s="93" t="str">
        <f>IFERROR(__xludf.DUMMYFUNCTION("""COMPUTED_VALUE"""),"Kit Delivery")</f>
        <v>Kit Delivery</v>
      </c>
      <c r="Q254" s="93"/>
      <c r="R254" s="93"/>
      <c r="S254" s="95">
        <f>IFERROR(__xludf.DUMMYFUNCTION("""COMPUTED_VALUE"""),46123.796273148146)</f>
        <v>46123.79627</v>
      </c>
      <c r="T254" s="93"/>
      <c r="U254" s="93"/>
      <c r="V254" s="93"/>
      <c r="W254" s="93"/>
      <c r="X254" s="93"/>
      <c r="Y254" s="93"/>
      <c r="Z254" s="93"/>
    </row>
    <row r="255">
      <c r="A255" s="93" t="str">
        <f>IFERROR(__xludf.DUMMYFUNCTION("""COMPUTED_VALUE"""),"KIT-#17360")</f>
        <v>KIT-#17360</v>
      </c>
      <c r="B255" s="94">
        <f>IFERROR(__xludf.DUMMYFUNCTION("""COMPUTED_VALUE"""),46147.0)</f>
        <v>46147</v>
      </c>
      <c r="C255" s="93" t="str">
        <f>IFERROR(__xludf.DUMMYFUNCTION("""COMPUTED_VALUE"""),"Kit Delivery")</f>
        <v>Kit Delivery</v>
      </c>
      <c r="D255" s="93">
        <f>IFERROR(__xludf.DUMMYFUNCTION("""COMPUTED_VALUE"""),1.0)</f>
        <v>1</v>
      </c>
      <c r="E255" s="93" t="str">
        <f>IFERROR(__xludf.DUMMYFUNCTION("""COMPUTED_VALUE"""),"Hitzeman")</f>
        <v>Hitzeman</v>
      </c>
      <c r="F255" s="93">
        <f>IFERROR(__xludf.DUMMYFUNCTION("""COMPUTED_VALUE"""),22.0)</f>
        <v>22</v>
      </c>
      <c r="G255" s="93" t="str">
        <f>IFERROR(__xludf.DUMMYFUNCTION("""COMPUTED_VALUE"""),"Keira Reddington")</f>
        <v>Keira Reddington</v>
      </c>
      <c r="H255" s="93">
        <f>IFERROR(__xludf.DUMMYFUNCTION("""COMPUTED_VALUE"""),9.17453863E9)</f>
        <v>9174538630</v>
      </c>
      <c r="I255" s="93" t="str">
        <f>IFERROR(__xludf.DUMMYFUNCTION("""COMPUTED_VALUE"""),"9AM-11AM")</f>
        <v>9AM-11AM</v>
      </c>
      <c r="J255" s="93">
        <f>IFERROR(__xludf.DUMMYFUNCTION("""COMPUTED_VALUE"""),2.0)</f>
        <v>2</v>
      </c>
      <c r="K255" s="93" t="str">
        <f>IFERROR(__xludf.DUMMYFUNCTION("""COMPUTED_VALUE"""),"Complete")</f>
        <v>Complete</v>
      </c>
      <c r="L255" s="93"/>
      <c r="M255" s="94">
        <f>IFERROR(__xludf.DUMMYFUNCTION("""COMPUTED_VALUE"""),46123.80569444444)</f>
        <v>46123.80569</v>
      </c>
      <c r="N255" s="93">
        <f>IFERROR(__xludf.DUMMYFUNCTION("""COMPUTED_VALUE"""),1.0)</f>
        <v>1</v>
      </c>
      <c r="O255" s="93"/>
      <c r="P255" s="93" t="str">
        <f>IFERROR(__xludf.DUMMYFUNCTION("""COMPUTED_VALUE"""),"Kit Delivery")</f>
        <v>Kit Delivery</v>
      </c>
      <c r="Q255" s="93"/>
      <c r="R255" s="93"/>
      <c r="S255" s="95">
        <f>IFERROR(__xludf.DUMMYFUNCTION("""COMPUTED_VALUE"""),46124.4096875)</f>
        <v>46124.40969</v>
      </c>
      <c r="T255" s="93"/>
      <c r="U255" s="93"/>
      <c r="V255" s="93"/>
      <c r="W255" s="93"/>
      <c r="X255" s="93"/>
      <c r="Y255" s="93"/>
      <c r="Z255" s="93"/>
    </row>
    <row r="256">
      <c r="A256" s="93" t="str">
        <f>IFERROR(__xludf.DUMMYFUNCTION("""COMPUTED_VALUE"""),"KIT-#17174")</f>
        <v>KIT-#17174</v>
      </c>
      <c r="B256" s="94">
        <f>IFERROR(__xludf.DUMMYFUNCTION("""COMPUTED_VALUE"""),46147.0)</f>
        <v>46147</v>
      </c>
      <c r="C256" s="93" t="str">
        <f>IFERROR(__xludf.DUMMYFUNCTION("""COMPUTED_VALUE"""),"Kit Delivery")</f>
        <v>Kit Delivery</v>
      </c>
      <c r="D256" s="93">
        <f>IFERROR(__xludf.DUMMYFUNCTION("""COMPUTED_VALUE"""),1.0)</f>
        <v>1</v>
      </c>
      <c r="E256" s="93" t="str">
        <f>IFERROR(__xludf.DUMMYFUNCTION("""COMPUTED_VALUE"""),"Lien")</f>
        <v>Lien</v>
      </c>
      <c r="F256" s="93">
        <f>IFERROR(__xludf.DUMMYFUNCTION("""COMPUTED_VALUE"""),3329.0)</f>
        <v>3329</v>
      </c>
      <c r="G256" s="93" t="str">
        <f>IFERROR(__xludf.DUMMYFUNCTION("""COMPUTED_VALUE"""),"Ellie Solomon")</f>
        <v>Ellie Solomon</v>
      </c>
      <c r="H256" s="93">
        <f>IFERROR(__xludf.DUMMYFUNCTION("""COMPUTED_VALUE"""),6.462718626E9)</f>
        <v>6462718626</v>
      </c>
      <c r="I256" s="93" t="str">
        <f>IFERROR(__xludf.DUMMYFUNCTION("""COMPUTED_VALUE"""),"1PM-3PM")</f>
        <v>1PM-3PM</v>
      </c>
      <c r="J256" s="93">
        <f>IFERROR(__xludf.DUMMYFUNCTION("""COMPUTED_VALUE"""),1.0)</f>
        <v>1</v>
      </c>
      <c r="K256" s="93" t="str">
        <f>IFERROR(__xludf.DUMMYFUNCTION("""COMPUTED_VALUE"""),"Complete")</f>
        <v>Complete</v>
      </c>
      <c r="L256" s="93"/>
      <c r="M256" s="94">
        <f>IFERROR(__xludf.DUMMYFUNCTION("""COMPUTED_VALUE"""),46123.81631944445)</f>
        <v>46123.81632</v>
      </c>
      <c r="N256" s="93">
        <f>IFERROR(__xludf.DUMMYFUNCTION("""COMPUTED_VALUE"""),163.0)</f>
        <v>163</v>
      </c>
      <c r="O256" s="93"/>
      <c r="P256" s="93" t="str">
        <f>IFERROR(__xludf.DUMMYFUNCTION("""COMPUTED_VALUE"""),"Kit Delivery")</f>
        <v>Kit Delivery</v>
      </c>
      <c r="Q256" s="93"/>
      <c r="R256" s="93"/>
      <c r="S256" s="95">
        <f>IFERROR(__xludf.DUMMYFUNCTION("""COMPUTED_VALUE"""),46124.4096875)</f>
        <v>46124.40969</v>
      </c>
      <c r="T256" s="93"/>
      <c r="U256" s="93"/>
      <c r="V256" s="93"/>
      <c r="W256" s="93"/>
      <c r="X256" s="93"/>
      <c r="Y256" s="93"/>
      <c r="Z256" s="93"/>
    </row>
    <row r="257">
      <c r="A257" s="93" t="str">
        <f>IFERROR(__xludf.DUMMYFUNCTION("""COMPUTED_VALUE"""),"KIT-#17386")</f>
        <v>KIT-#17386</v>
      </c>
      <c r="B257" s="94">
        <f>IFERROR(__xludf.DUMMYFUNCTION("""COMPUTED_VALUE"""),46147.0)</f>
        <v>46147</v>
      </c>
      <c r="C257" s="93" t="str">
        <f>IFERROR(__xludf.DUMMYFUNCTION("""COMPUTED_VALUE"""),"Kit Delivery")</f>
        <v>Kit Delivery</v>
      </c>
      <c r="D257" s="93">
        <f>IFERROR(__xludf.DUMMYFUNCTION("""COMPUTED_VALUE"""),1.0)</f>
        <v>1</v>
      </c>
      <c r="E257" s="93" t="str">
        <f>IFERROR(__xludf.DUMMYFUNCTION("""COMPUTED_VALUE"""),"Lien")</f>
        <v>Lien</v>
      </c>
      <c r="F257" s="93">
        <f>IFERROR(__xludf.DUMMYFUNCTION("""COMPUTED_VALUE"""),1114.0)</f>
        <v>1114</v>
      </c>
      <c r="G257" s="93" t="str">
        <f>IFERROR(__xludf.DUMMYFUNCTION("""COMPUTED_VALUE"""),"Jo Da Silva Carvalho")</f>
        <v>Jo Da Silva Carvalho</v>
      </c>
      <c r="H257" s="93">
        <f>IFERROR(__xludf.DUMMYFUNCTION("""COMPUTED_VALUE"""),9.12730456E9)</f>
        <v>9127304560</v>
      </c>
      <c r="I257" s="93" t="str">
        <f>IFERROR(__xludf.DUMMYFUNCTION("""COMPUTED_VALUE"""),"10AM-12PM")</f>
        <v>10AM-12PM</v>
      </c>
      <c r="J257" s="93">
        <f>IFERROR(__xludf.DUMMYFUNCTION("""COMPUTED_VALUE"""),1.0)</f>
        <v>1</v>
      </c>
      <c r="K257" s="93" t="str">
        <f>IFERROR(__xludf.DUMMYFUNCTION("""COMPUTED_VALUE"""),"Complete")</f>
        <v>Complete</v>
      </c>
      <c r="L257" s="93"/>
      <c r="M257" s="94">
        <f>IFERROR(__xludf.DUMMYFUNCTION("""COMPUTED_VALUE"""),46123.81649305555)</f>
        <v>46123.81649</v>
      </c>
      <c r="N257" s="93">
        <f>IFERROR(__xludf.DUMMYFUNCTION("""COMPUTED_VALUE"""),154.0)</f>
        <v>154</v>
      </c>
      <c r="O257" s="93"/>
      <c r="P257" s="93" t="str">
        <f>IFERROR(__xludf.DUMMYFUNCTION("""COMPUTED_VALUE"""),"Kit Delivery")</f>
        <v>Kit Delivery</v>
      </c>
      <c r="Q257" s="93"/>
      <c r="R257" s="93"/>
      <c r="S257" s="95">
        <f>IFERROR(__xludf.DUMMYFUNCTION("""COMPUTED_VALUE"""),46124.4096875)</f>
        <v>46124.40969</v>
      </c>
      <c r="T257" s="93"/>
      <c r="U257" s="93"/>
      <c r="V257" s="93"/>
      <c r="W257" s="93"/>
      <c r="X257" s="93"/>
      <c r="Y257" s="93"/>
      <c r="Z257" s="93"/>
    </row>
    <row r="258">
      <c r="A258" s="93" t="str">
        <f>IFERROR(__xludf.DUMMYFUNCTION("""COMPUTED_VALUE"""),"KIT-#17236")</f>
        <v>KIT-#17236</v>
      </c>
      <c r="B258" s="94">
        <f>IFERROR(__xludf.DUMMYFUNCTION("""COMPUTED_VALUE"""),46147.0)</f>
        <v>46147</v>
      </c>
      <c r="C258" s="93" t="str">
        <f>IFERROR(__xludf.DUMMYFUNCTION("""COMPUTED_VALUE"""),"Kit Delivery")</f>
        <v>Kit Delivery</v>
      </c>
      <c r="D258" s="93">
        <f>IFERROR(__xludf.DUMMYFUNCTION("""COMPUTED_VALUE"""),1.0)</f>
        <v>1</v>
      </c>
      <c r="E258" s="93" t="str">
        <f>IFERROR(__xludf.DUMMYFUNCTION("""COMPUTED_VALUE"""),"Lien")</f>
        <v>Lien</v>
      </c>
      <c r="F258" s="93">
        <f>IFERROR(__xludf.DUMMYFUNCTION("""COMPUTED_VALUE"""),3329.0)</f>
        <v>3329</v>
      </c>
      <c r="G258" s="93" t="str">
        <f>IFERROR(__xludf.DUMMYFUNCTION("""COMPUTED_VALUE"""),"Jessica Ebroon")</f>
        <v>Jessica Ebroon</v>
      </c>
      <c r="H258" s="93"/>
      <c r="I258" s="93" t="str">
        <f>IFERROR(__xludf.DUMMYFUNCTION("""COMPUTED_VALUE"""),"3PM-5PM")</f>
        <v>3PM-5PM</v>
      </c>
      <c r="J258" s="93">
        <f>IFERROR(__xludf.DUMMYFUNCTION("""COMPUTED_VALUE"""),1.0)</f>
        <v>1</v>
      </c>
      <c r="K258" s="93" t="str">
        <f>IFERROR(__xludf.DUMMYFUNCTION("""COMPUTED_VALUE"""),"Complete")</f>
        <v>Complete</v>
      </c>
      <c r="L258" s="93"/>
      <c r="M258" s="94">
        <f>IFERROR(__xludf.DUMMYFUNCTION("""COMPUTED_VALUE"""),46123.816666666666)</f>
        <v>46123.81667</v>
      </c>
      <c r="N258" s="93">
        <f>IFERROR(__xludf.DUMMYFUNCTION("""COMPUTED_VALUE"""),164.0)</f>
        <v>164</v>
      </c>
      <c r="O258" s="93"/>
      <c r="P258" s="93" t="str">
        <f>IFERROR(__xludf.DUMMYFUNCTION("""COMPUTED_VALUE"""),"Kit Delivery")</f>
        <v>Kit Delivery</v>
      </c>
      <c r="Q258" s="93"/>
      <c r="R258" s="93"/>
      <c r="S258" s="95">
        <f>IFERROR(__xludf.DUMMYFUNCTION("""COMPUTED_VALUE"""),46124.4096875)</f>
        <v>46124.40969</v>
      </c>
      <c r="T258" s="93"/>
      <c r="U258" s="93"/>
      <c r="V258" s="93"/>
      <c r="W258" s="93"/>
      <c r="X258" s="93"/>
      <c r="Y258" s="93"/>
      <c r="Z258" s="93"/>
    </row>
    <row r="259">
      <c r="A259" s="93" t="str">
        <f>IFERROR(__xludf.DUMMYFUNCTION("""COMPUTED_VALUE"""),"KIT-#16838")</f>
        <v>KIT-#16838</v>
      </c>
      <c r="B259" s="94">
        <f>IFERROR(__xludf.DUMMYFUNCTION("""COMPUTED_VALUE"""),46147.0)</f>
        <v>46147</v>
      </c>
      <c r="C259" s="93" t="str">
        <f>IFERROR(__xludf.DUMMYFUNCTION("""COMPUTED_VALUE"""),"Kit Delivery")</f>
        <v>Kit Delivery</v>
      </c>
      <c r="D259" s="93">
        <f>IFERROR(__xludf.DUMMYFUNCTION("""COMPUTED_VALUE"""),1.0)</f>
        <v>1</v>
      </c>
      <c r="E259" s="93" t="str">
        <f>IFERROR(__xludf.DUMMYFUNCTION("""COMPUTED_VALUE"""),"Lien")</f>
        <v>Lien</v>
      </c>
      <c r="F259" s="93">
        <f>IFERROR(__xludf.DUMMYFUNCTION("""COMPUTED_VALUE"""),2211.0)</f>
        <v>2211</v>
      </c>
      <c r="G259" s="93" t="str">
        <f>IFERROR(__xludf.DUMMYFUNCTION("""COMPUTED_VALUE"""),"Lena Hernandez")</f>
        <v>Lena Hernandez</v>
      </c>
      <c r="H259" s="93">
        <f>IFERROR(__xludf.DUMMYFUNCTION("""COMPUTED_VALUE"""),5.05280261E9)</f>
        <v>5052802610</v>
      </c>
      <c r="I259" s="93" t="str">
        <f>IFERROR(__xludf.DUMMYFUNCTION("""COMPUTED_VALUE"""),"2PM-4PM")</f>
        <v>2PM-4PM</v>
      </c>
      <c r="J259" s="93">
        <f>IFERROR(__xludf.DUMMYFUNCTION("""COMPUTED_VALUE"""),1.0)</f>
        <v>1</v>
      </c>
      <c r="K259" s="93" t="str">
        <f>IFERROR(__xludf.DUMMYFUNCTION("""COMPUTED_VALUE"""),"Complete")</f>
        <v>Complete</v>
      </c>
      <c r="L259" s="93"/>
      <c r="M259" s="94">
        <f>IFERROR(__xludf.DUMMYFUNCTION("""COMPUTED_VALUE"""),46123.81832175926)</f>
        <v>46123.81832</v>
      </c>
      <c r="N259" s="93">
        <f>IFERROR(__xludf.DUMMYFUNCTION("""COMPUTED_VALUE"""),157.0)</f>
        <v>157</v>
      </c>
      <c r="O259" s="93"/>
      <c r="P259" s="93" t="str">
        <f>IFERROR(__xludf.DUMMYFUNCTION("""COMPUTED_VALUE"""),"Kit Delivery")</f>
        <v>Kit Delivery</v>
      </c>
      <c r="Q259" s="93"/>
      <c r="R259" s="93"/>
      <c r="S259" s="95">
        <f>IFERROR(__xludf.DUMMYFUNCTION("""COMPUTED_VALUE"""),46124.4096875)</f>
        <v>46124.40969</v>
      </c>
      <c r="T259" s="93"/>
      <c r="U259" s="93"/>
      <c r="V259" s="93"/>
      <c r="W259" s="93"/>
      <c r="X259" s="93"/>
      <c r="Y259" s="93"/>
      <c r="Z259" s="93"/>
    </row>
    <row r="260">
      <c r="A260" s="93" t="str">
        <f>IFERROR(__xludf.DUMMYFUNCTION("""COMPUTED_VALUE"""),"KIT-#17177")</f>
        <v>KIT-#17177</v>
      </c>
      <c r="B260" s="94">
        <f>IFERROR(__xludf.DUMMYFUNCTION("""COMPUTED_VALUE"""),46147.0)</f>
        <v>46147</v>
      </c>
      <c r="C260" s="93" t="str">
        <f>IFERROR(__xludf.DUMMYFUNCTION("""COMPUTED_VALUE"""),"Kit Delivery")</f>
        <v>Kit Delivery</v>
      </c>
      <c r="D260" s="93">
        <f>IFERROR(__xludf.DUMMYFUNCTION("""COMPUTED_VALUE"""),1.0)</f>
        <v>1</v>
      </c>
      <c r="E260" s="93" t="str">
        <f>IFERROR(__xludf.DUMMYFUNCTION("""COMPUTED_VALUE"""),"Gregg")</f>
        <v>Gregg</v>
      </c>
      <c r="F260" s="93">
        <f>IFERROR(__xludf.DUMMYFUNCTION("""COMPUTED_VALUE"""),1040.0)</f>
        <v>1040</v>
      </c>
      <c r="G260" s="93" t="str">
        <f>IFERROR(__xludf.DUMMYFUNCTION("""COMPUTED_VALUE"""),"David Chiu")</f>
        <v>David Chiu</v>
      </c>
      <c r="H260" s="93">
        <f>IFERROR(__xludf.DUMMYFUNCTION("""COMPUTED_VALUE"""),8.328982565E9)</f>
        <v>8328982565</v>
      </c>
      <c r="I260" s="93" t="str">
        <f>IFERROR(__xludf.DUMMYFUNCTION("""COMPUTED_VALUE"""),"3PM-5PM")</f>
        <v>3PM-5PM</v>
      </c>
      <c r="J260" s="93">
        <f>IFERROR(__xludf.DUMMYFUNCTION("""COMPUTED_VALUE"""),1.0)</f>
        <v>1</v>
      </c>
      <c r="K260" s="93" t="str">
        <f>IFERROR(__xludf.DUMMYFUNCTION("""COMPUTED_VALUE"""),"Complete")</f>
        <v>Complete</v>
      </c>
      <c r="L260" s="93"/>
      <c r="M260" s="94">
        <f>IFERROR(__xludf.DUMMYFUNCTION("""COMPUTED_VALUE"""),46123.82745370371)</f>
        <v>46123.82745</v>
      </c>
      <c r="N260" s="93">
        <f>IFERROR(__xludf.DUMMYFUNCTION("""COMPUTED_VALUE"""),150.0)</f>
        <v>150</v>
      </c>
      <c r="O260" s="93"/>
      <c r="P260" s="93" t="str">
        <f>IFERROR(__xludf.DUMMYFUNCTION("""COMPUTED_VALUE"""),"Kit Delivery")</f>
        <v>Kit Delivery</v>
      </c>
      <c r="Q260" s="93"/>
      <c r="R260" s="93"/>
      <c r="S260" s="95">
        <f>IFERROR(__xludf.DUMMYFUNCTION("""COMPUTED_VALUE"""),46124.4096875)</f>
        <v>46124.40969</v>
      </c>
      <c r="T260" s="93"/>
      <c r="U260" s="93"/>
      <c r="V260" s="93"/>
      <c r="W260" s="93"/>
      <c r="X260" s="93"/>
      <c r="Y260" s="93"/>
      <c r="Z260" s="93"/>
    </row>
    <row r="261">
      <c r="A261" s="93" t="str">
        <f>IFERROR(__xludf.DUMMYFUNCTION("""COMPUTED_VALUE"""),"KIT-#17105")</f>
        <v>KIT-#17105</v>
      </c>
      <c r="B261" s="94">
        <f>IFERROR(__xludf.DUMMYFUNCTION("""COMPUTED_VALUE"""),46147.0)</f>
        <v>46147</v>
      </c>
      <c r="C261" s="93" t="str">
        <f>IFERROR(__xludf.DUMMYFUNCTION("""COMPUTED_VALUE"""),"Kit Delivery")</f>
        <v>Kit Delivery</v>
      </c>
      <c r="D261" s="93">
        <f>IFERROR(__xludf.DUMMYFUNCTION("""COMPUTED_VALUE"""),1.0)</f>
        <v>1</v>
      </c>
      <c r="E261" s="93" t="str">
        <f>IFERROR(__xludf.DUMMYFUNCTION("""COMPUTED_VALUE"""),"Eliot A")</f>
        <v>Eliot A</v>
      </c>
      <c r="F261" s="93">
        <f>IFERROR(__xludf.DUMMYFUNCTION("""COMPUTED_VALUE"""),2043.0)</f>
        <v>2043</v>
      </c>
      <c r="G261" s="93" t="str">
        <f>IFERROR(__xludf.DUMMYFUNCTION("""COMPUTED_VALUE"""),"Jinde Xi")</f>
        <v>Jinde Xi</v>
      </c>
      <c r="H261" s="93">
        <f>IFERROR(__xludf.DUMMYFUNCTION("""COMPUTED_VALUE"""),3.145365123E9)</f>
        <v>3145365123</v>
      </c>
      <c r="I261" s="93" t="str">
        <f>IFERROR(__xludf.DUMMYFUNCTION("""COMPUTED_VALUE"""),"9AM-11AM")</f>
        <v>9AM-11AM</v>
      </c>
      <c r="J261" s="93">
        <f>IFERROR(__xludf.DUMMYFUNCTION("""COMPUTED_VALUE"""),2.0)</f>
        <v>2</v>
      </c>
      <c r="K261" s="93" t="str">
        <f>IFERROR(__xludf.DUMMYFUNCTION("""COMPUTED_VALUE"""),"Complete")</f>
        <v>Complete</v>
      </c>
      <c r="L261" s="93"/>
      <c r="M261" s="94">
        <f>IFERROR(__xludf.DUMMYFUNCTION("""COMPUTED_VALUE"""),46123.87912037037)</f>
        <v>46123.87912</v>
      </c>
      <c r="N261" s="93">
        <f>IFERROR(__xludf.DUMMYFUNCTION("""COMPUTED_VALUE"""),21.0)</f>
        <v>21</v>
      </c>
      <c r="O261" s="93"/>
      <c r="P261" s="93" t="str">
        <f>IFERROR(__xludf.DUMMYFUNCTION("""COMPUTED_VALUE"""),"Kit Delivery")</f>
        <v>Kit Delivery</v>
      </c>
      <c r="Q261" s="93"/>
      <c r="R261" s="93"/>
      <c r="S261" s="95">
        <f>IFERROR(__xludf.DUMMYFUNCTION("""COMPUTED_VALUE"""),46124.4096875)</f>
        <v>46124.40969</v>
      </c>
      <c r="T261" s="93"/>
      <c r="U261" s="93"/>
      <c r="V261" s="93"/>
      <c r="W261" s="93"/>
      <c r="X261" s="93"/>
      <c r="Y261" s="93"/>
      <c r="Z261" s="93"/>
    </row>
    <row r="262">
      <c r="A262" s="93" t="str">
        <f>IFERROR(__xludf.DUMMYFUNCTION("""COMPUTED_VALUE"""),"KIT-#17298")</f>
        <v>KIT-#17298</v>
      </c>
      <c r="B262" s="94">
        <f>IFERROR(__xludf.DUMMYFUNCTION("""COMPUTED_VALUE"""),46147.0)</f>
        <v>46147</v>
      </c>
      <c r="C262" s="93" t="str">
        <f>IFERROR(__xludf.DUMMYFUNCTION("""COMPUTED_VALUE"""),"Kit Delivery")</f>
        <v>Kit Delivery</v>
      </c>
      <c r="D262" s="93">
        <f>IFERROR(__xludf.DUMMYFUNCTION("""COMPUTED_VALUE"""),1.0)</f>
        <v>1</v>
      </c>
      <c r="E262" s="93" t="str">
        <f>IFERROR(__xludf.DUMMYFUNCTION("""COMPUTED_VALUE"""),"Eliot A")</f>
        <v>Eliot A</v>
      </c>
      <c r="F262" s="93">
        <f>IFERROR(__xludf.DUMMYFUNCTION("""COMPUTED_VALUE"""),1002.0)</f>
        <v>1002</v>
      </c>
      <c r="G262" s="93" t="str">
        <f>IFERROR(__xludf.DUMMYFUNCTION("""COMPUTED_VALUE"""),"Eliana Moronta")</f>
        <v>Eliana Moronta</v>
      </c>
      <c r="H262" s="93">
        <f>IFERROR(__xludf.DUMMYFUNCTION("""COMPUTED_VALUE"""),7.862086117E9)</f>
        <v>7862086117</v>
      </c>
      <c r="I262" s="93" t="str">
        <f>IFERROR(__xludf.DUMMYFUNCTION("""COMPUTED_VALUE"""),"3PM-5PM")</f>
        <v>3PM-5PM</v>
      </c>
      <c r="J262" s="93">
        <f>IFERROR(__xludf.DUMMYFUNCTION("""COMPUTED_VALUE"""),2.0)</f>
        <v>2</v>
      </c>
      <c r="K262" s="93" t="str">
        <f>IFERROR(__xludf.DUMMYFUNCTION("""COMPUTED_VALUE"""),"Complete")</f>
        <v>Complete</v>
      </c>
      <c r="L262" s="93"/>
      <c r="M262" s="94">
        <f>IFERROR(__xludf.DUMMYFUNCTION("""COMPUTED_VALUE"""),46123.87950231481)</f>
        <v>46123.8795</v>
      </c>
      <c r="N262" s="93">
        <f>IFERROR(__xludf.DUMMYFUNCTION("""COMPUTED_VALUE"""),17.0)</f>
        <v>17</v>
      </c>
      <c r="O262" s="93"/>
      <c r="P262" s="93" t="str">
        <f>IFERROR(__xludf.DUMMYFUNCTION("""COMPUTED_VALUE"""),"Kit Delivery")</f>
        <v>Kit Delivery</v>
      </c>
      <c r="Q262" s="93"/>
      <c r="R262" s="93"/>
      <c r="S262" s="95">
        <f>IFERROR(__xludf.DUMMYFUNCTION("""COMPUTED_VALUE"""),46124.4096875)</f>
        <v>46124.40969</v>
      </c>
      <c r="T262" s="93"/>
      <c r="U262" s="93"/>
      <c r="V262" s="93"/>
      <c r="W262" s="93"/>
      <c r="X262" s="93"/>
      <c r="Y262" s="93"/>
      <c r="Z262" s="93"/>
    </row>
    <row r="263">
      <c r="A263" s="93" t="str">
        <f>IFERROR(__xludf.DUMMYFUNCTION("""COMPUTED_VALUE"""),"KIT-#17283")</f>
        <v>KIT-#17283</v>
      </c>
      <c r="B263" s="94">
        <f>IFERROR(__xludf.DUMMYFUNCTION("""COMPUTED_VALUE"""),46147.0)</f>
        <v>46147</v>
      </c>
      <c r="C263" s="93" t="str">
        <f>IFERROR(__xludf.DUMMYFUNCTION("""COMPUTED_VALUE"""),"Kit Delivery")</f>
        <v>Kit Delivery</v>
      </c>
      <c r="D263" s="93">
        <f>IFERROR(__xludf.DUMMYFUNCTION("""COMPUTED_VALUE"""),1.0)</f>
        <v>1</v>
      </c>
      <c r="E263" s="93" t="str">
        <f>IFERROR(__xludf.DUMMYFUNCTION("""COMPUTED_VALUE"""),"Eliot A")</f>
        <v>Eliot A</v>
      </c>
      <c r="F263" s="93" t="str">
        <f>IFERROR(__xludf.DUMMYFUNCTION("""COMPUTED_VALUE"""),"1082 -a")</f>
        <v>1082 -a</v>
      </c>
      <c r="G263" s="93" t="str">
        <f>IFERROR(__xludf.DUMMYFUNCTION("""COMPUTED_VALUE"""),"Ethan Lassner")</f>
        <v>Ethan Lassner</v>
      </c>
      <c r="H263" s="93">
        <f>IFERROR(__xludf.DUMMYFUNCTION("""COMPUTED_VALUE"""),3.107019782E9)</f>
        <v>3107019782</v>
      </c>
      <c r="I263" s="93" t="str">
        <f>IFERROR(__xludf.DUMMYFUNCTION("""COMPUTED_VALUE"""),"9AM-11AM")</f>
        <v>9AM-11AM</v>
      </c>
      <c r="J263" s="93">
        <f>IFERROR(__xludf.DUMMYFUNCTION("""COMPUTED_VALUE"""),1.0)</f>
        <v>1</v>
      </c>
      <c r="K263" s="93" t="str">
        <f>IFERROR(__xludf.DUMMYFUNCTION("""COMPUTED_VALUE"""),"Complete")</f>
        <v>Complete</v>
      </c>
      <c r="L263" s="93"/>
      <c r="M263" s="94">
        <f>IFERROR(__xludf.DUMMYFUNCTION("""COMPUTED_VALUE"""),46123.880277777775)</f>
        <v>46123.88028</v>
      </c>
      <c r="N263" s="93">
        <f>IFERROR(__xludf.DUMMYFUNCTION("""COMPUTED_VALUE"""),19.0)</f>
        <v>19</v>
      </c>
      <c r="O263" s="93"/>
      <c r="P263" s="93" t="str">
        <f>IFERROR(__xludf.DUMMYFUNCTION("""COMPUTED_VALUE"""),"Kit Delivery")</f>
        <v>Kit Delivery</v>
      </c>
      <c r="Q263" s="93"/>
      <c r="R263" s="93"/>
      <c r="S263" s="95">
        <f>IFERROR(__xludf.DUMMYFUNCTION("""COMPUTED_VALUE"""),46124.4096875)</f>
        <v>46124.40969</v>
      </c>
      <c r="T263" s="93"/>
      <c r="U263" s="93"/>
      <c r="V263" s="93"/>
      <c r="W263" s="93"/>
      <c r="X263" s="93"/>
      <c r="Y263" s="93"/>
      <c r="Z263" s="93"/>
    </row>
    <row r="264">
      <c r="A264" s="93" t="str">
        <f>IFERROR(__xludf.DUMMYFUNCTION("""COMPUTED_VALUE"""),"KIT-#17315")</f>
        <v>KIT-#17315</v>
      </c>
      <c r="B264" s="94">
        <f>IFERROR(__xludf.DUMMYFUNCTION("""COMPUTED_VALUE"""),46147.0)</f>
        <v>46147</v>
      </c>
      <c r="C264" s="93" t="str">
        <f>IFERROR(__xludf.DUMMYFUNCTION("""COMPUTED_VALUE"""),"Kit Delivery")</f>
        <v>Kit Delivery</v>
      </c>
      <c r="D264" s="93">
        <f>IFERROR(__xludf.DUMMYFUNCTION("""COMPUTED_VALUE"""),1.0)</f>
        <v>1</v>
      </c>
      <c r="E264" s="93" t="str">
        <f>IFERROR(__xludf.DUMMYFUNCTION("""COMPUTED_VALUE"""),"Eliot A")</f>
        <v>Eliot A</v>
      </c>
      <c r="F264" s="93">
        <f>IFERROR(__xludf.DUMMYFUNCTION("""COMPUTED_VALUE"""),3101.0)</f>
        <v>3101</v>
      </c>
      <c r="G264" s="93" t="str">
        <f>IFERROR(__xludf.DUMMYFUNCTION("""COMPUTED_VALUE"""),"Andrew Covello")</f>
        <v>Andrew Covello</v>
      </c>
      <c r="H264" s="93">
        <f>IFERROR(__xludf.DUMMYFUNCTION("""COMPUTED_VALUE"""),9.084187448E9)</f>
        <v>9084187448</v>
      </c>
      <c r="I264" s="93" t="str">
        <f>IFERROR(__xludf.DUMMYFUNCTION("""COMPUTED_VALUE"""),"9AM-11AM")</f>
        <v>9AM-11AM</v>
      </c>
      <c r="J264" s="93">
        <f>IFERROR(__xludf.DUMMYFUNCTION("""COMPUTED_VALUE"""),1.0)</f>
        <v>1</v>
      </c>
      <c r="K264" s="93" t="str">
        <f>IFERROR(__xludf.DUMMYFUNCTION("""COMPUTED_VALUE"""),"Complete")</f>
        <v>Complete</v>
      </c>
      <c r="L264" s="93"/>
      <c r="M264" s="94">
        <f>IFERROR(__xludf.DUMMYFUNCTION("""COMPUTED_VALUE"""),46123.882615740746)</f>
        <v>46123.88262</v>
      </c>
      <c r="N264" s="93">
        <f>IFERROR(__xludf.DUMMYFUNCTION("""COMPUTED_VALUE"""),24.0)</f>
        <v>24</v>
      </c>
      <c r="O264" s="93"/>
      <c r="P264" s="93" t="str">
        <f>IFERROR(__xludf.DUMMYFUNCTION("""COMPUTED_VALUE"""),"Kit Delivery")</f>
        <v>Kit Delivery</v>
      </c>
      <c r="Q264" s="93"/>
      <c r="R264" s="93"/>
      <c r="S264" s="95">
        <f>IFERROR(__xludf.DUMMYFUNCTION("""COMPUTED_VALUE"""),46124.4096875)</f>
        <v>46124.40969</v>
      </c>
      <c r="T264" s="93"/>
      <c r="U264" s="93"/>
      <c r="V264" s="93"/>
      <c r="W264" s="93"/>
      <c r="X264" s="93"/>
      <c r="Y264" s="93"/>
      <c r="Z264" s="93"/>
    </row>
    <row r="265">
      <c r="A265" s="93" t="str">
        <f>IFERROR(__xludf.DUMMYFUNCTION("""COMPUTED_VALUE"""),"KIT-#17196")</f>
        <v>KIT-#17196</v>
      </c>
      <c r="B265" s="94">
        <f>IFERROR(__xludf.DUMMYFUNCTION("""COMPUTED_VALUE"""),46147.0)</f>
        <v>46147</v>
      </c>
      <c r="C265" s="93" t="str">
        <f>IFERROR(__xludf.DUMMYFUNCTION("""COMPUTED_VALUE"""),"Kit Delivery")</f>
        <v>Kit Delivery</v>
      </c>
      <c r="D265" s="93">
        <f>IFERROR(__xludf.DUMMYFUNCTION("""COMPUTED_VALUE"""),1.0)</f>
        <v>1</v>
      </c>
      <c r="E265" s="93" t="str">
        <f>IFERROR(__xludf.DUMMYFUNCTION("""COMPUTED_VALUE"""),"Eliot A")</f>
        <v>Eliot A</v>
      </c>
      <c r="F265" s="93">
        <f>IFERROR(__xludf.DUMMYFUNCTION("""COMPUTED_VALUE"""),3131.0)</f>
        <v>3131</v>
      </c>
      <c r="G265" s="93" t="str">
        <f>IFERROR(__xludf.DUMMYFUNCTION("""COMPUTED_VALUE"""),"Ally Isgar")</f>
        <v>Ally Isgar</v>
      </c>
      <c r="H265" s="93">
        <f>IFERROR(__xludf.DUMMYFUNCTION("""COMPUTED_VALUE"""),3.107015685E9)</f>
        <v>3107015685</v>
      </c>
      <c r="I265" s="93" t="str">
        <f>IFERROR(__xludf.DUMMYFUNCTION("""COMPUTED_VALUE"""),"12PM-2PM")</f>
        <v>12PM-2PM</v>
      </c>
      <c r="J265" s="93">
        <f>IFERROR(__xludf.DUMMYFUNCTION("""COMPUTED_VALUE"""),2.0)</f>
        <v>2</v>
      </c>
      <c r="K265" s="93" t="str">
        <f>IFERROR(__xludf.DUMMYFUNCTION("""COMPUTED_VALUE"""),"Complete")</f>
        <v>Complete</v>
      </c>
      <c r="L265" s="93"/>
      <c r="M265" s="94">
        <f>IFERROR(__xludf.DUMMYFUNCTION("""COMPUTED_VALUE"""),46123.88342592593)</f>
        <v>46123.88343</v>
      </c>
      <c r="N265" s="93">
        <f>IFERROR(__xludf.DUMMYFUNCTION("""COMPUTED_VALUE"""),25.0)</f>
        <v>25</v>
      </c>
      <c r="O265" s="93"/>
      <c r="P265" s="93" t="str">
        <f>IFERROR(__xludf.DUMMYFUNCTION("""COMPUTED_VALUE"""),"Kit Delivery")</f>
        <v>Kit Delivery</v>
      </c>
      <c r="Q265" s="93"/>
      <c r="R265" s="93"/>
      <c r="S265" s="95">
        <f>IFERROR(__xludf.DUMMYFUNCTION("""COMPUTED_VALUE"""),46124.4096875)</f>
        <v>46124.40969</v>
      </c>
      <c r="T265" s="93"/>
      <c r="U265" s="93"/>
      <c r="V265" s="93"/>
      <c r="W265" s="93"/>
      <c r="X265" s="93"/>
      <c r="Y265" s="93"/>
      <c r="Z265" s="93"/>
    </row>
    <row r="266">
      <c r="A266" s="93" t="str">
        <f>IFERROR(__xludf.DUMMYFUNCTION("""COMPUTED_VALUE"""),"KIT-#17305")</f>
        <v>KIT-#17305</v>
      </c>
      <c r="B266" s="94">
        <f>IFERROR(__xludf.DUMMYFUNCTION("""COMPUTED_VALUE"""),46147.0)</f>
        <v>46147</v>
      </c>
      <c r="C266" s="93" t="str">
        <f>IFERROR(__xludf.DUMMYFUNCTION("""COMPUTED_VALUE"""),"Kit Delivery")</f>
        <v>Kit Delivery</v>
      </c>
      <c r="D266" s="93">
        <f>IFERROR(__xludf.DUMMYFUNCTION("""COMPUTED_VALUE"""),1.0)</f>
        <v>1</v>
      </c>
      <c r="E266" s="93" t="str">
        <f>IFERROR(__xludf.DUMMYFUNCTION("""COMPUTED_VALUE"""),"Umrath")</f>
        <v>Umrath</v>
      </c>
      <c r="F266" s="93" t="str">
        <f>IFERROR(__xludf.DUMMYFUNCTION("""COMPUTED_VALUE"""),"L239")</f>
        <v>L239</v>
      </c>
      <c r="G266" s="93" t="str">
        <f>IFERROR(__xludf.DUMMYFUNCTION("""COMPUTED_VALUE"""),"Sama Daham")</f>
        <v>Sama Daham</v>
      </c>
      <c r="H266" s="93">
        <f>IFERROR(__xludf.DUMMYFUNCTION("""COMPUTED_VALUE"""),4.143667976E9)</f>
        <v>4143667976</v>
      </c>
      <c r="I266" s="93" t="str">
        <f>IFERROR(__xludf.DUMMYFUNCTION("""COMPUTED_VALUE"""),"10AM-12PM")</f>
        <v>10AM-12PM</v>
      </c>
      <c r="J266" s="93">
        <f>IFERROR(__xludf.DUMMYFUNCTION("""COMPUTED_VALUE"""),2.0)</f>
        <v>2</v>
      </c>
      <c r="K266" s="93" t="str">
        <f>IFERROR(__xludf.DUMMYFUNCTION("""COMPUTED_VALUE"""),"Complete")</f>
        <v>Complete</v>
      </c>
      <c r="L266" s="93"/>
      <c r="M266" s="94">
        <f>IFERROR(__xludf.DUMMYFUNCTION("""COMPUTED_VALUE"""),46123.893113425926)</f>
        <v>46123.89311</v>
      </c>
      <c r="N266" s="93">
        <f>IFERROR(__xludf.DUMMYFUNCTION("""COMPUTED_VALUE"""),106.0)</f>
        <v>106</v>
      </c>
      <c r="O266" s="93"/>
      <c r="P266" s="93" t="str">
        <f>IFERROR(__xludf.DUMMYFUNCTION("""COMPUTED_VALUE"""),"Kit Delivery")</f>
        <v>Kit Delivery</v>
      </c>
      <c r="Q266" s="93"/>
      <c r="R266" s="93"/>
      <c r="S266" s="95">
        <f>IFERROR(__xludf.DUMMYFUNCTION("""COMPUTED_VALUE"""),46124.4096875)</f>
        <v>46124.40969</v>
      </c>
      <c r="T266" s="93"/>
      <c r="U266" s="93"/>
      <c r="V266" s="93"/>
      <c r="W266" s="93"/>
      <c r="X266" s="93"/>
      <c r="Y266" s="93"/>
      <c r="Z266" s="93"/>
    </row>
    <row r="267">
      <c r="A267" s="93" t="str">
        <f>IFERROR(__xludf.DUMMYFUNCTION("""COMPUTED_VALUE"""),"KIT-#17054")</f>
        <v>KIT-#17054</v>
      </c>
      <c r="B267" s="94">
        <f>IFERROR(__xludf.DUMMYFUNCTION("""COMPUTED_VALUE"""),46147.0)</f>
        <v>46147</v>
      </c>
      <c r="C267" s="93" t="str">
        <f>IFERROR(__xludf.DUMMYFUNCTION("""COMPUTED_VALUE"""),"Kit Delivery")</f>
        <v>Kit Delivery</v>
      </c>
      <c r="D267" s="93">
        <f>IFERROR(__xludf.DUMMYFUNCTION("""COMPUTED_VALUE"""),1.0)</f>
        <v>1</v>
      </c>
      <c r="E267" s="93" t="str">
        <f>IFERROR(__xludf.DUMMYFUNCTION("""COMPUTED_VALUE"""),"Umrath")</f>
        <v>Umrath</v>
      </c>
      <c r="F267" s="93">
        <f>IFERROR(__xludf.DUMMYFUNCTION("""COMPUTED_VALUE"""),3323.0)</f>
        <v>3323</v>
      </c>
      <c r="G267" s="93" t="str">
        <f>IFERROR(__xludf.DUMMYFUNCTION("""COMPUTED_VALUE"""),"Caroline Goldstein")</f>
        <v>Caroline Goldstein</v>
      </c>
      <c r="H267" s="93">
        <f>IFERROR(__xludf.DUMMYFUNCTION("""COMPUTED_VALUE"""),3.015125184E9)</f>
        <v>3015125184</v>
      </c>
      <c r="I267" s="93" t="str">
        <f>IFERROR(__xludf.DUMMYFUNCTION("""COMPUTED_VALUE"""),"3PM-5PM")</f>
        <v>3PM-5PM</v>
      </c>
      <c r="J267" s="93">
        <f>IFERROR(__xludf.DUMMYFUNCTION("""COMPUTED_VALUE"""),2.0)</f>
        <v>2</v>
      </c>
      <c r="K267" s="93" t="str">
        <f>IFERROR(__xludf.DUMMYFUNCTION("""COMPUTED_VALUE"""),"Complete")</f>
        <v>Complete</v>
      </c>
      <c r="L267" s="93"/>
      <c r="M267" s="94">
        <f>IFERROR(__xludf.DUMMYFUNCTION("""COMPUTED_VALUE"""),46123.8959375)</f>
        <v>46123.89594</v>
      </c>
      <c r="N267" s="93">
        <f>IFERROR(__xludf.DUMMYFUNCTION("""COMPUTED_VALUE"""),118.0)</f>
        <v>118</v>
      </c>
      <c r="O267" s="93"/>
      <c r="P267" s="93" t="str">
        <f>IFERROR(__xludf.DUMMYFUNCTION("""COMPUTED_VALUE"""),"Kit Delivery")</f>
        <v>Kit Delivery</v>
      </c>
      <c r="Q267" s="93"/>
      <c r="R267" s="93"/>
      <c r="S267" s="95">
        <f>IFERROR(__xludf.DUMMYFUNCTION("""COMPUTED_VALUE"""),46124.4096875)</f>
        <v>46124.40969</v>
      </c>
      <c r="T267" s="93"/>
      <c r="U267" s="93"/>
      <c r="V267" s="93"/>
      <c r="W267" s="93"/>
      <c r="X267" s="93"/>
      <c r="Y267" s="93"/>
      <c r="Z267" s="93"/>
    </row>
    <row r="268">
      <c r="A268" s="93" t="str">
        <f>IFERROR(__xludf.DUMMYFUNCTION("""COMPUTED_VALUE"""),"KIT-#17060")</f>
        <v>KIT-#17060</v>
      </c>
      <c r="B268" s="94">
        <f>IFERROR(__xludf.DUMMYFUNCTION("""COMPUTED_VALUE"""),46147.0)</f>
        <v>46147</v>
      </c>
      <c r="C268" s="93" t="str">
        <f>IFERROR(__xludf.DUMMYFUNCTION("""COMPUTED_VALUE"""),"Kit Delivery")</f>
        <v>Kit Delivery</v>
      </c>
      <c r="D268" s="93">
        <f>IFERROR(__xludf.DUMMYFUNCTION("""COMPUTED_VALUE"""),1.0)</f>
        <v>1</v>
      </c>
      <c r="E268" s="93" t="str">
        <f>IFERROR(__xludf.DUMMYFUNCTION("""COMPUTED_VALUE"""),"Umrath")</f>
        <v>Umrath</v>
      </c>
      <c r="F268" s="93">
        <f>IFERROR(__xludf.DUMMYFUNCTION("""COMPUTED_VALUE"""),4428.0)</f>
        <v>4428</v>
      </c>
      <c r="G268" s="93" t="str">
        <f>IFERROR(__xludf.DUMMYFUNCTION("""COMPUTED_VALUE"""),"Ethan Nus")</f>
        <v>Ethan Nus</v>
      </c>
      <c r="H268" s="93">
        <f>IFERROR(__xludf.DUMMYFUNCTION("""COMPUTED_VALUE"""),1.516612426E10)</f>
        <v>15166124260</v>
      </c>
      <c r="I268" s="93" t="str">
        <f>IFERROR(__xludf.DUMMYFUNCTION("""COMPUTED_VALUE"""),"2PM-4PM")</f>
        <v>2PM-4PM</v>
      </c>
      <c r="J268" s="93">
        <f>IFERROR(__xludf.DUMMYFUNCTION("""COMPUTED_VALUE"""),1.0)</f>
        <v>1</v>
      </c>
      <c r="K268" s="93" t="str">
        <f>IFERROR(__xludf.DUMMYFUNCTION("""COMPUTED_VALUE"""),"Complete")</f>
        <v>Complete</v>
      </c>
      <c r="L268" s="93"/>
      <c r="M268" s="94">
        <f>IFERROR(__xludf.DUMMYFUNCTION("""COMPUTED_VALUE"""),46123.898993055554)</f>
        <v>46123.89899</v>
      </c>
      <c r="N268" s="93">
        <f>IFERROR(__xludf.DUMMYFUNCTION("""COMPUTED_VALUE"""),123.0)</f>
        <v>123</v>
      </c>
      <c r="O268" s="93"/>
      <c r="P268" s="93" t="str">
        <f>IFERROR(__xludf.DUMMYFUNCTION("""COMPUTED_VALUE"""),"Kit Delivery")</f>
        <v>Kit Delivery</v>
      </c>
      <c r="Q268" s="93"/>
      <c r="R268" s="93"/>
      <c r="S268" s="95">
        <f>IFERROR(__xludf.DUMMYFUNCTION("""COMPUTED_VALUE"""),46124.4096875)</f>
        <v>46124.40969</v>
      </c>
      <c r="T268" s="93"/>
      <c r="U268" s="93"/>
      <c r="V268" s="93"/>
      <c r="W268" s="93"/>
      <c r="X268" s="93"/>
      <c r="Y268" s="93"/>
      <c r="Z268" s="93"/>
    </row>
    <row r="269">
      <c r="A269" s="93" t="str">
        <f>IFERROR(__xludf.DUMMYFUNCTION("""COMPUTED_VALUE"""),"KIT-#17295")</f>
        <v>KIT-#17295</v>
      </c>
      <c r="B269" s="94">
        <f>IFERROR(__xludf.DUMMYFUNCTION("""COMPUTED_VALUE"""),46147.0)</f>
        <v>46147</v>
      </c>
      <c r="C269" s="93" t="str">
        <f>IFERROR(__xludf.DUMMYFUNCTION("""COMPUTED_VALUE"""),"Kit Delivery")</f>
        <v>Kit Delivery</v>
      </c>
      <c r="D269" s="93">
        <f>IFERROR(__xludf.DUMMYFUNCTION("""COMPUTED_VALUE"""),1.0)</f>
        <v>1</v>
      </c>
      <c r="E269" s="93" t="str">
        <f>IFERROR(__xludf.DUMMYFUNCTION("""COMPUTED_VALUE"""),"Lopata")</f>
        <v>Lopata</v>
      </c>
      <c r="F269" s="93">
        <f>IFERROR(__xludf.DUMMYFUNCTION("""COMPUTED_VALUE"""),3034.0)</f>
        <v>3034</v>
      </c>
      <c r="G269" s="93" t="str">
        <f>IFERROR(__xludf.DUMMYFUNCTION("""COMPUTED_VALUE"""),"RILEY MELTZ")</f>
        <v>RILEY MELTZ</v>
      </c>
      <c r="H269" s="93">
        <f>IFERROR(__xludf.DUMMYFUNCTION("""COMPUTED_VALUE"""),9.175796873E9)</f>
        <v>9175796873</v>
      </c>
      <c r="I269" s="93" t="str">
        <f>IFERROR(__xludf.DUMMYFUNCTION("""COMPUTED_VALUE"""),"9AM-11AM")</f>
        <v>9AM-11AM</v>
      </c>
      <c r="J269" s="93">
        <f>IFERROR(__xludf.DUMMYFUNCTION("""COMPUTED_VALUE"""),1.0)</f>
        <v>1</v>
      </c>
      <c r="K269" s="93" t="str">
        <f>IFERROR(__xludf.DUMMYFUNCTION("""COMPUTED_VALUE"""),"Complete")</f>
        <v>Complete</v>
      </c>
      <c r="L269" s="93"/>
      <c r="M269" s="94">
        <f>IFERROR(__xludf.DUMMYFUNCTION("""COMPUTED_VALUE"""),46123.95579861111)</f>
        <v>46123.9558</v>
      </c>
      <c r="N269" s="93">
        <f>IFERROR(__xludf.DUMMYFUNCTION("""COMPUTED_VALUE"""),172.0)</f>
        <v>172</v>
      </c>
      <c r="O269" s="93"/>
      <c r="P269" s="93" t="str">
        <f>IFERROR(__xludf.DUMMYFUNCTION("""COMPUTED_VALUE"""),"Kit Delivery")</f>
        <v>Kit Delivery</v>
      </c>
      <c r="Q269" s="93"/>
      <c r="R269" s="93"/>
      <c r="S269" s="95">
        <f>IFERROR(__xludf.DUMMYFUNCTION("""COMPUTED_VALUE"""),46124.4096875)</f>
        <v>46124.40969</v>
      </c>
      <c r="T269" s="93"/>
      <c r="U269" s="93"/>
      <c r="V269" s="93"/>
      <c r="W269" s="93"/>
      <c r="X269" s="93"/>
      <c r="Y269" s="93"/>
      <c r="Z269" s="93"/>
    </row>
    <row r="270">
      <c r="A270" s="93" t="str">
        <f>IFERROR(__xludf.DUMMYFUNCTION("""COMPUTED_VALUE"""),"KIT-#17355")</f>
        <v>KIT-#17355</v>
      </c>
      <c r="B270" s="94">
        <f>IFERROR(__xludf.DUMMYFUNCTION("""COMPUTED_VALUE"""),46147.0)</f>
        <v>46147</v>
      </c>
      <c r="C270" s="93" t="str">
        <f>IFERROR(__xludf.DUMMYFUNCTION("""COMPUTED_VALUE"""),"Kit Delivery")</f>
        <v>Kit Delivery</v>
      </c>
      <c r="D270" s="93">
        <f>IFERROR(__xludf.DUMMYFUNCTION("""COMPUTED_VALUE"""),1.0)</f>
        <v>1</v>
      </c>
      <c r="E270" s="93" t="str">
        <f>IFERROR(__xludf.DUMMYFUNCTION("""COMPUTED_VALUE"""),"Lopata")</f>
        <v>Lopata</v>
      </c>
      <c r="F270" s="93">
        <f>IFERROR(__xludf.DUMMYFUNCTION("""COMPUTED_VALUE"""),3024.0)</f>
        <v>3024</v>
      </c>
      <c r="G270" s="93" t="str">
        <f>IFERROR(__xludf.DUMMYFUNCTION("""COMPUTED_VALUE"""),"Charlotte Allinson")</f>
        <v>Charlotte Allinson</v>
      </c>
      <c r="H270" s="93">
        <f>IFERROR(__xludf.DUMMYFUNCTION("""COMPUTED_VALUE"""),7.18715543E9)</f>
        <v>7187155430</v>
      </c>
      <c r="I270" s="93" t="str">
        <f>IFERROR(__xludf.DUMMYFUNCTION("""COMPUTED_VALUE"""),"9AM-11AM")</f>
        <v>9AM-11AM</v>
      </c>
      <c r="J270" s="93">
        <f>IFERROR(__xludf.DUMMYFUNCTION("""COMPUTED_VALUE"""),1.0)</f>
        <v>1</v>
      </c>
      <c r="K270" s="93" t="str">
        <f>IFERROR(__xludf.DUMMYFUNCTION("""COMPUTED_VALUE"""),"Complete")</f>
        <v>Complete</v>
      </c>
      <c r="L270" s="93"/>
      <c r="M270" s="94">
        <f>IFERROR(__xludf.DUMMYFUNCTION("""COMPUTED_VALUE"""),46123.95621527778)</f>
        <v>46123.95622</v>
      </c>
      <c r="N270" s="93">
        <f>IFERROR(__xludf.DUMMYFUNCTION("""COMPUTED_VALUE"""),171.0)</f>
        <v>171</v>
      </c>
      <c r="O270" s="93"/>
      <c r="P270" s="93" t="str">
        <f>IFERROR(__xludf.DUMMYFUNCTION("""COMPUTED_VALUE"""),"Kit Delivery")</f>
        <v>Kit Delivery</v>
      </c>
      <c r="Q270" s="93"/>
      <c r="R270" s="93"/>
      <c r="S270" s="95">
        <f>IFERROR(__xludf.DUMMYFUNCTION("""COMPUTED_VALUE"""),46124.4096875)</f>
        <v>46124.40969</v>
      </c>
      <c r="T270" s="93"/>
      <c r="U270" s="93"/>
      <c r="V270" s="93"/>
      <c r="W270" s="93"/>
      <c r="X270" s="93"/>
      <c r="Y270" s="93"/>
      <c r="Z270" s="93"/>
    </row>
    <row r="271">
      <c r="A271" s="93" t="str">
        <f>IFERROR(__xludf.DUMMYFUNCTION("""COMPUTED_VALUE"""),"KIT-#16822")</f>
        <v>KIT-#16822</v>
      </c>
      <c r="B271" s="94">
        <f>IFERROR(__xludf.DUMMYFUNCTION("""COMPUTED_VALUE"""),46147.0)</f>
        <v>46147</v>
      </c>
      <c r="C271" s="93" t="str">
        <f>IFERROR(__xludf.DUMMYFUNCTION("""COMPUTED_VALUE"""),"Kit Delivery")</f>
        <v>Kit Delivery</v>
      </c>
      <c r="D271" s="93">
        <f>IFERROR(__xludf.DUMMYFUNCTION("""COMPUTED_VALUE"""),1.0)</f>
        <v>1</v>
      </c>
      <c r="E271" s="93" t="str">
        <f>IFERROR(__xludf.DUMMYFUNCTION("""COMPUTED_VALUE"""),"Village East")</f>
        <v>Village East</v>
      </c>
      <c r="F271" s="93">
        <f>IFERROR(__xludf.DUMMYFUNCTION("""COMPUTED_VALUE"""),2014.0)</f>
        <v>2014</v>
      </c>
      <c r="G271" s="93" t="str">
        <f>IFERROR(__xludf.DUMMYFUNCTION("""COMPUTED_VALUE"""),"Nina Rosell")</f>
        <v>Nina Rosell</v>
      </c>
      <c r="H271" s="93">
        <f>IFERROR(__xludf.DUMMYFUNCTION("""COMPUTED_VALUE"""),9.178426437E9)</f>
        <v>9178426437</v>
      </c>
      <c r="I271" s="93" t="str">
        <f>IFERROR(__xludf.DUMMYFUNCTION("""COMPUTED_VALUE"""),"9AM-11AM")</f>
        <v>9AM-11AM</v>
      </c>
      <c r="J271" s="93">
        <f>IFERROR(__xludf.DUMMYFUNCTION("""COMPUTED_VALUE"""),1.0)</f>
        <v>1</v>
      </c>
      <c r="K271" s="93" t="str">
        <f>IFERROR(__xludf.DUMMYFUNCTION("""COMPUTED_VALUE"""),"Complete")</f>
        <v>Complete</v>
      </c>
      <c r="L271" s="93"/>
      <c r="M271" s="94">
        <f>IFERROR(__xludf.DUMMYFUNCTION("""COMPUTED_VALUE"""),46123.967997685184)</f>
        <v>46123.968</v>
      </c>
      <c r="N271" s="93">
        <f>IFERROR(__xludf.DUMMYFUNCTION("""COMPUTED_VALUE"""),185.0)</f>
        <v>185</v>
      </c>
      <c r="O271" s="93"/>
      <c r="P271" s="93" t="str">
        <f>IFERROR(__xludf.DUMMYFUNCTION("""COMPUTED_VALUE"""),"Kit Delivery")</f>
        <v>Kit Delivery</v>
      </c>
      <c r="Q271" s="93"/>
      <c r="R271" s="93"/>
      <c r="S271" s="95">
        <f>IFERROR(__xludf.DUMMYFUNCTION("""COMPUTED_VALUE"""),46124.4096875)</f>
        <v>46124.40969</v>
      </c>
      <c r="T271" s="93"/>
      <c r="U271" s="93"/>
      <c r="V271" s="93"/>
      <c r="W271" s="93"/>
      <c r="X271" s="93"/>
      <c r="Y271" s="93"/>
      <c r="Z271" s="93"/>
    </row>
    <row r="272">
      <c r="A272" s="93" t="str">
        <f>IFERROR(__xludf.DUMMYFUNCTION("""COMPUTED_VALUE"""),"KIT-#16819")</f>
        <v>KIT-#16819</v>
      </c>
      <c r="B272" s="94">
        <f>IFERROR(__xludf.DUMMYFUNCTION("""COMPUTED_VALUE"""),46147.0)</f>
        <v>46147</v>
      </c>
      <c r="C272" s="93" t="str">
        <f>IFERROR(__xludf.DUMMYFUNCTION("""COMPUTED_VALUE"""),"Kit Delivery")</f>
        <v>Kit Delivery</v>
      </c>
      <c r="D272" s="93">
        <f>IFERROR(__xludf.DUMMYFUNCTION("""COMPUTED_VALUE"""),1.0)</f>
        <v>1</v>
      </c>
      <c r="E272" s="93" t="str">
        <f>IFERROR(__xludf.DUMMYFUNCTION("""COMPUTED_VALUE"""),"Millbrook Bldg. 4")</f>
        <v>Millbrook Bldg. 4</v>
      </c>
      <c r="F272" s="93">
        <f>IFERROR(__xludf.DUMMYFUNCTION("""COMPUTED_VALUE"""),103.0)</f>
        <v>103</v>
      </c>
      <c r="G272" s="93" t="str">
        <f>IFERROR(__xludf.DUMMYFUNCTION("""COMPUTED_VALUE"""),"Madison Elhaik")</f>
        <v>Madison Elhaik</v>
      </c>
      <c r="H272" s="93">
        <f>IFERROR(__xludf.DUMMYFUNCTION("""COMPUTED_VALUE"""),3.235744978E9)</f>
        <v>3235744978</v>
      </c>
      <c r="I272" s="93" t="str">
        <f>IFERROR(__xludf.DUMMYFUNCTION("""COMPUTED_VALUE"""),"3PM-5PM")</f>
        <v>3PM-5PM</v>
      </c>
      <c r="J272" s="93">
        <f>IFERROR(__xludf.DUMMYFUNCTION("""COMPUTED_VALUE"""),3.0)</f>
        <v>3</v>
      </c>
      <c r="K272" s="93" t="str">
        <f>IFERROR(__xludf.DUMMYFUNCTION("""COMPUTED_VALUE"""),"Complete")</f>
        <v>Complete</v>
      </c>
      <c r="L272" s="93"/>
      <c r="M272" s="94">
        <f>IFERROR(__xludf.DUMMYFUNCTION("""COMPUTED_VALUE"""),46123.975266203706)</f>
        <v>46123.97527</v>
      </c>
      <c r="N272" s="93">
        <f>IFERROR(__xludf.DUMMYFUNCTION("""COMPUTED_VALUE"""),192.0)</f>
        <v>192</v>
      </c>
      <c r="O272" s="93"/>
      <c r="P272" s="93" t="str">
        <f>IFERROR(__xludf.DUMMYFUNCTION("""COMPUTED_VALUE"""),"Kit Delivery")</f>
        <v>Kit Delivery</v>
      </c>
      <c r="Q272" s="93"/>
      <c r="R272" s="93"/>
      <c r="S272" s="95">
        <f>IFERROR(__xludf.DUMMYFUNCTION("""COMPUTED_VALUE"""),46124.4096875)</f>
        <v>46124.40969</v>
      </c>
      <c r="T272" s="93"/>
      <c r="U272" s="93"/>
      <c r="V272" s="93"/>
      <c r="W272" s="93"/>
      <c r="X272" s="93"/>
      <c r="Y272" s="93"/>
      <c r="Z272" s="93"/>
    </row>
    <row r="273">
      <c r="A273" s="93" t="str">
        <f>IFERROR(__xludf.DUMMYFUNCTION("""COMPUTED_VALUE"""),"KIT-#17384")</f>
        <v>KIT-#17384</v>
      </c>
      <c r="B273" s="94">
        <f>IFERROR(__xludf.DUMMYFUNCTION("""COMPUTED_VALUE"""),46147.0)</f>
        <v>46147</v>
      </c>
      <c r="C273" s="93" t="str">
        <f>IFERROR(__xludf.DUMMYFUNCTION("""COMPUTED_VALUE"""),"Kit Delivery")</f>
        <v>Kit Delivery</v>
      </c>
      <c r="D273" s="93">
        <f>IFERROR(__xludf.DUMMYFUNCTION("""COMPUTED_VALUE"""),1.0)</f>
        <v>1</v>
      </c>
      <c r="E273" s="93" t="str">
        <f>IFERROR(__xludf.DUMMYFUNCTION("""COMPUTED_VALUE"""),"Millbrook Bldg. 3")</f>
        <v>Millbrook Bldg. 3</v>
      </c>
      <c r="F273" s="93" t="str">
        <f>IFERROR(__xludf.DUMMYFUNCTION("""COMPUTED_VALUE"""),"B-2F")</f>
        <v>B-2F</v>
      </c>
      <c r="G273" s="93" t="str">
        <f>IFERROR(__xludf.DUMMYFUNCTION("""COMPUTED_VALUE"""),"Nathan Blum")</f>
        <v>Nathan Blum</v>
      </c>
      <c r="H273" s="93">
        <f>IFERROR(__xludf.DUMMYFUNCTION("""COMPUTED_VALUE"""),9.17609601E9)</f>
        <v>9176096010</v>
      </c>
      <c r="I273" s="93" t="str">
        <f>IFERROR(__xludf.DUMMYFUNCTION("""COMPUTED_VALUE"""),"3PM-5PM")</f>
        <v>3PM-5PM</v>
      </c>
      <c r="J273" s="93">
        <f>IFERROR(__xludf.DUMMYFUNCTION("""COMPUTED_VALUE"""),1.0)</f>
        <v>1</v>
      </c>
      <c r="K273" s="93" t="str">
        <f>IFERROR(__xludf.DUMMYFUNCTION("""COMPUTED_VALUE"""),"Complete")</f>
        <v>Complete</v>
      </c>
      <c r="L273" s="93"/>
      <c r="M273" s="94">
        <f>IFERROR(__xludf.DUMMYFUNCTION("""COMPUTED_VALUE"""),46123.97646990741)</f>
        <v>46123.97647</v>
      </c>
      <c r="N273" s="93">
        <f>IFERROR(__xludf.DUMMYFUNCTION("""COMPUTED_VALUE"""),189.0)</f>
        <v>189</v>
      </c>
      <c r="O273" s="93"/>
      <c r="P273" s="93" t="str">
        <f>IFERROR(__xludf.DUMMYFUNCTION("""COMPUTED_VALUE"""),"Kit Delivery")</f>
        <v>Kit Delivery</v>
      </c>
      <c r="Q273" s="93"/>
      <c r="R273" s="93"/>
      <c r="S273" s="95">
        <f>IFERROR(__xludf.DUMMYFUNCTION("""COMPUTED_VALUE"""),46124.4096875)</f>
        <v>46124.40969</v>
      </c>
      <c r="T273" s="93"/>
      <c r="U273" s="93"/>
      <c r="V273" s="93"/>
      <c r="W273" s="93"/>
      <c r="X273" s="93"/>
      <c r="Y273" s="93"/>
      <c r="Z273" s="93"/>
    </row>
    <row r="274">
      <c r="A274" s="93" t="str">
        <f>IFERROR(__xludf.DUMMYFUNCTION("""COMPUTED_VALUE"""),"KIT-#17158")</f>
        <v>KIT-#17158</v>
      </c>
      <c r="B274" s="94">
        <f>IFERROR(__xludf.DUMMYFUNCTION("""COMPUTED_VALUE"""),46147.0)</f>
        <v>46147</v>
      </c>
      <c r="C274" s="93" t="str">
        <f>IFERROR(__xludf.DUMMYFUNCTION("""COMPUTED_VALUE"""),"Kit Delivery")</f>
        <v>Kit Delivery</v>
      </c>
      <c r="D274" s="93">
        <f>IFERROR(__xludf.DUMMYFUNCTION("""COMPUTED_VALUE"""),1.0)</f>
        <v>1</v>
      </c>
      <c r="E274" s="93" t="str">
        <f>IFERROR(__xludf.DUMMYFUNCTION("""COMPUTED_VALUE"""),"Dardick")</f>
        <v>Dardick</v>
      </c>
      <c r="F274" s="93">
        <f>IFERROR(__xludf.DUMMYFUNCTION("""COMPUTED_VALUE"""),2211.0)</f>
        <v>2211</v>
      </c>
      <c r="G274" s="93" t="str">
        <f>IFERROR(__xludf.DUMMYFUNCTION("""COMPUTED_VALUE"""),"Jessica Uslan")</f>
        <v>Jessica Uslan</v>
      </c>
      <c r="H274" s="93">
        <f>IFERROR(__xludf.DUMMYFUNCTION("""COMPUTED_VALUE"""),3.109623501E9)</f>
        <v>3109623501</v>
      </c>
      <c r="I274" s="93" t="str">
        <f>IFERROR(__xludf.DUMMYFUNCTION("""COMPUTED_VALUE"""),"12PM-2PM")</f>
        <v>12PM-2PM</v>
      </c>
      <c r="J274" s="93">
        <f>IFERROR(__xludf.DUMMYFUNCTION("""COMPUTED_VALUE"""),3.0)</f>
        <v>3</v>
      </c>
      <c r="K274" s="93" t="str">
        <f>IFERROR(__xludf.DUMMYFUNCTION("""COMPUTED_VALUE"""),"Complete")</f>
        <v>Complete</v>
      </c>
      <c r="L274" s="93"/>
      <c r="M274" s="94">
        <f>IFERROR(__xludf.DUMMYFUNCTION("""COMPUTED_VALUE"""),46124.02741898148)</f>
        <v>46124.02742</v>
      </c>
      <c r="N274" s="93">
        <f>IFERROR(__xludf.DUMMYFUNCTION("""COMPUTED_VALUE"""),93.0)</f>
        <v>93</v>
      </c>
      <c r="O274" s="93"/>
      <c r="P274" s="93" t="str">
        <f>IFERROR(__xludf.DUMMYFUNCTION("""COMPUTED_VALUE"""),"Kit Delivery")</f>
        <v>Kit Delivery</v>
      </c>
      <c r="Q274" s="93"/>
      <c r="R274" s="93"/>
      <c r="S274" s="95">
        <f>IFERROR(__xludf.DUMMYFUNCTION("""COMPUTED_VALUE"""),46124.4096875)</f>
        <v>46124.40969</v>
      </c>
      <c r="T274" s="93"/>
      <c r="U274" s="93"/>
      <c r="V274" s="93"/>
      <c r="W274" s="93"/>
      <c r="X274" s="93"/>
      <c r="Y274" s="93"/>
      <c r="Z274" s="93"/>
    </row>
    <row r="275">
      <c r="A275" s="93" t="str">
        <f>IFERROR(__xludf.DUMMYFUNCTION("""COMPUTED_VALUE"""),"KIT-#17200")</f>
        <v>KIT-#17200</v>
      </c>
      <c r="B275" s="94">
        <f>IFERROR(__xludf.DUMMYFUNCTION("""COMPUTED_VALUE"""),46147.0)</f>
        <v>46147</v>
      </c>
      <c r="C275" s="93" t="str">
        <f>IFERROR(__xludf.DUMMYFUNCTION("""COMPUTED_VALUE"""),"Kit Delivery")</f>
        <v>Kit Delivery</v>
      </c>
      <c r="D275" s="93">
        <f>IFERROR(__xludf.DUMMYFUNCTION("""COMPUTED_VALUE"""),1.0)</f>
        <v>1</v>
      </c>
      <c r="E275" s="93" t="str">
        <f>IFERROR(__xludf.DUMMYFUNCTION("""COMPUTED_VALUE"""),"Dardick")</f>
        <v>Dardick</v>
      </c>
      <c r="F275" s="93" t="str">
        <f>IFERROR(__xludf.DUMMYFUNCTION("""COMPUTED_VALUE"""),"1109-a")</f>
        <v>1109-a</v>
      </c>
      <c r="G275" s="93" t="str">
        <f>IFERROR(__xludf.DUMMYFUNCTION("""COMPUTED_VALUE"""),"Blair Wagner")</f>
        <v>Blair Wagner</v>
      </c>
      <c r="H275" s="93">
        <f>IFERROR(__xludf.DUMMYFUNCTION("""COMPUTED_VALUE"""),6.786376847E9)</f>
        <v>6786376847</v>
      </c>
      <c r="I275" s="93" t="str">
        <f>IFERROR(__xludf.DUMMYFUNCTION("""COMPUTED_VALUE"""),"1PM-3PM")</f>
        <v>1PM-3PM</v>
      </c>
      <c r="J275" s="93">
        <f>IFERROR(__xludf.DUMMYFUNCTION("""COMPUTED_VALUE"""),1.0)</f>
        <v>1</v>
      </c>
      <c r="K275" s="93" t="str">
        <f>IFERROR(__xludf.DUMMYFUNCTION("""COMPUTED_VALUE"""),"Complete")</f>
        <v>Complete</v>
      </c>
      <c r="L275" s="93"/>
      <c r="M275" s="94">
        <f>IFERROR(__xludf.DUMMYFUNCTION("""COMPUTED_VALUE"""),46124.0309375)</f>
        <v>46124.03094</v>
      </c>
      <c r="N275" s="93">
        <f>IFERROR(__xludf.DUMMYFUNCTION("""COMPUTED_VALUE"""),90.0)</f>
        <v>90</v>
      </c>
      <c r="O275" s="93"/>
      <c r="P275" s="93" t="str">
        <f>IFERROR(__xludf.DUMMYFUNCTION("""COMPUTED_VALUE"""),"Kit Delivery")</f>
        <v>Kit Delivery</v>
      </c>
      <c r="Q275" s="93"/>
      <c r="R275" s="93"/>
      <c r="S275" s="95">
        <f>IFERROR(__xludf.DUMMYFUNCTION("""COMPUTED_VALUE"""),46124.4096875)</f>
        <v>46124.40969</v>
      </c>
      <c r="T275" s="93"/>
      <c r="U275" s="93"/>
      <c r="V275" s="93"/>
      <c r="W275" s="93"/>
      <c r="X275" s="93"/>
      <c r="Y275" s="93"/>
      <c r="Z275" s="93"/>
    </row>
    <row r="276">
      <c r="A276" s="93" t="str">
        <f>IFERROR(__xludf.DUMMYFUNCTION("""COMPUTED_VALUE"""),"KIT-#17224")</f>
        <v>KIT-#17224</v>
      </c>
      <c r="B276" s="94">
        <f>IFERROR(__xludf.DUMMYFUNCTION("""COMPUTED_VALUE"""),46147.0)</f>
        <v>46147</v>
      </c>
      <c r="C276" s="93" t="str">
        <f>IFERROR(__xludf.DUMMYFUNCTION("""COMPUTED_VALUE"""),"Kit Delivery")</f>
        <v>Kit Delivery</v>
      </c>
      <c r="D276" s="93">
        <f>IFERROR(__xludf.DUMMYFUNCTION("""COMPUTED_VALUE"""),1.0)</f>
        <v>1</v>
      </c>
      <c r="E276" s="93" t="str">
        <f>IFERROR(__xludf.DUMMYFUNCTION("""COMPUTED_VALUE"""),"Dardick")</f>
        <v>Dardick</v>
      </c>
      <c r="F276" s="93">
        <f>IFERROR(__xludf.DUMMYFUNCTION("""COMPUTED_VALUE"""),3305.0)</f>
        <v>3305</v>
      </c>
      <c r="G276" s="93" t="str">
        <f>IFERROR(__xludf.DUMMYFUNCTION("""COMPUTED_VALUE"""),"Lily Comander")</f>
        <v>Lily Comander</v>
      </c>
      <c r="H276" s="93">
        <f>IFERROR(__xludf.DUMMYFUNCTION("""COMPUTED_VALUE"""),1.6174547962E10)</f>
        <v>16174547962</v>
      </c>
      <c r="I276" s="93" t="str">
        <f>IFERROR(__xludf.DUMMYFUNCTION("""COMPUTED_VALUE"""),"1PM-3PM")</f>
        <v>1PM-3PM</v>
      </c>
      <c r="J276" s="93">
        <f>IFERROR(__xludf.DUMMYFUNCTION("""COMPUTED_VALUE"""),1.0)</f>
        <v>1</v>
      </c>
      <c r="K276" s="93" t="str">
        <f>IFERROR(__xludf.DUMMYFUNCTION("""COMPUTED_VALUE"""),"Complete")</f>
        <v>Complete</v>
      </c>
      <c r="L276" s="93"/>
      <c r="M276" s="94">
        <f>IFERROR(__xludf.DUMMYFUNCTION("""COMPUTED_VALUE"""),46124.033171296294)</f>
        <v>46124.03317</v>
      </c>
      <c r="N276" s="93">
        <f>IFERROR(__xludf.DUMMYFUNCTION("""COMPUTED_VALUE"""),97.0)</f>
        <v>97</v>
      </c>
      <c r="O276" s="93"/>
      <c r="P276" s="93" t="str">
        <f>IFERROR(__xludf.DUMMYFUNCTION("""COMPUTED_VALUE"""),"Kit Delivery")</f>
        <v>Kit Delivery</v>
      </c>
      <c r="Q276" s="93"/>
      <c r="R276" s="93"/>
      <c r="S276" s="95">
        <f>IFERROR(__xludf.DUMMYFUNCTION("""COMPUTED_VALUE"""),46124.4096875)</f>
        <v>46124.40969</v>
      </c>
      <c r="T276" s="93"/>
      <c r="U276" s="93"/>
      <c r="V276" s="93"/>
      <c r="W276" s="93"/>
      <c r="X276" s="93"/>
      <c r="Y276" s="93"/>
      <c r="Z276" s="93"/>
    </row>
    <row r="277">
      <c r="A277" s="93" t="str">
        <f>IFERROR(__xludf.DUMMYFUNCTION("""COMPUTED_VALUE"""),"KIT-#17318")</f>
        <v>KIT-#17318</v>
      </c>
      <c r="B277" s="94">
        <f>IFERROR(__xludf.DUMMYFUNCTION("""COMPUTED_VALUE"""),46147.0)</f>
        <v>46147</v>
      </c>
      <c r="C277" s="93" t="str">
        <f>IFERROR(__xludf.DUMMYFUNCTION("""COMPUTED_VALUE"""),"Kit Delivery")</f>
        <v>Kit Delivery</v>
      </c>
      <c r="D277" s="93">
        <f>IFERROR(__xludf.DUMMYFUNCTION("""COMPUTED_VALUE"""),1.0)</f>
        <v>1</v>
      </c>
      <c r="E277" s="93" t="str">
        <f>IFERROR(__xludf.DUMMYFUNCTION("""COMPUTED_VALUE"""),"Liggett")</f>
        <v>Liggett</v>
      </c>
      <c r="F277" s="93">
        <f>IFERROR(__xludf.DUMMYFUNCTION("""COMPUTED_VALUE"""),1181.0)</f>
        <v>1181</v>
      </c>
      <c r="G277" s="93" t="str">
        <f>IFERROR(__xludf.DUMMYFUNCTION("""COMPUTED_VALUE"""),"Amelia Prins")</f>
        <v>Amelia Prins</v>
      </c>
      <c r="H277" s="93">
        <f>IFERROR(__xludf.DUMMYFUNCTION("""COMPUTED_VALUE"""),5.034099798E9)</f>
        <v>5034099798</v>
      </c>
      <c r="I277" s="93" t="str">
        <f>IFERROR(__xludf.DUMMYFUNCTION("""COMPUTED_VALUE"""),"12PM-2PM")</f>
        <v>12PM-2PM</v>
      </c>
      <c r="J277" s="93">
        <f>IFERROR(__xludf.DUMMYFUNCTION("""COMPUTED_VALUE"""),1.0)</f>
        <v>1</v>
      </c>
      <c r="K277" s="93" t="str">
        <f>IFERROR(__xludf.DUMMYFUNCTION("""COMPUTED_VALUE"""),"Complete")</f>
        <v>Complete</v>
      </c>
      <c r="L277" s="93"/>
      <c r="M277" s="94">
        <f>IFERROR(__xludf.DUMMYFUNCTION("""COMPUTED_VALUE"""),46124.041134259256)</f>
        <v>46124.04113</v>
      </c>
      <c r="N277" s="93">
        <f>IFERROR(__xludf.DUMMYFUNCTION("""COMPUTED_VALUE"""),145.0)</f>
        <v>145</v>
      </c>
      <c r="O277" s="93"/>
      <c r="P277" s="93" t="str">
        <f>IFERROR(__xludf.DUMMYFUNCTION("""COMPUTED_VALUE"""),"Kit Delivery")</f>
        <v>Kit Delivery</v>
      </c>
      <c r="Q277" s="93"/>
      <c r="R277" s="93"/>
      <c r="S277" s="95">
        <f>IFERROR(__xludf.DUMMYFUNCTION("""COMPUTED_VALUE"""),46124.4096875)</f>
        <v>46124.40969</v>
      </c>
      <c r="T277" s="93"/>
      <c r="U277" s="93"/>
      <c r="V277" s="93"/>
      <c r="W277" s="93"/>
      <c r="X277" s="93"/>
      <c r="Y277" s="93"/>
      <c r="Z277" s="93"/>
    </row>
    <row r="278">
      <c r="A278" s="93" t="str">
        <f>IFERROR(__xludf.DUMMYFUNCTION("""COMPUTED_VALUE"""),"KIT-#16831")</f>
        <v>KIT-#16831</v>
      </c>
      <c r="B278" s="94">
        <f>IFERROR(__xludf.DUMMYFUNCTION("""COMPUTED_VALUE"""),46147.0)</f>
        <v>46147</v>
      </c>
      <c r="C278" s="93" t="str">
        <f>IFERROR(__xludf.DUMMYFUNCTION("""COMPUTED_VALUE"""),"Kit Delivery")</f>
        <v>Kit Delivery</v>
      </c>
      <c r="D278" s="93">
        <f>IFERROR(__xludf.DUMMYFUNCTION("""COMPUTED_VALUE"""),1.0)</f>
        <v>1</v>
      </c>
      <c r="E278" s="93" t="str">
        <f>IFERROR(__xludf.DUMMYFUNCTION("""COMPUTED_VALUE"""),"Koenig")</f>
        <v>Koenig</v>
      </c>
      <c r="F278" s="93">
        <f>IFERROR(__xludf.DUMMYFUNCTION("""COMPUTED_VALUE"""),3308.0)</f>
        <v>3308</v>
      </c>
      <c r="G278" s="93" t="str">
        <f>IFERROR(__xludf.DUMMYFUNCTION("""COMPUTED_VALUE"""),"Will Zhang")</f>
        <v>Will Zhang</v>
      </c>
      <c r="H278" s="93">
        <f>IFERROR(__xludf.DUMMYFUNCTION("""COMPUTED_VALUE"""),3.147064136E9)</f>
        <v>3147064136</v>
      </c>
      <c r="I278" s="93" t="str">
        <f>IFERROR(__xludf.DUMMYFUNCTION("""COMPUTED_VALUE"""),"1PM-3PM")</f>
        <v>1PM-3PM</v>
      </c>
      <c r="J278" s="93">
        <f>IFERROR(__xludf.DUMMYFUNCTION("""COMPUTED_VALUE"""),1.0)</f>
        <v>1</v>
      </c>
      <c r="K278" s="93" t="str">
        <f>IFERROR(__xludf.DUMMYFUNCTION("""COMPUTED_VALUE"""),"Complete")</f>
        <v>Complete</v>
      </c>
      <c r="L278" s="93"/>
      <c r="M278" s="94">
        <f>IFERROR(__xludf.DUMMYFUNCTION("""COMPUTED_VALUE"""),46124.04413194444)</f>
        <v>46124.04413</v>
      </c>
      <c r="N278" s="93">
        <f>IFERROR(__xludf.DUMMYFUNCTION("""COMPUTED_VALUE"""),140.0)</f>
        <v>140</v>
      </c>
      <c r="O278" s="93"/>
      <c r="P278" s="93" t="str">
        <f>IFERROR(__xludf.DUMMYFUNCTION("""COMPUTED_VALUE"""),"Kit Delivery")</f>
        <v>Kit Delivery</v>
      </c>
      <c r="Q278" s="93"/>
      <c r="R278" s="93"/>
      <c r="S278" s="95">
        <f>IFERROR(__xludf.DUMMYFUNCTION("""COMPUTED_VALUE"""),46124.4096875)</f>
        <v>46124.40969</v>
      </c>
      <c r="T278" s="93"/>
      <c r="U278" s="93"/>
      <c r="V278" s="93"/>
      <c r="W278" s="93"/>
      <c r="X278" s="93"/>
      <c r="Y278" s="93"/>
      <c r="Z278" s="93"/>
    </row>
    <row r="279">
      <c r="A279" s="93" t="str">
        <f>IFERROR(__xludf.DUMMYFUNCTION("""COMPUTED_VALUE"""),"KIT-#17320")</f>
        <v>KIT-#17320</v>
      </c>
      <c r="B279" s="94">
        <f>IFERROR(__xludf.DUMMYFUNCTION("""COMPUTED_VALUE"""),46147.0)</f>
        <v>46147</v>
      </c>
      <c r="C279" s="93" t="str">
        <f>IFERROR(__xludf.DUMMYFUNCTION("""COMPUTED_VALUE"""),"Kit Delivery")</f>
        <v>Kit Delivery</v>
      </c>
      <c r="D279" s="93">
        <f>IFERROR(__xludf.DUMMYFUNCTION("""COMPUTED_VALUE"""),1.0)</f>
        <v>1</v>
      </c>
      <c r="E279" s="93" t="str">
        <f>IFERROR(__xludf.DUMMYFUNCTION("""COMPUTED_VALUE"""),"Koenig")</f>
        <v>Koenig</v>
      </c>
      <c r="F279" s="93">
        <f>IFERROR(__xludf.DUMMYFUNCTION("""COMPUTED_VALUE"""),3312.0)</f>
        <v>3312</v>
      </c>
      <c r="G279" s="93" t="str">
        <f>IFERROR(__xludf.DUMMYFUNCTION("""COMPUTED_VALUE"""),"Connor Chuang")</f>
        <v>Connor Chuang</v>
      </c>
      <c r="H279" s="93">
        <f>IFERROR(__xludf.DUMMYFUNCTION("""COMPUTED_VALUE"""),9.196007031E9)</f>
        <v>9196007031</v>
      </c>
      <c r="I279" s="93" t="str">
        <f>IFERROR(__xludf.DUMMYFUNCTION("""COMPUTED_VALUE"""),"1PM-3PM")</f>
        <v>1PM-3PM</v>
      </c>
      <c r="J279" s="93">
        <f>IFERROR(__xludf.DUMMYFUNCTION("""COMPUTED_VALUE"""),1.0)</f>
        <v>1</v>
      </c>
      <c r="K279" s="93" t="str">
        <f>IFERROR(__xludf.DUMMYFUNCTION("""COMPUTED_VALUE"""),"Complete")</f>
        <v>Complete</v>
      </c>
      <c r="L279" s="93"/>
      <c r="M279" s="94">
        <f>IFERROR(__xludf.DUMMYFUNCTION("""COMPUTED_VALUE"""),46124.04450231481)</f>
        <v>46124.0445</v>
      </c>
      <c r="N279" s="93">
        <f>IFERROR(__xludf.DUMMYFUNCTION("""COMPUTED_VALUE"""),142.0)</f>
        <v>142</v>
      </c>
      <c r="O279" s="93"/>
      <c r="P279" s="93" t="str">
        <f>IFERROR(__xludf.DUMMYFUNCTION("""COMPUTED_VALUE"""),"Kit Delivery")</f>
        <v>Kit Delivery</v>
      </c>
      <c r="Q279" s="93"/>
      <c r="R279" s="93"/>
      <c r="S279" s="95">
        <f>IFERROR(__xludf.DUMMYFUNCTION("""COMPUTED_VALUE"""),46124.4096875)</f>
        <v>46124.40969</v>
      </c>
      <c r="T279" s="93"/>
      <c r="U279" s="93"/>
      <c r="V279" s="93"/>
      <c r="W279" s="93"/>
      <c r="X279" s="93"/>
      <c r="Y279" s="93"/>
      <c r="Z279" s="93"/>
    </row>
    <row r="280">
      <c r="A280" s="93" t="str">
        <f>IFERROR(__xludf.DUMMYFUNCTION("""COMPUTED_VALUE"""),"KIT-#16827")</f>
        <v>KIT-#16827</v>
      </c>
      <c r="B280" s="94">
        <f>IFERROR(__xludf.DUMMYFUNCTION("""COMPUTED_VALUE"""),46147.0)</f>
        <v>46147</v>
      </c>
      <c r="C280" s="93" t="str">
        <f>IFERROR(__xludf.DUMMYFUNCTION("""COMPUTED_VALUE"""),"Kit Delivery")</f>
        <v>Kit Delivery</v>
      </c>
      <c r="D280" s="93">
        <f>IFERROR(__xludf.DUMMYFUNCTION("""COMPUTED_VALUE"""),1.0)</f>
        <v>1</v>
      </c>
      <c r="E280" s="93" t="str">
        <f>IFERROR(__xludf.DUMMYFUNCTION("""COMPUTED_VALUE"""),"Koenig")</f>
        <v>Koenig</v>
      </c>
      <c r="F280" s="93">
        <f>IFERROR(__xludf.DUMMYFUNCTION("""COMPUTED_VALUE"""),3208.0)</f>
        <v>3208</v>
      </c>
      <c r="G280" s="93" t="str">
        <f>IFERROR(__xludf.DUMMYFUNCTION("""COMPUTED_VALUE"""),"Will Zhang")</f>
        <v>Will Zhang</v>
      </c>
      <c r="H280" s="93">
        <f>IFERROR(__xludf.DUMMYFUNCTION("""COMPUTED_VALUE"""),3.147064136E9)</f>
        <v>3147064136</v>
      </c>
      <c r="I280" s="93" t="str">
        <f>IFERROR(__xludf.DUMMYFUNCTION("""COMPUTED_VALUE"""),"2PM-4PM")</f>
        <v>2PM-4PM</v>
      </c>
      <c r="J280" s="93">
        <f>IFERROR(__xludf.DUMMYFUNCTION("""COMPUTED_VALUE"""),1.0)</f>
        <v>1</v>
      </c>
      <c r="K280" s="93" t="str">
        <f>IFERROR(__xludf.DUMMYFUNCTION("""COMPUTED_VALUE"""),"Complete")</f>
        <v>Complete</v>
      </c>
      <c r="L280" s="93" t="str">
        <f>IFERROR(__xludf.DUMMYFUNCTION("""COMPUTED_VALUE"""),"Correct room is Koenig - 3308")</f>
        <v>Correct room is Koenig - 3308</v>
      </c>
      <c r="M280" s="94">
        <f>IFERROR(__xludf.DUMMYFUNCTION("""COMPUTED_VALUE"""),46124.04481481481)</f>
        <v>46124.04481</v>
      </c>
      <c r="N280" s="93">
        <f>IFERROR(__xludf.DUMMYFUNCTION("""COMPUTED_VALUE"""),138.0)</f>
        <v>138</v>
      </c>
      <c r="O280" s="93"/>
      <c r="P280" s="93" t="str">
        <f>IFERROR(__xludf.DUMMYFUNCTION("""COMPUTED_VALUE"""),"Kit Delivery")</f>
        <v>Kit Delivery</v>
      </c>
      <c r="Q280" s="93"/>
      <c r="R280" s="93"/>
      <c r="S280" s="95">
        <f>IFERROR(__xludf.DUMMYFUNCTION("""COMPUTED_VALUE"""),46124.4096875)</f>
        <v>46124.40969</v>
      </c>
      <c r="T280" s="93"/>
      <c r="U280" s="93"/>
      <c r="V280" s="93"/>
      <c r="W280" s="93"/>
      <c r="X280" s="93"/>
      <c r="Y280" s="93"/>
      <c r="Z280" s="93"/>
    </row>
    <row r="281">
      <c r="A281" s="93" t="str">
        <f>IFERROR(__xludf.DUMMYFUNCTION("""COMPUTED_VALUE"""),"KIT-#17151")</f>
        <v>KIT-#17151</v>
      </c>
      <c r="B281" s="94">
        <f>IFERROR(__xludf.DUMMYFUNCTION("""COMPUTED_VALUE"""),46147.0)</f>
        <v>46147</v>
      </c>
      <c r="C281" s="93" t="str">
        <f>IFERROR(__xludf.DUMMYFUNCTION("""COMPUTED_VALUE"""),"Kit Delivery")</f>
        <v>Kit Delivery</v>
      </c>
      <c r="D281" s="93">
        <f>IFERROR(__xludf.DUMMYFUNCTION("""COMPUTED_VALUE"""),2.0)</f>
        <v>2</v>
      </c>
      <c r="E281" s="93" t="str">
        <f>IFERROR(__xludf.DUMMYFUNCTION("""COMPUTED_VALUE"""),"Umrath")</f>
        <v>Umrath</v>
      </c>
      <c r="F281" s="93">
        <f>IFERROR(__xludf.DUMMYFUNCTION("""COMPUTED_VALUE"""),2221.0)</f>
        <v>2221</v>
      </c>
      <c r="G281" s="93" t="str">
        <f>IFERROR(__xludf.DUMMYFUNCTION("""COMPUTED_VALUE"""),"Emerson Lilly")</f>
        <v>Emerson Lilly</v>
      </c>
      <c r="H281" s="93">
        <f>IFERROR(__xludf.DUMMYFUNCTION("""COMPUTED_VALUE"""),2.038879903E9)</f>
        <v>2038879903</v>
      </c>
      <c r="I281" s="93" t="str">
        <f>IFERROR(__xludf.DUMMYFUNCTION("""COMPUTED_VALUE"""),"3PM-5PM")</f>
        <v>3PM-5PM</v>
      </c>
      <c r="J281" s="93">
        <f>IFERROR(__xludf.DUMMYFUNCTION("""COMPUTED_VALUE"""),1.0)</f>
        <v>1</v>
      </c>
      <c r="K281" s="93" t="str">
        <f>IFERROR(__xludf.DUMMYFUNCTION("""COMPUTED_VALUE"""),"Complete")</f>
        <v>Complete</v>
      </c>
      <c r="L281" s="93"/>
      <c r="M281" s="94">
        <f>IFERROR(__xludf.DUMMYFUNCTION("""COMPUTED_VALUE"""),46129.88097222222)</f>
        <v>46129.88097</v>
      </c>
      <c r="N281" s="93">
        <f>IFERROR(__xludf.DUMMYFUNCTION("""COMPUTED_VALUE"""),157.0)</f>
        <v>157</v>
      </c>
      <c r="O281" s="93" t="str">
        <f>IFERROR(__xludf.DUMMYFUNCTION("""COMPUTED_VALUE"""),"125 Hitchcock Court, Cheshire, CT 06410")</f>
        <v>125 Hitchcock Court, Cheshire, CT 06410</v>
      </c>
      <c r="P281" s="93" t="str">
        <f>IFERROR(__xludf.DUMMYFUNCTION("""COMPUTED_VALUE"""),"Kit Delivery")</f>
        <v>Kit Delivery</v>
      </c>
      <c r="Q281" s="93"/>
      <c r="R281" s="93"/>
      <c r="S281" s="93" t="str">
        <f>IFERROR(__xludf.DUMMYFUNCTION("""COMPUTED_VALUE"""),"Dispatch_Images/KIT--17151.Photos.020832.jpg")</f>
        <v>Dispatch_Images/KIT--17151.Photos.020832.jpg</v>
      </c>
      <c r="T281" s="95">
        <f>IFERROR(__xludf.DUMMYFUNCTION("""COMPUTED_VALUE"""),46129.884050925924)</f>
        <v>46129.88405</v>
      </c>
      <c r="U281" s="93"/>
      <c r="V281" s="93"/>
      <c r="W281" s="93"/>
      <c r="X281" s="93"/>
      <c r="Y281" s="93"/>
      <c r="Z281" s="93"/>
    </row>
    <row r="282">
      <c r="A282" s="93" t="str">
        <f>IFERROR(__xludf.DUMMYFUNCTION("""COMPUTED_VALUE"""),"KIT-#17430")</f>
        <v>KIT-#17430</v>
      </c>
      <c r="B282" s="94">
        <f>IFERROR(__xludf.DUMMYFUNCTION("""COMPUTED_VALUE"""),46147.0)</f>
        <v>46147</v>
      </c>
      <c r="C282" s="93" t="str">
        <f>IFERROR(__xludf.DUMMYFUNCTION("""COMPUTED_VALUE"""),"Kit Delivery")</f>
        <v>Kit Delivery</v>
      </c>
      <c r="D282" s="93">
        <f>IFERROR(__xludf.DUMMYFUNCTION("""COMPUTED_VALUE"""),2.0)</f>
        <v>2</v>
      </c>
      <c r="E282" s="93" t="str">
        <f>IFERROR(__xludf.DUMMYFUNCTION("""COMPUTED_VALUE"""),"Umrath")</f>
        <v>Umrath</v>
      </c>
      <c r="F282" s="93">
        <f>IFERROR(__xludf.DUMMYFUNCTION("""COMPUTED_VALUE"""),4420.0)</f>
        <v>4420</v>
      </c>
      <c r="G282" s="93" t="str">
        <f>IFERROR(__xludf.DUMMYFUNCTION("""COMPUTED_VALUE"""),"Maya Graña")</f>
        <v>Maya Graña</v>
      </c>
      <c r="H282" s="93">
        <f>IFERROR(__xludf.DUMMYFUNCTION("""COMPUTED_VALUE"""),7.812666995E9)</f>
        <v>7812666995</v>
      </c>
      <c r="I282" s="93" t="str">
        <f>IFERROR(__xludf.DUMMYFUNCTION("""COMPUTED_VALUE"""),"3PM-5PM")</f>
        <v>3PM-5PM</v>
      </c>
      <c r="J282" s="93">
        <f>IFERROR(__xludf.DUMMYFUNCTION("""COMPUTED_VALUE"""),3.0)</f>
        <v>3</v>
      </c>
      <c r="K282" s="93" t="str">
        <f>IFERROR(__xludf.DUMMYFUNCTION("""COMPUTED_VALUE"""),"Complete")</f>
        <v>Complete</v>
      </c>
      <c r="L282" s="93"/>
      <c r="M282" s="94">
        <f>IFERROR(__xludf.DUMMYFUNCTION("""COMPUTED_VALUE"""),46129.88207175926)</f>
        <v>46129.88207</v>
      </c>
      <c r="N282" s="93">
        <f>IFERROR(__xludf.DUMMYFUNCTION("""COMPUTED_VALUE"""),175.0)</f>
        <v>175</v>
      </c>
      <c r="O282" s="93"/>
      <c r="P282" s="93" t="str">
        <f>IFERROR(__xludf.DUMMYFUNCTION("""COMPUTED_VALUE"""),"Kit Delivery")</f>
        <v>Kit Delivery</v>
      </c>
      <c r="Q282" s="93"/>
      <c r="R282" s="93"/>
      <c r="S282" s="93" t="str">
        <f>IFERROR(__xludf.DUMMYFUNCTION("""COMPUTED_VALUE"""),"Dispatch_Images/KIT--17430.Photos.021008.jpg")</f>
        <v>Dispatch_Images/KIT--17430.Photos.021008.jpg</v>
      </c>
      <c r="T282" s="95">
        <f>IFERROR(__xludf.DUMMYFUNCTION("""COMPUTED_VALUE"""),46129.884050925924)</f>
        <v>46129.88405</v>
      </c>
      <c r="U282" s="93"/>
      <c r="V282" s="93"/>
      <c r="W282" s="93"/>
      <c r="X282" s="93"/>
      <c r="Y282" s="93"/>
      <c r="Z282" s="93"/>
    </row>
    <row r="283">
      <c r="A283" s="93" t="str">
        <f>IFERROR(__xludf.DUMMYFUNCTION("""COMPUTED_VALUE"""),"KIT-#17420")</f>
        <v>KIT-#17420</v>
      </c>
      <c r="B283" s="94">
        <f>IFERROR(__xludf.DUMMYFUNCTION("""COMPUTED_VALUE"""),46147.0)</f>
        <v>46147</v>
      </c>
      <c r="C283" s="93" t="str">
        <f>IFERROR(__xludf.DUMMYFUNCTION("""COMPUTED_VALUE"""),"Kit Delivery")</f>
        <v>Kit Delivery</v>
      </c>
      <c r="D283" s="93">
        <f>IFERROR(__xludf.DUMMYFUNCTION("""COMPUTED_VALUE"""),2.0)</f>
        <v>2</v>
      </c>
      <c r="E283" s="93" t="str">
        <f>IFERROR(__xludf.DUMMYFUNCTION("""COMPUTED_VALUE"""),"Danforth")</f>
        <v>Danforth</v>
      </c>
      <c r="F283" s="93">
        <f>IFERROR(__xludf.DUMMYFUNCTION("""COMPUTED_VALUE"""),2206.0)</f>
        <v>2206</v>
      </c>
      <c r="G283" s="93" t="str">
        <f>IFERROR(__xludf.DUMMYFUNCTION("""COMPUTED_VALUE"""),"Michael Orciuoli")</f>
        <v>Michael Orciuoli</v>
      </c>
      <c r="H283" s="93">
        <f>IFERROR(__xludf.DUMMYFUNCTION("""COMPUTED_VALUE"""),6.507887852E9)</f>
        <v>6507887852</v>
      </c>
      <c r="I283" s="93" t="str">
        <f>IFERROR(__xludf.DUMMYFUNCTION("""COMPUTED_VALUE"""),"1PM-3PM")</f>
        <v>1PM-3PM</v>
      </c>
      <c r="J283" s="93">
        <f>IFERROR(__xludf.DUMMYFUNCTION("""COMPUTED_VALUE"""),1.0)</f>
        <v>1</v>
      </c>
      <c r="K283" s="93" t="str">
        <f>IFERROR(__xludf.DUMMYFUNCTION("""COMPUTED_VALUE"""),"Complete")</f>
        <v>Complete</v>
      </c>
      <c r="L283" s="93"/>
      <c r="M283" s="94">
        <f>IFERROR(__xludf.DUMMYFUNCTION("""COMPUTED_VALUE"""),46129.90923611111)</f>
        <v>46129.90924</v>
      </c>
      <c r="N283" s="93">
        <f>IFERROR(__xludf.DUMMYFUNCTION("""COMPUTED_VALUE"""),36.0)</f>
        <v>36</v>
      </c>
      <c r="O283" s="93"/>
      <c r="P283" s="93" t="str">
        <f>IFERROR(__xludf.DUMMYFUNCTION("""COMPUTED_VALUE"""),"Kit Delivery")</f>
        <v>Kit Delivery</v>
      </c>
      <c r="Q283" s="93"/>
      <c r="R283" s="93"/>
      <c r="S283" s="93" t="str">
        <f>IFERROR(__xludf.DUMMYFUNCTION("""COMPUTED_VALUE"""),"Dispatch_Images/KIT--17420.Photos.024915.jpg")</f>
        <v>Dispatch_Images/KIT--17420.Photos.024915.jpg</v>
      </c>
      <c r="T283" s="95">
        <f>IFERROR(__xludf.DUMMYFUNCTION("""COMPUTED_VALUE"""),46129.911840277775)</f>
        <v>46129.91184</v>
      </c>
      <c r="U283" s="93"/>
      <c r="V283" s="93"/>
      <c r="W283" s="93"/>
      <c r="X283" s="93"/>
      <c r="Y283" s="93"/>
      <c r="Z283" s="93"/>
    </row>
    <row r="284">
      <c r="A284" s="93" t="str">
        <f>IFERROR(__xludf.DUMMYFUNCTION("""COMPUTED_VALUE"""),"KIT-#17069")</f>
        <v>KIT-#17069</v>
      </c>
      <c r="B284" s="94">
        <f>IFERROR(__xludf.DUMMYFUNCTION("""COMPUTED_VALUE"""),46147.0)</f>
        <v>46147</v>
      </c>
      <c r="C284" s="93" t="str">
        <f>IFERROR(__xludf.DUMMYFUNCTION("""COMPUTED_VALUE"""),"Kit Delivery")</f>
        <v>Kit Delivery</v>
      </c>
      <c r="D284" s="93">
        <f>IFERROR(__xludf.DUMMYFUNCTION("""COMPUTED_VALUE"""),1.0)</f>
        <v>1</v>
      </c>
      <c r="E284" s="93" t="str">
        <f>IFERROR(__xludf.DUMMYFUNCTION("""COMPUTED_VALUE"""),"Greenway Apartments")</f>
        <v>Greenway Apartments</v>
      </c>
      <c r="F284" s="93" t="str">
        <f>IFERROR(__xludf.DUMMYFUNCTION("""COMPUTED_VALUE"""),"202-C")</f>
        <v>202-C</v>
      </c>
      <c r="G284" s="93" t="str">
        <f>IFERROR(__xludf.DUMMYFUNCTION("""COMPUTED_VALUE"""),"Ryan Berkowitz")</f>
        <v>Ryan Berkowitz</v>
      </c>
      <c r="H284" s="93" t="str">
        <f>IFERROR(__xludf.DUMMYFUNCTION("""COMPUTED_VALUE"""),"(917) 921-9329")</f>
        <v>(917) 921-9329</v>
      </c>
      <c r="I284" s="93" t="str">
        <f>IFERROR(__xludf.DUMMYFUNCTION("""COMPUTED_VALUE"""),"9AM-11AM")</f>
        <v>9AM-11AM</v>
      </c>
      <c r="J284" s="93">
        <f>IFERROR(__xludf.DUMMYFUNCTION("""COMPUTED_VALUE"""),1.0)</f>
        <v>1</v>
      </c>
      <c r="K284" s="93" t="str">
        <f>IFERROR(__xludf.DUMMYFUNCTION("""COMPUTED_VALUE"""),"Complete")</f>
        <v>Complete</v>
      </c>
      <c r="L284" s="93"/>
      <c r="M284" s="94">
        <f>IFERROR(__xludf.DUMMYFUNCTION("""COMPUTED_VALUE"""),46130.36827546296)</f>
        <v>46130.36828</v>
      </c>
      <c r="N284" s="93">
        <f>IFERROR(__xludf.DUMMYFUNCTION("""COMPUTED_VALUE"""),326.0)</f>
        <v>326</v>
      </c>
      <c r="O284" s="93"/>
      <c r="P284" s="93" t="str">
        <f>IFERROR(__xludf.DUMMYFUNCTION("""COMPUTED_VALUE"""),"Kit Delivery")</f>
        <v>Kit Delivery</v>
      </c>
      <c r="Q284" s="93"/>
      <c r="R284" s="93"/>
      <c r="S284" s="93" t="str">
        <f>IFERROR(__xludf.DUMMYFUNCTION("""COMPUTED_VALUE"""),"Dispatch_Images/KIT--17069.Photos.135015.jpg")</f>
        <v>Dispatch_Images/KIT--17069.Photos.135015.jpg</v>
      </c>
      <c r="T284" s="95">
        <f>IFERROR(__xludf.DUMMYFUNCTION("""COMPUTED_VALUE"""),46130.37017361111)</f>
        <v>46130.37017</v>
      </c>
      <c r="U284" s="93"/>
      <c r="V284" s="93"/>
      <c r="W284" s="93"/>
      <c r="X284" s="93"/>
      <c r="Y284" s="93"/>
      <c r="Z284" s="93"/>
    </row>
    <row r="285">
      <c r="A285" s="93" t="str">
        <f>IFERROR(__xludf.DUMMYFUNCTION("""COMPUTED_VALUE"""),"KIT-#17540")</f>
        <v>KIT-#17540</v>
      </c>
      <c r="B285" s="94">
        <f>IFERROR(__xludf.DUMMYFUNCTION("""COMPUTED_VALUE"""),46147.0)</f>
        <v>46147</v>
      </c>
      <c r="C285" s="93" t="str">
        <f>IFERROR(__xludf.DUMMYFUNCTION("""COMPUTED_VALUE"""),"Kit Delivery")</f>
        <v>Kit Delivery</v>
      </c>
      <c r="D285" s="93">
        <f>IFERROR(__xludf.DUMMYFUNCTION("""COMPUTED_VALUE"""),3.0)</f>
        <v>3</v>
      </c>
      <c r="E285" s="93" t="str">
        <f>IFERROR(__xludf.DUMMYFUNCTION("""COMPUTED_VALUE"""),"Koenig")</f>
        <v>Koenig</v>
      </c>
      <c r="F285" s="93">
        <f>IFERROR(__xludf.DUMMYFUNCTION("""COMPUTED_VALUE"""),3313.0)</f>
        <v>3313</v>
      </c>
      <c r="G285" s="93" t="str">
        <f>IFERROR(__xludf.DUMMYFUNCTION("""COMPUTED_VALUE"""),"Jiayang Xu")</f>
        <v>Jiayang Xu</v>
      </c>
      <c r="H285" s="93">
        <f>IFERROR(__xludf.DUMMYFUNCTION("""COMPUTED_VALUE"""),3.146578516E9)</f>
        <v>3146578516</v>
      </c>
      <c r="I285" s="93" t="str">
        <f>IFERROR(__xludf.DUMMYFUNCTION("""COMPUTED_VALUE"""),"10AM-12PM")</f>
        <v>10AM-12PM</v>
      </c>
      <c r="J285" s="93">
        <f>IFERROR(__xludf.DUMMYFUNCTION("""COMPUTED_VALUE"""),1.0)</f>
        <v>1</v>
      </c>
      <c r="K285" s="93" t="str">
        <f>IFERROR(__xludf.DUMMYFUNCTION("""COMPUTED_VALUE"""),"Complete")</f>
        <v>Complete</v>
      </c>
      <c r="L285" s="93"/>
      <c r="M285" s="94">
        <f>IFERROR(__xludf.DUMMYFUNCTION("""COMPUTED_VALUE"""),46130.43649305556)</f>
        <v>46130.43649</v>
      </c>
      <c r="N285" s="93">
        <f>IFERROR(__xludf.DUMMYFUNCTION("""COMPUTED_VALUE"""),206.0)</f>
        <v>206</v>
      </c>
      <c r="O285" s="93"/>
      <c r="P285" s="93" t="str">
        <f>IFERROR(__xludf.DUMMYFUNCTION("""COMPUTED_VALUE"""),"Kit Delivery")</f>
        <v>Kit Delivery</v>
      </c>
      <c r="Q285" s="93"/>
      <c r="R285" s="93"/>
      <c r="S285" s="93" t="str">
        <f>IFERROR(__xludf.DUMMYFUNCTION("""COMPUTED_VALUE"""),"Dispatch_Images/KIT--17540.Photos.152830.jpg")</f>
        <v>Dispatch_Images/KIT--17540.Photos.152830.jpg</v>
      </c>
      <c r="T285" s="95">
        <f>IFERROR(__xludf.DUMMYFUNCTION("""COMPUTED_VALUE"""),46130.43962962963)</f>
        <v>46130.43963</v>
      </c>
      <c r="U285" s="93"/>
      <c r="V285" s="93"/>
      <c r="W285" s="93"/>
      <c r="X285" s="93"/>
      <c r="Y285" s="93"/>
      <c r="Z285" s="93"/>
    </row>
    <row r="286">
      <c r="A286" s="93" t="str">
        <f>IFERROR(__xludf.DUMMYFUNCTION("""COMPUTED_VALUE"""),"KIT-#17504")</f>
        <v>KIT-#17504</v>
      </c>
      <c r="B286" s="94">
        <f>IFERROR(__xludf.DUMMYFUNCTION("""COMPUTED_VALUE"""),46147.0)</f>
        <v>46147</v>
      </c>
      <c r="C286" s="93" t="str">
        <f>IFERROR(__xludf.DUMMYFUNCTION("""COMPUTED_VALUE"""),"Kit Delivery")</f>
        <v>Kit Delivery</v>
      </c>
      <c r="D286" s="93">
        <f>IFERROR(__xludf.DUMMYFUNCTION("""COMPUTED_VALUE"""),3.0)</f>
        <v>3</v>
      </c>
      <c r="E286" s="93" t="str">
        <f>IFERROR(__xludf.DUMMYFUNCTION("""COMPUTED_VALUE"""),"Koenig")</f>
        <v>Koenig</v>
      </c>
      <c r="F286" s="93">
        <f>IFERROR(__xludf.DUMMYFUNCTION("""COMPUTED_VALUE"""),2206.0)</f>
        <v>2206</v>
      </c>
      <c r="G286" s="93" t="str">
        <f>IFERROR(__xludf.DUMMYFUNCTION("""COMPUTED_VALUE"""),"Julia Sobel")</f>
        <v>Julia Sobel</v>
      </c>
      <c r="H286" s="93">
        <f>IFERROR(__xludf.DUMMYFUNCTION("""COMPUTED_VALUE"""),9.176892557E9)</f>
        <v>9176892557</v>
      </c>
      <c r="I286" s="93" t="str">
        <f>IFERROR(__xludf.DUMMYFUNCTION("""COMPUTED_VALUE"""),"3PM-5PM")</f>
        <v>3PM-5PM</v>
      </c>
      <c r="J286" s="93">
        <f>IFERROR(__xludf.DUMMYFUNCTION("""COMPUTED_VALUE"""),1.0)</f>
        <v>1</v>
      </c>
      <c r="K286" s="93" t="str">
        <f>IFERROR(__xludf.DUMMYFUNCTION("""COMPUTED_VALUE"""),"Complete")</f>
        <v>Complete</v>
      </c>
      <c r="L286" s="93"/>
      <c r="M286" s="94">
        <f>IFERROR(__xludf.DUMMYFUNCTION("""COMPUTED_VALUE"""),46130.44734953703)</f>
        <v>46130.44735</v>
      </c>
      <c r="N286" s="93">
        <f>IFERROR(__xludf.DUMMYFUNCTION("""COMPUTED_VALUE"""),201.0)</f>
        <v>201</v>
      </c>
      <c r="O286" s="93"/>
      <c r="P286" s="93" t="str">
        <f>IFERROR(__xludf.DUMMYFUNCTION("""COMPUTED_VALUE"""),"Kit Delivery")</f>
        <v>Kit Delivery</v>
      </c>
      <c r="Q286" s="93"/>
      <c r="R286" s="93"/>
      <c r="S286" s="93" t="str">
        <f>IFERROR(__xludf.DUMMYFUNCTION("""COMPUTED_VALUE"""),"Dispatch_Images/KIT--17504.Photos.154408.jpg")</f>
        <v>Dispatch_Images/KIT--17504.Photos.154408.jpg</v>
      </c>
      <c r="T286" s="95">
        <f>IFERROR(__xludf.DUMMYFUNCTION("""COMPUTED_VALUE"""),46130.45349537037)</f>
        <v>46130.4535</v>
      </c>
      <c r="U286" s="93"/>
      <c r="V286" s="93"/>
      <c r="W286" s="93"/>
      <c r="X286" s="93"/>
      <c r="Y286" s="93"/>
      <c r="Z286" s="93"/>
    </row>
    <row r="287">
      <c r="A287" s="93" t="str">
        <f>IFERROR(__xludf.DUMMYFUNCTION("""COMPUTED_VALUE"""),"KIT-#17534")</f>
        <v>KIT-#17534</v>
      </c>
      <c r="B287" s="94">
        <f>IFERROR(__xludf.DUMMYFUNCTION("""COMPUTED_VALUE"""),46147.0)</f>
        <v>46147</v>
      </c>
      <c r="C287" s="93" t="str">
        <f>IFERROR(__xludf.DUMMYFUNCTION("""COMPUTED_VALUE"""),"Kit Delivery")</f>
        <v>Kit Delivery</v>
      </c>
      <c r="D287" s="93">
        <f>IFERROR(__xludf.DUMMYFUNCTION("""COMPUTED_VALUE"""),3.0)</f>
        <v>3</v>
      </c>
      <c r="E287" s="93" t="str">
        <f>IFERROR(__xludf.DUMMYFUNCTION("""COMPUTED_VALUE"""),"Village East")</f>
        <v>Village East</v>
      </c>
      <c r="F287" s="93">
        <f>IFERROR(__xludf.DUMMYFUNCTION("""COMPUTED_VALUE"""),2094.0)</f>
        <v>2094</v>
      </c>
      <c r="G287" s="93" t="str">
        <f>IFERROR(__xludf.DUMMYFUNCTION("""COMPUTED_VALUE"""),"Arushi Gupta")</f>
        <v>Arushi Gupta</v>
      </c>
      <c r="H287" s="93">
        <f>IFERROR(__xludf.DUMMYFUNCTION("""COMPUTED_VALUE"""),9.082108801E9)</f>
        <v>9082108801</v>
      </c>
      <c r="I287" s="93" t="str">
        <f>IFERROR(__xludf.DUMMYFUNCTION("""COMPUTED_VALUE"""),"9AM-11AM")</f>
        <v>9AM-11AM</v>
      </c>
      <c r="J287" s="93">
        <f>IFERROR(__xludf.DUMMYFUNCTION("""COMPUTED_VALUE"""),1.0)</f>
        <v>1</v>
      </c>
      <c r="K287" s="93" t="str">
        <f>IFERROR(__xludf.DUMMYFUNCTION("""COMPUTED_VALUE"""),"Complete")</f>
        <v>Complete</v>
      </c>
      <c r="L287" s="93"/>
      <c r="M287" s="94">
        <f>IFERROR(__xludf.DUMMYFUNCTION("""COMPUTED_VALUE"""),46130.48689814815)</f>
        <v>46130.4869</v>
      </c>
      <c r="N287" s="93">
        <f>IFERROR(__xludf.DUMMYFUNCTION("""COMPUTED_VALUE"""),270.0)</f>
        <v>270</v>
      </c>
      <c r="O287" s="93"/>
      <c r="P287" s="93" t="str">
        <f>IFERROR(__xludf.DUMMYFUNCTION("""COMPUTED_VALUE"""),"Kit Delivery")</f>
        <v>Kit Delivery</v>
      </c>
      <c r="Q287" s="93"/>
      <c r="R287" s="93"/>
      <c r="S287" s="93" t="str">
        <f>IFERROR(__xludf.DUMMYFUNCTION("""COMPUTED_VALUE"""),"Dispatch_Images/KIT--17534.Photos.164105.jpg")</f>
        <v>Dispatch_Images/KIT--17534.Photos.164105.jpg</v>
      </c>
      <c r="T287" s="95">
        <f>IFERROR(__xludf.DUMMYFUNCTION("""COMPUTED_VALUE"""),46130.488229166665)</f>
        <v>46130.48823</v>
      </c>
      <c r="U287" s="93"/>
      <c r="V287" s="93"/>
      <c r="W287" s="93"/>
      <c r="X287" s="93"/>
      <c r="Y287" s="93"/>
      <c r="Z287" s="93"/>
    </row>
    <row r="288">
      <c r="A288" s="93" t="str">
        <f>IFERROR(__xludf.DUMMYFUNCTION("""COMPUTED_VALUE"""),"KIT-#17598")</f>
        <v>KIT-#17598</v>
      </c>
      <c r="B288" s="94">
        <f>IFERROR(__xludf.DUMMYFUNCTION("""COMPUTED_VALUE"""),46147.0)</f>
        <v>46147</v>
      </c>
      <c r="C288" s="93" t="str">
        <f>IFERROR(__xludf.DUMMYFUNCTION("""COMPUTED_VALUE"""),"Kit Delivery")</f>
        <v>Kit Delivery</v>
      </c>
      <c r="D288" s="93">
        <f>IFERROR(__xludf.DUMMYFUNCTION("""COMPUTED_VALUE"""),2.0)</f>
        <v>2</v>
      </c>
      <c r="E288" s="93" t="str">
        <f>IFERROR(__xludf.DUMMYFUNCTION("""COMPUTED_VALUE"""),"Park")</f>
        <v>Park</v>
      </c>
      <c r="F288" s="93">
        <f>IFERROR(__xludf.DUMMYFUNCTION("""COMPUTED_VALUE"""),431.0)</f>
        <v>431</v>
      </c>
      <c r="G288" s="93" t="str">
        <f>IFERROR(__xludf.DUMMYFUNCTION("""COMPUTED_VALUE"""),"Talen Frett")</f>
        <v>Talen Frett</v>
      </c>
      <c r="H288" s="93">
        <f>IFERROR(__xludf.DUMMYFUNCTION("""COMPUTED_VALUE"""),6.787906381E9)</f>
        <v>6787906381</v>
      </c>
      <c r="I288" s="93" t="str">
        <f>IFERROR(__xludf.DUMMYFUNCTION("""COMPUTED_VALUE"""),"3PM-5PM")</f>
        <v>3PM-5PM</v>
      </c>
      <c r="J288" s="93">
        <f>IFERROR(__xludf.DUMMYFUNCTION("""COMPUTED_VALUE"""),1.0)</f>
        <v>1</v>
      </c>
      <c r="K288" s="93" t="str">
        <f>IFERROR(__xludf.DUMMYFUNCTION("""COMPUTED_VALUE"""),"Complete")</f>
        <v>Complete</v>
      </c>
      <c r="L288" s="93"/>
      <c r="M288" s="94">
        <f>IFERROR(__xludf.DUMMYFUNCTION("""COMPUTED_VALUE"""),46134.705914351856)</f>
        <v>46134.70591</v>
      </c>
      <c r="N288" s="93">
        <f>IFERROR(__xludf.DUMMYFUNCTION("""COMPUTED_VALUE"""),79.0)</f>
        <v>79</v>
      </c>
      <c r="O288" s="93"/>
      <c r="P288" s="93" t="str">
        <f>IFERROR(__xludf.DUMMYFUNCTION("""COMPUTED_VALUE"""),"Kit Delivery")</f>
        <v>Kit Delivery</v>
      </c>
      <c r="Q288" s="93"/>
      <c r="R288" s="93"/>
      <c r="S288" s="93" t="str">
        <f>IFERROR(__xludf.DUMMYFUNCTION("""COMPUTED_VALUE"""),"Dispatch_Images/KIT--17598.Photos.215627.jpg")</f>
        <v>Dispatch_Images/KIT--17598.Photos.215627.jpg</v>
      </c>
      <c r="T288" s="95">
        <f>IFERROR(__xludf.DUMMYFUNCTION("""COMPUTED_VALUE"""),46134.71045138889)</f>
        <v>46134.71045</v>
      </c>
      <c r="U288" s="93"/>
      <c r="V288" s="93"/>
      <c r="W288" s="93"/>
      <c r="X288" s="93"/>
      <c r="Y288" s="93"/>
      <c r="Z288" s="93"/>
    </row>
    <row r="289">
      <c r="A289" s="93" t="str">
        <f>IFERROR(__xludf.DUMMYFUNCTION("""COMPUTED_VALUE"""),"KIT-#17474")</f>
        <v>KIT-#17474</v>
      </c>
      <c r="B289" s="94">
        <f>IFERROR(__xludf.DUMMYFUNCTION("""COMPUTED_VALUE"""),46147.0)</f>
        <v>46147</v>
      </c>
      <c r="C289" s="93" t="str">
        <f>IFERROR(__xludf.DUMMYFUNCTION("""COMPUTED_VALUE"""),"Kit Delivery")</f>
        <v>Kit Delivery</v>
      </c>
      <c r="D289" s="93">
        <f>IFERROR(__xludf.DUMMYFUNCTION("""COMPUTED_VALUE"""),2.0)</f>
        <v>2</v>
      </c>
      <c r="E289" s="93" t="str">
        <f>IFERROR(__xludf.DUMMYFUNCTION("""COMPUTED_VALUE"""),"Park")</f>
        <v>Park</v>
      </c>
      <c r="F289" s="93" t="str">
        <f>IFERROR(__xludf.DUMMYFUNCTION("""COMPUTED_VALUE"""),"190a")</f>
        <v>190a</v>
      </c>
      <c r="G289" s="93" t="str">
        <f>IFERROR(__xludf.DUMMYFUNCTION("""COMPUTED_VALUE"""),"Kate Park")</f>
        <v>Kate Park</v>
      </c>
      <c r="H289" s="93">
        <f>IFERROR(__xludf.DUMMYFUNCTION("""COMPUTED_VALUE"""),5.572042367E9)</f>
        <v>5572042367</v>
      </c>
      <c r="I289" s="93" t="str">
        <f>IFERROR(__xludf.DUMMYFUNCTION("""COMPUTED_VALUE"""),"9AM-11AM")</f>
        <v>9AM-11AM</v>
      </c>
      <c r="J289" s="93">
        <f>IFERROR(__xludf.DUMMYFUNCTION("""COMPUTED_VALUE"""),1.0)</f>
        <v>1</v>
      </c>
      <c r="K289" s="93" t="str">
        <f>IFERROR(__xludf.DUMMYFUNCTION("""COMPUTED_VALUE"""),"Complete")</f>
        <v>Complete</v>
      </c>
      <c r="L289" s="93"/>
      <c r="M289" s="94">
        <f>IFERROR(__xludf.DUMMYFUNCTION("""COMPUTED_VALUE"""),46134.722187499996)</f>
        <v>46134.72219</v>
      </c>
      <c r="N289" s="93">
        <f>IFERROR(__xludf.DUMMYFUNCTION("""COMPUTED_VALUE"""),70.0)</f>
        <v>70</v>
      </c>
      <c r="O289" s="93"/>
      <c r="P289" s="93" t="str">
        <f>IFERROR(__xludf.DUMMYFUNCTION("""COMPUTED_VALUE"""),"Kit Delivery")</f>
        <v>Kit Delivery</v>
      </c>
      <c r="Q289" s="93"/>
      <c r="R289" s="93"/>
      <c r="S289" s="93" t="str">
        <f>IFERROR(__xludf.DUMMYFUNCTION("""COMPUTED_VALUE"""),"Dispatch_Images/KIT--17474.Photos.221954.jpg")</f>
        <v>Dispatch_Images/KIT--17474.Photos.221954.jpg</v>
      </c>
      <c r="T289" s="95">
        <f>IFERROR(__xludf.DUMMYFUNCTION("""COMPUTED_VALUE"""),46134.724340277775)</f>
        <v>46134.72434</v>
      </c>
      <c r="U289" s="93"/>
      <c r="V289" s="93"/>
      <c r="W289" s="93"/>
      <c r="X289" s="93"/>
      <c r="Y289" s="93"/>
      <c r="Z289" s="93"/>
    </row>
    <row r="290">
      <c r="A290" s="93" t="str">
        <f>IFERROR(__xludf.DUMMYFUNCTION("""COMPUTED_VALUE"""),"KIT-#17687")</f>
        <v>KIT-#17687</v>
      </c>
      <c r="B290" s="94">
        <f>IFERROR(__xludf.DUMMYFUNCTION("""COMPUTED_VALUE"""),46147.0)</f>
        <v>46147</v>
      </c>
      <c r="C290" s="93" t="str">
        <f>IFERROR(__xludf.DUMMYFUNCTION("""COMPUTED_VALUE"""),"Kit Delivery")</f>
        <v>Kit Delivery</v>
      </c>
      <c r="D290" s="93">
        <f>IFERROR(__xludf.DUMMYFUNCTION("""COMPUTED_VALUE"""),2.0)</f>
        <v>2</v>
      </c>
      <c r="E290" s="93" t="str">
        <f>IFERROR(__xludf.DUMMYFUNCTION("""COMPUTED_VALUE"""),"Mudd")</f>
        <v>Mudd</v>
      </c>
      <c r="F290" s="93">
        <f>IFERROR(__xludf.DUMMYFUNCTION("""COMPUTED_VALUE"""),213.0)</f>
        <v>213</v>
      </c>
      <c r="G290" s="93" t="str">
        <f>IFERROR(__xludf.DUMMYFUNCTION("""COMPUTED_VALUE"""),"Maya Perkash")</f>
        <v>Maya Perkash</v>
      </c>
      <c r="H290" s="93">
        <f>IFERROR(__xludf.DUMMYFUNCTION("""COMPUTED_VALUE"""),6.505461756E9)</f>
        <v>6505461756</v>
      </c>
      <c r="I290" s="93" t="str">
        <f>IFERROR(__xludf.DUMMYFUNCTION("""COMPUTED_VALUE"""),"11AM-1PM")</f>
        <v>11AM-1PM</v>
      </c>
      <c r="J290" s="93">
        <f>IFERROR(__xludf.DUMMYFUNCTION("""COMPUTED_VALUE"""),1.0)</f>
        <v>1</v>
      </c>
      <c r="K290" s="93" t="str">
        <f>IFERROR(__xludf.DUMMYFUNCTION("""COMPUTED_VALUE"""),"Complete")</f>
        <v>Complete</v>
      </c>
      <c r="L290" s="93"/>
      <c r="M290" s="94">
        <f>IFERROR(__xludf.DUMMYFUNCTION("""COMPUTED_VALUE"""),46134.73550925926)</f>
        <v>46134.73551</v>
      </c>
      <c r="N290" s="93">
        <f>IFERROR(__xludf.DUMMYFUNCTION("""COMPUTED_VALUE"""),91.0)</f>
        <v>91</v>
      </c>
      <c r="O290" s="93"/>
      <c r="P290" s="93" t="str">
        <f>IFERROR(__xludf.DUMMYFUNCTION("""COMPUTED_VALUE"""),"Kit Delivery")</f>
        <v>Kit Delivery</v>
      </c>
      <c r="Q290" s="93"/>
      <c r="R290" s="93"/>
      <c r="S290" s="93" t="str">
        <f>IFERROR(__xludf.DUMMYFUNCTION("""COMPUTED_VALUE"""),"Dispatch_Images/KIT--17687.Photos.223905.jpg")</f>
        <v>Dispatch_Images/KIT--17687.Photos.223905.jpg</v>
      </c>
      <c r="T290" s="95">
        <f>IFERROR(__xludf.DUMMYFUNCTION("""COMPUTED_VALUE"""),46134.73825231481)</f>
        <v>46134.73825</v>
      </c>
      <c r="U290" s="93"/>
      <c r="V290" s="93"/>
      <c r="W290" s="93"/>
      <c r="X290" s="93"/>
      <c r="Y290" s="93"/>
      <c r="Z290" s="93"/>
    </row>
    <row r="291">
      <c r="A291" s="93" t="str">
        <f>IFERROR(__xludf.DUMMYFUNCTION("""COMPUTED_VALUE"""),"KIT-#17680")</f>
        <v>KIT-#17680</v>
      </c>
      <c r="B291" s="94">
        <f>IFERROR(__xludf.DUMMYFUNCTION("""COMPUTED_VALUE"""),46147.0)</f>
        <v>46147</v>
      </c>
      <c r="C291" s="93" t="str">
        <f>IFERROR(__xludf.DUMMYFUNCTION("""COMPUTED_VALUE"""),"Kit Delivery")</f>
        <v>Kit Delivery</v>
      </c>
      <c r="D291" s="93">
        <f>IFERROR(__xludf.DUMMYFUNCTION("""COMPUTED_VALUE"""),2.0)</f>
        <v>2</v>
      </c>
      <c r="E291" s="93" t="str">
        <f>IFERROR(__xludf.DUMMYFUNCTION("""COMPUTED_VALUE"""),"Umrath")</f>
        <v>Umrath</v>
      </c>
      <c r="F291" s="93">
        <f>IFERROR(__xludf.DUMMYFUNCTION("""COMPUTED_VALUE"""),4424.0)</f>
        <v>4424</v>
      </c>
      <c r="G291" s="93" t="str">
        <f>IFERROR(__xludf.DUMMYFUNCTION("""COMPUTED_VALUE"""),"Abraham Lu")</f>
        <v>Abraham Lu</v>
      </c>
      <c r="H291" s="93">
        <f>IFERROR(__xludf.DUMMYFUNCTION("""COMPUTED_VALUE"""),3.143931477E9)</f>
        <v>3143931477</v>
      </c>
      <c r="I291" s="93" t="str">
        <f>IFERROR(__xludf.DUMMYFUNCTION("""COMPUTED_VALUE"""),"3PM-5PM")</f>
        <v>3PM-5PM</v>
      </c>
      <c r="J291" s="93">
        <f>IFERROR(__xludf.DUMMYFUNCTION("""COMPUTED_VALUE"""),1.0)</f>
        <v>1</v>
      </c>
      <c r="K291" s="93" t="str">
        <f>IFERROR(__xludf.DUMMYFUNCTION("""COMPUTED_VALUE"""),"Complete")</f>
        <v>Complete</v>
      </c>
      <c r="L291" s="93"/>
      <c r="M291" s="94">
        <f>IFERROR(__xludf.DUMMYFUNCTION("""COMPUTED_VALUE"""),46134.76802083333)</f>
        <v>46134.76802</v>
      </c>
      <c r="N291" s="93">
        <f>IFERROR(__xludf.DUMMYFUNCTION("""COMPUTED_VALUE"""),144.0)</f>
        <v>144</v>
      </c>
      <c r="O291" s="93"/>
      <c r="P291" s="93" t="str">
        <f>IFERROR(__xludf.DUMMYFUNCTION("""COMPUTED_VALUE"""),"Kit Delivery")</f>
        <v>Kit Delivery</v>
      </c>
      <c r="Q291" s="93"/>
      <c r="R291" s="93"/>
      <c r="S291" s="93" t="str">
        <f>IFERROR(__xludf.DUMMYFUNCTION("""COMPUTED_VALUE"""),"Dispatch_Images/KIT--17680.Photos.232553.jpg")</f>
        <v>Dispatch_Images/KIT--17680.Photos.232553.jpg</v>
      </c>
      <c r="T291" s="95">
        <f>IFERROR(__xludf.DUMMYFUNCTION("""COMPUTED_VALUE"""),46134.77295138889)</f>
        <v>46134.77295</v>
      </c>
      <c r="U291" s="93"/>
      <c r="V291" s="93"/>
      <c r="W291" s="93"/>
      <c r="X291" s="93"/>
      <c r="Y291" s="93"/>
      <c r="Z291" s="93"/>
    </row>
    <row r="292">
      <c r="A292" s="93" t="str">
        <f>IFERROR(__xludf.DUMMYFUNCTION("""COMPUTED_VALUE"""),"KIT-#17583")</f>
        <v>KIT-#17583</v>
      </c>
      <c r="B292" s="94">
        <f>IFERROR(__xludf.DUMMYFUNCTION("""COMPUTED_VALUE"""),46147.0)</f>
        <v>46147</v>
      </c>
      <c r="C292" s="93" t="str">
        <f>IFERROR(__xludf.DUMMYFUNCTION("""COMPUTED_VALUE"""),"Kit Delivery")</f>
        <v>Kit Delivery</v>
      </c>
      <c r="D292" s="93">
        <f>IFERROR(__xludf.DUMMYFUNCTION("""COMPUTED_VALUE"""),2.0)</f>
        <v>2</v>
      </c>
      <c r="E292" s="93" t="str">
        <f>IFERROR(__xludf.DUMMYFUNCTION("""COMPUTED_VALUE"""),"Umrath")</f>
        <v>Umrath</v>
      </c>
      <c r="F292" s="93">
        <f>IFERROR(__xludf.DUMMYFUNCTION("""COMPUTED_VALUE"""),4406.0)</f>
        <v>4406</v>
      </c>
      <c r="G292" s="93" t="str">
        <f>IFERROR(__xludf.DUMMYFUNCTION("""COMPUTED_VALUE"""),"Miranda Moreno Urias")</f>
        <v>Miranda Moreno Urias</v>
      </c>
      <c r="H292" s="93">
        <f>IFERROR(__xludf.DUMMYFUNCTION("""COMPUTED_VALUE"""),5.209884904E9)</f>
        <v>5209884904</v>
      </c>
      <c r="I292" s="93" t="str">
        <f>IFERROR(__xludf.DUMMYFUNCTION("""COMPUTED_VALUE"""),"1PM-3PM")</f>
        <v>1PM-3PM</v>
      </c>
      <c r="J292" s="93">
        <f>IFERROR(__xludf.DUMMYFUNCTION("""COMPUTED_VALUE"""),1.0)</f>
        <v>1</v>
      </c>
      <c r="K292" s="93" t="str">
        <f>IFERROR(__xludf.DUMMYFUNCTION("""COMPUTED_VALUE"""),"Complete")</f>
        <v>Complete</v>
      </c>
      <c r="L292" s="93"/>
      <c r="M292" s="94">
        <f>IFERROR(__xludf.DUMMYFUNCTION("""COMPUTED_VALUE"""),46134.769270833334)</f>
        <v>46134.76927</v>
      </c>
      <c r="N292" s="93">
        <f>IFERROR(__xludf.DUMMYFUNCTION("""COMPUTED_VALUE"""),143.0)</f>
        <v>143</v>
      </c>
      <c r="O292" s="93"/>
      <c r="P292" s="93" t="str">
        <f>IFERROR(__xludf.DUMMYFUNCTION("""COMPUTED_VALUE"""),"Kit Delivery")</f>
        <v>Kit Delivery</v>
      </c>
      <c r="Q292" s="93"/>
      <c r="R292" s="93"/>
      <c r="S292" s="93" t="str">
        <f>IFERROR(__xludf.DUMMYFUNCTION("""COMPUTED_VALUE"""),"Dispatch_Images/KIT--17583.Photos.232742.jpg")</f>
        <v>Dispatch_Images/KIT--17583.Photos.232742.jpg</v>
      </c>
      <c r="T292" s="95">
        <f>IFERROR(__xludf.DUMMYFUNCTION("""COMPUTED_VALUE"""),46134.77295138889)</f>
        <v>46134.77295</v>
      </c>
      <c r="U292" s="93"/>
      <c r="V292" s="93"/>
      <c r="W292" s="93"/>
      <c r="X292" s="93"/>
      <c r="Y292" s="93"/>
      <c r="Z292" s="93"/>
    </row>
    <row r="293">
      <c r="A293" s="93" t="str">
        <f>IFERROR(__xludf.DUMMYFUNCTION("""COMPUTED_VALUE"""),"KIT-#17588")</f>
        <v>KIT-#17588</v>
      </c>
      <c r="B293" s="94">
        <f>IFERROR(__xludf.DUMMYFUNCTION("""COMPUTED_VALUE"""),46147.0)</f>
        <v>46147</v>
      </c>
      <c r="C293" s="93" t="str">
        <f>IFERROR(__xludf.DUMMYFUNCTION("""COMPUTED_VALUE"""),"Kit Delivery")</f>
        <v>Kit Delivery</v>
      </c>
      <c r="D293" s="93">
        <f>IFERROR(__xludf.DUMMYFUNCTION("""COMPUTED_VALUE"""),2.0)</f>
        <v>2</v>
      </c>
      <c r="E293" s="93" t="str">
        <f>IFERROR(__xludf.DUMMYFUNCTION("""COMPUTED_VALUE"""),"Umrath")</f>
        <v>Umrath</v>
      </c>
      <c r="F293" s="93">
        <f>IFERROR(__xludf.DUMMYFUNCTION("""COMPUTED_VALUE"""),4403.0)</f>
        <v>4403</v>
      </c>
      <c r="G293" s="93" t="str">
        <f>IFERROR(__xludf.DUMMYFUNCTION("""COMPUTED_VALUE"""),"Eve Feles")</f>
        <v>Eve Feles</v>
      </c>
      <c r="H293" s="93">
        <f>IFERROR(__xludf.DUMMYFUNCTION("""COMPUTED_VALUE"""),3.137192929E9)</f>
        <v>3137192929</v>
      </c>
      <c r="I293" s="93" t="str">
        <f>IFERROR(__xludf.DUMMYFUNCTION("""COMPUTED_VALUE"""),"10AM-12PM")</f>
        <v>10AM-12PM</v>
      </c>
      <c r="J293" s="93">
        <f>IFERROR(__xludf.DUMMYFUNCTION("""COMPUTED_VALUE"""),1.0)</f>
        <v>1</v>
      </c>
      <c r="K293" s="93" t="str">
        <f>IFERROR(__xludf.DUMMYFUNCTION("""COMPUTED_VALUE"""),"Complete")</f>
        <v>Complete</v>
      </c>
      <c r="L293" s="93"/>
      <c r="M293" s="94">
        <f>IFERROR(__xludf.DUMMYFUNCTION("""COMPUTED_VALUE"""),46134.76959490741)</f>
        <v>46134.76959</v>
      </c>
      <c r="N293" s="93">
        <f>IFERROR(__xludf.DUMMYFUNCTION("""COMPUTED_VALUE"""),142.0)</f>
        <v>142</v>
      </c>
      <c r="O293" s="93"/>
      <c r="P293" s="93" t="str">
        <f>IFERROR(__xludf.DUMMYFUNCTION("""COMPUTED_VALUE"""),"Kit Delivery")</f>
        <v>Kit Delivery</v>
      </c>
      <c r="Q293" s="93"/>
      <c r="R293" s="93"/>
      <c r="S293" s="93" t="str">
        <f>IFERROR(__xludf.DUMMYFUNCTION("""COMPUTED_VALUE"""),"Dispatch_Images/KIT--17588.Photos.232810.jpg")</f>
        <v>Dispatch_Images/KIT--17588.Photos.232810.jpg</v>
      </c>
      <c r="T293" s="95">
        <f>IFERROR(__xludf.DUMMYFUNCTION("""COMPUTED_VALUE"""),46134.77295138889)</f>
        <v>46134.77295</v>
      </c>
      <c r="U293" s="93"/>
      <c r="V293" s="93"/>
      <c r="W293" s="93"/>
      <c r="X293" s="93"/>
      <c r="Y293" s="93"/>
      <c r="Z293" s="93"/>
    </row>
    <row r="294">
      <c r="A294" s="93" t="str">
        <f>IFERROR(__xludf.DUMMYFUNCTION("""COMPUTED_VALUE"""),"KIT-#17639")</f>
        <v>KIT-#17639</v>
      </c>
      <c r="B294" s="94">
        <f>IFERROR(__xludf.DUMMYFUNCTION("""COMPUTED_VALUE"""),46147.0)</f>
        <v>46147</v>
      </c>
      <c r="C294" s="93" t="str">
        <f>IFERROR(__xludf.DUMMYFUNCTION("""COMPUTED_VALUE"""),"Kit Delivery")</f>
        <v>Kit Delivery</v>
      </c>
      <c r="D294" s="93">
        <f>IFERROR(__xludf.DUMMYFUNCTION("""COMPUTED_VALUE"""),2.0)</f>
        <v>2</v>
      </c>
      <c r="E294" s="93" t="str">
        <f>IFERROR(__xludf.DUMMYFUNCTION("""COMPUTED_VALUE"""),"Dardick")</f>
        <v>Dardick</v>
      </c>
      <c r="F294" s="93">
        <f>IFERROR(__xludf.DUMMYFUNCTION("""COMPUTED_VALUE"""),2209.0)</f>
        <v>2209</v>
      </c>
      <c r="G294" s="93" t="str">
        <f>IFERROR(__xludf.DUMMYFUNCTION("""COMPUTED_VALUE"""),"Yash Karki")</f>
        <v>Yash Karki</v>
      </c>
      <c r="H294" s="93">
        <f>IFERROR(__xludf.DUMMYFUNCTION("""COMPUTED_VALUE"""),2.065654698E9)</f>
        <v>2065654698</v>
      </c>
      <c r="I294" s="93" t="str">
        <f>IFERROR(__xludf.DUMMYFUNCTION("""COMPUTED_VALUE"""),"11AM-1PM")</f>
        <v>11AM-1PM</v>
      </c>
      <c r="J294" s="93">
        <f>IFERROR(__xludf.DUMMYFUNCTION("""COMPUTED_VALUE"""),1.0)</f>
        <v>1</v>
      </c>
      <c r="K294" s="93" t="str">
        <f>IFERROR(__xludf.DUMMYFUNCTION("""COMPUTED_VALUE"""),"Complete")</f>
        <v>Complete</v>
      </c>
      <c r="L294" s="93"/>
      <c r="M294" s="94">
        <f>IFERROR(__xludf.DUMMYFUNCTION("""COMPUTED_VALUE"""),46136.57753472222)</f>
        <v>46136.57753</v>
      </c>
      <c r="N294" s="93">
        <f>IFERROR(__xludf.DUMMYFUNCTION("""COMPUTED_VALUE"""),105.0)</f>
        <v>105</v>
      </c>
      <c r="O294" s="93"/>
      <c r="P294" s="93" t="str">
        <f>IFERROR(__xludf.DUMMYFUNCTION("""COMPUTED_VALUE"""),"Kit Delivery")</f>
        <v>Kit Delivery</v>
      </c>
      <c r="Q294" s="93"/>
      <c r="R294" s="93"/>
      <c r="S294" s="93" t="str">
        <f>IFERROR(__xludf.DUMMYFUNCTION("""COMPUTED_VALUE"""),"Dispatch_Images/KIT--17639.Photos.185135.jpg")</f>
        <v>Dispatch_Images/KIT--17639.Photos.185135.jpg</v>
      </c>
      <c r="T294" s="95">
        <f>IFERROR(__xludf.DUMMYFUNCTION("""COMPUTED_VALUE"""),46136.57850694445)</f>
        <v>46136.57851</v>
      </c>
      <c r="U294" s="93"/>
      <c r="V294" s="93"/>
      <c r="W294" s="93"/>
      <c r="X294" s="93"/>
      <c r="Y294" s="93"/>
      <c r="Z294" s="93"/>
    </row>
    <row r="295">
      <c r="A295" s="93" t="str">
        <f>IFERROR(__xludf.DUMMYFUNCTION("""COMPUTED_VALUE"""),"KIT-#17740")</f>
        <v>KIT-#17740</v>
      </c>
      <c r="B295" s="94">
        <f>IFERROR(__xludf.DUMMYFUNCTION("""COMPUTED_VALUE"""),46147.0)</f>
        <v>46147</v>
      </c>
      <c r="C295" s="93" t="str">
        <f>IFERROR(__xludf.DUMMYFUNCTION("""COMPUTED_VALUE"""),"Kit Delivery")</f>
        <v>Kit Delivery</v>
      </c>
      <c r="D295" s="93">
        <f>IFERROR(__xludf.DUMMYFUNCTION("""COMPUTED_VALUE"""),2.0)</f>
        <v>2</v>
      </c>
      <c r="E295" s="93" t="str">
        <f>IFERROR(__xludf.DUMMYFUNCTION("""COMPUTED_VALUE"""),"Danforth")</f>
        <v>Danforth</v>
      </c>
      <c r="F295" s="93">
        <f>IFERROR(__xludf.DUMMYFUNCTION("""COMPUTED_VALUE"""),4426.0)</f>
        <v>4426</v>
      </c>
      <c r="G295" s="93" t="str">
        <f>IFERROR(__xludf.DUMMYFUNCTION("""COMPUTED_VALUE"""),"Lexi Lawsky")</f>
        <v>Lexi Lawsky</v>
      </c>
      <c r="H295" s="93">
        <f>IFERROR(__xludf.DUMMYFUNCTION("""COMPUTED_VALUE"""),6.462507591E9)</f>
        <v>6462507591</v>
      </c>
      <c r="I295" s="93" t="str">
        <f>IFERROR(__xludf.DUMMYFUNCTION("""COMPUTED_VALUE"""),"3PM-5PM")</f>
        <v>3PM-5PM</v>
      </c>
      <c r="J295" s="93">
        <f>IFERROR(__xludf.DUMMYFUNCTION("""COMPUTED_VALUE"""),1.0)</f>
        <v>1</v>
      </c>
      <c r="K295" s="93" t="str">
        <f>IFERROR(__xludf.DUMMYFUNCTION("""COMPUTED_VALUE"""),"Complete")</f>
        <v>Complete</v>
      </c>
      <c r="L295" s="93"/>
      <c r="M295" s="94">
        <f>IFERROR(__xludf.DUMMYFUNCTION("""COMPUTED_VALUE"""),46137.53359953704)</f>
        <v>46137.5336</v>
      </c>
      <c r="N295" s="93">
        <f>IFERROR(__xludf.DUMMYFUNCTION("""COMPUTED_VALUE"""),52.0)</f>
        <v>52</v>
      </c>
      <c r="O295" s="93" t="str">
        <f>IFERROR(__xludf.DUMMYFUNCTION("""COMPUTED_VALUE"""),"45 West 10 Street Apt. 2F
New York, NY 10011")</f>
        <v>45 West 10 Street Apt. 2F
New York, NY 10011</v>
      </c>
      <c r="P295" s="93" t="str">
        <f>IFERROR(__xludf.DUMMYFUNCTION("""COMPUTED_VALUE"""),"Kit Delivery")</f>
        <v>Kit Delivery</v>
      </c>
      <c r="Q295" s="93" t="str">
        <f>IFERROR(__xludf.DUMMYFUNCTION("""COMPUTED_VALUE"""),"I am also storing some boxes and items with you.")</f>
        <v>I am also storing some boxes and items with you.</v>
      </c>
      <c r="R295" s="93"/>
      <c r="S295" s="93" t="str">
        <f>IFERROR(__xludf.DUMMYFUNCTION("""COMPUTED_VALUE"""),"Dispatch_Images/KIT--17740.Photos.174820.jpg")</f>
        <v>Dispatch_Images/KIT--17740.Photos.174820.jpg</v>
      </c>
      <c r="T295" s="95">
        <f>IFERROR(__xludf.DUMMYFUNCTION("""COMPUTED_VALUE"""),46137.536828703705)</f>
        <v>46137.53683</v>
      </c>
      <c r="U295" s="93"/>
      <c r="V295" s="93"/>
      <c r="W295" s="93"/>
      <c r="X295" s="93"/>
      <c r="Y295" s="93"/>
      <c r="Z295" s="93"/>
    </row>
    <row r="296">
      <c r="A296" s="93" t="str">
        <f>IFERROR(__xludf.DUMMYFUNCTION("""COMPUTED_VALUE"""),"KIT-#17739")</f>
        <v>KIT-#17739</v>
      </c>
      <c r="B296" s="94">
        <f>IFERROR(__xludf.DUMMYFUNCTION("""COMPUTED_VALUE"""),46147.0)</f>
        <v>46147</v>
      </c>
      <c r="C296" s="93" t="str">
        <f>IFERROR(__xludf.DUMMYFUNCTION("""COMPUTED_VALUE"""),"Kit Delivery")</f>
        <v>Kit Delivery</v>
      </c>
      <c r="D296" s="93">
        <f>IFERROR(__xludf.DUMMYFUNCTION("""COMPUTED_VALUE"""),2.0)</f>
        <v>2</v>
      </c>
      <c r="E296" s="93" t="str">
        <f>IFERROR(__xludf.DUMMYFUNCTION("""COMPUTED_VALUE"""),"Danforth")</f>
        <v>Danforth</v>
      </c>
      <c r="F296" s="93">
        <f>IFERROR(__xludf.DUMMYFUNCTION("""COMPUTED_VALUE"""),4426.0)</f>
        <v>4426</v>
      </c>
      <c r="G296" s="93" t="str">
        <f>IFERROR(__xludf.DUMMYFUNCTION("""COMPUTED_VALUE"""),"Lexi Lawsky")</f>
        <v>Lexi Lawsky</v>
      </c>
      <c r="H296" s="93">
        <f>IFERROR(__xludf.DUMMYFUNCTION("""COMPUTED_VALUE"""),6.462507591E9)</f>
        <v>6462507591</v>
      </c>
      <c r="I296" s="93" t="str">
        <f>IFERROR(__xludf.DUMMYFUNCTION("""COMPUTED_VALUE"""),"9AM-11AM")</f>
        <v>9AM-11AM</v>
      </c>
      <c r="J296" s="93">
        <f>IFERROR(__xludf.DUMMYFUNCTION("""COMPUTED_VALUE"""),1.0)</f>
        <v>1</v>
      </c>
      <c r="K296" s="93" t="str">
        <f>IFERROR(__xludf.DUMMYFUNCTION("""COMPUTED_VALUE"""),"Complete")</f>
        <v>Complete</v>
      </c>
      <c r="L296" s="93"/>
      <c r="M296" s="94">
        <f>IFERROR(__xludf.DUMMYFUNCTION("""COMPUTED_VALUE"""),46137.53376157407)</f>
        <v>46137.53376</v>
      </c>
      <c r="N296" s="93">
        <f>IFERROR(__xludf.DUMMYFUNCTION("""COMPUTED_VALUE"""),51.0)</f>
        <v>51</v>
      </c>
      <c r="O296" s="93"/>
      <c r="P296" s="93" t="str">
        <f>IFERROR(__xludf.DUMMYFUNCTION("""COMPUTED_VALUE"""),"Kit Delivery")</f>
        <v>Kit Delivery</v>
      </c>
      <c r="Q296" s="93" t="str">
        <f>IFERROR(__xludf.DUMMYFUNCTION("""COMPUTED_VALUE"""),"I will also be shipping some boxes with U trucking.")</f>
        <v>I will also be shipping some boxes with U trucking.</v>
      </c>
      <c r="R296" s="93"/>
      <c r="S296" s="93" t="str">
        <f>IFERROR(__xludf.DUMMYFUNCTION("""COMPUTED_VALUE"""),"Dispatch_Images/KIT--17739.Photos.174833.jpg")</f>
        <v>Dispatch_Images/KIT--17739.Photos.174833.jpg</v>
      </c>
      <c r="T296" s="95">
        <f>IFERROR(__xludf.DUMMYFUNCTION("""COMPUTED_VALUE"""),46137.536828703705)</f>
        <v>46137.53683</v>
      </c>
      <c r="U296" s="93"/>
      <c r="V296" s="93"/>
      <c r="W296" s="93"/>
      <c r="X296" s="93"/>
      <c r="Y296" s="93"/>
      <c r="Z296" s="93"/>
    </row>
    <row r="297">
      <c r="A297" s="93" t="str">
        <f>IFERROR(__xludf.DUMMYFUNCTION("""COMPUTED_VALUE"""),"KIT-#17742")</f>
        <v>KIT-#17742</v>
      </c>
      <c r="B297" s="94">
        <f>IFERROR(__xludf.DUMMYFUNCTION("""COMPUTED_VALUE"""),46147.0)</f>
        <v>46147</v>
      </c>
      <c r="C297" s="93" t="str">
        <f>IFERROR(__xludf.DUMMYFUNCTION("""COMPUTED_VALUE"""),"Kit Delivery")</f>
        <v>Kit Delivery</v>
      </c>
      <c r="D297" s="93">
        <f>IFERROR(__xludf.DUMMYFUNCTION("""COMPUTED_VALUE"""),2.0)</f>
        <v>2</v>
      </c>
      <c r="E297" s="93" t="str">
        <f>IFERROR(__xludf.DUMMYFUNCTION("""COMPUTED_VALUE"""),"Danforth")</f>
        <v>Danforth</v>
      </c>
      <c r="F297" s="93">
        <f>IFERROR(__xludf.DUMMYFUNCTION("""COMPUTED_VALUE"""),3311.0)</f>
        <v>3311</v>
      </c>
      <c r="G297" s="93" t="str">
        <f>IFERROR(__xludf.DUMMYFUNCTION("""COMPUTED_VALUE"""),"Jared Buckman")</f>
        <v>Jared Buckman</v>
      </c>
      <c r="H297" s="93">
        <f>IFERROR(__xludf.DUMMYFUNCTION("""COMPUTED_VALUE"""),2.039844272E9)</f>
        <v>2039844272</v>
      </c>
      <c r="I297" s="93" t="str">
        <f>IFERROR(__xludf.DUMMYFUNCTION("""COMPUTED_VALUE"""),"11AM-1PM")</f>
        <v>11AM-1PM</v>
      </c>
      <c r="J297" s="93">
        <f>IFERROR(__xludf.DUMMYFUNCTION("""COMPUTED_VALUE"""),1.0)</f>
        <v>1</v>
      </c>
      <c r="K297" s="93" t="str">
        <f>IFERROR(__xludf.DUMMYFUNCTION("""COMPUTED_VALUE"""),"Complete")</f>
        <v>Complete</v>
      </c>
      <c r="L297" s="93"/>
      <c r="M297" s="94">
        <f>IFERROR(__xludf.DUMMYFUNCTION("""COMPUTED_VALUE"""),46137.53607638889)</f>
        <v>46137.53608</v>
      </c>
      <c r="N297" s="93">
        <f>IFERROR(__xludf.DUMMYFUNCTION("""COMPUTED_VALUE"""),49.0)</f>
        <v>49</v>
      </c>
      <c r="O297" s="93" t="str">
        <f>IFERROR(__xludf.DUMMYFUNCTION("""COMPUTED_VALUE"""),"12 Bermuda Road
Westport, CT 06880")</f>
        <v>12 Bermuda Road
Westport, CT 06880</v>
      </c>
      <c r="P297" s="93" t="str">
        <f>IFERROR(__xludf.DUMMYFUNCTION("""COMPUTED_VALUE"""),"Kit Delivery")</f>
        <v>Kit Delivery</v>
      </c>
      <c r="Q297" s="93"/>
      <c r="R297" s="93"/>
      <c r="S297" s="93" t="str">
        <f>IFERROR(__xludf.DUMMYFUNCTION("""COMPUTED_VALUE"""),"Dispatch_Images/KIT--17742.Photos.175154.jpg")</f>
        <v>Dispatch_Images/KIT--17742.Photos.175154.jpg</v>
      </c>
      <c r="T297" s="95">
        <f>IFERROR(__xludf.DUMMYFUNCTION("""COMPUTED_VALUE"""),46137.536828703705)</f>
        <v>46137.53683</v>
      </c>
      <c r="U297" s="93"/>
      <c r="V297" s="93"/>
      <c r="W297" s="93"/>
      <c r="X297" s="93"/>
      <c r="Y297" s="93"/>
      <c r="Z297" s="93"/>
    </row>
    <row r="298">
      <c r="A298" s="93" t="str">
        <f>IFERROR(__xludf.DUMMYFUNCTION("""COMPUTED_VALUE"""),"KIT-#17640")</f>
        <v>KIT-#17640</v>
      </c>
      <c r="B298" s="94">
        <f>IFERROR(__xludf.DUMMYFUNCTION("""COMPUTED_VALUE"""),46147.0)</f>
        <v>46147</v>
      </c>
      <c r="C298" s="93" t="str">
        <f>IFERROR(__xludf.DUMMYFUNCTION("""COMPUTED_VALUE"""),"Kit Delivery")</f>
        <v>Kit Delivery</v>
      </c>
      <c r="D298" s="93">
        <f>IFERROR(__xludf.DUMMYFUNCTION("""COMPUTED_VALUE"""),2.0)</f>
        <v>2</v>
      </c>
      <c r="E298" s="93" t="str">
        <f>IFERROR(__xludf.DUMMYFUNCTION("""COMPUTED_VALUE"""),"Liggett")</f>
        <v>Liggett</v>
      </c>
      <c r="F298" s="93">
        <f>IFERROR(__xludf.DUMMYFUNCTION("""COMPUTED_VALUE"""),2283.0)</f>
        <v>2283</v>
      </c>
      <c r="G298" s="93" t="str">
        <f>IFERROR(__xludf.DUMMYFUNCTION("""COMPUTED_VALUE"""),"Lucas Olmeta")</f>
        <v>Lucas Olmeta</v>
      </c>
      <c r="H298" s="93">
        <f>IFERROR(__xludf.DUMMYFUNCTION("""COMPUTED_VALUE"""),8.588228804E9)</f>
        <v>8588228804</v>
      </c>
      <c r="I298" s="93" t="str">
        <f>IFERROR(__xludf.DUMMYFUNCTION("""COMPUTED_VALUE"""),"3PM-5PM")</f>
        <v>3PM-5PM</v>
      </c>
      <c r="J298" s="93">
        <f>IFERROR(__xludf.DUMMYFUNCTION("""COMPUTED_VALUE"""),1.0)</f>
        <v>1</v>
      </c>
      <c r="K298" s="93" t="str">
        <f>IFERROR(__xludf.DUMMYFUNCTION("""COMPUTED_VALUE"""),"Complete")</f>
        <v>Complete</v>
      </c>
      <c r="L298" s="93"/>
      <c r="M298" s="94">
        <f>IFERROR(__xludf.DUMMYFUNCTION("""COMPUTED_VALUE"""),46137.56761574074)</f>
        <v>46137.56762</v>
      </c>
      <c r="N298" s="93">
        <f>IFERROR(__xludf.DUMMYFUNCTION("""COMPUTED_VALUE"""),140.0)</f>
        <v>140</v>
      </c>
      <c r="O298" s="93"/>
      <c r="P298" s="93" t="str">
        <f>IFERROR(__xludf.DUMMYFUNCTION("""COMPUTED_VALUE"""),"Kit Delivery")</f>
        <v>Kit Delivery</v>
      </c>
      <c r="Q298" s="93"/>
      <c r="R298" s="93"/>
      <c r="S298" s="93" t="str">
        <f>IFERROR(__xludf.DUMMYFUNCTION("""COMPUTED_VALUE"""),"Dispatch_Images/KIT--17640.Photos.183718.jpg")</f>
        <v>Dispatch_Images/KIT--17640.Photos.183718.jpg</v>
      </c>
      <c r="T298" s="95">
        <f>IFERROR(__xludf.DUMMYFUNCTION("""COMPUTED_VALUE"""),46137.571550925924)</f>
        <v>46137.57155</v>
      </c>
      <c r="U298" s="93"/>
      <c r="V298" s="93"/>
      <c r="W298" s="93"/>
      <c r="X298" s="93"/>
      <c r="Y298" s="93"/>
      <c r="Z298" s="93"/>
    </row>
    <row r="299">
      <c r="A299" s="93" t="str">
        <f>IFERROR(__xludf.DUMMYFUNCTION("""COMPUTED_VALUE"""),"KIT-#17660")</f>
        <v>KIT-#17660</v>
      </c>
      <c r="B299" s="94">
        <f>IFERROR(__xludf.DUMMYFUNCTION("""COMPUTED_VALUE"""),46147.0)</f>
        <v>46147</v>
      </c>
      <c r="C299" s="93" t="str">
        <f>IFERROR(__xludf.DUMMYFUNCTION("""COMPUTED_VALUE"""),"Kit Delivery")</f>
        <v>Kit Delivery</v>
      </c>
      <c r="D299" s="93">
        <f>IFERROR(__xludf.DUMMYFUNCTION("""COMPUTED_VALUE"""),2.0)</f>
        <v>2</v>
      </c>
      <c r="E299" s="93" t="str">
        <f>IFERROR(__xludf.DUMMYFUNCTION("""COMPUTED_VALUE"""),"Koenig")</f>
        <v>Koenig</v>
      </c>
      <c r="F299" s="93">
        <f>IFERROR(__xludf.DUMMYFUNCTION("""COMPUTED_VALUE"""),2217.0)</f>
        <v>2217</v>
      </c>
      <c r="G299" s="93" t="str">
        <f>IFERROR(__xludf.DUMMYFUNCTION("""COMPUTED_VALUE"""),"Jack Carr")</f>
        <v>Jack Carr</v>
      </c>
      <c r="H299" s="93">
        <f>IFERROR(__xludf.DUMMYFUNCTION("""COMPUTED_VALUE"""),6.50250676E9)</f>
        <v>6502506760</v>
      </c>
      <c r="I299" s="93" t="str">
        <f>IFERROR(__xludf.DUMMYFUNCTION("""COMPUTED_VALUE"""),"9AM-11AM")</f>
        <v>9AM-11AM</v>
      </c>
      <c r="J299" s="93">
        <f>IFERROR(__xludf.DUMMYFUNCTION("""COMPUTED_VALUE"""),1.0)</f>
        <v>1</v>
      </c>
      <c r="K299" s="93" t="str">
        <f>IFERROR(__xludf.DUMMYFUNCTION("""COMPUTED_VALUE"""),"Complete")</f>
        <v>Complete</v>
      </c>
      <c r="L299" s="93"/>
      <c r="M299" s="94">
        <f>IFERROR(__xludf.DUMMYFUNCTION("""COMPUTED_VALUE"""),46137.57020833333)</f>
        <v>46137.57021</v>
      </c>
      <c r="N299" s="93">
        <f>IFERROR(__xludf.DUMMYFUNCTION("""COMPUTED_VALUE"""),133.0)</f>
        <v>133</v>
      </c>
      <c r="O299" s="93"/>
      <c r="P299" s="93" t="str">
        <f>IFERROR(__xludf.DUMMYFUNCTION("""COMPUTED_VALUE"""),"Kit Delivery")</f>
        <v>Kit Delivery</v>
      </c>
      <c r="Q299" s="93"/>
      <c r="R299" s="93"/>
      <c r="S299" s="93" t="str">
        <f>IFERROR(__xludf.DUMMYFUNCTION("""COMPUTED_VALUE"""),"Dispatch_Images/KIT--17660.Photos.184102.jpg")</f>
        <v>Dispatch_Images/KIT--17660.Photos.184102.jpg</v>
      </c>
      <c r="T299" s="95">
        <f>IFERROR(__xludf.DUMMYFUNCTION("""COMPUTED_VALUE"""),46137.571550925924)</f>
        <v>46137.57155</v>
      </c>
      <c r="U299" s="93"/>
      <c r="V299" s="93"/>
      <c r="W299" s="93"/>
      <c r="X299" s="93"/>
      <c r="Y299" s="93"/>
      <c r="Z299" s="93"/>
    </row>
    <row r="300">
      <c r="A300" s="93" t="str">
        <f>IFERROR(__xludf.DUMMYFUNCTION("""COMPUTED_VALUE"""),"KIT-#17700")</f>
        <v>KIT-#17700</v>
      </c>
      <c r="B300" s="94">
        <f>IFERROR(__xludf.DUMMYFUNCTION("""COMPUTED_VALUE"""),46147.0)</f>
        <v>46147</v>
      </c>
      <c r="C300" s="93" t="str">
        <f>IFERROR(__xludf.DUMMYFUNCTION("""COMPUTED_VALUE"""),"Kit Delivery")</f>
        <v>Kit Delivery</v>
      </c>
      <c r="D300" s="93">
        <f>IFERROR(__xludf.DUMMYFUNCTION("""COMPUTED_VALUE"""),2.0)</f>
        <v>2</v>
      </c>
      <c r="E300" s="93" t="str">
        <f>IFERROR(__xludf.DUMMYFUNCTION("""COMPUTED_VALUE"""),"Koenig")</f>
        <v>Koenig</v>
      </c>
      <c r="F300" s="93">
        <f>IFERROR(__xludf.DUMMYFUNCTION("""COMPUTED_VALUE"""),3315.0)</f>
        <v>3315</v>
      </c>
      <c r="G300" s="93" t="str">
        <f>IFERROR(__xludf.DUMMYFUNCTION("""COMPUTED_VALUE"""),"Claire Li")</f>
        <v>Claire Li</v>
      </c>
      <c r="H300" s="93">
        <f>IFERROR(__xludf.DUMMYFUNCTION("""COMPUTED_VALUE"""),1.5011422749E10)</f>
        <v>15011422749</v>
      </c>
      <c r="I300" s="93" t="str">
        <f>IFERROR(__xludf.DUMMYFUNCTION("""COMPUTED_VALUE"""),"3PM-5PM")</f>
        <v>3PM-5PM</v>
      </c>
      <c r="J300" s="93">
        <f>IFERROR(__xludf.DUMMYFUNCTION("""COMPUTED_VALUE"""),1.0)</f>
        <v>1</v>
      </c>
      <c r="K300" s="93" t="str">
        <f>IFERROR(__xludf.DUMMYFUNCTION("""COMPUTED_VALUE"""),"Complete")</f>
        <v>Complete</v>
      </c>
      <c r="L300" s="93"/>
      <c r="M300" s="94">
        <f>IFERROR(__xludf.DUMMYFUNCTION("""COMPUTED_VALUE"""),46137.57376157407)</f>
        <v>46137.57376</v>
      </c>
      <c r="N300" s="93">
        <f>IFERROR(__xludf.DUMMYFUNCTION("""COMPUTED_VALUE"""),136.0)</f>
        <v>136</v>
      </c>
      <c r="O300" s="93"/>
      <c r="P300" s="93" t="str">
        <f>IFERROR(__xludf.DUMMYFUNCTION("""COMPUTED_VALUE"""),"Kit Delivery")</f>
        <v>Kit Delivery</v>
      </c>
      <c r="Q300" s="93"/>
      <c r="R300" s="93"/>
      <c r="S300" s="93" t="str">
        <f>IFERROR(__xludf.DUMMYFUNCTION("""COMPUTED_VALUE"""),"Dispatch_Images/KIT--17700.Photos.184609.jpg")</f>
        <v>Dispatch_Images/KIT--17700.Photos.184609.jpg</v>
      </c>
      <c r="T300" s="95">
        <f>IFERROR(__xludf.DUMMYFUNCTION("""COMPUTED_VALUE"""),46137.57849537037)</f>
        <v>46137.5785</v>
      </c>
      <c r="U300" s="93"/>
      <c r="V300" s="93"/>
      <c r="W300" s="93"/>
      <c r="X300" s="93"/>
      <c r="Y300" s="93"/>
      <c r="Z300" s="93"/>
    </row>
    <row r="301">
      <c r="A301" s="93" t="str">
        <f>IFERROR(__xludf.DUMMYFUNCTION("""COMPUTED_VALUE"""),"KIT-#17645")</f>
        <v>KIT-#17645</v>
      </c>
      <c r="B301" s="94">
        <f>IFERROR(__xludf.DUMMYFUNCTION("""COMPUTED_VALUE"""),46147.0)</f>
        <v>46147</v>
      </c>
      <c r="C301" s="93" t="str">
        <f>IFERROR(__xludf.DUMMYFUNCTION("""COMPUTED_VALUE"""),"Kit Delivery")</f>
        <v>Kit Delivery</v>
      </c>
      <c r="D301" s="93">
        <f>IFERROR(__xludf.DUMMYFUNCTION("""COMPUTED_VALUE"""),2.0)</f>
        <v>2</v>
      </c>
      <c r="E301" s="93" t="str">
        <f>IFERROR(__xludf.DUMMYFUNCTION("""COMPUTED_VALUE"""),"Koenig")</f>
        <v>Koenig</v>
      </c>
      <c r="F301" s="93">
        <f>IFERROR(__xludf.DUMMYFUNCTION("""COMPUTED_VALUE"""),1109.0)</f>
        <v>1109</v>
      </c>
      <c r="G301" s="93" t="str">
        <f>IFERROR(__xludf.DUMMYFUNCTION("""COMPUTED_VALUE"""),"Alexander Lefkowitz")</f>
        <v>Alexander Lefkowitz</v>
      </c>
      <c r="H301" s="93">
        <f>IFERROR(__xludf.DUMMYFUNCTION("""COMPUTED_VALUE"""),6.468724314E9)</f>
        <v>6468724314</v>
      </c>
      <c r="I301" s="93" t="str">
        <f>IFERROR(__xludf.DUMMYFUNCTION("""COMPUTED_VALUE"""),"9AM-11AM")</f>
        <v>9AM-11AM</v>
      </c>
      <c r="J301" s="93">
        <f>IFERROR(__xludf.DUMMYFUNCTION("""COMPUTED_VALUE"""),1.0)</f>
        <v>1</v>
      </c>
      <c r="K301" s="93" t="str">
        <f>IFERROR(__xludf.DUMMYFUNCTION("""COMPUTED_VALUE"""),"Complete")</f>
        <v>Complete</v>
      </c>
      <c r="L301" s="93"/>
      <c r="M301" s="94">
        <f>IFERROR(__xludf.DUMMYFUNCTION("""COMPUTED_VALUE"""),46137.57409722223)</f>
        <v>46137.5741</v>
      </c>
      <c r="N301" s="93">
        <f>IFERROR(__xludf.DUMMYFUNCTION("""COMPUTED_VALUE"""),129.0)</f>
        <v>129</v>
      </c>
      <c r="O301" s="93"/>
      <c r="P301" s="93" t="str">
        <f>IFERROR(__xludf.DUMMYFUNCTION("""COMPUTED_VALUE"""),"Kit Delivery")</f>
        <v>Kit Delivery</v>
      </c>
      <c r="Q301" s="93"/>
      <c r="R301" s="93"/>
      <c r="S301" s="93" t="str">
        <f>IFERROR(__xludf.DUMMYFUNCTION("""COMPUTED_VALUE"""),"Dispatch_Images/KIT--17645.Photos.184639.jpg")</f>
        <v>Dispatch_Images/KIT--17645.Photos.184639.jpg</v>
      </c>
      <c r="T301" s="95">
        <f>IFERROR(__xludf.DUMMYFUNCTION("""COMPUTED_VALUE"""),46137.57849537037)</f>
        <v>46137.5785</v>
      </c>
      <c r="U301" s="93"/>
      <c r="V301" s="93"/>
      <c r="W301" s="93"/>
      <c r="X301" s="93"/>
      <c r="Y301" s="93"/>
      <c r="Z301" s="93"/>
    </row>
    <row r="302">
      <c r="A302" s="93" t="str">
        <f>IFERROR(__xludf.DUMMYFUNCTION("""COMPUTED_VALUE"""),"KIT-#17513")</f>
        <v>KIT-#17513</v>
      </c>
      <c r="B302" s="94">
        <f>IFERROR(__xludf.DUMMYFUNCTION("""COMPUTED_VALUE"""),46147.0)</f>
        <v>46147</v>
      </c>
      <c r="C302" s="93" t="str">
        <f>IFERROR(__xludf.DUMMYFUNCTION("""COMPUTED_VALUE"""),"Kit Delivery")</f>
        <v>Kit Delivery</v>
      </c>
      <c r="D302" s="93">
        <f>IFERROR(__xludf.DUMMYFUNCTION("""COMPUTED_VALUE"""),2.0)</f>
        <v>2</v>
      </c>
      <c r="E302" s="93" t="str">
        <f>IFERROR(__xludf.DUMMYFUNCTION("""COMPUTED_VALUE"""),"Hitzeman")</f>
        <v>Hitzeman</v>
      </c>
      <c r="F302" s="93">
        <f>IFERROR(__xludf.DUMMYFUNCTION("""COMPUTED_VALUE"""),212.0)</f>
        <v>212</v>
      </c>
      <c r="G302" s="93" t="str">
        <f>IFERROR(__xludf.DUMMYFUNCTION("""COMPUTED_VALUE"""),"Jimmy Sha")</f>
        <v>Jimmy Sha</v>
      </c>
      <c r="H302" s="93">
        <f>IFERROR(__xludf.DUMMYFUNCTION("""COMPUTED_VALUE"""),3.147991686E9)</f>
        <v>3147991686</v>
      </c>
      <c r="I302" s="93" t="str">
        <f>IFERROR(__xludf.DUMMYFUNCTION("""COMPUTED_VALUE"""),"3PM-5PM")</f>
        <v>3PM-5PM</v>
      </c>
      <c r="J302" s="93">
        <f>IFERROR(__xludf.DUMMYFUNCTION("""COMPUTED_VALUE"""),2.0)</f>
        <v>2</v>
      </c>
      <c r="K302" s="93" t="str">
        <f>IFERROR(__xludf.DUMMYFUNCTION("""COMPUTED_VALUE"""),"Complete")</f>
        <v>Complete</v>
      </c>
      <c r="L302" s="93"/>
      <c r="M302" s="94">
        <f>IFERROR(__xludf.DUMMYFUNCTION("""COMPUTED_VALUE"""),46137.787141203706)</f>
        <v>46137.78714</v>
      </c>
      <c r="N302" s="93">
        <f>IFERROR(__xludf.DUMMYFUNCTION("""COMPUTED_VALUE"""),5.0)</f>
        <v>5</v>
      </c>
      <c r="O302" s="93"/>
      <c r="P302" s="93" t="str">
        <f>IFERROR(__xludf.DUMMYFUNCTION("""COMPUTED_VALUE"""),"Kit Delivery")</f>
        <v>Kit Delivery</v>
      </c>
      <c r="Q302" s="93"/>
      <c r="R302" s="93"/>
      <c r="S302" s="93" t="str">
        <f>IFERROR(__xludf.DUMMYFUNCTION("""COMPUTED_VALUE"""),"Dispatch_Images/KIT--17513.Photos.235325.jpg")</f>
        <v>Dispatch_Images/KIT--17513.Photos.235325.jpg</v>
      </c>
      <c r="T302" s="95">
        <f>IFERROR(__xludf.DUMMYFUNCTION("""COMPUTED_VALUE"""),46137.79378472222)</f>
        <v>46137.79378</v>
      </c>
      <c r="U302" s="93"/>
      <c r="V302" s="93"/>
      <c r="W302" s="93"/>
      <c r="X302" s="93"/>
      <c r="Y302" s="93"/>
      <c r="Z302" s="93"/>
    </row>
    <row r="303">
      <c r="A303" s="93" t="str">
        <f>IFERROR(__xludf.DUMMYFUNCTION("""COMPUTED_VALUE"""),"KIT-#17673")</f>
        <v>KIT-#17673</v>
      </c>
      <c r="B303" s="94">
        <f>IFERROR(__xludf.DUMMYFUNCTION("""COMPUTED_VALUE"""),46147.0)</f>
        <v>46147</v>
      </c>
      <c r="C303" s="93" t="str">
        <f>IFERROR(__xludf.DUMMYFUNCTION("""COMPUTED_VALUE"""),"Kit Delivery")</f>
        <v>Kit Delivery</v>
      </c>
      <c r="D303" s="93">
        <f>IFERROR(__xludf.DUMMYFUNCTION("""COMPUTED_VALUE"""),2.0)</f>
        <v>2</v>
      </c>
      <c r="E303" s="93" t="str">
        <f>IFERROR(__xludf.DUMMYFUNCTION("""COMPUTED_VALUE"""),"Lien")</f>
        <v>Lien</v>
      </c>
      <c r="F303" s="93">
        <f>IFERROR(__xludf.DUMMYFUNCTION("""COMPUTED_VALUE"""),3335.0)</f>
        <v>3335</v>
      </c>
      <c r="G303" s="93" t="str">
        <f>IFERROR(__xludf.DUMMYFUNCTION("""COMPUTED_VALUE"""),"Montana Montayre")</f>
        <v>Montana Montayre</v>
      </c>
      <c r="H303" s="93">
        <f>IFERROR(__xludf.DUMMYFUNCTION("""COMPUTED_VALUE"""),8.139566708E9)</f>
        <v>8139566708</v>
      </c>
      <c r="I303" s="93" t="str">
        <f>IFERROR(__xludf.DUMMYFUNCTION("""COMPUTED_VALUE"""),"12PM-2PM")</f>
        <v>12PM-2PM</v>
      </c>
      <c r="J303" s="93">
        <f>IFERROR(__xludf.DUMMYFUNCTION("""COMPUTED_VALUE"""),1.0)</f>
        <v>1</v>
      </c>
      <c r="K303" s="93" t="str">
        <f>IFERROR(__xludf.DUMMYFUNCTION("""COMPUTED_VALUE"""),"Complete")</f>
        <v>Complete</v>
      </c>
      <c r="L303" s="93"/>
      <c r="M303" s="94">
        <f>IFERROR(__xludf.DUMMYFUNCTION("""COMPUTED_VALUE"""),46137.825625)</f>
        <v>46137.82563</v>
      </c>
      <c r="N303" s="93">
        <f>IFERROR(__xludf.DUMMYFUNCTION("""COMPUTED_VALUE"""),152.0)</f>
        <v>152</v>
      </c>
      <c r="O303" s="93"/>
      <c r="P303" s="93" t="str">
        <f>IFERROR(__xludf.DUMMYFUNCTION("""COMPUTED_VALUE"""),"Kit Delivery")</f>
        <v>Kit Delivery</v>
      </c>
      <c r="Q303" s="93"/>
      <c r="R303" s="93"/>
      <c r="S303" s="93" t="str">
        <f>IFERROR(__xludf.DUMMYFUNCTION("""COMPUTED_VALUE"""),"Dispatch_Images/KIT--17673.Photos.004850.jpg")</f>
        <v>Dispatch_Images/KIT--17673.Photos.004850.jpg</v>
      </c>
      <c r="T303" s="95">
        <f>IFERROR(__xludf.DUMMYFUNCTION("""COMPUTED_VALUE"""),46137.82849537037)</f>
        <v>46137.8285</v>
      </c>
      <c r="U303" s="93"/>
      <c r="V303" s="93"/>
      <c r="W303" s="93"/>
      <c r="X303" s="93"/>
      <c r="Y303" s="93"/>
      <c r="Z303" s="93"/>
    </row>
    <row r="304">
      <c r="A304" s="93" t="str">
        <f>IFERROR(__xludf.DUMMYFUNCTION("""COMPUTED_VALUE"""),"KIT-#17711")</f>
        <v>KIT-#17711</v>
      </c>
      <c r="B304" s="94">
        <f>IFERROR(__xludf.DUMMYFUNCTION("""COMPUTED_VALUE"""),46147.0)</f>
        <v>46147</v>
      </c>
      <c r="C304" s="93" t="str">
        <f>IFERROR(__xludf.DUMMYFUNCTION("""COMPUTED_VALUE"""),"Kit Delivery")</f>
        <v>Kit Delivery</v>
      </c>
      <c r="D304" s="93">
        <f>IFERROR(__xludf.DUMMYFUNCTION("""COMPUTED_VALUE"""),2.0)</f>
        <v>2</v>
      </c>
      <c r="E304" s="93" t="str">
        <f>IFERROR(__xludf.DUMMYFUNCTION("""COMPUTED_VALUE"""),"Lien")</f>
        <v>Lien</v>
      </c>
      <c r="F304" s="93">
        <f>IFERROR(__xludf.DUMMYFUNCTION("""COMPUTED_VALUE"""),3323.0)</f>
        <v>3323</v>
      </c>
      <c r="G304" s="93" t="str">
        <f>IFERROR(__xludf.DUMMYFUNCTION("""COMPUTED_VALUE"""),"Flannery Poon")</f>
        <v>Flannery Poon</v>
      </c>
      <c r="H304" s="93">
        <f>IFERROR(__xludf.DUMMYFUNCTION("""COMPUTED_VALUE"""),6.176344803E9)</f>
        <v>6176344803</v>
      </c>
      <c r="I304" s="93" t="str">
        <f>IFERROR(__xludf.DUMMYFUNCTION("""COMPUTED_VALUE"""),"9AM-11AM")</f>
        <v>9AM-11AM</v>
      </c>
      <c r="J304" s="93">
        <f>IFERROR(__xludf.DUMMYFUNCTION("""COMPUTED_VALUE"""),1.0)</f>
        <v>1</v>
      </c>
      <c r="K304" s="93" t="str">
        <f>IFERROR(__xludf.DUMMYFUNCTION("""COMPUTED_VALUE"""),"Complete")</f>
        <v>Complete</v>
      </c>
      <c r="L304" s="93"/>
      <c r="M304" s="94">
        <f>IFERROR(__xludf.DUMMYFUNCTION("""COMPUTED_VALUE"""),46137.83215277777)</f>
        <v>46137.83215</v>
      </c>
      <c r="N304" s="93">
        <f>IFERROR(__xludf.DUMMYFUNCTION("""COMPUTED_VALUE"""),147.0)</f>
        <v>147</v>
      </c>
      <c r="O304" s="93"/>
      <c r="P304" s="93" t="str">
        <f>IFERROR(__xludf.DUMMYFUNCTION("""COMPUTED_VALUE"""),"Kit Delivery")</f>
        <v>Kit Delivery</v>
      </c>
      <c r="Q304" s="93"/>
      <c r="R304" s="93"/>
      <c r="S304" s="93" t="str">
        <f>IFERROR(__xludf.DUMMYFUNCTION("""COMPUTED_VALUE"""),"Dispatch_Images/KIT--17711.Photos.005815.jpg")</f>
        <v>Dispatch_Images/KIT--17711.Photos.005815.jpg</v>
      </c>
      <c r="T304" s="95">
        <f>IFERROR(__xludf.DUMMYFUNCTION("""COMPUTED_VALUE"""),46137.83546296296)</f>
        <v>46137.83546</v>
      </c>
      <c r="U304" s="93"/>
      <c r="V304" s="93"/>
      <c r="W304" s="93"/>
      <c r="X304" s="93"/>
      <c r="Y304" s="93"/>
      <c r="Z304" s="93"/>
    </row>
    <row r="305">
      <c r="A305" s="93" t="str">
        <f>IFERROR(__xludf.DUMMYFUNCTION("""COMPUTED_VALUE"""),"KIT-#17793")</f>
        <v>KIT-#17793</v>
      </c>
      <c r="B305" s="94">
        <f>IFERROR(__xludf.DUMMYFUNCTION("""COMPUTED_VALUE"""),46147.0)</f>
        <v>46147</v>
      </c>
      <c r="C305" s="93" t="str">
        <f>IFERROR(__xludf.DUMMYFUNCTION("""COMPUTED_VALUE"""),"Kit Delivery")</f>
        <v>Kit Delivery</v>
      </c>
      <c r="D305" s="93">
        <f>IFERROR(__xludf.DUMMYFUNCTION("""COMPUTED_VALUE"""),3.0)</f>
        <v>3</v>
      </c>
      <c r="E305" s="93" t="str">
        <f>IFERROR(__xludf.DUMMYFUNCTION("""COMPUTED_VALUE"""),"LL6300")</f>
        <v>LL6300</v>
      </c>
      <c r="F305" s="93">
        <f>IFERROR(__xludf.DUMMYFUNCTION("""COMPUTED_VALUE"""),214.0)</f>
        <v>214</v>
      </c>
      <c r="G305" s="93" t="str">
        <f>IFERROR(__xludf.DUMMYFUNCTION("""COMPUTED_VALUE"""),"Aileen Lee")</f>
        <v>Aileen Lee</v>
      </c>
      <c r="H305" s="93">
        <f>IFERROR(__xludf.DUMMYFUNCTION("""COMPUTED_VALUE"""),8.585887663E9)</f>
        <v>8585887663</v>
      </c>
      <c r="I305" s="93" t="str">
        <f>IFERROR(__xludf.DUMMYFUNCTION("""COMPUTED_VALUE"""),"9AM-11AM")</f>
        <v>9AM-11AM</v>
      </c>
      <c r="J305" s="93">
        <f>IFERROR(__xludf.DUMMYFUNCTION("""COMPUTED_VALUE"""),1.0)</f>
        <v>1</v>
      </c>
      <c r="K305" s="93" t="str">
        <f>IFERROR(__xludf.DUMMYFUNCTION("""COMPUTED_VALUE"""),"Complete")</f>
        <v>Complete</v>
      </c>
      <c r="L305" s="93"/>
      <c r="M305" s="94">
        <f>IFERROR(__xludf.DUMMYFUNCTION("""COMPUTED_VALUE"""),46140.73577546296)</f>
        <v>46140.73578</v>
      </c>
      <c r="N305" s="93">
        <f>IFERROR(__xludf.DUMMYFUNCTION("""COMPUTED_VALUE"""),214.0)</f>
        <v>214</v>
      </c>
      <c r="O305" s="93"/>
      <c r="P305" s="93" t="str">
        <f>IFERROR(__xludf.DUMMYFUNCTION("""COMPUTED_VALUE"""),"Kit Delivery")</f>
        <v>Kit Delivery</v>
      </c>
      <c r="Q305" s="93"/>
      <c r="R305" s="93"/>
      <c r="S305" s="93" t="str">
        <f>IFERROR(__xludf.DUMMYFUNCTION("""COMPUTED_VALUE"""),"Dispatch_Images/KIT--17793.Photos.223926.jpg")</f>
        <v>Dispatch_Images/KIT--17793.Photos.223926.jpg</v>
      </c>
      <c r="T305" s="95">
        <f>IFERROR(__xludf.DUMMYFUNCTION("""COMPUTED_VALUE"""),46140.738391203704)</f>
        <v>46140.73839</v>
      </c>
      <c r="U305" s="93"/>
      <c r="V305" s="93"/>
      <c r="W305" s="93"/>
      <c r="X305" s="93"/>
      <c r="Y305" s="93"/>
      <c r="Z305" s="93"/>
    </row>
    <row r="306">
      <c r="A306" s="93" t="str">
        <f>IFERROR(__xludf.DUMMYFUNCTION("""COMPUTED_VALUE"""),"KIT-#17784")</f>
        <v>KIT-#17784</v>
      </c>
      <c r="B306" s="94">
        <f>IFERROR(__xludf.DUMMYFUNCTION("""COMPUTED_VALUE"""),46147.0)</f>
        <v>46147</v>
      </c>
      <c r="C306" s="93" t="str">
        <f>IFERROR(__xludf.DUMMYFUNCTION("""COMPUTED_VALUE"""),"Kit Delivery")</f>
        <v>Kit Delivery</v>
      </c>
      <c r="D306" s="93">
        <f>IFERROR(__xludf.DUMMYFUNCTION("""COMPUTED_VALUE"""),3.0)</f>
        <v>3</v>
      </c>
      <c r="E306" s="93" t="str">
        <f>IFERROR(__xludf.DUMMYFUNCTION("""COMPUTED_VALUE"""),"LL6300")</f>
        <v>LL6300</v>
      </c>
      <c r="F306" s="93" t="str">
        <f>IFERROR(__xludf.DUMMYFUNCTION("""COMPUTED_VALUE"""),"214A")</f>
        <v>214A</v>
      </c>
      <c r="G306" s="93" t="str">
        <f>IFERROR(__xludf.DUMMYFUNCTION("""COMPUTED_VALUE"""),"Arynn Seo")</f>
        <v>Arynn Seo</v>
      </c>
      <c r="H306" s="93">
        <f>IFERROR(__xludf.DUMMYFUNCTION("""COMPUTED_VALUE"""),4.695148918E9)</f>
        <v>4695148918</v>
      </c>
      <c r="I306" s="93" t="str">
        <f>IFERROR(__xludf.DUMMYFUNCTION("""COMPUTED_VALUE"""),"9AM-11AM")</f>
        <v>9AM-11AM</v>
      </c>
      <c r="J306" s="93">
        <f>IFERROR(__xludf.DUMMYFUNCTION("""COMPUTED_VALUE"""),1.0)</f>
        <v>1</v>
      </c>
      <c r="K306" s="93" t="str">
        <f>IFERROR(__xludf.DUMMYFUNCTION("""COMPUTED_VALUE"""),"Complete")</f>
        <v>Complete</v>
      </c>
      <c r="L306" s="93"/>
      <c r="M306" s="94">
        <f>IFERROR(__xludf.DUMMYFUNCTION("""COMPUTED_VALUE"""),46140.737291666665)</f>
        <v>46140.73729</v>
      </c>
      <c r="N306" s="93">
        <f>IFERROR(__xludf.DUMMYFUNCTION("""COMPUTED_VALUE"""),215.0)</f>
        <v>215</v>
      </c>
      <c r="O306" s="93"/>
      <c r="P306" s="93" t="str">
        <f>IFERROR(__xludf.DUMMYFUNCTION("""COMPUTED_VALUE"""),"Kit Delivery")</f>
        <v>Kit Delivery</v>
      </c>
      <c r="Q306" s="93" t="str">
        <f>IFERROR(__xludf.DUMMYFUNCTION("""COMPUTED_VALUE"""),"Drop off at Everly on the Loop")</f>
        <v>Drop off at Everly on the Loop</v>
      </c>
      <c r="R306" s="93"/>
      <c r="S306" s="93" t="str">
        <f>IFERROR(__xludf.DUMMYFUNCTION("""COMPUTED_VALUE"""),"Dispatch_Images/KIT--17784.Photos.224139.jpg")</f>
        <v>Dispatch_Images/KIT--17784.Photos.224139.jpg</v>
      </c>
      <c r="T306" s="95">
        <f>IFERROR(__xludf.DUMMYFUNCTION("""COMPUTED_VALUE"""),46140.738391203704)</f>
        <v>46140.73839</v>
      </c>
      <c r="U306" s="93"/>
      <c r="V306" s="93"/>
      <c r="W306" s="93"/>
      <c r="X306" s="93"/>
      <c r="Y306" s="93"/>
      <c r="Z306" s="93"/>
    </row>
    <row r="307">
      <c r="A307" s="93" t="str">
        <f>IFERROR(__xludf.DUMMYFUNCTION("""COMPUTED_VALUE"""),"KIT-#17214")</f>
        <v>KIT-#17214</v>
      </c>
      <c r="B307" s="94">
        <f>IFERROR(__xludf.DUMMYFUNCTION("""COMPUTED_VALUE"""),46147.0)</f>
        <v>46147</v>
      </c>
      <c r="C307" s="93" t="str">
        <f>IFERROR(__xludf.DUMMYFUNCTION("""COMPUTED_VALUE"""),"Kit Delivery")</f>
        <v>Kit Delivery</v>
      </c>
      <c r="D307" s="93">
        <f>IFERROR(__xludf.DUMMYFUNCTION("""COMPUTED_VALUE"""),3.0)</f>
        <v>3</v>
      </c>
      <c r="E307" s="93" t="str">
        <f>IFERROR(__xludf.DUMMYFUNCTION("""COMPUTED_VALUE"""),"LL6255")</f>
        <v>LL6255</v>
      </c>
      <c r="F307" s="93" t="str">
        <f>IFERROR(__xludf.DUMMYFUNCTION("""COMPUTED_VALUE"""),"307b")</f>
        <v>307b</v>
      </c>
      <c r="G307" s="93" t="str">
        <f>IFERROR(__xludf.DUMMYFUNCTION("""COMPUTED_VALUE"""),"Evan JInu Kim")</f>
        <v>Evan JInu Kim</v>
      </c>
      <c r="H307" s="93" t="str">
        <f>IFERROR(__xludf.DUMMYFUNCTION("""COMPUTED_VALUE"""),"(469) 820-2045")</f>
        <v>(469) 820-2045</v>
      </c>
      <c r="I307" s="93" t="str">
        <f>IFERROR(__xludf.DUMMYFUNCTION("""COMPUTED_VALUE"""),"10AM-12PM")</f>
        <v>10AM-12PM</v>
      </c>
      <c r="J307" s="93">
        <f>IFERROR(__xludf.DUMMYFUNCTION("""COMPUTED_VALUE"""),1.0)</f>
        <v>1</v>
      </c>
      <c r="K307" s="93" t="str">
        <f>IFERROR(__xludf.DUMMYFUNCTION("""COMPUTED_VALUE"""),"Complete")</f>
        <v>Complete</v>
      </c>
      <c r="L307" s="93"/>
      <c r="M307" s="94">
        <f>IFERROR(__xludf.DUMMYFUNCTION("""COMPUTED_VALUE"""),46140.74722222222)</f>
        <v>46140.74722</v>
      </c>
      <c r="N307" s="93">
        <f>IFERROR(__xludf.DUMMYFUNCTION("""COMPUTED_VALUE"""),208.0)</f>
        <v>208</v>
      </c>
      <c r="O307" s="93"/>
      <c r="P307" s="93" t="str">
        <f>IFERROR(__xludf.DUMMYFUNCTION("""COMPUTED_VALUE"""),"Kit Delivery")</f>
        <v>Kit Delivery</v>
      </c>
      <c r="Q307" s="93"/>
      <c r="R307" s="93"/>
      <c r="S307" s="93" t="str">
        <f>IFERROR(__xludf.DUMMYFUNCTION("""COMPUTED_VALUE"""),"Dispatch_Images/KIT--17214.Photos.225557.jpg")</f>
        <v>Dispatch_Images/KIT--17214.Photos.225557.jpg</v>
      </c>
      <c r="T307" s="95">
        <f>IFERROR(__xludf.DUMMYFUNCTION("""COMPUTED_VALUE"""),46140.752118055556)</f>
        <v>46140.75212</v>
      </c>
      <c r="U307" s="93"/>
      <c r="V307" s="93"/>
      <c r="W307" s="93"/>
      <c r="X307" s="93"/>
      <c r="Y307" s="93"/>
      <c r="Z307" s="93"/>
    </row>
    <row r="308">
      <c r="A308" s="93" t="str">
        <f>IFERROR(__xludf.DUMMYFUNCTION("""COMPUTED_VALUE"""),"KIT-#17773")</f>
        <v>KIT-#17773</v>
      </c>
      <c r="B308" s="94">
        <f>IFERROR(__xludf.DUMMYFUNCTION("""COMPUTED_VALUE"""),46147.0)</f>
        <v>46147</v>
      </c>
      <c r="C308" s="93" t="str">
        <f>IFERROR(__xludf.DUMMYFUNCTION("""COMPUTED_VALUE"""),"Kit Delivery")</f>
        <v>Kit Delivery</v>
      </c>
      <c r="D308" s="93">
        <f>IFERROR(__xludf.DUMMYFUNCTION("""COMPUTED_VALUE"""),2.0)</f>
        <v>2</v>
      </c>
      <c r="E308" s="93" t="str">
        <f>IFERROR(__xludf.DUMMYFUNCTION("""COMPUTED_VALUE"""),"Nemerov")</f>
        <v>Nemerov</v>
      </c>
      <c r="F308" s="93">
        <f>IFERROR(__xludf.DUMMYFUNCTION("""COMPUTED_VALUE"""),3041.0)</f>
        <v>3041</v>
      </c>
      <c r="G308" s="93" t="str">
        <f>IFERROR(__xludf.DUMMYFUNCTION("""COMPUTED_VALUE"""),"Taina Cepeda")</f>
        <v>Taina Cepeda</v>
      </c>
      <c r="H308" s="93">
        <f>IFERROR(__xludf.DUMMYFUNCTION("""COMPUTED_VALUE"""),3.473025156E9)</f>
        <v>3473025156</v>
      </c>
      <c r="I308" s="93" t="str">
        <f>IFERROR(__xludf.DUMMYFUNCTION("""COMPUTED_VALUE"""),"9AM-11AM")</f>
        <v>9AM-11AM</v>
      </c>
      <c r="J308" s="93">
        <f>IFERROR(__xludf.DUMMYFUNCTION("""COMPUTED_VALUE"""),1.0)</f>
        <v>1</v>
      </c>
      <c r="K308" s="93" t="str">
        <f>IFERROR(__xludf.DUMMYFUNCTION("""COMPUTED_VALUE"""),"Complete")</f>
        <v>Complete</v>
      </c>
      <c r="L308" s="93"/>
      <c r="M308" s="94">
        <f>IFERROR(__xludf.DUMMYFUNCTION("""COMPUTED_VALUE"""),46140.76050925926)</f>
        <v>46140.76051</v>
      </c>
      <c r="N308" s="93">
        <f>IFERROR(__xludf.DUMMYFUNCTION("""COMPUTED_VALUE"""),100.0)</f>
        <v>100</v>
      </c>
      <c r="O308" s="93"/>
      <c r="P308" s="93" t="str">
        <f>IFERROR(__xludf.DUMMYFUNCTION("""COMPUTED_VALUE"""),"Kit Delivery")</f>
        <v>Kit Delivery</v>
      </c>
      <c r="Q308" s="93"/>
      <c r="R308" s="93"/>
      <c r="S308" s="93" t="str">
        <f>IFERROR(__xludf.DUMMYFUNCTION("""COMPUTED_VALUE"""),"Dispatch_Images/KIT--17773.Photos.231506.jpg")</f>
        <v>Dispatch_Images/KIT--17773.Photos.231506.jpg</v>
      </c>
      <c r="T308" s="95">
        <f>IFERROR(__xludf.DUMMYFUNCTION("""COMPUTED_VALUE"""),46140.76600694445)</f>
        <v>46140.76601</v>
      </c>
      <c r="U308" s="93"/>
      <c r="V308" s="93"/>
      <c r="W308" s="93"/>
      <c r="X308" s="93"/>
      <c r="Y308" s="93"/>
      <c r="Z308" s="93"/>
    </row>
    <row r="309">
      <c r="A309" s="93" t="str">
        <f>IFERROR(__xludf.DUMMYFUNCTION("""COMPUTED_VALUE"""),"KIT-#17579")</f>
        <v>KIT-#17579</v>
      </c>
      <c r="B309" s="94">
        <f>IFERROR(__xludf.DUMMYFUNCTION("""COMPUTED_VALUE"""),46147.0)</f>
        <v>46147</v>
      </c>
      <c r="C309" s="93" t="str">
        <f>IFERROR(__xludf.DUMMYFUNCTION("""COMPUTED_VALUE"""),"Kit Delivery")</f>
        <v>Kit Delivery</v>
      </c>
      <c r="D309" s="93">
        <f>IFERROR(__xludf.DUMMYFUNCTION("""COMPUTED_VALUE"""),2.0)</f>
        <v>2</v>
      </c>
      <c r="E309" s="93" t="str">
        <f>IFERROR(__xludf.DUMMYFUNCTION("""COMPUTED_VALUE"""),"Lien")</f>
        <v>Lien</v>
      </c>
      <c r="F309" s="93">
        <f>IFERROR(__xludf.DUMMYFUNCTION("""COMPUTED_VALUE"""),3317.0)</f>
        <v>3317</v>
      </c>
      <c r="G309" s="93" t="str">
        <f>IFERROR(__xludf.DUMMYFUNCTION("""COMPUTED_VALUE"""),"Dito Chipfunde-Nong")</f>
        <v>Dito Chipfunde-Nong</v>
      </c>
      <c r="H309" s="93">
        <f>IFERROR(__xludf.DUMMYFUNCTION("""COMPUTED_VALUE"""),3.473644427E9)</f>
        <v>3473644427</v>
      </c>
      <c r="I309" s="93" t="str">
        <f>IFERROR(__xludf.DUMMYFUNCTION("""COMPUTED_VALUE"""),"10AM-12PM")</f>
        <v>10AM-12PM</v>
      </c>
      <c r="J309" s="93">
        <f>IFERROR(__xludf.DUMMYFUNCTION("""COMPUTED_VALUE"""),1.0)</f>
        <v>1</v>
      </c>
      <c r="K309" s="93" t="str">
        <f>IFERROR(__xludf.DUMMYFUNCTION("""COMPUTED_VALUE"""),"Complete")</f>
        <v>Complete</v>
      </c>
      <c r="L309" s="93"/>
      <c r="M309" s="94">
        <f>IFERROR(__xludf.DUMMYFUNCTION("""COMPUTED_VALUE"""),46140.801250000004)</f>
        <v>46140.80125</v>
      </c>
      <c r="N309" s="93">
        <f>IFERROR(__xludf.DUMMYFUNCTION("""COMPUTED_VALUE"""),137.0)</f>
        <v>137</v>
      </c>
      <c r="O309" s="93"/>
      <c r="P309" s="93" t="str">
        <f>IFERROR(__xludf.DUMMYFUNCTION("""COMPUTED_VALUE"""),"Kit Delivery")</f>
        <v>Kit Delivery</v>
      </c>
      <c r="Q309" s="93"/>
      <c r="R309" s="93"/>
      <c r="S309" s="93" t="str">
        <f>IFERROR(__xludf.DUMMYFUNCTION("""COMPUTED_VALUE"""),"Dispatch_Images/KIT--17579.Photos.001345.jpg")</f>
        <v>Dispatch_Images/KIT--17579.Photos.001345.jpg</v>
      </c>
      <c r="T309" s="95">
        <f>IFERROR(__xludf.DUMMYFUNCTION("""COMPUTED_VALUE"""),46140.80767361111)</f>
        <v>46140.80767</v>
      </c>
      <c r="U309" s="93"/>
      <c r="V309" s="93"/>
      <c r="W309" s="93"/>
      <c r="X309" s="93"/>
      <c r="Y309" s="93"/>
      <c r="Z309" s="93"/>
    </row>
    <row r="310">
      <c r="A310" s="93" t="str">
        <f>IFERROR(__xludf.DUMMYFUNCTION("""COMPUTED_VALUE"""),"KIT-#17689")</f>
        <v>KIT-#17689</v>
      </c>
      <c r="B310" s="94">
        <f>IFERROR(__xludf.DUMMYFUNCTION("""COMPUTED_VALUE"""),46147.0)</f>
        <v>46147</v>
      </c>
      <c r="C310" s="93" t="str">
        <f>IFERROR(__xludf.DUMMYFUNCTION("""COMPUTED_VALUE"""),"Kit Delivery")</f>
        <v>Kit Delivery</v>
      </c>
      <c r="D310" s="93">
        <f>IFERROR(__xludf.DUMMYFUNCTION("""COMPUTED_VALUE"""),3.0)</f>
        <v>3</v>
      </c>
      <c r="E310" s="93" t="str">
        <f>IFERROR(__xludf.DUMMYFUNCTION("""COMPUTED_VALUE"""),"House 7")</f>
        <v>House 7</v>
      </c>
      <c r="F310" s="93">
        <f>IFERROR(__xludf.DUMMYFUNCTION("""COMPUTED_VALUE"""),203.0)</f>
        <v>203</v>
      </c>
      <c r="G310" s="93" t="str">
        <f>IFERROR(__xludf.DUMMYFUNCTION("""COMPUTED_VALUE"""),"Levi*")</f>
        <v>Levi*</v>
      </c>
      <c r="H310" s="93">
        <f>IFERROR(__xludf.DUMMYFUNCTION("""COMPUTED_VALUE"""),8.582435057E9)</f>
        <v>8582435057</v>
      </c>
      <c r="I310" s="93" t="str">
        <f>IFERROR(__xludf.DUMMYFUNCTION("""COMPUTED_VALUE"""),"9AM-11AM")</f>
        <v>9AM-11AM</v>
      </c>
      <c r="J310" s="93">
        <f>IFERROR(__xludf.DUMMYFUNCTION("""COMPUTED_VALUE"""),2.0)</f>
        <v>2</v>
      </c>
      <c r="K310" s="93" t="str">
        <f>IFERROR(__xludf.DUMMYFUNCTION("""COMPUTED_VALUE"""),"Complete")</f>
        <v>Complete</v>
      </c>
      <c r="L310" s="93"/>
      <c r="M310" s="94">
        <f>IFERROR(__xludf.DUMMYFUNCTION("""COMPUTED_VALUE"""),46140.83793981481)</f>
        <v>46140.83794</v>
      </c>
      <c r="N310" s="93">
        <f>IFERROR(__xludf.DUMMYFUNCTION("""COMPUTED_VALUE"""),202.0)</f>
        <v>202</v>
      </c>
      <c r="O310" s="93"/>
      <c r="P310" s="93" t="str">
        <f>IFERROR(__xludf.DUMMYFUNCTION("""COMPUTED_VALUE"""),"Kit Delivery")</f>
        <v>Kit Delivery</v>
      </c>
      <c r="Q310" s="93" t="str">
        <f>IFERROR(__xludf.DUMMYFUNCTION("""COMPUTED_VALUE"""),"Levi is leaving on the 5th early in the am, so will not be there during pick up. Is that ok? My understanding is boxes may be picked up after students leave? Please confirm. Thank you, Lisa")</f>
        <v>Levi is leaving on the 5th early in the am, so will not be there during pick up. Is that ok? My understanding is boxes may be picked up after students leave? Please confirm. Thank you, Lisa</v>
      </c>
      <c r="R310" s="93"/>
      <c r="S310" s="93" t="str">
        <f>IFERROR(__xludf.DUMMYFUNCTION("""COMPUTED_VALUE"""),"Dispatch_Images/KIT--17689.Photos.010634.jpg")</f>
        <v>Dispatch_Images/KIT--17689.Photos.010634.jpg</v>
      </c>
      <c r="T310" s="95">
        <f>IFERROR(__xludf.DUMMYFUNCTION("""COMPUTED_VALUE"""),46140.84238425926)</f>
        <v>46140.84238</v>
      </c>
      <c r="U310" s="93"/>
      <c r="V310" s="93"/>
      <c r="W310" s="93"/>
      <c r="X310" s="93"/>
      <c r="Y310" s="93"/>
      <c r="Z310" s="93"/>
    </row>
    <row r="311">
      <c r="A311" s="93" t="str">
        <f>IFERROR(__xludf.DUMMYFUNCTION("""COMPUTED_VALUE"""),"KIT-#17565")</f>
        <v>KIT-#17565</v>
      </c>
      <c r="B311" s="94">
        <f>IFERROR(__xludf.DUMMYFUNCTION("""COMPUTED_VALUE"""),46147.0)</f>
        <v>46147</v>
      </c>
      <c r="C311" s="93" t="str">
        <f>IFERROR(__xludf.DUMMYFUNCTION("""COMPUTED_VALUE"""),"Kit Delivery")</f>
        <v>Kit Delivery</v>
      </c>
      <c r="D311" s="93">
        <f>IFERROR(__xludf.DUMMYFUNCTION("""COMPUTED_VALUE"""),4.0)</f>
        <v>4</v>
      </c>
      <c r="E311" s="93" t="str">
        <f>IFERROR(__xludf.DUMMYFUNCTION("""COMPUTED_VALUE"""),"Hurd")</f>
        <v>Hurd</v>
      </c>
      <c r="F311" s="93">
        <f>IFERROR(__xludf.DUMMYFUNCTION("""COMPUTED_VALUE"""),142.0)</f>
        <v>142</v>
      </c>
      <c r="G311" s="93" t="str">
        <f>IFERROR(__xludf.DUMMYFUNCTION("""COMPUTED_VALUE"""),"Juliana Shi")</f>
        <v>Juliana Shi</v>
      </c>
      <c r="H311" s="93">
        <f>IFERROR(__xludf.DUMMYFUNCTION("""COMPUTED_VALUE"""),8.086926846E9)</f>
        <v>8086926846</v>
      </c>
      <c r="I311" s="93" t="str">
        <f>IFERROR(__xludf.DUMMYFUNCTION("""COMPUTED_VALUE"""),"3PM-5PM")</f>
        <v>3PM-5PM</v>
      </c>
      <c r="J311" s="93">
        <f>IFERROR(__xludf.DUMMYFUNCTION("""COMPUTED_VALUE"""),1.0)</f>
        <v>1</v>
      </c>
      <c r="K311" s="93" t="str">
        <f>IFERROR(__xludf.DUMMYFUNCTION("""COMPUTED_VALUE"""),"Complete")</f>
        <v>Complete</v>
      </c>
      <c r="L311" s="93"/>
      <c r="M311" s="94">
        <f>IFERROR(__xludf.DUMMYFUNCTION("""COMPUTED_VALUE"""),46141.97072916667)</f>
        <v>46141.97073</v>
      </c>
      <c r="N311" s="93">
        <f>IFERROR(__xludf.DUMMYFUNCTION("""COMPUTED_VALUE"""),1.0)</f>
        <v>1</v>
      </c>
      <c r="O311" s="93"/>
      <c r="P311" s="93" t="str">
        <f>IFERROR(__xludf.DUMMYFUNCTION("""COMPUTED_VALUE"""),"Kit Delivery")</f>
        <v>Kit Delivery</v>
      </c>
      <c r="Q311" s="93"/>
      <c r="R311" s="93"/>
      <c r="S311" s="93" t="str">
        <f>IFERROR(__xludf.DUMMYFUNCTION("""COMPUTED_VALUE"""),"Dispatch_Images/KIT--17565.Photos.041747.jpg")</f>
        <v>Dispatch_Images/KIT--17565.Photos.041747.jpg</v>
      </c>
      <c r="T311" s="95">
        <f>IFERROR(__xludf.DUMMYFUNCTION("""COMPUTED_VALUE"""),46141.97493055555)</f>
        <v>46141.97493</v>
      </c>
      <c r="U311" s="93"/>
      <c r="V311" s="93"/>
      <c r="W311" s="93"/>
      <c r="X311" s="93"/>
      <c r="Y311" s="93"/>
      <c r="Z311" s="93"/>
    </row>
    <row r="312">
      <c r="A312" s="93" t="str">
        <f>IFERROR(__xludf.DUMMYFUNCTION("""COMPUTED_VALUE"""),"KIT-#17991")</f>
        <v>KIT-#17991</v>
      </c>
      <c r="B312" s="94">
        <f>IFERROR(__xludf.DUMMYFUNCTION("""COMPUTED_VALUE"""),46147.0)</f>
        <v>46147</v>
      </c>
      <c r="C312" s="93" t="str">
        <f>IFERROR(__xludf.DUMMYFUNCTION("""COMPUTED_VALUE"""),"Kit Delivery")</f>
        <v>Kit Delivery</v>
      </c>
      <c r="D312" s="93">
        <f>IFERROR(__xludf.DUMMYFUNCTION("""COMPUTED_VALUE"""),4.0)</f>
        <v>4</v>
      </c>
      <c r="E312" s="93" t="str">
        <f>IFERROR(__xludf.DUMMYFUNCTION("""COMPUTED_VALUE"""),"Eliot B")</f>
        <v>Eliot B</v>
      </c>
      <c r="F312" s="93">
        <f>IFERROR(__xludf.DUMMYFUNCTION("""COMPUTED_VALUE"""),2052.0)</f>
        <v>2052</v>
      </c>
      <c r="G312" s="93" t="str">
        <f>IFERROR(__xludf.DUMMYFUNCTION("""COMPUTED_VALUE"""),"Sanayah Mulla-Feroze")</f>
        <v>Sanayah Mulla-Feroze</v>
      </c>
      <c r="H312" s="93">
        <f>IFERROR(__xludf.DUMMYFUNCTION("""COMPUTED_VALUE"""),6.287778763E9)</f>
        <v>6287778763</v>
      </c>
      <c r="I312" s="93" t="str">
        <f>IFERROR(__xludf.DUMMYFUNCTION("""COMPUTED_VALUE"""),"9AM-11AM")</f>
        <v>9AM-11AM</v>
      </c>
      <c r="J312" s="93">
        <f>IFERROR(__xludf.DUMMYFUNCTION("""COMPUTED_VALUE"""),1.0)</f>
        <v>1</v>
      </c>
      <c r="K312" s="93" t="str">
        <f>IFERROR(__xludf.DUMMYFUNCTION("""COMPUTED_VALUE"""),"Complete")</f>
        <v>Complete</v>
      </c>
      <c r="L312" s="93"/>
      <c r="M312" s="94">
        <f>IFERROR(__xludf.DUMMYFUNCTION("""COMPUTED_VALUE"""),46141.97484953704)</f>
        <v>46141.97485</v>
      </c>
      <c r="N312" s="93">
        <f>IFERROR(__xludf.DUMMYFUNCTION("""COMPUTED_VALUE"""),36.0)</f>
        <v>36</v>
      </c>
      <c r="O312" s="93"/>
      <c r="P312" s="93" t="str">
        <f>IFERROR(__xludf.DUMMYFUNCTION("""COMPUTED_VALUE"""),"Kit Delivery")</f>
        <v>Kit Delivery</v>
      </c>
      <c r="Q312" s="93"/>
      <c r="R312" s="93"/>
      <c r="S312" s="93" t="str">
        <f>IFERROR(__xludf.DUMMYFUNCTION("""COMPUTED_VALUE"""),"Dispatch_Images/KIT--17991.Photos.042344.jpg")</f>
        <v>Dispatch_Images/KIT--17991.Photos.042344.jpg</v>
      </c>
      <c r="T312" s="95">
        <f>IFERROR(__xludf.DUMMYFUNCTION("""COMPUTED_VALUE"""),46141.97493055555)</f>
        <v>46141.97493</v>
      </c>
      <c r="U312" s="93"/>
      <c r="V312" s="93"/>
      <c r="W312" s="93"/>
      <c r="X312" s="93"/>
      <c r="Y312" s="93"/>
      <c r="Z312" s="93"/>
    </row>
    <row r="313">
      <c r="A313" s="93" t="str">
        <f>IFERROR(__xludf.DUMMYFUNCTION("""COMPUTED_VALUE"""),"KIT-#17727")</f>
        <v>KIT-#17727</v>
      </c>
      <c r="B313" s="94">
        <f>IFERROR(__xludf.DUMMYFUNCTION("""COMPUTED_VALUE"""),46147.0)</f>
        <v>46147</v>
      </c>
      <c r="C313" s="93" t="str">
        <f>IFERROR(__xludf.DUMMYFUNCTION("""COMPUTED_VALUE"""),"Kit Delivery")</f>
        <v>Kit Delivery</v>
      </c>
      <c r="D313" s="93">
        <f>IFERROR(__xludf.DUMMYFUNCTION("""COMPUTED_VALUE"""),3.0)</f>
        <v>3</v>
      </c>
      <c r="E313" s="93" t="str">
        <f>IFERROR(__xludf.DUMMYFUNCTION("""COMPUTED_VALUE"""),"Eliot A")</f>
        <v>Eliot A</v>
      </c>
      <c r="F313" s="93">
        <f>IFERROR(__xludf.DUMMYFUNCTION("""COMPUTED_VALUE"""),2051.0)</f>
        <v>2051</v>
      </c>
      <c r="G313" s="93" t="str">
        <f>IFERROR(__xludf.DUMMYFUNCTION("""COMPUTED_VALUE"""),"Violet Walsh")</f>
        <v>Violet Walsh</v>
      </c>
      <c r="H313" s="93">
        <f>IFERROR(__xludf.DUMMYFUNCTION("""COMPUTED_VALUE"""),4.109255272E9)</f>
        <v>4109255272</v>
      </c>
      <c r="I313" s="93" t="str">
        <f>IFERROR(__xludf.DUMMYFUNCTION("""COMPUTED_VALUE"""),"2PM-4PM")</f>
        <v>2PM-4PM</v>
      </c>
      <c r="J313" s="93">
        <f>IFERROR(__xludf.DUMMYFUNCTION("""COMPUTED_VALUE"""),1.0)</f>
        <v>1</v>
      </c>
      <c r="K313" s="93" t="str">
        <f>IFERROR(__xludf.DUMMYFUNCTION("""COMPUTED_VALUE"""),"Complete")</f>
        <v>Complete</v>
      </c>
      <c r="L313" s="93"/>
      <c r="M313" s="94">
        <f>IFERROR(__xludf.DUMMYFUNCTION("""COMPUTED_VALUE"""),46141.978483796294)</f>
        <v>46141.97848</v>
      </c>
      <c r="N313" s="93">
        <f>IFERROR(__xludf.DUMMYFUNCTION("""COMPUTED_VALUE"""),21.0)</f>
        <v>21</v>
      </c>
      <c r="O313" s="93"/>
      <c r="P313" s="93" t="str">
        <f>IFERROR(__xludf.DUMMYFUNCTION("""COMPUTED_VALUE"""),"Kit Delivery")</f>
        <v>Kit Delivery</v>
      </c>
      <c r="Q313" s="93"/>
      <c r="R313" s="93"/>
      <c r="S313" s="93" t="str">
        <f>IFERROR(__xludf.DUMMYFUNCTION("""COMPUTED_VALUE"""),"Dispatch_Images/KIT--17727.Photos.042856.jpg")</f>
        <v>Dispatch_Images/KIT--17727.Photos.042856.jpg</v>
      </c>
      <c r="T313" s="95">
        <f>IFERROR(__xludf.DUMMYFUNCTION("""COMPUTED_VALUE"""),46141.983773148146)</f>
        <v>46141.98377</v>
      </c>
      <c r="U313" s="93"/>
      <c r="V313" s="93"/>
      <c r="W313" s="93"/>
      <c r="X313" s="93"/>
      <c r="Y313" s="93"/>
      <c r="Z313" s="93"/>
    </row>
    <row r="314">
      <c r="A314" s="93" t="str">
        <f>IFERROR(__xludf.DUMMYFUNCTION("""COMPUTED_VALUE"""),"KIT-#17861")</f>
        <v>KIT-#17861</v>
      </c>
      <c r="B314" s="94">
        <f>IFERROR(__xludf.DUMMYFUNCTION("""COMPUTED_VALUE"""),46147.0)</f>
        <v>46147</v>
      </c>
      <c r="C314" s="93" t="str">
        <f>IFERROR(__xludf.DUMMYFUNCTION("""COMPUTED_VALUE"""),"Kit Delivery")</f>
        <v>Kit Delivery</v>
      </c>
      <c r="D314" s="93">
        <f>IFERROR(__xludf.DUMMYFUNCTION("""COMPUTED_VALUE"""),3.0)</f>
        <v>3</v>
      </c>
      <c r="E314" s="93" t="str">
        <f>IFERROR(__xludf.DUMMYFUNCTION("""COMPUTED_VALUE"""),"Hurd")</f>
        <v>Hurd</v>
      </c>
      <c r="F314" s="93">
        <f>IFERROR(__xludf.DUMMYFUNCTION("""COMPUTED_VALUE"""),421.0)</f>
        <v>421</v>
      </c>
      <c r="G314" s="93" t="str">
        <f>IFERROR(__xludf.DUMMYFUNCTION("""COMPUTED_VALUE"""),"Bronwyn Hamilton-Evans")</f>
        <v>Bronwyn Hamilton-Evans</v>
      </c>
      <c r="H314" s="93">
        <f>IFERROR(__xludf.DUMMYFUNCTION("""COMPUTED_VALUE"""),9.725338403E9)</f>
        <v>9725338403</v>
      </c>
      <c r="I314" s="93" t="str">
        <f>IFERROR(__xludf.DUMMYFUNCTION("""COMPUTED_VALUE"""),"9AM-11AM")</f>
        <v>9AM-11AM</v>
      </c>
      <c r="J314" s="93">
        <f>IFERROR(__xludf.DUMMYFUNCTION("""COMPUTED_VALUE"""),1.0)</f>
        <v>1</v>
      </c>
      <c r="K314" s="93" t="str">
        <f>IFERROR(__xludf.DUMMYFUNCTION("""COMPUTED_VALUE"""),"Complete")</f>
        <v>Complete</v>
      </c>
      <c r="L314" s="93"/>
      <c r="M314" s="94">
        <f>IFERROR(__xludf.DUMMYFUNCTION("""COMPUTED_VALUE"""),46141.979363425926)</f>
        <v>46141.97936</v>
      </c>
      <c r="N314" s="93">
        <f>IFERROR(__xludf.DUMMYFUNCTION("""COMPUTED_VALUE"""),10.0)</f>
        <v>10</v>
      </c>
      <c r="O314" s="93" t="str">
        <f>IFERROR(__xludf.DUMMYFUNCTION("""COMPUTED_VALUE"""),"4413 W University Blvd, Dallas, TX 75209")</f>
        <v>4413 W University Blvd, Dallas, TX 75209</v>
      </c>
      <c r="P314" s="93" t="str">
        <f>IFERROR(__xludf.DUMMYFUNCTION("""COMPUTED_VALUE"""),"Kit Delivery")</f>
        <v>Kit Delivery</v>
      </c>
      <c r="Q314" s="93"/>
      <c r="R314" s="93"/>
      <c r="S314" s="93" t="str">
        <f>IFERROR(__xludf.DUMMYFUNCTION("""COMPUTED_VALUE"""),"Dispatch_Images/KIT--17861.Photos.041614.jpg")</f>
        <v>Dispatch_Images/KIT--17861.Photos.041614.jpg</v>
      </c>
      <c r="T314" s="95">
        <f>IFERROR(__xludf.DUMMYFUNCTION("""COMPUTED_VALUE"""),46141.983773148146)</f>
        <v>46141.98377</v>
      </c>
      <c r="U314" s="93"/>
      <c r="V314" s="93"/>
      <c r="W314" s="93"/>
      <c r="X314" s="93"/>
      <c r="Y314" s="93"/>
      <c r="Z314" s="93"/>
    </row>
    <row r="315">
      <c r="A315" s="93" t="str">
        <f>IFERROR(__xludf.DUMMYFUNCTION("""COMPUTED_VALUE"""),"KIT-#17515")</f>
        <v>KIT-#17515</v>
      </c>
      <c r="B315" s="94">
        <f>IFERROR(__xludf.DUMMYFUNCTION("""COMPUTED_VALUE"""),46147.0)</f>
        <v>46147</v>
      </c>
      <c r="C315" s="93" t="str">
        <f>IFERROR(__xludf.DUMMYFUNCTION("""COMPUTED_VALUE"""),"Kit Delivery")</f>
        <v>Kit Delivery</v>
      </c>
      <c r="D315" s="93">
        <f>IFERROR(__xludf.DUMMYFUNCTION("""COMPUTED_VALUE"""),3.0)</f>
        <v>3</v>
      </c>
      <c r="E315" s="93" t="str">
        <f>IFERROR(__xludf.DUMMYFUNCTION("""COMPUTED_VALUE"""),"Eliot A")</f>
        <v>Eliot A</v>
      </c>
      <c r="F315" s="93">
        <f>IFERROR(__xludf.DUMMYFUNCTION("""COMPUTED_VALUE"""),3072.0)</f>
        <v>3072</v>
      </c>
      <c r="G315" s="93" t="str">
        <f>IFERROR(__xludf.DUMMYFUNCTION("""COMPUTED_VALUE"""),"Amelia Mogul")</f>
        <v>Amelia Mogul</v>
      </c>
      <c r="H315" s="93">
        <f>IFERROR(__xludf.DUMMYFUNCTION("""COMPUTED_VALUE"""),4.157946556E9)</f>
        <v>4157946556</v>
      </c>
      <c r="I315" s="93" t="str">
        <f>IFERROR(__xludf.DUMMYFUNCTION("""COMPUTED_VALUE"""),"12PM-2PM")</f>
        <v>12PM-2PM</v>
      </c>
      <c r="J315" s="93">
        <f>IFERROR(__xludf.DUMMYFUNCTION("""COMPUTED_VALUE"""),1.0)</f>
        <v>1</v>
      </c>
      <c r="K315" s="93" t="str">
        <f>IFERROR(__xludf.DUMMYFUNCTION("""COMPUTED_VALUE"""),"Complete")</f>
        <v>Complete</v>
      </c>
      <c r="L315" s="93"/>
      <c r="M315" s="94">
        <f>IFERROR(__xludf.DUMMYFUNCTION("""COMPUTED_VALUE"""),46141.985289351855)</f>
        <v>46141.98529</v>
      </c>
      <c r="N315" s="93">
        <f>IFERROR(__xludf.DUMMYFUNCTION("""COMPUTED_VALUE"""),28.0)</f>
        <v>28</v>
      </c>
      <c r="O315" s="93"/>
      <c r="P315" s="93" t="str">
        <f>IFERROR(__xludf.DUMMYFUNCTION("""COMPUTED_VALUE"""),"Kit Delivery")</f>
        <v>Kit Delivery</v>
      </c>
      <c r="Q315" s="93"/>
      <c r="R315" s="93"/>
      <c r="S315" s="93" t="str">
        <f>IFERROR(__xludf.DUMMYFUNCTION("""COMPUTED_VALUE"""),"Dispatch_Images/KIT--17515.Photos.043845.jpg")</f>
        <v>Dispatch_Images/KIT--17515.Photos.043845.jpg</v>
      </c>
      <c r="T315" s="95">
        <f>IFERROR(__xludf.DUMMYFUNCTION("""COMPUTED_VALUE"""),46141.99071759259)</f>
        <v>46141.99072</v>
      </c>
      <c r="U315" s="93"/>
      <c r="V315" s="93"/>
      <c r="W315" s="93"/>
      <c r="X315" s="93"/>
      <c r="Y315" s="93"/>
      <c r="Z315" s="93"/>
    </row>
    <row r="316">
      <c r="A316" s="93" t="str">
        <f>IFERROR(__xludf.DUMMYFUNCTION("""COMPUTED_VALUE"""),"KIT-#18030")</f>
        <v>KIT-#18030</v>
      </c>
      <c r="B316" s="94">
        <f>IFERROR(__xludf.DUMMYFUNCTION("""COMPUTED_VALUE"""),46147.0)</f>
        <v>46147</v>
      </c>
      <c r="C316" s="93" t="str">
        <f>IFERROR(__xludf.DUMMYFUNCTION("""COMPUTED_VALUE"""),"Kit Delivery")</f>
        <v>Kit Delivery</v>
      </c>
      <c r="D316" s="93">
        <f>IFERROR(__xludf.DUMMYFUNCTION("""COMPUTED_VALUE"""),3.0)</f>
        <v>3</v>
      </c>
      <c r="E316" s="93" t="str">
        <f>IFERROR(__xludf.DUMMYFUNCTION("""COMPUTED_VALUE"""),"Zetcher")</f>
        <v>Zetcher</v>
      </c>
      <c r="F316" s="93">
        <f>IFERROR(__xludf.DUMMYFUNCTION("""COMPUTED_VALUE"""),222.0)</f>
        <v>222</v>
      </c>
      <c r="G316" s="93" t="str">
        <f>IFERROR(__xludf.DUMMYFUNCTION("""COMPUTED_VALUE"""),"Hayne Song")</f>
        <v>Hayne Song</v>
      </c>
      <c r="H316" s="93">
        <f>IFERROR(__xludf.DUMMYFUNCTION("""COMPUTED_VALUE"""),6.178933213E9)</f>
        <v>6178933213</v>
      </c>
      <c r="I316" s="93" t="str">
        <f>IFERROR(__xludf.DUMMYFUNCTION("""COMPUTED_VALUE"""),"12PM-2PM")</f>
        <v>12PM-2PM</v>
      </c>
      <c r="J316" s="93">
        <f>IFERROR(__xludf.DUMMYFUNCTION("""COMPUTED_VALUE"""),1.0)</f>
        <v>1</v>
      </c>
      <c r="K316" s="93" t="str">
        <f>IFERROR(__xludf.DUMMYFUNCTION("""COMPUTED_VALUE"""),"Complete")</f>
        <v>Complete</v>
      </c>
      <c r="L316" s="93"/>
      <c r="M316" s="94">
        <f>IFERROR(__xludf.DUMMYFUNCTION("""COMPUTED_VALUE"""),46142.00090277778)</f>
        <v>46142.0009</v>
      </c>
      <c r="N316" s="93">
        <f>IFERROR(__xludf.DUMMYFUNCTION("""COMPUTED_VALUE"""),106.0)</f>
        <v>106</v>
      </c>
      <c r="O316" s="93"/>
      <c r="P316" s="93" t="str">
        <f>IFERROR(__xludf.DUMMYFUNCTION("""COMPUTED_VALUE"""),"Kit Delivery")</f>
        <v>Kit Delivery</v>
      </c>
      <c r="Q316" s="93"/>
      <c r="R316" s="93"/>
      <c r="S316" s="93" t="str">
        <f>IFERROR(__xludf.DUMMYFUNCTION("""COMPUTED_VALUE"""),"Dispatch_Images/KIT--18030.Photos.050114.jpg")</f>
        <v>Dispatch_Images/KIT--18030.Photos.050114.jpg</v>
      </c>
      <c r="T316" s="95">
        <f>IFERROR(__xludf.DUMMYFUNCTION("""COMPUTED_VALUE"""),46142.00460648148)</f>
        <v>46142.00461</v>
      </c>
      <c r="U316" s="93"/>
      <c r="V316" s="93"/>
      <c r="W316" s="93"/>
      <c r="X316" s="93"/>
      <c r="Y316" s="93"/>
      <c r="Z316" s="93"/>
    </row>
    <row r="317">
      <c r="A317" s="93" t="str">
        <f>IFERROR(__xludf.DUMMYFUNCTION("""COMPUTED_VALUE"""),"KIT-#18034")</f>
        <v>KIT-#18034</v>
      </c>
      <c r="B317" s="94">
        <f>IFERROR(__xludf.DUMMYFUNCTION("""COMPUTED_VALUE"""),46147.0)</f>
        <v>46147</v>
      </c>
      <c r="C317" s="93" t="str">
        <f>IFERROR(__xludf.DUMMYFUNCTION("""COMPUTED_VALUE"""),"Kit Delivery")</f>
        <v>Kit Delivery</v>
      </c>
      <c r="D317" s="93">
        <f>IFERROR(__xludf.DUMMYFUNCTION("""COMPUTED_VALUE"""),3.0)</f>
        <v>3</v>
      </c>
      <c r="E317" s="93" t="str">
        <f>IFERROR(__xludf.DUMMYFUNCTION("""COMPUTED_VALUE"""),"Umrath")</f>
        <v>Umrath</v>
      </c>
      <c r="F317" s="93">
        <f>IFERROR(__xludf.DUMMYFUNCTION("""COMPUTED_VALUE"""),4433.0)</f>
        <v>4433</v>
      </c>
      <c r="G317" s="93" t="str">
        <f>IFERROR(__xludf.DUMMYFUNCTION("""COMPUTED_VALUE"""),"Krisney Andre")</f>
        <v>Krisney Andre</v>
      </c>
      <c r="H317" s="93">
        <f>IFERROR(__xludf.DUMMYFUNCTION("""COMPUTED_VALUE"""),3.022442857E9)</f>
        <v>3022442857</v>
      </c>
      <c r="I317" s="93" t="str">
        <f>IFERROR(__xludf.DUMMYFUNCTION("""COMPUTED_VALUE"""),"11AM-1PM")</f>
        <v>11AM-1PM</v>
      </c>
      <c r="J317" s="93">
        <f>IFERROR(__xludf.DUMMYFUNCTION("""COMPUTED_VALUE"""),1.0)</f>
        <v>1</v>
      </c>
      <c r="K317" s="93" t="str">
        <f>IFERROR(__xludf.DUMMYFUNCTION("""COMPUTED_VALUE"""),"Complete")</f>
        <v>Complete</v>
      </c>
      <c r="L317" s="93"/>
      <c r="M317" s="94">
        <f>IFERROR(__xludf.DUMMYFUNCTION("""COMPUTED_VALUE"""),46142.00146990741)</f>
        <v>46142.00147</v>
      </c>
      <c r="N317" s="93">
        <f>IFERROR(__xludf.DUMMYFUNCTION("""COMPUTED_VALUE"""),104.0)</f>
        <v>104</v>
      </c>
      <c r="O317" s="93"/>
      <c r="P317" s="93" t="str">
        <f>IFERROR(__xludf.DUMMYFUNCTION("""COMPUTED_VALUE"""),"Kit Delivery")</f>
        <v>Kit Delivery</v>
      </c>
      <c r="Q317" s="93"/>
      <c r="R317" s="93"/>
      <c r="S317" s="93" t="str">
        <f>IFERROR(__xludf.DUMMYFUNCTION("""COMPUTED_VALUE"""),"Dispatch_Images/KIT--18034.Photos.050204.jpg")</f>
        <v>Dispatch_Images/KIT--18034.Photos.050204.jpg</v>
      </c>
      <c r="T317" s="95">
        <f>IFERROR(__xludf.DUMMYFUNCTION("""COMPUTED_VALUE"""),46142.00460648148)</f>
        <v>46142.00461</v>
      </c>
      <c r="U317" s="93"/>
      <c r="V317" s="93"/>
      <c r="W317" s="93"/>
      <c r="X317" s="93"/>
      <c r="Y317" s="93"/>
      <c r="Z317" s="93"/>
    </row>
    <row r="318">
      <c r="A318" s="93" t="str">
        <f>IFERROR(__xludf.DUMMYFUNCTION("""COMPUTED_VALUE"""),"KIT-#17743")</f>
        <v>KIT-#17743</v>
      </c>
      <c r="B318" s="94">
        <f>IFERROR(__xludf.DUMMYFUNCTION("""COMPUTED_VALUE"""),46147.0)</f>
        <v>46147</v>
      </c>
      <c r="C318" s="93" t="str">
        <f>IFERROR(__xludf.DUMMYFUNCTION("""COMPUTED_VALUE"""),"Kit Delivery")</f>
        <v>Kit Delivery</v>
      </c>
      <c r="D318" s="93">
        <f>IFERROR(__xludf.DUMMYFUNCTION("""COMPUTED_VALUE"""),3.0)</f>
        <v>3</v>
      </c>
      <c r="E318" s="93" t="str">
        <f>IFERROR(__xludf.DUMMYFUNCTION("""COMPUTED_VALUE"""),"Umrath")</f>
        <v>Umrath</v>
      </c>
      <c r="F318" s="93">
        <f>IFERROR(__xludf.DUMMYFUNCTION("""COMPUTED_VALUE"""),2237.0)</f>
        <v>2237</v>
      </c>
      <c r="G318" s="93" t="str">
        <f>IFERROR(__xludf.DUMMYFUNCTION("""COMPUTED_VALUE"""),"Cristian Perez")</f>
        <v>Cristian Perez</v>
      </c>
      <c r="H318" s="93">
        <f>IFERROR(__xludf.DUMMYFUNCTION("""COMPUTED_VALUE"""),3.233814895E9)</f>
        <v>3233814895</v>
      </c>
      <c r="I318" s="93" t="str">
        <f>IFERROR(__xludf.DUMMYFUNCTION("""COMPUTED_VALUE"""),"9AM-11AM")</f>
        <v>9AM-11AM</v>
      </c>
      <c r="J318" s="93">
        <f>IFERROR(__xludf.DUMMYFUNCTION("""COMPUTED_VALUE"""),2.0)</f>
        <v>2</v>
      </c>
      <c r="K318" s="93" t="str">
        <f>IFERROR(__xludf.DUMMYFUNCTION("""COMPUTED_VALUE"""),"Complete")</f>
        <v>Complete</v>
      </c>
      <c r="L318" s="93"/>
      <c r="M318" s="94">
        <f>IFERROR(__xludf.DUMMYFUNCTION("""COMPUTED_VALUE"""),46142.00840277778)</f>
        <v>46142.0084</v>
      </c>
      <c r="N318" s="93">
        <f>IFERROR(__xludf.DUMMYFUNCTION("""COMPUTED_VALUE"""),102.0)</f>
        <v>102</v>
      </c>
      <c r="O318" s="93"/>
      <c r="P318" s="93" t="str">
        <f>IFERROR(__xludf.DUMMYFUNCTION("""COMPUTED_VALUE"""),"Kit Delivery")</f>
        <v>Kit Delivery</v>
      </c>
      <c r="Q318" s="93"/>
      <c r="R318" s="93"/>
      <c r="S318" s="93" t="str">
        <f>IFERROR(__xludf.DUMMYFUNCTION("""COMPUTED_VALUE"""),"Dispatch_Images/KIT--17743.Photos.051202.jpg")</f>
        <v>Dispatch_Images/KIT--17743.Photos.051202.jpg</v>
      </c>
      <c r="T318" s="95">
        <f>IFERROR(__xludf.DUMMYFUNCTION("""COMPUTED_VALUE"""),46142.01155092593)</f>
        <v>46142.01155</v>
      </c>
      <c r="U318" s="93"/>
      <c r="V318" s="93"/>
      <c r="W318" s="93"/>
      <c r="X318" s="93"/>
      <c r="Y318" s="93"/>
      <c r="Z318" s="93"/>
    </row>
    <row r="319">
      <c r="A319" s="93" t="str">
        <f>IFERROR(__xludf.DUMMYFUNCTION("""COMPUTED_VALUE"""),"KIT-#17256")</f>
        <v>KIT-#17256</v>
      </c>
      <c r="B319" s="94">
        <f>IFERROR(__xludf.DUMMYFUNCTION("""COMPUTED_VALUE"""),46147.0)</f>
        <v>46147</v>
      </c>
      <c r="C319" s="93" t="str">
        <f>IFERROR(__xludf.DUMMYFUNCTION("""COMPUTED_VALUE"""),"Kit Delivery")</f>
        <v>Kit Delivery</v>
      </c>
      <c r="D319" s="93">
        <f>IFERROR(__xludf.DUMMYFUNCTION("""COMPUTED_VALUE"""),3.0)</f>
        <v>3</v>
      </c>
      <c r="E319" s="93" t="str">
        <f>IFERROR(__xludf.DUMMYFUNCTION("""COMPUTED_VALUE"""),"Millbrook Bldg. 4")</f>
        <v>Millbrook Bldg. 4</v>
      </c>
      <c r="F319" s="93" t="str">
        <f>IFERROR(__xludf.DUMMYFUNCTION("""COMPUTED_VALUE"""),"203-B")</f>
        <v>203-B</v>
      </c>
      <c r="G319" s="93" t="str">
        <f>IFERROR(__xludf.DUMMYFUNCTION("""COMPUTED_VALUE"""),"Nathaniel Arundel")</f>
        <v>Nathaniel Arundel</v>
      </c>
      <c r="H319" s="93">
        <f>IFERROR(__xludf.DUMMYFUNCTION("""COMPUTED_VALUE"""),2.022765494E9)</f>
        <v>2022765494</v>
      </c>
      <c r="I319" s="93" t="str">
        <f>IFERROR(__xludf.DUMMYFUNCTION("""COMPUTED_VALUE"""),"9AM-11AM")</f>
        <v>9AM-11AM</v>
      </c>
      <c r="J319" s="93">
        <f>IFERROR(__xludf.DUMMYFUNCTION("""COMPUTED_VALUE"""),1.0)</f>
        <v>1</v>
      </c>
      <c r="K319" s="93" t="str">
        <f>IFERROR(__xludf.DUMMYFUNCTION("""COMPUTED_VALUE"""),"Complete")</f>
        <v>Complete</v>
      </c>
      <c r="L319" s="93"/>
      <c r="M319" s="94">
        <f>IFERROR(__xludf.DUMMYFUNCTION("""COMPUTED_VALUE"""),46142.64938657408)</f>
        <v>46142.64939</v>
      </c>
      <c r="N319" s="93">
        <f>IFERROR(__xludf.DUMMYFUNCTION("""COMPUTED_VALUE"""),168.0)</f>
        <v>168</v>
      </c>
      <c r="O319" s="93" t="str">
        <f>IFERROR(__xludf.DUMMYFUNCTION("""COMPUTED_VALUE"""),"4510 Q Place NW
Washington, D.C. 20007")</f>
        <v>4510 Q Place NW
Washington, D.C. 20007</v>
      </c>
      <c r="P319" s="93" t="str">
        <f>IFERROR(__xludf.DUMMYFUNCTION("""COMPUTED_VALUE"""),"Kit Delivery")</f>
        <v>Kit Delivery</v>
      </c>
      <c r="Q319" s="93"/>
      <c r="R319" s="93"/>
      <c r="S319" s="93" t="str">
        <f>IFERROR(__xludf.DUMMYFUNCTION("""COMPUTED_VALUE"""),"Dispatch_Images/KIT--17256.Photos.203502.jpg")</f>
        <v>Dispatch_Images/KIT--17256.Photos.203502.jpg</v>
      </c>
      <c r="T319" s="95">
        <f>IFERROR(__xludf.DUMMYFUNCTION("""COMPUTED_VALUE"""),46142.65047453704)</f>
        <v>46142.65047</v>
      </c>
      <c r="U319" s="93"/>
      <c r="V319" s="93"/>
      <c r="W319" s="93"/>
      <c r="X319" s="93"/>
      <c r="Y319" s="93"/>
      <c r="Z319" s="93"/>
    </row>
    <row r="320">
      <c r="A320" s="93" t="str">
        <f>IFERROR(__xludf.DUMMYFUNCTION("""COMPUTED_VALUE"""),"KIT-#17528")</f>
        <v>KIT-#17528</v>
      </c>
      <c r="B320" s="94">
        <f>IFERROR(__xludf.DUMMYFUNCTION("""COMPUTED_VALUE"""),46147.0)</f>
        <v>46147</v>
      </c>
      <c r="C320" s="93" t="str">
        <f>IFERROR(__xludf.DUMMYFUNCTION("""COMPUTED_VALUE"""),"Kit Delivery")</f>
        <v>Kit Delivery</v>
      </c>
      <c r="D320" s="93">
        <f>IFERROR(__xludf.DUMMYFUNCTION("""COMPUTED_VALUE"""),4.0)</f>
        <v>4</v>
      </c>
      <c r="E320" s="93" t="str">
        <f>IFERROR(__xludf.DUMMYFUNCTION("""COMPUTED_VALUE"""),"Millbrook Bldg. 4")</f>
        <v>Millbrook Bldg. 4</v>
      </c>
      <c r="F320" s="93">
        <f>IFERROR(__xludf.DUMMYFUNCTION("""COMPUTED_VALUE"""),103.0)</f>
        <v>103</v>
      </c>
      <c r="G320" s="93" t="str">
        <f>IFERROR(__xludf.DUMMYFUNCTION("""COMPUTED_VALUE"""),"Emily Faber")</f>
        <v>Emily Faber</v>
      </c>
      <c r="H320" s="93">
        <f>IFERROR(__xludf.DUMMYFUNCTION("""COMPUTED_VALUE"""),3.478310009E9)</f>
        <v>3478310009</v>
      </c>
      <c r="I320" s="93" t="str">
        <f>IFERROR(__xludf.DUMMYFUNCTION("""COMPUTED_VALUE"""),"3PM-5PM")</f>
        <v>3PM-5PM</v>
      </c>
      <c r="J320" s="93">
        <f>IFERROR(__xludf.DUMMYFUNCTION("""COMPUTED_VALUE"""),2.0)</f>
        <v>2</v>
      </c>
      <c r="K320" s="93" t="str">
        <f>IFERROR(__xludf.DUMMYFUNCTION("""COMPUTED_VALUE"""),"Complete")</f>
        <v>Complete</v>
      </c>
      <c r="L320" s="93"/>
      <c r="M320" s="94">
        <f>IFERROR(__xludf.DUMMYFUNCTION("""COMPUTED_VALUE"""),46142.831921296296)</f>
        <v>46142.83192</v>
      </c>
      <c r="N320" s="93">
        <f>IFERROR(__xludf.DUMMYFUNCTION("""COMPUTED_VALUE"""),155.0)</f>
        <v>155</v>
      </c>
      <c r="O320" s="93"/>
      <c r="P320" s="93" t="str">
        <f>IFERROR(__xludf.DUMMYFUNCTION("""COMPUTED_VALUE"""),"Kit Delivery")</f>
        <v>Kit Delivery</v>
      </c>
      <c r="Q320" s="93" t="str">
        <f>IFERROR(__xludf.DUMMYFUNCTION("""COMPUTED_VALUE"""),"Some stuff will be shipped home and some will go to storage. thanks!")</f>
        <v>Some stuff will be shipped home and some will go to storage. thanks!</v>
      </c>
      <c r="R320" s="93"/>
      <c r="S320" s="93" t="str">
        <f>IFERROR(__xludf.DUMMYFUNCTION("""COMPUTED_VALUE"""),"Dispatch_Images/KIT--17528.Photos.005755.jpg")</f>
        <v>Dispatch_Images/KIT--17528.Photos.005755.jpg</v>
      </c>
      <c r="T320" s="95">
        <f>IFERROR(__xludf.DUMMYFUNCTION("""COMPUTED_VALUE"""),46142.83795138889)</f>
        <v>46142.83795</v>
      </c>
      <c r="U320" s="93"/>
      <c r="V320" s="93"/>
      <c r="W320" s="93"/>
      <c r="X320" s="93"/>
      <c r="Y320" s="93"/>
      <c r="Z320" s="93"/>
    </row>
    <row r="321">
      <c r="A321" s="93" t="str">
        <f>IFERROR(__xludf.DUMMYFUNCTION("""COMPUTED_VALUE"""),"KIT-#17424")</f>
        <v>KIT-#17424</v>
      </c>
      <c r="B321" s="94">
        <f>IFERROR(__xludf.DUMMYFUNCTION("""COMPUTED_VALUE"""),46147.0)</f>
        <v>46147</v>
      </c>
      <c r="C321" s="93" t="str">
        <f>IFERROR(__xludf.DUMMYFUNCTION("""COMPUTED_VALUE"""),"Kit Delivery")</f>
        <v>Kit Delivery</v>
      </c>
      <c r="D321" s="93">
        <f>IFERROR(__xludf.DUMMYFUNCTION("""COMPUTED_VALUE"""),4.0)</f>
        <v>4</v>
      </c>
      <c r="E321" s="93" t="str">
        <f>IFERROR(__xludf.DUMMYFUNCTION("""COMPUTED_VALUE"""),"Lee")</f>
        <v>Lee</v>
      </c>
      <c r="F321" s="93">
        <f>IFERROR(__xludf.DUMMYFUNCTION("""COMPUTED_VALUE"""),301.0)</f>
        <v>301</v>
      </c>
      <c r="G321" s="93" t="str">
        <f>IFERROR(__xludf.DUMMYFUNCTION("""COMPUTED_VALUE"""),"Tristan Yuen")</f>
        <v>Tristan Yuen</v>
      </c>
      <c r="H321" s="93">
        <f>IFERROR(__xludf.DUMMYFUNCTION("""COMPUTED_VALUE"""),4.695125718E9)</f>
        <v>4695125718</v>
      </c>
      <c r="I321" s="93" t="str">
        <f>IFERROR(__xludf.DUMMYFUNCTION("""COMPUTED_VALUE"""),"3PM-5PM")</f>
        <v>3PM-5PM</v>
      </c>
      <c r="J321" s="93">
        <f>IFERROR(__xludf.DUMMYFUNCTION("""COMPUTED_VALUE"""),1.0)</f>
        <v>1</v>
      </c>
      <c r="K321" s="93" t="str">
        <f>IFERROR(__xludf.DUMMYFUNCTION("""COMPUTED_VALUE"""),"Complete")</f>
        <v>Complete</v>
      </c>
      <c r="L321" s="93"/>
      <c r="M321" s="94">
        <f>IFERROR(__xludf.DUMMYFUNCTION("""COMPUTED_VALUE"""),46142.90251157407)</f>
        <v>46142.90251</v>
      </c>
      <c r="N321" s="93">
        <f>IFERROR(__xludf.DUMMYFUNCTION("""COMPUTED_VALUE"""),57.0)</f>
        <v>57</v>
      </c>
      <c r="O321" s="93"/>
      <c r="P321" s="93" t="str">
        <f>IFERROR(__xludf.DUMMYFUNCTION("""COMPUTED_VALUE"""),"Kit Delivery")</f>
        <v>Kit Delivery</v>
      </c>
      <c r="Q321" s="93"/>
      <c r="R321" s="93"/>
      <c r="S321" s="93" t="str">
        <f>IFERROR(__xludf.DUMMYFUNCTION("""COMPUTED_VALUE"""),"Dispatch_Images/KIT--17424.Photos.023933.jpg")</f>
        <v>Dispatch_Images/KIT--17424.Photos.023933.jpg</v>
      </c>
      <c r="T321" s="95">
        <f>IFERROR(__xludf.DUMMYFUNCTION("""COMPUTED_VALUE"""),46142.90738425926)</f>
        <v>46142.90738</v>
      </c>
      <c r="U321" s="93"/>
      <c r="V321" s="93"/>
      <c r="W321" s="93"/>
      <c r="X321" s="93"/>
      <c r="Y321" s="93"/>
      <c r="Z321" s="93"/>
    </row>
    <row r="322">
      <c r="A322" s="93" t="str">
        <f>IFERROR(__xludf.DUMMYFUNCTION("""COMPUTED_VALUE"""),"KIT-#17421")</f>
        <v>KIT-#17421</v>
      </c>
      <c r="B322" s="94">
        <f>IFERROR(__xludf.DUMMYFUNCTION("""COMPUTED_VALUE"""),46147.0)</f>
        <v>46147</v>
      </c>
      <c r="C322" s="93" t="str">
        <f>IFERROR(__xludf.DUMMYFUNCTION("""COMPUTED_VALUE"""),"Kit Delivery")</f>
        <v>Kit Delivery</v>
      </c>
      <c r="D322" s="93">
        <f>IFERROR(__xludf.DUMMYFUNCTION("""COMPUTED_VALUE"""),4.0)</f>
        <v>4</v>
      </c>
      <c r="E322" s="93" t="str">
        <f>IFERROR(__xludf.DUMMYFUNCTION("""COMPUTED_VALUE"""),"Lee")</f>
        <v>Lee</v>
      </c>
      <c r="F322" s="93">
        <f>IFERROR(__xludf.DUMMYFUNCTION("""COMPUTED_VALUE"""),123.0)</f>
        <v>123</v>
      </c>
      <c r="G322" s="93" t="str">
        <f>IFERROR(__xludf.DUMMYFUNCTION("""COMPUTED_VALUE"""),"Christopher Munson")</f>
        <v>Christopher Munson</v>
      </c>
      <c r="H322" s="93">
        <f>IFERROR(__xludf.DUMMYFUNCTION("""COMPUTED_VALUE"""),5.093320955E9)</f>
        <v>5093320955</v>
      </c>
      <c r="I322" s="93" t="str">
        <f>IFERROR(__xludf.DUMMYFUNCTION("""COMPUTED_VALUE"""),"12PM-2PM")</f>
        <v>12PM-2PM</v>
      </c>
      <c r="J322" s="93">
        <f>IFERROR(__xludf.DUMMYFUNCTION("""COMPUTED_VALUE"""),1.0)</f>
        <v>1</v>
      </c>
      <c r="K322" s="93" t="str">
        <f>IFERROR(__xludf.DUMMYFUNCTION("""COMPUTED_VALUE"""),"Complete")</f>
        <v>Complete</v>
      </c>
      <c r="L322" s="93"/>
      <c r="M322" s="94">
        <f>IFERROR(__xludf.DUMMYFUNCTION("""COMPUTED_VALUE"""),46142.905439814815)</f>
        <v>46142.90544</v>
      </c>
      <c r="N322" s="93">
        <f>IFERROR(__xludf.DUMMYFUNCTION("""COMPUTED_VALUE"""),47.0)</f>
        <v>47</v>
      </c>
      <c r="O322" s="93"/>
      <c r="P322" s="93" t="str">
        <f>IFERROR(__xludf.DUMMYFUNCTION("""COMPUTED_VALUE"""),"Kit Delivery")</f>
        <v>Kit Delivery</v>
      </c>
      <c r="Q322" s="93"/>
      <c r="R322" s="93"/>
      <c r="S322" s="93" t="str">
        <f>IFERROR(__xludf.DUMMYFUNCTION("""COMPUTED_VALUE"""),"Dispatch_Images/KIT--17421.Photos.024347.jpg")</f>
        <v>Dispatch_Images/KIT--17421.Photos.024347.jpg</v>
      </c>
      <c r="T322" s="95">
        <f>IFERROR(__xludf.DUMMYFUNCTION("""COMPUTED_VALUE"""),46142.90738425926)</f>
        <v>46142.90738</v>
      </c>
      <c r="U322" s="93"/>
      <c r="V322" s="93"/>
      <c r="W322" s="93"/>
      <c r="X322" s="93"/>
      <c r="Y322" s="93"/>
      <c r="Z322" s="93"/>
    </row>
    <row r="323">
      <c r="A323" s="93" t="str">
        <f>IFERROR(__xludf.DUMMYFUNCTION("""COMPUTED_VALUE"""),"KIT-#18004")</f>
        <v>KIT-#18004</v>
      </c>
      <c r="B323" s="94">
        <f>IFERROR(__xludf.DUMMYFUNCTION("""COMPUTED_VALUE"""),46147.0)</f>
        <v>46147</v>
      </c>
      <c r="C323" s="93" t="str">
        <f>IFERROR(__xludf.DUMMYFUNCTION("""COMPUTED_VALUE"""),"Kit Delivery")</f>
        <v>Kit Delivery</v>
      </c>
      <c r="D323" s="93">
        <f>IFERROR(__xludf.DUMMYFUNCTION("""COMPUTED_VALUE"""),4.0)</f>
        <v>4</v>
      </c>
      <c r="E323" s="93" t="str">
        <f>IFERROR(__xludf.DUMMYFUNCTION("""COMPUTED_VALUE"""),"Danforth")</f>
        <v>Danforth</v>
      </c>
      <c r="F323" s="93">
        <f>IFERROR(__xludf.DUMMYFUNCTION("""COMPUTED_VALUE"""),3314.0)</f>
        <v>3314</v>
      </c>
      <c r="G323" s="93" t="str">
        <f>IFERROR(__xludf.DUMMYFUNCTION("""COMPUTED_VALUE"""),"Nathaniel Shalam")</f>
        <v>Nathaniel Shalam</v>
      </c>
      <c r="H323" s="93">
        <f>IFERROR(__xludf.DUMMYFUNCTION("""COMPUTED_VALUE"""),9.17767691E9)</f>
        <v>9177676910</v>
      </c>
      <c r="I323" s="93" t="str">
        <f>IFERROR(__xludf.DUMMYFUNCTION("""COMPUTED_VALUE"""),"9AM-11AM")</f>
        <v>9AM-11AM</v>
      </c>
      <c r="J323" s="93">
        <f>IFERROR(__xludf.DUMMYFUNCTION("""COMPUTED_VALUE"""),2.0)</f>
        <v>2</v>
      </c>
      <c r="K323" s="93" t="str">
        <f>IFERROR(__xludf.DUMMYFUNCTION("""COMPUTED_VALUE"""),"Complete")</f>
        <v>Complete</v>
      </c>
      <c r="L323" s="93"/>
      <c r="M323" s="94">
        <f>IFERROR(__xludf.DUMMYFUNCTION("""COMPUTED_VALUE"""),46142.92413194444)</f>
        <v>46142.92413</v>
      </c>
      <c r="N323" s="93">
        <f>IFERROR(__xludf.DUMMYFUNCTION("""COMPUTED_VALUE"""),37.0)</f>
        <v>37</v>
      </c>
      <c r="O323" s="93"/>
      <c r="P323" s="93" t="str">
        <f>IFERROR(__xludf.DUMMYFUNCTION("""COMPUTED_VALUE"""),"Kit Delivery")</f>
        <v>Kit Delivery</v>
      </c>
      <c r="Q323" s="93"/>
      <c r="R323" s="93"/>
      <c r="S323" s="93" t="str">
        <f>IFERROR(__xludf.DUMMYFUNCTION("""COMPUTED_VALUE"""),"Dispatch_Images/KIT--18004.Photos.031041.jpg")</f>
        <v>Dispatch_Images/KIT--18004.Photos.031041.jpg</v>
      </c>
      <c r="T323" s="95">
        <f>IFERROR(__xludf.DUMMYFUNCTION("""COMPUTED_VALUE"""),46142.92821759259)</f>
        <v>46142.92822</v>
      </c>
      <c r="U323" s="93"/>
      <c r="V323" s="93"/>
      <c r="W323" s="93"/>
      <c r="X323" s="93"/>
      <c r="Y323" s="93"/>
      <c r="Z323" s="93"/>
    </row>
    <row r="324">
      <c r="A324" s="93" t="str">
        <f>IFERROR(__xludf.DUMMYFUNCTION("""COMPUTED_VALUE"""),"KIT-#17866")</f>
        <v>KIT-#17866</v>
      </c>
      <c r="B324" s="94">
        <f>IFERROR(__xludf.DUMMYFUNCTION("""COMPUTED_VALUE"""),46147.0)</f>
        <v>46147</v>
      </c>
      <c r="C324" s="93" t="str">
        <f>IFERROR(__xludf.DUMMYFUNCTION("""COMPUTED_VALUE"""),"Kit Delivery")</f>
        <v>Kit Delivery</v>
      </c>
      <c r="D324" s="93">
        <f>IFERROR(__xludf.DUMMYFUNCTION("""COMPUTED_VALUE"""),4.0)</f>
        <v>4</v>
      </c>
      <c r="E324" s="93" t="str">
        <f>IFERROR(__xludf.DUMMYFUNCTION("""COMPUTED_VALUE"""),"Rutledge")</f>
        <v>Rutledge</v>
      </c>
      <c r="F324" s="93">
        <f>IFERROR(__xludf.DUMMYFUNCTION("""COMPUTED_VALUE"""),33.0)</f>
        <v>33</v>
      </c>
      <c r="G324" s="93" t="str">
        <f>IFERROR(__xludf.DUMMYFUNCTION("""COMPUTED_VALUE"""),"Kevin Cao")</f>
        <v>Kevin Cao</v>
      </c>
      <c r="H324" s="93">
        <f>IFERROR(__xludf.DUMMYFUNCTION("""COMPUTED_VALUE"""),3.146293735E9)</f>
        <v>3146293735</v>
      </c>
      <c r="I324" s="93" t="str">
        <f>IFERROR(__xludf.DUMMYFUNCTION("""COMPUTED_VALUE"""),"2PM-4PM")</f>
        <v>2PM-4PM</v>
      </c>
      <c r="J324" s="93">
        <f>IFERROR(__xludf.DUMMYFUNCTION("""COMPUTED_VALUE"""),1.0)</f>
        <v>1</v>
      </c>
      <c r="K324" s="93" t="str">
        <f>IFERROR(__xludf.DUMMYFUNCTION("""COMPUTED_VALUE"""),"Complete")</f>
        <v>Complete</v>
      </c>
      <c r="L324" s="93"/>
      <c r="M324" s="94">
        <f>IFERROR(__xludf.DUMMYFUNCTION("""COMPUTED_VALUE"""),46142.93021990741)</f>
        <v>46142.93022</v>
      </c>
      <c r="N324" s="93">
        <f>IFERROR(__xludf.DUMMYFUNCTION("""COMPUTED_VALUE"""),63.0)</f>
        <v>63</v>
      </c>
      <c r="O324" s="93"/>
      <c r="P324" s="93" t="str">
        <f>IFERROR(__xludf.DUMMYFUNCTION("""COMPUTED_VALUE"""),"Kit Delivery")</f>
        <v>Kit Delivery</v>
      </c>
      <c r="Q324" s="93"/>
      <c r="R324" s="93"/>
      <c r="S324" s="93" t="str">
        <f>IFERROR(__xludf.DUMMYFUNCTION("""COMPUTED_VALUE"""),"Dispatch_Images/KIT--17866.Photos.031927.jpg")</f>
        <v>Dispatch_Images/KIT--17866.Photos.031927.jpg</v>
      </c>
      <c r="T324" s="95">
        <f>IFERROR(__xludf.DUMMYFUNCTION("""COMPUTED_VALUE"""),46142.935162037036)</f>
        <v>46142.93516</v>
      </c>
      <c r="U324" s="93"/>
      <c r="V324" s="93"/>
      <c r="W324" s="93"/>
      <c r="X324" s="93"/>
      <c r="Y324" s="93"/>
      <c r="Z324" s="93"/>
    </row>
    <row r="325">
      <c r="A325" s="93" t="str">
        <f>IFERROR(__xludf.DUMMYFUNCTION("""COMPUTED_VALUE"""),"KIT-#17434")</f>
        <v>KIT-#17434</v>
      </c>
      <c r="B325" s="94">
        <f>IFERROR(__xludf.DUMMYFUNCTION("""COMPUTED_VALUE"""),46147.0)</f>
        <v>46147</v>
      </c>
      <c r="C325" s="93" t="str">
        <f>IFERROR(__xludf.DUMMYFUNCTION("""COMPUTED_VALUE"""),"Kit Delivery")</f>
        <v>Kit Delivery</v>
      </c>
      <c r="D325" s="93">
        <f>IFERROR(__xludf.DUMMYFUNCTION("""COMPUTED_VALUE"""),4.0)</f>
        <v>4</v>
      </c>
      <c r="E325" s="93" t="str">
        <f>IFERROR(__xludf.DUMMYFUNCTION("""COMPUTED_VALUE"""),"Rutledge")</f>
        <v>Rutledge</v>
      </c>
      <c r="F325" s="93">
        <f>IFERROR(__xludf.DUMMYFUNCTION("""COMPUTED_VALUE"""),442.0)</f>
        <v>442</v>
      </c>
      <c r="G325" s="93" t="str">
        <f>IFERROR(__xludf.DUMMYFUNCTION("""COMPUTED_VALUE"""),"Evan Cochran")</f>
        <v>Evan Cochran</v>
      </c>
      <c r="H325" s="93">
        <f>IFERROR(__xludf.DUMMYFUNCTION("""COMPUTED_VALUE"""),2.173697499E9)</f>
        <v>2173697499</v>
      </c>
      <c r="I325" s="93" t="str">
        <f>IFERROR(__xludf.DUMMYFUNCTION("""COMPUTED_VALUE"""),"11AM-1PM")</f>
        <v>11AM-1PM</v>
      </c>
      <c r="J325" s="93">
        <f>IFERROR(__xludf.DUMMYFUNCTION("""COMPUTED_VALUE"""),1.0)</f>
        <v>1</v>
      </c>
      <c r="K325" s="93" t="str">
        <f>IFERROR(__xludf.DUMMYFUNCTION("""COMPUTED_VALUE"""),"Complete")</f>
        <v>Complete</v>
      </c>
      <c r="L325" s="93"/>
      <c r="M325" s="94">
        <f>IFERROR(__xludf.DUMMYFUNCTION("""COMPUTED_VALUE"""),46142.9309375)</f>
        <v>46142.93094</v>
      </c>
      <c r="N325" s="93">
        <f>IFERROR(__xludf.DUMMYFUNCTION("""COMPUTED_VALUE"""),71.0)</f>
        <v>71</v>
      </c>
      <c r="O325" s="93"/>
      <c r="P325" s="93" t="str">
        <f>IFERROR(__xludf.DUMMYFUNCTION("""COMPUTED_VALUE"""),"Kit Delivery")</f>
        <v>Kit Delivery</v>
      </c>
      <c r="Q325" s="93"/>
      <c r="R325" s="93"/>
      <c r="S325" s="93" t="str">
        <f>IFERROR(__xludf.DUMMYFUNCTION("""COMPUTED_VALUE"""),"Dispatch_Images/KIT--17434.Photos.032030.jpg")</f>
        <v>Dispatch_Images/KIT--17434.Photos.032030.jpg</v>
      </c>
      <c r="T325" s="95">
        <f>IFERROR(__xludf.DUMMYFUNCTION("""COMPUTED_VALUE"""),46142.935162037036)</f>
        <v>46142.93516</v>
      </c>
      <c r="U325" s="93"/>
      <c r="V325" s="93"/>
      <c r="W325" s="93"/>
      <c r="X325" s="93"/>
      <c r="Y325" s="93"/>
      <c r="Z325" s="93"/>
    </row>
    <row r="326">
      <c r="A326" s="93" t="str">
        <f>IFERROR(__xludf.DUMMYFUNCTION("""COMPUTED_VALUE"""),"KIT-#17488")</f>
        <v>KIT-#17488</v>
      </c>
      <c r="B326" s="94">
        <f>IFERROR(__xludf.DUMMYFUNCTION("""COMPUTED_VALUE"""),46147.0)</f>
        <v>46147</v>
      </c>
      <c r="C326" s="93" t="str">
        <f>IFERROR(__xludf.DUMMYFUNCTION("""COMPUTED_VALUE"""),"Kit Delivery")</f>
        <v>Kit Delivery</v>
      </c>
      <c r="D326" s="93">
        <f>IFERROR(__xludf.DUMMYFUNCTION("""COMPUTED_VALUE"""),4.0)</f>
        <v>4</v>
      </c>
      <c r="E326" s="93" t="str">
        <f>IFERROR(__xludf.DUMMYFUNCTION("""COMPUTED_VALUE"""),"Dauten")</f>
        <v>Dauten</v>
      </c>
      <c r="F326" s="93">
        <f>IFERROR(__xludf.DUMMYFUNCTION("""COMPUTED_VALUE"""),230.0)</f>
        <v>230</v>
      </c>
      <c r="G326" s="93" t="str">
        <f>IFERROR(__xludf.DUMMYFUNCTION("""COMPUTED_VALUE"""),"Sienna Mora")</f>
        <v>Sienna Mora</v>
      </c>
      <c r="H326" s="93">
        <f>IFERROR(__xludf.DUMMYFUNCTION("""COMPUTED_VALUE"""),9.178644154E9)</f>
        <v>9178644154</v>
      </c>
      <c r="I326" s="93" t="str">
        <f>IFERROR(__xludf.DUMMYFUNCTION("""COMPUTED_VALUE"""),"9AM-11AM")</f>
        <v>9AM-11AM</v>
      </c>
      <c r="J326" s="93">
        <f>IFERROR(__xludf.DUMMYFUNCTION("""COMPUTED_VALUE"""),1.0)</f>
        <v>1</v>
      </c>
      <c r="K326" s="93" t="str">
        <f>IFERROR(__xludf.DUMMYFUNCTION("""COMPUTED_VALUE"""),"Complete")</f>
        <v>Complete</v>
      </c>
      <c r="L326" s="93"/>
      <c r="M326" s="94">
        <f>IFERROR(__xludf.DUMMYFUNCTION("""COMPUTED_VALUE"""),46142.93423611111)</f>
        <v>46142.93424</v>
      </c>
      <c r="N326" s="93">
        <f>IFERROR(__xludf.DUMMYFUNCTION("""COMPUTED_VALUE"""),75.0)</f>
        <v>75</v>
      </c>
      <c r="O326" s="93"/>
      <c r="P326" s="93" t="str">
        <f>IFERROR(__xludf.DUMMYFUNCTION("""COMPUTED_VALUE"""),"Kit Delivery")</f>
        <v>Kit Delivery</v>
      </c>
      <c r="Q326" s="93"/>
      <c r="R326" s="93"/>
      <c r="S326" s="93" t="str">
        <f>IFERROR(__xludf.DUMMYFUNCTION("""COMPUTED_VALUE"""),"Dispatch_Images/KIT--17488.Photos.032513.jpg")</f>
        <v>Dispatch_Images/KIT--17488.Photos.032513.jpg</v>
      </c>
      <c r="T326" s="95">
        <f>IFERROR(__xludf.DUMMYFUNCTION("""COMPUTED_VALUE"""),46142.935162037036)</f>
        <v>46142.93516</v>
      </c>
      <c r="U326" s="93"/>
      <c r="V326" s="93"/>
      <c r="W326" s="93"/>
      <c r="X326" s="93"/>
      <c r="Y326" s="93"/>
      <c r="Z326" s="93"/>
    </row>
    <row r="327">
      <c r="A327" s="93" t="str">
        <f>IFERROR(__xludf.DUMMYFUNCTION("""COMPUTED_VALUE"""),"KIT-#17675")</f>
        <v>KIT-#17675</v>
      </c>
      <c r="B327" s="94">
        <f>IFERROR(__xludf.DUMMYFUNCTION("""COMPUTED_VALUE"""),46147.0)</f>
        <v>46147</v>
      </c>
      <c r="C327" s="93" t="str">
        <f>IFERROR(__xludf.DUMMYFUNCTION("""COMPUTED_VALUE"""),"Kit Delivery")</f>
        <v>Kit Delivery</v>
      </c>
      <c r="D327" s="93">
        <f>IFERROR(__xludf.DUMMYFUNCTION("""COMPUTED_VALUE"""),4.0)</f>
        <v>4</v>
      </c>
      <c r="E327" s="93" t="str">
        <f>IFERROR(__xludf.DUMMYFUNCTION("""COMPUTED_VALUE"""),"Dauten")</f>
        <v>Dauten</v>
      </c>
      <c r="F327" s="93" t="str">
        <f>IFERROR(__xludf.DUMMYFUNCTION("""COMPUTED_VALUE"""),"41B")</f>
        <v>41B</v>
      </c>
      <c r="G327" s="93" t="str">
        <f>IFERROR(__xludf.DUMMYFUNCTION("""COMPUTED_VALUE"""),"Elliot Perlis")</f>
        <v>Elliot Perlis</v>
      </c>
      <c r="H327" s="93">
        <f>IFERROR(__xludf.DUMMYFUNCTION("""COMPUTED_VALUE"""),6.10608914E9)</f>
        <v>6106089140</v>
      </c>
      <c r="I327" s="93" t="str">
        <f>IFERROR(__xludf.DUMMYFUNCTION("""COMPUTED_VALUE"""),"11AM-1PM")</f>
        <v>11AM-1PM</v>
      </c>
      <c r="J327" s="93">
        <f>IFERROR(__xludf.DUMMYFUNCTION("""COMPUTED_VALUE"""),1.0)</f>
        <v>1</v>
      </c>
      <c r="K327" s="93" t="str">
        <f>IFERROR(__xludf.DUMMYFUNCTION("""COMPUTED_VALUE"""),"Complete")</f>
        <v>Complete</v>
      </c>
      <c r="L327" s="93"/>
      <c r="M327" s="94">
        <f>IFERROR(__xludf.DUMMYFUNCTION("""COMPUTED_VALUE"""),46142.93430555555)</f>
        <v>46142.93431</v>
      </c>
      <c r="N327" s="93">
        <f>IFERROR(__xludf.DUMMYFUNCTION("""COMPUTED_VALUE"""),72.0)</f>
        <v>72</v>
      </c>
      <c r="O327" s="93" t="str">
        <f>IFERROR(__xludf.DUMMYFUNCTION("""COMPUTED_VALUE"""),"609 Braeburn Ln
Penn Valley, PA
19072")</f>
        <v>609 Braeburn Ln
Penn Valley, PA
19072</v>
      </c>
      <c r="P327" s="93" t="str">
        <f>IFERROR(__xludf.DUMMYFUNCTION("""COMPUTED_VALUE"""),"Kit Delivery")</f>
        <v>Kit Delivery</v>
      </c>
      <c r="Q327" s="93"/>
      <c r="R327" s="93"/>
      <c r="S327" s="93" t="str">
        <f>IFERROR(__xludf.DUMMYFUNCTION("""COMPUTED_VALUE"""),"Dispatch_Images/KIT--17675.Photos.032521.jpg")</f>
        <v>Dispatch_Images/KIT--17675.Photos.032521.jpg</v>
      </c>
      <c r="T327" s="95">
        <f>IFERROR(__xludf.DUMMYFUNCTION("""COMPUTED_VALUE"""),46142.935162037036)</f>
        <v>46142.93516</v>
      </c>
      <c r="U327" s="93"/>
      <c r="V327" s="93"/>
      <c r="W327" s="93"/>
      <c r="X327" s="93"/>
      <c r="Y327" s="93"/>
      <c r="Z327" s="93"/>
    </row>
    <row r="328">
      <c r="A328" s="93" t="str">
        <f>IFERROR(__xludf.DUMMYFUNCTION("""COMPUTED_VALUE"""),"KIT-#18043")</f>
        <v>KIT-#18043</v>
      </c>
      <c r="B328" s="94">
        <f>IFERROR(__xludf.DUMMYFUNCTION("""COMPUTED_VALUE"""),46147.0)</f>
        <v>46147</v>
      </c>
      <c r="C328" s="93" t="str">
        <f>IFERROR(__xludf.DUMMYFUNCTION("""COMPUTED_VALUE"""),"Kit Delivery")</f>
        <v>Kit Delivery</v>
      </c>
      <c r="D328" s="93">
        <f>IFERROR(__xludf.DUMMYFUNCTION("""COMPUTED_VALUE"""),4.0)</f>
        <v>4</v>
      </c>
      <c r="E328" s="93" t="str">
        <f>IFERROR(__xludf.DUMMYFUNCTION("""COMPUTED_VALUE"""),"Koenig")</f>
        <v>Koenig</v>
      </c>
      <c r="F328" s="93">
        <f>IFERROR(__xludf.DUMMYFUNCTION("""COMPUTED_VALUE"""),2220.0)</f>
        <v>2220</v>
      </c>
      <c r="G328" s="93" t="str">
        <f>IFERROR(__xludf.DUMMYFUNCTION("""COMPUTED_VALUE"""),"Jiayi Zhao")</f>
        <v>Jiayi Zhao</v>
      </c>
      <c r="H328" s="93">
        <f>IFERROR(__xludf.DUMMYFUNCTION("""COMPUTED_VALUE"""),7.372305749E9)</f>
        <v>7372305749</v>
      </c>
      <c r="I328" s="93" t="str">
        <f>IFERROR(__xludf.DUMMYFUNCTION("""COMPUTED_VALUE"""),"3PM-5PM")</f>
        <v>3PM-5PM</v>
      </c>
      <c r="J328" s="93">
        <f>IFERROR(__xludf.DUMMYFUNCTION("""COMPUTED_VALUE"""),1.0)</f>
        <v>1</v>
      </c>
      <c r="K328" s="93" t="str">
        <f>IFERROR(__xludf.DUMMYFUNCTION("""COMPUTED_VALUE"""),"Complete")</f>
        <v>Complete</v>
      </c>
      <c r="L328" s="93"/>
      <c r="M328" s="94">
        <f>IFERROR(__xludf.DUMMYFUNCTION("""COMPUTED_VALUE"""),46142.93800925926)</f>
        <v>46142.93801</v>
      </c>
      <c r="N328" s="93">
        <f>IFERROR(__xludf.DUMMYFUNCTION("""COMPUTED_VALUE"""),101.0)</f>
        <v>101</v>
      </c>
      <c r="O328" s="93"/>
      <c r="P328" s="93" t="str">
        <f>IFERROR(__xludf.DUMMYFUNCTION("""COMPUTED_VALUE"""),"Kit Delivery")</f>
        <v>Kit Delivery</v>
      </c>
      <c r="Q328" s="93"/>
      <c r="R328" s="93"/>
      <c r="S328" s="93" t="str">
        <f>IFERROR(__xludf.DUMMYFUNCTION("""COMPUTED_VALUE"""),"Dispatch_Images/KIT--18043.Photos.033040.jpg")</f>
        <v>Dispatch_Images/KIT--18043.Photos.033040.jpg</v>
      </c>
      <c r="T328" s="95">
        <f>IFERROR(__xludf.DUMMYFUNCTION("""COMPUTED_VALUE"""),46142.94210648148)</f>
        <v>46142.94211</v>
      </c>
      <c r="U328" s="93"/>
      <c r="V328" s="93"/>
      <c r="W328" s="93"/>
      <c r="X328" s="93"/>
      <c r="Y328" s="93"/>
      <c r="Z328" s="93"/>
    </row>
    <row r="329">
      <c r="A329" s="93" t="str">
        <f>IFERROR(__xludf.DUMMYFUNCTION("""COMPUTED_VALUE"""),"KIT-#17547")</f>
        <v>KIT-#17547</v>
      </c>
      <c r="B329" s="94">
        <f>IFERROR(__xludf.DUMMYFUNCTION("""COMPUTED_VALUE"""),46147.0)</f>
        <v>46147</v>
      </c>
      <c r="C329" s="93" t="str">
        <f>IFERROR(__xludf.DUMMYFUNCTION("""COMPUTED_VALUE"""),"Kit Delivery")</f>
        <v>Kit Delivery</v>
      </c>
      <c r="D329" s="93">
        <f>IFERROR(__xludf.DUMMYFUNCTION("""COMPUTED_VALUE"""),4.0)</f>
        <v>4</v>
      </c>
      <c r="E329" s="93" t="str">
        <f>IFERROR(__xludf.DUMMYFUNCTION("""COMPUTED_VALUE"""),"Lopata")</f>
        <v>Lopata</v>
      </c>
      <c r="F329" s="93">
        <f>IFERROR(__xludf.DUMMYFUNCTION("""COMPUTED_VALUE"""),3093.0)</f>
        <v>3093</v>
      </c>
      <c r="G329" s="93" t="str">
        <f>IFERROR(__xludf.DUMMYFUNCTION("""COMPUTED_VALUE"""),"Cara Satyr")</f>
        <v>Cara Satyr</v>
      </c>
      <c r="H329" s="93">
        <f>IFERROR(__xludf.DUMMYFUNCTION("""COMPUTED_VALUE"""),3.123392715E9)</f>
        <v>3123392715</v>
      </c>
      <c r="I329" s="93" t="str">
        <f>IFERROR(__xludf.DUMMYFUNCTION("""COMPUTED_VALUE"""),"1PM-3PM")</f>
        <v>1PM-3PM</v>
      </c>
      <c r="J329" s="93">
        <f>IFERROR(__xludf.DUMMYFUNCTION("""COMPUTED_VALUE"""),2.0)</f>
        <v>2</v>
      </c>
      <c r="K329" s="93" t="str">
        <f>IFERROR(__xludf.DUMMYFUNCTION("""COMPUTED_VALUE"""),"Complete")</f>
        <v>Complete</v>
      </c>
      <c r="L329" s="93"/>
      <c r="M329" s="94">
        <f>IFERROR(__xludf.DUMMYFUNCTION("""COMPUTED_VALUE"""),46142.952060185184)</f>
        <v>46142.95206</v>
      </c>
      <c r="N329" s="93">
        <f>IFERROR(__xludf.DUMMYFUNCTION("""COMPUTED_VALUE"""),126.0)</f>
        <v>126</v>
      </c>
      <c r="O329" s="93"/>
      <c r="P329" s="93" t="str">
        <f>IFERROR(__xludf.DUMMYFUNCTION("""COMPUTED_VALUE"""),"Kit Delivery")</f>
        <v>Kit Delivery</v>
      </c>
      <c r="Q329" s="93"/>
      <c r="R329" s="93"/>
      <c r="S329" s="93" t="str">
        <f>IFERROR(__xludf.DUMMYFUNCTION("""COMPUTED_VALUE"""),"Dispatch_Images/KIT--17547.Photos.035054.jpg")</f>
        <v>Dispatch_Images/KIT--17547.Photos.035054.jpg</v>
      </c>
      <c r="T329" s="95">
        <f>IFERROR(__xludf.DUMMYFUNCTION("""COMPUTED_VALUE"""),46142.95599537037)</f>
        <v>46142.956</v>
      </c>
      <c r="U329" s="93"/>
      <c r="V329" s="93"/>
      <c r="W329" s="93"/>
      <c r="X329" s="93"/>
      <c r="Y329" s="93"/>
      <c r="Z329" s="93"/>
    </row>
    <row r="330">
      <c r="A330" s="93" t="str">
        <f>IFERROR(__xludf.DUMMYFUNCTION("""COMPUTED_VALUE"""),"KIT-#17859")</f>
        <v>KIT-#17859</v>
      </c>
      <c r="B330" s="94">
        <f>IFERROR(__xludf.DUMMYFUNCTION("""COMPUTED_VALUE"""),46147.0)</f>
        <v>46147</v>
      </c>
      <c r="C330" s="93" t="str">
        <f>IFERROR(__xludf.DUMMYFUNCTION("""COMPUTED_VALUE"""),"Kit Delivery")</f>
        <v>Kit Delivery</v>
      </c>
      <c r="D330" s="93">
        <f>IFERROR(__xludf.DUMMYFUNCTION("""COMPUTED_VALUE"""),4.0)</f>
        <v>4</v>
      </c>
      <c r="E330" s="93" t="str">
        <f>IFERROR(__xludf.DUMMYFUNCTION("""COMPUTED_VALUE"""),"Lopata")</f>
        <v>Lopata</v>
      </c>
      <c r="F330" s="93">
        <f>IFERROR(__xludf.DUMMYFUNCTION("""COMPUTED_VALUE"""),2030.0)</f>
        <v>2030</v>
      </c>
      <c r="G330" s="93" t="str">
        <f>IFERROR(__xludf.DUMMYFUNCTION("""COMPUTED_VALUE"""),"Riley Keum")</f>
        <v>Riley Keum</v>
      </c>
      <c r="H330" s="93">
        <f>IFERROR(__xludf.DUMMYFUNCTION("""COMPUTED_VALUE"""),2.135980808E9)</f>
        <v>2135980808</v>
      </c>
      <c r="I330" s="93" t="str">
        <f>IFERROR(__xludf.DUMMYFUNCTION("""COMPUTED_VALUE"""),"9AM-11AM")</f>
        <v>9AM-11AM</v>
      </c>
      <c r="J330" s="93">
        <f>IFERROR(__xludf.DUMMYFUNCTION("""COMPUTED_VALUE"""),1.0)</f>
        <v>1</v>
      </c>
      <c r="K330" s="93" t="str">
        <f>IFERROR(__xludf.DUMMYFUNCTION("""COMPUTED_VALUE"""),"Complete")</f>
        <v>Complete</v>
      </c>
      <c r="L330" s="93"/>
      <c r="M330" s="94">
        <f>IFERROR(__xludf.DUMMYFUNCTION("""COMPUTED_VALUE"""),46142.955555555556)</f>
        <v>46142.95556</v>
      </c>
      <c r="N330" s="93">
        <f>IFERROR(__xludf.DUMMYFUNCTION("""COMPUTED_VALUE"""),112.0)</f>
        <v>112</v>
      </c>
      <c r="O330" s="93"/>
      <c r="P330" s="93" t="str">
        <f>IFERROR(__xludf.DUMMYFUNCTION("""COMPUTED_VALUE"""),"Kit Delivery")</f>
        <v>Kit Delivery</v>
      </c>
      <c r="Q330" s="93"/>
      <c r="R330" s="93"/>
      <c r="S330" s="93" t="str">
        <f>IFERROR(__xludf.DUMMYFUNCTION("""COMPUTED_VALUE"""),"Dispatch_Images/KIT--17859.Photos.035556.jpg")</f>
        <v>Dispatch_Images/KIT--17859.Photos.035556.jpg</v>
      </c>
      <c r="T330" s="95">
        <f>IFERROR(__xludf.DUMMYFUNCTION("""COMPUTED_VALUE"""),46142.95599537037)</f>
        <v>46142.956</v>
      </c>
      <c r="U330" s="93"/>
      <c r="V330" s="93"/>
      <c r="W330" s="93"/>
      <c r="X330" s="93"/>
      <c r="Y330" s="93"/>
      <c r="Z330" s="93"/>
    </row>
    <row r="331">
      <c r="A331" s="93" t="str">
        <f>IFERROR(__xludf.DUMMYFUNCTION("""COMPUTED_VALUE"""),"KIT-#18012")</f>
        <v>KIT-#18012</v>
      </c>
      <c r="B331" s="94">
        <f>IFERROR(__xludf.DUMMYFUNCTION("""COMPUTED_VALUE"""),46147.0)</f>
        <v>46147</v>
      </c>
      <c r="C331" s="93" t="str">
        <f>IFERROR(__xludf.DUMMYFUNCTION("""COMPUTED_VALUE"""),"Kit Delivery")</f>
        <v>Kit Delivery</v>
      </c>
      <c r="D331" s="93">
        <f>IFERROR(__xludf.DUMMYFUNCTION("""COMPUTED_VALUE"""),4.0)</f>
        <v>4</v>
      </c>
      <c r="E331" s="93" t="str">
        <f>IFERROR(__xludf.DUMMYFUNCTION("""COMPUTED_VALUE"""),"Lopata")</f>
        <v>Lopata</v>
      </c>
      <c r="F331" s="93">
        <f>IFERROR(__xludf.DUMMYFUNCTION("""COMPUTED_VALUE"""),2034.0)</f>
        <v>2034</v>
      </c>
      <c r="G331" s="93" t="str">
        <f>IFERROR(__xludf.DUMMYFUNCTION("""COMPUTED_VALUE"""),"Riley Keum")</f>
        <v>Riley Keum</v>
      </c>
      <c r="H331" s="93">
        <f>IFERROR(__xludf.DUMMYFUNCTION("""COMPUTED_VALUE"""),2.133427979E9)</f>
        <v>2133427979</v>
      </c>
      <c r="I331" s="93" t="str">
        <f>IFERROR(__xludf.DUMMYFUNCTION("""COMPUTED_VALUE"""),"9AM-11AM")</f>
        <v>9AM-11AM</v>
      </c>
      <c r="J331" s="93">
        <f>IFERROR(__xludf.DUMMYFUNCTION("""COMPUTED_VALUE"""),1.0)</f>
        <v>1</v>
      </c>
      <c r="K331" s="93" t="str">
        <f>IFERROR(__xludf.DUMMYFUNCTION("""COMPUTED_VALUE"""),"Complete")</f>
        <v>Complete</v>
      </c>
      <c r="L331" s="93"/>
      <c r="M331" s="94">
        <f>IFERROR(__xludf.DUMMYFUNCTION("""COMPUTED_VALUE"""),46142.955625)</f>
        <v>46142.95563</v>
      </c>
      <c r="N331" s="93">
        <f>IFERROR(__xludf.DUMMYFUNCTION("""COMPUTED_VALUE"""),115.0)</f>
        <v>115</v>
      </c>
      <c r="O331" s="93" t="str">
        <f>IFERROR(__xludf.DUMMYFUNCTION("""COMPUTED_VALUE"""),"4520 Pennsylvania Ave Apt 140 La Crescenta, California 91214")</f>
        <v>4520 Pennsylvania Ave Apt 140 La Crescenta, California 91214</v>
      </c>
      <c r="P331" s="93" t="str">
        <f>IFERROR(__xludf.DUMMYFUNCTION("""COMPUTED_VALUE"""),"Kit Delivery")</f>
        <v>Kit Delivery</v>
      </c>
      <c r="Q331" s="93"/>
      <c r="R331" s="93"/>
      <c r="S331" s="93" t="str">
        <f>IFERROR(__xludf.DUMMYFUNCTION("""COMPUTED_VALUE"""),"Dispatch_Images/KIT--18012.Photos.035603.jpg")</f>
        <v>Dispatch_Images/KIT--18012.Photos.035603.jpg</v>
      </c>
      <c r="T331" s="95">
        <f>IFERROR(__xludf.DUMMYFUNCTION("""COMPUTED_VALUE"""),46142.95599537037)</f>
        <v>46142.956</v>
      </c>
      <c r="U331" s="93"/>
      <c r="V331" s="93"/>
      <c r="W331" s="93"/>
      <c r="X331" s="93"/>
      <c r="Y331" s="93"/>
      <c r="Z331" s="93"/>
    </row>
    <row r="332">
      <c r="A332" s="93" t="str">
        <f>IFERROR(__xludf.DUMMYFUNCTION("""COMPUTED_VALUE"""),"KIT-#17440")</f>
        <v>KIT-#17440</v>
      </c>
      <c r="B332" s="94">
        <f>IFERROR(__xludf.DUMMYFUNCTION("""COMPUTED_VALUE"""),46147.0)</f>
        <v>46147</v>
      </c>
      <c r="C332" s="93" t="str">
        <f>IFERROR(__xludf.DUMMYFUNCTION("""COMPUTED_VALUE"""),"Kit Delivery")</f>
        <v>Kit Delivery</v>
      </c>
      <c r="D332" s="93">
        <f>IFERROR(__xludf.DUMMYFUNCTION("""COMPUTED_VALUE"""),3.0)</f>
        <v>3</v>
      </c>
      <c r="E332" s="93" t="str">
        <f>IFERROR(__xludf.DUMMYFUNCTION("""COMPUTED_VALUE"""),"Shanedling")</f>
        <v>Shanedling</v>
      </c>
      <c r="F332" s="93">
        <f>IFERROR(__xludf.DUMMYFUNCTION("""COMPUTED_VALUE"""),321.0)</f>
        <v>321</v>
      </c>
      <c r="G332" s="93" t="str">
        <f>IFERROR(__xludf.DUMMYFUNCTION("""COMPUTED_VALUE"""),"Andersen Thompson")</f>
        <v>Andersen Thompson</v>
      </c>
      <c r="H332" s="93">
        <f>IFERROR(__xludf.DUMMYFUNCTION("""COMPUTED_VALUE"""),2.016697605E9)</f>
        <v>2016697605</v>
      </c>
      <c r="I332" s="93" t="str">
        <f>IFERROR(__xludf.DUMMYFUNCTION("""COMPUTED_VALUE"""),"9AM-11AM")</f>
        <v>9AM-11AM</v>
      </c>
      <c r="J332" s="93">
        <f>IFERROR(__xludf.DUMMYFUNCTION("""COMPUTED_VALUE"""),1.0)</f>
        <v>1</v>
      </c>
      <c r="K332" s="93" t="str">
        <f>IFERROR(__xludf.DUMMYFUNCTION("""COMPUTED_VALUE"""),"Complete")</f>
        <v>Complete</v>
      </c>
      <c r="L332" s="93"/>
      <c r="M332" s="94">
        <f>IFERROR(__xludf.DUMMYFUNCTION("""COMPUTED_VALUE"""),46144.105092592596)</f>
        <v>46144.10509</v>
      </c>
      <c r="N332" s="93">
        <f>IFERROR(__xludf.DUMMYFUNCTION("""COMPUTED_VALUE"""),84.0)</f>
        <v>84</v>
      </c>
      <c r="O332" s="93"/>
      <c r="P332" s="93" t="str">
        <f>IFERROR(__xludf.DUMMYFUNCTION("""COMPUTED_VALUE"""),"Kit Delivery")</f>
        <v>Kit Delivery</v>
      </c>
      <c r="Q332" s="93"/>
      <c r="R332" s="93"/>
      <c r="S332" s="93" t="str">
        <f>IFERROR(__xludf.DUMMYFUNCTION("""COMPUTED_VALUE"""),"Dispatch_Images/KIT--17440.Photos.073116.jpg")</f>
        <v>Dispatch_Images/KIT--17440.Photos.073116.jpg</v>
      </c>
      <c r="T332" s="95">
        <f>IFERROR(__xludf.DUMMYFUNCTION("""COMPUTED_VALUE"""),46144.108773148146)</f>
        <v>46144.10877</v>
      </c>
      <c r="U332" s="93"/>
      <c r="V332" s="93"/>
      <c r="W332" s="93"/>
      <c r="X332" s="93"/>
      <c r="Y332" s="93"/>
      <c r="Z332" s="93"/>
    </row>
    <row r="333">
      <c r="A333" s="93" t="str">
        <f>IFERROR(__xludf.DUMMYFUNCTION("""COMPUTED_VALUE"""),"KIT-#17563")</f>
        <v>KIT-#17563</v>
      </c>
      <c r="B333" s="94">
        <f>IFERROR(__xludf.DUMMYFUNCTION("""COMPUTED_VALUE"""),46147.0)</f>
        <v>46147</v>
      </c>
      <c r="C333" s="93" t="str">
        <f>IFERROR(__xludf.DUMMYFUNCTION("""COMPUTED_VALUE"""),"Kit Delivery")</f>
        <v>Kit Delivery</v>
      </c>
      <c r="D333" s="93">
        <f>IFERROR(__xludf.DUMMYFUNCTION("""COMPUTED_VALUE"""),3.0)</f>
        <v>3</v>
      </c>
      <c r="E333" s="93" t="str">
        <f>IFERROR(__xludf.DUMMYFUNCTION("""COMPUTED_VALUE"""),"Shanedling")</f>
        <v>Shanedling</v>
      </c>
      <c r="F333" s="93">
        <f>IFERROR(__xludf.DUMMYFUNCTION("""COMPUTED_VALUE"""),332.0)</f>
        <v>332</v>
      </c>
      <c r="G333" s="93" t="str">
        <f>IFERROR(__xludf.DUMMYFUNCTION("""COMPUTED_VALUE"""),"Natasha Benjamin")</f>
        <v>Natasha Benjamin</v>
      </c>
      <c r="H333" s="93">
        <f>IFERROR(__xludf.DUMMYFUNCTION("""COMPUTED_VALUE"""),8.722205605E9)</f>
        <v>8722205605</v>
      </c>
      <c r="I333" s="93" t="str">
        <f>IFERROR(__xludf.DUMMYFUNCTION("""COMPUTED_VALUE"""),"2PM-4PM")</f>
        <v>2PM-4PM</v>
      </c>
      <c r="J333" s="93">
        <f>IFERROR(__xludf.DUMMYFUNCTION("""COMPUTED_VALUE"""),1.0)</f>
        <v>1</v>
      </c>
      <c r="K333" s="93" t="str">
        <f>IFERROR(__xludf.DUMMYFUNCTION("""COMPUTED_VALUE"""),"Complete")</f>
        <v>Complete</v>
      </c>
      <c r="L333" s="93"/>
      <c r="M333" s="94">
        <f>IFERROR(__xludf.DUMMYFUNCTION("""COMPUTED_VALUE"""),46144.1072337963)</f>
        <v>46144.10723</v>
      </c>
      <c r="N333" s="93">
        <f>IFERROR(__xludf.DUMMYFUNCTION("""COMPUTED_VALUE"""),85.0)</f>
        <v>85</v>
      </c>
      <c r="O333" s="93"/>
      <c r="P333" s="93" t="str">
        <f>IFERROR(__xludf.DUMMYFUNCTION("""COMPUTED_VALUE"""),"Kit Delivery")</f>
        <v>Kit Delivery</v>
      </c>
      <c r="Q333" s="93"/>
      <c r="R333" s="93"/>
      <c r="S333" s="93" t="str">
        <f>IFERROR(__xludf.DUMMYFUNCTION("""COMPUTED_VALUE"""),"Dispatch_Images/KIT--17563.Photos.073422.jpg")</f>
        <v>Dispatch_Images/KIT--17563.Photos.073422.jpg</v>
      </c>
      <c r="T333" s="95">
        <f>IFERROR(__xludf.DUMMYFUNCTION("""COMPUTED_VALUE"""),46144.108773148146)</f>
        <v>46144.10877</v>
      </c>
      <c r="U333" s="93"/>
      <c r="V333" s="93"/>
      <c r="W333" s="93"/>
      <c r="X333" s="93"/>
      <c r="Y333" s="93"/>
      <c r="Z333" s="93"/>
    </row>
    <row r="334">
      <c r="A334" s="93" t="str">
        <f>IFERROR(__xludf.DUMMYFUNCTION("""COMPUTED_VALUE"""),"KIT-#17607")</f>
        <v>KIT-#17607</v>
      </c>
      <c r="B334" s="94">
        <f>IFERROR(__xludf.DUMMYFUNCTION("""COMPUTED_VALUE"""),46147.0)</f>
        <v>46147</v>
      </c>
      <c r="C334" s="93" t="str">
        <f>IFERROR(__xludf.DUMMYFUNCTION("""COMPUTED_VALUE"""),"Kit Delivery")</f>
        <v>Kit Delivery</v>
      </c>
      <c r="D334" s="93">
        <f>IFERROR(__xludf.DUMMYFUNCTION("""COMPUTED_VALUE"""),3.0)</f>
        <v>3</v>
      </c>
      <c r="E334" s="93" t="str">
        <f>IFERROR(__xludf.DUMMYFUNCTION("""COMPUTED_VALUE"""),"Shanedling")</f>
        <v>Shanedling</v>
      </c>
      <c r="F334" s="93">
        <f>IFERROR(__xludf.DUMMYFUNCTION("""COMPUTED_VALUE"""),334.0)</f>
        <v>334</v>
      </c>
      <c r="G334" s="93" t="str">
        <f>IFERROR(__xludf.DUMMYFUNCTION("""COMPUTED_VALUE"""),"Jackie Clay")</f>
        <v>Jackie Clay</v>
      </c>
      <c r="H334" s="93">
        <f>IFERROR(__xludf.DUMMYFUNCTION("""COMPUTED_VALUE"""),9.783990241E9)</f>
        <v>9783990241</v>
      </c>
      <c r="I334" s="93" t="str">
        <f>IFERROR(__xludf.DUMMYFUNCTION("""COMPUTED_VALUE"""),"12PM-2PM")</f>
        <v>12PM-2PM</v>
      </c>
      <c r="J334" s="93">
        <f>IFERROR(__xludf.DUMMYFUNCTION("""COMPUTED_VALUE"""),1.0)</f>
        <v>1</v>
      </c>
      <c r="K334" s="93" t="str">
        <f>IFERROR(__xludf.DUMMYFUNCTION("""COMPUTED_VALUE"""),"Complete")</f>
        <v>Complete</v>
      </c>
      <c r="L334" s="93"/>
      <c r="M334" s="94">
        <f>IFERROR(__xludf.DUMMYFUNCTION("""COMPUTED_VALUE"""),46144.107361111106)</f>
        <v>46144.10736</v>
      </c>
      <c r="N334" s="93">
        <f>IFERROR(__xludf.DUMMYFUNCTION("""COMPUTED_VALUE"""),86.0)</f>
        <v>86</v>
      </c>
      <c r="O334" s="93"/>
      <c r="P334" s="93" t="str">
        <f>IFERROR(__xludf.DUMMYFUNCTION("""COMPUTED_VALUE"""),"Kit Delivery")</f>
        <v>Kit Delivery</v>
      </c>
      <c r="Q334" s="93"/>
      <c r="R334" s="93"/>
      <c r="S334" s="93" t="str">
        <f>IFERROR(__xludf.DUMMYFUNCTION("""COMPUTED_VALUE"""),"Dispatch_Images/KIT--17607.Photos.073433.jpg")</f>
        <v>Dispatch_Images/KIT--17607.Photos.073433.jpg</v>
      </c>
      <c r="T334" s="95">
        <f>IFERROR(__xludf.DUMMYFUNCTION("""COMPUTED_VALUE"""),46144.108773148146)</f>
        <v>46144.10877</v>
      </c>
      <c r="U334" s="93"/>
      <c r="V334" s="93"/>
      <c r="W334" s="93"/>
      <c r="X334" s="93"/>
      <c r="Y334" s="93"/>
      <c r="Z334" s="93"/>
    </row>
    <row r="335">
      <c r="A335" s="93" t="str">
        <f>IFERROR(__xludf.DUMMYFUNCTION("""COMPUTED_VALUE"""),"KIT-#17399")</f>
        <v>KIT-#17399</v>
      </c>
      <c r="B335" s="94">
        <f>IFERROR(__xludf.DUMMYFUNCTION("""COMPUTED_VALUE"""),46147.0)</f>
        <v>46147</v>
      </c>
      <c r="C335" s="93" t="str">
        <f>IFERROR(__xludf.DUMMYFUNCTION("""COMPUTED_VALUE"""),"Kit Delivery")</f>
        <v>Kit Delivery</v>
      </c>
      <c r="D335" s="93">
        <f>IFERROR(__xludf.DUMMYFUNCTION("""COMPUTED_VALUE"""),2.0)</f>
        <v>2</v>
      </c>
      <c r="E335" s="93" t="str">
        <f>IFERROR(__xludf.DUMMYFUNCTION("""COMPUTED_VALUE"""),"House 2")</f>
        <v>House 2</v>
      </c>
      <c r="F335" s="93">
        <f>IFERROR(__xludf.DUMMYFUNCTION("""COMPUTED_VALUE"""),308.0)</f>
        <v>308</v>
      </c>
      <c r="G335" s="93" t="str">
        <f>IFERROR(__xludf.DUMMYFUNCTION("""COMPUTED_VALUE"""),"Michael Perlmutter")</f>
        <v>Michael Perlmutter</v>
      </c>
      <c r="H335" s="93">
        <f>IFERROR(__xludf.DUMMYFUNCTION("""COMPUTED_VALUE"""),9.179236964E9)</f>
        <v>9179236964</v>
      </c>
      <c r="I335" s="93" t="str">
        <f>IFERROR(__xludf.DUMMYFUNCTION("""COMPUTED_VALUE"""),"3PM-5PM")</f>
        <v>3PM-5PM</v>
      </c>
      <c r="J335" s="93">
        <f>IFERROR(__xludf.DUMMYFUNCTION("""COMPUTED_VALUE"""),1.0)</f>
        <v>1</v>
      </c>
      <c r="K335" s="93" t="str">
        <f>IFERROR(__xludf.DUMMYFUNCTION("""COMPUTED_VALUE"""),"Complete")</f>
        <v>Complete</v>
      </c>
      <c r="L335" s="93"/>
      <c r="M335" s="94">
        <f>IFERROR(__xludf.DUMMYFUNCTION("""COMPUTED_VALUE"""),46144.12358796297)</f>
        <v>46144.12359</v>
      </c>
      <c r="N335" s="93">
        <f>IFERROR(__xludf.DUMMYFUNCTION("""COMPUTED_VALUE"""),146.0)</f>
        <v>146</v>
      </c>
      <c r="O335" s="93"/>
      <c r="P335" s="93" t="str">
        <f>IFERROR(__xludf.DUMMYFUNCTION("""COMPUTED_VALUE"""),"Kit Delivery")</f>
        <v>Kit Delivery</v>
      </c>
      <c r="Q335" s="93"/>
      <c r="R335" s="93"/>
      <c r="S335" s="93" t="str">
        <f>IFERROR(__xludf.DUMMYFUNCTION("""COMPUTED_VALUE"""),"Dispatch_Images/KIT--17399.Photos.075754.jpg")</f>
        <v>Dispatch_Images/KIT--17399.Photos.075754.jpg</v>
      </c>
      <c r="T335" s="95">
        <f>IFERROR(__xludf.DUMMYFUNCTION("""COMPUTED_VALUE"""),46144.129594907405)</f>
        <v>46144.12959</v>
      </c>
      <c r="U335" s="93"/>
      <c r="V335" s="93"/>
      <c r="W335" s="93"/>
      <c r="X335" s="93"/>
      <c r="Y335" s="93"/>
      <c r="Z335" s="93"/>
    </row>
    <row r="336">
      <c r="A336" s="93" t="str">
        <f>IFERROR(__xludf.DUMMYFUNCTION("""COMPUTED_VALUE"""),"KIT-#17779")</f>
        <v>KIT-#17779</v>
      </c>
      <c r="B336" s="94">
        <f>IFERROR(__xludf.DUMMYFUNCTION("""COMPUTED_VALUE"""),46147.0)</f>
        <v>46147</v>
      </c>
      <c r="C336" s="93" t="str">
        <f>IFERROR(__xludf.DUMMYFUNCTION("""COMPUTED_VALUE"""),"Kit Delivery")</f>
        <v>Kit Delivery</v>
      </c>
      <c r="D336" s="93">
        <f>IFERROR(__xludf.DUMMYFUNCTION("""COMPUTED_VALUE"""),2.0)</f>
        <v>2</v>
      </c>
      <c r="E336" s="93" t="str">
        <f>IFERROR(__xludf.DUMMYFUNCTION("""COMPUTED_VALUE"""),"6633 UDrive")</f>
        <v>6633 UDrive</v>
      </c>
      <c r="F336" s="93" t="str">
        <f>IFERROR(__xludf.DUMMYFUNCTION("""COMPUTED_VALUE"""),"2W-C")</f>
        <v>2W-C</v>
      </c>
      <c r="G336" s="93" t="str">
        <f>IFERROR(__xludf.DUMMYFUNCTION("""COMPUTED_VALUE"""),"Lydia Mazeeva")</f>
        <v>Lydia Mazeeva</v>
      </c>
      <c r="H336" s="93">
        <f>IFERROR(__xludf.DUMMYFUNCTION("""COMPUTED_VALUE"""),4.252731891E9)</f>
        <v>4252731891</v>
      </c>
      <c r="I336" s="93" t="str">
        <f>IFERROR(__xludf.DUMMYFUNCTION("""COMPUTED_VALUE"""),"3PM-5PM")</f>
        <v>3PM-5PM</v>
      </c>
      <c r="J336" s="93">
        <f>IFERROR(__xludf.DUMMYFUNCTION("""COMPUTED_VALUE"""),2.0)</f>
        <v>2</v>
      </c>
      <c r="K336" s="93" t="str">
        <f>IFERROR(__xludf.DUMMYFUNCTION("""COMPUTED_VALUE"""),"Complete")</f>
        <v>Complete</v>
      </c>
      <c r="L336" s="93"/>
      <c r="M336" s="94">
        <f>IFERROR(__xludf.DUMMYFUNCTION("""COMPUTED_VALUE"""),46144.136875)</f>
        <v>46144.13688</v>
      </c>
      <c r="N336" s="93">
        <f>IFERROR(__xludf.DUMMYFUNCTION("""COMPUTED_VALUE"""),150.0)</f>
        <v>150</v>
      </c>
      <c r="O336" s="93"/>
      <c r="P336" s="93" t="str">
        <f>IFERROR(__xludf.DUMMYFUNCTION("""COMPUTED_VALUE"""),"Kit Delivery")</f>
        <v>Kit Delivery</v>
      </c>
      <c r="Q336" s="93"/>
      <c r="R336" s="93"/>
      <c r="S336" s="93" t="str">
        <f>IFERROR(__xludf.DUMMYFUNCTION("""COMPUTED_VALUE"""),"Dispatch_Images/KIT--17779.Photos.081703.jpg")</f>
        <v>Dispatch_Images/KIT--17779.Photos.081703.jpg</v>
      </c>
      <c r="T336" s="95">
        <f>IFERROR(__xludf.DUMMYFUNCTION("""COMPUTED_VALUE"""),46144.143483796295)</f>
        <v>46144.14348</v>
      </c>
      <c r="U336" s="93"/>
      <c r="V336" s="93"/>
      <c r="W336" s="93"/>
      <c r="X336" s="93"/>
      <c r="Y336" s="93"/>
      <c r="Z336" s="93"/>
    </row>
    <row r="337">
      <c r="A337" s="93" t="str">
        <f>IFERROR(__xludf.DUMMYFUNCTION("""COMPUTED_VALUE"""),"KIT-#17458")</f>
        <v>KIT-#17458</v>
      </c>
      <c r="B337" s="94">
        <f>IFERROR(__xludf.DUMMYFUNCTION("""COMPUTED_VALUE"""),46147.0)</f>
        <v>46147</v>
      </c>
      <c r="C337" s="93" t="str">
        <f>IFERROR(__xludf.DUMMYFUNCTION("""COMPUTED_VALUE"""),"Kit Delivery")</f>
        <v>Kit Delivery</v>
      </c>
      <c r="D337" s="93">
        <f>IFERROR(__xludf.DUMMYFUNCTION("""COMPUTED_VALUE"""),3.0)</f>
        <v>3</v>
      </c>
      <c r="E337" s="93" t="str">
        <f>IFERROR(__xludf.DUMMYFUNCTION("""COMPUTED_VALUE"""),"Millbrook Bldg. 1")</f>
        <v>Millbrook Bldg. 1</v>
      </c>
      <c r="F337" s="93" t="str">
        <f>IFERROR(__xludf.DUMMYFUNCTION("""COMPUTED_VALUE"""),"Apt. 203 Room B")</f>
        <v>Apt. 203 Room B</v>
      </c>
      <c r="G337" s="93" t="str">
        <f>IFERROR(__xludf.DUMMYFUNCTION("""COMPUTED_VALUE"""),"Anthony Peralta")</f>
        <v>Anthony Peralta</v>
      </c>
      <c r="H337" s="93">
        <f>IFERROR(__xludf.DUMMYFUNCTION("""COMPUTED_VALUE"""),8.328153736E9)</f>
        <v>8328153736</v>
      </c>
      <c r="I337" s="93" t="str">
        <f>IFERROR(__xludf.DUMMYFUNCTION("""COMPUTED_VALUE"""),"9AM-11AM")</f>
        <v>9AM-11AM</v>
      </c>
      <c r="J337" s="93">
        <f>IFERROR(__xludf.DUMMYFUNCTION("""COMPUTED_VALUE"""),1.0)</f>
        <v>1</v>
      </c>
      <c r="K337" s="93" t="str">
        <f>IFERROR(__xludf.DUMMYFUNCTION("""COMPUTED_VALUE"""),"Complete")</f>
        <v>Complete</v>
      </c>
      <c r="L337" s="93"/>
      <c r="M337" s="94">
        <f>IFERROR(__xludf.DUMMYFUNCTION("""COMPUTED_VALUE"""),46144.14753472222)</f>
        <v>46144.14753</v>
      </c>
      <c r="N337" s="93">
        <f>IFERROR(__xludf.DUMMYFUNCTION("""COMPUTED_VALUE"""),126.0)</f>
        <v>126</v>
      </c>
      <c r="O337" s="93"/>
      <c r="P337" s="93" t="str">
        <f>IFERROR(__xludf.DUMMYFUNCTION("""COMPUTED_VALUE"""),"Kit Delivery")</f>
        <v>Kit Delivery</v>
      </c>
      <c r="Q337" s="93"/>
      <c r="R337" s="93"/>
      <c r="S337" s="93" t="str">
        <f>IFERROR(__xludf.DUMMYFUNCTION("""COMPUTED_VALUE"""),"Dispatch_Images/KIT--17458.Photos.083058.jpg")</f>
        <v>Dispatch_Images/KIT--17458.Photos.083058.jpg</v>
      </c>
      <c r="T337" s="95">
        <f>IFERROR(__xludf.DUMMYFUNCTION("""COMPUTED_VALUE"""),46144.15043981482)</f>
        <v>46144.15044</v>
      </c>
      <c r="U337" s="93"/>
      <c r="V337" s="93"/>
      <c r="W337" s="93"/>
      <c r="X337" s="93"/>
      <c r="Y337" s="93"/>
      <c r="Z337" s="93"/>
    </row>
    <row r="338">
      <c r="A338" s="93" t="str">
        <f>IFERROR(__xludf.DUMMYFUNCTION("""COMPUTED_VALUE"""),"KIT-#17460")</f>
        <v>KIT-#17460</v>
      </c>
      <c r="B338" s="94">
        <f>IFERROR(__xludf.DUMMYFUNCTION("""COMPUTED_VALUE"""),46147.0)</f>
        <v>46147</v>
      </c>
      <c r="C338" s="93" t="str">
        <f>IFERROR(__xludf.DUMMYFUNCTION("""COMPUTED_VALUE"""),"Kit Delivery")</f>
        <v>Kit Delivery</v>
      </c>
      <c r="D338" s="93">
        <f>IFERROR(__xludf.DUMMYFUNCTION("""COMPUTED_VALUE"""),3.0)</f>
        <v>3</v>
      </c>
      <c r="E338" s="93" t="str">
        <f>IFERROR(__xludf.DUMMYFUNCTION("""COMPUTED_VALUE"""),"Millbrook Bldg. 4")</f>
        <v>Millbrook Bldg. 4</v>
      </c>
      <c r="F338" s="93" t="str">
        <f>IFERROR(__xludf.DUMMYFUNCTION("""COMPUTED_VALUE"""),"302F")</f>
        <v>302F</v>
      </c>
      <c r="G338" s="93" t="str">
        <f>IFERROR(__xludf.DUMMYFUNCTION("""COMPUTED_VALUE"""),"Jordan")</f>
        <v>Jordan</v>
      </c>
      <c r="H338" s="93">
        <f>IFERROR(__xludf.DUMMYFUNCTION("""COMPUTED_VALUE"""),3.478860321E9)</f>
        <v>3478860321</v>
      </c>
      <c r="I338" s="93" t="str">
        <f>IFERROR(__xludf.DUMMYFUNCTION("""COMPUTED_VALUE"""),"9AM-11AM")</f>
        <v>9AM-11AM</v>
      </c>
      <c r="J338" s="93">
        <f>IFERROR(__xludf.DUMMYFUNCTION("""COMPUTED_VALUE"""),1.0)</f>
        <v>1</v>
      </c>
      <c r="K338" s="93" t="str">
        <f>IFERROR(__xludf.DUMMYFUNCTION("""COMPUTED_VALUE"""),"Complete")</f>
        <v>Complete</v>
      </c>
      <c r="L338" s="93"/>
      <c r="M338" s="94">
        <f>IFERROR(__xludf.DUMMYFUNCTION("""COMPUTED_VALUE"""),46144.15510416667)</f>
        <v>46144.1551</v>
      </c>
      <c r="N338" s="93">
        <f>IFERROR(__xludf.DUMMYFUNCTION("""COMPUTED_VALUE"""),140.0)</f>
        <v>140</v>
      </c>
      <c r="O338" s="93"/>
      <c r="P338" s="93" t="str">
        <f>IFERROR(__xludf.DUMMYFUNCTION("""COMPUTED_VALUE"""),"Kit Delivery")</f>
        <v>Kit Delivery</v>
      </c>
      <c r="Q338" s="93"/>
      <c r="R338" s="93"/>
      <c r="S338" s="93" t="str">
        <f>IFERROR(__xludf.DUMMYFUNCTION("""COMPUTED_VALUE"""),"Dispatch_Images/KIT--17460.Photos.084318.jpg")</f>
        <v>Dispatch_Images/KIT--17460.Photos.084318.jpg</v>
      </c>
      <c r="T338" s="95">
        <f>IFERROR(__xludf.DUMMYFUNCTION("""COMPUTED_VALUE"""),46144.15738425926)</f>
        <v>46144.15738</v>
      </c>
      <c r="U338" s="93"/>
      <c r="V338" s="93"/>
      <c r="W338" s="93"/>
      <c r="X338" s="93"/>
      <c r="Y338" s="93"/>
      <c r="Z338" s="93"/>
    </row>
    <row r="339">
      <c r="A339" s="93" t="str">
        <f>IFERROR(__xludf.DUMMYFUNCTION("""COMPUTED_VALUE"""),"KIT-#17514")</f>
        <v>KIT-#17514</v>
      </c>
      <c r="B339" s="94">
        <f>IFERROR(__xludf.DUMMYFUNCTION("""COMPUTED_VALUE"""),46147.0)</f>
        <v>46147</v>
      </c>
      <c r="C339" s="93" t="str">
        <f>IFERROR(__xludf.DUMMYFUNCTION("""COMPUTED_VALUE"""),"Kit Delivery")</f>
        <v>Kit Delivery</v>
      </c>
      <c r="D339" s="93">
        <f>IFERROR(__xludf.DUMMYFUNCTION("""COMPUTED_VALUE"""),3.0)</f>
        <v>3</v>
      </c>
      <c r="E339" s="93" t="str">
        <f>IFERROR(__xludf.DUMMYFUNCTION("""COMPUTED_VALUE"""),"Millbrook Bldg. 3")</f>
        <v>Millbrook Bldg. 3</v>
      </c>
      <c r="F339" s="93" t="str">
        <f>IFERROR(__xludf.DUMMYFUNCTION("""COMPUTED_VALUE"""),"103E")</f>
        <v>103E</v>
      </c>
      <c r="G339" s="93" t="str">
        <f>IFERROR(__xludf.DUMMYFUNCTION("""COMPUTED_VALUE"""),"Cece Milde")</f>
        <v>Cece Milde</v>
      </c>
      <c r="H339" s="93">
        <f>IFERROR(__xludf.DUMMYFUNCTION("""COMPUTED_VALUE"""),9.178683484E9)</f>
        <v>9178683484</v>
      </c>
      <c r="I339" s="93" t="str">
        <f>IFERROR(__xludf.DUMMYFUNCTION("""COMPUTED_VALUE"""),"12PM-2PM")</f>
        <v>12PM-2PM</v>
      </c>
      <c r="J339" s="93">
        <f>IFERROR(__xludf.DUMMYFUNCTION("""COMPUTED_VALUE"""),1.0)</f>
        <v>1</v>
      </c>
      <c r="K339" s="93" t="str">
        <f>IFERROR(__xludf.DUMMYFUNCTION("""COMPUTED_VALUE"""),"Complete")</f>
        <v>Complete</v>
      </c>
      <c r="L339" s="93"/>
      <c r="M339" s="94">
        <f>IFERROR(__xludf.DUMMYFUNCTION("""COMPUTED_VALUE"""),46144.15696759259)</f>
        <v>46144.15697</v>
      </c>
      <c r="N339" s="93">
        <f>IFERROR(__xludf.DUMMYFUNCTION("""COMPUTED_VALUE"""),136.0)</f>
        <v>136</v>
      </c>
      <c r="O339" s="93"/>
      <c r="P339" s="93" t="str">
        <f>IFERROR(__xludf.DUMMYFUNCTION("""COMPUTED_VALUE"""),"Kit Delivery")</f>
        <v>Kit Delivery</v>
      </c>
      <c r="Q339" s="93"/>
      <c r="R339" s="93"/>
      <c r="S339" s="93" t="str">
        <f>IFERROR(__xludf.DUMMYFUNCTION("""COMPUTED_VALUE"""),"Dispatch_Images/KIT--17514.Photos.084559.jpg")</f>
        <v>Dispatch_Images/KIT--17514.Photos.084559.jpg</v>
      </c>
      <c r="T339" s="95">
        <f>IFERROR(__xludf.DUMMYFUNCTION("""COMPUTED_VALUE"""),46144.15738425926)</f>
        <v>46144.15738</v>
      </c>
      <c r="U339" s="93"/>
      <c r="V339" s="93"/>
      <c r="W339" s="93"/>
      <c r="X339" s="93"/>
      <c r="Y339" s="93"/>
      <c r="Z339" s="93"/>
    </row>
    <row r="340">
      <c r="A340" s="93" t="str">
        <f>IFERROR(__xludf.DUMMYFUNCTION("""COMPUTED_VALUE"""),"KIT-#18022")</f>
        <v>KIT-#18022</v>
      </c>
      <c r="B340" s="94">
        <f>IFERROR(__xludf.DUMMYFUNCTION("""COMPUTED_VALUE"""),46147.0)</f>
        <v>46147</v>
      </c>
      <c r="C340" s="93" t="str">
        <f>IFERROR(__xludf.DUMMYFUNCTION("""COMPUTED_VALUE"""),"Kit Delivery")</f>
        <v>Kit Delivery</v>
      </c>
      <c r="D340" s="93">
        <f>IFERROR(__xludf.DUMMYFUNCTION("""COMPUTED_VALUE"""),2.0)</f>
        <v>2</v>
      </c>
      <c r="E340" s="93" t="str">
        <f>IFERROR(__xludf.DUMMYFUNCTION("""COMPUTED_VALUE"""),"House 22")</f>
        <v>House 22</v>
      </c>
      <c r="F340" s="93" t="str">
        <f>IFERROR(__xludf.DUMMYFUNCTION("""COMPUTED_VALUE"""),"3002a")</f>
        <v>3002a</v>
      </c>
      <c r="G340" s="93" t="str">
        <f>IFERROR(__xludf.DUMMYFUNCTION("""COMPUTED_VALUE"""),"Andrew Park")</f>
        <v>Andrew Park</v>
      </c>
      <c r="H340" s="93">
        <f>IFERROR(__xludf.DUMMYFUNCTION("""COMPUTED_VALUE"""),2.014480298E9)</f>
        <v>2014480298</v>
      </c>
      <c r="I340" s="93" t="str">
        <f>IFERROR(__xludf.DUMMYFUNCTION("""COMPUTED_VALUE"""),"3PM-5PM")</f>
        <v>3PM-5PM</v>
      </c>
      <c r="J340" s="93">
        <f>IFERROR(__xludf.DUMMYFUNCTION("""COMPUTED_VALUE"""),1.0)</f>
        <v>1</v>
      </c>
      <c r="K340" s="93" t="str">
        <f>IFERROR(__xludf.DUMMYFUNCTION("""COMPUTED_VALUE"""),"Complete")</f>
        <v>Complete</v>
      </c>
      <c r="L340" s="93"/>
      <c r="M340" s="94">
        <f>IFERROR(__xludf.DUMMYFUNCTION("""COMPUTED_VALUE"""),46144.157800925925)</f>
        <v>46144.1578</v>
      </c>
      <c r="N340" s="93">
        <f>IFERROR(__xludf.DUMMYFUNCTION("""COMPUTED_VALUE"""),123.0)</f>
        <v>123</v>
      </c>
      <c r="O340" s="93"/>
      <c r="P340" s="93" t="str">
        <f>IFERROR(__xludf.DUMMYFUNCTION("""COMPUTED_VALUE"""),"Kit Delivery")</f>
        <v>Kit Delivery</v>
      </c>
      <c r="Q340" s="93"/>
      <c r="R340" s="93"/>
      <c r="S340" s="93" t="str">
        <f>IFERROR(__xludf.DUMMYFUNCTION("""COMPUTED_VALUE"""),"Dispatch_Images/KIT--18022.Photos.084711.jpg")</f>
        <v>Dispatch_Images/KIT--18022.Photos.084711.jpg</v>
      </c>
      <c r="T340" s="95">
        <f>IFERROR(__xludf.DUMMYFUNCTION("""COMPUTED_VALUE"""),46144.16431712963)</f>
        <v>46144.16432</v>
      </c>
      <c r="U340" s="93"/>
      <c r="V340" s="93"/>
      <c r="W340" s="93"/>
      <c r="X340" s="93"/>
      <c r="Y340" s="93"/>
      <c r="Z340" s="93"/>
    </row>
    <row r="341">
      <c r="A341" s="93" t="str">
        <f>IFERROR(__xludf.DUMMYFUNCTION("""COMPUTED_VALUE"""),"KIT-#18149")</f>
        <v>KIT-#18149</v>
      </c>
      <c r="B341" s="94">
        <f>IFERROR(__xludf.DUMMYFUNCTION("""COMPUTED_VALUE"""),46147.0)</f>
        <v>46147</v>
      </c>
      <c r="C341" s="93" t="str">
        <f>IFERROR(__xludf.DUMMYFUNCTION("""COMPUTED_VALUE"""),"Kit Delivery")</f>
        <v>Kit Delivery</v>
      </c>
      <c r="D341" s="93">
        <f>IFERROR(__xludf.DUMMYFUNCTION("""COMPUTED_VALUE"""),3.0)</f>
        <v>3</v>
      </c>
      <c r="E341" s="93" t="str">
        <f>IFERROR(__xludf.DUMMYFUNCTION("""COMPUTED_VALUE"""),"Umrath")</f>
        <v>Umrath</v>
      </c>
      <c r="F341" s="93">
        <f>IFERROR(__xludf.DUMMYFUNCTION("""COMPUTED_VALUE"""),2203.0)</f>
        <v>2203</v>
      </c>
      <c r="G341" s="93" t="str">
        <f>IFERROR(__xludf.DUMMYFUNCTION("""COMPUTED_VALUE"""),"Sophie Saltzman")</f>
        <v>Sophie Saltzman</v>
      </c>
      <c r="H341" s="93">
        <f>IFERROR(__xludf.DUMMYFUNCTION("""COMPUTED_VALUE"""),5.163805641E9)</f>
        <v>5163805641</v>
      </c>
      <c r="I341" s="93" t="str">
        <f>IFERROR(__xludf.DUMMYFUNCTION("""COMPUTED_VALUE"""),"10AM-12PM")</f>
        <v>10AM-12PM</v>
      </c>
      <c r="J341" s="93">
        <f>IFERROR(__xludf.DUMMYFUNCTION("""COMPUTED_VALUE"""),1.0)</f>
        <v>1</v>
      </c>
      <c r="K341" s="93" t="str">
        <f>IFERROR(__xludf.DUMMYFUNCTION("""COMPUTED_VALUE"""),"Complete")</f>
        <v>Complete</v>
      </c>
      <c r="L341" s="93"/>
      <c r="M341" s="94">
        <f>IFERROR(__xludf.DUMMYFUNCTION("""COMPUTED_VALUE"""),46144.16578703704)</f>
        <v>46144.16579</v>
      </c>
      <c r="N341" s="93">
        <f>IFERROR(__xludf.DUMMYFUNCTION("""COMPUTED_VALUE"""),92.0)</f>
        <v>92</v>
      </c>
      <c r="O341" s="93" t="str">
        <f>IFERROR(__xludf.DUMMYFUNCTION("""COMPUTED_VALUE"""),"212 Legend Drive
Sleepy Hollow, NY 10591")</f>
        <v>212 Legend Drive
Sleepy Hollow, NY 10591</v>
      </c>
      <c r="P341" s="93" t="str">
        <f>IFERROR(__xludf.DUMMYFUNCTION("""COMPUTED_VALUE"""),"Kit Delivery")</f>
        <v>Kit Delivery</v>
      </c>
      <c r="Q341" s="93"/>
      <c r="R341" s="93"/>
      <c r="S341" s="93" t="str">
        <f>IFERROR(__xludf.DUMMYFUNCTION("""COMPUTED_VALUE"""),"Dispatch_Images/KIT--18149.Photos.085840.jpg")</f>
        <v>Dispatch_Images/KIT--18149.Photos.085840.jpg</v>
      </c>
      <c r="T341" s="95">
        <f>IFERROR(__xludf.DUMMYFUNCTION("""COMPUTED_VALUE"""),46144.171261574076)</f>
        <v>46144.17126</v>
      </c>
      <c r="U341" s="93"/>
      <c r="V341" s="93"/>
      <c r="W341" s="93"/>
      <c r="X341" s="93"/>
      <c r="Y341" s="93"/>
      <c r="Z341" s="93"/>
    </row>
    <row r="342">
      <c r="A342" s="93" t="str">
        <f>IFERROR(__xludf.DUMMYFUNCTION("""COMPUTED_VALUE"""),"KIT-#18142")</f>
        <v>KIT-#18142</v>
      </c>
      <c r="B342" s="94">
        <f>IFERROR(__xludf.DUMMYFUNCTION("""COMPUTED_VALUE"""),46147.0)</f>
        <v>46147</v>
      </c>
      <c r="C342" s="93" t="str">
        <f>IFERROR(__xludf.DUMMYFUNCTION("""COMPUTED_VALUE"""),"Kit Delivery")</f>
        <v>Kit Delivery</v>
      </c>
      <c r="D342" s="93">
        <f>IFERROR(__xludf.DUMMYFUNCTION("""COMPUTED_VALUE"""),3.0)</f>
        <v>3</v>
      </c>
      <c r="E342" s="93" t="str">
        <f>IFERROR(__xludf.DUMMYFUNCTION("""COMPUTED_VALUE"""),"Umrath")</f>
        <v>Umrath</v>
      </c>
      <c r="F342" s="93">
        <f>IFERROR(__xludf.DUMMYFUNCTION("""COMPUTED_VALUE"""),3304.0)</f>
        <v>3304</v>
      </c>
      <c r="G342" s="93" t="str">
        <f>IFERROR(__xludf.DUMMYFUNCTION("""COMPUTED_VALUE"""),"Jonah Daniel")</f>
        <v>Jonah Daniel</v>
      </c>
      <c r="H342" s="93">
        <f>IFERROR(__xludf.DUMMYFUNCTION("""COMPUTED_VALUE"""),3.019800344E9)</f>
        <v>3019800344</v>
      </c>
      <c r="I342" s="93" t="str">
        <f>IFERROR(__xludf.DUMMYFUNCTION("""COMPUTED_VALUE"""),"9AM-11AM")</f>
        <v>9AM-11AM</v>
      </c>
      <c r="J342" s="93">
        <f>IFERROR(__xludf.DUMMYFUNCTION("""COMPUTED_VALUE"""),1.0)</f>
        <v>1</v>
      </c>
      <c r="K342" s="93" t="str">
        <f>IFERROR(__xludf.DUMMYFUNCTION("""COMPUTED_VALUE"""),"Complete")</f>
        <v>Complete</v>
      </c>
      <c r="L342" s="93"/>
      <c r="M342" s="94">
        <f>IFERROR(__xludf.DUMMYFUNCTION("""COMPUTED_VALUE"""),46144.16721064815)</f>
        <v>46144.16721</v>
      </c>
      <c r="N342" s="93">
        <f>IFERROR(__xludf.DUMMYFUNCTION("""COMPUTED_VALUE"""),94.0)</f>
        <v>94</v>
      </c>
      <c r="O342" s="93"/>
      <c r="P342" s="93" t="str">
        <f>IFERROR(__xludf.DUMMYFUNCTION("""COMPUTED_VALUE"""),"Kit Delivery")</f>
        <v>Kit Delivery</v>
      </c>
      <c r="Q342" s="93"/>
      <c r="R342" s="93"/>
      <c r="S342" s="93" t="str">
        <f>IFERROR(__xludf.DUMMYFUNCTION("""COMPUTED_VALUE"""),"Dispatch_Images/KIT--18142.Photos.090044.jpg")</f>
        <v>Dispatch_Images/KIT--18142.Photos.090044.jpg</v>
      </c>
      <c r="T342" s="95">
        <f>IFERROR(__xludf.DUMMYFUNCTION("""COMPUTED_VALUE"""),46144.171261574076)</f>
        <v>46144.17126</v>
      </c>
      <c r="U342" s="93"/>
      <c r="V342" s="93"/>
      <c r="W342" s="93"/>
      <c r="X342" s="93"/>
      <c r="Y342" s="93"/>
      <c r="Z342" s="93"/>
    </row>
    <row r="343">
      <c r="A343" s="93" t="str">
        <f>IFERROR(__xludf.DUMMYFUNCTION("""COMPUTED_VALUE"""),"KIT-#18063")</f>
        <v>KIT-#18063</v>
      </c>
      <c r="B343" s="94">
        <f>IFERROR(__xludf.DUMMYFUNCTION("""COMPUTED_VALUE"""),46147.0)</f>
        <v>46147</v>
      </c>
      <c r="C343" s="93" t="str">
        <f>IFERROR(__xludf.DUMMYFUNCTION("""COMPUTED_VALUE"""),"Kit Delivery")</f>
        <v>Kit Delivery</v>
      </c>
      <c r="D343" s="93">
        <f>IFERROR(__xludf.DUMMYFUNCTION("""COMPUTED_VALUE"""),2.0)</f>
        <v>2</v>
      </c>
      <c r="E343" s="93" t="str">
        <f>IFERROR(__xludf.DUMMYFUNCTION("""COMPUTED_VALUE"""),"Hitzeman")</f>
        <v>Hitzeman</v>
      </c>
      <c r="F343" s="93">
        <f>IFERROR(__xludf.DUMMYFUNCTION("""COMPUTED_VALUE"""),431.0)</f>
        <v>431</v>
      </c>
      <c r="G343" s="93" t="str">
        <f>IFERROR(__xludf.DUMMYFUNCTION("""COMPUTED_VALUE"""),"Rachel Reinstein")</f>
        <v>Rachel Reinstein</v>
      </c>
      <c r="H343" s="93">
        <f>IFERROR(__xludf.DUMMYFUNCTION("""COMPUTED_VALUE"""),2.407040006E9)</f>
        <v>2407040006</v>
      </c>
      <c r="I343" s="93" t="str">
        <f>IFERROR(__xludf.DUMMYFUNCTION("""COMPUTED_VALUE"""),"3PM-5PM")</f>
        <v>3PM-5PM</v>
      </c>
      <c r="J343" s="93">
        <f>IFERROR(__xludf.DUMMYFUNCTION("""COMPUTED_VALUE"""),1.0)</f>
        <v>1</v>
      </c>
      <c r="K343" s="93" t="str">
        <f>IFERROR(__xludf.DUMMYFUNCTION("""COMPUTED_VALUE"""),"Complete")</f>
        <v>Complete</v>
      </c>
      <c r="L343" s="93"/>
      <c r="M343" s="94">
        <f>IFERROR(__xludf.DUMMYFUNCTION("""COMPUTED_VALUE"""),46144.18353009259)</f>
        <v>46144.18353</v>
      </c>
      <c r="N343" s="93">
        <f>IFERROR(__xludf.DUMMYFUNCTION("""COMPUTED_VALUE"""),1.0)</f>
        <v>1</v>
      </c>
      <c r="O343" s="93"/>
      <c r="P343" s="93" t="str">
        <f>IFERROR(__xludf.DUMMYFUNCTION("""COMPUTED_VALUE"""),"Kit Delivery")</f>
        <v>Kit Delivery</v>
      </c>
      <c r="Q343" s="93" t="str">
        <f>IFERROR(__xludf.DUMMYFUNCTION("""COMPUTED_VALUE"""),"I have one door fridge, rolling cart, headboard, and plastic tower.")</f>
        <v>I have one door fridge, rolling cart, headboard, and plastic tower.</v>
      </c>
      <c r="R343" s="93"/>
      <c r="S343" s="93" t="str">
        <f>IFERROR(__xludf.DUMMYFUNCTION("""COMPUTED_VALUE"""),"Dispatch_Images/KIT--18063.Photos.092413.jpg")</f>
        <v>Dispatch_Images/KIT--18063.Photos.092413.jpg</v>
      </c>
      <c r="T343" s="95">
        <f>IFERROR(__xludf.DUMMYFUNCTION("""COMPUTED_VALUE"""),46144.185162037036)</f>
        <v>46144.18516</v>
      </c>
      <c r="U343" s="93"/>
      <c r="V343" s="93"/>
      <c r="W343" s="93"/>
      <c r="X343" s="93"/>
      <c r="Y343" s="93"/>
      <c r="Z343" s="93"/>
    </row>
    <row r="344">
      <c r="A344" s="93" t="str">
        <f>IFERROR(__xludf.DUMMYFUNCTION("""COMPUTED_VALUE"""),"KIT-#18051")</f>
        <v>KIT-#18051</v>
      </c>
      <c r="B344" s="94">
        <f>IFERROR(__xludf.DUMMYFUNCTION("""COMPUTED_VALUE"""),46147.0)</f>
        <v>46147</v>
      </c>
      <c r="C344" s="93" t="str">
        <f>IFERROR(__xludf.DUMMYFUNCTION("""COMPUTED_VALUE"""),"Kit Delivery")</f>
        <v>Kit Delivery</v>
      </c>
      <c r="D344" s="93">
        <f>IFERROR(__xludf.DUMMYFUNCTION("""COMPUTED_VALUE"""),2.0)</f>
        <v>2</v>
      </c>
      <c r="E344" s="93" t="str">
        <f>IFERROR(__xludf.DUMMYFUNCTION("""COMPUTED_VALUE"""),"Lien")</f>
        <v>Lien</v>
      </c>
      <c r="F344" s="93">
        <f>IFERROR(__xludf.DUMMYFUNCTION("""COMPUTED_VALUE"""),1106.0)</f>
        <v>1106</v>
      </c>
      <c r="G344" s="93" t="str">
        <f>IFERROR(__xludf.DUMMYFUNCTION("""COMPUTED_VALUE"""),"Daniel Kochen")</f>
        <v>Daniel Kochen</v>
      </c>
      <c r="H344" s="93">
        <f>IFERROR(__xludf.DUMMYFUNCTION("""COMPUTED_VALUE"""),3.4667918236E10)</f>
        <v>34667918236</v>
      </c>
      <c r="I344" s="93" t="str">
        <f>IFERROR(__xludf.DUMMYFUNCTION("""COMPUTED_VALUE"""),"3PM-5PM")</f>
        <v>3PM-5PM</v>
      </c>
      <c r="J344" s="93">
        <f>IFERROR(__xludf.DUMMYFUNCTION("""COMPUTED_VALUE"""),1.0)</f>
        <v>1</v>
      </c>
      <c r="K344" s="93" t="str">
        <f>IFERROR(__xludf.DUMMYFUNCTION("""COMPUTED_VALUE"""),"Complete")</f>
        <v>Complete</v>
      </c>
      <c r="L344" s="93"/>
      <c r="M344" s="94">
        <f>IFERROR(__xludf.DUMMYFUNCTION("""COMPUTED_VALUE"""),46144.19037037037)</f>
        <v>46144.19037</v>
      </c>
      <c r="N344" s="93">
        <f>IFERROR(__xludf.DUMMYFUNCTION("""COMPUTED_VALUE"""),111.0)</f>
        <v>111</v>
      </c>
      <c r="O344" s="93"/>
      <c r="P344" s="93" t="str">
        <f>IFERROR(__xludf.DUMMYFUNCTION("""COMPUTED_VALUE"""),"Kit Delivery")</f>
        <v>Kit Delivery</v>
      </c>
      <c r="Q344" s="93"/>
      <c r="R344" s="93"/>
      <c r="S344" s="93" t="str">
        <f>IFERROR(__xludf.DUMMYFUNCTION("""COMPUTED_VALUE"""),"Dispatch_Images/KIT--18051.Photos.093404.jpg")</f>
        <v>Dispatch_Images/KIT--18051.Photos.093404.jpg</v>
      </c>
      <c r="T344" s="95">
        <f>IFERROR(__xludf.DUMMYFUNCTION("""COMPUTED_VALUE"""),46144.19212962963)</f>
        <v>46144.19213</v>
      </c>
      <c r="U344" s="93"/>
      <c r="V344" s="93"/>
      <c r="W344" s="93"/>
      <c r="X344" s="93"/>
      <c r="Y344" s="93"/>
      <c r="Z344" s="93"/>
    </row>
    <row r="345">
      <c r="A345" s="93" t="str">
        <f>IFERROR(__xludf.DUMMYFUNCTION("""COMPUTED_VALUE"""),"KIT-#18172")</f>
        <v>KIT-#18172</v>
      </c>
      <c r="B345" s="94">
        <f>IFERROR(__xludf.DUMMYFUNCTION("""COMPUTED_VALUE"""),46147.0)</f>
        <v>46147</v>
      </c>
      <c r="C345" s="93" t="str">
        <f>IFERROR(__xludf.DUMMYFUNCTION("""COMPUTED_VALUE"""),"Kit Delivery")</f>
        <v>Kit Delivery</v>
      </c>
      <c r="D345" s="93">
        <f>IFERROR(__xludf.DUMMYFUNCTION("""COMPUTED_VALUE"""),2.0)</f>
        <v>2</v>
      </c>
      <c r="E345" s="93" t="str">
        <f>IFERROR(__xludf.DUMMYFUNCTION("""COMPUTED_VALUE"""),"Danforth")</f>
        <v>Danforth</v>
      </c>
      <c r="F345" s="93">
        <f>IFERROR(__xludf.DUMMYFUNCTION("""COMPUTED_VALUE"""),3314.0)</f>
        <v>3314</v>
      </c>
      <c r="G345" s="93" t="str">
        <f>IFERROR(__xludf.DUMMYFUNCTION("""COMPUTED_VALUE"""),"Vincenzo Theobald")</f>
        <v>Vincenzo Theobald</v>
      </c>
      <c r="H345" s="93">
        <f>IFERROR(__xludf.DUMMYFUNCTION("""COMPUTED_VALUE"""),7.03901145E9)</f>
        <v>7039011450</v>
      </c>
      <c r="I345" s="93" t="str">
        <f>IFERROR(__xludf.DUMMYFUNCTION("""COMPUTED_VALUE"""),"12PM-2PM")</f>
        <v>12PM-2PM</v>
      </c>
      <c r="J345" s="93">
        <f>IFERROR(__xludf.DUMMYFUNCTION("""COMPUTED_VALUE"""),1.0)</f>
        <v>1</v>
      </c>
      <c r="K345" s="93" t="str">
        <f>IFERROR(__xludf.DUMMYFUNCTION("""COMPUTED_VALUE"""),"Complete")</f>
        <v>Complete</v>
      </c>
      <c r="L345" s="93"/>
      <c r="M345" s="94">
        <f>IFERROR(__xludf.DUMMYFUNCTION("""COMPUTED_VALUE"""),46145.07074074074)</f>
        <v>46145.07074</v>
      </c>
      <c r="N345" s="93">
        <f>IFERROR(__xludf.DUMMYFUNCTION("""COMPUTED_VALUE"""),30.0)</f>
        <v>30</v>
      </c>
      <c r="O345" s="93"/>
      <c r="P345" s="93" t="str">
        <f>IFERROR(__xludf.DUMMYFUNCTION("""COMPUTED_VALUE"""),"Kit Delivery")</f>
        <v>Kit Delivery</v>
      </c>
      <c r="Q345" s="93"/>
      <c r="R345" s="93"/>
      <c r="S345" s="93" t="str">
        <f>IFERROR(__xludf.DUMMYFUNCTION("""COMPUTED_VALUE"""),"Dispatch_Images/KIT--18172.Photos.064148.jpg")</f>
        <v>Dispatch_Images/KIT--18172.Photos.064148.jpg</v>
      </c>
      <c r="T345" s="95">
        <f>IFERROR(__xludf.DUMMYFUNCTION("""COMPUTED_VALUE"""),46145.07403935185)</f>
        <v>46145.07404</v>
      </c>
      <c r="U345" s="93"/>
      <c r="V345" s="93"/>
      <c r="W345" s="93"/>
      <c r="X345" s="93"/>
      <c r="Y345" s="93"/>
      <c r="Z345" s="93"/>
    </row>
    <row r="346">
      <c r="A346" s="93" t="str">
        <f>IFERROR(__xludf.DUMMYFUNCTION("""COMPUTED_VALUE"""),"KIT-#18171")</f>
        <v>KIT-#18171</v>
      </c>
      <c r="B346" s="94">
        <f>IFERROR(__xludf.DUMMYFUNCTION("""COMPUTED_VALUE"""),46147.0)</f>
        <v>46147</v>
      </c>
      <c r="C346" s="93" t="str">
        <f>IFERROR(__xludf.DUMMYFUNCTION("""COMPUTED_VALUE"""),"Kit Delivery")</f>
        <v>Kit Delivery</v>
      </c>
      <c r="D346" s="93">
        <f>IFERROR(__xludf.DUMMYFUNCTION("""COMPUTED_VALUE"""),2.0)</f>
        <v>2</v>
      </c>
      <c r="E346" s="93" t="str">
        <f>IFERROR(__xludf.DUMMYFUNCTION("""COMPUTED_VALUE"""),"Beaumont")</f>
        <v>Beaumont</v>
      </c>
      <c r="F346" s="93">
        <f>IFERROR(__xludf.DUMMYFUNCTION("""COMPUTED_VALUE"""),306.0)</f>
        <v>306</v>
      </c>
      <c r="G346" s="93" t="str">
        <f>IFERROR(__xludf.DUMMYFUNCTION("""COMPUTED_VALUE"""),"Lavender Miao")</f>
        <v>Lavender Miao</v>
      </c>
      <c r="H346" s="93">
        <f>IFERROR(__xludf.DUMMYFUNCTION("""COMPUTED_VALUE"""),3.14766374E9)</f>
        <v>3147663740</v>
      </c>
      <c r="I346" s="93" t="str">
        <f>IFERROR(__xludf.DUMMYFUNCTION("""COMPUTED_VALUE"""),"10AM-12PM")</f>
        <v>10AM-12PM</v>
      </c>
      <c r="J346" s="93">
        <f>IFERROR(__xludf.DUMMYFUNCTION("""COMPUTED_VALUE"""),1.0)</f>
        <v>1</v>
      </c>
      <c r="K346" s="93" t="str">
        <f>IFERROR(__xludf.DUMMYFUNCTION("""COMPUTED_VALUE"""),"Complete")</f>
        <v>Complete</v>
      </c>
      <c r="L346" s="93"/>
      <c r="M346" s="94">
        <f>IFERROR(__xludf.DUMMYFUNCTION("""COMPUTED_VALUE"""),46145.23797453704)</f>
        <v>46145.23797</v>
      </c>
      <c r="N346" s="93">
        <f>IFERROR(__xludf.DUMMYFUNCTION("""COMPUTED_VALUE"""),38.0)</f>
        <v>38</v>
      </c>
      <c r="O346" s="93" t="str">
        <f>IFERROR(__xludf.DUMMYFUNCTION("""COMPUTED_VALUE"""),"5535 delmar blvd，apt322, 63112")</f>
        <v>5535 delmar blvd，apt322, 63112</v>
      </c>
      <c r="P346" s="93" t="str">
        <f>IFERROR(__xludf.DUMMYFUNCTION("""COMPUTED_VALUE"""),"Kit Delivery")</f>
        <v>Kit Delivery</v>
      </c>
      <c r="Q346" s="93"/>
      <c r="R346" s="93"/>
      <c r="S346" s="93" t="str">
        <f>IFERROR(__xludf.DUMMYFUNCTION("""COMPUTED_VALUE"""),"Dispatch_Images/KIT--18171.Photos.104237.jpg")</f>
        <v>Dispatch_Images/KIT--18171.Photos.104237.jpg</v>
      </c>
      <c r="T346" s="95">
        <f>IFERROR(__xludf.DUMMYFUNCTION("""COMPUTED_VALUE"""),46145.24071759259)</f>
        <v>46145.24072</v>
      </c>
      <c r="U346" s="93"/>
      <c r="V346" s="93"/>
      <c r="W346" s="93"/>
      <c r="X346" s="93"/>
      <c r="Y346" s="93"/>
      <c r="Z346" s="93"/>
    </row>
    <row r="347">
      <c r="A347" s="93" t="str">
        <f>IFERROR(__xludf.DUMMYFUNCTION("""COMPUTED_VALUE"""),"KIT-#18181")</f>
        <v>KIT-#18181</v>
      </c>
      <c r="B347" s="94">
        <f>IFERROR(__xludf.DUMMYFUNCTION("""COMPUTED_VALUE"""),46147.0)</f>
        <v>46147</v>
      </c>
      <c r="C347" s="93" t="str">
        <f>IFERROR(__xludf.DUMMYFUNCTION("""COMPUTED_VALUE"""),"Kit Delivery")</f>
        <v>Kit Delivery</v>
      </c>
      <c r="D347" s="93">
        <f>IFERROR(__xludf.DUMMYFUNCTION("""COMPUTED_VALUE"""),2.0)</f>
        <v>2</v>
      </c>
      <c r="E347" s="93" t="str">
        <f>IFERROR(__xludf.DUMMYFUNCTION("""COMPUTED_VALUE"""),"Rutledge")</f>
        <v>Rutledge</v>
      </c>
      <c r="F347" s="93">
        <f>IFERROR(__xludf.DUMMYFUNCTION("""COMPUTED_VALUE"""),12.0)</f>
        <v>12</v>
      </c>
      <c r="G347" s="93" t="str">
        <f>IFERROR(__xludf.DUMMYFUNCTION("""COMPUTED_VALUE"""),"Sydney Starkey")</f>
        <v>Sydney Starkey</v>
      </c>
      <c r="H347" s="93">
        <f>IFERROR(__xludf.DUMMYFUNCTION("""COMPUTED_VALUE"""),9.143625681E9)</f>
        <v>9143625681</v>
      </c>
      <c r="I347" s="93" t="str">
        <f>IFERROR(__xludf.DUMMYFUNCTION("""COMPUTED_VALUE"""),"9AM-11AM")</f>
        <v>9AM-11AM</v>
      </c>
      <c r="J347" s="93">
        <f>IFERROR(__xludf.DUMMYFUNCTION("""COMPUTED_VALUE"""),2.0)</f>
        <v>2</v>
      </c>
      <c r="K347" s="93" t="str">
        <f>IFERROR(__xludf.DUMMYFUNCTION("""COMPUTED_VALUE"""),"Complete")</f>
        <v>Complete</v>
      </c>
      <c r="L347" s="93"/>
      <c r="M347" s="94">
        <f>IFERROR(__xludf.DUMMYFUNCTION("""COMPUTED_VALUE"""),46145.86096064815)</f>
        <v>46145.86096</v>
      </c>
      <c r="N347" s="93">
        <f>IFERROR(__xludf.DUMMYFUNCTION("""COMPUTED_VALUE"""),11.0)</f>
        <v>11</v>
      </c>
      <c r="O347" s="93" t="str">
        <f>IFERROR(__xludf.DUMMYFUNCTION("""COMPUTED_VALUE"""),"199 Webber Ave, Sleepy Hollow, NY 10591")</f>
        <v>199 Webber Ave, Sleepy Hollow, NY 10591</v>
      </c>
      <c r="P347" s="93" t="str">
        <f>IFERROR(__xludf.DUMMYFUNCTION("""COMPUTED_VALUE"""),"Kit Delivery")</f>
        <v>Kit Delivery</v>
      </c>
      <c r="Q347" s="93"/>
      <c r="R347" s="93"/>
      <c r="S347" s="93" t="str">
        <f>IFERROR(__xludf.DUMMYFUNCTION("""COMPUTED_VALUE"""),"Dispatch_Images/KIT--18181.Photos.013944.jpg")</f>
        <v>Dispatch_Images/KIT--18181.Photos.013944.jpg</v>
      </c>
      <c r="T347" s="95">
        <f>IFERROR(__xludf.DUMMYFUNCTION("""COMPUTED_VALUE"""),46145.86570601852)</f>
        <v>46145.86571</v>
      </c>
      <c r="U347" s="93"/>
      <c r="V347" s="93"/>
      <c r="W347" s="93"/>
      <c r="X347" s="93"/>
      <c r="Y347" s="93"/>
      <c r="Z347" s="93"/>
    </row>
    <row r="348">
      <c r="A348" s="93" t="str">
        <f>IFERROR(__xludf.DUMMYFUNCTION("""COMPUTED_VALUE"""),"KIT-#18186")</f>
        <v>KIT-#18186</v>
      </c>
      <c r="B348" s="94">
        <f>IFERROR(__xludf.DUMMYFUNCTION("""COMPUTED_VALUE"""),46147.0)</f>
        <v>46147</v>
      </c>
      <c r="C348" s="93" t="str">
        <f>IFERROR(__xludf.DUMMYFUNCTION("""COMPUTED_VALUE"""),"Kit Delivery")</f>
        <v>Kit Delivery</v>
      </c>
      <c r="D348" s="93">
        <f>IFERROR(__xludf.DUMMYFUNCTION("""COMPUTED_VALUE"""),2.0)</f>
        <v>2</v>
      </c>
      <c r="E348" s="93" t="str">
        <f>IFERROR(__xludf.DUMMYFUNCTION("""COMPUTED_VALUE"""),"Lee")</f>
        <v>Lee</v>
      </c>
      <c r="F348" s="93">
        <f>IFERROR(__xludf.DUMMYFUNCTION("""COMPUTED_VALUE"""),203.0)</f>
        <v>203</v>
      </c>
      <c r="G348" s="93" t="str">
        <f>IFERROR(__xludf.DUMMYFUNCTION("""COMPUTED_VALUE"""),"Moises Bautista Alvarado")</f>
        <v>Moises Bautista Alvarado</v>
      </c>
      <c r="H348" s="93">
        <f>IFERROR(__xludf.DUMMYFUNCTION("""COMPUTED_VALUE"""),4.806627888E9)</f>
        <v>4806627888</v>
      </c>
      <c r="I348" s="93" t="str">
        <f>IFERROR(__xludf.DUMMYFUNCTION("""COMPUTED_VALUE"""),"3PM-5PM")</f>
        <v>3PM-5PM</v>
      </c>
      <c r="J348" s="93">
        <f>IFERROR(__xludf.DUMMYFUNCTION("""COMPUTED_VALUE"""),1.0)</f>
        <v>1</v>
      </c>
      <c r="K348" s="93" t="str">
        <f>IFERROR(__xludf.DUMMYFUNCTION("""COMPUTED_VALUE"""),"Complete")</f>
        <v>Complete</v>
      </c>
      <c r="L348" s="93"/>
      <c r="M348" s="94">
        <f>IFERROR(__xludf.DUMMYFUNCTION("""COMPUTED_VALUE"""),46145.871828703705)</f>
        <v>46145.87183</v>
      </c>
      <c r="N348" s="93">
        <f>IFERROR(__xludf.DUMMYFUNCTION("""COMPUTED_VALUE"""),10.0)</f>
        <v>10</v>
      </c>
      <c r="O348" s="93"/>
      <c r="P348" s="93" t="str">
        <f>IFERROR(__xludf.DUMMYFUNCTION("""COMPUTED_VALUE"""),"Kit Delivery")</f>
        <v>Kit Delivery</v>
      </c>
      <c r="Q348" s="93"/>
      <c r="R348" s="93"/>
      <c r="S348" s="93" t="str">
        <f>IFERROR(__xludf.DUMMYFUNCTION("""COMPUTED_VALUE"""),"Dispatch_Images/KIT--18186.Photos.015523.jpg")</f>
        <v>Dispatch_Images/KIT--18186.Photos.015523.jpg</v>
      </c>
      <c r="T348" s="95">
        <f>IFERROR(__xludf.DUMMYFUNCTION("""COMPUTED_VALUE"""),46145.87267361111)</f>
        <v>46145.87267</v>
      </c>
      <c r="U348" s="93"/>
      <c r="V348" s="93"/>
      <c r="W348" s="93"/>
      <c r="X348" s="93"/>
      <c r="Y348" s="93"/>
      <c r="Z348" s="93"/>
    </row>
    <row r="349">
      <c r="A349" s="93" t="str">
        <f>IFERROR(__xludf.DUMMYFUNCTION("""COMPUTED_VALUE"""),"KIT-#17307")</f>
        <v>KIT-#17307</v>
      </c>
      <c r="B349" s="94">
        <f>IFERROR(__xludf.DUMMYFUNCTION("""COMPUTED_VALUE"""),46147.0)</f>
        <v>46147</v>
      </c>
      <c r="C349" s="93" t="str">
        <f>IFERROR(__xludf.DUMMYFUNCTION("""COMPUTED_VALUE"""),"Kit Delivery")</f>
        <v>Kit Delivery</v>
      </c>
      <c r="D349" s="93">
        <f>IFERROR(__xludf.DUMMYFUNCTION("""COMPUTED_VALUE"""),2.0)</f>
        <v>2</v>
      </c>
      <c r="E349" s="93" t="str">
        <f>IFERROR(__xludf.DUMMYFUNCTION("""COMPUTED_VALUE"""),"Off-Campus")</f>
        <v>Off-Campus</v>
      </c>
      <c r="F349" s="93"/>
      <c r="G349" s="93" t="str">
        <f>IFERROR(__xludf.DUMMYFUNCTION("""COMPUTED_VALUE"""),"Jack Vanourny")</f>
        <v>Jack Vanourny</v>
      </c>
      <c r="H349" s="93">
        <f>IFERROR(__xludf.DUMMYFUNCTION("""COMPUTED_VALUE"""),7.817721571E9)</f>
        <v>7817721571</v>
      </c>
      <c r="I349" s="93" t="str">
        <f>IFERROR(__xludf.DUMMYFUNCTION("""COMPUTED_VALUE"""),"1PM-3PM")</f>
        <v>1PM-3PM</v>
      </c>
      <c r="J349" s="93">
        <f>IFERROR(__xludf.DUMMYFUNCTION("""COMPUTED_VALUE"""),1.0)</f>
        <v>1</v>
      </c>
      <c r="K349" s="93" t="str">
        <f>IFERROR(__xludf.DUMMYFUNCTION("""COMPUTED_VALUE"""),"Complete")</f>
        <v>Complete</v>
      </c>
      <c r="L349" s="93"/>
      <c r="M349" s="93"/>
      <c r="N349" s="93">
        <f>IFERROR(__xludf.DUMMYFUNCTION("""COMPUTED_VALUE"""),113.0)</f>
        <v>113</v>
      </c>
      <c r="O349" s="93" t="str">
        <f>IFERROR(__xludf.DUMMYFUNCTION("""COMPUTED_VALUE"""),"8025 Bonhomme Ave, Apt 711, Clayton, MO 63105")</f>
        <v>8025 Bonhomme Ave, Apt 711, Clayton, MO 63105</v>
      </c>
      <c r="P349" s="93" t="str">
        <f>IFERROR(__xludf.DUMMYFUNCTION("""COMPUTED_VALUE"""),"Kit Delivery")</f>
        <v>Kit Delivery</v>
      </c>
      <c r="Q349" s="93" t="str">
        <f>IFERROR(__xludf.DUMMYFUNCTION("""COMPUTED_VALUE"""),"He will also be storing a TV for the summer and a tv stand. He has a box for the TV. Does that work?")</f>
        <v>He will also be storing a TV for the summer and a tv stand. He has a box for the TV. Does that work?</v>
      </c>
      <c r="R349" s="93"/>
      <c r="S349" s="93"/>
      <c r="T349" s="95">
        <f>IFERROR(__xludf.DUMMYFUNCTION("""COMPUTED_VALUE"""),46144.73924768518)</f>
        <v>46144.73925</v>
      </c>
      <c r="U349" s="93"/>
      <c r="V349" s="93"/>
      <c r="W349" s="93"/>
      <c r="X349" s="93"/>
      <c r="Y349" s="93"/>
      <c r="Z349" s="93"/>
    </row>
    <row r="350">
      <c r="A350" s="93" t="str">
        <f>IFERROR(__xludf.DUMMYFUNCTION("""COMPUTED_VALUE"""),"KIT-#17595")</f>
        <v>KIT-#17595</v>
      </c>
      <c r="B350" s="94">
        <f>IFERROR(__xludf.DUMMYFUNCTION("""COMPUTED_VALUE"""),46147.0)</f>
        <v>46147</v>
      </c>
      <c r="C350" s="93" t="str">
        <f>IFERROR(__xludf.DUMMYFUNCTION("""COMPUTED_VALUE"""),"Kit Delivery")</f>
        <v>Kit Delivery</v>
      </c>
      <c r="D350" s="93">
        <f>IFERROR(__xludf.DUMMYFUNCTION("""COMPUTED_VALUE"""),2.0)</f>
        <v>2</v>
      </c>
      <c r="E350" s="93" t="str">
        <f>IFERROR(__xludf.DUMMYFUNCTION("""COMPUTED_VALUE"""),"Lopata")</f>
        <v>Lopata</v>
      </c>
      <c r="F350" s="93">
        <f>IFERROR(__xludf.DUMMYFUNCTION("""COMPUTED_VALUE"""),3022.0)</f>
        <v>3022</v>
      </c>
      <c r="G350" s="93" t="str">
        <f>IFERROR(__xludf.DUMMYFUNCTION("""COMPUTED_VALUE"""),"Estelle Rosenblatt")</f>
        <v>Estelle Rosenblatt</v>
      </c>
      <c r="H350" s="93">
        <f>IFERROR(__xludf.DUMMYFUNCTION("""COMPUTED_VALUE"""),8.476916696E9)</f>
        <v>8476916696</v>
      </c>
      <c r="I350" s="93" t="str">
        <f>IFERROR(__xludf.DUMMYFUNCTION("""COMPUTED_VALUE"""),"9AM-11AM")</f>
        <v>9AM-11AM</v>
      </c>
      <c r="J350" s="93">
        <f>IFERROR(__xludf.DUMMYFUNCTION("""COMPUTED_VALUE"""),1.0)</f>
        <v>1</v>
      </c>
      <c r="K350" s="93" t="str">
        <f>IFERROR(__xludf.DUMMYFUNCTION("""COMPUTED_VALUE"""),"Complete")</f>
        <v>Complete</v>
      </c>
      <c r="L350" s="93"/>
      <c r="M350" s="93"/>
      <c r="N350" s="93">
        <f>IFERROR(__xludf.DUMMYFUNCTION("""COMPUTED_VALUE"""),117.0)</f>
        <v>117</v>
      </c>
      <c r="O350" s="93"/>
      <c r="P350" s="93" t="str">
        <f>IFERROR(__xludf.DUMMYFUNCTION("""COMPUTED_VALUE"""),"Kit Delivery")</f>
        <v>Kit Delivery</v>
      </c>
      <c r="Q350" s="93"/>
      <c r="R350" s="93"/>
      <c r="S350" s="93"/>
      <c r="T350" s="95">
        <f>IFERROR(__xludf.DUMMYFUNCTION("""COMPUTED_VALUE"""),46142.69212962963)</f>
        <v>46142.69213</v>
      </c>
      <c r="U350" s="93"/>
      <c r="V350" s="93"/>
      <c r="W350" s="93"/>
      <c r="X350" s="93"/>
      <c r="Y350" s="93"/>
      <c r="Z350" s="93"/>
    </row>
    <row r="351">
      <c r="A351" s="93" t="str">
        <f>IFERROR(__xludf.DUMMYFUNCTION("""COMPUTED_VALUE"""),"KIT-#18089")</f>
        <v>KIT-#18089</v>
      </c>
      <c r="B351" s="94">
        <f>IFERROR(__xludf.DUMMYFUNCTION("""COMPUTED_VALUE"""),46147.0)</f>
        <v>46147</v>
      </c>
      <c r="C351" s="93" t="str">
        <f>IFERROR(__xludf.DUMMYFUNCTION("""COMPUTED_VALUE"""),"Kit Delivery")</f>
        <v>Kit Delivery</v>
      </c>
      <c r="D351" s="93">
        <f>IFERROR(__xludf.DUMMYFUNCTION("""COMPUTED_VALUE"""),3.0)</f>
        <v>3</v>
      </c>
      <c r="E351" s="93" t="str">
        <f>IFERROR(__xludf.DUMMYFUNCTION("""COMPUTED_VALUE"""),"Off-Campus")</f>
        <v>Off-Campus</v>
      </c>
      <c r="F351" s="93"/>
      <c r="G351" s="93" t="str">
        <f>IFERROR(__xludf.DUMMYFUNCTION("""COMPUTED_VALUE"""),"Charlotte Shapiro")</f>
        <v>Charlotte Shapiro</v>
      </c>
      <c r="H351" s="93" t="str">
        <f>IFERROR(__xludf.DUMMYFUNCTION("""COMPUTED_VALUE"""),"917-900-5487")</f>
        <v>917-900-5487</v>
      </c>
      <c r="I351" s="93" t="str">
        <f>IFERROR(__xludf.DUMMYFUNCTION("""COMPUTED_VALUE"""),"10AM-12PM")</f>
        <v>10AM-12PM</v>
      </c>
      <c r="J351" s="93">
        <f>IFERROR(__xludf.DUMMYFUNCTION("""COMPUTED_VALUE"""),1.0)</f>
        <v>1</v>
      </c>
      <c r="K351" s="93" t="str">
        <f>IFERROR(__xludf.DUMMYFUNCTION("""COMPUTED_VALUE"""),"Complete")</f>
        <v>Complete</v>
      </c>
      <c r="L351" s="93" t="str">
        <f>IFERROR(__xludf.DUMMYFUNCTION("""COMPUTED_VALUE"""),"already delivered, dont sms")</f>
        <v>already delivered, dont sms</v>
      </c>
      <c r="M351" s="93"/>
      <c r="N351" s="93">
        <f>IFERROR(__xludf.DUMMYFUNCTION("""COMPUTED_VALUE"""),79.0)</f>
        <v>79</v>
      </c>
      <c r="O351" s="93" t="str">
        <f>IFERROR(__xludf.DUMMYFUNCTION("""COMPUTED_VALUE"""),"7024 Forsyth Blvd, Apt 1E")</f>
        <v>7024 Forsyth Blvd, Apt 1E</v>
      </c>
      <c r="P351" s="93" t="str">
        <f>IFERROR(__xludf.DUMMYFUNCTION("""COMPUTED_VALUE"""),"Kit Delivery")</f>
        <v>Kit Delivery</v>
      </c>
      <c r="Q351" s="93"/>
      <c r="R351" s="93"/>
      <c r="S351" s="93"/>
      <c r="T351" s="95">
        <f>IFERROR(__xludf.DUMMYFUNCTION("""COMPUTED_VALUE"""),46145.83099537037)</f>
        <v>46145.831</v>
      </c>
      <c r="U351" s="93"/>
      <c r="V351" s="93"/>
      <c r="W351" s="93"/>
      <c r="X351" s="93"/>
      <c r="Y351" s="93"/>
      <c r="Z351" s="93"/>
    </row>
    <row r="352">
      <c r="A352" s="93" t="str">
        <f>IFERROR(__xludf.DUMMYFUNCTION("""COMPUTED_VALUE"""),"KIT-#17413")</f>
        <v>KIT-#17413</v>
      </c>
      <c r="B352" s="94">
        <f>IFERROR(__xludf.DUMMYFUNCTION("""COMPUTED_VALUE"""),46148.0)</f>
        <v>46148</v>
      </c>
      <c r="C352" s="93" t="str">
        <f>IFERROR(__xludf.DUMMYFUNCTION("""COMPUTED_VALUE"""),"Kit Delivery")</f>
        <v>Kit Delivery</v>
      </c>
      <c r="D352" s="93">
        <f>IFERROR(__xludf.DUMMYFUNCTION("""COMPUTED_VALUE"""),1.0)</f>
        <v>1</v>
      </c>
      <c r="E352" s="93" t="str">
        <f>IFERROR(__xludf.DUMMYFUNCTION("""COMPUTED_VALUE"""),"Danforth")</f>
        <v>Danforth</v>
      </c>
      <c r="F352" s="93">
        <f>IFERROR(__xludf.DUMMYFUNCTION("""COMPUTED_VALUE"""),3313.0)</f>
        <v>3313</v>
      </c>
      <c r="G352" s="93" t="str">
        <f>IFERROR(__xludf.DUMMYFUNCTION("""COMPUTED_VALUE"""),"Cole Smith")</f>
        <v>Cole Smith</v>
      </c>
      <c r="H352" s="93">
        <f>IFERROR(__xludf.DUMMYFUNCTION("""COMPUTED_VALUE"""),8.322072972E9)</f>
        <v>8322072972</v>
      </c>
      <c r="I352" s="93" t="str">
        <f>IFERROR(__xludf.DUMMYFUNCTION("""COMPUTED_VALUE"""),"3PM-5PM")</f>
        <v>3PM-5PM</v>
      </c>
      <c r="J352" s="93">
        <f>IFERROR(__xludf.DUMMYFUNCTION("""COMPUTED_VALUE"""),1.0)</f>
        <v>1</v>
      </c>
      <c r="K352" s="93" t="str">
        <f>IFERROR(__xludf.DUMMYFUNCTION("""COMPUTED_VALUE"""),"Complete")</f>
        <v>Complete</v>
      </c>
      <c r="L352" s="93"/>
      <c r="M352" s="94">
        <f>IFERROR(__xludf.DUMMYFUNCTION("""COMPUTED_VALUE"""),46123.5696875)</f>
        <v>46123.56969</v>
      </c>
      <c r="N352" s="93">
        <f>IFERROR(__xludf.DUMMYFUNCTION("""COMPUTED_VALUE"""),31.0)</f>
        <v>31</v>
      </c>
      <c r="O352" s="93"/>
      <c r="P352" s="93" t="str">
        <f>IFERROR(__xludf.DUMMYFUNCTION("""COMPUTED_VALUE"""),"Kit Delivery")</f>
        <v>Kit Delivery</v>
      </c>
      <c r="Q352" s="93"/>
      <c r="R352" s="93"/>
      <c r="S352" s="95">
        <f>IFERROR(__xludf.DUMMYFUNCTION("""COMPUTED_VALUE"""),46123.61150462963)</f>
        <v>46123.6115</v>
      </c>
      <c r="T352" s="93"/>
      <c r="U352" s="93"/>
      <c r="V352" s="93"/>
      <c r="W352" s="93"/>
      <c r="X352" s="93"/>
      <c r="Y352" s="93"/>
      <c r="Z352" s="93"/>
    </row>
    <row r="353">
      <c r="A353" s="93" t="str">
        <f>IFERROR(__xludf.DUMMYFUNCTION("""COMPUTED_VALUE"""),"KIT-#17061")</f>
        <v>KIT-#17061</v>
      </c>
      <c r="B353" s="94">
        <f>IFERROR(__xludf.DUMMYFUNCTION("""COMPUTED_VALUE"""),46148.0)</f>
        <v>46148</v>
      </c>
      <c r="C353" s="93" t="str">
        <f>IFERROR(__xludf.DUMMYFUNCTION("""COMPUTED_VALUE"""),"Kit Delivery")</f>
        <v>Kit Delivery</v>
      </c>
      <c r="D353" s="93">
        <f>IFERROR(__xludf.DUMMYFUNCTION("""COMPUTED_VALUE"""),1.0)</f>
        <v>1</v>
      </c>
      <c r="E353" s="93" t="str">
        <f>IFERROR(__xludf.DUMMYFUNCTION("""COMPUTED_VALUE"""),"Danforth")</f>
        <v>Danforth</v>
      </c>
      <c r="F353" s="93">
        <f>IFERROR(__xludf.DUMMYFUNCTION("""COMPUTED_VALUE"""),2210.0)</f>
        <v>2210</v>
      </c>
      <c r="G353" s="93" t="str">
        <f>IFERROR(__xludf.DUMMYFUNCTION("""COMPUTED_VALUE"""),"Sophia Su")</f>
        <v>Sophia Su</v>
      </c>
      <c r="H353" s="93">
        <f>IFERROR(__xludf.DUMMYFUNCTION("""COMPUTED_VALUE"""),6.178693695E9)</f>
        <v>6178693695</v>
      </c>
      <c r="I353" s="93" t="str">
        <f>IFERROR(__xludf.DUMMYFUNCTION("""COMPUTED_VALUE"""),"9AM-11AM")</f>
        <v>9AM-11AM</v>
      </c>
      <c r="J353" s="93">
        <f>IFERROR(__xludf.DUMMYFUNCTION("""COMPUTED_VALUE"""),1.0)</f>
        <v>1</v>
      </c>
      <c r="K353" s="93" t="str">
        <f>IFERROR(__xludf.DUMMYFUNCTION("""COMPUTED_VALUE"""),"Complete")</f>
        <v>Complete</v>
      </c>
      <c r="L353" s="93"/>
      <c r="M353" s="94">
        <f>IFERROR(__xludf.DUMMYFUNCTION("""COMPUTED_VALUE"""),46123.57575231481)</f>
        <v>46123.57575</v>
      </c>
      <c r="N353" s="93">
        <f>IFERROR(__xludf.DUMMYFUNCTION("""COMPUTED_VALUE"""),27.0)</f>
        <v>27</v>
      </c>
      <c r="O353" s="93"/>
      <c r="P353" s="93" t="str">
        <f>IFERROR(__xludf.DUMMYFUNCTION("""COMPUTED_VALUE"""),"Kit Delivery")</f>
        <v>Kit Delivery</v>
      </c>
      <c r="Q353" s="93"/>
      <c r="R353" s="93"/>
      <c r="S353" s="95">
        <f>IFERROR(__xludf.DUMMYFUNCTION("""COMPUTED_VALUE"""),46123.61150462963)</f>
        <v>46123.6115</v>
      </c>
      <c r="T353" s="93"/>
      <c r="U353" s="93"/>
      <c r="V353" s="93"/>
      <c r="W353" s="93"/>
      <c r="X353" s="93"/>
      <c r="Y353" s="93"/>
      <c r="Z353" s="93"/>
    </row>
    <row r="354">
      <c r="A354" s="93" t="str">
        <f>IFERROR(__xludf.DUMMYFUNCTION("""COMPUTED_VALUE"""),"KIT-#17207")</f>
        <v>KIT-#17207</v>
      </c>
      <c r="B354" s="94">
        <f>IFERROR(__xludf.DUMMYFUNCTION("""COMPUTED_VALUE"""),46148.0)</f>
        <v>46148</v>
      </c>
      <c r="C354" s="93" t="str">
        <f>IFERROR(__xludf.DUMMYFUNCTION("""COMPUTED_VALUE"""),"Kit Delivery")</f>
        <v>Kit Delivery</v>
      </c>
      <c r="D354" s="93">
        <f>IFERROR(__xludf.DUMMYFUNCTION("""COMPUTED_VALUE"""),1.0)</f>
        <v>1</v>
      </c>
      <c r="E354" s="93" t="str">
        <f>IFERROR(__xludf.DUMMYFUNCTION("""COMPUTED_VALUE"""),"Danforth")</f>
        <v>Danforth</v>
      </c>
      <c r="F354" s="93">
        <f>IFERROR(__xludf.DUMMYFUNCTION("""COMPUTED_VALUE"""),2208.0)</f>
        <v>2208</v>
      </c>
      <c r="G354" s="93" t="str">
        <f>IFERROR(__xludf.DUMMYFUNCTION("""COMPUTED_VALUE"""),"Ashlyn Thitibordin")</f>
        <v>Ashlyn Thitibordin</v>
      </c>
      <c r="H354" s="93">
        <f>IFERROR(__xludf.DUMMYFUNCTION("""COMPUTED_VALUE"""),6.462299224E9)</f>
        <v>6462299224</v>
      </c>
      <c r="I354" s="93" t="str">
        <f>IFERROR(__xludf.DUMMYFUNCTION("""COMPUTED_VALUE"""),"9AM-11AM")</f>
        <v>9AM-11AM</v>
      </c>
      <c r="J354" s="93">
        <f>IFERROR(__xludf.DUMMYFUNCTION("""COMPUTED_VALUE"""),1.0)</f>
        <v>1</v>
      </c>
      <c r="K354" s="93" t="str">
        <f>IFERROR(__xludf.DUMMYFUNCTION("""COMPUTED_VALUE"""),"Complete")</f>
        <v>Complete</v>
      </c>
      <c r="L354" s="93"/>
      <c r="M354" s="94">
        <f>IFERROR(__xludf.DUMMYFUNCTION("""COMPUTED_VALUE"""),46123.576574074075)</f>
        <v>46123.57657</v>
      </c>
      <c r="N354" s="93">
        <f>IFERROR(__xludf.DUMMYFUNCTION("""COMPUTED_VALUE"""),26.0)</f>
        <v>26</v>
      </c>
      <c r="O354" s="93"/>
      <c r="P354" s="93" t="str">
        <f>IFERROR(__xludf.DUMMYFUNCTION("""COMPUTED_VALUE"""),"Kit Delivery")</f>
        <v>Kit Delivery</v>
      </c>
      <c r="Q354" s="93"/>
      <c r="R354" s="93"/>
      <c r="S354" s="95">
        <f>IFERROR(__xludf.DUMMYFUNCTION("""COMPUTED_VALUE"""),46123.61150462963)</f>
        <v>46123.6115</v>
      </c>
      <c r="T354" s="93"/>
      <c r="U354" s="93"/>
      <c r="V354" s="93"/>
      <c r="W354" s="93"/>
      <c r="X354" s="93"/>
      <c r="Y354" s="93"/>
      <c r="Z354" s="93"/>
    </row>
    <row r="355">
      <c r="A355" s="93" t="str">
        <f>IFERROR(__xludf.DUMMYFUNCTION("""COMPUTED_VALUE"""),"KIT-#17152")</f>
        <v>KIT-#17152</v>
      </c>
      <c r="B355" s="94">
        <f>IFERROR(__xludf.DUMMYFUNCTION("""COMPUTED_VALUE"""),46148.0)</f>
        <v>46148</v>
      </c>
      <c r="C355" s="93" t="str">
        <f>IFERROR(__xludf.DUMMYFUNCTION("""COMPUTED_VALUE"""),"Kit Delivery")</f>
        <v>Kit Delivery</v>
      </c>
      <c r="D355" s="93">
        <f>IFERROR(__xludf.DUMMYFUNCTION("""COMPUTED_VALUE"""),1.0)</f>
        <v>1</v>
      </c>
      <c r="E355" s="93" t="str">
        <f>IFERROR(__xludf.DUMMYFUNCTION("""COMPUTED_VALUE"""),"Danforth")</f>
        <v>Danforth</v>
      </c>
      <c r="F355" s="93">
        <f>IFERROR(__xludf.DUMMYFUNCTION("""COMPUTED_VALUE"""),4422.0)</f>
        <v>4422</v>
      </c>
      <c r="G355" s="93" t="str">
        <f>IFERROR(__xludf.DUMMYFUNCTION("""COMPUTED_VALUE"""),"Mia Reisman")</f>
        <v>Mia Reisman</v>
      </c>
      <c r="H355" s="93">
        <f>IFERROR(__xludf.DUMMYFUNCTION("""COMPUTED_VALUE"""),5.308484692E9)</f>
        <v>5308484692</v>
      </c>
      <c r="I355" s="93" t="str">
        <f>IFERROR(__xludf.DUMMYFUNCTION("""COMPUTED_VALUE"""),"2PM-4PM")</f>
        <v>2PM-4PM</v>
      </c>
      <c r="J355" s="93">
        <f>IFERROR(__xludf.DUMMYFUNCTION("""COMPUTED_VALUE"""),1.0)</f>
        <v>1</v>
      </c>
      <c r="K355" s="93" t="str">
        <f>IFERROR(__xludf.DUMMYFUNCTION("""COMPUTED_VALUE"""),"Complete")</f>
        <v>Complete</v>
      </c>
      <c r="L355" s="93"/>
      <c r="M355" s="94">
        <f>IFERROR(__xludf.DUMMYFUNCTION("""COMPUTED_VALUE"""),46123.58716435185)</f>
        <v>46123.58716</v>
      </c>
      <c r="N355" s="93">
        <f>IFERROR(__xludf.DUMMYFUNCTION("""COMPUTED_VALUE"""),39.0)</f>
        <v>39</v>
      </c>
      <c r="O355" s="93"/>
      <c r="P355" s="93" t="str">
        <f>IFERROR(__xludf.DUMMYFUNCTION("""COMPUTED_VALUE"""),"Kit Delivery")</f>
        <v>Kit Delivery</v>
      </c>
      <c r="Q355" s="93"/>
      <c r="R355" s="93"/>
      <c r="S355" s="95">
        <f>IFERROR(__xludf.DUMMYFUNCTION("""COMPUTED_VALUE"""),46123.61150462963)</f>
        <v>46123.6115</v>
      </c>
      <c r="T355" s="93"/>
      <c r="U355" s="93"/>
      <c r="V355" s="93"/>
      <c r="W355" s="93"/>
      <c r="X355" s="93"/>
      <c r="Y355" s="93"/>
      <c r="Z355" s="93"/>
    </row>
    <row r="356">
      <c r="A356" s="93" t="str">
        <f>IFERROR(__xludf.DUMMYFUNCTION("""COMPUTED_VALUE"""),"KIT-#17135")</f>
        <v>KIT-#17135</v>
      </c>
      <c r="B356" s="94">
        <f>IFERROR(__xludf.DUMMYFUNCTION("""COMPUTED_VALUE"""),46148.0)</f>
        <v>46148</v>
      </c>
      <c r="C356" s="93" t="str">
        <f>IFERROR(__xludf.DUMMYFUNCTION("""COMPUTED_VALUE"""),"Kit Delivery")</f>
        <v>Kit Delivery</v>
      </c>
      <c r="D356" s="93">
        <f>IFERROR(__xludf.DUMMYFUNCTION("""COMPUTED_VALUE"""),1.0)</f>
        <v>1</v>
      </c>
      <c r="E356" s="93" t="str">
        <f>IFERROR(__xludf.DUMMYFUNCTION("""COMPUTED_VALUE"""),"Danforth")</f>
        <v>Danforth</v>
      </c>
      <c r="F356" s="93">
        <f>IFERROR(__xludf.DUMMYFUNCTION("""COMPUTED_VALUE"""),4418.0)</f>
        <v>4418</v>
      </c>
      <c r="G356" s="93" t="str">
        <f>IFERROR(__xludf.DUMMYFUNCTION("""COMPUTED_VALUE"""),"John Connors")</f>
        <v>John Connors</v>
      </c>
      <c r="H356" s="93">
        <f>IFERROR(__xludf.DUMMYFUNCTION("""COMPUTED_VALUE"""),9.892958435E9)</f>
        <v>9892958435</v>
      </c>
      <c r="I356" s="93" t="str">
        <f>IFERROR(__xludf.DUMMYFUNCTION("""COMPUTED_VALUE"""),"3PM-5PM")</f>
        <v>3PM-5PM</v>
      </c>
      <c r="J356" s="93">
        <f>IFERROR(__xludf.DUMMYFUNCTION("""COMPUTED_VALUE"""),1.0)</f>
        <v>1</v>
      </c>
      <c r="K356" s="93" t="str">
        <f>IFERROR(__xludf.DUMMYFUNCTION("""COMPUTED_VALUE"""),"Complete")</f>
        <v>Complete</v>
      </c>
      <c r="L356" s="93"/>
      <c r="M356" s="94">
        <f>IFERROR(__xludf.DUMMYFUNCTION("""COMPUTED_VALUE"""),46123.59215277778)</f>
        <v>46123.59215</v>
      </c>
      <c r="N356" s="93">
        <f>IFERROR(__xludf.DUMMYFUNCTION("""COMPUTED_VALUE"""),37.0)</f>
        <v>37</v>
      </c>
      <c r="O356" s="93"/>
      <c r="P356" s="93" t="str">
        <f>IFERROR(__xludf.DUMMYFUNCTION("""COMPUTED_VALUE"""),"Kit Delivery")</f>
        <v>Kit Delivery</v>
      </c>
      <c r="Q356" s="93"/>
      <c r="R356" s="93"/>
      <c r="S356" s="95">
        <f>IFERROR(__xludf.DUMMYFUNCTION("""COMPUTED_VALUE"""),46123.61150462963)</f>
        <v>46123.6115</v>
      </c>
      <c r="T356" s="93"/>
      <c r="U356" s="93"/>
      <c r="V356" s="93"/>
      <c r="W356" s="93"/>
      <c r="X356" s="93"/>
      <c r="Y356" s="93"/>
      <c r="Z356" s="93"/>
    </row>
    <row r="357">
      <c r="A357" s="93" t="str">
        <f>IFERROR(__xludf.DUMMYFUNCTION("""COMPUTED_VALUE"""),"KIT-#17160")</f>
        <v>KIT-#17160</v>
      </c>
      <c r="B357" s="94">
        <f>IFERROR(__xludf.DUMMYFUNCTION("""COMPUTED_VALUE"""),46148.0)</f>
        <v>46148</v>
      </c>
      <c r="C357" s="93" t="str">
        <f>IFERROR(__xludf.DUMMYFUNCTION("""COMPUTED_VALUE"""),"Kit Delivery")</f>
        <v>Kit Delivery</v>
      </c>
      <c r="D357" s="93">
        <f>IFERROR(__xludf.DUMMYFUNCTION("""COMPUTED_VALUE"""),1.0)</f>
        <v>1</v>
      </c>
      <c r="E357" s="93" t="str">
        <f>IFERROR(__xludf.DUMMYFUNCTION("""COMPUTED_VALUE"""),"Danforth")</f>
        <v>Danforth</v>
      </c>
      <c r="F357" s="93">
        <f>IFERROR(__xludf.DUMMYFUNCTION("""COMPUTED_VALUE"""),4425.0)</f>
        <v>4425</v>
      </c>
      <c r="G357" s="93" t="str">
        <f>IFERROR(__xludf.DUMMYFUNCTION("""COMPUTED_VALUE"""),"Rebecca Goldberg")</f>
        <v>Rebecca Goldberg</v>
      </c>
      <c r="H357" s="93">
        <f>IFERROR(__xludf.DUMMYFUNCTION("""COMPUTED_VALUE"""),4.848322036E9)</f>
        <v>4848322036</v>
      </c>
      <c r="I357" s="93" t="str">
        <f>IFERROR(__xludf.DUMMYFUNCTION("""COMPUTED_VALUE"""),"9AM-11AM")</f>
        <v>9AM-11AM</v>
      </c>
      <c r="J357" s="93">
        <f>IFERROR(__xludf.DUMMYFUNCTION("""COMPUTED_VALUE"""),1.0)</f>
        <v>1</v>
      </c>
      <c r="K357" s="93" t="str">
        <f>IFERROR(__xludf.DUMMYFUNCTION("""COMPUTED_VALUE"""),"Complete")</f>
        <v>Complete</v>
      </c>
      <c r="L357" s="93"/>
      <c r="M357" s="94">
        <f>IFERROR(__xludf.DUMMYFUNCTION("""COMPUTED_VALUE"""),46123.593310185184)</f>
        <v>46123.59331</v>
      </c>
      <c r="N357" s="93">
        <f>IFERROR(__xludf.DUMMYFUNCTION("""COMPUTED_VALUE"""),41.0)</f>
        <v>41</v>
      </c>
      <c r="O357" s="93"/>
      <c r="P357" s="93" t="str">
        <f>IFERROR(__xludf.DUMMYFUNCTION("""COMPUTED_VALUE"""),"Kit Delivery")</f>
        <v>Kit Delivery</v>
      </c>
      <c r="Q357" s="93"/>
      <c r="R357" s="93"/>
      <c r="S357" s="95">
        <f>IFERROR(__xludf.DUMMYFUNCTION("""COMPUTED_VALUE"""),46123.61150462963)</f>
        <v>46123.6115</v>
      </c>
      <c r="T357" s="93"/>
      <c r="U357" s="93"/>
      <c r="V357" s="93"/>
      <c r="W357" s="93"/>
      <c r="X357" s="93"/>
      <c r="Y357" s="93"/>
      <c r="Z357" s="93"/>
    </row>
    <row r="358">
      <c r="A358" s="93" t="str">
        <f>IFERROR(__xludf.DUMMYFUNCTION("""COMPUTED_VALUE"""),"KIT-#17053")</f>
        <v>KIT-#17053</v>
      </c>
      <c r="B358" s="94">
        <f>IFERROR(__xludf.DUMMYFUNCTION("""COMPUTED_VALUE"""),46148.0)</f>
        <v>46148</v>
      </c>
      <c r="C358" s="93" t="str">
        <f>IFERROR(__xludf.DUMMYFUNCTION("""COMPUTED_VALUE"""),"Kit Delivery")</f>
        <v>Kit Delivery</v>
      </c>
      <c r="D358" s="93">
        <f>IFERROR(__xludf.DUMMYFUNCTION("""COMPUTED_VALUE"""),1.0)</f>
        <v>1</v>
      </c>
      <c r="E358" s="93" t="str">
        <f>IFERROR(__xludf.DUMMYFUNCTION("""COMPUTED_VALUE"""),"Wheeler")</f>
        <v>Wheeler</v>
      </c>
      <c r="F358" s="93">
        <f>IFERROR(__xludf.DUMMYFUNCTION("""COMPUTED_VALUE"""),4064.0)</f>
        <v>4064</v>
      </c>
      <c r="G358" s="93" t="str">
        <f>IFERROR(__xludf.DUMMYFUNCTION("""COMPUTED_VALUE"""),"Jack Warren")</f>
        <v>Jack Warren</v>
      </c>
      <c r="H358" s="93">
        <f>IFERROR(__xludf.DUMMYFUNCTION("""COMPUTED_VALUE"""),9.094458382E9)</f>
        <v>9094458382</v>
      </c>
      <c r="I358" s="93" t="str">
        <f>IFERROR(__xludf.DUMMYFUNCTION("""COMPUTED_VALUE"""),"9AM-11AM")</f>
        <v>9AM-11AM</v>
      </c>
      <c r="J358" s="93">
        <f>IFERROR(__xludf.DUMMYFUNCTION("""COMPUTED_VALUE"""),1.0)</f>
        <v>1</v>
      </c>
      <c r="K358" s="93" t="str">
        <f>IFERROR(__xludf.DUMMYFUNCTION("""COMPUTED_VALUE"""),"Complete")</f>
        <v>Complete</v>
      </c>
      <c r="L358" s="93"/>
      <c r="M358" s="94">
        <f>IFERROR(__xludf.DUMMYFUNCTION("""COMPUTED_VALUE"""),46123.604571759264)</f>
        <v>46123.60457</v>
      </c>
      <c r="N358" s="93">
        <f>IFERROR(__xludf.DUMMYFUNCTION("""COMPUTED_VALUE"""),44.0)</f>
        <v>44</v>
      </c>
      <c r="O358" s="93"/>
      <c r="P358" s="93" t="str">
        <f>IFERROR(__xludf.DUMMYFUNCTION("""COMPUTED_VALUE"""),"Kit Delivery")</f>
        <v>Kit Delivery</v>
      </c>
      <c r="Q358" s="93"/>
      <c r="R358" s="93"/>
      <c r="S358" s="95">
        <f>IFERROR(__xludf.DUMMYFUNCTION("""COMPUTED_VALUE"""),46123.61150462963)</f>
        <v>46123.6115</v>
      </c>
      <c r="T358" s="93"/>
      <c r="U358" s="93"/>
      <c r="V358" s="93"/>
      <c r="W358" s="93"/>
      <c r="X358" s="93"/>
      <c r="Y358" s="93"/>
      <c r="Z358" s="93"/>
    </row>
    <row r="359">
      <c r="A359" s="93" t="str">
        <f>IFERROR(__xludf.DUMMYFUNCTION("""COMPUTED_VALUE"""),"KIT-#17243")</f>
        <v>KIT-#17243</v>
      </c>
      <c r="B359" s="94">
        <f>IFERROR(__xludf.DUMMYFUNCTION("""COMPUTED_VALUE"""),46148.0)</f>
        <v>46148</v>
      </c>
      <c r="C359" s="93" t="str">
        <f>IFERROR(__xludf.DUMMYFUNCTION("""COMPUTED_VALUE"""),"Kit Delivery")</f>
        <v>Kit Delivery</v>
      </c>
      <c r="D359" s="93">
        <f>IFERROR(__xludf.DUMMYFUNCTION("""COMPUTED_VALUE"""),1.0)</f>
        <v>1</v>
      </c>
      <c r="E359" s="93" t="str">
        <f>IFERROR(__xludf.DUMMYFUNCTION("""COMPUTED_VALUE"""),"Park")</f>
        <v>Park</v>
      </c>
      <c r="F359" s="93" t="str">
        <f>IFERROR(__xludf.DUMMYFUNCTION("""COMPUTED_VALUE"""),"462-b")</f>
        <v>462-b</v>
      </c>
      <c r="G359" s="93" t="str">
        <f>IFERROR(__xludf.DUMMYFUNCTION("""COMPUTED_VALUE"""),"Soha Mehta")</f>
        <v>Soha Mehta</v>
      </c>
      <c r="H359" s="93"/>
      <c r="I359" s="93" t="str">
        <f>IFERROR(__xludf.DUMMYFUNCTION("""COMPUTED_VALUE"""),"3PM-5PM")</f>
        <v>3PM-5PM</v>
      </c>
      <c r="J359" s="93">
        <f>IFERROR(__xludf.DUMMYFUNCTION("""COMPUTED_VALUE"""),2.0)</f>
        <v>2</v>
      </c>
      <c r="K359" s="93" t="str">
        <f>IFERROR(__xludf.DUMMYFUNCTION("""COMPUTED_VALUE"""),"Complete")</f>
        <v>Complete</v>
      </c>
      <c r="L359" s="93"/>
      <c r="M359" s="94">
        <f>IFERROR(__xludf.DUMMYFUNCTION("""COMPUTED_VALUE"""),46123.605092592596)</f>
        <v>46123.60509</v>
      </c>
      <c r="N359" s="93">
        <f>IFERROR(__xludf.DUMMYFUNCTION("""COMPUTED_VALUE"""),52.0)</f>
        <v>52</v>
      </c>
      <c r="O359" s="93"/>
      <c r="P359" s="93" t="str">
        <f>IFERROR(__xludf.DUMMYFUNCTION("""COMPUTED_VALUE"""),"Kit Delivery")</f>
        <v>Kit Delivery</v>
      </c>
      <c r="Q359" s="93"/>
      <c r="R359" s="93"/>
      <c r="S359" s="95">
        <f>IFERROR(__xludf.DUMMYFUNCTION("""COMPUTED_VALUE"""),46123.61150462963)</f>
        <v>46123.6115</v>
      </c>
      <c r="T359" s="93"/>
      <c r="U359" s="93"/>
      <c r="V359" s="93"/>
      <c r="W359" s="93"/>
      <c r="X359" s="93"/>
      <c r="Y359" s="93"/>
      <c r="Z359" s="93"/>
    </row>
    <row r="360">
      <c r="A360" s="93" t="str">
        <f>IFERROR(__xludf.DUMMYFUNCTION("""COMPUTED_VALUE"""),"KIT-#17323")</f>
        <v>KIT-#17323</v>
      </c>
      <c r="B360" s="94">
        <f>IFERROR(__xludf.DUMMYFUNCTION("""COMPUTED_VALUE"""),46148.0)</f>
        <v>46148</v>
      </c>
      <c r="C360" s="93" t="str">
        <f>IFERROR(__xludf.DUMMYFUNCTION("""COMPUTED_VALUE"""),"Kit Delivery")</f>
        <v>Kit Delivery</v>
      </c>
      <c r="D360" s="93">
        <f>IFERROR(__xludf.DUMMYFUNCTION("""COMPUTED_VALUE"""),1.0)</f>
        <v>1</v>
      </c>
      <c r="E360" s="93" t="str">
        <f>IFERROR(__xludf.DUMMYFUNCTION("""COMPUTED_VALUE"""),"Park")</f>
        <v>Park</v>
      </c>
      <c r="F360" s="93">
        <f>IFERROR(__xludf.DUMMYFUNCTION("""COMPUTED_VALUE"""),340.0)</f>
        <v>340</v>
      </c>
      <c r="G360" s="93" t="str">
        <f>IFERROR(__xludf.DUMMYFUNCTION("""COMPUTED_VALUE"""),"Hannah Brickman")</f>
        <v>Hannah Brickman</v>
      </c>
      <c r="H360" s="93">
        <f>IFERROR(__xludf.DUMMYFUNCTION("""COMPUTED_VALUE"""),2.028129294E9)</f>
        <v>2028129294</v>
      </c>
      <c r="I360" s="93" t="str">
        <f>IFERROR(__xludf.DUMMYFUNCTION("""COMPUTED_VALUE"""),"3PM-5PM")</f>
        <v>3PM-5PM</v>
      </c>
      <c r="J360" s="93">
        <f>IFERROR(__xludf.DUMMYFUNCTION("""COMPUTED_VALUE"""),1.0)</f>
        <v>1</v>
      </c>
      <c r="K360" s="93" t="str">
        <f>IFERROR(__xludf.DUMMYFUNCTION("""COMPUTED_VALUE"""),"Complete")</f>
        <v>Complete</v>
      </c>
      <c r="L360" s="93"/>
      <c r="M360" s="94">
        <f>IFERROR(__xludf.DUMMYFUNCTION("""COMPUTED_VALUE"""),46123.609826388885)</f>
        <v>46123.60983</v>
      </c>
      <c r="N360" s="93">
        <f>IFERROR(__xludf.DUMMYFUNCTION("""COMPUTED_VALUE"""),47.0)</f>
        <v>47</v>
      </c>
      <c r="O360" s="93"/>
      <c r="P360" s="93" t="str">
        <f>IFERROR(__xludf.DUMMYFUNCTION("""COMPUTED_VALUE"""),"Kit Delivery")</f>
        <v>Kit Delivery</v>
      </c>
      <c r="Q360" s="93"/>
      <c r="R360" s="93"/>
      <c r="S360" s="95">
        <f>IFERROR(__xludf.DUMMYFUNCTION("""COMPUTED_VALUE"""),46123.61150462963)</f>
        <v>46123.6115</v>
      </c>
      <c r="T360" s="93"/>
      <c r="U360" s="93"/>
      <c r="V360" s="93"/>
      <c r="W360" s="93"/>
      <c r="X360" s="93"/>
      <c r="Y360" s="93"/>
      <c r="Z360" s="93"/>
    </row>
    <row r="361">
      <c r="A361" s="93" t="str">
        <f>IFERROR(__xludf.DUMMYFUNCTION("""COMPUTED_VALUE"""),"KIT-#17301")</f>
        <v>KIT-#17301</v>
      </c>
      <c r="B361" s="94">
        <f>IFERROR(__xludf.DUMMYFUNCTION("""COMPUTED_VALUE"""),46148.0)</f>
        <v>46148</v>
      </c>
      <c r="C361" s="93" t="str">
        <f>IFERROR(__xludf.DUMMYFUNCTION("""COMPUTED_VALUE"""),"Kit Delivery")</f>
        <v>Kit Delivery</v>
      </c>
      <c r="D361" s="93">
        <f>IFERROR(__xludf.DUMMYFUNCTION("""COMPUTED_VALUE"""),1.0)</f>
        <v>1</v>
      </c>
      <c r="E361" s="93" t="str">
        <f>IFERROR(__xludf.DUMMYFUNCTION("""COMPUTED_VALUE"""),"Rutledge")</f>
        <v>Rutledge</v>
      </c>
      <c r="F361" s="93">
        <f>IFERROR(__xludf.DUMMYFUNCTION("""COMPUTED_VALUE"""),244.0)</f>
        <v>244</v>
      </c>
      <c r="G361" s="93" t="str">
        <f>IFERROR(__xludf.DUMMYFUNCTION("""COMPUTED_VALUE"""),"Beckett Jones")</f>
        <v>Beckett Jones</v>
      </c>
      <c r="H361" s="93">
        <f>IFERROR(__xludf.DUMMYFUNCTION("""COMPUTED_VALUE"""),9.176867838E9)</f>
        <v>9176867838</v>
      </c>
      <c r="I361" s="93" t="str">
        <f>IFERROR(__xludf.DUMMYFUNCTION("""COMPUTED_VALUE"""),"12PM-2PM")</f>
        <v>12PM-2PM</v>
      </c>
      <c r="J361" s="93">
        <f>IFERROR(__xludf.DUMMYFUNCTION("""COMPUTED_VALUE"""),1.0)</f>
        <v>1</v>
      </c>
      <c r="K361" s="93" t="str">
        <f>IFERROR(__xludf.DUMMYFUNCTION("""COMPUTED_VALUE"""),"Complete")</f>
        <v>Complete</v>
      </c>
      <c r="L361" s="93"/>
      <c r="M361" s="94">
        <f>IFERROR(__xludf.DUMMYFUNCTION("""COMPUTED_VALUE"""),46123.669062500005)</f>
        <v>46123.66906</v>
      </c>
      <c r="N361" s="93">
        <f>IFERROR(__xludf.DUMMYFUNCTION("""COMPUTED_VALUE"""),73.0)</f>
        <v>73</v>
      </c>
      <c r="O361" s="93"/>
      <c r="P361" s="93" t="str">
        <f>IFERROR(__xludf.DUMMYFUNCTION("""COMPUTED_VALUE"""),"Kit Delivery")</f>
        <v>Kit Delivery</v>
      </c>
      <c r="Q361" s="93"/>
      <c r="R361" s="93"/>
      <c r="S361" s="95">
        <f>IFERROR(__xludf.DUMMYFUNCTION("""COMPUTED_VALUE"""),46123.70133101852)</f>
        <v>46123.70133</v>
      </c>
      <c r="T361" s="93"/>
      <c r="U361" s="93"/>
      <c r="V361" s="93"/>
      <c r="W361" s="93"/>
      <c r="X361" s="93"/>
      <c r="Y361" s="93"/>
      <c r="Z361" s="93"/>
    </row>
    <row r="362">
      <c r="A362" s="93" t="str">
        <f>IFERROR(__xludf.DUMMYFUNCTION("""COMPUTED_VALUE"""),"KIT-#17394")</f>
        <v>KIT-#17394</v>
      </c>
      <c r="B362" s="94">
        <f>IFERROR(__xludf.DUMMYFUNCTION("""COMPUTED_VALUE"""),46148.0)</f>
        <v>46148</v>
      </c>
      <c r="C362" s="93" t="str">
        <f>IFERROR(__xludf.DUMMYFUNCTION("""COMPUTED_VALUE"""),"Kit Delivery")</f>
        <v>Kit Delivery</v>
      </c>
      <c r="D362" s="93">
        <f>IFERROR(__xludf.DUMMYFUNCTION("""COMPUTED_VALUE"""),1.0)</f>
        <v>1</v>
      </c>
      <c r="E362" s="93" t="str">
        <f>IFERROR(__xludf.DUMMYFUNCTION("""COMPUTED_VALUE"""),"Rutledge")</f>
        <v>Rutledge</v>
      </c>
      <c r="F362" s="93">
        <f>IFERROR(__xludf.DUMMYFUNCTION("""COMPUTED_VALUE"""),244.0)</f>
        <v>244</v>
      </c>
      <c r="G362" s="93" t="str">
        <f>IFERROR(__xludf.DUMMYFUNCTION("""COMPUTED_VALUE"""),"Diego Ortiz Golderos")</f>
        <v>Diego Ortiz Golderos</v>
      </c>
      <c r="H362" s="93">
        <f>IFERROR(__xludf.DUMMYFUNCTION("""COMPUTED_VALUE"""),7.875528399E9)</f>
        <v>7875528399</v>
      </c>
      <c r="I362" s="93" t="str">
        <f>IFERROR(__xludf.DUMMYFUNCTION("""COMPUTED_VALUE"""),"2PM-4PM")</f>
        <v>2PM-4PM</v>
      </c>
      <c r="J362" s="93">
        <f>IFERROR(__xludf.DUMMYFUNCTION("""COMPUTED_VALUE"""),1.0)</f>
        <v>1</v>
      </c>
      <c r="K362" s="93" t="str">
        <f>IFERROR(__xludf.DUMMYFUNCTION("""COMPUTED_VALUE"""),"Complete")</f>
        <v>Complete</v>
      </c>
      <c r="L362" s="93"/>
      <c r="M362" s="94">
        <f>IFERROR(__xludf.DUMMYFUNCTION("""COMPUTED_VALUE"""),46123.670057870375)</f>
        <v>46123.67006</v>
      </c>
      <c r="N362" s="93">
        <f>IFERROR(__xludf.DUMMYFUNCTION("""COMPUTED_VALUE"""),74.0)</f>
        <v>74</v>
      </c>
      <c r="O362" s="93"/>
      <c r="P362" s="93" t="str">
        <f>IFERROR(__xludf.DUMMYFUNCTION("""COMPUTED_VALUE"""),"Kit Delivery")</f>
        <v>Kit Delivery</v>
      </c>
      <c r="Q362" s="93"/>
      <c r="R362" s="93"/>
      <c r="S362" s="95">
        <f>IFERROR(__xludf.DUMMYFUNCTION("""COMPUTED_VALUE"""),46123.70133101852)</f>
        <v>46123.70133</v>
      </c>
      <c r="T362" s="93"/>
      <c r="U362" s="93"/>
      <c r="V362" s="93"/>
      <c r="W362" s="93"/>
      <c r="X362" s="93"/>
      <c r="Y362" s="93"/>
      <c r="Z362" s="93"/>
    </row>
    <row r="363">
      <c r="A363" s="93" t="str">
        <f>IFERROR(__xludf.DUMMYFUNCTION("""COMPUTED_VALUE"""),"KIT-#16785")</f>
        <v>KIT-#16785</v>
      </c>
      <c r="B363" s="94">
        <f>IFERROR(__xludf.DUMMYFUNCTION("""COMPUTED_VALUE"""),46148.0)</f>
        <v>46148</v>
      </c>
      <c r="C363" s="93" t="str">
        <f>IFERROR(__xludf.DUMMYFUNCTION("""COMPUTED_VALUE"""),"Kit Delivery")</f>
        <v>Kit Delivery</v>
      </c>
      <c r="D363" s="93">
        <f>IFERROR(__xludf.DUMMYFUNCTION("""COMPUTED_VALUE"""),1.0)</f>
        <v>1</v>
      </c>
      <c r="E363" s="93" t="str">
        <f>IFERROR(__xludf.DUMMYFUNCTION("""COMPUTED_VALUE"""),"Rutledge")</f>
        <v>Rutledge</v>
      </c>
      <c r="F363" s="93">
        <f>IFERROR(__xludf.DUMMYFUNCTION("""COMPUTED_VALUE"""),121.0)</f>
        <v>121</v>
      </c>
      <c r="G363" s="93" t="str">
        <f>IFERROR(__xludf.DUMMYFUNCTION("""COMPUTED_VALUE"""),"Eliza Schulman")</f>
        <v>Eliza Schulman</v>
      </c>
      <c r="H363" s="93">
        <f>IFERROR(__xludf.DUMMYFUNCTION("""COMPUTED_VALUE"""),5.16606386E9)</f>
        <v>5166063860</v>
      </c>
      <c r="I363" s="93" t="str">
        <f>IFERROR(__xludf.DUMMYFUNCTION("""COMPUTED_VALUE"""),"9AM-11AM")</f>
        <v>9AM-11AM</v>
      </c>
      <c r="J363" s="93">
        <f>IFERROR(__xludf.DUMMYFUNCTION("""COMPUTED_VALUE"""),1.0)</f>
        <v>1</v>
      </c>
      <c r="K363" s="93" t="str">
        <f>IFERROR(__xludf.DUMMYFUNCTION("""COMPUTED_VALUE"""),"Complete")</f>
        <v>Complete</v>
      </c>
      <c r="L363" s="93"/>
      <c r="M363" s="94">
        <f>IFERROR(__xludf.DUMMYFUNCTION("""COMPUTED_VALUE"""),46123.670752314814)</f>
        <v>46123.67075</v>
      </c>
      <c r="N363" s="93">
        <f>IFERROR(__xludf.DUMMYFUNCTION("""COMPUTED_VALUE"""),70.0)</f>
        <v>70</v>
      </c>
      <c r="O363" s="93"/>
      <c r="P363" s="93" t="str">
        <f>IFERROR(__xludf.DUMMYFUNCTION("""COMPUTED_VALUE"""),"Kit Delivery")</f>
        <v>Kit Delivery</v>
      </c>
      <c r="Q363" s="93"/>
      <c r="R363" s="93"/>
      <c r="S363" s="95">
        <f>IFERROR(__xludf.DUMMYFUNCTION("""COMPUTED_VALUE"""),46123.70133101852)</f>
        <v>46123.70133</v>
      </c>
      <c r="T363" s="93"/>
      <c r="U363" s="93"/>
      <c r="V363" s="93"/>
      <c r="W363" s="93"/>
      <c r="X363" s="93"/>
      <c r="Y363" s="93"/>
      <c r="Z363" s="93"/>
    </row>
    <row r="364">
      <c r="A364" s="93" t="str">
        <f>IFERROR(__xludf.DUMMYFUNCTION("""COMPUTED_VALUE"""),"KIT-#17251")</f>
        <v>KIT-#17251</v>
      </c>
      <c r="B364" s="94">
        <f>IFERROR(__xludf.DUMMYFUNCTION("""COMPUTED_VALUE"""),46148.0)</f>
        <v>46148</v>
      </c>
      <c r="C364" s="93" t="str">
        <f>IFERROR(__xludf.DUMMYFUNCTION("""COMPUTED_VALUE"""),"Kit Delivery")</f>
        <v>Kit Delivery</v>
      </c>
      <c r="D364" s="93">
        <f>IFERROR(__xludf.DUMMYFUNCTION("""COMPUTED_VALUE"""),1.0)</f>
        <v>1</v>
      </c>
      <c r="E364" s="93" t="str">
        <f>IFERROR(__xludf.DUMMYFUNCTION("""COMPUTED_VALUE"""),"Rutledge")</f>
        <v>Rutledge</v>
      </c>
      <c r="F364" s="93">
        <f>IFERROR(__xludf.DUMMYFUNCTION("""COMPUTED_VALUE"""),122.0)</f>
        <v>122</v>
      </c>
      <c r="G364" s="93" t="str">
        <f>IFERROR(__xludf.DUMMYFUNCTION("""COMPUTED_VALUE"""),"Maya Feldman")</f>
        <v>Maya Feldman</v>
      </c>
      <c r="H364" s="93"/>
      <c r="I364" s="93" t="str">
        <f>IFERROR(__xludf.DUMMYFUNCTION("""COMPUTED_VALUE"""),"2PM-4PM")</f>
        <v>2PM-4PM</v>
      </c>
      <c r="J364" s="93">
        <f>IFERROR(__xludf.DUMMYFUNCTION("""COMPUTED_VALUE"""),1.0)</f>
        <v>1</v>
      </c>
      <c r="K364" s="93" t="str">
        <f>IFERROR(__xludf.DUMMYFUNCTION("""COMPUTED_VALUE"""),"Complete")</f>
        <v>Complete</v>
      </c>
      <c r="L364" s="93"/>
      <c r="M364" s="94">
        <f>IFERROR(__xludf.DUMMYFUNCTION("""COMPUTED_VALUE"""),46123.67145833334)</f>
        <v>46123.67146</v>
      </c>
      <c r="N364" s="93">
        <f>IFERROR(__xludf.DUMMYFUNCTION("""COMPUTED_VALUE"""),71.0)</f>
        <v>71</v>
      </c>
      <c r="O364" s="93"/>
      <c r="P364" s="93" t="str">
        <f>IFERROR(__xludf.DUMMYFUNCTION("""COMPUTED_VALUE"""),"Kit Delivery")</f>
        <v>Kit Delivery</v>
      </c>
      <c r="Q364" s="93"/>
      <c r="R364" s="93"/>
      <c r="S364" s="95">
        <f>IFERROR(__xludf.DUMMYFUNCTION("""COMPUTED_VALUE"""),46123.70133101852)</f>
        <v>46123.70133</v>
      </c>
      <c r="T364" s="93"/>
      <c r="U364" s="93"/>
      <c r="V364" s="93"/>
      <c r="W364" s="93"/>
      <c r="X364" s="93"/>
      <c r="Y364" s="93"/>
      <c r="Z364" s="93"/>
    </row>
    <row r="365">
      <c r="A365" s="93" t="str">
        <f>IFERROR(__xludf.DUMMYFUNCTION("""COMPUTED_VALUE"""),"KIT-#17203")</f>
        <v>KIT-#17203</v>
      </c>
      <c r="B365" s="94">
        <f>IFERROR(__xludf.DUMMYFUNCTION("""COMPUTED_VALUE"""),46148.0)</f>
        <v>46148</v>
      </c>
      <c r="C365" s="93" t="str">
        <f>IFERROR(__xludf.DUMMYFUNCTION("""COMPUTED_VALUE"""),"Kit Delivery")</f>
        <v>Kit Delivery</v>
      </c>
      <c r="D365" s="93">
        <f>IFERROR(__xludf.DUMMYFUNCTION("""COMPUTED_VALUE"""),1.0)</f>
        <v>1</v>
      </c>
      <c r="E365" s="93" t="str">
        <f>IFERROR(__xludf.DUMMYFUNCTION("""COMPUTED_VALUE"""),"Dauten")</f>
        <v>Dauten</v>
      </c>
      <c r="F365" s="93">
        <f>IFERROR(__xludf.DUMMYFUNCTION("""COMPUTED_VALUE"""),231.0)</f>
        <v>231</v>
      </c>
      <c r="G365" s="93" t="str">
        <f>IFERROR(__xludf.DUMMYFUNCTION("""COMPUTED_VALUE"""),"Janae Crespo")</f>
        <v>Janae Crespo</v>
      </c>
      <c r="H365" s="93">
        <f>IFERROR(__xludf.DUMMYFUNCTION("""COMPUTED_VALUE"""),3.059058849E9)</f>
        <v>3059058849</v>
      </c>
      <c r="I365" s="93" t="str">
        <f>IFERROR(__xludf.DUMMYFUNCTION("""COMPUTED_VALUE"""),"9AM-11AM")</f>
        <v>9AM-11AM</v>
      </c>
      <c r="J365" s="93">
        <f>IFERROR(__xludf.DUMMYFUNCTION("""COMPUTED_VALUE"""),1.0)</f>
        <v>1</v>
      </c>
      <c r="K365" s="93" t="str">
        <f>IFERROR(__xludf.DUMMYFUNCTION("""COMPUTED_VALUE"""),"Complete")</f>
        <v>Complete</v>
      </c>
      <c r="L365" s="93"/>
      <c r="M365" s="94">
        <f>IFERROR(__xludf.DUMMYFUNCTION("""COMPUTED_VALUE"""),46123.67655092593)</f>
        <v>46123.67655</v>
      </c>
      <c r="N365" s="93">
        <f>IFERROR(__xludf.DUMMYFUNCTION("""COMPUTED_VALUE"""),81.0)</f>
        <v>81</v>
      </c>
      <c r="O365" s="93"/>
      <c r="P365" s="93" t="str">
        <f>IFERROR(__xludf.DUMMYFUNCTION("""COMPUTED_VALUE"""),"Kit Delivery")</f>
        <v>Kit Delivery</v>
      </c>
      <c r="Q365" s="93"/>
      <c r="R365" s="93"/>
      <c r="S365" s="95">
        <f>IFERROR(__xludf.DUMMYFUNCTION("""COMPUTED_VALUE"""),46123.70133101852)</f>
        <v>46123.70133</v>
      </c>
      <c r="T365" s="93"/>
      <c r="U365" s="93"/>
      <c r="V365" s="93"/>
      <c r="W365" s="93"/>
      <c r="X365" s="93"/>
      <c r="Y365" s="93"/>
      <c r="Z365" s="93"/>
    </row>
    <row r="366">
      <c r="A366" s="93" t="str">
        <f>IFERROR(__xludf.DUMMYFUNCTION("""COMPUTED_VALUE"""),"KIT-#17247")</f>
        <v>KIT-#17247</v>
      </c>
      <c r="B366" s="94">
        <f>IFERROR(__xludf.DUMMYFUNCTION("""COMPUTED_VALUE"""),46148.0)</f>
        <v>46148</v>
      </c>
      <c r="C366" s="93" t="str">
        <f>IFERROR(__xludf.DUMMYFUNCTION("""COMPUTED_VALUE"""),"Kit Delivery")</f>
        <v>Kit Delivery</v>
      </c>
      <c r="D366" s="93">
        <f>IFERROR(__xludf.DUMMYFUNCTION("""COMPUTED_VALUE"""),1.0)</f>
        <v>1</v>
      </c>
      <c r="E366" s="93" t="str">
        <f>IFERROR(__xludf.DUMMYFUNCTION("""COMPUTED_VALUE"""),"Dauten")</f>
        <v>Dauten</v>
      </c>
      <c r="F366" s="93">
        <f>IFERROR(__xludf.DUMMYFUNCTION("""COMPUTED_VALUE"""),423.0)</f>
        <v>423</v>
      </c>
      <c r="G366" s="93" t="str">
        <f>IFERROR(__xludf.DUMMYFUNCTION("""COMPUTED_VALUE"""),"Abby Wang")</f>
        <v>Abby Wang</v>
      </c>
      <c r="H366" s="93">
        <f>IFERROR(__xludf.DUMMYFUNCTION("""COMPUTED_VALUE"""),4.258007251E9)</f>
        <v>4258007251</v>
      </c>
      <c r="I366" s="93" t="str">
        <f>IFERROR(__xludf.DUMMYFUNCTION("""COMPUTED_VALUE"""),"9AM-11AM")</f>
        <v>9AM-11AM</v>
      </c>
      <c r="J366" s="93">
        <f>IFERROR(__xludf.DUMMYFUNCTION("""COMPUTED_VALUE"""),2.0)</f>
        <v>2</v>
      </c>
      <c r="K366" s="93" t="str">
        <f>IFERROR(__xludf.DUMMYFUNCTION("""COMPUTED_VALUE"""),"Complete")</f>
        <v>Complete</v>
      </c>
      <c r="L366" s="93"/>
      <c r="M366" s="94">
        <f>IFERROR(__xludf.DUMMYFUNCTION("""COMPUTED_VALUE"""),46123.677199074074)</f>
        <v>46123.6772</v>
      </c>
      <c r="N366" s="93">
        <f>IFERROR(__xludf.DUMMYFUNCTION("""COMPUTED_VALUE"""),84.0)</f>
        <v>84</v>
      </c>
      <c r="O366" s="93"/>
      <c r="P366" s="93" t="str">
        <f>IFERROR(__xludf.DUMMYFUNCTION("""COMPUTED_VALUE"""),"Kit Delivery")</f>
        <v>Kit Delivery</v>
      </c>
      <c r="Q366" s="93"/>
      <c r="R366" s="93"/>
      <c r="S366" s="95">
        <f>IFERROR(__xludf.DUMMYFUNCTION("""COMPUTED_VALUE"""),46123.70133101852)</f>
        <v>46123.70133</v>
      </c>
      <c r="T366" s="93"/>
      <c r="U366" s="93"/>
      <c r="V366" s="93"/>
      <c r="W366" s="93"/>
      <c r="X366" s="93"/>
      <c r="Y366" s="93"/>
      <c r="Z366" s="93"/>
    </row>
    <row r="367">
      <c r="A367" s="93" t="str">
        <f>IFERROR(__xludf.DUMMYFUNCTION("""COMPUTED_VALUE"""),"KIT-#17216")</f>
        <v>KIT-#17216</v>
      </c>
      <c r="B367" s="94">
        <f>IFERROR(__xludf.DUMMYFUNCTION("""COMPUTED_VALUE"""),46148.0)</f>
        <v>46148</v>
      </c>
      <c r="C367" s="93" t="str">
        <f>IFERROR(__xludf.DUMMYFUNCTION("""COMPUTED_VALUE"""),"Kit Delivery")</f>
        <v>Kit Delivery</v>
      </c>
      <c r="D367" s="93">
        <f>IFERROR(__xludf.DUMMYFUNCTION("""COMPUTED_VALUE"""),1.0)</f>
        <v>1</v>
      </c>
      <c r="E367" s="93" t="str">
        <f>IFERROR(__xludf.DUMMYFUNCTION("""COMPUTED_VALUE"""),"Dauten")</f>
        <v>Dauten</v>
      </c>
      <c r="F367" s="93">
        <f>IFERROR(__xludf.DUMMYFUNCTION("""COMPUTED_VALUE"""),42.0)</f>
        <v>42</v>
      </c>
      <c r="G367" s="93" t="str">
        <f>IFERROR(__xludf.DUMMYFUNCTION("""COMPUTED_VALUE"""),"Eliana Salzberg")</f>
        <v>Eliana Salzberg</v>
      </c>
      <c r="H367" s="93">
        <f>IFERROR(__xludf.DUMMYFUNCTION("""COMPUTED_VALUE"""),9.177330027E9)</f>
        <v>9177330027</v>
      </c>
      <c r="I367" s="93" t="str">
        <f>IFERROR(__xludf.DUMMYFUNCTION("""COMPUTED_VALUE"""),"9AM-11AM")</f>
        <v>9AM-11AM</v>
      </c>
      <c r="J367" s="93">
        <f>IFERROR(__xludf.DUMMYFUNCTION("""COMPUTED_VALUE"""),1.0)</f>
        <v>1</v>
      </c>
      <c r="K367" s="93" t="str">
        <f>IFERROR(__xludf.DUMMYFUNCTION("""COMPUTED_VALUE"""),"Complete")</f>
        <v>Complete</v>
      </c>
      <c r="L367" s="93"/>
      <c r="M367" s="94">
        <f>IFERROR(__xludf.DUMMYFUNCTION("""COMPUTED_VALUE"""),46123.680185185185)</f>
        <v>46123.68019</v>
      </c>
      <c r="N367" s="93">
        <f>IFERROR(__xludf.DUMMYFUNCTION("""COMPUTED_VALUE"""),78.0)</f>
        <v>78</v>
      </c>
      <c r="O367" s="93"/>
      <c r="P367" s="93" t="str">
        <f>IFERROR(__xludf.DUMMYFUNCTION("""COMPUTED_VALUE"""),"Kit Delivery")</f>
        <v>Kit Delivery</v>
      </c>
      <c r="Q367" s="93"/>
      <c r="R367" s="93"/>
      <c r="S367" s="95">
        <f>IFERROR(__xludf.DUMMYFUNCTION("""COMPUTED_VALUE"""),46123.70133101852)</f>
        <v>46123.70133</v>
      </c>
      <c r="T367" s="93"/>
      <c r="U367" s="93"/>
      <c r="V367" s="93"/>
      <c r="W367" s="93"/>
      <c r="X367" s="93"/>
      <c r="Y367" s="93"/>
      <c r="Z367" s="93"/>
    </row>
    <row r="368">
      <c r="A368" s="93" t="str">
        <f>IFERROR(__xludf.DUMMYFUNCTION("""COMPUTED_VALUE"""),"KIT-#16879")</f>
        <v>KIT-#16879</v>
      </c>
      <c r="B368" s="94">
        <f>IFERROR(__xludf.DUMMYFUNCTION("""COMPUTED_VALUE"""),46148.0)</f>
        <v>46148</v>
      </c>
      <c r="C368" s="93" t="str">
        <f>IFERROR(__xludf.DUMMYFUNCTION("""COMPUTED_VALUE"""),"Kit Delivery")</f>
        <v>Kit Delivery</v>
      </c>
      <c r="D368" s="93">
        <f>IFERROR(__xludf.DUMMYFUNCTION("""COMPUTED_VALUE"""),1.0)</f>
        <v>1</v>
      </c>
      <c r="E368" s="93" t="str">
        <f>IFERROR(__xludf.DUMMYFUNCTION("""COMPUTED_VALUE"""),"Shanedling")</f>
        <v>Shanedling</v>
      </c>
      <c r="F368" s="93" t="str">
        <f>IFERROR(__xludf.DUMMYFUNCTION("""COMPUTED_VALUE"""),"Suite 11, Room 112")</f>
        <v>Suite 11, Room 112</v>
      </c>
      <c r="G368" s="93" t="str">
        <f>IFERROR(__xludf.DUMMYFUNCTION("""COMPUTED_VALUE"""),"Natasha M Gonzalez")</f>
        <v>Natasha M Gonzalez</v>
      </c>
      <c r="H368" s="93">
        <f>IFERROR(__xludf.DUMMYFUNCTION("""COMPUTED_VALUE"""),4.074062737E9)</f>
        <v>4074062737</v>
      </c>
      <c r="I368" s="93" t="str">
        <f>IFERROR(__xludf.DUMMYFUNCTION("""COMPUTED_VALUE"""),"9AM-11AM")</f>
        <v>9AM-11AM</v>
      </c>
      <c r="J368" s="93">
        <f>IFERROR(__xludf.DUMMYFUNCTION("""COMPUTED_VALUE"""),2.0)</f>
        <v>2</v>
      </c>
      <c r="K368" s="93" t="str">
        <f>IFERROR(__xludf.DUMMYFUNCTION("""COMPUTED_VALUE"""),"Complete")</f>
        <v>Complete</v>
      </c>
      <c r="L368" s="93"/>
      <c r="M368" s="94">
        <f>IFERROR(__xludf.DUMMYFUNCTION("""COMPUTED_VALUE"""),46123.68702546296)</f>
        <v>46123.68703</v>
      </c>
      <c r="N368" s="93">
        <f>IFERROR(__xludf.DUMMYFUNCTION("""COMPUTED_VALUE"""),86.0)</f>
        <v>86</v>
      </c>
      <c r="O368" s="93"/>
      <c r="P368" s="93" t="str">
        <f>IFERROR(__xludf.DUMMYFUNCTION("""COMPUTED_VALUE"""),"Kit Delivery")</f>
        <v>Kit Delivery</v>
      </c>
      <c r="Q368" s="93"/>
      <c r="R368" s="93"/>
      <c r="S368" s="95">
        <f>IFERROR(__xludf.DUMMYFUNCTION("""COMPUTED_VALUE"""),46123.70133101852)</f>
        <v>46123.70133</v>
      </c>
      <c r="T368" s="93"/>
      <c r="U368" s="93"/>
      <c r="V368" s="93"/>
      <c r="W368" s="93"/>
      <c r="X368" s="93"/>
      <c r="Y368" s="93"/>
      <c r="Z368" s="93"/>
    </row>
    <row r="369">
      <c r="A369" s="93" t="str">
        <f>IFERROR(__xludf.DUMMYFUNCTION("""COMPUTED_VALUE"""),"KIT-#16755")</f>
        <v>KIT-#16755</v>
      </c>
      <c r="B369" s="94">
        <f>IFERROR(__xludf.DUMMYFUNCTION("""COMPUTED_VALUE"""),46148.0)</f>
        <v>46148</v>
      </c>
      <c r="C369" s="93" t="str">
        <f>IFERROR(__xludf.DUMMYFUNCTION("""COMPUTED_VALUE"""),"Kit Delivery")</f>
        <v>Kit Delivery</v>
      </c>
      <c r="D369" s="93">
        <f>IFERROR(__xludf.DUMMYFUNCTION("""COMPUTED_VALUE"""),1.0)</f>
        <v>1</v>
      </c>
      <c r="E369" s="93" t="str">
        <f>IFERROR(__xludf.DUMMYFUNCTION("""COMPUTED_VALUE"""),"Hurd")</f>
        <v>Hurd</v>
      </c>
      <c r="F369" s="93">
        <f>IFERROR(__xludf.DUMMYFUNCTION("""COMPUTED_VALUE"""),420.0)</f>
        <v>420</v>
      </c>
      <c r="G369" s="93" t="str">
        <f>IFERROR(__xludf.DUMMYFUNCTION("""COMPUTED_VALUE"""),"Diya Gupta")</f>
        <v>Diya Gupta</v>
      </c>
      <c r="H369" s="93" t="str">
        <f>IFERROR(__xludf.DUMMYFUNCTION("""COMPUTED_VALUE"""),"720-221-4486")</f>
        <v>720-221-4486</v>
      </c>
      <c r="I369" s="93" t="str">
        <f>IFERROR(__xludf.DUMMYFUNCTION("""COMPUTED_VALUE"""),"1PM-3PM")</f>
        <v>1PM-3PM</v>
      </c>
      <c r="J369" s="93">
        <f>IFERROR(__xludf.DUMMYFUNCTION("""COMPUTED_VALUE"""),1.0)</f>
        <v>1</v>
      </c>
      <c r="K369" s="93" t="str">
        <f>IFERROR(__xludf.DUMMYFUNCTION("""COMPUTED_VALUE"""),"Complete")</f>
        <v>Complete</v>
      </c>
      <c r="L369" s="93"/>
      <c r="M369" s="94">
        <f>IFERROR(__xludf.DUMMYFUNCTION("""COMPUTED_VALUE"""),46123.69425925926)</f>
        <v>46123.69426</v>
      </c>
      <c r="N369" s="93">
        <f>IFERROR(__xludf.DUMMYFUNCTION("""COMPUTED_VALUE"""),9.0)</f>
        <v>9</v>
      </c>
      <c r="O369" s="93"/>
      <c r="P369" s="93" t="str">
        <f>IFERROR(__xludf.DUMMYFUNCTION("""COMPUTED_VALUE"""),"Kit Delivery")</f>
        <v>Kit Delivery</v>
      </c>
      <c r="Q369" s="93"/>
      <c r="R369" s="93"/>
      <c r="S369" s="95">
        <f>IFERROR(__xludf.DUMMYFUNCTION("""COMPUTED_VALUE"""),46123.70133101852)</f>
        <v>46123.70133</v>
      </c>
      <c r="T369" s="93"/>
      <c r="U369" s="93"/>
      <c r="V369" s="93"/>
      <c r="W369" s="93"/>
      <c r="X369" s="93"/>
      <c r="Y369" s="93"/>
      <c r="Z369" s="93"/>
    </row>
    <row r="370">
      <c r="A370" s="93" t="str">
        <f>IFERROR(__xludf.DUMMYFUNCTION("""COMPUTED_VALUE"""),"KIT-#17293")</f>
        <v>KIT-#17293</v>
      </c>
      <c r="B370" s="94">
        <f>IFERROR(__xludf.DUMMYFUNCTION("""COMPUTED_VALUE"""),46148.0)</f>
        <v>46148</v>
      </c>
      <c r="C370" s="93" t="str">
        <f>IFERROR(__xludf.DUMMYFUNCTION("""COMPUTED_VALUE"""),"Kit Delivery")</f>
        <v>Kit Delivery</v>
      </c>
      <c r="D370" s="93">
        <f>IFERROR(__xludf.DUMMYFUNCTION("""COMPUTED_VALUE"""),1.0)</f>
        <v>1</v>
      </c>
      <c r="E370" s="93" t="str">
        <f>IFERROR(__xludf.DUMMYFUNCTION("""COMPUTED_VALUE"""),"Hurd")</f>
        <v>Hurd</v>
      </c>
      <c r="F370" s="93">
        <f>IFERROR(__xludf.DUMMYFUNCTION("""COMPUTED_VALUE"""),211.0)</f>
        <v>211</v>
      </c>
      <c r="G370" s="93" t="str">
        <f>IFERROR(__xludf.DUMMYFUNCTION("""COMPUTED_VALUE"""),"David Bai")</f>
        <v>David Bai</v>
      </c>
      <c r="H370" s="93">
        <f>IFERROR(__xludf.DUMMYFUNCTION("""COMPUTED_VALUE"""),2.063219512E9)</f>
        <v>2063219512</v>
      </c>
      <c r="I370" s="93" t="str">
        <f>IFERROR(__xludf.DUMMYFUNCTION("""COMPUTED_VALUE"""),"9AM-11AM")</f>
        <v>9AM-11AM</v>
      </c>
      <c r="J370" s="93">
        <f>IFERROR(__xludf.DUMMYFUNCTION("""COMPUTED_VALUE"""),1.0)</f>
        <v>1</v>
      </c>
      <c r="K370" s="93" t="str">
        <f>IFERROR(__xludf.DUMMYFUNCTION("""COMPUTED_VALUE"""),"Complete")</f>
        <v>Complete</v>
      </c>
      <c r="L370" s="93"/>
      <c r="M370" s="94">
        <f>IFERROR(__xludf.DUMMYFUNCTION("""COMPUTED_VALUE"""),46123.695231481484)</f>
        <v>46123.69523</v>
      </c>
      <c r="N370" s="93">
        <f>IFERROR(__xludf.DUMMYFUNCTION("""COMPUTED_VALUE"""),5.0)</f>
        <v>5</v>
      </c>
      <c r="O370" s="93"/>
      <c r="P370" s="93" t="str">
        <f>IFERROR(__xludf.DUMMYFUNCTION("""COMPUTED_VALUE"""),"Kit Delivery")</f>
        <v>Kit Delivery</v>
      </c>
      <c r="Q370" s="93"/>
      <c r="R370" s="93"/>
      <c r="S370" s="95">
        <f>IFERROR(__xludf.DUMMYFUNCTION("""COMPUTED_VALUE"""),46123.70133101852)</f>
        <v>46123.70133</v>
      </c>
      <c r="T370" s="93"/>
      <c r="U370" s="93"/>
      <c r="V370" s="93"/>
      <c r="W370" s="93"/>
      <c r="X370" s="93"/>
      <c r="Y370" s="93"/>
      <c r="Z370" s="93"/>
    </row>
    <row r="371">
      <c r="A371" s="93" t="str">
        <f>IFERROR(__xludf.DUMMYFUNCTION("""COMPUTED_VALUE"""),"KIT-#17190")</f>
        <v>KIT-#17190</v>
      </c>
      <c r="B371" s="94">
        <f>IFERROR(__xludf.DUMMYFUNCTION("""COMPUTED_VALUE"""),46148.0)</f>
        <v>46148</v>
      </c>
      <c r="C371" s="93" t="str">
        <f>IFERROR(__xludf.DUMMYFUNCTION("""COMPUTED_VALUE"""),"Kit Delivery")</f>
        <v>Kit Delivery</v>
      </c>
      <c r="D371" s="93">
        <f>IFERROR(__xludf.DUMMYFUNCTION("""COMPUTED_VALUE"""),1.0)</f>
        <v>1</v>
      </c>
      <c r="E371" s="93" t="str">
        <f>IFERROR(__xludf.DUMMYFUNCTION("""COMPUTED_VALUE"""),"Hurd")</f>
        <v>Hurd</v>
      </c>
      <c r="F371" s="93">
        <f>IFERROR(__xludf.DUMMYFUNCTION("""COMPUTED_VALUE"""),323.0)</f>
        <v>323</v>
      </c>
      <c r="G371" s="93" t="str">
        <f>IFERROR(__xludf.DUMMYFUNCTION("""COMPUTED_VALUE"""),"Flora Lu")</f>
        <v>Flora Lu</v>
      </c>
      <c r="H371" s="93">
        <f>IFERROR(__xludf.DUMMYFUNCTION("""COMPUTED_VALUE"""),3.145027725E9)</f>
        <v>3145027725</v>
      </c>
      <c r="I371" s="93" t="str">
        <f>IFERROR(__xludf.DUMMYFUNCTION("""COMPUTED_VALUE"""),"3PM-5PM")</f>
        <v>3PM-5PM</v>
      </c>
      <c r="J371" s="93">
        <f>IFERROR(__xludf.DUMMYFUNCTION("""COMPUTED_VALUE"""),2.0)</f>
        <v>2</v>
      </c>
      <c r="K371" s="93" t="str">
        <f>IFERROR(__xludf.DUMMYFUNCTION("""COMPUTED_VALUE"""),"Complete")</f>
        <v>Complete</v>
      </c>
      <c r="L371" s="93"/>
      <c r="M371" s="94">
        <f>IFERROR(__xludf.DUMMYFUNCTION("""COMPUTED_VALUE"""),46123.69577546296)</f>
        <v>46123.69578</v>
      </c>
      <c r="N371" s="93">
        <f>IFERROR(__xludf.DUMMYFUNCTION("""COMPUTED_VALUE"""),8.0)</f>
        <v>8</v>
      </c>
      <c r="O371" s="93"/>
      <c r="P371" s="93" t="str">
        <f>IFERROR(__xludf.DUMMYFUNCTION("""COMPUTED_VALUE"""),"Kit Delivery")</f>
        <v>Kit Delivery</v>
      </c>
      <c r="Q371" s="93"/>
      <c r="R371" s="93"/>
      <c r="S371" s="95">
        <f>IFERROR(__xludf.DUMMYFUNCTION("""COMPUTED_VALUE"""),46123.70133101852)</f>
        <v>46123.70133</v>
      </c>
      <c r="T371" s="93"/>
      <c r="U371" s="93"/>
      <c r="V371" s="93"/>
      <c r="W371" s="93"/>
      <c r="X371" s="93"/>
      <c r="Y371" s="93"/>
      <c r="Z371" s="93"/>
    </row>
    <row r="372">
      <c r="A372" s="93" t="str">
        <f>IFERROR(__xludf.DUMMYFUNCTION("""COMPUTED_VALUE"""),"KIT-#17112")</f>
        <v>KIT-#17112</v>
      </c>
      <c r="B372" s="94">
        <f>IFERROR(__xludf.DUMMYFUNCTION("""COMPUTED_VALUE"""),46148.0)</f>
        <v>46148</v>
      </c>
      <c r="C372" s="93" t="str">
        <f>IFERROR(__xludf.DUMMYFUNCTION("""COMPUTED_VALUE"""),"Kit Delivery")</f>
        <v>Kit Delivery</v>
      </c>
      <c r="D372" s="93">
        <f>IFERROR(__xludf.DUMMYFUNCTION("""COMPUTED_VALUE"""),3.0)</f>
        <v>3</v>
      </c>
      <c r="E372" s="93" t="str">
        <f>IFERROR(__xludf.DUMMYFUNCTION("""COMPUTED_VALUE"""),"Lopata")</f>
        <v>Lopata</v>
      </c>
      <c r="F372" s="93" t="str">
        <f>IFERROR(__xludf.DUMMYFUNCTION("""COMPUTED_VALUE"""),"3002-a")</f>
        <v>3002-a</v>
      </c>
      <c r="G372" s="93" t="str">
        <f>IFERROR(__xludf.DUMMYFUNCTION("""COMPUTED_VALUE"""),"Deisi Contreras")</f>
        <v>Deisi Contreras</v>
      </c>
      <c r="H372" s="93">
        <f>IFERROR(__xludf.DUMMYFUNCTION("""COMPUTED_VALUE"""),2.144032341E9)</f>
        <v>2144032341</v>
      </c>
      <c r="I372" s="93" t="str">
        <f>IFERROR(__xludf.DUMMYFUNCTION("""COMPUTED_VALUE"""),"9AM-11AM")</f>
        <v>9AM-11AM</v>
      </c>
      <c r="J372" s="93">
        <f>IFERROR(__xludf.DUMMYFUNCTION("""COMPUTED_VALUE"""),1.0)</f>
        <v>1</v>
      </c>
      <c r="K372" s="93" t="str">
        <f>IFERROR(__xludf.DUMMYFUNCTION("""COMPUTED_VALUE"""),"Complete")</f>
        <v>Complete</v>
      </c>
      <c r="L372" s="93"/>
      <c r="M372" s="94">
        <f>IFERROR(__xludf.DUMMYFUNCTION("""COMPUTED_VALUE"""),46123.708402777775)</f>
        <v>46123.7084</v>
      </c>
      <c r="N372" s="93">
        <f>IFERROR(__xludf.DUMMYFUNCTION("""COMPUTED_VALUE"""),169.0)</f>
        <v>169</v>
      </c>
      <c r="O372" s="93"/>
      <c r="P372" s="93" t="str">
        <f>IFERROR(__xludf.DUMMYFUNCTION("""COMPUTED_VALUE"""),"Kit Delivery")</f>
        <v>Kit Delivery</v>
      </c>
      <c r="Q372" s="93"/>
      <c r="R372" s="93"/>
      <c r="S372" s="95">
        <f>IFERROR(__xludf.DUMMYFUNCTION("""COMPUTED_VALUE"""),46123.796273148146)</f>
        <v>46123.79627</v>
      </c>
      <c r="T372" s="93"/>
      <c r="U372" s="93"/>
      <c r="V372" s="93"/>
      <c r="W372" s="93"/>
      <c r="X372" s="93"/>
      <c r="Y372" s="93"/>
      <c r="Z372" s="93"/>
    </row>
    <row r="373">
      <c r="A373" s="93" t="str">
        <f>IFERROR(__xludf.DUMMYFUNCTION("""COMPUTED_VALUE"""),"KIT-#17041")</f>
        <v>KIT-#17041</v>
      </c>
      <c r="B373" s="94">
        <f>IFERROR(__xludf.DUMMYFUNCTION("""COMPUTED_VALUE"""),46148.0)</f>
        <v>46148</v>
      </c>
      <c r="C373" s="93" t="str">
        <f>IFERROR(__xludf.DUMMYFUNCTION("""COMPUTED_VALUE"""),"Kit Delivery")</f>
        <v>Kit Delivery</v>
      </c>
      <c r="D373" s="93">
        <f>IFERROR(__xludf.DUMMYFUNCTION("""COMPUTED_VALUE"""),1.0)</f>
        <v>1</v>
      </c>
      <c r="E373" s="93" t="str">
        <f>IFERROR(__xludf.DUMMYFUNCTION("""COMPUTED_VALUE"""),"Lee")</f>
        <v>Lee</v>
      </c>
      <c r="F373" s="93">
        <f>IFERROR(__xludf.DUMMYFUNCTION("""COMPUTED_VALUE"""),3.0)</f>
        <v>3</v>
      </c>
      <c r="G373" s="93" t="str">
        <f>IFERROR(__xludf.DUMMYFUNCTION("""COMPUTED_VALUE"""),"Rosalie Faulkner")</f>
        <v>Rosalie Faulkner</v>
      </c>
      <c r="H373" s="93">
        <f>IFERROR(__xludf.DUMMYFUNCTION("""COMPUTED_VALUE"""),3.40690564E9)</f>
        <v>3406905640</v>
      </c>
      <c r="I373" s="93" t="str">
        <f>IFERROR(__xludf.DUMMYFUNCTION("""COMPUTED_VALUE"""),"3PM-5PM")</f>
        <v>3PM-5PM</v>
      </c>
      <c r="J373" s="93">
        <f>IFERROR(__xludf.DUMMYFUNCTION("""COMPUTED_VALUE"""),1.0)</f>
        <v>1</v>
      </c>
      <c r="K373" s="93" t="str">
        <f>IFERROR(__xludf.DUMMYFUNCTION("""COMPUTED_VALUE"""),"Complete")</f>
        <v>Complete</v>
      </c>
      <c r="L373" s="93"/>
      <c r="M373" s="94">
        <f>IFERROR(__xludf.DUMMYFUNCTION("""COMPUTED_VALUE"""),46123.76403935185)</f>
        <v>46123.76404</v>
      </c>
      <c r="N373" s="93">
        <f>IFERROR(__xludf.DUMMYFUNCTION("""COMPUTED_VALUE"""),60.0)</f>
        <v>60</v>
      </c>
      <c r="O373" s="93"/>
      <c r="P373" s="93" t="str">
        <f>IFERROR(__xludf.DUMMYFUNCTION("""COMPUTED_VALUE"""),"Kit Delivery")</f>
        <v>Kit Delivery</v>
      </c>
      <c r="Q373" s="93"/>
      <c r="R373" s="93"/>
      <c r="S373" s="95">
        <f>IFERROR(__xludf.DUMMYFUNCTION("""COMPUTED_VALUE"""),46123.796273148146)</f>
        <v>46123.79627</v>
      </c>
      <c r="T373" s="93"/>
      <c r="U373" s="93"/>
      <c r="V373" s="93"/>
      <c r="W373" s="93"/>
      <c r="X373" s="93"/>
      <c r="Y373" s="93"/>
      <c r="Z373" s="93"/>
    </row>
    <row r="374">
      <c r="A374" s="93" t="str">
        <f>IFERROR(__xludf.DUMMYFUNCTION("""COMPUTED_VALUE"""),"KIT-#17111")</f>
        <v>KIT-#17111</v>
      </c>
      <c r="B374" s="94">
        <f>IFERROR(__xludf.DUMMYFUNCTION("""COMPUTED_VALUE"""),46148.0)</f>
        <v>46148</v>
      </c>
      <c r="C374" s="93" t="str">
        <f>IFERROR(__xludf.DUMMYFUNCTION("""COMPUTED_VALUE"""),"Kit Delivery")</f>
        <v>Kit Delivery</v>
      </c>
      <c r="D374" s="93">
        <f>IFERROR(__xludf.DUMMYFUNCTION("""COMPUTED_VALUE"""),1.0)</f>
        <v>1</v>
      </c>
      <c r="E374" s="93" t="str">
        <f>IFERROR(__xludf.DUMMYFUNCTION("""COMPUTED_VALUE"""),"Lee")</f>
        <v>Lee</v>
      </c>
      <c r="F374" s="93">
        <f>IFERROR(__xludf.DUMMYFUNCTION("""COMPUTED_VALUE"""),304.0)</f>
        <v>304</v>
      </c>
      <c r="G374" s="93" t="str">
        <f>IFERROR(__xludf.DUMMYFUNCTION("""COMPUTED_VALUE"""),"Alan Yael Villegas")</f>
        <v>Alan Yael Villegas</v>
      </c>
      <c r="H374" s="93">
        <f>IFERROR(__xludf.DUMMYFUNCTION("""COMPUTED_VALUE"""),7.472468413E9)</f>
        <v>7472468413</v>
      </c>
      <c r="I374" s="93" t="str">
        <f>IFERROR(__xludf.DUMMYFUNCTION("""COMPUTED_VALUE"""),"12PM-2PM")</f>
        <v>12PM-2PM</v>
      </c>
      <c r="J374" s="93">
        <f>IFERROR(__xludf.DUMMYFUNCTION("""COMPUTED_VALUE"""),1.0)</f>
        <v>1</v>
      </c>
      <c r="K374" s="93" t="str">
        <f>IFERROR(__xludf.DUMMYFUNCTION("""COMPUTED_VALUE"""),"Complete")</f>
        <v>Complete</v>
      </c>
      <c r="L374" s="93"/>
      <c r="M374" s="94">
        <f>IFERROR(__xludf.DUMMYFUNCTION("""COMPUTED_VALUE"""),46123.76795138889)</f>
        <v>46123.76795</v>
      </c>
      <c r="N374" s="93">
        <f>IFERROR(__xludf.DUMMYFUNCTION("""COMPUTED_VALUE"""),66.0)</f>
        <v>66</v>
      </c>
      <c r="O374" s="93"/>
      <c r="P374" s="93" t="str">
        <f>IFERROR(__xludf.DUMMYFUNCTION("""COMPUTED_VALUE"""),"Kit Delivery")</f>
        <v>Kit Delivery</v>
      </c>
      <c r="Q374" s="93"/>
      <c r="R374" s="93"/>
      <c r="S374" s="95">
        <f>IFERROR(__xludf.DUMMYFUNCTION("""COMPUTED_VALUE"""),46123.796273148146)</f>
        <v>46123.79627</v>
      </c>
      <c r="T374" s="93"/>
      <c r="U374" s="93"/>
      <c r="V374" s="93"/>
      <c r="W374" s="93"/>
      <c r="X374" s="93"/>
      <c r="Y374" s="93"/>
      <c r="Z374" s="93"/>
    </row>
    <row r="375">
      <c r="A375" s="93" t="str">
        <f>IFERROR(__xludf.DUMMYFUNCTION("""COMPUTED_VALUE"""),"KIT-#16874")</f>
        <v>KIT-#16874</v>
      </c>
      <c r="B375" s="94">
        <f>IFERROR(__xludf.DUMMYFUNCTION("""COMPUTED_VALUE"""),46148.0)</f>
        <v>46148</v>
      </c>
      <c r="C375" s="93" t="str">
        <f>IFERROR(__xludf.DUMMYFUNCTION("""COMPUTED_VALUE"""),"Kit Delivery")</f>
        <v>Kit Delivery</v>
      </c>
      <c r="D375" s="93">
        <f>IFERROR(__xludf.DUMMYFUNCTION("""COMPUTED_VALUE"""),1.0)</f>
        <v>1</v>
      </c>
      <c r="E375" s="93" t="str">
        <f>IFERROR(__xludf.DUMMYFUNCTION("""COMPUTED_VALUE"""),"Lee")</f>
        <v>Lee</v>
      </c>
      <c r="F375" s="93">
        <f>IFERROR(__xludf.DUMMYFUNCTION("""COMPUTED_VALUE"""),223.0)</f>
        <v>223</v>
      </c>
      <c r="G375" s="93" t="str">
        <f>IFERROR(__xludf.DUMMYFUNCTION("""COMPUTED_VALUE"""),"Gregory Michaels")</f>
        <v>Gregory Michaels</v>
      </c>
      <c r="H375" s="93">
        <f>IFERROR(__xludf.DUMMYFUNCTION("""COMPUTED_VALUE"""),9.17626254E9)</f>
        <v>9176262540</v>
      </c>
      <c r="I375" s="93" t="str">
        <f>IFERROR(__xludf.DUMMYFUNCTION("""COMPUTED_VALUE"""),"1PM-3PM")</f>
        <v>1PM-3PM</v>
      </c>
      <c r="J375" s="93">
        <f>IFERROR(__xludf.DUMMYFUNCTION("""COMPUTED_VALUE"""),1.0)</f>
        <v>1</v>
      </c>
      <c r="K375" s="93" t="str">
        <f>IFERROR(__xludf.DUMMYFUNCTION("""COMPUTED_VALUE"""),"Complete")</f>
        <v>Complete</v>
      </c>
      <c r="L375" s="93"/>
      <c r="M375" s="94">
        <f>IFERROR(__xludf.DUMMYFUNCTION("""COMPUTED_VALUE"""),46123.772465277776)</f>
        <v>46123.77247</v>
      </c>
      <c r="N375" s="93">
        <f>IFERROR(__xludf.DUMMYFUNCTION("""COMPUTED_VALUE"""),65.0)</f>
        <v>65</v>
      </c>
      <c r="O375" s="93"/>
      <c r="P375" s="93" t="str">
        <f>IFERROR(__xludf.DUMMYFUNCTION("""COMPUTED_VALUE"""),"Kit Delivery")</f>
        <v>Kit Delivery</v>
      </c>
      <c r="Q375" s="93"/>
      <c r="R375" s="93"/>
      <c r="S375" s="95">
        <f>IFERROR(__xludf.DUMMYFUNCTION("""COMPUTED_VALUE"""),46123.796273148146)</f>
        <v>46123.79627</v>
      </c>
      <c r="T375" s="93"/>
      <c r="U375" s="93"/>
      <c r="V375" s="93"/>
      <c r="W375" s="93"/>
      <c r="X375" s="93"/>
      <c r="Y375" s="93"/>
      <c r="Z375" s="93"/>
    </row>
    <row r="376">
      <c r="A376" s="93" t="str">
        <f>IFERROR(__xludf.DUMMYFUNCTION("""COMPUTED_VALUE"""),"KIT-#16777")</f>
        <v>KIT-#16777</v>
      </c>
      <c r="B376" s="94">
        <f>IFERROR(__xludf.DUMMYFUNCTION("""COMPUTED_VALUE"""),46148.0)</f>
        <v>46148</v>
      </c>
      <c r="C376" s="93" t="str">
        <f>IFERROR(__xludf.DUMMYFUNCTION("""COMPUTED_VALUE"""),"Kit Delivery")</f>
        <v>Kit Delivery</v>
      </c>
      <c r="D376" s="93">
        <f>IFERROR(__xludf.DUMMYFUNCTION("""COMPUTED_VALUE"""),1.0)</f>
        <v>1</v>
      </c>
      <c r="E376" s="93" t="str">
        <f>IFERROR(__xludf.DUMMYFUNCTION("""COMPUTED_VALUE"""),"Myers")</f>
        <v>Myers</v>
      </c>
      <c r="F376" s="93">
        <f>IFERROR(__xludf.DUMMYFUNCTION("""COMPUTED_VALUE"""),231.0)</f>
        <v>231</v>
      </c>
      <c r="G376" s="93" t="str">
        <f>IFERROR(__xludf.DUMMYFUNCTION("""COMPUTED_VALUE"""),"Kaylie Stephens")</f>
        <v>Kaylie Stephens</v>
      </c>
      <c r="H376" s="93">
        <f>IFERROR(__xludf.DUMMYFUNCTION("""COMPUTED_VALUE"""),6.78325846E9)</f>
        <v>6783258460</v>
      </c>
      <c r="I376" s="93" t="str">
        <f>IFERROR(__xludf.DUMMYFUNCTION("""COMPUTED_VALUE"""),"9AM-11AM")</f>
        <v>9AM-11AM</v>
      </c>
      <c r="J376" s="93">
        <f>IFERROR(__xludf.DUMMYFUNCTION("""COMPUTED_VALUE"""),1.0)</f>
        <v>1</v>
      </c>
      <c r="K376" s="93" t="str">
        <f>IFERROR(__xludf.DUMMYFUNCTION("""COMPUTED_VALUE"""),"Complete")</f>
        <v>Complete</v>
      </c>
      <c r="L376" s="93"/>
      <c r="M376" s="94">
        <f>IFERROR(__xludf.DUMMYFUNCTION("""COMPUTED_VALUE"""),46123.79266203704)</f>
        <v>46123.79266</v>
      </c>
      <c r="N376" s="93">
        <f>IFERROR(__xludf.DUMMYFUNCTION("""COMPUTED_VALUE"""),10.0)</f>
        <v>10</v>
      </c>
      <c r="O376" s="93"/>
      <c r="P376" s="93" t="str">
        <f>IFERROR(__xludf.DUMMYFUNCTION("""COMPUTED_VALUE"""),"Kit Delivery")</f>
        <v>Kit Delivery</v>
      </c>
      <c r="Q376" s="93"/>
      <c r="R376" s="93"/>
      <c r="S376" s="95">
        <f>IFERROR(__xludf.DUMMYFUNCTION("""COMPUTED_VALUE"""),46123.796273148146)</f>
        <v>46123.79627</v>
      </c>
      <c r="T376" s="93"/>
      <c r="U376" s="93"/>
      <c r="V376" s="93"/>
      <c r="W376" s="93"/>
      <c r="X376" s="93"/>
      <c r="Y376" s="93"/>
      <c r="Z376" s="93"/>
    </row>
    <row r="377">
      <c r="A377" s="93" t="str">
        <f>IFERROR(__xludf.DUMMYFUNCTION("""COMPUTED_VALUE"""),"KIT-#17045")</f>
        <v>KIT-#17045</v>
      </c>
      <c r="B377" s="94">
        <f>IFERROR(__xludf.DUMMYFUNCTION("""COMPUTED_VALUE"""),46148.0)</f>
        <v>46148</v>
      </c>
      <c r="C377" s="93" t="str">
        <f>IFERROR(__xludf.DUMMYFUNCTION("""COMPUTED_VALUE"""),"Kit Delivery")</f>
        <v>Kit Delivery</v>
      </c>
      <c r="D377" s="93">
        <f>IFERROR(__xludf.DUMMYFUNCTION("""COMPUTED_VALUE"""),1.0)</f>
        <v>1</v>
      </c>
      <c r="E377" s="93" t="str">
        <f>IFERROR(__xludf.DUMMYFUNCTION("""COMPUTED_VALUE"""),"Myers")</f>
        <v>Myers</v>
      </c>
      <c r="F377" s="93">
        <f>IFERROR(__xludf.DUMMYFUNCTION("""COMPUTED_VALUE"""),241.0)</f>
        <v>241</v>
      </c>
      <c r="G377" s="93" t="str">
        <f>IFERROR(__xludf.DUMMYFUNCTION("""COMPUTED_VALUE"""),"Yuki Shen")</f>
        <v>Yuki Shen</v>
      </c>
      <c r="H377" s="93">
        <f>IFERROR(__xludf.DUMMYFUNCTION("""COMPUTED_VALUE"""),3.145656153E9)</f>
        <v>3145656153</v>
      </c>
      <c r="I377" s="93" t="str">
        <f>IFERROR(__xludf.DUMMYFUNCTION("""COMPUTED_VALUE"""),"3PM-5PM")</f>
        <v>3PM-5PM</v>
      </c>
      <c r="J377" s="93">
        <f>IFERROR(__xludf.DUMMYFUNCTION("""COMPUTED_VALUE"""),1.0)</f>
        <v>1</v>
      </c>
      <c r="K377" s="93" t="str">
        <f>IFERROR(__xludf.DUMMYFUNCTION("""COMPUTED_VALUE"""),"Complete")</f>
        <v>Complete</v>
      </c>
      <c r="L377" s="93"/>
      <c r="M377" s="94">
        <f>IFERROR(__xludf.DUMMYFUNCTION("""COMPUTED_VALUE"""),46123.793958333335)</f>
        <v>46123.79396</v>
      </c>
      <c r="N377" s="93">
        <f>IFERROR(__xludf.DUMMYFUNCTION("""COMPUTED_VALUE"""),11.0)</f>
        <v>11</v>
      </c>
      <c r="O377" s="93"/>
      <c r="P377" s="93" t="str">
        <f>IFERROR(__xludf.DUMMYFUNCTION("""COMPUTED_VALUE"""),"Kit Delivery")</f>
        <v>Kit Delivery</v>
      </c>
      <c r="Q377" s="93"/>
      <c r="R377" s="93"/>
      <c r="S377" s="95">
        <f>IFERROR(__xludf.DUMMYFUNCTION("""COMPUTED_VALUE"""),46123.796273148146)</f>
        <v>46123.79627</v>
      </c>
      <c r="T377" s="93"/>
      <c r="U377" s="93"/>
      <c r="V377" s="93"/>
      <c r="W377" s="93"/>
      <c r="X377" s="93"/>
      <c r="Y377" s="93"/>
      <c r="Z377" s="93"/>
    </row>
    <row r="378">
      <c r="A378" s="93" t="str">
        <f>IFERROR(__xludf.DUMMYFUNCTION("""COMPUTED_VALUE"""),"KIT-#17208")</f>
        <v>KIT-#17208</v>
      </c>
      <c r="B378" s="94">
        <f>IFERROR(__xludf.DUMMYFUNCTION("""COMPUTED_VALUE"""),46148.0)</f>
        <v>46148</v>
      </c>
      <c r="C378" s="93" t="str">
        <f>IFERROR(__xludf.DUMMYFUNCTION("""COMPUTED_VALUE"""),"Kit Delivery")</f>
        <v>Kit Delivery</v>
      </c>
      <c r="D378" s="93">
        <f>IFERROR(__xludf.DUMMYFUNCTION("""COMPUTED_VALUE"""),1.0)</f>
        <v>1</v>
      </c>
      <c r="E378" s="93" t="str">
        <f>IFERROR(__xludf.DUMMYFUNCTION("""COMPUTED_VALUE"""),"Myers")</f>
        <v>Myers</v>
      </c>
      <c r="F378" s="93">
        <f>IFERROR(__xludf.DUMMYFUNCTION("""COMPUTED_VALUE"""),343.0)</f>
        <v>343</v>
      </c>
      <c r="G378" s="93" t="str">
        <f>IFERROR(__xludf.DUMMYFUNCTION("""COMPUTED_VALUE"""),"Max Zeller")</f>
        <v>Max Zeller</v>
      </c>
      <c r="H378" s="93">
        <f>IFERROR(__xludf.DUMMYFUNCTION("""COMPUTED_VALUE"""),6.50241876E9)</f>
        <v>6502418760</v>
      </c>
      <c r="I378" s="93" t="str">
        <f>IFERROR(__xludf.DUMMYFUNCTION("""COMPUTED_VALUE"""),"12PM-2PM")</f>
        <v>12PM-2PM</v>
      </c>
      <c r="J378" s="93">
        <f>IFERROR(__xludf.DUMMYFUNCTION("""COMPUTED_VALUE"""),1.0)</f>
        <v>1</v>
      </c>
      <c r="K378" s="93" t="str">
        <f>IFERROR(__xludf.DUMMYFUNCTION("""COMPUTED_VALUE"""),"Complete")</f>
        <v>Complete</v>
      </c>
      <c r="L378" s="93"/>
      <c r="M378" s="94">
        <f>IFERROR(__xludf.DUMMYFUNCTION("""COMPUTED_VALUE"""),46123.795960648145)</f>
        <v>46123.79596</v>
      </c>
      <c r="N378" s="93">
        <f>IFERROR(__xludf.DUMMYFUNCTION("""COMPUTED_VALUE"""),13.0)</f>
        <v>13</v>
      </c>
      <c r="O378" s="93"/>
      <c r="P378" s="93" t="str">
        <f>IFERROR(__xludf.DUMMYFUNCTION("""COMPUTED_VALUE"""),"Kit Delivery")</f>
        <v>Kit Delivery</v>
      </c>
      <c r="Q378" s="93"/>
      <c r="R378" s="93"/>
      <c r="S378" s="95">
        <f>IFERROR(__xludf.DUMMYFUNCTION("""COMPUTED_VALUE"""),46123.796273148146)</f>
        <v>46123.79627</v>
      </c>
      <c r="T378" s="93"/>
      <c r="U378" s="93"/>
      <c r="V378" s="93"/>
      <c r="W378" s="93"/>
      <c r="X378" s="93"/>
      <c r="Y378" s="93"/>
      <c r="Z378" s="93"/>
    </row>
    <row r="379">
      <c r="A379" s="93" t="str">
        <f>IFERROR(__xludf.DUMMYFUNCTION("""COMPUTED_VALUE"""),"KIT-#17183")</f>
        <v>KIT-#17183</v>
      </c>
      <c r="B379" s="94">
        <f>IFERROR(__xludf.DUMMYFUNCTION("""COMPUTED_VALUE"""),46148.0)</f>
        <v>46148</v>
      </c>
      <c r="C379" s="93" t="str">
        <f>IFERROR(__xludf.DUMMYFUNCTION("""COMPUTED_VALUE"""),"Kit Delivery")</f>
        <v>Kit Delivery</v>
      </c>
      <c r="D379" s="93">
        <f>IFERROR(__xludf.DUMMYFUNCTION("""COMPUTED_VALUE"""),1.0)</f>
        <v>1</v>
      </c>
      <c r="E379" s="93" t="str">
        <f>IFERROR(__xludf.DUMMYFUNCTION("""COMPUTED_VALUE"""),"Hitzeman")</f>
        <v>Hitzeman</v>
      </c>
      <c r="F379" s="93">
        <f>IFERROR(__xludf.DUMMYFUNCTION("""COMPUTED_VALUE"""),222.0)</f>
        <v>222</v>
      </c>
      <c r="G379" s="93" t="str">
        <f>IFERROR(__xludf.DUMMYFUNCTION("""COMPUTED_VALUE"""),"Paulina Reznikova")</f>
        <v>Paulina Reznikova</v>
      </c>
      <c r="H379" s="93">
        <f>IFERROR(__xludf.DUMMYFUNCTION("""COMPUTED_VALUE"""),9.175848891E9)</f>
        <v>9175848891</v>
      </c>
      <c r="I379" s="93" t="str">
        <f>IFERROR(__xludf.DUMMYFUNCTION("""COMPUTED_VALUE"""),"11AM-1PM")</f>
        <v>11AM-1PM</v>
      </c>
      <c r="J379" s="93">
        <f>IFERROR(__xludf.DUMMYFUNCTION("""COMPUTED_VALUE"""),1.0)</f>
        <v>1</v>
      </c>
      <c r="K379" s="93" t="str">
        <f>IFERROR(__xludf.DUMMYFUNCTION("""COMPUTED_VALUE"""),"Complete")</f>
        <v>Complete</v>
      </c>
      <c r="L379" s="93" t="str">
        <f>IFERROR(__xludf.DUMMYFUNCTION("""COMPUTED_VALUE"""),"check JF if confused")</f>
        <v>check JF if confused</v>
      </c>
      <c r="M379" s="94">
        <f>IFERROR(__xludf.DUMMYFUNCTION("""COMPUTED_VALUE"""),46123.80399305555)</f>
        <v>46123.80399</v>
      </c>
      <c r="N379" s="93">
        <f>IFERROR(__xludf.DUMMYFUNCTION("""COMPUTED_VALUE"""),2.0)</f>
        <v>2</v>
      </c>
      <c r="O379" s="93"/>
      <c r="P379" s="93" t="str">
        <f>IFERROR(__xludf.DUMMYFUNCTION("""COMPUTED_VALUE"""),"Kit Delivery")</f>
        <v>Kit Delivery</v>
      </c>
      <c r="Q379" s="93"/>
      <c r="R379" s="93"/>
      <c r="S379" s="95">
        <f>IFERROR(__xludf.DUMMYFUNCTION("""COMPUTED_VALUE"""),46124.4096875)</f>
        <v>46124.40969</v>
      </c>
      <c r="T379" s="93"/>
      <c r="U379" s="93"/>
      <c r="V379" s="93"/>
      <c r="W379" s="93"/>
      <c r="X379" s="93"/>
      <c r="Y379" s="93"/>
      <c r="Z379" s="93"/>
    </row>
    <row r="380">
      <c r="A380" s="93" t="str">
        <f>IFERROR(__xludf.DUMMYFUNCTION("""COMPUTED_VALUE"""),"KIT-#17270")</f>
        <v>KIT-#17270</v>
      </c>
      <c r="B380" s="94">
        <f>IFERROR(__xludf.DUMMYFUNCTION("""COMPUTED_VALUE"""),46148.0)</f>
        <v>46148</v>
      </c>
      <c r="C380" s="93" t="str">
        <f>IFERROR(__xludf.DUMMYFUNCTION("""COMPUTED_VALUE"""),"Kit Delivery")</f>
        <v>Kit Delivery</v>
      </c>
      <c r="D380" s="93">
        <f>IFERROR(__xludf.DUMMYFUNCTION("""COMPUTED_VALUE"""),1.0)</f>
        <v>1</v>
      </c>
      <c r="E380" s="93" t="str">
        <f>IFERROR(__xludf.DUMMYFUNCTION("""COMPUTED_VALUE"""),"Eliot A")</f>
        <v>Eliot A</v>
      </c>
      <c r="F380" s="93">
        <f>IFERROR(__xludf.DUMMYFUNCTION("""COMPUTED_VALUE"""),1000.0)</f>
        <v>1000</v>
      </c>
      <c r="G380" s="93" t="str">
        <f>IFERROR(__xludf.DUMMYFUNCTION("""COMPUTED_VALUE"""),"Ilana Vainstein")</f>
        <v>Ilana Vainstein</v>
      </c>
      <c r="H380" s="93">
        <f>IFERROR(__xludf.DUMMYFUNCTION("""COMPUTED_VALUE"""),2.029576757E9)</f>
        <v>2029576757</v>
      </c>
      <c r="I380" s="93" t="str">
        <f>IFERROR(__xludf.DUMMYFUNCTION("""COMPUTED_VALUE"""),"3PM-5PM")</f>
        <v>3PM-5PM</v>
      </c>
      <c r="J380" s="93">
        <f>IFERROR(__xludf.DUMMYFUNCTION("""COMPUTED_VALUE"""),1.0)</f>
        <v>1</v>
      </c>
      <c r="K380" s="93" t="str">
        <f>IFERROR(__xludf.DUMMYFUNCTION("""COMPUTED_VALUE"""),"Complete")</f>
        <v>Complete</v>
      </c>
      <c r="L380" s="93"/>
      <c r="M380" s="94">
        <f>IFERROR(__xludf.DUMMYFUNCTION("""COMPUTED_VALUE"""),46123.8783912037)</f>
        <v>46123.87839</v>
      </c>
      <c r="N380" s="93">
        <f>IFERROR(__xludf.DUMMYFUNCTION("""COMPUTED_VALUE"""),16.0)</f>
        <v>16</v>
      </c>
      <c r="O380" s="93"/>
      <c r="P380" s="93" t="str">
        <f>IFERROR(__xludf.DUMMYFUNCTION("""COMPUTED_VALUE"""),"Kit Delivery")</f>
        <v>Kit Delivery</v>
      </c>
      <c r="Q380" s="93"/>
      <c r="R380" s="93"/>
      <c r="S380" s="95">
        <f>IFERROR(__xludf.DUMMYFUNCTION("""COMPUTED_VALUE"""),46124.4096875)</f>
        <v>46124.40969</v>
      </c>
      <c r="T380" s="93"/>
      <c r="U380" s="93"/>
      <c r="V380" s="93"/>
      <c r="W380" s="93"/>
      <c r="X380" s="93"/>
      <c r="Y380" s="93"/>
      <c r="Z380" s="93"/>
    </row>
    <row r="381">
      <c r="A381" s="93" t="str">
        <f>IFERROR(__xludf.DUMMYFUNCTION("""COMPUTED_VALUE"""),"KIT-#16989")</f>
        <v>KIT-#16989</v>
      </c>
      <c r="B381" s="94">
        <f>IFERROR(__xludf.DUMMYFUNCTION("""COMPUTED_VALUE"""),46148.0)</f>
        <v>46148</v>
      </c>
      <c r="C381" s="93" t="str">
        <f>IFERROR(__xludf.DUMMYFUNCTION("""COMPUTED_VALUE"""),"Kit Delivery")</f>
        <v>Kit Delivery</v>
      </c>
      <c r="D381" s="93">
        <f>IFERROR(__xludf.DUMMYFUNCTION("""COMPUTED_VALUE"""),1.0)</f>
        <v>1</v>
      </c>
      <c r="E381" s="93" t="str">
        <f>IFERROR(__xludf.DUMMYFUNCTION("""COMPUTED_VALUE"""),"Eliot A")</f>
        <v>Eliot A</v>
      </c>
      <c r="F381" s="93">
        <f>IFERROR(__xludf.DUMMYFUNCTION("""COMPUTED_VALUE"""),2000.0)</f>
        <v>2000</v>
      </c>
      <c r="G381" s="93" t="str">
        <f>IFERROR(__xludf.DUMMYFUNCTION("""COMPUTED_VALUE"""),"Vidushi Challa")</f>
        <v>Vidushi Challa</v>
      </c>
      <c r="H381" s="93">
        <f>IFERROR(__xludf.DUMMYFUNCTION("""COMPUTED_VALUE"""),3.147174118E9)</f>
        <v>3147174118</v>
      </c>
      <c r="I381" s="93" t="str">
        <f>IFERROR(__xludf.DUMMYFUNCTION("""COMPUTED_VALUE"""),"12PM-2PM")</f>
        <v>12PM-2PM</v>
      </c>
      <c r="J381" s="93">
        <f>IFERROR(__xludf.DUMMYFUNCTION("""COMPUTED_VALUE"""),2.0)</f>
        <v>2</v>
      </c>
      <c r="K381" s="93" t="str">
        <f>IFERROR(__xludf.DUMMYFUNCTION("""COMPUTED_VALUE"""),"Complete")</f>
        <v>Complete</v>
      </c>
      <c r="L381" s="93"/>
      <c r="M381" s="94">
        <f>IFERROR(__xludf.DUMMYFUNCTION("""COMPUTED_VALUE"""),46123.880891203706)</f>
        <v>46123.88089</v>
      </c>
      <c r="N381" s="93">
        <f>IFERROR(__xludf.DUMMYFUNCTION("""COMPUTED_VALUE"""),20.0)</f>
        <v>20</v>
      </c>
      <c r="O381" s="93"/>
      <c r="P381" s="93" t="str">
        <f>IFERROR(__xludf.DUMMYFUNCTION("""COMPUTED_VALUE"""),"Kit Delivery")</f>
        <v>Kit Delivery</v>
      </c>
      <c r="Q381" s="93"/>
      <c r="R381" s="93"/>
      <c r="S381" s="95">
        <f>IFERROR(__xludf.DUMMYFUNCTION("""COMPUTED_VALUE"""),46124.4096875)</f>
        <v>46124.40969</v>
      </c>
      <c r="T381" s="93"/>
      <c r="U381" s="93"/>
      <c r="V381" s="93"/>
      <c r="W381" s="93"/>
      <c r="X381" s="93"/>
      <c r="Y381" s="93"/>
      <c r="Z381" s="93"/>
    </row>
    <row r="382">
      <c r="A382" s="93" t="str">
        <f>IFERROR(__xludf.DUMMYFUNCTION("""COMPUTED_VALUE"""),"KIT-#17340")</f>
        <v>KIT-#17340</v>
      </c>
      <c r="B382" s="94">
        <f>IFERROR(__xludf.DUMMYFUNCTION("""COMPUTED_VALUE"""),46148.0)</f>
        <v>46148</v>
      </c>
      <c r="C382" s="93" t="str">
        <f>IFERROR(__xludf.DUMMYFUNCTION("""COMPUTED_VALUE"""),"Kit Delivery")</f>
        <v>Kit Delivery</v>
      </c>
      <c r="D382" s="93">
        <f>IFERROR(__xludf.DUMMYFUNCTION("""COMPUTED_VALUE"""),1.0)</f>
        <v>1</v>
      </c>
      <c r="E382" s="93" t="str">
        <f>IFERROR(__xludf.DUMMYFUNCTION("""COMPUTED_VALUE"""),"Mudd")</f>
        <v>Mudd</v>
      </c>
      <c r="F382" s="93">
        <f>IFERROR(__xludf.DUMMYFUNCTION("""COMPUTED_VALUE"""),231.0)</f>
        <v>231</v>
      </c>
      <c r="G382" s="93" t="str">
        <f>IFERROR(__xludf.DUMMYFUNCTION("""COMPUTED_VALUE"""),"Emily Shin")</f>
        <v>Emily Shin</v>
      </c>
      <c r="H382" s="93">
        <f>IFERROR(__xludf.DUMMYFUNCTION("""COMPUTED_VALUE"""),8.062399265E9)</f>
        <v>8062399265</v>
      </c>
      <c r="I382" s="93" t="str">
        <f>IFERROR(__xludf.DUMMYFUNCTION("""COMPUTED_VALUE"""),"2PM-4PM")</f>
        <v>2PM-4PM</v>
      </c>
      <c r="J382" s="93">
        <f>IFERROR(__xludf.DUMMYFUNCTION("""COMPUTED_VALUE"""),1.0)</f>
        <v>1</v>
      </c>
      <c r="K382" s="93" t="str">
        <f>IFERROR(__xludf.DUMMYFUNCTION("""COMPUTED_VALUE"""),"Complete")</f>
        <v>Complete</v>
      </c>
      <c r="L382" s="93"/>
      <c r="M382" s="94">
        <f>IFERROR(__xludf.DUMMYFUNCTION("""COMPUTED_VALUE"""),46123.9365162037)</f>
        <v>46123.93652</v>
      </c>
      <c r="N382" s="93">
        <f>IFERROR(__xludf.DUMMYFUNCTION("""COMPUTED_VALUE"""),55.0)</f>
        <v>55</v>
      </c>
      <c r="O382" s="93"/>
      <c r="P382" s="93" t="str">
        <f>IFERROR(__xludf.DUMMYFUNCTION("""COMPUTED_VALUE"""),"Kit Delivery")</f>
        <v>Kit Delivery</v>
      </c>
      <c r="Q382" s="93"/>
      <c r="R382" s="93"/>
      <c r="S382" s="95">
        <f>IFERROR(__xludf.DUMMYFUNCTION("""COMPUTED_VALUE"""),46124.4096875)</f>
        <v>46124.40969</v>
      </c>
      <c r="T382" s="93"/>
      <c r="U382" s="93"/>
      <c r="V382" s="93"/>
      <c r="W382" s="93"/>
      <c r="X382" s="93"/>
      <c r="Y382" s="93"/>
      <c r="Z382" s="93"/>
    </row>
    <row r="383">
      <c r="A383" s="93" t="str">
        <f>IFERROR(__xludf.DUMMYFUNCTION("""COMPUTED_VALUE"""),"KIT-#17347")</f>
        <v>KIT-#17347</v>
      </c>
      <c r="B383" s="94">
        <f>IFERROR(__xludf.DUMMYFUNCTION("""COMPUTED_VALUE"""),46148.0)</f>
        <v>46148</v>
      </c>
      <c r="C383" s="93" t="str">
        <f>IFERROR(__xludf.DUMMYFUNCTION("""COMPUTED_VALUE"""),"Kit Delivery")</f>
        <v>Kit Delivery</v>
      </c>
      <c r="D383" s="93">
        <f>IFERROR(__xludf.DUMMYFUNCTION("""COMPUTED_VALUE"""),1.0)</f>
        <v>1</v>
      </c>
      <c r="E383" s="93" t="str">
        <f>IFERROR(__xludf.DUMMYFUNCTION("""COMPUTED_VALUE"""),"Mudd")</f>
        <v>Mudd</v>
      </c>
      <c r="F383" s="93">
        <f>IFERROR(__xludf.DUMMYFUNCTION("""COMPUTED_VALUE"""),231.0)</f>
        <v>231</v>
      </c>
      <c r="G383" s="93" t="str">
        <f>IFERROR(__xludf.DUMMYFUNCTION("""COMPUTED_VALUE"""),"Kaylee Baek")</f>
        <v>Kaylee Baek</v>
      </c>
      <c r="H383" s="93">
        <f>IFERROR(__xludf.DUMMYFUNCTION("""COMPUTED_VALUE"""),7.033093337E9)</f>
        <v>7033093337</v>
      </c>
      <c r="I383" s="93" t="str">
        <f>IFERROR(__xludf.DUMMYFUNCTION("""COMPUTED_VALUE"""),"1PM-3PM")</f>
        <v>1PM-3PM</v>
      </c>
      <c r="J383" s="93">
        <f>IFERROR(__xludf.DUMMYFUNCTION("""COMPUTED_VALUE"""),2.0)</f>
        <v>2</v>
      </c>
      <c r="K383" s="93" t="str">
        <f>IFERROR(__xludf.DUMMYFUNCTION("""COMPUTED_VALUE"""),"Complete")</f>
        <v>Complete</v>
      </c>
      <c r="L383" s="93"/>
      <c r="M383" s="94">
        <f>IFERROR(__xludf.DUMMYFUNCTION("""COMPUTED_VALUE"""),46123.93653935185)</f>
        <v>46123.93654</v>
      </c>
      <c r="N383" s="93">
        <f>IFERROR(__xludf.DUMMYFUNCTION("""COMPUTED_VALUE"""),56.0)</f>
        <v>56</v>
      </c>
      <c r="O383" s="93"/>
      <c r="P383" s="93" t="str">
        <f>IFERROR(__xludf.DUMMYFUNCTION("""COMPUTED_VALUE"""),"Kit Delivery")</f>
        <v>Kit Delivery</v>
      </c>
      <c r="Q383" s="93"/>
      <c r="R383" s="93"/>
      <c r="S383" s="95">
        <f>IFERROR(__xludf.DUMMYFUNCTION("""COMPUTED_VALUE"""),46124.4096875)</f>
        <v>46124.40969</v>
      </c>
      <c r="T383" s="93"/>
      <c r="U383" s="93"/>
      <c r="V383" s="93"/>
      <c r="W383" s="93"/>
      <c r="X383" s="93"/>
      <c r="Y383" s="93"/>
      <c r="Z383" s="93"/>
    </row>
    <row r="384">
      <c r="A384" s="93" t="str">
        <f>IFERROR(__xludf.DUMMYFUNCTION("""COMPUTED_VALUE"""),"KIT-#17171")</f>
        <v>KIT-#17171</v>
      </c>
      <c r="B384" s="94">
        <f>IFERROR(__xludf.DUMMYFUNCTION("""COMPUTED_VALUE"""),46148.0)</f>
        <v>46148</v>
      </c>
      <c r="C384" s="93" t="str">
        <f>IFERROR(__xludf.DUMMYFUNCTION("""COMPUTED_VALUE"""),"Kit Delivery")</f>
        <v>Kit Delivery</v>
      </c>
      <c r="D384" s="93">
        <f>IFERROR(__xludf.DUMMYFUNCTION("""COMPUTED_VALUE"""),1.0)</f>
        <v>1</v>
      </c>
      <c r="E384" s="93" t="str">
        <f>IFERROR(__xludf.DUMMYFUNCTION("""COMPUTED_VALUE"""),"Mudd")</f>
        <v>Mudd</v>
      </c>
      <c r="F384" s="93">
        <f>IFERROR(__xludf.DUMMYFUNCTION("""COMPUTED_VALUE"""),431.0)</f>
        <v>431</v>
      </c>
      <c r="G384" s="93" t="str">
        <f>IFERROR(__xludf.DUMMYFUNCTION("""COMPUTED_VALUE"""),"Eleanor Hsueh")</f>
        <v>Eleanor Hsueh</v>
      </c>
      <c r="H384" s="93">
        <f>IFERROR(__xludf.DUMMYFUNCTION("""COMPUTED_VALUE"""),9.01356683E9)</f>
        <v>9013566830</v>
      </c>
      <c r="I384" s="93" t="str">
        <f>IFERROR(__xludf.DUMMYFUNCTION("""COMPUTED_VALUE"""),"9AM-11AM")</f>
        <v>9AM-11AM</v>
      </c>
      <c r="J384" s="93">
        <f>IFERROR(__xludf.DUMMYFUNCTION("""COMPUTED_VALUE"""),1.0)</f>
        <v>1</v>
      </c>
      <c r="K384" s="93" t="str">
        <f>IFERROR(__xludf.DUMMYFUNCTION("""COMPUTED_VALUE"""),"Complete")</f>
        <v>Complete</v>
      </c>
      <c r="L384" s="93"/>
      <c r="M384" s="94">
        <f>IFERROR(__xludf.DUMMYFUNCTION("""COMPUTED_VALUE"""),46123.93800925926)</f>
        <v>46123.93801</v>
      </c>
      <c r="N384" s="93">
        <f>IFERROR(__xludf.DUMMYFUNCTION("""COMPUTED_VALUE"""),58.0)</f>
        <v>58</v>
      </c>
      <c r="O384" s="93"/>
      <c r="P384" s="93" t="str">
        <f>IFERROR(__xludf.DUMMYFUNCTION("""COMPUTED_VALUE"""),"Kit Delivery")</f>
        <v>Kit Delivery</v>
      </c>
      <c r="Q384" s="93"/>
      <c r="R384" s="93"/>
      <c r="S384" s="95">
        <f>IFERROR(__xludf.DUMMYFUNCTION("""COMPUTED_VALUE"""),46124.4096875)</f>
        <v>46124.40969</v>
      </c>
      <c r="T384" s="93"/>
      <c r="U384" s="93"/>
      <c r="V384" s="93"/>
      <c r="W384" s="93"/>
      <c r="X384" s="93"/>
      <c r="Y384" s="93"/>
      <c r="Z384" s="93"/>
    </row>
    <row r="385">
      <c r="A385" s="93" t="str">
        <f>IFERROR(__xludf.DUMMYFUNCTION("""COMPUTED_VALUE"""),"KIT-#17084")</f>
        <v>KIT-#17084</v>
      </c>
      <c r="B385" s="94">
        <f>IFERROR(__xludf.DUMMYFUNCTION("""COMPUTED_VALUE"""),46148.0)</f>
        <v>46148</v>
      </c>
      <c r="C385" s="93" t="str">
        <f>IFERROR(__xludf.DUMMYFUNCTION("""COMPUTED_VALUE"""),"Kit Delivery")</f>
        <v>Kit Delivery</v>
      </c>
      <c r="D385" s="93">
        <f>IFERROR(__xludf.DUMMYFUNCTION("""COMPUTED_VALUE"""),1.0)</f>
        <v>1</v>
      </c>
      <c r="E385" s="93" t="str">
        <f>IFERROR(__xludf.DUMMYFUNCTION("""COMPUTED_VALUE"""),"Dardick")</f>
        <v>Dardick</v>
      </c>
      <c r="F385" s="93">
        <f>IFERROR(__xludf.DUMMYFUNCTION("""COMPUTED_VALUE"""),2211.0)</f>
        <v>2211</v>
      </c>
      <c r="G385" s="93" t="str">
        <f>IFERROR(__xludf.DUMMYFUNCTION("""COMPUTED_VALUE"""),"Victoria Liu")</f>
        <v>Victoria Liu</v>
      </c>
      <c r="H385" s="93">
        <f>IFERROR(__xludf.DUMMYFUNCTION("""COMPUTED_VALUE"""),8.329528794E9)</f>
        <v>8329528794</v>
      </c>
      <c r="I385" s="93" t="str">
        <f>IFERROR(__xludf.DUMMYFUNCTION("""COMPUTED_VALUE"""),"9AM-11AM")</f>
        <v>9AM-11AM</v>
      </c>
      <c r="J385" s="93">
        <f>IFERROR(__xludf.DUMMYFUNCTION("""COMPUTED_VALUE"""),2.0)</f>
        <v>2</v>
      </c>
      <c r="K385" s="93" t="str">
        <f>IFERROR(__xludf.DUMMYFUNCTION("""COMPUTED_VALUE"""),"Complete")</f>
        <v>Complete</v>
      </c>
      <c r="L385" s="93"/>
      <c r="M385" s="94">
        <f>IFERROR(__xludf.DUMMYFUNCTION("""COMPUTED_VALUE"""),46124.02679398148)</f>
        <v>46124.02679</v>
      </c>
      <c r="N385" s="93">
        <f>IFERROR(__xludf.DUMMYFUNCTION("""COMPUTED_VALUE"""),92.0)</f>
        <v>92</v>
      </c>
      <c r="O385" s="93"/>
      <c r="P385" s="93" t="str">
        <f>IFERROR(__xludf.DUMMYFUNCTION("""COMPUTED_VALUE"""),"Kit Delivery")</f>
        <v>Kit Delivery</v>
      </c>
      <c r="Q385" s="93"/>
      <c r="R385" s="93"/>
      <c r="S385" s="95">
        <f>IFERROR(__xludf.DUMMYFUNCTION("""COMPUTED_VALUE"""),46124.4096875)</f>
        <v>46124.40969</v>
      </c>
      <c r="T385" s="93"/>
      <c r="U385" s="93"/>
      <c r="V385" s="93"/>
      <c r="W385" s="93"/>
      <c r="X385" s="93"/>
      <c r="Y385" s="93"/>
      <c r="Z385" s="93"/>
    </row>
    <row r="386">
      <c r="A386" s="93" t="str">
        <f>IFERROR(__xludf.DUMMYFUNCTION("""COMPUTED_VALUE"""),"KIT-#17249")</f>
        <v>KIT-#17249</v>
      </c>
      <c r="B386" s="94">
        <f>IFERROR(__xludf.DUMMYFUNCTION("""COMPUTED_VALUE"""),46148.0)</f>
        <v>46148</v>
      </c>
      <c r="C386" s="93" t="str">
        <f>IFERROR(__xludf.DUMMYFUNCTION("""COMPUTED_VALUE"""),"Kit Delivery")</f>
        <v>Kit Delivery</v>
      </c>
      <c r="D386" s="93">
        <f>IFERROR(__xludf.DUMMYFUNCTION("""COMPUTED_VALUE"""),1.0)</f>
        <v>1</v>
      </c>
      <c r="E386" s="93" t="str">
        <f>IFERROR(__xludf.DUMMYFUNCTION("""COMPUTED_VALUE"""),"Dardick")</f>
        <v>Dardick</v>
      </c>
      <c r="F386" s="93" t="str">
        <f>IFERROR(__xludf.DUMMYFUNCTION("""COMPUTED_VALUE"""),"1105b")</f>
        <v>1105b</v>
      </c>
      <c r="G386" s="93" t="str">
        <f>IFERROR(__xludf.DUMMYFUNCTION("""COMPUTED_VALUE"""),"Eli Gaffin")</f>
        <v>Eli Gaffin</v>
      </c>
      <c r="H386" s="93">
        <f>IFERROR(__xludf.DUMMYFUNCTION("""COMPUTED_VALUE"""),6.172855518E9)</f>
        <v>6172855518</v>
      </c>
      <c r="I386" s="93" t="str">
        <f>IFERROR(__xludf.DUMMYFUNCTION("""COMPUTED_VALUE"""),"10AM-12PM")</f>
        <v>10AM-12PM</v>
      </c>
      <c r="J386" s="93">
        <f>IFERROR(__xludf.DUMMYFUNCTION("""COMPUTED_VALUE"""),1.0)</f>
        <v>1</v>
      </c>
      <c r="K386" s="93" t="str">
        <f>IFERROR(__xludf.DUMMYFUNCTION("""COMPUTED_VALUE"""),"Complete")</f>
        <v>Complete</v>
      </c>
      <c r="L386" s="93"/>
      <c r="M386" s="94">
        <f>IFERROR(__xludf.DUMMYFUNCTION("""COMPUTED_VALUE"""),46124.030127314814)</f>
        <v>46124.03013</v>
      </c>
      <c r="N386" s="93">
        <f>IFERROR(__xludf.DUMMYFUNCTION("""COMPUTED_VALUE"""),89.0)</f>
        <v>89</v>
      </c>
      <c r="O386" s="93"/>
      <c r="P386" s="93" t="str">
        <f>IFERROR(__xludf.DUMMYFUNCTION("""COMPUTED_VALUE"""),"Kit Delivery")</f>
        <v>Kit Delivery</v>
      </c>
      <c r="Q386" s="93"/>
      <c r="R386" s="93"/>
      <c r="S386" s="95">
        <f>IFERROR(__xludf.DUMMYFUNCTION("""COMPUTED_VALUE"""),46124.4096875)</f>
        <v>46124.40969</v>
      </c>
      <c r="T386" s="93"/>
      <c r="U386" s="93"/>
      <c r="V386" s="93"/>
      <c r="W386" s="93"/>
      <c r="X386" s="93"/>
      <c r="Y386" s="93"/>
      <c r="Z386" s="93"/>
    </row>
    <row r="387">
      <c r="A387" s="93" t="str">
        <f>IFERROR(__xludf.DUMMYFUNCTION("""COMPUTED_VALUE"""),"KIT-#17133")</f>
        <v>KIT-#17133</v>
      </c>
      <c r="B387" s="94">
        <f>IFERROR(__xludf.DUMMYFUNCTION("""COMPUTED_VALUE"""),46148.0)</f>
        <v>46148</v>
      </c>
      <c r="C387" s="93" t="str">
        <f>IFERROR(__xludf.DUMMYFUNCTION("""COMPUTED_VALUE"""),"Kit Delivery")</f>
        <v>Kit Delivery</v>
      </c>
      <c r="D387" s="93">
        <f>IFERROR(__xludf.DUMMYFUNCTION("""COMPUTED_VALUE"""),3.0)</f>
        <v>3</v>
      </c>
      <c r="E387" s="93" t="str">
        <f>IFERROR(__xludf.DUMMYFUNCTION("""COMPUTED_VALUE"""),"Umrath")</f>
        <v>Umrath</v>
      </c>
      <c r="F387" s="93">
        <f>IFERROR(__xludf.DUMMYFUNCTION("""COMPUTED_VALUE"""),2203.0)</f>
        <v>2203</v>
      </c>
      <c r="G387" s="93" t="str">
        <f>IFERROR(__xludf.DUMMYFUNCTION("""COMPUTED_VALUE"""),"Sophie Saltzman")</f>
        <v>Sophie Saltzman</v>
      </c>
      <c r="H387" s="93">
        <f>IFERROR(__xludf.DUMMYFUNCTION("""COMPUTED_VALUE"""),5.163805641E9)</f>
        <v>5163805641</v>
      </c>
      <c r="I387" s="93" t="str">
        <f>IFERROR(__xludf.DUMMYFUNCTION("""COMPUTED_VALUE"""),"9AM-11AM")</f>
        <v>9AM-11AM</v>
      </c>
      <c r="J387" s="93">
        <f>IFERROR(__xludf.DUMMYFUNCTION("""COMPUTED_VALUE"""),2.0)</f>
        <v>2</v>
      </c>
      <c r="K387" s="93" t="str">
        <f>IFERROR(__xludf.DUMMYFUNCTION("""COMPUTED_VALUE"""),"Complete")</f>
        <v>Complete</v>
      </c>
      <c r="L387" s="93"/>
      <c r="M387" s="94">
        <f>IFERROR(__xludf.DUMMYFUNCTION("""COMPUTED_VALUE"""),46127.67534722222)</f>
        <v>46127.67535</v>
      </c>
      <c r="N387" s="93">
        <f>IFERROR(__xludf.DUMMYFUNCTION("""COMPUTED_VALUE"""),121.0)</f>
        <v>121</v>
      </c>
      <c r="O387" s="93"/>
      <c r="P387" s="93" t="str">
        <f>IFERROR(__xludf.DUMMYFUNCTION("""COMPUTED_VALUE"""),"Kit Delivery")</f>
        <v>Kit Delivery</v>
      </c>
      <c r="Q387" s="93"/>
      <c r="R387" s="93"/>
      <c r="S387" s="93" t="str">
        <f>IFERROR(__xludf.DUMMYFUNCTION("""COMPUTED_VALUE"""),"Dispatch_Images/KIT--17133.Photos.211225.jpg")</f>
        <v>Dispatch_Images/KIT--17133.Photos.211225.jpg</v>
      </c>
      <c r="T387" s="95">
        <f>IFERROR(__xludf.DUMMYFUNCTION("""COMPUTED_VALUE"""),46127.675787037035)</f>
        <v>46127.67579</v>
      </c>
      <c r="U387" s="93"/>
      <c r="V387" s="93"/>
      <c r="W387" s="93"/>
      <c r="X387" s="93"/>
      <c r="Y387" s="93"/>
      <c r="Z387" s="93"/>
    </row>
    <row r="388">
      <c r="A388" s="93" t="str">
        <f>IFERROR(__xludf.DUMMYFUNCTION("""COMPUTED_VALUE"""),"KIT-#17205")</f>
        <v>KIT-#17205</v>
      </c>
      <c r="B388" s="94">
        <f>IFERROR(__xludf.DUMMYFUNCTION("""COMPUTED_VALUE"""),46148.0)</f>
        <v>46148</v>
      </c>
      <c r="C388" s="93" t="str">
        <f>IFERROR(__xludf.DUMMYFUNCTION("""COMPUTED_VALUE"""),"Kit Delivery")</f>
        <v>Kit Delivery</v>
      </c>
      <c r="D388" s="93">
        <f>IFERROR(__xludf.DUMMYFUNCTION("""COMPUTED_VALUE"""),2.0)</f>
        <v>2</v>
      </c>
      <c r="E388" s="93" t="str">
        <f>IFERROR(__xludf.DUMMYFUNCTION("""COMPUTED_VALUE"""),"Umrath")</f>
        <v>Umrath</v>
      </c>
      <c r="F388" s="93">
        <f>IFERROR(__xludf.DUMMYFUNCTION("""COMPUTED_VALUE"""),3302.0)</f>
        <v>3302</v>
      </c>
      <c r="G388" s="93" t="str">
        <f>IFERROR(__xludf.DUMMYFUNCTION("""COMPUTED_VALUE"""),"Ava Rome")</f>
        <v>Ava Rome</v>
      </c>
      <c r="H388" s="93">
        <f>IFERROR(__xludf.DUMMYFUNCTION("""COMPUTED_VALUE"""),5.513021447E9)</f>
        <v>5513021447</v>
      </c>
      <c r="I388" s="93" t="str">
        <f>IFERROR(__xludf.DUMMYFUNCTION("""COMPUTED_VALUE"""),"12PM-2PM")</f>
        <v>12PM-2PM</v>
      </c>
      <c r="J388" s="93">
        <f>IFERROR(__xludf.DUMMYFUNCTION("""COMPUTED_VALUE"""),1.0)</f>
        <v>1</v>
      </c>
      <c r="K388" s="93" t="str">
        <f>IFERROR(__xludf.DUMMYFUNCTION("""COMPUTED_VALUE"""),"Complete")</f>
        <v>Complete</v>
      </c>
      <c r="L388" s="93"/>
      <c r="M388" s="94">
        <f>IFERROR(__xludf.DUMMYFUNCTION("""COMPUTED_VALUE"""),46129.85927083333)</f>
        <v>46129.85927</v>
      </c>
      <c r="N388" s="93">
        <f>IFERROR(__xludf.DUMMYFUNCTION("""COMPUTED_VALUE"""),164.0)</f>
        <v>164</v>
      </c>
      <c r="O388" s="93"/>
      <c r="P388" s="93" t="str">
        <f>IFERROR(__xludf.DUMMYFUNCTION("""COMPUTED_VALUE"""),"Kit Delivery")</f>
        <v>Kit Delivery</v>
      </c>
      <c r="Q388" s="93"/>
      <c r="R388" s="93"/>
      <c r="S388" s="93" t="str">
        <f>IFERROR(__xludf.DUMMYFUNCTION("""COMPUTED_VALUE"""),"Dispatch_Images/KIT--17205.Photos.013712.jpg")</f>
        <v>Dispatch_Images/KIT--17205.Photos.013712.jpg</v>
      </c>
      <c r="T388" s="95">
        <f>IFERROR(__xludf.DUMMYFUNCTION("""COMPUTED_VALUE"""),46129.863217592596)</f>
        <v>46129.86322</v>
      </c>
      <c r="U388" s="93"/>
      <c r="V388" s="93"/>
      <c r="W388" s="93"/>
      <c r="X388" s="93"/>
      <c r="Y388" s="93"/>
      <c r="Z388" s="93"/>
    </row>
    <row r="389">
      <c r="A389" s="93" t="str">
        <f>IFERROR(__xludf.DUMMYFUNCTION("""COMPUTED_VALUE"""),"KIT-#17477")</f>
        <v>KIT-#17477</v>
      </c>
      <c r="B389" s="94">
        <f>IFERROR(__xludf.DUMMYFUNCTION("""COMPUTED_VALUE"""),46148.0)</f>
        <v>46148</v>
      </c>
      <c r="C389" s="93" t="str">
        <f>IFERROR(__xludf.DUMMYFUNCTION("""COMPUTED_VALUE"""),"Kit Delivery")</f>
        <v>Kit Delivery</v>
      </c>
      <c r="D389" s="93">
        <f>IFERROR(__xludf.DUMMYFUNCTION("""COMPUTED_VALUE"""),2.0)</f>
        <v>2</v>
      </c>
      <c r="E389" s="93" t="str">
        <f>IFERROR(__xludf.DUMMYFUNCTION("""COMPUTED_VALUE"""),"Umrath")</f>
        <v>Umrath</v>
      </c>
      <c r="F389" s="93">
        <f>IFERROR(__xludf.DUMMYFUNCTION("""COMPUTED_VALUE"""),3302.0)</f>
        <v>3302</v>
      </c>
      <c r="G389" s="93" t="str">
        <f>IFERROR(__xludf.DUMMYFUNCTION("""COMPUTED_VALUE"""),"Isabella Ava Rome")</f>
        <v>Isabella Ava Rome</v>
      </c>
      <c r="H389" s="93">
        <f>IFERROR(__xludf.DUMMYFUNCTION("""COMPUTED_VALUE"""),5.513021447E9)</f>
        <v>5513021447</v>
      </c>
      <c r="I389" s="93" t="str">
        <f>IFERROR(__xludf.DUMMYFUNCTION("""COMPUTED_VALUE"""),"9AM-11AM")</f>
        <v>9AM-11AM</v>
      </c>
      <c r="J389" s="93">
        <f>IFERROR(__xludf.DUMMYFUNCTION("""COMPUTED_VALUE"""),1.0)</f>
        <v>1</v>
      </c>
      <c r="K389" s="93" t="str">
        <f>IFERROR(__xludf.DUMMYFUNCTION("""COMPUTED_VALUE"""),"Complete")</f>
        <v>Complete</v>
      </c>
      <c r="L389" s="93"/>
      <c r="M389" s="94">
        <f>IFERROR(__xludf.DUMMYFUNCTION("""COMPUTED_VALUE"""),46129.85942129629)</f>
        <v>46129.85942</v>
      </c>
      <c r="N389" s="93">
        <f>IFERROR(__xludf.DUMMYFUNCTION("""COMPUTED_VALUE"""),165.0)</f>
        <v>165</v>
      </c>
      <c r="O389" s="93"/>
      <c r="P389" s="93" t="str">
        <f>IFERROR(__xludf.DUMMYFUNCTION("""COMPUTED_VALUE"""),"Kit Delivery")</f>
        <v>Kit Delivery</v>
      </c>
      <c r="Q389" s="93"/>
      <c r="R389" s="93"/>
      <c r="S389" s="93" t="str">
        <f>IFERROR(__xludf.DUMMYFUNCTION("""COMPUTED_VALUE"""),"Dispatch_Images/KIT--17477.Photos.013731.jpg")</f>
        <v>Dispatch_Images/KIT--17477.Photos.013731.jpg</v>
      </c>
      <c r="T389" s="95">
        <f>IFERROR(__xludf.DUMMYFUNCTION("""COMPUTED_VALUE"""),46129.863217592596)</f>
        <v>46129.86322</v>
      </c>
      <c r="U389" s="93"/>
      <c r="V389" s="93"/>
      <c r="W389" s="93"/>
      <c r="X389" s="93"/>
      <c r="Y389" s="93"/>
      <c r="Z389" s="93"/>
    </row>
    <row r="390">
      <c r="A390" s="93" t="str">
        <f>IFERROR(__xludf.DUMMYFUNCTION("""COMPUTED_VALUE"""),"KIT-#17185")</f>
        <v>KIT-#17185</v>
      </c>
      <c r="B390" s="94">
        <f>IFERROR(__xludf.DUMMYFUNCTION("""COMPUTED_VALUE"""),46148.0)</f>
        <v>46148</v>
      </c>
      <c r="C390" s="93" t="str">
        <f>IFERROR(__xludf.DUMMYFUNCTION("""COMPUTED_VALUE"""),"Kit Delivery")</f>
        <v>Kit Delivery</v>
      </c>
      <c r="D390" s="93">
        <f>IFERROR(__xludf.DUMMYFUNCTION("""COMPUTED_VALUE"""),2.0)</f>
        <v>2</v>
      </c>
      <c r="E390" s="93" t="str">
        <f>IFERROR(__xludf.DUMMYFUNCTION("""COMPUTED_VALUE"""),"Umrath")</f>
        <v>Umrath</v>
      </c>
      <c r="F390" s="93" t="str">
        <f>IFERROR(__xludf.DUMMYFUNCTION("""COMPUTED_VALUE"""),"3321 A")</f>
        <v>3321 A</v>
      </c>
      <c r="G390" s="93" t="str">
        <f>IFERROR(__xludf.DUMMYFUNCTION("""COMPUTED_VALUE"""),"Aara Parseghian")</f>
        <v>Aara Parseghian</v>
      </c>
      <c r="H390" s="93">
        <f>IFERROR(__xludf.DUMMYFUNCTION("""COMPUTED_VALUE"""),7.818646269E9)</f>
        <v>7818646269</v>
      </c>
      <c r="I390" s="93" t="str">
        <f>IFERROR(__xludf.DUMMYFUNCTION("""COMPUTED_VALUE"""),"2PM-4PM")</f>
        <v>2PM-4PM</v>
      </c>
      <c r="J390" s="93">
        <f>IFERROR(__xludf.DUMMYFUNCTION("""COMPUTED_VALUE"""),1.0)</f>
        <v>1</v>
      </c>
      <c r="K390" s="93" t="str">
        <f>IFERROR(__xludf.DUMMYFUNCTION("""COMPUTED_VALUE"""),"Complete")</f>
        <v>Complete</v>
      </c>
      <c r="L390" s="93"/>
      <c r="M390" s="94">
        <f>IFERROR(__xludf.DUMMYFUNCTION("""COMPUTED_VALUE"""),46129.86127314815)</f>
        <v>46129.86127</v>
      </c>
      <c r="N390" s="93">
        <f>IFERROR(__xludf.DUMMYFUNCTION("""COMPUTED_VALUE"""),167.0)</f>
        <v>167</v>
      </c>
      <c r="O390" s="93"/>
      <c r="P390" s="93" t="str">
        <f>IFERROR(__xludf.DUMMYFUNCTION("""COMPUTED_VALUE"""),"Kit Delivery")</f>
        <v>Kit Delivery</v>
      </c>
      <c r="Q390" s="93"/>
      <c r="R390" s="93"/>
      <c r="S390" s="93" t="str">
        <f>IFERROR(__xludf.DUMMYFUNCTION("""COMPUTED_VALUE"""),"Dispatch_Images/KIT--17185.Photos.014010.jpg")</f>
        <v>Dispatch_Images/KIT--17185.Photos.014010.jpg</v>
      </c>
      <c r="T390" s="95">
        <f>IFERROR(__xludf.DUMMYFUNCTION("""COMPUTED_VALUE"""),46129.863217592596)</f>
        <v>46129.86322</v>
      </c>
      <c r="U390" s="93"/>
      <c r="V390" s="93"/>
      <c r="W390" s="93"/>
      <c r="X390" s="93"/>
      <c r="Y390" s="93"/>
      <c r="Z390" s="93"/>
    </row>
    <row r="391">
      <c r="A391" s="93" t="str">
        <f>IFERROR(__xludf.DUMMYFUNCTION("""COMPUTED_VALUE"""),"KIT-#17379")</f>
        <v>KIT-#17379</v>
      </c>
      <c r="B391" s="94">
        <f>IFERROR(__xludf.DUMMYFUNCTION("""COMPUTED_VALUE"""),46148.0)</f>
        <v>46148</v>
      </c>
      <c r="C391" s="93" t="str">
        <f>IFERROR(__xludf.DUMMYFUNCTION("""COMPUTED_VALUE"""),"Kit Delivery")</f>
        <v>Kit Delivery</v>
      </c>
      <c r="D391" s="93">
        <f>IFERROR(__xludf.DUMMYFUNCTION("""COMPUTED_VALUE"""),2.0)</f>
        <v>2</v>
      </c>
      <c r="E391" s="93" t="str">
        <f>IFERROR(__xludf.DUMMYFUNCTION("""COMPUTED_VALUE"""),"Umrath")</f>
        <v>Umrath</v>
      </c>
      <c r="F391" s="93">
        <f>IFERROR(__xludf.DUMMYFUNCTION("""COMPUTED_VALUE"""),1236.0)</f>
        <v>1236</v>
      </c>
      <c r="G391" s="93" t="str">
        <f>IFERROR(__xludf.DUMMYFUNCTION("""COMPUTED_VALUE"""),"Hanna Solovy")</f>
        <v>Hanna Solovy</v>
      </c>
      <c r="H391" s="93">
        <f>IFERROR(__xludf.DUMMYFUNCTION("""COMPUTED_VALUE"""),3.016516144E9)</f>
        <v>3016516144</v>
      </c>
      <c r="I391" s="93" t="str">
        <f>IFERROR(__xludf.DUMMYFUNCTION("""COMPUTED_VALUE"""),"9AM-11AM")</f>
        <v>9AM-11AM</v>
      </c>
      <c r="J391" s="93">
        <f>IFERROR(__xludf.DUMMYFUNCTION("""COMPUTED_VALUE"""),2.0)</f>
        <v>2</v>
      </c>
      <c r="K391" s="93" t="str">
        <f>IFERROR(__xludf.DUMMYFUNCTION("""COMPUTED_VALUE"""),"Complete")</f>
        <v>Complete</v>
      </c>
      <c r="L391" s="93"/>
      <c r="M391" s="94">
        <f>IFERROR(__xludf.DUMMYFUNCTION("""COMPUTED_VALUE"""),46129.862175925926)</f>
        <v>46129.86218</v>
      </c>
      <c r="N391" s="93">
        <f>IFERROR(__xludf.DUMMYFUNCTION("""COMPUTED_VALUE"""),149.0)</f>
        <v>149</v>
      </c>
      <c r="O391" s="93"/>
      <c r="P391" s="93" t="str">
        <f>IFERROR(__xludf.DUMMYFUNCTION("""COMPUTED_VALUE"""),"Kit Delivery")</f>
        <v>Kit Delivery</v>
      </c>
      <c r="Q391" s="93"/>
      <c r="R391" s="93"/>
      <c r="S391" s="93" t="str">
        <f>IFERROR(__xludf.DUMMYFUNCTION("""COMPUTED_VALUE"""),"Dispatch_Images/KIT--17379.Photos.014128.jpg")</f>
        <v>Dispatch_Images/KIT--17379.Photos.014128.jpg</v>
      </c>
      <c r="T391" s="95">
        <f>IFERROR(__xludf.DUMMYFUNCTION("""COMPUTED_VALUE"""),46129.863217592596)</f>
        <v>46129.86322</v>
      </c>
      <c r="U391" s="93"/>
      <c r="V391" s="93"/>
      <c r="W391" s="93"/>
      <c r="X391" s="93"/>
      <c r="Y391" s="93"/>
      <c r="Z391" s="93"/>
    </row>
    <row r="392">
      <c r="A392" s="93" t="str">
        <f>IFERROR(__xludf.DUMMYFUNCTION("""COMPUTED_VALUE"""),"KIT-#17517")</f>
        <v>KIT-#17517</v>
      </c>
      <c r="B392" s="94">
        <f>IFERROR(__xludf.DUMMYFUNCTION("""COMPUTED_VALUE"""),46148.0)</f>
        <v>46148</v>
      </c>
      <c r="C392" s="93" t="str">
        <f>IFERROR(__xludf.DUMMYFUNCTION("""COMPUTED_VALUE"""),"Kit Delivery")</f>
        <v>Kit Delivery</v>
      </c>
      <c r="D392" s="93">
        <f>IFERROR(__xludf.DUMMYFUNCTION("""COMPUTED_VALUE"""),2.0)</f>
        <v>2</v>
      </c>
      <c r="E392" s="93" t="str">
        <f>IFERROR(__xludf.DUMMYFUNCTION("""COMPUTED_VALUE"""),"Umrath")</f>
        <v>Umrath</v>
      </c>
      <c r="F392" s="93">
        <f>IFERROR(__xludf.DUMMYFUNCTION("""COMPUTED_VALUE"""),1236.0)</f>
        <v>1236</v>
      </c>
      <c r="G392" s="93" t="str">
        <f>IFERROR(__xludf.DUMMYFUNCTION("""COMPUTED_VALUE"""),"Hailey Sheena")</f>
        <v>Hailey Sheena</v>
      </c>
      <c r="H392" s="93">
        <f>IFERROR(__xludf.DUMMYFUNCTION("""COMPUTED_VALUE"""),8.326911231E9)</f>
        <v>8326911231</v>
      </c>
      <c r="I392" s="93" t="str">
        <f>IFERROR(__xludf.DUMMYFUNCTION("""COMPUTED_VALUE"""),"9AM-11AM")</f>
        <v>9AM-11AM</v>
      </c>
      <c r="J392" s="93">
        <f>IFERROR(__xludf.DUMMYFUNCTION("""COMPUTED_VALUE"""),1.0)</f>
        <v>1</v>
      </c>
      <c r="K392" s="93" t="str">
        <f>IFERROR(__xludf.DUMMYFUNCTION("""COMPUTED_VALUE"""),"Complete")</f>
        <v>Complete</v>
      </c>
      <c r="L392" s="93"/>
      <c r="M392" s="94">
        <f>IFERROR(__xludf.DUMMYFUNCTION("""COMPUTED_VALUE"""),46129.86247685185)</f>
        <v>46129.86248</v>
      </c>
      <c r="N392" s="93">
        <f>IFERROR(__xludf.DUMMYFUNCTION("""COMPUTED_VALUE"""),150.0)</f>
        <v>150</v>
      </c>
      <c r="O392" s="93"/>
      <c r="P392" s="93" t="str">
        <f>IFERROR(__xludf.DUMMYFUNCTION("""COMPUTED_VALUE"""),"Kit Delivery")</f>
        <v>Kit Delivery</v>
      </c>
      <c r="Q392" s="93"/>
      <c r="R392" s="93"/>
      <c r="S392" s="93" t="str">
        <f>IFERROR(__xludf.DUMMYFUNCTION("""COMPUTED_VALUE"""),"Dispatch_Images/KIT--17517.Photos.014153.jpg")</f>
        <v>Dispatch_Images/KIT--17517.Photos.014153.jpg</v>
      </c>
      <c r="T392" s="95">
        <f>IFERROR(__xludf.DUMMYFUNCTION("""COMPUTED_VALUE"""),46129.863217592596)</f>
        <v>46129.86322</v>
      </c>
      <c r="U392" s="93"/>
      <c r="V392" s="93"/>
      <c r="W392" s="93"/>
      <c r="X392" s="93"/>
      <c r="Y392" s="93"/>
      <c r="Z392" s="93"/>
    </row>
    <row r="393">
      <c r="A393" s="93" t="str">
        <f>IFERROR(__xludf.DUMMYFUNCTION("""COMPUTED_VALUE"""),"KIT-#17297")</f>
        <v>KIT-#17297</v>
      </c>
      <c r="B393" s="94">
        <f>IFERROR(__xludf.DUMMYFUNCTION("""COMPUTED_VALUE"""),46148.0)</f>
        <v>46148</v>
      </c>
      <c r="C393" s="93" t="str">
        <f>IFERROR(__xludf.DUMMYFUNCTION("""COMPUTED_VALUE"""),"Kit Delivery")</f>
        <v>Kit Delivery</v>
      </c>
      <c r="D393" s="93">
        <f>IFERROR(__xludf.DUMMYFUNCTION("""COMPUTED_VALUE"""),2.0)</f>
        <v>2</v>
      </c>
      <c r="E393" s="93" t="str">
        <f>IFERROR(__xludf.DUMMYFUNCTION("""COMPUTED_VALUE"""),"Umrath")</f>
        <v>Umrath</v>
      </c>
      <c r="F393" s="93">
        <f>IFERROR(__xludf.DUMMYFUNCTION("""COMPUTED_VALUE"""),2201.0)</f>
        <v>2201</v>
      </c>
      <c r="G393" s="93" t="str">
        <f>IFERROR(__xludf.DUMMYFUNCTION("""COMPUTED_VALUE"""),"Andrew Lin")</f>
        <v>Andrew Lin</v>
      </c>
      <c r="H393" s="93">
        <f>IFERROR(__xludf.DUMMYFUNCTION("""COMPUTED_VALUE"""),2.144509358E9)</f>
        <v>2144509358</v>
      </c>
      <c r="I393" s="93" t="str">
        <f>IFERROR(__xludf.DUMMYFUNCTION("""COMPUTED_VALUE"""),"9AM-11AM")</f>
        <v>9AM-11AM</v>
      </c>
      <c r="J393" s="93">
        <f>IFERROR(__xludf.DUMMYFUNCTION("""COMPUTED_VALUE"""),1.0)</f>
        <v>1</v>
      </c>
      <c r="K393" s="93" t="str">
        <f>IFERROR(__xludf.DUMMYFUNCTION("""COMPUTED_VALUE"""),"Complete")</f>
        <v>Complete</v>
      </c>
      <c r="L393" s="93"/>
      <c r="M393" s="94">
        <f>IFERROR(__xludf.DUMMYFUNCTION("""COMPUTED_VALUE"""),46129.865752314814)</f>
        <v>46129.86575</v>
      </c>
      <c r="N393" s="93">
        <f>IFERROR(__xludf.DUMMYFUNCTION("""COMPUTED_VALUE"""),151.0)</f>
        <v>151</v>
      </c>
      <c r="O393" s="93"/>
      <c r="P393" s="93" t="str">
        <f>IFERROR(__xludf.DUMMYFUNCTION("""COMPUTED_VALUE"""),"Kit Delivery")</f>
        <v>Kit Delivery</v>
      </c>
      <c r="Q393" s="93"/>
      <c r="R393" s="93"/>
      <c r="S393" s="93" t="str">
        <f>IFERROR(__xludf.DUMMYFUNCTION("""COMPUTED_VALUE"""),"Dispatch_Images/KIT--17297.Photos.014638.jpg")</f>
        <v>Dispatch_Images/KIT--17297.Photos.014638.jpg</v>
      </c>
      <c r="T393" s="95">
        <f>IFERROR(__xludf.DUMMYFUNCTION("""COMPUTED_VALUE"""),46129.870162037034)</f>
        <v>46129.87016</v>
      </c>
      <c r="U393" s="93"/>
      <c r="V393" s="93"/>
      <c r="W393" s="93"/>
      <c r="X393" s="93"/>
      <c r="Y393" s="93"/>
      <c r="Z393" s="93"/>
    </row>
    <row r="394">
      <c r="A394" s="93" t="str">
        <f>IFERROR(__xludf.DUMMYFUNCTION("""COMPUTED_VALUE"""),"KIT-#17472")</f>
        <v>KIT-#17472</v>
      </c>
      <c r="B394" s="94">
        <f>IFERROR(__xludf.DUMMYFUNCTION("""COMPUTED_VALUE"""),46148.0)</f>
        <v>46148</v>
      </c>
      <c r="C394" s="93" t="str">
        <f>IFERROR(__xludf.DUMMYFUNCTION("""COMPUTED_VALUE"""),"Kit Delivery")</f>
        <v>Kit Delivery</v>
      </c>
      <c r="D394" s="93">
        <f>IFERROR(__xludf.DUMMYFUNCTION("""COMPUTED_VALUE"""),2.0)</f>
        <v>2</v>
      </c>
      <c r="E394" s="93" t="str">
        <f>IFERROR(__xludf.DUMMYFUNCTION("""COMPUTED_VALUE"""),"Umrath")</f>
        <v>Umrath</v>
      </c>
      <c r="F394" s="93">
        <f>IFERROR(__xludf.DUMMYFUNCTION("""COMPUTED_VALUE"""),2211.0)</f>
        <v>2211</v>
      </c>
      <c r="G394" s="93" t="str">
        <f>IFERROR(__xludf.DUMMYFUNCTION("""COMPUTED_VALUE"""),"Marcus Chao")</f>
        <v>Marcus Chao</v>
      </c>
      <c r="H394" s="93">
        <f>IFERROR(__xludf.DUMMYFUNCTION("""COMPUTED_VALUE"""),2.368691848E9)</f>
        <v>2368691848</v>
      </c>
      <c r="I394" s="93" t="str">
        <f>IFERROR(__xludf.DUMMYFUNCTION("""COMPUTED_VALUE"""),"3PM-5PM")</f>
        <v>3PM-5PM</v>
      </c>
      <c r="J394" s="93">
        <f>IFERROR(__xludf.DUMMYFUNCTION("""COMPUTED_VALUE"""),2.0)</f>
        <v>2</v>
      </c>
      <c r="K394" s="93" t="str">
        <f>IFERROR(__xludf.DUMMYFUNCTION("""COMPUTED_VALUE"""),"Complete")</f>
        <v>Complete</v>
      </c>
      <c r="L394" s="93"/>
      <c r="M394" s="94">
        <f>IFERROR(__xludf.DUMMYFUNCTION("""COMPUTED_VALUE"""),46129.86751157408)</f>
        <v>46129.86751</v>
      </c>
      <c r="N394" s="93">
        <f>IFERROR(__xludf.DUMMYFUNCTION("""COMPUTED_VALUE"""),152.0)</f>
        <v>152</v>
      </c>
      <c r="O394" s="93"/>
      <c r="P394" s="93" t="str">
        <f>IFERROR(__xludf.DUMMYFUNCTION("""COMPUTED_VALUE"""),"Kit Delivery")</f>
        <v>Kit Delivery</v>
      </c>
      <c r="Q394" s="93"/>
      <c r="R394" s="93"/>
      <c r="S394" s="93" t="str">
        <f>IFERROR(__xludf.DUMMYFUNCTION("""COMPUTED_VALUE"""),"Dispatch_Images/KIT--17472.Photos.014909.jpg")</f>
        <v>Dispatch_Images/KIT--17472.Photos.014909.jpg</v>
      </c>
      <c r="T394" s="95">
        <f>IFERROR(__xludf.DUMMYFUNCTION("""COMPUTED_VALUE"""),46129.870162037034)</f>
        <v>46129.87016</v>
      </c>
      <c r="U394" s="93"/>
      <c r="V394" s="93"/>
      <c r="W394" s="93"/>
      <c r="X394" s="93"/>
      <c r="Y394" s="93"/>
      <c r="Z394" s="93"/>
    </row>
    <row r="395">
      <c r="A395" s="93" t="str">
        <f>IFERROR(__xludf.DUMMYFUNCTION("""COMPUTED_VALUE"""),"KIT-#17444")</f>
        <v>KIT-#17444</v>
      </c>
      <c r="B395" s="94">
        <f>IFERROR(__xludf.DUMMYFUNCTION("""COMPUTED_VALUE"""),46148.0)</f>
        <v>46148</v>
      </c>
      <c r="C395" s="93" t="str">
        <f>IFERROR(__xludf.DUMMYFUNCTION("""COMPUTED_VALUE"""),"Kit Delivery")</f>
        <v>Kit Delivery</v>
      </c>
      <c r="D395" s="93">
        <f>IFERROR(__xludf.DUMMYFUNCTION("""COMPUTED_VALUE"""),2.0)</f>
        <v>2</v>
      </c>
      <c r="E395" s="93" t="str">
        <f>IFERROR(__xludf.DUMMYFUNCTION("""COMPUTED_VALUE"""),"Umrath")</f>
        <v>Umrath</v>
      </c>
      <c r="F395" s="93">
        <f>IFERROR(__xludf.DUMMYFUNCTION("""COMPUTED_VALUE"""),2212.0)</f>
        <v>2212</v>
      </c>
      <c r="G395" s="93" t="str">
        <f>IFERROR(__xludf.DUMMYFUNCTION("""COMPUTED_VALUE"""),"Ciara  Jaquez")</f>
        <v>Ciara  Jaquez</v>
      </c>
      <c r="H395" s="93">
        <f>IFERROR(__xludf.DUMMYFUNCTION("""COMPUTED_VALUE"""),9.178896149E9)</f>
        <v>9178896149</v>
      </c>
      <c r="I395" s="93" t="str">
        <f>IFERROR(__xludf.DUMMYFUNCTION("""COMPUTED_VALUE"""),"9AM-11AM")</f>
        <v>9AM-11AM</v>
      </c>
      <c r="J395" s="93">
        <f>IFERROR(__xludf.DUMMYFUNCTION("""COMPUTED_VALUE"""),1.0)</f>
        <v>1</v>
      </c>
      <c r="K395" s="93" t="str">
        <f>IFERROR(__xludf.DUMMYFUNCTION("""COMPUTED_VALUE"""),"Complete")</f>
        <v>Complete</v>
      </c>
      <c r="L395" s="93"/>
      <c r="M395" s="94">
        <f>IFERROR(__xludf.DUMMYFUNCTION("""COMPUTED_VALUE"""),46129.86795138889)</f>
        <v>46129.86795</v>
      </c>
      <c r="N395" s="93">
        <f>IFERROR(__xludf.DUMMYFUNCTION("""COMPUTED_VALUE"""),153.0)</f>
        <v>153</v>
      </c>
      <c r="O395" s="93"/>
      <c r="P395" s="93" t="str">
        <f>IFERROR(__xludf.DUMMYFUNCTION("""COMPUTED_VALUE"""),"Kit Delivery")</f>
        <v>Kit Delivery</v>
      </c>
      <c r="Q395" s="93"/>
      <c r="R395" s="93"/>
      <c r="S395" s="93" t="str">
        <f>IFERROR(__xludf.DUMMYFUNCTION("""COMPUTED_VALUE"""),"Dispatch_Images/KIT--17444.Photos.014947.jpg")</f>
        <v>Dispatch_Images/KIT--17444.Photos.014947.jpg</v>
      </c>
      <c r="T395" s="95">
        <f>IFERROR(__xludf.DUMMYFUNCTION("""COMPUTED_VALUE"""),46129.870162037034)</f>
        <v>46129.87016</v>
      </c>
      <c r="U395" s="93"/>
      <c r="V395" s="93"/>
      <c r="W395" s="93"/>
      <c r="X395" s="93"/>
      <c r="Y395" s="93"/>
      <c r="Z395" s="93"/>
    </row>
    <row r="396">
      <c r="A396" s="93" t="str">
        <f>IFERROR(__xludf.DUMMYFUNCTION("""COMPUTED_VALUE"""),"KIT-#17324")</f>
        <v>KIT-#17324</v>
      </c>
      <c r="B396" s="94">
        <f>IFERROR(__xludf.DUMMYFUNCTION("""COMPUTED_VALUE"""),46148.0)</f>
        <v>46148</v>
      </c>
      <c r="C396" s="93" t="str">
        <f>IFERROR(__xludf.DUMMYFUNCTION("""COMPUTED_VALUE"""),"Kit Delivery")</f>
        <v>Kit Delivery</v>
      </c>
      <c r="D396" s="93">
        <f>IFERROR(__xludf.DUMMYFUNCTION("""COMPUTED_VALUE"""),2.0)</f>
        <v>2</v>
      </c>
      <c r="E396" s="93" t="str">
        <f>IFERROR(__xludf.DUMMYFUNCTION("""COMPUTED_VALUE"""),"Umrath")</f>
        <v>Umrath</v>
      </c>
      <c r="F396" s="93">
        <f>IFERROR(__xludf.DUMMYFUNCTION("""COMPUTED_VALUE"""),2220.0)</f>
        <v>2220</v>
      </c>
      <c r="G396" s="93" t="str">
        <f>IFERROR(__xludf.DUMMYFUNCTION("""COMPUTED_VALUE"""),"Elie Panoff")</f>
        <v>Elie Panoff</v>
      </c>
      <c r="H396" s="93">
        <f>IFERROR(__xludf.DUMMYFUNCTION("""COMPUTED_VALUE"""),8.455964595E9)</f>
        <v>8455964595</v>
      </c>
      <c r="I396" s="93" t="str">
        <f>IFERROR(__xludf.DUMMYFUNCTION("""COMPUTED_VALUE"""),"9AM-11AM")</f>
        <v>9AM-11AM</v>
      </c>
      <c r="J396" s="93">
        <f>IFERROR(__xludf.DUMMYFUNCTION("""COMPUTED_VALUE"""),1.0)</f>
        <v>1</v>
      </c>
      <c r="K396" s="93" t="str">
        <f>IFERROR(__xludf.DUMMYFUNCTION("""COMPUTED_VALUE"""),"Complete")</f>
        <v>Complete</v>
      </c>
      <c r="L396" s="93"/>
      <c r="M396" s="94">
        <f>IFERROR(__xludf.DUMMYFUNCTION("""COMPUTED_VALUE"""),46129.878333333334)</f>
        <v>46129.87833</v>
      </c>
      <c r="N396" s="93">
        <f>IFERROR(__xludf.DUMMYFUNCTION("""COMPUTED_VALUE"""),155.0)</f>
        <v>155</v>
      </c>
      <c r="O396" s="93"/>
      <c r="P396" s="93" t="str">
        <f>IFERROR(__xludf.DUMMYFUNCTION("""COMPUTED_VALUE"""),"Kit Delivery")</f>
        <v>Kit Delivery</v>
      </c>
      <c r="Q396" s="93"/>
      <c r="R396" s="93"/>
      <c r="S396" s="93" t="str">
        <f>IFERROR(__xludf.DUMMYFUNCTION("""COMPUTED_VALUE"""),"Dispatch_Images/KIT--17324.Photos.020444.jpg")</f>
        <v>Dispatch_Images/KIT--17324.Photos.020444.jpg</v>
      </c>
      <c r="T396" s="95">
        <f>IFERROR(__xludf.DUMMYFUNCTION("""COMPUTED_VALUE"""),46129.884050925924)</f>
        <v>46129.88405</v>
      </c>
      <c r="U396" s="93"/>
      <c r="V396" s="93"/>
      <c r="W396" s="93"/>
      <c r="X396" s="93"/>
      <c r="Y396" s="93"/>
      <c r="Z396" s="93"/>
    </row>
    <row r="397">
      <c r="A397" s="93" t="str">
        <f>IFERROR(__xludf.DUMMYFUNCTION("""COMPUTED_VALUE"""),"KIT-#17046")</f>
        <v>KIT-#17046</v>
      </c>
      <c r="B397" s="94">
        <f>IFERROR(__xludf.DUMMYFUNCTION("""COMPUTED_VALUE"""),46148.0)</f>
        <v>46148</v>
      </c>
      <c r="C397" s="93" t="str">
        <f>IFERROR(__xludf.DUMMYFUNCTION("""COMPUTED_VALUE"""),"Kit Delivery")</f>
        <v>Kit Delivery</v>
      </c>
      <c r="D397" s="93">
        <f>IFERROR(__xludf.DUMMYFUNCTION("""COMPUTED_VALUE"""),2.0)</f>
        <v>2</v>
      </c>
      <c r="E397" s="93" t="str">
        <f>IFERROR(__xludf.DUMMYFUNCTION("""COMPUTED_VALUE"""),"Umrath")</f>
        <v>Umrath</v>
      </c>
      <c r="F397" s="93">
        <f>IFERROR(__xludf.DUMMYFUNCTION("""COMPUTED_VALUE"""),2240.0)</f>
        <v>2240</v>
      </c>
      <c r="G397" s="93" t="str">
        <f>IFERROR(__xludf.DUMMYFUNCTION("""COMPUTED_VALUE"""),"James Rukin")</f>
        <v>James Rukin</v>
      </c>
      <c r="H397" s="93">
        <f>IFERROR(__xludf.DUMMYFUNCTION("""COMPUTED_VALUE"""),9.176129737E9)</f>
        <v>9176129737</v>
      </c>
      <c r="I397" s="93" t="str">
        <f>IFERROR(__xludf.DUMMYFUNCTION("""COMPUTED_VALUE"""),"3PM-5PM")</f>
        <v>3PM-5PM</v>
      </c>
      <c r="J397" s="93">
        <f>IFERROR(__xludf.DUMMYFUNCTION("""COMPUTED_VALUE"""),1.0)</f>
        <v>1</v>
      </c>
      <c r="K397" s="93" t="str">
        <f>IFERROR(__xludf.DUMMYFUNCTION("""COMPUTED_VALUE"""),"Complete")</f>
        <v>Complete</v>
      </c>
      <c r="L397" s="93"/>
      <c r="M397" s="94">
        <f>IFERROR(__xludf.DUMMYFUNCTION("""COMPUTED_VALUE"""),46129.87951388889)</f>
        <v>46129.87951</v>
      </c>
      <c r="N397" s="93">
        <f>IFERROR(__xludf.DUMMYFUNCTION("""COMPUTED_VALUE"""),163.0)</f>
        <v>163</v>
      </c>
      <c r="O397" s="93"/>
      <c r="P397" s="93" t="str">
        <f>IFERROR(__xludf.DUMMYFUNCTION("""COMPUTED_VALUE"""),"Kit Delivery")</f>
        <v>Kit Delivery</v>
      </c>
      <c r="Q397" s="93"/>
      <c r="R397" s="93"/>
      <c r="S397" s="93" t="str">
        <f>IFERROR(__xludf.DUMMYFUNCTION("""COMPUTED_VALUE"""),"Dispatch_Images/KIT--17046.Photos.020627.jpg")</f>
        <v>Dispatch_Images/KIT--17046.Photos.020627.jpg</v>
      </c>
      <c r="T397" s="95">
        <f>IFERROR(__xludf.DUMMYFUNCTION("""COMPUTED_VALUE"""),46129.884050925924)</f>
        <v>46129.88405</v>
      </c>
      <c r="U397" s="93"/>
      <c r="V397" s="93"/>
      <c r="W397" s="93"/>
      <c r="X397" s="93"/>
      <c r="Y397" s="93"/>
      <c r="Z397" s="93"/>
    </row>
    <row r="398">
      <c r="A398" s="93" t="str">
        <f>IFERROR(__xludf.DUMMYFUNCTION("""COMPUTED_VALUE"""),"KIT-#17373")</f>
        <v>KIT-#17373</v>
      </c>
      <c r="B398" s="94">
        <f>IFERROR(__xludf.DUMMYFUNCTION("""COMPUTED_VALUE"""),46148.0)</f>
        <v>46148</v>
      </c>
      <c r="C398" s="93" t="str">
        <f>IFERROR(__xludf.DUMMYFUNCTION("""COMPUTED_VALUE"""),"Kit Delivery")</f>
        <v>Kit Delivery</v>
      </c>
      <c r="D398" s="93">
        <f>IFERROR(__xludf.DUMMYFUNCTION("""COMPUTED_VALUE"""),2.0)</f>
        <v>2</v>
      </c>
      <c r="E398" s="93" t="str">
        <f>IFERROR(__xludf.DUMMYFUNCTION("""COMPUTED_VALUE"""),"Umrath")</f>
        <v>Umrath</v>
      </c>
      <c r="F398" s="93">
        <f>IFERROR(__xludf.DUMMYFUNCTION("""COMPUTED_VALUE"""),2221.0)</f>
        <v>2221</v>
      </c>
      <c r="G398" s="93" t="str">
        <f>IFERROR(__xludf.DUMMYFUNCTION("""COMPUTED_VALUE"""),"Emerson Lilly")</f>
        <v>Emerson Lilly</v>
      </c>
      <c r="H398" s="93">
        <f>IFERROR(__xludf.DUMMYFUNCTION("""COMPUTED_VALUE"""),2.038879903E9)</f>
        <v>2038879903</v>
      </c>
      <c r="I398" s="93" t="str">
        <f>IFERROR(__xludf.DUMMYFUNCTION("""COMPUTED_VALUE"""),"9AM-11AM")</f>
        <v>9AM-11AM</v>
      </c>
      <c r="J398" s="93">
        <f>IFERROR(__xludf.DUMMYFUNCTION("""COMPUTED_VALUE"""),1.0)</f>
        <v>1</v>
      </c>
      <c r="K398" s="93" t="str">
        <f>IFERROR(__xludf.DUMMYFUNCTION("""COMPUTED_VALUE"""),"Complete")</f>
        <v>Complete</v>
      </c>
      <c r="L398" s="93"/>
      <c r="M398" s="94">
        <f>IFERROR(__xludf.DUMMYFUNCTION("""COMPUTED_VALUE"""),46129.880844907406)</f>
        <v>46129.88084</v>
      </c>
      <c r="N398" s="93">
        <f>IFERROR(__xludf.DUMMYFUNCTION("""COMPUTED_VALUE"""),156.0)</f>
        <v>156</v>
      </c>
      <c r="O398" s="93"/>
      <c r="P398" s="93" t="str">
        <f>IFERROR(__xludf.DUMMYFUNCTION("""COMPUTED_VALUE"""),"Kit Delivery")</f>
        <v>Kit Delivery</v>
      </c>
      <c r="Q398" s="93"/>
      <c r="R398" s="93"/>
      <c r="S398" s="93" t="str">
        <f>IFERROR(__xludf.DUMMYFUNCTION("""COMPUTED_VALUE"""),"Dispatch_Images/KIT--17373.Photos.020822.jpg")</f>
        <v>Dispatch_Images/KIT--17373.Photos.020822.jpg</v>
      </c>
      <c r="T398" s="95">
        <f>IFERROR(__xludf.DUMMYFUNCTION("""COMPUTED_VALUE"""),46129.884050925924)</f>
        <v>46129.88405</v>
      </c>
      <c r="U398" s="93"/>
      <c r="V398" s="93"/>
      <c r="W398" s="93"/>
      <c r="X398" s="93"/>
      <c r="Y398" s="93"/>
      <c r="Z398" s="93"/>
    </row>
    <row r="399">
      <c r="A399" s="93" t="str">
        <f>IFERROR(__xludf.DUMMYFUNCTION("""COMPUTED_VALUE"""),"KIT-#17176")</f>
        <v>KIT-#17176</v>
      </c>
      <c r="B399" s="94">
        <f>IFERROR(__xludf.DUMMYFUNCTION("""COMPUTED_VALUE"""),46148.0)</f>
        <v>46148</v>
      </c>
      <c r="C399" s="93" t="str">
        <f>IFERROR(__xludf.DUMMYFUNCTION("""COMPUTED_VALUE"""),"Kit Delivery")</f>
        <v>Kit Delivery</v>
      </c>
      <c r="D399" s="93">
        <f>IFERROR(__xludf.DUMMYFUNCTION("""COMPUTED_VALUE"""),2.0)</f>
        <v>2</v>
      </c>
      <c r="E399" s="93" t="str">
        <f>IFERROR(__xludf.DUMMYFUNCTION("""COMPUTED_VALUE"""),"Umrath")</f>
        <v>Umrath</v>
      </c>
      <c r="F399" s="93">
        <f>IFERROR(__xludf.DUMMYFUNCTION("""COMPUTED_VALUE"""),4434.0)</f>
        <v>4434</v>
      </c>
      <c r="G399" s="93" t="str">
        <f>IFERROR(__xludf.DUMMYFUNCTION("""COMPUTED_VALUE"""),"Avery Tanaka")</f>
        <v>Avery Tanaka</v>
      </c>
      <c r="H399" s="93">
        <f>IFERROR(__xludf.DUMMYFUNCTION("""COMPUTED_VALUE"""),8.084920384E9)</f>
        <v>8084920384</v>
      </c>
      <c r="I399" s="93" t="str">
        <f>IFERROR(__xludf.DUMMYFUNCTION("""COMPUTED_VALUE"""),"11AM-1PM")</f>
        <v>11AM-1PM</v>
      </c>
      <c r="J399" s="93">
        <f>IFERROR(__xludf.DUMMYFUNCTION("""COMPUTED_VALUE"""),1.0)</f>
        <v>1</v>
      </c>
      <c r="K399" s="93" t="str">
        <f>IFERROR(__xludf.DUMMYFUNCTION("""COMPUTED_VALUE"""),"Complete")</f>
        <v>Complete</v>
      </c>
      <c r="L399" s="93"/>
      <c r="M399" s="94">
        <f>IFERROR(__xludf.DUMMYFUNCTION("""COMPUTED_VALUE"""),46129.88287037037)</f>
        <v>46129.88287</v>
      </c>
      <c r="N399" s="93">
        <f>IFERROR(__xludf.DUMMYFUNCTION("""COMPUTED_VALUE"""),181.0)</f>
        <v>181</v>
      </c>
      <c r="O399" s="93"/>
      <c r="P399" s="93" t="str">
        <f>IFERROR(__xludf.DUMMYFUNCTION("""COMPUTED_VALUE"""),"Kit Delivery")</f>
        <v>Kit Delivery</v>
      </c>
      <c r="Q399" s="93"/>
      <c r="R399" s="93"/>
      <c r="S399" s="93" t="str">
        <f>IFERROR(__xludf.DUMMYFUNCTION("""COMPUTED_VALUE"""),"Dispatch_Images/KIT--17176.Photos.021116.jpg")</f>
        <v>Dispatch_Images/KIT--17176.Photos.021116.jpg</v>
      </c>
      <c r="T399" s="95">
        <f>IFERROR(__xludf.DUMMYFUNCTION("""COMPUTED_VALUE"""),46129.884050925924)</f>
        <v>46129.88405</v>
      </c>
      <c r="U399" s="93"/>
      <c r="V399" s="93"/>
      <c r="W399" s="93"/>
      <c r="X399" s="93"/>
      <c r="Y399" s="93"/>
      <c r="Z399" s="93"/>
    </row>
    <row r="400">
      <c r="A400" s="93" t="str">
        <f>IFERROR(__xludf.DUMMYFUNCTION("""COMPUTED_VALUE"""),"KIT-#17564")</f>
        <v>KIT-#17564</v>
      </c>
      <c r="B400" s="94">
        <f>IFERROR(__xludf.DUMMYFUNCTION("""COMPUTED_VALUE"""),46148.0)</f>
        <v>46148</v>
      </c>
      <c r="C400" s="93" t="str">
        <f>IFERROR(__xludf.DUMMYFUNCTION("""COMPUTED_VALUE"""),"Kit Delivery")</f>
        <v>Kit Delivery</v>
      </c>
      <c r="D400" s="93">
        <f>IFERROR(__xludf.DUMMYFUNCTION("""COMPUTED_VALUE"""),2.0)</f>
        <v>2</v>
      </c>
      <c r="E400" s="93" t="str">
        <f>IFERROR(__xludf.DUMMYFUNCTION("""COMPUTED_VALUE"""),"Umrath")</f>
        <v>Umrath</v>
      </c>
      <c r="F400" s="93">
        <f>IFERROR(__xludf.DUMMYFUNCTION("""COMPUTED_VALUE"""),4433.0)</f>
        <v>4433</v>
      </c>
      <c r="G400" s="93" t="str">
        <f>IFERROR(__xludf.DUMMYFUNCTION("""COMPUTED_VALUE"""),"Praise Osarenren")</f>
        <v>Praise Osarenren</v>
      </c>
      <c r="H400" s="93">
        <f>IFERROR(__xludf.DUMMYFUNCTION("""COMPUTED_VALUE"""),6.466177915E9)</f>
        <v>6466177915</v>
      </c>
      <c r="I400" s="93" t="str">
        <f>IFERROR(__xludf.DUMMYFUNCTION("""COMPUTED_VALUE"""),"2PM-4PM")</f>
        <v>2PM-4PM</v>
      </c>
      <c r="J400" s="93">
        <f>IFERROR(__xludf.DUMMYFUNCTION("""COMPUTED_VALUE"""),1.0)</f>
        <v>1</v>
      </c>
      <c r="K400" s="93" t="str">
        <f>IFERROR(__xludf.DUMMYFUNCTION("""COMPUTED_VALUE"""),"Complete")</f>
        <v>Complete</v>
      </c>
      <c r="L400" s="93"/>
      <c r="M400" s="94">
        <f>IFERROR(__xludf.DUMMYFUNCTION("""COMPUTED_VALUE"""),46129.88348379629)</f>
        <v>46129.88348</v>
      </c>
      <c r="N400" s="93">
        <f>IFERROR(__xludf.DUMMYFUNCTION("""COMPUTED_VALUE"""),180.0)</f>
        <v>180</v>
      </c>
      <c r="O400" s="93"/>
      <c r="P400" s="93" t="str">
        <f>IFERROR(__xludf.DUMMYFUNCTION("""COMPUTED_VALUE"""),"Kit Delivery")</f>
        <v>Kit Delivery</v>
      </c>
      <c r="Q400" s="93"/>
      <c r="R400" s="93"/>
      <c r="S400" s="93" t="str">
        <f>IFERROR(__xludf.DUMMYFUNCTION("""COMPUTED_VALUE"""),"Dispatch_Images/KIT--17564.Photos.021210.jpg")</f>
        <v>Dispatch_Images/KIT--17564.Photos.021210.jpg</v>
      </c>
      <c r="T400" s="95">
        <f>IFERROR(__xludf.DUMMYFUNCTION("""COMPUTED_VALUE"""),46129.884050925924)</f>
        <v>46129.88405</v>
      </c>
      <c r="U400" s="93"/>
      <c r="V400" s="93"/>
      <c r="W400" s="93"/>
      <c r="X400" s="93"/>
      <c r="Y400" s="93"/>
      <c r="Z400" s="93"/>
    </row>
    <row r="401">
      <c r="A401" s="93" t="str">
        <f>IFERROR(__xludf.DUMMYFUNCTION("""COMPUTED_VALUE"""),"KIT-#17520")</f>
        <v>KIT-#17520</v>
      </c>
      <c r="B401" s="94">
        <f>IFERROR(__xludf.DUMMYFUNCTION("""COMPUTED_VALUE"""),46148.0)</f>
        <v>46148</v>
      </c>
      <c r="C401" s="93" t="str">
        <f>IFERROR(__xludf.DUMMYFUNCTION("""COMPUTED_VALUE"""),"Kit Delivery")</f>
        <v>Kit Delivery</v>
      </c>
      <c r="D401" s="93">
        <f>IFERROR(__xludf.DUMMYFUNCTION("""COMPUTED_VALUE"""),2.0)</f>
        <v>2</v>
      </c>
      <c r="E401" s="93" t="str">
        <f>IFERROR(__xludf.DUMMYFUNCTION("""COMPUTED_VALUE"""),"Umrath")</f>
        <v>Umrath</v>
      </c>
      <c r="F401" s="93" t="str">
        <f>IFERROR(__xludf.DUMMYFUNCTION("""COMPUTED_VALUE"""),"2233-A")</f>
        <v>2233-A</v>
      </c>
      <c r="G401" s="93" t="str">
        <f>IFERROR(__xludf.DUMMYFUNCTION("""COMPUTED_VALUE"""),"Raine Borys")</f>
        <v>Raine Borys</v>
      </c>
      <c r="H401" s="93">
        <f>IFERROR(__xludf.DUMMYFUNCTION("""COMPUTED_VALUE"""),9.079031835E9)</f>
        <v>9079031835</v>
      </c>
      <c r="I401" s="93" t="str">
        <f>IFERROR(__xludf.DUMMYFUNCTION("""COMPUTED_VALUE"""),"11AM-1PM")</f>
        <v>11AM-1PM</v>
      </c>
      <c r="J401" s="93">
        <f>IFERROR(__xludf.DUMMYFUNCTION("""COMPUTED_VALUE"""),2.0)</f>
        <v>2</v>
      </c>
      <c r="K401" s="93" t="str">
        <f>IFERROR(__xludf.DUMMYFUNCTION("""COMPUTED_VALUE"""),"Complete")</f>
        <v>Complete</v>
      </c>
      <c r="L401" s="93"/>
      <c r="M401" s="94">
        <f>IFERROR(__xludf.DUMMYFUNCTION("""COMPUTED_VALUE"""),46129.88545138889)</f>
        <v>46129.88545</v>
      </c>
      <c r="N401" s="93">
        <f>IFERROR(__xludf.DUMMYFUNCTION("""COMPUTED_VALUE"""),159.0)</f>
        <v>159</v>
      </c>
      <c r="O401" s="93"/>
      <c r="P401" s="93" t="str">
        <f>IFERROR(__xludf.DUMMYFUNCTION("""COMPUTED_VALUE"""),"Kit Delivery")</f>
        <v>Kit Delivery</v>
      </c>
      <c r="Q401" s="93" t="str">
        <f>IFERROR(__xludf.DUMMYFUNCTION("""COMPUTED_VALUE"""),"Will be moving back to oncampus housing in late May")</f>
        <v>Will be moving back to oncampus housing in late May</v>
      </c>
      <c r="R401" s="93"/>
      <c r="S401" s="93" t="str">
        <f>IFERROR(__xludf.DUMMYFUNCTION("""COMPUTED_VALUE"""),"Dispatch_Images/KIT--17520.Photos.021500.jpg")</f>
        <v>Dispatch_Images/KIT--17520.Photos.021500.jpg</v>
      </c>
      <c r="T401" s="95">
        <f>IFERROR(__xludf.DUMMYFUNCTION("""COMPUTED_VALUE"""),46129.89100694445)</f>
        <v>46129.89101</v>
      </c>
      <c r="U401" s="93"/>
      <c r="V401" s="93"/>
      <c r="W401" s="93"/>
      <c r="X401" s="93"/>
      <c r="Y401" s="93"/>
      <c r="Z401" s="93"/>
    </row>
    <row r="402">
      <c r="A402" s="93" t="str">
        <f>IFERROR(__xludf.DUMMYFUNCTION("""COMPUTED_VALUE"""),"KIT-#17402")</f>
        <v>KIT-#17402</v>
      </c>
      <c r="B402" s="94">
        <f>IFERROR(__xludf.DUMMYFUNCTION("""COMPUTED_VALUE"""),46148.0)</f>
        <v>46148</v>
      </c>
      <c r="C402" s="93" t="str">
        <f>IFERROR(__xludf.DUMMYFUNCTION("""COMPUTED_VALUE"""),"Kit Delivery")</f>
        <v>Kit Delivery</v>
      </c>
      <c r="D402" s="93">
        <f>IFERROR(__xludf.DUMMYFUNCTION("""COMPUTED_VALUE"""),2.0)</f>
        <v>2</v>
      </c>
      <c r="E402" s="93" t="str">
        <f>IFERROR(__xludf.DUMMYFUNCTION("""COMPUTED_VALUE"""),"Umrath")</f>
        <v>Umrath</v>
      </c>
      <c r="F402" s="93">
        <f>IFERROR(__xludf.DUMMYFUNCTION("""COMPUTED_VALUE"""),4431.0)</f>
        <v>4431</v>
      </c>
      <c r="G402" s="93" t="str">
        <f>IFERROR(__xludf.DUMMYFUNCTION("""COMPUTED_VALUE"""),"Griffin Nichols")</f>
        <v>Griffin Nichols</v>
      </c>
      <c r="H402" s="93">
        <f>IFERROR(__xludf.DUMMYFUNCTION("""COMPUTED_VALUE"""),8.479772174E9)</f>
        <v>8479772174</v>
      </c>
      <c r="I402" s="93" t="str">
        <f>IFERROR(__xludf.DUMMYFUNCTION("""COMPUTED_VALUE"""),"2PM-4PM")</f>
        <v>2PM-4PM</v>
      </c>
      <c r="J402" s="93">
        <f>IFERROR(__xludf.DUMMYFUNCTION("""COMPUTED_VALUE"""),1.0)</f>
        <v>1</v>
      </c>
      <c r="K402" s="93" t="str">
        <f>IFERROR(__xludf.DUMMYFUNCTION("""COMPUTED_VALUE"""),"Complete")</f>
        <v>Complete</v>
      </c>
      <c r="L402" s="93"/>
      <c r="M402" s="94">
        <f>IFERROR(__xludf.DUMMYFUNCTION("""COMPUTED_VALUE"""),46129.88615740741)</f>
        <v>46129.88616</v>
      </c>
      <c r="N402" s="93">
        <f>IFERROR(__xludf.DUMMYFUNCTION("""COMPUTED_VALUE"""),179.0)</f>
        <v>179</v>
      </c>
      <c r="O402" s="93"/>
      <c r="P402" s="93" t="str">
        <f>IFERROR(__xludf.DUMMYFUNCTION("""COMPUTED_VALUE"""),"Kit Delivery")</f>
        <v>Kit Delivery</v>
      </c>
      <c r="Q402" s="93"/>
      <c r="R402" s="93"/>
      <c r="S402" s="93" t="str">
        <f>IFERROR(__xludf.DUMMYFUNCTION("""COMPUTED_VALUE"""),"Dispatch_Images/KIT--17402.Photos.021601.jpg")</f>
        <v>Dispatch_Images/KIT--17402.Photos.021601.jpg</v>
      </c>
      <c r="T402" s="95">
        <f>IFERROR(__xludf.DUMMYFUNCTION("""COMPUTED_VALUE"""),46129.89100694445)</f>
        <v>46129.89101</v>
      </c>
      <c r="U402" s="93"/>
      <c r="V402" s="93"/>
      <c r="W402" s="93"/>
      <c r="X402" s="93"/>
      <c r="Y402" s="93"/>
      <c r="Z402" s="93"/>
    </row>
    <row r="403">
      <c r="A403" s="93" t="str">
        <f>IFERROR(__xludf.DUMMYFUNCTION("""COMPUTED_VALUE"""),"KIT-#17545")</f>
        <v>KIT-#17545</v>
      </c>
      <c r="B403" s="94">
        <f>IFERROR(__xludf.DUMMYFUNCTION("""COMPUTED_VALUE"""),46148.0)</f>
        <v>46148</v>
      </c>
      <c r="C403" s="93" t="str">
        <f>IFERROR(__xludf.DUMMYFUNCTION("""COMPUTED_VALUE"""),"Kit Delivery")</f>
        <v>Kit Delivery</v>
      </c>
      <c r="D403" s="93">
        <f>IFERROR(__xludf.DUMMYFUNCTION("""COMPUTED_VALUE"""),2.0)</f>
        <v>2</v>
      </c>
      <c r="E403" s="93" t="str">
        <f>IFERROR(__xludf.DUMMYFUNCTION("""COMPUTED_VALUE"""),"Beaumont")</f>
        <v>Beaumont</v>
      </c>
      <c r="F403" s="93">
        <f>IFERROR(__xludf.DUMMYFUNCTION("""COMPUTED_VALUE"""),209.0)</f>
        <v>209</v>
      </c>
      <c r="G403" s="93" t="str">
        <f>IFERROR(__xludf.DUMMYFUNCTION("""COMPUTED_VALUE"""),"Riley Strelow")</f>
        <v>Riley Strelow</v>
      </c>
      <c r="H403" s="93">
        <f>IFERROR(__xludf.DUMMYFUNCTION("""COMPUTED_VALUE"""),9.499333467E9)</f>
        <v>9499333467</v>
      </c>
      <c r="I403" s="93" t="str">
        <f>IFERROR(__xludf.DUMMYFUNCTION("""COMPUTED_VALUE"""),"3PM-5PM")</f>
        <v>3PM-5PM</v>
      </c>
      <c r="J403" s="93">
        <f>IFERROR(__xludf.DUMMYFUNCTION("""COMPUTED_VALUE"""),1.0)</f>
        <v>1</v>
      </c>
      <c r="K403" s="93" t="str">
        <f>IFERROR(__xludf.DUMMYFUNCTION("""COMPUTED_VALUE"""),"Complete")</f>
        <v>Complete</v>
      </c>
      <c r="L403" s="93"/>
      <c r="M403" s="94">
        <f>IFERROR(__xludf.DUMMYFUNCTION("""COMPUTED_VALUE"""),46129.89655092593)</f>
        <v>46129.89655</v>
      </c>
      <c r="N403" s="93">
        <f>IFERROR(__xludf.DUMMYFUNCTION("""COMPUTED_VALUE"""),83.0)</f>
        <v>83</v>
      </c>
      <c r="O403" s="93"/>
      <c r="P403" s="93" t="str">
        <f>IFERROR(__xludf.DUMMYFUNCTION("""COMPUTED_VALUE"""),"Kit Delivery")</f>
        <v>Kit Delivery</v>
      </c>
      <c r="Q403" s="93"/>
      <c r="R403" s="93"/>
      <c r="S403" s="93" t="str">
        <f>IFERROR(__xludf.DUMMYFUNCTION("""COMPUTED_VALUE"""),"Dispatch_Images/KIT--17545.Photos.023059.jpg")</f>
        <v>Dispatch_Images/KIT--17545.Photos.023059.jpg</v>
      </c>
      <c r="T403" s="95">
        <f>IFERROR(__xludf.DUMMYFUNCTION("""COMPUTED_VALUE"""),46129.897939814815)</f>
        <v>46129.89794</v>
      </c>
      <c r="U403" s="93"/>
      <c r="V403" s="93"/>
      <c r="W403" s="93"/>
      <c r="X403" s="93"/>
      <c r="Y403" s="93"/>
      <c r="Z403" s="93"/>
    </row>
    <row r="404">
      <c r="A404" s="93" t="str">
        <f>IFERROR(__xludf.DUMMYFUNCTION("""COMPUTED_VALUE"""),"KIT-#17535")</f>
        <v>KIT-#17535</v>
      </c>
      <c r="B404" s="94">
        <f>IFERROR(__xludf.DUMMYFUNCTION("""COMPUTED_VALUE"""),46148.0)</f>
        <v>46148</v>
      </c>
      <c r="C404" s="93" t="str">
        <f>IFERROR(__xludf.DUMMYFUNCTION("""COMPUTED_VALUE"""),"Kit Delivery")</f>
        <v>Kit Delivery</v>
      </c>
      <c r="D404" s="93">
        <f>IFERROR(__xludf.DUMMYFUNCTION("""COMPUTED_VALUE"""),2.0)</f>
        <v>2</v>
      </c>
      <c r="E404" s="93" t="str">
        <f>IFERROR(__xludf.DUMMYFUNCTION("""COMPUTED_VALUE"""),"Danforth")</f>
        <v>Danforth</v>
      </c>
      <c r="F404" s="93">
        <f>IFERROR(__xludf.DUMMYFUNCTION("""COMPUTED_VALUE"""),4428.0)</f>
        <v>4428</v>
      </c>
      <c r="G404" s="93" t="str">
        <f>IFERROR(__xludf.DUMMYFUNCTION("""COMPUTED_VALUE"""),"Alexandra Leiser")</f>
        <v>Alexandra Leiser</v>
      </c>
      <c r="H404" s="93">
        <f>IFERROR(__xludf.DUMMYFUNCTION("""COMPUTED_VALUE"""),3.054976707E9)</f>
        <v>3054976707</v>
      </c>
      <c r="I404" s="93" t="str">
        <f>IFERROR(__xludf.DUMMYFUNCTION("""COMPUTED_VALUE"""),"3PM-5PM")</f>
        <v>3PM-5PM</v>
      </c>
      <c r="J404" s="93">
        <f>IFERROR(__xludf.DUMMYFUNCTION("""COMPUTED_VALUE"""),1.0)</f>
        <v>1</v>
      </c>
      <c r="K404" s="93" t="str">
        <f>IFERROR(__xludf.DUMMYFUNCTION("""COMPUTED_VALUE"""),"Complete")</f>
        <v>Complete</v>
      </c>
      <c r="L404" s="93"/>
      <c r="M404" s="94">
        <f>IFERROR(__xludf.DUMMYFUNCTION("""COMPUTED_VALUE"""),46129.90767361112)</f>
        <v>46129.90767</v>
      </c>
      <c r="N404" s="93">
        <f>IFERROR(__xludf.DUMMYFUNCTION("""COMPUTED_VALUE"""),50.0)</f>
        <v>50</v>
      </c>
      <c r="O404" s="93"/>
      <c r="P404" s="93" t="str">
        <f>IFERROR(__xludf.DUMMYFUNCTION("""COMPUTED_VALUE"""),"Kit Delivery")</f>
        <v>Kit Delivery</v>
      </c>
      <c r="Q404" s="93"/>
      <c r="R404" s="93"/>
      <c r="S404" s="93" t="str">
        <f>IFERROR(__xludf.DUMMYFUNCTION("""COMPUTED_VALUE"""),"Dispatch_Images/KIT--17535.Photos.024659.jpg")</f>
        <v>Dispatch_Images/KIT--17535.Photos.024659.jpg</v>
      </c>
      <c r="T404" s="95">
        <f>IFERROR(__xludf.DUMMYFUNCTION("""COMPUTED_VALUE"""),46129.911840277775)</f>
        <v>46129.91184</v>
      </c>
      <c r="U404" s="93"/>
      <c r="V404" s="93"/>
      <c r="W404" s="93"/>
      <c r="X404" s="93"/>
      <c r="Y404" s="93"/>
      <c r="Z404" s="93"/>
    </row>
    <row r="405">
      <c r="A405" s="93" t="str">
        <f>IFERROR(__xludf.DUMMYFUNCTION("""COMPUTED_VALUE"""),"KIT-#17532")</f>
        <v>KIT-#17532</v>
      </c>
      <c r="B405" s="94">
        <f>IFERROR(__xludf.DUMMYFUNCTION("""COMPUTED_VALUE"""),46148.0)</f>
        <v>46148</v>
      </c>
      <c r="C405" s="93" t="str">
        <f>IFERROR(__xludf.DUMMYFUNCTION("""COMPUTED_VALUE"""),"Kit Delivery")</f>
        <v>Kit Delivery</v>
      </c>
      <c r="D405" s="93">
        <f>IFERROR(__xludf.DUMMYFUNCTION("""COMPUTED_VALUE"""),2.0)</f>
        <v>2</v>
      </c>
      <c r="E405" s="93" t="str">
        <f>IFERROR(__xludf.DUMMYFUNCTION("""COMPUTED_VALUE"""),"Danforth")</f>
        <v>Danforth</v>
      </c>
      <c r="F405" s="93">
        <f>IFERROR(__xludf.DUMMYFUNCTION("""COMPUTED_VALUE"""),2221.0)</f>
        <v>2221</v>
      </c>
      <c r="G405" s="93" t="str">
        <f>IFERROR(__xludf.DUMMYFUNCTION("""COMPUTED_VALUE"""),"Talia Kohn-Blank")</f>
        <v>Talia Kohn-Blank</v>
      </c>
      <c r="H405" s="93">
        <f>IFERROR(__xludf.DUMMYFUNCTION("""COMPUTED_VALUE"""),9.175206775E9)</f>
        <v>9175206775</v>
      </c>
      <c r="I405" s="93" t="str">
        <f>IFERROR(__xludf.DUMMYFUNCTION("""COMPUTED_VALUE"""),"3PM-5PM")</f>
        <v>3PM-5PM</v>
      </c>
      <c r="J405" s="93">
        <f>IFERROR(__xludf.DUMMYFUNCTION("""COMPUTED_VALUE"""),1.0)</f>
        <v>1</v>
      </c>
      <c r="K405" s="93" t="str">
        <f>IFERROR(__xludf.DUMMYFUNCTION("""COMPUTED_VALUE"""),"Complete")</f>
        <v>Complete</v>
      </c>
      <c r="L405" s="93"/>
      <c r="M405" s="94">
        <f>IFERROR(__xludf.DUMMYFUNCTION("""COMPUTED_VALUE"""),46129.90975694444)</f>
        <v>46129.90976</v>
      </c>
      <c r="N405" s="93">
        <f>IFERROR(__xludf.DUMMYFUNCTION("""COMPUTED_VALUE"""),38.0)</f>
        <v>38</v>
      </c>
      <c r="O405" s="93"/>
      <c r="P405" s="93" t="str">
        <f>IFERROR(__xludf.DUMMYFUNCTION("""COMPUTED_VALUE"""),"Kit Delivery")</f>
        <v>Kit Delivery</v>
      </c>
      <c r="Q405" s="93"/>
      <c r="R405" s="93"/>
      <c r="S405" s="93" t="str">
        <f>IFERROR(__xludf.DUMMYFUNCTION("""COMPUTED_VALUE"""),"Dispatch_Images/KIT--17532.Photos.024959.jpg")</f>
        <v>Dispatch_Images/KIT--17532.Photos.024959.jpg</v>
      </c>
      <c r="T405" s="95">
        <f>IFERROR(__xludf.DUMMYFUNCTION("""COMPUTED_VALUE"""),46129.911840277775)</f>
        <v>46129.91184</v>
      </c>
      <c r="U405" s="93"/>
      <c r="V405" s="93"/>
      <c r="W405" s="93"/>
      <c r="X405" s="93"/>
      <c r="Y405" s="93"/>
      <c r="Z405" s="93"/>
    </row>
    <row r="406">
      <c r="A406" s="93" t="str">
        <f>IFERROR(__xludf.DUMMYFUNCTION("""COMPUTED_VALUE"""),"KIT-#17228")</f>
        <v>KIT-#17228</v>
      </c>
      <c r="B406" s="94">
        <f>IFERROR(__xludf.DUMMYFUNCTION("""COMPUTED_VALUE"""),46148.0)</f>
        <v>46148</v>
      </c>
      <c r="C406" s="93" t="str">
        <f>IFERROR(__xludf.DUMMYFUNCTION("""COMPUTED_VALUE"""),"Kit Delivery")</f>
        <v>Kit Delivery</v>
      </c>
      <c r="D406" s="93">
        <f>IFERROR(__xludf.DUMMYFUNCTION("""COMPUTED_VALUE"""),2.0)</f>
        <v>2</v>
      </c>
      <c r="E406" s="93" t="str">
        <f>IFERROR(__xludf.DUMMYFUNCTION("""COMPUTED_VALUE"""),"Danforth")</f>
        <v>Danforth</v>
      </c>
      <c r="F406" s="93">
        <f>IFERROR(__xludf.DUMMYFUNCTION("""COMPUTED_VALUE"""),4422.0)</f>
        <v>4422</v>
      </c>
      <c r="G406" s="93" t="str">
        <f>IFERROR(__xludf.DUMMYFUNCTION("""COMPUTED_VALUE"""),"Mia Reisman")</f>
        <v>Mia Reisman</v>
      </c>
      <c r="H406" s="93">
        <f>IFERROR(__xludf.DUMMYFUNCTION("""COMPUTED_VALUE"""),1.9146108725E10)</f>
        <v>19146108725</v>
      </c>
      <c r="I406" s="93" t="str">
        <f>IFERROR(__xludf.DUMMYFUNCTION("""COMPUTED_VALUE"""),"3PM-5PM")</f>
        <v>3PM-5PM</v>
      </c>
      <c r="J406" s="93">
        <f>IFERROR(__xludf.DUMMYFUNCTION("""COMPUTED_VALUE"""),1.0)</f>
        <v>1</v>
      </c>
      <c r="K406" s="93" t="str">
        <f>IFERROR(__xludf.DUMMYFUNCTION("""COMPUTED_VALUE"""),"Complete")</f>
        <v>Complete</v>
      </c>
      <c r="L406" s="93"/>
      <c r="M406" s="94">
        <f>IFERROR(__xludf.DUMMYFUNCTION("""COMPUTED_VALUE"""),46129.91023148148)</f>
        <v>46129.91023</v>
      </c>
      <c r="N406" s="93">
        <f>IFERROR(__xludf.DUMMYFUNCTION("""COMPUTED_VALUE"""),48.0)</f>
        <v>48</v>
      </c>
      <c r="O406" s="93" t="str">
        <f>IFERROR(__xludf.DUMMYFUNCTION("""COMPUTED_VALUE"""),"329 Stanley Ave Mamaroneck NY 10543")</f>
        <v>329 Stanley Ave Mamaroneck NY 10543</v>
      </c>
      <c r="P406" s="93" t="str">
        <f>IFERROR(__xludf.DUMMYFUNCTION("""COMPUTED_VALUE"""),"Kit Delivery")</f>
        <v>Kit Delivery</v>
      </c>
      <c r="Q406" s="93"/>
      <c r="R406" s="93"/>
      <c r="S406" s="93" t="str">
        <f>IFERROR(__xludf.DUMMYFUNCTION("""COMPUTED_VALUE"""),"Dispatch_Images/KIT--17228.Photos.025041.jpg")</f>
        <v>Dispatch_Images/KIT--17228.Photos.025041.jpg</v>
      </c>
      <c r="T406" s="95">
        <f>IFERROR(__xludf.DUMMYFUNCTION("""COMPUTED_VALUE"""),46129.911840277775)</f>
        <v>46129.91184</v>
      </c>
      <c r="U406" s="93"/>
      <c r="V406" s="93"/>
      <c r="W406" s="93"/>
      <c r="X406" s="93"/>
      <c r="Y406" s="93"/>
      <c r="Z406" s="93"/>
    </row>
    <row r="407">
      <c r="A407" s="93" t="str">
        <f>IFERROR(__xludf.DUMMYFUNCTION("""COMPUTED_VALUE"""),"KIT-#17369")</f>
        <v>KIT-#17369</v>
      </c>
      <c r="B407" s="94">
        <f>IFERROR(__xludf.DUMMYFUNCTION("""COMPUTED_VALUE"""),46148.0)</f>
        <v>46148</v>
      </c>
      <c r="C407" s="93" t="str">
        <f>IFERROR(__xludf.DUMMYFUNCTION("""COMPUTED_VALUE"""),"Kit Delivery")</f>
        <v>Kit Delivery</v>
      </c>
      <c r="D407" s="93">
        <f>IFERROR(__xludf.DUMMYFUNCTION("""COMPUTED_VALUE"""),1.0)</f>
        <v>1</v>
      </c>
      <c r="E407" s="93" t="str">
        <f>IFERROR(__xludf.DUMMYFUNCTION("""COMPUTED_VALUE"""),"Dardick")</f>
        <v>Dardick</v>
      </c>
      <c r="F407" s="93">
        <f>IFERROR(__xludf.DUMMYFUNCTION("""COMPUTED_VALUE"""),4425.0)</f>
        <v>4425</v>
      </c>
      <c r="G407" s="93" t="str">
        <f>IFERROR(__xludf.DUMMYFUNCTION("""COMPUTED_VALUE"""),"Natalie Lyon")</f>
        <v>Natalie Lyon</v>
      </c>
      <c r="H407" s="93">
        <f>IFERROR(__xludf.DUMMYFUNCTION("""COMPUTED_VALUE"""),8.02734432E9)</f>
        <v>8027344320</v>
      </c>
      <c r="I407" s="93" t="str">
        <f>IFERROR(__xludf.DUMMYFUNCTION("""COMPUTED_VALUE"""),"11AM-1PM")</f>
        <v>11AM-1PM</v>
      </c>
      <c r="J407" s="93">
        <f>IFERROR(__xludf.DUMMYFUNCTION("""COMPUTED_VALUE"""),1.0)</f>
        <v>1</v>
      </c>
      <c r="K407" s="93" t="str">
        <f>IFERROR(__xludf.DUMMYFUNCTION("""COMPUTED_VALUE"""),"Complete")</f>
        <v>Complete</v>
      </c>
      <c r="L407" s="93"/>
      <c r="M407" s="94">
        <f>IFERROR(__xludf.DUMMYFUNCTION("""COMPUTED_VALUE"""),46130.38789351852)</f>
        <v>46130.38789</v>
      </c>
      <c r="N407" s="93">
        <f>IFERROR(__xludf.DUMMYFUNCTION("""COMPUTED_VALUE"""),132.0)</f>
        <v>132</v>
      </c>
      <c r="O407" s="93"/>
      <c r="P407" s="93" t="str">
        <f>IFERROR(__xludf.DUMMYFUNCTION("""COMPUTED_VALUE"""),"Kit Delivery")</f>
        <v>Kit Delivery</v>
      </c>
      <c r="Q407" s="93"/>
      <c r="R407" s="93"/>
      <c r="S407" s="93" t="str">
        <f>IFERROR(__xludf.DUMMYFUNCTION("""COMPUTED_VALUE"""),"Dispatch_Images/KIT--17369.Photos.141831.jpg")</f>
        <v>Dispatch_Images/KIT--17369.Photos.141831.jpg</v>
      </c>
      <c r="T407" s="95">
        <f>IFERROR(__xludf.DUMMYFUNCTION("""COMPUTED_VALUE"""),46130.39099537037)</f>
        <v>46130.391</v>
      </c>
      <c r="U407" s="93"/>
      <c r="V407" s="93"/>
      <c r="W407" s="93"/>
      <c r="X407" s="93"/>
      <c r="Y407" s="93"/>
      <c r="Z407" s="93"/>
    </row>
    <row r="408">
      <c r="A408" s="93" t="str">
        <f>IFERROR(__xludf.DUMMYFUNCTION("""COMPUTED_VALUE"""),"KIT-#17557")</f>
        <v>KIT-#17557</v>
      </c>
      <c r="B408" s="94">
        <f>IFERROR(__xludf.DUMMYFUNCTION("""COMPUTED_VALUE"""),46148.0)</f>
        <v>46148</v>
      </c>
      <c r="C408" s="93" t="str">
        <f>IFERROR(__xludf.DUMMYFUNCTION("""COMPUTED_VALUE"""),"Kit Delivery")</f>
        <v>Kit Delivery</v>
      </c>
      <c r="D408" s="93">
        <f>IFERROR(__xludf.DUMMYFUNCTION("""COMPUTED_VALUE"""),1.0)</f>
        <v>1</v>
      </c>
      <c r="E408" s="93" t="str">
        <f>IFERROR(__xludf.DUMMYFUNCTION("""COMPUTED_VALUE"""),"Dardick")</f>
        <v>Dardick</v>
      </c>
      <c r="F408" s="93">
        <f>IFERROR(__xludf.DUMMYFUNCTION("""COMPUTED_VALUE"""),2214.0)</f>
        <v>2214</v>
      </c>
      <c r="G408" s="93" t="str">
        <f>IFERROR(__xludf.DUMMYFUNCTION("""COMPUTED_VALUE"""),"Aiden Wang")</f>
        <v>Aiden Wang</v>
      </c>
      <c r="H408" s="93">
        <f>IFERROR(__xludf.DUMMYFUNCTION("""COMPUTED_VALUE"""),9.085528213E9)</f>
        <v>9085528213</v>
      </c>
      <c r="I408" s="93" t="str">
        <f>IFERROR(__xludf.DUMMYFUNCTION("""COMPUTED_VALUE"""),"9AM-11AM")</f>
        <v>9AM-11AM</v>
      </c>
      <c r="J408" s="93">
        <f>IFERROR(__xludf.DUMMYFUNCTION("""COMPUTED_VALUE"""),1.0)</f>
        <v>1</v>
      </c>
      <c r="K408" s="93" t="str">
        <f>IFERROR(__xludf.DUMMYFUNCTION("""COMPUTED_VALUE"""),"Complete")</f>
        <v>Complete</v>
      </c>
      <c r="L408" s="93"/>
      <c r="M408" s="94">
        <f>IFERROR(__xludf.DUMMYFUNCTION("""COMPUTED_VALUE"""),46130.39324074074)</f>
        <v>46130.39324</v>
      </c>
      <c r="N408" s="93">
        <f>IFERROR(__xludf.DUMMYFUNCTION("""COMPUTED_VALUE"""),120.0)</f>
        <v>120</v>
      </c>
      <c r="O408" s="93"/>
      <c r="P408" s="93" t="str">
        <f>IFERROR(__xludf.DUMMYFUNCTION("""COMPUTED_VALUE"""),"Kit Delivery")</f>
        <v>Kit Delivery</v>
      </c>
      <c r="Q408" s="93"/>
      <c r="R408" s="93"/>
      <c r="S408" s="93" t="str">
        <f>IFERROR(__xludf.DUMMYFUNCTION("""COMPUTED_VALUE"""),"Dispatch_Images/KIT--17557.Photos.142613.jpg")</f>
        <v>Dispatch_Images/KIT--17557.Photos.142613.jpg</v>
      </c>
      <c r="T408" s="95">
        <f>IFERROR(__xludf.DUMMYFUNCTION("""COMPUTED_VALUE"""),46130.39796296296)</f>
        <v>46130.39796</v>
      </c>
      <c r="U408" s="93"/>
      <c r="V408" s="93"/>
      <c r="W408" s="93"/>
      <c r="X408" s="93"/>
      <c r="Y408" s="93"/>
      <c r="Z408" s="93"/>
    </row>
    <row r="409">
      <c r="A409" s="93" t="str">
        <f>IFERROR(__xludf.DUMMYFUNCTION("""COMPUTED_VALUE"""),"KIT-#17068")</f>
        <v>KIT-#17068</v>
      </c>
      <c r="B409" s="94">
        <f>IFERROR(__xludf.DUMMYFUNCTION("""COMPUTED_VALUE"""),46148.0)</f>
        <v>46148</v>
      </c>
      <c r="C409" s="93" t="str">
        <f>IFERROR(__xludf.DUMMYFUNCTION("""COMPUTED_VALUE"""),"Kit Delivery")</f>
        <v>Kit Delivery</v>
      </c>
      <c r="D409" s="93">
        <f>IFERROR(__xludf.DUMMYFUNCTION("""COMPUTED_VALUE"""),1.0)</f>
        <v>1</v>
      </c>
      <c r="E409" s="93" t="str">
        <f>IFERROR(__xludf.DUMMYFUNCTION("""COMPUTED_VALUE"""),"Dardick")</f>
        <v>Dardick</v>
      </c>
      <c r="F409" s="93">
        <f>IFERROR(__xludf.DUMMYFUNCTION("""COMPUTED_VALUE"""),2220.0)</f>
        <v>2220</v>
      </c>
      <c r="G409" s="93" t="str">
        <f>IFERROR(__xludf.DUMMYFUNCTION("""COMPUTED_VALUE"""),"Josephine Roubitchek")</f>
        <v>Josephine Roubitchek</v>
      </c>
      <c r="H409" s="93">
        <f>IFERROR(__xludf.DUMMYFUNCTION("""COMPUTED_VALUE"""),3.123710971E9)</f>
        <v>3123710971</v>
      </c>
      <c r="I409" s="93" t="str">
        <f>IFERROR(__xludf.DUMMYFUNCTION("""COMPUTED_VALUE"""),"9AM-11AM")</f>
        <v>9AM-11AM</v>
      </c>
      <c r="J409" s="93">
        <f>IFERROR(__xludf.DUMMYFUNCTION("""COMPUTED_VALUE"""),1.0)</f>
        <v>1</v>
      </c>
      <c r="K409" s="93" t="str">
        <f>IFERROR(__xludf.DUMMYFUNCTION("""COMPUTED_VALUE"""),"Complete")</f>
        <v>Complete</v>
      </c>
      <c r="L409" s="93"/>
      <c r="M409" s="94">
        <f>IFERROR(__xludf.DUMMYFUNCTION("""COMPUTED_VALUE"""),46130.39483796296)</f>
        <v>46130.39484</v>
      </c>
      <c r="N409" s="93">
        <f>IFERROR(__xludf.DUMMYFUNCTION("""COMPUTED_VALUE"""),121.0)</f>
        <v>121</v>
      </c>
      <c r="O409" s="93"/>
      <c r="P409" s="93" t="str">
        <f>IFERROR(__xludf.DUMMYFUNCTION("""COMPUTED_VALUE"""),"Kit Delivery")</f>
        <v>Kit Delivery</v>
      </c>
      <c r="Q409" s="93"/>
      <c r="R409" s="93"/>
      <c r="S409" s="93" t="str">
        <f>IFERROR(__xludf.DUMMYFUNCTION("""COMPUTED_VALUE"""),"Dispatch_Images/KIT--17068.Photos.142830.jpg")</f>
        <v>Dispatch_Images/KIT--17068.Photos.142830.jpg</v>
      </c>
      <c r="T409" s="95">
        <f>IFERROR(__xludf.DUMMYFUNCTION("""COMPUTED_VALUE"""),46130.39796296296)</f>
        <v>46130.39796</v>
      </c>
      <c r="U409" s="93"/>
      <c r="V409" s="93"/>
      <c r="W409" s="93"/>
      <c r="X409" s="93"/>
      <c r="Y409" s="93"/>
      <c r="Z409" s="93"/>
    </row>
    <row r="410">
      <c r="A410" s="93" t="str">
        <f>IFERROR(__xludf.DUMMYFUNCTION("""COMPUTED_VALUE"""),"KIT-#17166")</f>
        <v>KIT-#17166</v>
      </c>
      <c r="B410" s="94">
        <f>IFERROR(__xludf.DUMMYFUNCTION("""COMPUTED_VALUE"""),46148.0)</f>
        <v>46148</v>
      </c>
      <c r="C410" s="93" t="str">
        <f>IFERROR(__xludf.DUMMYFUNCTION("""COMPUTED_VALUE"""),"Kit Delivery")</f>
        <v>Kit Delivery</v>
      </c>
      <c r="D410" s="93">
        <f>IFERROR(__xludf.DUMMYFUNCTION("""COMPUTED_VALUE"""),1.0)</f>
        <v>1</v>
      </c>
      <c r="E410" s="93" t="str">
        <f>IFERROR(__xludf.DUMMYFUNCTION("""COMPUTED_VALUE"""),"Nemerov")</f>
        <v>Nemerov</v>
      </c>
      <c r="F410" s="93">
        <f>IFERROR(__xludf.DUMMYFUNCTION("""COMPUTED_VALUE"""),3021.0)</f>
        <v>3021</v>
      </c>
      <c r="G410" s="93" t="str">
        <f>IFERROR(__xludf.DUMMYFUNCTION("""COMPUTED_VALUE"""),"Sydney Guthrie")</f>
        <v>Sydney Guthrie</v>
      </c>
      <c r="H410" s="93">
        <f>IFERROR(__xludf.DUMMYFUNCTION("""COMPUTED_VALUE"""),5.613130033E9)</f>
        <v>5613130033</v>
      </c>
      <c r="I410" s="93" t="str">
        <f>IFERROR(__xludf.DUMMYFUNCTION("""COMPUTED_VALUE"""),"9AM-11AM")</f>
        <v>9AM-11AM</v>
      </c>
      <c r="J410" s="93">
        <f>IFERROR(__xludf.DUMMYFUNCTION("""COMPUTED_VALUE"""),1.0)</f>
        <v>1</v>
      </c>
      <c r="K410" s="93" t="str">
        <f>IFERROR(__xludf.DUMMYFUNCTION("""COMPUTED_VALUE"""),"Complete")</f>
        <v>Complete</v>
      </c>
      <c r="L410" s="93"/>
      <c r="M410" s="94">
        <f>IFERROR(__xludf.DUMMYFUNCTION("""COMPUTED_VALUE"""),46130.40583333334)</f>
        <v>46130.40583</v>
      </c>
      <c r="N410" s="93">
        <f>IFERROR(__xludf.DUMMYFUNCTION("""COMPUTED_VALUE"""),134.0)</f>
        <v>134</v>
      </c>
      <c r="O410" s="93"/>
      <c r="P410" s="93" t="str">
        <f>IFERROR(__xludf.DUMMYFUNCTION("""COMPUTED_VALUE"""),"Kit Delivery")</f>
        <v>Kit Delivery</v>
      </c>
      <c r="Q410" s="93"/>
      <c r="R410" s="93"/>
      <c r="S410" s="93" t="str">
        <f>IFERROR(__xludf.DUMMYFUNCTION("""COMPUTED_VALUE"""),"Dispatch_Images/KIT--17166.Photos.144421.jpg")</f>
        <v>Dispatch_Images/KIT--17166.Photos.144421.jpg</v>
      </c>
      <c r="T410" s="95">
        <f>IFERROR(__xludf.DUMMYFUNCTION("""COMPUTED_VALUE"""),46130.411828703705)</f>
        <v>46130.41183</v>
      </c>
      <c r="U410" s="93"/>
      <c r="V410" s="93"/>
      <c r="W410" s="93"/>
      <c r="X410" s="93"/>
      <c r="Y410" s="93"/>
      <c r="Z410" s="93"/>
    </row>
    <row r="411">
      <c r="A411" s="93" t="str">
        <f>IFERROR(__xludf.DUMMYFUNCTION("""COMPUTED_VALUE"""),"KIT-#17354")</f>
        <v>KIT-#17354</v>
      </c>
      <c r="B411" s="94">
        <f>IFERROR(__xludf.DUMMYFUNCTION("""COMPUTED_VALUE"""),46148.0)</f>
        <v>46148</v>
      </c>
      <c r="C411" s="93" t="str">
        <f>IFERROR(__xludf.DUMMYFUNCTION("""COMPUTED_VALUE"""),"Kit Delivery")</f>
        <v>Kit Delivery</v>
      </c>
      <c r="D411" s="93">
        <f>IFERROR(__xludf.DUMMYFUNCTION("""COMPUTED_VALUE"""),1.0)</f>
        <v>1</v>
      </c>
      <c r="E411" s="93" t="str">
        <f>IFERROR(__xludf.DUMMYFUNCTION("""COMPUTED_VALUE"""),"Nemerov")</f>
        <v>Nemerov</v>
      </c>
      <c r="F411" s="93" t="str">
        <f>IFERROR(__xludf.DUMMYFUNCTION("""COMPUTED_VALUE"""),"4074-A")</f>
        <v>4074-A</v>
      </c>
      <c r="G411" s="93" t="str">
        <f>IFERROR(__xludf.DUMMYFUNCTION("""COMPUTED_VALUE"""),"Myles")</f>
        <v>Myles</v>
      </c>
      <c r="H411" s="93">
        <f>IFERROR(__xludf.DUMMYFUNCTION("""COMPUTED_VALUE"""),7.733438085E9)</f>
        <v>7733438085</v>
      </c>
      <c r="I411" s="93" t="str">
        <f>IFERROR(__xludf.DUMMYFUNCTION("""COMPUTED_VALUE"""),"9AM-11AM")</f>
        <v>9AM-11AM</v>
      </c>
      <c r="J411" s="93">
        <f>IFERROR(__xludf.DUMMYFUNCTION("""COMPUTED_VALUE"""),2.0)</f>
        <v>2</v>
      </c>
      <c r="K411" s="93" t="str">
        <f>IFERROR(__xludf.DUMMYFUNCTION("""COMPUTED_VALUE"""),"Complete")</f>
        <v>Complete</v>
      </c>
      <c r="L411" s="93"/>
      <c r="M411" s="94">
        <f>IFERROR(__xludf.DUMMYFUNCTION("""COMPUTED_VALUE"""),46130.40771990741)</f>
        <v>46130.40772</v>
      </c>
      <c r="N411" s="93">
        <f>IFERROR(__xludf.DUMMYFUNCTION("""COMPUTED_VALUE"""),140.0)</f>
        <v>140</v>
      </c>
      <c r="O411" s="93"/>
      <c r="P411" s="93" t="str">
        <f>IFERROR(__xludf.DUMMYFUNCTION("""COMPUTED_VALUE"""),"Kit Delivery")</f>
        <v>Kit Delivery</v>
      </c>
      <c r="Q411" s="93"/>
      <c r="R411" s="93"/>
      <c r="S411" s="93" t="str">
        <f>IFERROR(__xludf.DUMMYFUNCTION("""COMPUTED_VALUE"""),"Dispatch_Images/KIT--17354.Photos.144704.jpg")</f>
        <v>Dispatch_Images/KIT--17354.Photos.144704.jpg</v>
      </c>
      <c r="T411" s="95">
        <f>IFERROR(__xludf.DUMMYFUNCTION("""COMPUTED_VALUE"""),46130.411828703705)</f>
        <v>46130.41183</v>
      </c>
      <c r="U411" s="93"/>
      <c r="V411" s="93"/>
      <c r="W411" s="93"/>
      <c r="X411" s="93"/>
      <c r="Y411" s="93"/>
      <c r="Z411" s="93"/>
    </row>
    <row r="412">
      <c r="A412" s="93" t="str">
        <f>IFERROR(__xludf.DUMMYFUNCTION("""COMPUTED_VALUE"""),"KIT-#17198")</f>
        <v>KIT-#17198</v>
      </c>
      <c r="B412" s="94">
        <f>IFERROR(__xludf.DUMMYFUNCTION("""COMPUTED_VALUE"""),46148.0)</f>
        <v>46148</v>
      </c>
      <c r="C412" s="93" t="str">
        <f>IFERROR(__xludf.DUMMYFUNCTION("""COMPUTED_VALUE"""),"Kit Delivery")</f>
        <v>Kit Delivery</v>
      </c>
      <c r="D412" s="93">
        <f>IFERROR(__xludf.DUMMYFUNCTION("""COMPUTED_VALUE"""),1.0)</f>
        <v>1</v>
      </c>
      <c r="E412" s="93" t="str">
        <f>IFERROR(__xludf.DUMMYFUNCTION("""COMPUTED_VALUE"""),"Nemerov")</f>
        <v>Nemerov</v>
      </c>
      <c r="F412" s="93">
        <f>IFERROR(__xludf.DUMMYFUNCTION("""COMPUTED_VALUE"""),10004.0)</f>
        <v>10004</v>
      </c>
      <c r="G412" s="93" t="str">
        <f>IFERROR(__xludf.DUMMYFUNCTION("""COMPUTED_VALUE"""),"Joyce Lin")</f>
        <v>Joyce Lin</v>
      </c>
      <c r="H412" s="93">
        <f>IFERROR(__xludf.DUMMYFUNCTION("""COMPUTED_VALUE"""),3.144454648E9)</f>
        <v>3144454648</v>
      </c>
      <c r="I412" s="93" t="str">
        <f>IFERROR(__xludf.DUMMYFUNCTION("""COMPUTED_VALUE"""),"12PM-2PM")</f>
        <v>12PM-2PM</v>
      </c>
      <c r="J412" s="93">
        <f>IFERROR(__xludf.DUMMYFUNCTION("""COMPUTED_VALUE"""),3.0)</f>
        <v>3</v>
      </c>
      <c r="K412" s="93" t="str">
        <f>IFERROR(__xludf.DUMMYFUNCTION("""COMPUTED_VALUE"""),"Complete")</f>
        <v>Complete</v>
      </c>
      <c r="L412" s="93"/>
      <c r="M412" s="94">
        <f>IFERROR(__xludf.DUMMYFUNCTION("""COMPUTED_VALUE"""),46130.41009259259)</f>
        <v>46130.41009</v>
      </c>
      <c r="N412" s="93">
        <f>IFERROR(__xludf.DUMMYFUNCTION("""COMPUTED_VALUE"""),146.0)</f>
        <v>146</v>
      </c>
      <c r="O412" s="93" t="str">
        <f>IFERROR(__xludf.DUMMYFUNCTION("""COMPUTED_VALUE"""),"6105 Delmar Blvd. Apt 1008, Saint Louis, MO 63112")</f>
        <v>6105 Delmar Blvd. Apt 1008, Saint Louis, MO 63112</v>
      </c>
      <c r="P412" s="93" t="str">
        <f>IFERROR(__xludf.DUMMYFUNCTION("""COMPUTED_VALUE"""),"Kit Delivery")</f>
        <v>Kit Delivery</v>
      </c>
      <c r="Q412" s="93"/>
      <c r="R412" s="93"/>
      <c r="S412" s="93" t="str">
        <f>IFERROR(__xludf.DUMMYFUNCTION("""COMPUTED_VALUE"""),"Dispatch_Images/KIT--17198.Photos.145028.jpg")</f>
        <v>Dispatch_Images/KIT--17198.Photos.145028.jpg</v>
      </c>
      <c r="T412" s="95">
        <f>IFERROR(__xludf.DUMMYFUNCTION("""COMPUTED_VALUE"""),46130.411828703705)</f>
        <v>46130.41183</v>
      </c>
      <c r="U412" s="93"/>
      <c r="V412" s="93"/>
      <c r="W412" s="93"/>
      <c r="X412" s="93"/>
      <c r="Y412" s="93"/>
      <c r="Z412" s="93"/>
    </row>
    <row r="413">
      <c r="A413" s="93" t="str">
        <f>IFERROR(__xludf.DUMMYFUNCTION("""COMPUTED_VALUE"""),"KIT-#17450")</f>
        <v>KIT-#17450</v>
      </c>
      <c r="B413" s="94">
        <f>IFERROR(__xludf.DUMMYFUNCTION("""COMPUTED_VALUE"""),46148.0)</f>
        <v>46148</v>
      </c>
      <c r="C413" s="93" t="str">
        <f>IFERROR(__xludf.DUMMYFUNCTION("""COMPUTED_VALUE"""),"Kit Delivery")</f>
        <v>Kit Delivery</v>
      </c>
      <c r="D413" s="93">
        <f>IFERROR(__xludf.DUMMYFUNCTION("""COMPUTED_VALUE"""),3.0)</f>
        <v>3</v>
      </c>
      <c r="E413" s="93" t="str">
        <f>IFERROR(__xludf.DUMMYFUNCTION("""COMPUTED_VALUE"""),"Koenig")</f>
        <v>Koenig</v>
      </c>
      <c r="F413" s="93">
        <f>IFERROR(__xludf.DUMMYFUNCTION("""COMPUTED_VALUE"""),1116.0)</f>
        <v>1116</v>
      </c>
      <c r="G413" s="93" t="str">
        <f>IFERROR(__xludf.DUMMYFUNCTION("""COMPUTED_VALUE"""),"Benjamin Ganz")</f>
        <v>Benjamin Ganz</v>
      </c>
      <c r="H413" s="93">
        <f>IFERROR(__xludf.DUMMYFUNCTION("""COMPUTED_VALUE"""),4.042107273E9)</f>
        <v>4042107273</v>
      </c>
      <c r="I413" s="93" t="str">
        <f>IFERROR(__xludf.DUMMYFUNCTION("""COMPUTED_VALUE"""),"9AM-11AM")</f>
        <v>9AM-11AM</v>
      </c>
      <c r="J413" s="93">
        <f>IFERROR(__xludf.DUMMYFUNCTION("""COMPUTED_VALUE"""),1.0)</f>
        <v>1</v>
      </c>
      <c r="K413" s="93" t="str">
        <f>IFERROR(__xludf.DUMMYFUNCTION("""COMPUTED_VALUE"""),"Complete")</f>
        <v>Complete</v>
      </c>
      <c r="L413" s="93"/>
      <c r="M413" s="94">
        <f>IFERROR(__xludf.DUMMYFUNCTION("""COMPUTED_VALUE"""),46130.428518518514)</f>
        <v>46130.42852</v>
      </c>
      <c r="N413" s="93">
        <f>IFERROR(__xludf.DUMMYFUNCTION("""COMPUTED_VALUE"""),198.0)</f>
        <v>198</v>
      </c>
      <c r="O413" s="93"/>
      <c r="P413" s="93" t="str">
        <f>IFERROR(__xludf.DUMMYFUNCTION("""COMPUTED_VALUE"""),"Kit Delivery")</f>
        <v>Kit Delivery</v>
      </c>
      <c r="Q413" s="93" t="str">
        <f>IFERROR(__xludf.DUMMYFUNCTION("""COMPUTED_VALUE"""),"The earlier the better!")</f>
        <v>The earlier the better!</v>
      </c>
      <c r="R413" s="93"/>
      <c r="S413" s="93" t="str">
        <f>IFERROR(__xludf.DUMMYFUNCTION("""COMPUTED_VALUE"""),"Dispatch_Images/KIT--17450.Photos.151701.jpg")</f>
        <v>Dispatch_Images/KIT--17450.Photos.151701.jpg</v>
      </c>
      <c r="T413" s="95">
        <f>IFERROR(__xludf.DUMMYFUNCTION("""COMPUTED_VALUE"""),46130.432662037034)</f>
        <v>46130.43266</v>
      </c>
      <c r="U413" s="93"/>
      <c r="V413" s="93"/>
      <c r="W413" s="93"/>
      <c r="X413" s="93"/>
      <c r="Y413" s="93"/>
      <c r="Z413" s="93"/>
    </row>
    <row r="414">
      <c r="A414" s="93" t="str">
        <f>IFERROR(__xludf.DUMMYFUNCTION("""COMPUTED_VALUE"""),"KIT-#17351")</f>
        <v>KIT-#17351</v>
      </c>
      <c r="B414" s="94">
        <f>IFERROR(__xludf.DUMMYFUNCTION("""COMPUTED_VALUE"""),46148.0)</f>
        <v>46148</v>
      </c>
      <c r="C414" s="93" t="str">
        <f>IFERROR(__xludf.DUMMYFUNCTION("""COMPUTED_VALUE"""),"Kit Delivery")</f>
        <v>Kit Delivery</v>
      </c>
      <c r="D414" s="93">
        <f>IFERROR(__xludf.DUMMYFUNCTION("""COMPUTED_VALUE"""),3.0)</f>
        <v>3</v>
      </c>
      <c r="E414" s="93" t="str">
        <f>IFERROR(__xludf.DUMMYFUNCTION("""COMPUTED_VALUE"""),"Koenig")</f>
        <v>Koenig</v>
      </c>
      <c r="F414" s="93">
        <f>IFERROR(__xludf.DUMMYFUNCTION("""COMPUTED_VALUE"""),1117.0)</f>
        <v>1117</v>
      </c>
      <c r="G414" s="93" t="str">
        <f>IFERROR(__xludf.DUMMYFUNCTION("""COMPUTED_VALUE"""),"Sohta Cheung-Naito")</f>
        <v>Sohta Cheung-Naito</v>
      </c>
      <c r="H414" s="93">
        <f>IFERROR(__xludf.DUMMYFUNCTION("""COMPUTED_VALUE"""),2.014660281E9)</f>
        <v>2014660281</v>
      </c>
      <c r="I414" s="93" t="str">
        <f>IFERROR(__xludf.DUMMYFUNCTION("""COMPUTED_VALUE"""),"2PM-4PM")</f>
        <v>2PM-4PM</v>
      </c>
      <c r="J414" s="93">
        <f>IFERROR(__xludf.DUMMYFUNCTION("""COMPUTED_VALUE"""),1.0)</f>
        <v>1</v>
      </c>
      <c r="K414" s="93" t="str">
        <f>IFERROR(__xludf.DUMMYFUNCTION("""COMPUTED_VALUE"""),"Complete")</f>
        <v>Complete</v>
      </c>
      <c r="L414" s="93"/>
      <c r="M414" s="94">
        <f>IFERROR(__xludf.DUMMYFUNCTION("""COMPUTED_VALUE"""),46130.42880787037)</f>
        <v>46130.42881</v>
      </c>
      <c r="N414" s="93">
        <f>IFERROR(__xludf.DUMMYFUNCTION("""COMPUTED_VALUE"""),199.0)</f>
        <v>199</v>
      </c>
      <c r="O414" s="93"/>
      <c r="P414" s="93" t="str">
        <f>IFERROR(__xludf.DUMMYFUNCTION("""COMPUTED_VALUE"""),"Kit Delivery")</f>
        <v>Kit Delivery</v>
      </c>
      <c r="Q414" s="93"/>
      <c r="R414" s="93"/>
      <c r="S414" s="93" t="str">
        <f>IFERROR(__xludf.DUMMYFUNCTION("""COMPUTED_VALUE"""),"Dispatch_Images/KIT--17351.Photos.151726.jpg")</f>
        <v>Dispatch_Images/KIT--17351.Photos.151726.jpg</v>
      </c>
      <c r="T414" s="95">
        <f>IFERROR(__xludf.DUMMYFUNCTION("""COMPUTED_VALUE"""),46130.432662037034)</f>
        <v>46130.43266</v>
      </c>
      <c r="U414" s="93"/>
      <c r="V414" s="93"/>
      <c r="W414" s="93"/>
      <c r="X414" s="93"/>
      <c r="Y414" s="93"/>
      <c r="Z414" s="93"/>
    </row>
    <row r="415">
      <c r="A415" s="93" t="str">
        <f>IFERROR(__xludf.DUMMYFUNCTION("""COMPUTED_VALUE"""),"KIT-#17441")</f>
        <v>KIT-#17441</v>
      </c>
      <c r="B415" s="94">
        <f>IFERROR(__xludf.DUMMYFUNCTION("""COMPUTED_VALUE"""),46148.0)</f>
        <v>46148</v>
      </c>
      <c r="C415" s="93" t="str">
        <f>IFERROR(__xludf.DUMMYFUNCTION("""COMPUTED_VALUE"""),"Kit Delivery")</f>
        <v>Kit Delivery</v>
      </c>
      <c r="D415" s="93">
        <f>IFERROR(__xludf.DUMMYFUNCTION("""COMPUTED_VALUE"""),3.0)</f>
        <v>3</v>
      </c>
      <c r="E415" s="93" t="str">
        <f>IFERROR(__xludf.DUMMYFUNCTION("""COMPUTED_VALUE"""),"Koenig")</f>
        <v>Koenig</v>
      </c>
      <c r="F415" s="93" t="str">
        <f>IFERROR(__xludf.DUMMYFUNCTION("""COMPUTED_VALUE"""),"4402-A")</f>
        <v>4402-A</v>
      </c>
      <c r="G415" s="93" t="str">
        <f>IFERROR(__xludf.DUMMYFUNCTION("""COMPUTED_VALUE"""),"Amiyah Louis")</f>
        <v>Amiyah Louis</v>
      </c>
      <c r="H415" s="93">
        <f>IFERROR(__xludf.DUMMYFUNCTION("""COMPUTED_VALUE"""),1.3475576359E10)</f>
        <v>13475576359</v>
      </c>
      <c r="I415" s="93" t="str">
        <f>IFERROR(__xludf.DUMMYFUNCTION("""COMPUTED_VALUE"""),"10AM-12PM")</f>
        <v>10AM-12PM</v>
      </c>
      <c r="J415" s="93">
        <f>IFERROR(__xludf.DUMMYFUNCTION("""COMPUTED_VALUE"""),1.0)</f>
        <v>1</v>
      </c>
      <c r="K415" s="93" t="str">
        <f>IFERROR(__xludf.DUMMYFUNCTION("""COMPUTED_VALUE"""),"Complete")</f>
        <v>Complete</v>
      </c>
      <c r="L415" s="93"/>
      <c r="M415" s="94">
        <f>IFERROR(__xludf.DUMMYFUNCTION("""COMPUTED_VALUE"""),46130.429930555554)</f>
        <v>46130.42993</v>
      </c>
      <c r="N415" s="93">
        <f>IFERROR(__xludf.DUMMYFUNCTION("""COMPUTED_VALUE"""),209.0)</f>
        <v>209</v>
      </c>
      <c r="O415" s="93"/>
      <c r="P415" s="93" t="str">
        <f>IFERROR(__xludf.DUMMYFUNCTION("""COMPUTED_VALUE"""),"Kit Delivery")</f>
        <v>Kit Delivery</v>
      </c>
      <c r="Q415" s="93"/>
      <c r="R415" s="93"/>
      <c r="S415" s="93" t="str">
        <f>IFERROR(__xludf.DUMMYFUNCTION("""COMPUTED_VALUE"""),"Dispatch_Images/KIT--17441.Photos.151903.jpg")</f>
        <v>Dispatch_Images/KIT--17441.Photos.151903.jpg</v>
      </c>
      <c r="T415" s="95">
        <f>IFERROR(__xludf.DUMMYFUNCTION("""COMPUTED_VALUE"""),46130.432662037034)</f>
        <v>46130.43266</v>
      </c>
      <c r="U415" s="93"/>
      <c r="V415" s="93"/>
      <c r="W415" s="93"/>
      <c r="X415" s="93"/>
      <c r="Y415" s="93"/>
      <c r="Z415" s="93"/>
    </row>
    <row r="416">
      <c r="A416" s="93" t="str">
        <f>IFERROR(__xludf.DUMMYFUNCTION("""COMPUTED_VALUE"""),"KIT-#17371")</f>
        <v>KIT-#17371</v>
      </c>
      <c r="B416" s="94">
        <f>IFERROR(__xludf.DUMMYFUNCTION("""COMPUTED_VALUE"""),46148.0)</f>
        <v>46148</v>
      </c>
      <c r="C416" s="93" t="str">
        <f>IFERROR(__xludf.DUMMYFUNCTION("""COMPUTED_VALUE"""),"Kit Delivery")</f>
        <v>Kit Delivery</v>
      </c>
      <c r="D416" s="93">
        <f>IFERROR(__xludf.DUMMYFUNCTION("""COMPUTED_VALUE"""),3.0)</f>
        <v>3</v>
      </c>
      <c r="E416" s="93" t="str">
        <f>IFERROR(__xludf.DUMMYFUNCTION("""COMPUTED_VALUE"""),"Koenig")</f>
        <v>Koenig</v>
      </c>
      <c r="F416" s="93" t="str">
        <f>IFERROR(__xludf.DUMMYFUNCTION("""COMPUTED_VALUE"""),"1109-a")</f>
        <v>1109-a</v>
      </c>
      <c r="G416" s="93" t="str">
        <f>IFERROR(__xludf.DUMMYFUNCTION("""COMPUTED_VALUE"""),"Jadon Schwartz")</f>
        <v>Jadon Schwartz</v>
      </c>
      <c r="H416" s="93">
        <f>IFERROR(__xludf.DUMMYFUNCTION("""COMPUTED_VALUE"""),9.176127037E9)</f>
        <v>9176127037</v>
      </c>
      <c r="I416" s="93" t="str">
        <f>IFERROR(__xludf.DUMMYFUNCTION("""COMPUTED_VALUE"""),"11AM-1PM")</f>
        <v>11AM-1PM</v>
      </c>
      <c r="J416" s="93">
        <f>IFERROR(__xludf.DUMMYFUNCTION("""COMPUTED_VALUE"""),1.0)</f>
        <v>1</v>
      </c>
      <c r="K416" s="93" t="str">
        <f>IFERROR(__xludf.DUMMYFUNCTION("""COMPUTED_VALUE"""),"Complete")</f>
        <v>Complete</v>
      </c>
      <c r="L416" s="93"/>
      <c r="M416" s="94">
        <f>IFERROR(__xludf.DUMMYFUNCTION("""COMPUTED_VALUE"""),46130.43026620371)</f>
        <v>46130.43027</v>
      </c>
      <c r="N416" s="93">
        <f>IFERROR(__xludf.DUMMYFUNCTION("""COMPUTED_VALUE"""),196.0)</f>
        <v>196</v>
      </c>
      <c r="O416" s="93"/>
      <c r="P416" s="93" t="str">
        <f>IFERROR(__xludf.DUMMYFUNCTION("""COMPUTED_VALUE"""),"Kit Delivery")</f>
        <v>Kit Delivery</v>
      </c>
      <c r="Q416" s="93" t="str">
        <f>IFERROR(__xludf.DUMMYFUNCTION("""COMPUTED_VALUE"""),"We will also be storing some plastic drawers. We will pack and tape those shut and leave them in the room with the boxes we will be packing/using.")</f>
        <v>We will also be storing some plastic drawers. We will pack and tape those shut and leave them in the room with the boxes we will be packing/using.</v>
      </c>
      <c r="R416" s="93"/>
      <c r="S416" s="93" t="str">
        <f>IFERROR(__xludf.DUMMYFUNCTION("""COMPUTED_VALUE"""),"Dispatch_Images/KIT--17371.Photos.151932.jpg")</f>
        <v>Dispatch_Images/KIT--17371.Photos.151932.jpg</v>
      </c>
      <c r="T416" s="95">
        <f>IFERROR(__xludf.DUMMYFUNCTION("""COMPUTED_VALUE"""),46130.432662037034)</f>
        <v>46130.43266</v>
      </c>
      <c r="U416" s="93"/>
      <c r="V416" s="93"/>
      <c r="W416" s="93"/>
      <c r="X416" s="93"/>
      <c r="Y416" s="93"/>
      <c r="Z416" s="93"/>
    </row>
    <row r="417">
      <c r="A417" s="93" t="str">
        <f>IFERROR(__xludf.DUMMYFUNCTION("""COMPUTED_VALUE"""),"KIT-#17551")</f>
        <v>KIT-#17551</v>
      </c>
      <c r="B417" s="94">
        <f>IFERROR(__xludf.DUMMYFUNCTION("""COMPUTED_VALUE"""),46148.0)</f>
        <v>46148</v>
      </c>
      <c r="C417" s="93" t="str">
        <f>IFERROR(__xludf.DUMMYFUNCTION("""COMPUTED_VALUE"""),"Kit Delivery")</f>
        <v>Kit Delivery</v>
      </c>
      <c r="D417" s="93">
        <f>IFERROR(__xludf.DUMMYFUNCTION("""COMPUTED_VALUE"""),3.0)</f>
        <v>3</v>
      </c>
      <c r="E417" s="93" t="str">
        <f>IFERROR(__xludf.DUMMYFUNCTION("""COMPUTED_VALUE"""),"Liggett")</f>
        <v>Liggett</v>
      </c>
      <c r="F417" s="93">
        <f>IFERROR(__xludf.DUMMYFUNCTION("""COMPUTED_VALUE"""),4490.0)</f>
        <v>4490</v>
      </c>
      <c r="G417" s="93" t="str">
        <f>IFERROR(__xludf.DUMMYFUNCTION("""COMPUTED_VALUE"""),"Jenise Fussell")</f>
        <v>Jenise Fussell</v>
      </c>
      <c r="H417" s="93">
        <f>IFERROR(__xludf.DUMMYFUNCTION("""COMPUTED_VALUE"""),5.169028488E9)</f>
        <v>5169028488</v>
      </c>
      <c r="I417" s="93" t="str">
        <f>IFERROR(__xludf.DUMMYFUNCTION("""COMPUTED_VALUE"""),"3PM-5PM")</f>
        <v>3PM-5PM</v>
      </c>
      <c r="J417" s="93">
        <f>IFERROR(__xludf.DUMMYFUNCTION("""COMPUTED_VALUE"""),1.0)</f>
        <v>1</v>
      </c>
      <c r="K417" s="93" t="str">
        <f>IFERROR(__xludf.DUMMYFUNCTION("""COMPUTED_VALUE"""),"Complete")</f>
        <v>Complete</v>
      </c>
      <c r="L417" s="93"/>
      <c r="M417" s="94">
        <f>IFERROR(__xludf.DUMMYFUNCTION("""COMPUTED_VALUE"""),46130.43353009259)</f>
        <v>46130.43353</v>
      </c>
      <c r="N417" s="93">
        <f>IFERROR(__xludf.DUMMYFUNCTION("""COMPUTED_VALUE"""),218.0)</f>
        <v>218</v>
      </c>
      <c r="O417" s="93"/>
      <c r="P417" s="93" t="str">
        <f>IFERROR(__xludf.DUMMYFUNCTION("""COMPUTED_VALUE"""),"Kit Delivery")</f>
        <v>Kit Delivery</v>
      </c>
      <c r="Q417" s="93"/>
      <c r="R417" s="93"/>
      <c r="S417" s="93" t="str">
        <f>IFERROR(__xludf.DUMMYFUNCTION("""COMPUTED_VALUE"""),"Dispatch_Images/KIT--17551.Photos.152414.jpg")</f>
        <v>Dispatch_Images/KIT--17551.Photos.152414.jpg</v>
      </c>
      <c r="T417" s="95">
        <f>IFERROR(__xludf.DUMMYFUNCTION("""COMPUTED_VALUE"""),46130.43962962963)</f>
        <v>46130.43963</v>
      </c>
      <c r="U417" s="93"/>
      <c r="V417" s="93"/>
      <c r="W417" s="93"/>
      <c r="X417" s="93"/>
      <c r="Y417" s="93"/>
      <c r="Z417" s="93"/>
    </row>
    <row r="418">
      <c r="A418" s="93" t="str">
        <f>IFERROR(__xludf.DUMMYFUNCTION("""COMPUTED_VALUE"""),"KIT-#17178")</f>
        <v>KIT-#17178</v>
      </c>
      <c r="B418" s="94">
        <f>IFERROR(__xludf.DUMMYFUNCTION("""COMPUTED_VALUE"""),46148.0)</f>
        <v>46148</v>
      </c>
      <c r="C418" s="93" t="str">
        <f>IFERROR(__xludf.DUMMYFUNCTION("""COMPUTED_VALUE"""),"Kit Delivery")</f>
        <v>Kit Delivery</v>
      </c>
      <c r="D418" s="93">
        <f>IFERROR(__xludf.DUMMYFUNCTION("""COMPUTED_VALUE"""),3.0)</f>
        <v>3</v>
      </c>
      <c r="E418" s="93" t="str">
        <f>IFERROR(__xludf.DUMMYFUNCTION("""COMPUTED_VALUE"""),"Koenig")</f>
        <v>Koenig</v>
      </c>
      <c r="F418" s="93">
        <f>IFERROR(__xludf.DUMMYFUNCTION("""COMPUTED_VALUE"""),3312.0)</f>
        <v>3312</v>
      </c>
      <c r="G418" s="93" t="str">
        <f>IFERROR(__xludf.DUMMYFUNCTION("""COMPUTED_VALUE"""),"Simon Park")</f>
        <v>Simon Park</v>
      </c>
      <c r="H418" s="93">
        <f>IFERROR(__xludf.DUMMYFUNCTION("""COMPUTED_VALUE"""),9.198897336E9)</f>
        <v>9198897336</v>
      </c>
      <c r="I418" s="93" t="str">
        <f>IFERROR(__xludf.DUMMYFUNCTION("""COMPUTED_VALUE"""),"9AM-11AM")</f>
        <v>9AM-11AM</v>
      </c>
      <c r="J418" s="93">
        <f>IFERROR(__xludf.DUMMYFUNCTION("""COMPUTED_VALUE"""),1.0)</f>
        <v>1</v>
      </c>
      <c r="K418" s="93" t="str">
        <f>IFERROR(__xludf.DUMMYFUNCTION("""COMPUTED_VALUE"""),"Complete")</f>
        <v>Complete</v>
      </c>
      <c r="L418" s="93"/>
      <c r="M418" s="94">
        <f>IFERROR(__xludf.DUMMYFUNCTION("""COMPUTED_VALUE"""),46130.436064814814)</f>
        <v>46130.43606</v>
      </c>
      <c r="N418" s="93">
        <f>IFERROR(__xludf.DUMMYFUNCTION("""COMPUTED_VALUE"""),205.0)</f>
        <v>205</v>
      </c>
      <c r="O418" s="93"/>
      <c r="P418" s="93" t="str">
        <f>IFERROR(__xludf.DUMMYFUNCTION("""COMPUTED_VALUE"""),"Kit Delivery")</f>
        <v>Kit Delivery</v>
      </c>
      <c r="Q418" s="93"/>
      <c r="R418" s="93"/>
      <c r="S418" s="93" t="str">
        <f>IFERROR(__xludf.DUMMYFUNCTION("""COMPUTED_VALUE"""),"Dispatch_Images/KIT--17178.Photos.152753.jpg")</f>
        <v>Dispatch_Images/KIT--17178.Photos.152753.jpg</v>
      </c>
      <c r="T418" s="95">
        <f>IFERROR(__xludf.DUMMYFUNCTION("""COMPUTED_VALUE"""),46130.43962962963)</f>
        <v>46130.43963</v>
      </c>
      <c r="U418" s="93"/>
      <c r="V418" s="93"/>
      <c r="W418" s="93"/>
      <c r="X418" s="93"/>
      <c r="Y418" s="93"/>
      <c r="Z418" s="93"/>
    </row>
    <row r="419">
      <c r="A419" s="93" t="str">
        <f>IFERROR(__xludf.DUMMYFUNCTION("""COMPUTED_VALUE"""),"KIT-#16830")</f>
        <v>KIT-#16830</v>
      </c>
      <c r="B419" s="94">
        <f>IFERROR(__xludf.DUMMYFUNCTION("""COMPUTED_VALUE"""),46148.0)</f>
        <v>46148</v>
      </c>
      <c r="C419" s="93" t="str">
        <f>IFERROR(__xludf.DUMMYFUNCTION("""COMPUTED_VALUE"""),"Kit Delivery")</f>
        <v>Kit Delivery</v>
      </c>
      <c r="D419" s="93">
        <f>IFERROR(__xludf.DUMMYFUNCTION("""COMPUTED_VALUE"""),3.0)</f>
        <v>3</v>
      </c>
      <c r="E419" s="93" t="str">
        <f>IFERROR(__xludf.DUMMYFUNCTION("""COMPUTED_VALUE"""),"Koenig")</f>
        <v>Koenig</v>
      </c>
      <c r="F419" s="93">
        <f>IFERROR(__xludf.DUMMYFUNCTION("""COMPUTED_VALUE"""),2203.0)</f>
        <v>2203</v>
      </c>
      <c r="G419" s="93" t="str">
        <f>IFERROR(__xludf.DUMMYFUNCTION("""COMPUTED_VALUE"""),"Ava Swietlikowski")</f>
        <v>Ava Swietlikowski</v>
      </c>
      <c r="H419" s="93">
        <f>IFERROR(__xludf.DUMMYFUNCTION("""COMPUTED_VALUE"""),7.146255442E9)</f>
        <v>7146255442</v>
      </c>
      <c r="I419" s="93" t="str">
        <f>IFERROR(__xludf.DUMMYFUNCTION("""COMPUTED_VALUE"""),"9AM-11AM")</f>
        <v>9AM-11AM</v>
      </c>
      <c r="J419" s="93">
        <f>IFERROR(__xludf.DUMMYFUNCTION("""COMPUTED_VALUE"""),2.0)</f>
        <v>2</v>
      </c>
      <c r="K419" s="93" t="str">
        <f>IFERROR(__xludf.DUMMYFUNCTION("""COMPUTED_VALUE"""),"Complete")</f>
        <v>Complete</v>
      </c>
      <c r="L419" s="93"/>
      <c r="M419" s="94">
        <f>IFERROR(__xludf.DUMMYFUNCTION("""COMPUTED_VALUE"""),46130.446435185186)</f>
        <v>46130.44644</v>
      </c>
      <c r="N419" s="93">
        <f>IFERROR(__xludf.DUMMYFUNCTION("""COMPUTED_VALUE"""),200.0)</f>
        <v>200</v>
      </c>
      <c r="O419" s="93"/>
      <c r="P419" s="93" t="str">
        <f>IFERROR(__xludf.DUMMYFUNCTION("""COMPUTED_VALUE"""),"Kit Delivery")</f>
        <v>Kit Delivery</v>
      </c>
      <c r="Q419" s="93"/>
      <c r="R419" s="93"/>
      <c r="S419" s="93" t="str">
        <f>IFERROR(__xludf.DUMMYFUNCTION("""COMPUTED_VALUE"""),"Dispatch_Images/KIT--16830.Photos.154248.jpg")</f>
        <v>Dispatch_Images/KIT--16830.Photos.154248.jpg</v>
      </c>
      <c r="T419" s="95">
        <f>IFERROR(__xludf.DUMMYFUNCTION("""COMPUTED_VALUE"""),46130.4465625)</f>
        <v>46130.44656</v>
      </c>
      <c r="U419" s="93"/>
      <c r="V419" s="93"/>
      <c r="W419" s="93"/>
      <c r="X419" s="93"/>
      <c r="Y419" s="93"/>
      <c r="Z419" s="93"/>
    </row>
    <row r="420">
      <c r="A420" s="93" t="str">
        <f>IFERROR(__xludf.DUMMYFUNCTION("""COMPUTED_VALUE"""),"KIT-#17367")</f>
        <v>KIT-#17367</v>
      </c>
      <c r="B420" s="94">
        <f>IFERROR(__xludf.DUMMYFUNCTION("""COMPUTED_VALUE"""),46148.0)</f>
        <v>46148</v>
      </c>
      <c r="C420" s="93" t="str">
        <f>IFERROR(__xludf.DUMMYFUNCTION("""COMPUTED_VALUE"""),"Kit Delivery")</f>
        <v>Kit Delivery</v>
      </c>
      <c r="D420" s="93">
        <f>IFERROR(__xludf.DUMMYFUNCTION("""COMPUTED_VALUE"""),3.0)</f>
        <v>3</v>
      </c>
      <c r="E420" s="93" t="str">
        <f>IFERROR(__xludf.DUMMYFUNCTION("""COMPUTED_VALUE"""),"Koenig")</f>
        <v>Koenig</v>
      </c>
      <c r="F420" s="93">
        <f>IFERROR(__xludf.DUMMYFUNCTION("""COMPUTED_VALUE"""),2219.0)</f>
        <v>2219</v>
      </c>
      <c r="G420" s="93" t="str">
        <f>IFERROR(__xludf.DUMMYFUNCTION("""COMPUTED_VALUE"""),"Delilah Spector")</f>
        <v>Delilah Spector</v>
      </c>
      <c r="H420" s="93">
        <f>IFERROR(__xludf.DUMMYFUNCTION("""COMPUTED_VALUE"""),2.138401616E9)</f>
        <v>2138401616</v>
      </c>
      <c r="I420" s="93" t="str">
        <f>IFERROR(__xludf.DUMMYFUNCTION("""COMPUTED_VALUE"""),"10AM-12PM")</f>
        <v>10AM-12PM</v>
      </c>
      <c r="J420" s="93">
        <f>IFERROR(__xludf.DUMMYFUNCTION("""COMPUTED_VALUE"""),1.0)</f>
        <v>1</v>
      </c>
      <c r="K420" s="93" t="str">
        <f>IFERROR(__xludf.DUMMYFUNCTION("""COMPUTED_VALUE"""),"Complete")</f>
        <v>Complete</v>
      </c>
      <c r="L420" s="93"/>
      <c r="M420" s="94">
        <f>IFERROR(__xludf.DUMMYFUNCTION("""COMPUTED_VALUE"""),46130.44681712963)</f>
        <v>46130.44682</v>
      </c>
      <c r="N420" s="93">
        <f>IFERROR(__xludf.DUMMYFUNCTION("""COMPUTED_VALUE"""),204.0)</f>
        <v>204</v>
      </c>
      <c r="O420" s="93"/>
      <c r="P420" s="93" t="str">
        <f>IFERROR(__xludf.DUMMYFUNCTION("""COMPUTED_VALUE"""),"Kit Delivery")</f>
        <v>Kit Delivery</v>
      </c>
      <c r="Q420" s="93"/>
      <c r="R420" s="93"/>
      <c r="S420" s="93" t="str">
        <f>IFERROR(__xludf.DUMMYFUNCTION("""COMPUTED_VALUE"""),"Dispatch_Images/KIT--17367.Photos.154321.jpg")</f>
        <v>Dispatch_Images/KIT--17367.Photos.154321.jpg</v>
      </c>
      <c r="T420" s="95">
        <f>IFERROR(__xludf.DUMMYFUNCTION("""COMPUTED_VALUE"""),46130.45349537037)</f>
        <v>46130.4535</v>
      </c>
      <c r="U420" s="93"/>
      <c r="V420" s="93"/>
      <c r="W420" s="93"/>
      <c r="X420" s="93"/>
      <c r="Y420" s="93"/>
      <c r="Z420" s="93"/>
    </row>
    <row r="421">
      <c r="A421" s="93" t="str">
        <f>IFERROR(__xludf.DUMMYFUNCTION("""COMPUTED_VALUE"""),"KIT-#17516")</f>
        <v>KIT-#17516</v>
      </c>
      <c r="B421" s="94">
        <f>IFERROR(__xludf.DUMMYFUNCTION("""COMPUTED_VALUE"""),46148.0)</f>
        <v>46148</v>
      </c>
      <c r="C421" s="93" t="str">
        <f>IFERROR(__xludf.DUMMYFUNCTION("""COMPUTED_VALUE"""),"Kit Delivery")</f>
        <v>Kit Delivery</v>
      </c>
      <c r="D421" s="93">
        <f>IFERROR(__xludf.DUMMYFUNCTION("""COMPUTED_VALUE"""),3.0)</f>
        <v>3</v>
      </c>
      <c r="E421" s="93" t="str">
        <f>IFERROR(__xludf.DUMMYFUNCTION("""COMPUTED_VALUE"""),"Koenig")</f>
        <v>Koenig</v>
      </c>
      <c r="F421" s="93">
        <f>IFERROR(__xludf.DUMMYFUNCTION("""COMPUTED_VALUE"""),2212.0)</f>
        <v>2212</v>
      </c>
      <c r="G421" s="93" t="str">
        <f>IFERROR(__xludf.DUMMYFUNCTION("""COMPUTED_VALUE"""),"Jonah Jaffe")</f>
        <v>Jonah Jaffe</v>
      </c>
      <c r="H421" s="93">
        <f>IFERROR(__xludf.DUMMYFUNCTION("""COMPUTED_VALUE"""),3.158028983E9)</f>
        <v>3158028983</v>
      </c>
      <c r="I421" s="93" t="str">
        <f>IFERROR(__xludf.DUMMYFUNCTION("""COMPUTED_VALUE"""),"11AM-1PM")</f>
        <v>11AM-1PM</v>
      </c>
      <c r="J421" s="93">
        <f>IFERROR(__xludf.DUMMYFUNCTION("""COMPUTED_VALUE"""),1.0)</f>
        <v>1</v>
      </c>
      <c r="K421" s="93" t="str">
        <f>IFERROR(__xludf.DUMMYFUNCTION("""COMPUTED_VALUE"""),"Complete")</f>
        <v>Complete</v>
      </c>
      <c r="L421" s="93"/>
      <c r="M421" s="94">
        <f>IFERROR(__xludf.DUMMYFUNCTION("""COMPUTED_VALUE"""),46130.44778935185)</f>
        <v>46130.44779</v>
      </c>
      <c r="N421" s="93">
        <f>IFERROR(__xludf.DUMMYFUNCTION("""COMPUTED_VALUE"""),203.0)</f>
        <v>203</v>
      </c>
      <c r="O421" s="93"/>
      <c r="P421" s="93" t="str">
        <f>IFERROR(__xludf.DUMMYFUNCTION("""COMPUTED_VALUE"""),"Kit Delivery")</f>
        <v>Kit Delivery</v>
      </c>
      <c r="Q421" s="93"/>
      <c r="R421" s="93"/>
      <c r="S421" s="93" t="str">
        <f>IFERROR(__xludf.DUMMYFUNCTION("""COMPUTED_VALUE"""),"Dispatch_Images/KIT--17516.Photos.154446.jpg")</f>
        <v>Dispatch_Images/KIT--17516.Photos.154446.jpg</v>
      </c>
      <c r="T421" s="95">
        <f>IFERROR(__xludf.DUMMYFUNCTION("""COMPUTED_VALUE"""),46130.45349537037)</f>
        <v>46130.4535</v>
      </c>
      <c r="U421" s="93"/>
      <c r="V421" s="93"/>
      <c r="W421" s="93"/>
      <c r="X421" s="93"/>
      <c r="Y421" s="93"/>
      <c r="Z421" s="93"/>
    </row>
    <row r="422">
      <c r="A422" s="93" t="str">
        <f>IFERROR(__xludf.DUMMYFUNCTION("""COMPUTED_VALUE"""),"KIT-#17332")</f>
        <v>KIT-#17332</v>
      </c>
      <c r="B422" s="94">
        <f>IFERROR(__xludf.DUMMYFUNCTION("""COMPUTED_VALUE"""),46148.0)</f>
        <v>46148</v>
      </c>
      <c r="C422" s="93" t="str">
        <f>IFERROR(__xludf.DUMMYFUNCTION("""COMPUTED_VALUE"""),"Kit Delivery")</f>
        <v>Kit Delivery</v>
      </c>
      <c r="D422" s="93">
        <f>IFERROR(__xludf.DUMMYFUNCTION("""COMPUTED_VALUE"""),3.0)</f>
        <v>3</v>
      </c>
      <c r="E422" s="93" t="str">
        <f>IFERROR(__xludf.DUMMYFUNCTION("""COMPUTED_VALUE"""),"Koenig")</f>
        <v>Koenig</v>
      </c>
      <c r="F422" s="93">
        <f>IFERROR(__xludf.DUMMYFUNCTION("""COMPUTED_VALUE"""),2210.0)</f>
        <v>2210</v>
      </c>
      <c r="G422" s="93" t="str">
        <f>IFERROR(__xludf.DUMMYFUNCTION("""COMPUTED_VALUE"""),"Aaron Miller")</f>
        <v>Aaron Miller</v>
      </c>
      <c r="H422" s="93">
        <f>IFERROR(__xludf.DUMMYFUNCTION("""COMPUTED_VALUE"""),5.859050703E9)</f>
        <v>5859050703</v>
      </c>
      <c r="I422" s="93" t="str">
        <f>IFERROR(__xludf.DUMMYFUNCTION("""COMPUTED_VALUE"""),"3PM-5PM")</f>
        <v>3PM-5PM</v>
      </c>
      <c r="J422" s="93">
        <f>IFERROR(__xludf.DUMMYFUNCTION("""COMPUTED_VALUE"""),1.0)</f>
        <v>1</v>
      </c>
      <c r="K422" s="93" t="str">
        <f>IFERROR(__xludf.DUMMYFUNCTION("""COMPUTED_VALUE"""),"Complete")</f>
        <v>Complete</v>
      </c>
      <c r="L422" s="93"/>
      <c r="M422" s="94">
        <f>IFERROR(__xludf.DUMMYFUNCTION("""COMPUTED_VALUE"""),46130.448275462964)</f>
        <v>46130.44828</v>
      </c>
      <c r="N422" s="93">
        <f>IFERROR(__xludf.DUMMYFUNCTION("""COMPUTED_VALUE"""),202.0)</f>
        <v>202</v>
      </c>
      <c r="O422" s="93"/>
      <c r="P422" s="93" t="str">
        <f>IFERROR(__xludf.DUMMYFUNCTION("""COMPUTED_VALUE"""),"Kit Delivery")</f>
        <v>Kit Delivery</v>
      </c>
      <c r="Q422" s="93"/>
      <c r="R422" s="93"/>
      <c r="S422" s="93" t="str">
        <f>IFERROR(__xludf.DUMMYFUNCTION("""COMPUTED_VALUE"""),"Dispatch_Images/KIT--17332.Photos.154528.jpg")</f>
        <v>Dispatch_Images/KIT--17332.Photos.154528.jpg</v>
      </c>
      <c r="T422" s="95">
        <f>IFERROR(__xludf.DUMMYFUNCTION("""COMPUTED_VALUE"""),46130.45349537037)</f>
        <v>46130.4535</v>
      </c>
      <c r="U422" s="93"/>
      <c r="V422" s="93"/>
      <c r="W422" s="93"/>
      <c r="X422" s="93"/>
      <c r="Y422" s="93"/>
      <c r="Z422" s="93"/>
    </row>
    <row r="423">
      <c r="A423" s="93" t="str">
        <f>IFERROR(__xludf.DUMMYFUNCTION("""COMPUTED_VALUE"""),"KIT-#17115")</f>
        <v>KIT-#17115</v>
      </c>
      <c r="B423" s="94">
        <f>IFERROR(__xludf.DUMMYFUNCTION("""COMPUTED_VALUE"""),46148.0)</f>
        <v>46148</v>
      </c>
      <c r="C423" s="93" t="str">
        <f>IFERROR(__xludf.DUMMYFUNCTION("""COMPUTED_VALUE"""),"Kit Delivery")</f>
        <v>Kit Delivery</v>
      </c>
      <c r="D423" s="93">
        <f>IFERROR(__xludf.DUMMYFUNCTION("""COMPUTED_VALUE"""),3.0)</f>
        <v>3</v>
      </c>
      <c r="E423" s="93" t="str">
        <f>IFERROR(__xludf.DUMMYFUNCTION("""COMPUTED_VALUE"""),"Village House")</f>
        <v>Village House</v>
      </c>
      <c r="F423" s="93" t="str">
        <f>IFERROR(__xludf.DUMMYFUNCTION("""COMPUTED_VALUE"""),"2051 a")</f>
        <v>2051 a</v>
      </c>
      <c r="G423" s="93" t="str">
        <f>IFERROR(__xludf.DUMMYFUNCTION("""COMPUTED_VALUE"""),"Sarah Baek")</f>
        <v>Sarah Baek</v>
      </c>
      <c r="H423" s="93">
        <f>IFERROR(__xludf.DUMMYFUNCTION("""COMPUTED_VALUE"""),6.785305599E9)</f>
        <v>6785305599</v>
      </c>
      <c r="I423" s="93" t="str">
        <f>IFERROR(__xludf.DUMMYFUNCTION("""COMPUTED_VALUE"""),"9AM-11AM")</f>
        <v>9AM-11AM</v>
      </c>
      <c r="J423" s="93">
        <f>IFERROR(__xludf.DUMMYFUNCTION("""COMPUTED_VALUE"""),1.0)</f>
        <v>1</v>
      </c>
      <c r="K423" s="93" t="str">
        <f>IFERROR(__xludf.DUMMYFUNCTION("""COMPUTED_VALUE"""),"Complete")</f>
        <v>Complete</v>
      </c>
      <c r="L423" s="93"/>
      <c r="M423" s="94">
        <f>IFERROR(__xludf.DUMMYFUNCTION("""COMPUTED_VALUE"""),46130.46481481481)</f>
        <v>46130.46481</v>
      </c>
      <c r="N423" s="93">
        <f>IFERROR(__xludf.DUMMYFUNCTION("""COMPUTED_VALUE"""),258.0)</f>
        <v>258</v>
      </c>
      <c r="O423" s="93"/>
      <c r="P423" s="93" t="str">
        <f>IFERROR(__xludf.DUMMYFUNCTION("""COMPUTED_VALUE"""),"Kit Delivery")</f>
        <v>Kit Delivery</v>
      </c>
      <c r="Q423" s="93"/>
      <c r="R423" s="93"/>
      <c r="S423" s="93" t="str">
        <f>IFERROR(__xludf.DUMMYFUNCTION("""COMPUTED_VALUE"""),"Dispatch_Images/KIT--17115.Photos.160916.jpg")</f>
        <v>Dispatch_Images/KIT--17115.Photos.160916.jpg</v>
      </c>
      <c r="T423" s="95">
        <f>IFERROR(__xludf.DUMMYFUNCTION("""COMPUTED_VALUE"""),46130.46739583334)</f>
        <v>46130.4674</v>
      </c>
      <c r="U423" s="93"/>
      <c r="V423" s="93"/>
      <c r="W423" s="93"/>
      <c r="X423" s="93"/>
      <c r="Y423" s="93"/>
      <c r="Z423" s="93"/>
    </row>
    <row r="424">
      <c r="A424" s="93" t="str">
        <f>IFERROR(__xludf.DUMMYFUNCTION("""COMPUTED_VALUE"""),"KIT-#17666")</f>
        <v>KIT-#17666</v>
      </c>
      <c r="B424" s="94">
        <f>IFERROR(__xludf.DUMMYFUNCTION("""COMPUTED_VALUE"""),46148.0)</f>
        <v>46148</v>
      </c>
      <c r="C424" s="93" t="str">
        <f>IFERROR(__xludf.DUMMYFUNCTION("""COMPUTED_VALUE"""),"Kit Delivery")</f>
        <v>Kit Delivery</v>
      </c>
      <c r="D424" s="93">
        <f>IFERROR(__xludf.DUMMYFUNCTION("""COMPUTED_VALUE"""),2.0)</f>
        <v>2</v>
      </c>
      <c r="E424" s="93" t="str">
        <f>IFERROR(__xludf.DUMMYFUNCTION("""COMPUTED_VALUE"""),"Park")</f>
        <v>Park</v>
      </c>
      <c r="F424" s="93">
        <f>IFERROR(__xludf.DUMMYFUNCTION("""COMPUTED_VALUE"""),442.0)</f>
        <v>442</v>
      </c>
      <c r="G424" s="93" t="str">
        <f>IFERROR(__xludf.DUMMYFUNCTION("""COMPUTED_VALUE"""),"Sigrid Liu")</f>
        <v>Sigrid Liu</v>
      </c>
      <c r="H424" s="93">
        <f>IFERROR(__xludf.DUMMYFUNCTION("""COMPUTED_VALUE"""),3.142558138E9)</f>
        <v>3142558138</v>
      </c>
      <c r="I424" s="93" t="str">
        <f>IFERROR(__xludf.DUMMYFUNCTION("""COMPUTED_VALUE"""),"11AM-1PM")</f>
        <v>11AM-1PM</v>
      </c>
      <c r="J424" s="93">
        <f>IFERROR(__xludf.DUMMYFUNCTION("""COMPUTED_VALUE"""),1.0)</f>
        <v>1</v>
      </c>
      <c r="K424" s="93" t="str">
        <f>IFERROR(__xludf.DUMMYFUNCTION("""COMPUTED_VALUE"""),"Complete")</f>
        <v>Complete</v>
      </c>
      <c r="L424" s="93"/>
      <c r="M424" s="94">
        <f>IFERROR(__xludf.DUMMYFUNCTION("""COMPUTED_VALUE"""),46134.707916666666)</f>
        <v>46134.70792</v>
      </c>
      <c r="N424" s="93">
        <f>IFERROR(__xludf.DUMMYFUNCTION("""COMPUTED_VALUE"""),83.0)</f>
        <v>83</v>
      </c>
      <c r="O424" s="93"/>
      <c r="P424" s="93" t="str">
        <f>IFERROR(__xludf.DUMMYFUNCTION("""COMPUTED_VALUE"""),"Kit Delivery")</f>
        <v>Kit Delivery</v>
      </c>
      <c r="Q424" s="93"/>
      <c r="R424" s="93"/>
      <c r="S424" s="93" t="str">
        <f>IFERROR(__xludf.DUMMYFUNCTION("""COMPUTED_VALUE"""),"Dispatch_Images/KIT--17666.Photos.215921.jpg")</f>
        <v>Dispatch_Images/KIT--17666.Photos.215921.jpg</v>
      </c>
      <c r="T424" s="95">
        <f>IFERROR(__xludf.DUMMYFUNCTION("""COMPUTED_VALUE"""),46134.71045138889)</f>
        <v>46134.71045</v>
      </c>
      <c r="U424" s="93"/>
      <c r="V424" s="93"/>
      <c r="W424" s="93"/>
      <c r="X424" s="93"/>
      <c r="Y424" s="93"/>
      <c r="Z424" s="93"/>
    </row>
    <row r="425">
      <c r="A425" s="93" t="str">
        <f>IFERROR(__xludf.DUMMYFUNCTION("""COMPUTED_VALUE"""),"KIT-#17646")</f>
        <v>KIT-#17646</v>
      </c>
      <c r="B425" s="94">
        <f>IFERROR(__xludf.DUMMYFUNCTION("""COMPUTED_VALUE"""),46148.0)</f>
        <v>46148</v>
      </c>
      <c r="C425" s="93" t="str">
        <f>IFERROR(__xludf.DUMMYFUNCTION("""COMPUTED_VALUE"""),"Kit Delivery")</f>
        <v>Kit Delivery</v>
      </c>
      <c r="D425" s="93">
        <f>IFERROR(__xludf.DUMMYFUNCTION("""COMPUTED_VALUE"""),2.0)</f>
        <v>2</v>
      </c>
      <c r="E425" s="93" t="str">
        <f>IFERROR(__xludf.DUMMYFUNCTION("""COMPUTED_VALUE"""),"Park")</f>
        <v>Park</v>
      </c>
      <c r="F425" s="93">
        <f>IFERROR(__xludf.DUMMYFUNCTION("""COMPUTED_VALUE"""),460.0)</f>
        <v>460</v>
      </c>
      <c r="G425" s="93" t="str">
        <f>IFERROR(__xludf.DUMMYFUNCTION("""COMPUTED_VALUE"""),"Devorah Benveniste")</f>
        <v>Devorah Benveniste</v>
      </c>
      <c r="H425" s="93">
        <f>IFERROR(__xludf.DUMMYFUNCTION("""COMPUTED_VALUE"""),3.052154001E9)</f>
        <v>3052154001</v>
      </c>
      <c r="I425" s="93" t="str">
        <f>IFERROR(__xludf.DUMMYFUNCTION("""COMPUTED_VALUE"""),"9AM-11AM")</f>
        <v>9AM-11AM</v>
      </c>
      <c r="J425" s="93">
        <f>IFERROR(__xludf.DUMMYFUNCTION("""COMPUTED_VALUE"""),1.0)</f>
        <v>1</v>
      </c>
      <c r="K425" s="93" t="str">
        <f>IFERROR(__xludf.DUMMYFUNCTION("""COMPUTED_VALUE"""),"Complete")</f>
        <v>Complete</v>
      </c>
      <c r="L425" s="93"/>
      <c r="M425" s="94">
        <f>IFERROR(__xludf.DUMMYFUNCTION("""COMPUTED_VALUE"""),46134.71037037037)</f>
        <v>46134.71037</v>
      </c>
      <c r="N425" s="93">
        <f>IFERROR(__xludf.DUMMYFUNCTION("""COMPUTED_VALUE"""),84.0)</f>
        <v>84</v>
      </c>
      <c r="O425" s="93"/>
      <c r="P425" s="93" t="str">
        <f>IFERROR(__xludf.DUMMYFUNCTION("""COMPUTED_VALUE"""),"Kit Delivery")</f>
        <v>Kit Delivery</v>
      </c>
      <c r="Q425" s="93"/>
      <c r="R425" s="93"/>
      <c r="S425" s="93" t="str">
        <f>IFERROR(__xludf.DUMMYFUNCTION("""COMPUTED_VALUE"""),"Dispatch_Images/KIT--17646.Photos.220252.jpg")</f>
        <v>Dispatch_Images/KIT--17646.Photos.220252.jpg</v>
      </c>
      <c r="T425" s="95">
        <f>IFERROR(__xludf.DUMMYFUNCTION("""COMPUTED_VALUE"""),46134.71045138889)</f>
        <v>46134.71045</v>
      </c>
      <c r="U425" s="93"/>
      <c r="V425" s="93"/>
      <c r="W425" s="93"/>
      <c r="X425" s="93"/>
      <c r="Y425" s="93"/>
      <c r="Z425" s="93"/>
    </row>
    <row r="426">
      <c r="A426" s="93" t="str">
        <f>IFERROR(__xludf.DUMMYFUNCTION("""COMPUTED_VALUE"""),"KIT-#17498")</f>
        <v>KIT-#17498</v>
      </c>
      <c r="B426" s="94">
        <f>IFERROR(__xludf.DUMMYFUNCTION("""COMPUTED_VALUE"""),46148.0)</f>
        <v>46148</v>
      </c>
      <c r="C426" s="93" t="str">
        <f>IFERROR(__xludf.DUMMYFUNCTION("""COMPUTED_VALUE"""),"Kit Delivery")</f>
        <v>Kit Delivery</v>
      </c>
      <c r="D426" s="93">
        <f>IFERROR(__xludf.DUMMYFUNCTION("""COMPUTED_VALUE"""),2.0)</f>
        <v>2</v>
      </c>
      <c r="E426" s="93" t="str">
        <f>IFERROR(__xludf.DUMMYFUNCTION("""COMPUTED_VALUE"""),"Park")</f>
        <v>Park</v>
      </c>
      <c r="F426" s="93">
        <f>IFERROR(__xludf.DUMMYFUNCTION("""COMPUTED_VALUE"""),491.0)</f>
        <v>491</v>
      </c>
      <c r="G426" s="93" t="str">
        <f>IFERROR(__xludf.DUMMYFUNCTION("""COMPUTED_VALUE"""),"Layla Walker")</f>
        <v>Layla Walker</v>
      </c>
      <c r="H426" s="93">
        <f>IFERROR(__xludf.DUMMYFUNCTION("""COMPUTED_VALUE"""),9.193338112E9)</f>
        <v>9193338112</v>
      </c>
      <c r="I426" s="93" t="str">
        <f>IFERROR(__xludf.DUMMYFUNCTION("""COMPUTED_VALUE"""),"11AM-1PM")</f>
        <v>11AM-1PM</v>
      </c>
      <c r="J426" s="93">
        <f>IFERROR(__xludf.DUMMYFUNCTION("""COMPUTED_VALUE"""),2.0)</f>
        <v>2</v>
      </c>
      <c r="K426" s="93" t="str">
        <f>IFERROR(__xludf.DUMMYFUNCTION("""COMPUTED_VALUE"""),"Complete")</f>
        <v>Complete</v>
      </c>
      <c r="L426" s="93"/>
      <c r="M426" s="94">
        <f>IFERROR(__xludf.DUMMYFUNCTION("""COMPUTED_VALUE"""),46134.71162037037)</f>
        <v>46134.71162</v>
      </c>
      <c r="N426" s="93">
        <f>IFERROR(__xludf.DUMMYFUNCTION("""COMPUTED_VALUE"""),86.0)</f>
        <v>86</v>
      </c>
      <c r="O426" s="93"/>
      <c r="P426" s="93" t="str">
        <f>IFERROR(__xludf.DUMMYFUNCTION("""COMPUTED_VALUE"""),"Kit Delivery")</f>
        <v>Kit Delivery</v>
      </c>
      <c r="Q426" s="93"/>
      <c r="R426" s="93"/>
      <c r="S426" s="93" t="str">
        <f>IFERROR(__xludf.DUMMYFUNCTION("""COMPUTED_VALUE"""),"Dispatch_Images/KIT--17498.Photos.220440.jpg")</f>
        <v>Dispatch_Images/KIT--17498.Photos.220440.jpg</v>
      </c>
      <c r="T426" s="95">
        <f>IFERROR(__xludf.DUMMYFUNCTION("""COMPUTED_VALUE"""),46134.71739583334)</f>
        <v>46134.7174</v>
      </c>
      <c r="U426" s="93"/>
      <c r="V426" s="93"/>
      <c r="W426" s="93"/>
      <c r="X426" s="93"/>
      <c r="Y426" s="93"/>
      <c r="Z426" s="93"/>
    </row>
    <row r="427">
      <c r="A427" s="93" t="str">
        <f>IFERROR(__xludf.DUMMYFUNCTION("""COMPUTED_VALUE"""),"KIT-#17530")</f>
        <v>KIT-#17530</v>
      </c>
      <c r="B427" s="94">
        <f>IFERROR(__xludf.DUMMYFUNCTION("""COMPUTED_VALUE"""),46148.0)</f>
        <v>46148</v>
      </c>
      <c r="C427" s="93" t="str">
        <f>IFERROR(__xludf.DUMMYFUNCTION("""COMPUTED_VALUE"""),"Kit Delivery")</f>
        <v>Kit Delivery</v>
      </c>
      <c r="D427" s="93">
        <f>IFERROR(__xludf.DUMMYFUNCTION("""COMPUTED_VALUE"""),2.0)</f>
        <v>2</v>
      </c>
      <c r="E427" s="93" t="str">
        <f>IFERROR(__xludf.DUMMYFUNCTION("""COMPUTED_VALUE"""),"Mudd")</f>
        <v>Mudd</v>
      </c>
      <c r="F427" s="93">
        <f>IFERROR(__xludf.DUMMYFUNCTION("""COMPUTED_VALUE"""),372.0)</f>
        <v>372</v>
      </c>
      <c r="G427" s="93" t="str">
        <f>IFERROR(__xludf.DUMMYFUNCTION("""COMPUTED_VALUE"""),"Noa Sobel")</f>
        <v>Noa Sobel</v>
      </c>
      <c r="H427" s="93">
        <f>IFERROR(__xludf.DUMMYFUNCTION("""COMPUTED_VALUE"""),6.464838117E9)</f>
        <v>6464838117</v>
      </c>
      <c r="I427" s="93" t="str">
        <f>IFERROR(__xludf.DUMMYFUNCTION("""COMPUTED_VALUE"""),"9AM-11AM")</f>
        <v>9AM-11AM</v>
      </c>
      <c r="J427" s="93">
        <f>IFERROR(__xludf.DUMMYFUNCTION("""COMPUTED_VALUE"""),1.0)</f>
        <v>1</v>
      </c>
      <c r="K427" s="93" t="str">
        <f>IFERROR(__xludf.DUMMYFUNCTION("""COMPUTED_VALUE"""),"Complete")</f>
        <v>Complete</v>
      </c>
      <c r="L427" s="93"/>
      <c r="M427" s="94">
        <f>IFERROR(__xludf.DUMMYFUNCTION("""COMPUTED_VALUE"""),46134.73373842593)</f>
        <v>46134.73374</v>
      </c>
      <c r="N427" s="93">
        <f>IFERROR(__xludf.DUMMYFUNCTION("""COMPUTED_VALUE"""),96.0)</f>
        <v>96</v>
      </c>
      <c r="O427" s="93"/>
      <c r="P427" s="93" t="str">
        <f>IFERROR(__xludf.DUMMYFUNCTION("""COMPUTED_VALUE"""),"Kit Delivery")</f>
        <v>Kit Delivery</v>
      </c>
      <c r="Q427" s="93"/>
      <c r="R427" s="93"/>
      <c r="S427" s="93" t="str">
        <f>IFERROR(__xludf.DUMMYFUNCTION("""COMPUTED_VALUE"""),"Dispatch_Images/KIT--17530.Photos.223632.jpg")</f>
        <v>Dispatch_Images/KIT--17530.Photos.223632.jpg</v>
      </c>
      <c r="T427" s="95">
        <f>IFERROR(__xludf.DUMMYFUNCTION("""COMPUTED_VALUE"""),46134.73825231481)</f>
        <v>46134.73825</v>
      </c>
      <c r="U427" s="93"/>
      <c r="V427" s="93"/>
      <c r="W427" s="93"/>
      <c r="X427" s="93"/>
      <c r="Y427" s="93"/>
      <c r="Z427" s="93"/>
    </row>
    <row r="428">
      <c r="A428" s="93" t="str">
        <f>IFERROR(__xludf.DUMMYFUNCTION("""COMPUTED_VALUE"""),"KIT-#17612")</f>
        <v>KIT-#17612</v>
      </c>
      <c r="B428" s="94">
        <f>IFERROR(__xludf.DUMMYFUNCTION("""COMPUTED_VALUE"""),46148.0)</f>
        <v>46148</v>
      </c>
      <c r="C428" s="93" t="str">
        <f>IFERROR(__xludf.DUMMYFUNCTION("""COMPUTED_VALUE"""),"Kit Delivery")</f>
        <v>Kit Delivery</v>
      </c>
      <c r="D428" s="93">
        <f>IFERROR(__xludf.DUMMYFUNCTION("""COMPUTED_VALUE"""),2.0)</f>
        <v>2</v>
      </c>
      <c r="E428" s="93" t="str">
        <f>IFERROR(__xludf.DUMMYFUNCTION("""COMPUTED_VALUE"""),"Village House")</f>
        <v>Village House</v>
      </c>
      <c r="F428" s="93">
        <f>IFERROR(__xludf.DUMMYFUNCTION("""COMPUTED_VALUE"""),3001.0)</f>
        <v>3001</v>
      </c>
      <c r="G428" s="93" t="str">
        <f>IFERROR(__xludf.DUMMYFUNCTION("""COMPUTED_VALUE"""),"Sydney Lim")</f>
        <v>Sydney Lim</v>
      </c>
      <c r="H428" s="93">
        <f>IFERROR(__xludf.DUMMYFUNCTION("""COMPUTED_VALUE"""),3.145655716E9)</f>
        <v>3145655716</v>
      </c>
      <c r="I428" s="93" t="str">
        <f>IFERROR(__xludf.DUMMYFUNCTION("""COMPUTED_VALUE"""),"10AM-12PM")</f>
        <v>10AM-12PM</v>
      </c>
      <c r="J428" s="93">
        <f>IFERROR(__xludf.DUMMYFUNCTION("""COMPUTED_VALUE"""),1.0)</f>
        <v>1</v>
      </c>
      <c r="K428" s="93" t="str">
        <f>IFERROR(__xludf.DUMMYFUNCTION("""COMPUTED_VALUE"""),"Complete")</f>
        <v>Complete</v>
      </c>
      <c r="L428" s="93"/>
      <c r="M428" s="94">
        <f>IFERROR(__xludf.DUMMYFUNCTION("""COMPUTED_VALUE"""),46134.78778935185)</f>
        <v>46134.78779</v>
      </c>
      <c r="N428" s="93">
        <f>IFERROR(__xludf.DUMMYFUNCTION("""COMPUTED_VALUE"""),221.0)</f>
        <v>221</v>
      </c>
      <c r="O428" s="93"/>
      <c r="P428" s="93" t="str">
        <f>IFERROR(__xludf.DUMMYFUNCTION("""COMPUTED_VALUE"""),"Kit Delivery")</f>
        <v>Kit Delivery</v>
      </c>
      <c r="Q428" s="93"/>
      <c r="R428" s="93"/>
      <c r="S428" s="93" t="str">
        <f>IFERROR(__xludf.DUMMYFUNCTION("""COMPUTED_VALUE"""),"Dispatch_Images/KIT--17612.Photos.235411.jpg")</f>
        <v>Dispatch_Images/KIT--17612.Photos.235411.jpg</v>
      </c>
      <c r="T428" s="95">
        <f>IFERROR(__xludf.DUMMYFUNCTION("""COMPUTED_VALUE"""),46134.79378472222)</f>
        <v>46134.79378</v>
      </c>
      <c r="U428" s="93"/>
      <c r="V428" s="93"/>
      <c r="W428" s="93"/>
      <c r="X428" s="93"/>
      <c r="Y428" s="93"/>
      <c r="Z428" s="93"/>
    </row>
    <row r="429">
      <c r="A429" s="93" t="str">
        <f>IFERROR(__xludf.DUMMYFUNCTION("""COMPUTED_VALUE"""),"KIT-#17644")</f>
        <v>KIT-#17644</v>
      </c>
      <c r="B429" s="94">
        <f>IFERROR(__xludf.DUMMYFUNCTION("""COMPUTED_VALUE"""),46148.0)</f>
        <v>46148</v>
      </c>
      <c r="C429" s="93" t="str">
        <f>IFERROR(__xludf.DUMMYFUNCTION("""COMPUTED_VALUE"""),"Kit Delivery")</f>
        <v>Kit Delivery</v>
      </c>
      <c r="D429" s="93">
        <f>IFERROR(__xludf.DUMMYFUNCTION("""COMPUTED_VALUE"""),2.0)</f>
        <v>2</v>
      </c>
      <c r="E429" s="93" t="str">
        <f>IFERROR(__xludf.DUMMYFUNCTION("""COMPUTED_VALUE"""),"Danforth")</f>
        <v>Danforth</v>
      </c>
      <c r="F429" s="93" t="str">
        <f>IFERROR(__xludf.DUMMYFUNCTION("""COMPUTED_VALUE"""),"2210A")</f>
        <v>2210A</v>
      </c>
      <c r="G429" s="93" t="str">
        <f>IFERROR(__xludf.DUMMYFUNCTION("""COMPUTED_VALUE"""),"Isabella Xingyi li")</f>
        <v>Isabella Xingyi li</v>
      </c>
      <c r="H429" s="93">
        <f>IFERROR(__xludf.DUMMYFUNCTION("""COMPUTED_VALUE"""),5.572185472E9)</f>
        <v>5572185472</v>
      </c>
      <c r="I429" s="93" t="str">
        <f>IFERROR(__xludf.DUMMYFUNCTION("""COMPUTED_VALUE"""),"1PM-3PM")</f>
        <v>1PM-3PM</v>
      </c>
      <c r="J429" s="93">
        <f>IFERROR(__xludf.DUMMYFUNCTION("""COMPUTED_VALUE"""),1.0)</f>
        <v>1</v>
      </c>
      <c r="K429" s="93" t="str">
        <f>IFERROR(__xludf.DUMMYFUNCTION("""COMPUTED_VALUE"""),"Complete")</f>
        <v>Complete</v>
      </c>
      <c r="L429" s="93"/>
      <c r="M429" s="94">
        <f>IFERROR(__xludf.DUMMYFUNCTION("""COMPUTED_VALUE"""),46136.513819444444)</f>
        <v>46136.51382</v>
      </c>
      <c r="N429" s="93">
        <f>IFERROR(__xludf.DUMMYFUNCTION("""COMPUTED_VALUE"""),47.0)</f>
        <v>47</v>
      </c>
      <c r="O429" s="93"/>
      <c r="P429" s="93" t="str">
        <f>IFERROR(__xludf.DUMMYFUNCTION("""COMPUTED_VALUE"""),"Kit Delivery")</f>
        <v>Kit Delivery</v>
      </c>
      <c r="Q429" s="93"/>
      <c r="R429" s="93"/>
      <c r="S429" s="93" t="str">
        <f>IFERROR(__xludf.DUMMYFUNCTION("""COMPUTED_VALUE"""),"Dispatch_Images/KIT--17644.Photos.171948.jpg")</f>
        <v>Dispatch_Images/KIT--17644.Photos.171948.jpg</v>
      </c>
      <c r="T429" s="95">
        <f>IFERROR(__xludf.DUMMYFUNCTION("""COMPUTED_VALUE"""),46136.516018518516)</f>
        <v>46136.51602</v>
      </c>
      <c r="U429" s="93"/>
      <c r="V429" s="93"/>
      <c r="W429" s="93"/>
      <c r="X429" s="93"/>
      <c r="Y429" s="93"/>
      <c r="Z429" s="93"/>
    </row>
    <row r="430">
      <c r="A430" s="93" t="str">
        <f>IFERROR(__xludf.DUMMYFUNCTION("""COMPUTED_VALUE"""),"KIT-#17590")</f>
        <v>KIT-#17590</v>
      </c>
      <c r="B430" s="94">
        <f>IFERROR(__xludf.DUMMYFUNCTION("""COMPUTED_VALUE"""),46148.0)</f>
        <v>46148</v>
      </c>
      <c r="C430" s="93" t="str">
        <f>IFERROR(__xludf.DUMMYFUNCTION("""COMPUTED_VALUE"""),"Kit Delivery")</f>
        <v>Kit Delivery</v>
      </c>
      <c r="D430" s="93">
        <f>IFERROR(__xludf.DUMMYFUNCTION("""COMPUTED_VALUE"""),2.0)</f>
        <v>2</v>
      </c>
      <c r="E430" s="93" t="str">
        <f>IFERROR(__xludf.DUMMYFUNCTION("""COMPUTED_VALUE"""),"Danforth")</f>
        <v>Danforth</v>
      </c>
      <c r="F430" s="93">
        <f>IFERROR(__xludf.DUMMYFUNCTION("""COMPUTED_VALUE"""),2222.0)</f>
        <v>2222</v>
      </c>
      <c r="G430" s="93" t="str">
        <f>IFERROR(__xludf.DUMMYFUNCTION("""COMPUTED_VALUE"""),"Kareena Sundaram")</f>
        <v>Kareena Sundaram</v>
      </c>
      <c r="H430" s="93">
        <f>IFERROR(__xludf.DUMMYFUNCTION("""COMPUTED_VALUE"""),3.03921278E9)</f>
        <v>3039212780</v>
      </c>
      <c r="I430" s="93" t="str">
        <f>IFERROR(__xludf.DUMMYFUNCTION("""COMPUTED_VALUE"""),"1PM-3PM")</f>
        <v>1PM-3PM</v>
      </c>
      <c r="J430" s="93">
        <f>IFERROR(__xludf.DUMMYFUNCTION("""COMPUTED_VALUE"""),1.0)</f>
        <v>1</v>
      </c>
      <c r="K430" s="93" t="str">
        <f>IFERROR(__xludf.DUMMYFUNCTION("""COMPUTED_VALUE"""),"Complete")</f>
        <v>Complete</v>
      </c>
      <c r="L430" s="93"/>
      <c r="M430" s="94">
        <f>IFERROR(__xludf.DUMMYFUNCTION("""COMPUTED_VALUE"""),46136.51565972222)</f>
        <v>46136.51566</v>
      </c>
      <c r="N430" s="93">
        <f>IFERROR(__xludf.DUMMYFUNCTION("""COMPUTED_VALUE"""),48.0)</f>
        <v>48</v>
      </c>
      <c r="O430" s="93"/>
      <c r="P430" s="93" t="str">
        <f>IFERROR(__xludf.DUMMYFUNCTION("""COMPUTED_VALUE"""),"Kit Delivery")</f>
        <v>Kit Delivery</v>
      </c>
      <c r="Q430" s="93"/>
      <c r="R430" s="93"/>
      <c r="S430" s="93" t="str">
        <f>IFERROR(__xludf.DUMMYFUNCTION("""COMPUTED_VALUE"""),"Dispatch_Images/KIT--17590.Photos.172228.jpg")</f>
        <v>Dispatch_Images/KIT--17590.Photos.172228.jpg</v>
      </c>
      <c r="T430" s="95">
        <f>IFERROR(__xludf.DUMMYFUNCTION("""COMPUTED_VALUE"""),46136.516018518516)</f>
        <v>46136.51602</v>
      </c>
      <c r="U430" s="93"/>
      <c r="V430" s="93"/>
      <c r="W430" s="93"/>
      <c r="X430" s="93"/>
      <c r="Y430" s="93"/>
      <c r="Z430" s="93"/>
    </row>
    <row r="431">
      <c r="A431" s="93" t="str">
        <f>IFERROR(__xludf.DUMMYFUNCTION("""COMPUTED_VALUE"""),"KIT-#17707")</f>
        <v>KIT-#17707</v>
      </c>
      <c r="B431" s="94">
        <f>IFERROR(__xludf.DUMMYFUNCTION("""COMPUTED_VALUE"""),46148.0)</f>
        <v>46148</v>
      </c>
      <c r="C431" s="93" t="str">
        <f>IFERROR(__xludf.DUMMYFUNCTION("""COMPUTED_VALUE"""),"Kit Delivery")</f>
        <v>Kit Delivery</v>
      </c>
      <c r="D431" s="93">
        <f>IFERROR(__xludf.DUMMYFUNCTION("""COMPUTED_VALUE"""),2.0)</f>
        <v>2</v>
      </c>
      <c r="E431" s="93" t="str">
        <f>IFERROR(__xludf.DUMMYFUNCTION("""COMPUTED_VALUE"""),"Danforth")</f>
        <v>Danforth</v>
      </c>
      <c r="F431" s="93">
        <f>IFERROR(__xludf.DUMMYFUNCTION("""COMPUTED_VALUE"""),3331.0)</f>
        <v>3331</v>
      </c>
      <c r="G431" s="93" t="str">
        <f>IFERROR(__xludf.DUMMYFUNCTION("""COMPUTED_VALUE"""),"Emi Harstad")</f>
        <v>Emi Harstad</v>
      </c>
      <c r="H431" s="93">
        <f>IFERROR(__xludf.DUMMYFUNCTION("""COMPUTED_VALUE"""),8.087997037E9)</f>
        <v>8087997037</v>
      </c>
      <c r="I431" s="93" t="str">
        <f>IFERROR(__xludf.DUMMYFUNCTION("""COMPUTED_VALUE"""),"9AM-11AM")</f>
        <v>9AM-11AM</v>
      </c>
      <c r="J431" s="93">
        <f>IFERROR(__xludf.DUMMYFUNCTION("""COMPUTED_VALUE"""),1.0)</f>
        <v>1</v>
      </c>
      <c r="K431" s="93" t="str">
        <f>IFERROR(__xludf.DUMMYFUNCTION("""COMPUTED_VALUE"""),"Complete")</f>
        <v>Complete</v>
      </c>
      <c r="L431" s="93"/>
      <c r="M431" s="94">
        <f>IFERROR(__xludf.DUMMYFUNCTION("""COMPUTED_VALUE"""),46136.52965277778)</f>
        <v>46136.52965</v>
      </c>
      <c r="N431" s="93">
        <f>IFERROR(__xludf.DUMMYFUNCTION("""COMPUTED_VALUE"""),51.0)</f>
        <v>51</v>
      </c>
      <c r="O431" s="93"/>
      <c r="P431" s="93" t="str">
        <f>IFERROR(__xludf.DUMMYFUNCTION("""COMPUTED_VALUE"""),"Kit Delivery")</f>
        <v>Kit Delivery</v>
      </c>
      <c r="Q431" s="93"/>
      <c r="R431" s="93"/>
      <c r="S431" s="93" t="str">
        <f>IFERROR(__xludf.DUMMYFUNCTION("""COMPUTED_VALUE"""),"Dispatch_Images/KIT--17707.Photos.174238.jpg")</f>
        <v>Dispatch_Images/KIT--17707.Photos.174238.jpg</v>
      </c>
      <c r="T431" s="95">
        <f>IFERROR(__xludf.DUMMYFUNCTION("""COMPUTED_VALUE"""),46136.52988425926)</f>
        <v>46136.52988</v>
      </c>
      <c r="U431" s="93"/>
      <c r="V431" s="93"/>
      <c r="W431" s="93"/>
      <c r="X431" s="93"/>
      <c r="Y431" s="93"/>
      <c r="Z431" s="93"/>
    </row>
    <row r="432">
      <c r="A432" s="93" t="str">
        <f>IFERROR(__xludf.DUMMYFUNCTION("""COMPUTED_VALUE"""),"KIT-#17663")</f>
        <v>KIT-#17663</v>
      </c>
      <c r="B432" s="94">
        <f>IFERROR(__xludf.DUMMYFUNCTION("""COMPUTED_VALUE"""),46148.0)</f>
        <v>46148</v>
      </c>
      <c r="C432" s="93" t="str">
        <f>IFERROR(__xludf.DUMMYFUNCTION("""COMPUTED_VALUE"""),"Kit Delivery")</f>
        <v>Kit Delivery</v>
      </c>
      <c r="D432" s="93">
        <f>IFERROR(__xludf.DUMMYFUNCTION("""COMPUTED_VALUE"""),2.0)</f>
        <v>2</v>
      </c>
      <c r="E432" s="93" t="str">
        <f>IFERROR(__xludf.DUMMYFUNCTION("""COMPUTED_VALUE"""),"Danforth")</f>
        <v>Danforth</v>
      </c>
      <c r="F432" s="93">
        <f>IFERROR(__xludf.DUMMYFUNCTION("""COMPUTED_VALUE"""),3303.0)</f>
        <v>3303</v>
      </c>
      <c r="G432" s="93" t="str">
        <f>IFERROR(__xludf.DUMMYFUNCTION("""COMPUTED_VALUE"""),"Aman Jaleel")</f>
        <v>Aman Jaleel</v>
      </c>
      <c r="H432" s="93">
        <f>IFERROR(__xludf.DUMMYFUNCTION("""COMPUTED_VALUE"""),2.145927361E9)</f>
        <v>2145927361</v>
      </c>
      <c r="I432" s="93" t="str">
        <f>IFERROR(__xludf.DUMMYFUNCTION("""COMPUTED_VALUE"""),"9AM-11AM")</f>
        <v>9AM-11AM</v>
      </c>
      <c r="J432" s="93">
        <f>IFERROR(__xludf.DUMMYFUNCTION("""COMPUTED_VALUE"""),1.0)</f>
        <v>1</v>
      </c>
      <c r="K432" s="93" t="str">
        <f>IFERROR(__xludf.DUMMYFUNCTION("""COMPUTED_VALUE"""),"Complete")</f>
        <v>Complete</v>
      </c>
      <c r="L432" s="93"/>
      <c r="M432" s="94">
        <f>IFERROR(__xludf.DUMMYFUNCTION("""COMPUTED_VALUE"""),46136.530173611114)</f>
        <v>46136.53017</v>
      </c>
      <c r="N432" s="93">
        <f>IFERROR(__xludf.DUMMYFUNCTION("""COMPUTED_VALUE"""),50.0)</f>
        <v>50</v>
      </c>
      <c r="O432" s="93"/>
      <c r="P432" s="93" t="str">
        <f>IFERROR(__xludf.DUMMYFUNCTION("""COMPUTED_VALUE"""),"Kit Delivery")</f>
        <v>Kit Delivery</v>
      </c>
      <c r="Q432" s="93"/>
      <c r="R432" s="93"/>
      <c r="S432" s="93" t="str">
        <f>IFERROR(__xludf.DUMMYFUNCTION("""COMPUTED_VALUE"""),"Dispatch_Images/KIT--17663.Photos.174324.jpg")</f>
        <v>Dispatch_Images/KIT--17663.Photos.174324.jpg</v>
      </c>
      <c r="T432" s="95">
        <f>IFERROR(__xludf.DUMMYFUNCTION("""COMPUTED_VALUE"""),46136.536840277775)</f>
        <v>46136.53684</v>
      </c>
      <c r="U432" s="93"/>
      <c r="V432" s="93"/>
      <c r="W432" s="93"/>
      <c r="X432" s="93"/>
      <c r="Y432" s="93"/>
      <c r="Z432" s="93"/>
    </row>
    <row r="433">
      <c r="A433" s="93" t="str">
        <f>IFERROR(__xludf.DUMMYFUNCTION("""COMPUTED_VALUE"""),"KIT-#17617")</f>
        <v>KIT-#17617</v>
      </c>
      <c r="B433" s="94">
        <f>IFERROR(__xludf.DUMMYFUNCTION("""COMPUTED_VALUE"""),46148.0)</f>
        <v>46148</v>
      </c>
      <c r="C433" s="93" t="str">
        <f>IFERROR(__xludf.DUMMYFUNCTION("""COMPUTED_VALUE"""),"Kit Delivery")</f>
        <v>Kit Delivery</v>
      </c>
      <c r="D433" s="93">
        <f>IFERROR(__xludf.DUMMYFUNCTION("""COMPUTED_VALUE"""),2.0)</f>
        <v>2</v>
      </c>
      <c r="E433" s="93" t="str">
        <f>IFERROR(__xludf.DUMMYFUNCTION("""COMPUTED_VALUE"""),"Shepley")</f>
        <v>Shepley</v>
      </c>
      <c r="F433" s="93" t="str">
        <f>IFERROR(__xludf.DUMMYFUNCTION("""COMPUTED_VALUE"""),"3000-(3002)")</f>
        <v>3000-(3002)</v>
      </c>
      <c r="G433" s="93" t="str">
        <f>IFERROR(__xludf.DUMMYFUNCTION("""COMPUTED_VALUE"""),"Ruby Short")</f>
        <v>Ruby Short</v>
      </c>
      <c r="H433" s="93">
        <f>IFERROR(__xludf.DUMMYFUNCTION("""COMPUTED_VALUE"""),9.706234067E9)</f>
        <v>9706234067</v>
      </c>
      <c r="I433" s="93" t="str">
        <f>IFERROR(__xludf.DUMMYFUNCTION("""COMPUTED_VALUE"""),"3PM-5PM")</f>
        <v>3PM-5PM</v>
      </c>
      <c r="J433" s="93">
        <f>IFERROR(__xludf.DUMMYFUNCTION("""COMPUTED_VALUE"""),1.0)</f>
        <v>1</v>
      </c>
      <c r="K433" s="93" t="str">
        <f>IFERROR(__xludf.DUMMYFUNCTION("""COMPUTED_VALUE"""),"Complete")</f>
        <v>Complete</v>
      </c>
      <c r="L433" s="93"/>
      <c r="M433" s="94">
        <f>IFERROR(__xludf.DUMMYFUNCTION("""COMPUTED_VALUE"""),46137.53189814815)</f>
        <v>46137.5319</v>
      </c>
      <c r="N433" s="93">
        <f>IFERROR(__xludf.DUMMYFUNCTION("""COMPUTED_VALUE"""),57.0)</f>
        <v>57</v>
      </c>
      <c r="O433" s="93"/>
      <c r="P433" s="93" t="str">
        <f>IFERROR(__xludf.DUMMYFUNCTION("""COMPUTED_VALUE"""),"Kit Delivery")</f>
        <v>Kit Delivery</v>
      </c>
      <c r="Q433" s="93"/>
      <c r="R433" s="93"/>
      <c r="S433" s="93" t="str">
        <f>IFERROR(__xludf.DUMMYFUNCTION("""COMPUTED_VALUE"""),"Dispatch_Images/KIT--17617.Photos.174552.jpg")</f>
        <v>Dispatch_Images/KIT--17617.Photos.174552.jpg</v>
      </c>
      <c r="T433" s="95">
        <f>IFERROR(__xludf.DUMMYFUNCTION("""COMPUTED_VALUE"""),46137.536828703705)</f>
        <v>46137.53683</v>
      </c>
      <c r="U433" s="93"/>
      <c r="V433" s="93"/>
      <c r="W433" s="93"/>
      <c r="X433" s="93"/>
      <c r="Y433" s="93"/>
      <c r="Z433" s="93"/>
    </row>
    <row r="434">
      <c r="A434" s="93" t="str">
        <f>IFERROR(__xludf.DUMMYFUNCTION("""COMPUTED_VALUE"""),"KIT-#17445")</f>
        <v>KIT-#17445</v>
      </c>
      <c r="B434" s="94">
        <f>IFERROR(__xludf.DUMMYFUNCTION("""COMPUTED_VALUE"""),46148.0)</f>
        <v>46148</v>
      </c>
      <c r="C434" s="93" t="str">
        <f>IFERROR(__xludf.DUMMYFUNCTION("""COMPUTED_VALUE"""),"Kit Delivery")</f>
        <v>Kit Delivery</v>
      </c>
      <c r="D434" s="93">
        <f>IFERROR(__xludf.DUMMYFUNCTION("""COMPUTED_VALUE"""),2.0)</f>
        <v>2</v>
      </c>
      <c r="E434" s="93" t="str">
        <f>IFERROR(__xludf.DUMMYFUNCTION("""COMPUTED_VALUE"""),"Shepley")</f>
        <v>Shepley</v>
      </c>
      <c r="F434" s="93" t="str">
        <f>IFERROR(__xludf.DUMMYFUNCTION("""COMPUTED_VALUE"""),"3021-a")</f>
        <v>3021-a</v>
      </c>
      <c r="G434" s="93" t="str">
        <f>IFERROR(__xludf.DUMMYFUNCTION("""COMPUTED_VALUE"""),"Danielle Cheong")</f>
        <v>Danielle Cheong</v>
      </c>
      <c r="H434" s="93">
        <f>IFERROR(__xludf.DUMMYFUNCTION("""COMPUTED_VALUE"""),7.032037971E9)</f>
        <v>7032037971</v>
      </c>
      <c r="I434" s="93" t="str">
        <f>IFERROR(__xludf.DUMMYFUNCTION("""COMPUTED_VALUE"""),"9AM-11AM")</f>
        <v>9AM-11AM</v>
      </c>
      <c r="J434" s="93">
        <f>IFERROR(__xludf.DUMMYFUNCTION("""COMPUTED_VALUE"""),1.0)</f>
        <v>1</v>
      </c>
      <c r="K434" s="93" t="str">
        <f>IFERROR(__xludf.DUMMYFUNCTION("""COMPUTED_VALUE"""),"Complete")</f>
        <v>Complete</v>
      </c>
      <c r="L434" s="93"/>
      <c r="M434" s="94">
        <f>IFERROR(__xludf.DUMMYFUNCTION("""COMPUTED_VALUE"""),46137.532314814816)</f>
        <v>46137.53231</v>
      </c>
      <c r="N434" s="93">
        <f>IFERROR(__xludf.DUMMYFUNCTION("""COMPUTED_VALUE"""),58.0)</f>
        <v>58</v>
      </c>
      <c r="O434" s="93"/>
      <c r="P434" s="93" t="str">
        <f>IFERROR(__xludf.DUMMYFUNCTION("""COMPUTED_VALUE"""),"Kit Delivery")</f>
        <v>Kit Delivery</v>
      </c>
      <c r="Q434" s="93"/>
      <c r="R434" s="93"/>
      <c r="S434" s="93" t="str">
        <f>IFERROR(__xludf.DUMMYFUNCTION("""COMPUTED_VALUE"""),"Dispatch_Images/KIT--17445.Photos.174628.jpg")</f>
        <v>Dispatch_Images/KIT--17445.Photos.174628.jpg</v>
      </c>
      <c r="T434" s="95">
        <f>IFERROR(__xludf.DUMMYFUNCTION("""COMPUTED_VALUE"""),46137.536828703705)</f>
        <v>46137.53683</v>
      </c>
      <c r="U434" s="93"/>
      <c r="V434" s="93"/>
      <c r="W434" s="93"/>
      <c r="X434" s="93"/>
      <c r="Y434" s="93"/>
      <c r="Z434" s="93"/>
    </row>
    <row r="435">
      <c r="A435" s="93" t="str">
        <f>IFERROR(__xludf.DUMMYFUNCTION("""COMPUTED_VALUE"""),"KIT-#17721")</f>
        <v>KIT-#17721</v>
      </c>
      <c r="B435" s="94">
        <f>IFERROR(__xludf.DUMMYFUNCTION("""COMPUTED_VALUE"""),46148.0)</f>
        <v>46148</v>
      </c>
      <c r="C435" s="93" t="str">
        <f>IFERROR(__xludf.DUMMYFUNCTION("""COMPUTED_VALUE"""),"Kit Delivery")</f>
        <v>Kit Delivery</v>
      </c>
      <c r="D435" s="93">
        <f>IFERROR(__xludf.DUMMYFUNCTION("""COMPUTED_VALUE"""),2.0)</f>
        <v>2</v>
      </c>
      <c r="E435" s="93" t="str">
        <f>IFERROR(__xludf.DUMMYFUNCTION("""COMPUTED_VALUE"""),"Park")</f>
        <v>Park</v>
      </c>
      <c r="F435" s="93">
        <f>IFERROR(__xludf.DUMMYFUNCTION("""COMPUTED_VALUE"""),492.0)</f>
        <v>492</v>
      </c>
      <c r="G435" s="93" t="str">
        <f>IFERROR(__xludf.DUMMYFUNCTION("""COMPUTED_VALUE"""),"Daniela  Corona Shturman")</f>
        <v>Daniela  Corona Shturman</v>
      </c>
      <c r="H435" s="93">
        <f>IFERROR(__xludf.DUMMYFUNCTION("""COMPUTED_VALUE"""),3.018280427E9)</f>
        <v>3018280427</v>
      </c>
      <c r="I435" s="93" t="str">
        <f>IFERROR(__xludf.DUMMYFUNCTION("""COMPUTED_VALUE"""),"9AM-11AM")</f>
        <v>9AM-11AM</v>
      </c>
      <c r="J435" s="93">
        <f>IFERROR(__xludf.DUMMYFUNCTION("""COMPUTED_VALUE"""),1.0)</f>
        <v>1</v>
      </c>
      <c r="K435" s="93" t="str">
        <f>IFERROR(__xludf.DUMMYFUNCTION("""COMPUTED_VALUE"""),"Complete")</f>
        <v>Complete</v>
      </c>
      <c r="L435" s="93"/>
      <c r="M435" s="94">
        <f>IFERROR(__xludf.DUMMYFUNCTION("""COMPUTED_VALUE"""),46137.54252314815)</f>
        <v>46137.54252</v>
      </c>
      <c r="N435" s="93">
        <f>IFERROR(__xludf.DUMMYFUNCTION("""COMPUTED_VALUE"""),62.0)</f>
        <v>62</v>
      </c>
      <c r="O435" s="93"/>
      <c r="P435" s="93" t="str">
        <f>IFERROR(__xludf.DUMMYFUNCTION("""COMPUTED_VALUE"""),"Kit Delivery")</f>
        <v>Kit Delivery</v>
      </c>
      <c r="Q435" s="93"/>
      <c r="R435" s="93"/>
      <c r="S435" s="93" t="str">
        <f>IFERROR(__xludf.DUMMYFUNCTION("""COMPUTED_VALUE"""),"Dispatch_Images/KIT--17721.Photos.180110.jpg")</f>
        <v>Dispatch_Images/KIT--17721.Photos.180110.jpg</v>
      </c>
      <c r="T435" s="95">
        <f>IFERROR(__xludf.DUMMYFUNCTION("""COMPUTED_VALUE"""),46137.54378472222)</f>
        <v>46137.54378</v>
      </c>
      <c r="U435" s="93"/>
      <c r="V435" s="93"/>
      <c r="W435" s="93"/>
      <c r="X435" s="93"/>
      <c r="Y435" s="93"/>
      <c r="Z435" s="93"/>
    </row>
    <row r="436">
      <c r="A436" s="93" t="str">
        <f>IFERROR(__xludf.DUMMYFUNCTION("""COMPUTED_VALUE"""),"KIT-#17633")</f>
        <v>KIT-#17633</v>
      </c>
      <c r="B436" s="94">
        <f>IFERROR(__xludf.DUMMYFUNCTION("""COMPUTED_VALUE"""),46148.0)</f>
        <v>46148</v>
      </c>
      <c r="C436" s="93" t="str">
        <f>IFERROR(__xludf.DUMMYFUNCTION("""COMPUTED_VALUE"""),"Kit Delivery")</f>
        <v>Kit Delivery</v>
      </c>
      <c r="D436" s="93">
        <f>IFERROR(__xludf.DUMMYFUNCTION("""COMPUTED_VALUE"""),2.0)</f>
        <v>2</v>
      </c>
      <c r="E436" s="93" t="str">
        <f>IFERROR(__xludf.DUMMYFUNCTION("""COMPUTED_VALUE"""),"Nemerov")</f>
        <v>Nemerov</v>
      </c>
      <c r="F436" s="93">
        <f>IFERROR(__xludf.DUMMYFUNCTION("""COMPUTED_VALUE"""),3082.0)</f>
        <v>3082</v>
      </c>
      <c r="G436" s="93" t="str">
        <f>IFERROR(__xludf.DUMMYFUNCTION("""COMPUTED_VALUE"""),"Maddy Stikeleather")</f>
        <v>Maddy Stikeleather</v>
      </c>
      <c r="H436" s="93">
        <f>IFERROR(__xludf.DUMMYFUNCTION("""COMPUTED_VALUE"""),7.742705618E9)</f>
        <v>7742705618</v>
      </c>
      <c r="I436" s="93" t="str">
        <f>IFERROR(__xludf.DUMMYFUNCTION("""COMPUTED_VALUE"""),"9AM-11AM")</f>
        <v>9AM-11AM</v>
      </c>
      <c r="J436" s="93">
        <f>IFERROR(__xludf.DUMMYFUNCTION("""COMPUTED_VALUE"""),1.0)</f>
        <v>1</v>
      </c>
      <c r="K436" s="93" t="str">
        <f>IFERROR(__xludf.DUMMYFUNCTION("""COMPUTED_VALUE"""),"Complete")</f>
        <v>Complete</v>
      </c>
      <c r="L436" s="93"/>
      <c r="M436" s="94">
        <f>IFERROR(__xludf.DUMMYFUNCTION("""COMPUTED_VALUE"""),46137.55365740741)</f>
        <v>46137.55366</v>
      </c>
      <c r="N436" s="93">
        <f>IFERROR(__xludf.DUMMYFUNCTION("""COMPUTED_VALUE"""),106.0)</f>
        <v>106</v>
      </c>
      <c r="O436" s="93"/>
      <c r="P436" s="93" t="str">
        <f>IFERROR(__xludf.DUMMYFUNCTION("""COMPUTED_VALUE"""),"Kit Delivery")</f>
        <v>Kit Delivery</v>
      </c>
      <c r="Q436" s="93"/>
      <c r="R436" s="93"/>
      <c r="S436" s="93" t="str">
        <f>IFERROR(__xludf.DUMMYFUNCTION("""COMPUTED_VALUE"""),"Dispatch_Images/KIT--17633.Photos.181711.jpg")</f>
        <v>Dispatch_Images/KIT--17633.Photos.181711.jpg</v>
      </c>
      <c r="T436" s="95">
        <f>IFERROR(__xludf.DUMMYFUNCTION("""COMPUTED_VALUE"""),46137.55767361111)</f>
        <v>46137.55767</v>
      </c>
      <c r="U436" s="93"/>
      <c r="V436" s="93"/>
      <c r="W436" s="93"/>
      <c r="X436" s="93"/>
      <c r="Y436" s="93"/>
      <c r="Z436" s="93"/>
    </row>
    <row r="437">
      <c r="A437" s="93" t="str">
        <f>IFERROR(__xludf.DUMMYFUNCTION("""COMPUTED_VALUE"""),"KIT-#17662")</f>
        <v>KIT-#17662</v>
      </c>
      <c r="B437" s="94">
        <f>IFERROR(__xludf.DUMMYFUNCTION("""COMPUTED_VALUE"""),46148.0)</f>
        <v>46148</v>
      </c>
      <c r="C437" s="93" t="str">
        <f>IFERROR(__xludf.DUMMYFUNCTION("""COMPUTED_VALUE"""),"Kit Delivery")</f>
        <v>Kit Delivery</v>
      </c>
      <c r="D437" s="93">
        <f>IFERROR(__xludf.DUMMYFUNCTION("""COMPUTED_VALUE"""),2.0)</f>
        <v>2</v>
      </c>
      <c r="E437" s="93" t="str">
        <f>IFERROR(__xludf.DUMMYFUNCTION("""COMPUTED_VALUE"""),"Nemerov")</f>
        <v>Nemerov</v>
      </c>
      <c r="F437" s="93">
        <f>IFERROR(__xludf.DUMMYFUNCTION("""COMPUTED_VALUE"""),1001.0)</f>
        <v>1001</v>
      </c>
      <c r="G437" s="93" t="str">
        <f>IFERROR(__xludf.DUMMYFUNCTION("""COMPUTED_VALUE"""),"Fay Wong")</f>
        <v>Fay Wong</v>
      </c>
      <c r="H437" s="93">
        <f>IFERROR(__xludf.DUMMYFUNCTION("""COMPUTED_VALUE"""),3.147289647E9)</f>
        <v>3147289647</v>
      </c>
      <c r="I437" s="93" t="str">
        <f>IFERROR(__xludf.DUMMYFUNCTION("""COMPUTED_VALUE"""),"9AM-11AM")</f>
        <v>9AM-11AM</v>
      </c>
      <c r="J437" s="93">
        <f>IFERROR(__xludf.DUMMYFUNCTION("""COMPUTED_VALUE"""),1.0)</f>
        <v>1</v>
      </c>
      <c r="K437" s="93" t="str">
        <f>IFERROR(__xludf.DUMMYFUNCTION("""COMPUTED_VALUE"""),"Complete")</f>
        <v>Complete</v>
      </c>
      <c r="L437" s="93"/>
      <c r="M437" s="94">
        <f>IFERROR(__xludf.DUMMYFUNCTION("""COMPUTED_VALUE"""),46137.55799768519)</f>
        <v>46137.558</v>
      </c>
      <c r="N437" s="93">
        <f>IFERROR(__xludf.DUMMYFUNCTION("""COMPUTED_VALUE"""),103.0)</f>
        <v>103</v>
      </c>
      <c r="O437" s="93"/>
      <c r="P437" s="93" t="str">
        <f>IFERROR(__xludf.DUMMYFUNCTION("""COMPUTED_VALUE"""),"Kit Delivery")</f>
        <v>Kit Delivery</v>
      </c>
      <c r="Q437" s="93"/>
      <c r="R437" s="93"/>
      <c r="S437" s="93" t="str">
        <f>IFERROR(__xludf.DUMMYFUNCTION("""COMPUTED_VALUE"""),"Dispatch_Images/KIT--17662.Photos.182328.jpg")</f>
        <v>Dispatch_Images/KIT--17662.Photos.182328.jpg</v>
      </c>
      <c r="T437" s="95">
        <f>IFERROR(__xludf.DUMMYFUNCTION("""COMPUTED_VALUE"""),46137.56460648148)</f>
        <v>46137.56461</v>
      </c>
      <c r="U437" s="93"/>
      <c r="V437" s="93"/>
      <c r="W437" s="93"/>
      <c r="X437" s="93"/>
      <c r="Y437" s="93"/>
      <c r="Z437" s="93"/>
    </row>
    <row r="438">
      <c r="A438" s="93" t="str">
        <f>IFERROR(__xludf.DUMMYFUNCTION("""COMPUTED_VALUE"""),"KIT-#17715")</f>
        <v>KIT-#17715</v>
      </c>
      <c r="B438" s="94">
        <f>IFERROR(__xludf.DUMMYFUNCTION("""COMPUTED_VALUE"""),46148.0)</f>
        <v>46148</v>
      </c>
      <c r="C438" s="93" t="str">
        <f>IFERROR(__xludf.DUMMYFUNCTION("""COMPUTED_VALUE"""),"Kit Delivery")</f>
        <v>Kit Delivery</v>
      </c>
      <c r="D438" s="93">
        <f>IFERROR(__xludf.DUMMYFUNCTION("""COMPUTED_VALUE"""),2.0)</f>
        <v>2</v>
      </c>
      <c r="E438" s="93" t="str">
        <f>IFERROR(__xludf.DUMMYFUNCTION("""COMPUTED_VALUE"""),"Koenig")</f>
        <v>Koenig</v>
      </c>
      <c r="F438" s="93">
        <f>IFERROR(__xludf.DUMMYFUNCTION("""COMPUTED_VALUE"""),2222.0)</f>
        <v>2222</v>
      </c>
      <c r="G438" s="93" t="str">
        <f>IFERROR(__xludf.DUMMYFUNCTION("""COMPUTED_VALUE"""),"Jayden Campbell")</f>
        <v>Jayden Campbell</v>
      </c>
      <c r="H438" s="93">
        <f>IFERROR(__xludf.DUMMYFUNCTION("""COMPUTED_VALUE"""),7.867170437E9)</f>
        <v>7867170437</v>
      </c>
      <c r="I438" s="93" t="str">
        <f>IFERROR(__xludf.DUMMYFUNCTION("""COMPUTED_VALUE"""),"11AM-1PM")</f>
        <v>11AM-1PM</v>
      </c>
      <c r="J438" s="93">
        <f>IFERROR(__xludf.DUMMYFUNCTION("""COMPUTED_VALUE"""),1.0)</f>
        <v>1</v>
      </c>
      <c r="K438" s="93" t="str">
        <f>IFERROR(__xludf.DUMMYFUNCTION("""COMPUTED_VALUE"""),"Complete")</f>
        <v>Complete</v>
      </c>
      <c r="L438" s="93"/>
      <c r="M438" s="94">
        <f>IFERROR(__xludf.DUMMYFUNCTION("""COMPUTED_VALUE"""),46137.56899305555)</f>
        <v>46137.56899</v>
      </c>
      <c r="N438" s="93">
        <f>IFERROR(__xludf.DUMMYFUNCTION("""COMPUTED_VALUE"""),134.0)</f>
        <v>134</v>
      </c>
      <c r="O438" s="93"/>
      <c r="P438" s="93" t="str">
        <f>IFERROR(__xludf.DUMMYFUNCTION("""COMPUTED_VALUE"""),"Kit Delivery")</f>
        <v>Kit Delivery</v>
      </c>
      <c r="Q438" s="93"/>
      <c r="R438" s="93"/>
      <c r="S438" s="93" t="str">
        <f>IFERROR(__xludf.DUMMYFUNCTION("""COMPUTED_VALUE"""),"Dispatch_Images/KIT--17715.Photos.183917.jpg")</f>
        <v>Dispatch_Images/KIT--17715.Photos.183917.jpg</v>
      </c>
      <c r="T438" s="95">
        <f>IFERROR(__xludf.DUMMYFUNCTION("""COMPUTED_VALUE"""),46137.571550925924)</f>
        <v>46137.57155</v>
      </c>
      <c r="U438" s="93"/>
      <c r="V438" s="93"/>
      <c r="W438" s="93"/>
      <c r="X438" s="93"/>
      <c r="Y438" s="93"/>
      <c r="Z438" s="93"/>
    </row>
    <row r="439">
      <c r="A439" s="93" t="str">
        <f>IFERROR(__xludf.DUMMYFUNCTION("""COMPUTED_VALUE"""),"KIT-#17731")</f>
        <v>KIT-#17731</v>
      </c>
      <c r="B439" s="94">
        <f>IFERROR(__xludf.DUMMYFUNCTION("""COMPUTED_VALUE"""),46148.0)</f>
        <v>46148</v>
      </c>
      <c r="C439" s="93" t="str">
        <f>IFERROR(__xludf.DUMMYFUNCTION("""COMPUTED_VALUE"""),"Kit Delivery")</f>
        <v>Kit Delivery</v>
      </c>
      <c r="D439" s="93">
        <f>IFERROR(__xludf.DUMMYFUNCTION("""COMPUTED_VALUE"""),2.0)</f>
        <v>2</v>
      </c>
      <c r="E439" s="93" t="str">
        <f>IFERROR(__xludf.DUMMYFUNCTION("""COMPUTED_VALUE"""),"Koenig")</f>
        <v>Koenig</v>
      </c>
      <c r="F439" s="93">
        <f>IFERROR(__xludf.DUMMYFUNCTION("""COMPUTED_VALUE"""),2214.0)</f>
        <v>2214</v>
      </c>
      <c r="G439" s="93" t="str">
        <f>IFERROR(__xludf.DUMMYFUNCTION("""COMPUTED_VALUE"""),"Sage Park")</f>
        <v>Sage Park</v>
      </c>
      <c r="H439" s="93">
        <f>IFERROR(__xludf.DUMMYFUNCTION("""COMPUTED_VALUE"""),6.692089376E9)</f>
        <v>6692089376</v>
      </c>
      <c r="I439" s="93" t="str">
        <f>IFERROR(__xludf.DUMMYFUNCTION("""COMPUTED_VALUE"""),"9AM-11AM")</f>
        <v>9AM-11AM</v>
      </c>
      <c r="J439" s="93">
        <f>IFERROR(__xludf.DUMMYFUNCTION("""COMPUTED_VALUE"""),1.0)</f>
        <v>1</v>
      </c>
      <c r="K439" s="93" t="str">
        <f>IFERROR(__xludf.DUMMYFUNCTION("""COMPUTED_VALUE"""),"Complete")</f>
        <v>Complete</v>
      </c>
      <c r="L439" s="93"/>
      <c r="M439" s="94">
        <f>IFERROR(__xludf.DUMMYFUNCTION("""COMPUTED_VALUE"""),46137.57177083333)</f>
        <v>46137.57177</v>
      </c>
      <c r="N439" s="93">
        <f>IFERROR(__xludf.DUMMYFUNCTION("""COMPUTED_VALUE"""),131.0)</f>
        <v>131</v>
      </c>
      <c r="O439" s="93"/>
      <c r="P439" s="93" t="str">
        <f>IFERROR(__xludf.DUMMYFUNCTION("""COMPUTED_VALUE"""),"Kit Delivery")</f>
        <v>Kit Delivery</v>
      </c>
      <c r="Q439" s="93"/>
      <c r="R439" s="93"/>
      <c r="S439" s="93" t="str">
        <f>IFERROR(__xludf.DUMMYFUNCTION("""COMPUTED_VALUE"""),"Dispatch_Images/KIT--17731.Photos.184318.jpg")</f>
        <v>Dispatch_Images/KIT--17731.Photos.184318.jpg</v>
      </c>
      <c r="T439" s="95">
        <f>IFERROR(__xludf.DUMMYFUNCTION("""COMPUTED_VALUE"""),46137.57849537037)</f>
        <v>46137.5785</v>
      </c>
      <c r="U439" s="93"/>
      <c r="V439" s="93"/>
      <c r="W439" s="93"/>
      <c r="X439" s="93"/>
      <c r="Y439" s="93"/>
      <c r="Z439" s="93"/>
    </row>
    <row r="440">
      <c r="A440" s="93" t="str">
        <f>IFERROR(__xludf.DUMMYFUNCTION("""COMPUTED_VALUE"""),"KIT-#17589")</f>
        <v>KIT-#17589</v>
      </c>
      <c r="B440" s="94">
        <f>IFERROR(__xludf.DUMMYFUNCTION("""COMPUTED_VALUE"""),46148.0)</f>
        <v>46148</v>
      </c>
      <c r="C440" s="93" t="str">
        <f>IFERROR(__xludf.DUMMYFUNCTION("""COMPUTED_VALUE"""),"Kit Delivery")</f>
        <v>Kit Delivery</v>
      </c>
      <c r="D440" s="93">
        <f>IFERROR(__xludf.DUMMYFUNCTION("""COMPUTED_VALUE"""),2.0)</f>
        <v>2</v>
      </c>
      <c r="E440" s="93" t="str">
        <f>IFERROR(__xludf.DUMMYFUNCTION("""COMPUTED_VALUE"""),"Koenig")</f>
        <v>Koenig</v>
      </c>
      <c r="F440" s="93">
        <f>IFERROR(__xludf.DUMMYFUNCTION("""COMPUTED_VALUE"""),3320.0)</f>
        <v>3320</v>
      </c>
      <c r="G440" s="93" t="str">
        <f>IFERROR(__xludf.DUMMYFUNCTION("""COMPUTED_VALUE"""),"Sarah Tong")</f>
        <v>Sarah Tong</v>
      </c>
      <c r="H440" s="93">
        <f>IFERROR(__xludf.DUMMYFUNCTION("""COMPUTED_VALUE"""),6.092750621E9)</f>
        <v>6092750621</v>
      </c>
      <c r="I440" s="93" t="str">
        <f>IFERROR(__xludf.DUMMYFUNCTION("""COMPUTED_VALUE"""),"9AM-11AM")</f>
        <v>9AM-11AM</v>
      </c>
      <c r="J440" s="93">
        <f>IFERROR(__xludf.DUMMYFUNCTION("""COMPUTED_VALUE"""),2.0)</f>
        <v>2</v>
      </c>
      <c r="K440" s="93" t="str">
        <f>IFERROR(__xludf.DUMMYFUNCTION("""COMPUTED_VALUE"""),"Complete")</f>
        <v>Complete</v>
      </c>
      <c r="L440" s="93"/>
      <c r="M440" s="94">
        <f>IFERROR(__xludf.DUMMYFUNCTION("""COMPUTED_VALUE"""),46137.57202546296)</f>
        <v>46137.57203</v>
      </c>
      <c r="N440" s="93">
        <f>IFERROR(__xludf.DUMMYFUNCTION("""COMPUTED_VALUE"""),138.0)</f>
        <v>138</v>
      </c>
      <c r="O440" s="93"/>
      <c r="P440" s="93" t="str">
        <f>IFERROR(__xludf.DUMMYFUNCTION("""COMPUTED_VALUE"""),"Kit Delivery")</f>
        <v>Kit Delivery</v>
      </c>
      <c r="Q440" s="93"/>
      <c r="R440" s="93"/>
      <c r="S440" s="93" t="str">
        <f>IFERROR(__xludf.DUMMYFUNCTION("""COMPUTED_VALUE"""),"Dispatch_Images/KIT--17589.Photos.184340.jpg")</f>
        <v>Dispatch_Images/KIT--17589.Photos.184340.jpg</v>
      </c>
      <c r="T440" s="95">
        <f>IFERROR(__xludf.DUMMYFUNCTION("""COMPUTED_VALUE"""),46137.57849537037)</f>
        <v>46137.5785</v>
      </c>
      <c r="U440" s="93"/>
      <c r="V440" s="93"/>
      <c r="W440" s="93"/>
      <c r="X440" s="93"/>
      <c r="Y440" s="93"/>
      <c r="Z440" s="93"/>
    </row>
    <row r="441">
      <c r="A441" s="93" t="str">
        <f>IFERROR(__xludf.DUMMYFUNCTION("""COMPUTED_VALUE"""),"KIT-#17582")</f>
        <v>KIT-#17582</v>
      </c>
      <c r="B441" s="94">
        <f>IFERROR(__xludf.DUMMYFUNCTION("""COMPUTED_VALUE"""),46148.0)</f>
        <v>46148</v>
      </c>
      <c r="C441" s="93" t="str">
        <f>IFERROR(__xludf.DUMMYFUNCTION("""COMPUTED_VALUE"""),"Kit Delivery")</f>
        <v>Kit Delivery</v>
      </c>
      <c r="D441" s="93">
        <f>IFERROR(__xludf.DUMMYFUNCTION("""COMPUTED_VALUE"""),2.0)</f>
        <v>2</v>
      </c>
      <c r="E441" s="93" t="str">
        <f>IFERROR(__xludf.DUMMYFUNCTION("""COMPUTED_VALUE"""),"Koenig")</f>
        <v>Koenig</v>
      </c>
      <c r="F441" s="93">
        <f>IFERROR(__xludf.DUMMYFUNCTION("""COMPUTED_VALUE"""),3318.0)</f>
        <v>3318</v>
      </c>
      <c r="G441" s="93" t="str">
        <f>IFERROR(__xludf.DUMMYFUNCTION("""COMPUTED_VALUE"""),"Ria Kohli")</f>
        <v>Ria Kohli</v>
      </c>
      <c r="H441" s="93">
        <f>IFERROR(__xludf.DUMMYFUNCTION("""COMPUTED_VALUE"""),3.108030065E9)</f>
        <v>3108030065</v>
      </c>
      <c r="I441" s="93" t="str">
        <f>IFERROR(__xludf.DUMMYFUNCTION("""COMPUTED_VALUE"""),"9AM-11AM")</f>
        <v>9AM-11AM</v>
      </c>
      <c r="J441" s="93">
        <f>IFERROR(__xludf.DUMMYFUNCTION("""COMPUTED_VALUE"""),1.0)</f>
        <v>1</v>
      </c>
      <c r="K441" s="93" t="str">
        <f>IFERROR(__xludf.DUMMYFUNCTION("""COMPUTED_VALUE"""),"Complete")</f>
        <v>Complete</v>
      </c>
      <c r="L441" s="93"/>
      <c r="M441" s="94">
        <f>IFERROR(__xludf.DUMMYFUNCTION("""COMPUTED_VALUE"""),46137.57255787037)</f>
        <v>46137.57256</v>
      </c>
      <c r="N441" s="93">
        <f>IFERROR(__xludf.DUMMYFUNCTION("""COMPUTED_VALUE"""),137.0)</f>
        <v>137</v>
      </c>
      <c r="O441" s="93"/>
      <c r="P441" s="93" t="str">
        <f>IFERROR(__xludf.DUMMYFUNCTION("""COMPUTED_VALUE"""),"Kit Delivery")</f>
        <v>Kit Delivery</v>
      </c>
      <c r="Q441" s="93"/>
      <c r="R441" s="93"/>
      <c r="S441" s="93" t="str">
        <f>IFERROR(__xludf.DUMMYFUNCTION("""COMPUTED_VALUE"""),"Dispatch_Images/KIT--17582.Photos.184425.jpg")</f>
        <v>Dispatch_Images/KIT--17582.Photos.184425.jpg</v>
      </c>
      <c r="T441" s="95">
        <f>IFERROR(__xludf.DUMMYFUNCTION("""COMPUTED_VALUE"""),46137.57849537037)</f>
        <v>46137.5785</v>
      </c>
      <c r="U441" s="93"/>
      <c r="V441" s="93"/>
      <c r="W441" s="93"/>
      <c r="X441" s="93"/>
      <c r="Y441" s="93"/>
      <c r="Z441" s="93"/>
    </row>
    <row r="442">
      <c r="A442" s="93" t="str">
        <f>IFERROR(__xludf.DUMMYFUNCTION("""COMPUTED_VALUE"""),"KIT-#17594")</f>
        <v>KIT-#17594</v>
      </c>
      <c r="B442" s="94">
        <f>IFERROR(__xludf.DUMMYFUNCTION("""COMPUTED_VALUE"""),46148.0)</f>
        <v>46148</v>
      </c>
      <c r="C442" s="93" t="str">
        <f>IFERROR(__xludf.DUMMYFUNCTION("""COMPUTED_VALUE"""),"Kit Delivery")</f>
        <v>Kit Delivery</v>
      </c>
      <c r="D442" s="93">
        <f>IFERROR(__xludf.DUMMYFUNCTION("""COMPUTED_VALUE"""),2.0)</f>
        <v>2</v>
      </c>
      <c r="E442" s="93" t="str">
        <f>IFERROR(__xludf.DUMMYFUNCTION("""COMPUTED_VALUE"""),"Koenig")</f>
        <v>Koenig</v>
      </c>
      <c r="F442" s="93">
        <f>IFERROR(__xludf.DUMMYFUNCTION("""COMPUTED_VALUE"""),3304.0)</f>
        <v>3304</v>
      </c>
      <c r="G442" s="93" t="str">
        <f>IFERROR(__xludf.DUMMYFUNCTION("""COMPUTED_VALUE"""),"Gil Gordon")</f>
        <v>Gil Gordon</v>
      </c>
      <c r="H442" s="93">
        <f>IFERROR(__xludf.DUMMYFUNCTION("""COMPUTED_VALUE"""),2.406201906E9)</f>
        <v>2406201906</v>
      </c>
      <c r="I442" s="93" t="str">
        <f>IFERROR(__xludf.DUMMYFUNCTION("""COMPUTED_VALUE"""),"10AM-12PM")</f>
        <v>10AM-12PM</v>
      </c>
      <c r="J442" s="93">
        <f>IFERROR(__xludf.DUMMYFUNCTION("""COMPUTED_VALUE"""),1.0)</f>
        <v>1</v>
      </c>
      <c r="K442" s="93" t="str">
        <f>IFERROR(__xludf.DUMMYFUNCTION("""COMPUTED_VALUE"""),"Complete")</f>
        <v>Complete</v>
      </c>
      <c r="L442" s="93"/>
      <c r="M442" s="94">
        <f>IFERROR(__xludf.DUMMYFUNCTION("""COMPUTED_VALUE"""),46137.57325231482)</f>
        <v>46137.57325</v>
      </c>
      <c r="N442" s="93">
        <f>IFERROR(__xludf.DUMMYFUNCTION("""COMPUTED_VALUE"""),135.0)</f>
        <v>135</v>
      </c>
      <c r="O442" s="93"/>
      <c r="P442" s="93" t="str">
        <f>IFERROR(__xludf.DUMMYFUNCTION("""COMPUTED_VALUE"""),"Kit Delivery")</f>
        <v>Kit Delivery</v>
      </c>
      <c r="Q442" s="93"/>
      <c r="R442" s="93"/>
      <c r="S442" s="93" t="str">
        <f>IFERROR(__xludf.DUMMYFUNCTION("""COMPUTED_VALUE"""),"Dispatch_Images/KIT--17594.Photos.184525.jpg")</f>
        <v>Dispatch_Images/KIT--17594.Photos.184525.jpg</v>
      </c>
      <c r="T442" s="95">
        <f>IFERROR(__xludf.DUMMYFUNCTION("""COMPUTED_VALUE"""),46137.57849537037)</f>
        <v>46137.5785</v>
      </c>
      <c r="U442" s="93"/>
      <c r="V442" s="93"/>
      <c r="W442" s="93"/>
      <c r="X442" s="93"/>
      <c r="Y442" s="93"/>
      <c r="Z442" s="93"/>
    </row>
    <row r="443">
      <c r="A443" s="93" t="str">
        <f>IFERROR(__xludf.DUMMYFUNCTION("""COMPUTED_VALUE"""),"KIT-#17446")</f>
        <v>KIT-#17446</v>
      </c>
      <c r="B443" s="94">
        <f>IFERROR(__xludf.DUMMYFUNCTION("""COMPUTED_VALUE"""),46148.0)</f>
        <v>46148</v>
      </c>
      <c r="C443" s="93" t="str">
        <f>IFERROR(__xludf.DUMMYFUNCTION("""COMPUTED_VALUE"""),"Kit Delivery")</f>
        <v>Kit Delivery</v>
      </c>
      <c r="D443" s="93">
        <f>IFERROR(__xludf.DUMMYFUNCTION("""COMPUTED_VALUE"""),2.0)</f>
        <v>2</v>
      </c>
      <c r="E443" s="93" t="str">
        <f>IFERROR(__xludf.DUMMYFUNCTION("""COMPUTED_VALUE"""),"House 21")</f>
        <v>House 21</v>
      </c>
      <c r="F443" s="93">
        <f>IFERROR(__xludf.DUMMYFUNCTION("""COMPUTED_VALUE"""),3081.0)</f>
        <v>3081</v>
      </c>
      <c r="G443" s="93" t="str">
        <f>IFERROR(__xludf.DUMMYFUNCTION("""COMPUTED_VALUE"""),"Myles Kaplan")</f>
        <v>Myles Kaplan</v>
      </c>
      <c r="H443" s="93">
        <f>IFERROR(__xludf.DUMMYFUNCTION("""COMPUTED_VALUE"""),2.014077942E9)</f>
        <v>2014077942</v>
      </c>
      <c r="I443" s="93" t="str">
        <f>IFERROR(__xludf.DUMMYFUNCTION("""COMPUTED_VALUE"""),"9AM-11AM")</f>
        <v>9AM-11AM</v>
      </c>
      <c r="J443" s="93">
        <f>IFERROR(__xludf.DUMMYFUNCTION("""COMPUTED_VALUE"""),2.0)</f>
        <v>2</v>
      </c>
      <c r="K443" s="93" t="str">
        <f>IFERROR(__xludf.DUMMYFUNCTION("""COMPUTED_VALUE"""),"Complete")</f>
        <v>Complete</v>
      </c>
      <c r="L443" s="93"/>
      <c r="M443" s="94">
        <f>IFERROR(__xludf.DUMMYFUNCTION("""COMPUTED_VALUE"""),46137.67929398148)</f>
        <v>46137.67929</v>
      </c>
      <c r="N443" s="93">
        <f>IFERROR(__xludf.DUMMYFUNCTION("""COMPUTED_VALUE"""),246.0)</f>
        <v>246</v>
      </c>
      <c r="O443" s="93"/>
      <c r="P443" s="93" t="str">
        <f>IFERROR(__xludf.DUMMYFUNCTION("""COMPUTED_VALUE"""),"Kit Delivery")</f>
        <v>Kit Delivery</v>
      </c>
      <c r="Q443" s="93" t="str">
        <f>IFERROR(__xludf.DUMMYFUNCTION("""COMPUTED_VALUE"""),"In early August we will contact you with what room number Myles is moving back into, in House 21.")</f>
        <v>In early August we will contact you with what room number Myles is moving back into, in House 21.</v>
      </c>
      <c r="R443" s="93"/>
      <c r="S443" s="93" t="str">
        <f>IFERROR(__xludf.DUMMYFUNCTION("""COMPUTED_VALUE"""),"Dispatch_Images/KIT--17446.Photos.211723.jpg")</f>
        <v>Dispatch_Images/KIT--17446.Photos.211723.jpg</v>
      </c>
      <c r="T443" s="95">
        <f>IFERROR(__xludf.DUMMYFUNCTION("""COMPUTED_VALUE"""),46137.682662037034)</f>
        <v>46137.68266</v>
      </c>
      <c r="U443" s="93"/>
      <c r="V443" s="93"/>
      <c r="W443" s="93"/>
      <c r="X443" s="93"/>
      <c r="Y443" s="93"/>
      <c r="Z443" s="93"/>
    </row>
    <row r="444">
      <c r="A444" s="93" t="str">
        <f>IFERROR(__xludf.DUMMYFUNCTION("""COMPUTED_VALUE"""),"KIT-#17695")</f>
        <v>KIT-#17695</v>
      </c>
      <c r="B444" s="94">
        <f>IFERROR(__xludf.DUMMYFUNCTION("""COMPUTED_VALUE"""),46148.0)</f>
        <v>46148</v>
      </c>
      <c r="C444" s="93" t="str">
        <f>IFERROR(__xludf.DUMMYFUNCTION("""COMPUTED_VALUE"""),"Kit Delivery")</f>
        <v>Kit Delivery</v>
      </c>
      <c r="D444" s="93">
        <f>IFERROR(__xludf.DUMMYFUNCTION("""COMPUTED_VALUE"""),2.0)</f>
        <v>2</v>
      </c>
      <c r="E444" s="93" t="str">
        <f>IFERROR(__xludf.DUMMYFUNCTION("""COMPUTED_VALUE"""),"Village East")</f>
        <v>Village East</v>
      </c>
      <c r="F444" s="93">
        <f>IFERROR(__xludf.DUMMYFUNCTION("""COMPUTED_VALUE"""),2041.0)</f>
        <v>2041</v>
      </c>
      <c r="G444" s="93" t="str">
        <f>IFERROR(__xludf.DUMMYFUNCTION("""COMPUTED_VALUE"""),"Claire Skatrud")</f>
        <v>Claire Skatrud</v>
      </c>
      <c r="H444" s="93">
        <f>IFERROR(__xludf.DUMMYFUNCTION("""COMPUTED_VALUE"""),7.816081973E9)</f>
        <v>7816081973</v>
      </c>
      <c r="I444" s="93" t="str">
        <f>IFERROR(__xludf.DUMMYFUNCTION("""COMPUTED_VALUE"""),"9AM-11AM")</f>
        <v>9AM-11AM</v>
      </c>
      <c r="J444" s="93">
        <f>IFERROR(__xludf.DUMMYFUNCTION("""COMPUTED_VALUE"""),1.0)</f>
        <v>1</v>
      </c>
      <c r="K444" s="93" t="str">
        <f>IFERROR(__xludf.DUMMYFUNCTION("""COMPUTED_VALUE"""),"Complete")</f>
        <v>Complete</v>
      </c>
      <c r="L444" s="93"/>
      <c r="M444" s="94">
        <f>IFERROR(__xludf.DUMMYFUNCTION("""COMPUTED_VALUE"""),46137.68627314815)</f>
        <v>46137.68627</v>
      </c>
      <c r="N444" s="93">
        <f>IFERROR(__xludf.DUMMYFUNCTION("""COMPUTED_VALUE"""),199.0)</f>
        <v>199</v>
      </c>
      <c r="O444" s="93"/>
      <c r="P444" s="93" t="str">
        <f>IFERROR(__xludf.DUMMYFUNCTION("""COMPUTED_VALUE"""),"Kit Delivery")</f>
        <v>Kit Delivery</v>
      </c>
      <c r="Q444" s="93"/>
      <c r="R444" s="93"/>
      <c r="S444" s="93" t="str">
        <f>IFERROR(__xludf.DUMMYFUNCTION("""COMPUTED_VALUE"""),"Dispatch_Images/KIT--17695.Photos.212810.jpg")</f>
        <v>Dispatch_Images/KIT--17695.Photos.212810.jpg</v>
      </c>
      <c r="T444" s="95">
        <f>IFERROR(__xludf.DUMMYFUNCTION("""COMPUTED_VALUE"""),46137.68960648148)</f>
        <v>46137.68961</v>
      </c>
      <c r="U444" s="93"/>
      <c r="V444" s="93"/>
      <c r="W444" s="93"/>
      <c r="X444" s="93"/>
      <c r="Y444" s="93"/>
      <c r="Z444" s="93"/>
    </row>
    <row r="445">
      <c r="A445" s="93" t="str">
        <f>IFERROR(__xludf.DUMMYFUNCTION("""COMPUTED_VALUE"""),"KIT-#17649")</f>
        <v>KIT-#17649</v>
      </c>
      <c r="B445" s="94">
        <f>IFERROR(__xludf.DUMMYFUNCTION("""COMPUTED_VALUE"""),46148.0)</f>
        <v>46148</v>
      </c>
      <c r="C445" s="93" t="str">
        <f>IFERROR(__xludf.DUMMYFUNCTION("""COMPUTED_VALUE"""),"Kit Delivery")</f>
        <v>Kit Delivery</v>
      </c>
      <c r="D445" s="93">
        <f>IFERROR(__xludf.DUMMYFUNCTION("""COMPUTED_VALUE"""),2.0)</f>
        <v>2</v>
      </c>
      <c r="E445" s="93" t="str">
        <f>IFERROR(__xludf.DUMMYFUNCTION("""COMPUTED_VALUE"""),"Hitzeman")</f>
        <v>Hitzeman</v>
      </c>
      <c r="F445" s="93">
        <f>IFERROR(__xludf.DUMMYFUNCTION("""COMPUTED_VALUE"""),322.0)</f>
        <v>322</v>
      </c>
      <c r="G445" s="93" t="str">
        <f>IFERROR(__xludf.DUMMYFUNCTION("""COMPUTED_VALUE"""),"Anikait Bharadwaj")</f>
        <v>Anikait Bharadwaj</v>
      </c>
      <c r="H445" s="93">
        <f>IFERROR(__xludf.DUMMYFUNCTION("""COMPUTED_VALUE"""),4.695362299E9)</f>
        <v>4695362299</v>
      </c>
      <c r="I445" s="93" t="str">
        <f>IFERROR(__xludf.DUMMYFUNCTION("""COMPUTED_VALUE"""),"1PM-3PM")</f>
        <v>1PM-3PM</v>
      </c>
      <c r="J445" s="93">
        <f>IFERROR(__xludf.DUMMYFUNCTION("""COMPUTED_VALUE"""),1.0)</f>
        <v>1</v>
      </c>
      <c r="K445" s="93" t="str">
        <f>IFERROR(__xludf.DUMMYFUNCTION("""COMPUTED_VALUE"""),"Complete")</f>
        <v>Complete</v>
      </c>
      <c r="L445" s="93"/>
      <c r="M445" s="94">
        <f>IFERROR(__xludf.DUMMYFUNCTION("""COMPUTED_VALUE"""),46137.78768518519)</f>
        <v>46137.78769</v>
      </c>
      <c r="N445" s="93">
        <f>IFERROR(__xludf.DUMMYFUNCTION("""COMPUTED_VALUE"""),9.0)</f>
        <v>9</v>
      </c>
      <c r="O445" s="93"/>
      <c r="P445" s="93" t="str">
        <f>IFERROR(__xludf.DUMMYFUNCTION("""COMPUTED_VALUE"""),"Kit Delivery")</f>
        <v>Kit Delivery</v>
      </c>
      <c r="Q445" s="93"/>
      <c r="R445" s="93"/>
      <c r="S445" s="93" t="str">
        <f>IFERROR(__xludf.DUMMYFUNCTION("""COMPUTED_VALUE"""),"Dispatch_Images/KIT--17649.Photos.235413.jpg")</f>
        <v>Dispatch_Images/KIT--17649.Photos.235413.jpg</v>
      </c>
      <c r="T445" s="95">
        <f>IFERROR(__xludf.DUMMYFUNCTION("""COMPUTED_VALUE"""),46137.79378472222)</f>
        <v>46137.79378</v>
      </c>
      <c r="U445" s="93"/>
      <c r="V445" s="93"/>
      <c r="W445" s="93"/>
      <c r="X445" s="93"/>
      <c r="Y445" s="93"/>
      <c r="Z445" s="93"/>
    </row>
    <row r="446">
      <c r="A446" s="93" t="str">
        <f>IFERROR(__xludf.DUMMYFUNCTION("""COMPUTED_VALUE"""),"KIT-#17509")</f>
        <v>KIT-#17509</v>
      </c>
      <c r="B446" s="94">
        <f>IFERROR(__xludf.DUMMYFUNCTION("""COMPUTED_VALUE"""),46148.0)</f>
        <v>46148</v>
      </c>
      <c r="C446" s="93" t="str">
        <f>IFERROR(__xludf.DUMMYFUNCTION("""COMPUTED_VALUE"""),"Kit Delivery")</f>
        <v>Kit Delivery</v>
      </c>
      <c r="D446" s="93">
        <f>IFERROR(__xludf.DUMMYFUNCTION("""COMPUTED_VALUE"""),2.0)</f>
        <v>2</v>
      </c>
      <c r="E446" s="93" t="str">
        <f>IFERROR(__xludf.DUMMYFUNCTION("""COMPUTED_VALUE"""),"Hitzeman")</f>
        <v>Hitzeman</v>
      </c>
      <c r="F446" s="93">
        <f>IFERROR(__xludf.DUMMYFUNCTION("""COMPUTED_VALUE"""),243.0)</f>
        <v>243</v>
      </c>
      <c r="G446" s="93" t="str">
        <f>IFERROR(__xludf.DUMMYFUNCTION("""COMPUTED_VALUE"""),"David Zhang")</f>
        <v>David Zhang</v>
      </c>
      <c r="H446" s="93">
        <f>IFERROR(__xludf.DUMMYFUNCTION("""COMPUTED_VALUE"""),1.9784579679E10)</f>
        <v>19784579679</v>
      </c>
      <c r="I446" s="93" t="str">
        <f>IFERROR(__xludf.DUMMYFUNCTION("""COMPUTED_VALUE"""),"3PM-5PM")</f>
        <v>3PM-5PM</v>
      </c>
      <c r="J446" s="93">
        <f>IFERROR(__xludf.DUMMYFUNCTION("""COMPUTED_VALUE"""),1.0)</f>
        <v>1</v>
      </c>
      <c r="K446" s="93" t="str">
        <f>IFERROR(__xludf.DUMMYFUNCTION("""COMPUTED_VALUE"""),"Complete")</f>
        <v>Complete</v>
      </c>
      <c r="L446" s="93"/>
      <c r="M446" s="94">
        <f>IFERROR(__xludf.DUMMYFUNCTION("""COMPUTED_VALUE"""),46137.787893518514)</f>
        <v>46137.78789</v>
      </c>
      <c r="N446" s="93">
        <f>IFERROR(__xludf.DUMMYFUNCTION("""COMPUTED_VALUE"""),8.0)</f>
        <v>8</v>
      </c>
      <c r="O446" s="93"/>
      <c r="P446" s="93" t="str">
        <f>IFERROR(__xludf.DUMMYFUNCTION("""COMPUTED_VALUE"""),"Kit Delivery")</f>
        <v>Kit Delivery</v>
      </c>
      <c r="Q446" s="93"/>
      <c r="R446" s="93"/>
      <c r="S446" s="93" t="str">
        <f>IFERROR(__xludf.DUMMYFUNCTION("""COMPUTED_VALUE"""),"Dispatch_Images/KIT--17509.Photos.235431.jpg")</f>
        <v>Dispatch_Images/KIT--17509.Photos.235431.jpg</v>
      </c>
      <c r="T446" s="95">
        <f>IFERROR(__xludf.DUMMYFUNCTION("""COMPUTED_VALUE"""),46137.79378472222)</f>
        <v>46137.79378</v>
      </c>
      <c r="U446" s="93"/>
      <c r="V446" s="93"/>
      <c r="W446" s="93"/>
      <c r="X446" s="93"/>
      <c r="Y446" s="93"/>
      <c r="Z446" s="93"/>
    </row>
    <row r="447">
      <c r="A447" s="93" t="str">
        <f>IFERROR(__xludf.DUMMYFUNCTION("""COMPUTED_VALUE"""),"KIT-#17580")</f>
        <v>KIT-#17580</v>
      </c>
      <c r="B447" s="94">
        <f>IFERROR(__xludf.DUMMYFUNCTION("""COMPUTED_VALUE"""),46148.0)</f>
        <v>46148</v>
      </c>
      <c r="C447" s="93" t="str">
        <f>IFERROR(__xludf.DUMMYFUNCTION("""COMPUTED_VALUE"""),"Kit Delivery")</f>
        <v>Kit Delivery</v>
      </c>
      <c r="D447" s="93">
        <f>IFERROR(__xludf.DUMMYFUNCTION("""COMPUTED_VALUE"""),2.0)</f>
        <v>2</v>
      </c>
      <c r="E447" s="93" t="str">
        <f>IFERROR(__xludf.DUMMYFUNCTION("""COMPUTED_VALUE"""),"Hitzeman")</f>
        <v>Hitzeman</v>
      </c>
      <c r="F447" s="93" t="str">
        <f>IFERROR(__xludf.DUMMYFUNCTION("""COMPUTED_VALUE"""),"232 bags may be in common room")</f>
        <v>232 bags may be in common room</v>
      </c>
      <c r="G447" s="93" t="str">
        <f>IFERROR(__xludf.DUMMYFUNCTION("""COMPUTED_VALUE"""),"Marin Shandler")</f>
        <v>Marin Shandler</v>
      </c>
      <c r="H447" s="93">
        <f>IFERROR(__xludf.DUMMYFUNCTION("""COMPUTED_VALUE"""),9.176475824E9)</f>
        <v>9176475824</v>
      </c>
      <c r="I447" s="93" t="str">
        <f>IFERROR(__xludf.DUMMYFUNCTION("""COMPUTED_VALUE"""),"9AM-11AM")</f>
        <v>9AM-11AM</v>
      </c>
      <c r="J447" s="93">
        <f>IFERROR(__xludf.DUMMYFUNCTION("""COMPUTED_VALUE"""),1.0)</f>
        <v>1</v>
      </c>
      <c r="K447" s="93" t="str">
        <f>IFERROR(__xludf.DUMMYFUNCTION("""COMPUTED_VALUE"""),"Complete")</f>
        <v>Complete</v>
      </c>
      <c r="L447" s="93"/>
      <c r="M447" s="94">
        <f>IFERROR(__xludf.DUMMYFUNCTION("""COMPUTED_VALUE"""),46137.79076388889)</f>
        <v>46137.79076</v>
      </c>
      <c r="N447" s="93">
        <f>IFERROR(__xludf.DUMMYFUNCTION("""COMPUTED_VALUE"""),7.0)</f>
        <v>7</v>
      </c>
      <c r="O447" s="93"/>
      <c r="P447" s="93" t="str">
        <f>IFERROR(__xludf.DUMMYFUNCTION("""COMPUTED_VALUE"""),"Kit Delivery")</f>
        <v>Kit Delivery</v>
      </c>
      <c r="Q447" s="93" t="str">
        <f>IFERROR(__xludf.DUMMYFUNCTION("""COMPUTED_VALUE"""),"Bags/Boxes may be organized in the common room.")</f>
        <v>Bags/Boxes may be organized in the common room.</v>
      </c>
      <c r="R447" s="93"/>
      <c r="S447" s="93" t="str">
        <f>IFERROR(__xludf.DUMMYFUNCTION("""COMPUTED_VALUE"""),"Dispatch_Images/KIT--17580.Photos.235839.jpg")</f>
        <v>Dispatch_Images/KIT--17580.Photos.235839.jpg</v>
      </c>
      <c r="T447" s="95">
        <f>IFERROR(__xludf.DUMMYFUNCTION("""COMPUTED_VALUE"""),46137.79378472222)</f>
        <v>46137.79378</v>
      </c>
      <c r="U447" s="93"/>
      <c r="V447" s="93"/>
      <c r="W447" s="93"/>
      <c r="X447" s="93"/>
      <c r="Y447" s="93"/>
      <c r="Z447" s="93"/>
    </row>
    <row r="448">
      <c r="A448" s="93" t="str">
        <f>IFERROR(__xludf.DUMMYFUNCTION("""COMPUTED_VALUE"""),"KIT-#17049")</f>
        <v>KIT-#17049</v>
      </c>
      <c r="B448" s="94">
        <f>IFERROR(__xludf.DUMMYFUNCTION("""COMPUTED_VALUE"""),46148.0)</f>
        <v>46148</v>
      </c>
      <c r="C448" s="93" t="str">
        <f>IFERROR(__xludf.DUMMYFUNCTION("""COMPUTED_VALUE"""),"Kit Delivery")</f>
        <v>Kit Delivery</v>
      </c>
      <c r="D448" s="93">
        <f>IFERROR(__xludf.DUMMYFUNCTION("""COMPUTED_VALUE"""),2.0)</f>
        <v>2</v>
      </c>
      <c r="E448" s="93" t="str">
        <f>IFERROR(__xludf.DUMMYFUNCTION("""COMPUTED_VALUE"""),"Gregg")</f>
        <v>Gregg</v>
      </c>
      <c r="F448" s="93">
        <f>IFERROR(__xludf.DUMMYFUNCTION("""COMPUTED_VALUE"""),3160.0)</f>
        <v>3160</v>
      </c>
      <c r="G448" s="93" t="str">
        <f>IFERROR(__xludf.DUMMYFUNCTION("""COMPUTED_VALUE"""),"Horlasy Demakpor")</f>
        <v>Horlasy Demakpor</v>
      </c>
      <c r="H448" s="93">
        <f>IFERROR(__xludf.DUMMYFUNCTION("""COMPUTED_VALUE"""),8.173044296E9)</f>
        <v>8173044296</v>
      </c>
      <c r="I448" s="93" t="str">
        <f>IFERROR(__xludf.DUMMYFUNCTION("""COMPUTED_VALUE"""),"9AM-11AM")</f>
        <v>9AM-11AM</v>
      </c>
      <c r="J448" s="93">
        <f>IFERROR(__xludf.DUMMYFUNCTION("""COMPUTED_VALUE"""),1.0)</f>
        <v>1</v>
      </c>
      <c r="K448" s="93" t="str">
        <f>IFERROR(__xludf.DUMMYFUNCTION("""COMPUTED_VALUE"""),"Complete")</f>
        <v>Complete</v>
      </c>
      <c r="L448" s="93"/>
      <c r="M448" s="94">
        <f>IFERROR(__xludf.DUMMYFUNCTION("""COMPUTED_VALUE"""),46137.80850694445)</f>
        <v>46137.80851</v>
      </c>
      <c r="N448" s="93">
        <f>IFERROR(__xludf.DUMMYFUNCTION("""COMPUTED_VALUE"""),127.0)</f>
        <v>127</v>
      </c>
      <c r="O448" s="93"/>
      <c r="P448" s="93" t="str">
        <f>IFERROR(__xludf.DUMMYFUNCTION("""COMPUTED_VALUE"""),"Kit Delivery")</f>
        <v>Kit Delivery</v>
      </c>
      <c r="Q448" s="93"/>
      <c r="R448" s="93"/>
      <c r="S448" s="93" t="str">
        <f>IFERROR(__xludf.DUMMYFUNCTION("""COMPUTED_VALUE"""),"Dispatch_Images/KIT--17049.Photos.002411.jpg")</f>
        <v>Dispatch_Images/KIT--17049.Photos.002411.jpg</v>
      </c>
      <c r="T448" s="95">
        <f>IFERROR(__xludf.DUMMYFUNCTION("""COMPUTED_VALUE"""),46137.814618055556)</f>
        <v>46137.81462</v>
      </c>
      <c r="U448" s="93"/>
      <c r="V448" s="93"/>
      <c r="W448" s="93"/>
      <c r="X448" s="93"/>
      <c r="Y448" s="93"/>
      <c r="Z448" s="93"/>
    </row>
    <row r="449">
      <c r="A449" s="93" t="str">
        <f>IFERROR(__xludf.DUMMYFUNCTION("""COMPUTED_VALUE"""),"KIT-#17447")</f>
        <v>KIT-#17447</v>
      </c>
      <c r="B449" s="94">
        <f>IFERROR(__xludf.DUMMYFUNCTION("""COMPUTED_VALUE"""),46148.0)</f>
        <v>46148</v>
      </c>
      <c r="C449" s="93" t="str">
        <f>IFERROR(__xludf.DUMMYFUNCTION("""COMPUTED_VALUE"""),"Kit Delivery")</f>
        <v>Kit Delivery</v>
      </c>
      <c r="D449" s="93">
        <f>IFERROR(__xludf.DUMMYFUNCTION("""COMPUTED_VALUE"""),2.0)</f>
        <v>2</v>
      </c>
      <c r="E449" s="93" t="str">
        <f>IFERROR(__xludf.DUMMYFUNCTION("""COMPUTED_VALUE"""),"Gregg")</f>
        <v>Gregg</v>
      </c>
      <c r="F449" s="93">
        <f>IFERROR(__xludf.DUMMYFUNCTION("""COMPUTED_VALUE"""),2074.0)</f>
        <v>2074</v>
      </c>
      <c r="G449" s="93" t="str">
        <f>IFERROR(__xludf.DUMMYFUNCTION("""COMPUTED_VALUE"""),"Bennett Weinberg")</f>
        <v>Bennett Weinberg</v>
      </c>
      <c r="H449" s="93">
        <f>IFERROR(__xludf.DUMMYFUNCTION("""COMPUTED_VALUE"""),9.178823912E9)</f>
        <v>9178823912</v>
      </c>
      <c r="I449" s="93" t="str">
        <f>IFERROR(__xludf.DUMMYFUNCTION("""COMPUTED_VALUE"""),"10AM-12PM")</f>
        <v>10AM-12PM</v>
      </c>
      <c r="J449" s="93">
        <f>IFERROR(__xludf.DUMMYFUNCTION("""COMPUTED_VALUE"""),1.0)</f>
        <v>1</v>
      </c>
      <c r="K449" s="93" t="str">
        <f>IFERROR(__xludf.DUMMYFUNCTION("""COMPUTED_VALUE"""),"Complete")</f>
        <v>Complete</v>
      </c>
      <c r="L449" s="93"/>
      <c r="M449" s="94">
        <f>IFERROR(__xludf.DUMMYFUNCTION("""COMPUTED_VALUE"""),46137.81180555555)</f>
        <v>46137.81181</v>
      </c>
      <c r="N449" s="93">
        <f>IFERROR(__xludf.DUMMYFUNCTION("""COMPUTED_VALUE"""),116.0)</f>
        <v>116</v>
      </c>
      <c r="O449" s="93"/>
      <c r="P449" s="93" t="str">
        <f>IFERROR(__xludf.DUMMYFUNCTION("""COMPUTED_VALUE"""),"Kit Delivery")</f>
        <v>Kit Delivery</v>
      </c>
      <c r="Q449" s="93" t="str">
        <f>IFERROR(__xludf.DUMMYFUNCTION("""COMPUTED_VALUE"""),"Can you send information on arranging shipping home for some boxes?
Thanks")</f>
        <v>Can you send information on arranging shipping home for some boxes?
Thanks</v>
      </c>
      <c r="R449" s="93"/>
      <c r="S449" s="93" t="str">
        <f>IFERROR(__xludf.DUMMYFUNCTION("""COMPUTED_VALUE"""),"Dispatch_Images/KIT--17447.Photos.002856.jpg")</f>
        <v>Dispatch_Images/KIT--17447.Photos.002856.jpg</v>
      </c>
      <c r="T449" s="95">
        <f>IFERROR(__xludf.DUMMYFUNCTION("""COMPUTED_VALUE"""),46137.814618055556)</f>
        <v>46137.81462</v>
      </c>
      <c r="U449" s="93"/>
      <c r="V449" s="93"/>
      <c r="W449" s="93"/>
      <c r="X449" s="93"/>
      <c r="Y449" s="93"/>
      <c r="Z449" s="93"/>
    </row>
    <row r="450">
      <c r="A450" s="93" t="str">
        <f>IFERROR(__xludf.DUMMYFUNCTION("""COMPUTED_VALUE"""),"KIT-#17527")</f>
        <v>KIT-#17527</v>
      </c>
      <c r="B450" s="94">
        <f>IFERROR(__xludf.DUMMYFUNCTION("""COMPUTED_VALUE"""),46148.0)</f>
        <v>46148</v>
      </c>
      <c r="C450" s="93" t="str">
        <f>IFERROR(__xludf.DUMMYFUNCTION("""COMPUTED_VALUE"""),"Kit Delivery")</f>
        <v>Kit Delivery</v>
      </c>
      <c r="D450" s="93">
        <f>IFERROR(__xludf.DUMMYFUNCTION("""COMPUTED_VALUE"""),2.0)</f>
        <v>2</v>
      </c>
      <c r="E450" s="93" t="str">
        <f>IFERROR(__xludf.DUMMYFUNCTION("""COMPUTED_VALUE"""),"Gregg")</f>
        <v>Gregg</v>
      </c>
      <c r="F450" s="93">
        <f>IFERROR(__xludf.DUMMYFUNCTION("""COMPUTED_VALUE"""),2074.0)</f>
        <v>2074</v>
      </c>
      <c r="G450" s="93" t="str">
        <f>IFERROR(__xludf.DUMMYFUNCTION("""COMPUTED_VALUE"""),"Bennett")</f>
        <v>Bennett</v>
      </c>
      <c r="H450" s="93">
        <f>IFERROR(__xludf.DUMMYFUNCTION("""COMPUTED_VALUE"""),9.144817179E9)</f>
        <v>9144817179</v>
      </c>
      <c r="I450" s="93" t="str">
        <f>IFERROR(__xludf.DUMMYFUNCTION("""COMPUTED_VALUE"""),"11AM-1PM")</f>
        <v>11AM-1PM</v>
      </c>
      <c r="J450" s="93">
        <f>IFERROR(__xludf.DUMMYFUNCTION("""COMPUTED_VALUE"""),1.0)</f>
        <v>1</v>
      </c>
      <c r="K450" s="93" t="str">
        <f>IFERROR(__xludf.DUMMYFUNCTION("""COMPUTED_VALUE"""),"Complete")</f>
        <v>Complete</v>
      </c>
      <c r="L450" s="93"/>
      <c r="M450" s="94">
        <f>IFERROR(__xludf.DUMMYFUNCTION("""COMPUTED_VALUE"""),46137.8121875)</f>
        <v>46137.81219</v>
      </c>
      <c r="N450" s="93">
        <f>IFERROR(__xludf.DUMMYFUNCTION("""COMPUTED_VALUE"""),117.0)</f>
        <v>117</v>
      </c>
      <c r="O450" s="93" t="str">
        <f>IFERROR(__xludf.DUMMYFUNCTION("""COMPUTED_VALUE"""),"11 Blanche Ave, Unit A
Demarest, NJ 07627")</f>
        <v>11 Blanche Ave, Unit A
Demarest, NJ 07627</v>
      </c>
      <c r="P450" s="93" t="str">
        <f>IFERROR(__xludf.DUMMYFUNCTION("""COMPUTED_VALUE"""),"Kit Delivery")</f>
        <v>Kit Delivery</v>
      </c>
      <c r="Q450" s="93"/>
      <c r="R450" s="93"/>
      <c r="S450" s="93" t="str">
        <f>IFERROR(__xludf.DUMMYFUNCTION("""COMPUTED_VALUE"""),"Dispatch_Images/KIT--17527.Photos.002930.jpg")</f>
        <v>Dispatch_Images/KIT--17527.Photos.002930.jpg</v>
      </c>
      <c r="T450" s="95">
        <f>IFERROR(__xludf.DUMMYFUNCTION("""COMPUTED_VALUE"""),46137.814618055556)</f>
        <v>46137.81462</v>
      </c>
      <c r="U450" s="93"/>
      <c r="V450" s="93"/>
      <c r="W450" s="93"/>
      <c r="X450" s="93"/>
      <c r="Y450" s="93"/>
      <c r="Z450" s="93"/>
    </row>
    <row r="451">
      <c r="A451" s="93" t="str">
        <f>IFERROR(__xludf.DUMMYFUNCTION("""COMPUTED_VALUE"""),"KIT-#17286")</f>
        <v>KIT-#17286</v>
      </c>
      <c r="B451" s="94">
        <f>IFERROR(__xludf.DUMMYFUNCTION("""COMPUTED_VALUE"""),46148.0)</f>
        <v>46148</v>
      </c>
      <c r="C451" s="93" t="str">
        <f>IFERROR(__xludf.DUMMYFUNCTION("""COMPUTED_VALUE"""),"Kit Delivery")</f>
        <v>Kit Delivery</v>
      </c>
      <c r="D451" s="93">
        <f>IFERROR(__xludf.DUMMYFUNCTION("""COMPUTED_VALUE"""),2.0)</f>
        <v>2</v>
      </c>
      <c r="E451" s="93" t="str">
        <f>IFERROR(__xludf.DUMMYFUNCTION("""COMPUTED_VALUE"""),"Gregg")</f>
        <v>Gregg</v>
      </c>
      <c r="F451" s="93">
        <f>IFERROR(__xludf.DUMMYFUNCTION("""COMPUTED_VALUE"""),3101.0)</f>
        <v>3101</v>
      </c>
      <c r="G451" s="93" t="str">
        <f>IFERROR(__xludf.DUMMYFUNCTION("""COMPUTED_VALUE"""),"Kate Thaler")</f>
        <v>Kate Thaler</v>
      </c>
      <c r="H451" s="93">
        <f>IFERROR(__xludf.DUMMYFUNCTION("""COMPUTED_VALUE"""),9.179225452E9)</f>
        <v>9179225452</v>
      </c>
      <c r="I451" s="93" t="str">
        <f>IFERROR(__xludf.DUMMYFUNCTION("""COMPUTED_VALUE"""),"3PM-5PM")</f>
        <v>3PM-5PM</v>
      </c>
      <c r="J451" s="93">
        <f>IFERROR(__xludf.DUMMYFUNCTION("""COMPUTED_VALUE"""),2.0)</f>
        <v>2</v>
      </c>
      <c r="K451" s="93" t="str">
        <f>IFERROR(__xludf.DUMMYFUNCTION("""COMPUTED_VALUE"""),"Complete")</f>
        <v>Complete</v>
      </c>
      <c r="L451" s="93"/>
      <c r="M451" s="94">
        <f>IFERROR(__xludf.DUMMYFUNCTION("""COMPUTED_VALUE"""),46137.81265046296)</f>
        <v>46137.81265</v>
      </c>
      <c r="N451" s="93">
        <f>IFERROR(__xludf.DUMMYFUNCTION("""COMPUTED_VALUE"""),123.0)</f>
        <v>123</v>
      </c>
      <c r="O451" s="93"/>
      <c r="P451" s="93" t="str">
        <f>IFERROR(__xludf.DUMMYFUNCTION("""COMPUTED_VALUE"""),"Kit Delivery")</f>
        <v>Kit Delivery</v>
      </c>
      <c r="Q451" s="93"/>
      <c r="R451" s="93"/>
      <c r="S451" s="93" t="str">
        <f>IFERROR(__xludf.DUMMYFUNCTION("""COMPUTED_VALUE"""),"Dispatch_Images/KIT--17286.Photos.003010.jpg")</f>
        <v>Dispatch_Images/KIT--17286.Photos.003010.jpg</v>
      </c>
      <c r="T451" s="95">
        <f>IFERROR(__xludf.DUMMYFUNCTION("""COMPUTED_VALUE"""),46137.814618055556)</f>
        <v>46137.81462</v>
      </c>
      <c r="U451" s="93"/>
      <c r="V451" s="93"/>
      <c r="W451" s="93"/>
      <c r="X451" s="93"/>
      <c r="Y451" s="93"/>
      <c r="Z451" s="93"/>
    </row>
    <row r="452">
      <c r="A452" s="93" t="str">
        <f>IFERROR(__xludf.DUMMYFUNCTION("""COMPUTED_VALUE"""),"KIT-#17099")</f>
        <v>KIT-#17099</v>
      </c>
      <c r="B452" s="94">
        <f>IFERROR(__xludf.DUMMYFUNCTION("""COMPUTED_VALUE"""),46148.0)</f>
        <v>46148</v>
      </c>
      <c r="C452" s="93" t="str">
        <f>IFERROR(__xludf.DUMMYFUNCTION("""COMPUTED_VALUE"""),"Kit Delivery")</f>
        <v>Kit Delivery</v>
      </c>
      <c r="D452" s="93">
        <f>IFERROR(__xludf.DUMMYFUNCTION("""COMPUTED_VALUE"""),2.0)</f>
        <v>2</v>
      </c>
      <c r="E452" s="93" t="str">
        <f>IFERROR(__xludf.DUMMYFUNCTION("""COMPUTED_VALUE"""),"Lien")</f>
        <v>Lien</v>
      </c>
      <c r="F452" s="93">
        <f>IFERROR(__xludf.DUMMYFUNCTION("""COMPUTED_VALUE"""),1116.0)</f>
        <v>1116</v>
      </c>
      <c r="G452" s="93" t="str">
        <f>IFERROR(__xludf.DUMMYFUNCTION("""COMPUTED_VALUE"""),"Eve Shurslep")</f>
        <v>Eve Shurslep</v>
      </c>
      <c r="H452" s="93">
        <f>IFERROR(__xludf.DUMMYFUNCTION("""COMPUTED_VALUE"""),6.504683885E9)</f>
        <v>6504683885</v>
      </c>
      <c r="I452" s="93" t="str">
        <f>IFERROR(__xludf.DUMMYFUNCTION("""COMPUTED_VALUE"""),"9AM-11AM")</f>
        <v>9AM-11AM</v>
      </c>
      <c r="J452" s="93">
        <f>IFERROR(__xludf.DUMMYFUNCTION("""COMPUTED_VALUE"""),1.0)</f>
        <v>1</v>
      </c>
      <c r="K452" s="93" t="str">
        <f>IFERROR(__xludf.DUMMYFUNCTION("""COMPUTED_VALUE"""),"Complete")</f>
        <v>Complete</v>
      </c>
      <c r="L452" s="93"/>
      <c r="M452" s="94">
        <f>IFERROR(__xludf.DUMMYFUNCTION("""COMPUTED_VALUE"""),46137.82451388889)</f>
        <v>46137.82451</v>
      </c>
      <c r="N452" s="93">
        <f>IFERROR(__xludf.DUMMYFUNCTION("""COMPUTED_VALUE"""),131.0)</f>
        <v>131</v>
      </c>
      <c r="O452" s="93"/>
      <c r="P452" s="93" t="str">
        <f>IFERROR(__xludf.DUMMYFUNCTION("""COMPUTED_VALUE"""),"Kit Delivery")</f>
        <v>Kit Delivery</v>
      </c>
      <c r="Q452" s="93"/>
      <c r="R452" s="93"/>
      <c r="S452" s="93" t="str">
        <f>IFERROR(__xludf.DUMMYFUNCTION("""COMPUTED_VALUE"""),"Dispatch_Images/KIT--17099.Photos.004714.jpg")</f>
        <v>Dispatch_Images/KIT--17099.Photos.004714.jpg</v>
      </c>
      <c r="T452" s="95">
        <f>IFERROR(__xludf.DUMMYFUNCTION("""COMPUTED_VALUE"""),46137.82849537037)</f>
        <v>46137.8285</v>
      </c>
      <c r="U452" s="93"/>
      <c r="V452" s="93"/>
      <c r="W452" s="93"/>
      <c r="X452" s="93"/>
      <c r="Y452" s="93"/>
      <c r="Z452" s="93"/>
    </row>
    <row r="453">
      <c r="A453" s="93" t="str">
        <f>IFERROR(__xludf.DUMMYFUNCTION("""COMPUTED_VALUE"""),"KIT-#17352")</f>
        <v>KIT-#17352</v>
      </c>
      <c r="B453" s="94">
        <f>IFERROR(__xludf.DUMMYFUNCTION("""COMPUTED_VALUE"""),46148.0)</f>
        <v>46148</v>
      </c>
      <c r="C453" s="93" t="str">
        <f>IFERROR(__xludf.DUMMYFUNCTION("""COMPUTED_VALUE"""),"Kit Delivery")</f>
        <v>Kit Delivery</v>
      </c>
      <c r="D453" s="93">
        <f>IFERROR(__xludf.DUMMYFUNCTION("""COMPUTED_VALUE"""),2.0)</f>
        <v>2</v>
      </c>
      <c r="E453" s="93" t="str">
        <f>IFERROR(__xludf.DUMMYFUNCTION("""COMPUTED_VALUE"""),"Lien")</f>
        <v>Lien</v>
      </c>
      <c r="F453" s="93" t="str">
        <f>IFERROR(__xludf.DUMMYFUNCTION("""COMPUTED_VALUE"""),"1115b")</f>
        <v>1115b</v>
      </c>
      <c r="G453" s="93" t="str">
        <f>IFERROR(__xludf.DUMMYFUNCTION("""COMPUTED_VALUE"""),"Genebelle Mynn")</f>
        <v>Genebelle Mynn</v>
      </c>
      <c r="H453" s="93">
        <f>IFERROR(__xludf.DUMMYFUNCTION("""COMPUTED_VALUE"""),9.149549029E9)</f>
        <v>9149549029</v>
      </c>
      <c r="I453" s="93" t="str">
        <f>IFERROR(__xludf.DUMMYFUNCTION("""COMPUTED_VALUE"""),"9AM-11AM")</f>
        <v>9AM-11AM</v>
      </c>
      <c r="J453" s="93">
        <f>IFERROR(__xludf.DUMMYFUNCTION("""COMPUTED_VALUE"""),2.0)</f>
        <v>2</v>
      </c>
      <c r="K453" s="93" t="str">
        <f>IFERROR(__xludf.DUMMYFUNCTION("""COMPUTED_VALUE"""),"Complete")</f>
        <v>Complete</v>
      </c>
      <c r="L453" s="93"/>
      <c r="M453" s="94">
        <f>IFERROR(__xludf.DUMMYFUNCTION("""COMPUTED_VALUE"""),46137.82586805556)</f>
        <v>46137.82587</v>
      </c>
      <c r="N453" s="93">
        <f>IFERROR(__xludf.DUMMYFUNCTION("""COMPUTED_VALUE"""),130.0)</f>
        <v>130</v>
      </c>
      <c r="O453" s="93"/>
      <c r="P453" s="93" t="str">
        <f>IFERROR(__xludf.DUMMYFUNCTION("""COMPUTED_VALUE"""),"Kit Delivery")</f>
        <v>Kit Delivery</v>
      </c>
      <c r="Q453" s="93"/>
      <c r="R453" s="93"/>
      <c r="S453" s="93" t="str">
        <f>IFERROR(__xludf.DUMMYFUNCTION("""COMPUTED_VALUE"""),"Dispatch_Images/KIT--17352.Photos.004912.jpg")</f>
        <v>Dispatch_Images/KIT--17352.Photos.004912.jpg</v>
      </c>
      <c r="T453" s="95">
        <f>IFERROR(__xludf.DUMMYFUNCTION("""COMPUTED_VALUE"""),46137.82849537037)</f>
        <v>46137.8285</v>
      </c>
      <c r="U453" s="93"/>
      <c r="V453" s="93"/>
      <c r="W453" s="93"/>
      <c r="X453" s="93"/>
      <c r="Y453" s="93"/>
      <c r="Z453" s="93"/>
    </row>
    <row r="454">
      <c r="A454" s="93" t="str">
        <f>IFERROR(__xludf.DUMMYFUNCTION("""COMPUTED_VALUE"""),"KIT-#17246")</f>
        <v>KIT-#17246</v>
      </c>
      <c r="B454" s="94">
        <f>IFERROR(__xludf.DUMMYFUNCTION("""COMPUTED_VALUE"""),46148.0)</f>
        <v>46148</v>
      </c>
      <c r="C454" s="93" t="str">
        <f>IFERROR(__xludf.DUMMYFUNCTION("""COMPUTED_VALUE"""),"Kit Delivery")</f>
        <v>Kit Delivery</v>
      </c>
      <c r="D454" s="93">
        <f>IFERROR(__xludf.DUMMYFUNCTION("""COMPUTED_VALUE"""),2.0)</f>
        <v>2</v>
      </c>
      <c r="E454" s="93" t="str">
        <f>IFERROR(__xludf.DUMMYFUNCTION("""COMPUTED_VALUE"""),"Lien")</f>
        <v>Lien</v>
      </c>
      <c r="F454" s="93">
        <f>IFERROR(__xludf.DUMMYFUNCTION("""COMPUTED_VALUE"""),3331.0)</f>
        <v>3331</v>
      </c>
      <c r="G454" s="93" t="str">
        <f>IFERROR(__xludf.DUMMYFUNCTION("""COMPUTED_VALUE"""),"Emily Hametz")</f>
        <v>Emily Hametz</v>
      </c>
      <c r="H454" s="93">
        <f>IFERROR(__xludf.DUMMYFUNCTION("""COMPUTED_VALUE"""),9.148498141E9)</f>
        <v>9148498141</v>
      </c>
      <c r="I454" s="93" t="str">
        <f>IFERROR(__xludf.DUMMYFUNCTION("""COMPUTED_VALUE"""),"9AM-11AM")</f>
        <v>9AM-11AM</v>
      </c>
      <c r="J454" s="93">
        <f>IFERROR(__xludf.DUMMYFUNCTION("""COMPUTED_VALUE"""),1.0)</f>
        <v>1</v>
      </c>
      <c r="K454" s="93" t="str">
        <f>IFERROR(__xludf.DUMMYFUNCTION("""COMPUTED_VALUE"""),"Complete")</f>
        <v>Complete</v>
      </c>
      <c r="L454" s="93"/>
      <c r="M454" s="94">
        <f>IFERROR(__xludf.DUMMYFUNCTION("""COMPUTED_VALUE"""),46137.8271412037)</f>
        <v>46137.82714</v>
      </c>
      <c r="N454" s="93">
        <f>IFERROR(__xludf.DUMMYFUNCTION("""COMPUTED_VALUE"""),151.0)</f>
        <v>151</v>
      </c>
      <c r="O454" s="93"/>
      <c r="P454" s="93" t="str">
        <f>IFERROR(__xludf.DUMMYFUNCTION("""COMPUTED_VALUE"""),"Kit Delivery")</f>
        <v>Kit Delivery</v>
      </c>
      <c r="Q454" s="93"/>
      <c r="R454" s="93"/>
      <c r="S454" s="93" t="str">
        <f>IFERROR(__xludf.DUMMYFUNCTION("""COMPUTED_VALUE"""),"Dispatch_Images/KIT--17246.Photos.005101.jpg")</f>
        <v>Dispatch_Images/KIT--17246.Photos.005101.jpg</v>
      </c>
      <c r="T454" s="95">
        <f>IFERROR(__xludf.DUMMYFUNCTION("""COMPUTED_VALUE"""),46137.82849537037)</f>
        <v>46137.8285</v>
      </c>
      <c r="U454" s="93"/>
      <c r="V454" s="93"/>
      <c r="W454" s="93"/>
      <c r="X454" s="93"/>
      <c r="Y454" s="93"/>
      <c r="Z454" s="93"/>
    </row>
    <row r="455">
      <c r="A455" s="93" t="str">
        <f>IFERROR(__xludf.DUMMYFUNCTION("""COMPUTED_VALUE"""),"KIT-#17732")</f>
        <v>KIT-#17732</v>
      </c>
      <c r="B455" s="94">
        <f>IFERROR(__xludf.DUMMYFUNCTION("""COMPUTED_VALUE"""),46148.0)</f>
        <v>46148</v>
      </c>
      <c r="C455" s="93" t="str">
        <f>IFERROR(__xludf.DUMMYFUNCTION("""COMPUTED_VALUE"""),"Kit Delivery")</f>
        <v>Kit Delivery</v>
      </c>
      <c r="D455" s="93">
        <f>IFERROR(__xludf.DUMMYFUNCTION("""COMPUTED_VALUE"""),2.0)</f>
        <v>2</v>
      </c>
      <c r="E455" s="93" t="str">
        <f>IFERROR(__xludf.DUMMYFUNCTION("""COMPUTED_VALUE"""),"Lien")</f>
        <v>Lien</v>
      </c>
      <c r="F455" s="93" t="str">
        <f>IFERROR(__xludf.DUMMYFUNCTION("""COMPUTED_VALUE"""),"3303-A")</f>
        <v>3303-A</v>
      </c>
      <c r="G455" s="93" t="str">
        <f>IFERROR(__xludf.DUMMYFUNCTION("""COMPUTED_VALUE"""),"Gabrielle Generett")</f>
        <v>Gabrielle Generett</v>
      </c>
      <c r="H455" s="93">
        <f>IFERROR(__xludf.DUMMYFUNCTION("""COMPUTED_VALUE"""),4.129135859E9)</f>
        <v>4129135859</v>
      </c>
      <c r="I455" s="93" t="str">
        <f>IFERROR(__xludf.DUMMYFUNCTION("""COMPUTED_VALUE"""),"9AM-11AM")</f>
        <v>9AM-11AM</v>
      </c>
      <c r="J455" s="93">
        <f>IFERROR(__xludf.DUMMYFUNCTION("""COMPUTED_VALUE"""),1.0)</f>
        <v>1</v>
      </c>
      <c r="K455" s="93" t="str">
        <f>IFERROR(__xludf.DUMMYFUNCTION("""COMPUTED_VALUE"""),"Complete")</f>
        <v>Complete</v>
      </c>
      <c r="L455" s="93"/>
      <c r="M455" s="94">
        <f>IFERROR(__xludf.DUMMYFUNCTION("""COMPUTED_VALUE"""),46137.82847222222)</f>
        <v>46137.82847</v>
      </c>
      <c r="N455" s="93">
        <f>IFERROR(__xludf.DUMMYFUNCTION("""COMPUTED_VALUE"""),139.0)</f>
        <v>139</v>
      </c>
      <c r="O455" s="93"/>
      <c r="P455" s="93" t="str">
        <f>IFERROR(__xludf.DUMMYFUNCTION("""COMPUTED_VALUE"""),"Kit Delivery")</f>
        <v>Kit Delivery</v>
      </c>
      <c r="Q455" s="93"/>
      <c r="R455" s="93"/>
      <c r="S455" s="93" t="str">
        <f>IFERROR(__xludf.DUMMYFUNCTION("""COMPUTED_VALUE"""),"Dispatch_Images/KIT--17732.Photos.005257.jpg")</f>
        <v>Dispatch_Images/KIT--17732.Photos.005257.jpg</v>
      </c>
      <c r="T455" s="95">
        <f>IFERROR(__xludf.DUMMYFUNCTION("""COMPUTED_VALUE"""),46137.82849537037)</f>
        <v>46137.8285</v>
      </c>
      <c r="U455" s="93"/>
      <c r="V455" s="93"/>
      <c r="W455" s="93"/>
      <c r="X455" s="93"/>
      <c r="Y455" s="93"/>
      <c r="Z455" s="93"/>
    </row>
    <row r="456">
      <c r="A456" s="93" t="str">
        <f>IFERROR(__xludf.DUMMYFUNCTION("""COMPUTED_VALUE"""),"KIT-#17211")</f>
        <v>KIT-#17211</v>
      </c>
      <c r="B456" s="94">
        <f>IFERROR(__xludf.DUMMYFUNCTION("""COMPUTED_VALUE"""),46148.0)</f>
        <v>46148</v>
      </c>
      <c r="C456" s="93" t="str">
        <f>IFERROR(__xludf.DUMMYFUNCTION("""COMPUTED_VALUE"""),"Kit Delivery")</f>
        <v>Kit Delivery</v>
      </c>
      <c r="D456" s="93">
        <f>IFERROR(__xludf.DUMMYFUNCTION("""COMPUTED_VALUE"""),2.0)</f>
        <v>2</v>
      </c>
      <c r="E456" s="93" t="str">
        <f>IFERROR(__xludf.DUMMYFUNCTION("""COMPUTED_VALUE"""),"Lien")</f>
        <v>Lien</v>
      </c>
      <c r="F456" s="93">
        <f>IFERROR(__xludf.DUMMYFUNCTION("""COMPUTED_VALUE"""),3330.0)</f>
        <v>3330</v>
      </c>
      <c r="G456" s="93" t="str">
        <f>IFERROR(__xludf.DUMMYFUNCTION("""COMPUTED_VALUE"""),"Zoe Rochester")</f>
        <v>Zoe Rochester</v>
      </c>
      <c r="H456" s="93"/>
      <c r="I456" s="93" t="str">
        <f>IFERROR(__xludf.DUMMYFUNCTION("""COMPUTED_VALUE"""),"9AM-11AM")</f>
        <v>9AM-11AM</v>
      </c>
      <c r="J456" s="93">
        <f>IFERROR(__xludf.DUMMYFUNCTION("""COMPUTED_VALUE"""),1.0)</f>
        <v>1</v>
      </c>
      <c r="K456" s="93" t="str">
        <f>IFERROR(__xludf.DUMMYFUNCTION("""COMPUTED_VALUE"""),"Complete")</f>
        <v>Complete</v>
      </c>
      <c r="L456" s="93"/>
      <c r="M456" s="94">
        <f>IFERROR(__xludf.DUMMYFUNCTION("""COMPUTED_VALUE"""),46137.82880787037)</f>
        <v>46137.82881</v>
      </c>
      <c r="N456" s="93">
        <f>IFERROR(__xludf.DUMMYFUNCTION("""COMPUTED_VALUE"""),149.0)</f>
        <v>149</v>
      </c>
      <c r="O456" s="93"/>
      <c r="P456" s="93" t="str">
        <f>IFERROR(__xludf.DUMMYFUNCTION("""COMPUTED_VALUE"""),"Kit Delivery")</f>
        <v>Kit Delivery</v>
      </c>
      <c r="Q456" s="93"/>
      <c r="R456" s="93"/>
      <c r="S456" s="93" t="str">
        <f>IFERROR(__xludf.DUMMYFUNCTION("""COMPUTED_VALUE"""),"Dispatch_Images/KIT--17211.Photos.005325.jpg")</f>
        <v>Dispatch_Images/KIT--17211.Photos.005325.jpg</v>
      </c>
      <c r="T456" s="95">
        <f>IFERROR(__xludf.DUMMYFUNCTION("""COMPUTED_VALUE"""),46137.83546296296)</f>
        <v>46137.83546</v>
      </c>
      <c r="U456" s="93"/>
      <c r="V456" s="93"/>
      <c r="W456" s="93"/>
      <c r="X456" s="93"/>
      <c r="Y456" s="93"/>
      <c r="Z456" s="93"/>
    </row>
    <row r="457">
      <c r="A457" s="93" t="str">
        <f>IFERROR(__xludf.DUMMYFUNCTION("""COMPUTED_VALUE"""),"KIT-#17708")</f>
        <v>KIT-#17708</v>
      </c>
      <c r="B457" s="94">
        <f>IFERROR(__xludf.DUMMYFUNCTION("""COMPUTED_VALUE"""),46148.0)</f>
        <v>46148</v>
      </c>
      <c r="C457" s="93" t="str">
        <f>IFERROR(__xludf.DUMMYFUNCTION("""COMPUTED_VALUE"""),"Kit Delivery")</f>
        <v>Kit Delivery</v>
      </c>
      <c r="D457" s="93">
        <f>IFERROR(__xludf.DUMMYFUNCTION("""COMPUTED_VALUE"""),2.0)</f>
        <v>2</v>
      </c>
      <c r="E457" s="93" t="str">
        <f>IFERROR(__xludf.DUMMYFUNCTION("""COMPUTED_VALUE"""),"Lien")</f>
        <v>Lien</v>
      </c>
      <c r="F457" s="93">
        <f>IFERROR(__xludf.DUMMYFUNCTION("""COMPUTED_VALUE"""),3005.0)</f>
        <v>3005</v>
      </c>
      <c r="G457" s="93" t="str">
        <f>IFERROR(__xludf.DUMMYFUNCTION("""COMPUTED_VALUE"""),"Lakshya Mittal")</f>
        <v>Lakshya Mittal</v>
      </c>
      <c r="H457" s="93">
        <f>IFERROR(__xludf.DUMMYFUNCTION("""COMPUTED_VALUE"""),1.314267786E10)</f>
        <v>13142677860</v>
      </c>
      <c r="I457" s="93" t="str">
        <f>IFERROR(__xludf.DUMMYFUNCTION("""COMPUTED_VALUE"""),"3PM-5PM")</f>
        <v>3PM-5PM</v>
      </c>
      <c r="J457" s="93">
        <f>IFERROR(__xludf.DUMMYFUNCTION("""COMPUTED_VALUE"""),2.0)</f>
        <v>2</v>
      </c>
      <c r="K457" s="93" t="str">
        <f>IFERROR(__xludf.DUMMYFUNCTION("""COMPUTED_VALUE"""),"Complete")</f>
        <v>Complete</v>
      </c>
      <c r="L457" s="93"/>
      <c r="M457" s="94">
        <f>IFERROR(__xludf.DUMMYFUNCTION("""COMPUTED_VALUE"""),46137.83101851852)</f>
        <v>46137.83102</v>
      </c>
      <c r="N457" s="93">
        <f>IFERROR(__xludf.DUMMYFUNCTION("""COMPUTED_VALUE"""),138.0)</f>
        <v>138</v>
      </c>
      <c r="O457" s="93"/>
      <c r="P457" s="93" t="str">
        <f>IFERROR(__xludf.DUMMYFUNCTION("""COMPUTED_VALUE"""),"Kit Delivery")</f>
        <v>Kit Delivery</v>
      </c>
      <c r="Q457" s="93"/>
      <c r="R457" s="93"/>
      <c r="S457" s="93" t="str">
        <f>IFERROR(__xludf.DUMMYFUNCTION("""COMPUTED_VALUE"""),"Dispatch_Images/KIT--17708.Photos.005637.jpg")</f>
        <v>Dispatch_Images/KIT--17708.Photos.005637.jpg</v>
      </c>
      <c r="T457" s="95">
        <f>IFERROR(__xludf.DUMMYFUNCTION("""COMPUTED_VALUE"""),46137.83546296296)</f>
        <v>46137.83546</v>
      </c>
      <c r="U457" s="93"/>
      <c r="V457" s="93"/>
      <c r="W457" s="93"/>
      <c r="X457" s="93"/>
      <c r="Y457" s="93"/>
      <c r="Z457" s="93"/>
    </row>
    <row r="458">
      <c r="A458" s="93" t="str">
        <f>IFERROR(__xludf.DUMMYFUNCTION("""COMPUTED_VALUE"""),"KIT-#17144")</f>
        <v>KIT-#17144</v>
      </c>
      <c r="B458" s="94">
        <f>IFERROR(__xludf.DUMMYFUNCTION("""COMPUTED_VALUE"""),46148.0)</f>
        <v>46148</v>
      </c>
      <c r="C458" s="93" t="str">
        <f>IFERROR(__xludf.DUMMYFUNCTION("""COMPUTED_VALUE"""),"Kit Delivery")</f>
        <v>Kit Delivery</v>
      </c>
      <c r="D458" s="93">
        <f>IFERROR(__xludf.DUMMYFUNCTION("""COMPUTED_VALUE"""),2.0)</f>
        <v>2</v>
      </c>
      <c r="E458" s="93" t="str">
        <f>IFERROR(__xludf.DUMMYFUNCTION("""COMPUTED_VALUE"""),"Lien")</f>
        <v>Lien</v>
      </c>
      <c r="F458" s="93">
        <f>IFERROR(__xludf.DUMMYFUNCTION("""COMPUTED_VALUE"""),2224.0)</f>
        <v>2224</v>
      </c>
      <c r="G458" s="93" t="str">
        <f>IFERROR(__xludf.DUMMYFUNCTION("""COMPUTED_VALUE"""),"Harper Cohen")</f>
        <v>Harper Cohen</v>
      </c>
      <c r="H458" s="93">
        <f>IFERROR(__xludf.DUMMYFUNCTION("""COMPUTED_VALUE"""),6.077937487E9)</f>
        <v>6077937487</v>
      </c>
      <c r="I458" s="93" t="str">
        <f>IFERROR(__xludf.DUMMYFUNCTION("""COMPUTED_VALUE"""),"11AM-1PM")</f>
        <v>11AM-1PM</v>
      </c>
      <c r="J458" s="93">
        <f>IFERROR(__xludf.DUMMYFUNCTION("""COMPUTED_VALUE"""),1.0)</f>
        <v>1</v>
      </c>
      <c r="K458" s="93" t="str">
        <f>IFERROR(__xludf.DUMMYFUNCTION("""COMPUTED_VALUE"""),"Complete")</f>
        <v>Complete</v>
      </c>
      <c r="L458" s="93"/>
      <c r="M458" s="94">
        <f>IFERROR(__xludf.DUMMYFUNCTION("""COMPUTED_VALUE"""),46137.831041666665)</f>
        <v>46137.83104</v>
      </c>
      <c r="N458" s="93">
        <f>IFERROR(__xludf.DUMMYFUNCTION("""COMPUTED_VALUE"""),137.0)</f>
        <v>137</v>
      </c>
      <c r="O458" s="93"/>
      <c r="P458" s="93" t="str">
        <f>IFERROR(__xludf.DUMMYFUNCTION("""COMPUTED_VALUE"""),"Kit Delivery")</f>
        <v>Kit Delivery</v>
      </c>
      <c r="Q458" s="93"/>
      <c r="R458" s="93"/>
      <c r="S458" s="93" t="str">
        <f>IFERROR(__xludf.DUMMYFUNCTION("""COMPUTED_VALUE"""),"Dispatch_Images/KIT--17144.Photos.005639.jpg")</f>
        <v>Dispatch_Images/KIT--17144.Photos.005639.jpg</v>
      </c>
      <c r="T458" s="95">
        <f>IFERROR(__xludf.DUMMYFUNCTION("""COMPUTED_VALUE"""),46137.83546296296)</f>
        <v>46137.83546</v>
      </c>
      <c r="U458" s="93"/>
      <c r="V458" s="93"/>
      <c r="W458" s="93"/>
      <c r="X458" s="93"/>
      <c r="Y458" s="93"/>
      <c r="Z458" s="93"/>
    </row>
    <row r="459">
      <c r="A459" s="93" t="str">
        <f>IFERROR(__xludf.DUMMYFUNCTION("""COMPUTED_VALUE"""),"KIT-#17712")</f>
        <v>KIT-#17712</v>
      </c>
      <c r="B459" s="94">
        <f>IFERROR(__xludf.DUMMYFUNCTION("""COMPUTED_VALUE"""),46148.0)</f>
        <v>46148</v>
      </c>
      <c r="C459" s="93" t="str">
        <f>IFERROR(__xludf.DUMMYFUNCTION("""COMPUTED_VALUE"""),"Kit Delivery")</f>
        <v>Kit Delivery</v>
      </c>
      <c r="D459" s="93">
        <f>IFERROR(__xludf.DUMMYFUNCTION("""COMPUTED_VALUE"""),2.0)</f>
        <v>2</v>
      </c>
      <c r="E459" s="93" t="str">
        <f>IFERROR(__xludf.DUMMYFUNCTION("""COMPUTED_VALUE"""),"Lien")</f>
        <v>Lien</v>
      </c>
      <c r="F459" s="93">
        <f>IFERROR(__xludf.DUMMYFUNCTION("""COMPUTED_VALUE"""),3323.0)</f>
        <v>3323</v>
      </c>
      <c r="G459" s="93" t="str">
        <f>IFERROR(__xludf.DUMMYFUNCTION("""COMPUTED_VALUE"""),"Kate Hussa")</f>
        <v>Kate Hussa</v>
      </c>
      <c r="H459" s="93">
        <f>IFERROR(__xludf.DUMMYFUNCTION("""COMPUTED_VALUE"""),2.677888031E9)</f>
        <v>2677888031</v>
      </c>
      <c r="I459" s="93" t="str">
        <f>IFERROR(__xludf.DUMMYFUNCTION("""COMPUTED_VALUE"""),"10AM-12PM")</f>
        <v>10AM-12PM</v>
      </c>
      <c r="J459" s="93">
        <f>IFERROR(__xludf.DUMMYFUNCTION("""COMPUTED_VALUE"""),1.0)</f>
        <v>1</v>
      </c>
      <c r="K459" s="93" t="str">
        <f>IFERROR(__xludf.DUMMYFUNCTION("""COMPUTED_VALUE"""),"Complete")</f>
        <v>Complete</v>
      </c>
      <c r="L459" s="93"/>
      <c r="M459" s="94">
        <f>IFERROR(__xludf.DUMMYFUNCTION("""COMPUTED_VALUE"""),46137.83305555556)</f>
        <v>46137.83306</v>
      </c>
      <c r="N459" s="93">
        <f>IFERROR(__xludf.DUMMYFUNCTION("""COMPUTED_VALUE"""),148.0)</f>
        <v>148</v>
      </c>
      <c r="O459" s="93"/>
      <c r="P459" s="93" t="str">
        <f>IFERROR(__xludf.DUMMYFUNCTION("""COMPUTED_VALUE"""),"Kit Delivery")</f>
        <v>Kit Delivery</v>
      </c>
      <c r="Q459" s="93"/>
      <c r="R459" s="93"/>
      <c r="S459" s="93" t="str">
        <f>IFERROR(__xludf.DUMMYFUNCTION("""COMPUTED_VALUE"""),"Dispatch_Images/KIT--17712.Photos.005933.jpg")</f>
        <v>Dispatch_Images/KIT--17712.Photos.005933.jpg</v>
      </c>
      <c r="T459" s="95">
        <f>IFERROR(__xludf.DUMMYFUNCTION("""COMPUTED_VALUE"""),46137.83546296296)</f>
        <v>46137.83546</v>
      </c>
      <c r="U459" s="93"/>
      <c r="V459" s="93"/>
      <c r="W459" s="93"/>
      <c r="X459" s="93"/>
      <c r="Y459" s="93"/>
      <c r="Z459" s="93"/>
    </row>
    <row r="460">
      <c r="A460" s="93" t="str">
        <f>IFERROR(__xludf.DUMMYFUNCTION("""COMPUTED_VALUE"""),"KIT-#17490")</f>
        <v>KIT-#17490</v>
      </c>
      <c r="B460" s="94">
        <f>IFERROR(__xludf.DUMMYFUNCTION("""COMPUTED_VALUE"""),46148.0)</f>
        <v>46148</v>
      </c>
      <c r="C460" s="93" t="str">
        <f>IFERROR(__xludf.DUMMYFUNCTION("""COMPUTED_VALUE"""),"Kit Delivery")</f>
        <v>Kit Delivery</v>
      </c>
      <c r="D460" s="93">
        <f>IFERROR(__xludf.DUMMYFUNCTION("""COMPUTED_VALUE"""),2.0)</f>
        <v>2</v>
      </c>
      <c r="E460" s="93" t="str">
        <f>IFERROR(__xludf.DUMMYFUNCTION("""COMPUTED_VALUE"""),"Lien")</f>
        <v>Lien</v>
      </c>
      <c r="F460" s="93">
        <f>IFERROR(__xludf.DUMMYFUNCTION("""COMPUTED_VALUE"""),2206.0)</f>
        <v>2206</v>
      </c>
      <c r="G460" s="93" t="str">
        <f>IFERROR(__xludf.DUMMYFUNCTION("""COMPUTED_VALUE"""),"Alma Bendavid")</f>
        <v>Alma Bendavid</v>
      </c>
      <c r="H460" s="93">
        <f>IFERROR(__xludf.DUMMYFUNCTION("""COMPUTED_VALUE"""),6.508627039E9)</f>
        <v>6508627039</v>
      </c>
      <c r="I460" s="93" t="str">
        <f>IFERROR(__xludf.DUMMYFUNCTION("""COMPUTED_VALUE"""),"3PM-5PM")</f>
        <v>3PM-5PM</v>
      </c>
      <c r="J460" s="93">
        <f>IFERROR(__xludf.DUMMYFUNCTION("""COMPUTED_VALUE"""),1.0)</f>
        <v>1</v>
      </c>
      <c r="K460" s="93" t="str">
        <f>IFERROR(__xludf.DUMMYFUNCTION("""COMPUTED_VALUE"""),"Complete")</f>
        <v>Complete</v>
      </c>
      <c r="L460" s="93"/>
      <c r="M460" s="94">
        <f>IFERROR(__xludf.DUMMYFUNCTION("""COMPUTED_VALUE"""),46137.83509259259)</f>
        <v>46137.83509</v>
      </c>
      <c r="N460" s="93">
        <f>IFERROR(__xludf.DUMMYFUNCTION("""COMPUTED_VALUE"""),134.0)</f>
        <v>134</v>
      </c>
      <c r="O460" s="93"/>
      <c r="P460" s="93" t="str">
        <f>IFERROR(__xludf.DUMMYFUNCTION("""COMPUTED_VALUE"""),"Kit Delivery")</f>
        <v>Kit Delivery</v>
      </c>
      <c r="Q460" s="93"/>
      <c r="R460" s="93"/>
      <c r="S460" s="93" t="str">
        <f>IFERROR(__xludf.DUMMYFUNCTION("""COMPUTED_VALUE"""),"Dispatch_Images/KIT--17490.Photos.010229.jpg")</f>
        <v>Dispatch_Images/KIT--17490.Photos.010229.jpg</v>
      </c>
      <c r="T460" s="95">
        <f>IFERROR(__xludf.DUMMYFUNCTION("""COMPUTED_VALUE"""),46137.83546296296)</f>
        <v>46137.83546</v>
      </c>
      <c r="U460" s="93"/>
      <c r="V460" s="93"/>
      <c r="W460" s="93"/>
      <c r="X460" s="93"/>
      <c r="Y460" s="93"/>
      <c r="Z460" s="93"/>
    </row>
    <row r="461">
      <c r="A461" s="93" t="str">
        <f>IFERROR(__xludf.DUMMYFUNCTION("""COMPUTED_VALUE"""),"KIT-#17235")</f>
        <v>KIT-#17235</v>
      </c>
      <c r="B461" s="94">
        <f>IFERROR(__xludf.DUMMYFUNCTION("""COMPUTED_VALUE"""),46148.0)</f>
        <v>46148</v>
      </c>
      <c r="C461" s="93" t="str">
        <f>IFERROR(__xludf.DUMMYFUNCTION("""COMPUTED_VALUE"""),"Kit Delivery")</f>
        <v>Kit Delivery</v>
      </c>
      <c r="D461" s="93">
        <f>IFERROR(__xludf.DUMMYFUNCTION("""COMPUTED_VALUE"""),2.0)</f>
        <v>2</v>
      </c>
      <c r="E461" s="93" t="str">
        <f>IFERROR(__xludf.DUMMYFUNCTION("""COMPUTED_VALUE"""),"Lien")</f>
        <v>Lien</v>
      </c>
      <c r="F461" s="93">
        <f>IFERROR(__xludf.DUMMYFUNCTION("""COMPUTED_VALUE"""),2220.0)</f>
        <v>2220</v>
      </c>
      <c r="G461" s="93" t="str">
        <f>IFERROR(__xludf.DUMMYFUNCTION("""COMPUTED_VALUE"""),"Mia Bell")</f>
        <v>Mia Bell</v>
      </c>
      <c r="H461" s="93">
        <f>IFERROR(__xludf.DUMMYFUNCTION("""COMPUTED_VALUE"""),3.12344005E9)</f>
        <v>3123440050</v>
      </c>
      <c r="I461" s="93" t="str">
        <f>IFERROR(__xludf.DUMMYFUNCTION("""COMPUTED_VALUE"""),"10AM-12PM")</f>
        <v>10AM-12PM</v>
      </c>
      <c r="J461" s="93">
        <f>IFERROR(__xludf.DUMMYFUNCTION("""COMPUTED_VALUE"""),1.0)</f>
        <v>1</v>
      </c>
      <c r="K461" s="93" t="str">
        <f>IFERROR(__xludf.DUMMYFUNCTION("""COMPUTED_VALUE"""),"Complete")</f>
        <v>Complete</v>
      </c>
      <c r="L461" s="93"/>
      <c r="M461" s="94">
        <f>IFERROR(__xludf.DUMMYFUNCTION("""COMPUTED_VALUE"""),46137.83856481481)</f>
        <v>46137.83856</v>
      </c>
      <c r="N461" s="93">
        <f>IFERROR(__xludf.DUMMYFUNCTION("""COMPUTED_VALUE"""),136.0)</f>
        <v>136</v>
      </c>
      <c r="O461" s="93"/>
      <c r="P461" s="93" t="str">
        <f>IFERROR(__xludf.DUMMYFUNCTION("""COMPUTED_VALUE"""),"Kit Delivery")</f>
        <v>Kit Delivery</v>
      </c>
      <c r="Q461" s="93"/>
      <c r="R461" s="93"/>
      <c r="S461" s="93" t="str">
        <f>IFERROR(__xludf.DUMMYFUNCTION("""COMPUTED_VALUE"""),"Dispatch_Images/KIT--17235.Photos.010729.jpg")</f>
        <v>Dispatch_Images/KIT--17235.Photos.010729.jpg</v>
      </c>
      <c r="T461" s="95">
        <f>IFERROR(__xludf.DUMMYFUNCTION("""COMPUTED_VALUE"""),46137.84240740741)</f>
        <v>46137.84241</v>
      </c>
      <c r="U461" s="93"/>
      <c r="V461" s="93"/>
      <c r="W461" s="93"/>
      <c r="X461" s="93"/>
      <c r="Y461" s="93"/>
      <c r="Z461" s="93"/>
    </row>
    <row r="462">
      <c r="A462" s="93" t="str">
        <f>IFERROR(__xludf.DUMMYFUNCTION("""COMPUTED_VALUE"""),"KIT-#17734")</f>
        <v>KIT-#17734</v>
      </c>
      <c r="B462" s="94">
        <f>IFERROR(__xludf.DUMMYFUNCTION("""COMPUTED_VALUE"""),46148.0)</f>
        <v>46148</v>
      </c>
      <c r="C462" s="93" t="str">
        <f>IFERROR(__xludf.DUMMYFUNCTION("""COMPUTED_VALUE"""),"Kit Delivery")</f>
        <v>Kit Delivery</v>
      </c>
      <c r="D462" s="93">
        <f>IFERROR(__xludf.DUMMYFUNCTION("""COMPUTED_VALUE"""),3.0)</f>
        <v>3</v>
      </c>
      <c r="E462" s="93" t="str">
        <f>IFERROR(__xludf.DUMMYFUNCTION("""COMPUTED_VALUE"""),"LL6300")</f>
        <v>LL6300</v>
      </c>
      <c r="F462" s="93">
        <f>IFERROR(__xludf.DUMMYFUNCTION("""COMPUTED_VALUE"""),320.0)</f>
        <v>320</v>
      </c>
      <c r="G462" s="93" t="str">
        <f>IFERROR(__xludf.DUMMYFUNCTION("""COMPUTED_VALUE"""),"Janine Park")</f>
        <v>Janine Park</v>
      </c>
      <c r="H462" s="93">
        <f>IFERROR(__xludf.DUMMYFUNCTION("""COMPUTED_VALUE"""),2.538862379E9)</f>
        <v>2538862379</v>
      </c>
      <c r="I462" s="93" t="str">
        <f>IFERROR(__xludf.DUMMYFUNCTION("""COMPUTED_VALUE"""),"9AM-11AM")</f>
        <v>9AM-11AM</v>
      </c>
      <c r="J462" s="93">
        <f>IFERROR(__xludf.DUMMYFUNCTION("""COMPUTED_VALUE"""),1.0)</f>
        <v>1</v>
      </c>
      <c r="K462" s="93" t="str">
        <f>IFERROR(__xludf.DUMMYFUNCTION("""COMPUTED_VALUE"""),"Complete")</f>
        <v>Complete</v>
      </c>
      <c r="L462" s="93"/>
      <c r="M462" s="94">
        <f>IFERROR(__xludf.DUMMYFUNCTION("""COMPUTED_VALUE"""),46140.73575231481)</f>
        <v>46140.73575</v>
      </c>
      <c r="N462" s="93">
        <f>IFERROR(__xludf.DUMMYFUNCTION("""COMPUTED_VALUE"""),216.0)</f>
        <v>216</v>
      </c>
      <c r="O462" s="93"/>
      <c r="P462" s="93" t="str">
        <f>IFERROR(__xludf.DUMMYFUNCTION("""COMPUTED_VALUE"""),"Kit Delivery")</f>
        <v>Kit Delivery</v>
      </c>
      <c r="Q462" s="93"/>
      <c r="R462" s="93"/>
      <c r="S462" s="93" t="str">
        <f>IFERROR(__xludf.DUMMYFUNCTION("""COMPUTED_VALUE"""),"Dispatch_Images/KIT--17734.Photos.223925.jpg")</f>
        <v>Dispatch_Images/KIT--17734.Photos.223925.jpg</v>
      </c>
      <c r="T462" s="95">
        <f>IFERROR(__xludf.DUMMYFUNCTION("""COMPUTED_VALUE"""),46140.738391203704)</f>
        <v>46140.73839</v>
      </c>
      <c r="U462" s="93"/>
      <c r="V462" s="93"/>
      <c r="W462" s="93"/>
      <c r="X462" s="93"/>
      <c r="Y462" s="93"/>
      <c r="Z462" s="93"/>
    </row>
    <row r="463">
      <c r="A463" s="93" t="str">
        <f>IFERROR(__xludf.DUMMYFUNCTION("""COMPUTED_VALUE"""),"KIT-#17794")</f>
        <v>KIT-#17794</v>
      </c>
      <c r="B463" s="94">
        <f>IFERROR(__xludf.DUMMYFUNCTION("""COMPUTED_VALUE"""),46148.0)</f>
        <v>46148</v>
      </c>
      <c r="C463" s="93" t="str">
        <f>IFERROR(__xludf.DUMMYFUNCTION("""COMPUTED_VALUE"""),"Kit Delivery")</f>
        <v>Kit Delivery</v>
      </c>
      <c r="D463" s="93">
        <f>IFERROR(__xludf.DUMMYFUNCTION("""COMPUTED_VALUE"""),3.0)</f>
        <v>3</v>
      </c>
      <c r="E463" s="93" t="str">
        <f>IFERROR(__xludf.DUMMYFUNCTION("""COMPUTED_VALUE"""),"LL6255")</f>
        <v>LL6255</v>
      </c>
      <c r="F463" s="93" t="str">
        <f>IFERROR(__xludf.DUMMYFUNCTION("""COMPUTED_VALUE"""),"307A")</f>
        <v>307A</v>
      </c>
      <c r="G463" s="93" t="str">
        <f>IFERROR(__xludf.DUMMYFUNCTION("""COMPUTED_VALUE"""),"Sean Kim")</f>
        <v>Sean Kim</v>
      </c>
      <c r="H463" s="93">
        <f>IFERROR(__xludf.DUMMYFUNCTION("""COMPUTED_VALUE"""),9.493399393E9)</f>
        <v>9493399393</v>
      </c>
      <c r="I463" s="93" t="str">
        <f>IFERROR(__xludf.DUMMYFUNCTION("""COMPUTED_VALUE"""),"12PM-2PM")</f>
        <v>12PM-2PM</v>
      </c>
      <c r="J463" s="93">
        <f>IFERROR(__xludf.DUMMYFUNCTION("""COMPUTED_VALUE"""),1.0)</f>
        <v>1</v>
      </c>
      <c r="K463" s="93" t="str">
        <f>IFERROR(__xludf.DUMMYFUNCTION("""COMPUTED_VALUE"""),"Complete")</f>
        <v>Complete</v>
      </c>
      <c r="L463" s="93"/>
      <c r="M463" s="94">
        <f>IFERROR(__xludf.DUMMYFUNCTION("""COMPUTED_VALUE"""),46140.747083333335)</f>
        <v>46140.74708</v>
      </c>
      <c r="N463" s="93">
        <f>IFERROR(__xludf.DUMMYFUNCTION("""COMPUTED_VALUE"""),207.0)</f>
        <v>207</v>
      </c>
      <c r="O463" s="93"/>
      <c r="P463" s="93" t="str">
        <f>IFERROR(__xludf.DUMMYFUNCTION("""COMPUTED_VALUE"""),"Kit Delivery")</f>
        <v>Kit Delivery</v>
      </c>
      <c r="Q463" s="93"/>
      <c r="R463" s="93"/>
      <c r="S463" s="93" t="str">
        <f>IFERROR(__xludf.DUMMYFUNCTION("""COMPUTED_VALUE"""),"Dispatch_Images/KIT--17794.Photos.225544.jpg")</f>
        <v>Dispatch_Images/KIT--17794.Photos.225544.jpg</v>
      </c>
      <c r="T463" s="95">
        <f>IFERROR(__xludf.DUMMYFUNCTION("""COMPUTED_VALUE"""),46140.752118055556)</f>
        <v>46140.75212</v>
      </c>
      <c r="U463" s="93"/>
      <c r="V463" s="93"/>
      <c r="W463" s="93"/>
      <c r="X463" s="93"/>
      <c r="Y463" s="93"/>
      <c r="Z463" s="93"/>
    </row>
    <row r="464">
      <c r="A464" s="93" t="str">
        <f>IFERROR(__xludf.DUMMYFUNCTION("""COMPUTED_VALUE"""),"KIT-#17783")</f>
        <v>KIT-#17783</v>
      </c>
      <c r="B464" s="94">
        <f>IFERROR(__xludf.DUMMYFUNCTION("""COMPUTED_VALUE"""),46148.0)</f>
        <v>46148</v>
      </c>
      <c r="C464" s="93" t="str">
        <f>IFERROR(__xludf.DUMMYFUNCTION("""COMPUTED_VALUE"""),"Kit Delivery")</f>
        <v>Kit Delivery</v>
      </c>
      <c r="D464" s="93">
        <f>IFERROR(__xludf.DUMMYFUNCTION("""COMPUTED_VALUE"""),2.0)</f>
        <v>2</v>
      </c>
      <c r="E464" s="93" t="str">
        <f>IFERROR(__xludf.DUMMYFUNCTION("""COMPUTED_VALUE"""),"Nemerov")</f>
        <v>Nemerov</v>
      </c>
      <c r="F464" s="93">
        <f>IFERROR(__xludf.DUMMYFUNCTION("""COMPUTED_VALUE"""),2080.0)</f>
        <v>2080</v>
      </c>
      <c r="G464" s="93" t="str">
        <f>IFERROR(__xludf.DUMMYFUNCTION("""COMPUTED_VALUE"""),"Adin Victor")</f>
        <v>Adin Victor</v>
      </c>
      <c r="H464" s="93">
        <f>IFERROR(__xludf.DUMMYFUNCTION("""COMPUTED_VALUE"""),2.486729306E9)</f>
        <v>2486729306</v>
      </c>
      <c r="I464" s="93" t="str">
        <f>IFERROR(__xludf.DUMMYFUNCTION("""COMPUTED_VALUE"""),"9AM-11AM")</f>
        <v>9AM-11AM</v>
      </c>
      <c r="J464" s="93">
        <f>IFERROR(__xludf.DUMMYFUNCTION("""COMPUTED_VALUE"""),1.0)</f>
        <v>1</v>
      </c>
      <c r="K464" s="93" t="str">
        <f>IFERROR(__xludf.DUMMYFUNCTION("""COMPUTED_VALUE"""),"Complete")</f>
        <v>Complete</v>
      </c>
      <c r="L464" s="93"/>
      <c r="M464" s="94">
        <f>IFERROR(__xludf.DUMMYFUNCTION("""COMPUTED_VALUE"""),46140.759247685186)</f>
        <v>46140.75925</v>
      </c>
      <c r="N464" s="93">
        <f>IFERROR(__xludf.DUMMYFUNCTION("""COMPUTED_VALUE"""),99.0)</f>
        <v>99</v>
      </c>
      <c r="O464" s="93"/>
      <c r="P464" s="93" t="str">
        <f>IFERROR(__xludf.DUMMYFUNCTION("""COMPUTED_VALUE"""),"Kit Delivery")</f>
        <v>Kit Delivery</v>
      </c>
      <c r="Q464" s="93"/>
      <c r="R464" s="93"/>
      <c r="S464" s="93" t="str">
        <f>IFERROR(__xludf.DUMMYFUNCTION("""COMPUTED_VALUE"""),"Dispatch_Images/KIT--17783.Photos.231315.jpg")</f>
        <v>Dispatch_Images/KIT--17783.Photos.231315.jpg</v>
      </c>
      <c r="T464" s="95">
        <f>IFERROR(__xludf.DUMMYFUNCTION("""COMPUTED_VALUE"""),46140.76600694445)</f>
        <v>46140.76601</v>
      </c>
      <c r="U464" s="93"/>
      <c r="V464" s="93"/>
      <c r="W464" s="93"/>
      <c r="X464" s="93"/>
      <c r="Y464" s="93"/>
      <c r="Z464" s="93"/>
    </row>
    <row r="465">
      <c r="A465" s="93" t="str">
        <f>IFERROR(__xludf.DUMMYFUNCTION("""COMPUTED_VALUE"""),"KIT-#17786")</f>
        <v>KIT-#17786</v>
      </c>
      <c r="B465" s="94">
        <f>IFERROR(__xludf.DUMMYFUNCTION("""COMPUTED_VALUE"""),46148.0)</f>
        <v>46148</v>
      </c>
      <c r="C465" s="93" t="str">
        <f>IFERROR(__xludf.DUMMYFUNCTION("""COMPUTED_VALUE"""),"Kit Delivery")</f>
        <v>Kit Delivery</v>
      </c>
      <c r="D465" s="93">
        <f>IFERROR(__xludf.DUMMYFUNCTION("""COMPUTED_VALUE"""),2.0)</f>
        <v>2</v>
      </c>
      <c r="E465" s="93" t="str">
        <f>IFERROR(__xludf.DUMMYFUNCTION("""COMPUTED_VALUE"""),"Nemerov")</f>
        <v>Nemerov</v>
      </c>
      <c r="F465" s="93">
        <f>IFERROR(__xludf.DUMMYFUNCTION("""COMPUTED_VALUE"""),3084.0)</f>
        <v>3084</v>
      </c>
      <c r="G465" s="93" t="str">
        <f>IFERROR(__xludf.DUMMYFUNCTION("""COMPUTED_VALUE"""),"Olivia Stokely")</f>
        <v>Olivia Stokely</v>
      </c>
      <c r="H465" s="93">
        <f>IFERROR(__xludf.DUMMYFUNCTION("""COMPUTED_VALUE"""),7.858534708E9)</f>
        <v>7858534708</v>
      </c>
      <c r="I465" s="93" t="str">
        <f>IFERROR(__xludf.DUMMYFUNCTION("""COMPUTED_VALUE"""),"9AM-11AM")</f>
        <v>9AM-11AM</v>
      </c>
      <c r="J465" s="93">
        <f>IFERROR(__xludf.DUMMYFUNCTION("""COMPUTED_VALUE"""),1.0)</f>
        <v>1</v>
      </c>
      <c r="K465" s="93" t="str">
        <f>IFERROR(__xludf.DUMMYFUNCTION("""COMPUTED_VALUE"""),"Complete")</f>
        <v>Complete</v>
      </c>
      <c r="L465" s="93"/>
      <c r="M465" s="94">
        <f>IFERROR(__xludf.DUMMYFUNCTION("""COMPUTED_VALUE"""),46140.76006944444)</f>
        <v>46140.76007</v>
      </c>
      <c r="N465" s="93">
        <f>IFERROR(__xludf.DUMMYFUNCTION("""COMPUTED_VALUE"""),101.0)</f>
        <v>101</v>
      </c>
      <c r="O465" s="93"/>
      <c r="P465" s="93" t="str">
        <f>IFERROR(__xludf.DUMMYFUNCTION("""COMPUTED_VALUE"""),"Kit Delivery")</f>
        <v>Kit Delivery</v>
      </c>
      <c r="Q465" s="93"/>
      <c r="R465" s="93"/>
      <c r="S465" s="93" t="str">
        <f>IFERROR(__xludf.DUMMYFUNCTION("""COMPUTED_VALUE"""),"Dispatch_Images/KIT--17786.Photos.231425.jpg")</f>
        <v>Dispatch_Images/KIT--17786.Photos.231425.jpg</v>
      </c>
      <c r="T465" s="95">
        <f>IFERROR(__xludf.DUMMYFUNCTION("""COMPUTED_VALUE"""),46140.76600694445)</f>
        <v>46140.76601</v>
      </c>
      <c r="U465" s="93"/>
      <c r="V465" s="93"/>
      <c r="W465" s="93"/>
      <c r="X465" s="93"/>
      <c r="Y465" s="93"/>
      <c r="Z465" s="93"/>
    </row>
    <row r="466">
      <c r="A466" s="93" t="str">
        <f>IFERROR(__xludf.DUMMYFUNCTION("""COMPUTED_VALUE"""),"KIT-#17143")</f>
        <v>KIT-#17143</v>
      </c>
      <c r="B466" s="94">
        <f>IFERROR(__xludf.DUMMYFUNCTION("""COMPUTED_VALUE"""),46148.0)</f>
        <v>46148</v>
      </c>
      <c r="C466" s="93" t="str">
        <f>IFERROR(__xludf.DUMMYFUNCTION("""COMPUTED_VALUE"""),"Kit Delivery")</f>
        <v>Kit Delivery</v>
      </c>
      <c r="D466" s="93">
        <f>IFERROR(__xludf.DUMMYFUNCTION("""COMPUTED_VALUE"""),2.0)</f>
        <v>2</v>
      </c>
      <c r="E466" s="93" t="str">
        <f>IFERROR(__xludf.DUMMYFUNCTION("""COMPUTED_VALUE"""),"Zetcher")</f>
        <v>Zetcher</v>
      </c>
      <c r="F466" s="93">
        <f>IFERROR(__xludf.DUMMYFUNCTION("""COMPUTED_VALUE"""),4140.0)</f>
        <v>4140</v>
      </c>
      <c r="G466" s="93" t="str">
        <f>IFERROR(__xludf.DUMMYFUNCTION("""COMPUTED_VALUE"""),"Jatin Furgeson")</f>
        <v>Jatin Furgeson</v>
      </c>
      <c r="H466" s="93">
        <f>IFERROR(__xludf.DUMMYFUNCTION("""COMPUTED_VALUE"""),3.033458925E9)</f>
        <v>3033458925</v>
      </c>
      <c r="I466" s="93" t="str">
        <f>IFERROR(__xludf.DUMMYFUNCTION("""COMPUTED_VALUE"""),"9AM-11AM")</f>
        <v>9AM-11AM</v>
      </c>
      <c r="J466" s="93">
        <f>IFERROR(__xludf.DUMMYFUNCTION("""COMPUTED_VALUE"""),1.0)</f>
        <v>1</v>
      </c>
      <c r="K466" s="93" t="str">
        <f>IFERROR(__xludf.DUMMYFUNCTION("""COMPUTED_VALUE"""),"Complete")</f>
        <v>Complete</v>
      </c>
      <c r="L466" s="93"/>
      <c r="M466" s="94">
        <f>IFERROR(__xludf.DUMMYFUNCTION("""COMPUTED_VALUE"""),46140.77649305556)</f>
        <v>46140.77649</v>
      </c>
      <c r="N466" s="93">
        <f>IFERROR(__xludf.DUMMYFUNCTION("""COMPUTED_VALUE"""),128.0)</f>
        <v>128</v>
      </c>
      <c r="O466" s="93"/>
      <c r="P466" s="93" t="str">
        <f>IFERROR(__xludf.DUMMYFUNCTION("""COMPUTED_VALUE"""),"Kit Delivery")</f>
        <v>Kit Delivery</v>
      </c>
      <c r="Q466" s="93"/>
      <c r="R466" s="93"/>
      <c r="S466" s="93" t="str">
        <f>IFERROR(__xludf.DUMMYFUNCTION("""COMPUTED_VALUE"""),"Dispatch_Images/KIT--17143.Photos.233805.jpg")</f>
        <v>Dispatch_Images/KIT--17143.Photos.233805.jpg</v>
      </c>
      <c r="T466" s="95">
        <f>IFERROR(__xludf.DUMMYFUNCTION("""COMPUTED_VALUE"""),46140.77990740741)</f>
        <v>46140.77991</v>
      </c>
      <c r="U466" s="93"/>
      <c r="V466" s="93"/>
      <c r="W466" s="93"/>
      <c r="X466" s="93"/>
      <c r="Y466" s="93"/>
      <c r="Z466" s="93"/>
    </row>
    <row r="467">
      <c r="A467" s="93" t="str">
        <f>IFERROR(__xludf.DUMMYFUNCTION("""COMPUTED_VALUE"""),"KIT-#17357")</f>
        <v>KIT-#17357</v>
      </c>
      <c r="B467" s="94">
        <f>IFERROR(__xludf.DUMMYFUNCTION("""COMPUTED_VALUE"""),46148.0)</f>
        <v>46148</v>
      </c>
      <c r="C467" s="93" t="str">
        <f>IFERROR(__xludf.DUMMYFUNCTION("""COMPUTED_VALUE"""),"Kit Delivery")</f>
        <v>Kit Delivery</v>
      </c>
      <c r="D467" s="93">
        <f>IFERROR(__xludf.DUMMYFUNCTION("""COMPUTED_VALUE"""),2.0)</f>
        <v>2</v>
      </c>
      <c r="E467" s="93" t="str">
        <f>IFERROR(__xludf.DUMMYFUNCTION("""COMPUTED_VALUE"""),"Zetcher")</f>
        <v>Zetcher</v>
      </c>
      <c r="F467" s="93">
        <f>IFERROR(__xludf.DUMMYFUNCTION("""COMPUTED_VALUE"""),3133.0)</f>
        <v>3133</v>
      </c>
      <c r="G467" s="93" t="str">
        <f>IFERROR(__xludf.DUMMYFUNCTION("""COMPUTED_VALUE"""),"Alexa Woo")</f>
        <v>Alexa Woo</v>
      </c>
      <c r="H467" s="93">
        <f>IFERROR(__xludf.DUMMYFUNCTION("""COMPUTED_VALUE"""),9.179217804E9)</f>
        <v>9179217804</v>
      </c>
      <c r="I467" s="93" t="str">
        <f>IFERROR(__xludf.DUMMYFUNCTION("""COMPUTED_VALUE"""),"9AM-11AM")</f>
        <v>9AM-11AM</v>
      </c>
      <c r="J467" s="93">
        <f>IFERROR(__xludf.DUMMYFUNCTION("""COMPUTED_VALUE"""),1.0)</f>
        <v>1</v>
      </c>
      <c r="K467" s="93" t="str">
        <f>IFERROR(__xludf.DUMMYFUNCTION("""COMPUTED_VALUE"""),"Complete")</f>
        <v>Complete</v>
      </c>
      <c r="L467" s="93"/>
      <c r="M467" s="94">
        <f>IFERROR(__xludf.DUMMYFUNCTION("""COMPUTED_VALUE"""),46140.78082175926)</f>
        <v>46140.78082</v>
      </c>
      <c r="N467" s="93">
        <f>IFERROR(__xludf.DUMMYFUNCTION("""COMPUTED_VALUE"""),124.0)</f>
        <v>124</v>
      </c>
      <c r="O467" s="93"/>
      <c r="P467" s="93" t="str">
        <f>IFERROR(__xludf.DUMMYFUNCTION("""COMPUTED_VALUE"""),"Kit Delivery")</f>
        <v>Kit Delivery</v>
      </c>
      <c r="Q467" s="93"/>
      <c r="R467" s="93"/>
      <c r="S467" s="93" t="str">
        <f>IFERROR(__xludf.DUMMYFUNCTION("""COMPUTED_VALUE"""),"Dispatch_Images/KIT--17357.Photos.234419.jpg")</f>
        <v>Dispatch_Images/KIT--17357.Photos.234419.jpg</v>
      </c>
      <c r="T467" s="95">
        <f>IFERROR(__xludf.DUMMYFUNCTION("""COMPUTED_VALUE"""),46140.786840277775)</f>
        <v>46140.78684</v>
      </c>
      <c r="U467" s="93"/>
      <c r="V467" s="93"/>
      <c r="W467" s="93"/>
      <c r="X467" s="93"/>
      <c r="Y467" s="93"/>
      <c r="Z467" s="93"/>
    </row>
    <row r="468">
      <c r="A468" s="93" t="str">
        <f>IFERROR(__xludf.DUMMYFUNCTION("""COMPUTED_VALUE"""),"KIT-#17927")</f>
        <v>KIT-#17927</v>
      </c>
      <c r="B468" s="94">
        <f>IFERROR(__xludf.DUMMYFUNCTION("""COMPUTED_VALUE"""),46148.0)</f>
        <v>46148</v>
      </c>
      <c r="C468" s="93" t="str">
        <f>IFERROR(__xludf.DUMMYFUNCTION("""COMPUTED_VALUE"""),"Kit Delivery")</f>
        <v>Kit Delivery</v>
      </c>
      <c r="D468" s="93">
        <f>IFERROR(__xludf.DUMMYFUNCTION("""COMPUTED_VALUE"""),2.0)</f>
        <v>2</v>
      </c>
      <c r="E468" s="93" t="str">
        <f>IFERROR(__xludf.DUMMYFUNCTION("""COMPUTED_VALUE"""),"Zetcher")</f>
        <v>Zetcher</v>
      </c>
      <c r="F468" s="93">
        <f>IFERROR(__xludf.DUMMYFUNCTION("""COMPUTED_VALUE"""),3134.0)</f>
        <v>3134</v>
      </c>
      <c r="G468" s="93" t="str">
        <f>IFERROR(__xludf.DUMMYFUNCTION("""COMPUTED_VALUE"""),"Naomika Raveendran")</f>
        <v>Naomika Raveendran</v>
      </c>
      <c r="H468" s="93">
        <f>IFERROR(__xludf.DUMMYFUNCTION("""COMPUTED_VALUE"""),8.588666205E9)</f>
        <v>8588666205</v>
      </c>
      <c r="I468" s="93" t="str">
        <f>IFERROR(__xludf.DUMMYFUNCTION("""COMPUTED_VALUE"""),"11AM-1PM")</f>
        <v>11AM-1PM</v>
      </c>
      <c r="J468" s="93">
        <f>IFERROR(__xludf.DUMMYFUNCTION("""COMPUTED_VALUE"""),1.0)</f>
        <v>1</v>
      </c>
      <c r="K468" s="93" t="str">
        <f>IFERROR(__xludf.DUMMYFUNCTION("""COMPUTED_VALUE"""),"Complete")</f>
        <v>Complete</v>
      </c>
      <c r="L468" s="93"/>
      <c r="M468" s="94">
        <f>IFERROR(__xludf.DUMMYFUNCTION("""COMPUTED_VALUE"""),46140.78115740741)</f>
        <v>46140.78116</v>
      </c>
      <c r="N468" s="93">
        <f>IFERROR(__xludf.DUMMYFUNCTION("""COMPUTED_VALUE"""),125.0)</f>
        <v>125</v>
      </c>
      <c r="O468" s="93"/>
      <c r="P468" s="93" t="str">
        <f>IFERROR(__xludf.DUMMYFUNCTION("""COMPUTED_VALUE"""),"Kit Delivery")</f>
        <v>Kit Delivery</v>
      </c>
      <c r="Q468" s="93" t="str">
        <f>IFERROR(__xludf.DUMMYFUNCTION("""COMPUTED_VALUE"""),"I don't know where I'll be living next semester yet, but I will know my specific address by July at the latest. I will contact UTrucking with the address for the boxes to be delivered to as soon as I get this information.")</f>
        <v>I don't know where I'll be living next semester yet, but I will know my specific address by July at the latest. I will contact UTrucking with the address for the boxes to be delivered to as soon as I get this information.</v>
      </c>
      <c r="R468" s="93"/>
      <c r="S468" s="93" t="str">
        <f>IFERROR(__xludf.DUMMYFUNCTION("""COMPUTED_VALUE"""),"Dispatch_Images/KIT--17927.Photos.234448.jpg")</f>
        <v>Dispatch_Images/KIT--17927.Photos.234448.jpg</v>
      </c>
      <c r="T468" s="95">
        <f>IFERROR(__xludf.DUMMYFUNCTION("""COMPUTED_VALUE"""),46140.786840277775)</f>
        <v>46140.78684</v>
      </c>
      <c r="U468" s="93"/>
      <c r="V468" s="93"/>
      <c r="W468" s="93"/>
      <c r="X468" s="93"/>
      <c r="Y468" s="93"/>
      <c r="Z468" s="93"/>
    </row>
    <row r="469">
      <c r="A469" s="93" t="str">
        <f>IFERROR(__xludf.DUMMYFUNCTION("""COMPUTED_VALUE"""),"KIT-#17921")</f>
        <v>KIT-#17921</v>
      </c>
      <c r="B469" s="94">
        <f>IFERROR(__xludf.DUMMYFUNCTION("""COMPUTED_VALUE"""),46148.0)</f>
        <v>46148</v>
      </c>
      <c r="C469" s="93" t="str">
        <f>IFERROR(__xludf.DUMMYFUNCTION("""COMPUTED_VALUE"""),"Kit Delivery")</f>
        <v>Kit Delivery</v>
      </c>
      <c r="D469" s="93">
        <f>IFERROR(__xludf.DUMMYFUNCTION("""COMPUTED_VALUE"""),2.0)</f>
        <v>2</v>
      </c>
      <c r="E469" s="93" t="str">
        <f>IFERROR(__xludf.DUMMYFUNCTION("""COMPUTED_VALUE"""),"Zetcher")</f>
        <v>Zetcher</v>
      </c>
      <c r="F469" s="93">
        <f>IFERROR(__xludf.DUMMYFUNCTION("""COMPUTED_VALUE"""),3000.0)</f>
        <v>3000</v>
      </c>
      <c r="G469" s="93" t="str">
        <f>IFERROR(__xludf.DUMMYFUNCTION("""COMPUTED_VALUE"""),"Lena Stern")</f>
        <v>Lena Stern</v>
      </c>
      <c r="H469" s="93">
        <f>IFERROR(__xludf.DUMMYFUNCTION("""COMPUTED_VALUE"""),4.10279228E9)</f>
        <v>4102792280</v>
      </c>
      <c r="I469" s="93" t="str">
        <f>IFERROR(__xludf.DUMMYFUNCTION("""COMPUTED_VALUE"""),"9AM-11AM")</f>
        <v>9AM-11AM</v>
      </c>
      <c r="J469" s="93">
        <f>IFERROR(__xludf.DUMMYFUNCTION("""COMPUTED_VALUE"""),1.0)</f>
        <v>1</v>
      </c>
      <c r="K469" s="93" t="str">
        <f>IFERROR(__xludf.DUMMYFUNCTION("""COMPUTED_VALUE"""),"Complete")</f>
        <v>Complete</v>
      </c>
      <c r="L469" s="93"/>
      <c r="M469" s="94">
        <f>IFERROR(__xludf.DUMMYFUNCTION("""COMPUTED_VALUE"""),46140.78545138889)</f>
        <v>46140.78545</v>
      </c>
      <c r="N469" s="93">
        <f>IFERROR(__xludf.DUMMYFUNCTION("""COMPUTED_VALUE"""),115.0)</f>
        <v>115</v>
      </c>
      <c r="O469" s="93"/>
      <c r="P469" s="93" t="str">
        <f>IFERROR(__xludf.DUMMYFUNCTION("""COMPUTED_VALUE"""),"Kit Delivery")</f>
        <v>Kit Delivery</v>
      </c>
      <c r="Q469" s="93"/>
      <c r="R469" s="93"/>
      <c r="S469" s="93" t="str">
        <f>IFERROR(__xludf.DUMMYFUNCTION("""COMPUTED_VALUE"""),"Dispatch_Images/KIT--17921.Photos.235058.jpg")</f>
        <v>Dispatch_Images/KIT--17921.Photos.235058.jpg</v>
      </c>
      <c r="T469" s="95">
        <f>IFERROR(__xludf.DUMMYFUNCTION("""COMPUTED_VALUE"""),46140.786840277775)</f>
        <v>46140.78684</v>
      </c>
      <c r="U469" s="93"/>
      <c r="V469" s="93"/>
      <c r="W469" s="93"/>
      <c r="X469" s="93"/>
      <c r="Y469" s="93"/>
      <c r="Z469" s="93"/>
    </row>
    <row r="470">
      <c r="A470" s="93" t="str">
        <f>IFERROR(__xludf.DUMMYFUNCTION("""COMPUTED_VALUE"""),"KIT-#17264")</f>
        <v>KIT-#17264</v>
      </c>
      <c r="B470" s="94">
        <f>IFERROR(__xludf.DUMMYFUNCTION("""COMPUTED_VALUE"""),46148.0)</f>
        <v>46148</v>
      </c>
      <c r="C470" s="93" t="str">
        <f>IFERROR(__xludf.DUMMYFUNCTION("""COMPUTED_VALUE"""),"Kit Delivery")</f>
        <v>Kit Delivery</v>
      </c>
      <c r="D470" s="93">
        <f>IFERROR(__xludf.DUMMYFUNCTION("""COMPUTED_VALUE"""),2.0)</f>
        <v>2</v>
      </c>
      <c r="E470" s="93" t="str">
        <f>IFERROR(__xludf.DUMMYFUNCTION("""COMPUTED_VALUE"""),"Zetcher")</f>
        <v>Zetcher</v>
      </c>
      <c r="F470" s="93" t="str">
        <f>IFERROR(__xludf.DUMMYFUNCTION("""COMPUTED_VALUE"""),"3024-A")</f>
        <v>3024-A</v>
      </c>
      <c r="G470" s="93" t="str">
        <f>IFERROR(__xludf.DUMMYFUNCTION("""COMPUTED_VALUE"""),"Hannah McWhan")</f>
        <v>Hannah McWhan</v>
      </c>
      <c r="H470" s="93">
        <f>IFERROR(__xludf.DUMMYFUNCTION("""COMPUTED_VALUE"""),6.468979027E9)</f>
        <v>6468979027</v>
      </c>
      <c r="I470" s="93" t="str">
        <f>IFERROR(__xludf.DUMMYFUNCTION("""COMPUTED_VALUE"""),"9AM-11AM")</f>
        <v>9AM-11AM</v>
      </c>
      <c r="J470" s="93">
        <f>IFERROR(__xludf.DUMMYFUNCTION("""COMPUTED_VALUE"""),1.0)</f>
        <v>1</v>
      </c>
      <c r="K470" s="93" t="str">
        <f>IFERROR(__xludf.DUMMYFUNCTION("""COMPUTED_VALUE"""),"Complete")</f>
        <v>Complete</v>
      </c>
      <c r="L470" s="93"/>
      <c r="M470" s="94">
        <f>IFERROR(__xludf.DUMMYFUNCTION("""COMPUTED_VALUE"""),46140.78738425926)</f>
        <v>46140.78738</v>
      </c>
      <c r="N470" s="93">
        <f>IFERROR(__xludf.DUMMYFUNCTION("""COMPUTED_VALUE"""),116.0)</f>
        <v>116</v>
      </c>
      <c r="O470" s="93"/>
      <c r="P470" s="93" t="str">
        <f>IFERROR(__xludf.DUMMYFUNCTION("""COMPUTED_VALUE"""),"Kit Delivery")</f>
        <v>Kit Delivery</v>
      </c>
      <c r="Q470" s="93"/>
      <c r="R470" s="93"/>
      <c r="S470" s="93" t="str">
        <f>IFERROR(__xludf.DUMMYFUNCTION("""COMPUTED_VALUE"""),"Dispatch_Images/KIT--17264.Photos.235346.jpg")</f>
        <v>Dispatch_Images/KIT--17264.Photos.235346.jpg</v>
      </c>
      <c r="T470" s="95">
        <f>IFERROR(__xludf.DUMMYFUNCTION("""COMPUTED_VALUE"""),46140.79378472222)</f>
        <v>46140.79378</v>
      </c>
      <c r="U470" s="93"/>
      <c r="V470" s="93"/>
      <c r="W470" s="93"/>
      <c r="X470" s="93"/>
      <c r="Y470" s="93"/>
      <c r="Z470" s="93"/>
    </row>
    <row r="471">
      <c r="A471" s="93" t="str">
        <f>IFERROR(__xludf.DUMMYFUNCTION("""COMPUTED_VALUE"""),"KIT-#17710")</f>
        <v>KIT-#17710</v>
      </c>
      <c r="B471" s="94">
        <f>IFERROR(__xludf.DUMMYFUNCTION("""COMPUTED_VALUE"""),46148.0)</f>
        <v>46148</v>
      </c>
      <c r="C471" s="93" t="str">
        <f>IFERROR(__xludf.DUMMYFUNCTION("""COMPUTED_VALUE"""),"Kit Delivery")</f>
        <v>Kit Delivery</v>
      </c>
      <c r="D471" s="93">
        <f>IFERROR(__xludf.DUMMYFUNCTION("""COMPUTED_VALUE"""),2.0)</f>
        <v>2</v>
      </c>
      <c r="E471" s="93" t="str">
        <f>IFERROR(__xludf.DUMMYFUNCTION("""COMPUTED_VALUE"""),"Lien")</f>
        <v>Lien</v>
      </c>
      <c r="F471" s="93">
        <f>IFERROR(__xludf.DUMMYFUNCTION("""COMPUTED_VALUE"""),3322.0)</f>
        <v>3322</v>
      </c>
      <c r="G471" s="93" t="str">
        <f>IFERROR(__xludf.DUMMYFUNCTION("""COMPUTED_VALUE"""),"Krishna Gandhi")</f>
        <v>Krishna Gandhi</v>
      </c>
      <c r="H471" s="93">
        <f>IFERROR(__xludf.DUMMYFUNCTION("""COMPUTED_VALUE"""),8.473385897E9)</f>
        <v>8473385897</v>
      </c>
      <c r="I471" s="93" t="str">
        <f>IFERROR(__xludf.DUMMYFUNCTION("""COMPUTED_VALUE"""),"2PM-4PM")</f>
        <v>2PM-4PM</v>
      </c>
      <c r="J471" s="93">
        <f>IFERROR(__xludf.DUMMYFUNCTION("""COMPUTED_VALUE"""),1.0)</f>
        <v>1</v>
      </c>
      <c r="K471" s="93" t="str">
        <f>IFERROR(__xludf.DUMMYFUNCTION("""COMPUTED_VALUE"""),"Complete")</f>
        <v>Complete</v>
      </c>
      <c r="L471" s="93"/>
      <c r="M471" s="94">
        <f>IFERROR(__xludf.DUMMYFUNCTION("""COMPUTED_VALUE"""),46140.80079861111)</f>
        <v>46140.8008</v>
      </c>
      <c r="N471" s="93">
        <f>IFERROR(__xludf.DUMMYFUNCTION("""COMPUTED_VALUE"""),139.0)</f>
        <v>139</v>
      </c>
      <c r="O471" s="93"/>
      <c r="P471" s="93" t="str">
        <f>IFERROR(__xludf.DUMMYFUNCTION("""COMPUTED_VALUE"""),"Kit Delivery")</f>
        <v>Kit Delivery</v>
      </c>
      <c r="Q471" s="93"/>
      <c r="R471" s="93"/>
      <c r="S471" s="93" t="str">
        <f>IFERROR(__xludf.DUMMYFUNCTION("""COMPUTED_VALUE"""),"Dispatch_Images/KIT--17710.Photos.001306.jpg")</f>
        <v>Dispatch_Images/KIT--17710.Photos.001306.jpg</v>
      </c>
      <c r="T471" s="95">
        <f>IFERROR(__xludf.DUMMYFUNCTION("""COMPUTED_VALUE"""),46140.80767361111)</f>
        <v>46140.80767</v>
      </c>
      <c r="U471" s="93"/>
      <c r="V471" s="93"/>
      <c r="W471" s="93"/>
      <c r="X471" s="93"/>
      <c r="Y471" s="93"/>
      <c r="Z471" s="93"/>
    </row>
    <row r="472">
      <c r="A472" s="93" t="str">
        <f>IFERROR(__xludf.DUMMYFUNCTION("""COMPUTED_VALUE"""),"KIT-#17117")</f>
        <v>KIT-#17117</v>
      </c>
      <c r="B472" s="94">
        <f>IFERROR(__xludf.DUMMYFUNCTION("""COMPUTED_VALUE"""),46148.0)</f>
        <v>46148</v>
      </c>
      <c r="C472" s="93" t="str">
        <f>IFERROR(__xludf.DUMMYFUNCTION("""COMPUTED_VALUE"""),"Kit Delivery")</f>
        <v>Kit Delivery</v>
      </c>
      <c r="D472" s="93">
        <f>IFERROR(__xludf.DUMMYFUNCTION("""COMPUTED_VALUE"""),2.0)</f>
        <v>2</v>
      </c>
      <c r="E472" s="93" t="str">
        <f>IFERROR(__xludf.DUMMYFUNCTION("""COMPUTED_VALUE"""),"Lien")</f>
        <v>Lien</v>
      </c>
      <c r="F472" s="93">
        <f>IFERROR(__xludf.DUMMYFUNCTION("""COMPUTED_VALUE"""),3319.0)</f>
        <v>3319</v>
      </c>
      <c r="G472" s="93" t="str">
        <f>IFERROR(__xludf.DUMMYFUNCTION("""COMPUTED_VALUE"""),"Julia Markowitz")</f>
        <v>Julia Markowitz</v>
      </c>
      <c r="H472" s="93">
        <f>IFERROR(__xludf.DUMMYFUNCTION("""COMPUTED_VALUE"""),5.719994644E9)</f>
        <v>5719994644</v>
      </c>
      <c r="I472" s="93" t="str">
        <f>IFERROR(__xludf.DUMMYFUNCTION("""COMPUTED_VALUE"""),"2PM-4PM")</f>
        <v>2PM-4PM</v>
      </c>
      <c r="J472" s="93">
        <f>IFERROR(__xludf.DUMMYFUNCTION("""COMPUTED_VALUE"""),2.0)</f>
        <v>2</v>
      </c>
      <c r="K472" s="93" t="str">
        <f>IFERROR(__xludf.DUMMYFUNCTION("""COMPUTED_VALUE"""),"Complete")</f>
        <v>Complete</v>
      </c>
      <c r="L472" s="93"/>
      <c r="M472" s="94">
        <f>IFERROR(__xludf.DUMMYFUNCTION("""COMPUTED_VALUE"""),46140.801574074074)</f>
        <v>46140.80157</v>
      </c>
      <c r="N472" s="93">
        <f>IFERROR(__xludf.DUMMYFUNCTION("""COMPUTED_VALUE"""),138.0)</f>
        <v>138</v>
      </c>
      <c r="O472" s="93"/>
      <c r="P472" s="93" t="str">
        <f>IFERROR(__xludf.DUMMYFUNCTION("""COMPUTED_VALUE"""),"Kit Delivery")</f>
        <v>Kit Delivery</v>
      </c>
      <c r="Q472" s="93"/>
      <c r="R472" s="93"/>
      <c r="S472" s="93" t="str">
        <f>IFERROR(__xludf.DUMMYFUNCTION("""COMPUTED_VALUE"""),"Dispatch_Images/KIT--17117.Photos.001413.jpg")</f>
        <v>Dispatch_Images/KIT--17117.Photos.001413.jpg</v>
      </c>
      <c r="T472" s="95">
        <f>IFERROR(__xludf.DUMMYFUNCTION("""COMPUTED_VALUE"""),46140.80767361111)</f>
        <v>46140.80767</v>
      </c>
      <c r="U472" s="93"/>
      <c r="V472" s="93"/>
      <c r="W472" s="93"/>
      <c r="X472" s="93"/>
      <c r="Y472" s="93"/>
      <c r="Z472" s="93"/>
    </row>
    <row r="473">
      <c r="A473" s="93" t="str">
        <f>IFERROR(__xludf.DUMMYFUNCTION("""COMPUTED_VALUE"""),"KIT-#17849")</f>
        <v>KIT-#17849</v>
      </c>
      <c r="B473" s="94">
        <f>IFERROR(__xludf.DUMMYFUNCTION("""COMPUTED_VALUE"""),46148.0)</f>
        <v>46148</v>
      </c>
      <c r="C473" s="93" t="str">
        <f>IFERROR(__xludf.DUMMYFUNCTION("""COMPUTED_VALUE"""),"Kit Delivery")</f>
        <v>Kit Delivery</v>
      </c>
      <c r="D473" s="93">
        <f>IFERROR(__xludf.DUMMYFUNCTION("""COMPUTED_VALUE"""),2.0)</f>
        <v>2</v>
      </c>
      <c r="E473" s="93" t="str">
        <f>IFERROR(__xludf.DUMMYFUNCTION("""COMPUTED_VALUE"""),"Wheeler")</f>
        <v>Wheeler</v>
      </c>
      <c r="F473" s="93">
        <f>IFERROR(__xludf.DUMMYFUNCTION("""COMPUTED_VALUE"""),1040.0)</f>
        <v>1040</v>
      </c>
      <c r="G473" s="93" t="str">
        <f>IFERROR(__xludf.DUMMYFUNCTION("""COMPUTED_VALUE"""),"Diya Mukherjee")</f>
        <v>Diya Mukherjee</v>
      </c>
      <c r="H473" s="93">
        <f>IFERROR(__xludf.DUMMYFUNCTION("""COMPUTED_VALUE"""),6.692044959E9)</f>
        <v>6692044959</v>
      </c>
      <c r="I473" s="93" t="str">
        <f>IFERROR(__xludf.DUMMYFUNCTION("""COMPUTED_VALUE"""),"11AM-1PM")</f>
        <v>11AM-1PM</v>
      </c>
      <c r="J473" s="93">
        <f>IFERROR(__xludf.DUMMYFUNCTION("""COMPUTED_VALUE"""),1.0)</f>
        <v>1</v>
      </c>
      <c r="K473" s="93" t="str">
        <f>IFERROR(__xludf.DUMMYFUNCTION("""COMPUTED_VALUE"""),"Complete")</f>
        <v>Complete</v>
      </c>
      <c r="L473" s="93"/>
      <c r="M473" s="94">
        <f>IFERROR(__xludf.DUMMYFUNCTION("""COMPUTED_VALUE"""),46140.81380787037)</f>
        <v>46140.81381</v>
      </c>
      <c r="N473" s="93">
        <f>IFERROR(__xludf.DUMMYFUNCTION("""COMPUTED_VALUE"""),42.0)</f>
        <v>42</v>
      </c>
      <c r="O473" s="93"/>
      <c r="P473" s="93" t="str">
        <f>IFERROR(__xludf.DUMMYFUNCTION("""COMPUTED_VALUE"""),"Kit Delivery")</f>
        <v>Kit Delivery</v>
      </c>
      <c r="Q473" s="93"/>
      <c r="R473" s="93"/>
      <c r="S473" s="93" t="str">
        <f>IFERROR(__xludf.DUMMYFUNCTION("""COMPUTED_VALUE"""),"Dispatch_Images/KIT--17849.Photos.003150.jpg")</f>
        <v>Dispatch_Images/KIT--17849.Photos.003150.jpg</v>
      </c>
      <c r="T473" s="95">
        <f>IFERROR(__xludf.DUMMYFUNCTION("""COMPUTED_VALUE"""),46140.81460648148)</f>
        <v>46140.81461</v>
      </c>
      <c r="U473" s="93"/>
      <c r="V473" s="93"/>
      <c r="W473" s="93"/>
      <c r="X473" s="93"/>
      <c r="Y473" s="93"/>
      <c r="Z473" s="93"/>
    </row>
    <row r="474">
      <c r="A474" s="93" t="str">
        <f>IFERROR(__xludf.DUMMYFUNCTION("""COMPUTED_VALUE"""),"KIT-#17795")</f>
        <v>KIT-#17795</v>
      </c>
      <c r="B474" s="94">
        <f>IFERROR(__xludf.DUMMYFUNCTION("""COMPUTED_VALUE"""),46148.0)</f>
        <v>46148</v>
      </c>
      <c r="C474" s="93" t="str">
        <f>IFERROR(__xludf.DUMMYFUNCTION("""COMPUTED_VALUE"""),"Kit Delivery")</f>
        <v>Kit Delivery</v>
      </c>
      <c r="D474" s="93">
        <f>IFERROR(__xludf.DUMMYFUNCTION("""COMPUTED_VALUE"""),2.0)</f>
        <v>2</v>
      </c>
      <c r="E474" s="93" t="str">
        <f>IFERROR(__xludf.DUMMYFUNCTION("""COMPUTED_VALUE"""),"Danforth")</f>
        <v>Danforth</v>
      </c>
      <c r="F474" s="93">
        <f>IFERROR(__xludf.DUMMYFUNCTION("""COMPUTED_VALUE"""),2208.0)</f>
        <v>2208</v>
      </c>
      <c r="G474" s="93" t="str">
        <f>IFERROR(__xludf.DUMMYFUNCTION("""COMPUTED_VALUE"""),"Chloe Hwang")</f>
        <v>Chloe Hwang</v>
      </c>
      <c r="H474" s="93">
        <f>IFERROR(__xludf.DUMMYFUNCTION("""COMPUTED_VALUE"""),2.01410082E9)</f>
        <v>2014100820</v>
      </c>
      <c r="I474" s="93" t="str">
        <f>IFERROR(__xludf.DUMMYFUNCTION("""COMPUTED_VALUE"""),"9AM-11AM")</f>
        <v>9AM-11AM</v>
      </c>
      <c r="J474" s="93">
        <f>IFERROR(__xludf.DUMMYFUNCTION("""COMPUTED_VALUE"""),1.0)</f>
        <v>1</v>
      </c>
      <c r="K474" s="93" t="str">
        <f>IFERROR(__xludf.DUMMYFUNCTION("""COMPUTED_VALUE"""),"Complete")</f>
        <v>Complete</v>
      </c>
      <c r="L474" s="93"/>
      <c r="M474" s="94">
        <f>IFERROR(__xludf.DUMMYFUNCTION("""COMPUTED_VALUE"""),46140.816608796296)</f>
        <v>46140.81661</v>
      </c>
      <c r="N474" s="93">
        <f>IFERROR(__xludf.DUMMYFUNCTION("""COMPUTED_VALUE"""),39.0)</f>
        <v>39</v>
      </c>
      <c r="O474" s="93"/>
      <c r="P474" s="93" t="str">
        <f>IFERROR(__xludf.DUMMYFUNCTION("""COMPUTED_VALUE"""),"Kit Delivery")</f>
        <v>Kit Delivery</v>
      </c>
      <c r="Q474" s="93"/>
      <c r="R474" s="93"/>
      <c r="S474" s="93" t="str">
        <f>IFERROR(__xludf.DUMMYFUNCTION("""COMPUTED_VALUE"""),"Dispatch_Images/KIT--17795.Photos.003552.jpg")</f>
        <v>Dispatch_Images/KIT--17795.Photos.003552.jpg</v>
      </c>
      <c r="T474" s="95">
        <f>IFERROR(__xludf.DUMMYFUNCTION("""COMPUTED_VALUE"""),46140.82157407407)</f>
        <v>46140.82157</v>
      </c>
      <c r="U474" s="93"/>
      <c r="V474" s="93"/>
      <c r="W474" s="93"/>
      <c r="X474" s="93"/>
      <c r="Y474" s="93"/>
      <c r="Z474" s="93"/>
    </row>
    <row r="475">
      <c r="A475" s="93" t="str">
        <f>IFERROR(__xludf.DUMMYFUNCTION("""COMPUTED_VALUE"""),"KIT-#17634")</f>
        <v>KIT-#17634</v>
      </c>
      <c r="B475" s="94">
        <f>IFERROR(__xludf.DUMMYFUNCTION("""COMPUTED_VALUE"""),46148.0)</f>
        <v>46148</v>
      </c>
      <c r="C475" s="93" t="str">
        <f>IFERROR(__xludf.DUMMYFUNCTION("""COMPUTED_VALUE"""),"Kit Delivery")</f>
        <v>Kit Delivery</v>
      </c>
      <c r="D475" s="93">
        <f>IFERROR(__xludf.DUMMYFUNCTION("""COMPUTED_VALUE"""),2.0)</f>
        <v>2</v>
      </c>
      <c r="E475" s="93" t="str">
        <f>IFERROR(__xludf.DUMMYFUNCTION("""COMPUTED_VALUE"""),"House 6")</f>
        <v>House 6</v>
      </c>
      <c r="F475" s="93">
        <f>IFERROR(__xludf.DUMMYFUNCTION("""COMPUTED_VALUE"""),206.0)</f>
        <v>206</v>
      </c>
      <c r="G475" s="93" t="str">
        <f>IFERROR(__xludf.DUMMYFUNCTION("""COMPUTED_VALUE"""),"Felix Harari")</f>
        <v>Felix Harari</v>
      </c>
      <c r="H475" s="93">
        <f>IFERROR(__xludf.DUMMYFUNCTION("""COMPUTED_VALUE"""),7.18551122E9)</f>
        <v>7185511220</v>
      </c>
      <c r="I475" s="93" t="str">
        <f>IFERROR(__xludf.DUMMYFUNCTION("""COMPUTED_VALUE"""),"2PM-4PM")</f>
        <v>2PM-4PM</v>
      </c>
      <c r="J475" s="93">
        <f>IFERROR(__xludf.DUMMYFUNCTION("""COMPUTED_VALUE"""),2.0)</f>
        <v>2</v>
      </c>
      <c r="K475" s="93" t="str">
        <f>IFERROR(__xludf.DUMMYFUNCTION("""COMPUTED_VALUE"""),"Complete")</f>
        <v>Complete</v>
      </c>
      <c r="L475" s="93"/>
      <c r="M475" s="94">
        <f>IFERROR(__xludf.DUMMYFUNCTION("""COMPUTED_VALUE"""),46140.82938657407)</f>
        <v>46140.82939</v>
      </c>
      <c r="N475" s="93">
        <f>IFERROR(__xludf.DUMMYFUNCTION("""COMPUTED_VALUE"""),201.0)</f>
        <v>201</v>
      </c>
      <c r="O475" s="93"/>
      <c r="P475" s="93" t="str">
        <f>IFERROR(__xludf.DUMMYFUNCTION("""COMPUTED_VALUE"""),"Kit Delivery")</f>
        <v>Kit Delivery</v>
      </c>
      <c r="Q475" s="93"/>
      <c r="R475" s="93"/>
      <c r="S475" s="93" t="str">
        <f>IFERROR(__xludf.DUMMYFUNCTION("""COMPUTED_VALUE"""),"Dispatch_Images/KIT--17634.Photos.005415.jpg")</f>
        <v>Dispatch_Images/KIT--17634.Photos.005415.jpg</v>
      </c>
      <c r="T475" s="95">
        <f>IFERROR(__xludf.DUMMYFUNCTION("""COMPUTED_VALUE"""),46140.83545138889)</f>
        <v>46140.83545</v>
      </c>
      <c r="U475" s="93"/>
      <c r="V475" s="93"/>
      <c r="W475" s="93"/>
      <c r="X475" s="93"/>
      <c r="Y475" s="93"/>
      <c r="Z475" s="93"/>
    </row>
    <row r="476">
      <c r="A476" s="93" t="str">
        <f>IFERROR(__xludf.DUMMYFUNCTION("""COMPUTED_VALUE"""),"KIT-#17898")</f>
        <v>KIT-#17898</v>
      </c>
      <c r="B476" s="94">
        <f>IFERROR(__xludf.DUMMYFUNCTION("""COMPUTED_VALUE"""),46148.0)</f>
        <v>46148</v>
      </c>
      <c r="C476" s="93" t="str">
        <f>IFERROR(__xludf.DUMMYFUNCTION("""COMPUTED_VALUE"""),"Kit Delivery")</f>
        <v>Kit Delivery</v>
      </c>
      <c r="D476" s="93">
        <f>IFERROR(__xludf.DUMMYFUNCTION("""COMPUTED_VALUE"""),2.0)</f>
        <v>2</v>
      </c>
      <c r="E476" s="93" t="str">
        <f>IFERROR(__xludf.DUMMYFUNCTION("""COMPUTED_VALUE"""),"House 6")</f>
        <v>House 6</v>
      </c>
      <c r="F476" s="93" t="str">
        <f>IFERROR(__xludf.DUMMYFUNCTION("""COMPUTED_VALUE"""),"Benjamin Flicker")</f>
        <v>Benjamin Flicker</v>
      </c>
      <c r="G476" s="93" t="str">
        <f>IFERROR(__xludf.DUMMYFUNCTION("""COMPUTED_VALUE"""),"Benjamin Flicker")</f>
        <v>Benjamin Flicker</v>
      </c>
      <c r="H476" s="93">
        <f>IFERROR(__xludf.DUMMYFUNCTION("""COMPUTED_VALUE"""),9.175728671E9)</f>
        <v>9175728671</v>
      </c>
      <c r="I476" s="93" t="str">
        <f>IFERROR(__xludf.DUMMYFUNCTION("""COMPUTED_VALUE"""),"3PM-5PM")</f>
        <v>3PM-5PM</v>
      </c>
      <c r="J476" s="93">
        <f>IFERROR(__xludf.DUMMYFUNCTION("""COMPUTED_VALUE"""),1.0)</f>
        <v>1</v>
      </c>
      <c r="K476" s="93" t="str">
        <f>IFERROR(__xludf.DUMMYFUNCTION("""COMPUTED_VALUE"""),"Complete")</f>
        <v>Complete</v>
      </c>
      <c r="L476" s="93"/>
      <c r="M476" s="94">
        <f>IFERROR(__xludf.DUMMYFUNCTION("""COMPUTED_VALUE"""),46140.83001157407)</f>
        <v>46140.83001</v>
      </c>
      <c r="N476" s="93">
        <f>IFERROR(__xludf.DUMMYFUNCTION("""COMPUTED_VALUE"""),198.0)</f>
        <v>198</v>
      </c>
      <c r="O476" s="93"/>
      <c r="P476" s="93" t="str">
        <f>IFERROR(__xludf.DUMMYFUNCTION("""COMPUTED_VALUE"""),"Kit Delivery")</f>
        <v>Kit Delivery</v>
      </c>
      <c r="Q476" s="93"/>
      <c r="R476" s="93"/>
      <c r="S476" s="93" t="str">
        <f>IFERROR(__xludf.DUMMYFUNCTION("""COMPUTED_VALUE"""),"Dispatch_Images/KIT--17898.Photos.005510.jpg")</f>
        <v>Dispatch_Images/KIT--17898.Photos.005510.jpg</v>
      </c>
      <c r="T476" s="95">
        <f>IFERROR(__xludf.DUMMYFUNCTION("""COMPUTED_VALUE"""),46140.83545138889)</f>
        <v>46140.83545</v>
      </c>
      <c r="U476" s="93"/>
      <c r="V476" s="93"/>
      <c r="W476" s="93"/>
      <c r="X476" s="93"/>
      <c r="Y476" s="93"/>
      <c r="Z476" s="93"/>
    </row>
    <row r="477">
      <c r="A477" s="93" t="str">
        <f>IFERROR(__xludf.DUMMYFUNCTION("""COMPUTED_VALUE"""),"KIT-#17741")</f>
        <v>KIT-#17741</v>
      </c>
      <c r="B477" s="94">
        <f>IFERROR(__xludf.DUMMYFUNCTION("""COMPUTED_VALUE"""),46148.0)</f>
        <v>46148</v>
      </c>
      <c r="C477" s="93" t="str">
        <f>IFERROR(__xludf.DUMMYFUNCTION("""COMPUTED_VALUE"""),"Kit Delivery")</f>
        <v>Kit Delivery</v>
      </c>
      <c r="D477" s="93">
        <f>IFERROR(__xludf.DUMMYFUNCTION("""COMPUTED_VALUE"""),3.0)</f>
        <v>3</v>
      </c>
      <c r="E477" s="93" t="str">
        <f>IFERROR(__xludf.DUMMYFUNCTION("""COMPUTED_VALUE"""),"Umrath")</f>
        <v>Umrath</v>
      </c>
      <c r="F477" s="93">
        <f>IFERROR(__xludf.DUMMYFUNCTION("""COMPUTED_VALUE"""),2203.0)</f>
        <v>2203</v>
      </c>
      <c r="G477" s="93" t="str">
        <f>IFERROR(__xludf.DUMMYFUNCTION("""COMPUTED_VALUE"""),"Kavya Bhatia")</f>
        <v>Kavya Bhatia</v>
      </c>
      <c r="H477" s="93">
        <f>IFERROR(__xludf.DUMMYFUNCTION("""COMPUTED_VALUE"""),3.479312069E9)</f>
        <v>3479312069</v>
      </c>
      <c r="I477" s="93" t="str">
        <f>IFERROR(__xludf.DUMMYFUNCTION("""COMPUTED_VALUE"""),"3PM-5PM")</f>
        <v>3PM-5PM</v>
      </c>
      <c r="J477" s="93">
        <f>IFERROR(__xludf.DUMMYFUNCTION("""COMPUTED_VALUE"""),1.0)</f>
        <v>1</v>
      </c>
      <c r="K477" s="93" t="str">
        <f>IFERROR(__xludf.DUMMYFUNCTION("""COMPUTED_VALUE"""),"Complete")</f>
        <v>Complete</v>
      </c>
      <c r="L477" s="93"/>
      <c r="M477" s="94">
        <f>IFERROR(__xludf.DUMMYFUNCTION("""COMPUTED_VALUE"""),46141.84180555555)</f>
        <v>46141.84181</v>
      </c>
      <c r="N477" s="93">
        <f>IFERROR(__xludf.DUMMYFUNCTION("""COMPUTED_VALUE"""),100.0)</f>
        <v>100</v>
      </c>
      <c r="O477" s="93"/>
      <c r="P477" s="93" t="str">
        <f>IFERROR(__xludf.DUMMYFUNCTION("""COMPUTED_VALUE"""),"Kit Delivery")</f>
        <v>Kit Delivery</v>
      </c>
      <c r="Q477" s="93"/>
      <c r="R477" s="93"/>
      <c r="S477" s="93" t="str">
        <f>IFERROR(__xludf.DUMMYFUNCTION("""COMPUTED_VALUE"""),"Dispatch_Images/KIT--17741.Photos.011208.jpg")</f>
        <v>Dispatch_Images/KIT--17741.Photos.011208.jpg</v>
      </c>
      <c r="T477" s="95">
        <f>IFERROR(__xludf.DUMMYFUNCTION("""COMPUTED_VALUE"""),46141.84240740741)</f>
        <v>46141.84241</v>
      </c>
      <c r="U477" s="93"/>
      <c r="V477" s="93"/>
      <c r="W477" s="93"/>
      <c r="X477" s="93"/>
      <c r="Y477" s="93"/>
      <c r="Z477" s="93"/>
    </row>
    <row r="478">
      <c r="A478" s="93" t="str">
        <f>IFERROR(__xludf.DUMMYFUNCTION("""COMPUTED_VALUE"""),"KIT-#17419")</f>
        <v>KIT-#17419</v>
      </c>
      <c r="B478" s="94">
        <f>IFERROR(__xludf.DUMMYFUNCTION("""COMPUTED_VALUE"""),46148.0)</f>
        <v>46148</v>
      </c>
      <c r="C478" s="93" t="str">
        <f>IFERROR(__xludf.DUMMYFUNCTION("""COMPUTED_VALUE"""),"Kit Delivery")</f>
        <v>Kit Delivery</v>
      </c>
      <c r="D478" s="93">
        <f>IFERROR(__xludf.DUMMYFUNCTION("""COMPUTED_VALUE"""),2.0)</f>
        <v>2</v>
      </c>
      <c r="E478" s="93" t="str">
        <f>IFERROR(__xludf.DUMMYFUNCTION("""COMPUTED_VALUE"""),"Millbrook Bldg. 4")</f>
        <v>Millbrook Bldg. 4</v>
      </c>
      <c r="F478" s="93" t="str">
        <f>IFERROR(__xludf.DUMMYFUNCTION("""COMPUTED_VALUE"""),"103H")</f>
        <v>103H</v>
      </c>
      <c r="G478" s="93" t="str">
        <f>IFERROR(__xludf.DUMMYFUNCTION("""COMPUTED_VALUE"""),"Sophia Weinberg")</f>
        <v>Sophia Weinberg</v>
      </c>
      <c r="H478" s="93">
        <f>IFERROR(__xludf.DUMMYFUNCTION("""COMPUTED_VALUE"""),4.158068294E9)</f>
        <v>4158068294</v>
      </c>
      <c r="I478" s="93" t="str">
        <f>IFERROR(__xludf.DUMMYFUNCTION("""COMPUTED_VALUE"""),"1PM-3PM")</f>
        <v>1PM-3PM</v>
      </c>
      <c r="J478" s="93">
        <f>IFERROR(__xludf.DUMMYFUNCTION("""COMPUTED_VALUE"""),1.0)</f>
        <v>1</v>
      </c>
      <c r="K478" s="93" t="str">
        <f>IFERROR(__xludf.DUMMYFUNCTION("""COMPUTED_VALUE"""),"Complete")</f>
        <v>Complete</v>
      </c>
      <c r="L478" s="93"/>
      <c r="M478" s="94">
        <f>IFERROR(__xludf.DUMMYFUNCTION("""COMPUTED_VALUE"""),46142.83131944445)</f>
        <v>46142.83132</v>
      </c>
      <c r="N478" s="93">
        <f>IFERROR(__xludf.DUMMYFUNCTION("""COMPUTED_VALUE"""),158.0)</f>
        <v>158</v>
      </c>
      <c r="O478" s="93"/>
      <c r="P478" s="93" t="str">
        <f>IFERROR(__xludf.DUMMYFUNCTION("""COMPUTED_VALUE"""),"Kit Delivery")</f>
        <v>Kit Delivery</v>
      </c>
      <c r="Q478" s="93" t="str">
        <f>IFERROR(__xludf.DUMMYFUNCTION("""COMPUTED_VALUE"""),"Will also have WashU Wash items for pick-up + refrigerator rental return.")</f>
        <v>Will also have WashU Wash items for pick-up + refrigerator rental return.</v>
      </c>
      <c r="R478" s="93"/>
      <c r="S478" s="93" t="str">
        <f>IFERROR(__xludf.DUMMYFUNCTION("""COMPUTED_VALUE"""),"Dispatch_Images/KIT--17419.Photos.005702.jpg")</f>
        <v>Dispatch_Images/KIT--17419.Photos.005702.jpg</v>
      </c>
      <c r="T478" s="95">
        <f>IFERROR(__xludf.DUMMYFUNCTION("""COMPUTED_VALUE"""),46142.83795138889)</f>
        <v>46142.83795</v>
      </c>
      <c r="U478" s="93"/>
      <c r="V478" s="93"/>
      <c r="W478" s="93"/>
      <c r="X478" s="93"/>
      <c r="Y478" s="93"/>
      <c r="Z478" s="93"/>
    </row>
    <row r="479">
      <c r="A479" s="93" t="str">
        <f>IFERROR(__xludf.DUMMYFUNCTION("""COMPUTED_VALUE"""),"KIT-#17302")</f>
        <v>KIT-#17302</v>
      </c>
      <c r="B479" s="94">
        <f>IFERROR(__xludf.DUMMYFUNCTION("""COMPUTED_VALUE"""),46148.0)</f>
        <v>46148</v>
      </c>
      <c r="C479" s="93" t="str">
        <f>IFERROR(__xludf.DUMMYFUNCTION("""COMPUTED_VALUE"""),"Kit Delivery")</f>
        <v>Kit Delivery</v>
      </c>
      <c r="D479" s="93">
        <f>IFERROR(__xludf.DUMMYFUNCTION("""COMPUTED_VALUE"""),2.0)</f>
        <v>2</v>
      </c>
      <c r="E479" s="93" t="str">
        <f>IFERROR(__xludf.DUMMYFUNCTION("""COMPUTED_VALUE"""),"Millbrook Bldg. 4")</f>
        <v>Millbrook Bldg. 4</v>
      </c>
      <c r="F479" s="93" t="str">
        <f>IFERROR(__xludf.DUMMYFUNCTION("""COMPUTED_VALUE"""),"103A")</f>
        <v>103A</v>
      </c>
      <c r="G479" s="93" t="str">
        <f>IFERROR(__xludf.DUMMYFUNCTION("""COMPUTED_VALUE"""),"Gayla Aspinall")</f>
        <v>Gayla Aspinall</v>
      </c>
      <c r="H479" s="93">
        <f>IFERROR(__xludf.DUMMYFUNCTION("""COMPUTED_VALUE"""),3.107955251E9)</f>
        <v>3107955251</v>
      </c>
      <c r="I479" s="93" t="str">
        <f>IFERROR(__xludf.DUMMYFUNCTION("""COMPUTED_VALUE"""),"9AM-11AM")</f>
        <v>9AM-11AM</v>
      </c>
      <c r="J479" s="93">
        <f>IFERROR(__xludf.DUMMYFUNCTION("""COMPUTED_VALUE"""),2.0)</f>
        <v>2</v>
      </c>
      <c r="K479" s="93" t="str">
        <f>IFERROR(__xludf.DUMMYFUNCTION("""COMPUTED_VALUE"""),"Complete")</f>
        <v>Complete</v>
      </c>
      <c r="L479" s="93"/>
      <c r="M479" s="94">
        <f>IFERROR(__xludf.DUMMYFUNCTION("""COMPUTED_VALUE"""),46142.83454861111)</f>
        <v>46142.83455</v>
      </c>
      <c r="N479" s="93">
        <f>IFERROR(__xludf.DUMMYFUNCTION("""COMPUTED_VALUE"""),156.0)</f>
        <v>156</v>
      </c>
      <c r="O479" s="93"/>
      <c r="P479" s="93" t="str">
        <f>IFERROR(__xludf.DUMMYFUNCTION("""COMPUTED_VALUE"""),"Kit Delivery")</f>
        <v>Kit Delivery</v>
      </c>
      <c r="Q479" s="93"/>
      <c r="R479" s="93"/>
      <c r="S479" s="93" t="str">
        <f>IFERROR(__xludf.DUMMYFUNCTION("""COMPUTED_VALUE"""),"Dispatch_Images/KIT--17302.Photos.010141.jpg")</f>
        <v>Dispatch_Images/KIT--17302.Photos.010141.jpg</v>
      </c>
      <c r="T479" s="95">
        <f>IFERROR(__xludf.DUMMYFUNCTION("""COMPUTED_VALUE"""),46142.83795138889)</f>
        <v>46142.83795</v>
      </c>
      <c r="U479" s="93"/>
      <c r="V479" s="93"/>
      <c r="W479" s="93"/>
      <c r="X479" s="93"/>
      <c r="Y479" s="93"/>
      <c r="Z479" s="93"/>
    </row>
    <row r="480">
      <c r="A480" s="93" t="str">
        <f>IFERROR(__xludf.DUMMYFUNCTION("""COMPUTED_VALUE"""),"KIT-#17375")</f>
        <v>KIT-#17375</v>
      </c>
      <c r="B480" s="94">
        <f>IFERROR(__xludf.DUMMYFUNCTION("""COMPUTED_VALUE"""),46148.0)</f>
        <v>46148</v>
      </c>
      <c r="C480" s="93" t="str">
        <f>IFERROR(__xludf.DUMMYFUNCTION("""COMPUTED_VALUE"""),"Kit Delivery")</f>
        <v>Kit Delivery</v>
      </c>
      <c r="D480" s="93">
        <f>IFERROR(__xludf.DUMMYFUNCTION("""COMPUTED_VALUE"""),2.0)</f>
        <v>2</v>
      </c>
      <c r="E480" s="93" t="str">
        <f>IFERROR(__xludf.DUMMYFUNCTION("""COMPUTED_VALUE"""),"Millbrook Bldg. 4")</f>
        <v>Millbrook Bldg. 4</v>
      </c>
      <c r="F480" s="93" t="str">
        <f>IFERROR(__xludf.DUMMYFUNCTION("""COMPUTED_VALUE"""),"103E")</f>
        <v>103E</v>
      </c>
      <c r="G480" s="93" t="str">
        <f>IFERROR(__xludf.DUMMYFUNCTION("""COMPUTED_VALUE"""),"Aaliya Malhotra")</f>
        <v>Aaliya Malhotra</v>
      </c>
      <c r="H480" s="93">
        <f>IFERROR(__xludf.DUMMYFUNCTION("""COMPUTED_VALUE"""),9.179071764E9)</f>
        <v>9179071764</v>
      </c>
      <c r="I480" s="93" t="str">
        <f>IFERROR(__xludf.DUMMYFUNCTION("""COMPUTED_VALUE"""),"3PM-5PM")</f>
        <v>3PM-5PM</v>
      </c>
      <c r="J480" s="93">
        <f>IFERROR(__xludf.DUMMYFUNCTION("""COMPUTED_VALUE"""),2.0)</f>
        <v>2</v>
      </c>
      <c r="K480" s="93" t="str">
        <f>IFERROR(__xludf.DUMMYFUNCTION("""COMPUTED_VALUE"""),"Complete")</f>
        <v>Complete</v>
      </c>
      <c r="L480" s="93"/>
      <c r="M480" s="94">
        <f>IFERROR(__xludf.DUMMYFUNCTION("""COMPUTED_VALUE"""),46142.83913194445)</f>
        <v>46142.83913</v>
      </c>
      <c r="N480" s="93">
        <f>IFERROR(__xludf.DUMMYFUNCTION("""COMPUTED_VALUE"""),157.0)</f>
        <v>157</v>
      </c>
      <c r="O480" s="93"/>
      <c r="P480" s="93" t="str">
        <f>IFERROR(__xludf.DUMMYFUNCTION("""COMPUTED_VALUE"""),"Kit Delivery")</f>
        <v>Kit Delivery</v>
      </c>
      <c r="Q480" s="93"/>
      <c r="R480" s="93"/>
      <c r="S480" s="93" t="str">
        <f>IFERROR(__xludf.DUMMYFUNCTION("""COMPUTED_VALUE"""),"Dispatch_Images/KIT--17375.Photos.010816.jpg")</f>
        <v>Dispatch_Images/KIT--17375.Photos.010816.jpg</v>
      </c>
      <c r="T480" s="95">
        <f>IFERROR(__xludf.DUMMYFUNCTION("""COMPUTED_VALUE"""),46142.84488425926)</f>
        <v>46142.84488</v>
      </c>
      <c r="U480" s="93"/>
      <c r="V480" s="93"/>
      <c r="W480" s="93"/>
      <c r="X480" s="93"/>
      <c r="Y480" s="93"/>
      <c r="Z480" s="93"/>
    </row>
    <row r="481">
      <c r="A481" s="93" t="str">
        <f>IFERROR(__xludf.DUMMYFUNCTION("""COMPUTED_VALUE"""),"KIT-#17341")</f>
        <v>KIT-#17341</v>
      </c>
      <c r="B481" s="94">
        <f>IFERROR(__xludf.DUMMYFUNCTION("""COMPUTED_VALUE"""),46148.0)</f>
        <v>46148</v>
      </c>
      <c r="C481" s="93" t="str">
        <f>IFERROR(__xludf.DUMMYFUNCTION("""COMPUTED_VALUE"""),"Kit Delivery")</f>
        <v>Kit Delivery</v>
      </c>
      <c r="D481" s="93">
        <f>IFERROR(__xludf.DUMMYFUNCTION("""COMPUTED_VALUE"""),2.0)</f>
        <v>2</v>
      </c>
      <c r="E481" s="93" t="str">
        <f>IFERROR(__xludf.DUMMYFUNCTION("""COMPUTED_VALUE"""),"Millbrook Bldg. 4")</f>
        <v>Millbrook Bldg. 4</v>
      </c>
      <c r="F481" s="93">
        <f>IFERROR(__xludf.DUMMYFUNCTION("""COMPUTED_VALUE"""),103.0)</f>
        <v>103</v>
      </c>
      <c r="G481" s="93" t="str">
        <f>IFERROR(__xludf.DUMMYFUNCTION("""COMPUTED_VALUE"""),"Jacqueline Isaacson")</f>
        <v>Jacqueline Isaacson</v>
      </c>
      <c r="H481" s="93">
        <f>IFERROR(__xludf.DUMMYFUNCTION("""COMPUTED_VALUE"""),9.179727858E9)</f>
        <v>9179727858</v>
      </c>
      <c r="I481" s="93" t="str">
        <f>IFERROR(__xludf.DUMMYFUNCTION("""COMPUTED_VALUE"""),"10AM-12PM")</f>
        <v>10AM-12PM</v>
      </c>
      <c r="J481" s="93">
        <f>IFERROR(__xludf.DUMMYFUNCTION("""COMPUTED_VALUE"""),1.0)</f>
        <v>1</v>
      </c>
      <c r="K481" s="93" t="str">
        <f>IFERROR(__xludf.DUMMYFUNCTION("""COMPUTED_VALUE"""),"Complete")</f>
        <v>Complete</v>
      </c>
      <c r="L481" s="93"/>
      <c r="M481" s="94">
        <f>IFERROR(__xludf.DUMMYFUNCTION("""COMPUTED_VALUE"""),46142.84203703704)</f>
        <v>46142.84204</v>
      </c>
      <c r="N481" s="93">
        <f>IFERROR(__xludf.DUMMYFUNCTION("""COMPUTED_VALUE"""),154.0)</f>
        <v>154</v>
      </c>
      <c r="O481" s="93"/>
      <c r="P481" s="93" t="str">
        <f>IFERROR(__xludf.DUMMYFUNCTION("""COMPUTED_VALUE"""),"Kit Delivery")</f>
        <v>Kit Delivery</v>
      </c>
      <c r="Q481" s="93"/>
      <c r="R481" s="93"/>
      <c r="S481" s="93" t="str">
        <f>IFERROR(__xludf.DUMMYFUNCTION("""COMPUTED_VALUE"""),"Dispatch_Images/KIT--17341.Photos.011229.jpg")</f>
        <v>Dispatch_Images/KIT--17341.Photos.011229.jpg</v>
      </c>
      <c r="T481" s="95">
        <f>IFERROR(__xludf.DUMMYFUNCTION("""COMPUTED_VALUE"""),46142.84488425926)</f>
        <v>46142.84488</v>
      </c>
      <c r="U481" s="93"/>
      <c r="V481" s="93"/>
      <c r="W481" s="93"/>
      <c r="X481" s="93"/>
      <c r="Y481" s="93"/>
      <c r="Z481" s="93"/>
    </row>
    <row r="482">
      <c r="A482" s="93" t="str">
        <f>IFERROR(__xludf.DUMMYFUNCTION("""COMPUTED_VALUE"""),"KIT-#17346")</f>
        <v>KIT-#17346</v>
      </c>
      <c r="B482" s="94">
        <f>IFERROR(__xludf.DUMMYFUNCTION("""COMPUTED_VALUE"""),46148.0)</f>
        <v>46148</v>
      </c>
      <c r="C482" s="93" t="str">
        <f>IFERROR(__xludf.DUMMYFUNCTION("""COMPUTED_VALUE"""),"Kit Delivery")</f>
        <v>Kit Delivery</v>
      </c>
      <c r="D482" s="93">
        <f>IFERROR(__xludf.DUMMYFUNCTION("""COMPUTED_VALUE"""),2.0)</f>
        <v>2</v>
      </c>
      <c r="E482" s="93" t="str">
        <f>IFERROR(__xludf.DUMMYFUNCTION("""COMPUTED_VALUE"""),"Lopata")</f>
        <v>Lopata</v>
      </c>
      <c r="F482" s="93">
        <f>IFERROR(__xludf.DUMMYFUNCTION("""COMPUTED_VALUE"""),3023.0)</f>
        <v>3023</v>
      </c>
      <c r="G482" s="93" t="str">
        <f>IFERROR(__xludf.DUMMYFUNCTION("""COMPUTED_VALUE"""),"Emi Newman")</f>
        <v>Emi Newman</v>
      </c>
      <c r="H482" s="93">
        <f>IFERROR(__xludf.DUMMYFUNCTION("""COMPUTED_VALUE"""),9.179915326E9)</f>
        <v>9179915326</v>
      </c>
      <c r="I482" s="93" t="str">
        <f>IFERROR(__xludf.DUMMYFUNCTION("""COMPUTED_VALUE"""),"3PM-5PM")</f>
        <v>3PM-5PM</v>
      </c>
      <c r="J482" s="93">
        <f>IFERROR(__xludf.DUMMYFUNCTION("""COMPUTED_VALUE"""),1.0)</f>
        <v>1</v>
      </c>
      <c r="K482" s="93" t="str">
        <f>IFERROR(__xludf.DUMMYFUNCTION("""COMPUTED_VALUE"""),"Complete")</f>
        <v>Complete</v>
      </c>
      <c r="L482" s="93"/>
      <c r="M482" s="94">
        <f>IFERROR(__xludf.DUMMYFUNCTION("""COMPUTED_VALUE"""),46142.87065972222)</f>
        <v>46142.87066</v>
      </c>
      <c r="N482" s="93">
        <f>IFERROR(__xludf.DUMMYFUNCTION("""COMPUTED_VALUE"""),119.0)</f>
        <v>119</v>
      </c>
      <c r="O482" s="93"/>
      <c r="P482" s="93" t="str">
        <f>IFERROR(__xludf.DUMMYFUNCTION("""COMPUTED_VALUE"""),"Kit Delivery")</f>
        <v>Kit Delivery</v>
      </c>
      <c r="Q482" s="93"/>
      <c r="R482" s="93"/>
      <c r="S482" s="93" t="str">
        <f>IFERROR(__xludf.DUMMYFUNCTION("""COMPUTED_VALUE"""),"Dispatch_Images/KIT--17346.Photos.015341.jpg")</f>
        <v>Dispatch_Images/KIT--17346.Photos.015341.jpg</v>
      </c>
      <c r="T482" s="95">
        <f>IFERROR(__xludf.DUMMYFUNCTION("""COMPUTED_VALUE"""),46142.872662037036)</f>
        <v>46142.87266</v>
      </c>
      <c r="U482" s="93"/>
      <c r="V482" s="93"/>
      <c r="W482" s="93"/>
      <c r="X482" s="93"/>
      <c r="Y482" s="93"/>
      <c r="Z482" s="93"/>
    </row>
    <row r="483">
      <c r="A483" s="93" t="str">
        <f>IFERROR(__xludf.DUMMYFUNCTION("""COMPUTED_VALUE"""),"KIT-#17928")</f>
        <v>KIT-#17928</v>
      </c>
      <c r="B483" s="94">
        <f>IFERROR(__xludf.DUMMYFUNCTION("""COMPUTED_VALUE"""),46148.0)</f>
        <v>46148</v>
      </c>
      <c r="C483" s="93" t="str">
        <f>IFERROR(__xludf.DUMMYFUNCTION("""COMPUTED_VALUE"""),"Kit Delivery")</f>
        <v>Kit Delivery</v>
      </c>
      <c r="D483" s="93">
        <f>IFERROR(__xludf.DUMMYFUNCTION("""COMPUTED_VALUE"""),2.0)</f>
        <v>2</v>
      </c>
      <c r="E483" s="93" t="str">
        <f>IFERROR(__xludf.DUMMYFUNCTION("""COMPUTED_VALUE"""),"Lopata")</f>
        <v>Lopata</v>
      </c>
      <c r="F483" s="93">
        <f>IFERROR(__xludf.DUMMYFUNCTION("""COMPUTED_VALUE"""),3024.0)</f>
        <v>3024</v>
      </c>
      <c r="G483" s="93" t="str">
        <f>IFERROR(__xludf.DUMMYFUNCTION("""COMPUTED_VALUE"""),"Charlotte Allinson")</f>
        <v>Charlotte Allinson</v>
      </c>
      <c r="H483" s="93">
        <f>IFERROR(__xludf.DUMMYFUNCTION("""COMPUTED_VALUE"""),7.18715543E9)</f>
        <v>7187155430</v>
      </c>
      <c r="I483" s="93" t="str">
        <f>IFERROR(__xludf.DUMMYFUNCTION("""COMPUTED_VALUE"""),"10AM-12PM")</f>
        <v>10AM-12PM</v>
      </c>
      <c r="J483" s="93">
        <f>IFERROR(__xludf.DUMMYFUNCTION("""COMPUTED_VALUE"""),1.0)</f>
        <v>1</v>
      </c>
      <c r="K483" s="93" t="str">
        <f>IFERROR(__xludf.DUMMYFUNCTION("""COMPUTED_VALUE"""),"Complete")</f>
        <v>Complete</v>
      </c>
      <c r="L483" s="93"/>
      <c r="M483" s="94">
        <f>IFERROR(__xludf.DUMMYFUNCTION("""COMPUTED_VALUE"""),46142.870891203704)</f>
        <v>46142.87089</v>
      </c>
      <c r="N483" s="93">
        <f>IFERROR(__xludf.DUMMYFUNCTION("""COMPUTED_VALUE"""),121.0)</f>
        <v>121</v>
      </c>
      <c r="O483" s="93" t="str">
        <f>IFERROR(__xludf.DUMMYFUNCTION("""COMPUTED_VALUE"""),"322 Central Park West
New York, NY 10025")</f>
        <v>322 Central Park West
New York, NY 10025</v>
      </c>
      <c r="P483" s="93" t="str">
        <f>IFERROR(__xludf.DUMMYFUNCTION("""COMPUTED_VALUE"""),"Kit Delivery")</f>
        <v>Kit Delivery</v>
      </c>
      <c r="Q483" s="93"/>
      <c r="R483" s="93"/>
      <c r="S483" s="93" t="str">
        <f>IFERROR(__xludf.DUMMYFUNCTION("""COMPUTED_VALUE"""),"Dispatch_Images/KIT--17928.Photos.015402.jpg")</f>
        <v>Dispatch_Images/KIT--17928.Photos.015402.jpg</v>
      </c>
      <c r="T483" s="95">
        <f>IFERROR(__xludf.DUMMYFUNCTION("""COMPUTED_VALUE"""),46142.872662037036)</f>
        <v>46142.87266</v>
      </c>
      <c r="U483" s="93"/>
      <c r="V483" s="93"/>
      <c r="W483" s="93"/>
      <c r="X483" s="93"/>
      <c r="Y483" s="93"/>
      <c r="Z483" s="93"/>
    </row>
    <row r="484">
      <c r="A484" s="93" t="str">
        <f>IFERROR(__xludf.DUMMYFUNCTION("""COMPUTED_VALUE"""),"KIT-#18003")</f>
        <v>KIT-#18003</v>
      </c>
      <c r="B484" s="94">
        <f>IFERROR(__xludf.DUMMYFUNCTION("""COMPUTED_VALUE"""),46148.0)</f>
        <v>46148</v>
      </c>
      <c r="C484" s="93" t="str">
        <f>IFERROR(__xludf.DUMMYFUNCTION("""COMPUTED_VALUE"""),"Kit Delivery")</f>
        <v>Kit Delivery</v>
      </c>
      <c r="D484" s="93">
        <f>IFERROR(__xludf.DUMMYFUNCTION("""COMPUTED_VALUE"""),2.0)</f>
        <v>2</v>
      </c>
      <c r="E484" s="93" t="str">
        <f>IFERROR(__xludf.DUMMYFUNCTION("""COMPUTED_VALUE"""),"Village House")</f>
        <v>Village House</v>
      </c>
      <c r="F484" s="93" t="str">
        <f>IFERROR(__xludf.DUMMYFUNCTION("""COMPUTED_VALUE"""),"3101 - a")</f>
        <v>3101 - a</v>
      </c>
      <c r="G484" s="93" t="str">
        <f>IFERROR(__xludf.DUMMYFUNCTION("""COMPUTED_VALUE"""),"Andrew Shane")</f>
        <v>Andrew Shane</v>
      </c>
      <c r="H484" s="93">
        <f>IFERROR(__xludf.DUMMYFUNCTION("""COMPUTED_VALUE"""),9.143432526E9)</f>
        <v>9143432526</v>
      </c>
      <c r="I484" s="93" t="str">
        <f>IFERROR(__xludf.DUMMYFUNCTION("""COMPUTED_VALUE"""),"9AM-11AM")</f>
        <v>9AM-11AM</v>
      </c>
      <c r="J484" s="93">
        <f>IFERROR(__xludf.DUMMYFUNCTION("""COMPUTED_VALUE"""),1.0)</f>
        <v>1</v>
      </c>
      <c r="K484" s="93" t="str">
        <f>IFERROR(__xludf.DUMMYFUNCTION("""COMPUTED_VALUE"""),"Complete")</f>
        <v>Complete</v>
      </c>
      <c r="L484" s="93"/>
      <c r="M484" s="94">
        <f>IFERROR(__xludf.DUMMYFUNCTION("""COMPUTED_VALUE"""),46142.88990740741)</f>
        <v>46142.88991</v>
      </c>
      <c r="N484" s="93">
        <f>IFERROR(__xludf.DUMMYFUNCTION("""COMPUTED_VALUE"""),135.0)</f>
        <v>135</v>
      </c>
      <c r="O484" s="93"/>
      <c r="P484" s="93" t="str">
        <f>IFERROR(__xludf.DUMMYFUNCTION("""COMPUTED_VALUE"""),"Kit Delivery")</f>
        <v>Kit Delivery</v>
      </c>
      <c r="Q484" s="93"/>
      <c r="R484" s="93"/>
      <c r="S484" s="93" t="str">
        <f>IFERROR(__xludf.DUMMYFUNCTION("""COMPUTED_VALUE"""),"Dispatch_Images/KIT--18003.Photos.022124.jpg")</f>
        <v>Dispatch_Images/KIT--18003.Photos.022124.jpg</v>
      </c>
      <c r="T484" s="95">
        <f>IFERROR(__xludf.DUMMYFUNCTION("""COMPUTED_VALUE"""),46142.89349537037)</f>
        <v>46142.8935</v>
      </c>
      <c r="U484" s="93"/>
      <c r="V484" s="93"/>
      <c r="W484" s="93"/>
      <c r="X484" s="93"/>
      <c r="Y484" s="93"/>
      <c r="Z484" s="93"/>
    </row>
    <row r="485">
      <c r="A485" s="93" t="str">
        <f>IFERROR(__xludf.DUMMYFUNCTION("""COMPUTED_VALUE"""),"KIT-#17296")</f>
        <v>KIT-#17296</v>
      </c>
      <c r="B485" s="94">
        <f>IFERROR(__xludf.DUMMYFUNCTION("""COMPUTED_VALUE"""),46148.0)</f>
        <v>46148</v>
      </c>
      <c r="C485" s="93" t="str">
        <f>IFERROR(__xludf.DUMMYFUNCTION("""COMPUTED_VALUE"""),"Kit Delivery")</f>
        <v>Kit Delivery</v>
      </c>
      <c r="D485" s="93">
        <f>IFERROR(__xludf.DUMMYFUNCTION("""COMPUTED_VALUE"""),2.0)</f>
        <v>2</v>
      </c>
      <c r="E485" s="93" t="str">
        <f>IFERROR(__xludf.DUMMYFUNCTION("""COMPUTED_VALUE"""),"Lopata")</f>
        <v>Lopata</v>
      </c>
      <c r="F485" s="93">
        <f>IFERROR(__xludf.DUMMYFUNCTION("""COMPUTED_VALUE"""),3094.0)</f>
        <v>3094</v>
      </c>
      <c r="G485" s="93" t="str">
        <f>IFERROR(__xludf.DUMMYFUNCTION("""COMPUTED_VALUE"""),"Natalie Beldner")</f>
        <v>Natalie Beldner</v>
      </c>
      <c r="H485" s="93">
        <f>IFERROR(__xludf.DUMMYFUNCTION("""COMPUTED_VALUE"""),9.142681108E9)</f>
        <v>9142681108</v>
      </c>
      <c r="I485" s="93" t="str">
        <f>IFERROR(__xludf.DUMMYFUNCTION("""COMPUTED_VALUE"""),"9AM-11AM")</f>
        <v>9AM-11AM</v>
      </c>
      <c r="J485" s="93">
        <f>IFERROR(__xludf.DUMMYFUNCTION("""COMPUTED_VALUE"""),1.0)</f>
        <v>1</v>
      </c>
      <c r="K485" s="93" t="str">
        <f>IFERROR(__xludf.DUMMYFUNCTION("""COMPUTED_VALUE"""),"Complete")</f>
        <v>Complete</v>
      </c>
      <c r="L485" s="93"/>
      <c r="M485" s="94">
        <f>IFERROR(__xludf.DUMMYFUNCTION("""COMPUTED_VALUE"""),46142.9528125)</f>
        <v>46142.95281</v>
      </c>
      <c r="N485" s="93">
        <f>IFERROR(__xludf.DUMMYFUNCTION("""COMPUTED_VALUE"""),127.0)</f>
        <v>127</v>
      </c>
      <c r="O485" s="93"/>
      <c r="P485" s="93" t="str">
        <f>IFERROR(__xludf.DUMMYFUNCTION("""COMPUTED_VALUE"""),"Kit Delivery")</f>
        <v>Kit Delivery</v>
      </c>
      <c r="Q485" s="93"/>
      <c r="R485" s="93"/>
      <c r="S485" s="93" t="str">
        <f>IFERROR(__xludf.DUMMYFUNCTION("""COMPUTED_VALUE"""),"Dispatch_Images/KIT--17296.Photos.035200.jpg")</f>
        <v>Dispatch_Images/KIT--17296.Photos.035200.jpg</v>
      </c>
      <c r="T485" s="95">
        <f>IFERROR(__xludf.DUMMYFUNCTION("""COMPUTED_VALUE"""),46142.95599537037)</f>
        <v>46142.956</v>
      </c>
      <c r="U485" s="93"/>
      <c r="V485" s="93"/>
      <c r="W485" s="93"/>
      <c r="X485" s="93"/>
      <c r="Y485" s="93"/>
      <c r="Z485" s="93"/>
    </row>
    <row r="486">
      <c r="A486" s="93" t="str">
        <f>IFERROR(__xludf.DUMMYFUNCTION("""COMPUTED_VALUE"""),"KIT-#17655")</f>
        <v>KIT-#17655</v>
      </c>
      <c r="B486" s="94">
        <f>IFERROR(__xludf.DUMMYFUNCTION("""COMPUTED_VALUE"""),46148.0)</f>
        <v>46148</v>
      </c>
      <c r="C486" s="93" t="str">
        <f>IFERROR(__xludf.DUMMYFUNCTION("""COMPUTED_VALUE"""),"Kit Delivery")</f>
        <v>Kit Delivery</v>
      </c>
      <c r="D486" s="93">
        <f>IFERROR(__xludf.DUMMYFUNCTION("""COMPUTED_VALUE"""),2.0)</f>
        <v>2</v>
      </c>
      <c r="E486" s="93" t="str">
        <f>IFERROR(__xludf.DUMMYFUNCTION("""COMPUTED_VALUE"""),"Lopata")</f>
        <v>Lopata</v>
      </c>
      <c r="F486" s="93">
        <f>IFERROR(__xludf.DUMMYFUNCTION("""COMPUTED_VALUE"""),2031.0)</f>
        <v>2031</v>
      </c>
      <c r="G486" s="93" t="str">
        <f>IFERROR(__xludf.DUMMYFUNCTION("""COMPUTED_VALUE"""),"Emmanuelle Linden")</f>
        <v>Emmanuelle Linden</v>
      </c>
      <c r="H486" s="93">
        <f>IFERROR(__xludf.DUMMYFUNCTION("""COMPUTED_VALUE"""),9.292909646E9)</f>
        <v>9292909646</v>
      </c>
      <c r="I486" s="93" t="str">
        <f>IFERROR(__xludf.DUMMYFUNCTION("""COMPUTED_VALUE"""),"9AM-11AM")</f>
        <v>9AM-11AM</v>
      </c>
      <c r="J486" s="93">
        <f>IFERROR(__xludf.DUMMYFUNCTION("""COMPUTED_VALUE"""),1.0)</f>
        <v>1</v>
      </c>
      <c r="K486" s="93" t="str">
        <f>IFERROR(__xludf.DUMMYFUNCTION("""COMPUTED_VALUE"""),"Complete")</f>
        <v>Complete</v>
      </c>
      <c r="L486" s="93"/>
      <c r="M486" s="94">
        <f>IFERROR(__xludf.DUMMYFUNCTION("""COMPUTED_VALUE"""),46142.95649305556)</f>
        <v>46142.95649</v>
      </c>
      <c r="N486" s="93">
        <f>IFERROR(__xludf.DUMMYFUNCTION("""COMPUTED_VALUE"""),113.0)</f>
        <v>113</v>
      </c>
      <c r="O486" s="93"/>
      <c r="P486" s="93" t="str">
        <f>IFERROR(__xludf.DUMMYFUNCTION("""COMPUTED_VALUE"""),"Kit Delivery")</f>
        <v>Kit Delivery</v>
      </c>
      <c r="Q486" s="93"/>
      <c r="R486" s="93"/>
      <c r="S486" s="93" t="str">
        <f>IFERROR(__xludf.DUMMYFUNCTION("""COMPUTED_VALUE"""),"Dispatch_Images/KIT--17655.Photos.035718.jpg")</f>
        <v>Dispatch_Images/KIT--17655.Photos.035718.jpg</v>
      </c>
      <c r="T486" s="95">
        <f>IFERROR(__xludf.DUMMYFUNCTION("""COMPUTED_VALUE"""),46142.96293981482)</f>
        <v>46142.96294</v>
      </c>
      <c r="U486" s="93"/>
      <c r="V486" s="93"/>
      <c r="W486" s="93"/>
      <c r="X486" s="93"/>
      <c r="Y486" s="93"/>
      <c r="Z486" s="93"/>
    </row>
    <row r="487">
      <c r="A487" s="93" t="str">
        <f>IFERROR(__xludf.DUMMYFUNCTION("""COMPUTED_VALUE"""),"KIT-#17709")</f>
        <v>KIT-#17709</v>
      </c>
      <c r="B487" s="94">
        <f>IFERROR(__xludf.DUMMYFUNCTION("""COMPUTED_VALUE"""),46148.0)</f>
        <v>46148</v>
      </c>
      <c r="C487" s="93" t="str">
        <f>IFERROR(__xludf.DUMMYFUNCTION("""COMPUTED_VALUE"""),"Kit Delivery")</f>
        <v>Kit Delivery</v>
      </c>
      <c r="D487" s="93">
        <f>IFERROR(__xludf.DUMMYFUNCTION("""COMPUTED_VALUE"""),3.0)</f>
        <v>3</v>
      </c>
      <c r="E487" s="93" t="str">
        <f>IFERROR(__xludf.DUMMYFUNCTION("""COMPUTED_VALUE"""),"Eliot B")</f>
        <v>Eliot B</v>
      </c>
      <c r="F487" s="93">
        <f>IFERROR(__xludf.DUMMYFUNCTION("""COMPUTED_VALUE"""),2024.0)</f>
        <v>2024</v>
      </c>
      <c r="G487" s="93" t="str">
        <f>IFERROR(__xludf.DUMMYFUNCTION("""COMPUTED_VALUE"""),"Jevin Lin")</f>
        <v>Jevin Lin</v>
      </c>
      <c r="H487" s="93">
        <f>IFERROR(__xludf.DUMMYFUNCTION("""COMPUTED_VALUE"""),9.176609336E9)</f>
        <v>9176609336</v>
      </c>
      <c r="I487" s="93" t="str">
        <f>IFERROR(__xludf.DUMMYFUNCTION("""COMPUTED_VALUE"""),"11AM-1PM")</f>
        <v>11AM-1PM</v>
      </c>
      <c r="J487" s="93">
        <f>IFERROR(__xludf.DUMMYFUNCTION("""COMPUTED_VALUE"""),1.0)</f>
        <v>1</v>
      </c>
      <c r="K487" s="93" t="str">
        <f>IFERROR(__xludf.DUMMYFUNCTION("""COMPUTED_VALUE"""),"Complete")</f>
        <v>Complete</v>
      </c>
      <c r="L487" s="93"/>
      <c r="M487" s="94">
        <f>IFERROR(__xludf.DUMMYFUNCTION("""COMPUTED_VALUE"""),46144.09118055555)</f>
        <v>46144.09118</v>
      </c>
      <c r="N487" s="93">
        <f>IFERROR(__xludf.DUMMYFUNCTION("""COMPUTED_VALUE"""),31.0)</f>
        <v>31</v>
      </c>
      <c r="O487" s="93"/>
      <c r="P487" s="93" t="str">
        <f>IFERROR(__xludf.DUMMYFUNCTION("""COMPUTED_VALUE"""),"Kit Delivery")</f>
        <v>Kit Delivery</v>
      </c>
      <c r="Q487" s="93"/>
      <c r="R487" s="93"/>
      <c r="S487" s="93" t="str">
        <f>IFERROR(__xludf.DUMMYFUNCTION("""COMPUTED_VALUE"""),"Dispatch_Images/KIT--17709.Photos.071114.jpg")</f>
        <v>Dispatch_Images/KIT--17709.Photos.071114.jpg</v>
      </c>
      <c r="T487" s="95">
        <f>IFERROR(__xludf.DUMMYFUNCTION("""COMPUTED_VALUE"""),46144.09488425926)</f>
        <v>46144.09488</v>
      </c>
      <c r="U487" s="93"/>
      <c r="V487" s="93"/>
      <c r="W487" s="93"/>
      <c r="X487" s="93"/>
      <c r="Y487" s="93"/>
      <c r="Z487" s="93"/>
    </row>
    <row r="488">
      <c r="A488" s="93" t="str">
        <f>IFERROR(__xludf.DUMMYFUNCTION("""COMPUTED_VALUE"""),"KIT-#18071")</f>
        <v>KIT-#18071</v>
      </c>
      <c r="B488" s="94">
        <f>IFERROR(__xludf.DUMMYFUNCTION("""COMPUTED_VALUE"""),46148.0)</f>
        <v>46148</v>
      </c>
      <c r="C488" s="93" t="str">
        <f>IFERROR(__xludf.DUMMYFUNCTION("""COMPUTED_VALUE"""),"Kit Delivery")</f>
        <v>Kit Delivery</v>
      </c>
      <c r="D488" s="93">
        <f>IFERROR(__xludf.DUMMYFUNCTION("""COMPUTED_VALUE"""),2.0)</f>
        <v>2</v>
      </c>
      <c r="E488" s="93" t="str">
        <f>IFERROR(__xludf.DUMMYFUNCTION("""COMPUTED_VALUE"""),"LL6255")</f>
        <v>LL6255</v>
      </c>
      <c r="F488" s="93" t="str">
        <f>IFERROR(__xludf.DUMMYFUNCTION("""COMPUTED_VALUE"""),"302A")</f>
        <v>302A</v>
      </c>
      <c r="G488" s="93" t="str">
        <f>IFERROR(__xludf.DUMMYFUNCTION("""COMPUTED_VALUE"""),"Sylver Hart")</f>
        <v>Sylver Hart</v>
      </c>
      <c r="H488" s="93">
        <f>IFERROR(__xludf.DUMMYFUNCTION("""COMPUTED_VALUE"""),2.532133537E9)</f>
        <v>2532133537</v>
      </c>
      <c r="I488" s="93" t="str">
        <f>IFERROR(__xludf.DUMMYFUNCTION("""COMPUTED_VALUE"""),"3PM-5PM")</f>
        <v>3PM-5PM</v>
      </c>
      <c r="J488" s="93">
        <f>IFERROR(__xludf.DUMMYFUNCTION("""COMPUTED_VALUE"""),1.0)</f>
        <v>1</v>
      </c>
      <c r="K488" s="93" t="str">
        <f>IFERROR(__xludf.DUMMYFUNCTION("""COMPUTED_VALUE"""),"Complete")</f>
        <v>Complete</v>
      </c>
      <c r="L488" s="93"/>
      <c r="M488" s="94">
        <f>IFERROR(__xludf.DUMMYFUNCTION("""COMPUTED_VALUE"""),46144.091956018514)</f>
        <v>46144.09196</v>
      </c>
      <c r="N488" s="93">
        <f>IFERROR(__xludf.DUMMYFUNCTION("""COMPUTED_VALUE"""),151.0)</f>
        <v>151</v>
      </c>
      <c r="O488" s="93"/>
      <c r="P488" s="93" t="str">
        <f>IFERROR(__xludf.DUMMYFUNCTION("""COMPUTED_VALUE"""),"Kit Delivery")</f>
        <v>Kit Delivery</v>
      </c>
      <c r="Q488" s="93"/>
      <c r="R488" s="93"/>
      <c r="S488" s="93" t="str">
        <f>IFERROR(__xludf.DUMMYFUNCTION("""COMPUTED_VALUE"""),"Dispatch_Images/KIT--18071.Photos.071220.jpg")</f>
        <v>Dispatch_Images/KIT--18071.Photos.071220.jpg</v>
      </c>
      <c r="T488" s="95">
        <f>IFERROR(__xludf.DUMMYFUNCTION("""COMPUTED_VALUE"""),46144.09488425926)</f>
        <v>46144.09488</v>
      </c>
      <c r="U488" s="93"/>
      <c r="V488" s="93"/>
      <c r="W488" s="93"/>
      <c r="X488" s="93"/>
      <c r="Y488" s="93"/>
      <c r="Z488" s="93"/>
    </row>
    <row r="489">
      <c r="A489" s="93" t="str">
        <f>IFERROR(__xludf.DUMMYFUNCTION("""COMPUTED_VALUE"""),"KIT-#18020")</f>
        <v>KIT-#18020</v>
      </c>
      <c r="B489" s="94">
        <f>IFERROR(__xludf.DUMMYFUNCTION("""COMPUTED_VALUE"""),46148.0)</f>
        <v>46148</v>
      </c>
      <c r="C489" s="93" t="str">
        <f>IFERROR(__xludf.DUMMYFUNCTION("""COMPUTED_VALUE"""),"Kit Delivery")</f>
        <v>Kit Delivery</v>
      </c>
      <c r="D489" s="93">
        <f>IFERROR(__xludf.DUMMYFUNCTION("""COMPUTED_VALUE"""),3.0)</f>
        <v>3</v>
      </c>
      <c r="E489" s="93" t="str">
        <f>IFERROR(__xludf.DUMMYFUNCTION("""COMPUTED_VALUE"""),"Eliot A")</f>
        <v>Eliot A</v>
      </c>
      <c r="F489" s="93">
        <f>IFERROR(__xludf.DUMMYFUNCTION("""COMPUTED_VALUE"""),2054.0)</f>
        <v>2054</v>
      </c>
      <c r="G489" s="93" t="str">
        <f>IFERROR(__xludf.DUMMYFUNCTION("""COMPUTED_VALUE"""),"Yining He")</f>
        <v>Yining He</v>
      </c>
      <c r="H489" s="93">
        <f>IFERROR(__xludf.DUMMYFUNCTION("""COMPUTED_VALUE"""),3.142960885E9)</f>
        <v>3142960885</v>
      </c>
      <c r="I489" s="93" t="str">
        <f>IFERROR(__xludf.DUMMYFUNCTION("""COMPUTED_VALUE"""),"1PM-3PM")</f>
        <v>1PM-3PM</v>
      </c>
      <c r="J489" s="93">
        <f>IFERROR(__xludf.DUMMYFUNCTION("""COMPUTED_VALUE"""),2.0)</f>
        <v>2</v>
      </c>
      <c r="K489" s="93" t="str">
        <f>IFERROR(__xludf.DUMMYFUNCTION("""COMPUTED_VALUE"""),"Complete")</f>
        <v>Complete</v>
      </c>
      <c r="L489" s="93"/>
      <c r="M489" s="94">
        <f>IFERROR(__xludf.DUMMYFUNCTION("""COMPUTED_VALUE"""),46144.09202546296)</f>
        <v>46144.09203</v>
      </c>
      <c r="N489" s="93">
        <f>IFERROR(__xludf.DUMMYFUNCTION("""COMPUTED_VALUE"""),19.0)</f>
        <v>19</v>
      </c>
      <c r="O489" s="93"/>
      <c r="P489" s="93" t="str">
        <f>IFERROR(__xludf.DUMMYFUNCTION("""COMPUTED_VALUE"""),"Kit Delivery")</f>
        <v>Kit Delivery</v>
      </c>
      <c r="Q489" s="93"/>
      <c r="R489" s="93"/>
      <c r="S489" s="93" t="str">
        <f>IFERROR(__xludf.DUMMYFUNCTION("""COMPUTED_VALUE"""),"Dispatch_Images/KIT--18020.Photos.071228.jpg")</f>
        <v>Dispatch_Images/KIT--18020.Photos.071228.jpg</v>
      </c>
      <c r="T489" s="95">
        <f>IFERROR(__xludf.DUMMYFUNCTION("""COMPUTED_VALUE"""),46144.09488425926)</f>
        <v>46144.09488</v>
      </c>
      <c r="U489" s="93"/>
      <c r="V489" s="93"/>
      <c r="W489" s="93"/>
      <c r="X489" s="93"/>
      <c r="Y489" s="93"/>
      <c r="Z489" s="93"/>
    </row>
    <row r="490">
      <c r="A490" s="93" t="str">
        <f>IFERROR(__xludf.DUMMYFUNCTION("""COMPUTED_VALUE"""),"KIT-#17688")</f>
        <v>KIT-#17688</v>
      </c>
      <c r="B490" s="94">
        <f>IFERROR(__xludf.DUMMYFUNCTION("""COMPUTED_VALUE"""),46148.0)</f>
        <v>46148</v>
      </c>
      <c r="C490" s="93" t="str">
        <f>IFERROR(__xludf.DUMMYFUNCTION("""COMPUTED_VALUE"""),"Kit Delivery")</f>
        <v>Kit Delivery</v>
      </c>
      <c r="D490" s="93">
        <f>IFERROR(__xludf.DUMMYFUNCTION("""COMPUTED_VALUE"""),3.0)</f>
        <v>3</v>
      </c>
      <c r="E490" s="93" t="str">
        <f>IFERROR(__xludf.DUMMYFUNCTION("""COMPUTED_VALUE"""),"Eliot B")</f>
        <v>Eliot B</v>
      </c>
      <c r="F490" s="93">
        <f>IFERROR(__xludf.DUMMYFUNCTION("""COMPUTED_VALUE"""),3031.0)</f>
        <v>3031</v>
      </c>
      <c r="G490" s="93" t="str">
        <f>IFERROR(__xludf.DUMMYFUNCTION("""COMPUTED_VALUE"""),"Dania Backal")</f>
        <v>Dania Backal</v>
      </c>
      <c r="H490" s="93">
        <f>IFERROR(__xludf.DUMMYFUNCTION("""COMPUTED_VALUE"""),7.54251662E9)</f>
        <v>7542516620</v>
      </c>
      <c r="I490" s="93" t="str">
        <f>IFERROR(__xludf.DUMMYFUNCTION("""COMPUTED_VALUE"""),"11AM-1PM")</f>
        <v>11AM-1PM</v>
      </c>
      <c r="J490" s="93">
        <f>IFERROR(__xludf.DUMMYFUNCTION("""COMPUTED_VALUE"""),1.0)</f>
        <v>1</v>
      </c>
      <c r="K490" s="93" t="str">
        <f>IFERROR(__xludf.DUMMYFUNCTION("""COMPUTED_VALUE"""),"Complete")</f>
        <v>Complete</v>
      </c>
      <c r="L490" s="93"/>
      <c r="M490" s="94">
        <f>IFERROR(__xludf.DUMMYFUNCTION("""COMPUTED_VALUE"""),46144.093206018515)</f>
        <v>46144.09321</v>
      </c>
      <c r="N490" s="93">
        <f>IFERROR(__xludf.DUMMYFUNCTION("""COMPUTED_VALUE"""),34.0)</f>
        <v>34</v>
      </c>
      <c r="O490" s="93"/>
      <c r="P490" s="93" t="str">
        <f>IFERROR(__xludf.DUMMYFUNCTION("""COMPUTED_VALUE"""),"Kit Delivery")</f>
        <v>Kit Delivery</v>
      </c>
      <c r="Q490" s="93"/>
      <c r="R490" s="93"/>
      <c r="S490" s="93" t="str">
        <f>IFERROR(__xludf.DUMMYFUNCTION("""COMPUTED_VALUE"""),"Dispatch_Images/KIT--17688.Photos.071410.jpg")</f>
        <v>Dispatch_Images/KIT--17688.Photos.071410.jpg</v>
      </c>
      <c r="T490" s="95">
        <f>IFERROR(__xludf.DUMMYFUNCTION("""COMPUTED_VALUE"""),46144.09488425926)</f>
        <v>46144.09488</v>
      </c>
      <c r="U490" s="93"/>
      <c r="V490" s="93"/>
      <c r="W490" s="93"/>
      <c r="X490" s="93"/>
      <c r="Y490" s="93"/>
      <c r="Z490" s="93"/>
    </row>
    <row r="491">
      <c r="A491" s="93" t="str">
        <f>IFERROR(__xludf.DUMMYFUNCTION("""COMPUTED_VALUE"""),"KIT-#17560")</f>
        <v>KIT-#17560</v>
      </c>
      <c r="B491" s="94">
        <f>IFERROR(__xludf.DUMMYFUNCTION("""COMPUTED_VALUE"""),46148.0)</f>
        <v>46148</v>
      </c>
      <c r="C491" s="93" t="str">
        <f>IFERROR(__xludf.DUMMYFUNCTION("""COMPUTED_VALUE"""),"Kit Delivery")</f>
        <v>Kit Delivery</v>
      </c>
      <c r="D491" s="93">
        <f>IFERROR(__xludf.DUMMYFUNCTION("""COMPUTED_VALUE"""),3.0)</f>
        <v>3</v>
      </c>
      <c r="E491" s="93" t="str">
        <f>IFERROR(__xludf.DUMMYFUNCTION("""COMPUTED_VALUE"""),"Eliot A")</f>
        <v>Eliot A</v>
      </c>
      <c r="F491" s="93">
        <f>IFERROR(__xludf.DUMMYFUNCTION("""COMPUTED_VALUE"""),2064.0)</f>
        <v>2064</v>
      </c>
      <c r="G491" s="93" t="str">
        <f>IFERROR(__xludf.DUMMYFUNCTION("""COMPUTED_VALUE"""),"Siana Kapoor")</f>
        <v>Siana Kapoor</v>
      </c>
      <c r="H491" s="93">
        <f>IFERROR(__xludf.DUMMYFUNCTION("""COMPUTED_VALUE"""),6.504047282E9)</f>
        <v>6504047282</v>
      </c>
      <c r="I491" s="93" t="str">
        <f>IFERROR(__xludf.DUMMYFUNCTION("""COMPUTED_VALUE"""),"2PM-4PM")</f>
        <v>2PM-4PM</v>
      </c>
      <c r="J491" s="93">
        <f>IFERROR(__xludf.DUMMYFUNCTION("""COMPUTED_VALUE"""),1.0)</f>
        <v>1</v>
      </c>
      <c r="K491" s="93" t="str">
        <f>IFERROR(__xludf.DUMMYFUNCTION("""COMPUTED_VALUE"""),"Complete")</f>
        <v>Complete</v>
      </c>
      <c r="L491" s="93"/>
      <c r="M491" s="94">
        <f>IFERROR(__xludf.DUMMYFUNCTION("""COMPUTED_VALUE"""),46144.10103009259)</f>
        <v>46144.10103</v>
      </c>
      <c r="N491" s="93">
        <f>IFERROR(__xludf.DUMMYFUNCTION("""COMPUTED_VALUE"""),22.0)</f>
        <v>22</v>
      </c>
      <c r="O491" s="93"/>
      <c r="P491" s="93" t="str">
        <f>IFERROR(__xludf.DUMMYFUNCTION("""COMPUTED_VALUE"""),"Kit Delivery")</f>
        <v>Kit Delivery</v>
      </c>
      <c r="Q491" s="93"/>
      <c r="R491" s="93"/>
      <c r="S491" s="93" t="str">
        <f>IFERROR(__xludf.DUMMYFUNCTION("""COMPUTED_VALUE"""),"Dispatch_Images/KIT--17560.Photos.072525.jpg")</f>
        <v>Dispatch_Images/KIT--17560.Photos.072525.jpg</v>
      </c>
      <c r="T491" s="95">
        <f>IFERROR(__xludf.DUMMYFUNCTION("""COMPUTED_VALUE"""),46144.1018287037)</f>
        <v>46144.10183</v>
      </c>
      <c r="U491" s="93"/>
      <c r="V491" s="93"/>
      <c r="W491" s="93"/>
      <c r="X491" s="93"/>
      <c r="Y491" s="93"/>
      <c r="Z491" s="93"/>
    </row>
    <row r="492">
      <c r="A492" s="93" t="str">
        <f>IFERROR(__xludf.DUMMYFUNCTION("""COMPUTED_VALUE"""),"KIT-#17602")</f>
        <v>KIT-#17602</v>
      </c>
      <c r="B492" s="94">
        <f>IFERROR(__xludf.DUMMYFUNCTION("""COMPUTED_VALUE"""),46148.0)</f>
        <v>46148</v>
      </c>
      <c r="C492" s="93" t="str">
        <f>IFERROR(__xludf.DUMMYFUNCTION("""COMPUTED_VALUE"""),"Kit Delivery")</f>
        <v>Kit Delivery</v>
      </c>
      <c r="D492" s="93">
        <f>IFERROR(__xludf.DUMMYFUNCTION("""COMPUTED_VALUE"""),3.0)</f>
        <v>3</v>
      </c>
      <c r="E492" s="93" t="str">
        <f>IFERROR(__xludf.DUMMYFUNCTION("""COMPUTED_VALUE"""),"Eliot A")</f>
        <v>Eliot A</v>
      </c>
      <c r="F492" s="93">
        <f>IFERROR(__xludf.DUMMYFUNCTION("""COMPUTED_VALUE"""),3121.0)</f>
        <v>3121</v>
      </c>
      <c r="G492" s="93" t="str">
        <f>IFERROR(__xludf.DUMMYFUNCTION("""COMPUTED_VALUE"""),"Nikhil Chadha")</f>
        <v>Nikhil Chadha</v>
      </c>
      <c r="H492" s="93">
        <f>IFERROR(__xludf.DUMMYFUNCTION("""COMPUTED_VALUE"""),6.282198206E9)</f>
        <v>6282198206</v>
      </c>
      <c r="I492" s="93" t="str">
        <f>IFERROR(__xludf.DUMMYFUNCTION("""COMPUTED_VALUE"""),"3PM-5PM")</f>
        <v>3PM-5PM</v>
      </c>
      <c r="J492" s="93">
        <f>IFERROR(__xludf.DUMMYFUNCTION("""COMPUTED_VALUE"""),1.0)</f>
        <v>1</v>
      </c>
      <c r="K492" s="93" t="str">
        <f>IFERROR(__xludf.DUMMYFUNCTION("""COMPUTED_VALUE"""),"Complete")</f>
        <v>Complete</v>
      </c>
      <c r="L492" s="93"/>
      <c r="M492" s="94">
        <f>IFERROR(__xludf.DUMMYFUNCTION("""COMPUTED_VALUE"""),46144.10109953704)</f>
        <v>46144.1011</v>
      </c>
      <c r="N492" s="93">
        <f>IFERROR(__xludf.DUMMYFUNCTION("""COMPUTED_VALUE"""),28.0)</f>
        <v>28</v>
      </c>
      <c r="O492" s="93"/>
      <c r="P492" s="93" t="str">
        <f>IFERROR(__xludf.DUMMYFUNCTION("""COMPUTED_VALUE"""),"Kit Delivery")</f>
        <v>Kit Delivery</v>
      </c>
      <c r="Q492" s="93"/>
      <c r="R492" s="93"/>
      <c r="S492" s="93" t="str">
        <f>IFERROR(__xludf.DUMMYFUNCTION("""COMPUTED_VALUE"""),"Dispatch_Images/KIT--17602.Photos.072531.jpg")</f>
        <v>Dispatch_Images/KIT--17602.Photos.072531.jpg</v>
      </c>
      <c r="T492" s="95">
        <f>IFERROR(__xludf.DUMMYFUNCTION("""COMPUTED_VALUE"""),46144.1018287037)</f>
        <v>46144.10183</v>
      </c>
      <c r="U492" s="93"/>
      <c r="V492" s="93"/>
      <c r="W492" s="93"/>
      <c r="X492" s="93"/>
      <c r="Y492" s="93"/>
      <c r="Z492" s="93"/>
    </row>
    <row r="493">
      <c r="A493" s="93" t="str">
        <f>IFERROR(__xludf.DUMMYFUNCTION("""COMPUTED_VALUE"""),"KIT-#17571")</f>
        <v>KIT-#17571</v>
      </c>
      <c r="B493" s="94">
        <f>IFERROR(__xludf.DUMMYFUNCTION("""COMPUTED_VALUE"""),46148.0)</f>
        <v>46148</v>
      </c>
      <c r="C493" s="93" t="str">
        <f>IFERROR(__xludf.DUMMYFUNCTION("""COMPUTED_VALUE"""),"Kit Delivery")</f>
        <v>Kit Delivery</v>
      </c>
      <c r="D493" s="93">
        <f>IFERROR(__xludf.DUMMYFUNCTION("""COMPUTED_VALUE"""),3.0)</f>
        <v>3</v>
      </c>
      <c r="E493" s="93" t="str">
        <f>IFERROR(__xludf.DUMMYFUNCTION("""COMPUTED_VALUE"""),"Rutledge")</f>
        <v>Rutledge</v>
      </c>
      <c r="F493" s="93">
        <f>IFERROR(__xludf.DUMMYFUNCTION("""COMPUTED_VALUE"""),111.0)</f>
        <v>111</v>
      </c>
      <c r="G493" s="93" t="str">
        <f>IFERROR(__xludf.DUMMYFUNCTION("""COMPUTED_VALUE"""),"Jackson Williams")</f>
        <v>Jackson Williams</v>
      </c>
      <c r="H493" s="93">
        <f>IFERROR(__xludf.DUMMYFUNCTION("""COMPUTED_VALUE"""),8.173132347E9)</f>
        <v>8173132347</v>
      </c>
      <c r="I493" s="93" t="str">
        <f>IFERROR(__xludf.DUMMYFUNCTION("""COMPUTED_VALUE"""),"10AM-12PM")</f>
        <v>10AM-12PM</v>
      </c>
      <c r="J493" s="93">
        <f>IFERROR(__xludf.DUMMYFUNCTION("""COMPUTED_VALUE"""),1.0)</f>
        <v>1</v>
      </c>
      <c r="K493" s="93" t="str">
        <f>IFERROR(__xludf.DUMMYFUNCTION("""COMPUTED_VALUE"""),"Complete")</f>
        <v>Complete</v>
      </c>
      <c r="L493" s="93"/>
      <c r="M493" s="94">
        <f>IFERROR(__xludf.DUMMYFUNCTION("""COMPUTED_VALUE"""),46144.102858796294)</f>
        <v>46144.10286</v>
      </c>
      <c r="N493" s="93">
        <f>IFERROR(__xludf.DUMMYFUNCTION("""COMPUTED_VALUE"""),63.0)</f>
        <v>63</v>
      </c>
      <c r="O493" s="93"/>
      <c r="P493" s="93" t="str">
        <f>IFERROR(__xludf.DUMMYFUNCTION("""COMPUTED_VALUE"""),"Kit Delivery")</f>
        <v>Kit Delivery</v>
      </c>
      <c r="Q493" s="93"/>
      <c r="R493" s="93"/>
      <c r="S493" s="93" t="str">
        <f>IFERROR(__xludf.DUMMYFUNCTION("""COMPUTED_VALUE"""),"Dispatch_Images/KIT--17571.Photos.072803.jpg")</f>
        <v>Dispatch_Images/KIT--17571.Photos.072803.jpg</v>
      </c>
      <c r="T493" s="95">
        <f>IFERROR(__xludf.DUMMYFUNCTION("""COMPUTED_VALUE"""),46144.108773148146)</f>
        <v>46144.10877</v>
      </c>
      <c r="U493" s="93"/>
      <c r="V493" s="93"/>
      <c r="W493" s="93"/>
      <c r="X493" s="93"/>
      <c r="Y493" s="93"/>
      <c r="Z493" s="93"/>
    </row>
    <row r="494">
      <c r="A494" s="93" t="str">
        <f>IFERROR(__xludf.DUMMYFUNCTION("""COMPUTED_VALUE"""),"KIT-#17543")</f>
        <v>KIT-#17543</v>
      </c>
      <c r="B494" s="94">
        <f>IFERROR(__xludf.DUMMYFUNCTION("""COMPUTED_VALUE"""),46148.0)</f>
        <v>46148</v>
      </c>
      <c r="C494" s="93" t="str">
        <f>IFERROR(__xludf.DUMMYFUNCTION("""COMPUTED_VALUE"""),"Kit Delivery")</f>
        <v>Kit Delivery</v>
      </c>
      <c r="D494" s="93">
        <f>IFERROR(__xludf.DUMMYFUNCTION("""COMPUTED_VALUE"""),2.0)</f>
        <v>2</v>
      </c>
      <c r="E494" s="93" t="str">
        <f>IFERROR(__xludf.DUMMYFUNCTION("""COMPUTED_VALUE"""),"House 5")</f>
        <v>House 5</v>
      </c>
      <c r="F494" s="93">
        <f>IFERROR(__xludf.DUMMYFUNCTION("""COMPUTED_VALUE"""),201.0)</f>
        <v>201</v>
      </c>
      <c r="G494" s="93" t="str">
        <f>IFERROR(__xludf.DUMMYFUNCTION("""COMPUTED_VALUE"""),"Minjae Kim")</f>
        <v>Minjae Kim</v>
      </c>
      <c r="H494" s="93">
        <f>IFERROR(__xludf.DUMMYFUNCTION("""COMPUTED_VALUE"""),3.142676104E9)</f>
        <v>3142676104</v>
      </c>
      <c r="I494" s="93" t="str">
        <f>IFERROR(__xludf.DUMMYFUNCTION("""COMPUTED_VALUE"""),"3PM-5PM")</f>
        <v>3PM-5PM</v>
      </c>
      <c r="J494" s="93">
        <f>IFERROR(__xludf.DUMMYFUNCTION("""COMPUTED_VALUE"""),1.0)</f>
        <v>1</v>
      </c>
      <c r="K494" s="93" t="str">
        <f>IFERROR(__xludf.DUMMYFUNCTION("""COMPUTED_VALUE"""),"Complete")</f>
        <v>Complete</v>
      </c>
      <c r="L494" s="93"/>
      <c r="M494" s="94">
        <f>IFERROR(__xludf.DUMMYFUNCTION("""COMPUTED_VALUE"""),46144.10290509259)</f>
        <v>46144.10291</v>
      </c>
      <c r="N494" s="93">
        <f>IFERROR(__xludf.DUMMYFUNCTION("""COMPUTED_VALUE"""),149.0)</f>
        <v>149</v>
      </c>
      <c r="O494" s="93"/>
      <c r="P494" s="93" t="str">
        <f>IFERROR(__xludf.DUMMYFUNCTION("""COMPUTED_VALUE"""),"Kit Delivery")</f>
        <v>Kit Delivery</v>
      </c>
      <c r="Q494" s="93"/>
      <c r="R494" s="93"/>
      <c r="S494" s="93" t="str">
        <f>IFERROR(__xludf.DUMMYFUNCTION("""COMPUTED_VALUE"""),"Dispatch_Images/KIT--17543.Photos.072808.jpg")</f>
        <v>Dispatch_Images/KIT--17543.Photos.072808.jpg</v>
      </c>
      <c r="T494" s="95">
        <f>IFERROR(__xludf.DUMMYFUNCTION("""COMPUTED_VALUE"""),46144.108773148146)</f>
        <v>46144.10877</v>
      </c>
      <c r="U494" s="93"/>
      <c r="V494" s="93"/>
      <c r="W494" s="93"/>
      <c r="X494" s="93"/>
      <c r="Y494" s="93"/>
      <c r="Z494" s="93"/>
    </row>
    <row r="495">
      <c r="A495" s="93" t="str">
        <f>IFERROR(__xludf.DUMMYFUNCTION("""COMPUTED_VALUE"""),"KIT-#17491")</f>
        <v>KIT-#17491</v>
      </c>
      <c r="B495" s="94">
        <f>IFERROR(__xludf.DUMMYFUNCTION("""COMPUTED_VALUE"""),46148.0)</f>
        <v>46148</v>
      </c>
      <c r="C495" s="93" t="str">
        <f>IFERROR(__xludf.DUMMYFUNCTION("""COMPUTED_VALUE"""),"Kit Delivery")</f>
        <v>Kit Delivery</v>
      </c>
      <c r="D495" s="93">
        <f>IFERROR(__xludf.DUMMYFUNCTION("""COMPUTED_VALUE"""),3.0)</f>
        <v>3</v>
      </c>
      <c r="E495" s="93" t="str">
        <f>IFERROR(__xludf.DUMMYFUNCTION("""COMPUTED_VALUE"""),"Rutledge")</f>
        <v>Rutledge</v>
      </c>
      <c r="F495" s="93" t="str">
        <f>IFERROR(__xludf.DUMMYFUNCTION("""COMPUTED_VALUE"""),"242-b")</f>
        <v>242-b</v>
      </c>
      <c r="G495" s="93" t="str">
        <f>IFERROR(__xludf.DUMMYFUNCTION("""COMPUTED_VALUE"""),"Robin Koehler")</f>
        <v>Robin Koehler</v>
      </c>
      <c r="H495" s="93">
        <f>IFERROR(__xludf.DUMMYFUNCTION("""COMPUTED_VALUE"""),9.492998167E9)</f>
        <v>9492998167</v>
      </c>
      <c r="I495" s="93" t="str">
        <f>IFERROR(__xludf.DUMMYFUNCTION("""COMPUTED_VALUE"""),"9AM-11AM")</f>
        <v>9AM-11AM</v>
      </c>
      <c r="J495" s="93">
        <f>IFERROR(__xludf.DUMMYFUNCTION("""COMPUTED_VALUE"""),1.0)</f>
        <v>1</v>
      </c>
      <c r="K495" s="93" t="str">
        <f>IFERROR(__xludf.DUMMYFUNCTION("""COMPUTED_VALUE"""),"Complete")</f>
        <v>Complete</v>
      </c>
      <c r="L495" s="93"/>
      <c r="M495" s="94">
        <f>IFERROR(__xludf.DUMMYFUNCTION("""COMPUTED_VALUE"""),46144.10388888889)</f>
        <v>46144.10389</v>
      </c>
      <c r="N495" s="93">
        <f>IFERROR(__xludf.DUMMYFUNCTION("""COMPUTED_VALUE"""),66.0)</f>
        <v>66</v>
      </c>
      <c r="O495" s="93"/>
      <c r="P495" s="93" t="str">
        <f>IFERROR(__xludf.DUMMYFUNCTION("""COMPUTED_VALUE"""),"Kit Delivery")</f>
        <v>Kit Delivery</v>
      </c>
      <c r="Q495" s="93"/>
      <c r="R495" s="93"/>
      <c r="S495" s="93" t="str">
        <f>IFERROR(__xludf.DUMMYFUNCTION("""COMPUTED_VALUE"""),"Dispatch_Images/KIT--17491.Photos.072932.jpg")</f>
        <v>Dispatch_Images/KIT--17491.Photos.072932.jpg</v>
      </c>
      <c r="T495" s="95">
        <f>IFERROR(__xludf.DUMMYFUNCTION("""COMPUTED_VALUE"""),46144.108773148146)</f>
        <v>46144.10877</v>
      </c>
      <c r="U495" s="93"/>
      <c r="V495" s="93"/>
      <c r="W495" s="93"/>
      <c r="X495" s="93"/>
      <c r="Y495" s="93"/>
      <c r="Z495" s="93"/>
    </row>
    <row r="496">
      <c r="A496" s="93" t="str">
        <f>IFERROR(__xludf.DUMMYFUNCTION("""COMPUTED_VALUE"""),"KIT-#17566")</f>
        <v>KIT-#17566</v>
      </c>
      <c r="B496" s="94">
        <f>IFERROR(__xludf.DUMMYFUNCTION("""COMPUTED_VALUE"""),46148.0)</f>
        <v>46148</v>
      </c>
      <c r="C496" s="93" t="str">
        <f>IFERROR(__xludf.DUMMYFUNCTION("""COMPUTED_VALUE"""),"Kit Delivery")</f>
        <v>Kit Delivery</v>
      </c>
      <c r="D496" s="93">
        <f>IFERROR(__xludf.DUMMYFUNCTION("""COMPUTED_VALUE"""),3.0)</f>
        <v>3</v>
      </c>
      <c r="E496" s="93" t="str">
        <f>IFERROR(__xludf.DUMMYFUNCTION("""COMPUTED_VALUE"""),"Shanedling")</f>
        <v>Shanedling</v>
      </c>
      <c r="F496" s="93">
        <f>IFERROR(__xludf.DUMMYFUNCTION("""COMPUTED_VALUE"""),234.0)</f>
        <v>234</v>
      </c>
      <c r="G496" s="93" t="str">
        <f>IFERROR(__xludf.DUMMYFUNCTION("""COMPUTED_VALUE"""),"Johnny Yu")</f>
        <v>Johnny Yu</v>
      </c>
      <c r="H496" s="93">
        <f>IFERROR(__xludf.DUMMYFUNCTION("""COMPUTED_VALUE"""),5.572148981E9)</f>
        <v>5572148981</v>
      </c>
      <c r="I496" s="93" t="str">
        <f>IFERROR(__xludf.DUMMYFUNCTION("""COMPUTED_VALUE"""),"1PM-3PM")</f>
        <v>1PM-3PM</v>
      </c>
      <c r="J496" s="93">
        <f>IFERROR(__xludf.DUMMYFUNCTION("""COMPUTED_VALUE"""),1.0)</f>
        <v>1</v>
      </c>
      <c r="K496" s="93" t="str">
        <f>IFERROR(__xludf.DUMMYFUNCTION("""COMPUTED_VALUE"""),"Complete")</f>
        <v>Complete</v>
      </c>
      <c r="L496" s="93"/>
      <c r="M496" s="94">
        <f>IFERROR(__xludf.DUMMYFUNCTION("""COMPUTED_VALUE"""),46144.10413194445)</f>
        <v>46144.10413</v>
      </c>
      <c r="N496" s="93">
        <f>IFERROR(__xludf.DUMMYFUNCTION("""COMPUTED_VALUE"""),81.0)</f>
        <v>81</v>
      </c>
      <c r="O496" s="93"/>
      <c r="P496" s="93" t="str">
        <f>IFERROR(__xludf.DUMMYFUNCTION("""COMPUTED_VALUE"""),"Kit Delivery")</f>
        <v>Kit Delivery</v>
      </c>
      <c r="Q496" s="93"/>
      <c r="R496" s="93"/>
      <c r="S496" s="93" t="str">
        <f>IFERROR(__xludf.DUMMYFUNCTION("""COMPUTED_VALUE"""),"Dispatch_Images/KIT--17566.Photos.072954.jpg")</f>
        <v>Dispatch_Images/KIT--17566.Photos.072954.jpg</v>
      </c>
      <c r="T496" s="95">
        <f>IFERROR(__xludf.DUMMYFUNCTION("""COMPUTED_VALUE"""),46144.108773148146)</f>
        <v>46144.10877</v>
      </c>
      <c r="U496" s="93"/>
      <c r="V496" s="93"/>
      <c r="W496" s="93"/>
      <c r="X496" s="93"/>
      <c r="Y496" s="93"/>
      <c r="Z496" s="93"/>
    </row>
    <row r="497">
      <c r="A497" s="93" t="str">
        <f>IFERROR(__xludf.DUMMYFUNCTION("""COMPUTED_VALUE"""),"KIT-#17697")</f>
        <v>KIT-#17697</v>
      </c>
      <c r="B497" s="94">
        <f>IFERROR(__xludf.DUMMYFUNCTION("""COMPUTED_VALUE"""),46148.0)</f>
        <v>46148</v>
      </c>
      <c r="C497" s="93" t="str">
        <f>IFERROR(__xludf.DUMMYFUNCTION("""COMPUTED_VALUE"""),"Kit Delivery")</f>
        <v>Kit Delivery</v>
      </c>
      <c r="D497" s="93">
        <f>IFERROR(__xludf.DUMMYFUNCTION("""COMPUTED_VALUE"""),3.0)</f>
        <v>3</v>
      </c>
      <c r="E497" s="93" t="str">
        <f>IFERROR(__xludf.DUMMYFUNCTION("""COMPUTED_VALUE"""),"Rutledge")</f>
        <v>Rutledge</v>
      </c>
      <c r="F497" s="93">
        <f>IFERROR(__xludf.DUMMYFUNCTION("""COMPUTED_VALUE"""),314.0)</f>
        <v>314</v>
      </c>
      <c r="G497" s="93" t="str">
        <f>IFERROR(__xludf.DUMMYFUNCTION("""COMPUTED_VALUE"""),"Ashton Knisely")</f>
        <v>Ashton Knisely</v>
      </c>
      <c r="H497" s="93">
        <f>IFERROR(__xludf.DUMMYFUNCTION("""COMPUTED_VALUE"""),5.126995645E9)</f>
        <v>5126995645</v>
      </c>
      <c r="I497" s="93" t="str">
        <f>IFERROR(__xludf.DUMMYFUNCTION("""COMPUTED_VALUE"""),"9AM-11AM")</f>
        <v>9AM-11AM</v>
      </c>
      <c r="J497" s="93">
        <f>IFERROR(__xludf.DUMMYFUNCTION("""COMPUTED_VALUE"""),1.0)</f>
        <v>1</v>
      </c>
      <c r="K497" s="93" t="str">
        <f>IFERROR(__xludf.DUMMYFUNCTION("""COMPUTED_VALUE"""),"Complete")</f>
        <v>Complete</v>
      </c>
      <c r="L497" s="93"/>
      <c r="M497" s="94">
        <f>IFERROR(__xludf.DUMMYFUNCTION("""COMPUTED_VALUE"""),46144.104479166665)</f>
        <v>46144.10448</v>
      </c>
      <c r="N497" s="93">
        <f>IFERROR(__xludf.DUMMYFUNCTION("""COMPUTED_VALUE"""),67.0)</f>
        <v>67</v>
      </c>
      <c r="O497" s="93"/>
      <c r="P497" s="93" t="str">
        <f>IFERROR(__xludf.DUMMYFUNCTION("""COMPUTED_VALUE"""),"Kit Delivery")</f>
        <v>Kit Delivery</v>
      </c>
      <c r="Q497" s="93"/>
      <c r="R497" s="93"/>
      <c r="S497" s="93" t="str">
        <f>IFERROR(__xludf.DUMMYFUNCTION("""COMPUTED_VALUE"""),"Dispatch_Images/KIT--17697.Photos.073024.jpg")</f>
        <v>Dispatch_Images/KIT--17697.Photos.073024.jpg</v>
      </c>
      <c r="T497" s="95">
        <f>IFERROR(__xludf.DUMMYFUNCTION("""COMPUTED_VALUE"""),46144.108773148146)</f>
        <v>46144.10877</v>
      </c>
      <c r="U497" s="93"/>
      <c r="V497" s="93"/>
      <c r="W497" s="93"/>
      <c r="X497" s="93"/>
      <c r="Y497" s="93"/>
      <c r="Z497" s="93"/>
    </row>
    <row r="498">
      <c r="A498" s="93" t="str">
        <f>IFERROR(__xludf.DUMMYFUNCTION("""COMPUTED_VALUE"""),"KIT-#17489")</f>
        <v>KIT-#17489</v>
      </c>
      <c r="B498" s="94">
        <f>IFERROR(__xludf.DUMMYFUNCTION("""COMPUTED_VALUE"""),46148.0)</f>
        <v>46148</v>
      </c>
      <c r="C498" s="93" t="str">
        <f>IFERROR(__xludf.DUMMYFUNCTION("""COMPUTED_VALUE"""),"Kit Delivery")</f>
        <v>Kit Delivery</v>
      </c>
      <c r="D498" s="93">
        <f>IFERROR(__xludf.DUMMYFUNCTION("""COMPUTED_VALUE"""),3.0)</f>
        <v>3</v>
      </c>
      <c r="E498" s="93" t="str">
        <f>IFERROR(__xludf.DUMMYFUNCTION("""COMPUTED_VALUE"""),"Rutledge")</f>
        <v>Rutledge</v>
      </c>
      <c r="F498" s="93" t="str">
        <f>IFERROR(__xludf.DUMMYFUNCTION("""COMPUTED_VALUE"""),"432 - B")</f>
        <v>432 - B</v>
      </c>
      <c r="G498" s="93" t="str">
        <f>IFERROR(__xludf.DUMMYFUNCTION("""COMPUTED_VALUE"""),"Bianca Hayutin")</f>
        <v>Bianca Hayutin</v>
      </c>
      <c r="H498" s="93">
        <f>IFERROR(__xludf.DUMMYFUNCTION("""COMPUTED_VALUE"""),3.109636636E9)</f>
        <v>3109636636</v>
      </c>
      <c r="I498" s="93" t="str">
        <f>IFERROR(__xludf.DUMMYFUNCTION("""COMPUTED_VALUE"""),"9AM-11AM")</f>
        <v>9AM-11AM</v>
      </c>
      <c r="J498" s="93">
        <f>IFERROR(__xludf.DUMMYFUNCTION("""COMPUTED_VALUE"""),2.0)</f>
        <v>2</v>
      </c>
      <c r="K498" s="93" t="str">
        <f>IFERROR(__xludf.DUMMYFUNCTION("""COMPUTED_VALUE"""),"Complete")</f>
        <v>Complete</v>
      </c>
      <c r="L498" s="93"/>
      <c r="M498" s="94">
        <f>IFERROR(__xludf.DUMMYFUNCTION("""COMPUTED_VALUE"""),46144.106458333335)</f>
        <v>46144.10646</v>
      </c>
      <c r="N498" s="93">
        <f>IFERROR(__xludf.DUMMYFUNCTION("""COMPUTED_VALUE"""),69.0)</f>
        <v>69</v>
      </c>
      <c r="O498" s="93"/>
      <c r="P498" s="93" t="str">
        <f>IFERROR(__xludf.DUMMYFUNCTION("""COMPUTED_VALUE"""),"Kit Delivery")</f>
        <v>Kit Delivery</v>
      </c>
      <c r="Q498" s="93" t="str">
        <f>IFERROR(__xludf.DUMMYFUNCTION("""COMPUTED_VALUE"""),"If possible, please deliver the storage kit boxes as early as Monday, 4/27 and no later than 5/1.  The earlier the better, please.  Thank you!")</f>
        <v>If possible, please deliver the storage kit boxes as early as Monday, 4/27 and no later than 5/1.  The earlier the better, please.  Thank you!</v>
      </c>
      <c r="R498" s="93"/>
      <c r="S498" s="93" t="str">
        <f>IFERROR(__xludf.DUMMYFUNCTION("""COMPUTED_VALUE"""),"Dispatch_Images/KIT--17489.Photos.073315.jpg")</f>
        <v>Dispatch_Images/KIT--17489.Photos.073315.jpg</v>
      </c>
      <c r="T498" s="95">
        <f>IFERROR(__xludf.DUMMYFUNCTION("""COMPUTED_VALUE"""),46144.108773148146)</f>
        <v>46144.10877</v>
      </c>
      <c r="U498" s="93"/>
      <c r="V498" s="93"/>
      <c r="W498" s="93"/>
      <c r="X498" s="93"/>
      <c r="Y498" s="93"/>
      <c r="Z498" s="93"/>
    </row>
    <row r="499">
      <c r="A499" s="93" t="str">
        <f>IFERROR(__xludf.DUMMYFUNCTION("""COMPUTED_VALUE"""),"KIT-#16834")</f>
        <v>KIT-#16834</v>
      </c>
      <c r="B499" s="94">
        <f>IFERROR(__xludf.DUMMYFUNCTION("""COMPUTED_VALUE"""),46148.0)</f>
        <v>46148</v>
      </c>
      <c r="C499" s="93" t="str">
        <f>IFERROR(__xludf.DUMMYFUNCTION("""COMPUTED_VALUE"""),"Kit Delivery")</f>
        <v>Kit Delivery</v>
      </c>
      <c r="D499" s="93">
        <f>IFERROR(__xludf.DUMMYFUNCTION("""COMPUTED_VALUE"""),2.0)</f>
        <v>2</v>
      </c>
      <c r="E499" s="93" t="str">
        <f>IFERROR(__xludf.DUMMYFUNCTION("""COMPUTED_VALUE"""),"House 1")</f>
        <v>House 1</v>
      </c>
      <c r="F499" s="93">
        <f>IFERROR(__xludf.DUMMYFUNCTION("""COMPUTED_VALUE"""),311.0)</f>
        <v>311</v>
      </c>
      <c r="G499" s="93" t="str">
        <f>IFERROR(__xludf.DUMMYFUNCTION("""COMPUTED_VALUE"""),"Peter Gong")</f>
        <v>Peter Gong</v>
      </c>
      <c r="H499" s="93">
        <f>IFERROR(__xludf.DUMMYFUNCTION("""COMPUTED_VALUE"""),3.14448927E9)</f>
        <v>3144489270</v>
      </c>
      <c r="I499" s="93" t="str">
        <f>IFERROR(__xludf.DUMMYFUNCTION("""COMPUTED_VALUE"""),"9AM-11AM")</f>
        <v>9AM-11AM</v>
      </c>
      <c r="J499" s="93">
        <f>IFERROR(__xludf.DUMMYFUNCTION("""COMPUTED_VALUE"""),1.0)</f>
        <v>1</v>
      </c>
      <c r="K499" s="93" t="str">
        <f>IFERROR(__xludf.DUMMYFUNCTION("""COMPUTED_VALUE"""),"Complete")</f>
        <v>Complete</v>
      </c>
      <c r="L499" s="93"/>
      <c r="M499" s="94">
        <f>IFERROR(__xludf.DUMMYFUNCTION("""COMPUTED_VALUE"""),46144.10790509259)</f>
        <v>46144.10791</v>
      </c>
      <c r="N499" s="93">
        <f>IFERROR(__xludf.DUMMYFUNCTION("""COMPUTED_VALUE"""),143.0)</f>
        <v>143</v>
      </c>
      <c r="O499" s="93"/>
      <c r="P499" s="93" t="str">
        <f>IFERROR(__xludf.DUMMYFUNCTION("""COMPUTED_VALUE"""),"Kit Delivery")</f>
        <v>Kit Delivery</v>
      </c>
      <c r="Q499" s="93"/>
      <c r="R499" s="93"/>
      <c r="S499" s="93" t="str">
        <f>IFERROR(__xludf.DUMMYFUNCTION("""COMPUTED_VALUE"""),"Dispatch_Images/KIT--16834.Photos.073520.jpg")</f>
        <v>Dispatch_Images/KIT--16834.Photos.073520.jpg</v>
      </c>
      <c r="T499" s="95">
        <f>IFERROR(__xludf.DUMMYFUNCTION("""COMPUTED_VALUE"""),46144.108773148146)</f>
        <v>46144.10877</v>
      </c>
      <c r="U499" s="93"/>
      <c r="V499" s="93"/>
      <c r="W499" s="93"/>
      <c r="X499" s="93"/>
      <c r="Y499" s="93"/>
      <c r="Z499" s="93"/>
    </row>
    <row r="500">
      <c r="A500" s="93" t="str">
        <f>IFERROR(__xludf.DUMMYFUNCTION("""COMPUTED_VALUE"""),"KIT-#18082")</f>
        <v>KIT-#18082</v>
      </c>
      <c r="B500" s="94">
        <f>IFERROR(__xludf.DUMMYFUNCTION("""COMPUTED_VALUE"""),46148.0)</f>
        <v>46148</v>
      </c>
      <c r="C500" s="93" t="str">
        <f>IFERROR(__xludf.DUMMYFUNCTION("""COMPUTED_VALUE"""),"Kit Delivery")</f>
        <v>Kit Delivery</v>
      </c>
      <c r="D500" s="93">
        <f>IFERROR(__xludf.DUMMYFUNCTION("""COMPUTED_VALUE"""),2.0)</f>
        <v>2</v>
      </c>
      <c r="E500" s="93" t="str">
        <f>IFERROR(__xludf.DUMMYFUNCTION("""COMPUTED_VALUE"""),"House 1")</f>
        <v>House 1</v>
      </c>
      <c r="F500" s="93">
        <f>IFERROR(__xludf.DUMMYFUNCTION("""COMPUTED_VALUE"""),307.0)</f>
        <v>307</v>
      </c>
      <c r="G500" s="93" t="str">
        <f>IFERROR(__xludf.DUMMYFUNCTION("""COMPUTED_VALUE"""),"Yaroslav Parashchiy")</f>
        <v>Yaroslav Parashchiy</v>
      </c>
      <c r="H500" s="93">
        <f>IFERROR(__xludf.DUMMYFUNCTION("""COMPUTED_VALUE"""),9.95014677E8)</f>
        <v>995014677</v>
      </c>
      <c r="I500" s="93" t="str">
        <f>IFERROR(__xludf.DUMMYFUNCTION("""COMPUTED_VALUE"""),"9AM-11AM")</f>
        <v>9AM-11AM</v>
      </c>
      <c r="J500" s="93">
        <f>IFERROR(__xludf.DUMMYFUNCTION("""COMPUTED_VALUE"""),1.0)</f>
        <v>1</v>
      </c>
      <c r="K500" s="93" t="str">
        <f>IFERROR(__xludf.DUMMYFUNCTION("""COMPUTED_VALUE"""),"Complete")</f>
        <v>Complete</v>
      </c>
      <c r="L500" s="93"/>
      <c r="M500" s="94">
        <f>IFERROR(__xludf.DUMMYFUNCTION("""COMPUTED_VALUE"""),46144.10833333334)</f>
        <v>46144.10833</v>
      </c>
      <c r="N500" s="93">
        <f>IFERROR(__xludf.DUMMYFUNCTION("""COMPUTED_VALUE"""),142.0)</f>
        <v>142</v>
      </c>
      <c r="O500" s="93"/>
      <c r="P500" s="93" t="str">
        <f>IFERROR(__xludf.DUMMYFUNCTION("""COMPUTED_VALUE"""),"Kit Delivery")</f>
        <v>Kit Delivery</v>
      </c>
      <c r="Q500" s="93"/>
      <c r="R500" s="93"/>
      <c r="S500" s="93" t="str">
        <f>IFERROR(__xludf.DUMMYFUNCTION("""COMPUTED_VALUE"""),"Dispatch_Images/KIT--18082.Photos.073557.jpg")</f>
        <v>Dispatch_Images/KIT--18082.Photos.073557.jpg</v>
      </c>
      <c r="T500" s="95">
        <f>IFERROR(__xludf.DUMMYFUNCTION("""COMPUTED_VALUE"""),46144.108773148146)</f>
        <v>46144.10877</v>
      </c>
      <c r="U500" s="93"/>
      <c r="V500" s="93"/>
      <c r="W500" s="93"/>
      <c r="X500" s="93"/>
      <c r="Y500" s="93"/>
      <c r="Z500" s="93"/>
    </row>
    <row r="501">
      <c r="A501" s="93" t="str">
        <f>IFERROR(__xludf.DUMMYFUNCTION("""COMPUTED_VALUE"""),"KIT-#17768")</f>
        <v>KIT-#17768</v>
      </c>
      <c r="B501" s="94">
        <f>IFERROR(__xludf.DUMMYFUNCTION("""COMPUTED_VALUE"""),46148.0)</f>
        <v>46148</v>
      </c>
      <c r="C501" s="93" t="str">
        <f>IFERROR(__xludf.DUMMYFUNCTION("""COMPUTED_VALUE"""),"Kit Delivery")</f>
        <v>Kit Delivery</v>
      </c>
      <c r="D501" s="93">
        <f>IFERROR(__xludf.DUMMYFUNCTION("""COMPUTED_VALUE"""),3.0)</f>
        <v>3</v>
      </c>
      <c r="E501" s="93" t="str">
        <f>IFERROR(__xludf.DUMMYFUNCTION("""COMPUTED_VALUE"""),"Shanedling")</f>
        <v>Shanedling</v>
      </c>
      <c r="F501" s="93">
        <f>IFERROR(__xludf.DUMMYFUNCTION("""COMPUTED_VALUE"""),312.0)</f>
        <v>312</v>
      </c>
      <c r="G501" s="93" t="str">
        <f>IFERROR(__xludf.DUMMYFUNCTION("""COMPUTED_VALUE"""),"Rebecca Godoy")</f>
        <v>Rebecca Godoy</v>
      </c>
      <c r="H501" s="93">
        <f>IFERROR(__xludf.DUMMYFUNCTION("""COMPUTED_VALUE"""),4.582195751E9)</f>
        <v>4582195751</v>
      </c>
      <c r="I501" s="93" t="str">
        <f>IFERROR(__xludf.DUMMYFUNCTION("""COMPUTED_VALUE"""),"12PM-2PM")</f>
        <v>12PM-2PM</v>
      </c>
      <c r="J501" s="93">
        <f>IFERROR(__xludf.DUMMYFUNCTION("""COMPUTED_VALUE"""),1.0)</f>
        <v>1</v>
      </c>
      <c r="K501" s="93" t="str">
        <f>IFERROR(__xludf.DUMMYFUNCTION("""COMPUTED_VALUE"""),"Complete")</f>
        <v>Complete</v>
      </c>
      <c r="L501" s="93"/>
      <c r="M501" s="94">
        <f>IFERROR(__xludf.DUMMYFUNCTION("""COMPUTED_VALUE"""),46144.108715277776)</f>
        <v>46144.10872</v>
      </c>
      <c r="N501" s="93">
        <f>IFERROR(__xludf.DUMMYFUNCTION("""COMPUTED_VALUE"""),82.0)</f>
        <v>82</v>
      </c>
      <c r="O501" s="93"/>
      <c r="P501" s="93" t="str">
        <f>IFERROR(__xludf.DUMMYFUNCTION("""COMPUTED_VALUE"""),"Kit Delivery")</f>
        <v>Kit Delivery</v>
      </c>
      <c r="Q501" s="93"/>
      <c r="R501" s="93"/>
      <c r="S501" s="93" t="str">
        <f>IFERROR(__xludf.DUMMYFUNCTION("""COMPUTED_VALUE"""),"Dispatch_Images/KIT--17768.Photos.073630.jpg")</f>
        <v>Dispatch_Images/KIT--17768.Photos.073630.jpg</v>
      </c>
      <c r="T501" s="95">
        <f>IFERROR(__xludf.DUMMYFUNCTION("""COMPUTED_VALUE"""),46144.108773148146)</f>
        <v>46144.10877</v>
      </c>
      <c r="U501" s="93"/>
      <c r="V501" s="93"/>
      <c r="W501" s="93"/>
      <c r="X501" s="93"/>
      <c r="Y501" s="93"/>
      <c r="Z501" s="93"/>
    </row>
    <row r="502">
      <c r="A502" s="93" t="str">
        <f>IFERROR(__xludf.DUMMYFUNCTION("""COMPUTED_VALUE"""),"KIT-#18105")</f>
        <v>KIT-#18105</v>
      </c>
      <c r="B502" s="94">
        <f>IFERROR(__xludf.DUMMYFUNCTION("""COMPUTED_VALUE"""),46148.0)</f>
        <v>46148</v>
      </c>
      <c r="C502" s="93" t="str">
        <f>IFERROR(__xludf.DUMMYFUNCTION("""COMPUTED_VALUE"""),"Kit Delivery")</f>
        <v>Kit Delivery</v>
      </c>
      <c r="D502" s="93">
        <f>IFERROR(__xludf.DUMMYFUNCTION("""COMPUTED_VALUE"""),3.0)</f>
        <v>3</v>
      </c>
      <c r="E502" s="93" t="str">
        <f>IFERROR(__xludf.DUMMYFUNCTION("""COMPUTED_VALUE"""),"Dauten")</f>
        <v>Dauten</v>
      </c>
      <c r="F502" s="93">
        <f>IFERROR(__xludf.DUMMYFUNCTION("""COMPUTED_VALUE"""),343.0)</f>
        <v>343</v>
      </c>
      <c r="G502" s="93" t="str">
        <f>IFERROR(__xludf.DUMMYFUNCTION("""COMPUTED_VALUE"""),"Tzipora Guttman")</f>
        <v>Tzipora Guttman</v>
      </c>
      <c r="H502" s="93">
        <f>IFERROR(__xludf.DUMMYFUNCTION("""COMPUTED_VALUE"""),3.479795955E9)</f>
        <v>3479795955</v>
      </c>
      <c r="I502" s="93" t="str">
        <f>IFERROR(__xludf.DUMMYFUNCTION("""COMPUTED_VALUE"""),"3PM-5PM")</f>
        <v>3PM-5PM</v>
      </c>
      <c r="J502" s="93">
        <f>IFERROR(__xludf.DUMMYFUNCTION("""COMPUTED_VALUE"""),1.0)</f>
        <v>1</v>
      </c>
      <c r="K502" s="93" t="str">
        <f>IFERROR(__xludf.DUMMYFUNCTION("""COMPUTED_VALUE"""),"Complete")</f>
        <v>Complete</v>
      </c>
      <c r="L502" s="93"/>
      <c r="M502" s="94">
        <f>IFERROR(__xludf.DUMMYFUNCTION("""COMPUTED_VALUE"""),46144.10890046296)</f>
        <v>46144.1089</v>
      </c>
      <c r="N502" s="93">
        <f>IFERROR(__xludf.DUMMYFUNCTION("""COMPUTED_VALUE"""),75.0)</f>
        <v>75</v>
      </c>
      <c r="O502" s="93"/>
      <c r="P502" s="93" t="str">
        <f>IFERROR(__xludf.DUMMYFUNCTION("""COMPUTED_VALUE"""),"Kit Delivery")</f>
        <v>Kit Delivery</v>
      </c>
      <c r="Q502" s="93"/>
      <c r="R502" s="93"/>
      <c r="S502" s="93" t="str">
        <f>IFERROR(__xludf.DUMMYFUNCTION("""COMPUTED_VALUE"""),"Dispatch_Images/KIT--18105.Photos.073645.jpg")</f>
        <v>Dispatch_Images/KIT--18105.Photos.073645.jpg</v>
      </c>
      <c r="T502" s="95">
        <f>IFERROR(__xludf.DUMMYFUNCTION("""COMPUTED_VALUE"""),46144.11571759259)</f>
        <v>46144.11572</v>
      </c>
      <c r="U502" s="93"/>
      <c r="V502" s="93"/>
      <c r="W502" s="93"/>
      <c r="X502" s="93"/>
      <c r="Y502" s="93"/>
      <c r="Z502" s="93"/>
    </row>
    <row r="503">
      <c r="A503" s="93" t="str">
        <f>IFERROR(__xludf.DUMMYFUNCTION("""COMPUTED_VALUE"""),"KIT-#17643")</f>
        <v>KIT-#17643</v>
      </c>
      <c r="B503" s="94">
        <f>IFERROR(__xludf.DUMMYFUNCTION("""COMPUTED_VALUE"""),46148.0)</f>
        <v>46148</v>
      </c>
      <c r="C503" s="93" t="str">
        <f>IFERROR(__xludf.DUMMYFUNCTION("""COMPUTED_VALUE"""),"Kit Delivery")</f>
        <v>Kit Delivery</v>
      </c>
      <c r="D503" s="93">
        <f>IFERROR(__xludf.DUMMYFUNCTION("""COMPUTED_VALUE"""),3.0)</f>
        <v>3</v>
      </c>
      <c r="E503" s="93" t="str">
        <f>IFERROR(__xludf.DUMMYFUNCTION("""COMPUTED_VALUE"""),"Dauten")</f>
        <v>Dauten</v>
      </c>
      <c r="F503" s="93">
        <f>IFERROR(__xludf.DUMMYFUNCTION("""COMPUTED_VALUE"""),121.0)</f>
        <v>121</v>
      </c>
      <c r="G503" s="93" t="str">
        <f>IFERROR(__xludf.DUMMYFUNCTION("""COMPUTED_VALUE"""),"Flora Zhou")</f>
        <v>Flora Zhou</v>
      </c>
      <c r="H503" s="93">
        <f>IFERROR(__xludf.DUMMYFUNCTION("""COMPUTED_VALUE"""),2.022808249E9)</f>
        <v>2022808249</v>
      </c>
      <c r="I503" s="93" t="str">
        <f>IFERROR(__xludf.DUMMYFUNCTION("""COMPUTED_VALUE"""),"9AM-11AM")</f>
        <v>9AM-11AM</v>
      </c>
      <c r="J503" s="93">
        <f>IFERROR(__xludf.DUMMYFUNCTION("""COMPUTED_VALUE"""),2.0)</f>
        <v>2</v>
      </c>
      <c r="K503" s="93" t="str">
        <f>IFERROR(__xludf.DUMMYFUNCTION("""COMPUTED_VALUE"""),"Complete")</f>
        <v>Complete</v>
      </c>
      <c r="L503" s="93"/>
      <c r="M503" s="94">
        <f>IFERROR(__xludf.DUMMYFUNCTION("""COMPUTED_VALUE"""),46144.111342592594)</f>
        <v>46144.11134</v>
      </c>
      <c r="N503" s="93">
        <f>IFERROR(__xludf.DUMMYFUNCTION("""COMPUTED_VALUE"""),70.0)</f>
        <v>70</v>
      </c>
      <c r="O503" s="93"/>
      <c r="P503" s="93" t="str">
        <f>IFERROR(__xludf.DUMMYFUNCTION("""COMPUTED_VALUE"""),"Kit Delivery")</f>
        <v>Kit Delivery</v>
      </c>
      <c r="Q503" s="93"/>
      <c r="R503" s="93"/>
      <c r="S503" s="93" t="str">
        <f>IFERROR(__xludf.DUMMYFUNCTION("""COMPUTED_VALUE"""),"Dispatch_Images/KIT--17643.Photos.074016.jpg")</f>
        <v>Dispatch_Images/KIT--17643.Photos.074016.jpg</v>
      </c>
      <c r="T503" s="95">
        <f>IFERROR(__xludf.DUMMYFUNCTION("""COMPUTED_VALUE"""),46144.11571759259)</f>
        <v>46144.11572</v>
      </c>
      <c r="U503" s="93"/>
      <c r="V503" s="93"/>
      <c r="W503" s="93"/>
      <c r="X503" s="93"/>
      <c r="Y503" s="93"/>
      <c r="Z503" s="93"/>
    </row>
    <row r="504">
      <c r="A504" s="93" t="str">
        <f>IFERROR(__xludf.DUMMYFUNCTION("""COMPUTED_VALUE"""),"KIT-#17766")</f>
        <v>KIT-#17766</v>
      </c>
      <c r="B504" s="94">
        <f>IFERROR(__xludf.DUMMYFUNCTION("""COMPUTED_VALUE"""),46148.0)</f>
        <v>46148</v>
      </c>
      <c r="C504" s="93" t="str">
        <f>IFERROR(__xludf.DUMMYFUNCTION("""COMPUTED_VALUE"""),"Kit Delivery")</f>
        <v>Kit Delivery</v>
      </c>
      <c r="D504" s="93">
        <f>IFERROR(__xludf.DUMMYFUNCTION("""COMPUTED_VALUE"""),3.0)</f>
        <v>3</v>
      </c>
      <c r="E504" s="93" t="str">
        <f>IFERROR(__xludf.DUMMYFUNCTION("""COMPUTED_VALUE"""),"Lee")</f>
        <v>Lee</v>
      </c>
      <c r="F504" s="93" t="str">
        <f>IFERROR(__xludf.DUMMYFUNCTION("""COMPUTED_VALUE"""),"205-a")</f>
        <v>205-a</v>
      </c>
      <c r="G504" s="93" t="str">
        <f>IFERROR(__xludf.DUMMYFUNCTION("""COMPUTED_VALUE"""),"Adrian Payne")</f>
        <v>Adrian Payne</v>
      </c>
      <c r="H504" s="93">
        <f>IFERROR(__xludf.DUMMYFUNCTION("""COMPUTED_VALUE"""),5.512899879E9)</f>
        <v>5512899879</v>
      </c>
      <c r="I504" s="93" t="str">
        <f>IFERROR(__xludf.DUMMYFUNCTION("""COMPUTED_VALUE"""),"9AM-11AM")</f>
        <v>9AM-11AM</v>
      </c>
      <c r="J504" s="93">
        <f>IFERROR(__xludf.DUMMYFUNCTION("""COMPUTED_VALUE"""),2.0)</f>
        <v>2</v>
      </c>
      <c r="K504" s="93" t="str">
        <f>IFERROR(__xludf.DUMMYFUNCTION("""COMPUTED_VALUE"""),"Complete")</f>
        <v>Complete</v>
      </c>
      <c r="L504" s="93"/>
      <c r="M504" s="94">
        <f>IFERROR(__xludf.DUMMYFUNCTION("""COMPUTED_VALUE"""),46144.11865740741)</f>
        <v>46144.11866</v>
      </c>
      <c r="N504" s="93">
        <f>IFERROR(__xludf.DUMMYFUNCTION("""COMPUTED_VALUE"""),52.0)</f>
        <v>52</v>
      </c>
      <c r="O504" s="93"/>
      <c r="P504" s="93" t="str">
        <f>IFERROR(__xludf.DUMMYFUNCTION("""COMPUTED_VALUE"""),"Kit Delivery")</f>
        <v>Kit Delivery</v>
      </c>
      <c r="Q504" s="93"/>
      <c r="R504" s="93"/>
      <c r="S504" s="93" t="str">
        <f>IFERROR(__xludf.DUMMYFUNCTION("""COMPUTED_VALUE"""),"Dispatch_Images/KIT--17766.Photos.075049.jpg")</f>
        <v>Dispatch_Images/KIT--17766.Photos.075049.jpg</v>
      </c>
      <c r="T504" s="95">
        <f>IFERROR(__xludf.DUMMYFUNCTION("""COMPUTED_VALUE"""),46144.122662037036)</f>
        <v>46144.12266</v>
      </c>
      <c r="U504" s="93"/>
      <c r="V504" s="93"/>
      <c r="W504" s="93"/>
      <c r="X504" s="93"/>
      <c r="Y504" s="93"/>
      <c r="Z504" s="93"/>
    </row>
    <row r="505">
      <c r="A505" s="93" t="str">
        <f>IFERROR(__xludf.DUMMYFUNCTION("""COMPUTED_VALUE"""),"KIT-#18086")</f>
        <v>KIT-#18086</v>
      </c>
      <c r="B505" s="94">
        <f>IFERROR(__xludf.DUMMYFUNCTION("""COMPUTED_VALUE"""),46148.0)</f>
        <v>46148</v>
      </c>
      <c r="C505" s="93" t="str">
        <f>IFERROR(__xludf.DUMMYFUNCTION("""COMPUTED_VALUE"""),"Kit Delivery")</f>
        <v>Kit Delivery</v>
      </c>
      <c r="D505" s="93">
        <f>IFERROR(__xludf.DUMMYFUNCTION("""COMPUTED_VALUE"""),3.0)</f>
        <v>3</v>
      </c>
      <c r="E505" s="93" t="str">
        <f>IFERROR(__xludf.DUMMYFUNCTION("""COMPUTED_VALUE"""),"Lee")</f>
        <v>Lee</v>
      </c>
      <c r="F505" s="93">
        <f>IFERROR(__xludf.DUMMYFUNCTION("""COMPUTED_VALUE"""),307.0)</f>
        <v>307</v>
      </c>
      <c r="G505" s="93" t="str">
        <f>IFERROR(__xludf.DUMMYFUNCTION("""COMPUTED_VALUE"""),"Libi Horn")</f>
        <v>Libi Horn</v>
      </c>
      <c r="H505" s="93">
        <f>IFERROR(__xludf.DUMMYFUNCTION("""COMPUTED_VALUE"""),7.734262588E9)</f>
        <v>7734262588</v>
      </c>
      <c r="I505" s="93" t="str">
        <f>IFERROR(__xludf.DUMMYFUNCTION("""COMPUTED_VALUE"""),"3PM-5PM")</f>
        <v>3PM-5PM</v>
      </c>
      <c r="J505" s="93">
        <f>IFERROR(__xludf.DUMMYFUNCTION("""COMPUTED_VALUE"""),1.0)</f>
        <v>1</v>
      </c>
      <c r="K505" s="93" t="str">
        <f>IFERROR(__xludf.DUMMYFUNCTION("""COMPUTED_VALUE"""),"Complete")</f>
        <v>Complete</v>
      </c>
      <c r="L505" s="93"/>
      <c r="M505" s="94">
        <f>IFERROR(__xludf.DUMMYFUNCTION("""COMPUTED_VALUE"""),46144.1196412037)</f>
        <v>46144.11964</v>
      </c>
      <c r="N505" s="93">
        <f>IFERROR(__xludf.DUMMYFUNCTION("""COMPUTED_VALUE"""),61.0)</f>
        <v>61</v>
      </c>
      <c r="O505" s="93"/>
      <c r="P505" s="93" t="str">
        <f>IFERROR(__xludf.DUMMYFUNCTION("""COMPUTED_VALUE"""),"Kit Delivery")</f>
        <v>Kit Delivery</v>
      </c>
      <c r="Q505" s="93"/>
      <c r="R505" s="93"/>
      <c r="S505" s="93" t="str">
        <f>IFERROR(__xludf.DUMMYFUNCTION("""COMPUTED_VALUE"""),"Dispatch_Images/KIT--18086.Photos.075214.jpg")</f>
        <v>Dispatch_Images/KIT--18086.Photos.075214.jpg</v>
      </c>
      <c r="T505" s="95">
        <f>IFERROR(__xludf.DUMMYFUNCTION("""COMPUTED_VALUE"""),46144.122662037036)</f>
        <v>46144.12266</v>
      </c>
      <c r="U505" s="93"/>
      <c r="V505" s="93"/>
      <c r="W505" s="93"/>
      <c r="X505" s="93"/>
      <c r="Y505" s="93"/>
      <c r="Z505" s="93"/>
    </row>
    <row r="506">
      <c r="A506" s="93" t="str">
        <f>IFERROR(__xludf.DUMMYFUNCTION("""COMPUTED_VALUE"""),"KIT-#18036")</f>
        <v>KIT-#18036</v>
      </c>
      <c r="B506" s="94">
        <f>IFERROR(__xludf.DUMMYFUNCTION("""COMPUTED_VALUE"""),46148.0)</f>
        <v>46148</v>
      </c>
      <c r="C506" s="93" t="str">
        <f>IFERROR(__xludf.DUMMYFUNCTION("""COMPUTED_VALUE"""),"Kit Delivery")</f>
        <v>Kit Delivery</v>
      </c>
      <c r="D506" s="93">
        <f>IFERROR(__xludf.DUMMYFUNCTION("""COMPUTED_VALUE"""),3.0)</f>
        <v>3</v>
      </c>
      <c r="E506" s="93" t="str">
        <f>IFERROR(__xludf.DUMMYFUNCTION("""COMPUTED_VALUE"""),"Lee")</f>
        <v>Lee</v>
      </c>
      <c r="F506" s="93">
        <f>IFERROR(__xludf.DUMMYFUNCTION("""COMPUTED_VALUE"""),306.0)</f>
        <v>306</v>
      </c>
      <c r="G506" s="93" t="str">
        <f>IFERROR(__xludf.DUMMYFUNCTION("""COMPUTED_VALUE"""),"Merikessa Kinsey")</f>
        <v>Merikessa Kinsey</v>
      </c>
      <c r="H506" s="93">
        <f>IFERROR(__xludf.DUMMYFUNCTION("""COMPUTED_VALUE"""),1.3476344188E10)</f>
        <v>13476344188</v>
      </c>
      <c r="I506" s="93" t="str">
        <f>IFERROR(__xludf.DUMMYFUNCTION("""COMPUTED_VALUE"""),"3PM-5PM")</f>
        <v>3PM-5PM</v>
      </c>
      <c r="J506" s="93">
        <f>IFERROR(__xludf.DUMMYFUNCTION("""COMPUTED_VALUE"""),1.0)</f>
        <v>1</v>
      </c>
      <c r="K506" s="93" t="str">
        <f>IFERROR(__xludf.DUMMYFUNCTION("""COMPUTED_VALUE"""),"Complete")</f>
        <v>Complete</v>
      </c>
      <c r="L506" s="93"/>
      <c r="M506" s="94">
        <f>IFERROR(__xludf.DUMMYFUNCTION("""COMPUTED_VALUE"""),46144.120104166665)</f>
        <v>46144.1201</v>
      </c>
      <c r="N506" s="93">
        <f>IFERROR(__xludf.DUMMYFUNCTION("""COMPUTED_VALUE"""),60.0)</f>
        <v>60</v>
      </c>
      <c r="O506" s="93"/>
      <c r="P506" s="93" t="str">
        <f>IFERROR(__xludf.DUMMYFUNCTION("""COMPUTED_VALUE"""),"Kit Delivery")</f>
        <v>Kit Delivery</v>
      </c>
      <c r="Q506" s="93"/>
      <c r="R506" s="93"/>
      <c r="S506" s="93" t="str">
        <f>IFERROR(__xludf.DUMMYFUNCTION("""COMPUTED_VALUE"""),"Dispatch_Images/KIT--18036.Photos.075253.jpg")</f>
        <v>Dispatch_Images/KIT--18036.Photos.075253.jpg</v>
      </c>
      <c r="T506" s="95">
        <f>IFERROR(__xludf.DUMMYFUNCTION("""COMPUTED_VALUE"""),46144.122662037036)</f>
        <v>46144.12266</v>
      </c>
      <c r="U506" s="93"/>
      <c r="V506" s="93"/>
      <c r="W506" s="93"/>
      <c r="X506" s="93"/>
      <c r="Y506" s="93"/>
      <c r="Z506" s="93"/>
    </row>
    <row r="507">
      <c r="A507" s="93" t="str">
        <f>IFERROR(__xludf.DUMMYFUNCTION("""COMPUTED_VALUE"""),"KIT-#17562")</f>
        <v>KIT-#17562</v>
      </c>
      <c r="B507" s="94">
        <f>IFERROR(__xludf.DUMMYFUNCTION("""COMPUTED_VALUE"""),46148.0)</f>
        <v>46148</v>
      </c>
      <c r="C507" s="93" t="str">
        <f>IFERROR(__xludf.DUMMYFUNCTION("""COMPUTED_VALUE"""),"Kit Delivery")</f>
        <v>Kit Delivery</v>
      </c>
      <c r="D507" s="93">
        <f>IFERROR(__xludf.DUMMYFUNCTION("""COMPUTED_VALUE"""),3.0)</f>
        <v>3</v>
      </c>
      <c r="E507" s="93" t="str">
        <f>IFERROR(__xludf.DUMMYFUNCTION("""COMPUTED_VALUE"""),"Lee")</f>
        <v>Lee</v>
      </c>
      <c r="F507" s="93">
        <f>IFERROR(__xludf.DUMMYFUNCTION("""COMPUTED_VALUE"""),205.0)</f>
        <v>205</v>
      </c>
      <c r="G507" s="93" t="str">
        <f>IFERROR(__xludf.DUMMYFUNCTION("""COMPUTED_VALUE"""),"Evan Bahr")</f>
        <v>Evan Bahr</v>
      </c>
      <c r="H507" s="93">
        <f>IFERROR(__xludf.DUMMYFUNCTION("""COMPUTED_VALUE"""),4.145874195E9)</f>
        <v>4145874195</v>
      </c>
      <c r="I507" s="93" t="str">
        <f>IFERROR(__xludf.DUMMYFUNCTION("""COMPUTED_VALUE"""),"12PM-2PM")</f>
        <v>12PM-2PM</v>
      </c>
      <c r="J507" s="93">
        <f>IFERROR(__xludf.DUMMYFUNCTION("""COMPUTED_VALUE"""),1.0)</f>
        <v>1</v>
      </c>
      <c r="K507" s="93" t="str">
        <f>IFERROR(__xludf.DUMMYFUNCTION("""COMPUTED_VALUE"""),"Complete")</f>
        <v>Complete</v>
      </c>
      <c r="L507" s="93"/>
      <c r="M507" s="94">
        <f>IFERROR(__xludf.DUMMYFUNCTION("""COMPUTED_VALUE"""),46144.120196759264)</f>
        <v>46144.1202</v>
      </c>
      <c r="N507" s="93">
        <f>IFERROR(__xludf.DUMMYFUNCTION("""COMPUTED_VALUE"""),51.0)</f>
        <v>51</v>
      </c>
      <c r="O507" s="93"/>
      <c r="P507" s="93" t="str">
        <f>IFERROR(__xludf.DUMMYFUNCTION("""COMPUTED_VALUE"""),"Kit Delivery")</f>
        <v>Kit Delivery</v>
      </c>
      <c r="Q507" s="93"/>
      <c r="R507" s="93"/>
      <c r="S507" s="93" t="str">
        <f>IFERROR(__xludf.DUMMYFUNCTION("""COMPUTED_VALUE"""),"Dispatch_Images/KIT--17562.Photos.075301.jpg")</f>
        <v>Dispatch_Images/KIT--17562.Photos.075301.jpg</v>
      </c>
      <c r="T507" s="95">
        <f>IFERROR(__xludf.DUMMYFUNCTION("""COMPUTED_VALUE"""),46144.122662037036)</f>
        <v>46144.12266</v>
      </c>
      <c r="U507" s="93"/>
      <c r="V507" s="93"/>
      <c r="W507" s="93"/>
      <c r="X507" s="93"/>
      <c r="Y507" s="93"/>
      <c r="Z507" s="93"/>
    </row>
    <row r="508">
      <c r="A508" s="93" t="str">
        <f>IFERROR(__xludf.DUMMYFUNCTION("""COMPUTED_VALUE"""),"KIT-#17905")</f>
        <v>KIT-#17905</v>
      </c>
      <c r="B508" s="94">
        <f>IFERROR(__xludf.DUMMYFUNCTION("""COMPUTED_VALUE"""),46148.0)</f>
        <v>46148</v>
      </c>
      <c r="C508" s="93" t="str">
        <f>IFERROR(__xludf.DUMMYFUNCTION("""COMPUTED_VALUE"""),"Kit Delivery")</f>
        <v>Kit Delivery</v>
      </c>
      <c r="D508" s="93">
        <f>IFERROR(__xludf.DUMMYFUNCTION("""COMPUTED_VALUE"""),3.0)</f>
        <v>3</v>
      </c>
      <c r="E508" s="93" t="str">
        <f>IFERROR(__xludf.DUMMYFUNCTION("""COMPUTED_VALUE"""),"Lee")</f>
        <v>Lee</v>
      </c>
      <c r="F508" s="93">
        <f>IFERROR(__xludf.DUMMYFUNCTION("""COMPUTED_VALUE"""),219.0)</f>
        <v>219</v>
      </c>
      <c r="G508" s="93" t="str">
        <f>IFERROR(__xludf.DUMMYFUNCTION("""COMPUTED_VALUE"""),"Gabe Samek")</f>
        <v>Gabe Samek</v>
      </c>
      <c r="H508" s="93">
        <f>IFERROR(__xludf.DUMMYFUNCTION("""COMPUTED_VALUE"""),3.108804805E9)</f>
        <v>3108804805</v>
      </c>
      <c r="I508" s="93" t="str">
        <f>IFERROR(__xludf.DUMMYFUNCTION("""COMPUTED_VALUE"""),"3PM-5PM")</f>
        <v>3PM-5PM</v>
      </c>
      <c r="J508" s="93">
        <f>IFERROR(__xludf.DUMMYFUNCTION("""COMPUTED_VALUE"""),1.0)</f>
        <v>1</v>
      </c>
      <c r="K508" s="93" t="str">
        <f>IFERROR(__xludf.DUMMYFUNCTION("""COMPUTED_VALUE"""),"Complete")</f>
        <v>Complete</v>
      </c>
      <c r="L508" s="93"/>
      <c r="M508" s="94">
        <f>IFERROR(__xludf.DUMMYFUNCTION("""COMPUTED_VALUE"""),46144.120717592596)</f>
        <v>46144.12072</v>
      </c>
      <c r="N508" s="93">
        <f>IFERROR(__xludf.DUMMYFUNCTION("""COMPUTED_VALUE"""),56.0)</f>
        <v>56</v>
      </c>
      <c r="O508" s="93"/>
      <c r="P508" s="93" t="str">
        <f>IFERROR(__xludf.DUMMYFUNCTION("""COMPUTED_VALUE"""),"Kit Delivery")</f>
        <v>Kit Delivery</v>
      </c>
      <c r="Q508" s="93"/>
      <c r="R508" s="93"/>
      <c r="S508" s="93" t="str">
        <f>IFERROR(__xludf.DUMMYFUNCTION("""COMPUTED_VALUE"""),"Dispatch_Images/KIT--17905.Photos.075347.jpg")</f>
        <v>Dispatch_Images/KIT--17905.Photos.075347.jpg</v>
      </c>
      <c r="T508" s="95">
        <f>IFERROR(__xludf.DUMMYFUNCTION("""COMPUTED_VALUE"""),46144.122662037036)</f>
        <v>46144.12266</v>
      </c>
      <c r="U508" s="93"/>
      <c r="V508" s="93"/>
      <c r="W508" s="93"/>
      <c r="X508" s="93"/>
      <c r="Y508" s="93"/>
      <c r="Z508" s="93"/>
    </row>
    <row r="509">
      <c r="A509" s="93" t="str">
        <f>IFERROR(__xludf.DUMMYFUNCTION("""COMPUTED_VALUE"""),"KIT-#17593")</f>
        <v>KIT-#17593</v>
      </c>
      <c r="B509" s="94">
        <f>IFERROR(__xludf.DUMMYFUNCTION("""COMPUTED_VALUE"""),46148.0)</f>
        <v>46148</v>
      </c>
      <c r="C509" s="93" t="str">
        <f>IFERROR(__xludf.DUMMYFUNCTION("""COMPUTED_VALUE"""),"Kit Delivery")</f>
        <v>Kit Delivery</v>
      </c>
      <c r="D509" s="93">
        <f>IFERROR(__xludf.DUMMYFUNCTION("""COMPUTED_VALUE"""),3.0)</f>
        <v>3</v>
      </c>
      <c r="E509" s="93" t="str">
        <f>IFERROR(__xludf.DUMMYFUNCTION("""COMPUTED_VALUE"""),"Lee")</f>
        <v>Lee</v>
      </c>
      <c r="F509" s="93">
        <f>IFERROR(__xludf.DUMMYFUNCTION("""COMPUTED_VALUE"""),304.0)</f>
        <v>304</v>
      </c>
      <c r="G509" s="93" t="str">
        <f>IFERROR(__xludf.DUMMYFUNCTION("""COMPUTED_VALUE"""),"Jaden Sanders")</f>
        <v>Jaden Sanders</v>
      </c>
      <c r="H509" s="93">
        <f>IFERROR(__xludf.DUMMYFUNCTION("""COMPUTED_VALUE"""),9.192687045E9)</f>
        <v>9192687045</v>
      </c>
      <c r="I509" s="93" t="str">
        <f>IFERROR(__xludf.DUMMYFUNCTION("""COMPUTED_VALUE"""),"12PM-2PM")</f>
        <v>12PM-2PM</v>
      </c>
      <c r="J509" s="93">
        <f>IFERROR(__xludf.DUMMYFUNCTION("""COMPUTED_VALUE"""),1.0)</f>
        <v>1</v>
      </c>
      <c r="K509" s="93" t="str">
        <f>IFERROR(__xludf.DUMMYFUNCTION("""COMPUTED_VALUE"""),"Complete")</f>
        <v>Complete</v>
      </c>
      <c r="L509" s="93"/>
      <c r="M509" s="94">
        <f>IFERROR(__xludf.DUMMYFUNCTION("""COMPUTED_VALUE"""),46144.121828703705)</f>
        <v>46144.12183</v>
      </c>
      <c r="N509" s="93">
        <f>IFERROR(__xludf.DUMMYFUNCTION("""COMPUTED_VALUE"""),59.0)</f>
        <v>59</v>
      </c>
      <c r="O509" s="93"/>
      <c r="P509" s="93" t="str">
        <f>IFERROR(__xludf.DUMMYFUNCTION("""COMPUTED_VALUE"""),"Kit Delivery")</f>
        <v>Kit Delivery</v>
      </c>
      <c r="Q509" s="93"/>
      <c r="R509" s="93"/>
      <c r="S509" s="93" t="str">
        <f>IFERROR(__xludf.DUMMYFUNCTION("""COMPUTED_VALUE"""),"Dispatch_Images/KIT--17593.Photos.075523.jpg")</f>
        <v>Dispatch_Images/KIT--17593.Photos.075523.jpg</v>
      </c>
      <c r="T509" s="95">
        <f>IFERROR(__xludf.DUMMYFUNCTION("""COMPUTED_VALUE"""),46144.122662037036)</f>
        <v>46144.12266</v>
      </c>
      <c r="U509" s="93"/>
      <c r="V509" s="93"/>
      <c r="W509" s="93"/>
      <c r="X509" s="93"/>
      <c r="Y509" s="93"/>
      <c r="Z509" s="93"/>
    </row>
    <row r="510">
      <c r="A510" s="93" t="str">
        <f>IFERROR(__xludf.DUMMYFUNCTION("""COMPUTED_VALUE"""),"KIT-#17654")</f>
        <v>KIT-#17654</v>
      </c>
      <c r="B510" s="94">
        <f>IFERROR(__xludf.DUMMYFUNCTION("""COMPUTED_VALUE"""),46148.0)</f>
        <v>46148</v>
      </c>
      <c r="C510" s="93" t="str">
        <f>IFERROR(__xludf.DUMMYFUNCTION("""COMPUTED_VALUE"""),"Kit Delivery")</f>
        <v>Kit Delivery</v>
      </c>
      <c r="D510" s="93">
        <f>IFERROR(__xludf.DUMMYFUNCTION("""COMPUTED_VALUE"""),3.0)</f>
        <v>3</v>
      </c>
      <c r="E510" s="93" t="str">
        <f>IFERROR(__xludf.DUMMYFUNCTION("""COMPUTED_VALUE"""),"Lee")</f>
        <v>Lee</v>
      </c>
      <c r="F510" s="93">
        <f>IFERROR(__xludf.DUMMYFUNCTION("""COMPUTED_VALUE"""),219.0)</f>
        <v>219</v>
      </c>
      <c r="G510" s="93" t="str">
        <f>IFERROR(__xludf.DUMMYFUNCTION("""COMPUTED_VALUE"""),"Gabe")</f>
        <v>Gabe</v>
      </c>
      <c r="H510" s="93">
        <f>IFERROR(__xludf.DUMMYFUNCTION("""COMPUTED_VALUE"""),3.102463451E9)</f>
        <v>3102463451</v>
      </c>
      <c r="I510" s="93" t="str">
        <f>IFERROR(__xludf.DUMMYFUNCTION("""COMPUTED_VALUE"""),"3PM-5PM")</f>
        <v>3PM-5PM</v>
      </c>
      <c r="J510" s="93">
        <f>IFERROR(__xludf.DUMMYFUNCTION("""COMPUTED_VALUE"""),2.0)</f>
        <v>2</v>
      </c>
      <c r="K510" s="93" t="str">
        <f>IFERROR(__xludf.DUMMYFUNCTION("""COMPUTED_VALUE"""),"Complete")</f>
        <v>Complete</v>
      </c>
      <c r="L510" s="93"/>
      <c r="M510" s="94">
        <f>IFERROR(__xludf.DUMMYFUNCTION("""COMPUTED_VALUE"""),46144.12239583333)</f>
        <v>46144.1224</v>
      </c>
      <c r="N510" s="93">
        <f>IFERROR(__xludf.DUMMYFUNCTION("""COMPUTED_VALUE"""),55.0)</f>
        <v>55</v>
      </c>
      <c r="O510" s="93"/>
      <c r="P510" s="93" t="str">
        <f>IFERROR(__xludf.DUMMYFUNCTION("""COMPUTED_VALUE"""),"Kit Delivery")</f>
        <v>Kit Delivery</v>
      </c>
      <c r="Q510" s="93"/>
      <c r="R510" s="93"/>
      <c r="S510" s="93" t="str">
        <f>IFERROR(__xludf.DUMMYFUNCTION("""COMPUTED_VALUE"""),"Dispatch_Images/KIT--17654.Photos.075610.jpg")</f>
        <v>Dispatch_Images/KIT--17654.Photos.075610.jpg</v>
      </c>
      <c r="T510" s="95">
        <f>IFERROR(__xludf.DUMMYFUNCTION("""COMPUTED_VALUE"""),46144.122662037036)</f>
        <v>46144.12266</v>
      </c>
      <c r="U510" s="93"/>
      <c r="V510" s="93"/>
      <c r="W510" s="93"/>
      <c r="X510" s="93"/>
      <c r="Y510" s="93"/>
      <c r="Z510" s="93"/>
    </row>
    <row r="511">
      <c r="A511" s="93" t="str">
        <f>IFERROR(__xludf.DUMMYFUNCTION("""COMPUTED_VALUE"""),"KIT-#17124")</f>
        <v>KIT-#17124</v>
      </c>
      <c r="B511" s="94">
        <f>IFERROR(__xludf.DUMMYFUNCTION("""COMPUTED_VALUE"""),46148.0)</f>
        <v>46148</v>
      </c>
      <c r="C511" s="93" t="str">
        <f>IFERROR(__xludf.DUMMYFUNCTION("""COMPUTED_VALUE"""),"Kit Delivery")</f>
        <v>Kit Delivery</v>
      </c>
      <c r="D511" s="93">
        <f>IFERROR(__xludf.DUMMYFUNCTION("""COMPUTED_VALUE"""),2.0)</f>
        <v>2</v>
      </c>
      <c r="E511" s="93" t="str">
        <f>IFERROR(__xludf.DUMMYFUNCTION("""COMPUTED_VALUE"""),"House 2")</f>
        <v>House 2</v>
      </c>
      <c r="F511" s="93">
        <f>IFERROR(__xludf.DUMMYFUNCTION("""COMPUTED_VALUE"""),209.0)</f>
        <v>209</v>
      </c>
      <c r="G511" s="93" t="str">
        <f>IFERROR(__xludf.DUMMYFUNCTION("""COMPUTED_VALUE"""),"Ethan Bloom")</f>
        <v>Ethan Bloom</v>
      </c>
      <c r="H511" s="93">
        <f>IFERROR(__xludf.DUMMYFUNCTION("""COMPUTED_VALUE"""),9.175709951E9)</f>
        <v>9175709951</v>
      </c>
      <c r="I511" s="93" t="str">
        <f>IFERROR(__xludf.DUMMYFUNCTION("""COMPUTED_VALUE"""),"2PM-4PM")</f>
        <v>2PM-4PM</v>
      </c>
      <c r="J511" s="93">
        <f>IFERROR(__xludf.DUMMYFUNCTION("""COMPUTED_VALUE"""),1.0)</f>
        <v>1</v>
      </c>
      <c r="K511" s="93" t="str">
        <f>IFERROR(__xludf.DUMMYFUNCTION("""COMPUTED_VALUE"""),"Complete")</f>
        <v>Complete</v>
      </c>
      <c r="L511" s="93"/>
      <c r="M511" s="94">
        <f>IFERROR(__xludf.DUMMYFUNCTION("""COMPUTED_VALUE"""),46144.122835648144)</f>
        <v>46144.12284</v>
      </c>
      <c r="N511" s="93">
        <f>IFERROR(__xludf.DUMMYFUNCTION("""COMPUTED_VALUE"""),145.0)</f>
        <v>145</v>
      </c>
      <c r="O511" s="93"/>
      <c r="P511" s="93" t="str">
        <f>IFERROR(__xludf.DUMMYFUNCTION("""COMPUTED_VALUE"""),"Kit Delivery")</f>
        <v>Kit Delivery</v>
      </c>
      <c r="Q511" s="93"/>
      <c r="R511" s="93"/>
      <c r="S511" s="93" t="str">
        <f>IFERROR(__xludf.DUMMYFUNCTION("""COMPUTED_VALUE"""),"Dispatch_Images/KIT--17124.Photos.075649.jpg")</f>
        <v>Dispatch_Images/KIT--17124.Photos.075649.jpg</v>
      </c>
      <c r="T511" s="95">
        <f>IFERROR(__xludf.DUMMYFUNCTION("""COMPUTED_VALUE"""),46144.129594907405)</f>
        <v>46144.12959</v>
      </c>
      <c r="U511" s="93"/>
      <c r="V511" s="93"/>
      <c r="W511" s="93"/>
      <c r="X511" s="93"/>
      <c r="Y511" s="93"/>
      <c r="Z511" s="93"/>
    </row>
    <row r="512">
      <c r="A512" s="93" t="str">
        <f>IFERROR(__xludf.DUMMYFUNCTION("""COMPUTED_VALUE"""),"KIT-#17719")</f>
        <v>KIT-#17719</v>
      </c>
      <c r="B512" s="94">
        <f>IFERROR(__xludf.DUMMYFUNCTION("""COMPUTED_VALUE"""),46148.0)</f>
        <v>46148</v>
      </c>
      <c r="C512" s="93" t="str">
        <f>IFERROR(__xludf.DUMMYFUNCTION("""COMPUTED_VALUE"""),"Kit Delivery")</f>
        <v>Kit Delivery</v>
      </c>
      <c r="D512" s="93">
        <f>IFERROR(__xludf.DUMMYFUNCTION("""COMPUTED_VALUE"""),3.0)</f>
        <v>3</v>
      </c>
      <c r="E512" s="93" t="str">
        <f>IFERROR(__xludf.DUMMYFUNCTION("""COMPUTED_VALUE"""),"Hurd")</f>
        <v>Hurd</v>
      </c>
      <c r="F512" s="93">
        <f>IFERROR(__xludf.DUMMYFUNCTION("""COMPUTED_VALUE"""),142.0)</f>
        <v>142</v>
      </c>
      <c r="G512" s="93" t="str">
        <f>IFERROR(__xludf.DUMMYFUNCTION("""COMPUTED_VALUE"""),"Irene Son")</f>
        <v>Irene Son</v>
      </c>
      <c r="H512" s="93">
        <f>IFERROR(__xludf.DUMMYFUNCTION("""COMPUTED_VALUE"""),9.499109206E9)</f>
        <v>9499109206</v>
      </c>
      <c r="I512" s="93" t="str">
        <f>IFERROR(__xludf.DUMMYFUNCTION("""COMPUTED_VALUE"""),"3PM-5PM")</f>
        <v>3PM-5PM</v>
      </c>
      <c r="J512" s="93">
        <f>IFERROR(__xludf.DUMMYFUNCTION("""COMPUTED_VALUE"""),1.0)</f>
        <v>1</v>
      </c>
      <c r="K512" s="93" t="str">
        <f>IFERROR(__xludf.DUMMYFUNCTION("""COMPUTED_VALUE"""),"Complete")</f>
        <v>Complete</v>
      </c>
      <c r="L512" s="93"/>
      <c r="M512" s="94">
        <f>IFERROR(__xludf.DUMMYFUNCTION("""COMPUTED_VALUE"""),46144.12883101852)</f>
        <v>46144.12883</v>
      </c>
      <c r="N512" s="93">
        <f>IFERROR(__xludf.DUMMYFUNCTION("""COMPUTED_VALUE"""),2.0)</f>
        <v>2</v>
      </c>
      <c r="O512" s="93"/>
      <c r="P512" s="93" t="str">
        <f>IFERROR(__xludf.DUMMYFUNCTION("""COMPUTED_VALUE"""),"Kit Delivery")</f>
        <v>Kit Delivery</v>
      </c>
      <c r="Q512" s="93"/>
      <c r="R512" s="93"/>
      <c r="S512" s="93" t="str">
        <f>IFERROR(__xludf.DUMMYFUNCTION("""COMPUTED_VALUE"""),"Dispatch_Images/KIT--17719.Photos.080527.jpg")</f>
        <v>Dispatch_Images/KIT--17719.Photos.080527.jpg</v>
      </c>
      <c r="T512" s="95">
        <f>IFERROR(__xludf.DUMMYFUNCTION("""COMPUTED_VALUE"""),46144.129594907405)</f>
        <v>46144.12959</v>
      </c>
      <c r="U512" s="93"/>
      <c r="V512" s="93"/>
      <c r="W512" s="93"/>
      <c r="X512" s="93"/>
      <c r="Y512" s="93"/>
      <c r="Z512" s="93"/>
    </row>
    <row r="513">
      <c r="A513" s="93" t="str">
        <f>IFERROR(__xludf.DUMMYFUNCTION("""COMPUTED_VALUE"""),"KIT-#17755")</f>
        <v>KIT-#17755</v>
      </c>
      <c r="B513" s="94">
        <f>IFERROR(__xludf.DUMMYFUNCTION("""COMPUTED_VALUE"""),46148.0)</f>
        <v>46148</v>
      </c>
      <c r="C513" s="93" t="str">
        <f>IFERROR(__xludf.DUMMYFUNCTION("""COMPUTED_VALUE"""),"Kit Delivery")</f>
        <v>Kit Delivery</v>
      </c>
      <c r="D513" s="93">
        <f>IFERROR(__xludf.DUMMYFUNCTION("""COMPUTED_VALUE"""),2.0)</f>
        <v>2</v>
      </c>
      <c r="E513" s="93" t="str">
        <f>IFERROR(__xludf.DUMMYFUNCTION("""COMPUTED_VALUE"""),"Village East")</f>
        <v>Village East</v>
      </c>
      <c r="F513" s="93">
        <f>IFERROR(__xludf.DUMMYFUNCTION("""COMPUTED_VALUE"""),2044.0)</f>
        <v>2044</v>
      </c>
      <c r="G513" s="93" t="str">
        <f>IFERROR(__xludf.DUMMYFUNCTION("""COMPUTED_VALUE"""),"Sophie Wollitzer")</f>
        <v>Sophie Wollitzer</v>
      </c>
      <c r="H513" s="93">
        <f>IFERROR(__xludf.DUMMYFUNCTION("""COMPUTED_VALUE"""),4.806949495E9)</f>
        <v>4806949495</v>
      </c>
      <c r="I513" s="93" t="str">
        <f>IFERROR(__xludf.DUMMYFUNCTION("""COMPUTED_VALUE"""),"1PM-3PM")</f>
        <v>1PM-3PM</v>
      </c>
      <c r="J513" s="93">
        <f>IFERROR(__xludf.DUMMYFUNCTION("""COMPUTED_VALUE"""),1.0)</f>
        <v>1</v>
      </c>
      <c r="K513" s="93" t="str">
        <f>IFERROR(__xludf.DUMMYFUNCTION("""COMPUTED_VALUE"""),"Complete")</f>
        <v>Complete</v>
      </c>
      <c r="L513" s="93"/>
      <c r="M513" s="94">
        <f>IFERROR(__xludf.DUMMYFUNCTION("""COMPUTED_VALUE"""),46144.13025462963)</f>
        <v>46144.13025</v>
      </c>
      <c r="N513" s="93">
        <f>IFERROR(__xludf.DUMMYFUNCTION("""COMPUTED_VALUE"""),125.0)</f>
        <v>125</v>
      </c>
      <c r="O513" s="93"/>
      <c r="P513" s="93" t="str">
        <f>IFERROR(__xludf.DUMMYFUNCTION("""COMPUTED_VALUE"""),"Kit Delivery")</f>
        <v>Kit Delivery</v>
      </c>
      <c r="Q513" s="93"/>
      <c r="R513" s="93"/>
      <c r="S513" s="93" t="str">
        <f>IFERROR(__xludf.DUMMYFUNCTION("""COMPUTED_VALUE"""),"Dispatch_Images/KIT--17755.Photos.080731.jpg")</f>
        <v>Dispatch_Images/KIT--17755.Photos.080731.jpg</v>
      </c>
      <c r="T513" s="95">
        <f>IFERROR(__xludf.DUMMYFUNCTION("""COMPUTED_VALUE"""),46144.13653935185)</f>
        <v>46144.13654</v>
      </c>
      <c r="U513" s="93"/>
      <c r="V513" s="93"/>
      <c r="W513" s="93"/>
      <c r="X513" s="93"/>
      <c r="Y513" s="93"/>
      <c r="Z513" s="93"/>
    </row>
    <row r="514">
      <c r="A514" s="93" t="str">
        <f>IFERROR(__xludf.DUMMYFUNCTION("""COMPUTED_VALUE"""),"KIT-#17723")</f>
        <v>KIT-#17723</v>
      </c>
      <c r="B514" s="94">
        <f>IFERROR(__xludf.DUMMYFUNCTION("""COMPUTED_VALUE"""),46148.0)</f>
        <v>46148</v>
      </c>
      <c r="C514" s="93" t="str">
        <f>IFERROR(__xludf.DUMMYFUNCTION("""COMPUTED_VALUE"""),"Kit Delivery")</f>
        <v>Kit Delivery</v>
      </c>
      <c r="D514" s="93">
        <f>IFERROR(__xludf.DUMMYFUNCTION("""COMPUTED_VALUE"""),3.0)</f>
        <v>3</v>
      </c>
      <c r="E514" s="93" t="str">
        <f>IFERROR(__xludf.DUMMYFUNCTION("""COMPUTED_VALUE"""),"Hurd")</f>
        <v>Hurd</v>
      </c>
      <c r="F514" s="93">
        <f>IFERROR(__xludf.DUMMYFUNCTION("""COMPUTED_VALUE"""),242.0)</f>
        <v>242</v>
      </c>
      <c r="G514" s="93" t="str">
        <f>IFERROR(__xludf.DUMMYFUNCTION("""COMPUTED_VALUE"""),"Terry Kim")</f>
        <v>Terry Kim</v>
      </c>
      <c r="H514" s="93">
        <f>IFERROR(__xludf.DUMMYFUNCTION("""COMPUTED_VALUE"""),3.142248424E9)</f>
        <v>3142248424</v>
      </c>
      <c r="I514" s="93" t="str">
        <f>IFERROR(__xludf.DUMMYFUNCTION("""COMPUTED_VALUE"""),"3PM-5PM")</f>
        <v>3PM-5PM</v>
      </c>
      <c r="J514" s="93">
        <f>IFERROR(__xludf.DUMMYFUNCTION("""COMPUTED_VALUE"""),1.0)</f>
        <v>1</v>
      </c>
      <c r="K514" s="93" t="str">
        <f>IFERROR(__xludf.DUMMYFUNCTION("""COMPUTED_VALUE"""),"Complete")</f>
        <v>Complete</v>
      </c>
      <c r="L514" s="93"/>
      <c r="M514" s="94">
        <f>IFERROR(__xludf.DUMMYFUNCTION("""COMPUTED_VALUE"""),46144.130625000005)</f>
        <v>46144.13063</v>
      </c>
      <c r="N514" s="93">
        <f>IFERROR(__xludf.DUMMYFUNCTION("""COMPUTED_VALUE"""),8.0)</f>
        <v>8</v>
      </c>
      <c r="O514" s="93"/>
      <c r="P514" s="93" t="str">
        <f>IFERROR(__xludf.DUMMYFUNCTION("""COMPUTED_VALUE"""),"Kit Delivery")</f>
        <v>Kit Delivery</v>
      </c>
      <c r="Q514" s="93"/>
      <c r="R514" s="93"/>
      <c r="S514" s="93" t="str">
        <f>IFERROR(__xludf.DUMMYFUNCTION("""COMPUTED_VALUE"""),"Dispatch_Images/KIT--17723.Photos.080803.jpg")</f>
        <v>Dispatch_Images/KIT--17723.Photos.080803.jpg</v>
      </c>
      <c r="T514" s="95">
        <f>IFERROR(__xludf.DUMMYFUNCTION("""COMPUTED_VALUE"""),46144.13653935185)</f>
        <v>46144.13654</v>
      </c>
      <c r="U514" s="93"/>
      <c r="V514" s="93"/>
      <c r="W514" s="93"/>
      <c r="X514" s="93"/>
      <c r="Y514" s="93"/>
      <c r="Z514" s="93"/>
    </row>
    <row r="515">
      <c r="A515" s="93" t="str">
        <f>IFERROR(__xludf.DUMMYFUNCTION("""COMPUTED_VALUE"""),"KIT-#17478")</f>
        <v>KIT-#17478</v>
      </c>
      <c r="B515" s="94">
        <f>IFERROR(__xludf.DUMMYFUNCTION("""COMPUTED_VALUE"""),46148.0)</f>
        <v>46148</v>
      </c>
      <c r="C515" s="93" t="str">
        <f>IFERROR(__xludf.DUMMYFUNCTION("""COMPUTED_VALUE"""),"Kit Delivery")</f>
        <v>Kit Delivery</v>
      </c>
      <c r="D515" s="93">
        <f>IFERROR(__xludf.DUMMYFUNCTION("""COMPUTED_VALUE"""),3.0)</f>
        <v>3</v>
      </c>
      <c r="E515" s="93" t="str">
        <f>IFERROR(__xludf.DUMMYFUNCTION("""COMPUTED_VALUE"""),"Hurd")</f>
        <v>Hurd</v>
      </c>
      <c r="F515" s="93">
        <f>IFERROR(__xludf.DUMMYFUNCTION("""COMPUTED_VALUE"""),212.0)</f>
        <v>212</v>
      </c>
      <c r="G515" s="93" t="str">
        <f>IFERROR(__xludf.DUMMYFUNCTION("""COMPUTED_VALUE"""),"Leo Lin")</f>
        <v>Leo Lin</v>
      </c>
      <c r="H515" s="93">
        <f>IFERROR(__xludf.DUMMYFUNCTION("""COMPUTED_VALUE"""),8.145066887E9)</f>
        <v>8145066887</v>
      </c>
      <c r="I515" s="93" t="str">
        <f>IFERROR(__xludf.DUMMYFUNCTION("""COMPUTED_VALUE"""),"9AM-11AM")</f>
        <v>9AM-11AM</v>
      </c>
      <c r="J515" s="93">
        <f>IFERROR(__xludf.DUMMYFUNCTION("""COMPUTED_VALUE"""),1.0)</f>
        <v>1</v>
      </c>
      <c r="K515" s="93" t="str">
        <f>IFERROR(__xludf.DUMMYFUNCTION("""COMPUTED_VALUE"""),"Complete")</f>
        <v>Complete</v>
      </c>
      <c r="L515" s="93"/>
      <c r="M515" s="94">
        <f>IFERROR(__xludf.DUMMYFUNCTION("""COMPUTED_VALUE"""),46144.130694444444)</f>
        <v>46144.13069</v>
      </c>
      <c r="N515" s="93">
        <f>IFERROR(__xludf.DUMMYFUNCTION("""COMPUTED_VALUE"""),3.0)</f>
        <v>3</v>
      </c>
      <c r="O515" s="93"/>
      <c r="P515" s="93" t="str">
        <f>IFERROR(__xludf.DUMMYFUNCTION("""COMPUTED_VALUE"""),"Kit Delivery")</f>
        <v>Kit Delivery</v>
      </c>
      <c r="Q515" s="93"/>
      <c r="R515" s="93"/>
      <c r="S515" s="93" t="str">
        <f>IFERROR(__xludf.DUMMYFUNCTION("""COMPUTED_VALUE"""),"Dispatch_Images/KIT--17478.Photos.080542.jpg")</f>
        <v>Dispatch_Images/KIT--17478.Photos.080542.jpg</v>
      </c>
      <c r="T515" s="95">
        <f>IFERROR(__xludf.DUMMYFUNCTION("""COMPUTED_VALUE"""),46144.13653935185)</f>
        <v>46144.13654</v>
      </c>
      <c r="U515" s="93"/>
      <c r="V515" s="93"/>
      <c r="W515" s="93"/>
      <c r="X515" s="93"/>
      <c r="Y515" s="93"/>
      <c r="Z515" s="93"/>
    </row>
    <row r="516">
      <c r="A516" s="93" t="str">
        <f>IFERROR(__xludf.DUMMYFUNCTION("""COMPUTED_VALUE"""),"KIT-#17748")</f>
        <v>KIT-#17748</v>
      </c>
      <c r="B516" s="94">
        <f>IFERROR(__xludf.DUMMYFUNCTION("""COMPUTED_VALUE"""),46148.0)</f>
        <v>46148</v>
      </c>
      <c r="C516" s="93" t="str">
        <f>IFERROR(__xludf.DUMMYFUNCTION("""COMPUTED_VALUE"""),"Kit Delivery")</f>
        <v>Kit Delivery</v>
      </c>
      <c r="D516" s="93">
        <f>IFERROR(__xludf.DUMMYFUNCTION("""COMPUTED_VALUE"""),3.0)</f>
        <v>3</v>
      </c>
      <c r="E516" s="93" t="str">
        <f>IFERROR(__xludf.DUMMYFUNCTION("""COMPUTED_VALUE"""),"Lopata")</f>
        <v>Lopata</v>
      </c>
      <c r="F516" s="93">
        <f>IFERROR(__xludf.DUMMYFUNCTION("""COMPUTED_VALUE"""),2083.0)</f>
        <v>2083</v>
      </c>
      <c r="G516" s="93" t="str">
        <f>IFERROR(__xludf.DUMMYFUNCTION("""COMPUTED_VALUE"""),"Matt Choi")</f>
        <v>Matt Choi</v>
      </c>
      <c r="H516" s="93">
        <f>IFERROR(__xludf.DUMMYFUNCTION("""COMPUTED_VALUE"""),3.146590578E9)</f>
        <v>3146590578</v>
      </c>
      <c r="I516" s="93" t="str">
        <f>IFERROR(__xludf.DUMMYFUNCTION("""COMPUTED_VALUE"""),"9AM-11AM")</f>
        <v>9AM-11AM</v>
      </c>
      <c r="J516" s="93">
        <f>IFERROR(__xludf.DUMMYFUNCTION("""COMPUTED_VALUE"""),1.0)</f>
        <v>1</v>
      </c>
      <c r="K516" s="93" t="str">
        <f>IFERROR(__xludf.DUMMYFUNCTION("""COMPUTED_VALUE"""),"Complete")</f>
        <v>Complete</v>
      </c>
      <c r="L516" s="93"/>
      <c r="M516" s="94">
        <f>IFERROR(__xludf.DUMMYFUNCTION("""COMPUTED_VALUE"""),46144.1381712963)</f>
        <v>46144.13817</v>
      </c>
      <c r="N516" s="93">
        <f>IFERROR(__xludf.DUMMYFUNCTION("""COMPUTED_VALUE"""),117.0)</f>
        <v>117</v>
      </c>
      <c r="O516" s="93"/>
      <c r="P516" s="93" t="str">
        <f>IFERROR(__xludf.DUMMYFUNCTION("""COMPUTED_VALUE"""),"Kit Delivery")</f>
        <v>Kit Delivery</v>
      </c>
      <c r="Q516" s="93"/>
      <c r="R516" s="93"/>
      <c r="S516" s="93" t="str">
        <f>IFERROR(__xludf.DUMMYFUNCTION("""COMPUTED_VALUE"""),"Dispatch_Images/KIT--17748.Photos.081854.jpg")</f>
        <v>Dispatch_Images/KIT--17748.Photos.081854.jpg</v>
      </c>
      <c r="T516" s="95">
        <f>IFERROR(__xludf.DUMMYFUNCTION("""COMPUTED_VALUE"""),46144.143483796295)</f>
        <v>46144.14348</v>
      </c>
      <c r="U516" s="93"/>
      <c r="V516" s="93"/>
      <c r="W516" s="93"/>
      <c r="X516" s="93"/>
      <c r="Y516" s="93"/>
      <c r="Z516" s="93"/>
    </row>
    <row r="517">
      <c r="A517" s="93" t="str">
        <f>IFERROR(__xludf.DUMMYFUNCTION("""COMPUTED_VALUE"""),"KIT-#18052")</f>
        <v>KIT-#18052</v>
      </c>
      <c r="B517" s="94">
        <f>IFERROR(__xludf.DUMMYFUNCTION("""COMPUTED_VALUE"""),46148.0)</f>
        <v>46148</v>
      </c>
      <c r="C517" s="93" t="str">
        <f>IFERROR(__xludf.DUMMYFUNCTION("""COMPUTED_VALUE"""),"Kit Delivery")</f>
        <v>Kit Delivery</v>
      </c>
      <c r="D517" s="93">
        <f>IFERROR(__xludf.DUMMYFUNCTION("""COMPUTED_VALUE"""),3.0)</f>
        <v>3</v>
      </c>
      <c r="E517" s="93" t="str">
        <f>IFERROR(__xludf.DUMMYFUNCTION("""COMPUTED_VALUE"""),"Lopata")</f>
        <v>Lopata</v>
      </c>
      <c r="F517" s="93">
        <f>IFERROR(__xludf.DUMMYFUNCTION("""COMPUTED_VALUE"""),1112.0)</f>
        <v>1112</v>
      </c>
      <c r="G517" s="93" t="str">
        <f>IFERROR(__xludf.DUMMYFUNCTION("""COMPUTED_VALUE"""),"Fay Schneider")</f>
        <v>Fay Schneider</v>
      </c>
      <c r="H517" s="93">
        <f>IFERROR(__xludf.DUMMYFUNCTION("""COMPUTED_VALUE"""),6.468563561E9)</f>
        <v>6468563561</v>
      </c>
      <c r="I517" s="93" t="str">
        <f>IFERROR(__xludf.DUMMYFUNCTION("""COMPUTED_VALUE"""),"1PM-3PM")</f>
        <v>1PM-3PM</v>
      </c>
      <c r="J517" s="93">
        <f>IFERROR(__xludf.DUMMYFUNCTION("""COMPUTED_VALUE"""),1.0)</f>
        <v>1</v>
      </c>
      <c r="K517" s="93" t="str">
        <f>IFERROR(__xludf.DUMMYFUNCTION("""COMPUTED_VALUE"""),"Complete")</f>
        <v>Complete</v>
      </c>
      <c r="L517" s="93"/>
      <c r="M517" s="94">
        <f>IFERROR(__xludf.DUMMYFUNCTION("""COMPUTED_VALUE"""),46144.13864583333)</f>
        <v>46144.13865</v>
      </c>
      <c r="N517" s="93">
        <f>IFERROR(__xludf.DUMMYFUNCTION("""COMPUTED_VALUE"""),112.0)</f>
        <v>112</v>
      </c>
      <c r="O517" s="93"/>
      <c r="P517" s="93" t="str">
        <f>IFERROR(__xludf.DUMMYFUNCTION("""COMPUTED_VALUE"""),"Kit Delivery")</f>
        <v>Kit Delivery</v>
      </c>
      <c r="Q517" s="93"/>
      <c r="R517" s="93"/>
      <c r="S517" s="93" t="str">
        <f>IFERROR(__xludf.DUMMYFUNCTION("""COMPUTED_VALUE"""),"Dispatch_Images/KIT--18052.Photos.081936.jpg")</f>
        <v>Dispatch_Images/KIT--18052.Photos.081936.jpg</v>
      </c>
      <c r="T517" s="95">
        <f>IFERROR(__xludf.DUMMYFUNCTION("""COMPUTED_VALUE"""),46144.143483796295)</f>
        <v>46144.14348</v>
      </c>
      <c r="U517" s="93"/>
      <c r="V517" s="93"/>
      <c r="W517" s="93"/>
      <c r="X517" s="93"/>
      <c r="Y517" s="93"/>
      <c r="Z517" s="93"/>
    </row>
    <row r="518">
      <c r="A518" s="93" t="str">
        <f>IFERROR(__xludf.DUMMYFUNCTION("""COMPUTED_VALUE"""),"KIT-#18014")</f>
        <v>KIT-#18014</v>
      </c>
      <c r="B518" s="94">
        <f>IFERROR(__xludf.DUMMYFUNCTION("""COMPUTED_VALUE"""),46148.0)</f>
        <v>46148</v>
      </c>
      <c r="C518" s="93" t="str">
        <f>IFERROR(__xludf.DUMMYFUNCTION("""COMPUTED_VALUE"""),"Kit Delivery")</f>
        <v>Kit Delivery</v>
      </c>
      <c r="D518" s="93">
        <f>IFERROR(__xludf.DUMMYFUNCTION("""COMPUTED_VALUE"""),3.0)</f>
        <v>3</v>
      </c>
      <c r="E518" s="93" t="str">
        <f>IFERROR(__xludf.DUMMYFUNCTION("""COMPUTED_VALUE"""),"Lopata")</f>
        <v>Lopata</v>
      </c>
      <c r="F518" s="93">
        <f>IFERROR(__xludf.DUMMYFUNCTION("""COMPUTED_VALUE"""),2031.0)</f>
        <v>2031</v>
      </c>
      <c r="G518" s="93" t="str">
        <f>IFERROR(__xludf.DUMMYFUNCTION("""COMPUTED_VALUE"""),"Emma Linden")</f>
        <v>Emma Linden</v>
      </c>
      <c r="H518" s="93">
        <f>IFERROR(__xludf.DUMMYFUNCTION("""COMPUTED_VALUE"""),9.292909646E9)</f>
        <v>9292909646</v>
      </c>
      <c r="I518" s="93" t="str">
        <f>IFERROR(__xludf.DUMMYFUNCTION("""COMPUTED_VALUE"""),"9AM-11AM")</f>
        <v>9AM-11AM</v>
      </c>
      <c r="J518" s="93">
        <f>IFERROR(__xludf.DUMMYFUNCTION("""COMPUTED_VALUE"""),1.0)</f>
        <v>1</v>
      </c>
      <c r="K518" s="93" t="str">
        <f>IFERROR(__xludf.DUMMYFUNCTION("""COMPUTED_VALUE"""),"Complete")</f>
        <v>Complete</v>
      </c>
      <c r="L518" s="93"/>
      <c r="M518" s="94">
        <f>IFERROR(__xludf.DUMMYFUNCTION("""COMPUTED_VALUE"""),46144.139548611114)</f>
        <v>46144.13955</v>
      </c>
      <c r="N518" s="93">
        <f>IFERROR(__xludf.DUMMYFUNCTION("""COMPUTED_VALUE"""),116.0)</f>
        <v>116</v>
      </c>
      <c r="O518" s="93" t="str">
        <f>IFERROR(__xludf.DUMMYFUNCTION("""COMPUTED_VALUE"""),"49 west 75th street, apt 3 New York, ny 10023")</f>
        <v>49 west 75th street, apt 3 New York, ny 10023</v>
      </c>
      <c r="P518" s="93" t="str">
        <f>IFERROR(__xludf.DUMMYFUNCTION("""COMPUTED_VALUE"""),"Kit Delivery")</f>
        <v>Kit Delivery</v>
      </c>
      <c r="Q518" s="93" t="str">
        <f>IFERROR(__xludf.DUMMYFUNCTION("""COMPUTED_VALUE"""),"My flight is on the 6th if I have left for the airport before you come to pick up boxes doors will be left taped/unlocked.")</f>
        <v>My flight is on the 6th if I have left for the airport before you come to pick up boxes doors will be left taped/unlocked.</v>
      </c>
      <c r="R518" s="93"/>
      <c r="S518" s="93" t="str">
        <f>IFERROR(__xludf.DUMMYFUNCTION("""COMPUTED_VALUE"""),"Dispatch_Images/KIT--18014.Photos.082053.jpg")</f>
        <v>Dispatch_Images/KIT--18014.Photos.082053.jpg</v>
      </c>
      <c r="T518" s="95">
        <f>IFERROR(__xludf.DUMMYFUNCTION("""COMPUTED_VALUE"""),46144.143483796295)</f>
        <v>46144.14348</v>
      </c>
      <c r="U518" s="93"/>
      <c r="V518" s="93"/>
      <c r="W518" s="93"/>
      <c r="X518" s="93"/>
      <c r="Y518" s="93"/>
      <c r="Z518" s="93"/>
    </row>
    <row r="519">
      <c r="A519" s="93" t="str">
        <f>IFERROR(__xludf.DUMMYFUNCTION("""COMPUTED_VALUE"""),"KIT-#17615")</f>
        <v>KIT-#17615</v>
      </c>
      <c r="B519" s="94">
        <f>IFERROR(__xludf.DUMMYFUNCTION("""COMPUTED_VALUE"""),46148.0)</f>
        <v>46148</v>
      </c>
      <c r="C519" s="93" t="str">
        <f>IFERROR(__xludf.DUMMYFUNCTION("""COMPUTED_VALUE"""),"Kit Delivery")</f>
        <v>Kit Delivery</v>
      </c>
      <c r="D519" s="93">
        <f>IFERROR(__xludf.DUMMYFUNCTION("""COMPUTED_VALUE"""),3.0)</f>
        <v>3</v>
      </c>
      <c r="E519" s="93" t="str">
        <f>IFERROR(__xludf.DUMMYFUNCTION("""COMPUTED_VALUE"""),"Lopata")</f>
        <v>Lopata</v>
      </c>
      <c r="F519" s="93">
        <f>IFERROR(__xludf.DUMMYFUNCTION("""COMPUTED_VALUE"""),3050.0)</f>
        <v>3050</v>
      </c>
      <c r="G519" s="93" t="str">
        <f>IFERROR(__xludf.DUMMYFUNCTION("""COMPUTED_VALUE"""),"Sabrina Silbert")</f>
        <v>Sabrina Silbert</v>
      </c>
      <c r="H519" s="93">
        <f>IFERROR(__xludf.DUMMYFUNCTION("""COMPUTED_VALUE"""),9.178415578E9)</f>
        <v>9178415578</v>
      </c>
      <c r="I519" s="93" t="str">
        <f>IFERROR(__xludf.DUMMYFUNCTION("""COMPUTED_VALUE"""),"9AM-11AM")</f>
        <v>9AM-11AM</v>
      </c>
      <c r="J519" s="93">
        <f>IFERROR(__xludf.DUMMYFUNCTION("""COMPUTED_VALUE"""),1.0)</f>
        <v>1</v>
      </c>
      <c r="K519" s="93" t="str">
        <f>IFERROR(__xludf.DUMMYFUNCTION("""COMPUTED_VALUE"""),"Complete")</f>
        <v>Complete</v>
      </c>
      <c r="L519" s="93"/>
      <c r="M519" s="94">
        <f>IFERROR(__xludf.DUMMYFUNCTION("""COMPUTED_VALUE"""),46144.14024305556)</f>
        <v>46144.14024</v>
      </c>
      <c r="N519" s="93">
        <f>IFERROR(__xludf.DUMMYFUNCTION("""COMPUTED_VALUE"""),118.0)</f>
        <v>118</v>
      </c>
      <c r="O519" s="93"/>
      <c r="P519" s="93" t="str">
        <f>IFERROR(__xludf.DUMMYFUNCTION("""COMPUTED_VALUE"""),"Kit Delivery")</f>
        <v>Kit Delivery</v>
      </c>
      <c r="Q519" s="93"/>
      <c r="R519" s="93"/>
      <c r="S519" s="93" t="str">
        <f>IFERROR(__xludf.DUMMYFUNCTION("""COMPUTED_VALUE"""),"Dispatch_Images/KIT--17615.Photos.082153.jpg")</f>
        <v>Dispatch_Images/KIT--17615.Photos.082153.jpg</v>
      </c>
      <c r="T519" s="95">
        <f>IFERROR(__xludf.DUMMYFUNCTION("""COMPUTED_VALUE"""),46144.143483796295)</f>
        <v>46144.14348</v>
      </c>
      <c r="U519" s="93"/>
      <c r="V519" s="93"/>
      <c r="W519" s="93"/>
      <c r="X519" s="93"/>
      <c r="Y519" s="93"/>
      <c r="Z519" s="93"/>
    </row>
    <row r="520">
      <c r="A520" s="93" t="str">
        <f>IFERROR(__xludf.DUMMYFUNCTION("""COMPUTED_VALUE"""),"KIT-#18131")</f>
        <v>KIT-#18131</v>
      </c>
      <c r="B520" s="94">
        <f>IFERROR(__xludf.DUMMYFUNCTION("""COMPUTED_VALUE"""),46148.0)</f>
        <v>46148</v>
      </c>
      <c r="C520" s="93" t="str">
        <f>IFERROR(__xludf.DUMMYFUNCTION("""COMPUTED_VALUE"""),"Kit Delivery")</f>
        <v>Kit Delivery</v>
      </c>
      <c r="D520" s="93">
        <f>IFERROR(__xludf.DUMMYFUNCTION("""COMPUTED_VALUE"""),3.0)</f>
        <v>3</v>
      </c>
      <c r="E520" s="93" t="str">
        <f>IFERROR(__xludf.DUMMYFUNCTION("""COMPUTED_VALUE"""),"Millbrook Bldg. 4")</f>
        <v>Millbrook Bldg. 4</v>
      </c>
      <c r="F520" s="93">
        <f>IFERROR(__xludf.DUMMYFUNCTION("""COMPUTED_VALUE"""),103.0)</f>
        <v>103</v>
      </c>
      <c r="G520" s="93" t="str">
        <f>IFERROR(__xludf.DUMMYFUNCTION("""COMPUTED_VALUE"""),"Polly Partridge")</f>
        <v>Polly Partridge</v>
      </c>
      <c r="H520" s="93">
        <f>IFERROR(__xludf.DUMMYFUNCTION("""COMPUTED_VALUE"""),2.022626813E9)</f>
        <v>2022626813</v>
      </c>
      <c r="I520" s="93" t="str">
        <f>IFERROR(__xludf.DUMMYFUNCTION("""COMPUTED_VALUE"""),"3PM-5PM")</f>
        <v>3PM-5PM</v>
      </c>
      <c r="J520" s="93">
        <f>IFERROR(__xludf.DUMMYFUNCTION("""COMPUTED_VALUE"""),2.0)</f>
        <v>2</v>
      </c>
      <c r="K520" s="93" t="str">
        <f>IFERROR(__xludf.DUMMYFUNCTION("""COMPUTED_VALUE"""),"Complete")</f>
        <v>Complete</v>
      </c>
      <c r="L520" s="93"/>
      <c r="M520" s="94">
        <f>IFERROR(__xludf.DUMMYFUNCTION("""COMPUTED_VALUE"""),46144.152974537035)</f>
        <v>46144.15297</v>
      </c>
      <c r="N520" s="93">
        <f>IFERROR(__xludf.DUMMYFUNCTION("""COMPUTED_VALUE"""),138.0)</f>
        <v>138</v>
      </c>
      <c r="O520" s="93"/>
      <c r="P520" s="93" t="str">
        <f>IFERROR(__xludf.DUMMYFUNCTION("""COMPUTED_VALUE"""),"Kit Delivery")</f>
        <v>Kit Delivery</v>
      </c>
      <c r="Q520" s="93"/>
      <c r="R520" s="93"/>
      <c r="S520" s="93" t="str">
        <f>IFERROR(__xludf.DUMMYFUNCTION("""COMPUTED_VALUE"""),"Dispatch_Images/KIT--18131.Photos.084014.jpg")</f>
        <v>Dispatch_Images/KIT--18131.Photos.084014.jpg</v>
      </c>
      <c r="T520" s="95">
        <f>IFERROR(__xludf.DUMMYFUNCTION("""COMPUTED_VALUE"""),46144.15738425926)</f>
        <v>46144.15738</v>
      </c>
      <c r="U520" s="93"/>
      <c r="V520" s="93"/>
      <c r="W520" s="93"/>
      <c r="X520" s="93"/>
      <c r="Y520" s="93"/>
      <c r="Z520" s="93"/>
    </row>
    <row r="521">
      <c r="A521" s="93" t="str">
        <f>IFERROR(__xludf.DUMMYFUNCTION("""COMPUTED_VALUE"""),"KIT-#17359")</f>
        <v>KIT-#17359</v>
      </c>
      <c r="B521" s="94">
        <f>IFERROR(__xludf.DUMMYFUNCTION("""COMPUTED_VALUE"""),46148.0)</f>
        <v>46148</v>
      </c>
      <c r="C521" s="93" t="str">
        <f>IFERROR(__xludf.DUMMYFUNCTION("""COMPUTED_VALUE"""),"Kit Delivery")</f>
        <v>Kit Delivery</v>
      </c>
      <c r="D521" s="93">
        <f>IFERROR(__xludf.DUMMYFUNCTION("""COMPUTED_VALUE"""),3.0)</f>
        <v>3</v>
      </c>
      <c r="E521" s="93" t="str">
        <f>IFERROR(__xludf.DUMMYFUNCTION("""COMPUTED_VALUE"""),"Millbrook Bldg. 4")</f>
        <v>Millbrook Bldg. 4</v>
      </c>
      <c r="F521" s="93">
        <f>IFERROR(__xludf.DUMMYFUNCTION("""COMPUTED_VALUE"""),302.0)</f>
        <v>302</v>
      </c>
      <c r="G521" s="93" t="str">
        <f>IFERROR(__xludf.DUMMYFUNCTION("""COMPUTED_VALUE"""),"Leah Hayem")</f>
        <v>Leah Hayem</v>
      </c>
      <c r="H521" s="93">
        <f>IFERROR(__xludf.DUMMYFUNCTION("""COMPUTED_VALUE"""),9.175074499E9)</f>
        <v>9175074499</v>
      </c>
      <c r="I521" s="93" t="str">
        <f>IFERROR(__xludf.DUMMYFUNCTION("""COMPUTED_VALUE"""),"10AM-12PM")</f>
        <v>10AM-12PM</v>
      </c>
      <c r="J521" s="93">
        <f>IFERROR(__xludf.DUMMYFUNCTION("""COMPUTED_VALUE"""),1.0)</f>
        <v>1</v>
      </c>
      <c r="K521" s="93" t="str">
        <f>IFERROR(__xludf.DUMMYFUNCTION("""COMPUTED_VALUE"""),"Complete")</f>
        <v>Complete</v>
      </c>
      <c r="L521" s="93"/>
      <c r="M521" s="94">
        <f>IFERROR(__xludf.DUMMYFUNCTION("""COMPUTED_VALUE"""),46144.15472222222)</f>
        <v>46144.15472</v>
      </c>
      <c r="N521" s="93">
        <f>IFERROR(__xludf.DUMMYFUNCTION("""COMPUTED_VALUE"""),139.0)</f>
        <v>139</v>
      </c>
      <c r="O521" s="93"/>
      <c r="P521" s="93" t="str">
        <f>IFERROR(__xludf.DUMMYFUNCTION("""COMPUTED_VALUE"""),"Kit Delivery")</f>
        <v>Kit Delivery</v>
      </c>
      <c r="Q521" s="93"/>
      <c r="R521" s="93"/>
      <c r="S521" s="93" t="str">
        <f>IFERROR(__xludf.DUMMYFUNCTION("""COMPUTED_VALUE"""),"Dispatch_Images/KIT--17359.Photos.084244.jpg")</f>
        <v>Dispatch_Images/KIT--17359.Photos.084244.jpg</v>
      </c>
      <c r="T521" s="95">
        <f>IFERROR(__xludf.DUMMYFUNCTION("""COMPUTED_VALUE"""),46144.15738425926)</f>
        <v>46144.15738</v>
      </c>
      <c r="U521" s="93"/>
      <c r="V521" s="93"/>
      <c r="W521" s="93"/>
      <c r="X521" s="93"/>
      <c r="Y521" s="93"/>
      <c r="Z521" s="93"/>
    </row>
    <row r="522">
      <c r="A522" s="93" t="str">
        <f>IFERROR(__xludf.DUMMYFUNCTION("""COMPUTED_VALUE"""),"KIT-#18107")</f>
        <v>KIT-#18107</v>
      </c>
      <c r="B522" s="94">
        <f>IFERROR(__xludf.DUMMYFUNCTION("""COMPUTED_VALUE"""),46148.0)</f>
        <v>46148</v>
      </c>
      <c r="C522" s="93" t="str">
        <f>IFERROR(__xludf.DUMMYFUNCTION("""COMPUTED_VALUE"""),"Kit Delivery")</f>
        <v>Kit Delivery</v>
      </c>
      <c r="D522" s="93">
        <f>IFERROR(__xludf.DUMMYFUNCTION("""COMPUTED_VALUE"""),2.0)</f>
        <v>2</v>
      </c>
      <c r="E522" s="93" t="str">
        <f>IFERROR(__xludf.DUMMYFUNCTION("""COMPUTED_VALUE"""),"Danforth")</f>
        <v>Danforth</v>
      </c>
      <c r="F522" s="93">
        <f>IFERROR(__xludf.DUMMYFUNCTION("""COMPUTED_VALUE"""),2209.0)</f>
        <v>2209</v>
      </c>
      <c r="G522" s="93" t="str">
        <f>IFERROR(__xludf.DUMMYFUNCTION("""COMPUTED_VALUE"""),"Haeun Nam")</f>
        <v>Haeun Nam</v>
      </c>
      <c r="H522" s="93">
        <f>IFERROR(__xludf.DUMMYFUNCTION("""COMPUTED_VALUE"""),4.086232514E9)</f>
        <v>4086232514</v>
      </c>
      <c r="I522" s="93" t="str">
        <f>IFERROR(__xludf.DUMMYFUNCTION("""COMPUTED_VALUE"""),"9AM-11AM")</f>
        <v>9AM-11AM</v>
      </c>
      <c r="J522" s="93">
        <f>IFERROR(__xludf.DUMMYFUNCTION("""COMPUTED_VALUE"""),1.0)</f>
        <v>1</v>
      </c>
      <c r="K522" s="93" t="str">
        <f>IFERROR(__xludf.DUMMYFUNCTION("""COMPUTED_VALUE"""),"Complete")</f>
        <v>Complete</v>
      </c>
      <c r="L522" s="93"/>
      <c r="M522" s="94">
        <f>IFERROR(__xludf.DUMMYFUNCTION("""COMPUTED_VALUE"""),46144.15488425926)</f>
        <v>46144.15488</v>
      </c>
      <c r="N522" s="93">
        <f>IFERROR(__xludf.DUMMYFUNCTION("""COMPUTED_VALUE"""),40.0)</f>
        <v>40</v>
      </c>
      <c r="O522" s="93"/>
      <c r="P522" s="93" t="str">
        <f>IFERROR(__xludf.DUMMYFUNCTION("""COMPUTED_VALUE"""),"Kit Delivery")</f>
        <v>Kit Delivery</v>
      </c>
      <c r="Q522" s="93"/>
      <c r="R522" s="93"/>
      <c r="S522" s="93" t="str">
        <f>IFERROR(__xludf.DUMMYFUNCTION("""COMPUTED_VALUE"""),"Dispatch_Images/KIT--18107.Photos.084258.jpg")</f>
        <v>Dispatch_Images/KIT--18107.Photos.084258.jpg</v>
      </c>
      <c r="T522" s="95">
        <f>IFERROR(__xludf.DUMMYFUNCTION("""COMPUTED_VALUE"""),46144.15738425926)</f>
        <v>46144.15738</v>
      </c>
      <c r="U522" s="93"/>
      <c r="V522" s="93"/>
      <c r="W522" s="93"/>
      <c r="X522" s="93"/>
      <c r="Y522" s="93"/>
      <c r="Z522" s="93"/>
    </row>
    <row r="523">
      <c r="A523" s="93" t="str">
        <f>IFERROR(__xludf.DUMMYFUNCTION("""COMPUTED_VALUE"""),"KIT-#17791")</f>
        <v>KIT-#17791</v>
      </c>
      <c r="B523" s="94">
        <f>IFERROR(__xludf.DUMMYFUNCTION("""COMPUTED_VALUE"""),46148.0)</f>
        <v>46148</v>
      </c>
      <c r="C523" s="93" t="str">
        <f>IFERROR(__xludf.DUMMYFUNCTION("""COMPUTED_VALUE"""),"Kit Delivery")</f>
        <v>Kit Delivery</v>
      </c>
      <c r="D523" s="93">
        <f>IFERROR(__xludf.DUMMYFUNCTION("""COMPUTED_VALUE"""),3.0)</f>
        <v>3</v>
      </c>
      <c r="E523" s="93" t="str">
        <f>IFERROR(__xludf.DUMMYFUNCTION("""COMPUTED_VALUE"""),"Millbrook Bldg. 2")</f>
        <v>Millbrook Bldg. 2</v>
      </c>
      <c r="F523" s="93" t="str">
        <f>IFERROR(__xludf.DUMMYFUNCTION("""COMPUTED_VALUE"""),"203A")</f>
        <v>203A</v>
      </c>
      <c r="G523" s="93" t="str">
        <f>IFERROR(__xludf.DUMMYFUNCTION("""COMPUTED_VALUE"""),"Ruel Ryan Rivera")</f>
        <v>Ruel Ryan Rivera</v>
      </c>
      <c r="H523" s="93">
        <f>IFERROR(__xludf.DUMMYFUNCTION("""COMPUTED_VALUE"""),8.084450492E9)</f>
        <v>8084450492</v>
      </c>
      <c r="I523" s="93" t="str">
        <f>IFERROR(__xludf.DUMMYFUNCTION("""COMPUTED_VALUE"""),"9AM-11AM")</f>
        <v>9AM-11AM</v>
      </c>
      <c r="J523" s="93">
        <f>IFERROR(__xludf.DUMMYFUNCTION("""COMPUTED_VALUE"""),1.0)</f>
        <v>1</v>
      </c>
      <c r="K523" s="93" t="str">
        <f>IFERROR(__xludf.DUMMYFUNCTION("""COMPUTED_VALUE"""),"Complete")</f>
        <v>Complete</v>
      </c>
      <c r="L523" s="93"/>
      <c r="M523" s="94">
        <f>IFERROR(__xludf.DUMMYFUNCTION("""COMPUTED_VALUE"""),46144.15614583333)</f>
        <v>46144.15615</v>
      </c>
      <c r="N523" s="93">
        <f>IFERROR(__xludf.DUMMYFUNCTION("""COMPUTED_VALUE"""),128.0)</f>
        <v>128</v>
      </c>
      <c r="O523" s="93"/>
      <c r="P523" s="93" t="str">
        <f>IFERROR(__xludf.DUMMYFUNCTION("""COMPUTED_VALUE"""),"Kit Delivery")</f>
        <v>Kit Delivery</v>
      </c>
      <c r="Q523" s="93"/>
      <c r="R523" s="93"/>
      <c r="S523" s="93" t="str">
        <f>IFERROR(__xludf.DUMMYFUNCTION("""COMPUTED_VALUE"""),"Dispatch_Images/KIT--17791.Photos.084448.jpg")</f>
        <v>Dispatch_Images/KIT--17791.Photos.084448.jpg</v>
      </c>
      <c r="T523" s="95">
        <f>IFERROR(__xludf.DUMMYFUNCTION("""COMPUTED_VALUE"""),46144.15738425926)</f>
        <v>46144.15738</v>
      </c>
      <c r="U523" s="93"/>
      <c r="V523" s="93"/>
      <c r="W523" s="93"/>
      <c r="X523" s="93"/>
      <c r="Y523" s="93"/>
      <c r="Z523" s="93"/>
    </row>
    <row r="524">
      <c r="A524" s="93" t="str">
        <f>IFERROR(__xludf.DUMMYFUNCTION("""COMPUTED_VALUE"""),"KIT-#17257")</f>
        <v>KIT-#17257</v>
      </c>
      <c r="B524" s="94">
        <f>IFERROR(__xludf.DUMMYFUNCTION("""COMPUTED_VALUE"""),46148.0)</f>
        <v>46148</v>
      </c>
      <c r="C524" s="93" t="str">
        <f>IFERROR(__xludf.DUMMYFUNCTION("""COMPUTED_VALUE"""),"Kit Delivery")</f>
        <v>Kit Delivery</v>
      </c>
      <c r="D524" s="93">
        <f>IFERROR(__xludf.DUMMYFUNCTION("""COMPUTED_VALUE"""),3.0)</f>
        <v>3</v>
      </c>
      <c r="E524" s="93" t="str">
        <f>IFERROR(__xludf.DUMMYFUNCTION("""COMPUTED_VALUE"""),"Millbrook Bldg. 3")</f>
        <v>Millbrook Bldg. 3</v>
      </c>
      <c r="F524" s="93" t="str">
        <f>IFERROR(__xludf.DUMMYFUNCTION("""COMPUTED_VALUE"""),"101d")</f>
        <v>101d</v>
      </c>
      <c r="G524" s="93" t="str">
        <f>IFERROR(__xludf.DUMMYFUNCTION("""COMPUTED_VALUE"""),"Revha Menon")</f>
        <v>Revha Menon</v>
      </c>
      <c r="H524" s="93"/>
      <c r="I524" s="93" t="str">
        <f>IFERROR(__xludf.DUMMYFUNCTION("""COMPUTED_VALUE"""),"9AM-11AM")</f>
        <v>9AM-11AM</v>
      </c>
      <c r="J524" s="93">
        <f>IFERROR(__xludf.DUMMYFUNCTION("""COMPUTED_VALUE"""),2.0)</f>
        <v>2</v>
      </c>
      <c r="K524" s="93" t="str">
        <f>IFERROR(__xludf.DUMMYFUNCTION("""COMPUTED_VALUE"""),"Complete")</f>
        <v>Complete</v>
      </c>
      <c r="L524" s="93"/>
      <c r="M524" s="94">
        <f>IFERROR(__xludf.DUMMYFUNCTION("""COMPUTED_VALUE"""),46144.15620370371)</f>
        <v>46144.1562</v>
      </c>
      <c r="N524" s="93">
        <f>IFERROR(__xludf.DUMMYFUNCTION("""COMPUTED_VALUE"""),135.0)</f>
        <v>135</v>
      </c>
      <c r="O524" s="93"/>
      <c r="P524" s="93" t="str">
        <f>IFERROR(__xludf.DUMMYFUNCTION("""COMPUTED_VALUE"""),"Kit Delivery")</f>
        <v>Kit Delivery</v>
      </c>
      <c r="Q524" s="93"/>
      <c r="R524" s="93"/>
      <c r="S524" s="93" t="str">
        <f>IFERROR(__xludf.DUMMYFUNCTION("""COMPUTED_VALUE"""),"Dispatch_Images/KIT--17257.Photos.084452.jpg")</f>
        <v>Dispatch_Images/KIT--17257.Photos.084452.jpg</v>
      </c>
      <c r="T524" s="95">
        <f>IFERROR(__xludf.DUMMYFUNCTION("""COMPUTED_VALUE"""),46144.15738425926)</f>
        <v>46144.15738</v>
      </c>
      <c r="U524" s="93"/>
      <c r="V524" s="93"/>
      <c r="W524" s="93"/>
      <c r="X524" s="93"/>
      <c r="Y524" s="93"/>
      <c r="Z524" s="93"/>
    </row>
    <row r="525">
      <c r="A525" s="93" t="str">
        <f>IFERROR(__xludf.DUMMYFUNCTION("""COMPUTED_VALUE"""),"KIT-#18124")</f>
        <v>KIT-#18124</v>
      </c>
      <c r="B525" s="94">
        <f>IFERROR(__xludf.DUMMYFUNCTION("""COMPUTED_VALUE"""),46148.0)</f>
        <v>46148</v>
      </c>
      <c r="C525" s="93" t="str">
        <f>IFERROR(__xludf.DUMMYFUNCTION("""COMPUTED_VALUE"""),"Kit Delivery")</f>
        <v>Kit Delivery</v>
      </c>
      <c r="D525" s="93">
        <f>IFERROR(__xludf.DUMMYFUNCTION("""COMPUTED_VALUE"""),3.0)</f>
        <v>3</v>
      </c>
      <c r="E525" s="93" t="str">
        <f>IFERROR(__xludf.DUMMYFUNCTION("""COMPUTED_VALUE"""),"Park")</f>
        <v>Park</v>
      </c>
      <c r="F525" s="93">
        <f>IFERROR(__xludf.DUMMYFUNCTION("""COMPUTED_VALUE"""),330.0)</f>
        <v>330</v>
      </c>
      <c r="G525" s="93" t="str">
        <f>IFERROR(__xludf.DUMMYFUNCTION("""COMPUTED_VALUE"""),"Lolu Oloyede")</f>
        <v>Lolu Oloyede</v>
      </c>
      <c r="H525" s="93">
        <f>IFERROR(__xludf.DUMMYFUNCTION("""COMPUTED_VALUE"""),7.13818382E9)</f>
        <v>7138183820</v>
      </c>
      <c r="I525" s="93" t="str">
        <f>IFERROR(__xludf.DUMMYFUNCTION("""COMPUTED_VALUE"""),"3PM-5PM")</f>
        <v>3PM-5PM</v>
      </c>
      <c r="J525" s="93">
        <f>IFERROR(__xludf.DUMMYFUNCTION("""COMPUTED_VALUE"""),1.0)</f>
        <v>1</v>
      </c>
      <c r="K525" s="93" t="str">
        <f>IFERROR(__xludf.DUMMYFUNCTION("""COMPUTED_VALUE"""),"Complete")</f>
        <v>Complete</v>
      </c>
      <c r="L525" s="93"/>
      <c r="M525" s="94">
        <f>IFERROR(__xludf.DUMMYFUNCTION("""COMPUTED_VALUE"""),46144.16153935185)</f>
        <v>46144.16154</v>
      </c>
      <c r="N525" s="93">
        <f>IFERROR(__xludf.DUMMYFUNCTION("""COMPUTED_VALUE"""),44.0)</f>
        <v>44</v>
      </c>
      <c r="O525" s="93"/>
      <c r="P525" s="93" t="str">
        <f>IFERROR(__xludf.DUMMYFUNCTION("""COMPUTED_VALUE"""),"Kit Delivery")</f>
        <v>Kit Delivery</v>
      </c>
      <c r="Q525" s="93"/>
      <c r="R525" s="93"/>
      <c r="S525" s="93" t="str">
        <f>IFERROR(__xludf.DUMMYFUNCTION("""COMPUTED_VALUE"""),"Dispatch_Images/KIT--18124.Photos.085233.jpg")</f>
        <v>Dispatch_Images/KIT--18124.Photos.085233.jpg</v>
      </c>
      <c r="T525" s="95">
        <f>IFERROR(__xludf.DUMMYFUNCTION("""COMPUTED_VALUE"""),46144.16431712963)</f>
        <v>46144.16432</v>
      </c>
      <c r="U525" s="93"/>
      <c r="V525" s="93"/>
      <c r="W525" s="93"/>
      <c r="X525" s="93"/>
      <c r="Y525" s="93"/>
      <c r="Z525" s="93"/>
    </row>
    <row r="526">
      <c r="A526" s="93" t="str">
        <f>IFERROR(__xludf.DUMMYFUNCTION("""COMPUTED_VALUE"""),"KIT-#17792")</f>
        <v>KIT-#17792</v>
      </c>
      <c r="B526" s="94">
        <f>IFERROR(__xludf.DUMMYFUNCTION("""COMPUTED_VALUE"""),46148.0)</f>
        <v>46148</v>
      </c>
      <c r="C526" s="93" t="str">
        <f>IFERROR(__xludf.DUMMYFUNCTION("""COMPUTED_VALUE"""),"Kit Delivery")</f>
        <v>Kit Delivery</v>
      </c>
      <c r="D526" s="93">
        <f>IFERROR(__xludf.DUMMYFUNCTION("""COMPUTED_VALUE"""),3.0)</f>
        <v>3</v>
      </c>
      <c r="E526" s="93" t="str">
        <f>IFERROR(__xludf.DUMMYFUNCTION("""COMPUTED_VALUE"""),"Park")</f>
        <v>Park</v>
      </c>
      <c r="F526" s="93">
        <f>IFERROR(__xludf.DUMMYFUNCTION("""COMPUTED_VALUE"""),392.0)</f>
        <v>392</v>
      </c>
      <c r="G526" s="93" t="str">
        <f>IFERROR(__xludf.DUMMYFUNCTION("""COMPUTED_VALUE"""),"Katie Fung")</f>
        <v>Katie Fung</v>
      </c>
      <c r="H526" s="93">
        <f>IFERROR(__xludf.DUMMYFUNCTION("""COMPUTED_VALUE"""),6.282134584E9)</f>
        <v>6282134584</v>
      </c>
      <c r="I526" s="93" t="str">
        <f>IFERROR(__xludf.DUMMYFUNCTION("""COMPUTED_VALUE"""),"2PM-4PM")</f>
        <v>2PM-4PM</v>
      </c>
      <c r="J526" s="93">
        <f>IFERROR(__xludf.DUMMYFUNCTION("""COMPUTED_VALUE"""),1.0)</f>
        <v>1</v>
      </c>
      <c r="K526" s="93" t="str">
        <f>IFERROR(__xludf.DUMMYFUNCTION("""COMPUTED_VALUE"""),"Complete")</f>
        <v>Complete</v>
      </c>
      <c r="L526" s="93"/>
      <c r="M526" s="94">
        <f>IFERROR(__xludf.DUMMYFUNCTION("""COMPUTED_VALUE"""),46144.16216435185)</f>
        <v>46144.16216</v>
      </c>
      <c r="N526" s="93">
        <f>IFERROR(__xludf.DUMMYFUNCTION("""COMPUTED_VALUE"""),45.0)</f>
        <v>45</v>
      </c>
      <c r="O526" s="93"/>
      <c r="P526" s="93" t="str">
        <f>IFERROR(__xludf.DUMMYFUNCTION("""COMPUTED_VALUE"""),"Kit Delivery")</f>
        <v>Kit Delivery</v>
      </c>
      <c r="Q526" s="93"/>
      <c r="R526" s="93"/>
      <c r="S526" s="93" t="str">
        <f>IFERROR(__xludf.DUMMYFUNCTION("""COMPUTED_VALUE"""),"Dispatch_Images/KIT--17792.Photos.085327.jpg")</f>
        <v>Dispatch_Images/KIT--17792.Photos.085327.jpg</v>
      </c>
      <c r="T526" s="95">
        <f>IFERROR(__xludf.DUMMYFUNCTION("""COMPUTED_VALUE"""),46144.16431712963)</f>
        <v>46144.16432</v>
      </c>
      <c r="U526" s="93"/>
      <c r="V526" s="93"/>
      <c r="W526" s="93"/>
      <c r="X526" s="93"/>
      <c r="Y526" s="93"/>
      <c r="Z526" s="93"/>
    </row>
    <row r="527">
      <c r="A527" s="93" t="str">
        <f>IFERROR(__xludf.DUMMYFUNCTION("""COMPUTED_VALUE"""),"KIT-#17931")</f>
        <v>KIT-#17931</v>
      </c>
      <c r="B527" s="94">
        <f>IFERROR(__xludf.DUMMYFUNCTION("""COMPUTED_VALUE"""),46148.0)</f>
        <v>46148</v>
      </c>
      <c r="C527" s="93" t="str">
        <f>IFERROR(__xludf.DUMMYFUNCTION("""COMPUTED_VALUE"""),"Kit Delivery")</f>
        <v>Kit Delivery</v>
      </c>
      <c r="D527" s="93">
        <f>IFERROR(__xludf.DUMMYFUNCTION("""COMPUTED_VALUE"""),2.0)</f>
        <v>2</v>
      </c>
      <c r="E527" s="93" t="str">
        <f>IFERROR(__xludf.DUMMYFUNCTION("""COMPUTED_VALUE"""),"Liggett")</f>
        <v>Liggett</v>
      </c>
      <c r="F527" s="93">
        <f>IFERROR(__xludf.DUMMYFUNCTION("""COMPUTED_VALUE"""),4510.0)</f>
        <v>4510</v>
      </c>
      <c r="G527" s="93" t="str">
        <f>IFERROR(__xludf.DUMMYFUNCTION("""COMPUTED_VALUE"""),"Alicia Zhang")</f>
        <v>Alicia Zhang</v>
      </c>
      <c r="H527" s="93">
        <f>IFERROR(__xludf.DUMMYFUNCTION("""COMPUTED_VALUE"""),9.784161218E9)</f>
        <v>9784161218</v>
      </c>
      <c r="I527" s="93" t="str">
        <f>IFERROR(__xludf.DUMMYFUNCTION("""COMPUTED_VALUE"""),"3PM-5PM")</f>
        <v>3PM-5PM</v>
      </c>
      <c r="J527" s="93">
        <f>IFERROR(__xludf.DUMMYFUNCTION("""COMPUTED_VALUE"""),1.0)</f>
        <v>1</v>
      </c>
      <c r="K527" s="93" t="str">
        <f>IFERROR(__xludf.DUMMYFUNCTION("""COMPUTED_VALUE"""),"Complete")</f>
        <v>Complete</v>
      </c>
      <c r="L527" s="93"/>
      <c r="M527" s="94">
        <f>IFERROR(__xludf.DUMMYFUNCTION("""COMPUTED_VALUE"""),46144.167858796296)</f>
        <v>46144.16786</v>
      </c>
      <c r="N527" s="93">
        <f>IFERROR(__xludf.DUMMYFUNCTION("""COMPUTED_VALUE"""),108.0)</f>
        <v>108</v>
      </c>
      <c r="O527" s="93"/>
      <c r="P527" s="93" t="str">
        <f>IFERROR(__xludf.DUMMYFUNCTION("""COMPUTED_VALUE"""),"Kit Delivery")</f>
        <v>Kit Delivery</v>
      </c>
      <c r="Q527" s="93"/>
      <c r="R527" s="93"/>
      <c r="S527" s="93" t="str">
        <f>IFERROR(__xludf.DUMMYFUNCTION("""COMPUTED_VALUE"""),"Dispatch_Images/KIT--17931.Photos.090139.jpg")</f>
        <v>Dispatch_Images/KIT--17931.Photos.090139.jpg</v>
      </c>
      <c r="T527" s="95">
        <f>IFERROR(__xludf.DUMMYFUNCTION("""COMPUTED_VALUE"""),46144.171261574076)</f>
        <v>46144.17126</v>
      </c>
      <c r="U527" s="93"/>
      <c r="V527" s="93"/>
      <c r="W527" s="93"/>
      <c r="X527" s="93"/>
      <c r="Y527" s="93"/>
      <c r="Z527" s="93"/>
    </row>
    <row r="528">
      <c r="A528" s="93" t="str">
        <f>IFERROR(__xludf.DUMMYFUNCTION("""COMPUTED_VALUE"""),"KIT-#18154")</f>
        <v>KIT-#18154</v>
      </c>
      <c r="B528" s="94">
        <f>IFERROR(__xludf.DUMMYFUNCTION("""COMPUTED_VALUE"""),46148.0)</f>
        <v>46148</v>
      </c>
      <c r="C528" s="93" t="str">
        <f>IFERROR(__xludf.DUMMYFUNCTION("""COMPUTED_VALUE"""),"Kit Delivery")</f>
        <v>Kit Delivery</v>
      </c>
      <c r="D528" s="93">
        <f>IFERROR(__xludf.DUMMYFUNCTION("""COMPUTED_VALUE"""),3.0)</f>
        <v>3</v>
      </c>
      <c r="E528" s="93" t="str">
        <f>IFERROR(__xludf.DUMMYFUNCTION("""COMPUTED_VALUE"""),"Umrath")</f>
        <v>Umrath</v>
      </c>
      <c r="F528" s="93">
        <f>IFERROR(__xludf.DUMMYFUNCTION("""COMPUTED_VALUE"""),4407.0)</f>
        <v>4407</v>
      </c>
      <c r="G528" s="93" t="str">
        <f>IFERROR(__xludf.DUMMYFUNCTION("""COMPUTED_VALUE"""),"Cate Ferreira")</f>
        <v>Cate Ferreira</v>
      </c>
      <c r="H528" s="93">
        <f>IFERROR(__xludf.DUMMYFUNCTION("""COMPUTED_VALUE"""),9.173700333E9)</f>
        <v>9173700333</v>
      </c>
      <c r="I528" s="93" t="str">
        <f>IFERROR(__xludf.DUMMYFUNCTION("""COMPUTED_VALUE"""),"3PM-5PM")</f>
        <v>3PM-5PM</v>
      </c>
      <c r="J528" s="93">
        <f>IFERROR(__xludf.DUMMYFUNCTION("""COMPUTED_VALUE"""),2.0)</f>
        <v>2</v>
      </c>
      <c r="K528" s="93" t="str">
        <f>IFERROR(__xludf.DUMMYFUNCTION("""COMPUTED_VALUE"""),"Complete")</f>
        <v>Complete</v>
      </c>
      <c r="L528" s="93"/>
      <c r="M528" s="94">
        <f>IFERROR(__xludf.DUMMYFUNCTION("""COMPUTED_VALUE"""),46144.169224537036)</f>
        <v>46144.16922</v>
      </c>
      <c r="N528" s="93">
        <f>IFERROR(__xludf.DUMMYFUNCTION("""COMPUTED_VALUE"""),96.0)</f>
        <v>96</v>
      </c>
      <c r="O528" s="93"/>
      <c r="P528" s="93" t="str">
        <f>IFERROR(__xludf.DUMMYFUNCTION("""COMPUTED_VALUE"""),"Kit Delivery")</f>
        <v>Kit Delivery</v>
      </c>
      <c r="Q528" s="93"/>
      <c r="R528" s="93"/>
      <c r="S528" s="93" t="str">
        <f>IFERROR(__xludf.DUMMYFUNCTION("""COMPUTED_VALUE"""),"Dispatch_Images/KIT--18154.Photos.090338.jpg")</f>
        <v>Dispatch_Images/KIT--18154.Photos.090338.jpg</v>
      </c>
      <c r="T528" s="95">
        <f>IFERROR(__xludf.DUMMYFUNCTION("""COMPUTED_VALUE"""),46144.171261574076)</f>
        <v>46144.17126</v>
      </c>
      <c r="U528" s="93"/>
      <c r="V528" s="93"/>
      <c r="W528" s="93"/>
      <c r="X528" s="93"/>
      <c r="Y528" s="93"/>
      <c r="Z528" s="93"/>
    </row>
    <row r="529">
      <c r="A529" s="93" t="str">
        <f>IFERROR(__xludf.DUMMYFUNCTION("""COMPUTED_VALUE"""),"KIT-#18056")</f>
        <v>KIT-#18056</v>
      </c>
      <c r="B529" s="94">
        <f>IFERROR(__xludf.DUMMYFUNCTION("""COMPUTED_VALUE"""),46148.0)</f>
        <v>46148</v>
      </c>
      <c r="C529" s="93" t="str">
        <f>IFERROR(__xludf.DUMMYFUNCTION("""COMPUTED_VALUE"""),"Kit Delivery")</f>
        <v>Kit Delivery</v>
      </c>
      <c r="D529" s="93">
        <f>IFERROR(__xludf.DUMMYFUNCTION("""COMPUTED_VALUE"""),2.0)</f>
        <v>2</v>
      </c>
      <c r="E529" s="93" t="str">
        <f>IFERROR(__xludf.DUMMYFUNCTION("""COMPUTED_VALUE"""),"Zetcher")</f>
        <v>Zetcher</v>
      </c>
      <c r="F529" s="93">
        <f>IFERROR(__xludf.DUMMYFUNCTION("""COMPUTED_VALUE"""),2220.0)</f>
        <v>2220</v>
      </c>
      <c r="G529" s="93" t="str">
        <f>IFERROR(__xludf.DUMMYFUNCTION("""COMPUTED_VALUE"""),"Maggie Cheng")</f>
        <v>Maggie Cheng</v>
      </c>
      <c r="H529" s="93">
        <f>IFERROR(__xludf.DUMMYFUNCTION("""COMPUTED_VALUE"""),2.252524952E9)</f>
        <v>2252524952</v>
      </c>
      <c r="I529" s="93" t="str">
        <f>IFERROR(__xludf.DUMMYFUNCTION("""COMPUTED_VALUE"""),"2PM-4PM")</f>
        <v>2PM-4PM</v>
      </c>
      <c r="J529" s="93">
        <f>IFERROR(__xludf.DUMMYFUNCTION("""COMPUTED_VALUE"""),1.0)</f>
        <v>1</v>
      </c>
      <c r="K529" s="93" t="str">
        <f>IFERROR(__xludf.DUMMYFUNCTION("""COMPUTED_VALUE"""),"Complete")</f>
        <v>Complete</v>
      </c>
      <c r="L529" s="93"/>
      <c r="M529" s="94">
        <f>IFERROR(__xludf.DUMMYFUNCTION("""COMPUTED_VALUE"""),46144.174305555556)</f>
        <v>46144.17431</v>
      </c>
      <c r="N529" s="93">
        <f>IFERROR(__xludf.DUMMYFUNCTION("""COMPUTED_VALUE"""),100.0)</f>
        <v>100</v>
      </c>
      <c r="O529" s="93"/>
      <c r="P529" s="93" t="str">
        <f>IFERROR(__xludf.DUMMYFUNCTION("""COMPUTED_VALUE"""),"Kit Delivery")</f>
        <v>Kit Delivery</v>
      </c>
      <c r="Q529" s="93" t="str">
        <f>IFERROR(__xludf.DUMMYFUNCTION("""COMPUTED_VALUE"""),"If plastic box cannot fit in the box, what can I do?")</f>
        <v>If plastic box cannot fit in the box, what can I do?</v>
      </c>
      <c r="R529" s="93"/>
      <c r="S529" s="93" t="str">
        <f>IFERROR(__xludf.DUMMYFUNCTION("""COMPUTED_VALUE"""),"Dispatch_Images/KIT--18056.Photos.091056.jpg")</f>
        <v>Dispatch_Images/KIT--18056.Photos.091056.jpg</v>
      </c>
      <c r="T529" s="95">
        <f>IFERROR(__xludf.DUMMYFUNCTION("""COMPUTED_VALUE"""),46144.17821759259)</f>
        <v>46144.17822</v>
      </c>
      <c r="U529" s="93"/>
      <c r="V529" s="93"/>
      <c r="W529" s="93"/>
      <c r="X529" s="93"/>
      <c r="Y529" s="93"/>
      <c r="Z529" s="93"/>
    </row>
    <row r="530">
      <c r="A530" s="93" t="str">
        <f>IFERROR(__xludf.DUMMYFUNCTION("""COMPUTED_VALUE"""),"KIT-#17842")</f>
        <v>KIT-#17842</v>
      </c>
      <c r="B530" s="94">
        <f>IFERROR(__xludf.DUMMYFUNCTION("""COMPUTED_VALUE"""),46148.0)</f>
        <v>46148</v>
      </c>
      <c r="C530" s="93" t="str">
        <f>IFERROR(__xludf.DUMMYFUNCTION("""COMPUTED_VALUE"""),"Kit Delivery")</f>
        <v>Kit Delivery</v>
      </c>
      <c r="D530" s="93">
        <f>IFERROR(__xludf.DUMMYFUNCTION("""COMPUTED_VALUE"""),3.0)</f>
        <v>3</v>
      </c>
      <c r="E530" s="93" t="str">
        <f>IFERROR(__xludf.DUMMYFUNCTION("""COMPUTED_VALUE"""),"Park")</f>
        <v>Park</v>
      </c>
      <c r="F530" s="93" t="str">
        <f>IFERROR(__xludf.DUMMYFUNCTION("""COMPUTED_VALUE"""),"Park 231")</f>
        <v>Park 231</v>
      </c>
      <c r="G530" s="93" t="str">
        <f>IFERROR(__xludf.DUMMYFUNCTION("""COMPUTED_VALUE"""),"Isaac Payne")</f>
        <v>Isaac Payne</v>
      </c>
      <c r="H530" s="93">
        <f>IFERROR(__xludf.DUMMYFUNCTION("""COMPUTED_VALUE"""),6.145075668E9)</f>
        <v>6145075668</v>
      </c>
      <c r="I530" s="93" t="str">
        <f>IFERROR(__xludf.DUMMYFUNCTION("""COMPUTED_VALUE"""),"9AM-11AM")</f>
        <v>9AM-11AM</v>
      </c>
      <c r="J530" s="93">
        <f>IFERROR(__xludf.DUMMYFUNCTION("""COMPUTED_VALUE"""),1.0)</f>
        <v>1</v>
      </c>
      <c r="K530" s="93" t="str">
        <f>IFERROR(__xludf.DUMMYFUNCTION("""COMPUTED_VALUE"""),"Complete")</f>
        <v>Complete</v>
      </c>
      <c r="L530" s="93"/>
      <c r="M530" s="94">
        <f>IFERROR(__xludf.DUMMYFUNCTION("""COMPUTED_VALUE"""),46144.1749074074)</f>
        <v>46144.17491</v>
      </c>
      <c r="N530" s="93">
        <f>IFERROR(__xludf.DUMMYFUNCTION("""COMPUTED_VALUE"""),43.0)</f>
        <v>43</v>
      </c>
      <c r="O530" s="93" t="str">
        <f>IFERROR(__xludf.DUMMYFUNCTION("""COMPUTED_VALUE"""),"4123 Sudbrook Sq East
New Albany, OH 43054")</f>
        <v>4123 Sudbrook Sq East
New Albany, OH 43054</v>
      </c>
      <c r="P530" s="93" t="str">
        <f>IFERROR(__xludf.DUMMYFUNCTION("""COMPUTED_VALUE"""),"Kit Delivery")</f>
        <v>Kit Delivery</v>
      </c>
      <c r="Q530" s="93" t="str">
        <f>IFERROR(__xludf.DUMMYFUNCTION("""COMPUTED_VALUE"""),"You are welcome to come pick them up when you're ready. We are moving him out on May 6th.")</f>
        <v>You are welcome to come pick them up when you're ready. We are moving him out on May 6th.</v>
      </c>
      <c r="R530" s="93"/>
      <c r="S530" s="93" t="str">
        <f>IFERROR(__xludf.DUMMYFUNCTION("""COMPUTED_VALUE"""),"Dispatch_Images/KIT--17842.Photos.091148.jpg")</f>
        <v>Dispatch_Images/KIT--17842.Photos.091148.jpg</v>
      </c>
      <c r="T530" s="95">
        <f>IFERROR(__xludf.DUMMYFUNCTION("""COMPUTED_VALUE"""),46144.17821759259)</f>
        <v>46144.17822</v>
      </c>
      <c r="U530" s="93"/>
      <c r="V530" s="93"/>
      <c r="W530" s="93"/>
      <c r="X530" s="93"/>
      <c r="Y530" s="93"/>
      <c r="Z530" s="93"/>
    </row>
    <row r="531">
      <c r="A531" s="93" t="str">
        <f>IFERROR(__xludf.DUMMYFUNCTION("""COMPUTED_VALUE"""),"KIT-#17614")</f>
        <v>KIT-#17614</v>
      </c>
      <c r="B531" s="94">
        <f>IFERROR(__xludf.DUMMYFUNCTION("""COMPUTED_VALUE"""),46148.0)</f>
        <v>46148</v>
      </c>
      <c r="C531" s="93" t="str">
        <f>IFERROR(__xludf.DUMMYFUNCTION("""COMPUTED_VALUE"""),"Kit Delivery")</f>
        <v>Kit Delivery</v>
      </c>
      <c r="D531" s="93">
        <f>IFERROR(__xludf.DUMMYFUNCTION("""COMPUTED_VALUE"""),3.0)</f>
        <v>3</v>
      </c>
      <c r="E531" s="93" t="str">
        <f>IFERROR(__xludf.DUMMYFUNCTION("""COMPUTED_VALUE"""),"Eliot A")</f>
        <v>Eliot A</v>
      </c>
      <c r="F531" s="93" t="str">
        <f>IFERROR(__xludf.DUMMYFUNCTION("""COMPUTED_VALUE"""),"Eliot A")</f>
        <v>Eliot A</v>
      </c>
      <c r="G531" s="93" t="str">
        <f>IFERROR(__xludf.DUMMYFUNCTION("""COMPUTED_VALUE"""),"Will Washko")</f>
        <v>Will Washko</v>
      </c>
      <c r="H531" s="93">
        <f>IFERROR(__xludf.DUMMYFUNCTION("""COMPUTED_VALUE"""),6.175153061E9)</f>
        <v>6175153061</v>
      </c>
      <c r="I531" s="93" t="str">
        <f>IFERROR(__xludf.DUMMYFUNCTION("""COMPUTED_VALUE"""),"9AM-11AM")</f>
        <v>9AM-11AM</v>
      </c>
      <c r="J531" s="93">
        <f>IFERROR(__xludf.DUMMYFUNCTION("""COMPUTED_VALUE"""),2.0)</f>
        <v>2</v>
      </c>
      <c r="K531" s="93" t="str">
        <f>IFERROR(__xludf.DUMMYFUNCTION("""COMPUTED_VALUE"""),"Complete")</f>
        <v>Complete</v>
      </c>
      <c r="L531" s="93"/>
      <c r="M531" s="94">
        <f>IFERROR(__xludf.DUMMYFUNCTION("""COMPUTED_VALUE"""),46144.18)</f>
        <v>46144.18</v>
      </c>
      <c r="N531" s="93">
        <f>IFERROR(__xludf.DUMMYFUNCTION("""COMPUTED_VALUE"""),11.0)</f>
        <v>11</v>
      </c>
      <c r="O531" s="93"/>
      <c r="P531" s="93" t="str">
        <f>IFERROR(__xludf.DUMMYFUNCTION("""COMPUTED_VALUE"""),"Kit Delivery")</f>
        <v>Kit Delivery</v>
      </c>
      <c r="Q531" s="93"/>
      <c r="R531" s="93"/>
      <c r="S531" s="93" t="str">
        <f>IFERROR(__xludf.DUMMYFUNCTION("""COMPUTED_VALUE"""),"Dispatch_Images/KIT--17614.Photos.091908.jpg")</f>
        <v>Dispatch_Images/KIT--17614.Photos.091908.jpg</v>
      </c>
      <c r="T531" s="95">
        <f>IFERROR(__xludf.DUMMYFUNCTION("""COMPUTED_VALUE"""),46144.185162037036)</f>
        <v>46144.18516</v>
      </c>
      <c r="U531" s="93"/>
      <c r="V531" s="93"/>
      <c r="W531" s="93"/>
      <c r="X531" s="93"/>
      <c r="Y531" s="93"/>
      <c r="Z531" s="93"/>
    </row>
    <row r="532">
      <c r="A532" s="93" t="str">
        <f>IFERROR(__xludf.DUMMYFUNCTION("""COMPUTED_VALUE"""),"KIT-#17599-SS")</f>
        <v>KIT-#17599-SS</v>
      </c>
      <c r="B532" s="94">
        <f>IFERROR(__xludf.DUMMYFUNCTION("""COMPUTED_VALUE"""),46148.0)</f>
        <v>46148</v>
      </c>
      <c r="C532" s="93"/>
      <c r="D532" s="93">
        <f>IFERROR(__xludf.DUMMYFUNCTION("""COMPUTED_VALUE"""),2.0)</f>
        <v>2</v>
      </c>
      <c r="E532" s="93" t="str">
        <f>IFERROR(__xludf.DUMMYFUNCTION("""COMPUTED_VALUE"""),"Off-Campus")</f>
        <v>Off-Campus</v>
      </c>
      <c r="F532" s="93"/>
      <c r="G532" s="93" t="str">
        <f>IFERROR(__xludf.DUMMYFUNCTION("""COMPUTED_VALUE"""),"Jack Charfoos")</f>
        <v>Jack Charfoos</v>
      </c>
      <c r="H532" s="93">
        <f>IFERROR(__xludf.DUMMYFUNCTION("""COMPUTED_VALUE"""),3.123077614E9)</f>
        <v>3123077614</v>
      </c>
      <c r="I532" s="93" t="str">
        <f>IFERROR(__xludf.DUMMYFUNCTION("""COMPUTED_VALUE"""),"03:00 PM to 05:00 PM")</f>
        <v>03:00 PM to 05:00 PM</v>
      </c>
      <c r="J532" s="93">
        <f>IFERROR(__xludf.DUMMYFUNCTION("""COMPUTED_VALUE"""),2.0)</f>
        <v>2</v>
      </c>
      <c r="K532" s="93" t="str">
        <f>IFERROR(__xludf.DUMMYFUNCTION("""COMPUTED_VALUE"""),"Complete")</f>
        <v>Complete</v>
      </c>
      <c r="L532" s="93"/>
      <c r="M532" s="94">
        <f>IFERROR(__xludf.DUMMYFUNCTION("""COMPUTED_VALUE"""),46144.23226851852)</f>
        <v>46144.23227</v>
      </c>
      <c r="N532" s="93">
        <f>IFERROR(__xludf.DUMMYFUNCTION("""COMPUTED_VALUE"""),501.0)</f>
        <v>501</v>
      </c>
      <c r="O532" s="93" t="str">
        <f>IFERROR(__xludf.DUMMYFUNCTION("""COMPUTED_VALUE"""),"608 Kingsland Ave, 63130, Apt 303")</f>
        <v>608 Kingsland Ave, 63130, Apt 303</v>
      </c>
      <c r="P532" s="93" t="str">
        <f>IFERROR(__xludf.DUMMYFUNCTION("""COMPUTED_VALUE"""),"Kit Delivery")</f>
        <v>Kit Delivery</v>
      </c>
      <c r="Q532" s="93"/>
      <c r="R532" s="93"/>
      <c r="S532" s="93" t="str">
        <f>IFERROR(__xludf.DUMMYFUNCTION("""COMPUTED_VALUE"""),"Dispatch_Images/KIT--17599-SS.Photos.103425.jpg")</f>
        <v>Dispatch_Images/KIT--17599-SS.Photos.103425.jpg</v>
      </c>
      <c r="T532" s="95">
        <f>IFERROR(__xludf.DUMMYFUNCTION("""COMPUTED_VALUE"""),46144.23378472222)</f>
        <v>46144.23378</v>
      </c>
      <c r="U532" s="93"/>
      <c r="V532" s="93"/>
      <c r="W532" s="93"/>
      <c r="X532" s="93"/>
      <c r="Y532" s="93"/>
      <c r="Z532" s="93"/>
    </row>
    <row r="533">
      <c r="A533" s="93" t="str">
        <f>IFERROR(__xludf.DUMMYFUNCTION("""COMPUTED_VALUE"""),"KIT-#17998-SS")</f>
        <v>KIT-#17998-SS</v>
      </c>
      <c r="B533" s="94">
        <f>IFERROR(__xludf.DUMMYFUNCTION("""COMPUTED_VALUE"""),46148.0)</f>
        <v>46148</v>
      </c>
      <c r="C533" s="93"/>
      <c r="D533" s="93">
        <f>IFERROR(__xludf.DUMMYFUNCTION("""COMPUTED_VALUE"""),2.0)</f>
        <v>2</v>
      </c>
      <c r="E533" s="93" t="str">
        <f>IFERROR(__xludf.DUMMYFUNCTION("""COMPUTED_VALUE"""),"Off-Campus")</f>
        <v>Off-Campus</v>
      </c>
      <c r="F533" s="93"/>
      <c r="G533" s="93" t="str">
        <f>IFERROR(__xludf.DUMMYFUNCTION("""COMPUTED_VALUE"""),"David Moriarty")</f>
        <v>David Moriarty</v>
      </c>
      <c r="H533" s="93">
        <f>IFERROR(__xludf.DUMMYFUNCTION("""COMPUTED_VALUE"""),6.17529097E9)</f>
        <v>6175290970</v>
      </c>
      <c r="I533" s="93" t="str">
        <f>IFERROR(__xludf.DUMMYFUNCTION("""COMPUTED_VALUE"""),"09:00 AM to 11:00 AM")</f>
        <v>09:00 AM to 11:00 AM</v>
      </c>
      <c r="J533" s="93">
        <f>IFERROR(__xludf.DUMMYFUNCTION("""COMPUTED_VALUE"""),1.0)</f>
        <v>1</v>
      </c>
      <c r="K533" s="93" t="str">
        <f>IFERROR(__xludf.DUMMYFUNCTION("""COMPUTED_VALUE"""),"Complete")</f>
        <v>Complete</v>
      </c>
      <c r="L533" s="93"/>
      <c r="M533" s="94">
        <f>IFERROR(__xludf.DUMMYFUNCTION("""COMPUTED_VALUE"""),46144.239027777774)</f>
        <v>46144.23903</v>
      </c>
      <c r="N533" s="93">
        <f>IFERROR(__xludf.DUMMYFUNCTION("""COMPUTED_VALUE"""),685.0)</f>
        <v>685</v>
      </c>
      <c r="O533" s="93" t="str">
        <f>IFERROR(__xludf.DUMMYFUNCTION("""COMPUTED_VALUE"""),"740 West gate ave at louis S1")</f>
        <v>740 West gate ave at louis S1</v>
      </c>
      <c r="P533" s="93" t="str">
        <f>IFERROR(__xludf.DUMMYFUNCTION("""COMPUTED_VALUE"""),"Kit Delivery")</f>
        <v>Kit Delivery</v>
      </c>
      <c r="Q533" s="93" t="str">
        <f>IFERROR(__xludf.DUMMYFUNCTION("""COMPUTED_VALUE"""),"looking to store till the end of August iam very confused on the pricing and if offer boxes and if tv needs to be wrapped. Thank yiy")</f>
        <v>looking to store till the end of August iam very confused on the pricing and if offer boxes and if tv needs to be wrapped. Thank yiy</v>
      </c>
      <c r="R533" s="93"/>
      <c r="S533" s="93" t="str">
        <f>IFERROR(__xludf.DUMMYFUNCTION("""COMPUTED_VALUE"""),"Dispatch_Images/KIT--17998-SS.Photos.104408.jpg")</f>
        <v>Dispatch_Images/KIT--17998-SS.Photos.104408.jpg</v>
      </c>
      <c r="T533" s="95">
        <f>IFERROR(__xludf.DUMMYFUNCTION("""COMPUTED_VALUE"""),46144.24071759259)</f>
        <v>46144.24072</v>
      </c>
      <c r="U533" s="93"/>
      <c r="V533" s="93"/>
      <c r="W533" s="93"/>
      <c r="X533" s="93"/>
      <c r="Y533" s="93"/>
      <c r="Z533" s="93"/>
    </row>
    <row r="534">
      <c r="A534" s="93" t="str">
        <f>IFERROR(__xludf.DUMMYFUNCTION("""COMPUTED_VALUE"""),"KIT-#17548-SS")</f>
        <v>KIT-#17548-SS</v>
      </c>
      <c r="B534" s="94">
        <f>IFERROR(__xludf.DUMMYFUNCTION("""COMPUTED_VALUE"""),46148.0)</f>
        <v>46148</v>
      </c>
      <c r="C534" s="93"/>
      <c r="D534" s="93">
        <f>IFERROR(__xludf.DUMMYFUNCTION("""COMPUTED_VALUE"""),2.0)</f>
        <v>2</v>
      </c>
      <c r="E534" s="93" t="str">
        <f>IFERROR(__xludf.DUMMYFUNCTION("""COMPUTED_VALUE"""),"Off-Campus")</f>
        <v>Off-Campus</v>
      </c>
      <c r="F534" s="93"/>
      <c r="G534" s="93" t="str">
        <f>IFERROR(__xludf.DUMMYFUNCTION("""COMPUTED_VALUE"""),"Monica Chen")</f>
        <v>Monica Chen</v>
      </c>
      <c r="H534" s="93">
        <f>IFERROR(__xludf.DUMMYFUNCTION("""COMPUTED_VALUE"""),9.193979888E9)</f>
        <v>9193979888</v>
      </c>
      <c r="I534" s="93" t="str">
        <f>IFERROR(__xludf.DUMMYFUNCTION("""COMPUTED_VALUE"""),"09:00 AM to 11:00 AM")</f>
        <v>09:00 AM to 11:00 AM</v>
      </c>
      <c r="J534" s="93">
        <f>IFERROR(__xludf.DUMMYFUNCTION("""COMPUTED_VALUE"""),1.0)</f>
        <v>1</v>
      </c>
      <c r="K534" s="93" t="str">
        <f>IFERROR(__xludf.DUMMYFUNCTION("""COMPUTED_VALUE"""),"Complete")</f>
        <v>Complete</v>
      </c>
      <c r="L534" s="93"/>
      <c r="M534" s="94">
        <f>IFERROR(__xludf.DUMMYFUNCTION("""COMPUTED_VALUE"""),46144.24149305555)</f>
        <v>46144.24149</v>
      </c>
      <c r="N534" s="93">
        <f>IFERROR(__xludf.DUMMYFUNCTION("""COMPUTED_VALUE"""),458.0)</f>
        <v>458</v>
      </c>
      <c r="O534" s="93" t="str">
        <f>IFERROR(__xludf.DUMMYFUNCTION("""COMPUTED_VALUE"""),"725 Interdrive, Apt 1")</f>
        <v>725 Interdrive, Apt 1</v>
      </c>
      <c r="P534" s="93" t="str">
        <f>IFERROR(__xludf.DUMMYFUNCTION("""COMPUTED_VALUE"""),"Kit Delivery")</f>
        <v>Kit Delivery</v>
      </c>
      <c r="Q534" s="93"/>
      <c r="R534" s="93"/>
      <c r="S534" s="93" t="str">
        <f>IFERROR(__xludf.DUMMYFUNCTION("""COMPUTED_VALUE"""),"Dispatch_Images/KIT--17548-SS.Photos.104741.jpg")</f>
        <v>Dispatch_Images/KIT--17548-SS.Photos.104741.jpg</v>
      </c>
      <c r="T534" s="95">
        <f>IFERROR(__xludf.DUMMYFUNCTION("""COMPUTED_VALUE"""),46144.24765046296)</f>
        <v>46144.24765</v>
      </c>
      <c r="U534" s="93"/>
      <c r="V534" s="93"/>
      <c r="W534" s="93"/>
      <c r="X534" s="93"/>
      <c r="Y534" s="93"/>
      <c r="Z534" s="93"/>
    </row>
    <row r="535">
      <c r="A535" s="93" t="str">
        <f>IFERROR(__xludf.DUMMYFUNCTION("""COMPUTED_VALUE"""),"KIT-#18175")</f>
        <v>KIT-#18175</v>
      </c>
      <c r="B535" s="94">
        <f>IFERROR(__xludf.DUMMYFUNCTION("""COMPUTED_VALUE"""),46148.0)</f>
        <v>46148</v>
      </c>
      <c r="C535" s="93" t="str">
        <f>IFERROR(__xludf.DUMMYFUNCTION("""COMPUTED_VALUE"""),"Kit Delivery")</f>
        <v>Kit Delivery</v>
      </c>
      <c r="D535" s="93">
        <f>IFERROR(__xludf.DUMMYFUNCTION("""COMPUTED_VALUE"""),2.0)</f>
        <v>2</v>
      </c>
      <c r="E535" s="93" t="str">
        <f>IFERROR(__xludf.DUMMYFUNCTION("""COMPUTED_VALUE"""),"Lee")</f>
        <v>Lee</v>
      </c>
      <c r="F535" s="93">
        <f>IFERROR(__xludf.DUMMYFUNCTION("""COMPUTED_VALUE"""),212.0)</f>
        <v>212</v>
      </c>
      <c r="G535" s="93" t="str">
        <f>IFERROR(__xludf.DUMMYFUNCTION("""COMPUTED_VALUE"""),"Sophia Kasirer Teitelbaum")</f>
        <v>Sophia Kasirer Teitelbaum</v>
      </c>
      <c r="H535" s="93">
        <f>IFERROR(__xludf.DUMMYFUNCTION("""COMPUTED_VALUE"""),9.178484128E9)</f>
        <v>9178484128</v>
      </c>
      <c r="I535" s="93" t="str">
        <f>IFERROR(__xludf.DUMMYFUNCTION("""COMPUTED_VALUE"""),"9AM-11AM")</f>
        <v>9AM-11AM</v>
      </c>
      <c r="J535" s="93">
        <f>IFERROR(__xludf.DUMMYFUNCTION("""COMPUTED_VALUE"""),1.0)</f>
        <v>1</v>
      </c>
      <c r="K535" s="93" t="str">
        <f>IFERROR(__xludf.DUMMYFUNCTION("""COMPUTED_VALUE"""),"Complete")</f>
        <v>Complete</v>
      </c>
      <c r="L535" s="93"/>
      <c r="M535" s="94">
        <f>IFERROR(__xludf.DUMMYFUNCTION("""COMPUTED_VALUE"""),46145.04440972222)</f>
        <v>46145.04441</v>
      </c>
      <c r="N535" s="93">
        <f>IFERROR(__xludf.DUMMYFUNCTION("""COMPUTED_VALUE"""),41.0)</f>
        <v>41</v>
      </c>
      <c r="O535" s="93"/>
      <c r="P535" s="93" t="str">
        <f>IFERROR(__xludf.DUMMYFUNCTION("""COMPUTED_VALUE"""),"Kit Delivery")</f>
        <v>Kit Delivery</v>
      </c>
      <c r="Q535" s="93" t="str">
        <f>IFERROR(__xludf.DUMMYFUNCTION("""COMPUTED_VALUE"""),"I also have additional items that won’t fit in the boxes, so I’ll label/tag them separately to be included in storage. They will also be in the room.")</f>
        <v>I also have additional items that won’t fit in the boxes, so I’ll label/tag them separately to be included in storage. They will also be in the room.</v>
      </c>
      <c r="R535" s="93"/>
      <c r="S535" s="93" t="str">
        <f>IFERROR(__xludf.DUMMYFUNCTION("""COMPUTED_VALUE"""),"Dispatch_Images/KIT--18175.Photos.060354.jpg")</f>
        <v>Dispatch_Images/KIT--18175.Photos.060354.jpg</v>
      </c>
      <c r="T535" s="95">
        <f>IFERROR(__xludf.DUMMYFUNCTION("""COMPUTED_VALUE"""),46145.046273148146)</f>
        <v>46145.04627</v>
      </c>
      <c r="U535" s="93"/>
      <c r="V535" s="93"/>
      <c r="W535" s="93"/>
      <c r="X535" s="93"/>
      <c r="Y535" s="93"/>
      <c r="Z535" s="93"/>
    </row>
    <row r="536">
      <c r="A536" s="93" t="str">
        <f>IFERROR(__xludf.DUMMYFUNCTION("""COMPUTED_VALUE"""),"KIT-#18173")</f>
        <v>KIT-#18173</v>
      </c>
      <c r="B536" s="94">
        <f>IFERROR(__xludf.DUMMYFUNCTION("""COMPUTED_VALUE"""),46148.0)</f>
        <v>46148</v>
      </c>
      <c r="C536" s="93" t="str">
        <f>IFERROR(__xludf.DUMMYFUNCTION("""COMPUTED_VALUE"""),"Kit Delivery")</f>
        <v>Kit Delivery</v>
      </c>
      <c r="D536" s="93">
        <f>IFERROR(__xludf.DUMMYFUNCTION("""COMPUTED_VALUE"""),2.0)</f>
        <v>2</v>
      </c>
      <c r="E536" s="93" t="str">
        <f>IFERROR(__xludf.DUMMYFUNCTION("""COMPUTED_VALUE"""),"Nemerov")</f>
        <v>Nemerov</v>
      </c>
      <c r="F536" s="93">
        <f>IFERROR(__xludf.DUMMYFUNCTION("""COMPUTED_VALUE"""),2040.0)</f>
        <v>2040</v>
      </c>
      <c r="G536" s="93" t="str">
        <f>IFERROR(__xludf.DUMMYFUNCTION("""COMPUTED_VALUE"""),"Paulina Steinman")</f>
        <v>Paulina Steinman</v>
      </c>
      <c r="H536" s="93">
        <f>IFERROR(__xludf.DUMMYFUNCTION("""COMPUTED_VALUE"""),3.475142278E9)</f>
        <v>3475142278</v>
      </c>
      <c r="I536" s="93" t="str">
        <f>IFERROR(__xludf.DUMMYFUNCTION("""COMPUTED_VALUE"""),"9AM-11AM")</f>
        <v>9AM-11AM</v>
      </c>
      <c r="J536" s="93">
        <f>IFERROR(__xludf.DUMMYFUNCTION("""COMPUTED_VALUE"""),1.0)</f>
        <v>1</v>
      </c>
      <c r="K536" s="93" t="str">
        <f>IFERROR(__xludf.DUMMYFUNCTION("""COMPUTED_VALUE"""),"Complete")</f>
        <v>Complete</v>
      </c>
      <c r="L536" s="93"/>
      <c r="M536" s="94">
        <f>IFERROR(__xludf.DUMMYFUNCTION("""COMPUTED_VALUE"""),46145.187002314815)</f>
        <v>46145.187</v>
      </c>
      <c r="N536" s="93">
        <f>IFERROR(__xludf.DUMMYFUNCTION("""COMPUTED_VALUE"""),62.0)</f>
        <v>62</v>
      </c>
      <c r="O536" s="93"/>
      <c r="P536" s="93" t="str">
        <f>IFERROR(__xludf.DUMMYFUNCTION("""COMPUTED_VALUE"""),"Kit Delivery")</f>
        <v>Kit Delivery</v>
      </c>
      <c r="Q536" s="93" t="str">
        <f>IFERROR(__xludf.DUMMYFUNCTION("""COMPUTED_VALUE"""),"I also have a table, lamp and some beanbag chairs.")</f>
        <v>I also have a table, lamp and some beanbag chairs.</v>
      </c>
      <c r="R536" s="93"/>
      <c r="S536" s="93" t="str">
        <f>IFERROR(__xludf.DUMMYFUNCTION("""COMPUTED_VALUE"""),"Dispatch_Images/KIT--18173.Photos.092914.jpg")</f>
        <v>Dispatch_Images/KIT--18173.Photos.092914.jpg</v>
      </c>
      <c r="T536" s="95">
        <f>IFERROR(__xludf.DUMMYFUNCTION("""COMPUTED_VALUE"""),46145.19210648148)</f>
        <v>46145.19211</v>
      </c>
      <c r="U536" s="93"/>
      <c r="V536" s="93"/>
      <c r="W536" s="93"/>
      <c r="X536" s="93"/>
      <c r="Y536" s="93"/>
      <c r="Z536" s="93"/>
    </row>
    <row r="537">
      <c r="A537" s="93" t="str">
        <f>IFERROR(__xludf.DUMMYFUNCTION("""COMPUTED_VALUE"""),"KIT-#18165")</f>
        <v>KIT-#18165</v>
      </c>
      <c r="B537" s="94">
        <f>IFERROR(__xludf.DUMMYFUNCTION("""COMPUTED_VALUE"""),46148.0)</f>
        <v>46148</v>
      </c>
      <c r="C537" s="93" t="str">
        <f>IFERROR(__xludf.DUMMYFUNCTION("""COMPUTED_VALUE"""),"Kit Delivery")</f>
        <v>Kit Delivery</v>
      </c>
      <c r="D537" s="93">
        <f>IFERROR(__xludf.DUMMYFUNCTION("""COMPUTED_VALUE"""),2.0)</f>
        <v>2</v>
      </c>
      <c r="E537" s="93" t="str">
        <f>IFERROR(__xludf.DUMMYFUNCTION("""COMPUTED_VALUE"""),"Dardick")</f>
        <v>Dardick</v>
      </c>
      <c r="F537" s="93">
        <f>IFERROR(__xludf.DUMMYFUNCTION("""COMPUTED_VALUE"""),4417.0)</f>
        <v>4417</v>
      </c>
      <c r="G537" s="93" t="str">
        <f>IFERROR(__xludf.DUMMYFUNCTION("""COMPUTED_VALUE"""),"Archer Campbell Oliver")</f>
        <v>Archer Campbell Oliver</v>
      </c>
      <c r="H537" s="93">
        <f>IFERROR(__xludf.DUMMYFUNCTION("""COMPUTED_VALUE"""),8.179445645E9)</f>
        <v>8179445645</v>
      </c>
      <c r="I537" s="93" t="str">
        <f>IFERROR(__xludf.DUMMYFUNCTION("""COMPUTED_VALUE"""),"3PM-5PM")</f>
        <v>3PM-5PM</v>
      </c>
      <c r="J537" s="93">
        <f>IFERROR(__xludf.DUMMYFUNCTION("""COMPUTED_VALUE"""),1.0)</f>
        <v>1</v>
      </c>
      <c r="K537" s="93" t="str">
        <f>IFERROR(__xludf.DUMMYFUNCTION("""COMPUTED_VALUE"""),"Complete")</f>
        <v>Complete</v>
      </c>
      <c r="L537" s="93"/>
      <c r="M537" s="94">
        <f>IFERROR(__xludf.DUMMYFUNCTION("""COMPUTED_VALUE"""),46145.198587962965)</f>
        <v>46145.19859</v>
      </c>
      <c r="N537" s="93">
        <f>IFERROR(__xludf.DUMMYFUNCTION("""COMPUTED_VALUE"""),60.0)</f>
        <v>60</v>
      </c>
      <c r="O537" s="93"/>
      <c r="P537" s="93" t="str">
        <f>IFERROR(__xludf.DUMMYFUNCTION("""COMPUTED_VALUE"""),"Kit Delivery")</f>
        <v>Kit Delivery</v>
      </c>
      <c r="Q537" s="93"/>
      <c r="R537" s="93"/>
      <c r="S537" s="93" t="str">
        <f>IFERROR(__xludf.DUMMYFUNCTION("""COMPUTED_VALUE"""),"Dispatch_Images/KIT--18165.Photos.094554.jpg")</f>
        <v>Dispatch_Images/KIT--18165.Photos.094554.jpg</v>
      </c>
      <c r="T537" s="95">
        <f>IFERROR(__xludf.DUMMYFUNCTION("""COMPUTED_VALUE"""),46145.19903935185)</f>
        <v>46145.19904</v>
      </c>
      <c r="U537" s="93"/>
      <c r="V537" s="93"/>
      <c r="W537" s="93"/>
      <c r="X537" s="93"/>
      <c r="Y537" s="93"/>
      <c r="Z537" s="93"/>
    </row>
    <row r="538">
      <c r="A538" s="93" t="str">
        <f>IFERROR(__xludf.DUMMYFUNCTION("""COMPUTED_VALUE"""),"KIT-#18169")</f>
        <v>KIT-#18169</v>
      </c>
      <c r="B538" s="94">
        <f>IFERROR(__xludf.DUMMYFUNCTION("""COMPUTED_VALUE"""),46148.0)</f>
        <v>46148</v>
      </c>
      <c r="C538" s="93" t="str">
        <f>IFERROR(__xludf.DUMMYFUNCTION("""COMPUTED_VALUE"""),"Kit Delivery")</f>
        <v>Kit Delivery</v>
      </c>
      <c r="D538" s="93">
        <f>IFERROR(__xludf.DUMMYFUNCTION("""COMPUTED_VALUE"""),2.0)</f>
        <v>2</v>
      </c>
      <c r="E538" s="93" t="str">
        <f>IFERROR(__xludf.DUMMYFUNCTION("""COMPUTED_VALUE"""),"Lopata")</f>
        <v>Lopata</v>
      </c>
      <c r="F538" s="93" t="str">
        <f>IFERROR(__xludf.DUMMYFUNCTION("""COMPUTED_VALUE"""),"3052a")</f>
        <v>3052a</v>
      </c>
      <c r="G538" s="93" t="str">
        <f>IFERROR(__xludf.DUMMYFUNCTION("""COMPUTED_VALUE"""),"Sabrina Silbert")</f>
        <v>Sabrina Silbert</v>
      </c>
      <c r="H538" s="93">
        <f>IFERROR(__xludf.DUMMYFUNCTION("""COMPUTED_VALUE"""),9.178415578E9)</f>
        <v>9178415578</v>
      </c>
      <c r="I538" s="93" t="str">
        <f>IFERROR(__xludf.DUMMYFUNCTION("""COMPUTED_VALUE"""),"9AM-11AM")</f>
        <v>9AM-11AM</v>
      </c>
      <c r="J538" s="93">
        <f>IFERROR(__xludf.DUMMYFUNCTION("""COMPUTED_VALUE"""),1.0)</f>
        <v>1</v>
      </c>
      <c r="K538" s="93" t="str">
        <f>IFERROR(__xludf.DUMMYFUNCTION("""COMPUTED_VALUE"""),"Complete")</f>
        <v>Complete</v>
      </c>
      <c r="L538" s="93"/>
      <c r="M538" s="94">
        <f>IFERROR(__xludf.DUMMYFUNCTION("""COMPUTED_VALUE"""),46145.26422453704)</f>
        <v>46145.26422</v>
      </c>
      <c r="N538" s="93">
        <f>IFERROR(__xludf.DUMMYFUNCTION("""COMPUTED_VALUE"""),84.0)</f>
        <v>84</v>
      </c>
      <c r="O538" s="93" t="str">
        <f>IFERROR(__xludf.DUMMYFUNCTION("""COMPUTED_VALUE"""),"Sabrina Silbert 
200 West End Ave Apt 9G
New York NY 
10023")</f>
        <v>Sabrina Silbert 
200 West End Ave Apt 9G
New York NY 
10023</v>
      </c>
      <c r="P538" s="93" t="str">
        <f>IFERROR(__xludf.DUMMYFUNCTION("""COMPUTED_VALUE"""),"Kit Delivery")</f>
        <v>Kit Delivery</v>
      </c>
      <c r="Q538" s="93" t="str">
        <f>IFERROR(__xludf.DUMMYFUNCTION("""COMPUTED_VALUE"""),"Leaving for airport on 5/6 at 12 I have an order for both storage and ship")</f>
        <v>Leaving for airport on 5/6 at 12 I have an order for both storage and ship</v>
      </c>
      <c r="R538" s="93"/>
      <c r="S538" s="93" t="str">
        <f>IFERROR(__xludf.DUMMYFUNCTION("""COMPUTED_VALUE"""),"Dispatch_Images/KIT--18169.Photos.112025.jpg")</f>
        <v>Dispatch_Images/KIT--18169.Photos.112025.jpg</v>
      </c>
      <c r="T538" s="95">
        <f>IFERROR(__xludf.DUMMYFUNCTION("""COMPUTED_VALUE"""),46145.26849537037)</f>
        <v>46145.2685</v>
      </c>
      <c r="U538" s="93"/>
      <c r="V538" s="93"/>
      <c r="W538" s="93"/>
      <c r="X538" s="93"/>
      <c r="Y538" s="93"/>
      <c r="Z538" s="93"/>
    </row>
    <row r="539">
      <c r="A539" s="93" t="str">
        <f>IFERROR(__xludf.DUMMYFUNCTION("""COMPUTED_VALUE"""),"KIT-#18184")</f>
        <v>KIT-#18184</v>
      </c>
      <c r="B539" s="94">
        <f>IFERROR(__xludf.DUMMYFUNCTION("""COMPUTED_VALUE"""),46148.0)</f>
        <v>46148</v>
      </c>
      <c r="C539" s="93" t="str">
        <f>IFERROR(__xludf.DUMMYFUNCTION("""COMPUTED_VALUE"""),"Kit Delivery")</f>
        <v>Kit Delivery</v>
      </c>
      <c r="D539" s="93">
        <f>IFERROR(__xludf.DUMMYFUNCTION("""COMPUTED_VALUE"""),2.0)</f>
        <v>2</v>
      </c>
      <c r="E539" s="93" t="str">
        <f>IFERROR(__xludf.DUMMYFUNCTION("""COMPUTED_VALUE"""),"Shanedling")</f>
        <v>Shanedling</v>
      </c>
      <c r="F539" s="93">
        <f>IFERROR(__xludf.DUMMYFUNCTION("""COMPUTED_VALUE"""),223.0)</f>
        <v>223</v>
      </c>
      <c r="G539" s="93" t="str">
        <f>IFERROR(__xludf.DUMMYFUNCTION("""COMPUTED_VALUE"""),"Cindy Wu")</f>
        <v>Cindy Wu</v>
      </c>
      <c r="H539" s="93">
        <f>IFERROR(__xludf.DUMMYFUNCTION("""COMPUTED_VALUE"""),6.506707408E9)</f>
        <v>6506707408</v>
      </c>
      <c r="I539" s="93" t="str">
        <f>IFERROR(__xludf.DUMMYFUNCTION("""COMPUTED_VALUE"""),"3PM-5PM")</f>
        <v>3PM-5PM</v>
      </c>
      <c r="J539" s="93">
        <f>IFERROR(__xludf.DUMMYFUNCTION("""COMPUTED_VALUE"""),1.0)</f>
        <v>1</v>
      </c>
      <c r="K539" s="93" t="str">
        <f>IFERROR(__xludf.DUMMYFUNCTION("""COMPUTED_VALUE"""),"Complete")</f>
        <v>Complete</v>
      </c>
      <c r="L539" s="93"/>
      <c r="M539" s="94">
        <f>IFERROR(__xludf.DUMMYFUNCTION("""COMPUTED_VALUE"""),46145.85969907408)</f>
        <v>46145.8597</v>
      </c>
      <c r="N539" s="93">
        <f>IFERROR(__xludf.DUMMYFUNCTION("""COMPUTED_VALUE"""),18.0)</f>
        <v>18</v>
      </c>
      <c r="O539" s="93"/>
      <c r="P539" s="93" t="str">
        <f>IFERROR(__xludf.DUMMYFUNCTION("""COMPUTED_VALUE"""),"Kit Delivery")</f>
        <v>Kit Delivery</v>
      </c>
      <c r="Q539" s="93"/>
      <c r="R539" s="93"/>
      <c r="S539" s="93" t="str">
        <f>IFERROR(__xludf.DUMMYFUNCTION("""COMPUTED_VALUE"""),"Dispatch_Images/KIT--18184.Photos.013755.jpg")</f>
        <v>Dispatch_Images/KIT--18184.Photos.013755.jpg</v>
      </c>
      <c r="T539" s="95">
        <f>IFERROR(__xludf.DUMMYFUNCTION("""COMPUTED_VALUE"""),46145.86570601852)</f>
        <v>46145.86571</v>
      </c>
      <c r="U539" s="93"/>
      <c r="V539" s="93"/>
      <c r="W539" s="93"/>
      <c r="X539" s="93"/>
      <c r="Y539" s="93"/>
      <c r="Z539" s="93"/>
    </row>
    <row r="540">
      <c r="A540" s="93" t="str">
        <f>IFERROR(__xludf.DUMMYFUNCTION("""COMPUTED_VALUE"""),"KIT-#18192")</f>
        <v>KIT-#18192</v>
      </c>
      <c r="B540" s="94">
        <f>IFERROR(__xludf.DUMMYFUNCTION("""COMPUTED_VALUE"""),46148.0)</f>
        <v>46148</v>
      </c>
      <c r="C540" s="93" t="str">
        <f>IFERROR(__xludf.DUMMYFUNCTION("""COMPUTED_VALUE"""),"Kit Delivery")</f>
        <v>Kit Delivery</v>
      </c>
      <c r="D540" s="93">
        <f>IFERROR(__xludf.DUMMYFUNCTION("""COMPUTED_VALUE"""),2.0)</f>
        <v>2</v>
      </c>
      <c r="E540" s="93" t="str">
        <f>IFERROR(__xludf.DUMMYFUNCTION("""COMPUTED_VALUE"""),"Lien")</f>
        <v>Lien</v>
      </c>
      <c r="F540" s="93">
        <f>IFERROR(__xludf.DUMMYFUNCTION("""COMPUTED_VALUE"""),2215.0)</f>
        <v>2215</v>
      </c>
      <c r="G540" s="93" t="str">
        <f>IFERROR(__xludf.DUMMYFUNCTION("""COMPUTED_VALUE"""),"Sara Alfarhan")</f>
        <v>Sara Alfarhan</v>
      </c>
      <c r="H540" s="93">
        <f>IFERROR(__xludf.DUMMYFUNCTION("""COMPUTED_VALUE"""),3.146003038E9)</f>
        <v>3146003038</v>
      </c>
      <c r="I540" s="93" t="str">
        <f>IFERROR(__xludf.DUMMYFUNCTION("""COMPUTED_VALUE"""),"9AM-11AM")</f>
        <v>9AM-11AM</v>
      </c>
      <c r="J540" s="93">
        <f>IFERROR(__xludf.DUMMYFUNCTION("""COMPUTED_VALUE"""),1.0)</f>
        <v>1</v>
      </c>
      <c r="K540" s="93" t="str">
        <f>IFERROR(__xludf.DUMMYFUNCTION("""COMPUTED_VALUE"""),"Complete")</f>
        <v>Complete</v>
      </c>
      <c r="L540" s="93"/>
      <c r="M540" s="94">
        <f>IFERROR(__xludf.DUMMYFUNCTION("""COMPUTED_VALUE"""),46145.89613425926)</f>
        <v>46145.89613</v>
      </c>
      <c r="N540" s="93">
        <f>IFERROR(__xludf.DUMMYFUNCTION("""COMPUTED_VALUE"""),29.0)</f>
        <v>29</v>
      </c>
      <c r="O540" s="93"/>
      <c r="P540" s="93" t="str">
        <f>IFERROR(__xludf.DUMMYFUNCTION("""COMPUTED_VALUE"""),"Kit Delivery")</f>
        <v>Kit Delivery</v>
      </c>
      <c r="Q540" s="93" t="str">
        <f>IFERROR(__xludf.DUMMYFUNCTION("""COMPUTED_VALUE"""),"do fridges fit in the boxes ?")</f>
        <v>do fridges fit in the boxes ?</v>
      </c>
      <c r="R540" s="93"/>
      <c r="S540" s="93" t="str">
        <f>IFERROR(__xludf.DUMMYFUNCTION("""COMPUTED_VALUE"""),"Dispatch_Images/KIT--18192.Photos.023022.jpg")</f>
        <v>Dispatch_Images/KIT--18192.Photos.023022.jpg</v>
      </c>
      <c r="T540" s="95">
        <f>IFERROR(__xludf.DUMMYFUNCTION("""COMPUTED_VALUE"""),46145.90045138889)</f>
        <v>46145.90045</v>
      </c>
      <c r="U540" s="93"/>
      <c r="V540" s="93"/>
      <c r="W540" s="93"/>
      <c r="X540" s="93"/>
      <c r="Y540" s="93"/>
      <c r="Z540" s="93"/>
    </row>
    <row r="541">
      <c r="A541" s="93" t="str">
        <f>IFERROR(__xludf.DUMMYFUNCTION("""COMPUTED_VALUE"""),"KIT-#18209")</f>
        <v>KIT-#18209</v>
      </c>
      <c r="B541" s="94">
        <f>IFERROR(__xludf.DUMMYFUNCTION("""COMPUTED_VALUE"""),46148.0)</f>
        <v>46148</v>
      </c>
      <c r="C541" s="93" t="str">
        <f>IFERROR(__xludf.DUMMYFUNCTION("""COMPUTED_VALUE"""),"Kit Delivery")</f>
        <v>Kit Delivery</v>
      </c>
      <c r="D541" s="93">
        <f>IFERROR(__xludf.DUMMYFUNCTION("""COMPUTED_VALUE"""),2.0)</f>
        <v>2</v>
      </c>
      <c r="E541" s="93" t="str">
        <f>IFERROR(__xludf.DUMMYFUNCTION("""COMPUTED_VALUE"""),"Village House")</f>
        <v>Village House</v>
      </c>
      <c r="F541" s="93">
        <f>IFERROR(__xludf.DUMMYFUNCTION("""COMPUTED_VALUE"""),3102.0)</f>
        <v>3102</v>
      </c>
      <c r="G541" s="93" t="str">
        <f>IFERROR(__xludf.DUMMYFUNCTION("""COMPUTED_VALUE"""),"Liam Henson")</f>
        <v>Liam Henson</v>
      </c>
      <c r="H541" s="93">
        <f>IFERROR(__xludf.DUMMYFUNCTION("""COMPUTED_VALUE"""),6.312638028E9)</f>
        <v>6312638028</v>
      </c>
      <c r="I541" s="93" t="str">
        <f>IFERROR(__xludf.DUMMYFUNCTION("""COMPUTED_VALUE"""),"9AM-11AM")</f>
        <v>9AM-11AM</v>
      </c>
      <c r="J541" s="93">
        <f>IFERROR(__xludf.DUMMYFUNCTION("""COMPUTED_VALUE"""),1.0)</f>
        <v>1</v>
      </c>
      <c r="K541" s="93" t="str">
        <f>IFERROR(__xludf.DUMMYFUNCTION("""COMPUTED_VALUE"""),"Complete")</f>
        <v>Complete</v>
      </c>
      <c r="L541" s="93"/>
      <c r="M541" s="94">
        <f>IFERROR(__xludf.DUMMYFUNCTION("""COMPUTED_VALUE"""),46145.95150462963)</f>
        <v>46145.9515</v>
      </c>
      <c r="N541" s="93">
        <f>IFERROR(__xludf.DUMMYFUNCTION("""COMPUTED_VALUE"""),33.0)</f>
        <v>33</v>
      </c>
      <c r="O541" s="93"/>
      <c r="P541" s="93" t="str">
        <f>IFERROR(__xludf.DUMMYFUNCTION("""COMPUTED_VALUE"""),"Kit Delivery")</f>
        <v>Kit Delivery</v>
      </c>
      <c r="Q541" s="93"/>
      <c r="R541" s="93"/>
      <c r="S541" s="93" t="str">
        <f>IFERROR(__xludf.DUMMYFUNCTION("""COMPUTED_VALUE"""),"Dispatch_Images/KIT--18209.Photos.035006.jpg")</f>
        <v>Dispatch_Images/KIT--18209.Photos.035006.jpg</v>
      </c>
      <c r="T541" s="95">
        <f>IFERROR(__xludf.DUMMYFUNCTION("""COMPUTED_VALUE"""),46145.95599537037)</f>
        <v>46145.956</v>
      </c>
      <c r="U541" s="93"/>
      <c r="V541" s="93"/>
      <c r="W541" s="93"/>
      <c r="X541" s="93"/>
      <c r="Y541" s="93"/>
      <c r="Z541" s="93"/>
    </row>
    <row r="542">
      <c r="A542" s="93" t="str">
        <f>IFERROR(__xludf.DUMMYFUNCTION("""COMPUTED_VALUE"""),"KIT-#18185")</f>
        <v>KIT-#18185</v>
      </c>
      <c r="B542" s="94">
        <f>IFERROR(__xludf.DUMMYFUNCTION("""COMPUTED_VALUE"""),46148.0)</f>
        <v>46148</v>
      </c>
      <c r="C542" s="93" t="str">
        <f>IFERROR(__xludf.DUMMYFUNCTION("""COMPUTED_VALUE"""),"Kit Delivery")</f>
        <v>Kit Delivery</v>
      </c>
      <c r="D542" s="93">
        <f>IFERROR(__xludf.DUMMYFUNCTION("""COMPUTED_VALUE"""),2.0)</f>
        <v>2</v>
      </c>
      <c r="E542" s="93" t="str">
        <f>IFERROR(__xludf.DUMMYFUNCTION("""COMPUTED_VALUE"""),"Millbrook Bldg. 2")</f>
        <v>Millbrook Bldg. 2</v>
      </c>
      <c r="F542" s="93" t="str">
        <f>IFERROR(__xludf.DUMMYFUNCTION("""COMPUTED_VALUE"""),"106C")</f>
        <v>106C</v>
      </c>
      <c r="G542" s="93" t="str">
        <f>IFERROR(__xludf.DUMMYFUNCTION("""COMPUTED_VALUE"""),"Gustavo Martinez")</f>
        <v>Gustavo Martinez</v>
      </c>
      <c r="H542" s="93">
        <f>IFERROR(__xludf.DUMMYFUNCTION("""COMPUTED_VALUE"""),5.512408068E9)</f>
        <v>5512408068</v>
      </c>
      <c r="I542" s="93" t="str">
        <f>IFERROR(__xludf.DUMMYFUNCTION("""COMPUTED_VALUE"""),"9AM-11AM")</f>
        <v>9AM-11AM</v>
      </c>
      <c r="J542" s="93">
        <f>IFERROR(__xludf.DUMMYFUNCTION("""COMPUTED_VALUE"""),1.0)</f>
        <v>1</v>
      </c>
      <c r="K542" s="93" t="str">
        <f>IFERROR(__xludf.DUMMYFUNCTION("""COMPUTED_VALUE"""),"Complete")</f>
        <v>Complete</v>
      </c>
      <c r="L542" s="93"/>
      <c r="M542" s="94">
        <f>IFERROR(__xludf.DUMMYFUNCTION("""COMPUTED_VALUE"""),46145.96533564814)</f>
        <v>46145.96534</v>
      </c>
      <c r="N542" s="93">
        <f>IFERROR(__xludf.DUMMYFUNCTION("""COMPUTED_VALUE"""),38.0)</f>
        <v>38</v>
      </c>
      <c r="O542" s="93"/>
      <c r="P542" s="93" t="str">
        <f>IFERROR(__xludf.DUMMYFUNCTION("""COMPUTED_VALUE"""),"Kit Delivery")</f>
        <v>Kit Delivery</v>
      </c>
      <c r="Q542" s="93"/>
      <c r="R542" s="93"/>
      <c r="S542" s="93" t="str">
        <f>IFERROR(__xludf.DUMMYFUNCTION("""COMPUTED_VALUE"""),"Dispatch_Images/KIT--18185.Photos.041001.jpg")</f>
        <v>Dispatch_Images/KIT--18185.Photos.041001.jpg</v>
      </c>
      <c r="T542" s="95">
        <f>IFERROR(__xludf.DUMMYFUNCTION("""COMPUTED_VALUE"""),46145.96988425926)</f>
        <v>46145.96988</v>
      </c>
      <c r="U542" s="93"/>
      <c r="V542" s="93"/>
      <c r="W542" s="93"/>
      <c r="X542" s="93"/>
      <c r="Y542" s="93"/>
      <c r="Z542" s="93"/>
    </row>
    <row r="543">
      <c r="A543" s="93" t="str">
        <f>IFERROR(__xludf.DUMMYFUNCTION("""COMPUTED_VALUE"""),"KIT-#18238")</f>
        <v>KIT-#18238</v>
      </c>
      <c r="B543" s="94">
        <f>IFERROR(__xludf.DUMMYFUNCTION("""COMPUTED_VALUE"""),46148.0)</f>
        <v>46148</v>
      </c>
      <c r="C543" s="93" t="str">
        <f>IFERROR(__xludf.DUMMYFUNCTION("""COMPUTED_VALUE"""),"Kit Delivery")</f>
        <v>Kit Delivery</v>
      </c>
      <c r="D543" s="93">
        <f>IFERROR(__xludf.DUMMYFUNCTION("""COMPUTED_VALUE"""),2.0)</f>
        <v>2</v>
      </c>
      <c r="E543" s="93" t="str">
        <f>IFERROR(__xludf.DUMMYFUNCTION("""COMPUTED_VALUE"""),"Rutledge")</f>
        <v>Rutledge</v>
      </c>
      <c r="F543" s="93">
        <f>IFERROR(__xludf.DUMMYFUNCTION("""COMPUTED_VALUE"""),341.0)</f>
        <v>341</v>
      </c>
      <c r="G543" s="93" t="str">
        <f>IFERROR(__xludf.DUMMYFUNCTION("""COMPUTED_VALUE"""),"Alexa Hernandez")</f>
        <v>Alexa Hernandez</v>
      </c>
      <c r="H543" s="93">
        <f>IFERROR(__xludf.DUMMYFUNCTION("""COMPUTED_VALUE"""),9.729461383E9)</f>
        <v>9729461383</v>
      </c>
      <c r="I543" s="93" t="str">
        <f>IFERROR(__xludf.DUMMYFUNCTION("""COMPUTED_VALUE"""),"9AM-11AM")</f>
        <v>9AM-11AM</v>
      </c>
      <c r="J543" s="93">
        <f>IFERROR(__xludf.DUMMYFUNCTION("""COMPUTED_VALUE"""),1.0)</f>
        <v>1</v>
      </c>
      <c r="K543" s="93" t="str">
        <f>IFERROR(__xludf.DUMMYFUNCTION("""COMPUTED_VALUE"""),"Complete")</f>
        <v>Complete</v>
      </c>
      <c r="L543" s="93"/>
      <c r="M543" s="94">
        <f>IFERROR(__xludf.DUMMYFUNCTION("""COMPUTED_VALUE"""),46146.758611111116)</f>
        <v>46146.75861</v>
      </c>
      <c r="N543" s="93">
        <f>IFERROR(__xludf.DUMMYFUNCTION("""COMPUTED_VALUE"""),3.0)</f>
        <v>3</v>
      </c>
      <c r="O543" s="93" t="str">
        <f>IFERROR(__xludf.DUMMYFUNCTION("""COMPUTED_VALUE"""),"5129 Vera Cruz Dr, Garland, Texas, 75043")</f>
        <v>5129 Vera Cruz Dr, Garland, Texas, 75043</v>
      </c>
      <c r="P543" s="93" t="str">
        <f>IFERROR(__xludf.DUMMYFUNCTION("""COMPUTED_VALUE"""),"Kit Delivery")</f>
        <v>Kit Delivery</v>
      </c>
      <c r="Q543" s="93"/>
      <c r="R543" s="93"/>
      <c r="S543" s="93" t="str">
        <f>IFERROR(__xludf.DUMMYFUNCTION("""COMPUTED_VALUE"""),"Dispatch_Images/KIT--18238.Photos.231221.jpg")</f>
        <v>Dispatch_Images/KIT--18238.Photos.231221.jpg</v>
      </c>
      <c r="T543" s="95">
        <f>IFERROR(__xludf.DUMMYFUNCTION("""COMPUTED_VALUE"""),46146.76153935185)</f>
        <v>46146.76154</v>
      </c>
      <c r="U543" s="93"/>
      <c r="V543" s="93"/>
      <c r="W543" s="93"/>
      <c r="X543" s="93"/>
      <c r="Y543" s="93"/>
      <c r="Z543" s="93"/>
    </row>
    <row r="544">
      <c r="A544" s="93" t="str">
        <f>IFERROR(__xludf.DUMMYFUNCTION("""COMPUTED_VALUE"""),"KIT-#17411")</f>
        <v>KIT-#17411</v>
      </c>
      <c r="B544" s="94">
        <f>IFERROR(__xludf.DUMMYFUNCTION("""COMPUTED_VALUE"""),46148.0)</f>
        <v>46148</v>
      </c>
      <c r="C544" s="93" t="str">
        <f>IFERROR(__xludf.DUMMYFUNCTION("""COMPUTED_VALUE"""),"Kit Delivery")</f>
        <v>Kit Delivery</v>
      </c>
      <c r="D544" s="93">
        <f>IFERROR(__xludf.DUMMYFUNCTION("""COMPUTED_VALUE"""),1.0)</f>
        <v>1</v>
      </c>
      <c r="E544" s="93" t="str">
        <f>IFERROR(__xludf.DUMMYFUNCTION("""COMPUTED_VALUE"""),"Danforth")</f>
        <v>Danforth</v>
      </c>
      <c r="F544" s="93">
        <f>IFERROR(__xludf.DUMMYFUNCTION("""COMPUTED_VALUE"""),3324.0)</f>
        <v>3324</v>
      </c>
      <c r="G544" s="93" t="str">
        <f>IFERROR(__xludf.DUMMYFUNCTION("""COMPUTED_VALUE"""),"Lexi Azrin")</f>
        <v>Lexi Azrin</v>
      </c>
      <c r="H544" s="93">
        <f>IFERROR(__xludf.DUMMYFUNCTION("""COMPUTED_VALUE"""),9.145884646E9)</f>
        <v>9145884646</v>
      </c>
      <c r="I544" s="93" t="str">
        <f>IFERROR(__xludf.DUMMYFUNCTION("""COMPUTED_VALUE"""),"10AM-12PM")</f>
        <v>10AM-12PM</v>
      </c>
      <c r="J544" s="93">
        <f>IFERROR(__xludf.DUMMYFUNCTION("""COMPUTED_VALUE"""),1.0)</f>
        <v>1</v>
      </c>
      <c r="K544" s="93" t="str">
        <f>IFERROR(__xludf.DUMMYFUNCTION("""COMPUTED_VALUE"""),"Issue")</f>
        <v>Issue</v>
      </c>
      <c r="L544" s="93" t="str">
        <f>IFERROR(__xludf.DUMMYFUNCTION("""COMPUTED_VALUE"""),"Customer canceled")</f>
        <v>Customer canceled</v>
      </c>
      <c r="M544" s="93"/>
      <c r="N544" s="93">
        <f>IFERROR(__xludf.DUMMYFUNCTION("""COMPUTED_VALUE"""),36.0)</f>
        <v>36</v>
      </c>
      <c r="O544" s="93"/>
      <c r="P544" s="93" t="str">
        <f>IFERROR(__xludf.DUMMYFUNCTION("""COMPUTED_VALUE"""),"Kit Delivery")</f>
        <v>Kit Delivery</v>
      </c>
      <c r="Q544" s="93"/>
      <c r="R544" s="93"/>
      <c r="S544" s="95">
        <f>IFERROR(__xludf.DUMMYFUNCTION("""COMPUTED_VALUE"""),46123.61150462963)</f>
        <v>46123.6115</v>
      </c>
      <c r="T544" s="93"/>
      <c r="U544" s="93"/>
      <c r="V544" s="93"/>
      <c r="W544" s="93"/>
      <c r="X544" s="93"/>
      <c r="Y544" s="93"/>
      <c r="Z544" s="93"/>
    </row>
    <row r="545">
      <c r="A545" s="93" t="str">
        <f>IFERROR(__xludf.DUMMYFUNCTION("""COMPUTED_VALUE"""),"KIT-#17548")</f>
        <v>KIT-#17548</v>
      </c>
      <c r="B545" s="94">
        <f>IFERROR(__xludf.DUMMYFUNCTION("""COMPUTED_VALUE"""),46148.0)</f>
        <v>46148</v>
      </c>
      <c r="C545" s="93" t="str">
        <f>IFERROR(__xludf.DUMMYFUNCTION("""COMPUTED_VALUE"""),"Kit Delivery")</f>
        <v>Kit Delivery</v>
      </c>
      <c r="D545" s="93">
        <f>IFERROR(__xludf.DUMMYFUNCTION("""COMPUTED_VALUE"""),2.0)</f>
        <v>2</v>
      </c>
      <c r="E545" s="93" t="str">
        <f>IFERROR(__xludf.DUMMYFUNCTION("""COMPUTED_VALUE"""),"Off-Campus")</f>
        <v>Off-Campus</v>
      </c>
      <c r="F545" s="93"/>
      <c r="G545" s="93" t="str">
        <f>IFERROR(__xludf.DUMMYFUNCTION("""COMPUTED_VALUE"""),"Monica Chen")</f>
        <v>Monica Chen</v>
      </c>
      <c r="H545" s="93">
        <f>IFERROR(__xludf.DUMMYFUNCTION("""COMPUTED_VALUE"""),9.193979888E9)</f>
        <v>9193979888</v>
      </c>
      <c r="I545" s="93" t="str">
        <f>IFERROR(__xludf.DUMMYFUNCTION("""COMPUTED_VALUE"""),"9AM-11AM")</f>
        <v>9AM-11AM</v>
      </c>
      <c r="J545" s="93">
        <f>IFERROR(__xludf.DUMMYFUNCTION("""COMPUTED_VALUE"""),1.0)</f>
        <v>1</v>
      </c>
      <c r="K545" s="93" t="str">
        <f>IFERROR(__xludf.DUMMYFUNCTION("""COMPUTED_VALUE"""),"Complete")</f>
        <v>Complete</v>
      </c>
      <c r="L545" s="93"/>
      <c r="M545" s="93"/>
      <c r="N545" s="93">
        <f>IFERROR(__xludf.DUMMYFUNCTION("""COMPUTED_VALUE"""),116.0)</f>
        <v>116</v>
      </c>
      <c r="O545" s="93" t="str">
        <f>IFERROR(__xludf.DUMMYFUNCTION("""COMPUTED_VALUE"""),"725 Interdrive, Apt 1")</f>
        <v>725 Interdrive, Apt 1</v>
      </c>
      <c r="P545" s="93" t="str">
        <f>IFERROR(__xludf.DUMMYFUNCTION("""COMPUTED_VALUE"""),"Kit Delivery")</f>
        <v>Kit Delivery</v>
      </c>
      <c r="Q545" s="93"/>
      <c r="R545" s="93"/>
      <c r="S545" s="93"/>
      <c r="T545" s="95">
        <f>IFERROR(__xludf.DUMMYFUNCTION("""COMPUTED_VALUE"""),46144.73924768518)</f>
        <v>46144.73925</v>
      </c>
      <c r="U545" s="93"/>
      <c r="V545" s="93"/>
      <c r="W545" s="93"/>
      <c r="X545" s="93"/>
      <c r="Y545" s="93"/>
      <c r="Z545" s="93"/>
    </row>
    <row r="546">
      <c r="A546" s="93" t="str">
        <f>IFERROR(__xludf.DUMMYFUNCTION("""COMPUTED_VALUE"""),"KIT-#17599")</f>
        <v>KIT-#17599</v>
      </c>
      <c r="B546" s="94">
        <f>IFERROR(__xludf.DUMMYFUNCTION("""COMPUTED_VALUE"""),46148.0)</f>
        <v>46148</v>
      </c>
      <c r="C546" s="93" t="str">
        <f>IFERROR(__xludf.DUMMYFUNCTION("""COMPUTED_VALUE"""),"Kit Delivery")</f>
        <v>Kit Delivery</v>
      </c>
      <c r="D546" s="93">
        <f>IFERROR(__xludf.DUMMYFUNCTION("""COMPUTED_VALUE"""),2.0)</f>
        <v>2</v>
      </c>
      <c r="E546" s="93" t="str">
        <f>IFERROR(__xludf.DUMMYFUNCTION("""COMPUTED_VALUE"""),"Off-Campus")</f>
        <v>Off-Campus</v>
      </c>
      <c r="F546" s="93"/>
      <c r="G546" s="93" t="str">
        <f>IFERROR(__xludf.DUMMYFUNCTION("""COMPUTED_VALUE"""),"Jack Charfoos")</f>
        <v>Jack Charfoos</v>
      </c>
      <c r="H546" s="93">
        <f>IFERROR(__xludf.DUMMYFUNCTION("""COMPUTED_VALUE"""),3.123077614E9)</f>
        <v>3123077614</v>
      </c>
      <c r="I546" s="93" t="str">
        <f>IFERROR(__xludf.DUMMYFUNCTION("""COMPUTED_VALUE"""),"3PM-5PM")</f>
        <v>3PM-5PM</v>
      </c>
      <c r="J546" s="93">
        <f>IFERROR(__xludf.DUMMYFUNCTION("""COMPUTED_VALUE"""),2.0)</f>
        <v>2</v>
      </c>
      <c r="K546" s="93" t="str">
        <f>IFERROR(__xludf.DUMMYFUNCTION("""COMPUTED_VALUE"""),"Complete")</f>
        <v>Complete</v>
      </c>
      <c r="L546" s="93"/>
      <c r="M546" s="93"/>
      <c r="N546" s="93">
        <f>IFERROR(__xludf.DUMMYFUNCTION("""COMPUTED_VALUE"""),117.0)</f>
        <v>117</v>
      </c>
      <c r="O546" s="93" t="str">
        <f>IFERROR(__xludf.DUMMYFUNCTION("""COMPUTED_VALUE"""),"608 Kingsland Ave, 63130, Apt 303")</f>
        <v>608 Kingsland Ave, 63130, Apt 303</v>
      </c>
      <c r="P546" s="93" t="str">
        <f>IFERROR(__xludf.DUMMYFUNCTION("""COMPUTED_VALUE"""),"Kit Delivery")</f>
        <v>Kit Delivery</v>
      </c>
      <c r="Q546" s="93"/>
      <c r="R546" s="93"/>
      <c r="S546" s="93"/>
      <c r="T546" s="95">
        <f>IFERROR(__xludf.DUMMYFUNCTION("""COMPUTED_VALUE"""),46144.73924768518)</f>
        <v>46144.73925</v>
      </c>
      <c r="U546" s="93"/>
      <c r="V546" s="93"/>
      <c r="W546" s="93"/>
      <c r="X546" s="93"/>
      <c r="Y546" s="93"/>
      <c r="Z546" s="93"/>
    </row>
    <row r="547">
      <c r="A547" s="93" t="str">
        <f>IFERROR(__xludf.DUMMYFUNCTION("""COMPUTED_VALUE"""),"KIT-#17752")</f>
        <v>KIT-#17752</v>
      </c>
      <c r="B547" s="94">
        <f>IFERROR(__xludf.DUMMYFUNCTION("""COMPUTED_VALUE"""),46148.0)</f>
        <v>46148</v>
      </c>
      <c r="C547" s="93" t="str">
        <f>IFERROR(__xludf.DUMMYFUNCTION("""COMPUTED_VALUE"""),"Kit Delivery")</f>
        <v>Kit Delivery</v>
      </c>
      <c r="D547" s="93">
        <f>IFERROR(__xludf.DUMMYFUNCTION("""COMPUTED_VALUE"""),2.0)</f>
        <v>2</v>
      </c>
      <c r="E547" s="93" t="str">
        <f>IFERROR(__xludf.DUMMYFUNCTION("""COMPUTED_VALUE"""),"Eliot A")</f>
        <v>Eliot A</v>
      </c>
      <c r="F547" s="93">
        <f>IFERROR(__xludf.DUMMYFUNCTION("""COMPUTED_VALUE"""),1061.0)</f>
        <v>1061</v>
      </c>
      <c r="G547" s="93" t="str">
        <f>IFERROR(__xludf.DUMMYFUNCTION("""COMPUTED_VALUE"""),"Natalia Galicot")</f>
        <v>Natalia Galicot</v>
      </c>
      <c r="H547" s="93">
        <f>IFERROR(__xludf.DUMMYFUNCTION("""COMPUTED_VALUE"""),6.192549569E9)</f>
        <v>6192549569</v>
      </c>
      <c r="I547" s="93" t="str">
        <f>IFERROR(__xludf.DUMMYFUNCTION("""COMPUTED_VALUE"""),"9AM-11AM")</f>
        <v>9AM-11AM</v>
      </c>
      <c r="J547" s="93">
        <f>IFERROR(__xludf.DUMMYFUNCTION("""COMPUTED_VALUE"""),1.0)</f>
        <v>1</v>
      </c>
      <c r="K547" s="93" t="str">
        <f>IFERROR(__xludf.DUMMYFUNCTION("""COMPUTED_VALUE"""),"Complete")</f>
        <v>Complete</v>
      </c>
      <c r="L547" s="93"/>
      <c r="M547" s="93"/>
      <c r="N547" s="93">
        <f>IFERROR(__xludf.DUMMYFUNCTION("""COMPUTED_VALUE"""),17.0)</f>
        <v>17</v>
      </c>
      <c r="O547" s="93"/>
      <c r="P547" s="93" t="str">
        <f>IFERROR(__xludf.DUMMYFUNCTION("""COMPUTED_VALUE"""),"Kit Delivery")</f>
        <v>Kit Delivery</v>
      </c>
      <c r="Q547" s="93"/>
      <c r="R547" s="93"/>
      <c r="S547" s="93"/>
      <c r="T547" s="95">
        <f>IFERROR(__xludf.DUMMYFUNCTION("""COMPUTED_VALUE"""),46142.705983796295)</f>
        <v>46142.70598</v>
      </c>
      <c r="U547" s="93"/>
      <c r="V547" s="93"/>
      <c r="W547" s="93"/>
      <c r="X547" s="93"/>
      <c r="Y547" s="93"/>
      <c r="Z547" s="93"/>
    </row>
    <row r="548">
      <c r="A548" s="93" t="str">
        <f>IFERROR(__xludf.DUMMYFUNCTION("""COMPUTED_VALUE"""),"KIT-#17998")</f>
        <v>KIT-#17998</v>
      </c>
      <c r="B548" s="94">
        <f>IFERROR(__xludf.DUMMYFUNCTION("""COMPUTED_VALUE"""),46148.0)</f>
        <v>46148</v>
      </c>
      <c r="C548" s="93" t="str">
        <f>IFERROR(__xludf.DUMMYFUNCTION("""COMPUTED_VALUE"""),"Kit Delivery")</f>
        <v>Kit Delivery</v>
      </c>
      <c r="D548" s="93">
        <f>IFERROR(__xludf.DUMMYFUNCTION("""COMPUTED_VALUE"""),2.0)</f>
        <v>2</v>
      </c>
      <c r="E548" s="93" t="str">
        <f>IFERROR(__xludf.DUMMYFUNCTION("""COMPUTED_VALUE"""),"Off-Campus")</f>
        <v>Off-Campus</v>
      </c>
      <c r="F548" s="93"/>
      <c r="G548" s="93" t="str">
        <f>IFERROR(__xludf.DUMMYFUNCTION("""COMPUTED_VALUE"""),"David Moriarty")</f>
        <v>David Moriarty</v>
      </c>
      <c r="H548" s="93">
        <f>IFERROR(__xludf.DUMMYFUNCTION("""COMPUTED_VALUE"""),6.17529097E9)</f>
        <v>6175290970</v>
      </c>
      <c r="I548" s="93" t="str">
        <f>IFERROR(__xludf.DUMMYFUNCTION("""COMPUTED_VALUE"""),"9AM-11AM")</f>
        <v>9AM-11AM</v>
      </c>
      <c r="J548" s="93">
        <f>IFERROR(__xludf.DUMMYFUNCTION("""COMPUTED_VALUE"""),1.0)</f>
        <v>1</v>
      </c>
      <c r="K548" s="93" t="str">
        <f>IFERROR(__xludf.DUMMYFUNCTION("""COMPUTED_VALUE"""),"Complete")</f>
        <v>Complete</v>
      </c>
      <c r="L548" s="93"/>
      <c r="M548" s="93"/>
      <c r="N548" s="93">
        <f>IFERROR(__xludf.DUMMYFUNCTION("""COMPUTED_VALUE"""),119.0)</f>
        <v>119</v>
      </c>
      <c r="O548" s="93" t="str">
        <f>IFERROR(__xludf.DUMMYFUNCTION("""COMPUTED_VALUE"""),"740 West gate ave at louis S1")</f>
        <v>740 West gate ave at louis S1</v>
      </c>
      <c r="P548" s="93" t="str">
        <f>IFERROR(__xludf.DUMMYFUNCTION("""COMPUTED_VALUE"""),"Kit Delivery")</f>
        <v>Kit Delivery</v>
      </c>
      <c r="Q548" s="93" t="str">
        <f>IFERROR(__xludf.DUMMYFUNCTION("""COMPUTED_VALUE"""),"looking to store till the end of August iam very confused on the pricing and if offer boxes and if tv needs to be wrapped. Thank yiy")</f>
        <v>looking to store till the end of August iam very confused on the pricing and if offer boxes and if tv needs to be wrapped. Thank yiy</v>
      </c>
      <c r="R548" s="93"/>
      <c r="S548" s="93"/>
      <c r="T548" s="95">
        <f>IFERROR(__xludf.DUMMYFUNCTION("""COMPUTED_VALUE"""),46144.73924768518)</f>
        <v>46144.73925</v>
      </c>
      <c r="U548" s="93"/>
      <c r="V548" s="93"/>
      <c r="W548" s="93"/>
      <c r="X548" s="93"/>
      <c r="Y548" s="93"/>
      <c r="Z548" s="93"/>
    </row>
    <row r="549">
      <c r="A549" s="93" t="str">
        <f>IFERROR(__xludf.DUMMYFUNCTION("""COMPUTED_VALUE"""),"KIT-#18215")</f>
        <v>KIT-#18215</v>
      </c>
      <c r="B549" s="94">
        <f>IFERROR(__xludf.DUMMYFUNCTION("""COMPUTED_VALUE"""),46148.0)</f>
        <v>46148</v>
      </c>
      <c r="C549" s="93" t="str">
        <f>IFERROR(__xludf.DUMMYFUNCTION("""COMPUTED_VALUE"""),"Kit Delivery")</f>
        <v>Kit Delivery</v>
      </c>
      <c r="D549" s="93">
        <f>IFERROR(__xludf.DUMMYFUNCTION("""COMPUTED_VALUE"""),3.0)</f>
        <v>3</v>
      </c>
      <c r="E549" s="93" t="str">
        <f>IFERROR(__xludf.DUMMYFUNCTION("""COMPUTED_VALUE"""),"Wheeler")</f>
        <v>Wheeler</v>
      </c>
      <c r="F549" s="93">
        <f>IFERROR(__xludf.DUMMYFUNCTION("""COMPUTED_VALUE"""),4010.0)</f>
        <v>4010</v>
      </c>
      <c r="G549" s="93" t="str">
        <f>IFERROR(__xludf.DUMMYFUNCTION("""COMPUTED_VALUE"""),"Aarav Vaidya")</f>
        <v>Aarav Vaidya</v>
      </c>
      <c r="H549" s="93">
        <f>IFERROR(__xludf.DUMMYFUNCTION("""COMPUTED_VALUE"""),6.467506269E9)</f>
        <v>6467506269</v>
      </c>
      <c r="I549" s="93" t="str">
        <f>IFERROR(__xludf.DUMMYFUNCTION("""COMPUTED_VALUE"""),"9AM-11AM")</f>
        <v>9AM-11AM</v>
      </c>
      <c r="J549" s="93">
        <f>IFERROR(__xludf.DUMMYFUNCTION("""COMPUTED_VALUE"""),1.0)</f>
        <v>1</v>
      </c>
      <c r="K549" s="93" t="str">
        <f>IFERROR(__xludf.DUMMYFUNCTION("""COMPUTED_VALUE"""),"Complete")</f>
        <v>Complete</v>
      </c>
      <c r="L549" s="93"/>
      <c r="M549" s="93"/>
      <c r="N549" s="93">
        <f>IFERROR(__xludf.DUMMYFUNCTION("""COMPUTED_VALUE"""),1.0)</f>
        <v>1</v>
      </c>
      <c r="O549" s="93"/>
      <c r="P549" s="93" t="str">
        <f>IFERROR(__xludf.DUMMYFUNCTION("""COMPUTED_VALUE"""),"Kit Delivery")</f>
        <v>Kit Delivery</v>
      </c>
      <c r="Q549" s="93"/>
      <c r="R549" s="93"/>
      <c r="S549" s="93"/>
      <c r="T549" s="95">
        <f>IFERROR(__xludf.DUMMYFUNCTION("""COMPUTED_VALUE"""),46146.018483796295)</f>
        <v>46146.01848</v>
      </c>
      <c r="U549" s="93"/>
      <c r="V549" s="93"/>
      <c r="W549" s="93"/>
      <c r="X549" s="93"/>
      <c r="Y549" s="93"/>
      <c r="Z549" s="93"/>
    </row>
    <row r="550">
      <c r="A550" s="93" t="str">
        <f>IFERROR(__xludf.DUMMYFUNCTION("""COMPUTED_VALUE"""),"KIT-#18234")</f>
        <v>KIT-#18234</v>
      </c>
      <c r="B550" s="94">
        <f>IFERROR(__xludf.DUMMYFUNCTION("""COMPUTED_VALUE"""),46148.0)</f>
        <v>46148</v>
      </c>
      <c r="C550" s="93" t="str">
        <f>IFERROR(__xludf.DUMMYFUNCTION("""COMPUTED_VALUE"""),"Kit Delivery")</f>
        <v>Kit Delivery</v>
      </c>
      <c r="D550" s="93">
        <f>IFERROR(__xludf.DUMMYFUNCTION("""COMPUTED_VALUE"""),3.0)</f>
        <v>3</v>
      </c>
      <c r="E550" s="93" t="str">
        <f>IFERROR(__xludf.DUMMYFUNCTION("""COMPUTED_VALUE"""),"Koenig")</f>
        <v>Koenig</v>
      </c>
      <c r="F550" s="93">
        <f>IFERROR(__xludf.DUMMYFUNCTION("""COMPUTED_VALUE"""),1108.0)</f>
        <v>1108</v>
      </c>
      <c r="G550" s="93" t="str">
        <f>IFERROR(__xludf.DUMMYFUNCTION("""COMPUTED_VALUE"""),"Kyla Tinsley")</f>
        <v>Kyla Tinsley</v>
      </c>
      <c r="H550" s="93">
        <f>IFERROR(__xludf.DUMMYFUNCTION("""COMPUTED_VALUE"""),8.033715949E9)</f>
        <v>8033715949</v>
      </c>
      <c r="I550" s="93" t="str">
        <f>IFERROR(__xludf.DUMMYFUNCTION("""COMPUTED_VALUE"""),"3PM-5PM")</f>
        <v>3PM-5PM</v>
      </c>
      <c r="J550" s="93">
        <f>IFERROR(__xludf.DUMMYFUNCTION("""COMPUTED_VALUE"""),0.0)</f>
        <v>0</v>
      </c>
      <c r="K550" s="93" t="str">
        <f>IFERROR(__xludf.DUMMYFUNCTION("""COMPUTED_VALUE"""),"Complete")</f>
        <v>Complete</v>
      </c>
      <c r="L550" s="93" t="str">
        <f>IFERROR(__xludf.DUMMYFUNCTION("""COMPUTED_VALUE"""),"0 kits")</f>
        <v>0 kits</v>
      </c>
      <c r="M550" s="93"/>
      <c r="N550" s="93">
        <f>IFERROR(__xludf.DUMMYFUNCTION("""COMPUTED_VALUE"""),5.0)</f>
        <v>5</v>
      </c>
      <c r="O550" s="93"/>
      <c r="P550" s="93" t="str">
        <f>IFERROR(__xludf.DUMMYFUNCTION("""COMPUTED_VALUE"""),"Kit Delivery")</f>
        <v>Kit Delivery</v>
      </c>
      <c r="Q550" s="93"/>
      <c r="R550" s="93"/>
      <c r="S550" s="93"/>
      <c r="T550" s="95">
        <f>IFERROR(__xludf.DUMMYFUNCTION("""COMPUTED_VALUE"""),46146.58100694444)</f>
        <v>46146.58101</v>
      </c>
      <c r="U550" s="93"/>
      <c r="V550" s="93"/>
      <c r="W550" s="93"/>
      <c r="X550" s="93"/>
      <c r="Y550" s="93"/>
      <c r="Z550" s="93"/>
    </row>
    <row r="551">
      <c r="A551" s="93" t="str">
        <f>IFERROR(__xludf.DUMMYFUNCTION("""COMPUTED_VALUE"""),"KIT-#17443")</f>
        <v>KIT-#17443</v>
      </c>
      <c r="B551" s="94">
        <f>IFERROR(__xludf.DUMMYFUNCTION("""COMPUTED_VALUE"""),46149.0)</f>
        <v>46149</v>
      </c>
      <c r="C551" s="93" t="str">
        <f>IFERROR(__xludf.DUMMYFUNCTION("""COMPUTED_VALUE"""),"Kit Delivery")</f>
        <v>Kit Delivery</v>
      </c>
      <c r="D551" s="93">
        <f>IFERROR(__xludf.DUMMYFUNCTION("""COMPUTED_VALUE"""),3.0)</f>
        <v>3</v>
      </c>
      <c r="E551" s="93" t="str">
        <f>IFERROR(__xludf.DUMMYFUNCTION("""COMPUTED_VALUE"""),"Dardick")</f>
        <v>Dardick</v>
      </c>
      <c r="F551" s="93">
        <f>IFERROR(__xludf.DUMMYFUNCTION("""COMPUTED_VALUE"""),2203.0)</f>
        <v>2203</v>
      </c>
      <c r="G551" s="93" t="str">
        <f>IFERROR(__xludf.DUMMYFUNCTION("""COMPUTED_VALUE"""),"Keely Wu")</f>
        <v>Keely Wu</v>
      </c>
      <c r="H551" s="93">
        <f>IFERROR(__xludf.DUMMYFUNCTION("""COMPUTED_VALUE"""),9.175185793E9)</f>
        <v>9175185793</v>
      </c>
      <c r="I551" s="93" t="str">
        <f>IFERROR(__xludf.DUMMYFUNCTION("""COMPUTED_VALUE"""),"12PM-2PM")</f>
        <v>12PM-2PM</v>
      </c>
      <c r="J551" s="93">
        <f>IFERROR(__xludf.DUMMYFUNCTION("""COMPUTED_VALUE"""),1.0)</f>
        <v>1</v>
      </c>
      <c r="K551" s="93" t="str">
        <f>IFERROR(__xludf.DUMMYFUNCTION("""COMPUTED_VALUE"""),"Complete")</f>
        <v>Complete</v>
      </c>
      <c r="L551" s="93"/>
      <c r="M551" s="94">
        <f>IFERROR(__xludf.DUMMYFUNCTION("""COMPUTED_VALUE"""),46127.669386574074)</f>
        <v>46127.66939</v>
      </c>
      <c r="N551" s="93">
        <f>IFERROR(__xludf.DUMMYFUNCTION("""COMPUTED_VALUE"""),90.0)</f>
        <v>90</v>
      </c>
      <c r="O551" s="93"/>
      <c r="P551" s="93" t="str">
        <f>IFERROR(__xludf.DUMMYFUNCTION("""COMPUTED_VALUE"""),"Kit Delivery")</f>
        <v>Kit Delivery</v>
      </c>
      <c r="Q551" s="93" t="str">
        <f>IFERROR(__xludf.DUMMYFUNCTION("""COMPUTED_VALUE"""),"We would like the boxes delivered by Friday April 17th.")</f>
        <v>We would like the boxes delivered by Friday April 17th.</v>
      </c>
      <c r="R551" s="93"/>
      <c r="S551" s="93" t="str">
        <f>IFERROR(__xludf.DUMMYFUNCTION("""COMPUTED_VALUE"""),"Dispatch_Images/KIT--17443.Photos.210349.jpg")</f>
        <v>Dispatch_Images/KIT--17443.Photos.210349.jpg</v>
      </c>
      <c r="T551" s="95">
        <f>IFERROR(__xludf.DUMMYFUNCTION("""COMPUTED_VALUE"""),46127.675787037035)</f>
        <v>46127.67579</v>
      </c>
      <c r="U551" s="93"/>
      <c r="V551" s="93"/>
      <c r="W551" s="93"/>
      <c r="X551" s="93"/>
      <c r="Y551" s="93"/>
      <c r="Z551" s="93"/>
    </row>
    <row r="552">
      <c r="A552" s="93" t="str">
        <f>IFERROR(__xludf.DUMMYFUNCTION("""COMPUTED_VALUE"""),"KIT-#16814")</f>
        <v>KIT-#16814</v>
      </c>
      <c r="B552" s="94">
        <f>IFERROR(__xludf.DUMMYFUNCTION("""COMPUTED_VALUE"""),46149.0)</f>
        <v>46149</v>
      </c>
      <c r="C552" s="93" t="str">
        <f>IFERROR(__xludf.DUMMYFUNCTION("""COMPUTED_VALUE"""),"Kit Delivery")</f>
        <v>Kit Delivery</v>
      </c>
      <c r="D552" s="93">
        <f>IFERROR(__xludf.DUMMYFUNCTION("""COMPUTED_VALUE"""),2.0)</f>
        <v>2</v>
      </c>
      <c r="E552" s="93" t="str">
        <f>IFERROR(__xludf.DUMMYFUNCTION("""COMPUTED_VALUE"""),"Eliot B")</f>
        <v>Eliot B</v>
      </c>
      <c r="F552" s="93">
        <f>IFERROR(__xludf.DUMMYFUNCTION("""COMPUTED_VALUE"""),1031.0)</f>
        <v>1031</v>
      </c>
      <c r="G552" s="93" t="str">
        <f>IFERROR(__xludf.DUMMYFUNCTION("""COMPUTED_VALUE"""),"Cherish Amby-Okolo")</f>
        <v>Cherish Amby-Okolo</v>
      </c>
      <c r="H552" s="93">
        <f>IFERROR(__xludf.DUMMYFUNCTION("""COMPUTED_VALUE"""),8.325713206E9)</f>
        <v>8325713206</v>
      </c>
      <c r="I552" s="93" t="str">
        <f>IFERROR(__xludf.DUMMYFUNCTION("""COMPUTED_VALUE"""),"9AM-11AM")</f>
        <v>9AM-11AM</v>
      </c>
      <c r="J552" s="93">
        <f>IFERROR(__xludf.DUMMYFUNCTION("""COMPUTED_VALUE"""),1.0)</f>
        <v>1</v>
      </c>
      <c r="K552" s="93" t="str">
        <f>IFERROR(__xludf.DUMMYFUNCTION("""COMPUTED_VALUE"""),"Complete")</f>
        <v>Complete</v>
      </c>
      <c r="L552" s="93"/>
      <c r="M552" s="94">
        <f>IFERROR(__xludf.DUMMYFUNCTION("""COMPUTED_VALUE"""),46129.84017361111)</f>
        <v>46129.84017</v>
      </c>
      <c r="N552" s="93">
        <f>IFERROR(__xludf.DUMMYFUNCTION("""COMPUTED_VALUE"""),28.0)</f>
        <v>28</v>
      </c>
      <c r="O552" s="93"/>
      <c r="P552" s="93" t="str">
        <f>IFERROR(__xludf.DUMMYFUNCTION("""COMPUTED_VALUE"""),"Kit Delivery")</f>
        <v>Kit Delivery</v>
      </c>
      <c r="Q552" s="93"/>
      <c r="R552" s="93"/>
      <c r="S552" s="93" t="str">
        <f>IFERROR(__xludf.DUMMYFUNCTION("""COMPUTED_VALUE"""),"Dispatch_Images/KIT--16814.Photos.010947.jpg")</f>
        <v>Dispatch_Images/KIT--16814.Photos.010947.jpg</v>
      </c>
      <c r="T552" s="95">
        <f>IFERROR(__xludf.DUMMYFUNCTION("""COMPUTED_VALUE"""),46129.84243055555)</f>
        <v>46129.84243</v>
      </c>
      <c r="U552" s="93"/>
      <c r="V552" s="93"/>
      <c r="W552" s="93"/>
      <c r="X552" s="93"/>
      <c r="Y552" s="93"/>
      <c r="Z552" s="93"/>
    </row>
    <row r="553">
      <c r="A553" s="93" t="str">
        <f>IFERROR(__xludf.DUMMYFUNCTION("""COMPUTED_VALUE"""),"KIT-#17064")</f>
        <v>KIT-#17064</v>
      </c>
      <c r="B553" s="94">
        <f>IFERROR(__xludf.DUMMYFUNCTION("""COMPUTED_VALUE"""),46149.0)</f>
        <v>46149</v>
      </c>
      <c r="C553" s="93" t="str">
        <f>IFERROR(__xludf.DUMMYFUNCTION("""COMPUTED_VALUE"""),"Kit Delivery")</f>
        <v>Kit Delivery</v>
      </c>
      <c r="D553" s="93">
        <f>IFERROR(__xludf.DUMMYFUNCTION("""COMPUTED_VALUE"""),2.0)</f>
        <v>2</v>
      </c>
      <c r="E553" s="93" t="str">
        <f>IFERROR(__xludf.DUMMYFUNCTION("""COMPUTED_VALUE"""),"Eliot B")</f>
        <v>Eliot B</v>
      </c>
      <c r="F553" s="93">
        <f>IFERROR(__xludf.DUMMYFUNCTION("""COMPUTED_VALUE"""),1032.0)</f>
        <v>1032</v>
      </c>
      <c r="G553" s="93" t="str">
        <f>IFERROR(__xludf.DUMMYFUNCTION("""COMPUTED_VALUE"""),"Kaia Roy")</f>
        <v>Kaia Roy</v>
      </c>
      <c r="H553" s="93">
        <f>IFERROR(__xludf.DUMMYFUNCTION("""COMPUTED_VALUE"""),6.462400383E9)</f>
        <v>6462400383</v>
      </c>
      <c r="I553" s="93" t="str">
        <f>IFERROR(__xludf.DUMMYFUNCTION("""COMPUTED_VALUE"""),"9AM-11AM")</f>
        <v>9AM-11AM</v>
      </c>
      <c r="J553" s="93">
        <f>IFERROR(__xludf.DUMMYFUNCTION("""COMPUTED_VALUE"""),1.0)</f>
        <v>1</v>
      </c>
      <c r="K553" s="93" t="str">
        <f>IFERROR(__xludf.DUMMYFUNCTION("""COMPUTED_VALUE"""),"Complete")</f>
        <v>Complete</v>
      </c>
      <c r="L553" s="93"/>
      <c r="M553" s="94">
        <f>IFERROR(__xludf.DUMMYFUNCTION("""COMPUTED_VALUE"""),46129.84107638889)</f>
        <v>46129.84108</v>
      </c>
      <c r="N553" s="93">
        <f>IFERROR(__xludf.DUMMYFUNCTION("""COMPUTED_VALUE"""),29.0)</f>
        <v>29</v>
      </c>
      <c r="O553" s="93"/>
      <c r="P553" s="93" t="str">
        <f>IFERROR(__xludf.DUMMYFUNCTION("""COMPUTED_VALUE"""),"Kit Delivery")</f>
        <v>Kit Delivery</v>
      </c>
      <c r="Q553" s="93"/>
      <c r="R553" s="93"/>
      <c r="S553" s="93" t="str">
        <f>IFERROR(__xludf.DUMMYFUNCTION("""COMPUTED_VALUE"""),"Dispatch_Images/KIT--17064.Photos.011105.jpg")</f>
        <v>Dispatch_Images/KIT--17064.Photos.011105.jpg</v>
      </c>
      <c r="T553" s="95">
        <f>IFERROR(__xludf.DUMMYFUNCTION("""COMPUTED_VALUE"""),46129.84243055555)</f>
        <v>46129.84243</v>
      </c>
      <c r="U553" s="93"/>
      <c r="V553" s="93"/>
      <c r="W553" s="93"/>
      <c r="X553" s="93"/>
      <c r="Y553" s="93"/>
      <c r="Z553" s="93"/>
    </row>
    <row r="554">
      <c r="A554" s="93" t="str">
        <f>IFERROR(__xludf.DUMMYFUNCTION("""COMPUTED_VALUE"""),"KIT-#17242")</f>
        <v>KIT-#17242</v>
      </c>
      <c r="B554" s="94">
        <f>IFERROR(__xludf.DUMMYFUNCTION("""COMPUTED_VALUE"""),46149.0)</f>
        <v>46149</v>
      </c>
      <c r="C554" s="93" t="str">
        <f>IFERROR(__xludf.DUMMYFUNCTION("""COMPUTED_VALUE"""),"Kit Delivery")</f>
        <v>Kit Delivery</v>
      </c>
      <c r="D554" s="93">
        <f>IFERROR(__xludf.DUMMYFUNCTION("""COMPUTED_VALUE"""),2.0)</f>
        <v>2</v>
      </c>
      <c r="E554" s="93" t="str">
        <f>IFERROR(__xludf.DUMMYFUNCTION("""COMPUTED_VALUE"""),"Eliot B")</f>
        <v>Eliot B</v>
      </c>
      <c r="F554" s="93">
        <f>IFERROR(__xludf.DUMMYFUNCTION("""COMPUTED_VALUE"""),4021.0)</f>
        <v>4021</v>
      </c>
      <c r="G554" s="93" t="str">
        <f>IFERROR(__xludf.DUMMYFUNCTION("""COMPUTED_VALUE"""),"Grant Anderson")</f>
        <v>Grant Anderson</v>
      </c>
      <c r="H554" s="93">
        <f>IFERROR(__xludf.DUMMYFUNCTION("""COMPUTED_VALUE"""),3.202671696E9)</f>
        <v>3202671696</v>
      </c>
      <c r="I554" s="93" t="str">
        <f>IFERROR(__xludf.DUMMYFUNCTION("""COMPUTED_VALUE"""),"9AM-11AM")</f>
        <v>9AM-11AM</v>
      </c>
      <c r="J554" s="93">
        <f>IFERROR(__xludf.DUMMYFUNCTION("""COMPUTED_VALUE"""),2.0)</f>
        <v>2</v>
      </c>
      <c r="K554" s="93" t="str">
        <f>IFERROR(__xludf.DUMMYFUNCTION("""COMPUTED_VALUE"""),"Complete")</f>
        <v>Complete</v>
      </c>
      <c r="L554" s="93"/>
      <c r="M554" s="94">
        <f>IFERROR(__xludf.DUMMYFUNCTION("""COMPUTED_VALUE"""),46129.84186342593)</f>
        <v>46129.84186</v>
      </c>
      <c r="N554" s="93">
        <f>IFERROR(__xludf.DUMMYFUNCTION("""COMPUTED_VALUE"""),34.0)</f>
        <v>34</v>
      </c>
      <c r="O554" s="93"/>
      <c r="P554" s="93" t="str">
        <f>IFERROR(__xludf.DUMMYFUNCTION("""COMPUTED_VALUE"""),"Kit Delivery")</f>
        <v>Kit Delivery</v>
      </c>
      <c r="Q554" s="93"/>
      <c r="R554" s="93"/>
      <c r="S554" s="93" t="str">
        <f>IFERROR(__xludf.DUMMYFUNCTION("""COMPUTED_VALUE"""),"Dispatch_Images/KIT--17242.Photos.011213.jpg")</f>
        <v>Dispatch_Images/KIT--17242.Photos.011213.jpg</v>
      </c>
      <c r="T554" s="95">
        <f>IFERROR(__xludf.DUMMYFUNCTION("""COMPUTED_VALUE"""),46129.84243055555)</f>
        <v>46129.84243</v>
      </c>
      <c r="U554" s="93"/>
      <c r="V554" s="93"/>
      <c r="W554" s="93"/>
      <c r="X554" s="93"/>
      <c r="Y554" s="93"/>
      <c r="Z554" s="93"/>
    </row>
    <row r="555">
      <c r="A555" s="93" t="str">
        <f>IFERROR(__xludf.DUMMYFUNCTION("""COMPUTED_VALUE"""),"KIT-#17093")</f>
        <v>KIT-#17093</v>
      </c>
      <c r="B555" s="94">
        <f>IFERROR(__xludf.DUMMYFUNCTION("""COMPUTED_VALUE"""),46149.0)</f>
        <v>46149</v>
      </c>
      <c r="C555" s="93" t="str">
        <f>IFERROR(__xludf.DUMMYFUNCTION("""COMPUTED_VALUE"""),"Kit Delivery")</f>
        <v>Kit Delivery</v>
      </c>
      <c r="D555" s="93">
        <f>IFERROR(__xludf.DUMMYFUNCTION("""COMPUTED_VALUE"""),2.0)</f>
        <v>2</v>
      </c>
      <c r="E555" s="93" t="str">
        <f>IFERROR(__xludf.DUMMYFUNCTION("""COMPUTED_VALUE"""),"Eliot B")</f>
        <v>Eliot B</v>
      </c>
      <c r="F555" s="93">
        <f>IFERROR(__xludf.DUMMYFUNCTION("""COMPUTED_VALUE"""),2053.0)</f>
        <v>2053</v>
      </c>
      <c r="G555" s="93" t="str">
        <f>IFERROR(__xludf.DUMMYFUNCTION("""COMPUTED_VALUE"""),"Jaclynn Lee")</f>
        <v>Jaclynn Lee</v>
      </c>
      <c r="H555" s="93">
        <f>IFERROR(__xludf.DUMMYFUNCTION("""COMPUTED_VALUE"""),9.493794575E9)</f>
        <v>9493794575</v>
      </c>
      <c r="I555" s="93" t="str">
        <f>IFERROR(__xludf.DUMMYFUNCTION("""COMPUTED_VALUE"""),"9AM-11AM")</f>
        <v>9AM-11AM</v>
      </c>
      <c r="J555" s="93">
        <f>IFERROR(__xludf.DUMMYFUNCTION("""COMPUTED_VALUE"""),2.0)</f>
        <v>2</v>
      </c>
      <c r="K555" s="93" t="str">
        <f>IFERROR(__xludf.DUMMYFUNCTION("""COMPUTED_VALUE"""),"Complete")</f>
        <v>Complete</v>
      </c>
      <c r="L555" s="93"/>
      <c r="M555" s="94">
        <f>IFERROR(__xludf.DUMMYFUNCTION("""COMPUTED_VALUE"""),46129.84313657407)</f>
        <v>46129.84314</v>
      </c>
      <c r="N555" s="93">
        <f>IFERROR(__xludf.DUMMYFUNCTION("""COMPUTED_VALUE"""),31.0)</f>
        <v>31</v>
      </c>
      <c r="O555" s="93"/>
      <c r="P555" s="93" t="str">
        <f>IFERROR(__xludf.DUMMYFUNCTION("""COMPUTED_VALUE"""),"Kit Delivery")</f>
        <v>Kit Delivery</v>
      </c>
      <c r="Q555" s="93"/>
      <c r="R555" s="93"/>
      <c r="S555" s="93" t="str">
        <f>IFERROR(__xludf.DUMMYFUNCTION("""COMPUTED_VALUE"""),"Dispatch_Images/KIT--17093.Photos.011404.jpg")</f>
        <v>Dispatch_Images/KIT--17093.Photos.011404.jpg</v>
      </c>
      <c r="T555" s="95">
        <f>IFERROR(__xludf.DUMMYFUNCTION("""COMPUTED_VALUE"""),46129.849328703705)</f>
        <v>46129.84933</v>
      </c>
      <c r="U555" s="93"/>
      <c r="V555" s="93"/>
      <c r="W555" s="93"/>
      <c r="X555" s="93"/>
      <c r="Y555" s="93"/>
      <c r="Z555" s="93"/>
    </row>
    <row r="556">
      <c r="A556" s="93" t="str">
        <f>IFERROR(__xludf.DUMMYFUNCTION("""COMPUTED_VALUE"""),"KIT-#17470")</f>
        <v>KIT-#17470</v>
      </c>
      <c r="B556" s="94">
        <f>IFERROR(__xludf.DUMMYFUNCTION("""COMPUTED_VALUE"""),46149.0)</f>
        <v>46149</v>
      </c>
      <c r="C556" s="93" t="str">
        <f>IFERROR(__xludf.DUMMYFUNCTION("""COMPUTED_VALUE"""),"Kit Delivery")</f>
        <v>Kit Delivery</v>
      </c>
      <c r="D556" s="93">
        <f>IFERROR(__xludf.DUMMYFUNCTION("""COMPUTED_VALUE"""),2.0)</f>
        <v>2</v>
      </c>
      <c r="E556" s="93" t="str">
        <f>IFERROR(__xludf.DUMMYFUNCTION("""COMPUTED_VALUE"""),"Umrath")</f>
        <v>Umrath</v>
      </c>
      <c r="F556" s="93">
        <f>IFERROR(__xludf.DUMMYFUNCTION("""COMPUTED_VALUE"""),3342.0)</f>
        <v>3342</v>
      </c>
      <c r="G556" s="93" t="str">
        <f>IFERROR(__xludf.DUMMYFUNCTION("""COMPUTED_VALUE"""),"Avinash Narepalem")</f>
        <v>Avinash Narepalem</v>
      </c>
      <c r="H556" s="93">
        <f>IFERROR(__xludf.DUMMYFUNCTION("""COMPUTED_VALUE"""),8.479463671E9)</f>
        <v>8479463671</v>
      </c>
      <c r="I556" s="93" t="str">
        <f>IFERROR(__xludf.DUMMYFUNCTION("""COMPUTED_VALUE"""),"9AM-11AM")</f>
        <v>9AM-11AM</v>
      </c>
      <c r="J556" s="93">
        <f>IFERROR(__xludf.DUMMYFUNCTION("""COMPUTED_VALUE"""),3.0)</f>
        <v>3</v>
      </c>
      <c r="K556" s="93" t="str">
        <f>IFERROR(__xludf.DUMMYFUNCTION("""COMPUTED_VALUE"""),"Complete")</f>
        <v>Complete</v>
      </c>
      <c r="L556" s="93"/>
      <c r="M556" s="94">
        <f>IFERROR(__xludf.DUMMYFUNCTION("""COMPUTED_VALUE"""),46129.86306712963)</f>
        <v>46129.86307</v>
      </c>
      <c r="N556" s="93">
        <f>IFERROR(__xludf.DUMMYFUNCTION("""COMPUTED_VALUE"""),172.0)</f>
        <v>172</v>
      </c>
      <c r="O556" s="93"/>
      <c r="P556" s="93" t="str">
        <f>IFERROR(__xludf.DUMMYFUNCTION("""COMPUTED_VALUE"""),"Kit Delivery")</f>
        <v>Kit Delivery</v>
      </c>
      <c r="Q556" s="93"/>
      <c r="R556" s="93"/>
      <c r="S556" s="93" t="str">
        <f>IFERROR(__xludf.DUMMYFUNCTION("""COMPUTED_VALUE"""),"Dispatch_Images/KIT--17470.Photos.014242.jpg")</f>
        <v>Dispatch_Images/KIT--17470.Photos.014242.jpg</v>
      </c>
      <c r="T556" s="95">
        <f>IFERROR(__xludf.DUMMYFUNCTION("""COMPUTED_VALUE"""),46129.863217592596)</f>
        <v>46129.86322</v>
      </c>
      <c r="U556" s="93"/>
      <c r="V556" s="93"/>
      <c r="W556" s="93"/>
      <c r="X556" s="93"/>
      <c r="Y556" s="93"/>
      <c r="Z556" s="93"/>
    </row>
    <row r="557">
      <c r="A557" s="93" t="str">
        <f>IFERROR(__xludf.DUMMYFUNCTION("""COMPUTED_VALUE"""),"KIT-#17047")</f>
        <v>KIT-#17047</v>
      </c>
      <c r="B557" s="94">
        <f>IFERROR(__xludf.DUMMYFUNCTION("""COMPUTED_VALUE"""),46149.0)</f>
        <v>46149</v>
      </c>
      <c r="C557" s="93" t="str">
        <f>IFERROR(__xludf.DUMMYFUNCTION("""COMPUTED_VALUE"""),"Kit Delivery")</f>
        <v>Kit Delivery</v>
      </c>
      <c r="D557" s="93">
        <f>IFERROR(__xludf.DUMMYFUNCTION("""COMPUTED_VALUE"""),2.0)</f>
        <v>2</v>
      </c>
      <c r="E557" s="93" t="str">
        <f>IFERROR(__xludf.DUMMYFUNCTION("""COMPUTED_VALUE"""),"Umrath")</f>
        <v>Umrath</v>
      </c>
      <c r="F557" s="93">
        <f>IFERROR(__xludf.DUMMYFUNCTION("""COMPUTED_VALUE"""),3339.0)</f>
        <v>3339</v>
      </c>
      <c r="G557" s="93" t="str">
        <f>IFERROR(__xludf.DUMMYFUNCTION("""COMPUTED_VALUE"""),"Dylan Whiting")</f>
        <v>Dylan Whiting</v>
      </c>
      <c r="H557" s="93"/>
      <c r="I557" s="93" t="str">
        <f>IFERROR(__xludf.DUMMYFUNCTION("""COMPUTED_VALUE"""),"3PM-5PM")</f>
        <v>3PM-5PM</v>
      </c>
      <c r="J557" s="93">
        <f>IFERROR(__xludf.DUMMYFUNCTION("""COMPUTED_VALUE"""),1.0)</f>
        <v>1</v>
      </c>
      <c r="K557" s="93" t="str">
        <f>IFERROR(__xludf.DUMMYFUNCTION("""COMPUTED_VALUE"""),"Complete")</f>
        <v>Complete</v>
      </c>
      <c r="L557" s="93"/>
      <c r="M557" s="94">
        <f>IFERROR(__xludf.DUMMYFUNCTION("""COMPUTED_VALUE"""),46129.8640625)</f>
        <v>46129.86406</v>
      </c>
      <c r="N557" s="93">
        <f>IFERROR(__xludf.DUMMYFUNCTION("""COMPUTED_VALUE"""),170.0)</f>
        <v>170</v>
      </c>
      <c r="O557" s="93"/>
      <c r="P557" s="93" t="str">
        <f>IFERROR(__xludf.DUMMYFUNCTION("""COMPUTED_VALUE"""),"Kit Delivery")</f>
        <v>Kit Delivery</v>
      </c>
      <c r="Q557" s="93"/>
      <c r="R557" s="93"/>
      <c r="S557" s="93" t="str">
        <f>IFERROR(__xludf.DUMMYFUNCTION("""COMPUTED_VALUE"""),"Dispatch_Images/KIT--17047.Photos.014411.jpg")</f>
        <v>Dispatch_Images/KIT--17047.Photos.014411.jpg</v>
      </c>
      <c r="T557" s="95">
        <f>IFERROR(__xludf.DUMMYFUNCTION("""COMPUTED_VALUE"""),46129.870162037034)</f>
        <v>46129.87016</v>
      </c>
      <c r="U557" s="93"/>
      <c r="V557" s="93"/>
      <c r="W557" s="93"/>
      <c r="X557" s="93"/>
      <c r="Y557" s="93"/>
      <c r="Z557" s="93"/>
    </row>
    <row r="558">
      <c r="A558" s="93" t="str">
        <f>IFERROR(__xludf.DUMMYFUNCTION("""COMPUTED_VALUE"""),"KIT-#17476")</f>
        <v>KIT-#17476</v>
      </c>
      <c r="B558" s="94">
        <f>IFERROR(__xludf.DUMMYFUNCTION("""COMPUTED_VALUE"""),46149.0)</f>
        <v>46149</v>
      </c>
      <c r="C558" s="93" t="str">
        <f>IFERROR(__xludf.DUMMYFUNCTION("""COMPUTED_VALUE"""),"Kit Delivery")</f>
        <v>Kit Delivery</v>
      </c>
      <c r="D558" s="93">
        <f>IFERROR(__xludf.DUMMYFUNCTION("""COMPUTED_VALUE"""),2.0)</f>
        <v>2</v>
      </c>
      <c r="E558" s="93" t="str">
        <f>IFERROR(__xludf.DUMMYFUNCTION("""COMPUTED_VALUE"""),"Umrath")</f>
        <v>Umrath</v>
      </c>
      <c r="F558" s="93">
        <f>IFERROR(__xludf.DUMMYFUNCTION("""COMPUTED_VALUE"""),3339.0)</f>
        <v>3339</v>
      </c>
      <c r="G558" s="93" t="str">
        <f>IFERROR(__xludf.DUMMYFUNCTION("""COMPUTED_VALUE"""),"Rex Paster")</f>
        <v>Rex Paster</v>
      </c>
      <c r="H558" s="93">
        <f>IFERROR(__xludf.DUMMYFUNCTION("""COMPUTED_VALUE"""),2.242163846E9)</f>
        <v>2242163846</v>
      </c>
      <c r="I558" s="93" t="str">
        <f>IFERROR(__xludf.DUMMYFUNCTION("""COMPUTED_VALUE"""),"1PM-3PM")</f>
        <v>1PM-3PM</v>
      </c>
      <c r="J558" s="93">
        <f>IFERROR(__xludf.DUMMYFUNCTION("""COMPUTED_VALUE"""),1.0)</f>
        <v>1</v>
      </c>
      <c r="K558" s="93" t="str">
        <f>IFERROR(__xludf.DUMMYFUNCTION("""COMPUTED_VALUE"""),"Complete")</f>
        <v>Complete</v>
      </c>
      <c r="L558" s="93"/>
      <c r="M558" s="94">
        <f>IFERROR(__xludf.DUMMYFUNCTION("""COMPUTED_VALUE"""),46129.86431712963)</f>
        <v>46129.86432</v>
      </c>
      <c r="N558" s="93">
        <f>IFERROR(__xludf.DUMMYFUNCTION("""COMPUTED_VALUE"""),171.0)</f>
        <v>171</v>
      </c>
      <c r="O558" s="93"/>
      <c r="P558" s="93" t="str">
        <f>IFERROR(__xludf.DUMMYFUNCTION("""COMPUTED_VALUE"""),"Kit Delivery")</f>
        <v>Kit Delivery</v>
      </c>
      <c r="Q558" s="93"/>
      <c r="R558" s="93"/>
      <c r="S558" s="93" t="str">
        <f>IFERROR(__xludf.DUMMYFUNCTION("""COMPUTED_VALUE"""),"Dispatch_Images/KIT--17476.Photos.014433.jpg")</f>
        <v>Dispatch_Images/KIT--17476.Photos.014433.jpg</v>
      </c>
      <c r="T558" s="95">
        <f>IFERROR(__xludf.DUMMYFUNCTION("""COMPUTED_VALUE"""),46129.870162037034)</f>
        <v>46129.87016</v>
      </c>
      <c r="U558" s="93"/>
      <c r="V558" s="93"/>
      <c r="W558" s="93"/>
      <c r="X558" s="93"/>
      <c r="Y558" s="93"/>
      <c r="Z558" s="93"/>
    </row>
    <row r="559">
      <c r="A559" s="93" t="str">
        <f>IFERROR(__xludf.DUMMYFUNCTION("""COMPUTED_VALUE"""),"KIT-#17098")</f>
        <v>KIT-#17098</v>
      </c>
      <c r="B559" s="94">
        <f>IFERROR(__xludf.DUMMYFUNCTION("""COMPUTED_VALUE"""),46149.0)</f>
        <v>46149</v>
      </c>
      <c r="C559" s="93" t="str">
        <f>IFERROR(__xludf.DUMMYFUNCTION("""COMPUTED_VALUE"""),"Kit Delivery")</f>
        <v>Kit Delivery</v>
      </c>
      <c r="D559" s="93">
        <f>IFERROR(__xludf.DUMMYFUNCTION("""COMPUTED_VALUE"""),2.0)</f>
        <v>2</v>
      </c>
      <c r="E559" s="93" t="str">
        <f>IFERROR(__xludf.DUMMYFUNCTION("""COMPUTED_VALUE"""),"Umrath")</f>
        <v>Umrath</v>
      </c>
      <c r="F559" s="93" t="str">
        <f>IFERROR(__xludf.DUMMYFUNCTION("""COMPUTED_VALUE"""),"2215b")</f>
        <v>2215b</v>
      </c>
      <c r="G559" s="93" t="str">
        <f>IFERROR(__xludf.DUMMYFUNCTION("""COMPUTED_VALUE"""),"James Blanco")</f>
        <v>James Blanco</v>
      </c>
      <c r="H559" s="93">
        <f>IFERROR(__xludf.DUMMYFUNCTION("""COMPUTED_VALUE"""),9.178067198E9)</f>
        <v>9178067198</v>
      </c>
      <c r="I559" s="93" t="str">
        <f>IFERROR(__xludf.DUMMYFUNCTION("""COMPUTED_VALUE"""),"10AM-12PM")</f>
        <v>10AM-12PM</v>
      </c>
      <c r="J559" s="93">
        <f>IFERROR(__xludf.DUMMYFUNCTION("""COMPUTED_VALUE"""),2.0)</f>
        <v>2</v>
      </c>
      <c r="K559" s="93" t="str">
        <f>IFERROR(__xludf.DUMMYFUNCTION("""COMPUTED_VALUE"""),"Complete")</f>
        <v>Complete</v>
      </c>
      <c r="L559" s="93"/>
      <c r="M559" s="94">
        <f>IFERROR(__xludf.DUMMYFUNCTION("""COMPUTED_VALUE"""),46129.86634259259)</f>
        <v>46129.86634</v>
      </c>
      <c r="N559" s="93">
        <f>IFERROR(__xludf.DUMMYFUNCTION("""COMPUTED_VALUE"""),154.0)</f>
        <v>154</v>
      </c>
      <c r="O559" s="93"/>
      <c r="P559" s="93" t="str">
        <f>IFERROR(__xludf.DUMMYFUNCTION("""COMPUTED_VALUE"""),"Kit Delivery")</f>
        <v>Kit Delivery</v>
      </c>
      <c r="Q559" s="93"/>
      <c r="R559" s="93"/>
      <c r="S559" s="93" t="str">
        <f>IFERROR(__xludf.DUMMYFUNCTION("""COMPUTED_VALUE"""),"Dispatch_Images/KIT--17098.Photos.014729.jpg")</f>
        <v>Dispatch_Images/KIT--17098.Photos.014729.jpg</v>
      </c>
      <c r="T559" s="95">
        <f>IFERROR(__xludf.DUMMYFUNCTION("""COMPUTED_VALUE"""),46129.870162037034)</f>
        <v>46129.87016</v>
      </c>
      <c r="U559" s="93"/>
      <c r="V559" s="93"/>
      <c r="W559" s="93"/>
      <c r="X559" s="93"/>
      <c r="Y559" s="93"/>
      <c r="Z559" s="93"/>
    </row>
    <row r="560">
      <c r="A560" s="93" t="str">
        <f>IFERROR(__xludf.DUMMYFUNCTION("""COMPUTED_VALUE"""),"KIT-#17220")</f>
        <v>KIT-#17220</v>
      </c>
      <c r="B560" s="94">
        <f>IFERROR(__xludf.DUMMYFUNCTION("""COMPUTED_VALUE"""),46149.0)</f>
        <v>46149</v>
      </c>
      <c r="C560" s="93" t="str">
        <f>IFERROR(__xludf.DUMMYFUNCTION("""COMPUTED_VALUE"""),"Kit Delivery")</f>
        <v>Kit Delivery</v>
      </c>
      <c r="D560" s="93">
        <f>IFERROR(__xludf.DUMMYFUNCTION("""COMPUTED_VALUE"""),2.0)</f>
        <v>2</v>
      </c>
      <c r="E560" s="93" t="str">
        <f>IFERROR(__xludf.DUMMYFUNCTION("""COMPUTED_VALUE"""),"Umrath")</f>
        <v>Umrath</v>
      </c>
      <c r="F560" s="93">
        <f>IFERROR(__xludf.DUMMYFUNCTION("""COMPUTED_VALUE"""),4402.0)</f>
        <v>4402</v>
      </c>
      <c r="G560" s="93" t="str">
        <f>IFERROR(__xludf.DUMMYFUNCTION("""COMPUTED_VALUE"""),"Ayisat Jimoh")</f>
        <v>Ayisat Jimoh</v>
      </c>
      <c r="H560" s="93"/>
      <c r="I560" s="93" t="str">
        <f>IFERROR(__xludf.DUMMYFUNCTION("""COMPUTED_VALUE"""),"9AM-11AM")</f>
        <v>9AM-11AM</v>
      </c>
      <c r="J560" s="93">
        <f>IFERROR(__xludf.DUMMYFUNCTION("""COMPUTED_VALUE"""),1.0)</f>
        <v>1</v>
      </c>
      <c r="K560" s="93" t="str">
        <f>IFERROR(__xludf.DUMMYFUNCTION("""COMPUTED_VALUE"""),"Complete")</f>
        <v>Complete</v>
      </c>
      <c r="L560" s="93"/>
      <c r="M560" s="94">
        <f>IFERROR(__xludf.DUMMYFUNCTION("""COMPUTED_VALUE"""),46129.88050925926)</f>
        <v>46129.88051</v>
      </c>
      <c r="N560" s="93">
        <f>IFERROR(__xludf.DUMMYFUNCTION("""COMPUTED_VALUE"""),173.0)</f>
        <v>173</v>
      </c>
      <c r="O560" s="93"/>
      <c r="P560" s="93" t="str">
        <f>IFERROR(__xludf.DUMMYFUNCTION("""COMPUTED_VALUE"""),"Kit Delivery")</f>
        <v>Kit Delivery</v>
      </c>
      <c r="Q560" s="93"/>
      <c r="R560" s="93"/>
      <c r="S560" s="93" t="str">
        <f>IFERROR(__xludf.DUMMYFUNCTION("""COMPUTED_VALUE"""),"Dispatch_Images/KIT--17220.Photos.020753.jpg")</f>
        <v>Dispatch_Images/KIT--17220.Photos.020753.jpg</v>
      </c>
      <c r="T560" s="95">
        <f>IFERROR(__xludf.DUMMYFUNCTION("""COMPUTED_VALUE"""),46129.884050925924)</f>
        <v>46129.88405</v>
      </c>
      <c r="U560" s="93"/>
      <c r="V560" s="93"/>
      <c r="W560" s="93"/>
      <c r="X560" s="93"/>
      <c r="Y560" s="93"/>
      <c r="Z560" s="93"/>
    </row>
    <row r="561">
      <c r="A561" s="93" t="str">
        <f>IFERROR(__xludf.DUMMYFUNCTION("""COMPUTED_VALUE"""),"KIT-#17199")</f>
        <v>KIT-#17199</v>
      </c>
      <c r="B561" s="94">
        <f>IFERROR(__xludf.DUMMYFUNCTION("""COMPUTED_VALUE"""),46149.0)</f>
        <v>46149</v>
      </c>
      <c r="C561" s="93" t="str">
        <f>IFERROR(__xludf.DUMMYFUNCTION("""COMPUTED_VALUE"""),"Kit Delivery")</f>
        <v>Kit Delivery</v>
      </c>
      <c r="D561" s="93">
        <f>IFERROR(__xludf.DUMMYFUNCTION("""COMPUTED_VALUE"""),2.0)</f>
        <v>2</v>
      </c>
      <c r="E561" s="93" t="str">
        <f>IFERROR(__xludf.DUMMYFUNCTION("""COMPUTED_VALUE"""),"Umrath")</f>
        <v>Umrath</v>
      </c>
      <c r="F561" s="93">
        <f>IFERROR(__xludf.DUMMYFUNCTION("""COMPUTED_VALUE"""),2234.0)</f>
        <v>2234</v>
      </c>
      <c r="G561" s="93" t="str">
        <f>IFERROR(__xludf.DUMMYFUNCTION("""COMPUTED_VALUE"""),"Katie Schober")</f>
        <v>Katie Schober</v>
      </c>
      <c r="H561" s="93">
        <f>IFERROR(__xludf.DUMMYFUNCTION("""COMPUTED_VALUE"""),3.128041544E9)</f>
        <v>3128041544</v>
      </c>
      <c r="I561" s="93" t="str">
        <f>IFERROR(__xludf.DUMMYFUNCTION("""COMPUTED_VALUE"""),"9AM-11AM")</f>
        <v>9AM-11AM</v>
      </c>
      <c r="J561" s="93">
        <f>IFERROR(__xludf.DUMMYFUNCTION("""COMPUTED_VALUE"""),3.0)</f>
        <v>3</v>
      </c>
      <c r="K561" s="93" t="str">
        <f>IFERROR(__xludf.DUMMYFUNCTION("""COMPUTED_VALUE"""),"Complete")</f>
        <v>Complete</v>
      </c>
      <c r="L561" s="93"/>
      <c r="M561" s="94">
        <f>IFERROR(__xludf.DUMMYFUNCTION("""COMPUTED_VALUE"""),46129.884722222225)</f>
        <v>46129.88472</v>
      </c>
      <c r="N561" s="93">
        <f>IFERROR(__xludf.DUMMYFUNCTION("""COMPUTED_VALUE"""),161.0)</f>
        <v>161</v>
      </c>
      <c r="O561" s="93"/>
      <c r="P561" s="93" t="str">
        <f>IFERROR(__xludf.DUMMYFUNCTION("""COMPUTED_VALUE"""),"Kit Delivery")</f>
        <v>Kit Delivery</v>
      </c>
      <c r="Q561" s="93"/>
      <c r="R561" s="93"/>
      <c r="S561" s="93" t="str">
        <f>IFERROR(__xludf.DUMMYFUNCTION("""COMPUTED_VALUE"""),"Dispatch_Images/KIT--17199.Photos.021357.jpg")</f>
        <v>Dispatch_Images/KIT--17199.Photos.021357.jpg</v>
      </c>
      <c r="T561" s="95">
        <f>IFERROR(__xludf.DUMMYFUNCTION("""COMPUTED_VALUE"""),46129.89100694445)</f>
        <v>46129.89101</v>
      </c>
      <c r="U561" s="93"/>
      <c r="V561" s="93"/>
      <c r="W561" s="93"/>
      <c r="X561" s="93"/>
      <c r="Y561" s="93"/>
      <c r="Z561" s="93"/>
    </row>
    <row r="562">
      <c r="A562" s="93" t="str">
        <f>IFERROR(__xludf.DUMMYFUNCTION("""COMPUTED_VALUE"""),"KIT-#17055")</f>
        <v>KIT-#17055</v>
      </c>
      <c r="B562" s="94">
        <f>IFERROR(__xludf.DUMMYFUNCTION("""COMPUTED_VALUE"""),46149.0)</f>
        <v>46149</v>
      </c>
      <c r="C562" s="93" t="str">
        <f>IFERROR(__xludf.DUMMYFUNCTION("""COMPUTED_VALUE"""),"Kit Delivery")</f>
        <v>Kit Delivery</v>
      </c>
      <c r="D562" s="93">
        <f>IFERROR(__xludf.DUMMYFUNCTION("""COMPUTED_VALUE"""),2.0)</f>
        <v>2</v>
      </c>
      <c r="E562" s="93" t="str">
        <f>IFERROR(__xludf.DUMMYFUNCTION("""COMPUTED_VALUE"""),"Umrath")</f>
        <v>Umrath</v>
      </c>
      <c r="F562" s="93">
        <f>IFERROR(__xludf.DUMMYFUNCTION("""COMPUTED_VALUE"""),4424.0)</f>
        <v>4424</v>
      </c>
      <c r="G562" s="93" t="str">
        <f>IFERROR(__xludf.DUMMYFUNCTION("""COMPUTED_VALUE"""),"Eric Jiang")</f>
        <v>Eric Jiang</v>
      </c>
      <c r="H562" s="93">
        <f>IFERROR(__xludf.DUMMYFUNCTION("""COMPUTED_VALUE"""),5.165546187E9)</f>
        <v>5165546187</v>
      </c>
      <c r="I562" s="93" t="str">
        <f>IFERROR(__xludf.DUMMYFUNCTION("""COMPUTED_VALUE"""),"11AM-1PM")</f>
        <v>11AM-1PM</v>
      </c>
      <c r="J562" s="93">
        <f>IFERROR(__xludf.DUMMYFUNCTION("""COMPUTED_VALUE"""),2.0)</f>
        <v>2</v>
      </c>
      <c r="K562" s="93" t="str">
        <f>IFERROR(__xludf.DUMMYFUNCTION("""COMPUTED_VALUE"""),"Complete")</f>
        <v>Complete</v>
      </c>
      <c r="L562" s="93"/>
      <c r="M562" s="94">
        <f>IFERROR(__xludf.DUMMYFUNCTION("""COMPUTED_VALUE"""),46129.88508101852)</f>
        <v>46129.88508</v>
      </c>
      <c r="N562" s="93">
        <f>IFERROR(__xludf.DUMMYFUNCTION("""COMPUTED_VALUE"""),177.0)</f>
        <v>177</v>
      </c>
      <c r="O562" s="93"/>
      <c r="P562" s="93" t="str">
        <f>IFERROR(__xludf.DUMMYFUNCTION("""COMPUTED_VALUE"""),"Kit Delivery")</f>
        <v>Kit Delivery</v>
      </c>
      <c r="Q562" s="93"/>
      <c r="R562" s="93"/>
      <c r="S562" s="93" t="str">
        <f>IFERROR(__xludf.DUMMYFUNCTION("""COMPUTED_VALUE"""),"Dispatch_Images/KIT--17055.Photos.021425.jpg")</f>
        <v>Dispatch_Images/KIT--17055.Photos.021425.jpg</v>
      </c>
      <c r="T562" s="95">
        <f>IFERROR(__xludf.DUMMYFUNCTION("""COMPUTED_VALUE"""),46129.89100694445)</f>
        <v>46129.89101</v>
      </c>
      <c r="U562" s="93"/>
      <c r="V562" s="93"/>
      <c r="W562" s="93"/>
      <c r="X562" s="93"/>
      <c r="Y562" s="93"/>
      <c r="Z562" s="93"/>
    </row>
    <row r="563">
      <c r="A563" s="93" t="str">
        <f>IFERROR(__xludf.DUMMYFUNCTION("""COMPUTED_VALUE"""),"KIT-#17136")</f>
        <v>KIT-#17136</v>
      </c>
      <c r="B563" s="94">
        <f>IFERROR(__xludf.DUMMYFUNCTION("""COMPUTED_VALUE"""),46149.0)</f>
        <v>46149</v>
      </c>
      <c r="C563" s="93" t="str">
        <f>IFERROR(__xludf.DUMMYFUNCTION("""COMPUTED_VALUE"""),"Kit Delivery")</f>
        <v>Kit Delivery</v>
      </c>
      <c r="D563" s="93">
        <f>IFERROR(__xludf.DUMMYFUNCTION("""COMPUTED_VALUE"""),2.0)</f>
        <v>2</v>
      </c>
      <c r="E563" s="93" t="str">
        <f>IFERROR(__xludf.DUMMYFUNCTION("""COMPUTED_VALUE"""),"Umrath")</f>
        <v>Umrath</v>
      </c>
      <c r="F563" s="93">
        <f>IFERROR(__xludf.DUMMYFUNCTION("""COMPUTED_VALUE"""),2234.0)</f>
        <v>2234</v>
      </c>
      <c r="G563" s="93" t="str">
        <f>IFERROR(__xludf.DUMMYFUNCTION("""COMPUTED_VALUE"""),"Noelle Thompson")</f>
        <v>Noelle Thompson</v>
      </c>
      <c r="H563" s="93">
        <f>IFERROR(__xludf.DUMMYFUNCTION("""COMPUTED_VALUE"""),9.735908461E9)</f>
        <v>9735908461</v>
      </c>
      <c r="I563" s="93" t="str">
        <f>IFERROR(__xludf.DUMMYFUNCTION("""COMPUTED_VALUE"""),"9AM-11AM")</f>
        <v>9AM-11AM</v>
      </c>
      <c r="J563" s="93">
        <f>IFERROR(__xludf.DUMMYFUNCTION("""COMPUTED_VALUE"""),1.0)</f>
        <v>1</v>
      </c>
      <c r="K563" s="93" t="str">
        <f>IFERROR(__xludf.DUMMYFUNCTION("""COMPUTED_VALUE"""),"Complete")</f>
        <v>Complete</v>
      </c>
      <c r="L563" s="93"/>
      <c r="M563" s="94">
        <f>IFERROR(__xludf.DUMMYFUNCTION("""COMPUTED_VALUE"""),46129.88613425926)</f>
        <v>46129.88613</v>
      </c>
      <c r="N563" s="93">
        <f>IFERROR(__xludf.DUMMYFUNCTION("""COMPUTED_VALUE"""),160.0)</f>
        <v>160</v>
      </c>
      <c r="O563" s="93"/>
      <c r="P563" s="93" t="str">
        <f>IFERROR(__xludf.DUMMYFUNCTION("""COMPUTED_VALUE"""),"Kit Delivery")</f>
        <v>Kit Delivery</v>
      </c>
      <c r="Q563" s="93"/>
      <c r="R563" s="93"/>
      <c r="S563" s="93" t="str">
        <f>IFERROR(__xludf.DUMMYFUNCTION("""COMPUTED_VALUE"""),"Dispatch_Images/KIT--17136.Photos.021559.jpg")</f>
        <v>Dispatch_Images/KIT--17136.Photos.021559.jpg</v>
      </c>
      <c r="T563" s="95">
        <f>IFERROR(__xludf.DUMMYFUNCTION("""COMPUTED_VALUE"""),46129.89100694445)</f>
        <v>46129.89101</v>
      </c>
      <c r="U563" s="93"/>
      <c r="V563" s="93"/>
      <c r="W563" s="93"/>
      <c r="X563" s="93"/>
      <c r="Y563" s="93"/>
      <c r="Z563" s="93"/>
    </row>
    <row r="564">
      <c r="A564" s="93" t="str">
        <f>IFERROR(__xludf.DUMMYFUNCTION("""COMPUTED_VALUE"""),"KIT-#17118")</f>
        <v>KIT-#17118</v>
      </c>
      <c r="B564" s="94">
        <f>IFERROR(__xludf.DUMMYFUNCTION("""COMPUTED_VALUE"""),46149.0)</f>
        <v>46149</v>
      </c>
      <c r="C564" s="93" t="str">
        <f>IFERROR(__xludf.DUMMYFUNCTION("""COMPUTED_VALUE"""),"Kit Delivery")</f>
        <v>Kit Delivery</v>
      </c>
      <c r="D564" s="93">
        <f>IFERROR(__xludf.DUMMYFUNCTION("""COMPUTED_VALUE"""),2.0)</f>
        <v>2</v>
      </c>
      <c r="E564" s="93" t="str">
        <f>IFERROR(__xludf.DUMMYFUNCTION("""COMPUTED_VALUE"""),"Umrath")</f>
        <v>Umrath</v>
      </c>
      <c r="F564" s="93">
        <f>IFERROR(__xludf.DUMMYFUNCTION("""COMPUTED_VALUE"""),237.0)</f>
        <v>237</v>
      </c>
      <c r="G564" s="93" t="str">
        <f>IFERROR(__xludf.DUMMYFUNCTION("""COMPUTED_VALUE"""),"Simone Howard")</f>
        <v>Simone Howard</v>
      </c>
      <c r="H564" s="93">
        <f>IFERROR(__xludf.DUMMYFUNCTION("""COMPUTED_VALUE"""),6.784277093E9)</f>
        <v>6784277093</v>
      </c>
      <c r="I564" s="93" t="str">
        <f>IFERROR(__xludf.DUMMYFUNCTION("""COMPUTED_VALUE"""),"10AM-12PM")</f>
        <v>10AM-12PM</v>
      </c>
      <c r="J564" s="93">
        <f>IFERROR(__xludf.DUMMYFUNCTION("""COMPUTED_VALUE"""),1.0)</f>
        <v>1</v>
      </c>
      <c r="K564" s="93" t="str">
        <f>IFERROR(__xludf.DUMMYFUNCTION("""COMPUTED_VALUE"""),"Complete")</f>
        <v>Complete</v>
      </c>
      <c r="L564" s="93"/>
      <c r="M564" s="94">
        <f>IFERROR(__xludf.DUMMYFUNCTION("""COMPUTED_VALUE"""),46129.889710648145)</f>
        <v>46129.88971</v>
      </c>
      <c r="N564" s="93">
        <f>IFERROR(__xludf.DUMMYFUNCTION("""COMPUTED_VALUE"""),147.0)</f>
        <v>147</v>
      </c>
      <c r="O564" s="93"/>
      <c r="P564" s="93" t="str">
        <f>IFERROR(__xludf.DUMMYFUNCTION("""COMPUTED_VALUE"""),"Kit Delivery")</f>
        <v>Kit Delivery</v>
      </c>
      <c r="Q564" s="93"/>
      <c r="R564" s="93"/>
      <c r="S564" s="93" t="str">
        <f>IFERROR(__xludf.DUMMYFUNCTION("""COMPUTED_VALUE"""),"Dispatch_Images/KIT--17118.Photos.022108.jpg")</f>
        <v>Dispatch_Images/KIT--17118.Photos.022108.jpg</v>
      </c>
      <c r="T564" s="95">
        <f>IFERROR(__xludf.DUMMYFUNCTION("""COMPUTED_VALUE"""),46129.89100694445)</f>
        <v>46129.89101</v>
      </c>
      <c r="U564" s="93"/>
      <c r="V564" s="93"/>
      <c r="W564" s="93"/>
      <c r="X564" s="93"/>
      <c r="Y564" s="93"/>
      <c r="Z564" s="93"/>
    </row>
    <row r="565">
      <c r="A565" s="93" t="str">
        <f>IFERROR(__xludf.DUMMYFUNCTION("""COMPUTED_VALUE"""),"KIT-#17191")</f>
        <v>KIT-#17191</v>
      </c>
      <c r="B565" s="94">
        <f>IFERROR(__xludf.DUMMYFUNCTION("""COMPUTED_VALUE"""),46149.0)</f>
        <v>46149</v>
      </c>
      <c r="C565" s="93" t="str">
        <f>IFERROR(__xludf.DUMMYFUNCTION("""COMPUTED_VALUE"""),"Kit Delivery")</f>
        <v>Kit Delivery</v>
      </c>
      <c r="D565" s="93">
        <f>IFERROR(__xludf.DUMMYFUNCTION("""COMPUTED_VALUE"""),2.0)</f>
        <v>2</v>
      </c>
      <c r="E565" s="93" t="str">
        <f>IFERROR(__xludf.DUMMYFUNCTION("""COMPUTED_VALUE"""),"Beaumont")</f>
        <v>Beaumont</v>
      </c>
      <c r="F565" s="93">
        <f>IFERROR(__xludf.DUMMYFUNCTION("""COMPUTED_VALUE"""),309.0)</f>
        <v>309</v>
      </c>
      <c r="G565" s="93" t="str">
        <f>IFERROR(__xludf.DUMMYFUNCTION("""COMPUTED_VALUE"""),"Minh Duc Nguyen")</f>
        <v>Minh Duc Nguyen</v>
      </c>
      <c r="H565" s="93">
        <f>IFERROR(__xludf.DUMMYFUNCTION("""COMPUTED_VALUE"""),8.082568944E9)</f>
        <v>8082568944</v>
      </c>
      <c r="I565" s="93" t="str">
        <f>IFERROR(__xludf.DUMMYFUNCTION("""COMPUTED_VALUE"""),"9AM-11AM")</f>
        <v>9AM-11AM</v>
      </c>
      <c r="J565" s="93">
        <f>IFERROR(__xludf.DUMMYFUNCTION("""COMPUTED_VALUE"""),1.0)</f>
        <v>1</v>
      </c>
      <c r="K565" s="93" t="str">
        <f>IFERROR(__xludf.DUMMYFUNCTION("""COMPUTED_VALUE"""),"Complete")</f>
        <v>Complete</v>
      </c>
      <c r="L565" s="93"/>
      <c r="M565" s="94">
        <f>IFERROR(__xludf.DUMMYFUNCTION("""COMPUTED_VALUE"""),46129.89608796296)</f>
        <v>46129.89609</v>
      </c>
      <c r="N565" s="93">
        <f>IFERROR(__xludf.DUMMYFUNCTION("""COMPUTED_VALUE"""),84.0)</f>
        <v>84</v>
      </c>
      <c r="O565" s="93"/>
      <c r="P565" s="93" t="str">
        <f>IFERROR(__xludf.DUMMYFUNCTION("""COMPUTED_VALUE"""),"Kit Delivery")</f>
        <v>Kit Delivery</v>
      </c>
      <c r="Q565" s="93"/>
      <c r="R565" s="93"/>
      <c r="S565" s="93" t="str">
        <f>IFERROR(__xludf.DUMMYFUNCTION("""COMPUTED_VALUE"""),"Dispatch_Images/KIT--17191.Photos.023018.jpg")</f>
        <v>Dispatch_Images/KIT--17191.Photos.023018.jpg</v>
      </c>
      <c r="T565" s="95">
        <f>IFERROR(__xludf.DUMMYFUNCTION("""COMPUTED_VALUE"""),46129.897939814815)</f>
        <v>46129.89794</v>
      </c>
      <c r="U565" s="93"/>
      <c r="V565" s="93"/>
      <c r="W565" s="93"/>
      <c r="X565" s="93"/>
      <c r="Y565" s="93"/>
      <c r="Z565" s="93"/>
    </row>
    <row r="566">
      <c r="A566" s="93" t="str">
        <f>IFERROR(__xludf.DUMMYFUNCTION("""COMPUTED_VALUE"""),"KIT-#17123")</f>
        <v>KIT-#17123</v>
      </c>
      <c r="B566" s="94">
        <f>IFERROR(__xludf.DUMMYFUNCTION("""COMPUTED_VALUE"""),46149.0)</f>
        <v>46149</v>
      </c>
      <c r="C566" s="93" t="str">
        <f>IFERROR(__xludf.DUMMYFUNCTION("""COMPUTED_VALUE"""),"Kit Delivery")</f>
        <v>Kit Delivery</v>
      </c>
      <c r="D566" s="93">
        <f>IFERROR(__xludf.DUMMYFUNCTION("""COMPUTED_VALUE"""),2.0)</f>
        <v>2</v>
      </c>
      <c r="E566" s="93" t="str">
        <f>IFERROR(__xludf.DUMMYFUNCTION("""COMPUTED_VALUE"""),"Beaumont")</f>
        <v>Beaumont</v>
      </c>
      <c r="F566" s="93">
        <f>IFERROR(__xludf.DUMMYFUNCTION("""COMPUTED_VALUE"""),321.0)</f>
        <v>321</v>
      </c>
      <c r="G566" s="93" t="str">
        <f>IFERROR(__xludf.DUMMYFUNCTION("""COMPUTED_VALUE"""),"Gabrielle Kogan")</f>
        <v>Gabrielle Kogan</v>
      </c>
      <c r="H566" s="93">
        <f>IFERROR(__xludf.DUMMYFUNCTION("""COMPUTED_VALUE"""),9.14602624E9)</f>
        <v>9146026240</v>
      </c>
      <c r="I566" s="93" t="str">
        <f>IFERROR(__xludf.DUMMYFUNCTION("""COMPUTED_VALUE"""),"9AM-11AM")</f>
        <v>9AM-11AM</v>
      </c>
      <c r="J566" s="93">
        <f>IFERROR(__xludf.DUMMYFUNCTION("""COMPUTED_VALUE"""),1.0)</f>
        <v>1</v>
      </c>
      <c r="K566" s="93" t="str">
        <f>IFERROR(__xludf.DUMMYFUNCTION("""COMPUTED_VALUE"""),"Complete")</f>
        <v>Complete</v>
      </c>
      <c r="L566" s="93"/>
      <c r="M566" s="94">
        <f>IFERROR(__xludf.DUMMYFUNCTION("""COMPUTED_VALUE"""),46129.89675925926)</f>
        <v>46129.89676</v>
      </c>
      <c r="N566" s="93">
        <f>IFERROR(__xludf.DUMMYFUNCTION("""COMPUTED_VALUE"""),85.0)</f>
        <v>85</v>
      </c>
      <c r="O566" s="93"/>
      <c r="P566" s="93" t="str">
        <f>IFERROR(__xludf.DUMMYFUNCTION("""COMPUTED_VALUE"""),"Kit Delivery")</f>
        <v>Kit Delivery</v>
      </c>
      <c r="Q566" s="93"/>
      <c r="R566" s="93"/>
      <c r="S566" s="93" t="str">
        <f>IFERROR(__xludf.DUMMYFUNCTION("""COMPUTED_VALUE"""),"Dispatch_Images/KIT--17123.Photos.023117.jpg")</f>
        <v>Dispatch_Images/KIT--17123.Photos.023117.jpg</v>
      </c>
      <c r="T566" s="95">
        <f>IFERROR(__xludf.DUMMYFUNCTION("""COMPUTED_VALUE"""),46129.897939814815)</f>
        <v>46129.89794</v>
      </c>
      <c r="U566" s="93"/>
      <c r="V566" s="93"/>
      <c r="W566" s="93"/>
      <c r="X566" s="93"/>
      <c r="Y566" s="93"/>
      <c r="Z566" s="93"/>
    </row>
    <row r="567">
      <c r="A567" s="93" t="str">
        <f>IFERROR(__xludf.DUMMYFUNCTION("""COMPUTED_VALUE"""),"KIT-#17104")</f>
        <v>KIT-#17104</v>
      </c>
      <c r="B567" s="94">
        <f>IFERROR(__xludf.DUMMYFUNCTION("""COMPUTED_VALUE"""),46149.0)</f>
        <v>46149</v>
      </c>
      <c r="C567" s="93" t="str">
        <f>IFERROR(__xludf.DUMMYFUNCTION("""COMPUTED_VALUE"""),"Kit Delivery")</f>
        <v>Kit Delivery</v>
      </c>
      <c r="D567" s="93">
        <f>IFERROR(__xludf.DUMMYFUNCTION("""COMPUTED_VALUE"""),2.0)</f>
        <v>2</v>
      </c>
      <c r="E567" s="93" t="str">
        <f>IFERROR(__xludf.DUMMYFUNCTION("""COMPUTED_VALUE"""),"Danforth")</f>
        <v>Danforth</v>
      </c>
      <c r="F567" s="93" t="str">
        <f>IFERROR(__xludf.DUMMYFUNCTION("""COMPUTED_VALUE"""),"4419-A")</f>
        <v>4419-A</v>
      </c>
      <c r="G567" s="93" t="str">
        <f>IFERROR(__xludf.DUMMYFUNCTION("""COMPUTED_VALUE"""),"Jayant")</f>
        <v>Jayant</v>
      </c>
      <c r="H567" s="93">
        <f>IFERROR(__xludf.DUMMYFUNCTION("""COMPUTED_VALUE"""),6.464133872E9)</f>
        <v>6464133872</v>
      </c>
      <c r="I567" s="93" t="str">
        <f>IFERROR(__xludf.DUMMYFUNCTION("""COMPUTED_VALUE"""),"9AM-11AM")</f>
        <v>9AM-11AM</v>
      </c>
      <c r="J567" s="93">
        <f>IFERROR(__xludf.DUMMYFUNCTION("""COMPUTED_VALUE"""),1.0)</f>
        <v>1</v>
      </c>
      <c r="K567" s="93" t="str">
        <f>IFERROR(__xludf.DUMMYFUNCTION("""COMPUTED_VALUE"""),"Complete")</f>
        <v>Complete</v>
      </c>
      <c r="L567" s="93"/>
      <c r="M567" s="94">
        <f>IFERROR(__xludf.DUMMYFUNCTION("""COMPUTED_VALUE"""),46129.906805555554)</f>
        <v>46129.90681</v>
      </c>
      <c r="N567" s="93">
        <f>IFERROR(__xludf.DUMMYFUNCTION("""COMPUTED_VALUE"""),46.0)</f>
        <v>46</v>
      </c>
      <c r="O567" s="93"/>
      <c r="P567" s="93" t="str">
        <f>IFERROR(__xludf.DUMMYFUNCTION("""COMPUTED_VALUE"""),"Kit Delivery")</f>
        <v>Kit Delivery</v>
      </c>
      <c r="Q567" s="93"/>
      <c r="R567" s="93"/>
      <c r="S567" s="93" t="str">
        <f>IFERROR(__xludf.DUMMYFUNCTION("""COMPUTED_VALUE"""),"Dispatch_Images/KIT--17104.Photos.024543.jpg")</f>
        <v>Dispatch_Images/KIT--17104.Photos.024543.jpg</v>
      </c>
      <c r="T567" s="95">
        <f>IFERROR(__xludf.DUMMYFUNCTION("""COMPUTED_VALUE"""),46129.911840277775)</f>
        <v>46129.91184</v>
      </c>
      <c r="U567" s="93"/>
      <c r="V567" s="93"/>
      <c r="W567" s="93"/>
      <c r="X567" s="93"/>
      <c r="Y567" s="93"/>
      <c r="Z567" s="93"/>
    </row>
    <row r="568">
      <c r="A568" s="93" t="str">
        <f>IFERROR(__xludf.DUMMYFUNCTION("""COMPUTED_VALUE"""),"KIT-#17506")</f>
        <v>KIT-#17506</v>
      </c>
      <c r="B568" s="94">
        <f>IFERROR(__xludf.DUMMYFUNCTION("""COMPUTED_VALUE"""),46149.0)</f>
        <v>46149</v>
      </c>
      <c r="C568" s="93" t="str">
        <f>IFERROR(__xludf.DUMMYFUNCTION("""COMPUTED_VALUE"""),"Kit Delivery")</f>
        <v>Kit Delivery</v>
      </c>
      <c r="D568" s="93">
        <f>IFERROR(__xludf.DUMMYFUNCTION("""COMPUTED_VALUE"""),2.0)</f>
        <v>2</v>
      </c>
      <c r="E568" s="93" t="str">
        <f>IFERROR(__xludf.DUMMYFUNCTION("""COMPUTED_VALUE"""),"Danforth")</f>
        <v>Danforth</v>
      </c>
      <c r="F568" s="93">
        <f>IFERROR(__xludf.DUMMYFUNCTION("""COMPUTED_VALUE"""),4419.0)</f>
        <v>4419</v>
      </c>
      <c r="G568" s="93" t="str">
        <f>IFERROR(__xludf.DUMMYFUNCTION("""COMPUTED_VALUE"""),"Kenny Ji")</f>
        <v>Kenny Ji</v>
      </c>
      <c r="H568" s="93">
        <f>IFERROR(__xludf.DUMMYFUNCTION("""COMPUTED_VALUE"""),3.146597964E9)</f>
        <v>3146597964</v>
      </c>
      <c r="I568" s="93" t="str">
        <f>IFERROR(__xludf.DUMMYFUNCTION("""COMPUTED_VALUE"""),"2PM-4PM")</f>
        <v>2PM-4PM</v>
      </c>
      <c r="J568" s="93">
        <f>IFERROR(__xludf.DUMMYFUNCTION("""COMPUTED_VALUE"""),1.0)</f>
        <v>1</v>
      </c>
      <c r="K568" s="93" t="str">
        <f>IFERROR(__xludf.DUMMYFUNCTION("""COMPUTED_VALUE"""),"Complete")</f>
        <v>Complete</v>
      </c>
      <c r="L568" s="93"/>
      <c r="M568" s="94">
        <f>IFERROR(__xludf.DUMMYFUNCTION("""COMPUTED_VALUE"""),46129.90709490741)</f>
        <v>46129.90709</v>
      </c>
      <c r="N568" s="93">
        <f>IFERROR(__xludf.DUMMYFUNCTION("""COMPUTED_VALUE"""),47.0)</f>
        <v>47</v>
      </c>
      <c r="O568" s="93"/>
      <c r="P568" s="93" t="str">
        <f>IFERROR(__xludf.DUMMYFUNCTION("""COMPUTED_VALUE"""),"Kit Delivery")</f>
        <v>Kit Delivery</v>
      </c>
      <c r="Q568" s="93"/>
      <c r="R568" s="93"/>
      <c r="S568" s="93" t="str">
        <f>IFERROR(__xludf.DUMMYFUNCTION("""COMPUTED_VALUE"""),"Dispatch_Images/KIT--17506.Photos.024609.jpg")</f>
        <v>Dispatch_Images/KIT--17506.Photos.024609.jpg</v>
      </c>
      <c r="T568" s="95">
        <f>IFERROR(__xludf.DUMMYFUNCTION("""COMPUTED_VALUE"""),46129.911840277775)</f>
        <v>46129.91184</v>
      </c>
      <c r="U568" s="93"/>
      <c r="V568" s="93"/>
      <c r="W568" s="93"/>
      <c r="X568" s="93"/>
      <c r="Y568" s="93"/>
      <c r="Z568" s="93"/>
    </row>
    <row r="569">
      <c r="A569" s="93" t="str">
        <f>IFERROR(__xludf.DUMMYFUNCTION("""COMPUTED_VALUE"""),"KIT-#16810")</f>
        <v>KIT-#16810</v>
      </c>
      <c r="B569" s="94">
        <f>IFERROR(__xludf.DUMMYFUNCTION("""COMPUTED_VALUE"""),46149.0)</f>
        <v>46149</v>
      </c>
      <c r="C569" s="93" t="str">
        <f>IFERROR(__xludf.DUMMYFUNCTION("""COMPUTED_VALUE"""),"Kit Delivery")</f>
        <v>Kit Delivery</v>
      </c>
      <c r="D569" s="93">
        <f>IFERROR(__xludf.DUMMYFUNCTION("""COMPUTED_VALUE"""),2.0)</f>
        <v>2</v>
      </c>
      <c r="E569" s="93" t="str">
        <f>IFERROR(__xludf.DUMMYFUNCTION("""COMPUTED_VALUE"""),"Danforth")</f>
        <v>Danforth</v>
      </c>
      <c r="F569" s="93" t="str">
        <f>IFERROR(__xludf.DUMMYFUNCTION("""COMPUTED_VALUE"""),"4427A")</f>
        <v>4427A</v>
      </c>
      <c r="G569" s="93" t="str">
        <f>IFERROR(__xludf.DUMMYFUNCTION("""COMPUTED_VALUE"""),"Darcy Bialick")</f>
        <v>Darcy Bialick</v>
      </c>
      <c r="H569" s="93">
        <f>IFERROR(__xludf.DUMMYFUNCTION("""COMPUTED_VALUE"""),2.012744645E9)</f>
        <v>2012744645</v>
      </c>
      <c r="I569" s="93" t="str">
        <f>IFERROR(__xludf.DUMMYFUNCTION("""COMPUTED_VALUE"""),"3PM-5PM")</f>
        <v>3PM-5PM</v>
      </c>
      <c r="J569" s="93">
        <f>IFERROR(__xludf.DUMMYFUNCTION("""COMPUTED_VALUE"""),1.0)</f>
        <v>1</v>
      </c>
      <c r="K569" s="93" t="str">
        <f>IFERROR(__xludf.DUMMYFUNCTION("""COMPUTED_VALUE"""),"Complete")</f>
        <v>Complete</v>
      </c>
      <c r="L569" s="93"/>
      <c r="M569" s="94">
        <f>IFERROR(__xludf.DUMMYFUNCTION("""COMPUTED_VALUE"""),46129.908587962964)</f>
        <v>46129.90859</v>
      </c>
      <c r="N569" s="93">
        <f>IFERROR(__xludf.DUMMYFUNCTION("""COMPUTED_VALUE"""),49.0)</f>
        <v>49</v>
      </c>
      <c r="O569" s="93"/>
      <c r="P569" s="93" t="str">
        <f>IFERROR(__xludf.DUMMYFUNCTION("""COMPUTED_VALUE"""),"Kit Delivery")</f>
        <v>Kit Delivery</v>
      </c>
      <c r="Q569" s="93"/>
      <c r="R569" s="93"/>
      <c r="S569" s="93" t="str">
        <f>IFERROR(__xludf.DUMMYFUNCTION("""COMPUTED_VALUE"""),"Dispatch_Images/KIT--16810.Photos.024819.jpg")</f>
        <v>Dispatch_Images/KIT--16810.Photos.024819.jpg</v>
      </c>
      <c r="T569" s="95">
        <f>IFERROR(__xludf.DUMMYFUNCTION("""COMPUTED_VALUE"""),46129.911840277775)</f>
        <v>46129.91184</v>
      </c>
      <c r="U569" s="93"/>
      <c r="V569" s="93"/>
      <c r="W569" s="93"/>
      <c r="X569" s="93"/>
      <c r="Y569" s="93"/>
      <c r="Z569" s="93"/>
    </row>
    <row r="570">
      <c r="A570" s="93" t="str">
        <f>IFERROR(__xludf.DUMMYFUNCTION("""COMPUTED_VALUE"""),"KIT-#17168")</f>
        <v>KIT-#17168</v>
      </c>
      <c r="B570" s="94">
        <f>IFERROR(__xludf.DUMMYFUNCTION("""COMPUTED_VALUE"""),46149.0)</f>
        <v>46149</v>
      </c>
      <c r="C570" s="93" t="str">
        <f>IFERROR(__xludf.DUMMYFUNCTION("""COMPUTED_VALUE"""),"Kit Delivery")</f>
        <v>Kit Delivery</v>
      </c>
      <c r="D570" s="93">
        <f>IFERROR(__xludf.DUMMYFUNCTION("""COMPUTED_VALUE"""),2.0)</f>
        <v>2</v>
      </c>
      <c r="E570" s="93" t="str">
        <f>IFERROR(__xludf.DUMMYFUNCTION("""COMPUTED_VALUE"""),"Danforth")</f>
        <v>Danforth</v>
      </c>
      <c r="F570" s="93">
        <f>IFERROR(__xludf.DUMMYFUNCTION("""COMPUTED_VALUE"""),2231.0)</f>
        <v>2231</v>
      </c>
      <c r="G570" s="93" t="str">
        <f>IFERROR(__xludf.DUMMYFUNCTION("""COMPUTED_VALUE"""),"Josephine Bruno")</f>
        <v>Josephine Bruno</v>
      </c>
      <c r="H570" s="93">
        <f>IFERROR(__xludf.DUMMYFUNCTION("""COMPUTED_VALUE"""),9.142919464E9)</f>
        <v>9142919464</v>
      </c>
      <c r="I570" s="93" t="str">
        <f>IFERROR(__xludf.DUMMYFUNCTION("""COMPUTED_VALUE"""),"10AM-12PM")</f>
        <v>10AM-12PM</v>
      </c>
      <c r="J570" s="93">
        <f>IFERROR(__xludf.DUMMYFUNCTION("""COMPUTED_VALUE"""),1.0)</f>
        <v>1</v>
      </c>
      <c r="K570" s="93" t="str">
        <f>IFERROR(__xludf.DUMMYFUNCTION("""COMPUTED_VALUE"""),"Complete")</f>
        <v>Complete</v>
      </c>
      <c r="L570" s="93"/>
      <c r="M570" s="94">
        <f>IFERROR(__xludf.DUMMYFUNCTION("""COMPUTED_VALUE"""),46129.909317129626)</f>
        <v>46129.90932</v>
      </c>
      <c r="N570" s="93">
        <f>IFERROR(__xludf.DUMMYFUNCTION("""COMPUTED_VALUE"""),41.0)</f>
        <v>41</v>
      </c>
      <c r="O570" s="93"/>
      <c r="P570" s="93" t="str">
        <f>IFERROR(__xludf.DUMMYFUNCTION("""COMPUTED_VALUE"""),"Kit Delivery")</f>
        <v>Kit Delivery</v>
      </c>
      <c r="Q570" s="93"/>
      <c r="R570" s="93"/>
      <c r="S570" s="93" t="str">
        <f>IFERROR(__xludf.DUMMYFUNCTION("""COMPUTED_VALUE"""),"Dispatch_Images/KIT--17168.Photos.024920.jpg")</f>
        <v>Dispatch_Images/KIT--17168.Photos.024920.jpg</v>
      </c>
      <c r="T570" s="95">
        <f>IFERROR(__xludf.DUMMYFUNCTION("""COMPUTED_VALUE"""),46129.911840277775)</f>
        <v>46129.91184</v>
      </c>
      <c r="U570" s="93"/>
      <c r="V570" s="93"/>
      <c r="W570" s="93"/>
      <c r="X570" s="93"/>
      <c r="Y570" s="93"/>
      <c r="Z570" s="93"/>
    </row>
    <row r="571">
      <c r="A571" s="93" t="str">
        <f>IFERROR(__xludf.DUMMYFUNCTION("""COMPUTED_VALUE"""),"KIT-#17170")</f>
        <v>KIT-#17170</v>
      </c>
      <c r="B571" s="94">
        <f>IFERROR(__xludf.DUMMYFUNCTION("""COMPUTED_VALUE"""),46149.0)</f>
        <v>46149</v>
      </c>
      <c r="C571" s="93" t="str">
        <f>IFERROR(__xludf.DUMMYFUNCTION("""COMPUTED_VALUE"""),"Kit Delivery")</f>
        <v>Kit Delivery</v>
      </c>
      <c r="D571" s="93">
        <f>IFERROR(__xludf.DUMMYFUNCTION("""COMPUTED_VALUE"""),2.0)</f>
        <v>2</v>
      </c>
      <c r="E571" s="93" t="str">
        <f>IFERROR(__xludf.DUMMYFUNCTION("""COMPUTED_VALUE"""),"Danforth")</f>
        <v>Danforth</v>
      </c>
      <c r="F571" s="93">
        <f>IFERROR(__xludf.DUMMYFUNCTION("""COMPUTED_VALUE"""),2225.0)</f>
        <v>2225</v>
      </c>
      <c r="G571" s="93" t="str">
        <f>IFERROR(__xludf.DUMMYFUNCTION("""COMPUTED_VALUE"""),"Zihan Dong")</f>
        <v>Zihan Dong</v>
      </c>
      <c r="H571" s="93">
        <f>IFERROR(__xludf.DUMMYFUNCTION("""COMPUTED_VALUE"""),9.3844487E7)</f>
        <v>93844487</v>
      </c>
      <c r="I571" s="93" t="str">
        <f>IFERROR(__xludf.DUMMYFUNCTION("""COMPUTED_VALUE"""),"9AM-11AM")</f>
        <v>9AM-11AM</v>
      </c>
      <c r="J571" s="93">
        <f>IFERROR(__xludf.DUMMYFUNCTION("""COMPUTED_VALUE"""),1.0)</f>
        <v>1</v>
      </c>
      <c r="K571" s="93" t="str">
        <f>IFERROR(__xludf.DUMMYFUNCTION("""COMPUTED_VALUE"""),"Complete")</f>
        <v>Complete</v>
      </c>
      <c r="L571" s="93"/>
      <c r="M571" s="94">
        <f>IFERROR(__xludf.DUMMYFUNCTION("""COMPUTED_VALUE"""),46129.91043981482)</f>
        <v>46129.91044</v>
      </c>
      <c r="N571" s="93">
        <f>IFERROR(__xludf.DUMMYFUNCTION("""COMPUTED_VALUE"""),40.0)</f>
        <v>40</v>
      </c>
      <c r="O571" s="93"/>
      <c r="P571" s="93" t="str">
        <f>IFERROR(__xludf.DUMMYFUNCTION("""COMPUTED_VALUE"""),"Kit Delivery")</f>
        <v>Kit Delivery</v>
      </c>
      <c r="Q571" s="93"/>
      <c r="R571" s="93"/>
      <c r="S571" s="93" t="str">
        <f>IFERROR(__xludf.DUMMYFUNCTION("""COMPUTED_VALUE"""),"Dispatch_Images/KIT--17170.Photos.025059.jpg")</f>
        <v>Dispatch_Images/KIT--17170.Photos.025059.jpg</v>
      </c>
      <c r="T571" s="95">
        <f>IFERROR(__xludf.DUMMYFUNCTION("""COMPUTED_VALUE"""),46129.911840277775)</f>
        <v>46129.91184</v>
      </c>
      <c r="U571" s="93"/>
      <c r="V571" s="93"/>
      <c r="W571" s="93"/>
      <c r="X571" s="93"/>
      <c r="Y571" s="93"/>
      <c r="Z571" s="93"/>
    </row>
    <row r="572">
      <c r="A572" s="93" t="str">
        <f>IFERROR(__xludf.DUMMYFUNCTION("""COMPUTED_VALUE"""),"KIT-#17175")</f>
        <v>KIT-#17175</v>
      </c>
      <c r="B572" s="94">
        <f>IFERROR(__xludf.DUMMYFUNCTION("""COMPUTED_VALUE"""),46149.0)</f>
        <v>46149</v>
      </c>
      <c r="C572" s="93" t="str">
        <f>IFERROR(__xludf.DUMMYFUNCTION("""COMPUTED_VALUE"""),"Kit Delivery")</f>
        <v>Kit Delivery</v>
      </c>
      <c r="D572" s="93">
        <f>IFERROR(__xludf.DUMMYFUNCTION("""COMPUTED_VALUE"""),2.0)</f>
        <v>2</v>
      </c>
      <c r="E572" s="93" t="str">
        <f>IFERROR(__xludf.DUMMYFUNCTION("""COMPUTED_VALUE"""),"Danforth")</f>
        <v>Danforth</v>
      </c>
      <c r="F572" s="93">
        <f>IFERROR(__xludf.DUMMYFUNCTION("""COMPUTED_VALUE"""),4402.0)</f>
        <v>4402</v>
      </c>
      <c r="G572" s="93" t="str">
        <f>IFERROR(__xludf.DUMMYFUNCTION("""COMPUTED_VALUE"""),"Charlotte Minnigh")</f>
        <v>Charlotte Minnigh</v>
      </c>
      <c r="H572" s="93">
        <f>IFERROR(__xludf.DUMMYFUNCTION("""COMPUTED_VALUE"""),2.023022986E9)</f>
        <v>2023022986</v>
      </c>
      <c r="I572" s="93" t="str">
        <f>IFERROR(__xludf.DUMMYFUNCTION("""COMPUTED_VALUE"""),"9AM-11AM")</f>
        <v>9AM-11AM</v>
      </c>
      <c r="J572" s="93">
        <f>IFERROR(__xludf.DUMMYFUNCTION("""COMPUTED_VALUE"""),2.0)</f>
        <v>2</v>
      </c>
      <c r="K572" s="93" t="str">
        <f>IFERROR(__xludf.DUMMYFUNCTION("""COMPUTED_VALUE"""),"Complete")</f>
        <v>Complete</v>
      </c>
      <c r="L572" s="93"/>
      <c r="M572" s="94">
        <f>IFERROR(__xludf.DUMMYFUNCTION("""COMPUTED_VALUE"""),46129.91185185185)</f>
        <v>46129.91185</v>
      </c>
      <c r="N572" s="93">
        <f>IFERROR(__xludf.DUMMYFUNCTION("""COMPUTED_VALUE"""),43.0)</f>
        <v>43</v>
      </c>
      <c r="O572" s="93"/>
      <c r="P572" s="93" t="str">
        <f>IFERROR(__xludf.DUMMYFUNCTION("""COMPUTED_VALUE"""),"Kit Delivery")</f>
        <v>Kit Delivery</v>
      </c>
      <c r="Q572" s="93"/>
      <c r="R572" s="93"/>
      <c r="S572" s="93" t="str">
        <f>IFERROR(__xludf.DUMMYFUNCTION("""COMPUTED_VALUE"""),"Dispatch_Images/KIT--17175.Photos.025301.jpg")</f>
        <v>Dispatch_Images/KIT--17175.Photos.025301.jpg</v>
      </c>
      <c r="T572" s="95">
        <f>IFERROR(__xludf.DUMMYFUNCTION("""COMPUTED_VALUE"""),46129.91878472222)</f>
        <v>46129.91878</v>
      </c>
      <c r="U572" s="93"/>
      <c r="V572" s="93"/>
      <c r="W572" s="93"/>
      <c r="X572" s="93"/>
      <c r="Y572" s="93"/>
      <c r="Z572" s="93"/>
    </row>
    <row r="573">
      <c r="A573" s="93" t="str">
        <f>IFERROR(__xludf.DUMMYFUNCTION("""COMPUTED_VALUE"""),"KIT-#17538")</f>
        <v>KIT-#17538</v>
      </c>
      <c r="B573" s="94">
        <f>IFERROR(__xludf.DUMMYFUNCTION("""COMPUTED_VALUE"""),46149.0)</f>
        <v>46149</v>
      </c>
      <c r="C573" s="93" t="str">
        <f>IFERROR(__xludf.DUMMYFUNCTION("""COMPUTED_VALUE"""),"Kit Delivery")</f>
        <v>Kit Delivery</v>
      </c>
      <c r="D573" s="93">
        <f>IFERROR(__xludf.DUMMYFUNCTION("""COMPUTED_VALUE"""),2.0)</f>
        <v>2</v>
      </c>
      <c r="E573" s="93" t="str">
        <f>IFERROR(__xludf.DUMMYFUNCTION("""COMPUTED_VALUE"""),"Danforth")</f>
        <v>Danforth</v>
      </c>
      <c r="F573" s="93">
        <f>IFERROR(__xludf.DUMMYFUNCTION("""COMPUTED_VALUE"""),4411.0)</f>
        <v>4411</v>
      </c>
      <c r="G573" s="93" t="str">
        <f>IFERROR(__xludf.DUMMYFUNCTION("""COMPUTED_VALUE"""),"Kerry Frey")</f>
        <v>Kerry Frey</v>
      </c>
      <c r="H573" s="93">
        <f>IFERROR(__xludf.DUMMYFUNCTION("""COMPUTED_VALUE"""),6.506448954E9)</f>
        <v>6506448954</v>
      </c>
      <c r="I573" s="93" t="str">
        <f>IFERROR(__xludf.DUMMYFUNCTION("""COMPUTED_VALUE"""),"10AM-12PM")</f>
        <v>10AM-12PM</v>
      </c>
      <c r="J573" s="93">
        <f>IFERROR(__xludf.DUMMYFUNCTION("""COMPUTED_VALUE"""),1.0)</f>
        <v>1</v>
      </c>
      <c r="K573" s="93" t="str">
        <f>IFERROR(__xludf.DUMMYFUNCTION("""COMPUTED_VALUE"""),"Complete")</f>
        <v>Complete</v>
      </c>
      <c r="L573" s="93"/>
      <c r="M573" s="94">
        <f>IFERROR(__xludf.DUMMYFUNCTION("""COMPUTED_VALUE"""),46129.91238425926)</f>
        <v>46129.91238</v>
      </c>
      <c r="N573" s="93">
        <f>IFERROR(__xludf.DUMMYFUNCTION("""COMPUTED_VALUE"""),44.0)</f>
        <v>44</v>
      </c>
      <c r="O573" s="93"/>
      <c r="P573" s="93" t="str">
        <f>IFERROR(__xludf.DUMMYFUNCTION("""COMPUTED_VALUE"""),"Kit Delivery")</f>
        <v>Kit Delivery</v>
      </c>
      <c r="Q573" s="93" t="str">
        <f>IFERROR(__xludf.DUMMYFUNCTION("""COMPUTED_VALUE"""),"will move into Gregg 1011a in early August")</f>
        <v>will move into Gregg 1011a in early August</v>
      </c>
      <c r="R573" s="93"/>
      <c r="S573" s="93" t="str">
        <f>IFERROR(__xludf.DUMMYFUNCTION("""COMPUTED_VALUE"""),"Dispatch_Images/KIT--17538.Photos.025347.jpg")</f>
        <v>Dispatch_Images/KIT--17538.Photos.025347.jpg</v>
      </c>
      <c r="T573" s="95">
        <f>IFERROR(__xludf.DUMMYFUNCTION("""COMPUTED_VALUE"""),46129.91878472222)</f>
        <v>46129.91878</v>
      </c>
      <c r="U573" s="93"/>
      <c r="V573" s="93"/>
      <c r="W573" s="93"/>
      <c r="X573" s="93"/>
      <c r="Y573" s="93"/>
      <c r="Z573" s="93"/>
    </row>
    <row r="574">
      <c r="A574" s="93" t="str">
        <f>IFERROR(__xludf.DUMMYFUNCTION("""COMPUTED_VALUE"""),"KIT-#17525")</f>
        <v>KIT-#17525</v>
      </c>
      <c r="B574" s="94">
        <f>IFERROR(__xludf.DUMMYFUNCTION("""COMPUTED_VALUE"""),46149.0)</f>
        <v>46149</v>
      </c>
      <c r="C574" s="93" t="str">
        <f>IFERROR(__xludf.DUMMYFUNCTION("""COMPUTED_VALUE"""),"Kit Delivery")</f>
        <v>Kit Delivery</v>
      </c>
      <c r="D574" s="93">
        <f>IFERROR(__xludf.DUMMYFUNCTION("""COMPUTED_VALUE"""),2.0)</f>
        <v>2</v>
      </c>
      <c r="E574" s="93" t="str">
        <f>IFERROR(__xludf.DUMMYFUNCTION("""COMPUTED_VALUE"""),"Beaumont")</f>
        <v>Beaumont</v>
      </c>
      <c r="F574" s="93">
        <f>IFERROR(__xludf.DUMMYFUNCTION("""COMPUTED_VALUE"""),204.0)</f>
        <v>204</v>
      </c>
      <c r="G574" s="93" t="str">
        <f>IFERROR(__xludf.DUMMYFUNCTION("""COMPUTED_VALUE"""),"Megan Long")</f>
        <v>Megan Long</v>
      </c>
      <c r="H574" s="93">
        <f>IFERROR(__xludf.DUMMYFUNCTION("""COMPUTED_VALUE"""),4.107079917E9)</f>
        <v>4107079917</v>
      </c>
      <c r="I574" s="93" t="str">
        <f>IFERROR(__xludf.DUMMYFUNCTION("""COMPUTED_VALUE"""),"9AM-11AM")</f>
        <v>9AM-11AM</v>
      </c>
      <c r="J574" s="93">
        <f>IFERROR(__xludf.DUMMYFUNCTION("""COMPUTED_VALUE"""),1.0)</f>
        <v>1</v>
      </c>
      <c r="K574" s="93" t="str">
        <f>IFERROR(__xludf.DUMMYFUNCTION("""COMPUTED_VALUE"""),"Complete")</f>
        <v>Complete</v>
      </c>
      <c r="L574" s="93"/>
      <c r="M574" s="94">
        <f>IFERROR(__xludf.DUMMYFUNCTION("""COMPUTED_VALUE"""),46129.91474537037)</f>
        <v>46129.91475</v>
      </c>
      <c r="N574" s="93">
        <f>IFERROR(__xludf.DUMMYFUNCTION("""COMPUTED_VALUE"""),82.0)</f>
        <v>82</v>
      </c>
      <c r="O574" s="93"/>
      <c r="P574" s="93" t="str">
        <f>IFERROR(__xludf.DUMMYFUNCTION("""COMPUTED_VALUE"""),"Kit Delivery")</f>
        <v>Kit Delivery</v>
      </c>
      <c r="Q574" s="93" t="str">
        <f>IFERROR(__xludf.DUMMYFUNCTION("""COMPUTED_VALUE"""),"I am heading home on the May 6, so I put down May 7 for pickup - but if you want to do it later, that is fine.  In addition to a 2 to 4 boxes, you will find a 3.2 cubic foot mini-fridge and a futon/sofa.   There MAY also be a small coffee table, but once "&amp;"I pack, I may find that it fits into one of the boxes.")</f>
        <v>I am heading home on the May 6, so I put down May 7 for pickup - but if you want to do it later, that is fine.  In addition to a 2 to 4 boxes, you will find a 3.2 cubic foot mini-fridge and a futon/sofa.   There MAY also be a small coffee table, but once I pack, I may find that it fits into one of the boxes.</v>
      </c>
      <c r="R574" s="93"/>
      <c r="S574" s="93" t="str">
        <f>IFERROR(__xludf.DUMMYFUNCTION("""COMPUTED_VALUE"""),"Dispatch_Images/KIT--17525.Photos.022907.jpg")</f>
        <v>Dispatch_Images/KIT--17525.Photos.022907.jpg</v>
      </c>
      <c r="T574" s="95">
        <f>IFERROR(__xludf.DUMMYFUNCTION("""COMPUTED_VALUE"""),46129.91878472222)</f>
        <v>46129.91878</v>
      </c>
      <c r="U574" s="93"/>
      <c r="V574" s="93"/>
      <c r="W574" s="93"/>
      <c r="X574" s="93"/>
      <c r="Y574" s="93"/>
      <c r="Z574" s="93"/>
    </row>
    <row r="575">
      <c r="A575" s="93" t="str">
        <f>IFERROR(__xludf.DUMMYFUNCTION("""COMPUTED_VALUE"""),"KIT-#17404")</f>
        <v>KIT-#17404</v>
      </c>
      <c r="B575" s="94">
        <f>IFERROR(__xludf.DUMMYFUNCTION("""COMPUTED_VALUE"""),46149.0)</f>
        <v>46149</v>
      </c>
      <c r="C575" s="93" t="str">
        <f>IFERROR(__xludf.DUMMYFUNCTION("""COMPUTED_VALUE"""),"Kit Delivery")</f>
        <v>Kit Delivery</v>
      </c>
      <c r="D575" s="93">
        <f>IFERROR(__xludf.DUMMYFUNCTION("""COMPUTED_VALUE"""),1.0)</f>
        <v>1</v>
      </c>
      <c r="E575" s="93" t="str">
        <f>IFERROR(__xludf.DUMMYFUNCTION("""COMPUTED_VALUE"""),"Dardick")</f>
        <v>Dardick</v>
      </c>
      <c r="F575" s="93">
        <f>IFERROR(__xludf.DUMMYFUNCTION("""COMPUTED_VALUE"""),4424.0)</f>
        <v>4424</v>
      </c>
      <c r="G575" s="93" t="str">
        <f>IFERROR(__xludf.DUMMYFUNCTION("""COMPUTED_VALUE"""),"Michael Mathew")</f>
        <v>Michael Mathew</v>
      </c>
      <c r="H575" s="93">
        <f>IFERROR(__xludf.DUMMYFUNCTION("""COMPUTED_VALUE"""),9.73876106E9)</f>
        <v>9738761060</v>
      </c>
      <c r="I575" s="93" t="str">
        <f>IFERROR(__xludf.DUMMYFUNCTION("""COMPUTED_VALUE"""),"2PM-4PM")</f>
        <v>2PM-4PM</v>
      </c>
      <c r="J575" s="93">
        <f>IFERROR(__xludf.DUMMYFUNCTION("""COMPUTED_VALUE"""),1.0)</f>
        <v>1</v>
      </c>
      <c r="K575" s="93" t="str">
        <f>IFERROR(__xludf.DUMMYFUNCTION("""COMPUTED_VALUE"""),"Complete")</f>
        <v>Complete</v>
      </c>
      <c r="L575" s="93"/>
      <c r="M575" s="94">
        <f>IFERROR(__xludf.DUMMYFUNCTION("""COMPUTED_VALUE"""),46130.388125)</f>
        <v>46130.38813</v>
      </c>
      <c r="N575" s="93">
        <f>IFERROR(__xludf.DUMMYFUNCTION("""COMPUTED_VALUE"""),131.0)</f>
        <v>131</v>
      </c>
      <c r="O575" s="93"/>
      <c r="P575" s="93" t="str">
        <f>IFERROR(__xludf.DUMMYFUNCTION("""COMPUTED_VALUE"""),"Kit Delivery")</f>
        <v>Kit Delivery</v>
      </c>
      <c r="Q575" s="93"/>
      <c r="R575" s="93"/>
      <c r="S575" s="93" t="str">
        <f>IFERROR(__xludf.DUMMYFUNCTION("""COMPUTED_VALUE"""),"Dispatch_Images/KIT--17404.Photos.141850.jpg")</f>
        <v>Dispatch_Images/KIT--17404.Photos.141850.jpg</v>
      </c>
      <c r="T575" s="95">
        <f>IFERROR(__xludf.DUMMYFUNCTION("""COMPUTED_VALUE"""),46130.39099537037)</f>
        <v>46130.391</v>
      </c>
      <c r="U575" s="93"/>
      <c r="V575" s="93"/>
      <c r="W575" s="93"/>
      <c r="X575" s="93"/>
      <c r="Y575" s="93"/>
      <c r="Z575" s="93"/>
    </row>
    <row r="576">
      <c r="A576" s="93" t="str">
        <f>IFERROR(__xludf.DUMMYFUNCTION("""COMPUTED_VALUE"""),"KIT-#17164")</f>
        <v>KIT-#17164</v>
      </c>
      <c r="B576" s="94">
        <f>IFERROR(__xludf.DUMMYFUNCTION("""COMPUTED_VALUE"""),46149.0)</f>
        <v>46149</v>
      </c>
      <c r="C576" s="93" t="str">
        <f>IFERROR(__xludf.DUMMYFUNCTION("""COMPUTED_VALUE"""),"Kit Delivery")</f>
        <v>Kit Delivery</v>
      </c>
      <c r="D576" s="93">
        <f>IFERROR(__xludf.DUMMYFUNCTION("""COMPUTED_VALUE"""),1.0)</f>
        <v>1</v>
      </c>
      <c r="E576" s="93" t="str">
        <f>IFERROR(__xludf.DUMMYFUNCTION("""COMPUTED_VALUE"""),"Dardick")</f>
        <v>Dardick</v>
      </c>
      <c r="F576" s="93">
        <f>IFERROR(__xludf.DUMMYFUNCTION("""COMPUTED_VALUE"""),4421.0)</f>
        <v>4421</v>
      </c>
      <c r="G576" s="93" t="str">
        <f>IFERROR(__xludf.DUMMYFUNCTION("""COMPUTED_VALUE"""),"Noa Levy")</f>
        <v>Noa Levy</v>
      </c>
      <c r="H576" s="93">
        <f>IFERROR(__xludf.DUMMYFUNCTION("""COMPUTED_VALUE"""),3.104182714E9)</f>
        <v>3104182714</v>
      </c>
      <c r="I576" s="93" t="str">
        <f>IFERROR(__xludf.DUMMYFUNCTION("""COMPUTED_VALUE"""),"9AM-11AM")</f>
        <v>9AM-11AM</v>
      </c>
      <c r="J576" s="93">
        <f>IFERROR(__xludf.DUMMYFUNCTION("""COMPUTED_VALUE"""),1.0)</f>
        <v>1</v>
      </c>
      <c r="K576" s="93" t="str">
        <f>IFERROR(__xludf.DUMMYFUNCTION("""COMPUTED_VALUE"""),"Complete")</f>
        <v>Complete</v>
      </c>
      <c r="L576" s="93"/>
      <c r="M576" s="94">
        <f>IFERROR(__xludf.DUMMYFUNCTION("""COMPUTED_VALUE"""),46130.388460648144)</f>
        <v>46130.38846</v>
      </c>
      <c r="N576" s="93">
        <f>IFERROR(__xludf.DUMMYFUNCTION("""COMPUTED_VALUE"""),130.0)</f>
        <v>130</v>
      </c>
      <c r="O576" s="93"/>
      <c r="P576" s="93" t="str">
        <f>IFERROR(__xludf.DUMMYFUNCTION("""COMPUTED_VALUE"""),"Kit Delivery")</f>
        <v>Kit Delivery</v>
      </c>
      <c r="Q576" s="93"/>
      <c r="R576" s="93"/>
      <c r="S576" s="93" t="str">
        <f>IFERROR(__xludf.DUMMYFUNCTION("""COMPUTED_VALUE"""),"Dispatch_Images/KIT--17164.Photos.141920.jpg")</f>
        <v>Dispatch_Images/KIT--17164.Photos.141920.jpg</v>
      </c>
      <c r="T576" s="95">
        <f>IFERROR(__xludf.DUMMYFUNCTION("""COMPUTED_VALUE"""),46130.39099537037)</f>
        <v>46130.391</v>
      </c>
      <c r="U576" s="93"/>
      <c r="V576" s="93"/>
      <c r="W576" s="93"/>
      <c r="X576" s="93"/>
      <c r="Y576" s="93"/>
      <c r="Z576" s="93"/>
    </row>
    <row r="577">
      <c r="A577" s="93" t="str">
        <f>IFERROR(__xludf.DUMMYFUNCTION("""COMPUTED_VALUE"""),"KIT-#17529")</f>
        <v>KIT-#17529</v>
      </c>
      <c r="B577" s="94">
        <f>IFERROR(__xludf.DUMMYFUNCTION("""COMPUTED_VALUE"""),46149.0)</f>
        <v>46149</v>
      </c>
      <c r="C577" s="93" t="str">
        <f>IFERROR(__xludf.DUMMYFUNCTION("""COMPUTED_VALUE"""),"Kit Delivery")</f>
        <v>Kit Delivery</v>
      </c>
      <c r="D577" s="93">
        <f>IFERROR(__xludf.DUMMYFUNCTION("""COMPUTED_VALUE"""),1.0)</f>
        <v>1</v>
      </c>
      <c r="E577" s="93" t="str">
        <f>IFERROR(__xludf.DUMMYFUNCTION("""COMPUTED_VALUE"""),"Dardick")</f>
        <v>Dardick</v>
      </c>
      <c r="F577" s="93">
        <f>IFERROR(__xludf.DUMMYFUNCTION("""COMPUTED_VALUE"""),4418.0)</f>
        <v>4418</v>
      </c>
      <c r="G577" s="93" t="str">
        <f>IFERROR(__xludf.DUMMYFUNCTION("""COMPUTED_VALUE"""),"Mark Vann")</f>
        <v>Mark Vann</v>
      </c>
      <c r="H577" s="93">
        <f>IFERROR(__xludf.DUMMYFUNCTION("""COMPUTED_VALUE"""),2.027469044E9)</f>
        <v>2027469044</v>
      </c>
      <c r="I577" s="93" t="str">
        <f>IFERROR(__xludf.DUMMYFUNCTION("""COMPUTED_VALUE"""),"10AM-12PM")</f>
        <v>10AM-12PM</v>
      </c>
      <c r="J577" s="93">
        <f>IFERROR(__xludf.DUMMYFUNCTION("""COMPUTED_VALUE"""),1.0)</f>
        <v>1</v>
      </c>
      <c r="K577" s="93" t="str">
        <f>IFERROR(__xludf.DUMMYFUNCTION("""COMPUTED_VALUE"""),"Complete")</f>
        <v>Complete</v>
      </c>
      <c r="L577" s="93"/>
      <c r="M577" s="94">
        <f>IFERROR(__xludf.DUMMYFUNCTION("""COMPUTED_VALUE"""),46130.38893518518)</f>
        <v>46130.38894</v>
      </c>
      <c r="N577" s="93">
        <f>IFERROR(__xludf.DUMMYFUNCTION("""COMPUTED_VALUE"""),128.0)</f>
        <v>128</v>
      </c>
      <c r="O577" s="93"/>
      <c r="P577" s="93" t="str">
        <f>IFERROR(__xludf.DUMMYFUNCTION("""COMPUTED_VALUE"""),"Kit Delivery")</f>
        <v>Kit Delivery</v>
      </c>
      <c r="Q577" s="93"/>
      <c r="R577" s="93"/>
      <c r="S577" s="93" t="str">
        <f>IFERROR(__xludf.DUMMYFUNCTION("""COMPUTED_VALUE"""),"Dispatch_Images/KIT--17529.Photos.142001.jpg")</f>
        <v>Dispatch_Images/KIT--17529.Photos.142001.jpg</v>
      </c>
      <c r="T577" s="95">
        <f>IFERROR(__xludf.DUMMYFUNCTION("""COMPUTED_VALUE"""),46130.39099537037)</f>
        <v>46130.391</v>
      </c>
      <c r="U577" s="93"/>
      <c r="V577" s="93"/>
      <c r="W577" s="93"/>
      <c r="X577" s="93"/>
      <c r="Y577" s="93"/>
      <c r="Z577" s="93"/>
    </row>
    <row r="578">
      <c r="A578" s="93" t="str">
        <f>IFERROR(__xludf.DUMMYFUNCTION("""COMPUTED_VALUE"""),"KIT-#16821")</f>
        <v>KIT-#16821</v>
      </c>
      <c r="B578" s="94">
        <f>IFERROR(__xludf.DUMMYFUNCTION("""COMPUTED_VALUE"""),46149.0)</f>
        <v>46149</v>
      </c>
      <c r="C578" s="93" t="str">
        <f>IFERROR(__xludf.DUMMYFUNCTION("""COMPUTED_VALUE"""),"Kit Delivery")</f>
        <v>Kit Delivery</v>
      </c>
      <c r="D578" s="93">
        <f>IFERROR(__xludf.DUMMYFUNCTION("""COMPUTED_VALUE"""),1.0)</f>
        <v>1</v>
      </c>
      <c r="E578" s="93" t="str">
        <f>IFERROR(__xludf.DUMMYFUNCTION("""COMPUTED_VALUE"""),"Dardick")</f>
        <v>Dardick</v>
      </c>
      <c r="F578" s="93">
        <f>IFERROR(__xludf.DUMMYFUNCTION("""COMPUTED_VALUE"""),4410.0)</f>
        <v>4410</v>
      </c>
      <c r="G578" s="93" t="str">
        <f>IFERROR(__xludf.DUMMYFUNCTION("""COMPUTED_VALUE"""),"Samantha Oei")</f>
        <v>Samantha Oei</v>
      </c>
      <c r="H578" s="93">
        <f>IFERROR(__xludf.DUMMYFUNCTION("""COMPUTED_VALUE"""),9.089021218E9)</f>
        <v>9089021218</v>
      </c>
      <c r="I578" s="93" t="str">
        <f>IFERROR(__xludf.DUMMYFUNCTION("""COMPUTED_VALUE"""),"9AM-11AM")</f>
        <v>9AM-11AM</v>
      </c>
      <c r="J578" s="93">
        <f>IFERROR(__xludf.DUMMYFUNCTION("""COMPUTED_VALUE"""),1.0)</f>
        <v>1</v>
      </c>
      <c r="K578" s="93" t="str">
        <f>IFERROR(__xludf.DUMMYFUNCTION("""COMPUTED_VALUE"""),"Complete")</f>
        <v>Complete</v>
      </c>
      <c r="L578" s="93"/>
      <c r="M578" s="94">
        <f>IFERROR(__xludf.DUMMYFUNCTION("""COMPUTED_VALUE"""),46130.389502314814)</f>
        <v>46130.3895</v>
      </c>
      <c r="N578" s="93">
        <f>IFERROR(__xludf.DUMMYFUNCTION("""COMPUTED_VALUE"""),126.0)</f>
        <v>126</v>
      </c>
      <c r="O578" s="93"/>
      <c r="P578" s="93" t="str">
        <f>IFERROR(__xludf.DUMMYFUNCTION("""COMPUTED_VALUE"""),"Kit Delivery")</f>
        <v>Kit Delivery</v>
      </c>
      <c r="Q578" s="93"/>
      <c r="R578" s="93"/>
      <c r="S578" s="93" t="str">
        <f>IFERROR(__xludf.DUMMYFUNCTION("""COMPUTED_VALUE"""),"Dispatch_Images/KIT--16821.Photos.142050.jpg")</f>
        <v>Dispatch_Images/KIT--16821.Photos.142050.jpg</v>
      </c>
      <c r="T578" s="95">
        <f>IFERROR(__xludf.DUMMYFUNCTION("""COMPUTED_VALUE"""),46130.39099537037)</f>
        <v>46130.391</v>
      </c>
      <c r="U578" s="93"/>
      <c r="V578" s="93"/>
      <c r="W578" s="93"/>
      <c r="X578" s="93"/>
      <c r="Y578" s="93"/>
      <c r="Z578" s="93"/>
    </row>
    <row r="579">
      <c r="A579" s="93" t="str">
        <f>IFERROR(__xludf.DUMMYFUNCTION("""COMPUTED_VALUE"""),"KIT-#16786")</f>
        <v>KIT-#16786</v>
      </c>
      <c r="B579" s="94">
        <f>IFERROR(__xludf.DUMMYFUNCTION("""COMPUTED_VALUE"""),46149.0)</f>
        <v>46149</v>
      </c>
      <c r="C579" s="93" t="str">
        <f>IFERROR(__xludf.DUMMYFUNCTION("""COMPUTED_VALUE"""),"Kit Delivery")</f>
        <v>Kit Delivery</v>
      </c>
      <c r="D579" s="93">
        <f>IFERROR(__xludf.DUMMYFUNCTION("""COMPUTED_VALUE"""),1.0)</f>
        <v>1</v>
      </c>
      <c r="E579" s="93" t="str">
        <f>IFERROR(__xludf.DUMMYFUNCTION("""COMPUTED_VALUE"""),"Dardick")</f>
        <v>Dardick</v>
      </c>
      <c r="F579" s="93">
        <f>IFERROR(__xludf.DUMMYFUNCTION("""COMPUTED_VALUE"""),4408.0)</f>
        <v>4408</v>
      </c>
      <c r="G579" s="93" t="str">
        <f>IFERROR(__xludf.DUMMYFUNCTION("""COMPUTED_VALUE"""),"Ethan Burack")</f>
        <v>Ethan Burack</v>
      </c>
      <c r="H579" s="93"/>
      <c r="I579" s="93" t="str">
        <f>IFERROR(__xludf.DUMMYFUNCTION("""COMPUTED_VALUE"""),"12PM-2PM")</f>
        <v>12PM-2PM</v>
      </c>
      <c r="J579" s="93">
        <f>IFERROR(__xludf.DUMMYFUNCTION("""COMPUTED_VALUE"""),1.0)</f>
        <v>1</v>
      </c>
      <c r="K579" s="93" t="str">
        <f>IFERROR(__xludf.DUMMYFUNCTION("""COMPUTED_VALUE"""),"Complete")</f>
        <v>Complete</v>
      </c>
      <c r="L579" s="93"/>
      <c r="M579" s="94">
        <f>IFERROR(__xludf.DUMMYFUNCTION("""COMPUTED_VALUE"""),46130.389814814815)</f>
        <v>46130.38981</v>
      </c>
      <c r="N579" s="93">
        <f>IFERROR(__xludf.DUMMYFUNCTION("""COMPUTED_VALUE"""),125.0)</f>
        <v>125</v>
      </c>
      <c r="O579" s="93"/>
      <c r="P579" s="93" t="str">
        <f>IFERROR(__xludf.DUMMYFUNCTION("""COMPUTED_VALUE"""),"Kit Delivery")</f>
        <v>Kit Delivery</v>
      </c>
      <c r="Q579" s="93"/>
      <c r="R579" s="93"/>
      <c r="S579" s="93" t="str">
        <f>IFERROR(__xludf.DUMMYFUNCTION("""COMPUTED_VALUE"""),"Dispatch_Images/KIT--16786.Photos.142117.jpg")</f>
        <v>Dispatch_Images/KIT--16786.Photos.142117.jpg</v>
      </c>
      <c r="T579" s="95">
        <f>IFERROR(__xludf.DUMMYFUNCTION("""COMPUTED_VALUE"""),46130.39099537037)</f>
        <v>46130.391</v>
      </c>
      <c r="U579" s="93"/>
      <c r="V579" s="93"/>
      <c r="W579" s="93"/>
      <c r="X579" s="93"/>
      <c r="Y579" s="93"/>
      <c r="Z579" s="93"/>
    </row>
    <row r="580">
      <c r="A580" s="93" t="str">
        <f>IFERROR(__xludf.DUMMYFUNCTION("""COMPUTED_VALUE"""),"KIT-#17501")</f>
        <v>KIT-#17501</v>
      </c>
      <c r="B580" s="94">
        <f>IFERROR(__xludf.DUMMYFUNCTION("""COMPUTED_VALUE"""),46149.0)</f>
        <v>46149</v>
      </c>
      <c r="C580" s="93" t="str">
        <f>IFERROR(__xludf.DUMMYFUNCTION("""COMPUTED_VALUE"""),"Kit Delivery")</f>
        <v>Kit Delivery</v>
      </c>
      <c r="D580" s="93">
        <f>IFERROR(__xludf.DUMMYFUNCTION("""COMPUTED_VALUE"""),1.0)</f>
        <v>1</v>
      </c>
      <c r="E580" s="93" t="str">
        <f>IFERROR(__xludf.DUMMYFUNCTION("""COMPUTED_VALUE"""),"Dardick")</f>
        <v>Dardick</v>
      </c>
      <c r="F580" s="93">
        <f>IFERROR(__xludf.DUMMYFUNCTION("""COMPUTED_VALUE"""),2225.0)</f>
        <v>2225</v>
      </c>
      <c r="G580" s="93" t="str">
        <f>IFERROR(__xludf.DUMMYFUNCTION("""COMPUTED_VALUE"""),"Kate Santoli")</f>
        <v>Kate Santoli</v>
      </c>
      <c r="H580" s="93">
        <f>IFERROR(__xludf.DUMMYFUNCTION("""COMPUTED_VALUE"""),3.473702637E9)</f>
        <v>3473702637</v>
      </c>
      <c r="I580" s="93" t="str">
        <f>IFERROR(__xludf.DUMMYFUNCTION("""COMPUTED_VALUE"""),"9AM-11AM")</f>
        <v>9AM-11AM</v>
      </c>
      <c r="J580" s="93">
        <f>IFERROR(__xludf.DUMMYFUNCTION("""COMPUTED_VALUE"""),2.0)</f>
        <v>2</v>
      </c>
      <c r="K580" s="93" t="str">
        <f>IFERROR(__xludf.DUMMYFUNCTION("""COMPUTED_VALUE"""),"Complete")</f>
        <v>Complete</v>
      </c>
      <c r="L580" s="93"/>
      <c r="M580" s="94">
        <f>IFERROR(__xludf.DUMMYFUNCTION("""COMPUTED_VALUE"""),46130.39130787037)</f>
        <v>46130.39131</v>
      </c>
      <c r="N580" s="93">
        <f>IFERROR(__xludf.DUMMYFUNCTION("""COMPUTED_VALUE"""),122.0)</f>
        <v>122</v>
      </c>
      <c r="O580" s="93"/>
      <c r="P580" s="93" t="str">
        <f>IFERROR(__xludf.DUMMYFUNCTION("""COMPUTED_VALUE"""),"Kit Delivery")</f>
        <v>Kit Delivery</v>
      </c>
      <c r="Q580" s="93"/>
      <c r="R580" s="93"/>
      <c r="S580" s="93" t="str">
        <f>IFERROR(__xludf.DUMMYFUNCTION("""COMPUTED_VALUE"""),"Dispatch_Images/KIT--17501.Photos.142326.jpg")</f>
        <v>Dispatch_Images/KIT--17501.Photos.142326.jpg</v>
      </c>
      <c r="T580" s="95">
        <f>IFERROR(__xludf.DUMMYFUNCTION("""COMPUTED_VALUE"""),46130.39796296296)</f>
        <v>46130.39796</v>
      </c>
      <c r="U580" s="93"/>
      <c r="V580" s="93"/>
      <c r="W580" s="93"/>
      <c r="X580" s="93"/>
      <c r="Y580" s="93"/>
      <c r="Z580" s="93"/>
    </row>
    <row r="581">
      <c r="A581" s="93" t="str">
        <f>IFERROR(__xludf.DUMMYFUNCTION("""COMPUTED_VALUE"""),"KIT-#17245")</f>
        <v>KIT-#17245</v>
      </c>
      <c r="B581" s="94">
        <f>IFERROR(__xludf.DUMMYFUNCTION("""COMPUTED_VALUE"""),46149.0)</f>
        <v>46149</v>
      </c>
      <c r="C581" s="93" t="str">
        <f>IFERROR(__xludf.DUMMYFUNCTION("""COMPUTED_VALUE"""),"Kit Delivery")</f>
        <v>Kit Delivery</v>
      </c>
      <c r="D581" s="93">
        <f>IFERROR(__xludf.DUMMYFUNCTION("""COMPUTED_VALUE"""),1.0)</f>
        <v>1</v>
      </c>
      <c r="E581" s="93" t="str">
        <f>IFERROR(__xludf.DUMMYFUNCTION("""COMPUTED_VALUE"""),"Dardick")</f>
        <v>Dardick</v>
      </c>
      <c r="F581" s="93" t="str">
        <f>IFERROR(__xludf.DUMMYFUNCTION("""COMPUTED_VALUE"""),"2208-a")</f>
        <v>2208-a</v>
      </c>
      <c r="G581" s="93" t="str">
        <f>IFERROR(__xludf.DUMMYFUNCTION("""COMPUTED_VALUE"""),"Marisa Tan")</f>
        <v>Marisa Tan</v>
      </c>
      <c r="H581" s="93"/>
      <c r="I581" s="93" t="str">
        <f>IFERROR(__xludf.DUMMYFUNCTION("""COMPUTED_VALUE"""),"1PM-3PM")</f>
        <v>1PM-3PM</v>
      </c>
      <c r="J581" s="93">
        <f>IFERROR(__xludf.DUMMYFUNCTION("""COMPUTED_VALUE"""),1.0)</f>
        <v>1</v>
      </c>
      <c r="K581" s="93" t="str">
        <f>IFERROR(__xludf.DUMMYFUNCTION("""COMPUTED_VALUE"""),"Complete")</f>
        <v>Complete</v>
      </c>
      <c r="L581" s="93"/>
      <c r="M581" s="94">
        <f>IFERROR(__xludf.DUMMYFUNCTION("""COMPUTED_VALUE"""),46130.39439814815)</f>
        <v>46130.3944</v>
      </c>
      <c r="N581" s="93">
        <f>IFERROR(__xludf.DUMMYFUNCTION("""COMPUTED_VALUE"""),119.0)</f>
        <v>119</v>
      </c>
      <c r="O581" s="93"/>
      <c r="P581" s="93" t="str">
        <f>IFERROR(__xludf.DUMMYFUNCTION("""COMPUTED_VALUE"""),"Kit Delivery")</f>
        <v>Kit Delivery</v>
      </c>
      <c r="Q581" s="93"/>
      <c r="R581" s="93"/>
      <c r="S581" s="93" t="str">
        <f>IFERROR(__xludf.DUMMYFUNCTION("""COMPUTED_VALUE"""),"Dispatch_Images/KIT--17245.Photos.142753.jpg")</f>
        <v>Dispatch_Images/KIT--17245.Photos.142753.jpg</v>
      </c>
      <c r="T581" s="95">
        <f>IFERROR(__xludf.DUMMYFUNCTION("""COMPUTED_VALUE"""),46130.39796296296)</f>
        <v>46130.39796</v>
      </c>
      <c r="U581" s="93"/>
      <c r="V581" s="93"/>
      <c r="W581" s="93"/>
      <c r="X581" s="93"/>
      <c r="Y581" s="93"/>
      <c r="Z581" s="93"/>
    </row>
    <row r="582">
      <c r="A582" s="93" t="str">
        <f>IFERROR(__xludf.DUMMYFUNCTION("""COMPUTED_VALUE"""),"KIT-#17339")</f>
        <v>KIT-#17339</v>
      </c>
      <c r="B582" s="94">
        <f>IFERROR(__xludf.DUMMYFUNCTION("""COMPUTED_VALUE"""),46149.0)</f>
        <v>46149</v>
      </c>
      <c r="C582" s="93" t="str">
        <f>IFERROR(__xludf.DUMMYFUNCTION("""COMPUTED_VALUE"""),"Kit Delivery")</f>
        <v>Kit Delivery</v>
      </c>
      <c r="D582" s="93">
        <f>IFERROR(__xludf.DUMMYFUNCTION("""COMPUTED_VALUE"""),1.0)</f>
        <v>1</v>
      </c>
      <c r="E582" s="93" t="str">
        <f>IFERROR(__xludf.DUMMYFUNCTION("""COMPUTED_VALUE"""),"Nemerov")</f>
        <v>Nemerov</v>
      </c>
      <c r="F582" s="93">
        <f>IFERROR(__xludf.DUMMYFUNCTION("""COMPUTED_VALUE"""),4110.0)</f>
        <v>4110</v>
      </c>
      <c r="G582" s="93" t="str">
        <f>IFERROR(__xludf.DUMMYFUNCTION("""COMPUTED_VALUE"""),"Anya Mathur")</f>
        <v>Anya Mathur</v>
      </c>
      <c r="H582" s="93">
        <f>IFERROR(__xludf.DUMMYFUNCTION("""COMPUTED_VALUE"""),2.167779895E9)</f>
        <v>2167779895</v>
      </c>
      <c r="I582" s="93" t="str">
        <f>IFERROR(__xludf.DUMMYFUNCTION("""COMPUTED_VALUE"""),"3PM-5PM")</f>
        <v>3PM-5PM</v>
      </c>
      <c r="J582" s="93">
        <f>IFERROR(__xludf.DUMMYFUNCTION("""COMPUTED_VALUE"""),1.0)</f>
        <v>1</v>
      </c>
      <c r="K582" s="93" t="str">
        <f>IFERROR(__xludf.DUMMYFUNCTION("""COMPUTED_VALUE"""),"Complete")</f>
        <v>Complete</v>
      </c>
      <c r="L582" s="93"/>
      <c r="M582" s="94">
        <f>IFERROR(__xludf.DUMMYFUNCTION("""COMPUTED_VALUE"""),46130.404062500005)</f>
        <v>46130.40406</v>
      </c>
      <c r="N582" s="93">
        <f>IFERROR(__xludf.DUMMYFUNCTION("""COMPUTED_VALUE"""),145.0)</f>
        <v>145</v>
      </c>
      <c r="O582" s="93"/>
      <c r="P582" s="93" t="str">
        <f>IFERROR(__xludf.DUMMYFUNCTION("""COMPUTED_VALUE"""),"Kit Delivery")</f>
        <v>Kit Delivery</v>
      </c>
      <c r="Q582" s="93"/>
      <c r="R582" s="93"/>
      <c r="S582" s="93" t="str">
        <f>IFERROR(__xludf.DUMMYFUNCTION("""COMPUTED_VALUE"""),"Dispatch_Images/KIT--17339.Photos.144148.jpg")</f>
        <v>Dispatch_Images/KIT--17339.Photos.144148.jpg</v>
      </c>
      <c r="T582" s="95">
        <f>IFERROR(__xludf.DUMMYFUNCTION("""COMPUTED_VALUE"""),46130.40488425926)</f>
        <v>46130.40488</v>
      </c>
      <c r="U582" s="93"/>
      <c r="V582" s="93"/>
      <c r="W582" s="93"/>
      <c r="X582" s="93"/>
      <c r="Y582" s="93"/>
      <c r="Z582" s="93"/>
    </row>
    <row r="583">
      <c r="A583" s="93" t="str">
        <f>IFERROR(__xludf.DUMMYFUNCTION("""COMPUTED_VALUE"""),"KIT-#17138")</f>
        <v>KIT-#17138</v>
      </c>
      <c r="B583" s="94">
        <f>IFERROR(__xludf.DUMMYFUNCTION("""COMPUTED_VALUE"""),46149.0)</f>
        <v>46149</v>
      </c>
      <c r="C583" s="93" t="str">
        <f>IFERROR(__xludf.DUMMYFUNCTION("""COMPUTED_VALUE"""),"Kit Delivery")</f>
        <v>Kit Delivery</v>
      </c>
      <c r="D583" s="93">
        <f>IFERROR(__xludf.DUMMYFUNCTION("""COMPUTED_VALUE"""),1.0)</f>
        <v>1</v>
      </c>
      <c r="E583" s="93" t="str">
        <f>IFERROR(__xludf.DUMMYFUNCTION("""COMPUTED_VALUE"""),"Nemerov")</f>
        <v>Nemerov</v>
      </c>
      <c r="F583" s="93">
        <f>IFERROR(__xludf.DUMMYFUNCTION("""COMPUTED_VALUE"""),4082.0)</f>
        <v>4082</v>
      </c>
      <c r="G583" s="93" t="str">
        <f>IFERROR(__xludf.DUMMYFUNCTION("""COMPUTED_VALUE"""),"Hannah Carbunaru")</f>
        <v>Hannah Carbunaru</v>
      </c>
      <c r="H583" s="93">
        <f>IFERROR(__xludf.DUMMYFUNCTION("""COMPUTED_VALUE"""),3.107499227E9)</f>
        <v>3107499227</v>
      </c>
      <c r="I583" s="93" t="str">
        <f>IFERROR(__xludf.DUMMYFUNCTION("""COMPUTED_VALUE"""),"9AM-11AM")</f>
        <v>9AM-11AM</v>
      </c>
      <c r="J583" s="93">
        <f>IFERROR(__xludf.DUMMYFUNCTION("""COMPUTED_VALUE"""),1.0)</f>
        <v>1</v>
      </c>
      <c r="K583" s="93" t="str">
        <f>IFERROR(__xludf.DUMMYFUNCTION("""COMPUTED_VALUE"""),"Complete")</f>
        <v>Complete</v>
      </c>
      <c r="L583" s="93"/>
      <c r="M583" s="94">
        <f>IFERROR(__xludf.DUMMYFUNCTION("""COMPUTED_VALUE"""),46130.405706018515)</f>
        <v>46130.40571</v>
      </c>
      <c r="N583" s="93">
        <f>IFERROR(__xludf.DUMMYFUNCTION("""COMPUTED_VALUE"""),142.0)</f>
        <v>142</v>
      </c>
      <c r="O583" s="93"/>
      <c r="P583" s="93" t="str">
        <f>IFERROR(__xludf.DUMMYFUNCTION("""COMPUTED_VALUE"""),"Kit Delivery")</f>
        <v>Kit Delivery</v>
      </c>
      <c r="Q583" s="93"/>
      <c r="R583" s="93"/>
      <c r="S583" s="93" t="str">
        <f>IFERROR(__xludf.DUMMYFUNCTION("""COMPUTED_VALUE"""),"Dispatch_Images/KIT--17138.Photos.144409.jpg")</f>
        <v>Dispatch_Images/KIT--17138.Photos.144409.jpg</v>
      </c>
      <c r="T583" s="95">
        <f>IFERROR(__xludf.DUMMYFUNCTION("""COMPUTED_VALUE"""),46130.411828703705)</f>
        <v>46130.41183</v>
      </c>
      <c r="U583" s="93"/>
      <c r="V583" s="93"/>
      <c r="W583" s="93"/>
      <c r="X583" s="93"/>
      <c r="Y583" s="93"/>
      <c r="Z583" s="93"/>
    </row>
    <row r="584">
      <c r="A584" s="93" t="str">
        <f>IFERROR(__xludf.DUMMYFUNCTION("""COMPUTED_VALUE"""),"KIT-#17173")</f>
        <v>KIT-#17173</v>
      </c>
      <c r="B584" s="94">
        <f>IFERROR(__xludf.DUMMYFUNCTION("""COMPUTED_VALUE"""),46149.0)</f>
        <v>46149</v>
      </c>
      <c r="C584" s="93" t="str">
        <f>IFERROR(__xludf.DUMMYFUNCTION("""COMPUTED_VALUE"""),"Kit Delivery")</f>
        <v>Kit Delivery</v>
      </c>
      <c r="D584" s="93">
        <f>IFERROR(__xludf.DUMMYFUNCTION("""COMPUTED_VALUE"""),1.0)</f>
        <v>1</v>
      </c>
      <c r="E584" s="93" t="str">
        <f>IFERROR(__xludf.DUMMYFUNCTION("""COMPUTED_VALUE"""),"Nemerov")</f>
        <v>Nemerov</v>
      </c>
      <c r="F584" s="93">
        <f>IFERROR(__xludf.DUMMYFUNCTION("""COMPUTED_VALUE"""),3024.0)</f>
        <v>3024</v>
      </c>
      <c r="G584" s="93" t="str">
        <f>IFERROR(__xludf.DUMMYFUNCTION("""COMPUTED_VALUE"""),"Mia Stonov")</f>
        <v>Mia Stonov</v>
      </c>
      <c r="H584" s="93">
        <f>IFERROR(__xludf.DUMMYFUNCTION("""COMPUTED_VALUE"""),8.474719752E9)</f>
        <v>8474719752</v>
      </c>
      <c r="I584" s="93" t="str">
        <f>IFERROR(__xludf.DUMMYFUNCTION("""COMPUTED_VALUE"""),"9AM-11AM")</f>
        <v>9AM-11AM</v>
      </c>
      <c r="J584" s="93">
        <f>IFERROR(__xludf.DUMMYFUNCTION("""COMPUTED_VALUE"""),1.0)</f>
        <v>1</v>
      </c>
      <c r="K584" s="93" t="str">
        <f>IFERROR(__xludf.DUMMYFUNCTION("""COMPUTED_VALUE"""),"Complete")</f>
        <v>Complete</v>
      </c>
      <c r="L584" s="93"/>
      <c r="M584" s="94">
        <f>IFERROR(__xludf.DUMMYFUNCTION("""COMPUTED_VALUE"""),46130.40592592592)</f>
        <v>46130.40593</v>
      </c>
      <c r="N584" s="93">
        <f>IFERROR(__xludf.DUMMYFUNCTION("""COMPUTED_VALUE"""),135.0)</f>
        <v>135</v>
      </c>
      <c r="O584" s="93"/>
      <c r="P584" s="93" t="str">
        <f>IFERROR(__xludf.DUMMYFUNCTION("""COMPUTED_VALUE"""),"Kit Delivery")</f>
        <v>Kit Delivery</v>
      </c>
      <c r="Q584" s="93"/>
      <c r="R584" s="93"/>
      <c r="S584" s="93" t="str">
        <f>IFERROR(__xludf.DUMMYFUNCTION("""COMPUTED_VALUE"""),"Dispatch_Images/KIT--17173.Photos.144429.jpg")</f>
        <v>Dispatch_Images/KIT--17173.Photos.144429.jpg</v>
      </c>
      <c r="T584" s="95">
        <f>IFERROR(__xludf.DUMMYFUNCTION("""COMPUTED_VALUE"""),46130.411828703705)</f>
        <v>46130.41183</v>
      </c>
      <c r="U584" s="93"/>
      <c r="V584" s="93"/>
      <c r="W584" s="93"/>
      <c r="X584" s="93"/>
      <c r="Y584" s="93"/>
      <c r="Z584" s="93"/>
    </row>
    <row r="585">
      <c r="A585" s="93" t="str">
        <f>IFERROR(__xludf.DUMMYFUNCTION("""COMPUTED_VALUE"""),"KIT-#17475")</f>
        <v>KIT-#17475</v>
      </c>
      <c r="B585" s="94">
        <f>IFERROR(__xludf.DUMMYFUNCTION("""COMPUTED_VALUE"""),46149.0)</f>
        <v>46149</v>
      </c>
      <c r="C585" s="93" t="str">
        <f>IFERROR(__xludf.DUMMYFUNCTION("""COMPUTED_VALUE"""),"Kit Delivery")</f>
        <v>Kit Delivery</v>
      </c>
      <c r="D585" s="93">
        <f>IFERROR(__xludf.DUMMYFUNCTION("""COMPUTED_VALUE"""),1.0)</f>
        <v>1</v>
      </c>
      <c r="E585" s="93" t="str">
        <f>IFERROR(__xludf.DUMMYFUNCTION("""COMPUTED_VALUE"""),"Nemerov")</f>
        <v>Nemerov</v>
      </c>
      <c r="F585" s="93">
        <f>IFERROR(__xludf.DUMMYFUNCTION("""COMPUTED_VALUE"""),4073.0)</f>
        <v>4073</v>
      </c>
      <c r="G585" s="93" t="str">
        <f>IFERROR(__xludf.DUMMYFUNCTION("""COMPUTED_VALUE"""),"Aaron Hockstein")</f>
        <v>Aaron Hockstein</v>
      </c>
      <c r="H585" s="93">
        <f>IFERROR(__xludf.DUMMYFUNCTION("""COMPUTED_VALUE"""),3.025881466E9)</f>
        <v>3025881466</v>
      </c>
      <c r="I585" s="93" t="str">
        <f>IFERROR(__xludf.DUMMYFUNCTION("""COMPUTED_VALUE"""),"9AM-11AM")</f>
        <v>9AM-11AM</v>
      </c>
      <c r="J585" s="93">
        <f>IFERROR(__xludf.DUMMYFUNCTION("""COMPUTED_VALUE"""),1.0)</f>
        <v>1</v>
      </c>
      <c r="K585" s="93" t="str">
        <f>IFERROR(__xludf.DUMMYFUNCTION("""COMPUTED_VALUE"""),"Complete")</f>
        <v>Complete</v>
      </c>
      <c r="L585" s="93"/>
      <c r="M585" s="94">
        <f>IFERROR(__xludf.DUMMYFUNCTION("""COMPUTED_VALUE"""),46130.4065625)</f>
        <v>46130.40656</v>
      </c>
      <c r="N585" s="93">
        <f>IFERROR(__xludf.DUMMYFUNCTION("""COMPUTED_VALUE"""),139.0)</f>
        <v>139</v>
      </c>
      <c r="O585" s="93"/>
      <c r="P585" s="93" t="str">
        <f>IFERROR(__xludf.DUMMYFUNCTION("""COMPUTED_VALUE"""),"Kit Delivery")</f>
        <v>Kit Delivery</v>
      </c>
      <c r="Q585" s="93"/>
      <c r="R585" s="93"/>
      <c r="S585" s="93" t="str">
        <f>IFERROR(__xludf.DUMMYFUNCTION("""COMPUTED_VALUE"""),"Dispatch_Images/KIT--17475.Photos.144524.jpg")</f>
        <v>Dispatch_Images/KIT--17475.Photos.144524.jpg</v>
      </c>
      <c r="T585" s="95">
        <f>IFERROR(__xludf.DUMMYFUNCTION("""COMPUTED_VALUE"""),46130.411828703705)</f>
        <v>46130.41183</v>
      </c>
      <c r="U585" s="93"/>
      <c r="V585" s="93"/>
      <c r="W585" s="93"/>
      <c r="X585" s="93"/>
      <c r="Y585" s="93"/>
      <c r="Z585" s="93"/>
    </row>
    <row r="586">
      <c r="A586" s="93" t="str">
        <f>IFERROR(__xludf.DUMMYFUNCTION("""COMPUTED_VALUE"""),"KIT-#17065")</f>
        <v>KIT-#17065</v>
      </c>
      <c r="B586" s="94">
        <f>IFERROR(__xludf.DUMMYFUNCTION("""COMPUTED_VALUE"""),46149.0)</f>
        <v>46149</v>
      </c>
      <c r="C586" s="93" t="str">
        <f>IFERROR(__xludf.DUMMYFUNCTION("""COMPUTED_VALUE"""),"Kit Delivery")</f>
        <v>Kit Delivery</v>
      </c>
      <c r="D586" s="93">
        <f>IFERROR(__xludf.DUMMYFUNCTION("""COMPUTED_VALUE"""),1.0)</f>
        <v>1</v>
      </c>
      <c r="E586" s="93" t="str">
        <f>IFERROR(__xludf.DUMMYFUNCTION("""COMPUTED_VALUE"""),"Nemerov")</f>
        <v>Nemerov</v>
      </c>
      <c r="F586" s="93">
        <f>IFERROR(__xludf.DUMMYFUNCTION("""COMPUTED_VALUE"""),2092.0)</f>
        <v>2092</v>
      </c>
      <c r="G586" s="93" t="str">
        <f>IFERROR(__xludf.DUMMYFUNCTION("""COMPUTED_VALUE"""),"Hojoon Sung")</f>
        <v>Hojoon Sung</v>
      </c>
      <c r="H586" s="93">
        <f>IFERROR(__xludf.DUMMYFUNCTION("""COMPUTED_VALUE"""),4.255779063E9)</f>
        <v>4255779063</v>
      </c>
      <c r="I586" s="93" t="str">
        <f>IFERROR(__xludf.DUMMYFUNCTION("""COMPUTED_VALUE"""),"9AM-11AM")</f>
        <v>9AM-11AM</v>
      </c>
      <c r="J586" s="93">
        <f>IFERROR(__xludf.DUMMYFUNCTION("""COMPUTED_VALUE"""),1.0)</f>
        <v>1</v>
      </c>
      <c r="K586" s="93" t="str">
        <f>IFERROR(__xludf.DUMMYFUNCTION("""COMPUTED_VALUE"""),"Complete")</f>
        <v>Complete</v>
      </c>
      <c r="L586" s="93"/>
      <c r="M586" s="94">
        <f>IFERROR(__xludf.DUMMYFUNCTION("""COMPUTED_VALUE"""),46130.40851851852)</f>
        <v>46130.40852</v>
      </c>
      <c r="N586" s="93">
        <f>IFERROR(__xludf.DUMMYFUNCTION("""COMPUTED_VALUE"""),133.0)</f>
        <v>133</v>
      </c>
      <c r="O586" s="93"/>
      <c r="P586" s="93" t="str">
        <f>IFERROR(__xludf.DUMMYFUNCTION("""COMPUTED_VALUE"""),"Kit Delivery")</f>
        <v>Kit Delivery</v>
      </c>
      <c r="Q586" s="93"/>
      <c r="R586" s="93"/>
      <c r="S586" s="93" t="str">
        <f>IFERROR(__xludf.DUMMYFUNCTION("""COMPUTED_VALUE"""),"Dispatch_Images/KIT--17065.Photos.144813.jpg")</f>
        <v>Dispatch_Images/KIT--17065.Photos.144813.jpg</v>
      </c>
      <c r="T586" s="95">
        <f>IFERROR(__xludf.DUMMYFUNCTION("""COMPUTED_VALUE"""),46130.411828703705)</f>
        <v>46130.41183</v>
      </c>
      <c r="U586" s="93"/>
      <c r="V586" s="93"/>
      <c r="W586" s="93"/>
      <c r="X586" s="93"/>
      <c r="Y586" s="93"/>
      <c r="Z586" s="93"/>
    </row>
    <row r="587">
      <c r="A587" s="93" t="str">
        <f>IFERROR(__xludf.DUMMYFUNCTION("""COMPUTED_VALUE"""),"KIT-#17326")</f>
        <v>KIT-#17326</v>
      </c>
      <c r="B587" s="94">
        <f>IFERROR(__xludf.DUMMYFUNCTION("""COMPUTED_VALUE"""),46149.0)</f>
        <v>46149</v>
      </c>
      <c r="C587" s="93" t="str">
        <f>IFERROR(__xludf.DUMMYFUNCTION("""COMPUTED_VALUE"""),"Kit Delivery")</f>
        <v>Kit Delivery</v>
      </c>
      <c r="D587" s="93">
        <f>IFERROR(__xludf.DUMMYFUNCTION("""COMPUTED_VALUE"""),3.0)</f>
        <v>3</v>
      </c>
      <c r="E587" s="93" t="str">
        <f>IFERROR(__xludf.DUMMYFUNCTION("""COMPUTED_VALUE"""),"Liggett")</f>
        <v>Liggett</v>
      </c>
      <c r="F587" s="93" t="str">
        <f>IFERROR(__xludf.DUMMYFUNCTION("""COMPUTED_VALUE"""),"1182 - a")</f>
        <v>1182 - a</v>
      </c>
      <c r="G587" s="93" t="str">
        <f>IFERROR(__xludf.DUMMYFUNCTION("""COMPUTED_VALUE"""),"Katie")</f>
        <v>Katie</v>
      </c>
      <c r="H587" s="93">
        <f>IFERROR(__xludf.DUMMYFUNCTION("""COMPUTED_VALUE"""),4.153174959E9)</f>
        <v>4153174959</v>
      </c>
      <c r="I587" s="93" t="str">
        <f>IFERROR(__xludf.DUMMYFUNCTION("""COMPUTED_VALUE"""),"9AM-11AM")</f>
        <v>9AM-11AM</v>
      </c>
      <c r="J587" s="93">
        <f>IFERROR(__xludf.DUMMYFUNCTION("""COMPUTED_VALUE"""),1.0)</f>
        <v>1</v>
      </c>
      <c r="K587" s="93" t="str">
        <f>IFERROR(__xludf.DUMMYFUNCTION("""COMPUTED_VALUE"""),"Complete")</f>
        <v>Complete</v>
      </c>
      <c r="L587" s="93"/>
      <c r="M587" s="94">
        <f>IFERROR(__xludf.DUMMYFUNCTION("""COMPUTED_VALUE"""),46130.42722222222)</f>
        <v>46130.42722</v>
      </c>
      <c r="N587" s="93">
        <f>IFERROR(__xludf.DUMMYFUNCTION("""COMPUTED_VALUE"""),213.0)</f>
        <v>213</v>
      </c>
      <c r="O587" s="93"/>
      <c r="P587" s="93" t="str">
        <f>IFERROR(__xludf.DUMMYFUNCTION("""COMPUTED_VALUE"""),"Kit Delivery")</f>
        <v>Kit Delivery</v>
      </c>
      <c r="Q587" s="93"/>
      <c r="R587" s="93"/>
      <c r="S587" s="93" t="str">
        <f>IFERROR(__xludf.DUMMYFUNCTION("""COMPUTED_VALUE"""),"Dispatch_Images/KIT--17326.Photos.151509.jpg")</f>
        <v>Dispatch_Images/KIT--17326.Photos.151509.jpg</v>
      </c>
      <c r="T587" s="95">
        <f>IFERROR(__xludf.DUMMYFUNCTION("""COMPUTED_VALUE"""),46130.432662037034)</f>
        <v>46130.43266</v>
      </c>
      <c r="U587" s="93"/>
      <c r="V587" s="93"/>
      <c r="W587" s="93"/>
      <c r="X587" s="93"/>
      <c r="Y587" s="93"/>
      <c r="Z587" s="93"/>
    </row>
    <row r="588">
      <c r="A588" s="93" t="str">
        <f>IFERROR(__xludf.DUMMYFUNCTION("""COMPUTED_VALUE"""),"KIT-#17252")</f>
        <v>KIT-#17252</v>
      </c>
      <c r="B588" s="94">
        <f>IFERROR(__xludf.DUMMYFUNCTION("""COMPUTED_VALUE"""),46149.0)</f>
        <v>46149</v>
      </c>
      <c r="C588" s="93" t="str">
        <f>IFERROR(__xludf.DUMMYFUNCTION("""COMPUTED_VALUE"""),"Kit Delivery")</f>
        <v>Kit Delivery</v>
      </c>
      <c r="D588" s="93">
        <f>IFERROR(__xludf.DUMMYFUNCTION("""COMPUTED_VALUE"""),3.0)</f>
        <v>3</v>
      </c>
      <c r="E588" s="93" t="str">
        <f>IFERROR(__xludf.DUMMYFUNCTION("""COMPUTED_VALUE"""),"Koenig")</f>
        <v>Koenig</v>
      </c>
      <c r="F588" s="93">
        <f>IFERROR(__xludf.DUMMYFUNCTION("""COMPUTED_VALUE"""),4404.0)</f>
        <v>4404</v>
      </c>
      <c r="G588" s="93" t="str">
        <f>IFERROR(__xludf.DUMMYFUNCTION("""COMPUTED_VALUE"""),"Michael Son")</f>
        <v>Michael Son</v>
      </c>
      <c r="H588" s="93">
        <f>IFERROR(__xludf.DUMMYFUNCTION("""COMPUTED_VALUE"""),4.255328703E9)</f>
        <v>4255328703</v>
      </c>
      <c r="I588" s="93" t="str">
        <f>IFERROR(__xludf.DUMMYFUNCTION("""COMPUTED_VALUE"""),"9AM-11AM")</f>
        <v>9AM-11AM</v>
      </c>
      <c r="J588" s="93">
        <f>IFERROR(__xludf.DUMMYFUNCTION("""COMPUTED_VALUE"""),1.0)</f>
        <v>1</v>
      </c>
      <c r="K588" s="93" t="str">
        <f>IFERROR(__xludf.DUMMYFUNCTION("""COMPUTED_VALUE"""),"Complete")</f>
        <v>Complete</v>
      </c>
      <c r="L588" s="93"/>
      <c r="M588" s="94">
        <f>IFERROR(__xludf.DUMMYFUNCTION("""COMPUTED_VALUE"""),46130.42971064815)</f>
        <v>46130.42971</v>
      </c>
      <c r="N588" s="93">
        <f>IFERROR(__xludf.DUMMYFUNCTION("""COMPUTED_VALUE"""),210.0)</f>
        <v>210</v>
      </c>
      <c r="O588" s="93"/>
      <c r="P588" s="93" t="str">
        <f>IFERROR(__xludf.DUMMYFUNCTION("""COMPUTED_VALUE"""),"Kit Delivery")</f>
        <v>Kit Delivery</v>
      </c>
      <c r="Q588" s="93"/>
      <c r="R588" s="93"/>
      <c r="S588" s="93" t="str">
        <f>IFERROR(__xludf.DUMMYFUNCTION("""COMPUTED_VALUE"""),"Dispatch_Images/KIT--17252.Photos.151834.jpg")</f>
        <v>Dispatch_Images/KIT--17252.Photos.151834.jpg</v>
      </c>
      <c r="T588" s="95">
        <f>IFERROR(__xludf.DUMMYFUNCTION("""COMPUTED_VALUE"""),46130.432662037034)</f>
        <v>46130.43266</v>
      </c>
      <c r="U588" s="93"/>
      <c r="V588" s="93"/>
      <c r="W588" s="93"/>
      <c r="X588" s="93"/>
      <c r="Y588" s="93"/>
      <c r="Z588" s="93"/>
    </row>
    <row r="589">
      <c r="A589" s="93" t="str">
        <f>IFERROR(__xludf.DUMMYFUNCTION("""COMPUTED_VALUE"""),"KIT-#17314")</f>
        <v>KIT-#17314</v>
      </c>
      <c r="B589" s="94">
        <f>IFERROR(__xludf.DUMMYFUNCTION("""COMPUTED_VALUE"""),46149.0)</f>
        <v>46149</v>
      </c>
      <c r="C589" s="93" t="str">
        <f>IFERROR(__xludf.DUMMYFUNCTION("""COMPUTED_VALUE"""),"Kit Delivery")</f>
        <v>Kit Delivery</v>
      </c>
      <c r="D589" s="93">
        <f>IFERROR(__xludf.DUMMYFUNCTION("""COMPUTED_VALUE"""),3.0)</f>
        <v>3</v>
      </c>
      <c r="E589" s="93" t="str">
        <f>IFERROR(__xludf.DUMMYFUNCTION("""COMPUTED_VALUE"""),"Liggett")</f>
        <v>Liggett</v>
      </c>
      <c r="F589" s="93">
        <f>IFERROR(__xludf.DUMMYFUNCTION("""COMPUTED_VALUE"""),4464.0)</f>
        <v>4464</v>
      </c>
      <c r="G589" s="93" t="str">
        <f>IFERROR(__xludf.DUMMYFUNCTION("""COMPUTED_VALUE"""),"Darlene Nguyen")</f>
        <v>Darlene Nguyen</v>
      </c>
      <c r="H589" s="93">
        <f>IFERROR(__xludf.DUMMYFUNCTION("""COMPUTED_VALUE"""),9.01545952E9)</f>
        <v>9015459520</v>
      </c>
      <c r="I589" s="93" t="str">
        <f>IFERROR(__xludf.DUMMYFUNCTION("""COMPUTED_VALUE"""),"9AM-11AM")</f>
        <v>9AM-11AM</v>
      </c>
      <c r="J589" s="93">
        <f>IFERROR(__xludf.DUMMYFUNCTION("""COMPUTED_VALUE"""),1.0)</f>
        <v>1</v>
      </c>
      <c r="K589" s="93" t="str">
        <f>IFERROR(__xludf.DUMMYFUNCTION("""COMPUTED_VALUE"""),"Complete")</f>
        <v>Complete</v>
      </c>
      <c r="L589" s="93"/>
      <c r="M589" s="94">
        <f>IFERROR(__xludf.DUMMYFUNCTION("""COMPUTED_VALUE"""),46130.43445601852)</f>
        <v>46130.43446</v>
      </c>
      <c r="N589" s="93">
        <f>IFERROR(__xludf.DUMMYFUNCTION("""COMPUTED_VALUE"""),217.0)</f>
        <v>217</v>
      </c>
      <c r="O589" s="93"/>
      <c r="P589" s="93" t="str">
        <f>IFERROR(__xludf.DUMMYFUNCTION("""COMPUTED_VALUE"""),"Kit Delivery")</f>
        <v>Kit Delivery</v>
      </c>
      <c r="Q589" s="93"/>
      <c r="R589" s="93"/>
      <c r="S589" s="93" t="str">
        <f>IFERROR(__xludf.DUMMYFUNCTION("""COMPUTED_VALUE"""),"Dispatch_Images/KIT--17314.Photos.152534.jpg")</f>
        <v>Dispatch_Images/KIT--17314.Photos.152534.jpg</v>
      </c>
      <c r="T589" s="95">
        <f>IFERROR(__xludf.DUMMYFUNCTION("""COMPUTED_VALUE"""),46130.43962962963)</f>
        <v>46130.43963</v>
      </c>
      <c r="U589" s="93"/>
      <c r="V589" s="93"/>
      <c r="W589" s="93"/>
      <c r="X589" s="93"/>
      <c r="Y589" s="93"/>
      <c r="Z589" s="93"/>
    </row>
    <row r="590">
      <c r="A590" s="93" t="str">
        <f>IFERROR(__xludf.DUMMYFUNCTION("""COMPUTED_VALUE"""),"KIT-#17051")</f>
        <v>KIT-#17051</v>
      </c>
      <c r="B590" s="94">
        <f>IFERROR(__xludf.DUMMYFUNCTION("""COMPUTED_VALUE"""),46149.0)</f>
        <v>46149</v>
      </c>
      <c r="C590" s="93" t="str">
        <f>IFERROR(__xludf.DUMMYFUNCTION("""COMPUTED_VALUE"""),"Kit Delivery")</f>
        <v>Kit Delivery</v>
      </c>
      <c r="D590" s="93">
        <f>IFERROR(__xludf.DUMMYFUNCTION("""COMPUTED_VALUE"""),3.0)</f>
        <v>3</v>
      </c>
      <c r="E590" s="93" t="str">
        <f>IFERROR(__xludf.DUMMYFUNCTION("""COMPUTED_VALUE"""),"Liggett")</f>
        <v>Liggett</v>
      </c>
      <c r="F590" s="93">
        <f>IFERROR(__xludf.DUMMYFUNCTION("""COMPUTED_VALUE"""),3373.0)</f>
        <v>3373</v>
      </c>
      <c r="G590" s="93" t="str">
        <f>IFERROR(__xludf.DUMMYFUNCTION("""COMPUTED_VALUE"""),"Ben Veiel")</f>
        <v>Ben Veiel</v>
      </c>
      <c r="H590" s="93">
        <f>IFERROR(__xludf.DUMMYFUNCTION("""COMPUTED_VALUE"""),4.102586632E9)</f>
        <v>4102586632</v>
      </c>
      <c r="I590" s="93" t="str">
        <f>IFERROR(__xludf.DUMMYFUNCTION("""COMPUTED_VALUE"""),"12PM-2PM")</f>
        <v>12PM-2PM</v>
      </c>
      <c r="J590" s="93">
        <f>IFERROR(__xludf.DUMMYFUNCTION("""COMPUTED_VALUE"""),3.0)</f>
        <v>3</v>
      </c>
      <c r="K590" s="93" t="str">
        <f>IFERROR(__xludf.DUMMYFUNCTION("""COMPUTED_VALUE"""),"Complete")</f>
        <v>Complete</v>
      </c>
      <c r="L590" s="93"/>
      <c r="M590" s="94">
        <f>IFERROR(__xludf.DUMMYFUNCTION("""COMPUTED_VALUE"""),46130.442511574074)</f>
        <v>46130.44251</v>
      </c>
      <c r="N590" s="93">
        <f>IFERROR(__xludf.DUMMYFUNCTION("""COMPUTED_VALUE"""),216.0)</f>
        <v>216</v>
      </c>
      <c r="O590" s="93"/>
      <c r="P590" s="93" t="str">
        <f>IFERROR(__xludf.DUMMYFUNCTION("""COMPUTED_VALUE"""),"Kit Delivery")</f>
        <v>Kit Delivery</v>
      </c>
      <c r="Q590" s="93"/>
      <c r="R590" s="93"/>
      <c r="S590" s="93" t="str">
        <f>IFERROR(__xludf.DUMMYFUNCTION("""COMPUTED_VALUE"""),"Dispatch_Images/KIT--17051.Photos.153710.jpg")</f>
        <v>Dispatch_Images/KIT--17051.Photos.153710.jpg</v>
      </c>
      <c r="T590" s="95">
        <f>IFERROR(__xludf.DUMMYFUNCTION("""COMPUTED_VALUE"""),46130.4465625)</f>
        <v>46130.44656</v>
      </c>
      <c r="U590" s="93"/>
      <c r="V590" s="93"/>
      <c r="W590" s="93"/>
      <c r="X590" s="93"/>
      <c r="Y590" s="93"/>
      <c r="Z590" s="93"/>
    </row>
    <row r="591">
      <c r="A591" s="93" t="str">
        <f>IFERROR(__xludf.DUMMYFUNCTION("""COMPUTED_VALUE"""),"KIT-#17485")</f>
        <v>KIT-#17485</v>
      </c>
      <c r="B591" s="94">
        <f>IFERROR(__xludf.DUMMYFUNCTION("""COMPUTED_VALUE"""),46149.0)</f>
        <v>46149</v>
      </c>
      <c r="C591" s="93" t="str">
        <f>IFERROR(__xludf.DUMMYFUNCTION("""COMPUTED_VALUE"""),"Kit Delivery")</f>
        <v>Kit Delivery</v>
      </c>
      <c r="D591" s="93">
        <f>IFERROR(__xludf.DUMMYFUNCTION("""COMPUTED_VALUE"""),3.0)</f>
        <v>3</v>
      </c>
      <c r="E591" s="93" t="str">
        <f>IFERROR(__xludf.DUMMYFUNCTION("""COMPUTED_VALUE"""),"Liggett")</f>
        <v>Liggett</v>
      </c>
      <c r="F591" s="93">
        <f>IFERROR(__xludf.DUMMYFUNCTION("""COMPUTED_VALUE"""),2324.0)</f>
        <v>2324</v>
      </c>
      <c r="G591" s="93" t="str">
        <f>IFERROR(__xludf.DUMMYFUNCTION("""COMPUTED_VALUE"""),"Josh Todes")</f>
        <v>Josh Todes</v>
      </c>
      <c r="H591" s="93">
        <f>IFERROR(__xludf.DUMMYFUNCTION("""COMPUTED_VALUE"""),9.172326716E9)</f>
        <v>9172326716</v>
      </c>
      <c r="I591" s="93" t="str">
        <f>IFERROR(__xludf.DUMMYFUNCTION("""COMPUTED_VALUE"""),"9AM-11AM")</f>
        <v>9AM-11AM</v>
      </c>
      <c r="J591" s="93">
        <f>IFERROR(__xludf.DUMMYFUNCTION("""COMPUTED_VALUE"""),1.0)</f>
        <v>1</v>
      </c>
      <c r="K591" s="93" t="str">
        <f>IFERROR(__xludf.DUMMYFUNCTION("""COMPUTED_VALUE"""),"Complete")</f>
        <v>Complete</v>
      </c>
      <c r="L591" s="93"/>
      <c r="M591" s="94">
        <f>IFERROR(__xludf.DUMMYFUNCTION("""COMPUTED_VALUE"""),46130.44259259259)</f>
        <v>46130.44259</v>
      </c>
      <c r="N591" s="93">
        <f>IFERROR(__xludf.DUMMYFUNCTION("""COMPUTED_VALUE"""),215.0)</f>
        <v>215</v>
      </c>
      <c r="O591" s="93"/>
      <c r="P591" s="93" t="str">
        <f>IFERROR(__xludf.DUMMYFUNCTION("""COMPUTED_VALUE"""),"Kit Delivery")</f>
        <v>Kit Delivery</v>
      </c>
      <c r="Q591" s="93" t="str">
        <f>IFERROR(__xludf.DUMMYFUNCTION("""COMPUTED_VALUE"""),"Ligget Room 2324 is in suite 2320")</f>
        <v>Ligget Room 2324 is in suite 2320</v>
      </c>
      <c r="R591" s="93"/>
      <c r="S591" s="93" t="str">
        <f>IFERROR(__xludf.DUMMYFUNCTION("""COMPUTED_VALUE"""),"Dispatch_Images/KIT--17485.Photos.153717.jpg")</f>
        <v>Dispatch_Images/KIT--17485.Photos.153717.jpg</v>
      </c>
      <c r="T591" s="95">
        <f>IFERROR(__xludf.DUMMYFUNCTION("""COMPUTED_VALUE"""),46130.4465625)</f>
        <v>46130.44656</v>
      </c>
      <c r="U591" s="93"/>
      <c r="V591" s="93"/>
      <c r="W591" s="93"/>
      <c r="X591" s="93"/>
      <c r="Y591" s="93"/>
      <c r="Z591" s="93"/>
    </row>
    <row r="592">
      <c r="A592" s="93" t="str">
        <f>IFERROR(__xludf.DUMMYFUNCTION("""COMPUTED_VALUE"""),"KIT-#17229")</f>
        <v>KIT-#17229</v>
      </c>
      <c r="B592" s="94">
        <f>IFERROR(__xludf.DUMMYFUNCTION("""COMPUTED_VALUE"""),46149.0)</f>
        <v>46149</v>
      </c>
      <c r="C592" s="93" t="str">
        <f>IFERROR(__xludf.DUMMYFUNCTION("""COMPUTED_VALUE"""),"Kit Delivery")</f>
        <v>Kit Delivery</v>
      </c>
      <c r="D592" s="93">
        <f>IFERROR(__xludf.DUMMYFUNCTION("""COMPUTED_VALUE"""),3.0)</f>
        <v>3</v>
      </c>
      <c r="E592" s="93" t="str">
        <f>IFERROR(__xludf.DUMMYFUNCTION("""COMPUTED_VALUE"""),"Village House")</f>
        <v>Village House</v>
      </c>
      <c r="F592" s="93">
        <f>IFERROR(__xludf.DUMMYFUNCTION("""COMPUTED_VALUE"""),4031.0)</f>
        <v>4031</v>
      </c>
      <c r="G592" s="93" t="str">
        <f>IFERROR(__xludf.DUMMYFUNCTION("""COMPUTED_VALUE"""),"Becky Liu")</f>
        <v>Becky Liu</v>
      </c>
      <c r="H592" s="93">
        <f>IFERROR(__xludf.DUMMYFUNCTION("""COMPUTED_VALUE"""),7.147460017E9)</f>
        <v>7147460017</v>
      </c>
      <c r="I592" s="93" t="str">
        <f>IFERROR(__xludf.DUMMYFUNCTION("""COMPUTED_VALUE"""),"10AM-12PM")</f>
        <v>10AM-12PM</v>
      </c>
      <c r="J592" s="93">
        <f>IFERROR(__xludf.DUMMYFUNCTION("""COMPUTED_VALUE"""),1.0)</f>
        <v>1</v>
      </c>
      <c r="K592" s="93" t="str">
        <f>IFERROR(__xludf.DUMMYFUNCTION("""COMPUTED_VALUE"""),"Complete")</f>
        <v>Complete</v>
      </c>
      <c r="L592" s="93"/>
      <c r="M592" s="94">
        <f>IFERROR(__xludf.DUMMYFUNCTION("""COMPUTED_VALUE"""),46130.46236111112)</f>
        <v>46130.46236</v>
      </c>
      <c r="N592" s="93">
        <f>IFERROR(__xludf.DUMMYFUNCTION("""COMPUTED_VALUE"""),267.0)</f>
        <v>267</v>
      </c>
      <c r="O592" s="93"/>
      <c r="P592" s="93" t="str">
        <f>IFERROR(__xludf.DUMMYFUNCTION("""COMPUTED_VALUE"""),"Kit Delivery")</f>
        <v>Kit Delivery</v>
      </c>
      <c r="Q592" s="93"/>
      <c r="R592" s="93"/>
      <c r="S592" s="93" t="str">
        <f>IFERROR(__xludf.DUMMYFUNCTION("""COMPUTED_VALUE"""),"Dispatch_Images/KIT--17229.Photos.160545.jpg")</f>
        <v>Dispatch_Images/KIT--17229.Photos.160545.jpg</v>
      </c>
      <c r="T592" s="95">
        <f>IFERROR(__xludf.DUMMYFUNCTION("""COMPUTED_VALUE"""),46130.46739583334)</f>
        <v>46130.4674</v>
      </c>
      <c r="U592" s="93"/>
      <c r="V592" s="93"/>
      <c r="W592" s="93"/>
      <c r="X592" s="93"/>
      <c r="Y592" s="93"/>
      <c r="Z592" s="93"/>
    </row>
    <row r="593">
      <c r="A593" s="93" t="str">
        <f>IFERROR(__xludf.DUMMYFUNCTION("""COMPUTED_VALUE"""),"KIT-#17154")</f>
        <v>KIT-#17154</v>
      </c>
      <c r="B593" s="94">
        <f>IFERROR(__xludf.DUMMYFUNCTION("""COMPUTED_VALUE"""),46149.0)</f>
        <v>46149</v>
      </c>
      <c r="C593" s="93" t="str">
        <f>IFERROR(__xludf.DUMMYFUNCTION("""COMPUTED_VALUE"""),"Kit Delivery")</f>
        <v>Kit Delivery</v>
      </c>
      <c r="D593" s="93">
        <f>IFERROR(__xludf.DUMMYFUNCTION("""COMPUTED_VALUE"""),3.0)</f>
        <v>3</v>
      </c>
      <c r="E593" s="93" t="str">
        <f>IFERROR(__xludf.DUMMYFUNCTION("""COMPUTED_VALUE"""),"Village House")</f>
        <v>Village House</v>
      </c>
      <c r="F593" s="93">
        <f>IFERROR(__xludf.DUMMYFUNCTION("""COMPUTED_VALUE"""),3061.0)</f>
        <v>3061</v>
      </c>
      <c r="G593" s="93" t="str">
        <f>IFERROR(__xludf.DUMMYFUNCTION("""COMPUTED_VALUE"""),"Nomin Ganbold")</f>
        <v>Nomin Ganbold</v>
      </c>
      <c r="H593" s="93">
        <f>IFERROR(__xludf.DUMMYFUNCTION("""COMPUTED_VALUE"""),3.149140704E9)</f>
        <v>3149140704</v>
      </c>
      <c r="I593" s="93" t="str">
        <f>IFERROR(__xludf.DUMMYFUNCTION("""COMPUTED_VALUE"""),"9AM-11AM")</f>
        <v>9AM-11AM</v>
      </c>
      <c r="J593" s="93">
        <f>IFERROR(__xludf.DUMMYFUNCTION("""COMPUTED_VALUE"""),1.0)</f>
        <v>1</v>
      </c>
      <c r="K593" s="93" t="str">
        <f>IFERROR(__xludf.DUMMYFUNCTION("""COMPUTED_VALUE"""),"Complete")</f>
        <v>Complete</v>
      </c>
      <c r="L593" s="93"/>
      <c r="M593" s="94">
        <f>IFERROR(__xludf.DUMMYFUNCTION("""COMPUTED_VALUE"""),46130.46517361111)</f>
        <v>46130.46517</v>
      </c>
      <c r="N593" s="93">
        <f>IFERROR(__xludf.DUMMYFUNCTION("""COMPUTED_VALUE"""),265.0)</f>
        <v>265</v>
      </c>
      <c r="O593" s="93"/>
      <c r="P593" s="93" t="str">
        <f>IFERROR(__xludf.DUMMYFUNCTION("""COMPUTED_VALUE"""),"Kit Delivery")</f>
        <v>Kit Delivery</v>
      </c>
      <c r="Q593" s="93"/>
      <c r="R593" s="93"/>
      <c r="S593" s="93" t="str">
        <f>IFERROR(__xludf.DUMMYFUNCTION("""COMPUTED_VALUE"""),"Dispatch_Images/KIT--17154.Photos.160948.jpg")</f>
        <v>Dispatch_Images/KIT--17154.Photos.160948.jpg</v>
      </c>
      <c r="T593" s="95">
        <f>IFERROR(__xludf.DUMMYFUNCTION("""COMPUTED_VALUE"""),46130.46739583334)</f>
        <v>46130.4674</v>
      </c>
      <c r="U593" s="93"/>
      <c r="V593" s="93"/>
      <c r="W593" s="93"/>
      <c r="X593" s="93"/>
      <c r="Y593" s="93"/>
      <c r="Z593" s="93"/>
    </row>
    <row r="594">
      <c r="A594" s="93" t="str">
        <f>IFERROR(__xludf.DUMMYFUNCTION("""COMPUTED_VALUE"""),"KIT-#17292")</f>
        <v>KIT-#17292</v>
      </c>
      <c r="B594" s="94">
        <f>IFERROR(__xludf.DUMMYFUNCTION("""COMPUTED_VALUE"""),46149.0)</f>
        <v>46149</v>
      </c>
      <c r="C594" s="93" t="str">
        <f>IFERROR(__xludf.DUMMYFUNCTION("""COMPUTED_VALUE"""),"Kit Delivery")</f>
        <v>Kit Delivery</v>
      </c>
      <c r="D594" s="93">
        <f>IFERROR(__xludf.DUMMYFUNCTION("""COMPUTED_VALUE"""),3.0)</f>
        <v>3</v>
      </c>
      <c r="E594" s="93" t="str">
        <f>IFERROR(__xludf.DUMMYFUNCTION("""COMPUTED_VALUE"""),"Village House")</f>
        <v>Village House</v>
      </c>
      <c r="F594" s="93">
        <f>IFERROR(__xludf.DUMMYFUNCTION("""COMPUTED_VALUE"""),3094.0)</f>
        <v>3094</v>
      </c>
      <c r="G594" s="93" t="str">
        <f>IFERROR(__xludf.DUMMYFUNCTION("""COMPUTED_VALUE"""),"Minju Kang")</f>
        <v>Minju Kang</v>
      </c>
      <c r="H594" s="93">
        <f>IFERROR(__xludf.DUMMYFUNCTION("""COMPUTED_VALUE"""),3.146299959E9)</f>
        <v>3146299959</v>
      </c>
      <c r="I594" s="93" t="str">
        <f>IFERROR(__xludf.DUMMYFUNCTION("""COMPUTED_VALUE"""),"11AM-1PM")</f>
        <v>11AM-1PM</v>
      </c>
      <c r="J594" s="93">
        <f>IFERROR(__xludf.DUMMYFUNCTION("""COMPUTED_VALUE"""),2.0)</f>
        <v>2</v>
      </c>
      <c r="K594" s="93" t="str">
        <f>IFERROR(__xludf.DUMMYFUNCTION("""COMPUTED_VALUE"""),"Complete")</f>
        <v>Complete</v>
      </c>
      <c r="L594" s="93"/>
      <c r="M594" s="94">
        <f>IFERROR(__xludf.DUMMYFUNCTION("""COMPUTED_VALUE"""),46130.46564814815)</f>
        <v>46130.46565</v>
      </c>
      <c r="N594" s="93">
        <f>IFERROR(__xludf.DUMMYFUNCTION("""COMPUTED_VALUE"""),266.0)</f>
        <v>266</v>
      </c>
      <c r="O594" s="93"/>
      <c r="P594" s="93" t="str">
        <f>IFERROR(__xludf.DUMMYFUNCTION("""COMPUTED_VALUE"""),"Kit Delivery")</f>
        <v>Kit Delivery</v>
      </c>
      <c r="Q594" s="93"/>
      <c r="R594" s="93"/>
      <c r="S594" s="93" t="str">
        <f>IFERROR(__xludf.DUMMYFUNCTION("""COMPUTED_VALUE"""),"Dispatch_Images/KIT--17292.Photos.161028.jpg")</f>
        <v>Dispatch_Images/KIT--17292.Photos.161028.jpg</v>
      </c>
      <c r="T594" s="95">
        <f>IFERROR(__xludf.DUMMYFUNCTION("""COMPUTED_VALUE"""),46130.46739583334)</f>
        <v>46130.4674</v>
      </c>
      <c r="U594" s="93"/>
      <c r="V594" s="93"/>
      <c r="W594" s="93"/>
      <c r="X594" s="93"/>
      <c r="Y594" s="93"/>
      <c r="Z594" s="93"/>
    </row>
    <row r="595">
      <c r="A595" s="93" t="str">
        <f>IFERROR(__xludf.DUMMYFUNCTION("""COMPUTED_VALUE"""),"KIT-#17531")</f>
        <v>KIT-#17531</v>
      </c>
      <c r="B595" s="94">
        <f>IFERROR(__xludf.DUMMYFUNCTION("""COMPUTED_VALUE"""),46149.0)</f>
        <v>46149</v>
      </c>
      <c r="C595" s="93" t="str">
        <f>IFERROR(__xludf.DUMMYFUNCTION("""COMPUTED_VALUE"""),"Kit Delivery")</f>
        <v>Kit Delivery</v>
      </c>
      <c r="D595" s="93">
        <f>IFERROR(__xludf.DUMMYFUNCTION("""COMPUTED_VALUE"""),3.0)</f>
        <v>3</v>
      </c>
      <c r="E595" s="93" t="str">
        <f>IFERROR(__xludf.DUMMYFUNCTION("""COMPUTED_VALUE"""),"Village House")</f>
        <v>Village House</v>
      </c>
      <c r="F595" s="93" t="str">
        <f>IFERROR(__xludf.DUMMYFUNCTION("""COMPUTED_VALUE"""),"2081-a")</f>
        <v>2081-a</v>
      </c>
      <c r="G595" s="93" t="str">
        <f>IFERROR(__xludf.DUMMYFUNCTION("""COMPUTED_VALUE"""),"Eleanor Palmer")</f>
        <v>Eleanor Palmer</v>
      </c>
      <c r="H595" s="93">
        <f>IFERROR(__xludf.DUMMYFUNCTION("""COMPUTED_VALUE"""),6.502697346E9)</f>
        <v>6502697346</v>
      </c>
      <c r="I595" s="93" t="str">
        <f>IFERROR(__xludf.DUMMYFUNCTION("""COMPUTED_VALUE"""),"9AM-11AM")</f>
        <v>9AM-11AM</v>
      </c>
      <c r="J595" s="93">
        <f>IFERROR(__xludf.DUMMYFUNCTION("""COMPUTED_VALUE"""),1.0)</f>
        <v>1</v>
      </c>
      <c r="K595" s="93" t="str">
        <f>IFERROR(__xludf.DUMMYFUNCTION("""COMPUTED_VALUE"""),"Complete")</f>
        <v>Complete</v>
      </c>
      <c r="L595" s="93"/>
      <c r="M595" s="94">
        <f>IFERROR(__xludf.DUMMYFUNCTION("""COMPUTED_VALUE"""),46130.46642361111)</f>
        <v>46130.46642</v>
      </c>
      <c r="N595" s="93">
        <f>IFERROR(__xludf.DUMMYFUNCTION("""COMPUTED_VALUE"""),260.0)</f>
        <v>260</v>
      </c>
      <c r="O595" s="93"/>
      <c r="P595" s="93" t="str">
        <f>IFERROR(__xludf.DUMMYFUNCTION("""COMPUTED_VALUE"""),"Kit Delivery")</f>
        <v>Kit Delivery</v>
      </c>
      <c r="Q595" s="93"/>
      <c r="R595" s="93"/>
      <c r="S595" s="93" t="str">
        <f>IFERROR(__xludf.DUMMYFUNCTION("""COMPUTED_VALUE"""),"Dispatch_Images/KIT--17531.Photos.161135.jpg")</f>
        <v>Dispatch_Images/KIT--17531.Photos.161135.jpg</v>
      </c>
      <c r="T595" s="95">
        <f>IFERROR(__xludf.DUMMYFUNCTION("""COMPUTED_VALUE"""),46130.46739583334)</f>
        <v>46130.4674</v>
      </c>
      <c r="U595" s="93"/>
      <c r="V595" s="93"/>
      <c r="W595" s="93"/>
      <c r="X595" s="93"/>
      <c r="Y595" s="93"/>
      <c r="Z595" s="93"/>
    </row>
    <row r="596">
      <c r="A596" s="93" t="str">
        <f>IFERROR(__xludf.DUMMYFUNCTION("""COMPUTED_VALUE"""),"KIT-#16825")</f>
        <v>KIT-#16825</v>
      </c>
      <c r="B596" s="94">
        <f>IFERROR(__xludf.DUMMYFUNCTION("""COMPUTED_VALUE"""),46149.0)</f>
        <v>46149</v>
      </c>
      <c r="C596" s="93" t="str">
        <f>IFERROR(__xludf.DUMMYFUNCTION("""COMPUTED_VALUE"""),"Kit Delivery")</f>
        <v>Kit Delivery</v>
      </c>
      <c r="D596" s="93">
        <f>IFERROR(__xludf.DUMMYFUNCTION("""COMPUTED_VALUE"""),3.0)</f>
        <v>3</v>
      </c>
      <c r="E596" s="93" t="str">
        <f>IFERROR(__xludf.DUMMYFUNCTION("""COMPUTED_VALUE"""),"Village House")</f>
        <v>Village House</v>
      </c>
      <c r="F596" s="93">
        <f>IFERROR(__xludf.DUMMYFUNCTION("""COMPUTED_VALUE"""),3012.0)</f>
        <v>3012</v>
      </c>
      <c r="G596" s="93" t="str">
        <f>IFERROR(__xludf.DUMMYFUNCTION("""COMPUTED_VALUE"""),"Christopher Aung")</f>
        <v>Christopher Aung</v>
      </c>
      <c r="H596" s="93">
        <f>IFERROR(__xludf.DUMMYFUNCTION("""COMPUTED_VALUE"""),5.125527826E9)</f>
        <v>5125527826</v>
      </c>
      <c r="I596" s="93" t="str">
        <f>IFERROR(__xludf.DUMMYFUNCTION("""COMPUTED_VALUE"""),"3PM-5PM")</f>
        <v>3PM-5PM</v>
      </c>
      <c r="J596" s="93">
        <f>IFERROR(__xludf.DUMMYFUNCTION("""COMPUTED_VALUE"""),1.0)</f>
        <v>1</v>
      </c>
      <c r="K596" s="93" t="str">
        <f>IFERROR(__xludf.DUMMYFUNCTION("""COMPUTED_VALUE"""),"Complete")</f>
        <v>Complete</v>
      </c>
      <c r="L596" s="93"/>
      <c r="M596" s="94">
        <f>IFERROR(__xludf.DUMMYFUNCTION("""COMPUTED_VALUE"""),46130.46672453704)</f>
        <v>46130.46672</v>
      </c>
      <c r="N596" s="93">
        <f>IFERROR(__xludf.DUMMYFUNCTION("""COMPUTED_VALUE"""),263.0)</f>
        <v>263</v>
      </c>
      <c r="O596" s="93"/>
      <c r="P596" s="93" t="str">
        <f>IFERROR(__xludf.DUMMYFUNCTION("""COMPUTED_VALUE"""),"Kit Delivery")</f>
        <v>Kit Delivery</v>
      </c>
      <c r="Q596" s="93"/>
      <c r="R596" s="93"/>
      <c r="S596" s="93" t="str">
        <f>IFERROR(__xludf.DUMMYFUNCTION("""COMPUTED_VALUE"""),"Dispatch_Images/KIT--16825.Photos.161202.jpg")</f>
        <v>Dispatch_Images/KIT--16825.Photos.161202.jpg</v>
      </c>
      <c r="T596" s="95">
        <f>IFERROR(__xludf.DUMMYFUNCTION("""COMPUTED_VALUE"""),46130.46739583334)</f>
        <v>46130.4674</v>
      </c>
      <c r="U596" s="93"/>
      <c r="V596" s="93"/>
      <c r="W596" s="93"/>
      <c r="X596" s="93"/>
      <c r="Y596" s="93"/>
      <c r="Z596" s="93"/>
    </row>
    <row r="597">
      <c r="A597" s="93" t="str">
        <f>IFERROR(__xludf.DUMMYFUNCTION("""COMPUTED_VALUE"""),"KIT-#17451")</f>
        <v>KIT-#17451</v>
      </c>
      <c r="B597" s="94">
        <f>IFERROR(__xludf.DUMMYFUNCTION("""COMPUTED_VALUE"""),46149.0)</f>
        <v>46149</v>
      </c>
      <c r="C597" s="93" t="str">
        <f>IFERROR(__xludf.DUMMYFUNCTION("""COMPUTED_VALUE"""),"Kit Delivery")</f>
        <v>Kit Delivery</v>
      </c>
      <c r="D597" s="93">
        <f>IFERROR(__xludf.DUMMYFUNCTION("""COMPUTED_VALUE"""),3.0)</f>
        <v>3</v>
      </c>
      <c r="E597" s="93" t="str">
        <f>IFERROR(__xludf.DUMMYFUNCTION("""COMPUTED_VALUE"""),"Village House")</f>
        <v>Village House</v>
      </c>
      <c r="F597" s="93" t="str">
        <f>IFERROR(__xludf.DUMMYFUNCTION("""COMPUTED_VALUE"""),"3013 a")</f>
        <v>3013 a</v>
      </c>
      <c r="G597" s="93" t="str">
        <f>IFERROR(__xludf.DUMMYFUNCTION("""COMPUTED_VALUE"""),"John Waldo")</f>
        <v>John Waldo</v>
      </c>
      <c r="H597" s="93">
        <f>IFERROR(__xludf.DUMMYFUNCTION("""COMPUTED_VALUE"""),6.305612081E9)</f>
        <v>6305612081</v>
      </c>
      <c r="I597" s="93" t="str">
        <f>IFERROR(__xludf.DUMMYFUNCTION("""COMPUTED_VALUE"""),"9AM-11AM")</f>
        <v>9AM-11AM</v>
      </c>
      <c r="J597" s="93">
        <f>IFERROR(__xludf.DUMMYFUNCTION("""COMPUTED_VALUE"""),1.0)</f>
        <v>1</v>
      </c>
      <c r="K597" s="93" t="str">
        <f>IFERROR(__xludf.DUMMYFUNCTION("""COMPUTED_VALUE"""),"Complete")</f>
        <v>Complete</v>
      </c>
      <c r="L597" s="93"/>
      <c r="M597" s="94">
        <f>IFERROR(__xludf.DUMMYFUNCTION("""COMPUTED_VALUE"""),46130.46681712963)</f>
        <v>46130.46682</v>
      </c>
      <c r="N597" s="93">
        <f>IFERROR(__xludf.DUMMYFUNCTION("""COMPUTED_VALUE"""),264.0)</f>
        <v>264</v>
      </c>
      <c r="O597" s="93"/>
      <c r="P597" s="93" t="str">
        <f>IFERROR(__xludf.DUMMYFUNCTION("""COMPUTED_VALUE"""),"Kit Delivery")</f>
        <v>Kit Delivery</v>
      </c>
      <c r="Q597" s="93" t="str">
        <f>IFERROR(__xludf.DUMMYFUNCTION("""COMPUTED_VALUE"""),"Will vacate room on 5/6; will not be present for pickup.")</f>
        <v>Will vacate room on 5/6; will not be present for pickup.</v>
      </c>
      <c r="R597" s="93"/>
      <c r="S597" s="93" t="str">
        <f>IFERROR(__xludf.DUMMYFUNCTION("""COMPUTED_VALUE"""),"Dispatch_Images/KIT--17451.Photos.161210.jpg")</f>
        <v>Dispatch_Images/KIT--17451.Photos.161210.jpg</v>
      </c>
      <c r="T597" s="95">
        <f>IFERROR(__xludf.DUMMYFUNCTION("""COMPUTED_VALUE"""),46130.46739583334)</f>
        <v>46130.4674</v>
      </c>
      <c r="U597" s="93"/>
      <c r="V597" s="93"/>
      <c r="W597" s="93"/>
      <c r="X597" s="93"/>
      <c r="Y597" s="93"/>
      <c r="Z597" s="93"/>
    </row>
    <row r="598">
      <c r="A598" s="93" t="str">
        <f>IFERROR(__xludf.DUMMYFUNCTION("""COMPUTED_VALUE"""),"KIT-#17550")</f>
        <v>KIT-#17550</v>
      </c>
      <c r="B598" s="94">
        <f>IFERROR(__xludf.DUMMYFUNCTION("""COMPUTED_VALUE"""),46149.0)</f>
        <v>46149</v>
      </c>
      <c r="C598" s="93" t="str">
        <f>IFERROR(__xludf.DUMMYFUNCTION("""COMPUTED_VALUE"""),"Kit Delivery")</f>
        <v>Kit Delivery</v>
      </c>
      <c r="D598" s="93">
        <f>IFERROR(__xludf.DUMMYFUNCTION("""COMPUTED_VALUE"""),3.0)</f>
        <v>3</v>
      </c>
      <c r="E598" s="93" t="str">
        <f>IFERROR(__xludf.DUMMYFUNCTION("""COMPUTED_VALUE"""),"Village House")</f>
        <v>Village House</v>
      </c>
      <c r="F598" s="93">
        <f>IFERROR(__xludf.DUMMYFUNCTION("""COMPUTED_VALUE"""),2073.0)</f>
        <v>2073</v>
      </c>
      <c r="G598" s="93" t="str">
        <f>IFERROR(__xludf.DUMMYFUNCTION("""COMPUTED_VALUE"""),"David Carnes")</f>
        <v>David Carnes</v>
      </c>
      <c r="H598" s="93">
        <f>IFERROR(__xludf.DUMMYFUNCTION("""COMPUTED_VALUE"""),8.472263131E9)</f>
        <v>8472263131</v>
      </c>
      <c r="I598" s="93" t="str">
        <f>IFERROR(__xludf.DUMMYFUNCTION("""COMPUTED_VALUE"""),"11AM-1PM")</f>
        <v>11AM-1PM</v>
      </c>
      <c r="J598" s="93">
        <f>IFERROR(__xludf.DUMMYFUNCTION("""COMPUTED_VALUE"""),2.0)</f>
        <v>2</v>
      </c>
      <c r="K598" s="93" t="str">
        <f>IFERROR(__xludf.DUMMYFUNCTION("""COMPUTED_VALUE"""),"Complete")</f>
        <v>Complete</v>
      </c>
      <c r="L598" s="93"/>
      <c r="M598" s="94">
        <f>IFERROR(__xludf.DUMMYFUNCTION("""COMPUTED_VALUE"""),46130.46704861111)</f>
        <v>46130.46705</v>
      </c>
      <c r="N598" s="93">
        <f>IFERROR(__xludf.DUMMYFUNCTION("""COMPUTED_VALUE"""),259.0)</f>
        <v>259</v>
      </c>
      <c r="O598" s="93"/>
      <c r="P598" s="93" t="str">
        <f>IFERROR(__xludf.DUMMYFUNCTION("""COMPUTED_VALUE"""),"Kit Delivery")</f>
        <v>Kit Delivery</v>
      </c>
      <c r="Q598" s="93"/>
      <c r="R598" s="93"/>
      <c r="S598" s="93" t="str">
        <f>IFERROR(__xludf.DUMMYFUNCTION("""COMPUTED_VALUE"""),"Dispatch_Images/KIT--17550.Photos.161230.jpg")</f>
        <v>Dispatch_Images/KIT--17550.Photos.161230.jpg</v>
      </c>
      <c r="T598" s="95">
        <f>IFERROR(__xludf.DUMMYFUNCTION("""COMPUTED_VALUE"""),46130.46739583334)</f>
        <v>46130.4674</v>
      </c>
      <c r="U598" s="93"/>
      <c r="V598" s="93"/>
      <c r="W598" s="93"/>
      <c r="X598" s="93"/>
      <c r="Y598" s="93"/>
      <c r="Z598" s="93"/>
    </row>
    <row r="599">
      <c r="A599" s="93" t="str">
        <f>IFERROR(__xludf.DUMMYFUNCTION("""COMPUTED_VALUE"""),"KIT-#17574")</f>
        <v>KIT-#17574</v>
      </c>
      <c r="B599" s="94">
        <f>IFERROR(__xludf.DUMMYFUNCTION("""COMPUTED_VALUE"""),46149.0)</f>
        <v>46149</v>
      </c>
      <c r="C599" s="93" t="str">
        <f>IFERROR(__xludf.DUMMYFUNCTION("""COMPUTED_VALUE"""),"Kit Delivery")</f>
        <v>Kit Delivery</v>
      </c>
      <c r="D599" s="93">
        <f>IFERROR(__xludf.DUMMYFUNCTION("""COMPUTED_VALUE"""),2.0)</f>
        <v>2</v>
      </c>
      <c r="E599" s="93" t="str">
        <f>IFERROR(__xludf.DUMMYFUNCTION("""COMPUTED_VALUE"""),"Park")</f>
        <v>Park</v>
      </c>
      <c r="F599" s="93">
        <f>IFERROR(__xludf.DUMMYFUNCTION("""COMPUTED_VALUE"""),332.0)</f>
        <v>332</v>
      </c>
      <c r="G599" s="93" t="str">
        <f>IFERROR(__xludf.DUMMYFUNCTION("""COMPUTED_VALUE"""),"Jin Chen")</f>
        <v>Jin Chen</v>
      </c>
      <c r="H599" s="93">
        <f>IFERROR(__xludf.DUMMYFUNCTION("""COMPUTED_VALUE"""),6.045519618E9)</f>
        <v>6045519618</v>
      </c>
      <c r="I599" s="93" t="str">
        <f>IFERROR(__xludf.DUMMYFUNCTION("""COMPUTED_VALUE"""),"10AM-12PM")</f>
        <v>10AM-12PM</v>
      </c>
      <c r="J599" s="93">
        <f>IFERROR(__xludf.DUMMYFUNCTION("""COMPUTED_VALUE"""),1.0)</f>
        <v>1</v>
      </c>
      <c r="K599" s="93" t="str">
        <f>IFERROR(__xludf.DUMMYFUNCTION("""COMPUTED_VALUE"""),"Complete")</f>
        <v>Complete</v>
      </c>
      <c r="L599" s="93"/>
      <c r="M599" s="94">
        <f>IFERROR(__xludf.DUMMYFUNCTION("""COMPUTED_VALUE"""),46134.71234953703)</f>
        <v>46134.71235</v>
      </c>
      <c r="N599" s="93">
        <f>IFERROR(__xludf.DUMMYFUNCTION("""COMPUTED_VALUE"""),75.0)</f>
        <v>75</v>
      </c>
      <c r="O599" s="93"/>
      <c r="P599" s="93" t="str">
        <f>IFERROR(__xludf.DUMMYFUNCTION("""COMPUTED_VALUE"""),"Kit Delivery")</f>
        <v>Kit Delivery</v>
      </c>
      <c r="Q599" s="93"/>
      <c r="R599" s="93"/>
      <c r="S599" s="93" t="str">
        <f>IFERROR(__xludf.DUMMYFUNCTION("""COMPUTED_VALUE"""),"Dispatch_Images/KIT--17574.Photos.220542.jpg")</f>
        <v>Dispatch_Images/KIT--17574.Photos.220542.jpg</v>
      </c>
      <c r="T599" s="95">
        <f>IFERROR(__xludf.DUMMYFUNCTION("""COMPUTED_VALUE"""),46134.71739583334)</f>
        <v>46134.7174</v>
      </c>
      <c r="U599" s="93"/>
      <c r="V599" s="93"/>
      <c r="W599" s="93"/>
      <c r="X599" s="93"/>
      <c r="Y599" s="93"/>
      <c r="Z599" s="93"/>
    </row>
    <row r="600">
      <c r="A600" s="93" t="str">
        <f>IFERROR(__xludf.DUMMYFUNCTION("""COMPUTED_VALUE"""),"KIT-#16841")</f>
        <v>KIT-#16841</v>
      </c>
      <c r="B600" s="94">
        <f>IFERROR(__xludf.DUMMYFUNCTION("""COMPUTED_VALUE"""),46149.0)</f>
        <v>46149</v>
      </c>
      <c r="C600" s="93" t="str">
        <f>IFERROR(__xludf.DUMMYFUNCTION("""COMPUTED_VALUE"""),"Kit Delivery")</f>
        <v>Kit Delivery</v>
      </c>
      <c r="D600" s="93">
        <f>IFERROR(__xludf.DUMMYFUNCTION("""COMPUTED_VALUE"""),2.0)</f>
        <v>2</v>
      </c>
      <c r="E600" s="93" t="str">
        <f>IFERROR(__xludf.DUMMYFUNCTION("""COMPUTED_VALUE"""),"Park")</f>
        <v>Park</v>
      </c>
      <c r="F600" s="93">
        <f>IFERROR(__xludf.DUMMYFUNCTION("""COMPUTED_VALUE"""),341.0)</f>
        <v>341</v>
      </c>
      <c r="G600" s="93" t="str">
        <f>IFERROR(__xludf.DUMMYFUNCTION("""COMPUTED_VALUE"""),"Willow Vogel")</f>
        <v>Willow Vogel</v>
      </c>
      <c r="H600" s="93">
        <f>IFERROR(__xludf.DUMMYFUNCTION("""COMPUTED_VALUE"""),8.014145532E9)</f>
        <v>8014145532</v>
      </c>
      <c r="I600" s="93" t="str">
        <f>IFERROR(__xludf.DUMMYFUNCTION("""COMPUTED_VALUE"""),"3PM-5PM")</f>
        <v>3PM-5PM</v>
      </c>
      <c r="J600" s="93">
        <f>IFERROR(__xludf.DUMMYFUNCTION("""COMPUTED_VALUE"""),1.0)</f>
        <v>1</v>
      </c>
      <c r="K600" s="93" t="str">
        <f>IFERROR(__xludf.DUMMYFUNCTION("""COMPUTED_VALUE"""),"Complete")</f>
        <v>Complete</v>
      </c>
      <c r="L600" s="93"/>
      <c r="M600" s="94">
        <f>IFERROR(__xludf.DUMMYFUNCTION("""COMPUTED_VALUE"""),46134.71359953703)</f>
        <v>46134.7136</v>
      </c>
      <c r="N600" s="93">
        <f>IFERROR(__xludf.DUMMYFUNCTION("""COMPUTED_VALUE"""),76.0)</f>
        <v>76</v>
      </c>
      <c r="O600" s="93"/>
      <c r="P600" s="93" t="str">
        <f>IFERROR(__xludf.DUMMYFUNCTION("""COMPUTED_VALUE"""),"Kit Delivery")</f>
        <v>Kit Delivery</v>
      </c>
      <c r="Q600" s="93"/>
      <c r="R600" s="93"/>
      <c r="S600" s="93" t="str">
        <f>IFERROR(__xludf.DUMMYFUNCTION("""COMPUTED_VALUE"""),"Dispatch_Images/KIT--16841.Photos.220731.jpg")</f>
        <v>Dispatch_Images/KIT--16841.Photos.220731.jpg</v>
      </c>
      <c r="T600" s="95">
        <f>IFERROR(__xludf.DUMMYFUNCTION("""COMPUTED_VALUE"""),46134.71739583334)</f>
        <v>46134.7174</v>
      </c>
      <c r="U600" s="93"/>
      <c r="V600" s="93"/>
      <c r="W600" s="93"/>
      <c r="X600" s="93"/>
      <c r="Y600" s="93"/>
      <c r="Z600" s="93"/>
    </row>
    <row r="601">
      <c r="A601" s="93" t="str">
        <f>IFERROR(__xludf.DUMMYFUNCTION("""COMPUTED_VALUE"""),"KIT-#17380")</f>
        <v>KIT-#17380</v>
      </c>
      <c r="B601" s="94">
        <f>IFERROR(__xludf.DUMMYFUNCTION("""COMPUTED_VALUE"""),46149.0)</f>
        <v>46149</v>
      </c>
      <c r="C601" s="93" t="str">
        <f>IFERROR(__xludf.DUMMYFUNCTION("""COMPUTED_VALUE"""),"Kit Delivery")</f>
        <v>Kit Delivery</v>
      </c>
      <c r="D601" s="93">
        <f>IFERROR(__xludf.DUMMYFUNCTION("""COMPUTED_VALUE"""),2.0)</f>
        <v>2</v>
      </c>
      <c r="E601" s="93" t="str">
        <f>IFERROR(__xludf.DUMMYFUNCTION("""COMPUTED_VALUE"""),"Park")</f>
        <v>Park</v>
      </c>
      <c r="F601" s="93" t="str">
        <f>IFERROR(__xludf.DUMMYFUNCTION("""COMPUTED_VALUE"""),"372a")</f>
        <v>372a</v>
      </c>
      <c r="G601" s="93" t="str">
        <f>IFERROR(__xludf.DUMMYFUNCTION("""COMPUTED_VALUE"""),"Juliette Goodstein")</f>
        <v>Juliette Goodstein</v>
      </c>
      <c r="H601" s="93">
        <f>IFERROR(__xludf.DUMMYFUNCTION("""COMPUTED_VALUE"""),9.179212278E9)</f>
        <v>9179212278</v>
      </c>
      <c r="I601" s="93" t="str">
        <f>IFERROR(__xludf.DUMMYFUNCTION("""COMPUTED_VALUE"""),"3PM-5PM")</f>
        <v>3PM-5PM</v>
      </c>
      <c r="J601" s="93">
        <f>IFERROR(__xludf.DUMMYFUNCTION("""COMPUTED_VALUE"""),1.0)</f>
        <v>1</v>
      </c>
      <c r="K601" s="93" t="str">
        <f>IFERROR(__xludf.DUMMYFUNCTION("""COMPUTED_VALUE"""),"Complete")</f>
        <v>Complete</v>
      </c>
      <c r="L601" s="93"/>
      <c r="M601" s="94">
        <f>IFERROR(__xludf.DUMMYFUNCTION("""COMPUTED_VALUE"""),46134.715370370366)</f>
        <v>46134.71537</v>
      </c>
      <c r="N601" s="93">
        <f>IFERROR(__xludf.DUMMYFUNCTION("""COMPUTED_VALUE"""),78.0)</f>
        <v>78</v>
      </c>
      <c r="O601" s="93"/>
      <c r="P601" s="93" t="str">
        <f>IFERROR(__xludf.DUMMYFUNCTION("""COMPUTED_VALUE"""),"Kit Delivery")</f>
        <v>Kit Delivery</v>
      </c>
      <c r="Q601" s="93" t="str">
        <f>IFERROR(__xludf.DUMMYFUNCTION("""COMPUTED_VALUE"""),"fall 2026 housing Zetcher house 2101a")</f>
        <v>fall 2026 housing Zetcher house 2101a</v>
      </c>
      <c r="R601" s="93"/>
      <c r="S601" s="93" t="str">
        <f>IFERROR(__xludf.DUMMYFUNCTION("""COMPUTED_VALUE"""),"Dispatch_Images/KIT--17380.Photos.221004.jpg")</f>
        <v>Dispatch_Images/KIT--17380.Photos.221004.jpg</v>
      </c>
      <c r="T601" s="95">
        <f>IFERROR(__xludf.DUMMYFUNCTION("""COMPUTED_VALUE"""),46134.71739583334)</f>
        <v>46134.7174</v>
      </c>
      <c r="U601" s="93"/>
      <c r="V601" s="93"/>
      <c r="W601" s="93"/>
      <c r="X601" s="93"/>
      <c r="Y601" s="93"/>
      <c r="Z601" s="93"/>
    </row>
    <row r="602">
      <c r="A602" s="93" t="str">
        <f>IFERROR(__xludf.DUMMYFUNCTION("""COMPUTED_VALUE"""),"KIT-#17403")</f>
        <v>KIT-#17403</v>
      </c>
      <c r="B602" s="94">
        <f>IFERROR(__xludf.DUMMYFUNCTION("""COMPUTED_VALUE"""),46149.0)</f>
        <v>46149</v>
      </c>
      <c r="C602" s="93" t="str">
        <f>IFERROR(__xludf.DUMMYFUNCTION("""COMPUTED_VALUE"""),"Kit Delivery")</f>
        <v>Kit Delivery</v>
      </c>
      <c r="D602" s="93">
        <f>IFERROR(__xludf.DUMMYFUNCTION("""COMPUTED_VALUE"""),2.0)</f>
        <v>2</v>
      </c>
      <c r="E602" s="93" t="str">
        <f>IFERROR(__xludf.DUMMYFUNCTION("""COMPUTED_VALUE"""),"Park")</f>
        <v>Park</v>
      </c>
      <c r="F602" s="93">
        <f>IFERROR(__xludf.DUMMYFUNCTION("""COMPUTED_VALUE"""),112.0)</f>
        <v>112</v>
      </c>
      <c r="G602" s="93" t="str">
        <f>IFERROR(__xludf.DUMMYFUNCTION("""COMPUTED_VALUE"""),"Julia Tyler")</f>
        <v>Julia Tyler</v>
      </c>
      <c r="H602" s="93">
        <f>IFERROR(__xludf.DUMMYFUNCTION("""COMPUTED_VALUE"""),1.5127882282E10)</f>
        <v>15127882282</v>
      </c>
      <c r="I602" s="93" t="str">
        <f>IFERROR(__xludf.DUMMYFUNCTION("""COMPUTED_VALUE"""),"1PM-3PM")</f>
        <v>1PM-3PM</v>
      </c>
      <c r="J602" s="93">
        <f>IFERROR(__xludf.DUMMYFUNCTION("""COMPUTED_VALUE"""),1.0)</f>
        <v>1</v>
      </c>
      <c r="K602" s="93" t="str">
        <f>IFERROR(__xludf.DUMMYFUNCTION("""COMPUTED_VALUE"""),"Complete")</f>
        <v>Complete</v>
      </c>
      <c r="L602" s="93"/>
      <c r="M602" s="94">
        <f>IFERROR(__xludf.DUMMYFUNCTION("""COMPUTED_VALUE"""),46134.7190162037)</f>
        <v>46134.71902</v>
      </c>
      <c r="N602" s="93">
        <f>IFERROR(__xludf.DUMMYFUNCTION("""COMPUTED_VALUE"""),66.0)</f>
        <v>66</v>
      </c>
      <c r="O602" s="93"/>
      <c r="P602" s="93" t="str">
        <f>IFERROR(__xludf.DUMMYFUNCTION("""COMPUTED_VALUE"""),"Kit Delivery")</f>
        <v>Kit Delivery</v>
      </c>
      <c r="Q602" s="93"/>
      <c r="R602" s="93"/>
      <c r="S602" s="93" t="str">
        <f>IFERROR(__xludf.DUMMYFUNCTION("""COMPUTED_VALUE"""),"Dispatch_Images/KIT--17403.Photos.221519.jpg")</f>
        <v>Dispatch_Images/KIT--17403.Photos.221519.jpg</v>
      </c>
      <c r="T602" s="95">
        <f>IFERROR(__xludf.DUMMYFUNCTION("""COMPUTED_VALUE"""),46134.724340277775)</f>
        <v>46134.72434</v>
      </c>
      <c r="U602" s="93"/>
      <c r="V602" s="93"/>
      <c r="W602" s="93"/>
      <c r="X602" s="93"/>
      <c r="Y602" s="93"/>
      <c r="Z602" s="93"/>
    </row>
    <row r="603">
      <c r="A603" s="93" t="str">
        <f>IFERROR(__xludf.DUMMYFUNCTION("""COMPUTED_VALUE"""),"KIT-#17329")</f>
        <v>KIT-#17329</v>
      </c>
      <c r="B603" s="94">
        <f>IFERROR(__xludf.DUMMYFUNCTION("""COMPUTED_VALUE"""),46149.0)</f>
        <v>46149</v>
      </c>
      <c r="C603" s="93" t="str">
        <f>IFERROR(__xludf.DUMMYFUNCTION("""COMPUTED_VALUE"""),"Kit Delivery")</f>
        <v>Kit Delivery</v>
      </c>
      <c r="D603" s="93">
        <f>IFERROR(__xludf.DUMMYFUNCTION("""COMPUTED_VALUE"""),2.0)</f>
        <v>2</v>
      </c>
      <c r="E603" s="93" t="str">
        <f>IFERROR(__xludf.DUMMYFUNCTION("""COMPUTED_VALUE"""),"Park")</f>
        <v>Park</v>
      </c>
      <c r="F603" s="93">
        <f>IFERROR(__xludf.DUMMYFUNCTION("""COMPUTED_VALUE"""),140.0)</f>
        <v>140</v>
      </c>
      <c r="G603" s="93" t="str">
        <f>IFERROR(__xludf.DUMMYFUNCTION("""COMPUTED_VALUE"""),"Dan Baerwald")</f>
        <v>Dan Baerwald</v>
      </c>
      <c r="H603" s="93">
        <f>IFERROR(__xludf.DUMMYFUNCTION("""COMPUTED_VALUE"""),2.068503099E9)</f>
        <v>2068503099</v>
      </c>
      <c r="I603" s="93" t="str">
        <f>IFERROR(__xludf.DUMMYFUNCTION("""COMPUTED_VALUE"""),"1PM-3PM")</f>
        <v>1PM-3PM</v>
      </c>
      <c r="J603" s="93">
        <f>IFERROR(__xludf.DUMMYFUNCTION("""COMPUTED_VALUE"""),1.0)</f>
        <v>1</v>
      </c>
      <c r="K603" s="93" t="str">
        <f>IFERROR(__xludf.DUMMYFUNCTION("""COMPUTED_VALUE"""),"Complete")</f>
        <v>Complete</v>
      </c>
      <c r="L603" s="93"/>
      <c r="M603" s="94">
        <f>IFERROR(__xludf.DUMMYFUNCTION("""COMPUTED_VALUE"""),46134.72001157407)</f>
        <v>46134.72001</v>
      </c>
      <c r="N603" s="93">
        <f>IFERROR(__xludf.DUMMYFUNCTION("""COMPUTED_VALUE"""),67.0)</f>
        <v>67</v>
      </c>
      <c r="O603" s="93"/>
      <c r="P603" s="93" t="str">
        <f>IFERROR(__xludf.DUMMYFUNCTION("""COMPUTED_VALUE"""),"Kit Delivery")</f>
        <v>Kit Delivery</v>
      </c>
      <c r="Q603" s="93"/>
      <c r="R603" s="93"/>
      <c r="S603" s="93" t="str">
        <f>IFERROR(__xludf.DUMMYFUNCTION("""COMPUTED_VALUE"""),"Dispatch_Images/KIT--17329.Photos.221644.jpg")</f>
        <v>Dispatch_Images/KIT--17329.Photos.221644.jpg</v>
      </c>
      <c r="T603" s="95">
        <f>IFERROR(__xludf.DUMMYFUNCTION("""COMPUTED_VALUE"""),46134.724340277775)</f>
        <v>46134.72434</v>
      </c>
      <c r="U603" s="93"/>
      <c r="V603" s="93"/>
      <c r="W603" s="93"/>
      <c r="X603" s="93"/>
      <c r="Y603" s="93"/>
      <c r="Z603" s="93"/>
    </row>
    <row r="604">
      <c r="A604" s="93" t="str">
        <f>IFERROR(__xludf.DUMMYFUNCTION("""COMPUTED_VALUE"""),"KIT-#17082")</f>
        <v>KIT-#17082</v>
      </c>
      <c r="B604" s="94">
        <f>IFERROR(__xludf.DUMMYFUNCTION("""COMPUTED_VALUE"""),46149.0)</f>
        <v>46149</v>
      </c>
      <c r="C604" s="93" t="str">
        <f>IFERROR(__xludf.DUMMYFUNCTION("""COMPUTED_VALUE"""),"Kit Delivery")</f>
        <v>Kit Delivery</v>
      </c>
      <c r="D604" s="93">
        <f>IFERROR(__xludf.DUMMYFUNCTION("""COMPUTED_VALUE"""),2.0)</f>
        <v>2</v>
      </c>
      <c r="E604" s="93" t="str">
        <f>IFERROR(__xludf.DUMMYFUNCTION("""COMPUTED_VALUE"""),"Park")</f>
        <v>Park</v>
      </c>
      <c r="F604" s="93">
        <f>IFERROR(__xludf.DUMMYFUNCTION("""COMPUTED_VALUE"""),280.0)</f>
        <v>280</v>
      </c>
      <c r="G604" s="93" t="str">
        <f>IFERROR(__xludf.DUMMYFUNCTION("""COMPUTED_VALUE"""),"Benjamin Welford")</f>
        <v>Benjamin Welford</v>
      </c>
      <c r="H604" s="93">
        <f>IFERROR(__xludf.DUMMYFUNCTION("""COMPUTED_VALUE"""),9.495001022E9)</f>
        <v>9495001022</v>
      </c>
      <c r="I604" s="93" t="str">
        <f>IFERROR(__xludf.DUMMYFUNCTION("""COMPUTED_VALUE"""),"3PM-5PM")</f>
        <v>3PM-5PM</v>
      </c>
      <c r="J604" s="93">
        <f>IFERROR(__xludf.DUMMYFUNCTION("""COMPUTED_VALUE"""),3.0)</f>
        <v>3</v>
      </c>
      <c r="K604" s="93" t="str">
        <f>IFERROR(__xludf.DUMMYFUNCTION("""COMPUTED_VALUE"""),"Complete")</f>
        <v>Complete</v>
      </c>
      <c r="L604" s="93"/>
      <c r="M604" s="94">
        <f>IFERROR(__xludf.DUMMYFUNCTION("""COMPUTED_VALUE"""),46134.72121527778)</f>
        <v>46134.72122</v>
      </c>
      <c r="N604" s="93">
        <f>IFERROR(__xludf.DUMMYFUNCTION("""COMPUTED_VALUE"""),72.0)</f>
        <v>72</v>
      </c>
      <c r="O604" s="93"/>
      <c r="P604" s="93" t="str">
        <f>IFERROR(__xludf.DUMMYFUNCTION("""COMPUTED_VALUE"""),"Kit Delivery")</f>
        <v>Kit Delivery</v>
      </c>
      <c r="Q604" s="93"/>
      <c r="R604" s="93"/>
      <c r="S604" s="93" t="str">
        <f>IFERROR(__xludf.DUMMYFUNCTION("""COMPUTED_VALUE"""),"Dispatch_Images/KIT--17082.Photos.221829.jpg")</f>
        <v>Dispatch_Images/KIT--17082.Photos.221829.jpg</v>
      </c>
      <c r="T604" s="95">
        <f>IFERROR(__xludf.DUMMYFUNCTION("""COMPUTED_VALUE"""),46134.724340277775)</f>
        <v>46134.72434</v>
      </c>
      <c r="U604" s="93"/>
      <c r="V604" s="93"/>
      <c r="W604" s="93"/>
      <c r="X604" s="93"/>
      <c r="Y604" s="93"/>
      <c r="Z604" s="93"/>
    </row>
    <row r="605">
      <c r="A605" s="93" t="str">
        <f>IFERROR(__xludf.DUMMYFUNCTION("""COMPUTED_VALUE"""),"KIT-#17342")</f>
        <v>KIT-#17342</v>
      </c>
      <c r="B605" s="94">
        <f>IFERROR(__xludf.DUMMYFUNCTION("""COMPUTED_VALUE"""),46149.0)</f>
        <v>46149</v>
      </c>
      <c r="C605" s="93" t="str">
        <f>IFERROR(__xludf.DUMMYFUNCTION("""COMPUTED_VALUE"""),"Kit Delivery")</f>
        <v>Kit Delivery</v>
      </c>
      <c r="D605" s="93">
        <f>IFERROR(__xludf.DUMMYFUNCTION("""COMPUTED_VALUE"""),2.0)</f>
        <v>2</v>
      </c>
      <c r="E605" s="93" t="str">
        <f>IFERROR(__xludf.DUMMYFUNCTION("""COMPUTED_VALUE"""),"Park")</f>
        <v>Park</v>
      </c>
      <c r="F605" s="93">
        <f>IFERROR(__xludf.DUMMYFUNCTION("""COMPUTED_VALUE"""),171.0)</f>
        <v>171</v>
      </c>
      <c r="G605" s="93" t="str">
        <f>IFERROR(__xludf.DUMMYFUNCTION("""COMPUTED_VALUE"""),"Arushi")</f>
        <v>Arushi</v>
      </c>
      <c r="H605" s="93">
        <f>IFERROR(__xludf.DUMMYFUNCTION("""COMPUTED_VALUE"""),3.142020471E9)</f>
        <v>3142020471</v>
      </c>
      <c r="I605" s="93" t="str">
        <f>IFERROR(__xludf.DUMMYFUNCTION("""COMPUTED_VALUE"""),"9AM-11AM")</f>
        <v>9AM-11AM</v>
      </c>
      <c r="J605" s="93">
        <f>IFERROR(__xludf.DUMMYFUNCTION("""COMPUTED_VALUE"""),1.0)</f>
        <v>1</v>
      </c>
      <c r="K605" s="93" t="str">
        <f>IFERROR(__xludf.DUMMYFUNCTION("""COMPUTED_VALUE"""),"Complete")</f>
        <v>Complete</v>
      </c>
      <c r="L605" s="93"/>
      <c r="M605" s="94">
        <f>IFERROR(__xludf.DUMMYFUNCTION("""COMPUTED_VALUE"""),46134.7234837963)</f>
        <v>46134.72348</v>
      </c>
      <c r="N605" s="93">
        <f>IFERROR(__xludf.DUMMYFUNCTION("""COMPUTED_VALUE"""),69.0)</f>
        <v>69</v>
      </c>
      <c r="O605" s="93"/>
      <c r="P605" s="93" t="str">
        <f>IFERROR(__xludf.DUMMYFUNCTION("""COMPUTED_VALUE"""),"Kit Delivery")</f>
        <v>Kit Delivery</v>
      </c>
      <c r="Q605" s="93"/>
      <c r="R605" s="93"/>
      <c r="S605" s="93" t="str">
        <f>IFERROR(__xludf.DUMMYFUNCTION("""COMPUTED_VALUE"""),"Dispatch_Images/KIT--17342.Photos.222145.jpg")</f>
        <v>Dispatch_Images/KIT--17342.Photos.222145.jpg</v>
      </c>
      <c r="T605" s="95">
        <f>IFERROR(__xludf.DUMMYFUNCTION("""COMPUTED_VALUE"""),46134.724340277775)</f>
        <v>46134.72434</v>
      </c>
      <c r="U605" s="93"/>
      <c r="V605" s="93"/>
      <c r="W605" s="93"/>
      <c r="X605" s="93"/>
      <c r="Y605" s="93"/>
      <c r="Z605" s="93"/>
    </row>
    <row r="606">
      <c r="A606" s="93" t="str">
        <f>IFERROR(__xludf.DUMMYFUNCTION("""COMPUTED_VALUE"""),"KIT-#16872")</f>
        <v>KIT-#16872</v>
      </c>
      <c r="B606" s="94">
        <f>IFERROR(__xludf.DUMMYFUNCTION("""COMPUTED_VALUE"""),46149.0)</f>
        <v>46149</v>
      </c>
      <c r="C606" s="93" t="str">
        <f>IFERROR(__xludf.DUMMYFUNCTION("""COMPUTED_VALUE"""),"Kit Delivery")</f>
        <v>Kit Delivery</v>
      </c>
      <c r="D606" s="93">
        <f>IFERROR(__xludf.DUMMYFUNCTION("""COMPUTED_VALUE"""),2.0)</f>
        <v>2</v>
      </c>
      <c r="E606" s="93" t="str">
        <f>IFERROR(__xludf.DUMMYFUNCTION("""COMPUTED_VALUE"""),"Mudd")</f>
        <v>Mudd</v>
      </c>
      <c r="F606" s="93">
        <f>IFERROR(__xludf.DUMMYFUNCTION("""COMPUTED_VALUE"""),141.0)</f>
        <v>141</v>
      </c>
      <c r="G606" s="93" t="str">
        <f>IFERROR(__xludf.DUMMYFUNCTION("""COMPUTED_VALUE"""),"Emeralda Jin")</f>
        <v>Emeralda Jin</v>
      </c>
      <c r="H606" s="93">
        <f>IFERROR(__xludf.DUMMYFUNCTION("""COMPUTED_VALUE"""),4.703647022E9)</f>
        <v>4703647022</v>
      </c>
      <c r="I606" s="93" t="str">
        <f>IFERROR(__xludf.DUMMYFUNCTION("""COMPUTED_VALUE"""),"12PM-2PM")</f>
        <v>12PM-2PM</v>
      </c>
      <c r="J606" s="93">
        <f>IFERROR(__xludf.DUMMYFUNCTION("""COMPUTED_VALUE"""),1.0)</f>
        <v>1</v>
      </c>
      <c r="K606" s="93" t="str">
        <f>IFERROR(__xludf.DUMMYFUNCTION("""COMPUTED_VALUE"""),"Complete")</f>
        <v>Complete</v>
      </c>
      <c r="L606" s="93"/>
      <c r="M606" s="94">
        <f>IFERROR(__xludf.DUMMYFUNCTION("""COMPUTED_VALUE"""),46134.727858796294)</f>
        <v>46134.72786</v>
      </c>
      <c r="N606" s="93">
        <f>IFERROR(__xludf.DUMMYFUNCTION("""COMPUTED_VALUE"""),89.0)</f>
        <v>89</v>
      </c>
      <c r="O606" s="93"/>
      <c r="P606" s="93" t="str">
        <f>IFERROR(__xludf.DUMMYFUNCTION("""COMPUTED_VALUE"""),"Kit Delivery")</f>
        <v>Kit Delivery</v>
      </c>
      <c r="Q606" s="93"/>
      <c r="R606" s="93"/>
      <c r="S606" s="93" t="str">
        <f>IFERROR(__xludf.DUMMYFUNCTION("""COMPUTED_VALUE"""),"Dispatch_Images/KIT--16872.Photos.222804.jpg")</f>
        <v>Dispatch_Images/KIT--16872.Photos.222804.jpg</v>
      </c>
      <c r="T606" s="95">
        <f>IFERROR(__xludf.DUMMYFUNCTION("""COMPUTED_VALUE"""),46134.73128472222)</f>
        <v>46134.73128</v>
      </c>
      <c r="U606" s="93"/>
      <c r="V606" s="93"/>
      <c r="W606" s="93"/>
      <c r="X606" s="93"/>
      <c r="Y606" s="93"/>
      <c r="Z606" s="93"/>
    </row>
    <row r="607">
      <c r="A607" s="93" t="str">
        <f>IFERROR(__xludf.DUMMYFUNCTION("""COMPUTED_VALUE"""),"KIT-#17230")</f>
        <v>KIT-#17230</v>
      </c>
      <c r="B607" s="94">
        <f>IFERROR(__xludf.DUMMYFUNCTION("""COMPUTED_VALUE"""),46149.0)</f>
        <v>46149</v>
      </c>
      <c r="C607" s="93" t="str">
        <f>IFERROR(__xludf.DUMMYFUNCTION("""COMPUTED_VALUE"""),"Kit Delivery")</f>
        <v>Kit Delivery</v>
      </c>
      <c r="D607" s="93">
        <f>IFERROR(__xludf.DUMMYFUNCTION("""COMPUTED_VALUE"""),2.0)</f>
        <v>2</v>
      </c>
      <c r="E607" s="93" t="str">
        <f>IFERROR(__xludf.DUMMYFUNCTION("""COMPUTED_VALUE"""),"Mudd")</f>
        <v>Mudd</v>
      </c>
      <c r="F607" s="93">
        <f>IFERROR(__xludf.DUMMYFUNCTION("""COMPUTED_VALUE"""),214.0)</f>
        <v>214</v>
      </c>
      <c r="G607" s="93" t="str">
        <f>IFERROR(__xludf.DUMMYFUNCTION("""COMPUTED_VALUE"""),"Sanjna Pandit")</f>
        <v>Sanjna Pandit</v>
      </c>
      <c r="H607" s="93"/>
      <c r="I607" s="93" t="str">
        <f>IFERROR(__xludf.DUMMYFUNCTION("""COMPUTED_VALUE"""),"9AM-11AM")</f>
        <v>9AM-11AM</v>
      </c>
      <c r="J607" s="93">
        <f>IFERROR(__xludf.DUMMYFUNCTION("""COMPUTED_VALUE"""),1.0)</f>
        <v>1</v>
      </c>
      <c r="K607" s="93" t="str">
        <f>IFERROR(__xludf.DUMMYFUNCTION("""COMPUTED_VALUE"""),"Complete")</f>
        <v>Complete</v>
      </c>
      <c r="L607" s="93"/>
      <c r="M607" s="94">
        <f>IFERROR(__xludf.DUMMYFUNCTION("""COMPUTED_VALUE"""),46134.7333912037)</f>
        <v>46134.73339</v>
      </c>
      <c r="N607" s="93">
        <f>IFERROR(__xludf.DUMMYFUNCTION("""COMPUTED_VALUE"""),92.0)</f>
        <v>92</v>
      </c>
      <c r="O607" s="93"/>
      <c r="P607" s="93" t="str">
        <f>IFERROR(__xludf.DUMMYFUNCTION("""COMPUTED_VALUE"""),"Kit Delivery")</f>
        <v>Kit Delivery</v>
      </c>
      <c r="Q607" s="93"/>
      <c r="R607" s="93"/>
      <c r="S607" s="93" t="str">
        <f>IFERROR(__xludf.DUMMYFUNCTION("""COMPUTED_VALUE"""),"Dispatch_Images/KIT--17230.Photos.223602.jpg")</f>
        <v>Dispatch_Images/KIT--17230.Photos.223602.jpg</v>
      </c>
      <c r="T607" s="95">
        <f>IFERROR(__xludf.DUMMYFUNCTION("""COMPUTED_VALUE"""),46134.73825231481)</f>
        <v>46134.73825</v>
      </c>
      <c r="U607" s="93"/>
      <c r="V607" s="93"/>
      <c r="W607" s="93"/>
      <c r="X607" s="93"/>
      <c r="Y607" s="93"/>
      <c r="Z607" s="93"/>
    </row>
    <row r="608">
      <c r="A608" s="93" t="str">
        <f>IFERROR(__xludf.DUMMYFUNCTION("""COMPUTED_VALUE"""),"KIT-#17244")</f>
        <v>KIT-#17244</v>
      </c>
      <c r="B608" s="94">
        <f>IFERROR(__xludf.DUMMYFUNCTION("""COMPUTED_VALUE"""),46149.0)</f>
        <v>46149</v>
      </c>
      <c r="C608" s="93" t="str">
        <f>IFERROR(__xludf.DUMMYFUNCTION("""COMPUTED_VALUE"""),"Kit Delivery")</f>
        <v>Kit Delivery</v>
      </c>
      <c r="D608" s="93">
        <f>IFERROR(__xludf.DUMMYFUNCTION("""COMPUTED_VALUE"""),2.0)</f>
        <v>2</v>
      </c>
      <c r="E608" s="93" t="str">
        <f>IFERROR(__xludf.DUMMYFUNCTION("""COMPUTED_VALUE"""),"Mudd")</f>
        <v>Mudd</v>
      </c>
      <c r="F608" s="93">
        <f>IFERROR(__xludf.DUMMYFUNCTION("""COMPUTED_VALUE"""),222.0)</f>
        <v>222</v>
      </c>
      <c r="G608" s="93" t="str">
        <f>IFERROR(__xludf.DUMMYFUNCTION("""COMPUTED_VALUE"""),"Addis Tafesse")</f>
        <v>Addis Tafesse</v>
      </c>
      <c r="H608" s="93">
        <f>IFERROR(__xludf.DUMMYFUNCTION("""COMPUTED_VALUE"""),2.025909778E9)</f>
        <v>2025909778</v>
      </c>
      <c r="I608" s="93" t="str">
        <f>IFERROR(__xludf.DUMMYFUNCTION("""COMPUTED_VALUE"""),"10AM-12PM")</f>
        <v>10AM-12PM</v>
      </c>
      <c r="J608" s="93">
        <f>IFERROR(__xludf.DUMMYFUNCTION("""COMPUTED_VALUE"""),1.0)</f>
        <v>1</v>
      </c>
      <c r="K608" s="93" t="str">
        <f>IFERROR(__xludf.DUMMYFUNCTION("""COMPUTED_VALUE"""),"Complete")</f>
        <v>Complete</v>
      </c>
      <c r="L608" s="93"/>
      <c r="M608" s="94">
        <f>IFERROR(__xludf.DUMMYFUNCTION("""COMPUTED_VALUE"""),46134.73380787037)</f>
        <v>46134.73381</v>
      </c>
      <c r="N608" s="93">
        <f>IFERROR(__xludf.DUMMYFUNCTION("""COMPUTED_VALUE"""),93.0)</f>
        <v>93</v>
      </c>
      <c r="O608" s="93"/>
      <c r="P608" s="93" t="str">
        <f>IFERROR(__xludf.DUMMYFUNCTION("""COMPUTED_VALUE"""),"Kit Delivery")</f>
        <v>Kit Delivery</v>
      </c>
      <c r="Q608" s="93"/>
      <c r="R608" s="93"/>
      <c r="S608" s="93" t="str">
        <f>IFERROR(__xludf.DUMMYFUNCTION("""COMPUTED_VALUE"""),"Dispatch_Images/KIT--17244.Photos.223637.jpg")</f>
        <v>Dispatch_Images/KIT--17244.Photos.223637.jpg</v>
      </c>
      <c r="T608" s="95">
        <f>IFERROR(__xludf.DUMMYFUNCTION("""COMPUTED_VALUE"""),46134.73825231481)</f>
        <v>46134.73825</v>
      </c>
      <c r="U608" s="93"/>
      <c r="V608" s="93"/>
      <c r="W608" s="93"/>
      <c r="X608" s="93"/>
      <c r="Y608" s="93"/>
      <c r="Z608" s="93"/>
    </row>
    <row r="609">
      <c r="A609" s="93" t="str">
        <f>IFERROR(__xludf.DUMMYFUNCTION("""COMPUTED_VALUE"""),"KIT-#17676")</f>
        <v>KIT-#17676</v>
      </c>
      <c r="B609" s="94">
        <f>IFERROR(__xludf.DUMMYFUNCTION("""COMPUTED_VALUE"""),46149.0)</f>
        <v>46149</v>
      </c>
      <c r="C609" s="93" t="str">
        <f>IFERROR(__xludf.DUMMYFUNCTION("""COMPUTED_VALUE"""),"Kit Delivery")</f>
        <v>Kit Delivery</v>
      </c>
      <c r="D609" s="93">
        <f>IFERROR(__xludf.DUMMYFUNCTION("""COMPUTED_VALUE"""),2.0)</f>
        <v>2</v>
      </c>
      <c r="E609" s="93" t="str">
        <f>IFERROR(__xludf.DUMMYFUNCTION("""COMPUTED_VALUE"""),"Myers")</f>
        <v>Myers</v>
      </c>
      <c r="F609" s="93">
        <f>IFERROR(__xludf.DUMMYFUNCTION("""COMPUTED_VALUE"""),214.0)</f>
        <v>214</v>
      </c>
      <c r="G609" s="93" t="str">
        <f>IFERROR(__xludf.DUMMYFUNCTION("""COMPUTED_VALUE"""),"Aiden Rogers")</f>
        <v>Aiden Rogers</v>
      </c>
      <c r="H609" s="93">
        <f>IFERROR(__xludf.DUMMYFUNCTION("""COMPUTED_VALUE"""),3.106124462E9)</f>
        <v>3106124462</v>
      </c>
      <c r="I609" s="93" t="str">
        <f>IFERROR(__xludf.DUMMYFUNCTION("""COMPUTED_VALUE"""),"9AM-11AM")</f>
        <v>9AM-11AM</v>
      </c>
      <c r="J609" s="93">
        <f>IFERROR(__xludf.DUMMYFUNCTION("""COMPUTED_VALUE"""),1.0)</f>
        <v>1</v>
      </c>
      <c r="K609" s="93" t="str">
        <f>IFERROR(__xludf.DUMMYFUNCTION("""COMPUTED_VALUE"""),"Complete")</f>
        <v>Complete</v>
      </c>
      <c r="L609" s="93"/>
      <c r="M609" s="94">
        <f>IFERROR(__xludf.DUMMYFUNCTION("""COMPUTED_VALUE"""),46134.74533564815)</f>
        <v>46134.74534</v>
      </c>
      <c r="N609" s="93">
        <f>IFERROR(__xludf.DUMMYFUNCTION("""COMPUTED_VALUE"""),22.0)</f>
        <v>22</v>
      </c>
      <c r="O609" s="93"/>
      <c r="P609" s="93" t="str">
        <f>IFERROR(__xludf.DUMMYFUNCTION("""COMPUTED_VALUE"""),"Kit Delivery")</f>
        <v>Kit Delivery</v>
      </c>
      <c r="Q609" s="93"/>
      <c r="R609" s="93"/>
      <c r="S609" s="93" t="str">
        <f>IFERROR(__xludf.DUMMYFUNCTION("""COMPUTED_VALUE"""),"Dispatch_Images/KIT--17676.Photos.225313.jpg")</f>
        <v>Dispatch_Images/KIT--17676.Photos.225313.jpg</v>
      </c>
      <c r="T609" s="95">
        <f>IFERROR(__xludf.DUMMYFUNCTION("""COMPUTED_VALUE"""),46134.752118055556)</f>
        <v>46134.75212</v>
      </c>
      <c r="U609" s="93"/>
      <c r="V609" s="93"/>
      <c r="W609" s="93"/>
      <c r="X609" s="93"/>
      <c r="Y609" s="93"/>
      <c r="Z609" s="93"/>
    </row>
    <row r="610">
      <c r="A610" s="93" t="str">
        <f>IFERROR(__xludf.DUMMYFUNCTION("""COMPUTED_VALUE"""),"KIT-#17679")</f>
        <v>KIT-#17679</v>
      </c>
      <c r="B610" s="94">
        <f>IFERROR(__xludf.DUMMYFUNCTION("""COMPUTED_VALUE"""),46149.0)</f>
        <v>46149</v>
      </c>
      <c r="C610" s="93" t="str">
        <f>IFERROR(__xludf.DUMMYFUNCTION("""COMPUTED_VALUE"""),"Kit Delivery")</f>
        <v>Kit Delivery</v>
      </c>
      <c r="D610" s="93">
        <f>IFERROR(__xludf.DUMMYFUNCTION("""COMPUTED_VALUE"""),2.0)</f>
        <v>2</v>
      </c>
      <c r="E610" s="93" t="str">
        <f>IFERROR(__xludf.DUMMYFUNCTION("""COMPUTED_VALUE"""),"Myers")</f>
        <v>Myers</v>
      </c>
      <c r="F610" s="93">
        <f>IFERROR(__xludf.DUMMYFUNCTION("""COMPUTED_VALUE"""),342.0)</f>
        <v>342</v>
      </c>
      <c r="G610" s="93" t="str">
        <f>IFERROR(__xludf.DUMMYFUNCTION("""COMPUTED_VALUE"""),"Henry Rui He")</f>
        <v>Henry Rui He</v>
      </c>
      <c r="H610" s="93">
        <f>IFERROR(__xludf.DUMMYFUNCTION("""COMPUTED_VALUE"""),7.122061311E9)</f>
        <v>7122061311</v>
      </c>
      <c r="I610" s="93" t="str">
        <f>IFERROR(__xludf.DUMMYFUNCTION("""COMPUTED_VALUE"""),"9AM-11AM")</f>
        <v>9AM-11AM</v>
      </c>
      <c r="J610" s="93">
        <f>IFERROR(__xludf.DUMMYFUNCTION("""COMPUTED_VALUE"""),1.0)</f>
        <v>1</v>
      </c>
      <c r="K610" s="93" t="str">
        <f>IFERROR(__xludf.DUMMYFUNCTION("""COMPUTED_VALUE"""),"Complete")</f>
        <v>Complete</v>
      </c>
      <c r="L610" s="93"/>
      <c r="M610" s="94">
        <f>IFERROR(__xludf.DUMMYFUNCTION("""COMPUTED_VALUE"""),46134.74678240741)</f>
        <v>46134.74678</v>
      </c>
      <c r="N610" s="93">
        <f>IFERROR(__xludf.DUMMYFUNCTION("""COMPUTED_VALUE"""),24.0)</f>
        <v>24</v>
      </c>
      <c r="O610" s="93"/>
      <c r="P610" s="93" t="str">
        <f>IFERROR(__xludf.DUMMYFUNCTION("""COMPUTED_VALUE"""),"Kit Delivery")</f>
        <v>Kit Delivery</v>
      </c>
      <c r="Q610" s="93"/>
      <c r="R610" s="93"/>
      <c r="S610" s="93" t="str">
        <f>IFERROR(__xludf.DUMMYFUNCTION("""COMPUTED_VALUE"""),"Dispatch_Images/KIT--17679.Photos.225518.jpg")</f>
        <v>Dispatch_Images/KIT--17679.Photos.225518.jpg</v>
      </c>
      <c r="T610" s="95">
        <f>IFERROR(__xludf.DUMMYFUNCTION("""COMPUTED_VALUE"""),46134.752118055556)</f>
        <v>46134.75212</v>
      </c>
      <c r="U610" s="93"/>
      <c r="V610" s="93"/>
      <c r="W610" s="93"/>
      <c r="X610" s="93"/>
      <c r="Y610" s="93"/>
      <c r="Z610" s="93"/>
    </row>
    <row r="611">
      <c r="A611" s="93" t="str">
        <f>IFERROR(__xludf.DUMMYFUNCTION("""COMPUTED_VALUE"""),"KIT-#17438")</f>
        <v>KIT-#17438</v>
      </c>
      <c r="B611" s="94">
        <f>IFERROR(__xludf.DUMMYFUNCTION("""COMPUTED_VALUE"""),46149.0)</f>
        <v>46149</v>
      </c>
      <c r="C611" s="93" t="str">
        <f>IFERROR(__xludf.DUMMYFUNCTION("""COMPUTED_VALUE"""),"Kit Delivery")</f>
        <v>Kit Delivery</v>
      </c>
      <c r="D611" s="93">
        <f>IFERROR(__xludf.DUMMYFUNCTION("""COMPUTED_VALUE"""),2.0)</f>
        <v>2</v>
      </c>
      <c r="E611" s="93" t="str">
        <f>IFERROR(__xludf.DUMMYFUNCTION("""COMPUTED_VALUE"""),"Myers")</f>
        <v>Myers</v>
      </c>
      <c r="F611" s="93">
        <f>IFERROR(__xludf.DUMMYFUNCTION("""COMPUTED_VALUE"""),423.0)</f>
        <v>423</v>
      </c>
      <c r="G611" s="93" t="str">
        <f>IFERROR(__xludf.DUMMYFUNCTION("""COMPUTED_VALUE"""),"Gideon Grinberg")</f>
        <v>Gideon Grinberg</v>
      </c>
      <c r="H611" s="93">
        <f>IFERROR(__xludf.DUMMYFUNCTION("""COMPUTED_VALUE"""),9.292131708E9)</f>
        <v>9292131708</v>
      </c>
      <c r="I611" s="93" t="str">
        <f>IFERROR(__xludf.DUMMYFUNCTION("""COMPUTED_VALUE"""),"3PM-5PM")</f>
        <v>3PM-5PM</v>
      </c>
      <c r="J611" s="93">
        <f>IFERROR(__xludf.DUMMYFUNCTION("""COMPUTED_VALUE"""),2.0)</f>
        <v>2</v>
      </c>
      <c r="K611" s="93" t="str">
        <f>IFERROR(__xludf.DUMMYFUNCTION("""COMPUTED_VALUE"""),"Complete")</f>
        <v>Complete</v>
      </c>
      <c r="L611" s="93"/>
      <c r="M611" s="94">
        <f>IFERROR(__xludf.DUMMYFUNCTION("""COMPUTED_VALUE"""),46134.75034722222)</f>
        <v>46134.75035</v>
      </c>
      <c r="N611" s="93">
        <f>IFERROR(__xludf.DUMMYFUNCTION("""COMPUTED_VALUE"""),27.0)</f>
        <v>27</v>
      </c>
      <c r="O611" s="93" t="str">
        <f>IFERROR(__xludf.DUMMYFUNCTION("""COMPUTED_VALUE"""),"1165 Park Ave #4B
New York, NY 10128")</f>
        <v>1165 Park Ave #4B
New York, NY 10128</v>
      </c>
      <c r="P611" s="93" t="str">
        <f>IFERROR(__xludf.DUMMYFUNCTION("""COMPUTED_VALUE"""),"Kit Delivery")</f>
        <v>Kit Delivery</v>
      </c>
      <c r="Q611" s="93"/>
      <c r="R611" s="93"/>
      <c r="S611" s="93" t="str">
        <f>IFERROR(__xludf.DUMMYFUNCTION("""COMPUTED_VALUE"""),"Dispatch_Images/KIT--17438.Photos.230026.jpg")</f>
        <v>Dispatch_Images/KIT--17438.Photos.230026.jpg</v>
      </c>
      <c r="T611" s="95">
        <f>IFERROR(__xludf.DUMMYFUNCTION("""COMPUTED_VALUE"""),46134.752118055556)</f>
        <v>46134.75212</v>
      </c>
      <c r="U611" s="93"/>
      <c r="V611" s="93"/>
      <c r="W611" s="93"/>
      <c r="X611" s="93"/>
      <c r="Y611" s="93"/>
      <c r="Z611" s="93"/>
    </row>
    <row r="612">
      <c r="A612" s="93" t="str">
        <f>IFERROR(__xludf.DUMMYFUNCTION("""COMPUTED_VALUE"""),"KIT-#17234")</f>
        <v>KIT-#17234</v>
      </c>
      <c r="B612" s="94">
        <f>IFERROR(__xludf.DUMMYFUNCTION("""COMPUTED_VALUE"""),46149.0)</f>
        <v>46149</v>
      </c>
      <c r="C612" s="93" t="str">
        <f>IFERROR(__xludf.DUMMYFUNCTION("""COMPUTED_VALUE"""),"Kit Delivery")</f>
        <v>Kit Delivery</v>
      </c>
      <c r="D612" s="93">
        <f>IFERROR(__xludf.DUMMYFUNCTION("""COMPUTED_VALUE"""),2.0)</f>
        <v>2</v>
      </c>
      <c r="E612" s="93" t="str">
        <f>IFERROR(__xludf.DUMMYFUNCTION("""COMPUTED_VALUE"""),"Myers")</f>
        <v>Myers</v>
      </c>
      <c r="F612" s="93">
        <f>IFERROR(__xludf.DUMMYFUNCTION("""COMPUTED_VALUE"""),413.0)</f>
        <v>413</v>
      </c>
      <c r="G612" s="93" t="str">
        <f>IFERROR(__xludf.DUMMYFUNCTION("""COMPUTED_VALUE"""),"Maya Faier")</f>
        <v>Maya Faier</v>
      </c>
      <c r="H612" s="93">
        <f>IFERROR(__xludf.DUMMYFUNCTION("""COMPUTED_VALUE"""),8.473056032E9)</f>
        <v>8473056032</v>
      </c>
      <c r="I612" s="93" t="str">
        <f>IFERROR(__xludf.DUMMYFUNCTION("""COMPUTED_VALUE"""),"2PM-4PM")</f>
        <v>2PM-4PM</v>
      </c>
      <c r="J612" s="93">
        <f>IFERROR(__xludf.DUMMYFUNCTION("""COMPUTED_VALUE"""),1.0)</f>
        <v>1</v>
      </c>
      <c r="K612" s="93" t="str">
        <f>IFERROR(__xludf.DUMMYFUNCTION("""COMPUTED_VALUE"""),"Complete")</f>
        <v>Complete</v>
      </c>
      <c r="L612" s="93"/>
      <c r="M612" s="94">
        <f>IFERROR(__xludf.DUMMYFUNCTION("""COMPUTED_VALUE"""),46134.75130787037)</f>
        <v>46134.75131</v>
      </c>
      <c r="N612" s="93">
        <f>IFERROR(__xludf.DUMMYFUNCTION("""COMPUTED_VALUE"""),26.0)</f>
        <v>26</v>
      </c>
      <c r="O612" s="93"/>
      <c r="P612" s="93" t="str">
        <f>IFERROR(__xludf.DUMMYFUNCTION("""COMPUTED_VALUE"""),"Kit Delivery")</f>
        <v>Kit Delivery</v>
      </c>
      <c r="Q612" s="93"/>
      <c r="R612" s="93"/>
      <c r="S612" s="93" t="str">
        <f>IFERROR(__xludf.DUMMYFUNCTION("""COMPUTED_VALUE"""),"Dispatch_Images/KIT--17234.Photos.230149.jpg")</f>
        <v>Dispatch_Images/KIT--17234.Photos.230149.jpg</v>
      </c>
      <c r="T612" s="95">
        <f>IFERROR(__xludf.DUMMYFUNCTION("""COMPUTED_VALUE"""),46134.752118055556)</f>
        <v>46134.75212</v>
      </c>
      <c r="U612" s="93"/>
      <c r="V612" s="93"/>
      <c r="W612" s="93"/>
      <c r="X612" s="93"/>
      <c r="Y612" s="93"/>
      <c r="Z612" s="93"/>
    </row>
    <row r="613">
      <c r="A613" s="93" t="str">
        <f>IFERROR(__xludf.DUMMYFUNCTION("""COMPUTED_VALUE"""),"KIT-#17414")</f>
        <v>KIT-#17414</v>
      </c>
      <c r="B613" s="94">
        <f>IFERROR(__xludf.DUMMYFUNCTION("""COMPUTED_VALUE"""),46149.0)</f>
        <v>46149</v>
      </c>
      <c r="C613" s="93" t="str">
        <f>IFERROR(__xludf.DUMMYFUNCTION("""COMPUTED_VALUE"""),"Kit Delivery")</f>
        <v>Kit Delivery</v>
      </c>
      <c r="D613" s="93">
        <f>IFERROR(__xludf.DUMMYFUNCTION("""COMPUTED_VALUE"""),2.0)</f>
        <v>2</v>
      </c>
      <c r="E613" s="93" t="str">
        <f>IFERROR(__xludf.DUMMYFUNCTION("""COMPUTED_VALUE"""),"Myers")</f>
        <v>Myers</v>
      </c>
      <c r="F613" s="93">
        <f>IFERROR(__xludf.DUMMYFUNCTION("""COMPUTED_VALUE"""),443.0)</f>
        <v>443</v>
      </c>
      <c r="G613" s="93" t="str">
        <f>IFERROR(__xludf.DUMMYFUNCTION("""COMPUTED_VALUE"""),"Aaliyah Asgar")</f>
        <v>Aaliyah Asgar</v>
      </c>
      <c r="H613" s="93">
        <f>IFERROR(__xludf.DUMMYFUNCTION("""COMPUTED_VALUE"""),3.46865302E9)</f>
        <v>3468653020</v>
      </c>
      <c r="I613" s="93" t="str">
        <f>IFERROR(__xludf.DUMMYFUNCTION("""COMPUTED_VALUE"""),"3PM-5PM")</f>
        <v>3PM-5PM</v>
      </c>
      <c r="J613" s="93">
        <f>IFERROR(__xludf.DUMMYFUNCTION("""COMPUTED_VALUE"""),1.0)</f>
        <v>1</v>
      </c>
      <c r="K613" s="93" t="str">
        <f>IFERROR(__xludf.DUMMYFUNCTION("""COMPUTED_VALUE"""),"Complete")</f>
        <v>Complete</v>
      </c>
      <c r="L613" s="93"/>
      <c r="M613" s="94">
        <f>IFERROR(__xludf.DUMMYFUNCTION("""COMPUTED_VALUE"""),46134.75197916667)</f>
        <v>46134.75198</v>
      </c>
      <c r="N613" s="93">
        <f>IFERROR(__xludf.DUMMYFUNCTION("""COMPUTED_VALUE"""),28.0)</f>
        <v>28</v>
      </c>
      <c r="O613" s="93"/>
      <c r="P613" s="93" t="str">
        <f>IFERROR(__xludf.DUMMYFUNCTION("""COMPUTED_VALUE"""),"Kit Delivery")</f>
        <v>Kit Delivery</v>
      </c>
      <c r="Q613" s="93"/>
      <c r="R613" s="93"/>
      <c r="S613" s="93" t="str">
        <f>IFERROR(__xludf.DUMMYFUNCTION("""COMPUTED_VALUE"""),"Dispatch_Images/KIT--17414.Photos.230247.jpg")</f>
        <v>Dispatch_Images/KIT--17414.Photos.230247.jpg</v>
      </c>
      <c r="T613" s="95">
        <f>IFERROR(__xludf.DUMMYFUNCTION("""COMPUTED_VALUE"""),46134.752118055556)</f>
        <v>46134.75212</v>
      </c>
      <c r="U613" s="93"/>
      <c r="V613" s="93"/>
      <c r="W613" s="93"/>
      <c r="X613" s="93"/>
      <c r="Y613" s="93"/>
      <c r="Z613" s="93"/>
    </row>
    <row r="614">
      <c r="A614" s="93" t="str">
        <f>IFERROR(__xludf.DUMMYFUNCTION("""COMPUTED_VALUE"""),"KIT-#17102")</f>
        <v>KIT-#17102</v>
      </c>
      <c r="B614" s="94">
        <f>IFERROR(__xludf.DUMMYFUNCTION("""COMPUTED_VALUE"""),46149.0)</f>
        <v>46149</v>
      </c>
      <c r="C614" s="93" t="str">
        <f>IFERROR(__xludf.DUMMYFUNCTION("""COMPUTED_VALUE"""),"Kit Delivery")</f>
        <v>Kit Delivery</v>
      </c>
      <c r="D614" s="93">
        <f>IFERROR(__xludf.DUMMYFUNCTION("""COMPUTED_VALUE"""),2.0)</f>
        <v>2</v>
      </c>
      <c r="E614" s="93" t="str">
        <f>IFERROR(__xludf.DUMMYFUNCTION("""COMPUTED_VALUE"""),"Dardick")</f>
        <v>Dardick</v>
      </c>
      <c r="F614" s="93">
        <f>IFERROR(__xludf.DUMMYFUNCTION("""COMPUTED_VALUE"""),4421.0)</f>
        <v>4421</v>
      </c>
      <c r="G614" s="93" t="str">
        <f>IFERROR(__xludf.DUMMYFUNCTION("""COMPUTED_VALUE"""),"MARISA UTTAMCHANDANI*")</f>
        <v>MARISA UTTAMCHANDANI*</v>
      </c>
      <c r="H614" s="93">
        <f>IFERROR(__xludf.DUMMYFUNCTION("""COMPUTED_VALUE"""),1.2027662257E10)</f>
        <v>12027662257</v>
      </c>
      <c r="I614" s="93" t="str">
        <f>IFERROR(__xludf.DUMMYFUNCTION("""COMPUTED_VALUE"""),"11AM-1PM")</f>
        <v>11AM-1PM</v>
      </c>
      <c r="J614" s="93">
        <f>IFERROR(__xludf.DUMMYFUNCTION("""COMPUTED_VALUE"""),1.0)</f>
        <v>1</v>
      </c>
      <c r="K614" s="93" t="str">
        <f>IFERROR(__xludf.DUMMYFUNCTION("""COMPUTED_VALUE"""),"Complete")</f>
        <v>Complete</v>
      </c>
      <c r="L614" s="93"/>
      <c r="M614" s="94">
        <f>IFERROR(__xludf.DUMMYFUNCTION("""COMPUTED_VALUE"""),46134.76503472222)</f>
        <v>46134.76503</v>
      </c>
      <c r="N614" s="93">
        <f>IFERROR(__xludf.DUMMYFUNCTION("""COMPUTED_VALUE"""),135.0)</f>
        <v>135</v>
      </c>
      <c r="O614" s="93"/>
      <c r="P614" s="93" t="str">
        <f>IFERROR(__xludf.DUMMYFUNCTION("""COMPUTED_VALUE"""),"Kit Delivery")</f>
        <v>Kit Delivery</v>
      </c>
      <c r="Q614" s="93"/>
      <c r="R614" s="93"/>
      <c r="S614" s="93" t="str">
        <f>IFERROR(__xludf.DUMMYFUNCTION("""COMPUTED_VALUE"""),"Dispatch_Images/KIT--17102.Photos.232135.jpg")</f>
        <v>Dispatch_Images/KIT--17102.Photos.232135.jpg</v>
      </c>
      <c r="T614" s="95">
        <f>IFERROR(__xludf.DUMMYFUNCTION("""COMPUTED_VALUE"""),46134.76600694445)</f>
        <v>46134.76601</v>
      </c>
      <c r="U614" s="93"/>
      <c r="V614" s="93"/>
      <c r="W614" s="93"/>
      <c r="X614" s="93"/>
      <c r="Y614" s="93"/>
      <c r="Z614" s="93"/>
    </row>
    <row r="615">
      <c r="A615" s="93" t="str">
        <f>IFERROR(__xludf.DUMMYFUNCTION("""COMPUTED_VALUE"""),"KIT-#17621")</f>
        <v>KIT-#17621</v>
      </c>
      <c r="B615" s="94">
        <f>IFERROR(__xludf.DUMMYFUNCTION("""COMPUTED_VALUE"""),46149.0)</f>
        <v>46149</v>
      </c>
      <c r="C615" s="93" t="str">
        <f>IFERROR(__xludf.DUMMYFUNCTION("""COMPUTED_VALUE"""),"Kit Delivery")</f>
        <v>Kit Delivery</v>
      </c>
      <c r="D615" s="93">
        <f>IFERROR(__xludf.DUMMYFUNCTION("""COMPUTED_VALUE"""),2.0)</f>
        <v>2</v>
      </c>
      <c r="E615" s="93" t="str">
        <f>IFERROR(__xludf.DUMMYFUNCTION("""COMPUTED_VALUE"""),"Village House")</f>
        <v>Village House</v>
      </c>
      <c r="F615" s="93">
        <f>IFERROR(__xludf.DUMMYFUNCTION("""COMPUTED_VALUE"""),3062.0)</f>
        <v>3062</v>
      </c>
      <c r="G615" s="93" t="str">
        <f>IFERROR(__xludf.DUMMYFUNCTION("""COMPUTED_VALUE"""),"Izzy Kim")</f>
        <v>Izzy Kim</v>
      </c>
      <c r="H615" s="93">
        <f>IFERROR(__xludf.DUMMYFUNCTION("""COMPUTED_VALUE"""),8.149254159E9)</f>
        <v>8149254159</v>
      </c>
      <c r="I615" s="93" t="str">
        <f>IFERROR(__xludf.DUMMYFUNCTION("""COMPUTED_VALUE"""),"9AM-11AM")</f>
        <v>9AM-11AM</v>
      </c>
      <c r="J615" s="93">
        <f>IFERROR(__xludf.DUMMYFUNCTION("""COMPUTED_VALUE"""),1.0)</f>
        <v>1</v>
      </c>
      <c r="K615" s="93" t="str">
        <f>IFERROR(__xludf.DUMMYFUNCTION("""COMPUTED_VALUE"""),"Complete")</f>
        <v>Complete</v>
      </c>
      <c r="L615" s="93"/>
      <c r="M615" s="94">
        <f>IFERROR(__xludf.DUMMYFUNCTION("""COMPUTED_VALUE"""),46134.78805555556)</f>
        <v>46134.78806</v>
      </c>
      <c r="N615" s="93">
        <f>IFERROR(__xludf.DUMMYFUNCTION("""COMPUTED_VALUE"""),224.0)</f>
        <v>224</v>
      </c>
      <c r="O615" s="93"/>
      <c r="P615" s="93" t="str">
        <f>IFERROR(__xludf.DUMMYFUNCTION("""COMPUTED_VALUE"""),"Kit Delivery")</f>
        <v>Kit Delivery</v>
      </c>
      <c r="Q615" s="93"/>
      <c r="R615" s="93"/>
      <c r="S615" s="93" t="str">
        <f>IFERROR(__xludf.DUMMYFUNCTION("""COMPUTED_VALUE"""),"Dispatch_Images/KIT--17621.Photos.235441.jpg")</f>
        <v>Dispatch_Images/KIT--17621.Photos.235441.jpg</v>
      </c>
      <c r="T615" s="95">
        <f>IFERROR(__xludf.DUMMYFUNCTION("""COMPUTED_VALUE"""),46134.79378472222)</f>
        <v>46134.79378</v>
      </c>
      <c r="U615" s="93"/>
      <c r="V615" s="93"/>
      <c r="W615" s="93"/>
      <c r="X615" s="93"/>
      <c r="Y615" s="93"/>
      <c r="Z615" s="93"/>
    </row>
    <row r="616">
      <c r="A616" s="93" t="str">
        <f>IFERROR(__xludf.DUMMYFUNCTION("""COMPUTED_VALUE"""),"KIT-#17581")</f>
        <v>KIT-#17581</v>
      </c>
      <c r="B616" s="94">
        <f>IFERROR(__xludf.DUMMYFUNCTION("""COMPUTED_VALUE"""),46149.0)</f>
        <v>46149</v>
      </c>
      <c r="C616" s="93" t="str">
        <f>IFERROR(__xludf.DUMMYFUNCTION("""COMPUTED_VALUE"""),"Kit Delivery")</f>
        <v>Kit Delivery</v>
      </c>
      <c r="D616" s="93">
        <f>IFERROR(__xludf.DUMMYFUNCTION("""COMPUTED_VALUE"""),2.0)</f>
        <v>2</v>
      </c>
      <c r="E616" s="93" t="str">
        <f>IFERROR(__xludf.DUMMYFUNCTION("""COMPUTED_VALUE"""),"Danforth")</f>
        <v>Danforth</v>
      </c>
      <c r="F616" s="93">
        <f>IFERROR(__xludf.DUMMYFUNCTION("""COMPUTED_VALUE"""),4418.0)</f>
        <v>4418</v>
      </c>
      <c r="G616" s="93" t="str">
        <f>IFERROR(__xludf.DUMMYFUNCTION("""COMPUTED_VALUE"""),"Dkyle Jones")</f>
        <v>Dkyle Jones</v>
      </c>
      <c r="H616" s="93">
        <f>IFERROR(__xludf.DUMMYFUNCTION("""COMPUTED_VALUE"""),8.623387181E9)</f>
        <v>8623387181</v>
      </c>
      <c r="I616" s="93" t="str">
        <f>IFERROR(__xludf.DUMMYFUNCTION("""COMPUTED_VALUE"""),"9AM-11AM")</f>
        <v>9AM-11AM</v>
      </c>
      <c r="J616" s="93">
        <f>IFERROR(__xludf.DUMMYFUNCTION("""COMPUTED_VALUE"""),1.0)</f>
        <v>1</v>
      </c>
      <c r="K616" s="93" t="str">
        <f>IFERROR(__xludf.DUMMYFUNCTION("""COMPUTED_VALUE"""),"Complete")</f>
        <v>Complete</v>
      </c>
      <c r="L616" s="93"/>
      <c r="M616" s="94">
        <f>IFERROR(__xludf.DUMMYFUNCTION("""COMPUTED_VALUE"""),46136.51547453704)</f>
        <v>46136.51547</v>
      </c>
      <c r="N616" s="93">
        <f>IFERROR(__xludf.DUMMYFUNCTION("""COMPUTED_VALUE"""),53.0)</f>
        <v>53</v>
      </c>
      <c r="O616" s="93"/>
      <c r="P616" s="93" t="str">
        <f>IFERROR(__xludf.DUMMYFUNCTION("""COMPUTED_VALUE"""),"Kit Delivery")</f>
        <v>Kit Delivery</v>
      </c>
      <c r="Q616" s="93"/>
      <c r="R616" s="93"/>
      <c r="S616" s="93" t="str">
        <f>IFERROR(__xludf.DUMMYFUNCTION("""COMPUTED_VALUE"""),"Dispatch_Images/KIT--17581.Photos.172213.jpg")</f>
        <v>Dispatch_Images/KIT--17581.Photos.172213.jpg</v>
      </c>
      <c r="T616" s="95">
        <f>IFERROR(__xludf.DUMMYFUNCTION("""COMPUTED_VALUE"""),46136.516018518516)</f>
        <v>46136.51602</v>
      </c>
      <c r="U616" s="93"/>
      <c r="V616" s="93"/>
      <c r="W616" s="93"/>
      <c r="X616" s="93"/>
      <c r="Y616" s="93"/>
      <c r="Z616" s="93"/>
    </row>
    <row r="617">
      <c r="A617" s="93" t="str">
        <f>IFERROR(__xludf.DUMMYFUNCTION("""COMPUTED_VALUE"""),"KIT-#17686")</f>
        <v>KIT-#17686</v>
      </c>
      <c r="B617" s="94">
        <f>IFERROR(__xludf.DUMMYFUNCTION("""COMPUTED_VALUE"""),46149.0)</f>
        <v>46149</v>
      </c>
      <c r="C617" s="93" t="str">
        <f>IFERROR(__xludf.DUMMYFUNCTION("""COMPUTED_VALUE"""),"Kit Delivery")</f>
        <v>Kit Delivery</v>
      </c>
      <c r="D617" s="93">
        <f>IFERROR(__xludf.DUMMYFUNCTION("""COMPUTED_VALUE"""),2.0)</f>
        <v>2</v>
      </c>
      <c r="E617" s="93" t="str">
        <f>IFERROR(__xludf.DUMMYFUNCTION("""COMPUTED_VALUE"""),"Danforth")</f>
        <v>Danforth</v>
      </c>
      <c r="F617" s="93">
        <f>IFERROR(__xludf.DUMMYFUNCTION("""COMPUTED_VALUE"""),3332.0)</f>
        <v>3332</v>
      </c>
      <c r="G617" s="93" t="str">
        <f>IFERROR(__xludf.DUMMYFUNCTION("""COMPUTED_VALUE"""),"Sophia Eison")</f>
        <v>Sophia Eison</v>
      </c>
      <c r="H617" s="93">
        <f>IFERROR(__xludf.DUMMYFUNCTION("""COMPUTED_VALUE"""),3.038081617E9)</f>
        <v>3038081617</v>
      </c>
      <c r="I617" s="93" t="str">
        <f>IFERROR(__xludf.DUMMYFUNCTION("""COMPUTED_VALUE"""),"12PM-2PM")</f>
        <v>12PM-2PM</v>
      </c>
      <c r="J617" s="93">
        <f>IFERROR(__xludf.DUMMYFUNCTION("""COMPUTED_VALUE"""),1.0)</f>
        <v>1</v>
      </c>
      <c r="K617" s="93" t="str">
        <f>IFERROR(__xludf.DUMMYFUNCTION("""COMPUTED_VALUE"""),"Complete")</f>
        <v>Complete</v>
      </c>
      <c r="L617" s="93"/>
      <c r="M617" s="94">
        <f>IFERROR(__xludf.DUMMYFUNCTION("""COMPUTED_VALUE"""),46136.51663194444)</f>
        <v>46136.51663</v>
      </c>
      <c r="N617" s="93">
        <f>IFERROR(__xludf.DUMMYFUNCTION("""COMPUTED_VALUE"""),52.0)</f>
        <v>52</v>
      </c>
      <c r="O617" s="93"/>
      <c r="P617" s="93" t="str">
        <f>IFERROR(__xludf.DUMMYFUNCTION("""COMPUTED_VALUE"""),"Kit Delivery")</f>
        <v>Kit Delivery</v>
      </c>
      <c r="Q617" s="93" t="str">
        <f>IFERROR(__xludf.DUMMYFUNCTION("""COMPUTED_VALUE"""),"We will be there waiting for you. Thank you.")</f>
        <v>We will be there waiting for you. Thank you.</v>
      </c>
      <c r="R617" s="93"/>
      <c r="S617" s="93" t="str">
        <f>IFERROR(__xludf.DUMMYFUNCTION("""COMPUTED_VALUE"""),"Dispatch_Images/KIT--17686.Photos.172353.jpg")</f>
        <v>Dispatch_Images/KIT--17686.Photos.172353.jpg</v>
      </c>
      <c r="T617" s="95">
        <f>IFERROR(__xludf.DUMMYFUNCTION("""COMPUTED_VALUE"""),46136.52296296296)</f>
        <v>46136.52296</v>
      </c>
      <c r="U617" s="93"/>
      <c r="V617" s="93"/>
      <c r="W617" s="93"/>
      <c r="X617" s="93"/>
      <c r="Y617" s="93"/>
      <c r="Z617" s="93"/>
    </row>
    <row r="618">
      <c r="A618" s="93" t="str">
        <f>IFERROR(__xludf.DUMMYFUNCTION("""COMPUTED_VALUE"""),"KIT-#17610")</f>
        <v>KIT-#17610</v>
      </c>
      <c r="B618" s="94">
        <f>IFERROR(__xludf.DUMMYFUNCTION("""COMPUTED_VALUE"""),46149.0)</f>
        <v>46149</v>
      </c>
      <c r="C618" s="93" t="str">
        <f>IFERROR(__xludf.DUMMYFUNCTION("""COMPUTED_VALUE"""),"Kit Delivery")</f>
        <v>Kit Delivery</v>
      </c>
      <c r="D618" s="93">
        <f>IFERROR(__xludf.DUMMYFUNCTION("""COMPUTED_VALUE"""),2.0)</f>
        <v>2</v>
      </c>
      <c r="E618" s="93" t="str">
        <f>IFERROR(__xludf.DUMMYFUNCTION("""COMPUTED_VALUE"""),"Shepley")</f>
        <v>Shepley</v>
      </c>
      <c r="F618" s="93">
        <f>IFERROR(__xludf.DUMMYFUNCTION("""COMPUTED_VALUE"""),2041.0)</f>
        <v>2041</v>
      </c>
      <c r="G618" s="93" t="str">
        <f>IFERROR(__xludf.DUMMYFUNCTION("""COMPUTED_VALUE"""),"Evan Guyer")</f>
        <v>Evan Guyer</v>
      </c>
      <c r="H618" s="93">
        <f>IFERROR(__xludf.DUMMYFUNCTION("""COMPUTED_VALUE"""),6.268315472E9)</f>
        <v>6268315472</v>
      </c>
      <c r="I618" s="93" t="str">
        <f>IFERROR(__xludf.DUMMYFUNCTION("""COMPUTED_VALUE"""),"3PM-5PM")</f>
        <v>3PM-5PM</v>
      </c>
      <c r="J618" s="93">
        <f>IFERROR(__xludf.DUMMYFUNCTION("""COMPUTED_VALUE"""),1.0)</f>
        <v>1</v>
      </c>
      <c r="K618" s="93" t="str">
        <f>IFERROR(__xludf.DUMMYFUNCTION("""COMPUTED_VALUE"""),"Complete")</f>
        <v>Complete</v>
      </c>
      <c r="L618" s="93"/>
      <c r="M618" s="94">
        <f>IFERROR(__xludf.DUMMYFUNCTION("""COMPUTED_VALUE"""),46137.528912037036)</f>
        <v>46137.52891</v>
      </c>
      <c r="N618" s="93">
        <f>IFERROR(__xludf.DUMMYFUNCTION("""COMPUTED_VALUE"""),54.0)</f>
        <v>54</v>
      </c>
      <c r="O618" s="93" t="str">
        <f>IFERROR(__xludf.DUMMYFUNCTION("""COMPUTED_VALUE"""),"1633 Las Lunas St.
Pasadena, CA 91106")</f>
        <v>1633 Las Lunas St.
Pasadena, CA 91106</v>
      </c>
      <c r="P618" s="93" t="str">
        <f>IFERROR(__xludf.DUMMYFUNCTION("""COMPUTED_VALUE"""),"Kit Delivery")</f>
        <v>Kit Delivery</v>
      </c>
      <c r="Q618" s="93"/>
      <c r="R618" s="93"/>
      <c r="S618" s="93" t="str">
        <f>IFERROR(__xludf.DUMMYFUNCTION("""COMPUTED_VALUE"""),"Dispatch_Images/KIT--17610.Photos.174133.jpg")</f>
        <v>Dispatch_Images/KIT--17610.Photos.174133.jpg</v>
      </c>
      <c r="T618" s="95">
        <f>IFERROR(__xludf.DUMMYFUNCTION("""COMPUTED_VALUE"""),46137.52989583334)</f>
        <v>46137.5299</v>
      </c>
      <c r="U618" s="93"/>
      <c r="V618" s="93"/>
      <c r="W618" s="93"/>
      <c r="X618" s="93"/>
      <c r="Y618" s="93"/>
      <c r="Z618" s="93"/>
    </row>
    <row r="619">
      <c r="A619" s="93" t="str">
        <f>IFERROR(__xludf.DUMMYFUNCTION("""COMPUTED_VALUE"""),"KIT-#17048")</f>
        <v>KIT-#17048</v>
      </c>
      <c r="B619" s="94">
        <f>IFERROR(__xludf.DUMMYFUNCTION("""COMPUTED_VALUE"""),46149.0)</f>
        <v>46149</v>
      </c>
      <c r="C619" s="93" t="str">
        <f>IFERROR(__xludf.DUMMYFUNCTION("""COMPUTED_VALUE"""),"Kit Delivery")</f>
        <v>Kit Delivery</v>
      </c>
      <c r="D619" s="93">
        <f>IFERROR(__xludf.DUMMYFUNCTION("""COMPUTED_VALUE"""),2.0)</f>
        <v>2</v>
      </c>
      <c r="E619" s="93" t="str">
        <f>IFERROR(__xludf.DUMMYFUNCTION("""COMPUTED_VALUE"""),"Shepley")</f>
        <v>Shepley</v>
      </c>
      <c r="F619" s="93">
        <f>IFERROR(__xludf.DUMMYFUNCTION("""COMPUTED_VALUE"""),2052.0)</f>
        <v>2052</v>
      </c>
      <c r="G619" s="93" t="str">
        <f>IFERROR(__xludf.DUMMYFUNCTION("""COMPUTED_VALUE"""),"Gemma Lanzillo")</f>
        <v>Gemma Lanzillo</v>
      </c>
      <c r="H619" s="93">
        <f>IFERROR(__xludf.DUMMYFUNCTION("""COMPUTED_VALUE"""),3.02233479E9)</f>
        <v>3022334790</v>
      </c>
      <c r="I619" s="93" t="str">
        <f>IFERROR(__xludf.DUMMYFUNCTION("""COMPUTED_VALUE"""),"9AM-11AM")</f>
        <v>9AM-11AM</v>
      </c>
      <c r="J619" s="93">
        <f>IFERROR(__xludf.DUMMYFUNCTION("""COMPUTED_VALUE"""),2.0)</f>
        <v>2</v>
      </c>
      <c r="K619" s="93" t="str">
        <f>IFERROR(__xludf.DUMMYFUNCTION("""COMPUTED_VALUE"""),"Complete")</f>
        <v>Complete</v>
      </c>
      <c r="L619" s="93"/>
      <c r="M619" s="94">
        <f>IFERROR(__xludf.DUMMYFUNCTION("""COMPUTED_VALUE"""),46137.529502314814)</f>
        <v>46137.5295</v>
      </c>
      <c r="N619" s="93">
        <f>IFERROR(__xludf.DUMMYFUNCTION("""COMPUTED_VALUE"""),55.0)</f>
        <v>55</v>
      </c>
      <c r="O619" s="93"/>
      <c r="P619" s="93" t="str">
        <f>IFERROR(__xludf.DUMMYFUNCTION("""COMPUTED_VALUE"""),"Kit Delivery")</f>
        <v>Kit Delivery</v>
      </c>
      <c r="Q619" s="93"/>
      <c r="R619" s="93"/>
      <c r="S619" s="93" t="str">
        <f>IFERROR(__xludf.DUMMYFUNCTION("""COMPUTED_VALUE"""),"Dispatch_Images/KIT--17048.Photos.174224.jpg")</f>
        <v>Dispatch_Images/KIT--17048.Photos.174224.jpg</v>
      </c>
      <c r="T619" s="95">
        <f>IFERROR(__xludf.DUMMYFUNCTION("""COMPUTED_VALUE"""),46137.52989583334)</f>
        <v>46137.5299</v>
      </c>
      <c r="U619" s="93"/>
      <c r="V619" s="93"/>
      <c r="W619" s="93"/>
      <c r="X619" s="93"/>
      <c r="Y619" s="93"/>
      <c r="Z619" s="93"/>
    </row>
    <row r="620">
      <c r="A620" s="93" t="str">
        <f>IFERROR(__xludf.DUMMYFUNCTION("""COMPUTED_VALUE"""),"KIT-#17448")</f>
        <v>KIT-#17448</v>
      </c>
      <c r="B620" s="94">
        <f>IFERROR(__xludf.DUMMYFUNCTION("""COMPUTED_VALUE"""),46149.0)</f>
        <v>46149</v>
      </c>
      <c r="C620" s="93" t="str">
        <f>IFERROR(__xludf.DUMMYFUNCTION("""COMPUTED_VALUE"""),"Kit Delivery")</f>
        <v>Kit Delivery</v>
      </c>
      <c r="D620" s="93">
        <f>IFERROR(__xludf.DUMMYFUNCTION("""COMPUTED_VALUE"""),2.0)</f>
        <v>2</v>
      </c>
      <c r="E620" s="93" t="str">
        <f>IFERROR(__xludf.DUMMYFUNCTION("""COMPUTED_VALUE"""),"Shepley")</f>
        <v>Shepley</v>
      </c>
      <c r="F620" s="93">
        <f>IFERROR(__xludf.DUMMYFUNCTION("""COMPUTED_VALUE"""),3000.0)</f>
        <v>3000</v>
      </c>
      <c r="G620" s="93" t="str">
        <f>IFERROR(__xludf.DUMMYFUNCTION("""COMPUTED_VALUE"""),"Tea Delic")</f>
        <v>Tea Delic</v>
      </c>
      <c r="H620" s="93">
        <f>IFERROR(__xludf.DUMMYFUNCTION("""COMPUTED_VALUE"""),7.866672127E9)</f>
        <v>7866672127</v>
      </c>
      <c r="I620" s="93" t="str">
        <f>IFERROR(__xludf.DUMMYFUNCTION("""COMPUTED_VALUE"""),"1PM-3PM")</f>
        <v>1PM-3PM</v>
      </c>
      <c r="J620" s="93">
        <f>IFERROR(__xludf.DUMMYFUNCTION("""COMPUTED_VALUE"""),2.0)</f>
        <v>2</v>
      </c>
      <c r="K620" s="93" t="str">
        <f>IFERROR(__xludf.DUMMYFUNCTION("""COMPUTED_VALUE"""),"Complete")</f>
        <v>Complete</v>
      </c>
      <c r="L620" s="93"/>
      <c r="M620" s="94">
        <f>IFERROR(__xludf.DUMMYFUNCTION("""COMPUTED_VALUE"""),46137.53181712963)</f>
        <v>46137.53182</v>
      </c>
      <c r="N620" s="93">
        <f>IFERROR(__xludf.DUMMYFUNCTION("""COMPUTED_VALUE"""),56.0)</f>
        <v>56</v>
      </c>
      <c r="O620" s="93"/>
      <c r="P620" s="93" t="str">
        <f>IFERROR(__xludf.DUMMYFUNCTION("""COMPUTED_VALUE"""),"Kit Delivery")</f>
        <v>Kit Delivery</v>
      </c>
      <c r="Q620" s="93"/>
      <c r="R620" s="93"/>
      <c r="S620" s="93" t="str">
        <f>IFERROR(__xludf.DUMMYFUNCTION("""COMPUTED_VALUE"""),"Dispatch_Images/KIT--17448.Photos.174545.jpg")</f>
        <v>Dispatch_Images/KIT--17448.Photos.174545.jpg</v>
      </c>
      <c r="T620" s="95">
        <f>IFERROR(__xludf.DUMMYFUNCTION("""COMPUTED_VALUE"""),46137.536828703705)</f>
        <v>46137.53683</v>
      </c>
      <c r="U620" s="93"/>
      <c r="V620" s="93"/>
      <c r="W620" s="93"/>
      <c r="X620" s="93"/>
      <c r="Y620" s="93"/>
      <c r="Z620" s="93"/>
    </row>
    <row r="621">
      <c r="A621" s="93" t="str">
        <f>IFERROR(__xludf.DUMMYFUNCTION("""COMPUTED_VALUE"""),"KIT-#17745")</f>
        <v>KIT-#17745</v>
      </c>
      <c r="B621" s="94">
        <f>IFERROR(__xludf.DUMMYFUNCTION("""COMPUTED_VALUE"""),46149.0)</f>
        <v>46149</v>
      </c>
      <c r="C621" s="93" t="str">
        <f>IFERROR(__xludf.DUMMYFUNCTION("""COMPUTED_VALUE"""),"Kit Delivery")</f>
        <v>Kit Delivery</v>
      </c>
      <c r="D621" s="93">
        <f>IFERROR(__xludf.DUMMYFUNCTION("""COMPUTED_VALUE"""),2.0)</f>
        <v>2</v>
      </c>
      <c r="E621" s="93" t="str">
        <f>IFERROR(__xludf.DUMMYFUNCTION("""COMPUTED_VALUE"""),"Danforth")</f>
        <v>Danforth</v>
      </c>
      <c r="F621" s="93">
        <f>IFERROR(__xludf.DUMMYFUNCTION("""COMPUTED_VALUE"""),3320.0)</f>
        <v>3320</v>
      </c>
      <c r="G621" s="93" t="str">
        <f>IFERROR(__xludf.DUMMYFUNCTION("""COMPUTED_VALUE"""),"Hayden Linsky")</f>
        <v>Hayden Linsky</v>
      </c>
      <c r="H621" s="93">
        <f>IFERROR(__xludf.DUMMYFUNCTION("""COMPUTED_VALUE"""),9.172141935E9)</f>
        <v>9172141935</v>
      </c>
      <c r="I621" s="93" t="str">
        <f>IFERROR(__xludf.DUMMYFUNCTION("""COMPUTED_VALUE"""),"9AM-11AM")</f>
        <v>9AM-11AM</v>
      </c>
      <c r="J621" s="93">
        <f>IFERROR(__xludf.DUMMYFUNCTION("""COMPUTED_VALUE"""),2.0)</f>
        <v>2</v>
      </c>
      <c r="K621" s="93" t="str">
        <f>IFERROR(__xludf.DUMMYFUNCTION("""COMPUTED_VALUE"""),"Complete")</f>
        <v>Complete</v>
      </c>
      <c r="L621" s="93"/>
      <c r="M621" s="94">
        <f>IFERROR(__xludf.DUMMYFUNCTION("""COMPUTED_VALUE"""),46137.535405092596)</f>
        <v>46137.53541</v>
      </c>
      <c r="N621" s="93">
        <f>IFERROR(__xludf.DUMMYFUNCTION("""COMPUTED_VALUE"""),50.0)</f>
        <v>50</v>
      </c>
      <c r="O621" s="93"/>
      <c r="P621" s="93" t="str">
        <f>IFERROR(__xludf.DUMMYFUNCTION("""COMPUTED_VALUE"""),"Kit Delivery")</f>
        <v>Kit Delivery</v>
      </c>
      <c r="Q621" s="93" t="str">
        <f>IFERROR(__xludf.DUMMYFUNCTION("""COMPUTED_VALUE"""),"Do you store small furniture - i.e. night tables ?")</f>
        <v>Do you store small furniture - i.e. night tables ?</v>
      </c>
      <c r="R621" s="93"/>
      <c r="S621" s="93" t="str">
        <f>IFERROR(__xludf.DUMMYFUNCTION("""COMPUTED_VALUE"""),"Dispatch_Images/KIT--17745.Photos.175055.jpg")</f>
        <v>Dispatch_Images/KIT--17745.Photos.175055.jpg</v>
      </c>
      <c r="T621" s="95">
        <f>IFERROR(__xludf.DUMMYFUNCTION("""COMPUTED_VALUE"""),46137.536828703705)</f>
        <v>46137.53683</v>
      </c>
      <c r="U621" s="93"/>
      <c r="V621" s="93"/>
      <c r="W621" s="93"/>
      <c r="X621" s="93"/>
      <c r="Y621" s="93"/>
      <c r="Z621" s="93"/>
    </row>
    <row r="622">
      <c r="A622" s="93" t="str">
        <f>IFERROR(__xludf.DUMMYFUNCTION("""COMPUTED_VALUE"""),"KIT-#17737")</f>
        <v>KIT-#17737</v>
      </c>
      <c r="B622" s="94">
        <f>IFERROR(__xludf.DUMMYFUNCTION("""COMPUTED_VALUE"""),46149.0)</f>
        <v>46149</v>
      </c>
      <c r="C622" s="93" t="str">
        <f>IFERROR(__xludf.DUMMYFUNCTION("""COMPUTED_VALUE"""),"Kit Delivery")</f>
        <v>Kit Delivery</v>
      </c>
      <c r="D622" s="93">
        <f>IFERROR(__xludf.DUMMYFUNCTION("""COMPUTED_VALUE"""),2.0)</f>
        <v>2</v>
      </c>
      <c r="E622" s="93" t="str">
        <f>IFERROR(__xludf.DUMMYFUNCTION("""COMPUTED_VALUE"""),"Danforth")</f>
        <v>Danforth</v>
      </c>
      <c r="F622" s="93">
        <f>IFERROR(__xludf.DUMMYFUNCTION("""COMPUTED_VALUE"""),2232.0)</f>
        <v>2232</v>
      </c>
      <c r="G622" s="93" t="str">
        <f>IFERROR(__xludf.DUMMYFUNCTION("""COMPUTED_VALUE"""),"Srishreya Arunsaravanakumar")</f>
        <v>Srishreya Arunsaravanakumar</v>
      </c>
      <c r="H622" s="93">
        <f>IFERROR(__xludf.DUMMYFUNCTION("""COMPUTED_VALUE"""),9.257910313E9)</f>
        <v>9257910313</v>
      </c>
      <c r="I622" s="93" t="str">
        <f>IFERROR(__xludf.DUMMYFUNCTION("""COMPUTED_VALUE"""),"9AM-11AM")</f>
        <v>9AM-11AM</v>
      </c>
      <c r="J622" s="93">
        <f>IFERROR(__xludf.DUMMYFUNCTION("""COMPUTED_VALUE"""),1.0)</f>
        <v>1</v>
      </c>
      <c r="K622" s="93" t="str">
        <f>IFERROR(__xludf.DUMMYFUNCTION("""COMPUTED_VALUE"""),"Complete")</f>
        <v>Complete</v>
      </c>
      <c r="L622" s="93"/>
      <c r="M622" s="94">
        <f>IFERROR(__xludf.DUMMYFUNCTION("""COMPUTED_VALUE"""),46137.53738425926)</f>
        <v>46137.53738</v>
      </c>
      <c r="N622" s="93">
        <f>IFERROR(__xludf.DUMMYFUNCTION("""COMPUTED_VALUE"""),48.0)</f>
        <v>48</v>
      </c>
      <c r="O622" s="93"/>
      <c r="P622" s="93" t="str">
        <f>IFERROR(__xludf.DUMMYFUNCTION("""COMPUTED_VALUE"""),"Kit Delivery")</f>
        <v>Kit Delivery</v>
      </c>
      <c r="Q622" s="93"/>
      <c r="R622" s="93"/>
      <c r="S622" s="93" t="str">
        <f>IFERROR(__xludf.DUMMYFUNCTION("""COMPUTED_VALUE"""),"Dispatch_Images/KIT--17737.Photos.175347.jpg")</f>
        <v>Dispatch_Images/KIT--17737.Photos.175347.jpg</v>
      </c>
      <c r="T622" s="95">
        <f>IFERROR(__xludf.DUMMYFUNCTION("""COMPUTED_VALUE"""),46137.54378472222)</f>
        <v>46137.54378</v>
      </c>
      <c r="U622" s="93"/>
      <c r="V622" s="93"/>
      <c r="W622" s="93"/>
      <c r="X622" s="93"/>
      <c r="Y622" s="93"/>
      <c r="Z622" s="93"/>
    </row>
    <row r="623">
      <c r="A623" s="93" t="str">
        <f>IFERROR(__xludf.DUMMYFUNCTION("""COMPUTED_VALUE"""),"KIT-#17483")</f>
        <v>KIT-#17483</v>
      </c>
      <c r="B623" s="94">
        <f>IFERROR(__xludf.DUMMYFUNCTION("""COMPUTED_VALUE"""),46149.0)</f>
        <v>46149</v>
      </c>
      <c r="C623" s="93" t="str">
        <f>IFERROR(__xludf.DUMMYFUNCTION("""COMPUTED_VALUE"""),"Kit Delivery")</f>
        <v>Kit Delivery</v>
      </c>
      <c r="D623" s="93">
        <f>IFERROR(__xludf.DUMMYFUNCTION("""COMPUTED_VALUE"""),2.0)</f>
        <v>2</v>
      </c>
      <c r="E623" s="93" t="str">
        <f>IFERROR(__xludf.DUMMYFUNCTION("""COMPUTED_VALUE"""),"Wheeler")</f>
        <v>Wheeler</v>
      </c>
      <c r="F623" s="93">
        <f>IFERROR(__xludf.DUMMYFUNCTION("""COMPUTED_VALUE"""),3070.0)</f>
        <v>3070</v>
      </c>
      <c r="G623" s="93" t="str">
        <f>IFERROR(__xludf.DUMMYFUNCTION("""COMPUTED_VALUE"""),"Sophie Tian")</f>
        <v>Sophie Tian</v>
      </c>
      <c r="H623" s="93">
        <f>IFERROR(__xludf.DUMMYFUNCTION("""COMPUTED_VALUE"""),7.169067664E9)</f>
        <v>7169067664</v>
      </c>
      <c r="I623" s="93" t="str">
        <f>IFERROR(__xludf.DUMMYFUNCTION("""COMPUTED_VALUE"""),"9AM-11AM")</f>
        <v>9AM-11AM</v>
      </c>
      <c r="J623" s="93">
        <f>IFERROR(__xludf.DUMMYFUNCTION("""COMPUTED_VALUE"""),1.0)</f>
        <v>1</v>
      </c>
      <c r="K623" s="93" t="str">
        <f>IFERROR(__xludf.DUMMYFUNCTION("""COMPUTED_VALUE"""),"Complete")</f>
        <v>Complete</v>
      </c>
      <c r="L623" s="93"/>
      <c r="M623" s="94">
        <f>IFERROR(__xludf.DUMMYFUNCTION("""COMPUTED_VALUE"""),46137.54091435185)</f>
        <v>46137.54091</v>
      </c>
      <c r="N623" s="93">
        <f>IFERROR(__xludf.DUMMYFUNCTION("""COMPUTED_VALUE"""),59.0)</f>
        <v>59</v>
      </c>
      <c r="O623" s="93"/>
      <c r="P623" s="93" t="str">
        <f>IFERROR(__xludf.DUMMYFUNCTION("""COMPUTED_VALUE"""),"Kit Delivery")</f>
        <v>Kit Delivery</v>
      </c>
      <c r="Q623" s="93"/>
      <c r="R623" s="93"/>
      <c r="S623" s="93" t="str">
        <f>IFERROR(__xludf.DUMMYFUNCTION("""COMPUTED_VALUE"""),"Dispatch_Images/KIT--17483.Photos.175851.jpg")</f>
        <v>Dispatch_Images/KIT--17483.Photos.175851.jpg</v>
      </c>
      <c r="T623" s="95">
        <f>IFERROR(__xludf.DUMMYFUNCTION("""COMPUTED_VALUE"""),46137.54378472222)</f>
        <v>46137.54378</v>
      </c>
      <c r="U623" s="93"/>
      <c r="V623" s="93"/>
      <c r="W623" s="93"/>
      <c r="X623" s="93"/>
      <c r="Y623" s="93"/>
      <c r="Z623" s="93"/>
    </row>
    <row r="624">
      <c r="A624" s="93" t="str">
        <f>IFERROR(__xludf.DUMMYFUNCTION("""COMPUTED_VALUE"""),"KIT-#17141")</f>
        <v>KIT-#17141</v>
      </c>
      <c r="B624" s="94">
        <f>IFERROR(__xludf.DUMMYFUNCTION("""COMPUTED_VALUE"""),46149.0)</f>
        <v>46149</v>
      </c>
      <c r="C624" s="93" t="str">
        <f>IFERROR(__xludf.DUMMYFUNCTION("""COMPUTED_VALUE"""),"Kit Delivery")</f>
        <v>Kit Delivery</v>
      </c>
      <c r="D624" s="93">
        <f>IFERROR(__xludf.DUMMYFUNCTION("""COMPUTED_VALUE"""),2.0)</f>
        <v>2</v>
      </c>
      <c r="E624" s="93" t="str">
        <f>IFERROR(__xludf.DUMMYFUNCTION("""COMPUTED_VALUE"""),"Wheeler")</f>
        <v>Wheeler</v>
      </c>
      <c r="F624" s="93">
        <f>IFERROR(__xludf.DUMMYFUNCTION("""COMPUTED_VALUE"""),4033.0)</f>
        <v>4033</v>
      </c>
      <c r="G624" s="93" t="str">
        <f>IFERROR(__xludf.DUMMYFUNCTION("""COMPUTED_VALUE"""),"Camille Johnson")</f>
        <v>Camille Johnson</v>
      </c>
      <c r="H624" s="93">
        <f>IFERROR(__xludf.DUMMYFUNCTION("""COMPUTED_VALUE"""),4.158479046E9)</f>
        <v>4158479046</v>
      </c>
      <c r="I624" s="93" t="str">
        <f>IFERROR(__xludf.DUMMYFUNCTION("""COMPUTED_VALUE"""),"2PM-4PM")</f>
        <v>2PM-4PM</v>
      </c>
      <c r="J624" s="93">
        <f>IFERROR(__xludf.DUMMYFUNCTION("""COMPUTED_VALUE"""),1.0)</f>
        <v>1</v>
      </c>
      <c r="K624" s="93" t="str">
        <f>IFERROR(__xludf.DUMMYFUNCTION("""COMPUTED_VALUE"""),"Complete")</f>
        <v>Complete</v>
      </c>
      <c r="L624" s="93"/>
      <c r="M624" s="94">
        <f>IFERROR(__xludf.DUMMYFUNCTION("""COMPUTED_VALUE"""),46137.542222222226)</f>
        <v>46137.54222</v>
      </c>
      <c r="N624" s="93">
        <f>IFERROR(__xludf.DUMMYFUNCTION("""COMPUTED_VALUE"""),60.0)</f>
        <v>60</v>
      </c>
      <c r="O624" s="93"/>
      <c r="P624" s="93" t="str">
        <f>IFERROR(__xludf.DUMMYFUNCTION("""COMPUTED_VALUE"""),"Kit Delivery")</f>
        <v>Kit Delivery</v>
      </c>
      <c r="Q624" s="93"/>
      <c r="R624" s="93"/>
      <c r="S624" s="93" t="str">
        <f>IFERROR(__xludf.DUMMYFUNCTION("""COMPUTED_VALUE"""),"Dispatch_Images/KIT--17141.Photos.180043.jpg")</f>
        <v>Dispatch_Images/KIT--17141.Photos.180043.jpg</v>
      </c>
      <c r="T624" s="95">
        <f>IFERROR(__xludf.DUMMYFUNCTION("""COMPUTED_VALUE"""),46137.54378472222)</f>
        <v>46137.54378</v>
      </c>
      <c r="U624" s="93"/>
      <c r="V624" s="93"/>
      <c r="W624" s="93"/>
      <c r="X624" s="93"/>
      <c r="Y624" s="93"/>
      <c r="Z624" s="93"/>
    </row>
    <row r="625">
      <c r="A625" s="93" t="str">
        <f>IFERROR(__xludf.DUMMYFUNCTION("""COMPUTED_VALUE"""),"KIT-#17730")</f>
        <v>KIT-#17730</v>
      </c>
      <c r="B625" s="94">
        <f>IFERROR(__xludf.DUMMYFUNCTION("""COMPUTED_VALUE"""),46149.0)</f>
        <v>46149</v>
      </c>
      <c r="C625" s="93" t="str">
        <f>IFERROR(__xludf.DUMMYFUNCTION("""COMPUTED_VALUE"""),"Kit Delivery")</f>
        <v>Kit Delivery</v>
      </c>
      <c r="D625" s="93">
        <f>IFERROR(__xludf.DUMMYFUNCTION("""COMPUTED_VALUE"""),2.0)</f>
        <v>2</v>
      </c>
      <c r="E625" s="93" t="str">
        <f>IFERROR(__xludf.DUMMYFUNCTION("""COMPUTED_VALUE"""),"Park")</f>
        <v>Park</v>
      </c>
      <c r="F625" s="93">
        <f>IFERROR(__xludf.DUMMYFUNCTION("""COMPUTED_VALUE"""),460.0)</f>
        <v>460</v>
      </c>
      <c r="G625" s="93" t="str">
        <f>IFERROR(__xludf.DUMMYFUNCTION("""COMPUTED_VALUE"""),"Avielle Shiller")</f>
        <v>Avielle Shiller</v>
      </c>
      <c r="H625" s="93">
        <f>IFERROR(__xludf.DUMMYFUNCTION("""COMPUTED_VALUE"""),9.144144368E9)</f>
        <v>9144144368</v>
      </c>
      <c r="I625" s="93" t="str">
        <f>IFERROR(__xludf.DUMMYFUNCTION("""COMPUTED_VALUE"""),"3PM-5PM")</f>
        <v>3PM-5PM</v>
      </c>
      <c r="J625" s="93">
        <f>IFERROR(__xludf.DUMMYFUNCTION("""COMPUTED_VALUE"""),2.0)</f>
        <v>2</v>
      </c>
      <c r="K625" s="93" t="str">
        <f>IFERROR(__xludf.DUMMYFUNCTION("""COMPUTED_VALUE"""),"Complete")</f>
        <v>Complete</v>
      </c>
      <c r="L625" s="93"/>
      <c r="M625" s="94">
        <f>IFERROR(__xludf.DUMMYFUNCTION("""COMPUTED_VALUE"""),46137.54230324074)</f>
        <v>46137.5423</v>
      </c>
      <c r="N625" s="93">
        <f>IFERROR(__xludf.DUMMYFUNCTION("""COMPUTED_VALUE"""),61.0)</f>
        <v>61</v>
      </c>
      <c r="O625" s="93"/>
      <c r="P625" s="93" t="str">
        <f>IFERROR(__xludf.DUMMYFUNCTION("""COMPUTED_VALUE"""),"Kit Delivery")</f>
        <v>Kit Delivery</v>
      </c>
      <c r="Q625" s="93"/>
      <c r="R625" s="93"/>
      <c r="S625" s="93" t="str">
        <f>IFERROR(__xludf.DUMMYFUNCTION("""COMPUTED_VALUE"""),"Dispatch_Images/KIT--17730.Photos.180051.jpg")</f>
        <v>Dispatch_Images/KIT--17730.Photos.180051.jpg</v>
      </c>
      <c r="T625" s="95">
        <f>IFERROR(__xludf.DUMMYFUNCTION("""COMPUTED_VALUE"""),46137.54378472222)</f>
        <v>46137.54378</v>
      </c>
      <c r="U625" s="93"/>
      <c r="V625" s="93"/>
      <c r="W625" s="93"/>
      <c r="X625" s="93"/>
      <c r="Y625" s="93"/>
      <c r="Z625" s="93"/>
    </row>
    <row r="626">
      <c r="A626" s="93" t="str">
        <f>IFERROR(__xludf.DUMMYFUNCTION("""COMPUTED_VALUE"""),"KIT-#17669")</f>
        <v>KIT-#17669</v>
      </c>
      <c r="B626" s="94">
        <f>IFERROR(__xludf.DUMMYFUNCTION("""COMPUTED_VALUE"""),46149.0)</f>
        <v>46149</v>
      </c>
      <c r="C626" s="93" t="str">
        <f>IFERROR(__xludf.DUMMYFUNCTION("""COMPUTED_VALUE"""),"Kit Delivery")</f>
        <v>Kit Delivery</v>
      </c>
      <c r="D626" s="93">
        <f>IFERROR(__xludf.DUMMYFUNCTION("""COMPUTED_VALUE"""),2.0)</f>
        <v>2</v>
      </c>
      <c r="E626" s="93" t="str">
        <f>IFERROR(__xludf.DUMMYFUNCTION("""COMPUTED_VALUE"""),"Nemerov")</f>
        <v>Nemerov</v>
      </c>
      <c r="F626" s="93">
        <f>IFERROR(__xludf.DUMMYFUNCTION("""COMPUTED_VALUE"""),2080.0)</f>
        <v>2080</v>
      </c>
      <c r="G626" s="93" t="str">
        <f>IFERROR(__xludf.DUMMYFUNCTION("""COMPUTED_VALUE"""),"Emily Poltorak")</f>
        <v>Emily Poltorak</v>
      </c>
      <c r="H626" s="93">
        <f>IFERROR(__xludf.DUMMYFUNCTION("""COMPUTED_VALUE"""),3.102925626E9)</f>
        <v>3102925626</v>
      </c>
      <c r="I626" s="93" t="str">
        <f>IFERROR(__xludf.DUMMYFUNCTION("""COMPUTED_VALUE"""),"2PM-4PM")</f>
        <v>2PM-4PM</v>
      </c>
      <c r="J626" s="93">
        <f>IFERROR(__xludf.DUMMYFUNCTION("""COMPUTED_VALUE"""),1.0)</f>
        <v>1</v>
      </c>
      <c r="K626" s="93" t="str">
        <f>IFERROR(__xludf.DUMMYFUNCTION("""COMPUTED_VALUE"""),"Complete")</f>
        <v>Complete</v>
      </c>
      <c r="L626" s="93"/>
      <c r="M626" s="94">
        <f>IFERROR(__xludf.DUMMYFUNCTION("""COMPUTED_VALUE"""),46137.55505787037)</f>
        <v>46137.55506</v>
      </c>
      <c r="N626" s="93">
        <f>IFERROR(__xludf.DUMMYFUNCTION("""COMPUTED_VALUE"""),105.0)</f>
        <v>105</v>
      </c>
      <c r="O626" s="93"/>
      <c r="P626" s="93" t="str">
        <f>IFERROR(__xludf.DUMMYFUNCTION("""COMPUTED_VALUE"""),"Kit Delivery")</f>
        <v>Kit Delivery</v>
      </c>
      <c r="Q626" s="93"/>
      <c r="R626" s="93"/>
      <c r="S626" s="93" t="str">
        <f>IFERROR(__xludf.DUMMYFUNCTION("""COMPUTED_VALUE"""),"Dispatch_Images/KIT--17669.Photos.181914.jpg")</f>
        <v>Dispatch_Images/KIT--17669.Photos.181914.jpg</v>
      </c>
      <c r="T626" s="95">
        <f>IFERROR(__xludf.DUMMYFUNCTION("""COMPUTED_VALUE"""),46137.55767361111)</f>
        <v>46137.55767</v>
      </c>
      <c r="U626" s="93"/>
      <c r="V626" s="93"/>
      <c r="W626" s="93"/>
      <c r="X626" s="93"/>
      <c r="Y626" s="93"/>
      <c r="Z626" s="93"/>
    </row>
    <row r="627">
      <c r="A627" s="93" t="str">
        <f>IFERROR(__xludf.DUMMYFUNCTION("""COMPUTED_VALUE"""),"KIT-#17608")</f>
        <v>KIT-#17608</v>
      </c>
      <c r="B627" s="94">
        <f>IFERROR(__xludf.DUMMYFUNCTION("""COMPUTED_VALUE"""),46149.0)</f>
        <v>46149</v>
      </c>
      <c r="C627" s="93" t="str">
        <f>IFERROR(__xludf.DUMMYFUNCTION("""COMPUTED_VALUE"""),"Kit Delivery")</f>
        <v>Kit Delivery</v>
      </c>
      <c r="D627" s="93">
        <f>IFERROR(__xludf.DUMMYFUNCTION("""COMPUTED_VALUE"""),2.0)</f>
        <v>2</v>
      </c>
      <c r="E627" s="93" t="str">
        <f>IFERROR(__xludf.DUMMYFUNCTION("""COMPUTED_VALUE"""),"Koenig")</f>
        <v>Koenig</v>
      </c>
      <c r="F627" s="93">
        <f>IFERROR(__xludf.DUMMYFUNCTION("""COMPUTED_VALUE"""),2216.0)</f>
        <v>2216</v>
      </c>
      <c r="G627" s="93" t="str">
        <f>IFERROR(__xludf.DUMMYFUNCTION("""COMPUTED_VALUE"""),"Andrew Nesterovsky")</f>
        <v>Andrew Nesterovsky</v>
      </c>
      <c r="H627" s="93">
        <f>IFERROR(__xludf.DUMMYFUNCTION("""COMPUTED_VALUE"""),4.109633683E9)</f>
        <v>4109633683</v>
      </c>
      <c r="I627" s="93" t="str">
        <f>IFERROR(__xludf.DUMMYFUNCTION("""COMPUTED_VALUE"""),"3PM-5PM")</f>
        <v>3PM-5PM</v>
      </c>
      <c r="J627" s="93">
        <f>IFERROR(__xludf.DUMMYFUNCTION("""COMPUTED_VALUE"""),1.0)</f>
        <v>1</v>
      </c>
      <c r="K627" s="93" t="str">
        <f>IFERROR(__xludf.DUMMYFUNCTION("""COMPUTED_VALUE"""),"Complete")</f>
        <v>Complete</v>
      </c>
      <c r="L627" s="93"/>
      <c r="M627" s="94">
        <f>IFERROR(__xludf.DUMMYFUNCTION("""COMPUTED_VALUE"""),46137.571377314816)</f>
        <v>46137.57138</v>
      </c>
      <c r="N627" s="93">
        <f>IFERROR(__xludf.DUMMYFUNCTION("""COMPUTED_VALUE"""),132.0)</f>
        <v>132</v>
      </c>
      <c r="O627" s="93"/>
      <c r="P627" s="93" t="str">
        <f>IFERROR(__xludf.DUMMYFUNCTION("""COMPUTED_VALUE"""),"Kit Delivery")</f>
        <v>Kit Delivery</v>
      </c>
      <c r="Q627" s="93"/>
      <c r="R627" s="93"/>
      <c r="S627" s="93" t="str">
        <f>IFERROR(__xludf.DUMMYFUNCTION("""COMPUTED_VALUE"""),"Dispatch_Images/KIT--17608.Photos.184244.jpg")</f>
        <v>Dispatch_Images/KIT--17608.Photos.184244.jpg</v>
      </c>
      <c r="T627" s="95">
        <f>IFERROR(__xludf.DUMMYFUNCTION("""COMPUTED_VALUE"""),46137.571550925924)</f>
        <v>46137.57155</v>
      </c>
      <c r="U627" s="93"/>
      <c r="V627" s="93"/>
      <c r="W627" s="93"/>
      <c r="X627" s="93"/>
      <c r="Y627" s="93"/>
      <c r="Z627" s="93"/>
    </row>
    <row r="628">
      <c r="A628" s="93" t="str">
        <f>IFERROR(__xludf.DUMMYFUNCTION("""COMPUTED_VALUE"""),"KIT-#17728")</f>
        <v>KIT-#17728</v>
      </c>
      <c r="B628" s="94">
        <f>IFERROR(__xludf.DUMMYFUNCTION("""COMPUTED_VALUE"""),46149.0)</f>
        <v>46149</v>
      </c>
      <c r="C628" s="93" t="str">
        <f>IFERROR(__xludf.DUMMYFUNCTION("""COMPUTED_VALUE"""),"Kit Delivery")</f>
        <v>Kit Delivery</v>
      </c>
      <c r="D628" s="93">
        <f>IFERROR(__xludf.DUMMYFUNCTION("""COMPUTED_VALUE"""),2.0)</f>
        <v>2</v>
      </c>
      <c r="E628" s="93" t="str">
        <f>IFERROR(__xludf.DUMMYFUNCTION("""COMPUTED_VALUE"""),"Koenig")</f>
        <v>Koenig</v>
      </c>
      <c r="F628" s="93">
        <f>IFERROR(__xludf.DUMMYFUNCTION("""COMPUTED_VALUE"""),1117.0)</f>
        <v>1117</v>
      </c>
      <c r="G628" s="93" t="str">
        <f>IFERROR(__xludf.DUMMYFUNCTION("""COMPUTED_VALUE"""),"Tristan Frey")</f>
        <v>Tristan Frey</v>
      </c>
      <c r="H628" s="93">
        <f>IFERROR(__xludf.DUMMYFUNCTION("""COMPUTED_VALUE"""),9.179150686E9)</f>
        <v>9179150686</v>
      </c>
      <c r="I628" s="93" t="str">
        <f>IFERROR(__xludf.DUMMYFUNCTION("""COMPUTED_VALUE"""),"9AM-11AM")</f>
        <v>9AM-11AM</v>
      </c>
      <c r="J628" s="93">
        <f>IFERROR(__xludf.DUMMYFUNCTION("""COMPUTED_VALUE"""),1.0)</f>
        <v>1</v>
      </c>
      <c r="K628" s="93" t="str">
        <f>IFERROR(__xludf.DUMMYFUNCTION("""COMPUTED_VALUE"""),"Complete")</f>
        <v>Complete</v>
      </c>
      <c r="L628" s="93"/>
      <c r="M628" s="94">
        <f>IFERROR(__xludf.DUMMYFUNCTION("""COMPUTED_VALUE"""),46137.57340277778)</f>
        <v>46137.5734</v>
      </c>
      <c r="N628" s="93">
        <f>IFERROR(__xludf.DUMMYFUNCTION("""COMPUTED_VALUE"""),130.0)</f>
        <v>130</v>
      </c>
      <c r="O628" s="93"/>
      <c r="P628" s="93" t="str">
        <f>IFERROR(__xludf.DUMMYFUNCTION("""COMPUTED_VALUE"""),"Kit Delivery")</f>
        <v>Kit Delivery</v>
      </c>
      <c r="Q628" s="93" t="str">
        <f>IFERROR(__xludf.DUMMYFUNCTION("""COMPUTED_VALUE"""),"Hello - For the summer storage order, can we store a small fridge and vacuum? They won't fit into the boxes. How do you handle these types of items? Thank you!")</f>
        <v>Hello - For the summer storage order, can we store a small fridge and vacuum? They won't fit into the boxes. How do you handle these types of items? Thank you!</v>
      </c>
      <c r="R628" s="93"/>
      <c r="S628" s="93" t="str">
        <f>IFERROR(__xludf.DUMMYFUNCTION("""COMPUTED_VALUE"""),"Dispatch_Images/KIT--17728.Photos.184539.jpg")</f>
        <v>Dispatch_Images/KIT--17728.Photos.184539.jpg</v>
      </c>
      <c r="T628" s="95">
        <f>IFERROR(__xludf.DUMMYFUNCTION("""COMPUTED_VALUE"""),46137.57849537037)</f>
        <v>46137.5785</v>
      </c>
      <c r="U628" s="93"/>
      <c r="V628" s="93"/>
      <c r="W628" s="93"/>
      <c r="X628" s="93"/>
      <c r="Y628" s="93"/>
      <c r="Z628" s="93"/>
    </row>
    <row r="629">
      <c r="A629" s="93" t="str">
        <f>IFERROR(__xludf.DUMMYFUNCTION("""COMPUTED_VALUE"""),"KIT-#17736")</f>
        <v>KIT-#17736</v>
      </c>
      <c r="B629" s="94">
        <f>IFERROR(__xludf.DUMMYFUNCTION("""COMPUTED_VALUE"""),46149.0)</f>
        <v>46149</v>
      </c>
      <c r="C629" s="93" t="str">
        <f>IFERROR(__xludf.DUMMYFUNCTION("""COMPUTED_VALUE"""),"Kit Delivery")</f>
        <v>Kit Delivery</v>
      </c>
      <c r="D629" s="93">
        <f>IFERROR(__xludf.DUMMYFUNCTION("""COMPUTED_VALUE"""),2.0)</f>
        <v>2</v>
      </c>
      <c r="E629" s="93" t="str">
        <f>IFERROR(__xludf.DUMMYFUNCTION("""COMPUTED_VALUE"""),"Village House")</f>
        <v>Village House</v>
      </c>
      <c r="F629" s="93">
        <f>IFERROR(__xludf.DUMMYFUNCTION("""COMPUTED_VALUE"""),4012.0)</f>
        <v>4012</v>
      </c>
      <c r="G629" s="93" t="str">
        <f>IFERROR(__xludf.DUMMYFUNCTION("""COMPUTED_VALUE"""),"Rory O'Shea")</f>
        <v>Rory O'Shea</v>
      </c>
      <c r="H629" s="93">
        <f>IFERROR(__xludf.DUMMYFUNCTION("""COMPUTED_VALUE"""),6.319035927E9)</f>
        <v>6319035927</v>
      </c>
      <c r="I629" s="93" t="str">
        <f>IFERROR(__xludf.DUMMYFUNCTION("""COMPUTED_VALUE"""),"9AM-11AM")</f>
        <v>9AM-11AM</v>
      </c>
      <c r="J629" s="93">
        <f>IFERROR(__xludf.DUMMYFUNCTION("""COMPUTED_VALUE"""),2.0)</f>
        <v>2</v>
      </c>
      <c r="K629" s="93" t="str">
        <f>IFERROR(__xludf.DUMMYFUNCTION("""COMPUTED_VALUE"""),"Complete")</f>
        <v>Complete</v>
      </c>
      <c r="L629" s="93"/>
      <c r="M629" s="94">
        <f>IFERROR(__xludf.DUMMYFUNCTION("""COMPUTED_VALUE"""),46137.673055555555)</f>
        <v>46137.67306</v>
      </c>
      <c r="N629" s="93">
        <f>IFERROR(__xludf.DUMMYFUNCTION("""COMPUTED_VALUE"""),197.0)</f>
        <v>197</v>
      </c>
      <c r="O629" s="93"/>
      <c r="P629" s="93" t="str">
        <f>IFERROR(__xludf.DUMMYFUNCTION("""COMPUTED_VALUE"""),"Kit Delivery")</f>
        <v>Kit Delivery</v>
      </c>
      <c r="Q629" s="93" t="str">
        <f>IFERROR(__xludf.DUMMYFUNCTION("""COMPUTED_VALUE"""),"I will be moving into Village East the night of May 22 (apartment number TBD), so I would need temporary storage from May 7-22. I will move out of Village East on Aug 2, so I would also need boxes to be transported from Village East to my Fall semester ho"&amp;"using (location TBD). I will move into my Fall semester housing the night of Aug 3 (early move in).")</f>
        <v>I will be moving into Village East the night of May 22 (apartment number TBD), so I would need temporary storage from May 7-22. I will move out of Village East on Aug 2, so I would also need boxes to be transported from Village East to my Fall semester housing (location TBD). I will move into my Fall semester housing the night of Aug 3 (early move in).</v>
      </c>
      <c r="R629" s="93"/>
      <c r="S629" s="93" t="str">
        <f>IFERROR(__xludf.DUMMYFUNCTION("""COMPUTED_VALUE"""),"Dispatch_Images/KIT--17736.Photos.210909.jpg")</f>
        <v>Dispatch_Images/KIT--17736.Photos.210909.jpg</v>
      </c>
      <c r="T629" s="95">
        <f>IFERROR(__xludf.DUMMYFUNCTION("""COMPUTED_VALUE"""),46137.675729166665)</f>
        <v>46137.67573</v>
      </c>
      <c r="U629" s="93"/>
      <c r="V629" s="93"/>
      <c r="W629" s="93"/>
      <c r="X629" s="93"/>
      <c r="Y629" s="93"/>
      <c r="Z629" s="93"/>
    </row>
    <row r="630">
      <c r="A630" s="93" t="str">
        <f>IFERROR(__xludf.DUMMYFUNCTION("""COMPUTED_VALUE"""),"KIT-#17641")</f>
        <v>KIT-#17641</v>
      </c>
      <c r="B630" s="94">
        <f>IFERROR(__xludf.DUMMYFUNCTION("""COMPUTED_VALUE"""),46149.0)</f>
        <v>46149</v>
      </c>
      <c r="C630" s="93" t="str">
        <f>IFERROR(__xludf.DUMMYFUNCTION("""COMPUTED_VALUE"""),"Kit Delivery")</f>
        <v>Kit Delivery</v>
      </c>
      <c r="D630" s="93">
        <f>IFERROR(__xludf.DUMMYFUNCTION("""COMPUTED_VALUE"""),2.0)</f>
        <v>2</v>
      </c>
      <c r="E630" s="93" t="str">
        <f>IFERROR(__xludf.DUMMYFUNCTION("""COMPUTED_VALUE"""),"House 21")</f>
        <v>House 21</v>
      </c>
      <c r="F630" s="93">
        <f>IFERROR(__xludf.DUMMYFUNCTION("""COMPUTED_VALUE"""),3311.0)</f>
        <v>3311</v>
      </c>
      <c r="G630" s="93" t="str">
        <f>IFERROR(__xludf.DUMMYFUNCTION("""COMPUTED_VALUE"""),"Conrad Gerson")</f>
        <v>Conrad Gerson</v>
      </c>
      <c r="H630" s="93">
        <f>IFERROR(__xludf.DUMMYFUNCTION("""COMPUTED_VALUE"""),9.172460728E9)</f>
        <v>9172460728</v>
      </c>
      <c r="I630" s="93" t="str">
        <f>IFERROR(__xludf.DUMMYFUNCTION("""COMPUTED_VALUE"""),"9AM-11AM")</f>
        <v>9AM-11AM</v>
      </c>
      <c r="J630" s="93">
        <f>IFERROR(__xludf.DUMMYFUNCTION("""COMPUTED_VALUE"""),1.0)</f>
        <v>1</v>
      </c>
      <c r="K630" s="93" t="str">
        <f>IFERROR(__xludf.DUMMYFUNCTION("""COMPUTED_VALUE"""),"Complete")</f>
        <v>Complete</v>
      </c>
      <c r="L630" s="93"/>
      <c r="M630" s="94">
        <f>IFERROR(__xludf.DUMMYFUNCTION("""COMPUTED_VALUE"""),46137.679872685185)</f>
        <v>46137.67987</v>
      </c>
      <c r="N630" s="93">
        <f>IFERROR(__xludf.DUMMYFUNCTION("""COMPUTED_VALUE"""),248.0)</f>
        <v>248</v>
      </c>
      <c r="O630" s="93"/>
      <c r="P630" s="93" t="str">
        <f>IFERROR(__xludf.DUMMYFUNCTION("""COMPUTED_VALUE"""),"Kit Delivery")</f>
        <v>Kit Delivery</v>
      </c>
      <c r="Q630" s="93"/>
      <c r="R630" s="93"/>
      <c r="S630" s="93" t="str">
        <f>IFERROR(__xludf.DUMMYFUNCTION("""COMPUTED_VALUE"""),"Dispatch_Images/KIT--17641.Photos.211858.jpg")</f>
        <v>Dispatch_Images/KIT--17641.Photos.211858.jpg</v>
      </c>
      <c r="T630" s="95">
        <f>IFERROR(__xludf.DUMMYFUNCTION("""COMPUTED_VALUE"""),46137.682662037034)</f>
        <v>46137.68266</v>
      </c>
      <c r="U630" s="93"/>
      <c r="V630" s="93"/>
      <c r="W630" s="93"/>
      <c r="X630" s="93"/>
      <c r="Y630" s="93"/>
      <c r="Z630" s="93"/>
    </row>
    <row r="631">
      <c r="A631" s="93" t="str">
        <f>IFERROR(__xludf.DUMMYFUNCTION("""COMPUTED_VALUE"""),"KIT-#17464")</f>
        <v>KIT-#17464</v>
      </c>
      <c r="B631" s="94">
        <f>IFERROR(__xludf.DUMMYFUNCTION("""COMPUTED_VALUE"""),46149.0)</f>
        <v>46149</v>
      </c>
      <c r="C631" s="93" t="str">
        <f>IFERROR(__xludf.DUMMYFUNCTION("""COMPUTED_VALUE"""),"Kit Delivery")</f>
        <v>Kit Delivery</v>
      </c>
      <c r="D631" s="93">
        <f>IFERROR(__xludf.DUMMYFUNCTION("""COMPUTED_VALUE"""),2.0)</f>
        <v>2</v>
      </c>
      <c r="E631" s="93" t="str">
        <f>IFERROR(__xludf.DUMMYFUNCTION("""COMPUTED_VALUE"""),"House 21")</f>
        <v>House 21</v>
      </c>
      <c r="F631" s="93" t="str">
        <f>IFERROR(__xludf.DUMMYFUNCTION("""COMPUTED_VALUE"""),"House 21 - 2063 - a")</f>
        <v>House 21 - 2063 - a</v>
      </c>
      <c r="G631" s="93" t="str">
        <f>IFERROR(__xludf.DUMMYFUNCTION("""COMPUTED_VALUE"""),"Chris Ryan")</f>
        <v>Chris Ryan</v>
      </c>
      <c r="H631" s="93">
        <f>IFERROR(__xludf.DUMMYFUNCTION("""COMPUTED_VALUE"""),3.392354784E9)</f>
        <v>3392354784</v>
      </c>
      <c r="I631" s="93" t="str">
        <f>IFERROR(__xludf.DUMMYFUNCTION("""COMPUTED_VALUE"""),"9AM-11AM")</f>
        <v>9AM-11AM</v>
      </c>
      <c r="J631" s="93">
        <f>IFERROR(__xludf.DUMMYFUNCTION("""COMPUTED_VALUE"""),1.0)</f>
        <v>1</v>
      </c>
      <c r="K631" s="93" t="str">
        <f>IFERROR(__xludf.DUMMYFUNCTION("""COMPUTED_VALUE"""),"Complete")</f>
        <v>Complete</v>
      </c>
      <c r="L631" s="93"/>
      <c r="M631" s="94">
        <f>IFERROR(__xludf.DUMMYFUNCTION("""COMPUTED_VALUE"""),46137.68188657408)</f>
        <v>46137.68189</v>
      </c>
      <c r="N631" s="93">
        <f>IFERROR(__xludf.DUMMYFUNCTION("""COMPUTED_VALUE"""),240.0)</f>
        <v>240</v>
      </c>
      <c r="O631" s="93"/>
      <c r="P631" s="93" t="str">
        <f>IFERROR(__xludf.DUMMYFUNCTION("""COMPUTED_VALUE"""),"Kit Delivery")</f>
        <v>Kit Delivery</v>
      </c>
      <c r="Q631" s="93"/>
      <c r="R631" s="93"/>
      <c r="S631" s="93" t="str">
        <f>IFERROR(__xludf.DUMMYFUNCTION("""COMPUTED_VALUE"""),"Dispatch_Images/KIT--17464.Photos.212152.jpg")</f>
        <v>Dispatch_Images/KIT--17464.Photos.212152.jpg</v>
      </c>
      <c r="T631" s="95">
        <f>IFERROR(__xludf.DUMMYFUNCTION("""COMPUTED_VALUE"""),46137.682662037034)</f>
        <v>46137.68266</v>
      </c>
      <c r="U631" s="93"/>
      <c r="V631" s="93"/>
      <c r="W631" s="93"/>
      <c r="X631" s="93"/>
      <c r="Y631" s="93"/>
      <c r="Z631" s="93"/>
    </row>
    <row r="632">
      <c r="A632" s="93" t="str">
        <f>IFERROR(__xludf.DUMMYFUNCTION("""COMPUTED_VALUE"""),"KIT-#17325")</f>
        <v>KIT-#17325</v>
      </c>
      <c r="B632" s="94">
        <f>IFERROR(__xludf.DUMMYFUNCTION("""COMPUTED_VALUE"""),46149.0)</f>
        <v>46149</v>
      </c>
      <c r="C632" s="93" t="str">
        <f>IFERROR(__xludf.DUMMYFUNCTION("""COMPUTED_VALUE"""),"Kit Delivery")</f>
        <v>Kit Delivery</v>
      </c>
      <c r="D632" s="93">
        <f>IFERROR(__xludf.DUMMYFUNCTION("""COMPUTED_VALUE"""),2.0)</f>
        <v>2</v>
      </c>
      <c r="E632" s="93" t="str">
        <f>IFERROR(__xludf.DUMMYFUNCTION("""COMPUTED_VALUE"""),"6639 UDrive")</f>
        <v>6639 UDrive</v>
      </c>
      <c r="F632" s="93" t="str">
        <f>IFERROR(__xludf.DUMMYFUNCTION("""COMPUTED_VALUE"""),"2W-A")</f>
        <v>2W-A</v>
      </c>
      <c r="G632" s="93" t="str">
        <f>IFERROR(__xludf.DUMMYFUNCTION("""COMPUTED_VALUE"""),"Sebastian Pujet")</f>
        <v>Sebastian Pujet</v>
      </c>
      <c r="H632" s="93">
        <f>IFERROR(__xludf.DUMMYFUNCTION("""COMPUTED_VALUE"""),7.203693946E9)</f>
        <v>7203693946</v>
      </c>
      <c r="I632" s="93" t="str">
        <f>IFERROR(__xludf.DUMMYFUNCTION("""COMPUTED_VALUE"""),"1PM-3PM")</f>
        <v>1PM-3PM</v>
      </c>
      <c r="J632" s="93">
        <f>IFERROR(__xludf.DUMMYFUNCTION("""COMPUTED_VALUE"""),1.0)</f>
        <v>1</v>
      </c>
      <c r="K632" s="93" t="str">
        <f>IFERROR(__xludf.DUMMYFUNCTION("""COMPUTED_VALUE"""),"Complete")</f>
        <v>Complete</v>
      </c>
      <c r="L632" s="93"/>
      <c r="M632" s="94">
        <f>IFERROR(__xludf.DUMMYFUNCTION("""COMPUTED_VALUE"""),46137.69966435185)</f>
        <v>46137.69966</v>
      </c>
      <c r="N632" s="93">
        <f>IFERROR(__xludf.DUMMYFUNCTION("""COMPUTED_VALUE"""),252.0)</f>
        <v>252</v>
      </c>
      <c r="O632" s="93"/>
      <c r="P632" s="93" t="str">
        <f>IFERROR(__xludf.DUMMYFUNCTION("""COMPUTED_VALUE"""),"Kit Delivery")</f>
        <v>Kit Delivery</v>
      </c>
      <c r="Q632" s="93"/>
      <c r="R632" s="93"/>
      <c r="S632" s="93" t="str">
        <f>IFERROR(__xludf.DUMMYFUNCTION("""COMPUTED_VALUE"""),"Dispatch_Images/KIT--17325.Photos.214727.jpg")</f>
        <v>Dispatch_Images/KIT--17325.Photos.214727.jpg</v>
      </c>
      <c r="T632" s="95">
        <f>IFERROR(__xludf.DUMMYFUNCTION("""COMPUTED_VALUE"""),46137.70349537037)</f>
        <v>46137.7035</v>
      </c>
      <c r="U632" s="93"/>
      <c r="V632" s="93"/>
      <c r="W632" s="93"/>
      <c r="X632" s="93"/>
      <c r="Y632" s="93"/>
      <c r="Z632" s="93"/>
    </row>
    <row r="633">
      <c r="A633" s="93" t="str">
        <f>IFERROR(__xludf.DUMMYFUNCTION("""COMPUTED_VALUE"""),"KIT-#17533")</f>
        <v>KIT-#17533</v>
      </c>
      <c r="B633" s="94">
        <f>IFERROR(__xludf.DUMMYFUNCTION("""COMPUTED_VALUE"""),46149.0)</f>
        <v>46149</v>
      </c>
      <c r="C633" s="93" t="str">
        <f>IFERROR(__xludf.DUMMYFUNCTION("""COMPUTED_VALUE"""),"Kit Delivery")</f>
        <v>Kit Delivery</v>
      </c>
      <c r="D633" s="93">
        <f>IFERROR(__xludf.DUMMYFUNCTION("""COMPUTED_VALUE"""),2.0)</f>
        <v>2</v>
      </c>
      <c r="E633" s="93" t="str">
        <f>IFERROR(__xludf.DUMMYFUNCTION("""COMPUTED_VALUE"""),"6639 UDrive")</f>
        <v>6639 UDrive</v>
      </c>
      <c r="F633" s="93" t="str">
        <f>IFERROR(__xludf.DUMMYFUNCTION("""COMPUTED_VALUE"""),"2W-B")</f>
        <v>2W-B</v>
      </c>
      <c r="G633" s="93" t="str">
        <f>IFERROR(__xludf.DUMMYFUNCTION("""COMPUTED_VALUE"""),"Brendan Rubel")</f>
        <v>Brendan Rubel</v>
      </c>
      <c r="H633" s="93">
        <f>IFERROR(__xludf.DUMMYFUNCTION("""COMPUTED_VALUE"""),3.392224332E9)</f>
        <v>3392224332</v>
      </c>
      <c r="I633" s="93" t="str">
        <f>IFERROR(__xludf.DUMMYFUNCTION("""COMPUTED_VALUE"""),"3PM-5PM")</f>
        <v>3PM-5PM</v>
      </c>
      <c r="J633" s="93">
        <f>IFERROR(__xludf.DUMMYFUNCTION("""COMPUTED_VALUE"""),1.0)</f>
        <v>1</v>
      </c>
      <c r="K633" s="93" t="str">
        <f>IFERROR(__xludf.DUMMYFUNCTION("""COMPUTED_VALUE"""),"Complete")</f>
        <v>Complete</v>
      </c>
      <c r="L633" s="93"/>
      <c r="M633" s="94">
        <f>IFERROR(__xludf.DUMMYFUNCTION("""COMPUTED_VALUE"""),46137.70072916667)</f>
        <v>46137.70073</v>
      </c>
      <c r="N633" s="93">
        <f>IFERROR(__xludf.DUMMYFUNCTION("""COMPUTED_VALUE"""),253.0)</f>
        <v>253</v>
      </c>
      <c r="O633" s="93"/>
      <c r="P633" s="93" t="str">
        <f>IFERROR(__xludf.DUMMYFUNCTION("""COMPUTED_VALUE"""),"Kit Delivery")</f>
        <v>Kit Delivery</v>
      </c>
      <c r="Q633" s="93"/>
      <c r="R633" s="93"/>
      <c r="S633" s="93" t="str">
        <f>IFERROR(__xludf.DUMMYFUNCTION("""COMPUTED_VALUE"""),"Dispatch_Images/KIT--17533.Photos.214859.jpg")</f>
        <v>Dispatch_Images/KIT--17533.Photos.214859.jpg</v>
      </c>
      <c r="T633" s="95">
        <f>IFERROR(__xludf.DUMMYFUNCTION("""COMPUTED_VALUE"""),46137.70349537037)</f>
        <v>46137.7035</v>
      </c>
      <c r="U633" s="93"/>
      <c r="V633" s="93"/>
      <c r="W633" s="93"/>
      <c r="X633" s="93"/>
      <c r="Y633" s="93"/>
      <c r="Z633" s="93"/>
    </row>
    <row r="634">
      <c r="A634" s="93" t="str">
        <f>IFERROR(__xludf.DUMMYFUNCTION("""COMPUTED_VALUE"""),"KIT-#17656")</f>
        <v>KIT-#17656</v>
      </c>
      <c r="B634" s="94">
        <f>IFERROR(__xludf.DUMMYFUNCTION("""COMPUTED_VALUE"""),46149.0)</f>
        <v>46149</v>
      </c>
      <c r="C634" s="93" t="str">
        <f>IFERROR(__xludf.DUMMYFUNCTION("""COMPUTED_VALUE"""),"Kit Delivery")</f>
        <v>Kit Delivery</v>
      </c>
      <c r="D634" s="93">
        <f>IFERROR(__xludf.DUMMYFUNCTION("""COMPUTED_VALUE"""),2.0)</f>
        <v>2</v>
      </c>
      <c r="E634" s="93" t="str">
        <f>IFERROR(__xludf.DUMMYFUNCTION("""COMPUTED_VALUE"""),"Hitzeman")</f>
        <v>Hitzeman</v>
      </c>
      <c r="F634" s="93">
        <f>IFERROR(__xludf.DUMMYFUNCTION("""COMPUTED_VALUE"""),424.0)</f>
        <v>424</v>
      </c>
      <c r="G634" s="93" t="str">
        <f>IFERROR(__xludf.DUMMYFUNCTION("""COMPUTED_VALUE"""),"Julie Remache")</f>
        <v>Julie Remache</v>
      </c>
      <c r="H634" s="93">
        <f>IFERROR(__xludf.DUMMYFUNCTION("""COMPUTED_VALUE"""),9.294718915E9)</f>
        <v>9294718915</v>
      </c>
      <c r="I634" s="93" t="str">
        <f>IFERROR(__xludf.DUMMYFUNCTION("""COMPUTED_VALUE"""),"9AM-11AM")</f>
        <v>9AM-11AM</v>
      </c>
      <c r="J634" s="93">
        <f>IFERROR(__xludf.DUMMYFUNCTION("""COMPUTED_VALUE"""),1.0)</f>
        <v>1</v>
      </c>
      <c r="K634" s="93" t="str">
        <f>IFERROR(__xludf.DUMMYFUNCTION("""COMPUTED_VALUE"""),"Complete")</f>
        <v>Complete</v>
      </c>
      <c r="L634" s="93"/>
      <c r="M634" s="94">
        <f>IFERROR(__xludf.DUMMYFUNCTION("""COMPUTED_VALUE"""),46137.78459490741)</f>
        <v>46137.78459</v>
      </c>
      <c r="N634" s="93">
        <f>IFERROR(__xludf.DUMMYFUNCTION("""COMPUTED_VALUE"""),10.0)</f>
        <v>10</v>
      </c>
      <c r="O634" s="93"/>
      <c r="P634" s="93" t="str">
        <f>IFERROR(__xludf.DUMMYFUNCTION("""COMPUTED_VALUE"""),"Kit Delivery")</f>
        <v>Kit Delivery</v>
      </c>
      <c r="Q634" s="93"/>
      <c r="R634" s="93"/>
      <c r="S634" s="93" t="str">
        <f>IFERROR(__xludf.DUMMYFUNCTION("""COMPUTED_VALUE"""),"Dispatch_Images/KIT--17656.Photos.234944.jpg")</f>
        <v>Dispatch_Images/KIT--17656.Photos.234944.jpg</v>
      </c>
      <c r="T634" s="95">
        <f>IFERROR(__xludf.DUMMYFUNCTION("""COMPUTED_VALUE"""),46137.786828703705)</f>
        <v>46137.78683</v>
      </c>
      <c r="U634" s="93"/>
      <c r="V634" s="93"/>
      <c r="W634" s="93"/>
      <c r="X634" s="93"/>
      <c r="Y634" s="93"/>
      <c r="Z634" s="93"/>
    </row>
    <row r="635">
      <c r="A635" s="93" t="str">
        <f>IFERROR(__xludf.DUMMYFUNCTION("""COMPUTED_VALUE"""),"KIT-#17653")</f>
        <v>KIT-#17653</v>
      </c>
      <c r="B635" s="94">
        <f>IFERROR(__xludf.DUMMYFUNCTION("""COMPUTED_VALUE"""),46149.0)</f>
        <v>46149</v>
      </c>
      <c r="C635" s="93" t="str">
        <f>IFERROR(__xludf.DUMMYFUNCTION("""COMPUTED_VALUE"""),"Kit Delivery")</f>
        <v>Kit Delivery</v>
      </c>
      <c r="D635" s="93">
        <f>IFERROR(__xludf.DUMMYFUNCTION("""COMPUTED_VALUE"""),2.0)</f>
        <v>2</v>
      </c>
      <c r="E635" s="93" t="str">
        <f>IFERROR(__xludf.DUMMYFUNCTION("""COMPUTED_VALUE"""),"Hitzeman")</f>
        <v>Hitzeman</v>
      </c>
      <c r="F635" s="93">
        <f>IFERROR(__xludf.DUMMYFUNCTION("""COMPUTED_VALUE"""),23.0)</f>
        <v>23</v>
      </c>
      <c r="G635" s="93" t="str">
        <f>IFERROR(__xludf.DUMMYFUNCTION("""COMPUTED_VALUE"""),"Giulia Vitolo")</f>
        <v>Giulia Vitolo</v>
      </c>
      <c r="H635" s="93">
        <f>IFERROR(__xludf.DUMMYFUNCTION("""COMPUTED_VALUE"""),9.17570488E9)</f>
        <v>9175704880</v>
      </c>
      <c r="I635" s="93" t="str">
        <f>IFERROR(__xludf.DUMMYFUNCTION("""COMPUTED_VALUE"""),"12PM-2PM")</f>
        <v>12PM-2PM</v>
      </c>
      <c r="J635" s="93">
        <f>IFERROR(__xludf.DUMMYFUNCTION("""COMPUTED_VALUE"""),2.0)</f>
        <v>2</v>
      </c>
      <c r="K635" s="93" t="str">
        <f>IFERROR(__xludf.DUMMYFUNCTION("""COMPUTED_VALUE"""),"Complete")</f>
        <v>Complete</v>
      </c>
      <c r="L635" s="93"/>
      <c r="M635" s="94">
        <f>IFERROR(__xludf.DUMMYFUNCTION("""COMPUTED_VALUE"""),46137.790034722224)</f>
        <v>46137.79003</v>
      </c>
      <c r="N635" s="93">
        <f>IFERROR(__xludf.DUMMYFUNCTION("""COMPUTED_VALUE"""),2.0)</f>
        <v>2</v>
      </c>
      <c r="O635" s="93"/>
      <c r="P635" s="93" t="str">
        <f>IFERROR(__xludf.DUMMYFUNCTION("""COMPUTED_VALUE"""),"Kit Delivery")</f>
        <v>Kit Delivery</v>
      </c>
      <c r="Q635" s="93"/>
      <c r="R635" s="93"/>
      <c r="S635" s="93" t="str">
        <f>IFERROR(__xludf.DUMMYFUNCTION("""COMPUTED_VALUE"""),"Dispatch_Images/KIT--17653.Photos.235735.jpg")</f>
        <v>Dispatch_Images/KIT--17653.Photos.235735.jpg</v>
      </c>
      <c r="T635" s="95">
        <f>IFERROR(__xludf.DUMMYFUNCTION("""COMPUTED_VALUE"""),46137.79378472222)</f>
        <v>46137.79378</v>
      </c>
      <c r="U635" s="93"/>
      <c r="V635" s="93"/>
      <c r="W635" s="93"/>
      <c r="X635" s="93"/>
      <c r="Y635" s="93"/>
      <c r="Z635" s="93"/>
    </row>
    <row r="636">
      <c r="A636" s="93" t="str">
        <f>IFERROR(__xludf.DUMMYFUNCTION("""COMPUTED_VALUE"""),"KIT-#17126")</f>
        <v>KIT-#17126</v>
      </c>
      <c r="B636" s="94">
        <f>IFERROR(__xludf.DUMMYFUNCTION("""COMPUTED_VALUE"""),46149.0)</f>
        <v>46149</v>
      </c>
      <c r="C636" s="93" t="str">
        <f>IFERROR(__xludf.DUMMYFUNCTION("""COMPUTED_VALUE"""),"Kit Delivery")</f>
        <v>Kit Delivery</v>
      </c>
      <c r="D636" s="93">
        <f>IFERROR(__xludf.DUMMYFUNCTION("""COMPUTED_VALUE"""),2.0)</f>
        <v>2</v>
      </c>
      <c r="E636" s="93" t="str">
        <f>IFERROR(__xludf.DUMMYFUNCTION("""COMPUTED_VALUE"""),"Hitzeman")</f>
        <v>Hitzeman</v>
      </c>
      <c r="F636" s="93">
        <f>IFERROR(__xludf.DUMMYFUNCTION("""COMPUTED_VALUE"""),232.0)</f>
        <v>232</v>
      </c>
      <c r="G636" s="93" t="str">
        <f>IFERROR(__xludf.DUMMYFUNCTION("""COMPUTED_VALUE"""),"Sammi Jacknis")</f>
        <v>Sammi Jacknis</v>
      </c>
      <c r="H636" s="93">
        <f>IFERROR(__xludf.DUMMYFUNCTION("""COMPUTED_VALUE"""),9.175922703E9)</f>
        <v>9175922703</v>
      </c>
      <c r="I636" s="93" t="str">
        <f>IFERROR(__xludf.DUMMYFUNCTION("""COMPUTED_VALUE"""),"9AM-11AM")</f>
        <v>9AM-11AM</v>
      </c>
      <c r="J636" s="93">
        <f>IFERROR(__xludf.DUMMYFUNCTION("""COMPUTED_VALUE"""),1.0)</f>
        <v>1</v>
      </c>
      <c r="K636" s="93" t="str">
        <f>IFERROR(__xludf.DUMMYFUNCTION("""COMPUTED_VALUE"""),"Complete")</f>
        <v>Complete</v>
      </c>
      <c r="L636" s="93"/>
      <c r="M636" s="94">
        <f>IFERROR(__xludf.DUMMYFUNCTION("""COMPUTED_VALUE"""),46137.79040509259)</f>
        <v>46137.79041</v>
      </c>
      <c r="N636" s="93">
        <f>IFERROR(__xludf.DUMMYFUNCTION("""COMPUTED_VALUE"""),6.0)</f>
        <v>6</v>
      </c>
      <c r="O636" s="93"/>
      <c r="P636" s="93" t="str">
        <f>IFERROR(__xludf.DUMMYFUNCTION("""COMPUTED_VALUE"""),"Kit Delivery")</f>
        <v>Kit Delivery</v>
      </c>
      <c r="Q636" s="93"/>
      <c r="R636" s="93"/>
      <c r="S636" s="93" t="str">
        <f>IFERROR(__xludf.DUMMYFUNCTION("""COMPUTED_VALUE"""),"Dispatch_Images/KIT--17126.Photos.235807.jpg")</f>
        <v>Dispatch_Images/KIT--17126.Photos.235807.jpg</v>
      </c>
      <c r="T636" s="95">
        <f>IFERROR(__xludf.DUMMYFUNCTION("""COMPUTED_VALUE"""),46137.79378472222)</f>
        <v>46137.79378</v>
      </c>
      <c r="U636" s="93"/>
      <c r="V636" s="93"/>
      <c r="W636" s="93"/>
      <c r="X636" s="93"/>
      <c r="Y636" s="93"/>
      <c r="Z636" s="93"/>
    </row>
    <row r="637">
      <c r="A637" s="93" t="str">
        <f>IFERROR(__xludf.DUMMYFUNCTION("""COMPUTED_VALUE"""),"KIT-#17616")</f>
        <v>KIT-#17616</v>
      </c>
      <c r="B637" s="94">
        <f>IFERROR(__xludf.DUMMYFUNCTION("""COMPUTED_VALUE"""),46149.0)</f>
        <v>46149</v>
      </c>
      <c r="C637" s="93" t="str">
        <f>IFERROR(__xludf.DUMMYFUNCTION("""COMPUTED_VALUE"""),"Kit Delivery")</f>
        <v>Kit Delivery</v>
      </c>
      <c r="D637" s="93">
        <f>IFERROR(__xludf.DUMMYFUNCTION("""COMPUTED_VALUE"""),2.0)</f>
        <v>2</v>
      </c>
      <c r="E637" s="93" t="str">
        <f>IFERROR(__xludf.DUMMYFUNCTION("""COMPUTED_VALUE"""),"Hitzeman")</f>
        <v>Hitzeman</v>
      </c>
      <c r="F637" s="93">
        <f>IFERROR(__xludf.DUMMYFUNCTION("""COMPUTED_VALUE"""),112.0)</f>
        <v>112</v>
      </c>
      <c r="G637" s="93" t="str">
        <f>IFERROR(__xludf.DUMMYFUNCTION("""COMPUTED_VALUE"""),"Reese Gittleman")</f>
        <v>Reese Gittleman</v>
      </c>
      <c r="H637" s="93">
        <f>IFERROR(__xludf.DUMMYFUNCTION("""COMPUTED_VALUE"""),2.678221995E9)</f>
        <v>2678221995</v>
      </c>
      <c r="I637" s="93" t="str">
        <f>IFERROR(__xludf.DUMMYFUNCTION("""COMPUTED_VALUE"""),"3PM-5PM")</f>
        <v>3PM-5PM</v>
      </c>
      <c r="J637" s="93">
        <f>IFERROR(__xludf.DUMMYFUNCTION("""COMPUTED_VALUE"""),1.0)</f>
        <v>1</v>
      </c>
      <c r="K637" s="93" t="str">
        <f>IFERROR(__xludf.DUMMYFUNCTION("""COMPUTED_VALUE"""),"Complete")</f>
        <v>Complete</v>
      </c>
      <c r="L637" s="93"/>
      <c r="M637" s="94">
        <f>IFERROR(__xludf.DUMMYFUNCTION("""COMPUTED_VALUE"""),46137.79174768519)</f>
        <v>46137.79175</v>
      </c>
      <c r="N637" s="93">
        <f>IFERROR(__xludf.DUMMYFUNCTION("""COMPUTED_VALUE"""),3.0)</f>
        <v>3</v>
      </c>
      <c r="O637" s="93"/>
      <c r="P637" s="93" t="str">
        <f>IFERROR(__xludf.DUMMYFUNCTION("""COMPUTED_VALUE"""),"Kit Delivery")</f>
        <v>Kit Delivery</v>
      </c>
      <c r="Q637" s="93"/>
      <c r="R637" s="93"/>
      <c r="S637" s="93" t="str">
        <f>IFERROR(__xludf.DUMMYFUNCTION("""COMPUTED_VALUE"""),"Dispatch_Images/KIT--17616.Photos.000004.jpg")</f>
        <v>Dispatch_Images/KIT--17616.Photos.000004.jpg</v>
      </c>
      <c r="T637" s="95">
        <f>IFERROR(__xludf.DUMMYFUNCTION("""COMPUTED_VALUE"""),46137.79378472222)</f>
        <v>46137.79378</v>
      </c>
      <c r="U637" s="93"/>
      <c r="V637" s="93"/>
      <c r="W637" s="93"/>
      <c r="X637" s="93"/>
      <c r="Y637" s="93"/>
      <c r="Z637" s="93"/>
    </row>
    <row r="638">
      <c r="A638" s="93" t="str">
        <f>IFERROR(__xludf.DUMMYFUNCTION("""COMPUTED_VALUE"""),"KIT-#17365")</f>
        <v>KIT-#17365</v>
      </c>
      <c r="B638" s="94">
        <f>IFERROR(__xludf.DUMMYFUNCTION("""COMPUTED_VALUE"""),46149.0)</f>
        <v>46149</v>
      </c>
      <c r="C638" s="93" t="str">
        <f>IFERROR(__xludf.DUMMYFUNCTION("""COMPUTED_VALUE"""),"Kit Delivery")</f>
        <v>Kit Delivery</v>
      </c>
      <c r="D638" s="93">
        <f>IFERROR(__xludf.DUMMYFUNCTION("""COMPUTED_VALUE"""),2.0)</f>
        <v>2</v>
      </c>
      <c r="E638" s="93" t="str">
        <f>IFERROR(__xludf.DUMMYFUNCTION("""COMPUTED_VALUE"""),"Gregg")</f>
        <v>Gregg</v>
      </c>
      <c r="F638" s="93" t="str">
        <f>IFERROR(__xludf.DUMMYFUNCTION("""COMPUTED_VALUE"""),"3022a")</f>
        <v>3022a</v>
      </c>
      <c r="G638" s="93" t="str">
        <f>IFERROR(__xludf.DUMMYFUNCTION("""COMPUTED_VALUE"""),"Ross de Burca")</f>
        <v>Ross de Burca</v>
      </c>
      <c r="H638" s="93">
        <f>IFERROR(__xludf.DUMMYFUNCTION("""COMPUTED_VALUE"""),6.462475498E9)</f>
        <v>6462475498</v>
      </c>
      <c r="I638" s="93" t="str">
        <f>IFERROR(__xludf.DUMMYFUNCTION("""COMPUTED_VALUE"""),"10AM-12PM")</f>
        <v>10AM-12PM</v>
      </c>
      <c r="J638" s="93">
        <f>IFERROR(__xludf.DUMMYFUNCTION("""COMPUTED_VALUE"""),1.0)</f>
        <v>1</v>
      </c>
      <c r="K638" s="93" t="str">
        <f>IFERROR(__xludf.DUMMYFUNCTION("""COMPUTED_VALUE"""),"Complete")</f>
        <v>Complete</v>
      </c>
      <c r="L638" s="93"/>
      <c r="M638" s="94">
        <f>IFERROR(__xludf.DUMMYFUNCTION("""COMPUTED_VALUE"""),46137.80913194444)</f>
        <v>46137.80913</v>
      </c>
      <c r="N638" s="93">
        <f>IFERROR(__xludf.DUMMYFUNCTION("""COMPUTED_VALUE"""),120.0)</f>
        <v>120</v>
      </c>
      <c r="O638" s="93"/>
      <c r="P638" s="93" t="str">
        <f>IFERROR(__xludf.DUMMYFUNCTION("""COMPUTED_VALUE"""),"Kit Delivery")</f>
        <v>Kit Delivery</v>
      </c>
      <c r="Q638" s="93"/>
      <c r="R638" s="93"/>
      <c r="S638" s="93" t="str">
        <f>IFERROR(__xludf.DUMMYFUNCTION("""COMPUTED_VALUE"""),"Dispatch_Images/KIT--17365.Photos.002505.jpg")</f>
        <v>Dispatch_Images/KIT--17365.Photos.002505.jpg</v>
      </c>
      <c r="T638" s="95">
        <f>IFERROR(__xludf.DUMMYFUNCTION("""COMPUTED_VALUE"""),46137.814618055556)</f>
        <v>46137.81462</v>
      </c>
      <c r="U638" s="93"/>
      <c r="V638" s="93"/>
      <c r="W638" s="93"/>
      <c r="X638" s="93"/>
      <c r="Y638" s="93"/>
      <c r="Z638" s="93"/>
    </row>
    <row r="639">
      <c r="A639" s="93" t="str">
        <f>IFERROR(__xludf.DUMMYFUNCTION("""COMPUTED_VALUE"""),"KIT-#17692")</f>
        <v>KIT-#17692</v>
      </c>
      <c r="B639" s="94">
        <f>IFERROR(__xludf.DUMMYFUNCTION("""COMPUTED_VALUE"""),46149.0)</f>
        <v>46149</v>
      </c>
      <c r="C639" s="93" t="str">
        <f>IFERROR(__xludf.DUMMYFUNCTION("""COMPUTED_VALUE"""),"Kit Delivery")</f>
        <v>Kit Delivery</v>
      </c>
      <c r="D639" s="93">
        <f>IFERROR(__xludf.DUMMYFUNCTION("""COMPUTED_VALUE"""),2.0)</f>
        <v>2</v>
      </c>
      <c r="E639" s="93" t="str">
        <f>IFERROR(__xludf.DUMMYFUNCTION("""COMPUTED_VALUE"""),"Gregg")</f>
        <v>Gregg</v>
      </c>
      <c r="F639" s="93" t="str">
        <f>IFERROR(__xludf.DUMMYFUNCTION("""COMPUTED_VALUE"""),"3133A")</f>
        <v>3133A</v>
      </c>
      <c r="G639" s="93" t="str">
        <f>IFERROR(__xludf.DUMMYFUNCTION("""COMPUTED_VALUE"""),"Sofia Nossel")</f>
        <v>Sofia Nossel</v>
      </c>
      <c r="H639" s="93">
        <f>IFERROR(__xludf.DUMMYFUNCTION("""COMPUTED_VALUE"""),9.179022223E9)</f>
        <v>9179022223</v>
      </c>
      <c r="I639" s="93" t="str">
        <f>IFERROR(__xludf.DUMMYFUNCTION("""COMPUTED_VALUE"""),"9AM-11AM")</f>
        <v>9AM-11AM</v>
      </c>
      <c r="J639" s="93">
        <f>IFERROR(__xludf.DUMMYFUNCTION("""COMPUTED_VALUE"""),1.0)</f>
        <v>1</v>
      </c>
      <c r="K639" s="93" t="str">
        <f>IFERROR(__xludf.DUMMYFUNCTION("""COMPUTED_VALUE"""),"Complete")</f>
        <v>Complete</v>
      </c>
      <c r="L639" s="93"/>
      <c r="M639" s="94">
        <f>IFERROR(__xludf.DUMMYFUNCTION("""COMPUTED_VALUE"""),46137.80983796297)</f>
        <v>46137.80984</v>
      </c>
      <c r="N639" s="93">
        <f>IFERROR(__xludf.DUMMYFUNCTION("""COMPUTED_VALUE"""),126.0)</f>
        <v>126</v>
      </c>
      <c r="O639" s="93"/>
      <c r="P639" s="93" t="str">
        <f>IFERROR(__xludf.DUMMYFUNCTION("""COMPUTED_VALUE"""),"Kit Delivery")</f>
        <v>Kit Delivery</v>
      </c>
      <c r="Q639" s="93"/>
      <c r="R639" s="93"/>
      <c r="S639" s="93" t="str">
        <f>IFERROR(__xludf.DUMMYFUNCTION("""COMPUTED_VALUE"""),"Dispatch_Images/KIT--17692.Photos.002606.jpg")</f>
        <v>Dispatch_Images/KIT--17692.Photos.002606.jpg</v>
      </c>
      <c r="T639" s="95">
        <f>IFERROR(__xludf.DUMMYFUNCTION("""COMPUTED_VALUE"""),46137.814618055556)</f>
        <v>46137.81462</v>
      </c>
      <c r="U639" s="93"/>
      <c r="V639" s="93"/>
      <c r="W639" s="93"/>
      <c r="X639" s="93"/>
      <c r="Y639" s="93"/>
      <c r="Z639" s="93"/>
    </row>
    <row r="640">
      <c r="A640" s="93" t="str">
        <f>IFERROR(__xludf.DUMMYFUNCTION("""COMPUTED_VALUE"""),"KIT-#17263")</f>
        <v>KIT-#17263</v>
      </c>
      <c r="B640" s="94">
        <f>IFERROR(__xludf.DUMMYFUNCTION("""COMPUTED_VALUE"""),46149.0)</f>
        <v>46149</v>
      </c>
      <c r="C640" s="93" t="str">
        <f>IFERROR(__xludf.DUMMYFUNCTION("""COMPUTED_VALUE"""),"Kit Delivery")</f>
        <v>Kit Delivery</v>
      </c>
      <c r="D640" s="93">
        <f>IFERROR(__xludf.DUMMYFUNCTION("""COMPUTED_VALUE"""),2.0)</f>
        <v>2</v>
      </c>
      <c r="E640" s="93" t="str">
        <f>IFERROR(__xludf.DUMMYFUNCTION("""COMPUTED_VALUE"""),"Gregg")</f>
        <v>Gregg</v>
      </c>
      <c r="F640" s="93">
        <f>IFERROR(__xludf.DUMMYFUNCTION("""COMPUTED_VALUE"""),3061.0)</f>
        <v>3061</v>
      </c>
      <c r="G640" s="93" t="str">
        <f>IFERROR(__xludf.DUMMYFUNCTION("""COMPUTED_VALUE"""),"Shaine Greenwald")</f>
        <v>Shaine Greenwald</v>
      </c>
      <c r="H640" s="93"/>
      <c r="I640" s="93" t="str">
        <f>IFERROR(__xludf.DUMMYFUNCTION("""COMPUTED_VALUE"""),"9AM-11AM")</f>
        <v>9AM-11AM</v>
      </c>
      <c r="J640" s="93">
        <f>IFERROR(__xludf.DUMMYFUNCTION("""COMPUTED_VALUE"""),2.0)</f>
        <v>2</v>
      </c>
      <c r="K640" s="93" t="str">
        <f>IFERROR(__xludf.DUMMYFUNCTION("""COMPUTED_VALUE"""),"Complete")</f>
        <v>Complete</v>
      </c>
      <c r="L640" s="93"/>
      <c r="M640" s="94">
        <f>IFERROR(__xludf.DUMMYFUNCTION("""COMPUTED_VALUE"""),46137.81115740741)</f>
        <v>46137.81116</v>
      </c>
      <c r="N640" s="93">
        <f>IFERROR(__xludf.DUMMYFUNCTION("""COMPUTED_VALUE"""),114.0)</f>
        <v>114</v>
      </c>
      <c r="O640" s="93"/>
      <c r="P640" s="93" t="str">
        <f>IFERROR(__xludf.DUMMYFUNCTION("""COMPUTED_VALUE"""),"Kit Delivery")</f>
        <v>Kit Delivery</v>
      </c>
      <c r="Q640" s="93"/>
      <c r="R640" s="93"/>
      <c r="S640" s="93" t="str">
        <f>IFERROR(__xludf.DUMMYFUNCTION("""COMPUTED_VALUE"""),"Dispatch_Images/KIT--17263.Photos.002800.jpg")</f>
        <v>Dispatch_Images/KIT--17263.Photos.002800.jpg</v>
      </c>
      <c r="T640" s="95">
        <f>IFERROR(__xludf.DUMMYFUNCTION("""COMPUTED_VALUE"""),46137.814618055556)</f>
        <v>46137.81462</v>
      </c>
      <c r="U640" s="93"/>
      <c r="V640" s="93"/>
      <c r="W640" s="93"/>
      <c r="X640" s="93"/>
      <c r="Y640" s="93"/>
      <c r="Z640" s="93"/>
    </row>
    <row r="641">
      <c r="A641" s="93" t="str">
        <f>IFERROR(__xludf.DUMMYFUNCTION("""COMPUTED_VALUE"""),"KIT-#17453")</f>
        <v>KIT-#17453</v>
      </c>
      <c r="B641" s="94">
        <f>IFERROR(__xludf.DUMMYFUNCTION("""COMPUTED_VALUE"""),46149.0)</f>
        <v>46149</v>
      </c>
      <c r="C641" s="93" t="str">
        <f>IFERROR(__xludf.DUMMYFUNCTION("""COMPUTED_VALUE"""),"Kit Delivery")</f>
        <v>Kit Delivery</v>
      </c>
      <c r="D641" s="93">
        <f>IFERROR(__xludf.DUMMYFUNCTION("""COMPUTED_VALUE"""),2.0)</f>
        <v>2</v>
      </c>
      <c r="E641" s="93" t="str">
        <f>IFERROR(__xludf.DUMMYFUNCTION("""COMPUTED_VALUE"""),"Gregg")</f>
        <v>Gregg</v>
      </c>
      <c r="F641" s="93">
        <f>IFERROR(__xludf.DUMMYFUNCTION("""COMPUTED_VALUE"""),3103.0)</f>
        <v>3103</v>
      </c>
      <c r="G641" s="93" t="str">
        <f>IFERROR(__xludf.DUMMYFUNCTION("""COMPUTED_VALUE"""),"Tamar Lehon")</f>
        <v>Tamar Lehon</v>
      </c>
      <c r="H641" s="93">
        <f>IFERROR(__xludf.DUMMYFUNCTION("""COMPUTED_VALUE"""),6.466181335E9)</f>
        <v>6466181335</v>
      </c>
      <c r="I641" s="93" t="str">
        <f>IFERROR(__xludf.DUMMYFUNCTION("""COMPUTED_VALUE"""),"10AM-12PM")</f>
        <v>10AM-12PM</v>
      </c>
      <c r="J641" s="93">
        <f>IFERROR(__xludf.DUMMYFUNCTION("""COMPUTED_VALUE"""),1.0)</f>
        <v>1</v>
      </c>
      <c r="K641" s="93" t="str">
        <f>IFERROR(__xludf.DUMMYFUNCTION("""COMPUTED_VALUE"""),"Complete")</f>
        <v>Complete</v>
      </c>
      <c r="L641" s="93"/>
      <c r="M641" s="94">
        <f>IFERROR(__xludf.DUMMYFUNCTION("""COMPUTED_VALUE"""),46137.81300925926)</f>
        <v>46137.81301</v>
      </c>
      <c r="N641" s="93">
        <f>IFERROR(__xludf.DUMMYFUNCTION("""COMPUTED_VALUE"""),124.0)</f>
        <v>124</v>
      </c>
      <c r="O641" s="93"/>
      <c r="P641" s="93" t="str">
        <f>IFERROR(__xludf.DUMMYFUNCTION("""COMPUTED_VALUE"""),"Kit Delivery")</f>
        <v>Kit Delivery</v>
      </c>
      <c r="Q641" s="93"/>
      <c r="R641" s="93"/>
      <c r="S641" s="93" t="str">
        <f>IFERROR(__xludf.DUMMYFUNCTION("""COMPUTED_VALUE"""),"Dispatch_Images/KIT--17453.Photos.003041.jpg")</f>
        <v>Dispatch_Images/KIT--17453.Photos.003041.jpg</v>
      </c>
      <c r="T641" s="95">
        <f>IFERROR(__xludf.DUMMYFUNCTION("""COMPUTED_VALUE"""),46137.814618055556)</f>
        <v>46137.81462</v>
      </c>
      <c r="U641" s="93"/>
      <c r="V641" s="93"/>
      <c r="W641" s="93"/>
      <c r="X641" s="93"/>
      <c r="Y641" s="93"/>
      <c r="Z641" s="93"/>
    </row>
    <row r="642">
      <c r="A642" s="93" t="str">
        <f>IFERROR(__xludf.DUMMYFUNCTION("""COMPUTED_VALUE"""),"KIT-#17479")</f>
        <v>KIT-#17479</v>
      </c>
      <c r="B642" s="94">
        <f>IFERROR(__xludf.DUMMYFUNCTION("""COMPUTED_VALUE"""),46149.0)</f>
        <v>46149</v>
      </c>
      <c r="C642" s="93" t="str">
        <f>IFERROR(__xludf.DUMMYFUNCTION("""COMPUTED_VALUE"""),"Kit Delivery")</f>
        <v>Kit Delivery</v>
      </c>
      <c r="D642" s="93">
        <f>IFERROR(__xludf.DUMMYFUNCTION("""COMPUTED_VALUE"""),2.0)</f>
        <v>2</v>
      </c>
      <c r="E642" s="93" t="str">
        <f>IFERROR(__xludf.DUMMYFUNCTION("""COMPUTED_VALUE"""),"Gregg")</f>
        <v>Gregg</v>
      </c>
      <c r="F642" s="93">
        <f>IFERROR(__xludf.DUMMYFUNCTION("""COMPUTED_VALUE"""),3074.0)</f>
        <v>3074</v>
      </c>
      <c r="G642" s="93" t="str">
        <f>IFERROR(__xludf.DUMMYFUNCTION("""COMPUTED_VALUE"""),"Jenny Han")</f>
        <v>Jenny Han</v>
      </c>
      <c r="H642" s="93">
        <f>IFERROR(__xludf.DUMMYFUNCTION("""COMPUTED_VALUE"""),3.148280597E9)</f>
        <v>3148280597</v>
      </c>
      <c r="I642" s="93" t="str">
        <f>IFERROR(__xludf.DUMMYFUNCTION("""COMPUTED_VALUE"""),"9AM-11AM")</f>
        <v>9AM-11AM</v>
      </c>
      <c r="J642" s="93">
        <f>IFERROR(__xludf.DUMMYFUNCTION("""COMPUTED_VALUE"""),1.0)</f>
        <v>1</v>
      </c>
      <c r="K642" s="93" t="str">
        <f>IFERROR(__xludf.DUMMYFUNCTION("""COMPUTED_VALUE"""),"Complete")</f>
        <v>Complete</v>
      </c>
      <c r="L642" s="93"/>
      <c r="M642" s="94">
        <f>IFERROR(__xludf.DUMMYFUNCTION("""COMPUTED_VALUE"""),46137.81402777778)</f>
        <v>46137.81403</v>
      </c>
      <c r="N642" s="93">
        <f>IFERROR(__xludf.DUMMYFUNCTION("""COMPUTED_VALUE"""),122.0)</f>
        <v>122</v>
      </c>
      <c r="O642" s="93"/>
      <c r="P642" s="93" t="str">
        <f>IFERROR(__xludf.DUMMYFUNCTION("""COMPUTED_VALUE"""),"Kit Delivery")</f>
        <v>Kit Delivery</v>
      </c>
      <c r="Q642" s="93"/>
      <c r="R642" s="93"/>
      <c r="S642" s="93" t="str">
        <f>IFERROR(__xludf.DUMMYFUNCTION("""COMPUTED_VALUE"""),"Dispatch_Images/KIT--17479.Photos.003208.jpg")</f>
        <v>Dispatch_Images/KIT--17479.Photos.003208.jpg</v>
      </c>
      <c r="T642" s="95">
        <f>IFERROR(__xludf.DUMMYFUNCTION("""COMPUTED_VALUE"""),46137.814618055556)</f>
        <v>46137.81462</v>
      </c>
      <c r="U642" s="93"/>
      <c r="V642" s="93"/>
      <c r="W642" s="93"/>
      <c r="X642" s="93"/>
      <c r="Y642" s="93"/>
      <c r="Z642" s="93"/>
    </row>
    <row r="643">
      <c r="A643" s="93" t="str">
        <f>IFERROR(__xludf.DUMMYFUNCTION("""COMPUTED_VALUE"""),"KIT-#17449")</f>
        <v>KIT-#17449</v>
      </c>
      <c r="B643" s="94">
        <f>IFERROR(__xludf.DUMMYFUNCTION("""COMPUTED_VALUE"""),46149.0)</f>
        <v>46149</v>
      </c>
      <c r="C643" s="93" t="str">
        <f>IFERROR(__xludf.DUMMYFUNCTION("""COMPUTED_VALUE"""),"Kit Delivery")</f>
        <v>Kit Delivery</v>
      </c>
      <c r="D643" s="93">
        <f>IFERROR(__xludf.DUMMYFUNCTION("""COMPUTED_VALUE"""),2.0)</f>
        <v>2</v>
      </c>
      <c r="E643" s="93" t="str">
        <f>IFERROR(__xludf.DUMMYFUNCTION("""COMPUTED_VALUE"""),"Lien")</f>
        <v>Lien</v>
      </c>
      <c r="F643" s="93">
        <f>IFERROR(__xludf.DUMMYFUNCTION("""COMPUTED_VALUE"""),1108.0)</f>
        <v>1108</v>
      </c>
      <c r="G643" s="93" t="str">
        <f>IFERROR(__xludf.DUMMYFUNCTION("""COMPUTED_VALUE"""),"Leilei Cai")</f>
        <v>Leilei Cai</v>
      </c>
      <c r="H643" s="93">
        <f>IFERROR(__xludf.DUMMYFUNCTION("""COMPUTED_VALUE"""),1.3610287912E10)</f>
        <v>13610287912</v>
      </c>
      <c r="I643" s="93" t="str">
        <f>IFERROR(__xludf.DUMMYFUNCTION("""COMPUTED_VALUE"""),"9AM-11AM")</f>
        <v>9AM-11AM</v>
      </c>
      <c r="J643" s="93">
        <f>IFERROR(__xludf.DUMMYFUNCTION("""COMPUTED_VALUE"""),1.0)</f>
        <v>1</v>
      </c>
      <c r="K643" s="93" t="str">
        <f>IFERROR(__xludf.DUMMYFUNCTION("""COMPUTED_VALUE"""),"Complete")</f>
        <v>Complete</v>
      </c>
      <c r="L643" s="93"/>
      <c r="M643" s="94">
        <f>IFERROR(__xludf.DUMMYFUNCTION("""COMPUTED_VALUE"""),46137.82664351852)</f>
        <v>46137.82664</v>
      </c>
      <c r="N643" s="93">
        <f>IFERROR(__xludf.DUMMYFUNCTION("""COMPUTED_VALUE"""),129.0)</f>
        <v>129</v>
      </c>
      <c r="O643" s="93"/>
      <c r="P643" s="93" t="str">
        <f>IFERROR(__xludf.DUMMYFUNCTION("""COMPUTED_VALUE"""),"Kit Delivery")</f>
        <v>Kit Delivery</v>
      </c>
      <c r="Q643" s="93"/>
      <c r="R643" s="93"/>
      <c r="S643" s="93" t="str">
        <f>IFERROR(__xludf.DUMMYFUNCTION("""COMPUTED_VALUE"""),"Dispatch_Images/KIT--17449.Photos.005019.jpg")</f>
        <v>Dispatch_Images/KIT--17449.Photos.005019.jpg</v>
      </c>
      <c r="T643" s="95">
        <f>IFERROR(__xludf.DUMMYFUNCTION("""COMPUTED_VALUE"""),46137.82849537037)</f>
        <v>46137.8285</v>
      </c>
      <c r="U643" s="93"/>
      <c r="V643" s="93"/>
      <c r="W643" s="93"/>
      <c r="X643" s="93"/>
      <c r="Y643" s="93"/>
      <c r="Z643" s="93"/>
    </row>
    <row r="644">
      <c r="A644" s="93" t="str">
        <f>IFERROR(__xludf.DUMMYFUNCTION("""COMPUTED_VALUE"""),"KIT-#16809")</f>
        <v>KIT-#16809</v>
      </c>
      <c r="B644" s="94">
        <f>IFERROR(__xludf.DUMMYFUNCTION("""COMPUTED_VALUE"""),46149.0)</f>
        <v>46149</v>
      </c>
      <c r="C644" s="93" t="str">
        <f>IFERROR(__xludf.DUMMYFUNCTION("""COMPUTED_VALUE"""),"Kit Delivery")</f>
        <v>Kit Delivery</v>
      </c>
      <c r="D644" s="93">
        <f>IFERROR(__xludf.DUMMYFUNCTION("""COMPUTED_VALUE"""),2.0)</f>
        <v>2</v>
      </c>
      <c r="E644" s="93" t="str">
        <f>IFERROR(__xludf.DUMMYFUNCTION("""COMPUTED_VALUE"""),"Lien")</f>
        <v>Lien</v>
      </c>
      <c r="F644" s="93">
        <f>IFERROR(__xludf.DUMMYFUNCTION("""COMPUTED_VALUE"""),3331.0)</f>
        <v>3331</v>
      </c>
      <c r="G644" s="93" t="str">
        <f>IFERROR(__xludf.DUMMYFUNCTION("""COMPUTED_VALUE"""),"Taylor Marlowe")</f>
        <v>Taylor Marlowe</v>
      </c>
      <c r="H644" s="93">
        <f>IFERROR(__xludf.DUMMYFUNCTION("""COMPUTED_VALUE"""),9.178254484E9)</f>
        <v>9178254484</v>
      </c>
      <c r="I644" s="93" t="str">
        <f>IFERROR(__xludf.DUMMYFUNCTION("""COMPUTED_VALUE"""),"9AM-11AM")</f>
        <v>9AM-11AM</v>
      </c>
      <c r="J644" s="93">
        <f>IFERROR(__xludf.DUMMYFUNCTION("""COMPUTED_VALUE"""),1.0)</f>
        <v>1</v>
      </c>
      <c r="K644" s="93" t="str">
        <f>IFERROR(__xludf.DUMMYFUNCTION("""COMPUTED_VALUE"""),"Complete")</f>
        <v>Complete</v>
      </c>
      <c r="L644" s="93"/>
      <c r="M644" s="94">
        <f>IFERROR(__xludf.DUMMYFUNCTION("""COMPUTED_VALUE"""),46137.82671296297)</f>
        <v>46137.82671</v>
      </c>
      <c r="N644" s="93">
        <f>IFERROR(__xludf.DUMMYFUNCTION("""COMPUTED_VALUE"""),150.0)</f>
        <v>150</v>
      </c>
      <c r="O644" s="93"/>
      <c r="P644" s="93" t="str">
        <f>IFERROR(__xludf.DUMMYFUNCTION("""COMPUTED_VALUE"""),"Kit Delivery")</f>
        <v>Kit Delivery</v>
      </c>
      <c r="Q644" s="93"/>
      <c r="R644" s="93"/>
      <c r="S644" s="93" t="str">
        <f>IFERROR(__xludf.DUMMYFUNCTION("""COMPUTED_VALUE"""),"Dispatch_Images/KIT--16809.Photos.005025.jpg")</f>
        <v>Dispatch_Images/KIT--16809.Photos.005025.jpg</v>
      </c>
      <c r="T644" s="95">
        <f>IFERROR(__xludf.DUMMYFUNCTION("""COMPUTED_VALUE"""),46137.82849537037)</f>
        <v>46137.8285</v>
      </c>
      <c r="U644" s="93"/>
      <c r="V644" s="93"/>
      <c r="W644" s="93"/>
      <c r="X644" s="93"/>
      <c r="Y644" s="93"/>
      <c r="Z644" s="93"/>
    </row>
    <row r="645">
      <c r="A645" s="93" t="str">
        <f>IFERROR(__xludf.DUMMYFUNCTION("""COMPUTED_VALUE"""),"KIT-#17389")</f>
        <v>KIT-#17389</v>
      </c>
      <c r="B645" s="94">
        <f>IFERROR(__xludf.DUMMYFUNCTION("""COMPUTED_VALUE"""),46149.0)</f>
        <v>46149</v>
      </c>
      <c r="C645" s="93" t="str">
        <f>IFERROR(__xludf.DUMMYFUNCTION("""COMPUTED_VALUE"""),"Kit Delivery")</f>
        <v>Kit Delivery</v>
      </c>
      <c r="D645" s="93">
        <f>IFERROR(__xludf.DUMMYFUNCTION("""COMPUTED_VALUE"""),2.0)</f>
        <v>2</v>
      </c>
      <c r="E645" s="93" t="str">
        <f>IFERROR(__xludf.DUMMYFUNCTION("""COMPUTED_VALUE"""),"Lien")</f>
        <v>Lien</v>
      </c>
      <c r="F645" s="93">
        <f>IFERROR(__xludf.DUMMYFUNCTION("""COMPUTED_VALUE"""),2201.0)</f>
        <v>2201</v>
      </c>
      <c r="G645" s="93" t="str">
        <f>IFERROR(__xludf.DUMMYFUNCTION("""COMPUTED_VALUE"""),"Doyoon Kim")</f>
        <v>Doyoon Kim</v>
      </c>
      <c r="H645" s="93">
        <f>IFERROR(__xludf.DUMMYFUNCTION("""COMPUTED_VALUE"""),3.143911462E9)</f>
        <v>3143911462</v>
      </c>
      <c r="I645" s="93" t="str">
        <f>IFERROR(__xludf.DUMMYFUNCTION("""COMPUTED_VALUE"""),"9AM-11AM")</f>
        <v>9AM-11AM</v>
      </c>
      <c r="J645" s="93">
        <f>IFERROR(__xludf.DUMMYFUNCTION("""COMPUTED_VALUE"""),1.0)</f>
        <v>1</v>
      </c>
      <c r="K645" s="93" t="str">
        <f>IFERROR(__xludf.DUMMYFUNCTION("""COMPUTED_VALUE"""),"Complete")</f>
        <v>Complete</v>
      </c>
      <c r="L645" s="93"/>
      <c r="M645" s="94">
        <f>IFERROR(__xludf.DUMMYFUNCTION("""COMPUTED_VALUE"""),46137.829942129625)</f>
        <v>46137.82994</v>
      </c>
      <c r="N645" s="93">
        <f>IFERROR(__xludf.DUMMYFUNCTION("""COMPUTED_VALUE"""),133.0)</f>
        <v>133</v>
      </c>
      <c r="O645" s="93"/>
      <c r="P645" s="93" t="str">
        <f>IFERROR(__xludf.DUMMYFUNCTION("""COMPUTED_VALUE"""),"Kit Delivery")</f>
        <v>Kit Delivery</v>
      </c>
      <c r="Q645" s="93"/>
      <c r="R645" s="93"/>
      <c r="S645" s="93" t="str">
        <f>IFERROR(__xludf.DUMMYFUNCTION("""COMPUTED_VALUE"""),"Dispatch_Images/KIT--17389.Photos.005504.jpg")</f>
        <v>Dispatch_Images/KIT--17389.Photos.005504.jpg</v>
      </c>
      <c r="T645" s="95">
        <f>IFERROR(__xludf.DUMMYFUNCTION("""COMPUTED_VALUE"""),46137.83546296296)</f>
        <v>46137.83546</v>
      </c>
      <c r="U645" s="93"/>
      <c r="V645" s="93"/>
      <c r="W645" s="93"/>
      <c r="X645" s="93"/>
      <c r="Y645" s="93"/>
      <c r="Z645" s="93"/>
    </row>
    <row r="646">
      <c r="A646" s="93" t="str">
        <f>IFERROR(__xludf.DUMMYFUNCTION("""COMPUTED_VALUE"""),"KIT-#17690")</f>
        <v>KIT-#17690</v>
      </c>
      <c r="B646" s="94">
        <f>IFERROR(__xludf.DUMMYFUNCTION("""COMPUTED_VALUE"""),46149.0)</f>
        <v>46149</v>
      </c>
      <c r="C646" s="93" t="str">
        <f>IFERROR(__xludf.DUMMYFUNCTION("""COMPUTED_VALUE"""),"Kit Delivery")</f>
        <v>Kit Delivery</v>
      </c>
      <c r="D646" s="93">
        <f>IFERROR(__xludf.DUMMYFUNCTION("""COMPUTED_VALUE"""),2.0)</f>
        <v>2</v>
      </c>
      <c r="E646" s="93" t="str">
        <f>IFERROR(__xludf.DUMMYFUNCTION("""COMPUTED_VALUE"""),"Lien")</f>
        <v>Lien</v>
      </c>
      <c r="F646" s="93">
        <f>IFERROR(__xludf.DUMMYFUNCTION("""COMPUTED_VALUE"""),2211.0)</f>
        <v>2211</v>
      </c>
      <c r="G646" s="93" t="str">
        <f>IFERROR(__xludf.DUMMYFUNCTION("""COMPUTED_VALUE"""),"Sophia Park")</f>
        <v>Sophia Park</v>
      </c>
      <c r="H646" s="93">
        <f>IFERROR(__xludf.DUMMYFUNCTION("""COMPUTED_VALUE"""),4.843547426E9)</f>
        <v>4843547426</v>
      </c>
      <c r="I646" s="93" t="str">
        <f>IFERROR(__xludf.DUMMYFUNCTION("""COMPUTED_VALUE"""),"9AM-11AM")</f>
        <v>9AM-11AM</v>
      </c>
      <c r="J646" s="93">
        <f>IFERROR(__xludf.DUMMYFUNCTION("""COMPUTED_VALUE"""),1.0)</f>
        <v>1</v>
      </c>
      <c r="K646" s="93" t="str">
        <f>IFERROR(__xludf.DUMMYFUNCTION("""COMPUTED_VALUE"""),"Complete")</f>
        <v>Complete</v>
      </c>
      <c r="L646" s="93"/>
      <c r="M646" s="94">
        <f>IFERROR(__xludf.DUMMYFUNCTION("""COMPUTED_VALUE"""),46137.83646990741)</f>
        <v>46137.83647</v>
      </c>
      <c r="N646" s="93">
        <f>IFERROR(__xludf.DUMMYFUNCTION("""COMPUTED_VALUE"""),135.0)</f>
        <v>135</v>
      </c>
      <c r="O646" s="93"/>
      <c r="P646" s="93" t="str">
        <f>IFERROR(__xludf.DUMMYFUNCTION("""COMPUTED_VALUE"""),"Kit Delivery")</f>
        <v>Kit Delivery</v>
      </c>
      <c r="Q646" s="93"/>
      <c r="R646" s="93"/>
      <c r="S646" s="93" t="str">
        <f>IFERROR(__xludf.DUMMYFUNCTION("""COMPUTED_VALUE"""),"Dispatch_Images/KIT--17690.Photos.010428.jpg")</f>
        <v>Dispatch_Images/KIT--17690.Photos.010428.jpg</v>
      </c>
      <c r="T646" s="95">
        <f>IFERROR(__xludf.DUMMYFUNCTION("""COMPUTED_VALUE"""),46137.84240740741)</f>
        <v>46137.84241</v>
      </c>
      <c r="U646" s="93"/>
      <c r="V646" s="93"/>
      <c r="W646" s="93"/>
      <c r="X646" s="93"/>
      <c r="Y646" s="93"/>
      <c r="Z646" s="93"/>
    </row>
    <row r="647">
      <c r="A647" s="93" t="str">
        <f>IFERROR(__xludf.DUMMYFUNCTION("""COMPUTED_VALUE"""),"KIT-#17279")</f>
        <v>KIT-#17279</v>
      </c>
      <c r="B647" s="94">
        <f>IFERROR(__xludf.DUMMYFUNCTION("""COMPUTED_VALUE"""),46149.0)</f>
        <v>46149</v>
      </c>
      <c r="C647" s="93" t="str">
        <f>IFERROR(__xludf.DUMMYFUNCTION("""COMPUTED_VALUE"""),"Kit Delivery")</f>
        <v>Kit Delivery</v>
      </c>
      <c r="D647" s="93">
        <f>IFERROR(__xludf.DUMMYFUNCTION("""COMPUTED_VALUE"""),3.0)</f>
        <v>3</v>
      </c>
      <c r="E647" s="93" t="str">
        <f>IFERROR(__xludf.DUMMYFUNCTION("""COMPUTED_VALUE"""),"LL6255")</f>
        <v>LL6255</v>
      </c>
      <c r="F647" s="93" t="str">
        <f>IFERROR(__xludf.DUMMYFUNCTION("""COMPUTED_VALUE"""),"411C")</f>
        <v>411C</v>
      </c>
      <c r="G647" s="93" t="str">
        <f>IFERROR(__xludf.DUMMYFUNCTION("""COMPUTED_VALUE"""),"Sammy Kelner")</f>
        <v>Sammy Kelner</v>
      </c>
      <c r="H647" s="93">
        <f>IFERROR(__xludf.DUMMYFUNCTION("""COMPUTED_VALUE"""),9.735188085E9)</f>
        <v>9735188085</v>
      </c>
      <c r="I647" s="93" t="str">
        <f>IFERROR(__xludf.DUMMYFUNCTION("""COMPUTED_VALUE"""),"3PM-5PM")</f>
        <v>3PM-5PM</v>
      </c>
      <c r="J647" s="93">
        <f>IFERROR(__xludf.DUMMYFUNCTION("""COMPUTED_VALUE"""),1.0)</f>
        <v>1</v>
      </c>
      <c r="K647" s="93" t="str">
        <f>IFERROR(__xludf.DUMMYFUNCTION("""COMPUTED_VALUE"""),"Complete")</f>
        <v>Complete</v>
      </c>
      <c r="L647" s="93"/>
      <c r="M647" s="94">
        <f>IFERROR(__xludf.DUMMYFUNCTION("""COMPUTED_VALUE"""),46140.744525462964)</f>
        <v>46140.74453</v>
      </c>
      <c r="N647" s="93">
        <f>IFERROR(__xludf.DUMMYFUNCTION("""COMPUTED_VALUE"""),210.0)</f>
        <v>210</v>
      </c>
      <c r="O647" s="93"/>
      <c r="P647" s="93" t="str">
        <f>IFERROR(__xludf.DUMMYFUNCTION("""COMPUTED_VALUE"""),"Kit Delivery")</f>
        <v>Kit Delivery</v>
      </c>
      <c r="Q647" s="93"/>
      <c r="R647" s="93"/>
      <c r="S647" s="93" t="str">
        <f>IFERROR(__xludf.DUMMYFUNCTION("""COMPUTED_VALUE"""),"Dispatch_Images/KIT--17279.Photos.225203.jpg")</f>
        <v>Dispatch_Images/KIT--17279.Photos.225203.jpg</v>
      </c>
      <c r="T647" s="95">
        <f>IFERROR(__xludf.DUMMYFUNCTION("""COMPUTED_VALUE"""),46140.74519675926)</f>
        <v>46140.7452</v>
      </c>
      <c r="U647" s="93"/>
      <c r="V647" s="93"/>
      <c r="W647" s="93"/>
      <c r="X647" s="93"/>
      <c r="Y647" s="93"/>
      <c r="Z647" s="93"/>
    </row>
    <row r="648">
      <c r="A648" s="93" t="str">
        <f>IFERROR(__xludf.DUMMYFUNCTION("""COMPUTED_VALUE"""),"KIT-#17554")</f>
        <v>KIT-#17554</v>
      </c>
      <c r="B648" s="94">
        <f>IFERROR(__xludf.DUMMYFUNCTION("""COMPUTED_VALUE"""),46149.0)</f>
        <v>46149</v>
      </c>
      <c r="C648" s="93" t="str">
        <f>IFERROR(__xludf.DUMMYFUNCTION("""COMPUTED_VALUE"""),"Kit Delivery")</f>
        <v>Kit Delivery</v>
      </c>
      <c r="D648" s="93">
        <f>IFERROR(__xludf.DUMMYFUNCTION("""COMPUTED_VALUE"""),2.0)</f>
        <v>2</v>
      </c>
      <c r="E648" s="93" t="str">
        <f>IFERROR(__xludf.DUMMYFUNCTION("""COMPUTED_VALUE"""),"Zetcher")</f>
        <v>Zetcher</v>
      </c>
      <c r="F648" s="93">
        <f>IFERROR(__xludf.DUMMYFUNCTION("""COMPUTED_VALUE"""),2011.0)</f>
        <v>2011</v>
      </c>
      <c r="G648" s="93" t="str">
        <f>IFERROR(__xludf.DUMMYFUNCTION("""COMPUTED_VALUE"""),"Carmen Leonardi")</f>
        <v>Carmen Leonardi</v>
      </c>
      <c r="H648" s="93">
        <f>IFERROR(__xludf.DUMMYFUNCTION("""COMPUTED_VALUE"""),3.392063556E9)</f>
        <v>3392063556</v>
      </c>
      <c r="I648" s="93" t="str">
        <f>IFERROR(__xludf.DUMMYFUNCTION("""COMPUTED_VALUE"""),"9AM-11AM")</f>
        <v>9AM-11AM</v>
      </c>
      <c r="J648" s="93">
        <f>IFERROR(__xludf.DUMMYFUNCTION("""COMPUTED_VALUE"""),1.0)</f>
        <v>1</v>
      </c>
      <c r="K648" s="93" t="str">
        <f>IFERROR(__xludf.DUMMYFUNCTION("""COMPUTED_VALUE"""),"Complete")</f>
        <v>Complete</v>
      </c>
      <c r="L648" s="93"/>
      <c r="M648" s="94">
        <f>IFERROR(__xludf.DUMMYFUNCTION("""COMPUTED_VALUE"""),46140.77223379629)</f>
        <v>46140.77223</v>
      </c>
      <c r="N648" s="93">
        <f>IFERROR(__xludf.DUMMYFUNCTION("""COMPUTED_VALUE"""),109.0)</f>
        <v>109</v>
      </c>
      <c r="O648" s="93"/>
      <c r="P648" s="93" t="str">
        <f>IFERROR(__xludf.DUMMYFUNCTION("""COMPUTED_VALUE"""),"Kit Delivery")</f>
        <v>Kit Delivery</v>
      </c>
      <c r="Q648" s="93" t="str">
        <f>IFERROR(__xludf.DUMMYFUNCTION("""COMPUTED_VALUE"""),"Will have other items not in boxes")</f>
        <v>Will have other items not in boxes</v>
      </c>
      <c r="R648" s="93"/>
      <c r="S648" s="93" t="str">
        <f>IFERROR(__xludf.DUMMYFUNCTION("""COMPUTED_VALUE"""),"Dispatch_Images/KIT--17554.Photos.233157.jpg")</f>
        <v>Dispatch_Images/KIT--17554.Photos.233157.jpg</v>
      </c>
      <c r="T648" s="95">
        <f>IFERROR(__xludf.DUMMYFUNCTION("""COMPUTED_VALUE"""),46140.77295138889)</f>
        <v>46140.77295</v>
      </c>
      <c r="U648" s="93"/>
      <c r="V648" s="93"/>
      <c r="W648" s="93"/>
      <c r="X648" s="93"/>
      <c r="Y648" s="93"/>
      <c r="Z648" s="93"/>
    </row>
    <row r="649">
      <c r="A649" s="93" t="str">
        <f>IFERROR(__xludf.DUMMYFUNCTION("""COMPUTED_VALUE"""),"KIT-#17103")</f>
        <v>KIT-#17103</v>
      </c>
      <c r="B649" s="94">
        <f>IFERROR(__xludf.DUMMYFUNCTION("""COMPUTED_VALUE"""),46149.0)</f>
        <v>46149</v>
      </c>
      <c r="C649" s="93" t="str">
        <f>IFERROR(__xludf.DUMMYFUNCTION("""COMPUTED_VALUE"""),"Kit Delivery")</f>
        <v>Kit Delivery</v>
      </c>
      <c r="D649" s="93">
        <f>IFERROR(__xludf.DUMMYFUNCTION("""COMPUTED_VALUE"""),3.0)</f>
        <v>3</v>
      </c>
      <c r="E649" s="93" t="str">
        <f>IFERROR(__xludf.DUMMYFUNCTION("""COMPUTED_VALUE"""),"Zetcher")</f>
        <v>Zetcher</v>
      </c>
      <c r="F649" s="93">
        <f>IFERROR(__xludf.DUMMYFUNCTION("""COMPUTED_VALUE"""),2101.0)</f>
        <v>2101</v>
      </c>
      <c r="G649" s="93" t="str">
        <f>IFERROR(__xludf.DUMMYFUNCTION("""COMPUTED_VALUE"""),"Jenna Halberg")</f>
        <v>Jenna Halberg</v>
      </c>
      <c r="H649" s="93"/>
      <c r="I649" s="93" t="str">
        <f>IFERROR(__xludf.DUMMYFUNCTION("""COMPUTED_VALUE"""),"10AM-12PM")</f>
        <v>10AM-12PM</v>
      </c>
      <c r="J649" s="93">
        <f>IFERROR(__xludf.DUMMYFUNCTION("""COMPUTED_VALUE"""),1.0)</f>
        <v>1</v>
      </c>
      <c r="K649" s="93" t="str">
        <f>IFERROR(__xludf.DUMMYFUNCTION("""COMPUTED_VALUE"""),"Complete")</f>
        <v>Complete</v>
      </c>
      <c r="L649" s="93"/>
      <c r="M649" s="94">
        <f>IFERROR(__xludf.DUMMYFUNCTION("""COMPUTED_VALUE"""),46140.77327546296)</f>
        <v>46140.77328</v>
      </c>
      <c r="N649" s="93">
        <f>IFERROR(__xludf.DUMMYFUNCTION("""COMPUTED_VALUE"""),112.0)</f>
        <v>112</v>
      </c>
      <c r="O649" s="93"/>
      <c r="P649" s="93" t="str">
        <f>IFERROR(__xludf.DUMMYFUNCTION("""COMPUTED_VALUE"""),"Kit Delivery")</f>
        <v>Kit Delivery</v>
      </c>
      <c r="Q649" s="93"/>
      <c r="R649" s="93"/>
      <c r="S649" s="93" t="str">
        <f>IFERROR(__xludf.DUMMYFUNCTION("""COMPUTED_VALUE"""),"Dispatch_Images/KIT--17103.Photos.233328.jpg")</f>
        <v>Dispatch_Images/KIT--17103.Photos.233328.jpg</v>
      </c>
      <c r="T649" s="95">
        <f>IFERROR(__xludf.DUMMYFUNCTION("""COMPUTED_VALUE"""),46140.77990740741)</f>
        <v>46140.77991</v>
      </c>
      <c r="U649" s="93"/>
      <c r="V649" s="93"/>
      <c r="W649" s="93"/>
      <c r="X649" s="93"/>
      <c r="Y649" s="93"/>
      <c r="Z649" s="93"/>
    </row>
    <row r="650">
      <c r="A650" s="93" t="str">
        <f>IFERROR(__xludf.DUMMYFUNCTION("""COMPUTED_VALUE"""),"KIT-#17463")</f>
        <v>KIT-#17463</v>
      </c>
      <c r="B650" s="94">
        <f>IFERROR(__xludf.DUMMYFUNCTION("""COMPUTED_VALUE"""),46149.0)</f>
        <v>46149</v>
      </c>
      <c r="C650" s="93" t="str">
        <f>IFERROR(__xludf.DUMMYFUNCTION("""COMPUTED_VALUE"""),"Kit Delivery")</f>
        <v>Kit Delivery</v>
      </c>
      <c r="D650" s="93">
        <f>IFERROR(__xludf.DUMMYFUNCTION("""COMPUTED_VALUE"""),2.0)</f>
        <v>2</v>
      </c>
      <c r="E650" s="93" t="str">
        <f>IFERROR(__xludf.DUMMYFUNCTION("""COMPUTED_VALUE"""),"Zetcher")</f>
        <v>Zetcher</v>
      </c>
      <c r="F650" s="93">
        <f>IFERROR(__xludf.DUMMYFUNCTION("""COMPUTED_VALUE"""),4124.0)</f>
        <v>4124</v>
      </c>
      <c r="G650" s="93" t="str">
        <f>IFERROR(__xludf.DUMMYFUNCTION("""COMPUTED_VALUE"""),"Noe Schwartz")</f>
        <v>Noe Schwartz</v>
      </c>
      <c r="H650" s="93">
        <f>IFERROR(__xludf.DUMMYFUNCTION("""COMPUTED_VALUE"""),3.104872592E9)</f>
        <v>3104872592</v>
      </c>
      <c r="I650" s="93" t="str">
        <f>IFERROR(__xludf.DUMMYFUNCTION("""COMPUTED_VALUE"""),"9AM-11AM")</f>
        <v>9AM-11AM</v>
      </c>
      <c r="J650" s="93">
        <f>IFERROR(__xludf.DUMMYFUNCTION("""COMPUTED_VALUE"""),2.0)</f>
        <v>2</v>
      </c>
      <c r="K650" s="93" t="str">
        <f>IFERROR(__xludf.DUMMYFUNCTION("""COMPUTED_VALUE"""),"Complete")</f>
        <v>Complete</v>
      </c>
      <c r="L650" s="93"/>
      <c r="M650" s="94">
        <f>IFERROR(__xludf.DUMMYFUNCTION("""COMPUTED_VALUE"""),46140.77339120371)</f>
        <v>46140.77339</v>
      </c>
      <c r="N650" s="93">
        <f>IFERROR(__xludf.DUMMYFUNCTION("""COMPUTED_VALUE"""),127.0)</f>
        <v>127</v>
      </c>
      <c r="O650" s="93"/>
      <c r="P650" s="93" t="str">
        <f>IFERROR(__xludf.DUMMYFUNCTION("""COMPUTED_VALUE"""),"Kit Delivery")</f>
        <v>Kit Delivery</v>
      </c>
      <c r="Q650" s="93"/>
      <c r="R650" s="93"/>
      <c r="S650" s="93" t="str">
        <f>IFERROR(__xludf.DUMMYFUNCTION("""COMPUTED_VALUE"""),"Dispatch_Images/KIT--17463.Photos.233338.jpg")</f>
        <v>Dispatch_Images/KIT--17463.Photos.233338.jpg</v>
      </c>
      <c r="T650" s="95">
        <f>IFERROR(__xludf.DUMMYFUNCTION("""COMPUTED_VALUE"""),46140.77990740741)</f>
        <v>46140.77991</v>
      </c>
      <c r="U650" s="93"/>
      <c r="V650" s="93"/>
      <c r="W650" s="93"/>
      <c r="X650" s="93"/>
      <c r="Y650" s="93"/>
      <c r="Z650" s="93"/>
    </row>
    <row r="651">
      <c r="A651" s="93" t="str">
        <f>IFERROR(__xludf.DUMMYFUNCTION("""COMPUTED_VALUE"""),"KIT-#17368")</f>
        <v>KIT-#17368</v>
      </c>
      <c r="B651" s="94">
        <f>IFERROR(__xludf.DUMMYFUNCTION("""COMPUTED_VALUE"""),46149.0)</f>
        <v>46149</v>
      </c>
      <c r="C651" s="93" t="str">
        <f>IFERROR(__xludf.DUMMYFUNCTION("""COMPUTED_VALUE"""),"Kit Delivery")</f>
        <v>Kit Delivery</v>
      </c>
      <c r="D651" s="93">
        <f>IFERROR(__xludf.DUMMYFUNCTION("""COMPUTED_VALUE"""),2.0)</f>
        <v>2</v>
      </c>
      <c r="E651" s="93" t="str">
        <f>IFERROR(__xludf.DUMMYFUNCTION("""COMPUTED_VALUE"""),"Zetcher")</f>
        <v>Zetcher</v>
      </c>
      <c r="F651" s="93" t="str">
        <f>IFERROR(__xludf.DUMMYFUNCTION("""COMPUTED_VALUE"""),"2043-a")</f>
        <v>2043-a</v>
      </c>
      <c r="G651" s="93" t="str">
        <f>IFERROR(__xludf.DUMMYFUNCTION("""COMPUTED_VALUE"""),"Makayli Anochie")</f>
        <v>Makayli Anochie</v>
      </c>
      <c r="H651" s="93">
        <f>IFERROR(__xludf.DUMMYFUNCTION("""COMPUTED_VALUE"""),6.785581035E9)</f>
        <v>6785581035</v>
      </c>
      <c r="I651" s="93" t="str">
        <f>IFERROR(__xludf.DUMMYFUNCTION("""COMPUTED_VALUE"""),"9AM-11AM")</f>
        <v>9AM-11AM</v>
      </c>
      <c r="J651" s="93">
        <f>IFERROR(__xludf.DUMMYFUNCTION("""COMPUTED_VALUE"""),1.0)</f>
        <v>1</v>
      </c>
      <c r="K651" s="93" t="str">
        <f>IFERROR(__xludf.DUMMYFUNCTION("""COMPUTED_VALUE"""),"Complete")</f>
        <v>Complete</v>
      </c>
      <c r="L651" s="93"/>
      <c r="M651" s="94">
        <f>IFERROR(__xludf.DUMMYFUNCTION("""COMPUTED_VALUE"""),46140.774606481486)</f>
        <v>46140.77461</v>
      </c>
      <c r="N651" s="93">
        <f>IFERROR(__xludf.DUMMYFUNCTION("""COMPUTED_VALUE"""),111.0)</f>
        <v>111</v>
      </c>
      <c r="O651" s="93" t="str">
        <f>IFERROR(__xludf.DUMMYFUNCTION("""COMPUTED_VALUE"""),"545 Belada Blvd
Atlanta, GA 30342")</f>
        <v>545 Belada Blvd
Atlanta, GA 30342</v>
      </c>
      <c r="P651" s="93" t="str">
        <f>IFERROR(__xludf.DUMMYFUNCTION("""COMPUTED_VALUE"""),"Kit Delivery")</f>
        <v>Kit Delivery</v>
      </c>
      <c r="Q651" s="93"/>
      <c r="R651" s="93"/>
      <c r="S651" s="93" t="str">
        <f>IFERROR(__xludf.DUMMYFUNCTION("""COMPUTED_VALUE"""),"Dispatch_Images/KIT--17368.Photos.233522.jpg")</f>
        <v>Dispatch_Images/KIT--17368.Photos.233522.jpg</v>
      </c>
      <c r="T651" s="95">
        <f>IFERROR(__xludf.DUMMYFUNCTION("""COMPUTED_VALUE"""),46140.77990740741)</f>
        <v>46140.77991</v>
      </c>
      <c r="U651" s="93"/>
      <c r="V651" s="93"/>
      <c r="W651" s="93"/>
      <c r="X651" s="93"/>
      <c r="Y651" s="93"/>
      <c r="Z651" s="93"/>
    </row>
    <row r="652">
      <c r="A652" s="93" t="str">
        <f>IFERROR(__xludf.DUMMYFUNCTION("""COMPUTED_VALUE"""),"KIT-#17165")</f>
        <v>KIT-#17165</v>
      </c>
      <c r="B652" s="94">
        <f>IFERROR(__xludf.DUMMYFUNCTION("""COMPUTED_VALUE"""),46149.0)</f>
        <v>46149</v>
      </c>
      <c r="C652" s="93" t="str">
        <f>IFERROR(__xludf.DUMMYFUNCTION("""COMPUTED_VALUE"""),"Kit Delivery")</f>
        <v>Kit Delivery</v>
      </c>
      <c r="D652" s="93">
        <f>IFERROR(__xludf.DUMMYFUNCTION("""COMPUTED_VALUE"""),2.0)</f>
        <v>2</v>
      </c>
      <c r="E652" s="93" t="str">
        <f>IFERROR(__xludf.DUMMYFUNCTION("""COMPUTED_VALUE"""),"Zetcher")</f>
        <v>Zetcher</v>
      </c>
      <c r="F652" s="93">
        <f>IFERROR(__xludf.DUMMYFUNCTION("""COMPUTED_VALUE"""),4212.0)</f>
        <v>4212</v>
      </c>
      <c r="G652" s="93" t="str">
        <f>IFERROR(__xludf.DUMMYFUNCTION("""COMPUTED_VALUE"""),"Caroline Snell")</f>
        <v>Caroline Snell</v>
      </c>
      <c r="H652" s="93">
        <f>IFERROR(__xludf.DUMMYFUNCTION("""COMPUTED_VALUE"""),9.142630578E9)</f>
        <v>9142630578</v>
      </c>
      <c r="I652" s="93" t="str">
        <f>IFERROR(__xludf.DUMMYFUNCTION("""COMPUTED_VALUE"""),"12PM-2PM")</f>
        <v>12PM-2PM</v>
      </c>
      <c r="J652" s="93">
        <f>IFERROR(__xludf.DUMMYFUNCTION("""COMPUTED_VALUE"""),1.0)</f>
        <v>1</v>
      </c>
      <c r="K652" s="93" t="str">
        <f>IFERROR(__xludf.DUMMYFUNCTION("""COMPUTED_VALUE"""),"Complete")</f>
        <v>Complete</v>
      </c>
      <c r="L652" s="93"/>
      <c r="M652" s="94">
        <f>IFERROR(__xludf.DUMMYFUNCTION("""COMPUTED_VALUE"""),46140.77766203704)</f>
        <v>46140.77766</v>
      </c>
      <c r="N652" s="93">
        <f>IFERROR(__xludf.DUMMYFUNCTION("""COMPUTED_VALUE"""),130.0)</f>
        <v>130</v>
      </c>
      <c r="O652" s="93"/>
      <c r="P652" s="93" t="str">
        <f>IFERROR(__xludf.DUMMYFUNCTION("""COMPUTED_VALUE"""),"Kit Delivery")</f>
        <v>Kit Delivery</v>
      </c>
      <c r="Q652" s="93"/>
      <c r="R652" s="93"/>
      <c r="S652" s="93" t="str">
        <f>IFERROR(__xludf.DUMMYFUNCTION("""COMPUTED_VALUE"""),"Dispatch_Images/KIT--17165.Photos.233947.jpg")</f>
        <v>Dispatch_Images/KIT--17165.Photos.233947.jpg</v>
      </c>
      <c r="T652" s="95">
        <f>IFERROR(__xludf.DUMMYFUNCTION("""COMPUTED_VALUE"""),46140.77990740741)</f>
        <v>46140.77991</v>
      </c>
      <c r="U652" s="93"/>
      <c r="V652" s="93"/>
      <c r="W652" s="93"/>
      <c r="X652" s="93"/>
      <c r="Y652" s="93"/>
      <c r="Z652" s="93"/>
    </row>
    <row r="653">
      <c r="A653" s="93" t="str">
        <f>IFERROR(__xludf.DUMMYFUNCTION("""COMPUTED_VALUE"""),"KIT-#17390")</f>
        <v>KIT-#17390</v>
      </c>
      <c r="B653" s="94">
        <f>IFERROR(__xludf.DUMMYFUNCTION("""COMPUTED_VALUE"""),46149.0)</f>
        <v>46149</v>
      </c>
      <c r="C653" s="93" t="str">
        <f>IFERROR(__xludf.DUMMYFUNCTION("""COMPUTED_VALUE"""),"Kit Delivery")</f>
        <v>Kit Delivery</v>
      </c>
      <c r="D653" s="93">
        <f>IFERROR(__xludf.DUMMYFUNCTION("""COMPUTED_VALUE"""),2.0)</f>
        <v>2</v>
      </c>
      <c r="E653" s="93" t="str">
        <f>IFERROR(__xludf.DUMMYFUNCTION("""COMPUTED_VALUE"""),"Zetcher")</f>
        <v>Zetcher</v>
      </c>
      <c r="F653" s="93">
        <f>IFERROR(__xludf.DUMMYFUNCTION("""COMPUTED_VALUE"""),2121.0)</f>
        <v>2121</v>
      </c>
      <c r="G653" s="93" t="str">
        <f>IFERROR(__xludf.DUMMYFUNCTION("""COMPUTED_VALUE"""),"Toby Xu")</f>
        <v>Toby Xu</v>
      </c>
      <c r="H653" s="93">
        <f>IFERROR(__xludf.DUMMYFUNCTION("""COMPUTED_VALUE"""),3.142295158E9)</f>
        <v>3142295158</v>
      </c>
      <c r="I653" s="93" t="str">
        <f>IFERROR(__xludf.DUMMYFUNCTION("""COMPUTED_VALUE"""),"9AM-11AM")</f>
        <v>9AM-11AM</v>
      </c>
      <c r="J653" s="93">
        <f>IFERROR(__xludf.DUMMYFUNCTION("""COMPUTED_VALUE"""),1.0)</f>
        <v>1</v>
      </c>
      <c r="K653" s="93" t="str">
        <f>IFERROR(__xludf.DUMMYFUNCTION("""COMPUTED_VALUE"""),"Complete")</f>
        <v>Complete</v>
      </c>
      <c r="L653" s="93"/>
      <c r="M653" s="94">
        <f>IFERROR(__xludf.DUMMYFUNCTION("""COMPUTED_VALUE"""),46140.77777777778)</f>
        <v>46140.77778</v>
      </c>
      <c r="N653" s="93">
        <f>IFERROR(__xludf.DUMMYFUNCTION("""COMPUTED_VALUE"""),113.0)</f>
        <v>113</v>
      </c>
      <c r="O653" s="93"/>
      <c r="P653" s="93" t="str">
        <f>IFERROR(__xludf.DUMMYFUNCTION("""COMPUTED_VALUE"""),"Kit Delivery")</f>
        <v>Kit Delivery</v>
      </c>
      <c r="Q653" s="93"/>
      <c r="R653" s="93"/>
      <c r="S653" s="93" t="str">
        <f>IFERROR(__xludf.DUMMYFUNCTION("""COMPUTED_VALUE"""),"Dispatch_Images/KIT--17390.Photos.233956.jpg")</f>
        <v>Dispatch_Images/KIT--17390.Photos.233956.jpg</v>
      </c>
      <c r="T653" s="95">
        <f>IFERROR(__xludf.DUMMYFUNCTION("""COMPUTED_VALUE"""),46140.77990740741)</f>
        <v>46140.77991</v>
      </c>
      <c r="U653" s="93"/>
      <c r="V653" s="93"/>
      <c r="W653" s="93"/>
      <c r="X653" s="93"/>
      <c r="Y653" s="93"/>
      <c r="Z653" s="93"/>
    </row>
    <row r="654">
      <c r="A654" s="93" t="str">
        <f>IFERROR(__xludf.DUMMYFUNCTION("""COMPUTED_VALUE"""),"KIT-#17232")</f>
        <v>KIT-#17232</v>
      </c>
      <c r="B654" s="94">
        <f>IFERROR(__xludf.DUMMYFUNCTION("""COMPUTED_VALUE"""),46149.0)</f>
        <v>46149</v>
      </c>
      <c r="C654" s="93" t="str">
        <f>IFERROR(__xludf.DUMMYFUNCTION("""COMPUTED_VALUE"""),"Kit Delivery")</f>
        <v>Kit Delivery</v>
      </c>
      <c r="D654" s="93">
        <f>IFERROR(__xludf.DUMMYFUNCTION("""COMPUTED_VALUE"""),2.0)</f>
        <v>2</v>
      </c>
      <c r="E654" s="93" t="str">
        <f>IFERROR(__xludf.DUMMYFUNCTION("""COMPUTED_VALUE"""),"Zetcher")</f>
        <v>Zetcher</v>
      </c>
      <c r="F654" s="93">
        <f>IFERROR(__xludf.DUMMYFUNCTION("""COMPUTED_VALUE"""),2214.0)</f>
        <v>2214</v>
      </c>
      <c r="G654" s="93" t="str">
        <f>IFERROR(__xludf.DUMMYFUNCTION("""COMPUTED_VALUE"""),"Sarah Kelly")</f>
        <v>Sarah Kelly</v>
      </c>
      <c r="H654" s="93">
        <f>IFERROR(__xludf.DUMMYFUNCTION("""COMPUTED_VALUE"""),9.084723133E9)</f>
        <v>9084723133</v>
      </c>
      <c r="I654" s="93" t="str">
        <f>IFERROR(__xludf.DUMMYFUNCTION("""COMPUTED_VALUE"""),"3PM-5PM")</f>
        <v>3PM-5PM</v>
      </c>
      <c r="J654" s="93">
        <f>IFERROR(__xludf.DUMMYFUNCTION("""COMPUTED_VALUE"""),1.0)</f>
        <v>1</v>
      </c>
      <c r="K654" s="93" t="str">
        <f>IFERROR(__xludf.DUMMYFUNCTION("""COMPUTED_VALUE"""),"Complete")</f>
        <v>Complete</v>
      </c>
      <c r="L654" s="93"/>
      <c r="M654" s="94">
        <f>IFERROR(__xludf.DUMMYFUNCTION("""COMPUTED_VALUE"""),46140.77861111111)</f>
        <v>46140.77861</v>
      </c>
      <c r="N654" s="93">
        <f>IFERROR(__xludf.DUMMYFUNCTION("""COMPUTED_VALUE"""),114.0)</f>
        <v>114</v>
      </c>
      <c r="O654" s="93" t="str">
        <f>IFERROR(__xludf.DUMMYFUNCTION("""COMPUTED_VALUE"""),"19 Rotary Lane Summit, NJ 07901")</f>
        <v>19 Rotary Lane Summit, NJ 07901</v>
      </c>
      <c r="P654" s="93" t="str">
        <f>IFERROR(__xludf.DUMMYFUNCTION("""COMPUTED_VALUE"""),"Kit Delivery")</f>
        <v>Kit Delivery</v>
      </c>
      <c r="Q654" s="93"/>
      <c r="R654" s="93"/>
      <c r="S654" s="93" t="str">
        <f>IFERROR(__xludf.DUMMYFUNCTION("""COMPUTED_VALUE"""),"Dispatch_Images/KIT--17232.Photos.234109.jpg")</f>
        <v>Dispatch_Images/KIT--17232.Photos.234109.jpg</v>
      </c>
      <c r="T654" s="95">
        <f>IFERROR(__xludf.DUMMYFUNCTION("""COMPUTED_VALUE"""),46140.77990740741)</f>
        <v>46140.77991</v>
      </c>
      <c r="U654" s="93"/>
      <c r="V654" s="93"/>
      <c r="W654" s="93"/>
      <c r="X654" s="93"/>
      <c r="Y654" s="93"/>
      <c r="Z654" s="93"/>
    </row>
    <row r="655">
      <c r="A655" s="93" t="str">
        <f>IFERROR(__xludf.DUMMYFUNCTION("""COMPUTED_VALUE"""),"KIT-#17512")</f>
        <v>KIT-#17512</v>
      </c>
      <c r="B655" s="94">
        <f>IFERROR(__xludf.DUMMYFUNCTION("""COMPUTED_VALUE"""),46149.0)</f>
        <v>46149</v>
      </c>
      <c r="C655" s="93" t="str">
        <f>IFERROR(__xludf.DUMMYFUNCTION("""COMPUTED_VALUE"""),"Kit Delivery")</f>
        <v>Kit Delivery</v>
      </c>
      <c r="D655" s="93">
        <f>IFERROR(__xludf.DUMMYFUNCTION("""COMPUTED_VALUE"""),2.0)</f>
        <v>2</v>
      </c>
      <c r="E655" s="93" t="str">
        <f>IFERROR(__xludf.DUMMYFUNCTION("""COMPUTED_VALUE"""),"Zetcher")</f>
        <v>Zetcher</v>
      </c>
      <c r="F655" s="93" t="str">
        <f>IFERROR(__xludf.DUMMYFUNCTION("""COMPUTED_VALUE"""),"3091 A")</f>
        <v>3091 A</v>
      </c>
      <c r="G655" s="93" t="str">
        <f>IFERROR(__xludf.DUMMYFUNCTION("""COMPUTED_VALUE"""),"Kaitlyn Tan")</f>
        <v>Kaitlyn Tan</v>
      </c>
      <c r="H655" s="93">
        <f>IFERROR(__xludf.DUMMYFUNCTION("""COMPUTED_VALUE"""),9.166999502E9)</f>
        <v>9166999502</v>
      </c>
      <c r="I655" s="93" t="str">
        <f>IFERROR(__xludf.DUMMYFUNCTION("""COMPUTED_VALUE"""),"1PM-3PM")</f>
        <v>1PM-3PM</v>
      </c>
      <c r="J655" s="93">
        <f>IFERROR(__xludf.DUMMYFUNCTION("""COMPUTED_VALUE"""),1.0)</f>
        <v>1</v>
      </c>
      <c r="K655" s="93" t="str">
        <f>IFERROR(__xludf.DUMMYFUNCTION("""COMPUTED_VALUE"""),"Complete")</f>
        <v>Complete</v>
      </c>
      <c r="L655" s="93"/>
      <c r="M655" s="94">
        <f>IFERROR(__xludf.DUMMYFUNCTION("""COMPUTED_VALUE"""),46140.781956018516)</f>
        <v>46140.78196</v>
      </c>
      <c r="N655" s="93">
        <f>IFERROR(__xludf.DUMMYFUNCTION("""COMPUTED_VALUE"""),121.0)</f>
        <v>121</v>
      </c>
      <c r="O655" s="93"/>
      <c r="P655" s="93" t="str">
        <f>IFERROR(__xludf.DUMMYFUNCTION("""COMPUTED_VALUE"""),"Kit Delivery")</f>
        <v>Kit Delivery</v>
      </c>
      <c r="Q655" s="93" t="str">
        <f>IFERROR(__xludf.DUMMYFUNCTION("""COMPUTED_VALUE"""),"Will update/contact you guys on the official housing location before school starts.")</f>
        <v>Will update/contact you guys on the official housing location before school starts.</v>
      </c>
      <c r="R655" s="93"/>
      <c r="S655" s="93" t="str">
        <f>IFERROR(__xludf.DUMMYFUNCTION("""COMPUTED_VALUE"""),"Dispatch_Images/KIT--17512.Photos.234557.jpg")</f>
        <v>Dispatch_Images/KIT--17512.Photos.234557.jpg</v>
      </c>
      <c r="T655" s="95">
        <f>IFERROR(__xludf.DUMMYFUNCTION("""COMPUTED_VALUE"""),46140.786840277775)</f>
        <v>46140.78684</v>
      </c>
      <c r="U655" s="93"/>
      <c r="V655" s="93"/>
      <c r="W655" s="93"/>
      <c r="X655" s="93"/>
      <c r="Y655" s="93"/>
      <c r="Z655" s="93"/>
    </row>
    <row r="656">
      <c r="A656" s="93" t="str">
        <f>IFERROR(__xludf.DUMMYFUNCTION("""COMPUTED_VALUE"""),"KIT-#17561")</f>
        <v>KIT-#17561</v>
      </c>
      <c r="B656" s="94">
        <f>IFERROR(__xludf.DUMMYFUNCTION("""COMPUTED_VALUE"""),46149.0)</f>
        <v>46149</v>
      </c>
      <c r="C656" s="93" t="str">
        <f>IFERROR(__xludf.DUMMYFUNCTION("""COMPUTED_VALUE"""),"Kit Delivery")</f>
        <v>Kit Delivery</v>
      </c>
      <c r="D656" s="93">
        <f>IFERROR(__xludf.DUMMYFUNCTION("""COMPUTED_VALUE"""),2.0)</f>
        <v>2</v>
      </c>
      <c r="E656" s="93" t="str">
        <f>IFERROR(__xludf.DUMMYFUNCTION("""COMPUTED_VALUE"""),"Zetcher")</f>
        <v>Zetcher</v>
      </c>
      <c r="F656" s="93">
        <f>IFERROR(__xludf.DUMMYFUNCTION("""COMPUTED_VALUE"""),3092.0)</f>
        <v>3092</v>
      </c>
      <c r="G656" s="93" t="str">
        <f>IFERROR(__xludf.DUMMYFUNCTION("""COMPUTED_VALUE"""),"Susie Sun")</f>
        <v>Susie Sun</v>
      </c>
      <c r="H656" s="93">
        <f>IFERROR(__xludf.DUMMYFUNCTION("""COMPUTED_VALUE"""),3.147326554E9)</f>
        <v>3147326554</v>
      </c>
      <c r="I656" s="93" t="str">
        <f>IFERROR(__xludf.DUMMYFUNCTION("""COMPUTED_VALUE"""),"9AM-11AM")</f>
        <v>9AM-11AM</v>
      </c>
      <c r="J656" s="93">
        <f>IFERROR(__xludf.DUMMYFUNCTION("""COMPUTED_VALUE"""),2.0)</f>
        <v>2</v>
      </c>
      <c r="K656" s="93" t="str">
        <f>IFERROR(__xludf.DUMMYFUNCTION("""COMPUTED_VALUE"""),"Complete")</f>
        <v>Complete</v>
      </c>
      <c r="L656" s="93"/>
      <c r="M656" s="94">
        <f>IFERROR(__xludf.DUMMYFUNCTION("""COMPUTED_VALUE"""),46140.78224537037)</f>
        <v>46140.78225</v>
      </c>
      <c r="N656" s="93">
        <f>IFERROR(__xludf.DUMMYFUNCTION("""COMPUTED_VALUE"""),122.0)</f>
        <v>122</v>
      </c>
      <c r="O656" s="93"/>
      <c r="P656" s="93" t="str">
        <f>IFERROR(__xludf.DUMMYFUNCTION("""COMPUTED_VALUE"""),"Kit Delivery")</f>
        <v>Kit Delivery</v>
      </c>
      <c r="Q656" s="93" t="str">
        <f>IFERROR(__xludf.DUMMYFUNCTION("""COMPUTED_VALUE"""),"Need to deliver back to off-campus housing:)")</f>
        <v>Need to deliver back to off-campus housing:)</v>
      </c>
      <c r="R656" s="93"/>
      <c r="S656" s="93" t="str">
        <f>IFERROR(__xludf.DUMMYFUNCTION("""COMPUTED_VALUE"""),"Dispatch_Images/KIT--17561.Photos.234623.jpg")</f>
        <v>Dispatch_Images/KIT--17561.Photos.234623.jpg</v>
      </c>
      <c r="T656" s="95">
        <f>IFERROR(__xludf.DUMMYFUNCTION("""COMPUTED_VALUE"""),46140.786840277775)</f>
        <v>46140.78684</v>
      </c>
      <c r="U656" s="93"/>
      <c r="V656" s="93"/>
      <c r="W656" s="93"/>
      <c r="X656" s="93"/>
      <c r="Y656" s="93"/>
      <c r="Z656" s="93"/>
    </row>
    <row r="657">
      <c r="A657" s="93" t="str">
        <f>IFERROR(__xludf.DUMMYFUNCTION("""COMPUTED_VALUE"""),"KIT-#17648")</f>
        <v>KIT-#17648</v>
      </c>
      <c r="B657" s="94">
        <f>IFERROR(__xludf.DUMMYFUNCTION("""COMPUTED_VALUE"""),46149.0)</f>
        <v>46149</v>
      </c>
      <c r="C657" s="93" t="str">
        <f>IFERROR(__xludf.DUMMYFUNCTION("""COMPUTED_VALUE"""),"Kit Delivery")</f>
        <v>Kit Delivery</v>
      </c>
      <c r="D657" s="93">
        <f>IFERROR(__xludf.DUMMYFUNCTION("""COMPUTED_VALUE"""),2.0)</f>
        <v>2</v>
      </c>
      <c r="E657" s="93" t="str">
        <f>IFERROR(__xludf.DUMMYFUNCTION("""COMPUTED_VALUE"""),"Zetcher")</f>
        <v>Zetcher</v>
      </c>
      <c r="F657" s="93">
        <f>IFERROR(__xludf.DUMMYFUNCTION("""COMPUTED_VALUE"""),3094.0)</f>
        <v>3094</v>
      </c>
      <c r="G657" s="93" t="str">
        <f>IFERROR(__xludf.DUMMYFUNCTION("""COMPUTED_VALUE"""),"Bella Lin")</f>
        <v>Bella Lin</v>
      </c>
      <c r="H657" s="93">
        <f>IFERROR(__xludf.DUMMYFUNCTION("""COMPUTED_VALUE"""),3.146558325E9)</f>
        <v>3146558325</v>
      </c>
      <c r="I657" s="93" t="str">
        <f>IFERROR(__xludf.DUMMYFUNCTION("""COMPUTED_VALUE"""),"1PM-3PM")</f>
        <v>1PM-3PM</v>
      </c>
      <c r="J657" s="93">
        <f>IFERROR(__xludf.DUMMYFUNCTION("""COMPUTED_VALUE"""),1.0)</f>
        <v>1</v>
      </c>
      <c r="K657" s="93" t="str">
        <f>IFERROR(__xludf.DUMMYFUNCTION("""COMPUTED_VALUE"""),"Complete")</f>
        <v>Complete</v>
      </c>
      <c r="L657" s="93"/>
      <c r="M657" s="94">
        <f>IFERROR(__xludf.DUMMYFUNCTION("""COMPUTED_VALUE"""),46140.782442129625)</f>
        <v>46140.78244</v>
      </c>
      <c r="N657" s="93">
        <f>IFERROR(__xludf.DUMMYFUNCTION("""COMPUTED_VALUE"""),123.0)</f>
        <v>123</v>
      </c>
      <c r="O657" s="93"/>
      <c r="P657" s="93" t="str">
        <f>IFERROR(__xludf.DUMMYFUNCTION("""COMPUTED_VALUE"""),"Kit Delivery")</f>
        <v>Kit Delivery</v>
      </c>
      <c r="Q657" s="93"/>
      <c r="R657" s="93"/>
      <c r="S657" s="93" t="str">
        <f>IFERROR(__xludf.DUMMYFUNCTION("""COMPUTED_VALUE"""),"Dispatch_Images/KIT--17648.Photos.234640.jpg")</f>
        <v>Dispatch_Images/KIT--17648.Photos.234640.jpg</v>
      </c>
      <c r="T657" s="95">
        <f>IFERROR(__xludf.DUMMYFUNCTION("""COMPUTED_VALUE"""),46140.786840277775)</f>
        <v>46140.78684</v>
      </c>
      <c r="U657" s="93"/>
      <c r="V657" s="93"/>
      <c r="W657" s="93"/>
      <c r="X657" s="93"/>
      <c r="Y657" s="93"/>
      <c r="Z657" s="93"/>
    </row>
    <row r="658">
      <c r="A658" s="93" t="str">
        <f>IFERROR(__xludf.DUMMYFUNCTION("""COMPUTED_VALUE"""),"KIT-#17210")</f>
        <v>KIT-#17210</v>
      </c>
      <c r="B658" s="94">
        <f>IFERROR(__xludf.DUMMYFUNCTION("""COMPUTED_VALUE"""),46149.0)</f>
        <v>46149</v>
      </c>
      <c r="C658" s="93" t="str">
        <f>IFERROR(__xludf.DUMMYFUNCTION("""COMPUTED_VALUE"""),"Kit Delivery")</f>
        <v>Kit Delivery</v>
      </c>
      <c r="D658" s="93">
        <f>IFERROR(__xludf.DUMMYFUNCTION("""COMPUTED_VALUE"""),2.0)</f>
        <v>2</v>
      </c>
      <c r="E658" s="93" t="str">
        <f>IFERROR(__xludf.DUMMYFUNCTION("""COMPUTED_VALUE"""),"Zetcher")</f>
        <v>Zetcher</v>
      </c>
      <c r="F658" s="93">
        <f>IFERROR(__xludf.DUMMYFUNCTION("""COMPUTED_VALUE"""),3070.0)</f>
        <v>3070</v>
      </c>
      <c r="G658" s="93" t="str">
        <f>IFERROR(__xludf.DUMMYFUNCTION("""COMPUTED_VALUE"""),"Isabel Sonneborn")</f>
        <v>Isabel Sonneborn</v>
      </c>
      <c r="H658" s="93">
        <f>IFERROR(__xludf.DUMMYFUNCTION("""COMPUTED_VALUE"""),4.157474619E9)</f>
        <v>4157474619</v>
      </c>
      <c r="I658" s="93" t="str">
        <f>IFERROR(__xludf.DUMMYFUNCTION("""COMPUTED_VALUE"""),"9AM-11AM")</f>
        <v>9AM-11AM</v>
      </c>
      <c r="J658" s="93">
        <f>IFERROR(__xludf.DUMMYFUNCTION("""COMPUTED_VALUE"""),1.0)</f>
        <v>1</v>
      </c>
      <c r="K658" s="93" t="str">
        <f>IFERROR(__xludf.DUMMYFUNCTION("""COMPUTED_VALUE"""),"Complete")</f>
        <v>Complete</v>
      </c>
      <c r="L658" s="93"/>
      <c r="M658" s="94">
        <f>IFERROR(__xludf.DUMMYFUNCTION("""COMPUTED_VALUE"""),46140.78366898149)</f>
        <v>46140.78367</v>
      </c>
      <c r="N658" s="93">
        <f>IFERROR(__xludf.DUMMYFUNCTION("""COMPUTED_VALUE"""),119.0)</f>
        <v>119</v>
      </c>
      <c r="O658" s="93"/>
      <c r="P658" s="93" t="str">
        <f>IFERROR(__xludf.DUMMYFUNCTION("""COMPUTED_VALUE"""),"Kit Delivery")</f>
        <v>Kit Delivery</v>
      </c>
      <c r="Q658" s="93"/>
      <c r="R658" s="93"/>
      <c r="S658" s="93" t="str">
        <f>IFERROR(__xludf.DUMMYFUNCTION("""COMPUTED_VALUE"""),"Dispatch_Images/KIT--17210.Photos.234826.jpg")</f>
        <v>Dispatch_Images/KIT--17210.Photos.234826.jpg</v>
      </c>
      <c r="T658" s="95">
        <f>IFERROR(__xludf.DUMMYFUNCTION("""COMPUTED_VALUE"""),46140.786840277775)</f>
        <v>46140.78684</v>
      </c>
      <c r="U658" s="93"/>
      <c r="V658" s="93"/>
      <c r="W658" s="93"/>
      <c r="X658" s="93"/>
      <c r="Y658" s="93"/>
      <c r="Z658" s="93"/>
    </row>
    <row r="659">
      <c r="A659" s="93" t="str">
        <f>IFERROR(__xludf.DUMMYFUNCTION("""COMPUTED_VALUE"""),"KIT-#17753")</f>
        <v>KIT-#17753</v>
      </c>
      <c r="B659" s="94">
        <f>IFERROR(__xludf.DUMMYFUNCTION("""COMPUTED_VALUE"""),46149.0)</f>
        <v>46149</v>
      </c>
      <c r="C659" s="93" t="str">
        <f>IFERROR(__xludf.DUMMYFUNCTION("""COMPUTED_VALUE"""),"Kit Delivery")</f>
        <v>Kit Delivery</v>
      </c>
      <c r="D659" s="93">
        <f>IFERROR(__xludf.DUMMYFUNCTION("""COMPUTED_VALUE"""),2.0)</f>
        <v>2</v>
      </c>
      <c r="E659" s="93" t="str">
        <f>IFERROR(__xludf.DUMMYFUNCTION("""COMPUTED_VALUE"""),"Zetcher")</f>
        <v>Zetcher</v>
      </c>
      <c r="F659" s="93" t="str">
        <f>IFERROR(__xludf.DUMMYFUNCTION("""COMPUTED_VALUE"""),"3070-3072")</f>
        <v>3070-3072</v>
      </c>
      <c r="G659" s="93" t="str">
        <f>IFERROR(__xludf.DUMMYFUNCTION("""COMPUTED_VALUE"""),"Isabel Sonneborn")</f>
        <v>Isabel Sonneborn</v>
      </c>
      <c r="H659" s="93">
        <f>IFERROR(__xludf.DUMMYFUNCTION("""COMPUTED_VALUE"""),4.157474619E9)</f>
        <v>4157474619</v>
      </c>
      <c r="I659" s="93" t="str">
        <f>IFERROR(__xludf.DUMMYFUNCTION("""COMPUTED_VALUE"""),"2PM-4PM")</f>
        <v>2PM-4PM</v>
      </c>
      <c r="J659" s="93">
        <f>IFERROR(__xludf.DUMMYFUNCTION("""COMPUTED_VALUE"""),1.0)</f>
        <v>1</v>
      </c>
      <c r="K659" s="93" t="str">
        <f>IFERROR(__xludf.DUMMYFUNCTION("""COMPUTED_VALUE"""),"Complete")</f>
        <v>Complete</v>
      </c>
      <c r="L659" s="93"/>
      <c r="M659" s="94">
        <f>IFERROR(__xludf.DUMMYFUNCTION("""COMPUTED_VALUE"""),46140.784363425926)</f>
        <v>46140.78436</v>
      </c>
      <c r="N659" s="93">
        <f>IFERROR(__xludf.DUMMYFUNCTION("""COMPUTED_VALUE"""),120.0)</f>
        <v>120</v>
      </c>
      <c r="O659" s="93"/>
      <c r="P659" s="93" t="str">
        <f>IFERROR(__xludf.DUMMYFUNCTION("""COMPUTED_VALUE"""),"Kit Delivery")</f>
        <v>Kit Delivery</v>
      </c>
      <c r="Q659" s="93"/>
      <c r="R659" s="93"/>
      <c r="S659" s="93" t="str">
        <f>IFERROR(__xludf.DUMMYFUNCTION("""COMPUTED_VALUE"""),"Dispatch_Images/KIT--17753.Photos.234925.jpg")</f>
        <v>Dispatch_Images/KIT--17753.Photos.234925.jpg</v>
      </c>
      <c r="T659" s="95">
        <f>IFERROR(__xludf.DUMMYFUNCTION("""COMPUTED_VALUE"""),46140.786840277775)</f>
        <v>46140.78684</v>
      </c>
      <c r="U659" s="93"/>
      <c r="V659" s="93"/>
      <c r="W659" s="93"/>
      <c r="X659" s="93"/>
      <c r="Y659" s="93"/>
      <c r="Z659" s="93"/>
    </row>
    <row r="660">
      <c r="A660" s="93" t="str">
        <f>IFERROR(__xludf.DUMMYFUNCTION("""COMPUTED_VALUE"""),"KIT-#17900")</f>
        <v>KIT-#17900</v>
      </c>
      <c r="B660" s="94">
        <f>IFERROR(__xludf.DUMMYFUNCTION("""COMPUTED_VALUE"""),46149.0)</f>
        <v>46149</v>
      </c>
      <c r="C660" s="93" t="str">
        <f>IFERROR(__xludf.DUMMYFUNCTION("""COMPUTED_VALUE"""),"Kit Delivery")</f>
        <v>Kit Delivery</v>
      </c>
      <c r="D660" s="93">
        <f>IFERROR(__xludf.DUMMYFUNCTION("""COMPUTED_VALUE"""),2.0)</f>
        <v>2</v>
      </c>
      <c r="E660" s="93" t="str">
        <f>IFERROR(__xludf.DUMMYFUNCTION("""COMPUTED_VALUE"""),"Zetcher")</f>
        <v>Zetcher</v>
      </c>
      <c r="F660" s="93">
        <f>IFERROR(__xludf.DUMMYFUNCTION("""COMPUTED_VALUE"""),3042.0)</f>
        <v>3042</v>
      </c>
      <c r="G660" s="93" t="str">
        <f>IFERROR(__xludf.DUMMYFUNCTION("""COMPUTED_VALUE"""),"Ethan Skolnick")</f>
        <v>Ethan Skolnick</v>
      </c>
      <c r="H660" s="93">
        <f>IFERROR(__xludf.DUMMYFUNCTION("""COMPUTED_VALUE"""),5.028885987E9)</f>
        <v>5028885987</v>
      </c>
      <c r="I660" s="93" t="str">
        <f>IFERROR(__xludf.DUMMYFUNCTION("""COMPUTED_VALUE"""),"10AM-12PM")</f>
        <v>10AM-12PM</v>
      </c>
      <c r="J660" s="93">
        <f>IFERROR(__xludf.DUMMYFUNCTION("""COMPUTED_VALUE"""),1.0)</f>
        <v>1</v>
      </c>
      <c r="K660" s="93" t="str">
        <f>IFERROR(__xludf.DUMMYFUNCTION("""COMPUTED_VALUE"""),"Complete")</f>
        <v>Complete</v>
      </c>
      <c r="L660" s="93"/>
      <c r="M660" s="94">
        <f>IFERROR(__xludf.DUMMYFUNCTION("""COMPUTED_VALUE"""),46140.7846412037)</f>
        <v>46140.78464</v>
      </c>
      <c r="N660" s="93">
        <f>IFERROR(__xludf.DUMMYFUNCTION("""COMPUTED_VALUE"""),117.0)</f>
        <v>117</v>
      </c>
      <c r="O660" s="93"/>
      <c r="P660" s="93" t="str">
        <f>IFERROR(__xludf.DUMMYFUNCTION("""COMPUTED_VALUE"""),"Kit Delivery")</f>
        <v>Kit Delivery</v>
      </c>
      <c r="Q660" s="93"/>
      <c r="R660" s="93"/>
      <c r="S660" s="93" t="str">
        <f>IFERROR(__xludf.DUMMYFUNCTION("""COMPUTED_VALUE"""),"Dispatch_Images/KIT--17900.Photos.234950.jpg")</f>
        <v>Dispatch_Images/KIT--17900.Photos.234950.jpg</v>
      </c>
      <c r="T660" s="95">
        <f>IFERROR(__xludf.DUMMYFUNCTION("""COMPUTED_VALUE"""),46140.786840277775)</f>
        <v>46140.78684</v>
      </c>
      <c r="U660" s="93"/>
      <c r="V660" s="93"/>
      <c r="W660" s="93"/>
      <c r="X660" s="93"/>
      <c r="Y660" s="93"/>
      <c r="Z660" s="93"/>
    </row>
    <row r="661">
      <c r="A661" s="93" t="str">
        <f>IFERROR(__xludf.DUMMYFUNCTION("""COMPUTED_VALUE"""),"KIT-#16820")</f>
        <v>KIT-#16820</v>
      </c>
      <c r="B661" s="94">
        <f>IFERROR(__xludf.DUMMYFUNCTION("""COMPUTED_VALUE"""),46149.0)</f>
        <v>46149</v>
      </c>
      <c r="C661" s="93" t="str">
        <f>IFERROR(__xludf.DUMMYFUNCTION("""COMPUTED_VALUE"""),"Kit Delivery")</f>
        <v>Kit Delivery</v>
      </c>
      <c r="D661" s="93">
        <f>IFERROR(__xludf.DUMMYFUNCTION("""COMPUTED_VALUE"""),2.0)</f>
        <v>2</v>
      </c>
      <c r="E661" s="93" t="str">
        <f>IFERROR(__xludf.DUMMYFUNCTION("""COMPUTED_VALUE"""),"Zetcher")</f>
        <v>Zetcher</v>
      </c>
      <c r="F661" s="93">
        <f>IFERROR(__xludf.DUMMYFUNCTION("""COMPUTED_VALUE"""),3062.0)</f>
        <v>3062</v>
      </c>
      <c r="G661" s="93" t="str">
        <f>IFERROR(__xludf.DUMMYFUNCTION("""COMPUTED_VALUE"""),"Alexander Lee")</f>
        <v>Alexander Lee</v>
      </c>
      <c r="H661" s="93">
        <f>IFERROR(__xludf.DUMMYFUNCTION("""COMPUTED_VALUE"""),7.144828812E9)</f>
        <v>7144828812</v>
      </c>
      <c r="I661" s="93" t="str">
        <f>IFERROR(__xludf.DUMMYFUNCTION("""COMPUTED_VALUE"""),"9AM-11AM")</f>
        <v>9AM-11AM</v>
      </c>
      <c r="J661" s="93">
        <f>IFERROR(__xludf.DUMMYFUNCTION("""COMPUTED_VALUE"""),1.0)</f>
        <v>1</v>
      </c>
      <c r="K661" s="93" t="str">
        <f>IFERROR(__xludf.DUMMYFUNCTION("""COMPUTED_VALUE"""),"Complete")</f>
        <v>Complete</v>
      </c>
      <c r="L661" s="93"/>
      <c r="M661" s="94">
        <f>IFERROR(__xludf.DUMMYFUNCTION("""COMPUTED_VALUE"""),46140.78885416666)</f>
        <v>46140.78885</v>
      </c>
      <c r="N661" s="93">
        <f>IFERROR(__xludf.DUMMYFUNCTION("""COMPUTED_VALUE"""),118.0)</f>
        <v>118</v>
      </c>
      <c r="O661" s="93"/>
      <c r="P661" s="93" t="str">
        <f>IFERROR(__xludf.DUMMYFUNCTION("""COMPUTED_VALUE"""),"Kit Delivery")</f>
        <v>Kit Delivery</v>
      </c>
      <c r="Q661" s="93"/>
      <c r="R661" s="93"/>
      <c r="S661" s="93" t="str">
        <f>IFERROR(__xludf.DUMMYFUNCTION("""COMPUTED_VALUE"""),"Dispatch_Images/KIT--16820.Photos.235553.jpg")</f>
        <v>Dispatch_Images/KIT--16820.Photos.235553.jpg</v>
      </c>
      <c r="T661" s="95">
        <f>IFERROR(__xludf.DUMMYFUNCTION("""COMPUTED_VALUE"""),46140.79378472222)</f>
        <v>46140.79378</v>
      </c>
      <c r="U661" s="93"/>
      <c r="V661" s="93"/>
      <c r="W661" s="93"/>
      <c r="X661" s="93"/>
      <c r="Y661" s="93"/>
      <c r="Z661" s="93"/>
    </row>
    <row r="662">
      <c r="A662" s="93" t="str">
        <f>IFERROR(__xludf.DUMMYFUNCTION("""COMPUTED_VALUE"""),"KIT-#17524")</f>
        <v>KIT-#17524</v>
      </c>
      <c r="B662" s="94">
        <f>IFERROR(__xludf.DUMMYFUNCTION("""COMPUTED_VALUE"""),46149.0)</f>
        <v>46149</v>
      </c>
      <c r="C662" s="93" t="str">
        <f>IFERROR(__xludf.DUMMYFUNCTION("""COMPUTED_VALUE"""),"Kit Delivery")</f>
        <v>Kit Delivery</v>
      </c>
      <c r="D662" s="93">
        <f>IFERROR(__xludf.DUMMYFUNCTION("""COMPUTED_VALUE"""),2.0)</f>
        <v>2</v>
      </c>
      <c r="E662" s="93" t="str">
        <f>IFERROR(__xludf.DUMMYFUNCTION("""COMPUTED_VALUE"""),"Lien")</f>
        <v>Lien</v>
      </c>
      <c r="F662" s="93">
        <f>IFERROR(__xludf.DUMMYFUNCTION("""COMPUTED_VALUE"""),3313.0)</f>
        <v>3313</v>
      </c>
      <c r="G662" s="93" t="str">
        <f>IFERROR(__xludf.DUMMYFUNCTION("""COMPUTED_VALUE"""),"Jerry Li")</f>
        <v>Jerry Li</v>
      </c>
      <c r="H662" s="93">
        <f>IFERROR(__xludf.DUMMYFUNCTION("""COMPUTED_VALUE"""),7.813255368E9)</f>
        <v>7813255368</v>
      </c>
      <c r="I662" s="93" t="str">
        <f>IFERROR(__xludf.DUMMYFUNCTION("""COMPUTED_VALUE"""),"10AM-12PM")</f>
        <v>10AM-12PM</v>
      </c>
      <c r="J662" s="93">
        <f>IFERROR(__xludf.DUMMYFUNCTION("""COMPUTED_VALUE"""),1.0)</f>
        <v>1</v>
      </c>
      <c r="K662" s="93" t="str">
        <f>IFERROR(__xludf.DUMMYFUNCTION("""COMPUTED_VALUE"""),"Complete")</f>
        <v>Complete</v>
      </c>
      <c r="L662" s="93"/>
      <c r="M662" s="94">
        <f>IFERROR(__xludf.DUMMYFUNCTION("""COMPUTED_VALUE"""),46140.801157407404)</f>
        <v>46140.80116</v>
      </c>
      <c r="N662" s="93">
        <f>IFERROR(__xludf.DUMMYFUNCTION("""COMPUTED_VALUE"""),135.0)</f>
        <v>135</v>
      </c>
      <c r="O662" s="93"/>
      <c r="P662" s="93" t="str">
        <f>IFERROR(__xludf.DUMMYFUNCTION("""COMPUTED_VALUE"""),"Kit Delivery")</f>
        <v>Kit Delivery</v>
      </c>
      <c r="Q662" s="93"/>
      <c r="R662" s="93"/>
      <c r="S662" s="93" t="str">
        <f>IFERROR(__xludf.DUMMYFUNCTION("""COMPUTED_VALUE"""),"Dispatch_Images/KIT--17524.Photos.001336.jpg")</f>
        <v>Dispatch_Images/KIT--17524.Photos.001336.jpg</v>
      </c>
      <c r="T662" s="95">
        <f>IFERROR(__xludf.DUMMYFUNCTION("""COMPUTED_VALUE"""),46140.80767361111)</f>
        <v>46140.80767</v>
      </c>
      <c r="U662" s="93"/>
      <c r="V662" s="93"/>
      <c r="W662" s="93"/>
      <c r="X662" s="93"/>
      <c r="Y662" s="93"/>
      <c r="Z662" s="93"/>
    </row>
    <row r="663">
      <c r="A663" s="93" t="str">
        <f>IFERROR(__xludf.DUMMYFUNCTION("""COMPUTED_VALUE"""),"KIT-#17412")</f>
        <v>KIT-#17412</v>
      </c>
      <c r="B663" s="94">
        <f>IFERROR(__xludf.DUMMYFUNCTION("""COMPUTED_VALUE"""),46149.0)</f>
        <v>46149</v>
      </c>
      <c r="C663" s="93" t="str">
        <f>IFERROR(__xludf.DUMMYFUNCTION("""COMPUTED_VALUE"""),"Kit Delivery")</f>
        <v>Kit Delivery</v>
      </c>
      <c r="D663" s="93">
        <f>IFERROR(__xludf.DUMMYFUNCTION("""COMPUTED_VALUE"""),2.0)</f>
        <v>2</v>
      </c>
      <c r="E663" s="93" t="str">
        <f>IFERROR(__xludf.DUMMYFUNCTION("""COMPUTED_VALUE"""),"Lien")</f>
        <v>Lien</v>
      </c>
      <c r="F663" s="93">
        <f>IFERROR(__xludf.DUMMYFUNCTION("""COMPUTED_VALUE"""),3315.0)</f>
        <v>3315</v>
      </c>
      <c r="G663" s="93" t="str">
        <f>IFERROR(__xludf.DUMMYFUNCTION("""COMPUTED_VALUE"""),"Carter Davidson")</f>
        <v>Carter Davidson</v>
      </c>
      <c r="H663" s="93">
        <f>IFERROR(__xludf.DUMMYFUNCTION("""COMPUTED_VALUE"""),8.574721138E9)</f>
        <v>8574721138</v>
      </c>
      <c r="I663" s="93" t="str">
        <f>IFERROR(__xludf.DUMMYFUNCTION("""COMPUTED_VALUE"""),"9AM-11AM")</f>
        <v>9AM-11AM</v>
      </c>
      <c r="J663" s="93">
        <f>IFERROR(__xludf.DUMMYFUNCTION("""COMPUTED_VALUE"""),2.0)</f>
        <v>2</v>
      </c>
      <c r="K663" s="93" t="str">
        <f>IFERROR(__xludf.DUMMYFUNCTION("""COMPUTED_VALUE"""),"Complete")</f>
        <v>Complete</v>
      </c>
      <c r="L663" s="93"/>
      <c r="M663" s="94">
        <f>IFERROR(__xludf.DUMMYFUNCTION("""COMPUTED_VALUE"""),46140.80179398148)</f>
        <v>46140.80179</v>
      </c>
      <c r="N663" s="93">
        <f>IFERROR(__xludf.DUMMYFUNCTION("""COMPUTED_VALUE"""),136.0)</f>
        <v>136</v>
      </c>
      <c r="O663" s="93"/>
      <c r="P663" s="93" t="str">
        <f>IFERROR(__xludf.DUMMYFUNCTION("""COMPUTED_VALUE"""),"Kit Delivery")</f>
        <v>Kit Delivery</v>
      </c>
      <c r="Q663" s="93"/>
      <c r="R663" s="93"/>
      <c r="S663" s="93" t="str">
        <f>IFERROR(__xludf.DUMMYFUNCTION("""COMPUTED_VALUE"""),"Dispatch_Images/KIT--17412.Photos.001432.jpg")</f>
        <v>Dispatch_Images/KIT--17412.Photos.001432.jpg</v>
      </c>
      <c r="T663" s="95">
        <f>IFERROR(__xludf.DUMMYFUNCTION("""COMPUTED_VALUE"""),46140.80767361111)</f>
        <v>46140.80767</v>
      </c>
      <c r="U663" s="93"/>
      <c r="V663" s="93"/>
      <c r="W663" s="93"/>
      <c r="X663" s="93"/>
      <c r="Y663" s="93"/>
      <c r="Z663" s="93"/>
    </row>
    <row r="664">
      <c r="A664" s="93" t="str">
        <f>IFERROR(__xludf.DUMMYFUNCTION("""COMPUTED_VALUE"""),"KIT-#17870")</f>
        <v>KIT-#17870</v>
      </c>
      <c r="B664" s="94">
        <f>IFERROR(__xludf.DUMMYFUNCTION("""COMPUTED_VALUE"""),46149.0)</f>
        <v>46149</v>
      </c>
      <c r="C664" s="93" t="str">
        <f>IFERROR(__xludf.DUMMYFUNCTION("""COMPUTED_VALUE"""),"Kit Delivery")</f>
        <v>Kit Delivery</v>
      </c>
      <c r="D664" s="93">
        <f>IFERROR(__xludf.DUMMYFUNCTION("""COMPUTED_VALUE"""),3.0)</f>
        <v>3</v>
      </c>
      <c r="E664" s="93" t="str">
        <f>IFERROR(__xludf.DUMMYFUNCTION("""COMPUTED_VALUE"""),"Wheeler")</f>
        <v>Wheeler</v>
      </c>
      <c r="F664" s="93">
        <f>IFERROR(__xludf.DUMMYFUNCTION("""COMPUTED_VALUE"""),1051.0)</f>
        <v>1051</v>
      </c>
      <c r="G664" s="93" t="str">
        <f>IFERROR(__xludf.DUMMYFUNCTION("""COMPUTED_VALUE"""),"Gabriel Herzlinger*")</f>
        <v>Gabriel Herzlinger*</v>
      </c>
      <c r="H664" s="93">
        <f>IFERROR(__xludf.DUMMYFUNCTION("""COMPUTED_VALUE"""),9.179308115E9)</f>
        <v>9179308115</v>
      </c>
      <c r="I664" s="93" t="str">
        <f>IFERROR(__xludf.DUMMYFUNCTION("""COMPUTED_VALUE"""),"3PM-5PM")</f>
        <v>3PM-5PM</v>
      </c>
      <c r="J664" s="93">
        <f>IFERROR(__xludf.DUMMYFUNCTION("""COMPUTED_VALUE"""),1.0)</f>
        <v>1</v>
      </c>
      <c r="K664" s="93" t="str">
        <f>IFERROR(__xludf.DUMMYFUNCTION("""COMPUTED_VALUE"""),"Complete")</f>
        <v>Complete</v>
      </c>
      <c r="L664" s="93"/>
      <c r="M664" s="94">
        <f>IFERROR(__xludf.DUMMYFUNCTION("""COMPUTED_VALUE"""),46140.81438657407)</f>
        <v>46140.81439</v>
      </c>
      <c r="N664" s="93">
        <f>IFERROR(__xludf.DUMMYFUNCTION("""COMPUTED_VALUE"""),43.0)</f>
        <v>43</v>
      </c>
      <c r="O664" s="93"/>
      <c r="P664" s="93" t="str">
        <f>IFERROR(__xludf.DUMMYFUNCTION("""COMPUTED_VALUE"""),"Kit Delivery")</f>
        <v>Kit Delivery</v>
      </c>
      <c r="Q664" s="93"/>
      <c r="R664" s="93"/>
      <c r="S664" s="93" t="str">
        <f>IFERROR(__xludf.DUMMYFUNCTION("""COMPUTED_VALUE"""),"Dispatch_Images/KIT--17870.Photos.003239.jpg")</f>
        <v>Dispatch_Images/KIT--17870.Photos.003239.jpg</v>
      </c>
      <c r="T664" s="95">
        <f>IFERROR(__xludf.DUMMYFUNCTION("""COMPUTED_VALUE"""),46140.81460648148)</f>
        <v>46140.81461</v>
      </c>
      <c r="U664" s="93"/>
      <c r="V664" s="93"/>
      <c r="W664" s="93"/>
      <c r="X664" s="93"/>
      <c r="Y664" s="93"/>
      <c r="Z664" s="93"/>
    </row>
    <row r="665">
      <c r="A665" s="93" t="str">
        <f>IFERROR(__xludf.DUMMYFUNCTION("""COMPUTED_VALUE"""),"KIT-#17789")</f>
        <v>KIT-#17789</v>
      </c>
      <c r="B665" s="94">
        <f>IFERROR(__xludf.DUMMYFUNCTION("""COMPUTED_VALUE"""),46149.0)</f>
        <v>46149</v>
      </c>
      <c r="C665" s="93" t="str">
        <f>IFERROR(__xludf.DUMMYFUNCTION("""COMPUTED_VALUE"""),"Kit Delivery")</f>
        <v>Kit Delivery</v>
      </c>
      <c r="D665" s="93">
        <f>IFERROR(__xludf.DUMMYFUNCTION("""COMPUTED_VALUE"""),2.0)</f>
        <v>2</v>
      </c>
      <c r="E665" s="93" t="str">
        <f>IFERROR(__xludf.DUMMYFUNCTION("""COMPUTED_VALUE"""),"Wheeler")</f>
        <v>Wheeler</v>
      </c>
      <c r="F665" s="93">
        <f>IFERROR(__xludf.DUMMYFUNCTION("""COMPUTED_VALUE"""),1011.0)</f>
        <v>1011</v>
      </c>
      <c r="G665" s="93" t="str">
        <f>IFERROR(__xludf.DUMMYFUNCTION("""COMPUTED_VALUE"""),"Evelyn Lee")</f>
        <v>Evelyn Lee</v>
      </c>
      <c r="H665" s="93">
        <f>IFERROR(__xludf.DUMMYFUNCTION("""COMPUTED_VALUE"""),2.133043801E9)</f>
        <v>2133043801</v>
      </c>
      <c r="I665" s="93" t="str">
        <f>IFERROR(__xludf.DUMMYFUNCTION("""COMPUTED_VALUE"""),"9AM-11AM")</f>
        <v>9AM-11AM</v>
      </c>
      <c r="J665" s="93">
        <f>IFERROR(__xludf.DUMMYFUNCTION("""COMPUTED_VALUE"""),2.0)</f>
        <v>2</v>
      </c>
      <c r="K665" s="93" t="str">
        <f>IFERROR(__xludf.DUMMYFUNCTION("""COMPUTED_VALUE"""),"Complete")</f>
        <v>Complete</v>
      </c>
      <c r="L665" s="93"/>
      <c r="M665" s="94">
        <f>IFERROR(__xludf.DUMMYFUNCTION("""COMPUTED_VALUE"""),46140.81570601852)</f>
        <v>46140.81571</v>
      </c>
      <c r="N665" s="93">
        <f>IFERROR(__xludf.DUMMYFUNCTION("""COMPUTED_VALUE"""),41.0)</f>
        <v>41</v>
      </c>
      <c r="O665" s="93"/>
      <c r="P665" s="93" t="str">
        <f>IFERROR(__xludf.DUMMYFUNCTION("""COMPUTED_VALUE"""),"Kit Delivery")</f>
        <v>Kit Delivery</v>
      </c>
      <c r="Q665" s="93"/>
      <c r="R665" s="93"/>
      <c r="S665" s="93" t="str">
        <f>IFERROR(__xludf.DUMMYFUNCTION("""COMPUTED_VALUE"""),"Dispatch_Images/KIT--17789.Photos.003432.jpg")</f>
        <v>Dispatch_Images/KIT--17789.Photos.003432.jpg</v>
      </c>
      <c r="T665" s="95">
        <f>IFERROR(__xludf.DUMMYFUNCTION("""COMPUTED_VALUE"""),46140.82157407407)</f>
        <v>46140.82157</v>
      </c>
      <c r="U665" s="93"/>
      <c r="V665" s="93"/>
      <c r="W665" s="93"/>
      <c r="X665" s="93"/>
      <c r="Y665" s="93"/>
      <c r="Z665" s="93"/>
    </row>
    <row r="666">
      <c r="A666" s="93" t="str">
        <f>IFERROR(__xludf.DUMMYFUNCTION("""COMPUTED_VALUE"""),"KIT-#17761")</f>
        <v>KIT-#17761</v>
      </c>
      <c r="B666" s="94">
        <f>IFERROR(__xludf.DUMMYFUNCTION("""COMPUTED_VALUE"""),46149.0)</f>
        <v>46149</v>
      </c>
      <c r="C666" s="93" t="str">
        <f>IFERROR(__xludf.DUMMYFUNCTION("""COMPUTED_VALUE"""),"Kit Delivery")</f>
        <v>Kit Delivery</v>
      </c>
      <c r="D666" s="93">
        <f>IFERROR(__xludf.DUMMYFUNCTION("""COMPUTED_VALUE"""),2.0)</f>
        <v>2</v>
      </c>
      <c r="E666" s="93" t="str">
        <f>IFERROR(__xludf.DUMMYFUNCTION("""COMPUTED_VALUE"""),"Wheeler")</f>
        <v>Wheeler</v>
      </c>
      <c r="F666" s="93">
        <f>IFERROR(__xludf.DUMMYFUNCTION("""COMPUTED_VALUE"""),4071.0)</f>
        <v>4071</v>
      </c>
      <c r="G666" s="93" t="str">
        <f>IFERROR(__xludf.DUMMYFUNCTION("""COMPUTED_VALUE"""),"Arianna Zeldin")</f>
        <v>Arianna Zeldin</v>
      </c>
      <c r="H666" s="93">
        <f>IFERROR(__xludf.DUMMYFUNCTION("""COMPUTED_VALUE"""),2.0244133E9)</f>
        <v>2024413300</v>
      </c>
      <c r="I666" s="93" t="str">
        <f>IFERROR(__xludf.DUMMYFUNCTION("""COMPUTED_VALUE"""),"3PM-5PM")</f>
        <v>3PM-5PM</v>
      </c>
      <c r="J666" s="93">
        <f>IFERROR(__xludf.DUMMYFUNCTION("""COMPUTED_VALUE"""),1.0)</f>
        <v>1</v>
      </c>
      <c r="K666" s="93" t="str">
        <f>IFERROR(__xludf.DUMMYFUNCTION("""COMPUTED_VALUE"""),"Complete")</f>
        <v>Complete</v>
      </c>
      <c r="L666" s="93"/>
      <c r="M666" s="94">
        <f>IFERROR(__xludf.DUMMYFUNCTION("""COMPUTED_VALUE"""),46140.81809027778)</f>
        <v>46140.81809</v>
      </c>
      <c r="N666" s="93">
        <f>IFERROR(__xludf.DUMMYFUNCTION("""COMPUTED_VALUE"""),45.0)</f>
        <v>45</v>
      </c>
      <c r="O666" s="93"/>
      <c r="P666" s="93" t="str">
        <f>IFERROR(__xludf.DUMMYFUNCTION("""COMPUTED_VALUE"""),"Kit Delivery")</f>
        <v>Kit Delivery</v>
      </c>
      <c r="Q666" s="93"/>
      <c r="R666" s="93"/>
      <c r="S666" s="93" t="str">
        <f>IFERROR(__xludf.DUMMYFUNCTION("""COMPUTED_VALUE"""),"Dispatch_Images/KIT--17761.Photos.003759.jpg")</f>
        <v>Dispatch_Images/KIT--17761.Photos.003759.jpg</v>
      </c>
      <c r="T666" s="95">
        <f>IFERROR(__xludf.DUMMYFUNCTION("""COMPUTED_VALUE"""),46140.82157407407)</f>
        <v>46140.82157</v>
      </c>
      <c r="U666" s="93"/>
      <c r="V666" s="93"/>
      <c r="W666" s="93"/>
      <c r="X666" s="93"/>
      <c r="Y666" s="93"/>
      <c r="Z666" s="93"/>
    </row>
    <row r="667">
      <c r="A667" s="93" t="str">
        <f>IFERROR(__xludf.DUMMYFUNCTION("""COMPUTED_VALUE"""),"KIT-#17461")</f>
        <v>KIT-#17461</v>
      </c>
      <c r="B667" s="94">
        <f>IFERROR(__xludf.DUMMYFUNCTION("""COMPUTED_VALUE"""),46149.0)</f>
        <v>46149</v>
      </c>
      <c r="C667" s="93" t="str">
        <f>IFERROR(__xludf.DUMMYFUNCTION("""COMPUTED_VALUE"""),"Kit Delivery")</f>
        <v>Kit Delivery</v>
      </c>
      <c r="D667" s="93">
        <f>IFERROR(__xludf.DUMMYFUNCTION("""COMPUTED_VALUE"""),2.0)</f>
        <v>2</v>
      </c>
      <c r="E667" s="93" t="str">
        <f>IFERROR(__xludf.DUMMYFUNCTION("""COMPUTED_VALUE"""),"Millbrook Bldg. 4")</f>
        <v>Millbrook Bldg. 4</v>
      </c>
      <c r="F667" s="93" t="str">
        <f>IFERROR(__xludf.DUMMYFUNCTION("""COMPUTED_VALUE"""),"B1 - Room B")</f>
        <v>B1 - Room B</v>
      </c>
      <c r="G667" s="93" t="str">
        <f>IFERROR(__xludf.DUMMYFUNCTION("""COMPUTED_VALUE"""),"Taya Puner")</f>
        <v>Taya Puner</v>
      </c>
      <c r="H667" s="93">
        <f>IFERROR(__xludf.DUMMYFUNCTION("""COMPUTED_VALUE"""),9.142239682E9)</f>
        <v>9142239682</v>
      </c>
      <c r="I667" s="93" t="str">
        <f>IFERROR(__xludf.DUMMYFUNCTION("""COMPUTED_VALUE"""),"9AM-11AM")</f>
        <v>9AM-11AM</v>
      </c>
      <c r="J667" s="93">
        <f>IFERROR(__xludf.DUMMYFUNCTION("""COMPUTED_VALUE"""),1.0)</f>
        <v>1</v>
      </c>
      <c r="K667" s="93" t="str">
        <f>IFERROR(__xludf.DUMMYFUNCTION("""COMPUTED_VALUE"""),"Complete")</f>
        <v>Complete</v>
      </c>
      <c r="L667" s="93"/>
      <c r="M667" s="94">
        <f>IFERROR(__xludf.DUMMYFUNCTION("""COMPUTED_VALUE"""),46142.847083333334)</f>
        <v>46142.84708</v>
      </c>
      <c r="N667" s="93">
        <f>IFERROR(__xludf.DUMMYFUNCTION("""COMPUTED_VALUE"""),152.0)</f>
        <v>152</v>
      </c>
      <c r="O667" s="93"/>
      <c r="P667" s="93" t="str">
        <f>IFERROR(__xludf.DUMMYFUNCTION("""COMPUTED_VALUE"""),"Kit Delivery")</f>
        <v>Kit Delivery</v>
      </c>
      <c r="Q667" s="93"/>
      <c r="R667" s="93"/>
      <c r="S667" s="93" t="str">
        <f>IFERROR(__xludf.DUMMYFUNCTION("""COMPUTED_VALUE"""),"Dispatch_Images/KIT--17461.Photos.011944.jpg")</f>
        <v>Dispatch_Images/KIT--17461.Photos.011944.jpg</v>
      </c>
      <c r="T667" s="95">
        <f>IFERROR(__xludf.DUMMYFUNCTION("""COMPUTED_VALUE"""),46142.85184027778)</f>
        <v>46142.85184</v>
      </c>
      <c r="U667" s="93"/>
      <c r="V667" s="93"/>
      <c r="W667" s="93"/>
      <c r="X667" s="93"/>
      <c r="Y667" s="93"/>
      <c r="Z667" s="93"/>
    </row>
    <row r="668">
      <c r="A668" s="93" t="str">
        <f>IFERROR(__xludf.DUMMYFUNCTION("""COMPUTED_VALUE"""),"KIT-#17647")</f>
        <v>KIT-#17647</v>
      </c>
      <c r="B668" s="94">
        <f>IFERROR(__xludf.DUMMYFUNCTION("""COMPUTED_VALUE"""),46149.0)</f>
        <v>46149</v>
      </c>
      <c r="C668" s="93" t="str">
        <f>IFERROR(__xludf.DUMMYFUNCTION("""COMPUTED_VALUE"""),"Kit Delivery")</f>
        <v>Kit Delivery</v>
      </c>
      <c r="D668" s="93">
        <f>IFERROR(__xludf.DUMMYFUNCTION("""COMPUTED_VALUE"""),2.0)</f>
        <v>2</v>
      </c>
      <c r="E668" s="93" t="str">
        <f>IFERROR(__xludf.DUMMYFUNCTION("""COMPUTED_VALUE"""),"Lopata")</f>
        <v>Lopata</v>
      </c>
      <c r="F668" s="93">
        <f>IFERROR(__xludf.DUMMYFUNCTION("""COMPUTED_VALUE"""),3033.0)</f>
        <v>3033</v>
      </c>
      <c r="G668" s="93" t="str">
        <f>IFERROR(__xludf.DUMMYFUNCTION("""COMPUTED_VALUE"""),"Sienna Talles")</f>
        <v>Sienna Talles</v>
      </c>
      <c r="H668" s="93">
        <f>IFERROR(__xludf.DUMMYFUNCTION("""COMPUTED_VALUE"""),9.178819128E9)</f>
        <v>9178819128</v>
      </c>
      <c r="I668" s="93" t="str">
        <f>IFERROR(__xludf.DUMMYFUNCTION("""COMPUTED_VALUE"""),"9AM-11AM")</f>
        <v>9AM-11AM</v>
      </c>
      <c r="J668" s="93">
        <f>IFERROR(__xludf.DUMMYFUNCTION("""COMPUTED_VALUE"""),3.0)</f>
        <v>3</v>
      </c>
      <c r="K668" s="93" t="str">
        <f>IFERROR(__xludf.DUMMYFUNCTION("""COMPUTED_VALUE"""),"Complete")</f>
        <v>Complete</v>
      </c>
      <c r="L668" s="93"/>
      <c r="M668" s="94">
        <f>IFERROR(__xludf.DUMMYFUNCTION("""COMPUTED_VALUE"""),46142.86858796296)</f>
        <v>46142.86859</v>
      </c>
      <c r="N668" s="93">
        <f>IFERROR(__xludf.DUMMYFUNCTION("""COMPUTED_VALUE"""),124.0)</f>
        <v>124</v>
      </c>
      <c r="O668" s="93"/>
      <c r="P668" s="93" t="str">
        <f>IFERROR(__xludf.DUMMYFUNCTION("""COMPUTED_VALUE"""),"Kit Delivery")</f>
        <v>Kit Delivery</v>
      </c>
      <c r="Q668" s="93"/>
      <c r="R668" s="93"/>
      <c r="S668" s="93" t="str">
        <f>IFERROR(__xludf.DUMMYFUNCTION("""COMPUTED_VALUE"""),"Dispatch_Images/KIT--17647.Photos.015042.jpg")</f>
        <v>Dispatch_Images/KIT--17647.Photos.015042.jpg</v>
      </c>
      <c r="T668" s="95">
        <f>IFERROR(__xludf.DUMMYFUNCTION("""COMPUTED_VALUE"""),46142.872662037036)</f>
        <v>46142.87266</v>
      </c>
      <c r="U668" s="93"/>
      <c r="V668" s="93"/>
      <c r="W668" s="93"/>
      <c r="X668" s="93"/>
      <c r="Y668" s="93"/>
      <c r="Z668" s="93"/>
    </row>
    <row r="669">
      <c r="A669" s="93" t="str">
        <f>IFERROR(__xludf.DUMMYFUNCTION("""COMPUTED_VALUE"""),"KIT-#18038")</f>
        <v>KIT-#18038</v>
      </c>
      <c r="B669" s="94">
        <f>IFERROR(__xludf.DUMMYFUNCTION("""COMPUTED_VALUE"""),46149.0)</f>
        <v>46149</v>
      </c>
      <c r="C669" s="93" t="str">
        <f>IFERROR(__xludf.DUMMYFUNCTION("""COMPUTED_VALUE"""),"Kit Delivery")</f>
        <v>Kit Delivery</v>
      </c>
      <c r="D669" s="93">
        <f>IFERROR(__xludf.DUMMYFUNCTION("""COMPUTED_VALUE"""),2.0)</f>
        <v>2</v>
      </c>
      <c r="E669" s="93" t="str">
        <f>IFERROR(__xludf.DUMMYFUNCTION("""COMPUTED_VALUE"""),"Lopata")</f>
        <v>Lopata</v>
      </c>
      <c r="F669" s="93">
        <f>IFERROR(__xludf.DUMMYFUNCTION("""COMPUTED_VALUE"""),3023.0)</f>
        <v>3023</v>
      </c>
      <c r="G669" s="93" t="str">
        <f>IFERROR(__xludf.DUMMYFUNCTION("""COMPUTED_VALUE"""),"Emi Newman")</f>
        <v>Emi Newman</v>
      </c>
      <c r="H669" s="93">
        <f>IFERROR(__xludf.DUMMYFUNCTION("""COMPUTED_VALUE"""),9.179915326E9)</f>
        <v>9179915326</v>
      </c>
      <c r="I669" s="93" t="str">
        <f>IFERROR(__xludf.DUMMYFUNCTION("""COMPUTED_VALUE"""),"10AM-12PM")</f>
        <v>10AM-12PM</v>
      </c>
      <c r="J669" s="93">
        <f>IFERROR(__xludf.DUMMYFUNCTION("""COMPUTED_VALUE"""),1.0)</f>
        <v>1</v>
      </c>
      <c r="K669" s="93" t="str">
        <f>IFERROR(__xludf.DUMMYFUNCTION("""COMPUTED_VALUE"""),"Complete")</f>
        <v>Complete</v>
      </c>
      <c r="L669" s="93"/>
      <c r="M669" s="94">
        <f>IFERROR(__xludf.DUMMYFUNCTION("""COMPUTED_VALUE"""),46142.87077546296)</f>
        <v>46142.87078</v>
      </c>
      <c r="N669" s="93">
        <f>IFERROR(__xludf.DUMMYFUNCTION("""COMPUTED_VALUE"""),120.0)</f>
        <v>120</v>
      </c>
      <c r="O669" s="93" t="str">
        <f>IFERROR(__xludf.DUMMYFUNCTION("""COMPUTED_VALUE"""),"176 West 87th Street 
Apt 7b
New York, NY 10024")</f>
        <v>176 West 87th Street 
Apt 7b
New York, NY 10024</v>
      </c>
      <c r="P669" s="93" t="str">
        <f>IFERROR(__xludf.DUMMYFUNCTION("""COMPUTED_VALUE"""),"Kit Delivery")</f>
        <v>Kit Delivery</v>
      </c>
      <c r="Q669" s="93"/>
      <c r="R669" s="93"/>
      <c r="S669" s="93" t="str">
        <f>IFERROR(__xludf.DUMMYFUNCTION("""COMPUTED_VALUE"""),"Dispatch_Images/KIT--18038.Photos.015350.jpg")</f>
        <v>Dispatch_Images/KIT--18038.Photos.015350.jpg</v>
      </c>
      <c r="T669" s="95">
        <f>IFERROR(__xludf.DUMMYFUNCTION("""COMPUTED_VALUE"""),46142.872662037036)</f>
        <v>46142.87266</v>
      </c>
      <c r="U669" s="93"/>
      <c r="V669" s="93"/>
      <c r="W669" s="93"/>
      <c r="X669" s="93"/>
      <c r="Y669" s="93"/>
      <c r="Z669" s="93"/>
    </row>
    <row r="670">
      <c r="A670" s="93" t="str">
        <f>IFERROR(__xludf.DUMMYFUNCTION("""COMPUTED_VALUE"""),"KIT-#17345")</f>
        <v>KIT-#17345</v>
      </c>
      <c r="B670" s="94">
        <f>IFERROR(__xludf.DUMMYFUNCTION("""COMPUTED_VALUE"""),46149.0)</f>
        <v>46149</v>
      </c>
      <c r="C670" s="93" t="str">
        <f>IFERROR(__xludf.DUMMYFUNCTION("""COMPUTED_VALUE"""),"Kit Delivery")</f>
        <v>Kit Delivery</v>
      </c>
      <c r="D670" s="93">
        <f>IFERROR(__xludf.DUMMYFUNCTION("""COMPUTED_VALUE"""),3.0)</f>
        <v>3</v>
      </c>
      <c r="E670" s="93" t="str">
        <f>IFERROR(__xludf.DUMMYFUNCTION("""COMPUTED_VALUE"""),"Lopata")</f>
        <v>Lopata</v>
      </c>
      <c r="F670" s="93">
        <f>IFERROR(__xludf.DUMMYFUNCTION("""COMPUTED_VALUE"""),1114.0)</f>
        <v>1114</v>
      </c>
      <c r="G670" s="93" t="str">
        <f>IFERROR(__xludf.DUMMYFUNCTION("""COMPUTED_VALUE"""),"Avery Ominsky")</f>
        <v>Avery Ominsky</v>
      </c>
      <c r="H670" s="93">
        <f>IFERROR(__xludf.DUMMYFUNCTION("""COMPUTED_VALUE"""),2.157964125E9)</f>
        <v>2157964125</v>
      </c>
      <c r="I670" s="93" t="str">
        <f>IFERROR(__xludf.DUMMYFUNCTION("""COMPUTED_VALUE"""),"9AM-11AM")</f>
        <v>9AM-11AM</v>
      </c>
      <c r="J670" s="93">
        <f>IFERROR(__xludf.DUMMYFUNCTION("""COMPUTED_VALUE"""),1.0)</f>
        <v>1</v>
      </c>
      <c r="K670" s="93" t="str">
        <f>IFERROR(__xludf.DUMMYFUNCTION("""COMPUTED_VALUE"""),"Complete")</f>
        <v>Complete</v>
      </c>
      <c r="L670" s="93"/>
      <c r="M670" s="94">
        <f>IFERROR(__xludf.DUMMYFUNCTION("""COMPUTED_VALUE"""),46144.13854166667)</f>
        <v>46144.13854</v>
      </c>
      <c r="N670" s="93">
        <f>IFERROR(__xludf.DUMMYFUNCTION("""COMPUTED_VALUE"""),114.0)</f>
        <v>114</v>
      </c>
      <c r="O670" s="93"/>
      <c r="P670" s="93" t="str">
        <f>IFERROR(__xludf.DUMMYFUNCTION("""COMPUTED_VALUE"""),"Kit Delivery")</f>
        <v>Kit Delivery</v>
      </c>
      <c r="Q670" s="93"/>
      <c r="R670" s="93"/>
      <c r="S670" s="93" t="str">
        <f>IFERROR(__xludf.DUMMYFUNCTION("""COMPUTED_VALUE"""),"Dispatch_Images/KIT--17345.Photos.081927.jpg")</f>
        <v>Dispatch_Images/KIT--17345.Photos.081927.jpg</v>
      </c>
      <c r="T670" s="95">
        <f>IFERROR(__xludf.DUMMYFUNCTION("""COMPUTED_VALUE"""),46144.143483796295)</f>
        <v>46144.14348</v>
      </c>
      <c r="U670" s="93"/>
      <c r="V670" s="93"/>
      <c r="W670" s="93"/>
      <c r="X670" s="93"/>
      <c r="Y670" s="93"/>
      <c r="Z670" s="93"/>
    </row>
    <row r="671">
      <c r="A671" s="93" t="str">
        <f>IFERROR(__xludf.DUMMYFUNCTION("""COMPUTED_VALUE"""),"KIT-#17600")</f>
        <v>KIT-#17600</v>
      </c>
      <c r="B671" s="94">
        <f>IFERROR(__xludf.DUMMYFUNCTION("""COMPUTED_VALUE"""),46149.0)</f>
        <v>46149</v>
      </c>
      <c r="C671" s="93" t="str">
        <f>IFERROR(__xludf.DUMMYFUNCTION("""COMPUTED_VALUE"""),"Kit Delivery")</f>
        <v>Kit Delivery</v>
      </c>
      <c r="D671" s="93">
        <f>IFERROR(__xludf.DUMMYFUNCTION("""COMPUTED_VALUE"""),2.0)</f>
        <v>2</v>
      </c>
      <c r="E671" s="93" t="str">
        <f>IFERROR(__xludf.DUMMYFUNCTION("""COMPUTED_VALUE"""),"Eliot A")</f>
        <v>Eliot A</v>
      </c>
      <c r="F671" s="93" t="str">
        <f>IFERROR(__xludf.DUMMYFUNCTION("""COMPUTED_VALUE"""),"1042a")</f>
        <v>1042a</v>
      </c>
      <c r="G671" s="93" t="str">
        <f>IFERROR(__xludf.DUMMYFUNCTION("""COMPUTED_VALUE"""),"Chiara Del Testa")</f>
        <v>Chiara Del Testa</v>
      </c>
      <c r="H671" s="93">
        <f>IFERROR(__xludf.DUMMYFUNCTION("""COMPUTED_VALUE"""),6.103577127E9)</f>
        <v>6103577127</v>
      </c>
      <c r="I671" s="93" t="str">
        <f>IFERROR(__xludf.DUMMYFUNCTION("""COMPUTED_VALUE"""),"3PM-5PM")</f>
        <v>3PM-5PM</v>
      </c>
      <c r="J671" s="93">
        <f>IFERROR(__xludf.DUMMYFUNCTION("""COMPUTED_VALUE"""),2.0)</f>
        <v>2</v>
      </c>
      <c r="K671" s="93" t="str">
        <f>IFERROR(__xludf.DUMMYFUNCTION("""COMPUTED_VALUE"""),"Complete")</f>
        <v>Complete</v>
      </c>
      <c r="L671" s="93"/>
      <c r="M671" s="94">
        <f>IFERROR(__xludf.DUMMYFUNCTION("""COMPUTED_VALUE"""),46144.260462962964)</f>
        <v>46144.26046</v>
      </c>
      <c r="N671" s="93">
        <f>IFERROR(__xludf.DUMMYFUNCTION("""COMPUTED_VALUE"""),17.0)</f>
        <v>17</v>
      </c>
      <c r="O671" s="93"/>
      <c r="P671" s="93" t="str">
        <f>IFERROR(__xludf.DUMMYFUNCTION("""COMPUTED_VALUE"""),"Kit Delivery")</f>
        <v>Kit Delivery</v>
      </c>
      <c r="Q671" s="93"/>
      <c r="R671" s="93"/>
      <c r="S671" s="93" t="str">
        <f>IFERROR(__xludf.DUMMYFUNCTION("""COMPUTED_VALUE"""),"Dispatch_Images/KIT--17600.Photos.111500.jpg")</f>
        <v>Dispatch_Images/KIT--17600.Photos.111500.jpg</v>
      </c>
      <c r="T671" s="95">
        <f>IFERROR(__xludf.DUMMYFUNCTION("""COMPUTED_VALUE"""),46144.26155092593)</f>
        <v>46144.26155</v>
      </c>
      <c r="U671" s="93"/>
      <c r="V671" s="93"/>
      <c r="W671" s="93"/>
      <c r="X671" s="93"/>
      <c r="Y671" s="93"/>
      <c r="Z671" s="93"/>
    </row>
    <row r="672">
      <c r="A672" s="93" t="str">
        <f>IFERROR(__xludf.DUMMYFUNCTION("""COMPUTED_VALUE"""),"KIT-#17327")</f>
        <v>KIT-#17327</v>
      </c>
      <c r="B672" s="94">
        <f>IFERROR(__xludf.DUMMYFUNCTION("""COMPUTED_VALUE"""),46149.0)</f>
        <v>46149</v>
      </c>
      <c r="C672" s="93" t="str">
        <f>IFERROR(__xludf.DUMMYFUNCTION("""COMPUTED_VALUE"""),"Kit Delivery")</f>
        <v>Kit Delivery</v>
      </c>
      <c r="D672" s="93">
        <f>IFERROR(__xludf.DUMMYFUNCTION("""COMPUTED_VALUE"""),2.0)</f>
        <v>2</v>
      </c>
      <c r="E672" s="93" t="str">
        <f>IFERROR(__xludf.DUMMYFUNCTION("""COMPUTED_VALUE"""),"Millbrook Bldg. 3")</f>
        <v>Millbrook Bldg. 3</v>
      </c>
      <c r="F672" s="93">
        <f>IFERROR(__xludf.DUMMYFUNCTION("""COMPUTED_VALUE"""),303.0)</f>
        <v>303</v>
      </c>
      <c r="G672" s="93" t="str">
        <f>IFERROR(__xludf.DUMMYFUNCTION("""COMPUTED_VALUE"""),"Ella Zmood")</f>
        <v>Ella Zmood</v>
      </c>
      <c r="H672" s="93">
        <f>IFERROR(__xludf.DUMMYFUNCTION("""COMPUTED_VALUE"""),9.178474451E9)</f>
        <v>9178474451</v>
      </c>
      <c r="I672" s="93" t="str">
        <f>IFERROR(__xludf.DUMMYFUNCTION("""COMPUTED_VALUE"""),"9AM-11AM")</f>
        <v>9AM-11AM</v>
      </c>
      <c r="J672" s="93">
        <f>IFERROR(__xludf.DUMMYFUNCTION("""COMPUTED_VALUE"""),1.0)</f>
        <v>1</v>
      </c>
      <c r="K672" s="93" t="str">
        <f>IFERROR(__xludf.DUMMYFUNCTION("""COMPUTED_VALUE"""),"Complete")</f>
        <v>Complete</v>
      </c>
      <c r="L672" s="93"/>
      <c r="M672" s="94">
        <f>IFERROR(__xludf.DUMMYFUNCTION("""COMPUTED_VALUE"""),46145.01358796297)</f>
        <v>46145.01359</v>
      </c>
      <c r="N672" s="93">
        <f>IFERROR(__xludf.DUMMYFUNCTION("""COMPUTED_VALUE"""),100.0)</f>
        <v>100</v>
      </c>
      <c r="O672" s="93"/>
      <c r="P672" s="93" t="str">
        <f>IFERROR(__xludf.DUMMYFUNCTION("""COMPUTED_VALUE"""),"Kit Delivery")</f>
        <v>Kit Delivery</v>
      </c>
      <c r="Q672" s="93" t="str">
        <f>IFERROR(__xludf.DUMMYFUNCTION("""COMPUTED_VALUE"""),"Plus two plastic crates")</f>
        <v>Plus two plastic crates</v>
      </c>
      <c r="R672" s="93"/>
      <c r="S672" s="93" t="str">
        <f>IFERROR(__xludf.DUMMYFUNCTION("""COMPUTED_VALUE"""),"Dispatch_Images/KIT--17327.Photos.051929.jpg")</f>
        <v>Dispatch_Images/KIT--17327.Photos.051929.jpg</v>
      </c>
      <c r="T672" s="95">
        <f>IFERROR(__xludf.DUMMYFUNCTION("""COMPUTED_VALUE"""),46145.018483796295)</f>
        <v>46145.01848</v>
      </c>
      <c r="U672" s="93"/>
      <c r="V672" s="93"/>
      <c r="W672" s="93"/>
      <c r="X672" s="93"/>
      <c r="Y672" s="93"/>
      <c r="Z672" s="93"/>
    </row>
    <row r="673">
      <c r="A673" s="93" t="str">
        <f>IFERROR(__xludf.DUMMYFUNCTION("""COMPUTED_VALUE"""),"KIT-#17457")</f>
        <v>KIT-#17457</v>
      </c>
      <c r="B673" s="94">
        <f>IFERROR(__xludf.DUMMYFUNCTION("""COMPUTED_VALUE"""),46149.0)</f>
        <v>46149</v>
      </c>
      <c r="C673" s="93" t="str">
        <f>IFERROR(__xludf.DUMMYFUNCTION("""COMPUTED_VALUE"""),"Kit Delivery")</f>
        <v>Kit Delivery</v>
      </c>
      <c r="D673" s="93">
        <f>IFERROR(__xludf.DUMMYFUNCTION("""COMPUTED_VALUE"""),2.0)</f>
        <v>2</v>
      </c>
      <c r="E673" s="93" t="str">
        <f>IFERROR(__xludf.DUMMYFUNCTION("""COMPUTED_VALUE"""),"Millbrook Bldg. 3")</f>
        <v>Millbrook Bldg. 3</v>
      </c>
      <c r="F673" s="93" t="str">
        <f>IFERROR(__xludf.DUMMYFUNCTION("""COMPUTED_VALUE"""),"101G-a")</f>
        <v>101G-a</v>
      </c>
      <c r="G673" s="93" t="str">
        <f>IFERROR(__xludf.DUMMYFUNCTION("""COMPUTED_VALUE"""),"Fiona Bell")</f>
        <v>Fiona Bell</v>
      </c>
      <c r="H673" s="93">
        <f>IFERROR(__xludf.DUMMYFUNCTION("""COMPUTED_VALUE"""),9.179752699E9)</f>
        <v>9179752699</v>
      </c>
      <c r="I673" s="93" t="str">
        <f>IFERROR(__xludf.DUMMYFUNCTION("""COMPUTED_VALUE"""),"9AM-11AM")</f>
        <v>9AM-11AM</v>
      </c>
      <c r="J673" s="93">
        <f>IFERROR(__xludf.DUMMYFUNCTION("""COMPUTED_VALUE"""),1.0)</f>
        <v>1</v>
      </c>
      <c r="K673" s="93" t="str">
        <f>IFERROR(__xludf.DUMMYFUNCTION("""COMPUTED_VALUE"""),"Complete")</f>
        <v>Complete</v>
      </c>
      <c r="L673" s="93"/>
      <c r="M673" s="94">
        <f>IFERROR(__xludf.DUMMYFUNCTION("""COMPUTED_VALUE"""),46145.0146412037)</f>
        <v>46145.01464</v>
      </c>
      <c r="N673" s="93">
        <f>IFERROR(__xludf.DUMMYFUNCTION("""COMPUTED_VALUE"""),97.0)</f>
        <v>97</v>
      </c>
      <c r="O673" s="93"/>
      <c r="P673" s="93" t="str">
        <f>IFERROR(__xludf.DUMMYFUNCTION("""COMPUTED_VALUE"""),"Kit Delivery")</f>
        <v>Kit Delivery</v>
      </c>
      <c r="Q673" s="93"/>
      <c r="R673" s="93"/>
      <c r="S673" s="93" t="str">
        <f>IFERROR(__xludf.DUMMYFUNCTION("""COMPUTED_VALUE"""),"Dispatch_Images/KIT--17457.Photos.052101.jpg")</f>
        <v>Dispatch_Images/KIT--17457.Photos.052101.jpg</v>
      </c>
      <c r="T673" s="95">
        <f>IFERROR(__xludf.DUMMYFUNCTION("""COMPUTED_VALUE"""),46145.018483796295)</f>
        <v>46145.01848</v>
      </c>
      <c r="U673" s="93"/>
      <c r="V673" s="93"/>
      <c r="W673" s="93"/>
      <c r="X673" s="93"/>
      <c r="Y673" s="93"/>
      <c r="Z673" s="93"/>
    </row>
    <row r="674">
      <c r="A674" s="93" t="str">
        <f>IFERROR(__xludf.DUMMYFUNCTION("""COMPUTED_VALUE"""),"KIT-#17121")</f>
        <v>KIT-#17121</v>
      </c>
      <c r="B674" s="94">
        <f>IFERROR(__xludf.DUMMYFUNCTION("""COMPUTED_VALUE"""),46149.0)</f>
        <v>46149</v>
      </c>
      <c r="C674" s="93" t="str">
        <f>IFERROR(__xludf.DUMMYFUNCTION("""COMPUTED_VALUE"""),"Kit Delivery")</f>
        <v>Kit Delivery</v>
      </c>
      <c r="D674" s="93">
        <f>IFERROR(__xludf.DUMMYFUNCTION("""COMPUTED_VALUE"""),2.0)</f>
        <v>2</v>
      </c>
      <c r="E674" s="93" t="str">
        <f>IFERROR(__xludf.DUMMYFUNCTION("""COMPUTED_VALUE"""),"Millbrook Bldg. 3")</f>
        <v>Millbrook Bldg. 3</v>
      </c>
      <c r="F674" s="93" t="str">
        <f>IFERROR(__xludf.DUMMYFUNCTION("""COMPUTED_VALUE"""),"101B")</f>
        <v>101B</v>
      </c>
      <c r="G674" s="93" t="str">
        <f>IFERROR(__xludf.DUMMYFUNCTION("""COMPUTED_VALUE"""),"Jocelyn Reed")</f>
        <v>Jocelyn Reed</v>
      </c>
      <c r="H674" s="93">
        <f>IFERROR(__xludf.DUMMYFUNCTION("""COMPUTED_VALUE"""),9.547436742E9)</f>
        <v>9547436742</v>
      </c>
      <c r="I674" s="93" t="str">
        <f>IFERROR(__xludf.DUMMYFUNCTION("""COMPUTED_VALUE"""),"9AM-11AM")</f>
        <v>9AM-11AM</v>
      </c>
      <c r="J674" s="93">
        <f>IFERROR(__xludf.DUMMYFUNCTION("""COMPUTED_VALUE"""),1.0)</f>
        <v>1</v>
      </c>
      <c r="K674" s="93" t="str">
        <f>IFERROR(__xludf.DUMMYFUNCTION("""COMPUTED_VALUE"""),"Complete")</f>
        <v>Complete</v>
      </c>
      <c r="L674" s="93"/>
      <c r="M674" s="94">
        <f>IFERROR(__xludf.DUMMYFUNCTION("""COMPUTED_VALUE"""),46145.015694444446)</f>
        <v>46145.01569</v>
      </c>
      <c r="N674" s="93">
        <f>IFERROR(__xludf.DUMMYFUNCTION("""COMPUTED_VALUE"""),99.0)</f>
        <v>99</v>
      </c>
      <c r="O674" s="93"/>
      <c r="P674" s="93" t="str">
        <f>IFERROR(__xludf.DUMMYFUNCTION("""COMPUTED_VALUE"""),"Kit Delivery")</f>
        <v>Kit Delivery</v>
      </c>
      <c r="Q674" s="93"/>
      <c r="R674" s="93"/>
      <c r="S674" s="93" t="str">
        <f>IFERROR(__xludf.DUMMYFUNCTION("""COMPUTED_VALUE"""),"Dispatch_Images/KIT--17121.Photos.052232.jpg")</f>
        <v>Dispatch_Images/KIT--17121.Photos.052232.jpg</v>
      </c>
      <c r="T674" s="95">
        <f>IFERROR(__xludf.DUMMYFUNCTION("""COMPUTED_VALUE"""),46145.018483796295)</f>
        <v>46145.01848</v>
      </c>
      <c r="U674" s="93"/>
      <c r="V674" s="93"/>
      <c r="W674" s="93"/>
      <c r="X674" s="93"/>
      <c r="Y674" s="93"/>
      <c r="Z674" s="93"/>
    </row>
    <row r="675">
      <c r="A675" s="93" t="str">
        <f>IFERROR(__xludf.DUMMYFUNCTION("""COMPUTED_VALUE"""),"KIT-#16836")</f>
        <v>KIT-#16836</v>
      </c>
      <c r="B675" s="94">
        <f>IFERROR(__xludf.DUMMYFUNCTION("""COMPUTED_VALUE"""),46149.0)</f>
        <v>46149</v>
      </c>
      <c r="C675" s="93" t="str">
        <f>IFERROR(__xludf.DUMMYFUNCTION("""COMPUTED_VALUE"""),"Kit Delivery")</f>
        <v>Kit Delivery</v>
      </c>
      <c r="D675" s="93">
        <f>IFERROR(__xludf.DUMMYFUNCTION("""COMPUTED_VALUE"""),2.0)</f>
        <v>2</v>
      </c>
      <c r="E675" s="93" t="str">
        <f>IFERROR(__xludf.DUMMYFUNCTION("""COMPUTED_VALUE"""),"Millbrook Bldg. 2")</f>
        <v>Millbrook Bldg. 2</v>
      </c>
      <c r="F675" s="93" t="str">
        <f>IFERROR(__xludf.DUMMYFUNCTION("""COMPUTED_VALUE"""),"301-E")</f>
        <v>301-E</v>
      </c>
      <c r="G675" s="93" t="str">
        <f>IFERROR(__xludf.DUMMYFUNCTION("""COMPUTED_VALUE"""),"Stephanie Bergman")</f>
        <v>Stephanie Bergman</v>
      </c>
      <c r="H675" s="93">
        <f>IFERROR(__xludf.DUMMYFUNCTION("""COMPUTED_VALUE"""),4.04314066E9)</f>
        <v>4043140660</v>
      </c>
      <c r="I675" s="93" t="str">
        <f>IFERROR(__xludf.DUMMYFUNCTION("""COMPUTED_VALUE"""),"3PM-5PM")</f>
        <v>3PM-5PM</v>
      </c>
      <c r="J675" s="93">
        <f>IFERROR(__xludf.DUMMYFUNCTION("""COMPUTED_VALUE"""),1.0)</f>
        <v>1</v>
      </c>
      <c r="K675" s="93" t="str">
        <f>IFERROR(__xludf.DUMMYFUNCTION("""COMPUTED_VALUE"""),"Complete")</f>
        <v>Complete</v>
      </c>
      <c r="L675" s="93"/>
      <c r="M675" s="94">
        <f>IFERROR(__xludf.DUMMYFUNCTION("""COMPUTED_VALUE"""),46145.01899305556)</f>
        <v>46145.01899</v>
      </c>
      <c r="N675" s="93">
        <f>IFERROR(__xludf.DUMMYFUNCTION("""COMPUTED_VALUE"""),94.0)</f>
        <v>94</v>
      </c>
      <c r="O675" s="93"/>
      <c r="P675" s="93" t="str">
        <f>IFERROR(__xludf.DUMMYFUNCTION("""COMPUTED_VALUE"""),"Kit Delivery")</f>
        <v>Kit Delivery</v>
      </c>
      <c r="Q675" s="93"/>
      <c r="R675" s="93"/>
      <c r="S675" s="93" t="str">
        <f>IFERROR(__xludf.DUMMYFUNCTION("""COMPUTED_VALUE"""),"Dispatch_Images/KIT--16836.Photos.052717.jpg")</f>
        <v>Dispatch_Images/KIT--16836.Photos.052717.jpg</v>
      </c>
      <c r="T675" s="95">
        <f>IFERROR(__xludf.DUMMYFUNCTION("""COMPUTED_VALUE"""),46145.02543981482)</f>
        <v>46145.02544</v>
      </c>
      <c r="U675" s="93"/>
      <c r="V675" s="93"/>
      <c r="W675" s="93"/>
      <c r="X675" s="93"/>
      <c r="Y675" s="93"/>
      <c r="Z675" s="93"/>
    </row>
    <row r="676">
      <c r="A676" s="93" t="str">
        <f>IFERROR(__xludf.DUMMYFUNCTION("""COMPUTED_VALUE"""),"KIT-#17431")</f>
        <v>KIT-#17431</v>
      </c>
      <c r="B676" s="94">
        <f>IFERROR(__xludf.DUMMYFUNCTION("""COMPUTED_VALUE"""),46149.0)</f>
        <v>46149</v>
      </c>
      <c r="C676" s="93" t="str">
        <f>IFERROR(__xludf.DUMMYFUNCTION("""COMPUTED_VALUE"""),"Kit Delivery")</f>
        <v>Kit Delivery</v>
      </c>
      <c r="D676" s="93">
        <f>IFERROR(__xludf.DUMMYFUNCTION("""COMPUTED_VALUE"""),2.0)</f>
        <v>2</v>
      </c>
      <c r="E676" s="93" t="str">
        <f>IFERROR(__xludf.DUMMYFUNCTION("""COMPUTED_VALUE"""),"Millbrook Bldg. 2")</f>
        <v>Millbrook Bldg. 2</v>
      </c>
      <c r="F676" s="93" t="str">
        <f>IFERROR(__xludf.DUMMYFUNCTION("""COMPUTED_VALUE"""),"303B")</f>
        <v>303B</v>
      </c>
      <c r="G676" s="93" t="str">
        <f>IFERROR(__xludf.DUMMYFUNCTION("""COMPUTED_VALUE"""),"Sienna Sindwani")</f>
        <v>Sienna Sindwani</v>
      </c>
      <c r="H676" s="93">
        <f>IFERROR(__xludf.DUMMYFUNCTION("""COMPUTED_VALUE"""),2.165518808E9)</f>
        <v>2165518808</v>
      </c>
      <c r="I676" s="93" t="str">
        <f>IFERROR(__xludf.DUMMYFUNCTION("""COMPUTED_VALUE"""),"11AM-1PM")</f>
        <v>11AM-1PM</v>
      </c>
      <c r="J676" s="93">
        <f>IFERROR(__xludf.DUMMYFUNCTION("""COMPUTED_VALUE"""),1.0)</f>
        <v>1</v>
      </c>
      <c r="K676" s="93" t="str">
        <f>IFERROR(__xludf.DUMMYFUNCTION("""COMPUTED_VALUE"""),"Complete")</f>
        <v>Complete</v>
      </c>
      <c r="L676" s="93"/>
      <c r="M676" s="94">
        <f>IFERROR(__xludf.DUMMYFUNCTION("""COMPUTED_VALUE"""),46145.01913194444)</f>
        <v>46145.01913</v>
      </c>
      <c r="N676" s="93">
        <f>IFERROR(__xludf.DUMMYFUNCTION("""COMPUTED_VALUE"""),95.0)</f>
        <v>95</v>
      </c>
      <c r="O676" s="93"/>
      <c r="P676" s="93" t="str">
        <f>IFERROR(__xludf.DUMMYFUNCTION("""COMPUTED_VALUE"""),"Kit Delivery")</f>
        <v>Kit Delivery</v>
      </c>
      <c r="Q676" s="93"/>
      <c r="R676" s="93"/>
      <c r="S676" s="93" t="str">
        <f>IFERROR(__xludf.DUMMYFUNCTION("""COMPUTED_VALUE"""),"Dispatch_Images/KIT--17431.Photos.052729.jpg")</f>
        <v>Dispatch_Images/KIT--17431.Photos.052729.jpg</v>
      </c>
      <c r="T676" s="95">
        <f>IFERROR(__xludf.DUMMYFUNCTION("""COMPUTED_VALUE"""),46145.02543981482)</f>
        <v>46145.02544</v>
      </c>
      <c r="U676" s="93"/>
      <c r="V676" s="93"/>
      <c r="W676" s="93"/>
      <c r="X676" s="93"/>
      <c r="Y676" s="93"/>
      <c r="Z676" s="93"/>
    </row>
    <row r="677">
      <c r="A677" s="93" t="str">
        <f>IFERROR(__xludf.DUMMYFUNCTION("""COMPUTED_VALUE"""),"KIT-#17415")</f>
        <v>KIT-#17415</v>
      </c>
      <c r="B677" s="94">
        <f>IFERROR(__xludf.DUMMYFUNCTION("""COMPUTED_VALUE"""),46149.0)</f>
        <v>46149</v>
      </c>
      <c r="C677" s="93" t="str">
        <f>IFERROR(__xludf.DUMMYFUNCTION("""COMPUTED_VALUE"""),"Kit Delivery")</f>
        <v>Kit Delivery</v>
      </c>
      <c r="D677" s="93">
        <f>IFERROR(__xludf.DUMMYFUNCTION("""COMPUTED_VALUE"""),2.0)</f>
        <v>2</v>
      </c>
      <c r="E677" s="93" t="str">
        <f>IFERROR(__xludf.DUMMYFUNCTION("""COMPUTED_VALUE"""),"Millbrook Bldg. 2")</f>
        <v>Millbrook Bldg. 2</v>
      </c>
      <c r="F677" s="93" t="str">
        <f>IFERROR(__xludf.DUMMYFUNCTION("""COMPUTED_VALUE"""),"303C")</f>
        <v>303C</v>
      </c>
      <c r="G677" s="93" t="str">
        <f>IFERROR(__xludf.DUMMYFUNCTION("""COMPUTED_VALUE"""),"Ella McCullough")</f>
        <v>Ella McCullough</v>
      </c>
      <c r="H677" s="93">
        <f>IFERROR(__xludf.DUMMYFUNCTION("""COMPUTED_VALUE"""),9.178591903E9)</f>
        <v>9178591903</v>
      </c>
      <c r="I677" s="93" t="str">
        <f>IFERROR(__xludf.DUMMYFUNCTION("""COMPUTED_VALUE"""),"1PM-3PM")</f>
        <v>1PM-3PM</v>
      </c>
      <c r="J677" s="93">
        <f>IFERROR(__xludf.DUMMYFUNCTION("""COMPUTED_VALUE"""),1.0)</f>
        <v>1</v>
      </c>
      <c r="K677" s="93" t="str">
        <f>IFERROR(__xludf.DUMMYFUNCTION("""COMPUTED_VALUE"""),"Complete")</f>
        <v>Complete</v>
      </c>
      <c r="L677" s="93"/>
      <c r="M677" s="94">
        <f>IFERROR(__xludf.DUMMYFUNCTION("""COMPUTED_VALUE"""),46145.01923611111)</f>
        <v>46145.01924</v>
      </c>
      <c r="N677" s="93">
        <f>IFERROR(__xludf.DUMMYFUNCTION("""COMPUTED_VALUE"""),96.0)</f>
        <v>96</v>
      </c>
      <c r="O677" s="93"/>
      <c r="P677" s="93" t="str">
        <f>IFERROR(__xludf.DUMMYFUNCTION("""COMPUTED_VALUE"""),"Kit Delivery")</f>
        <v>Kit Delivery</v>
      </c>
      <c r="Q677" s="93"/>
      <c r="R677" s="93"/>
      <c r="S677" s="93" t="str">
        <f>IFERROR(__xludf.DUMMYFUNCTION("""COMPUTED_VALUE"""),"Dispatch_Images/KIT--17415.Photos.052739.jpg")</f>
        <v>Dispatch_Images/KIT--17415.Photos.052739.jpg</v>
      </c>
      <c r="T677" s="95">
        <f>IFERROR(__xludf.DUMMYFUNCTION("""COMPUTED_VALUE"""),46145.02543981482)</f>
        <v>46145.02544</v>
      </c>
      <c r="U677" s="93"/>
      <c r="V677" s="93"/>
      <c r="W677" s="93"/>
      <c r="X677" s="93"/>
      <c r="Y677" s="93"/>
      <c r="Z677" s="93"/>
    </row>
    <row r="678">
      <c r="A678" s="93" t="str">
        <f>IFERROR(__xludf.DUMMYFUNCTION("""COMPUTED_VALUE"""),"KIT-#17526")</f>
        <v>KIT-#17526</v>
      </c>
      <c r="B678" s="94">
        <f>IFERROR(__xludf.DUMMYFUNCTION("""COMPUTED_VALUE"""),46149.0)</f>
        <v>46149</v>
      </c>
      <c r="C678" s="93" t="str">
        <f>IFERROR(__xludf.DUMMYFUNCTION("""COMPUTED_VALUE"""),"Kit Delivery")</f>
        <v>Kit Delivery</v>
      </c>
      <c r="D678" s="93">
        <f>IFERROR(__xludf.DUMMYFUNCTION("""COMPUTED_VALUE"""),2.0)</f>
        <v>2</v>
      </c>
      <c r="E678" s="93" t="str">
        <f>IFERROR(__xludf.DUMMYFUNCTION("""COMPUTED_VALUE"""),"Hurd")</f>
        <v>Hurd</v>
      </c>
      <c r="F678" s="93">
        <f>IFERROR(__xludf.DUMMYFUNCTION("""COMPUTED_VALUE"""),314.0)</f>
        <v>314</v>
      </c>
      <c r="G678" s="93" t="str">
        <f>IFERROR(__xludf.DUMMYFUNCTION("""COMPUTED_VALUE"""),"Helen Wang")</f>
        <v>Helen Wang</v>
      </c>
      <c r="H678" s="93">
        <f>IFERROR(__xludf.DUMMYFUNCTION("""COMPUTED_VALUE"""),7.347809985E9)</f>
        <v>7347809985</v>
      </c>
      <c r="I678" s="93" t="str">
        <f>IFERROR(__xludf.DUMMYFUNCTION("""COMPUTED_VALUE"""),"9AM-11AM")</f>
        <v>9AM-11AM</v>
      </c>
      <c r="J678" s="93">
        <f>IFERROR(__xludf.DUMMYFUNCTION("""COMPUTED_VALUE"""),1.0)</f>
        <v>1</v>
      </c>
      <c r="K678" s="93" t="str">
        <f>IFERROR(__xludf.DUMMYFUNCTION("""COMPUTED_VALUE"""),"Complete")</f>
        <v>Complete</v>
      </c>
      <c r="L678" s="93"/>
      <c r="M678" s="94">
        <f>IFERROR(__xludf.DUMMYFUNCTION("""COMPUTED_VALUE"""),46145.02864583333)</f>
        <v>46145.02865</v>
      </c>
      <c r="N678" s="93">
        <f>IFERROR(__xludf.DUMMYFUNCTION("""COMPUTED_VALUE"""),5.0)</f>
        <v>5</v>
      </c>
      <c r="O678" s="93"/>
      <c r="P678" s="93" t="str">
        <f>IFERROR(__xludf.DUMMYFUNCTION("""COMPUTED_VALUE"""),"Kit Delivery")</f>
        <v>Kit Delivery</v>
      </c>
      <c r="Q678" s="93"/>
      <c r="R678" s="93"/>
      <c r="S678" s="93" t="str">
        <f>IFERROR(__xludf.DUMMYFUNCTION("""COMPUTED_VALUE"""),"Dispatch_Images/KIT--17526.Photos.054111.jpg")</f>
        <v>Dispatch_Images/KIT--17526.Photos.054111.jpg</v>
      </c>
      <c r="T678" s="95">
        <f>IFERROR(__xludf.DUMMYFUNCTION("""COMPUTED_VALUE"""),46145.032372685186)</f>
        <v>46145.03237</v>
      </c>
      <c r="U678" s="93"/>
      <c r="V678" s="93"/>
      <c r="W678" s="93"/>
      <c r="X678" s="93"/>
      <c r="Y678" s="93"/>
      <c r="Z678" s="93"/>
    </row>
    <row r="679">
      <c r="A679" s="93" t="str">
        <f>IFERROR(__xludf.DUMMYFUNCTION("""COMPUTED_VALUE"""),"KIT-#17747")</f>
        <v>KIT-#17747</v>
      </c>
      <c r="B679" s="94">
        <f>IFERROR(__xludf.DUMMYFUNCTION("""COMPUTED_VALUE"""),46149.0)</f>
        <v>46149</v>
      </c>
      <c r="C679" s="93" t="str">
        <f>IFERROR(__xludf.DUMMYFUNCTION("""COMPUTED_VALUE"""),"Kit Delivery")</f>
        <v>Kit Delivery</v>
      </c>
      <c r="D679" s="93">
        <f>IFERROR(__xludf.DUMMYFUNCTION("""COMPUTED_VALUE"""),2.0)</f>
        <v>2</v>
      </c>
      <c r="E679" s="93" t="str">
        <f>IFERROR(__xludf.DUMMYFUNCTION("""COMPUTED_VALUE"""),"Hurd")</f>
        <v>Hurd</v>
      </c>
      <c r="F679" s="93">
        <f>IFERROR(__xludf.DUMMYFUNCTION("""COMPUTED_VALUE"""),224.0)</f>
        <v>224</v>
      </c>
      <c r="G679" s="93" t="str">
        <f>IFERROR(__xludf.DUMMYFUNCTION("""COMPUTED_VALUE"""),"Gloria Zhang")</f>
        <v>Gloria Zhang</v>
      </c>
      <c r="H679" s="93">
        <f>IFERROR(__xludf.DUMMYFUNCTION("""COMPUTED_VALUE"""),5.572289675E9)</f>
        <v>5572289675</v>
      </c>
      <c r="I679" s="93" t="str">
        <f>IFERROR(__xludf.DUMMYFUNCTION("""COMPUTED_VALUE"""),"9AM-11AM")</f>
        <v>9AM-11AM</v>
      </c>
      <c r="J679" s="93">
        <f>IFERROR(__xludf.DUMMYFUNCTION("""COMPUTED_VALUE"""),1.0)</f>
        <v>1</v>
      </c>
      <c r="K679" s="93" t="str">
        <f>IFERROR(__xludf.DUMMYFUNCTION("""COMPUTED_VALUE"""),"Complete")</f>
        <v>Complete</v>
      </c>
      <c r="L679" s="93"/>
      <c r="M679" s="94">
        <f>IFERROR(__xludf.DUMMYFUNCTION("""COMPUTED_VALUE"""),46145.03188657407)</f>
        <v>46145.03189</v>
      </c>
      <c r="N679" s="93">
        <f>IFERROR(__xludf.DUMMYFUNCTION("""COMPUTED_VALUE"""),3.0)</f>
        <v>3</v>
      </c>
      <c r="O679" s="93"/>
      <c r="P679" s="93" t="str">
        <f>IFERROR(__xludf.DUMMYFUNCTION("""COMPUTED_VALUE"""),"Kit Delivery")</f>
        <v>Kit Delivery</v>
      </c>
      <c r="Q679" s="93"/>
      <c r="R679" s="93"/>
      <c r="S679" s="93" t="str">
        <f>IFERROR(__xludf.DUMMYFUNCTION("""COMPUTED_VALUE"""),"Dispatch_Images/KIT--17747.Photos.054551.jpg")</f>
        <v>Dispatch_Images/KIT--17747.Photos.054551.jpg</v>
      </c>
      <c r="T679" s="95">
        <f>IFERROR(__xludf.DUMMYFUNCTION("""COMPUTED_VALUE"""),46145.032372685186)</f>
        <v>46145.03237</v>
      </c>
      <c r="U679" s="93"/>
      <c r="V679" s="93"/>
      <c r="W679" s="93"/>
      <c r="X679" s="93"/>
      <c r="Y679" s="93"/>
      <c r="Z679" s="93"/>
    </row>
    <row r="680">
      <c r="A680" s="93" t="str">
        <f>IFERROR(__xludf.DUMMYFUNCTION("""COMPUTED_VALUE"""),"KIT-#17238")</f>
        <v>KIT-#17238</v>
      </c>
      <c r="B680" s="94">
        <f>IFERROR(__xludf.DUMMYFUNCTION("""COMPUTED_VALUE"""),46149.0)</f>
        <v>46149</v>
      </c>
      <c r="C680" s="93" t="str">
        <f>IFERROR(__xludf.DUMMYFUNCTION("""COMPUTED_VALUE"""),"Kit Delivery")</f>
        <v>Kit Delivery</v>
      </c>
      <c r="D680" s="93">
        <f>IFERROR(__xludf.DUMMYFUNCTION("""COMPUTED_VALUE"""),2.0)</f>
        <v>2</v>
      </c>
      <c r="E680" s="93" t="str">
        <f>IFERROR(__xludf.DUMMYFUNCTION("""COMPUTED_VALUE"""),"Hurd")</f>
        <v>Hurd</v>
      </c>
      <c r="F680" s="93">
        <f>IFERROR(__xludf.DUMMYFUNCTION("""COMPUTED_VALUE"""),232.0)</f>
        <v>232</v>
      </c>
      <c r="G680" s="93" t="str">
        <f>IFERROR(__xludf.DUMMYFUNCTION("""COMPUTED_VALUE"""),"Amanda Perez")</f>
        <v>Amanda Perez</v>
      </c>
      <c r="H680" s="93"/>
      <c r="I680" s="93" t="str">
        <f>IFERROR(__xludf.DUMMYFUNCTION("""COMPUTED_VALUE"""),"9AM-11AM")</f>
        <v>9AM-11AM</v>
      </c>
      <c r="J680" s="93">
        <f>IFERROR(__xludf.DUMMYFUNCTION("""COMPUTED_VALUE"""),1.0)</f>
        <v>1</v>
      </c>
      <c r="K680" s="93" t="str">
        <f>IFERROR(__xludf.DUMMYFUNCTION("""COMPUTED_VALUE"""),"Complete")</f>
        <v>Complete</v>
      </c>
      <c r="L680" s="93"/>
      <c r="M680" s="94">
        <f>IFERROR(__xludf.DUMMYFUNCTION("""COMPUTED_VALUE"""),46145.0321412037)</f>
        <v>46145.03214</v>
      </c>
      <c r="N680" s="93">
        <f>IFERROR(__xludf.DUMMYFUNCTION("""COMPUTED_VALUE"""),4.0)</f>
        <v>4</v>
      </c>
      <c r="O680" s="93"/>
      <c r="P680" s="93" t="str">
        <f>IFERROR(__xludf.DUMMYFUNCTION("""COMPUTED_VALUE"""),"Kit Delivery")</f>
        <v>Kit Delivery</v>
      </c>
      <c r="Q680" s="93"/>
      <c r="R680" s="93"/>
      <c r="S680" s="93" t="str">
        <f>IFERROR(__xludf.DUMMYFUNCTION("""COMPUTED_VALUE"""),"Dispatch_Images/KIT--17238.Photos.054613.jpg")</f>
        <v>Dispatch_Images/KIT--17238.Photos.054613.jpg</v>
      </c>
      <c r="T680" s="95">
        <f>IFERROR(__xludf.DUMMYFUNCTION("""COMPUTED_VALUE"""),46145.032372685186)</f>
        <v>46145.03237</v>
      </c>
      <c r="U680" s="93"/>
      <c r="V680" s="93"/>
      <c r="W680" s="93"/>
      <c r="X680" s="93"/>
      <c r="Y680" s="93"/>
      <c r="Z680" s="93"/>
    </row>
    <row r="681">
      <c r="A681" s="93" t="str">
        <f>IFERROR(__xludf.DUMMYFUNCTION("""COMPUTED_VALUE"""),"KIT-#18130")</f>
        <v>KIT-#18130</v>
      </c>
      <c r="B681" s="94">
        <f>IFERROR(__xludf.DUMMYFUNCTION("""COMPUTED_VALUE"""),46149.0)</f>
        <v>46149</v>
      </c>
      <c r="C681" s="93" t="str">
        <f>IFERROR(__xludf.DUMMYFUNCTION("""COMPUTED_VALUE"""),"Kit Delivery")</f>
        <v>Kit Delivery</v>
      </c>
      <c r="D681" s="93">
        <f>IFERROR(__xludf.DUMMYFUNCTION("""COMPUTED_VALUE"""),2.0)</f>
        <v>2</v>
      </c>
      <c r="E681" s="93" t="str">
        <f>IFERROR(__xludf.DUMMYFUNCTION("""COMPUTED_VALUE"""),"Myers")</f>
        <v>Myers</v>
      </c>
      <c r="F681" s="93">
        <f>IFERROR(__xludf.DUMMYFUNCTION("""COMPUTED_VALUE"""),433.0)</f>
        <v>433</v>
      </c>
      <c r="G681" s="93" t="str">
        <f>IFERROR(__xludf.DUMMYFUNCTION("""COMPUTED_VALUE"""),"Vihaan Bharwani")</f>
        <v>Vihaan Bharwani</v>
      </c>
      <c r="H681" s="93">
        <f>IFERROR(__xludf.DUMMYFUNCTION("""COMPUTED_VALUE"""),3.143984128E9)</f>
        <v>3143984128</v>
      </c>
      <c r="I681" s="93" t="str">
        <f>IFERROR(__xludf.DUMMYFUNCTION("""COMPUTED_VALUE"""),"3PM-5PM")</f>
        <v>3PM-5PM</v>
      </c>
      <c r="J681" s="93">
        <f>IFERROR(__xludf.DUMMYFUNCTION("""COMPUTED_VALUE"""),1.0)</f>
        <v>1</v>
      </c>
      <c r="K681" s="93" t="str">
        <f>IFERROR(__xludf.DUMMYFUNCTION("""COMPUTED_VALUE"""),"Complete")</f>
        <v>Complete</v>
      </c>
      <c r="L681" s="93"/>
      <c r="M681" s="94">
        <f>IFERROR(__xludf.DUMMYFUNCTION("""COMPUTED_VALUE"""),46145.033263888894)</f>
        <v>46145.03326</v>
      </c>
      <c r="N681" s="93">
        <f>IFERROR(__xludf.DUMMYFUNCTION("""COMPUTED_VALUE"""),6.0)</f>
        <v>6</v>
      </c>
      <c r="O681" s="93"/>
      <c r="P681" s="93" t="str">
        <f>IFERROR(__xludf.DUMMYFUNCTION("""COMPUTED_VALUE"""),"Kit Delivery")</f>
        <v>Kit Delivery</v>
      </c>
      <c r="Q681" s="93"/>
      <c r="R681" s="93"/>
      <c r="S681" s="93" t="str">
        <f>IFERROR(__xludf.DUMMYFUNCTION("""COMPUTED_VALUE"""),"Dispatch_Images/KIT--18130.Photos.054750.jpg")</f>
        <v>Dispatch_Images/KIT--18130.Photos.054750.jpg</v>
      </c>
      <c r="T681" s="95">
        <f>IFERROR(__xludf.DUMMYFUNCTION("""COMPUTED_VALUE"""),46145.03931712963)</f>
        <v>46145.03932</v>
      </c>
      <c r="U681" s="93"/>
      <c r="V681" s="93"/>
      <c r="W681" s="93"/>
      <c r="X681" s="93"/>
      <c r="Y681" s="93"/>
      <c r="Z681" s="93"/>
    </row>
    <row r="682">
      <c r="A682" s="93" t="str">
        <f>IFERROR(__xludf.DUMMYFUNCTION("""COMPUTED_VALUE"""),"KIT-#17658")</f>
        <v>KIT-#17658</v>
      </c>
      <c r="B682" s="94">
        <f>IFERROR(__xludf.DUMMYFUNCTION("""COMPUTED_VALUE"""),46149.0)</f>
        <v>46149</v>
      </c>
      <c r="C682" s="93" t="str">
        <f>IFERROR(__xludf.DUMMYFUNCTION("""COMPUTED_VALUE"""),"Kit Delivery")</f>
        <v>Kit Delivery</v>
      </c>
      <c r="D682" s="93">
        <f>IFERROR(__xludf.DUMMYFUNCTION("""COMPUTED_VALUE"""),2.0)</f>
        <v>2</v>
      </c>
      <c r="E682" s="93" t="str">
        <f>IFERROR(__xludf.DUMMYFUNCTION("""COMPUTED_VALUE"""),"Hurd")</f>
        <v>Hurd</v>
      </c>
      <c r="F682" s="93">
        <f>IFERROR(__xludf.DUMMYFUNCTION("""COMPUTED_VALUE"""),212.0)</f>
        <v>212</v>
      </c>
      <c r="G682" s="93" t="str">
        <f>IFERROR(__xludf.DUMMYFUNCTION("""COMPUTED_VALUE"""),"Brian Huang")</f>
        <v>Brian Huang</v>
      </c>
      <c r="H682" s="93">
        <f>IFERROR(__xludf.DUMMYFUNCTION("""COMPUTED_VALUE"""),3.142039831E9)</f>
        <v>3142039831</v>
      </c>
      <c r="I682" s="93" t="str">
        <f>IFERROR(__xludf.DUMMYFUNCTION("""COMPUTED_VALUE"""),"9AM-11AM")</f>
        <v>9AM-11AM</v>
      </c>
      <c r="J682" s="93">
        <f>IFERROR(__xludf.DUMMYFUNCTION("""COMPUTED_VALUE"""),1.0)</f>
        <v>1</v>
      </c>
      <c r="K682" s="93" t="str">
        <f>IFERROR(__xludf.DUMMYFUNCTION("""COMPUTED_VALUE"""),"Complete")</f>
        <v>Complete</v>
      </c>
      <c r="L682" s="93"/>
      <c r="M682" s="94">
        <f>IFERROR(__xludf.DUMMYFUNCTION("""COMPUTED_VALUE"""),46145.03592592593)</f>
        <v>46145.03593</v>
      </c>
      <c r="N682" s="93">
        <f>IFERROR(__xludf.DUMMYFUNCTION("""COMPUTED_VALUE"""),1.0)</f>
        <v>1</v>
      </c>
      <c r="O682" s="93"/>
      <c r="P682" s="93" t="str">
        <f>IFERROR(__xludf.DUMMYFUNCTION("""COMPUTED_VALUE"""),"Kit Delivery")</f>
        <v>Kit Delivery</v>
      </c>
      <c r="Q682" s="93"/>
      <c r="R682" s="93"/>
      <c r="S682" s="93" t="str">
        <f>IFERROR(__xludf.DUMMYFUNCTION("""COMPUTED_VALUE"""),"Dispatch_Images/KIT--17658.Photos.055140.jpg")</f>
        <v>Dispatch_Images/KIT--17658.Photos.055140.jpg</v>
      </c>
      <c r="T682" s="95">
        <f>IFERROR(__xludf.DUMMYFUNCTION("""COMPUTED_VALUE"""),46145.03931712963)</f>
        <v>46145.03932</v>
      </c>
      <c r="U682" s="93"/>
      <c r="V682" s="93"/>
      <c r="W682" s="93"/>
      <c r="X682" s="93"/>
      <c r="Y682" s="93"/>
      <c r="Z682" s="93"/>
    </row>
    <row r="683">
      <c r="A683" s="93" t="str">
        <f>IFERROR(__xludf.DUMMYFUNCTION("""COMPUTED_VALUE"""),"KIT-#17596")</f>
        <v>KIT-#17596</v>
      </c>
      <c r="B683" s="94">
        <f>IFERROR(__xludf.DUMMYFUNCTION("""COMPUTED_VALUE"""),46149.0)</f>
        <v>46149</v>
      </c>
      <c r="C683" s="93" t="str">
        <f>IFERROR(__xludf.DUMMYFUNCTION("""COMPUTED_VALUE"""),"Kit Delivery")</f>
        <v>Kit Delivery</v>
      </c>
      <c r="D683" s="93">
        <f>IFERROR(__xludf.DUMMYFUNCTION("""COMPUTED_VALUE"""),2.0)</f>
        <v>2</v>
      </c>
      <c r="E683" s="93" t="str">
        <f>IFERROR(__xludf.DUMMYFUNCTION("""COMPUTED_VALUE"""),"Hurd")</f>
        <v>Hurd</v>
      </c>
      <c r="F683" s="93">
        <f>IFERROR(__xludf.DUMMYFUNCTION("""COMPUTED_VALUE"""),214.0)</f>
        <v>214</v>
      </c>
      <c r="G683" s="93" t="str">
        <f>IFERROR(__xludf.DUMMYFUNCTION("""COMPUTED_VALUE"""),"Gavin Wang")</f>
        <v>Gavin Wang</v>
      </c>
      <c r="H683" s="93">
        <f>IFERROR(__xludf.DUMMYFUNCTION("""COMPUTED_VALUE"""),7.047969606E9)</f>
        <v>7047969606</v>
      </c>
      <c r="I683" s="93" t="str">
        <f>IFERROR(__xludf.DUMMYFUNCTION("""COMPUTED_VALUE"""),"10AM-12PM")</f>
        <v>10AM-12PM</v>
      </c>
      <c r="J683" s="93">
        <f>IFERROR(__xludf.DUMMYFUNCTION("""COMPUTED_VALUE"""),1.0)</f>
        <v>1</v>
      </c>
      <c r="K683" s="93" t="str">
        <f>IFERROR(__xludf.DUMMYFUNCTION("""COMPUTED_VALUE"""),"Complete")</f>
        <v>Complete</v>
      </c>
      <c r="L683" s="93"/>
      <c r="M683" s="94">
        <f>IFERROR(__xludf.DUMMYFUNCTION("""COMPUTED_VALUE"""),46145.036053240736)</f>
        <v>46145.03605</v>
      </c>
      <c r="N683" s="93">
        <f>IFERROR(__xludf.DUMMYFUNCTION("""COMPUTED_VALUE"""),2.0)</f>
        <v>2</v>
      </c>
      <c r="O683" s="93"/>
      <c r="P683" s="93" t="str">
        <f>IFERROR(__xludf.DUMMYFUNCTION("""COMPUTED_VALUE"""),"Kit Delivery")</f>
        <v>Kit Delivery</v>
      </c>
      <c r="Q683" s="93"/>
      <c r="R683" s="93"/>
      <c r="S683" s="93" t="str">
        <f>IFERROR(__xludf.DUMMYFUNCTION("""COMPUTED_VALUE"""),"Dispatch_Images/KIT--17596.Photos.055151.jpg")</f>
        <v>Dispatch_Images/KIT--17596.Photos.055151.jpg</v>
      </c>
      <c r="T683" s="95">
        <f>IFERROR(__xludf.DUMMYFUNCTION("""COMPUTED_VALUE"""),46145.03931712963)</f>
        <v>46145.03932</v>
      </c>
      <c r="U683" s="93"/>
      <c r="V683" s="93"/>
      <c r="W683" s="93"/>
      <c r="X683" s="93"/>
      <c r="Y683" s="93"/>
      <c r="Z683" s="93"/>
    </row>
    <row r="684">
      <c r="A684" s="93" t="str">
        <f>IFERROR(__xludf.DUMMYFUNCTION("""COMPUTED_VALUE"""),"KIT-#17874")</f>
        <v>KIT-#17874</v>
      </c>
      <c r="B684" s="94">
        <f>IFERROR(__xludf.DUMMYFUNCTION("""COMPUTED_VALUE"""),46149.0)</f>
        <v>46149</v>
      </c>
      <c r="C684" s="93" t="str">
        <f>IFERROR(__xludf.DUMMYFUNCTION("""COMPUTED_VALUE"""),"Kit Delivery")</f>
        <v>Kit Delivery</v>
      </c>
      <c r="D684" s="93">
        <f>IFERROR(__xludf.DUMMYFUNCTION("""COMPUTED_VALUE"""),2.0)</f>
        <v>2</v>
      </c>
      <c r="E684" s="93" t="str">
        <f>IFERROR(__xludf.DUMMYFUNCTION("""COMPUTED_VALUE"""),"Lee")</f>
        <v>Lee</v>
      </c>
      <c r="F684" s="93">
        <f>IFERROR(__xludf.DUMMYFUNCTION("""COMPUTED_VALUE"""),203.0)</f>
        <v>203</v>
      </c>
      <c r="G684" s="93" t="str">
        <f>IFERROR(__xludf.DUMMYFUNCTION("""COMPUTED_VALUE"""),"Jeremy Friedman-Wellisch")</f>
        <v>Jeremy Friedman-Wellisch</v>
      </c>
      <c r="H684" s="93">
        <f>IFERROR(__xludf.DUMMYFUNCTION("""COMPUTED_VALUE"""),6.179811518E9)</f>
        <v>6179811518</v>
      </c>
      <c r="I684" s="93" t="str">
        <f>IFERROR(__xludf.DUMMYFUNCTION("""COMPUTED_VALUE"""),"10AM-12PM")</f>
        <v>10AM-12PM</v>
      </c>
      <c r="J684" s="93">
        <f>IFERROR(__xludf.DUMMYFUNCTION("""COMPUTED_VALUE"""),1.0)</f>
        <v>1</v>
      </c>
      <c r="K684" s="93" t="str">
        <f>IFERROR(__xludf.DUMMYFUNCTION("""COMPUTED_VALUE"""),"Complete")</f>
        <v>Complete</v>
      </c>
      <c r="L684" s="93"/>
      <c r="M684" s="94">
        <f>IFERROR(__xludf.DUMMYFUNCTION("""COMPUTED_VALUE"""),46145.043715277774)</f>
        <v>46145.04372</v>
      </c>
      <c r="N684" s="93">
        <f>IFERROR(__xludf.DUMMYFUNCTION("""COMPUTED_VALUE"""),39.0)</f>
        <v>39</v>
      </c>
      <c r="O684" s="93"/>
      <c r="P684" s="93" t="str">
        <f>IFERROR(__xludf.DUMMYFUNCTION("""COMPUTED_VALUE"""),"Kit Delivery")</f>
        <v>Kit Delivery</v>
      </c>
      <c r="Q684" s="93"/>
      <c r="R684" s="93"/>
      <c r="S684" s="93" t="str">
        <f>IFERROR(__xludf.DUMMYFUNCTION("""COMPUTED_VALUE"""),"Dispatch_Images/KIT--17874.Photos.060253.jpg")</f>
        <v>Dispatch_Images/KIT--17874.Photos.060253.jpg</v>
      </c>
      <c r="T684" s="95">
        <f>IFERROR(__xludf.DUMMYFUNCTION("""COMPUTED_VALUE"""),46145.046273148146)</f>
        <v>46145.04627</v>
      </c>
      <c r="U684" s="93"/>
      <c r="V684" s="93"/>
      <c r="W684" s="93"/>
      <c r="X684" s="93"/>
      <c r="Y684" s="93"/>
      <c r="Z684" s="93"/>
    </row>
    <row r="685">
      <c r="A685" s="93" t="str">
        <f>IFERROR(__xludf.DUMMYFUNCTION("""COMPUTED_VALUE"""),"KIT-#17670")</f>
        <v>KIT-#17670</v>
      </c>
      <c r="B685" s="94">
        <f>IFERROR(__xludf.DUMMYFUNCTION("""COMPUTED_VALUE"""),46149.0)</f>
        <v>46149</v>
      </c>
      <c r="C685" s="93" t="str">
        <f>IFERROR(__xludf.DUMMYFUNCTION("""COMPUTED_VALUE"""),"Kit Delivery")</f>
        <v>Kit Delivery</v>
      </c>
      <c r="D685" s="93">
        <f>IFERROR(__xludf.DUMMYFUNCTION("""COMPUTED_VALUE"""),2.0)</f>
        <v>2</v>
      </c>
      <c r="E685" s="93" t="str">
        <f>IFERROR(__xludf.DUMMYFUNCTION("""COMPUTED_VALUE"""),"Lee")</f>
        <v>Lee</v>
      </c>
      <c r="F685" s="93" t="str">
        <f>IFERROR(__xludf.DUMMYFUNCTION("""COMPUTED_VALUE"""),"301-b")</f>
        <v>301-b</v>
      </c>
      <c r="G685" s="93" t="str">
        <f>IFERROR(__xludf.DUMMYFUNCTION("""COMPUTED_VALUE"""),"Zachary Rogers")</f>
        <v>Zachary Rogers</v>
      </c>
      <c r="H685" s="93">
        <f>IFERROR(__xludf.DUMMYFUNCTION("""COMPUTED_VALUE"""),2.039273986E9)</f>
        <v>2039273986</v>
      </c>
      <c r="I685" s="93" t="str">
        <f>IFERROR(__xludf.DUMMYFUNCTION("""COMPUTED_VALUE"""),"9AM-11AM")</f>
        <v>9AM-11AM</v>
      </c>
      <c r="J685" s="93">
        <f>IFERROR(__xludf.DUMMYFUNCTION("""COMPUTED_VALUE"""),1.0)</f>
        <v>1</v>
      </c>
      <c r="K685" s="93" t="str">
        <f>IFERROR(__xludf.DUMMYFUNCTION("""COMPUTED_VALUE"""),"Complete")</f>
        <v>Complete</v>
      </c>
      <c r="L685" s="93"/>
      <c r="M685" s="94">
        <f>IFERROR(__xludf.DUMMYFUNCTION("""COMPUTED_VALUE"""),46145.0450462963)</f>
        <v>46145.04505</v>
      </c>
      <c r="N685" s="93">
        <f>IFERROR(__xludf.DUMMYFUNCTION("""COMPUTED_VALUE"""),44.0)</f>
        <v>44</v>
      </c>
      <c r="O685" s="93"/>
      <c r="P685" s="93" t="str">
        <f>IFERROR(__xludf.DUMMYFUNCTION("""COMPUTED_VALUE"""),"Kit Delivery")</f>
        <v>Kit Delivery</v>
      </c>
      <c r="Q685" s="93"/>
      <c r="R685" s="93"/>
      <c r="S685" s="93" t="str">
        <f>IFERROR(__xludf.DUMMYFUNCTION("""COMPUTED_VALUE"""),"Dispatch_Images/KIT--17670.Photos.060448.jpg")</f>
        <v>Dispatch_Images/KIT--17670.Photos.060448.jpg</v>
      </c>
      <c r="T685" s="95">
        <f>IFERROR(__xludf.DUMMYFUNCTION("""COMPUTED_VALUE"""),46145.046273148146)</f>
        <v>46145.04627</v>
      </c>
      <c r="U685" s="93"/>
      <c r="V685" s="93"/>
      <c r="W685" s="93"/>
      <c r="X685" s="93"/>
      <c r="Y685" s="93"/>
      <c r="Z685" s="93"/>
    </row>
    <row r="686">
      <c r="A686" s="93" t="str">
        <f>IFERROR(__xludf.DUMMYFUNCTION("""COMPUTED_VALUE"""),"KIT-#17132")</f>
        <v>KIT-#17132</v>
      </c>
      <c r="B686" s="94">
        <f>IFERROR(__xludf.DUMMYFUNCTION("""COMPUTED_VALUE"""),46149.0)</f>
        <v>46149</v>
      </c>
      <c r="C686" s="93" t="str">
        <f>IFERROR(__xludf.DUMMYFUNCTION("""COMPUTED_VALUE"""),"Kit Delivery")</f>
        <v>Kit Delivery</v>
      </c>
      <c r="D686" s="93">
        <f>IFERROR(__xludf.DUMMYFUNCTION("""COMPUTED_VALUE"""),2.0)</f>
        <v>2</v>
      </c>
      <c r="E686" s="93" t="str">
        <f>IFERROR(__xludf.DUMMYFUNCTION("""COMPUTED_VALUE"""),"Lee")</f>
        <v>Lee</v>
      </c>
      <c r="F686" s="93">
        <f>IFERROR(__xludf.DUMMYFUNCTION("""COMPUTED_VALUE"""),313.0)</f>
        <v>313</v>
      </c>
      <c r="G686" s="93" t="str">
        <f>IFERROR(__xludf.DUMMYFUNCTION("""COMPUTED_VALUE"""),"Michelle Zhang")</f>
        <v>Michelle Zhang</v>
      </c>
      <c r="H686" s="93">
        <f>IFERROR(__xludf.DUMMYFUNCTION("""COMPUTED_VALUE"""),5.712755119E9)</f>
        <v>5712755119</v>
      </c>
      <c r="I686" s="93" t="str">
        <f>IFERROR(__xludf.DUMMYFUNCTION("""COMPUTED_VALUE"""),"9AM-11AM")</f>
        <v>9AM-11AM</v>
      </c>
      <c r="J686" s="93">
        <f>IFERROR(__xludf.DUMMYFUNCTION("""COMPUTED_VALUE"""),1.0)</f>
        <v>1</v>
      </c>
      <c r="K686" s="93" t="str">
        <f>IFERROR(__xludf.DUMMYFUNCTION("""COMPUTED_VALUE"""),"Complete")</f>
        <v>Complete</v>
      </c>
      <c r="L686" s="93"/>
      <c r="M686" s="94">
        <f>IFERROR(__xludf.DUMMYFUNCTION("""COMPUTED_VALUE"""),46145.045578703706)</f>
        <v>46145.04558</v>
      </c>
      <c r="N686" s="93">
        <f>IFERROR(__xludf.DUMMYFUNCTION("""COMPUTED_VALUE"""),45.0)</f>
        <v>45</v>
      </c>
      <c r="O686" s="93"/>
      <c r="P686" s="93" t="str">
        <f>IFERROR(__xludf.DUMMYFUNCTION("""COMPUTED_VALUE"""),"Kit Delivery")</f>
        <v>Kit Delivery</v>
      </c>
      <c r="Q686" s="93"/>
      <c r="R686" s="93"/>
      <c r="S686" s="93" t="str">
        <f>IFERROR(__xludf.DUMMYFUNCTION("""COMPUTED_VALUE"""),"Dispatch_Images/KIT--17132.Photos.060535.jpg")</f>
        <v>Dispatch_Images/KIT--17132.Photos.060535.jpg</v>
      </c>
      <c r="T686" s="95">
        <f>IFERROR(__xludf.DUMMYFUNCTION("""COMPUTED_VALUE"""),46145.046273148146)</f>
        <v>46145.04627</v>
      </c>
      <c r="U686" s="93"/>
      <c r="V686" s="93"/>
      <c r="W686" s="93"/>
      <c r="X686" s="93"/>
      <c r="Y686" s="93"/>
      <c r="Z686" s="93"/>
    </row>
    <row r="687">
      <c r="A687" s="93" t="str">
        <f>IFERROR(__xludf.DUMMYFUNCTION("""COMPUTED_VALUE"""),"KIT-#17771")</f>
        <v>KIT-#17771</v>
      </c>
      <c r="B687" s="94">
        <f>IFERROR(__xludf.DUMMYFUNCTION("""COMPUTED_VALUE"""),46149.0)</f>
        <v>46149</v>
      </c>
      <c r="C687" s="93" t="str">
        <f>IFERROR(__xludf.DUMMYFUNCTION("""COMPUTED_VALUE"""),"Kit Delivery")</f>
        <v>Kit Delivery</v>
      </c>
      <c r="D687" s="93">
        <f>IFERROR(__xludf.DUMMYFUNCTION("""COMPUTED_VALUE"""),2.0)</f>
        <v>2</v>
      </c>
      <c r="E687" s="93" t="str">
        <f>IFERROR(__xludf.DUMMYFUNCTION("""COMPUTED_VALUE"""),"Lee")</f>
        <v>Lee</v>
      </c>
      <c r="F687" s="93">
        <f>IFERROR(__xludf.DUMMYFUNCTION("""COMPUTED_VALUE"""),214.0)</f>
        <v>214</v>
      </c>
      <c r="G687" s="93" t="str">
        <f>IFERROR(__xludf.DUMMYFUNCTION("""COMPUTED_VALUE"""),"Yuridia Garcia")</f>
        <v>Yuridia Garcia</v>
      </c>
      <c r="H687" s="93">
        <f>IFERROR(__xludf.DUMMYFUNCTION("""COMPUTED_VALUE"""),9.158926375E9)</f>
        <v>9158926375</v>
      </c>
      <c r="I687" s="93" t="str">
        <f>IFERROR(__xludf.DUMMYFUNCTION("""COMPUTED_VALUE"""),"9AM-11AM")</f>
        <v>9AM-11AM</v>
      </c>
      <c r="J687" s="93">
        <f>IFERROR(__xludf.DUMMYFUNCTION("""COMPUTED_VALUE"""),1.0)</f>
        <v>1</v>
      </c>
      <c r="K687" s="93" t="str">
        <f>IFERROR(__xludf.DUMMYFUNCTION("""COMPUTED_VALUE"""),"Complete")</f>
        <v>Complete</v>
      </c>
      <c r="L687" s="93"/>
      <c r="M687" s="94">
        <f>IFERROR(__xludf.DUMMYFUNCTION("""COMPUTED_VALUE"""),46145.047997685186)</f>
        <v>46145.048</v>
      </c>
      <c r="N687" s="93">
        <f>IFERROR(__xludf.DUMMYFUNCTION("""COMPUTED_VALUE"""),42.0)</f>
        <v>42</v>
      </c>
      <c r="O687" s="93"/>
      <c r="P687" s="93" t="str">
        <f>IFERROR(__xludf.DUMMYFUNCTION("""COMPUTED_VALUE"""),"Kit Delivery")</f>
        <v>Kit Delivery</v>
      </c>
      <c r="Q687" s="93"/>
      <c r="R687" s="93"/>
      <c r="S687" s="93" t="str">
        <f>IFERROR(__xludf.DUMMYFUNCTION("""COMPUTED_VALUE"""),"Dispatch_Images/KIT--17771.Photos.060902.jpg")</f>
        <v>Dispatch_Images/KIT--17771.Photos.060902.jpg</v>
      </c>
      <c r="T687" s="95">
        <f>IFERROR(__xludf.DUMMYFUNCTION("""COMPUTED_VALUE"""),46145.05324074074)</f>
        <v>46145.05324</v>
      </c>
      <c r="U687" s="93"/>
      <c r="V687" s="93"/>
      <c r="W687" s="93"/>
      <c r="X687" s="93"/>
      <c r="Y687" s="93"/>
      <c r="Z687" s="93"/>
    </row>
    <row r="688">
      <c r="A688" s="93" t="str">
        <f>IFERROR(__xludf.DUMMYFUNCTION("""COMPUTED_VALUE"""),"KIT-#17337")</f>
        <v>KIT-#17337</v>
      </c>
      <c r="B688" s="94">
        <f>IFERROR(__xludf.DUMMYFUNCTION("""COMPUTED_VALUE"""),46149.0)</f>
        <v>46149</v>
      </c>
      <c r="C688" s="93" t="str">
        <f>IFERROR(__xludf.DUMMYFUNCTION("""COMPUTED_VALUE"""),"Kit Delivery")</f>
        <v>Kit Delivery</v>
      </c>
      <c r="D688" s="93">
        <f>IFERROR(__xludf.DUMMYFUNCTION("""COMPUTED_VALUE"""),2.0)</f>
        <v>2</v>
      </c>
      <c r="E688" s="93" t="str">
        <f>IFERROR(__xludf.DUMMYFUNCTION("""COMPUTED_VALUE"""),"Lee")</f>
        <v>Lee</v>
      </c>
      <c r="F688" s="93">
        <f>IFERROR(__xludf.DUMMYFUNCTION("""COMPUTED_VALUE"""),209.0)</f>
        <v>209</v>
      </c>
      <c r="G688" s="93" t="str">
        <f>IFERROR(__xludf.DUMMYFUNCTION("""COMPUTED_VALUE"""),"Anushka Sonawala")</f>
        <v>Anushka Sonawala</v>
      </c>
      <c r="H688" s="93">
        <f>IFERROR(__xludf.DUMMYFUNCTION("""COMPUTED_VALUE"""),3.142671228E9)</f>
        <v>3142671228</v>
      </c>
      <c r="I688" s="93" t="str">
        <f>IFERROR(__xludf.DUMMYFUNCTION("""COMPUTED_VALUE"""),"3PM-5PM")</f>
        <v>3PM-5PM</v>
      </c>
      <c r="J688" s="93">
        <f>IFERROR(__xludf.DUMMYFUNCTION("""COMPUTED_VALUE"""),1.0)</f>
        <v>1</v>
      </c>
      <c r="K688" s="93" t="str">
        <f>IFERROR(__xludf.DUMMYFUNCTION("""COMPUTED_VALUE"""),"Complete")</f>
        <v>Complete</v>
      </c>
      <c r="L688" s="93"/>
      <c r="M688" s="94">
        <f>IFERROR(__xludf.DUMMYFUNCTION("""COMPUTED_VALUE"""),46145.048668981486)</f>
        <v>46145.04867</v>
      </c>
      <c r="N688" s="93">
        <f>IFERROR(__xludf.DUMMYFUNCTION("""COMPUTED_VALUE"""),40.0)</f>
        <v>40</v>
      </c>
      <c r="O688" s="93"/>
      <c r="P688" s="93" t="str">
        <f>IFERROR(__xludf.DUMMYFUNCTION("""COMPUTED_VALUE"""),"Kit Delivery")</f>
        <v>Kit Delivery</v>
      </c>
      <c r="Q688" s="93"/>
      <c r="R688" s="93"/>
      <c r="S688" s="93" t="str">
        <f>IFERROR(__xludf.DUMMYFUNCTION("""COMPUTED_VALUE"""),"Dispatch_Images/KIT--17337.Photos.061002.jpg")</f>
        <v>Dispatch_Images/KIT--17337.Photos.061002.jpg</v>
      </c>
      <c r="T688" s="95">
        <f>IFERROR(__xludf.DUMMYFUNCTION("""COMPUTED_VALUE"""),46145.05324074074)</f>
        <v>46145.05324</v>
      </c>
      <c r="U688" s="93"/>
      <c r="V688" s="93"/>
      <c r="W688" s="93"/>
      <c r="X688" s="93"/>
      <c r="Y688" s="93"/>
      <c r="Z688" s="93"/>
    </row>
    <row r="689">
      <c r="A689" s="93" t="str">
        <f>IFERROR(__xludf.DUMMYFUNCTION("""COMPUTED_VALUE"""),"KIT-#17194")</f>
        <v>KIT-#17194</v>
      </c>
      <c r="B689" s="94">
        <f>IFERROR(__xludf.DUMMYFUNCTION("""COMPUTED_VALUE"""),46149.0)</f>
        <v>46149</v>
      </c>
      <c r="C689" s="93" t="str">
        <f>IFERROR(__xludf.DUMMYFUNCTION("""COMPUTED_VALUE"""),"Kit Delivery")</f>
        <v>Kit Delivery</v>
      </c>
      <c r="D689" s="93">
        <f>IFERROR(__xludf.DUMMYFUNCTION("""COMPUTED_VALUE"""),2.0)</f>
        <v>2</v>
      </c>
      <c r="E689" s="93" t="str">
        <f>IFERROR(__xludf.DUMMYFUNCTION("""COMPUTED_VALUE"""),"Rutledge")</f>
        <v>Rutledge</v>
      </c>
      <c r="F689" s="93">
        <f>IFERROR(__xludf.DUMMYFUNCTION("""COMPUTED_VALUE"""),332.0)</f>
        <v>332</v>
      </c>
      <c r="G689" s="93" t="str">
        <f>IFERROR(__xludf.DUMMYFUNCTION("""COMPUTED_VALUE"""),"James Luo")</f>
        <v>James Luo</v>
      </c>
      <c r="H689" s="93">
        <f>IFERROR(__xludf.DUMMYFUNCTION("""COMPUTED_VALUE"""),3.142961232E9)</f>
        <v>3142961232</v>
      </c>
      <c r="I689" s="93" t="str">
        <f>IFERROR(__xludf.DUMMYFUNCTION("""COMPUTED_VALUE"""),"9AM-11AM")</f>
        <v>9AM-11AM</v>
      </c>
      <c r="J689" s="93">
        <f>IFERROR(__xludf.DUMMYFUNCTION("""COMPUTED_VALUE"""),1.0)</f>
        <v>1</v>
      </c>
      <c r="K689" s="93" t="str">
        <f>IFERROR(__xludf.DUMMYFUNCTION("""COMPUTED_VALUE"""),"Complete")</f>
        <v>Complete</v>
      </c>
      <c r="L689" s="93"/>
      <c r="M689" s="94">
        <f>IFERROR(__xludf.DUMMYFUNCTION("""COMPUTED_VALUE"""),46145.05761574074)</f>
        <v>46145.05762</v>
      </c>
      <c r="N689" s="93">
        <f>IFERROR(__xludf.DUMMYFUNCTION("""COMPUTED_VALUE"""),48.0)</f>
        <v>48</v>
      </c>
      <c r="O689" s="93"/>
      <c r="P689" s="93" t="str">
        <f>IFERROR(__xludf.DUMMYFUNCTION("""COMPUTED_VALUE"""),"Kit Delivery")</f>
        <v>Kit Delivery</v>
      </c>
      <c r="Q689" s="93"/>
      <c r="R689" s="93"/>
      <c r="S689" s="93" t="str">
        <f>IFERROR(__xludf.DUMMYFUNCTION("""COMPUTED_VALUE"""),"Dispatch_Images/KIT--17194.Photos.062254.jpg")</f>
        <v>Dispatch_Images/KIT--17194.Photos.062254.jpg</v>
      </c>
      <c r="T689" s="95">
        <f>IFERROR(__xludf.DUMMYFUNCTION("""COMPUTED_VALUE"""),46145.060162037036)</f>
        <v>46145.06016</v>
      </c>
      <c r="U689" s="93"/>
      <c r="V689" s="93"/>
      <c r="W689" s="93"/>
      <c r="X689" s="93"/>
      <c r="Y689" s="93"/>
      <c r="Z689" s="93"/>
    </row>
    <row r="690">
      <c r="A690" s="93" t="str">
        <f>IFERROR(__xludf.DUMMYFUNCTION("""COMPUTED_VALUE"""),"KIT-#16945")</f>
        <v>KIT-#16945</v>
      </c>
      <c r="B690" s="94">
        <f>IFERROR(__xludf.DUMMYFUNCTION("""COMPUTED_VALUE"""),46149.0)</f>
        <v>46149</v>
      </c>
      <c r="C690" s="93" t="str">
        <f>IFERROR(__xludf.DUMMYFUNCTION("""COMPUTED_VALUE"""),"Kit Delivery")</f>
        <v>Kit Delivery</v>
      </c>
      <c r="D690" s="93">
        <f>IFERROR(__xludf.DUMMYFUNCTION("""COMPUTED_VALUE"""),2.0)</f>
        <v>2</v>
      </c>
      <c r="E690" s="93" t="str">
        <f>IFERROR(__xludf.DUMMYFUNCTION("""COMPUTED_VALUE"""),"Rutledge")</f>
        <v>Rutledge</v>
      </c>
      <c r="F690" s="93">
        <f>IFERROR(__xludf.DUMMYFUNCTION("""COMPUTED_VALUE"""),212.0)</f>
        <v>212</v>
      </c>
      <c r="G690" s="93" t="str">
        <f>IFERROR(__xludf.DUMMYFUNCTION("""COMPUTED_VALUE"""),"Hebe Wen")</f>
        <v>Hebe Wen</v>
      </c>
      <c r="H690" s="93">
        <f>IFERROR(__xludf.DUMMYFUNCTION("""COMPUTED_VALUE"""),1.8611807888E10)</f>
        <v>18611807888</v>
      </c>
      <c r="I690" s="93" t="str">
        <f>IFERROR(__xludf.DUMMYFUNCTION("""COMPUTED_VALUE"""),"9AM-11AM")</f>
        <v>9AM-11AM</v>
      </c>
      <c r="J690" s="93">
        <f>IFERROR(__xludf.DUMMYFUNCTION("""COMPUTED_VALUE"""),1.0)</f>
        <v>1</v>
      </c>
      <c r="K690" s="93" t="str">
        <f>IFERROR(__xludf.DUMMYFUNCTION("""COMPUTED_VALUE"""),"Complete")</f>
        <v>Complete</v>
      </c>
      <c r="L690" s="93"/>
      <c r="M690" s="94">
        <f>IFERROR(__xludf.DUMMYFUNCTION("""COMPUTED_VALUE"""),46145.0577662037)</f>
        <v>46145.05777</v>
      </c>
      <c r="N690" s="93">
        <f>IFERROR(__xludf.DUMMYFUNCTION("""COMPUTED_VALUE"""),46.0)</f>
        <v>46</v>
      </c>
      <c r="O690" s="93"/>
      <c r="P690" s="93" t="str">
        <f>IFERROR(__xludf.DUMMYFUNCTION("""COMPUTED_VALUE"""),"Kit Delivery")</f>
        <v>Kit Delivery</v>
      </c>
      <c r="Q690" s="93"/>
      <c r="R690" s="93"/>
      <c r="S690" s="93" t="str">
        <f>IFERROR(__xludf.DUMMYFUNCTION("""COMPUTED_VALUE"""),"Dispatch_Images/KIT--16945.Photos.062308.jpg")</f>
        <v>Dispatch_Images/KIT--16945.Photos.062308.jpg</v>
      </c>
      <c r="T690" s="95">
        <f>IFERROR(__xludf.DUMMYFUNCTION("""COMPUTED_VALUE"""),46145.060162037036)</f>
        <v>46145.06016</v>
      </c>
      <c r="U690" s="93"/>
      <c r="V690" s="93"/>
      <c r="W690" s="93"/>
      <c r="X690" s="93"/>
      <c r="Y690" s="93"/>
      <c r="Z690" s="93"/>
    </row>
    <row r="691">
      <c r="A691" s="93" t="str">
        <f>IFERROR(__xludf.DUMMYFUNCTION("""COMPUTED_VALUE"""),"KIT-#17063")</f>
        <v>KIT-#17063</v>
      </c>
      <c r="B691" s="94">
        <f>IFERROR(__xludf.DUMMYFUNCTION("""COMPUTED_VALUE"""),46149.0)</f>
        <v>46149</v>
      </c>
      <c r="C691" s="93" t="str">
        <f>IFERROR(__xludf.DUMMYFUNCTION("""COMPUTED_VALUE"""),"Kit Delivery")</f>
        <v>Kit Delivery</v>
      </c>
      <c r="D691" s="93">
        <f>IFERROR(__xludf.DUMMYFUNCTION("""COMPUTED_VALUE"""),2.0)</f>
        <v>2</v>
      </c>
      <c r="E691" s="93" t="str">
        <f>IFERROR(__xludf.DUMMYFUNCTION("""COMPUTED_VALUE"""),"Rutledge")</f>
        <v>Rutledge</v>
      </c>
      <c r="F691" s="93">
        <f>IFERROR(__xludf.DUMMYFUNCTION("""COMPUTED_VALUE"""),224.0)</f>
        <v>224</v>
      </c>
      <c r="G691" s="93" t="str">
        <f>IFERROR(__xludf.DUMMYFUNCTION("""COMPUTED_VALUE"""),"Jean Lopez Uzho")</f>
        <v>Jean Lopez Uzho</v>
      </c>
      <c r="H691" s="93">
        <f>IFERROR(__xludf.DUMMYFUNCTION("""COMPUTED_VALUE"""),9.293539947E9)</f>
        <v>9293539947</v>
      </c>
      <c r="I691" s="93" t="str">
        <f>IFERROR(__xludf.DUMMYFUNCTION("""COMPUTED_VALUE"""),"9AM-11AM")</f>
        <v>9AM-11AM</v>
      </c>
      <c r="J691" s="93">
        <f>IFERROR(__xludf.DUMMYFUNCTION("""COMPUTED_VALUE"""),1.0)</f>
        <v>1</v>
      </c>
      <c r="K691" s="93" t="str">
        <f>IFERROR(__xludf.DUMMYFUNCTION("""COMPUTED_VALUE"""),"Complete")</f>
        <v>Complete</v>
      </c>
      <c r="L691" s="93"/>
      <c r="M691" s="94">
        <f>IFERROR(__xludf.DUMMYFUNCTION("""COMPUTED_VALUE"""),46145.05789351852)</f>
        <v>46145.05789</v>
      </c>
      <c r="N691" s="93">
        <f>IFERROR(__xludf.DUMMYFUNCTION("""COMPUTED_VALUE"""),47.0)</f>
        <v>47</v>
      </c>
      <c r="O691" s="93"/>
      <c r="P691" s="93" t="str">
        <f>IFERROR(__xludf.DUMMYFUNCTION("""COMPUTED_VALUE"""),"Kit Delivery")</f>
        <v>Kit Delivery</v>
      </c>
      <c r="Q691" s="93"/>
      <c r="R691" s="93"/>
      <c r="S691" s="93" t="str">
        <f>IFERROR(__xludf.DUMMYFUNCTION("""COMPUTED_VALUE"""),"Dispatch_Images/KIT--17063.Photos.062318.jpg")</f>
        <v>Dispatch_Images/KIT--17063.Photos.062318.jpg</v>
      </c>
      <c r="T691" s="95">
        <f>IFERROR(__xludf.DUMMYFUNCTION("""COMPUTED_VALUE"""),46145.060162037036)</f>
        <v>46145.06016</v>
      </c>
      <c r="U691" s="93"/>
      <c r="V691" s="93"/>
      <c r="W691" s="93"/>
      <c r="X691" s="93"/>
      <c r="Y691" s="93"/>
      <c r="Z691" s="93"/>
    </row>
    <row r="692">
      <c r="A692" s="93" t="str">
        <f>IFERROR(__xludf.DUMMYFUNCTION("""COMPUTED_VALUE"""),"KIT-#17125")</f>
        <v>KIT-#17125</v>
      </c>
      <c r="B692" s="94">
        <f>IFERROR(__xludf.DUMMYFUNCTION("""COMPUTED_VALUE"""),46149.0)</f>
        <v>46149</v>
      </c>
      <c r="C692" s="93" t="str">
        <f>IFERROR(__xludf.DUMMYFUNCTION("""COMPUTED_VALUE"""),"Kit Delivery")</f>
        <v>Kit Delivery</v>
      </c>
      <c r="D692" s="93">
        <f>IFERROR(__xludf.DUMMYFUNCTION("""COMPUTED_VALUE"""),2.0)</f>
        <v>2</v>
      </c>
      <c r="E692" s="93" t="str">
        <f>IFERROR(__xludf.DUMMYFUNCTION("""COMPUTED_VALUE"""),"Dauten")</f>
        <v>Dauten</v>
      </c>
      <c r="F692" s="93" t="str">
        <f>IFERROR(__xludf.DUMMYFUNCTION("""COMPUTED_VALUE"""),"333-a")</f>
        <v>333-a</v>
      </c>
      <c r="G692" s="93" t="str">
        <f>IFERROR(__xludf.DUMMYFUNCTION("""COMPUTED_VALUE"""),"Katie Meggers")</f>
        <v>Katie Meggers</v>
      </c>
      <c r="H692" s="93">
        <f>IFERROR(__xludf.DUMMYFUNCTION("""COMPUTED_VALUE"""),9.49887555E9)</f>
        <v>9498875550</v>
      </c>
      <c r="I692" s="93" t="str">
        <f>IFERROR(__xludf.DUMMYFUNCTION("""COMPUTED_VALUE"""),"3PM-5PM")</f>
        <v>3PM-5PM</v>
      </c>
      <c r="J692" s="93">
        <f>IFERROR(__xludf.DUMMYFUNCTION("""COMPUTED_VALUE"""),4.0)</f>
        <v>4</v>
      </c>
      <c r="K692" s="93" t="str">
        <f>IFERROR(__xludf.DUMMYFUNCTION("""COMPUTED_VALUE"""),"Complete")</f>
        <v>Complete</v>
      </c>
      <c r="L692" s="93"/>
      <c r="M692" s="94">
        <f>IFERROR(__xludf.DUMMYFUNCTION("""COMPUTED_VALUE"""),46145.061319444445)</f>
        <v>46145.06132</v>
      </c>
      <c r="N692" s="93">
        <f>IFERROR(__xludf.DUMMYFUNCTION("""COMPUTED_VALUE"""),52.0)</f>
        <v>52</v>
      </c>
      <c r="O692" s="93"/>
      <c r="P692" s="93" t="str">
        <f>IFERROR(__xludf.DUMMYFUNCTION("""COMPUTED_VALUE"""),"Kit Delivery")</f>
        <v>Kit Delivery</v>
      </c>
      <c r="Q692" s="93"/>
      <c r="R692" s="93"/>
      <c r="S692" s="93" t="str">
        <f>IFERROR(__xludf.DUMMYFUNCTION("""COMPUTED_VALUE"""),"Dispatch_Images/KIT--17125.Photos.062814.jpg")</f>
        <v>Dispatch_Images/KIT--17125.Photos.062814.jpg</v>
      </c>
      <c r="T692" s="95">
        <f>IFERROR(__xludf.DUMMYFUNCTION("""COMPUTED_VALUE"""),46145.067094907405)</f>
        <v>46145.06709</v>
      </c>
      <c r="U692" s="93"/>
      <c r="V692" s="93"/>
      <c r="W692" s="93"/>
      <c r="X692" s="93"/>
      <c r="Y692" s="93"/>
      <c r="Z692" s="93"/>
    </row>
    <row r="693">
      <c r="A693" s="93" t="str">
        <f>IFERROR(__xludf.DUMMYFUNCTION("""COMPUTED_VALUE"""),"KIT-#17661")</f>
        <v>KIT-#17661</v>
      </c>
      <c r="B693" s="94">
        <f>IFERROR(__xludf.DUMMYFUNCTION("""COMPUTED_VALUE"""),46149.0)</f>
        <v>46149</v>
      </c>
      <c r="C693" s="93" t="str">
        <f>IFERROR(__xludf.DUMMYFUNCTION("""COMPUTED_VALUE"""),"Kit Delivery")</f>
        <v>Kit Delivery</v>
      </c>
      <c r="D693" s="93">
        <f>IFERROR(__xludf.DUMMYFUNCTION("""COMPUTED_VALUE"""),2.0)</f>
        <v>2</v>
      </c>
      <c r="E693" s="93" t="str">
        <f>IFERROR(__xludf.DUMMYFUNCTION("""COMPUTED_VALUE"""),"Dauten")</f>
        <v>Dauten</v>
      </c>
      <c r="F693" s="93">
        <f>IFERROR(__xludf.DUMMYFUNCTION("""COMPUTED_VALUE"""),442.0)</f>
        <v>442</v>
      </c>
      <c r="G693" s="93" t="str">
        <f>IFERROR(__xludf.DUMMYFUNCTION("""COMPUTED_VALUE"""),"Megan Raue")</f>
        <v>Megan Raue</v>
      </c>
      <c r="H693" s="93">
        <f>IFERROR(__xludf.DUMMYFUNCTION("""COMPUTED_VALUE"""),7.033078619E9)</f>
        <v>7033078619</v>
      </c>
      <c r="I693" s="93" t="str">
        <f>IFERROR(__xludf.DUMMYFUNCTION("""COMPUTED_VALUE"""),"9AM-11AM")</f>
        <v>9AM-11AM</v>
      </c>
      <c r="J693" s="93">
        <f>IFERROR(__xludf.DUMMYFUNCTION("""COMPUTED_VALUE"""),1.0)</f>
        <v>1</v>
      </c>
      <c r="K693" s="93" t="str">
        <f>IFERROR(__xludf.DUMMYFUNCTION("""COMPUTED_VALUE"""),"Complete")</f>
        <v>Complete</v>
      </c>
      <c r="L693" s="93"/>
      <c r="M693" s="94">
        <f>IFERROR(__xludf.DUMMYFUNCTION("""COMPUTED_VALUE"""),46145.06327546296)</f>
        <v>46145.06328</v>
      </c>
      <c r="N693" s="93">
        <f>IFERROR(__xludf.DUMMYFUNCTION("""COMPUTED_VALUE"""),54.0)</f>
        <v>54</v>
      </c>
      <c r="O693" s="93"/>
      <c r="P693" s="93" t="str">
        <f>IFERROR(__xludf.DUMMYFUNCTION("""COMPUTED_VALUE"""),"Kit Delivery")</f>
        <v>Kit Delivery</v>
      </c>
      <c r="Q693" s="93"/>
      <c r="R693" s="93"/>
      <c r="S693" s="93" t="str">
        <f>IFERROR(__xludf.DUMMYFUNCTION("""COMPUTED_VALUE"""),"Dispatch_Images/KIT--17661.Photos.063104.jpg")</f>
        <v>Dispatch_Images/KIT--17661.Photos.063104.jpg</v>
      </c>
      <c r="T693" s="95">
        <f>IFERROR(__xludf.DUMMYFUNCTION("""COMPUTED_VALUE"""),46145.067094907405)</f>
        <v>46145.06709</v>
      </c>
      <c r="U693" s="93"/>
      <c r="V693" s="93"/>
      <c r="W693" s="93"/>
      <c r="X693" s="93"/>
      <c r="Y693" s="93"/>
      <c r="Z693" s="93"/>
    </row>
    <row r="694">
      <c r="A694" s="93" t="str">
        <f>IFERROR(__xludf.DUMMYFUNCTION("""COMPUTED_VALUE"""),"KIT-#17466")</f>
        <v>KIT-#17466</v>
      </c>
      <c r="B694" s="94">
        <f>IFERROR(__xludf.DUMMYFUNCTION("""COMPUTED_VALUE"""),46149.0)</f>
        <v>46149</v>
      </c>
      <c r="C694" s="93" t="str">
        <f>IFERROR(__xludf.DUMMYFUNCTION("""COMPUTED_VALUE"""),"Kit Delivery")</f>
        <v>Kit Delivery</v>
      </c>
      <c r="D694" s="93">
        <f>IFERROR(__xludf.DUMMYFUNCTION("""COMPUTED_VALUE"""),2.0)</f>
        <v>2</v>
      </c>
      <c r="E694" s="93" t="str">
        <f>IFERROR(__xludf.DUMMYFUNCTION("""COMPUTED_VALUE"""),"Dauten")</f>
        <v>Dauten</v>
      </c>
      <c r="F694" s="93">
        <f>IFERROR(__xludf.DUMMYFUNCTION("""COMPUTED_VALUE"""),232.0)</f>
        <v>232</v>
      </c>
      <c r="G694" s="93" t="str">
        <f>IFERROR(__xludf.DUMMYFUNCTION("""COMPUTED_VALUE"""),"Cecelia Kux")</f>
        <v>Cecelia Kux</v>
      </c>
      <c r="H694" s="93">
        <f>IFERROR(__xludf.DUMMYFUNCTION("""COMPUTED_VALUE"""),2.405431264E9)</f>
        <v>2405431264</v>
      </c>
      <c r="I694" s="93" t="str">
        <f>IFERROR(__xludf.DUMMYFUNCTION("""COMPUTED_VALUE"""),"9AM-11AM")</f>
        <v>9AM-11AM</v>
      </c>
      <c r="J694" s="93">
        <f>IFERROR(__xludf.DUMMYFUNCTION("""COMPUTED_VALUE"""),1.0)</f>
        <v>1</v>
      </c>
      <c r="K694" s="93" t="str">
        <f>IFERROR(__xludf.DUMMYFUNCTION("""COMPUTED_VALUE"""),"Complete")</f>
        <v>Complete</v>
      </c>
      <c r="L694" s="93"/>
      <c r="M694" s="94">
        <f>IFERROR(__xludf.DUMMYFUNCTION("""COMPUTED_VALUE"""),46145.06400462963)</f>
        <v>46145.064</v>
      </c>
      <c r="N694" s="93">
        <f>IFERROR(__xludf.DUMMYFUNCTION("""COMPUTED_VALUE"""),50.0)</f>
        <v>50</v>
      </c>
      <c r="O694" s="93"/>
      <c r="P694" s="93" t="str">
        <f>IFERROR(__xludf.DUMMYFUNCTION("""COMPUTED_VALUE"""),"Kit Delivery")</f>
        <v>Kit Delivery</v>
      </c>
      <c r="Q694" s="93"/>
      <c r="R694" s="93"/>
      <c r="S694" s="93" t="str">
        <f>IFERROR(__xludf.DUMMYFUNCTION("""COMPUTED_VALUE"""),"Dispatch_Images/KIT--17466.Photos.063206.jpg")</f>
        <v>Dispatch_Images/KIT--17466.Photos.063206.jpg</v>
      </c>
      <c r="T694" s="95">
        <f>IFERROR(__xludf.DUMMYFUNCTION("""COMPUTED_VALUE"""),46145.067094907405)</f>
        <v>46145.06709</v>
      </c>
      <c r="U694" s="93"/>
      <c r="V694" s="93"/>
      <c r="W694" s="93"/>
      <c r="X694" s="93"/>
      <c r="Y694" s="93"/>
      <c r="Z694" s="93"/>
    </row>
    <row r="695">
      <c r="A695" s="93" t="str">
        <f>IFERROR(__xludf.DUMMYFUNCTION("""COMPUTED_VALUE"""),"KIT-#17072")</f>
        <v>KIT-#17072</v>
      </c>
      <c r="B695" s="94">
        <f>IFERROR(__xludf.DUMMYFUNCTION("""COMPUTED_VALUE"""),46149.0)</f>
        <v>46149</v>
      </c>
      <c r="C695" s="93" t="str">
        <f>IFERROR(__xludf.DUMMYFUNCTION("""COMPUTED_VALUE"""),"Kit Delivery")</f>
        <v>Kit Delivery</v>
      </c>
      <c r="D695" s="93">
        <f>IFERROR(__xludf.DUMMYFUNCTION("""COMPUTED_VALUE"""),2.0)</f>
        <v>2</v>
      </c>
      <c r="E695" s="93" t="str">
        <f>IFERROR(__xludf.DUMMYFUNCTION("""COMPUTED_VALUE"""),"Dauten")</f>
        <v>Dauten</v>
      </c>
      <c r="F695" s="93">
        <f>IFERROR(__xludf.DUMMYFUNCTION("""COMPUTED_VALUE"""),224.0)</f>
        <v>224</v>
      </c>
      <c r="G695" s="93" t="str">
        <f>IFERROR(__xludf.DUMMYFUNCTION("""COMPUTED_VALUE"""),"Serena Kuo")</f>
        <v>Serena Kuo</v>
      </c>
      <c r="H695" s="93">
        <f>IFERROR(__xludf.DUMMYFUNCTION("""COMPUTED_VALUE"""),3.14226756E9)</f>
        <v>3142267560</v>
      </c>
      <c r="I695" s="93" t="str">
        <f>IFERROR(__xludf.DUMMYFUNCTION("""COMPUTED_VALUE"""),"9AM-11AM")</f>
        <v>9AM-11AM</v>
      </c>
      <c r="J695" s="93">
        <f>IFERROR(__xludf.DUMMYFUNCTION("""COMPUTED_VALUE"""),1.0)</f>
        <v>1</v>
      </c>
      <c r="K695" s="93" t="str">
        <f>IFERROR(__xludf.DUMMYFUNCTION("""COMPUTED_VALUE"""),"Complete")</f>
        <v>Complete</v>
      </c>
      <c r="L695" s="93"/>
      <c r="M695" s="94">
        <f>IFERROR(__xludf.DUMMYFUNCTION("""COMPUTED_VALUE"""),46145.06418981482)</f>
        <v>46145.06419</v>
      </c>
      <c r="N695" s="93">
        <f>IFERROR(__xludf.DUMMYFUNCTION("""COMPUTED_VALUE"""),49.0)</f>
        <v>49</v>
      </c>
      <c r="O695" s="93"/>
      <c r="P695" s="93" t="str">
        <f>IFERROR(__xludf.DUMMYFUNCTION("""COMPUTED_VALUE"""),"Kit Delivery")</f>
        <v>Kit Delivery</v>
      </c>
      <c r="Q695" s="93"/>
      <c r="R695" s="93"/>
      <c r="S695" s="93" t="str">
        <f>IFERROR(__xludf.DUMMYFUNCTION("""COMPUTED_VALUE"""),"Dispatch_Images/KIT--17072.Photos.063223.jpg")</f>
        <v>Dispatch_Images/KIT--17072.Photos.063223.jpg</v>
      </c>
      <c r="T695" s="95">
        <f>IFERROR(__xludf.DUMMYFUNCTION("""COMPUTED_VALUE"""),46145.067094907405)</f>
        <v>46145.06709</v>
      </c>
      <c r="U695" s="93"/>
      <c r="V695" s="93"/>
      <c r="W695" s="93"/>
      <c r="X695" s="93"/>
      <c r="Y695" s="93"/>
      <c r="Z695" s="93"/>
    </row>
    <row r="696">
      <c r="A696" s="93" t="str">
        <f>IFERROR(__xludf.DUMMYFUNCTION("""COMPUTED_VALUE"""),"KIT-#18134")</f>
        <v>KIT-#18134</v>
      </c>
      <c r="B696" s="94">
        <f>IFERROR(__xludf.DUMMYFUNCTION("""COMPUTED_VALUE"""),46149.0)</f>
        <v>46149</v>
      </c>
      <c r="C696" s="93" t="str">
        <f>IFERROR(__xludf.DUMMYFUNCTION("""COMPUTED_VALUE"""),"Kit Delivery")</f>
        <v>Kit Delivery</v>
      </c>
      <c r="D696" s="93">
        <f>IFERROR(__xludf.DUMMYFUNCTION("""COMPUTED_VALUE"""),2.0)</f>
        <v>2</v>
      </c>
      <c r="E696" s="93" t="str">
        <f>IFERROR(__xludf.DUMMYFUNCTION("""COMPUTED_VALUE"""),"Danforth")</f>
        <v>Danforth</v>
      </c>
      <c r="F696" s="93">
        <f>IFERROR(__xludf.DUMMYFUNCTION("""COMPUTED_VALUE"""),2204.0)</f>
        <v>2204</v>
      </c>
      <c r="G696" s="93" t="str">
        <f>IFERROR(__xludf.DUMMYFUNCTION("""COMPUTED_VALUE"""),"Charlie Qian")</f>
        <v>Charlie Qian</v>
      </c>
      <c r="H696" s="93">
        <f>IFERROR(__xludf.DUMMYFUNCTION("""COMPUTED_VALUE"""),3.142697772E9)</f>
        <v>3142697772</v>
      </c>
      <c r="I696" s="93" t="str">
        <f>IFERROR(__xludf.DUMMYFUNCTION("""COMPUTED_VALUE"""),"3PM-5PM")</f>
        <v>3PM-5PM</v>
      </c>
      <c r="J696" s="93">
        <f>IFERROR(__xludf.DUMMYFUNCTION("""COMPUTED_VALUE"""),1.0)</f>
        <v>1</v>
      </c>
      <c r="K696" s="93" t="str">
        <f>IFERROR(__xludf.DUMMYFUNCTION("""COMPUTED_VALUE"""),"Complete")</f>
        <v>Complete</v>
      </c>
      <c r="L696" s="93"/>
      <c r="M696" s="94">
        <f>IFERROR(__xludf.DUMMYFUNCTION("""COMPUTED_VALUE"""),46145.07195601852)</f>
        <v>46145.07196</v>
      </c>
      <c r="N696" s="93">
        <f>IFERROR(__xludf.DUMMYFUNCTION("""COMPUTED_VALUE"""),29.0)</f>
        <v>29</v>
      </c>
      <c r="O696" s="93"/>
      <c r="P696" s="93" t="str">
        <f>IFERROR(__xludf.DUMMYFUNCTION("""COMPUTED_VALUE"""),"Kit Delivery")</f>
        <v>Kit Delivery</v>
      </c>
      <c r="Q696" s="93" t="str">
        <f>IFERROR(__xludf.DUMMYFUNCTION("""COMPUTED_VALUE"""),"2 suitcases + 2 boxes in total")</f>
        <v>2 suitcases + 2 boxes in total</v>
      </c>
      <c r="R696" s="93"/>
      <c r="S696" s="93" t="str">
        <f>IFERROR(__xludf.DUMMYFUNCTION("""COMPUTED_VALUE"""),"Dispatch_Images/KIT--18134.Photos.064333.jpg")</f>
        <v>Dispatch_Images/KIT--18134.Photos.064333.jpg</v>
      </c>
      <c r="T696" s="95">
        <f>IFERROR(__xludf.DUMMYFUNCTION("""COMPUTED_VALUE"""),46145.07403935185)</f>
        <v>46145.07404</v>
      </c>
      <c r="U696" s="93"/>
      <c r="V696" s="93"/>
      <c r="W696" s="93"/>
      <c r="X696" s="93"/>
      <c r="Y696" s="93"/>
      <c r="Z696" s="93"/>
    </row>
    <row r="697">
      <c r="A697" s="93" t="str">
        <f>IFERROR(__xludf.DUMMYFUNCTION("""COMPUTED_VALUE"""),"KIT-#17499")</f>
        <v>KIT-#17499</v>
      </c>
      <c r="B697" s="94">
        <f>IFERROR(__xludf.DUMMYFUNCTION("""COMPUTED_VALUE"""),46149.0)</f>
        <v>46149</v>
      </c>
      <c r="C697" s="93" t="str">
        <f>IFERROR(__xludf.DUMMYFUNCTION("""COMPUTED_VALUE"""),"Kit Delivery")</f>
        <v>Kit Delivery</v>
      </c>
      <c r="D697" s="93">
        <f>IFERROR(__xludf.DUMMYFUNCTION("""COMPUTED_VALUE"""),2.0)</f>
        <v>2</v>
      </c>
      <c r="E697" s="93" t="str">
        <f>IFERROR(__xludf.DUMMYFUNCTION("""COMPUTED_VALUE"""),"Lee")</f>
        <v>Lee</v>
      </c>
      <c r="F697" s="93">
        <f>IFERROR(__xludf.DUMMYFUNCTION("""COMPUTED_VALUE"""),222.0)</f>
        <v>222</v>
      </c>
      <c r="G697" s="93" t="str">
        <f>IFERROR(__xludf.DUMMYFUNCTION("""COMPUTED_VALUE"""),"Khai Ha")</f>
        <v>Khai Ha</v>
      </c>
      <c r="H697" s="93">
        <f>IFERROR(__xludf.DUMMYFUNCTION("""COMPUTED_VALUE"""),6.46706176E9)</f>
        <v>6467061760</v>
      </c>
      <c r="I697" s="93" t="str">
        <f>IFERROR(__xludf.DUMMYFUNCTION("""COMPUTED_VALUE"""),"9AM-11AM")</f>
        <v>9AM-11AM</v>
      </c>
      <c r="J697" s="93">
        <f>IFERROR(__xludf.DUMMYFUNCTION("""COMPUTED_VALUE"""),1.0)</f>
        <v>1</v>
      </c>
      <c r="K697" s="93" t="str">
        <f>IFERROR(__xludf.DUMMYFUNCTION("""COMPUTED_VALUE"""),"Complete")</f>
        <v>Complete</v>
      </c>
      <c r="L697" s="93"/>
      <c r="M697" s="94">
        <f>IFERROR(__xludf.DUMMYFUNCTION("""COMPUTED_VALUE"""),46145.07574074074)</f>
        <v>46145.07574</v>
      </c>
      <c r="N697" s="93">
        <f>IFERROR(__xludf.DUMMYFUNCTION("""COMPUTED_VALUE"""),43.0)</f>
        <v>43</v>
      </c>
      <c r="O697" s="93"/>
      <c r="P697" s="93" t="str">
        <f>IFERROR(__xludf.DUMMYFUNCTION("""COMPUTED_VALUE"""),"Kit Delivery")</f>
        <v>Kit Delivery</v>
      </c>
      <c r="Q697" s="93"/>
      <c r="R697" s="93"/>
      <c r="S697" s="93" t="str">
        <f>IFERROR(__xludf.DUMMYFUNCTION("""COMPUTED_VALUE"""),"Dispatch_Images/KIT--17499.Photos.064900.jpg")</f>
        <v>Dispatch_Images/KIT--17499.Photos.064900.jpg</v>
      </c>
      <c r="T697" s="95">
        <f>IFERROR(__xludf.DUMMYFUNCTION("""COMPUTED_VALUE"""),46145.080983796295)</f>
        <v>46145.08098</v>
      </c>
      <c r="U697" s="93"/>
      <c r="V697" s="93"/>
      <c r="W697" s="93"/>
      <c r="X697" s="93"/>
      <c r="Y697" s="93"/>
      <c r="Z697" s="93"/>
    </row>
    <row r="698">
      <c r="A698" s="93" t="str">
        <f>IFERROR(__xludf.DUMMYFUNCTION("""COMPUTED_VALUE"""),"KIT-#17437")</f>
        <v>KIT-#17437</v>
      </c>
      <c r="B698" s="94">
        <f>IFERROR(__xludf.DUMMYFUNCTION("""COMPUTED_VALUE"""),46149.0)</f>
        <v>46149</v>
      </c>
      <c r="C698" s="93" t="str">
        <f>IFERROR(__xludf.DUMMYFUNCTION("""COMPUTED_VALUE"""),"Kit Delivery")</f>
        <v>Kit Delivery</v>
      </c>
      <c r="D698" s="93">
        <f>IFERROR(__xludf.DUMMYFUNCTION("""COMPUTED_VALUE"""),2.0)</f>
        <v>2</v>
      </c>
      <c r="E698" s="93" t="str">
        <f>IFERROR(__xludf.DUMMYFUNCTION("""COMPUTED_VALUE"""),"Eliot A")</f>
        <v>Eliot A</v>
      </c>
      <c r="F698" s="93" t="str">
        <f>IFERROR(__xludf.DUMMYFUNCTION("""COMPUTED_VALUE"""),"3112 - b")</f>
        <v>3112 - b</v>
      </c>
      <c r="G698" s="93" t="str">
        <f>IFERROR(__xludf.DUMMYFUNCTION("""COMPUTED_VALUE"""),"Hailey Yang")</f>
        <v>Hailey Yang</v>
      </c>
      <c r="H698" s="93">
        <f>IFERROR(__xludf.DUMMYFUNCTION("""COMPUTED_VALUE"""),3.367792186E9)</f>
        <v>3367792186</v>
      </c>
      <c r="I698" s="93" t="str">
        <f>IFERROR(__xludf.DUMMYFUNCTION("""COMPUTED_VALUE"""),"9AM-11AM")</f>
        <v>9AM-11AM</v>
      </c>
      <c r="J698" s="93">
        <f>IFERROR(__xludf.DUMMYFUNCTION("""COMPUTED_VALUE"""),3.0)</f>
        <v>3</v>
      </c>
      <c r="K698" s="93" t="str">
        <f>IFERROR(__xludf.DUMMYFUNCTION("""COMPUTED_VALUE"""),"Complete")</f>
        <v>Complete</v>
      </c>
      <c r="L698" s="93"/>
      <c r="M698" s="94">
        <f>IFERROR(__xludf.DUMMYFUNCTION("""COMPUTED_VALUE"""),46145.10834490741)</f>
        <v>46145.10834</v>
      </c>
      <c r="N698" s="93">
        <f>IFERROR(__xludf.DUMMYFUNCTION("""COMPUTED_VALUE"""),19.0)</f>
        <v>19</v>
      </c>
      <c r="O698" s="93"/>
      <c r="P698" s="93" t="str">
        <f>IFERROR(__xludf.DUMMYFUNCTION("""COMPUTED_VALUE"""),"Kit Delivery")</f>
        <v>Kit Delivery</v>
      </c>
      <c r="Q698" s="93" t="str">
        <f>IFERROR(__xludf.DUMMYFUNCTION("""COMPUTED_VALUE"""),"I'm going to store an electric guitar with my stuff, please please be extra careful with the guitar, it's expensive and fragile.")</f>
        <v>I'm going to store an electric guitar with my stuff, please please be extra careful with the guitar, it's expensive and fragile.</v>
      </c>
      <c r="R698" s="93"/>
      <c r="S698" s="93" t="str">
        <f>IFERROR(__xludf.DUMMYFUNCTION("""COMPUTED_VALUE"""),"Dispatch_Images/KIT--17437.Photos.073558.jpg")</f>
        <v>Dispatch_Images/KIT--17437.Photos.073558.jpg</v>
      </c>
      <c r="T698" s="95">
        <f>IFERROR(__xludf.DUMMYFUNCTION("""COMPUTED_VALUE"""),46145.108773148146)</f>
        <v>46145.10877</v>
      </c>
      <c r="U698" s="93"/>
      <c r="V698" s="93"/>
      <c r="W698" s="93"/>
      <c r="X698" s="93"/>
      <c r="Y698" s="93"/>
      <c r="Z698" s="93"/>
    </row>
    <row r="699">
      <c r="A699" s="93" t="str">
        <f>IFERROR(__xludf.DUMMYFUNCTION("""COMPUTED_VALUE"""),"KIT-#17725")</f>
        <v>KIT-#17725</v>
      </c>
      <c r="B699" s="94">
        <f>IFERROR(__xludf.DUMMYFUNCTION("""COMPUTED_VALUE"""),46149.0)</f>
        <v>46149</v>
      </c>
      <c r="C699" s="93" t="str">
        <f>IFERROR(__xludf.DUMMYFUNCTION("""COMPUTED_VALUE"""),"Kit Delivery")</f>
        <v>Kit Delivery</v>
      </c>
      <c r="D699" s="93">
        <f>IFERROR(__xludf.DUMMYFUNCTION("""COMPUTED_VALUE"""),2.0)</f>
        <v>2</v>
      </c>
      <c r="E699" s="93" t="str">
        <f>IFERROR(__xludf.DUMMYFUNCTION("""COMPUTED_VALUE"""),"Eliot A")</f>
        <v>Eliot A</v>
      </c>
      <c r="F699" s="93">
        <f>IFERROR(__xludf.DUMMYFUNCTION("""COMPUTED_VALUE"""),3100.0)</f>
        <v>3100</v>
      </c>
      <c r="G699" s="93" t="str">
        <f>IFERROR(__xludf.DUMMYFUNCTION("""COMPUTED_VALUE"""),"Peter Eiswert")</f>
        <v>Peter Eiswert</v>
      </c>
      <c r="H699" s="93">
        <f>IFERROR(__xludf.DUMMYFUNCTION("""COMPUTED_VALUE"""),4.433813194E9)</f>
        <v>4433813194</v>
      </c>
      <c r="I699" s="93" t="str">
        <f>IFERROR(__xludf.DUMMYFUNCTION("""COMPUTED_VALUE"""),"9AM-11AM")</f>
        <v>9AM-11AM</v>
      </c>
      <c r="J699" s="93">
        <f>IFERROR(__xludf.DUMMYFUNCTION("""COMPUTED_VALUE"""),1.0)</f>
        <v>1</v>
      </c>
      <c r="K699" s="93" t="str">
        <f>IFERROR(__xludf.DUMMYFUNCTION("""COMPUTED_VALUE"""),"Complete")</f>
        <v>Complete</v>
      </c>
      <c r="L699" s="93"/>
      <c r="M699" s="94">
        <f>IFERROR(__xludf.DUMMYFUNCTION("""COMPUTED_VALUE"""),46145.10884259259)</f>
        <v>46145.10884</v>
      </c>
      <c r="N699" s="93">
        <f>IFERROR(__xludf.DUMMYFUNCTION("""COMPUTED_VALUE"""),18.0)</f>
        <v>18</v>
      </c>
      <c r="O699" s="93"/>
      <c r="P699" s="93" t="str">
        <f>IFERROR(__xludf.DUMMYFUNCTION("""COMPUTED_VALUE"""),"Kit Delivery")</f>
        <v>Kit Delivery</v>
      </c>
      <c r="Q699" s="93"/>
      <c r="R699" s="93"/>
      <c r="S699" s="93" t="str">
        <f>IFERROR(__xludf.DUMMYFUNCTION("""COMPUTED_VALUE"""),"Dispatch_Images/KIT--17725.Photos.073641.jpg")</f>
        <v>Dispatch_Images/KIT--17725.Photos.073641.jpg</v>
      </c>
      <c r="T699" s="95">
        <f>IFERROR(__xludf.DUMMYFUNCTION("""COMPUTED_VALUE"""),46145.11570601852)</f>
        <v>46145.11571</v>
      </c>
      <c r="U699" s="93"/>
      <c r="V699" s="93"/>
      <c r="W699" s="93"/>
      <c r="X699" s="93"/>
      <c r="Y699" s="93"/>
      <c r="Z699" s="93"/>
    </row>
    <row r="700">
      <c r="A700" s="93" t="str">
        <f>IFERROR(__xludf.DUMMYFUNCTION("""COMPUTED_VALUE"""),"KIT-#17146")</f>
        <v>KIT-#17146</v>
      </c>
      <c r="B700" s="94">
        <f>IFERROR(__xludf.DUMMYFUNCTION("""COMPUTED_VALUE"""),46149.0)</f>
        <v>46149</v>
      </c>
      <c r="C700" s="93" t="str">
        <f>IFERROR(__xludf.DUMMYFUNCTION("""COMPUTED_VALUE"""),"Kit Delivery")</f>
        <v>Kit Delivery</v>
      </c>
      <c r="D700" s="93">
        <f>IFERROR(__xludf.DUMMYFUNCTION("""COMPUTED_VALUE"""),2.0)</f>
        <v>2</v>
      </c>
      <c r="E700" s="93" t="str">
        <f>IFERROR(__xludf.DUMMYFUNCTION("""COMPUTED_VALUE"""),"Eliot A")</f>
        <v>Eliot A</v>
      </c>
      <c r="F700" s="93">
        <f>IFERROR(__xludf.DUMMYFUNCTION("""COMPUTED_VALUE"""),3094.0)</f>
        <v>3094</v>
      </c>
      <c r="G700" s="93" t="str">
        <f>IFERROR(__xludf.DUMMYFUNCTION("""COMPUTED_VALUE"""),"Lillian Pollack")</f>
        <v>Lillian Pollack</v>
      </c>
      <c r="H700" s="93">
        <f>IFERROR(__xludf.DUMMYFUNCTION("""COMPUTED_VALUE"""),7.739652345E9)</f>
        <v>7739652345</v>
      </c>
      <c r="I700" s="93" t="str">
        <f>IFERROR(__xludf.DUMMYFUNCTION("""COMPUTED_VALUE"""),"2PM-4PM")</f>
        <v>2PM-4PM</v>
      </c>
      <c r="J700" s="93">
        <f>IFERROR(__xludf.DUMMYFUNCTION("""COMPUTED_VALUE"""),2.0)</f>
        <v>2</v>
      </c>
      <c r="K700" s="93" t="str">
        <f>IFERROR(__xludf.DUMMYFUNCTION("""COMPUTED_VALUE"""),"Complete")</f>
        <v>Complete</v>
      </c>
      <c r="L700" s="93"/>
      <c r="M700" s="94">
        <f>IFERROR(__xludf.DUMMYFUNCTION("""COMPUTED_VALUE"""),46145.10971064815)</f>
        <v>46145.10971</v>
      </c>
      <c r="N700" s="93">
        <f>IFERROR(__xludf.DUMMYFUNCTION("""COMPUTED_VALUE"""),17.0)</f>
        <v>17</v>
      </c>
      <c r="O700" s="93"/>
      <c r="P700" s="93" t="str">
        <f>IFERROR(__xludf.DUMMYFUNCTION("""COMPUTED_VALUE"""),"Kit Delivery")</f>
        <v>Kit Delivery</v>
      </c>
      <c r="Q700" s="93"/>
      <c r="R700" s="93"/>
      <c r="S700" s="93" t="str">
        <f>IFERROR(__xludf.DUMMYFUNCTION("""COMPUTED_VALUE"""),"Dispatch_Images/KIT--17146.Photos.073756.jpg")</f>
        <v>Dispatch_Images/KIT--17146.Photos.073756.jpg</v>
      </c>
      <c r="T700" s="95">
        <f>IFERROR(__xludf.DUMMYFUNCTION("""COMPUTED_VALUE"""),46145.11570601852)</f>
        <v>46145.11571</v>
      </c>
      <c r="U700" s="93"/>
      <c r="V700" s="93"/>
      <c r="W700" s="93"/>
      <c r="X700" s="93"/>
      <c r="Y700" s="93"/>
      <c r="Z700" s="93"/>
    </row>
    <row r="701">
      <c r="A701" s="93" t="str">
        <f>IFERROR(__xludf.DUMMYFUNCTION("""COMPUTED_VALUE"""),"KIT-#17705")</f>
        <v>KIT-#17705</v>
      </c>
      <c r="B701" s="94">
        <f>IFERROR(__xludf.DUMMYFUNCTION("""COMPUTED_VALUE"""),46149.0)</f>
        <v>46149</v>
      </c>
      <c r="C701" s="93" t="str">
        <f>IFERROR(__xludf.DUMMYFUNCTION("""COMPUTED_VALUE"""),"Kit Delivery")</f>
        <v>Kit Delivery</v>
      </c>
      <c r="D701" s="93">
        <f>IFERROR(__xludf.DUMMYFUNCTION("""COMPUTED_VALUE"""),2.0)</f>
        <v>2</v>
      </c>
      <c r="E701" s="93" t="str">
        <f>IFERROR(__xludf.DUMMYFUNCTION("""COMPUTED_VALUE"""),"Eliot A")</f>
        <v>Eliot A</v>
      </c>
      <c r="F701" s="93">
        <f>IFERROR(__xludf.DUMMYFUNCTION("""COMPUTED_VALUE"""),2054.0)</f>
        <v>2054</v>
      </c>
      <c r="G701" s="93" t="str">
        <f>IFERROR(__xludf.DUMMYFUNCTION("""COMPUTED_VALUE"""),"Yining He")</f>
        <v>Yining He</v>
      </c>
      <c r="H701" s="93">
        <f>IFERROR(__xludf.DUMMYFUNCTION("""COMPUTED_VALUE"""),3.142960885E9)</f>
        <v>3142960885</v>
      </c>
      <c r="I701" s="93" t="str">
        <f>IFERROR(__xludf.DUMMYFUNCTION("""COMPUTED_VALUE"""),"9AM-11AM")</f>
        <v>9AM-11AM</v>
      </c>
      <c r="J701" s="93">
        <f>IFERROR(__xludf.DUMMYFUNCTION("""COMPUTED_VALUE"""),2.0)</f>
        <v>2</v>
      </c>
      <c r="K701" s="93" t="str">
        <f>IFERROR(__xludf.DUMMYFUNCTION("""COMPUTED_VALUE"""),"Complete")</f>
        <v>Complete</v>
      </c>
      <c r="L701" s="93"/>
      <c r="M701" s="94">
        <f>IFERROR(__xludf.DUMMYFUNCTION("""COMPUTED_VALUE"""),46145.1171875)</f>
        <v>46145.11719</v>
      </c>
      <c r="N701" s="93">
        <f>IFERROR(__xludf.DUMMYFUNCTION("""COMPUTED_VALUE"""),12.0)</f>
        <v>12</v>
      </c>
      <c r="O701" s="93"/>
      <c r="P701" s="93" t="str">
        <f>IFERROR(__xludf.DUMMYFUNCTION("""COMPUTED_VALUE"""),"Kit Delivery")</f>
        <v>Kit Delivery</v>
      </c>
      <c r="Q701" s="93"/>
      <c r="R701" s="93"/>
      <c r="S701" s="93" t="str">
        <f>IFERROR(__xludf.DUMMYFUNCTION("""COMPUTED_VALUE"""),"Dispatch_Images/KIT--17705.Photos.074841.jpg")</f>
        <v>Dispatch_Images/KIT--17705.Photos.074841.jpg</v>
      </c>
      <c r="T701" s="95">
        <f>IFERROR(__xludf.DUMMYFUNCTION("""COMPUTED_VALUE"""),46145.122662037036)</f>
        <v>46145.12266</v>
      </c>
      <c r="U701" s="93"/>
      <c r="V701" s="93"/>
      <c r="W701" s="93"/>
      <c r="X701" s="93"/>
      <c r="Y701" s="93"/>
      <c r="Z701" s="93"/>
    </row>
    <row r="702">
      <c r="A702" s="93" t="str">
        <f>IFERROR(__xludf.DUMMYFUNCTION("""COMPUTED_VALUE"""),"KIT-#17313")</f>
        <v>KIT-#17313</v>
      </c>
      <c r="B702" s="94">
        <f>IFERROR(__xludf.DUMMYFUNCTION("""COMPUTED_VALUE"""),46149.0)</f>
        <v>46149</v>
      </c>
      <c r="C702" s="93" t="str">
        <f>IFERROR(__xludf.DUMMYFUNCTION("""COMPUTED_VALUE"""),"Kit Delivery")</f>
        <v>Kit Delivery</v>
      </c>
      <c r="D702" s="93">
        <f>IFERROR(__xludf.DUMMYFUNCTION("""COMPUTED_VALUE"""),2.0)</f>
        <v>2</v>
      </c>
      <c r="E702" s="93" t="str">
        <f>IFERROR(__xludf.DUMMYFUNCTION("""COMPUTED_VALUE"""),"Eliot A")</f>
        <v>Eliot A</v>
      </c>
      <c r="F702" s="93">
        <f>IFERROR(__xludf.DUMMYFUNCTION("""COMPUTED_VALUE"""),2061.0)</f>
        <v>2061</v>
      </c>
      <c r="G702" s="93" t="str">
        <f>IFERROR(__xludf.DUMMYFUNCTION("""COMPUTED_VALUE"""),"Sami Menon")</f>
        <v>Sami Menon</v>
      </c>
      <c r="H702" s="93">
        <f>IFERROR(__xludf.DUMMYFUNCTION("""COMPUTED_VALUE"""),8.177053126E9)</f>
        <v>8177053126</v>
      </c>
      <c r="I702" s="93" t="str">
        <f>IFERROR(__xludf.DUMMYFUNCTION("""COMPUTED_VALUE"""),"9AM-11AM")</f>
        <v>9AM-11AM</v>
      </c>
      <c r="J702" s="93">
        <f>IFERROR(__xludf.DUMMYFUNCTION("""COMPUTED_VALUE"""),1.0)</f>
        <v>1</v>
      </c>
      <c r="K702" s="93" t="str">
        <f>IFERROR(__xludf.DUMMYFUNCTION("""COMPUTED_VALUE"""),"Complete")</f>
        <v>Complete</v>
      </c>
      <c r="L702" s="93"/>
      <c r="M702" s="94">
        <f>IFERROR(__xludf.DUMMYFUNCTION("""COMPUTED_VALUE"""),46145.118483796294)</f>
        <v>46145.11848</v>
      </c>
      <c r="N702" s="93">
        <f>IFERROR(__xludf.DUMMYFUNCTION("""COMPUTED_VALUE"""),13.0)</f>
        <v>13</v>
      </c>
      <c r="O702" s="93"/>
      <c r="P702" s="93" t="str">
        <f>IFERROR(__xludf.DUMMYFUNCTION("""COMPUTED_VALUE"""),"Kit Delivery")</f>
        <v>Kit Delivery</v>
      </c>
      <c r="Q702" s="93"/>
      <c r="R702" s="93"/>
      <c r="S702" s="93" t="str">
        <f>IFERROR(__xludf.DUMMYFUNCTION("""COMPUTED_VALUE"""),"Dispatch_Images/KIT--17313.Photos.075034.jpg")</f>
        <v>Dispatch_Images/KIT--17313.Photos.075034.jpg</v>
      </c>
      <c r="T702" s="95">
        <f>IFERROR(__xludf.DUMMYFUNCTION("""COMPUTED_VALUE"""),46145.122662037036)</f>
        <v>46145.12266</v>
      </c>
      <c r="U702" s="93"/>
      <c r="V702" s="93"/>
      <c r="W702" s="93"/>
      <c r="X702" s="93"/>
      <c r="Y702" s="93"/>
      <c r="Z702" s="93"/>
    </row>
    <row r="703">
      <c r="A703" s="93" t="str">
        <f>IFERROR(__xludf.DUMMYFUNCTION("""COMPUTED_VALUE"""),"KIT-#17400")</f>
        <v>KIT-#17400</v>
      </c>
      <c r="B703" s="94">
        <f>IFERROR(__xludf.DUMMYFUNCTION("""COMPUTED_VALUE"""),46149.0)</f>
        <v>46149</v>
      </c>
      <c r="C703" s="93" t="str">
        <f>IFERROR(__xludf.DUMMYFUNCTION("""COMPUTED_VALUE"""),"Kit Delivery")</f>
        <v>Kit Delivery</v>
      </c>
      <c r="D703" s="93">
        <f>IFERROR(__xludf.DUMMYFUNCTION("""COMPUTED_VALUE"""),2.0)</f>
        <v>2</v>
      </c>
      <c r="E703" s="93" t="str">
        <f>IFERROR(__xludf.DUMMYFUNCTION("""COMPUTED_VALUE"""),"Eliot A")</f>
        <v>Eliot A</v>
      </c>
      <c r="F703" s="93">
        <f>IFERROR(__xludf.DUMMYFUNCTION("""COMPUTED_VALUE"""),2063.0)</f>
        <v>2063</v>
      </c>
      <c r="G703" s="93" t="str">
        <f>IFERROR(__xludf.DUMMYFUNCTION("""COMPUTED_VALUE"""),"Annabella Miki")</f>
        <v>Annabella Miki</v>
      </c>
      <c r="H703" s="93">
        <f>IFERROR(__xludf.DUMMYFUNCTION("""COMPUTED_VALUE"""),3.054394279E9)</f>
        <v>3054394279</v>
      </c>
      <c r="I703" s="93" t="str">
        <f>IFERROR(__xludf.DUMMYFUNCTION("""COMPUTED_VALUE"""),"10AM-12PM")</f>
        <v>10AM-12PM</v>
      </c>
      <c r="J703" s="93">
        <f>IFERROR(__xludf.DUMMYFUNCTION("""COMPUTED_VALUE"""),2.0)</f>
        <v>2</v>
      </c>
      <c r="K703" s="93" t="str">
        <f>IFERROR(__xludf.DUMMYFUNCTION("""COMPUTED_VALUE"""),"Complete")</f>
        <v>Complete</v>
      </c>
      <c r="L703" s="93"/>
      <c r="M703" s="94">
        <f>IFERROR(__xludf.DUMMYFUNCTION("""COMPUTED_VALUE"""),46145.11859953703)</f>
        <v>46145.1186</v>
      </c>
      <c r="N703" s="93">
        <f>IFERROR(__xludf.DUMMYFUNCTION("""COMPUTED_VALUE"""),14.0)</f>
        <v>14</v>
      </c>
      <c r="O703" s="93"/>
      <c r="P703" s="93" t="str">
        <f>IFERROR(__xludf.DUMMYFUNCTION("""COMPUTED_VALUE"""),"Kit Delivery")</f>
        <v>Kit Delivery</v>
      </c>
      <c r="Q703" s="93"/>
      <c r="R703" s="93"/>
      <c r="S703" s="93" t="str">
        <f>IFERROR(__xludf.DUMMYFUNCTION("""COMPUTED_VALUE"""),"Dispatch_Images/KIT--17400.Photos.075042.jpg")</f>
        <v>Dispatch_Images/KIT--17400.Photos.075042.jpg</v>
      </c>
      <c r="T703" s="95">
        <f>IFERROR(__xludf.DUMMYFUNCTION("""COMPUTED_VALUE"""),46145.122662037036)</f>
        <v>46145.12266</v>
      </c>
      <c r="U703" s="93"/>
      <c r="V703" s="93"/>
      <c r="W703" s="93"/>
      <c r="X703" s="93"/>
      <c r="Y703" s="93"/>
      <c r="Z703" s="93"/>
    </row>
    <row r="704">
      <c r="A704" s="93" t="str">
        <f>IFERROR(__xludf.DUMMYFUNCTION("""COMPUTED_VALUE"""),"KIT-#17625")</f>
        <v>KIT-#17625</v>
      </c>
      <c r="B704" s="94">
        <f>IFERROR(__xludf.DUMMYFUNCTION("""COMPUTED_VALUE"""),46149.0)</f>
        <v>46149</v>
      </c>
      <c r="C704" s="93" t="str">
        <f>IFERROR(__xludf.DUMMYFUNCTION("""COMPUTED_VALUE"""),"Kit Delivery")</f>
        <v>Kit Delivery</v>
      </c>
      <c r="D704" s="93">
        <f>IFERROR(__xludf.DUMMYFUNCTION("""COMPUTED_VALUE"""),2.0)</f>
        <v>2</v>
      </c>
      <c r="E704" s="93" t="str">
        <f>IFERROR(__xludf.DUMMYFUNCTION("""COMPUTED_VALUE"""),"Eliot A")</f>
        <v>Eliot A</v>
      </c>
      <c r="F704" s="93">
        <f>IFERROR(__xludf.DUMMYFUNCTION("""COMPUTED_VALUE"""),2072.0)</f>
        <v>2072</v>
      </c>
      <c r="G704" s="93" t="str">
        <f>IFERROR(__xludf.DUMMYFUNCTION("""COMPUTED_VALUE"""),"Brian Chang")</f>
        <v>Brian Chang</v>
      </c>
      <c r="H704" s="93">
        <f>IFERROR(__xludf.DUMMYFUNCTION("""COMPUTED_VALUE"""),3.14598943E9)</f>
        <v>3145989430</v>
      </c>
      <c r="I704" s="93" t="str">
        <f>IFERROR(__xludf.DUMMYFUNCTION("""COMPUTED_VALUE"""),"1PM-3PM")</f>
        <v>1PM-3PM</v>
      </c>
      <c r="J704" s="93">
        <f>IFERROR(__xludf.DUMMYFUNCTION("""COMPUTED_VALUE"""),1.0)</f>
        <v>1</v>
      </c>
      <c r="K704" s="93" t="str">
        <f>IFERROR(__xludf.DUMMYFUNCTION("""COMPUTED_VALUE"""),"Complete")</f>
        <v>Complete</v>
      </c>
      <c r="L704" s="93"/>
      <c r="M704" s="94">
        <f>IFERROR(__xludf.DUMMYFUNCTION("""COMPUTED_VALUE"""),46145.11895833333)</f>
        <v>46145.11896</v>
      </c>
      <c r="N704" s="93">
        <f>IFERROR(__xludf.DUMMYFUNCTION("""COMPUTED_VALUE"""),15.0)</f>
        <v>15</v>
      </c>
      <c r="O704" s="93"/>
      <c r="P704" s="93" t="str">
        <f>IFERROR(__xludf.DUMMYFUNCTION("""COMPUTED_VALUE"""),"Kit Delivery")</f>
        <v>Kit Delivery</v>
      </c>
      <c r="Q704" s="93"/>
      <c r="R704" s="93"/>
      <c r="S704" s="93" t="str">
        <f>IFERROR(__xludf.DUMMYFUNCTION("""COMPUTED_VALUE"""),"Dispatch_Images/KIT--17625.Photos.075114.jpg")</f>
        <v>Dispatch_Images/KIT--17625.Photos.075114.jpg</v>
      </c>
      <c r="T704" s="95">
        <f>IFERROR(__xludf.DUMMYFUNCTION("""COMPUTED_VALUE"""),46145.122662037036)</f>
        <v>46145.12266</v>
      </c>
      <c r="U704" s="93"/>
      <c r="V704" s="93"/>
      <c r="W704" s="93"/>
      <c r="X704" s="93"/>
      <c r="Y704" s="93"/>
      <c r="Z704" s="93"/>
    </row>
    <row r="705">
      <c r="A705" s="93" t="str">
        <f>IFERROR(__xludf.DUMMYFUNCTION("""COMPUTED_VALUE"""),"KIT-#17681")</f>
        <v>KIT-#17681</v>
      </c>
      <c r="B705" s="94">
        <f>IFERROR(__xludf.DUMMYFUNCTION("""COMPUTED_VALUE"""),46149.0)</f>
        <v>46149</v>
      </c>
      <c r="C705" s="93" t="str">
        <f>IFERROR(__xludf.DUMMYFUNCTION("""COMPUTED_VALUE"""),"Kit Delivery")</f>
        <v>Kit Delivery</v>
      </c>
      <c r="D705" s="93">
        <f>IFERROR(__xludf.DUMMYFUNCTION("""COMPUTED_VALUE"""),2.0)</f>
        <v>2</v>
      </c>
      <c r="E705" s="93" t="str">
        <f>IFERROR(__xludf.DUMMYFUNCTION("""COMPUTED_VALUE"""),"Eliot A")</f>
        <v>Eliot A</v>
      </c>
      <c r="F705" s="93" t="str">
        <f>IFERROR(__xludf.DUMMYFUNCTION("""COMPUTED_VALUE"""),"1032A")</f>
        <v>1032A</v>
      </c>
      <c r="G705" s="93" t="str">
        <f>IFERROR(__xludf.DUMMYFUNCTION("""COMPUTED_VALUE"""),"Ethan Y. Wu")</f>
        <v>Ethan Y. Wu</v>
      </c>
      <c r="H705" s="93">
        <f>IFERROR(__xludf.DUMMYFUNCTION("""COMPUTED_VALUE"""),9.14329242E9)</f>
        <v>9143292420</v>
      </c>
      <c r="I705" s="93" t="str">
        <f>IFERROR(__xludf.DUMMYFUNCTION("""COMPUTED_VALUE"""),"9AM-11AM")</f>
        <v>9AM-11AM</v>
      </c>
      <c r="J705" s="93">
        <f>IFERROR(__xludf.DUMMYFUNCTION("""COMPUTED_VALUE"""),1.0)</f>
        <v>1</v>
      </c>
      <c r="K705" s="93" t="str">
        <f>IFERROR(__xludf.DUMMYFUNCTION("""COMPUTED_VALUE"""),"Complete")</f>
        <v>Complete</v>
      </c>
      <c r="L705" s="93"/>
      <c r="M705" s="94">
        <f>IFERROR(__xludf.DUMMYFUNCTION("""COMPUTED_VALUE"""),46145.12111111111)</f>
        <v>46145.12111</v>
      </c>
      <c r="N705" s="93">
        <f>IFERROR(__xludf.DUMMYFUNCTION("""COMPUTED_VALUE"""),10.0)</f>
        <v>10</v>
      </c>
      <c r="O705" s="93"/>
      <c r="P705" s="93" t="str">
        <f>IFERROR(__xludf.DUMMYFUNCTION("""COMPUTED_VALUE"""),"Kit Delivery")</f>
        <v>Kit Delivery</v>
      </c>
      <c r="Q705" s="93" t="str">
        <f>IFERROR(__xludf.DUMMYFUNCTION("""COMPUTED_VALUE"""),"Pick up date may need to be adjusted.")</f>
        <v>Pick up date may need to be adjusted.</v>
      </c>
      <c r="R705" s="93"/>
      <c r="S705" s="93" t="str">
        <f>IFERROR(__xludf.DUMMYFUNCTION("""COMPUTED_VALUE"""),"Dispatch_Images/KIT--17681.Photos.075420.jpg")</f>
        <v>Dispatch_Images/KIT--17681.Photos.075420.jpg</v>
      </c>
      <c r="T705" s="95">
        <f>IFERROR(__xludf.DUMMYFUNCTION("""COMPUTED_VALUE"""),46145.122662037036)</f>
        <v>46145.12266</v>
      </c>
      <c r="U705" s="93"/>
      <c r="V705" s="93"/>
      <c r="W705" s="93"/>
      <c r="X705" s="93"/>
      <c r="Y705" s="93"/>
      <c r="Z705" s="93"/>
    </row>
    <row r="706">
      <c r="A706" s="93" t="str">
        <f>IFERROR(__xludf.DUMMYFUNCTION("""COMPUTED_VALUE"""),"KIT-#17268")</f>
        <v>KIT-#17268</v>
      </c>
      <c r="B706" s="94">
        <f>IFERROR(__xludf.DUMMYFUNCTION("""COMPUTED_VALUE"""),46149.0)</f>
        <v>46149</v>
      </c>
      <c r="C706" s="93" t="str">
        <f>IFERROR(__xludf.DUMMYFUNCTION("""COMPUTED_VALUE"""),"Kit Delivery")</f>
        <v>Kit Delivery</v>
      </c>
      <c r="D706" s="93">
        <f>IFERROR(__xludf.DUMMYFUNCTION("""COMPUTED_VALUE"""),2.0)</f>
        <v>2</v>
      </c>
      <c r="E706" s="93" t="str">
        <f>IFERROR(__xludf.DUMMYFUNCTION("""COMPUTED_VALUE"""),"Eliot A")</f>
        <v>Eliot A</v>
      </c>
      <c r="F706" s="93">
        <f>IFERROR(__xludf.DUMMYFUNCTION("""COMPUTED_VALUE"""),304.0)</f>
        <v>304</v>
      </c>
      <c r="G706" s="93" t="str">
        <f>IFERROR(__xludf.DUMMYFUNCTION("""COMPUTED_VALUE"""),"Theodore Santos")</f>
        <v>Theodore Santos</v>
      </c>
      <c r="H706" s="93">
        <f>IFERROR(__xludf.DUMMYFUNCTION("""COMPUTED_VALUE"""),2.094852901E9)</f>
        <v>2094852901</v>
      </c>
      <c r="I706" s="93" t="str">
        <f>IFERROR(__xludf.DUMMYFUNCTION("""COMPUTED_VALUE"""),"9AM-11AM")</f>
        <v>9AM-11AM</v>
      </c>
      <c r="J706" s="93">
        <f>IFERROR(__xludf.DUMMYFUNCTION("""COMPUTED_VALUE"""),2.0)</f>
        <v>2</v>
      </c>
      <c r="K706" s="93" t="str">
        <f>IFERROR(__xludf.DUMMYFUNCTION("""COMPUTED_VALUE"""),"Complete")</f>
        <v>Complete</v>
      </c>
      <c r="L706" s="93"/>
      <c r="M706" s="94">
        <f>IFERROR(__xludf.DUMMYFUNCTION("""COMPUTED_VALUE"""),46145.126076388886)</f>
        <v>46145.12608</v>
      </c>
      <c r="N706" s="93">
        <f>IFERROR(__xludf.DUMMYFUNCTION("""COMPUTED_VALUE"""),9.0)</f>
        <v>9</v>
      </c>
      <c r="O706" s="93"/>
      <c r="P706" s="93" t="str">
        <f>IFERROR(__xludf.DUMMYFUNCTION("""COMPUTED_VALUE"""),"Kit Delivery")</f>
        <v>Kit Delivery</v>
      </c>
      <c r="Q706" s="93"/>
      <c r="R706" s="93"/>
      <c r="S706" s="93" t="str">
        <f>IFERROR(__xludf.DUMMYFUNCTION("""COMPUTED_VALUE"""),"Dispatch_Images/KIT--17268.Photos.080129.jpg")</f>
        <v>Dispatch_Images/KIT--17268.Photos.080129.jpg</v>
      </c>
      <c r="T706" s="95">
        <f>IFERROR(__xludf.DUMMYFUNCTION("""COMPUTED_VALUE"""),46145.129594907405)</f>
        <v>46145.12959</v>
      </c>
      <c r="U706" s="93"/>
      <c r="V706" s="93"/>
      <c r="W706" s="93"/>
      <c r="X706" s="93"/>
      <c r="Y706" s="93"/>
      <c r="Z706" s="93"/>
    </row>
    <row r="707">
      <c r="A707" s="93" t="str">
        <f>IFERROR(__xludf.DUMMYFUNCTION("""COMPUTED_VALUE"""),"KIT-#17348")</f>
        <v>KIT-#17348</v>
      </c>
      <c r="B707" s="94">
        <f>IFERROR(__xludf.DUMMYFUNCTION("""COMPUTED_VALUE"""),46149.0)</f>
        <v>46149</v>
      </c>
      <c r="C707" s="93" t="str">
        <f>IFERROR(__xludf.DUMMYFUNCTION("""COMPUTED_VALUE"""),"Kit Delivery")</f>
        <v>Kit Delivery</v>
      </c>
      <c r="D707" s="93">
        <f>IFERROR(__xludf.DUMMYFUNCTION("""COMPUTED_VALUE"""),2.0)</f>
        <v>2</v>
      </c>
      <c r="E707" s="93" t="str">
        <f>IFERROR(__xludf.DUMMYFUNCTION("""COMPUTED_VALUE"""),"Eliot A")</f>
        <v>Eliot A</v>
      </c>
      <c r="F707" s="93" t="str">
        <f>IFERROR(__xludf.DUMMYFUNCTION("""COMPUTED_VALUE"""),"0203 - a")</f>
        <v>0203 - a</v>
      </c>
      <c r="G707" s="93" t="str">
        <f>IFERROR(__xludf.DUMMYFUNCTION("""COMPUTED_VALUE"""),"Gabriella Garcia")</f>
        <v>Gabriella Garcia</v>
      </c>
      <c r="H707" s="93">
        <f>IFERROR(__xludf.DUMMYFUNCTION("""COMPUTED_VALUE"""),5.054010255E9)</f>
        <v>5054010255</v>
      </c>
      <c r="I707" s="93" t="str">
        <f>IFERROR(__xludf.DUMMYFUNCTION("""COMPUTED_VALUE"""),"9AM-11AM")</f>
        <v>9AM-11AM</v>
      </c>
      <c r="J707" s="93">
        <f>IFERROR(__xludf.DUMMYFUNCTION("""COMPUTED_VALUE"""),1.0)</f>
        <v>1</v>
      </c>
      <c r="K707" s="93" t="str">
        <f>IFERROR(__xludf.DUMMYFUNCTION("""COMPUTED_VALUE"""),"Complete")</f>
        <v>Complete</v>
      </c>
      <c r="L707" s="93"/>
      <c r="M707" s="94">
        <f>IFERROR(__xludf.DUMMYFUNCTION("""COMPUTED_VALUE"""),46145.12658564815)</f>
        <v>46145.12659</v>
      </c>
      <c r="N707" s="93">
        <f>IFERROR(__xludf.DUMMYFUNCTION("""COMPUTED_VALUE"""),8.0)</f>
        <v>8</v>
      </c>
      <c r="O707" s="93"/>
      <c r="P707" s="93" t="str">
        <f>IFERROR(__xludf.DUMMYFUNCTION("""COMPUTED_VALUE"""),"Kit Delivery")</f>
        <v>Kit Delivery</v>
      </c>
      <c r="Q707" s="93"/>
      <c r="R707" s="93"/>
      <c r="S707" s="93" t="str">
        <f>IFERROR(__xludf.DUMMYFUNCTION("""COMPUTED_VALUE"""),"Dispatch_Images/KIT--17348.Photos.080214.jpg")</f>
        <v>Dispatch_Images/KIT--17348.Photos.080214.jpg</v>
      </c>
      <c r="T707" s="95">
        <f>IFERROR(__xludf.DUMMYFUNCTION("""COMPUTED_VALUE"""),46145.129594907405)</f>
        <v>46145.12959</v>
      </c>
      <c r="U707" s="93"/>
      <c r="V707" s="93"/>
      <c r="W707" s="93"/>
      <c r="X707" s="93"/>
      <c r="Y707" s="93"/>
      <c r="Z707" s="93"/>
    </row>
    <row r="708">
      <c r="A708" s="93" t="str">
        <f>IFERROR(__xludf.DUMMYFUNCTION("""COMPUTED_VALUE"""),"KIT-#17428")</f>
        <v>KIT-#17428</v>
      </c>
      <c r="B708" s="94">
        <f>IFERROR(__xludf.DUMMYFUNCTION("""COMPUTED_VALUE"""),46149.0)</f>
        <v>46149</v>
      </c>
      <c r="C708" s="93" t="str">
        <f>IFERROR(__xludf.DUMMYFUNCTION("""COMPUTED_VALUE"""),"Kit Delivery")</f>
        <v>Kit Delivery</v>
      </c>
      <c r="D708" s="93">
        <f>IFERROR(__xludf.DUMMYFUNCTION("""COMPUTED_VALUE"""),2.0)</f>
        <v>2</v>
      </c>
      <c r="E708" s="93" t="str">
        <f>IFERROR(__xludf.DUMMYFUNCTION("""COMPUTED_VALUE"""),"Eliot A")</f>
        <v>Eliot A</v>
      </c>
      <c r="F708" s="93">
        <f>IFERROR(__xludf.DUMMYFUNCTION("""COMPUTED_VALUE"""),201.0)</f>
        <v>201</v>
      </c>
      <c r="G708" s="93" t="str">
        <f>IFERROR(__xludf.DUMMYFUNCTION("""COMPUTED_VALUE"""),"Jenna Stobaugh")</f>
        <v>Jenna Stobaugh</v>
      </c>
      <c r="H708" s="93">
        <f>IFERROR(__xludf.DUMMYFUNCTION("""COMPUTED_VALUE"""),8.124490494E9)</f>
        <v>8124490494</v>
      </c>
      <c r="I708" s="93" t="str">
        <f>IFERROR(__xludf.DUMMYFUNCTION("""COMPUTED_VALUE"""),"12PM-2PM")</f>
        <v>12PM-2PM</v>
      </c>
      <c r="J708" s="93">
        <f>IFERROR(__xludf.DUMMYFUNCTION("""COMPUTED_VALUE"""),1.0)</f>
        <v>1</v>
      </c>
      <c r="K708" s="93" t="str">
        <f>IFERROR(__xludf.DUMMYFUNCTION("""COMPUTED_VALUE"""),"Complete")</f>
        <v>Complete</v>
      </c>
      <c r="L708" s="93"/>
      <c r="M708" s="94">
        <f>IFERROR(__xludf.DUMMYFUNCTION("""COMPUTED_VALUE"""),46145.12666666666)</f>
        <v>46145.12667</v>
      </c>
      <c r="N708" s="93">
        <f>IFERROR(__xludf.DUMMYFUNCTION("""COMPUTED_VALUE"""),7.0)</f>
        <v>7</v>
      </c>
      <c r="O708" s="93"/>
      <c r="P708" s="93" t="str">
        <f>IFERROR(__xludf.DUMMYFUNCTION("""COMPUTED_VALUE"""),"Kit Delivery")</f>
        <v>Kit Delivery</v>
      </c>
      <c r="Q708" s="93" t="str">
        <f>IFERROR(__xludf.DUMMYFUNCTION("""COMPUTED_VALUE"""),"In addition to the boxes, we also plan to store a 2-door mini refrigerator, an ottoman, and 2 plastic storage containers with drawers. Thank you")</f>
        <v>In addition to the boxes, we also plan to store a 2-door mini refrigerator, an ottoman, and 2 plastic storage containers with drawers. Thank you</v>
      </c>
      <c r="R708" s="93"/>
      <c r="S708" s="93" t="str">
        <f>IFERROR(__xludf.DUMMYFUNCTION("""COMPUTED_VALUE"""),"Dispatch_Images/KIT--17428.Photos.080221.jpg")</f>
        <v>Dispatch_Images/KIT--17428.Photos.080221.jpg</v>
      </c>
      <c r="T708" s="95">
        <f>IFERROR(__xludf.DUMMYFUNCTION("""COMPUTED_VALUE"""),46145.129594907405)</f>
        <v>46145.12959</v>
      </c>
      <c r="U708" s="93"/>
      <c r="V708" s="93"/>
      <c r="W708" s="93"/>
      <c r="X708" s="93"/>
      <c r="Y708" s="93"/>
      <c r="Z708" s="93"/>
    </row>
    <row r="709">
      <c r="A709" s="93" t="str">
        <f>IFERROR(__xludf.DUMMYFUNCTION("""COMPUTED_VALUE"""),"KIT-#18146")</f>
        <v>KIT-#18146</v>
      </c>
      <c r="B709" s="94">
        <f>IFERROR(__xludf.DUMMYFUNCTION("""COMPUTED_VALUE"""),46149.0)</f>
        <v>46149</v>
      </c>
      <c r="C709" s="93" t="str">
        <f>IFERROR(__xludf.DUMMYFUNCTION("""COMPUTED_VALUE"""),"Kit Delivery")</f>
        <v>Kit Delivery</v>
      </c>
      <c r="D709" s="93">
        <f>IFERROR(__xludf.DUMMYFUNCTION("""COMPUTED_VALUE"""),2.0)</f>
        <v>2</v>
      </c>
      <c r="E709" s="93" t="str">
        <f>IFERROR(__xludf.DUMMYFUNCTION("""COMPUTED_VALUE"""),"Eliot B")</f>
        <v>Eliot B</v>
      </c>
      <c r="F709" s="93">
        <f>IFERROR(__xludf.DUMMYFUNCTION("""COMPUTED_VALUE"""),2023.0)</f>
        <v>2023</v>
      </c>
      <c r="G709" s="93" t="str">
        <f>IFERROR(__xludf.DUMMYFUNCTION("""COMPUTED_VALUE"""),"Cristian")</f>
        <v>Cristian</v>
      </c>
      <c r="H709" s="93">
        <f>IFERROR(__xludf.DUMMYFUNCTION("""COMPUTED_VALUE"""),9.089777736E9)</f>
        <v>9089777736</v>
      </c>
      <c r="I709" s="93" t="str">
        <f>IFERROR(__xludf.DUMMYFUNCTION("""COMPUTED_VALUE"""),"11AM-1PM")</f>
        <v>11AM-1PM</v>
      </c>
      <c r="J709" s="93">
        <f>IFERROR(__xludf.DUMMYFUNCTION("""COMPUTED_VALUE"""),1.0)</f>
        <v>1</v>
      </c>
      <c r="K709" s="93" t="str">
        <f>IFERROR(__xludf.DUMMYFUNCTION("""COMPUTED_VALUE"""),"Complete")</f>
        <v>Complete</v>
      </c>
      <c r="L709" s="93"/>
      <c r="M709" s="94">
        <f>IFERROR(__xludf.DUMMYFUNCTION("""COMPUTED_VALUE"""),46145.134629629625)</f>
        <v>46145.13463</v>
      </c>
      <c r="N709" s="93">
        <f>IFERROR(__xludf.DUMMYFUNCTION("""COMPUTED_VALUE"""),21.0)</f>
        <v>21</v>
      </c>
      <c r="O709" s="93"/>
      <c r="P709" s="93" t="str">
        <f>IFERROR(__xludf.DUMMYFUNCTION("""COMPUTED_VALUE"""),"Kit Delivery")</f>
        <v>Kit Delivery</v>
      </c>
      <c r="Q709" s="93"/>
      <c r="R709" s="93"/>
      <c r="S709" s="93" t="str">
        <f>IFERROR(__xludf.DUMMYFUNCTION("""COMPUTED_VALUE"""),"Dispatch_Images/KIT--18146.Photos.081347.jpg")</f>
        <v>Dispatch_Images/KIT--18146.Photos.081347.jpg</v>
      </c>
      <c r="T709" s="95">
        <f>IFERROR(__xludf.DUMMYFUNCTION("""COMPUTED_VALUE"""),46145.13658564815)</f>
        <v>46145.13659</v>
      </c>
      <c r="U709" s="93"/>
      <c r="V709" s="93"/>
      <c r="W709" s="93"/>
      <c r="X709" s="93"/>
      <c r="Y709" s="93"/>
      <c r="Z709" s="93"/>
    </row>
    <row r="710">
      <c r="A710" s="93" t="str">
        <f>IFERROR(__xludf.DUMMYFUNCTION("""COMPUTED_VALUE"""),"KIT-#17895")</f>
        <v>KIT-#17895</v>
      </c>
      <c r="B710" s="94">
        <f>IFERROR(__xludf.DUMMYFUNCTION("""COMPUTED_VALUE"""),46149.0)</f>
        <v>46149</v>
      </c>
      <c r="C710" s="93" t="str">
        <f>IFERROR(__xludf.DUMMYFUNCTION("""COMPUTED_VALUE"""),"Kit Delivery")</f>
        <v>Kit Delivery</v>
      </c>
      <c r="D710" s="93">
        <f>IFERROR(__xludf.DUMMYFUNCTION("""COMPUTED_VALUE"""),2.0)</f>
        <v>2</v>
      </c>
      <c r="E710" s="93" t="str">
        <f>IFERROR(__xludf.DUMMYFUNCTION("""COMPUTED_VALUE"""),"Eliot B")</f>
        <v>Eliot B</v>
      </c>
      <c r="F710" s="93">
        <f>IFERROR(__xludf.DUMMYFUNCTION("""COMPUTED_VALUE"""),2034.0)</f>
        <v>2034</v>
      </c>
      <c r="G710" s="93" t="str">
        <f>IFERROR(__xludf.DUMMYFUNCTION("""COMPUTED_VALUE"""),"Coleman Merce")</f>
        <v>Coleman Merce</v>
      </c>
      <c r="H710" s="93">
        <f>IFERROR(__xludf.DUMMYFUNCTION("""COMPUTED_VALUE"""),3.148104007E9)</f>
        <v>3148104007</v>
      </c>
      <c r="I710" s="93" t="str">
        <f>IFERROR(__xludf.DUMMYFUNCTION("""COMPUTED_VALUE"""),"9AM-11AM")</f>
        <v>9AM-11AM</v>
      </c>
      <c r="J710" s="93">
        <f>IFERROR(__xludf.DUMMYFUNCTION("""COMPUTED_VALUE"""),2.0)</f>
        <v>2</v>
      </c>
      <c r="K710" s="93" t="str">
        <f>IFERROR(__xludf.DUMMYFUNCTION("""COMPUTED_VALUE"""),"Complete")</f>
        <v>Complete</v>
      </c>
      <c r="L710" s="93"/>
      <c r="M710" s="94">
        <f>IFERROR(__xludf.DUMMYFUNCTION("""COMPUTED_VALUE"""),46145.13541666667)</f>
        <v>46145.13542</v>
      </c>
      <c r="N710" s="93">
        <f>IFERROR(__xludf.DUMMYFUNCTION("""COMPUTED_VALUE"""),22.0)</f>
        <v>22</v>
      </c>
      <c r="O710" s="93"/>
      <c r="P710" s="93" t="str">
        <f>IFERROR(__xludf.DUMMYFUNCTION("""COMPUTED_VALUE"""),"Kit Delivery")</f>
        <v>Kit Delivery</v>
      </c>
      <c r="Q710" s="93"/>
      <c r="R710" s="93"/>
      <c r="S710" s="93" t="str">
        <f>IFERROR(__xludf.DUMMYFUNCTION("""COMPUTED_VALUE"""),"Dispatch_Images/KIT--17895.Photos.081456.jpg")</f>
        <v>Dispatch_Images/KIT--17895.Photos.081456.jpg</v>
      </c>
      <c r="T710" s="95">
        <f>IFERROR(__xludf.DUMMYFUNCTION("""COMPUTED_VALUE"""),46145.13658564815)</f>
        <v>46145.13659</v>
      </c>
      <c r="U710" s="93"/>
      <c r="V710" s="93"/>
      <c r="W710" s="93"/>
      <c r="X710" s="93"/>
      <c r="Y710" s="93"/>
      <c r="Z710" s="93"/>
    </row>
    <row r="711">
      <c r="A711" s="93" t="str">
        <f>IFERROR(__xludf.DUMMYFUNCTION("""COMPUTED_VALUE"""),"KIT-#18119")</f>
        <v>KIT-#18119</v>
      </c>
      <c r="B711" s="94">
        <f>IFERROR(__xludf.DUMMYFUNCTION("""COMPUTED_VALUE"""),46149.0)</f>
        <v>46149</v>
      </c>
      <c r="C711" s="93" t="str">
        <f>IFERROR(__xludf.DUMMYFUNCTION("""COMPUTED_VALUE"""),"Kit Delivery")</f>
        <v>Kit Delivery</v>
      </c>
      <c r="D711" s="93">
        <f>IFERROR(__xludf.DUMMYFUNCTION("""COMPUTED_VALUE"""),2.0)</f>
        <v>2</v>
      </c>
      <c r="E711" s="93" t="str">
        <f>IFERROR(__xludf.DUMMYFUNCTION("""COMPUTED_VALUE"""),"Eliot B")</f>
        <v>Eliot B</v>
      </c>
      <c r="F711" s="93">
        <f>IFERROR(__xludf.DUMMYFUNCTION("""COMPUTED_VALUE"""),2060.0)</f>
        <v>2060</v>
      </c>
      <c r="G711" s="93" t="str">
        <f>IFERROR(__xludf.DUMMYFUNCTION("""COMPUTED_VALUE"""),"Irene Sok")</f>
        <v>Irene Sok</v>
      </c>
      <c r="H711" s="93">
        <f>IFERROR(__xludf.DUMMYFUNCTION("""COMPUTED_VALUE"""),9.494419087E9)</f>
        <v>9494419087</v>
      </c>
      <c r="I711" s="93" t="str">
        <f>IFERROR(__xludf.DUMMYFUNCTION("""COMPUTED_VALUE"""),"3PM-5PM")</f>
        <v>3PM-5PM</v>
      </c>
      <c r="J711" s="93">
        <f>IFERROR(__xludf.DUMMYFUNCTION("""COMPUTED_VALUE"""),2.0)</f>
        <v>2</v>
      </c>
      <c r="K711" s="93" t="str">
        <f>IFERROR(__xludf.DUMMYFUNCTION("""COMPUTED_VALUE"""),"Complete")</f>
        <v>Complete</v>
      </c>
      <c r="L711" s="93"/>
      <c r="M711" s="94">
        <f>IFERROR(__xludf.DUMMYFUNCTION("""COMPUTED_VALUE"""),46145.13616898148)</f>
        <v>46145.13617</v>
      </c>
      <c r="N711" s="93">
        <f>IFERROR(__xludf.DUMMYFUNCTION("""COMPUTED_VALUE"""),23.0)</f>
        <v>23</v>
      </c>
      <c r="O711" s="93"/>
      <c r="P711" s="93" t="str">
        <f>IFERROR(__xludf.DUMMYFUNCTION("""COMPUTED_VALUE"""),"Kit Delivery")</f>
        <v>Kit Delivery</v>
      </c>
      <c r="Q711" s="93"/>
      <c r="R711" s="93"/>
      <c r="S711" s="93" t="str">
        <f>IFERROR(__xludf.DUMMYFUNCTION("""COMPUTED_VALUE"""),"Dispatch_Images/KIT--18119.Photos.081601.jpg")</f>
        <v>Dispatch_Images/KIT--18119.Photos.081601.jpg</v>
      </c>
      <c r="T711" s="95">
        <f>IFERROR(__xludf.DUMMYFUNCTION("""COMPUTED_VALUE"""),46145.13658564815)</f>
        <v>46145.13659</v>
      </c>
      <c r="U711" s="93"/>
      <c r="V711" s="93"/>
      <c r="W711" s="93"/>
      <c r="X711" s="93"/>
      <c r="Y711" s="93"/>
      <c r="Z711" s="93"/>
    </row>
    <row r="712">
      <c r="A712" s="93" t="str">
        <f>IFERROR(__xludf.DUMMYFUNCTION("""COMPUTED_VALUE"""),"KIT-#18176")</f>
        <v>KIT-#18176</v>
      </c>
      <c r="B712" s="94">
        <f>IFERROR(__xludf.DUMMYFUNCTION("""COMPUTED_VALUE"""),46149.0)</f>
        <v>46149</v>
      </c>
      <c r="C712" s="93" t="str">
        <f>IFERROR(__xludf.DUMMYFUNCTION("""COMPUTED_VALUE"""),"Kit Delivery")</f>
        <v>Kit Delivery</v>
      </c>
      <c r="D712" s="93">
        <f>IFERROR(__xludf.DUMMYFUNCTION("""COMPUTED_VALUE"""),2.0)</f>
        <v>2</v>
      </c>
      <c r="E712" s="93" t="str">
        <f>IFERROR(__xludf.DUMMYFUNCTION("""COMPUTED_VALUE"""),"Eliot B")</f>
        <v>Eliot B</v>
      </c>
      <c r="F712" s="93">
        <f>IFERROR(__xludf.DUMMYFUNCTION("""COMPUTED_VALUE"""),3090.0)</f>
        <v>3090</v>
      </c>
      <c r="G712" s="93" t="str">
        <f>IFERROR(__xludf.DUMMYFUNCTION("""COMPUTED_VALUE"""),"Sam Shiller")</f>
        <v>Sam Shiller</v>
      </c>
      <c r="H712" s="93">
        <f>IFERROR(__xludf.DUMMYFUNCTION("""COMPUTED_VALUE"""),5.054635464E9)</f>
        <v>5054635464</v>
      </c>
      <c r="I712" s="93" t="str">
        <f>IFERROR(__xludf.DUMMYFUNCTION("""COMPUTED_VALUE"""),"3PM-5PM")</f>
        <v>3PM-5PM</v>
      </c>
      <c r="J712" s="93">
        <f>IFERROR(__xludf.DUMMYFUNCTION("""COMPUTED_VALUE"""),1.0)</f>
        <v>1</v>
      </c>
      <c r="K712" s="93" t="str">
        <f>IFERROR(__xludf.DUMMYFUNCTION("""COMPUTED_VALUE"""),"Complete")</f>
        <v>Complete</v>
      </c>
      <c r="L712" s="93"/>
      <c r="M712" s="94">
        <f>IFERROR(__xludf.DUMMYFUNCTION("""COMPUTED_VALUE"""),46145.138287037036)</f>
        <v>46145.13829</v>
      </c>
      <c r="N712" s="93">
        <f>IFERROR(__xludf.DUMMYFUNCTION("""COMPUTED_VALUE"""),25.0)</f>
        <v>25</v>
      </c>
      <c r="O712" s="93"/>
      <c r="P712" s="93" t="str">
        <f>IFERROR(__xludf.DUMMYFUNCTION("""COMPUTED_VALUE"""),"Kit Delivery")</f>
        <v>Kit Delivery</v>
      </c>
      <c r="Q712" s="93"/>
      <c r="R712" s="93"/>
      <c r="S712" s="93" t="str">
        <f>IFERROR(__xludf.DUMMYFUNCTION("""COMPUTED_VALUE"""),"Dispatch_Images/KIT--18176.Photos.081904.jpg")</f>
        <v>Dispatch_Images/KIT--18176.Photos.081904.jpg</v>
      </c>
      <c r="T712" s="95">
        <f>IFERROR(__xludf.DUMMYFUNCTION("""COMPUTED_VALUE"""),46145.14350694444)</f>
        <v>46145.14351</v>
      </c>
      <c r="U712" s="93"/>
      <c r="V712" s="93"/>
      <c r="W712" s="93"/>
      <c r="X712" s="93"/>
      <c r="Y712" s="93"/>
      <c r="Z712" s="93"/>
    </row>
    <row r="713">
      <c r="A713" s="93" t="str">
        <f>IFERROR(__xludf.DUMMYFUNCTION("""COMPUTED_VALUE"""),"KIT-#18024")</f>
        <v>KIT-#18024</v>
      </c>
      <c r="B713" s="94">
        <f>IFERROR(__xludf.DUMMYFUNCTION("""COMPUTED_VALUE"""),46149.0)</f>
        <v>46149</v>
      </c>
      <c r="C713" s="93" t="str">
        <f>IFERROR(__xludf.DUMMYFUNCTION("""COMPUTED_VALUE"""),"Kit Delivery")</f>
        <v>Kit Delivery</v>
      </c>
      <c r="D713" s="93">
        <f>IFERROR(__xludf.DUMMYFUNCTION("""COMPUTED_VALUE"""),2.0)</f>
        <v>2</v>
      </c>
      <c r="E713" s="93" t="str">
        <f>IFERROR(__xludf.DUMMYFUNCTION("""COMPUTED_VALUE"""),"Eliot B")</f>
        <v>Eliot B</v>
      </c>
      <c r="F713" s="93">
        <f>IFERROR(__xludf.DUMMYFUNCTION("""COMPUTED_VALUE"""),4070.0)</f>
        <v>4070</v>
      </c>
      <c r="G713" s="93" t="str">
        <f>IFERROR(__xludf.DUMMYFUNCTION("""COMPUTED_VALUE"""),"Aadi Tyagi")</f>
        <v>Aadi Tyagi</v>
      </c>
      <c r="H713" s="93">
        <f>IFERROR(__xludf.DUMMYFUNCTION("""COMPUTED_VALUE"""),4.085156677E9)</f>
        <v>4085156677</v>
      </c>
      <c r="I713" s="93" t="str">
        <f>IFERROR(__xludf.DUMMYFUNCTION("""COMPUTED_VALUE"""),"9AM-11AM")</f>
        <v>9AM-11AM</v>
      </c>
      <c r="J713" s="93">
        <f>IFERROR(__xludf.DUMMYFUNCTION("""COMPUTED_VALUE"""),1.0)</f>
        <v>1</v>
      </c>
      <c r="K713" s="93" t="str">
        <f>IFERROR(__xludf.DUMMYFUNCTION("""COMPUTED_VALUE"""),"Complete")</f>
        <v>Complete</v>
      </c>
      <c r="L713" s="93"/>
      <c r="M713" s="94">
        <f>IFERROR(__xludf.DUMMYFUNCTION("""COMPUTED_VALUE"""),46145.140752314815)</f>
        <v>46145.14075</v>
      </c>
      <c r="N713" s="93">
        <f>IFERROR(__xludf.DUMMYFUNCTION("""COMPUTED_VALUE"""),27.0)</f>
        <v>27</v>
      </c>
      <c r="O713" s="93"/>
      <c r="P713" s="93" t="str">
        <f>IFERROR(__xludf.DUMMYFUNCTION("""COMPUTED_VALUE"""),"Kit Delivery")</f>
        <v>Kit Delivery</v>
      </c>
      <c r="Q713" s="93" t="str">
        <f>IFERROR(__xludf.DUMMYFUNCTION("""COMPUTED_VALUE"""),"I have two box for storage.")</f>
        <v>I have two box for storage.</v>
      </c>
      <c r="R713" s="93"/>
      <c r="S713" s="93" t="str">
        <f>IFERROR(__xludf.DUMMYFUNCTION("""COMPUTED_VALUE"""),"Dispatch_Images/KIT--18024.Photos.082238.jpg")</f>
        <v>Dispatch_Images/KIT--18024.Photos.082238.jpg</v>
      </c>
      <c r="T713" s="95">
        <f>IFERROR(__xludf.DUMMYFUNCTION("""COMPUTED_VALUE"""),46145.14350694444)</f>
        <v>46145.14351</v>
      </c>
      <c r="U713" s="93"/>
      <c r="V713" s="93"/>
      <c r="W713" s="93"/>
      <c r="X713" s="93"/>
      <c r="Y713" s="93"/>
      <c r="Z713" s="93"/>
    </row>
    <row r="714">
      <c r="A714" s="93" t="str">
        <f>IFERROR(__xludf.DUMMYFUNCTION("""COMPUTED_VALUE"""),"KIT-#17774")</f>
        <v>KIT-#17774</v>
      </c>
      <c r="B714" s="94">
        <f>IFERROR(__xludf.DUMMYFUNCTION("""COMPUTED_VALUE"""),46149.0)</f>
        <v>46149</v>
      </c>
      <c r="C714" s="93" t="str">
        <f>IFERROR(__xludf.DUMMYFUNCTION("""COMPUTED_VALUE"""),"Kit Delivery")</f>
        <v>Kit Delivery</v>
      </c>
      <c r="D714" s="93">
        <f>IFERROR(__xludf.DUMMYFUNCTION("""COMPUTED_VALUE"""),2.0)</f>
        <v>2</v>
      </c>
      <c r="E714" s="93" t="str">
        <f>IFERROR(__xludf.DUMMYFUNCTION("""COMPUTED_VALUE"""),"Umrath")</f>
        <v>Umrath</v>
      </c>
      <c r="F714" s="93">
        <f>IFERROR(__xludf.DUMMYFUNCTION("""COMPUTED_VALUE"""),3309.0)</f>
        <v>3309</v>
      </c>
      <c r="G714" s="93" t="str">
        <f>IFERROR(__xludf.DUMMYFUNCTION("""COMPUTED_VALUE"""),"Camila Winfrey")</f>
        <v>Camila Winfrey</v>
      </c>
      <c r="H714" s="93">
        <f>IFERROR(__xludf.DUMMYFUNCTION("""COMPUTED_VALUE"""),8.134516644E9)</f>
        <v>8134516644</v>
      </c>
      <c r="I714" s="93" t="str">
        <f>IFERROR(__xludf.DUMMYFUNCTION("""COMPUTED_VALUE"""),"2PM-4PM")</f>
        <v>2PM-4PM</v>
      </c>
      <c r="J714" s="93">
        <f>IFERROR(__xludf.DUMMYFUNCTION("""COMPUTED_VALUE"""),1.0)</f>
        <v>1</v>
      </c>
      <c r="K714" s="93" t="str">
        <f>IFERROR(__xludf.DUMMYFUNCTION("""COMPUTED_VALUE"""),"Complete")</f>
        <v>Complete</v>
      </c>
      <c r="L714" s="93"/>
      <c r="M714" s="94">
        <f>IFERROR(__xludf.DUMMYFUNCTION("""COMPUTED_VALUE"""),46145.150868055556)</f>
        <v>46145.15087</v>
      </c>
      <c r="N714" s="93">
        <f>IFERROR(__xludf.DUMMYFUNCTION("""COMPUTED_VALUE"""),66.0)</f>
        <v>66</v>
      </c>
      <c r="O714" s="93"/>
      <c r="P714" s="93" t="str">
        <f>IFERROR(__xludf.DUMMYFUNCTION("""COMPUTED_VALUE"""),"Kit Delivery")</f>
        <v>Kit Delivery</v>
      </c>
      <c r="Q714" s="93"/>
      <c r="R714" s="93"/>
      <c r="S714" s="93" t="str">
        <f>IFERROR(__xludf.DUMMYFUNCTION("""COMPUTED_VALUE"""),"Dispatch_Images/KIT--17774.Photos.083711.jpg")</f>
        <v>Dispatch_Images/KIT--17774.Photos.083711.jpg</v>
      </c>
      <c r="T714" s="95">
        <f>IFERROR(__xludf.DUMMYFUNCTION("""COMPUTED_VALUE"""),46145.15738425926)</f>
        <v>46145.15738</v>
      </c>
      <c r="U714" s="93"/>
      <c r="V714" s="93"/>
      <c r="W714" s="93"/>
      <c r="X714" s="93"/>
      <c r="Y714" s="93"/>
      <c r="Z714" s="93"/>
    </row>
    <row r="715">
      <c r="A715" s="93" t="str">
        <f>IFERROR(__xludf.DUMMYFUNCTION("""COMPUTED_VALUE"""),"KIT-#18168")</f>
        <v>KIT-#18168</v>
      </c>
      <c r="B715" s="94">
        <f>IFERROR(__xludf.DUMMYFUNCTION("""COMPUTED_VALUE"""),46149.0)</f>
        <v>46149</v>
      </c>
      <c r="C715" s="93" t="str">
        <f>IFERROR(__xludf.DUMMYFUNCTION("""COMPUTED_VALUE"""),"Kit Delivery")</f>
        <v>Kit Delivery</v>
      </c>
      <c r="D715" s="93">
        <f>IFERROR(__xludf.DUMMYFUNCTION("""COMPUTED_VALUE"""),2.0)</f>
        <v>2</v>
      </c>
      <c r="E715" s="93" t="str">
        <f>IFERROR(__xludf.DUMMYFUNCTION("""COMPUTED_VALUE"""),"Umrath")</f>
        <v>Umrath</v>
      </c>
      <c r="F715" s="93">
        <f>IFERROR(__xludf.DUMMYFUNCTION("""COMPUTED_VALUE"""),3341.0)</f>
        <v>3341</v>
      </c>
      <c r="G715" s="93" t="str">
        <f>IFERROR(__xludf.DUMMYFUNCTION("""COMPUTED_VALUE"""),"Miles")</f>
        <v>Miles</v>
      </c>
      <c r="H715" s="93">
        <f>IFERROR(__xludf.DUMMYFUNCTION("""COMPUTED_VALUE"""),8.453763895E9)</f>
        <v>8453763895</v>
      </c>
      <c r="I715" s="93" t="str">
        <f>IFERROR(__xludf.DUMMYFUNCTION("""COMPUTED_VALUE"""),"9AM-11AM")</f>
        <v>9AM-11AM</v>
      </c>
      <c r="J715" s="93">
        <f>IFERROR(__xludf.DUMMYFUNCTION("""COMPUTED_VALUE"""),1.0)</f>
        <v>1</v>
      </c>
      <c r="K715" s="93" t="str">
        <f>IFERROR(__xludf.DUMMYFUNCTION("""COMPUTED_VALUE"""),"Complete")</f>
        <v>Complete</v>
      </c>
      <c r="L715" s="93"/>
      <c r="M715" s="94">
        <f>IFERROR(__xludf.DUMMYFUNCTION("""COMPUTED_VALUE"""),46145.1515162037)</f>
        <v>46145.15152</v>
      </c>
      <c r="N715" s="93">
        <f>IFERROR(__xludf.DUMMYFUNCTION("""COMPUTED_VALUE"""),68.0)</f>
        <v>68</v>
      </c>
      <c r="O715" s="93"/>
      <c r="P715" s="93" t="str">
        <f>IFERROR(__xludf.DUMMYFUNCTION("""COMPUTED_VALUE"""),"Kit Delivery")</f>
        <v>Kit Delivery</v>
      </c>
      <c r="Q715" s="93"/>
      <c r="R715" s="93"/>
      <c r="S715" s="93" t="str">
        <f>IFERROR(__xludf.DUMMYFUNCTION("""COMPUTED_VALUE"""),"Dispatch_Images/KIT--18168.Photos.083808.jpg")</f>
        <v>Dispatch_Images/KIT--18168.Photos.083808.jpg</v>
      </c>
      <c r="T715" s="95">
        <f>IFERROR(__xludf.DUMMYFUNCTION("""COMPUTED_VALUE"""),46145.15738425926)</f>
        <v>46145.15738</v>
      </c>
      <c r="U715" s="93"/>
      <c r="V715" s="93"/>
      <c r="W715" s="93"/>
      <c r="X715" s="93"/>
      <c r="Y715" s="93"/>
      <c r="Z715" s="93"/>
    </row>
    <row r="716">
      <c r="A716" s="93" t="str">
        <f>IFERROR(__xludf.DUMMYFUNCTION("""COMPUTED_VALUE"""),"KIT-#17901")</f>
        <v>KIT-#17901</v>
      </c>
      <c r="B716" s="94">
        <f>IFERROR(__xludf.DUMMYFUNCTION("""COMPUTED_VALUE"""),46149.0)</f>
        <v>46149</v>
      </c>
      <c r="C716" s="93" t="str">
        <f>IFERROR(__xludf.DUMMYFUNCTION("""COMPUTED_VALUE"""),"Kit Delivery")</f>
        <v>Kit Delivery</v>
      </c>
      <c r="D716" s="93">
        <f>IFERROR(__xludf.DUMMYFUNCTION("""COMPUTED_VALUE"""),2.0)</f>
        <v>2</v>
      </c>
      <c r="E716" s="93" t="str">
        <f>IFERROR(__xludf.DUMMYFUNCTION("""COMPUTED_VALUE"""),"Umrath")</f>
        <v>Umrath</v>
      </c>
      <c r="F716" s="93">
        <f>IFERROR(__xludf.DUMMYFUNCTION("""COMPUTED_VALUE"""),1239.0)</f>
        <v>1239</v>
      </c>
      <c r="G716" s="93" t="str">
        <f>IFERROR(__xludf.DUMMYFUNCTION("""COMPUTED_VALUE"""),"Natalie DeCherney")</f>
        <v>Natalie DeCherney</v>
      </c>
      <c r="H716" s="93">
        <f>IFERROR(__xludf.DUMMYFUNCTION("""COMPUTED_VALUE"""),6.504749188E9)</f>
        <v>6504749188</v>
      </c>
      <c r="I716" s="93" t="str">
        <f>IFERROR(__xludf.DUMMYFUNCTION("""COMPUTED_VALUE"""),"9AM-11AM")</f>
        <v>9AM-11AM</v>
      </c>
      <c r="J716" s="93">
        <f>IFERROR(__xludf.DUMMYFUNCTION("""COMPUTED_VALUE"""),1.0)</f>
        <v>1</v>
      </c>
      <c r="K716" s="93" t="str">
        <f>IFERROR(__xludf.DUMMYFUNCTION("""COMPUTED_VALUE"""),"Complete")</f>
        <v>Complete</v>
      </c>
      <c r="L716" s="93"/>
      <c r="M716" s="94">
        <f>IFERROR(__xludf.DUMMYFUNCTION("""COMPUTED_VALUE"""),46145.154236111106)</f>
        <v>46145.15424</v>
      </c>
      <c r="N716" s="93">
        <f>IFERROR(__xludf.DUMMYFUNCTION("""COMPUTED_VALUE"""),64.0)</f>
        <v>64</v>
      </c>
      <c r="O716" s="93"/>
      <c r="P716" s="93" t="str">
        <f>IFERROR(__xludf.DUMMYFUNCTION("""COMPUTED_VALUE"""),"Kit Delivery")</f>
        <v>Kit Delivery</v>
      </c>
      <c r="Q716" s="93"/>
      <c r="R716" s="93"/>
      <c r="S716" s="93" t="str">
        <f>IFERROR(__xludf.DUMMYFUNCTION("""COMPUTED_VALUE"""),"Dispatch_Images/KIT--17901.Photos.084203.jpg")</f>
        <v>Dispatch_Images/KIT--17901.Photos.084203.jpg</v>
      </c>
      <c r="T716" s="95">
        <f>IFERROR(__xludf.DUMMYFUNCTION("""COMPUTED_VALUE"""),46145.15738425926)</f>
        <v>46145.15738</v>
      </c>
      <c r="U716" s="93"/>
      <c r="V716" s="93"/>
      <c r="W716" s="93"/>
      <c r="X716" s="93"/>
      <c r="Y716" s="93"/>
      <c r="Z716" s="93"/>
    </row>
    <row r="717">
      <c r="A717" s="93" t="str">
        <f>IFERROR(__xludf.DUMMYFUNCTION("""COMPUTED_VALUE"""),"KIT-#18080")</f>
        <v>KIT-#18080</v>
      </c>
      <c r="B717" s="94">
        <f>IFERROR(__xludf.DUMMYFUNCTION("""COMPUTED_VALUE"""),46149.0)</f>
        <v>46149</v>
      </c>
      <c r="C717" s="93" t="str">
        <f>IFERROR(__xludf.DUMMYFUNCTION("""COMPUTED_VALUE"""),"Kit Delivery")</f>
        <v>Kit Delivery</v>
      </c>
      <c r="D717" s="93">
        <f>IFERROR(__xludf.DUMMYFUNCTION("""COMPUTED_VALUE"""),2.0)</f>
        <v>2</v>
      </c>
      <c r="E717" s="93" t="str">
        <f>IFERROR(__xludf.DUMMYFUNCTION("""COMPUTED_VALUE"""),"Shepley")</f>
        <v>Shepley</v>
      </c>
      <c r="F717" s="93">
        <f>IFERROR(__xludf.DUMMYFUNCTION("""COMPUTED_VALUE"""),3082.0)</f>
        <v>3082</v>
      </c>
      <c r="G717" s="93" t="str">
        <f>IFERROR(__xludf.DUMMYFUNCTION("""COMPUTED_VALUE"""),"Jaqueline Pichardo Rico")</f>
        <v>Jaqueline Pichardo Rico</v>
      </c>
      <c r="H717" s="93">
        <f>IFERROR(__xludf.DUMMYFUNCTION("""COMPUTED_VALUE"""),9.793308999E9)</f>
        <v>9793308999</v>
      </c>
      <c r="I717" s="93" t="str">
        <f>IFERROR(__xludf.DUMMYFUNCTION("""COMPUTED_VALUE"""),"12PM-2PM")</f>
        <v>12PM-2PM</v>
      </c>
      <c r="J717" s="93">
        <f>IFERROR(__xludf.DUMMYFUNCTION("""COMPUTED_VALUE"""),1.0)</f>
        <v>1</v>
      </c>
      <c r="K717" s="93" t="str">
        <f>IFERROR(__xludf.DUMMYFUNCTION("""COMPUTED_VALUE"""),"Complete")</f>
        <v>Complete</v>
      </c>
      <c r="L717" s="93"/>
      <c r="M717" s="94">
        <f>IFERROR(__xludf.DUMMYFUNCTION("""COMPUTED_VALUE"""),46145.160578703704)</f>
        <v>46145.16058</v>
      </c>
      <c r="N717" s="93">
        <f>IFERROR(__xludf.DUMMYFUNCTION("""COMPUTED_VALUE"""),32.0)</f>
        <v>32</v>
      </c>
      <c r="O717" s="93"/>
      <c r="P717" s="93" t="str">
        <f>IFERROR(__xludf.DUMMYFUNCTION("""COMPUTED_VALUE"""),"Kit Delivery")</f>
        <v>Kit Delivery</v>
      </c>
      <c r="Q717" s="93"/>
      <c r="R717" s="93"/>
      <c r="S717" s="93" t="str">
        <f>IFERROR(__xludf.DUMMYFUNCTION("""COMPUTED_VALUE"""),"Dispatch_Images/KIT--18080.Photos.085110.jpg")</f>
        <v>Dispatch_Images/KIT--18080.Photos.085110.jpg</v>
      </c>
      <c r="T717" s="95">
        <f>IFERROR(__xludf.DUMMYFUNCTION("""COMPUTED_VALUE"""),46145.16431712963)</f>
        <v>46145.16432</v>
      </c>
      <c r="U717" s="93"/>
      <c r="V717" s="93"/>
      <c r="W717" s="93"/>
      <c r="X717" s="93"/>
      <c r="Y717" s="93"/>
      <c r="Z717" s="93"/>
    </row>
    <row r="718">
      <c r="A718" s="93" t="str">
        <f>IFERROR(__xludf.DUMMYFUNCTION("""COMPUTED_VALUE"""),"KIT-#18177")</f>
        <v>KIT-#18177</v>
      </c>
      <c r="B718" s="94">
        <f>IFERROR(__xludf.DUMMYFUNCTION("""COMPUTED_VALUE"""),46149.0)</f>
        <v>46149</v>
      </c>
      <c r="C718" s="93" t="str">
        <f>IFERROR(__xludf.DUMMYFUNCTION("""COMPUTED_VALUE"""),"Kit Delivery")</f>
        <v>Kit Delivery</v>
      </c>
      <c r="D718" s="93">
        <f>IFERROR(__xludf.DUMMYFUNCTION("""COMPUTED_VALUE"""),2.0)</f>
        <v>2</v>
      </c>
      <c r="E718" s="93" t="str">
        <f>IFERROR(__xludf.DUMMYFUNCTION("""COMPUTED_VALUE"""),"Park")</f>
        <v>Park</v>
      </c>
      <c r="F718" s="93">
        <f>IFERROR(__xludf.DUMMYFUNCTION("""COMPUTED_VALUE"""),131.0)</f>
        <v>131</v>
      </c>
      <c r="G718" s="93" t="str">
        <f>IFERROR(__xludf.DUMMYFUNCTION("""COMPUTED_VALUE"""),"Jean Kim")</f>
        <v>Jean Kim</v>
      </c>
      <c r="H718" s="93">
        <f>IFERROR(__xludf.DUMMYFUNCTION("""COMPUTED_VALUE"""),5.572289461E9)</f>
        <v>5572289461</v>
      </c>
      <c r="I718" s="93" t="str">
        <f>IFERROR(__xludf.DUMMYFUNCTION("""COMPUTED_VALUE"""),"9AM-11AM")</f>
        <v>9AM-11AM</v>
      </c>
      <c r="J718" s="93">
        <f>IFERROR(__xludf.DUMMYFUNCTION("""COMPUTED_VALUE"""),2.0)</f>
        <v>2</v>
      </c>
      <c r="K718" s="93" t="str">
        <f>IFERROR(__xludf.DUMMYFUNCTION("""COMPUTED_VALUE"""),"Complete")</f>
        <v>Complete</v>
      </c>
      <c r="L718" s="93"/>
      <c r="M718" s="94">
        <f>IFERROR(__xludf.DUMMYFUNCTION("""COMPUTED_VALUE"""),46145.16568287037)</f>
        <v>46145.16568</v>
      </c>
      <c r="N718" s="93">
        <f>IFERROR(__xludf.DUMMYFUNCTION("""COMPUTED_VALUE"""),33.0)</f>
        <v>33</v>
      </c>
      <c r="O718" s="93"/>
      <c r="P718" s="93" t="str">
        <f>IFERROR(__xludf.DUMMYFUNCTION("""COMPUTED_VALUE"""),"Kit Delivery")</f>
        <v>Kit Delivery</v>
      </c>
      <c r="Q718" s="93"/>
      <c r="R718" s="93"/>
      <c r="S718" s="93" t="str">
        <f>IFERROR(__xludf.DUMMYFUNCTION("""COMPUTED_VALUE"""),"Dispatch_Images/KIT--18177.Photos.085832.jpg")</f>
        <v>Dispatch_Images/KIT--18177.Photos.085832.jpg</v>
      </c>
      <c r="T718" s="95">
        <f>IFERROR(__xludf.DUMMYFUNCTION("""COMPUTED_VALUE"""),46145.171261574076)</f>
        <v>46145.17126</v>
      </c>
      <c r="U718" s="93"/>
      <c r="V718" s="93"/>
      <c r="W718" s="93"/>
      <c r="X718" s="93"/>
      <c r="Y718" s="93"/>
      <c r="Z718" s="93"/>
    </row>
    <row r="719">
      <c r="A719" s="93" t="str">
        <f>IFERROR(__xludf.DUMMYFUNCTION("""COMPUTED_VALUE"""),"KIT-#17872")</f>
        <v>KIT-#17872</v>
      </c>
      <c r="B719" s="94">
        <f>IFERROR(__xludf.DUMMYFUNCTION("""COMPUTED_VALUE"""),46149.0)</f>
        <v>46149</v>
      </c>
      <c r="C719" s="93" t="str">
        <f>IFERROR(__xludf.DUMMYFUNCTION("""COMPUTED_VALUE"""),"Kit Delivery")</f>
        <v>Kit Delivery</v>
      </c>
      <c r="D719" s="93">
        <f>IFERROR(__xludf.DUMMYFUNCTION("""COMPUTED_VALUE"""),2.0)</f>
        <v>2</v>
      </c>
      <c r="E719" s="93" t="str">
        <f>IFERROR(__xludf.DUMMYFUNCTION("""COMPUTED_VALUE"""),"Mudd")</f>
        <v>Mudd</v>
      </c>
      <c r="F719" s="93">
        <f>IFERROR(__xludf.DUMMYFUNCTION("""COMPUTED_VALUE"""),311.0)</f>
        <v>311</v>
      </c>
      <c r="G719" s="93" t="str">
        <f>IFERROR(__xludf.DUMMYFUNCTION("""COMPUTED_VALUE"""),"Bani Chandra")</f>
        <v>Bani Chandra</v>
      </c>
      <c r="H719" s="93">
        <f>IFERROR(__xludf.DUMMYFUNCTION("""COMPUTED_VALUE"""),8.605006445E9)</f>
        <v>8605006445</v>
      </c>
      <c r="I719" s="93" t="str">
        <f>IFERROR(__xludf.DUMMYFUNCTION("""COMPUTED_VALUE"""),"11AM-1PM")</f>
        <v>11AM-1PM</v>
      </c>
      <c r="J719" s="93">
        <f>IFERROR(__xludf.DUMMYFUNCTION("""COMPUTED_VALUE"""),1.0)</f>
        <v>1</v>
      </c>
      <c r="K719" s="93" t="str">
        <f>IFERROR(__xludf.DUMMYFUNCTION("""COMPUTED_VALUE"""),"Complete")</f>
        <v>Complete</v>
      </c>
      <c r="L719" s="93"/>
      <c r="M719" s="94">
        <f>IFERROR(__xludf.DUMMYFUNCTION("""COMPUTED_VALUE"""),46145.17199074074)</f>
        <v>46145.17199</v>
      </c>
      <c r="N719" s="93">
        <f>IFERROR(__xludf.DUMMYFUNCTION("""COMPUTED_VALUE"""),34.0)</f>
        <v>34</v>
      </c>
      <c r="O719" s="93"/>
      <c r="P719" s="93" t="str">
        <f>IFERROR(__xludf.DUMMYFUNCTION("""COMPUTED_VALUE"""),"Kit Delivery")</f>
        <v>Kit Delivery</v>
      </c>
      <c r="Q719" s="93"/>
      <c r="R719" s="93"/>
      <c r="S719" s="93" t="str">
        <f>IFERROR(__xludf.DUMMYFUNCTION("""COMPUTED_VALUE"""),"Dispatch_Images/KIT--17872.Photos.090736.jpg")</f>
        <v>Dispatch_Images/KIT--17872.Photos.090736.jpg</v>
      </c>
      <c r="T719" s="95">
        <f>IFERROR(__xludf.DUMMYFUNCTION("""COMPUTED_VALUE"""),46145.17820601852)</f>
        <v>46145.17821</v>
      </c>
      <c r="U719" s="93"/>
      <c r="V719" s="93"/>
      <c r="W719" s="93"/>
      <c r="X719" s="93"/>
      <c r="Y719" s="93"/>
      <c r="Z719" s="93"/>
    </row>
    <row r="720">
      <c r="A720" s="93" t="str">
        <f>IFERROR(__xludf.DUMMYFUNCTION("""COMPUTED_VALUE"""),"KIT-#18116")</f>
        <v>KIT-#18116</v>
      </c>
      <c r="B720" s="94">
        <f>IFERROR(__xludf.DUMMYFUNCTION("""COMPUTED_VALUE"""),46149.0)</f>
        <v>46149</v>
      </c>
      <c r="C720" s="93" t="str">
        <f>IFERROR(__xludf.DUMMYFUNCTION("""COMPUTED_VALUE"""),"Kit Delivery")</f>
        <v>Kit Delivery</v>
      </c>
      <c r="D720" s="93">
        <f>IFERROR(__xludf.DUMMYFUNCTION("""COMPUTED_VALUE"""),2.0)</f>
        <v>2</v>
      </c>
      <c r="E720" s="93" t="str">
        <f>IFERROR(__xludf.DUMMYFUNCTION("""COMPUTED_VALUE"""),"Shanedling")</f>
        <v>Shanedling</v>
      </c>
      <c r="F720" s="93">
        <f>IFERROR(__xludf.DUMMYFUNCTION("""COMPUTED_VALUE"""),442.0)</f>
        <v>442</v>
      </c>
      <c r="G720" s="93" t="str">
        <f>IFERROR(__xludf.DUMMYFUNCTION("""COMPUTED_VALUE"""),"Minkyu Tak")</f>
        <v>Minkyu Tak</v>
      </c>
      <c r="H720" s="93">
        <f>IFERROR(__xludf.DUMMYFUNCTION("""COMPUTED_VALUE"""),8.582455089E9)</f>
        <v>8582455089</v>
      </c>
      <c r="I720" s="93" t="str">
        <f>IFERROR(__xludf.DUMMYFUNCTION("""COMPUTED_VALUE"""),"9AM-11AM")</f>
        <v>9AM-11AM</v>
      </c>
      <c r="J720" s="93">
        <f>IFERROR(__xludf.DUMMYFUNCTION("""COMPUTED_VALUE"""),1.0)</f>
        <v>1</v>
      </c>
      <c r="K720" s="93" t="str">
        <f>IFERROR(__xludf.DUMMYFUNCTION("""COMPUTED_VALUE"""),"Complete")</f>
        <v>Complete</v>
      </c>
      <c r="L720" s="93"/>
      <c r="M720" s="94">
        <f>IFERROR(__xludf.DUMMYFUNCTION("""COMPUTED_VALUE"""),46145.181238425925)</f>
        <v>46145.18124</v>
      </c>
      <c r="N720" s="93">
        <f>IFERROR(__xludf.DUMMYFUNCTION("""COMPUTED_VALUE"""),58.0)</f>
        <v>58</v>
      </c>
      <c r="O720" s="93"/>
      <c r="P720" s="93" t="str">
        <f>IFERROR(__xludf.DUMMYFUNCTION("""COMPUTED_VALUE"""),"Kit Delivery")</f>
        <v>Kit Delivery</v>
      </c>
      <c r="Q720" s="93"/>
      <c r="R720" s="93"/>
      <c r="S720" s="93" t="str">
        <f>IFERROR(__xludf.DUMMYFUNCTION("""COMPUTED_VALUE"""),"Dispatch_Images/KIT--18116.Photos.092056.jpg")</f>
        <v>Dispatch_Images/KIT--18116.Photos.092056.jpg</v>
      </c>
      <c r="T720" s="95">
        <f>IFERROR(__xludf.DUMMYFUNCTION("""COMPUTED_VALUE"""),46145.18515046296)</f>
        <v>46145.18515</v>
      </c>
      <c r="U720" s="93"/>
      <c r="V720" s="93"/>
      <c r="W720" s="93"/>
      <c r="X720" s="93"/>
      <c r="Y720" s="93"/>
      <c r="Z720" s="93"/>
    </row>
    <row r="721">
      <c r="A721" s="93" t="str">
        <f>IFERROR(__xludf.DUMMYFUNCTION("""COMPUTED_VALUE"""),"KIT-#18133")</f>
        <v>KIT-#18133</v>
      </c>
      <c r="B721" s="94">
        <f>IFERROR(__xludf.DUMMYFUNCTION("""COMPUTED_VALUE"""),46149.0)</f>
        <v>46149</v>
      </c>
      <c r="C721" s="93" t="str">
        <f>IFERROR(__xludf.DUMMYFUNCTION("""COMPUTED_VALUE"""),"Kit Delivery")</f>
        <v>Kit Delivery</v>
      </c>
      <c r="D721" s="93">
        <f>IFERROR(__xludf.DUMMYFUNCTION("""COMPUTED_VALUE"""),2.0)</f>
        <v>2</v>
      </c>
      <c r="E721" s="93" t="str">
        <f>IFERROR(__xludf.DUMMYFUNCTION("""COMPUTED_VALUE"""),"Nemerov")</f>
        <v>Nemerov</v>
      </c>
      <c r="F721" s="93">
        <f>IFERROR(__xludf.DUMMYFUNCTION("""COMPUTED_VALUE"""),2034.0)</f>
        <v>2034</v>
      </c>
      <c r="G721" s="93" t="str">
        <f>IFERROR(__xludf.DUMMYFUNCTION("""COMPUTED_VALUE"""),"Victor Huang")</f>
        <v>Victor Huang</v>
      </c>
      <c r="H721" s="93">
        <f>IFERROR(__xludf.DUMMYFUNCTION("""COMPUTED_VALUE"""),9.862196068E9)</f>
        <v>9862196068</v>
      </c>
      <c r="I721" s="93" t="str">
        <f>IFERROR(__xludf.DUMMYFUNCTION("""COMPUTED_VALUE"""),"10AM-12PM")</f>
        <v>10AM-12PM</v>
      </c>
      <c r="J721" s="93">
        <f>IFERROR(__xludf.DUMMYFUNCTION("""COMPUTED_VALUE"""),1.0)</f>
        <v>1</v>
      </c>
      <c r="K721" s="93" t="str">
        <f>IFERROR(__xludf.DUMMYFUNCTION("""COMPUTED_VALUE"""),"Complete")</f>
        <v>Complete</v>
      </c>
      <c r="L721" s="93"/>
      <c r="M721" s="94">
        <f>IFERROR(__xludf.DUMMYFUNCTION("""COMPUTED_VALUE"""),46145.18673611111)</f>
        <v>46145.18674</v>
      </c>
      <c r="N721" s="93">
        <f>IFERROR(__xludf.DUMMYFUNCTION("""COMPUTED_VALUE"""),61.0)</f>
        <v>61</v>
      </c>
      <c r="O721" s="93"/>
      <c r="P721" s="93" t="str">
        <f>IFERROR(__xludf.DUMMYFUNCTION("""COMPUTED_VALUE"""),"Kit Delivery")</f>
        <v>Kit Delivery</v>
      </c>
      <c r="Q721" s="93"/>
      <c r="R721" s="93"/>
      <c r="S721" s="93" t="str">
        <f>IFERROR(__xludf.DUMMYFUNCTION("""COMPUTED_VALUE"""),"Dispatch_Images/KIT--18133.Photos.092850.jpg")</f>
        <v>Dispatch_Images/KIT--18133.Photos.092850.jpg</v>
      </c>
      <c r="T721" s="95">
        <f>IFERROR(__xludf.DUMMYFUNCTION("""COMPUTED_VALUE"""),46145.19210648148)</f>
        <v>46145.19211</v>
      </c>
      <c r="U721" s="93"/>
      <c r="V721" s="93"/>
      <c r="W721" s="93"/>
      <c r="X721" s="93"/>
      <c r="Y721" s="93"/>
      <c r="Z721" s="93"/>
    </row>
    <row r="722">
      <c r="A722" s="93" t="str">
        <f>IFERROR(__xludf.DUMMYFUNCTION("""COMPUTED_VALUE"""),"KIT-#17933")</f>
        <v>KIT-#17933</v>
      </c>
      <c r="B722" s="94">
        <f>IFERROR(__xludf.DUMMYFUNCTION("""COMPUTED_VALUE"""),46149.0)</f>
        <v>46149</v>
      </c>
      <c r="C722" s="93" t="str">
        <f>IFERROR(__xludf.DUMMYFUNCTION("""COMPUTED_VALUE"""),"Kit Delivery")</f>
        <v>Kit Delivery</v>
      </c>
      <c r="D722" s="93">
        <f>IFERROR(__xludf.DUMMYFUNCTION("""COMPUTED_VALUE"""),2.0)</f>
        <v>2</v>
      </c>
      <c r="E722" s="93" t="str">
        <f>IFERROR(__xludf.DUMMYFUNCTION("""COMPUTED_VALUE"""),"Dardick")</f>
        <v>Dardick</v>
      </c>
      <c r="F722" s="93">
        <f>IFERROR(__xludf.DUMMYFUNCTION("""COMPUTED_VALUE"""),2208.0)</f>
        <v>2208</v>
      </c>
      <c r="G722" s="93" t="str">
        <f>IFERROR(__xludf.DUMMYFUNCTION("""COMPUTED_VALUE"""),"Mandy Ju")</f>
        <v>Mandy Ju</v>
      </c>
      <c r="H722" s="93">
        <f>IFERROR(__xludf.DUMMYFUNCTION("""COMPUTED_VALUE"""),6.266786905E9)</f>
        <v>6266786905</v>
      </c>
      <c r="I722" s="93" t="str">
        <f>IFERROR(__xludf.DUMMYFUNCTION("""COMPUTED_VALUE"""),"10AM-12PM")</f>
        <v>10AM-12PM</v>
      </c>
      <c r="J722" s="93">
        <f>IFERROR(__xludf.DUMMYFUNCTION("""COMPUTED_VALUE"""),1.0)</f>
        <v>1</v>
      </c>
      <c r="K722" s="93" t="str">
        <f>IFERROR(__xludf.DUMMYFUNCTION("""COMPUTED_VALUE"""),"Complete")</f>
        <v>Complete</v>
      </c>
      <c r="L722" s="93"/>
      <c r="M722" s="94">
        <f>IFERROR(__xludf.DUMMYFUNCTION("""COMPUTED_VALUE"""),46145.193194444444)</f>
        <v>46145.19319</v>
      </c>
      <c r="N722" s="93">
        <f>IFERROR(__xludf.DUMMYFUNCTION("""COMPUTED_VALUE"""),59.0)</f>
        <v>59</v>
      </c>
      <c r="O722" s="93"/>
      <c r="P722" s="93" t="str">
        <f>IFERROR(__xludf.DUMMYFUNCTION("""COMPUTED_VALUE"""),"Kit Delivery")</f>
        <v>Kit Delivery</v>
      </c>
      <c r="Q722" s="93"/>
      <c r="R722" s="93"/>
      <c r="S722" s="93" t="str">
        <f>IFERROR(__xludf.DUMMYFUNCTION("""COMPUTED_VALUE"""),"Dispatch_Images/KIT--17933.Photos.093808.jpg")</f>
        <v>Dispatch_Images/KIT--17933.Photos.093808.jpg</v>
      </c>
      <c r="T722" s="95">
        <f>IFERROR(__xludf.DUMMYFUNCTION("""COMPUTED_VALUE"""),46145.19903935185)</f>
        <v>46145.19904</v>
      </c>
      <c r="U722" s="93"/>
      <c r="V722" s="93"/>
      <c r="W722" s="93"/>
      <c r="X722" s="93"/>
      <c r="Y722" s="93"/>
      <c r="Z722" s="93"/>
    </row>
    <row r="723">
      <c r="A723" s="93" t="str">
        <f>IFERROR(__xludf.DUMMYFUNCTION("""COMPUTED_VALUE"""),"KIT-#18158")</f>
        <v>KIT-#18158</v>
      </c>
      <c r="B723" s="94">
        <f>IFERROR(__xludf.DUMMYFUNCTION("""COMPUTED_VALUE"""),46149.0)</f>
        <v>46149</v>
      </c>
      <c r="C723" s="93" t="str">
        <f>IFERROR(__xludf.DUMMYFUNCTION("""COMPUTED_VALUE"""),"Kit Delivery")</f>
        <v>Kit Delivery</v>
      </c>
      <c r="D723" s="93">
        <f>IFERROR(__xludf.DUMMYFUNCTION("""COMPUTED_VALUE"""),2.0)</f>
        <v>2</v>
      </c>
      <c r="E723" s="93" t="str">
        <f>IFERROR(__xludf.DUMMYFUNCTION("""COMPUTED_VALUE"""),"Zetcher")</f>
        <v>Zetcher</v>
      </c>
      <c r="F723" s="93">
        <f>IFERROR(__xludf.DUMMYFUNCTION("""COMPUTED_VALUE"""),3012.0)</f>
        <v>3012</v>
      </c>
      <c r="G723" s="93" t="str">
        <f>IFERROR(__xludf.DUMMYFUNCTION("""COMPUTED_VALUE"""),"Cordell Eddings")</f>
        <v>Cordell Eddings</v>
      </c>
      <c r="H723" s="93">
        <f>IFERROR(__xludf.DUMMYFUNCTION("""COMPUTED_VALUE"""),3.016130363E9)</f>
        <v>3016130363</v>
      </c>
      <c r="I723" s="93" t="str">
        <f>IFERROR(__xludf.DUMMYFUNCTION("""COMPUTED_VALUE"""),"2PM-4PM")</f>
        <v>2PM-4PM</v>
      </c>
      <c r="J723" s="93">
        <f>IFERROR(__xludf.DUMMYFUNCTION("""COMPUTED_VALUE"""),1.0)</f>
        <v>1</v>
      </c>
      <c r="K723" s="93" t="str">
        <f>IFERROR(__xludf.DUMMYFUNCTION("""COMPUTED_VALUE"""),"Complete")</f>
        <v>Complete</v>
      </c>
      <c r="L723" s="93"/>
      <c r="M723" s="94">
        <f>IFERROR(__xludf.DUMMYFUNCTION("""COMPUTED_VALUE"""),46145.20159722222)</f>
        <v>46145.2016</v>
      </c>
      <c r="N723" s="93">
        <f>IFERROR(__xludf.DUMMYFUNCTION("""COMPUTED_VALUE"""),72.0)</f>
        <v>72</v>
      </c>
      <c r="O723" s="93"/>
      <c r="P723" s="93" t="str">
        <f>IFERROR(__xludf.DUMMYFUNCTION("""COMPUTED_VALUE"""),"Kit Delivery")</f>
        <v>Kit Delivery</v>
      </c>
      <c r="Q723" s="93"/>
      <c r="R723" s="93"/>
      <c r="S723" s="93" t="str">
        <f>IFERROR(__xludf.DUMMYFUNCTION("""COMPUTED_VALUE"""),"Dispatch_Images/KIT--18158.Photos.095015.jpg")</f>
        <v>Dispatch_Images/KIT--18158.Photos.095015.jpg</v>
      </c>
      <c r="T723" s="95">
        <f>IFERROR(__xludf.DUMMYFUNCTION("""COMPUTED_VALUE"""),46145.205983796295)</f>
        <v>46145.20598</v>
      </c>
      <c r="U723" s="93"/>
      <c r="V723" s="93"/>
      <c r="W723" s="93"/>
      <c r="X723" s="93"/>
      <c r="Y723" s="93"/>
      <c r="Z723" s="93"/>
    </row>
    <row r="724">
      <c r="A724" s="93" t="str">
        <f>IFERROR(__xludf.DUMMYFUNCTION("""COMPUTED_VALUE"""),"KIT-#17807")</f>
        <v>KIT-#17807</v>
      </c>
      <c r="B724" s="94">
        <f>IFERROR(__xludf.DUMMYFUNCTION("""COMPUTED_VALUE"""),46149.0)</f>
        <v>46149</v>
      </c>
      <c r="C724" s="93" t="str">
        <f>IFERROR(__xludf.DUMMYFUNCTION("""COMPUTED_VALUE"""),"Kit Delivery")</f>
        <v>Kit Delivery</v>
      </c>
      <c r="D724" s="93">
        <f>IFERROR(__xludf.DUMMYFUNCTION("""COMPUTED_VALUE"""),2.0)</f>
        <v>2</v>
      </c>
      <c r="E724" s="93" t="str">
        <f>IFERROR(__xludf.DUMMYFUNCTION("""COMPUTED_VALUE"""),"Zetcher")</f>
        <v>Zetcher</v>
      </c>
      <c r="F724" s="93">
        <f>IFERROR(__xludf.DUMMYFUNCTION("""COMPUTED_VALUE"""),3150.0)</f>
        <v>3150</v>
      </c>
      <c r="G724" s="93" t="str">
        <f>IFERROR(__xludf.DUMMYFUNCTION("""COMPUTED_VALUE"""),"Geneva")</f>
        <v>Geneva</v>
      </c>
      <c r="H724" s="93">
        <f>IFERROR(__xludf.DUMMYFUNCTION("""COMPUTED_VALUE"""),6.178627945E9)</f>
        <v>6178627945</v>
      </c>
      <c r="I724" s="93" t="str">
        <f>IFERROR(__xludf.DUMMYFUNCTION("""COMPUTED_VALUE"""),"9AM-11AM")</f>
        <v>9AM-11AM</v>
      </c>
      <c r="J724" s="93">
        <f>IFERROR(__xludf.DUMMYFUNCTION("""COMPUTED_VALUE"""),1.0)</f>
        <v>1</v>
      </c>
      <c r="K724" s="93" t="str">
        <f>IFERROR(__xludf.DUMMYFUNCTION("""COMPUTED_VALUE"""),"Complete")</f>
        <v>Complete</v>
      </c>
      <c r="L724" s="93"/>
      <c r="M724" s="94">
        <f>IFERROR(__xludf.DUMMYFUNCTION("""COMPUTED_VALUE"""),46145.20239583333)</f>
        <v>46145.2024</v>
      </c>
      <c r="N724" s="93">
        <f>IFERROR(__xludf.DUMMYFUNCTION("""COMPUTED_VALUE"""),69.0)</f>
        <v>69</v>
      </c>
      <c r="O724" s="93"/>
      <c r="P724" s="93" t="str">
        <f>IFERROR(__xludf.DUMMYFUNCTION("""COMPUTED_VALUE"""),"Kit Delivery")</f>
        <v>Kit Delivery</v>
      </c>
      <c r="Q724" s="93"/>
      <c r="R724" s="93"/>
      <c r="S724" s="93" t="str">
        <f>IFERROR(__xludf.DUMMYFUNCTION("""COMPUTED_VALUE"""),"Dispatch_Images/KIT--17807.Photos.095124.jpg")</f>
        <v>Dispatch_Images/KIT--17807.Photos.095124.jpg</v>
      </c>
      <c r="T724" s="95">
        <f>IFERROR(__xludf.DUMMYFUNCTION("""COMPUTED_VALUE"""),46145.205983796295)</f>
        <v>46145.20598</v>
      </c>
      <c r="U724" s="93"/>
      <c r="V724" s="93"/>
      <c r="W724" s="93"/>
      <c r="X724" s="93"/>
      <c r="Y724" s="93"/>
      <c r="Z724" s="93"/>
    </row>
    <row r="725">
      <c r="A725" s="93" t="str">
        <f>IFERROR(__xludf.DUMMYFUNCTION("""COMPUTED_VALUE"""),"KIT-#17984")</f>
        <v>KIT-#17984</v>
      </c>
      <c r="B725" s="94">
        <f>IFERROR(__xludf.DUMMYFUNCTION("""COMPUTED_VALUE"""),46149.0)</f>
        <v>46149</v>
      </c>
      <c r="C725" s="93" t="str">
        <f>IFERROR(__xludf.DUMMYFUNCTION("""COMPUTED_VALUE"""),"Kit Delivery")</f>
        <v>Kit Delivery</v>
      </c>
      <c r="D725" s="93">
        <f>IFERROR(__xludf.DUMMYFUNCTION("""COMPUTED_VALUE"""),2.0)</f>
        <v>2</v>
      </c>
      <c r="E725" s="93" t="str">
        <f>IFERROR(__xludf.DUMMYFUNCTION("""COMPUTED_VALUE"""),"Zetcher")</f>
        <v>Zetcher</v>
      </c>
      <c r="F725" s="93">
        <f>IFERROR(__xludf.DUMMYFUNCTION("""COMPUTED_VALUE"""),2041.0)</f>
        <v>2041</v>
      </c>
      <c r="G725" s="93" t="str">
        <f>IFERROR(__xludf.DUMMYFUNCTION("""COMPUTED_VALUE"""),"Soeun Lee")</f>
        <v>Soeun Lee</v>
      </c>
      <c r="H725" s="93">
        <f>IFERROR(__xludf.DUMMYFUNCTION("""COMPUTED_VALUE"""),7.706167204E9)</f>
        <v>7706167204</v>
      </c>
      <c r="I725" s="93" t="str">
        <f>IFERROR(__xludf.DUMMYFUNCTION("""COMPUTED_VALUE"""),"10AM-12PM")</f>
        <v>10AM-12PM</v>
      </c>
      <c r="J725" s="93">
        <f>IFERROR(__xludf.DUMMYFUNCTION("""COMPUTED_VALUE"""),1.0)</f>
        <v>1</v>
      </c>
      <c r="K725" s="93" t="str">
        <f>IFERROR(__xludf.DUMMYFUNCTION("""COMPUTED_VALUE"""),"Complete")</f>
        <v>Complete</v>
      </c>
      <c r="L725" s="93"/>
      <c r="M725" s="94">
        <f>IFERROR(__xludf.DUMMYFUNCTION("""COMPUTED_VALUE"""),46145.204039351855)</f>
        <v>46145.20404</v>
      </c>
      <c r="N725" s="93">
        <f>IFERROR(__xludf.DUMMYFUNCTION("""COMPUTED_VALUE"""),71.0)</f>
        <v>71</v>
      </c>
      <c r="O725" s="93"/>
      <c r="P725" s="93" t="str">
        <f>IFERROR(__xludf.DUMMYFUNCTION("""COMPUTED_VALUE"""),"Kit Delivery")</f>
        <v>Kit Delivery</v>
      </c>
      <c r="Q725" s="93"/>
      <c r="R725" s="93"/>
      <c r="S725" s="93" t="str">
        <f>IFERROR(__xludf.DUMMYFUNCTION("""COMPUTED_VALUE"""),"Dispatch_Images/KIT--17984.Photos.095346.jpg")</f>
        <v>Dispatch_Images/KIT--17984.Photos.095346.jpg</v>
      </c>
      <c r="T725" s="95">
        <f>IFERROR(__xludf.DUMMYFUNCTION("""COMPUTED_VALUE"""),46145.205983796295)</f>
        <v>46145.20598</v>
      </c>
      <c r="U725" s="93"/>
      <c r="V725" s="93"/>
      <c r="W725" s="93"/>
      <c r="X725" s="93"/>
      <c r="Y725" s="93"/>
      <c r="Z725" s="93"/>
    </row>
    <row r="726">
      <c r="A726" s="93" t="str">
        <f>IFERROR(__xludf.DUMMYFUNCTION("""COMPUTED_VALUE"""),"KIT-#17672")</f>
        <v>KIT-#17672</v>
      </c>
      <c r="B726" s="94">
        <f>IFERROR(__xludf.DUMMYFUNCTION("""COMPUTED_VALUE"""),46149.0)</f>
        <v>46149</v>
      </c>
      <c r="C726" s="93" t="str">
        <f>IFERROR(__xludf.DUMMYFUNCTION("""COMPUTED_VALUE"""),"Kit Delivery")</f>
        <v>Kit Delivery</v>
      </c>
      <c r="D726" s="93">
        <f>IFERROR(__xludf.DUMMYFUNCTION("""COMPUTED_VALUE"""),2.0)</f>
        <v>2</v>
      </c>
      <c r="E726" s="93" t="str">
        <f>IFERROR(__xludf.DUMMYFUNCTION("""COMPUTED_VALUE"""),"Koenig")</f>
        <v>Koenig</v>
      </c>
      <c r="F726" s="93">
        <f>IFERROR(__xludf.DUMMYFUNCTION("""COMPUTED_VALUE"""),1107.0)</f>
        <v>1107</v>
      </c>
      <c r="G726" s="93" t="str">
        <f>IFERROR(__xludf.DUMMYFUNCTION("""COMPUTED_VALUE"""),"Olivia Lynas")</f>
        <v>Olivia Lynas</v>
      </c>
      <c r="H726" s="93">
        <f>IFERROR(__xludf.DUMMYFUNCTION("""COMPUTED_VALUE"""),3.108498258E9)</f>
        <v>3108498258</v>
      </c>
      <c r="I726" s="93" t="str">
        <f>IFERROR(__xludf.DUMMYFUNCTION("""COMPUTED_VALUE"""),"2PM-4PM")</f>
        <v>2PM-4PM</v>
      </c>
      <c r="J726" s="93">
        <f>IFERROR(__xludf.DUMMYFUNCTION("""COMPUTED_VALUE"""),1.0)</f>
        <v>1</v>
      </c>
      <c r="K726" s="93" t="str">
        <f>IFERROR(__xludf.DUMMYFUNCTION("""COMPUTED_VALUE"""),"Complete")</f>
        <v>Complete</v>
      </c>
      <c r="L726" s="93"/>
      <c r="M726" s="94">
        <f>IFERROR(__xludf.DUMMYFUNCTION("""COMPUTED_VALUE"""),46145.22282407407)</f>
        <v>46145.22282</v>
      </c>
      <c r="N726" s="93">
        <f>IFERROR(__xludf.DUMMYFUNCTION("""COMPUTED_VALUE"""),74.0)</f>
        <v>74</v>
      </c>
      <c r="O726" s="93"/>
      <c r="P726" s="93" t="str">
        <f>IFERROR(__xludf.DUMMYFUNCTION("""COMPUTED_VALUE"""),"Kit Delivery")</f>
        <v>Kit Delivery</v>
      </c>
      <c r="Q726" s="93" t="str">
        <f>IFERROR(__xludf.DUMMYFUNCTION("""COMPUTED_VALUE"""),"1.  Please drop off the packing material May 5 or no earlier than May 4.
2.  Olivia rented a 2 door fridge and Microwave that can be picked up and returned to you May 7
3.  Olivia must be out of her room by 1pm May 7, so pickup any time after that is good"&amp;".
4.  We may decided to store 1-2 boxes over the summer with you and will let you know in advance of pickup")</f>
        <v>1.  Please drop off the packing material May 5 or no earlier than May 4.
2.  Olivia rented a 2 door fridge and Microwave that can be picked up and returned to you May 7
3.  Olivia must be out of her room by 1pm May 7, so pickup any time after that is good.
4.  We may decided to store 1-2 boxes over the summer with you and will let you know in advance of pickup</v>
      </c>
      <c r="R726" s="93"/>
      <c r="S726" s="93" t="str">
        <f>IFERROR(__xludf.DUMMYFUNCTION("""COMPUTED_VALUE"""),"Dispatch_Images/KIT--17672.Photos.102048.jpg")</f>
        <v>Dispatch_Images/KIT--17672.Photos.102048.jpg</v>
      </c>
      <c r="T726" s="95">
        <f>IFERROR(__xludf.DUMMYFUNCTION("""COMPUTED_VALUE"""),46145.22684027778)</f>
        <v>46145.22684</v>
      </c>
      <c r="U726" s="93"/>
      <c r="V726" s="93"/>
      <c r="W726" s="93"/>
      <c r="X726" s="93"/>
      <c r="Y726" s="93"/>
      <c r="Z726" s="93"/>
    </row>
    <row r="727">
      <c r="A727" s="93" t="str">
        <f>IFERROR(__xludf.DUMMYFUNCTION("""COMPUTED_VALUE"""),"KIT-#18157")</f>
        <v>KIT-#18157</v>
      </c>
      <c r="B727" s="94">
        <f>IFERROR(__xludf.DUMMYFUNCTION("""COMPUTED_VALUE"""),46149.0)</f>
        <v>46149</v>
      </c>
      <c r="C727" s="93" t="str">
        <f>IFERROR(__xludf.DUMMYFUNCTION("""COMPUTED_VALUE"""),"Kit Delivery")</f>
        <v>Kit Delivery</v>
      </c>
      <c r="D727" s="93">
        <f>IFERROR(__xludf.DUMMYFUNCTION("""COMPUTED_VALUE"""),2.0)</f>
        <v>2</v>
      </c>
      <c r="E727" s="93" t="str">
        <f>IFERROR(__xludf.DUMMYFUNCTION("""COMPUTED_VALUE"""),"Koenig")</f>
        <v>Koenig</v>
      </c>
      <c r="F727" s="93">
        <f>IFERROR(__xludf.DUMMYFUNCTION("""COMPUTED_VALUE"""),2208.0)</f>
        <v>2208</v>
      </c>
      <c r="G727" s="93" t="str">
        <f>IFERROR(__xludf.DUMMYFUNCTION("""COMPUTED_VALUE"""),"Donna Do")</f>
        <v>Donna Do</v>
      </c>
      <c r="H727" s="93">
        <f>IFERROR(__xludf.DUMMYFUNCTION("""COMPUTED_VALUE"""),7.063126727E9)</f>
        <v>7063126727</v>
      </c>
      <c r="I727" s="93" t="str">
        <f>IFERROR(__xludf.DUMMYFUNCTION("""COMPUTED_VALUE"""),"9AM-11AM")</f>
        <v>9AM-11AM</v>
      </c>
      <c r="J727" s="93">
        <f>IFERROR(__xludf.DUMMYFUNCTION("""COMPUTED_VALUE"""),2.0)</f>
        <v>2</v>
      </c>
      <c r="K727" s="93" t="str">
        <f>IFERROR(__xludf.DUMMYFUNCTION("""COMPUTED_VALUE"""),"Complete")</f>
        <v>Complete</v>
      </c>
      <c r="L727" s="93"/>
      <c r="M727" s="94">
        <f>IFERROR(__xludf.DUMMYFUNCTION("""COMPUTED_VALUE"""),46145.22440972222)</f>
        <v>46145.22441</v>
      </c>
      <c r="N727" s="93">
        <f>IFERROR(__xludf.DUMMYFUNCTION("""COMPUTED_VALUE"""),75.0)</f>
        <v>75</v>
      </c>
      <c r="O727" s="93"/>
      <c r="P727" s="93" t="str">
        <f>IFERROR(__xludf.DUMMYFUNCTION("""COMPUTED_VALUE"""),"Kit Delivery")</f>
        <v>Kit Delivery</v>
      </c>
      <c r="Q727" s="93"/>
      <c r="R727" s="93"/>
      <c r="S727" s="93" t="str">
        <f>IFERROR(__xludf.DUMMYFUNCTION("""COMPUTED_VALUE"""),"Dispatch_Images/KIT--18157.Photos.102304.jpg")</f>
        <v>Dispatch_Images/KIT--18157.Photos.102304.jpg</v>
      </c>
      <c r="T727" s="95">
        <f>IFERROR(__xludf.DUMMYFUNCTION("""COMPUTED_VALUE"""),46145.22684027778)</f>
        <v>46145.22684</v>
      </c>
      <c r="U727" s="93"/>
      <c r="V727" s="93"/>
      <c r="W727" s="93"/>
      <c r="X727" s="93"/>
      <c r="Y727" s="93"/>
      <c r="Z727" s="93"/>
    </row>
    <row r="728">
      <c r="A728" s="93" t="str">
        <f>IFERROR(__xludf.DUMMYFUNCTION("""COMPUTED_VALUE"""),"KIT-#18039")</f>
        <v>KIT-#18039</v>
      </c>
      <c r="B728" s="94">
        <f>IFERROR(__xludf.DUMMYFUNCTION("""COMPUTED_VALUE"""),46149.0)</f>
        <v>46149</v>
      </c>
      <c r="C728" s="93" t="str">
        <f>IFERROR(__xludf.DUMMYFUNCTION("""COMPUTED_VALUE"""),"Kit Delivery")</f>
        <v>Kit Delivery</v>
      </c>
      <c r="D728" s="93">
        <f>IFERROR(__xludf.DUMMYFUNCTION("""COMPUTED_VALUE"""),2.0)</f>
        <v>2</v>
      </c>
      <c r="E728" s="93" t="str">
        <f>IFERROR(__xludf.DUMMYFUNCTION("""COMPUTED_VALUE"""),"Liggett")</f>
        <v>Liggett</v>
      </c>
      <c r="F728" s="93">
        <f>IFERROR(__xludf.DUMMYFUNCTION("""COMPUTED_VALUE"""),2321.0)</f>
        <v>2321</v>
      </c>
      <c r="G728" s="93" t="str">
        <f>IFERROR(__xludf.DUMMYFUNCTION("""COMPUTED_VALUE"""),"Min Kim")</f>
        <v>Min Kim</v>
      </c>
      <c r="H728" s="93">
        <f>IFERROR(__xludf.DUMMYFUNCTION("""COMPUTED_VALUE"""),3.239255711E9)</f>
        <v>3239255711</v>
      </c>
      <c r="I728" s="93" t="str">
        <f>IFERROR(__xludf.DUMMYFUNCTION("""COMPUTED_VALUE"""),"1PM-3PM")</f>
        <v>1PM-3PM</v>
      </c>
      <c r="J728" s="93">
        <f>IFERROR(__xludf.DUMMYFUNCTION("""COMPUTED_VALUE"""),1.0)</f>
        <v>1</v>
      </c>
      <c r="K728" s="93" t="str">
        <f>IFERROR(__xludf.DUMMYFUNCTION("""COMPUTED_VALUE"""),"Complete")</f>
        <v>Complete</v>
      </c>
      <c r="L728" s="93"/>
      <c r="M728" s="94">
        <f>IFERROR(__xludf.DUMMYFUNCTION("""COMPUTED_VALUE"""),46145.22572916667)</f>
        <v>46145.22573</v>
      </c>
      <c r="N728" s="93">
        <f>IFERROR(__xludf.DUMMYFUNCTION("""COMPUTED_VALUE"""),78.0)</f>
        <v>78</v>
      </c>
      <c r="O728" s="93"/>
      <c r="P728" s="93" t="str">
        <f>IFERROR(__xludf.DUMMYFUNCTION("""COMPUTED_VALUE"""),"Kit Delivery")</f>
        <v>Kit Delivery</v>
      </c>
      <c r="Q728" s="93"/>
      <c r="R728" s="93"/>
      <c r="S728" s="93" t="str">
        <f>IFERROR(__xludf.DUMMYFUNCTION("""COMPUTED_VALUE"""),"Dispatch_Images/KIT--18039.Photos.102459.jpg")</f>
        <v>Dispatch_Images/KIT--18039.Photos.102459.jpg</v>
      </c>
      <c r="T728" s="95">
        <f>IFERROR(__xludf.DUMMYFUNCTION("""COMPUTED_VALUE"""),46145.22684027778)</f>
        <v>46145.22684</v>
      </c>
      <c r="U728" s="93"/>
      <c r="V728" s="93"/>
      <c r="W728" s="93"/>
      <c r="X728" s="93"/>
      <c r="Y728" s="93"/>
      <c r="Z728" s="93"/>
    </row>
    <row r="729">
      <c r="A729" s="93" t="str">
        <f>IFERROR(__xludf.DUMMYFUNCTION("""COMPUTED_VALUE"""),"KIT-#18135")</f>
        <v>KIT-#18135</v>
      </c>
      <c r="B729" s="94">
        <f>IFERROR(__xludf.DUMMYFUNCTION("""COMPUTED_VALUE"""),46149.0)</f>
        <v>46149</v>
      </c>
      <c r="C729" s="93" t="str">
        <f>IFERROR(__xludf.DUMMYFUNCTION("""COMPUTED_VALUE"""),"Kit Delivery")</f>
        <v>Kit Delivery</v>
      </c>
      <c r="D729" s="93">
        <f>IFERROR(__xludf.DUMMYFUNCTION("""COMPUTED_VALUE"""),2.0)</f>
        <v>2</v>
      </c>
      <c r="E729" s="93" t="str">
        <f>IFERROR(__xludf.DUMMYFUNCTION("""COMPUTED_VALUE"""),"Koenig")</f>
        <v>Koenig</v>
      </c>
      <c r="F729" s="93">
        <f>IFERROR(__xludf.DUMMYFUNCTION("""COMPUTED_VALUE"""),4407.0)</f>
        <v>4407</v>
      </c>
      <c r="G729" s="93" t="str">
        <f>IFERROR(__xludf.DUMMYFUNCTION("""COMPUTED_VALUE"""),"Jacob (Jake) Lee")</f>
        <v>Jacob (Jake) Lee</v>
      </c>
      <c r="H729" s="93">
        <f>IFERROR(__xludf.DUMMYFUNCTION("""COMPUTED_VALUE"""),4.157703588E9)</f>
        <v>4157703588</v>
      </c>
      <c r="I729" s="93" t="str">
        <f>IFERROR(__xludf.DUMMYFUNCTION("""COMPUTED_VALUE"""),"9AM-11AM")</f>
        <v>9AM-11AM</v>
      </c>
      <c r="J729" s="93">
        <f>IFERROR(__xludf.DUMMYFUNCTION("""COMPUTED_VALUE"""),1.0)</f>
        <v>1</v>
      </c>
      <c r="K729" s="93" t="str">
        <f>IFERROR(__xludf.DUMMYFUNCTION("""COMPUTED_VALUE"""),"Complete")</f>
        <v>Complete</v>
      </c>
      <c r="L729" s="93"/>
      <c r="M729" s="94">
        <f>IFERROR(__xludf.DUMMYFUNCTION("""COMPUTED_VALUE"""),46145.22759259259)</f>
        <v>46145.22759</v>
      </c>
      <c r="N729" s="93">
        <f>IFERROR(__xludf.DUMMYFUNCTION("""COMPUTED_VALUE"""),77.0)</f>
        <v>77</v>
      </c>
      <c r="O729" s="93"/>
      <c r="P729" s="93" t="str">
        <f>IFERROR(__xludf.DUMMYFUNCTION("""COMPUTED_VALUE"""),"Kit Delivery")</f>
        <v>Kit Delivery</v>
      </c>
      <c r="Q729" s="93" t="str">
        <f>IFERROR(__xludf.DUMMYFUNCTION("""COMPUTED_VALUE"""),"Please deliver in August to Village House 2052 A (sophomore dorm housing)
Pick up of 5 boxes including: 
2 Elfa Wire Underbed Drawers
1 Headboard
Steel Fridge Cabinet
Floor Lamp
Black Tall Narrow Drawer Chest 
3 Tier Black Rolling Cart
Beanbag
Orange Traf"&amp;"fic Cone
Foldable Hanging Dryer Rack
Rolling Hamper
Shoe Rack
Duvet Insert
Euro/Square Pillow Insert
Long Rectangle Pillow Insert
Mattress Topper
Collapsible Laundry Baskets
Bins (Pantry)
Collapsibe Overdoor Organizer
Bins (Closet)")</f>
        <v>Please deliver in August to Village House 2052 A (sophomore dorm housing)
Pick up of 5 boxes including: 
2 Elfa Wire Underbed Drawers
1 Headboard
Steel Fridge Cabinet
Floor Lamp
Black Tall Narrow Drawer Chest 
3 Tier Black Rolling Cart
Beanbag
Orange Traffic Cone
Foldable Hanging Dryer Rack
Rolling Hamper
Shoe Rack
Duvet Insert
Euro/Square Pillow Insert
Long Rectangle Pillow Insert
Mattress Topper
Collapsible Laundry Baskets
Bins (Pantry)
Collapsibe Overdoor Organizer
Bins (Closet)</v>
      </c>
      <c r="R729" s="93"/>
      <c r="S729" s="93" t="str">
        <f>IFERROR(__xludf.DUMMYFUNCTION("""COMPUTED_VALUE"""),"Dispatch_Images/KIT--18135.Photos.102740.jpg")</f>
        <v>Dispatch_Images/KIT--18135.Photos.102740.jpg</v>
      </c>
      <c r="T729" s="95">
        <f>IFERROR(__xludf.DUMMYFUNCTION("""COMPUTED_VALUE"""),46145.233773148146)</f>
        <v>46145.23377</v>
      </c>
      <c r="U729" s="93"/>
      <c r="V729" s="93"/>
      <c r="W729" s="93"/>
      <c r="X729" s="93"/>
      <c r="Y729" s="93"/>
      <c r="Z729" s="93"/>
    </row>
    <row r="730">
      <c r="A730" s="93" t="str">
        <f>IFERROR(__xludf.DUMMYFUNCTION("""COMPUTED_VALUE"""),"KIT-#17800")</f>
        <v>KIT-#17800</v>
      </c>
      <c r="B730" s="94">
        <f>IFERROR(__xludf.DUMMYFUNCTION("""COMPUTED_VALUE"""),46149.0)</f>
        <v>46149</v>
      </c>
      <c r="C730" s="93" t="str">
        <f>IFERROR(__xludf.DUMMYFUNCTION("""COMPUTED_VALUE"""),"Kit Delivery")</f>
        <v>Kit Delivery</v>
      </c>
      <c r="D730" s="93">
        <f>IFERROR(__xludf.DUMMYFUNCTION("""COMPUTED_VALUE"""),2.0)</f>
        <v>2</v>
      </c>
      <c r="E730" s="93" t="str">
        <f>IFERROR(__xludf.DUMMYFUNCTION("""COMPUTED_VALUE"""),"Liggett")</f>
        <v>Liggett</v>
      </c>
      <c r="F730" s="93">
        <f>IFERROR(__xludf.DUMMYFUNCTION("""COMPUTED_VALUE"""),4524.0)</f>
        <v>4524</v>
      </c>
      <c r="G730" s="93" t="str">
        <f>IFERROR(__xludf.DUMMYFUNCTION("""COMPUTED_VALUE"""),"Antonio Morales")</f>
        <v>Antonio Morales</v>
      </c>
      <c r="H730" s="93">
        <f>IFERROR(__xludf.DUMMYFUNCTION("""COMPUTED_VALUE"""),4.058216666E9)</f>
        <v>4058216666</v>
      </c>
      <c r="I730" s="93" t="str">
        <f>IFERROR(__xludf.DUMMYFUNCTION("""COMPUTED_VALUE"""),"10AM-12PM")</f>
        <v>10AM-12PM</v>
      </c>
      <c r="J730" s="93">
        <f>IFERROR(__xludf.DUMMYFUNCTION("""COMPUTED_VALUE"""),1.0)</f>
        <v>1</v>
      </c>
      <c r="K730" s="93" t="str">
        <f>IFERROR(__xludf.DUMMYFUNCTION("""COMPUTED_VALUE"""),"Complete")</f>
        <v>Complete</v>
      </c>
      <c r="L730" s="93"/>
      <c r="M730" s="94">
        <f>IFERROR(__xludf.DUMMYFUNCTION("""COMPUTED_VALUE"""),46145.22881944444)</f>
        <v>46145.22882</v>
      </c>
      <c r="N730" s="93">
        <f>IFERROR(__xludf.DUMMYFUNCTION("""COMPUTED_VALUE"""),80.0)</f>
        <v>80</v>
      </c>
      <c r="O730" s="93"/>
      <c r="P730" s="93" t="str">
        <f>IFERROR(__xludf.DUMMYFUNCTION("""COMPUTED_VALUE"""),"Kit Delivery")</f>
        <v>Kit Delivery</v>
      </c>
      <c r="Q730" s="93"/>
      <c r="R730" s="93"/>
      <c r="S730" s="93" t="str">
        <f>IFERROR(__xludf.DUMMYFUNCTION("""COMPUTED_VALUE"""),"Dispatch_Images/KIT--17800.Photos.102926.jpg")</f>
        <v>Dispatch_Images/KIT--17800.Photos.102926.jpg</v>
      </c>
      <c r="T730" s="95">
        <f>IFERROR(__xludf.DUMMYFUNCTION("""COMPUTED_VALUE"""),46145.233773148146)</f>
        <v>46145.23377</v>
      </c>
      <c r="U730" s="93"/>
      <c r="V730" s="93"/>
      <c r="W730" s="93"/>
      <c r="X730" s="93"/>
      <c r="Y730" s="93"/>
      <c r="Z730" s="93"/>
    </row>
    <row r="731">
      <c r="A731" s="93" t="str">
        <f>IFERROR(__xludf.DUMMYFUNCTION("""COMPUTED_VALUE"""),"KIT-#17854")</f>
        <v>KIT-#17854</v>
      </c>
      <c r="B731" s="94">
        <f>IFERROR(__xludf.DUMMYFUNCTION("""COMPUTED_VALUE"""),46149.0)</f>
        <v>46149</v>
      </c>
      <c r="C731" s="93" t="str">
        <f>IFERROR(__xludf.DUMMYFUNCTION("""COMPUTED_VALUE"""),"Kit Delivery")</f>
        <v>Kit Delivery</v>
      </c>
      <c r="D731" s="93">
        <f>IFERROR(__xludf.DUMMYFUNCTION("""COMPUTED_VALUE"""),2.0)</f>
        <v>2</v>
      </c>
      <c r="E731" s="93" t="str">
        <f>IFERROR(__xludf.DUMMYFUNCTION("""COMPUTED_VALUE"""),"Liggett")</f>
        <v>Liggett</v>
      </c>
      <c r="F731" s="93" t="str">
        <f>IFERROR(__xludf.DUMMYFUNCTION("""COMPUTED_VALUE"""),"Liggett 3361")</f>
        <v>Liggett 3361</v>
      </c>
      <c r="G731" s="93" t="str">
        <f>IFERROR(__xludf.DUMMYFUNCTION("""COMPUTED_VALUE"""),"Jack Meyer")</f>
        <v>Jack Meyer</v>
      </c>
      <c r="H731" s="93">
        <f>IFERROR(__xludf.DUMMYFUNCTION("""COMPUTED_VALUE"""),6.503859175E9)</f>
        <v>6503859175</v>
      </c>
      <c r="I731" s="93" t="str">
        <f>IFERROR(__xludf.DUMMYFUNCTION("""COMPUTED_VALUE"""),"10AM-12PM")</f>
        <v>10AM-12PM</v>
      </c>
      <c r="J731" s="93">
        <f>IFERROR(__xludf.DUMMYFUNCTION("""COMPUTED_VALUE"""),1.0)</f>
        <v>1</v>
      </c>
      <c r="K731" s="93" t="str">
        <f>IFERROR(__xludf.DUMMYFUNCTION("""COMPUTED_VALUE"""),"Complete")</f>
        <v>Complete</v>
      </c>
      <c r="L731" s="93"/>
      <c r="M731" s="94">
        <f>IFERROR(__xludf.DUMMYFUNCTION("""COMPUTED_VALUE"""),46145.231099537035)</f>
        <v>46145.2311</v>
      </c>
      <c r="N731" s="93">
        <f>IFERROR(__xludf.DUMMYFUNCTION("""COMPUTED_VALUE"""),79.0)</f>
        <v>79</v>
      </c>
      <c r="O731" s="93"/>
      <c r="P731" s="93" t="str">
        <f>IFERROR(__xludf.DUMMYFUNCTION("""COMPUTED_VALUE"""),"Kit Delivery")</f>
        <v>Kit Delivery</v>
      </c>
      <c r="Q731" s="93"/>
      <c r="R731" s="93"/>
      <c r="S731" s="93" t="str">
        <f>IFERROR(__xludf.DUMMYFUNCTION("""COMPUTED_VALUE"""),"Dispatch_Images/KIT--17854.Photos.103243.jpg")</f>
        <v>Dispatch_Images/KIT--17854.Photos.103243.jpg</v>
      </c>
      <c r="T731" s="95">
        <f>IFERROR(__xludf.DUMMYFUNCTION("""COMPUTED_VALUE"""),46145.233773148146)</f>
        <v>46145.23377</v>
      </c>
      <c r="U731" s="93"/>
      <c r="V731" s="93"/>
      <c r="W731" s="93"/>
      <c r="X731" s="93"/>
      <c r="Y731" s="93"/>
      <c r="Z731" s="93"/>
    </row>
    <row r="732">
      <c r="A732" s="93" t="str">
        <f>IFERROR(__xludf.DUMMYFUNCTION("""COMPUTED_VALUE"""),"KIT-#18106")</f>
        <v>KIT-#18106</v>
      </c>
      <c r="B732" s="94">
        <f>IFERROR(__xludf.DUMMYFUNCTION("""COMPUTED_VALUE"""),46149.0)</f>
        <v>46149</v>
      </c>
      <c r="C732" s="93" t="str">
        <f>IFERROR(__xludf.DUMMYFUNCTION("""COMPUTED_VALUE"""),"Kit Delivery")</f>
        <v>Kit Delivery</v>
      </c>
      <c r="D732" s="93">
        <f>IFERROR(__xludf.DUMMYFUNCTION("""COMPUTED_VALUE"""),2.0)</f>
        <v>2</v>
      </c>
      <c r="E732" s="93" t="str">
        <f>IFERROR(__xludf.DUMMYFUNCTION("""COMPUTED_VALUE"""),"Beaumont")</f>
        <v>Beaumont</v>
      </c>
      <c r="F732" s="93">
        <f>IFERROR(__xludf.DUMMYFUNCTION("""COMPUTED_VALUE"""),202.0)</f>
        <v>202</v>
      </c>
      <c r="G732" s="93" t="str">
        <f>IFERROR(__xludf.DUMMYFUNCTION("""COMPUTED_VALUE"""),"Max Ding")</f>
        <v>Max Ding</v>
      </c>
      <c r="H732" s="93">
        <f>IFERROR(__xludf.DUMMYFUNCTION("""COMPUTED_VALUE"""),7.817955799E9)</f>
        <v>7817955799</v>
      </c>
      <c r="I732" s="93" t="str">
        <f>IFERROR(__xludf.DUMMYFUNCTION("""COMPUTED_VALUE"""),"3PM-5PM")</f>
        <v>3PM-5PM</v>
      </c>
      <c r="J732" s="93">
        <f>IFERROR(__xludf.DUMMYFUNCTION("""COMPUTED_VALUE"""),1.0)</f>
        <v>1</v>
      </c>
      <c r="K732" s="93" t="str">
        <f>IFERROR(__xludf.DUMMYFUNCTION("""COMPUTED_VALUE"""),"Complete")</f>
        <v>Complete</v>
      </c>
      <c r="L732" s="93"/>
      <c r="M732" s="94">
        <f>IFERROR(__xludf.DUMMYFUNCTION("""COMPUTED_VALUE"""),46145.23878472223)</f>
        <v>46145.23878</v>
      </c>
      <c r="N732" s="93">
        <f>IFERROR(__xludf.DUMMYFUNCTION("""COMPUTED_VALUE"""),35.0)</f>
        <v>35</v>
      </c>
      <c r="O732" s="93"/>
      <c r="P732" s="93" t="str">
        <f>IFERROR(__xludf.DUMMYFUNCTION("""COMPUTED_VALUE"""),"Kit Delivery")</f>
        <v>Kit Delivery</v>
      </c>
      <c r="Q732" s="93"/>
      <c r="R732" s="93"/>
      <c r="S732" s="93" t="str">
        <f>IFERROR(__xludf.DUMMYFUNCTION("""COMPUTED_VALUE"""),"Dispatch_Images/KIT--18106.Photos.104347.jpg")</f>
        <v>Dispatch_Images/KIT--18106.Photos.104347.jpg</v>
      </c>
      <c r="T732" s="95">
        <f>IFERROR(__xludf.DUMMYFUNCTION("""COMPUTED_VALUE"""),46145.24071759259)</f>
        <v>46145.24072</v>
      </c>
      <c r="U732" s="93"/>
      <c r="V732" s="93"/>
      <c r="W732" s="93"/>
      <c r="X732" s="93"/>
      <c r="Y732" s="93"/>
      <c r="Z732" s="93"/>
    </row>
    <row r="733">
      <c r="A733" s="93" t="str">
        <f>IFERROR(__xludf.DUMMYFUNCTION("""COMPUTED_VALUE"""),"KIT-#17865")</f>
        <v>KIT-#17865</v>
      </c>
      <c r="B733" s="94">
        <f>IFERROR(__xludf.DUMMYFUNCTION("""COMPUTED_VALUE"""),46149.0)</f>
        <v>46149</v>
      </c>
      <c r="C733" s="93" t="str">
        <f>IFERROR(__xludf.DUMMYFUNCTION("""COMPUTED_VALUE"""),"Kit Delivery")</f>
        <v>Kit Delivery</v>
      </c>
      <c r="D733" s="93">
        <f>IFERROR(__xludf.DUMMYFUNCTION("""COMPUTED_VALUE"""),2.0)</f>
        <v>2</v>
      </c>
      <c r="E733" s="93" t="str">
        <f>IFERROR(__xludf.DUMMYFUNCTION("""COMPUTED_VALUE"""),"Beaumont")</f>
        <v>Beaumont</v>
      </c>
      <c r="F733" s="93">
        <f>IFERROR(__xludf.DUMMYFUNCTION("""COMPUTED_VALUE"""),219.0)</f>
        <v>219</v>
      </c>
      <c r="G733" s="93" t="str">
        <f>IFERROR(__xludf.DUMMYFUNCTION("""COMPUTED_VALUE"""),"Neil Murphy")</f>
        <v>Neil Murphy</v>
      </c>
      <c r="H733" s="93">
        <f>IFERROR(__xludf.DUMMYFUNCTION("""COMPUTED_VALUE"""),4.435588233E9)</f>
        <v>4435588233</v>
      </c>
      <c r="I733" s="93" t="str">
        <f>IFERROR(__xludf.DUMMYFUNCTION("""COMPUTED_VALUE"""),"9AM-11AM")</f>
        <v>9AM-11AM</v>
      </c>
      <c r="J733" s="93">
        <f>IFERROR(__xludf.DUMMYFUNCTION("""COMPUTED_VALUE"""),1.0)</f>
        <v>1</v>
      </c>
      <c r="K733" s="93" t="str">
        <f>IFERROR(__xludf.DUMMYFUNCTION("""COMPUTED_VALUE"""),"Complete")</f>
        <v>Complete</v>
      </c>
      <c r="L733" s="93"/>
      <c r="M733" s="94">
        <f>IFERROR(__xludf.DUMMYFUNCTION("""COMPUTED_VALUE"""),46145.24010416667)</f>
        <v>46145.2401</v>
      </c>
      <c r="N733" s="93">
        <f>IFERROR(__xludf.DUMMYFUNCTION("""COMPUTED_VALUE"""),36.0)</f>
        <v>36</v>
      </c>
      <c r="O733" s="93"/>
      <c r="P733" s="93" t="str">
        <f>IFERROR(__xludf.DUMMYFUNCTION("""COMPUTED_VALUE"""),"Kit Delivery")</f>
        <v>Kit Delivery</v>
      </c>
      <c r="Q733" s="93"/>
      <c r="R733" s="93"/>
      <c r="S733" s="93" t="str">
        <f>IFERROR(__xludf.DUMMYFUNCTION("""COMPUTED_VALUE"""),"Dispatch_Images/KIT--17865.Photos.104541.jpg")</f>
        <v>Dispatch_Images/KIT--17865.Photos.104541.jpg</v>
      </c>
      <c r="T733" s="95">
        <f>IFERROR(__xludf.DUMMYFUNCTION("""COMPUTED_VALUE"""),46145.24071759259)</f>
        <v>46145.24072</v>
      </c>
      <c r="U733" s="93"/>
      <c r="V733" s="93"/>
      <c r="W733" s="93"/>
      <c r="X733" s="93"/>
      <c r="Y733" s="93"/>
      <c r="Z733" s="93"/>
    </row>
    <row r="734">
      <c r="A734" s="93" t="str">
        <f>IFERROR(__xludf.DUMMYFUNCTION("""COMPUTED_VALUE"""),"KIT-#17186")</f>
        <v>KIT-#17186</v>
      </c>
      <c r="B734" s="94">
        <f>IFERROR(__xludf.DUMMYFUNCTION("""COMPUTED_VALUE"""),46149.0)</f>
        <v>46149</v>
      </c>
      <c r="C734" s="93" t="str">
        <f>IFERROR(__xludf.DUMMYFUNCTION("""COMPUTED_VALUE"""),"Kit Delivery")</f>
        <v>Kit Delivery</v>
      </c>
      <c r="D734" s="93">
        <f>IFERROR(__xludf.DUMMYFUNCTION("""COMPUTED_VALUE"""),2.0)</f>
        <v>2</v>
      </c>
      <c r="E734" s="93" t="str">
        <f>IFERROR(__xludf.DUMMYFUNCTION("""COMPUTED_VALUE"""),"House 2")</f>
        <v>House 2</v>
      </c>
      <c r="F734" s="93">
        <f>IFERROR(__xludf.DUMMYFUNCTION("""COMPUTED_VALUE"""),203.0)</f>
        <v>203</v>
      </c>
      <c r="G734" s="93" t="str">
        <f>IFERROR(__xludf.DUMMYFUNCTION("""COMPUTED_VALUE"""),"Sachin Blake")</f>
        <v>Sachin Blake</v>
      </c>
      <c r="H734" s="93">
        <f>IFERROR(__xludf.DUMMYFUNCTION("""COMPUTED_VALUE"""),2.159070064E9)</f>
        <v>2159070064</v>
      </c>
      <c r="I734" s="93" t="str">
        <f>IFERROR(__xludf.DUMMYFUNCTION("""COMPUTED_VALUE"""),"3PM-5PM")</f>
        <v>3PM-5PM</v>
      </c>
      <c r="J734" s="93">
        <f>IFERROR(__xludf.DUMMYFUNCTION("""COMPUTED_VALUE"""),2.0)</f>
        <v>2</v>
      </c>
      <c r="K734" s="93" t="str">
        <f>IFERROR(__xludf.DUMMYFUNCTION("""COMPUTED_VALUE"""),"Complete")</f>
        <v>Complete</v>
      </c>
      <c r="L734" s="93"/>
      <c r="M734" s="94">
        <f>IFERROR(__xludf.DUMMYFUNCTION("""COMPUTED_VALUE"""),46145.25033564815)</f>
        <v>46145.25034</v>
      </c>
      <c r="N734" s="93">
        <f>IFERROR(__xludf.DUMMYFUNCTION("""COMPUTED_VALUE"""),103.0)</f>
        <v>103</v>
      </c>
      <c r="O734" s="93"/>
      <c r="P734" s="93" t="str">
        <f>IFERROR(__xludf.DUMMYFUNCTION("""COMPUTED_VALUE"""),"Kit Delivery")</f>
        <v>Kit Delivery</v>
      </c>
      <c r="Q734" s="93"/>
      <c r="R734" s="93"/>
      <c r="S734" s="93" t="str">
        <f>IFERROR(__xludf.DUMMYFUNCTION("""COMPUTED_VALUE"""),"Dispatch_Images/KIT--17186.Photos.110025.jpg")</f>
        <v>Dispatch_Images/KIT--17186.Photos.110025.jpg</v>
      </c>
      <c r="T734" s="95">
        <f>IFERROR(__xludf.DUMMYFUNCTION("""COMPUTED_VALUE"""),46145.25461805556)</f>
        <v>46145.25462</v>
      </c>
      <c r="U734" s="93"/>
      <c r="V734" s="93"/>
      <c r="W734" s="93"/>
      <c r="X734" s="93"/>
      <c r="Y734" s="93"/>
      <c r="Z734" s="93"/>
    </row>
    <row r="735">
      <c r="A735" s="93" t="str">
        <f>IFERROR(__xludf.DUMMYFUNCTION("""COMPUTED_VALUE"""),"KIT-#18180")</f>
        <v>KIT-#18180</v>
      </c>
      <c r="B735" s="94">
        <f>IFERROR(__xludf.DUMMYFUNCTION("""COMPUTED_VALUE"""),46149.0)</f>
        <v>46149</v>
      </c>
      <c r="C735" s="93" t="str">
        <f>IFERROR(__xludf.DUMMYFUNCTION("""COMPUTED_VALUE"""),"Kit Delivery")</f>
        <v>Kit Delivery</v>
      </c>
      <c r="D735" s="93">
        <f>IFERROR(__xludf.DUMMYFUNCTION("""COMPUTED_VALUE"""),2.0)</f>
        <v>2</v>
      </c>
      <c r="E735" s="93" t="str">
        <f>IFERROR(__xludf.DUMMYFUNCTION("""COMPUTED_VALUE"""),"House 3")</f>
        <v>House 3</v>
      </c>
      <c r="F735" s="93">
        <f>IFERROR(__xludf.DUMMYFUNCTION("""COMPUTED_VALUE"""),205.0)</f>
        <v>205</v>
      </c>
      <c r="G735" s="93" t="str">
        <f>IFERROR(__xludf.DUMMYFUNCTION("""COMPUTED_VALUE"""),"Gregory Zubler")</f>
        <v>Gregory Zubler</v>
      </c>
      <c r="H735" s="93">
        <f>IFERROR(__xludf.DUMMYFUNCTION("""COMPUTED_VALUE"""),2.022775295E9)</f>
        <v>2022775295</v>
      </c>
      <c r="I735" s="93" t="str">
        <f>IFERROR(__xludf.DUMMYFUNCTION("""COMPUTED_VALUE"""),"9AM-11AM")</f>
        <v>9AM-11AM</v>
      </c>
      <c r="J735" s="93">
        <f>IFERROR(__xludf.DUMMYFUNCTION("""COMPUTED_VALUE"""),2.0)</f>
        <v>2</v>
      </c>
      <c r="K735" s="93" t="str">
        <f>IFERROR(__xludf.DUMMYFUNCTION("""COMPUTED_VALUE"""),"Complete")</f>
        <v>Complete</v>
      </c>
      <c r="L735" s="93"/>
      <c r="M735" s="94">
        <f>IFERROR(__xludf.DUMMYFUNCTION("""COMPUTED_VALUE"""),46145.25200231481)</f>
        <v>46145.252</v>
      </c>
      <c r="N735" s="93">
        <f>IFERROR(__xludf.DUMMYFUNCTION("""COMPUTED_VALUE"""),104.0)</f>
        <v>104</v>
      </c>
      <c r="O735" s="93"/>
      <c r="P735" s="93" t="str">
        <f>IFERROR(__xludf.DUMMYFUNCTION("""COMPUTED_VALUE"""),"Kit Delivery")</f>
        <v>Kit Delivery</v>
      </c>
      <c r="Q735" s="93"/>
      <c r="R735" s="93"/>
      <c r="S735" s="93" t="str">
        <f>IFERROR(__xludf.DUMMYFUNCTION("""COMPUTED_VALUE"""),"Dispatch_Images/KIT--18180.Photos.110250.jpg")</f>
        <v>Dispatch_Images/KIT--18180.Photos.110250.jpg</v>
      </c>
      <c r="T735" s="95">
        <f>IFERROR(__xludf.DUMMYFUNCTION("""COMPUTED_VALUE"""),46145.25461805556)</f>
        <v>46145.25462</v>
      </c>
      <c r="U735" s="93"/>
      <c r="V735" s="93"/>
      <c r="W735" s="93"/>
      <c r="X735" s="93"/>
      <c r="Y735" s="93"/>
      <c r="Z735" s="93"/>
    </row>
    <row r="736">
      <c r="A736" s="93" t="str">
        <f>IFERROR(__xludf.DUMMYFUNCTION("""COMPUTED_VALUE"""),"KIT-#17487")</f>
        <v>KIT-#17487</v>
      </c>
      <c r="B736" s="94">
        <f>IFERROR(__xludf.DUMMYFUNCTION("""COMPUTED_VALUE"""),46149.0)</f>
        <v>46149</v>
      </c>
      <c r="C736" s="93" t="str">
        <f>IFERROR(__xludf.DUMMYFUNCTION("""COMPUTED_VALUE"""),"Kit Delivery")</f>
        <v>Kit Delivery</v>
      </c>
      <c r="D736" s="93">
        <f>IFERROR(__xludf.DUMMYFUNCTION("""COMPUTED_VALUE"""),2.0)</f>
        <v>2</v>
      </c>
      <c r="E736" s="93" t="str">
        <f>IFERROR(__xludf.DUMMYFUNCTION("""COMPUTED_VALUE"""),"Lopata")</f>
        <v>Lopata</v>
      </c>
      <c r="F736" s="93">
        <f>IFERROR(__xludf.DUMMYFUNCTION("""COMPUTED_VALUE"""),3142.0)</f>
        <v>3142</v>
      </c>
      <c r="G736" s="93" t="str">
        <f>IFERROR(__xludf.DUMMYFUNCTION("""COMPUTED_VALUE"""),"Alice Xu")</f>
        <v>Alice Xu</v>
      </c>
      <c r="H736" s="93">
        <f>IFERROR(__xludf.DUMMYFUNCTION("""COMPUTED_VALUE"""),8.323291499E9)</f>
        <v>8323291499</v>
      </c>
      <c r="I736" s="93" t="str">
        <f>IFERROR(__xludf.DUMMYFUNCTION("""COMPUTED_VALUE"""),"9AM-11AM")</f>
        <v>9AM-11AM</v>
      </c>
      <c r="J736" s="93">
        <f>IFERROR(__xludf.DUMMYFUNCTION("""COMPUTED_VALUE"""),1.0)</f>
        <v>1</v>
      </c>
      <c r="K736" s="93" t="str">
        <f>IFERROR(__xludf.DUMMYFUNCTION("""COMPUTED_VALUE"""),"Complete")</f>
        <v>Complete</v>
      </c>
      <c r="L736" s="93"/>
      <c r="M736" s="94">
        <f>IFERROR(__xludf.DUMMYFUNCTION("""COMPUTED_VALUE"""),46145.26231481481)</f>
        <v>46145.26231</v>
      </c>
      <c r="N736" s="93">
        <f>IFERROR(__xludf.DUMMYFUNCTION("""COMPUTED_VALUE"""),88.0)</f>
        <v>88</v>
      </c>
      <c r="O736" s="93"/>
      <c r="P736" s="93" t="str">
        <f>IFERROR(__xludf.DUMMYFUNCTION("""COMPUTED_VALUE"""),"Kit Delivery")</f>
        <v>Kit Delivery</v>
      </c>
      <c r="Q736" s="93"/>
      <c r="R736" s="93"/>
      <c r="S736" s="93" t="str">
        <f>IFERROR(__xludf.DUMMYFUNCTION("""COMPUTED_VALUE"""),"Dispatch_Images/KIT--17487.Photos.111739.jpg")</f>
        <v>Dispatch_Images/KIT--17487.Photos.111739.jpg</v>
      </c>
      <c r="T736" s="95">
        <f>IFERROR(__xludf.DUMMYFUNCTION("""COMPUTED_VALUE"""),46145.26849537037)</f>
        <v>46145.2685</v>
      </c>
      <c r="U736" s="93"/>
      <c r="V736" s="93"/>
      <c r="W736" s="93"/>
      <c r="X736" s="93"/>
      <c r="Y736" s="93"/>
      <c r="Z736" s="93"/>
    </row>
    <row r="737">
      <c r="A737" s="93" t="str">
        <f>IFERROR(__xludf.DUMMYFUNCTION("""COMPUTED_VALUE"""),"KIT-#17916")</f>
        <v>KIT-#17916</v>
      </c>
      <c r="B737" s="94">
        <f>IFERROR(__xludf.DUMMYFUNCTION("""COMPUTED_VALUE"""),46149.0)</f>
        <v>46149</v>
      </c>
      <c r="C737" s="93" t="str">
        <f>IFERROR(__xludf.DUMMYFUNCTION("""COMPUTED_VALUE"""),"Kit Delivery")</f>
        <v>Kit Delivery</v>
      </c>
      <c r="D737" s="93">
        <f>IFERROR(__xludf.DUMMYFUNCTION("""COMPUTED_VALUE"""),2.0)</f>
        <v>2</v>
      </c>
      <c r="E737" s="93" t="str">
        <f>IFERROR(__xludf.DUMMYFUNCTION("""COMPUTED_VALUE"""),"Lopata")</f>
        <v>Lopata</v>
      </c>
      <c r="F737" s="93">
        <f>IFERROR(__xludf.DUMMYFUNCTION("""COMPUTED_VALUE"""),3134.0)</f>
        <v>3134</v>
      </c>
      <c r="G737" s="93" t="str">
        <f>IFERROR(__xludf.DUMMYFUNCTION("""COMPUTED_VALUE"""),"Foliage Song")</f>
        <v>Foliage Song</v>
      </c>
      <c r="H737" s="93">
        <f>IFERROR(__xludf.DUMMYFUNCTION("""COMPUTED_VALUE"""),3.142034348E9)</f>
        <v>3142034348</v>
      </c>
      <c r="I737" s="93" t="str">
        <f>IFERROR(__xludf.DUMMYFUNCTION("""COMPUTED_VALUE"""),"12PM-2PM")</f>
        <v>12PM-2PM</v>
      </c>
      <c r="J737" s="93">
        <f>IFERROR(__xludf.DUMMYFUNCTION("""COMPUTED_VALUE"""),1.0)</f>
        <v>1</v>
      </c>
      <c r="K737" s="93" t="str">
        <f>IFERROR(__xludf.DUMMYFUNCTION("""COMPUTED_VALUE"""),"Complete")</f>
        <v>Complete</v>
      </c>
      <c r="L737" s="93"/>
      <c r="M737" s="94">
        <f>IFERROR(__xludf.DUMMYFUNCTION("""COMPUTED_VALUE"""),46145.26280092592)</f>
        <v>46145.2628</v>
      </c>
      <c r="N737" s="93">
        <f>IFERROR(__xludf.DUMMYFUNCTION("""COMPUTED_VALUE"""),87.0)</f>
        <v>87</v>
      </c>
      <c r="O737" s="93"/>
      <c r="P737" s="93" t="str">
        <f>IFERROR(__xludf.DUMMYFUNCTION("""COMPUTED_VALUE"""),"Kit Delivery")</f>
        <v>Kit Delivery</v>
      </c>
      <c r="Q737" s="93"/>
      <c r="R737" s="93"/>
      <c r="S737" s="93" t="str">
        <f>IFERROR(__xludf.DUMMYFUNCTION("""COMPUTED_VALUE"""),"Dispatch_Images/KIT--17916.Photos.111823.jpg")</f>
        <v>Dispatch_Images/KIT--17916.Photos.111823.jpg</v>
      </c>
      <c r="T737" s="95">
        <f>IFERROR(__xludf.DUMMYFUNCTION("""COMPUTED_VALUE"""),46145.26849537037)</f>
        <v>46145.2685</v>
      </c>
      <c r="U737" s="93"/>
      <c r="V737" s="93"/>
      <c r="W737" s="93"/>
      <c r="X737" s="93"/>
      <c r="Y737" s="93"/>
      <c r="Z737" s="93"/>
    </row>
    <row r="738">
      <c r="A738" s="93" t="str">
        <f>IFERROR(__xludf.DUMMYFUNCTION("""COMPUTED_VALUE"""),"KIT-#17278")</f>
        <v>KIT-#17278</v>
      </c>
      <c r="B738" s="94">
        <f>IFERROR(__xludf.DUMMYFUNCTION("""COMPUTED_VALUE"""),46149.0)</f>
        <v>46149</v>
      </c>
      <c r="C738" s="93" t="str">
        <f>IFERROR(__xludf.DUMMYFUNCTION("""COMPUTED_VALUE"""),"Kit Delivery")</f>
        <v>Kit Delivery</v>
      </c>
      <c r="D738" s="93">
        <f>IFERROR(__xludf.DUMMYFUNCTION("""COMPUTED_VALUE"""),2.0)</f>
        <v>2</v>
      </c>
      <c r="E738" s="93" t="str">
        <f>IFERROR(__xludf.DUMMYFUNCTION("""COMPUTED_VALUE"""),"Lopata")</f>
        <v>Lopata</v>
      </c>
      <c r="F738" s="93" t="str">
        <f>IFERROR(__xludf.DUMMYFUNCTION("""COMPUTED_VALUE"""),"Lopata-2004-A")</f>
        <v>Lopata-2004-A</v>
      </c>
      <c r="G738" s="93" t="str">
        <f>IFERROR(__xludf.DUMMYFUNCTION("""COMPUTED_VALUE"""),"Phi Chanda")</f>
        <v>Phi Chanda</v>
      </c>
      <c r="H738" s="93"/>
      <c r="I738" s="93" t="str">
        <f>IFERROR(__xludf.DUMMYFUNCTION("""COMPUTED_VALUE"""),"12PM-2PM")</f>
        <v>12PM-2PM</v>
      </c>
      <c r="J738" s="93">
        <f>IFERROR(__xludf.DUMMYFUNCTION("""COMPUTED_VALUE"""),1.0)</f>
        <v>1</v>
      </c>
      <c r="K738" s="93" t="str">
        <f>IFERROR(__xludf.DUMMYFUNCTION("""COMPUTED_VALUE"""),"Complete")</f>
        <v>Complete</v>
      </c>
      <c r="L738" s="93"/>
      <c r="M738" s="94">
        <f>IFERROR(__xludf.DUMMYFUNCTION("""COMPUTED_VALUE"""),46145.27083333333)</f>
        <v>46145.27083</v>
      </c>
      <c r="N738" s="93">
        <f>IFERROR(__xludf.DUMMYFUNCTION("""COMPUTED_VALUE"""),83.0)</f>
        <v>83</v>
      </c>
      <c r="O738" s="93"/>
      <c r="P738" s="93" t="str">
        <f>IFERROR(__xludf.DUMMYFUNCTION("""COMPUTED_VALUE"""),"Kit Delivery")</f>
        <v>Kit Delivery</v>
      </c>
      <c r="Q738" s="93" t="str">
        <f>IFERROR(__xludf.DUMMYFUNCTION("""COMPUTED_VALUE"""),"Customer discovered WASHU10 discount code after purchase was finalized. They would like to apply this discount to future payments.")</f>
        <v>Customer discovered WASHU10 discount code after purchase was finalized. They would like to apply this discount to future payments.</v>
      </c>
      <c r="R738" s="93"/>
      <c r="S738" s="93" t="str">
        <f>IFERROR(__xludf.DUMMYFUNCTION("""COMPUTED_VALUE"""),"Dispatch_Images/KIT--17278.Photos.112956.jpg")</f>
        <v>Dispatch_Images/KIT--17278.Photos.112956.jpg</v>
      </c>
      <c r="T738" s="95">
        <f>IFERROR(__xludf.DUMMYFUNCTION("""COMPUTED_VALUE"""),46145.27545138889)</f>
        <v>46145.27545</v>
      </c>
      <c r="U738" s="93"/>
      <c r="V738" s="93"/>
      <c r="W738" s="93"/>
      <c r="X738" s="93"/>
      <c r="Y738" s="93"/>
      <c r="Z738" s="93"/>
    </row>
    <row r="739">
      <c r="A739" s="93" t="str">
        <f>IFERROR(__xludf.DUMMYFUNCTION("""COMPUTED_VALUE"""),"KIT-#18205")</f>
        <v>KIT-#18205</v>
      </c>
      <c r="B739" s="94">
        <f>IFERROR(__xludf.DUMMYFUNCTION("""COMPUTED_VALUE"""),46149.0)</f>
        <v>46149</v>
      </c>
      <c r="C739" s="93" t="str">
        <f>IFERROR(__xludf.DUMMYFUNCTION("""COMPUTED_VALUE"""),"Kit Delivery")</f>
        <v>Kit Delivery</v>
      </c>
      <c r="D739" s="93">
        <f>IFERROR(__xludf.DUMMYFUNCTION("""COMPUTED_VALUE"""),2.0)</f>
        <v>2</v>
      </c>
      <c r="E739" s="93" t="str">
        <f>IFERROR(__xludf.DUMMYFUNCTION("""COMPUTED_VALUE"""),"Umrath")</f>
        <v>Umrath</v>
      </c>
      <c r="F739" s="93">
        <f>IFERROR(__xludf.DUMMYFUNCTION("""COMPUTED_VALUE"""),1228.0)</f>
        <v>1228</v>
      </c>
      <c r="G739" s="93" t="str">
        <f>IFERROR(__xludf.DUMMYFUNCTION("""COMPUTED_VALUE"""),"Spencer Morse-deBrier")</f>
        <v>Spencer Morse-deBrier</v>
      </c>
      <c r="H739" s="93">
        <f>IFERROR(__xludf.DUMMYFUNCTION("""COMPUTED_VALUE"""),6.505566773E9)</f>
        <v>6505566773</v>
      </c>
      <c r="I739" s="93" t="str">
        <f>IFERROR(__xludf.DUMMYFUNCTION("""COMPUTED_VALUE"""),"10AM-12PM")</f>
        <v>10AM-12PM</v>
      </c>
      <c r="J739" s="93">
        <f>IFERROR(__xludf.DUMMYFUNCTION("""COMPUTED_VALUE"""),2.0)</f>
        <v>2</v>
      </c>
      <c r="K739" s="93" t="str">
        <f>IFERROR(__xludf.DUMMYFUNCTION("""COMPUTED_VALUE"""),"Complete")</f>
        <v>Complete</v>
      </c>
      <c r="L739" s="93"/>
      <c r="M739" s="94">
        <f>IFERROR(__xludf.DUMMYFUNCTION("""COMPUTED_VALUE"""),46145.84777777777)</f>
        <v>46145.84778</v>
      </c>
      <c r="N739" s="93">
        <f>IFERROR(__xludf.DUMMYFUNCTION("""COMPUTED_VALUE"""),20.0)</f>
        <v>20</v>
      </c>
      <c r="O739" s="93"/>
      <c r="P739" s="93" t="str">
        <f>IFERROR(__xludf.DUMMYFUNCTION("""COMPUTED_VALUE"""),"Kit Delivery")</f>
        <v>Kit Delivery</v>
      </c>
      <c r="Q739" s="93"/>
      <c r="R739" s="93"/>
      <c r="S739" s="93" t="str">
        <f>IFERROR(__xludf.DUMMYFUNCTION("""COMPUTED_VALUE"""),"Dispatch_Images/KIT--18205.Photos.012036.jpg")</f>
        <v>Dispatch_Images/KIT--18205.Photos.012036.jpg</v>
      </c>
      <c r="T739" s="95">
        <f>IFERROR(__xludf.DUMMYFUNCTION("""COMPUTED_VALUE"""),46145.8518287037)</f>
        <v>46145.85183</v>
      </c>
      <c r="U739" s="93"/>
      <c r="V739" s="93"/>
      <c r="W739" s="93"/>
      <c r="X739" s="93"/>
      <c r="Y739" s="93"/>
      <c r="Z739" s="93"/>
    </row>
    <row r="740">
      <c r="A740" s="93" t="str">
        <f>IFERROR(__xludf.DUMMYFUNCTION("""COMPUTED_VALUE"""),"KIT-#18199")</f>
        <v>KIT-#18199</v>
      </c>
      <c r="B740" s="94">
        <f>IFERROR(__xludf.DUMMYFUNCTION("""COMPUTED_VALUE"""),46149.0)</f>
        <v>46149</v>
      </c>
      <c r="C740" s="93" t="str">
        <f>IFERROR(__xludf.DUMMYFUNCTION("""COMPUTED_VALUE"""),"Kit Delivery")</f>
        <v>Kit Delivery</v>
      </c>
      <c r="D740" s="93">
        <f>IFERROR(__xludf.DUMMYFUNCTION("""COMPUTED_VALUE"""),2.0)</f>
        <v>2</v>
      </c>
      <c r="E740" s="93" t="str">
        <f>IFERROR(__xludf.DUMMYFUNCTION("""COMPUTED_VALUE"""),"Rutledge")</f>
        <v>Rutledge</v>
      </c>
      <c r="F740" s="93">
        <f>IFERROR(__xludf.DUMMYFUNCTION("""COMPUTED_VALUE"""),32.0)</f>
        <v>32</v>
      </c>
      <c r="G740" s="93" t="str">
        <f>IFERROR(__xludf.DUMMYFUNCTION("""COMPUTED_VALUE"""),"Namya Gupta")</f>
        <v>Namya Gupta</v>
      </c>
      <c r="H740" s="93">
        <f>IFERROR(__xludf.DUMMYFUNCTION("""COMPUTED_VALUE"""),3.14665701E9)</f>
        <v>3146657010</v>
      </c>
      <c r="I740" s="93" t="str">
        <f>IFERROR(__xludf.DUMMYFUNCTION("""COMPUTED_VALUE"""),"11AM-1PM")</f>
        <v>11AM-1PM</v>
      </c>
      <c r="J740" s="93">
        <f>IFERROR(__xludf.DUMMYFUNCTION("""COMPUTED_VALUE"""),2.0)</f>
        <v>2</v>
      </c>
      <c r="K740" s="93" t="str">
        <f>IFERROR(__xludf.DUMMYFUNCTION("""COMPUTED_VALUE"""),"Complete")</f>
        <v>Complete</v>
      </c>
      <c r="L740" s="93"/>
      <c r="M740" s="94">
        <f>IFERROR(__xludf.DUMMYFUNCTION("""COMPUTED_VALUE"""),46145.86341435185)</f>
        <v>46145.86341</v>
      </c>
      <c r="N740" s="93">
        <f>IFERROR(__xludf.DUMMYFUNCTION("""COMPUTED_VALUE"""),12.0)</f>
        <v>12</v>
      </c>
      <c r="O740" s="93"/>
      <c r="P740" s="93" t="str">
        <f>IFERROR(__xludf.DUMMYFUNCTION("""COMPUTED_VALUE"""),"Kit Delivery")</f>
        <v>Kit Delivery</v>
      </c>
      <c r="Q740" s="93"/>
      <c r="R740" s="93"/>
      <c r="S740" s="93" t="str">
        <f>IFERROR(__xludf.DUMMYFUNCTION("""COMPUTED_VALUE"""),"Dispatch_Images/KIT--18199.Photos.014315.jpg")</f>
        <v>Dispatch_Images/KIT--18199.Photos.014315.jpg</v>
      </c>
      <c r="T740" s="95">
        <f>IFERROR(__xludf.DUMMYFUNCTION("""COMPUTED_VALUE"""),46145.86570601852)</f>
        <v>46145.86571</v>
      </c>
      <c r="U740" s="93"/>
      <c r="V740" s="93"/>
      <c r="W740" s="93"/>
      <c r="X740" s="93"/>
      <c r="Y740" s="93"/>
      <c r="Z740" s="93"/>
    </row>
    <row r="741">
      <c r="A741" s="93" t="str">
        <f>IFERROR(__xludf.DUMMYFUNCTION("""COMPUTED_VALUE"""),"KIT-#18193")</f>
        <v>KIT-#18193</v>
      </c>
      <c r="B741" s="94">
        <f>IFERROR(__xludf.DUMMYFUNCTION("""COMPUTED_VALUE"""),46149.0)</f>
        <v>46149</v>
      </c>
      <c r="C741" s="93" t="str">
        <f>IFERROR(__xludf.DUMMYFUNCTION("""COMPUTED_VALUE"""),"Kit Delivery")</f>
        <v>Kit Delivery</v>
      </c>
      <c r="D741" s="93">
        <f>IFERROR(__xludf.DUMMYFUNCTION("""COMPUTED_VALUE"""),2.0)</f>
        <v>2</v>
      </c>
      <c r="E741" s="93" t="str">
        <f>IFERROR(__xludf.DUMMYFUNCTION("""COMPUTED_VALUE"""),"Rutledge")</f>
        <v>Rutledge</v>
      </c>
      <c r="F741" s="93">
        <f>IFERROR(__xludf.DUMMYFUNCTION("""COMPUTED_VALUE"""),322.0)</f>
        <v>322</v>
      </c>
      <c r="G741" s="93" t="str">
        <f>IFERROR(__xludf.DUMMYFUNCTION("""COMPUTED_VALUE"""),"Evelyn Bekker")</f>
        <v>Evelyn Bekker</v>
      </c>
      <c r="H741" s="93">
        <f>IFERROR(__xludf.DUMMYFUNCTION("""COMPUTED_VALUE"""),9.495623722E9)</f>
        <v>9495623722</v>
      </c>
      <c r="I741" s="93" t="str">
        <f>IFERROR(__xludf.DUMMYFUNCTION("""COMPUTED_VALUE"""),"9AM-11AM")</f>
        <v>9AM-11AM</v>
      </c>
      <c r="J741" s="93">
        <f>IFERROR(__xludf.DUMMYFUNCTION("""COMPUTED_VALUE"""),1.0)</f>
        <v>1</v>
      </c>
      <c r="K741" s="93" t="str">
        <f>IFERROR(__xludf.DUMMYFUNCTION("""COMPUTED_VALUE"""),"Complete")</f>
        <v>Complete</v>
      </c>
      <c r="L741" s="93"/>
      <c r="M741" s="94">
        <f>IFERROR(__xludf.DUMMYFUNCTION("""COMPUTED_VALUE"""),46145.8653587963)</f>
        <v>46145.86536</v>
      </c>
      <c r="N741" s="93">
        <f>IFERROR(__xludf.DUMMYFUNCTION("""COMPUTED_VALUE"""),13.0)</f>
        <v>13</v>
      </c>
      <c r="O741" s="93"/>
      <c r="P741" s="93" t="str">
        <f>IFERROR(__xludf.DUMMYFUNCTION("""COMPUTED_VALUE"""),"Kit Delivery")</f>
        <v>Kit Delivery</v>
      </c>
      <c r="Q741" s="93"/>
      <c r="R741" s="93"/>
      <c r="S741" s="93" t="str">
        <f>IFERROR(__xludf.DUMMYFUNCTION("""COMPUTED_VALUE"""),"Dispatch_Images/KIT--18193.Photos.014603.jpg")</f>
        <v>Dispatch_Images/KIT--18193.Photos.014603.jpg</v>
      </c>
      <c r="T741" s="95">
        <f>IFERROR(__xludf.DUMMYFUNCTION("""COMPUTED_VALUE"""),46145.86570601852)</f>
        <v>46145.86571</v>
      </c>
      <c r="U741" s="93"/>
      <c r="V741" s="93"/>
      <c r="W741" s="93"/>
      <c r="X741" s="93"/>
      <c r="Y741" s="93"/>
      <c r="Z741" s="93"/>
    </row>
    <row r="742">
      <c r="A742" s="93" t="str">
        <f>IFERROR(__xludf.DUMMYFUNCTION("""COMPUTED_VALUE"""),"KIT-#18206")</f>
        <v>KIT-#18206</v>
      </c>
      <c r="B742" s="94">
        <f>IFERROR(__xludf.DUMMYFUNCTION("""COMPUTED_VALUE"""),46149.0)</f>
        <v>46149</v>
      </c>
      <c r="C742" s="93" t="str">
        <f>IFERROR(__xludf.DUMMYFUNCTION("""COMPUTED_VALUE"""),"Kit Delivery")</f>
        <v>Kit Delivery</v>
      </c>
      <c r="D742" s="93">
        <f>IFERROR(__xludf.DUMMYFUNCTION("""COMPUTED_VALUE"""),2.0)</f>
        <v>2</v>
      </c>
      <c r="E742" s="93" t="str">
        <f>IFERROR(__xludf.DUMMYFUNCTION("""COMPUTED_VALUE"""),"Lee")</f>
        <v>Lee</v>
      </c>
      <c r="F742" s="93">
        <f>IFERROR(__xludf.DUMMYFUNCTION("""COMPUTED_VALUE"""),107.0)</f>
        <v>107</v>
      </c>
      <c r="G742" s="93" t="str">
        <f>IFERROR(__xludf.DUMMYFUNCTION("""COMPUTED_VALUE"""),"Sedeen Alfityani")</f>
        <v>Sedeen Alfityani</v>
      </c>
      <c r="H742" s="93">
        <f>IFERROR(__xludf.DUMMYFUNCTION("""COMPUTED_VALUE"""),9.092623257E9)</f>
        <v>9092623257</v>
      </c>
      <c r="I742" s="93" t="str">
        <f>IFERROR(__xludf.DUMMYFUNCTION("""COMPUTED_VALUE"""),"9AM-11AM")</f>
        <v>9AM-11AM</v>
      </c>
      <c r="J742" s="93">
        <f>IFERROR(__xludf.DUMMYFUNCTION("""COMPUTED_VALUE"""),1.0)</f>
        <v>1</v>
      </c>
      <c r="K742" s="93" t="str">
        <f>IFERROR(__xludf.DUMMYFUNCTION("""COMPUTED_VALUE"""),"Complete")</f>
        <v>Complete</v>
      </c>
      <c r="L742" s="93"/>
      <c r="M742" s="94">
        <f>IFERROR(__xludf.DUMMYFUNCTION("""COMPUTED_VALUE"""),46145.87018518518)</f>
        <v>46145.87019</v>
      </c>
      <c r="N742" s="93">
        <f>IFERROR(__xludf.DUMMYFUNCTION("""COMPUTED_VALUE"""),9.0)</f>
        <v>9</v>
      </c>
      <c r="O742" s="93"/>
      <c r="P742" s="93" t="str">
        <f>IFERROR(__xludf.DUMMYFUNCTION("""COMPUTED_VALUE"""),"Kit Delivery")</f>
        <v>Kit Delivery</v>
      </c>
      <c r="Q742" s="93"/>
      <c r="R742" s="93"/>
      <c r="S742" s="93" t="str">
        <f>IFERROR(__xludf.DUMMYFUNCTION("""COMPUTED_VALUE"""),"Dispatch_Images/KIT--18206.Photos.015301.jpg")</f>
        <v>Dispatch_Images/KIT--18206.Photos.015301.jpg</v>
      </c>
      <c r="T742" s="95">
        <f>IFERROR(__xludf.DUMMYFUNCTION("""COMPUTED_VALUE"""),46145.87267361111)</f>
        <v>46145.87267</v>
      </c>
      <c r="U742" s="93"/>
      <c r="V742" s="93"/>
      <c r="W742" s="93"/>
      <c r="X742" s="93"/>
      <c r="Y742" s="93"/>
      <c r="Z742" s="93"/>
    </row>
    <row r="743">
      <c r="A743" s="93" t="str">
        <f>IFERROR(__xludf.DUMMYFUNCTION("""COMPUTED_VALUE"""),"KIT-#18196")</f>
        <v>KIT-#18196</v>
      </c>
      <c r="B743" s="94">
        <f>IFERROR(__xludf.DUMMYFUNCTION("""COMPUTED_VALUE"""),46149.0)</f>
        <v>46149</v>
      </c>
      <c r="C743" s="93" t="str">
        <f>IFERROR(__xludf.DUMMYFUNCTION("""COMPUTED_VALUE"""),"Kit Delivery")</f>
        <v>Kit Delivery</v>
      </c>
      <c r="D743" s="93">
        <f>IFERROR(__xludf.DUMMYFUNCTION("""COMPUTED_VALUE"""),2.0)</f>
        <v>2</v>
      </c>
      <c r="E743" s="93" t="str">
        <f>IFERROR(__xludf.DUMMYFUNCTION("""COMPUTED_VALUE"""),"Wheeler")</f>
        <v>Wheeler</v>
      </c>
      <c r="F743" s="93">
        <f>IFERROR(__xludf.DUMMYFUNCTION("""COMPUTED_VALUE"""),2044.0)</f>
        <v>2044</v>
      </c>
      <c r="G743" s="93" t="str">
        <f>IFERROR(__xludf.DUMMYFUNCTION("""COMPUTED_VALUE"""),"Emma Li")</f>
        <v>Emma Li</v>
      </c>
      <c r="H743" s="93">
        <f>IFERROR(__xludf.DUMMYFUNCTION("""COMPUTED_VALUE"""),2.156881756E9)</f>
        <v>2156881756</v>
      </c>
      <c r="I743" s="93" t="str">
        <f>IFERROR(__xludf.DUMMYFUNCTION("""COMPUTED_VALUE"""),"11AM-1PM")</f>
        <v>11AM-1PM</v>
      </c>
      <c r="J743" s="93">
        <f>IFERROR(__xludf.DUMMYFUNCTION("""COMPUTED_VALUE"""),1.0)</f>
        <v>1</v>
      </c>
      <c r="K743" s="93" t="str">
        <f>IFERROR(__xludf.DUMMYFUNCTION("""COMPUTED_VALUE"""),"Complete")</f>
        <v>Complete</v>
      </c>
      <c r="L743" s="93"/>
      <c r="M743" s="94">
        <f>IFERROR(__xludf.DUMMYFUNCTION("""COMPUTED_VALUE"""),46145.87700231481)</f>
        <v>46145.877</v>
      </c>
      <c r="N743" s="93">
        <f>IFERROR(__xludf.DUMMYFUNCTION("""COMPUTED_VALUE"""),6.0)</f>
        <v>6</v>
      </c>
      <c r="O743" s="93"/>
      <c r="P743" s="93" t="str">
        <f>IFERROR(__xludf.DUMMYFUNCTION("""COMPUTED_VALUE"""),"Kit Delivery")</f>
        <v>Kit Delivery</v>
      </c>
      <c r="Q743" s="93"/>
      <c r="R743" s="93"/>
      <c r="S743" s="93" t="str">
        <f>IFERROR(__xludf.DUMMYFUNCTION("""COMPUTED_VALUE"""),"Dispatch_Images/KIT--18196.Photos.020249.jpg")</f>
        <v>Dispatch_Images/KIT--18196.Photos.020249.jpg</v>
      </c>
      <c r="T743" s="95">
        <f>IFERROR(__xludf.DUMMYFUNCTION("""COMPUTED_VALUE"""),46145.87961805556)</f>
        <v>46145.87962</v>
      </c>
      <c r="U743" s="93"/>
      <c r="V743" s="93"/>
      <c r="W743" s="93"/>
      <c r="X743" s="93"/>
      <c r="Y743" s="93"/>
      <c r="Z743" s="93"/>
    </row>
    <row r="744">
      <c r="A744" s="93" t="str">
        <f>IFERROR(__xludf.DUMMYFUNCTION("""COMPUTED_VALUE"""),"KIT-#18213")</f>
        <v>KIT-#18213</v>
      </c>
      <c r="B744" s="94">
        <f>IFERROR(__xludf.DUMMYFUNCTION("""COMPUTED_VALUE"""),46149.0)</f>
        <v>46149</v>
      </c>
      <c r="C744" s="93" t="str">
        <f>IFERROR(__xludf.DUMMYFUNCTION("""COMPUTED_VALUE"""),"Kit Delivery")</f>
        <v>Kit Delivery</v>
      </c>
      <c r="D744" s="93">
        <f>IFERROR(__xludf.DUMMYFUNCTION("""COMPUTED_VALUE"""),2.0)</f>
        <v>2</v>
      </c>
      <c r="E744" s="93" t="str">
        <f>IFERROR(__xludf.DUMMYFUNCTION("""COMPUTED_VALUE"""),"Zetcher")</f>
        <v>Zetcher</v>
      </c>
      <c r="F744" s="93">
        <f>IFERROR(__xludf.DUMMYFUNCTION("""COMPUTED_VALUE"""),3120.0)</f>
        <v>3120</v>
      </c>
      <c r="G744" s="93" t="str">
        <f>IFERROR(__xludf.DUMMYFUNCTION("""COMPUTED_VALUE"""),"Samer Elhoushy")</f>
        <v>Samer Elhoushy</v>
      </c>
      <c r="H744" s="93">
        <f>IFERROR(__xludf.DUMMYFUNCTION("""COMPUTED_VALUE"""),7.725300687E9)</f>
        <v>7725300687</v>
      </c>
      <c r="I744" s="93" t="str">
        <f>IFERROR(__xludf.DUMMYFUNCTION("""COMPUTED_VALUE"""),"10AM-12PM")</f>
        <v>10AM-12PM</v>
      </c>
      <c r="J744" s="93">
        <f>IFERROR(__xludf.DUMMYFUNCTION("""COMPUTED_VALUE"""),1.0)</f>
        <v>1</v>
      </c>
      <c r="K744" s="93" t="str">
        <f>IFERROR(__xludf.DUMMYFUNCTION("""COMPUTED_VALUE"""),"Complete")</f>
        <v>Complete</v>
      </c>
      <c r="L744" s="93"/>
      <c r="M744" s="94">
        <f>IFERROR(__xludf.DUMMYFUNCTION("""COMPUTED_VALUE"""),46145.89226851852)</f>
        <v>46145.89227</v>
      </c>
      <c r="N744" s="93">
        <f>IFERROR(__xludf.DUMMYFUNCTION("""COMPUTED_VALUE"""),24.0)</f>
        <v>24</v>
      </c>
      <c r="O744" s="93"/>
      <c r="P744" s="93" t="str">
        <f>IFERROR(__xludf.DUMMYFUNCTION("""COMPUTED_VALUE"""),"Kit Delivery")</f>
        <v>Kit Delivery</v>
      </c>
      <c r="Q744" s="93"/>
      <c r="R744" s="93"/>
      <c r="S744" s="93" t="str">
        <f>IFERROR(__xludf.DUMMYFUNCTION("""COMPUTED_VALUE"""),"Dispatch_Images/KIT--18213.Photos.022449.jpg")</f>
        <v>Dispatch_Images/KIT--18213.Photos.022449.jpg</v>
      </c>
      <c r="T744" s="95">
        <f>IFERROR(__xludf.DUMMYFUNCTION("""COMPUTED_VALUE"""),46145.89349537037)</f>
        <v>46145.8935</v>
      </c>
      <c r="U744" s="93"/>
      <c r="V744" s="93"/>
      <c r="W744" s="93"/>
      <c r="X744" s="93"/>
      <c r="Y744" s="93"/>
      <c r="Z744" s="93"/>
    </row>
    <row r="745">
      <c r="A745" s="93" t="str">
        <f>IFERROR(__xludf.DUMMYFUNCTION("""COMPUTED_VALUE"""),"KIT-#18224")</f>
        <v>KIT-#18224</v>
      </c>
      <c r="B745" s="94">
        <f>IFERROR(__xludf.DUMMYFUNCTION("""COMPUTED_VALUE"""),46149.0)</f>
        <v>46149</v>
      </c>
      <c r="C745" s="93" t="str">
        <f>IFERROR(__xludf.DUMMYFUNCTION("""COMPUTED_VALUE"""),"Kit Delivery")</f>
        <v>Kit Delivery</v>
      </c>
      <c r="D745" s="93">
        <f>IFERROR(__xludf.DUMMYFUNCTION("""COMPUTED_VALUE"""),2.0)</f>
        <v>2</v>
      </c>
      <c r="E745" s="93" t="str">
        <f>IFERROR(__xludf.DUMMYFUNCTION("""COMPUTED_VALUE"""),"340 Rosedale")</f>
        <v>340 Rosedale</v>
      </c>
      <c r="F745" s="93" t="str">
        <f>IFERROR(__xludf.DUMMYFUNCTION("""COMPUTED_VALUE"""),"1-N-A")</f>
        <v>1-N-A</v>
      </c>
      <c r="G745" s="93" t="str">
        <f>IFERROR(__xludf.DUMMYFUNCTION("""COMPUTED_VALUE"""),"Xinyang Wu")</f>
        <v>Xinyang Wu</v>
      </c>
      <c r="H745" s="93">
        <f>IFERROR(__xludf.DUMMYFUNCTION("""COMPUTED_VALUE"""),8.618321716326E12)</f>
        <v>8618321716326</v>
      </c>
      <c r="I745" s="93" t="str">
        <f>IFERROR(__xludf.DUMMYFUNCTION("""COMPUTED_VALUE"""),"10AM-12PM")</f>
        <v>10AM-12PM</v>
      </c>
      <c r="J745" s="93">
        <f>IFERROR(__xludf.DUMMYFUNCTION("""COMPUTED_VALUE"""),1.0)</f>
        <v>1</v>
      </c>
      <c r="K745" s="93" t="str">
        <f>IFERROR(__xludf.DUMMYFUNCTION("""COMPUTED_VALUE"""),"Complete")</f>
        <v>Complete</v>
      </c>
      <c r="L745" s="93"/>
      <c r="M745" s="94">
        <f>IFERROR(__xludf.DUMMYFUNCTION("""COMPUTED_VALUE"""),46146.668437500004)</f>
        <v>46146.66844</v>
      </c>
      <c r="N745" s="93">
        <f>IFERROR(__xludf.DUMMYFUNCTION("""COMPUTED_VALUE"""),10.0)</f>
        <v>10</v>
      </c>
      <c r="O745" s="93"/>
      <c r="P745" s="93" t="str">
        <f>IFERROR(__xludf.DUMMYFUNCTION("""COMPUTED_VALUE"""),"Kit Delivery")</f>
        <v>Kit Delivery</v>
      </c>
      <c r="Q745" s="93"/>
      <c r="R745" s="93"/>
      <c r="S745" s="93" t="str">
        <f>IFERROR(__xludf.DUMMYFUNCTION("""COMPUTED_VALUE"""),"Dispatch_Images/KIT--18224.Photos.210229.jpg")</f>
        <v>Dispatch_Images/KIT--18224.Photos.210229.jpg</v>
      </c>
      <c r="T745" s="95">
        <f>IFERROR(__xludf.DUMMYFUNCTION("""COMPUTED_VALUE"""),46146.671273148146)</f>
        <v>46146.67127</v>
      </c>
      <c r="U745" s="93"/>
      <c r="V745" s="93"/>
      <c r="W745" s="93"/>
      <c r="X745" s="93"/>
      <c r="Y745" s="93"/>
      <c r="Z745" s="93"/>
    </row>
    <row r="746">
      <c r="A746" s="93" t="str">
        <f>IFERROR(__xludf.DUMMYFUNCTION("""COMPUTED_VALUE"""),"KIT-#18218")</f>
        <v>KIT-#18218</v>
      </c>
      <c r="B746" s="94">
        <f>IFERROR(__xludf.DUMMYFUNCTION("""COMPUTED_VALUE"""),46149.0)</f>
        <v>46149</v>
      </c>
      <c r="C746" s="93" t="str">
        <f>IFERROR(__xludf.DUMMYFUNCTION("""COMPUTED_VALUE"""),"Kit Delivery")</f>
        <v>Kit Delivery</v>
      </c>
      <c r="D746" s="93">
        <f>IFERROR(__xludf.DUMMYFUNCTION("""COMPUTED_VALUE"""),2.0)</f>
        <v>2</v>
      </c>
      <c r="E746" s="93" t="str">
        <f>IFERROR(__xludf.DUMMYFUNCTION("""COMPUTED_VALUE"""),"Nemerov")</f>
        <v>Nemerov</v>
      </c>
      <c r="F746" s="93">
        <f>IFERROR(__xludf.DUMMYFUNCTION("""COMPUTED_VALUE"""),4061.0)</f>
        <v>4061</v>
      </c>
      <c r="G746" s="93" t="str">
        <f>IFERROR(__xludf.DUMMYFUNCTION("""COMPUTED_VALUE"""),"Maddy Lee")</f>
        <v>Maddy Lee</v>
      </c>
      <c r="H746" s="93">
        <f>IFERROR(__xludf.DUMMYFUNCTION("""COMPUTED_VALUE"""),2.035541142E9)</f>
        <v>2035541142</v>
      </c>
      <c r="I746" s="93" t="str">
        <f>IFERROR(__xludf.DUMMYFUNCTION("""COMPUTED_VALUE"""),"1PM-3PM")</f>
        <v>1PM-3PM</v>
      </c>
      <c r="J746" s="93">
        <f>IFERROR(__xludf.DUMMYFUNCTION("""COMPUTED_VALUE"""),1.0)</f>
        <v>1</v>
      </c>
      <c r="K746" s="93" t="str">
        <f>IFERROR(__xludf.DUMMYFUNCTION("""COMPUTED_VALUE"""),"Complete")</f>
        <v>Complete</v>
      </c>
      <c r="L746" s="93"/>
      <c r="M746" s="94">
        <f>IFERROR(__xludf.DUMMYFUNCTION("""COMPUTED_VALUE"""),46146.73829861111)</f>
        <v>46146.7383</v>
      </c>
      <c r="N746" s="93">
        <f>IFERROR(__xludf.DUMMYFUNCTION("""COMPUTED_VALUE"""),4.0)</f>
        <v>4</v>
      </c>
      <c r="O746" s="93" t="str">
        <f>IFERROR(__xludf.DUMMYFUNCTION("""COMPUTED_VALUE"""),"36 Andrews Farm Road, Greenwich, CT 06831")</f>
        <v>36 Andrews Farm Road, Greenwich, CT 06831</v>
      </c>
      <c r="P746" s="93" t="str">
        <f>IFERROR(__xludf.DUMMYFUNCTION("""COMPUTED_VALUE"""),"Kit Delivery")</f>
        <v>Kit Delivery</v>
      </c>
      <c r="Q746" s="93"/>
      <c r="R746" s="93"/>
      <c r="S746" s="93" t="str">
        <f>IFERROR(__xludf.DUMMYFUNCTION("""COMPUTED_VALUE"""),"Dispatch_Images/KIT--18218.Photos.224304.jpg")</f>
        <v>Dispatch_Images/KIT--18218.Photos.224304.jpg</v>
      </c>
      <c r="T746" s="95">
        <f>IFERROR(__xludf.DUMMYFUNCTION("""COMPUTED_VALUE"""),46146.74071759259)</f>
        <v>46146.74072</v>
      </c>
      <c r="U746" s="93"/>
      <c r="V746" s="93"/>
      <c r="W746" s="93"/>
      <c r="X746" s="93"/>
      <c r="Y746" s="93"/>
      <c r="Z746" s="93"/>
    </row>
    <row r="747">
      <c r="A747" s="93" t="str">
        <f>IFERROR(__xludf.DUMMYFUNCTION("""COMPUTED_VALUE"""),"KIT-#18222")</f>
        <v>KIT-#18222</v>
      </c>
      <c r="B747" s="94">
        <f>IFERROR(__xludf.DUMMYFUNCTION("""COMPUTED_VALUE"""),46149.0)</f>
        <v>46149</v>
      </c>
      <c r="C747" s="93" t="str">
        <f>IFERROR(__xludf.DUMMYFUNCTION("""COMPUTED_VALUE"""),"Kit Delivery")</f>
        <v>Kit Delivery</v>
      </c>
      <c r="D747" s="93">
        <f>IFERROR(__xludf.DUMMYFUNCTION("""COMPUTED_VALUE"""),2.0)</f>
        <v>2</v>
      </c>
      <c r="E747" s="93" t="str">
        <f>IFERROR(__xludf.DUMMYFUNCTION("""COMPUTED_VALUE"""),"Gregg")</f>
        <v>Gregg</v>
      </c>
      <c r="F747" s="93">
        <f>IFERROR(__xludf.DUMMYFUNCTION("""COMPUTED_VALUE"""),3121.0)</f>
        <v>3121</v>
      </c>
      <c r="G747" s="93" t="str">
        <f>IFERROR(__xludf.DUMMYFUNCTION("""COMPUTED_VALUE"""),"Alex Pang")</f>
        <v>Alex Pang</v>
      </c>
      <c r="H747" s="93">
        <f>IFERROR(__xludf.DUMMYFUNCTION("""COMPUTED_VALUE"""),9.798377593E9)</f>
        <v>9798377593</v>
      </c>
      <c r="I747" s="93" t="str">
        <f>IFERROR(__xludf.DUMMYFUNCTION("""COMPUTED_VALUE"""),"10AM-12PM")</f>
        <v>10AM-12PM</v>
      </c>
      <c r="J747" s="93">
        <f>IFERROR(__xludf.DUMMYFUNCTION("""COMPUTED_VALUE"""),1.0)</f>
        <v>1</v>
      </c>
      <c r="K747" s="93" t="str">
        <f>IFERROR(__xludf.DUMMYFUNCTION("""COMPUTED_VALUE"""),"Complete")</f>
        <v>Complete</v>
      </c>
      <c r="L747" s="93"/>
      <c r="M747" s="94">
        <f>IFERROR(__xludf.DUMMYFUNCTION("""COMPUTED_VALUE"""),46146.74413194445)</f>
        <v>46146.74413</v>
      </c>
      <c r="N747" s="93">
        <f>IFERROR(__xludf.DUMMYFUNCTION("""COMPUTED_VALUE"""),7.0)</f>
        <v>7</v>
      </c>
      <c r="O747" s="93"/>
      <c r="P747" s="93" t="str">
        <f>IFERROR(__xludf.DUMMYFUNCTION("""COMPUTED_VALUE"""),"Kit Delivery")</f>
        <v>Kit Delivery</v>
      </c>
      <c r="Q747" s="93"/>
      <c r="R747" s="93"/>
      <c r="S747" s="93" t="str">
        <f>IFERROR(__xludf.DUMMYFUNCTION("""COMPUTED_VALUE"""),"Dispatch_Images/KIT--18222.Photos.225129.jpg")</f>
        <v>Dispatch_Images/KIT--18222.Photos.225129.jpg</v>
      </c>
      <c r="T747" s="95">
        <f>IFERROR(__xludf.DUMMYFUNCTION("""COMPUTED_VALUE"""),46146.74765046296)</f>
        <v>46146.74765</v>
      </c>
      <c r="U747" s="93"/>
      <c r="V747" s="93"/>
      <c r="W747" s="93"/>
      <c r="X747" s="93"/>
      <c r="Y747" s="93"/>
      <c r="Z747" s="93"/>
    </row>
    <row r="748">
      <c r="A748" s="93" t="str">
        <f>IFERROR(__xludf.DUMMYFUNCTION("""COMPUTED_VALUE"""),"KIT-#18249")</f>
        <v>KIT-#18249</v>
      </c>
      <c r="B748" s="94">
        <f>IFERROR(__xludf.DUMMYFUNCTION("""COMPUTED_VALUE"""),46149.0)</f>
        <v>46149</v>
      </c>
      <c r="C748" s="93" t="str">
        <f>IFERROR(__xludf.DUMMYFUNCTION("""COMPUTED_VALUE"""),"Kit Delivery")</f>
        <v>Kit Delivery</v>
      </c>
      <c r="D748" s="93">
        <f>IFERROR(__xludf.DUMMYFUNCTION("""COMPUTED_VALUE"""),3.0)</f>
        <v>3</v>
      </c>
      <c r="E748" s="93" t="str">
        <f>IFERROR(__xludf.DUMMYFUNCTION("""COMPUTED_VALUE"""),"Lopata")</f>
        <v>Lopata</v>
      </c>
      <c r="F748" s="93">
        <f>IFERROR(__xludf.DUMMYFUNCTION("""COMPUTED_VALUE"""),2082.0)</f>
        <v>2082</v>
      </c>
      <c r="G748" s="93" t="str">
        <f>IFERROR(__xludf.DUMMYFUNCTION("""COMPUTED_VALUE"""),"Timothy Bueno")</f>
        <v>Timothy Bueno</v>
      </c>
      <c r="H748" s="93">
        <f>IFERROR(__xludf.DUMMYFUNCTION("""COMPUTED_VALUE"""),5.052979003E9)</f>
        <v>5052979003</v>
      </c>
      <c r="I748" s="93" t="str">
        <f>IFERROR(__xludf.DUMMYFUNCTION("""COMPUTED_VALUE"""),"10AM-12PM")</f>
        <v>10AM-12PM</v>
      </c>
      <c r="J748" s="93">
        <f>IFERROR(__xludf.DUMMYFUNCTION("""COMPUTED_VALUE"""),1.0)</f>
        <v>1</v>
      </c>
      <c r="K748" s="93" t="str">
        <f>IFERROR(__xludf.DUMMYFUNCTION("""COMPUTED_VALUE"""),"Complete")</f>
        <v>Complete</v>
      </c>
      <c r="L748" s="93"/>
      <c r="M748" s="94">
        <f>IFERROR(__xludf.DUMMYFUNCTION("""COMPUTED_VALUE"""),46146.88087962963)</f>
        <v>46146.88088</v>
      </c>
      <c r="N748" s="93">
        <f>IFERROR(__xludf.DUMMYFUNCTION("""COMPUTED_VALUE"""),1.0)</f>
        <v>1</v>
      </c>
      <c r="O748" s="93"/>
      <c r="P748" s="93" t="str">
        <f>IFERROR(__xludf.DUMMYFUNCTION("""COMPUTED_VALUE"""),"Kit Delivery")</f>
        <v>Kit Delivery</v>
      </c>
      <c r="Q748" s="93"/>
      <c r="R748" s="93"/>
      <c r="S748" s="93" t="str">
        <f>IFERROR(__xludf.DUMMYFUNCTION("""COMPUTED_VALUE"""),"Dispatch_Images/KIT--18249.Photos.020823.jpg")</f>
        <v>Dispatch_Images/KIT--18249.Photos.020823.jpg</v>
      </c>
      <c r="T748" s="95">
        <f>IFERROR(__xludf.DUMMYFUNCTION("""COMPUTED_VALUE"""),46146.88653935185)</f>
        <v>46146.88654</v>
      </c>
      <c r="U748" s="93"/>
      <c r="V748" s="93"/>
      <c r="W748" s="93"/>
      <c r="X748" s="93"/>
      <c r="Y748" s="93"/>
      <c r="Z748" s="93"/>
    </row>
    <row r="749">
      <c r="A749" s="93" t="str">
        <f>IFERROR(__xludf.DUMMYFUNCTION("""COMPUTED_VALUE"""),"KIT-#17674")</f>
        <v>KIT-#17674</v>
      </c>
      <c r="B749" s="94">
        <f>IFERROR(__xludf.DUMMYFUNCTION("""COMPUTED_VALUE"""),46149.0)</f>
        <v>46149</v>
      </c>
      <c r="C749" s="93" t="str">
        <f>IFERROR(__xludf.DUMMYFUNCTION("""COMPUTED_VALUE"""),"Kit Delivery")</f>
        <v>Kit Delivery</v>
      </c>
      <c r="D749" s="93">
        <f>IFERROR(__xludf.DUMMYFUNCTION("""COMPUTED_VALUE"""),2.0)</f>
        <v>2</v>
      </c>
      <c r="E749" s="93" t="str">
        <f>IFERROR(__xludf.DUMMYFUNCTION("""COMPUTED_VALUE"""),"Off-Campus")</f>
        <v>Off-Campus</v>
      </c>
      <c r="F749" s="93"/>
      <c r="G749" s="93" t="str">
        <f>IFERROR(__xludf.DUMMYFUNCTION("""COMPUTED_VALUE"""),"Stephen Klein")</f>
        <v>Stephen Klein</v>
      </c>
      <c r="H749" s="93">
        <f>IFERROR(__xludf.DUMMYFUNCTION("""COMPUTED_VALUE"""),9.252868104E9)</f>
        <v>9252868104</v>
      </c>
      <c r="I749" s="93"/>
      <c r="J749" s="93">
        <f>IFERROR(__xludf.DUMMYFUNCTION("""COMPUTED_VALUE"""),1.0)</f>
        <v>1</v>
      </c>
      <c r="K749" s="93" t="str">
        <f>IFERROR(__xludf.DUMMYFUNCTION("""COMPUTED_VALUE"""),"Complete")</f>
        <v>Complete</v>
      </c>
      <c r="L749" s="93" t="str">
        <f>IFERROR(__xludf.DUMMYFUNCTION("""COMPUTED_VALUE"""),"Move")</f>
        <v>Move</v>
      </c>
      <c r="M749" s="94">
        <f>IFERROR(__xludf.DUMMYFUNCTION("""COMPUTED_VALUE"""),46147.8506712963)</f>
        <v>46147.85067</v>
      </c>
      <c r="N749" s="93">
        <f>IFERROR(__xludf.DUMMYFUNCTION("""COMPUTED_VALUE"""),41.0)</f>
        <v>41</v>
      </c>
      <c r="O749" s="93" t="str">
        <f>IFERROR(__xludf.DUMMYFUNCTION("""COMPUTED_VALUE"""),"725 Westgate Ave, St. Louis, MO 63105")</f>
        <v>725 Westgate Ave, St. Louis, MO 63105</v>
      </c>
      <c r="P749" s="93" t="str">
        <f>IFERROR(__xludf.DUMMYFUNCTION("""COMPUTED_VALUE"""),"Kit Delivery")</f>
        <v>Kit Delivery</v>
      </c>
      <c r="Q749" s="93" t="str">
        <f>IFERROR(__xludf.DUMMYFUNCTION("""COMPUTED_VALUE"""),"⚠️ MISSING BUILDING in source row 16; MISSING ROOM in source row 16 — This move is from WashU housing to a nearby apartment.  We would like to request for an afternoon move time.  Thank you.")</f>
        <v>⚠️ MISSING BUILDING in source row 16; MISSING ROOM in source row 16 — This move is from WashU housing to a nearby apartment.  We would like to request for an afternoon move time.  Thank you.</v>
      </c>
      <c r="R749" s="93"/>
      <c r="S749" s="93" t="str">
        <f>IFERROR(__xludf.DUMMYFUNCTION("""COMPUTED_VALUE"""),"Dispatch_Images/KIT--17674.Photos.012454.jpg")</f>
        <v>Dispatch_Images/KIT--17674.Photos.012454.jpg</v>
      </c>
      <c r="T749" s="95">
        <f>IFERROR(__xludf.DUMMYFUNCTION("""COMPUTED_VALUE"""),46147.8518287037)</f>
        <v>46147.85183</v>
      </c>
      <c r="U749" s="93"/>
      <c r="V749" s="93"/>
      <c r="W749" s="93"/>
      <c r="X749" s="93"/>
      <c r="Y749" s="93"/>
      <c r="Z749" s="93"/>
    </row>
    <row r="750">
      <c r="A750" s="93" t="str">
        <f>IFERROR(__xludf.DUMMYFUNCTION("""COMPUTED_VALUE"""),"KIT-#18273")</f>
        <v>KIT-#18273</v>
      </c>
      <c r="B750" s="94">
        <f>IFERROR(__xludf.DUMMYFUNCTION("""COMPUTED_VALUE"""),46149.0)</f>
        <v>46149</v>
      </c>
      <c r="C750" s="93" t="str">
        <f>IFERROR(__xludf.DUMMYFUNCTION("""COMPUTED_VALUE"""),"Kit Delivery")</f>
        <v>Kit Delivery</v>
      </c>
      <c r="D750" s="93">
        <f>IFERROR(__xludf.DUMMYFUNCTION("""COMPUTED_VALUE"""),2.0)</f>
        <v>2</v>
      </c>
      <c r="E750" s="93" t="str">
        <f>IFERROR(__xludf.DUMMYFUNCTION("""COMPUTED_VALUE"""),"Village East")</f>
        <v>Village East</v>
      </c>
      <c r="F750" s="93">
        <f>IFERROR(__xludf.DUMMYFUNCTION("""COMPUTED_VALUE"""),3010.0)</f>
        <v>3010</v>
      </c>
      <c r="G750" s="93" t="str">
        <f>IFERROR(__xludf.DUMMYFUNCTION("""COMPUTED_VALUE"""),"Nithya Pippala")</f>
        <v>Nithya Pippala</v>
      </c>
      <c r="H750" s="93">
        <f>IFERROR(__xludf.DUMMYFUNCTION("""COMPUTED_VALUE"""),3.147616366E9)</f>
        <v>3147616366</v>
      </c>
      <c r="I750" s="93" t="str">
        <f>IFERROR(__xludf.DUMMYFUNCTION("""COMPUTED_VALUE"""),"11AM-1PM")</f>
        <v>11AM-1PM</v>
      </c>
      <c r="J750" s="93">
        <f>IFERROR(__xludf.DUMMYFUNCTION("""COMPUTED_VALUE"""),1.0)</f>
        <v>1</v>
      </c>
      <c r="K750" s="93" t="str">
        <f>IFERROR(__xludf.DUMMYFUNCTION("""COMPUTED_VALUE"""),"Complete")</f>
        <v>Complete</v>
      </c>
      <c r="L750" s="93"/>
      <c r="M750" s="94">
        <f>IFERROR(__xludf.DUMMYFUNCTION("""COMPUTED_VALUE"""),46147.86472222222)</f>
        <v>46147.86472</v>
      </c>
      <c r="N750" s="93">
        <f>IFERROR(__xludf.DUMMYFUNCTION("""COMPUTED_VALUE"""),5.0)</f>
        <v>5</v>
      </c>
      <c r="O750" s="93"/>
      <c r="P750" s="93" t="str">
        <f>IFERROR(__xludf.DUMMYFUNCTION("""COMPUTED_VALUE"""),"Kit Delivery")</f>
        <v>Kit Delivery</v>
      </c>
      <c r="Q750" s="93"/>
      <c r="R750" s="93"/>
      <c r="S750" s="93" t="str">
        <f>IFERROR(__xludf.DUMMYFUNCTION("""COMPUTED_VALUE"""),"Dispatch_Images/KIT--18273.Photos.014509.jpg")</f>
        <v>Dispatch_Images/KIT--18273.Photos.014509.jpg</v>
      </c>
      <c r="T750" s="95">
        <f>IFERROR(__xludf.DUMMYFUNCTION("""COMPUTED_VALUE"""),46147.86571759259)</f>
        <v>46147.86572</v>
      </c>
      <c r="U750" s="93"/>
      <c r="V750" s="93"/>
      <c r="W750" s="93"/>
      <c r="X750" s="93"/>
      <c r="Y750" s="93"/>
      <c r="Z750" s="93"/>
    </row>
    <row r="751">
      <c r="A751" s="93" t="str">
        <f>IFERROR(__xludf.DUMMYFUNCTION("""COMPUTED_VALUE"""),"KIT-#18267")</f>
        <v>KIT-#18267</v>
      </c>
      <c r="B751" s="94">
        <f>IFERROR(__xludf.DUMMYFUNCTION("""COMPUTED_VALUE"""),46149.0)</f>
        <v>46149</v>
      </c>
      <c r="C751" s="93" t="str">
        <f>IFERROR(__xludf.DUMMYFUNCTION("""COMPUTED_VALUE"""),"Kit Delivery")</f>
        <v>Kit Delivery</v>
      </c>
      <c r="D751" s="93">
        <f>IFERROR(__xludf.DUMMYFUNCTION("""COMPUTED_VALUE"""),2.0)</f>
        <v>2</v>
      </c>
      <c r="E751" s="93" t="str">
        <f>IFERROR(__xludf.DUMMYFUNCTION("""COMPUTED_VALUE"""),"Lien")</f>
        <v>Lien</v>
      </c>
      <c r="F751" s="93">
        <f>IFERROR(__xludf.DUMMYFUNCTION("""COMPUTED_VALUE"""),2201.0)</f>
        <v>2201</v>
      </c>
      <c r="G751" s="93" t="str">
        <f>IFERROR(__xludf.DUMMYFUNCTION("""COMPUTED_VALUE"""),"June Kim")</f>
        <v>June Kim</v>
      </c>
      <c r="H751" s="93">
        <f>IFERROR(__xludf.DUMMYFUNCTION("""COMPUTED_VALUE"""),5.572289462E9)</f>
        <v>5572289462</v>
      </c>
      <c r="I751" s="93" t="str">
        <f>IFERROR(__xludf.DUMMYFUNCTION("""COMPUTED_VALUE"""),"9AM-11AM")</f>
        <v>9AM-11AM</v>
      </c>
      <c r="J751" s="93">
        <f>IFERROR(__xludf.DUMMYFUNCTION("""COMPUTED_VALUE"""),1.0)</f>
        <v>1</v>
      </c>
      <c r="K751" s="93" t="str">
        <f>IFERROR(__xludf.DUMMYFUNCTION("""COMPUTED_VALUE"""),"Complete")</f>
        <v>Complete</v>
      </c>
      <c r="L751" s="93"/>
      <c r="M751" s="94">
        <f>IFERROR(__xludf.DUMMYFUNCTION("""COMPUTED_VALUE"""),46147.87130787037)</f>
        <v>46147.87131</v>
      </c>
      <c r="N751" s="93">
        <f>IFERROR(__xludf.DUMMYFUNCTION("""COMPUTED_VALUE"""),4.0)</f>
        <v>4</v>
      </c>
      <c r="O751" s="93"/>
      <c r="P751" s="93" t="str">
        <f>IFERROR(__xludf.DUMMYFUNCTION("""COMPUTED_VALUE"""),"Kit Delivery")</f>
        <v>Kit Delivery</v>
      </c>
      <c r="Q751" s="93"/>
      <c r="R751" s="93"/>
      <c r="S751" s="93" t="str">
        <f>IFERROR(__xludf.DUMMYFUNCTION("""COMPUTED_VALUE"""),"Dispatch_Images/KIT--18267.Photos.015438.jpg")</f>
        <v>Dispatch_Images/KIT--18267.Photos.015438.jpg</v>
      </c>
      <c r="T751" s="95">
        <f>IFERROR(__xludf.DUMMYFUNCTION("""COMPUTED_VALUE"""),46147.87265046296)</f>
        <v>46147.87265</v>
      </c>
      <c r="U751" s="93"/>
      <c r="V751" s="93"/>
      <c r="W751" s="93"/>
      <c r="X751" s="93"/>
      <c r="Y751" s="93"/>
      <c r="Z751" s="93"/>
    </row>
    <row r="752">
      <c r="A752" s="93" t="str">
        <f>IFERROR(__xludf.DUMMYFUNCTION("""COMPUTED_VALUE"""),"KIT-#18260")</f>
        <v>KIT-#18260</v>
      </c>
      <c r="B752" s="94">
        <f>IFERROR(__xludf.DUMMYFUNCTION("""COMPUTED_VALUE"""),46149.0)</f>
        <v>46149</v>
      </c>
      <c r="C752" s="93" t="str">
        <f>IFERROR(__xludf.DUMMYFUNCTION("""COMPUTED_VALUE"""),"Kit Delivery")</f>
        <v>Kit Delivery</v>
      </c>
      <c r="D752" s="93">
        <f>IFERROR(__xludf.DUMMYFUNCTION("""COMPUTED_VALUE"""),2.0)</f>
        <v>2</v>
      </c>
      <c r="E752" s="93" t="str">
        <f>IFERROR(__xludf.DUMMYFUNCTION("""COMPUTED_VALUE"""),"Dardick")</f>
        <v>Dardick</v>
      </c>
      <c r="F752" s="93">
        <f>IFERROR(__xludf.DUMMYFUNCTION("""COMPUTED_VALUE"""),2215.0)</f>
        <v>2215</v>
      </c>
      <c r="G752" s="93" t="str">
        <f>IFERROR(__xludf.DUMMYFUNCTION("""COMPUTED_VALUE"""),"Aria Yang")</f>
        <v>Aria Yang</v>
      </c>
      <c r="H752" s="93">
        <f>IFERROR(__xludf.DUMMYFUNCTION("""COMPUTED_VALUE"""),8.577016012E9)</f>
        <v>8577016012</v>
      </c>
      <c r="I752" s="93" t="str">
        <f>IFERROR(__xludf.DUMMYFUNCTION("""COMPUTED_VALUE"""),"12PM-2PM")</f>
        <v>12PM-2PM</v>
      </c>
      <c r="J752" s="93">
        <f>IFERROR(__xludf.DUMMYFUNCTION("""COMPUTED_VALUE"""),1.0)</f>
        <v>1</v>
      </c>
      <c r="K752" s="93" t="str">
        <f>IFERROR(__xludf.DUMMYFUNCTION("""COMPUTED_VALUE"""),"Complete")</f>
        <v>Complete</v>
      </c>
      <c r="L752" s="93"/>
      <c r="M752" s="94">
        <f>IFERROR(__xludf.DUMMYFUNCTION("""COMPUTED_VALUE"""),46147.87538194444)</f>
        <v>46147.87538</v>
      </c>
      <c r="N752" s="93">
        <f>IFERROR(__xludf.DUMMYFUNCTION("""COMPUTED_VALUE"""),3.0)</f>
        <v>3</v>
      </c>
      <c r="O752" s="93"/>
      <c r="P752" s="93" t="str">
        <f>IFERROR(__xludf.DUMMYFUNCTION("""COMPUTED_VALUE"""),"Kit Delivery")</f>
        <v>Kit Delivery</v>
      </c>
      <c r="Q752" s="93"/>
      <c r="R752" s="93"/>
      <c r="S752" s="93" t="str">
        <f>IFERROR(__xludf.DUMMYFUNCTION("""COMPUTED_VALUE"""),"Dispatch_Images/KIT--18260.Photos.020029.jpg")</f>
        <v>Dispatch_Images/KIT--18260.Photos.020029.jpg</v>
      </c>
      <c r="T752" s="95">
        <f>IFERROR(__xludf.DUMMYFUNCTION("""COMPUTED_VALUE"""),46147.879594907405)</f>
        <v>46147.87959</v>
      </c>
      <c r="U752" s="93"/>
      <c r="V752" s="93"/>
      <c r="W752" s="93"/>
      <c r="X752" s="93"/>
      <c r="Y752" s="93"/>
      <c r="Z752" s="93"/>
    </row>
    <row r="753">
      <c r="A753" s="93" t="str">
        <f>IFERROR(__xludf.DUMMYFUNCTION("""COMPUTED_VALUE"""),"KIT-#18258")</f>
        <v>KIT-#18258</v>
      </c>
      <c r="B753" s="94">
        <f>IFERROR(__xludf.DUMMYFUNCTION("""COMPUTED_VALUE"""),46149.0)</f>
        <v>46149</v>
      </c>
      <c r="C753" s="93" t="str">
        <f>IFERROR(__xludf.DUMMYFUNCTION("""COMPUTED_VALUE"""),"Kit Delivery")</f>
        <v>Kit Delivery</v>
      </c>
      <c r="D753" s="93">
        <f>IFERROR(__xludf.DUMMYFUNCTION("""COMPUTED_VALUE"""),2.0)</f>
        <v>2</v>
      </c>
      <c r="E753" s="93" t="str">
        <f>IFERROR(__xludf.DUMMYFUNCTION("""COMPUTED_VALUE"""),"Shepley")</f>
        <v>Shepley</v>
      </c>
      <c r="F753" s="93">
        <f>IFERROR(__xludf.DUMMYFUNCTION("""COMPUTED_VALUE"""),4011.0)</f>
        <v>4011</v>
      </c>
      <c r="G753" s="93" t="str">
        <f>IFERROR(__xludf.DUMMYFUNCTION("""COMPUTED_VALUE"""),"Amira Thadani")</f>
        <v>Amira Thadani</v>
      </c>
      <c r="H753" s="93">
        <f>IFERROR(__xludf.DUMMYFUNCTION("""COMPUTED_VALUE"""),9.143309695E9)</f>
        <v>9143309695</v>
      </c>
      <c r="I753" s="93" t="str">
        <f>IFERROR(__xludf.DUMMYFUNCTION("""COMPUTED_VALUE"""),"3PM-5PM")</f>
        <v>3PM-5PM</v>
      </c>
      <c r="J753" s="93">
        <f>IFERROR(__xludf.DUMMYFUNCTION("""COMPUTED_VALUE"""),1.0)</f>
        <v>1</v>
      </c>
      <c r="K753" s="93" t="str">
        <f>IFERROR(__xludf.DUMMYFUNCTION("""COMPUTED_VALUE"""),"Complete")</f>
        <v>Complete</v>
      </c>
      <c r="L753" s="93"/>
      <c r="M753" s="94">
        <f>IFERROR(__xludf.DUMMYFUNCTION("""COMPUTED_VALUE"""),46147.88344907407)</f>
        <v>46147.88345</v>
      </c>
      <c r="N753" s="93">
        <f>IFERROR(__xludf.DUMMYFUNCTION("""COMPUTED_VALUE"""),2.0)</f>
        <v>2</v>
      </c>
      <c r="O753" s="93"/>
      <c r="P753" s="93" t="str">
        <f>IFERROR(__xludf.DUMMYFUNCTION("""COMPUTED_VALUE"""),"Kit Delivery")</f>
        <v>Kit Delivery</v>
      </c>
      <c r="Q753" s="93"/>
      <c r="R753" s="93"/>
      <c r="S753" s="93" t="str">
        <f>IFERROR(__xludf.DUMMYFUNCTION("""COMPUTED_VALUE"""),"Dispatch_Images/KIT--18258.Photos.021207.jpg")</f>
        <v>Dispatch_Images/KIT--18258.Photos.021207.jpg</v>
      </c>
      <c r="T753" s="95">
        <f>IFERROR(__xludf.DUMMYFUNCTION("""COMPUTED_VALUE"""),46147.88653935185)</f>
        <v>46147.88654</v>
      </c>
      <c r="U753" s="93"/>
      <c r="V753" s="93"/>
      <c r="W753" s="93"/>
      <c r="X753" s="93"/>
      <c r="Y753" s="93"/>
      <c r="Z753" s="93"/>
    </row>
    <row r="754">
      <c r="A754" s="93" t="str">
        <f>IFERROR(__xludf.DUMMYFUNCTION("""COMPUTED_VALUE"""),"KIT-#18280")</f>
        <v>KIT-#18280</v>
      </c>
      <c r="B754" s="94">
        <f>IFERROR(__xludf.DUMMYFUNCTION("""COMPUTED_VALUE"""),46149.0)</f>
        <v>46149</v>
      </c>
      <c r="C754" s="93" t="str">
        <f>IFERROR(__xludf.DUMMYFUNCTION("""COMPUTED_VALUE"""),"Kit Delivery")</f>
        <v>Kit Delivery</v>
      </c>
      <c r="D754" s="93">
        <f>IFERROR(__xludf.DUMMYFUNCTION("""COMPUTED_VALUE"""),2.0)</f>
        <v>2</v>
      </c>
      <c r="E754" s="93" t="str">
        <f>IFERROR(__xludf.DUMMYFUNCTION("""COMPUTED_VALUE"""),"House 7")</f>
        <v>House 7</v>
      </c>
      <c r="F754" s="93">
        <f>IFERROR(__xludf.DUMMYFUNCTION("""COMPUTED_VALUE"""),206.0)</f>
        <v>206</v>
      </c>
      <c r="G754" s="93" t="str">
        <f>IFERROR(__xludf.DUMMYFUNCTION("""COMPUTED_VALUE"""),"Yuyang Tan")</f>
        <v>Yuyang Tan</v>
      </c>
      <c r="H754" s="93">
        <f>IFERROR(__xludf.DUMMYFUNCTION("""COMPUTED_VALUE"""),3.146295114E9)</f>
        <v>3146295114</v>
      </c>
      <c r="I754" s="93" t="str">
        <f>IFERROR(__xludf.DUMMYFUNCTION("""COMPUTED_VALUE"""),"9AM-11AM")</f>
        <v>9AM-11AM</v>
      </c>
      <c r="J754" s="93">
        <f>IFERROR(__xludf.DUMMYFUNCTION("""COMPUTED_VALUE"""),2.0)</f>
        <v>2</v>
      </c>
      <c r="K754" s="93" t="str">
        <f>IFERROR(__xludf.DUMMYFUNCTION("""COMPUTED_VALUE"""),"Complete")</f>
        <v>Complete</v>
      </c>
      <c r="L754" s="93"/>
      <c r="M754" s="94">
        <f>IFERROR(__xludf.DUMMYFUNCTION("""COMPUTED_VALUE"""),46147.90476851852)</f>
        <v>46147.90477</v>
      </c>
      <c r="N754" s="93">
        <f>IFERROR(__xludf.DUMMYFUNCTION("""COMPUTED_VALUE"""),6.0)</f>
        <v>6</v>
      </c>
      <c r="O754" s="93"/>
      <c r="P754" s="93" t="str">
        <f>IFERROR(__xludf.DUMMYFUNCTION("""COMPUTED_VALUE"""),"Kit Delivery")</f>
        <v>Kit Delivery</v>
      </c>
      <c r="Q754" s="93"/>
      <c r="R754" s="93"/>
      <c r="S754" s="93" t="str">
        <f>IFERROR(__xludf.DUMMYFUNCTION("""COMPUTED_VALUE"""),"Dispatch_Images/KIT--18280.Photos.024248.jpg")</f>
        <v>Dispatch_Images/KIT--18280.Photos.024248.jpg</v>
      </c>
      <c r="T754" s="95">
        <f>IFERROR(__xludf.DUMMYFUNCTION("""COMPUTED_VALUE"""),46147.907372685186)</f>
        <v>46147.90737</v>
      </c>
      <c r="U754" s="93"/>
      <c r="V754" s="93"/>
      <c r="W754" s="93"/>
      <c r="X754" s="93"/>
      <c r="Y754" s="93"/>
      <c r="Z754" s="93"/>
    </row>
    <row r="755">
      <c r="A755" s="93" t="str">
        <f>IFERROR(__xludf.DUMMYFUNCTION("""COMPUTED_VALUE"""),"KIT-#16837")</f>
        <v>KIT-#16837</v>
      </c>
      <c r="B755" s="94">
        <f>IFERROR(__xludf.DUMMYFUNCTION("""COMPUTED_VALUE"""),46149.0)</f>
        <v>46149</v>
      </c>
      <c r="C755" s="93" t="str">
        <f>IFERROR(__xludf.DUMMYFUNCTION("""COMPUTED_VALUE"""),"Kit Delivery")</f>
        <v>Kit Delivery</v>
      </c>
      <c r="D755" s="93">
        <f>IFERROR(__xludf.DUMMYFUNCTION("""COMPUTED_VALUE"""),2.0)</f>
        <v>2</v>
      </c>
      <c r="E755" s="93" t="str">
        <f>IFERROR(__xludf.DUMMYFUNCTION("""COMPUTED_VALUE"""),"Shanedling")</f>
        <v>Shanedling</v>
      </c>
      <c r="F755" s="93">
        <f>IFERROR(__xludf.DUMMYFUNCTION("""COMPUTED_VALUE"""),313.0)</f>
        <v>313</v>
      </c>
      <c r="G755" s="93" t="str">
        <f>IFERROR(__xludf.DUMMYFUNCTION("""COMPUTED_VALUE"""),"Sheelsie Cazares")</f>
        <v>Sheelsie Cazares</v>
      </c>
      <c r="H755" s="93">
        <f>IFERROR(__xludf.DUMMYFUNCTION("""COMPUTED_VALUE"""),8.32718682E9)</f>
        <v>8327186820</v>
      </c>
      <c r="I755" s="93" t="str">
        <f>IFERROR(__xludf.DUMMYFUNCTION("""COMPUTED_VALUE"""),"1PM-3PM")</f>
        <v>1PM-3PM</v>
      </c>
      <c r="J755" s="93">
        <f>IFERROR(__xludf.DUMMYFUNCTION("""COMPUTED_VALUE"""),1.0)</f>
        <v>1</v>
      </c>
      <c r="K755" s="93" t="str">
        <f>IFERROR(__xludf.DUMMYFUNCTION("""COMPUTED_VALUE"""),"Issue")</f>
        <v>Issue</v>
      </c>
      <c r="L755" s="93" t="str">
        <f>IFERROR(__xludf.DUMMYFUNCTION("""COMPUTED_VALUE"""),"Canceled")</f>
        <v>Canceled</v>
      </c>
      <c r="M755" s="93"/>
      <c r="N755" s="93">
        <f>IFERROR(__xludf.DUMMYFUNCTION("""COMPUTED_VALUE"""),57.0)</f>
        <v>57</v>
      </c>
      <c r="O755" s="93"/>
      <c r="P755" s="93" t="str">
        <f>IFERROR(__xludf.DUMMYFUNCTION("""COMPUTED_VALUE"""),"Kit Delivery")</f>
        <v>Kit Delivery</v>
      </c>
      <c r="Q755" s="93"/>
      <c r="R755" s="93"/>
      <c r="S755" s="93" t="str">
        <f>IFERROR(__xludf.DUMMYFUNCTION("""COMPUTED_VALUE"""),"Dispatch_Images/KIT--16837.Photos.091000.jpg")</f>
        <v>Dispatch_Images/KIT--16837.Photos.091000.jpg</v>
      </c>
      <c r="T755" s="95">
        <f>IFERROR(__xludf.DUMMYFUNCTION("""COMPUTED_VALUE"""),46145.17820601852)</f>
        <v>46145.17821</v>
      </c>
      <c r="U755" s="93"/>
      <c r="V755" s="93"/>
      <c r="W755" s="93"/>
      <c r="X755" s="93"/>
      <c r="Y755" s="93"/>
      <c r="Z755" s="93"/>
    </row>
    <row r="756">
      <c r="A756" s="93" t="str">
        <f>IFERROR(__xludf.DUMMYFUNCTION("""COMPUTED_VALUE"""),"KIT-#17059")</f>
        <v>KIT-#17059</v>
      </c>
      <c r="B756" s="94">
        <f>IFERROR(__xludf.DUMMYFUNCTION("""COMPUTED_VALUE"""),46149.0)</f>
        <v>46149</v>
      </c>
      <c r="C756" s="93" t="str">
        <f>IFERROR(__xludf.DUMMYFUNCTION("""COMPUTED_VALUE"""),"Kit Delivery")</f>
        <v>Kit Delivery</v>
      </c>
      <c r="D756" s="93">
        <f>IFERROR(__xludf.DUMMYFUNCTION("""COMPUTED_VALUE"""),2.0)</f>
        <v>2</v>
      </c>
      <c r="E756" s="93" t="str">
        <f>IFERROR(__xludf.DUMMYFUNCTION("""COMPUTED_VALUE"""),"Umrath")</f>
        <v>Umrath</v>
      </c>
      <c r="F756" s="93">
        <f>IFERROR(__xludf.DUMMYFUNCTION("""COMPUTED_VALUE"""),4424.0)</f>
        <v>4424</v>
      </c>
      <c r="G756" s="93" t="str">
        <f>IFERROR(__xludf.DUMMYFUNCTION("""COMPUTED_VALUE"""),"Eric Jiang")</f>
        <v>Eric Jiang</v>
      </c>
      <c r="H756" s="93" t="str">
        <f>IFERROR(__xludf.DUMMYFUNCTION("""COMPUTED_VALUE"""),"(516)-554-6187")</f>
        <v>(516)-554-6187</v>
      </c>
      <c r="I756" s="93" t="str">
        <f>IFERROR(__xludf.DUMMYFUNCTION("""COMPUTED_VALUE"""),"11AM-1PM")</f>
        <v>11AM-1PM</v>
      </c>
      <c r="J756" s="93">
        <f>IFERROR(__xludf.DUMMYFUNCTION("""COMPUTED_VALUE"""),2.0)</f>
        <v>2</v>
      </c>
      <c r="K756" s="93" t="str">
        <f>IFERROR(__xludf.DUMMYFUNCTION("""COMPUTED_VALUE"""),"Issue")</f>
        <v>Issue</v>
      </c>
      <c r="L756" s="93" t="str">
        <f>IFERROR(__xludf.DUMMYFUNCTION("""COMPUTED_VALUE"""),"This guy has two orders that are exactly the same. Needs only 2 kits not 4.")</f>
        <v>This guy has two orders that are exactly the same. Needs only 2 kits not 4.</v>
      </c>
      <c r="M756" s="93"/>
      <c r="N756" s="93">
        <f>IFERROR(__xludf.DUMMYFUNCTION("""COMPUTED_VALUE"""),178.0)</f>
        <v>178</v>
      </c>
      <c r="O756" s="93"/>
      <c r="P756" s="93" t="str">
        <f>IFERROR(__xludf.DUMMYFUNCTION("""COMPUTED_VALUE"""),"Kit Delivery")</f>
        <v>Kit Delivery</v>
      </c>
      <c r="Q756" s="93"/>
      <c r="R756" s="93"/>
      <c r="S756" s="93" t="str">
        <f>IFERROR(__xludf.DUMMYFUNCTION("""COMPUTED_VALUE"""),"Dispatch_Images/KIT--17059.Photos.014425.jpg")</f>
        <v>Dispatch_Images/KIT--17059.Photos.014425.jpg</v>
      </c>
      <c r="T756" s="95">
        <f>IFERROR(__xludf.DUMMYFUNCTION("""COMPUTED_VALUE"""),46129.870162037034)</f>
        <v>46129.87016</v>
      </c>
      <c r="U756" s="93"/>
      <c r="V756" s="93"/>
      <c r="W756" s="93"/>
      <c r="X756" s="93"/>
      <c r="Y756" s="93"/>
      <c r="Z756" s="93"/>
    </row>
    <row r="757">
      <c r="A757" s="93" t="str">
        <f>IFERROR(__xludf.DUMMYFUNCTION("""COMPUTED_VALUE"""),"KIT-#17459")</f>
        <v>KIT-#17459</v>
      </c>
      <c r="B757" s="94">
        <f>IFERROR(__xludf.DUMMYFUNCTION("""COMPUTED_VALUE"""),46149.0)</f>
        <v>46149</v>
      </c>
      <c r="C757" s="93" t="str">
        <f>IFERROR(__xludf.DUMMYFUNCTION("""COMPUTED_VALUE"""),"Kit Delivery")</f>
        <v>Kit Delivery</v>
      </c>
      <c r="D757" s="93">
        <f>IFERROR(__xludf.DUMMYFUNCTION("""COMPUTED_VALUE"""),2.0)</f>
        <v>2</v>
      </c>
      <c r="E757" s="93" t="str">
        <f>IFERROR(__xludf.DUMMYFUNCTION("""COMPUTED_VALUE"""),"Lopata")</f>
        <v>Lopata</v>
      </c>
      <c r="F757" s="93">
        <f>IFERROR(__xludf.DUMMYFUNCTION("""COMPUTED_VALUE"""),3032.0)</f>
        <v>3032</v>
      </c>
      <c r="G757" s="93" t="str">
        <f>IFERROR(__xludf.DUMMYFUNCTION("""COMPUTED_VALUE"""),"Sydney Baker")</f>
        <v>Sydney Baker</v>
      </c>
      <c r="H757" s="93">
        <f>IFERROR(__xludf.DUMMYFUNCTION("""COMPUTED_VALUE"""),5.166260596E9)</f>
        <v>5166260596</v>
      </c>
      <c r="I757" s="93" t="str">
        <f>IFERROR(__xludf.DUMMYFUNCTION("""COMPUTED_VALUE"""),"3PM-5PM")</f>
        <v>3PM-5PM</v>
      </c>
      <c r="J757" s="93">
        <f>IFERROR(__xludf.DUMMYFUNCTION("""COMPUTED_VALUE"""),4.0)</f>
        <v>4</v>
      </c>
      <c r="K757" s="93" t="str">
        <f>IFERROR(__xludf.DUMMYFUNCTION("""COMPUTED_VALUE"""),"Complete")</f>
        <v>Complete</v>
      </c>
      <c r="L757" s="93"/>
      <c r="M757" s="93"/>
      <c r="N757" s="93">
        <f>IFERROR(__xludf.DUMMYFUNCTION("""COMPUTED_VALUE"""),123.0)</f>
        <v>123</v>
      </c>
      <c r="O757" s="93"/>
      <c r="P757" s="93" t="str">
        <f>IFERROR(__xludf.DUMMYFUNCTION("""COMPUTED_VALUE"""),"Kit Delivery")</f>
        <v>Kit Delivery</v>
      </c>
      <c r="Q757" s="93"/>
      <c r="R757" s="93"/>
      <c r="S757" s="93"/>
      <c r="T757" s="95">
        <f>IFERROR(__xludf.DUMMYFUNCTION("""COMPUTED_VALUE"""),46142.69212962963)</f>
        <v>46142.69213</v>
      </c>
      <c r="U757" s="93"/>
      <c r="V757" s="93"/>
      <c r="W757" s="93"/>
      <c r="X757" s="93"/>
      <c r="Y757" s="93"/>
      <c r="Z757" s="93"/>
    </row>
    <row r="758">
      <c r="A758" s="93" t="str">
        <f>IFERROR(__xludf.DUMMYFUNCTION("""COMPUTED_VALUE"""),"KIT-#17484")</f>
        <v>KIT-#17484</v>
      </c>
      <c r="B758" s="94">
        <f>IFERROR(__xludf.DUMMYFUNCTION("""COMPUTED_VALUE"""),46149.0)</f>
        <v>46149</v>
      </c>
      <c r="C758" s="93" t="str">
        <f>IFERROR(__xludf.DUMMYFUNCTION("""COMPUTED_VALUE"""),"Kit Delivery")</f>
        <v>Kit Delivery</v>
      </c>
      <c r="D758" s="93">
        <f>IFERROR(__xludf.DUMMYFUNCTION("""COMPUTED_VALUE"""),1.0)</f>
        <v>1</v>
      </c>
      <c r="E758" s="93" t="str">
        <f>IFERROR(__xludf.DUMMYFUNCTION("""COMPUTED_VALUE"""),"Danforth")</f>
        <v>Danforth</v>
      </c>
      <c r="F758" s="93">
        <f>IFERROR(__xludf.DUMMYFUNCTION("""COMPUTED_VALUE"""),4427.0)</f>
        <v>4427</v>
      </c>
      <c r="G758" s="93" t="str">
        <f>IFERROR(__xludf.DUMMYFUNCTION("""COMPUTED_VALUE"""),"Noa Abergel")</f>
        <v>Noa Abergel</v>
      </c>
      <c r="H758" s="93">
        <f>IFERROR(__xludf.DUMMYFUNCTION("""COMPUTED_VALUE"""),6.469570605E9)</f>
        <v>6469570605</v>
      </c>
      <c r="I758" s="93" t="str">
        <f>IFERROR(__xludf.DUMMYFUNCTION("""COMPUTED_VALUE"""),"9AM-11AM")</f>
        <v>9AM-11AM</v>
      </c>
      <c r="J758" s="93">
        <f>IFERROR(__xludf.DUMMYFUNCTION("""COMPUTED_VALUE"""),2.0)</f>
        <v>2</v>
      </c>
      <c r="K758" s="93" t="str">
        <f>IFERROR(__xludf.DUMMYFUNCTION("""COMPUTED_VALUE"""),"Complete")</f>
        <v>Complete</v>
      </c>
      <c r="L758" s="93"/>
      <c r="M758" s="93"/>
      <c r="N758" s="93">
        <f>IFERROR(__xludf.DUMMYFUNCTION("""COMPUTED_VALUE"""),35.0)</f>
        <v>35</v>
      </c>
      <c r="O758" s="93"/>
      <c r="P758" s="93" t="str">
        <f>IFERROR(__xludf.DUMMYFUNCTION("""COMPUTED_VALUE"""),"Kit Delivery")</f>
        <v>Kit Delivery</v>
      </c>
      <c r="Q758" s="93" t="str">
        <f>IFERROR(__xludf.DUMMYFUNCTION("""COMPUTED_VALUE"""),"Please deliver today and text me the time before or call at 6469570605. Thank you.")</f>
        <v>Please deliver today and text me the time before or call at 6469570605. Thank you.</v>
      </c>
      <c r="R758" s="93"/>
      <c r="S758" s="93"/>
      <c r="T758" s="95">
        <f>IFERROR(__xludf.DUMMYFUNCTION("""COMPUTED_VALUE"""),46125.703518518516)</f>
        <v>46125.70352</v>
      </c>
      <c r="U758" s="93" t="str">
        <f>IFERROR(__xludf.DUMMYFUNCTION("""COMPUTED_VALUE"""),"#17484")</f>
        <v>#17484</v>
      </c>
      <c r="V758" s="93"/>
      <c r="W758" s="93"/>
      <c r="X758" s="93"/>
      <c r="Y758" s="93"/>
      <c r="Z758" s="93"/>
    </row>
    <row r="759">
      <c r="A759" s="93" t="str">
        <f>IFERROR(__xludf.DUMMYFUNCTION("""COMPUTED_VALUE"""),"KIT-#17507")</f>
        <v>KIT-#17507</v>
      </c>
      <c r="B759" s="94">
        <f>IFERROR(__xludf.DUMMYFUNCTION("""COMPUTED_VALUE"""),46149.0)</f>
        <v>46149</v>
      </c>
      <c r="C759" s="93" t="str">
        <f>IFERROR(__xludf.DUMMYFUNCTION("""COMPUTED_VALUE"""),"Kit Delivery")</f>
        <v>Kit Delivery</v>
      </c>
      <c r="D759" s="93">
        <f>IFERROR(__xludf.DUMMYFUNCTION("""COMPUTED_VALUE"""),3.0)</f>
        <v>3</v>
      </c>
      <c r="E759" s="93" t="str">
        <f>IFERROR(__xludf.DUMMYFUNCTION("""COMPUTED_VALUE"""),"Unknown Building")</f>
        <v>Unknown Building</v>
      </c>
      <c r="F759" s="93"/>
      <c r="G759" s="93" t="str">
        <f>IFERROR(__xludf.DUMMYFUNCTION("""COMPUTED_VALUE"""),"Vivian Robles Pinos")</f>
        <v>Vivian Robles Pinos</v>
      </c>
      <c r="H759" s="93">
        <f>IFERROR(__xludf.DUMMYFUNCTION("""COMPUTED_VALUE"""),9.739819603E9)</f>
        <v>9739819603</v>
      </c>
      <c r="I759" s="93"/>
      <c r="J759" s="93">
        <f>IFERROR(__xludf.DUMMYFUNCTION("""COMPUTED_VALUE"""),0.0)</f>
        <v>0</v>
      </c>
      <c r="K759" s="93" t="str">
        <f>IFERROR(__xludf.DUMMYFUNCTION("""COMPUTED_VALUE"""),"Complete")</f>
        <v>Complete</v>
      </c>
      <c r="L759" s="93"/>
      <c r="M759" s="93"/>
      <c r="N759" s="93">
        <f>IFERROR(__xludf.DUMMYFUNCTION("""COMPUTED_VALUE"""),40.0)</f>
        <v>40</v>
      </c>
      <c r="O759" s="93" t="str">
        <f>IFERROR(__xludf.DUMMYFUNCTION("""COMPUTED_VALUE"""),"6041 Waterman Blvd 3E St. Louis, MO 63112")</f>
        <v>6041 Waterman Blvd 3E St. Louis, MO 63112</v>
      </c>
      <c r="P759" s="93" t="str">
        <f>IFERROR(__xludf.DUMMYFUNCTION("""COMPUTED_VALUE"""),"Kit Delivery")</f>
        <v>Kit Delivery</v>
      </c>
      <c r="Q759" s="93" t="str">
        <f>IFERROR(__xludf.DUMMYFUNCTION("""COMPUTED_VALUE"""),"⚠️ MISSING BUILDING in source row 15; MISSING ROOM in source row 15")</f>
        <v>⚠️ MISSING BUILDING in source row 15; MISSING ROOM in source row 15</v>
      </c>
      <c r="R759" s="93"/>
      <c r="S759" s="93"/>
      <c r="T759" s="95">
        <f>IFERROR(__xludf.DUMMYFUNCTION("""COMPUTED_VALUE"""),46146.80321759259)</f>
        <v>46146.80322</v>
      </c>
      <c r="U759" s="93"/>
      <c r="V759" s="93"/>
      <c r="W759" s="93"/>
      <c r="X759" s="93"/>
      <c r="Y759" s="93"/>
      <c r="Z759" s="93"/>
    </row>
    <row r="760">
      <c r="A760" s="93" t="str">
        <f>IFERROR(__xludf.DUMMYFUNCTION("""COMPUTED_VALUE"""),"KIT-#18136")</f>
        <v>KIT-#18136</v>
      </c>
      <c r="B760" s="94">
        <f>IFERROR(__xludf.DUMMYFUNCTION("""COMPUTED_VALUE"""),46149.0)</f>
        <v>46149</v>
      </c>
      <c r="C760" s="93" t="str">
        <f>IFERROR(__xludf.DUMMYFUNCTION("""COMPUTED_VALUE"""),"Kit Delivery")</f>
        <v>Kit Delivery</v>
      </c>
      <c r="D760" s="93">
        <f>IFERROR(__xludf.DUMMYFUNCTION("""COMPUTED_VALUE"""),2.0)</f>
        <v>2</v>
      </c>
      <c r="E760" s="93" t="str">
        <f>IFERROR(__xludf.DUMMYFUNCTION("""COMPUTED_VALUE"""),"Unknown Building")</f>
        <v>Unknown Building</v>
      </c>
      <c r="F760" s="93"/>
      <c r="G760" s="93" t="str">
        <f>IFERROR(__xludf.DUMMYFUNCTION("""COMPUTED_VALUE"""),"Samantha")</f>
        <v>Samantha</v>
      </c>
      <c r="H760" s="93">
        <f>IFERROR(__xludf.DUMMYFUNCTION("""COMPUTED_VALUE"""),7.73771286E9)</f>
        <v>7737712860</v>
      </c>
      <c r="I760" s="93"/>
      <c r="J760" s="93">
        <f>IFERROR(__xludf.DUMMYFUNCTION("""COMPUTED_VALUE"""),0.0)</f>
        <v>0</v>
      </c>
      <c r="K760" s="93" t="str">
        <f>IFERROR(__xludf.DUMMYFUNCTION("""COMPUTED_VALUE"""),"Complete")</f>
        <v>Complete</v>
      </c>
      <c r="L760" s="93" t="str">
        <f>IFERROR(__xludf.DUMMYFUNCTION("""COMPUTED_VALUE"""),"Move")</f>
        <v>Move</v>
      </c>
      <c r="M760" s="93"/>
      <c r="N760" s="93">
        <f>IFERROR(__xludf.DUMMYFUNCTION("""COMPUTED_VALUE"""),7.0)</f>
        <v>7</v>
      </c>
      <c r="O760" s="93" t="str">
        <f>IFERROR(__xludf.DUMMYFUNCTION("""COMPUTED_VALUE"""),"7100 Forsyth")</f>
        <v>7100 Forsyth</v>
      </c>
      <c r="P760" s="93" t="str">
        <f>IFERROR(__xludf.DUMMYFUNCTION("""COMPUTED_VALUE"""),"Kit Delivery")</f>
        <v>Kit Delivery</v>
      </c>
      <c r="Q760" s="93" t="str">
        <f>IFERROR(__xludf.DUMMYFUNCTION("""COMPUTED_VALUE"""),"⚠️ MISSING BUILDING in source row 19; MISSING ROOM in source row 19 — moving from dorm to house upper unit. Samantha 646-799-8253. Call Pam/Mom 773771-2860 as samantha is in finals")</f>
        <v>⚠️ MISSING BUILDING in source row 19; MISSING ROOM in source row 19 — moving from dorm to house upper unit. Samantha 646-799-8253. Call Pam/Mom 773771-2860 as samantha is in finals</v>
      </c>
      <c r="R760" s="93"/>
      <c r="S760" s="93"/>
      <c r="T760" s="95">
        <f>IFERROR(__xludf.DUMMYFUNCTION("""COMPUTED_VALUE"""),46146.94903935185)</f>
        <v>46146.94904</v>
      </c>
      <c r="U760" s="93"/>
      <c r="V760" s="93"/>
      <c r="W760" s="93"/>
      <c r="X760" s="93"/>
      <c r="Y760" s="93"/>
      <c r="Z760" s="93"/>
    </row>
    <row r="761">
      <c r="A761" s="93" t="str">
        <f>IFERROR(__xludf.DUMMYFUNCTION("""COMPUTED_VALUE"""),"KIT-#18279")</f>
        <v>KIT-#18279</v>
      </c>
      <c r="B761" s="94">
        <f>IFERROR(__xludf.DUMMYFUNCTION("""COMPUTED_VALUE"""),46149.0)</f>
        <v>46149</v>
      </c>
      <c r="C761" s="93" t="str">
        <f>IFERROR(__xludf.DUMMYFUNCTION("""COMPUTED_VALUE"""),"Kit Delivery")</f>
        <v>Kit Delivery</v>
      </c>
      <c r="D761" s="93">
        <f>IFERROR(__xludf.DUMMYFUNCTION("""COMPUTED_VALUE"""),2.0)</f>
        <v>2</v>
      </c>
      <c r="E761" s="93" t="str">
        <f>IFERROR(__xludf.DUMMYFUNCTION("""COMPUTED_VALUE"""),"Danforth")</f>
        <v>Danforth</v>
      </c>
      <c r="F761" s="93">
        <f>IFERROR(__xludf.DUMMYFUNCTION("""COMPUTED_VALUE"""),3319.0)</f>
        <v>3319</v>
      </c>
      <c r="G761" s="93" t="str">
        <f>IFERROR(__xludf.DUMMYFUNCTION("""COMPUTED_VALUE"""),"Aviva Kleinhaus")</f>
        <v>Aviva Kleinhaus</v>
      </c>
      <c r="H761" s="93">
        <f>IFERROR(__xludf.DUMMYFUNCTION("""COMPUTED_VALUE"""),9.174801265E9)</f>
        <v>9174801265</v>
      </c>
      <c r="I761" s="93" t="str">
        <f>IFERROR(__xludf.DUMMYFUNCTION("""COMPUTED_VALUE"""),"1PM-3PM")</f>
        <v>1PM-3PM</v>
      </c>
      <c r="J761" s="93">
        <f>IFERROR(__xludf.DUMMYFUNCTION("""COMPUTED_VALUE"""),0.0)</f>
        <v>0</v>
      </c>
      <c r="K761" s="93" t="str">
        <f>IFERROR(__xludf.DUMMYFUNCTION("""COMPUTED_VALUE"""),"Complete")</f>
        <v>Complete</v>
      </c>
      <c r="L761" s="93"/>
      <c r="M761" s="93"/>
      <c r="N761" s="93">
        <f>IFERROR(__xludf.DUMMYFUNCTION("""COMPUTED_VALUE"""),1.0)</f>
        <v>1</v>
      </c>
      <c r="O761" s="93" t="str">
        <f>IFERROR(__xludf.DUMMYFUNCTION("""COMPUTED_VALUE"""),"201 Dorchester Road Scarsdale NY 10583")</f>
        <v>201 Dorchester Road Scarsdale NY 10583</v>
      </c>
      <c r="P761" s="93" t="str">
        <f>IFERROR(__xludf.DUMMYFUNCTION("""COMPUTED_VALUE"""),"Kit Delivery")</f>
        <v>Kit Delivery</v>
      </c>
      <c r="Q761" s="93"/>
      <c r="R761" s="93"/>
      <c r="S761" s="93"/>
      <c r="T761" s="95">
        <f>IFERROR(__xludf.DUMMYFUNCTION("""COMPUTED_VALUE"""),46147.83101851852)</f>
        <v>46147.83102</v>
      </c>
      <c r="U761" s="93"/>
      <c r="V761" s="93"/>
      <c r="W761" s="93"/>
      <c r="X761" s="93"/>
      <c r="Y761" s="93"/>
      <c r="Z761" s="93"/>
    </row>
    <row r="762">
      <c r="A762" s="93" t="str">
        <f>IFERROR(__xludf.DUMMYFUNCTION("""COMPUTED_VALUE"""),"KIT-#18319")</f>
        <v>KIT-#18319</v>
      </c>
      <c r="B762" s="94">
        <f>IFERROR(__xludf.DUMMYFUNCTION("""COMPUTED_VALUE"""),46149.0)</f>
        <v>46149</v>
      </c>
      <c r="C762" s="93" t="str">
        <f>IFERROR(__xludf.DUMMYFUNCTION("""COMPUTED_VALUE"""),"Kit Delivery")</f>
        <v>Kit Delivery</v>
      </c>
      <c r="D762" s="93">
        <f>IFERROR(__xludf.DUMMYFUNCTION("""COMPUTED_VALUE"""),2.0)</f>
        <v>2</v>
      </c>
      <c r="E762" s="93" t="str">
        <f>IFERROR(__xludf.DUMMYFUNCTION("""COMPUTED_VALUE"""),"Lien")</f>
        <v>Lien</v>
      </c>
      <c r="F762" s="93">
        <f>IFERROR(__xludf.DUMMYFUNCTION("""COMPUTED_VALUE"""),1113.0)</f>
        <v>1113</v>
      </c>
      <c r="G762" s="93" t="str">
        <f>IFERROR(__xludf.DUMMYFUNCTION("""COMPUTED_VALUE"""),"Nami Adenle")</f>
        <v>Nami Adenle</v>
      </c>
      <c r="H762" s="93">
        <f>IFERROR(__xludf.DUMMYFUNCTION("""COMPUTED_VALUE"""),5.164272925E9)</f>
        <v>5164272925</v>
      </c>
      <c r="I762" s="93" t="str">
        <f>IFERROR(__xludf.DUMMYFUNCTION("""COMPUTED_VALUE"""),"9AM-11AM")</f>
        <v>9AM-11AM</v>
      </c>
      <c r="J762" s="93">
        <f>IFERROR(__xludf.DUMMYFUNCTION("""COMPUTED_VALUE"""),1.0)</f>
        <v>1</v>
      </c>
      <c r="K762" s="93" t="str">
        <f>IFERROR(__xludf.DUMMYFUNCTION("""COMPUTED_VALUE"""),"Complete")</f>
        <v>Complete</v>
      </c>
      <c r="L762" s="93"/>
      <c r="M762" s="94">
        <f>IFERROR(__xludf.DUMMYFUNCTION("""COMPUTED_VALUE"""),46148.81644675926)</f>
        <v>46148.81645</v>
      </c>
      <c r="N762" s="93">
        <f>IFERROR(__xludf.DUMMYFUNCTION("""COMPUTED_VALUE"""),2.0)</f>
        <v>2</v>
      </c>
      <c r="O762" s="93"/>
      <c r="P762" s="93" t="str">
        <f>IFERROR(__xludf.DUMMYFUNCTION("""COMPUTED_VALUE"""),"Kit Delivery")</f>
        <v>Kit Delivery</v>
      </c>
      <c r="Q762" s="93"/>
      <c r="R762" s="93"/>
      <c r="S762" s="93" t="str">
        <f>IFERROR(__xludf.DUMMYFUNCTION("""COMPUTED_VALUE"""),"Dispatch_Images/KIT--18319.Photos.003537.jpg")</f>
        <v>Dispatch_Images/KIT--18319.Photos.003537.jpg</v>
      </c>
      <c r="T762" s="95">
        <f>IFERROR(__xludf.DUMMYFUNCTION("""COMPUTED_VALUE"""),46148.81710648148)</f>
        <v>46148.81711</v>
      </c>
      <c r="U762" s="93"/>
      <c r="V762" s="93"/>
      <c r="W762" s="93"/>
      <c r="X762" s="93"/>
      <c r="Y762" s="93"/>
      <c r="Z762" s="93"/>
    </row>
    <row r="763">
      <c r="A763" s="93" t="str">
        <f>IFERROR(__xludf.DUMMYFUNCTION("""COMPUTED_VALUE"""),"KIT-#16816")</f>
        <v>KIT-#16816</v>
      </c>
      <c r="B763" s="94">
        <f>IFERROR(__xludf.DUMMYFUNCTION("""COMPUTED_VALUE"""),46150.0)</f>
        <v>46150</v>
      </c>
      <c r="C763" s="93" t="str">
        <f>IFERROR(__xludf.DUMMYFUNCTION("""COMPUTED_VALUE"""),"Kit Delivery")</f>
        <v>Kit Delivery</v>
      </c>
      <c r="D763" s="93">
        <f>IFERROR(__xludf.DUMMYFUNCTION("""COMPUTED_VALUE"""),2.0)</f>
        <v>2</v>
      </c>
      <c r="E763" s="93" t="str">
        <f>IFERROR(__xludf.DUMMYFUNCTION("""COMPUTED_VALUE"""),"Eliot B")</f>
        <v>Eliot B</v>
      </c>
      <c r="F763" s="93">
        <f>IFERROR(__xludf.DUMMYFUNCTION("""COMPUTED_VALUE"""),3061.0)</f>
        <v>3061</v>
      </c>
      <c r="G763" s="93" t="str">
        <f>IFERROR(__xludf.DUMMYFUNCTION("""COMPUTED_VALUE"""),"Mark Kimmel")</f>
        <v>Mark Kimmel</v>
      </c>
      <c r="H763" s="93">
        <f>IFERROR(__xludf.DUMMYFUNCTION("""COMPUTED_VALUE"""),9.179410655E9)</f>
        <v>9179410655</v>
      </c>
      <c r="I763" s="93" t="str">
        <f>IFERROR(__xludf.DUMMYFUNCTION("""COMPUTED_VALUE"""),"9AM-11AM")</f>
        <v>9AM-11AM</v>
      </c>
      <c r="J763" s="93">
        <f>IFERROR(__xludf.DUMMYFUNCTION("""COMPUTED_VALUE"""),1.0)</f>
        <v>1</v>
      </c>
      <c r="K763" s="93" t="str">
        <f>IFERROR(__xludf.DUMMYFUNCTION("""COMPUTED_VALUE"""),"Complete")</f>
        <v>Complete</v>
      </c>
      <c r="L763" s="93"/>
      <c r="M763" s="94">
        <f>IFERROR(__xludf.DUMMYFUNCTION("""COMPUTED_VALUE"""),46129.844039351854)</f>
        <v>46129.84404</v>
      </c>
      <c r="N763" s="93">
        <f>IFERROR(__xludf.DUMMYFUNCTION("""COMPUTED_VALUE"""),33.0)</f>
        <v>33</v>
      </c>
      <c r="O763" s="93"/>
      <c r="P763" s="93" t="str">
        <f>IFERROR(__xludf.DUMMYFUNCTION("""COMPUTED_VALUE"""),"Kit Delivery")</f>
        <v>Kit Delivery</v>
      </c>
      <c r="Q763" s="93"/>
      <c r="R763" s="93"/>
      <c r="S763" s="93" t="str">
        <f>IFERROR(__xludf.DUMMYFUNCTION("""COMPUTED_VALUE"""),"Dispatch_Images/KIT--16816.Photos.011521.jpg")</f>
        <v>Dispatch_Images/KIT--16816.Photos.011521.jpg</v>
      </c>
      <c r="T763" s="95">
        <f>IFERROR(__xludf.DUMMYFUNCTION("""COMPUTED_VALUE"""),46129.849328703705)</f>
        <v>46129.84933</v>
      </c>
      <c r="U763" s="93"/>
      <c r="V763" s="93"/>
      <c r="W763" s="93"/>
      <c r="X763" s="93"/>
      <c r="Y763" s="93"/>
      <c r="Z763" s="93"/>
    </row>
    <row r="764">
      <c r="A764" s="93" t="str">
        <f>IFERROR(__xludf.DUMMYFUNCTION("""COMPUTED_VALUE"""),"KIT-#17269")</f>
        <v>KIT-#17269</v>
      </c>
      <c r="B764" s="94">
        <f>IFERROR(__xludf.DUMMYFUNCTION("""COMPUTED_VALUE"""),46150.0)</f>
        <v>46150</v>
      </c>
      <c r="C764" s="93" t="str">
        <f>IFERROR(__xludf.DUMMYFUNCTION("""COMPUTED_VALUE"""),"Kit Delivery")</f>
        <v>Kit Delivery</v>
      </c>
      <c r="D764" s="93">
        <f>IFERROR(__xludf.DUMMYFUNCTION("""COMPUTED_VALUE"""),2.0)</f>
        <v>2</v>
      </c>
      <c r="E764" s="93" t="str">
        <f>IFERROR(__xludf.DUMMYFUNCTION("""COMPUTED_VALUE"""),"Eliot B")</f>
        <v>Eliot B</v>
      </c>
      <c r="F764" s="93">
        <f>IFERROR(__xludf.DUMMYFUNCTION("""COMPUTED_VALUE"""),2103.0)</f>
        <v>2103</v>
      </c>
      <c r="G764" s="93" t="str">
        <f>IFERROR(__xludf.DUMMYFUNCTION("""COMPUTED_VALUE"""),"Amanda Plaxe")</f>
        <v>Amanda Plaxe</v>
      </c>
      <c r="H764" s="93">
        <f>IFERROR(__xludf.DUMMYFUNCTION("""COMPUTED_VALUE"""),9.174551134E9)</f>
        <v>9174551134</v>
      </c>
      <c r="I764" s="93" t="str">
        <f>IFERROR(__xludf.DUMMYFUNCTION("""COMPUTED_VALUE"""),"9AM-11AM")</f>
        <v>9AM-11AM</v>
      </c>
      <c r="J764" s="93">
        <f>IFERROR(__xludf.DUMMYFUNCTION("""COMPUTED_VALUE"""),2.0)</f>
        <v>2</v>
      </c>
      <c r="K764" s="93" t="str">
        <f>IFERROR(__xludf.DUMMYFUNCTION("""COMPUTED_VALUE"""),"Complete")</f>
        <v>Complete</v>
      </c>
      <c r="L764" s="93"/>
      <c r="M764" s="94">
        <f>IFERROR(__xludf.DUMMYFUNCTION("""COMPUTED_VALUE"""),46129.844201388885)</f>
        <v>46129.8442</v>
      </c>
      <c r="N764" s="93">
        <f>IFERROR(__xludf.DUMMYFUNCTION("""COMPUTED_VALUE"""),32.0)</f>
        <v>32</v>
      </c>
      <c r="O764" s="93"/>
      <c r="P764" s="93" t="str">
        <f>IFERROR(__xludf.DUMMYFUNCTION("""COMPUTED_VALUE"""),"Kit Delivery")</f>
        <v>Kit Delivery</v>
      </c>
      <c r="Q764" s="93"/>
      <c r="R764" s="93"/>
      <c r="S764" s="93" t="str">
        <f>IFERROR(__xludf.DUMMYFUNCTION("""COMPUTED_VALUE"""),"Dispatch_Images/KIT--17269.Photos.011536.jpg")</f>
        <v>Dispatch_Images/KIT--17269.Photos.011536.jpg</v>
      </c>
      <c r="T764" s="95">
        <f>IFERROR(__xludf.DUMMYFUNCTION("""COMPUTED_VALUE"""),46129.849328703705)</f>
        <v>46129.84933</v>
      </c>
      <c r="U764" s="93"/>
      <c r="V764" s="93"/>
      <c r="W764" s="93"/>
      <c r="X764" s="93"/>
      <c r="Y764" s="93"/>
      <c r="Z764" s="93"/>
    </row>
    <row r="765">
      <c r="A765" s="93" t="str">
        <f>IFERROR(__xludf.DUMMYFUNCTION("""COMPUTED_VALUE"""),"KIT-#17398")</f>
        <v>KIT-#17398</v>
      </c>
      <c r="B765" s="94">
        <f>IFERROR(__xludf.DUMMYFUNCTION("""COMPUTED_VALUE"""),46150.0)</f>
        <v>46150</v>
      </c>
      <c r="C765" s="93" t="str">
        <f>IFERROR(__xludf.DUMMYFUNCTION("""COMPUTED_VALUE"""),"Kit Delivery")</f>
        <v>Kit Delivery</v>
      </c>
      <c r="D765" s="93">
        <f>IFERROR(__xludf.DUMMYFUNCTION("""COMPUTED_VALUE"""),2.0)</f>
        <v>2</v>
      </c>
      <c r="E765" s="93" t="str">
        <f>IFERROR(__xludf.DUMMYFUNCTION("""COMPUTED_VALUE"""),"Umrath")</f>
        <v>Umrath</v>
      </c>
      <c r="F765" s="93">
        <f>IFERROR(__xludf.DUMMYFUNCTION("""COMPUTED_VALUE"""),4421.0)</f>
        <v>4421</v>
      </c>
      <c r="G765" s="93" t="str">
        <f>IFERROR(__xludf.DUMMYFUNCTION("""COMPUTED_VALUE"""),"Jessica Wang")</f>
        <v>Jessica Wang</v>
      </c>
      <c r="H765" s="93">
        <f>IFERROR(__xludf.DUMMYFUNCTION("""COMPUTED_VALUE"""),8.326234945E9)</f>
        <v>8326234945</v>
      </c>
      <c r="I765" s="93" t="str">
        <f>IFERROR(__xludf.DUMMYFUNCTION("""COMPUTED_VALUE"""),"3PM-5PM")</f>
        <v>3PM-5PM</v>
      </c>
      <c r="J765" s="93">
        <f>IFERROR(__xludf.DUMMYFUNCTION("""COMPUTED_VALUE"""),1.0)</f>
        <v>1</v>
      </c>
      <c r="K765" s="93" t="str">
        <f>IFERROR(__xludf.DUMMYFUNCTION("""COMPUTED_VALUE"""),"Complete")</f>
        <v>Complete</v>
      </c>
      <c r="L765" s="93"/>
      <c r="M765" s="94">
        <f>IFERROR(__xludf.DUMMYFUNCTION("""COMPUTED_VALUE"""),46129.8840625)</f>
        <v>46129.88406</v>
      </c>
      <c r="N765" s="93">
        <f>IFERROR(__xludf.DUMMYFUNCTION("""COMPUTED_VALUE"""),176.0)</f>
        <v>176</v>
      </c>
      <c r="O765" s="93"/>
      <c r="P765" s="93" t="str">
        <f>IFERROR(__xludf.DUMMYFUNCTION("""COMPUTED_VALUE"""),"Kit Delivery")</f>
        <v>Kit Delivery</v>
      </c>
      <c r="Q765" s="93"/>
      <c r="R765" s="93"/>
      <c r="S765" s="93" t="str">
        <f>IFERROR(__xludf.DUMMYFUNCTION("""COMPUTED_VALUE"""),"Dispatch_Images/KIT--17398.Photos.021300.jpg")</f>
        <v>Dispatch_Images/KIT--17398.Photos.021300.jpg</v>
      </c>
      <c r="T765" s="95">
        <f>IFERROR(__xludf.DUMMYFUNCTION("""COMPUTED_VALUE"""),46129.89100694445)</f>
        <v>46129.89101</v>
      </c>
      <c r="U765" s="93"/>
      <c r="V765" s="93"/>
      <c r="W765" s="93"/>
      <c r="X765" s="93"/>
      <c r="Y765" s="93"/>
      <c r="Z765" s="93"/>
    </row>
    <row r="766">
      <c r="A766" s="93" t="str">
        <f>IFERROR(__xludf.DUMMYFUNCTION("""COMPUTED_VALUE"""),"KIT-#17338")</f>
        <v>KIT-#17338</v>
      </c>
      <c r="B766" s="94">
        <f>IFERROR(__xludf.DUMMYFUNCTION("""COMPUTED_VALUE"""),46150.0)</f>
        <v>46150</v>
      </c>
      <c r="C766" s="93" t="str">
        <f>IFERROR(__xludf.DUMMYFUNCTION("""COMPUTED_VALUE"""),"Kit Delivery")</f>
        <v>Kit Delivery</v>
      </c>
      <c r="D766" s="93">
        <f>IFERROR(__xludf.DUMMYFUNCTION("""COMPUTED_VALUE"""),2.0)</f>
        <v>2</v>
      </c>
      <c r="E766" s="93" t="str">
        <f>IFERROR(__xludf.DUMMYFUNCTION("""COMPUTED_VALUE"""),"Umrath")</f>
        <v>Umrath</v>
      </c>
      <c r="F766" s="93">
        <f>IFERROR(__xludf.DUMMYFUNCTION("""COMPUTED_VALUE"""),2233.0)</f>
        <v>2233</v>
      </c>
      <c r="G766" s="93" t="str">
        <f>IFERROR(__xludf.DUMMYFUNCTION("""COMPUTED_VALUE"""),"Kay Zachary")</f>
        <v>Kay Zachary</v>
      </c>
      <c r="H766" s="93">
        <f>IFERROR(__xludf.DUMMYFUNCTION("""COMPUTED_VALUE"""),9.173317745E9)</f>
        <v>9173317745</v>
      </c>
      <c r="I766" s="93" t="str">
        <f>IFERROR(__xludf.DUMMYFUNCTION("""COMPUTED_VALUE"""),"9AM-11AM")</f>
        <v>9AM-11AM</v>
      </c>
      <c r="J766" s="93">
        <f>IFERROR(__xludf.DUMMYFUNCTION("""COMPUTED_VALUE"""),1.0)</f>
        <v>1</v>
      </c>
      <c r="K766" s="93" t="str">
        <f>IFERROR(__xludf.DUMMYFUNCTION("""COMPUTED_VALUE"""),"Complete")</f>
        <v>Complete</v>
      </c>
      <c r="L766" s="93"/>
      <c r="M766" s="94">
        <f>IFERROR(__xludf.DUMMYFUNCTION("""COMPUTED_VALUE"""),46129.8858449074)</f>
        <v>46129.88584</v>
      </c>
      <c r="N766" s="93">
        <f>IFERROR(__xludf.DUMMYFUNCTION("""COMPUTED_VALUE"""),158.0)</f>
        <v>158</v>
      </c>
      <c r="O766" s="93"/>
      <c r="P766" s="93" t="str">
        <f>IFERROR(__xludf.DUMMYFUNCTION("""COMPUTED_VALUE"""),"Kit Delivery")</f>
        <v>Kit Delivery</v>
      </c>
      <c r="Q766" s="93"/>
      <c r="R766" s="93"/>
      <c r="S766" s="93" t="str">
        <f>IFERROR(__xludf.DUMMYFUNCTION("""COMPUTED_VALUE"""),"Dispatch_Images/KIT--17338.Photos.021533.jpg")</f>
        <v>Dispatch_Images/KIT--17338.Photos.021533.jpg</v>
      </c>
      <c r="T766" s="95">
        <f>IFERROR(__xludf.DUMMYFUNCTION("""COMPUTED_VALUE"""),46129.89100694445)</f>
        <v>46129.89101</v>
      </c>
      <c r="U766" s="93"/>
      <c r="V766" s="93"/>
      <c r="W766" s="93"/>
      <c r="X766" s="93"/>
      <c r="Y766" s="93"/>
      <c r="Z766" s="93"/>
    </row>
    <row r="767">
      <c r="A767" s="93" t="str">
        <f>IFERROR(__xludf.DUMMYFUNCTION("""COMPUTED_VALUE"""),"KIT-#16823")</f>
        <v>KIT-#16823</v>
      </c>
      <c r="B767" s="94">
        <f>IFERROR(__xludf.DUMMYFUNCTION("""COMPUTED_VALUE"""),46150.0)</f>
        <v>46150</v>
      </c>
      <c r="C767" s="93" t="str">
        <f>IFERROR(__xludf.DUMMYFUNCTION("""COMPUTED_VALUE"""),"Kit Delivery")</f>
        <v>Kit Delivery</v>
      </c>
      <c r="D767" s="93">
        <f>IFERROR(__xludf.DUMMYFUNCTION("""COMPUTED_VALUE"""),2.0)</f>
        <v>2</v>
      </c>
      <c r="E767" s="93" t="str">
        <f>IFERROR(__xludf.DUMMYFUNCTION("""COMPUTED_VALUE"""),"Danforth")</f>
        <v>Danforth</v>
      </c>
      <c r="F767" s="93">
        <f>IFERROR(__xludf.DUMMYFUNCTION("""COMPUTED_VALUE"""),1001.0)</f>
        <v>1001</v>
      </c>
      <c r="G767" s="93" t="str">
        <f>IFERROR(__xludf.DUMMYFUNCTION("""COMPUTED_VALUE"""),"Kennedy Brown")</f>
        <v>Kennedy Brown</v>
      </c>
      <c r="H767" s="93">
        <f>IFERROR(__xludf.DUMMYFUNCTION("""COMPUTED_VALUE"""),6.179491472E9)</f>
        <v>6179491472</v>
      </c>
      <c r="I767" s="93" t="str">
        <f>IFERROR(__xludf.DUMMYFUNCTION("""COMPUTED_VALUE"""),"3PM-5PM")</f>
        <v>3PM-5PM</v>
      </c>
      <c r="J767" s="93">
        <f>IFERROR(__xludf.DUMMYFUNCTION("""COMPUTED_VALUE"""),2.0)</f>
        <v>2</v>
      </c>
      <c r="K767" s="93" t="str">
        <f>IFERROR(__xludf.DUMMYFUNCTION("""COMPUTED_VALUE"""),"Complete")</f>
        <v>Complete</v>
      </c>
      <c r="L767" s="93"/>
      <c r="M767" s="94">
        <f>IFERROR(__xludf.DUMMYFUNCTION("""COMPUTED_VALUE"""),46129.90881944445)</f>
        <v>46129.90882</v>
      </c>
      <c r="N767" s="93">
        <f>IFERROR(__xludf.DUMMYFUNCTION("""COMPUTED_VALUE"""),35.0)</f>
        <v>35</v>
      </c>
      <c r="O767" s="93"/>
      <c r="P767" s="93" t="str">
        <f>IFERROR(__xludf.DUMMYFUNCTION("""COMPUTED_VALUE"""),"Kit Delivery")</f>
        <v>Kit Delivery</v>
      </c>
      <c r="Q767" s="93"/>
      <c r="R767" s="93"/>
      <c r="S767" s="93" t="str">
        <f>IFERROR(__xludf.DUMMYFUNCTION("""COMPUTED_VALUE"""),"Dispatch_Images/KIT--16823.Photos.024839.jpg")</f>
        <v>Dispatch_Images/KIT--16823.Photos.024839.jpg</v>
      </c>
      <c r="T767" s="95">
        <f>IFERROR(__xludf.DUMMYFUNCTION("""COMPUTED_VALUE"""),46129.911840277775)</f>
        <v>46129.91184</v>
      </c>
      <c r="U767" s="93"/>
      <c r="V767" s="93"/>
      <c r="W767" s="93"/>
      <c r="X767" s="93"/>
      <c r="Y767" s="93"/>
      <c r="Z767" s="93"/>
    </row>
    <row r="768">
      <c r="A768" s="93" t="str">
        <f>IFERROR(__xludf.DUMMYFUNCTION("""COMPUTED_VALUE"""),"KIT-#17090")</f>
        <v>KIT-#17090</v>
      </c>
      <c r="B768" s="94">
        <f>IFERROR(__xludf.DUMMYFUNCTION("""COMPUTED_VALUE"""),46150.0)</f>
        <v>46150</v>
      </c>
      <c r="C768" s="93" t="str">
        <f>IFERROR(__xludf.DUMMYFUNCTION("""COMPUTED_VALUE"""),"Kit Delivery")</f>
        <v>Kit Delivery</v>
      </c>
      <c r="D768" s="93">
        <f>IFERROR(__xludf.DUMMYFUNCTION("""COMPUTED_VALUE"""),2.0)</f>
        <v>2</v>
      </c>
      <c r="E768" s="93" t="str">
        <f>IFERROR(__xludf.DUMMYFUNCTION("""COMPUTED_VALUE"""),"Danforth")</f>
        <v>Danforth</v>
      </c>
      <c r="F768" s="93">
        <f>IFERROR(__xludf.DUMMYFUNCTION("""COMPUTED_VALUE"""),2212.0)</f>
        <v>2212</v>
      </c>
      <c r="G768" s="93" t="str">
        <f>IFERROR(__xludf.DUMMYFUNCTION("""COMPUTED_VALUE"""),"Kat Ziwot")</f>
        <v>Kat Ziwot</v>
      </c>
      <c r="H768" s="93">
        <f>IFERROR(__xludf.DUMMYFUNCTION("""COMPUTED_VALUE"""),2.017794859E9)</f>
        <v>2017794859</v>
      </c>
      <c r="I768" s="93" t="str">
        <f>IFERROR(__xludf.DUMMYFUNCTION("""COMPUTED_VALUE"""),"9AM-11AM")</f>
        <v>9AM-11AM</v>
      </c>
      <c r="J768" s="93">
        <f>IFERROR(__xludf.DUMMYFUNCTION("""COMPUTED_VALUE"""),1.0)</f>
        <v>1</v>
      </c>
      <c r="K768" s="93" t="str">
        <f>IFERROR(__xludf.DUMMYFUNCTION("""COMPUTED_VALUE"""),"Complete")</f>
        <v>Complete</v>
      </c>
      <c r="L768" s="93"/>
      <c r="M768" s="94">
        <f>IFERROR(__xludf.DUMMYFUNCTION("""COMPUTED_VALUE"""),46129.908900462964)</f>
        <v>46129.9089</v>
      </c>
      <c r="N768" s="93">
        <f>IFERROR(__xludf.DUMMYFUNCTION("""COMPUTED_VALUE"""),37.0)</f>
        <v>37</v>
      </c>
      <c r="O768" s="93"/>
      <c r="P768" s="93" t="str">
        <f>IFERROR(__xludf.DUMMYFUNCTION("""COMPUTED_VALUE"""),"Kit Delivery")</f>
        <v>Kit Delivery</v>
      </c>
      <c r="Q768" s="93"/>
      <c r="R768" s="93"/>
      <c r="S768" s="93" t="str">
        <f>IFERROR(__xludf.DUMMYFUNCTION("""COMPUTED_VALUE"""),"Dispatch_Images/KIT--17090.Photos.024845.jpg")</f>
        <v>Dispatch_Images/KIT--17090.Photos.024845.jpg</v>
      </c>
      <c r="T768" s="95">
        <f>IFERROR(__xludf.DUMMYFUNCTION("""COMPUTED_VALUE"""),46129.911840277775)</f>
        <v>46129.91184</v>
      </c>
      <c r="U768" s="93"/>
      <c r="V768" s="93"/>
      <c r="W768" s="93"/>
      <c r="X768" s="93"/>
      <c r="Y768" s="93"/>
      <c r="Z768" s="93"/>
    </row>
    <row r="769">
      <c r="A769" s="93" t="str">
        <f>IFERROR(__xludf.DUMMYFUNCTION("""COMPUTED_VALUE"""),"KIT-#17081")</f>
        <v>KIT-#17081</v>
      </c>
      <c r="B769" s="94">
        <f>IFERROR(__xludf.DUMMYFUNCTION("""COMPUTED_VALUE"""),46150.0)</f>
        <v>46150</v>
      </c>
      <c r="C769" s="93" t="str">
        <f>IFERROR(__xludf.DUMMYFUNCTION("""COMPUTED_VALUE"""),"Kit Delivery")</f>
        <v>Kit Delivery</v>
      </c>
      <c r="D769" s="93">
        <f>IFERROR(__xludf.DUMMYFUNCTION("""COMPUTED_VALUE"""),1.0)</f>
        <v>1</v>
      </c>
      <c r="E769" s="93" t="str">
        <f>IFERROR(__xludf.DUMMYFUNCTION("""COMPUTED_VALUE"""),"Greenway Apartments")</f>
        <v>Greenway Apartments</v>
      </c>
      <c r="F769" s="93" t="str">
        <f>IFERROR(__xludf.DUMMYFUNCTION("""COMPUTED_VALUE"""),"113A")</f>
        <v>113A</v>
      </c>
      <c r="G769" s="93" t="str">
        <f>IFERROR(__xludf.DUMMYFUNCTION("""COMPUTED_VALUE"""),"Sela Rosen")</f>
        <v>Sela Rosen</v>
      </c>
      <c r="H769" s="93">
        <f>IFERROR(__xludf.DUMMYFUNCTION("""COMPUTED_VALUE"""),7.724974219E9)</f>
        <v>7724974219</v>
      </c>
      <c r="I769" s="93" t="str">
        <f>IFERROR(__xludf.DUMMYFUNCTION("""COMPUTED_VALUE"""),"9AM-11AM")</f>
        <v>9AM-11AM</v>
      </c>
      <c r="J769" s="93">
        <f>IFERROR(__xludf.DUMMYFUNCTION("""COMPUTED_VALUE"""),2.0)</f>
        <v>2</v>
      </c>
      <c r="K769" s="93" t="str">
        <f>IFERROR(__xludf.DUMMYFUNCTION("""COMPUTED_VALUE"""),"Complete")</f>
        <v>Complete</v>
      </c>
      <c r="L769" s="93"/>
      <c r="M769" s="94">
        <f>IFERROR(__xludf.DUMMYFUNCTION("""COMPUTED_VALUE"""),46130.36981481481)</f>
        <v>46130.36981</v>
      </c>
      <c r="N769" s="93">
        <f>IFERROR(__xludf.DUMMYFUNCTION("""COMPUTED_VALUE"""),325.0)</f>
        <v>325</v>
      </c>
      <c r="O769" s="93"/>
      <c r="P769" s="93" t="str">
        <f>IFERROR(__xludf.DUMMYFUNCTION("""COMPUTED_VALUE"""),"Kit Delivery")</f>
        <v>Kit Delivery</v>
      </c>
      <c r="Q769" s="93"/>
      <c r="R769" s="93"/>
      <c r="S769" s="93" t="str">
        <f>IFERROR(__xludf.DUMMYFUNCTION("""COMPUTED_VALUE"""),"Dispatch_Images/KIT--17081.Photos.135229.jpg")</f>
        <v>Dispatch_Images/KIT--17081.Photos.135229.jpg</v>
      </c>
      <c r="T769" s="95">
        <f>IFERROR(__xludf.DUMMYFUNCTION("""COMPUTED_VALUE"""),46130.37017361111)</f>
        <v>46130.37017</v>
      </c>
      <c r="U769" s="93"/>
      <c r="V769" s="93"/>
      <c r="W769" s="93"/>
      <c r="X769" s="93"/>
      <c r="Y769" s="93"/>
      <c r="Z769" s="93"/>
    </row>
    <row r="770">
      <c r="A770" s="93" t="str">
        <f>IFERROR(__xludf.DUMMYFUNCTION("""COMPUTED_VALUE"""),"KIT-#17392")</f>
        <v>KIT-#17392</v>
      </c>
      <c r="B770" s="94">
        <f>IFERROR(__xludf.DUMMYFUNCTION("""COMPUTED_VALUE"""),46150.0)</f>
        <v>46150</v>
      </c>
      <c r="C770" s="93" t="str">
        <f>IFERROR(__xludf.DUMMYFUNCTION("""COMPUTED_VALUE"""),"Kit Delivery")</f>
        <v>Kit Delivery</v>
      </c>
      <c r="D770" s="93">
        <f>IFERROR(__xludf.DUMMYFUNCTION("""COMPUTED_VALUE"""),1.0)</f>
        <v>1</v>
      </c>
      <c r="E770" s="93" t="str">
        <f>IFERROR(__xludf.DUMMYFUNCTION("""COMPUTED_VALUE"""),"Dardick")</f>
        <v>Dardick</v>
      </c>
      <c r="F770" s="93">
        <f>IFERROR(__xludf.DUMMYFUNCTION("""COMPUTED_VALUE"""),4420.0)</f>
        <v>4420</v>
      </c>
      <c r="G770" s="93" t="str">
        <f>IFERROR(__xludf.DUMMYFUNCTION("""COMPUTED_VALUE"""),"Phoebe Linn")</f>
        <v>Phoebe Linn</v>
      </c>
      <c r="H770" s="93">
        <f>IFERROR(__xludf.DUMMYFUNCTION("""COMPUTED_VALUE"""),1.3235788317E10)</f>
        <v>13235788317</v>
      </c>
      <c r="I770" s="93" t="str">
        <f>IFERROR(__xludf.DUMMYFUNCTION("""COMPUTED_VALUE"""),"9AM-11AM")</f>
        <v>9AM-11AM</v>
      </c>
      <c r="J770" s="93">
        <f>IFERROR(__xludf.DUMMYFUNCTION("""COMPUTED_VALUE"""),1.0)</f>
        <v>1</v>
      </c>
      <c r="K770" s="93" t="str">
        <f>IFERROR(__xludf.DUMMYFUNCTION("""COMPUTED_VALUE"""),"Complete")</f>
        <v>Complete</v>
      </c>
      <c r="L770" s="93"/>
      <c r="M770" s="94">
        <f>IFERROR(__xludf.DUMMYFUNCTION("""COMPUTED_VALUE"""),46130.38868055555)</f>
        <v>46130.38868</v>
      </c>
      <c r="N770" s="93">
        <f>IFERROR(__xludf.DUMMYFUNCTION("""COMPUTED_VALUE"""),129.0)</f>
        <v>129</v>
      </c>
      <c r="O770" s="93"/>
      <c r="P770" s="93" t="str">
        <f>IFERROR(__xludf.DUMMYFUNCTION("""COMPUTED_VALUE"""),"Kit Delivery")</f>
        <v>Kit Delivery</v>
      </c>
      <c r="Q770" s="93"/>
      <c r="R770" s="93"/>
      <c r="S770" s="93" t="str">
        <f>IFERROR(__xludf.DUMMYFUNCTION("""COMPUTED_VALUE"""),"Dispatch_Images/KIT--17392.Photos.141939.jpg")</f>
        <v>Dispatch_Images/KIT--17392.Photos.141939.jpg</v>
      </c>
      <c r="T770" s="95">
        <f>IFERROR(__xludf.DUMMYFUNCTION("""COMPUTED_VALUE"""),46130.39099537037)</f>
        <v>46130.391</v>
      </c>
      <c r="U770" s="93"/>
      <c r="V770" s="93"/>
      <c r="W770" s="93"/>
      <c r="X770" s="93"/>
      <c r="Y770" s="93"/>
      <c r="Z770" s="93"/>
    </row>
    <row r="771">
      <c r="A771" s="93" t="str">
        <f>IFERROR(__xludf.DUMMYFUNCTION("""COMPUTED_VALUE"""),"KIT-#17215")</f>
        <v>KIT-#17215</v>
      </c>
      <c r="B771" s="94">
        <f>IFERROR(__xludf.DUMMYFUNCTION("""COMPUTED_VALUE"""),46150.0)</f>
        <v>46150</v>
      </c>
      <c r="C771" s="93" t="str">
        <f>IFERROR(__xludf.DUMMYFUNCTION("""COMPUTED_VALUE"""),"Kit Delivery")</f>
        <v>Kit Delivery</v>
      </c>
      <c r="D771" s="93">
        <f>IFERROR(__xludf.DUMMYFUNCTION("""COMPUTED_VALUE"""),1.0)</f>
        <v>1</v>
      </c>
      <c r="E771" s="93" t="str">
        <f>IFERROR(__xludf.DUMMYFUNCTION("""COMPUTED_VALUE"""),"Nemerov")</f>
        <v>Nemerov</v>
      </c>
      <c r="F771" s="93">
        <f>IFERROR(__xludf.DUMMYFUNCTION("""COMPUTED_VALUE"""),4110.0)</f>
        <v>4110</v>
      </c>
      <c r="G771" s="93" t="str">
        <f>IFERROR(__xludf.DUMMYFUNCTION("""COMPUTED_VALUE"""),"Fia Lin")</f>
        <v>Fia Lin</v>
      </c>
      <c r="H771" s="93">
        <f>IFERROR(__xludf.DUMMYFUNCTION("""COMPUTED_VALUE"""),9.095186068E9)</f>
        <v>9095186068</v>
      </c>
      <c r="I771" s="93" t="str">
        <f>IFERROR(__xludf.DUMMYFUNCTION("""COMPUTED_VALUE"""),"9AM-11AM")</f>
        <v>9AM-11AM</v>
      </c>
      <c r="J771" s="93">
        <f>IFERROR(__xludf.DUMMYFUNCTION("""COMPUTED_VALUE"""),1.0)</f>
        <v>1</v>
      </c>
      <c r="K771" s="93" t="str">
        <f>IFERROR(__xludf.DUMMYFUNCTION("""COMPUTED_VALUE"""),"Complete")</f>
        <v>Complete</v>
      </c>
      <c r="L771" s="93"/>
      <c r="M771" s="94">
        <f>IFERROR(__xludf.DUMMYFUNCTION("""COMPUTED_VALUE"""),46130.4044675926)</f>
        <v>46130.40447</v>
      </c>
      <c r="N771" s="93">
        <f>IFERROR(__xludf.DUMMYFUNCTION("""COMPUTED_VALUE"""),144.0)</f>
        <v>144</v>
      </c>
      <c r="O771" s="93"/>
      <c r="P771" s="93" t="str">
        <f>IFERROR(__xludf.DUMMYFUNCTION("""COMPUTED_VALUE"""),"Kit Delivery")</f>
        <v>Kit Delivery</v>
      </c>
      <c r="Q771" s="93"/>
      <c r="R771" s="93"/>
      <c r="S771" s="93" t="str">
        <f>IFERROR(__xludf.DUMMYFUNCTION("""COMPUTED_VALUE"""),"Dispatch_Images/KIT--17215.Photos.144223.jpg")</f>
        <v>Dispatch_Images/KIT--17215.Photos.144223.jpg</v>
      </c>
      <c r="T771" s="95">
        <f>IFERROR(__xludf.DUMMYFUNCTION("""COMPUTED_VALUE"""),46130.40488425926)</f>
        <v>46130.40488</v>
      </c>
      <c r="U771" s="93"/>
      <c r="V771" s="93"/>
      <c r="W771" s="93"/>
      <c r="X771" s="93"/>
      <c r="Y771" s="93"/>
      <c r="Z771" s="93"/>
    </row>
    <row r="772">
      <c r="A772" s="93" t="str">
        <f>IFERROR(__xludf.DUMMYFUNCTION("""COMPUTED_VALUE"""),"KIT-#17091")</f>
        <v>KIT-#17091</v>
      </c>
      <c r="B772" s="94">
        <f>IFERROR(__xludf.DUMMYFUNCTION("""COMPUTED_VALUE"""),46150.0)</f>
        <v>46150</v>
      </c>
      <c r="C772" s="93" t="str">
        <f>IFERROR(__xludf.DUMMYFUNCTION("""COMPUTED_VALUE"""),"Kit Delivery")</f>
        <v>Kit Delivery</v>
      </c>
      <c r="D772" s="93">
        <f>IFERROR(__xludf.DUMMYFUNCTION("""COMPUTED_VALUE"""),1.0)</f>
        <v>1</v>
      </c>
      <c r="E772" s="93" t="str">
        <f>IFERROR(__xludf.DUMMYFUNCTION("""COMPUTED_VALUE"""),"Nemerov")</f>
        <v>Nemerov</v>
      </c>
      <c r="F772" s="93">
        <f>IFERROR(__xludf.DUMMYFUNCTION("""COMPUTED_VALUE"""),4081.0)</f>
        <v>4081</v>
      </c>
      <c r="G772" s="93" t="str">
        <f>IFERROR(__xludf.DUMMYFUNCTION("""COMPUTED_VALUE"""),"Hailey Berger")</f>
        <v>Hailey Berger</v>
      </c>
      <c r="H772" s="93">
        <f>IFERROR(__xludf.DUMMYFUNCTION("""COMPUTED_VALUE"""),9.545484359E9)</f>
        <v>9545484359</v>
      </c>
      <c r="I772" s="93" t="str">
        <f>IFERROR(__xludf.DUMMYFUNCTION("""COMPUTED_VALUE"""),"9AM-11AM")</f>
        <v>9AM-11AM</v>
      </c>
      <c r="J772" s="93">
        <f>IFERROR(__xludf.DUMMYFUNCTION("""COMPUTED_VALUE"""),1.0)</f>
        <v>1</v>
      </c>
      <c r="K772" s="93" t="str">
        <f>IFERROR(__xludf.DUMMYFUNCTION("""COMPUTED_VALUE"""),"Complete")</f>
        <v>Complete</v>
      </c>
      <c r="L772" s="93"/>
      <c r="M772" s="94">
        <f>IFERROR(__xludf.DUMMYFUNCTION("""COMPUTED_VALUE"""),46130.40553240741)</f>
        <v>46130.40553</v>
      </c>
      <c r="N772" s="93">
        <f>IFERROR(__xludf.DUMMYFUNCTION("""COMPUTED_VALUE"""),141.0)</f>
        <v>141</v>
      </c>
      <c r="O772" s="93"/>
      <c r="P772" s="93" t="str">
        <f>IFERROR(__xludf.DUMMYFUNCTION("""COMPUTED_VALUE"""),"Kit Delivery")</f>
        <v>Kit Delivery</v>
      </c>
      <c r="Q772" s="93"/>
      <c r="R772" s="93"/>
      <c r="S772" s="93" t="str">
        <f>IFERROR(__xludf.DUMMYFUNCTION("""COMPUTED_VALUE"""),"Dispatch_Images/KIT--17091.Photos.144355.jpg")</f>
        <v>Dispatch_Images/KIT--17091.Photos.144355.jpg</v>
      </c>
      <c r="T772" s="95">
        <f>IFERROR(__xludf.DUMMYFUNCTION("""COMPUTED_VALUE"""),46130.411828703705)</f>
        <v>46130.41183</v>
      </c>
      <c r="U772" s="93"/>
      <c r="V772" s="93"/>
      <c r="W772" s="93"/>
      <c r="X772" s="93"/>
      <c r="Y772" s="93"/>
      <c r="Z772" s="93"/>
    </row>
    <row r="773">
      <c r="A773" s="93" t="str">
        <f>IFERROR(__xludf.DUMMYFUNCTION("""COMPUTED_VALUE"""),"KIT-#16818")</f>
        <v>KIT-#16818</v>
      </c>
      <c r="B773" s="94">
        <f>IFERROR(__xludf.DUMMYFUNCTION("""COMPUTED_VALUE"""),46150.0)</f>
        <v>46150</v>
      </c>
      <c r="C773" s="93" t="str">
        <f>IFERROR(__xludf.DUMMYFUNCTION("""COMPUTED_VALUE"""),"Kit Delivery")</f>
        <v>Kit Delivery</v>
      </c>
      <c r="D773" s="93">
        <f>IFERROR(__xludf.DUMMYFUNCTION("""COMPUTED_VALUE"""),1.0)</f>
        <v>1</v>
      </c>
      <c r="E773" s="93" t="str">
        <f>IFERROR(__xludf.DUMMYFUNCTION("""COMPUTED_VALUE"""),"Nemerov")</f>
        <v>Nemerov</v>
      </c>
      <c r="F773" s="93">
        <f>IFERROR(__xludf.DUMMYFUNCTION("""COMPUTED_VALUE"""),4071.0)</f>
        <v>4071</v>
      </c>
      <c r="G773" s="93" t="str">
        <f>IFERROR(__xludf.DUMMYFUNCTION("""COMPUTED_VALUE"""),"Brandon Chang")</f>
        <v>Brandon Chang</v>
      </c>
      <c r="H773" s="93">
        <f>IFERROR(__xludf.DUMMYFUNCTION("""COMPUTED_VALUE"""),3.126228414E9)</f>
        <v>3126228414</v>
      </c>
      <c r="I773" s="93" t="str">
        <f>IFERROR(__xludf.DUMMYFUNCTION("""COMPUTED_VALUE"""),"12PM-2PM")</f>
        <v>12PM-2PM</v>
      </c>
      <c r="J773" s="93">
        <f>IFERROR(__xludf.DUMMYFUNCTION("""COMPUTED_VALUE"""),1.0)</f>
        <v>1</v>
      </c>
      <c r="K773" s="93" t="str">
        <f>IFERROR(__xludf.DUMMYFUNCTION("""COMPUTED_VALUE"""),"Complete")</f>
        <v>Complete</v>
      </c>
      <c r="L773" s="93"/>
      <c r="M773" s="94">
        <f>IFERROR(__xludf.DUMMYFUNCTION("""COMPUTED_VALUE"""),46130.406377314815)</f>
        <v>46130.40638</v>
      </c>
      <c r="N773" s="93">
        <f>IFERROR(__xludf.DUMMYFUNCTION("""COMPUTED_VALUE"""),138.0)</f>
        <v>138</v>
      </c>
      <c r="O773" s="93"/>
      <c r="P773" s="93" t="str">
        <f>IFERROR(__xludf.DUMMYFUNCTION("""COMPUTED_VALUE"""),"Kit Delivery")</f>
        <v>Kit Delivery</v>
      </c>
      <c r="Q773" s="93"/>
      <c r="R773" s="93"/>
      <c r="S773" s="93" t="str">
        <f>IFERROR(__xludf.DUMMYFUNCTION("""COMPUTED_VALUE"""),"Dispatch_Images/KIT--16818.Photos.144508.jpg")</f>
        <v>Dispatch_Images/KIT--16818.Photos.144508.jpg</v>
      </c>
      <c r="T773" s="95">
        <f>IFERROR(__xludf.DUMMYFUNCTION("""COMPUTED_VALUE"""),46130.411828703705)</f>
        <v>46130.41183</v>
      </c>
      <c r="U773" s="93"/>
      <c r="V773" s="93"/>
      <c r="W773" s="93"/>
      <c r="X773" s="93"/>
      <c r="Y773" s="93"/>
      <c r="Z773" s="93"/>
    </row>
    <row r="774">
      <c r="A774" s="93" t="str">
        <f>IFERROR(__xludf.DUMMYFUNCTION("""COMPUTED_VALUE"""),"KIT-#17290")</f>
        <v>KIT-#17290</v>
      </c>
      <c r="B774" s="94">
        <f>IFERROR(__xludf.DUMMYFUNCTION("""COMPUTED_VALUE"""),46150.0)</f>
        <v>46150</v>
      </c>
      <c r="C774" s="93" t="str">
        <f>IFERROR(__xludf.DUMMYFUNCTION("""COMPUTED_VALUE"""),"Kit Delivery")</f>
        <v>Kit Delivery</v>
      </c>
      <c r="D774" s="93">
        <f>IFERROR(__xludf.DUMMYFUNCTION("""COMPUTED_VALUE"""),1.0)</f>
        <v>1</v>
      </c>
      <c r="E774" s="93" t="str">
        <f>IFERROR(__xludf.DUMMYFUNCTION("""COMPUTED_VALUE"""),"Nemerov")</f>
        <v>Nemerov</v>
      </c>
      <c r="F774" s="93">
        <f>IFERROR(__xludf.DUMMYFUNCTION("""COMPUTED_VALUE"""),3053.0)</f>
        <v>3053</v>
      </c>
      <c r="G774" s="93" t="str">
        <f>IFERROR(__xludf.DUMMYFUNCTION("""COMPUTED_VALUE"""),"Sophia Sidhu")</f>
        <v>Sophia Sidhu</v>
      </c>
      <c r="H774" s="93">
        <f>IFERROR(__xludf.DUMMYFUNCTION("""COMPUTED_VALUE"""),7.046920035E9)</f>
        <v>7046920035</v>
      </c>
      <c r="I774" s="93" t="str">
        <f>IFERROR(__xludf.DUMMYFUNCTION("""COMPUTED_VALUE"""),"9AM-11AM")</f>
        <v>9AM-11AM</v>
      </c>
      <c r="J774" s="93">
        <f>IFERROR(__xludf.DUMMYFUNCTION("""COMPUTED_VALUE"""),1.0)</f>
        <v>1</v>
      </c>
      <c r="K774" s="93" t="str">
        <f>IFERROR(__xludf.DUMMYFUNCTION("""COMPUTED_VALUE"""),"Complete")</f>
        <v>Complete</v>
      </c>
      <c r="L774" s="93"/>
      <c r="M774" s="94">
        <f>IFERROR(__xludf.DUMMYFUNCTION("""COMPUTED_VALUE"""),46130.40684027778)</f>
        <v>46130.40684</v>
      </c>
      <c r="N774" s="93">
        <f>IFERROR(__xludf.DUMMYFUNCTION("""COMPUTED_VALUE"""),136.0)</f>
        <v>136</v>
      </c>
      <c r="O774" s="93"/>
      <c r="P774" s="93" t="str">
        <f>IFERROR(__xludf.DUMMYFUNCTION("""COMPUTED_VALUE"""),"Kit Delivery")</f>
        <v>Kit Delivery</v>
      </c>
      <c r="Q774" s="93" t="str">
        <f>IFERROR(__xludf.DUMMYFUNCTION("""COMPUTED_VALUE"""),"One kit")</f>
        <v>One kit</v>
      </c>
      <c r="R774" s="93"/>
      <c r="S774" s="93" t="str">
        <f>IFERROR(__xludf.DUMMYFUNCTION("""COMPUTED_VALUE"""),"Dispatch_Images/KIT--17290.Photos.144548.jpg")</f>
        <v>Dispatch_Images/KIT--17290.Photos.144548.jpg</v>
      </c>
      <c r="T774" s="95">
        <f>IFERROR(__xludf.DUMMYFUNCTION("""COMPUTED_VALUE"""),46130.411828703705)</f>
        <v>46130.41183</v>
      </c>
      <c r="U774" s="93"/>
      <c r="V774" s="93"/>
      <c r="W774" s="93"/>
      <c r="X774" s="93"/>
      <c r="Y774" s="93"/>
      <c r="Z774" s="93"/>
    </row>
    <row r="775">
      <c r="A775" s="93" t="str">
        <f>IFERROR(__xludf.DUMMYFUNCTION("""COMPUTED_VALUE"""),"KIT-#17426")</f>
        <v>KIT-#17426</v>
      </c>
      <c r="B775" s="94">
        <f>IFERROR(__xludf.DUMMYFUNCTION("""COMPUTED_VALUE"""),46150.0)</f>
        <v>46150</v>
      </c>
      <c r="C775" s="93" t="str">
        <f>IFERROR(__xludf.DUMMYFUNCTION("""COMPUTED_VALUE"""),"Kit Delivery")</f>
        <v>Kit Delivery</v>
      </c>
      <c r="D775" s="93">
        <f>IFERROR(__xludf.DUMMYFUNCTION("""COMPUTED_VALUE"""),2.0)</f>
        <v>2</v>
      </c>
      <c r="E775" s="93" t="str">
        <f>IFERROR(__xludf.DUMMYFUNCTION("""COMPUTED_VALUE"""),"Park")</f>
        <v>Park</v>
      </c>
      <c r="F775" s="93">
        <f>IFERROR(__xludf.DUMMYFUNCTION("""COMPUTED_VALUE"""),332.0)</f>
        <v>332</v>
      </c>
      <c r="G775" s="93" t="str">
        <f>IFERROR(__xludf.DUMMYFUNCTION("""COMPUTED_VALUE"""),"Jin Chen")</f>
        <v>Jin Chen</v>
      </c>
      <c r="H775" s="93">
        <f>IFERROR(__xludf.DUMMYFUNCTION("""COMPUTED_VALUE"""),6.045519618E9)</f>
        <v>6045519618</v>
      </c>
      <c r="I775" s="93" t="str">
        <f>IFERROR(__xludf.DUMMYFUNCTION("""COMPUTED_VALUE"""),"11AM-1PM")</f>
        <v>11AM-1PM</v>
      </c>
      <c r="J775" s="93">
        <f>IFERROR(__xludf.DUMMYFUNCTION("""COMPUTED_VALUE"""),1.0)</f>
        <v>1</v>
      </c>
      <c r="K775" s="93" t="str">
        <f>IFERROR(__xludf.DUMMYFUNCTION("""COMPUTED_VALUE"""),"Complete")</f>
        <v>Complete</v>
      </c>
      <c r="L775" s="93"/>
      <c r="M775" s="94">
        <f>IFERROR(__xludf.DUMMYFUNCTION("""COMPUTED_VALUE"""),46134.712129629625)</f>
        <v>46134.71213</v>
      </c>
      <c r="N775" s="93">
        <f>IFERROR(__xludf.DUMMYFUNCTION("""COMPUTED_VALUE"""),74.0)</f>
        <v>74</v>
      </c>
      <c r="O775" s="93"/>
      <c r="P775" s="93" t="str">
        <f>IFERROR(__xludf.DUMMYFUNCTION("""COMPUTED_VALUE"""),"Kit Delivery")</f>
        <v>Kit Delivery</v>
      </c>
      <c r="Q775" s="93"/>
      <c r="R775" s="93"/>
      <c r="S775" s="93" t="str">
        <f>IFERROR(__xludf.DUMMYFUNCTION("""COMPUTED_VALUE"""),"Dispatch_Images/KIT--17426.Photos.220525.jpg")</f>
        <v>Dispatch_Images/KIT--17426.Photos.220525.jpg</v>
      </c>
      <c r="T775" s="95">
        <f>IFERROR(__xludf.DUMMYFUNCTION("""COMPUTED_VALUE"""),46134.71739583334)</f>
        <v>46134.7174</v>
      </c>
      <c r="U775" s="93"/>
      <c r="V775" s="93"/>
      <c r="W775" s="93"/>
      <c r="X775" s="93"/>
      <c r="Y775" s="93"/>
      <c r="Z775" s="93"/>
    </row>
    <row r="776">
      <c r="A776" s="93" t="str">
        <f>IFERROR(__xludf.DUMMYFUNCTION("""COMPUTED_VALUE"""),"KIT-#17452")</f>
        <v>KIT-#17452</v>
      </c>
      <c r="B776" s="94">
        <f>IFERROR(__xludf.DUMMYFUNCTION("""COMPUTED_VALUE"""),46150.0)</f>
        <v>46150</v>
      </c>
      <c r="C776" s="93" t="str">
        <f>IFERROR(__xludf.DUMMYFUNCTION("""COMPUTED_VALUE"""),"Kit Delivery")</f>
        <v>Kit Delivery</v>
      </c>
      <c r="D776" s="93">
        <f>IFERROR(__xludf.DUMMYFUNCTION("""COMPUTED_VALUE"""),2.0)</f>
        <v>2</v>
      </c>
      <c r="E776" s="93" t="str">
        <f>IFERROR(__xludf.DUMMYFUNCTION("""COMPUTED_VALUE"""),"Mudd")</f>
        <v>Mudd</v>
      </c>
      <c r="F776" s="93">
        <f>IFERROR(__xludf.DUMMYFUNCTION("""COMPUTED_VALUE"""),102.0)</f>
        <v>102</v>
      </c>
      <c r="G776" s="93" t="str">
        <f>IFERROR(__xludf.DUMMYFUNCTION("""COMPUTED_VALUE"""),"Andrew Kingsnorth")</f>
        <v>Andrew Kingsnorth</v>
      </c>
      <c r="H776" s="93">
        <f>IFERROR(__xludf.DUMMYFUNCTION("""COMPUTED_VALUE"""),8.6259653E9)</f>
        <v>8625965300</v>
      </c>
      <c r="I776" s="93" t="str">
        <f>IFERROR(__xludf.DUMMYFUNCTION("""COMPUTED_VALUE"""),"9AM-11AM")</f>
        <v>9AM-11AM</v>
      </c>
      <c r="J776" s="93">
        <f>IFERROR(__xludf.DUMMYFUNCTION("""COMPUTED_VALUE"""),1.0)</f>
        <v>1</v>
      </c>
      <c r="K776" s="93" t="str">
        <f>IFERROR(__xludf.DUMMYFUNCTION("""COMPUTED_VALUE"""),"Complete")</f>
        <v>Complete</v>
      </c>
      <c r="L776" s="93"/>
      <c r="M776" s="94">
        <f>IFERROR(__xludf.DUMMYFUNCTION("""COMPUTED_VALUE"""),46134.727476851855)</f>
        <v>46134.72748</v>
      </c>
      <c r="N776" s="93">
        <f>IFERROR(__xludf.DUMMYFUNCTION("""COMPUTED_VALUE"""),87.0)</f>
        <v>87</v>
      </c>
      <c r="O776" s="93"/>
      <c r="P776" s="93" t="str">
        <f>IFERROR(__xludf.DUMMYFUNCTION("""COMPUTED_VALUE"""),"Kit Delivery")</f>
        <v>Kit Delivery</v>
      </c>
      <c r="Q776" s="93"/>
      <c r="R776" s="93"/>
      <c r="S776" s="93" t="str">
        <f>IFERROR(__xludf.DUMMYFUNCTION("""COMPUTED_VALUE"""),"Dispatch_Images/KIT--17452.Photos.222730.jpg")</f>
        <v>Dispatch_Images/KIT--17452.Photos.222730.jpg</v>
      </c>
      <c r="T776" s="95">
        <f>IFERROR(__xludf.DUMMYFUNCTION("""COMPUTED_VALUE"""),46134.73128472222)</f>
        <v>46134.73128</v>
      </c>
      <c r="U776" s="93"/>
      <c r="V776" s="93"/>
      <c r="W776" s="93"/>
      <c r="X776" s="93"/>
      <c r="Y776" s="93"/>
      <c r="Z776" s="93"/>
    </row>
    <row r="777">
      <c r="A777" s="93" t="str">
        <f>IFERROR(__xludf.DUMMYFUNCTION("""COMPUTED_VALUE"""),"KIT-#17162")</f>
        <v>KIT-#17162</v>
      </c>
      <c r="B777" s="94">
        <f>IFERROR(__xludf.DUMMYFUNCTION("""COMPUTED_VALUE"""),46150.0)</f>
        <v>46150</v>
      </c>
      <c r="C777" s="93" t="str">
        <f>IFERROR(__xludf.DUMMYFUNCTION("""COMPUTED_VALUE"""),"Kit Delivery")</f>
        <v>Kit Delivery</v>
      </c>
      <c r="D777" s="93">
        <f>IFERROR(__xludf.DUMMYFUNCTION("""COMPUTED_VALUE"""),2.0)</f>
        <v>2</v>
      </c>
      <c r="E777" s="93" t="str">
        <f>IFERROR(__xludf.DUMMYFUNCTION("""COMPUTED_VALUE"""),"Mudd")</f>
        <v>Mudd</v>
      </c>
      <c r="F777" s="93" t="str">
        <f>IFERROR(__xludf.DUMMYFUNCTION("""COMPUTED_VALUE"""),"Suite 220, Room 223")</f>
        <v>Suite 220, Room 223</v>
      </c>
      <c r="G777" s="93" t="str">
        <f>IFERROR(__xludf.DUMMYFUNCTION("""COMPUTED_VALUE"""),"Sylvia Foster-Rice")</f>
        <v>Sylvia Foster-Rice</v>
      </c>
      <c r="H777" s="93">
        <f>IFERROR(__xludf.DUMMYFUNCTION("""COMPUTED_VALUE"""),3.128341503E9)</f>
        <v>3128341503</v>
      </c>
      <c r="I777" s="93" t="str">
        <f>IFERROR(__xludf.DUMMYFUNCTION("""COMPUTED_VALUE"""),"9AM-11AM")</f>
        <v>9AM-11AM</v>
      </c>
      <c r="J777" s="93">
        <f>IFERROR(__xludf.DUMMYFUNCTION("""COMPUTED_VALUE"""),1.0)</f>
        <v>1</v>
      </c>
      <c r="K777" s="93" t="str">
        <f>IFERROR(__xludf.DUMMYFUNCTION("""COMPUTED_VALUE"""),"Complete")</f>
        <v>Complete</v>
      </c>
      <c r="L777" s="93"/>
      <c r="M777" s="94">
        <f>IFERROR(__xludf.DUMMYFUNCTION("""COMPUTED_VALUE"""),46134.734571759254)</f>
        <v>46134.73457</v>
      </c>
      <c r="N777" s="93">
        <f>IFERROR(__xludf.DUMMYFUNCTION("""COMPUTED_VALUE"""),94.0)</f>
        <v>94</v>
      </c>
      <c r="O777" s="93"/>
      <c r="P777" s="93" t="str">
        <f>IFERROR(__xludf.DUMMYFUNCTION("""COMPUTED_VALUE"""),"Kit Delivery")</f>
        <v>Kit Delivery</v>
      </c>
      <c r="Q777" s="93"/>
      <c r="R777" s="93"/>
      <c r="S777" s="93" t="str">
        <f>IFERROR(__xludf.DUMMYFUNCTION("""COMPUTED_VALUE"""),"Dispatch_Images/KIT--17162.Photos.223740.jpg")</f>
        <v>Dispatch_Images/KIT--17162.Photos.223740.jpg</v>
      </c>
      <c r="T777" s="95">
        <f>IFERROR(__xludf.DUMMYFUNCTION("""COMPUTED_VALUE"""),46134.73825231481)</f>
        <v>46134.73825</v>
      </c>
      <c r="U777" s="93"/>
      <c r="V777" s="93"/>
      <c r="W777" s="93"/>
      <c r="X777" s="93"/>
      <c r="Y777" s="93"/>
      <c r="Z777" s="93"/>
    </row>
    <row r="778">
      <c r="A778" s="93" t="str">
        <f>IFERROR(__xludf.DUMMYFUNCTION("""COMPUTED_VALUE"""),"KIT-#17592")</f>
        <v>KIT-#17592</v>
      </c>
      <c r="B778" s="94">
        <f>IFERROR(__xludf.DUMMYFUNCTION("""COMPUTED_VALUE"""),46150.0)</f>
        <v>46150</v>
      </c>
      <c r="C778" s="93" t="str">
        <f>IFERROR(__xludf.DUMMYFUNCTION("""COMPUTED_VALUE"""),"Kit Delivery")</f>
        <v>Kit Delivery</v>
      </c>
      <c r="D778" s="93">
        <f>IFERROR(__xludf.DUMMYFUNCTION("""COMPUTED_VALUE"""),2.0)</f>
        <v>2</v>
      </c>
      <c r="E778" s="93" t="str">
        <f>IFERROR(__xludf.DUMMYFUNCTION("""COMPUTED_VALUE"""),"Shepley")</f>
        <v>Shepley</v>
      </c>
      <c r="F778" s="93" t="str">
        <f>IFERROR(__xludf.DUMMYFUNCTION("""COMPUTED_VALUE"""),"2021 - a")</f>
        <v>2021 - a</v>
      </c>
      <c r="G778" s="93" t="str">
        <f>IFERROR(__xludf.DUMMYFUNCTION("""COMPUTED_VALUE"""),"Sairisheeth Venkat")</f>
        <v>Sairisheeth Venkat</v>
      </c>
      <c r="H778" s="93">
        <f>IFERROR(__xludf.DUMMYFUNCTION("""COMPUTED_VALUE"""),5.106760531E9)</f>
        <v>5106760531</v>
      </c>
      <c r="I778" s="93" t="str">
        <f>IFERROR(__xludf.DUMMYFUNCTION("""COMPUTED_VALUE"""),"9AM-11AM")</f>
        <v>9AM-11AM</v>
      </c>
      <c r="J778" s="93">
        <f>IFERROR(__xludf.DUMMYFUNCTION("""COMPUTED_VALUE"""),1.0)</f>
        <v>1</v>
      </c>
      <c r="K778" s="93" t="str">
        <f>IFERROR(__xludf.DUMMYFUNCTION("""COMPUTED_VALUE"""),"Complete")</f>
        <v>Complete</v>
      </c>
      <c r="L778" s="93"/>
      <c r="M778" s="94">
        <f>IFERROR(__xludf.DUMMYFUNCTION("""COMPUTED_VALUE"""),46137.53021990741)</f>
        <v>46137.53022</v>
      </c>
      <c r="N778" s="93">
        <f>IFERROR(__xludf.DUMMYFUNCTION("""COMPUTED_VALUE"""),53.0)</f>
        <v>53</v>
      </c>
      <c r="O778" s="93"/>
      <c r="P778" s="93" t="str">
        <f>IFERROR(__xludf.DUMMYFUNCTION("""COMPUTED_VALUE"""),"Kit Delivery")</f>
        <v>Kit Delivery</v>
      </c>
      <c r="Q778" s="93"/>
      <c r="R778" s="93"/>
      <c r="S778" s="93" t="str">
        <f>IFERROR(__xludf.DUMMYFUNCTION("""COMPUTED_VALUE"""),"Dispatch_Images/KIT--17592.Photos.174326.jpg")</f>
        <v>Dispatch_Images/KIT--17592.Photos.174326.jpg</v>
      </c>
      <c r="T778" s="95">
        <f>IFERROR(__xludf.DUMMYFUNCTION("""COMPUTED_VALUE"""),46137.536828703705)</f>
        <v>46137.53683</v>
      </c>
      <c r="U778" s="93"/>
      <c r="V778" s="93"/>
      <c r="W778" s="93"/>
      <c r="X778" s="93"/>
      <c r="Y778" s="93"/>
      <c r="Z778" s="93"/>
    </row>
    <row r="779">
      <c r="A779" s="93" t="str">
        <f>IFERROR(__xludf.DUMMYFUNCTION("""COMPUTED_VALUE"""),"KIT-#17265")</f>
        <v>KIT-#17265</v>
      </c>
      <c r="B779" s="94">
        <f>IFERROR(__xludf.DUMMYFUNCTION("""COMPUTED_VALUE"""),46150.0)</f>
        <v>46150</v>
      </c>
      <c r="C779" s="93" t="str">
        <f>IFERROR(__xludf.DUMMYFUNCTION("""COMPUTED_VALUE"""),"Kit Delivery")</f>
        <v>Kit Delivery</v>
      </c>
      <c r="D779" s="93">
        <f>IFERROR(__xludf.DUMMYFUNCTION("""COMPUTED_VALUE"""),2.0)</f>
        <v>2</v>
      </c>
      <c r="E779" s="93" t="str">
        <f>IFERROR(__xludf.DUMMYFUNCTION("""COMPUTED_VALUE"""),"Gregg")</f>
        <v>Gregg</v>
      </c>
      <c r="F779" s="93">
        <f>IFERROR(__xludf.DUMMYFUNCTION("""COMPUTED_VALUE"""),2171.0)</f>
        <v>2171</v>
      </c>
      <c r="G779" s="93" t="str">
        <f>IFERROR(__xludf.DUMMYFUNCTION("""COMPUTED_VALUE"""),"Patrick  Tuohy")</f>
        <v>Patrick  Tuohy</v>
      </c>
      <c r="H779" s="93">
        <f>IFERROR(__xludf.DUMMYFUNCTION("""COMPUTED_VALUE"""),5.169415108E9)</f>
        <v>5169415108</v>
      </c>
      <c r="I779" s="93" t="str">
        <f>IFERROR(__xludf.DUMMYFUNCTION("""COMPUTED_VALUE"""),"9AM-11AM")</f>
        <v>9AM-11AM</v>
      </c>
      <c r="J779" s="93">
        <f>IFERROR(__xludf.DUMMYFUNCTION("""COMPUTED_VALUE"""),1.0)</f>
        <v>1</v>
      </c>
      <c r="K779" s="93" t="str">
        <f>IFERROR(__xludf.DUMMYFUNCTION("""COMPUTED_VALUE"""),"Complete")</f>
        <v>Complete</v>
      </c>
      <c r="L779" s="93"/>
      <c r="M779" s="94">
        <f>IFERROR(__xludf.DUMMYFUNCTION("""COMPUTED_VALUE"""),46137.80950231482)</f>
        <v>46137.8095</v>
      </c>
      <c r="N779" s="93">
        <f>IFERROR(__xludf.DUMMYFUNCTION("""COMPUTED_VALUE"""),118.0)</f>
        <v>118</v>
      </c>
      <c r="O779" s="93"/>
      <c r="P779" s="93" t="str">
        <f>IFERROR(__xludf.DUMMYFUNCTION("""COMPUTED_VALUE"""),"Kit Delivery")</f>
        <v>Kit Delivery</v>
      </c>
      <c r="Q779" s="93"/>
      <c r="R779" s="93"/>
      <c r="S779" s="93" t="str">
        <f>IFERROR(__xludf.DUMMYFUNCTION("""COMPUTED_VALUE"""),"Dispatch_Images/KIT--17265.Photos.002538.jpg")</f>
        <v>Dispatch_Images/KIT--17265.Photos.002538.jpg</v>
      </c>
      <c r="T779" s="95">
        <f>IFERROR(__xludf.DUMMYFUNCTION("""COMPUTED_VALUE"""),46137.814618055556)</f>
        <v>46137.81462</v>
      </c>
      <c r="U779" s="93"/>
      <c r="V779" s="93"/>
      <c r="W779" s="93"/>
      <c r="X779" s="93"/>
      <c r="Y779" s="93"/>
      <c r="Z779" s="93"/>
    </row>
    <row r="780">
      <c r="A780" s="93" t="str">
        <f>IFERROR(__xludf.DUMMYFUNCTION("""COMPUTED_VALUE"""),"KIT-#17148")</f>
        <v>KIT-#17148</v>
      </c>
      <c r="B780" s="94">
        <f>IFERROR(__xludf.DUMMYFUNCTION("""COMPUTED_VALUE"""),46150.0)</f>
        <v>46150</v>
      </c>
      <c r="C780" s="93" t="str">
        <f>IFERROR(__xludf.DUMMYFUNCTION("""COMPUTED_VALUE"""),"Kit Delivery")</f>
        <v>Kit Delivery</v>
      </c>
      <c r="D780" s="93">
        <f>IFERROR(__xludf.DUMMYFUNCTION("""COMPUTED_VALUE"""),2.0)</f>
        <v>2</v>
      </c>
      <c r="E780" s="93" t="str">
        <f>IFERROR(__xludf.DUMMYFUNCTION("""COMPUTED_VALUE"""),"Gregg")</f>
        <v>Gregg</v>
      </c>
      <c r="F780" s="93">
        <f>IFERROR(__xludf.DUMMYFUNCTION("""COMPUTED_VALUE"""),2173.0)</f>
        <v>2173</v>
      </c>
      <c r="G780" s="93" t="str">
        <f>IFERROR(__xludf.DUMMYFUNCTION("""COMPUTED_VALUE"""),"Jack Powers")</f>
        <v>Jack Powers</v>
      </c>
      <c r="H780" s="93">
        <f>IFERROR(__xludf.DUMMYFUNCTION("""COMPUTED_VALUE"""),7.274181417E9)</f>
        <v>7274181417</v>
      </c>
      <c r="I780" s="93" t="str">
        <f>IFERROR(__xludf.DUMMYFUNCTION("""COMPUTED_VALUE"""),"1PM-3PM")</f>
        <v>1PM-3PM</v>
      </c>
      <c r="J780" s="93">
        <f>IFERROR(__xludf.DUMMYFUNCTION("""COMPUTED_VALUE"""),2.0)</f>
        <v>2</v>
      </c>
      <c r="K780" s="93" t="str">
        <f>IFERROR(__xludf.DUMMYFUNCTION("""COMPUTED_VALUE"""),"Complete")</f>
        <v>Complete</v>
      </c>
      <c r="L780" s="93"/>
      <c r="M780" s="94">
        <f>IFERROR(__xludf.DUMMYFUNCTION("""COMPUTED_VALUE"""),46137.81)</f>
        <v>46137.81</v>
      </c>
      <c r="N780" s="93">
        <f>IFERROR(__xludf.DUMMYFUNCTION("""COMPUTED_VALUE"""),119.0)</f>
        <v>119</v>
      </c>
      <c r="O780" s="93"/>
      <c r="P780" s="93" t="str">
        <f>IFERROR(__xludf.DUMMYFUNCTION("""COMPUTED_VALUE"""),"Kit Delivery")</f>
        <v>Kit Delivery</v>
      </c>
      <c r="Q780" s="93"/>
      <c r="R780" s="93"/>
      <c r="S780" s="93" t="str">
        <f>IFERROR(__xludf.DUMMYFUNCTION("""COMPUTED_VALUE"""),"Dispatch_Images/KIT--17148.Photos.002620.jpg")</f>
        <v>Dispatch_Images/KIT--17148.Photos.002620.jpg</v>
      </c>
      <c r="T780" s="95">
        <f>IFERROR(__xludf.DUMMYFUNCTION("""COMPUTED_VALUE"""),46137.814618055556)</f>
        <v>46137.81462</v>
      </c>
      <c r="U780" s="93"/>
      <c r="V780" s="93"/>
      <c r="W780" s="93"/>
      <c r="X780" s="93"/>
      <c r="Y780" s="93"/>
      <c r="Z780" s="93"/>
    </row>
    <row r="781">
      <c r="A781" s="93" t="str">
        <f>IFERROR(__xludf.DUMMYFUNCTION("""COMPUTED_VALUE"""),"KIT-#17333")</f>
        <v>KIT-#17333</v>
      </c>
      <c r="B781" s="94">
        <f>IFERROR(__xludf.DUMMYFUNCTION("""COMPUTED_VALUE"""),46150.0)</f>
        <v>46150</v>
      </c>
      <c r="C781" s="93" t="str">
        <f>IFERROR(__xludf.DUMMYFUNCTION("""COMPUTED_VALUE"""),"Kit Delivery")</f>
        <v>Kit Delivery</v>
      </c>
      <c r="D781" s="93">
        <f>IFERROR(__xludf.DUMMYFUNCTION("""COMPUTED_VALUE"""),2.0)</f>
        <v>2</v>
      </c>
      <c r="E781" s="93" t="str">
        <f>IFERROR(__xludf.DUMMYFUNCTION("""COMPUTED_VALUE"""),"Gregg")</f>
        <v>Gregg</v>
      </c>
      <c r="F781" s="93" t="str">
        <f>IFERROR(__xludf.DUMMYFUNCTION("""COMPUTED_VALUE"""),"3073-a")</f>
        <v>3073-a</v>
      </c>
      <c r="G781" s="93" t="str">
        <f>IFERROR(__xludf.DUMMYFUNCTION("""COMPUTED_VALUE"""),"Ashley Yoon")</f>
        <v>Ashley Yoon</v>
      </c>
      <c r="H781" s="93">
        <f>IFERROR(__xludf.DUMMYFUNCTION("""COMPUTED_VALUE"""),3.14537675E9)</f>
        <v>3145376750</v>
      </c>
      <c r="I781" s="93" t="str">
        <f>IFERROR(__xludf.DUMMYFUNCTION("""COMPUTED_VALUE"""),"9AM-11AM")</f>
        <v>9AM-11AM</v>
      </c>
      <c r="J781" s="93">
        <f>IFERROR(__xludf.DUMMYFUNCTION("""COMPUTED_VALUE"""),1.0)</f>
        <v>1</v>
      </c>
      <c r="K781" s="93" t="str">
        <f>IFERROR(__xludf.DUMMYFUNCTION("""COMPUTED_VALUE"""),"Complete")</f>
        <v>Complete</v>
      </c>
      <c r="L781" s="93"/>
      <c r="M781" s="94">
        <f>IFERROR(__xludf.DUMMYFUNCTION("""COMPUTED_VALUE"""),46137.813738425924)</f>
        <v>46137.81374</v>
      </c>
      <c r="N781" s="93">
        <f>IFERROR(__xludf.DUMMYFUNCTION("""COMPUTED_VALUE"""),121.0)</f>
        <v>121</v>
      </c>
      <c r="O781" s="93"/>
      <c r="P781" s="93" t="str">
        <f>IFERROR(__xludf.DUMMYFUNCTION("""COMPUTED_VALUE"""),"Kit Delivery")</f>
        <v>Kit Delivery</v>
      </c>
      <c r="Q781" s="93"/>
      <c r="R781" s="93"/>
      <c r="S781" s="93" t="str">
        <f>IFERROR(__xludf.DUMMYFUNCTION("""COMPUTED_VALUE"""),"Dispatch_Images/KIT--17333.Photos.003144.jpg")</f>
        <v>Dispatch_Images/KIT--17333.Photos.003144.jpg</v>
      </c>
      <c r="T781" s="95">
        <f>IFERROR(__xludf.DUMMYFUNCTION("""COMPUTED_VALUE"""),46137.814618055556)</f>
        <v>46137.81462</v>
      </c>
      <c r="U781" s="93"/>
      <c r="V781" s="93"/>
      <c r="W781" s="93"/>
      <c r="X781" s="93"/>
      <c r="Y781" s="93"/>
      <c r="Z781" s="93"/>
    </row>
    <row r="782">
      <c r="A782" s="93" t="str">
        <f>IFERROR(__xludf.DUMMYFUNCTION("""COMPUTED_VALUE"""),"KIT-#17259")</f>
        <v>KIT-#17259</v>
      </c>
      <c r="B782" s="94">
        <f>IFERROR(__xludf.DUMMYFUNCTION("""COMPUTED_VALUE"""),46150.0)</f>
        <v>46150</v>
      </c>
      <c r="C782" s="93" t="str">
        <f>IFERROR(__xludf.DUMMYFUNCTION("""COMPUTED_VALUE"""),"Kit Delivery")</f>
        <v>Kit Delivery</v>
      </c>
      <c r="D782" s="93">
        <f>IFERROR(__xludf.DUMMYFUNCTION("""COMPUTED_VALUE"""),2.0)</f>
        <v>2</v>
      </c>
      <c r="E782" s="93" t="str">
        <f>IFERROR(__xludf.DUMMYFUNCTION("""COMPUTED_VALUE"""),"Lien")</f>
        <v>Lien</v>
      </c>
      <c r="F782" s="93">
        <f>IFERROR(__xludf.DUMMYFUNCTION("""COMPUTED_VALUE"""),1116.0)</f>
        <v>1116</v>
      </c>
      <c r="G782" s="93" t="str">
        <f>IFERROR(__xludf.DUMMYFUNCTION("""COMPUTED_VALUE"""),"Emma Lassman")</f>
        <v>Emma Lassman</v>
      </c>
      <c r="H782" s="93">
        <f>IFERROR(__xludf.DUMMYFUNCTION("""COMPUTED_VALUE"""),9.177347179E9)</f>
        <v>9177347179</v>
      </c>
      <c r="I782" s="93" t="str">
        <f>IFERROR(__xludf.DUMMYFUNCTION("""COMPUTED_VALUE"""),"9AM-11AM")</f>
        <v>9AM-11AM</v>
      </c>
      <c r="J782" s="93">
        <f>IFERROR(__xludf.DUMMYFUNCTION("""COMPUTED_VALUE"""),1.0)</f>
        <v>1</v>
      </c>
      <c r="K782" s="93" t="str">
        <f>IFERROR(__xludf.DUMMYFUNCTION("""COMPUTED_VALUE"""),"Complete")</f>
        <v>Complete</v>
      </c>
      <c r="L782" s="93"/>
      <c r="M782" s="94">
        <f>IFERROR(__xludf.DUMMYFUNCTION("""COMPUTED_VALUE"""),46137.82487268519)</f>
        <v>46137.82487</v>
      </c>
      <c r="N782" s="93">
        <f>IFERROR(__xludf.DUMMYFUNCTION("""COMPUTED_VALUE"""),132.0)</f>
        <v>132</v>
      </c>
      <c r="O782" s="93"/>
      <c r="P782" s="93" t="str">
        <f>IFERROR(__xludf.DUMMYFUNCTION("""COMPUTED_VALUE"""),"Kit Delivery")</f>
        <v>Kit Delivery</v>
      </c>
      <c r="Q782" s="93"/>
      <c r="R782" s="93"/>
      <c r="S782" s="93" t="str">
        <f>IFERROR(__xludf.DUMMYFUNCTION("""COMPUTED_VALUE"""),"Dispatch_Images/KIT--17259.Photos.004745.jpg")</f>
        <v>Dispatch_Images/KIT--17259.Photos.004745.jpg</v>
      </c>
      <c r="T782" s="95">
        <f>IFERROR(__xludf.DUMMYFUNCTION("""COMPUTED_VALUE"""),46137.82849537037)</f>
        <v>46137.8285</v>
      </c>
      <c r="U782" s="93"/>
      <c r="V782" s="93"/>
      <c r="W782" s="93"/>
      <c r="X782" s="93"/>
      <c r="Y782" s="93"/>
      <c r="Z782" s="93"/>
    </row>
    <row r="783">
      <c r="A783" s="93" t="str">
        <f>IFERROR(__xludf.DUMMYFUNCTION("""COMPUTED_VALUE"""),"KIT-#17109")</f>
        <v>KIT-#17109</v>
      </c>
      <c r="B783" s="94">
        <f>IFERROR(__xludf.DUMMYFUNCTION("""COMPUTED_VALUE"""),46150.0)</f>
        <v>46150</v>
      </c>
      <c r="C783" s="93" t="str">
        <f>IFERROR(__xludf.DUMMYFUNCTION("""COMPUTED_VALUE"""),"Kit Delivery")</f>
        <v>Kit Delivery</v>
      </c>
      <c r="D783" s="93">
        <f>IFERROR(__xludf.DUMMYFUNCTION("""COMPUTED_VALUE"""),2.0)</f>
        <v>2</v>
      </c>
      <c r="E783" s="93" t="str">
        <f>IFERROR(__xludf.DUMMYFUNCTION("""COMPUTED_VALUE"""),"House 6")</f>
        <v>House 6</v>
      </c>
      <c r="F783" s="93">
        <f>IFERROR(__xludf.DUMMYFUNCTION("""COMPUTED_VALUE"""),202.0)</f>
        <v>202</v>
      </c>
      <c r="G783" s="93" t="str">
        <f>IFERROR(__xludf.DUMMYFUNCTION("""COMPUTED_VALUE"""),"quincy schwartz")</f>
        <v>quincy schwartz</v>
      </c>
      <c r="H783" s="93">
        <f>IFERROR(__xludf.DUMMYFUNCTION("""COMPUTED_VALUE"""),2.066613897E9)</f>
        <v>2066613897</v>
      </c>
      <c r="I783" s="93" t="str">
        <f>IFERROR(__xludf.DUMMYFUNCTION("""COMPUTED_VALUE"""),"9AM-11AM")</f>
        <v>9AM-11AM</v>
      </c>
      <c r="J783" s="93">
        <f>IFERROR(__xludf.DUMMYFUNCTION("""COMPUTED_VALUE"""),2.0)</f>
        <v>2</v>
      </c>
      <c r="K783" s="93" t="str">
        <f>IFERROR(__xludf.DUMMYFUNCTION("""COMPUTED_VALUE"""),"Complete")</f>
        <v>Complete</v>
      </c>
      <c r="L783" s="93"/>
      <c r="M783" s="94">
        <f>IFERROR(__xludf.DUMMYFUNCTION("""COMPUTED_VALUE"""),46140.82949074074)</f>
        <v>46140.82949</v>
      </c>
      <c r="N783" s="93">
        <f>IFERROR(__xludf.DUMMYFUNCTION("""COMPUTED_VALUE"""),200.0)</f>
        <v>200</v>
      </c>
      <c r="O783" s="93"/>
      <c r="P783" s="93" t="str">
        <f>IFERROR(__xludf.DUMMYFUNCTION("""COMPUTED_VALUE"""),"Kit Delivery")</f>
        <v>Kit Delivery</v>
      </c>
      <c r="Q783" s="93"/>
      <c r="R783" s="93"/>
      <c r="S783" s="93" t="str">
        <f>IFERROR(__xludf.DUMMYFUNCTION("""COMPUTED_VALUE"""),"Dispatch_Images/KIT--17109.Photos.005424.jpg")</f>
        <v>Dispatch_Images/KIT--17109.Photos.005424.jpg</v>
      </c>
      <c r="T783" s="95">
        <f>IFERROR(__xludf.DUMMYFUNCTION("""COMPUTED_VALUE"""),46140.83545138889)</f>
        <v>46140.83545</v>
      </c>
      <c r="U783" s="93"/>
      <c r="V783" s="93"/>
      <c r="W783" s="93"/>
      <c r="X783" s="93"/>
      <c r="Y783" s="93"/>
      <c r="Z783" s="93"/>
    </row>
    <row r="784">
      <c r="A784" s="93" t="str">
        <f>IFERROR(__xludf.DUMMYFUNCTION("""COMPUTED_VALUE"""),"KIT-#18032")</f>
        <v>KIT-#18032</v>
      </c>
      <c r="B784" s="94">
        <f>IFERROR(__xludf.DUMMYFUNCTION("""COMPUTED_VALUE"""),46150.0)</f>
        <v>46150</v>
      </c>
      <c r="C784" s="93" t="str">
        <f>IFERROR(__xludf.DUMMYFUNCTION("""COMPUTED_VALUE"""),"Kit Delivery")</f>
        <v>Kit Delivery</v>
      </c>
      <c r="D784" s="93">
        <f>IFERROR(__xludf.DUMMYFUNCTION("""COMPUTED_VALUE"""),2.0)</f>
        <v>2</v>
      </c>
      <c r="E784" s="93" t="str">
        <f>IFERROR(__xludf.DUMMYFUNCTION("""COMPUTED_VALUE"""),"Village House")</f>
        <v>Village House</v>
      </c>
      <c r="F784" s="93">
        <f>IFERROR(__xludf.DUMMYFUNCTION("""COMPUTED_VALUE"""),3121.0)</f>
        <v>3121</v>
      </c>
      <c r="G784" s="93" t="str">
        <f>IFERROR(__xludf.DUMMYFUNCTION("""COMPUTED_VALUE"""),"Minjun Sohn")</f>
        <v>Minjun Sohn</v>
      </c>
      <c r="H784" s="93">
        <f>IFERROR(__xludf.DUMMYFUNCTION("""COMPUTED_VALUE"""),3.143798058E9)</f>
        <v>3143798058</v>
      </c>
      <c r="I784" s="93" t="str">
        <f>IFERROR(__xludf.DUMMYFUNCTION("""COMPUTED_VALUE"""),"9AM-11AM")</f>
        <v>9AM-11AM</v>
      </c>
      <c r="J784" s="93">
        <f>IFERROR(__xludf.DUMMYFUNCTION("""COMPUTED_VALUE"""),1.0)</f>
        <v>1</v>
      </c>
      <c r="K784" s="93" t="str">
        <f>IFERROR(__xludf.DUMMYFUNCTION("""COMPUTED_VALUE"""),"Complete")</f>
        <v>Complete</v>
      </c>
      <c r="L784" s="93"/>
      <c r="M784" s="94">
        <f>IFERROR(__xludf.DUMMYFUNCTION("""COMPUTED_VALUE"""),46142.89087962963)</f>
        <v>46142.89088</v>
      </c>
      <c r="N784" s="93">
        <f>IFERROR(__xludf.DUMMYFUNCTION("""COMPUTED_VALUE"""),136.0)</f>
        <v>136</v>
      </c>
      <c r="O784" s="93"/>
      <c r="P784" s="93" t="str">
        <f>IFERROR(__xludf.DUMMYFUNCTION("""COMPUTED_VALUE"""),"Kit Delivery")</f>
        <v>Kit Delivery</v>
      </c>
      <c r="Q784" s="93"/>
      <c r="R784" s="93"/>
      <c r="S784" s="93" t="str">
        <f>IFERROR(__xludf.DUMMYFUNCTION("""COMPUTED_VALUE"""),"Dispatch_Images/KIT--18032.Photos.022249.jpg")</f>
        <v>Dispatch_Images/KIT--18032.Photos.022249.jpg</v>
      </c>
      <c r="T784" s="95">
        <f>IFERROR(__xludf.DUMMYFUNCTION("""COMPUTED_VALUE"""),46142.89349537037)</f>
        <v>46142.8935</v>
      </c>
      <c r="U784" s="93"/>
      <c r="V784" s="93"/>
      <c r="W784" s="93"/>
      <c r="X784" s="93"/>
      <c r="Y784" s="93"/>
      <c r="Z784" s="93"/>
    </row>
    <row r="785">
      <c r="A785" s="93" t="str">
        <f>IFERROR(__xludf.DUMMYFUNCTION("""COMPUTED_VALUE"""),"KIT-#18062")</f>
        <v>KIT-#18062</v>
      </c>
      <c r="B785" s="94">
        <f>IFERROR(__xludf.DUMMYFUNCTION("""COMPUTED_VALUE"""),46150.0)</f>
        <v>46150</v>
      </c>
      <c r="C785" s="93" t="str">
        <f>IFERROR(__xludf.DUMMYFUNCTION("""COMPUTED_VALUE"""),"Kit Delivery")</f>
        <v>Kit Delivery</v>
      </c>
      <c r="D785" s="93">
        <f>IFERROR(__xludf.DUMMYFUNCTION("""COMPUTED_VALUE"""),2.0)</f>
        <v>2</v>
      </c>
      <c r="E785" s="93" t="str">
        <f>IFERROR(__xludf.DUMMYFUNCTION("""COMPUTED_VALUE"""),"Village House")</f>
        <v>Village House</v>
      </c>
      <c r="F785" s="93">
        <f>IFERROR(__xludf.DUMMYFUNCTION("""COMPUTED_VALUE"""),3033.0)</f>
        <v>3033</v>
      </c>
      <c r="G785" s="93" t="str">
        <f>IFERROR(__xludf.DUMMYFUNCTION("""COMPUTED_VALUE"""),"Siyuan Bi")</f>
        <v>Siyuan Bi</v>
      </c>
      <c r="H785" s="93">
        <f>IFERROR(__xludf.DUMMYFUNCTION("""COMPUTED_VALUE"""),3.146655285E9)</f>
        <v>3146655285</v>
      </c>
      <c r="I785" s="93" t="str">
        <f>IFERROR(__xludf.DUMMYFUNCTION("""COMPUTED_VALUE"""),"11AM-1PM")</f>
        <v>11AM-1PM</v>
      </c>
      <c r="J785" s="93">
        <f>IFERROR(__xludf.DUMMYFUNCTION("""COMPUTED_VALUE"""),1.0)</f>
        <v>1</v>
      </c>
      <c r="K785" s="93" t="str">
        <f>IFERROR(__xludf.DUMMYFUNCTION("""COMPUTED_VALUE"""),"Complete")</f>
        <v>Complete</v>
      </c>
      <c r="L785" s="93"/>
      <c r="M785" s="94">
        <f>IFERROR(__xludf.DUMMYFUNCTION("""COMPUTED_VALUE"""),46142.89125)</f>
        <v>46142.89125</v>
      </c>
      <c r="N785" s="93">
        <f>IFERROR(__xludf.DUMMYFUNCTION("""COMPUTED_VALUE"""),134.0)</f>
        <v>134</v>
      </c>
      <c r="O785" s="93"/>
      <c r="P785" s="93" t="str">
        <f>IFERROR(__xludf.DUMMYFUNCTION("""COMPUTED_VALUE"""),"Kit Delivery")</f>
        <v>Kit Delivery</v>
      </c>
      <c r="Q785" s="93"/>
      <c r="R785" s="93"/>
      <c r="S785" s="93" t="str">
        <f>IFERROR(__xludf.DUMMYFUNCTION("""COMPUTED_VALUE"""),"Dispatch_Images/KIT--18062.Photos.022321.jpg")</f>
        <v>Dispatch_Images/KIT--18062.Photos.022321.jpg</v>
      </c>
      <c r="T785" s="95">
        <f>IFERROR(__xludf.DUMMYFUNCTION("""COMPUTED_VALUE"""),46142.89349537037)</f>
        <v>46142.8935</v>
      </c>
      <c r="U785" s="93"/>
      <c r="V785" s="93"/>
      <c r="W785" s="93"/>
      <c r="X785" s="93"/>
      <c r="Y785" s="93"/>
      <c r="Z785" s="93"/>
    </row>
    <row r="786">
      <c r="A786" s="93" t="str">
        <f>IFERROR(__xludf.DUMMYFUNCTION("""COMPUTED_VALUE"""),"KIT-#17159")</f>
        <v>KIT-#17159</v>
      </c>
      <c r="B786" s="94">
        <f>IFERROR(__xludf.DUMMYFUNCTION("""COMPUTED_VALUE"""),46150.0)</f>
        <v>46150</v>
      </c>
      <c r="C786" s="93" t="str">
        <f>IFERROR(__xludf.DUMMYFUNCTION("""COMPUTED_VALUE"""),"Kit Delivery")</f>
        <v>Kit Delivery</v>
      </c>
      <c r="D786" s="93">
        <f>IFERROR(__xludf.DUMMYFUNCTION("""COMPUTED_VALUE"""),2.0)</f>
        <v>2</v>
      </c>
      <c r="E786" s="93" t="str">
        <f>IFERROR(__xludf.DUMMYFUNCTION("""COMPUTED_VALUE"""),"Millbrook Bldg. 3")</f>
        <v>Millbrook Bldg. 3</v>
      </c>
      <c r="F786" s="93" t="str">
        <f>IFERROR(__xludf.DUMMYFUNCTION("""COMPUTED_VALUE"""),"101A")</f>
        <v>101A</v>
      </c>
      <c r="G786" s="93" t="str">
        <f>IFERROR(__xludf.DUMMYFUNCTION("""COMPUTED_VALUE"""),"Annie Hlavka")</f>
        <v>Annie Hlavka</v>
      </c>
      <c r="H786" s="93">
        <f>IFERROR(__xludf.DUMMYFUNCTION("""COMPUTED_VALUE"""),6.504228482E9)</f>
        <v>6504228482</v>
      </c>
      <c r="I786" s="93" t="str">
        <f>IFERROR(__xludf.DUMMYFUNCTION("""COMPUTED_VALUE"""),"2PM-4PM")</f>
        <v>2PM-4PM</v>
      </c>
      <c r="J786" s="93">
        <f>IFERROR(__xludf.DUMMYFUNCTION("""COMPUTED_VALUE"""),2.0)</f>
        <v>2</v>
      </c>
      <c r="K786" s="93" t="str">
        <f>IFERROR(__xludf.DUMMYFUNCTION("""COMPUTED_VALUE"""),"Complete")</f>
        <v>Complete</v>
      </c>
      <c r="L786" s="93"/>
      <c r="M786" s="94">
        <f>IFERROR(__xludf.DUMMYFUNCTION("""COMPUTED_VALUE"""),46145.01527777778)</f>
        <v>46145.01528</v>
      </c>
      <c r="N786" s="93">
        <f>IFERROR(__xludf.DUMMYFUNCTION("""COMPUTED_VALUE"""),98.0)</f>
        <v>98</v>
      </c>
      <c r="O786" s="93"/>
      <c r="P786" s="93" t="str">
        <f>IFERROR(__xludf.DUMMYFUNCTION("""COMPUTED_VALUE"""),"Kit Delivery")</f>
        <v>Kit Delivery</v>
      </c>
      <c r="Q786" s="93"/>
      <c r="R786" s="93"/>
      <c r="S786" s="93" t="str">
        <f>IFERROR(__xludf.DUMMYFUNCTION("""COMPUTED_VALUE"""),"Dispatch_Images/KIT--17159.Photos.052156.jpg")</f>
        <v>Dispatch_Images/KIT--17159.Photos.052156.jpg</v>
      </c>
      <c r="T786" s="95">
        <f>IFERROR(__xludf.DUMMYFUNCTION("""COMPUTED_VALUE"""),46145.018483796295)</f>
        <v>46145.01848</v>
      </c>
      <c r="U786" s="93"/>
      <c r="V786" s="93"/>
      <c r="W786" s="93"/>
      <c r="X786" s="93"/>
      <c r="Y786" s="93"/>
      <c r="Z786" s="93"/>
    </row>
    <row r="787">
      <c r="A787" s="93" t="str">
        <f>IFERROR(__xludf.DUMMYFUNCTION("""COMPUTED_VALUE"""),"KIT-#17169")</f>
        <v>KIT-#17169</v>
      </c>
      <c r="B787" s="94">
        <f>IFERROR(__xludf.DUMMYFUNCTION("""COMPUTED_VALUE"""),46150.0)</f>
        <v>46150</v>
      </c>
      <c r="C787" s="93" t="str">
        <f>IFERROR(__xludf.DUMMYFUNCTION("""COMPUTED_VALUE"""),"Kit Delivery")</f>
        <v>Kit Delivery</v>
      </c>
      <c r="D787" s="93">
        <f>IFERROR(__xludf.DUMMYFUNCTION("""COMPUTED_VALUE"""),2.0)</f>
        <v>2</v>
      </c>
      <c r="E787" s="93" t="str">
        <f>IFERROR(__xludf.DUMMYFUNCTION("""COMPUTED_VALUE"""),"House 22")</f>
        <v>House 22</v>
      </c>
      <c r="F787" s="93">
        <f>IFERROR(__xludf.DUMMYFUNCTION("""COMPUTED_VALUE"""),3002.0)</f>
        <v>3002</v>
      </c>
      <c r="G787" s="93" t="str">
        <f>IFERROR(__xludf.DUMMYFUNCTION("""COMPUTED_VALUE"""),"Andrew Park")</f>
        <v>Andrew Park</v>
      </c>
      <c r="H787" s="93">
        <f>IFERROR(__xludf.DUMMYFUNCTION("""COMPUTED_VALUE"""),2.014480298E9)</f>
        <v>2014480298</v>
      </c>
      <c r="I787" s="93" t="str">
        <f>IFERROR(__xludf.DUMMYFUNCTION("""COMPUTED_VALUE"""),"9AM-11AM")</f>
        <v>9AM-11AM</v>
      </c>
      <c r="J787" s="93">
        <f>IFERROR(__xludf.DUMMYFUNCTION("""COMPUTED_VALUE"""),1.0)</f>
        <v>1</v>
      </c>
      <c r="K787" s="93" t="str">
        <f>IFERROR(__xludf.DUMMYFUNCTION("""COMPUTED_VALUE"""),"Complete")</f>
        <v>Complete</v>
      </c>
      <c r="L787" s="93"/>
      <c r="M787" s="94">
        <f>IFERROR(__xludf.DUMMYFUNCTION("""COMPUTED_VALUE"""),46145.02285879629)</f>
        <v>46145.02286</v>
      </c>
      <c r="N787" s="93">
        <f>IFERROR(__xludf.DUMMYFUNCTION("""COMPUTED_VALUE"""),89.0)</f>
        <v>89</v>
      </c>
      <c r="O787" s="93"/>
      <c r="P787" s="93" t="str">
        <f>IFERROR(__xludf.DUMMYFUNCTION("""COMPUTED_VALUE"""),"Kit Delivery")</f>
        <v>Kit Delivery</v>
      </c>
      <c r="Q787" s="93"/>
      <c r="R787" s="93"/>
      <c r="S787" s="93" t="str">
        <f>IFERROR(__xludf.DUMMYFUNCTION("""COMPUTED_VALUE"""),"Dispatch_Images/KIT--17169.Photos.053250.jpg")</f>
        <v>Dispatch_Images/KIT--17169.Photos.053250.jpg</v>
      </c>
      <c r="T787" s="95">
        <f>IFERROR(__xludf.DUMMYFUNCTION("""COMPUTED_VALUE"""),46145.02543981482)</f>
        <v>46145.02544</v>
      </c>
      <c r="U787" s="93"/>
      <c r="V787" s="93"/>
      <c r="W787" s="93"/>
      <c r="X787" s="93"/>
      <c r="Y787" s="93"/>
      <c r="Z787" s="93"/>
    </row>
    <row r="788">
      <c r="A788" s="93" t="str">
        <f>IFERROR(__xludf.DUMMYFUNCTION("""COMPUTED_VALUE"""),"KIT-#17586")</f>
        <v>KIT-#17586</v>
      </c>
      <c r="B788" s="94">
        <f>IFERROR(__xludf.DUMMYFUNCTION("""COMPUTED_VALUE"""),46150.0)</f>
        <v>46150</v>
      </c>
      <c r="C788" s="93" t="str">
        <f>IFERROR(__xludf.DUMMYFUNCTION("""COMPUTED_VALUE"""),"Kit Delivery")</f>
        <v>Kit Delivery</v>
      </c>
      <c r="D788" s="93">
        <f>IFERROR(__xludf.DUMMYFUNCTION("""COMPUTED_VALUE"""),2.0)</f>
        <v>2</v>
      </c>
      <c r="E788" s="93" t="str">
        <f>IFERROR(__xludf.DUMMYFUNCTION("""COMPUTED_VALUE"""),"Millbrook Bldg. 2")</f>
        <v>Millbrook Bldg. 2</v>
      </c>
      <c r="F788" s="93" t="str">
        <f>IFERROR(__xludf.DUMMYFUNCTION("""COMPUTED_VALUE"""),"201B")</f>
        <v>201B</v>
      </c>
      <c r="G788" s="93" t="str">
        <f>IFERROR(__xludf.DUMMYFUNCTION("""COMPUTED_VALUE"""),"Amelia Kocay")</f>
        <v>Amelia Kocay</v>
      </c>
      <c r="H788" s="93">
        <f>IFERROR(__xludf.DUMMYFUNCTION("""COMPUTED_VALUE"""),9.178365787E9)</f>
        <v>9178365787</v>
      </c>
      <c r="I788" s="93" t="str">
        <f>IFERROR(__xludf.DUMMYFUNCTION("""COMPUTED_VALUE"""),"1PM-3PM")</f>
        <v>1PM-3PM</v>
      </c>
      <c r="J788" s="93">
        <f>IFERROR(__xludf.DUMMYFUNCTION("""COMPUTED_VALUE"""),2.0)</f>
        <v>2</v>
      </c>
      <c r="K788" s="93" t="str">
        <f>IFERROR(__xludf.DUMMYFUNCTION("""COMPUTED_VALUE"""),"Complete")</f>
        <v>Complete</v>
      </c>
      <c r="L788" s="93"/>
      <c r="M788" s="94">
        <f>IFERROR(__xludf.DUMMYFUNCTION("""COMPUTED_VALUE"""),46145.03673611111)</f>
        <v>46145.03674</v>
      </c>
      <c r="N788" s="93">
        <f>IFERROR(__xludf.DUMMYFUNCTION("""COMPUTED_VALUE"""),93.0)</f>
        <v>93</v>
      </c>
      <c r="O788" s="93"/>
      <c r="P788" s="93" t="str">
        <f>IFERROR(__xludf.DUMMYFUNCTION("""COMPUTED_VALUE"""),"Kit Delivery")</f>
        <v>Kit Delivery</v>
      </c>
      <c r="Q788" s="93"/>
      <c r="R788" s="93"/>
      <c r="S788" s="93" t="str">
        <f>IFERROR(__xludf.DUMMYFUNCTION("""COMPUTED_VALUE"""),"Dispatch_Images/KIT--17586.Photos.055249.jpg")</f>
        <v>Dispatch_Images/KIT--17586.Photos.055249.jpg</v>
      </c>
      <c r="T788" s="95">
        <f>IFERROR(__xludf.DUMMYFUNCTION("""COMPUTED_VALUE"""),46145.03931712963)</f>
        <v>46145.03932</v>
      </c>
      <c r="U788" s="93"/>
      <c r="V788" s="93"/>
      <c r="W788" s="93"/>
      <c r="X788" s="93"/>
      <c r="Y788" s="93"/>
      <c r="Z788" s="93"/>
    </row>
    <row r="789">
      <c r="A789" s="93" t="str">
        <f>IFERROR(__xludf.DUMMYFUNCTION("""COMPUTED_VALUE"""),"KIT-#17127")</f>
        <v>KIT-#17127</v>
      </c>
      <c r="B789" s="94">
        <f>IFERROR(__xludf.DUMMYFUNCTION("""COMPUTED_VALUE"""),46150.0)</f>
        <v>46150</v>
      </c>
      <c r="C789" s="93" t="str">
        <f>IFERROR(__xludf.DUMMYFUNCTION("""COMPUTED_VALUE"""),"Kit Delivery")</f>
        <v>Kit Delivery</v>
      </c>
      <c r="D789" s="93">
        <f>IFERROR(__xludf.DUMMYFUNCTION("""COMPUTED_VALUE"""),2.0)</f>
        <v>2</v>
      </c>
      <c r="E789" s="93" t="str">
        <f>IFERROR(__xludf.DUMMYFUNCTION("""COMPUTED_VALUE"""),"Eliot A")</f>
        <v>Eliot A</v>
      </c>
      <c r="F789" s="93" t="str">
        <f>IFERROR(__xludf.DUMMYFUNCTION("""COMPUTED_VALUE"""),"3121 B")</f>
        <v>3121 B</v>
      </c>
      <c r="G789" s="93" t="str">
        <f>IFERROR(__xludf.DUMMYFUNCTION("""COMPUTED_VALUE"""),"Ishaan Saran")</f>
        <v>Ishaan Saran</v>
      </c>
      <c r="H789" s="93">
        <f>IFERROR(__xludf.DUMMYFUNCTION("""COMPUTED_VALUE"""),7.038995059E9)</f>
        <v>7038995059</v>
      </c>
      <c r="I789" s="93" t="str">
        <f>IFERROR(__xludf.DUMMYFUNCTION("""COMPUTED_VALUE"""),"9AM-11AM")</f>
        <v>9AM-11AM</v>
      </c>
      <c r="J789" s="93">
        <f>IFERROR(__xludf.DUMMYFUNCTION("""COMPUTED_VALUE"""),1.0)</f>
        <v>1</v>
      </c>
      <c r="K789" s="93" t="str">
        <f>IFERROR(__xludf.DUMMYFUNCTION("""COMPUTED_VALUE"""),"Complete")</f>
        <v>Complete</v>
      </c>
      <c r="L789" s="93"/>
      <c r="M789" s="94">
        <f>IFERROR(__xludf.DUMMYFUNCTION("""COMPUTED_VALUE"""),46145.10732638889)</f>
        <v>46145.10733</v>
      </c>
      <c r="N789" s="93">
        <f>IFERROR(__xludf.DUMMYFUNCTION("""COMPUTED_VALUE"""),20.0)</f>
        <v>20</v>
      </c>
      <c r="O789" s="93"/>
      <c r="P789" s="93" t="str">
        <f>IFERROR(__xludf.DUMMYFUNCTION("""COMPUTED_VALUE"""),"Kit Delivery")</f>
        <v>Kit Delivery</v>
      </c>
      <c r="Q789" s="93"/>
      <c r="R789" s="93"/>
      <c r="S789" s="93" t="str">
        <f>IFERROR(__xludf.DUMMYFUNCTION("""COMPUTED_VALUE"""),"Dispatch_Images/KIT--17127.Photos.073429.jpg")</f>
        <v>Dispatch_Images/KIT--17127.Photos.073429.jpg</v>
      </c>
      <c r="T789" s="95">
        <f>IFERROR(__xludf.DUMMYFUNCTION("""COMPUTED_VALUE"""),46145.108773148146)</f>
        <v>46145.10877</v>
      </c>
      <c r="U789" s="93"/>
      <c r="V789" s="93"/>
      <c r="W789" s="93"/>
      <c r="X789" s="93"/>
      <c r="Y789" s="93"/>
      <c r="Z789" s="93"/>
    </row>
    <row r="790">
      <c r="A790" s="93" t="str">
        <f>IFERROR(__xludf.DUMMYFUNCTION("""COMPUTED_VALUE"""),"KIT-#17150")</f>
        <v>KIT-#17150</v>
      </c>
      <c r="B790" s="94">
        <f>IFERROR(__xludf.DUMMYFUNCTION("""COMPUTED_VALUE"""),46150.0)</f>
        <v>46150</v>
      </c>
      <c r="C790" s="93" t="str">
        <f>IFERROR(__xludf.DUMMYFUNCTION("""COMPUTED_VALUE"""),"Kit Delivery")</f>
        <v>Kit Delivery</v>
      </c>
      <c r="D790" s="93">
        <f>IFERROR(__xludf.DUMMYFUNCTION("""COMPUTED_VALUE"""),2.0)</f>
        <v>2</v>
      </c>
      <c r="E790" s="93" t="str">
        <f>IFERROR(__xludf.DUMMYFUNCTION("""COMPUTED_VALUE"""),"Eliot A")</f>
        <v>Eliot A</v>
      </c>
      <c r="F790" s="93">
        <f>IFERROR(__xludf.DUMMYFUNCTION("""COMPUTED_VALUE"""),1033.0)</f>
        <v>1033</v>
      </c>
      <c r="G790" s="93" t="str">
        <f>IFERROR(__xludf.DUMMYFUNCTION("""COMPUTED_VALUE"""),"Matthew Ladden")</f>
        <v>Matthew Ladden</v>
      </c>
      <c r="H790" s="93">
        <f>IFERROR(__xludf.DUMMYFUNCTION("""COMPUTED_VALUE"""),9.172732413E9)</f>
        <v>9172732413</v>
      </c>
      <c r="I790" s="93" t="str">
        <f>IFERROR(__xludf.DUMMYFUNCTION("""COMPUTED_VALUE"""),"9AM-11AM")</f>
        <v>9AM-11AM</v>
      </c>
      <c r="J790" s="93">
        <f>IFERROR(__xludf.DUMMYFUNCTION("""COMPUTED_VALUE"""),1.0)</f>
        <v>1</v>
      </c>
      <c r="K790" s="93" t="str">
        <f>IFERROR(__xludf.DUMMYFUNCTION("""COMPUTED_VALUE"""),"Complete")</f>
        <v>Complete</v>
      </c>
      <c r="L790" s="93"/>
      <c r="M790" s="94">
        <f>IFERROR(__xludf.DUMMYFUNCTION("""COMPUTED_VALUE"""),46145.83653935185)</f>
        <v>46145.83654</v>
      </c>
      <c r="N790" s="93">
        <f>IFERROR(__xludf.DUMMYFUNCTION("""COMPUTED_VALUE"""),1.0)</f>
        <v>1</v>
      </c>
      <c r="O790" s="93"/>
      <c r="P790" s="93" t="str">
        <f>IFERROR(__xludf.DUMMYFUNCTION("""COMPUTED_VALUE"""),"Kit Delivery")</f>
        <v>Kit Delivery</v>
      </c>
      <c r="Q790" s="93"/>
      <c r="R790" s="93"/>
      <c r="S790" s="93" t="str">
        <f>IFERROR(__xludf.DUMMYFUNCTION("""COMPUTED_VALUE"""),"Dispatch_Images/KIT--17150.Photos.010432.jpg")</f>
        <v>Dispatch_Images/KIT--17150.Photos.010432.jpg</v>
      </c>
      <c r="T790" s="95">
        <f>IFERROR(__xludf.DUMMYFUNCTION("""COMPUTED_VALUE"""),46145.83793981482)</f>
        <v>46145.83794</v>
      </c>
      <c r="U790" s="93"/>
      <c r="V790" s="93"/>
      <c r="W790" s="93"/>
      <c r="X790" s="93"/>
      <c r="Y790" s="93"/>
      <c r="Z790" s="93"/>
    </row>
    <row r="791">
      <c r="A791" s="93" t="str">
        <f>IFERROR(__xludf.DUMMYFUNCTION("""COMPUTED_VALUE"""),"KIT-#17642")</f>
        <v>KIT-#17642</v>
      </c>
      <c r="B791" s="94">
        <f>IFERROR(__xludf.DUMMYFUNCTION("""COMPUTED_VALUE"""),46150.0)</f>
        <v>46150</v>
      </c>
      <c r="C791" s="93" t="str">
        <f>IFERROR(__xludf.DUMMYFUNCTION("""COMPUTED_VALUE"""),"Kit Delivery")</f>
        <v>Kit Delivery</v>
      </c>
      <c r="D791" s="93">
        <f>IFERROR(__xludf.DUMMYFUNCTION("""COMPUTED_VALUE"""),2.0)</f>
        <v>2</v>
      </c>
      <c r="E791" s="93" t="str">
        <f>IFERROR(__xludf.DUMMYFUNCTION("""COMPUTED_VALUE"""),"Eliot B")</f>
        <v>Eliot B</v>
      </c>
      <c r="F791" s="93">
        <f>IFERROR(__xludf.DUMMYFUNCTION("""COMPUTED_VALUE"""),3061.0)</f>
        <v>3061</v>
      </c>
      <c r="G791" s="93" t="str">
        <f>IFERROR(__xludf.DUMMYFUNCTION("""COMPUTED_VALUE"""),"Mark Kimmel")</f>
        <v>Mark Kimmel</v>
      </c>
      <c r="H791" s="93">
        <f>IFERROR(__xludf.DUMMYFUNCTION("""COMPUTED_VALUE"""),9.179410655E9)</f>
        <v>9179410655</v>
      </c>
      <c r="I791" s="93" t="str">
        <f>IFERROR(__xludf.DUMMYFUNCTION("""COMPUTED_VALUE"""),"9AM-11AM")</f>
        <v>9AM-11AM</v>
      </c>
      <c r="J791" s="93">
        <f>IFERROR(__xludf.DUMMYFUNCTION("""COMPUTED_VALUE"""),1.0)</f>
        <v>1</v>
      </c>
      <c r="K791" s="93" t="str">
        <f>IFERROR(__xludf.DUMMYFUNCTION("""COMPUTED_VALUE"""),"Complete")</f>
        <v>Complete</v>
      </c>
      <c r="L791" s="93"/>
      <c r="M791" s="94">
        <f>IFERROR(__xludf.DUMMYFUNCTION("""COMPUTED_VALUE"""),46145.83752314815)</f>
        <v>46145.83752</v>
      </c>
      <c r="N791" s="93">
        <f>IFERROR(__xludf.DUMMYFUNCTION("""COMPUTED_VALUE"""),3.0)</f>
        <v>3</v>
      </c>
      <c r="O791" s="93" t="str">
        <f>IFERROR(__xludf.DUMMYFUNCTION("""COMPUTED_VALUE"""),"186 W 80th St PH1 New York, NY 10024")</f>
        <v>186 W 80th St PH1 New York, NY 10024</v>
      </c>
      <c r="P791" s="93" t="str">
        <f>IFERROR(__xludf.DUMMYFUNCTION("""COMPUTED_VALUE"""),"Kit Delivery")</f>
        <v>Kit Delivery</v>
      </c>
      <c r="Q791" s="93"/>
      <c r="R791" s="93"/>
      <c r="S791" s="93" t="str">
        <f>IFERROR(__xludf.DUMMYFUNCTION("""COMPUTED_VALUE"""),"Dispatch_Images/KIT--17642.Photos.010557.jpg")</f>
        <v>Dispatch_Images/KIT--17642.Photos.010557.jpg</v>
      </c>
      <c r="T791" s="95">
        <f>IFERROR(__xludf.DUMMYFUNCTION("""COMPUTED_VALUE"""),46145.83793981482)</f>
        <v>46145.83794</v>
      </c>
      <c r="U791" s="93"/>
      <c r="V791" s="93"/>
      <c r="W791" s="93"/>
      <c r="X791" s="93"/>
      <c r="Y791" s="93"/>
      <c r="Z791" s="93"/>
    </row>
    <row r="792">
      <c r="A792" s="93" t="str">
        <f>IFERROR(__xludf.DUMMYFUNCTION("""COMPUTED_VALUE"""),"KIT-#17726")</f>
        <v>KIT-#17726</v>
      </c>
      <c r="B792" s="94">
        <f>IFERROR(__xludf.DUMMYFUNCTION("""COMPUTED_VALUE"""),46150.0)</f>
        <v>46150</v>
      </c>
      <c r="C792" s="93" t="str">
        <f>IFERROR(__xludf.DUMMYFUNCTION("""COMPUTED_VALUE"""),"Kit Delivery")</f>
        <v>Kit Delivery</v>
      </c>
      <c r="D792" s="93">
        <f>IFERROR(__xludf.DUMMYFUNCTION("""COMPUTED_VALUE"""),2.0)</f>
        <v>2</v>
      </c>
      <c r="E792" s="93" t="str">
        <f>IFERROR(__xludf.DUMMYFUNCTION("""COMPUTED_VALUE"""),"Eliot B")</f>
        <v>Eliot B</v>
      </c>
      <c r="F792" s="93">
        <f>IFERROR(__xludf.DUMMYFUNCTION("""COMPUTED_VALUE"""),4020.0)</f>
        <v>4020</v>
      </c>
      <c r="G792" s="93" t="str">
        <f>IFERROR(__xludf.DUMMYFUNCTION("""COMPUTED_VALUE"""),"Devin Wallace")</f>
        <v>Devin Wallace</v>
      </c>
      <c r="H792" s="93">
        <f>IFERROR(__xludf.DUMMYFUNCTION("""COMPUTED_VALUE"""),3.025216652E9)</f>
        <v>3025216652</v>
      </c>
      <c r="I792" s="93" t="str">
        <f>IFERROR(__xludf.DUMMYFUNCTION("""COMPUTED_VALUE"""),"10AM-12PM")</f>
        <v>10AM-12PM</v>
      </c>
      <c r="J792" s="93">
        <f>IFERROR(__xludf.DUMMYFUNCTION("""COMPUTED_VALUE"""),2.0)</f>
        <v>2</v>
      </c>
      <c r="K792" s="93" t="str">
        <f>IFERROR(__xludf.DUMMYFUNCTION("""COMPUTED_VALUE"""),"Complete")</f>
        <v>Complete</v>
      </c>
      <c r="L792" s="93"/>
      <c r="M792" s="94">
        <f>IFERROR(__xludf.DUMMYFUNCTION("""COMPUTED_VALUE"""),46145.84070601852)</f>
        <v>46145.84071</v>
      </c>
      <c r="N792" s="93">
        <f>IFERROR(__xludf.DUMMYFUNCTION("""COMPUTED_VALUE"""),4.0)</f>
        <v>4</v>
      </c>
      <c r="O792" s="93"/>
      <c r="P792" s="93" t="str">
        <f>IFERROR(__xludf.DUMMYFUNCTION("""COMPUTED_VALUE"""),"Kit Delivery")</f>
        <v>Kit Delivery</v>
      </c>
      <c r="Q792" s="93"/>
      <c r="R792" s="93"/>
      <c r="S792" s="93" t="str">
        <f>IFERROR(__xludf.DUMMYFUNCTION("""COMPUTED_VALUE"""),"Dispatch_Images/KIT--17726.Photos.011033.jpg")</f>
        <v>Dispatch_Images/KIT--17726.Photos.011033.jpg</v>
      </c>
      <c r="T792" s="95">
        <f>IFERROR(__xludf.DUMMYFUNCTION("""COMPUTED_VALUE"""),46145.844872685186)</f>
        <v>46145.84487</v>
      </c>
      <c r="U792" s="93"/>
      <c r="V792" s="93"/>
      <c r="W792" s="93"/>
      <c r="X792" s="93"/>
      <c r="Y792" s="93"/>
      <c r="Z792" s="93"/>
    </row>
    <row r="793">
      <c r="A793" s="93" t="str">
        <f>IFERROR(__xludf.DUMMYFUNCTION("""COMPUTED_VALUE"""),"KIT-#18140")</f>
        <v>KIT-#18140</v>
      </c>
      <c r="B793" s="94">
        <f>IFERROR(__xludf.DUMMYFUNCTION("""COMPUTED_VALUE"""),46150.0)</f>
        <v>46150</v>
      </c>
      <c r="C793" s="93" t="str">
        <f>IFERROR(__xludf.DUMMYFUNCTION("""COMPUTED_VALUE"""),"Kit Delivery")</f>
        <v>Kit Delivery</v>
      </c>
      <c r="D793" s="93">
        <f>IFERROR(__xludf.DUMMYFUNCTION("""COMPUTED_VALUE"""),2.0)</f>
        <v>2</v>
      </c>
      <c r="E793" s="93" t="str">
        <f>IFERROR(__xludf.DUMMYFUNCTION("""COMPUTED_VALUE"""),"Eliot B")</f>
        <v>Eliot B</v>
      </c>
      <c r="F793" s="93">
        <f>IFERROR(__xludf.DUMMYFUNCTION("""COMPUTED_VALUE"""),4093.0)</f>
        <v>4093</v>
      </c>
      <c r="G793" s="93" t="str">
        <f>IFERROR(__xludf.DUMMYFUNCTION("""COMPUTED_VALUE"""),"Lucas Speier")</f>
        <v>Lucas Speier</v>
      </c>
      <c r="H793" s="93">
        <f>IFERROR(__xludf.DUMMYFUNCTION("""COMPUTED_VALUE"""),5.107081479E9)</f>
        <v>5107081479</v>
      </c>
      <c r="I793" s="93" t="str">
        <f>IFERROR(__xludf.DUMMYFUNCTION("""COMPUTED_VALUE"""),"9AM-11AM")</f>
        <v>9AM-11AM</v>
      </c>
      <c r="J793" s="93">
        <f>IFERROR(__xludf.DUMMYFUNCTION("""COMPUTED_VALUE"""),2.0)</f>
        <v>2</v>
      </c>
      <c r="K793" s="93" t="str">
        <f>IFERROR(__xludf.DUMMYFUNCTION("""COMPUTED_VALUE"""),"Complete")</f>
        <v>Complete</v>
      </c>
      <c r="L793" s="93"/>
      <c r="M793" s="94">
        <f>IFERROR(__xludf.DUMMYFUNCTION("""COMPUTED_VALUE"""),46145.84077546296)</f>
        <v>46145.84078</v>
      </c>
      <c r="N793" s="93">
        <f>IFERROR(__xludf.DUMMYFUNCTION("""COMPUTED_VALUE"""),5.0)</f>
        <v>5</v>
      </c>
      <c r="O793" s="93"/>
      <c r="P793" s="93" t="str">
        <f>IFERROR(__xludf.DUMMYFUNCTION("""COMPUTED_VALUE"""),"Kit Delivery")</f>
        <v>Kit Delivery</v>
      </c>
      <c r="Q793" s="93"/>
      <c r="R793" s="93"/>
      <c r="S793" s="93" t="str">
        <f>IFERROR(__xludf.DUMMYFUNCTION("""COMPUTED_VALUE"""),"Dispatch_Images/KIT--18140.Photos.011039.jpg")</f>
        <v>Dispatch_Images/KIT--18140.Photos.011039.jpg</v>
      </c>
      <c r="T793" s="95">
        <f>IFERROR(__xludf.DUMMYFUNCTION("""COMPUTED_VALUE"""),46145.844872685186)</f>
        <v>46145.84487</v>
      </c>
      <c r="U793" s="93"/>
      <c r="V793" s="93"/>
      <c r="W793" s="93"/>
      <c r="X793" s="93"/>
      <c r="Y793" s="93"/>
      <c r="Z793" s="93"/>
    </row>
    <row r="794">
      <c r="A794" s="93" t="str">
        <f>IFERROR(__xludf.DUMMYFUNCTION("""COMPUTED_VALUE"""),"KIT-#16842")</f>
        <v>KIT-#16842</v>
      </c>
      <c r="B794" s="94">
        <f>IFERROR(__xludf.DUMMYFUNCTION("""COMPUTED_VALUE"""),46150.0)</f>
        <v>46150</v>
      </c>
      <c r="C794" s="93" t="str">
        <f>IFERROR(__xludf.DUMMYFUNCTION("""COMPUTED_VALUE"""),"Kit Delivery")</f>
        <v>Kit Delivery</v>
      </c>
      <c r="D794" s="93">
        <f>IFERROR(__xludf.DUMMYFUNCTION("""COMPUTED_VALUE"""),2.0)</f>
        <v>2</v>
      </c>
      <c r="E794" s="93" t="str">
        <f>IFERROR(__xludf.DUMMYFUNCTION("""COMPUTED_VALUE"""),"Dauten")</f>
        <v>Dauten</v>
      </c>
      <c r="F794" s="93">
        <f>IFERROR(__xludf.DUMMYFUNCTION("""COMPUTED_VALUE"""),332.0)</f>
        <v>332</v>
      </c>
      <c r="G794" s="93" t="str">
        <f>IFERROR(__xludf.DUMMYFUNCTION("""COMPUTED_VALUE"""),"Alicia Kim")</f>
        <v>Alicia Kim</v>
      </c>
      <c r="H794" s="93">
        <f>IFERROR(__xludf.DUMMYFUNCTION("""COMPUTED_VALUE"""),3.142037289E9)</f>
        <v>3142037289</v>
      </c>
      <c r="I794" s="93" t="str">
        <f>IFERROR(__xludf.DUMMYFUNCTION("""COMPUTED_VALUE"""),"11AM-1PM")</f>
        <v>11AM-1PM</v>
      </c>
      <c r="J794" s="93">
        <f>IFERROR(__xludf.DUMMYFUNCTION("""COMPUTED_VALUE"""),2.0)</f>
        <v>2</v>
      </c>
      <c r="K794" s="93" t="str">
        <f>IFERROR(__xludf.DUMMYFUNCTION("""COMPUTED_VALUE"""),"Complete")</f>
        <v>Complete</v>
      </c>
      <c r="L794" s="93"/>
      <c r="M794" s="94">
        <f>IFERROR(__xludf.DUMMYFUNCTION("""COMPUTED_VALUE"""),46145.856574074074)</f>
        <v>46145.85657</v>
      </c>
      <c r="N794" s="93">
        <f>IFERROR(__xludf.DUMMYFUNCTION("""COMPUTED_VALUE"""),14.0)</f>
        <v>14</v>
      </c>
      <c r="O794" s="93"/>
      <c r="P794" s="93" t="str">
        <f>IFERROR(__xludf.DUMMYFUNCTION("""COMPUTED_VALUE"""),"Kit Delivery")</f>
        <v>Kit Delivery</v>
      </c>
      <c r="Q794" s="93"/>
      <c r="R794" s="93"/>
      <c r="S794" s="93" t="str">
        <f>IFERROR(__xludf.DUMMYFUNCTION("""COMPUTED_VALUE"""),"Dispatch_Images/KIT--16842.Photos.013324.jpg")</f>
        <v>Dispatch_Images/KIT--16842.Photos.013324.jpg</v>
      </c>
      <c r="T794" s="95">
        <f>IFERROR(__xludf.DUMMYFUNCTION("""COMPUTED_VALUE"""),46145.858761574076)</f>
        <v>46145.85876</v>
      </c>
      <c r="U794" s="93"/>
      <c r="V794" s="93"/>
      <c r="W794" s="93"/>
      <c r="X794" s="93"/>
      <c r="Y794" s="93"/>
      <c r="Z794" s="93"/>
    </row>
    <row r="795">
      <c r="A795" s="93" t="str">
        <f>IFERROR(__xludf.DUMMYFUNCTION("""COMPUTED_VALUE"""),"KIT-#17496")</f>
        <v>KIT-#17496</v>
      </c>
      <c r="B795" s="94">
        <f>IFERROR(__xludf.DUMMYFUNCTION("""COMPUTED_VALUE"""),46150.0)</f>
        <v>46150</v>
      </c>
      <c r="C795" s="93" t="str">
        <f>IFERROR(__xludf.DUMMYFUNCTION("""COMPUTED_VALUE"""),"Kit Delivery")</f>
        <v>Kit Delivery</v>
      </c>
      <c r="D795" s="93">
        <f>IFERROR(__xludf.DUMMYFUNCTION("""COMPUTED_VALUE"""),2.0)</f>
        <v>2</v>
      </c>
      <c r="E795" s="93" t="str">
        <f>IFERROR(__xludf.DUMMYFUNCTION("""COMPUTED_VALUE"""),"Shanedling")</f>
        <v>Shanedling</v>
      </c>
      <c r="F795" s="93">
        <f>IFERROR(__xludf.DUMMYFUNCTION("""COMPUTED_VALUE"""),115.0)</f>
        <v>115</v>
      </c>
      <c r="G795" s="93" t="str">
        <f>IFERROR(__xludf.DUMMYFUNCTION("""COMPUTED_VALUE"""),"Saron Bekele")</f>
        <v>Saron Bekele</v>
      </c>
      <c r="H795" s="93">
        <f>IFERROR(__xludf.DUMMYFUNCTION("""COMPUTED_VALUE"""),5.714947273E9)</f>
        <v>5714947273</v>
      </c>
      <c r="I795" s="93" t="str">
        <f>IFERROR(__xludf.DUMMYFUNCTION("""COMPUTED_VALUE"""),"9AM-11AM")</f>
        <v>9AM-11AM</v>
      </c>
      <c r="J795" s="93">
        <f>IFERROR(__xludf.DUMMYFUNCTION("""COMPUTED_VALUE"""),1.0)</f>
        <v>1</v>
      </c>
      <c r="K795" s="93" t="str">
        <f>IFERROR(__xludf.DUMMYFUNCTION("""COMPUTED_VALUE"""),"Complete")</f>
        <v>Complete</v>
      </c>
      <c r="L795" s="93"/>
      <c r="M795" s="94">
        <f>IFERROR(__xludf.DUMMYFUNCTION("""COMPUTED_VALUE"""),46145.85885416667)</f>
        <v>46145.85885</v>
      </c>
      <c r="N795" s="93">
        <f>IFERROR(__xludf.DUMMYFUNCTION("""COMPUTED_VALUE"""),17.0)</f>
        <v>17</v>
      </c>
      <c r="O795" s="93"/>
      <c r="P795" s="93" t="str">
        <f>IFERROR(__xludf.DUMMYFUNCTION("""COMPUTED_VALUE"""),"Kit Delivery")</f>
        <v>Kit Delivery</v>
      </c>
      <c r="Q795" s="93"/>
      <c r="R795" s="93"/>
      <c r="S795" s="93" t="str">
        <f>IFERROR(__xludf.DUMMYFUNCTION("""COMPUTED_VALUE"""),"Dispatch_Images/KIT--17496.Photos.013641.jpg")</f>
        <v>Dispatch_Images/KIT--17496.Photos.013641.jpg</v>
      </c>
      <c r="T795" s="95">
        <f>IFERROR(__xludf.DUMMYFUNCTION("""COMPUTED_VALUE"""),46145.86570601852)</f>
        <v>46145.86571</v>
      </c>
      <c r="U795" s="93"/>
      <c r="V795" s="93"/>
      <c r="W795" s="93"/>
      <c r="X795" s="93"/>
      <c r="Y795" s="93"/>
      <c r="Z795" s="93"/>
    </row>
    <row r="796">
      <c r="A796" s="93" t="str">
        <f>IFERROR(__xludf.DUMMYFUNCTION("""COMPUTED_VALUE"""),"KIT-#18207")</f>
        <v>KIT-#18207</v>
      </c>
      <c r="B796" s="94">
        <f>IFERROR(__xludf.DUMMYFUNCTION("""COMPUTED_VALUE"""),46150.0)</f>
        <v>46150</v>
      </c>
      <c r="C796" s="93" t="str">
        <f>IFERROR(__xludf.DUMMYFUNCTION("""COMPUTED_VALUE"""),"Kit Delivery")</f>
        <v>Kit Delivery</v>
      </c>
      <c r="D796" s="93">
        <f>IFERROR(__xludf.DUMMYFUNCTION("""COMPUTED_VALUE"""),2.0)</f>
        <v>2</v>
      </c>
      <c r="E796" s="93" t="str">
        <f>IFERROR(__xludf.DUMMYFUNCTION("""COMPUTED_VALUE"""),"Mudd")</f>
        <v>Mudd</v>
      </c>
      <c r="F796" s="93">
        <f>IFERROR(__xludf.DUMMYFUNCTION("""COMPUTED_VALUE"""),211.0)</f>
        <v>211</v>
      </c>
      <c r="G796" s="93" t="str">
        <f>IFERROR(__xludf.DUMMYFUNCTION("""COMPUTED_VALUE"""),"Maya Mohanty")</f>
        <v>Maya Mohanty</v>
      </c>
      <c r="H796" s="93">
        <f>IFERROR(__xludf.DUMMYFUNCTION("""COMPUTED_VALUE"""),5.616351769E9)</f>
        <v>5616351769</v>
      </c>
      <c r="I796" s="93" t="str">
        <f>IFERROR(__xludf.DUMMYFUNCTION("""COMPUTED_VALUE"""),"9AM-11AM")</f>
        <v>9AM-11AM</v>
      </c>
      <c r="J796" s="93">
        <f>IFERROR(__xludf.DUMMYFUNCTION("""COMPUTED_VALUE"""),1.0)</f>
        <v>1</v>
      </c>
      <c r="K796" s="93" t="str">
        <f>IFERROR(__xludf.DUMMYFUNCTION("""COMPUTED_VALUE"""),"Complete")</f>
        <v>Complete</v>
      </c>
      <c r="L796" s="93"/>
      <c r="M796" s="94">
        <f>IFERROR(__xludf.DUMMYFUNCTION("""COMPUTED_VALUE"""),46145.87719907408)</f>
        <v>46145.8772</v>
      </c>
      <c r="N796" s="93">
        <f>IFERROR(__xludf.DUMMYFUNCTION("""COMPUTED_VALUE"""),7.0)</f>
        <v>7</v>
      </c>
      <c r="O796" s="93"/>
      <c r="P796" s="93" t="str">
        <f>IFERROR(__xludf.DUMMYFUNCTION("""COMPUTED_VALUE"""),"Kit Delivery")</f>
        <v>Kit Delivery</v>
      </c>
      <c r="Q796" s="93"/>
      <c r="R796" s="93"/>
      <c r="S796" s="93" t="str">
        <f>IFERROR(__xludf.DUMMYFUNCTION("""COMPUTED_VALUE"""),"Dispatch_Images/KIT--18207.Photos.020306.jpg")</f>
        <v>Dispatch_Images/KIT--18207.Photos.020306.jpg</v>
      </c>
      <c r="T796" s="95">
        <f>IFERROR(__xludf.DUMMYFUNCTION("""COMPUTED_VALUE"""),46145.87961805556)</f>
        <v>46145.87962</v>
      </c>
      <c r="U796" s="93"/>
      <c r="V796" s="93"/>
      <c r="W796" s="93"/>
      <c r="X796" s="93"/>
      <c r="Y796" s="93"/>
      <c r="Z796" s="93"/>
    </row>
    <row r="797">
      <c r="A797" s="93" t="str">
        <f>IFERROR(__xludf.DUMMYFUNCTION("""COMPUTED_VALUE"""),"KIT-#18007")</f>
        <v>KIT-#18007</v>
      </c>
      <c r="B797" s="94">
        <f>IFERROR(__xludf.DUMMYFUNCTION("""COMPUTED_VALUE"""),46150.0)</f>
        <v>46150</v>
      </c>
      <c r="C797" s="93" t="str">
        <f>IFERROR(__xludf.DUMMYFUNCTION("""COMPUTED_VALUE"""),"Kit Delivery")</f>
        <v>Kit Delivery</v>
      </c>
      <c r="D797" s="93">
        <f>IFERROR(__xludf.DUMMYFUNCTION("""COMPUTED_VALUE"""),2.0)</f>
        <v>2</v>
      </c>
      <c r="E797" s="93" t="str">
        <f>IFERROR(__xludf.DUMMYFUNCTION("""COMPUTED_VALUE"""),"Nemerov")</f>
        <v>Nemerov</v>
      </c>
      <c r="F797" s="93">
        <f>IFERROR(__xludf.DUMMYFUNCTION("""COMPUTED_VALUE"""),3042.0)</f>
        <v>3042</v>
      </c>
      <c r="G797" s="93" t="str">
        <f>IFERROR(__xludf.DUMMYFUNCTION("""COMPUTED_VALUE"""),"Mimi")</f>
        <v>Mimi</v>
      </c>
      <c r="H797" s="93">
        <f>IFERROR(__xludf.DUMMYFUNCTION("""COMPUTED_VALUE"""),9.73288368E9)</f>
        <v>9732883680</v>
      </c>
      <c r="I797" s="93" t="str">
        <f>IFERROR(__xludf.DUMMYFUNCTION("""COMPUTED_VALUE"""),"9AM-11AM")</f>
        <v>9AM-11AM</v>
      </c>
      <c r="J797" s="93">
        <f>IFERROR(__xludf.DUMMYFUNCTION("""COMPUTED_VALUE"""),1.0)</f>
        <v>1</v>
      </c>
      <c r="K797" s="93" t="str">
        <f>IFERROR(__xludf.DUMMYFUNCTION("""COMPUTED_VALUE"""),"Complete")</f>
        <v>Complete</v>
      </c>
      <c r="L797" s="93"/>
      <c r="M797" s="94">
        <f>IFERROR(__xludf.DUMMYFUNCTION("""COMPUTED_VALUE"""),46145.88494212963)</f>
        <v>46145.88494</v>
      </c>
      <c r="N797" s="93">
        <f>IFERROR(__xludf.DUMMYFUNCTION("""COMPUTED_VALUE"""),19.0)</f>
        <v>19</v>
      </c>
      <c r="O797" s="93"/>
      <c r="P797" s="93" t="str">
        <f>IFERROR(__xludf.DUMMYFUNCTION("""COMPUTED_VALUE"""),"Kit Delivery")</f>
        <v>Kit Delivery</v>
      </c>
      <c r="Q797" s="93"/>
      <c r="R797" s="93"/>
      <c r="S797" s="93" t="str">
        <f>IFERROR(__xludf.DUMMYFUNCTION("""COMPUTED_VALUE"""),"Dispatch_Images/KIT--18007.Photos.021415.jpg")</f>
        <v>Dispatch_Images/KIT--18007.Photos.021415.jpg</v>
      </c>
      <c r="T797" s="95">
        <f>IFERROR(__xludf.DUMMYFUNCTION("""COMPUTED_VALUE"""),46145.8865625)</f>
        <v>46145.88656</v>
      </c>
      <c r="U797" s="93"/>
      <c r="V797" s="93"/>
      <c r="W797" s="93"/>
      <c r="X797" s="93"/>
      <c r="Y797" s="93"/>
      <c r="Z797" s="93"/>
    </row>
    <row r="798">
      <c r="A798" s="93" t="str">
        <f>IFERROR(__xludf.DUMMYFUNCTION("""COMPUTED_VALUE"""),"KIT-#18198")</f>
        <v>KIT-#18198</v>
      </c>
      <c r="B798" s="94">
        <f>IFERROR(__xludf.DUMMYFUNCTION("""COMPUTED_VALUE"""),46150.0)</f>
        <v>46150</v>
      </c>
      <c r="C798" s="93" t="str">
        <f>IFERROR(__xludf.DUMMYFUNCTION("""COMPUTED_VALUE"""),"Kit Delivery")</f>
        <v>Kit Delivery</v>
      </c>
      <c r="D798" s="93">
        <f>IFERROR(__xludf.DUMMYFUNCTION("""COMPUTED_VALUE"""),2.0)</f>
        <v>2</v>
      </c>
      <c r="E798" s="93" t="str">
        <f>IFERROR(__xludf.DUMMYFUNCTION("""COMPUTED_VALUE"""),"Gregg")</f>
        <v>Gregg</v>
      </c>
      <c r="F798" s="93">
        <f>IFERROR(__xludf.DUMMYFUNCTION("""COMPUTED_VALUE"""),1012.0)</f>
        <v>1012</v>
      </c>
      <c r="G798" s="93" t="str">
        <f>IFERROR(__xludf.DUMMYFUNCTION("""COMPUTED_VALUE"""),"Alexa Djalal")</f>
        <v>Alexa Djalal</v>
      </c>
      <c r="H798" s="93">
        <f>IFERROR(__xludf.DUMMYFUNCTION("""COMPUTED_VALUE"""),5.106978914E9)</f>
        <v>5106978914</v>
      </c>
      <c r="I798" s="93" t="str">
        <f>IFERROR(__xludf.DUMMYFUNCTION("""COMPUTED_VALUE"""),"9AM-11AM")</f>
        <v>9AM-11AM</v>
      </c>
      <c r="J798" s="93">
        <f>IFERROR(__xludf.DUMMYFUNCTION("""COMPUTED_VALUE"""),1.0)</f>
        <v>1</v>
      </c>
      <c r="K798" s="93" t="str">
        <f>IFERROR(__xludf.DUMMYFUNCTION("""COMPUTED_VALUE"""),"Complete")</f>
        <v>Complete</v>
      </c>
      <c r="L798" s="93"/>
      <c r="M798" s="94">
        <f>IFERROR(__xludf.DUMMYFUNCTION("""COMPUTED_VALUE"""),46145.88940972222)</f>
        <v>46145.88941</v>
      </c>
      <c r="N798" s="93">
        <f>IFERROR(__xludf.DUMMYFUNCTION("""COMPUTED_VALUE"""),27.0)</f>
        <v>27</v>
      </c>
      <c r="O798" s="93"/>
      <c r="P798" s="93" t="str">
        <f>IFERROR(__xludf.DUMMYFUNCTION("""COMPUTED_VALUE"""),"Kit Delivery")</f>
        <v>Kit Delivery</v>
      </c>
      <c r="Q798" s="93"/>
      <c r="R798" s="93"/>
      <c r="S798" s="93" t="str">
        <f>IFERROR(__xludf.DUMMYFUNCTION("""COMPUTED_VALUE"""),"Dispatch_Images/KIT--18198.Photos.022041.jpg")</f>
        <v>Dispatch_Images/KIT--18198.Photos.022041.jpg</v>
      </c>
      <c r="T798" s="95">
        <f>IFERROR(__xludf.DUMMYFUNCTION("""COMPUTED_VALUE"""),46145.89349537037)</f>
        <v>46145.8935</v>
      </c>
      <c r="U798" s="93"/>
      <c r="V798" s="93"/>
      <c r="W798" s="93"/>
      <c r="X798" s="93"/>
      <c r="Y798" s="93"/>
      <c r="Z798" s="93"/>
    </row>
    <row r="799">
      <c r="A799" s="93" t="str">
        <f>IFERROR(__xludf.DUMMYFUNCTION("""COMPUTED_VALUE"""),"KIT-#18110")</f>
        <v>KIT-#18110</v>
      </c>
      <c r="B799" s="94">
        <f>IFERROR(__xludf.DUMMYFUNCTION("""COMPUTED_VALUE"""),46150.0)</f>
        <v>46150</v>
      </c>
      <c r="C799" s="93" t="str">
        <f>IFERROR(__xludf.DUMMYFUNCTION("""COMPUTED_VALUE"""),"Kit Delivery")</f>
        <v>Kit Delivery</v>
      </c>
      <c r="D799" s="93">
        <f>IFERROR(__xludf.DUMMYFUNCTION("""COMPUTED_VALUE"""),2.0)</f>
        <v>2</v>
      </c>
      <c r="E799" s="93" t="str">
        <f>IFERROR(__xludf.DUMMYFUNCTION("""COMPUTED_VALUE"""),"Gregg")</f>
        <v>Gregg</v>
      </c>
      <c r="F799" s="93">
        <f>IFERROR(__xludf.DUMMYFUNCTION("""COMPUTED_VALUE"""),2040.0)</f>
        <v>2040</v>
      </c>
      <c r="G799" s="93" t="str">
        <f>IFERROR(__xludf.DUMMYFUNCTION("""COMPUTED_VALUE"""),"G.Philip")</f>
        <v>G.Philip</v>
      </c>
      <c r="H799" s="93">
        <f>IFERROR(__xludf.DUMMYFUNCTION("""COMPUTED_VALUE"""),3.142668878E9)</f>
        <v>3142668878</v>
      </c>
      <c r="I799" s="93" t="str">
        <f>IFERROR(__xludf.DUMMYFUNCTION("""COMPUTED_VALUE"""),"3PM-5PM")</f>
        <v>3PM-5PM</v>
      </c>
      <c r="J799" s="93">
        <f>IFERROR(__xludf.DUMMYFUNCTION("""COMPUTED_VALUE"""),2.0)</f>
        <v>2</v>
      </c>
      <c r="K799" s="93" t="str">
        <f>IFERROR(__xludf.DUMMYFUNCTION("""COMPUTED_VALUE"""),"Complete")</f>
        <v>Complete</v>
      </c>
      <c r="L799" s="93"/>
      <c r="M799" s="94">
        <f>IFERROR(__xludf.DUMMYFUNCTION("""COMPUTED_VALUE"""),46145.89136574074)</f>
        <v>46145.89137</v>
      </c>
      <c r="N799" s="93">
        <f>IFERROR(__xludf.DUMMYFUNCTION("""COMPUTED_VALUE"""),28.0)</f>
        <v>28</v>
      </c>
      <c r="O799" s="93"/>
      <c r="P799" s="93" t="str">
        <f>IFERROR(__xludf.DUMMYFUNCTION("""COMPUTED_VALUE"""),"Kit Delivery")</f>
        <v>Kit Delivery</v>
      </c>
      <c r="Q799" s="93"/>
      <c r="R799" s="93"/>
      <c r="S799" s="93" t="str">
        <f>IFERROR(__xludf.DUMMYFUNCTION("""COMPUTED_VALUE"""),"Dispatch_Images/KIT--18110.Photos.022331.jpg")</f>
        <v>Dispatch_Images/KIT--18110.Photos.022331.jpg</v>
      </c>
      <c r="T799" s="95">
        <f>IFERROR(__xludf.DUMMYFUNCTION("""COMPUTED_VALUE"""),46145.89349537037)</f>
        <v>46145.8935</v>
      </c>
      <c r="U799" s="93"/>
      <c r="V799" s="93"/>
      <c r="W799" s="93"/>
      <c r="X799" s="93"/>
      <c r="Y799" s="93"/>
      <c r="Z799" s="93"/>
    </row>
    <row r="800">
      <c r="A800" s="93" t="str">
        <f>IFERROR(__xludf.DUMMYFUNCTION("""COMPUTED_VALUE"""),"KIT-#18145")</f>
        <v>KIT-#18145</v>
      </c>
      <c r="B800" s="94">
        <f>IFERROR(__xludf.DUMMYFUNCTION("""COMPUTED_VALUE"""),46150.0)</f>
        <v>46150</v>
      </c>
      <c r="C800" s="93" t="str">
        <f>IFERROR(__xludf.DUMMYFUNCTION("""COMPUTED_VALUE"""),"Kit Delivery")</f>
        <v>Kit Delivery</v>
      </c>
      <c r="D800" s="93">
        <f>IFERROR(__xludf.DUMMYFUNCTION("""COMPUTED_VALUE"""),2.0)</f>
        <v>2</v>
      </c>
      <c r="E800" s="93" t="str">
        <f>IFERROR(__xludf.DUMMYFUNCTION("""COMPUTED_VALUE"""),"Zetcher")</f>
        <v>Zetcher</v>
      </c>
      <c r="F800" s="93">
        <f>IFERROR(__xludf.DUMMYFUNCTION("""COMPUTED_VALUE"""),2022.0)</f>
        <v>2022</v>
      </c>
      <c r="G800" s="93" t="str">
        <f>IFERROR(__xludf.DUMMYFUNCTION("""COMPUTED_VALUE"""),"Ross")</f>
        <v>Ross</v>
      </c>
      <c r="H800" s="93">
        <f>IFERROR(__xludf.DUMMYFUNCTION("""COMPUTED_VALUE"""),3.10916677E9)</f>
        <v>3109166770</v>
      </c>
      <c r="I800" s="93" t="str">
        <f>IFERROR(__xludf.DUMMYFUNCTION("""COMPUTED_VALUE"""),"9AM-11AM")</f>
        <v>9AM-11AM</v>
      </c>
      <c r="J800" s="93">
        <f>IFERROR(__xludf.DUMMYFUNCTION("""COMPUTED_VALUE"""),1.0)</f>
        <v>1</v>
      </c>
      <c r="K800" s="93" t="str">
        <f>IFERROR(__xludf.DUMMYFUNCTION("""COMPUTED_VALUE"""),"Complete")</f>
        <v>Complete</v>
      </c>
      <c r="L800" s="93"/>
      <c r="M800" s="94">
        <f>IFERROR(__xludf.DUMMYFUNCTION("""COMPUTED_VALUE"""),46145.893425925926)</f>
        <v>46145.89343</v>
      </c>
      <c r="N800" s="93">
        <f>IFERROR(__xludf.DUMMYFUNCTION("""COMPUTED_VALUE"""),23.0)</f>
        <v>23</v>
      </c>
      <c r="O800" s="93"/>
      <c r="P800" s="93" t="str">
        <f>IFERROR(__xludf.DUMMYFUNCTION("""COMPUTED_VALUE"""),"Kit Delivery")</f>
        <v>Kit Delivery</v>
      </c>
      <c r="Q800" s="93"/>
      <c r="R800" s="93"/>
      <c r="S800" s="93" t="str">
        <f>IFERROR(__xludf.DUMMYFUNCTION("""COMPUTED_VALUE"""),"Dispatch_Images/KIT--18145.Photos.022626.jpg")</f>
        <v>Dispatch_Images/KIT--18145.Photos.022626.jpg</v>
      </c>
      <c r="T800" s="95">
        <f>IFERROR(__xludf.DUMMYFUNCTION("""COMPUTED_VALUE"""),46145.89349537037)</f>
        <v>46145.8935</v>
      </c>
      <c r="U800" s="93"/>
      <c r="V800" s="93"/>
      <c r="W800" s="93"/>
      <c r="X800" s="93"/>
      <c r="Y800" s="93"/>
      <c r="Z800" s="93"/>
    </row>
    <row r="801">
      <c r="A801" s="93" t="str">
        <f>IFERROR(__xludf.DUMMYFUNCTION("""COMPUTED_VALUE"""),"KIT-#18197")</f>
        <v>KIT-#18197</v>
      </c>
      <c r="B801" s="94">
        <f>IFERROR(__xludf.DUMMYFUNCTION("""COMPUTED_VALUE"""),46150.0)</f>
        <v>46150</v>
      </c>
      <c r="C801" s="93" t="str">
        <f>IFERROR(__xludf.DUMMYFUNCTION("""COMPUTED_VALUE"""),"Kit Delivery")</f>
        <v>Kit Delivery</v>
      </c>
      <c r="D801" s="93">
        <f>IFERROR(__xludf.DUMMYFUNCTION("""COMPUTED_VALUE"""),2.0)</f>
        <v>2</v>
      </c>
      <c r="E801" s="93" t="str">
        <f>IFERROR(__xludf.DUMMYFUNCTION("""COMPUTED_VALUE"""),"Liggett")</f>
        <v>Liggett</v>
      </c>
      <c r="F801" s="93">
        <f>IFERROR(__xludf.DUMMYFUNCTION("""COMPUTED_VALUE"""),3364.0)</f>
        <v>3364</v>
      </c>
      <c r="G801" s="93" t="str">
        <f>IFERROR(__xludf.DUMMYFUNCTION("""COMPUTED_VALUE"""),"Tobe Chukudebelu")</f>
        <v>Tobe Chukudebelu</v>
      </c>
      <c r="H801" s="93">
        <f>IFERROR(__xludf.DUMMYFUNCTION("""COMPUTED_VALUE"""),4.047490717E9)</f>
        <v>4047490717</v>
      </c>
      <c r="I801" s="93" t="str">
        <f>IFERROR(__xludf.DUMMYFUNCTION("""COMPUTED_VALUE"""),"9AM-11AM")</f>
        <v>9AM-11AM</v>
      </c>
      <c r="J801" s="93">
        <f>IFERROR(__xludf.DUMMYFUNCTION("""COMPUTED_VALUE"""),1.0)</f>
        <v>1</v>
      </c>
      <c r="K801" s="93" t="str">
        <f>IFERROR(__xludf.DUMMYFUNCTION("""COMPUTED_VALUE"""),"Complete")</f>
        <v>Complete</v>
      </c>
      <c r="L801" s="93"/>
      <c r="M801" s="94">
        <f>IFERROR(__xludf.DUMMYFUNCTION("""COMPUTED_VALUE"""),46145.90190972222)</f>
        <v>46145.90191</v>
      </c>
      <c r="N801" s="93">
        <f>IFERROR(__xludf.DUMMYFUNCTION("""COMPUTED_VALUE"""),26.0)</f>
        <v>26</v>
      </c>
      <c r="O801" s="93"/>
      <c r="P801" s="93" t="str">
        <f>IFERROR(__xludf.DUMMYFUNCTION("""COMPUTED_VALUE"""),"Kit Delivery")</f>
        <v>Kit Delivery</v>
      </c>
      <c r="Q801" s="93"/>
      <c r="R801" s="93"/>
      <c r="S801" s="93" t="str">
        <f>IFERROR(__xludf.DUMMYFUNCTION("""COMPUTED_VALUE"""),"Dispatch_Images/KIT--18197.Photos.023841.jpg")</f>
        <v>Dispatch_Images/KIT--18197.Photos.023841.jpg</v>
      </c>
      <c r="T801" s="95">
        <f>IFERROR(__xludf.DUMMYFUNCTION("""COMPUTED_VALUE"""),46145.907372685186)</f>
        <v>46145.90737</v>
      </c>
      <c r="U801" s="93"/>
      <c r="V801" s="93"/>
      <c r="W801" s="93"/>
      <c r="X801" s="93"/>
      <c r="Y801" s="93"/>
      <c r="Z801" s="93"/>
    </row>
    <row r="802">
      <c r="A802" s="93" t="str">
        <f>IFERROR(__xludf.DUMMYFUNCTION("""COMPUTED_VALUE"""),"KIT-#17362")</f>
        <v>KIT-#17362</v>
      </c>
      <c r="B802" s="94">
        <f>IFERROR(__xludf.DUMMYFUNCTION("""COMPUTED_VALUE"""),46150.0)</f>
        <v>46150</v>
      </c>
      <c r="C802" s="93" t="str">
        <f>IFERROR(__xludf.DUMMYFUNCTION("""COMPUTED_VALUE"""),"Kit Delivery")</f>
        <v>Kit Delivery</v>
      </c>
      <c r="D802" s="93">
        <f>IFERROR(__xludf.DUMMYFUNCTION("""COMPUTED_VALUE"""),2.0)</f>
        <v>2</v>
      </c>
      <c r="E802" s="93" t="str">
        <f>IFERROR(__xludf.DUMMYFUNCTION("""COMPUTED_VALUE"""),"House 4")</f>
        <v>House 4</v>
      </c>
      <c r="F802" s="93">
        <f>IFERROR(__xludf.DUMMYFUNCTION("""COMPUTED_VALUE"""),309.0)</f>
        <v>309</v>
      </c>
      <c r="G802" s="93" t="str">
        <f>IFERROR(__xludf.DUMMYFUNCTION("""COMPUTED_VALUE"""),"Ayaan Shah")</f>
        <v>Ayaan Shah</v>
      </c>
      <c r="H802" s="93">
        <f>IFERROR(__xludf.DUMMYFUNCTION("""COMPUTED_VALUE"""),9.522200874E9)</f>
        <v>9522200874</v>
      </c>
      <c r="I802" s="93" t="str">
        <f>IFERROR(__xludf.DUMMYFUNCTION("""COMPUTED_VALUE"""),"9AM-11AM")</f>
        <v>9AM-11AM</v>
      </c>
      <c r="J802" s="93">
        <f>IFERROR(__xludf.DUMMYFUNCTION("""COMPUTED_VALUE"""),1.0)</f>
        <v>1</v>
      </c>
      <c r="K802" s="93" t="str">
        <f>IFERROR(__xludf.DUMMYFUNCTION("""COMPUTED_VALUE"""),"Complete")</f>
        <v>Complete</v>
      </c>
      <c r="L802" s="93"/>
      <c r="M802" s="94">
        <f>IFERROR(__xludf.DUMMYFUNCTION("""COMPUTED_VALUE"""),46145.945185185185)</f>
        <v>46145.94519</v>
      </c>
      <c r="N802" s="93">
        <f>IFERROR(__xludf.DUMMYFUNCTION("""COMPUTED_VALUE"""),40.0)</f>
        <v>40</v>
      </c>
      <c r="O802" s="93"/>
      <c r="P802" s="93" t="str">
        <f>IFERROR(__xludf.DUMMYFUNCTION("""COMPUTED_VALUE"""),"Kit Delivery")</f>
        <v>Kit Delivery</v>
      </c>
      <c r="Q802" s="93"/>
      <c r="R802" s="93"/>
      <c r="S802" s="93" t="str">
        <f>IFERROR(__xludf.DUMMYFUNCTION("""COMPUTED_VALUE"""),"Dispatch_Images/KIT--17362.Photos.034100.jpg")</f>
        <v>Dispatch_Images/KIT--17362.Photos.034100.jpg</v>
      </c>
      <c r="T802" s="95">
        <f>IFERROR(__xludf.DUMMYFUNCTION("""COMPUTED_VALUE"""),46145.9490625)</f>
        <v>46145.94906</v>
      </c>
      <c r="U802" s="93"/>
      <c r="V802" s="93"/>
      <c r="W802" s="93"/>
      <c r="X802" s="93"/>
      <c r="Y802" s="93"/>
      <c r="Z802" s="93"/>
    </row>
    <row r="803">
      <c r="A803" s="93" t="str">
        <f>IFERROR(__xludf.DUMMYFUNCTION("""COMPUTED_VALUE"""),"KIT-#17180")</f>
        <v>KIT-#17180</v>
      </c>
      <c r="B803" s="94">
        <f>IFERROR(__xludf.DUMMYFUNCTION("""COMPUTED_VALUE"""),46150.0)</f>
        <v>46150</v>
      </c>
      <c r="C803" s="93" t="str">
        <f>IFERROR(__xludf.DUMMYFUNCTION("""COMPUTED_VALUE"""),"Kit Delivery")</f>
        <v>Kit Delivery</v>
      </c>
      <c r="D803" s="93">
        <f>IFERROR(__xludf.DUMMYFUNCTION("""COMPUTED_VALUE"""),2.0)</f>
        <v>2</v>
      </c>
      <c r="E803" s="93" t="str">
        <f>IFERROR(__xludf.DUMMYFUNCTION("""COMPUTED_VALUE"""),"House 5")</f>
        <v>House 5</v>
      </c>
      <c r="F803" s="93">
        <f>IFERROR(__xludf.DUMMYFUNCTION("""COMPUTED_VALUE"""),110.0)</f>
        <v>110</v>
      </c>
      <c r="G803" s="93" t="str">
        <f>IFERROR(__xludf.DUMMYFUNCTION("""COMPUTED_VALUE"""),"Francisco Perez")</f>
        <v>Francisco Perez</v>
      </c>
      <c r="H803" s="93">
        <f>IFERROR(__xludf.DUMMYFUNCTION("""COMPUTED_VALUE"""),3.12599353E9)</f>
        <v>3125993530</v>
      </c>
      <c r="I803" s="93" t="str">
        <f>IFERROR(__xludf.DUMMYFUNCTION("""COMPUTED_VALUE"""),"3PM-5PM")</f>
        <v>3PM-5PM</v>
      </c>
      <c r="J803" s="93">
        <f>IFERROR(__xludf.DUMMYFUNCTION("""COMPUTED_VALUE"""),1.0)</f>
        <v>1</v>
      </c>
      <c r="K803" s="93" t="str">
        <f>IFERROR(__xludf.DUMMYFUNCTION("""COMPUTED_VALUE"""),"Complete")</f>
        <v>Complete</v>
      </c>
      <c r="L803" s="93"/>
      <c r="M803" s="94">
        <f>IFERROR(__xludf.DUMMYFUNCTION("""COMPUTED_VALUE"""),46145.94583333333)</f>
        <v>46145.94583</v>
      </c>
      <c r="N803" s="93">
        <f>IFERROR(__xludf.DUMMYFUNCTION("""COMPUTED_VALUE"""),41.0)</f>
        <v>41</v>
      </c>
      <c r="O803" s="93"/>
      <c r="P803" s="93" t="str">
        <f>IFERROR(__xludf.DUMMYFUNCTION("""COMPUTED_VALUE"""),"Kit Delivery")</f>
        <v>Kit Delivery</v>
      </c>
      <c r="Q803" s="93"/>
      <c r="R803" s="93"/>
      <c r="S803" s="93" t="str">
        <f>IFERROR(__xludf.DUMMYFUNCTION("""COMPUTED_VALUE"""),"Dispatch_Images/KIT--17180.Photos.034157.jpg")</f>
        <v>Dispatch_Images/KIT--17180.Photos.034157.jpg</v>
      </c>
      <c r="T803" s="95">
        <f>IFERROR(__xludf.DUMMYFUNCTION("""COMPUTED_VALUE"""),46145.9490625)</f>
        <v>46145.94906</v>
      </c>
      <c r="U803" s="93"/>
      <c r="V803" s="93"/>
      <c r="W803" s="93"/>
      <c r="X803" s="93"/>
      <c r="Y803" s="93"/>
      <c r="Z803" s="93"/>
    </row>
    <row r="804">
      <c r="A804" s="93" t="str">
        <f>IFERROR(__xludf.DUMMYFUNCTION("""COMPUTED_VALUE"""),"KIT-#17985")</f>
        <v>KIT-#17985</v>
      </c>
      <c r="B804" s="94">
        <f>IFERROR(__xludf.DUMMYFUNCTION("""COMPUTED_VALUE"""),46150.0)</f>
        <v>46150</v>
      </c>
      <c r="C804" s="93" t="str">
        <f>IFERROR(__xludf.DUMMYFUNCTION("""COMPUTED_VALUE"""),"Kit Delivery")</f>
        <v>Kit Delivery</v>
      </c>
      <c r="D804" s="93">
        <f>IFERROR(__xludf.DUMMYFUNCTION("""COMPUTED_VALUE"""),2.0)</f>
        <v>2</v>
      </c>
      <c r="E804" s="93" t="str">
        <f>IFERROR(__xludf.DUMMYFUNCTION("""COMPUTED_VALUE"""),"Lopata")</f>
        <v>Lopata</v>
      </c>
      <c r="F804" s="93">
        <f>IFERROR(__xludf.DUMMYFUNCTION("""COMPUTED_VALUE"""),1113.0)</f>
        <v>1113</v>
      </c>
      <c r="G804" s="93" t="str">
        <f>IFERROR(__xludf.DUMMYFUNCTION("""COMPUTED_VALUE"""),"Ariella Kaplan")</f>
        <v>Ariella Kaplan</v>
      </c>
      <c r="H804" s="93">
        <f>IFERROR(__xludf.DUMMYFUNCTION("""COMPUTED_VALUE"""),9.293752454E9)</f>
        <v>9293752454</v>
      </c>
      <c r="I804" s="93" t="str">
        <f>IFERROR(__xludf.DUMMYFUNCTION("""COMPUTED_VALUE"""),"9AM-11AM")</f>
        <v>9AM-11AM</v>
      </c>
      <c r="J804" s="93">
        <f>IFERROR(__xludf.DUMMYFUNCTION("""COMPUTED_VALUE"""),1.0)</f>
        <v>1</v>
      </c>
      <c r="K804" s="93" t="str">
        <f>IFERROR(__xludf.DUMMYFUNCTION("""COMPUTED_VALUE"""),"Complete")</f>
        <v>Complete</v>
      </c>
      <c r="L804" s="93"/>
      <c r="M804" s="94">
        <f>IFERROR(__xludf.DUMMYFUNCTION("""COMPUTED_VALUE"""),46145.951331018514)</f>
        <v>46145.95133</v>
      </c>
      <c r="N804" s="93">
        <f>IFERROR(__xludf.DUMMYFUNCTION("""COMPUTED_VALUE"""),30.0)</f>
        <v>30</v>
      </c>
      <c r="O804" s="93"/>
      <c r="P804" s="93" t="str">
        <f>IFERROR(__xludf.DUMMYFUNCTION("""COMPUTED_VALUE"""),"Kit Delivery")</f>
        <v>Kit Delivery</v>
      </c>
      <c r="Q804" s="93"/>
      <c r="R804" s="93"/>
      <c r="S804" s="93" t="str">
        <f>IFERROR(__xludf.DUMMYFUNCTION("""COMPUTED_VALUE"""),"Dispatch_Images/KIT--17985.Photos.034951.jpg")</f>
        <v>Dispatch_Images/KIT--17985.Photos.034951.jpg</v>
      </c>
      <c r="T804" s="95">
        <f>IFERROR(__xludf.DUMMYFUNCTION("""COMPUTED_VALUE"""),46145.95599537037)</f>
        <v>46145.956</v>
      </c>
      <c r="U804" s="93"/>
      <c r="V804" s="93"/>
      <c r="W804" s="93"/>
      <c r="X804" s="93"/>
      <c r="Y804" s="93"/>
      <c r="Z804" s="93"/>
    </row>
    <row r="805">
      <c r="A805" s="93" t="str">
        <f>IFERROR(__xludf.DUMMYFUNCTION("""COMPUTED_VALUE"""),"KIT-#17546")</f>
        <v>KIT-#17546</v>
      </c>
      <c r="B805" s="94">
        <f>IFERROR(__xludf.DUMMYFUNCTION("""COMPUTED_VALUE"""),46150.0)</f>
        <v>46150</v>
      </c>
      <c r="C805" s="93" t="str">
        <f>IFERROR(__xludf.DUMMYFUNCTION("""COMPUTED_VALUE"""),"Kit Delivery")</f>
        <v>Kit Delivery</v>
      </c>
      <c r="D805" s="93">
        <f>IFERROR(__xludf.DUMMYFUNCTION("""COMPUTED_VALUE"""),2.0)</f>
        <v>2</v>
      </c>
      <c r="E805" s="93" t="str">
        <f>IFERROR(__xludf.DUMMYFUNCTION("""COMPUTED_VALUE"""),"Lopata")</f>
        <v>Lopata</v>
      </c>
      <c r="F805" s="93" t="str">
        <f>IFERROR(__xludf.DUMMYFUNCTION("""COMPUTED_VALUE"""),"3123 a")</f>
        <v>3123 a</v>
      </c>
      <c r="G805" s="93" t="str">
        <f>IFERROR(__xludf.DUMMYFUNCTION("""COMPUTED_VALUE"""),"Katya Khesin")</f>
        <v>Katya Khesin</v>
      </c>
      <c r="H805" s="93">
        <f>IFERROR(__xludf.DUMMYFUNCTION("""COMPUTED_VALUE"""),9.177251154E9)</f>
        <v>9177251154</v>
      </c>
      <c r="I805" s="93" t="str">
        <f>IFERROR(__xludf.DUMMYFUNCTION("""COMPUTED_VALUE"""),"12PM-2PM")</f>
        <v>12PM-2PM</v>
      </c>
      <c r="J805" s="93">
        <f>IFERROR(__xludf.DUMMYFUNCTION("""COMPUTED_VALUE"""),3.0)</f>
        <v>3</v>
      </c>
      <c r="K805" s="93" t="str">
        <f>IFERROR(__xludf.DUMMYFUNCTION("""COMPUTED_VALUE"""),"Complete")</f>
        <v>Complete</v>
      </c>
      <c r="L805" s="93"/>
      <c r="M805" s="94">
        <f>IFERROR(__xludf.DUMMYFUNCTION("""COMPUTED_VALUE"""),46145.9547337963)</f>
        <v>46145.95473</v>
      </c>
      <c r="N805" s="93">
        <f>IFERROR(__xludf.DUMMYFUNCTION("""COMPUTED_VALUE"""),32.0)</f>
        <v>32</v>
      </c>
      <c r="O805" s="93"/>
      <c r="P805" s="93" t="str">
        <f>IFERROR(__xludf.DUMMYFUNCTION("""COMPUTED_VALUE"""),"Kit Delivery")</f>
        <v>Kit Delivery</v>
      </c>
      <c r="Q805" s="93"/>
      <c r="R805" s="93"/>
      <c r="S805" s="93" t="str">
        <f>IFERROR(__xludf.DUMMYFUNCTION("""COMPUTED_VALUE"""),"Dispatch_Images/KIT--17546.Photos.035446.jpg")</f>
        <v>Dispatch_Images/KIT--17546.Photos.035446.jpg</v>
      </c>
      <c r="T805" s="95">
        <f>IFERROR(__xludf.DUMMYFUNCTION("""COMPUTED_VALUE"""),46145.95599537037)</f>
        <v>46145.956</v>
      </c>
      <c r="U805" s="93"/>
      <c r="V805" s="93"/>
      <c r="W805" s="93"/>
      <c r="X805" s="93"/>
      <c r="Y805" s="93"/>
      <c r="Z805" s="93"/>
    </row>
    <row r="806">
      <c r="A806" s="93" t="str">
        <f>IFERROR(__xludf.DUMMYFUNCTION("""COMPUTED_VALUE"""),"KIT-#17835")</f>
        <v>KIT-#17835</v>
      </c>
      <c r="B806" s="94">
        <f>IFERROR(__xludf.DUMMYFUNCTION("""COMPUTED_VALUE"""),46150.0)</f>
        <v>46150</v>
      </c>
      <c r="C806" s="93" t="str">
        <f>IFERROR(__xludf.DUMMYFUNCTION("""COMPUTED_VALUE"""),"Kit Delivery")</f>
        <v>Kit Delivery</v>
      </c>
      <c r="D806" s="93">
        <f>IFERROR(__xludf.DUMMYFUNCTION("""COMPUTED_VALUE"""),2.0)</f>
        <v>2</v>
      </c>
      <c r="E806" s="93" t="str">
        <f>IFERROR(__xludf.DUMMYFUNCTION("""COMPUTED_VALUE"""),"Village East")</f>
        <v>Village East</v>
      </c>
      <c r="F806" s="93">
        <f>IFERROR(__xludf.DUMMYFUNCTION("""COMPUTED_VALUE"""),2013.0)</f>
        <v>2013</v>
      </c>
      <c r="G806" s="93" t="str">
        <f>IFERROR(__xludf.DUMMYFUNCTION("""COMPUTED_VALUE"""),"Lana Lewis")</f>
        <v>Lana Lewis</v>
      </c>
      <c r="H806" s="93">
        <f>IFERROR(__xludf.DUMMYFUNCTION("""COMPUTED_VALUE"""),6.462295856E9)</f>
        <v>6462295856</v>
      </c>
      <c r="I806" s="93" t="str">
        <f>IFERROR(__xludf.DUMMYFUNCTION("""COMPUTED_VALUE"""),"9AM-11AM")</f>
        <v>9AM-11AM</v>
      </c>
      <c r="J806" s="93">
        <f>IFERROR(__xludf.DUMMYFUNCTION("""COMPUTED_VALUE"""),1.0)</f>
        <v>1</v>
      </c>
      <c r="K806" s="93" t="str">
        <f>IFERROR(__xludf.DUMMYFUNCTION("""COMPUTED_VALUE"""),"Complete")</f>
        <v>Complete</v>
      </c>
      <c r="L806" s="93"/>
      <c r="M806" s="94">
        <f>IFERROR(__xludf.DUMMYFUNCTION("""COMPUTED_VALUE"""),46145.96476851852)</f>
        <v>46145.96477</v>
      </c>
      <c r="N806" s="93">
        <f>IFERROR(__xludf.DUMMYFUNCTION("""COMPUTED_VALUE"""),34.0)</f>
        <v>34</v>
      </c>
      <c r="O806" s="93"/>
      <c r="P806" s="93" t="str">
        <f>IFERROR(__xludf.DUMMYFUNCTION("""COMPUTED_VALUE"""),"Kit Delivery")</f>
        <v>Kit Delivery</v>
      </c>
      <c r="Q806" s="93"/>
      <c r="R806" s="93"/>
      <c r="S806" s="93" t="str">
        <f>IFERROR(__xludf.DUMMYFUNCTION("""COMPUTED_VALUE"""),"Dispatch_Images/KIT--17835.Photos.040912.jpg")</f>
        <v>Dispatch_Images/KIT--17835.Photos.040912.jpg</v>
      </c>
      <c r="T806" s="95">
        <f>IFERROR(__xludf.DUMMYFUNCTION("""COMPUTED_VALUE"""),46145.96988425926)</f>
        <v>46145.96988</v>
      </c>
      <c r="U806" s="93"/>
      <c r="V806" s="93"/>
      <c r="W806" s="93"/>
      <c r="X806" s="93"/>
      <c r="Y806" s="93"/>
      <c r="Z806" s="93"/>
    </row>
    <row r="807">
      <c r="A807" s="93" t="str">
        <f>IFERROR(__xludf.DUMMYFUNCTION("""COMPUTED_VALUE"""),"KIT-#18170")</f>
        <v>KIT-#18170</v>
      </c>
      <c r="B807" s="94">
        <f>IFERROR(__xludf.DUMMYFUNCTION("""COMPUTED_VALUE"""),46150.0)</f>
        <v>46150</v>
      </c>
      <c r="C807" s="93" t="str">
        <f>IFERROR(__xludf.DUMMYFUNCTION("""COMPUTED_VALUE"""),"Kit Delivery")</f>
        <v>Kit Delivery</v>
      </c>
      <c r="D807" s="93">
        <f>IFERROR(__xludf.DUMMYFUNCTION("""COMPUTED_VALUE"""),2.0)</f>
        <v>2</v>
      </c>
      <c r="E807" s="93" t="str">
        <f>IFERROR(__xludf.DUMMYFUNCTION("""COMPUTED_VALUE"""),"Village East")</f>
        <v>Village East</v>
      </c>
      <c r="F807" s="93">
        <f>IFERROR(__xludf.DUMMYFUNCTION("""COMPUTED_VALUE"""),2013.0)</f>
        <v>2013</v>
      </c>
      <c r="G807" s="93" t="str">
        <f>IFERROR(__xludf.DUMMYFUNCTION("""COMPUTED_VALUE"""),"Lana Lewis")</f>
        <v>Lana Lewis</v>
      </c>
      <c r="H807" s="93">
        <f>IFERROR(__xludf.DUMMYFUNCTION("""COMPUTED_VALUE"""),6.462295856E9)</f>
        <v>6462295856</v>
      </c>
      <c r="I807" s="93" t="str">
        <f>IFERROR(__xludf.DUMMYFUNCTION("""COMPUTED_VALUE"""),"9AM-11AM")</f>
        <v>9AM-11AM</v>
      </c>
      <c r="J807" s="93">
        <f>IFERROR(__xludf.DUMMYFUNCTION("""COMPUTED_VALUE"""),1.0)</f>
        <v>1</v>
      </c>
      <c r="K807" s="93" t="str">
        <f>IFERROR(__xludf.DUMMYFUNCTION("""COMPUTED_VALUE"""),"Complete")</f>
        <v>Complete</v>
      </c>
      <c r="L807" s="93"/>
      <c r="M807" s="94">
        <f>IFERROR(__xludf.DUMMYFUNCTION("""COMPUTED_VALUE"""),46145.964895833335)</f>
        <v>46145.9649</v>
      </c>
      <c r="N807" s="93">
        <f>IFERROR(__xludf.DUMMYFUNCTION("""COMPUTED_VALUE"""),35.0)</f>
        <v>35</v>
      </c>
      <c r="O807" s="93"/>
      <c r="P807" s="93" t="str">
        <f>IFERROR(__xludf.DUMMYFUNCTION("""COMPUTED_VALUE"""),"Kit Delivery")</f>
        <v>Kit Delivery</v>
      </c>
      <c r="Q807" s="93"/>
      <c r="R807" s="93"/>
      <c r="S807" s="93" t="str">
        <f>IFERROR(__xludf.DUMMYFUNCTION("""COMPUTED_VALUE"""),"Dispatch_Images/KIT--18170.Photos.040923.jpg")</f>
        <v>Dispatch_Images/KIT--18170.Photos.040923.jpg</v>
      </c>
      <c r="T807" s="95">
        <f>IFERROR(__xludf.DUMMYFUNCTION("""COMPUTED_VALUE"""),46145.96988425926)</f>
        <v>46145.96988</v>
      </c>
      <c r="U807" s="93"/>
      <c r="V807" s="93"/>
      <c r="W807" s="93"/>
      <c r="X807" s="93"/>
      <c r="Y807" s="93"/>
      <c r="Z807" s="93"/>
    </row>
    <row r="808">
      <c r="A808" s="93" t="str">
        <f>IFERROR(__xludf.DUMMYFUNCTION("""COMPUTED_VALUE"""),"KIT-#18050")</f>
        <v>KIT-#18050</v>
      </c>
      <c r="B808" s="94">
        <f>IFERROR(__xludf.DUMMYFUNCTION("""COMPUTED_VALUE"""),46150.0)</f>
        <v>46150</v>
      </c>
      <c r="C808" s="93" t="str">
        <f>IFERROR(__xludf.DUMMYFUNCTION("""COMPUTED_VALUE"""),"Kit Delivery")</f>
        <v>Kit Delivery</v>
      </c>
      <c r="D808" s="93">
        <f>IFERROR(__xludf.DUMMYFUNCTION("""COMPUTED_VALUE"""),2.0)</f>
        <v>2</v>
      </c>
      <c r="E808" s="93" t="str">
        <f>IFERROR(__xludf.DUMMYFUNCTION("""COMPUTED_VALUE"""),"Greenway Apartments")</f>
        <v>Greenway Apartments</v>
      </c>
      <c r="F808" s="93" t="str">
        <f>IFERROR(__xludf.DUMMYFUNCTION("""COMPUTED_VALUE"""),"138-B")</f>
        <v>138-B</v>
      </c>
      <c r="G808" s="93" t="str">
        <f>IFERROR(__xludf.DUMMYFUNCTION("""COMPUTED_VALUE"""),"William")</f>
        <v>William</v>
      </c>
      <c r="H808" s="93">
        <f>IFERROR(__xludf.DUMMYFUNCTION("""COMPUTED_VALUE"""),6.129404964E9)</f>
        <v>6129404964</v>
      </c>
      <c r="I808" s="93" t="str">
        <f>IFERROR(__xludf.DUMMYFUNCTION("""COMPUTED_VALUE"""),"9AM-11AM")</f>
        <v>9AM-11AM</v>
      </c>
      <c r="J808" s="93">
        <f>IFERROR(__xludf.DUMMYFUNCTION("""COMPUTED_VALUE"""),1.0)</f>
        <v>1</v>
      </c>
      <c r="K808" s="93" t="str">
        <f>IFERROR(__xludf.DUMMYFUNCTION("""COMPUTED_VALUE"""),"Complete")</f>
        <v>Complete</v>
      </c>
      <c r="L808" s="93"/>
      <c r="M808" s="94">
        <f>IFERROR(__xludf.DUMMYFUNCTION("""COMPUTED_VALUE"""),46145.98986111111)</f>
        <v>46145.98986</v>
      </c>
      <c r="N808" s="93">
        <f>IFERROR(__xludf.DUMMYFUNCTION("""COMPUTED_VALUE"""),46.0)</f>
        <v>46</v>
      </c>
      <c r="O808" s="93"/>
      <c r="P808" s="93" t="str">
        <f>IFERROR(__xludf.DUMMYFUNCTION("""COMPUTED_VALUE"""),"Kit Delivery")</f>
        <v>Kit Delivery</v>
      </c>
      <c r="Q808" s="93"/>
      <c r="R808" s="93"/>
      <c r="S808" s="93" t="str">
        <f>IFERROR(__xludf.DUMMYFUNCTION("""COMPUTED_VALUE"""),"Dispatch_Images/KIT--18050.Photos.044520.jpg")</f>
        <v>Dispatch_Images/KIT--18050.Photos.044520.jpg</v>
      </c>
      <c r="T808" s="95">
        <f>IFERROR(__xludf.DUMMYFUNCTION("""COMPUTED_VALUE"""),46145.99070601852)</f>
        <v>46145.99071</v>
      </c>
      <c r="U808" s="93"/>
      <c r="V808" s="93"/>
      <c r="W808" s="93"/>
      <c r="X808" s="93"/>
      <c r="Y808" s="93"/>
      <c r="Z808" s="93"/>
    </row>
    <row r="809">
      <c r="A809" s="93" t="str">
        <f>IFERROR(__xludf.DUMMYFUNCTION("""COMPUTED_VALUE"""),"KIT-#18220")</f>
        <v>KIT-#18220</v>
      </c>
      <c r="B809" s="94">
        <f>IFERROR(__xludf.DUMMYFUNCTION("""COMPUTED_VALUE"""),46150.0)</f>
        <v>46150</v>
      </c>
      <c r="C809" s="93" t="str">
        <f>IFERROR(__xludf.DUMMYFUNCTION("""COMPUTED_VALUE"""),"Kit Delivery")</f>
        <v>Kit Delivery</v>
      </c>
      <c r="D809" s="93">
        <f>IFERROR(__xludf.DUMMYFUNCTION("""COMPUTED_VALUE"""),2.0)</f>
        <v>2</v>
      </c>
      <c r="E809" s="93" t="str">
        <f>IFERROR(__xludf.DUMMYFUNCTION("""COMPUTED_VALUE"""),"Off-Campus")</f>
        <v>Off-Campus</v>
      </c>
      <c r="F809" s="93"/>
      <c r="G809" s="93" t="str">
        <f>IFERROR(__xludf.DUMMYFUNCTION("""COMPUTED_VALUE"""),"Patrick Riley")</f>
        <v>Patrick Riley</v>
      </c>
      <c r="H809" s="93">
        <f>IFERROR(__xludf.DUMMYFUNCTION("""COMPUTED_VALUE"""),6.507733242E9)</f>
        <v>6507733242</v>
      </c>
      <c r="I809" s="93" t="str">
        <f>IFERROR(__xludf.DUMMYFUNCTION("""COMPUTED_VALUE"""),"11AM-1PM")</f>
        <v>11AM-1PM</v>
      </c>
      <c r="J809" s="93">
        <f>IFERROR(__xludf.DUMMYFUNCTION("""COMPUTED_VALUE"""),1.0)</f>
        <v>1</v>
      </c>
      <c r="K809" s="93" t="str">
        <f>IFERROR(__xludf.DUMMYFUNCTION("""COMPUTED_VALUE"""),"Complete")</f>
        <v>Complete</v>
      </c>
      <c r="L809" s="93"/>
      <c r="M809" s="94">
        <f>IFERROR(__xludf.DUMMYFUNCTION("""COMPUTED_VALUE"""),46146.69854166667)</f>
        <v>46146.69854</v>
      </c>
      <c r="N809" s="93">
        <f>IFERROR(__xludf.DUMMYFUNCTION("""COMPUTED_VALUE"""),18.0)</f>
        <v>18</v>
      </c>
      <c r="O809" s="93" t="str">
        <f>IFERROR(__xludf.DUMMYFUNCTION("""COMPUTED_VALUE"""),"6105 Delmar Boulevard, Apartment 1417")</f>
        <v>6105 Delmar Boulevard, Apartment 1417</v>
      </c>
      <c r="P809" s="93" t="str">
        <f>IFERROR(__xludf.DUMMYFUNCTION("""COMPUTED_VALUE"""),"Kit Delivery")</f>
        <v>Kit Delivery</v>
      </c>
      <c r="Q809" s="93" t="str">
        <f>IFERROR(__xludf.DUMMYFUNCTION("""COMPUTED_VALUE"""),"I live in Everly on the Loop")</f>
        <v>I live in Everly on the Loop</v>
      </c>
      <c r="R809" s="93"/>
      <c r="S809" s="93" t="str">
        <f>IFERROR(__xludf.DUMMYFUNCTION("""COMPUTED_VALUE"""),"Dispatch_Images/KIT--18220.Photos.214549.jpg")</f>
        <v>Dispatch_Images/KIT--18220.Photos.214549.jpg</v>
      </c>
      <c r="T809" s="95">
        <f>IFERROR(__xludf.DUMMYFUNCTION("""COMPUTED_VALUE"""),46146.69903935185)</f>
        <v>46146.69904</v>
      </c>
      <c r="U809" s="93"/>
      <c r="V809" s="93"/>
      <c r="W809" s="93"/>
      <c r="X809" s="93"/>
      <c r="Y809" s="93"/>
      <c r="Z809" s="93"/>
    </row>
    <row r="810">
      <c r="A810" s="93" t="str">
        <f>IFERROR(__xludf.DUMMYFUNCTION("""COMPUTED_VALUE"""),"KIT-#18235")</f>
        <v>KIT-#18235</v>
      </c>
      <c r="B810" s="94">
        <f>IFERROR(__xludf.DUMMYFUNCTION("""COMPUTED_VALUE"""),46150.0)</f>
        <v>46150</v>
      </c>
      <c r="C810" s="93" t="str">
        <f>IFERROR(__xludf.DUMMYFUNCTION("""COMPUTED_VALUE"""),"Kit Delivery")</f>
        <v>Kit Delivery</v>
      </c>
      <c r="D810" s="93">
        <f>IFERROR(__xludf.DUMMYFUNCTION("""COMPUTED_VALUE"""),2.0)</f>
        <v>2</v>
      </c>
      <c r="E810" s="93" t="str">
        <f>IFERROR(__xludf.DUMMYFUNCTION("""COMPUTED_VALUE"""),"Off-Campus")</f>
        <v>Off-Campus</v>
      </c>
      <c r="F810" s="93"/>
      <c r="G810" s="93" t="str">
        <f>IFERROR(__xludf.DUMMYFUNCTION("""COMPUTED_VALUE"""),"Dani Shipon")</f>
        <v>Dani Shipon</v>
      </c>
      <c r="H810" s="93">
        <f>IFERROR(__xludf.DUMMYFUNCTION("""COMPUTED_VALUE"""),2.674087229E9)</f>
        <v>2674087229</v>
      </c>
      <c r="I810" s="93" t="str">
        <f>IFERROR(__xludf.DUMMYFUNCTION("""COMPUTED_VALUE"""),"3PM-5PM")</f>
        <v>3PM-5PM</v>
      </c>
      <c r="J810" s="93">
        <f>IFERROR(__xludf.DUMMYFUNCTION("""COMPUTED_VALUE"""),1.0)</f>
        <v>1</v>
      </c>
      <c r="K810" s="93" t="str">
        <f>IFERROR(__xludf.DUMMYFUNCTION("""COMPUTED_VALUE"""),"Complete")</f>
        <v>Complete</v>
      </c>
      <c r="L810" s="93"/>
      <c r="M810" s="94">
        <f>IFERROR(__xludf.DUMMYFUNCTION("""COMPUTED_VALUE"""),46146.725625)</f>
        <v>46146.72563</v>
      </c>
      <c r="N810" s="93">
        <f>IFERROR(__xludf.DUMMYFUNCTION("""COMPUTED_VALUE"""),50.0)</f>
        <v>50</v>
      </c>
      <c r="O810" s="93" t="str">
        <f>IFERROR(__xludf.DUMMYFUNCTION("""COMPUTED_VALUE"""),"7035 waterman ave. 
St Louis, MO 63130")</f>
        <v>7035 waterman ave. 
St Louis, MO 63130</v>
      </c>
      <c r="P810" s="93" t="str">
        <f>IFERROR(__xludf.DUMMYFUNCTION("""COMPUTED_VALUE"""),"Kit Delivery")</f>
        <v>Kit Delivery</v>
      </c>
      <c r="Q810" s="93"/>
      <c r="R810" s="93"/>
      <c r="S810" s="93" t="str">
        <f>IFERROR(__xludf.DUMMYFUNCTION("""COMPUTED_VALUE"""),"Dispatch_Images/KIT--18235.Photos.222449.jpg")</f>
        <v>Dispatch_Images/KIT--18235.Photos.222449.jpg</v>
      </c>
      <c r="T810" s="95">
        <f>IFERROR(__xludf.DUMMYFUNCTION("""COMPUTED_VALUE"""),46146.72684027778)</f>
        <v>46146.72684</v>
      </c>
      <c r="U810" s="93"/>
      <c r="V810" s="93"/>
      <c r="W810" s="93"/>
      <c r="X810" s="93"/>
      <c r="Y810" s="93"/>
      <c r="Z810" s="93"/>
    </row>
    <row r="811">
      <c r="A811" s="93" t="str">
        <f>IFERROR(__xludf.DUMMYFUNCTION("""COMPUTED_VALUE"""),"KIT-#18243")</f>
        <v>KIT-#18243</v>
      </c>
      <c r="B811" s="94">
        <f>IFERROR(__xludf.DUMMYFUNCTION("""COMPUTED_VALUE"""),46150.0)</f>
        <v>46150</v>
      </c>
      <c r="C811" s="93" t="str">
        <f>IFERROR(__xludf.DUMMYFUNCTION("""COMPUTED_VALUE"""),"Kit Delivery")</f>
        <v>Kit Delivery</v>
      </c>
      <c r="D811" s="93">
        <f>IFERROR(__xludf.DUMMYFUNCTION("""COMPUTED_VALUE"""),3.0)</f>
        <v>3</v>
      </c>
      <c r="E811" s="93" t="str">
        <f>IFERROR(__xludf.DUMMYFUNCTION("""COMPUTED_VALUE"""),"House 2")</f>
        <v>House 2</v>
      </c>
      <c r="F811" s="93">
        <f>IFERROR(__xludf.DUMMYFUNCTION("""COMPUTED_VALUE"""),205.0)</f>
        <v>205</v>
      </c>
      <c r="G811" s="93" t="str">
        <f>IFERROR(__xludf.DUMMYFUNCTION("""COMPUTED_VALUE"""),"Harrison John")</f>
        <v>Harrison John</v>
      </c>
      <c r="H811" s="93">
        <f>IFERROR(__xludf.DUMMYFUNCTION("""COMPUTED_VALUE"""),4.752434614E9)</f>
        <v>4752434614</v>
      </c>
      <c r="I811" s="93" t="str">
        <f>IFERROR(__xludf.DUMMYFUNCTION("""COMPUTED_VALUE"""),"1PM-3PM")</f>
        <v>1PM-3PM</v>
      </c>
      <c r="J811" s="93">
        <f>IFERROR(__xludf.DUMMYFUNCTION("""COMPUTED_VALUE"""),2.0)</f>
        <v>2</v>
      </c>
      <c r="K811" s="93" t="str">
        <f>IFERROR(__xludf.DUMMYFUNCTION("""COMPUTED_VALUE"""),"Complete")</f>
        <v>Complete</v>
      </c>
      <c r="L811" s="93"/>
      <c r="M811" s="94">
        <f>IFERROR(__xludf.DUMMYFUNCTION("""COMPUTED_VALUE"""),46146.87510416667)</f>
        <v>46146.8751</v>
      </c>
      <c r="N811" s="93">
        <f>IFERROR(__xludf.DUMMYFUNCTION("""COMPUTED_VALUE"""),2.0)</f>
        <v>2</v>
      </c>
      <c r="O811" s="93"/>
      <c r="P811" s="93" t="str">
        <f>IFERROR(__xludf.DUMMYFUNCTION("""COMPUTED_VALUE"""),"Kit Delivery")</f>
        <v>Kit Delivery</v>
      </c>
      <c r="Q811" s="93"/>
      <c r="R811" s="93"/>
      <c r="S811" s="93" t="str">
        <f>IFERROR(__xludf.DUMMYFUNCTION("""COMPUTED_VALUE"""),"Dispatch_Images/KIT--18243.Photos.020005.jpg")</f>
        <v>Dispatch_Images/KIT--18243.Photos.020005.jpg</v>
      </c>
      <c r="T811" s="95">
        <f>IFERROR(__xludf.DUMMYFUNCTION("""COMPUTED_VALUE"""),46146.87962962963)</f>
        <v>46146.87963</v>
      </c>
      <c r="U811" s="93"/>
      <c r="V811" s="93"/>
      <c r="W811" s="93"/>
      <c r="X811" s="93"/>
      <c r="Y811" s="93"/>
      <c r="Z811" s="93"/>
    </row>
    <row r="812">
      <c r="A812" s="93" t="str">
        <f>IFERROR(__xludf.DUMMYFUNCTION("""COMPUTED_VALUE"""),"KIT-#17796")</f>
        <v>KIT-#17796</v>
      </c>
      <c r="B812" s="94">
        <f>IFERROR(__xludf.DUMMYFUNCTION("""COMPUTED_VALUE"""),46150.0)</f>
        <v>46150</v>
      </c>
      <c r="C812" s="93" t="str">
        <f>IFERROR(__xludf.DUMMYFUNCTION("""COMPUTED_VALUE"""),"Kit Delivery")</f>
        <v>Kit Delivery</v>
      </c>
      <c r="D812" s="93">
        <f>IFERROR(__xludf.DUMMYFUNCTION("""COMPUTED_VALUE"""),2.0)</f>
        <v>2</v>
      </c>
      <c r="E812" s="93" t="str">
        <f>IFERROR(__xludf.DUMMYFUNCTION("""COMPUTED_VALUE"""),"Off-Campus")</f>
        <v>Off-Campus</v>
      </c>
      <c r="F812" s="93"/>
      <c r="G812" s="93" t="str">
        <f>IFERROR(__xludf.DUMMYFUNCTION("""COMPUTED_VALUE"""),"Joyce Lin")</f>
        <v>Joyce Lin</v>
      </c>
      <c r="H812" s="93">
        <f>IFERROR(__xludf.DUMMYFUNCTION("""COMPUTED_VALUE"""),3.144454648E9)</f>
        <v>3144454648</v>
      </c>
      <c r="I812" s="93"/>
      <c r="J812" s="93">
        <f>IFERROR(__xludf.DUMMYFUNCTION("""COMPUTED_VALUE"""),2.0)</f>
        <v>2</v>
      </c>
      <c r="K812" s="93" t="str">
        <f>IFERROR(__xludf.DUMMYFUNCTION("""COMPUTED_VALUE"""),"Complete")</f>
        <v>Complete</v>
      </c>
      <c r="L812" s="93" t="str">
        <f>IFERROR(__xludf.DUMMYFUNCTION("""COMPUTED_VALUE"""),"Move")</f>
        <v>Move</v>
      </c>
      <c r="M812" s="94">
        <f>IFERROR(__xludf.DUMMYFUNCTION("""COMPUTED_VALUE"""),46147.84572916667)</f>
        <v>46147.84573</v>
      </c>
      <c r="N812" s="93">
        <f>IFERROR(__xludf.DUMMYFUNCTION("""COMPUTED_VALUE"""),42.0)</f>
        <v>42</v>
      </c>
      <c r="O812" s="93" t="str">
        <f>IFERROR(__xludf.DUMMYFUNCTION("""COMPUTED_VALUE"""),"6105 Delmar Blvd. Apt 1008, Saint Louis, MO 63112")</f>
        <v>6105 Delmar Blvd. Apt 1008, Saint Louis, MO 63112</v>
      </c>
      <c r="P812" s="93" t="str">
        <f>IFERROR(__xludf.DUMMYFUNCTION("""COMPUTED_VALUE"""),"Kit Delivery")</f>
        <v>Kit Delivery</v>
      </c>
      <c r="Q812" s="93" t="str">
        <f>IFERROR(__xludf.DUMMYFUNCTION("""COMPUTED_VALUE"""),"⚠️ MISSING BUILDING in source row 17; MISSING ROOM in source row 17 — The apartment unit is the 10th floor.")</f>
        <v>⚠️ MISSING BUILDING in source row 17; MISSING ROOM in source row 17 — The apartment unit is the 10th floor.</v>
      </c>
      <c r="R812" s="93"/>
      <c r="S812" s="93" t="str">
        <f>IFERROR(__xludf.DUMMYFUNCTION("""COMPUTED_VALUE"""),"Dispatch_Images/KIT--17796.Photos.011747.jpg")</f>
        <v>Dispatch_Images/KIT--17796.Photos.011747.jpg</v>
      </c>
      <c r="T812" s="95">
        <f>IFERROR(__xludf.DUMMYFUNCTION("""COMPUTED_VALUE"""),46147.8518287037)</f>
        <v>46147.85183</v>
      </c>
      <c r="U812" s="93"/>
      <c r="V812" s="93"/>
      <c r="W812" s="93"/>
      <c r="X812" s="93"/>
      <c r="Y812" s="93"/>
      <c r="Z812" s="93"/>
    </row>
    <row r="813">
      <c r="A813" s="93" t="str">
        <f>IFERROR(__xludf.DUMMYFUNCTION("""COMPUTED_VALUE"""),"KIT-#18289")</f>
        <v>KIT-#18289</v>
      </c>
      <c r="B813" s="94">
        <f>IFERROR(__xludf.DUMMYFUNCTION("""COMPUTED_VALUE"""),46150.0)</f>
        <v>46150</v>
      </c>
      <c r="C813" s="93" t="str">
        <f>IFERROR(__xludf.DUMMYFUNCTION("""COMPUTED_VALUE"""),"Kit Delivery")</f>
        <v>Kit Delivery</v>
      </c>
      <c r="D813" s="93">
        <f>IFERROR(__xludf.DUMMYFUNCTION("""COMPUTED_VALUE"""),2.0)</f>
        <v>2</v>
      </c>
      <c r="E813" s="93" t="str">
        <f>IFERROR(__xludf.DUMMYFUNCTION("""COMPUTED_VALUE"""),"Umrath")</f>
        <v>Umrath</v>
      </c>
      <c r="F813" s="93">
        <f>IFERROR(__xludf.DUMMYFUNCTION("""COMPUTED_VALUE"""),4423.0)</f>
        <v>4423</v>
      </c>
      <c r="G813" s="93" t="str">
        <f>IFERROR(__xludf.DUMMYFUNCTION("""COMPUTED_VALUE"""),"Kendall Bell")</f>
        <v>Kendall Bell</v>
      </c>
      <c r="H813" s="93">
        <f>IFERROR(__xludf.DUMMYFUNCTION("""COMPUTED_VALUE"""),9.738688807E9)</f>
        <v>9738688807</v>
      </c>
      <c r="I813" s="93" t="str">
        <f>IFERROR(__xludf.DUMMYFUNCTION("""COMPUTED_VALUE"""),"9AM-11AM")</f>
        <v>9AM-11AM</v>
      </c>
      <c r="J813" s="93">
        <f>IFERROR(__xludf.DUMMYFUNCTION("""COMPUTED_VALUE"""),0.0)</f>
        <v>0</v>
      </c>
      <c r="K813" s="93" t="str">
        <f>IFERROR(__xludf.DUMMYFUNCTION("""COMPUTED_VALUE"""),"Complete")</f>
        <v>Complete</v>
      </c>
      <c r="L813" s="93" t="str">
        <f>IFERROR(__xludf.DUMMYFUNCTION("""COMPUTED_VALUE"""),"0 kit")</f>
        <v>0 kit</v>
      </c>
      <c r="M813" s="93"/>
      <c r="N813" s="93">
        <f>IFERROR(__xludf.DUMMYFUNCTION("""COMPUTED_VALUE"""),4.0)</f>
        <v>4</v>
      </c>
      <c r="O813" s="93"/>
      <c r="P813" s="93" t="str">
        <f>IFERROR(__xludf.DUMMYFUNCTION("""COMPUTED_VALUE"""),"Kit Delivery")</f>
        <v>Kit Delivery</v>
      </c>
      <c r="Q813" s="93"/>
      <c r="R813" s="93"/>
      <c r="S813" s="93"/>
      <c r="T813" s="95">
        <f>IFERROR(__xludf.DUMMYFUNCTION("""COMPUTED_VALUE"""),46148.46296296296)</f>
        <v>46148.46296</v>
      </c>
      <c r="U813" s="93"/>
      <c r="V813" s="93"/>
      <c r="W813" s="93"/>
      <c r="X813" s="93"/>
      <c r="Y813" s="93"/>
      <c r="Z813" s="93"/>
    </row>
    <row r="814">
      <c r="A814" s="93" t="str">
        <f>IFERROR(__xludf.DUMMYFUNCTION("""COMPUTED_VALUE"""),"KIT-#18293")</f>
        <v>KIT-#18293</v>
      </c>
      <c r="B814" s="94">
        <f>IFERROR(__xludf.DUMMYFUNCTION("""COMPUTED_VALUE"""),46150.0)</f>
        <v>46150</v>
      </c>
      <c r="C814" s="93" t="str">
        <f>IFERROR(__xludf.DUMMYFUNCTION("""COMPUTED_VALUE"""),"Kit Delivery")</f>
        <v>Kit Delivery</v>
      </c>
      <c r="D814" s="93">
        <f>IFERROR(__xludf.DUMMYFUNCTION("""COMPUTED_VALUE"""),2.0)</f>
        <v>2</v>
      </c>
      <c r="E814" s="93" t="str">
        <f>IFERROR(__xludf.DUMMYFUNCTION("""COMPUTED_VALUE"""),"Shepley")</f>
        <v>Shepley</v>
      </c>
      <c r="F814" s="93">
        <f>IFERROR(__xludf.DUMMYFUNCTION("""COMPUTED_VALUE"""),1034.0)</f>
        <v>1034</v>
      </c>
      <c r="G814" s="93" t="str">
        <f>IFERROR(__xludf.DUMMYFUNCTION("""COMPUTED_VALUE"""),"Chloe Yang")</f>
        <v>Chloe Yang</v>
      </c>
      <c r="H814" s="93">
        <f>IFERROR(__xludf.DUMMYFUNCTION("""COMPUTED_VALUE"""),3.323231785E9)</f>
        <v>3323231785</v>
      </c>
      <c r="I814" s="93" t="str">
        <f>IFERROR(__xludf.DUMMYFUNCTION("""COMPUTED_VALUE"""),"11AM-1PM")</f>
        <v>11AM-1PM</v>
      </c>
      <c r="J814" s="93">
        <f>IFERROR(__xludf.DUMMYFUNCTION("""COMPUTED_VALUE"""),1.0)</f>
        <v>1</v>
      </c>
      <c r="K814" s="93" t="str">
        <f>IFERROR(__xludf.DUMMYFUNCTION("""COMPUTED_VALUE"""),"Complete")</f>
        <v>Complete</v>
      </c>
      <c r="L814" s="93"/>
      <c r="M814" s="94">
        <f>IFERROR(__xludf.DUMMYFUNCTION("""COMPUTED_VALUE"""),46148.66641203704)</f>
        <v>46148.66641</v>
      </c>
      <c r="N814" s="93">
        <f>IFERROR(__xludf.DUMMYFUNCTION("""COMPUTED_VALUE"""),1.0)</f>
        <v>1</v>
      </c>
      <c r="O814" s="93"/>
      <c r="P814" s="93" t="str">
        <f>IFERROR(__xludf.DUMMYFUNCTION("""COMPUTED_VALUE"""),"Kit Delivery")</f>
        <v>Kit Delivery</v>
      </c>
      <c r="Q814" s="93"/>
      <c r="R814" s="93"/>
      <c r="S814" s="93" t="str">
        <f>IFERROR(__xludf.DUMMYFUNCTION("""COMPUTED_VALUE"""),"Dispatch_Images/KIT--18293.Photos.205935.jpg")</f>
        <v>Dispatch_Images/KIT--18293.Photos.205935.jpg</v>
      </c>
      <c r="T814" s="95">
        <f>IFERROR(__xludf.DUMMYFUNCTION("""COMPUTED_VALUE"""),46148.671261574076)</f>
        <v>46148.67126</v>
      </c>
      <c r="U814" s="93"/>
      <c r="V814" s="93"/>
      <c r="W814" s="93"/>
      <c r="X814" s="93"/>
      <c r="Y814" s="93"/>
      <c r="Z814" s="93"/>
    </row>
    <row r="815">
      <c r="A815" s="93" t="str">
        <f>IFERROR(__xludf.DUMMYFUNCTION("""COMPUTED_VALUE"""),"KIT-#18318")</f>
        <v>KIT-#18318</v>
      </c>
      <c r="B815" s="94">
        <f>IFERROR(__xludf.DUMMYFUNCTION("""COMPUTED_VALUE"""),46150.0)</f>
        <v>46150</v>
      </c>
      <c r="C815" s="93" t="str">
        <f>IFERROR(__xludf.DUMMYFUNCTION("""COMPUTED_VALUE"""),"Kit Delivery")</f>
        <v>Kit Delivery</v>
      </c>
      <c r="D815" s="93">
        <f>IFERROR(__xludf.DUMMYFUNCTION("""COMPUTED_VALUE"""),2.0)</f>
        <v>2</v>
      </c>
      <c r="E815" s="93" t="str">
        <f>IFERROR(__xludf.DUMMYFUNCTION("""COMPUTED_VALUE"""),"Village House")</f>
        <v>Village House</v>
      </c>
      <c r="F815" s="93">
        <f>IFERROR(__xludf.DUMMYFUNCTION("""COMPUTED_VALUE"""),2122.0)</f>
        <v>2122</v>
      </c>
      <c r="G815" s="93" t="str">
        <f>IFERROR(__xludf.DUMMYFUNCTION("""COMPUTED_VALUE"""),"Karla Yadira Tiscareno")</f>
        <v>Karla Yadira Tiscareno</v>
      </c>
      <c r="H815" s="93">
        <f>IFERROR(__xludf.DUMMYFUNCTION("""COMPUTED_VALUE"""),6.578334872E9)</f>
        <v>6578334872</v>
      </c>
      <c r="I815" s="93" t="str">
        <f>IFERROR(__xludf.DUMMYFUNCTION("""COMPUTED_VALUE"""),"12PM-2PM")</f>
        <v>12PM-2PM</v>
      </c>
      <c r="J815" s="93">
        <f>IFERROR(__xludf.DUMMYFUNCTION("""COMPUTED_VALUE"""),1.0)</f>
        <v>1</v>
      </c>
      <c r="K815" s="93" t="str">
        <f>IFERROR(__xludf.DUMMYFUNCTION("""COMPUTED_VALUE"""),"Complete")</f>
        <v>Complete</v>
      </c>
      <c r="L815" s="93"/>
      <c r="M815" s="94">
        <f>IFERROR(__xludf.DUMMYFUNCTION("""COMPUTED_VALUE"""),46148.80690972222)</f>
        <v>46148.80691</v>
      </c>
      <c r="N815" s="93">
        <f>IFERROR(__xludf.DUMMYFUNCTION("""COMPUTED_VALUE"""),4.0)</f>
        <v>4</v>
      </c>
      <c r="O815" s="93"/>
      <c r="P815" s="93" t="str">
        <f>IFERROR(__xludf.DUMMYFUNCTION("""COMPUTED_VALUE"""),"Kit Delivery")</f>
        <v>Kit Delivery</v>
      </c>
      <c r="Q815" s="93"/>
      <c r="R815" s="93"/>
      <c r="S815" s="93" t="str">
        <f>IFERROR(__xludf.DUMMYFUNCTION("""COMPUTED_VALUE"""),"Dispatch_Images/KIT--18318.Photos.002154.jpg")</f>
        <v>Dispatch_Images/KIT--18318.Photos.002154.jpg</v>
      </c>
      <c r="T815" s="95">
        <f>IFERROR(__xludf.DUMMYFUNCTION("""COMPUTED_VALUE"""),46148.81015046296)</f>
        <v>46148.81015</v>
      </c>
      <c r="U815" s="93"/>
      <c r="V815" s="93"/>
      <c r="W815" s="93"/>
      <c r="X815" s="93"/>
      <c r="Y815" s="93"/>
      <c r="Z815" s="93"/>
    </row>
    <row r="816">
      <c r="A816" s="93" t="str">
        <f>IFERROR(__xludf.DUMMYFUNCTION("""COMPUTED_VALUE"""),"KIT-#18307")</f>
        <v>KIT-#18307</v>
      </c>
      <c r="B816" s="94">
        <f>IFERROR(__xludf.DUMMYFUNCTION("""COMPUTED_VALUE"""),46150.0)</f>
        <v>46150</v>
      </c>
      <c r="C816" s="93" t="str">
        <f>IFERROR(__xludf.DUMMYFUNCTION("""COMPUTED_VALUE"""),"Kit Delivery")</f>
        <v>Kit Delivery</v>
      </c>
      <c r="D816" s="93">
        <f>IFERROR(__xludf.DUMMYFUNCTION("""COMPUTED_VALUE"""),2.0)</f>
        <v>2</v>
      </c>
      <c r="E816" s="93" t="str">
        <f>IFERROR(__xludf.DUMMYFUNCTION("""COMPUTED_VALUE"""),"Gregg")</f>
        <v>Gregg</v>
      </c>
      <c r="F816" s="93">
        <f>IFERROR(__xludf.DUMMYFUNCTION("""COMPUTED_VALUE"""),3140.0)</f>
        <v>3140</v>
      </c>
      <c r="G816" s="93" t="str">
        <f>IFERROR(__xludf.DUMMYFUNCTION("""COMPUTED_VALUE"""),"Elise Taylor")</f>
        <v>Elise Taylor</v>
      </c>
      <c r="H816" s="93">
        <f>IFERROR(__xludf.DUMMYFUNCTION("""COMPUTED_VALUE"""),2.037257546E9)</f>
        <v>2037257546</v>
      </c>
      <c r="I816" s="93" t="str">
        <f>IFERROR(__xludf.DUMMYFUNCTION("""COMPUTED_VALUE"""),"9AM-11AM")</f>
        <v>9AM-11AM</v>
      </c>
      <c r="J816" s="93">
        <f>IFERROR(__xludf.DUMMYFUNCTION("""COMPUTED_VALUE"""),2.0)</f>
        <v>2</v>
      </c>
      <c r="K816" s="93" t="str">
        <f>IFERROR(__xludf.DUMMYFUNCTION("""COMPUTED_VALUE"""),"Complete")</f>
        <v>Complete</v>
      </c>
      <c r="L816" s="93"/>
      <c r="M816" s="94">
        <f>IFERROR(__xludf.DUMMYFUNCTION("""COMPUTED_VALUE"""),46148.81622685185)</f>
        <v>46148.81623</v>
      </c>
      <c r="N816" s="93">
        <f>IFERROR(__xludf.DUMMYFUNCTION("""COMPUTED_VALUE"""),1.0)</f>
        <v>1</v>
      </c>
      <c r="O816" s="93"/>
      <c r="P816" s="93" t="str">
        <f>IFERROR(__xludf.DUMMYFUNCTION("""COMPUTED_VALUE"""),"Kit Delivery")</f>
        <v>Kit Delivery</v>
      </c>
      <c r="Q816" s="93"/>
      <c r="R816" s="93"/>
      <c r="S816" s="93" t="str">
        <f>IFERROR(__xludf.DUMMYFUNCTION("""COMPUTED_VALUE"""),"Dispatch_Images/KIT--18307.Photos.003517.jpg")</f>
        <v>Dispatch_Images/KIT--18307.Photos.003517.jpg</v>
      </c>
      <c r="T816" s="95">
        <f>IFERROR(__xludf.DUMMYFUNCTION("""COMPUTED_VALUE"""),46148.81710648148)</f>
        <v>46148.81711</v>
      </c>
      <c r="U816" s="93"/>
      <c r="V816" s="93"/>
      <c r="W816" s="93"/>
      <c r="X816" s="93"/>
      <c r="Y816" s="93"/>
      <c r="Z816" s="93"/>
    </row>
    <row r="817">
      <c r="A817" s="93" t="str">
        <f>IFERROR(__xludf.DUMMYFUNCTION("""COMPUTED_VALUE"""),"KIT-#18301")</f>
        <v>KIT-#18301</v>
      </c>
      <c r="B817" s="94">
        <f>IFERROR(__xludf.DUMMYFUNCTION("""COMPUTED_VALUE"""),46150.0)</f>
        <v>46150</v>
      </c>
      <c r="C817" s="93" t="str">
        <f>IFERROR(__xludf.DUMMYFUNCTION("""COMPUTED_VALUE"""),"Kit Delivery")</f>
        <v>Kit Delivery</v>
      </c>
      <c r="D817" s="93">
        <f>IFERROR(__xludf.DUMMYFUNCTION("""COMPUTED_VALUE"""),2.0)</f>
        <v>2</v>
      </c>
      <c r="E817" s="93" t="str">
        <f>IFERROR(__xludf.DUMMYFUNCTION("""COMPUTED_VALUE"""),"House 7")</f>
        <v>House 7</v>
      </c>
      <c r="F817" s="93">
        <f>IFERROR(__xludf.DUMMYFUNCTION("""COMPUTED_VALUE"""),202.0)</f>
        <v>202</v>
      </c>
      <c r="G817" s="93" t="str">
        <f>IFERROR(__xludf.DUMMYFUNCTION("""COMPUTED_VALUE"""),"Maohua Zhang")</f>
        <v>Maohua Zhang</v>
      </c>
      <c r="H817" s="93">
        <f>IFERROR(__xludf.DUMMYFUNCTION("""COMPUTED_VALUE"""),8.056375739E9)</f>
        <v>8056375739</v>
      </c>
      <c r="I817" s="93" t="str">
        <f>IFERROR(__xludf.DUMMYFUNCTION("""COMPUTED_VALUE"""),"10AM-12PM")</f>
        <v>10AM-12PM</v>
      </c>
      <c r="J817" s="93">
        <f>IFERROR(__xludf.DUMMYFUNCTION("""COMPUTED_VALUE"""),1.0)</f>
        <v>1</v>
      </c>
      <c r="K817" s="93" t="str">
        <f>IFERROR(__xludf.DUMMYFUNCTION("""COMPUTED_VALUE"""),"Complete")</f>
        <v>Complete</v>
      </c>
      <c r="L817" s="93"/>
      <c r="M817" s="94">
        <f>IFERROR(__xludf.DUMMYFUNCTION("""COMPUTED_VALUE"""),46148.83460648148)</f>
        <v>46148.83461</v>
      </c>
      <c r="N817" s="93">
        <f>IFERROR(__xludf.DUMMYFUNCTION("""COMPUTED_VALUE"""),6.0)</f>
        <v>6</v>
      </c>
      <c r="O817" s="93"/>
      <c r="P817" s="93" t="str">
        <f>IFERROR(__xludf.DUMMYFUNCTION("""COMPUTED_VALUE"""),"Kit Delivery")</f>
        <v>Kit Delivery</v>
      </c>
      <c r="Q817" s="93"/>
      <c r="R817" s="93"/>
      <c r="S817" s="93" t="str">
        <f>IFERROR(__xludf.DUMMYFUNCTION("""COMPUTED_VALUE"""),"Dispatch_Images/KIT--18301.Photos.010145.jpg")</f>
        <v>Dispatch_Images/KIT--18301.Photos.010145.jpg</v>
      </c>
      <c r="T817" s="95">
        <f>IFERROR(__xludf.DUMMYFUNCTION("""COMPUTED_VALUE"""),46148.83793981482)</f>
        <v>46148.83794</v>
      </c>
      <c r="U817" s="93"/>
      <c r="V817" s="93"/>
      <c r="W817" s="93"/>
      <c r="X817" s="93"/>
      <c r="Y817" s="93"/>
      <c r="Z817" s="93"/>
    </row>
    <row r="818">
      <c r="A818" s="93" t="str">
        <f>IFERROR(__xludf.DUMMYFUNCTION("""COMPUTED_VALUE"""),"KIT-#18321")</f>
        <v>KIT-#18321</v>
      </c>
      <c r="B818" s="94">
        <f>IFERROR(__xludf.DUMMYFUNCTION("""COMPUTED_VALUE"""),46150.0)</f>
        <v>46150</v>
      </c>
      <c r="C818" s="93" t="str">
        <f>IFERROR(__xludf.DUMMYFUNCTION("""COMPUTED_VALUE"""),"Kit Delivery")</f>
        <v>Kit Delivery</v>
      </c>
      <c r="D818" s="93">
        <f>IFERROR(__xludf.DUMMYFUNCTION("""COMPUTED_VALUE"""),2.0)</f>
        <v>2</v>
      </c>
      <c r="E818" s="93" t="str">
        <f>IFERROR(__xludf.DUMMYFUNCTION("""COMPUTED_VALUE"""),"Hurd")</f>
        <v>Hurd</v>
      </c>
      <c r="F818" s="93">
        <f>IFERROR(__xludf.DUMMYFUNCTION("""COMPUTED_VALUE"""),142.0)</f>
        <v>142</v>
      </c>
      <c r="G818" s="93" t="str">
        <f>IFERROR(__xludf.DUMMYFUNCTION("""COMPUTED_VALUE"""),"Irene Son")</f>
        <v>Irene Son</v>
      </c>
      <c r="H818" s="93">
        <f>IFERROR(__xludf.DUMMYFUNCTION("""COMPUTED_VALUE"""),9.499109206E9)</f>
        <v>9499109206</v>
      </c>
      <c r="I818" s="93" t="str">
        <f>IFERROR(__xludf.DUMMYFUNCTION("""COMPUTED_VALUE"""),"9AM-11AM")</f>
        <v>9AM-11AM</v>
      </c>
      <c r="J818" s="93">
        <f>IFERROR(__xludf.DUMMYFUNCTION("""COMPUTED_VALUE"""),0.0)</f>
        <v>0</v>
      </c>
      <c r="K818" s="93" t="str">
        <f>IFERROR(__xludf.DUMMYFUNCTION("""COMPUTED_VALUE"""),"Complete")</f>
        <v>Complete</v>
      </c>
      <c r="L818" s="93" t="str">
        <f>IFERROR(__xludf.DUMMYFUNCTION("""COMPUTED_VALUE"""),"no kit")</f>
        <v>no kit</v>
      </c>
      <c r="M818" s="93"/>
      <c r="N818" s="93">
        <f>IFERROR(__xludf.DUMMYFUNCTION("""COMPUTED_VALUE"""),1.0)</f>
        <v>1</v>
      </c>
      <c r="O818" s="93" t="str">
        <f>IFERROR(__xludf.DUMMYFUNCTION("""COMPUTED_VALUE"""),"133 Okra, Irvine, CA, 92618")</f>
        <v>133 Okra, Irvine, CA, 92618</v>
      </c>
      <c r="P818" s="93" t="str">
        <f>IFERROR(__xludf.DUMMYFUNCTION("""COMPUTED_VALUE"""),"Kit Delivery")</f>
        <v>Kit Delivery</v>
      </c>
      <c r="Q818" s="93"/>
      <c r="R818" s="93"/>
      <c r="S818" s="93"/>
      <c r="T818" s="95">
        <f>IFERROR(__xludf.DUMMYFUNCTION("""COMPUTED_VALUE"""),46149.58793981482)</f>
        <v>46149.58794</v>
      </c>
      <c r="U818" s="93"/>
      <c r="V818" s="93"/>
      <c r="W818" s="93"/>
      <c r="X818" s="93"/>
      <c r="Y818" s="93"/>
      <c r="Z818" s="93"/>
    </row>
    <row r="819">
      <c r="A819" s="93" t="str">
        <f>IFERROR(__xludf.DUMMYFUNCTION("""COMPUTED_VALUE"""),"KIT-#18322")</f>
        <v>KIT-#18322</v>
      </c>
      <c r="B819" s="94">
        <f>IFERROR(__xludf.DUMMYFUNCTION("""COMPUTED_VALUE"""),46150.0)</f>
        <v>46150</v>
      </c>
      <c r="C819" s="93" t="str">
        <f>IFERROR(__xludf.DUMMYFUNCTION("""COMPUTED_VALUE"""),"Kit Delivery")</f>
        <v>Kit Delivery</v>
      </c>
      <c r="D819" s="93">
        <f>IFERROR(__xludf.DUMMYFUNCTION("""COMPUTED_VALUE"""),2.0)</f>
        <v>2</v>
      </c>
      <c r="E819" s="93" t="str">
        <f>IFERROR(__xludf.DUMMYFUNCTION("""COMPUTED_VALUE"""),"6607 UDrive")</f>
        <v>6607 UDrive</v>
      </c>
      <c r="F819" s="93">
        <f>IFERROR(__xludf.DUMMYFUNCTION("""COMPUTED_VALUE"""),122.0)</f>
        <v>122</v>
      </c>
      <c r="G819" s="93" t="str">
        <f>IFERROR(__xludf.DUMMYFUNCTION("""COMPUTED_VALUE"""),"Quoya Dory Schnell")</f>
        <v>Quoya Dory Schnell</v>
      </c>
      <c r="H819" s="93">
        <f>IFERROR(__xludf.DUMMYFUNCTION("""COMPUTED_VALUE"""),9.144678797E9)</f>
        <v>9144678797</v>
      </c>
      <c r="I819" s="93" t="str">
        <f>IFERROR(__xludf.DUMMYFUNCTION("""COMPUTED_VALUE"""),"9AM-11AM")</f>
        <v>9AM-11AM</v>
      </c>
      <c r="J819" s="93">
        <f>IFERROR(__xludf.DUMMYFUNCTION("""COMPUTED_VALUE"""),1.0)</f>
        <v>1</v>
      </c>
      <c r="K819" s="93" t="str">
        <f>IFERROR(__xludf.DUMMYFUNCTION("""COMPUTED_VALUE"""),"Complete")</f>
        <v>Complete</v>
      </c>
      <c r="L819" s="93" t="str">
        <f>IFERROR(__xludf.DUMMYFUNCTION("""COMPUTED_VALUE"""),"avery delivered")</f>
        <v>avery delivered</v>
      </c>
      <c r="M819" s="93"/>
      <c r="N819" s="93">
        <f>IFERROR(__xludf.DUMMYFUNCTION("""COMPUTED_VALUE"""),7.0)</f>
        <v>7</v>
      </c>
      <c r="O819" s="93"/>
      <c r="P819" s="93" t="str">
        <f>IFERROR(__xludf.DUMMYFUNCTION("""COMPUTED_VALUE"""),"Kit Delivery")</f>
        <v>Kit Delivery</v>
      </c>
      <c r="Q819" s="93"/>
      <c r="R819" s="93"/>
      <c r="S819" s="93"/>
      <c r="T819" s="95">
        <f>IFERROR(__xludf.DUMMYFUNCTION("""COMPUTED_VALUE"""),46149.58793981482)</f>
        <v>46149.58794</v>
      </c>
      <c r="U819" s="93"/>
      <c r="V819" s="93"/>
      <c r="W819" s="93"/>
      <c r="X819" s="93"/>
      <c r="Y819" s="93"/>
      <c r="Z819" s="93"/>
    </row>
    <row r="820">
      <c r="A820" s="93" t="str">
        <f>IFERROR(__xludf.DUMMYFUNCTION("""COMPUTED_VALUE"""),"SPecOPs4")</f>
        <v>SPecOPs4</v>
      </c>
      <c r="B820" s="96">
        <f>IFERROR(__xludf.DUMMYFUNCTION("""COMPUTED_VALUE"""),46150.0)</f>
        <v>46150</v>
      </c>
      <c r="C820" s="93" t="str">
        <f>IFERROR(__xludf.DUMMYFUNCTION("""COMPUTED_VALUE"""),"Kit Delivery")</f>
        <v>Kit Delivery</v>
      </c>
      <c r="D820" s="93">
        <f>IFERROR(__xludf.DUMMYFUNCTION("""COMPUTED_VALUE"""),2.0)</f>
        <v>2</v>
      </c>
      <c r="E820" s="93" t="str">
        <f>IFERROR(__xludf.DUMMYFUNCTION("""COMPUTED_VALUE"""),"Hurd")</f>
        <v>Hurd</v>
      </c>
      <c r="F820" s="93">
        <f>IFERROR(__xludf.DUMMYFUNCTION("""COMPUTED_VALUE"""),142.0)</f>
        <v>142</v>
      </c>
      <c r="G820" s="93" t="str">
        <f>IFERROR(__xludf.DUMMYFUNCTION("""COMPUTED_VALUE"""),"Irene Son - 1 box")</f>
        <v>Irene Son - 1 box</v>
      </c>
      <c r="H820" s="93"/>
      <c r="I820" s="93" t="str">
        <f>IFERROR(__xludf.DUMMYFUNCTION("""COMPUTED_VALUE"""),"1 box")</f>
        <v>1 box</v>
      </c>
      <c r="J820" s="93" t="str">
        <f>IFERROR(__xludf.DUMMYFUNCTION("""COMPUTED_VALUE"""),"1 box")</f>
        <v>1 box</v>
      </c>
      <c r="K820" s="93" t="str">
        <f>IFERROR(__xludf.DUMMYFUNCTION("""COMPUTED_VALUE"""),"Complete")</f>
        <v>Complete</v>
      </c>
      <c r="L820" s="93" t="str">
        <f>IFERROR(__xludf.DUMMYFUNCTION("""COMPUTED_VALUE"""),"one single box")</f>
        <v>one single box</v>
      </c>
      <c r="M820" s="96">
        <f>IFERROR(__xludf.DUMMYFUNCTION("""COMPUTED_VALUE"""),46148.0)</f>
        <v>46148</v>
      </c>
      <c r="N820" s="93"/>
      <c r="O820" s="93"/>
      <c r="P820" s="93"/>
      <c r="Q820" s="93"/>
      <c r="R820" s="93"/>
      <c r="S820" s="93" t="str">
        <f>IFERROR(__xludf.DUMMYFUNCTION("""COMPUTED_VALUE"""),"Dispatch_Images/SPecOPs4.Photos.005353.jpg")</f>
        <v>Dispatch_Images/SPecOPs4.Photos.005353.jpg</v>
      </c>
      <c r="T820" s="95">
        <f>IFERROR(__xludf.DUMMYFUNCTION("""COMPUTED_VALUE"""),46148.83100694444)</f>
        <v>46148.83101</v>
      </c>
      <c r="U820" s="93"/>
      <c r="V820" s="93"/>
      <c r="W820" s="93"/>
      <c r="X820" s="93"/>
      <c r="Y820" s="93"/>
      <c r="Z820" s="93"/>
    </row>
    <row r="821">
      <c r="A821" s="93" t="str">
        <f>IFERROR(__xludf.DUMMYFUNCTION("""COMPUTED_VALUE"""),"KIT-#17396")</f>
        <v>KIT-#17396</v>
      </c>
      <c r="B821" s="94">
        <f>IFERROR(__xludf.DUMMYFUNCTION("""COMPUTED_VALUE"""),46151.0)</f>
        <v>46151</v>
      </c>
      <c r="C821" s="93" t="str">
        <f>IFERROR(__xludf.DUMMYFUNCTION("""COMPUTED_VALUE"""),"Kit Delivery")</f>
        <v>Kit Delivery</v>
      </c>
      <c r="D821" s="93">
        <f>IFERROR(__xludf.DUMMYFUNCTION("""COMPUTED_VALUE"""),3.0)</f>
        <v>3</v>
      </c>
      <c r="E821" s="93" t="str">
        <f>IFERROR(__xludf.DUMMYFUNCTION("""COMPUTED_VALUE"""),"Village House")</f>
        <v>Village House</v>
      </c>
      <c r="F821" s="93" t="str">
        <f>IFERROR(__xludf.DUMMYFUNCTION("""COMPUTED_VALUE"""),"Village - 2132 - a")</f>
        <v>Village - 2132 - a</v>
      </c>
      <c r="G821" s="93" t="str">
        <f>IFERROR(__xludf.DUMMYFUNCTION("""COMPUTED_VALUE"""),"Hugo Placer")</f>
        <v>Hugo Placer</v>
      </c>
      <c r="H821" s="93">
        <f>IFERROR(__xludf.DUMMYFUNCTION("""COMPUTED_VALUE"""),4.073388172E9)</f>
        <v>4073388172</v>
      </c>
      <c r="I821" s="93" t="str">
        <f>IFERROR(__xludf.DUMMYFUNCTION("""COMPUTED_VALUE"""),"10AM-12PM")</f>
        <v>10AM-12PM</v>
      </c>
      <c r="J821" s="93">
        <f>IFERROR(__xludf.DUMMYFUNCTION("""COMPUTED_VALUE"""),2.0)</f>
        <v>2</v>
      </c>
      <c r="K821" s="93" t="str">
        <f>IFERROR(__xludf.DUMMYFUNCTION("""COMPUTED_VALUE"""),"Complete")</f>
        <v>Complete</v>
      </c>
      <c r="L821" s="93"/>
      <c r="M821" s="94">
        <f>IFERROR(__xludf.DUMMYFUNCTION("""COMPUTED_VALUE"""),46130.46835648148)</f>
        <v>46130.46836</v>
      </c>
      <c r="N821" s="93">
        <f>IFERROR(__xludf.DUMMYFUNCTION("""COMPUTED_VALUE"""),262.0)</f>
        <v>262</v>
      </c>
      <c r="O821" s="93"/>
      <c r="P821" s="93" t="str">
        <f>IFERROR(__xludf.DUMMYFUNCTION("""COMPUTED_VALUE"""),"Kit Delivery")</f>
        <v>Kit Delivery</v>
      </c>
      <c r="Q821" s="93"/>
      <c r="R821" s="93"/>
      <c r="S821" s="93" t="str">
        <f>IFERROR(__xludf.DUMMYFUNCTION("""COMPUTED_VALUE"""),"Dispatch_Images/KIT--17396.Photos.161422.jpg")</f>
        <v>Dispatch_Images/KIT--17396.Photos.161422.jpg</v>
      </c>
      <c r="T821" s="95">
        <f>IFERROR(__xludf.DUMMYFUNCTION("""COMPUTED_VALUE"""),46130.474340277775)</f>
        <v>46130.47434</v>
      </c>
      <c r="U821" s="93"/>
      <c r="V821" s="93"/>
      <c r="W821" s="93"/>
      <c r="X821" s="93"/>
      <c r="Y821" s="93"/>
      <c r="Z821" s="93"/>
    </row>
    <row r="822">
      <c r="A822" s="93" t="str">
        <f>IFERROR(__xludf.DUMMYFUNCTION("""COMPUTED_VALUE"""),"KIT-#17626")</f>
        <v>KIT-#17626</v>
      </c>
      <c r="B822" s="94">
        <f>IFERROR(__xludf.DUMMYFUNCTION("""COMPUTED_VALUE"""),46151.0)</f>
        <v>46151</v>
      </c>
      <c r="C822" s="93" t="str">
        <f>IFERROR(__xludf.DUMMYFUNCTION("""COMPUTED_VALUE"""),"Kit Delivery")</f>
        <v>Kit Delivery</v>
      </c>
      <c r="D822" s="93">
        <f>IFERROR(__xludf.DUMMYFUNCTION("""COMPUTED_VALUE"""),2.0)</f>
        <v>2</v>
      </c>
      <c r="E822" s="93" t="str">
        <f>IFERROR(__xludf.DUMMYFUNCTION("""COMPUTED_VALUE"""),"Greenway Apartments")</f>
        <v>Greenway Apartments</v>
      </c>
      <c r="F822" s="93" t="str">
        <f>IFERROR(__xludf.DUMMYFUNCTION("""COMPUTED_VALUE"""),"307-A")</f>
        <v>307-A</v>
      </c>
      <c r="G822" s="93" t="str">
        <f>IFERROR(__xludf.DUMMYFUNCTION("""COMPUTED_VALUE"""),"Emily Ellison")</f>
        <v>Emily Ellison</v>
      </c>
      <c r="H822" s="93">
        <f>IFERROR(__xludf.DUMMYFUNCTION("""COMPUTED_VALUE"""),7.203471708E9)</f>
        <v>7203471708</v>
      </c>
      <c r="I822" s="93" t="str">
        <f>IFERROR(__xludf.DUMMYFUNCTION("""COMPUTED_VALUE"""),"9AM-11AM")</f>
        <v>9AM-11AM</v>
      </c>
      <c r="J822" s="93">
        <f>IFERROR(__xludf.DUMMYFUNCTION("""COMPUTED_VALUE"""),1.0)</f>
        <v>1</v>
      </c>
      <c r="K822" s="93" t="str">
        <f>IFERROR(__xludf.DUMMYFUNCTION("""COMPUTED_VALUE"""),"Complete")</f>
        <v>Complete</v>
      </c>
      <c r="L822" s="93"/>
      <c r="M822" s="94">
        <f>IFERROR(__xludf.DUMMYFUNCTION("""COMPUTED_VALUE"""),46136.55829861111)</f>
        <v>46136.5583</v>
      </c>
      <c r="N822" s="93">
        <f>IFERROR(__xludf.DUMMYFUNCTION("""COMPUTED_VALUE"""),269.0)</f>
        <v>269</v>
      </c>
      <c r="O822" s="93" t="str">
        <f>IFERROR(__xludf.DUMMYFUNCTION("""COMPUTED_VALUE"""),"14895 E Security Way, Aurora, CO 80011")</f>
        <v>14895 E Security Way, Aurora, CO 80011</v>
      </c>
      <c r="P822" s="93" t="str">
        <f>IFERROR(__xludf.DUMMYFUNCTION("""COMPUTED_VALUE"""),"Kit Delivery")</f>
        <v>Kit Delivery</v>
      </c>
      <c r="Q822" s="93"/>
      <c r="R822" s="93"/>
      <c r="S822" s="93" t="str">
        <f>IFERROR(__xludf.DUMMYFUNCTION("""COMPUTED_VALUE"""),"Dispatch_Images/KIT--17626.Photos.182353.jpg")</f>
        <v>Dispatch_Images/KIT--17626.Photos.182353.jpg</v>
      </c>
      <c r="T822" s="95">
        <f>IFERROR(__xludf.DUMMYFUNCTION("""COMPUTED_VALUE"""),46136.56460648148)</f>
        <v>46136.56461</v>
      </c>
      <c r="U822" s="93"/>
      <c r="V822" s="93"/>
      <c r="W822" s="93"/>
      <c r="X822" s="93"/>
      <c r="Y822" s="93"/>
      <c r="Z822" s="93"/>
    </row>
    <row r="823">
      <c r="A823" s="93" t="str">
        <f>IFERROR(__xludf.DUMMYFUNCTION("""COMPUTED_VALUE"""),"KIT-#17619")</f>
        <v>KIT-#17619</v>
      </c>
      <c r="B823" s="94">
        <f>IFERROR(__xludf.DUMMYFUNCTION("""COMPUTED_VALUE"""),46151.0)</f>
        <v>46151</v>
      </c>
      <c r="C823" s="93" t="str">
        <f>IFERROR(__xludf.DUMMYFUNCTION("""COMPUTED_VALUE"""),"Kit Delivery")</f>
        <v>Kit Delivery</v>
      </c>
      <c r="D823" s="93">
        <f>IFERROR(__xludf.DUMMYFUNCTION("""COMPUTED_VALUE"""),2.0)</f>
        <v>2</v>
      </c>
      <c r="E823" s="93" t="str">
        <f>IFERROR(__xludf.DUMMYFUNCTION("""COMPUTED_VALUE"""),"Zetcher")</f>
        <v>Zetcher</v>
      </c>
      <c r="F823" s="93">
        <f>IFERROR(__xludf.DUMMYFUNCTION("""COMPUTED_VALUE"""),3154.0)</f>
        <v>3154</v>
      </c>
      <c r="G823" s="93" t="str">
        <f>IFERROR(__xludf.DUMMYFUNCTION("""COMPUTED_VALUE"""),"Nayeon Kim")</f>
        <v>Nayeon Kim</v>
      </c>
      <c r="H823" s="93">
        <f>IFERROR(__xludf.DUMMYFUNCTION("""COMPUTED_VALUE"""),6.503092445E9)</f>
        <v>6503092445</v>
      </c>
      <c r="I823" s="93" t="str">
        <f>IFERROR(__xludf.DUMMYFUNCTION("""COMPUTED_VALUE"""),"10AM-12PM")</f>
        <v>10AM-12PM</v>
      </c>
      <c r="J823" s="93">
        <f>IFERROR(__xludf.DUMMYFUNCTION("""COMPUTED_VALUE"""),1.0)</f>
        <v>1</v>
      </c>
      <c r="K823" s="93" t="str">
        <f>IFERROR(__xludf.DUMMYFUNCTION("""COMPUTED_VALUE"""),"Complete")</f>
        <v>Complete</v>
      </c>
      <c r="L823" s="93"/>
      <c r="M823" s="94">
        <f>IFERROR(__xludf.DUMMYFUNCTION("""COMPUTED_VALUE"""),46140.78184027778)</f>
        <v>46140.78184</v>
      </c>
      <c r="N823" s="93">
        <f>IFERROR(__xludf.DUMMYFUNCTION("""COMPUTED_VALUE"""),126.0)</f>
        <v>126</v>
      </c>
      <c r="O823" s="93"/>
      <c r="P823" s="93" t="str">
        <f>IFERROR(__xludf.DUMMYFUNCTION("""COMPUTED_VALUE"""),"Kit Delivery")</f>
        <v>Kit Delivery</v>
      </c>
      <c r="Q823" s="93"/>
      <c r="R823" s="93"/>
      <c r="S823" s="93" t="str">
        <f>IFERROR(__xludf.DUMMYFUNCTION("""COMPUTED_VALUE"""),"Dispatch_Images/KIT--17619.Photos.234548.jpg")</f>
        <v>Dispatch_Images/KIT--17619.Photos.234548.jpg</v>
      </c>
      <c r="T823" s="95">
        <f>IFERROR(__xludf.DUMMYFUNCTION("""COMPUTED_VALUE"""),46140.786840277775)</f>
        <v>46140.78684</v>
      </c>
      <c r="U823" s="93"/>
      <c r="V823" s="93"/>
      <c r="W823" s="93"/>
      <c r="X823" s="93"/>
      <c r="Y823" s="93"/>
      <c r="Z823" s="93"/>
    </row>
    <row r="824">
      <c r="A824" s="93" t="str">
        <f>IFERROR(__xludf.DUMMYFUNCTION("""COMPUTED_VALUE"""),"KIT-#17722")</f>
        <v>KIT-#17722</v>
      </c>
      <c r="B824" s="94">
        <f>IFERROR(__xludf.DUMMYFUNCTION("""COMPUTED_VALUE"""),46151.0)</f>
        <v>46151</v>
      </c>
      <c r="C824" s="93" t="str">
        <f>IFERROR(__xludf.DUMMYFUNCTION("""COMPUTED_VALUE"""),"Kit Delivery")</f>
        <v>Kit Delivery</v>
      </c>
      <c r="D824" s="93">
        <f>IFERROR(__xludf.DUMMYFUNCTION("""COMPUTED_VALUE"""),2.0)</f>
        <v>2</v>
      </c>
      <c r="E824" s="93" t="str">
        <f>IFERROR(__xludf.DUMMYFUNCTION("""COMPUTED_VALUE"""),"House 4")</f>
        <v>House 4</v>
      </c>
      <c r="F824" s="93">
        <f>IFERROR(__xludf.DUMMYFUNCTION("""COMPUTED_VALUE"""),206.0)</f>
        <v>206</v>
      </c>
      <c r="G824" s="93" t="str">
        <f>IFERROR(__xludf.DUMMYFUNCTION("""COMPUTED_VALUE"""),"Drew wendler")</f>
        <v>Drew wendler</v>
      </c>
      <c r="H824" s="93">
        <f>IFERROR(__xludf.DUMMYFUNCTION("""COMPUTED_VALUE"""),8.327211089E9)</f>
        <v>8327211089</v>
      </c>
      <c r="I824" s="93" t="str">
        <f>IFERROR(__xludf.DUMMYFUNCTION("""COMPUTED_VALUE"""),"9AM-11AM")</f>
        <v>9AM-11AM</v>
      </c>
      <c r="J824" s="93">
        <f>IFERROR(__xludf.DUMMYFUNCTION("""COMPUTED_VALUE"""),3.0)</f>
        <v>3</v>
      </c>
      <c r="K824" s="93" t="str">
        <f>IFERROR(__xludf.DUMMYFUNCTION("""COMPUTED_VALUE"""),"Complete")</f>
        <v>Complete</v>
      </c>
      <c r="L824" s="93"/>
      <c r="M824" s="94">
        <f>IFERROR(__xludf.DUMMYFUNCTION("""COMPUTED_VALUE"""),46140.833819444444)</f>
        <v>46140.83382</v>
      </c>
      <c r="N824" s="93">
        <f>IFERROR(__xludf.DUMMYFUNCTION("""COMPUTED_VALUE"""),193.0)</f>
        <v>193</v>
      </c>
      <c r="O824" s="93"/>
      <c r="P824" s="93" t="str">
        <f>IFERROR(__xludf.DUMMYFUNCTION("""COMPUTED_VALUE"""),"Kit Delivery")</f>
        <v>Kit Delivery</v>
      </c>
      <c r="Q824" s="93" t="str">
        <f>IFERROR(__xludf.DUMMYFUNCTION("""COMPUTED_VALUE"""),"You are also picking up his fridge from this semester")</f>
        <v>You are also picking up his fridge from this semester</v>
      </c>
      <c r="R824" s="93"/>
      <c r="S824" s="93" t="str">
        <f>IFERROR(__xludf.DUMMYFUNCTION("""COMPUTED_VALUE"""),"Dispatch_Images/KIT--17722.Photos.010038.jpg")</f>
        <v>Dispatch_Images/KIT--17722.Photos.010038.jpg</v>
      </c>
      <c r="T824" s="95">
        <f>IFERROR(__xludf.DUMMYFUNCTION("""COMPUTED_VALUE"""),46140.83545138889)</f>
        <v>46140.83545</v>
      </c>
      <c r="U824" s="93"/>
      <c r="V824" s="93"/>
      <c r="W824" s="93"/>
      <c r="X824" s="93"/>
      <c r="Y824" s="93"/>
      <c r="Z824" s="93"/>
    </row>
    <row r="825">
      <c r="A825" s="93" t="str">
        <f>IFERROR(__xludf.DUMMYFUNCTION("""COMPUTED_VALUE"""),"KIT-#17073")</f>
        <v>KIT-#17073</v>
      </c>
      <c r="B825" s="94">
        <f>IFERROR(__xludf.DUMMYFUNCTION("""COMPUTED_VALUE"""),46151.0)</f>
        <v>46151</v>
      </c>
      <c r="C825" s="93" t="str">
        <f>IFERROR(__xludf.DUMMYFUNCTION("""COMPUTED_VALUE"""),"Kit Delivery")</f>
        <v>Kit Delivery</v>
      </c>
      <c r="D825" s="93">
        <f>IFERROR(__xludf.DUMMYFUNCTION("""COMPUTED_VALUE"""),2.0)</f>
        <v>2</v>
      </c>
      <c r="E825" s="93" t="str">
        <f>IFERROR(__xludf.DUMMYFUNCTION("""COMPUTED_VALUE"""),"Lopata")</f>
        <v>Lopata</v>
      </c>
      <c r="F825" s="93">
        <f>IFERROR(__xludf.DUMMYFUNCTION("""COMPUTED_VALUE"""),3030.0)</f>
        <v>3030</v>
      </c>
      <c r="G825" s="93" t="str">
        <f>IFERROR(__xludf.DUMMYFUNCTION("""COMPUTED_VALUE"""),"Georgia Loigman")</f>
        <v>Georgia Loigman</v>
      </c>
      <c r="H825" s="93">
        <f>IFERROR(__xludf.DUMMYFUNCTION("""COMPUTED_VALUE"""),9.175334035E9)</f>
        <v>9175334035</v>
      </c>
      <c r="I825" s="93" t="str">
        <f>IFERROR(__xludf.DUMMYFUNCTION("""COMPUTED_VALUE"""),"9AM-11AM")</f>
        <v>9AM-11AM</v>
      </c>
      <c r="J825" s="93">
        <f>IFERROR(__xludf.DUMMYFUNCTION("""COMPUTED_VALUE"""),1.0)</f>
        <v>1</v>
      </c>
      <c r="K825" s="93" t="str">
        <f>IFERROR(__xludf.DUMMYFUNCTION("""COMPUTED_VALUE"""),"Complete")</f>
        <v>Complete</v>
      </c>
      <c r="L825" s="93"/>
      <c r="M825" s="94">
        <f>IFERROR(__xludf.DUMMYFUNCTION("""COMPUTED_VALUE"""),46142.86584490741)</f>
        <v>46142.86584</v>
      </c>
      <c r="N825" s="93">
        <f>IFERROR(__xludf.DUMMYFUNCTION("""COMPUTED_VALUE"""),122.0)</f>
        <v>122</v>
      </c>
      <c r="O825" s="93"/>
      <c r="P825" s="93" t="str">
        <f>IFERROR(__xludf.DUMMYFUNCTION("""COMPUTED_VALUE"""),"Kit Delivery")</f>
        <v>Kit Delivery</v>
      </c>
      <c r="Q825" s="93"/>
      <c r="R825" s="93"/>
      <c r="S825" s="93" t="str">
        <f>IFERROR(__xludf.DUMMYFUNCTION("""COMPUTED_VALUE"""),"Dispatch_Images/KIT--17073.Photos.014646.jpg")</f>
        <v>Dispatch_Images/KIT--17073.Photos.014646.jpg</v>
      </c>
      <c r="T825" s="95">
        <f>IFERROR(__xludf.DUMMYFUNCTION("""COMPUTED_VALUE"""),46142.872662037036)</f>
        <v>46142.87266</v>
      </c>
      <c r="U825" s="93"/>
      <c r="V825" s="93"/>
      <c r="W825" s="93"/>
      <c r="X825" s="93"/>
      <c r="Y825" s="93"/>
      <c r="Z825" s="93"/>
    </row>
    <row r="826">
      <c r="A826" s="93" t="str">
        <f>IFERROR(__xludf.DUMMYFUNCTION("""COMPUTED_VALUE"""),"KIT-#17086")</f>
        <v>KIT-#17086</v>
      </c>
      <c r="B826" s="94">
        <f>IFERROR(__xludf.DUMMYFUNCTION("""COMPUTED_VALUE"""),46151.0)</f>
        <v>46151</v>
      </c>
      <c r="C826" s="93" t="str">
        <f>IFERROR(__xludf.DUMMYFUNCTION("""COMPUTED_VALUE"""),"Kit Delivery")</f>
        <v>Kit Delivery</v>
      </c>
      <c r="D826" s="93">
        <f>IFERROR(__xludf.DUMMYFUNCTION("""COMPUTED_VALUE"""),2.0)</f>
        <v>2</v>
      </c>
      <c r="E826" s="93" t="str">
        <f>IFERROR(__xludf.DUMMYFUNCTION("""COMPUTED_VALUE"""),"Dauten")</f>
        <v>Dauten</v>
      </c>
      <c r="F826" s="93">
        <f>IFERROR(__xludf.DUMMYFUNCTION("""COMPUTED_VALUE"""),431.0)</f>
        <v>431</v>
      </c>
      <c r="G826" s="93" t="str">
        <f>IFERROR(__xludf.DUMMYFUNCTION("""COMPUTED_VALUE"""),"Krish Batra")</f>
        <v>Krish Batra</v>
      </c>
      <c r="H826" s="93"/>
      <c r="I826" s="93" t="str">
        <f>IFERROR(__xludf.DUMMYFUNCTION("""COMPUTED_VALUE"""),"11AM-1PM")</f>
        <v>11AM-1PM</v>
      </c>
      <c r="J826" s="93">
        <f>IFERROR(__xludf.DUMMYFUNCTION("""COMPUTED_VALUE"""),1.0)</f>
        <v>1</v>
      </c>
      <c r="K826" s="93" t="str">
        <f>IFERROR(__xludf.DUMMYFUNCTION("""COMPUTED_VALUE"""),"Complete")</f>
        <v>Complete</v>
      </c>
      <c r="L826" s="93"/>
      <c r="M826" s="94">
        <f>IFERROR(__xludf.DUMMYFUNCTION("""COMPUTED_VALUE"""),46145.85778935185)</f>
        <v>46145.85779</v>
      </c>
      <c r="N826" s="93">
        <f>IFERROR(__xludf.DUMMYFUNCTION("""COMPUTED_VALUE"""),15.0)</f>
        <v>15</v>
      </c>
      <c r="O826" s="93"/>
      <c r="P826" s="93" t="str">
        <f>IFERROR(__xludf.DUMMYFUNCTION("""COMPUTED_VALUE"""),"Kit Delivery")</f>
        <v>Kit Delivery</v>
      </c>
      <c r="Q826" s="93"/>
      <c r="R826" s="93"/>
      <c r="S826" s="93" t="str">
        <f>IFERROR(__xludf.DUMMYFUNCTION("""COMPUTED_VALUE"""),"Dispatch_Images/KIT--17086.Photos.013509.jpg")</f>
        <v>Dispatch_Images/KIT--17086.Photos.013509.jpg</v>
      </c>
      <c r="T826" s="95">
        <f>IFERROR(__xludf.DUMMYFUNCTION("""COMPUTED_VALUE"""),46145.858761574076)</f>
        <v>46145.85876</v>
      </c>
      <c r="U826" s="93"/>
      <c r="V826" s="93"/>
      <c r="W826" s="93"/>
      <c r="X826" s="93"/>
      <c r="Y826" s="93"/>
      <c r="Z826" s="93"/>
    </row>
    <row r="827">
      <c r="A827" s="93" t="str">
        <f>IFERROR(__xludf.DUMMYFUNCTION("""COMPUTED_VALUE"""),"KIT-#18031")</f>
        <v>KIT-#18031</v>
      </c>
      <c r="B827" s="94">
        <f>IFERROR(__xludf.DUMMYFUNCTION("""COMPUTED_VALUE"""),46151.0)</f>
        <v>46151</v>
      </c>
      <c r="C827" s="93" t="str">
        <f>IFERROR(__xludf.DUMMYFUNCTION("""COMPUTED_VALUE"""),"Kit Delivery")</f>
        <v>Kit Delivery</v>
      </c>
      <c r="D827" s="93">
        <f>IFERROR(__xludf.DUMMYFUNCTION("""COMPUTED_VALUE"""),2.0)</f>
        <v>2</v>
      </c>
      <c r="E827" s="93" t="str">
        <f>IFERROR(__xludf.DUMMYFUNCTION("""COMPUTED_VALUE"""),"Zetcher")</f>
        <v>Zetcher</v>
      </c>
      <c r="F827" s="93">
        <f>IFERROR(__xludf.DUMMYFUNCTION("""COMPUTED_VALUE"""),4101.0)</f>
        <v>4101</v>
      </c>
      <c r="G827" s="93" t="str">
        <f>IFERROR(__xludf.DUMMYFUNCTION("""COMPUTED_VALUE"""),"Jordan Lari")</f>
        <v>Jordan Lari</v>
      </c>
      <c r="H827" s="93">
        <f>IFERROR(__xludf.DUMMYFUNCTION("""COMPUTED_VALUE"""),3.108934482E9)</f>
        <v>3108934482</v>
      </c>
      <c r="I827" s="93" t="str">
        <f>IFERROR(__xludf.DUMMYFUNCTION("""COMPUTED_VALUE"""),"11AM-1PM")</f>
        <v>11AM-1PM</v>
      </c>
      <c r="J827" s="93">
        <f>IFERROR(__xludf.DUMMYFUNCTION("""COMPUTED_VALUE"""),1.0)</f>
        <v>1</v>
      </c>
      <c r="K827" s="93" t="str">
        <f>IFERROR(__xludf.DUMMYFUNCTION("""COMPUTED_VALUE"""),"Complete")</f>
        <v>Complete</v>
      </c>
      <c r="L827" s="93"/>
      <c r="M827" s="94">
        <f>IFERROR(__xludf.DUMMYFUNCTION("""COMPUTED_VALUE"""),46145.889826388884)</f>
        <v>46145.88983</v>
      </c>
      <c r="N827" s="93">
        <f>IFERROR(__xludf.DUMMYFUNCTION("""COMPUTED_VALUE"""),25.0)</f>
        <v>25</v>
      </c>
      <c r="O827" s="93"/>
      <c r="P827" s="93" t="str">
        <f>IFERROR(__xludf.DUMMYFUNCTION("""COMPUTED_VALUE"""),"Kit Delivery")</f>
        <v>Kit Delivery</v>
      </c>
      <c r="Q827" s="93"/>
      <c r="R827" s="93"/>
      <c r="S827" s="93" t="str">
        <f>IFERROR(__xludf.DUMMYFUNCTION("""COMPUTED_VALUE"""),"Dispatch_Images/KIT--18031.Photos.022113.jpg")</f>
        <v>Dispatch_Images/KIT--18031.Photos.022113.jpg</v>
      </c>
      <c r="T827" s="95">
        <f>IFERROR(__xludf.DUMMYFUNCTION("""COMPUTED_VALUE"""),46145.89349537037)</f>
        <v>46145.8935</v>
      </c>
      <c r="U827" s="93"/>
      <c r="V827" s="93"/>
      <c r="W827" s="93"/>
      <c r="X827" s="93"/>
      <c r="Y827" s="93"/>
      <c r="Z827" s="93"/>
    </row>
    <row r="828">
      <c r="A828" s="93" t="str">
        <f>IFERROR(__xludf.DUMMYFUNCTION("""COMPUTED_VALUE"""),"KIT-#17986")</f>
        <v>KIT-#17986</v>
      </c>
      <c r="B828" s="94">
        <f>IFERROR(__xludf.DUMMYFUNCTION("""COMPUTED_VALUE"""),46151.0)</f>
        <v>46151</v>
      </c>
      <c r="C828" s="93" t="str">
        <f>IFERROR(__xludf.DUMMYFUNCTION("""COMPUTED_VALUE"""),"Kit Delivery")</f>
        <v>Kit Delivery</v>
      </c>
      <c r="D828" s="93">
        <f>IFERROR(__xludf.DUMMYFUNCTION("""COMPUTED_VALUE"""),2.0)</f>
        <v>2</v>
      </c>
      <c r="E828" s="93" t="str">
        <f>IFERROR(__xludf.DUMMYFUNCTION("""COMPUTED_VALUE"""),"Off-Campus")</f>
        <v>Off-Campus</v>
      </c>
      <c r="F828" s="93"/>
      <c r="G828" s="93" t="str">
        <f>IFERROR(__xludf.DUMMYFUNCTION("""COMPUTED_VALUE"""),"Max King")</f>
        <v>Max King</v>
      </c>
      <c r="H828" s="93">
        <f>IFERROR(__xludf.DUMMYFUNCTION("""COMPUTED_VALUE"""),8.086357064E9)</f>
        <v>8086357064</v>
      </c>
      <c r="I828" s="93" t="str">
        <f>IFERROR(__xludf.DUMMYFUNCTION("""COMPUTED_VALUE"""),"3PM-5PM")</f>
        <v>3PM-5PM</v>
      </c>
      <c r="J828" s="93">
        <f>IFERROR(__xludf.DUMMYFUNCTION("""COMPUTED_VALUE"""),1.0)</f>
        <v>1</v>
      </c>
      <c r="K828" s="93" t="str">
        <f>IFERROR(__xludf.DUMMYFUNCTION("""COMPUTED_VALUE"""),"Complete")</f>
        <v>Complete</v>
      </c>
      <c r="L828" s="93"/>
      <c r="M828" s="94">
        <f>IFERROR(__xludf.DUMMYFUNCTION("""COMPUTED_VALUE"""),46146.66002314815)</f>
        <v>46146.66002</v>
      </c>
      <c r="N828" s="93">
        <f>IFERROR(__xludf.DUMMYFUNCTION("""COMPUTED_VALUE"""),14.0)</f>
        <v>14</v>
      </c>
      <c r="O828" s="93" t="str">
        <f>IFERROR(__xludf.DUMMYFUNCTION("""COMPUTED_VALUE"""),"736 Westgate Ave., Unit 3S")</f>
        <v>736 Westgate Ave., Unit 3S</v>
      </c>
      <c r="P828" s="93" t="str">
        <f>IFERROR(__xludf.DUMMYFUNCTION("""COMPUTED_VALUE"""),"Kit Delivery")</f>
        <v>Kit Delivery</v>
      </c>
      <c r="Q828" s="93"/>
      <c r="R828" s="93"/>
      <c r="S828" s="93" t="str">
        <f>IFERROR(__xludf.DUMMYFUNCTION("""COMPUTED_VALUE"""),"Dispatch_Images/KIT--17986.Photos.205021.jpg")</f>
        <v>Dispatch_Images/KIT--17986.Photos.205021.jpg</v>
      </c>
      <c r="T828" s="95">
        <f>IFERROR(__xludf.DUMMYFUNCTION("""COMPUTED_VALUE"""),46146.6643287037)</f>
        <v>46146.66433</v>
      </c>
      <c r="U828" s="93"/>
      <c r="V828" s="93"/>
      <c r="W828" s="93"/>
      <c r="X828" s="93"/>
      <c r="Y828" s="93"/>
      <c r="Z828" s="93"/>
    </row>
    <row r="829">
      <c r="A829" s="93" t="str">
        <f>IFERROR(__xludf.DUMMYFUNCTION("""COMPUTED_VALUE"""),"KIT-#18195")</f>
        <v>KIT-#18195</v>
      </c>
      <c r="B829" s="94">
        <f>IFERROR(__xludf.DUMMYFUNCTION("""COMPUTED_VALUE"""),46151.0)</f>
        <v>46151</v>
      </c>
      <c r="C829" s="93" t="str">
        <f>IFERROR(__xludf.DUMMYFUNCTION("""COMPUTED_VALUE"""),"Kit Delivery")</f>
        <v>Kit Delivery</v>
      </c>
      <c r="D829" s="93">
        <f>IFERROR(__xludf.DUMMYFUNCTION("""COMPUTED_VALUE"""),2.0)</f>
        <v>2</v>
      </c>
      <c r="E829" s="93" t="str">
        <f>IFERROR(__xludf.DUMMYFUNCTION("""COMPUTED_VALUE"""),"Off-Campus")</f>
        <v>Off-Campus</v>
      </c>
      <c r="F829" s="93"/>
      <c r="G829" s="93" t="str">
        <f>IFERROR(__xludf.DUMMYFUNCTION("""COMPUTED_VALUE"""),"Amy Hwang")</f>
        <v>Amy Hwang</v>
      </c>
      <c r="H829" s="93">
        <f>IFERROR(__xludf.DUMMYFUNCTION("""COMPUTED_VALUE"""),9.498120605E9)</f>
        <v>9498120605</v>
      </c>
      <c r="I829" s="93" t="str">
        <f>IFERROR(__xludf.DUMMYFUNCTION("""COMPUTED_VALUE"""),"9AM-11AM")</f>
        <v>9AM-11AM</v>
      </c>
      <c r="J829" s="93">
        <f>IFERROR(__xludf.DUMMYFUNCTION("""COMPUTED_VALUE"""),1.0)</f>
        <v>1</v>
      </c>
      <c r="K829" s="93" t="str">
        <f>IFERROR(__xludf.DUMMYFUNCTION("""COMPUTED_VALUE"""),"Complete")</f>
        <v>Complete</v>
      </c>
      <c r="L829" s="93"/>
      <c r="M829" s="94">
        <f>IFERROR(__xludf.DUMMYFUNCTION("""COMPUTED_VALUE"""),46146.67173611111)</f>
        <v>46146.67174</v>
      </c>
      <c r="N829" s="93">
        <f>IFERROR(__xludf.DUMMYFUNCTION("""COMPUTED_VALUE"""),17.0)</f>
        <v>17</v>
      </c>
      <c r="O829" s="93" t="str">
        <f>IFERROR(__xludf.DUMMYFUNCTION("""COMPUTED_VALUE"""),"6031-2 Westminster")</f>
        <v>6031-2 Westminster</v>
      </c>
      <c r="P829" s="93" t="str">
        <f>IFERROR(__xludf.DUMMYFUNCTION("""COMPUTED_VALUE"""),"Kit Delivery")</f>
        <v>Kit Delivery</v>
      </c>
      <c r="Q829" s="93"/>
      <c r="R829" s="93"/>
      <c r="S829" s="93" t="str">
        <f>IFERROR(__xludf.DUMMYFUNCTION("""COMPUTED_VALUE"""),"Dispatch_Images/KIT--18195.Photos.210714.jpg")</f>
        <v>Dispatch_Images/KIT--18195.Photos.210714.jpg</v>
      </c>
      <c r="T829" s="95">
        <f>IFERROR(__xludf.DUMMYFUNCTION("""COMPUTED_VALUE"""),46146.67822916667)</f>
        <v>46146.67823</v>
      </c>
      <c r="U829" s="93"/>
      <c r="V829" s="93"/>
      <c r="W829" s="93"/>
      <c r="X829" s="93"/>
      <c r="Y829" s="93"/>
      <c r="Z829" s="93"/>
    </row>
    <row r="830">
      <c r="A830" s="93" t="str">
        <f>IFERROR(__xludf.DUMMYFUNCTION("""COMPUTED_VALUE"""),"KIT-#18333")</f>
        <v>KIT-#18333</v>
      </c>
      <c r="B830" s="94">
        <f>IFERROR(__xludf.DUMMYFUNCTION("""COMPUTED_VALUE"""),46151.0)</f>
        <v>46151</v>
      </c>
      <c r="C830" s="93" t="str">
        <f>IFERROR(__xludf.DUMMYFUNCTION("""COMPUTED_VALUE"""),"Kit Delivery")</f>
        <v>Kit Delivery</v>
      </c>
      <c r="D830" s="93">
        <f>IFERROR(__xludf.DUMMYFUNCTION("""COMPUTED_VALUE"""),2.0)</f>
        <v>2</v>
      </c>
      <c r="E830" s="93" t="str">
        <f>IFERROR(__xludf.DUMMYFUNCTION("""COMPUTED_VALUE"""),"Mudd")</f>
        <v>Mudd</v>
      </c>
      <c r="F830" s="93">
        <f>IFERROR(__xludf.DUMMYFUNCTION("""COMPUTED_VALUE"""),212.0)</f>
        <v>212</v>
      </c>
      <c r="G830" s="93" t="str">
        <f>IFERROR(__xludf.DUMMYFUNCTION("""COMPUTED_VALUE"""),"Ishita Aggarwal")</f>
        <v>Ishita Aggarwal</v>
      </c>
      <c r="H830" s="93">
        <f>IFERROR(__xludf.DUMMYFUNCTION("""COMPUTED_VALUE"""),9.255968382E9)</f>
        <v>9255968382</v>
      </c>
      <c r="I830" s="93" t="str">
        <f>IFERROR(__xludf.DUMMYFUNCTION("""COMPUTED_VALUE"""),"9AM-11AM")</f>
        <v>9AM-11AM</v>
      </c>
      <c r="J830" s="93">
        <f>IFERROR(__xludf.DUMMYFUNCTION("""COMPUTED_VALUE"""),1.0)</f>
        <v>1</v>
      </c>
      <c r="K830" s="93" t="str">
        <f>IFERROR(__xludf.DUMMYFUNCTION("""COMPUTED_VALUE"""),"Complete")</f>
        <v>Complete</v>
      </c>
      <c r="L830" s="93" t="str">
        <f>IFERROR(__xludf.DUMMYFUNCTION("""COMPUTED_VALUE"""),"avery delivered")</f>
        <v>avery delivered</v>
      </c>
      <c r="M830" s="93"/>
      <c r="N830" s="93">
        <f>IFERROR(__xludf.DUMMYFUNCTION("""COMPUTED_VALUE"""),2.0)</f>
        <v>2</v>
      </c>
      <c r="O830" s="93"/>
      <c r="P830" s="93" t="str">
        <f>IFERROR(__xludf.DUMMYFUNCTION("""COMPUTED_VALUE"""),"Kit Delivery")</f>
        <v>Kit Delivery</v>
      </c>
      <c r="Q830" s="93"/>
      <c r="R830" s="93"/>
      <c r="S830" s="93"/>
      <c r="T830" s="95">
        <f>IFERROR(__xludf.DUMMYFUNCTION("""COMPUTED_VALUE"""),46149.58793981482)</f>
        <v>46149.58794</v>
      </c>
      <c r="U830" s="93"/>
      <c r="V830" s="93"/>
      <c r="W830" s="93"/>
      <c r="X830" s="93"/>
      <c r="Y830" s="93"/>
      <c r="Z830" s="93"/>
    </row>
    <row r="831">
      <c r="A831" s="93" t="str">
        <f>IFERROR(__xludf.DUMMYFUNCTION("""COMPUTED_VALUE"""),"SPECOPS")</f>
        <v>SPECOPS</v>
      </c>
      <c r="B831" s="94">
        <f>IFERROR(__xludf.DUMMYFUNCTION("""COMPUTED_VALUE"""),46151.0)</f>
        <v>46151</v>
      </c>
      <c r="C831" s="93" t="str">
        <f>IFERROR(__xludf.DUMMYFUNCTION("""COMPUTED_VALUE"""),"Kit Delivery")</f>
        <v>Kit Delivery</v>
      </c>
      <c r="D831" s="93">
        <f>IFERROR(__xludf.DUMMYFUNCTION("""COMPUTED_VALUE"""),2.0)</f>
        <v>2</v>
      </c>
      <c r="E831" s="93" t="str">
        <f>IFERROR(__xludf.DUMMYFUNCTION("""COMPUTED_VALUE"""),"Off-Campus")</f>
        <v>Off-Campus</v>
      </c>
      <c r="F831" s="93"/>
      <c r="G831" s="93" t="str">
        <f>IFERROR(__xludf.DUMMYFUNCTION("""COMPUTED_VALUE"""),"Amy Hwang")</f>
        <v>Amy Hwang</v>
      </c>
      <c r="H831" s="93">
        <f>IFERROR(__xludf.DUMMYFUNCTION("""COMPUTED_VALUE"""),9.498120605E9)</f>
        <v>9498120605</v>
      </c>
      <c r="I831" s="93" t="str">
        <f>IFERROR(__xludf.DUMMYFUNCTION("""COMPUTED_VALUE"""),"09:00 AM to 11:00 AM")</f>
        <v>09:00 AM to 11:00 AM</v>
      </c>
      <c r="J831" s="93">
        <f>IFERROR(__xludf.DUMMYFUNCTION("""COMPUTED_VALUE"""),1.0)</f>
        <v>1</v>
      </c>
      <c r="K831" s="93" t="str">
        <f>IFERROR(__xludf.DUMMYFUNCTION("""COMPUTED_VALUE"""),"Complete")</f>
        <v>Complete</v>
      </c>
      <c r="L831" s="93"/>
      <c r="M831" s="94">
        <f>IFERROR(__xludf.DUMMYFUNCTION("""COMPUTED_VALUE"""),46148.0)</f>
        <v>46148</v>
      </c>
      <c r="N831" s="93">
        <f>IFERROR(__xludf.DUMMYFUNCTION("""COMPUTED_VALUE"""),752.0)</f>
        <v>752</v>
      </c>
      <c r="O831" s="93" t="str">
        <f>IFERROR(__xludf.DUMMYFUNCTION("""COMPUTED_VALUE"""),"6031-2 Westminster")</f>
        <v>6031-2 Westminster</v>
      </c>
      <c r="P831" s="93" t="str">
        <f>IFERROR(__xludf.DUMMYFUNCTION("""COMPUTED_VALUE"""),"Kit Delivery")</f>
        <v>Kit Delivery</v>
      </c>
      <c r="Q831" s="93"/>
      <c r="R831" s="93"/>
      <c r="S831" s="93" t="str">
        <f>IFERROR(__xludf.DUMMYFUNCTION("""COMPUTED_VALUE"""),"Dispatch_Images/SPECOPS.Photos.165221.jpg")</f>
        <v>Dispatch_Images/SPECOPS.Photos.165221.jpg</v>
      </c>
      <c r="T831" s="95">
        <f>IFERROR(__xludf.DUMMYFUNCTION("""COMPUTED_VALUE"""),46148.497662037036)</f>
        <v>46148.49766</v>
      </c>
      <c r="U831" s="93"/>
      <c r="V831" s="93"/>
      <c r="W831" s="93"/>
      <c r="X831" s="93"/>
      <c r="Y831" s="93"/>
      <c r="Z831" s="93"/>
    </row>
    <row r="832">
      <c r="A832" s="93" t="str">
        <f>IFERROR(__xludf.DUMMYFUNCTION("""COMPUTED_VALUE"""),"KIT-#18349")</f>
        <v>KIT-#18349</v>
      </c>
      <c r="B832" s="94">
        <f>IFERROR(__xludf.DUMMYFUNCTION("""COMPUTED_VALUE"""),46151.0)</f>
        <v>46151</v>
      </c>
      <c r="C832" s="93" t="str">
        <f>IFERROR(__xludf.DUMMYFUNCTION("""COMPUTED_VALUE"""),"Kit Delivery")</f>
        <v>Kit Delivery</v>
      </c>
      <c r="D832" s="93">
        <f>IFERROR(__xludf.DUMMYFUNCTION("""COMPUTED_VALUE"""),1.0)</f>
        <v>1</v>
      </c>
      <c r="E832" s="93" t="str">
        <f>IFERROR(__xludf.DUMMYFUNCTION("""COMPUTED_VALUE"""),"Koenig")</f>
        <v>Koenig</v>
      </c>
      <c r="F832" s="93">
        <f>IFERROR(__xludf.DUMMYFUNCTION("""COMPUTED_VALUE"""),1107.0)</f>
        <v>1107</v>
      </c>
      <c r="G832" s="93" t="str">
        <f>IFERROR(__xludf.DUMMYFUNCTION("""COMPUTED_VALUE"""),"Olivia Lynas")</f>
        <v>Olivia Lynas</v>
      </c>
      <c r="H832" s="93">
        <f>IFERROR(__xludf.DUMMYFUNCTION("""COMPUTED_VALUE"""),3.108498258E9)</f>
        <v>3108498258</v>
      </c>
      <c r="I832" s="93" t="str">
        <f>IFERROR(__xludf.DUMMYFUNCTION("""COMPUTED_VALUE"""),"9AM-11AM")</f>
        <v>9AM-11AM</v>
      </c>
      <c r="J832" s="93">
        <f>IFERROR(__xludf.DUMMYFUNCTION("""COMPUTED_VALUE"""),0.0)</f>
        <v>0</v>
      </c>
      <c r="K832" s="93" t="str">
        <f>IFERROR(__xludf.DUMMYFUNCTION("""COMPUTED_VALUE"""),"Complete")</f>
        <v>Complete</v>
      </c>
      <c r="L832" s="93"/>
      <c r="M832" s="93"/>
      <c r="N832" s="93">
        <f>IFERROR(__xludf.DUMMYFUNCTION("""COMPUTED_VALUE"""),3.0)</f>
        <v>3</v>
      </c>
      <c r="O832" s="93" t="str">
        <f>IFERROR(__xludf.DUMMYFUNCTION("""COMPUTED_VALUE"""),"3064 Manning Avenue, Los Angeles CA 90064")</f>
        <v>3064 Manning Avenue, Los Angeles CA 90064</v>
      </c>
      <c r="P832" s="93" t="str">
        <f>IFERROR(__xludf.DUMMYFUNCTION("""COMPUTED_VALUE"""),"Kit Delivery")</f>
        <v>Kit Delivery</v>
      </c>
      <c r="Q832" s="93" t="str">
        <f>IFERROR(__xludf.DUMMYFUNCTION("""COMPUTED_VALUE"""),"I have already registered for storage and appliance pickup/return.  Pickup can be anytime from May 7 12pm and later.")</f>
        <v>I have already registered for storage and appliance pickup/return.  Pickup can be anytime from May 7 12pm and later.</v>
      </c>
      <c r="R832" s="93"/>
      <c r="S832" s="93"/>
      <c r="T832" s="95">
        <f>IFERROR(__xludf.DUMMYFUNCTION("""COMPUTED_VALUE"""),46151.046273148146)</f>
        <v>46151.04627</v>
      </c>
      <c r="U832" s="93"/>
      <c r="V832" s="93"/>
      <c r="W832" s="93"/>
      <c r="X832" s="93"/>
      <c r="Y832" s="93"/>
      <c r="Z832" s="93"/>
    </row>
    <row r="833">
      <c r="A833" s="93" t="str">
        <f>IFERROR(__xludf.DUMMYFUNCTION("""COMPUTED_VALUE"""),"KIT-#18337")</f>
        <v>KIT-#18337</v>
      </c>
      <c r="B833" s="94">
        <f>IFERROR(__xludf.DUMMYFUNCTION("""COMPUTED_VALUE"""),46151.0)</f>
        <v>46151</v>
      </c>
      <c r="C833" s="93" t="str">
        <f>IFERROR(__xludf.DUMMYFUNCTION("""COMPUTED_VALUE"""),"Kit Delivery")</f>
        <v>Kit Delivery</v>
      </c>
      <c r="D833" s="93">
        <f>IFERROR(__xludf.DUMMYFUNCTION("""COMPUTED_VALUE"""),1.0)</f>
        <v>1</v>
      </c>
      <c r="E833" s="93" t="str">
        <f>IFERROR(__xludf.DUMMYFUNCTION("""COMPUTED_VALUE"""),"Lien")</f>
        <v>Lien</v>
      </c>
      <c r="F833" s="93">
        <f>IFERROR(__xludf.DUMMYFUNCTION("""COMPUTED_VALUE"""),2209.0)</f>
        <v>2209</v>
      </c>
      <c r="G833" s="93" t="str">
        <f>IFERROR(__xludf.DUMMYFUNCTION("""COMPUTED_VALUE"""),"Byron Li")</f>
        <v>Byron Li</v>
      </c>
      <c r="H833" s="93">
        <f>IFERROR(__xludf.DUMMYFUNCTION("""COMPUTED_VALUE"""),3.148965537E9)</f>
        <v>3148965537</v>
      </c>
      <c r="I833" s="93" t="str">
        <f>IFERROR(__xludf.DUMMYFUNCTION("""COMPUTED_VALUE"""),"9AM-11AM")</f>
        <v>9AM-11AM</v>
      </c>
      <c r="J833" s="93">
        <f>IFERROR(__xludf.DUMMYFUNCTION("""COMPUTED_VALUE"""),1.0)</f>
        <v>1</v>
      </c>
      <c r="K833" s="93" t="str">
        <f>IFERROR(__xludf.DUMMYFUNCTION("""COMPUTED_VALUE"""),"Complete")</f>
        <v>Complete</v>
      </c>
      <c r="L833" s="93"/>
      <c r="M833" s="93"/>
      <c r="N833" s="93">
        <f>IFERROR(__xludf.DUMMYFUNCTION("""COMPUTED_VALUE"""),4.0)</f>
        <v>4</v>
      </c>
      <c r="O833" s="93"/>
      <c r="P833" s="93" t="str">
        <f>IFERROR(__xludf.DUMMYFUNCTION("""COMPUTED_VALUE"""),"Kit Delivery")</f>
        <v>Kit Delivery</v>
      </c>
      <c r="Q833" s="93"/>
      <c r="R833" s="93"/>
      <c r="S833" s="93"/>
      <c r="T833" s="95">
        <f>IFERROR(__xludf.DUMMYFUNCTION("""COMPUTED_VALUE"""),46151.046273148146)</f>
        <v>46151.04627</v>
      </c>
      <c r="U833" s="93"/>
      <c r="V833" s="93"/>
      <c r="W833" s="93"/>
      <c r="X833" s="93"/>
      <c r="Y833" s="93"/>
      <c r="Z833" s="93"/>
    </row>
    <row r="834">
      <c r="A834" s="93" t="str">
        <f>IFERROR(__xludf.DUMMYFUNCTION("""COMPUTED_VALUE"""),"KIT-#18338")</f>
        <v>KIT-#18338</v>
      </c>
      <c r="B834" s="94">
        <f>IFERROR(__xludf.DUMMYFUNCTION("""COMPUTED_VALUE"""),46151.0)</f>
        <v>46151</v>
      </c>
      <c r="C834" s="93" t="str">
        <f>IFERROR(__xludf.DUMMYFUNCTION("""COMPUTED_VALUE"""),"Kit Delivery")</f>
        <v>Kit Delivery</v>
      </c>
      <c r="D834" s="93">
        <f>IFERROR(__xludf.DUMMYFUNCTION("""COMPUTED_VALUE"""),1.0)</f>
        <v>1</v>
      </c>
      <c r="E834" s="93" t="str">
        <f>IFERROR(__xludf.DUMMYFUNCTION("""COMPUTED_VALUE"""),"Millbrook Bldg. 3")</f>
        <v>Millbrook Bldg. 3</v>
      </c>
      <c r="F834" s="93" t="str">
        <f>IFERROR(__xludf.DUMMYFUNCTION("""COMPUTED_VALUE"""),"B-2G")</f>
        <v>B-2G</v>
      </c>
      <c r="G834" s="93" t="str">
        <f>IFERROR(__xludf.DUMMYFUNCTION("""COMPUTED_VALUE"""),"Kip Faison")</f>
        <v>Kip Faison</v>
      </c>
      <c r="H834" s="93">
        <f>IFERROR(__xludf.DUMMYFUNCTION("""COMPUTED_VALUE"""),2.034825575E9)</f>
        <v>2034825575</v>
      </c>
      <c r="I834" s="93" t="str">
        <f>IFERROR(__xludf.DUMMYFUNCTION("""COMPUTED_VALUE"""),"9AM-11AM")</f>
        <v>9AM-11AM</v>
      </c>
      <c r="J834" s="93">
        <f>IFERROR(__xludf.DUMMYFUNCTION("""COMPUTED_VALUE"""),2.0)</f>
        <v>2</v>
      </c>
      <c r="K834" s="93" t="str">
        <f>IFERROR(__xludf.DUMMYFUNCTION("""COMPUTED_VALUE"""),"Complete")</f>
        <v>Complete</v>
      </c>
      <c r="L834" s="93"/>
      <c r="M834" s="93"/>
      <c r="N834" s="93">
        <f>IFERROR(__xludf.DUMMYFUNCTION("""COMPUTED_VALUE"""),6.0)</f>
        <v>6</v>
      </c>
      <c r="O834" s="93"/>
      <c r="P834" s="93" t="str">
        <f>IFERROR(__xludf.DUMMYFUNCTION("""COMPUTED_VALUE"""),"Kit Delivery")</f>
        <v>Kit Delivery</v>
      </c>
      <c r="Q834" s="93"/>
      <c r="R834" s="93"/>
      <c r="S834" s="93"/>
      <c r="T834" s="95">
        <f>IFERROR(__xludf.DUMMYFUNCTION("""COMPUTED_VALUE"""),46151.046273148146)</f>
        <v>46151.04627</v>
      </c>
      <c r="U834" s="93"/>
      <c r="V834" s="93"/>
      <c r="W834" s="93"/>
      <c r="X834" s="93"/>
      <c r="Y834" s="93"/>
      <c r="Z834" s="93"/>
    </row>
    <row r="835">
      <c r="A835" s="93" t="str">
        <f>IFERROR(__xludf.DUMMYFUNCTION("""COMPUTED_VALUE"""),"KIT-#17462")</f>
        <v>KIT-#17462</v>
      </c>
      <c r="B835" s="94">
        <f>IFERROR(__xludf.DUMMYFUNCTION("""COMPUTED_VALUE"""),46153.0)</f>
        <v>46153</v>
      </c>
      <c r="C835" s="93" t="str">
        <f>IFERROR(__xludf.DUMMYFUNCTION("""COMPUTED_VALUE"""),"Kit Delivery")</f>
        <v>Kit Delivery</v>
      </c>
      <c r="D835" s="93">
        <f>IFERROR(__xludf.DUMMYFUNCTION("""COMPUTED_VALUE"""),3.0)</f>
        <v>3</v>
      </c>
      <c r="E835" s="93" t="str">
        <f>IFERROR(__xludf.DUMMYFUNCTION("""COMPUTED_VALUE"""),"Village House")</f>
        <v>Village House</v>
      </c>
      <c r="F835" s="93" t="str">
        <f>IFERROR(__xludf.DUMMYFUNCTION("""COMPUTED_VALUE"""),"2082 - a")</f>
        <v>2082 - a</v>
      </c>
      <c r="G835" s="93" t="str">
        <f>IFERROR(__xludf.DUMMYFUNCTION("""COMPUTED_VALUE"""),"Keela Bond")</f>
        <v>Keela Bond</v>
      </c>
      <c r="H835" s="93">
        <f>IFERROR(__xludf.DUMMYFUNCTION("""COMPUTED_VALUE"""),3.108908697E9)</f>
        <v>3108908697</v>
      </c>
      <c r="I835" s="93" t="str">
        <f>IFERROR(__xludf.DUMMYFUNCTION("""COMPUTED_VALUE"""),"9AM-11AM")</f>
        <v>9AM-11AM</v>
      </c>
      <c r="J835" s="93">
        <f>IFERROR(__xludf.DUMMYFUNCTION("""COMPUTED_VALUE"""),2.0)</f>
        <v>2</v>
      </c>
      <c r="K835" s="93" t="str">
        <f>IFERROR(__xludf.DUMMYFUNCTION("""COMPUTED_VALUE"""),"Complete")</f>
        <v>Complete</v>
      </c>
      <c r="L835" s="93"/>
      <c r="M835" s="94">
        <f>IFERROR(__xludf.DUMMYFUNCTION("""COMPUTED_VALUE"""),46130.46670138889)</f>
        <v>46130.4667</v>
      </c>
      <c r="N835" s="93">
        <f>IFERROR(__xludf.DUMMYFUNCTION("""COMPUTED_VALUE"""),261.0)</f>
        <v>261</v>
      </c>
      <c r="O835" s="93"/>
      <c r="P835" s="93" t="str">
        <f>IFERROR(__xludf.DUMMYFUNCTION("""COMPUTED_VALUE"""),"Kit Delivery")</f>
        <v>Kit Delivery</v>
      </c>
      <c r="Q835" s="93"/>
      <c r="R835" s="93"/>
      <c r="S835" s="93" t="str">
        <f>IFERROR(__xludf.DUMMYFUNCTION("""COMPUTED_VALUE"""),"Dispatch_Images/KIT--17462.Photos.161200.jpg")</f>
        <v>Dispatch_Images/KIT--17462.Photos.161200.jpg</v>
      </c>
      <c r="T835" s="95">
        <f>IFERROR(__xludf.DUMMYFUNCTION("""COMPUTED_VALUE"""),46130.46739583334)</f>
        <v>46130.4674</v>
      </c>
      <c r="U835" s="93"/>
      <c r="V835" s="93"/>
      <c r="W835" s="93"/>
      <c r="X835" s="93"/>
      <c r="Y835" s="93"/>
      <c r="Z835" s="93"/>
    </row>
    <row r="836">
      <c r="A836" s="93" t="str">
        <f>IFERROR(__xludf.DUMMYFUNCTION("""COMPUTED_VALUE"""),"KIT-#17911")</f>
        <v>KIT-#17911</v>
      </c>
      <c r="B836" s="94">
        <f>IFERROR(__xludf.DUMMYFUNCTION("""COMPUTED_VALUE"""),46153.0)</f>
        <v>46153</v>
      </c>
      <c r="C836" s="93" t="str">
        <f>IFERROR(__xludf.DUMMYFUNCTION("""COMPUTED_VALUE"""),"Kit Delivery")</f>
        <v>Kit Delivery</v>
      </c>
      <c r="D836" s="93">
        <f>IFERROR(__xludf.DUMMYFUNCTION("""COMPUTED_VALUE"""),2.0)</f>
        <v>2</v>
      </c>
      <c r="E836" s="93" t="str">
        <f>IFERROR(__xludf.DUMMYFUNCTION("""COMPUTED_VALUE"""),"Danforth")</f>
        <v>Danforth</v>
      </c>
      <c r="F836" s="93">
        <f>IFERROR(__xludf.DUMMYFUNCTION("""COMPUTED_VALUE"""),4428.0)</f>
        <v>4428</v>
      </c>
      <c r="G836" s="93" t="str">
        <f>IFERROR(__xludf.DUMMYFUNCTION("""COMPUTED_VALUE"""),"Talia West")</f>
        <v>Talia West</v>
      </c>
      <c r="H836" s="93">
        <f>IFERROR(__xludf.DUMMYFUNCTION("""COMPUTED_VALUE"""),2.06550942E9)</f>
        <v>2065509420</v>
      </c>
      <c r="I836" s="93" t="str">
        <f>IFERROR(__xludf.DUMMYFUNCTION("""COMPUTED_VALUE"""),"9AM-11AM")</f>
        <v>9AM-11AM</v>
      </c>
      <c r="J836" s="93">
        <f>IFERROR(__xludf.DUMMYFUNCTION("""COMPUTED_VALUE"""),2.0)</f>
        <v>2</v>
      </c>
      <c r="K836" s="93" t="str">
        <f>IFERROR(__xludf.DUMMYFUNCTION("""COMPUTED_VALUE"""),"Complete")</f>
        <v>Complete</v>
      </c>
      <c r="L836" s="93"/>
      <c r="M836" s="94">
        <f>IFERROR(__xludf.DUMMYFUNCTION("""COMPUTED_VALUE"""),46140.81380787037)</f>
        <v>46140.81381</v>
      </c>
      <c r="N836" s="93">
        <f>IFERROR(__xludf.DUMMYFUNCTION("""COMPUTED_VALUE"""),40.0)</f>
        <v>40</v>
      </c>
      <c r="O836" s="93"/>
      <c r="P836" s="93" t="str">
        <f>IFERROR(__xludf.DUMMYFUNCTION("""COMPUTED_VALUE"""),"Kit Delivery")</f>
        <v>Kit Delivery</v>
      </c>
      <c r="Q836" s="93"/>
      <c r="R836" s="93"/>
      <c r="S836" s="93" t="str">
        <f>IFERROR(__xludf.DUMMYFUNCTION("""COMPUTED_VALUE"""),"Dispatch_Images/KIT--17911.Photos.003148.jpg")</f>
        <v>Dispatch_Images/KIT--17911.Photos.003148.jpg</v>
      </c>
      <c r="T836" s="95">
        <f>IFERROR(__xludf.DUMMYFUNCTION("""COMPUTED_VALUE"""),46140.81460648148)</f>
        <v>46140.81461</v>
      </c>
      <c r="U836" s="93"/>
      <c r="V836" s="93"/>
      <c r="W836" s="93"/>
      <c r="X836" s="93"/>
      <c r="Y836" s="93"/>
      <c r="Z836" s="93"/>
    </row>
    <row r="837">
      <c r="A837" s="93" t="str">
        <f>IFERROR(__xludf.DUMMYFUNCTION("""COMPUTED_VALUE"""),"KIT-#17465")</f>
        <v>KIT-#17465</v>
      </c>
      <c r="B837" s="94">
        <f>IFERROR(__xludf.DUMMYFUNCTION("""COMPUTED_VALUE"""),46153.0)</f>
        <v>46153</v>
      </c>
      <c r="C837" s="93" t="str">
        <f>IFERROR(__xludf.DUMMYFUNCTION("""COMPUTED_VALUE"""),"Kit Delivery")</f>
        <v>Kit Delivery</v>
      </c>
      <c r="D837" s="93">
        <f>IFERROR(__xludf.DUMMYFUNCTION("""COMPUTED_VALUE"""),2.0)</f>
        <v>2</v>
      </c>
      <c r="E837" s="93" t="str">
        <f>IFERROR(__xludf.DUMMYFUNCTION("""COMPUTED_VALUE"""),"Eliot A")</f>
        <v>Eliot A</v>
      </c>
      <c r="F837" s="93">
        <f>IFERROR(__xludf.DUMMYFUNCTION("""COMPUTED_VALUE"""),2102.0)</f>
        <v>2102</v>
      </c>
      <c r="G837" s="93" t="str">
        <f>IFERROR(__xludf.DUMMYFUNCTION("""COMPUTED_VALUE"""),"Charlie Doehring")</f>
        <v>Charlie Doehring</v>
      </c>
      <c r="H837" s="93">
        <f>IFERROR(__xludf.DUMMYFUNCTION("""COMPUTED_VALUE"""),3.312389291E9)</f>
        <v>3312389291</v>
      </c>
      <c r="I837" s="93" t="str">
        <f>IFERROR(__xludf.DUMMYFUNCTION("""COMPUTED_VALUE"""),"3PM-5PM")</f>
        <v>3PM-5PM</v>
      </c>
      <c r="J837" s="93">
        <f>IFERROR(__xludf.DUMMYFUNCTION("""COMPUTED_VALUE"""),1.0)</f>
        <v>1</v>
      </c>
      <c r="K837" s="93" t="str">
        <f>IFERROR(__xludf.DUMMYFUNCTION("""COMPUTED_VALUE"""),"Complete")</f>
        <v>Complete</v>
      </c>
      <c r="L837" s="93"/>
      <c r="M837" s="94">
        <f>IFERROR(__xludf.DUMMYFUNCTION("""COMPUTED_VALUE"""),46145.83826388889)</f>
        <v>46145.83826</v>
      </c>
      <c r="N837" s="93">
        <f>IFERROR(__xludf.DUMMYFUNCTION("""COMPUTED_VALUE"""),2.0)</f>
        <v>2</v>
      </c>
      <c r="O837" s="93"/>
      <c r="P837" s="93" t="str">
        <f>IFERROR(__xludf.DUMMYFUNCTION("""COMPUTED_VALUE"""),"Kit Delivery")</f>
        <v>Kit Delivery</v>
      </c>
      <c r="Q837" s="93"/>
      <c r="R837" s="93"/>
      <c r="S837" s="93" t="str">
        <f>IFERROR(__xludf.DUMMYFUNCTION("""COMPUTED_VALUE"""),"Dispatch_Images/KIT--17465.Photos.010702.jpg")</f>
        <v>Dispatch_Images/KIT--17465.Photos.010702.jpg</v>
      </c>
      <c r="T837" s="95">
        <f>IFERROR(__xludf.DUMMYFUNCTION("""COMPUTED_VALUE"""),46145.844872685186)</f>
        <v>46145.84487</v>
      </c>
      <c r="U837" s="93"/>
      <c r="V837" s="93"/>
      <c r="W837" s="93"/>
      <c r="X837" s="93"/>
      <c r="Y837" s="93"/>
      <c r="Z837" s="93"/>
    </row>
    <row r="838">
      <c r="A838" s="93" t="str">
        <f>IFERROR(__xludf.DUMMYFUNCTION("""COMPUTED_VALUE"""),"KIT-#18120")</f>
        <v>KIT-#18120</v>
      </c>
      <c r="B838" s="94">
        <f>IFERROR(__xludf.DUMMYFUNCTION("""COMPUTED_VALUE"""),46153.0)</f>
        <v>46153</v>
      </c>
      <c r="C838" s="93" t="str">
        <f>IFERROR(__xludf.DUMMYFUNCTION("""COMPUTED_VALUE"""),"Kit Delivery")</f>
        <v>Kit Delivery</v>
      </c>
      <c r="D838" s="93">
        <f>IFERROR(__xludf.DUMMYFUNCTION("""COMPUTED_VALUE"""),2.0)</f>
        <v>2</v>
      </c>
      <c r="E838" s="93" t="str">
        <f>IFERROR(__xludf.DUMMYFUNCTION("""COMPUTED_VALUE"""),"Off-Campus")</f>
        <v>Off-Campus</v>
      </c>
      <c r="F838" s="93"/>
      <c r="G838" s="93" t="str">
        <f>IFERROR(__xludf.DUMMYFUNCTION("""COMPUTED_VALUE"""),"Nathan Reyes")</f>
        <v>Nathan Reyes</v>
      </c>
      <c r="H838" s="93">
        <f>IFERROR(__xludf.DUMMYFUNCTION("""COMPUTED_VALUE"""),6.692335662E9)</f>
        <v>6692335662</v>
      </c>
      <c r="I838" s="93" t="str">
        <f>IFERROR(__xludf.DUMMYFUNCTION("""COMPUTED_VALUE"""),"1PM-3PM")</f>
        <v>1PM-3PM</v>
      </c>
      <c r="J838" s="93">
        <f>IFERROR(__xludf.DUMMYFUNCTION("""COMPUTED_VALUE"""),2.0)</f>
        <v>2</v>
      </c>
      <c r="K838" s="93" t="str">
        <f>IFERROR(__xludf.DUMMYFUNCTION("""COMPUTED_VALUE"""),"Complete")</f>
        <v>Complete</v>
      </c>
      <c r="L838" s="93"/>
      <c r="M838" s="94">
        <f>IFERROR(__xludf.DUMMYFUNCTION("""COMPUTED_VALUE"""),46146.721875)</f>
        <v>46146.72188</v>
      </c>
      <c r="N838" s="93">
        <f>IFERROR(__xludf.DUMMYFUNCTION("""COMPUTED_VALUE"""),46.0)</f>
        <v>46</v>
      </c>
      <c r="O838" s="93" t="str">
        <f>IFERROR(__xludf.DUMMYFUNCTION("""COMPUTED_VALUE"""),"746 Kingsland Avenue
Saint Louis, Missouri 63130")</f>
        <v>746 Kingsland Avenue
Saint Louis, Missouri 63130</v>
      </c>
      <c r="P838" s="93" t="str">
        <f>IFERROR(__xludf.DUMMYFUNCTION("""COMPUTED_VALUE"""),"Kit Delivery")</f>
        <v>Kit Delivery</v>
      </c>
      <c r="Q838" s="93"/>
      <c r="R838" s="93"/>
      <c r="S838" s="93" t="str">
        <f>IFERROR(__xludf.DUMMYFUNCTION("""COMPUTED_VALUE"""),"Dispatch_Images/KIT--18120.Photos.221926.jpg")</f>
        <v>Dispatch_Images/KIT--18120.Photos.221926.jpg</v>
      </c>
      <c r="T838" s="95">
        <f>IFERROR(__xludf.DUMMYFUNCTION("""COMPUTED_VALUE"""),46146.72684027778)</f>
        <v>46146.72684</v>
      </c>
      <c r="U838" s="93"/>
      <c r="V838" s="93"/>
      <c r="W838" s="93"/>
      <c r="X838" s="93"/>
      <c r="Y838" s="93"/>
      <c r="Z838" s="93"/>
    </row>
    <row r="839">
      <c r="A839" s="93" t="str">
        <f>IFERROR(__xludf.DUMMYFUNCTION("""COMPUTED_VALUE"""),"KIT-#18241")</f>
        <v>KIT-#18241</v>
      </c>
      <c r="B839" s="94">
        <f>IFERROR(__xludf.DUMMYFUNCTION("""COMPUTED_VALUE"""),46153.0)</f>
        <v>46153</v>
      </c>
      <c r="C839" s="93" t="str">
        <f>IFERROR(__xludf.DUMMYFUNCTION("""COMPUTED_VALUE"""),"Kit Delivery")</f>
        <v>Kit Delivery</v>
      </c>
      <c r="D839" s="93">
        <f>IFERROR(__xludf.DUMMYFUNCTION("""COMPUTED_VALUE"""),2.0)</f>
        <v>2</v>
      </c>
      <c r="E839" s="93" t="str">
        <f>IFERROR(__xludf.DUMMYFUNCTION("""COMPUTED_VALUE"""),"Danforth")</f>
        <v>Danforth</v>
      </c>
      <c r="F839" s="93">
        <f>IFERROR(__xludf.DUMMYFUNCTION("""COMPUTED_VALUE"""),4414.0)</f>
        <v>4414</v>
      </c>
      <c r="G839" s="93" t="str">
        <f>IFERROR(__xludf.DUMMYFUNCTION("""COMPUTED_VALUE"""),"Rebecca Winkler")</f>
        <v>Rebecca Winkler</v>
      </c>
      <c r="H839" s="93">
        <f>IFERROR(__xludf.DUMMYFUNCTION("""COMPUTED_VALUE"""),8.477160903E9)</f>
        <v>8477160903</v>
      </c>
      <c r="I839" s="93" t="str">
        <f>IFERROR(__xludf.DUMMYFUNCTION("""COMPUTED_VALUE"""),"9AM-11AM")</f>
        <v>9AM-11AM</v>
      </c>
      <c r="J839" s="93">
        <f>IFERROR(__xludf.DUMMYFUNCTION("""COMPUTED_VALUE"""),1.0)</f>
        <v>1</v>
      </c>
      <c r="K839" s="93" t="str">
        <f>IFERROR(__xludf.DUMMYFUNCTION("""COMPUTED_VALUE"""),"Complete")</f>
        <v>Complete</v>
      </c>
      <c r="L839" s="93"/>
      <c r="M839" s="94">
        <f>IFERROR(__xludf.DUMMYFUNCTION("""COMPUTED_VALUE"""),46146.76112268519)</f>
        <v>46146.76112</v>
      </c>
      <c r="N839" s="93">
        <f>IFERROR(__xludf.DUMMYFUNCTION("""COMPUTED_VALUE"""),2.0)</f>
        <v>2</v>
      </c>
      <c r="O839" s="93"/>
      <c r="P839" s="93" t="str">
        <f>IFERROR(__xludf.DUMMYFUNCTION("""COMPUTED_VALUE"""),"Kit Delivery")</f>
        <v>Kit Delivery</v>
      </c>
      <c r="Q839" s="93"/>
      <c r="R839" s="93"/>
      <c r="S839" s="93" t="str">
        <f>IFERROR(__xludf.DUMMYFUNCTION("""COMPUTED_VALUE"""),"Dispatch_Images/KIT--18241.Photos.231557.jpg")</f>
        <v>Dispatch_Images/KIT--18241.Photos.231557.jpg</v>
      </c>
      <c r="T839" s="95">
        <f>IFERROR(__xludf.DUMMYFUNCTION("""COMPUTED_VALUE"""),46146.76153935185)</f>
        <v>46146.76154</v>
      </c>
      <c r="U839" s="93"/>
      <c r="V839" s="93"/>
      <c r="W839" s="93"/>
      <c r="X839" s="93"/>
      <c r="Y839" s="93"/>
      <c r="Z839" s="93"/>
    </row>
    <row r="840">
      <c r="A840" s="93" t="str">
        <f>IFERROR(__xludf.DUMMYFUNCTION("""COMPUTED_VALUE"""),"KIT-#18288")</f>
        <v>KIT-#18288</v>
      </c>
      <c r="B840" s="94">
        <f>IFERROR(__xludf.DUMMYFUNCTION("""COMPUTED_VALUE"""),46153.0)</f>
        <v>46153</v>
      </c>
      <c r="C840" s="93" t="str">
        <f>IFERROR(__xludf.DUMMYFUNCTION("""COMPUTED_VALUE"""),"Kit Delivery")</f>
        <v>Kit Delivery</v>
      </c>
      <c r="D840" s="93">
        <f>IFERROR(__xludf.DUMMYFUNCTION("""COMPUTED_VALUE"""),2.0)</f>
        <v>2</v>
      </c>
      <c r="E840" s="93" t="str">
        <f>IFERROR(__xludf.DUMMYFUNCTION("""COMPUTED_VALUE"""),"Village House")</f>
        <v>Village House</v>
      </c>
      <c r="F840" s="93">
        <f>IFERROR(__xludf.DUMMYFUNCTION("""COMPUTED_VALUE"""),4141.0)</f>
        <v>4141</v>
      </c>
      <c r="G840" s="93" t="str">
        <f>IFERROR(__xludf.DUMMYFUNCTION("""COMPUTED_VALUE"""),"John Link")</f>
        <v>John Link</v>
      </c>
      <c r="H840" s="93">
        <f>IFERROR(__xludf.DUMMYFUNCTION("""COMPUTED_VALUE"""),2.81660986E9)</f>
        <v>2816609860</v>
      </c>
      <c r="I840" s="93" t="str">
        <f>IFERROR(__xludf.DUMMYFUNCTION("""COMPUTED_VALUE"""),"2PM-4PM")</f>
        <v>2PM-4PM</v>
      </c>
      <c r="J840" s="93">
        <f>IFERROR(__xludf.DUMMYFUNCTION("""COMPUTED_VALUE"""),1.0)</f>
        <v>1</v>
      </c>
      <c r="K840" s="93" t="str">
        <f>IFERROR(__xludf.DUMMYFUNCTION("""COMPUTED_VALUE"""),"Complete")</f>
        <v>Complete</v>
      </c>
      <c r="L840" s="93"/>
      <c r="M840" s="94">
        <f>IFERROR(__xludf.DUMMYFUNCTION("""COMPUTED_VALUE"""),46148.808587962965)</f>
        <v>46148.80859</v>
      </c>
      <c r="N840" s="93">
        <f>IFERROR(__xludf.DUMMYFUNCTION("""COMPUTED_VALUE"""),5.0)</f>
        <v>5</v>
      </c>
      <c r="O840" s="93"/>
      <c r="P840" s="93" t="str">
        <f>IFERROR(__xludf.DUMMYFUNCTION("""COMPUTED_VALUE"""),"Kit Delivery")</f>
        <v>Kit Delivery</v>
      </c>
      <c r="Q840" s="93"/>
      <c r="R840" s="93"/>
      <c r="S840" s="93" t="str">
        <f>IFERROR(__xludf.DUMMYFUNCTION("""COMPUTED_VALUE"""),"Dispatch_Images/KIT--18288.Photos.002418.jpg")</f>
        <v>Dispatch_Images/KIT--18288.Photos.002418.jpg</v>
      </c>
      <c r="T840" s="95">
        <f>IFERROR(__xludf.DUMMYFUNCTION("""COMPUTED_VALUE"""),46148.81015046296)</f>
        <v>46148.81015</v>
      </c>
      <c r="U840" s="93"/>
      <c r="V840" s="93"/>
      <c r="W840" s="93"/>
      <c r="X840" s="93"/>
      <c r="Y840" s="93"/>
      <c r="Z840" s="93"/>
    </row>
    <row r="841">
      <c r="A841" s="93" t="str">
        <f>IFERROR(__xludf.DUMMYFUNCTION("""COMPUTED_VALUE"""),"KIT-#17423")</f>
        <v>KIT-#17423</v>
      </c>
      <c r="B841" s="94">
        <f>IFERROR(__xludf.DUMMYFUNCTION("""COMPUTED_VALUE"""),46154.0)</f>
        <v>46154</v>
      </c>
      <c r="C841" s="93" t="str">
        <f>IFERROR(__xludf.DUMMYFUNCTION("""COMPUTED_VALUE"""),"Kit Delivery")</f>
        <v>Kit Delivery</v>
      </c>
      <c r="D841" s="93">
        <f>IFERROR(__xludf.DUMMYFUNCTION("""COMPUTED_VALUE"""),2.0)</f>
        <v>2</v>
      </c>
      <c r="E841" s="93" t="str">
        <f>IFERROR(__xludf.DUMMYFUNCTION("""COMPUTED_VALUE"""),"Shanedling")</f>
        <v>Shanedling</v>
      </c>
      <c r="F841" s="93">
        <f>IFERROR(__xludf.DUMMYFUNCTION("""COMPUTED_VALUE"""),113.0)</f>
        <v>113</v>
      </c>
      <c r="G841" s="93" t="str">
        <f>IFERROR(__xludf.DUMMYFUNCTION("""COMPUTED_VALUE"""),"Stella Mekhanik")</f>
        <v>Stella Mekhanik</v>
      </c>
      <c r="H841" s="93">
        <f>IFERROR(__xludf.DUMMYFUNCTION("""COMPUTED_VALUE"""),4.802827475E9)</f>
        <v>4802827475</v>
      </c>
      <c r="I841" s="93" t="str">
        <f>IFERROR(__xludf.DUMMYFUNCTION("""COMPUTED_VALUE"""),"1PM-3PM")</f>
        <v>1PM-3PM</v>
      </c>
      <c r="J841" s="93">
        <f>IFERROR(__xludf.DUMMYFUNCTION("""COMPUTED_VALUE"""),2.0)</f>
        <v>2</v>
      </c>
      <c r="K841" s="93" t="str">
        <f>IFERROR(__xludf.DUMMYFUNCTION("""COMPUTED_VALUE"""),"Complete")</f>
        <v>Complete</v>
      </c>
      <c r="L841" s="93"/>
      <c r="M841" s="94">
        <f>IFERROR(__xludf.DUMMYFUNCTION("""COMPUTED_VALUE"""),46145.85707175926)</f>
        <v>46145.85707</v>
      </c>
      <c r="N841" s="93">
        <f>IFERROR(__xludf.DUMMYFUNCTION("""COMPUTED_VALUE"""),16.0)</f>
        <v>16</v>
      </c>
      <c r="O841" s="93"/>
      <c r="P841" s="93" t="str">
        <f>IFERROR(__xludf.DUMMYFUNCTION("""COMPUTED_VALUE"""),"Kit Delivery")</f>
        <v>Kit Delivery</v>
      </c>
      <c r="Q841" s="93"/>
      <c r="R841" s="93"/>
      <c r="S841" s="93" t="str">
        <f>IFERROR(__xludf.DUMMYFUNCTION("""COMPUTED_VALUE"""),"Dispatch_Images/KIT--17423.Photos.013408.jpg")</f>
        <v>Dispatch_Images/KIT--17423.Photos.013408.jpg</v>
      </c>
      <c r="T841" s="95">
        <f>IFERROR(__xludf.DUMMYFUNCTION("""COMPUTED_VALUE"""),46145.858761574076)</f>
        <v>46145.85876</v>
      </c>
      <c r="U841" s="93"/>
      <c r="V841" s="93"/>
      <c r="W841" s="93"/>
      <c r="X841" s="93"/>
      <c r="Y841" s="93"/>
      <c r="Z841" s="93"/>
    </row>
    <row r="842">
      <c r="A842" s="93" t="str">
        <f>IFERROR(__xludf.DUMMYFUNCTION("""COMPUTED_VALUE"""),"KIT-#17231")</f>
        <v>KIT-#17231</v>
      </c>
      <c r="B842" s="94">
        <f>IFERROR(__xludf.DUMMYFUNCTION("""COMPUTED_VALUE"""),46154.0)</f>
        <v>46154</v>
      </c>
      <c r="C842" s="93" t="str">
        <f>IFERROR(__xludf.DUMMYFUNCTION("""COMPUTED_VALUE"""),"Kit Delivery")</f>
        <v>Kit Delivery</v>
      </c>
      <c r="D842" s="93">
        <f>IFERROR(__xludf.DUMMYFUNCTION("""COMPUTED_VALUE"""),2.0)</f>
        <v>2</v>
      </c>
      <c r="E842" s="93" t="str">
        <f>IFERROR(__xludf.DUMMYFUNCTION("""COMPUTED_VALUE"""),"Off-Campus")</f>
        <v>Off-Campus</v>
      </c>
      <c r="F842" s="93"/>
      <c r="G842" s="93" t="str">
        <f>IFERROR(__xludf.DUMMYFUNCTION("""COMPUTED_VALUE"""),"Tiger Lu")</f>
        <v>Tiger Lu</v>
      </c>
      <c r="H842" s="93">
        <f>IFERROR(__xludf.DUMMYFUNCTION("""COMPUTED_VALUE"""),3.108835579E9)</f>
        <v>3108835579</v>
      </c>
      <c r="I842" s="93" t="str">
        <f>IFERROR(__xludf.DUMMYFUNCTION("""COMPUTED_VALUE"""),"3PM-5PM")</f>
        <v>3PM-5PM</v>
      </c>
      <c r="J842" s="93">
        <f>IFERROR(__xludf.DUMMYFUNCTION("""COMPUTED_VALUE"""),1.0)</f>
        <v>1</v>
      </c>
      <c r="K842" s="93" t="str">
        <f>IFERROR(__xludf.DUMMYFUNCTION("""COMPUTED_VALUE"""),"Complete")</f>
        <v>Complete</v>
      </c>
      <c r="L842" s="93"/>
      <c r="M842" s="94">
        <f>IFERROR(__xludf.DUMMYFUNCTION("""COMPUTED_VALUE"""),46148.779502314814)</f>
        <v>46148.7795</v>
      </c>
      <c r="N842" s="93">
        <f>IFERROR(__xludf.DUMMYFUNCTION("""COMPUTED_VALUE"""),16.0)</f>
        <v>16</v>
      </c>
      <c r="O842" s="93" t="str">
        <f>IFERROR(__xludf.DUMMYFUNCTION("""COMPUTED_VALUE"""),"726 Westgate Ave, APT 1N
University City, MO
63130")</f>
        <v>726 Westgate Ave, APT 1N
University City, MO
63130</v>
      </c>
      <c r="P842" s="93" t="str">
        <f>IFERROR(__xludf.DUMMYFUNCTION("""COMPUTED_VALUE"""),"Kit Delivery")</f>
        <v>Kit Delivery</v>
      </c>
      <c r="Q842" s="93"/>
      <c r="R842" s="93"/>
      <c r="S842" s="93" t="str">
        <f>IFERROR(__xludf.DUMMYFUNCTION("""COMPUTED_VALUE"""),"Dispatch_Images/KIT--17231.Photos.234225.jpg")</f>
        <v>Dispatch_Images/KIT--17231.Photos.234225.jpg</v>
      </c>
      <c r="T842" s="95">
        <f>IFERROR(__xludf.DUMMYFUNCTION("""COMPUTED_VALUE"""),46148.78246527778)</f>
        <v>46148.78247</v>
      </c>
      <c r="U842" s="93"/>
      <c r="V842" s="93"/>
      <c r="W842" s="93"/>
      <c r="X842" s="93"/>
      <c r="Y842" s="93"/>
      <c r="Z842" s="93"/>
    </row>
    <row r="843">
      <c r="A843" s="93" t="str">
        <f>IFERROR(__xludf.DUMMYFUNCTION("""COMPUTED_VALUE"""),"KIT-#17651")</f>
        <v>KIT-#17651</v>
      </c>
      <c r="B843" s="94">
        <f>IFERROR(__xludf.DUMMYFUNCTION("""COMPUTED_VALUE"""),46154.0)</f>
        <v>46154</v>
      </c>
      <c r="C843" s="93" t="str">
        <f>IFERROR(__xludf.DUMMYFUNCTION("""COMPUTED_VALUE"""),"Kit Delivery")</f>
        <v>Kit Delivery</v>
      </c>
      <c r="D843" s="93">
        <f>IFERROR(__xludf.DUMMYFUNCTION("""COMPUTED_VALUE"""),2.0)</f>
        <v>2</v>
      </c>
      <c r="E843" s="93" t="str">
        <f>IFERROR(__xludf.DUMMYFUNCTION("""COMPUTED_VALUE"""),"Off-Campus")</f>
        <v>Off-Campus</v>
      </c>
      <c r="F843" s="93"/>
      <c r="G843" s="93" t="str">
        <f>IFERROR(__xludf.DUMMYFUNCTION("""COMPUTED_VALUE"""),"Marissa Lazarus")</f>
        <v>Marissa Lazarus</v>
      </c>
      <c r="H843" s="93" t="str">
        <f>IFERROR(__xludf.DUMMYFUNCTION("""COMPUTED_VALUE"""),"917-232-0427")</f>
        <v>917-232-0427</v>
      </c>
      <c r="I843" s="93" t="str">
        <f>IFERROR(__xludf.DUMMYFUNCTION("""COMPUTED_VALUE"""),"11AM-1PM")</f>
        <v>11AM-1PM</v>
      </c>
      <c r="J843" s="93">
        <f>IFERROR(__xludf.DUMMYFUNCTION("""COMPUTED_VALUE"""),1.0)</f>
        <v>1</v>
      </c>
      <c r="K843" s="93" t="str">
        <f>IFERROR(__xludf.DUMMYFUNCTION("""COMPUTED_VALUE"""),"Complete")</f>
        <v>Complete</v>
      </c>
      <c r="L843" s="93"/>
      <c r="M843" s="94">
        <f>IFERROR(__xludf.DUMMYFUNCTION("""COMPUTED_VALUE"""),46148.78201388889)</f>
        <v>46148.78201</v>
      </c>
      <c r="N843" s="93">
        <f>IFERROR(__xludf.DUMMYFUNCTION("""COMPUTED_VALUE"""),32.0)</f>
        <v>32</v>
      </c>
      <c r="O843" s="93" t="str">
        <f>IFERROR(__xludf.DUMMYFUNCTION("""COMPUTED_VALUE"""),"721 Interdrive apartment 2, St Louis MO 63130")</f>
        <v>721 Interdrive apartment 2, St Louis MO 63130</v>
      </c>
      <c r="P843" s="93" t="str">
        <f>IFERROR(__xludf.DUMMYFUNCTION("""COMPUTED_VALUE"""),"Kit Delivery")</f>
        <v>Kit Delivery</v>
      </c>
      <c r="Q843" s="93"/>
      <c r="R843" s="93"/>
      <c r="S843" s="93" t="str">
        <f>IFERROR(__xludf.DUMMYFUNCTION("""COMPUTED_VALUE"""),"Dispatch_Images/KIT--17651.Photos.234603.jpg")</f>
        <v>Dispatch_Images/KIT--17651.Photos.234603.jpg</v>
      </c>
      <c r="T843" s="95">
        <f>IFERROR(__xludf.DUMMYFUNCTION("""COMPUTED_VALUE"""),46148.78246527778)</f>
        <v>46148.78247</v>
      </c>
      <c r="U843" s="93"/>
      <c r="V843" s="93"/>
      <c r="W843" s="93"/>
      <c r="X843" s="93"/>
      <c r="Y843" s="93"/>
      <c r="Z843" s="93"/>
    </row>
    <row r="844">
      <c r="A844" s="93" t="str">
        <f>IFERROR(__xludf.DUMMYFUNCTION("""COMPUTED_VALUE"""),"KIT-#18225")</f>
        <v>KIT-#18225</v>
      </c>
      <c r="B844" s="94">
        <f>IFERROR(__xludf.DUMMYFUNCTION("""COMPUTED_VALUE"""),46154.0)</f>
        <v>46154</v>
      </c>
      <c r="C844" s="93" t="str">
        <f>IFERROR(__xludf.DUMMYFUNCTION("""COMPUTED_VALUE"""),"Kit Delivery")</f>
        <v>Kit Delivery</v>
      </c>
      <c r="D844" s="93">
        <f>IFERROR(__xludf.DUMMYFUNCTION("""COMPUTED_VALUE"""),2.0)</f>
        <v>2</v>
      </c>
      <c r="E844" s="93" t="str">
        <f>IFERROR(__xludf.DUMMYFUNCTION("""COMPUTED_VALUE"""),"Off-Campus")</f>
        <v>Off-Campus</v>
      </c>
      <c r="F844" s="93"/>
      <c r="G844" s="93" t="str">
        <f>IFERROR(__xludf.DUMMYFUNCTION("""COMPUTED_VALUE"""),"Youngtak Seo")</f>
        <v>Youngtak Seo</v>
      </c>
      <c r="H844" s="93">
        <f>IFERROR(__xludf.DUMMYFUNCTION("""COMPUTED_VALUE"""),3.139175855E9)</f>
        <v>3139175855</v>
      </c>
      <c r="I844" s="93" t="str">
        <f>IFERROR(__xludf.DUMMYFUNCTION("""COMPUTED_VALUE"""),"3PM-5PM")</f>
        <v>3PM-5PM</v>
      </c>
      <c r="J844" s="93">
        <f>IFERROR(__xludf.DUMMYFUNCTION("""COMPUTED_VALUE"""),2.0)</f>
        <v>2</v>
      </c>
      <c r="K844" s="93" t="str">
        <f>IFERROR(__xludf.DUMMYFUNCTION("""COMPUTED_VALUE"""),"Complete")</f>
        <v>Complete</v>
      </c>
      <c r="L844" s="93"/>
      <c r="M844" s="94">
        <f>IFERROR(__xludf.DUMMYFUNCTION("""COMPUTED_VALUE"""),46148.786041666666)</f>
        <v>46148.78604</v>
      </c>
      <c r="N844" s="93">
        <f>IFERROR(__xludf.DUMMYFUNCTION("""COMPUTED_VALUE"""),12.0)</f>
        <v>12</v>
      </c>
      <c r="O844" s="93" t="str">
        <f>IFERROR(__xludf.DUMMYFUNCTION("""COMPUTED_VALUE"""),"6669 Washington Ave Apt 103
Saint Louis MO 63130")</f>
        <v>6669 Washington Ave Apt 103
Saint Louis MO 63130</v>
      </c>
      <c r="P844" s="93" t="str">
        <f>IFERROR(__xludf.DUMMYFUNCTION("""COMPUTED_VALUE"""),"Kit Delivery")</f>
        <v>Kit Delivery</v>
      </c>
      <c r="Q844" s="93" t="str">
        <f>IFERROR(__xludf.DUMMYFUNCTION("""COMPUTED_VALUE"""),"Please call when you arrive at the apartment. Also, there will be my PC and Monitor which are extremely fragile in one of the boxes I will mark as fragile, so please handle it with care. If possible, additional bubble wrap will be greatly appreciated.")</f>
        <v>Please call when you arrive at the apartment. Also, there will be my PC and Monitor which are extremely fragile in one of the boxes I will mark as fragile, so please handle it with care. If possible, additional bubble wrap will be greatly appreciated.</v>
      </c>
      <c r="R844" s="93"/>
      <c r="S844" s="93" t="str">
        <f>IFERROR(__xludf.DUMMYFUNCTION("""COMPUTED_VALUE"""),"Dispatch_Images/KIT--18225.Photos.235150.jpg")</f>
        <v>Dispatch_Images/KIT--18225.Photos.235150.jpg</v>
      </c>
      <c r="T844" s="95">
        <f>IFERROR(__xludf.DUMMYFUNCTION("""COMPUTED_VALUE"""),46148.78931712963)</f>
        <v>46148.78932</v>
      </c>
      <c r="U844" s="93"/>
      <c r="V844" s="93"/>
      <c r="W844" s="93"/>
      <c r="X844" s="93"/>
      <c r="Y844" s="93"/>
      <c r="Z844" s="93"/>
    </row>
    <row r="845">
      <c r="A845" s="93" t="str">
        <f>IFERROR(__xludf.DUMMYFUNCTION("""COMPUTED_VALUE"""),"KIT-#17480")</f>
        <v>KIT-#17480</v>
      </c>
      <c r="B845" s="94">
        <f>IFERROR(__xludf.DUMMYFUNCTION("""COMPUTED_VALUE"""),46154.0)</f>
        <v>46154</v>
      </c>
      <c r="C845" s="93" t="str">
        <f>IFERROR(__xludf.DUMMYFUNCTION("""COMPUTED_VALUE"""),"Kit Delivery")</f>
        <v>Kit Delivery</v>
      </c>
      <c r="D845" s="93">
        <f>IFERROR(__xludf.DUMMYFUNCTION("""COMPUTED_VALUE"""),2.0)</f>
        <v>2</v>
      </c>
      <c r="E845" s="93" t="str">
        <f>IFERROR(__xludf.DUMMYFUNCTION("""COMPUTED_VALUE"""),"Off-Campus")</f>
        <v>Off-Campus</v>
      </c>
      <c r="F845" s="93"/>
      <c r="G845" s="93" t="str">
        <f>IFERROR(__xludf.DUMMYFUNCTION("""COMPUTED_VALUE"""),"Jessica Weiss")</f>
        <v>Jessica Weiss</v>
      </c>
      <c r="H845" s="93">
        <f>IFERROR(__xludf.DUMMYFUNCTION("""COMPUTED_VALUE"""),2.014035599E9)</f>
        <v>2014035599</v>
      </c>
      <c r="I845" s="93" t="str">
        <f>IFERROR(__xludf.DUMMYFUNCTION("""COMPUTED_VALUE"""),"9AM-11AM")</f>
        <v>9AM-11AM</v>
      </c>
      <c r="J845" s="93">
        <f>IFERROR(__xludf.DUMMYFUNCTION("""COMPUTED_VALUE"""),1.0)</f>
        <v>1</v>
      </c>
      <c r="K845" s="93" t="str">
        <f>IFERROR(__xludf.DUMMYFUNCTION("""COMPUTED_VALUE"""),"Complete")</f>
        <v>Complete</v>
      </c>
      <c r="L845" s="93"/>
      <c r="M845" s="94">
        <f>IFERROR(__xludf.DUMMYFUNCTION("""COMPUTED_VALUE"""),46148.86576388888)</f>
        <v>46148.86576</v>
      </c>
      <c r="N845" s="93">
        <f>IFERROR(__xludf.DUMMYFUNCTION("""COMPUTED_VALUE"""),26.0)</f>
        <v>26</v>
      </c>
      <c r="O845" s="93" t="str">
        <f>IFERROR(__xludf.DUMMYFUNCTION("""COMPUTED_VALUE"""),"665 S. Skinker Boulevard Apt. 06B St Louis MO 63105")</f>
        <v>665 S. Skinker Boulevard Apt. 06B St Louis MO 63105</v>
      </c>
      <c r="P845" s="93" t="str">
        <f>IFERROR(__xludf.DUMMYFUNCTION("""COMPUTED_VALUE"""),"Kit Delivery")</f>
        <v>Kit Delivery</v>
      </c>
      <c r="Q845" s="93"/>
      <c r="R845" s="93"/>
      <c r="S845" s="93" t="str">
        <f>IFERROR(__xludf.DUMMYFUNCTION("""COMPUTED_VALUE"""),"Dispatch_Images/KIT--17480.Photos.014638.jpg")</f>
        <v>Dispatch_Images/KIT--17480.Photos.014638.jpg</v>
      </c>
      <c r="T845" s="95">
        <f>IFERROR(__xludf.DUMMYFUNCTION("""COMPUTED_VALUE"""),46148.872662037036)</f>
        <v>46148.87266</v>
      </c>
      <c r="U845" s="93"/>
      <c r="V845" s="93"/>
      <c r="W845" s="93"/>
      <c r="X845" s="93"/>
      <c r="Y845" s="93"/>
      <c r="Z845" s="93"/>
    </row>
    <row r="846">
      <c r="A846" s="93" t="str">
        <f>IFERROR(__xludf.DUMMYFUNCTION("""COMPUTED_VALUE"""),"KIT-#17738")</f>
        <v>KIT-#17738</v>
      </c>
      <c r="B846" s="94">
        <f>IFERROR(__xludf.DUMMYFUNCTION("""COMPUTED_VALUE"""),46155.0)</f>
        <v>46155</v>
      </c>
      <c r="C846" s="93" t="str">
        <f>IFERROR(__xludf.DUMMYFUNCTION("""COMPUTED_VALUE"""),"Kit Delivery")</f>
        <v>Kit Delivery</v>
      </c>
      <c r="D846" s="93">
        <f>IFERROR(__xludf.DUMMYFUNCTION("""COMPUTED_VALUE"""),2.0)</f>
        <v>2</v>
      </c>
      <c r="E846" s="93" t="str">
        <f>IFERROR(__xludf.DUMMYFUNCTION("""COMPUTED_VALUE"""),"Umrath")</f>
        <v>Umrath</v>
      </c>
      <c r="F846" s="93">
        <f>IFERROR(__xludf.DUMMYFUNCTION("""COMPUTED_VALUE"""),2240.0)</f>
        <v>2240</v>
      </c>
      <c r="G846" s="93" t="str">
        <f>IFERROR(__xludf.DUMMYFUNCTION("""COMPUTED_VALUE"""),"Jei Han Hall")</f>
        <v>Jei Han Hall</v>
      </c>
      <c r="H846" s="93">
        <f>IFERROR(__xludf.DUMMYFUNCTION("""COMPUTED_VALUE"""),4.077143201E9)</f>
        <v>4077143201</v>
      </c>
      <c r="I846" s="93" t="str">
        <f>IFERROR(__xludf.DUMMYFUNCTION("""COMPUTED_VALUE"""),"9AM-11AM")</f>
        <v>9AM-11AM</v>
      </c>
      <c r="J846" s="93">
        <f>IFERROR(__xludf.DUMMYFUNCTION("""COMPUTED_VALUE"""),1.0)</f>
        <v>1</v>
      </c>
      <c r="K846" s="93" t="str">
        <f>IFERROR(__xludf.DUMMYFUNCTION("""COMPUTED_VALUE"""),"Complete")</f>
        <v>Complete</v>
      </c>
      <c r="L846" s="93"/>
      <c r="M846" s="94">
        <f>IFERROR(__xludf.DUMMYFUNCTION("""COMPUTED_VALUE"""),46145.85019675926)</f>
        <v>46145.8502</v>
      </c>
      <c r="N846" s="93">
        <f>IFERROR(__xludf.DUMMYFUNCTION("""COMPUTED_VALUE"""),21.0)</f>
        <v>21</v>
      </c>
      <c r="O846" s="93"/>
      <c r="P846" s="93" t="str">
        <f>IFERROR(__xludf.DUMMYFUNCTION("""COMPUTED_VALUE"""),"Kit Delivery")</f>
        <v>Kit Delivery</v>
      </c>
      <c r="Q846" s="93"/>
      <c r="R846" s="93"/>
      <c r="S846" s="93" t="str">
        <f>IFERROR(__xludf.DUMMYFUNCTION("""COMPUTED_VALUE"""),"Dispatch_Images/KIT--17738.Photos.012414.jpg")</f>
        <v>Dispatch_Images/KIT--17738.Photos.012414.jpg</v>
      </c>
      <c r="T846" s="95">
        <f>IFERROR(__xludf.DUMMYFUNCTION("""COMPUTED_VALUE"""),46145.8518287037)</f>
        <v>46145.85183</v>
      </c>
      <c r="U846" s="93"/>
      <c r="V846" s="93"/>
      <c r="W846" s="93"/>
      <c r="X846" s="93"/>
      <c r="Y846" s="93"/>
      <c r="Z846" s="93"/>
    </row>
    <row r="847">
      <c r="A847" s="93" t="str">
        <f>IFERROR(__xludf.DUMMYFUNCTION("""COMPUTED_VALUE"""),"KIT-#17776")</f>
        <v>KIT-#17776</v>
      </c>
      <c r="B847" s="94">
        <f>IFERROR(__xludf.DUMMYFUNCTION("""COMPUTED_VALUE"""),46155.0)</f>
        <v>46155</v>
      </c>
      <c r="C847" s="93" t="str">
        <f>IFERROR(__xludf.DUMMYFUNCTION("""COMPUTED_VALUE"""),"Kit Delivery")</f>
        <v>Kit Delivery</v>
      </c>
      <c r="D847" s="93">
        <f>IFERROR(__xludf.DUMMYFUNCTION("""COMPUTED_VALUE"""),2.0)</f>
        <v>2</v>
      </c>
      <c r="E847" s="93" t="str">
        <f>IFERROR(__xludf.DUMMYFUNCTION("""COMPUTED_VALUE"""),"Beaumont")</f>
        <v>Beaumont</v>
      </c>
      <c r="F847" s="93">
        <f>IFERROR(__xludf.DUMMYFUNCTION("""COMPUTED_VALUE"""),303.0)</f>
        <v>303</v>
      </c>
      <c r="G847" s="93" t="str">
        <f>IFERROR(__xludf.DUMMYFUNCTION("""COMPUTED_VALUE"""),"Addison Burakiewicz")</f>
        <v>Addison Burakiewicz</v>
      </c>
      <c r="H847" s="93">
        <f>IFERROR(__xludf.DUMMYFUNCTION("""COMPUTED_VALUE"""),2.407516583E9)</f>
        <v>2407516583</v>
      </c>
      <c r="I847" s="93" t="str">
        <f>IFERROR(__xludf.DUMMYFUNCTION("""COMPUTED_VALUE"""),"10AM-12PM")</f>
        <v>10AM-12PM</v>
      </c>
      <c r="J847" s="93">
        <f>IFERROR(__xludf.DUMMYFUNCTION("""COMPUTED_VALUE"""),1.0)</f>
        <v>1</v>
      </c>
      <c r="K847" s="93" t="str">
        <f>IFERROR(__xludf.DUMMYFUNCTION("""COMPUTED_VALUE"""),"Complete")</f>
        <v>Complete</v>
      </c>
      <c r="L847" s="93"/>
      <c r="M847" s="94">
        <f>IFERROR(__xludf.DUMMYFUNCTION("""COMPUTED_VALUE"""),46145.86990740741)</f>
        <v>46145.86991</v>
      </c>
      <c r="N847" s="93">
        <f>IFERROR(__xludf.DUMMYFUNCTION("""COMPUTED_VALUE"""),8.0)</f>
        <v>8</v>
      </c>
      <c r="O847" s="93"/>
      <c r="P847" s="93" t="str">
        <f>IFERROR(__xludf.DUMMYFUNCTION("""COMPUTED_VALUE"""),"Kit Delivery")</f>
        <v>Kit Delivery</v>
      </c>
      <c r="Q847" s="93"/>
      <c r="R847" s="93"/>
      <c r="S847" s="93" t="str">
        <f>IFERROR(__xludf.DUMMYFUNCTION("""COMPUTED_VALUE"""),"Dispatch_Images/KIT--17776.Photos.015236.jpg")</f>
        <v>Dispatch_Images/KIT--17776.Photos.015236.jpg</v>
      </c>
      <c r="T847" s="95">
        <f>IFERROR(__xludf.DUMMYFUNCTION("""COMPUTED_VALUE"""),46145.87267361111)</f>
        <v>46145.87267</v>
      </c>
      <c r="U847" s="93"/>
      <c r="V847" s="93"/>
      <c r="W847" s="93"/>
      <c r="X847" s="93"/>
      <c r="Y847" s="93"/>
      <c r="Z847" s="93"/>
    </row>
    <row r="848">
      <c r="A848" s="93" t="str">
        <f>IFERROR(__xludf.DUMMYFUNCTION("""COMPUTED_VALUE"""),"KIT-#18006")</f>
        <v>KIT-#18006</v>
      </c>
      <c r="B848" s="94">
        <f>IFERROR(__xludf.DUMMYFUNCTION("""COMPUTED_VALUE"""),46155.0)</f>
        <v>46155</v>
      </c>
      <c r="C848" s="93" t="str">
        <f>IFERROR(__xludf.DUMMYFUNCTION("""COMPUTED_VALUE"""),"Kit Delivery")</f>
        <v>Kit Delivery</v>
      </c>
      <c r="D848" s="93">
        <f>IFERROR(__xludf.DUMMYFUNCTION("""COMPUTED_VALUE"""),2.0)</f>
        <v>2</v>
      </c>
      <c r="E848" s="93" t="str">
        <f>IFERROR(__xludf.DUMMYFUNCTION("""COMPUTED_VALUE"""),"LL6300")</f>
        <v>LL6300</v>
      </c>
      <c r="F848" s="93" t="str">
        <f>IFERROR(__xludf.DUMMYFUNCTION("""COMPUTED_VALUE"""),"103b")</f>
        <v>103b</v>
      </c>
      <c r="G848" s="93" t="str">
        <f>IFERROR(__xludf.DUMMYFUNCTION("""COMPUTED_VALUE"""),"Samira Saleh")</f>
        <v>Samira Saleh</v>
      </c>
      <c r="H848" s="93">
        <f>IFERROR(__xludf.DUMMYFUNCTION("""COMPUTED_VALUE"""),9.143279547E9)</f>
        <v>9143279547</v>
      </c>
      <c r="I848" s="93" t="str">
        <f>IFERROR(__xludf.DUMMYFUNCTION("""COMPUTED_VALUE"""),"9AM-11AM")</f>
        <v>9AM-11AM</v>
      </c>
      <c r="J848" s="93">
        <f>IFERROR(__xludf.DUMMYFUNCTION("""COMPUTED_VALUE"""),1.0)</f>
        <v>1</v>
      </c>
      <c r="K848" s="93" t="str">
        <f>IFERROR(__xludf.DUMMYFUNCTION("""COMPUTED_VALUE"""),"Complete")</f>
        <v>Complete</v>
      </c>
      <c r="L848" s="93"/>
      <c r="M848" s="94">
        <f>IFERROR(__xludf.DUMMYFUNCTION("""COMPUTED_VALUE"""),46145.99990740741)</f>
        <v>46145.99991</v>
      </c>
      <c r="N848" s="93">
        <f>IFERROR(__xludf.DUMMYFUNCTION("""COMPUTED_VALUE"""),45.0)</f>
        <v>45</v>
      </c>
      <c r="O848" s="93" t="str">
        <f>IFERROR(__xludf.DUMMYFUNCTION("""COMPUTED_VALUE"""),"133 Crescent Place 2nd FL
Yonkers, NY 10704")</f>
        <v>133 Crescent Place 2nd FL
Yonkers, NY 10704</v>
      </c>
      <c r="P848" s="93" t="str">
        <f>IFERROR(__xludf.DUMMYFUNCTION("""COMPUTED_VALUE"""),"Kit Delivery")</f>
        <v>Kit Delivery</v>
      </c>
      <c r="Q848" s="93"/>
      <c r="R848" s="93"/>
      <c r="S848" s="93" t="str">
        <f>IFERROR(__xludf.DUMMYFUNCTION("""COMPUTED_VALUE"""),"Dispatch_Images/KIT--18006.Photos.045948.jpg")</f>
        <v>Dispatch_Images/KIT--18006.Photos.045948.jpg</v>
      </c>
      <c r="T848" s="95">
        <f>IFERROR(__xludf.DUMMYFUNCTION("""COMPUTED_VALUE"""),46146.00460648148)</f>
        <v>46146.00461</v>
      </c>
      <c r="U848" s="93"/>
      <c r="V848" s="93"/>
      <c r="W848" s="93"/>
      <c r="X848" s="93"/>
      <c r="Y848" s="93"/>
      <c r="Z848" s="93"/>
    </row>
    <row r="849">
      <c r="A849" s="93" t="str">
        <f>IFERROR(__xludf.DUMMYFUNCTION("""COMPUTED_VALUE"""),"KIT-#18242")</f>
        <v>KIT-#18242</v>
      </c>
      <c r="B849" s="94">
        <f>IFERROR(__xludf.DUMMYFUNCTION("""COMPUTED_VALUE"""),46155.0)</f>
        <v>46155</v>
      </c>
      <c r="C849" s="93" t="str">
        <f>IFERROR(__xludf.DUMMYFUNCTION("""COMPUTED_VALUE"""),"Kit Delivery")</f>
        <v>Kit Delivery</v>
      </c>
      <c r="D849" s="93">
        <f>IFERROR(__xludf.DUMMYFUNCTION("""COMPUTED_VALUE"""),2.0)</f>
        <v>2</v>
      </c>
      <c r="E849" s="93" t="str">
        <f>IFERROR(__xludf.DUMMYFUNCTION("""COMPUTED_VALUE"""),"Eliot A")</f>
        <v>Eliot A</v>
      </c>
      <c r="F849" s="93">
        <f>IFERROR(__xludf.DUMMYFUNCTION("""COMPUTED_VALUE"""),1031.0)</f>
        <v>1031</v>
      </c>
      <c r="G849" s="93" t="str">
        <f>IFERROR(__xludf.DUMMYFUNCTION("""COMPUTED_VALUE"""),"Spencer Yamamoto")</f>
        <v>Spencer Yamamoto</v>
      </c>
      <c r="H849" s="93">
        <f>IFERROR(__xludf.DUMMYFUNCTION("""COMPUTED_VALUE"""),8.083695904E9)</f>
        <v>8083695904</v>
      </c>
      <c r="I849" s="93" t="str">
        <f>IFERROR(__xludf.DUMMYFUNCTION("""COMPUTED_VALUE"""),"10AM-12PM")</f>
        <v>10AM-12PM</v>
      </c>
      <c r="J849" s="93">
        <f>IFERROR(__xludf.DUMMYFUNCTION("""COMPUTED_VALUE"""),1.0)</f>
        <v>1</v>
      </c>
      <c r="K849" s="93" t="str">
        <f>IFERROR(__xludf.DUMMYFUNCTION("""COMPUTED_VALUE"""),"Complete")</f>
        <v>Complete</v>
      </c>
      <c r="L849" s="93"/>
      <c r="M849" s="94">
        <f>IFERROR(__xludf.DUMMYFUNCTION("""COMPUTED_VALUE"""),46146.75681712963)</f>
        <v>46146.75682</v>
      </c>
      <c r="N849" s="93">
        <f>IFERROR(__xludf.DUMMYFUNCTION("""COMPUTED_VALUE"""),1.0)</f>
        <v>1</v>
      </c>
      <c r="O849" s="93"/>
      <c r="P849" s="93" t="str">
        <f>IFERROR(__xludf.DUMMYFUNCTION("""COMPUTED_VALUE"""),"Kit Delivery")</f>
        <v>Kit Delivery</v>
      </c>
      <c r="Q849" s="93"/>
      <c r="R849" s="93"/>
      <c r="S849" s="93" t="str">
        <f>IFERROR(__xludf.DUMMYFUNCTION("""COMPUTED_VALUE"""),"Dispatch_Images/KIT--18242.Photos.230946.jpg")</f>
        <v>Dispatch_Images/KIT--18242.Photos.230946.jpg</v>
      </c>
      <c r="T849" s="95">
        <f>IFERROR(__xludf.DUMMYFUNCTION("""COMPUTED_VALUE"""),46146.76153935185)</f>
        <v>46146.76154</v>
      </c>
      <c r="U849" s="93"/>
      <c r="V849" s="93"/>
      <c r="W849" s="93"/>
      <c r="X849" s="93"/>
      <c r="Y849" s="93"/>
      <c r="Z849" s="93"/>
    </row>
    <row r="850">
      <c r="A850" s="93" t="str">
        <f>IFERROR(__xludf.DUMMYFUNCTION("""COMPUTED_VALUE"""),"KIT-#18266")</f>
        <v>KIT-#18266</v>
      </c>
      <c r="B850" s="94">
        <f>IFERROR(__xludf.DUMMYFUNCTION("""COMPUTED_VALUE"""),46155.0)</f>
        <v>46155</v>
      </c>
      <c r="C850" s="93" t="str">
        <f>IFERROR(__xludf.DUMMYFUNCTION("""COMPUTED_VALUE"""),"Kit Delivery")</f>
        <v>Kit Delivery</v>
      </c>
      <c r="D850" s="93">
        <f>IFERROR(__xludf.DUMMYFUNCTION("""COMPUTED_VALUE"""),3.0)</f>
        <v>3</v>
      </c>
      <c r="E850" s="93" t="str">
        <f>IFERROR(__xludf.DUMMYFUNCTION("""COMPUTED_VALUE"""),"Unknown Building")</f>
        <v>Unknown Building</v>
      </c>
      <c r="F850" s="93"/>
      <c r="G850" s="93" t="str">
        <f>IFERROR(__xludf.DUMMYFUNCTION("""COMPUTED_VALUE"""),"Emma Borys")</f>
        <v>Emma Borys</v>
      </c>
      <c r="H850" s="93">
        <f>IFERROR(__xludf.DUMMYFUNCTION("""COMPUTED_VALUE"""),9.079031835E9)</f>
        <v>9079031835</v>
      </c>
      <c r="I850" s="93"/>
      <c r="J850" s="93"/>
      <c r="K850" s="93" t="str">
        <f>IFERROR(__xludf.DUMMYFUNCTION("""COMPUTED_VALUE"""),"Complete")</f>
        <v>Complete</v>
      </c>
      <c r="L850" s="93"/>
      <c r="M850" s="93"/>
      <c r="N850" s="93">
        <f>IFERROR(__xludf.DUMMYFUNCTION("""COMPUTED_VALUE"""),43.0)</f>
        <v>43</v>
      </c>
      <c r="O850" s="93" t="str">
        <f>IFERROR(__xludf.DUMMYFUNCTION("""COMPUTED_VALUE"""),"Elliott B")</f>
        <v>Elliott B</v>
      </c>
      <c r="P850" s="93" t="str">
        <f>IFERROR(__xludf.DUMMYFUNCTION("""COMPUTED_VALUE"""),"Kit Delivery")</f>
        <v>Kit Delivery</v>
      </c>
      <c r="Q850" s="93" t="str">
        <f>IFERROR(__xludf.DUMMYFUNCTION("""COMPUTED_VALUE"""),"⚠️ MISSING BUILDING in source row 20; MISSING ROOM in source row 20 — Housing has approved extension, moving from Umrath to Elliott B for the summer")</f>
        <v>⚠️ MISSING BUILDING in source row 20; MISSING ROOM in source row 20 — Housing has approved extension, moving from Umrath to Elliott B for the summer</v>
      </c>
      <c r="R850" s="93"/>
      <c r="S850" s="93"/>
      <c r="T850" s="95">
        <f>IFERROR(__xludf.DUMMYFUNCTION("""COMPUTED_VALUE"""),46148.50460648148)</f>
        <v>46148.50461</v>
      </c>
      <c r="U850" s="93"/>
      <c r="V850" s="93"/>
      <c r="W850" s="93"/>
      <c r="X850" s="93"/>
      <c r="Y850" s="93"/>
      <c r="Z850" s="93"/>
    </row>
    <row r="851">
      <c r="A851" s="93" t="str">
        <f>IFERROR(__xludf.DUMMYFUNCTION("""COMPUTED_VALUE"""),"KIT-#17665")</f>
        <v>KIT-#17665</v>
      </c>
      <c r="B851" s="94">
        <f>IFERROR(__xludf.DUMMYFUNCTION("""COMPUTED_VALUE"""),46155.0)</f>
        <v>46155</v>
      </c>
      <c r="C851" s="93" t="str">
        <f>IFERROR(__xludf.DUMMYFUNCTION("""COMPUTED_VALUE"""),"Kit Delivery")</f>
        <v>Kit Delivery</v>
      </c>
      <c r="D851" s="93">
        <f>IFERROR(__xludf.DUMMYFUNCTION("""COMPUTED_VALUE"""),2.0)</f>
        <v>2</v>
      </c>
      <c r="E851" s="93" t="str">
        <f>IFERROR(__xludf.DUMMYFUNCTION("""COMPUTED_VALUE"""),"Off-Campus")</f>
        <v>Off-Campus</v>
      </c>
      <c r="F851" s="93"/>
      <c r="G851" s="93" t="str">
        <f>IFERROR(__xludf.DUMMYFUNCTION("""COMPUTED_VALUE"""),"Saidie Dolman")</f>
        <v>Saidie Dolman</v>
      </c>
      <c r="H851" s="93">
        <f>IFERROR(__xludf.DUMMYFUNCTION("""COMPUTED_VALUE"""),9.176567311E9)</f>
        <v>9176567311</v>
      </c>
      <c r="I851" s="93" t="str">
        <f>IFERROR(__xludf.DUMMYFUNCTION("""COMPUTED_VALUE"""),"3PM-5PM")</f>
        <v>3PM-5PM</v>
      </c>
      <c r="J851" s="93">
        <f>IFERROR(__xludf.DUMMYFUNCTION("""COMPUTED_VALUE"""),1.0)</f>
        <v>1</v>
      </c>
      <c r="K851" s="93" t="str">
        <f>IFERROR(__xludf.DUMMYFUNCTION("""COMPUTED_VALUE"""),"Complete")</f>
        <v>Complete</v>
      </c>
      <c r="L851" s="93"/>
      <c r="M851" s="94">
        <f>IFERROR(__xludf.DUMMYFUNCTION("""COMPUTED_VALUE"""),46148.78592592593)</f>
        <v>46148.78593</v>
      </c>
      <c r="N851" s="93">
        <f>IFERROR(__xludf.DUMMYFUNCTION("""COMPUTED_VALUE"""),33.0)</f>
        <v>33</v>
      </c>
      <c r="O851" s="93" t="str">
        <f>IFERROR(__xludf.DUMMYFUNCTION("""COMPUTED_VALUE"""),"6666 Washington Ave apt 3E")</f>
        <v>6666 Washington Ave apt 3E</v>
      </c>
      <c r="P851" s="93" t="str">
        <f>IFERROR(__xludf.DUMMYFUNCTION("""COMPUTED_VALUE"""),"Kit Delivery")</f>
        <v>Kit Delivery</v>
      </c>
      <c r="Q851" s="93"/>
      <c r="R851" s="93"/>
      <c r="S851" s="93" t="str">
        <f>IFERROR(__xludf.DUMMYFUNCTION("""COMPUTED_VALUE"""),"Dispatch_Images/KIT--17665.Photos.235141.jpg")</f>
        <v>Dispatch_Images/KIT--17665.Photos.235141.jpg</v>
      </c>
      <c r="T851" s="95">
        <f>IFERROR(__xludf.DUMMYFUNCTION("""COMPUTED_VALUE"""),46148.78931712963)</f>
        <v>46148.78932</v>
      </c>
      <c r="U851" s="93"/>
      <c r="V851" s="93"/>
      <c r="W851" s="93"/>
      <c r="X851" s="93"/>
      <c r="Y851" s="93"/>
      <c r="Z851" s="93"/>
    </row>
    <row r="852">
      <c r="A852" s="93" t="str">
        <f>IFERROR(__xludf.DUMMYFUNCTION("""COMPUTED_VALUE"""),"KIT-#18058")</f>
        <v>KIT-#18058</v>
      </c>
      <c r="B852" s="94">
        <f>IFERROR(__xludf.DUMMYFUNCTION("""COMPUTED_VALUE"""),46155.0)</f>
        <v>46155</v>
      </c>
      <c r="C852" s="93" t="str">
        <f>IFERROR(__xludf.DUMMYFUNCTION("""COMPUTED_VALUE"""),"Kit Delivery")</f>
        <v>Kit Delivery</v>
      </c>
      <c r="D852" s="93">
        <f>IFERROR(__xludf.DUMMYFUNCTION("""COMPUTED_VALUE"""),2.0)</f>
        <v>2</v>
      </c>
      <c r="E852" s="93" t="str">
        <f>IFERROR(__xludf.DUMMYFUNCTION("""COMPUTED_VALUE"""),"Off-Campus")</f>
        <v>Off-Campus</v>
      </c>
      <c r="F852" s="93"/>
      <c r="G852" s="93" t="str">
        <f>IFERROR(__xludf.DUMMYFUNCTION("""COMPUTED_VALUE"""),"Ellie Tirschwell")</f>
        <v>Ellie Tirschwell</v>
      </c>
      <c r="H852" s="93">
        <f>IFERROR(__xludf.DUMMYFUNCTION("""COMPUTED_VALUE"""),9.172152585E9)</f>
        <v>9172152585</v>
      </c>
      <c r="I852" s="93" t="str">
        <f>IFERROR(__xludf.DUMMYFUNCTION("""COMPUTED_VALUE"""),"1PM-3PM")</f>
        <v>1PM-3PM</v>
      </c>
      <c r="J852" s="93">
        <f>IFERROR(__xludf.DUMMYFUNCTION("""COMPUTED_VALUE"""),3.0)</f>
        <v>3</v>
      </c>
      <c r="K852" s="93" t="str">
        <f>IFERROR(__xludf.DUMMYFUNCTION("""COMPUTED_VALUE"""),"Complete")</f>
        <v>Complete</v>
      </c>
      <c r="L852" s="93"/>
      <c r="M852" s="94">
        <f>IFERROR(__xludf.DUMMYFUNCTION("""COMPUTED_VALUE"""),46148.78939814815)</f>
        <v>46148.7894</v>
      </c>
      <c r="N852" s="93">
        <f>IFERROR(__xludf.DUMMYFUNCTION("""COMPUTED_VALUE"""),37.0)</f>
        <v>37</v>
      </c>
      <c r="O852" s="93" t="str">
        <f>IFERROR(__xludf.DUMMYFUNCTION("""COMPUTED_VALUE"""),"6843 Kingsbury Blvd, University City, MO 63130 2W")</f>
        <v>6843 Kingsbury Blvd, University City, MO 63130 2W</v>
      </c>
      <c r="P852" s="93" t="str">
        <f>IFERROR(__xludf.DUMMYFUNCTION("""COMPUTED_VALUE"""),"Kit Delivery")</f>
        <v>Kit Delivery</v>
      </c>
      <c r="Q852" s="93"/>
      <c r="R852" s="93"/>
      <c r="S852" s="93" t="str">
        <f>IFERROR(__xludf.DUMMYFUNCTION("""COMPUTED_VALUE"""),"Dispatch_Images/KIT--18058.Photos.235641.jpg")</f>
        <v>Dispatch_Images/KIT--18058.Photos.235641.jpg</v>
      </c>
      <c r="T852" s="95">
        <f>IFERROR(__xludf.DUMMYFUNCTION("""COMPUTED_VALUE"""),46148.79628472222)</f>
        <v>46148.79628</v>
      </c>
      <c r="U852" s="93"/>
      <c r="V852" s="93"/>
      <c r="W852" s="93"/>
      <c r="X852" s="93"/>
      <c r="Y852" s="93"/>
      <c r="Z852" s="93"/>
    </row>
    <row r="853">
      <c r="A853" s="93" t="str">
        <f>IFERROR(__xludf.DUMMYFUNCTION("""COMPUTED_VALUE"""),"KIT-#18155")</f>
        <v>KIT-#18155</v>
      </c>
      <c r="B853" s="94">
        <f>IFERROR(__xludf.DUMMYFUNCTION("""COMPUTED_VALUE"""),46155.0)</f>
        <v>46155</v>
      </c>
      <c r="C853" s="93" t="str">
        <f>IFERROR(__xludf.DUMMYFUNCTION("""COMPUTED_VALUE"""),"Kit Delivery")</f>
        <v>Kit Delivery</v>
      </c>
      <c r="D853" s="93">
        <f>IFERROR(__xludf.DUMMYFUNCTION("""COMPUTED_VALUE"""),2.0)</f>
        <v>2</v>
      </c>
      <c r="E853" s="93" t="str">
        <f>IFERROR(__xludf.DUMMYFUNCTION("""COMPUTED_VALUE"""),"Off-Campus")</f>
        <v>Off-Campus</v>
      </c>
      <c r="F853" s="93"/>
      <c r="G853" s="93" t="str">
        <f>IFERROR(__xludf.DUMMYFUNCTION("""COMPUTED_VALUE"""),"Megan Suarez")</f>
        <v>Megan Suarez</v>
      </c>
      <c r="H853" s="93">
        <f>IFERROR(__xludf.DUMMYFUNCTION("""COMPUTED_VALUE"""),4.25599756E9)</f>
        <v>4255997560</v>
      </c>
      <c r="I853" s="93" t="str">
        <f>IFERROR(__xludf.DUMMYFUNCTION("""COMPUTED_VALUE"""),"3PM-5PM")</f>
        <v>3PM-5PM</v>
      </c>
      <c r="J853" s="93">
        <f>IFERROR(__xludf.DUMMYFUNCTION("""COMPUTED_VALUE"""),1.0)</f>
        <v>1</v>
      </c>
      <c r="K853" s="93" t="str">
        <f>IFERROR(__xludf.DUMMYFUNCTION("""COMPUTED_VALUE"""),"Complete")</f>
        <v>Complete</v>
      </c>
      <c r="L853" s="93"/>
      <c r="M853" s="94">
        <f>IFERROR(__xludf.DUMMYFUNCTION("""COMPUTED_VALUE"""),46148.79373842593)</f>
        <v>46148.79374</v>
      </c>
      <c r="N853" s="93">
        <f>IFERROR(__xludf.DUMMYFUNCTION("""COMPUTED_VALUE"""),41.0)</f>
        <v>41</v>
      </c>
      <c r="O853" s="93" t="str">
        <f>IFERROR(__xludf.DUMMYFUNCTION("""COMPUTED_VALUE"""),"605 Leland Ave Apt 405, University City, MO 63130")</f>
        <v>605 Leland Ave Apt 405, University City, MO 63130</v>
      </c>
      <c r="P853" s="93" t="str">
        <f>IFERROR(__xludf.DUMMYFUNCTION("""COMPUTED_VALUE"""),"Kit Delivery")</f>
        <v>Kit Delivery</v>
      </c>
      <c r="Q853" s="93"/>
      <c r="R853" s="93"/>
      <c r="S853" s="93" t="str">
        <f>IFERROR(__xludf.DUMMYFUNCTION("""COMPUTED_VALUE"""),"Dispatch_Images/KIT--18155.Photos.000254.jpg")</f>
        <v>Dispatch_Images/KIT--18155.Photos.000254.jpg</v>
      </c>
      <c r="T853" s="95">
        <f>IFERROR(__xludf.DUMMYFUNCTION("""COMPUTED_VALUE"""),46148.79628472222)</f>
        <v>46148.79628</v>
      </c>
      <c r="U853" s="93"/>
      <c r="V853" s="93"/>
      <c r="W853" s="93"/>
      <c r="X853" s="93"/>
      <c r="Y853" s="93"/>
      <c r="Z853" s="93"/>
    </row>
    <row r="854">
      <c r="A854" s="93" t="str">
        <f>IFERROR(__xludf.DUMMYFUNCTION("""COMPUTED_VALUE"""),"KIT-#18359-SS")</f>
        <v>KIT-#18359-SS</v>
      </c>
      <c r="B854" s="94">
        <f>IFERROR(__xludf.DUMMYFUNCTION("""COMPUTED_VALUE"""),46155.0)</f>
        <v>46155</v>
      </c>
      <c r="C854" s="93"/>
      <c r="D854" s="93">
        <f>IFERROR(__xludf.DUMMYFUNCTION("""COMPUTED_VALUE"""),1.0)</f>
        <v>1</v>
      </c>
      <c r="E854" s="93" t="str">
        <f>IFERROR(__xludf.DUMMYFUNCTION("""COMPUTED_VALUE"""),"Eliot A")</f>
        <v>Eliot A</v>
      </c>
      <c r="F854" s="93">
        <f>IFERROR(__xludf.DUMMYFUNCTION("""COMPUTED_VALUE"""),3054.0)</f>
        <v>3054</v>
      </c>
      <c r="G854" s="93" t="str">
        <f>IFERROR(__xludf.DUMMYFUNCTION("""COMPUTED_VALUE"""),"Ken Ongnithiwat")</f>
        <v>Ken Ongnithiwat</v>
      </c>
      <c r="H854" s="93">
        <f>IFERROR(__xludf.DUMMYFUNCTION("""COMPUTED_VALUE"""),6.6647951919E10)</f>
        <v>66647951919</v>
      </c>
      <c r="I854" s="93" t="str">
        <f>IFERROR(__xludf.DUMMYFUNCTION("""COMPUTED_VALUE"""),"03:00 PM to 05:00 PM")</f>
        <v>03:00 PM to 05:00 PM</v>
      </c>
      <c r="J854" s="93">
        <f>IFERROR(__xludf.DUMMYFUNCTION("""COMPUTED_VALUE"""),1.0)</f>
        <v>1</v>
      </c>
      <c r="K854" s="93" t="str">
        <f>IFERROR(__xludf.DUMMYFUNCTION("""COMPUTED_VALUE"""),"Complete")</f>
        <v>Complete</v>
      </c>
      <c r="L854" s="93"/>
      <c r="M854" s="94">
        <f>IFERROR(__xludf.DUMMYFUNCTION("""COMPUTED_VALUE"""),46150.63641203704)</f>
        <v>46150.63641</v>
      </c>
      <c r="N854" s="93">
        <f>IFERROR(__xludf.DUMMYFUNCTION("""COMPUTED_VALUE"""),795.0)</f>
        <v>795</v>
      </c>
      <c r="O854" s="93"/>
      <c r="P854" s="93" t="str">
        <f>IFERROR(__xludf.DUMMYFUNCTION("""COMPUTED_VALUE"""),"Kit Delivery")</f>
        <v>Kit Delivery</v>
      </c>
      <c r="Q854" s="93" t="str">
        <f>IFERROR(__xludf.DUMMYFUNCTION("""COMPUTED_VALUE"""),"can i get the boxes earlier?
i have two fridges")</f>
        <v>can i get the boxes earlier?
i have two fridges</v>
      </c>
      <c r="R854" s="93"/>
      <c r="S854" s="93"/>
      <c r="T854" s="95">
        <f>IFERROR(__xludf.DUMMYFUNCTION("""COMPUTED_VALUE"""),46150.64349537037)</f>
        <v>46150.6435</v>
      </c>
      <c r="U854" s="93"/>
      <c r="V854" s="93"/>
      <c r="W854" s="93"/>
      <c r="X854" s="93"/>
      <c r="Y854" s="93"/>
      <c r="Z854" s="93"/>
    </row>
    <row r="855">
      <c r="A855" s="93" t="str">
        <f>IFERROR(__xludf.DUMMYFUNCTION("""COMPUTED_VALUE"""),"KIT-#18324-HS")</f>
        <v>KIT-#18324-HS</v>
      </c>
      <c r="B855" s="94">
        <f>IFERROR(__xludf.DUMMYFUNCTION("""COMPUTED_VALUE"""),46155.0)</f>
        <v>46155</v>
      </c>
      <c r="C855" s="93"/>
      <c r="D855" s="93">
        <f>IFERROR(__xludf.DUMMYFUNCTION("""COMPUTED_VALUE"""),1.0)</f>
        <v>1</v>
      </c>
      <c r="E855" s="93" t="str">
        <f>IFERROR(__xludf.DUMMYFUNCTION("""COMPUTED_VALUE"""),"Village House")</f>
        <v>Village House</v>
      </c>
      <c r="F855" s="93">
        <f>IFERROR(__xludf.DUMMYFUNCTION("""COMPUTED_VALUE"""),2011.0)</f>
        <v>2011</v>
      </c>
      <c r="G855" s="93" t="str">
        <f>IFERROR(__xludf.DUMMYFUNCTION("""COMPUTED_VALUE"""),"Leslie Sackey")</f>
        <v>Leslie Sackey</v>
      </c>
      <c r="H855" s="93">
        <f>IFERROR(__xludf.DUMMYFUNCTION("""COMPUTED_VALUE"""),9.085912437E9)</f>
        <v>9085912437</v>
      </c>
      <c r="I855" s="93" t="str">
        <f>IFERROR(__xludf.DUMMYFUNCTION("""COMPUTED_VALUE"""),"01:00 PM to 03:00 PM")</f>
        <v>01:00 PM to 03:00 PM</v>
      </c>
      <c r="J855" s="93">
        <f>IFERROR(__xludf.DUMMYFUNCTION("""COMPUTED_VALUE"""),1.0)</f>
        <v>1</v>
      </c>
      <c r="K855" s="93" t="str">
        <f>IFERROR(__xludf.DUMMYFUNCTION("""COMPUTED_VALUE"""),"Complete")</f>
        <v>Complete</v>
      </c>
      <c r="L855" s="93"/>
      <c r="M855" s="94">
        <f>IFERROR(__xludf.DUMMYFUNCTION("""COMPUTED_VALUE"""),46150.72622685185)</f>
        <v>46150.72623</v>
      </c>
      <c r="N855" s="93">
        <f>IFERROR(__xludf.DUMMYFUNCTION("""COMPUTED_VALUE"""),1388.0)</f>
        <v>1388</v>
      </c>
      <c r="O855" s="93" t="str">
        <f>IFERROR(__xludf.DUMMYFUNCTION("""COMPUTED_VALUE"""),"1535 Rose Terrace
Union Township, NJ 07083")</f>
        <v>1535 Rose Terrace
Union Township, NJ 07083</v>
      </c>
      <c r="P855" s="93" t="str">
        <f>IFERROR(__xludf.DUMMYFUNCTION("""COMPUTED_VALUE"""),"Kit Delivery")</f>
        <v>Kit Delivery</v>
      </c>
      <c r="Q855" s="93"/>
      <c r="R855" s="93"/>
      <c r="S855" s="93"/>
      <c r="T855" s="95">
        <f>IFERROR(__xludf.DUMMYFUNCTION("""COMPUTED_VALUE"""),46150.7268287037)</f>
        <v>46150.72683</v>
      </c>
      <c r="U855" s="93"/>
      <c r="V855" s="93"/>
      <c r="W855" s="93"/>
      <c r="X855" s="93"/>
      <c r="Y855" s="93"/>
      <c r="Z855" s="93"/>
    </row>
    <row r="856">
      <c r="A856" s="93" t="str">
        <f>IFERROR(__xludf.DUMMYFUNCTION("""COMPUTED_VALUE"""),"KIT-#18359")</f>
        <v>KIT-#18359</v>
      </c>
      <c r="B856" s="94">
        <f>IFERROR(__xludf.DUMMYFUNCTION("""COMPUTED_VALUE"""),46155.0)</f>
        <v>46155</v>
      </c>
      <c r="C856" s="93" t="str">
        <f>IFERROR(__xludf.DUMMYFUNCTION("""COMPUTED_VALUE"""),"Kit Delivery")</f>
        <v>Kit Delivery</v>
      </c>
      <c r="D856" s="93">
        <f>IFERROR(__xludf.DUMMYFUNCTION("""COMPUTED_VALUE"""),1.0)</f>
        <v>1</v>
      </c>
      <c r="E856" s="93" t="str">
        <f>IFERROR(__xludf.DUMMYFUNCTION("""COMPUTED_VALUE"""),"Eliot A")</f>
        <v>Eliot A</v>
      </c>
      <c r="F856" s="93">
        <f>IFERROR(__xludf.DUMMYFUNCTION("""COMPUTED_VALUE"""),3054.0)</f>
        <v>3054</v>
      </c>
      <c r="G856" s="93" t="str">
        <f>IFERROR(__xludf.DUMMYFUNCTION("""COMPUTED_VALUE"""),"Ken Ongnithiwat")</f>
        <v>Ken Ongnithiwat</v>
      </c>
      <c r="H856" s="93">
        <f>IFERROR(__xludf.DUMMYFUNCTION("""COMPUTED_VALUE"""),6.6647951919E10)</f>
        <v>66647951919</v>
      </c>
      <c r="I856" s="93" t="str">
        <f>IFERROR(__xludf.DUMMYFUNCTION("""COMPUTED_VALUE"""),"3PM-5PM")</f>
        <v>3PM-5PM</v>
      </c>
      <c r="J856" s="93">
        <f>IFERROR(__xludf.DUMMYFUNCTION("""COMPUTED_VALUE"""),1.0)</f>
        <v>1</v>
      </c>
      <c r="K856" s="93" t="str">
        <f>IFERROR(__xludf.DUMMYFUNCTION("""COMPUTED_VALUE"""),"Complete")</f>
        <v>Complete</v>
      </c>
      <c r="L856" s="93"/>
      <c r="M856" s="94">
        <f>IFERROR(__xludf.DUMMYFUNCTION("""COMPUTED_VALUE"""),46151.41149305555)</f>
        <v>46151.41149</v>
      </c>
      <c r="N856" s="93">
        <f>IFERROR(__xludf.DUMMYFUNCTION("""COMPUTED_VALUE"""),1.0)</f>
        <v>1</v>
      </c>
      <c r="O856" s="93"/>
      <c r="P856" s="93" t="str">
        <f>IFERROR(__xludf.DUMMYFUNCTION("""COMPUTED_VALUE"""),"Kit Delivery")</f>
        <v>Kit Delivery</v>
      </c>
      <c r="Q856" s="93" t="str">
        <f>IFERROR(__xludf.DUMMYFUNCTION("""COMPUTED_VALUE"""),"can i get the boxes earlier?
i have two fridges")</f>
        <v>can i get the boxes earlier?
i have two fridges</v>
      </c>
      <c r="R856" s="93"/>
      <c r="S856" s="93"/>
      <c r="T856" s="95">
        <f>IFERROR(__xludf.DUMMYFUNCTION("""COMPUTED_VALUE"""),46151.41434027778)</f>
        <v>46151.41434</v>
      </c>
      <c r="U856" s="93"/>
      <c r="V856" s="93"/>
      <c r="W856" s="93"/>
      <c r="X856" s="93"/>
      <c r="Y856" s="93"/>
      <c r="Z856" s="93"/>
    </row>
    <row r="857">
      <c r="A857" s="93" t="str">
        <f>IFERROR(__xludf.DUMMYFUNCTION("""COMPUTED_VALUE"""),"KIT-#18324")</f>
        <v>KIT-#18324</v>
      </c>
      <c r="B857" s="94">
        <f>IFERROR(__xludf.DUMMYFUNCTION("""COMPUTED_VALUE"""),46155.0)</f>
        <v>46155</v>
      </c>
      <c r="C857" s="93" t="str">
        <f>IFERROR(__xludf.DUMMYFUNCTION("""COMPUTED_VALUE"""),"Kit Delivery")</f>
        <v>Kit Delivery</v>
      </c>
      <c r="D857" s="93">
        <f>IFERROR(__xludf.DUMMYFUNCTION("""COMPUTED_VALUE"""),1.0)</f>
        <v>1</v>
      </c>
      <c r="E857" s="93" t="str">
        <f>IFERROR(__xludf.DUMMYFUNCTION("""COMPUTED_VALUE"""),"Village House")</f>
        <v>Village House</v>
      </c>
      <c r="F857" s="93">
        <f>IFERROR(__xludf.DUMMYFUNCTION("""COMPUTED_VALUE"""),2011.0)</f>
        <v>2011</v>
      </c>
      <c r="G857" s="93" t="str">
        <f>IFERROR(__xludf.DUMMYFUNCTION("""COMPUTED_VALUE"""),"Leslie Sackey")</f>
        <v>Leslie Sackey</v>
      </c>
      <c r="H857" s="93">
        <f>IFERROR(__xludf.DUMMYFUNCTION("""COMPUTED_VALUE"""),9.085912437E9)</f>
        <v>9085912437</v>
      </c>
      <c r="I857" s="93" t="str">
        <f>IFERROR(__xludf.DUMMYFUNCTION("""COMPUTED_VALUE"""),"1PM-3PM")</f>
        <v>1PM-3PM</v>
      </c>
      <c r="J857" s="93">
        <f>IFERROR(__xludf.DUMMYFUNCTION("""COMPUTED_VALUE"""),1.0)</f>
        <v>1</v>
      </c>
      <c r="K857" s="93" t="str">
        <f>IFERROR(__xludf.DUMMYFUNCTION("""COMPUTED_VALUE"""),"Complete")</f>
        <v>Complete</v>
      </c>
      <c r="L857" s="93"/>
      <c r="M857" s="94">
        <f>IFERROR(__xludf.DUMMYFUNCTION("""COMPUTED_VALUE"""),46151.51201388889)</f>
        <v>46151.51201</v>
      </c>
      <c r="N857" s="93">
        <f>IFERROR(__xludf.DUMMYFUNCTION("""COMPUTED_VALUE"""),5.0)</f>
        <v>5</v>
      </c>
      <c r="O857" s="93" t="str">
        <f>IFERROR(__xludf.DUMMYFUNCTION("""COMPUTED_VALUE"""),"1535 Rose Terrace
Union Township, NJ 07083")</f>
        <v>1535 Rose Terrace
Union Township, NJ 07083</v>
      </c>
      <c r="P857" s="93" t="str">
        <f>IFERROR(__xludf.DUMMYFUNCTION("""COMPUTED_VALUE"""),"Kit Delivery")</f>
        <v>Kit Delivery</v>
      </c>
      <c r="Q857" s="93"/>
      <c r="R857" s="93"/>
      <c r="S857" s="93"/>
      <c r="T857" s="95">
        <f>IFERROR(__xludf.DUMMYFUNCTION("""COMPUTED_VALUE"""),46151.51850694444)</f>
        <v>46151.51851</v>
      </c>
      <c r="U857" s="93"/>
      <c r="V857" s="93"/>
      <c r="W857" s="93"/>
      <c r="X857" s="93"/>
      <c r="Y857" s="93"/>
      <c r="Z857" s="93"/>
    </row>
    <row r="858">
      <c r="A858" s="93" t="str">
        <f>IFERROR(__xludf.DUMMYFUNCTION("""COMPUTED_VALUE"""),"KIT-#18368")</f>
        <v>KIT-#18368</v>
      </c>
      <c r="B858" s="94">
        <f>IFERROR(__xludf.DUMMYFUNCTION("""COMPUTED_VALUE"""),46155.0)</f>
        <v>46155</v>
      </c>
      <c r="C858" s="93" t="str">
        <f>IFERROR(__xludf.DUMMYFUNCTION("""COMPUTED_VALUE"""),"Kit Delivery")</f>
        <v>Kit Delivery</v>
      </c>
      <c r="D858" s="93">
        <f>IFERROR(__xludf.DUMMYFUNCTION("""COMPUTED_VALUE"""),1.0)</f>
        <v>1</v>
      </c>
      <c r="E858" s="93" t="str">
        <f>IFERROR(__xludf.DUMMYFUNCTION("""COMPUTED_VALUE"""),"Off-Campus")</f>
        <v>Off-Campus</v>
      </c>
      <c r="F858" s="93"/>
      <c r="G858" s="93" t="str">
        <f>IFERROR(__xludf.DUMMYFUNCTION("""COMPUTED_VALUE"""),"Evan Hanning")</f>
        <v>Evan Hanning</v>
      </c>
      <c r="H858" s="93">
        <f>IFERROR(__xludf.DUMMYFUNCTION("""COMPUTED_VALUE"""),3.108740175E9)</f>
        <v>3108740175</v>
      </c>
      <c r="I858" s="93" t="str">
        <f>IFERROR(__xludf.DUMMYFUNCTION("""COMPUTED_VALUE"""),"2PM-4PM")</f>
        <v>2PM-4PM</v>
      </c>
      <c r="J858" s="93">
        <f>IFERROR(__xludf.DUMMYFUNCTION("""COMPUTED_VALUE"""),1.0)</f>
        <v>1</v>
      </c>
      <c r="K858" s="93" t="str">
        <f>IFERROR(__xludf.DUMMYFUNCTION("""COMPUTED_VALUE"""),"Complete")</f>
        <v>Complete</v>
      </c>
      <c r="L858" s="93"/>
      <c r="M858" s="94">
        <f>IFERROR(__xludf.DUMMYFUNCTION("""COMPUTED_VALUE"""),46151.64359953704)</f>
        <v>46151.6436</v>
      </c>
      <c r="N858" s="93">
        <f>IFERROR(__xludf.DUMMYFUNCTION("""COMPUTED_VALUE"""),16.0)</f>
        <v>16</v>
      </c>
      <c r="O858" s="93" t="str">
        <f>IFERROR(__xludf.DUMMYFUNCTION("""COMPUTED_VALUE"""),"605 S Leland Avenue #609")</f>
        <v>605 S Leland Avenue #609</v>
      </c>
      <c r="P858" s="93" t="str">
        <f>IFERROR(__xludf.DUMMYFUNCTION("""COMPUTED_VALUE"""),"Kit Delivery")</f>
        <v>Kit Delivery</v>
      </c>
      <c r="Q858" s="93"/>
      <c r="R858" s="93"/>
      <c r="S858" s="93"/>
      <c r="T858" s="95">
        <f>IFERROR(__xludf.DUMMYFUNCTION("""COMPUTED_VALUE"""),46151.65045138889)</f>
        <v>46151.65045</v>
      </c>
      <c r="U858" s="93"/>
      <c r="V858" s="93"/>
      <c r="W858" s="93"/>
      <c r="X858" s="93"/>
      <c r="Y858" s="93"/>
      <c r="Z858" s="93"/>
    </row>
    <row r="859">
      <c r="A859" s="93" t="str">
        <f>IFERROR(__xludf.DUMMYFUNCTION("""COMPUTED_VALUE"""),"KIT-#18178")</f>
        <v>KIT-#18178</v>
      </c>
      <c r="B859" s="94">
        <f>IFERROR(__xludf.DUMMYFUNCTION("""COMPUTED_VALUE"""),46156.0)</f>
        <v>46156</v>
      </c>
      <c r="C859" s="93" t="str">
        <f>IFERROR(__xludf.DUMMYFUNCTION("""COMPUTED_VALUE"""),"Kit Delivery")</f>
        <v>Kit Delivery</v>
      </c>
      <c r="D859" s="93">
        <f>IFERROR(__xludf.DUMMYFUNCTION("""COMPUTED_VALUE"""),2.0)</f>
        <v>2</v>
      </c>
      <c r="E859" s="93" t="str">
        <f>IFERROR(__xludf.DUMMYFUNCTION("""COMPUTED_VALUE"""),"Lopata")</f>
        <v>Lopata</v>
      </c>
      <c r="F859" s="93">
        <f>IFERROR(__xludf.DUMMYFUNCTION("""COMPUTED_VALUE"""),3082.0)</f>
        <v>3082</v>
      </c>
      <c r="G859" s="93" t="str">
        <f>IFERROR(__xludf.DUMMYFUNCTION("""COMPUTED_VALUE"""),"Alston")</f>
        <v>Alston</v>
      </c>
      <c r="H859" s="93">
        <f>IFERROR(__xludf.DUMMYFUNCTION("""COMPUTED_VALUE"""),4.042683403E9)</f>
        <v>4042683403</v>
      </c>
      <c r="I859" s="93" t="str">
        <f>IFERROR(__xludf.DUMMYFUNCTION("""COMPUTED_VALUE"""),"1PM-3PM")</f>
        <v>1PM-3PM</v>
      </c>
      <c r="J859" s="93">
        <f>IFERROR(__xludf.DUMMYFUNCTION("""COMPUTED_VALUE"""),1.0)</f>
        <v>1</v>
      </c>
      <c r="K859" s="93" t="str">
        <f>IFERROR(__xludf.DUMMYFUNCTION("""COMPUTED_VALUE"""),"Complete")</f>
        <v>Complete</v>
      </c>
      <c r="L859" s="93"/>
      <c r="M859" s="94">
        <f>IFERROR(__xludf.DUMMYFUNCTION("""COMPUTED_VALUE"""),46145.953252314815)</f>
        <v>46145.95325</v>
      </c>
      <c r="N859" s="93">
        <f>IFERROR(__xludf.DUMMYFUNCTION("""COMPUTED_VALUE"""),31.0)</f>
        <v>31</v>
      </c>
      <c r="O859" s="93"/>
      <c r="P859" s="93" t="str">
        <f>IFERROR(__xludf.DUMMYFUNCTION("""COMPUTED_VALUE"""),"Kit Delivery")</f>
        <v>Kit Delivery</v>
      </c>
      <c r="Q859" s="93"/>
      <c r="R859" s="93"/>
      <c r="S859" s="93" t="str">
        <f>IFERROR(__xludf.DUMMYFUNCTION("""COMPUTED_VALUE"""),"Dispatch_Images/KIT--18178.Photos.035238.jpg")</f>
        <v>Dispatch_Images/KIT--18178.Photos.035238.jpg</v>
      </c>
      <c r="T859" s="95">
        <f>IFERROR(__xludf.DUMMYFUNCTION("""COMPUTED_VALUE"""),46145.95599537037)</f>
        <v>46145.956</v>
      </c>
      <c r="U859" s="93"/>
      <c r="V859" s="93"/>
      <c r="W859" s="93"/>
      <c r="X859" s="93"/>
      <c r="Y859" s="93"/>
      <c r="Z859" s="93"/>
    </row>
    <row r="860">
      <c r="A860" s="93" t="str">
        <f>IFERROR(__xludf.DUMMYFUNCTION("""COMPUTED_VALUE"""),"KIT-#18108")</f>
        <v>KIT-#18108</v>
      </c>
      <c r="B860" s="94">
        <f>IFERROR(__xludf.DUMMYFUNCTION("""COMPUTED_VALUE"""),46156.0)</f>
        <v>46156</v>
      </c>
      <c r="C860" s="93" t="str">
        <f>IFERROR(__xludf.DUMMYFUNCTION("""COMPUTED_VALUE"""),"Kit Delivery")</f>
        <v>Kit Delivery</v>
      </c>
      <c r="D860" s="93">
        <f>IFERROR(__xludf.DUMMYFUNCTION("""COMPUTED_VALUE"""),3.0)</f>
        <v>3</v>
      </c>
      <c r="E860" s="93" t="str">
        <f>IFERROR(__xludf.DUMMYFUNCTION("""COMPUTED_VALUE"""),"Off-Campus")</f>
        <v>Off-Campus</v>
      </c>
      <c r="F860" s="93"/>
      <c r="G860" s="93" t="str">
        <f>IFERROR(__xludf.DUMMYFUNCTION("""COMPUTED_VALUE"""),"Yerin Kang")</f>
        <v>Yerin Kang</v>
      </c>
      <c r="H860" s="93">
        <f>IFERROR(__xludf.DUMMYFUNCTION("""COMPUTED_VALUE"""),3.142367799E9)</f>
        <v>3142367799</v>
      </c>
      <c r="I860" s="93" t="str">
        <f>IFERROR(__xludf.DUMMYFUNCTION("""COMPUTED_VALUE"""),"9AM-11AM")</f>
        <v>9AM-11AM</v>
      </c>
      <c r="J860" s="93">
        <f>IFERROR(__xludf.DUMMYFUNCTION("""COMPUTED_VALUE"""),2.0)</f>
        <v>2</v>
      </c>
      <c r="K860" s="93" t="str">
        <f>IFERROR(__xludf.DUMMYFUNCTION("""COMPUTED_VALUE"""),"Complete")</f>
        <v>Complete</v>
      </c>
      <c r="L860" s="93"/>
      <c r="M860" s="94">
        <f>IFERROR(__xludf.DUMMYFUNCTION("""COMPUTED_VALUE"""),46146.8882175926)</f>
        <v>46146.88822</v>
      </c>
      <c r="N860" s="93">
        <f>IFERROR(__xludf.DUMMYFUNCTION("""COMPUTED_VALUE"""),7.0)</f>
        <v>7</v>
      </c>
      <c r="O860" s="93" t="str">
        <f>IFERROR(__xludf.DUMMYFUNCTION("""COMPUTED_VALUE"""),"Apt 203
6105 Delmar Blvd
Saint Louis, MO 63112")</f>
        <v>Apt 203
6105 Delmar Blvd
Saint Louis, MO 63112</v>
      </c>
      <c r="P860" s="93" t="str">
        <f>IFERROR(__xludf.DUMMYFUNCTION("""COMPUTED_VALUE"""),"Kit Delivery")</f>
        <v>Kit Delivery</v>
      </c>
      <c r="Q860" s="93" t="str">
        <f>IFERROR(__xludf.DUMMYFUNCTION("""COMPUTED_VALUE"""),"I’m planning to use summer storage until mid-August and have my belongings shipped to my new apartment in New York. I’ll update the shipping address once it’s finalized.")</f>
        <v>I’m planning to use summer storage until mid-August and have my belongings shipped to my new apartment in New York. I’ll update the shipping address once it’s finalized.</v>
      </c>
      <c r="R860" s="93"/>
      <c r="S860" s="93" t="str">
        <f>IFERROR(__xludf.DUMMYFUNCTION("""COMPUTED_VALUE"""),"Dispatch_Images/KIT--18108.Photos.021857.jpg")</f>
        <v>Dispatch_Images/KIT--18108.Photos.021857.jpg</v>
      </c>
      <c r="T860" s="95">
        <f>IFERROR(__xludf.DUMMYFUNCTION("""COMPUTED_VALUE"""),46146.89349537037)</f>
        <v>46146.8935</v>
      </c>
      <c r="U860" s="93"/>
      <c r="V860" s="93"/>
      <c r="W860" s="93"/>
      <c r="X860" s="93"/>
      <c r="Y860" s="93"/>
      <c r="Z860" s="93"/>
    </row>
    <row r="861">
      <c r="A861" s="93" t="str">
        <f>IFERROR(__xludf.DUMMYFUNCTION("""COMPUTED_VALUE"""),"KIT-#17370")</f>
        <v>KIT-#17370</v>
      </c>
      <c r="B861" s="94">
        <f>IFERROR(__xludf.DUMMYFUNCTION("""COMPUTED_VALUE"""),46156.0)</f>
        <v>46156</v>
      </c>
      <c r="C861" s="93" t="str">
        <f>IFERROR(__xludf.DUMMYFUNCTION("""COMPUTED_VALUE"""),"Kit Delivery")</f>
        <v>Kit Delivery</v>
      </c>
      <c r="D861" s="93">
        <f>IFERROR(__xludf.DUMMYFUNCTION("""COMPUTED_VALUE"""),2.0)</f>
        <v>2</v>
      </c>
      <c r="E861" s="93" t="str">
        <f>IFERROR(__xludf.DUMMYFUNCTION("""COMPUTED_VALUE"""),"Off-Campus")</f>
        <v>Off-Campus</v>
      </c>
      <c r="F861" s="93"/>
      <c r="G861" s="93" t="str">
        <f>IFERROR(__xludf.DUMMYFUNCTION("""COMPUTED_VALUE"""),"Madeleine Pira")</f>
        <v>Madeleine Pira</v>
      </c>
      <c r="H861" s="93">
        <f>IFERROR(__xludf.DUMMYFUNCTION("""COMPUTED_VALUE"""),8.185152142E9)</f>
        <v>8185152142</v>
      </c>
      <c r="I861" s="93" t="str">
        <f>IFERROR(__xludf.DUMMYFUNCTION("""COMPUTED_VALUE"""),"Sat Dec 30 1899 07:54:51 GMT-0600 (Central Standard Time)")</f>
        <v>Sat Dec 30 1899 07:54:51 GMT-0600 (Central Standard Time)</v>
      </c>
      <c r="J861" s="93">
        <f>IFERROR(__xludf.DUMMYFUNCTION("""COMPUTED_VALUE"""),2.0)</f>
        <v>2</v>
      </c>
      <c r="K861" s="93" t="str">
        <f>IFERROR(__xludf.DUMMYFUNCTION("""COMPUTED_VALUE"""),"Complete")</f>
        <v>Complete</v>
      </c>
      <c r="L861" s="93"/>
      <c r="M861" s="94">
        <f>IFERROR(__xludf.DUMMYFUNCTION("""COMPUTED_VALUE"""),46148.7796875)</f>
        <v>46148.77969</v>
      </c>
      <c r="N861" s="93">
        <f>IFERROR(__xludf.DUMMYFUNCTION("""COMPUTED_VALUE"""),22.0)</f>
        <v>22</v>
      </c>
      <c r="O861" s="93" t="str">
        <f>IFERROR(__xludf.DUMMYFUNCTION("""COMPUTED_VALUE"""),"729 Westgate Avenue Apt. 3N, Saint Louis, MO 63130")</f>
        <v>729 Westgate Avenue Apt. 3N, Saint Louis, MO 63130</v>
      </c>
      <c r="P861" s="93" t="str">
        <f>IFERROR(__xludf.DUMMYFUNCTION("""COMPUTED_VALUE"""),"Kit Delivery")</f>
        <v>Kit Delivery</v>
      </c>
      <c r="Q861" s="93" t="str">
        <f>IFERROR(__xludf.DUMMYFUNCTION("""COMPUTED_VALUE"""),"Apt code for kit: 1596")</f>
        <v>Apt code for kit: 1596</v>
      </c>
      <c r="R861" s="93"/>
      <c r="S861" s="93" t="str">
        <f>IFERROR(__xludf.DUMMYFUNCTION("""COMPUTED_VALUE"""),"Dispatch_Images/KIT--17370.Photos.234243.jpg")</f>
        <v>Dispatch_Images/KIT--17370.Photos.234243.jpg</v>
      </c>
      <c r="T861" s="95">
        <f>IFERROR(__xludf.DUMMYFUNCTION("""COMPUTED_VALUE"""),46148.78246527778)</f>
        <v>46148.78247</v>
      </c>
      <c r="U861" s="93"/>
      <c r="V861" s="93"/>
      <c r="W861" s="93"/>
      <c r="X861" s="93"/>
      <c r="Y861" s="93"/>
      <c r="Z861" s="93"/>
    </row>
    <row r="862">
      <c r="A862" s="93" t="str">
        <f>IFERROR(__xludf.DUMMYFUNCTION("""COMPUTED_VALUE"""),"KIT-#18299")</f>
        <v>KIT-#18299</v>
      </c>
      <c r="B862" s="94">
        <f>IFERROR(__xludf.DUMMYFUNCTION("""COMPUTED_VALUE"""),46156.0)</f>
        <v>46156</v>
      </c>
      <c r="C862" s="93" t="str">
        <f>IFERROR(__xludf.DUMMYFUNCTION("""COMPUTED_VALUE"""),"Kit Delivery")</f>
        <v>Kit Delivery</v>
      </c>
      <c r="D862" s="93">
        <f>IFERROR(__xludf.DUMMYFUNCTION("""COMPUTED_VALUE"""),2.0)</f>
        <v>2</v>
      </c>
      <c r="E862" s="93" t="str">
        <f>IFERROR(__xludf.DUMMYFUNCTION("""COMPUTED_VALUE"""),"Lopata")</f>
        <v>Lopata</v>
      </c>
      <c r="F862" s="93">
        <f>IFERROR(__xludf.DUMMYFUNCTION("""COMPUTED_VALUE"""),3031.0)</f>
        <v>3031</v>
      </c>
      <c r="G862" s="93" t="str">
        <f>IFERROR(__xludf.DUMMYFUNCTION("""COMPUTED_VALUE"""),"Georgia Loigman")</f>
        <v>Georgia Loigman</v>
      </c>
      <c r="H862" s="93">
        <f>IFERROR(__xludf.DUMMYFUNCTION("""COMPUTED_VALUE"""),9.172444789E9)</f>
        <v>9172444789</v>
      </c>
      <c r="I862" s="93" t="str">
        <f>IFERROR(__xludf.DUMMYFUNCTION("""COMPUTED_VALUE"""),"9AM-11AM")</f>
        <v>9AM-11AM</v>
      </c>
      <c r="J862" s="93">
        <f>IFERROR(__xludf.DUMMYFUNCTION("""COMPUTED_VALUE"""),1.0)</f>
        <v>1</v>
      </c>
      <c r="K862" s="93" t="str">
        <f>IFERROR(__xludf.DUMMYFUNCTION("""COMPUTED_VALUE"""),"Complete")</f>
        <v>Complete</v>
      </c>
      <c r="L862" s="93"/>
      <c r="M862" s="94">
        <f>IFERROR(__xludf.DUMMYFUNCTION("""COMPUTED_VALUE"""),46148.805659722224)</f>
        <v>46148.80566</v>
      </c>
      <c r="N862" s="93">
        <f>IFERROR(__xludf.DUMMYFUNCTION("""COMPUTED_VALUE"""),3.0)</f>
        <v>3</v>
      </c>
      <c r="O862" s="93" t="str">
        <f>IFERROR(__xludf.DUMMYFUNCTION("""COMPUTED_VALUE"""),"44 Stuyvesant Avenue Larchmont NY 10538")</f>
        <v>44 Stuyvesant Avenue Larchmont NY 10538</v>
      </c>
      <c r="P862" s="93" t="str">
        <f>IFERROR(__xludf.DUMMYFUNCTION("""COMPUTED_VALUE"""),"Kit Delivery")</f>
        <v>Kit Delivery</v>
      </c>
      <c r="Q862" s="93"/>
      <c r="R862" s="93"/>
      <c r="S862" s="93" t="str">
        <f>IFERROR(__xludf.DUMMYFUNCTION("""COMPUTED_VALUE"""),"Dispatch_Images/KIT--18299.Photos.002005.jpg")</f>
        <v>Dispatch_Images/KIT--18299.Photos.002005.jpg</v>
      </c>
      <c r="T862" s="95">
        <f>IFERROR(__xludf.DUMMYFUNCTION("""COMPUTED_VALUE"""),46148.81015046296)</f>
        <v>46148.81015</v>
      </c>
      <c r="U862" s="93"/>
      <c r="V862" s="93"/>
      <c r="W862" s="93"/>
      <c r="X862" s="93"/>
      <c r="Y862" s="93"/>
      <c r="Z862" s="93"/>
    </row>
    <row r="863">
      <c r="A863" s="93" t="str">
        <f>IFERROR(__xludf.DUMMYFUNCTION("""COMPUTED_VALUE"""),"KIT-#18326")</f>
        <v>KIT-#18326</v>
      </c>
      <c r="B863" s="94">
        <f>IFERROR(__xludf.DUMMYFUNCTION("""COMPUTED_VALUE"""),46156.0)</f>
        <v>46156</v>
      </c>
      <c r="C863" s="93" t="str">
        <f>IFERROR(__xludf.DUMMYFUNCTION("""COMPUTED_VALUE"""),"Kit Delivery")</f>
        <v>Kit Delivery</v>
      </c>
      <c r="D863" s="93">
        <f>IFERROR(__xludf.DUMMYFUNCTION("""COMPUTED_VALUE"""),1.0)</f>
        <v>1</v>
      </c>
      <c r="E863" s="93" t="str">
        <f>IFERROR(__xludf.DUMMYFUNCTION("""COMPUTED_VALUE"""),"Dardick")</f>
        <v>Dardick</v>
      </c>
      <c r="F863" s="93">
        <f>IFERROR(__xludf.DUMMYFUNCTION("""COMPUTED_VALUE"""),2206.0)</f>
        <v>2206</v>
      </c>
      <c r="G863" s="93" t="str">
        <f>IFERROR(__xludf.DUMMYFUNCTION("""COMPUTED_VALUE"""),"Quan Do")</f>
        <v>Quan Do</v>
      </c>
      <c r="H863" s="93">
        <f>IFERROR(__xludf.DUMMYFUNCTION("""COMPUTED_VALUE"""),6.304801301E9)</f>
        <v>6304801301</v>
      </c>
      <c r="I863" s="93" t="str">
        <f>IFERROR(__xludf.DUMMYFUNCTION("""COMPUTED_VALUE"""),"9AM-11AM")</f>
        <v>9AM-11AM</v>
      </c>
      <c r="J863" s="93">
        <f>IFERROR(__xludf.DUMMYFUNCTION("""COMPUTED_VALUE"""),1.0)</f>
        <v>1</v>
      </c>
      <c r="K863" s="93" t="str">
        <f>IFERROR(__xludf.DUMMYFUNCTION("""COMPUTED_VALUE"""),"Complete")</f>
        <v>Complete</v>
      </c>
      <c r="L863" s="93"/>
      <c r="M863" s="94">
        <f>IFERROR(__xludf.DUMMYFUNCTION("""COMPUTED_VALUE"""),46151.51851851852)</f>
        <v>46151.51852</v>
      </c>
      <c r="N863" s="93">
        <f>IFERROR(__xludf.DUMMYFUNCTION("""COMPUTED_VALUE"""),2.0)</f>
        <v>2</v>
      </c>
      <c r="O863" s="93"/>
      <c r="P863" s="93" t="str">
        <f>IFERROR(__xludf.DUMMYFUNCTION("""COMPUTED_VALUE"""),"Kit Delivery")</f>
        <v>Kit Delivery</v>
      </c>
      <c r="Q863" s="93"/>
      <c r="R863" s="93"/>
      <c r="S863" s="93"/>
      <c r="T863" s="95">
        <f>IFERROR(__xludf.DUMMYFUNCTION("""COMPUTED_VALUE"""),46151.52546296296)</f>
        <v>46151.52546</v>
      </c>
      <c r="U863" s="93"/>
      <c r="V863" s="93"/>
      <c r="W863" s="93"/>
      <c r="X863" s="93"/>
      <c r="Y863" s="93"/>
      <c r="Z863" s="93"/>
    </row>
    <row r="864">
      <c r="A864" s="93" t="str">
        <f>IFERROR(__xludf.DUMMYFUNCTION("""COMPUTED_VALUE"""),"KIT-#18370")</f>
        <v>KIT-#18370</v>
      </c>
      <c r="B864" s="94">
        <f>IFERROR(__xludf.DUMMYFUNCTION("""COMPUTED_VALUE"""),46156.0)</f>
        <v>46156</v>
      </c>
      <c r="C864" s="93" t="str">
        <f>IFERROR(__xludf.DUMMYFUNCTION("""COMPUTED_VALUE"""),"Kit Delivery")</f>
        <v>Kit Delivery</v>
      </c>
      <c r="D864" s="93">
        <f>IFERROR(__xludf.DUMMYFUNCTION("""COMPUTED_VALUE"""),1.0)</f>
        <v>1</v>
      </c>
      <c r="E864" s="93" t="str">
        <f>IFERROR(__xludf.DUMMYFUNCTION("""COMPUTED_VALUE"""),"Off-Campus")</f>
        <v>Off-Campus</v>
      </c>
      <c r="F864" s="93"/>
      <c r="G864" s="93" t="str">
        <f>IFERROR(__xludf.DUMMYFUNCTION("""COMPUTED_VALUE"""),"Jonah")</f>
        <v>Jonah</v>
      </c>
      <c r="H864" s="93">
        <f>IFERROR(__xludf.DUMMYFUNCTION("""COMPUTED_VALUE"""),2.246198703E9)</f>
        <v>2246198703</v>
      </c>
      <c r="I864" s="93" t="str">
        <f>IFERROR(__xludf.DUMMYFUNCTION("""COMPUTED_VALUE"""),"1PM-3PM")</f>
        <v>1PM-3PM</v>
      </c>
      <c r="J864" s="93">
        <f>IFERROR(__xludf.DUMMYFUNCTION("""COMPUTED_VALUE"""),1.0)</f>
        <v>1</v>
      </c>
      <c r="K864" s="93" t="str">
        <f>IFERROR(__xludf.DUMMYFUNCTION("""COMPUTED_VALUE"""),"Complete")</f>
        <v>Complete</v>
      </c>
      <c r="L864" s="93"/>
      <c r="M864" s="94">
        <f>IFERROR(__xludf.DUMMYFUNCTION("""COMPUTED_VALUE"""),46152.771099537036)</f>
        <v>46152.7711</v>
      </c>
      <c r="N864" s="93">
        <f>IFERROR(__xludf.DUMMYFUNCTION("""COMPUTED_VALUE"""),33.0)</f>
        <v>33</v>
      </c>
      <c r="O864" s="93" t="str">
        <f>IFERROR(__xludf.DUMMYFUNCTION("""COMPUTED_VALUE"""),"6148 Pershing Avenue
St. Louis, MO, 63312")</f>
        <v>6148 Pershing Avenue
St. Louis, MO, 63312</v>
      </c>
      <c r="P864" s="93" t="str">
        <f>IFERROR(__xludf.DUMMYFUNCTION("""COMPUTED_VALUE"""),"Kit Delivery")</f>
        <v>Kit Delivery</v>
      </c>
      <c r="Q864" s="93"/>
      <c r="R864" s="93"/>
      <c r="S864" s="93"/>
      <c r="T864" s="95">
        <f>IFERROR(__xludf.DUMMYFUNCTION("""COMPUTED_VALUE"""),46152.77542824074)</f>
        <v>46152.77543</v>
      </c>
      <c r="U864" s="93"/>
      <c r="V864" s="93"/>
      <c r="W864" s="93"/>
      <c r="X864" s="93"/>
      <c r="Y864" s="93"/>
      <c r="Z864" s="93"/>
    </row>
    <row r="865">
      <c r="A865" s="93" t="str">
        <f>IFERROR(__xludf.DUMMYFUNCTION("""COMPUTED_VALUE"""),"KIT-#16815")</f>
        <v>KIT-#16815</v>
      </c>
      <c r="B865" s="94">
        <f>IFERROR(__xludf.DUMMYFUNCTION("""COMPUTED_VALUE"""),46157.0)</f>
        <v>46157</v>
      </c>
      <c r="C865" s="93" t="str">
        <f>IFERROR(__xludf.DUMMYFUNCTION("""COMPUTED_VALUE"""),"Kit Delivery")</f>
        <v>Kit Delivery</v>
      </c>
      <c r="D865" s="93">
        <f>IFERROR(__xludf.DUMMYFUNCTION("""COMPUTED_VALUE"""),1.0)</f>
        <v>1</v>
      </c>
      <c r="E865" s="93" t="str">
        <f>IFERROR(__xludf.DUMMYFUNCTION("""COMPUTED_VALUE"""),"Nemerov")</f>
        <v>Nemerov</v>
      </c>
      <c r="F865" s="93">
        <f>IFERROR(__xludf.DUMMYFUNCTION("""COMPUTED_VALUE"""),3081.0)</f>
        <v>3081</v>
      </c>
      <c r="G865" s="93" t="str">
        <f>IFERROR(__xludf.DUMMYFUNCTION("""COMPUTED_VALUE"""),"Caroline Goebel")</f>
        <v>Caroline Goebel</v>
      </c>
      <c r="H865" s="93">
        <f>IFERROR(__xludf.DUMMYFUNCTION("""COMPUTED_VALUE"""),7.819645636E9)</f>
        <v>7819645636</v>
      </c>
      <c r="I865" s="93" t="str">
        <f>IFERROR(__xludf.DUMMYFUNCTION("""COMPUTED_VALUE"""),"9AM-11AM")</f>
        <v>9AM-11AM</v>
      </c>
      <c r="J865" s="93">
        <f>IFERROR(__xludf.DUMMYFUNCTION("""COMPUTED_VALUE"""),1.0)</f>
        <v>1</v>
      </c>
      <c r="K865" s="93" t="str">
        <f>IFERROR(__xludf.DUMMYFUNCTION("""COMPUTED_VALUE"""),"Complete")</f>
        <v>Complete</v>
      </c>
      <c r="L865" s="93"/>
      <c r="M865" s="94">
        <f>IFERROR(__xludf.DUMMYFUNCTION("""COMPUTED_VALUE"""),46130.406377314815)</f>
        <v>46130.40638</v>
      </c>
      <c r="N865" s="93">
        <f>IFERROR(__xludf.DUMMYFUNCTION("""COMPUTED_VALUE"""),137.0)</f>
        <v>137</v>
      </c>
      <c r="O865" s="93"/>
      <c r="P865" s="93" t="str">
        <f>IFERROR(__xludf.DUMMYFUNCTION("""COMPUTED_VALUE"""),"Kit Delivery")</f>
        <v>Kit Delivery</v>
      </c>
      <c r="Q865" s="93"/>
      <c r="R865" s="93"/>
      <c r="S865" s="93" t="str">
        <f>IFERROR(__xludf.DUMMYFUNCTION("""COMPUTED_VALUE"""),"Dispatch_Images/KIT--16815.Photos.144507.jpg")</f>
        <v>Dispatch_Images/KIT--16815.Photos.144507.jpg</v>
      </c>
      <c r="T865" s="95">
        <f>IFERROR(__xludf.DUMMYFUNCTION("""COMPUTED_VALUE"""),46130.411828703705)</f>
        <v>46130.41183</v>
      </c>
      <c r="U865" s="93"/>
      <c r="V865" s="93"/>
      <c r="W865" s="93"/>
      <c r="X865" s="93"/>
      <c r="Y865" s="93"/>
      <c r="Z865" s="93"/>
    </row>
    <row r="866">
      <c r="A866" s="93" t="str">
        <f>IFERROR(__xludf.DUMMYFUNCTION("""COMPUTED_VALUE"""),"KIT-#17353")</f>
        <v>KIT-#17353</v>
      </c>
      <c r="B866" s="94">
        <f>IFERROR(__xludf.DUMMYFUNCTION("""COMPUTED_VALUE"""),46157.0)</f>
        <v>46157</v>
      </c>
      <c r="C866" s="93" t="str">
        <f>IFERROR(__xludf.DUMMYFUNCTION("""COMPUTED_VALUE"""),"Kit Delivery")</f>
        <v>Kit Delivery</v>
      </c>
      <c r="D866" s="93">
        <f>IFERROR(__xludf.DUMMYFUNCTION("""COMPUTED_VALUE"""),2.0)</f>
        <v>2</v>
      </c>
      <c r="E866" s="93" t="str">
        <f>IFERROR(__xludf.DUMMYFUNCTION("""COMPUTED_VALUE"""),"Mudd")</f>
        <v>Mudd</v>
      </c>
      <c r="F866" s="93" t="str">
        <f>IFERROR(__xludf.DUMMYFUNCTION("""COMPUTED_VALUE"""),"232b")</f>
        <v>232b</v>
      </c>
      <c r="G866" s="93" t="str">
        <f>IFERROR(__xludf.DUMMYFUNCTION("""COMPUTED_VALUE"""),"Caitlin Bui")</f>
        <v>Caitlin Bui</v>
      </c>
      <c r="H866" s="93">
        <f>IFERROR(__xludf.DUMMYFUNCTION("""COMPUTED_VALUE"""),9.179400929E9)</f>
        <v>9179400929</v>
      </c>
      <c r="I866" s="93" t="str">
        <f>IFERROR(__xludf.DUMMYFUNCTION("""COMPUTED_VALUE"""),"9AM-11AM")</f>
        <v>9AM-11AM</v>
      </c>
      <c r="J866" s="93">
        <f>IFERROR(__xludf.DUMMYFUNCTION("""COMPUTED_VALUE"""),1.0)</f>
        <v>1</v>
      </c>
      <c r="K866" s="93" t="str">
        <f>IFERROR(__xludf.DUMMYFUNCTION("""COMPUTED_VALUE"""),"Complete")</f>
        <v>Complete</v>
      </c>
      <c r="L866" s="93"/>
      <c r="M866" s="94">
        <f>IFERROR(__xludf.DUMMYFUNCTION("""COMPUTED_VALUE"""),46134.73525462963)</f>
        <v>46134.73525</v>
      </c>
      <c r="N866" s="93">
        <f>IFERROR(__xludf.DUMMYFUNCTION("""COMPUTED_VALUE"""),95.0)</f>
        <v>95</v>
      </c>
      <c r="O866" s="93"/>
      <c r="P866" s="93" t="str">
        <f>IFERROR(__xludf.DUMMYFUNCTION("""COMPUTED_VALUE"""),"Kit Delivery")</f>
        <v>Kit Delivery</v>
      </c>
      <c r="Q866" s="93"/>
      <c r="R866" s="93"/>
      <c r="S866" s="93" t="str">
        <f>IFERROR(__xludf.DUMMYFUNCTION("""COMPUTED_VALUE"""),"Dispatch_Images/KIT--17353.Photos.223842.jpg")</f>
        <v>Dispatch_Images/KIT--17353.Photos.223842.jpg</v>
      </c>
      <c r="T866" s="95">
        <f>IFERROR(__xludf.DUMMYFUNCTION("""COMPUTED_VALUE"""),46134.73825231481)</f>
        <v>46134.73825</v>
      </c>
      <c r="U866" s="93"/>
      <c r="V866" s="93"/>
      <c r="W866" s="93"/>
      <c r="X866" s="93"/>
      <c r="Y866" s="93"/>
      <c r="Z866" s="93"/>
    </row>
    <row r="867">
      <c r="A867" s="93" t="str">
        <f>IFERROR(__xludf.DUMMYFUNCTION("""COMPUTED_VALUE"""),"KIT-#17620")</f>
        <v>KIT-#17620</v>
      </c>
      <c r="B867" s="94">
        <f>IFERROR(__xludf.DUMMYFUNCTION("""COMPUTED_VALUE"""),46157.0)</f>
        <v>46157</v>
      </c>
      <c r="C867" s="93" t="str">
        <f>IFERROR(__xludf.DUMMYFUNCTION("""COMPUTED_VALUE"""),"Kit Delivery")</f>
        <v>Kit Delivery</v>
      </c>
      <c r="D867" s="93">
        <f>IFERROR(__xludf.DUMMYFUNCTION("""COMPUTED_VALUE"""),2.0)</f>
        <v>2</v>
      </c>
      <c r="E867" s="93" t="str">
        <f>IFERROR(__xludf.DUMMYFUNCTION("""COMPUTED_VALUE"""),"Village House")</f>
        <v>Village House</v>
      </c>
      <c r="F867" s="93">
        <f>IFERROR(__xludf.DUMMYFUNCTION("""COMPUTED_VALUE"""),4142.0)</f>
        <v>4142</v>
      </c>
      <c r="G867" s="93" t="str">
        <f>IFERROR(__xludf.DUMMYFUNCTION("""COMPUTED_VALUE"""),"Ola Sadik")</f>
        <v>Ola Sadik</v>
      </c>
      <c r="H867" s="93">
        <f>IFERROR(__xludf.DUMMYFUNCTION("""COMPUTED_VALUE"""),9.7388529E9)</f>
        <v>9738852900</v>
      </c>
      <c r="I867" s="93" t="str">
        <f>IFERROR(__xludf.DUMMYFUNCTION("""COMPUTED_VALUE"""),"3PM-5PM")</f>
        <v>3PM-5PM</v>
      </c>
      <c r="J867" s="93">
        <f>IFERROR(__xludf.DUMMYFUNCTION("""COMPUTED_VALUE"""),1.0)</f>
        <v>1</v>
      </c>
      <c r="K867" s="93" t="str">
        <f>IFERROR(__xludf.DUMMYFUNCTION("""COMPUTED_VALUE"""),"Complete")</f>
        <v>Complete</v>
      </c>
      <c r="L867" s="93"/>
      <c r="M867" s="94">
        <f>IFERROR(__xludf.DUMMYFUNCTION("""COMPUTED_VALUE"""),46134.790983796294)</f>
        <v>46134.79098</v>
      </c>
      <c r="N867" s="93">
        <f>IFERROR(__xludf.DUMMYFUNCTION("""COMPUTED_VALUE"""),225.0)</f>
        <v>225</v>
      </c>
      <c r="O867" s="93"/>
      <c r="P867" s="93" t="str">
        <f>IFERROR(__xludf.DUMMYFUNCTION("""COMPUTED_VALUE"""),"Kit Delivery")</f>
        <v>Kit Delivery</v>
      </c>
      <c r="Q867" s="93"/>
      <c r="R867" s="93"/>
      <c r="S867" s="93" t="str">
        <f>IFERROR(__xludf.DUMMYFUNCTION("""COMPUTED_VALUE"""),"Dispatch_Images/KIT--17620.Photos.235858.jpg")</f>
        <v>Dispatch_Images/KIT--17620.Photos.235858.jpg</v>
      </c>
      <c r="T867" s="95">
        <f>IFERROR(__xludf.DUMMYFUNCTION("""COMPUTED_VALUE"""),46134.79378472222)</f>
        <v>46134.79378</v>
      </c>
      <c r="U867" s="93"/>
      <c r="V867" s="93"/>
      <c r="W867" s="93"/>
      <c r="X867" s="93"/>
      <c r="Y867" s="93"/>
      <c r="Z867" s="93"/>
    </row>
    <row r="868">
      <c r="A868" s="93" t="str">
        <f>IFERROR(__xludf.DUMMYFUNCTION("""COMPUTED_VALUE"""),"KIT-#17130")</f>
        <v>KIT-#17130</v>
      </c>
      <c r="B868" s="94">
        <f>IFERROR(__xludf.DUMMYFUNCTION("""COMPUTED_VALUE"""),46157.0)</f>
        <v>46157</v>
      </c>
      <c r="C868" s="93" t="str">
        <f>IFERROR(__xludf.DUMMYFUNCTION("""COMPUTED_VALUE"""),"Kit Delivery")</f>
        <v>Kit Delivery</v>
      </c>
      <c r="D868" s="93">
        <f>IFERROR(__xludf.DUMMYFUNCTION("""COMPUTED_VALUE"""),2.0)</f>
        <v>2</v>
      </c>
      <c r="E868" s="93" t="str">
        <f>IFERROR(__xludf.DUMMYFUNCTION("""COMPUTED_VALUE"""),"6633 UDrive")</f>
        <v>6633 UDrive</v>
      </c>
      <c r="F868" s="93" t="str">
        <f>IFERROR(__xludf.DUMMYFUNCTION("""COMPUTED_VALUE"""),"2E-C")</f>
        <v>2E-C</v>
      </c>
      <c r="G868" s="93" t="str">
        <f>IFERROR(__xludf.DUMMYFUNCTION("""COMPUTED_VALUE"""),"Emily Kao")</f>
        <v>Emily Kao</v>
      </c>
      <c r="H868" s="93" t="str">
        <f>IFERROR(__xludf.DUMMYFUNCTION("""COMPUTED_VALUE"""),"(425) 289-8403")</f>
        <v>(425) 289-8403</v>
      </c>
      <c r="I868" s="93" t="str">
        <f>IFERROR(__xludf.DUMMYFUNCTION("""COMPUTED_VALUE"""),"3PM-5PM")</f>
        <v>3PM-5PM</v>
      </c>
      <c r="J868" s="93">
        <f>IFERROR(__xludf.DUMMYFUNCTION("""COMPUTED_VALUE"""),2.0)</f>
        <v>2</v>
      </c>
      <c r="K868" s="93" t="str">
        <f>IFERROR(__xludf.DUMMYFUNCTION("""COMPUTED_VALUE"""),"Complete")</f>
        <v>Complete</v>
      </c>
      <c r="L868" s="93"/>
      <c r="M868" s="94">
        <f>IFERROR(__xludf.DUMMYFUNCTION("""COMPUTED_VALUE"""),46137.70013888889)</f>
        <v>46137.70014</v>
      </c>
      <c r="N868" s="93">
        <f>IFERROR(__xludf.DUMMYFUNCTION("""COMPUTED_VALUE"""),250.0)</f>
        <v>250</v>
      </c>
      <c r="O868" s="93" t="str">
        <f>IFERROR(__xludf.DUMMYFUNCTION("""COMPUTED_VALUE"""),"Don't know yet, will follow up once I know address. Ask David for more info about this arrangement.")</f>
        <v>Don't know yet, will follow up once I know address. Ask David for more info about this arrangement.</v>
      </c>
      <c r="P868" s="93" t="str">
        <f>IFERROR(__xludf.DUMMYFUNCTION("""COMPUTED_VALUE"""),"Kit Delivery")</f>
        <v>Kit Delivery</v>
      </c>
      <c r="Q868" s="93"/>
      <c r="R868" s="93"/>
      <c r="S868" s="93" t="str">
        <f>IFERROR(__xludf.DUMMYFUNCTION("""COMPUTED_VALUE"""),"Dispatch_Images/KIT--17130.Photos.214809.jpg")</f>
        <v>Dispatch_Images/KIT--17130.Photos.214809.jpg</v>
      </c>
      <c r="T868" s="95">
        <f>IFERROR(__xludf.DUMMYFUNCTION("""COMPUTED_VALUE"""),46137.70349537037)</f>
        <v>46137.7035</v>
      </c>
      <c r="U868" s="93"/>
      <c r="V868" s="93"/>
      <c r="W868" s="93"/>
      <c r="X868" s="93"/>
      <c r="Y868" s="93"/>
      <c r="Z868" s="93"/>
    </row>
    <row r="869">
      <c r="A869" s="93" t="str">
        <f>IFERROR(__xludf.DUMMYFUNCTION("""COMPUTED_VALUE"""),"KIT-#17410")</f>
        <v>KIT-#17410</v>
      </c>
      <c r="B869" s="94">
        <f>IFERROR(__xludf.DUMMYFUNCTION("""COMPUTED_VALUE"""),46157.0)</f>
        <v>46157</v>
      </c>
      <c r="C869" s="93" t="str">
        <f>IFERROR(__xludf.DUMMYFUNCTION("""COMPUTED_VALUE"""),"Kit Delivery")</f>
        <v>Kit Delivery</v>
      </c>
      <c r="D869" s="93">
        <f>IFERROR(__xludf.DUMMYFUNCTION("""COMPUTED_VALUE"""),3.0)</f>
        <v>3</v>
      </c>
      <c r="E869" s="93" t="str">
        <f>IFERROR(__xludf.DUMMYFUNCTION("""COMPUTED_VALUE"""),"LL6255")</f>
        <v>LL6255</v>
      </c>
      <c r="F869" s="93">
        <f>IFERROR(__xludf.DUMMYFUNCTION("""COMPUTED_VALUE"""),309.0)</f>
        <v>309</v>
      </c>
      <c r="G869" s="93" t="str">
        <f>IFERROR(__xludf.DUMMYFUNCTION("""COMPUTED_VALUE"""),"Xiao Wu")</f>
        <v>Xiao Wu</v>
      </c>
      <c r="H869" s="93">
        <f>IFERROR(__xludf.DUMMYFUNCTION("""COMPUTED_VALUE"""),2.179796836E9)</f>
        <v>2179796836</v>
      </c>
      <c r="I869" s="93" t="str">
        <f>IFERROR(__xludf.DUMMYFUNCTION("""COMPUTED_VALUE"""),"3PM-5PM")</f>
        <v>3PM-5PM</v>
      </c>
      <c r="J869" s="93">
        <f>IFERROR(__xludf.DUMMYFUNCTION("""COMPUTED_VALUE"""),1.0)</f>
        <v>1</v>
      </c>
      <c r="K869" s="93" t="str">
        <f>IFERROR(__xludf.DUMMYFUNCTION("""COMPUTED_VALUE"""),"Complete")</f>
        <v>Complete</v>
      </c>
      <c r="L869" s="93"/>
      <c r="M869" s="94">
        <f>IFERROR(__xludf.DUMMYFUNCTION("""COMPUTED_VALUE"""),46140.745983796296)</f>
        <v>46140.74598</v>
      </c>
      <c r="N869" s="93">
        <f>IFERROR(__xludf.DUMMYFUNCTION("""COMPUTED_VALUE"""),209.0)</f>
        <v>209</v>
      </c>
      <c r="O869" s="93"/>
      <c r="P869" s="93" t="str">
        <f>IFERROR(__xludf.DUMMYFUNCTION("""COMPUTED_VALUE"""),"Kit Delivery")</f>
        <v>Kit Delivery</v>
      </c>
      <c r="Q869" s="93"/>
      <c r="R869" s="93"/>
      <c r="S869" s="93" t="str">
        <f>IFERROR(__xludf.DUMMYFUNCTION("""COMPUTED_VALUE"""),"Dispatch_Images/KIT--17410.Photos.225409.jpg")</f>
        <v>Dispatch_Images/KIT--17410.Photos.225409.jpg</v>
      </c>
      <c r="T869" s="95">
        <f>IFERROR(__xludf.DUMMYFUNCTION("""COMPUTED_VALUE"""),46140.752118055556)</f>
        <v>46140.75212</v>
      </c>
      <c r="U869" s="93"/>
      <c r="V869" s="93"/>
      <c r="W869" s="93"/>
      <c r="X869" s="93"/>
      <c r="Y869" s="93"/>
      <c r="Z869" s="93"/>
    </row>
    <row r="870">
      <c r="A870" s="93" t="str">
        <f>IFERROR(__xludf.DUMMYFUNCTION("""COMPUTED_VALUE"""),"KIT-#18361")</f>
        <v>KIT-#18361</v>
      </c>
      <c r="B870" s="94">
        <f>IFERROR(__xludf.DUMMYFUNCTION("""COMPUTED_VALUE"""),46157.0)</f>
        <v>46157</v>
      </c>
      <c r="C870" s="93"/>
      <c r="D870" s="93">
        <f>IFERROR(__xludf.DUMMYFUNCTION("""COMPUTED_VALUE"""),1.0)</f>
        <v>1</v>
      </c>
      <c r="E870" s="93" t="str">
        <f>IFERROR(__xludf.DUMMYFUNCTION("""COMPUTED_VALUE"""),"6627 UDrive")</f>
        <v>6627 UDrive</v>
      </c>
      <c r="F870" s="93" t="str">
        <f>IFERROR(__xludf.DUMMYFUNCTION("""COMPUTED_VALUE"""),"Apt 1E Room B")</f>
        <v>Apt 1E Room B</v>
      </c>
      <c r="G870" s="93" t="str">
        <f>IFERROR(__xludf.DUMMYFUNCTION("""COMPUTED_VALUE"""),"Raymond Hsin")</f>
        <v>Raymond Hsin</v>
      </c>
      <c r="H870" s="93">
        <f>IFERROR(__xludf.DUMMYFUNCTION("""COMPUTED_VALUE"""),3.149040326E9)</f>
        <v>3149040326</v>
      </c>
      <c r="I870" s="93" t="str">
        <f>IFERROR(__xludf.DUMMYFUNCTION("""COMPUTED_VALUE"""),"02:00 PM to 04:00 PM")</f>
        <v>02:00 PM to 04:00 PM</v>
      </c>
      <c r="J870" s="93">
        <f>IFERROR(__xludf.DUMMYFUNCTION("""COMPUTED_VALUE"""),1.0)</f>
        <v>1</v>
      </c>
      <c r="K870" s="93" t="str">
        <f>IFERROR(__xludf.DUMMYFUNCTION("""COMPUTED_VALUE"""),"Complete")</f>
        <v>Complete</v>
      </c>
      <c r="L870" s="93"/>
      <c r="M870" s="94">
        <f>IFERROR(__xludf.DUMMYFUNCTION("""COMPUTED_VALUE"""),46150.75418981482)</f>
        <v>46150.75419</v>
      </c>
      <c r="N870" s="93">
        <f>IFERROR(__xludf.DUMMYFUNCTION("""COMPUTED_VALUE"""),1392.0)</f>
        <v>1392</v>
      </c>
      <c r="O870" s="93" t="str">
        <f>IFERROR(__xludf.DUMMYFUNCTION("""COMPUTED_VALUE"""),"1438 3rd Ave, Apt 21C
New York, NY 10028")</f>
        <v>1438 3rd Ave, Apt 21C
New York, NY 10028</v>
      </c>
      <c r="P870" s="93" t="str">
        <f>IFERROR(__xludf.DUMMYFUNCTION("""COMPUTED_VALUE"""),"Kit Delivery")</f>
        <v>Kit Delivery</v>
      </c>
      <c r="Q870" s="93"/>
      <c r="R870" s="93"/>
      <c r="S870" s="93"/>
      <c r="T870" s="95">
        <f>IFERROR(__xludf.DUMMYFUNCTION("""COMPUTED_VALUE"""),46150.75461805556)</f>
        <v>46150.75462</v>
      </c>
      <c r="U870" s="93"/>
      <c r="V870" s="93"/>
      <c r="W870" s="93"/>
      <c r="X870" s="93"/>
      <c r="Y870" s="93"/>
      <c r="Z870" s="93"/>
    </row>
    <row r="871">
      <c r="A871" s="93" t="str">
        <f>IFERROR(__xludf.DUMMYFUNCTION("""COMPUTED_VALUE"""),"KIT-#18364")</f>
        <v>KIT-#18364</v>
      </c>
      <c r="B871" s="94">
        <f>IFERROR(__xludf.DUMMYFUNCTION("""COMPUTED_VALUE"""),46157.0)</f>
        <v>46157</v>
      </c>
      <c r="C871" s="93" t="str">
        <f>IFERROR(__xludf.DUMMYFUNCTION("""COMPUTED_VALUE"""),"Kit Delivery")</f>
        <v>Kit Delivery</v>
      </c>
      <c r="D871" s="93">
        <f>IFERROR(__xludf.DUMMYFUNCTION("""COMPUTED_VALUE"""),1.0)</f>
        <v>1</v>
      </c>
      <c r="E871" s="93" t="str">
        <f>IFERROR(__xludf.DUMMYFUNCTION("""COMPUTED_VALUE"""),"Off-Campus")</f>
        <v>Off-Campus</v>
      </c>
      <c r="F871" s="93"/>
      <c r="G871" s="93" t="str">
        <f>IFERROR(__xludf.DUMMYFUNCTION("""COMPUTED_VALUE"""),"Aaron Spektor")</f>
        <v>Aaron Spektor</v>
      </c>
      <c r="H871" s="93">
        <f>IFERROR(__xludf.DUMMYFUNCTION("""COMPUTED_VALUE"""),7.326393384E9)</f>
        <v>7326393384</v>
      </c>
      <c r="I871" s="93" t="str">
        <f>IFERROR(__xludf.DUMMYFUNCTION("""COMPUTED_VALUE"""),"11AM-1PM")</f>
        <v>11AM-1PM</v>
      </c>
      <c r="J871" s="93">
        <f>IFERROR(__xludf.DUMMYFUNCTION("""COMPUTED_VALUE"""),1.0)</f>
        <v>1</v>
      </c>
      <c r="K871" s="93" t="str">
        <f>IFERROR(__xludf.DUMMYFUNCTION("""COMPUTED_VALUE"""),"Complete")</f>
        <v>Complete</v>
      </c>
      <c r="L871" s="93"/>
      <c r="M871" s="94">
        <f>IFERROR(__xludf.DUMMYFUNCTION("""COMPUTED_VALUE"""),46151.4753125)</f>
        <v>46151.47531</v>
      </c>
      <c r="N871" s="93">
        <f>IFERROR(__xludf.DUMMYFUNCTION("""COMPUTED_VALUE"""),42.0)</f>
        <v>42</v>
      </c>
      <c r="O871" s="93" t="str">
        <f>IFERROR(__xludf.DUMMYFUNCTION("""COMPUTED_VALUE"""),"6031 Westminster Pl Saint Louis, MO 63112
United States")</f>
        <v>6031 Westminster Pl Saint Louis, MO 63112
United States</v>
      </c>
      <c r="P871" s="93" t="str">
        <f>IFERROR(__xludf.DUMMYFUNCTION("""COMPUTED_VALUE"""),"Kit Delivery")</f>
        <v>Kit Delivery</v>
      </c>
      <c r="Q871" s="93"/>
      <c r="R871" s="93"/>
      <c r="S871" s="93"/>
      <c r="T871" s="95">
        <f>IFERROR(__xludf.DUMMYFUNCTION("""COMPUTED_VALUE"""),46151.4768287037)</f>
        <v>46151.47683</v>
      </c>
      <c r="U871" s="93"/>
      <c r="V871" s="93"/>
      <c r="W871" s="93"/>
      <c r="X871" s="93"/>
      <c r="Y871" s="93"/>
      <c r="Z871" s="93"/>
    </row>
    <row r="872">
      <c r="A872" s="93" t="str">
        <f>IFERROR(__xludf.DUMMYFUNCTION("""COMPUTED_VALUE"""),"KIT-#17187")</f>
        <v>KIT-#17187</v>
      </c>
      <c r="B872" s="94">
        <f>IFERROR(__xludf.DUMMYFUNCTION("""COMPUTED_VALUE"""),46157.0)</f>
        <v>46157</v>
      </c>
      <c r="C872" s="93" t="str">
        <f>IFERROR(__xludf.DUMMYFUNCTION("""COMPUTED_VALUE"""),"Kit Delivery")</f>
        <v>Kit Delivery</v>
      </c>
      <c r="D872" s="93">
        <f>IFERROR(__xludf.DUMMYFUNCTION("""COMPUTED_VALUE"""),1.0)</f>
        <v>1</v>
      </c>
      <c r="E872" s="93" t="str">
        <f>IFERROR(__xludf.DUMMYFUNCTION("""COMPUTED_VALUE"""),"Off-Campus")</f>
        <v>Off-Campus</v>
      </c>
      <c r="F872" s="93"/>
      <c r="G872" s="93" t="str">
        <f>IFERROR(__xludf.DUMMYFUNCTION("""COMPUTED_VALUE"""),"Eleanor Archer")</f>
        <v>Eleanor Archer</v>
      </c>
      <c r="H872" s="93">
        <f>IFERROR(__xludf.DUMMYFUNCTION("""COMPUTED_VALUE"""),8.063493688E9)</f>
        <v>8063493688</v>
      </c>
      <c r="I872" s="93" t="str">
        <f>IFERROR(__xludf.DUMMYFUNCTION("""COMPUTED_VALUE"""),"9AM-11AM")</f>
        <v>9AM-11AM</v>
      </c>
      <c r="J872" s="93">
        <f>IFERROR(__xludf.DUMMYFUNCTION("""COMPUTED_VALUE"""),1.0)</f>
        <v>1</v>
      </c>
      <c r="K872" s="93" t="str">
        <f>IFERROR(__xludf.DUMMYFUNCTION("""COMPUTED_VALUE"""),"Complete")</f>
        <v>Complete</v>
      </c>
      <c r="L872" s="93"/>
      <c r="M872" s="94">
        <f>IFERROR(__xludf.DUMMYFUNCTION("""COMPUTED_VALUE"""),46151.53265046296)</f>
        <v>46151.53265</v>
      </c>
      <c r="N872" s="93">
        <f>IFERROR(__xludf.DUMMYFUNCTION("""COMPUTED_VALUE"""),9.0)</f>
        <v>9</v>
      </c>
      <c r="O872" s="93" t="str">
        <f>IFERROR(__xludf.DUMMYFUNCTION("""COMPUTED_VALUE"""),"6105 Delmar Blvd
St. Louis, MO 63112
Apt 714a")</f>
        <v>6105 Delmar Blvd
St. Louis, MO 63112
Apt 714a</v>
      </c>
      <c r="P872" s="93" t="str">
        <f>IFERROR(__xludf.DUMMYFUNCTION("""COMPUTED_VALUE"""),"Kit Delivery")</f>
        <v>Kit Delivery</v>
      </c>
      <c r="Q872" s="93"/>
      <c r="R872" s="93"/>
      <c r="S872" s="93"/>
      <c r="T872" s="95">
        <f>IFERROR(__xludf.DUMMYFUNCTION("""COMPUTED_VALUE"""),46151.5393287037)</f>
        <v>46151.53933</v>
      </c>
      <c r="U872" s="93"/>
      <c r="V872" s="93"/>
      <c r="W872" s="93"/>
      <c r="X872" s="93"/>
      <c r="Y872" s="93"/>
      <c r="Z872" s="93"/>
    </row>
    <row r="873">
      <c r="A873" s="93" t="str">
        <f>IFERROR(__xludf.DUMMYFUNCTION("""COMPUTED_VALUE"""),"KIT-#18365")</f>
        <v>KIT-#18365</v>
      </c>
      <c r="B873" s="94">
        <f>IFERROR(__xludf.DUMMYFUNCTION("""COMPUTED_VALUE"""),46157.0)</f>
        <v>46157</v>
      </c>
      <c r="C873" s="93" t="str">
        <f>IFERROR(__xludf.DUMMYFUNCTION("""COMPUTED_VALUE"""),"Kit Delivery")</f>
        <v>Kit Delivery</v>
      </c>
      <c r="D873" s="93">
        <f>IFERROR(__xludf.DUMMYFUNCTION("""COMPUTED_VALUE"""),1.0)</f>
        <v>1</v>
      </c>
      <c r="E873" s="93" t="str">
        <f>IFERROR(__xludf.DUMMYFUNCTION("""COMPUTED_VALUE"""),"LL6255")</f>
        <v>LL6255</v>
      </c>
      <c r="F873" s="93" t="str">
        <f>IFERROR(__xludf.DUMMYFUNCTION("""COMPUTED_VALUE"""),"316A")</f>
        <v>316A</v>
      </c>
      <c r="G873" s="93" t="str">
        <f>IFERROR(__xludf.DUMMYFUNCTION("""COMPUTED_VALUE"""),"Claire Yang")</f>
        <v>Claire Yang</v>
      </c>
      <c r="H873" s="93">
        <f>IFERROR(__xludf.DUMMYFUNCTION("""COMPUTED_VALUE"""),3.235071252E9)</f>
        <v>3235071252</v>
      </c>
      <c r="I873" s="93" t="str">
        <f>IFERROR(__xludf.DUMMYFUNCTION("""COMPUTED_VALUE"""),"3PM-5PM")</f>
        <v>3PM-5PM</v>
      </c>
      <c r="J873" s="93">
        <f>IFERROR(__xludf.DUMMYFUNCTION("""COMPUTED_VALUE"""),1.0)</f>
        <v>1</v>
      </c>
      <c r="K873" s="93" t="str">
        <f>IFERROR(__xludf.DUMMYFUNCTION("""COMPUTED_VALUE"""),"Complete")</f>
        <v>Complete</v>
      </c>
      <c r="L873" s="93"/>
      <c r="M873" s="94">
        <f>IFERROR(__xludf.DUMMYFUNCTION("""COMPUTED_VALUE"""),46151.542083333334)</f>
        <v>46151.54208</v>
      </c>
      <c r="N873" s="93">
        <f>IFERROR(__xludf.DUMMYFUNCTION("""COMPUTED_VALUE"""),8.0)</f>
        <v>8</v>
      </c>
      <c r="O873" s="93"/>
      <c r="P873" s="93" t="str">
        <f>IFERROR(__xludf.DUMMYFUNCTION("""COMPUTED_VALUE"""),"Kit Delivery")</f>
        <v>Kit Delivery</v>
      </c>
      <c r="Q873" s="93"/>
      <c r="R873" s="93"/>
      <c r="S873" s="93"/>
      <c r="T873" s="95">
        <f>IFERROR(__xludf.DUMMYFUNCTION("""COMPUTED_VALUE"""),46151.546273148146)</f>
        <v>46151.54627</v>
      </c>
      <c r="U873" s="93"/>
      <c r="V873" s="93"/>
      <c r="W873" s="93"/>
      <c r="X873" s="93"/>
      <c r="Y873" s="93"/>
      <c r="Z873" s="93"/>
    </row>
    <row r="874">
      <c r="A874" s="93" t="str">
        <f>IFERROR(__xludf.DUMMYFUNCTION("""COMPUTED_VALUE"""),"KIT-#17407")</f>
        <v>KIT-#17407</v>
      </c>
      <c r="B874" s="94">
        <f>IFERROR(__xludf.DUMMYFUNCTION("""COMPUTED_VALUE"""),46157.0)</f>
        <v>46157</v>
      </c>
      <c r="C874" s="93" t="str">
        <f>IFERROR(__xludf.DUMMYFUNCTION("""COMPUTED_VALUE"""),"Kit Delivery")</f>
        <v>Kit Delivery</v>
      </c>
      <c r="D874" s="93">
        <f>IFERROR(__xludf.DUMMYFUNCTION("""COMPUTED_VALUE"""),1.0)</f>
        <v>1</v>
      </c>
      <c r="E874" s="93" t="str">
        <f>IFERROR(__xludf.DUMMYFUNCTION("""COMPUTED_VALUE"""),"Off-Campus")</f>
        <v>Off-Campus</v>
      </c>
      <c r="F874" s="93"/>
      <c r="G874" s="93" t="str">
        <f>IFERROR(__xludf.DUMMYFUNCTION("""COMPUTED_VALUE"""),"Matthew Brouillet")</f>
        <v>Matthew Brouillet</v>
      </c>
      <c r="H874" s="93">
        <f>IFERROR(__xludf.DUMMYFUNCTION("""COMPUTED_VALUE"""),7.745025038E9)</f>
        <v>7745025038</v>
      </c>
      <c r="I874" s="93" t="str">
        <f>IFERROR(__xludf.DUMMYFUNCTION("""COMPUTED_VALUE"""),"11AM-1PM")</f>
        <v>11AM-1PM</v>
      </c>
      <c r="J874" s="93">
        <f>IFERROR(__xludf.DUMMYFUNCTION("""COMPUTED_VALUE"""),1.0)</f>
        <v>1</v>
      </c>
      <c r="K874" s="93" t="str">
        <f>IFERROR(__xludf.DUMMYFUNCTION("""COMPUTED_VALUE"""),"Complete")</f>
        <v>Complete</v>
      </c>
      <c r="L874" s="93"/>
      <c r="M874" s="94">
        <f>IFERROR(__xludf.DUMMYFUNCTION("""COMPUTED_VALUE"""),46151.64857638889)</f>
        <v>46151.64858</v>
      </c>
      <c r="N874" s="93">
        <f>IFERROR(__xludf.DUMMYFUNCTION("""COMPUTED_VALUE"""),11.0)</f>
        <v>11</v>
      </c>
      <c r="O874" s="93" t="str">
        <f>IFERROR(__xludf.DUMMYFUNCTION("""COMPUTED_VALUE"""),"6665 Washington Ave., University City, 
Apartment 3W")</f>
        <v>6665 Washington Ave., University City, 
Apartment 3W</v>
      </c>
      <c r="P874" s="93" t="str">
        <f>IFERROR(__xludf.DUMMYFUNCTION("""COMPUTED_VALUE"""),"Kit Delivery")</f>
        <v>Kit Delivery</v>
      </c>
      <c r="Q874" s="93"/>
      <c r="R874" s="93"/>
      <c r="S874" s="93"/>
      <c r="T874" s="95">
        <f>IFERROR(__xludf.DUMMYFUNCTION("""COMPUTED_VALUE"""),46151.65045138889)</f>
        <v>46151.65045</v>
      </c>
      <c r="U874" s="93"/>
      <c r="V874" s="93"/>
      <c r="W874" s="93"/>
      <c r="X874" s="93"/>
      <c r="Y874" s="93"/>
      <c r="Z874" s="93"/>
    </row>
    <row r="875">
      <c r="A875" s="93" t="str">
        <f>IFERROR(__xludf.DUMMYFUNCTION("""COMPUTED_VALUE"""),"KIT-#18373")</f>
        <v>KIT-#18373</v>
      </c>
      <c r="B875" s="94">
        <f>IFERROR(__xludf.DUMMYFUNCTION("""COMPUTED_VALUE"""),46157.0)</f>
        <v>46157</v>
      </c>
      <c r="C875" s="93" t="str">
        <f>IFERROR(__xludf.DUMMYFUNCTION("""COMPUTED_VALUE"""),"Kit Delivery")</f>
        <v>Kit Delivery</v>
      </c>
      <c r="D875" s="93">
        <f>IFERROR(__xludf.DUMMYFUNCTION("""COMPUTED_VALUE"""),1.0)</f>
        <v>1</v>
      </c>
      <c r="E875" s="93" t="str">
        <f>IFERROR(__xludf.DUMMYFUNCTION("""COMPUTED_VALUE"""),"Greenway Apartments")</f>
        <v>Greenway Apartments</v>
      </c>
      <c r="F875" s="93">
        <f>IFERROR(__xludf.DUMMYFUNCTION("""COMPUTED_VALUE"""),102.0)</f>
        <v>102</v>
      </c>
      <c r="G875" s="93" t="str">
        <f>IFERROR(__xludf.DUMMYFUNCTION("""COMPUTED_VALUE"""),"Lizette Arroyo")</f>
        <v>Lizette Arroyo</v>
      </c>
      <c r="H875" s="93">
        <f>IFERROR(__xludf.DUMMYFUNCTION("""COMPUTED_VALUE"""),4.04476113E9)</f>
        <v>4044761130</v>
      </c>
      <c r="I875" s="93" t="str">
        <f>IFERROR(__xludf.DUMMYFUNCTION("""COMPUTED_VALUE"""),"3PM-5PM")</f>
        <v>3PM-5PM</v>
      </c>
      <c r="J875" s="93">
        <f>IFERROR(__xludf.DUMMYFUNCTION("""COMPUTED_VALUE"""),1.0)</f>
        <v>1</v>
      </c>
      <c r="K875" s="93" t="str">
        <f>IFERROR(__xludf.DUMMYFUNCTION("""COMPUTED_VALUE"""),"Complete")</f>
        <v>Complete</v>
      </c>
      <c r="L875" s="93"/>
      <c r="M875" s="94">
        <f>IFERROR(__xludf.DUMMYFUNCTION("""COMPUTED_VALUE"""),46152.80175925926)</f>
        <v>46152.80176</v>
      </c>
      <c r="N875" s="93">
        <f>IFERROR(__xludf.DUMMYFUNCTION("""COMPUTED_VALUE"""),1.0)</f>
        <v>1</v>
      </c>
      <c r="O875" s="93" t="str">
        <f>IFERROR(__xludf.DUMMYFUNCTION("""COMPUTED_VALUE"""),"2744 Bent Creek Dr. NW, Kennesaw, GA 30152")</f>
        <v>2744 Bent Creek Dr. NW, Kennesaw, GA 30152</v>
      </c>
      <c r="P875" s="93" t="str">
        <f>IFERROR(__xludf.DUMMYFUNCTION("""COMPUTED_VALUE"""),"Kit Delivery")</f>
        <v>Kit Delivery</v>
      </c>
      <c r="Q875" s="93"/>
      <c r="R875" s="93"/>
      <c r="S875" s="93" t="str">
        <f>IFERROR(__xludf.DUMMYFUNCTION("""COMPUTED_VALUE"""),"Dispatch_Images/KIT--18373.Photos.001427.jpg")</f>
        <v>Dispatch_Images/KIT--18373.Photos.001427.jpg</v>
      </c>
      <c r="T875" s="95">
        <f>IFERROR(__xludf.DUMMYFUNCTION("""COMPUTED_VALUE"""),46152.803252314814)</f>
        <v>46152.80325</v>
      </c>
      <c r="U875" s="93"/>
      <c r="V875" s="93"/>
      <c r="W875" s="93"/>
      <c r="X875" s="93"/>
      <c r="Y875" s="93"/>
      <c r="Z875" s="93"/>
    </row>
    <row r="876">
      <c r="A876" s="93" t="str">
        <f>IFERROR(__xludf.DUMMYFUNCTION("""COMPUTED_VALUE"""),"KIT-#17702")</f>
        <v>KIT-#17702</v>
      </c>
      <c r="B876" s="94">
        <f>IFERROR(__xludf.DUMMYFUNCTION("""COMPUTED_VALUE"""),46158.0)</f>
        <v>46158</v>
      </c>
      <c r="C876" s="93" t="str">
        <f>IFERROR(__xludf.DUMMYFUNCTION("""COMPUTED_VALUE"""),"Kit Delivery")</f>
        <v>Kit Delivery</v>
      </c>
      <c r="D876" s="93">
        <f>IFERROR(__xludf.DUMMYFUNCTION("""COMPUTED_VALUE"""),2.0)</f>
        <v>2</v>
      </c>
      <c r="E876" s="93" t="str">
        <f>IFERROR(__xludf.DUMMYFUNCTION("""COMPUTED_VALUE"""),"6607 UDrive")</f>
        <v>6607 UDrive</v>
      </c>
      <c r="F876" s="93" t="str">
        <f>IFERROR(__xludf.DUMMYFUNCTION("""COMPUTED_VALUE"""),"2WA")</f>
        <v>2WA</v>
      </c>
      <c r="G876" s="93" t="str">
        <f>IFERROR(__xludf.DUMMYFUNCTION("""COMPUTED_VALUE"""),"Caroline Coffey")</f>
        <v>Caroline Coffey</v>
      </c>
      <c r="H876" s="93">
        <f>IFERROR(__xludf.DUMMYFUNCTION("""COMPUTED_VALUE"""),2.03246205E9)</f>
        <v>2032462050</v>
      </c>
      <c r="I876" s="93" t="str">
        <f>IFERROR(__xludf.DUMMYFUNCTION("""COMPUTED_VALUE"""),"9AM-11AM")</f>
        <v>9AM-11AM</v>
      </c>
      <c r="J876" s="93">
        <f>IFERROR(__xludf.DUMMYFUNCTION("""COMPUTED_VALUE"""),1.0)</f>
        <v>1</v>
      </c>
      <c r="K876" s="93" t="str">
        <f>IFERROR(__xludf.DUMMYFUNCTION("""COMPUTED_VALUE"""),"Complete")</f>
        <v>Complete</v>
      </c>
      <c r="L876" s="93"/>
      <c r="M876" s="94">
        <f>IFERROR(__xludf.DUMMYFUNCTION("""COMPUTED_VALUE"""),46137.69679398148)</f>
        <v>46137.69679</v>
      </c>
      <c r="N876" s="93">
        <f>IFERROR(__xludf.DUMMYFUNCTION("""COMPUTED_VALUE"""),249.0)</f>
        <v>249</v>
      </c>
      <c r="O876" s="93" t="str">
        <f>IFERROR(__xludf.DUMMYFUNCTION("""COMPUTED_VALUE"""),"2 Hillyfield Lane")</f>
        <v>2 Hillyfield Lane</v>
      </c>
      <c r="P876" s="93" t="str">
        <f>IFERROR(__xludf.DUMMYFUNCTION("""COMPUTED_VALUE"""),"Kit Delivery")</f>
        <v>Kit Delivery</v>
      </c>
      <c r="Q876" s="93"/>
      <c r="R876" s="93"/>
      <c r="S876" s="93" t="str">
        <f>IFERROR(__xludf.DUMMYFUNCTION("""COMPUTED_VALUE"""),"Dispatch_Images/KIT--17702.Photos.214319.jpg")</f>
        <v>Dispatch_Images/KIT--17702.Photos.214319.jpg</v>
      </c>
      <c r="T876" s="95">
        <f>IFERROR(__xludf.DUMMYFUNCTION("""COMPUTED_VALUE"""),46137.70349537037)</f>
        <v>46137.7035</v>
      </c>
      <c r="U876" s="93"/>
      <c r="V876" s="93"/>
      <c r="W876" s="93"/>
      <c r="X876" s="93"/>
      <c r="Y876" s="93"/>
      <c r="Z876" s="93"/>
    </row>
    <row r="877">
      <c r="A877" s="93" t="str">
        <f>IFERROR(__xludf.DUMMYFUNCTION("""COMPUTED_VALUE"""),"KIT-#17469")</f>
        <v>KIT-#17469</v>
      </c>
      <c r="B877" s="94">
        <f>IFERROR(__xludf.DUMMYFUNCTION("""COMPUTED_VALUE"""),46158.0)</f>
        <v>46158</v>
      </c>
      <c r="C877" s="93" t="str">
        <f>IFERROR(__xludf.DUMMYFUNCTION("""COMPUTED_VALUE"""),"Kit Delivery")</f>
        <v>Kit Delivery</v>
      </c>
      <c r="D877" s="93">
        <f>IFERROR(__xludf.DUMMYFUNCTION("""COMPUTED_VALUE"""),3.0)</f>
        <v>3</v>
      </c>
      <c r="E877" s="93" t="str">
        <f>IFERROR(__xludf.DUMMYFUNCTION("""COMPUTED_VALUE"""),"LL6200")</f>
        <v>LL6200</v>
      </c>
      <c r="F877" s="93">
        <f>IFERROR(__xludf.DUMMYFUNCTION("""COMPUTED_VALUE"""),214.0)</f>
        <v>214</v>
      </c>
      <c r="G877" s="93" t="str">
        <f>IFERROR(__xludf.DUMMYFUNCTION("""COMPUTED_VALUE"""),"Nethanya Merlain-Moffatt")</f>
        <v>Nethanya Merlain-Moffatt</v>
      </c>
      <c r="H877" s="93">
        <f>IFERROR(__xludf.DUMMYFUNCTION("""COMPUTED_VALUE"""),7.722249328E9)</f>
        <v>7722249328</v>
      </c>
      <c r="I877" s="93" t="str">
        <f>IFERROR(__xludf.DUMMYFUNCTION("""COMPUTED_VALUE"""),"9AM-11AM")</f>
        <v>9AM-11AM</v>
      </c>
      <c r="J877" s="93">
        <f>IFERROR(__xludf.DUMMYFUNCTION("""COMPUTED_VALUE"""),1.0)</f>
        <v>1</v>
      </c>
      <c r="K877" s="93" t="str">
        <f>IFERROR(__xludf.DUMMYFUNCTION("""COMPUTED_VALUE"""),"Complete")</f>
        <v>Complete</v>
      </c>
      <c r="L877" s="93"/>
      <c r="M877" s="94">
        <f>IFERROR(__xludf.DUMMYFUNCTION("""COMPUTED_VALUE"""),46140.744629629626)</f>
        <v>46140.74463</v>
      </c>
      <c r="N877" s="93">
        <f>IFERROR(__xludf.DUMMYFUNCTION("""COMPUTED_VALUE"""),205.0)</f>
        <v>205</v>
      </c>
      <c r="O877" s="93" t="str">
        <f>IFERROR(__xludf.DUMMYFUNCTION("""COMPUTED_VALUE"""),"15548 Orchard Drive, Westlake FL, 33470")</f>
        <v>15548 Orchard Drive, Westlake FL, 33470</v>
      </c>
      <c r="P877" s="93" t="str">
        <f>IFERROR(__xludf.DUMMYFUNCTION("""COMPUTED_VALUE"""),"Kit Delivery")</f>
        <v>Kit Delivery</v>
      </c>
      <c r="Q877" s="93"/>
      <c r="R877" s="93"/>
      <c r="S877" s="93" t="str">
        <f>IFERROR(__xludf.DUMMYFUNCTION("""COMPUTED_VALUE"""),"Dispatch_Images/KIT--17469.Photos.225212.jpg")</f>
        <v>Dispatch_Images/KIT--17469.Photos.225212.jpg</v>
      </c>
      <c r="T877" s="95">
        <f>IFERROR(__xludf.DUMMYFUNCTION("""COMPUTED_VALUE"""),46140.74519675926)</f>
        <v>46140.7452</v>
      </c>
      <c r="U877" s="93"/>
      <c r="V877" s="93"/>
      <c r="W877" s="93"/>
      <c r="X877" s="93"/>
      <c r="Y877" s="93"/>
      <c r="Z877" s="93"/>
    </row>
    <row r="878">
      <c r="A878" s="93" t="str">
        <f>IFERROR(__xludf.DUMMYFUNCTION("""COMPUTED_VALUE"""),"KIT-#17153")</f>
        <v>KIT-#17153</v>
      </c>
      <c r="B878" s="94">
        <f>IFERROR(__xludf.DUMMYFUNCTION("""COMPUTED_VALUE"""),46158.0)</f>
        <v>46158</v>
      </c>
      <c r="C878" s="93" t="str">
        <f>IFERROR(__xludf.DUMMYFUNCTION("""COMPUTED_VALUE"""),"Kit Delivery")</f>
        <v>Kit Delivery</v>
      </c>
      <c r="D878" s="93">
        <f>IFERROR(__xludf.DUMMYFUNCTION("""COMPUTED_VALUE"""),3.0)</f>
        <v>3</v>
      </c>
      <c r="E878" s="93" t="str">
        <f>IFERROR(__xludf.DUMMYFUNCTION("""COMPUTED_VALUE"""),"LL6255")</f>
        <v>LL6255</v>
      </c>
      <c r="F878" s="93" t="str">
        <f>IFERROR(__xludf.DUMMYFUNCTION("""COMPUTED_VALUE"""),"302C")</f>
        <v>302C</v>
      </c>
      <c r="G878" s="93" t="str">
        <f>IFERROR(__xludf.DUMMYFUNCTION("""COMPUTED_VALUE"""),"Nina Todreas")</f>
        <v>Nina Todreas</v>
      </c>
      <c r="H878" s="93">
        <f>IFERROR(__xludf.DUMMYFUNCTION("""COMPUTED_VALUE"""),6.176310203E9)</f>
        <v>6176310203</v>
      </c>
      <c r="I878" s="93" t="str">
        <f>IFERROR(__xludf.DUMMYFUNCTION("""COMPUTED_VALUE"""),"3PM-5PM")</f>
        <v>3PM-5PM</v>
      </c>
      <c r="J878" s="93">
        <f>IFERROR(__xludf.DUMMYFUNCTION("""COMPUTED_VALUE"""),2.0)</f>
        <v>2</v>
      </c>
      <c r="K878" s="93" t="str">
        <f>IFERROR(__xludf.DUMMYFUNCTION("""COMPUTED_VALUE"""),"Complete")</f>
        <v>Complete</v>
      </c>
      <c r="L878" s="93"/>
      <c r="M878" s="94">
        <f>IFERROR(__xludf.DUMMYFUNCTION("""COMPUTED_VALUE"""),46140.74865740741)</f>
        <v>46140.74866</v>
      </c>
      <c r="N878" s="93">
        <f>IFERROR(__xludf.DUMMYFUNCTION("""COMPUTED_VALUE"""),206.0)</f>
        <v>206</v>
      </c>
      <c r="O878" s="93" t="str">
        <f>IFERROR(__xludf.DUMMYFUNCTION("""COMPUTED_VALUE"""),"16 Chenery Terrace
Belmont, MA 02478")</f>
        <v>16 Chenery Terrace
Belmont, MA 02478</v>
      </c>
      <c r="P878" s="93" t="str">
        <f>IFERROR(__xludf.DUMMYFUNCTION("""COMPUTED_VALUE"""),"Kit Delivery")</f>
        <v>Kit Delivery</v>
      </c>
      <c r="Q878" s="93"/>
      <c r="R878" s="93"/>
      <c r="S878" s="93" t="str">
        <f>IFERROR(__xludf.DUMMYFUNCTION("""COMPUTED_VALUE"""),"Dispatch_Images/KIT--17153.Photos.225800.jpg")</f>
        <v>Dispatch_Images/KIT--17153.Photos.225800.jpg</v>
      </c>
      <c r="T878" s="95">
        <f>IFERROR(__xludf.DUMMYFUNCTION("""COMPUTED_VALUE"""),46140.752118055556)</f>
        <v>46140.75212</v>
      </c>
      <c r="U878" s="93"/>
      <c r="V878" s="93"/>
      <c r="W878" s="93"/>
      <c r="X878" s="93"/>
      <c r="Y878" s="93"/>
      <c r="Z878" s="93"/>
    </row>
    <row r="879">
      <c r="A879" s="93" t="str">
        <f>IFERROR(__xludf.DUMMYFUNCTION("""COMPUTED_VALUE"""),"KIT-#17122")</f>
        <v>KIT-#17122</v>
      </c>
      <c r="B879" s="94">
        <f>IFERROR(__xludf.DUMMYFUNCTION("""COMPUTED_VALUE"""),46158.0)</f>
        <v>46158</v>
      </c>
      <c r="C879" s="93" t="str">
        <f>IFERROR(__xludf.DUMMYFUNCTION("""COMPUTED_VALUE"""),"Kit Delivery")</f>
        <v>Kit Delivery</v>
      </c>
      <c r="D879" s="93">
        <f>IFERROR(__xludf.DUMMYFUNCTION("""COMPUTED_VALUE"""),2.0)</f>
        <v>2</v>
      </c>
      <c r="E879" s="93" t="str">
        <f>IFERROR(__xludf.DUMMYFUNCTION("""COMPUTED_VALUE"""),"Millbrook Bldg. 4")</f>
        <v>Millbrook Bldg. 4</v>
      </c>
      <c r="F879" s="93" t="str">
        <f>IFERROR(__xludf.DUMMYFUNCTION("""COMPUTED_VALUE"""),"B-3C-A")</f>
        <v>B-3C-A</v>
      </c>
      <c r="G879" s="93" t="str">
        <f>IFERROR(__xludf.DUMMYFUNCTION("""COMPUTED_VALUE"""),"Shaye Herman")</f>
        <v>Shaye Herman</v>
      </c>
      <c r="H879" s="93">
        <f>IFERROR(__xludf.DUMMYFUNCTION("""COMPUTED_VALUE"""),2.012648488E9)</f>
        <v>2012648488</v>
      </c>
      <c r="I879" s="93" t="str">
        <f>IFERROR(__xludf.DUMMYFUNCTION("""COMPUTED_VALUE"""),"9AM-11AM")</f>
        <v>9AM-11AM</v>
      </c>
      <c r="J879" s="93">
        <f>IFERROR(__xludf.DUMMYFUNCTION("""COMPUTED_VALUE"""),2.0)</f>
        <v>2</v>
      </c>
      <c r="K879" s="93" t="str">
        <f>IFERROR(__xludf.DUMMYFUNCTION("""COMPUTED_VALUE"""),"Complete")</f>
        <v>Complete</v>
      </c>
      <c r="L879" s="93"/>
      <c r="M879" s="94">
        <f>IFERROR(__xludf.DUMMYFUNCTION("""COMPUTED_VALUE"""),46142.83725694445)</f>
        <v>46142.83726</v>
      </c>
      <c r="N879" s="93">
        <f>IFERROR(__xludf.DUMMYFUNCTION("""COMPUTED_VALUE"""),153.0)</f>
        <v>153</v>
      </c>
      <c r="O879" s="93" t="str">
        <f>IFERROR(__xludf.DUMMYFUNCTION("""COMPUTED_VALUE"""),"59 Fox Hunt Road
New Vernon, NJ 07976")</f>
        <v>59 Fox Hunt Road
New Vernon, NJ 07976</v>
      </c>
      <c r="P879" s="93" t="str">
        <f>IFERROR(__xludf.DUMMYFUNCTION("""COMPUTED_VALUE"""),"Kit Delivery")</f>
        <v>Kit Delivery</v>
      </c>
      <c r="Q879" s="93"/>
      <c r="R879" s="93"/>
      <c r="S879" s="93" t="str">
        <f>IFERROR(__xludf.DUMMYFUNCTION("""COMPUTED_VALUE"""),"Dispatch_Images/KIT--17122.Photos.010535.jpg")</f>
        <v>Dispatch_Images/KIT--17122.Photos.010535.jpg</v>
      </c>
      <c r="T879" s="95">
        <f>IFERROR(__xludf.DUMMYFUNCTION("""COMPUTED_VALUE"""),46142.83795138889)</f>
        <v>46142.83795</v>
      </c>
      <c r="U879" s="93"/>
      <c r="V879" s="93"/>
      <c r="W879" s="93"/>
      <c r="X879" s="93"/>
      <c r="Y879" s="93"/>
      <c r="Z879" s="93"/>
    </row>
    <row r="880">
      <c r="A880" s="93" t="str">
        <f>IFERROR(__xludf.DUMMYFUNCTION("""COMPUTED_VALUE"""),"KIT-#17749")</f>
        <v>KIT-#17749</v>
      </c>
      <c r="B880" s="94">
        <f>IFERROR(__xludf.DUMMYFUNCTION("""COMPUTED_VALUE"""),46158.0)</f>
        <v>46158</v>
      </c>
      <c r="C880" s="93" t="str">
        <f>IFERROR(__xludf.DUMMYFUNCTION("""COMPUTED_VALUE"""),"Kit Delivery")</f>
        <v>Kit Delivery</v>
      </c>
      <c r="D880" s="93">
        <f>IFERROR(__xludf.DUMMYFUNCTION("""COMPUTED_VALUE"""),2.0)</f>
        <v>2</v>
      </c>
      <c r="E880" s="93" t="str">
        <f>IFERROR(__xludf.DUMMYFUNCTION("""COMPUTED_VALUE"""),"Greenway Apartments")</f>
        <v>Greenway Apartments</v>
      </c>
      <c r="F880" s="93" t="str">
        <f>IFERROR(__xludf.DUMMYFUNCTION("""COMPUTED_VALUE"""),"117B")</f>
        <v>117B</v>
      </c>
      <c r="G880" s="93" t="str">
        <f>IFERROR(__xludf.DUMMYFUNCTION("""COMPUTED_VALUE"""),"Anaelda Ramos")</f>
        <v>Anaelda Ramos</v>
      </c>
      <c r="H880" s="93">
        <f>IFERROR(__xludf.DUMMYFUNCTION("""COMPUTED_VALUE"""),9.565887369E9)</f>
        <v>9565887369</v>
      </c>
      <c r="I880" s="93" t="str">
        <f>IFERROR(__xludf.DUMMYFUNCTION("""COMPUTED_VALUE"""),"12PM-2PM")</f>
        <v>12PM-2PM</v>
      </c>
      <c r="J880" s="93">
        <f>IFERROR(__xludf.DUMMYFUNCTION("""COMPUTED_VALUE"""),2.0)</f>
        <v>2</v>
      </c>
      <c r="K880" s="93" t="str">
        <f>IFERROR(__xludf.DUMMYFUNCTION("""COMPUTED_VALUE"""),"Complete")</f>
        <v>Complete</v>
      </c>
      <c r="L880" s="93"/>
      <c r="M880" s="94">
        <f>IFERROR(__xludf.DUMMYFUNCTION("""COMPUTED_VALUE"""),46142.968923611115)</f>
        <v>46142.96892</v>
      </c>
      <c r="N880" s="93">
        <f>IFERROR(__xludf.DUMMYFUNCTION("""COMPUTED_VALUE"""),175.0)</f>
        <v>175</v>
      </c>
      <c r="O880" s="93" t="str">
        <f>IFERROR(__xludf.DUMMYFUNCTION("""COMPUTED_VALUE"""),"1408 West Sevilla St., Pharr, TX 78577")</f>
        <v>1408 West Sevilla St., Pharr, TX 78577</v>
      </c>
      <c r="P880" s="93" t="str">
        <f>IFERROR(__xludf.DUMMYFUNCTION("""COMPUTED_VALUE"""),"Kit Delivery")</f>
        <v>Kit Delivery</v>
      </c>
      <c r="Q880" s="93"/>
      <c r="R880" s="93"/>
      <c r="S880" s="93" t="str">
        <f>IFERROR(__xludf.DUMMYFUNCTION("""COMPUTED_VALUE"""),"Dispatch_Images/KIT--17749.Photos.041511.jpg")</f>
        <v>Dispatch_Images/KIT--17749.Photos.041511.jpg</v>
      </c>
      <c r="T880" s="95">
        <f>IFERROR(__xludf.DUMMYFUNCTION("""COMPUTED_VALUE"""),46142.96989583333)</f>
        <v>46142.9699</v>
      </c>
      <c r="U880" s="93"/>
      <c r="V880" s="93"/>
      <c r="W880" s="93"/>
      <c r="X880" s="93"/>
      <c r="Y880" s="93"/>
      <c r="Z880" s="93"/>
    </row>
    <row r="881">
      <c r="A881" s="93" t="str">
        <f>IFERROR(__xludf.DUMMYFUNCTION("""COMPUTED_VALUE"""),"KIT-#17271")</f>
        <v>KIT-#17271</v>
      </c>
      <c r="B881" s="94">
        <f>IFERROR(__xludf.DUMMYFUNCTION("""COMPUTED_VALUE"""),46158.0)</f>
        <v>46158</v>
      </c>
      <c r="C881" s="93" t="str">
        <f>IFERROR(__xludf.DUMMYFUNCTION("""COMPUTED_VALUE"""),"Kit Delivery")</f>
        <v>Kit Delivery</v>
      </c>
      <c r="D881" s="93">
        <f>IFERROR(__xludf.DUMMYFUNCTION("""COMPUTED_VALUE"""),2.0)</f>
        <v>2</v>
      </c>
      <c r="E881" s="93" t="str">
        <f>IFERROR(__xludf.DUMMYFUNCTION("""COMPUTED_VALUE"""),"Millbrook Bldg. 1")</f>
        <v>Millbrook Bldg. 1</v>
      </c>
      <c r="F881" s="93" t="str">
        <f>IFERROR(__xludf.DUMMYFUNCTION("""COMPUTED_VALUE"""),"204 D")</f>
        <v>204 D</v>
      </c>
      <c r="G881" s="93" t="str">
        <f>IFERROR(__xludf.DUMMYFUNCTION("""COMPUTED_VALUE"""),"Ally Lin")</f>
        <v>Ally Lin</v>
      </c>
      <c r="H881" s="93"/>
      <c r="I881" s="93" t="str">
        <f>IFERROR(__xludf.DUMMYFUNCTION("""COMPUTED_VALUE"""),"3PM-5PM")</f>
        <v>3PM-5PM</v>
      </c>
      <c r="J881" s="93">
        <f>IFERROR(__xludf.DUMMYFUNCTION("""COMPUTED_VALUE"""),1.0)</f>
        <v>1</v>
      </c>
      <c r="K881" s="93" t="str">
        <f>IFERROR(__xludf.DUMMYFUNCTION("""COMPUTED_VALUE"""),"Complete")</f>
        <v>Complete</v>
      </c>
      <c r="L881" s="93"/>
      <c r="M881" s="94">
        <f>IFERROR(__xludf.DUMMYFUNCTION("""COMPUTED_VALUE"""),46145.95560185185)</f>
        <v>46145.9556</v>
      </c>
      <c r="N881" s="93">
        <f>IFERROR(__xludf.DUMMYFUNCTION("""COMPUTED_VALUE"""),37.0)</f>
        <v>37</v>
      </c>
      <c r="O881" s="93"/>
      <c r="P881" s="93" t="str">
        <f>IFERROR(__xludf.DUMMYFUNCTION("""COMPUTED_VALUE"""),"Kit Delivery")</f>
        <v>Kit Delivery</v>
      </c>
      <c r="Q881" s="93"/>
      <c r="R881" s="93"/>
      <c r="S881" s="93" t="str">
        <f>IFERROR(__xludf.DUMMYFUNCTION("""COMPUTED_VALUE"""),"Dispatch_Images/KIT--17271.Photos.035600.jpg")</f>
        <v>Dispatch_Images/KIT--17271.Photos.035600.jpg</v>
      </c>
      <c r="T881" s="95">
        <f>IFERROR(__xludf.DUMMYFUNCTION("""COMPUTED_VALUE"""),46145.95599537037)</f>
        <v>46145.956</v>
      </c>
      <c r="U881" s="93"/>
      <c r="V881" s="93"/>
      <c r="W881" s="93"/>
      <c r="X881" s="93"/>
      <c r="Y881" s="93"/>
      <c r="Z881" s="93"/>
    </row>
    <row r="882">
      <c r="A882" s="93" t="str">
        <f>IFERROR(__xludf.DUMMYFUNCTION("""COMPUTED_VALUE"""),"KIT-#17100")</f>
        <v>KIT-#17100</v>
      </c>
      <c r="B882" s="94">
        <f>IFERROR(__xludf.DUMMYFUNCTION("""COMPUTED_VALUE"""),46158.0)</f>
        <v>46158</v>
      </c>
      <c r="C882" s="93" t="str">
        <f>IFERROR(__xludf.DUMMYFUNCTION("""COMPUTED_VALUE"""),"Kit Delivery")</f>
        <v>Kit Delivery</v>
      </c>
      <c r="D882" s="93">
        <f>IFERROR(__xludf.DUMMYFUNCTION("""COMPUTED_VALUE"""),2.0)</f>
        <v>2</v>
      </c>
      <c r="E882" s="93" t="str">
        <f>IFERROR(__xludf.DUMMYFUNCTION("""COMPUTED_VALUE"""),"Millbrook Bldg. 4")</f>
        <v>Millbrook Bldg. 4</v>
      </c>
      <c r="F882" s="93">
        <f>IFERROR(__xludf.DUMMYFUNCTION("""COMPUTED_VALUE"""),304.0)</f>
        <v>304</v>
      </c>
      <c r="G882" s="93" t="str">
        <f>IFERROR(__xludf.DUMMYFUNCTION("""COMPUTED_VALUE"""),"ian shurslep")</f>
        <v>ian shurslep</v>
      </c>
      <c r="H882" s="93">
        <f>IFERROR(__xludf.DUMMYFUNCTION("""COMPUTED_VALUE"""),6.504683885E9)</f>
        <v>6504683885</v>
      </c>
      <c r="I882" s="93" t="str">
        <f>IFERROR(__xludf.DUMMYFUNCTION("""COMPUTED_VALUE"""),"3PM-5PM")</f>
        <v>3PM-5PM</v>
      </c>
      <c r="J882" s="93">
        <f>IFERROR(__xludf.DUMMYFUNCTION("""COMPUTED_VALUE"""),1.0)</f>
        <v>1</v>
      </c>
      <c r="K882" s="93" t="str">
        <f>IFERROR(__xludf.DUMMYFUNCTION("""COMPUTED_VALUE"""),"Complete")</f>
        <v>Complete</v>
      </c>
      <c r="L882" s="93"/>
      <c r="M882" s="94">
        <f>IFERROR(__xludf.DUMMYFUNCTION("""COMPUTED_VALUE"""),46145.962951388894)</f>
        <v>46145.96295</v>
      </c>
      <c r="N882" s="93">
        <f>IFERROR(__xludf.DUMMYFUNCTION("""COMPUTED_VALUE"""),39.0)</f>
        <v>39</v>
      </c>
      <c r="O882" s="93"/>
      <c r="P882" s="93" t="str">
        <f>IFERROR(__xludf.DUMMYFUNCTION("""COMPUTED_VALUE"""),"Kit Delivery")</f>
        <v>Kit Delivery</v>
      </c>
      <c r="Q882" s="93"/>
      <c r="R882" s="93"/>
      <c r="S882" s="93" t="str">
        <f>IFERROR(__xludf.DUMMYFUNCTION("""COMPUTED_VALUE"""),"Dispatch_Images/KIT--17100.Photos.040634.jpg")</f>
        <v>Dispatch_Images/KIT--17100.Photos.040634.jpg</v>
      </c>
      <c r="T882" s="95">
        <f>IFERROR(__xludf.DUMMYFUNCTION("""COMPUTED_VALUE"""),46145.96988425926)</f>
        <v>46145.96988</v>
      </c>
      <c r="U882" s="93"/>
      <c r="V882" s="93"/>
      <c r="W882" s="93"/>
      <c r="X882" s="93"/>
      <c r="Y882" s="93"/>
      <c r="Z882" s="93"/>
    </row>
    <row r="883">
      <c r="A883" s="93" t="str">
        <f>IFERROR(__xludf.DUMMYFUNCTION("""COMPUTED_VALUE"""),"KIT-#18103")</f>
        <v>KIT-#18103</v>
      </c>
      <c r="B883" s="94">
        <f>IFERROR(__xludf.DUMMYFUNCTION("""COMPUTED_VALUE"""),46158.0)</f>
        <v>46158</v>
      </c>
      <c r="C883" s="93" t="str">
        <f>IFERROR(__xludf.DUMMYFUNCTION("""COMPUTED_VALUE"""),"Kit Delivery")</f>
        <v>Kit Delivery</v>
      </c>
      <c r="D883" s="93">
        <f>IFERROR(__xludf.DUMMYFUNCTION("""COMPUTED_VALUE"""),2.0)</f>
        <v>2</v>
      </c>
      <c r="E883" s="93" t="str">
        <f>IFERROR(__xludf.DUMMYFUNCTION("""COMPUTED_VALUE"""),"6811 UDrive")</f>
        <v>6811 UDrive</v>
      </c>
      <c r="F883" s="93" t="str">
        <f>IFERROR(__xludf.DUMMYFUNCTION("""COMPUTED_VALUE"""),"2E, Room A")</f>
        <v>2E, Room A</v>
      </c>
      <c r="G883" s="93" t="str">
        <f>IFERROR(__xludf.DUMMYFUNCTION("""COMPUTED_VALUE"""),"Taryn Sager")</f>
        <v>Taryn Sager</v>
      </c>
      <c r="H883" s="93">
        <f>IFERROR(__xludf.DUMMYFUNCTION("""COMPUTED_VALUE"""),8.057220816E9)</f>
        <v>8057220816</v>
      </c>
      <c r="I883" s="93" t="str">
        <f>IFERROR(__xludf.DUMMYFUNCTION("""COMPUTED_VALUE"""),"2PM-4PM")</f>
        <v>2PM-4PM</v>
      </c>
      <c r="J883" s="93">
        <f>IFERROR(__xludf.DUMMYFUNCTION("""COMPUTED_VALUE"""),1.0)</f>
        <v>1</v>
      </c>
      <c r="K883" s="93" t="str">
        <f>IFERROR(__xludf.DUMMYFUNCTION("""COMPUTED_VALUE"""),"Complete")</f>
        <v>Complete</v>
      </c>
      <c r="L883" s="93"/>
      <c r="M883" s="94">
        <f>IFERROR(__xludf.DUMMYFUNCTION("""COMPUTED_VALUE"""),46145.9790625)</f>
        <v>46145.97906</v>
      </c>
      <c r="N883" s="93">
        <f>IFERROR(__xludf.DUMMYFUNCTION("""COMPUTED_VALUE"""),42.0)</f>
        <v>42</v>
      </c>
      <c r="O883" s="93"/>
      <c r="P883" s="93" t="str">
        <f>IFERROR(__xludf.DUMMYFUNCTION("""COMPUTED_VALUE"""),"Kit Delivery")</f>
        <v>Kit Delivery</v>
      </c>
      <c r="Q883" s="93"/>
      <c r="R883" s="93"/>
      <c r="S883" s="93" t="str">
        <f>IFERROR(__xludf.DUMMYFUNCTION("""COMPUTED_VALUE"""),"Dispatch_Images/KIT--18103.Photos.042947.jpg")</f>
        <v>Dispatch_Images/KIT--18103.Photos.042947.jpg</v>
      </c>
      <c r="T883" s="95">
        <f>IFERROR(__xludf.DUMMYFUNCTION("""COMPUTED_VALUE"""),46145.983761574076)</f>
        <v>46145.98376</v>
      </c>
      <c r="U883" s="93"/>
      <c r="V883" s="93"/>
      <c r="W883" s="93"/>
      <c r="X883" s="93"/>
      <c r="Y883" s="93"/>
      <c r="Z883" s="93"/>
    </row>
    <row r="884">
      <c r="A884" s="93" t="str">
        <f>IFERROR(__xludf.DUMMYFUNCTION("""COMPUTED_VALUE"""),"KIT-#18054")</f>
        <v>KIT-#18054</v>
      </c>
      <c r="B884" s="94">
        <f>IFERROR(__xludf.DUMMYFUNCTION("""COMPUTED_VALUE"""),46158.0)</f>
        <v>46158</v>
      </c>
      <c r="C884" s="93" t="str">
        <f>IFERROR(__xludf.DUMMYFUNCTION("""COMPUTED_VALUE"""),"Kit Delivery")</f>
        <v>Kit Delivery</v>
      </c>
      <c r="D884" s="93">
        <f>IFERROR(__xludf.DUMMYFUNCTION("""COMPUTED_VALUE"""),2.0)</f>
        <v>2</v>
      </c>
      <c r="E884" s="93" t="str">
        <f>IFERROR(__xludf.DUMMYFUNCTION("""COMPUTED_VALUE"""),"LL6200")</f>
        <v>LL6200</v>
      </c>
      <c r="F884" s="93" t="str">
        <f>IFERROR(__xludf.DUMMYFUNCTION("""COMPUTED_VALUE"""),"401A")</f>
        <v>401A</v>
      </c>
      <c r="G884" s="93" t="str">
        <f>IFERROR(__xludf.DUMMYFUNCTION("""COMPUTED_VALUE"""),"Norah Alhusayni")</f>
        <v>Norah Alhusayni</v>
      </c>
      <c r="H884" s="93">
        <f>IFERROR(__xludf.DUMMYFUNCTION("""COMPUTED_VALUE"""),3.143203294E9)</f>
        <v>3143203294</v>
      </c>
      <c r="I884" s="93" t="str">
        <f>IFERROR(__xludf.DUMMYFUNCTION("""COMPUTED_VALUE"""),"9AM-11AM")</f>
        <v>9AM-11AM</v>
      </c>
      <c r="J884" s="93">
        <f>IFERROR(__xludf.DUMMYFUNCTION("""COMPUTED_VALUE"""),1.0)</f>
        <v>1</v>
      </c>
      <c r="K884" s="93" t="str">
        <f>IFERROR(__xludf.DUMMYFUNCTION("""COMPUTED_VALUE"""),"Complete")</f>
        <v>Complete</v>
      </c>
      <c r="L884" s="93"/>
      <c r="M884" s="94">
        <f>IFERROR(__xludf.DUMMYFUNCTION("""COMPUTED_VALUE"""),46145.99549768519)</f>
        <v>46145.9955</v>
      </c>
      <c r="N884" s="93">
        <f>IFERROR(__xludf.DUMMYFUNCTION("""COMPUTED_VALUE"""),43.0)</f>
        <v>43</v>
      </c>
      <c r="O884" s="93"/>
      <c r="P884" s="93" t="str">
        <f>IFERROR(__xludf.DUMMYFUNCTION("""COMPUTED_VALUE"""),"Kit Delivery")</f>
        <v>Kit Delivery</v>
      </c>
      <c r="Q884" s="93"/>
      <c r="R884" s="93"/>
      <c r="S884" s="93" t="str">
        <f>IFERROR(__xludf.DUMMYFUNCTION("""COMPUTED_VALUE"""),"Dispatch_Images/KIT--18054.Photos.045328.jpg")</f>
        <v>Dispatch_Images/KIT--18054.Photos.045328.jpg</v>
      </c>
      <c r="T884" s="95">
        <f>IFERROR(__xludf.DUMMYFUNCTION("""COMPUTED_VALUE"""),46145.997662037036)</f>
        <v>46145.99766</v>
      </c>
      <c r="U884" s="93"/>
      <c r="V884" s="93"/>
      <c r="W884" s="93"/>
      <c r="X884" s="93"/>
      <c r="Y884" s="93"/>
      <c r="Z884" s="93"/>
    </row>
    <row r="885">
      <c r="A885" s="93" t="str">
        <f>IFERROR(__xludf.DUMMYFUNCTION("""COMPUTED_VALUE"""),"KIT-#18203")</f>
        <v>KIT-#18203</v>
      </c>
      <c r="B885" s="94">
        <f>IFERROR(__xludf.DUMMYFUNCTION("""COMPUTED_VALUE"""),46158.0)</f>
        <v>46158</v>
      </c>
      <c r="C885" s="93" t="str">
        <f>IFERROR(__xludf.DUMMYFUNCTION("""COMPUTED_VALUE"""),"Kit Delivery")</f>
        <v>Kit Delivery</v>
      </c>
      <c r="D885" s="93">
        <f>IFERROR(__xludf.DUMMYFUNCTION("""COMPUTED_VALUE"""),2.0)</f>
        <v>2</v>
      </c>
      <c r="E885" s="93" t="str">
        <f>IFERROR(__xludf.DUMMYFUNCTION("""COMPUTED_VALUE"""),"LL6255")</f>
        <v>LL6255</v>
      </c>
      <c r="F885" s="93" t="str">
        <f>IFERROR(__xludf.DUMMYFUNCTION("""COMPUTED_VALUE"""),"204B")</f>
        <v>204B</v>
      </c>
      <c r="G885" s="93" t="str">
        <f>IFERROR(__xludf.DUMMYFUNCTION("""COMPUTED_VALUE"""),"Danny Graziano")</f>
        <v>Danny Graziano</v>
      </c>
      <c r="H885" s="93">
        <f>IFERROR(__xludf.DUMMYFUNCTION("""COMPUTED_VALUE"""),5.514276405E9)</f>
        <v>5514276405</v>
      </c>
      <c r="I885" s="93" t="str">
        <f>IFERROR(__xludf.DUMMYFUNCTION("""COMPUTED_VALUE"""),"9AM-11AM")</f>
        <v>9AM-11AM</v>
      </c>
      <c r="J885" s="93">
        <f>IFERROR(__xludf.DUMMYFUNCTION("""COMPUTED_VALUE"""),1.0)</f>
        <v>1</v>
      </c>
      <c r="K885" s="93" t="str">
        <f>IFERROR(__xludf.DUMMYFUNCTION("""COMPUTED_VALUE"""),"Complete")</f>
        <v>Complete</v>
      </c>
      <c r="L885" s="93"/>
      <c r="M885" s="94">
        <f>IFERROR(__xludf.DUMMYFUNCTION("""COMPUTED_VALUE"""),46146.002071759256)</f>
        <v>46146.00207</v>
      </c>
      <c r="N885" s="93">
        <f>IFERROR(__xludf.DUMMYFUNCTION("""COMPUTED_VALUE"""),44.0)</f>
        <v>44</v>
      </c>
      <c r="O885" s="93"/>
      <c r="P885" s="93" t="str">
        <f>IFERROR(__xludf.DUMMYFUNCTION("""COMPUTED_VALUE"""),"Kit Delivery")</f>
        <v>Kit Delivery</v>
      </c>
      <c r="Q885" s="93" t="str">
        <f>IFERROR(__xludf.DUMMYFUNCTION("""COMPUTED_VALUE"""),"Will be in non university housing next year, still confirming address")</f>
        <v>Will be in non university housing next year, still confirming address</v>
      </c>
      <c r="R885" s="93"/>
      <c r="S885" s="93" t="str">
        <f>IFERROR(__xludf.DUMMYFUNCTION("""COMPUTED_VALUE"""),"Dispatch_Images/KIT--18203.Photos.050255.jpg")</f>
        <v>Dispatch_Images/KIT--18203.Photos.050255.jpg</v>
      </c>
      <c r="T885" s="95">
        <f>IFERROR(__xludf.DUMMYFUNCTION("""COMPUTED_VALUE"""),46146.00460648148)</f>
        <v>46146.00461</v>
      </c>
      <c r="U885" s="93"/>
      <c r="V885" s="93"/>
      <c r="W885" s="93"/>
      <c r="X885" s="93"/>
      <c r="Y885" s="93"/>
      <c r="Z885" s="93"/>
    </row>
    <row r="886">
      <c r="A886" s="93" t="str">
        <f>IFERROR(__xludf.DUMMYFUNCTION("""COMPUTED_VALUE"""),"KIT-#17254")</f>
        <v>KIT-#17254</v>
      </c>
      <c r="B886" s="94">
        <f>IFERROR(__xludf.DUMMYFUNCTION("""COMPUTED_VALUE"""),46158.0)</f>
        <v>46158</v>
      </c>
      <c r="C886" s="93" t="str">
        <f>IFERROR(__xludf.DUMMYFUNCTION("""COMPUTED_VALUE"""),"Kit Delivery")</f>
        <v>Kit Delivery</v>
      </c>
      <c r="D886" s="93">
        <f>IFERROR(__xludf.DUMMYFUNCTION("""COMPUTED_VALUE"""),2.0)</f>
        <v>2</v>
      </c>
      <c r="E886" s="93" t="str">
        <f>IFERROR(__xludf.DUMMYFUNCTION("""COMPUTED_VALUE"""),"Unknown Building")</f>
        <v>Unknown Building</v>
      </c>
      <c r="F886" s="93"/>
      <c r="G886" s="93" t="str">
        <f>IFERROR(__xludf.DUMMYFUNCTION("""COMPUTED_VALUE"""),"Rachel Ding")</f>
        <v>Rachel Ding</v>
      </c>
      <c r="H886" s="93">
        <f>IFERROR(__xludf.DUMMYFUNCTION("""COMPUTED_VALUE"""),5.619619128E9)</f>
        <v>5619619128</v>
      </c>
      <c r="I886" s="93"/>
      <c r="J886" s="93">
        <f>IFERROR(__xludf.DUMMYFUNCTION("""COMPUTED_VALUE"""),0.0)</f>
        <v>0</v>
      </c>
      <c r="K886" s="93" t="str">
        <f>IFERROR(__xludf.DUMMYFUNCTION("""COMPUTED_VALUE"""),"Complete")</f>
        <v>Complete</v>
      </c>
      <c r="L886" s="93"/>
      <c r="M886" s="93"/>
      <c r="N886" s="93">
        <f>IFERROR(__xludf.DUMMYFUNCTION("""COMPUTED_VALUE"""),39.0)</f>
        <v>39</v>
      </c>
      <c r="O886" s="93" t="str">
        <f>IFERROR(__xludf.DUMMYFUNCTION("""COMPUTED_VALUE"""),"2311 Swenson Lane
St. Peters, MO 63376")</f>
        <v>2311 Swenson Lane
St. Peters, MO 63376</v>
      </c>
      <c r="P886" s="93" t="str">
        <f>IFERROR(__xludf.DUMMYFUNCTION("""COMPUTED_VALUE"""),"Kit Delivery")</f>
        <v>Kit Delivery</v>
      </c>
      <c r="Q886" s="93" t="str">
        <f>IFERROR(__xludf.DUMMYFUNCTION("""COMPUTED_VALUE"""),"⚠️ MISSING BUILDING in source row 14; MISSING ROOM in source row 14 — Residential move: moving drawer, office desk, TV, office chair, computer monitor, small neon sign, side table. Prefer a morning slot")</f>
        <v>⚠️ MISSING BUILDING in source row 14; MISSING ROOM in source row 14 — Residential move: moving drawer, office desk, TV, office chair, computer monitor, small neon sign, side table. Prefer a morning slot</v>
      </c>
      <c r="R886" s="93"/>
      <c r="S886" s="93"/>
      <c r="T886" s="95">
        <f>IFERROR(__xludf.DUMMYFUNCTION("""COMPUTED_VALUE"""),46146.80321759259)</f>
        <v>46146.80322</v>
      </c>
      <c r="U886" s="93"/>
      <c r="V886" s="93"/>
      <c r="W886" s="93"/>
      <c r="X886" s="93"/>
      <c r="Y886" s="93"/>
      <c r="Z886" s="93"/>
    </row>
    <row r="887">
      <c r="A887" s="93" t="str">
        <f>IFERROR(__xludf.DUMMYFUNCTION("""COMPUTED_VALUE"""),"KIT-#18262")</f>
        <v>KIT-#18262</v>
      </c>
      <c r="B887" s="94">
        <f>IFERROR(__xludf.DUMMYFUNCTION("""COMPUTED_VALUE"""),46158.0)</f>
        <v>46158</v>
      </c>
      <c r="C887" s="93" t="str">
        <f>IFERROR(__xludf.DUMMYFUNCTION("""COMPUTED_VALUE"""),"Kit Delivery")</f>
        <v>Kit Delivery</v>
      </c>
      <c r="D887" s="93">
        <f>IFERROR(__xludf.DUMMYFUNCTION("""COMPUTED_VALUE"""),2.0)</f>
        <v>2</v>
      </c>
      <c r="E887" s="93" t="str">
        <f>IFERROR(__xludf.DUMMYFUNCTION("""COMPUTED_VALUE"""),"Greenway Apartments")</f>
        <v>Greenway Apartments</v>
      </c>
      <c r="F887" s="93">
        <f>IFERROR(__xludf.DUMMYFUNCTION("""COMPUTED_VALUE"""),314.0)</f>
        <v>314</v>
      </c>
      <c r="G887" s="93" t="str">
        <f>IFERROR(__xludf.DUMMYFUNCTION("""COMPUTED_VALUE"""),"Lauren Perkins")</f>
        <v>Lauren Perkins</v>
      </c>
      <c r="H887" s="93">
        <f>IFERROR(__xludf.DUMMYFUNCTION("""COMPUTED_VALUE"""),2.252187722E9)</f>
        <v>2252187722</v>
      </c>
      <c r="I887" s="93" t="str">
        <f>IFERROR(__xludf.DUMMYFUNCTION("""COMPUTED_VALUE"""),"3PM-5PM")</f>
        <v>3PM-5PM</v>
      </c>
      <c r="J887" s="93">
        <f>IFERROR(__xludf.DUMMYFUNCTION("""COMPUTED_VALUE"""),1.0)</f>
        <v>1</v>
      </c>
      <c r="K887" s="93" t="str">
        <f>IFERROR(__xludf.DUMMYFUNCTION("""COMPUTED_VALUE"""),"Complete")</f>
        <v>Complete</v>
      </c>
      <c r="L887" s="93"/>
      <c r="M887" s="94">
        <f>IFERROR(__xludf.DUMMYFUNCTION("""COMPUTED_VALUE"""),46148.79734953704)</f>
        <v>46148.79735</v>
      </c>
      <c r="N887" s="93">
        <f>IFERROR(__xludf.DUMMYFUNCTION("""COMPUTED_VALUE"""),7.0)</f>
        <v>7</v>
      </c>
      <c r="O887" s="93"/>
      <c r="P887" s="93" t="str">
        <f>IFERROR(__xludf.DUMMYFUNCTION("""COMPUTED_VALUE"""),"Kit Delivery")</f>
        <v>Kit Delivery</v>
      </c>
      <c r="Q887" s="93"/>
      <c r="R887" s="93"/>
      <c r="S887" s="93" t="str">
        <f>IFERROR(__xludf.DUMMYFUNCTION("""COMPUTED_VALUE"""),"Dispatch_Images/KIT--18262.Photos.000807.jpg")</f>
        <v>Dispatch_Images/KIT--18262.Photos.000807.jpg</v>
      </c>
      <c r="T887" s="95">
        <f>IFERROR(__xludf.DUMMYFUNCTION("""COMPUTED_VALUE"""),46148.80320601852)</f>
        <v>46148.80321</v>
      </c>
      <c r="U887" s="93"/>
      <c r="V887" s="93"/>
      <c r="W887" s="93"/>
      <c r="X887" s="93"/>
      <c r="Y887" s="93"/>
      <c r="Z887" s="93"/>
    </row>
    <row r="888">
      <c r="A888" s="93" t="str">
        <f>IFERROR(__xludf.DUMMYFUNCTION("""COMPUTED_VALUE"""),"KIT-#18355-HS")</f>
        <v>KIT-#18355-HS</v>
      </c>
      <c r="B888" s="94">
        <f>IFERROR(__xludf.DUMMYFUNCTION("""COMPUTED_VALUE"""),46158.0)</f>
        <v>46158</v>
      </c>
      <c r="C888" s="93"/>
      <c r="D888" s="93">
        <f>IFERROR(__xludf.DUMMYFUNCTION("""COMPUTED_VALUE"""),1.0)</f>
        <v>1</v>
      </c>
      <c r="E888" s="93" t="str">
        <f>IFERROR(__xludf.DUMMYFUNCTION("""COMPUTED_VALUE"""),"LL6255")</f>
        <v>LL6255</v>
      </c>
      <c r="F888" s="93" t="str">
        <f>IFERROR(__xludf.DUMMYFUNCTION("""COMPUTED_VALUE"""),"207A")</f>
        <v>207A</v>
      </c>
      <c r="G888" s="93" t="str">
        <f>IFERROR(__xludf.DUMMYFUNCTION("""COMPUTED_VALUE"""),"Ella Tsonton")</f>
        <v>Ella Tsonton</v>
      </c>
      <c r="H888" s="93">
        <f>IFERROR(__xludf.DUMMYFUNCTION("""COMPUTED_VALUE"""),7.733391195E9)</f>
        <v>7733391195</v>
      </c>
      <c r="I888" s="93" t="str">
        <f>IFERROR(__xludf.DUMMYFUNCTION("""COMPUTED_VALUE"""),"12:00 PM to 02:00 PM")</f>
        <v>12:00 PM to 02:00 PM</v>
      </c>
      <c r="J888" s="93">
        <f>IFERROR(__xludf.DUMMYFUNCTION("""COMPUTED_VALUE"""),1.0)</f>
        <v>1</v>
      </c>
      <c r="K888" s="93" t="str">
        <f>IFERROR(__xludf.DUMMYFUNCTION("""COMPUTED_VALUE"""),"Complete")</f>
        <v>Complete</v>
      </c>
      <c r="L888" s="93"/>
      <c r="M888" s="94">
        <f>IFERROR(__xludf.DUMMYFUNCTION("""COMPUTED_VALUE"""),46150.7365162037)</f>
        <v>46150.73652</v>
      </c>
      <c r="N888" s="93">
        <f>IFERROR(__xludf.DUMMYFUNCTION("""COMPUTED_VALUE"""),1391.0)</f>
        <v>1391</v>
      </c>
      <c r="O888" s="93" t="str">
        <f>IFERROR(__xludf.DUMMYFUNCTION("""COMPUTED_VALUE"""),"5916 North Talman Avenue
CHICAGO, IL 60659")</f>
        <v>5916 North Talman Avenue
CHICAGO, IL 60659</v>
      </c>
      <c r="P888" s="93" t="str">
        <f>IFERROR(__xludf.DUMMYFUNCTION("""COMPUTED_VALUE"""),"Kit Delivery")</f>
        <v>Kit Delivery</v>
      </c>
      <c r="Q888" s="93"/>
      <c r="R888" s="93"/>
      <c r="S888" s="93"/>
      <c r="T888" s="95">
        <f>IFERROR(__xludf.DUMMYFUNCTION("""COMPUTED_VALUE"""),46150.74070601852)</f>
        <v>46150.74071</v>
      </c>
      <c r="U888" s="93"/>
      <c r="V888" s="93"/>
      <c r="W888" s="93"/>
      <c r="X888" s="93"/>
      <c r="Y888" s="93"/>
      <c r="Z888" s="93"/>
    </row>
    <row r="889">
      <c r="A889" s="93" t="str">
        <f>IFERROR(__xludf.DUMMYFUNCTION("""COMPUTED_VALUE"""),"KIT-#18355")</f>
        <v>KIT-#18355</v>
      </c>
      <c r="B889" s="94">
        <f>IFERROR(__xludf.DUMMYFUNCTION("""COMPUTED_VALUE"""),46158.0)</f>
        <v>46158</v>
      </c>
      <c r="C889" s="93" t="str">
        <f>IFERROR(__xludf.DUMMYFUNCTION("""COMPUTED_VALUE"""),"Kit Delivery")</f>
        <v>Kit Delivery</v>
      </c>
      <c r="D889" s="93">
        <f>IFERROR(__xludf.DUMMYFUNCTION("""COMPUTED_VALUE"""),1.0)</f>
        <v>1</v>
      </c>
      <c r="E889" s="93" t="str">
        <f>IFERROR(__xludf.DUMMYFUNCTION("""COMPUTED_VALUE"""),"LL6255")</f>
        <v>LL6255</v>
      </c>
      <c r="F889" s="93" t="str">
        <f>IFERROR(__xludf.DUMMYFUNCTION("""COMPUTED_VALUE"""),"207A")</f>
        <v>207A</v>
      </c>
      <c r="G889" s="93" t="str">
        <f>IFERROR(__xludf.DUMMYFUNCTION("""COMPUTED_VALUE"""),"Ella Tsonton")</f>
        <v>Ella Tsonton</v>
      </c>
      <c r="H889" s="93">
        <f>IFERROR(__xludf.DUMMYFUNCTION("""COMPUTED_VALUE"""),7.733391195E9)</f>
        <v>7733391195</v>
      </c>
      <c r="I889" s="93" t="str">
        <f>IFERROR(__xludf.DUMMYFUNCTION("""COMPUTED_VALUE"""),"12PM-2PM")</f>
        <v>12PM-2PM</v>
      </c>
      <c r="J889" s="93">
        <f>IFERROR(__xludf.DUMMYFUNCTION("""COMPUTED_VALUE"""),1.0)</f>
        <v>1</v>
      </c>
      <c r="K889" s="93" t="str">
        <f>IFERROR(__xludf.DUMMYFUNCTION("""COMPUTED_VALUE"""),"Complete")</f>
        <v>Complete</v>
      </c>
      <c r="L889" s="93"/>
      <c r="M889" s="94">
        <f>IFERROR(__xludf.DUMMYFUNCTION("""COMPUTED_VALUE"""),46151.54204861111)</f>
        <v>46151.54205</v>
      </c>
      <c r="N889" s="93">
        <f>IFERROR(__xludf.DUMMYFUNCTION("""COMPUTED_VALUE"""),7.0)</f>
        <v>7</v>
      </c>
      <c r="O889" s="93" t="str">
        <f>IFERROR(__xludf.DUMMYFUNCTION("""COMPUTED_VALUE"""),"5916 North Talman Avenue
CHICAGO, IL 60659")</f>
        <v>5916 North Talman Avenue
CHICAGO, IL 60659</v>
      </c>
      <c r="P889" s="93" t="str">
        <f>IFERROR(__xludf.DUMMYFUNCTION("""COMPUTED_VALUE"""),"Kit Delivery")</f>
        <v>Kit Delivery</v>
      </c>
      <c r="Q889" s="93"/>
      <c r="R889" s="93"/>
      <c r="S889" s="93"/>
      <c r="T889" s="95">
        <f>IFERROR(__xludf.DUMMYFUNCTION("""COMPUTED_VALUE"""),46151.546273148146)</f>
        <v>46151.54627</v>
      </c>
      <c r="U889" s="93"/>
      <c r="V889" s="93"/>
      <c r="W889" s="93"/>
      <c r="X889" s="93"/>
      <c r="Y889" s="93"/>
      <c r="Z889" s="93"/>
    </row>
    <row r="890">
      <c r="A890" s="93" t="str">
        <f>IFERROR(__xludf.DUMMYFUNCTION("""COMPUTED_VALUE"""),"KIT-#18311")</f>
        <v>KIT-#18311</v>
      </c>
      <c r="B890" s="94">
        <f>IFERROR(__xludf.DUMMYFUNCTION("""COMPUTED_VALUE"""),46158.0)</f>
        <v>46158</v>
      </c>
      <c r="C890" s="93" t="str">
        <f>IFERROR(__xludf.DUMMYFUNCTION("""COMPUTED_VALUE"""),"Kit Delivery")</f>
        <v>Kit Delivery</v>
      </c>
      <c r="D890" s="93">
        <f>IFERROR(__xludf.DUMMYFUNCTION("""COMPUTED_VALUE"""),1.0)</f>
        <v>1</v>
      </c>
      <c r="E890" s="93" t="str">
        <f>IFERROR(__xludf.DUMMYFUNCTION("""COMPUTED_VALUE"""),"Off-Campus")</f>
        <v>Off-Campus</v>
      </c>
      <c r="F890" s="93"/>
      <c r="G890" s="93" t="str">
        <f>IFERROR(__xludf.DUMMYFUNCTION("""COMPUTED_VALUE"""),"Eleanor Archer")</f>
        <v>Eleanor Archer</v>
      </c>
      <c r="H890" s="93">
        <f>IFERROR(__xludf.DUMMYFUNCTION("""COMPUTED_VALUE"""),1.8063493688E10)</f>
        <v>18063493688</v>
      </c>
      <c r="I890" s="93" t="str">
        <f>IFERROR(__xludf.DUMMYFUNCTION("""COMPUTED_VALUE"""),"9AM-11AM")</f>
        <v>9AM-11AM</v>
      </c>
      <c r="J890" s="93">
        <f>IFERROR(__xludf.DUMMYFUNCTION("""COMPUTED_VALUE"""),1.0)</f>
        <v>1</v>
      </c>
      <c r="K890" s="93" t="str">
        <f>IFERROR(__xludf.DUMMYFUNCTION("""COMPUTED_VALUE"""),"Complete")</f>
        <v>Complete</v>
      </c>
      <c r="L890" s="93"/>
      <c r="M890" s="94">
        <f>IFERROR(__xludf.DUMMYFUNCTION("""COMPUTED_VALUE"""),46152.759675925925)</f>
        <v>46152.75968</v>
      </c>
      <c r="N890" s="93">
        <f>IFERROR(__xludf.DUMMYFUNCTION("""COMPUTED_VALUE"""),5.0)</f>
        <v>5</v>
      </c>
      <c r="O890" s="93" t="str">
        <f>IFERROR(__xludf.DUMMYFUNCTION("""COMPUTED_VALUE"""),"6105 Delmar Blvd
St. Louis, MO 63112
Apt 714a")</f>
        <v>6105 Delmar Blvd
St. Louis, MO 63112
Apt 714a</v>
      </c>
      <c r="P890" s="93" t="str">
        <f>IFERROR(__xludf.DUMMYFUNCTION("""COMPUTED_VALUE"""),"Kit Delivery")</f>
        <v>Kit Delivery</v>
      </c>
      <c r="Q890" s="93"/>
      <c r="R890" s="93"/>
      <c r="S890" s="93"/>
      <c r="T890" s="95">
        <f>IFERROR(__xludf.DUMMYFUNCTION("""COMPUTED_VALUE"""),46152.76155092593)</f>
        <v>46152.76155</v>
      </c>
      <c r="U890" s="93"/>
      <c r="V890" s="93"/>
      <c r="W890" s="93"/>
      <c r="X890" s="93"/>
      <c r="Y890" s="93"/>
      <c r="Z890" s="93"/>
    </row>
    <row r="891">
      <c r="A891" s="93" t="str">
        <f>IFERROR(__xludf.DUMMYFUNCTION("""COMPUTED_VALUE"""),"KIT-#18339")</f>
        <v>KIT-#18339</v>
      </c>
      <c r="B891" s="94">
        <f>IFERROR(__xludf.DUMMYFUNCTION("""COMPUTED_VALUE"""),46158.0)</f>
        <v>46158</v>
      </c>
      <c r="C891" s="93" t="str">
        <f>IFERROR(__xludf.DUMMYFUNCTION("""COMPUTED_VALUE"""),"Kit Delivery")</f>
        <v>Kit Delivery</v>
      </c>
      <c r="D891" s="93">
        <f>IFERROR(__xludf.DUMMYFUNCTION("""COMPUTED_VALUE"""),1.0)</f>
        <v>1</v>
      </c>
      <c r="E891" s="93" t="str">
        <f>IFERROR(__xludf.DUMMYFUNCTION("""COMPUTED_VALUE"""),"Off-Campus")</f>
        <v>Off-Campus</v>
      </c>
      <c r="F891" s="93"/>
      <c r="G891" s="93" t="str">
        <f>IFERROR(__xludf.DUMMYFUNCTION("""COMPUTED_VALUE"""),"Allison Berman")</f>
        <v>Allison Berman</v>
      </c>
      <c r="H891" s="93">
        <f>IFERROR(__xludf.DUMMYFUNCTION("""COMPUTED_VALUE"""),3.013375219E9)</f>
        <v>3013375219</v>
      </c>
      <c r="I891" s="93" t="str">
        <f>IFERROR(__xludf.DUMMYFUNCTION("""COMPUTED_VALUE"""),"3PM-5PM")</f>
        <v>3PM-5PM</v>
      </c>
      <c r="J891" s="93">
        <f>IFERROR(__xludf.DUMMYFUNCTION("""COMPUTED_VALUE"""),1.0)</f>
        <v>1</v>
      </c>
      <c r="K891" s="93" t="str">
        <f>IFERROR(__xludf.DUMMYFUNCTION("""COMPUTED_VALUE"""),"Complete")</f>
        <v>Complete</v>
      </c>
      <c r="L891" s="93"/>
      <c r="M891" s="94">
        <f>IFERROR(__xludf.DUMMYFUNCTION("""COMPUTED_VALUE"""),46152.764560185184)</f>
        <v>46152.76456</v>
      </c>
      <c r="N891" s="93">
        <f>IFERROR(__xludf.DUMMYFUNCTION("""COMPUTED_VALUE"""),6.0)</f>
        <v>6</v>
      </c>
      <c r="O891" s="93" t="str">
        <f>IFERROR(__xludf.DUMMYFUNCTION("""COMPUTED_VALUE"""),"6186 Waterman Blvd.")</f>
        <v>6186 Waterman Blvd.</v>
      </c>
      <c r="P891" s="93" t="str">
        <f>IFERROR(__xludf.DUMMYFUNCTION("""COMPUTED_VALUE"""),"Kit Delivery")</f>
        <v>Kit Delivery</v>
      </c>
      <c r="Q891" s="93"/>
      <c r="R891" s="93"/>
      <c r="S891" s="93"/>
      <c r="T891" s="95">
        <f>IFERROR(__xludf.DUMMYFUNCTION("""COMPUTED_VALUE"""),46152.76849537037)</f>
        <v>46152.7685</v>
      </c>
      <c r="U891" s="93"/>
      <c r="V891" s="93"/>
      <c r="W891" s="93"/>
      <c r="X891" s="93"/>
      <c r="Y891" s="93"/>
      <c r="Z891" s="93"/>
    </row>
    <row r="892">
      <c r="A892" s="93" t="str">
        <f>IFERROR(__xludf.DUMMYFUNCTION("""COMPUTED_VALUE"""),"KIT-#18166")</f>
        <v>KIT-#18166</v>
      </c>
      <c r="B892" s="94">
        <f>IFERROR(__xludf.DUMMYFUNCTION("""COMPUTED_VALUE"""),46158.0)</f>
        <v>46158</v>
      </c>
      <c r="C892" s="93" t="str">
        <f>IFERROR(__xludf.DUMMYFUNCTION("""COMPUTED_VALUE"""),"Kit Delivery")</f>
        <v>Kit Delivery</v>
      </c>
      <c r="D892" s="93">
        <f>IFERROR(__xludf.DUMMYFUNCTION("""COMPUTED_VALUE"""),1.0)</f>
        <v>1</v>
      </c>
      <c r="E892" s="93" t="str">
        <f>IFERROR(__xludf.DUMMYFUNCTION("""COMPUTED_VALUE"""),"Off-Campus")</f>
        <v>Off-Campus</v>
      </c>
      <c r="F892" s="93"/>
      <c r="G892" s="93" t="str">
        <f>IFERROR(__xludf.DUMMYFUNCTION("""COMPUTED_VALUE"""),"Gavin Cohen")</f>
        <v>Gavin Cohen</v>
      </c>
      <c r="H892" s="93">
        <f>IFERROR(__xludf.DUMMYFUNCTION("""COMPUTED_VALUE"""),9.179924215E9)</f>
        <v>9179924215</v>
      </c>
      <c r="I892" s="93" t="str">
        <f>IFERROR(__xludf.DUMMYFUNCTION("""COMPUTED_VALUE"""),"3PM-5PM")</f>
        <v>3PM-5PM</v>
      </c>
      <c r="J892" s="93">
        <f>IFERROR(__xludf.DUMMYFUNCTION("""COMPUTED_VALUE"""),1.0)</f>
        <v>1</v>
      </c>
      <c r="K892" s="93" t="str">
        <f>IFERROR(__xludf.DUMMYFUNCTION("""COMPUTED_VALUE"""),"Complete")</f>
        <v>Complete</v>
      </c>
      <c r="L892" s="93"/>
      <c r="M892" s="94">
        <f>IFERROR(__xludf.DUMMYFUNCTION("""COMPUTED_VALUE"""),46152.76621527778)</f>
        <v>46152.76622</v>
      </c>
      <c r="N892" s="93">
        <f>IFERROR(__xludf.DUMMYFUNCTION("""COMPUTED_VALUE"""),28.0)</f>
        <v>28</v>
      </c>
      <c r="O892" s="93" t="str">
        <f>IFERROR(__xludf.DUMMYFUNCTION("""COMPUTED_VALUE"""),"6146 Waterman Blvd, Apt. B
Saint Louis, MO 63112")</f>
        <v>6146 Waterman Blvd, Apt. B
Saint Louis, MO 63112</v>
      </c>
      <c r="P892" s="93" t="str">
        <f>IFERROR(__xludf.DUMMYFUNCTION("""COMPUTED_VALUE"""),"Kit Delivery")</f>
        <v>Kit Delivery</v>
      </c>
      <c r="Q892" s="93" t="str">
        <f>IFERROR(__xludf.DUMMYFUNCTION("""COMPUTED_VALUE"""),"Call when dropping off boxes.")</f>
        <v>Call when dropping off boxes.</v>
      </c>
      <c r="R892" s="93"/>
      <c r="S892" s="93"/>
      <c r="T892" s="95">
        <f>IFERROR(__xludf.DUMMYFUNCTION("""COMPUTED_VALUE"""),46152.76849537037)</f>
        <v>46152.7685</v>
      </c>
      <c r="U892" s="93"/>
      <c r="V892" s="93"/>
      <c r="W892" s="93"/>
      <c r="X892" s="93"/>
      <c r="Y892" s="93"/>
      <c r="Z892" s="93"/>
    </row>
    <row r="893">
      <c r="A893" s="93" t="str">
        <f>IFERROR(__xludf.DUMMYFUNCTION("""COMPUTED_VALUE"""),"KIT-#17494")</f>
        <v>KIT-#17494</v>
      </c>
      <c r="B893" s="94">
        <f>IFERROR(__xludf.DUMMYFUNCTION("""COMPUTED_VALUE"""),46158.0)</f>
        <v>46158</v>
      </c>
      <c r="C893" s="93" t="str">
        <f>IFERROR(__xludf.DUMMYFUNCTION("""COMPUTED_VALUE"""),"Kit Delivery")</f>
        <v>Kit Delivery</v>
      </c>
      <c r="D893" s="93">
        <f>IFERROR(__xludf.DUMMYFUNCTION("""COMPUTED_VALUE"""),1.0)</f>
        <v>1</v>
      </c>
      <c r="E893" s="93" t="str">
        <f>IFERROR(__xludf.DUMMYFUNCTION("""COMPUTED_VALUE"""),"Off-Campus")</f>
        <v>Off-Campus</v>
      </c>
      <c r="F893" s="93"/>
      <c r="G893" s="93" t="str">
        <f>IFERROR(__xludf.DUMMYFUNCTION("""COMPUTED_VALUE"""),"Riley Hack-Juman")</f>
        <v>Riley Hack-Juman</v>
      </c>
      <c r="H893" s="93">
        <f>IFERROR(__xludf.DUMMYFUNCTION("""COMPUTED_VALUE"""),9.548065446E9)</f>
        <v>9548065446</v>
      </c>
      <c r="I893" s="93" t="str">
        <f>IFERROR(__xludf.DUMMYFUNCTION("""COMPUTED_VALUE"""),"9AM-11AM")</f>
        <v>9AM-11AM</v>
      </c>
      <c r="J893" s="93">
        <f>IFERROR(__xludf.DUMMYFUNCTION("""COMPUTED_VALUE"""),1.0)</f>
        <v>1</v>
      </c>
      <c r="K893" s="93" t="str">
        <f>IFERROR(__xludf.DUMMYFUNCTION("""COMPUTED_VALUE"""),"Complete")</f>
        <v>Complete</v>
      </c>
      <c r="L893" s="93"/>
      <c r="M893" s="94">
        <f>IFERROR(__xludf.DUMMYFUNCTION("""COMPUTED_VALUE"""),46152.77105324074)</f>
        <v>46152.77105</v>
      </c>
      <c r="N893" s="93">
        <f>IFERROR(__xludf.DUMMYFUNCTION("""COMPUTED_VALUE"""),17.0)</f>
        <v>17</v>
      </c>
      <c r="O893" s="93" t="str">
        <f>IFERROR(__xludf.DUMMYFUNCTION("""COMPUTED_VALUE"""),"6148 Pershing Ave
St Louis, MO 63112-1108")</f>
        <v>6148 Pershing Ave
St Louis, MO 63112-1108</v>
      </c>
      <c r="P893" s="93" t="str">
        <f>IFERROR(__xludf.DUMMYFUNCTION("""COMPUTED_VALUE"""),"Kit Delivery")</f>
        <v>Kit Delivery</v>
      </c>
      <c r="Q893" s="93"/>
      <c r="R893" s="93"/>
      <c r="S893" s="93"/>
      <c r="T893" s="95">
        <f>IFERROR(__xludf.DUMMYFUNCTION("""COMPUTED_VALUE"""),46152.77542824074)</f>
        <v>46152.77543</v>
      </c>
      <c r="U893" s="93"/>
      <c r="V893" s="93"/>
      <c r="W893" s="93"/>
      <c r="X893" s="93"/>
      <c r="Y893" s="93"/>
      <c r="Z893" s="93"/>
    </row>
    <row r="894">
      <c r="A894" s="93" t="str">
        <f>IFERROR(__xludf.DUMMYFUNCTION("""COMPUTED_VALUE"""),"KIT-#17273")</f>
        <v>KIT-#17273</v>
      </c>
      <c r="B894" s="94">
        <f>IFERROR(__xludf.DUMMYFUNCTION("""COMPUTED_VALUE"""),46158.0)</f>
        <v>46158</v>
      </c>
      <c r="C894" s="93" t="str">
        <f>IFERROR(__xludf.DUMMYFUNCTION("""COMPUTED_VALUE"""),"Kit Delivery")</f>
        <v>Kit Delivery</v>
      </c>
      <c r="D894" s="93">
        <f>IFERROR(__xludf.DUMMYFUNCTION("""COMPUTED_VALUE"""),1.0)</f>
        <v>1</v>
      </c>
      <c r="E894" s="93" t="str">
        <f>IFERROR(__xludf.DUMMYFUNCTION("""COMPUTED_VALUE"""),"Off-Campus")</f>
        <v>Off-Campus</v>
      </c>
      <c r="F894" s="93"/>
      <c r="G894" s="93" t="str">
        <f>IFERROR(__xludf.DUMMYFUNCTION("""COMPUTED_VALUE"""),"Jesse Myoung")</f>
        <v>Jesse Myoung</v>
      </c>
      <c r="H894" s="93"/>
      <c r="I894" s="93" t="str">
        <f>IFERROR(__xludf.DUMMYFUNCTION("""COMPUTED_VALUE"""),"9AM-11AM")</f>
        <v>9AM-11AM</v>
      </c>
      <c r="J894" s="93">
        <f>IFERROR(__xludf.DUMMYFUNCTION("""COMPUTED_VALUE"""),1.0)</f>
        <v>1</v>
      </c>
      <c r="K894" s="93" t="str">
        <f>IFERROR(__xludf.DUMMYFUNCTION("""COMPUTED_VALUE"""),"Complete")</f>
        <v>Complete</v>
      </c>
      <c r="L894" s="93"/>
      <c r="M894" s="94">
        <f>IFERROR(__xludf.DUMMYFUNCTION("""COMPUTED_VALUE"""),46152.77599537037)</f>
        <v>46152.776</v>
      </c>
      <c r="N894" s="93">
        <f>IFERROR(__xludf.DUMMYFUNCTION("""COMPUTED_VALUE"""),3.0)</f>
        <v>3</v>
      </c>
      <c r="O894" s="93" t="str">
        <f>IFERROR(__xludf.DUMMYFUNCTION("""COMPUTED_VALUE"""),"6188 Mcpherson Ave, Apartment 209")</f>
        <v>6188 Mcpherson Ave, Apartment 209</v>
      </c>
      <c r="P894" s="93" t="str">
        <f>IFERROR(__xludf.DUMMYFUNCTION("""COMPUTED_VALUE"""),"Kit Delivery")</f>
        <v>Kit Delivery</v>
      </c>
      <c r="Q894" s="93"/>
      <c r="R894" s="93"/>
      <c r="S894" s="93" t="str">
        <f>IFERROR(__xludf.DUMMYFUNCTION("""COMPUTED_VALUE"""),"Dispatch_Images/KIT--17273.Photos.233723.jpg")</f>
        <v>Dispatch_Images/KIT--17273.Photos.233723.jpg</v>
      </c>
      <c r="T894" s="95">
        <f>IFERROR(__xludf.DUMMYFUNCTION("""COMPUTED_VALUE"""),46152.78238425926)</f>
        <v>46152.78238</v>
      </c>
      <c r="U894" s="93"/>
      <c r="V894" s="93"/>
      <c r="W894" s="93"/>
      <c r="X894" s="93"/>
      <c r="Y894" s="93"/>
      <c r="Z894" s="93"/>
    </row>
    <row r="895">
      <c r="A895" s="93" t="str">
        <f>IFERROR(__xludf.DUMMYFUNCTION("""COMPUTED_VALUE"""),"KIT-#18009")</f>
        <v>KIT-#18009</v>
      </c>
      <c r="B895" s="94">
        <f>IFERROR(__xludf.DUMMYFUNCTION("""COMPUTED_VALUE"""),46158.0)</f>
        <v>46158</v>
      </c>
      <c r="C895" s="93" t="str">
        <f>IFERROR(__xludf.DUMMYFUNCTION("""COMPUTED_VALUE"""),"Kit Delivery")</f>
        <v>Kit Delivery</v>
      </c>
      <c r="D895" s="93">
        <f>IFERROR(__xludf.DUMMYFUNCTION("""COMPUTED_VALUE"""),1.0)</f>
        <v>1</v>
      </c>
      <c r="E895" s="93" t="str">
        <f>IFERROR(__xludf.DUMMYFUNCTION("""COMPUTED_VALUE"""),"Off-Campus")</f>
        <v>Off-Campus</v>
      </c>
      <c r="F895" s="93"/>
      <c r="G895" s="93" t="str">
        <f>IFERROR(__xludf.DUMMYFUNCTION("""COMPUTED_VALUE"""),"Malaya hill")</f>
        <v>Malaya hill</v>
      </c>
      <c r="H895" s="93">
        <f>IFERROR(__xludf.DUMMYFUNCTION("""COMPUTED_VALUE"""),7.022929531E9)</f>
        <v>7022929531</v>
      </c>
      <c r="I895" s="93" t="str">
        <f>IFERROR(__xludf.DUMMYFUNCTION("""COMPUTED_VALUE"""),"9AM-11AM")</f>
        <v>9AM-11AM</v>
      </c>
      <c r="J895" s="93">
        <f>IFERROR(__xludf.DUMMYFUNCTION("""COMPUTED_VALUE"""),1.0)</f>
        <v>1</v>
      </c>
      <c r="K895" s="93" t="str">
        <f>IFERROR(__xludf.DUMMYFUNCTION("""COMPUTED_VALUE"""),"Complete")</f>
        <v>Complete</v>
      </c>
      <c r="L895" s="93"/>
      <c r="M895" s="94">
        <f>IFERROR(__xludf.DUMMYFUNCTION("""COMPUTED_VALUE"""),46152.777349537035)</f>
        <v>46152.77735</v>
      </c>
      <c r="N895" s="93">
        <f>IFERROR(__xludf.DUMMYFUNCTION("""COMPUTED_VALUE"""),4.0)</f>
        <v>4</v>
      </c>
      <c r="O895" s="93" t="str">
        <f>IFERROR(__xludf.DUMMYFUNCTION("""COMPUTED_VALUE"""),"5920 McPherson Ave")</f>
        <v>5920 McPherson Ave</v>
      </c>
      <c r="P895" s="93" t="str">
        <f>IFERROR(__xludf.DUMMYFUNCTION("""COMPUTED_VALUE"""),"Kit Delivery")</f>
        <v>Kit Delivery</v>
      </c>
      <c r="Q895" s="93"/>
      <c r="R895" s="93"/>
      <c r="S895" s="93" t="str">
        <f>IFERROR(__xludf.DUMMYFUNCTION("""COMPUTED_VALUE"""),"Dispatch_Images/KIT--18009.Photos.233920.jpg")</f>
        <v>Dispatch_Images/KIT--18009.Photos.233920.jpg</v>
      </c>
      <c r="T895" s="95">
        <f>IFERROR(__xludf.DUMMYFUNCTION("""COMPUTED_VALUE"""),46152.78238425926)</f>
        <v>46152.78238</v>
      </c>
      <c r="U895" s="93"/>
      <c r="V895" s="93"/>
      <c r="W895" s="93"/>
      <c r="X895" s="93"/>
      <c r="Y895" s="93"/>
      <c r="Z895" s="93"/>
    </row>
    <row r="896">
      <c r="A896" s="93" t="str">
        <f>IFERROR(__xludf.DUMMYFUNCTION("""COMPUTED_VALUE"""),"KIT-#17442")</f>
        <v>KIT-#17442</v>
      </c>
      <c r="B896" s="94">
        <f>IFERROR(__xludf.DUMMYFUNCTION("""COMPUTED_VALUE"""),46158.0)</f>
        <v>46158</v>
      </c>
      <c r="C896" s="93" t="str">
        <f>IFERROR(__xludf.DUMMYFUNCTION("""COMPUTED_VALUE"""),"Kit Delivery")</f>
        <v>Kit Delivery</v>
      </c>
      <c r="D896" s="93">
        <f>IFERROR(__xludf.DUMMYFUNCTION("""COMPUTED_VALUE"""),1.0)</f>
        <v>1</v>
      </c>
      <c r="E896" s="93" t="str">
        <f>IFERROR(__xludf.DUMMYFUNCTION("""COMPUTED_VALUE"""),"Off-Campus")</f>
        <v>Off-Campus</v>
      </c>
      <c r="F896" s="93"/>
      <c r="G896" s="93" t="str">
        <f>IFERROR(__xludf.DUMMYFUNCTION("""COMPUTED_VALUE"""),"Ella Majd")</f>
        <v>Ella Majd</v>
      </c>
      <c r="H896" s="93">
        <f>IFERROR(__xludf.DUMMYFUNCTION("""COMPUTED_VALUE"""),2.023090321E9)</f>
        <v>2023090321</v>
      </c>
      <c r="I896" s="93" t="str">
        <f>IFERROR(__xludf.DUMMYFUNCTION("""COMPUTED_VALUE"""),"3PM-5PM")</f>
        <v>3PM-5PM</v>
      </c>
      <c r="J896" s="93">
        <f>IFERROR(__xludf.DUMMYFUNCTION("""COMPUTED_VALUE"""),2.0)</f>
        <v>2</v>
      </c>
      <c r="K896" s="93" t="str">
        <f>IFERROR(__xludf.DUMMYFUNCTION("""COMPUTED_VALUE"""),"Complete")</f>
        <v>Complete</v>
      </c>
      <c r="L896" s="93"/>
      <c r="M896" s="94">
        <f>IFERROR(__xludf.DUMMYFUNCTION("""COMPUTED_VALUE"""),46152.78076388889)</f>
        <v>46152.78076</v>
      </c>
      <c r="N896" s="93">
        <f>IFERROR(__xludf.DUMMYFUNCTION("""COMPUTED_VALUE"""),16.0)</f>
        <v>16</v>
      </c>
      <c r="O896" s="93" t="str">
        <f>IFERROR(__xludf.DUMMYFUNCTION("""COMPUTED_VALUE"""),"6040 Westminster Place, Floor 2, St. Louis MO 63112")</f>
        <v>6040 Westminster Place, Floor 2, St. Louis MO 63112</v>
      </c>
      <c r="P896" s="93" t="str">
        <f>IFERROR(__xludf.DUMMYFUNCTION("""COMPUTED_VALUE"""),"Kit Delivery")</f>
        <v>Kit Delivery</v>
      </c>
      <c r="Q896" s="93"/>
      <c r="R896" s="93"/>
      <c r="S896" s="93" t="str">
        <f>IFERROR(__xludf.DUMMYFUNCTION("""COMPUTED_VALUE"""),"Dispatch_Images/KIT--17442.Photos.234415.jpg")</f>
        <v>Dispatch_Images/KIT--17442.Photos.234415.jpg</v>
      </c>
      <c r="T896" s="95">
        <f>IFERROR(__xludf.DUMMYFUNCTION("""COMPUTED_VALUE"""),46152.78238425926)</f>
        <v>46152.78238</v>
      </c>
      <c r="U896" s="93"/>
      <c r="V896" s="93"/>
      <c r="W896" s="93"/>
      <c r="X896" s="93"/>
      <c r="Y896" s="93"/>
      <c r="Z896" s="93"/>
    </row>
    <row r="897">
      <c r="A897" s="93" t="str">
        <f>IFERROR(__xludf.DUMMYFUNCTION("""COMPUTED_VALUE"""),"KIT-#18346")</f>
        <v>KIT-#18346</v>
      </c>
      <c r="B897" s="94">
        <f>IFERROR(__xludf.DUMMYFUNCTION("""COMPUTED_VALUE"""),46158.0)</f>
        <v>46158</v>
      </c>
      <c r="C897" s="93" t="str">
        <f>IFERROR(__xludf.DUMMYFUNCTION("""COMPUTED_VALUE"""),"Kit Delivery")</f>
        <v>Kit Delivery</v>
      </c>
      <c r="D897" s="93">
        <f>IFERROR(__xludf.DUMMYFUNCTION("""COMPUTED_VALUE"""),1.0)</f>
        <v>1</v>
      </c>
      <c r="E897" s="93" t="str">
        <f>IFERROR(__xludf.DUMMYFUNCTION("""COMPUTED_VALUE"""),"Off-Campus")</f>
        <v>Off-Campus</v>
      </c>
      <c r="F897" s="93"/>
      <c r="G897" s="93" t="str">
        <f>IFERROR(__xludf.DUMMYFUNCTION("""COMPUTED_VALUE"""),"Minh La")</f>
        <v>Minh La</v>
      </c>
      <c r="H897" s="93">
        <f>IFERROR(__xludf.DUMMYFUNCTION("""COMPUTED_VALUE"""),6.18971428E9)</f>
        <v>6189714280</v>
      </c>
      <c r="I897" s="93" t="str">
        <f>IFERROR(__xludf.DUMMYFUNCTION("""COMPUTED_VALUE"""),"3PM-5PM")</f>
        <v>3PM-5PM</v>
      </c>
      <c r="J897" s="93">
        <f>IFERROR(__xludf.DUMMYFUNCTION("""COMPUTED_VALUE"""),1.0)</f>
        <v>1</v>
      </c>
      <c r="K897" s="93" t="str">
        <f>IFERROR(__xludf.DUMMYFUNCTION("""COMPUTED_VALUE"""),"Complete")</f>
        <v>Complete</v>
      </c>
      <c r="L897" s="93"/>
      <c r="M897" s="94">
        <f>IFERROR(__xludf.DUMMYFUNCTION("""COMPUTED_VALUE"""),46152.78747685185)</f>
        <v>46152.78748</v>
      </c>
      <c r="N897" s="93">
        <f>IFERROR(__xludf.DUMMYFUNCTION("""COMPUTED_VALUE"""),7.0)</f>
        <v>7</v>
      </c>
      <c r="O897" s="93" t="str">
        <f>IFERROR(__xludf.DUMMYFUNCTION("""COMPUTED_VALUE"""),"720 Interdrive")</f>
        <v>720 Interdrive</v>
      </c>
      <c r="P897" s="93" t="str">
        <f>IFERROR(__xludf.DUMMYFUNCTION("""COMPUTED_VALUE"""),"Kit Delivery")</f>
        <v>Kit Delivery</v>
      </c>
      <c r="Q897" s="93"/>
      <c r="R897" s="93"/>
      <c r="S897" s="93" t="str">
        <f>IFERROR(__xludf.DUMMYFUNCTION("""COMPUTED_VALUE"""),"Dispatch_Images/KIT--18346.Photos.235355.jpg")</f>
        <v>Dispatch_Images/KIT--18346.Photos.235355.jpg</v>
      </c>
      <c r="T897" s="95">
        <f>IFERROR(__xludf.DUMMYFUNCTION("""COMPUTED_VALUE"""),46152.7893287037)</f>
        <v>46152.78933</v>
      </c>
      <c r="U897" s="93"/>
      <c r="V897" s="93"/>
      <c r="W897" s="93"/>
      <c r="X897" s="93"/>
      <c r="Y897" s="93"/>
      <c r="Z897" s="93"/>
    </row>
    <row r="898">
      <c r="A898" s="93" t="str">
        <f>IFERROR(__xludf.DUMMYFUNCTION("""COMPUTED_VALUE"""),"KIT-#17140")</f>
        <v>KIT-#17140</v>
      </c>
      <c r="B898" s="94">
        <f>IFERROR(__xludf.DUMMYFUNCTION("""COMPUTED_VALUE"""),46158.0)</f>
        <v>46158</v>
      </c>
      <c r="C898" s="93" t="str">
        <f>IFERROR(__xludf.DUMMYFUNCTION("""COMPUTED_VALUE"""),"Kit Delivery")</f>
        <v>Kit Delivery</v>
      </c>
      <c r="D898" s="93">
        <f>IFERROR(__xludf.DUMMYFUNCTION("""COMPUTED_VALUE"""),1.0)</f>
        <v>1</v>
      </c>
      <c r="E898" s="93" t="str">
        <f>IFERROR(__xludf.DUMMYFUNCTION("""COMPUTED_VALUE"""),"Off-Campus")</f>
        <v>Off-Campus</v>
      </c>
      <c r="F898" s="93"/>
      <c r="G898" s="93" t="str">
        <f>IFERROR(__xludf.DUMMYFUNCTION("""COMPUTED_VALUE"""),"Julia Trost")</f>
        <v>Julia Trost</v>
      </c>
      <c r="H898" s="93">
        <f>IFERROR(__xludf.DUMMYFUNCTION("""COMPUTED_VALUE"""),4.434727823E9)</f>
        <v>4434727823</v>
      </c>
      <c r="I898" s="93" t="str">
        <f>IFERROR(__xludf.DUMMYFUNCTION("""COMPUTED_VALUE"""),"9AM-11AM")</f>
        <v>9AM-11AM</v>
      </c>
      <c r="J898" s="93">
        <f>IFERROR(__xludf.DUMMYFUNCTION("""COMPUTED_VALUE"""),2.0)</f>
        <v>2</v>
      </c>
      <c r="K898" s="93" t="str">
        <f>IFERROR(__xludf.DUMMYFUNCTION("""COMPUTED_VALUE"""),"Complete")</f>
        <v>Complete</v>
      </c>
      <c r="L898" s="93"/>
      <c r="M898" s="94">
        <f>IFERROR(__xludf.DUMMYFUNCTION("""COMPUTED_VALUE"""),46152.78565972223)</f>
        <v>46152.78566</v>
      </c>
      <c r="N898" s="93">
        <f>IFERROR(__xludf.DUMMYFUNCTION("""COMPUTED_VALUE"""),8.0)</f>
        <v>8</v>
      </c>
      <c r="O898" s="93" t="str">
        <f>IFERROR(__xludf.DUMMYFUNCTION("""COMPUTED_VALUE"""),"718 Limit Avenue, Apt 3S, St. Louis MO 63130")</f>
        <v>718 Limit Avenue, Apt 3S, St. Louis MO 63130</v>
      </c>
      <c r="P898" s="93" t="str">
        <f>IFERROR(__xludf.DUMMYFUNCTION("""COMPUTED_VALUE"""),"Kit Delivery")</f>
        <v>Kit Delivery</v>
      </c>
      <c r="Q898" s="93"/>
      <c r="R898" s="93"/>
      <c r="S898" s="93" t="str">
        <f>IFERROR(__xludf.DUMMYFUNCTION("""COMPUTED_VALUE"""),"Dispatch_Images/KIT--17140.Photos.235117.jpg")</f>
        <v>Dispatch_Images/KIT--17140.Photos.235117.jpg</v>
      </c>
      <c r="T898" s="95">
        <f>IFERROR(__xludf.DUMMYFUNCTION("""COMPUTED_VALUE"""),46152.7893287037)</f>
        <v>46152.78933</v>
      </c>
      <c r="U898" s="93"/>
      <c r="V898" s="93"/>
      <c r="W898" s="93"/>
      <c r="X898" s="93"/>
      <c r="Y898" s="93"/>
      <c r="Z898" s="93"/>
    </row>
    <row r="899">
      <c r="A899" s="93" t="str">
        <f>IFERROR(__xludf.DUMMYFUNCTION("""COMPUTED_VALUE"""),"KIT-#17253")</f>
        <v>KIT-#17253</v>
      </c>
      <c r="B899" s="94">
        <f>IFERROR(__xludf.DUMMYFUNCTION("""COMPUTED_VALUE"""),46158.0)</f>
        <v>46158</v>
      </c>
      <c r="C899" s="93" t="str">
        <f>IFERROR(__xludf.DUMMYFUNCTION("""COMPUTED_VALUE"""),"Kit Delivery")</f>
        <v>Kit Delivery</v>
      </c>
      <c r="D899" s="93">
        <f>IFERROR(__xludf.DUMMYFUNCTION("""COMPUTED_VALUE"""),1.0)</f>
        <v>1</v>
      </c>
      <c r="E899" s="93" t="str">
        <f>IFERROR(__xludf.DUMMYFUNCTION("""COMPUTED_VALUE"""),"Off-Campus")</f>
        <v>Off-Campus</v>
      </c>
      <c r="F899" s="93"/>
      <c r="G899" s="93" t="str">
        <f>IFERROR(__xludf.DUMMYFUNCTION("""COMPUTED_VALUE"""),"Nathan Golovcsenko")</f>
        <v>Nathan Golovcsenko</v>
      </c>
      <c r="H899" s="93">
        <f>IFERROR(__xludf.DUMMYFUNCTION("""COMPUTED_VALUE"""),9.14208607E9)</f>
        <v>9142086070</v>
      </c>
      <c r="I899" s="93" t="str">
        <f>IFERROR(__xludf.DUMMYFUNCTION("""COMPUTED_VALUE"""),"12PM-2PM")</f>
        <v>12PM-2PM</v>
      </c>
      <c r="J899" s="93">
        <f>IFERROR(__xludf.DUMMYFUNCTION("""COMPUTED_VALUE"""),2.0)</f>
        <v>2</v>
      </c>
      <c r="K899" s="93" t="str">
        <f>IFERROR(__xludf.DUMMYFUNCTION("""COMPUTED_VALUE"""),"Complete")</f>
        <v>Complete</v>
      </c>
      <c r="L899" s="93"/>
      <c r="M899" s="94">
        <f>IFERROR(__xludf.DUMMYFUNCTION("""COMPUTED_VALUE"""),46152.792962962965)</f>
        <v>46152.79296</v>
      </c>
      <c r="N899" s="93">
        <f>IFERROR(__xludf.DUMMYFUNCTION("""COMPUTED_VALUE"""),11.0)</f>
        <v>11</v>
      </c>
      <c r="O899" s="93" t="str">
        <f>IFERROR(__xludf.DUMMYFUNCTION("""COMPUTED_VALUE"""),"605 Leland Avenue
Apartment 704
University City, MO 63130")</f>
        <v>605 Leland Avenue
Apartment 704
University City, MO 63130</v>
      </c>
      <c r="P899" s="93" t="str">
        <f>IFERROR(__xludf.DUMMYFUNCTION("""COMPUTED_VALUE"""),"Kit Delivery")</f>
        <v>Kit Delivery</v>
      </c>
      <c r="Q899" s="93"/>
      <c r="R899" s="93"/>
      <c r="S899" s="93" t="str">
        <f>IFERROR(__xludf.DUMMYFUNCTION("""COMPUTED_VALUE"""),"Dispatch_Images/KIT--17253.Photos.000149.jpg")</f>
        <v>Dispatch_Images/KIT--17253.Photos.000149.jpg</v>
      </c>
      <c r="T899" s="95">
        <f>IFERROR(__xludf.DUMMYFUNCTION("""COMPUTED_VALUE"""),46152.796273148146)</f>
        <v>46152.79627</v>
      </c>
      <c r="U899" s="93"/>
      <c r="V899" s="93"/>
      <c r="W899" s="93"/>
      <c r="X899" s="93"/>
      <c r="Y899" s="93"/>
      <c r="Z899" s="93"/>
    </row>
    <row r="900">
      <c r="A900" s="93" t="str">
        <f>IFERROR(__xludf.DUMMYFUNCTION("""COMPUTED_VALUE"""),"KIT-#17261")</f>
        <v>KIT-#17261</v>
      </c>
      <c r="B900" s="94">
        <f>IFERROR(__xludf.DUMMYFUNCTION("""COMPUTED_VALUE"""),46158.0)</f>
        <v>46158</v>
      </c>
      <c r="C900" s="93" t="str">
        <f>IFERROR(__xludf.DUMMYFUNCTION("""COMPUTED_VALUE"""),"Kit Delivery")</f>
        <v>Kit Delivery</v>
      </c>
      <c r="D900" s="93">
        <f>IFERROR(__xludf.DUMMYFUNCTION("""COMPUTED_VALUE"""),1.0)</f>
        <v>1</v>
      </c>
      <c r="E900" s="93" t="str">
        <f>IFERROR(__xludf.DUMMYFUNCTION("""COMPUTED_VALUE"""),"Off-Campus")</f>
        <v>Off-Campus</v>
      </c>
      <c r="F900" s="93"/>
      <c r="G900" s="93" t="str">
        <f>IFERROR(__xludf.DUMMYFUNCTION("""COMPUTED_VALUE"""),"Christopher Festin")</f>
        <v>Christopher Festin</v>
      </c>
      <c r="H900" s="93">
        <f>IFERROR(__xludf.DUMMYFUNCTION("""COMPUTED_VALUE"""),6.12741083E9)</f>
        <v>6127410830</v>
      </c>
      <c r="I900" s="93" t="str">
        <f>IFERROR(__xludf.DUMMYFUNCTION("""COMPUTED_VALUE"""),"9AM-11AM")</f>
        <v>9AM-11AM</v>
      </c>
      <c r="J900" s="93">
        <f>IFERROR(__xludf.DUMMYFUNCTION("""COMPUTED_VALUE"""),1.0)</f>
        <v>1</v>
      </c>
      <c r="K900" s="93" t="str">
        <f>IFERROR(__xludf.DUMMYFUNCTION("""COMPUTED_VALUE"""),"Complete")</f>
        <v>Complete</v>
      </c>
      <c r="L900" s="93"/>
      <c r="M900" s="94">
        <f>IFERROR(__xludf.DUMMYFUNCTION("""COMPUTED_VALUE"""),46152.7928125)</f>
        <v>46152.79281</v>
      </c>
      <c r="N900" s="93">
        <f>IFERROR(__xludf.DUMMYFUNCTION("""COMPUTED_VALUE"""),12.0)</f>
        <v>12</v>
      </c>
      <c r="O900" s="93" t="str">
        <f>IFERROR(__xludf.DUMMYFUNCTION("""COMPUTED_VALUE"""),"605 Leland Avenue, Apt 206, Universal City, MO 63103")</f>
        <v>605 Leland Avenue, Apt 206, Universal City, MO 63103</v>
      </c>
      <c r="P900" s="93" t="str">
        <f>IFERROR(__xludf.DUMMYFUNCTION("""COMPUTED_VALUE"""),"Kit Delivery")</f>
        <v>Kit Delivery</v>
      </c>
      <c r="Q900" s="93" t="str">
        <f>IFERROR(__xludf.DUMMYFUNCTION("""COMPUTED_VALUE"""),"pickup - 605 Leland Avenue, Apt 206, Universal City, MO 63103")</f>
        <v>pickup - 605 Leland Avenue, Apt 206, Universal City, MO 63103</v>
      </c>
      <c r="R900" s="93"/>
      <c r="S900" s="93" t="str">
        <f>IFERROR(__xludf.DUMMYFUNCTION("""COMPUTED_VALUE"""),"Dispatch_Images/KIT--17261.Photos.000134.jpg")</f>
        <v>Dispatch_Images/KIT--17261.Photos.000134.jpg</v>
      </c>
      <c r="T900" s="95">
        <f>IFERROR(__xludf.DUMMYFUNCTION("""COMPUTED_VALUE"""),46152.796273148146)</f>
        <v>46152.79627</v>
      </c>
      <c r="U900" s="93"/>
      <c r="V900" s="93"/>
      <c r="W900" s="93"/>
      <c r="X900" s="93"/>
      <c r="Y900" s="93"/>
      <c r="Z900" s="93"/>
    </row>
    <row r="901">
      <c r="A901" s="93" t="str">
        <f>IFERROR(__xludf.DUMMYFUNCTION("""COMPUTED_VALUE"""),"KIT-#18376")</f>
        <v>KIT-#18376</v>
      </c>
      <c r="B901" s="94">
        <f>IFERROR(__xludf.DUMMYFUNCTION("""COMPUTED_VALUE"""),46158.0)</f>
        <v>46158</v>
      </c>
      <c r="C901" s="93" t="str">
        <f>IFERROR(__xludf.DUMMYFUNCTION("""COMPUTED_VALUE"""),"Kit Delivery")</f>
        <v>Kit Delivery</v>
      </c>
      <c r="D901" s="93">
        <f>IFERROR(__xludf.DUMMYFUNCTION("""COMPUTED_VALUE"""),1.0)</f>
        <v>1</v>
      </c>
      <c r="E901" s="93" t="str">
        <f>IFERROR(__xludf.DUMMYFUNCTION("""COMPUTED_VALUE"""),"Greenway Apartments")</f>
        <v>Greenway Apartments</v>
      </c>
      <c r="F901" s="93">
        <f>IFERROR(__xludf.DUMMYFUNCTION("""COMPUTED_VALUE"""),117.0)</f>
        <v>117</v>
      </c>
      <c r="G901" s="93" t="str">
        <f>IFERROR(__xludf.DUMMYFUNCTION("""COMPUTED_VALUE"""),"Joy Ani")</f>
        <v>Joy Ani</v>
      </c>
      <c r="H901" s="93">
        <f>IFERROR(__xludf.DUMMYFUNCTION("""COMPUTED_VALUE"""),4.044472446E9)</f>
        <v>4044472446</v>
      </c>
      <c r="I901" s="93" t="str">
        <f>IFERROR(__xludf.DUMMYFUNCTION("""COMPUTED_VALUE"""),"12PM-2PM")</f>
        <v>12PM-2PM</v>
      </c>
      <c r="J901" s="93">
        <f>IFERROR(__xludf.DUMMYFUNCTION("""COMPUTED_VALUE"""),1.0)</f>
        <v>1</v>
      </c>
      <c r="K901" s="93" t="str">
        <f>IFERROR(__xludf.DUMMYFUNCTION("""COMPUTED_VALUE"""),"Complete")</f>
        <v>Complete</v>
      </c>
      <c r="L901" s="93"/>
      <c r="M901" s="94">
        <f>IFERROR(__xludf.DUMMYFUNCTION("""COMPUTED_VALUE"""),46152.80158564815)</f>
        <v>46152.80159</v>
      </c>
      <c r="N901" s="93">
        <f>IFERROR(__xludf.DUMMYFUNCTION("""COMPUTED_VALUE"""),2.0)</f>
        <v>2</v>
      </c>
      <c r="O901" s="93" t="str">
        <f>IFERROR(__xludf.DUMMYFUNCTION("""COMPUTED_VALUE"""),"482 Tallwood Drive, Stone Mountain, GA 30083")</f>
        <v>482 Tallwood Drive, Stone Mountain, GA 30083</v>
      </c>
      <c r="P901" s="93" t="str">
        <f>IFERROR(__xludf.DUMMYFUNCTION("""COMPUTED_VALUE"""),"Kit Delivery")</f>
        <v>Kit Delivery</v>
      </c>
      <c r="Q901" s="93"/>
      <c r="R901" s="93"/>
      <c r="S901" s="93" t="str">
        <f>IFERROR(__xludf.DUMMYFUNCTION("""COMPUTED_VALUE"""),"Dispatch_Images/KIT--18376.Photos.001412.jpg")</f>
        <v>Dispatch_Images/KIT--18376.Photos.001412.jpg</v>
      </c>
      <c r="T901" s="95">
        <f>IFERROR(__xludf.DUMMYFUNCTION("""COMPUTED_VALUE"""),46152.803252314814)</f>
        <v>46152.80325</v>
      </c>
      <c r="U901" s="93"/>
      <c r="V901" s="93"/>
      <c r="W901" s="93"/>
      <c r="X901" s="93"/>
      <c r="Y901" s="93"/>
      <c r="Z901" s="93"/>
    </row>
    <row r="902">
      <c r="A902" s="93" t="str">
        <f>IFERROR(__xludf.DUMMYFUNCTION("""COMPUTED_VALUE"""),"KIT-#17239")</f>
        <v>KIT-#17239</v>
      </c>
      <c r="B902" s="94">
        <f>IFERROR(__xludf.DUMMYFUNCTION("""COMPUTED_VALUE"""),46158.0)</f>
        <v>46158</v>
      </c>
      <c r="C902" s="93" t="str">
        <f>IFERROR(__xludf.DUMMYFUNCTION("""COMPUTED_VALUE"""),"Kit Delivery")</f>
        <v>Kit Delivery</v>
      </c>
      <c r="D902" s="93">
        <f>IFERROR(__xludf.DUMMYFUNCTION("""COMPUTED_VALUE"""),1.0)</f>
        <v>1</v>
      </c>
      <c r="E902" s="93" t="str">
        <f>IFERROR(__xludf.DUMMYFUNCTION("""COMPUTED_VALUE"""),"Off-Campus")</f>
        <v>Off-Campus</v>
      </c>
      <c r="F902" s="93"/>
      <c r="G902" s="93" t="str">
        <f>IFERROR(__xludf.DUMMYFUNCTION("""COMPUTED_VALUE"""),"Rosalynde Swidler")</f>
        <v>Rosalynde Swidler</v>
      </c>
      <c r="H902" s="93">
        <f>IFERROR(__xludf.DUMMYFUNCTION("""COMPUTED_VALUE"""),6.03730754E9)</f>
        <v>6037307540</v>
      </c>
      <c r="I902" s="93" t="str">
        <f>IFERROR(__xludf.DUMMYFUNCTION("""COMPUTED_VALUE"""),"3PM-5PM")</f>
        <v>3PM-5PM</v>
      </c>
      <c r="J902" s="93">
        <f>IFERROR(__xludf.DUMMYFUNCTION("""COMPUTED_VALUE"""),3.0)</f>
        <v>3</v>
      </c>
      <c r="K902" s="93" t="str">
        <f>IFERROR(__xludf.DUMMYFUNCTION("""COMPUTED_VALUE"""),"Complete")</f>
        <v>Complete</v>
      </c>
      <c r="L902" s="93"/>
      <c r="M902" s="94">
        <f>IFERROR(__xludf.DUMMYFUNCTION("""COMPUTED_VALUE"""),46152.79717592592)</f>
        <v>46152.79718</v>
      </c>
      <c r="N902" s="93">
        <f>IFERROR(__xludf.DUMMYFUNCTION("""COMPUTED_VALUE"""),10.0)</f>
        <v>10</v>
      </c>
      <c r="O902" s="93" t="str">
        <f>IFERROR(__xludf.DUMMYFUNCTION("""COMPUTED_VALUE"""),"6655 Washington Avenue Apt 2W 63130")</f>
        <v>6655 Washington Avenue Apt 2W 63130</v>
      </c>
      <c r="P902" s="93" t="str">
        <f>IFERROR(__xludf.DUMMYFUNCTION("""COMPUTED_VALUE"""),"Kit Delivery")</f>
        <v>Kit Delivery</v>
      </c>
      <c r="Q902" s="93"/>
      <c r="R902" s="93"/>
      <c r="S902" s="93" t="str">
        <f>IFERROR(__xludf.DUMMYFUNCTION("""COMPUTED_VALUE"""),"Dispatch_Images/KIT--17239.Photos.000753.jpg")</f>
        <v>Dispatch_Images/KIT--17239.Photos.000753.jpg</v>
      </c>
      <c r="T902" s="95">
        <f>IFERROR(__xludf.DUMMYFUNCTION("""COMPUTED_VALUE"""),46152.803252314814)</f>
        <v>46152.80325</v>
      </c>
      <c r="U902" s="93"/>
      <c r="V902" s="93"/>
      <c r="W902" s="93"/>
      <c r="X902" s="93"/>
      <c r="Y902" s="93"/>
      <c r="Z902" s="93"/>
    </row>
    <row r="903">
      <c r="A903" s="93" t="str">
        <f>IFERROR(__xludf.DUMMYFUNCTION("""COMPUTED_VALUE"""),"KIT-#17395")</f>
        <v>KIT-#17395</v>
      </c>
      <c r="B903" s="94">
        <f>IFERROR(__xludf.DUMMYFUNCTION("""COMPUTED_VALUE"""),46158.0)</f>
        <v>46158</v>
      </c>
      <c r="C903" s="93" t="str">
        <f>IFERROR(__xludf.DUMMYFUNCTION("""COMPUTED_VALUE"""),"Kit Delivery")</f>
        <v>Kit Delivery</v>
      </c>
      <c r="D903" s="93">
        <f>IFERROR(__xludf.DUMMYFUNCTION("""COMPUTED_VALUE"""),1.0)</f>
        <v>1</v>
      </c>
      <c r="E903" s="93" t="str">
        <f>IFERROR(__xludf.DUMMYFUNCTION("""COMPUTED_VALUE"""),"Off-Campus")</f>
        <v>Off-Campus</v>
      </c>
      <c r="F903" s="93"/>
      <c r="G903" s="93" t="str">
        <f>IFERROR(__xludf.DUMMYFUNCTION("""COMPUTED_VALUE"""),"Molly Flicker")</f>
        <v>Molly Flicker</v>
      </c>
      <c r="H903" s="93">
        <f>IFERROR(__xludf.DUMMYFUNCTION("""COMPUTED_VALUE"""),9.179036245E9)</f>
        <v>9179036245</v>
      </c>
      <c r="I903" s="93" t="str">
        <f>IFERROR(__xludf.DUMMYFUNCTION("""COMPUTED_VALUE"""),"12PM-2PM")</f>
        <v>12PM-2PM</v>
      </c>
      <c r="J903" s="93">
        <f>IFERROR(__xludf.DUMMYFUNCTION("""COMPUTED_VALUE"""),1.0)</f>
        <v>1</v>
      </c>
      <c r="K903" s="93" t="str">
        <f>IFERROR(__xludf.DUMMYFUNCTION("""COMPUTED_VALUE"""),"Complete")</f>
        <v>Complete</v>
      </c>
      <c r="L903" s="93"/>
      <c r="M903" s="94">
        <f>IFERROR(__xludf.DUMMYFUNCTION("""COMPUTED_VALUE"""),46152.807546296295)</f>
        <v>46152.80755</v>
      </c>
      <c r="N903" s="93">
        <f>IFERROR(__xludf.DUMMYFUNCTION("""COMPUTED_VALUE"""),15.0)</f>
        <v>15</v>
      </c>
      <c r="O903" s="93" t="str">
        <f>IFERROR(__xludf.DUMMYFUNCTION("""COMPUTED_VALUE"""),"608 Kingsland Avenue, Apartment 404")</f>
        <v>608 Kingsland Avenue, Apartment 404</v>
      </c>
      <c r="P903" s="93" t="str">
        <f>IFERROR(__xludf.DUMMYFUNCTION("""COMPUTED_VALUE"""),"Kit Delivery")</f>
        <v>Kit Delivery</v>
      </c>
      <c r="Q903" s="93"/>
      <c r="R903" s="93"/>
      <c r="S903" s="93" t="str">
        <f>IFERROR(__xludf.DUMMYFUNCTION("""COMPUTED_VALUE"""),"Dispatch_Images/KIT--17395.Photos.002250.jpg")</f>
        <v>Dispatch_Images/KIT--17395.Photos.002250.jpg</v>
      </c>
      <c r="T903" s="95">
        <f>IFERROR(__xludf.DUMMYFUNCTION("""COMPUTED_VALUE"""),46152.81015046296)</f>
        <v>46152.81015</v>
      </c>
      <c r="U903" s="93"/>
      <c r="V903" s="93"/>
      <c r="W903" s="93"/>
      <c r="X903" s="93"/>
      <c r="Y903" s="93"/>
      <c r="Z903" s="93"/>
    </row>
    <row r="904">
      <c r="A904" s="93" t="str">
        <f>IFERROR(__xludf.DUMMYFUNCTION("""COMPUTED_VALUE"""),"KIT-#17539")</f>
        <v>KIT-#17539</v>
      </c>
      <c r="B904" s="94">
        <f>IFERROR(__xludf.DUMMYFUNCTION("""COMPUTED_VALUE"""),46158.0)</f>
        <v>46158</v>
      </c>
      <c r="C904" s="93" t="str">
        <f>IFERROR(__xludf.DUMMYFUNCTION("""COMPUTED_VALUE"""),"Kit Delivery")</f>
        <v>Kit Delivery</v>
      </c>
      <c r="D904" s="93">
        <f>IFERROR(__xludf.DUMMYFUNCTION("""COMPUTED_VALUE"""),1.0)</f>
        <v>1</v>
      </c>
      <c r="E904" s="93" t="str">
        <f>IFERROR(__xludf.DUMMYFUNCTION("""COMPUTED_VALUE"""),"Off-Campus")</f>
        <v>Off-Campus</v>
      </c>
      <c r="F904" s="93"/>
      <c r="G904" s="93" t="str">
        <f>IFERROR(__xludf.DUMMYFUNCTION("""COMPUTED_VALUE"""),"Mack La Rosa")</f>
        <v>Mack La Rosa</v>
      </c>
      <c r="H904" s="93">
        <f>IFERROR(__xludf.DUMMYFUNCTION("""COMPUTED_VALUE"""),6.465651495E9)</f>
        <v>6465651495</v>
      </c>
      <c r="I904" s="93" t="str">
        <f>IFERROR(__xludf.DUMMYFUNCTION("""COMPUTED_VALUE"""),"10AM-12PM")</f>
        <v>10AM-12PM</v>
      </c>
      <c r="J904" s="93">
        <f>IFERROR(__xludf.DUMMYFUNCTION("""COMPUTED_VALUE"""),1.0)</f>
        <v>1</v>
      </c>
      <c r="K904" s="93" t="str">
        <f>IFERROR(__xludf.DUMMYFUNCTION("""COMPUTED_VALUE"""),"Complete")</f>
        <v>Complete</v>
      </c>
      <c r="L904" s="93"/>
      <c r="M904" s="94">
        <f>IFERROR(__xludf.DUMMYFUNCTION("""COMPUTED_VALUE"""),46152.80744212963)</f>
        <v>46152.80744</v>
      </c>
      <c r="N904" s="93">
        <f>IFERROR(__xludf.DUMMYFUNCTION("""COMPUTED_VALUE"""),18.0)</f>
        <v>18</v>
      </c>
      <c r="O904" s="93" t="str">
        <f>IFERROR(__xludf.DUMMYFUNCTION("""COMPUTED_VALUE"""),"608 Kingsland Ave, St. Louis, MO, 63130, Apt 301")</f>
        <v>608 Kingsland Ave, St. Louis, MO, 63130, Apt 301</v>
      </c>
      <c r="P904" s="93" t="str">
        <f>IFERROR(__xludf.DUMMYFUNCTION("""COMPUTED_VALUE"""),"Kit Delivery")</f>
        <v>Kit Delivery</v>
      </c>
      <c r="Q904" s="93"/>
      <c r="R904" s="93"/>
      <c r="S904" s="93" t="str">
        <f>IFERROR(__xludf.DUMMYFUNCTION("""COMPUTED_VALUE"""),"Dispatch_Images/KIT--17539.Photos.002239.jpg")</f>
        <v>Dispatch_Images/KIT--17539.Photos.002239.jpg</v>
      </c>
      <c r="T904" s="95">
        <f>IFERROR(__xludf.DUMMYFUNCTION("""COMPUTED_VALUE"""),46152.81015046296)</f>
        <v>46152.81015</v>
      </c>
      <c r="U904" s="93"/>
      <c r="V904" s="93"/>
      <c r="W904" s="93"/>
      <c r="X904" s="93"/>
      <c r="Y904" s="93"/>
      <c r="Z904" s="93"/>
    </row>
    <row r="905">
      <c r="A905" s="93" t="str">
        <f>IFERROR(__xludf.DUMMYFUNCTION("""COMPUTED_VALUE"""),"KIT-#18147")</f>
        <v>KIT-#18147</v>
      </c>
      <c r="B905" s="94">
        <f>IFERROR(__xludf.DUMMYFUNCTION("""COMPUTED_VALUE"""),46158.0)</f>
        <v>46158</v>
      </c>
      <c r="C905" s="93" t="str">
        <f>IFERROR(__xludf.DUMMYFUNCTION("""COMPUTED_VALUE"""),"Kit Delivery")</f>
        <v>Kit Delivery</v>
      </c>
      <c r="D905" s="93">
        <f>IFERROR(__xludf.DUMMYFUNCTION("""COMPUTED_VALUE"""),1.0)</f>
        <v>1</v>
      </c>
      <c r="E905" s="93" t="str">
        <f>IFERROR(__xludf.DUMMYFUNCTION("""COMPUTED_VALUE"""),"Off-Campus")</f>
        <v>Off-Campus</v>
      </c>
      <c r="F905" s="93"/>
      <c r="G905" s="93" t="str">
        <f>IFERROR(__xludf.DUMMYFUNCTION("""COMPUTED_VALUE"""),"Ian Heft")</f>
        <v>Ian Heft</v>
      </c>
      <c r="H905" s="93">
        <f>IFERROR(__xludf.DUMMYFUNCTION("""COMPUTED_VALUE"""),9.179464246E9)</f>
        <v>9179464246</v>
      </c>
      <c r="I905" s="93" t="str">
        <f>IFERROR(__xludf.DUMMYFUNCTION("""COMPUTED_VALUE"""),"3PM-5PM")</f>
        <v>3PM-5PM</v>
      </c>
      <c r="J905" s="93">
        <f>IFERROR(__xludf.DUMMYFUNCTION("""COMPUTED_VALUE"""),1.0)</f>
        <v>1</v>
      </c>
      <c r="K905" s="93" t="str">
        <f>IFERROR(__xludf.DUMMYFUNCTION("""COMPUTED_VALUE"""),"Complete")</f>
        <v>Complete</v>
      </c>
      <c r="L905" s="93"/>
      <c r="M905" s="94">
        <f>IFERROR(__xludf.DUMMYFUNCTION("""COMPUTED_VALUE"""),46152.82733796297)</f>
        <v>46152.82734</v>
      </c>
      <c r="N905" s="93">
        <f>IFERROR(__xludf.DUMMYFUNCTION("""COMPUTED_VALUE"""),27.0)</f>
        <v>27</v>
      </c>
      <c r="O905" s="93" t="str">
        <f>IFERROR(__xludf.DUMMYFUNCTION("""COMPUTED_VALUE"""),"7323 Forsyth Blvd")</f>
        <v>7323 Forsyth Blvd</v>
      </c>
      <c r="P905" s="93" t="str">
        <f>IFERROR(__xludf.DUMMYFUNCTION("""COMPUTED_VALUE"""),"Kit Delivery")</f>
        <v>Kit Delivery</v>
      </c>
      <c r="Q905" s="93"/>
      <c r="R905" s="93"/>
      <c r="S905" s="93" t="str">
        <f>IFERROR(__xludf.DUMMYFUNCTION("""COMPUTED_VALUE"""),"Dispatch_Images/KIT--18147.Photos.005118.jpg")</f>
        <v>Dispatch_Images/KIT--18147.Photos.005118.jpg</v>
      </c>
      <c r="T905" s="95">
        <f>IFERROR(__xludf.DUMMYFUNCTION("""COMPUTED_VALUE"""),46152.83099537037)</f>
        <v>46152.831</v>
      </c>
      <c r="U905" s="93"/>
      <c r="V905" s="93"/>
      <c r="W905" s="93"/>
      <c r="X905" s="93"/>
      <c r="Y905" s="93"/>
      <c r="Z905" s="93"/>
    </row>
    <row r="906">
      <c r="A906" s="93" t="str">
        <f>IFERROR(__xludf.DUMMYFUNCTION("""COMPUTED_VALUE"""),"KIT-#18302")</f>
        <v>KIT-#18302</v>
      </c>
      <c r="B906" s="94">
        <f>IFERROR(__xludf.DUMMYFUNCTION("""COMPUTED_VALUE"""),46159.0)</f>
        <v>46159</v>
      </c>
      <c r="C906" s="93" t="str">
        <f>IFERROR(__xludf.DUMMYFUNCTION("""COMPUTED_VALUE"""),"Kit Delivery")</f>
        <v>Kit Delivery</v>
      </c>
      <c r="D906" s="93">
        <f>IFERROR(__xludf.DUMMYFUNCTION("""COMPUTED_VALUE"""),1.0)</f>
        <v>1</v>
      </c>
      <c r="E906" s="93" t="str">
        <f>IFERROR(__xludf.DUMMYFUNCTION("""COMPUTED_VALUE"""),"Off-Campus")</f>
        <v>Off-Campus</v>
      </c>
      <c r="F906" s="93"/>
      <c r="G906" s="93" t="str">
        <f>IFERROR(__xludf.DUMMYFUNCTION("""COMPUTED_VALUE"""),"Anabelle Baum")</f>
        <v>Anabelle Baum</v>
      </c>
      <c r="H906" s="93" t="str">
        <f>IFERROR(__xludf.DUMMYFUNCTION("""COMPUTED_VALUE"""),"(917) 374-1988")</f>
        <v>(917) 374-1988</v>
      </c>
      <c r="I906" s="93" t="str">
        <f>IFERROR(__xludf.DUMMYFUNCTION("""COMPUTED_VALUE"""),"12PM-2PM")</f>
        <v>12PM-2PM</v>
      </c>
      <c r="J906" s="93">
        <f>IFERROR(__xludf.DUMMYFUNCTION("""COMPUTED_VALUE"""),1.0)</f>
        <v>1</v>
      </c>
      <c r="K906" s="93" t="str">
        <f>IFERROR(__xludf.DUMMYFUNCTION("""COMPUTED_VALUE"""),"Complete")</f>
        <v>Complete</v>
      </c>
      <c r="L906" s="93"/>
      <c r="M906" s="94">
        <f>IFERROR(__xludf.DUMMYFUNCTION("""COMPUTED_VALUE"""),46152.8172800926)</f>
        <v>46152.81728</v>
      </c>
      <c r="N906" s="93">
        <f>IFERROR(__xludf.DUMMYFUNCTION("""COMPUTED_VALUE"""),31.0)</f>
        <v>31</v>
      </c>
      <c r="O906" s="93" t="str">
        <f>IFERROR(__xludf.DUMMYFUNCTION("""COMPUTED_VALUE"""),"510 Trinity Avenue
St. Louis, MO 63130")</f>
        <v>510 Trinity Avenue
St. Louis, MO 63130</v>
      </c>
      <c r="P906" s="93" t="str">
        <f>IFERROR(__xludf.DUMMYFUNCTION("""COMPUTED_VALUE"""),"Kit Delivery")</f>
        <v>Kit Delivery</v>
      </c>
      <c r="Q906" s="93"/>
      <c r="R906" s="93"/>
      <c r="S906" s="93" t="str">
        <f>IFERROR(__xludf.DUMMYFUNCTION("""COMPUTED_VALUE"""),"Dispatch_Images/KIT--18302.Photos.003648.jpg")</f>
        <v>Dispatch_Images/KIT--18302.Photos.003648.jpg</v>
      </c>
      <c r="T906" s="95">
        <f>IFERROR(__xludf.DUMMYFUNCTION("""COMPUTED_VALUE"""),46152.8240625)</f>
        <v>46152.82406</v>
      </c>
      <c r="U906" s="93"/>
      <c r="V906" s="93"/>
      <c r="W906" s="93"/>
      <c r="X906" s="93"/>
      <c r="Y906" s="93"/>
      <c r="Z906" s="93"/>
    </row>
    <row r="907">
      <c r="A907" s="93" t="str">
        <f>IFERROR(__xludf.DUMMYFUNCTION("""COMPUTED_VALUE"""),"KIT-#17241")</f>
        <v>KIT-#17241</v>
      </c>
      <c r="B907" s="94">
        <f>IFERROR(__xludf.DUMMYFUNCTION("""COMPUTED_VALUE"""),46160.0)</f>
        <v>46160</v>
      </c>
      <c r="C907" s="93" t="str">
        <f>IFERROR(__xludf.DUMMYFUNCTION("""COMPUTED_VALUE"""),"Kit Delivery")</f>
        <v>Kit Delivery</v>
      </c>
      <c r="D907" s="93">
        <f>IFERROR(__xludf.DUMMYFUNCTION("""COMPUTED_VALUE"""),3.0)</f>
        <v>3</v>
      </c>
      <c r="E907" s="93" t="str">
        <f>IFERROR(__xludf.DUMMYFUNCTION("""COMPUTED_VALUE"""),"Koenig")</f>
        <v>Koenig</v>
      </c>
      <c r="F907" s="93">
        <f>IFERROR(__xludf.DUMMYFUNCTION("""COMPUTED_VALUE"""),4407.0)</f>
        <v>4407</v>
      </c>
      <c r="G907" s="93" t="str">
        <f>IFERROR(__xludf.DUMMYFUNCTION("""COMPUTED_VALUE"""),"Lance Young")</f>
        <v>Lance Young</v>
      </c>
      <c r="H907" s="93">
        <f>IFERROR(__xludf.DUMMYFUNCTION("""COMPUTED_VALUE"""),9.49254816E9)</f>
        <v>9492548160</v>
      </c>
      <c r="I907" s="93" t="str">
        <f>IFERROR(__xludf.DUMMYFUNCTION("""COMPUTED_VALUE"""),"9AM-11AM")</f>
        <v>9AM-11AM</v>
      </c>
      <c r="J907" s="93">
        <f>IFERROR(__xludf.DUMMYFUNCTION("""COMPUTED_VALUE"""),1.0)</f>
        <v>1</v>
      </c>
      <c r="K907" s="93" t="str">
        <f>IFERROR(__xludf.DUMMYFUNCTION("""COMPUTED_VALUE"""),"Complete")</f>
        <v>Complete</v>
      </c>
      <c r="L907" s="93"/>
      <c r="M907" s="94">
        <f>IFERROR(__xludf.DUMMYFUNCTION("""COMPUTED_VALUE"""),46130.42952546296)</f>
        <v>46130.42953</v>
      </c>
      <c r="N907" s="93">
        <f>IFERROR(__xludf.DUMMYFUNCTION("""COMPUTED_VALUE"""),211.0)</f>
        <v>211</v>
      </c>
      <c r="O907" s="93"/>
      <c r="P907" s="93" t="str">
        <f>IFERROR(__xludf.DUMMYFUNCTION("""COMPUTED_VALUE"""),"Kit Delivery")</f>
        <v>Kit Delivery</v>
      </c>
      <c r="Q907" s="93"/>
      <c r="R907" s="93"/>
      <c r="S907" s="93" t="str">
        <f>IFERROR(__xludf.DUMMYFUNCTION("""COMPUTED_VALUE"""),"Dispatch_Images/KIT--17241.Photos.151828.jpg")</f>
        <v>Dispatch_Images/KIT--17241.Photos.151828.jpg</v>
      </c>
      <c r="T907" s="95">
        <f>IFERROR(__xludf.DUMMYFUNCTION("""COMPUTED_VALUE"""),46130.432662037034)</f>
        <v>46130.43266</v>
      </c>
      <c r="U907" s="93"/>
      <c r="V907" s="93"/>
      <c r="W907" s="93"/>
      <c r="X907" s="93"/>
      <c r="Y907" s="93"/>
      <c r="Z907" s="93"/>
    </row>
    <row r="908">
      <c r="A908" s="93" t="str">
        <f>IFERROR(__xludf.DUMMYFUNCTION("""COMPUTED_VALUE"""),"KIT-#17087")</f>
        <v>KIT-#17087</v>
      </c>
      <c r="B908" s="94">
        <f>IFERROR(__xludf.DUMMYFUNCTION("""COMPUTED_VALUE"""),46160.0)</f>
        <v>46160</v>
      </c>
      <c r="C908" s="93" t="str">
        <f>IFERROR(__xludf.DUMMYFUNCTION("""COMPUTED_VALUE"""),"Kit Delivery")</f>
        <v>Kit Delivery</v>
      </c>
      <c r="D908" s="93">
        <f>IFERROR(__xludf.DUMMYFUNCTION("""COMPUTED_VALUE"""),3.0)</f>
        <v>3</v>
      </c>
      <c r="E908" s="93" t="str">
        <f>IFERROR(__xludf.DUMMYFUNCTION("""COMPUTED_VALUE"""),"Village East")</f>
        <v>Village East</v>
      </c>
      <c r="F908" s="93">
        <f>IFERROR(__xludf.DUMMYFUNCTION("""COMPUTED_VALUE"""),3081.0)</f>
        <v>3081</v>
      </c>
      <c r="G908" s="93" t="str">
        <f>IFERROR(__xludf.DUMMYFUNCTION("""COMPUTED_VALUE"""),"Ben Harwayne")</f>
        <v>Ben Harwayne</v>
      </c>
      <c r="H908" s="93">
        <f>IFERROR(__xludf.DUMMYFUNCTION("""COMPUTED_VALUE"""),6.467404868E9)</f>
        <v>6467404868</v>
      </c>
      <c r="I908" s="93" t="str">
        <f>IFERROR(__xludf.DUMMYFUNCTION("""COMPUTED_VALUE"""),"12PM-2PM")</f>
        <v>12PM-2PM</v>
      </c>
      <c r="J908" s="93">
        <f>IFERROR(__xludf.DUMMYFUNCTION("""COMPUTED_VALUE"""),1.0)</f>
        <v>1</v>
      </c>
      <c r="K908" s="93" t="str">
        <f>IFERROR(__xludf.DUMMYFUNCTION("""COMPUTED_VALUE"""),"Complete")</f>
        <v>Complete</v>
      </c>
      <c r="L908" s="93"/>
      <c r="M908" s="94">
        <f>IFERROR(__xludf.DUMMYFUNCTION("""COMPUTED_VALUE"""),46130.4875)</f>
        <v>46130.4875</v>
      </c>
      <c r="N908" s="93">
        <f>IFERROR(__xludf.DUMMYFUNCTION("""COMPUTED_VALUE"""),271.0)</f>
        <v>271</v>
      </c>
      <c r="O908" s="93" t="str">
        <f>IFERROR(__xludf.DUMMYFUNCTION("""COMPUTED_VALUE"""),"277 W End Ave, Apt 7A
New York, NY 10023")</f>
        <v>277 W End Ave, Apt 7A
New York, NY 10023</v>
      </c>
      <c r="P908" s="93" t="str">
        <f>IFERROR(__xludf.DUMMYFUNCTION("""COMPUTED_VALUE"""),"Kit Delivery")</f>
        <v>Kit Delivery</v>
      </c>
      <c r="Q908" s="93"/>
      <c r="R908" s="93"/>
      <c r="S908" s="93" t="str">
        <f>IFERROR(__xludf.DUMMYFUNCTION("""COMPUTED_VALUE"""),"Dispatch_Images/KIT--17087.Photos.164157.jpg")</f>
        <v>Dispatch_Images/KIT--17087.Photos.164157.jpg</v>
      </c>
      <c r="T908" s="95">
        <f>IFERROR(__xludf.DUMMYFUNCTION("""COMPUTED_VALUE"""),46130.488229166665)</f>
        <v>46130.48823</v>
      </c>
      <c r="U908" s="93"/>
      <c r="V908" s="93"/>
      <c r="W908" s="93"/>
      <c r="X908" s="93"/>
      <c r="Y908" s="93"/>
      <c r="Z908" s="93"/>
    </row>
    <row r="909">
      <c r="A909" s="93" t="str">
        <f>IFERROR(__xludf.DUMMYFUNCTION("""COMPUTED_VALUE"""),"KIT-#17201")</f>
        <v>KIT-#17201</v>
      </c>
      <c r="B909" s="94">
        <f>IFERROR(__xludf.DUMMYFUNCTION("""COMPUTED_VALUE"""),46160.0)</f>
        <v>46160</v>
      </c>
      <c r="C909" s="93" t="str">
        <f>IFERROR(__xludf.DUMMYFUNCTION("""COMPUTED_VALUE"""),"Kit Delivery")</f>
        <v>Kit Delivery</v>
      </c>
      <c r="D909" s="93">
        <f>IFERROR(__xludf.DUMMYFUNCTION("""COMPUTED_VALUE"""),2.0)</f>
        <v>2</v>
      </c>
      <c r="E909" s="93" t="str">
        <f>IFERROR(__xludf.DUMMYFUNCTION("""COMPUTED_VALUE"""),"Park")</f>
        <v>Park</v>
      </c>
      <c r="F909" s="93">
        <f>IFERROR(__xludf.DUMMYFUNCTION("""COMPUTED_VALUE"""),352.0)</f>
        <v>352</v>
      </c>
      <c r="G909" s="93" t="str">
        <f>IFERROR(__xludf.DUMMYFUNCTION("""COMPUTED_VALUE"""),"Keshav Vasanth")</f>
        <v>Keshav Vasanth</v>
      </c>
      <c r="H909" s="93" t="str">
        <f>IFERROR(__xludf.DUMMYFUNCTION("""COMPUTED_VALUE"""),"(972) 898-0140")</f>
        <v>(972) 898-0140</v>
      </c>
      <c r="I909" s="93" t="str">
        <f>IFERROR(__xludf.DUMMYFUNCTION("""COMPUTED_VALUE"""),"9AM-11AM")</f>
        <v>9AM-11AM</v>
      </c>
      <c r="J909" s="93">
        <f>IFERROR(__xludf.DUMMYFUNCTION("""COMPUTED_VALUE"""),3.0)</f>
        <v>3</v>
      </c>
      <c r="K909" s="93" t="str">
        <f>IFERROR(__xludf.DUMMYFUNCTION("""COMPUTED_VALUE"""),"Complete")</f>
        <v>Complete</v>
      </c>
      <c r="L909" s="93"/>
      <c r="M909" s="94">
        <f>IFERROR(__xludf.DUMMYFUNCTION("""COMPUTED_VALUE"""),46134.70982638889)</f>
        <v>46134.70983</v>
      </c>
      <c r="N909" s="93">
        <f>IFERROR(__xludf.DUMMYFUNCTION("""COMPUTED_VALUE"""),77.0)</f>
        <v>77</v>
      </c>
      <c r="O909" s="93"/>
      <c r="P909" s="93" t="str">
        <f>IFERROR(__xludf.DUMMYFUNCTION("""COMPUTED_VALUE"""),"Kit Delivery")</f>
        <v>Kit Delivery</v>
      </c>
      <c r="Q909" s="93"/>
      <c r="R909" s="93"/>
      <c r="S909" s="93" t="str">
        <f>IFERROR(__xludf.DUMMYFUNCTION("""COMPUTED_VALUE"""),"Dispatch_Images/KIT--17201.Photos.220206.jpg")</f>
        <v>Dispatch_Images/KIT--17201.Photos.220206.jpg</v>
      </c>
      <c r="T909" s="95">
        <f>IFERROR(__xludf.DUMMYFUNCTION("""COMPUTED_VALUE"""),46134.71045138889)</f>
        <v>46134.71045</v>
      </c>
      <c r="U909" s="93"/>
      <c r="V909" s="93"/>
      <c r="W909" s="93"/>
      <c r="X909" s="93"/>
      <c r="Y909" s="93"/>
      <c r="Z909" s="93"/>
    </row>
    <row r="910">
      <c r="A910" s="93" t="str">
        <f>IFERROR(__xludf.DUMMYFUNCTION("""COMPUTED_VALUE"""),"KIT-#16835")</f>
        <v>KIT-#16835</v>
      </c>
      <c r="B910" s="94">
        <f>IFERROR(__xludf.DUMMYFUNCTION("""COMPUTED_VALUE"""),46160.0)</f>
        <v>46160</v>
      </c>
      <c r="C910" s="93" t="str">
        <f>IFERROR(__xludf.DUMMYFUNCTION("""COMPUTED_VALUE"""),"Kit Delivery")</f>
        <v>Kit Delivery</v>
      </c>
      <c r="D910" s="93">
        <f>IFERROR(__xludf.DUMMYFUNCTION("""COMPUTED_VALUE"""),2.0)</f>
        <v>2</v>
      </c>
      <c r="E910" s="93" t="str">
        <f>IFERROR(__xludf.DUMMYFUNCTION("""COMPUTED_VALUE"""),"House 6")</f>
        <v>House 6</v>
      </c>
      <c r="F910" s="93" t="str">
        <f>IFERROR(__xludf.DUMMYFUNCTION("""COMPUTED_VALUE"""),"103b")</f>
        <v>103b</v>
      </c>
      <c r="G910" s="93" t="str">
        <f>IFERROR(__xludf.DUMMYFUNCTION("""COMPUTED_VALUE"""),"Sam Gornstein")</f>
        <v>Sam Gornstein</v>
      </c>
      <c r="H910" s="93">
        <f>IFERROR(__xludf.DUMMYFUNCTION("""COMPUTED_VALUE"""),6.174616197E9)</f>
        <v>6174616197</v>
      </c>
      <c r="I910" s="93" t="str">
        <f>IFERROR(__xludf.DUMMYFUNCTION("""COMPUTED_VALUE"""),"9AM-11AM")</f>
        <v>9AM-11AM</v>
      </c>
      <c r="J910" s="93">
        <f>IFERROR(__xludf.DUMMYFUNCTION("""COMPUTED_VALUE"""),1.0)</f>
        <v>1</v>
      </c>
      <c r="K910" s="93" t="str">
        <f>IFERROR(__xludf.DUMMYFUNCTION("""COMPUTED_VALUE"""),"Complete")</f>
        <v>Complete</v>
      </c>
      <c r="L910" s="93"/>
      <c r="M910" s="94">
        <f>IFERROR(__xludf.DUMMYFUNCTION("""COMPUTED_VALUE"""),46140.830196759256)</f>
        <v>46140.8302</v>
      </c>
      <c r="N910" s="93">
        <f>IFERROR(__xludf.DUMMYFUNCTION("""COMPUTED_VALUE"""),199.0)</f>
        <v>199</v>
      </c>
      <c r="O910" s="93"/>
      <c r="P910" s="93" t="str">
        <f>IFERROR(__xludf.DUMMYFUNCTION("""COMPUTED_VALUE"""),"Kit Delivery")</f>
        <v>Kit Delivery</v>
      </c>
      <c r="Q910" s="93"/>
      <c r="R910" s="93"/>
      <c r="S910" s="93" t="str">
        <f>IFERROR(__xludf.DUMMYFUNCTION("""COMPUTED_VALUE"""),"Dispatch_Images/KIT--16835.Photos.005526.jpg")</f>
        <v>Dispatch_Images/KIT--16835.Photos.005526.jpg</v>
      </c>
      <c r="T910" s="95">
        <f>IFERROR(__xludf.DUMMYFUNCTION("""COMPUTED_VALUE"""),46140.83545138889)</f>
        <v>46140.83545</v>
      </c>
      <c r="U910" s="93"/>
      <c r="V910" s="93"/>
      <c r="W910" s="93"/>
      <c r="X910" s="93"/>
      <c r="Y910" s="93"/>
      <c r="Z910" s="93"/>
    </row>
    <row r="911">
      <c r="A911" s="93" t="str">
        <f>IFERROR(__xludf.DUMMYFUNCTION("""COMPUTED_VALUE"""),"KIT-#17455")</f>
        <v>KIT-#17455</v>
      </c>
      <c r="B911" s="94">
        <f>IFERROR(__xludf.DUMMYFUNCTION("""COMPUTED_VALUE"""),46160.0)</f>
        <v>46160</v>
      </c>
      <c r="C911" s="93" t="str">
        <f>IFERROR(__xludf.DUMMYFUNCTION("""COMPUTED_VALUE"""),"Kit Delivery")</f>
        <v>Kit Delivery</v>
      </c>
      <c r="D911" s="93">
        <f>IFERROR(__xludf.DUMMYFUNCTION("""COMPUTED_VALUE"""),3.0)</f>
        <v>3</v>
      </c>
      <c r="E911" s="93" t="str">
        <f>IFERROR(__xludf.DUMMYFUNCTION("""COMPUTED_VALUE"""),"Lee")</f>
        <v>Lee</v>
      </c>
      <c r="F911" s="93">
        <f>IFERROR(__xludf.DUMMYFUNCTION("""COMPUTED_VALUE"""),217.0)</f>
        <v>217</v>
      </c>
      <c r="G911" s="93" t="str">
        <f>IFERROR(__xludf.DUMMYFUNCTION("""COMPUTED_VALUE"""),"Alexander Ramirez Catota")</f>
        <v>Alexander Ramirez Catota</v>
      </c>
      <c r="H911" s="93">
        <f>IFERROR(__xludf.DUMMYFUNCTION("""COMPUTED_VALUE"""),9.733427712E9)</f>
        <v>9733427712</v>
      </c>
      <c r="I911" s="93" t="str">
        <f>IFERROR(__xludf.DUMMYFUNCTION("""COMPUTED_VALUE"""),"10AM-12PM")</f>
        <v>10AM-12PM</v>
      </c>
      <c r="J911" s="93">
        <f>IFERROR(__xludf.DUMMYFUNCTION("""COMPUTED_VALUE"""),1.0)</f>
        <v>1</v>
      </c>
      <c r="K911" s="93" t="str">
        <f>IFERROR(__xludf.DUMMYFUNCTION("""COMPUTED_VALUE"""),"Complete")</f>
        <v>Complete</v>
      </c>
      <c r="L911" s="93"/>
      <c r="M911" s="94">
        <f>IFERROR(__xludf.DUMMYFUNCTION("""COMPUTED_VALUE"""),46142.903912037036)</f>
        <v>46142.90391</v>
      </c>
      <c r="N911" s="93">
        <f>IFERROR(__xludf.DUMMYFUNCTION("""COMPUTED_VALUE"""),53.0)</f>
        <v>53</v>
      </c>
      <c r="O911" s="93"/>
      <c r="P911" s="93" t="str">
        <f>IFERROR(__xludf.DUMMYFUNCTION("""COMPUTED_VALUE"""),"Kit Delivery")</f>
        <v>Kit Delivery</v>
      </c>
      <c r="Q911" s="93"/>
      <c r="R911" s="93"/>
      <c r="S911" s="93" t="str">
        <f>IFERROR(__xludf.DUMMYFUNCTION("""COMPUTED_VALUE"""),"Dispatch_Images/KIT--17455.Photos.024135.jpg")</f>
        <v>Dispatch_Images/KIT--17455.Photos.024135.jpg</v>
      </c>
      <c r="T911" s="95">
        <f>IFERROR(__xludf.DUMMYFUNCTION("""COMPUTED_VALUE"""),46142.90738425926)</f>
        <v>46142.90738</v>
      </c>
      <c r="U911" s="93"/>
      <c r="V911" s="93"/>
      <c r="W911" s="93"/>
      <c r="X911" s="93"/>
      <c r="Y911" s="93"/>
      <c r="Z911" s="93"/>
    </row>
    <row r="912">
      <c r="A912" s="93" t="str">
        <f>IFERROR(__xludf.DUMMYFUNCTION("""COMPUTED_VALUE"""),"KIT-#17978")</f>
        <v>KIT-#17978</v>
      </c>
      <c r="B912" s="94">
        <f>IFERROR(__xludf.DUMMYFUNCTION("""COMPUTED_VALUE"""),46160.0)</f>
        <v>46160</v>
      </c>
      <c r="C912" s="93" t="str">
        <f>IFERROR(__xludf.DUMMYFUNCTION("""COMPUTED_VALUE"""),"Kit Delivery")</f>
        <v>Kit Delivery</v>
      </c>
      <c r="D912" s="93">
        <f>IFERROR(__xludf.DUMMYFUNCTION("""COMPUTED_VALUE"""),2.0)</f>
        <v>2</v>
      </c>
      <c r="E912" s="93" t="str">
        <f>IFERROR(__xludf.DUMMYFUNCTION("""COMPUTED_VALUE"""),"Umrath")</f>
        <v>Umrath</v>
      </c>
      <c r="F912" s="93">
        <f>IFERROR(__xludf.DUMMYFUNCTION("""COMPUTED_VALUE"""),3324.0)</f>
        <v>3324</v>
      </c>
      <c r="G912" s="93" t="str">
        <f>IFERROR(__xludf.DUMMYFUNCTION("""COMPUTED_VALUE"""),"Lily Brecknock")</f>
        <v>Lily Brecknock</v>
      </c>
      <c r="H912" s="93">
        <f>IFERROR(__xludf.DUMMYFUNCTION("""COMPUTED_VALUE"""),7.086393381E9)</f>
        <v>7086393381</v>
      </c>
      <c r="I912" s="93" t="str">
        <f>IFERROR(__xludf.DUMMYFUNCTION("""COMPUTED_VALUE"""),"9AM-11AM")</f>
        <v>9AM-11AM</v>
      </c>
      <c r="J912" s="93">
        <f>IFERROR(__xludf.DUMMYFUNCTION("""COMPUTED_VALUE"""),1.0)</f>
        <v>1</v>
      </c>
      <c r="K912" s="93" t="str">
        <f>IFERROR(__xludf.DUMMYFUNCTION("""COMPUTED_VALUE"""),"Complete")</f>
        <v>Complete</v>
      </c>
      <c r="L912" s="93"/>
      <c r="M912" s="94">
        <f>IFERROR(__xludf.DUMMYFUNCTION("""COMPUTED_VALUE"""),46145.84890046297)</f>
        <v>46145.8489</v>
      </c>
      <c r="N912" s="93">
        <f>IFERROR(__xludf.DUMMYFUNCTION("""COMPUTED_VALUE"""),22.0)</f>
        <v>22</v>
      </c>
      <c r="O912" s="93"/>
      <c r="P912" s="93" t="str">
        <f>IFERROR(__xludf.DUMMYFUNCTION("""COMPUTED_VALUE"""),"Kit Delivery")</f>
        <v>Kit Delivery</v>
      </c>
      <c r="Q912" s="93"/>
      <c r="R912" s="93"/>
      <c r="S912" s="93" t="str">
        <f>IFERROR(__xludf.DUMMYFUNCTION("""COMPUTED_VALUE"""),"Dispatch_Images/KIT--17978.Photos.012221.jpg")</f>
        <v>Dispatch_Images/KIT--17978.Photos.012221.jpg</v>
      </c>
      <c r="T912" s="95">
        <f>IFERROR(__xludf.DUMMYFUNCTION("""COMPUTED_VALUE"""),46145.8518287037)</f>
        <v>46145.85183</v>
      </c>
      <c r="U912" s="93"/>
      <c r="V912" s="93"/>
      <c r="W912" s="93"/>
      <c r="X912" s="93"/>
      <c r="Y912" s="93"/>
      <c r="Z912" s="93"/>
    </row>
    <row r="913">
      <c r="A913" s="93" t="str">
        <f>IFERROR(__xludf.DUMMYFUNCTION("""COMPUTED_VALUE"""),"KIT-#17366")</f>
        <v>KIT-#17366</v>
      </c>
      <c r="B913" s="94">
        <f>IFERROR(__xludf.DUMMYFUNCTION("""COMPUTED_VALUE"""),46160.0)</f>
        <v>46160</v>
      </c>
      <c r="C913" s="93" t="str">
        <f>IFERROR(__xludf.DUMMYFUNCTION("""COMPUTED_VALUE"""),"Kit Delivery")</f>
        <v>Kit Delivery</v>
      </c>
      <c r="D913" s="93">
        <f>IFERROR(__xludf.DUMMYFUNCTION("""COMPUTED_VALUE"""),2.0)</f>
        <v>2</v>
      </c>
      <c r="E913" s="93" t="str">
        <f>IFERROR(__xludf.DUMMYFUNCTION("""COMPUTED_VALUE"""),"Off-Campus")</f>
        <v>Off-Campus</v>
      </c>
      <c r="F913" s="93"/>
      <c r="G913" s="93" t="str">
        <f>IFERROR(__xludf.DUMMYFUNCTION("""COMPUTED_VALUE"""),"Charlie Emanuel")</f>
        <v>Charlie Emanuel</v>
      </c>
      <c r="H913" s="93">
        <f>IFERROR(__xludf.DUMMYFUNCTION("""COMPUTED_VALUE"""),9.144670019E9)</f>
        <v>9144670019</v>
      </c>
      <c r="I913" s="93" t="str">
        <f>IFERROR(__xludf.DUMMYFUNCTION("""COMPUTED_VALUE"""),"9AM-11AM")</f>
        <v>9AM-11AM</v>
      </c>
      <c r="J913" s="93">
        <f>IFERROR(__xludf.DUMMYFUNCTION("""COMPUTED_VALUE"""),1.0)</f>
        <v>1</v>
      </c>
      <c r="K913" s="93" t="str">
        <f>IFERROR(__xludf.DUMMYFUNCTION("""COMPUTED_VALUE"""),"Complete")</f>
        <v>Complete</v>
      </c>
      <c r="L913" s="93"/>
      <c r="M913" s="94">
        <f>IFERROR(__xludf.DUMMYFUNCTION("""COMPUTED_VALUE"""),46148.772511574076)</f>
        <v>46148.77251</v>
      </c>
      <c r="N913" s="93">
        <f>IFERROR(__xludf.DUMMYFUNCTION("""COMPUTED_VALUE"""),21.0)</f>
        <v>21</v>
      </c>
      <c r="O913" s="93" t="str">
        <f>IFERROR(__xludf.DUMMYFUNCTION("""COMPUTED_VALUE"""),"Everly on the Loop
6105 Delmar Blvd
Apartment 815 B
St. Louis")</f>
        <v>Everly on the Loop
6105 Delmar Blvd
Apartment 815 B
St. Louis</v>
      </c>
      <c r="P913" s="93" t="str">
        <f>IFERROR(__xludf.DUMMYFUNCTION("""COMPUTED_VALUE"""),"Kit Delivery")</f>
        <v>Kit Delivery</v>
      </c>
      <c r="Q913" s="93"/>
      <c r="R913" s="93"/>
      <c r="S913" s="93" t="str">
        <f>IFERROR(__xludf.DUMMYFUNCTION("""COMPUTED_VALUE"""),"Dispatch_Images/KIT--17366.Photos.233221.jpg")</f>
        <v>Dispatch_Images/KIT--17366.Photos.233221.jpg</v>
      </c>
      <c r="T913" s="95">
        <f>IFERROR(__xludf.DUMMYFUNCTION("""COMPUTED_VALUE"""),46148.77542824074)</f>
        <v>46148.77543</v>
      </c>
      <c r="U913" s="93"/>
      <c r="V913" s="93"/>
      <c r="W913" s="93"/>
      <c r="X913" s="93"/>
      <c r="Y913" s="93"/>
      <c r="Z913" s="93"/>
    </row>
    <row r="914">
      <c r="A914" s="93" t="str">
        <f>IFERROR(__xludf.DUMMYFUNCTION("""COMPUTED_VALUE"""),"KIT-#18194")</f>
        <v>KIT-#18194</v>
      </c>
      <c r="B914" s="94">
        <f>IFERROR(__xludf.DUMMYFUNCTION("""COMPUTED_VALUE"""),46161.0)</f>
        <v>46161</v>
      </c>
      <c r="C914" s="93" t="str">
        <f>IFERROR(__xludf.DUMMYFUNCTION("""COMPUTED_VALUE"""),"Kit Delivery")</f>
        <v>Kit Delivery</v>
      </c>
      <c r="D914" s="93">
        <f>IFERROR(__xludf.DUMMYFUNCTION("""COMPUTED_VALUE"""),2.0)</f>
        <v>2</v>
      </c>
      <c r="E914" s="93" t="str">
        <f>IFERROR(__xludf.DUMMYFUNCTION("""COMPUTED_VALUE"""),"Village East")</f>
        <v>Village East</v>
      </c>
      <c r="F914" s="93" t="str">
        <f>IFERROR(__xludf.DUMMYFUNCTION("""COMPUTED_VALUE"""),"3111-A")</f>
        <v>3111-A</v>
      </c>
      <c r="G914" s="93" t="str">
        <f>IFERROR(__xludf.DUMMYFUNCTION("""COMPUTED_VALUE"""),"Nicole Briceno")</f>
        <v>Nicole Briceno</v>
      </c>
      <c r="H914" s="93" t="str">
        <f>IFERROR(__xludf.DUMMYFUNCTION("""COMPUTED_VALUE"""),"(407) 860-9158")</f>
        <v>(407) 860-9158</v>
      </c>
      <c r="I914" s="93" t="str">
        <f>IFERROR(__xludf.DUMMYFUNCTION("""COMPUTED_VALUE"""),"11AM-1PM")</f>
        <v>11AM-1PM</v>
      </c>
      <c r="J914" s="93">
        <f>IFERROR(__xludf.DUMMYFUNCTION("""COMPUTED_VALUE"""),2.0)</f>
        <v>2</v>
      </c>
      <c r="K914" s="93" t="str">
        <f>IFERROR(__xludf.DUMMYFUNCTION("""COMPUTED_VALUE"""),"Complete")</f>
        <v>Complete</v>
      </c>
      <c r="L914" s="93"/>
      <c r="M914" s="94">
        <f>IFERROR(__xludf.DUMMYFUNCTION("""COMPUTED_VALUE"""),46145.962905092594)</f>
        <v>46145.96291</v>
      </c>
      <c r="N914" s="93">
        <f>IFERROR(__xludf.DUMMYFUNCTION("""COMPUTED_VALUE"""),36.0)</f>
        <v>36</v>
      </c>
      <c r="O914" s="93" t="str">
        <f>IFERROR(__xludf.DUMMYFUNCTION("""COMPUTED_VALUE"""),"9612 Piccadilly Sky Way. Orlando FL 32827")</f>
        <v>9612 Piccadilly Sky Way. Orlando FL 32827</v>
      </c>
      <c r="P914" s="93" t="str">
        <f>IFERROR(__xludf.DUMMYFUNCTION("""COMPUTED_VALUE"""),"Kit Delivery")</f>
        <v>Kit Delivery</v>
      </c>
      <c r="Q914" s="93"/>
      <c r="R914" s="93"/>
      <c r="S914" s="93" t="str">
        <f>IFERROR(__xludf.DUMMYFUNCTION("""COMPUTED_VALUE"""),"Dispatch_Images/KIT--18194.Photos.040631.jpg")</f>
        <v>Dispatch_Images/KIT--18194.Photos.040631.jpg</v>
      </c>
      <c r="T914" s="95">
        <f>IFERROR(__xludf.DUMMYFUNCTION("""COMPUTED_VALUE"""),46145.96293981482)</f>
        <v>46145.96294</v>
      </c>
      <c r="U914" s="93"/>
      <c r="V914" s="93"/>
      <c r="W914" s="93"/>
      <c r="X914" s="93"/>
      <c r="Y914" s="93"/>
      <c r="Z914" s="93"/>
    </row>
    <row r="915">
      <c r="A915" s="93" t="str">
        <f>IFERROR(__xludf.DUMMYFUNCTION("""COMPUTED_VALUE"""),"KIT-#17066")</f>
        <v>KIT-#17066</v>
      </c>
      <c r="B915" s="94">
        <f>IFERROR(__xludf.DUMMYFUNCTION("""COMPUTED_VALUE"""),46162.0)</f>
        <v>46162</v>
      </c>
      <c r="C915" s="93" t="str">
        <f>IFERROR(__xludf.DUMMYFUNCTION("""COMPUTED_VALUE"""),"Kit Delivery")</f>
        <v>Kit Delivery</v>
      </c>
      <c r="D915" s="93">
        <f>IFERROR(__xludf.DUMMYFUNCTION("""COMPUTED_VALUE"""),2.0)</f>
        <v>2</v>
      </c>
      <c r="E915" s="93" t="str">
        <f>IFERROR(__xludf.DUMMYFUNCTION("""COMPUTED_VALUE"""),"6057 Waterman")</f>
        <v>6057 Waterman</v>
      </c>
      <c r="F915" s="93" t="str">
        <f>IFERROR(__xludf.DUMMYFUNCTION("""COMPUTED_VALUE"""),"3s-b")</f>
        <v>3s-b</v>
      </c>
      <c r="G915" s="93" t="str">
        <f>IFERROR(__xludf.DUMMYFUNCTION("""COMPUTED_VALUE"""),"Kishiro Goto")</f>
        <v>Kishiro Goto</v>
      </c>
      <c r="H915" s="93">
        <f>IFERROR(__xludf.DUMMYFUNCTION("""COMPUTED_VALUE"""),5.153375274E9)</f>
        <v>5153375274</v>
      </c>
      <c r="I915" s="93" t="str">
        <f>IFERROR(__xludf.DUMMYFUNCTION("""COMPUTED_VALUE"""),"3PM-5PM")</f>
        <v>3PM-5PM</v>
      </c>
      <c r="J915" s="93">
        <f>IFERROR(__xludf.DUMMYFUNCTION("""COMPUTED_VALUE"""),2.0)</f>
        <v>2</v>
      </c>
      <c r="K915" s="93" t="str">
        <f>IFERROR(__xludf.DUMMYFUNCTION("""COMPUTED_VALUE"""),"Complete")</f>
        <v>Complete</v>
      </c>
      <c r="L915" s="93"/>
      <c r="M915" s="94">
        <f>IFERROR(__xludf.DUMMYFUNCTION("""COMPUTED_VALUE"""),46137.71350694445)</f>
        <v>46137.71351</v>
      </c>
      <c r="N915" s="93">
        <f>IFERROR(__xludf.DUMMYFUNCTION("""COMPUTED_VALUE"""),255.0)</f>
        <v>255</v>
      </c>
      <c r="O915" s="93"/>
      <c r="P915" s="93" t="str">
        <f>IFERROR(__xludf.DUMMYFUNCTION("""COMPUTED_VALUE"""),"Kit Delivery")</f>
        <v>Kit Delivery</v>
      </c>
      <c r="Q915" s="93"/>
      <c r="R915" s="93"/>
      <c r="S915" s="93" t="str">
        <f>IFERROR(__xludf.DUMMYFUNCTION("""COMPUTED_VALUE"""),"Dispatch_Images/KIT--17066.Photos.220724.jpg")</f>
        <v>Dispatch_Images/KIT--17066.Photos.220724.jpg</v>
      </c>
      <c r="T915" s="95">
        <f>IFERROR(__xludf.DUMMYFUNCTION("""COMPUTED_VALUE"""),46137.71739583334)</f>
        <v>46137.7174</v>
      </c>
      <c r="U915" s="93"/>
      <c r="V915" s="93"/>
      <c r="W915" s="93"/>
      <c r="X915" s="93"/>
      <c r="Y915" s="93"/>
      <c r="Z915" s="93"/>
    </row>
    <row r="916">
      <c r="A916" s="93" t="str">
        <f>IFERROR(__xludf.DUMMYFUNCTION("""COMPUTED_VALUE"""),"KIT-#18230")</f>
        <v>KIT-#18230</v>
      </c>
      <c r="B916" s="94">
        <f>IFERROR(__xludf.DUMMYFUNCTION("""COMPUTED_VALUE"""),46162.0)</f>
        <v>46162</v>
      </c>
      <c r="C916" s="93" t="str">
        <f>IFERROR(__xludf.DUMMYFUNCTION("""COMPUTED_VALUE"""),"Kit Delivery")</f>
        <v>Kit Delivery</v>
      </c>
      <c r="D916" s="93">
        <f>IFERROR(__xludf.DUMMYFUNCTION("""COMPUTED_VALUE"""),2.0)</f>
        <v>2</v>
      </c>
      <c r="E916" s="93" t="str">
        <f>IFERROR(__xludf.DUMMYFUNCTION("""COMPUTED_VALUE"""),"Koenig")</f>
        <v>Koenig</v>
      </c>
      <c r="F916" s="93">
        <f>IFERROR(__xludf.DUMMYFUNCTION("""COMPUTED_VALUE"""),4412.0)</f>
        <v>4412</v>
      </c>
      <c r="G916" s="93" t="str">
        <f>IFERROR(__xludf.DUMMYFUNCTION("""COMPUTED_VALUE"""),"Jeremy Sieben")</f>
        <v>Jeremy Sieben</v>
      </c>
      <c r="H916" s="93">
        <f>IFERROR(__xludf.DUMMYFUNCTION("""COMPUTED_VALUE"""),6.267311037E9)</f>
        <v>6267311037</v>
      </c>
      <c r="I916" s="93" t="str">
        <f>IFERROR(__xludf.DUMMYFUNCTION("""COMPUTED_VALUE"""),"9AM-11AM")</f>
        <v>9AM-11AM</v>
      </c>
      <c r="J916" s="93">
        <f>IFERROR(__xludf.DUMMYFUNCTION("""COMPUTED_VALUE"""),1.0)</f>
        <v>1</v>
      </c>
      <c r="K916" s="93" t="str">
        <f>IFERROR(__xludf.DUMMYFUNCTION("""COMPUTED_VALUE"""),"Complete")</f>
        <v>Complete</v>
      </c>
      <c r="L916" s="93"/>
      <c r="M916" s="94">
        <f>IFERROR(__xludf.DUMMYFUNCTION("""COMPUTED_VALUE"""),46146.75231481482)</f>
        <v>46146.75231</v>
      </c>
      <c r="N916" s="93">
        <f>IFERROR(__xludf.DUMMYFUNCTION("""COMPUTED_VALUE"""),6.0)</f>
        <v>6</v>
      </c>
      <c r="O916" s="93"/>
      <c r="P916" s="93" t="str">
        <f>IFERROR(__xludf.DUMMYFUNCTION("""COMPUTED_VALUE"""),"Kit Delivery")</f>
        <v>Kit Delivery</v>
      </c>
      <c r="Q916" s="93"/>
      <c r="R916" s="93"/>
      <c r="S916" s="93" t="str">
        <f>IFERROR(__xludf.DUMMYFUNCTION("""COMPUTED_VALUE"""),"Dispatch_Images/KIT--18230.Photos.230317.jpg")</f>
        <v>Dispatch_Images/KIT--18230.Photos.230317.jpg</v>
      </c>
      <c r="T916" s="95">
        <f>IFERROR(__xludf.DUMMYFUNCTION("""COMPUTED_VALUE"""),46146.754594907405)</f>
        <v>46146.75459</v>
      </c>
      <c r="U916" s="93"/>
      <c r="V916" s="93"/>
      <c r="W916" s="93"/>
      <c r="X916" s="93"/>
      <c r="Y916" s="93"/>
      <c r="Z916" s="93"/>
    </row>
    <row r="917">
      <c r="A917" s="93" t="str">
        <f>IFERROR(__xludf.DUMMYFUNCTION("""COMPUTED_VALUE"""),"KIT-#17393")</f>
        <v>KIT-#17393</v>
      </c>
      <c r="B917" s="94">
        <f>IFERROR(__xludf.DUMMYFUNCTION("""COMPUTED_VALUE"""),46163.0)</f>
        <v>46163</v>
      </c>
      <c r="C917" s="93" t="str">
        <f>IFERROR(__xludf.DUMMYFUNCTION("""COMPUTED_VALUE"""),"Kit Delivery")</f>
        <v>Kit Delivery</v>
      </c>
      <c r="D917" s="93">
        <f>IFERROR(__xludf.DUMMYFUNCTION("""COMPUTED_VALUE"""),2.0)</f>
        <v>2</v>
      </c>
      <c r="E917" s="93" t="str">
        <f>IFERROR(__xludf.DUMMYFUNCTION("""COMPUTED_VALUE"""),"Off-Campus")</f>
        <v>Off-Campus</v>
      </c>
      <c r="F917" s="93"/>
      <c r="G917" s="93" t="str">
        <f>IFERROR(__xludf.DUMMYFUNCTION("""COMPUTED_VALUE"""),"Jenna Fields")</f>
        <v>Jenna Fields</v>
      </c>
      <c r="H917" s="93">
        <f>IFERROR(__xludf.DUMMYFUNCTION("""COMPUTED_VALUE"""),2.404178083E9)</f>
        <v>2404178083</v>
      </c>
      <c r="I917" s="93" t="str">
        <f>IFERROR(__xludf.DUMMYFUNCTION("""COMPUTED_VALUE"""),"12PM-2PM")</f>
        <v>12PM-2PM</v>
      </c>
      <c r="J917" s="93">
        <f>IFERROR(__xludf.DUMMYFUNCTION("""COMPUTED_VALUE"""),1.0)</f>
        <v>1</v>
      </c>
      <c r="K917" s="93" t="str">
        <f>IFERROR(__xludf.DUMMYFUNCTION("""COMPUTED_VALUE"""),"Complete")</f>
        <v>Complete</v>
      </c>
      <c r="L917" s="93"/>
      <c r="M917" s="94">
        <f>IFERROR(__xludf.DUMMYFUNCTION("""COMPUTED_VALUE"""),46152.82325231482)</f>
        <v>46152.82325</v>
      </c>
      <c r="N917" s="93">
        <f>IFERROR(__xludf.DUMMYFUNCTION("""COMPUTED_VALUE"""),14.0)</f>
        <v>14</v>
      </c>
      <c r="O917" s="93" t="str">
        <f>IFERROR(__xludf.DUMMYFUNCTION("""COMPUTED_VALUE"""),"7218 Forsyth Blvd 1W
 St Louis, Mo 63105")</f>
        <v>7218 Forsyth Blvd 1W
 St Louis, Mo 63105</v>
      </c>
      <c r="P917" s="93" t="str">
        <f>IFERROR(__xludf.DUMMYFUNCTION("""COMPUTED_VALUE"""),"Kit Delivery")</f>
        <v>Kit Delivery</v>
      </c>
      <c r="Q917" s="93"/>
      <c r="R917" s="93"/>
      <c r="S917" s="93" t="str">
        <f>IFERROR(__xludf.DUMMYFUNCTION("""COMPUTED_VALUE"""),"Dispatch_Images/KIT--17393.Photos.004526.jpg")</f>
        <v>Dispatch_Images/KIT--17393.Photos.004526.jpg</v>
      </c>
      <c r="T917" s="95">
        <f>IFERROR(__xludf.DUMMYFUNCTION("""COMPUTED_VALUE"""),46152.8240625)</f>
        <v>46152.82406</v>
      </c>
      <c r="U917" s="93"/>
      <c r="V917" s="93"/>
      <c r="W917" s="93"/>
      <c r="X917" s="93"/>
      <c r="Y917" s="93"/>
      <c r="Z917" s="93"/>
    </row>
    <row r="918">
      <c r="A918" s="93" t="str">
        <f>IFERROR(__xludf.DUMMYFUNCTION("""COMPUTED_VALUE"""),"KIT-#18363")</f>
        <v>KIT-#18363</v>
      </c>
      <c r="B918" s="94">
        <f>IFERROR(__xludf.DUMMYFUNCTION("""COMPUTED_VALUE"""),46164.0)</f>
        <v>46164</v>
      </c>
      <c r="C918" s="93" t="str">
        <f>IFERROR(__xludf.DUMMYFUNCTION("""COMPUTED_VALUE"""),"Kit Delivery")</f>
        <v>Kit Delivery</v>
      </c>
      <c r="D918" s="93">
        <f>IFERROR(__xludf.DUMMYFUNCTION("""COMPUTED_VALUE"""),2.0)</f>
        <v>2</v>
      </c>
      <c r="E918" s="93" t="str">
        <f>IFERROR(__xludf.DUMMYFUNCTION("""COMPUTED_VALUE"""),"Off-Campus")</f>
        <v>Off-Campus</v>
      </c>
      <c r="F918" s="93"/>
      <c r="G918" s="93" t="str">
        <f>IFERROR(__xludf.DUMMYFUNCTION("""COMPUTED_VALUE"""),"Bruce Shen")</f>
        <v>Bruce Shen</v>
      </c>
      <c r="H918" s="93">
        <f>IFERROR(__xludf.DUMMYFUNCTION("""COMPUTED_VALUE"""),3.148659086E9)</f>
        <v>3148659086</v>
      </c>
      <c r="I918" s="93" t="str">
        <f>IFERROR(__xludf.DUMMYFUNCTION("""COMPUTED_VALUE"""),"1PM-3PM")</f>
        <v>1PM-3PM</v>
      </c>
      <c r="J918" s="93">
        <f>IFERROR(__xludf.DUMMYFUNCTION("""COMPUTED_VALUE"""),1.0)</f>
        <v>1</v>
      </c>
      <c r="K918" s="93" t="str">
        <f>IFERROR(__xludf.DUMMYFUNCTION("""COMPUTED_VALUE"""),"Complete")</f>
        <v>Complete</v>
      </c>
      <c r="L918" s="93"/>
      <c r="M918" s="94">
        <f>IFERROR(__xludf.DUMMYFUNCTION("""COMPUTED_VALUE"""),46152.81302083333)</f>
        <v>46152.81302</v>
      </c>
      <c r="N918" s="93">
        <f>IFERROR(__xludf.DUMMYFUNCTION("""COMPUTED_VALUE"""),32.0)</f>
        <v>32</v>
      </c>
      <c r="O918" s="93" t="str">
        <f>IFERROR(__xludf.DUMMYFUNCTION("""COMPUTED_VALUE"""),"725 Kingsland Ave Apt 317")</f>
        <v>725 Kingsland Ave Apt 317</v>
      </c>
      <c r="P918" s="93" t="str">
        <f>IFERROR(__xludf.DUMMYFUNCTION("""COMPUTED_VALUE"""),"Kit Delivery")</f>
        <v>Kit Delivery</v>
      </c>
      <c r="Q918" s="93" t="str">
        <f>IFERROR(__xludf.DUMMYFUNCTION("""COMPUTED_VALUE"""),"The ""Ship To Address"" is not determined yet. It will be determined over the summer and I will update the address. It is roughly near Princeton University, NJ")</f>
        <v>The "Ship To Address" is not determined yet. It will be determined over the summer and I will update the address. It is roughly near Princeton University, NJ</v>
      </c>
      <c r="R918" s="93"/>
      <c r="S918" s="93" t="str">
        <f>IFERROR(__xludf.DUMMYFUNCTION("""COMPUTED_VALUE"""),"Dispatch_Images/KIT--18363.Photos.003042.jpg")</f>
        <v>Dispatch_Images/KIT--18363.Photos.003042.jpg</v>
      </c>
      <c r="T918" s="95">
        <f>IFERROR(__xludf.DUMMYFUNCTION("""COMPUTED_VALUE"""),46152.81710648148)</f>
        <v>46152.81711</v>
      </c>
      <c r="U918" s="93"/>
      <c r="V918" s="93"/>
      <c r="W918" s="93"/>
      <c r="X918" s="93"/>
      <c r="Y918" s="93"/>
      <c r="Z918" s="93"/>
    </row>
    <row r="919">
      <c r="A919" s="93" t="str">
        <f>IFERROR(__xludf.DUMMYFUNCTION("""COMPUTED_VALUE"""),"KIT-#17601")</f>
        <v>KIT-#17601</v>
      </c>
      <c r="B919" s="94">
        <f>IFERROR(__xludf.DUMMYFUNCTION("""COMPUTED_VALUE"""),46164.0)</f>
        <v>46164</v>
      </c>
      <c r="C919" s="93" t="str">
        <f>IFERROR(__xludf.DUMMYFUNCTION("""COMPUTED_VALUE"""),"Kit Delivery")</f>
        <v>Kit Delivery</v>
      </c>
      <c r="D919" s="93">
        <f>IFERROR(__xludf.DUMMYFUNCTION("""COMPUTED_VALUE"""),2.0)</f>
        <v>2</v>
      </c>
      <c r="E919" s="93" t="str">
        <f>IFERROR(__xludf.DUMMYFUNCTION("""COMPUTED_VALUE"""),"Off-Campus")</f>
        <v>Off-Campus</v>
      </c>
      <c r="F919" s="93"/>
      <c r="G919" s="93" t="str">
        <f>IFERROR(__xludf.DUMMYFUNCTION("""COMPUTED_VALUE"""),"Jenna Fields")</f>
        <v>Jenna Fields</v>
      </c>
      <c r="H919" s="93">
        <f>IFERROR(__xludf.DUMMYFUNCTION("""COMPUTED_VALUE"""),1.2404178083E10)</f>
        <v>12404178083</v>
      </c>
      <c r="I919" s="93" t="str">
        <f>IFERROR(__xludf.DUMMYFUNCTION("""COMPUTED_VALUE"""),"3PM-5PM")</f>
        <v>3PM-5PM</v>
      </c>
      <c r="J919" s="93">
        <f>IFERROR(__xludf.DUMMYFUNCTION("""COMPUTED_VALUE"""),1.0)</f>
        <v>1</v>
      </c>
      <c r="K919" s="93" t="str">
        <f>IFERROR(__xludf.DUMMYFUNCTION("""COMPUTED_VALUE"""),"Complete")</f>
        <v>Complete</v>
      </c>
      <c r="L919" s="93"/>
      <c r="M919" s="94">
        <f>IFERROR(__xludf.DUMMYFUNCTION("""COMPUTED_VALUE"""),46152.82365740741)</f>
        <v>46152.82366</v>
      </c>
      <c r="N919" s="93">
        <f>IFERROR(__xludf.DUMMYFUNCTION("""COMPUTED_VALUE"""),20.0)</f>
        <v>20</v>
      </c>
      <c r="O919" s="93" t="str">
        <f>IFERROR(__xludf.DUMMYFUNCTION("""COMPUTED_VALUE"""),"7218 Forsyth Blvd 1W
St. Louis, MO 63105")</f>
        <v>7218 Forsyth Blvd 1W
St. Louis, MO 63105</v>
      </c>
      <c r="P919" s="93" t="str">
        <f>IFERROR(__xludf.DUMMYFUNCTION("""COMPUTED_VALUE"""),"Kit Delivery")</f>
        <v>Kit Delivery</v>
      </c>
      <c r="Q919" s="93"/>
      <c r="R919" s="93"/>
      <c r="S919" s="93" t="str">
        <f>IFERROR(__xludf.DUMMYFUNCTION("""COMPUTED_VALUE"""),"Dispatch_Images/KIT--17601.Photos.004601.jpg")</f>
        <v>Dispatch_Images/KIT--17601.Photos.004601.jpg</v>
      </c>
      <c r="T919" s="95">
        <f>IFERROR(__xludf.DUMMYFUNCTION("""COMPUTED_VALUE"""),46152.8240625)</f>
        <v>46152.82406</v>
      </c>
      <c r="U919" s="93"/>
      <c r="V919" s="93"/>
      <c r="W919" s="93"/>
      <c r="X919" s="93"/>
      <c r="Y919" s="93"/>
      <c r="Z919" s="93"/>
    </row>
    <row r="920">
      <c r="A920" s="93" t="str">
        <f>IFERROR(__xludf.DUMMYFUNCTION("""COMPUTED_VALUE"""),"KIT-#17167")</f>
        <v>KIT-#17167</v>
      </c>
      <c r="B920" s="94">
        <f>IFERROR(__xludf.DUMMYFUNCTION("""COMPUTED_VALUE"""),46160.0)</f>
        <v>46160</v>
      </c>
      <c r="C920" s="93" t="str">
        <f>IFERROR(__xludf.DUMMYFUNCTION("""COMPUTED_VALUE"""),"Kit Delivery")</f>
        <v>Kit Delivery</v>
      </c>
      <c r="D920" s="93">
        <f>IFERROR(__xludf.DUMMYFUNCTION("""COMPUTED_VALUE"""),1.0)</f>
        <v>1</v>
      </c>
      <c r="E920" s="93" t="str">
        <f>IFERROR(__xludf.DUMMYFUNCTION("""COMPUTED_VALUE"""),"Off-Campus")</f>
        <v>Off-Campus</v>
      </c>
      <c r="F920" s="93"/>
      <c r="G920" s="93" t="str">
        <f>IFERROR(__xludf.DUMMYFUNCTION("""COMPUTED_VALUE"""),"Carly Mallah")</f>
        <v>Carly Mallah</v>
      </c>
      <c r="H920" s="93" t="str">
        <f>IFERROR(__xludf.DUMMYFUNCTION("""COMPUTED_VALUE"""),"(917) 921-7228")</f>
        <v>(917) 921-7228</v>
      </c>
      <c r="I920" s="93" t="str">
        <f>IFERROR(__xludf.DUMMYFUNCTION("""COMPUTED_VALUE"""),"11:00 AM to 01:00 PM")</f>
        <v>11:00 AM to 01:00 PM</v>
      </c>
      <c r="J920" s="93">
        <f>IFERROR(__xludf.DUMMYFUNCTION("""COMPUTED_VALUE"""),1.0)</f>
        <v>1</v>
      </c>
      <c r="K920" s="93" t="str">
        <f>IFERROR(__xludf.DUMMYFUNCTION("""COMPUTED_VALUE"""),"Complete")</f>
        <v>Complete</v>
      </c>
      <c r="L920" s="93"/>
      <c r="M920" s="94">
        <f>IFERROR(__xludf.DUMMYFUNCTION("""COMPUTED_VALUE"""),46153.783321759256)</f>
        <v>46153.78332</v>
      </c>
      <c r="N920" s="93">
        <f>IFERROR(__xludf.DUMMYFUNCTION("""COMPUTED_VALUE"""),1296.0)</f>
        <v>1296</v>
      </c>
      <c r="O920" s="93" t="str">
        <f>IFERROR(__xludf.DUMMYFUNCTION("""COMPUTED_VALUE"""),"6843 Kingsbury Blvd, St. Louis, MO 63130.  Apartment 1E")</f>
        <v>6843 Kingsbury Blvd, St. Louis, MO 63130.  Apartment 1E</v>
      </c>
      <c r="P920" s="93" t="str">
        <f>IFERROR(__xludf.DUMMYFUNCTION("""COMPUTED_VALUE"""),"Home Shipping")</f>
        <v>Home Shipping</v>
      </c>
      <c r="Q920" s="93"/>
      <c r="R920" s="93"/>
      <c r="S920" s="93"/>
      <c r="T920" s="95">
        <f>IFERROR(__xludf.DUMMYFUNCTION("""COMPUTED_VALUE"""),46153.78931712963)</f>
        <v>46153.78932</v>
      </c>
      <c r="U920" s="93"/>
      <c r="V920" s="93"/>
      <c r="W920" s="93"/>
      <c r="X920" s="93"/>
      <c r="Y920" s="93"/>
      <c r="Z920" s="93"/>
    </row>
    <row r="921">
      <c r="A921" s="93" t="str">
        <f>IFERROR(__xludf.DUMMYFUNCTION("""COMPUTED_VALUE"""),"KIT-#17312")</f>
        <v>KIT-#17312</v>
      </c>
      <c r="B921" s="94">
        <f>IFERROR(__xludf.DUMMYFUNCTION("""COMPUTED_VALUE"""),46160.0)</f>
        <v>46160</v>
      </c>
      <c r="C921" s="93" t="str">
        <f>IFERROR(__xludf.DUMMYFUNCTION("""COMPUTED_VALUE"""),"Kit Delivery")</f>
        <v>Kit Delivery</v>
      </c>
      <c r="D921" s="93">
        <f>IFERROR(__xludf.DUMMYFUNCTION("""COMPUTED_VALUE"""),1.0)</f>
        <v>1</v>
      </c>
      <c r="E921" s="93" t="str">
        <f>IFERROR(__xludf.DUMMYFUNCTION("""COMPUTED_VALUE"""),"Off-Campus")</f>
        <v>Off-Campus</v>
      </c>
      <c r="F921" s="93"/>
      <c r="G921" s="93" t="str">
        <f>IFERROR(__xludf.DUMMYFUNCTION("""COMPUTED_VALUE"""),"Nico McEvoy")</f>
        <v>Nico McEvoy</v>
      </c>
      <c r="H921" s="93">
        <f>IFERROR(__xludf.DUMMYFUNCTION("""COMPUTED_VALUE"""),9.175756966E9)</f>
        <v>9175756966</v>
      </c>
      <c r="I921" s="93" t="str">
        <f>IFERROR(__xludf.DUMMYFUNCTION("""COMPUTED_VALUE"""),"01:00 PM to 03:00 PM")</f>
        <v>01:00 PM to 03:00 PM</v>
      </c>
      <c r="J921" s="93">
        <f>IFERROR(__xludf.DUMMYFUNCTION("""COMPUTED_VALUE"""),2.0)</f>
        <v>2</v>
      </c>
      <c r="K921" s="93" t="str">
        <f>IFERROR(__xludf.DUMMYFUNCTION("""COMPUTED_VALUE"""),"Complete")</f>
        <v>Complete</v>
      </c>
      <c r="L921" s="93"/>
      <c r="M921" s="94">
        <f>IFERROR(__xludf.DUMMYFUNCTION("""COMPUTED_VALUE"""),46153.80976851852)</f>
        <v>46153.80977</v>
      </c>
      <c r="N921" s="93">
        <f>IFERROR(__xludf.DUMMYFUNCTION("""COMPUTED_VALUE"""),1310.0)</f>
        <v>1310</v>
      </c>
      <c r="O921" s="93" t="str">
        <f>IFERROR(__xludf.DUMMYFUNCTION("""COMPUTED_VALUE"""),"740 LELAND AVE, APT 2F ST LOUIS, MO 63130")</f>
        <v>740 LELAND AVE, APT 2F ST LOUIS, MO 63130</v>
      </c>
      <c r="P921" s="93" t="str">
        <f>IFERROR(__xludf.DUMMYFUNCTION("""COMPUTED_VALUE"""),"Home Shipping")</f>
        <v>Home Shipping</v>
      </c>
      <c r="Q921" s="93"/>
      <c r="R921" s="93"/>
      <c r="S921" s="93"/>
      <c r="T921" s="95">
        <f>IFERROR(__xludf.DUMMYFUNCTION("""COMPUTED_VALUE"""),46153.81015046296)</f>
        <v>46153.81015</v>
      </c>
      <c r="U921" s="93"/>
      <c r="V921" s="93"/>
      <c r="W921" s="93"/>
      <c r="X921" s="93"/>
      <c r="Y921" s="93"/>
      <c r="Z921" s="93"/>
    </row>
    <row r="922">
      <c r="A922" s="93" t="str">
        <f>IFERROR(__xludf.DUMMYFUNCTION("""COMPUTED_VALUE"""),"KIT-#17569")</f>
        <v>KIT-#17569</v>
      </c>
      <c r="B922" s="94">
        <f>IFERROR(__xludf.DUMMYFUNCTION("""COMPUTED_VALUE"""),46160.0)</f>
        <v>46160</v>
      </c>
      <c r="C922" s="93" t="str">
        <f>IFERROR(__xludf.DUMMYFUNCTION("""COMPUTED_VALUE"""),"Kit Delivery")</f>
        <v>Kit Delivery</v>
      </c>
      <c r="D922" s="93">
        <f>IFERROR(__xludf.DUMMYFUNCTION("""COMPUTED_VALUE"""),1.0)</f>
        <v>1</v>
      </c>
      <c r="E922" s="93" t="str">
        <f>IFERROR(__xludf.DUMMYFUNCTION("""COMPUTED_VALUE"""),"Off-Campus")</f>
        <v>Off-Campus</v>
      </c>
      <c r="F922" s="93"/>
      <c r="G922" s="93" t="str">
        <f>IFERROR(__xludf.DUMMYFUNCTION("""COMPUTED_VALUE"""),"Jacob Hoffman")</f>
        <v>Jacob Hoffman</v>
      </c>
      <c r="H922" s="93">
        <f>IFERROR(__xludf.DUMMYFUNCTION("""COMPUTED_VALUE"""),5.164580892E9)</f>
        <v>5164580892</v>
      </c>
      <c r="I922" s="93" t="str">
        <f>IFERROR(__xludf.DUMMYFUNCTION("""COMPUTED_VALUE"""),"09:00 AM to 11:00 AM")</f>
        <v>09:00 AM to 11:00 AM</v>
      </c>
      <c r="J922" s="93">
        <f>IFERROR(__xludf.DUMMYFUNCTION("""COMPUTED_VALUE"""),1.0)</f>
        <v>1</v>
      </c>
      <c r="K922" s="93" t="str">
        <f>IFERROR(__xludf.DUMMYFUNCTION("""COMPUTED_VALUE"""),"Complete")</f>
        <v>Complete</v>
      </c>
      <c r="L922" s="93"/>
      <c r="M922" s="94">
        <f>IFERROR(__xludf.DUMMYFUNCTION("""COMPUTED_VALUE"""),46153.80927083333)</f>
        <v>46153.80927</v>
      </c>
      <c r="N922" s="93">
        <f>IFERROR(__xludf.DUMMYFUNCTION("""COMPUTED_VALUE"""),1333.0)</f>
        <v>1333</v>
      </c>
      <c r="O922" s="93" t="str">
        <f>IFERROR(__xludf.DUMMYFUNCTION("""COMPUTED_VALUE"""),"739 Leland Ave Apt #1
St. Louis, MO 63130")</f>
        <v>739 Leland Ave Apt #1
St. Louis, MO 63130</v>
      </c>
      <c r="P922" s="93" t="str">
        <f>IFERROR(__xludf.DUMMYFUNCTION("""COMPUTED_VALUE"""),"Home Shipping")</f>
        <v>Home Shipping</v>
      </c>
      <c r="Q922" s="93" t="str">
        <f>IFERROR(__xludf.DUMMYFUNCTION("""COMPUTED_VALUE"""),"Student is leaving St. Louis by plane on pick up day.  He needs to leave for the airport at 12:00.  Please make sure his boxes are picked up in the delivery time frame or contact him to make arrangements.")</f>
        <v>Student is leaving St. Louis by plane on pick up day.  He needs to leave for the airport at 12:00.  Please make sure his boxes are picked up in the delivery time frame or contact him to make arrangements.</v>
      </c>
      <c r="R922" s="93"/>
      <c r="S922" s="93"/>
      <c r="T922" s="95">
        <f>IFERROR(__xludf.DUMMYFUNCTION("""COMPUTED_VALUE"""),46153.81015046296)</f>
        <v>46153.81015</v>
      </c>
      <c r="U922" s="93"/>
      <c r="V922" s="93"/>
      <c r="W922" s="93"/>
      <c r="X922" s="93"/>
      <c r="Y922" s="93"/>
      <c r="Z922" s="93"/>
    </row>
    <row r="923">
      <c r="A923" s="93" t="str">
        <f>IFERROR(__xludf.DUMMYFUNCTION("""COMPUTED_VALUE"""),"KIT-#18383")</f>
        <v>KIT-#18383</v>
      </c>
      <c r="B923" s="94">
        <f>IFERROR(__xludf.DUMMYFUNCTION("""COMPUTED_VALUE"""),46155.0)</f>
        <v>46155</v>
      </c>
      <c r="C923" s="93" t="str">
        <f>IFERROR(__xludf.DUMMYFUNCTION("""COMPUTED_VALUE"""),"Kit Delivery")</f>
        <v>Kit Delivery</v>
      </c>
      <c r="D923" s="93">
        <f>IFERROR(__xludf.DUMMYFUNCTION("""COMPUTED_VALUE"""),1.0)</f>
        <v>1</v>
      </c>
      <c r="E923" s="93" t="str">
        <f>IFERROR(__xludf.DUMMYFUNCTION("""COMPUTED_VALUE"""),"Lopata")</f>
        <v>Lopata</v>
      </c>
      <c r="F923" s="93">
        <f>IFERROR(__xludf.DUMMYFUNCTION("""COMPUTED_VALUE"""),3090.0)</f>
        <v>3090</v>
      </c>
      <c r="G923" s="93" t="str">
        <f>IFERROR(__xludf.DUMMYFUNCTION("""COMPUTED_VALUE"""),"Cara Satyr")</f>
        <v>Cara Satyr</v>
      </c>
      <c r="H923" s="93">
        <f>IFERROR(__xludf.DUMMYFUNCTION("""COMPUTED_VALUE"""),8.479771792E9)</f>
        <v>8479771792</v>
      </c>
      <c r="I923" s="93" t="str">
        <f>IFERROR(__xludf.DUMMYFUNCTION("""COMPUTED_VALUE"""),"9AM-11AM")</f>
        <v>9AM-11AM</v>
      </c>
      <c r="J923" s="93">
        <f>IFERROR(__xludf.DUMMYFUNCTION("""COMPUTED_VALUE"""),0.0)</f>
        <v>0</v>
      </c>
      <c r="K923" s="93" t="str">
        <f>IFERROR(__xludf.DUMMYFUNCTION("""COMPUTED_VALUE"""),"Complete")</f>
        <v>Complete</v>
      </c>
      <c r="L923" s="93"/>
      <c r="M923" s="93"/>
      <c r="N923" s="93">
        <f>IFERROR(__xludf.DUMMYFUNCTION("""COMPUTED_VALUE"""),1.0)</f>
        <v>1</v>
      </c>
      <c r="O923" s="93" t="str">
        <f>IFERROR(__xludf.DUMMYFUNCTION("""COMPUTED_VALUE"""),"665 Brierhill Road, Deerfield, Illinois, 60015")</f>
        <v>665 Brierhill Road, Deerfield, Illinois, 60015</v>
      </c>
      <c r="P923" s="93" t="str">
        <f>IFERROR(__xludf.DUMMYFUNCTION("""COMPUTED_VALUE"""),"Kit Delivery")</f>
        <v>Kit Delivery</v>
      </c>
      <c r="Q923" s="93"/>
      <c r="R923" s="93"/>
      <c r="S923" s="93"/>
      <c r="T923" s="95">
        <f>IFERROR(__xludf.DUMMYFUNCTION("""COMPUTED_VALUE"""),46154.88657407407)</f>
        <v>46154.88657</v>
      </c>
      <c r="U923" s="93"/>
      <c r="V923" s="93"/>
      <c r="W923" s="93"/>
      <c r="X923" s="93"/>
      <c r="Y923" s="93"/>
      <c r="Z923" s="93"/>
    </row>
    <row r="924">
      <c r="A924" s="93" t="str">
        <f>IFERROR(__xludf.DUMMYFUNCTION("""COMPUTED_VALUE"""),"KIT-#18378")</f>
        <v>KIT-#18378</v>
      </c>
      <c r="B924" s="94">
        <f>IFERROR(__xludf.DUMMYFUNCTION("""COMPUTED_VALUE"""),46155.0)</f>
        <v>46155</v>
      </c>
      <c r="C924" s="93" t="str">
        <f>IFERROR(__xludf.DUMMYFUNCTION("""COMPUTED_VALUE"""),"Kit Delivery")</f>
        <v>Kit Delivery</v>
      </c>
      <c r="D924" s="93">
        <f>IFERROR(__xludf.DUMMYFUNCTION("""COMPUTED_VALUE"""),1.0)</f>
        <v>1</v>
      </c>
      <c r="E924" s="93" t="str">
        <f>IFERROR(__xludf.DUMMYFUNCTION("""COMPUTED_VALUE"""),"Off-Campus")</f>
        <v>Off-Campus</v>
      </c>
      <c r="F924" s="93"/>
      <c r="G924" s="93" t="str">
        <f>IFERROR(__xludf.DUMMYFUNCTION("""COMPUTED_VALUE"""),"Edward")</f>
        <v>Edward</v>
      </c>
      <c r="H924" s="93">
        <f>IFERROR(__xludf.DUMMYFUNCTION("""COMPUTED_VALUE"""),5.125389368E9)</f>
        <v>5125389368</v>
      </c>
      <c r="I924" s="93" t="str">
        <f>IFERROR(__xludf.DUMMYFUNCTION("""COMPUTED_VALUE"""),"2PM-4PM")</f>
        <v>2PM-4PM</v>
      </c>
      <c r="J924" s="93">
        <f>IFERROR(__xludf.DUMMYFUNCTION("""COMPUTED_VALUE"""),0.0)</f>
        <v>0</v>
      </c>
      <c r="K924" s="93" t="str">
        <f>IFERROR(__xludf.DUMMYFUNCTION("""COMPUTED_VALUE"""),"Complete")</f>
        <v>Complete</v>
      </c>
      <c r="L924" s="93"/>
      <c r="M924" s="93"/>
      <c r="N924" s="93">
        <f>IFERROR(__xludf.DUMMYFUNCTION("""COMPUTED_VALUE"""),12.0)</f>
        <v>12</v>
      </c>
      <c r="O924" s="93" t="str">
        <f>IFERROR(__xludf.DUMMYFUNCTION("""COMPUTED_VALUE"""),"714 Leland Avenue, St. Louis, MO, 63130")</f>
        <v>714 Leland Avenue, St. Louis, MO, 63130</v>
      </c>
      <c r="P924" s="93" t="str">
        <f>IFERROR(__xludf.DUMMYFUNCTION("""COMPUTED_VALUE"""),"Kit Delivery")</f>
        <v>Kit Delivery</v>
      </c>
      <c r="Q924" s="93"/>
      <c r="R924" s="93"/>
      <c r="S924" s="93"/>
      <c r="T924" s="95">
        <f>IFERROR(__xludf.DUMMYFUNCTION("""COMPUTED_VALUE"""),46154.88657407407)</f>
        <v>46154.88657</v>
      </c>
      <c r="U924" s="93"/>
      <c r="V924" s="93"/>
      <c r="W924" s="93"/>
      <c r="X924" s="93"/>
      <c r="Y924" s="93"/>
      <c r="Z924" s="93"/>
    </row>
    <row r="925">
      <c r="A925" s="93" t="str">
        <f>IFERROR(__xludf.DUMMYFUNCTION("""COMPUTED_VALUE"""),"KIT-#17684")</f>
        <v>KIT-#17684</v>
      </c>
      <c r="B925" s="94">
        <f>IFERROR(__xludf.DUMMYFUNCTION("""COMPUTED_VALUE"""),46164.0)</f>
        <v>46164</v>
      </c>
      <c r="C925" s="93" t="str">
        <f>IFERROR(__xludf.DUMMYFUNCTION("""COMPUTED_VALUE"""),"Kit Delivery")</f>
        <v>Kit Delivery</v>
      </c>
      <c r="D925" s="93">
        <f>IFERROR(__xludf.DUMMYFUNCTION("""COMPUTED_VALUE"""),1.0)</f>
        <v>1</v>
      </c>
      <c r="E925" s="93" t="str">
        <f>IFERROR(__xludf.DUMMYFUNCTION("""COMPUTED_VALUE"""),"Off-Campus")</f>
        <v>Off-Campus</v>
      </c>
      <c r="F925" s="93"/>
      <c r="G925" s="93" t="str">
        <f>IFERROR(__xludf.DUMMYFUNCTION("""COMPUTED_VALUE"""),"Charlie Knowles")</f>
        <v>Charlie Knowles</v>
      </c>
      <c r="H925" s="93">
        <f>IFERROR(__xludf.DUMMYFUNCTION("""COMPUTED_VALUE"""),2.02577583E9)</f>
        <v>2025775830</v>
      </c>
      <c r="I925" s="93" t="str">
        <f>IFERROR(__xludf.DUMMYFUNCTION("""COMPUTED_VALUE"""),"11AM-1PM")</f>
        <v>11AM-1PM</v>
      </c>
      <c r="J925" s="93">
        <f>IFERROR(__xludf.DUMMYFUNCTION("""COMPUTED_VALUE"""),1.0)</f>
        <v>1</v>
      </c>
      <c r="K925" s="93" t="str">
        <f>IFERROR(__xludf.DUMMYFUNCTION("""COMPUTED_VALUE"""),"Complete")</f>
        <v>Complete</v>
      </c>
      <c r="L925" s="93"/>
      <c r="M925" s="94">
        <f>IFERROR(__xludf.DUMMYFUNCTION("""COMPUTED_VALUE"""),46156.432708333334)</f>
        <v>46156.43271</v>
      </c>
      <c r="N925" s="93">
        <f>IFERROR(__xludf.DUMMYFUNCTION("""COMPUTED_VALUE"""),6.0)</f>
        <v>6</v>
      </c>
      <c r="O925" s="93" t="str">
        <f>IFERROR(__xludf.DUMMYFUNCTION("""COMPUTED_VALUE"""),"6186 Waterman Blvd
Apt 2
St Louis, MO 63112")</f>
        <v>6186 Waterman Blvd
Apt 2
St Louis, MO 63112</v>
      </c>
      <c r="P925" s="93" t="str">
        <f>IFERROR(__xludf.DUMMYFUNCTION("""COMPUTED_VALUE"""),"Kit Delivery")</f>
        <v>Kit Delivery</v>
      </c>
      <c r="Q925" s="93" t="str">
        <f>IFERROR(__xludf.DUMMYFUNCTION("""COMPUTED_VALUE"""),"Please deliver packing supplies to Waterman Blvd Address week of 5/4.  Contact number 202 577 5830 with questions/delivery info.
Many thanks")</f>
        <v>Please deliver packing supplies to Waterman Blvd Address week of 5/4.  Contact number 202 577 5830 with questions/delivery info.
Many thanks</v>
      </c>
      <c r="R925" s="93"/>
      <c r="S925" s="93" t="str">
        <f>IFERROR(__xludf.DUMMYFUNCTION("""COMPUTED_VALUE"""),"Dispatch_Images/KIT--17684.Photos.151316.jpg")</f>
        <v>Dispatch_Images/KIT--17684.Photos.151316.jpg</v>
      </c>
      <c r="T925" s="95">
        <f>IFERROR(__xludf.DUMMYFUNCTION("""COMPUTED_VALUE"""),46156.435162037036)</f>
        <v>46156.43516</v>
      </c>
      <c r="U925" s="93"/>
      <c r="V925" s="93"/>
      <c r="W925" s="93"/>
      <c r="X925" s="93"/>
      <c r="Y925" s="93"/>
      <c r="Z925" s="93"/>
    </row>
    <row r="926">
      <c r="A926" s="93" t="str">
        <f>IFERROR(__xludf.DUMMYFUNCTION("""COMPUTED_VALUE"""),"KIT-#17693")</f>
        <v>KIT-#17693</v>
      </c>
      <c r="B926" s="94">
        <f>IFERROR(__xludf.DUMMYFUNCTION("""COMPUTED_VALUE"""),46160.0)</f>
        <v>46160</v>
      </c>
      <c r="C926" s="93" t="str">
        <f>IFERROR(__xludf.DUMMYFUNCTION("""COMPUTED_VALUE"""),"Kit Delivery")</f>
        <v>Kit Delivery</v>
      </c>
      <c r="D926" s="93">
        <f>IFERROR(__xludf.DUMMYFUNCTION("""COMPUTED_VALUE"""),1.0)</f>
        <v>1</v>
      </c>
      <c r="E926" s="93" t="str">
        <f>IFERROR(__xludf.DUMMYFUNCTION("""COMPUTED_VALUE"""),"Off-Campus")</f>
        <v>Off-Campus</v>
      </c>
      <c r="F926" s="93"/>
      <c r="G926" s="93" t="str">
        <f>IFERROR(__xludf.DUMMYFUNCTION("""COMPUTED_VALUE"""),"daniel gassenheimer")</f>
        <v>daniel gassenheimer</v>
      </c>
      <c r="H926" s="93">
        <f>IFERROR(__xludf.DUMMYFUNCTION("""COMPUTED_VALUE"""),5.162330138E9)</f>
        <v>5162330138</v>
      </c>
      <c r="I926" s="93" t="str">
        <f>IFERROR(__xludf.DUMMYFUNCTION("""COMPUTED_VALUE"""),"12PM-2PM")</f>
        <v>12PM-2PM</v>
      </c>
      <c r="J926" s="93">
        <f>IFERROR(__xludf.DUMMYFUNCTION("""COMPUTED_VALUE"""),1.0)</f>
        <v>1</v>
      </c>
      <c r="K926" s="93" t="str">
        <f>IFERROR(__xludf.DUMMYFUNCTION("""COMPUTED_VALUE"""),"Complete")</f>
        <v>Complete</v>
      </c>
      <c r="L926" s="93"/>
      <c r="M926" s="94">
        <f>IFERROR(__xludf.DUMMYFUNCTION("""COMPUTED_VALUE"""),46156.43408564814)</f>
        <v>46156.43409</v>
      </c>
      <c r="N926" s="93">
        <f>IFERROR(__xludf.DUMMYFUNCTION("""COMPUTED_VALUE"""),7.0)</f>
        <v>7</v>
      </c>
      <c r="O926" s="93" t="str">
        <f>IFERROR(__xludf.DUMMYFUNCTION("""COMPUTED_VALUE"""),"739 Leland Ave, #1, St. Louis, MO, 63130")</f>
        <v>739 Leland Ave, #1, St. Louis, MO, 63130</v>
      </c>
      <c r="P926" s="93" t="str">
        <f>IFERROR(__xludf.DUMMYFUNCTION("""COMPUTED_VALUE"""),"Kit Delivery")</f>
        <v>Kit Delivery</v>
      </c>
      <c r="Q926" s="93"/>
      <c r="R926" s="93"/>
      <c r="S926" s="93"/>
      <c r="T926" s="95">
        <f>IFERROR(__xludf.DUMMYFUNCTION("""COMPUTED_VALUE"""),46156.435162037036)</f>
        <v>46156.43516</v>
      </c>
      <c r="U926" s="93"/>
      <c r="V926" s="93"/>
      <c r="W926" s="93"/>
      <c r="X926" s="93"/>
      <c r="Y926" s="93"/>
      <c r="Z926" s="93"/>
    </row>
    <row r="927">
      <c r="A927" s="93" t="str">
        <f>IFERROR(__xludf.DUMMYFUNCTION("""COMPUTED_VALUE"""),"KIT-#18295")</f>
        <v>KIT-#18295</v>
      </c>
      <c r="B927" s="94">
        <f>IFERROR(__xludf.DUMMYFUNCTION("""COMPUTED_VALUE"""),46161.0)</f>
        <v>46161</v>
      </c>
      <c r="C927" s="93" t="str">
        <f>IFERROR(__xludf.DUMMYFUNCTION("""COMPUTED_VALUE"""),"Kit Delivery")</f>
        <v>Kit Delivery</v>
      </c>
      <c r="D927" s="93">
        <f>IFERROR(__xludf.DUMMYFUNCTION("""COMPUTED_VALUE"""),1.0)</f>
        <v>1</v>
      </c>
      <c r="E927" s="93" t="str">
        <f>IFERROR(__xludf.DUMMYFUNCTION("""COMPUTED_VALUE"""),"Off-Campus")</f>
        <v>Off-Campus</v>
      </c>
      <c r="F927" s="93"/>
      <c r="G927" s="93" t="str">
        <f>IFERROR(__xludf.DUMMYFUNCTION("""COMPUTED_VALUE"""),"Dillon Corsair")</f>
        <v>Dillon Corsair</v>
      </c>
      <c r="H927" s="93">
        <f>IFERROR(__xludf.DUMMYFUNCTION("""COMPUTED_VALUE"""),9.174146443E9)</f>
        <v>9174146443</v>
      </c>
      <c r="I927" s="93" t="str">
        <f>IFERROR(__xludf.DUMMYFUNCTION("""COMPUTED_VALUE"""),"11AM-1PM")</f>
        <v>11AM-1PM</v>
      </c>
      <c r="J927" s="93">
        <f>IFERROR(__xludf.DUMMYFUNCTION("""COMPUTED_VALUE"""),1.0)</f>
        <v>1</v>
      </c>
      <c r="K927" s="93" t="str">
        <f>IFERROR(__xludf.DUMMYFUNCTION("""COMPUTED_VALUE"""),"Complete")</f>
        <v>Complete</v>
      </c>
      <c r="L927" s="93"/>
      <c r="M927" s="94">
        <f>IFERROR(__xludf.DUMMYFUNCTION("""COMPUTED_VALUE"""),46156.43256944444)</f>
        <v>46156.43257</v>
      </c>
      <c r="N927" s="93">
        <f>IFERROR(__xludf.DUMMYFUNCTION("""COMPUTED_VALUE"""),12.0)</f>
        <v>12</v>
      </c>
      <c r="O927" s="93" t="str">
        <f>IFERROR(__xludf.DUMMYFUNCTION("""COMPUTED_VALUE"""),"6127 Waterman BLVD St Louis")</f>
        <v>6127 Waterman BLVD St Louis</v>
      </c>
      <c r="P927" s="93" t="str">
        <f>IFERROR(__xludf.DUMMYFUNCTION("""COMPUTED_VALUE"""),"Kit Delivery")</f>
        <v>Kit Delivery</v>
      </c>
      <c r="Q927" s="93"/>
      <c r="R927" s="93"/>
      <c r="S927" s="93" t="str">
        <f>IFERROR(__xludf.DUMMYFUNCTION("""COMPUTED_VALUE"""),"Dispatch_Images/KIT--18295.Photos.151842.jpg")</f>
        <v>Dispatch_Images/KIT--18295.Photos.151842.jpg</v>
      </c>
      <c r="T927" s="95">
        <f>IFERROR(__xludf.DUMMYFUNCTION("""COMPUTED_VALUE"""),46156.435162037036)</f>
        <v>46156.43516</v>
      </c>
      <c r="U927" s="93"/>
      <c r="V927" s="93"/>
      <c r="W927" s="93"/>
      <c r="X927" s="93"/>
      <c r="Y927" s="93"/>
      <c r="Z927" s="93"/>
    </row>
    <row r="928">
      <c r="A928" s="93" t="str">
        <f>IFERROR(__xludf.DUMMYFUNCTION("""COMPUTED_VALUE"""),"KIT-#18386")</f>
        <v>KIT-#18386</v>
      </c>
      <c r="B928" s="94">
        <f>IFERROR(__xludf.DUMMYFUNCTION("""COMPUTED_VALUE"""),46164.0)</f>
        <v>46164</v>
      </c>
      <c r="C928" s="93" t="str">
        <f>IFERROR(__xludf.DUMMYFUNCTION("""COMPUTED_VALUE"""),"Kit Delivery")</f>
        <v>Kit Delivery</v>
      </c>
      <c r="D928" s="93">
        <f>IFERROR(__xludf.DUMMYFUNCTION("""COMPUTED_VALUE"""),1.0)</f>
        <v>1</v>
      </c>
      <c r="E928" s="93" t="str">
        <f>IFERROR(__xludf.DUMMYFUNCTION("""COMPUTED_VALUE"""),"Off-Campus")</f>
        <v>Off-Campus</v>
      </c>
      <c r="F928" s="93"/>
      <c r="G928" s="93" t="str">
        <f>IFERROR(__xludf.DUMMYFUNCTION("""COMPUTED_VALUE"""),"Amaris Ninah")</f>
        <v>Amaris Ninah</v>
      </c>
      <c r="H928" s="93" t="str">
        <f>IFERROR(__xludf.DUMMYFUNCTION("""COMPUTED_VALUE"""),"(347) 680-6894")</f>
        <v>(347) 680-6894</v>
      </c>
      <c r="I928" s="93" t="str">
        <f>IFERROR(__xludf.DUMMYFUNCTION("""COMPUTED_VALUE"""),"10AM-12PM")</f>
        <v>10AM-12PM</v>
      </c>
      <c r="J928" s="93">
        <f>IFERROR(__xludf.DUMMYFUNCTION("""COMPUTED_VALUE"""),1.0)</f>
        <v>1</v>
      </c>
      <c r="K928" s="93" t="str">
        <f>IFERROR(__xludf.DUMMYFUNCTION("""COMPUTED_VALUE"""),"Complete")</f>
        <v>Complete</v>
      </c>
      <c r="L928" s="93"/>
      <c r="M928" s="94">
        <f>IFERROR(__xludf.DUMMYFUNCTION("""COMPUTED_VALUE"""),46156.43428240741)</f>
        <v>46156.43428</v>
      </c>
      <c r="N928" s="93">
        <f>IFERROR(__xludf.DUMMYFUNCTION("""COMPUTED_VALUE"""),15.0)</f>
        <v>15</v>
      </c>
      <c r="O928" s="93" t="str">
        <f>IFERROR(__xludf.DUMMYFUNCTION("""COMPUTED_VALUE"""),"5936 McPherson Ave Apt 2")</f>
        <v>5936 McPherson Ave Apt 2</v>
      </c>
      <c r="P928" s="93" t="str">
        <f>IFERROR(__xludf.DUMMYFUNCTION("""COMPUTED_VALUE"""),"Kit Delivery")</f>
        <v>Kit Delivery</v>
      </c>
      <c r="Q928" s="93"/>
      <c r="R928" s="93"/>
      <c r="S928" s="93" t="str">
        <f>IFERROR(__xludf.DUMMYFUNCTION("""COMPUTED_VALUE"""),"Dispatch_Images/KIT--18386.Photos.152421.jpg")</f>
        <v>Dispatch_Images/KIT--18386.Photos.152421.jpg</v>
      </c>
      <c r="T928" s="95">
        <f>IFERROR(__xludf.DUMMYFUNCTION("""COMPUTED_VALUE"""),46156.435162037036)</f>
        <v>46156.43516</v>
      </c>
      <c r="U928" s="93"/>
      <c r="V928" s="93"/>
      <c r="W928" s="93"/>
      <c r="X928" s="93"/>
      <c r="Y928" s="93"/>
      <c r="Z928" s="93"/>
    </row>
    <row r="929">
      <c r="A929" s="93" t="str">
        <f>IFERROR(__xludf.DUMMYFUNCTION("""COMPUTED_VALUE"""),"KIT-#18387")</f>
        <v>KIT-#18387</v>
      </c>
      <c r="B929" s="94">
        <f>IFERROR(__xludf.DUMMYFUNCTION("""COMPUTED_VALUE"""),46160.0)</f>
        <v>46160</v>
      </c>
      <c r="C929" s="93" t="str">
        <f>IFERROR(__xludf.DUMMYFUNCTION("""COMPUTED_VALUE"""),"Kit Delivery")</f>
        <v>Kit Delivery</v>
      </c>
      <c r="D929" s="93">
        <f>IFERROR(__xludf.DUMMYFUNCTION("""COMPUTED_VALUE"""),1.0)</f>
        <v>1</v>
      </c>
      <c r="E929" s="93" t="str">
        <f>IFERROR(__xludf.DUMMYFUNCTION("""COMPUTED_VALUE"""),"Off-Campus")</f>
        <v>Off-Campus</v>
      </c>
      <c r="F929" s="93"/>
      <c r="G929" s="93" t="str">
        <f>IFERROR(__xludf.DUMMYFUNCTION("""COMPUTED_VALUE"""),"Sarah Hershenhorn")</f>
        <v>Sarah Hershenhorn</v>
      </c>
      <c r="H929" s="93">
        <f>IFERROR(__xludf.DUMMYFUNCTION("""COMPUTED_VALUE"""),5.163982118E9)</f>
        <v>5163982118</v>
      </c>
      <c r="I929" s="93" t="str">
        <f>IFERROR(__xludf.DUMMYFUNCTION("""COMPUTED_VALUE"""),"9AM-11AM")</f>
        <v>9AM-11AM</v>
      </c>
      <c r="J929" s="93">
        <f>IFERROR(__xludf.DUMMYFUNCTION("""COMPUTED_VALUE"""),1.0)</f>
        <v>1</v>
      </c>
      <c r="K929" s="93" t="str">
        <f>IFERROR(__xludf.DUMMYFUNCTION("""COMPUTED_VALUE"""),"Complete")</f>
        <v>Complete</v>
      </c>
      <c r="L929" s="93"/>
      <c r="M929" s="94">
        <f>IFERROR(__xludf.DUMMYFUNCTION("""COMPUTED_VALUE"""),46156.43263888889)</f>
        <v>46156.43264</v>
      </c>
      <c r="N929" s="93">
        <f>IFERROR(__xludf.DUMMYFUNCTION("""COMPUTED_VALUE"""),16.0)</f>
        <v>16</v>
      </c>
      <c r="O929" s="93" t="str">
        <f>IFERROR(__xludf.DUMMYFUNCTION("""COMPUTED_VALUE"""),"6186 Waterman Boulevard, Floor 3 
St. Louis MO 63112")</f>
        <v>6186 Waterman Boulevard, Floor 3 
St. Louis MO 63112</v>
      </c>
      <c r="P929" s="93" t="str">
        <f>IFERROR(__xludf.DUMMYFUNCTION("""COMPUTED_VALUE"""),"Kit Delivery")</f>
        <v>Kit Delivery</v>
      </c>
      <c r="Q929" s="93"/>
      <c r="R929" s="93"/>
      <c r="S929" s="93" t="str">
        <f>IFERROR(__xludf.DUMMYFUNCTION("""COMPUTED_VALUE"""),"Dispatch_Images/KIT--18387.Photos.151511.jpg")</f>
        <v>Dispatch_Images/KIT--18387.Photos.151511.jpg</v>
      </c>
      <c r="T929" s="95">
        <f>IFERROR(__xludf.DUMMYFUNCTION("""COMPUTED_VALUE"""),46156.435162037036)</f>
        <v>46156.43516</v>
      </c>
      <c r="U929" s="93"/>
      <c r="V929" s="93"/>
      <c r="W929" s="93"/>
      <c r="X929" s="93"/>
      <c r="Y929" s="93"/>
      <c r="Z929" s="93"/>
    </row>
    <row r="930">
      <c r="A930" s="93" t="str">
        <f>IFERROR(__xludf.DUMMYFUNCTION("""COMPUTED_VALUE"""),"KIT-#18391")</f>
        <v>KIT-#18391</v>
      </c>
      <c r="B930" s="94">
        <f>IFERROR(__xludf.DUMMYFUNCTION("""COMPUTED_VALUE"""),46157.0)</f>
        <v>46157</v>
      </c>
      <c r="C930" s="93" t="str">
        <f>IFERROR(__xludf.DUMMYFUNCTION("""COMPUTED_VALUE"""),"Kit Delivery")</f>
        <v>Kit Delivery</v>
      </c>
      <c r="D930" s="93">
        <f>IFERROR(__xludf.DUMMYFUNCTION("""COMPUTED_VALUE"""),1.0)</f>
        <v>1</v>
      </c>
      <c r="E930" s="93" t="str">
        <f>IFERROR(__xludf.DUMMYFUNCTION("""COMPUTED_VALUE"""),"340 Rosedale")</f>
        <v>340 Rosedale</v>
      </c>
      <c r="F930" s="93" t="str">
        <f>IFERROR(__xludf.DUMMYFUNCTION("""COMPUTED_VALUE"""),"340-1N-B")</f>
        <v>340-1N-B</v>
      </c>
      <c r="G930" s="93" t="str">
        <f>IFERROR(__xludf.DUMMYFUNCTION("""COMPUTED_VALUE"""),"Chuhan Qiao")</f>
        <v>Chuhan Qiao</v>
      </c>
      <c r="H930" s="93">
        <f>IFERROR(__xludf.DUMMYFUNCTION("""COMPUTED_VALUE"""),5.577779605E9)</f>
        <v>5577779605</v>
      </c>
      <c r="I930" s="93" t="str">
        <f>IFERROR(__xludf.DUMMYFUNCTION("""COMPUTED_VALUE"""),"1PM-3PM")</f>
        <v>1PM-3PM</v>
      </c>
      <c r="J930" s="93">
        <f>IFERROR(__xludf.DUMMYFUNCTION("""COMPUTED_VALUE"""),0.0)</f>
        <v>0</v>
      </c>
      <c r="K930" s="93" t="str">
        <f>IFERROR(__xludf.DUMMYFUNCTION("""COMPUTED_VALUE"""),"Complete")</f>
        <v>Complete</v>
      </c>
      <c r="L930" s="93"/>
      <c r="M930" s="94">
        <f>IFERROR(__xludf.DUMMYFUNCTION("""COMPUTED_VALUE"""),46156.436261574076)</f>
        <v>46156.43626</v>
      </c>
      <c r="N930" s="93">
        <f>IFERROR(__xludf.DUMMYFUNCTION("""COMPUTED_VALUE"""),2.0)</f>
        <v>2</v>
      </c>
      <c r="O930" s="93"/>
      <c r="P930" s="93" t="str">
        <f>IFERROR(__xludf.DUMMYFUNCTION("""COMPUTED_VALUE"""),"Kit Delivery")</f>
        <v>Kit Delivery</v>
      </c>
      <c r="Q930" s="93"/>
      <c r="R930" s="93"/>
      <c r="S930" s="93" t="str">
        <f>IFERROR(__xludf.DUMMYFUNCTION("""COMPUTED_VALUE"""),"Dispatch_Images/KIT--18391.Photos.152810.jpg")</f>
        <v>Dispatch_Images/KIT--18391.Photos.152810.jpg</v>
      </c>
      <c r="T930" s="95">
        <f>IFERROR(__xludf.DUMMYFUNCTION("""COMPUTED_VALUE"""),46156.442094907405)</f>
        <v>46156.44209</v>
      </c>
      <c r="U930" s="93"/>
      <c r="V930" s="93"/>
      <c r="W930" s="93"/>
      <c r="X930" s="93"/>
      <c r="Y930" s="93"/>
      <c r="Z930" s="93"/>
    </row>
    <row r="931">
      <c r="A931" s="93" t="str">
        <f>IFERROR(__xludf.DUMMYFUNCTION("""COMPUTED_VALUE"""),"KIT-#18093")</f>
        <v>KIT-#18093</v>
      </c>
      <c r="B931" s="94">
        <f>IFERROR(__xludf.DUMMYFUNCTION("""COMPUTED_VALUE"""),46164.0)</f>
        <v>46164</v>
      </c>
      <c r="C931" s="93" t="str">
        <f>IFERROR(__xludf.DUMMYFUNCTION("""COMPUTED_VALUE"""),"Kit Delivery")</f>
        <v>Kit Delivery</v>
      </c>
      <c r="D931" s="93">
        <f>IFERROR(__xludf.DUMMYFUNCTION("""COMPUTED_VALUE"""),1.0)</f>
        <v>1</v>
      </c>
      <c r="E931" s="93" t="str">
        <f>IFERROR(__xludf.DUMMYFUNCTION("""COMPUTED_VALUE"""),"Off-Campus")</f>
        <v>Off-Campus</v>
      </c>
      <c r="F931" s="93"/>
      <c r="G931" s="93" t="str">
        <f>IFERROR(__xludf.DUMMYFUNCTION("""COMPUTED_VALUE"""),"Phoebe Radke")</f>
        <v>Phoebe Radke</v>
      </c>
      <c r="H931" s="93">
        <f>IFERROR(__xludf.DUMMYFUNCTION("""COMPUTED_VALUE"""),9.143435957E9)</f>
        <v>9143435957</v>
      </c>
      <c r="I931" s="93" t="str">
        <f>IFERROR(__xludf.DUMMYFUNCTION("""COMPUTED_VALUE"""),"11AM-1PM")</f>
        <v>11AM-1PM</v>
      </c>
      <c r="J931" s="93">
        <f>IFERROR(__xludf.DUMMYFUNCTION("""COMPUTED_VALUE"""),1.0)</f>
        <v>1</v>
      </c>
      <c r="K931" s="93" t="str">
        <f>IFERROR(__xludf.DUMMYFUNCTION("""COMPUTED_VALUE"""),"Complete")</f>
        <v>Complete</v>
      </c>
      <c r="L931" s="93"/>
      <c r="M931" s="94">
        <f>IFERROR(__xludf.DUMMYFUNCTION("""COMPUTED_VALUE"""),46156.43886574074)</f>
        <v>46156.43887</v>
      </c>
      <c r="N931" s="93">
        <f>IFERROR(__xludf.DUMMYFUNCTION("""COMPUTED_VALUE"""),10.0)</f>
        <v>10</v>
      </c>
      <c r="O931" s="93" t="str">
        <f>IFERROR(__xludf.DUMMYFUNCTION("""COMPUTED_VALUE"""),"6145 Pershing Ave")</f>
        <v>6145 Pershing Ave</v>
      </c>
      <c r="P931" s="93" t="str">
        <f>IFERROR(__xludf.DUMMYFUNCTION("""COMPUTED_VALUE"""),"Kit Delivery")</f>
        <v>Kit Delivery</v>
      </c>
      <c r="Q931" s="93"/>
      <c r="R931" s="93"/>
      <c r="S931" s="93" t="str">
        <f>IFERROR(__xludf.DUMMYFUNCTION("""COMPUTED_VALUE"""),"Dispatch_Images/KIT--18093.Photos.153154.jpg")</f>
        <v>Dispatch_Images/KIT--18093.Photos.153154.jpg</v>
      </c>
      <c r="T931" s="95">
        <f>IFERROR(__xludf.DUMMYFUNCTION("""COMPUTED_VALUE"""),46156.442094907405)</f>
        <v>46156.44209</v>
      </c>
      <c r="U931" s="93"/>
      <c r="V931" s="93"/>
      <c r="W931" s="93"/>
      <c r="X931" s="93"/>
      <c r="Y931" s="93"/>
      <c r="Z931" s="93"/>
    </row>
    <row r="932">
      <c r="A932" s="93" t="str">
        <f>IFERROR(__xludf.DUMMYFUNCTION("""COMPUTED_VALUE"""),"KIT-#18382")</f>
        <v>KIT-#18382</v>
      </c>
      <c r="B932" s="94">
        <f>IFERROR(__xludf.DUMMYFUNCTION("""COMPUTED_VALUE"""),46158.0)</f>
        <v>46158</v>
      </c>
      <c r="C932" s="93" t="str">
        <f>IFERROR(__xludf.DUMMYFUNCTION("""COMPUTED_VALUE"""),"Kit Delivery")</f>
        <v>Kit Delivery</v>
      </c>
      <c r="D932" s="93">
        <f>IFERROR(__xludf.DUMMYFUNCTION("""COMPUTED_VALUE"""),1.0)</f>
        <v>1</v>
      </c>
      <c r="E932" s="93" t="str">
        <f>IFERROR(__xludf.DUMMYFUNCTION("""COMPUTED_VALUE"""),"Off-Campus")</f>
        <v>Off-Campus</v>
      </c>
      <c r="F932" s="93"/>
      <c r="G932" s="93" t="str">
        <f>IFERROR(__xludf.DUMMYFUNCTION("""COMPUTED_VALUE"""),"Sophie Cantu")</f>
        <v>Sophie Cantu</v>
      </c>
      <c r="H932" s="93" t="str">
        <f>IFERROR(__xludf.DUMMYFUNCTION("""COMPUTED_VALUE"""),"610-220-5349")</f>
        <v>610-220-5349</v>
      </c>
      <c r="I932" s="93" t="str">
        <f>IFERROR(__xludf.DUMMYFUNCTION("""COMPUTED_VALUE"""),"5 pm (or latest possible time on 5/16)")</f>
        <v>5 pm (or latest possible time on 5/16)</v>
      </c>
      <c r="J932" s="93">
        <f>IFERROR(__xludf.DUMMYFUNCTION("""COMPUTED_VALUE"""),2.0)</f>
        <v>2</v>
      </c>
      <c r="K932" s="93" t="str">
        <f>IFERROR(__xludf.DUMMYFUNCTION("""COMPUTED_VALUE"""),"Complete")</f>
        <v>Complete</v>
      </c>
      <c r="L932" s="93"/>
      <c r="M932" s="94">
        <f>IFERROR(__xludf.DUMMYFUNCTION("""COMPUTED_VALUE"""),46156.44461805555)</f>
        <v>46156.44462</v>
      </c>
      <c r="N932" s="93">
        <f>IFERROR(__xludf.DUMMYFUNCTION("""COMPUTED_VALUE"""),13.0)</f>
        <v>13</v>
      </c>
      <c r="O932" s="93" t="str">
        <f>IFERROR(__xludf.DUMMYFUNCTION("""COMPUTED_VALUE"""),"6300 Cabanne Ave, University City, MO 63130")</f>
        <v>6300 Cabanne Ave, University City, MO 63130</v>
      </c>
      <c r="P932" s="93" t="str">
        <f>IFERROR(__xludf.DUMMYFUNCTION("""COMPUTED_VALUE"""),"Kit Delivery")</f>
        <v>Kit Delivery</v>
      </c>
      <c r="Q932" s="93"/>
      <c r="R932" s="93"/>
      <c r="S932" s="93" t="str">
        <f>IFERROR(__xludf.DUMMYFUNCTION("""COMPUTED_VALUE"""),"Dispatch_Images/KIT--18382.Photos.154010.jpg")</f>
        <v>Dispatch_Images/KIT--18382.Photos.154010.jpg</v>
      </c>
      <c r="T932" s="95">
        <f>IFERROR(__xludf.DUMMYFUNCTION("""COMPUTED_VALUE"""),46156.44903935185)</f>
        <v>46156.44904</v>
      </c>
      <c r="U932" s="93"/>
      <c r="V932" s="93"/>
      <c r="W932" s="93"/>
      <c r="X932" s="93"/>
      <c r="Y932" s="93"/>
      <c r="Z932" s="93"/>
    </row>
    <row r="933">
      <c r="A933" s="93" t="str">
        <f>IFERROR(__xludf.DUMMYFUNCTION("""COMPUTED_VALUE"""),"KIT-#17637")</f>
        <v>KIT-#17637</v>
      </c>
      <c r="B933" s="94">
        <f>IFERROR(__xludf.DUMMYFUNCTION("""COMPUTED_VALUE"""),46168.0)</f>
        <v>46168</v>
      </c>
      <c r="C933" s="93" t="str">
        <f>IFERROR(__xludf.DUMMYFUNCTION("""COMPUTED_VALUE"""),"Kit Delivery")</f>
        <v>Kit Delivery</v>
      </c>
      <c r="D933" s="93">
        <f>IFERROR(__xludf.DUMMYFUNCTION("""COMPUTED_VALUE"""),1.0)</f>
        <v>1</v>
      </c>
      <c r="E933" s="93" t="str">
        <f>IFERROR(__xludf.DUMMYFUNCTION("""COMPUTED_VALUE"""),"Off-Campus")</f>
        <v>Off-Campus</v>
      </c>
      <c r="F933" s="93"/>
      <c r="G933" s="93" t="str">
        <f>IFERROR(__xludf.DUMMYFUNCTION("""COMPUTED_VALUE"""),"Bella Gomez")</f>
        <v>Bella Gomez</v>
      </c>
      <c r="H933" s="93">
        <f>IFERROR(__xludf.DUMMYFUNCTION("""COMPUTED_VALUE"""),6.098654486E9)</f>
        <v>6098654486</v>
      </c>
      <c r="I933" s="93" t="str">
        <f>IFERROR(__xludf.DUMMYFUNCTION("""COMPUTED_VALUE"""),"9AM-11AM")</f>
        <v>9AM-11AM</v>
      </c>
      <c r="J933" s="93">
        <f>IFERROR(__xludf.DUMMYFUNCTION("""COMPUTED_VALUE"""),2.0)</f>
        <v>2</v>
      </c>
      <c r="K933" s="93" t="str">
        <f>IFERROR(__xludf.DUMMYFUNCTION("""COMPUTED_VALUE"""),"Complete")</f>
        <v>Complete</v>
      </c>
      <c r="L933" s="93"/>
      <c r="M933" s="94">
        <f>IFERROR(__xludf.DUMMYFUNCTION("""COMPUTED_VALUE"""),46156.449849537035)</f>
        <v>46156.44985</v>
      </c>
      <c r="N933" s="93">
        <f>IFERROR(__xludf.DUMMYFUNCTION("""COMPUTED_VALUE"""),5.0)</f>
        <v>5</v>
      </c>
      <c r="O933" s="93" t="str">
        <f>IFERROR(__xludf.DUMMYFUNCTION("""COMPUTED_VALUE"""),"729 Westgate Ave Apt 1S St Louis MO 63130-3838")</f>
        <v>729 Westgate Ave Apt 1S St Louis MO 63130-3838</v>
      </c>
      <c r="P933" s="93" t="str">
        <f>IFERROR(__xludf.DUMMYFUNCTION("""COMPUTED_VALUE"""),"Kit Delivery")</f>
        <v>Kit Delivery</v>
      </c>
      <c r="Q933" s="93"/>
      <c r="R933" s="93"/>
      <c r="S933" s="93" t="str">
        <f>IFERROR(__xludf.DUMMYFUNCTION("""COMPUTED_VALUE"""),"Dispatch_Images/KIT--17637.Photos.154743.jpg")</f>
        <v>Dispatch_Images/KIT--17637.Photos.154743.jpg</v>
      </c>
      <c r="T933" s="95">
        <f>IFERROR(__xludf.DUMMYFUNCTION("""COMPUTED_VALUE"""),46156.45599537037)</f>
        <v>46156.456</v>
      </c>
      <c r="U933" s="93"/>
      <c r="V933" s="93"/>
      <c r="W933" s="93"/>
      <c r="X933" s="93"/>
      <c r="Y933" s="93"/>
      <c r="Z933" s="93"/>
    </row>
    <row r="934">
      <c r="A934" s="93" t="str">
        <f>IFERROR(__xludf.DUMMYFUNCTION("""COMPUTED_VALUE"""),"KIT-#18377")</f>
        <v>KIT-#18377</v>
      </c>
      <c r="B934" s="94">
        <f>IFERROR(__xludf.DUMMYFUNCTION("""COMPUTED_VALUE"""),46160.0)</f>
        <v>46160</v>
      </c>
      <c r="C934" s="93" t="str">
        <f>IFERROR(__xludf.DUMMYFUNCTION("""COMPUTED_VALUE"""),"Kit Delivery")</f>
        <v>Kit Delivery</v>
      </c>
      <c r="D934" s="93">
        <f>IFERROR(__xludf.DUMMYFUNCTION("""COMPUTED_VALUE"""),1.0)</f>
        <v>1</v>
      </c>
      <c r="E934" s="93" t="str">
        <f>IFERROR(__xludf.DUMMYFUNCTION("""COMPUTED_VALUE"""),"LL6200")</f>
        <v>LL6200</v>
      </c>
      <c r="F934" s="93">
        <f>IFERROR(__xludf.DUMMYFUNCTION("""COMPUTED_VALUE"""),313.0)</f>
        <v>313</v>
      </c>
      <c r="G934" s="93" t="str">
        <f>IFERROR(__xludf.DUMMYFUNCTION("""COMPUTED_VALUE"""),"Gabriel Bangoura")</f>
        <v>Gabriel Bangoura</v>
      </c>
      <c r="H934" s="93" t="str">
        <f>IFERROR(__xludf.DUMMYFUNCTION("""COMPUTED_VALUE"""),"(704) 340-2845")</f>
        <v>(704) 340-2845</v>
      </c>
      <c r="I934" s="93" t="str">
        <f>IFERROR(__xludf.DUMMYFUNCTION("""COMPUTED_VALUE"""),"9AM-11AM")</f>
        <v>9AM-11AM</v>
      </c>
      <c r="J934" s="93">
        <f>IFERROR(__xludf.DUMMYFUNCTION("""COMPUTED_VALUE"""),2.0)</f>
        <v>2</v>
      </c>
      <c r="K934" s="93" t="str">
        <f>IFERROR(__xludf.DUMMYFUNCTION("""COMPUTED_VALUE"""),"Complete")</f>
        <v>Complete</v>
      </c>
      <c r="L934" s="93"/>
      <c r="M934" s="94">
        <f>IFERROR(__xludf.DUMMYFUNCTION("""COMPUTED_VALUE"""),46156.46188657408)</f>
        <v>46156.46189</v>
      </c>
      <c r="N934" s="93">
        <f>IFERROR(__xludf.DUMMYFUNCTION("""COMPUTED_VALUE"""),3.0)</f>
        <v>3</v>
      </c>
      <c r="O934" s="93"/>
      <c r="P934" s="93" t="str">
        <f>IFERROR(__xludf.DUMMYFUNCTION("""COMPUTED_VALUE"""),"Kit Delivery")</f>
        <v>Kit Delivery</v>
      </c>
      <c r="Q934" s="93"/>
      <c r="R934" s="93"/>
      <c r="S934" s="93" t="str">
        <f>IFERROR(__xludf.DUMMYFUNCTION("""COMPUTED_VALUE"""),"Dispatch_Images/KIT--18377.Photos.160502.jpg")</f>
        <v>Dispatch_Images/KIT--18377.Photos.160502.jpg</v>
      </c>
      <c r="T934" s="95">
        <f>IFERROR(__xludf.DUMMYFUNCTION("""COMPUTED_VALUE"""),46156.46292824074)</f>
        <v>46156.46293</v>
      </c>
      <c r="U934" s="93"/>
      <c r="V934" s="93"/>
      <c r="W934" s="93"/>
      <c r="X934" s="93"/>
      <c r="Y934" s="93"/>
      <c r="Z934" s="93"/>
    </row>
    <row r="935">
      <c r="A935" s="93" t="str">
        <f>IFERROR(__xludf.DUMMYFUNCTION("""COMPUTED_VALUE"""),"KIT-#17850")</f>
        <v>KIT-#17850</v>
      </c>
      <c r="B935" s="94">
        <f>IFERROR(__xludf.DUMMYFUNCTION("""COMPUTED_VALUE"""),46160.0)</f>
        <v>46160</v>
      </c>
      <c r="C935" s="93" t="str">
        <f>IFERROR(__xludf.DUMMYFUNCTION("""COMPUTED_VALUE"""),"Kit Delivery")</f>
        <v>Kit Delivery</v>
      </c>
      <c r="D935" s="93">
        <f>IFERROR(__xludf.DUMMYFUNCTION("""COMPUTED_VALUE"""),1.0)</f>
        <v>1</v>
      </c>
      <c r="E935" s="93" t="str">
        <f>IFERROR(__xludf.DUMMYFUNCTION("""COMPUTED_VALUE"""),"Off-Campus")</f>
        <v>Off-Campus</v>
      </c>
      <c r="F935" s="93"/>
      <c r="G935" s="93" t="str">
        <f>IFERROR(__xludf.DUMMYFUNCTION("""COMPUTED_VALUE"""),"Jack Vein")</f>
        <v>Jack Vein</v>
      </c>
      <c r="H935" s="93">
        <f>IFERROR(__xludf.DUMMYFUNCTION("""COMPUTED_VALUE"""),3.104635735E9)</f>
        <v>3104635735</v>
      </c>
      <c r="I935" s="93" t="str">
        <f>IFERROR(__xludf.DUMMYFUNCTION("""COMPUTED_VALUE"""),"1PM-3PM")</f>
        <v>1PM-3PM</v>
      </c>
      <c r="J935" s="93">
        <f>IFERROR(__xludf.DUMMYFUNCTION("""COMPUTED_VALUE"""),1.0)</f>
        <v>1</v>
      </c>
      <c r="K935" s="93" t="str">
        <f>IFERROR(__xludf.DUMMYFUNCTION("""COMPUTED_VALUE"""),"Complete")</f>
        <v>Complete</v>
      </c>
      <c r="L935" s="93"/>
      <c r="M935" s="94">
        <f>IFERROR(__xludf.DUMMYFUNCTION("""COMPUTED_VALUE"""),46156.47400462963)</f>
        <v>46156.474</v>
      </c>
      <c r="N935" s="93">
        <f>IFERROR(__xludf.DUMMYFUNCTION("""COMPUTED_VALUE"""),8.0)</f>
        <v>8</v>
      </c>
      <c r="O935" s="93" t="str">
        <f>IFERROR(__xludf.DUMMYFUNCTION("""COMPUTED_VALUE"""),"6669 Washington Avenue Apartment 102
St. Louis, MO 63130")</f>
        <v>6669 Washington Avenue Apartment 102
St. Louis, MO 63130</v>
      </c>
      <c r="P935" s="93" t="str">
        <f>IFERROR(__xludf.DUMMYFUNCTION("""COMPUTED_VALUE"""),"Kit Delivery")</f>
        <v>Kit Delivery</v>
      </c>
      <c r="Q935" s="93"/>
      <c r="R935" s="93"/>
      <c r="S935" s="93" t="str">
        <f>IFERROR(__xludf.DUMMYFUNCTION("""COMPUTED_VALUE"""),"Dispatch_Images/KIT--17850.Photos.162230.jpg")</f>
        <v>Dispatch_Images/KIT--17850.Photos.162230.jpg</v>
      </c>
      <c r="T935" s="95">
        <f>IFERROR(__xludf.DUMMYFUNCTION("""COMPUTED_VALUE"""),46156.4768287037)</f>
        <v>46156.47683</v>
      </c>
      <c r="U935" s="93"/>
      <c r="V935" s="93"/>
      <c r="W935" s="93"/>
      <c r="X935" s="93"/>
      <c r="Y935" s="93"/>
      <c r="Z935" s="93"/>
    </row>
    <row r="936">
      <c r="A936" s="93" t="str">
        <f>IFERROR(__xludf.DUMMYFUNCTION("""COMPUTED_VALUE"""),"KIT-#18384")</f>
        <v>KIT-#18384</v>
      </c>
      <c r="B936" s="94">
        <f>IFERROR(__xludf.DUMMYFUNCTION("""COMPUTED_VALUE"""),46160.0)</f>
        <v>46160</v>
      </c>
      <c r="C936" s="93" t="str">
        <f>IFERROR(__xludf.DUMMYFUNCTION("""COMPUTED_VALUE"""),"Kit Delivery")</f>
        <v>Kit Delivery</v>
      </c>
      <c r="D936" s="93">
        <f>IFERROR(__xludf.DUMMYFUNCTION("""COMPUTED_VALUE"""),1.0)</f>
        <v>1</v>
      </c>
      <c r="E936" s="93" t="str">
        <f>IFERROR(__xludf.DUMMYFUNCTION("""COMPUTED_VALUE"""),"Off-Campus")</f>
        <v>Off-Campus</v>
      </c>
      <c r="F936" s="93"/>
      <c r="G936" s="93" t="str">
        <f>IFERROR(__xludf.DUMMYFUNCTION("""COMPUTED_VALUE"""),"Wakako Ueshima")</f>
        <v>Wakako Ueshima</v>
      </c>
      <c r="H936" s="93">
        <f>IFERROR(__xludf.DUMMYFUNCTION("""COMPUTED_VALUE"""),9.148305672E9)</f>
        <v>9148305672</v>
      </c>
      <c r="I936" s="93" t="str">
        <f>IFERROR(__xludf.DUMMYFUNCTION("""COMPUTED_VALUE"""),"9AM-11AM")</f>
        <v>9AM-11AM</v>
      </c>
      <c r="J936" s="93">
        <f>IFERROR(__xludf.DUMMYFUNCTION("""COMPUTED_VALUE"""),1.0)</f>
        <v>1</v>
      </c>
      <c r="K936" s="93" t="str">
        <f>IFERROR(__xludf.DUMMYFUNCTION("""COMPUTED_VALUE"""),"Complete")</f>
        <v>Complete</v>
      </c>
      <c r="L936" s="93"/>
      <c r="M936" s="94">
        <f>IFERROR(__xludf.DUMMYFUNCTION("""COMPUTED_VALUE"""),46156.47125)</f>
        <v>46156.47125</v>
      </c>
      <c r="N936" s="93">
        <f>IFERROR(__xludf.DUMMYFUNCTION("""COMPUTED_VALUE"""),14.0)</f>
        <v>14</v>
      </c>
      <c r="O936" s="93" t="str">
        <f>IFERROR(__xludf.DUMMYFUNCTION("""COMPUTED_VALUE"""),"6655 Washington Avenue")</f>
        <v>6655 Washington Avenue</v>
      </c>
      <c r="P936" s="93" t="str">
        <f>IFERROR(__xludf.DUMMYFUNCTION("""COMPUTED_VALUE"""),"Kit Delivery")</f>
        <v>Kit Delivery</v>
      </c>
      <c r="Q936" s="93"/>
      <c r="R936" s="93"/>
      <c r="S936" s="93" t="str">
        <f>IFERROR(__xludf.DUMMYFUNCTION("""COMPUTED_VALUE"""),"Dispatch_Images/KIT--18384.Photos.161831.jpg")</f>
        <v>Dispatch_Images/KIT--18384.Photos.161831.jpg</v>
      </c>
      <c r="T936" s="95">
        <f>IFERROR(__xludf.DUMMYFUNCTION("""COMPUTED_VALUE"""),46156.4768287037)</f>
        <v>46156.47683</v>
      </c>
      <c r="U936" s="93"/>
      <c r="V936" s="93"/>
      <c r="W936" s="93"/>
      <c r="X936" s="93"/>
      <c r="Y936" s="93"/>
      <c r="Z936" s="93"/>
    </row>
    <row r="937">
      <c r="A937" s="93" t="str">
        <f>IFERROR(__xludf.DUMMYFUNCTION("""COMPUTED_VALUE"""),"KIT-#18088")</f>
        <v>KIT-#18088</v>
      </c>
      <c r="B937" s="94">
        <f>IFERROR(__xludf.DUMMYFUNCTION("""COMPUTED_VALUE"""),46160.0)</f>
        <v>46160</v>
      </c>
      <c r="C937" s="93" t="str">
        <f>IFERROR(__xludf.DUMMYFUNCTION("""COMPUTED_VALUE"""),"Kit Delivery")</f>
        <v>Kit Delivery</v>
      </c>
      <c r="D937" s="93">
        <f>IFERROR(__xludf.DUMMYFUNCTION("""COMPUTED_VALUE"""),1.0)</f>
        <v>1</v>
      </c>
      <c r="E937" s="93" t="str">
        <f>IFERROR(__xludf.DUMMYFUNCTION("""COMPUTED_VALUE"""),"Off-Campus")</f>
        <v>Off-Campus</v>
      </c>
      <c r="F937" s="93"/>
      <c r="G937" s="93" t="str">
        <f>IFERROR(__xludf.DUMMYFUNCTION("""COMPUTED_VALUE"""),"Alexandra Zelman")</f>
        <v>Alexandra Zelman</v>
      </c>
      <c r="H937" s="93" t="str">
        <f>IFERROR(__xludf.DUMMYFUNCTION("""COMPUTED_VALUE"""),"(914) 414-5648")</f>
        <v>(914) 414-5648</v>
      </c>
      <c r="I937" s="93" t="str">
        <f>IFERROR(__xludf.DUMMYFUNCTION("""COMPUTED_VALUE"""),"10AM-12PM")</f>
        <v>10AM-12PM</v>
      </c>
      <c r="J937" s="93">
        <f>IFERROR(__xludf.DUMMYFUNCTION("""COMPUTED_VALUE"""),1.0)</f>
        <v>1</v>
      </c>
      <c r="K937" s="93" t="str">
        <f>IFERROR(__xludf.DUMMYFUNCTION("""COMPUTED_VALUE"""),"Complete")</f>
        <v>Complete</v>
      </c>
      <c r="L937" s="93"/>
      <c r="M937" s="94">
        <f>IFERROR(__xludf.DUMMYFUNCTION("""COMPUTED_VALUE"""),46156.48077546296)</f>
        <v>46156.48078</v>
      </c>
      <c r="N937" s="93">
        <f>IFERROR(__xludf.DUMMYFUNCTION("""COMPUTED_VALUE"""),9.0)</f>
        <v>9</v>
      </c>
      <c r="O937" s="93" t="str">
        <f>IFERROR(__xludf.DUMMYFUNCTION("""COMPUTED_VALUE"""),"6843 Kingsbury Blvd Apartment 1W")</f>
        <v>6843 Kingsbury Blvd Apartment 1W</v>
      </c>
      <c r="P937" s="93" t="str">
        <f>IFERROR(__xludf.DUMMYFUNCTION("""COMPUTED_VALUE"""),"Kit Delivery")</f>
        <v>Kit Delivery</v>
      </c>
      <c r="Q937" s="93"/>
      <c r="R937" s="93"/>
      <c r="S937" s="93" t="str">
        <f>IFERROR(__xludf.DUMMYFUNCTION("""COMPUTED_VALUE"""),"Dispatch_Images/KIT--18088.Photos.163215.jpg")</f>
        <v>Dispatch_Images/KIT--18088.Photos.163215.jpg</v>
      </c>
      <c r="T937" s="95">
        <f>IFERROR(__xludf.DUMMYFUNCTION("""COMPUTED_VALUE"""),46156.483773148146)</f>
        <v>46156.48377</v>
      </c>
      <c r="U937" s="93"/>
      <c r="V937" s="93"/>
      <c r="W937" s="93"/>
      <c r="X937" s="93"/>
      <c r="Y937" s="93"/>
      <c r="Z937" s="93"/>
    </row>
    <row r="938">
      <c r="A938" s="93" t="str">
        <f>IFERROR(__xludf.DUMMYFUNCTION("""COMPUTED_VALUE"""),"KIT-#18251")</f>
        <v>KIT-#18251</v>
      </c>
      <c r="B938" s="94">
        <f>IFERROR(__xludf.DUMMYFUNCTION("""COMPUTED_VALUE"""),46160.0)</f>
        <v>46160</v>
      </c>
      <c r="C938" s="93" t="str">
        <f>IFERROR(__xludf.DUMMYFUNCTION("""COMPUTED_VALUE"""),"Kit Delivery")</f>
        <v>Kit Delivery</v>
      </c>
      <c r="D938" s="93">
        <f>IFERROR(__xludf.DUMMYFUNCTION("""COMPUTED_VALUE"""),1.0)</f>
        <v>1</v>
      </c>
      <c r="E938" s="93" t="str">
        <f>IFERROR(__xludf.DUMMYFUNCTION("""COMPUTED_VALUE"""),"Off-Campus")</f>
        <v>Off-Campus</v>
      </c>
      <c r="F938" s="93"/>
      <c r="G938" s="93" t="str">
        <f>IFERROR(__xludf.DUMMYFUNCTION("""COMPUTED_VALUE"""),"Eva Horvath")</f>
        <v>Eva Horvath</v>
      </c>
      <c r="H938" s="93">
        <f>IFERROR(__xludf.DUMMYFUNCTION("""COMPUTED_VALUE"""),6.467409378E9)</f>
        <v>6467409378</v>
      </c>
      <c r="I938" s="93" t="str">
        <f>IFERROR(__xludf.DUMMYFUNCTION("""COMPUTED_VALUE"""),"3PM-5PM")</f>
        <v>3PM-5PM</v>
      </c>
      <c r="J938" s="93">
        <f>IFERROR(__xludf.DUMMYFUNCTION("""COMPUTED_VALUE"""),3.0)</f>
        <v>3</v>
      </c>
      <c r="K938" s="93" t="str">
        <f>IFERROR(__xludf.DUMMYFUNCTION("""COMPUTED_VALUE"""),"Complete")</f>
        <v>Complete</v>
      </c>
      <c r="L938" s="93"/>
      <c r="M938" s="94">
        <f>IFERROR(__xludf.DUMMYFUNCTION("""COMPUTED_VALUE"""),46156.477685185186)</f>
        <v>46156.47769</v>
      </c>
      <c r="N938" s="93">
        <f>IFERROR(__xludf.DUMMYFUNCTION("""COMPUTED_VALUE"""),11.0)</f>
        <v>11</v>
      </c>
      <c r="O938" s="93" t="str">
        <f>IFERROR(__xludf.DUMMYFUNCTION("""COMPUTED_VALUE"""),"6805 Washington Avenue Apartment 2W
University City, MO 63130")</f>
        <v>6805 Washington Avenue Apartment 2W
University City, MO 63130</v>
      </c>
      <c r="P938" s="93" t="str">
        <f>IFERROR(__xludf.DUMMYFUNCTION("""COMPUTED_VALUE"""),"Kit Delivery")</f>
        <v>Kit Delivery</v>
      </c>
      <c r="Q938" s="93"/>
      <c r="R938" s="93"/>
      <c r="S938" s="93" t="str">
        <f>IFERROR(__xludf.DUMMYFUNCTION("""COMPUTED_VALUE"""),"Dispatch_Images/KIT--18251.Photos.162747.jpg")</f>
        <v>Dispatch_Images/KIT--18251.Photos.162747.jpg</v>
      </c>
      <c r="T938" s="95">
        <f>IFERROR(__xludf.DUMMYFUNCTION("""COMPUTED_VALUE"""),46156.483773148146)</f>
        <v>46156.48377</v>
      </c>
      <c r="U938" s="93"/>
      <c r="V938" s="93"/>
      <c r="W938" s="93"/>
      <c r="X938" s="93"/>
      <c r="Y938" s="93"/>
      <c r="Z938" s="93"/>
    </row>
    <row r="939">
      <c r="A939" s="93" t="str">
        <f>IFERROR(__xludf.DUMMYFUNCTION("""COMPUTED_VALUE"""),"KIT-#18381")</f>
        <v>KIT-#18381</v>
      </c>
      <c r="B939" s="94">
        <f>IFERROR(__xludf.DUMMYFUNCTION("""COMPUTED_VALUE"""),46157.0)</f>
        <v>46157</v>
      </c>
      <c r="C939" s="93" t="str">
        <f>IFERROR(__xludf.DUMMYFUNCTION("""COMPUTED_VALUE"""),"Kit Delivery")</f>
        <v>Kit Delivery</v>
      </c>
      <c r="D939" s="93">
        <f>IFERROR(__xludf.DUMMYFUNCTION("""COMPUTED_VALUE"""),1.0)</f>
        <v>1</v>
      </c>
      <c r="E939" s="93" t="str">
        <f>IFERROR(__xludf.DUMMYFUNCTION("""COMPUTED_VALUE"""),"6811 UDrive")</f>
        <v>6811 UDrive</v>
      </c>
      <c r="F939" s="93" t="str">
        <f>IFERROR(__xludf.DUMMYFUNCTION("""COMPUTED_VALUE"""),"2E-B")</f>
        <v>2E-B</v>
      </c>
      <c r="G939" s="93" t="str">
        <f>IFERROR(__xludf.DUMMYFUNCTION("""COMPUTED_VALUE"""),"Stefy Campos")</f>
        <v>Stefy Campos</v>
      </c>
      <c r="H939" s="93">
        <f>IFERROR(__xludf.DUMMYFUNCTION("""COMPUTED_VALUE"""),9.177974688E9)</f>
        <v>9177974688</v>
      </c>
      <c r="I939" s="93" t="str">
        <f>IFERROR(__xludf.DUMMYFUNCTION("""COMPUTED_VALUE"""),"3PM-5PM")</f>
        <v>3PM-5PM</v>
      </c>
      <c r="J939" s="93">
        <f>IFERROR(__xludf.DUMMYFUNCTION("""COMPUTED_VALUE"""),1.0)</f>
        <v>1</v>
      </c>
      <c r="K939" s="93" t="str">
        <f>IFERROR(__xludf.DUMMYFUNCTION("""COMPUTED_VALUE"""),"Complete")</f>
        <v>Complete</v>
      </c>
      <c r="L939" s="93"/>
      <c r="M939" s="94">
        <f>IFERROR(__xludf.DUMMYFUNCTION("""COMPUTED_VALUE"""),46156.48428240741)</f>
        <v>46156.48428</v>
      </c>
      <c r="N939" s="93">
        <f>IFERROR(__xludf.DUMMYFUNCTION("""COMPUTED_VALUE"""),1.0)</f>
        <v>1</v>
      </c>
      <c r="O939" s="93" t="str">
        <f>IFERROR(__xludf.DUMMYFUNCTION("""COMPUTED_VALUE"""),"250 Island Drive, Key Biscayne, FL")</f>
        <v>250 Island Drive, Key Biscayne, FL</v>
      </c>
      <c r="P939" s="93" t="str">
        <f>IFERROR(__xludf.DUMMYFUNCTION("""COMPUTED_VALUE"""),"Kit Delivery")</f>
        <v>Kit Delivery</v>
      </c>
      <c r="Q939" s="93"/>
      <c r="R939" s="93"/>
      <c r="S939" s="93" t="str">
        <f>IFERROR(__xludf.DUMMYFUNCTION("""COMPUTED_VALUE"""),"Dispatch_Images/KIT--18381.Photos.163718.jpg")</f>
        <v>Dispatch_Images/KIT--18381.Photos.163718.jpg</v>
      </c>
      <c r="T939" s="95">
        <f>IFERROR(__xludf.DUMMYFUNCTION("""COMPUTED_VALUE"""),46156.49070601852)</f>
        <v>46156.49071</v>
      </c>
      <c r="U939" s="93"/>
      <c r="V939" s="93"/>
      <c r="W939" s="93"/>
      <c r="X939" s="93"/>
      <c r="Y939" s="93"/>
      <c r="Z939" s="93"/>
    </row>
    <row r="940">
      <c r="A940" s="93" t="str">
        <f>IFERROR(__xludf.DUMMYFUNCTION("""COMPUTED_VALUE"""),"KIT-#18389")</f>
        <v>KIT-#18389</v>
      </c>
      <c r="B940" s="94">
        <f>IFERROR(__xludf.DUMMYFUNCTION("""COMPUTED_VALUE"""),46160.0)</f>
        <v>46160</v>
      </c>
      <c r="C940" s="93" t="str">
        <f>IFERROR(__xludf.DUMMYFUNCTION("""COMPUTED_VALUE"""),"Kit Delivery")</f>
        <v>Kit Delivery</v>
      </c>
      <c r="D940" s="93">
        <f>IFERROR(__xludf.DUMMYFUNCTION("""COMPUTED_VALUE"""),1.0)</f>
        <v>1</v>
      </c>
      <c r="E940" s="93" t="str">
        <f>IFERROR(__xludf.DUMMYFUNCTION("""COMPUTED_VALUE"""),"Off-Campus")</f>
        <v>Off-Campus</v>
      </c>
      <c r="F940" s="93"/>
      <c r="G940" s="93" t="str">
        <f>IFERROR(__xludf.DUMMYFUNCTION("""COMPUTED_VALUE"""),"Lakshmi Mulgund")</f>
        <v>Lakshmi Mulgund</v>
      </c>
      <c r="H940" s="93">
        <f>IFERROR(__xludf.DUMMYFUNCTION("""COMPUTED_VALUE"""),7.245445005E9)</f>
        <v>7245445005</v>
      </c>
      <c r="I940" s="93" t="str">
        <f>IFERROR(__xludf.DUMMYFUNCTION("""COMPUTED_VALUE"""),"3PM-5PM")</f>
        <v>3PM-5PM</v>
      </c>
      <c r="J940" s="93">
        <f>IFERROR(__xludf.DUMMYFUNCTION("""COMPUTED_VALUE"""),1.0)</f>
        <v>1</v>
      </c>
      <c r="K940" s="93" t="str">
        <f>IFERROR(__xludf.DUMMYFUNCTION("""COMPUTED_VALUE"""),"Complete")</f>
        <v>Complete</v>
      </c>
      <c r="L940" s="93"/>
      <c r="M940" s="94">
        <f>IFERROR(__xludf.DUMMYFUNCTION("""COMPUTED_VALUE"""),46156.495104166665)</f>
        <v>46156.4951</v>
      </c>
      <c r="N940" s="93">
        <f>IFERROR(__xludf.DUMMYFUNCTION("""COMPUTED_VALUE"""),4.0)</f>
        <v>4</v>
      </c>
      <c r="O940" s="93" t="str">
        <f>IFERROR(__xludf.DUMMYFUNCTION("""COMPUTED_VALUE"""),"6006 Washington Blvd")</f>
        <v>6006 Washington Blvd</v>
      </c>
      <c r="P940" s="93" t="str">
        <f>IFERROR(__xludf.DUMMYFUNCTION("""COMPUTED_VALUE"""),"Kit Delivery")</f>
        <v>Kit Delivery</v>
      </c>
      <c r="Q940" s="93" t="str">
        <f>IFERROR(__xludf.DUMMYFUNCTION("""COMPUTED_VALUE"""),"n/a")</f>
        <v>n/a</v>
      </c>
      <c r="R940" s="93"/>
      <c r="S940" s="93" t="str">
        <f>IFERROR(__xludf.DUMMYFUNCTION("""COMPUTED_VALUE"""),"Dispatch_Images/KIT--18389.Photos.165253.jpg")</f>
        <v>Dispatch_Images/KIT--18389.Photos.165253.jpg</v>
      </c>
      <c r="T940" s="95">
        <f>IFERROR(__xludf.DUMMYFUNCTION("""COMPUTED_VALUE"""),46156.49767361111)</f>
        <v>46156.49767</v>
      </c>
      <c r="U940" s="93"/>
      <c r="V940" s="93"/>
      <c r="W940" s="93"/>
      <c r="X940" s="93"/>
      <c r="Y940" s="93"/>
      <c r="Z940" s="93"/>
    </row>
    <row r="941">
      <c r="A941" s="93" t="str">
        <f>IFERROR(__xludf.DUMMYFUNCTION("""COMPUTED_VALUE"""),"KIT-#18352")</f>
        <v>KIT-#18352</v>
      </c>
      <c r="B941" s="94">
        <f>IFERROR(__xludf.DUMMYFUNCTION("""COMPUTED_VALUE"""),46168.0)</f>
        <v>46168</v>
      </c>
      <c r="C941" s="93" t="str">
        <f>IFERROR(__xludf.DUMMYFUNCTION("""COMPUTED_VALUE"""),"Kit Delivery")</f>
        <v>Kit Delivery</v>
      </c>
      <c r="D941" s="93">
        <f>IFERROR(__xludf.DUMMYFUNCTION("""COMPUTED_VALUE"""),1.0)</f>
        <v>1</v>
      </c>
      <c r="E941" s="93" t="str">
        <f>IFERROR(__xludf.DUMMYFUNCTION("""COMPUTED_VALUE"""),"Unknown Building")</f>
        <v>Unknown Building</v>
      </c>
      <c r="F941" s="93"/>
      <c r="G941" s="93" t="str">
        <f>IFERROR(__xludf.DUMMYFUNCTION("""COMPUTED_VALUE"""),"Lucy Demsky")</f>
        <v>Lucy Demsky</v>
      </c>
      <c r="H941" s="93">
        <f>IFERROR(__xludf.DUMMYFUNCTION("""COMPUTED_VALUE"""),4.439770303E9)</f>
        <v>4439770303</v>
      </c>
      <c r="I941" s="93"/>
      <c r="J941" s="93"/>
      <c r="K941" s="93" t="str">
        <f>IFERROR(__xludf.DUMMYFUNCTION("""COMPUTED_VALUE"""),"Complete")</f>
        <v>Complete</v>
      </c>
      <c r="L941" s="93"/>
      <c r="M941" s="93"/>
      <c r="N941" s="93">
        <f>IFERROR(__xludf.DUMMYFUNCTION("""COMPUTED_VALUE"""),17.0)</f>
        <v>17</v>
      </c>
      <c r="O941" s="93" t="str">
        <f>IFERROR(__xludf.DUMMYFUNCTION("""COMPUTED_VALUE"""),"1600 Woodson Rd, St. Louis, MO 63114")</f>
        <v>1600 Woodson Rd, St. Louis, MO 63114</v>
      </c>
      <c r="P941" s="93" t="str">
        <f>IFERROR(__xludf.DUMMYFUNCTION("""COMPUTED_VALUE"""),"Kit Delivery")</f>
        <v>Kit Delivery</v>
      </c>
      <c r="Q941" s="93" t="str">
        <f>IFERROR(__xludf.DUMMYFUNCTION("""COMPUTED_VALUE"""),"⚠️ MISSING BUILDING in source row 22; MISSING ROOM in source row 22")</f>
        <v>⚠️ MISSING BUILDING in source row 22; MISSING ROOM in source row 22</v>
      </c>
      <c r="R941" s="93"/>
      <c r="S941" s="93"/>
      <c r="T941" s="95">
        <f>IFERROR(__xludf.DUMMYFUNCTION("""COMPUTED_VALUE"""),46156.49767361111)</f>
        <v>46156.49767</v>
      </c>
      <c r="U941" s="93"/>
      <c r="V941" s="93"/>
      <c r="W941" s="93"/>
      <c r="X941" s="93"/>
      <c r="Y941" s="93"/>
      <c r="Z941" s="93"/>
    </row>
    <row r="942">
      <c r="A942" s="93" t="str">
        <f>IFERROR(__xludf.DUMMYFUNCTION("""COMPUTED_VALUE"""),"KIT-#18393")</f>
        <v>KIT-#18393</v>
      </c>
      <c r="B942" s="94">
        <f>IFERROR(__xludf.DUMMYFUNCTION("""COMPUTED_VALUE"""),46158.0)</f>
        <v>46158</v>
      </c>
      <c r="C942" s="93" t="str">
        <f>IFERROR(__xludf.DUMMYFUNCTION("""COMPUTED_VALUE"""),"Kit Delivery")</f>
        <v>Kit Delivery</v>
      </c>
      <c r="D942" s="93">
        <f>IFERROR(__xludf.DUMMYFUNCTION("""COMPUTED_VALUE"""),1.0)</f>
        <v>1</v>
      </c>
      <c r="E942" s="93" t="str">
        <f>IFERROR(__xludf.DUMMYFUNCTION("""COMPUTED_VALUE"""),"Off-Campus")</f>
        <v>Off-Campus</v>
      </c>
      <c r="F942" s="93"/>
      <c r="G942" s="93" t="str">
        <f>IFERROR(__xludf.DUMMYFUNCTION("""COMPUTED_VALUE"""),"Beck Blum")</f>
        <v>Beck Blum</v>
      </c>
      <c r="H942" s="93" t="str">
        <f>IFERROR(__xludf.DUMMYFUNCTION("""COMPUTED_VALUE"""),"914-200-9295")</f>
        <v>914-200-9295</v>
      </c>
      <c r="I942" s="93" t="str">
        <f>IFERROR(__xludf.DUMMYFUNCTION("""COMPUTED_VALUE"""),"ASAP")</f>
        <v>ASAP</v>
      </c>
      <c r="J942" s="93">
        <f>IFERROR(__xludf.DUMMYFUNCTION("""COMPUTED_VALUE"""),1.0)</f>
        <v>1</v>
      </c>
      <c r="K942" s="93" t="str">
        <f>IFERROR(__xludf.DUMMYFUNCTION("""COMPUTED_VALUE"""),"Complete")</f>
        <v>Complete</v>
      </c>
      <c r="L942" s="93"/>
      <c r="M942" s="94">
        <f>IFERROR(__xludf.DUMMYFUNCTION("""COMPUTED_VALUE"""),46157.39818287037)</f>
        <v>46157.39818</v>
      </c>
      <c r="N942" s="93">
        <f>IFERROR(__xludf.DUMMYFUNCTION("""COMPUTED_VALUE"""),2.0)</f>
        <v>2</v>
      </c>
      <c r="O942" s="93" t="str">
        <f>IFERROR(__xludf.DUMMYFUNCTION("""COMPUTED_VALUE"""),"718 limit Avenue, apt 2n
St. Louis, MO 63130")</f>
        <v>718 limit Avenue, apt 2n
St. Louis, MO 63130</v>
      </c>
      <c r="P942" s="93" t="str">
        <f>IFERROR(__xludf.DUMMYFUNCTION("""COMPUTED_VALUE"""),"Kit Delivery")</f>
        <v>Kit Delivery</v>
      </c>
      <c r="Q942" s="93"/>
      <c r="R942" s="93"/>
      <c r="S942" s="93" t="str">
        <f>IFERROR(__xludf.DUMMYFUNCTION("""COMPUTED_VALUE"""),"Dispatch_Images/KIT--18393.Photos.143319.jpg")</f>
        <v>Dispatch_Images/KIT--18393.Photos.143319.jpg</v>
      </c>
      <c r="T942" s="95">
        <f>IFERROR(__xludf.DUMMYFUNCTION("""COMPUTED_VALUE"""),46157.40043981482)</f>
        <v>46157.40044</v>
      </c>
      <c r="U942" s="93"/>
      <c r="V942" s="93"/>
      <c r="W942" s="93"/>
      <c r="X942" s="93"/>
      <c r="Y942" s="93"/>
      <c r="Z942" s="93"/>
    </row>
    <row r="943">
      <c r="A943" s="93" t="str">
        <f>IFERROR(__xludf.DUMMYFUNCTION("""COMPUTED_VALUE"""),"KIT-#18392")</f>
        <v>KIT-#18392</v>
      </c>
      <c r="B943" s="94">
        <f>IFERROR(__xludf.DUMMYFUNCTION("""COMPUTED_VALUE"""),46158.0)</f>
        <v>46158</v>
      </c>
      <c r="C943" s="93" t="str">
        <f>IFERROR(__xludf.DUMMYFUNCTION("""COMPUTED_VALUE"""),"Kit Delivery")</f>
        <v>Kit Delivery</v>
      </c>
      <c r="D943" s="93">
        <f>IFERROR(__xludf.DUMMYFUNCTION("""COMPUTED_VALUE"""),1.0)</f>
        <v>1</v>
      </c>
      <c r="E943" s="93" t="str">
        <f>IFERROR(__xludf.DUMMYFUNCTION("""COMPUTED_VALUE"""),"Off-Campus")</f>
        <v>Off-Campus</v>
      </c>
      <c r="F943" s="93"/>
      <c r="G943" s="93" t="str">
        <f>IFERROR(__xludf.DUMMYFUNCTION("""COMPUTED_VALUE"""),"Sarah Hershenhorn")</f>
        <v>Sarah Hershenhorn</v>
      </c>
      <c r="H943" s="93">
        <f>IFERROR(__xludf.DUMMYFUNCTION("""COMPUTED_VALUE"""),5.166952235E9)</f>
        <v>5166952235</v>
      </c>
      <c r="I943" s="93" t="str">
        <f>IFERROR(__xludf.DUMMYFUNCTION("""COMPUTED_VALUE"""),"10AM-12PM")</f>
        <v>10AM-12PM</v>
      </c>
      <c r="J943" s="93">
        <f>IFERROR(__xludf.DUMMYFUNCTION("""COMPUTED_VALUE"""),1.0)</f>
        <v>1</v>
      </c>
      <c r="K943" s="93" t="str">
        <f>IFERROR(__xludf.DUMMYFUNCTION("""COMPUTED_VALUE"""),"Complete")</f>
        <v>Complete</v>
      </c>
      <c r="L943" s="93"/>
      <c r="M943" s="93"/>
      <c r="N943" s="93">
        <f>IFERROR(__xludf.DUMMYFUNCTION("""COMPUTED_VALUE"""),1.0)</f>
        <v>1</v>
      </c>
      <c r="O943" s="93" t="str">
        <f>IFERROR(__xludf.DUMMYFUNCTION("""COMPUTED_VALUE"""),"6186 waterman blvd. 
St. Louis MO 63112")</f>
        <v>6186 waterman blvd. 
St. Louis MO 63112</v>
      </c>
      <c r="P943" s="93" t="str">
        <f>IFERROR(__xludf.DUMMYFUNCTION("""COMPUTED_VALUE"""),"Kit Delivery")</f>
        <v>Kit Delivery</v>
      </c>
      <c r="Q943" s="93"/>
      <c r="R943" s="93"/>
      <c r="S943" s="93"/>
      <c r="T943" s="95">
        <f>IFERROR(__xludf.DUMMYFUNCTION("""COMPUTED_VALUE"""),46157.5440625)</f>
        <v>46157.54406</v>
      </c>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13"/>
    <col customWidth="1" min="3" max="3" width="19.5"/>
    <col customWidth="1" min="5" max="5" width="18.63"/>
    <col customWidth="1" min="6" max="6" width="17.63"/>
    <col customWidth="1" min="7" max="8" width="21.5"/>
    <col customWidth="1" min="9" max="9" width="34.5"/>
    <col customWidth="1" min="11" max="11" width="13.63"/>
    <col customWidth="1" min="12" max="12" width="31.75"/>
    <col customWidth="1" min="16" max="16" width="2.38"/>
  </cols>
  <sheetData>
    <row r="1">
      <c r="A1" s="45" t="s">
        <v>14039</v>
      </c>
      <c r="B1" s="45" t="s">
        <v>14211</v>
      </c>
      <c r="C1" s="45" t="s">
        <v>2</v>
      </c>
      <c r="D1" s="45" t="s">
        <v>3</v>
      </c>
      <c r="E1" s="45" t="s">
        <v>14212</v>
      </c>
      <c r="F1" s="45" t="s">
        <v>35</v>
      </c>
      <c r="G1" s="45" t="s">
        <v>5</v>
      </c>
      <c r="H1" s="45" t="s">
        <v>10</v>
      </c>
      <c r="I1" s="45" t="s">
        <v>14213</v>
      </c>
      <c r="J1" s="45" t="s">
        <v>12</v>
      </c>
      <c r="K1" s="45" t="s">
        <v>14214</v>
      </c>
      <c r="L1" s="45" t="s">
        <v>20</v>
      </c>
      <c r="M1" s="48" t="s">
        <v>14</v>
      </c>
      <c r="N1" s="97" t="s">
        <v>34</v>
      </c>
      <c r="O1" s="97" t="s">
        <v>14215</v>
      </c>
      <c r="P1" s="98" t="s">
        <v>14216</v>
      </c>
    </row>
    <row r="2">
      <c r="A2" s="99" t="str">
        <f>IFERROR(__xludf.DUMMYFUNCTION("ARRAYFORMULA(
  IFERROR(
    FILTER(
      {
        MAIN!A:A,
        MAIN!B:B,
        MAIN!C:C,
        IF(MAIN!D:D="""", MAIN!AM:AM, MAIN!D:D),
        MAIN!E:E,
        MAIN!AJ:AJ,
        MAIN!F:F,
        MAIN!K:K,
        MAIN!L:L,
        MAIN!M:"&amp;"M,
        MAIN!P:P,
        MAIN!U:U,
        MAIN!V:V,
        MAIN!AI:AI
      },
      MAIN!K:K=""Appliance Rental""
    )
  )
)"),"https://utrucking.myshopify.com/admin/orders?query=14116")</f>
        <v>https://utrucking.myshopify.com/admin/orders?query=14116</v>
      </c>
      <c r="B2" s="61" t="str">
        <f>IFERROR(__xludf.DUMMYFUNCTION("""COMPUTED_VALUE"""),"#14116")</f>
        <v>#14116</v>
      </c>
      <c r="C2" s="61" t="str">
        <f>IFERROR(__xludf.DUMMYFUNCTION("""COMPUTED_VALUE"""),"benschwed9876@wustl.edu")</f>
        <v>benschwed9876@wustl.edu</v>
      </c>
      <c r="D2" s="61">
        <f>IFERROR(__xludf.DUMMYFUNCTION("""COMPUTED_VALUE"""),5.169985553E9)</f>
        <v>5169985553</v>
      </c>
      <c r="E2" s="61" t="str">
        <f>IFERROR(__xludf.DUMMYFUNCTION("""COMPUTED_VALUE"""),"Benjamin Schwed")</f>
        <v>Benjamin Schwed</v>
      </c>
      <c r="F2" s="61"/>
      <c r="G2" s="61"/>
      <c r="H2" s="61" t="str">
        <f>IFERROR(__xludf.DUMMYFUNCTION("""COMPUTED_VALUE"""),"Appliance Rental")</f>
        <v>Appliance Rental</v>
      </c>
      <c r="I2" s="61" t="str">
        <f>IFERROR(__xludf.DUMMYFUNCTION("""COMPUTED_VALUE"""),"Standard Mini Fridge + Microwave")</f>
        <v>Standard Mini Fridge + Microwave</v>
      </c>
      <c r="J2" s="61"/>
      <c r="K2" s="100">
        <f>IFERROR(__xludf.DUMMYFUNCTION("""COMPUTED_VALUE"""),45883.0)</f>
        <v>45883</v>
      </c>
      <c r="L2" s="61" t="str">
        <f>IFERROR(__xludf.DUMMYFUNCTION("""COMPUTED_VALUE"""),"Danforth")</f>
        <v>Danforth</v>
      </c>
      <c r="M2" s="64">
        <f>IFERROR(__xludf.DUMMYFUNCTION("""COMPUTED_VALUE"""),3304.0)</f>
        <v>3304</v>
      </c>
      <c r="N2" s="61" t="str">
        <f>IFERROR(__xludf.DUMMYFUNCTION("""COMPUTED_VALUE"""),"delivery-08/13/2025
pick up-05/06/2026")</f>
        <v>delivery-08/13/2025
pick up-05/06/2026</v>
      </c>
      <c r="O2" s="61" t="b">
        <f>COUNTIF('Delivered Rentals'!A:A, B2) &gt; 0</f>
        <v>1</v>
      </c>
      <c r="P2" s="101" t="str">
        <f>IFERROR(__xludf.DUMMYFUNCTION("FILTER(MAIN!Q:Q, MAIN!K:K=""Appliance Rental"")"),"09:00 AM - 11:00 AM")</f>
        <v>09:00 AM - 11:00 AM</v>
      </c>
    </row>
    <row r="3">
      <c r="A3" s="102" t="str">
        <f>IFERROR(__xludf.DUMMYFUNCTION("""COMPUTED_VALUE"""),"https://admin.shopify.com/store/utrucking/orders/5837335822524?link_source=search")</f>
        <v>https://admin.shopify.com/store/utrucking/orders/5837335822524?link_source=search</v>
      </c>
      <c r="B3" s="65" t="str">
        <f>IFERROR(__xludf.DUMMYFUNCTION("""COMPUTED_VALUE"""),"#14996")</f>
        <v>#14996</v>
      </c>
      <c r="C3" s="65" t="str">
        <f>IFERROR(__xludf.DUMMYFUNCTION("""COMPUTED_VALUE"""),"a.dalen@wustl.edu")</f>
        <v>a.dalen@wustl.edu</v>
      </c>
      <c r="D3" s="65" t="str">
        <f>IFERROR(__xludf.DUMMYFUNCTION("""COMPUTED_VALUE"""),"540-207-8205")</f>
        <v>540-207-8205</v>
      </c>
      <c r="E3" s="65" t="str">
        <f>IFERROR(__xludf.DUMMYFUNCTION("""COMPUTED_VALUE"""),"Dalen Ainsworth")</f>
        <v>Dalen Ainsworth</v>
      </c>
      <c r="F3" s="65"/>
      <c r="G3" s="65" t="str">
        <f>IFERROR(__xludf.DUMMYFUNCTION("""COMPUTED_VALUE"""),"9700 Renfield Ct")</f>
        <v>9700 Renfield Ct</v>
      </c>
      <c r="H3" s="65" t="str">
        <f>IFERROR(__xludf.DUMMYFUNCTION("""COMPUTED_VALUE"""),"Appliance Rental")</f>
        <v>Appliance Rental</v>
      </c>
      <c r="I3" s="65" t="str">
        <f>IFERROR(__xludf.DUMMYFUNCTION("""COMPUTED_VALUE"""),"Double Door mini fridge")</f>
        <v>Double Door mini fridge</v>
      </c>
      <c r="J3" s="65">
        <f>IFERROR(__xludf.DUMMYFUNCTION("""COMPUTED_VALUE"""),145.0)</f>
        <v>145</v>
      </c>
      <c r="K3" s="103">
        <f>IFERROR(__xludf.DUMMYFUNCTION("""COMPUTED_VALUE"""),45792.0)</f>
        <v>45792</v>
      </c>
      <c r="L3" s="65" t="str">
        <f>IFERROR(__xludf.DUMMYFUNCTION("""COMPUTED_VALUE"""),"Koenig")</f>
        <v>Koenig</v>
      </c>
      <c r="M3" s="68" t="str">
        <f>IFERROR(__xludf.DUMMYFUNCTION("""COMPUTED_VALUE"""),"3301")</f>
        <v>3301</v>
      </c>
      <c r="N3" s="65"/>
      <c r="O3" s="65" t="b">
        <f>COUNTIF('Delivered Rentals'!A:A, B3) &gt; 0</f>
        <v>1</v>
      </c>
      <c r="P3" s="104" t="str">
        <f>IFERROR(__xludf.DUMMYFUNCTION("""COMPUTED_VALUE"""),"09:00 AM - 11:00 AM")</f>
        <v>09:00 AM - 11:00 AM</v>
      </c>
    </row>
    <row r="4">
      <c r="A4" s="99" t="str">
        <f>IFERROR(__xludf.DUMMYFUNCTION("""COMPUTED_VALUE"""),"https://utrucking.myshopify.com/admin/orders?query=14235")</f>
        <v>https://utrucking.myshopify.com/admin/orders?query=14235</v>
      </c>
      <c r="B4" s="61" t="str">
        <f>IFERROR(__xludf.DUMMYFUNCTION("""COMPUTED_VALUE"""),"#14235")</f>
        <v>#14235</v>
      </c>
      <c r="C4" s="61" t="str">
        <f>IFERROR(__xludf.DUMMYFUNCTION("""COMPUTED_VALUE"""),"s.venkat@wustl.edu")</f>
        <v>s.venkat@wustl.edu</v>
      </c>
      <c r="D4" s="61">
        <f>IFERROR(__xludf.DUMMYFUNCTION("""COMPUTED_VALUE"""),5.01676664E9)</f>
        <v>5016766640</v>
      </c>
      <c r="E4" s="61" t="str">
        <f>IFERROR(__xludf.DUMMYFUNCTION("""COMPUTED_VALUE"""),"Sairisheeth Venkat")</f>
        <v>Sairisheeth Venkat</v>
      </c>
      <c r="F4" s="61"/>
      <c r="G4" s="61"/>
      <c r="H4" s="61" t="str">
        <f>IFERROR(__xludf.DUMMYFUNCTION("""COMPUTED_VALUE"""),"Appliance Rental")</f>
        <v>Appliance Rental</v>
      </c>
      <c r="I4" s="61" t="str">
        <f>IFERROR(__xludf.DUMMYFUNCTION("""COMPUTED_VALUE"""),"Microwave Rental,Chef's Fridge Rental")</f>
        <v>Microwave Rental,Chef's Fridge Rental</v>
      </c>
      <c r="J4" s="61"/>
      <c r="K4" s="100"/>
      <c r="L4" s="61"/>
      <c r="M4" s="64"/>
      <c r="N4" s="61"/>
      <c r="O4" s="61" t="b">
        <f>COUNTIF('Delivered Rentals'!A:A, B4) &gt; 0</f>
        <v>1</v>
      </c>
      <c r="P4" s="101"/>
    </row>
    <row r="5">
      <c r="A5" s="102" t="str">
        <f>IFERROR(__xludf.DUMMYFUNCTION("""COMPUTED_VALUE"""),"https://utrucking.myshopify.com/admin/orders?query=14296")</f>
        <v>https://utrucking.myshopify.com/admin/orders?query=14296</v>
      </c>
      <c r="B5" s="65" t="str">
        <f>IFERROR(__xludf.DUMMYFUNCTION("""COMPUTED_VALUE"""),"#14296")</f>
        <v>#14296</v>
      </c>
      <c r="C5" s="65" t="str">
        <f>IFERROR(__xludf.DUMMYFUNCTION("""COMPUTED_VALUE"""),"h.violet@wustl.edu")</f>
        <v>h.violet@wustl.edu</v>
      </c>
      <c r="D5" s="65">
        <f>IFERROR(__xludf.DUMMYFUNCTION("""COMPUTED_VALUE"""),5.033339851E9)</f>
        <v>5033339851</v>
      </c>
      <c r="E5" s="65" t="str">
        <f>IFERROR(__xludf.DUMMYFUNCTION("""COMPUTED_VALUE"""),"Violet Holah")</f>
        <v>Violet Holah</v>
      </c>
      <c r="F5" s="65"/>
      <c r="G5" s="65"/>
      <c r="H5" s="65" t="str">
        <f>IFERROR(__xludf.DUMMYFUNCTION("""COMPUTED_VALUE"""),"Appliance Rental")</f>
        <v>Appliance Rental</v>
      </c>
      <c r="I5" s="65" t="str">
        <f>IFERROR(__xludf.DUMMYFUNCTION("""COMPUTED_VALUE"""),"Chef's Fridge Rental")</f>
        <v>Chef's Fridge Rental</v>
      </c>
      <c r="J5" s="65"/>
      <c r="K5" s="103">
        <f>IFERROR(__xludf.DUMMYFUNCTION("""COMPUTED_VALUE"""),45883.0)</f>
        <v>45883</v>
      </c>
      <c r="L5" s="65" t="str">
        <f>IFERROR(__xludf.DUMMYFUNCTION("""COMPUTED_VALUE"""),"Millbrook Bldg. 3")</f>
        <v>Millbrook Bldg. 3</v>
      </c>
      <c r="M5" s="68" t="str">
        <f>IFERROR(__xludf.DUMMYFUNCTION("""COMPUTED_VALUE"""),"201G - a")</f>
        <v>201G - a</v>
      </c>
      <c r="N5" s="65"/>
      <c r="O5" s="65" t="b">
        <f>COUNTIF('Delivered Rentals'!A:A, B5) &gt; 0</f>
        <v>1</v>
      </c>
      <c r="P5" s="104" t="str">
        <f>IFERROR(__xludf.DUMMYFUNCTION("""COMPUTED_VALUE"""),"09:00 AM - 11:00 AM")</f>
        <v>09:00 AM - 11:00 AM</v>
      </c>
    </row>
    <row r="6">
      <c r="A6" s="99" t="str">
        <f>IFERROR(__xludf.DUMMYFUNCTION("""COMPUTED_VALUE"""),"https://utrucking.myshopify.com/admin/orders?query=14342")</f>
        <v>https://utrucking.myshopify.com/admin/orders?query=14342</v>
      </c>
      <c r="B6" s="61" t="str">
        <f>IFERROR(__xludf.DUMMYFUNCTION("""COMPUTED_VALUE"""),"#14342")</f>
        <v>#14342</v>
      </c>
      <c r="C6" s="61" t="str">
        <f>IFERROR(__xludf.DUMMYFUNCTION("""COMPUTED_VALUE"""),"a.rome@wustl.edu")</f>
        <v>a.rome@wustl.edu</v>
      </c>
      <c r="D6" s="61">
        <f>IFERROR(__xludf.DUMMYFUNCTION("""COMPUTED_VALUE"""),5.513021447E9)</f>
        <v>5513021447</v>
      </c>
      <c r="E6" s="61" t="str">
        <f>IFERROR(__xludf.DUMMYFUNCTION("""COMPUTED_VALUE"""),"Isabella (Ava) Rome")</f>
        <v>Isabella (Ava) Rome</v>
      </c>
      <c r="F6" s="61"/>
      <c r="G6" s="61"/>
      <c r="H6" s="61" t="str">
        <f>IFERROR(__xludf.DUMMYFUNCTION("""COMPUTED_VALUE"""),"Appliance Rental")</f>
        <v>Appliance Rental</v>
      </c>
      <c r="I6" s="61" t="str">
        <f>IFERROR(__xludf.DUMMYFUNCTION("""COMPUTED_VALUE"""),"Double-Door Mini Fridge")</f>
        <v>Double-Door Mini Fridge</v>
      </c>
      <c r="J6" s="61"/>
      <c r="K6" s="100">
        <f>IFERROR(__xludf.DUMMYFUNCTION("""COMPUTED_VALUE"""),45886.0)</f>
        <v>45886</v>
      </c>
      <c r="L6" s="61" t="str">
        <f>IFERROR(__xludf.DUMMYFUNCTION("""COMPUTED_VALUE"""),"Umrath")</f>
        <v>Umrath</v>
      </c>
      <c r="M6" s="64" t="str">
        <f>IFERROR(__xludf.DUMMYFUNCTION("""COMPUTED_VALUE"""),"3302")</f>
        <v>3302</v>
      </c>
      <c r="N6" s="61"/>
      <c r="O6" s="61" t="b">
        <f>COUNTIF('Delivered Rentals'!A:A, B6) &gt; 0</f>
        <v>1</v>
      </c>
      <c r="P6" s="101" t="str">
        <f>IFERROR(__xludf.DUMMYFUNCTION("""COMPUTED_VALUE"""),"09:00 AM - 11:00 AM")</f>
        <v>09:00 AM - 11:00 AM</v>
      </c>
    </row>
    <row r="7">
      <c r="A7" s="102" t="str">
        <f>IFERROR(__xludf.DUMMYFUNCTION("""COMPUTED_VALUE"""),"https://utrucking.myshopify.com/admin/orders?query=14366")</f>
        <v>https://utrucking.myshopify.com/admin/orders?query=14366</v>
      </c>
      <c r="B7" s="65" t="str">
        <f>IFERROR(__xludf.DUMMYFUNCTION("""COMPUTED_VALUE"""),"#14366")</f>
        <v>#14366</v>
      </c>
      <c r="C7" s="65" t="str">
        <f>IFERROR(__xludf.DUMMYFUNCTION("""COMPUTED_VALUE"""),"k.swathi@wustl.edu")</f>
        <v>k.swathi@wustl.edu</v>
      </c>
      <c r="D7" s="65">
        <f>IFERROR(__xludf.DUMMYFUNCTION("""COMPUTED_VALUE"""),5.084146973E9)</f>
        <v>5084146973</v>
      </c>
      <c r="E7" s="65" t="str">
        <f>IFERROR(__xludf.DUMMYFUNCTION("""COMPUTED_VALUE"""),"Swathi Kannan")</f>
        <v>Swathi Kannan</v>
      </c>
      <c r="F7" s="65"/>
      <c r="G7" s="65"/>
      <c r="H7" s="65" t="str">
        <f>IFERROR(__xludf.DUMMYFUNCTION("""COMPUTED_VALUE"""),"Appliance Rental")</f>
        <v>Appliance Rental</v>
      </c>
      <c r="I7" s="65" t="str">
        <f>IFERROR(__xludf.DUMMYFUNCTION("""COMPUTED_VALUE"""),"Double-Door Mini Fridge + Microwave")</f>
        <v>Double-Door Mini Fridge + Microwave</v>
      </c>
      <c r="J7" s="65"/>
      <c r="K7" s="103">
        <f>IFERROR(__xludf.DUMMYFUNCTION("""COMPUTED_VALUE"""),45888.0)</f>
        <v>45888</v>
      </c>
      <c r="L7" s="65" t="str">
        <f>IFERROR(__xludf.DUMMYFUNCTION("""COMPUTED_VALUE"""),"Wheeler")</f>
        <v>Wheeler</v>
      </c>
      <c r="M7" s="68">
        <f>IFERROR(__xludf.DUMMYFUNCTION("""COMPUTED_VALUE"""),3023.0)</f>
        <v>3023</v>
      </c>
      <c r="N7" s="65" t="str">
        <f>IFERROR(__xludf.DUMMYFUNCTION("""COMPUTED_VALUE"""),"Please make sure microwave and fridge are cleaned!")</f>
        <v>Please make sure microwave and fridge are cleaned!</v>
      </c>
      <c r="O7" s="65" t="b">
        <f>COUNTIF('Delivered Rentals'!A:A, B7) &gt; 0</f>
        <v>1</v>
      </c>
      <c r="P7" s="104" t="str">
        <f>IFERROR(__xludf.DUMMYFUNCTION("""COMPUTED_VALUE"""),"02:00 PM - 04:00 PM")</f>
        <v>02:00 PM - 04:00 PM</v>
      </c>
    </row>
    <row r="8">
      <c r="A8" s="99" t="str">
        <f>IFERROR(__xludf.DUMMYFUNCTION("""COMPUTED_VALUE"""),"https://utrucking.myshopify.com/admin/orders?query=14589")</f>
        <v>https://utrucking.myshopify.com/admin/orders?query=14589</v>
      </c>
      <c r="B8" s="61" t="str">
        <f>IFERROR(__xludf.DUMMYFUNCTION("""COMPUTED_VALUE"""),"#14589")</f>
        <v>#14589</v>
      </c>
      <c r="C8" s="61" t="str">
        <f>IFERROR(__xludf.DUMMYFUNCTION("""COMPUTED_VALUE"""),"c.a.rosariocalderon@wustl.edu")</f>
        <v>c.a.rosariocalderon@wustl.edu</v>
      </c>
      <c r="D8" s="61">
        <f>IFERROR(__xludf.DUMMYFUNCTION("""COMPUTED_VALUE"""),7.87236208E9)</f>
        <v>7872362080</v>
      </c>
      <c r="E8" s="61" t="str">
        <f>IFERROR(__xludf.DUMMYFUNCTION("""COMPUTED_VALUE"""),"Camila Rosario")</f>
        <v>Camila Rosario</v>
      </c>
      <c r="F8" s="61"/>
      <c r="G8" s="61"/>
      <c r="H8" s="61" t="str">
        <f>IFERROR(__xludf.DUMMYFUNCTION("""COMPUTED_VALUE"""),"Appliance Rental")</f>
        <v>Appliance Rental</v>
      </c>
      <c r="I8" s="61" t="str">
        <f>IFERROR(__xludf.DUMMYFUNCTION("""COMPUTED_VALUE"""),"Microwave Rental,Chef's Fridge Rental")</f>
        <v>Microwave Rental,Chef's Fridge Rental</v>
      </c>
      <c r="J8" s="61"/>
      <c r="K8" s="100">
        <f>IFERROR(__xludf.DUMMYFUNCTION("""COMPUTED_VALUE"""),45891.0)</f>
        <v>45891</v>
      </c>
      <c r="L8" s="61" t="str">
        <f>IFERROR(__xludf.DUMMYFUNCTION("""COMPUTED_VALUE"""),"Eliot B")</f>
        <v>Eliot B</v>
      </c>
      <c r="M8" s="64">
        <f>IFERROR(__xludf.DUMMYFUNCTION("""COMPUTED_VALUE"""),1062.0)</f>
        <v>1062</v>
      </c>
      <c r="N8" s="61" t="str">
        <f>IFERROR(__xludf.DUMMYFUNCTION("""COMPUTED_VALUE"""),"Elliot B Suite #1060
Room Assigned #1062")</f>
        <v>Elliot B Suite #1060
Room Assigned #1062</v>
      </c>
      <c r="O8" s="61" t="b">
        <f>COUNTIF('Delivered Rentals'!A:A, B8) &gt; 0</f>
        <v>1</v>
      </c>
      <c r="P8" s="101" t="str">
        <f>IFERROR(__xludf.DUMMYFUNCTION("""COMPUTED_VALUE"""),"10:00 AM - 12:00 PM")</f>
        <v>10:00 AM - 12:00 PM</v>
      </c>
    </row>
    <row r="9">
      <c r="A9" s="102" t="str">
        <f>IFERROR(__xludf.DUMMYFUNCTION("""COMPUTED_VALUE"""),"https://utrucking.myshopify.com/admin/orders?query=14740")</f>
        <v>https://utrucking.myshopify.com/admin/orders?query=14740</v>
      </c>
      <c r="B9" s="65" t="str">
        <f>IFERROR(__xludf.DUMMYFUNCTION("""COMPUTED_VALUE"""),"#14740")</f>
        <v>#14740</v>
      </c>
      <c r="C9" s="65" t="str">
        <f>IFERROR(__xludf.DUMMYFUNCTION("""COMPUTED_VALUE"""),"s.g.wollitzer@wustl.edu")</f>
        <v>s.g.wollitzer@wustl.edu</v>
      </c>
      <c r="D9" s="65">
        <f>IFERROR(__xludf.DUMMYFUNCTION("""COMPUTED_VALUE"""),4.806949495E9)</f>
        <v>4806949495</v>
      </c>
      <c r="E9" s="65" t="str">
        <f>IFERROR(__xludf.DUMMYFUNCTION("""COMPUTED_VALUE"""),"Sophie Wollitzer")</f>
        <v>Sophie Wollitzer</v>
      </c>
      <c r="F9" s="65"/>
      <c r="G9" s="65"/>
      <c r="H9" s="65" t="str">
        <f>IFERROR(__xludf.DUMMYFUNCTION("""COMPUTED_VALUE"""),"Appliance Rental")</f>
        <v>Appliance Rental</v>
      </c>
      <c r="I9" s="65" t="str">
        <f>IFERROR(__xludf.DUMMYFUNCTION("""COMPUTED_VALUE"""),"Double-Door Mini Fridge")</f>
        <v>Double-Door Mini Fridge</v>
      </c>
      <c r="J9" s="65"/>
      <c r="K9" s="103">
        <f>IFERROR(__xludf.DUMMYFUNCTION("""COMPUTED_VALUE"""),45891.0)</f>
        <v>45891</v>
      </c>
      <c r="L9" s="65" t="str">
        <f>IFERROR(__xludf.DUMMYFUNCTION("""COMPUTED_VALUE"""),"Village East")</f>
        <v>Village East</v>
      </c>
      <c r="M9" s="68">
        <f>IFERROR(__xludf.DUMMYFUNCTION("""COMPUTED_VALUE"""),2044.0)</f>
        <v>2044</v>
      </c>
      <c r="N9" s="65"/>
      <c r="O9" s="65" t="b">
        <f>COUNTIF('Delivered Rentals'!A:A, B9) &gt; 0</f>
        <v>1</v>
      </c>
      <c r="P9" s="104" t="str">
        <f>IFERROR(__xludf.DUMMYFUNCTION("""COMPUTED_VALUE"""),"09:00 AM - 11:00 AM")</f>
        <v>09:00 AM - 11:00 AM</v>
      </c>
    </row>
    <row r="10">
      <c r="A10" s="99" t="str">
        <f>IFERROR(__xludf.DUMMYFUNCTION("""COMPUTED_VALUE"""),"https://utrucking.myshopify.com/admin/orders?query=14927")</f>
        <v>https://utrucking.myshopify.com/admin/orders?query=14927</v>
      </c>
      <c r="B10" s="61" t="str">
        <f>IFERROR(__xludf.DUMMYFUNCTION("""COMPUTED_VALUE"""),"#14927")</f>
        <v>#14927</v>
      </c>
      <c r="C10" s="61" t="str">
        <f>IFERROR(__xludf.DUMMYFUNCTION("""COMPUTED_VALUE"""),"n.b.reichert@wustl.edu")</f>
        <v>n.b.reichert@wustl.edu</v>
      </c>
      <c r="D10" s="61">
        <f>IFERROR(__xludf.DUMMYFUNCTION("""COMPUTED_VALUE"""),8.596199247E9)</f>
        <v>8596199247</v>
      </c>
      <c r="E10" s="61" t="str">
        <f>IFERROR(__xludf.DUMMYFUNCTION("""COMPUTED_VALUE"""),"Nora Reichert")</f>
        <v>Nora Reichert</v>
      </c>
      <c r="F10" s="61"/>
      <c r="G10" s="61"/>
      <c r="H10" s="61" t="str">
        <f>IFERROR(__xludf.DUMMYFUNCTION("""COMPUTED_VALUE"""),"Appliance Rental")</f>
        <v>Appliance Rental</v>
      </c>
      <c r="I10" s="61" t="str">
        <f>IFERROR(__xludf.DUMMYFUNCTION("""COMPUTED_VALUE"""),"Double-Door Mini Fridge")</f>
        <v>Double-Door Mini Fridge</v>
      </c>
      <c r="J10" s="61"/>
      <c r="K10" s="100">
        <f>IFERROR(__xludf.DUMMYFUNCTION("""COMPUTED_VALUE"""),45883.0)</f>
        <v>45883</v>
      </c>
      <c r="L10" s="61" t="str">
        <f>IFERROR(__xludf.DUMMYFUNCTION("""COMPUTED_VALUE"""),"Hurd")</f>
        <v>Hurd</v>
      </c>
      <c r="M10" s="64">
        <f>IFERROR(__xludf.DUMMYFUNCTION("""COMPUTED_VALUE"""),143.0)</f>
        <v>143</v>
      </c>
      <c r="N10" s="61"/>
      <c r="O10" s="61" t="b">
        <f>COUNTIF('Delivered Rentals'!A:A, B10) &gt; 0</f>
        <v>1</v>
      </c>
      <c r="P10" s="101" t="str">
        <f>IFERROR(__xludf.DUMMYFUNCTION("""COMPUTED_VALUE"""),"01:00 PM to 03:00 PM")</f>
        <v>01:00 PM to 03:00 PM</v>
      </c>
    </row>
    <row r="11">
      <c r="A11" s="102" t="str">
        <f>IFERROR(__xludf.DUMMYFUNCTION("""COMPUTED_VALUE"""),"https://utrucking.myshopify.com/admin/orders?query=14938")</f>
        <v>https://utrucking.myshopify.com/admin/orders?query=14938</v>
      </c>
      <c r="B11" s="65" t="str">
        <f>IFERROR(__xludf.DUMMYFUNCTION("""COMPUTED_VALUE"""),"#14938")</f>
        <v>#14938</v>
      </c>
      <c r="C11" s="65" t="str">
        <f>IFERROR(__xludf.DUMMYFUNCTION("""COMPUTED_VALUE"""),"jordyn.m.white@wustl.edu")</f>
        <v>jordyn.m.white@wustl.edu</v>
      </c>
      <c r="D11" s="65">
        <f>IFERROR(__xludf.DUMMYFUNCTION("""COMPUTED_VALUE"""),3.01529447E9)</f>
        <v>3015294470</v>
      </c>
      <c r="E11" s="65" t="str">
        <f>IFERROR(__xludf.DUMMYFUNCTION("""COMPUTED_VALUE"""),"Jordyn White")</f>
        <v>Jordyn White</v>
      </c>
      <c r="F11" s="65"/>
      <c r="G11" s="65"/>
      <c r="H11" s="65" t="str">
        <f>IFERROR(__xludf.DUMMYFUNCTION("""COMPUTED_VALUE"""),"Appliance Rental")</f>
        <v>Appliance Rental</v>
      </c>
      <c r="I11" s="65" t="str">
        <f>IFERROR(__xludf.DUMMYFUNCTION("""COMPUTED_VALUE"""),"Double-Door Mini Fridge")</f>
        <v>Double-Door Mini Fridge</v>
      </c>
      <c r="J11" s="65"/>
      <c r="K11" s="103">
        <f>IFERROR(__xludf.DUMMYFUNCTION("""COMPUTED_VALUE"""),45891.0)</f>
        <v>45891</v>
      </c>
      <c r="L11" s="65" t="str">
        <f>IFERROR(__xludf.DUMMYFUNCTION("""COMPUTED_VALUE"""),"Lopata")</f>
        <v>Lopata</v>
      </c>
      <c r="M11" s="68" t="str">
        <f>IFERROR(__xludf.DUMMYFUNCTION("""COMPUTED_VALUE"""),"3091A")</f>
        <v>3091A</v>
      </c>
      <c r="N11" s="65"/>
      <c r="O11" s="65" t="b">
        <f>COUNTIF('Delivered Rentals'!A:A, B11) &gt; 0</f>
        <v>1</v>
      </c>
      <c r="P11" s="104" t="str">
        <f>IFERROR(__xludf.DUMMYFUNCTION("""COMPUTED_VALUE"""),"09:00 AM - 11:00 AM")</f>
        <v>09:00 AM - 11:00 AM</v>
      </c>
    </row>
    <row r="12">
      <c r="A12" s="99" t="str">
        <f>IFERROR(__xludf.DUMMYFUNCTION("""COMPUTED_VALUE"""),"https://utrucking.myshopify.com/admin/orders?query=14978")</f>
        <v>https://utrucking.myshopify.com/admin/orders?query=14978</v>
      </c>
      <c r="B12" s="61" t="str">
        <f>IFERROR(__xludf.DUMMYFUNCTION("""COMPUTED_VALUE"""),"#14978")</f>
        <v>#14978</v>
      </c>
      <c r="C12" s="61" t="str">
        <f>IFERROR(__xludf.DUMMYFUNCTION("""COMPUTED_VALUE"""),"b.b.rickert@wustl.edu")</f>
        <v>b.b.rickert@wustl.edu</v>
      </c>
      <c r="D12" s="61">
        <f>IFERROR(__xludf.DUMMYFUNCTION("""COMPUTED_VALUE"""),5.155877424E9)</f>
        <v>5155877424</v>
      </c>
      <c r="E12" s="61" t="str">
        <f>IFERROR(__xludf.DUMMYFUNCTION("""COMPUTED_VALUE"""),"Ben Rickert")</f>
        <v>Ben Rickert</v>
      </c>
      <c r="F12" s="61"/>
      <c r="G12" s="61"/>
      <c r="H12" s="61" t="str">
        <f>IFERROR(__xludf.DUMMYFUNCTION("""COMPUTED_VALUE"""),"Appliance Rental")</f>
        <v>Appliance Rental</v>
      </c>
      <c r="I12" s="61" t="str">
        <f>IFERROR(__xludf.DUMMYFUNCTION("""COMPUTED_VALUE"""),"Chef's Fridge Rental")</f>
        <v>Chef's Fridge Rental</v>
      </c>
      <c r="J12" s="61"/>
      <c r="K12" s="100">
        <f>IFERROR(__xludf.DUMMYFUNCTION("""COMPUTED_VALUE"""),45891.0)</f>
        <v>45891</v>
      </c>
      <c r="L12" s="61" t="str">
        <f>IFERROR(__xludf.DUMMYFUNCTION("""COMPUTED_VALUE"""),"Village House")</f>
        <v>Village House</v>
      </c>
      <c r="M12" s="64" t="str">
        <f>IFERROR(__xludf.DUMMYFUNCTION("""COMPUTED_VALUE"""),"4081 - a")</f>
        <v>4081 - a</v>
      </c>
      <c r="N12" s="61"/>
      <c r="O12" s="61" t="b">
        <f>COUNTIF('Delivered Rentals'!A:A, B12) &gt; 0</f>
        <v>1</v>
      </c>
      <c r="P12" s="101" t="str">
        <f>IFERROR(__xludf.DUMMYFUNCTION("""COMPUTED_VALUE"""),"02:00 PM - 04:00 PM")</f>
        <v>02:00 PM - 04:00 PM</v>
      </c>
    </row>
    <row r="13">
      <c r="A13" s="102" t="str">
        <f>IFERROR(__xludf.DUMMYFUNCTION("""COMPUTED_VALUE"""),"https://utrucking.myshopify.com/admin/orders?query=14994")</f>
        <v>https://utrucking.myshopify.com/admin/orders?query=14994</v>
      </c>
      <c r="B13" s="65" t="str">
        <f>IFERROR(__xludf.DUMMYFUNCTION("""COMPUTED_VALUE"""),"#14994")</f>
        <v>#14994</v>
      </c>
      <c r="C13" s="65" t="str">
        <f>IFERROR(__xludf.DUMMYFUNCTION("""COMPUTED_VALUE"""),"b.k.wagner@wustl.edu")</f>
        <v>b.k.wagner@wustl.edu</v>
      </c>
      <c r="D13" s="65">
        <f>IFERROR(__xludf.DUMMYFUNCTION("""COMPUTED_VALUE"""),6.788306322E9)</f>
        <v>6788306322</v>
      </c>
      <c r="E13" s="65" t="str">
        <f>IFERROR(__xludf.DUMMYFUNCTION("""COMPUTED_VALUE"""),"Blair Wagner")</f>
        <v>Blair Wagner</v>
      </c>
      <c r="F13" s="65"/>
      <c r="G13" s="65"/>
      <c r="H13" s="65" t="str">
        <f>IFERROR(__xludf.DUMMYFUNCTION("""COMPUTED_VALUE"""),"Appliance Rental")</f>
        <v>Appliance Rental</v>
      </c>
      <c r="I13" s="65" t="str">
        <f>IFERROR(__xludf.DUMMYFUNCTION("""COMPUTED_VALUE"""),"Double-Door Mini Fridge + Microwave")</f>
        <v>Double-Door Mini Fridge + Microwave</v>
      </c>
      <c r="J13" s="65"/>
      <c r="K13" s="103">
        <f>IFERROR(__xludf.DUMMYFUNCTION("""COMPUTED_VALUE"""),45870.0)</f>
        <v>45870</v>
      </c>
      <c r="L13" s="65" t="str">
        <f>IFERROR(__xludf.DUMMYFUNCTION("""COMPUTED_VALUE"""),"Dardick")</f>
        <v>Dardick</v>
      </c>
      <c r="M13" s="68" t="str">
        <f>IFERROR(__xludf.DUMMYFUNCTION("""COMPUTED_VALUE"""),"1109-a")</f>
        <v>1109-a</v>
      </c>
      <c r="N13" s="65" t="str">
        <f>IFERROR(__xludf.DUMMYFUNCTION("""COMPUTED_VALUE"""),"Freshman move in date is either the Aug 15th or 16th. Date not confirmed as of 5-13-25.")</f>
        <v>Freshman move in date is either the Aug 15th or 16th. Date not confirmed as of 5-13-25.</v>
      </c>
      <c r="O13" s="65" t="b">
        <f>COUNTIF('Delivered Rentals'!A:A, B13) &gt; 0</f>
        <v>1</v>
      </c>
      <c r="P13" s="104" t="str">
        <f>IFERROR(__xludf.DUMMYFUNCTION("""COMPUTED_VALUE"""),"09:00 AM - 11:00 AM")</f>
        <v>09:00 AM - 11:00 AM</v>
      </c>
    </row>
    <row r="14">
      <c r="A14" s="99" t="str">
        <f>IFERROR(__xludf.DUMMYFUNCTION("""COMPUTED_VALUE"""),"https://utrucking.myshopify.com/admin/orders?query=14999")</f>
        <v>https://utrucking.myshopify.com/admin/orders?query=14999</v>
      </c>
      <c r="B14" s="61" t="str">
        <f>IFERROR(__xludf.DUMMYFUNCTION("""COMPUTED_VALUE"""),"#14999")</f>
        <v>#14999</v>
      </c>
      <c r="C14" s="61" t="str">
        <f>IFERROR(__xludf.DUMMYFUNCTION("""COMPUTED_VALUE"""),"Marlowe@wustl.edu")</f>
        <v>Marlowe@wustl.edu</v>
      </c>
      <c r="D14" s="61">
        <f>IFERROR(__xludf.DUMMYFUNCTION("""COMPUTED_VALUE"""),9.146464187E9)</f>
        <v>9146464187</v>
      </c>
      <c r="E14" s="61" t="str">
        <f>IFERROR(__xludf.DUMMYFUNCTION("""COMPUTED_VALUE"""),"Taylor Marlowe")</f>
        <v>Taylor Marlowe</v>
      </c>
      <c r="F14" s="61"/>
      <c r="G14" s="61"/>
      <c r="H14" s="61" t="str">
        <f>IFERROR(__xludf.DUMMYFUNCTION("""COMPUTED_VALUE"""),"Appliance Rental")</f>
        <v>Appliance Rental</v>
      </c>
      <c r="I14" s="61" t="str">
        <f>IFERROR(__xludf.DUMMYFUNCTION("""COMPUTED_VALUE"""),"Double-Door Mini Fridge")</f>
        <v>Double-Door Mini Fridge</v>
      </c>
      <c r="J14" s="61"/>
      <c r="K14" s="100">
        <f>IFERROR(__xludf.DUMMYFUNCTION("""COMPUTED_VALUE"""),45883.0)</f>
        <v>45883</v>
      </c>
      <c r="L14" s="61" t="str">
        <f>IFERROR(__xludf.DUMMYFUNCTION("""COMPUTED_VALUE"""),"DON'T KNOW YET (put 'XXX' for room #)")</f>
        <v>DON'T KNOW YET (put 'XXX' for room #)</v>
      </c>
      <c r="M14" s="64" t="str">
        <f>IFERROR(__xludf.DUMMYFUNCTION("""COMPUTED_VALUE"""),"xxx")</f>
        <v>xxx</v>
      </c>
      <c r="N14" s="61"/>
      <c r="O14" s="61" t="b">
        <f>COUNTIF('Delivered Rentals'!A:A, B14) &gt; 0</f>
        <v>1</v>
      </c>
      <c r="P14" s="101" t="str">
        <f>IFERROR(__xludf.DUMMYFUNCTION("""COMPUTED_VALUE"""),"09:00 AM - 11:00 AM")</f>
        <v>09:00 AM - 11:00 AM</v>
      </c>
    </row>
    <row r="15">
      <c r="A15" s="102" t="str">
        <f>IFERROR(__xludf.DUMMYFUNCTION("""COMPUTED_VALUE"""),"https://utrucking.myshopify.com/admin/orders?query=15023")</f>
        <v>https://utrucking.myshopify.com/admin/orders?query=15023</v>
      </c>
      <c r="B15" s="65" t="str">
        <f>IFERROR(__xludf.DUMMYFUNCTION("""COMPUTED_VALUE"""),"#15023")</f>
        <v>#15023</v>
      </c>
      <c r="C15" s="65" t="str">
        <f>IFERROR(__xludf.DUMMYFUNCTION("""COMPUTED_VALUE"""),"mason.m@wustl.edu")</f>
        <v>mason.m@wustl.edu</v>
      </c>
      <c r="D15" s="65">
        <f>IFERROR(__xludf.DUMMYFUNCTION("""COMPUTED_VALUE"""),4.439707907E9)</f>
        <v>4439707907</v>
      </c>
      <c r="E15" s="65" t="str">
        <f>IFERROR(__xludf.DUMMYFUNCTION("""COMPUTED_VALUE"""),"Mason Miller")</f>
        <v>Mason Miller</v>
      </c>
      <c r="F15" s="65"/>
      <c r="G15" s="65"/>
      <c r="H15" s="65" t="str">
        <f>IFERROR(__xludf.DUMMYFUNCTION("""COMPUTED_VALUE"""),"Appliance Rental")</f>
        <v>Appliance Rental</v>
      </c>
      <c r="I15" s="65" t="str">
        <f>IFERROR(__xludf.DUMMYFUNCTION("""COMPUTED_VALUE"""),"Double-Door Mini Fridge")</f>
        <v>Double-Door Mini Fridge</v>
      </c>
      <c r="J15" s="65"/>
      <c r="K15" s="103">
        <f>IFERROR(__xludf.DUMMYFUNCTION("""COMPUTED_VALUE"""),45889.0)</f>
        <v>45889</v>
      </c>
      <c r="L15" s="65" t="str">
        <f>IFERROR(__xludf.DUMMYFUNCTION("""COMPUTED_VALUE"""),"Lopata")</f>
        <v>Lopata</v>
      </c>
      <c r="M15" s="68">
        <f>IFERROR(__xludf.DUMMYFUNCTION("""COMPUTED_VALUE"""),3092.0)</f>
        <v>3092</v>
      </c>
      <c r="N15" s="65"/>
      <c r="O15" s="65" t="b">
        <f>COUNTIF('Delivered Rentals'!A:A, B15) &gt; 0</f>
        <v>1</v>
      </c>
      <c r="P15" s="104" t="str">
        <f>IFERROR(__xludf.DUMMYFUNCTION("""COMPUTED_VALUE"""),"01:00 PM - 03:00 PM")</f>
        <v>01:00 PM - 03:00 PM</v>
      </c>
    </row>
    <row r="16">
      <c r="A16" s="99" t="str">
        <f>IFERROR(__xludf.DUMMYFUNCTION("""COMPUTED_VALUE"""),"https://utrucking.myshopify.com/admin/orders?query=15025")</f>
        <v>https://utrucking.myshopify.com/admin/orders?query=15025</v>
      </c>
      <c r="B16" s="61" t="str">
        <f>IFERROR(__xludf.DUMMYFUNCTION("""COMPUTED_VALUE"""),"#15025")</f>
        <v>#15025</v>
      </c>
      <c r="C16" s="61" t="str">
        <f>IFERROR(__xludf.DUMMYFUNCTION("""COMPUTED_VALUE"""),"k.s.tanguturi@wustl.edu")</f>
        <v>k.s.tanguturi@wustl.edu</v>
      </c>
      <c r="D16" s="61">
        <f>IFERROR(__xludf.DUMMYFUNCTION("""COMPUTED_VALUE"""),5.618152648E9)</f>
        <v>5618152648</v>
      </c>
      <c r="E16" s="61" t="str">
        <f>IFERROR(__xludf.DUMMYFUNCTION("""COMPUTED_VALUE"""),"Kashyap Tanguturi")</f>
        <v>Kashyap Tanguturi</v>
      </c>
      <c r="F16" s="61"/>
      <c r="G16" s="61"/>
      <c r="H16" s="61" t="str">
        <f>IFERROR(__xludf.DUMMYFUNCTION("""COMPUTED_VALUE"""),"Appliance Rental")</f>
        <v>Appliance Rental</v>
      </c>
      <c r="I16" s="61" t="str">
        <f>IFERROR(__xludf.DUMMYFUNCTION("""COMPUTED_VALUE"""),"Microwave Rental,Chef's Fridge Rental")</f>
        <v>Microwave Rental,Chef's Fridge Rental</v>
      </c>
      <c r="J16" s="61"/>
      <c r="K16" s="100">
        <f>IFERROR(__xludf.DUMMYFUNCTION("""COMPUTED_VALUE"""),45889.0)</f>
        <v>45889</v>
      </c>
      <c r="L16" s="61" t="str">
        <f>IFERROR(__xludf.DUMMYFUNCTION("""COMPUTED_VALUE"""),"Zetcher")</f>
        <v>Zetcher</v>
      </c>
      <c r="M16" s="64" t="str">
        <f>IFERROR(__xludf.DUMMYFUNCTION("""COMPUTED_VALUE"""),"2182 - a")</f>
        <v>2182 - a</v>
      </c>
      <c r="N16" s="61"/>
      <c r="O16" s="61" t="b">
        <f>COUNTIF('Delivered Rentals'!A:A, B16) &gt; 0</f>
        <v>1</v>
      </c>
      <c r="P16" s="101" t="str">
        <f>IFERROR(__xludf.DUMMYFUNCTION("""COMPUTED_VALUE"""),"11:00 AM - 01:00 PM")</f>
        <v>11:00 AM - 01:00 PM</v>
      </c>
    </row>
    <row r="17">
      <c r="A17" s="102" t="str">
        <f>IFERROR(__xludf.DUMMYFUNCTION("""COMPUTED_VALUE"""),"https://utrucking.myshopify.com/admin/orders?query=15030")</f>
        <v>https://utrucking.myshopify.com/admin/orders?query=15030</v>
      </c>
      <c r="B17" s="65" t="str">
        <f>IFERROR(__xludf.DUMMYFUNCTION("""COMPUTED_VALUE"""),"#15030")</f>
        <v>#15030</v>
      </c>
      <c r="C17" s="65" t="str">
        <f>IFERROR(__xludf.DUMMYFUNCTION("""COMPUTED_VALUE"""),"a.s.park@wustl.edu")</f>
        <v>a.s.park@wustl.edu</v>
      </c>
      <c r="D17" s="65">
        <f>IFERROR(__xludf.DUMMYFUNCTION("""COMPUTED_VALUE"""),4.694510901E9)</f>
        <v>4694510901</v>
      </c>
      <c r="E17" s="65" t="str">
        <f>IFERROR(__xludf.DUMMYFUNCTION("""COMPUTED_VALUE"""),"Alexander Park")</f>
        <v>Alexander Park</v>
      </c>
      <c r="F17" s="65"/>
      <c r="G17" s="65"/>
      <c r="H17" s="65" t="str">
        <f>IFERROR(__xludf.DUMMYFUNCTION("""COMPUTED_VALUE"""),"Appliance Rental")</f>
        <v>Appliance Rental</v>
      </c>
      <c r="I17" s="65" t="str">
        <f>IFERROR(__xludf.DUMMYFUNCTION("""COMPUTED_VALUE"""),"Standard Mini Fridge")</f>
        <v>Standard Mini Fridge</v>
      </c>
      <c r="J17" s="65"/>
      <c r="K17" s="103">
        <f>IFERROR(__xludf.DUMMYFUNCTION("""COMPUTED_VALUE"""),45878.0)</f>
        <v>45878</v>
      </c>
      <c r="L17" s="65" t="str">
        <f>IFERROR(__xludf.DUMMYFUNCTION("""COMPUTED_VALUE"""),"Shepley")</f>
        <v>Shepley</v>
      </c>
      <c r="M17" s="68" t="str">
        <f>IFERROR(__xludf.DUMMYFUNCTION("""COMPUTED_VALUE"""),"4031 - a")</f>
        <v>4031 - a</v>
      </c>
      <c r="N17" s="65"/>
      <c r="O17" s="65" t="b">
        <f>COUNTIF('Delivered Rentals'!A:A, B17) &gt; 0</f>
        <v>1</v>
      </c>
      <c r="P17" s="104" t="str">
        <f>IFERROR(__xludf.DUMMYFUNCTION("""COMPUTED_VALUE"""),"09:00 AM - 11:00 AM")</f>
        <v>09:00 AM - 11:00 AM</v>
      </c>
    </row>
    <row r="18">
      <c r="A18" s="99" t="str">
        <f>IFERROR(__xludf.DUMMYFUNCTION("""COMPUTED_VALUE"""),"https://utrucking.myshopify.com/admin/orders?query=15037")</f>
        <v>https://utrucking.myshopify.com/admin/orders?query=15037</v>
      </c>
      <c r="B18" s="61" t="str">
        <f>IFERROR(__xludf.DUMMYFUNCTION("""COMPUTED_VALUE"""),"#15037")</f>
        <v>#15037</v>
      </c>
      <c r="C18" s="61" t="str">
        <f>IFERROR(__xludf.DUMMYFUNCTION("""COMPUTED_VALUE"""),"shrier@wustl.edu")</f>
        <v>shrier@wustl.edu</v>
      </c>
      <c r="D18" s="61">
        <f>IFERROR(__xludf.DUMMYFUNCTION("""COMPUTED_VALUE"""),2.019838725E9)</f>
        <v>2019838725</v>
      </c>
      <c r="E18" s="61" t="str">
        <f>IFERROR(__xludf.DUMMYFUNCTION("""COMPUTED_VALUE"""),"Sienna Shrier")</f>
        <v>Sienna Shrier</v>
      </c>
      <c r="F18" s="61"/>
      <c r="G18" s="61"/>
      <c r="H18" s="61" t="str">
        <f>IFERROR(__xludf.DUMMYFUNCTION("""COMPUTED_VALUE"""),"Appliance Rental")</f>
        <v>Appliance Rental</v>
      </c>
      <c r="I18" s="61" t="str">
        <f>IFERROR(__xludf.DUMMYFUNCTION("""COMPUTED_VALUE"""),"Double-Door Mini Fridge + Microwave")</f>
        <v>Double-Door Mini Fridge + Microwave</v>
      </c>
      <c r="J18" s="61"/>
      <c r="K18" s="100">
        <f>IFERROR(__xludf.DUMMYFUNCTION("""COMPUTED_VALUE"""),45883.0)</f>
        <v>45883</v>
      </c>
      <c r="L18" s="61"/>
      <c r="M18" s="64"/>
      <c r="N18" s="61" t="str">
        <f>IFERROR(__xludf.DUMMYFUNCTION("""COMPUTED_VALUE"""),"charged card used in registration for tsa home pickup -Joseph")</f>
        <v>charged card used in registration for tsa home pickup -Joseph</v>
      </c>
      <c r="O18" s="61" t="b">
        <f>COUNTIF('Delivered Rentals'!A:A, B18) &gt; 0</f>
        <v>1</v>
      </c>
      <c r="P18" s="101"/>
    </row>
    <row r="19">
      <c r="A19" s="102" t="str">
        <f>IFERROR(__xludf.DUMMYFUNCTION("""COMPUTED_VALUE"""),"https://utrucking.myshopify.com/admin/orders?query=15041")</f>
        <v>https://utrucking.myshopify.com/admin/orders?query=15041</v>
      </c>
      <c r="B19" s="65" t="str">
        <f>IFERROR(__xludf.DUMMYFUNCTION("""COMPUTED_VALUE"""),"#15041")</f>
        <v>#15041</v>
      </c>
      <c r="C19" s="65" t="str">
        <f>IFERROR(__xludf.DUMMYFUNCTION("""COMPUTED_VALUE"""),"cohen.h.a@wustl.edu")</f>
        <v>cohen.h.a@wustl.edu</v>
      </c>
      <c r="D19" s="65">
        <f>IFERROR(__xludf.DUMMYFUNCTION("""COMPUTED_VALUE"""),6.077937487E9)</f>
        <v>6077937487</v>
      </c>
      <c r="E19" s="65" t="str">
        <f>IFERROR(__xludf.DUMMYFUNCTION("""COMPUTED_VALUE"""),"Harper Cohen")</f>
        <v>Harper Cohen</v>
      </c>
      <c r="F19" s="65"/>
      <c r="G19" s="65"/>
      <c r="H19" s="65" t="str">
        <f>IFERROR(__xludf.DUMMYFUNCTION("""COMPUTED_VALUE"""),"Appliance Rental")</f>
        <v>Appliance Rental</v>
      </c>
      <c r="I19" s="65" t="str">
        <f>IFERROR(__xludf.DUMMYFUNCTION("""COMPUTED_VALUE"""),"Chef's Fridge Rental,Microwave Rental")</f>
        <v>Chef's Fridge Rental,Microwave Rental</v>
      </c>
      <c r="J19" s="65"/>
      <c r="K19" s="103">
        <f>IFERROR(__xludf.DUMMYFUNCTION("""COMPUTED_VALUE"""),45883.0)</f>
        <v>45883</v>
      </c>
      <c r="L19" s="65" t="str">
        <f>IFERROR(__xludf.DUMMYFUNCTION("""COMPUTED_VALUE"""),"Lien")</f>
        <v>Lien</v>
      </c>
      <c r="M19" s="68" t="str">
        <f>IFERROR(__xludf.DUMMYFUNCTION("""COMPUTED_VALUE"""),"2224")</f>
        <v>2224</v>
      </c>
      <c r="N19" s="65"/>
      <c r="O19" s="65" t="b">
        <f>COUNTIF('Delivered Rentals'!A:A, B19) &gt; 0</f>
        <v>1</v>
      </c>
      <c r="P19" s="104" t="str">
        <f>IFERROR(__xludf.DUMMYFUNCTION("""COMPUTED_VALUE"""),"10:00 AM to 12:00 PM")</f>
        <v>10:00 AM to 12:00 PM</v>
      </c>
    </row>
    <row r="20">
      <c r="A20" s="99" t="str">
        <f>IFERROR(__xludf.DUMMYFUNCTION("""COMPUTED_VALUE"""),"https://utrucking.myshopify.com/admin/orders?query=15054")</f>
        <v>https://utrucking.myshopify.com/admin/orders?query=15054</v>
      </c>
      <c r="B20" s="61" t="str">
        <f>IFERROR(__xludf.DUMMYFUNCTION("""COMPUTED_VALUE"""),"#15054")</f>
        <v>#15054</v>
      </c>
      <c r="C20" s="61" t="str">
        <f>IFERROR(__xludf.DUMMYFUNCTION("""COMPUTED_VALUE"""),"bess.h@wustl.edu")</f>
        <v>bess.h@wustl.edu</v>
      </c>
      <c r="D20" s="61">
        <f>IFERROR(__xludf.DUMMYFUNCTION("""COMPUTED_VALUE"""),9.17699277E9)</f>
        <v>9176992770</v>
      </c>
      <c r="E20" s="61" t="str">
        <f>IFERROR(__xludf.DUMMYFUNCTION("""COMPUTED_VALUE"""),"Hannah Bess")</f>
        <v>Hannah Bess</v>
      </c>
      <c r="F20" s="61"/>
      <c r="G20" s="61"/>
      <c r="H20" s="61" t="str">
        <f>IFERROR(__xludf.DUMMYFUNCTION("""COMPUTED_VALUE"""),"Appliance Rental")</f>
        <v>Appliance Rental</v>
      </c>
      <c r="I20" s="61" t="str">
        <f>IFERROR(__xludf.DUMMYFUNCTION("""COMPUTED_VALUE"""),"Double-Door Mini Fridge")</f>
        <v>Double-Door Mini Fridge</v>
      </c>
      <c r="J20" s="61"/>
      <c r="K20" s="100">
        <f>IFERROR(__xludf.DUMMYFUNCTION("""COMPUTED_VALUE"""),45883.0)</f>
        <v>45883</v>
      </c>
      <c r="L20" s="61" t="str">
        <f>IFERROR(__xludf.DUMMYFUNCTION("""COMPUTED_VALUE"""),"Lopata")</f>
        <v>Lopata</v>
      </c>
      <c r="M20" s="64">
        <f>IFERROR(__xludf.DUMMYFUNCTION("""COMPUTED_VALUE"""),1111.0)</f>
        <v>1111</v>
      </c>
      <c r="N20" s="61"/>
      <c r="O20" s="61" t="b">
        <f>COUNTIF('Delivered Rentals'!A:A, B20) &gt; 0</f>
        <v>1</v>
      </c>
      <c r="P20" s="101" t="str">
        <f>IFERROR(__xludf.DUMMYFUNCTION("""COMPUTED_VALUE"""),"02:00 PM - 04:00 PM")</f>
        <v>02:00 PM - 04:00 PM</v>
      </c>
    </row>
    <row r="21">
      <c r="A21" s="102" t="str">
        <f>IFERROR(__xludf.DUMMYFUNCTION("""COMPUTED_VALUE"""),"https://utrucking.myshopify.com/admin/orders?query=15055")</f>
        <v>https://utrucking.myshopify.com/admin/orders?query=15055</v>
      </c>
      <c r="B21" s="65" t="str">
        <f>IFERROR(__xludf.DUMMYFUNCTION("""COMPUTED_VALUE"""),"#15055")</f>
        <v>#15055</v>
      </c>
      <c r="C21" s="65" t="str">
        <f>IFERROR(__xludf.DUMMYFUNCTION("""COMPUTED_VALUE"""),"anna.j.schwartz@wustl.edu")</f>
        <v>anna.j.schwartz@wustl.edu</v>
      </c>
      <c r="D21" s="65">
        <f>IFERROR(__xludf.DUMMYFUNCTION("""COMPUTED_VALUE"""),4.043457378E9)</f>
        <v>4043457378</v>
      </c>
      <c r="E21" s="65" t="str">
        <f>IFERROR(__xludf.DUMMYFUNCTION("""COMPUTED_VALUE"""),"Anna Schwartz")</f>
        <v>Anna Schwartz</v>
      </c>
      <c r="F21" s="65"/>
      <c r="G21" s="65"/>
      <c r="H21" s="65" t="str">
        <f>IFERROR(__xludf.DUMMYFUNCTION("""COMPUTED_VALUE"""),"Appliance Rental")</f>
        <v>Appliance Rental</v>
      </c>
      <c r="I21" s="65" t="str">
        <f>IFERROR(__xludf.DUMMYFUNCTION("""COMPUTED_VALUE"""),"Microwave Rental,Chef's Fridge Rental")</f>
        <v>Microwave Rental,Chef's Fridge Rental</v>
      </c>
      <c r="J21" s="65"/>
      <c r="K21" s="103">
        <f>IFERROR(__xludf.DUMMYFUNCTION("""COMPUTED_VALUE"""),45878.0)</f>
        <v>45878</v>
      </c>
      <c r="L21" s="65" t="str">
        <f>IFERROR(__xludf.DUMMYFUNCTION("""COMPUTED_VALUE"""),"Village House")</f>
        <v>Village House</v>
      </c>
      <c r="M21" s="68" t="str">
        <f>IFERROR(__xludf.DUMMYFUNCTION("""COMPUTED_VALUE"""),"4071-a")</f>
        <v>4071-a</v>
      </c>
      <c r="N21" s="65" t="str">
        <f>IFERROR(__xludf.DUMMYFUNCTION("""COMPUTED_VALUE"""),"Arriving on August")</f>
        <v>Arriving on August</v>
      </c>
      <c r="O21" s="65" t="b">
        <f>COUNTIF('Delivered Rentals'!A:A, B21) &gt; 0</f>
        <v>1</v>
      </c>
      <c r="P21" s="104" t="str">
        <f>IFERROR(__xludf.DUMMYFUNCTION("""COMPUTED_VALUE"""),"09:00 AM to 11:00 AM")</f>
        <v>09:00 AM to 11:00 AM</v>
      </c>
    </row>
    <row r="22">
      <c r="A22" s="99" t="str">
        <f>IFERROR(__xludf.DUMMYFUNCTION("""COMPUTED_VALUE"""),"https://utrucking.myshopify.com/admin/orders?query=15060")</f>
        <v>https://utrucking.myshopify.com/admin/orders?query=15060</v>
      </c>
      <c r="B22" s="61" t="str">
        <f>IFERROR(__xludf.DUMMYFUNCTION("""COMPUTED_VALUE"""),"#15060")</f>
        <v>#15060</v>
      </c>
      <c r="C22" s="61" t="str">
        <f>IFERROR(__xludf.DUMMYFUNCTION("""COMPUTED_VALUE"""),"p.tamia@wustl.edu")</f>
        <v>p.tamia@wustl.edu</v>
      </c>
      <c r="D22" s="61">
        <f>IFERROR(__xludf.DUMMYFUNCTION("""COMPUTED_VALUE"""),8.43499233E9)</f>
        <v>8434992330</v>
      </c>
      <c r="E22" s="61" t="str">
        <f>IFERROR(__xludf.DUMMYFUNCTION("""COMPUTED_VALUE"""),"Tamia Prioleau")</f>
        <v>Tamia Prioleau</v>
      </c>
      <c r="F22" s="61"/>
      <c r="G22" s="61"/>
      <c r="H22" s="61" t="str">
        <f>IFERROR(__xludf.DUMMYFUNCTION("""COMPUTED_VALUE"""),"Appliance Rental")</f>
        <v>Appliance Rental</v>
      </c>
      <c r="I22" s="61" t="str">
        <f>IFERROR(__xludf.DUMMYFUNCTION("""COMPUTED_VALUE"""),"Microwave Rental,Chef's Fridge Rental")</f>
        <v>Microwave Rental,Chef's Fridge Rental</v>
      </c>
      <c r="J22" s="61"/>
      <c r="K22" s="100">
        <f>IFERROR(__xludf.DUMMYFUNCTION("""COMPUTED_VALUE"""),45876.0)</f>
        <v>45876</v>
      </c>
      <c r="L22" s="61" t="str">
        <f>IFERROR(__xludf.DUMMYFUNCTION("""COMPUTED_VALUE"""),"Liggett")</f>
        <v>Liggett</v>
      </c>
      <c r="M22" s="64" t="str">
        <f>IFERROR(__xludf.DUMMYFUNCTION("""COMPUTED_VALUE"""),"3422 - a")</f>
        <v>3422 - a</v>
      </c>
      <c r="N22" s="61"/>
      <c r="O22" s="61" t="b">
        <f>COUNTIF('Delivered Rentals'!A:A, B22) &gt; 0</f>
        <v>1</v>
      </c>
      <c r="P22" s="101" t="str">
        <f>IFERROR(__xludf.DUMMYFUNCTION("""COMPUTED_VALUE"""),"11:00 AM - 01:00 PM")</f>
        <v>11:00 AM - 01:00 PM</v>
      </c>
    </row>
    <row r="23">
      <c r="A23" s="102" t="str">
        <f>IFERROR(__xludf.DUMMYFUNCTION("""COMPUTED_VALUE"""),"https://admin.shopify.com/store/utrucking/orders/5865974038716?link_source=search")</f>
        <v>https://admin.shopify.com/store/utrucking/orders/5865974038716?link_source=search</v>
      </c>
      <c r="B23" s="65" t="str">
        <f>IFERROR(__xludf.DUMMYFUNCTION("""COMPUTED_VALUE"""),"#15064")</f>
        <v>#15064</v>
      </c>
      <c r="C23" s="65"/>
      <c r="D23" s="65" t="str">
        <f>IFERROR(__xludf.DUMMYFUNCTION("""COMPUTED_VALUE"""),"847-834-5775")</f>
        <v>847-834-5775</v>
      </c>
      <c r="E23" s="65" t="str">
        <f>IFERROR(__xludf.DUMMYFUNCTION("""COMPUTED_VALUE"""),"Asha Cobb")</f>
        <v>Asha Cobb</v>
      </c>
      <c r="F23" s="65"/>
      <c r="G23" s="65"/>
      <c r="H23" s="65" t="str">
        <f>IFERROR(__xludf.DUMMYFUNCTION("""COMPUTED_VALUE"""),"Appliance Rental")</f>
        <v>Appliance Rental</v>
      </c>
      <c r="I23" s="65" t="str">
        <f>IFERROR(__xludf.DUMMYFUNCTION("""COMPUTED_VALUE"""),"Microwave Rental,Chef's Fridge Rental")</f>
        <v>Microwave Rental,Chef's Fridge Rental</v>
      </c>
      <c r="J23" s="65"/>
      <c r="K23" s="103">
        <f>IFERROR(__xludf.DUMMYFUNCTION("""COMPUTED_VALUE"""),45891.0)</f>
        <v>45891</v>
      </c>
      <c r="L23" s="65" t="str">
        <f>IFERROR(__xludf.DUMMYFUNCTION("""COMPUTED_VALUE"""),"Gregg")</f>
        <v>Gregg</v>
      </c>
      <c r="M23" s="68" t="str">
        <f>IFERROR(__xludf.DUMMYFUNCTION("""COMPUTED_VALUE"""),"3062")</f>
        <v>3062</v>
      </c>
      <c r="N23" s="65"/>
      <c r="O23" s="65" t="b">
        <f>COUNTIF('Delivered Rentals'!A:A, B23) &gt; 0</f>
        <v>1</v>
      </c>
      <c r="P23" s="104" t="str">
        <f>IFERROR(__xludf.DUMMYFUNCTION("""COMPUTED_VALUE"""),"12:00 PM - 02:00 PM")</f>
        <v>12:00 PM - 02:00 PM</v>
      </c>
    </row>
    <row r="24">
      <c r="A24" s="99" t="str">
        <f>IFERROR(__xludf.DUMMYFUNCTION("""COMPUTED_VALUE"""),"https://utrucking.myshopify.com/admin/orders?query=15081")</f>
        <v>https://utrucking.myshopify.com/admin/orders?query=15081</v>
      </c>
      <c r="B24" s="61" t="str">
        <f>IFERROR(__xludf.DUMMYFUNCTION("""COMPUTED_VALUE"""),"#15081")</f>
        <v>#15081</v>
      </c>
      <c r="C24" s="61"/>
      <c r="D24" s="61">
        <f>IFERROR(__xludf.DUMMYFUNCTION("""COMPUTED_VALUE"""),1.2143369342E10)</f>
        <v>12143369342</v>
      </c>
      <c r="E24" s="61" t="str">
        <f>IFERROR(__xludf.DUMMYFUNCTION("""COMPUTED_VALUE"""),"julie liberman")</f>
        <v>julie liberman</v>
      </c>
      <c r="F24" s="61"/>
      <c r="G24" s="61"/>
      <c r="H24" s="61" t="str">
        <f>IFERROR(__xludf.DUMMYFUNCTION("""COMPUTED_VALUE"""),"Appliance Rental")</f>
        <v>Appliance Rental</v>
      </c>
      <c r="I24" s="61" t="str">
        <f>IFERROR(__xludf.DUMMYFUNCTION("""COMPUTED_VALUE"""),"Double-Door Mini Fridge + Microwave")</f>
        <v>Double-Door Mini Fridge + Microwave</v>
      </c>
      <c r="J24" s="61"/>
      <c r="K24" s="100">
        <f>IFERROR(__xludf.DUMMYFUNCTION("""COMPUTED_VALUE"""),45883.0)</f>
        <v>45883</v>
      </c>
      <c r="L24" s="61" t="str">
        <f>IFERROR(__xludf.DUMMYFUNCTION("""COMPUTED_VALUE"""),"Umrath")</f>
        <v>Umrath</v>
      </c>
      <c r="M24" s="64">
        <f>IFERROR(__xludf.DUMMYFUNCTION("""COMPUTED_VALUE"""),3322.0)</f>
        <v>3322</v>
      </c>
      <c r="N24" s="61" t="str">
        <f>IFERROR(__xludf.DUMMYFUNCTION("""COMPUTED_VALUE"""),"Text with any questions 214-336-9342. Billed 105 on authnet")</f>
        <v>Text with any questions 214-336-9342. Billed 105 on authnet</v>
      </c>
      <c r="O24" s="61" t="b">
        <f>COUNTIF('Delivered Rentals'!A:A, B24) &gt; 0</f>
        <v>1</v>
      </c>
      <c r="P24" s="101" t="str">
        <f>IFERROR(__xludf.DUMMYFUNCTION("""COMPUTED_VALUE"""),"09:00 AM - 11:00 AM")</f>
        <v>09:00 AM - 11:00 AM</v>
      </c>
    </row>
    <row r="25">
      <c r="A25" s="102" t="str">
        <f>IFERROR(__xludf.DUMMYFUNCTION("""COMPUTED_VALUE"""),"https://utrucking.myshopify.com/admin/orders?query=15084")</f>
        <v>https://utrucking.myshopify.com/admin/orders?query=15084</v>
      </c>
      <c r="B25" s="65" t="str">
        <f>IFERROR(__xludf.DUMMYFUNCTION("""COMPUTED_VALUE"""),"#15084")</f>
        <v>#15084</v>
      </c>
      <c r="C25" s="65" t="str">
        <f>IFERROR(__xludf.DUMMYFUNCTION("""COMPUTED_VALUE"""),"andrew.choi@wustl.edu")</f>
        <v>andrew.choi@wustl.edu</v>
      </c>
      <c r="D25" s="65">
        <f>IFERROR(__xludf.DUMMYFUNCTION("""COMPUTED_VALUE"""),1.063268773E9)</f>
        <v>1063268773</v>
      </c>
      <c r="E25" s="65" t="str">
        <f>IFERROR(__xludf.DUMMYFUNCTION("""COMPUTED_VALUE"""),"Andrew Choi")</f>
        <v>Andrew Choi</v>
      </c>
      <c r="F25" s="65"/>
      <c r="G25" s="65"/>
      <c r="H25" s="65" t="str">
        <f>IFERROR(__xludf.DUMMYFUNCTION("""COMPUTED_VALUE"""),"Appliance Rental")</f>
        <v>Appliance Rental</v>
      </c>
      <c r="I25" s="65" t="str">
        <f>IFERROR(__xludf.DUMMYFUNCTION("""COMPUTED_VALUE"""),"Double-Door Mini Fridge")</f>
        <v>Double-Door Mini Fridge</v>
      </c>
      <c r="J25" s="65"/>
      <c r="K25" s="103">
        <f>IFERROR(__xludf.DUMMYFUNCTION("""COMPUTED_VALUE"""),45890.0)</f>
        <v>45890</v>
      </c>
      <c r="L25" s="65" t="str">
        <f>IFERROR(__xludf.DUMMYFUNCTION("""COMPUTED_VALUE"""),"Eliot B")</f>
        <v>Eliot B</v>
      </c>
      <c r="M25" s="68">
        <f>IFERROR(__xludf.DUMMYFUNCTION("""COMPUTED_VALUE"""),1040.0)</f>
        <v>1040</v>
      </c>
      <c r="N25" s="65"/>
      <c r="O25" s="65" t="b">
        <f>COUNTIF('Delivered Rentals'!A:A, B25) &gt; 0</f>
        <v>1</v>
      </c>
      <c r="P25" s="104" t="str">
        <f>IFERROR(__xludf.DUMMYFUNCTION("""COMPUTED_VALUE"""),"11:00 AM - 01:00 PM")</f>
        <v>11:00 AM - 01:00 PM</v>
      </c>
    </row>
    <row r="26">
      <c r="A26" s="99" t="str">
        <f>IFERROR(__xludf.DUMMYFUNCTION("""COMPUTED_VALUE"""),"https://utrucking.myshopify.com/admin/orders?query=15085")</f>
        <v>https://utrucking.myshopify.com/admin/orders?query=15085</v>
      </c>
      <c r="B26" s="61" t="str">
        <f>IFERROR(__xludf.DUMMYFUNCTION("""COMPUTED_VALUE"""),"#15085")</f>
        <v>#15085</v>
      </c>
      <c r="C26" s="61" t="str">
        <f>IFERROR(__xludf.DUMMYFUNCTION("""COMPUTED_VALUE"""),"dbialick9876@wustl.edu")</f>
        <v>dbialick9876@wustl.edu</v>
      </c>
      <c r="D26" s="61">
        <f>IFERROR(__xludf.DUMMYFUNCTION("""COMPUTED_VALUE"""),9.739362855E9)</f>
        <v>9739362855</v>
      </c>
      <c r="E26" s="61" t="str">
        <f>IFERROR(__xludf.DUMMYFUNCTION("""COMPUTED_VALUE"""),"Darcy Bialick")</f>
        <v>Darcy Bialick</v>
      </c>
      <c r="F26" s="61"/>
      <c r="G26" s="61"/>
      <c r="H26" s="61" t="str">
        <f>IFERROR(__xludf.DUMMYFUNCTION("""COMPUTED_VALUE"""),"Appliance Rental")</f>
        <v>Appliance Rental</v>
      </c>
      <c r="I26" s="61" t="str">
        <f>IFERROR(__xludf.DUMMYFUNCTION("""COMPUTED_VALUE"""),"Microwave Rental,Chef's Fridge Rental")</f>
        <v>Microwave Rental,Chef's Fridge Rental</v>
      </c>
      <c r="J26" s="61"/>
      <c r="K26" s="100">
        <f>IFERROR(__xludf.DUMMYFUNCTION("""COMPUTED_VALUE"""),45883.0)</f>
        <v>45883</v>
      </c>
      <c r="L26" s="61" t="str">
        <f>IFERROR(__xludf.DUMMYFUNCTION("""COMPUTED_VALUE"""),"DON'T KNOW YET (put 'XXX' for room #)")</f>
        <v>DON'T KNOW YET (put 'XXX' for room #)</v>
      </c>
      <c r="M26" s="64" t="str">
        <f>IFERROR(__xludf.DUMMYFUNCTION("""COMPUTED_VALUE"""),"xxx")</f>
        <v>xxx</v>
      </c>
      <c r="N26" s="61"/>
      <c r="O26" s="61" t="b">
        <f>COUNTIF('Delivered Rentals'!A:A, B26) &gt; 0</f>
        <v>1</v>
      </c>
      <c r="P26" s="101" t="str">
        <f>IFERROR(__xludf.DUMMYFUNCTION("""COMPUTED_VALUE"""),"09:00 AM - 11:00 AM")</f>
        <v>09:00 AM - 11:00 AM</v>
      </c>
    </row>
    <row r="27">
      <c r="A27" s="102" t="str">
        <f>IFERROR(__xludf.DUMMYFUNCTION("""COMPUTED_VALUE"""),"https://utrucking.myshopify.com/admin/orders?query=15092")</f>
        <v>https://utrucking.myshopify.com/admin/orders?query=15092</v>
      </c>
      <c r="B27" s="65" t="str">
        <f>IFERROR(__xludf.DUMMYFUNCTION("""COMPUTED_VALUE"""),"#15092")</f>
        <v>#15092</v>
      </c>
      <c r="C27" s="65" t="str">
        <f>IFERROR(__xludf.DUMMYFUNCTION("""COMPUTED_VALUE"""),"e.medvedsek@wustl.edu")</f>
        <v>e.medvedsek@wustl.edu</v>
      </c>
      <c r="D27" s="65">
        <f>IFERROR(__xludf.DUMMYFUNCTION("""COMPUTED_VALUE"""),9.179579903E9)</f>
        <v>9179579903</v>
      </c>
      <c r="E27" s="65" t="str">
        <f>IFERROR(__xludf.DUMMYFUNCTION("""COMPUTED_VALUE"""),"Emma Medvedsek")</f>
        <v>Emma Medvedsek</v>
      </c>
      <c r="F27" s="65"/>
      <c r="G27" s="65"/>
      <c r="H27" s="65" t="str">
        <f>IFERROR(__xludf.DUMMYFUNCTION("""COMPUTED_VALUE"""),"Appliance Rental")</f>
        <v>Appliance Rental</v>
      </c>
      <c r="I27" s="65" t="str">
        <f>IFERROR(__xludf.DUMMYFUNCTION("""COMPUTED_VALUE"""),"Double-Door Mini Fridge + Microwave")</f>
        <v>Double-Door Mini Fridge + Microwave</v>
      </c>
      <c r="J27" s="65"/>
      <c r="K27" s="103">
        <f>IFERROR(__xludf.DUMMYFUNCTION("""COMPUTED_VALUE"""),45892.0)</f>
        <v>45892</v>
      </c>
      <c r="L27" s="65" t="str">
        <f>IFERROR(__xludf.DUMMYFUNCTION("""COMPUTED_VALUE"""),"Beaumont")</f>
        <v>Beaumont</v>
      </c>
      <c r="M27" s="68">
        <f>IFERROR(__xludf.DUMMYFUNCTION("""COMPUTED_VALUE"""),322.0)</f>
        <v>322</v>
      </c>
      <c r="N27" s="65"/>
      <c r="O27" s="65" t="b">
        <f>COUNTIF('Delivered Rentals'!A:A, B27) &gt; 0</f>
        <v>1</v>
      </c>
      <c r="P27" s="104" t="str">
        <f>IFERROR(__xludf.DUMMYFUNCTION("""COMPUTED_VALUE"""),"11:00 AM - 01:00 PM")</f>
        <v>11:00 AM - 01:00 PM</v>
      </c>
    </row>
    <row r="28">
      <c r="A28" s="99" t="str">
        <f>IFERROR(__xludf.DUMMYFUNCTION("""COMPUTED_VALUE"""),"https://utrucking.myshopify.com/admin/orders?query=15095")</f>
        <v>https://utrucking.myshopify.com/admin/orders?query=15095</v>
      </c>
      <c r="B28" s="61" t="str">
        <f>IFERROR(__xludf.DUMMYFUNCTION("""COMPUTED_VALUE"""),"#15095")</f>
        <v>#15095</v>
      </c>
      <c r="C28" s="61" t="str">
        <f>IFERROR(__xludf.DUMMYFUNCTION("""COMPUTED_VALUE"""),"g.gavin@wustl.edu")</f>
        <v>g.gavin@wustl.edu</v>
      </c>
      <c r="D28" s="61">
        <f>IFERROR(__xludf.DUMMYFUNCTION("""COMPUTED_VALUE"""),3.107093084E9)</f>
        <v>3107093084</v>
      </c>
      <c r="E28" s="61" t="str">
        <f>IFERROR(__xludf.DUMMYFUNCTION("""COMPUTED_VALUE"""),"gavin goldsmith")</f>
        <v>gavin goldsmith</v>
      </c>
      <c r="F28" s="61"/>
      <c r="G28" s="61"/>
      <c r="H28" s="61" t="str">
        <f>IFERROR(__xludf.DUMMYFUNCTION("""COMPUTED_VALUE"""),"Appliance Rental")</f>
        <v>Appliance Rental</v>
      </c>
      <c r="I28" s="61" t="str">
        <f>IFERROR(__xludf.DUMMYFUNCTION("""COMPUTED_VALUE"""),"Microwave Only")</f>
        <v>Microwave Only</v>
      </c>
      <c r="J28" s="61"/>
      <c r="K28" s="100">
        <f>IFERROR(__xludf.DUMMYFUNCTION("""COMPUTED_VALUE"""),45891.0)</f>
        <v>45891</v>
      </c>
      <c r="L28" s="61" t="str">
        <f>IFERROR(__xludf.DUMMYFUNCTION("""COMPUTED_VALUE"""),"Millbrook Bldg. 1")</f>
        <v>Millbrook Bldg. 1</v>
      </c>
      <c r="M28" s="64" t="str">
        <f>IFERROR(__xludf.DUMMYFUNCTION("""COMPUTED_VALUE"""),"207C")</f>
        <v>207C</v>
      </c>
      <c r="N28" s="61"/>
      <c r="O28" s="61" t="b">
        <f>COUNTIF('Delivered Rentals'!A:A, B28) &gt; 0</f>
        <v>1</v>
      </c>
      <c r="P28" s="101" t="str">
        <f>IFERROR(__xludf.DUMMYFUNCTION("""COMPUTED_VALUE"""),"09:00 AM - 11:00 AM")</f>
        <v>09:00 AM - 11:00 AM</v>
      </c>
    </row>
    <row r="29">
      <c r="A29" s="102" t="str">
        <f>IFERROR(__xludf.DUMMYFUNCTION("""COMPUTED_VALUE"""),"https://utrucking.myshopify.com/admin/orders?query=15101")</f>
        <v>https://utrucking.myshopify.com/admin/orders?query=15101</v>
      </c>
      <c r="B29" s="65" t="str">
        <f>IFERROR(__xludf.DUMMYFUNCTION("""COMPUTED_VALUE"""),"#15101")</f>
        <v>#15101</v>
      </c>
      <c r="C29" s="65" t="str">
        <f>IFERROR(__xludf.DUMMYFUNCTION("""COMPUTED_VALUE"""),"a.l.wu@wustl.edu")</f>
        <v>a.l.wu@wustl.edu</v>
      </c>
      <c r="D29" s="65">
        <f>IFERROR(__xludf.DUMMYFUNCTION("""COMPUTED_VALUE"""),9.164942045E9)</f>
        <v>9164942045</v>
      </c>
      <c r="E29" s="65" t="str">
        <f>IFERROR(__xludf.DUMMYFUNCTION("""COMPUTED_VALUE"""),"Avery Wu")</f>
        <v>Avery Wu</v>
      </c>
      <c r="F29" s="65"/>
      <c r="G29" s="65"/>
      <c r="H29" s="65" t="str">
        <f>IFERROR(__xludf.DUMMYFUNCTION("""COMPUTED_VALUE"""),"Appliance Rental")</f>
        <v>Appliance Rental</v>
      </c>
      <c r="I29" s="65" t="str">
        <f>IFERROR(__xludf.DUMMYFUNCTION("""COMPUTED_VALUE"""),"Double-Door Mini Fridge")</f>
        <v>Double-Door Mini Fridge</v>
      </c>
      <c r="J29" s="65"/>
      <c r="K29" s="103">
        <f>IFERROR(__xludf.DUMMYFUNCTION("""COMPUTED_VALUE"""),45892.0)</f>
        <v>45892</v>
      </c>
      <c r="L29" s="65" t="str">
        <f>IFERROR(__xludf.DUMMYFUNCTION("""COMPUTED_VALUE"""),"Lopata")</f>
        <v>Lopata</v>
      </c>
      <c r="M29" s="68">
        <f>IFERROR(__xludf.DUMMYFUNCTION("""COMPUTED_VALUE"""),2020.0)</f>
        <v>2020</v>
      </c>
      <c r="N29" s="65"/>
      <c r="O29" s="65" t="b">
        <f>COUNTIF('Delivered Rentals'!A:A, B29) &gt; 0</f>
        <v>1</v>
      </c>
      <c r="P29" s="104" t="str">
        <f>IFERROR(__xludf.DUMMYFUNCTION("""COMPUTED_VALUE"""),"10:00 AM - 12:00 PM")</f>
        <v>10:00 AM - 12:00 PM</v>
      </c>
    </row>
    <row r="30">
      <c r="A30" s="99" t="str">
        <f>IFERROR(__xludf.DUMMYFUNCTION("""COMPUTED_VALUE"""),"https://utrucking.myshopify.com/admin/orders?query=15109")</f>
        <v>https://utrucking.myshopify.com/admin/orders?query=15109</v>
      </c>
      <c r="B30" s="61" t="str">
        <f>IFERROR(__xludf.DUMMYFUNCTION("""COMPUTED_VALUE"""),"#15109")</f>
        <v>#15109</v>
      </c>
      <c r="C30" s="61"/>
      <c r="D30" s="61">
        <f>IFERROR(__xludf.DUMMYFUNCTION("""COMPUTED_VALUE"""),4.078401759E9)</f>
        <v>4078401759</v>
      </c>
      <c r="E30" s="61" t="str">
        <f>IFERROR(__xludf.DUMMYFUNCTION("""COMPUTED_VALUE"""),"Alexandra Pantano")</f>
        <v>Alexandra Pantano</v>
      </c>
      <c r="F30" s="61"/>
      <c r="G30" s="61"/>
      <c r="H30" s="61" t="str">
        <f>IFERROR(__xludf.DUMMYFUNCTION("""COMPUTED_VALUE"""),"Appliance Rental")</f>
        <v>Appliance Rental</v>
      </c>
      <c r="I30" s="61" t="str">
        <f>IFERROR(__xludf.DUMMYFUNCTION("""COMPUTED_VALUE"""),"Chef's Fridge Rental")</f>
        <v>Chef's Fridge Rental</v>
      </c>
      <c r="J30" s="61"/>
      <c r="K30" s="100">
        <f>IFERROR(__xludf.DUMMYFUNCTION("""COMPUTED_VALUE"""),45883.0)</f>
        <v>45883</v>
      </c>
      <c r="L30" s="61" t="str">
        <f>IFERROR(__xludf.DUMMYFUNCTION("""COMPUTED_VALUE"""),"Zetcher")</f>
        <v>Zetcher</v>
      </c>
      <c r="M30" s="64">
        <f>IFERROR(__xludf.DUMMYFUNCTION("""COMPUTED_VALUE"""),4000.0)</f>
        <v>4000</v>
      </c>
      <c r="N30" s="61"/>
      <c r="O30" s="61" t="b">
        <f>COUNTIF('Delivered Rentals'!A:A, B30) &gt; 0</f>
        <v>1</v>
      </c>
      <c r="P30" s="101" t="str">
        <f>IFERROR(__xludf.DUMMYFUNCTION("""COMPUTED_VALUE"""),"09:00 AM - 11:00 AM")</f>
        <v>09:00 AM - 11:00 AM</v>
      </c>
    </row>
    <row r="31">
      <c r="A31" s="102" t="str">
        <f>IFERROR(__xludf.DUMMYFUNCTION("""COMPUTED_VALUE"""),"https://utrucking.myshopify.com/admin/orders?query=15110")</f>
        <v>https://utrucking.myshopify.com/admin/orders?query=15110</v>
      </c>
      <c r="B31" s="65" t="str">
        <f>IFERROR(__xludf.DUMMYFUNCTION("""COMPUTED_VALUE"""),"#15110")</f>
        <v>#15110</v>
      </c>
      <c r="C31" s="65" t="str">
        <f>IFERROR(__xludf.DUMMYFUNCTION("""COMPUTED_VALUE"""),"c.d.williams@wustl.edu")</f>
        <v>c.d.williams@wustl.edu</v>
      </c>
      <c r="D31" s="65">
        <f>IFERROR(__xludf.DUMMYFUNCTION("""COMPUTED_VALUE"""),9.082747241E9)</f>
        <v>9082747241</v>
      </c>
      <c r="E31" s="65" t="str">
        <f>IFERROR(__xludf.DUMMYFUNCTION("""COMPUTED_VALUE"""),"Caitlin Williams")</f>
        <v>Caitlin Williams</v>
      </c>
      <c r="F31" s="65"/>
      <c r="G31" s="65"/>
      <c r="H31" s="65" t="str">
        <f>IFERROR(__xludf.DUMMYFUNCTION("""COMPUTED_VALUE"""),"Appliance Rental")</f>
        <v>Appliance Rental</v>
      </c>
      <c r="I31" s="65" t="str">
        <f>IFERROR(__xludf.DUMMYFUNCTION("""COMPUTED_VALUE"""),"Double-Door Mini Fridge")</f>
        <v>Double-Door Mini Fridge</v>
      </c>
      <c r="J31" s="65"/>
      <c r="K31" s="103">
        <f>IFERROR(__xludf.DUMMYFUNCTION("""COMPUTED_VALUE"""),45889.0)</f>
        <v>45889</v>
      </c>
      <c r="L31" s="65" t="str">
        <f>IFERROR(__xludf.DUMMYFUNCTION("""COMPUTED_VALUE"""),"Millbrook Bldg. 3")</f>
        <v>Millbrook Bldg. 3</v>
      </c>
      <c r="M31" s="68" t="str">
        <f>IFERROR(__xludf.DUMMYFUNCTION("""COMPUTED_VALUE"""),"201F")</f>
        <v>201F</v>
      </c>
      <c r="N31" s="65"/>
      <c r="O31" s="65" t="b">
        <f>COUNTIF('Delivered Rentals'!A:A, B31) &gt; 0</f>
        <v>1</v>
      </c>
      <c r="P31" s="104" t="str">
        <f>IFERROR(__xludf.DUMMYFUNCTION("""COMPUTED_VALUE"""),"10:00 AM - 12:00 PM")</f>
        <v>10:00 AM - 12:00 PM</v>
      </c>
    </row>
    <row r="32">
      <c r="A32" s="99" t="str">
        <f>IFERROR(__xludf.DUMMYFUNCTION("""COMPUTED_VALUE"""),"https://utrucking.myshopify.com/admin/orders?query=15119")</f>
        <v>https://utrucking.myshopify.com/admin/orders?query=15119</v>
      </c>
      <c r="B32" s="61" t="str">
        <f>IFERROR(__xludf.DUMMYFUNCTION("""COMPUTED_VALUE"""),"#15119")</f>
        <v>#15119</v>
      </c>
      <c r="C32" s="61" t="str">
        <f>IFERROR(__xludf.DUMMYFUNCTION("""COMPUTED_VALUE"""),"c.rena@wustl.edu")</f>
        <v>c.rena@wustl.edu</v>
      </c>
      <c r="D32" s="61" t="str">
        <f>IFERROR(__xludf.DUMMYFUNCTION("""COMPUTED_VALUE"""),"812-558-8554")</f>
        <v>812-558-8554</v>
      </c>
      <c r="E32" s="61" t="str">
        <f>IFERROR(__xludf.DUMMYFUNCTION("""COMPUTED_VALUE"""),"Rena Cohen")</f>
        <v>Rena Cohen</v>
      </c>
      <c r="F32" s="61"/>
      <c r="G32" s="61"/>
      <c r="H32" s="61" t="str">
        <f>IFERROR(__xludf.DUMMYFUNCTION("""COMPUTED_VALUE"""),"Appliance Rental")</f>
        <v>Appliance Rental</v>
      </c>
      <c r="I32" s="61" t="str">
        <f>IFERROR(__xludf.DUMMYFUNCTION("""COMPUTED_VALUE"""),"Microwave Rental,Double-Door Mini Fridge Rental")</f>
        <v>Microwave Rental,Double-Door Mini Fridge Rental</v>
      </c>
      <c r="J32" s="61"/>
      <c r="K32" s="100">
        <f>IFERROR(__xludf.DUMMYFUNCTION("""COMPUTED_VALUE"""),45889.0)</f>
        <v>45889</v>
      </c>
      <c r="L32" s="61" t="str">
        <f>IFERROR(__xludf.DUMMYFUNCTION("""COMPUTED_VALUE"""),"Village House")</f>
        <v>Village House</v>
      </c>
      <c r="M32" s="64" t="str">
        <f>IFERROR(__xludf.DUMMYFUNCTION("""COMPUTED_VALUE"""),"3131A")</f>
        <v>3131A</v>
      </c>
      <c r="N32" s="61"/>
      <c r="O32" s="61" t="b">
        <f>COUNTIF('Delivered Rentals'!A:A, B32) &gt; 0</f>
        <v>1</v>
      </c>
      <c r="P32" s="101" t="str">
        <f>IFERROR(__xludf.DUMMYFUNCTION("""COMPUTED_VALUE"""),"02:00 PM - 04:00 PM")</f>
        <v>02:00 PM - 04:00 PM</v>
      </c>
    </row>
    <row r="33">
      <c r="A33" s="102" t="str">
        <f>IFERROR(__xludf.DUMMYFUNCTION("""COMPUTED_VALUE"""),"https://utrucking.myshopify.com/admin/orders?query=15120")</f>
        <v>https://utrucking.myshopify.com/admin/orders?query=15120</v>
      </c>
      <c r="B33" s="65" t="str">
        <f>IFERROR(__xludf.DUMMYFUNCTION("""COMPUTED_VALUE"""),"#15120")</f>
        <v>#15120</v>
      </c>
      <c r="C33" s="65" t="str">
        <f>IFERROR(__xludf.DUMMYFUNCTION("""COMPUTED_VALUE"""),"mayaslevine@gmail.com")</f>
        <v>mayaslevine@gmail.com</v>
      </c>
      <c r="D33" s="65">
        <f>IFERROR(__xludf.DUMMYFUNCTION("""COMPUTED_VALUE"""),9.199371533E9)</f>
        <v>9199371533</v>
      </c>
      <c r="E33" s="65" t="str">
        <f>IFERROR(__xludf.DUMMYFUNCTION("""COMPUTED_VALUE"""),"Alyse Levine")</f>
        <v>Alyse Levine</v>
      </c>
      <c r="F33" s="65"/>
      <c r="G33" s="65"/>
      <c r="H33" s="65" t="str">
        <f>IFERROR(__xludf.DUMMYFUNCTION("""COMPUTED_VALUE"""),"Appliance Rental")</f>
        <v>Appliance Rental</v>
      </c>
      <c r="I33" s="65" t="str">
        <f>IFERROR(__xludf.DUMMYFUNCTION("""COMPUTED_VALUE"""),"Double-Door Mini Fridge")</f>
        <v>Double-Door Mini Fridge</v>
      </c>
      <c r="J33" s="65"/>
      <c r="K33" s="103">
        <f>IFERROR(__xludf.DUMMYFUNCTION("""COMPUTED_VALUE"""),45890.0)</f>
        <v>45890</v>
      </c>
      <c r="L33" s="65" t="str">
        <f>IFERROR(__xludf.DUMMYFUNCTION("""COMPUTED_VALUE"""),"Village House")</f>
        <v>Village House</v>
      </c>
      <c r="M33" s="68" t="str">
        <f>IFERROR(__xludf.DUMMYFUNCTION("""COMPUTED_VALUE"""),"Village - 3132 - a")</f>
        <v>Village - 3132 - a</v>
      </c>
      <c r="N33" s="65"/>
      <c r="O33" s="65" t="b">
        <f>COUNTIF('Delivered Rentals'!A:A, B33) &gt; 0</f>
        <v>1</v>
      </c>
      <c r="P33" s="104" t="str">
        <f>IFERROR(__xludf.DUMMYFUNCTION("""COMPUTED_VALUE"""),"10:00 AM - 12:00 PM")</f>
        <v>10:00 AM - 12:00 PM</v>
      </c>
    </row>
    <row r="34">
      <c r="A34" s="99" t="str">
        <f>IFERROR(__xludf.DUMMYFUNCTION("""COMPUTED_VALUE"""),"https://utrucking.myshopify.com/admin/orders?query=15121")</f>
        <v>https://utrucking.myshopify.com/admin/orders?query=15121</v>
      </c>
      <c r="B34" s="61" t="str">
        <f>IFERROR(__xludf.DUMMYFUNCTION("""COMPUTED_VALUE"""),"#15121")</f>
        <v>#15121</v>
      </c>
      <c r="C34" s="61" t="str">
        <f>IFERROR(__xludf.DUMMYFUNCTION("""COMPUTED_VALUE"""),"a.g.swietlikowski@wustl.edu")</f>
        <v>a.g.swietlikowski@wustl.edu</v>
      </c>
      <c r="D34" s="61">
        <f>IFERROR(__xludf.DUMMYFUNCTION("""COMPUTED_VALUE"""),7.146255442E9)</f>
        <v>7146255442</v>
      </c>
      <c r="E34" s="61" t="str">
        <f>IFERROR(__xludf.DUMMYFUNCTION("""COMPUTED_VALUE"""),"Ava Swietlikowski")</f>
        <v>Ava Swietlikowski</v>
      </c>
      <c r="F34" s="61"/>
      <c r="G34" s="61"/>
      <c r="H34" s="61" t="str">
        <f>IFERROR(__xludf.DUMMYFUNCTION("""COMPUTED_VALUE"""),"Appliance Rental")</f>
        <v>Appliance Rental</v>
      </c>
      <c r="I34" s="61" t="str">
        <f>IFERROR(__xludf.DUMMYFUNCTION("""COMPUTED_VALUE"""),"Standard Mini Fridge")</f>
        <v>Standard Mini Fridge</v>
      </c>
      <c r="J34" s="61"/>
      <c r="K34" s="100">
        <f>IFERROR(__xludf.DUMMYFUNCTION("""COMPUTED_VALUE"""),45883.0)</f>
        <v>45883</v>
      </c>
      <c r="L34" s="61" t="str">
        <f>IFERROR(__xludf.DUMMYFUNCTION("""COMPUTED_VALUE"""),"Koenig")</f>
        <v>Koenig</v>
      </c>
      <c r="M34" s="64">
        <f>IFERROR(__xludf.DUMMYFUNCTION("""COMPUTED_VALUE"""),2203.0)</f>
        <v>2203</v>
      </c>
      <c r="N34" s="61" t="str">
        <f>IFERROR(__xludf.DUMMYFUNCTION("""COMPUTED_VALUE"""),"We do not know our room number yet we just know we are living in Koenig")</f>
        <v>We do not know our room number yet we just know we are living in Koenig</v>
      </c>
      <c r="O34" s="61" t="b">
        <f>COUNTIF('Delivered Rentals'!A:A, B34) &gt; 0</f>
        <v>1</v>
      </c>
      <c r="P34" s="101" t="str">
        <f>IFERROR(__xludf.DUMMYFUNCTION("""COMPUTED_VALUE"""),"01:00 PM to 03:00 PM")</f>
        <v>01:00 PM to 03:00 PM</v>
      </c>
    </row>
    <row r="35">
      <c r="A35" s="102" t="str">
        <f>IFERROR(__xludf.DUMMYFUNCTION("""COMPUTED_VALUE"""),"https://utrucking.myshopify.com/admin/orders?query=15124")</f>
        <v>https://utrucking.myshopify.com/admin/orders?query=15124</v>
      </c>
      <c r="B35" s="65" t="str">
        <f>IFERROR(__xludf.DUMMYFUNCTION("""COMPUTED_VALUE"""),"#15124")</f>
        <v>#15124</v>
      </c>
      <c r="C35" s="65" t="str">
        <f>IFERROR(__xludf.DUMMYFUNCTION("""COMPUTED_VALUE"""),"j.g.kershner@wustl.edu")</f>
        <v>j.g.kershner@wustl.edu</v>
      </c>
      <c r="D35" s="65">
        <f>IFERROR(__xludf.DUMMYFUNCTION("""COMPUTED_VALUE"""),9.175660907E9)</f>
        <v>9175660907</v>
      </c>
      <c r="E35" s="65" t="str">
        <f>IFERROR(__xludf.DUMMYFUNCTION("""COMPUTED_VALUE"""),"Jackie Kershner")</f>
        <v>Jackie Kershner</v>
      </c>
      <c r="F35" s="65"/>
      <c r="G35" s="65"/>
      <c r="H35" s="65" t="str">
        <f>IFERROR(__xludf.DUMMYFUNCTION("""COMPUTED_VALUE"""),"Appliance Rental")</f>
        <v>Appliance Rental</v>
      </c>
      <c r="I35" s="65" t="str">
        <f>IFERROR(__xludf.DUMMYFUNCTION("""COMPUTED_VALUE"""),"Double-Door Mini Fridge")</f>
        <v>Double-Door Mini Fridge</v>
      </c>
      <c r="J35" s="65"/>
      <c r="K35" s="103">
        <f>IFERROR(__xludf.DUMMYFUNCTION("""COMPUTED_VALUE"""),45882.0)</f>
        <v>45882</v>
      </c>
      <c r="L35" s="65" t="str">
        <f>IFERROR(__xludf.DUMMYFUNCTION("""COMPUTED_VALUE"""),"Dardick")</f>
        <v>Dardick</v>
      </c>
      <c r="M35" s="68" t="str">
        <f>IFERROR(__xludf.DUMMYFUNCTION("""COMPUTED_VALUE"""),"4402")</f>
        <v>4402</v>
      </c>
      <c r="N35" s="65"/>
      <c r="O35" s="65" t="b">
        <f>COUNTIF('Delivered Rentals'!A:A, B35) &gt; 0</f>
        <v>1</v>
      </c>
      <c r="P35" s="104" t="str">
        <f>IFERROR(__xludf.DUMMYFUNCTION("""COMPUTED_VALUE"""),"09:00 AM - 11:00 AM")</f>
        <v>09:00 AM - 11:00 AM</v>
      </c>
    </row>
    <row r="36">
      <c r="A36" s="99" t="str">
        <f>IFERROR(__xludf.DUMMYFUNCTION("""COMPUTED_VALUE"""),"https://utrucking.myshopify.com/admin/orders?query=15128")</f>
        <v>https://utrucking.myshopify.com/admin/orders?query=15128</v>
      </c>
      <c r="B36" s="61" t="str">
        <f>IFERROR(__xludf.DUMMYFUNCTION("""COMPUTED_VALUE"""),"#15128")</f>
        <v>#15128</v>
      </c>
      <c r="C36" s="61" t="str">
        <f>IFERROR(__xludf.DUMMYFUNCTION("""COMPUTED_VALUE"""),"bosques@wustl.edu")</f>
        <v>bosques@wustl.edu</v>
      </c>
      <c r="D36" s="61" t="str">
        <f>IFERROR(__xludf.DUMMYFUNCTION("""COMPUTED_VALUE"""),"781-493-2262")</f>
        <v>781-493-2262</v>
      </c>
      <c r="E36" s="61" t="str">
        <f>IFERROR(__xludf.DUMMYFUNCTION("""COMPUTED_VALUE"""),"Gustavo Bosques")</f>
        <v>Gustavo Bosques</v>
      </c>
      <c r="F36" s="61"/>
      <c r="G36" s="61"/>
      <c r="H36" s="61" t="str">
        <f>IFERROR(__xludf.DUMMYFUNCTION("""COMPUTED_VALUE"""),"Appliance Rental")</f>
        <v>Appliance Rental</v>
      </c>
      <c r="I36" s="61" t="str">
        <f>IFERROR(__xludf.DUMMYFUNCTION("""COMPUTED_VALUE"""),"Standard Mini Fridge + Microwave")</f>
        <v>Standard Mini Fridge + Microwave</v>
      </c>
      <c r="J36" s="61"/>
      <c r="K36" s="100">
        <f>IFERROR(__xludf.DUMMYFUNCTION("""COMPUTED_VALUE"""),45882.0)</f>
        <v>45882</v>
      </c>
      <c r="L36" s="61" t="str">
        <f>IFERROR(__xludf.DUMMYFUNCTION("""COMPUTED_VALUE"""),"DON'T KNOW YET (put 'XXX' for room #)")</f>
        <v>DON'T KNOW YET (put 'XXX' for room #)</v>
      </c>
      <c r="M36" s="64" t="str">
        <f>IFERROR(__xludf.DUMMYFUNCTION("""COMPUTED_VALUE"""),"xxx")</f>
        <v>xxx</v>
      </c>
      <c r="N36" s="61"/>
      <c r="O36" s="61" t="b">
        <f>COUNTIF('Delivered Rentals'!A:A, B36) &gt; 0</f>
        <v>1</v>
      </c>
      <c r="P36" s="101" t="str">
        <f>IFERROR(__xludf.DUMMYFUNCTION("""COMPUTED_VALUE"""),"03:00 PM - 05:00 PM")</f>
        <v>03:00 PM - 05:00 PM</v>
      </c>
    </row>
    <row r="37">
      <c r="A37" s="102" t="str">
        <f>IFERROR(__xludf.DUMMYFUNCTION("""COMPUTED_VALUE"""),"https://utrucking.myshopify.com/admin/orders?query=15130")</f>
        <v>https://utrucking.myshopify.com/admin/orders?query=15130</v>
      </c>
      <c r="B37" s="65" t="str">
        <f>IFERROR(__xludf.DUMMYFUNCTION("""COMPUTED_VALUE"""),"#15130")</f>
        <v>#15130</v>
      </c>
      <c r="C37" s="65" t="str">
        <f>IFERROR(__xludf.DUMMYFUNCTION("""COMPUTED_VALUE"""),"edelstein.j@wustl.edu")</f>
        <v>edelstein.j@wustl.edu</v>
      </c>
      <c r="D37" s="65" t="str">
        <f>IFERROR(__xludf.DUMMYFUNCTION("""COMPUTED_VALUE"""),"(561) 704-4339")</f>
        <v>(561) 704-4339</v>
      </c>
      <c r="E37" s="65" t="str">
        <f>IFERROR(__xludf.DUMMYFUNCTION("""COMPUTED_VALUE"""),"Jack Edelstein")</f>
        <v>Jack Edelstein</v>
      </c>
      <c r="F37" s="65"/>
      <c r="G37" s="65"/>
      <c r="H37" s="65" t="str">
        <f>IFERROR(__xludf.DUMMYFUNCTION("""COMPUTED_VALUE"""),"Appliance Rental")</f>
        <v>Appliance Rental</v>
      </c>
      <c r="I37" s="65" t="str">
        <f>IFERROR(__xludf.DUMMYFUNCTION("""COMPUTED_VALUE"""),"Microwave Rental,Chef's Fridge Rental")</f>
        <v>Microwave Rental,Chef's Fridge Rental</v>
      </c>
      <c r="J37" s="65"/>
      <c r="K37" s="103">
        <f>IFERROR(__xludf.DUMMYFUNCTION("""COMPUTED_VALUE"""),45890.0)</f>
        <v>45890</v>
      </c>
      <c r="L37" s="65" t="str">
        <f>IFERROR(__xludf.DUMMYFUNCTION("""COMPUTED_VALUE"""),"House 22")</f>
        <v>House 22</v>
      </c>
      <c r="M37" s="68">
        <f>IFERROR(__xludf.DUMMYFUNCTION("""COMPUTED_VALUE"""),1021.0)</f>
        <v>1021</v>
      </c>
      <c r="N37" s="65"/>
      <c r="O37" s="65" t="b">
        <f>COUNTIF('Delivered Rentals'!A:A, B37) &gt; 0</f>
        <v>1</v>
      </c>
      <c r="P37" s="104" t="str">
        <f>IFERROR(__xludf.DUMMYFUNCTION("""COMPUTED_VALUE"""),"09:00 AM - 11:00 AM")</f>
        <v>09:00 AM - 11:00 AM</v>
      </c>
    </row>
    <row r="38">
      <c r="A38" s="99" t="str">
        <f>IFERROR(__xludf.DUMMYFUNCTION("""COMPUTED_VALUE"""),"https://utrucking.myshopify.com/admin/orders?query=15132")</f>
        <v>https://utrucking.myshopify.com/admin/orders?query=15132</v>
      </c>
      <c r="B38" s="61" t="str">
        <f>IFERROR(__xludf.DUMMYFUNCTION("""COMPUTED_VALUE"""),"#15132")</f>
        <v>#15132</v>
      </c>
      <c r="C38" s="61" t="str">
        <f>IFERROR(__xludf.DUMMYFUNCTION("""COMPUTED_VALUE"""),"q.sam@wustl.edu")</f>
        <v>q.sam@wustl.edu</v>
      </c>
      <c r="D38" s="61">
        <f>IFERROR(__xludf.DUMMYFUNCTION("""COMPUTED_VALUE"""),5.168154488E9)</f>
        <v>5168154488</v>
      </c>
      <c r="E38" s="61" t="str">
        <f>IFERROR(__xludf.DUMMYFUNCTION("""COMPUTED_VALUE"""),"Sam Quentzel")</f>
        <v>Sam Quentzel</v>
      </c>
      <c r="F38" s="61"/>
      <c r="G38" s="61"/>
      <c r="H38" s="61" t="str">
        <f>IFERROR(__xludf.DUMMYFUNCTION("""COMPUTED_VALUE"""),"Appliance Rental")</f>
        <v>Appliance Rental</v>
      </c>
      <c r="I38" s="61" t="str">
        <f>IFERROR(__xludf.DUMMYFUNCTION("""COMPUTED_VALUE"""),"Standard Mini Fridge")</f>
        <v>Standard Mini Fridge</v>
      </c>
      <c r="J38" s="61"/>
      <c r="K38" s="100">
        <f>IFERROR(__xludf.DUMMYFUNCTION("""COMPUTED_VALUE"""),45882.0)</f>
        <v>45882</v>
      </c>
      <c r="L38" s="61" t="str">
        <f>IFERROR(__xludf.DUMMYFUNCTION("""COMPUTED_VALUE"""),"Dardick")</f>
        <v>Dardick</v>
      </c>
      <c r="M38" s="64">
        <f>IFERROR(__xludf.DUMMYFUNCTION("""COMPUTED_VALUE"""),2218.0)</f>
        <v>2218</v>
      </c>
      <c r="N38" s="61"/>
      <c r="O38" s="61" t="b">
        <f>COUNTIF('Delivered Rentals'!A:A, B38) &gt; 0</f>
        <v>1</v>
      </c>
      <c r="P38" s="101" t="str">
        <f>IFERROR(__xludf.DUMMYFUNCTION("""COMPUTED_VALUE"""),"11:00 AM - 01:00 PM")</f>
        <v>11:00 AM - 01:00 PM</v>
      </c>
    </row>
    <row r="39">
      <c r="A39" s="102" t="str">
        <f>IFERROR(__xludf.DUMMYFUNCTION("""COMPUTED_VALUE"""),"https://utrucking.myshopify.com/admin/orders?query=15133")</f>
        <v>https://utrucking.myshopify.com/admin/orders?query=15133</v>
      </c>
      <c r="B39" s="65" t="str">
        <f>IFERROR(__xludf.DUMMYFUNCTION("""COMPUTED_VALUE"""),"#15133")</f>
        <v>#15133</v>
      </c>
      <c r="C39" s="65"/>
      <c r="D39" s="65">
        <f>IFERROR(__xludf.DUMMYFUNCTION("""COMPUTED_VALUE"""),1.6784277093E10)</f>
        <v>16784277093</v>
      </c>
      <c r="E39" s="65" t="str">
        <f>IFERROR(__xludf.DUMMYFUNCTION("""COMPUTED_VALUE"""),"Allison Howard")</f>
        <v>Allison Howard</v>
      </c>
      <c r="F39" s="65"/>
      <c r="G39" s="65"/>
      <c r="H39" s="65" t="str">
        <f>IFERROR(__xludf.DUMMYFUNCTION("""COMPUTED_VALUE"""),"Appliance Rental")</f>
        <v>Appliance Rental</v>
      </c>
      <c r="I39" s="65" t="str">
        <f>IFERROR(__xludf.DUMMYFUNCTION("""COMPUTED_VALUE"""),"Standard Mini Fridge")</f>
        <v>Standard Mini Fridge</v>
      </c>
      <c r="J39" s="65"/>
      <c r="K39" s="103">
        <f>IFERROR(__xludf.DUMMYFUNCTION("""COMPUTED_VALUE"""),45882.0)</f>
        <v>45882</v>
      </c>
      <c r="L39" s="65" t="str">
        <f>IFERROR(__xludf.DUMMYFUNCTION("""COMPUTED_VALUE"""),"Umrath")</f>
        <v>Umrath</v>
      </c>
      <c r="M39" s="68" t="str">
        <f>IFERROR(__xludf.DUMMYFUNCTION("""COMPUTED_VALUE"""),"L-237")</f>
        <v>L-237</v>
      </c>
      <c r="N39" s="65"/>
      <c r="O39" s="65" t="b">
        <f>COUNTIF('Delivered Rentals'!A:A, B39) &gt; 0</f>
        <v>1</v>
      </c>
      <c r="P39" s="104" t="str">
        <f>IFERROR(__xludf.DUMMYFUNCTION("""COMPUTED_VALUE"""),"01:00 PM - 03:00 PM")</f>
        <v>01:00 PM - 03:00 PM</v>
      </c>
    </row>
    <row r="40">
      <c r="A40" s="99" t="str">
        <f>IFERROR(__xludf.DUMMYFUNCTION("""COMPUTED_VALUE"""),"https://utrucking.myshopify.com/admin/orders?query=15135")</f>
        <v>https://utrucking.myshopify.com/admin/orders?query=15135</v>
      </c>
      <c r="B40" s="61" t="str">
        <f>IFERROR(__xludf.DUMMYFUNCTION("""COMPUTED_VALUE"""),"#15135")</f>
        <v>#15135</v>
      </c>
      <c r="C40" s="61" t="str">
        <f>IFERROR(__xludf.DUMMYFUNCTION("""COMPUTED_VALUE"""),"r.m.sanchez@wustl.edu")</f>
        <v>r.m.sanchez@wustl.edu</v>
      </c>
      <c r="D40" s="61">
        <f>IFERROR(__xludf.DUMMYFUNCTION("""COMPUTED_VALUE"""),9.286154344E9)</f>
        <v>9286154344</v>
      </c>
      <c r="E40" s="61" t="str">
        <f>IFERROR(__xludf.DUMMYFUNCTION("""COMPUTED_VALUE"""),"Romina Sanchez")</f>
        <v>Romina Sanchez</v>
      </c>
      <c r="F40" s="61"/>
      <c r="G40" s="61"/>
      <c r="H40" s="61" t="str">
        <f>IFERROR(__xludf.DUMMYFUNCTION("""COMPUTED_VALUE"""),"Appliance Rental")</f>
        <v>Appliance Rental</v>
      </c>
      <c r="I40" s="61" t="str">
        <f>IFERROR(__xludf.DUMMYFUNCTION("""COMPUTED_VALUE"""),"Double-Door Mini Fridge")</f>
        <v>Double-Door Mini Fridge</v>
      </c>
      <c r="J40" s="61"/>
      <c r="K40" s="100">
        <f>IFERROR(__xludf.DUMMYFUNCTION("""COMPUTED_VALUE"""),45877.0)</f>
        <v>45877</v>
      </c>
      <c r="L40" s="61" t="str">
        <f>IFERROR(__xludf.DUMMYFUNCTION("""COMPUTED_VALUE"""),"Shepley")</f>
        <v>Shepley</v>
      </c>
      <c r="M40" s="64">
        <f>IFERROR(__xludf.DUMMYFUNCTION("""COMPUTED_VALUE"""),1024.0)</f>
        <v>1024</v>
      </c>
      <c r="N40" s="61" t="str">
        <f>IFERROR(__xludf.DUMMYFUNCTION("""COMPUTED_VALUE"""),"My daughter's move in date is August 9th.")</f>
        <v>My daughter's move in date is August 9th.</v>
      </c>
      <c r="O40" s="61" t="b">
        <f>COUNTIF('Delivered Rentals'!A:A, B40) &gt; 0</f>
        <v>1</v>
      </c>
      <c r="P40" s="101" t="str">
        <f>IFERROR(__xludf.DUMMYFUNCTION("""COMPUTED_VALUE"""),"12:00 PM - 02:00 PM")</f>
        <v>12:00 PM - 02:00 PM</v>
      </c>
    </row>
    <row r="41">
      <c r="A41" s="102" t="str">
        <f>IFERROR(__xludf.DUMMYFUNCTION("""COMPUTED_VALUE"""),"https://utrucking.myshopify.com/admin/orders?query=15136")</f>
        <v>https://utrucking.myshopify.com/admin/orders?query=15136</v>
      </c>
      <c r="B41" s="65" t="str">
        <f>IFERROR(__xludf.DUMMYFUNCTION("""COMPUTED_VALUE"""),"#15136")</f>
        <v>#15136</v>
      </c>
      <c r="C41" s="65" t="str">
        <f>IFERROR(__xludf.DUMMYFUNCTION("""COMPUTED_VALUE"""),"b.a.villa@wustl.edu")</f>
        <v>b.a.villa@wustl.edu</v>
      </c>
      <c r="D41" s="65">
        <f>IFERROR(__xludf.DUMMYFUNCTION("""COMPUTED_VALUE"""),5.614137625E9)</f>
        <v>5614137625</v>
      </c>
      <c r="E41" s="65" t="str">
        <f>IFERROR(__xludf.DUMMYFUNCTION("""COMPUTED_VALUE"""),"Isabella Villa")</f>
        <v>Isabella Villa</v>
      </c>
      <c r="F41" s="65"/>
      <c r="G41" s="65"/>
      <c r="H41" s="65" t="str">
        <f>IFERROR(__xludf.DUMMYFUNCTION("""COMPUTED_VALUE"""),"Appliance Rental")</f>
        <v>Appliance Rental</v>
      </c>
      <c r="I41" s="65" t="str">
        <f>IFERROR(__xludf.DUMMYFUNCTION("""COMPUTED_VALUE"""),"Chef's Fridge Rental")</f>
        <v>Chef's Fridge Rental</v>
      </c>
      <c r="J41" s="65"/>
      <c r="K41" s="103">
        <f>IFERROR(__xludf.DUMMYFUNCTION("""COMPUTED_VALUE"""),45890.0)</f>
        <v>45890</v>
      </c>
      <c r="L41" s="65" t="str">
        <f>IFERROR(__xludf.DUMMYFUNCTION("""COMPUTED_VALUE"""),"Village House")</f>
        <v>Village House</v>
      </c>
      <c r="M41" s="68">
        <f>IFERROR(__xludf.DUMMYFUNCTION("""COMPUTED_VALUE"""),2103.0)</f>
        <v>2103</v>
      </c>
      <c r="N41" s="65"/>
      <c r="O41" s="65" t="b">
        <f>COUNTIF('Delivered Rentals'!A:A, B41) &gt; 0</f>
        <v>1</v>
      </c>
      <c r="P41" s="104" t="str">
        <f>IFERROR(__xludf.DUMMYFUNCTION("""COMPUTED_VALUE"""),"10:00 AM - 12:00 PM")</f>
        <v>10:00 AM - 12:00 PM</v>
      </c>
    </row>
    <row r="42">
      <c r="A42" s="99" t="str">
        <f>IFERROR(__xludf.DUMMYFUNCTION("""COMPUTED_VALUE"""),"https://utrucking.myshopify.com/admin/orders?query=15138")</f>
        <v>https://utrucking.myshopify.com/admin/orders?query=15138</v>
      </c>
      <c r="B42" s="61" t="str">
        <f>IFERROR(__xludf.DUMMYFUNCTION("""COMPUTED_VALUE"""),"#15138")</f>
        <v>#15138</v>
      </c>
      <c r="C42" s="61" t="str">
        <f>IFERROR(__xludf.DUMMYFUNCTION("""COMPUTED_VALUE"""),"elianasalzberg@gmail.com")</f>
        <v>elianasalzberg@gmail.com</v>
      </c>
      <c r="D42" s="61">
        <f>IFERROR(__xludf.DUMMYFUNCTION("""COMPUTED_VALUE"""),9.177330027E9)</f>
        <v>9177330027</v>
      </c>
      <c r="E42" s="61" t="str">
        <f>IFERROR(__xludf.DUMMYFUNCTION("""COMPUTED_VALUE"""),"Ellie Salzberg")</f>
        <v>Ellie Salzberg</v>
      </c>
      <c r="F42" s="61"/>
      <c r="G42" s="61"/>
      <c r="H42" s="61" t="str">
        <f>IFERROR(__xludf.DUMMYFUNCTION("""COMPUTED_VALUE"""),"Appliance Rental")</f>
        <v>Appliance Rental</v>
      </c>
      <c r="I42" s="61" t="str">
        <f>IFERROR(__xludf.DUMMYFUNCTION("""COMPUTED_VALUE"""),"Standard Mini Fridge")</f>
        <v>Standard Mini Fridge</v>
      </c>
      <c r="J42" s="61"/>
      <c r="K42" s="100">
        <f>IFERROR(__xludf.DUMMYFUNCTION("""COMPUTED_VALUE"""),45882.0)</f>
        <v>45882</v>
      </c>
      <c r="L42" s="61" t="str">
        <f>IFERROR(__xludf.DUMMYFUNCTION("""COMPUTED_VALUE"""),"DON'T KNOW YET (put 'XXX' for room #)")</f>
        <v>DON'T KNOW YET (put 'XXX' for room #)</v>
      </c>
      <c r="M42" s="64" t="str">
        <f>IFERROR(__xludf.DUMMYFUNCTION("""COMPUTED_VALUE"""),"XXX")</f>
        <v>XXX</v>
      </c>
      <c r="N42" s="61"/>
      <c r="O42" s="61" t="b">
        <f>COUNTIF('Delivered Rentals'!A:A, B42) &gt; 0</f>
        <v>1</v>
      </c>
      <c r="P42" s="101" t="str">
        <f>IFERROR(__xludf.DUMMYFUNCTION("""COMPUTED_VALUE"""),"09:00 AM - 11:00 AM")</f>
        <v>09:00 AM - 11:00 AM</v>
      </c>
    </row>
    <row r="43">
      <c r="A43" s="102" t="str">
        <f>IFERROR(__xludf.DUMMYFUNCTION("""COMPUTED_VALUE"""),"https://utrucking.myshopify.com/admin/orders?query=15139")</f>
        <v>https://utrucking.myshopify.com/admin/orders?query=15139</v>
      </c>
      <c r="B43" s="65" t="str">
        <f>IFERROR(__xludf.DUMMYFUNCTION("""COMPUTED_VALUE"""),"#15139")</f>
        <v>#15139</v>
      </c>
      <c r="C43" s="65" t="str">
        <f>IFERROR(__xludf.DUMMYFUNCTION("""COMPUTED_VALUE"""),"slovinlauren@gmail.com")</f>
        <v>slovinlauren@gmail.com</v>
      </c>
      <c r="D43" s="65">
        <f>IFERROR(__xludf.DUMMYFUNCTION("""COMPUTED_VALUE"""),1.2039136275E10)</f>
        <v>12039136275</v>
      </c>
      <c r="E43" s="65" t="str">
        <f>IFERROR(__xludf.DUMMYFUNCTION("""COMPUTED_VALUE"""),"Lauren Slovin")</f>
        <v>Lauren Slovin</v>
      </c>
      <c r="F43" s="65"/>
      <c r="G43" s="65"/>
      <c r="H43" s="65" t="str">
        <f>IFERROR(__xludf.DUMMYFUNCTION("""COMPUTED_VALUE"""),"Appliance Rental")</f>
        <v>Appliance Rental</v>
      </c>
      <c r="I43" s="65" t="str">
        <f>IFERROR(__xludf.DUMMYFUNCTION("""COMPUTED_VALUE"""),"Double-Door Mini Fridge + Microwave")</f>
        <v>Double-Door Mini Fridge + Microwave</v>
      </c>
      <c r="J43" s="65"/>
      <c r="K43" s="103">
        <f>IFERROR(__xludf.DUMMYFUNCTION("""COMPUTED_VALUE"""),45882.0)</f>
        <v>45882</v>
      </c>
      <c r="L43" s="65" t="str">
        <f>IFERROR(__xludf.DUMMYFUNCTION("""COMPUTED_VALUE"""),"Lien")</f>
        <v>Lien</v>
      </c>
      <c r="M43" s="68">
        <f>IFERROR(__xludf.DUMMYFUNCTION("""COMPUTED_VALUE"""),3310.0)</f>
        <v>3310</v>
      </c>
      <c r="N43" s="65"/>
      <c r="O43" s="65" t="b">
        <f>COUNTIF('Delivered Rentals'!A:A, B43) &gt; 0</f>
        <v>1</v>
      </c>
      <c r="P43" s="104" t="str">
        <f>IFERROR(__xludf.DUMMYFUNCTION("""COMPUTED_VALUE"""),"09:00 AM - 11:00 AM")</f>
        <v>09:00 AM - 11:00 AM</v>
      </c>
    </row>
    <row r="44">
      <c r="A44" s="99" t="str">
        <f>IFERROR(__xludf.DUMMYFUNCTION("""COMPUTED_VALUE"""),"https://utrucking.myshopify.com/admin/orders?query=15140")</f>
        <v>https://utrucking.myshopify.com/admin/orders?query=15140</v>
      </c>
      <c r="B44" s="61" t="str">
        <f>IFERROR(__xludf.DUMMYFUNCTION("""COMPUTED_VALUE"""),"#15140")</f>
        <v>#15140</v>
      </c>
      <c r="C44" s="61" t="str">
        <f>IFERROR(__xludf.DUMMYFUNCTION("""COMPUTED_VALUE"""),"mcguire.n@wustl.edu")</f>
        <v>mcguire.n@wustl.edu</v>
      </c>
      <c r="D44" s="61">
        <f>IFERROR(__xludf.DUMMYFUNCTION("""COMPUTED_VALUE"""),6.303072371E9)</f>
        <v>6303072371</v>
      </c>
      <c r="E44" s="61" t="str">
        <f>IFERROR(__xludf.DUMMYFUNCTION("""COMPUTED_VALUE"""),"Nicole McGuire")</f>
        <v>Nicole McGuire</v>
      </c>
      <c r="F44" s="61"/>
      <c r="G44" s="61"/>
      <c r="H44" s="61" t="str">
        <f>IFERROR(__xludf.DUMMYFUNCTION("""COMPUTED_VALUE"""),"Appliance Rental")</f>
        <v>Appliance Rental</v>
      </c>
      <c r="I44" s="61" t="str">
        <f>IFERROR(__xludf.DUMMYFUNCTION("""COMPUTED_VALUE"""),"Double-Door Mini Fridge")</f>
        <v>Double-Door Mini Fridge</v>
      </c>
      <c r="J44" s="61"/>
      <c r="K44" s="100">
        <f>IFERROR(__xludf.DUMMYFUNCTION("""COMPUTED_VALUE"""),45882.0)</f>
        <v>45882</v>
      </c>
      <c r="L44" s="61" t="str">
        <f>IFERROR(__xludf.DUMMYFUNCTION("""COMPUTED_VALUE"""),"Nemerov")</f>
        <v>Nemerov</v>
      </c>
      <c r="M44" s="64">
        <f>IFERROR(__xludf.DUMMYFUNCTION("""COMPUTED_VALUE"""),4102.0)</f>
        <v>4102</v>
      </c>
      <c r="N44" s="61" t="str">
        <f>IFERROR(__xludf.DUMMYFUNCTION("""COMPUTED_VALUE"""),"McGuire room")</f>
        <v>McGuire room</v>
      </c>
      <c r="O44" s="61" t="b">
        <f>COUNTIF('Delivered Rentals'!A:A, B44) &gt; 0</f>
        <v>1</v>
      </c>
      <c r="P44" s="101" t="str">
        <f>IFERROR(__xludf.DUMMYFUNCTION("""COMPUTED_VALUE"""),"10:00 AM - 12:00 PM")</f>
        <v>10:00 AM - 12:00 PM</v>
      </c>
    </row>
    <row r="45">
      <c r="A45" s="102" t="str">
        <f>IFERROR(__xludf.DUMMYFUNCTION("""COMPUTED_VALUE"""),"https://utrucking.myshopify.com/admin/orders?query=15142")</f>
        <v>https://utrucking.myshopify.com/admin/orders?query=15142</v>
      </c>
      <c r="B45" s="65" t="str">
        <f>IFERROR(__xludf.DUMMYFUNCTION("""COMPUTED_VALUE"""),"#15142")</f>
        <v>#15142</v>
      </c>
      <c r="C45" s="65" t="str">
        <f>IFERROR(__xludf.DUMMYFUNCTION("""COMPUTED_VALUE"""),"okoben@wustl.edu")</f>
        <v>okoben@wustl.edu</v>
      </c>
      <c r="D45" s="65">
        <f>IFERROR(__xludf.DUMMYFUNCTION("""COMPUTED_VALUE"""),2.162465632E9)</f>
        <v>2162465632</v>
      </c>
      <c r="E45" s="65" t="str">
        <f>IFERROR(__xludf.DUMMYFUNCTION("""COMPUTED_VALUE"""),"Thomas Okoben")</f>
        <v>Thomas Okoben</v>
      </c>
      <c r="F45" s="65"/>
      <c r="G45" s="65"/>
      <c r="H45" s="65" t="str">
        <f>IFERROR(__xludf.DUMMYFUNCTION("""COMPUTED_VALUE"""),"Appliance Rental")</f>
        <v>Appliance Rental</v>
      </c>
      <c r="I45" s="65" t="str">
        <f>IFERROR(__xludf.DUMMYFUNCTION("""COMPUTED_VALUE"""),"Standard Mini Fridge + Microwave")</f>
        <v>Standard Mini Fridge + Microwave</v>
      </c>
      <c r="J45" s="65"/>
      <c r="K45" s="103">
        <f>IFERROR(__xludf.DUMMYFUNCTION("""COMPUTED_VALUE"""),45890.0)</f>
        <v>45890</v>
      </c>
      <c r="L45" s="65" t="str">
        <f>IFERROR(__xludf.DUMMYFUNCTION("""COMPUTED_VALUE"""),"Liggett")</f>
        <v>Liggett</v>
      </c>
      <c r="M45" s="68" t="str">
        <f>IFERROR(__xludf.DUMMYFUNCTION("""COMPUTED_VALUE"""),"1222-a")</f>
        <v>1222-a</v>
      </c>
      <c r="N45" s="65"/>
      <c r="O45" s="65" t="b">
        <f>COUNTIF('Delivered Rentals'!A:A, B45) &gt; 0</f>
        <v>1</v>
      </c>
      <c r="P45" s="104" t="str">
        <f>IFERROR(__xludf.DUMMYFUNCTION("""COMPUTED_VALUE"""),"01:00 PM - 03:00 PM")</f>
        <v>01:00 PM - 03:00 PM</v>
      </c>
    </row>
    <row r="46">
      <c r="A46" s="99" t="str">
        <f>IFERROR(__xludf.DUMMYFUNCTION("""COMPUTED_VALUE"""),"https://utrucking.myshopify.com/admin/orders?query=15143")</f>
        <v>https://utrucking.myshopify.com/admin/orders?query=15143</v>
      </c>
      <c r="B46" s="61" t="str">
        <f>IFERROR(__xludf.DUMMYFUNCTION("""COMPUTED_VALUE"""),"#15143")</f>
        <v>#15143</v>
      </c>
      <c r="C46" s="61" t="str">
        <f>IFERROR(__xludf.DUMMYFUNCTION("""COMPUTED_VALUE"""),"s.m.sidhu@wustl.edu")</f>
        <v>s.m.sidhu@wustl.edu</v>
      </c>
      <c r="D46" s="61">
        <f>IFERROR(__xludf.DUMMYFUNCTION("""COMPUTED_VALUE"""),7.046920035E9)</f>
        <v>7046920035</v>
      </c>
      <c r="E46" s="61" t="str">
        <f>IFERROR(__xludf.DUMMYFUNCTION("""COMPUTED_VALUE"""),"Sophia Sidhu")</f>
        <v>Sophia Sidhu</v>
      </c>
      <c r="F46" s="61"/>
      <c r="G46" s="61"/>
      <c r="H46" s="61" t="str">
        <f>IFERROR(__xludf.DUMMYFUNCTION("""COMPUTED_VALUE"""),"Appliance Rental")</f>
        <v>Appliance Rental</v>
      </c>
      <c r="I46" s="61" t="str">
        <f>IFERROR(__xludf.DUMMYFUNCTION("""COMPUTED_VALUE"""),"Chef's Fridge Rental")</f>
        <v>Chef's Fridge Rental</v>
      </c>
      <c r="J46" s="61"/>
      <c r="K46" s="100">
        <f>IFERROR(__xludf.DUMMYFUNCTION("""COMPUTED_VALUE"""),45876.0)</f>
        <v>45876</v>
      </c>
      <c r="L46" s="61" t="str">
        <f>IFERROR(__xludf.DUMMYFUNCTION("""COMPUTED_VALUE"""),"Nemerov")</f>
        <v>Nemerov</v>
      </c>
      <c r="M46" s="64" t="str">
        <f>IFERROR(__xludf.DUMMYFUNCTION("""COMPUTED_VALUE"""),"3053 suite")</f>
        <v>3053 suite</v>
      </c>
      <c r="N46" s="61" t="str">
        <f>IFERROR(__xludf.DUMMYFUNCTION("""COMPUTED_VALUE"""),"moving in august 9th")</f>
        <v>moving in august 9th</v>
      </c>
      <c r="O46" s="61" t="b">
        <f>COUNTIF('Delivered Rentals'!A:A, B46) &gt; 0</f>
        <v>1</v>
      </c>
      <c r="P46" s="101" t="str">
        <f>IFERROR(__xludf.DUMMYFUNCTION("""COMPUTED_VALUE"""),"11:00 AM - 01:00 PM")</f>
        <v>11:00 AM - 01:00 PM</v>
      </c>
    </row>
    <row r="47">
      <c r="A47" s="102" t="str">
        <f>IFERROR(__xludf.DUMMYFUNCTION("""COMPUTED_VALUE"""),"https://utrucking.myshopify.com/admin/orders?query=15145")</f>
        <v>https://utrucking.myshopify.com/admin/orders?query=15145</v>
      </c>
      <c r="B47" s="65" t="str">
        <f>IFERROR(__xludf.DUMMYFUNCTION("""COMPUTED_VALUE"""),"#15145")</f>
        <v>#15145</v>
      </c>
      <c r="C47" s="65" t="str">
        <f>IFERROR(__xludf.DUMMYFUNCTION("""COMPUTED_VALUE"""),"b.broker@wustl.edu")</f>
        <v>b.broker@wustl.edu</v>
      </c>
      <c r="D47" s="65">
        <f>IFERROR(__xludf.DUMMYFUNCTION("""COMPUTED_VALUE"""),2.154443289E9)</f>
        <v>2154443289</v>
      </c>
      <c r="E47" s="65" t="str">
        <f>IFERROR(__xludf.DUMMYFUNCTION("""COMPUTED_VALUE"""),"Ben Broker")</f>
        <v>Ben Broker</v>
      </c>
      <c r="F47" s="65"/>
      <c r="G47" s="65"/>
      <c r="H47" s="65" t="str">
        <f>IFERROR(__xludf.DUMMYFUNCTION("""COMPUTED_VALUE"""),"Appliance Rental")</f>
        <v>Appliance Rental</v>
      </c>
      <c r="I47" s="65" t="str">
        <f>IFERROR(__xludf.DUMMYFUNCTION("""COMPUTED_VALUE"""),"Double-Door Mini Fridge + Microwave")</f>
        <v>Double-Door Mini Fridge + Microwave</v>
      </c>
      <c r="J47" s="65"/>
      <c r="K47" s="103">
        <f>IFERROR(__xludf.DUMMYFUNCTION("""COMPUTED_VALUE"""),45887.0)</f>
        <v>45887</v>
      </c>
      <c r="L47" s="65" t="str">
        <f>IFERROR(__xludf.DUMMYFUNCTION("""COMPUTED_VALUE"""),"House 6 (Sigma Alpha Epsilon)")</f>
        <v>House 6 (Sigma Alpha Epsilon)</v>
      </c>
      <c r="M47" s="68">
        <f>IFERROR(__xludf.DUMMYFUNCTION("""COMPUTED_VALUE"""),208.0)</f>
        <v>208</v>
      </c>
      <c r="N47" s="65" t="str">
        <f>IFERROR(__xludf.DUMMYFUNCTION("""COMPUTED_VALUE"""),"Please also deliver my storage boxes and WashUWash stuff at the same time. Thanks")</f>
        <v>Please also deliver my storage boxes and WashUWash stuff at the same time. Thanks</v>
      </c>
      <c r="O47" s="65" t="b">
        <f>COUNTIF('Delivered Rentals'!A:A, B47) &gt; 0</f>
        <v>1</v>
      </c>
      <c r="P47" s="104" t="str">
        <f>IFERROR(__xludf.DUMMYFUNCTION("""COMPUTED_VALUE"""),"09:00 AM to 11:00 AM")</f>
        <v>09:00 AM to 11:00 AM</v>
      </c>
    </row>
    <row r="48">
      <c r="A48" s="99" t="str">
        <f>IFERROR(__xludf.DUMMYFUNCTION("""COMPUTED_VALUE"""),"https://utrucking.myshopify.com/admin/orders?query=15157")</f>
        <v>https://utrucking.myshopify.com/admin/orders?query=15157</v>
      </c>
      <c r="B48" s="61" t="str">
        <f>IFERROR(__xludf.DUMMYFUNCTION("""COMPUTED_VALUE"""),"#15157")</f>
        <v>#15157</v>
      </c>
      <c r="C48" s="61" t="str">
        <f>IFERROR(__xludf.DUMMYFUNCTION("""COMPUTED_VALUE"""),"jayrifkin@yahoo.com")</f>
        <v>jayrifkin@yahoo.com</v>
      </c>
      <c r="D48" s="61">
        <f>IFERROR(__xludf.DUMMYFUNCTION("""COMPUTED_VALUE"""),3.392233166E9)</f>
        <v>3392233166</v>
      </c>
      <c r="E48" s="61" t="str">
        <f>IFERROR(__xludf.DUMMYFUNCTION("""COMPUTED_VALUE"""),"Jay Rifkin")</f>
        <v>Jay Rifkin</v>
      </c>
      <c r="F48" s="61"/>
      <c r="G48" s="61"/>
      <c r="H48" s="61" t="str">
        <f>IFERROR(__xludf.DUMMYFUNCTION("""COMPUTED_VALUE"""),"Appliance Rental")</f>
        <v>Appliance Rental</v>
      </c>
      <c r="I48" s="61" t="str">
        <f>IFERROR(__xludf.DUMMYFUNCTION("""COMPUTED_VALUE"""),"Standard Mini Fridge")</f>
        <v>Standard Mini Fridge</v>
      </c>
      <c r="J48" s="61"/>
      <c r="K48" s="100">
        <f>IFERROR(__xludf.DUMMYFUNCTION("""COMPUTED_VALUE"""),45883.0)</f>
        <v>45883</v>
      </c>
      <c r="L48" s="61" t="str">
        <f>IFERROR(__xludf.DUMMYFUNCTION("""COMPUTED_VALUE"""),"Dardick")</f>
        <v>Dardick</v>
      </c>
      <c r="M48" s="64">
        <f>IFERROR(__xludf.DUMMYFUNCTION("""COMPUTED_VALUE"""),1105.0)</f>
        <v>1105</v>
      </c>
      <c r="N48" s="61"/>
      <c r="O48" s="61" t="b">
        <f>COUNTIF('Delivered Rentals'!A:A, B48) &gt; 0</f>
        <v>1</v>
      </c>
      <c r="P48" s="101" t="str">
        <f>IFERROR(__xludf.DUMMYFUNCTION("""COMPUTED_VALUE"""),"11:00 AM - 01:00 PM")</f>
        <v>11:00 AM - 01:00 PM</v>
      </c>
    </row>
    <row r="49">
      <c r="A49" s="102" t="str">
        <f>IFERROR(__xludf.DUMMYFUNCTION("""COMPUTED_VALUE"""),"https://utrucking.myshopify.com/admin/orders?query=15159")</f>
        <v>https://utrucking.myshopify.com/admin/orders?query=15159</v>
      </c>
      <c r="B49" s="65" t="str">
        <f>IFERROR(__xludf.DUMMYFUNCTION("""COMPUTED_VALUE"""),"#15159")</f>
        <v>#15159</v>
      </c>
      <c r="C49" s="65"/>
      <c r="D49" s="65">
        <f>IFERROR(__xludf.DUMMYFUNCTION("""COMPUTED_VALUE"""),1.9176127037E10)</f>
        <v>19176127037</v>
      </c>
      <c r="E49" s="65" t="str">
        <f>IFERROR(__xludf.DUMMYFUNCTION("""COMPUTED_VALUE"""),"Adam Schwartz")</f>
        <v>Adam Schwartz</v>
      </c>
      <c r="F49" s="65"/>
      <c r="G49" s="65"/>
      <c r="H49" s="65" t="str">
        <f>IFERROR(__xludf.DUMMYFUNCTION("""COMPUTED_VALUE"""),"Appliance Rental")</f>
        <v>Appliance Rental</v>
      </c>
      <c r="I49" s="65" t="str">
        <f>IFERROR(__xludf.DUMMYFUNCTION("""COMPUTED_VALUE"""),"Standard Mini Fridge + Microwave")</f>
        <v>Standard Mini Fridge + Microwave</v>
      </c>
      <c r="J49" s="65"/>
      <c r="K49" s="103">
        <f>IFERROR(__xludf.DUMMYFUNCTION("""COMPUTED_VALUE"""),45882.0)</f>
        <v>45882</v>
      </c>
      <c r="L49" s="65" t="str">
        <f>IFERROR(__xludf.DUMMYFUNCTION("""COMPUTED_VALUE"""),"Koenig")</f>
        <v>Koenig</v>
      </c>
      <c r="M49" s="68" t="str">
        <f>IFERROR(__xludf.DUMMYFUNCTION("""COMPUTED_VALUE"""),"1109-A")</f>
        <v>1109-A</v>
      </c>
      <c r="N49" s="65"/>
      <c r="O49" s="65" t="b">
        <f>COUNTIF('Delivered Rentals'!A:A, B49) &gt; 0</f>
        <v>1</v>
      </c>
      <c r="P49" s="104" t="str">
        <f>IFERROR(__xludf.DUMMYFUNCTION("""COMPUTED_VALUE"""),"01:00 PM - 03:00 PM")</f>
        <v>01:00 PM - 03:00 PM</v>
      </c>
    </row>
    <row r="50">
      <c r="A50" s="99" t="str">
        <f>IFERROR(__xludf.DUMMYFUNCTION("""COMPUTED_VALUE"""),"https://utrucking.myshopify.com/admin/orders?query=15160")</f>
        <v>https://utrucking.myshopify.com/admin/orders?query=15160</v>
      </c>
      <c r="B50" s="61" t="str">
        <f>IFERROR(__xludf.DUMMYFUNCTION("""COMPUTED_VALUE"""),"#15160")</f>
        <v>#15160</v>
      </c>
      <c r="C50" s="61"/>
      <c r="D50" s="61">
        <f>IFERROR(__xludf.DUMMYFUNCTION("""COMPUTED_VALUE"""),8.323688395E9)</f>
        <v>8323688395</v>
      </c>
      <c r="E50" s="61" t="str">
        <f>IFERROR(__xludf.DUMMYFUNCTION("""COMPUTED_VALUE"""),"Anshula Greene")</f>
        <v>Anshula Greene</v>
      </c>
      <c r="F50" s="61"/>
      <c r="G50" s="61"/>
      <c r="H50" s="61" t="str">
        <f>IFERROR(__xludf.DUMMYFUNCTION("""COMPUTED_VALUE"""),"Appliance Rental")</f>
        <v>Appliance Rental</v>
      </c>
      <c r="I50" s="61" t="str">
        <f>IFERROR(__xludf.DUMMYFUNCTION("""COMPUTED_VALUE"""),"Double-Door Mini Fridge")</f>
        <v>Double-Door Mini Fridge</v>
      </c>
      <c r="J50" s="61"/>
      <c r="K50" s="100">
        <f>IFERROR(__xludf.DUMMYFUNCTION("""COMPUTED_VALUE"""),45881.0)</f>
        <v>45881</v>
      </c>
      <c r="L50" s="61" t="str">
        <f>IFERROR(__xludf.DUMMYFUNCTION("""COMPUTED_VALUE"""),"Lien")</f>
        <v>Lien</v>
      </c>
      <c r="M50" s="64" t="str">
        <f>IFERROR(__xludf.DUMMYFUNCTION("""COMPUTED_VALUE"""),"XXX")</f>
        <v>XXX</v>
      </c>
      <c r="N50" s="61" t="str">
        <f>IFERROR(__xludf.DUMMYFUNCTION("""COMPUTED_VALUE"""),"Roshan Greene - 2029")</f>
        <v>Roshan Greene - 2029</v>
      </c>
      <c r="O50" s="61" t="b">
        <f>COUNTIF('Delivered Rentals'!A:A, B50) &gt; 0</f>
        <v>1</v>
      </c>
      <c r="P50" s="101" t="str">
        <f>IFERROR(__xludf.DUMMYFUNCTION("""COMPUTED_VALUE"""),"09:00 AM - 11:00 AM")</f>
        <v>09:00 AM - 11:00 AM</v>
      </c>
    </row>
    <row r="51">
      <c r="A51" s="102" t="str">
        <f>IFERROR(__xludf.DUMMYFUNCTION("""COMPUTED_VALUE"""),"https://utrucking.myshopify.com/admin/orders?query=15164")</f>
        <v>https://utrucking.myshopify.com/admin/orders?query=15164</v>
      </c>
      <c r="B51" s="65" t="str">
        <f>IFERROR(__xludf.DUMMYFUNCTION("""COMPUTED_VALUE"""),"#15164")</f>
        <v>#15164</v>
      </c>
      <c r="C51" s="65"/>
      <c r="D51" s="65">
        <f>IFERROR(__xludf.DUMMYFUNCTION("""COMPUTED_VALUE"""),3.304816706E9)</f>
        <v>3304816706</v>
      </c>
      <c r="E51" s="65" t="str">
        <f>IFERROR(__xludf.DUMMYFUNCTION("""COMPUTED_VALUE"""),"Stephen Hall")</f>
        <v>Stephen Hall</v>
      </c>
      <c r="F51" s="65"/>
      <c r="G51" s="65"/>
      <c r="H51" s="65" t="str">
        <f>IFERROR(__xludf.DUMMYFUNCTION("""COMPUTED_VALUE"""),"Appliance Rental")</f>
        <v>Appliance Rental</v>
      </c>
      <c r="I51" s="65" t="str">
        <f>IFERROR(__xludf.DUMMYFUNCTION("""COMPUTED_VALUE"""),"Double-Door Mini Fridge")</f>
        <v>Double-Door Mini Fridge</v>
      </c>
      <c r="J51" s="65"/>
      <c r="K51" s="103">
        <f>IFERROR(__xludf.DUMMYFUNCTION("""COMPUTED_VALUE"""),45882.0)</f>
        <v>45882</v>
      </c>
      <c r="L51" s="65" t="str">
        <f>IFERROR(__xludf.DUMMYFUNCTION("""COMPUTED_VALUE"""),"Danforth")</f>
        <v>Danforth</v>
      </c>
      <c r="M51" s="68">
        <f>IFERROR(__xludf.DUMMYFUNCTION("""COMPUTED_VALUE"""),3307.0)</f>
        <v>3307</v>
      </c>
      <c r="N51" s="65"/>
      <c r="O51" s="65" t="b">
        <f>COUNTIF('Delivered Rentals'!A:A, B51) &gt; 0</f>
        <v>1</v>
      </c>
      <c r="P51" s="104" t="str">
        <f>IFERROR(__xludf.DUMMYFUNCTION("""COMPUTED_VALUE"""),"10:00 AM - 12:00 PM")</f>
        <v>10:00 AM - 12:00 PM</v>
      </c>
    </row>
    <row r="52">
      <c r="A52" s="99" t="str">
        <f>IFERROR(__xludf.DUMMYFUNCTION("""COMPUTED_VALUE"""),"https://utrucking.myshopify.com/admin/orders?query=15166")</f>
        <v>https://utrucking.myshopify.com/admin/orders?query=15166</v>
      </c>
      <c r="B52" s="61" t="str">
        <f>IFERROR(__xludf.DUMMYFUNCTION("""COMPUTED_VALUE"""),"#15166")</f>
        <v>#15166</v>
      </c>
      <c r="C52" s="61"/>
      <c r="D52" s="61">
        <f>IFERROR(__xludf.DUMMYFUNCTION("""COMPUTED_VALUE"""),7.132997174E9)</f>
        <v>7132997174</v>
      </c>
      <c r="E52" s="61" t="str">
        <f>IFERROR(__xludf.DUMMYFUNCTION("""COMPUTED_VALUE"""),"Shannon Bell")</f>
        <v>Shannon Bell</v>
      </c>
      <c r="F52" s="61"/>
      <c r="G52" s="61"/>
      <c r="H52" s="61" t="str">
        <f>IFERROR(__xludf.DUMMYFUNCTION("""COMPUTED_VALUE"""),"Appliance Rental")</f>
        <v>Appliance Rental</v>
      </c>
      <c r="I52" s="61" t="str">
        <f>IFERROR(__xludf.DUMMYFUNCTION("""COMPUTED_VALUE"""),"Double-Door Mini Fridge + Microwave")</f>
        <v>Double-Door Mini Fridge + Microwave</v>
      </c>
      <c r="J52" s="61"/>
      <c r="K52" s="100">
        <f>IFERROR(__xludf.DUMMYFUNCTION("""COMPUTED_VALUE"""),45882.0)</f>
        <v>45882</v>
      </c>
      <c r="L52" s="61" t="str">
        <f>IFERROR(__xludf.DUMMYFUNCTION("""COMPUTED_VALUE"""),"Danforth")</f>
        <v>Danforth</v>
      </c>
      <c r="M52" s="64" t="str">
        <f>IFERROR(__xludf.DUMMYFUNCTION("""COMPUTED_VALUE"""),"Not sure yet")</f>
        <v>Not sure yet</v>
      </c>
      <c r="N52" s="61" t="str">
        <f>IFERROR(__xludf.DUMMYFUNCTION("""COMPUTED_VALUE"""),"Ashton Bell freshman
Thank you!")</f>
        <v>Ashton Bell freshman
Thank you!</v>
      </c>
      <c r="O52" s="61" t="b">
        <f>COUNTIF('Delivered Rentals'!A:A, B52) &gt; 0</f>
        <v>1</v>
      </c>
      <c r="P52" s="101" t="str">
        <f>IFERROR(__xludf.DUMMYFUNCTION("""COMPUTED_VALUE"""),"10:00 AM - 12:00 PM")</f>
        <v>10:00 AM - 12:00 PM</v>
      </c>
    </row>
    <row r="53">
      <c r="A53" s="102" t="str">
        <f>IFERROR(__xludf.DUMMYFUNCTION("""COMPUTED_VALUE"""),"https://utrucking.myshopify.com/admin/orders?query=15171")</f>
        <v>https://utrucking.myshopify.com/admin/orders?query=15171</v>
      </c>
      <c r="B53" s="65" t="str">
        <f>IFERROR(__xludf.DUMMYFUNCTION("""COMPUTED_VALUE"""),"#15171")</f>
        <v>#15171</v>
      </c>
      <c r="C53" s="65" t="str">
        <f>IFERROR(__xludf.DUMMYFUNCTION("""COMPUTED_VALUE"""),"jacktajkef@outlook.com")</f>
        <v>jacktajkef@outlook.com</v>
      </c>
      <c r="D53" s="65">
        <f>IFERROR(__xludf.DUMMYFUNCTION("""COMPUTED_VALUE"""),1.8183140867E10)</f>
        <v>18183140867</v>
      </c>
      <c r="E53" s="65" t="str">
        <f>IFERROR(__xludf.DUMMYFUNCTION("""COMPUTED_VALUE"""),"Jack Tajkef")</f>
        <v>Jack Tajkef</v>
      </c>
      <c r="F53" s="65"/>
      <c r="G53" s="65"/>
      <c r="H53" s="65" t="str">
        <f>IFERROR(__xludf.DUMMYFUNCTION("""COMPUTED_VALUE"""),"Appliance Rental")</f>
        <v>Appliance Rental</v>
      </c>
      <c r="I53" s="65" t="str">
        <f>IFERROR(__xludf.DUMMYFUNCTION("""COMPUTED_VALUE"""),"Double-Door Mini Fridge + Microwave")</f>
        <v>Double-Door Mini Fridge + Microwave</v>
      </c>
      <c r="J53" s="65"/>
      <c r="K53" s="103">
        <f>IFERROR(__xludf.DUMMYFUNCTION("""COMPUTED_VALUE"""),45882.0)</f>
        <v>45882</v>
      </c>
      <c r="L53" s="65" t="str">
        <f>IFERROR(__xludf.DUMMYFUNCTION("""COMPUTED_VALUE"""),"Dardick")</f>
        <v>Dardick</v>
      </c>
      <c r="M53" s="68">
        <f>IFERROR(__xludf.DUMMYFUNCTION("""COMPUTED_VALUE"""),2222.0)</f>
        <v>2222</v>
      </c>
      <c r="N53" s="65"/>
      <c r="O53" s="65" t="b">
        <f>COUNTIF('Delivered Rentals'!A:A, B53) &gt; 0</f>
        <v>1</v>
      </c>
      <c r="P53" s="104" t="str">
        <f>IFERROR(__xludf.DUMMYFUNCTION("""COMPUTED_VALUE"""),"12:00 PM - 02:00 PM")</f>
        <v>12:00 PM - 02:00 PM</v>
      </c>
    </row>
    <row r="54">
      <c r="A54" s="99" t="str">
        <f>IFERROR(__xludf.DUMMYFUNCTION("""COMPUTED_VALUE"""),"https://utrucking.myshopify.com/admin/orders?query=15175")</f>
        <v>https://utrucking.myshopify.com/admin/orders?query=15175</v>
      </c>
      <c r="B54" s="61" t="str">
        <f>IFERROR(__xludf.DUMMYFUNCTION("""COMPUTED_VALUE"""),"#15175")</f>
        <v>#15175</v>
      </c>
      <c r="C54" s="61"/>
      <c r="D54" s="61">
        <f>IFERROR(__xludf.DUMMYFUNCTION("""COMPUTED_VALUE"""),1.4024294779E10)</f>
        <v>14024294779</v>
      </c>
      <c r="E54" s="61" t="str">
        <f>IFERROR(__xludf.DUMMYFUNCTION("""COMPUTED_VALUE"""),"Tammy Stevenson")</f>
        <v>Tammy Stevenson</v>
      </c>
      <c r="F54" s="61"/>
      <c r="G54" s="61"/>
      <c r="H54" s="61" t="str">
        <f>IFERROR(__xludf.DUMMYFUNCTION("""COMPUTED_VALUE"""),"Appliance Rental")</f>
        <v>Appliance Rental</v>
      </c>
      <c r="I54" s="61" t="str">
        <f>IFERROR(__xludf.DUMMYFUNCTION("""COMPUTED_VALUE"""),"Double-Door Mini Fridge + Microwave")</f>
        <v>Double-Door Mini Fridge + Microwave</v>
      </c>
      <c r="J54" s="61"/>
      <c r="K54" s="100">
        <f>IFERROR(__xludf.DUMMYFUNCTION("""COMPUTED_VALUE"""),45881.0)</f>
        <v>45881</v>
      </c>
      <c r="L54" s="61" t="str">
        <f>IFERROR(__xludf.DUMMYFUNCTION("""COMPUTED_VALUE"""),"Park")</f>
        <v>Park</v>
      </c>
      <c r="M54" s="64" t="str">
        <f>IFERROR(__xludf.DUMMYFUNCTION("""COMPUTED_VALUE"""),"272-b")</f>
        <v>272-b</v>
      </c>
      <c r="N54" s="61"/>
      <c r="O54" s="61" t="b">
        <f>COUNTIF('Delivered Rentals'!A:A, B54) &gt; 0</f>
        <v>1</v>
      </c>
      <c r="P54" s="101" t="str">
        <f>IFERROR(__xludf.DUMMYFUNCTION("""COMPUTED_VALUE"""),"10:00 AM - 12:00 PM")</f>
        <v>10:00 AM - 12:00 PM</v>
      </c>
    </row>
    <row r="55">
      <c r="A55" s="102" t="str">
        <f>IFERROR(__xludf.DUMMYFUNCTION("""COMPUTED_VALUE"""),"https://utrucking.myshopify.com/admin/orders?query=15178")</f>
        <v>https://utrucking.myshopify.com/admin/orders?query=15178</v>
      </c>
      <c r="B55" s="65" t="str">
        <f>IFERROR(__xludf.DUMMYFUNCTION("""COMPUTED_VALUE"""),"#15178")</f>
        <v>#15178</v>
      </c>
      <c r="C55" s="65" t="str">
        <f>IFERROR(__xludf.DUMMYFUNCTION("""COMPUTED_VALUE"""),"l.d.young@wustl.edu")</f>
        <v>l.d.young@wustl.edu</v>
      </c>
      <c r="D55" s="65">
        <f>IFERROR(__xludf.DUMMYFUNCTION("""COMPUTED_VALUE"""),9.494311134E9)</f>
        <v>9494311134</v>
      </c>
      <c r="E55" s="65" t="str">
        <f>IFERROR(__xludf.DUMMYFUNCTION("""COMPUTED_VALUE"""),"Lance Young")</f>
        <v>Lance Young</v>
      </c>
      <c r="F55" s="65"/>
      <c r="G55" s="65"/>
      <c r="H55" s="65" t="str">
        <f>IFERROR(__xludf.DUMMYFUNCTION("""COMPUTED_VALUE"""),"Appliance Rental")</f>
        <v>Appliance Rental</v>
      </c>
      <c r="I55" s="65" t="str">
        <f>IFERROR(__xludf.DUMMYFUNCTION("""COMPUTED_VALUE"""),"Double-Door Mini Fridge + Microwave")</f>
        <v>Double-Door Mini Fridge + Microwave</v>
      </c>
      <c r="J55" s="65"/>
      <c r="K55" s="103">
        <f>IFERROR(__xludf.DUMMYFUNCTION("""COMPUTED_VALUE"""),45883.0)</f>
        <v>45883</v>
      </c>
      <c r="L55" s="65" t="str">
        <f>IFERROR(__xludf.DUMMYFUNCTION("""COMPUTED_VALUE"""),"Koenig")</f>
        <v>Koenig</v>
      </c>
      <c r="M55" s="68">
        <f>IFERROR(__xludf.DUMMYFUNCTION("""COMPUTED_VALUE"""),4407.0)</f>
        <v>4407</v>
      </c>
      <c r="N55" s="65"/>
      <c r="O55" s="65" t="b">
        <f>COUNTIF('Delivered Rentals'!A:A, B55) &gt; 0</f>
        <v>1</v>
      </c>
      <c r="P55" s="104" t="str">
        <f>IFERROR(__xludf.DUMMYFUNCTION("""COMPUTED_VALUE"""),"09:00 AM - 11:00 AM")</f>
        <v>09:00 AM - 11:00 AM</v>
      </c>
    </row>
    <row r="56">
      <c r="A56" s="99" t="str">
        <f>IFERROR(__xludf.DUMMYFUNCTION("""COMPUTED_VALUE"""),"https://utrucking.myshopify.com/admin/orders?query=15182")</f>
        <v>https://utrucking.myshopify.com/admin/orders?query=15182</v>
      </c>
      <c r="B56" s="61" t="str">
        <f>IFERROR(__xludf.DUMMYFUNCTION("""COMPUTED_VALUE"""),"#15182")</f>
        <v>#15182</v>
      </c>
      <c r="C56" s="61" t="str">
        <f>IFERROR(__xludf.DUMMYFUNCTION("""COMPUTED_VALUE"""),"ladden@wustl.edu")</f>
        <v>ladden@wustl.edu</v>
      </c>
      <c r="D56" s="61">
        <f>IFERROR(__xludf.DUMMYFUNCTION("""COMPUTED_VALUE"""),1.9172732413E10)</f>
        <v>19172732413</v>
      </c>
      <c r="E56" s="61" t="str">
        <f>IFERROR(__xludf.DUMMYFUNCTION("""COMPUTED_VALUE"""),"Matthew Ladden")</f>
        <v>Matthew Ladden</v>
      </c>
      <c r="F56" s="61"/>
      <c r="G56" s="61"/>
      <c r="H56" s="61" t="str">
        <f>IFERROR(__xludf.DUMMYFUNCTION("""COMPUTED_VALUE"""),"Appliance Rental")</f>
        <v>Appliance Rental</v>
      </c>
      <c r="I56" s="61" t="str">
        <f>IFERROR(__xludf.DUMMYFUNCTION("""COMPUTED_VALUE"""),"Double-Door Mini Fridge")</f>
        <v>Double-Door Mini Fridge</v>
      </c>
      <c r="J56" s="61"/>
      <c r="K56" s="100">
        <f>IFERROR(__xludf.DUMMYFUNCTION("""COMPUTED_VALUE"""),45882.0)</f>
        <v>45882</v>
      </c>
      <c r="L56" s="61" t="str">
        <f>IFERROR(__xludf.DUMMYFUNCTION("""COMPUTED_VALUE"""),"Eliot A")</f>
        <v>Eliot A</v>
      </c>
      <c r="M56" s="64">
        <f>IFERROR(__xludf.DUMMYFUNCTION("""COMPUTED_VALUE"""),1033.0)</f>
        <v>1033</v>
      </c>
      <c r="N56" s="61"/>
      <c r="O56" s="61" t="b">
        <f>COUNTIF('Delivered Rentals'!A:A, B56) &gt; 0</f>
        <v>1</v>
      </c>
      <c r="P56" s="101" t="str">
        <f>IFERROR(__xludf.DUMMYFUNCTION("""COMPUTED_VALUE"""),"12:00 PM - 02:00 PM")</f>
        <v>12:00 PM - 02:00 PM</v>
      </c>
    </row>
    <row r="57">
      <c r="A57" s="102" t="str">
        <f>IFERROR(__xludf.DUMMYFUNCTION("""COMPUTED_VALUE"""),"https://utrucking.myshopify.com/admin/orders?query=15185")</f>
        <v>https://utrucking.myshopify.com/admin/orders?query=15185</v>
      </c>
      <c r="B57" s="65" t="str">
        <f>IFERROR(__xludf.DUMMYFUNCTION("""COMPUTED_VALUE"""),"#15185")</f>
        <v>#15185</v>
      </c>
      <c r="C57" s="65" t="str">
        <f>IFERROR(__xludf.DUMMYFUNCTION("""COMPUTED_VALUE"""),"e.e.may@wustl.edu")</f>
        <v>e.e.may@wustl.edu</v>
      </c>
      <c r="D57" s="65">
        <f>IFERROR(__xludf.DUMMYFUNCTION("""COMPUTED_VALUE"""),6.026902075E9)</f>
        <v>6026902075</v>
      </c>
      <c r="E57" s="65" t="str">
        <f>IFERROR(__xludf.DUMMYFUNCTION("""COMPUTED_VALUE"""),"Mary May")</f>
        <v>Mary May</v>
      </c>
      <c r="F57" s="65"/>
      <c r="G57" s="65"/>
      <c r="H57" s="65" t="str">
        <f>IFERROR(__xludf.DUMMYFUNCTION("""COMPUTED_VALUE"""),"Appliance Rental")</f>
        <v>Appliance Rental</v>
      </c>
      <c r="I57" s="65" t="str">
        <f>IFERROR(__xludf.DUMMYFUNCTION("""COMPUTED_VALUE"""),"Double-Door Mini Fridge + Microwave")</f>
        <v>Double-Door Mini Fridge + Microwave</v>
      </c>
      <c r="J57" s="65"/>
      <c r="K57" s="103">
        <f>IFERROR(__xludf.DUMMYFUNCTION("""COMPUTED_VALUE"""),45882.0)</f>
        <v>45882</v>
      </c>
      <c r="L57" s="65" t="str">
        <f>IFERROR(__xludf.DUMMYFUNCTION("""COMPUTED_VALUE"""),"Koenig")</f>
        <v>Koenig</v>
      </c>
      <c r="M57" s="68">
        <f>IFERROR(__xludf.DUMMYFUNCTION("""COMPUTED_VALUE"""),3316.0)</f>
        <v>3316</v>
      </c>
      <c r="N57" s="65"/>
      <c r="O57" s="65" t="b">
        <f>COUNTIF('Delivered Rentals'!A:A, B57) &gt; 0</f>
        <v>1</v>
      </c>
      <c r="P57" s="104" t="str">
        <f>IFERROR(__xludf.DUMMYFUNCTION("""COMPUTED_VALUE"""),"09:00 AM - 11:00 AM")</f>
        <v>09:00 AM - 11:00 AM</v>
      </c>
    </row>
    <row r="58">
      <c r="A58" s="99" t="str">
        <f>IFERROR(__xludf.DUMMYFUNCTION("""COMPUTED_VALUE"""),"https://utrucking.myshopify.com/admin/orders?query=15186")</f>
        <v>https://utrucking.myshopify.com/admin/orders?query=15186</v>
      </c>
      <c r="B58" s="61" t="str">
        <f>IFERROR(__xludf.DUMMYFUNCTION("""COMPUTED_VALUE"""),"#15186")</f>
        <v>#15186</v>
      </c>
      <c r="C58" s="61" t="str">
        <f>IFERROR(__xludf.DUMMYFUNCTION("""COMPUTED_VALUE"""),"ahelms123@me.com")</f>
        <v>ahelms123@me.com</v>
      </c>
      <c r="D58" s="61">
        <f>IFERROR(__xludf.DUMMYFUNCTION("""COMPUTED_VALUE"""),7.733989021E9)</f>
        <v>7733989021</v>
      </c>
      <c r="E58" s="61" t="str">
        <f>IFERROR(__xludf.DUMMYFUNCTION("""COMPUTED_VALUE"""),"Andrea Helms")</f>
        <v>Andrea Helms</v>
      </c>
      <c r="F58" s="61"/>
      <c r="G58" s="61"/>
      <c r="H58" s="61" t="str">
        <f>IFERROR(__xludf.DUMMYFUNCTION("""COMPUTED_VALUE"""),"Appliance Rental")</f>
        <v>Appliance Rental</v>
      </c>
      <c r="I58" s="61" t="str">
        <f>IFERROR(__xludf.DUMMYFUNCTION("""COMPUTED_VALUE"""),"Double-Door Mini Fridge + Microwave")</f>
        <v>Double-Door Mini Fridge + Microwave</v>
      </c>
      <c r="J58" s="61"/>
      <c r="K58" s="100">
        <f>IFERROR(__xludf.DUMMYFUNCTION("""COMPUTED_VALUE"""),45882.0)</f>
        <v>45882</v>
      </c>
      <c r="L58" s="61" t="str">
        <f>IFERROR(__xludf.DUMMYFUNCTION("""COMPUTED_VALUE"""),"Lien")</f>
        <v>Lien</v>
      </c>
      <c r="M58" s="64">
        <f>IFERROR(__xludf.DUMMYFUNCTION("""COMPUTED_VALUE"""),3309.0)</f>
        <v>3309</v>
      </c>
      <c r="N58" s="61"/>
      <c r="O58" s="61" t="b">
        <f>COUNTIF('Delivered Rentals'!A:A, B58) &gt; 0</f>
        <v>1</v>
      </c>
      <c r="P58" s="101" t="str">
        <f>IFERROR(__xludf.DUMMYFUNCTION("""COMPUTED_VALUE"""),"12:00 PM - 02:00 PM")</f>
        <v>12:00 PM - 02:00 PM</v>
      </c>
    </row>
    <row r="59">
      <c r="A59" s="102" t="str">
        <f>IFERROR(__xludf.DUMMYFUNCTION("""COMPUTED_VALUE"""),"https://utrucking.myshopify.com/admin/orders?query=15189")</f>
        <v>https://utrucking.myshopify.com/admin/orders?query=15189</v>
      </c>
      <c r="B59" s="65" t="str">
        <f>IFERROR(__xludf.DUMMYFUNCTION("""COMPUTED_VALUE"""),"#15189")</f>
        <v>#15189</v>
      </c>
      <c r="C59" s="65" t="str">
        <f>IFERROR(__xludf.DUMMYFUNCTION("""COMPUTED_VALUE"""),"jocelyntanaka@gmail.com")</f>
        <v>jocelyntanaka@gmail.com</v>
      </c>
      <c r="D59" s="65">
        <f>IFERROR(__xludf.DUMMYFUNCTION("""COMPUTED_VALUE"""),1.8083927875E10)</f>
        <v>18083927875</v>
      </c>
      <c r="E59" s="65" t="str">
        <f>IFERROR(__xludf.DUMMYFUNCTION("""COMPUTED_VALUE"""),"Jocelyn Tanaka")</f>
        <v>Jocelyn Tanaka</v>
      </c>
      <c r="F59" s="65"/>
      <c r="G59" s="65"/>
      <c r="H59" s="65" t="str">
        <f>IFERROR(__xludf.DUMMYFUNCTION("""COMPUTED_VALUE"""),"Appliance Rental")</f>
        <v>Appliance Rental</v>
      </c>
      <c r="I59" s="65" t="str">
        <f>IFERROR(__xludf.DUMMYFUNCTION("""COMPUTED_VALUE"""),"Double-Door Mini Fridge + Microwave")</f>
        <v>Double-Door Mini Fridge + Microwave</v>
      </c>
      <c r="J59" s="65"/>
      <c r="K59" s="103">
        <f>IFERROR(__xludf.DUMMYFUNCTION("""COMPUTED_VALUE"""),45882.0)</f>
        <v>45882</v>
      </c>
      <c r="L59" s="65" t="str">
        <f>IFERROR(__xludf.DUMMYFUNCTION("""COMPUTED_VALUE"""),"Umrath")</f>
        <v>Umrath</v>
      </c>
      <c r="M59" s="68">
        <f>IFERROR(__xludf.DUMMYFUNCTION("""COMPUTED_VALUE"""),4434.0)</f>
        <v>4434</v>
      </c>
      <c r="N59" s="65" t="str">
        <f>IFERROR(__xludf.DUMMYFUNCTION("""COMPUTED_VALUE"""),"Thank you!")</f>
        <v>Thank you!</v>
      </c>
      <c r="O59" s="65" t="b">
        <f>COUNTIF('Delivered Rentals'!A:A, B59) &gt; 0</f>
        <v>1</v>
      </c>
      <c r="P59" s="104" t="str">
        <f>IFERROR(__xludf.DUMMYFUNCTION("""COMPUTED_VALUE"""),"02:00 PM - 04:00 PM")</f>
        <v>02:00 PM - 04:00 PM</v>
      </c>
    </row>
    <row r="60">
      <c r="A60" s="99" t="str">
        <f>IFERROR(__xludf.DUMMYFUNCTION("""COMPUTED_VALUE"""),"https://utrucking.myshopify.com/admin/orders?query=15190")</f>
        <v>https://utrucking.myshopify.com/admin/orders?query=15190</v>
      </c>
      <c r="B60" s="61" t="str">
        <f>IFERROR(__xludf.DUMMYFUNCTION("""COMPUTED_VALUE"""),"#15190")</f>
        <v>#15190</v>
      </c>
      <c r="C60" s="61" t="str">
        <f>IFERROR(__xludf.DUMMYFUNCTION("""COMPUTED_VALUE"""),"marnie0609@yahoo.com")</f>
        <v>marnie0609@yahoo.com</v>
      </c>
      <c r="D60" s="61">
        <f>IFERROR(__xludf.DUMMYFUNCTION("""COMPUTED_VALUE"""),1.9176129737E10)</f>
        <v>19176129737</v>
      </c>
      <c r="E60" s="61" t="str">
        <f>IFERROR(__xludf.DUMMYFUNCTION("""COMPUTED_VALUE"""),"Marnie Rukin")</f>
        <v>Marnie Rukin</v>
      </c>
      <c r="F60" s="61"/>
      <c r="G60" s="61"/>
      <c r="H60" s="61" t="str">
        <f>IFERROR(__xludf.DUMMYFUNCTION("""COMPUTED_VALUE"""),"Appliance Rental")</f>
        <v>Appliance Rental</v>
      </c>
      <c r="I60" s="61" t="str">
        <f>IFERROR(__xludf.DUMMYFUNCTION("""COMPUTED_VALUE"""),"Double-Door Mini Fridge")</f>
        <v>Double-Door Mini Fridge</v>
      </c>
      <c r="J60" s="61"/>
      <c r="K60" s="100">
        <f>IFERROR(__xludf.DUMMYFUNCTION("""COMPUTED_VALUE"""),45882.0)</f>
        <v>45882</v>
      </c>
      <c r="L60" s="61" t="str">
        <f>IFERROR(__xludf.DUMMYFUNCTION("""COMPUTED_VALUE"""),"Umrath")</f>
        <v>Umrath</v>
      </c>
      <c r="M60" s="64">
        <f>IFERROR(__xludf.DUMMYFUNCTION("""COMPUTED_VALUE"""),2240.0)</f>
        <v>2240</v>
      </c>
      <c r="N60" s="61"/>
      <c r="O60" s="61" t="b">
        <f>COUNTIF('Delivered Rentals'!A:A, B60) &gt; 0</f>
        <v>1</v>
      </c>
      <c r="P60" s="101" t="str">
        <f>IFERROR(__xludf.DUMMYFUNCTION("""COMPUTED_VALUE"""),"12:00 PM - 02:00 PM")</f>
        <v>12:00 PM - 02:00 PM</v>
      </c>
    </row>
    <row r="61">
      <c r="A61" s="102" t="str">
        <f>IFERROR(__xludf.DUMMYFUNCTION("""COMPUTED_VALUE"""),"https://utrucking.myshopify.com/admin/orders?query=15196")</f>
        <v>https://utrucking.myshopify.com/admin/orders?query=15196</v>
      </c>
      <c r="B61" s="65" t="str">
        <f>IFERROR(__xludf.DUMMYFUNCTION("""COMPUTED_VALUE"""),"#15196")</f>
        <v>#15196</v>
      </c>
      <c r="C61" s="65" t="str">
        <f>IFERROR(__xludf.DUMMYFUNCTION("""COMPUTED_VALUE"""),"n.naveen@wustl.edu")</f>
        <v>n.naveen@wustl.edu</v>
      </c>
      <c r="D61" s="65">
        <f>IFERROR(__xludf.DUMMYFUNCTION("""COMPUTED_VALUE"""),8.479209255E9)</f>
        <v>8479209255</v>
      </c>
      <c r="E61" s="65" t="str">
        <f>IFERROR(__xludf.DUMMYFUNCTION("""COMPUTED_VALUE"""),"Niyati Naveen")</f>
        <v>Niyati Naveen</v>
      </c>
      <c r="F61" s="65"/>
      <c r="G61" s="65"/>
      <c r="H61" s="65" t="str">
        <f>IFERROR(__xludf.DUMMYFUNCTION("""COMPUTED_VALUE"""),"Appliance Rental")</f>
        <v>Appliance Rental</v>
      </c>
      <c r="I61" s="65" t="str">
        <f>IFERROR(__xludf.DUMMYFUNCTION("""COMPUTED_VALUE"""),"Double-Door Mini Fridge")</f>
        <v>Double-Door Mini Fridge</v>
      </c>
      <c r="J61" s="65"/>
      <c r="K61" s="103">
        <f>IFERROR(__xludf.DUMMYFUNCTION("""COMPUTED_VALUE"""),45887.0)</f>
        <v>45887</v>
      </c>
      <c r="L61" s="65" t="str">
        <f>IFERROR(__xludf.DUMMYFUNCTION("""COMPUTED_VALUE"""),"Wheeler")</f>
        <v>Wheeler</v>
      </c>
      <c r="M61" s="68">
        <f>IFERROR(__xludf.DUMMYFUNCTION("""COMPUTED_VALUE"""),2083.0)</f>
        <v>2083</v>
      </c>
      <c r="N61" s="65" t="str">
        <f>IFERROR(__xludf.DUMMYFUNCTION("""COMPUTED_VALUE"""),"Please place inside room.")</f>
        <v>Please place inside room.</v>
      </c>
      <c r="O61" s="65" t="b">
        <f>COUNTIF('Delivered Rentals'!A:A, B61) &gt; 0</f>
        <v>1</v>
      </c>
      <c r="P61" s="104" t="str">
        <f>IFERROR(__xludf.DUMMYFUNCTION("""COMPUTED_VALUE"""),"09:00 AM - 11:00 AM")</f>
        <v>09:00 AM - 11:00 AM</v>
      </c>
    </row>
    <row r="62">
      <c r="A62" s="99" t="str">
        <f>IFERROR(__xludf.DUMMYFUNCTION("""COMPUTED_VALUE"""),"https://utrucking.myshopify.com/admin/orders?query=15198")</f>
        <v>https://utrucking.myshopify.com/admin/orders?query=15198</v>
      </c>
      <c r="B62" s="61" t="str">
        <f>IFERROR(__xludf.DUMMYFUNCTION("""COMPUTED_VALUE"""),"#15198")</f>
        <v>#15198</v>
      </c>
      <c r="C62" s="61" t="str">
        <f>IFERROR(__xludf.DUMMYFUNCTION("""COMPUTED_VALUE"""),"r.mia@wustl.edu")</f>
        <v>r.mia@wustl.edu</v>
      </c>
      <c r="D62" s="61" t="str">
        <f>IFERROR(__xludf.DUMMYFUNCTION("""COMPUTED_VALUE"""),"1 (914) 610-8725")</f>
        <v>1 (914) 610-8725</v>
      </c>
      <c r="E62" s="61" t="str">
        <f>IFERROR(__xludf.DUMMYFUNCTION("""COMPUTED_VALUE"""),"Mia Reisman")</f>
        <v>Mia Reisman</v>
      </c>
      <c r="F62" s="61"/>
      <c r="G62" s="61"/>
      <c r="H62" s="61" t="str">
        <f>IFERROR(__xludf.DUMMYFUNCTION("""COMPUTED_VALUE"""),"Appliance Rental")</f>
        <v>Appliance Rental</v>
      </c>
      <c r="I62" s="61" t="str">
        <f>IFERROR(__xludf.DUMMYFUNCTION("""COMPUTED_VALUE"""),"Double-Door Mini Fridge")</f>
        <v>Double-Door Mini Fridge</v>
      </c>
      <c r="J62" s="61"/>
      <c r="K62" s="100">
        <f>IFERROR(__xludf.DUMMYFUNCTION("""COMPUTED_VALUE"""),45882.0)</f>
        <v>45882</v>
      </c>
      <c r="L62" s="61" t="str">
        <f>IFERROR(__xludf.DUMMYFUNCTION("""COMPUTED_VALUE"""),"Danforth")</f>
        <v>Danforth</v>
      </c>
      <c r="M62" s="64" t="str">
        <f>IFERROR(__xludf.DUMMYFUNCTION("""COMPUTED_VALUE"""),"4422 - b")</f>
        <v>4422 - b</v>
      </c>
      <c r="N62" s="61"/>
      <c r="O62" s="61" t="b">
        <f>COUNTIF('Delivered Rentals'!A:A, B62) &gt; 0</f>
        <v>1</v>
      </c>
      <c r="P62" s="101" t="str">
        <f>IFERROR(__xludf.DUMMYFUNCTION("""COMPUTED_VALUE"""),"09:00 AM - 11:00 AM")</f>
        <v>09:00 AM - 11:00 AM</v>
      </c>
    </row>
    <row r="63">
      <c r="A63" s="102" t="str">
        <f>IFERROR(__xludf.DUMMYFUNCTION("""COMPUTED_VALUE"""),"https://utrucking.myshopify.com/admin/orders?query=15199")</f>
        <v>https://utrucking.myshopify.com/admin/orders?query=15199</v>
      </c>
      <c r="B63" s="65" t="str">
        <f>IFERROR(__xludf.DUMMYFUNCTION("""COMPUTED_VALUE"""),"#15199")</f>
        <v>#15199</v>
      </c>
      <c r="C63" s="65" t="str">
        <f>IFERROR(__xludf.DUMMYFUNCTION("""COMPUTED_VALUE"""),"d.e.shin@wustl.edu")</f>
        <v>d.e.shin@wustl.edu</v>
      </c>
      <c r="D63" s="65">
        <f>IFERROR(__xludf.DUMMYFUNCTION("""COMPUTED_VALUE"""),9.178530025E9)</f>
        <v>9178530025</v>
      </c>
      <c r="E63" s="65" t="str">
        <f>IFERROR(__xludf.DUMMYFUNCTION("""COMPUTED_VALUE"""),"Daniel Shin")</f>
        <v>Daniel Shin</v>
      </c>
      <c r="F63" s="65"/>
      <c r="G63" s="65"/>
      <c r="H63" s="65" t="str">
        <f>IFERROR(__xludf.DUMMYFUNCTION("""COMPUTED_VALUE"""),"Appliance Rental")</f>
        <v>Appliance Rental</v>
      </c>
      <c r="I63" s="65" t="str">
        <f>IFERROR(__xludf.DUMMYFUNCTION("""COMPUTED_VALUE"""),"Single Door Fridge Rental")</f>
        <v>Single Door Fridge Rental</v>
      </c>
      <c r="J63" s="65"/>
      <c r="K63" s="103">
        <f>IFERROR(__xludf.DUMMYFUNCTION("""COMPUTED_VALUE"""),45883.0)</f>
        <v>45883</v>
      </c>
      <c r="L63" s="65" t="str">
        <f>IFERROR(__xludf.DUMMYFUNCTION("""COMPUTED_VALUE"""),"Hurd")</f>
        <v>Hurd</v>
      </c>
      <c r="M63" s="68" t="str">
        <f>IFERROR(__xludf.DUMMYFUNCTION("""COMPUTED_VALUE"""),"Hurd-411-a")</f>
        <v>Hurd-411-a</v>
      </c>
      <c r="N63" s="65"/>
      <c r="O63" s="65" t="b">
        <f>COUNTIF('Delivered Rentals'!A:A, B63) &gt; 0</f>
        <v>1</v>
      </c>
      <c r="P63" s="104" t="str">
        <f>IFERROR(__xludf.DUMMYFUNCTION("""COMPUTED_VALUE"""),"11:00 AM - 01:00 PM")</f>
        <v>11:00 AM - 01:00 PM</v>
      </c>
    </row>
    <row r="64">
      <c r="A64" s="99" t="str">
        <f>IFERROR(__xludf.DUMMYFUNCTION("""COMPUTED_VALUE"""),"https://utrucking.myshopify.com/admin/orders?query=15201")</f>
        <v>https://utrucking.myshopify.com/admin/orders?query=15201</v>
      </c>
      <c r="B64" s="61" t="str">
        <f>IFERROR(__xludf.DUMMYFUNCTION("""COMPUTED_VALUE"""),"#15201")</f>
        <v>#15201</v>
      </c>
      <c r="C64" s="61" t="str">
        <f>IFERROR(__xludf.DUMMYFUNCTION("""COMPUTED_VALUE"""),"glassj@wustl.edu")</f>
        <v>glassj@wustl.edu</v>
      </c>
      <c r="D64" s="61">
        <f>IFERROR(__xludf.DUMMYFUNCTION("""COMPUTED_VALUE"""),9.144326482E9)</f>
        <v>9144326482</v>
      </c>
      <c r="E64" s="61" t="str">
        <f>IFERROR(__xludf.DUMMYFUNCTION("""COMPUTED_VALUE"""),"Jonah Glass")</f>
        <v>Jonah Glass</v>
      </c>
      <c r="F64" s="61"/>
      <c r="G64" s="61"/>
      <c r="H64" s="61" t="str">
        <f>IFERROR(__xludf.DUMMYFUNCTION("""COMPUTED_VALUE"""),"Appliance Rental")</f>
        <v>Appliance Rental</v>
      </c>
      <c r="I64" s="61" t="str">
        <f>IFERROR(__xludf.DUMMYFUNCTION("""COMPUTED_VALUE"""),"Double-Door Mini Fridge")</f>
        <v>Double-Door Mini Fridge</v>
      </c>
      <c r="J64" s="61"/>
      <c r="K64" s="100">
        <f>IFERROR(__xludf.DUMMYFUNCTION("""COMPUTED_VALUE"""),45883.0)</f>
        <v>45883</v>
      </c>
      <c r="L64" s="61" t="str">
        <f>IFERROR(__xludf.DUMMYFUNCTION("""COMPUTED_VALUE"""),"Dauten")</f>
        <v>Dauten</v>
      </c>
      <c r="M64" s="64" t="str">
        <f>IFERROR(__xludf.DUMMYFUNCTION("""COMPUTED_VALUE"""),"242-b")</f>
        <v>242-b</v>
      </c>
      <c r="N64" s="61"/>
      <c r="O64" s="61" t="b">
        <f>COUNTIF('Delivered Rentals'!A:A, B64) &gt; 0</f>
        <v>1</v>
      </c>
      <c r="P64" s="101" t="str">
        <f>IFERROR(__xludf.DUMMYFUNCTION("""COMPUTED_VALUE"""),"01:00 PM - 03:00 PM")</f>
        <v>01:00 PM - 03:00 PM</v>
      </c>
    </row>
    <row r="65">
      <c r="A65" s="102" t="str">
        <f>IFERROR(__xludf.DUMMYFUNCTION("""COMPUTED_VALUE"""),"https://utrucking.myshopify.com/admin/orders?query=15203")</f>
        <v>https://utrucking.myshopify.com/admin/orders?query=15203</v>
      </c>
      <c r="B65" s="65" t="str">
        <f>IFERROR(__xludf.DUMMYFUNCTION("""COMPUTED_VALUE"""),"#15203")</f>
        <v>#15203</v>
      </c>
      <c r="C65" s="65" t="str">
        <f>IFERROR(__xludf.DUMMYFUNCTION("""COMPUTED_VALUE"""),"gjvitolo@gmail.com")</f>
        <v>gjvitolo@gmail.com</v>
      </c>
      <c r="D65" s="65">
        <f>IFERROR(__xludf.DUMMYFUNCTION("""COMPUTED_VALUE"""),9.17570488E9)</f>
        <v>9175704880</v>
      </c>
      <c r="E65" s="65" t="str">
        <f>IFERROR(__xludf.DUMMYFUNCTION("""COMPUTED_VALUE"""),"Elizabeth Ryu")</f>
        <v>Elizabeth Ryu</v>
      </c>
      <c r="F65" s="65"/>
      <c r="G65" s="65"/>
      <c r="H65" s="65" t="str">
        <f>IFERROR(__xludf.DUMMYFUNCTION("""COMPUTED_VALUE"""),"Appliance Rental")</f>
        <v>Appliance Rental</v>
      </c>
      <c r="I65" s="65" t="str">
        <f>IFERROR(__xludf.DUMMYFUNCTION("""COMPUTED_VALUE"""),"Standard Mini Fridge + Microwave")</f>
        <v>Standard Mini Fridge + Microwave</v>
      </c>
      <c r="J65" s="65"/>
      <c r="K65" s="103">
        <f>IFERROR(__xludf.DUMMYFUNCTION("""COMPUTED_VALUE"""),45882.0)</f>
        <v>45882</v>
      </c>
      <c r="L65" s="65" t="str">
        <f>IFERROR(__xludf.DUMMYFUNCTION("""COMPUTED_VALUE"""),"Hitzeman")</f>
        <v>Hitzeman</v>
      </c>
      <c r="M65" s="68" t="str">
        <f>IFERROR(__xludf.DUMMYFUNCTION("""COMPUTED_VALUE"""),"233-a")</f>
        <v>233-a</v>
      </c>
      <c r="N65" s="65"/>
      <c r="O65" s="65" t="b">
        <f>COUNTIF('Delivered Rentals'!A:A, B65) &gt; 0</f>
        <v>1</v>
      </c>
      <c r="P65" s="104" t="str">
        <f>IFERROR(__xludf.DUMMYFUNCTION("""COMPUTED_VALUE"""),"10:00 AM - 12:00 PM")</f>
        <v>10:00 AM - 12:00 PM</v>
      </c>
    </row>
    <row r="66">
      <c r="A66" s="99" t="str">
        <f>IFERROR(__xludf.DUMMYFUNCTION("""COMPUTED_VALUE"""),"https://utrucking.myshopify.com/admin/orders?query=15205")</f>
        <v>https://utrucking.myshopify.com/admin/orders?query=15205</v>
      </c>
      <c r="B66" s="61" t="str">
        <f>IFERROR(__xludf.DUMMYFUNCTION("""COMPUTED_VALUE"""),"#15205")</f>
        <v>#15205</v>
      </c>
      <c r="C66" s="61" t="str">
        <f>IFERROR(__xludf.DUMMYFUNCTION("""COMPUTED_VALUE"""),"bjosephine@wustl.edu")</f>
        <v>bjosephine@wustl.edu</v>
      </c>
      <c r="D66" s="61">
        <f>IFERROR(__xludf.DUMMYFUNCTION("""COMPUTED_VALUE"""),9.142919464E9)</f>
        <v>9142919464</v>
      </c>
      <c r="E66" s="61" t="str">
        <f>IFERROR(__xludf.DUMMYFUNCTION("""COMPUTED_VALUE"""),"Josephine Bruno")</f>
        <v>Josephine Bruno</v>
      </c>
      <c r="F66" s="61"/>
      <c r="G66" s="61"/>
      <c r="H66" s="61" t="str">
        <f>IFERROR(__xludf.DUMMYFUNCTION("""COMPUTED_VALUE"""),"Appliance Rental")</f>
        <v>Appliance Rental</v>
      </c>
      <c r="I66" s="61" t="str">
        <f>IFERROR(__xludf.DUMMYFUNCTION("""COMPUTED_VALUE"""),"Double-Door Mini Fridge + Microwave,Tri-State Area Home Pickups")</f>
        <v>Double-Door Mini Fridge + Microwave,Tri-State Area Home Pickups</v>
      </c>
      <c r="J66" s="61"/>
      <c r="K66" s="100">
        <f>IFERROR(__xludf.DUMMYFUNCTION("""COMPUTED_VALUE"""),45883.0)</f>
        <v>45883</v>
      </c>
      <c r="L66" s="61" t="str">
        <f>IFERROR(__xludf.DUMMYFUNCTION("""COMPUTED_VALUE"""),"Danforth")</f>
        <v>Danforth</v>
      </c>
      <c r="M66" s="64">
        <f>IFERROR(__xludf.DUMMYFUNCTION("""COMPUTED_VALUE"""),2231.0)</f>
        <v>2231</v>
      </c>
      <c r="N66" s="61"/>
      <c r="O66" s="61" t="b">
        <f>COUNTIF('Delivered Rentals'!A:A, B66) &gt; 0</f>
        <v>1</v>
      </c>
      <c r="P66" s="101" t="str">
        <f>IFERROR(__xludf.DUMMYFUNCTION("""COMPUTED_VALUE"""),"09:00 AM - 11:00 AM")</f>
        <v>09:00 AM - 11:00 AM</v>
      </c>
    </row>
    <row r="67">
      <c r="A67" s="102" t="str">
        <f>IFERROR(__xludf.DUMMYFUNCTION("""COMPUTED_VALUE"""),"https://utrucking.myshopify.com/admin/orders?query=15209")</f>
        <v>https://utrucking.myshopify.com/admin/orders?query=15209</v>
      </c>
      <c r="B67" s="65" t="str">
        <f>IFERROR(__xludf.DUMMYFUNCTION("""COMPUTED_VALUE"""),"#15209")</f>
        <v>#15209</v>
      </c>
      <c r="C67" s="65"/>
      <c r="D67" s="65">
        <f>IFERROR(__xludf.DUMMYFUNCTION("""COMPUTED_VALUE"""),3.015125184E9)</f>
        <v>3015125184</v>
      </c>
      <c r="E67" s="65" t="str">
        <f>IFERROR(__xludf.DUMMYFUNCTION("""COMPUTED_VALUE"""),"Caroline Goldstein")</f>
        <v>Caroline Goldstein</v>
      </c>
      <c r="F67" s="65"/>
      <c r="G67" s="65"/>
      <c r="H67" s="65" t="str">
        <f>IFERROR(__xludf.DUMMYFUNCTION("""COMPUTED_VALUE"""),"Appliance Rental")</f>
        <v>Appliance Rental</v>
      </c>
      <c r="I67" s="65" t="str">
        <f>IFERROR(__xludf.DUMMYFUNCTION("""COMPUTED_VALUE"""),"Double-Door Mini Fridge Rental")</f>
        <v>Double-Door Mini Fridge Rental</v>
      </c>
      <c r="J67" s="65"/>
      <c r="K67" s="103">
        <f>IFERROR(__xludf.DUMMYFUNCTION("""COMPUTED_VALUE"""),45882.0)</f>
        <v>45882</v>
      </c>
      <c r="L67" s="65" t="str">
        <f>IFERROR(__xludf.DUMMYFUNCTION("""COMPUTED_VALUE"""),"Umrath")</f>
        <v>Umrath</v>
      </c>
      <c r="M67" s="68">
        <f>IFERROR(__xludf.DUMMYFUNCTION("""COMPUTED_VALUE"""),3323.0)</f>
        <v>3323</v>
      </c>
      <c r="N67" s="65"/>
      <c r="O67" s="65" t="b">
        <f>COUNTIF('Delivered Rentals'!A:A, B67) &gt; 0</f>
        <v>1</v>
      </c>
      <c r="P67" s="104" t="str">
        <f>IFERROR(__xludf.DUMMYFUNCTION("""COMPUTED_VALUE"""),"12:00 PM - 02:00 PM")</f>
        <v>12:00 PM - 02:00 PM</v>
      </c>
    </row>
    <row r="68">
      <c r="A68" s="99" t="str">
        <f>IFERROR(__xludf.DUMMYFUNCTION("""COMPUTED_VALUE"""),"https://utrucking.myshopify.com/admin/orders?query=15215")</f>
        <v>https://utrucking.myshopify.com/admin/orders?query=15215</v>
      </c>
      <c r="B68" s="61" t="str">
        <f>IFERROR(__xludf.DUMMYFUNCTION("""COMPUTED_VALUE"""),"#15215")</f>
        <v>#15215</v>
      </c>
      <c r="C68" s="61" t="str">
        <f>IFERROR(__xludf.DUMMYFUNCTION("""COMPUTED_VALUE"""),"h.thun@wustl.edu")</f>
        <v>h.thun@wustl.edu</v>
      </c>
      <c r="D68" s="61" t="str">
        <f>IFERROR(__xludf.DUMMYFUNCTION("""COMPUTED_VALUE"""),"310-743-6249")</f>
        <v>310-743-6249</v>
      </c>
      <c r="E68" s="61" t="str">
        <f>IFERROR(__xludf.DUMMYFUNCTION("""COMPUTED_VALUE"""),"Hampton Thun")</f>
        <v>Hampton Thun</v>
      </c>
      <c r="F68" s="61"/>
      <c r="G68" s="61"/>
      <c r="H68" s="61" t="str">
        <f>IFERROR(__xludf.DUMMYFUNCTION("""COMPUTED_VALUE"""),"Appliance Rental")</f>
        <v>Appliance Rental</v>
      </c>
      <c r="I68" s="61" t="str">
        <f>IFERROR(__xludf.DUMMYFUNCTION("""COMPUTED_VALUE"""),"Double-Door Mini Fridge + Microwave")</f>
        <v>Double-Door Mini Fridge + Microwave</v>
      </c>
      <c r="J68" s="61"/>
      <c r="K68" s="100">
        <f>IFERROR(__xludf.DUMMYFUNCTION("""COMPUTED_VALUE"""),45887.0)</f>
        <v>45887</v>
      </c>
      <c r="L68" s="61" t="str">
        <f>IFERROR(__xludf.DUMMYFUNCTION("""COMPUTED_VALUE"""),"Tau Kappa Epsilon")</f>
        <v>Tau Kappa Epsilon</v>
      </c>
      <c r="M68" s="64"/>
      <c r="N68" s="61" t="str">
        <f>IFERROR(__xludf.DUMMYFUNCTION("""COMPUTED_VALUE"""),"As of now, I don't know the room.  Will let you know as soon as I do.")</f>
        <v>As of now, I don't know the room.  Will let you know as soon as I do.</v>
      </c>
      <c r="O68" s="61" t="b">
        <f>COUNTIF('Delivered Rentals'!A:A, B68) &gt; 0</f>
        <v>1</v>
      </c>
      <c r="P68" s="101" t="str">
        <f>IFERROR(__xludf.DUMMYFUNCTION("""COMPUTED_VALUE"""),"11:00 AM to 01:00 PM")</f>
        <v>11:00 AM to 01:00 PM</v>
      </c>
    </row>
    <row r="69">
      <c r="A69" s="102" t="str">
        <f>IFERROR(__xludf.DUMMYFUNCTION("""COMPUTED_VALUE"""),"https://utrucking.com/admin/orders/5897705062588")</f>
        <v>https://utrucking.com/admin/orders/5897705062588</v>
      </c>
      <c r="B69" s="65" t="str">
        <f>IFERROR(__xludf.DUMMYFUNCTION("""COMPUTED_VALUE"""),"#15217")</f>
        <v>#15217</v>
      </c>
      <c r="C69" s="65" t="str">
        <f>IFERROR(__xludf.DUMMYFUNCTION("""COMPUTED_VALUE"""),"a.hermann@wustl.edu")</f>
        <v>a.hermann@wustl.edu</v>
      </c>
      <c r="D69" s="65"/>
      <c r="E69" s="65" t="str">
        <f>IFERROR(__xludf.DUMMYFUNCTION("""COMPUTED_VALUE"""),"Andrew Hermann")</f>
        <v>Andrew Hermann</v>
      </c>
      <c r="F69" s="65"/>
      <c r="G69" s="65" t="str">
        <f>IFERROR(__xludf.DUMMYFUNCTION("""COMPUTED_VALUE"""),"1070 Park Avenue Apt. 4B New York United States")</f>
        <v>1070 Park Avenue Apt. 4B New York United States</v>
      </c>
      <c r="H69" s="65" t="str">
        <f>IFERROR(__xludf.DUMMYFUNCTION("""COMPUTED_VALUE"""),"Appliance Rental")</f>
        <v>Appliance Rental</v>
      </c>
      <c r="I69" s="65" t="str">
        <f>IFERROR(__xludf.DUMMYFUNCTION("""COMPUTED_VALUE"""),"Double-Door Mini Fridge + Microwave")</f>
        <v>Double-Door Mini Fridge + Microwave</v>
      </c>
      <c r="J69" s="65"/>
      <c r="K69" s="103">
        <f>IFERROR(__xludf.DUMMYFUNCTION("""COMPUTED_VALUE"""),45877.0)</f>
        <v>45877</v>
      </c>
      <c r="L69" s="65" t="str">
        <f>IFERROR(__xludf.DUMMYFUNCTION("""COMPUTED_VALUE"""),"Dardick  ")</f>
        <v>Dardick  </v>
      </c>
      <c r="M69" s="68" t="str">
        <f>IFERROR(__xludf.DUMMYFUNCTION("""COMPUTED_VALUE"""),"2210-A")</f>
        <v>2210-A</v>
      </c>
      <c r="N69" s="65"/>
      <c r="O69" s="65" t="b">
        <f>COUNTIF('Delivered Rentals'!A:A, B69) &gt; 0</f>
        <v>1</v>
      </c>
      <c r="P69" s="104"/>
    </row>
    <row r="70">
      <c r="A70" s="99" t="str">
        <f>IFERROR(__xludf.DUMMYFUNCTION("""COMPUTED_VALUE"""),"https://admin.shopify.com/store/utrucking/orders/5897718857916?link_source=search")</f>
        <v>https://admin.shopify.com/store/utrucking/orders/5897718857916?link_source=search</v>
      </c>
      <c r="B70" s="61" t="str">
        <f>IFERROR(__xludf.DUMMYFUNCTION("""COMPUTED_VALUE"""),"#15218")</f>
        <v>#15218</v>
      </c>
      <c r="C70" s="61" t="str">
        <f>IFERROR(__xludf.DUMMYFUNCTION("""COMPUTED_VALUE"""),"cecijohnson4@gmail.com")</f>
        <v>cecijohnson4@gmail.com</v>
      </c>
      <c r="D70" s="61" t="str">
        <f>IFERROR(__xludf.DUMMYFUNCTION("""COMPUTED_VALUE"""),"404-374-5992")</f>
        <v>404-374-5992</v>
      </c>
      <c r="E70" s="61" t="str">
        <f>IFERROR(__xludf.DUMMYFUNCTION("""COMPUTED_VALUE"""),"Caroline Johnson")</f>
        <v>Caroline Johnson</v>
      </c>
      <c r="F70" s="61"/>
      <c r="G70" s="61" t="str">
        <f>IFERROR(__xludf.DUMMYFUNCTION("""COMPUTED_VALUE"""),"4715 Paran Valley Northwest")</f>
        <v>4715 Paran Valley Northwest</v>
      </c>
      <c r="H70" s="61" t="str">
        <f>IFERROR(__xludf.DUMMYFUNCTION("""COMPUTED_VALUE"""),"Appliance Rental")</f>
        <v>Appliance Rental</v>
      </c>
      <c r="I70" s="61" t="str">
        <f>IFERROR(__xludf.DUMMYFUNCTION("""COMPUTED_VALUE"""),"Double-Door Mini Fridge")</f>
        <v>Double-Door Mini Fridge</v>
      </c>
      <c r="J70" s="61">
        <f>IFERROR(__xludf.DUMMYFUNCTION("""COMPUTED_VALUE"""),145.0)</f>
        <v>145</v>
      </c>
      <c r="K70" s="100">
        <f>IFERROR(__xludf.DUMMYFUNCTION("""COMPUTED_VALUE"""),45881.0)</f>
        <v>45881</v>
      </c>
      <c r="L70" s="61" t="str">
        <f>IFERROR(__xludf.DUMMYFUNCTION("""COMPUTED_VALUE"""),"Dauten")</f>
        <v>Dauten</v>
      </c>
      <c r="M70" s="64" t="str">
        <f>IFERROR(__xludf.DUMMYFUNCTION("""COMPUTED_VALUE"""),"442")</f>
        <v>442</v>
      </c>
      <c r="N70" s="61"/>
      <c r="O70" s="61" t="b">
        <f>COUNTIF('Delivered Rentals'!A:A, B70) &gt; 0</f>
        <v>1</v>
      </c>
      <c r="P70" s="101" t="str">
        <f>IFERROR(__xludf.DUMMYFUNCTION("""COMPUTED_VALUE"""),"09:00 AM - 11:00 AM")</f>
        <v>09:00 AM - 11:00 AM</v>
      </c>
    </row>
    <row r="71">
      <c r="A71" s="102" t="str">
        <f>IFERROR(__xludf.DUMMYFUNCTION("""COMPUTED_VALUE"""),"https://admin.shopify.com/store/utrucking/orders/5898022682812?link_source=search")</f>
        <v>https://admin.shopify.com/store/utrucking/orders/5898022682812?link_source=search</v>
      </c>
      <c r="B71" s="65" t="str">
        <f>IFERROR(__xludf.DUMMYFUNCTION("""COMPUTED_VALUE"""),"#15222")</f>
        <v>#15222</v>
      </c>
      <c r="C71" s="65" t="str">
        <f>IFERROR(__xludf.DUMMYFUNCTION("""COMPUTED_VALUE"""),"alinoles@yahoo.com")</f>
        <v>alinoles@yahoo.com</v>
      </c>
      <c r="D71" s="65" t="str">
        <f>IFERROR(__xludf.DUMMYFUNCTION("""COMPUTED_VALUE"""),"678-469-1975")</f>
        <v>678-469-1975</v>
      </c>
      <c r="E71" s="65" t="str">
        <f>IFERROR(__xludf.DUMMYFUNCTION("""COMPUTED_VALUE"""),"Ali Maher")</f>
        <v>Ali Maher</v>
      </c>
      <c r="F71" s="65"/>
      <c r="G71" s="65" t="str">
        <f>IFERROR(__xludf.DUMMYFUNCTION("""COMPUTED_VALUE"""),"5380 Harrowood Lane Northwest")</f>
        <v>5380 Harrowood Lane Northwest</v>
      </c>
      <c r="H71" s="65" t="str">
        <f>IFERROR(__xludf.DUMMYFUNCTION("""COMPUTED_VALUE"""),"Appliance Rental")</f>
        <v>Appliance Rental</v>
      </c>
      <c r="I71" s="65" t="str">
        <f>IFERROR(__xludf.DUMMYFUNCTION("""COMPUTED_VALUE"""),"Double-Door Mini Fridge")</f>
        <v>Double-Door Mini Fridge</v>
      </c>
      <c r="J71" s="65">
        <f>IFERROR(__xludf.DUMMYFUNCTION("""COMPUTED_VALUE"""),145.0)</f>
        <v>145</v>
      </c>
      <c r="K71" s="103">
        <f>IFERROR(__xludf.DUMMYFUNCTION("""COMPUTED_VALUE"""),45884.0)</f>
        <v>45884</v>
      </c>
      <c r="L71" s="65" t="str">
        <f>IFERROR(__xludf.DUMMYFUNCTION("""COMPUTED_VALUE"""),"Dauten")</f>
        <v>Dauten</v>
      </c>
      <c r="M71" s="68" t="str">
        <f>IFERROR(__xludf.DUMMYFUNCTION("""COMPUTED_VALUE"""),"412")</f>
        <v>412</v>
      </c>
      <c r="N71" s="65"/>
      <c r="O71" s="65" t="b">
        <f>COUNTIF('Delivered Rentals'!A:A, B71) &gt; 0</f>
        <v>1</v>
      </c>
      <c r="P71" s="104"/>
    </row>
    <row r="72">
      <c r="A72" s="99" t="str">
        <f>IFERROR(__xludf.DUMMYFUNCTION("""COMPUTED_VALUE"""),"https://admin.shopify.com/store/utrucking/orders/5898082549948?link_source=search")</f>
        <v>https://admin.shopify.com/store/utrucking/orders/5898082549948?link_source=search</v>
      </c>
      <c r="B72" s="61" t="str">
        <f>IFERROR(__xludf.DUMMYFUNCTION("""COMPUTED_VALUE"""),"#15223")</f>
        <v>#15223</v>
      </c>
      <c r="C72" s="61" t="str">
        <f>IFERROR(__xludf.DUMMYFUNCTION("""COMPUTED_VALUE"""),"g.gordon@wustl.edu")</f>
        <v>g.gordon@wustl.edu</v>
      </c>
      <c r="D72" s="61" t="str">
        <f>IFERROR(__xludf.DUMMYFUNCTION("""COMPUTED_VALUE"""),"240-620-1906")</f>
        <v>240-620-1906</v>
      </c>
      <c r="E72" s="61" t="str">
        <f>IFERROR(__xludf.DUMMYFUNCTION("""COMPUTED_VALUE"""),"Gil Gordon")</f>
        <v>Gil Gordon</v>
      </c>
      <c r="F72" s="61"/>
      <c r="G72" s="61" t="str">
        <f>IFERROR(__xludf.DUMMYFUNCTION("""COMPUTED_VALUE"""),"10007 Kensington Parkway")</f>
        <v>10007 Kensington Parkway</v>
      </c>
      <c r="H72" s="61" t="str">
        <f>IFERROR(__xludf.DUMMYFUNCTION("""COMPUTED_VALUE"""),"Appliance Rental")</f>
        <v>Appliance Rental</v>
      </c>
      <c r="I72" s="61" t="str">
        <f>IFERROR(__xludf.DUMMYFUNCTION("""COMPUTED_VALUE"""),"Double-Door Mini Fridge + Microwave")</f>
        <v>Double-Door Mini Fridge + Microwave</v>
      </c>
      <c r="J72" s="61">
        <f>IFERROR(__xludf.DUMMYFUNCTION("""COMPUTED_VALUE"""),210.0)</f>
        <v>210</v>
      </c>
      <c r="K72" s="100">
        <f>IFERROR(__xludf.DUMMYFUNCTION("""COMPUTED_VALUE"""),45885.0)</f>
        <v>45885</v>
      </c>
      <c r="L72" s="61" t="str">
        <f>IFERROR(__xludf.DUMMYFUNCTION("""COMPUTED_VALUE"""),"Koenig")</f>
        <v>Koenig</v>
      </c>
      <c r="M72" s="64" t="str">
        <f>IFERROR(__xludf.DUMMYFUNCTION("""COMPUTED_VALUE"""),"3304")</f>
        <v>3304</v>
      </c>
      <c r="N72" s="61"/>
      <c r="O72" s="61" t="b">
        <f>COUNTIF('Delivered Rentals'!A:A, B72) &gt; 0</f>
        <v>1</v>
      </c>
      <c r="P72" s="101"/>
    </row>
    <row r="73">
      <c r="A73" s="102" t="str">
        <f>IFERROR(__xludf.DUMMYFUNCTION("""COMPUTED_VALUE"""),"https://admin.shopify.com/store/utrucking/orders/5898180362428?link_source=search")</f>
        <v>https://admin.shopify.com/store/utrucking/orders/5898180362428?link_source=search</v>
      </c>
      <c r="B73" s="65" t="str">
        <f>IFERROR(__xludf.DUMMYFUNCTION("""COMPUTED_VALUE"""),"#15224")</f>
        <v>#15224</v>
      </c>
      <c r="C73" s="65"/>
      <c r="D73" s="65" t="str">
        <f>IFERROR(__xludf.DUMMYFUNCTION("""COMPUTED_VALUE"""),"310-418-2714")</f>
        <v>310-418-2714</v>
      </c>
      <c r="E73" s="65" t="str">
        <f>IFERROR(__xludf.DUMMYFUNCTION("""COMPUTED_VALUE"""),"Stacey Levy")</f>
        <v>Stacey Levy</v>
      </c>
      <c r="F73" s="65"/>
      <c r="G73" s="65" t="str">
        <f>IFERROR(__xludf.DUMMYFUNCTION("""COMPUTED_VALUE"""),"15709 Milbank Street")</f>
        <v>15709 Milbank Street</v>
      </c>
      <c r="H73" s="65" t="str">
        <f>IFERROR(__xludf.DUMMYFUNCTION("""COMPUTED_VALUE"""),"Appliance Rental")</f>
        <v>Appliance Rental</v>
      </c>
      <c r="I73" s="65" t="str">
        <f>IFERROR(__xludf.DUMMYFUNCTION("""COMPUTED_VALUE"""),"Double-Door Mini Fridge")</f>
        <v>Double-Door Mini Fridge</v>
      </c>
      <c r="J73" s="65">
        <f>IFERROR(__xludf.DUMMYFUNCTION("""COMPUTED_VALUE"""),145.0)</f>
        <v>145</v>
      </c>
      <c r="K73" s="103">
        <f>IFERROR(__xludf.DUMMYFUNCTION("""COMPUTED_VALUE"""),45884.0)</f>
        <v>45884</v>
      </c>
      <c r="L73" s="65" t="str">
        <f>IFERROR(__xludf.DUMMYFUNCTION("""COMPUTED_VALUE"""),"Dardick  ")</f>
        <v>Dardick  </v>
      </c>
      <c r="M73" s="68" t="str">
        <f>IFERROR(__xludf.DUMMYFUNCTION("""COMPUTED_VALUE"""),"4421")</f>
        <v>4421</v>
      </c>
      <c r="N73" s="65"/>
      <c r="O73" s="65" t="b">
        <f>COUNTIF('Delivered Rentals'!A:A, B73) &gt; 0</f>
        <v>1</v>
      </c>
      <c r="P73" s="104"/>
    </row>
    <row r="74">
      <c r="A74" s="99" t="str">
        <f>IFERROR(__xludf.DUMMYFUNCTION("""COMPUTED_VALUE"""),"https://utrucking.com/admin/orders/5898283614396")</f>
        <v>https://utrucking.com/admin/orders/5898283614396</v>
      </c>
      <c r="B74" s="61" t="str">
        <f>IFERROR(__xludf.DUMMYFUNCTION("""COMPUTED_VALUE"""),"#15225")</f>
        <v>#15225</v>
      </c>
      <c r="C74" s="61" t="str">
        <f>IFERROR(__xludf.DUMMYFUNCTION("""COMPUTED_VALUE"""),"eiram777@comcast.net")</f>
        <v>eiram777@comcast.net</v>
      </c>
      <c r="D74" s="61"/>
      <c r="E74" s="61" t="str">
        <f>IFERROR(__xludf.DUMMYFUNCTION("""COMPUTED_VALUE"""),"Marie Skwirblies")</f>
        <v>Marie Skwirblies</v>
      </c>
      <c r="F74" s="61"/>
      <c r="G74" s="61" t="str">
        <f>IFERROR(__xludf.DUMMYFUNCTION("""COMPUTED_VALUE"""),"428 Fairway Dr Bartlett United States")</f>
        <v>428 Fairway Dr Bartlett United States</v>
      </c>
      <c r="H74" s="61" t="str">
        <f>IFERROR(__xludf.DUMMYFUNCTION("""COMPUTED_VALUE"""),"Appliance Rental")</f>
        <v>Appliance Rental</v>
      </c>
      <c r="I74" s="61" t="str">
        <f>IFERROR(__xludf.DUMMYFUNCTION("""COMPUTED_VALUE"""),"Double-Door Mini Fridge")</f>
        <v>Double-Door Mini Fridge</v>
      </c>
      <c r="J74" s="61">
        <f>IFERROR(__xludf.DUMMYFUNCTION("""COMPUTED_VALUE"""),145.0)</f>
        <v>145</v>
      </c>
      <c r="K74" s="100">
        <f>IFERROR(__xludf.DUMMYFUNCTION("""COMPUTED_VALUE"""),45877.0)</f>
        <v>45877</v>
      </c>
      <c r="L74" s="61" t="str">
        <f>IFERROR(__xludf.DUMMYFUNCTION("""COMPUTED_VALUE"""),"Village House  ")</f>
        <v>Village House  </v>
      </c>
      <c r="M74" s="64" t="str">
        <f>IFERROR(__xludf.DUMMYFUNCTION("""COMPUTED_VALUE"""),"3134")</f>
        <v>3134</v>
      </c>
      <c r="N74" s="61"/>
      <c r="O74" s="61" t="b">
        <f>COUNTIF('Delivered Rentals'!A:A, B74) &gt; 0</f>
        <v>1</v>
      </c>
      <c r="P74" s="101"/>
    </row>
    <row r="75">
      <c r="A75" s="102" t="str">
        <f>IFERROR(__xludf.DUMMYFUNCTION("""COMPUTED_VALUE"""),"https://utrucking.com/admin/orders/5898525311164")</f>
        <v>https://utrucking.com/admin/orders/5898525311164</v>
      </c>
      <c r="B75" s="65" t="str">
        <f>IFERROR(__xludf.DUMMYFUNCTION("""COMPUTED_VALUE"""),"#15232")</f>
        <v>#15232</v>
      </c>
      <c r="C75" s="65" t="str">
        <f>IFERROR(__xludf.DUMMYFUNCTION("""COMPUTED_VALUE"""),"m.h.ryu@wustl.edu")</f>
        <v>m.h.ryu@wustl.edu</v>
      </c>
      <c r="D75" s="65"/>
      <c r="E75" s="65" t="str">
        <f>IFERROR(__xludf.DUMMYFUNCTION("""COMPUTED_VALUE"""),"Maya Ryu")</f>
        <v>Maya Ryu</v>
      </c>
      <c r="F75" s="65"/>
      <c r="G75" s="65" t="str">
        <f>IFERROR(__xludf.DUMMYFUNCTION("""COMPUTED_VALUE"""),"4914 41st Street Northwest Washington United States")</f>
        <v>4914 41st Street Northwest Washington United States</v>
      </c>
      <c r="H75" s="65" t="str">
        <f>IFERROR(__xludf.DUMMYFUNCTION("""COMPUTED_VALUE"""),"Appliance Rental")</f>
        <v>Appliance Rental</v>
      </c>
      <c r="I75" s="65" t="str">
        <f>IFERROR(__xludf.DUMMYFUNCTION("""COMPUTED_VALUE"""),"Double-Door Mini Fridge")</f>
        <v>Double-Door Mini Fridge</v>
      </c>
      <c r="J75" s="65">
        <f>IFERROR(__xludf.DUMMYFUNCTION("""COMPUTED_VALUE"""),145.0)</f>
        <v>145</v>
      </c>
      <c r="K75" s="103">
        <f>IFERROR(__xludf.DUMMYFUNCTION("""COMPUTED_VALUE"""),45883.0)</f>
        <v>45883</v>
      </c>
      <c r="L75" s="65" t="str">
        <f>IFERROR(__xludf.DUMMYFUNCTION("""COMPUTED_VALUE"""),"Millbrook Bldg. 3  ")</f>
        <v>Millbrook Bldg. 3  </v>
      </c>
      <c r="M75" s="68" t="str">
        <f>IFERROR(__xludf.DUMMYFUNCTION("""COMPUTED_VALUE"""),"201A - a")</f>
        <v>201A - a</v>
      </c>
      <c r="N75" s="65"/>
      <c r="O75" s="65" t="b">
        <f>COUNTIF('Delivered Rentals'!A:A, B75) &gt; 0</f>
        <v>1</v>
      </c>
      <c r="P75" s="104"/>
    </row>
    <row r="76">
      <c r="A76" s="99" t="str">
        <f>IFERROR(__xludf.DUMMYFUNCTION("""COMPUTED_VALUE"""),"https://utrucking.com/admin/orders/5898994155708")</f>
        <v>https://utrucking.com/admin/orders/5898994155708</v>
      </c>
      <c r="B76" s="61" t="str">
        <f>IFERROR(__xludf.DUMMYFUNCTION("""COMPUTED_VALUE"""),"#15236")</f>
        <v>#15236</v>
      </c>
      <c r="C76" s="61" t="str">
        <f>IFERROR(__xludf.DUMMYFUNCTION("""COMPUTED_VALUE"""),"a.kalbag@wustl.edu")</f>
        <v>a.kalbag@wustl.edu</v>
      </c>
      <c r="D76" s="61"/>
      <c r="E76" s="61" t="str">
        <f>IFERROR(__xludf.DUMMYFUNCTION("""COMPUTED_VALUE"""),"Arjun Kalbag")</f>
        <v>Arjun Kalbag</v>
      </c>
      <c r="F76" s="61"/>
      <c r="G76" s="61" t="str">
        <f>IFERROR(__xludf.DUMMYFUNCTION("""COMPUTED_VALUE"""),"152 East 87th Street New York United States")</f>
        <v>152 East 87th Street New York United States</v>
      </c>
      <c r="H76" s="61" t="str">
        <f>IFERROR(__xludf.DUMMYFUNCTION("""COMPUTED_VALUE"""),"Appliance Rental")</f>
        <v>Appliance Rental</v>
      </c>
      <c r="I76" s="61" t="str">
        <f>IFERROR(__xludf.DUMMYFUNCTION("""COMPUTED_VALUE"""),"Double-Door Mini Fridge + Microwave")</f>
        <v>Double-Door Mini Fridge + Microwave</v>
      </c>
      <c r="J76" s="61">
        <f>IFERROR(__xludf.DUMMYFUNCTION("""COMPUTED_VALUE"""),210.0)</f>
        <v>210</v>
      </c>
      <c r="K76" s="100">
        <f>IFERROR(__xludf.DUMMYFUNCTION("""COMPUTED_VALUE"""),45885.0)</f>
        <v>45885</v>
      </c>
      <c r="L76" s="61" t="str">
        <f>IFERROR(__xludf.DUMMYFUNCTION("""COMPUTED_VALUE"""),"Umrath  ")</f>
        <v>Umrath  </v>
      </c>
      <c r="M76" s="64" t="str">
        <f>IFERROR(__xludf.DUMMYFUNCTION("""COMPUTED_VALUE"""),"3341")</f>
        <v>3341</v>
      </c>
      <c r="N76" s="61"/>
      <c r="O76" s="61" t="b">
        <f>COUNTIF('Delivered Rentals'!A:A, B76) &gt; 0</f>
        <v>1</v>
      </c>
      <c r="P76" s="101"/>
    </row>
    <row r="77">
      <c r="A77" s="102" t="str">
        <f>IFERROR(__xludf.DUMMYFUNCTION("""COMPUTED_VALUE"""),"https://utrucking.com/admin/orders/5899120771260")</f>
        <v>https://utrucking.com/admin/orders/5899120771260</v>
      </c>
      <c r="B77" s="65" t="str">
        <f>IFERROR(__xludf.DUMMYFUNCTION("""COMPUTED_VALUE"""),"#15237")</f>
        <v>#15237</v>
      </c>
      <c r="C77" s="65"/>
      <c r="D77" s="65">
        <f>IFERROR(__xludf.DUMMYFUNCTION("""COMPUTED_VALUE"""),1.2059223707E10)</f>
        <v>12059223707</v>
      </c>
      <c r="E77" s="65" t="str">
        <f>IFERROR(__xludf.DUMMYFUNCTION("""COMPUTED_VALUE"""),"Olivia Vanlandingham")</f>
        <v>Olivia Vanlandingham</v>
      </c>
      <c r="F77" s="65"/>
      <c r="G77" s="65" t="str">
        <f>IFERROR(__xludf.DUMMYFUNCTION("""COMPUTED_VALUE"""),"309 Le Jeune Way Birmingham United States")</f>
        <v>309 Le Jeune Way Birmingham United States</v>
      </c>
      <c r="H77" s="65" t="str">
        <f>IFERROR(__xludf.DUMMYFUNCTION("""COMPUTED_VALUE"""),"Appliance Rental")</f>
        <v>Appliance Rental</v>
      </c>
      <c r="I77" s="65" t="str">
        <f>IFERROR(__xludf.DUMMYFUNCTION("""COMPUTED_VALUE"""),"Double-Door Mini Fridge")</f>
        <v>Double-Door Mini Fridge</v>
      </c>
      <c r="J77" s="65">
        <f>IFERROR(__xludf.DUMMYFUNCTION("""COMPUTED_VALUE"""),145.0)</f>
        <v>145</v>
      </c>
      <c r="K77" s="103">
        <f>IFERROR(__xludf.DUMMYFUNCTION("""COMPUTED_VALUE"""),45875.0)</f>
        <v>45875</v>
      </c>
      <c r="L77" s="65" t="str">
        <f>IFERROR(__xludf.DUMMYFUNCTION("""COMPUTED_VALUE"""),"Mudd  ")</f>
        <v>Mudd  </v>
      </c>
      <c r="M77" s="68" t="str">
        <f>IFERROR(__xludf.DUMMYFUNCTION("""COMPUTED_VALUE"""),"380")</f>
        <v>380</v>
      </c>
      <c r="N77" s="65"/>
      <c r="O77" s="65" t="b">
        <f>COUNTIF('Delivered Rentals'!A:A, B77) &gt; 0</f>
        <v>1</v>
      </c>
      <c r="P77" s="104"/>
    </row>
    <row r="78">
      <c r="A78" s="99" t="str">
        <f>IFERROR(__xludf.DUMMYFUNCTION("""COMPUTED_VALUE"""),"https://admin.shopify.com/store/utrucking/orders/5899173920956?link_source=search")</f>
        <v>https://admin.shopify.com/store/utrucking/orders/5899173920956?link_source=search</v>
      </c>
      <c r="B78" s="61" t="str">
        <f>IFERROR(__xludf.DUMMYFUNCTION("""COMPUTED_VALUE"""),"#15240")</f>
        <v>#15240</v>
      </c>
      <c r="C78" s="61" t="str">
        <f>IFERROR(__xludf.DUMMYFUNCTION("""COMPUTED_VALUE"""),"lesliedschwartz@gmail.com")</f>
        <v>lesliedschwartz@gmail.com</v>
      </c>
      <c r="D78" s="61" t="str">
        <f>IFERROR(__xludf.DUMMYFUNCTION("""COMPUTED_VALUE"""),"914-325-2266")</f>
        <v>914-325-2266</v>
      </c>
      <c r="E78" s="61" t="str">
        <f>IFERROR(__xludf.DUMMYFUNCTION("""COMPUTED_VALUE"""),"Leslie Schwartz")</f>
        <v>Leslie Schwartz</v>
      </c>
      <c r="F78" s="61"/>
      <c r="G78" s="61" t="str">
        <f>IFERROR(__xludf.DUMMYFUNCTION("""COMPUTED_VALUE"""),"7 Milford Dr")</f>
        <v>7 Milford Dr</v>
      </c>
      <c r="H78" s="61" t="str">
        <f>IFERROR(__xludf.DUMMYFUNCTION("""COMPUTED_VALUE"""),"Appliance Rental")</f>
        <v>Appliance Rental</v>
      </c>
      <c r="I78" s="61" t="str">
        <f>IFERROR(__xludf.DUMMYFUNCTION("""COMPUTED_VALUE"""),"Double-Door Mini Fridge")</f>
        <v>Double-Door Mini Fridge</v>
      </c>
      <c r="J78" s="61">
        <f>IFERROR(__xludf.DUMMYFUNCTION("""COMPUTED_VALUE"""),145.0)</f>
        <v>145</v>
      </c>
      <c r="K78" s="100">
        <f>IFERROR(__xludf.DUMMYFUNCTION("""COMPUTED_VALUE"""),45882.0)</f>
        <v>45882</v>
      </c>
      <c r="L78" s="61" t="str">
        <f>IFERROR(__xludf.DUMMYFUNCTION("""COMPUTED_VALUE"""),"Dardick")</f>
        <v>Dardick</v>
      </c>
      <c r="M78" s="64" t="str">
        <f>IFERROR(__xludf.DUMMYFUNCTION("""COMPUTED_VALUE"""),"4409-A")</f>
        <v>4409-A</v>
      </c>
      <c r="N78" s="61"/>
      <c r="O78" s="61" t="b">
        <f>COUNTIF('Delivered Rentals'!A:A, B78) &gt; 0</f>
        <v>1</v>
      </c>
      <c r="P78" s="101" t="str">
        <f>IFERROR(__xludf.DUMMYFUNCTION("""COMPUTED_VALUE"""),"12:00 PM to 02:00 PM  ")</f>
        <v>12:00 PM to 02:00 PM  </v>
      </c>
    </row>
    <row r="79">
      <c r="A79" s="102" t="str">
        <f>IFERROR(__xludf.DUMMYFUNCTION("""COMPUTED_VALUE"""),"https://utrucking.com/admin/orders/5899278713020")</f>
        <v>https://utrucking.com/admin/orders/5899278713020</v>
      </c>
      <c r="B79" s="65" t="str">
        <f>IFERROR(__xludf.DUMMYFUNCTION("""COMPUTED_VALUE"""),"#15242")</f>
        <v>#15242</v>
      </c>
      <c r="C79" s="65" t="str">
        <f>IFERROR(__xludf.DUMMYFUNCTION("""COMPUTED_VALUE"""),"samanthar@wustl.edu")</f>
        <v>samanthar@wustl.edu</v>
      </c>
      <c r="D79" s="65">
        <f>IFERROR(__xludf.DUMMYFUNCTION("""COMPUTED_VALUE"""),3.124809444E9)</f>
        <v>3124809444</v>
      </c>
      <c r="E79" s="65" t="str">
        <f>IFERROR(__xludf.DUMMYFUNCTION("""COMPUTED_VALUE"""),"Jonathan  Rosenberg ")</f>
        <v>Jonathan  Rosenberg </v>
      </c>
      <c r="F79" s="65"/>
      <c r="G79" s="65"/>
      <c r="H79" s="65" t="str">
        <f>IFERROR(__xludf.DUMMYFUNCTION("""COMPUTED_VALUE"""),"Appliance Rental")</f>
        <v>Appliance Rental</v>
      </c>
      <c r="I79" s="65" t="str">
        <f>IFERROR(__xludf.DUMMYFUNCTION("""COMPUTED_VALUE"""),"Double-Door Mini Fridge + Microwave")</f>
        <v>Double-Door Mini Fridge + Microwave</v>
      </c>
      <c r="J79" s="65">
        <f>IFERROR(__xludf.DUMMYFUNCTION("""COMPUTED_VALUE"""),210.0)</f>
        <v>210</v>
      </c>
      <c r="K79" s="103">
        <f>IFERROR(__xludf.DUMMYFUNCTION("""COMPUTED_VALUE"""),45883.0)</f>
        <v>45883</v>
      </c>
      <c r="L79" s="65" t="str">
        <f>IFERROR(__xludf.DUMMYFUNCTION("""COMPUTED_VALUE"""),"Danforth  ")</f>
        <v>Danforth  </v>
      </c>
      <c r="M79" s="68" t="str">
        <f>IFERROR(__xludf.DUMMYFUNCTION("""COMPUTED_VALUE"""),"3321")</f>
        <v>3321</v>
      </c>
      <c r="N79" s="65"/>
      <c r="O79" s="65" t="b">
        <f>COUNTIF('Delivered Rentals'!A:A, B79) &gt; 0</f>
        <v>1</v>
      </c>
      <c r="P79" s="104"/>
    </row>
    <row r="80">
      <c r="A80" s="99" t="str">
        <f>IFERROR(__xludf.DUMMYFUNCTION("""COMPUTED_VALUE"""),"https://utrucking.com/admin/orders/5899375313084")</f>
        <v>https://utrucking.com/admin/orders/5899375313084</v>
      </c>
      <c r="B80" s="61" t="str">
        <f>IFERROR(__xludf.DUMMYFUNCTION("""COMPUTED_VALUE"""),"#15245")</f>
        <v>#15245</v>
      </c>
      <c r="C80" s="61"/>
      <c r="D80" s="61">
        <f>IFERROR(__xludf.DUMMYFUNCTION("""COMPUTED_VALUE"""),6.504683885E9)</f>
        <v>6504683885</v>
      </c>
      <c r="E80" s="61" t="str">
        <f>IFERROR(__xludf.DUMMYFUNCTION("""COMPUTED_VALUE"""),"jackie  shurslep ")</f>
        <v>jackie  shurslep </v>
      </c>
      <c r="F80" s="61"/>
      <c r="G80" s="61"/>
      <c r="H80" s="61" t="str">
        <f>IFERROR(__xludf.DUMMYFUNCTION("""COMPUTED_VALUE"""),"Appliance Rental")</f>
        <v>Appliance Rental</v>
      </c>
      <c r="I80" s="61" t="str">
        <f>IFERROR(__xludf.DUMMYFUNCTION("""COMPUTED_VALUE"""),"Double-Door Mini Fridge")</f>
        <v>Double-Door Mini Fridge</v>
      </c>
      <c r="J80" s="61">
        <f>IFERROR(__xludf.DUMMYFUNCTION("""COMPUTED_VALUE"""),145.0)</f>
        <v>145</v>
      </c>
      <c r="K80" s="100">
        <f>IFERROR(__xludf.DUMMYFUNCTION("""COMPUTED_VALUE"""),45883.0)</f>
        <v>45883</v>
      </c>
      <c r="L80" s="61" t="str">
        <f>IFERROR(__xludf.DUMMYFUNCTION("""COMPUTED_VALUE"""),"Lien  ")</f>
        <v>Lien  </v>
      </c>
      <c r="M80" s="64" t="str">
        <f>IFERROR(__xludf.DUMMYFUNCTION("""COMPUTED_VALUE"""),"1116")</f>
        <v>1116</v>
      </c>
      <c r="N80" s="61"/>
      <c r="O80" s="61" t="b">
        <f>COUNTIF('Delivered Rentals'!A:A, B80) &gt; 0</f>
        <v>1</v>
      </c>
      <c r="P80" s="101"/>
    </row>
    <row r="81">
      <c r="A81" s="102" t="str">
        <f>IFERROR(__xludf.DUMMYFUNCTION("""COMPUTED_VALUE"""),"https://utrucking.com/admin/orders/5899380981948")</f>
        <v>https://utrucking.com/admin/orders/5899380981948</v>
      </c>
      <c r="B81" s="65" t="str">
        <f>IFERROR(__xludf.DUMMYFUNCTION("""COMPUTED_VALUE"""),"#15246")</f>
        <v>#15246</v>
      </c>
      <c r="C81" s="65" t="str">
        <f>IFERROR(__xludf.DUMMYFUNCTION("""COMPUTED_VALUE"""),"h.serene@wustl.edu")</f>
        <v>h.serene@wustl.edu</v>
      </c>
      <c r="D81" s="65">
        <f>IFERROR(__xludf.DUMMYFUNCTION("""COMPUTED_VALUE"""),6.788767305E9)</f>
        <v>6788767305</v>
      </c>
      <c r="E81" s="65" t="str">
        <f>IFERROR(__xludf.DUMMYFUNCTION("""COMPUTED_VALUE"""),"Erica  Harris ")</f>
        <v>Erica  Harris </v>
      </c>
      <c r="F81" s="65"/>
      <c r="G81" s="65"/>
      <c r="H81" s="65" t="str">
        <f>IFERROR(__xludf.DUMMYFUNCTION("""COMPUTED_VALUE"""),"Appliance Rental")</f>
        <v>Appliance Rental</v>
      </c>
      <c r="I81" s="65" t="str">
        <f>IFERROR(__xludf.DUMMYFUNCTION("""COMPUTED_VALUE"""),"Double-Door Mini Fridge + Microwave")</f>
        <v>Double-Door Mini Fridge + Microwave</v>
      </c>
      <c r="J81" s="65">
        <f>IFERROR(__xludf.DUMMYFUNCTION("""COMPUTED_VALUE"""),210.0)</f>
        <v>210</v>
      </c>
      <c r="K81" s="103">
        <f>IFERROR(__xludf.DUMMYFUNCTION("""COMPUTED_VALUE"""),45883.0)</f>
        <v>45883</v>
      </c>
      <c r="L81" s="65" t="str">
        <f>IFERROR(__xludf.DUMMYFUNCTION("""COMPUTED_VALUE"""),"House 1 (Alpha Delta Phi)  ")</f>
        <v>House 1 (Alpha Delta Phi)  </v>
      </c>
      <c r="M81" s="68" t="str">
        <f>IFERROR(__xludf.DUMMYFUNCTION("""COMPUTED_VALUE"""),"210")</f>
        <v>210</v>
      </c>
      <c r="N81" s="65"/>
      <c r="O81" s="65" t="b">
        <f>COUNTIF('Delivered Rentals'!A:A, B81) &gt; 0</f>
        <v>1</v>
      </c>
      <c r="P81" s="104"/>
    </row>
    <row r="82">
      <c r="A82" s="99" t="str">
        <f>IFERROR(__xludf.DUMMYFUNCTION("""COMPUTED_VALUE"""),"https://utrucking.com/admin/orders/5899398512828")</f>
        <v>https://utrucking.com/admin/orders/5899398512828</v>
      </c>
      <c r="B82" s="61" t="str">
        <f>IFERROR(__xludf.DUMMYFUNCTION("""COMPUTED_VALUE"""),"#15247")</f>
        <v>#15247</v>
      </c>
      <c r="C82" s="61" t="str">
        <f>IFERROR(__xludf.DUMMYFUNCTION("""COMPUTED_VALUE"""),"atticks@wustl.edu")</f>
        <v>atticks@wustl.edu</v>
      </c>
      <c r="D82" s="61">
        <f>IFERROR(__xludf.DUMMYFUNCTION("""COMPUTED_VALUE"""),1.4104994906E10)</f>
        <v>14104994906</v>
      </c>
      <c r="E82" s="61" t="str">
        <f>IFERROR(__xludf.DUMMYFUNCTION("""COMPUTED_VALUE"""),"Andrea  Atticks ")</f>
        <v>Andrea  Atticks </v>
      </c>
      <c r="F82" s="61"/>
      <c r="G82" s="61"/>
      <c r="H82" s="61" t="str">
        <f>IFERROR(__xludf.DUMMYFUNCTION("""COMPUTED_VALUE"""),"Appliance Rental")</f>
        <v>Appliance Rental</v>
      </c>
      <c r="I82" s="61" t="str">
        <f>IFERROR(__xludf.DUMMYFUNCTION("""COMPUTED_VALUE"""),"Double-Door Mini Fridge + Microwave")</f>
        <v>Double-Door Mini Fridge + Microwave</v>
      </c>
      <c r="J82" s="61">
        <f>IFERROR(__xludf.DUMMYFUNCTION("""COMPUTED_VALUE"""),210.0)</f>
        <v>210</v>
      </c>
      <c r="K82" s="100">
        <f>IFERROR(__xludf.DUMMYFUNCTION("""COMPUTED_VALUE"""),45883.0)</f>
        <v>45883</v>
      </c>
      <c r="L82" s="61" t="str">
        <f>IFERROR(__xludf.DUMMYFUNCTION("""COMPUTED_VALUE"""),"Koenig  ")</f>
        <v>Koenig  </v>
      </c>
      <c r="M82" s="64" t="str">
        <f>IFERROR(__xludf.DUMMYFUNCTION("""COMPUTED_VALUE"""),"1112")</f>
        <v>1112</v>
      </c>
      <c r="N82" s="61"/>
      <c r="O82" s="61" t="b">
        <f>COUNTIF('Delivered Rentals'!A:A, B82) &gt; 0</f>
        <v>1</v>
      </c>
      <c r="P82" s="101"/>
    </row>
    <row r="83">
      <c r="A83" s="102" t="str">
        <f>IFERROR(__xludf.DUMMYFUNCTION("""COMPUTED_VALUE"""),"https://utrucking.com/admin/orders/5899755684028")</f>
        <v>https://utrucking.com/admin/orders/5899755684028</v>
      </c>
      <c r="B83" s="65" t="str">
        <f>IFERROR(__xludf.DUMMYFUNCTION("""COMPUTED_VALUE"""),"#15250")</f>
        <v>#15250</v>
      </c>
      <c r="C83" s="65" t="str">
        <f>IFERROR(__xludf.DUMMYFUNCTION("""COMPUTED_VALUE"""),"mhwtan@gmail.com")</f>
        <v>mhwtan@gmail.com</v>
      </c>
      <c r="D83" s="65">
        <f>IFERROR(__xludf.DUMMYFUNCTION("""COMPUTED_VALUE"""),3.10606135E9)</f>
        <v>3106061350</v>
      </c>
      <c r="E83" s="65" t="str">
        <f>IFERROR(__xludf.DUMMYFUNCTION("""COMPUTED_VALUE"""),"Tan  18 Misty Acres Rd ")</f>
        <v>Tan  18 Misty Acres Rd </v>
      </c>
      <c r="F83" s="65"/>
      <c r="G83" s="65"/>
      <c r="H83" s="65" t="str">
        <f>IFERROR(__xludf.DUMMYFUNCTION("""COMPUTED_VALUE"""),"Appliance Rental")</f>
        <v>Appliance Rental</v>
      </c>
      <c r="I83" s="65" t="str">
        <f>IFERROR(__xludf.DUMMYFUNCTION("""COMPUTED_VALUE"""),"Double-Door Mini Fridge")</f>
        <v>Double-Door Mini Fridge</v>
      </c>
      <c r="J83" s="65">
        <f>IFERROR(__xludf.DUMMYFUNCTION("""COMPUTED_VALUE"""),145.0)</f>
        <v>145</v>
      </c>
      <c r="K83" s="103">
        <f>IFERROR(__xludf.DUMMYFUNCTION("""COMPUTED_VALUE"""),45883.0)</f>
        <v>45883</v>
      </c>
      <c r="L83" s="65" t="str">
        <f>IFERROR(__xludf.DUMMYFUNCTION("""COMPUTED_VALUE"""),"Dardick  ")</f>
        <v>Dardick  </v>
      </c>
      <c r="M83" s="68" t="str">
        <f>IFERROR(__xludf.DUMMYFUNCTION("""COMPUTED_VALUE"""),"2208")</f>
        <v>2208</v>
      </c>
      <c r="N83" s="65"/>
      <c r="O83" s="65" t="b">
        <f>COUNTIF('Delivered Rentals'!A:A, B83) &gt; 0</f>
        <v>1</v>
      </c>
      <c r="P83" s="104"/>
    </row>
    <row r="84">
      <c r="A84" s="99" t="str">
        <f>IFERROR(__xludf.DUMMYFUNCTION("""COMPUTED_VALUE"""),"https://utrucking.com/admin/orders/5899791564988")</f>
        <v>https://utrucking.com/admin/orders/5899791564988</v>
      </c>
      <c r="B84" s="61" t="str">
        <f>IFERROR(__xludf.DUMMYFUNCTION("""COMPUTED_VALUE"""),"#15252")</f>
        <v>#15252</v>
      </c>
      <c r="C84" s="61" t="str">
        <f>IFERROR(__xludf.DUMMYFUNCTION("""COMPUTED_VALUE"""),"fike@wustl.edu")</f>
        <v>fike@wustl.edu</v>
      </c>
      <c r="D84" s="61">
        <f>IFERROR(__xludf.DUMMYFUNCTION("""COMPUTED_VALUE"""),7.73744135E9)</f>
        <v>7737441350</v>
      </c>
      <c r="E84" s="61" t="str">
        <f>IFERROR(__xludf.DUMMYFUNCTION("""COMPUTED_VALUE"""),"Lisa  Fike ")</f>
        <v>Lisa  Fike </v>
      </c>
      <c r="F84" s="61"/>
      <c r="G84" s="61"/>
      <c r="H84" s="61" t="str">
        <f>IFERROR(__xludf.DUMMYFUNCTION("""COMPUTED_VALUE"""),"Appliance Rental")</f>
        <v>Appliance Rental</v>
      </c>
      <c r="I84" s="61" t="str">
        <f>IFERROR(__xludf.DUMMYFUNCTION("""COMPUTED_VALUE"""),"Double-Door Mini Fridge")</f>
        <v>Double-Door Mini Fridge</v>
      </c>
      <c r="J84" s="61">
        <f>IFERROR(__xludf.DUMMYFUNCTION("""COMPUTED_VALUE"""),145.0)</f>
        <v>145</v>
      </c>
      <c r="K84" s="100">
        <f>IFERROR(__xludf.DUMMYFUNCTION("""COMPUTED_VALUE"""),45883.0)</f>
        <v>45883</v>
      </c>
      <c r="L84" s="61" t="str">
        <f>IFERROR(__xludf.DUMMYFUNCTION("""COMPUTED_VALUE"""),"Wheeler  ")</f>
        <v>Wheeler  </v>
      </c>
      <c r="M84" s="64" t="str">
        <f>IFERROR(__xludf.DUMMYFUNCTION("""COMPUTED_VALUE"""),"4032")</f>
        <v>4032</v>
      </c>
      <c r="N84" s="61"/>
      <c r="O84" s="61" t="b">
        <f>COUNTIF('Delivered Rentals'!A:A, B84) &gt; 0</f>
        <v>1</v>
      </c>
      <c r="P84" s="101"/>
    </row>
    <row r="85">
      <c r="A85" s="102" t="str">
        <f>IFERROR(__xludf.DUMMYFUNCTION("""COMPUTED_VALUE"""),"https://utrucking.com/admin/orders/5899837145276")</f>
        <v>https://utrucking.com/admin/orders/5899837145276</v>
      </c>
      <c r="B85" s="65" t="str">
        <f>IFERROR(__xludf.DUMMYFUNCTION("""COMPUTED_VALUE"""),"#15253")</f>
        <v>#15253</v>
      </c>
      <c r="C85" s="65" t="str">
        <f>IFERROR(__xludf.DUMMYFUNCTION("""COMPUTED_VALUE"""),"lisapetlak@hotmail.com")</f>
        <v>lisapetlak@hotmail.com</v>
      </c>
      <c r="D85" s="65">
        <f>IFERROR(__xludf.DUMMYFUNCTION("""COMPUTED_VALUE"""),1.3103673106E10)</f>
        <v>13103673106</v>
      </c>
      <c r="E85" s="65" t="str">
        <f>IFERROR(__xludf.DUMMYFUNCTION("""COMPUTED_VALUE"""),"Lisa  Petlak ")</f>
        <v>Lisa  Petlak </v>
      </c>
      <c r="F85" s="65"/>
      <c r="G85" s="65"/>
      <c r="H85" s="65" t="str">
        <f>IFERROR(__xludf.DUMMYFUNCTION("""COMPUTED_VALUE"""),"Appliance Rental")</f>
        <v>Appliance Rental</v>
      </c>
      <c r="I85" s="65" t="str">
        <f>IFERROR(__xludf.DUMMYFUNCTION("""COMPUTED_VALUE"""),"Double-Door Mini Fridge + Microwave")</f>
        <v>Double-Door Mini Fridge + Microwave</v>
      </c>
      <c r="J85" s="65">
        <f>IFERROR(__xludf.DUMMYFUNCTION("""COMPUTED_VALUE"""),210.0)</f>
        <v>210</v>
      </c>
      <c r="K85" s="103">
        <f>IFERROR(__xludf.DUMMYFUNCTION("""COMPUTED_VALUE"""),45883.0)</f>
        <v>45883</v>
      </c>
      <c r="L85" s="65" t="str">
        <f>IFERROR(__xludf.DUMMYFUNCTION("""COMPUTED_VALUE"""),"Dardick  ")</f>
        <v>Dardick  </v>
      </c>
      <c r="M85" s="68" t="str">
        <f>IFERROR(__xludf.DUMMYFUNCTION("""COMPUTED_VALUE"""),"3305")</f>
        <v>3305</v>
      </c>
      <c r="N85" s="65"/>
      <c r="O85" s="65" t="b">
        <f>COUNTIF('Delivered Rentals'!A:A, B85) &gt; 0</f>
        <v>1</v>
      </c>
      <c r="P85" s="104"/>
    </row>
    <row r="86">
      <c r="A86" s="99" t="str">
        <f>IFERROR(__xludf.DUMMYFUNCTION("""COMPUTED_VALUE"""),"https://utrucking.com/admin/orders/5900006424764")</f>
        <v>https://utrucking.com/admin/orders/5900006424764</v>
      </c>
      <c r="B86" s="61" t="str">
        <f>IFERROR(__xludf.DUMMYFUNCTION("""COMPUTED_VALUE"""),"#15254")</f>
        <v>#15254</v>
      </c>
      <c r="C86" s="61"/>
      <c r="D86" s="61">
        <f>IFERROR(__xludf.DUMMYFUNCTION("""COMPUTED_VALUE"""),7.0331091E9)</f>
        <v>7033109100</v>
      </c>
      <c r="E86" s="61" t="str">
        <f>IFERROR(__xludf.DUMMYFUNCTION("""COMPUTED_VALUE"""),"Emily  Pocrass ")</f>
        <v>Emily  Pocrass </v>
      </c>
      <c r="F86" s="61"/>
      <c r="G86" s="61" t="str">
        <f>IFERROR(__xludf.DUMMYFUNCTION("""COMPUTED_VALUE"""),"1870 Patrick Henry Drive")</f>
        <v>1870 Patrick Henry Drive</v>
      </c>
      <c r="H86" s="61" t="str">
        <f>IFERROR(__xludf.DUMMYFUNCTION("""COMPUTED_VALUE"""),"Appliance Rental")</f>
        <v>Appliance Rental</v>
      </c>
      <c r="I86" s="61" t="str">
        <f>IFERROR(__xludf.DUMMYFUNCTION("""COMPUTED_VALUE"""),"Double-Door Mini Fridge + Microwave")</f>
        <v>Double-Door Mini Fridge + Microwave</v>
      </c>
      <c r="J86" s="61">
        <f>IFERROR(__xludf.DUMMYFUNCTION("""COMPUTED_VALUE"""),210.0)</f>
        <v>210</v>
      </c>
      <c r="K86" s="100">
        <f>IFERROR(__xludf.DUMMYFUNCTION("""COMPUTED_VALUE"""),45883.0)</f>
        <v>45883</v>
      </c>
      <c r="L86" s="61" t="str">
        <f>IFERROR(__xludf.DUMMYFUNCTION("""COMPUTED_VALUE"""),"Umrath  ")</f>
        <v>Umrath  </v>
      </c>
      <c r="M86" s="64" t="str">
        <f>IFERROR(__xludf.DUMMYFUNCTION("""COMPUTED_VALUE"""),"232")</f>
        <v>232</v>
      </c>
      <c r="N86" s="61"/>
      <c r="O86" s="61" t="b">
        <f>COUNTIF('Delivered Rentals'!A:A, B86) &gt; 0</f>
        <v>1</v>
      </c>
      <c r="P86" s="101"/>
    </row>
    <row r="87">
      <c r="A87" s="102" t="str">
        <f>IFERROR(__xludf.DUMMYFUNCTION("""COMPUTED_VALUE"""),"https://utrucking.com/admin/orders/5900080283836")</f>
        <v>https://utrucking.com/admin/orders/5900080283836</v>
      </c>
      <c r="B87" s="65" t="str">
        <f>IFERROR(__xludf.DUMMYFUNCTION("""COMPUTED_VALUE"""),"#15255")</f>
        <v>#15255</v>
      </c>
      <c r="C87" s="65" t="str">
        <f>IFERROR(__xludf.DUMMYFUNCTION("""COMPUTED_VALUE"""),"lorieclassner@gmail.com")</f>
        <v>lorieclassner@gmail.com</v>
      </c>
      <c r="D87" s="65">
        <f>IFERROR(__xludf.DUMMYFUNCTION("""COMPUTED_VALUE"""),3.107019782E9)</f>
        <v>3107019782</v>
      </c>
      <c r="E87" s="65" t="str">
        <f>IFERROR(__xludf.DUMMYFUNCTION("""COMPUTED_VALUE"""),"Ethan  Lassner ")</f>
        <v>Ethan  Lassner </v>
      </c>
      <c r="F87" s="65"/>
      <c r="G87" s="65" t="str">
        <f>IFERROR(__xludf.DUMMYFUNCTION("""COMPUTED_VALUE"""),"13548 Valley Vista Boulevard")</f>
        <v>13548 Valley Vista Boulevard</v>
      </c>
      <c r="H87" s="65" t="str">
        <f>IFERROR(__xludf.DUMMYFUNCTION("""COMPUTED_VALUE"""),"Appliance Rental")</f>
        <v>Appliance Rental</v>
      </c>
      <c r="I87" s="65" t="str">
        <f>IFERROR(__xludf.DUMMYFUNCTION("""COMPUTED_VALUE"""),"Double-Door Mini Fridge + Microwave")</f>
        <v>Double-Door Mini Fridge + Microwave</v>
      </c>
      <c r="J87" s="65">
        <f>IFERROR(__xludf.DUMMYFUNCTION("""COMPUTED_VALUE"""),210.0)</f>
        <v>210</v>
      </c>
      <c r="K87" s="103">
        <f>IFERROR(__xludf.DUMMYFUNCTION("""COMPUTED_VALUE"""),45883.0)</f>
        <v>45883</v>
      </c>
      <c r="L87" s="65" t="str">
        <f>IFERROR(__xludf.DUMMYFUNCTION("""COMPUTED_VALUE"""),"Eliot A  ")</f>
        <v>Eliot A  </v>
      </c>
      <c r="M87" s="68" t="str">
        <f>IFERROR(__xludf.DUMMYFUNCTION("""COMPUTED_VALUE"""),"1082-a")</f>
        <v>1082-a</v>
      </c>
      <c r="N87" s="65"/>
      <c r="O87" s="65" t="b">
        <f>COUNTIF('Delivered Rentals'!A:A, B87) &gt; 0</f>
        <v>1</v>
      </c>
      <c r="P87" s="104"/>
    </row>
    <row r="88">
      <c r="A88" s="99" t="str">
        <f>IFERROR(__xludf.DUMMYFUNCTION("""COMPUTED_VALUE"""),"https://utrucking.com/admin/orders/5900083265724")</f>
        <v>https://utrucking.com/admin/orders/5900083265724</v>
      </c>
      <c r="B88" s="61" t="str">
        <f>IFERROR(__xludf.DUMMYFUNCTION("""COMPUTED_VALUE"""),"#15256")</f>
        <v>#15256</v>
      </c>
      <c r="C88" s="61" t="str">
        <f>IFERROR(__xludf.DUMMYFUNCTION("""COMPUTED_VALUE"""),"b.e.veiel@wustl.edu")</f>
        <v>b.e.veiel@wustl.edu</v>
      </c>
      <c r="D88" s="61">
        <f>IFERROR(__xludf.DUMMYFUNCTION("""COMPUTED_VALUE"""),4.102586632E9)</f>
        <v>4102586632</v>
      </c>
      <c r="E88" s="61" t="str">
        <f>IFERROR(__xludf.DUMMYFUNCTION("""COMPUTED_VALUE"""),"Lori  Veiel ")</f>
        <v>Lori  Veiel </v>
      </c>
      <c r="F88" s="61"/>
      <c r="G88" s="61" t="str">
        <f>IFERROR(__xludf.DUMMYFUNCTION("""COMPUTED_VALUE"""),"448 Arundel Beach Road")</f>
        <v>448 Arundel Beach Road</v>
      </c>
      <c r="H88" s="61" t="str">
        <f>IFERROR(__xludf.DUMMYFUNCTION("""COMPUTED_VALUE"""),"Appliance Rental")</f>
        <v>Appliance Rental</v>
      </c>
      <c r="I88" s="61" t="str">
        <f>IFERROR(__xludf.DUMMYFUNCTION("""COMPUTED_VALUE"""),"Double-Door Mini Fridge")</f>
        <v>Double-Door Mini Fridge</v>
      </c>
      <c r="J88" s="61">
        <f>IFERROR(__xludf.DUMMYFUNCTION("""COMPUTED_VALUE"""),145.0)</f>
        <v>145</v>
      </c>
      <c r="K88" s="100">
        <f>IFERROR(__xludf.DUMMYFUNCTION("""COMPUTED_VALUE"""),45883.0)</f>
        <v>45883</v>
      </c>
      <c r="L88" s="61" t="str">
        <f>IFERROR(__xludf.DUMMYFUNCTION("""COMPUTED_VALUE"""),"Liggett  ")</f>
        <v>Liggett  </v>
      </c>
      <c r="M88" s="64" t="str">
        <f>IFERROR(__xludf.DUMMYFUNCTION("""COMPUTED_VALUE"""),"3373-a")</f>
        <v>3373-a</v>
      </c>
      <c r="N88" s="61"/>
      <c r="O88" s="61" t="b">
        <f>COUNTIF('Delivered Rentals'!A:A, B88) &gt; 0</f>
        <v>1</v>
      </c>
      <c r="P88" s="101"/>
    </row>
    <row r="89">
      <c r="A89" s="102" t="str">
        <f>IFERROR(__xludf.DUMMYFUNCTION("""COMPUTED_VALUE"""),"https://admin.shopify.com/store/utrucking/orders/5900167545020?link_source=search")</f>
        <v>https://admin.shopify.com/store/utrucking/orders/5900167545020?link_source=search</v>
      </c>
      <c r="B89" s="65" t="str">
        <f>IFERROR(__xludf.DUMMYFUNCTION("""COMPUTED_VALUE"""),"#15261")</f>
        <v>#15261</v>
      </c>
      <c r="C89" s="65" t="str">
        <f>IFERROR(__xludf.DUMMYFUNCTION("""COMPUTED_VALUE"""),"raynathakkar25@gmail.com")</f>
        <v>raynathakkar25@gmail.com</v>
      </c>
      <c r="D89" s="65" t="str">
        <f>IFERROR(__xludf.DUMMYFUNCTION("""COMPUTED_VALUE"""),"412-495-7562")</f>
        <v>412-495-7562</v>
      </c>
      <c r="E89" s="65" t="str">
        <f>IFERROR(__xludf.DUMMYFUNCTION("""COMPUTED_VALUE"""),"Shyam Thakkar")</f>
        <v>Shyam Thakkar</v>
      </c>
      <c r="F89" s="65"/>
      <c r="G89" s="65" t="str">
        <f>IFERROR(__xludf.DUMMYFUNCTION("""COMPUTED_VALUE"""),"1124 Castletown Ct")</f>
        <v>1124 Castletown Ct</v>
      </c>
      <c r="H89" s="65" t="str">
        <f>IFERROR(__xludf.DUMMYFUNCTION("""COMPUTED_VALUE"""),"Appliance Rental")</f>
        <v>Appliance Rental</v>
      </c>
      <c r="I89" s="65" t="str">
        <f>IFERROR(__xludf.DUMMYFUNCTION("""COMPUTED_VALUE"""),"Double-Door Mini Fridge + Microwave")</f>
        <v>Double-Door Mini Fridge + Microwave</v>
      </c>
      <c r="J89" s="65">
        <f>IFERROR(__xludf.DUMMYFUNCTION("""COMPUTED_VALUE"""),210.0)</f>
        <v>210</v>
      </c>
      <c r="K89" s="103">
        <f>IFERROR(__xludf.DUMMYFUNCTION("""COMPUTED_VALUE"""),45884.0)</f>
        <v>45884</v>
      </c>
      <c r="L89" s="65" t="str">
        <f>IFERROR(__xludf.DUMMYFUNCTION("""COMPUTED_VALUE"""),"Koenig")</f>
        <v>Koenig</v>
      </c>
      <c r="M89" s="68" t="str">
        <f>IFERROR(__xludf.DUMMYFUNCTION("""COMPUTED_VALUE"""),"3310")</f>
        <v>3310</v>
      </c>
      <c r="N89" s="65"/>
      <c r="O89" s="65" t="b">
        <f>COUNTIF('Delivered Rentals'!A:A, B89) &gt; 0</f>
        <v>1</v>
      </c>
      <c r="P89" s="104"/>
    </row>
    <row r="90">
      <c r="A90" s="99" t="str">
        <f>IFERROR(__xludf.DUMMYFUNCTION("""COMPUTED_VALUE"""),"https://utrucking.com/admin/orders/5900186910908")</f>
        <v>https://utrucking.com/admin/orders/5900186910908</v>
      </c>
      <c r="B90" s="61" t="str">
        <f>IFERROR(__xludf.DUMMYFUNCTION("""COMPUTED_VALUE"""),"#15263")</f>
        <v>#15263</v>
      </c>
      <c r="C90" s="61" t="str">
        <f>IFERROR(__xludf.DUMMYFUNCTION("""COMPUTED_VALUE"""),"allisonstern@hotmail.com")</f>
        <v>allisonstern@hotmail.com</v>
      </c>
      <c r="D90" s="61">
        <f>IFERROR(__xludf.DUMMYFUNCTION("""COMPUTED_VALUE"""),3.102463451E9)</f>
        <v>3102463451</v>
      </c>
      <c r="E90" s="61" t="str">
        <f>IFERROR(__xludf.DUMMYFUNCTION("""COMPUTED_VALUE"""),"Allison  Samek ")</f>
        <v>Allison  Samek </v>
      </c>
      <c r="F90" s="61"/>
      <c r="G90" s="61" t="str">
        <f>IFERROR(__xludf.DUMMYFUNCTION("""COMPUTED_VALUE"""),"498 South Spalding Drive")</f>
        <v>498 South Spalding Drive</v>
      </c>
      <c r="H90" s="61" t="str">
        <f>IFERROR(__xludf.DUMMYFUNCTION("""COMPUTED_VALUE"""),"Appliance Rental")</f>
        <v>Appliance Rental</v>
      </c>
      <c r="I90" s="61" t="str">
        <f>IFERROR(__xludf.DUMMYFUNCTION("""COMPUTED_VALUE"""),"Double-Door Mini Fridge + Microwave")</f>
        <v>Double-Door Mini Fridge + Microwave</v>
      </c>
      <c r="J90" s="61">
        <f>IFERROR(__xludf.DUMMYFUNCTION("""COMPUTED_VALUE"""),210.0)</f>
        <v>210</v>
      </c>
      <c r="K90" s="100">
        <f>IFERROR(__xludf.DUMMYFUNCTION("""COMPUTED_VALUE"""),45883.0)</f>
        <v>45883</v>
      </c>
      <c r="L90" s="61" t="str">
        <f>IFERROR(__xludf.DUMMYFUNCTION("""COMPUTED_VALUE"""),"Lee  ")</f>
        <v>Lee  </v>
      </c>
      <c r="M90" s="64" t="str">
        <f>IFERROR(__xludf.DUMMYFUNCTION("""COMPUTED_VALUE"""),"219A")</f>
        <v>219A</v>
      </c>
      <c r="N90" s="61"/>
      <c r="O90" s="61" t="b">
        <f>COUNTIF('Delivered Rentals'!A:A, B90) &gt; 0</f>
        <v>1</v>
      </c>
      <c r="P90" s="101"/>
    </row>
    <row r="91">
      <c r="A91" s="102" t="str">
        <f>IFERROR(__xludf.DUMMYFUNCTION("""COMPUTED_VALUE"""),"https://utrucking.com/admin/orders/5900228886716")</f>
        <v>https://utrucking.com/admin/orders/5900228886716</v>
      </c>
      <c r="B91" s="65" t="str">
        <f>IFERROR(__xludf.DUMMYFUNCTION("""COMPUTED_VALUE"""),"#15264")</f>
        <v>#15264</v>
      </c>
      <c r="C91" s="65" t="str">
        <f>IFERROR(__xludf.DUMMYFUNCTION("""COMPUTED_VALUE"""),"chanel7557@yahoo.com")</f>
        <v>chanel7557@yahoo.com</v>
      </c>
      <c r="D91" s="65">
        <f>IFERROR(__xludf.DUMMYFUNCTION("""COMPUTED_VALUE"""),3.12344005E9)</f>
        <v>3123440050</v>
      </c>
      <c r="E91" s="65" t="str">
        <f>IFERROR(__xludf.DUMMYFUNCTION("""COMPUTED_VALUE"""),"Chanel  Bell ")</f>
        <v>Chanel  Bell </v>
      </c>
      <c r="F91" s="65"/>
      <c r="G91" s="65" t="str">
        <f>IFERROR(__xludf.DUMMYFUNCTION("""COMPUTED_VALUE"""),"705 McCardle Drive")</f>
        <v>705 McCardle Drive</v>
      </c>
      <c r="H91" s="65" t="str">
        <f>IFERROR(__xludf.DUMMYFUNCTION("""COMPUTED_VALUE"""),"Appliance Rental")</f>
        <v>Appliance Rental</v>
      </c>
      <c r="I91" s="65" t="str">
        <f>IFERROR(__xludf.DUMMYFUNCTION("""COMPUTED_VALUE"""),"Microwave Only")</f>
        <v>Microwave Only</v>
      </c>
      <c r="J91" s="65">
        <f>IFERROR(__xludf.DUMMYFUNCTION("""COMPUTED_VALUE"""),65.0)</f>
        <v>65</v>
      </c>
      <c r="K91" s="103">
        <f>IFERROR(__xludf.DUMMYFUNCTION("""COMPUTED_VALUE"""),45883.0)</f>
        <v>45883</v>
      </c>
      <c r="L91" s="65" t="str">
        <f>IFERROR(__xludf.DUMMYFUNCTION("""COMPUTED_VALUE"""),"Lien  ")</f>
        <v>Lien  </v>
      </c>
      <c r="M91" s="68" t="str">
        <f>IFERROR(__xludf.DUMMYFUNCTION("""COMPUTED_VALUE"""),"2220")</f>
        <v>2220</v>
      </c>
      <c r="N91" s="65"/>
      <c r="O91" s="65" t="b">
        <f>COUNTIF('Delivered Rentals'!A:A, B91) &gt; 0</f>
        <v>1</v>
      </c>
      <c r="P91" s="104"/>
    </row>
    <row r="92">
      <c r="A92" s="99" t="str">
        <f>IFERROR(__xludf.DUMMYFUNCTION("""COMPUTED_VALUE"""),"https://utrucking.com/admin/orders/5900316573884")</f>
        <v>https://utrucking.com/admin/orders/5900316573884</v>
      </c>
      <c r="B92" s="61" t="str">
        <f>IFERROR(__xludf.DUMMYFUNCTION("""COMPUTED_VALUE"""),"#15266")</f>
        <v>#15266</v>
      </c>
      <c r="C92" s="61" t="str">
        <f>IFERROR(__xludf.DUMMYFUNCTION("""COMPUTED_VALUE"""),"p.rex@wustl.edu")</f>
        <v>p.rex@wustl.edu</v>
      </c>
      <c r="D92" s="61">
        <f>IFERROR(__xludf.DUMMYFUNCTION("""COMPUTED_VALUE"""),2.242163846E9)</f>
        <v>2242163846</v>
      </c>
      <c r="E92" s="61" t="str">
        <f>IFERROR(__xludf.DUMMYFUNCTION("""COMPUTED_VALUE"""),"Rex  Paster ")</f>
        <v>Rex  Paster </v>
      </c>
      <c r="F92" s="61"/>
      <c r="G92" s="61" t="str">
        <f>IFERROR(__xludf.DUMMYFUNCTION("""COMPUTED_VALUE"""),"305 Grove Street")</f>
        <v>305 Grove Street</v>
      </c>
      <c r="H92" s="61" t="str">
        <f>IFERROR(__xludf.DUMMYFUNCTION("""COMPUTED_VALUE"""),"Appliance Rental")</f>
        <v>Appliance Rental</v>
      </c>
      <c r="I92" s="61" t="str">
        <f>IFERROR(__xludf.DUMMYFUNCTION("""COMPUTED_VALUE"""),"Standard Mini Fridge")</f>
        <v>Standard Mini Fridge</v>
      </c>
      <c r="J92" s="61">
        <f>IFERROR(__xludf.DUMMYFUNCTION("""COMPUTED_VALUE"""),115.0)</f>
        <v>115</v>
      </c>
      <c r="K92" s="100">
        <f>IFERROR(__xludf.DUMMYFUNCTION("""COMPUTED_VALUE"""),45883.0)</f>
        <v>45883</v>
      </c>
      <c r="L92" s="61" t="str">
        <f>IFERROR(__xludf.DUMMYFUNCTION("""COMPUTED_VALUE"""),"Umrath  ")</f>
        <v>Umrath  </v>
      </c>
      <c r="M92" s="64" t="str">
        <f>IFERROR(__xludf.DUMMYFUNCTION("""COMPUTED_VALUE"""),"3339")</f>
        <v>3339</v>
      </c>
      <c r="N92" s="61"/>
      <c r="O92" s="61" t="b">
        <f>COUNTIF('Delivered Rentals'!A:A, B92) &gt; 0</f>
        <v>1</v>
      </c>
      <c r="P92" s="101"/>
    </row>
    <row r="93">
      <c r="A93" s="102" t="str">
        <f>IFERROR(__xludf.DUMMYFUNCTION("""COMPUTED_VALUE"""),"https://utrucking.com/admin/orders/5900318474428")</f>
        <v>https://utrucking.com/admin/orders/5900318474428</v>
      </c>
      <c r="B93" s="65" t="str">
        <f>IFERROR(__xludf.DUMMYFUNCTION("""COMPUTED_VALUE"""),"#15267")</f>
        <v>#15267</v>
      </c>
      <c r="C93" s="65"/>
      <c r="D93" s="65">
        <f>IFERROR(__xludf.DUMMYFUNCTION("""COMPUTED_VALUE"""),9.177707102E9)</f>
        <v>9177707102</v>
      </c>
      <c r="E93" s="65" t="str">
        <f>IFERROR(__xludf.DUMMYFUNCTION("""COMPUTED_VALUE"""),"stacey  zoland ")</f>
        <v>stacey  zoland </v>
      </c>
      <c r="F93" s="65"/>
      <c r="G93" s="65" t="str">
        <f>IFERROR(__xludf.DUMMYFUNCTION("""COMPUTED_VALUE"""),"9 foxhall place")</f>
        <v>9 foxhall place</v>
      </c>
      <c r="H93" s="65" t="str">
        <f>IFERROR(__xludf.DUMMYFUNCTION("""COMPUTED_VALUE"""),"Appliance Rental")</f>
        <v>Appliance Rental</v>
      </c>
      <c r="I93" s="65" t="str">
        <f>IFERROR(__xludf.DUMMYFUNCTION("""COMPUTED_VALUE"""),"Double-Door Mini Fridge + Microwave")</f>
        <v>Double-Door Mini Fridge + Microwave</v>
      </c>
      <c r="J93" s="65">
        <f>IFERROR(__xludf.DUMMYFUNCTION("""COMPUTED_VALUE"""),210.0)</f>
        <v>210</v>
      </c>
      <c r="K93" s="103">
        <f>IFERROR(__xludf.DUMMYFUNCTION("""COMPUTED_VALUE"""),45883.0)</f>
        <v>45883</v>
      </c>
      <c r="L93" s="65" t="str">
        <f>IFERROR(__xludf.DUMMYFUNCTION("""COMPUTED_VALUE"""),"Dauten  ")</f>
        <v>Dauten  </v>
      </c>
      <c r="M93" s="68" t="str">
        <f>IFERROR(__xludf.DUMMYFUNCTION("""COMPUTED_VALUE"""),"133-a")</f>
        <v>133-a</v>
      </c>
      <c r="N93" s="65"/>
      <c r="O93" s="65" t="b">
        <f>COUNTIF('Delivered Rentals'!A:A, B93) &gt; 0</f>
        <v>1</v>
      </c>
      <c r="P93" s="104"/>
    </row>
    <row r="94">
      <c r="A94" s="99" t="str">
        <f>IFERROR(__xludf.DUMMYFUNCTION("""COMPUTED_VALUE"""),"https://utrucking.com/admin/orders/5900653166780")</f>
        <v>https://utrucking.com/admin/orders/5900653166780</v>
      </c>
      <c r="B94" s="61" t="str">
        <f>IFERROR(__xludf.DUMMYFUNCTION("""COMPUTED_VALUE"""),"#15270")</f>
        <v>#15270</v>
      </c>
      <c r="C94" s="61" t="str">
        <f>IFERROR(__xludf.DUMMYFUNCTION("""COMPUTED_VALUE"""),"rwsolovy@yahoo.com")</f>
        <v>rwsolovy@yahoo.com</v>
      </c>
      <c r="D94" s="61">
        <f>IFERROR(__xludf.DUMMYFUNCTION("""COMPUTED_VALUE"""),3.016516144E9)</f>
        <v>3016516144</v>
      </c>
      <c r="E94" s="61" t="str">
        <f>IFERROR(__xludf.DUMMYFUNCTION("""COMPUTED_VALUE"""),"Rebecca  Solovy ")</f>
        <v>Rebecca  Solovy </v>
      </c>
      <c r="F94" s="61"/>
      <c r="G94" s="61" t="str">
        <f>IFERROR(__xludf.DUMMYFUNCTION("""COMPUTED_VALUE"""),"4504 Windsor Lane")</f>
        <v>4504 Windsor Lane</v>
      </c>
      <c r="H94" s="61" t="str">
        <f>IFERROR(__xludf.DUMMYFUNCTION("""COMPUTED_VALUE"""),"Appliance Rental")</f>
        <v>Appliance Rental</v>
      </c>
      <c r="I94" s="61" t="str">
        <f>IFERROR(__xludf.DUMMYFUNCTION("""COMPUTED_VALUE"""),"Double-Door Mini Fridge + Microwave")</f>
        <v>Double-Door Mini Fridge + Microwave</v>
      </c>
      <c r="J94" s="61">
        <f>IFERROR(__xludf.DUMMYFUNCTION("""COMPUTED_VALUE"""),210.0)</f>
        <v>210</v>
      </c>
      <c r="K94" s="100">
        <f>IFERROR(__xludf.DUMMYFUNCTION("""COMPUTED_VALUE"""),45883.0)</f>
        <v>45883</v>
      </c>
      <c r="L94" s="61" t="str">
        <f>IFERROR(__xludf.DUMMYFUNCTION("""COMPUTED_VALUE"""),"Umrath  ")</f>
        <v>Umrath  </v>
      </c>
      <c r="M94" s="64" t="str">
        <f>IFERROR(__xludf.DUMMYFUNCTION("""COMPUTED_VALUE"""),"1236-b")</f>
        <v>1236-b</v>
      </c>
      <c r="N94" s="61"/>
      <c r="O94" s="61" t="b">
        <f>COUNTIF('Delivered Rentals'!A:A, B94) &gt; 0</f>
        <v>1</v>
      </c>
      <c r="P94" s="101"/>
    </row>
    <row r="95">
      <c r="A95" s="102" t="str">
        <f>IFERROR(__xludf.DUMMYFUNCTION("""COMPUTED_VALUE"""),"https://utrucking.com/admin/orders/5900705693884")</f>
        <v>https://utrucking.com/admin/orders/5900705693884</v>
      </c>
      <c r="B95" s="65" t="str">
        <f>IFERROR(__xludf.DUMMYFUNCTION("""COMPUTED_VALUE"""),"#15272")</f>
        <v>#15272</v>
      </c>
      <c r="C95" s="65"/>
      <c r="D95" s="65">
        <f>IFERROR(__xludf.DUMMYFUNCTION("""COMPUTED_VALUE"""),1.7812235035E10)</f>
        <v>17812235035</v>
      </c>
      <c r="E95" s="65" t="str">
        <f>IFERROR(__xludf.DUMMYFUNCTION("""COMPUTED_VALUE"""),"Emily  Perlis ")</f>
        <v>Emily  Perlis </v>
      </c>
      <c r="F95" s="65"/>
      <c r="G95" s="65" t="str">
        <f>IFERROR(__xludf.DUMMYFUNCTION("""COMPUTED_VALUE"""),"609 Braeburn Ln")</f>
        <v>609 Braeburn Ln</v>
      </c>
      <c r="H95" s="65" t="str">
        <f>IFERROR(__xludf.DUMMYFUNCTION("""COMPUTED_VALUE"""),"Appliance Rental")</f>
        <v>Appliance Rental</v>
      </c>
      <c r="I95" s="65" t="str">
        <f>IFERROR(__xludf.DUMMYFUNCTION("""COMPUTED_VALUE"""),"Standard Mini Fridge")</f>
        <v>Standard Mini Fridge</v>
      </c>
      <c r="J95" s="65">
        <f>IFERROR(__xludf.DUMMYFUNCTION("""COMPUTED_VALUE"""),115.0)</f>
        <v>115</v>
      </c>
      <c r="K95" s="103">
        <f>IFERROR(__xludf.DUMMYFUNCTION("""COMPUTED_VALUE"""),45883.0)</f>
        <v>45883</v>
      </c>
      <c r="L95" s="65" t="str">
        <f>IFERROR(__xludf.DUMMYFUNCTION("""COMPUTED_VALUE"""),"Dauten  ")</f>
        <v>Dauten  </v>
      </c>
      <c r="M95" s="68" t="str">
        <f>IFERROR(__xludf.DUMMYFUNCTION("""COMPUTED_VALUE"""),"414")</f>
        <v>414</v>
      </c>
      <c r="N95" s="65"/>
      <c r="O95" s="65" t="b">
        <f>COUNTIF('Delivered Rentals'!A:A, B95) &gt; 0</f>
        <v>1</v>
      </c>
      <c r="P95" s="104"/>
    </row>
    <row r="96">
      <c r="A96" s="99" t="str">
        <f>IFERROR(__xludf.DUMMYFUNCTION("""COMPUTED_VALUE"""),"https://utrucking.com/admin/orders/5900791414972")</f>
        <v>https://utrucking.com/admin/orders/5900791414972</v>
      </c>
      <c r="B96" s="61" t="str">
        <f>IFERROR(__xludf.DUMMYFUNCTION("""COMPUTED_VALUE"""),"#15276")</f>
        <v>#15276</v>
      </c>
      <c r="C96" s="61" t="str">
        <f>IFERROR(__xludf.DUMMYFUNCTION("""COMPUTED_VALUE"""),"g.kogan@wustl.edu")</f>
        <v>g.kogan@wustl.edu</v>
      </c>
      <c r="D96" s="61">
        <f>IFERROR(__xludf.DUMMYFUNCTION("""COMPUTED_VALUE"""),1.914602624E10)</f>
        <v>19146026240</v>
      </c>
      <c r="E96" s="61" t="str">
        <f>IFERROR(__xludf.DUMMYFUNCTION("""COMPUTED_VALUE"""),"Gabrielle Kogan")</f>
        <v>Gabrielle Kogan</v>
      </c>
      <c r="F96" s="61"/>
      <c r="G96" s="61" t="str">
        <f>IFERROR(__xludf.DUMMYFUNCTION("""COMPUTED_VALUE"""),"39 Orchard Hill Rd")</f>
        <v>39 Orchard Hill Rd</v>
      </c>
      <c r="H96" s="61" t="str">
        <f>IFERROR(__xludf.DUMMYFUNCTION("""COMPUTED_VALUE"""),"Appliance Rental")</f>
        <v>Appliance Rental</v>
      </c>
      <c r="I96" s="61" t="str">
        <f>IFERROR(__xludf.DUMMYFUNCTION("""COMPUTED_VALUE""")," Double-Door Mini Fridge + Microwave")</f>
        <v> Double-Door Mini Fridge + Microwave</v>
      </c>
      <c r="J96" s="61">
        <f>IFERROR(__xludf.DUMMYFUNCTION("""COMPUTED_VALUE"""),210.0)</f>
        <v>210</v>
      </c>
      <c r="K96" s="100">
        <f>IFERROR(__xludf.DUMMYFUNCTION("""COMPUTED_VALUE"""),45876.0)</f>
        <v>45876</v>
      </c>
      <c r="L96" s="61" t="str">
        <f>IFERROR(__xludf.DUMMYFUNCTION("""COMPUTED_VALUE"""),"Beaumont  ")</f>
        <v>Beaumont  </v>
      </c>
      <c r="M96" s="64" t="str">
        <f>IFERROR(__xludf.DUMMYFUNCTION("""COMPUTED_VALUE"""),"321")</f>
        <v>321</v>
      </c>
      <c r="N96" s="61"/>
      <c r="O96" s="61" t="b">
        <f>COUNTIF('Delivered Rentals'!A:A, B96) &gt; 0</f>
        <v>1</v>
      </c>
      <c r="P96" s="101"/>
    </row>
    <row r="97">
      <c r="A97" s="102" t="str">
        <f>IFERROR(__xludf.DUMMYFUNCTION("""COMPUTED_VALUE"""),"https://utrucking.com/admin/orders/5900867436732")</f>
        <v>https://utrucking.com/admin/orders/5900867436732</v>
      </c>
      <c r="B97" s="65" t="str">
        <f>IFERROR(__xludf.DUMMYFUNCTION("""COMPUTED_VALUE"""),"#15278")</f>
        <v>#15278</v>
      </c>
      <c r="C97" s="65" t="str">
        <f>IFERROR(__xludf.DUMMYFUNCTION("""COMPUTED_VALUE"""),"rebeccaburack@gmail.com")</f>
        <v>rebeccaburack@gmail.com</v>
      </c>
      <c r="D97" s="65">
        <f>IFERROR(__xludf.DUMMYFUNCTION("""COMPUTED_VALUE"""),1.6178996835E10)</f>
        <v>16178996835</v>
      </c>
      <c r="E97" s="65" t="str">
        <f>IFERROR(__xludf.DUMMYFUNCTION("""COMPUTED_VALUE"""),"Rebecca Burack")</f>
        <v>Rebecca Burack</v>
      </c>
      <c r="F97" s="65"/>
      <c r="G97" s="65" t="str">
        <f>IFERROR(__xludf.DUMMYFUNCTION("""COMPUTED_VALUE"""),"76 Bellevue Street")</f>
        <v>76 Bellevue Street</v>
      </c>
      <c r="H97" s="65" t="str">
        <f>IFERROR(__xludf.DUMMYFUNCTION("""COMPUTED_VALUE"""),"Appliance Rental")</f>
        <v>Appliance Rental</v>
      </c>
      <c r="I97" s="65" t="str">
        <f>IFERROR(__xludf.DUMMYFUNCTION("""COMPUTED_VALUE""")," Double-Door Mini Fridge")</f>
        <v> Double-Door Mini Fridge</v>
      </c>
      <c r="J97" s="65">
        <f>IFERROR(__xludf.DUMMYFUNCTION("""COMPUTED_VALUE"""),145.0)</f>
        <v>145</v>
      </c>
      <c r="K97" s="103">
        <f>IFERROR(__xludf.DUMMYFUNCTION("""COMPUTED_VALUE"""),45882.0)</f>
        <v>45882</v>
      </c>
      <c r="L97" s="65" t="str">
        <f>IFERROR(__xludf.DUMMYFUNCTION("""COMPUTED_VALUE"""),"Dardick  ")</f>
        <v>Dardick  </v>
      </c>
      <c r="M97" s="68" t="str">
        <f>IFERROR(__xludf.DUMMYFUNCTION("""COMPUTED_VALUE"""),"4408")</f>
        <v>4408</v>
      </c>
      <c r="N97" s="65"/>
      <c r="O97" s="65" t="b">
        <f>COUNTIF('Delivered Rentals'!A:A, B97) &gt; 0</f>
        <v>1</v>
      </c>
      <c r="P97" s="104"/>
    </row>
    <row r="98">
      <c r="A98" s="99" t="str">
        <f>IFERROR(__xludf.DUMMYFUNCTION("""COMPUTED_VALUE"""),"https://utrucking.com/admin/orders/5900954435772")</f>
        <v>https://utrucking.com/admin/orders/5900954435772</v>
      </c>
      <c r="B98" s="61" t="str">
        <f>IFERROR(__xludf.DUMMYFUNCTION("""COMPUTED_VALUE"""),"#15282")</f>
        <v>#15282</v>
      </c>
      <c r="C98" s="61"/>
      <c r="D98" s="61">
        <f>IFERROR(__xludf.DUMMYFUNCTION("""COMPUTED_VALUE"""),6.46734868E9)</f>
        <v>6467348680</v>
      </c>
      <c r="E98" s="61" t="str">
        <f>IFERROR(__xludf.DUMMYFUNCTION("""COMPUTED_VALUE"""),"Leah Shandler")</f>
        <v>Leah Shandler</v>
      </c>
      <c r="F98" s="61"/>
      <c r="G98" s="61" t="str">
        <f>IFERROR(__xludf.DUMMYFUNCTION("""COMPUTED_VALUE"""),"271 Fox Meadow Rd")</f>
        <v>271 Fox Meadow Rd</v>
      </c>
      <c r="H98" s="61" t="str">
        <f>IFERROR(__xludf.DUMMYFUNCTION("""COMPUTED_VALUE"""),"Appliance Rental")</f>
        <v>Appliance Rental</v>
      </c>
      <c r="I98" s="61" t="str">
        <f>IFERROR(__xludf.DUMMYFUNCTION("""COMPUTED_VALUE""")," Double-Door Mini Fridge + Microwave")</f>
        <v> Double-Door Mini Fridge + Microwave</v>
      </c>
      <c r="J98" s="61">
        <f>IFERROR(__xludf.DUMMYFUNCTION("""COMPUTED_VALUE"""),210.0)</f>
        <v>210</v>
      </c>
      <c r="K98" s="100">
        <f>IFERROR(__xludf.DUMMYFUNCTION("""COMPUTED_VALUE"""),45883.0)</f>
        <v>45883</v>
      </c>
      <c r="L98" s="61" t="str">
        <f>IFERROR(__xludf.DUMMYFUNCTION("""COMPUTED_VALUE"""),"Hitzeman  ")</f>
        <v>Hitzeman  </v>
      </c>
      <c r="M98" s="64" t="str">
        <f>IFERROR(__xludf.DUMMYFUNCTION("""COMPUTED_VALUE"""),"232-b")</f>
        <v>232-b</v>
      </c>
      <c r="N98" s="61"/>
      <c r="O98" s="61" t="b">
        <f>COUNTIF('Delivered Rentals'!A:A, B98) &gt; 0</f>
        <v>1</v>
      </c>
      <c r="P98" s="101"/>
    </row>
    <row r="99">
      <c r="A99" s="102" t="str">
        <f>IFERROR(__xludf.DUMMYFUNCTION("""COMPUTED_VALUE"""),"https://utrucking.com/admin/orders/5900996706492")</f>
        <v>https://utrucking.com/admin/orders/5900996706492</v>
      </c>
      <c r="B99" s="65" t="str">
        <f>IFERROR(__xludf.DUMMYFUNCTION("""COMPUTED_VALUE"""),"#15283")</f>
        <v>#15283</v>
      </c>
      <c r="C99" s="65" t="str">
        <f>IFERROR(__xludf.DUMMYFUNCTION("""COMPUTED_VALUE"""),"susanschober@comcast.net")</f>
        <v>susanschober@comcast.net</v>
      </c>
      <c r="D99" s="65">
        <f>IFERROR(__xludf.DUMMYFUNCTION("""COMPUTED_VALUE"""),3.128041544E9)</f>
        <v>3128041544</v>
      </c>
      <c r="E99" s="65" t="str">
        <f>IFERROR(__xludf.DUMMYFUNCTION("""COMPUTED_VALUE"""),"Susan Schober")</f>
        <v>Susan Schober</v>
      </c>
      <c r="F99" s="65"/>
      <c r="G99" s="65" t="str">
        <f>IFERROR(__xludf.DUMMYFUNCTION("""COMPUTED_VALUE"""),"1714 Asbury Avenue")</f>
        <v>1714 Asbury Avenue</v>
      </c>
      <c r="H99" s="65" t="str">
        <f>IFERROR(__xludf.DUMMYFUNCTION("""COMPUTED_VALUE"""),"Appliance Rental")</f>
        <v>Appliance Rental</v>
      </c>
      <c r="I99" s="65" t="str">
        <f>IFERROR(__xludf.DUMMYFUNCTION("""COMPUTED_VALUE""")," Double-Door Mini Fridge + Microwave")</f>
        <v> Double-Door Mini Fridge + Microwave</v>
      </c>
      <c r="J99" s="65">
        <f>IFERROR(__xludf.DUMMYFUNCTION("""COMPUTED_VALUE"""),210.0)</f>
        <v>210</v>
      </c>
      <c r="K99" s="103">
        <f>IFERROR(__xludf.DUMMYFUNCTION("""COMPUTED_VALUE"""),45883.0)</f>
        <v>45883</v>
      </c>
      <c r="L99" s="65" t="str">
        <f>IFERROR(__xludf.DUMMYFUNCTION("""COMPUTED_VALUE"""),"Umrath  ")</f>
        <v>Umrath  </v>
      </c>
      <c r="M99" s="68" t="str">
        <f>IFERROR(__xludf.DUMMYFUNCTION("""COMPUTED_VALUE"""),"2234")</f>
        <v>2234</v>
      </c>
      <c r="N99" s="65"/>
      <c r="O99" s="65" t="b">
        <f>COUNTIF('Delivered Rentals'!A:A, B99) &gt; 0</f>
        <v>1</v>
      </c>
      <c r="P99" s="104"/>
    </row>
    <row r="100">
      <c r="A100" s="99" t="str">
        <f>IFERROR(__xludf.DUMMYFUNCTION("""COMPUTED_VALUE"""),"https://utrucking.com/admin/orders/5901001392316")</f>
        <v>https://utrucking.com/admin/orders/5901001392316</v>
      </c>
      <c r="B100" s="61" t="str">
        <f>IFERROR(__xludf.DUMMYFUNCTION("""COMPUTED_VALUE"""),"#15284")</f>
        <v>#15284</v>
      </c>
      <c r="C100" s="61" t="str">
        <f>IFERROR(__xludf.DUMMYFUNCTION("""COMPUTED_VALUE"""),"talykaplan@gmail.com")</f>
        <v>talykaplan@gmail.com</v>
      </c>
      <c r="D100" s="61">
        <f>IFERROR(__xludf.DUMMYFUNCTION("""COMPUTED_VALUE"""),2.014077071E9)</f>
        <v>2014077071</v>
      </c>
      <c r="E100" s="61" t="str">
        <f>IFERROR(__xludf.DUMMYFUNCTION("""COMPUTED_VALUE"""),"Taly Kaplan")</f>
        <v>Taly Kaplan</v>
      </c>
      <c r="F100" s="61"/>
      <c r="G100" s="61" t="str">
        <f>IFERROR(__xludf.DUMMYFUNCTION("""COMPUTED_VALUE"""),"18 Rene Drive")</f>
        <v>18 Rene Drive</v>
      </c>
      <c r="H100" s="61" t="str">
        <f>IFERROR(__xludf.DUMMYFUNCTION("""COMPUTED_VALUE"""),"Appliance Rental")</f>
        <v>Appliance Rental</v>
      </c>
      <c r="I100" s="61" t="str">
        <f>IFERROR(__xludf.DUMMYFUNCTION("""COMPUTED_VALUE""")," Double-Door Mini Fridge + Microwave")</f>
        <v> Double-Door Mini Fridge + Microwave</v>
      </c>
      <c r="J100" s="61">
        <f>IFERROR(__xludf.DUMMYFUNCTION("""COMPUTED_VALUE"""),210.0)</f>
        <v>210</v>
      </c>
      <c r="K100" s="100">
        <f>IFERROR(__xludf.DUMMYFUNCTION("""COMPUTED_VALUE"""),45883.0)</f>
        <v>45883</v>
      </c>
      <c r="L100" s="61" t="str">
        <f>IFERROR(__xludf.DUMMYFUNCTION("""COMPUTED_VALUE"""),"House 21 (Alpha Epsilon Pi)  ")</f>
        <v>House 21 (Alpha Epsilon Pi)  </v>
      </c>
      <c r="M100" s="64" t="str">
        <f>IFERROR(__xludf.DUMMYFUNCTION("""COMPUTED_VALUE"""),"3081")</f>
        <v>3081</v>
      </c>
      <c r="N100" s="61"/>
      <c r="O100" s="61" t="b">
        <f>COUNTIF('Delivered Rentals'!A:A, B100) &gt; 0</f>
        <v>1</v>
      </c>
      <c r="P100" s="101"/>
    </row>
    <row r="101">
      <c r="A101" s="102" t="str">
        <f>IFERROR(__xludf.DUMMYFUNCTION("""COMPUTED_VALUE"""),"https://utrucking.com/admin/orders/5901173391548")</f>
        <v>https://utrucking.com/admin/orders/5901173391548</v>
      </c>
      <c r="B101" s="65" t="str">
        <f>IFERROR(__xludf.DUMMYFUNCTION("""COMPUTED_VALUE"""),"#15287")</f>
        <v>#15287</v>
      </c>
      <c r="C101" s="65" t="str">
        <f>IFERROR(__xludf.DUMMYFUNCTION("""COMPUTED_VALUE"""),"gabiphillips06@gmail.com")</f>
        <v>gabiphillips06@gmail.com</v>
      </c>
      <c r="D101" s="65">
        <f>IFERROR(__xludf.DUMMYFUNCTION("""COMPUTED_VALUE"""),5.038100524E9)</f>
        <v>5038100524</v>
      </c>
      <c r="E101" s="65" t="str">
        <f>IFERROR(__xludf.DUMMYFUNCTION("""COMPUTED_VALUE"""),"Elizabeth Phillips")</f>
        <v>Elizabeth Phillips</v>
      </c>
      <c r="F101" s="65"/>
      <c r="G101" s="65" t="str">
        <f>IFERROR(__xludf.DUMMYFUNCTION("""COMPUTED_VALUE"""),"6136 SW Luradel St")</f>
        <v>6136 SW Luradel St</v>
      </c>
      <c r="H101" s="65" t="str">
        <f>IFERROR(__xludf.DUMMYFUNCTION("""COMPUTED_VALUE"""),"Appliance Rental")</f>
        <v>Appliance Rental</v>
      </c>
      <c r="I101" s="65" t="str">
        <f>IFERROR(__xludf.DUMMYFUNCTION("""COMPUTED_VALUE""")," Double-Door Mini Fridge + Microwave")</f>
        <v> Double-Door Mini Fridge + Microwave</v>
      </c>
      <c r="J101" s="65">
        <f>IFERROR(__xludf.DUMMYFUNCTION("""COMPUTED_VALUE"""),210.0)</f>
        <v>210</v>
      </c>
      <c r="K101" s="103">
        <f>IFERROR(__xludf.DUMMYFUNCTION("""COMPUTED_VALUE"""),45883.0)</f>
        <v>45883</v>
      </c>
      <c r="L101" s="65" t="str">
        <f>IFERROR(__xludf.DUMMYFUNCTION("""COMPUTED_VALUE"""),"Hitzeman  ")</f>
        <v>Hitzeman  </v>
      </c>
      <c r="M101" s="68" t="str">
        <f>IFERROR(__xludf.DUMMYFUNCTION("""COMPUTED_VALUE"""),"142")</f>
        <v>142</v>
      </c>
      <c r="N101" s="65"/>
      <c r="O101" s="65" t="b">
        <f>COUNTIF('Delivered Rentals'!A:A, B101) &gt; 0</f>
        <v>1</v>
      </c>
      <c r="P101" s="104"/>
    </row>
    <row r="102">
      <c r="A102" s="99" t="str">
        <f>IFERROR(__xludf.DUMMYFUNCTION("""COMPUTED_VALUE"""),"https://utrucking.com/admin/orders/5901478101180")</f>
        <v>https://utrucking.com/admin/orders/5901478101180</v>
      </c>
      <c r="B102" s="61" t="str">
        <f>IFERROR(__xludf.DUMMYFUNCTION("""COMPUTED_VALUE"""),"#15288")</f>
        <v>#15288</v>
      </c>
      <c r="C102" s="61" t="str">
        <f>IFERROR(__xludf.DUMMYFUNCTION("""COMPUTED_VALUE"""),"sophia.hasan@icloud.com")</f>
        <v>sophia.hasan@icloud.com</v>
      </c>
      <c r="D102" s="61">
        <f>IFERROR(__xludf.DUMMYFUNCTION("""COMPUTED_VALUE"""),1.70825057E10)</f>
        <v>17082505700</v>
      </c>
      <c r="E102" s="61" t="str">
        <f>IFERROR(__xludf.DUMMYFUNCTION("""COMPUTED_VALUE"""),"Sophia Hasan")</f>
        <v>Sophia Hasan</v>
      </c>
      <c r="F102" s="61"/>
      <c r="G102" s="61" t="str">
        <f>IFERROR(__xludf.DUMMYFUNCTION("""COMPUTED_VALUE"""),"111 Singletree Road")</f>
        <v>111 Singletree Road</v>
      </c>
      <c r="H102" s="61" t="str">
        <f>IFERROR(__xludf.DUMMYFUNCTION("""COMPUTED_VALUE"""),"Appliance Rental")</f>
        <v>Appliance Rental</v>
      </c>
      <c r="I102" s="61" t="str">
        <f>IFERROR(__xludf.DUMMYFUNCTION("""COMPUTED_VALUE""")," Double-Door Mini Fridge + Microwave")</f>
        <v> Double-Door Mini Fridge + Microwave</v>
      </c>
      <c r="J102" s="61">
        <f>IFERROR(__xludf.DUMMYFUNCTION("""COMPUTED_VALUE"""),210.0)</f>
        <v>210</v>
      </c>
      <c r="K102" s="100">
        <f>IFERROR(__xludf.DUMMYFUNCTION("""COMPUTED_VALUE"""),45883.0)</f>
        <v>45883</v>
      </c>
      <c r="L102" s="61" t="str">
        <f>IFERROR(__xludf.DUMMYFUNCTION("""COMPUTED_VALUE"""),"Lee  ")</f>
        <v>Lee  </v>
      </c>
      <c r="M102" s="64" t="str">
        <f>IFERROR(__xludf.DUMMYFUNCTION("""COMPUTED_VALUE"""),"309")</f>
        <v>309</v>
      </c>
      <c r="N102" s="61"/>
      <c r="O102" s="61" t="b">
        <f>COUNTIF('Delivered Rentals'!A:A, B102) &gt; 0</f>
        <v>1</v>
      </c>
      <c r="P102" s="101"/>
    </row>
    <row r="103">
      <c r="A103" s="102" t="str">
        <f>IFERROR(__xludf.DUMMYFUNCTION("""COMPUTED_VALUE"""),"https://utrucking.com/admin/orders/5901515456700")</f>
        <v>https://utrucking.com/admin/orders/5901515456700</v>
      </c>
      <c r="B103" s="65" t="str">
        <f>IFERROR(__xludf.DUMMYFUNCTION("""COMPUTED_VALUE"""),"#15289")</f>
        <v>#15289</v>
      </c>
      <c r="C103" s="65" t="str">
        <f>IFERROR(__xludf.DUMMYFUNCTION("""COMPUTED_VALUE"""),"n.samson@wustl.edu")</f>
        <v>n.samson@wustl.edu</v>
      </c>
      <c r="D103" s="65">
        <f>IFERROR(__xludf.DUMMYFUNCTION("""COMPUTED_VALUE"""),9.176052406E9)</f>
        <v>9176052406</v>
      </c>
      <c r="E103" s="65" t="str">
        <f>IFERROR(__xludf.DUMMYFUNCTION("""COMPUTED_VALUE"""),"Arthur Nwobi")</f>
        <v>Arthur Nwobi</v>
      </c>
      <c r="F103" s="65"/>
      <c r="G103" s="65" t="str">
        <f>IFERROR(__xludf.DUMMYFUNCTION("""COMPUTED_VALUE"""),"347 Hawthorne Avenue")</f>
        <v>347 Hawthorne Avenue</v>
      </c>
      <c r="H103" s="65" t="str">
        <f>IFERROR(__xludf.DUMMYFUNCTION("""COMPUTED_VALUE"""),"Appliance Rental")</f>
        <v>Appliance Rental</v>
      </c>
      <c r="I103" s="65" t="str">
        <f>IFERROR(__xludf.DUMMYFUNCTION("""COMPUTED_VALUE""")," Standard Mini Fridge")</f>
        <v> Standard Mini Fridge</v>
      </c>
      <c r="J103" s="65">
        <f>IFERROR(__xludf.DUMMYFUNCTION("""COMPUTED_VALUE"""),115.0)</f>
        <v>115</v>
      </c>
      <c r="K103" s="103">
        <f>IFERROR(__xludf.DUMMYFUNCTION("""COMPUTED_VALUE"""),45852.0)</f>
        <v>45852</v>
      </c>
      <c r="L103" s="65" t="str">
        <f>IFERROR(__xludf.DUMMYFUNCTION("""COMPUTED_VALUE"""),"Hurd  ")</f>
        <v>Hurd  </v>
      </c>
      <c r="M103" s="68" t="str">
        <f>IFERROR(__xludf.DUMMYFUNCTION("""COMPUTED_VALUE"""),"111")</f>
        <v>111</v>
      </c>
      <c r="N103" s="65"/>
      <c r="O103" s="65" t="b">
        <f>COUNTIF('Delivered Rentals'!A:A, B103) &gt; 0</f>
        <v>1</v>
      </c>
      <c r="P103" s="104"/>
    </row>
    <row r="104">
      <c r="A104" s="99" t="str">
        <f>IFERROR(__xludf.DUMMYFUNCTION("""COMPUTED_VALUE"""),"https://utrucking.com/admin/orders/5901666615484")</f>
        <v>https://utrucking.com/admin/orders/5901666615484</v>
      </c>
      <c r="B104" s="61" t="str">
        <f>IFERROR(__xludf.DUMMYFUNCTION("""COMPUTED_VALUE"""),"#15292")</f>
        <v>#15292</v>
      </c>
      <c r="C104" s="61"/>
      <c r="D104" s="61">
        <f>IFERROR(__xludf.DUMMYFUNCTION("""COMPUTED_VALUE"""),6.176595918E9)</f>
        <v>6176595918</v>
      </c>
      <c r="E104" s="61" t="str">
        <f>IFERROR(__xludf.DUMMYFUNCTION("""COMPUTED_VALUE"""),"Barbara Hirsch")</f>
        <v>Barbara Hirsch</v>
      </c>
      <c r="F104" s="61"/>
      <c r="G104" s="61" t="str">
        <f>IFERROR(__xludf.DUMMYFUNCTION("""COMPUTED_VALUE"""),"12 Hamilton Rd")</f>
        <v>12 Hamilton Rd</v>
      </c>
      <c r="H104" s="61" t="str">
        <f>IFERROR(__xludf.DUMMYFUNCTION("""COMPUTED_VALUE"""),"Appliance Rental")</f>
        <v>Appliance Rental</v>
      </c>
      <c r="I104" s="61" t="str">
        <f>IFERROR(__xludf.DUMMYFUNCTION("""COMPUTED_VALUE""")," Standard Mini Fridge + Microwave")</f>
        <v> Standard Mini Fridge + Microwave</v>
      </c>
      <c r="J104" s="61">
        <f>IFERROR(__xludf.DUMMYFUNCTION("""COMPUTED_VALUE"""),180.0)</f>
        <v>180</v>
      </c>
      <c r="K104" s="100">
        <f>IFERROR(__xludf.DUMMYFUNCTION("""COMPUTED_VALUE"""),45883.0)</f>
        <v>45883</v>
      </c>
      <c r="L104" s="61" t="str">
        <f>IFERROR(__xludf.DUMMYFUNCTION("""COMPUTED_VALUE"""),"Dardick  ")</f>
        <v>Dardick  </v>
      </c>
      <c r="M104" s="64" t="str">
        <f>IFERROR(__xludf.DUMMYFUNCTION("""COMPUTED_VALUE"""),"2207")</f>
        <v>2207</v>
      </c>
      <c r="N104" s="61"/>
      <c r="O104" s="61" t="b">
        <f>COUNTIF('Delivered Rentals'!A:A, B104) &gt; 0</f>
        <v>1</v>
      </c>
      <c r="P104" s="101"/>
    </row>
    <row r="105">
      <c r="A105" s="102" t="str">
        <f>IFERROR(__xludf.DUMMYFUNCTION("""COMPUTED_VALUE"""),"https://utrucking.com/admin/orders/5901819445436")</f>
        <v>https://utrucking.com/admin/orders/5901819445436</v>
      </c>
      <c r="B105" s="65" t="str">
        <f>IFERROR(__xludf.DUMMYFUNCTION("""COMPUTED_VALUE"""),"#15294")</f>
        <v>#15294</v>
      </c>
      <c r="C105" s="65" t="str">
        <f>IFERROR(__xludf.DUMMYFUNCTION("""COMPUTED_VALUE"""),"jamesopollack@gmail.com")</f>
        <v>jamesopollack@gmail.com</v>
      </c>
      <c r="D105" s="65">
        <f>IFERROR(__xludf.DUMMYFUNCTION("""COMPUTED_VALUE"""),1.9176897822E10)</f>
        <v>19176897822</v>
      </c>
      <c r="E105" s="65" t="str">
        <f>IFERROR(__xludf.DUMMYFUNCTION("""COMPUTED_VALUE"""),"James Pollack")</f>
        <v>James Pollack</v>
      </c>
      <c r="F105" s="65"/>
      <c r="G105" s="65"/>
      <c r="H105" s="65" t="str">
        <f>IFERROR(__xludf.DUMMYFUNCTION("""COMPUTED_VALUE"""),"Appliance Rental")</f>
        <v>Appliance Rental</v>
      </c>
      <c r="I105" s="65" t="str">
        <f>IFERROR(__xludf.DUMMYFUNCTION("""COMPUTED_VALUE""")," Double-Door Mini Fridge + Microwave")</f>
        <v> Double-Door Mini Fridge + Microwave</v>
      </c>
      <c r="J105" s="65">
        <f>IFERROR(__xludf.DUMMYFUNCTION("""COMPUTED_VALUE"""),210.0)</f>
        <v>210</v>
      </c>
      <c r="K105" s="103">
        <f>IFERROR(__xludf.DUMMYFUNCTION("""COMPUTED_VALUE"""),45883.0)</f>
        <v>45883</v>
      </c>
      <c r="L105" s="65" t="str">
        <f>IFERROR(__xludf.DUMMYFUNCTION("""COMPUTED_VALUE"""),"Wheeler  ")</f>
        <v>Wheeler  </v>
      </c>
      <c r="M105" s="68" t="str">
        <f>IFERROR(__xludf.DUMMYFUNCTION("""COMPUTED_VALUE"""),"3104")</f>
        <v>3104</v>
      </c>
      <c r="N105" s="65"/>
      <c r="O105" s="65" t="b">
        <f>COUNTIF('Delivered Rentals'!A:A, B105) &gt; 0</f>
        <v>1</v>
      </c>
      <c r="P105" s="104"/>
    </row>
    <row r="106">
      <c r="A106" s="99" t="str">
        <f>IFERROR(__xludf.DUMMYFUNCTION("""COMPUTED_VALUE"""),"https://utrucking.com/admin/orders/5902055866556")</f>
        <v>https://utrucking.com/admin/orders/5902055866556</v>
      </c>
      <c r="B106" s="61" t="str">
        <f>IFERROR(__xludf.DUMMYFUNCTION("""COMPUTED_VALUE"""),"#15296")</f>
        <v>#15296</v>
      </c>
      <c r="C106" s="61" t="str">
        <f>IFERROR(__xludf.DUMMYFUNCTION("""COMPUTED_VALUE"""),"jungmin.yu@gmail.com")</f>
        <v>jungmin.yu@gmail.com</v>
      </c>
      <c r="D106" s="61">
        <f>IFERROR(__xludf.DUMMYFUNCTION("""COMPUTED_VALUE"""),6.502247807E9)</f>
        <v>6502247807</v>
      </c>
      <c r="E106" s="61" t="str">
        <f>IFERROR(__xludf.DUMMYFUNCTION("""COMPUTED_VALUE"""),"Jungmin Yu")</f>
        <v>Jungmin Yu</v>
      </c>
      <c r="F106" s="61"/>
      <c r="G106" s="61"/>
      <c r="H106" s="61" t="str">
        <f>IFERROR(__xludf.DUMMYFUNCTION("""COMPUTED_VALUE"""),"Appliance Rental")</f>
        <v>Appliance Rental</v>
      </c>
      <c r="I106" s="61" t="str">
        <f>IFERROR(__xludf.DUMMYFUNCTION("""COMPUTED_VALUE""")," Standard Mini Fridge")</f>
        <v> Standard Mini Fridge</v>
      </c>
      <c r="J106" s="61">
        <f>IFERROR(__xludf.DUMMYFUNCTION("""COMPUTED_VALUE"""),115.0)</f>
        <v>115</v>
      </c>
      <c r="K106" s="100">
        <f>IFERROR(__xludf.DUMMYFUNCTION("""COMPUTED_VALUE"""),45883.0)</f>
        <v>45883</v>
      </c>
      <c r="L106" s="61" t="str">
        <f>IFERROR(__xludf.DUMMYFUNCTION("""COMPUTED_VALUE"""),"Koenig  ")</f>
        <v>Koenig  </v>
      </c>
      <c r="M106" s="64" t="str">
        <f>IFERROR(__xludf.DUMMYFUNCTION("""COMPUTED_VALUE"""),"4405-a")</f>
        <v>4405-a</v>
      </c>
      <c r="N106" s="61"/>
      <c r="O106" s="61" t="b">
        <f>COUNTIF('Delivered Rentals'!A:A, B106) &gt; 0</f>
        <v>1</v>
      </c>
      <c r="P106" s="101"/>
    </row>
    <row r="107">
      <c r="A107" s="102" t="str">
        <f>IFERROR(__xludf.DUMMYFUNCTION("""COMPUTED_VALUE"""),"https://utrucking.com/admin/orders/5902278230204")</f>
        <v>https://utrucking.com/admin/orders/5902278230204</v>
      </c>
      <c r="B107" s="65" t="str">
        <f>IFERROR(__xludf.DUMMYFUNCTION("""COMPUTED_VALUE"""),"#15300")</f>
        <v>#15300</v>
      </c>
      <c r="C107" s="65" t="str">
        <f>IFERROR(__xludf.DUMMYFUNCTION("""COMPUTED_VALUE"""),"tylero87@icloud.com")</f>
        <v>tylero87@icloud.com</v>
      </c>
      <c r="D107" s="65">
        <f>IFERROR(__xludf.DUMMYFUNCTION("""COMPUTED_VALUE"""),5.169455306E9)</f>
        <v>5169455306</v>
      </c>
      <c r="E107" s="65" t="str">
        <f>IFERROR(__xludf.DUMMYFUNCTION("""COMPUTED_VALUE"""),"Tyler Osit")</f>
        <v>Tyler Osit</v>
      </c>
      <c r="F107" s="65"/>
      <c r="G107" s="65"/>
      <c r="H107" s="65" t="str">
        <f>IFERROR(__xludf.DUMMYFUNCTION("""COMPUTED_VALUE"""),"Appliance Rental")</f>
        <v>Appliance Rental</v>
      </c>
      <c r="I107" s="65" t="str">
        <f>IFERROR(__xludf.DUMMYFUNCTION("""COMPUTED_VALUE""")," Double-Door Mini Fridge + Microwave")</f>
        <v> Double-Door Mini Fridge + Microwave</v>
      </c>
      <c r="J107" s="65">
        <f>IFERROR(__xludf.DUMMYFUNCTION("""COMPUTED_VALUE"""),210.0)</f>
        <v>210</v>
      </c>
      <c r="K107" s="103">
        <f>IFERROR(__xludf.DUMMYFUNCTION("""COMPUTED_VALUE"""),45883.0)</f>
        <v>45883</v>
      </c>
      <c r="L107" s="65" t="str">
        <f>IFERROR(__xludf.DUMMYFUNCTION("""COMPUTED_VALUE"""),"Rutledge  ")</f>
        <v>Rutledge  </v>
      </c>
      <c r="M107" s="68" t="str">
        <f>IFERROR(__xludf.DUMMYFUNCTION("""COMPUTED_VALUE"""),"241 a")</f>
        <v>241 a</v>
      </c>
      <c r="N107" s="65"/>
      <c r="O107" s="65" t="b">
        <f>COUNTIF('Delivered Rentals'!A:A, B107) &gt; 0</f>
        <v>1</v>
      </c>
      <c r="P107" s="104"/>
    </row>
    <row r="108">
      <c r="A108" s="99" t="str">
        <f>IFERROR(__xludf.DUMMYFUNCTION("""COMPUTED_VALUE"""),"https://utrucking.com/admin/orders/5902691008700")</f>
        <v>https://utrucking.com/admin/orders/5902691008700</v>
      </c>
      <c r="B108" s="61" t="str">
        <f>IFERROR(__xludf.DUMMYFUNCTION("""COMPUTED_VALUE"""),"#15308")</f>
        <v>#15308</v>
      </c>
      <c r="C108" s="61" t="str">
        <f>IFERROR(__xludf.DUMMYFUNCTION("""COMPUTED_VALUE"""),"rickyudell@wustl.edu")</f>
        <v>rickyudell@wustl.edu</v>
      </c>
      <c r="D108" s="61">
        <f>IFERROR(__xludf.DUMMYFUNCTION("""COMPUTED_VALUE"""),2.152871001E9)</f>
        <v>2152871001</v>
      </c>
      <c r="E108" s="61" t="str">
        <f>IFERROR(__xludf.DUMMYFUNCTION("""COMPUTED_VALUE"""),"Michael Yudell")</f>
        <v>Michael Yudell</v>
      </c>
      <c r="F108" s="61"/>
      <c r="G108" s="61"/>
      <c r="H108" s="61" t="str">
        <f>IFERROR(__xludf.DUMMYFUNCTION("""COMPUTED_VALUE"""),"Appliance Rental")</f>
        <v>Appliance Rental</v>
      </c>
      <c r="I108" s="61" t="str">
        <f>IFERROR(__xludf.DUMMYFUNCTION("""COMPUTED_VALUE""")," Double-Door Mini Fridge")</f>
        <v> Double-Door Mini Fridge</v>
      </c>
      <c r="J108" s="61">
        <f>IFERROR(__xludf.DUMMYFUNCTION("""COMPUTED_VALUE"""),145.0)</f>
        <v>145</v>
      </c>
      <c r="K108" s="100">
        <f>IFERROR(__xludf.DUMMYFUNCTION("""COMPUTED_VALUE"""),45883.0)</f>
        <v>45883</v>
      </c>
      <c r="L108" s="61" t="str">
        <f>IFERROR(__xludf.DUMMYFUNCTION("""COMPUTED_VALUE"""),"Myers  ")</f>
        <v>Myers  </v>
      </c>
      <c r="M108" s="64" t="str">
        <f>IFERROR(__xludf.DUMMYFUNCTION("""COMPUTED_VALUE"""),"331")</f>
        <v>331</v>
      </c>
      <c r="N108" s="61"/>
      <c r="O108" s="61" t="b">
        <f>COUNTIF('Delivered Rentals'!A:A, B108) &gt; 0</f>
        <v>1</v>
      </c>
      <c r="P108" s="101"/>
    </row>
    <row r="109">
      <c r="A109" s="102" t="str">
        <f>IFERROR(__xludf.DUMMYFUNCTION("""COMPUTED_VALUE"""),"https://utrucking.com/admin/orders/5902695235772")</f>
        <v>https://utrucking.com/admin/orders/5902695235772</v>
      </c>
      <c r="B109" s="65" t="str">
        <f>IFERROR(__xludf.DUMMYFUNCTION("""COMPUTED_VALUE"""),"#15309")</f>
        <v>#15309</v>
      </c>
      <c r="C109" s="65" t="str">
        <f>IFERROR(__xludf.DUMMYFUNCTION("""COMPUTED_VALUE"""),"ndecherney@gmail.com")</f>
        <v>ndecherney@gmail.com</v>
      </c>
      <c r="D109" s="65">
        <f>IFERROR(__xludf.DUMMYFUNCTION("""COMPUTED_VALUE"""),6.504749188E9)</f>
        <v>6504749188</v>
      </c>
      <c r="E109" s="65" t="str">
        <f>IFERROR(__xludf.DUMMYFUNCTION("""COMPUTED_VALUE"""),"Natalie DeCherney")</f>
        <v>Natalie DeCherney</v>
      </c>
      <c r="F109" s="65"/>
      <c r="G109" s="65"/>
      <c r="H109" s="65" t="str">
        <f>IFERROR(__xludf.DUMMYFUNCTION("""COMPUTED_VALUE"""),"Appliance Rental")</f>
        <v>Appliance Rental</v>
      </c>
      <c r="I109" s="65" t="str">
        <f>IFERROR(__xludf.DUMMYFUNCTION("""COMPUTED_VALUE""")," Double-Door Mini Fridge + Microwave")</f>
        <v> Double-Door Mini Fridge + Microwave</v>
      </c>
      <c r="J109" s="65">
        <f>IFERROR(__xludf.DUMMYFUNCTION("""COMPUTED_VALUE"""),210.0)</f>
        <v>210</v>
      </c>
      <c r="K109" s="103">
        <f>IFERROR(__xludf.DUMMYFUNCTION("""COMPUTED_VALUE"""),45883.0)</f>
        <v>45883</v>
      </c>
      <c r="L109" s="65" t="str">
        <f>IFERROR(__xludf.DUMMYFUNCTION("""COMPUTED_VALUE"""),"Umrath  ")</f>
        <v>Umrath  </v>
      </c>
      <c r="M109" s="68" t="str">
        <f>IFERROR(__xludf.DUMMYFUNCTION("""COMPUTED_VALUE"""),"1239")</f>
        <v>1239</v>
      </c>
      <c r="N109" s="65"/>
      <c r="O109" s="65" t="b">
        <f>COUNTIF('Delivered Rentals'!A:A, B109) &gt; 0</f>
        <v>1</v>
      </c>
      <c r="P109" s="104"/>
    </row>
    <row r="110">
      <c r="A110" s="99" t="str">
        <f>IFERROR(__xludf.DUMMYFUNCTION("""COMPUTED_VALUE"""),"https://utrucking.com/admin/orders/5902817329340")</f>
        <v>https://utrucking.com/admin/orders/5902817329340</v>
      </c>
      <c r="B110" s="61" t="str">
        <f>IFERROR(__xludf.DUMMYFUNCTION("""COMPUTED_VALUE"""),"#15311")</f>
        <v>#15311</v>
      </c>
      <c r="C110" s="61" t="str">
        <f>IFERROR(__xludf.DUMMYFUNCTION("""COMPUTED_VALUE"""),"navelisingh123@gmail.com")</f>
        <v>navelisingh123@gmail.com</v>
      </c>
      <c r="D110" s="61">
        <f>IFERROR(__xludf.DUMMYFUNCTION("""COMPUTED_VALUE"""),6.504005711E9)</f>
        <v>6504005711</v>
      </c>
      <c r="E110" s="61" t="str">
        <f>IFERROR(__xludf.DUMMYFUNCTION("""COMPUTED_VALUE"""),"Naveli Singh")</f>
        <v>Naveli Singh</v>
      </c>
      <c r="F110" s="61"/>
      <c r="G110" s="61"/>
      <c r="H110" s="61" t="str">
        <f>IFERROR(__xludf.DUMMYFUNCTION("""COMPUTED_VALUE"""),"Appliance Rental")</f>
        <v>Appliance Rental</v>
      </c>
      <c r="I110" s="61" t="str">
        <f>IFERROR(__xludf.DUMMYFUNCTION("""COMPUTED_VALUE""")," Double-Door Mini Fridge + Microwave")</f>
        <v> Double-Door Mini Fridge + Microwave</v>
      </c>
      <c r="J110" s="61">
        <f>IFERROR(__xludf.DUMMYFUNCTION("""COMPUTED_VALUE"""),210.0)</f>
        <v>210</v>
      </c>
      <c r="K110" s="100">
        <f>IFERROR(__xludf.DUMMYFUNCTION("""COMPUTED_VALUE"""),45883.0)</f>
        <v>45883</v>
      </c>
      <c r="L110" s="61" t="str">
        <f>IFERROR(__xludf.DUMMYFUNCTION("""COMPUTED_VALUE"""),"Park  ")</f>
        <v>Park  </v>
      </c>
      <c r="M110" s="64" t="str">
        <f>IFERROR(__xludf.DUMMYFUNCTION("""COMPUTED_VALUE"""),"481")</f>
        <v>481</v>
      </c>
      <c r="N110" s="61"/>
      <c r="O110" s="61" t="b">
        <f>COUNTIF('Delivered Rentals'!A:A, B110) &gt; 0</f>
        <v>1</v>
      </c>
      <c r="P110" s="101"/>
    </row>
    <row r="111">
      <c r="A111" s="102" t="str">
        <f>IFERROR(__xludf.DUMMYFUNCTION("""COMPUTED_VALUE"""),"https://utrucking.com/admin/orders/5903479177404")</f>
        <v>https://utrucking.com/admin/orders/5903479177404</v>
      </c>
      <c r="B111" s="65" t="str">
        <f>IFERROR(__xludf.DUMMYFUNCTION("""COMPUTED_VALUE"""),"#15317")</f>
        <v>#15317</v>
      </c>
      <c r="C111" s="65" t="str">
        <f>IFERROR(__xludf.DUMMYFUNCTION("""COMPUTED_VALUE"""),"rpallera@comcast.net")</f>
        <v>rpallera@comcast.net</v>
      </c>
      <c r="D111" s="65">
        <f>IFERROR(__xludf.DUMMYFUNCTION("""COMPUTED_VALUE"""),1.9014977219E10)</f>
        <v>19014977219</v>
      </c>
      <c r="E111" s="65" t="str">
        <f>IFERROR(__xludf.DUMMYFUNCTION("""COMPUTED_VALUE"""),"Robyn Pallera")</f>
        <v>Robyn Pallera</v>
      </c>
      <c r="F111" s="65"/>
      <c r="G111" s="65"/>
      <c r="H111" s="65" t="str">
        <f>IFERROR(__xludf.DUMMYFUNCTION("""COMPUTED_VALUE"""),"Appliance Rental")</f>
        <v>Appliance Rental</v>
      </c>
      <c r="I111" s="65" t="str">
        <f>IFERROR(__xludf.DUMMYFUNCTION("""COMPUTED_VALUE""")," Double-Door Mini Fridge")</f>
        <v> Double-Door Mini Fridge</v>
      </c>
      <c r="J111" s="65">
        <f>IFERROR(__xludf.DUMMYFUNCTION("""COMPUTED_VALUE"""),145.0)</f>
        <v>145</v>
      </c>
      <c r="K111" s="103">
        <f>IFERROR(__xludf.DUMMYFUNCTION("""COMPUTED_VALUE"""),45883.0)</f>
        <v>45883</v>
      </c>
      <c r="L111" s="65" t="str">
        <f>IFERROR(__xludf.DUMMYFUNCTION("""COMPUTED_VALUE"""),"Myers  ")</f>
        <v>Myers  </v>
      </c>
      <c r="M111" s="68" t="str">
        <f>IFERROR(__xludf.DUMMYFUNCTION("""COMPUTED_VALUE"""),"413-B")</f>
        <v>413-B</v>
      </c>
      <c r="N111" s="65"/>
      <c r="O111" s="65" t="b">
        <f>COUNTIF('Delivered Rentals'!A:A, B111) &gt; 0</f>
        <v>1</v>
      </c>
      <c r="P111" s="104"/>
    </row>
    <row r="112">
      <c r="A112" s="99" t="str">
        <f>IFERROR(__xludf.DUMMYFUNCTION("""COMPUTED_VALUE"""),"https://utrucking.com/admin/orders/5903657599164")</f>
        <v>https://utrucking.com/admin/orders/5903657599164</v>
      </c>
      <c r="B112" s="61" t="str">
        <f>IFERROR(__xludf.DUMMYFUNCTION("""COMPUTED_VALUE"""),"#15318")</f>
        <v>#15318</v>
      </c>
      <c r="C112" s="61" t="str">
        <f>IFERROR(__xludf.DUMMYFUNCTION("""COMPUTED_VALUE"""),"k.i.rodriguez@wustl.edu")</f>
        <v>k.i.rodriguez@wustl.edu</v>
      </c>
      <c r="D112" s="61">
        <f>IFERROR(__xludf.DUMMYFUNCTION("""COMPUTED_VALUE"""),4.752832419E9)</f>
        <v>4752832419</v>
      </c>
      <c r="E112" s="61" t="str">
        <f>IFERROR(__xludf.DUMMYFUNCTION("""COMPUTED_VALUE"""),"Kate Rodriguez")</f>
        <v>Kate Rodriguez</v>
      </c>
      <c r="F112" s="61"/>
      <c r="G112" s="61"/>
      <c r="H112" s="61" t="str">
        <f>IFERROR(__xludf.DUMMYFUNCTION("""COMPUTED_VALUE"""),"Appliance Rental")</f>
        <v>Appliance Rental</v>
      </c>
      <c r="I112" s="61" t="str">
        <f>IFERROR(__xludf.DUMMYFUNCTION("""COMPUTED_VALUE""")," Double-Door Mini Fridge + Microwave")</f>
        <v> Double-Door Mini Fridge + Microwave</v>
      </c>
      <c r="J112" s="61">
        <f>IFERROR(__xludf.DUMMYFUNCTION("""COMPUTED_VALUE"""),210.0)</f>
        <v>210</v>
      </c>
      <c r="K112" s="100">
        <f>IFERROR(__xludf.DUMMYFUNCTION("""COMPUTED_VALUE"""),45883.0)</f>
        <v>45883</v>
      </c>
      <c r="L112" s="61" t="str">
        <f>IFERROR(__xludf.DUMMYFUNCTION("""COMPUTED_VALUE"""),"Koenig  ")</f>
        <v>Koenig  </v>
      </c>
      <c r="M112" s="64" t="str">
        <f>IFERROR(__xludf.DUMMYFUNCTION("""COMPUTED_VALUE"""),"4410")</f>
        <v>4410</v>
      </c>
      <c r="N112" s="61"/>
      <c r="O112" s="61" t="b">
        <f>COUNTIF('Delivered Rentals'!A:A, B112) &gt; 0</f>
        <v>1</v>
      </c>
      <c r="P112" s="101"/>
    </row>
    <row r="113">
      <c r="A113" s="102" t="str">
        <f>IFERROR(__xludf.DUMMYFUNCTION("""COMPUTED_VALUE"""),"https://utrucking.com/admin/orders/5903780315324")</f>
        <v>https://utrucking.com/admin/orders/5903780315324</v>
      </c>
      <c r="B113" s="65" t="str">
        <f>IFERROR(__xludf.DUMMYFUNCTION("""COMPUTED_VALUE"""),"#15323")</f>
        <v>#15323</v>
      </c>
      <c r="C113" s="65"/>
      <c r="D113" s="65">
        <f>IFERROR(__xludf.DUMMYFUNCTION("""COMPUTED_VALUE"""),7.732945882E9)</f>
        <v>7732945882</v>
      </c>
      <c r="E113" s="65" t="str">
        <f>IFERROR(__xludf.DUMMYFUNCTION("""COMPUTED_VALUE"""),"Karen Ebroon")</f>
        <v>Karen Ebroon</v>
      </c>
      <c r="F113" s="65"/>
      <c r="G113" s="65"/>
      <c r="H113" s="65" t="str">
        <f>IFERROR(__xludf.DUMMYFUNCTION("""COMPUTED_VALUE"""),"Appliance Rental")</f>
        <v>Appliance Rental</v>
      </c>
      <c r="I113" s="65" t="str">
        <f>IFERROR(__xludf.DUMMYFUNCTION("""COMPUTED_VALUE""")," Standard Mini Fridge")</f>
        <v> Standard Mini Fridge</v>
      </c>
      <c r="J113" s="65">
        <f>IFERROR(__xludf.DUMMYFUNCTION("""COMPUTED_VALUE"""),115.0)</f>
        <v>115</v>
      </c>
      <c r="K113" s="103">
        <f>IFERROR(__xludf.DUMMYFUNCTION("""COMPUTED_VALUE"""),45883.0)</f>
        <v>45883</v>
      </c>
      <c r="L113" s="65" t="str">
        <f>IFERROR(__xludf.DUMMYFUNCTION("""COMPUTED_VALUE"""),"Lien  ")</f>
        <v>Lien  </v>
      </c>
      <c r="M113" s="68" t="str">
        <f>IFERROR(__xludf.DUMMYFUNCTION("""COMPUTED_VALUE"""),"3329")</f>
        <v>3329</v>
      </c>
      <c r="N113" s="65"/>
      <c r="O113" s="65" t="b">
        <f>COUNTIF('Delivered Rentals'!A:A, B113) &gt; 0</f>
        <v>1</v>
      </c>
      <c r="P113" s="104"/>
    </row>
    <row r="114">
      <c r="A114" s="99" t="str">
        <f>IFERROR(__xludf.DUMMYFUNCTION("""COMPUTED_VALUE"""),"https://utrucking.com/admin/orders/5903890022588")</f>
        <v>https://utrucking.com/admin/orders/5903890022588</v>
      </c>
      <c r="B114" s="61" t="str">
        <f>IFERROR(__xludf.DUMMYFUNCTION("""COMPUTED_VALUE"""),"#15325")</f>
        <v>#15325</v>
      </c>
      <c r="C114" s="61" t="str">
        <f>IFERROR(__xludf.DUMMYFUNCTION("""COMPUTED_VALUE"""),"katiefung11@gmail.com")</f>
        <v>katiefung11@gmail.com</v>
      </c>
      <c r="D114" s="61">
        <f>IFERROR(__xludf.DUMMYFUNCTION("""COMPUTED_VALUE"""),6.282134584E9)</f>
        <v>6282134584</v>
      </c>
      <c r="E114" s="61" t="str">
        <f>IFERROR(__xludf.DUMMYFUNCTION("""COMPUTED_VALUE"""),"Katie Fung")</f>
        <v>Katie Fung</v>
      </c>
      <c r="F114" s="61"/>
      <c r="G114" s="61"/>
      <c r="H114" s="61" t="str">
        <f>IFERROR(__xludf.DUMMYFUNCTION("""COMPUTED_VALUE"""),"Appliance Rental")</f>
        <v>Appliance Rental</v>
      </c>
      <c r="I114" s="61" t="str">
        <f>IFERROR(__xludf.DUMMYFUNCTION("""COMPUTED_VALUE""")," Double-Door Mini Fridge + Microwave")</f>
        <v> Double-Door Mini Fridge + Microwave</v>
      </c>
      <c r="J114" s="61">
        <f>IFERROR(__xludf.DUMMYFUNCTION("""COMPUTED_VALUE"""),210.0)</f>
        <v>210</v>
      </c>
      <c r="K114" s="100">
        <f>IFERROR(__xludf.DUMMYFUNCTION("""COMPUTED_VALUE"""),45883.0)</f>
        <v>45883</v>
      </c>
      <c r="L114" s="61" t="str">
        <f>IFERROR(__xludf.DUMMYFUNCTION("""COMPUTED_VALUE"""),"Park  ")</f>
        <v>Park  </v>
      </c>
      <c r="M114" s="64" t="str">
        <f>IFERROR(__xludf.DUMMYFUNCTION("""COMPUTED_VALUE"""),"392")</f>
        <v>392</v>
      </c>
      <c r="N114" s="61"/>
      <c r="O114" s="61" t="b">
        <f>COUNTIF('Delivered Rentals'!A:A, B114) &gt; 0</f>
        <v>1</v>
      </c>
      <c r="P114" s="101"/>
    </row>
    <row r="115">
      <c r="A115" s="102" t="str">
        <f>IFERROR(__xludf.DUMMYFUNCTION("""COMPUTED_VALUE"""),"https://utrucking.com/admin/orders/5904210755772")</f>
        <v>https://utrucking.com/admin/orders/5904210755772</v>
      </c>
      <c r="B115" s="65" t="str">
        <f>IFERROR(__xludf.DUMMYFUNCTION("""COMPUTED_VALUE"""),"#15329")</f>
        <v>#15329</v>
      </c>
      <c r="C115" s="65" t="str">
        <f>IFERROR(__xludf.DUMMYFUNCTION("""COMPUTED_VALUE"""),"Leia.karczmer@gmail.com")</f>
        <v>Leia.karczmer@gmail.com</v>
      </c>
      <c r="D115" s="65">
        <f>IFERROR(__xludf.DUMMYFUNCTION("""COMPUTED_VALUE"""),1.646745612E10)</f>
        <v>16467456120</v>
      </c>
      <c r="E115" s="65" t="str">
        <f>IFERROR(__xludf.DUMMYFUNCTION("""COMPUTED_VALUE"""),"Leia Karczmer")</f>
        <v>Leia Karczmer</v>
      </c>
      <c r="F115" s="65"/>
      <c r="G115" s="65"/>
      <c r="H115" s="65" t="str">
        <f>IFERROR(__xludf.DUMMYFUNCTION("""COMPUTED_VALUE"""),"Appliance Rental")</f>
        <v>Appliance Rental</v>
      </c>
      <c r="I115" s="65" t="str">
        <f>IFERROR(__xludf.DUMMYFUNCTION("""COMPUTED_VALUE""")," Double-Door Mini Fridge + Microwave")</f>
        <v> Double-Door Mini Fridge + Microwave</v>
      </c>
      <c r="J115" s="65">
        <f>IFERROR(__xludf.DUMMYFUNCTION("""COMPUTED_VALUE"""),210.0)</f>
        <v>210</v>
      </c>
      <c r="K115" s="103">
        <f>IFERROR(__xludf.DUMMYFUNCTION("""COMPUTED_VALUE"""),45883.0)</f>
        <v>45883</v>
      </c>
      <c r="L115" s="65" t="str">
        <f>IFERROR(__xludf.DUMMYFUNCTION("""COMPUTED_VALUE"""),"Danforth  ")</f>
        <v>Danforth  </v>
      </c>
      <c r="M115" s="68" t="str">
        <f>IFERROR(__xludf.DUMMYFUNCTION("""COMPUTED_VALUE"""),"2221")</f>
        <v>2221</v>
      </c>
      <c r="N115" s="65"/>
      <c r="O115" s="65" t="b">
        <f>COUNTIF('Delivered Rentals'!A:A, B115) &gt; 0</f>
        <v>1</v>
      </c>
      <c r="P115" s="104"/>
    </row>
    <row r="116">
      <c r="A116" s="99" t="str">
        <f>IFERROR(__xludf.DUMMYFUNCTION("""COMPUTED_VALUE"""),"https://utrucking.com/admin/orders/5904293560508")</f>
        <v>https://utrucking.com/admin/orders/5904293560508</v>
      </c>
      <c r="B116" s="61" t="str">
        <f>IFERROR(__xludf.DUMMYFUNCTION("""COMPUTED_VALUE"""),"#15330")</f>
        <v>#15330</v>
      </c>
      <c r="C116" s="61" t="str">
        <f>IFERROR(__xludf.DUMMYFUNCTION("""COMPUTED_VALUE"""),"dolan.dana@gmail.com")</f>
        <v>dolan.dana@gmail.com</v>
      </c>
      <c r="D116" s="61">
        <f>IFERROR(__xludf.DUMMYFUNCTION("""COMPUTED_VALUE"""),3.126155109E9)</f>
        <v>3126155109</v>
      </c>
      <c r="E116" s="61" t="str">
        <f>IFERROR(__xludf.DUMMYFUNCTION("""COMPUTED_VALUE"""),"Dana Dolan")</f>
        <v>Dana Dolan</v>
      </c>
      <c r="F116" s="61"/>
      <c r="G116" s="61"/>
      <c r="H116" s="61" t="str">
        <f>IFERROR(__xludf.DUMMYFUNCTION("""COMPUTED_VALUE"""),"Appliance Rental")</f>
        <v>Appliance Rental</v>
      </c>
      <c r="I116" s="61" t="str">
        <f>IFERROR(__xludf.DUMMYFUNCTION("""COMPUTED_VALUE""")," Double-Door Mini Fridge + Microwave")</f>
        <v> Double-Door Mini Fridge + Microwave</v>
      </c>
      <c r="J116" s="61">
        <f>IFERROR(__xludf.DUMMYFUNCTION("""COMPUTED_VALUE"""),210.0)</f>
        <v>210</v>
      </c>
      <c r="K116" s="100">
        <f>IFERROR(__xludf.DUMMYFUNCTION("""COMPUTED_VALUE"""),45883.0)</f>
        <v>45883</v>
      </c>
      <c r="L116" s="61" t="str">
        <f>IFERROR(__xludf.DUMMYFUNCTION("""COMPUTED_VALUE"""),"Umrath  ")</f>
        <v>Umrath  </v>
      </c>
      <c r="M116" s="64" t="str">
        <f>IFERROR(__xludf.DUMMYFUNCTION("""COMPUTED_VALUE"""),"4423")</f>
        <v>4423</v>
      </c>
      <c r="N116" s="61"/>
      <c r="O116" s="61" t="b">
        <f>COUNTIF('Delivered Rentals'!A:A, B116) &gt; 0</f>
        <v>1</v>
      </c>
      <c r="P116" s="101"/>
    </row>
    <row r="117">
      <c r="A117" s="102" t="str">
        <f>IFERROR(__xludf.DUMMYFUNCTION("""COMPUTED_VALUE"""),"https://utrucking.com/admin/orders/5904294478012")</f>
        <v>https://utrucking.com/admin/orders/5904294478012</v>
      </c>
      <c r="B117" s="65" t="str">
        <f>IFERROR(__xludf.DUMMYFUNCTION("""COMPUTED_VALUE"""),"#15331")</f>
        <v>#15331</v>
      </c>
      <c r="C117" s="65" t="str">
        <f>IFERROR(__xludf.DUMMYFUNCTION("""COMPUTED_VALUE"""),"abigail.j@wustl.edu")</f>
        <v>abigail.j@wustl.edu</v>
      </c>
      <c r="D117" s="65">
        <f>IFERROR(__xludf.DUMMYFUNCTION("""COMPUTED_VALUE"""),1.4049987511E10)</f>
        <v>14049987511</v>
      </c>
      <c r="E117" s="65" t="str">
        <f>IFERROR(__xludf.DUMMYFUNCTION("""COMPUTED_VALUE"""),"abigail johnson")</f>
        <v>abigail johnson</v>
      </c>
      <c r="F117" s="65"/>
      <c r="G117" s="65"/>
      <c r="H117" s="65" t="str">
        <f>IFERROR(__xludf.DUMMYFUNCTION("""COMPUTED_VALUE"""),"Appliance Rental")</f>
        <v>Appliance Rental</v>
      </c>
      <c r="I117" s="65" t="str">
        <f>IFERROR(__xludf.DUMMYFUNCTION("""COMPUTED_VALUE""")," Double-Door Mini Fridge")</f>
        <v> Double-Door Mini Fridge</v>
      </c>
      <c r="J117" s="65">
        <f>IFERROR(__xludf.DUMMYFUNCTION("""COMPUTED_VALUE"""),145.0)</f>
        <v>145</v>
      </c>
      <c r="K117" s="103">
        <f>IFERROR(__xludf.DUMMYFUNCTION("""COMPUTED_VALUE"""),45883.0)</f>
        <v>45883</v>
      </c>
      <c r="L117" s="65" t="str">
        <f>IFERROR(__xludf.DUMMYFUNCTION("""COMPUTED_VALUE"""),"Beaumont  ")</f>
        <v>Beaumont  </v>
      </c>
      <c r="M117" s="68" t="str">
        <f>IFERROR(__xludf.DUMMYFUNCTION("""COMPUTED_VALUE"""),"121")</f>
        <v>121</v>
      </c>
      <c r="N117" s="65"/>
      <c r="O117" s="65" t="b">
        <f>COUNTIF('Delivered Rentals'!A:A, B117) &gt; 0</f>
        <v>1</v>
      </c>
      <c r="P117" s="104"/>
    </row>
    <row r="118">
      <c r="A118" s="99" t="str">
        <f>IFERROR(__xludf.DUMMYFUNCTION("""COMPUTED_VALUE"""),"https://utrucking.com/admin/orders/5904407462076")</f>
        <v>https://utrucking.com/admin/orders/5904407462076</v>
      </c>
      <c r="B118" s="61" t="str">
        <f>IFERROR(__xludf.DUMMYFUNCTION("""COMPUTED_VALUE"""),"#15333")</f>
        <v>#15333</v>
      </c>
      <c r="C118" s="61" t="str">
        <f>IFERROR(__xludf.DUMMYFUNCTION("""COMPUTED_VALUE"""),"bowermanjill@gmail.com")</f>
        <v>bowermanjill@gmail.com</v>
      </c>
      <c r="D118" s="61">
        <f>IFERROR(__xludf.DUMMYFUNCTION("""COMPUTED_VALUE"""),9.892958435E9)</f>
        <v>9892958435</v>
      </c>
      <c r="E118" s="61" t="str">
        <f>IFERROR(__xludf.DUMMYFUNCTION("""COMPUTED_VALUE"""),"Jill Bowerman")</f>
        <v>Jill Bowerman</v>
      </c>
      <c r="F118" s="61"/>
      <c r="G118" s="61"/>
      <c r="H118" s="61" t="str">
        <f>IFERROR(__xludf.DUMMYFUNCTION("""COMPUTED_VALUE"""),"Appliance Rental")</f>
        <v>Appliance Rental</v>
      </c>
      <c r="I118" s="61" t="str">
        <f>IFERROR(__xludf.DUMMYFUNCTION("""COMPUTED_VALUE""")," Double-Door Mini Fridge + Microwave")</f>
        <v> Double-Door Mini Fridge + Microwave</v>
      </c>
      <c r="J118" s="61">
        <f>IFERROR(__xludf.DUMMYFUNCTION("""COMPUTED_VALUE"""),210.0)</f>
        <v>210</v>
      </c>
      <c r="K118" s="100">
        <f>IFERROR(__xludf.DUMMYFUNCTION("""COMPUTED_VALUE"""),45883.0)</f>
        <v>45883</v>
      </c>
      <c r="L118" s="61" t="str">
        <f>IFERROR(__xludf.DUMMYFUNCTION("""COMPUTED_VALUE"""),"Danforth  ")</f>
        <v>Danforth  </v>
      </c>
      <c r="M118" s="64" t="str">
        <f>IFERROR(__xludf.DUMMYFUNCTION("""COMPUTED_VALUE"""),"4418 a")</f>
        <v>4418 a</v>
      </c>
      <c r="N118" s="61"/>
      <c r="O118" s="61" t="b">
        <f>COUNTIF('Delivered Rentals'!A:A, B118) &gt; 0</f>
        <v>1</v>
      </c>
      <c r="P118" s="101"/>
    </row>
    <row r="119">
      <c r="A119" s="102" t="str">
        <f>IFERROR(__xludf.DUMMYFUNCTION("""COMPUTED_VALUE"""),"https://utrucking.com/admin/orders/5904418308284")</f>
        <v>https://utrucking.com/admin/orders/5904418308284</v>
      </c>
      <c r="B119" s="65" t="str">
        <f>IFERROR(__xludf.DUMMYFUNCTION("""COMPUTED_VALUE"""),"#15334")</f>
        <v>#15334</v>
      </c>
      <c r="C119" s="65" t="str">
        <f>IFERROR(__xludf.DUMMYFUNCTION("""COMPUTED_VALUE"""),"Ejbloom54@gmail.com")</f>
        <v>Ejbloom54@gmail.com</v>
      </c>
      <c r="D119" s="65">
        <f>IFERROR(__xludf.DUMMYFUNCTION("""COMPUTED_VALUE"""),1.9175709951E10)</f>
        <v>19175709951</v>
      </c>
      <c r="E119" s="65" t="str">
        <f>IFERROR(__xludf.DUMMYFUNCTION("""COMPUTED_VALUE"""),"Ronda Bloom")</f>
        <v>Ronda Bloom</v>
      </c>
      <c r="F119" s="65"/>
      <c r="G119" s="65"/>
      <c r="H119" s="65" t="str">
        <f>IFERROR(__xludf.DUMMYFUNCTION("""COMPUTED_VALUE"""),"Appliance Rental")</f>
        <v>Appliance Rental</v>
      </c>
      <c r="I119" s="65" t="str">
        <f>IFERROR(__xludf.DUMMYFUNCTION("""COMPUTED_VALUE""")," Double-Door Mini Fridge + Microwave")</f>
        <v> Double-Door Mini Fridge + Microwave</v>
      </c>
      <c r="J119" s="65">
        <f>IFERROR(__xludf.DUMMYFUNCTION("""COMPUTED_VALUE"""),210.0)</f>
        <v>210</v>
      </c>
      <c r="K119" s="103">
        <f>IFERROR(__xludf.DUMMYFUNCTION("""COMPUTED_VALUE"""),45887.0)</f>
        <v>45887</v>
      </c>
      <c r="L119" s="65" t="str">
        <f>IFERROR(__xludf.DUMMYFUNCTION("""COMPUTED_VALUE"""),"House 2 (Sigma Nu)  ")</f>
        <v>House 2 (Sigma Nu)  </v>
      </c>
      <c r="M119" s="68" t="str">
        <f>IFERROR(__xludf.DUMMYFUNCTION("""COMPUTED_VALUE"""),"308")</f>
        <v>308</v>
      </c>
      <c r="N119" s="65"/>
      <c r="O119" s="65" t="b">
        <f>COUNTIF('Delivered Rentals'!A:A, B119) &gt; 0</f>
        <v>1</v>
      </c>
      <c r="P119" s="104"/>
    </row>
    <row r="120">
      <c r="A120" s="99" t="str">
        <f>IFERROR(__xludf.DUMMYFUNCTION("""COMPUTED_VALUE"""),"https://utrucking.com/admin/orders/5904420372668")</f>
        <v>https://utrucking.com/admin/orders/5904420372668</v>
      </c>
      <c r="B120" s="61" t="str">
        <f>IFERROR(__xludf.DUMMYFUNCTION("""COMPUTED_VALUE"""),"#15335")</f>
        <v>#15335</v>
      </c>
      <c r="C120" s="61"/>
      <c r="D120" s="61">
        <f>IFERROR(__xludf.DUMMYFUNCTION("""COMPUTED_VALUE"""),6.179670331E9)</f>
        <v>6179670331</v>
      </c>
      <c r="E120" s="61" t="str">
        <f>IFERROR(__xludf.DUMMYFUNCTION("""COMPUTED_VALUE"""),"Cynthia Carlo")</f>
        <v>Cynthia Carlo</v>
      </c>
      <c r="F120" s="61"/>
      <c r="G120" s="61"/>
      <c r="H120" s="61" t="str">
        <f>IFERROR(__xludf.DUMMYFUNCTION("""COMPUTED_VALUE"""),"Appliance Rental")</f>
        <v>Appliance Rental</v>
      </c>
      <c r="I120" s="61" t="str">
        <f>IFERROR(__xludf.DUMMYFUNCTION("""COMPUTED_VALUE""")," Double-Door Mini Fridge + Microwave")</f>
        <v> Double-Door Mini Fridge + Microwave</v>
      </c>
      <c r="J120" s="61">
        <f>IFERROR(__xludf.DUMMYFUNCTION("""COMPUTED_VALUE"""),210.0)</f>
        <v>210</v>
      </c>
      <c r="K120" s="100">
        <f>IFERROR(__xludf.DUMMYFUNCTION("""COMPUTED_VALUE"""),45883.0)</f>
        <v>45883</v>
      </c>
      <c r="L120" s="61" t="str">
        <f>IFERROR(__xludf.DUMMYFUNCTION("""COMPUTED_VALUE"""),"Hurd  ")</f>
        <v>Hurd  </v>
      </c>
      <c r="M120" s="64" t="str">
        <f>IFERROR(__xludf.DUMMYFUNCTION("""COMPUTED_VALUE"""),"424")</f>
        <v>424</v>
      </c>
      <c r="N120" s="61"/>
      <c r="O120" s="61" t="b">
        <f>COUNTIF('Delivered Rentals'!A:A, B120) &gt; 0</f>
        <v>1</v>
      </c>
      <c r="P120" s="101"/>
    </row>
    <row r="121">
      <c r="A121" s="102" t="str">
        <f>IFERROR(__xludf.DUMMYFUNCTION("""COMPUTED_VALUE"""),"https://utrucking.com/admin/orders/5904534667452")</f>
        <v>https://utrucking.com/admin/orders/5904534667452</v>
      </c>
      <c r="B121" s="65" t="str">
        <f>IFERROR(__xludf.DUMMYFUNCTION("""COMPUTED_VALUE"""),"#15338")</f>
        <v>#15338</v>
      </c>
      <c r="C121" s="65"/>
      <c r="D121" s="65">
        <f>IFERROR(__xludf.DUMMYFUNCTION("""COMPUTED_VALUE"""),9.177155789E9)</f>
        <v>9177155789</v>
      </c>
      <c r="E121" s="65" t="str">
        <f>IFERROR(__xludf.DUMMYFUNCTION("""COMPUTED_VALUE"""),"Cori Galpern")</f>
        <v>Cori Galpern</v>
      </c>
      <c r="F121" s="65"/>
      <c r="G121" s="65"/>
      <c r="H121" s="65" t="str">
        <f>IFERROR(__xludf.DUMMYFUNCTION("""COMPUTED_VALUE"""),"Appliance Rental")</f>
        <v>Appliance Rental</v>
      </c>
      <c r="I121" s="65" t="str">
        <f>IFERROR(__xludf.DUMMYFUNCTION("""COMPUTED_VALUE""")," Standard Mini Fridge")</f>
        <v> Standard Mini Fridge</v>
      </c>
      <c r="J121" s="65">
        <f>IFERROR(__xludf.DUMMYFUNCTION("""COMPUTED_VALUE"""),115.0)</f>
        <v>115</v>
      </c>
      <c r="K121" s="103">
        <f>IFERROR(__xludf.DUMMYFUNCTION("""COMPUTED_VALUE"""),45883.0)</f>
        <v>45883</v>
      </c>
      <c r="L121" s="65" t="str">
        <f>IFERROR(__xludf.DUMMYFUNCTION("""COMPUTED_VALUE"""),"Umrath  ")</f>
        <v>Umrath  </v>
      </c>
      <c r="M121" s="68" t="str">
        <f>IFERROR(__xludf.DUMMYFUNCTION("""COMPUTED_VALUE"""),"L239-c")</f>
        <v>L239-c</v>
      </c>
      <c r="N121" s="65"/>
      <c r="O121" s="65" t="b">
        <f>COUNTIF('Delivered Rentals'!A:A, B121) &gt; 0</f>
        <v>1</v>
      </c>
      <c r="P121" s="104"/>
    </row>
    <row r="122">
      <c r="A122" s="99" t="str">
        <f>IFERROR(__xludf.DUMMYFUNCTION("""COMPUTED_VALUE"""),"https://utrucking.com/admin/orders/5904547086524")</f>
        <v>https://utrucking.com/admin/orders/5904547086524</v>
      </c>
      <c r="B122" s="61" t="str">
        <f>IFERROR(__xludf.DUMMYFUNCTION("""COMPUTED_VALUE"""),"#15339")</f>
        <v>#15339</v>
      </c>
      <c r="C122" s="61" t="str">
        <f>IFERROR(__xludf.DUMMYFUNCTION("""COMPUTED_VALUE"""),"mitch.luke74@gmail.com")</f>
        <v>mitch.luke74@gmail.com</v>
      </c>
      <c r="D122" s="61">
        <f>IFERROR(__xludf.DUMMYFUNCTION("""COMPUTED_VALUE"""),1.9143576469E10)</f>
        <v>19143576469</v>
      </c>
      <c r="E122" s="61" t="str">
        <f>IFERROR(__xludf.DUMMYFUNCTION("""COMPUTED_VALUE"""),"Luke Mitchell")</f>
        <v>Luke Mitchell</v>
      </c>
      <c r="F122" s="61"/>
      <c r="G122" s="61"/>
      <c r="H122" s="61" t="str">
        <f>IFERROR(__xludf.DUMMYFUNCTION("""COMPUTED_VALUE"""),"Appliance Rental")</f>
        <v>Appliance Rental</v>
      </c>
      <c r="I122" s="61" t="str">
        <f>IFERROR(__xludf.DUMMYFUNCTION("""COMPUTED_VALUE""")," Double-Door Mini Fridge")</f>
        <v> Double-Door Mini Fridge</v>
      </c>
      <c r="J122" s="61">
        <f>IFERROR(__xludf.DUMMYFUNCTION("""COMPUTED_VALUE"""),145.0)</f>
        <v>145</v>
      </c>
      <c r="K122" s="100">
        <f>IFERROR(__xludf.DUMMYFUNCTION("""COMPUTED_VALUE"""),45883.0)</f>
        <v>45883</v>
      </c>
      <c r="L122" s="61" t="str">
        <f>IFERROR(__xludf.DUMMYFUNCTION("""COMPUTED_VALUE"""),"Umrath  ")</f>
        <v>Umrath  </v>
      </c>
      <c r="M122" s="64" t="str">
        <f>IFERROR(__xludf.DUMMYFUNCTION("""COMPUTED_VALUE"""),"4437")</f>
        <v>4437</v>
      </c>
      <c r="N122" s="61"/>
      <c r="O122" s="61" t="b">
        <f>COUNTIF('Delivered Rentals'!A:A, B122) &gt; 0</f>
        <v>1</v>
      </c>
      <c r="P122" s="101"/>
    </row>
    <row r="123">
      <c r="A123" s="102" t="str">
        <f>IFERROR(__xludf.DUMMYFUNCTION("""COMPUTED_VALUE"""),"https://utrucking.com/admin/orders/5904587292860")</f>
        <v>https://utrucking.com/admin/orders/5904587292860</v>
      </c>
      <c r="B123" s="65" t="str">
        <f>IFERROR(__xludf.DUMMYFUNCTION("""COMPUTED_VALUE"""),"#15340")</f>
        <v>#15340</v>
      </c>
      <c r="C123" s="65"/>
      <c r="D123" s="65">
        <f>IFERROR(__xludf.DUMMYFUNCTION("""COMPUTED_VALUE"""),4.8025995E9)</f>
        <v>4802599500</v>
      </c>
      <c r="E123" s="65" t="str">
        <f>IFERROR(__xludf.DUMMYFUNCTION("""COMPUTED_VALUE"""),"Allison Isgar")</f>
        <v>Allison Isgar</v>
      </c>
      <c r="F123" s="65"/>
      <c r="G123" s="65"/>
      <c r="H123" s="65" t="str">
        <f>IFERROR(__xludf.DUMMYFUNCTION("""COMPUTED_VALUE"""),"Appliance Rental")</f>
        <v>Appliance Rental</v>
      </c>
      <c r="I123" s="65" t="str">
        <f>IFERROR(__xludf.DUMMYFUNCTION("""COMPUTED_VALUE""")," Double-Door Mini Fridge")</f>
        <v> Double-Door Mini Fridge</v>
      </c>
      <c r="J123" s="65">
        <f>IFERROR(__xludf.DUMMYFUNCTION("""COMPUTED_VALUE"""),145.0)</f>
        <v>145</v>
      </c>
      <c r="K123" s="103">
        <f>IFERROR(__xludf.DUMMYFUNCTION("""COMPUTED_VALUE"""),45883.0)</f>
        <v>45883</v>
      </c>
      <c r="L123" s="65" t="str">
        <f>IFERROR(__xludf.DUMMYFUNCTION("""COMPUTED_VALUE"""),"Eliot A  ")</f>
        <v>Eliot A  </v>
      </c>
      <c r="M123" s="68" t="str">
        <f>IFERROR(__xludf.DUMMYFUNCTION("""COMPUTED_VALUE"""),"3131")</f>
        <v>3131</v>
      </c>
      <c r="N123" s="65"/>
      <c r="O123" s="65" t="b">
        <f>COUNTIF('Delivered Rentals'!A:A, B123) &gt; 0</f>
        <v>1</v>
      </c>
      <c r="P123" s="104"/>
    </row>
    <row r="124">
      <c r="A124" s="99" t="str">
        <f>IFERROR(__xludf.DUMMYFUNCTION("""COMPUTED_VALUE"""),"https://utrucking.com/admin/orders/5904985784508")</f>
        <v>https://utrucking.com/admin/orders/5904985784508</v>
      </c>
      <c r="B124" s="61" t="str">
        <f>IFERROR(__xludf.DUMMYFUNCTION("""COMPUTED_VALUE"""),"#15344")</f>
        <v>#15344</v>
      </c>
      <c r="C124" s="61" t="str">
        <f>IFERROR(__xludf.DUMMYFUNCTION("""COMPUTED_VALUE"""),"j.r.roubitchek@wustl.edu")</f>
        <v>j.r.roubitchek@wustl.edu</v>
      </c>
      <c r="D124" s="61">
        <f>IFERROR(__xludf.DUMMYFUNCTION("""COMPUTED_VALUE"""),7.734854416E9)</f>
        <v>7734854416</v>
      </c>
      <c r="E124" s="61" t="str">
        <f>IFERROR(__xludf.DUMMYFUNCTION("""COMPUTED_VALUE"""),"Josephine Roubitchek")</f>
        <v>Josephine Roubitchek</v>
      </c>
      <c r="F124" s="61"/>
      <c r="G124" s="61"/>
      <c r="H124" s="61" t="str">
        <f>IFERROR(__xludf.DUMMYFUNCTION("""COMPUTED_VALUE"""),"Appliance Rental")</f>
        <v>Appliance Rental</v>
      </c>
      <c r="I124" s="61" t="str">
        <f>IFERROR(__xludf.DUMMYFUNCTION("""COMPUTED_VALUE""")," Double-Door Mini Fridge")</f>
        <v> Double-Door Mini Fridge</v>
      </c>
      <c r="J124" s="61">
        <f>IFERROR(__xludf.DUMMYFUNCTION("""COMPUTED_VALUE"""),145.0)</f>
        <v>145</v>
      </c>
      <c r="K124" s="100">
        <f>IFERROR(__xludf.DUMMYFUNCTION("""COMPUTED_VALUE"""),45883.0)</f>
        <v>45883</v>
      </c>
      <c r="L124" s="61" t="str">
        <f>IFERROR(__xludf.DUMMYFUNCTION("""COMPUTED_VALUE"""),"Dardick  ")</f>
        <v>Dardick  </v>
      </c>
      <c r="M124" s="64" t="str">
        <f>IFERROR(__xludf.DUMMYFUNCTION("""COMPUTED_VALUE"""),"2220")</f>
        <v>2220</v>
      </c>
      <c r="N124" s="61"/>
      <c r="O124" s="61" t="b">
        <f>COUNTIF('Delivered Rentals'!A:A, B124) &gt; 0</f>
        <v>1</v>
      </c>
      <c r="P124" s="101"/>
    </row>
    <row r="125">
      <c r="A125" s="102" t="str">
        <f>IFERROR(__xludf.DUMMYFUNCTION("""COMPUTED_VALUE"""),"https://utrucking.com/admin/orders/5904987586748")</f>
        <v>https://utrucking.com/admin/orders/5904987586748</v>
      </c>
      <c r="B125" s="65" t="str">
        <f>IFERROR(__xludf.DUMMYFUNCTION("""COMPUTED_VALUE"""),"#15345")</f>
        <v>#15345</v>
      </c>
      <c r="C125" s="65" t="str">
        <f>IFERROR(__xludf.DUMMYFUNCTION("""COMPUTED_VALUE"""),"lyp_James@163.com")</f>
        <v>lyp_James@163.com</v>
      </c>
      <c r="D125" s="65">
        <f>IFERROR(__xludf.DUMMYFUNCTION("""COMPUTED_VALUE"""),8.619821577767E12)</f>
        <v>8619821577767</v>
      </c>
      <c r="E125" s="65" t="str">
        <f>IFERROR(__xludf.DUMMYFUNCTION("""COMPUTED_VALUE"""),"Yupeng Luo")</f>
        <v>Yupeng Luo</v>
      </c>
      <c r="F125" s="65"/>
      <c r="G125" s="65"/>
      <c r="H125" s="65" t="str">
        <f>IFERROR(__xludf.DUMMYFUNCTION("""COMPUTED_VALUE"""),"Appliance Rental")</f>
        <v>Appliance Rental</v>
      </c>
      <c r="I125" s="65" t="str">
        <f>IFERROR(__xludf.DUMMYFUNCTION("""COMPUTED_VALUE""")," Double-Door Mini Fridge")</f>
        <v> Double-Door Mini Fridge</v>
      </c>
      <c r="J125" s="65">
        <f>IFERROR(__xludf.DUMMYFUNCTION("""COMPUTED_VALUE"""),145.0)</f>
        <v>145</v>
      </c>
      <c r="K125" s="103">
        <f>IFERROR(__xludf.DUMMYFUNCTION("""COMPUTED_VALUE"""),45882.0)</f>
        <v>45882</v>
      </c>
      <c r="L125" s="65" t="str">
        <f>IFERROR(__xludf.DUMMYFUNCTION("""COMPUTED_VALUE"""),"Rutledge  ")</f>
        <v>Rutledge  </v>
      </c>
      <c r="M125" s="68" t="str">
        <f>IFERROR(__xludf.DUMMYFUNCTION("""COMPUTED_VALUE"""),"332-b")</f>
        <v>332-b</v>
      </c>
      <c r="N125" s="65"/>
      <c r="O125" s="65" t="b">
        <f>COUNTIF('Delivered Rentals'!A:A, B125) &gt; 0</f>
        <v>1</v>
      </c>
      <c r="P125" s="104"/>
    </row>
    <row r="126">
      <c r="A126" s="99" t="str">
        <f>IFERROR(__xludf.DUMMYFUNCTION("""COMPUTED_VALUE"""),"https://utrucking.com/admin/orders/5905010557116")</f>
        <v>https://utrucking.com/admin/orders/5905010557116</v>
      </c>
      <c r="B126" s="61" t="str">
        <f>IFERROR(__xludf.DUMMYFUNCTION("""COMPUTED_VALUE"""),"#15347")</f>
        <v>#15347</v>
      </c>
      <c r="C126" s="61" t="str">
        <f>IFERROR(__xludf.DUMMYFUNCTION("""COMPUTED_VALUE"""),"sc.college2029@gmail.com")</f>
        <v>sc.college2029@gmail.com</v>
      </c>
      <c r="D126" s="61">
        <f>IFERROR(__xludf.DUMMYFUNCTION("""COMPUTED_VALUE"""),8.326870602E9)</f>
        <v>8326870602</v>
      </c>
      <c r="E126" s="61" t="str">
        <f>IFERROR(__xludf.DUMMYFUNCTION("""COMPUTED_VALUE"""),"Ernesto Cazares")</f>
        <v>Ernesto Cazares</v>
      </c>
      <c r="F126" s="61"/>
      <c r="G126" s="61"/>
      <c r="H126" s="61" t="str">
        <f>IFERROR(__xludf.DUMMYFUNCTION("""COMPUTED_VALUE"""),"Appliance Rental")</f>
        <v>Appliance Rental</v>
      </c>
      <c r="I126" s="61" t="str">
        <f>IFERROR(__xludf.DUMMYFUNCTION("""COMPUTED_VALUE""")," Double-Door Mini Fridge + Microwave")</f>
        <v> Double-Door Mini Fridge + Microwave</v>
      </c>
      <c r="J126" s="61">
        <f>IFERROR(__xludf.DUMMYFUNCTION("""COMPUTED_VALUE"""),210.0)</f>
        <v>210</v>
      </c>
      <c r="K126" s="100">
        <f>IFERROR(__xludf.DUMMYFUNCTION("""COMPUTED_VALUE"""),45883.0)</f>
        <v>45883</v>
      </c>
      <c r="L126" s="61" t="str">
        <f>IFERROR(__xludf.DUMMYFUNCTION("""COMPUTED_VALUE"""),"Shanedling  ")</f>
        <v>Shanedling  </v>
      </c>
      <c r="M126" s="64" t="str">
        <f>IFERROR(__xludf.DUMMYFUNCTION("""COMPUTED_VALUE"""),"313 - A (Sheelsie Cazares MSC 97862)")</f>
        <v>313 - A (Sheelsie Cazares MSC 97862)</v>
      </c>
      <c r="N126" s="61"/>
      <c r="O126" s="61" t="b">
        <f>COUNTIF('Delivered Rentals'!A:A, B126) &gt; 0</f>
        <v>1</v>
      </c>
      <c r="P126" s="101"/>
    </row>
    <row r="127">
      <c r="A127" s="102" t="str">
        <f>IFERROR(__xludf.DUMMYFUNCTION("""COMPUTED_VALUE"""),"https://utrucking.com/admin/orders/5905039294652")</f>
        <v>https://utrucking.com/admin/orders/5905039294652</v>
      </c>
      <c r="B127" s="65" t="str">
        <f>IFERROR(__xludf.DUMMYFUNCTION("""COMPUTED_VALUE"""),"#15349")</f>
        <v>#15349</v>
      </c>
      <c r="C127" s="65"/>
      <c r="D127" s="65">
        <f>IFERROR(__xludf.DUMMYFUNCTION("""COMPUTED_VALUE"""),2.016965658E9)</f>
        <v>2016965658</v>
      </c>
      <c r="E127" s="65" t="str">
        <f>IFERROR(__xludf.DUMMYFUNCTION("""COMPUTED_VALUE"""),"Mia Fox")</f>
        <v>Mia Fox</v>
      </c>
      <c r="F127" s="65"/>
      <c r="G127" s="65"/>
      <c r="H127" s="65" t="str">
        <f>IFERROR(__xludf.DUMMYFUNCTION("""COMPUTED_VALUE"""),"Appliance Rental")</f>
        <v>Appliance Rental</v>
      </c>
      <c r="I127" s="65" t="str">
        <f>IFERROR(__xludf.DUMMYFUNCTION("""COMPUTED_VALUE""")," Double-Door Mini Fridge")</f>
        <v> Double-Door Mini Fridge</v>
      </c>
      <c r="J127" s="65">
        <f>IFERROR(__xludf.DUMMYFUNCTION("""COMPUTED_VALUE"""),145.0)</f>
        <v>145</v>
      </c>
      <c r="K127" s="103">
        <f>IFERROR(__xludf.DUMMYFUNCTION("""COMPUTED_VALUE"""),45883.0)</f>
        <v>45883</v>
      </c>
      <c r="L127" s="65" t="str">
        <f>IFERROR(__xludf.DUMMYFUNCTION("""COMPUTED_VALUE"""),"Park  ")</f>
        <v>Park  </v>
      </c>
      <c r="M127" s="68" t="str">
        <f>IFERROR(__xludf.DUMMYFUNCTION("""COMPUTED_VALUE"""),"372")</f>
        <v>372</v>
      </c>
      <c r="N127" s="65"/>
      <c r="O127" s="65" t="b">
        <f>COUNTIF('Delivered Rentals'!A:A, B127) &gt; 0</f>
        <v>1</v>
      </c>
      <c r="P127" s="104"/>
    </row>
    <row r="128">
      <c r="A128" s="99" t="str">
        <f>IFERROR(__xludf.DUMMYFUNCTION("""COMPUTED_VALUE"""),"https://utrucking.com/admin/orders/5905193992380")</f>
        <v>https://utrucking.com/admin/orders/5905193992380</v>
      </c>
      <c r="B128" s="61" t="str">
        <f>IFERROR(__xludf.DUMMYFUNCTION("""COMPUTED_VALUE"""),"#15352")</f>
        <v>#15352</v>
      </c>
      <c r="C128" s="61" t="str">
        <f>IFERROR(__xludf.DUMMYFUNCTION("""COMPUTED_VALUE"""),"natalya.michaels@gmail.com")</f>
        <v>natalya.michaels@gmail.com</v>
      </c>
      <c r="D128" s="61">
        <f>IFERROR(__xludf.DUMMYFUNCTION("""COMPUTED_VALUE"""),1.917626254E10)</f>
        <v>19176262540</v>
      </c>
      <c r="E128" s="61" t="str">
        <f>IFERROR(__xludf.DUMMYFUNCTION("""COMPUTED_VALUE"""),"Natalya Michaels")</f>
        <v>Natalya Michaels</v>
      </c>
      <c r="F128" s="61"/>
      <c r="G128" s="61"/>
      <c r="H128" s="61" t="str">
        <f>IFERROR(__xludf.DUMMYFUNCTION("""COMPUTED_VALUE"""),"Appliance Rental")</f>
        <v>Appliance Rental</v>
      </c>
      <c r="I128" s="61" t="str">
        <f>IFERROR(__xludf.DUMMYFUNCTION("""COMPUTED_VALUE""")," Double-Door Mini Fridge + Microwave")</f>
        <v> Double-Door Mini Fridge + Microwave</v>
      </c>
      <c r="J128" s="61">
        <f>IFERROR(__xludf.DUMMYFUNCTION("""COMPUTED_VALUE"""),210.0)</f>
        <v>210</v>
      </c>
      <c r="K128" s="100">
        <f>IFERROR(__xludf.DUMMYFUNCTION("""COMPUTED_VALUE"""),45883.0)</f>
        <v>45883</v>
      </c>
      <c r="L128" s="61" t="str">
        <f>IFERROR(__xludf.DUMMYFUNCTION("""COMPUTED_VALUE"""),"Lee  ")</f>
        <v>Lee  </v>
      </c>
      <c r="M128" s="64" t="str">
        <f>IFERROR(__xludf.DUMMYFUNCTION("""COMPUTED_VALUE"""),"223")</f>
        <v>223</v>
      </c>
      <c r="N128" s="61"/>
      <c r="O128" s="61" t="b">
        <f>COUNTIF('Delivered Rentals'!A:A, B128) &gt; 0</f>
        <v>1</v>
      </c>
      <c r="P128" s="101"/>
    </row>
    <row r="129">
      <c r="A129" s="102" t="str">
        <f>IFERROR(__xludf.DUMMYFUNCTION("""COMPUTED_VALUE"""),"https://utrucking.com/admin/orders/5905232101564")</f>
        <v>https://utrucking.com/admin/orders/5905232101564</v>
      </c>
      <c r="B129" s="65" t="str">
        <f>IFERROR(__xludf.DUMMYFUNCTION("""COMPUTED_VALUE"""),"#15353")</f>
        <v>#15353</v>
      </c>
      <c r="C129" s="65"/>
      <c r="D129" s="65">
        <f>IFERROR(__xludf.DUMMYFUNCTION("""COMPUTED_VALUE"""),6.156090081E9)</f>
        <v>6156090081</v>
      </c>
      <c r="E129" s="65" t="str">
        <f>IFERROR(__xludf.DUMMYFUNCTION("""COMPUTED_VALUE"""),"Cleo Gauthier")</f>
        <v>Cleo Gauthier</v>
      </c>
      <c r="F129" s="65"/>
      <c r="G129" s="65"/>
      <c r="H129" s="65" t="str">
        <f>IFERROR(__xludf.DUMMYFUNCTION("""COMPUTED_VALUE"""),"Appliance Rental")</f>
        <v>Appliance Rental</v>
      </c>
      <c r="I129" s="65" t="str">
        <f>IFERROR(__xludf.DUMMYFUNCTION("""COMPUTED_VALUE""")," Double-Door Mini Fridge")</f>
        <v> Double-Door Mini Fridge</v>
      </c>
      <c r="J129" s="65">
        <f>IFERROR(__xludf.DUMMYFUNCTION("""COMPUTED_VALUE"""),145.0)</f>
        <v>145</v>
      </c>
      <c r="K129" s="103">
        <f>IFERROR(__xludf.DUMMYFUNCTION("""COMPUTED_VALUE"""),45883.0)</f>
        <v>45883</v>
      </c>
      <c r="L129" s="65" t="str">
        <f>IFERROR(__xludf.DUMMYFUNCTION("""COMPUTED_VALUE"""),"Zetcher  ")</f>
        <v>Zetcher  </v>
      </c>
      <c r="M129" s="68" t="str">
        <f>IFERROR(__xludf.DUMMYFUNCTION("""COMPUTED_VALUE"""),"2100")</f>
        <v>2100</v>
      </c>
      <c r="N129" s="65"/>
      <c r="O129" s="65" t="b">
        <f>COUNTIF('Delivered Rentals'!A:A, B129) &gt; 0</f>
        <v>1</v>
      </c>
      <c r="P129" s="104"/>
    </row>
    <row r="130">
      <c r="A130" s="99" t="str">
        <f>IFERROR(__xludf.DUMMYFUNCTION("""COMPUTED_VALUE"""),"https://utrucking.com/admin/orders/5905254318268")</f>
        <v>https://utrucking.com/admin/orders/5905254318268</v>
      </c>
      <c r="B130" s="61" t="str">
        <f>IFERROR(__xludf.DUMMYFUNCTION("""COMPUTED_VALUE"""),"#15354")</f>
        <v>#15354</v>
      </c>
      <c r="C130" s="61"/>
      <c r="D130" s="61">
        <f>IFERROR(__xludf.DUMMYFUNCTION("""COMPUTED_VALUE"""),1.9737585833E10)</f>
        <v>19737585833</v>
      </c>
      <c r="E130" s="61" t="str">
        <f>IFERROR(__xludf.DUMMYFUNCTION("""COMPUTED_VALUE"""),"Mariel Amador")</f>
        <v>Mariel Amador</v>
      </c>
      <c r="F130" s="61"/>
      <c r="G130" s="61"/>
      <c r="H130" s="61" t="str">
        <f>IFERROR(__xludf.DUMMYFUNCTION("""COMPUTED_VALUE"""),"Appliance Rental")</f>
        <v>Appliance Rental</v>
      </c>
      <c r="I130" s="61" t="str">
        <f>IFERROR(__xludf.DUMMYFUNCTION("""COMPUTED_VALUE""")," Double-Door Mini Fridge")</f>
        <v> Double-Door Mini Fridge</v>
      </c>
      <c r="J130" s="61">
        <f>IFERROR(__xludf.DUMMYFUNCTION("""COMPUTED_VALUE"""),145.0)</f>
        <v>145</v>
      </c>
      <c r="K130" s="100">
        <f>IFERROR(__xludf.DUMMYFUNCTION("""COMPUTED_VALUE"""),45891.0)</f>
        <v>45891</v>
      </c>
      <c r="L130" s="61" t="str">
        <f>IFERROR(__xludf.DUMMYFUNCTION("""COMPUTED_VALUE"""),"Lopata  ")</f>
        <v>Lopata  </v>
      </c>
      <c r="M130" s="64" t="str">
        <f>IFERROR(__xludf.DUMMYFUNCTION("""COMPUTED_VALUE"""),"3074-a")</f>
        <v>3074-a</v>
      </c>
      <c r="N130" s="61"/>
      <c r="O130" s="61" t="b">
        <f>COUNTIF('Delivered Rentals'!A:A, B130) &gt; 0</f>
        <v>1</v>
      </c>
      <c r="P130" s="101"/>
    </row>
    <row r="131">
      <c r="A131" s="102" t="str">
        <f>IFERROR(__xludf.DUMMYFUNCTION("""COMPUTED_VALUE"""),"https://utrucking.com/admin/orders/5905274142908")</f>
        <v>https://utrucking.com/admin/orders/5905274142908</v>
      </c>
      <c r="B131" s="65" t="str">
        <f>IFERROR(__xludf.DUMMYFUNCTION("""COMPUTED_VALUE"""),"#15355")</f>
        <v>#15355</v>
      </c>
      <c r="C131" s="65" t="str">
        <f>IFERROR(__xludf.DUMMYFUNCTION("""COMPUTED_VALUE"""),"tianajlee@gmail.com")</f>
        <v>tianajlee@gmail.com</v>
      </c>
      <c r="D131" s="65">
        <f>IFERROR(__xludf.DUMMYFUNCTION("""COMPUTED_VALUE"""),6.154140682E9)</f>
        <v>6154140682</v>
      </c>
      <c r="E131" s="65" t="str">
        <f>IFERROR(__xludf.DUMMYFUNCTION("""COMPUTED_VALUE"""),"Tiana Lee")</f>
        <v>Tiana Lee</v>
      </c>
      <c r="F131" s="65"/>
      <c r="G131" s="65"/>
      <c r="H131" s="65" t="str">
        <f>IFERROR(__xludf.DUMMYFUNCTION("""COMPUTED_VALUE"""),"Appliance Rental")</f>
        <v>Appliance Rental</v>
      </c>
      <c r="I131" s="65" t="str">
        <f>IFERROR(__xludf.DUMMYFUNCTION("""COMPUTED_VALUE""")," Double-Door Mini Fridge")</f>
        <v> Double-Door Mini Fridge</v>
      </c>
      <c r="J131" s="65">
        <f>IFERROR(__xludf.DUMMYFUNCTION("""COMPUTED_VALUE"""),145.0)</f>
        <v>145</v>
      </c>
      <c r="K131" s="103">
        <f>IFERROR(__xludf.DUMMYFUNCTION("""COMPUTED_VALUE"""),45890.0)</f>
        <v>45890</v>
      </c>
      <c r="L131" s="65" t="str">
        <f>IFERROR(__xludf.DUMMYFUNCTION("""COMPUTED_VALUE"""),"Nemerov  ")</f>
        <v>Nemerov  </v>
      </c>
      <c r="M131" s="68" t="str">
        <f>IFERROR(__xludf.DUMMYFUNCTION("""COMPUTED_VALUE"""),"2053")</f>
        <v>2053</v>
      </c>
      <c r="N131" s="65"/>
      <c r="O131" s="65" t="b">
        <f>COUNTIF('Delivered Rentals'!A:A, B131) &gt; 0</f>
        <v>1</v>
      </c>
      <c r="P131" s="104"/>
    </row>
    <row r="132">
      <c r="A132" s="99" t="str">
        <f>IFERROR(__xludf.DUMMYFUNCTION("""COMPUTED_VALUE"""),"https://utrucking.com/admin/orders/5905275650236")</f>
        <v>https://utrucking.com/admin/orders/5905275650236</v>
      </c>
      <c r="B132" s="61" t="str">
        <f>IFERROR(__xludf.DUMMYFUNCTION("""COMPUTED_VALUE"""),"#15356")</f>
        <v>#15356</v>
      </c>
      <c r="C132" s="61" t="str">
        <f>IFERROR(__xludf.DUMMYFUNCTION("""COMPUTED_VALUE"""),"acharlotte@wustl.edu")</f>
        <v>acharlotte@wustl.edu</v>
      </c>
      <c r="D132" s="61">
        <f>IFERROR(__xludf.DUMMYFUNCTION("""COMPUTED_VALUE"""),2.127122425E9)</f>
        <v>2127122425</v>
      </c>
      <c r="E132" s="61" t="str">
        <f>IFERROR(__xludf.DUMMYFUNCTION("""COMPUTED_VALUE"""),"Nicole Allinson")</f>
        <v>Nicole Allinson</v>
      </c>
      <c r="F132" s="61"/>
      <c r="G132" s="61"/>
      <c r="H132" s="61" t="str">
        <f>IFERROR(__xludf.DUMMYFUNCTION("""COMPUTED_VALUE"""),"Appliance Rental")</f>
        <v>Appliance Rental</v>
      </c>
      <c r="I132" s="61" t="str">
        <f>IFERROR(__xludf.DUMMYFUNCTION("""COMPUTED_VALUE""")," Double-Door Mini Fridge")</f>
        <v> Double-Door Mini Fridge</v>
      </c>
      <c r="J132" s="61">
        <f>IFERROR(__xludf.DUMMYFUNCTION("""COMPUTED_VALUE"""),145.0)</f>
        <v>145</v>
      </c>
      <c r="K132" s="100">
        <f>IFERROR(__xludf.DUMMYFUNCTION("""COMPUTED_VALUE"""),45883.0)</f>
        <v>45883</v>
      </c>
      <c r="L132" s="61" t="str">
        <f>IFERROR(__xludf.DUMMYFUNCTION("""COMPUTED_VALUE"""),"Lopata  ")</f>
        <v>Lopata  </v>
      </c>
      <c r="M132" s="64" t="str">
        <f>IFERROR(__xludf.DUMMYFUNCTION("""COMPUTED_VALUE"""),"3024")</f>
        <v>3024</v>
      </c>
      <c r="N132" s="61"/>
      <c r="O132" s="61" t="b">
        <f>COUNTIF('Delivered Rentals'!A:A, B132) &gt; 0</f>
        <v>1</v>
      </c>
      <c r="P132" s="101"/>
    </row>
    <row r="133">
      <c r="A133" s="102" t="str">
        <f>IFERROR(__xludf.DUMMYFUNCTION("""COMPUTED_VALUE"""),"https://utrucking.com/admin/orders/5905367040188")</f>
        <v>https://utrucking.com/admin/orders/5905367040188</v>
      </c>
      <c r="B133" s="65" t="str">
        <f>IFERROR(__xludf.DUMMYFUNCTION("""COMPUTED_VALUE"""),"#15359")</f>
        <v>#15359</v>
      </c>
      <c r="C133" s="65" t="str">
        <f>IFERROR(__xludf.DUMMYFUNCTION("""COMPUTED_VALUE"""),"amanda.k.lee@wustl.edu")</f>
        <v>amanda.k.lee@wustl.edu</v>
      </c>
      <c r="D133" s="65">
        <f>IFERROR(__xludf.DUMMYFUNCTION("""COMPUTED_VALUE"""),8.478340792E9)</f>
        <v>8478340792</v>
      </c>
      <c r="E133" s="65" t="str">
        <f>IFERROR(__xludf.DUMMYFUNCTION("""COMPUTED_VALUE"""),"Audrey Lee")</f>
        <v>Audrey Lee</v>
      </c>
      <c r="F133" s="65"/>
      <c r="G133" s="65"/>
      <c r="H133" s="65" t="str">
        <f>IFERROR(__xludf.DUMMYFUNCTION("""COMPUTED_VALUE"""),"Appliance Rental")</f>
        <v>Appliance Rental</v>
      </c>
      <c r="I133" s="65" t="str">
        <f>IFERROR(__xludf.DUMMYFUNCTION("""COMPUTED_VALUE""")," Double-Door Mini Fridge")</f>
        <v> Double-Door Mini Fridge</v>
      </c>
      <c r="J133" s="65">
        <f>IFERROR(__xludf.DUMMYFUNCTION("""COMPUTED_VALUE"""),145.0)</f>
        <v>145</v>
      </c>
      <c r="K133" s="103">
        <f>IFERROR(__xludf.DUMMYFUNCTION("""COMPUTED_VALUE"""),45883.0)</f>
        <v>45883</v>
      </c>
      <c r="L133" s="65" t="str">
        <f>IFERROR(__xludf.DUMMYFUNCTION("""COMPUTED_VALUE"""),"Zetcher  ")</f>
        <v>Zetcher  </v>
      </c>
      <c r="M133" s="68" t="str">
        <f>IFERROR(__xludf.DUMMYFUNCTION("""COMPUTED_VALUE"""),"3141")</f>
        <v>3141</v>
      </c>
      <c r="N133" s="65"/>
      <c r="O133" s="65" t="b">
        <f>COUNTIF('Delivered Rentals'!A:A, B133) &gt; 0</f>
        <v>1</v>
      </c>
      <c r="P133" s="104"/>
    </row>
    <row r="134">
      <c r="A134" s="99" t="str">
        <f>IFERROR(__xludf.DUMMYFUNCTION("""COMPUTED_VALUE"""),"https://utrucking.com/admin/orders/5905421828284")</f>
        <v>https://utrucking.com/admin/orders/5905421828284</v>
      </c>
      <c r="B134" s="61" t="str">
        <f>IFERROR(__xludf.DUMMYFUNCTION("""COMPUTED_VALUE"""),"#15360")</f>
        <v>#15360</v>
      </c>
      <c r="C134" s="61"/>
      <c r="D134" s="61">
        <f>IFERROR(__xludf.DUMMYFUNCTION("""COMPUTED_VALUE"""),2.145927361E9)</f>
        <v>2145927361</v>
      </c>
      <c r="E134" s="61" t="str">
        <f>IFERROR(__xludf.DUMMYFUNCTION("""COMPUTED_VALUE"""),"Mambarambath Jaleel")</f>
        <v>Mambarambath Jaleel</v>
      </c>
      <c r="F134" s="61"/>
      <c r="G134" s="61"/>
      <c r="H134" s="61" t="str">
        <f>IFERROR(__xludf.DUMMYFUNCTION("""COMPUTED_VALUE"""),"Appliance Rental")</f>
        <v>Appliance Rental</v>
      </c>
      <c r="I134" s="61" t="str">
        <f>IFERROR(__xludf.DUMMYFUNCTION("""COMPUTED_VALUE""")," Double-Door Mini Fridge + Microwave")</f>
        <v> Double-Door Mini Fridge + Microwave</v>
      </c>
      <c r="J134" s="61">
        <f>IFERROR(__xludf.DUMMYFUNCTION("""COMPUTED_VALUE"""),210.0)</f>
        <v>210</v>
      </c>
      <c r="K134" s="100">
        <f>IFERROR(__xludf.DUMMYFUNCTION("""COMPUTED_VALUE"""),45883.0)</f>
        <v>45883</v>
      </c>
      <c r="L134" s="61" t="str">
        <f>IFERROR(__xludf.DUMMYFUNCTION("""COMPUTED_VALUE"""),"Danforth  ")</f>
        <v>Danforth  </v>
      </c>
      <c r="M134" s="64" t="str">
        <f>IFERROR(__xludf.DUMMYFUNCTION("""COMPUTED_VALUE"""),"3303")</f>
        <v>3303</v>
      </c>
      <c r="N134" s="61"/>
      <c r="O134" s="61" t="b">
        <f>COUNTIF('Delivered Rentals'!A:A, B134) &gt; 0</f>
        <v>1</v>
      </c>
      <c r="P134" s="101"/>
    </row>
    <row r="135">
      <c r="A135" s="102" t="str">
        <f>IFERROR(__xludf.DUMMYFUNCTION("""COMPUTED_VALUE"""),"https://utrucking.com/admin/orders/5905502994620")</f>
        <v>https://utrucking.com/admin/orders/5905502994620</v>
      </c>
      <c r="B135" s="65" t="str">
        <f>IFERROR(__xludf.DUMMYFUNCTION("""COMPUTED_VALUE"""),"#15361")</f>
        <v>#15361</v>
      </c>
      <c r="C135" s="65"/>
      <c r="D135" s="65">
        <f>IFERROR(__xludf.DUMMYFUNCTION("""COMPUTED_VALUE"""),3.606749649E9)</f>
        <v>3606749649</v>
      </c>
      <c r="E135" s="65" t="str">
        <f>IFERROR(__xludf.DUMMYFUNCTION("""COMPUTED_VALUE"""),"Leah Menashe")</f>
        <v>Leah Menashe</v>
      </c>
      <c r="F135" s="65"/>
      <c r="G135" s="65"/>
      <c r="H135" s="65" t="str">
        <f>IFERROR(__xludf.DUMMYFUNCTION("""COMPUTED_VALUE"""),"Appliance Rental")</f>
        <v>Appliance Rental</v>
      </c>
      <c r="I135" s="65" t="str">
        <f>IFERROR(__xludf.DUMMYFUNCTION("""COMPUTED_VALUE""")," Double-Door Mini Fridge")</f>
        <v> Double-Door Mini Fridge</v>
      </c>
      <c r="J135" s="65">
        <f>IFERROR(__xludf.DUMMYFUNCTION("""COMPUTED_VALUE"""),145.0)</f>
        <v>145</v>
      </c>
      <c r="K135" s="103">
        <f>IFERROR(__xludf.DUMMYFUNCTION("""COMPUTED_VALUE"""),45883.0)</f>
        <v>45883</v>
      </c>
      <c r="L135" s="65" t="str">
        <f>IFERROR(__xludf.DUMMYFUNCTION("""COMPUTED_VALUE"""),"Umrath  ")</f>
        <v>Umrath  </v>
      </c>
      <c r="M135" s="68" t="str">
        <f>IFERROR(__xludf.DUMMYFUNCTION("""COMPUTED_VALUE"""),"2223")</f>
        <v>2223</v>
      </c>
      <c r="N135" s="65"/>
      <c r="O135" s="65" t="b">
        <f>COUNTIF('Delivered Rentals'!A:A, B135) &gt; 0</f>
        <v>1</v>
      </c>
      <c r="P135" s="104"/>
    </row>
    <row r="136">
      <c r="A136" s="99" t="str">
        <f>IFERROR(__xludf.DUMMYFUNCTION("""COMPUTED_VALUE"""),"https://utrucking.com/admin/orders/5905513021628")</f>
        <v>https://utrucking.com/admin/orders/5905513021628</v>
      </c>
      <c r="B136" s="61" t="str">
        <f>IFERROR(__xludf.DUMMYFUNCTION("""COMPUTED_VALUE"""),"#15363")</f>
        <v>#15363</v>
      </c>
      <c r="C136" s="61"/>
      <c r="D136" s="61">
        <f>IFERROR(__xludf.DUMMYFUNCTION("""COMPUTED_VALUE"""),8.478815595E9)</f>
        <v>8478815595</v>
      </c>
      <c r="E136" s="61" t="str">
        <f>IFERROR(__xludf.DUMMYFUNCTION("""COMPUTED_VALUE"""),"Colby Smith")</f>
        <v>Colby Smith</v>
      </c>
      <c r="F136" s="61"/>
      <c r="G136" s="61"/>
      <c r="H136" s="61" t="str">
        <f>IFERROR(__xludf.DUMMYFUNCTION("""COMPUTED_VALUE"""),"Appliance Rental")</f>
        <v>Appliance Rental</v>
      </c>
      <c r="I136" s="61" t="str">
        <f>IFERROR(__xludf.DUMMYFUNCTION("""COMPUTED_VALUE""")," Standard Mini Fridge + Microwave")</f>
        <v> Standard Mini Fridge + Microwave</v>
      </c>
      <c r="J136" s="61">
        <f>IFERROR(__xludf.DUMMYFUNCTION("""COMPUTED_VALUE"""),180.0)</f>
        <v>180</v>
      </c>
      <c r="K136" s="100">
        <f>IFERROR(__xludf.DUMMYFUNCTION("""COMPUTED_VALUE"""),45883.0)</f>
        <v>45883</v>
      </c>
      <c r="L136" s="61" t="str">
        <f>IFERROR(__xludf.DUMMYFUNCTION("""COMPUTED_VALUE"""),"Umrath  ")</f>
        <v>Umrath  </v>
      </c>
      <c r="M136" s="64" t="str">
        <f>IFERROR(__xludf.DUMMYFUNCTION("""COMPUTED_VALUE"""),"2238")</f>
        <v>2238</v>
      </c>
      <c r="N136" s="61"/>
      <c r="O136" s="61" t="b">
        <f>COUNTIF('Delivered Rentals'!A:A, B136) &gt; 0</f>
        <v>1</v>
      </c>
      <c r="P136" s="101"/>
    </row>
    <row r="137">
      <c r="A137" s="102" t="str">
        <f>IFERROR(__xludf.DUMMYFUNCTION("""COMPUTED_VALUE"""),"https://utrucking.com/admin/orders/5905941233852")</f>
        <v>https://utrucking.com/admin/orders/5905941233852</v>
      </c>
      <c r="B137" s="65" t="str">
        <f>IFERROR(__xludf.DUMMYFUNCTION("""COMPUTED_VALUE"""),"#15369")</f>
        <v>#15369</v>
      </c>
      <c r="C137" s="65"/>
      <c r="D137" s="65">
        <f>IFERROR(__xludf.DUMMYFUNCTION("""COMPUTED_VALUE"""),8.163151465E9)</f>
        <v>8163151465</v>
      </c>
      <c r="E137" s="65" t="str">
        <f>IFERROR(__xludf.DUMMYFUNCTION("""COMPUTED_VALUE"""),"Bridget Couture")</f>
        <v>Bridget Couture</v>
      </c>
      <c r="F137" s="65"/>
      <c r="G137" s="65"/>
      <c r="H137" s="65" t="str">
        <f>IFERROR(__xludf.DUMMYFUNCTION("""COMPUTED_VALUE"""),"Appliance Rental")</f>
        <v>Appliance Rental</v>
      </c>
      <c r="I137" s="65" t="str">
        <f>IFERROR(__xludf.DUMMYFUNCTION("""COMPUTED_VALUE""")," Standard Mini Fridge + Microwave")</f>
        <v> Standard Mini Fridge + Microwave</v>
      </c>
      <c r="J137" s="65">
        <f>IFERROR(__xludf.DUMMYFUNCTION("""COMPUTED_VALUE"""),180.0)</f>
        <v>180</v>
      </c>
      <c r="K137" s="103">
        <f>IFERROR(__xludf.DUMMYFUNCTION("""COMPUTED_VALUE"""),45883.0)</f>
        <v>45883</v>
      </c>
      <c r="L137" s="65" t="str">
        <f>IFERROR(__xludf.DUMMYFUNCTION("""COMPUTED_VALUE"""),"Lee  ")</f>
        <v>Lee  </v>
      </c>
      <c r="M137" s="68" t="str">
        <f>IFERROR(__xludf.DUMMYFUNCTION("""COMPUTED_VALUE"""),"308")</f>
        <v>308</v>
      </c>
      <c r="N137" s="65"/>
      <c r="O137" s="65" t="b">
        <f>COUNTIF('Delivered Rentals'!A:A, B137) &gt; 0</f>
        <v>1</v>
      </c>
      <c r="P137" s="104"/>
    </row>
    <row r="138">
      <c r="A138" s="99" t="str">
        <f>IFERROR(__xludf.DUMMYFUNCTION("""COMPUTED_VALUE"""),"https://utrucking.com/admin/orders/5906081415356")</f>
        <v>https://utrucking.com/admin/orders/5906081415356</v>
      </c>
      <c r="B138" s="61" t="str">
        <f>IFERROR(__xludf.DUMMYFUNCTION("""COMPUTED_VALUE"""),"#15374")</f>
        <v>#15374</v>
      </c>
      <c r="C138" s="61" t="str">
        <f>IFERROR(__xludf.DUMMYFUNCTION("""COMPUTED_VALUE"""),"elizaschulman@gmail.com")</f>
        <v>elizaschulman@gmail.com</v>
      </c>
      <c r="D138" s="61">
        <f>IFERROR(__xludf.DUMMYFUNCTION("""COMPUTED_VALUE"""),5.16606386E9)</f>
        <v>5166063860</v>
      </c>
      <c r="E138" s="61" t="str">
        <f>IFERROR(__xludf.DUMMYFUNCTION("""COMPUTED_VALUE"""),"Eliza Schulman")</f>
        <v>Eliza Schulman</v>
      </c>
      <c r="F138" s="61"/>
      <c r="G138" s="61"/>
      <c r="H138" s="61" t="str">
        <f>IFERROR(__xludf.DUMMYFUNCTION("""COMPUTED_VALUE"""),"Appliance Rental")</f>
        <v>Appliance Rental</v>
      </c>
      <c r="I138" s="61" t="str">
        <f>IFERROR(__xludf.DUMMYFUNCTION("""COMPUTED_VALUE""")," Standard Mini Fridge")</f>
        <v> Standard Mini Fridge</v>
      </c>
      <c r="J138" s="61">
        <f>IFERROR(__xludf.DUMMYFUNCTION("""COMPUTED_VALUE"""),115.0)</f>
        <v>115</v>
      </c>
      <c r="K138" s="100">
        <f>IFERROR(__xludf.DUMMYFUNCTION("""COMPUTED_VALUE"""),45883.0)</f>
        <v>45883</v>
      </c>
      <c r="L138" s="61" t="str">
        <f>IFERROR(__xludf.DUMMYFUNCTION("""COMPUTED_VALUE"""),"Rutledge  ")</f>
        <v>Rutledge  </v>
      </c>
      <c r="M138" s="64" t="str">
        <f>IFERROR(__xludf.DUMMYFUNCTION("""COMPUTED_VALUE"""),"121 a")</f>
        <v>121 a</v>
      </c>
      <c r="N138" s="61"/>
      <c r="O138" s="61" t="b">
        <f>COUNTIF('Delivered Rentals'!A:A, B138) &gt; 0</f>
        <v>1</v>
      </c>
      <c r="P138" s="101"/>
    </row>
    <row r="139">
      <c r="A139" s="102" t="str">
        <f>IFERROR(__xludf.DUMMYFUNCTION("""COMPUTED_VALUE"""),"https://utrucking.com/admin/orders/5907253657788")</f>
        <v>https://utrucking.com/admin/orders/5907253657788</v>
      </c>
      <c r="B139" s="65" t="str">
        <f>IFERROR(__xludf.DUMMYFUNCTION("""COMPUTED_VALUE"""),"#15376")</f>
        <v>#15376</v>
      </c>
      <c r="C139" s="65" t="str">
        <f>IFERROR(__xludf.DUMMYFUNCTION("""COMPUTED_VALUE"""),"catherinegluckstein@me.com")</f>
        <v>catherinegluckstein@me.com</v>
      </c>
      <c r="D139" s="65">
        <f>IFERROR(__xludf.DUMMYFUNCTION("""COMPUTED_VALUE"""),2.063354627E9)</f>
        <v>2063354627</v>
      </c>
      <c r="E139" s="65" t="str">
        <f>IFERROR(__xludf.DUMMYFUNCTION("""COMPUTED_VALUE"""),"Catherine Edwards")</f>
        <v>Catherine Edwards</v>
      </c>
      <c r="F139" s="65"/>
      <c r="G139" s="65"/>
      <c r="H139" s="65" t="str">
        <f>IFERROR(__xludf.DUMMYFUNCTION("""COMPUTED_VALUE"""),"Appliance Rental")</f>
        <v>Appliance Rental</v>
      </c>
      <c r="I139" s="65" t="str">
        <f>IFERROR(__xludf.DUMMYFUNCTION("""COMPUTED_VALUE""")," Double-Door Mini Fridge")</f>
        <v> Double-Door Mini Fridge</v>
      </c>
      <c r="J139" s="65">
        <f>IFERROR(__xludf.DUMMYFUNCTION("""COMPUTED_VALUE"""),145.0)</f>
        <v>145</v>
      </c>
      <c r="K139" s="103">
        <f>IFERROR(__xludf.DUMMYFUNCTION("""COMPUTED_VALUE"""),45883.0)</f>
        <v>45883</v>
      </c>
      <c r="L139" s="65" t="str">
        <f>IFERROR(__xludf.DUMMYFUNCTION("""COMPUTED_VALUE"""),"Dauten  ")</f>
        <v>Dauten  </v>
      </c>
      <c r="M139" s="68" t="str">
        <f>IFERROR(__xludf.DUMMYFUNCTION("""COMPUTED_VALUE"""),"234")</f>
        <v>234</v>
      </c>
      <c r="N139" s="65"/>
      <c r="O139" s="65" t="b">
        <f>COUNTIF('Delivered Rentals'!A:A, B139) &gt; 0</f>
        <v>1</v>
      </c>
      <c r="P139" s="104"/>
    </row>
    <row r="140">
      <c r="A140" s="99" t="str">
        <f>IFERROR(__xludf.DUMMYFUNCTION("""COMPUTED_VALUE"""),"https://utrucking.com/admin/orders/5907264864444")</f>
        <v>https://utrucking.com/admin/orders/5907264864444</v>
      </c>
      <c r="B140" s="61" t="str">
        <f>IFERROR(__xludf.DUMMYFUNCTION("""COMPUTED_VALUE"""),"#15377")</f>
        <v>#15377</v>
      </c>
      <c r="C140" s="61"/>
      <c r="D140" s="61">
        <f>IFERROR(__xludf.DUMMYFUNCTION("""COMPUTED_VALUE"""),2.157964125E9)</f>
        <v>2157964125</v>
      </c>
      <c r="E140" s="61" t="str">
        <f>IFERROR(__xludf.DUMMYFUNCTION("""COMPUTED_VALUE"""),"Douglas Ominsky")</f>
        <v>Douglas Ominsky</v>
      </c>
      <c r="F140" s="61"/>
      <c r="G140" s="61"/>
      <c r="H140" s="61" t="str">
        <f>IFERROR(__xludf.DUMMYFUNCTION("""COMPUTED_VALUE"""),"Appliance Rental")</f>
        <v>Appliance Rental</v>
      </c>
      <c r="I140" s="61" t="str">
        <f>IFERROR(__xludf.DUMMYFUNCTION("""COMPUTED_VALUE""")," Double-Door Mini Fridge")</f>
        <v> Double-Door Mini Fridge</v>
      </c>
      <c r="J140" s="61">
        <f>IFERROR(__xludf.DUMMYFUNCTION("""COMPUTED_VALUE"""),145.0)</f>
        <v>145</v>
      </c>
      <c r="K140" s="100">
        <f>IFERROR(__xludf.DUMMYFUNCTION("""COMPUTED_VALUE"""),45883.0)</f>
        <v>45883</v>
      </c>
      <c r="L140" s="61" t="str">
        <f>IFERROR(__xludf.DUMMYFUNCTION("""COMPUTED_VALUE"""),"Lopata  ")</f>
        <v>Lopata  </v>
      </c>
      <c r="M140" s="64" t="str">
        <f>IFERROR(__xludf.DUMMYFUNCTION("""COMPUTED_VALUE"""),"1114")</f>
        <v>1114</v>
      </c>
      <c r="N140" s="61"/>
      <c r="O140" s="61" t="b">
        <f>COUNTIF('Delivered Rentals'!A:A, B140) &gt; 0</f>
        <v>1</v>
      </c>
      <c r="P140" s="101"/>
    </row>
    <row r="141">
      <c r="A141" s="102" t="str">
        <f>IFERROR(__xludf.DUMMYFUNCTION("""COMPUTED_VALUE"""),"https://utrucking.com/admin/orders/5907449315516")</f>
        <v>https://utrucking.com/admin/orders/5907449315516</v>
      </c>
      <c r="B141" s="65" t="str">
        <f>IFERROR(__xludf.DUMMYFUNCTION("""COMPUTED_VALUE"""),"#15379")</f>
        <v>#15379</v>
      </c>
      <c r="C141" s="65" t="str">
        <f>IFERROR(__xludf.DUMMYFUNCTION("""COMPUTED_VALUE"""),"bellatrank81@gmail.com")</f>
        <v>bellatrank81@gmail.com</v>
      </c>
      <c r="D141" s="65">
        <f>IFERROR(__xludf.DUMMYFUNCTION("""COMPUTED_VALUE"""),1.3145707369E10)</f>
        <v>13145707369</v>
      </c>
      <c r="E141" s="65" t="str">
        <f>IFERROR(__xludf.DUMMYFUNCTION("""COMPUTED_VALUE"""),"Isabella Trankler")</f>
        <v>Isabella Trankler</v>
      </c>
      <c r="F141" s="65"/>
      <c r="G141" s="65"/>
      <c r="H141" s="65" t="str">
        <f>IFERROR(__xludf.DUMMYFUNCTION("""COMPUTED_VALUE"""),"Appliance Rental")</f>
        <v>Appliance Rental</v>
      </c>
      <c r="I141" s="65" t="str">
        <f>IFERROR(__xludf.DUMMYFUNCTION("""COMPUTED_VALUE""")," Double-Door Mini Fridge + Microwave")</f>
        <v> Double-Door Mini Fridge + Microwave</v>
      </c>
      <c r="J141" s="65">
        <f>IFERROR(__xludf.DUMMYFUNCTION("""COMPUTED_VALUE"""),210.0)</f>
        <v>210</v>
      </c>
      <c r="K141" s="103">
        <f>IFERROR(__xludf.DUMMYFUNCTION("""COMPUTED_VALUE"""),45883.0)</f>
        <v>45883</v>
      </c>
      <c r="L141" s="65" t="str">
        <f>IFERROR(__xludf.DUMMYFUNCTION("""COMPUTED_VALUE"""),"Eliot A  ")</f>
        <v>Eliot A  </v>
      </c>
      <c r="M141" s="68" t="str">
        <f>IFERROR(__xludf.DUMMYFUNCTION("""COMPUTED_VALUE"""),"3132")</f>
        <v>3132</v>
      </c>
      <c r="N141" s="65"/>
      <c r="O141" s="65" t="b">
        <f>COUNTIF('Delivered Rentals'!A:A, B141) &gt; 0</f>
        <v>1</v>
      </c>
      <c r="P141" s="104"/>
    </row>
    <row r="142">
      <c r="A142" s="99" t="str">
        <f>IFERROR(__xludf.DUMMYFUNCTION("""COMPUTED_VALUE"""),"https://utrucking.com/admin/orders/5907449217212")</f>
        <v>https://utrucking.com/admin/orders/5907449217212</v>
      </c>
      <c r="B142" s="61" t="str">
        <f>IFERROR(__xludf.DUMMYFUNCTION("""COMPUTED_VALUE"""),"#15380")</f>
        <v>#15380</v>
      </c>
      <c r="C142" s="61" t="str">
        <f>IFERROR(__xludf.DUMMYFUNCTION("""COMPUTED_VALUE"""),"n.siri@wustl.edu")</f>
        <v>n.siri@wustl.edu</v>
      </c>
      <c r="D142" s="61">
        <f>IFERROR(__xludf.DUMMYFUNCTION("""COMPUTED_VALUE"""),6.306403336E9)</f>
        <v>6306403336</v>
      </c>
      <c r="E142" s="61" t="str">
        <f>IFERROR(__xludf.DUMMYFUNCTION("""COMPUTED_VALUE"""),"Poornima Nayakanti")</f>
        <v>Poornima Nayakanti</v>
      </c>
      <c r="F142" s="61"/>
      <c r="G142" s="61"/>
      <c r="H142" s="61" t="str">
        <f>IFERROR(__xludf.DUMMYFUNCTION("""COMPUTED_VALUE"""),"Appliance Rental")</f>
        <v>Appliance Rental</v>
      </c>
      <c r="I142" s="61" t="str">
        <f>IFERROR(__xludf.DUMMYFUNCTION("""COMPUTED_VALUE""")," Double-Door Mini Fridge")</f>
        <v> Double-Door Mini Fridge</v>
      </c>
      <c r="J142" s="61">
        <f>IFERROR(__xludf.DUMMYFUNCTION("""COMPUTED_VALUE"""),145.0)</f>
        <v>145</v>
      </c>
      <c r="K142" s="100">
        <f>IFERROR(__xludf.DUMMYFUNCTION("""COMPUTED_VALUE"""),45883.0)</f>
        <v>45883</v>
      </c>
      <c r="L142" s="61" t="str">
        <f>IFERROR(__xludf.DUMMYFUNCTION("""COMPUTED_VALUE"""),"Village House  ")</f>
        <v>Village House  </v>
      </c>
      <c r="M142" s="64" t="str">
        <f>IFERROR(__xludf.DUMMYFUNCTION("""COMPUTED_VALUE"""),"3133-a")</f>
        <v>3133-a</v>
      </c>
      <c r="N142" s="61"/>
      <c r="O142" s="61" t="b">
        <f>COUNTIF('Delivered Rentals'!A:A, B142) &gt; 0</f>
        <v>1</v>
      </c>
      <c r="P142" s="101"/>
    </row>
    <row r="143">
      <c r="A143" s="102" t="str">
        <f>IFERROR(__xludf.DUMMYFUNCTION("""COMPUTED_VALUE"""),"https://utrucking.com/admin/orders/5907799376060")</f>
        <v>https://utrucking.com/admin/orders/5907799376060</v>
      </c>
      <c r="B143" s="65" t="str">
        <f>IFERROR(__xludf.DUMMYFUNCTION("""COMPUTED_VALUE"""),"#15381")</f>
        <v>#15381</v>
      </c>
      <c r="C143" s="65"/>
      <c r="D143" s="65">
        <f>IFERROR(__xludf.DUMMYFUNCTION("""COMPUTED_VALUE"""),2.032581107E9)</f>
        <v>2032581107</v>
      </c>
      <c r="E143" s="65" t="str">
        <f>IFERROR(__xludf.DUMMYFUNCTION("""COMPUTED_VALUE"""),"Amy Buckman")</f>
        <v>Amy Buckman</v>
      </c>
      <c r="F143" s="65"/>
      <c r="G143" s="65"/>
      <c r="H143" s="65" t="str">
        <f>IFERROR(__xludf.DUMMYFUNCTION("""COMPUTED_VALUE"""),"Appliance Rental")</f>
        <v>Appliance Rental</v>
      </c>
      <c r="I143" s="65" t="str">
        <f>IFERROR(__xludf.DUMMYFUNCTION("""COMPUTED_VALUE""")," Double-Door Mini Fridge + Microwave")</f>
        <v> Double-Door Mini Fridge + Microwave</v>
      </c>
      <c r="J143" s="65">
        <f>IFERROR(__xludf.DUMMYFUNCTION("""COMPUTED_VALUE"""),210.0)</f>
        <v>210</v>
      </c>
      <c r="K143" s="103">
        <f>IFERROR(__xludf.DUMMYFUNCTION("""COMPUTED_VALUE"""),45883.0)</f>
        <v>45883</v>
      </c>
      <c r="L143" s="65" t="str">
        <f>IFERROR(__xludf.DUMMYFUNCTION("""COMPUTED_VALUE"""),"Danforth  ")</f>
        <v>Danforth  </v>
      </c>
      <c r="M143" s="68" t="str">
        <f>IFERROR(__xludf.DUMMYFUNCTION("""COMPUTED_VALUE"""),"3311")</f>
        <v>3311</v>
      </c>
      <c r="N143" s="65"/>
      <c r="O143" s="65" t="b">
        <f>COUNTIF('Delivered Rentals'!A:A, B143) &gt; 0</f>
        <v>1</v>
      </c>
      <c r="P143" s="104"/>
    </row>
    <row r="144">
      <c r="A144" s="99" t="str">
        <f>IFERROR(__xludf.DUMMYFUNCTION("""COMPUTED_VALUE"""),"https://utrucking.com/admin/orders/5908046151868")</f>
        <v>https://utrucking.com/admin/orders/5908046151868</v>
      </c>
      <c r="B144" s="61" t="str">
        <f>IFERROR(__xludf.DUMMYFUNCTION("""COMPUTED_VALUE"""),"#15383")</f>
        <v>#15383</v>
      </c>
      <c r="C144" s="61" t="str">
        <f>IFERROR(__xludf.DUMMYFUNCTION("""COMPUTED_VALUE"""),"kwangyoonyoo@gmail.com")</f>
        <v>kwangyoonyoo@gmail.com</v>
      </c>
      <c r="D144" s="61">
        <f>IFERROR(__xludf.DUMMYFUNCTION("""COMPUTED_VALUE"""),8.21047357088E11)</f>
        <v>821047357088</v>
      </c>
      <c r="E144" s="61" t="str">
        <f>IFERROR(__xludf.DUMMYFUNCTION("""COMPUTED_VALUE"""),"Kwangyoon Yoo")</f>
        <v>Kwangyoon Yoo</v>
      </c>
      <c r="F144" s="61"/>
      <c r="G144" s="61"/>
      <c r="H144" s="61" t="str">
        <f>IFERROR(__xludf.DUMMYFUNCTION("""COMPUTED_VALUE"""),"Appliance Rental")</f>
        <v>Appliance Rental</v>
      </c>
      <c r="I144" s="61" t="str">
        <f>IFERROR(__xludf.DUMMYFUNCTION("""COMPUTED_VALUE""")," Standard Mini Fridge")</f>
        <v> Standard Mini Fridge</v>
      </c>
      <c r="J144" s="61">
        <f>IFERROR(__xludf.DUMMYFUNCTION("""COMPUTED_VALUE"""),115.0)</f>
        <v>115</v>
      </c>
      <c r="K144" s="100">
        <f>IFERROR(__xludf.DUMMYFUNCTION("""COMPUTED_VALUE"""),45883.0)</f>
        <v>45883</v>
      </c>
      <c r="L144" s="61" t="str">
        <f>IFERROR(__xludf.DUMMYFUNCTION("""COMPUTED_VALUE"""),"Hitzeman  ")</f>
        <v>Hitzeman  </v>
      </c>
      <c r="M144" s="64" t="str">
        <f>IFERROR(__xludf.DUMMYFUNCTION("""COMPUTED_VALUE"""),"413-a")</f>
        <v>413-a</v>
      </c>
      <c r="N144" s="61"/>
      <c r="O144" s="61" t="b">
        <f>COUNTIF('Delivered Rentals'!A:A, B144) &gt; 0</f>
        <v>1</v>
      </c>
      <c r="P144" s="101"/>
    </row>
    <row r="145">
      <c r="A145" s="102" t="str">
        <f>IFERROR(__xludf.DUMMYFUNCTION("""COMPUTED_VALUE"""),"https://utrucking.com/admin/orders/5908109590716")</f>
        <v>https://utrucking.com/admin/orders/5908109590716</v>
      </c>
      <c r="B145" s="65" t="str">
        <f>IFERROR(__xludf.DUMMYFUNCTION("""COMPUTED_VALUE"""),"#15384")</f>
        <v>#15384</v>
      </c>
      <c r="C145" s="65" t="str">
        <f>IFERROR(__xludf.DUMMYFUNCTION("""COMPUTED_VALUE"""),"Jenn.e.caplan@gmail.com")</f>
        <v>Jenn.e.caplan@gmail.com</v>
      </c>
      <c r="D145" s="65">
        <f>IFERROR(__xludf.DUMMYFUNCTION("""COMPUTED_VALUE"""),9.199714693E9)</f>
        <v>9199714693</v>
      </c>
      <c r="E145" s="65" t="str">
        <f>IFERROR(__xludf.DUMMYFUNCTION("""COMPUTED_VALUE"""),"Jennifer Caplan")</f>
        <v>Jennifer Caplan</v>
      </c>
      <c r="F145" s="65"/>
      <c r="G145" s="65"/>
      <c r="H145" s="65" t="str">
        <f>IFERROR(__xludf.DUMMYFUNCTION("""COMPUTED_VALUE"""),"Appliance Rental")</f>
        <v>Appliance Rental</v>
      </c>
      <c r="I145" s="65" t="str">
        <f>IFERROR(__xludf.DUMMYFUNCTION("""COMPUTED_VALUE""")," Standard Mini Fridge + Microwave")</f>
        <v> Standard Mini Fridge + Microwave</v>
      </c>
      <c r="J145" s="65">
        <f>IFERROR(__xludf.DUMMYFUNCTION("""COMPUTED_VALUE"""),180.0)</f>
        <v>180</v>
      </c>
      <c r="K145" s="103">
        <f>IFERROR(__xludf.DUMMYFUNCTION("""COMPUTED_VALUE"""),45883.0)</f>
        <v>45883</v>
      </c>
      <c r="L145" s="65" t="str">
        <f>IFERROR(__xludf.DUMMYFUNCTION("""COMPUTED_VALUE"""),"Park  ")</f>
        <v>Park  </v>
      </c>
      <c r="M145" s="68" t="str">
        <f>IFERROR(__xludf.DUMMYFUNCTION("""COMPUTED_VALUE"""),"370")</f>
        <v>370</v>
      </c>
      <c r="N145" s="65"/>
      <c r="O145" s="65" t="b">
        <f>COUNTIF('Delivered Rentals'!A:A, B145) &gt; 0</f>
        <v>1</v>
      </c>
      <c r="P145" s="104"/>
    </row>
    <row r="146">
      <c r="A146" s="99" t="str">
        <f>IFERROR(__xludf.DUMMYFUNCTION("""COMPUTED_VALUE"""),"https://utrucking.com/admin/orders/5908173914300")</f>
        <v>https://utrucking.com/admin/orders/5908173914300</v>
      </c>
      <c r="B146" s="61" t="str">
        <f>IFERROR(__xludf.DUMMYFUNCTION("""COMPUTED_VALUE"""),"#15385")</f>
        <v>#15385</v>
      </c>
      <c r="C146" s="61"/>
      <c r="D146" s="61">
        <f>IFERROR(__xludf.DUMMYFUNCTION("""COMPUTED_VALUE"""),4.847522285E9)</f>
        <v>4847522285</v>
      </c>
      <c r="E146" s="61" t="str">
        <f>IFERROR(__xludf.DUMMYFUNCTION("""COMPUTED_VALUE"""),"Eunice Kim")</f>
        <v>Eunice Kim</v>
      </c>
      <c r="F146" s="61"/>
      <c r="G146" s="61"/>
      <c r="H146" s="61" t="str">
        <f>IFERROR(__xludf.DUMMYFUNCTION("""COMPUTED_VALUE"""),"Appliance Rental")</f>
        <v>Appliance Rental</v>
      </c>
      <c r="I146" s="61" t="str">
        <f>IFERROR(__xludf.DUMMYFUNCTION("""COMPUTED_VALUE""")," Double-Door Mini Fridge + Microwave")</f>
        <v> Double-Door Mini Fridge + Microwave</v>
      </c>
      <c r="J146" s="61">
        <f>IFERROR(__xludf.DUMMYFUNCTION("""COMPUTED_VALUE"""),210.0)</f>
        <v>210</v>
      </c>
      <c r="K146" s="100">
        <f>IFERROR(__xludf.DUMMYFUNCTION("""COMPUTED_VALUE"""),45881.0)</f>
        <v>45881</v>
      </c>
      <c r="L146" s="61" t="str">
        <f>IFERROR(__xludf.DUMMYFUNCTION("""COMPUTED_VALUE"""),"Dardick  ")</f>
        <v>Dardick  </v>
      </c>
      <c r="M146" s="64" t="str">
        <f>IFERROR(__xludf.DUMMYFUNCTION("""COMPUTED_VALUE"""),"4415")</f>
        <v>4415</v>
      </c>
      <c r="N146" s="61"/>
      <c r="O146" s="61" t="b">
        <f>COUNTIF('Delivered Rentals'!A:A, B146) &gt; 0</f>
        <v>1</v>
      </c>
      <c r="P146" s="101"/>
    </row>
    <row r="147">
      <c r="A147" s="102" t="str">
        <f>IFERROR(__xludf.DUMMYFUNCTION("""COMPUTED_VALUE"""),"https://utrucking.com/admin/orders/5908287520956")</f>
        <v>https://utrucking.com/admin/orders/5908287520956</v>
      </c>
      <c r="B147" s="65" t="str">
        <f>IFERROR(__xludf.DUMMYFUNCTION("""COMPUTED_VALUE"""),"#15387")</f>
        <v>#15387</v>
      </c>
      <c r="C147" s="65" t="str">
        <f>IFERROR(__xludf.DUMMYFUNCTION("""COMPUTED_VALUE"""),"sonireneis@gmail.com")</f>
        <v>sonireneis@gmail.com</v>
      </c>
      <c r="D147" s="65">
        <f>IFERROR(__xludf.DUMMYFUNCTION("""COMPUTED_VALUE"""),9.499109206E9)</f>
        <v>9499109206</v>
      </c>
      <c r="E147" s="65" t="str">
        <f>IFERROR(__xludf.DUMMYFUNCTION("""COMPUTED_VALUE"""),"Irene Son")</f>
        <v>Irene Son</v>
      </c>
      <c r="F147" s="65"/>
      <c r="G147" s="65"/>
      <c r="H147" s="65" t="str">
        <f>IFERROR(__xludf.DUMMYFUNCTION("""COMPUTED_VALUE"""),"Appliance Rental")</f>
        <v>Appliance Rental</v>
      </c>
      <c r="I147" s="65" t="str">
        <f>IFERROR(__xludf.DUMMYFUNCTION("""COMPUTED_VALUE""")," Standard Mini Fridge")</f>
        <v> Standard Mini Fridge</v>
      </c>
      <c r="J147" s="65">
        <f>IFERROR(__xludf.DUMMYFUNCTION("""COMPUTED_VALUE"""),115.0)</f>
        <v>115</v>
      </c>
      <c r="K147" s="103">
        <f>IFERROR(__xludf.DUMMYFUNCTION("""COMPUTED_VALUE"""),45883.0)</f>
        <v>45883</v>
      </c>
      <c r="L147" s="65" t="str">
        <f>IFERROR(__xludf.DUMMYFUNCTION("""COMPUTED_VALUE"""),"Hurd  ")</f>
        <v>Hurd  </v>
      </c>
      <c r="M147" s="68" t="str">
        <f>IFERROR(__xludf.DUMMYFUNCTION("""COMPUTED_VALUE"""),"142")</f>
        <v>142</v>
      </c>
      <c r="N147" s="65"/>
      <c r="O147" s="65" t="b">
        <f>COUNTIF('Delivered Rentals'!A:A, B147) &gt; 0</f>
        <v>1</v>
      </c>
      <c r="P147" s="104"/>
    </row>
    <row r="148">
      <c r="A148" s="99" t="str">
        <f>IFERROR(__xludf.DUMMYFUNCTION("""COMPUTED_VALUE"""),"https://utrucking.com/admin/orders/5908329562300")</f>
        <v>https://utrucking.com/admin/orders/5908329562300</v>
      </c>
      <c r="B148" s="61" t="str">
        <f>IFERROR(__xludf.DUMMYFUNCTION("""COMPUTED_VALUE"""),"#15388")</f>
        <v>#15388</v>
      </c>
      <c r="C148" s="61"/>
      <c r="D148" s="61">
        <f>IFERROR(__xludf.DUMMYFUNCTION("""COMPUTED_VALUE"""),5.164743388E9)</f>
        <v>5164743388</v>
      </c>
      <c r="E148" s="61" t="str">
        <f>IFERROR(__xludf.DUMMYFUNCTION("""COMPUTED_VALUE"""),"Kasey Schwartz")</f>
        <v>Kasey Schwartz</v>
      </c>
      <c r="F148" s="61"/>
      <c r="G148" s="61"/>
      <c r="H148" s="61" t="str">
        <f>IFERROR(__xludf.DUMMYFUNCTION("""COMPUTED_VALUE"""),"Appliance Rental")</f>
        <v>Appliance Rental</v>
      </c>
      <c r="I148" s="61" t="str">
        <f>IFERROR(__xludf.DUMMYFUNCTION("""COMPUTED_VALUE""")," Double-Door Mini Fridge")</f>
        <v> Double-Door Mini Fridge</v>
      </c>
      <c r="J148" s="61">
        <f>IFERROR(__xludf.DUMMYFUNCTION("""COMPUTED_VALUE"""),145.0)</f>
        <v>145</v>
      </c>
      <c r="K148" s="100">
        <f>IFERROR(__xludf.DUMMYFUNCTION("""COMPUTED_VALUE"""),45883.0)</f>
        <v>45883</v>
      </c>
      <c r="L148" s="61" t="str">
        <f>IFERROR(__xludf.DUMMYFUNCTION("""COMPUTED_VALUE"""),"Lee  ")</f>
        <v>Lee  </v>
      </c>
      <c r="M148" s="64" t="str">
        <f>IFERROR(__xludf.DUMMYFUNCTION("""COMPUTED_VALUE"""),"111-a")</f>
        <v>111-a</v>
      </c>
      <c r="N148" s="61"/>
      <c r="O148" s="61" t="b">
        <f>COUNTIF('Delivered Rentals'!A:A, B148) &gt; 0</f>
        <v>1</v>
      </c>
      <c r="P148" s="101"/>
    </row>
    <row r="149">
      <c r="A149" s="102" t="str">
        <f>IFERROR(__xludf.DUMMYFUNCTION("""COMPUTED_VALUE"""),"https://utrucking.com/admin/orders/5908437074108")</f>
        <v>https://utrucking.com/admin/orders/5908437074108</v>
      </c>
      <c r="B149" s="65" t="str">
        <f>IFERROR(__xludf.DUMMYFUNCTION("""COMPUTED_VALUE"""),"#15389")</f>
        <v>#15389</v>
      </c>
      <c r="C149" s="65" t="str">
        <f>IFERROR(__xludf.DUMMYFUNCTION("""COMPUTED_VALUE"""),"c.davey@wustl.edu")</f>
        <v>c.davey@wustl.edu</v>
      </c>
      <c r="D149" s="65">
        <f>IFERROR(__xludf.DUMMYFUNCTION("""COMPUTED_VALUE"""),9.705909779E9)</f>
        <v>9705909779</v>
      </c>
      <c r="E149" s="65" t="str">
        <f>IFERROR(__xludf.DUMMYFUNCTION("""COMPUTED_VALUE"""),"Leah Davey")</f>
        <v>Leah Davey</v>
      </c>
      <c r="F149" s="65"/>
      <c r="G149" s="65"/>
      <c r="H149" s="65" t="str">
        <f>IFERROR(__xludf.DUMMYFUNCTION("""COMPUTED_VALUE"""),"Appliance Rental")</f>
        <v>Appliance Rental</v>
      </c>
      <c r="I149" s="65" t="str">
        <f>IFERROR(__xludf.DUMMYFUNCTION("""COMPUTED_VALUE""")," Double-Door Mini Fridge + Microwave")</f>
        <v> Double-Door Mini Fridge + Microwave</v>
      </c>
      <c r="J149" s="65">
        <f>IFERROR(__xludf.DUMMYFUNCTION("""COMPUTED_VALUE"""),210.0)</f>
        <v>210</v>
      </c>
      <c r="K149" s="103">
        <f>IFERROR(__xludf.DUMMYFUNCTION("""COMPUTED_VALUE"""),45883.0)</f>
        <v>45883</v>
      </c>
      <c r="L149" s="65" t="str">
        <f>IFERROR(__xludf.DUMMYFUNCTION("""COMPUTED_VALUE"""),"Koenig  ")</f>
        <v>Koenig  </v>
      </c>
      <c r="M149" s="68" t="str">
        <f>IFERROR(__xludf.DUMMYFUNCTION("""COMPUTED_VALUE"""),"2204")</f>
        <v>2204</v>
      </c>
      <c r="N149" s="65"/>
      <c r="O149" s="65" t="b">
        <f>COUNTIF('Delivered Rentals'!A:A, B149) &gt; 0</f>
        <v>1</v>
      </c>
      <c r="P149" s="104"/>
    </row>
    <row r="150">
      <c r="A150" s="99" t="str">
        <f>IFERROR(__xludf.DUMMYFUNCTION("""COMPUTED_VALUE"""),"https://utrucking.com/admin/orders/5908460110012")</f>
        <v>https://utrucking.com/admin/orders/5908460110012</v>
      </c>
      <c r="B150" s="61" t="str">
        <f>IFERROR(__xludf.DUMMYFUNCTION("""COMPUTED_VALUE"""),"#15391")</f>
        <v>#15391</v>
      </c>
      <c r="C150" s="61"/>
      <c r="D150" s="61">
        <f>IFERROR(__xludf.DUMMYFUNCTION("""COMPUTED_VALUE"""),3.122820845E9)</f>
        <v>3122820845</v>
      </c>
      <c r="E150" s="61" t="str">
        <f>IFERROR(__xludf.DUMMYFUNCTION("""COMPUTED_VALUE"""),"Mari Philipsborn")</f>
        <v>Mari Philipsborn</v>
      </c>
      <c r="F150" s="61"/>
      <c r="G150" s="61"/>
      <c r="H150" s="61" t="str">
        <f>IFERROR(__xludf.DUMMYFUNCTION("""COMPUTED_VALUE"""),"Appliance Rental")</f>
        <v>Appliance Rental</v>
      </c>
      <c r="I150" s="61" t="str">
        <f>IFERROR(__xludf.DUMMYFUNCTION("""COMPUTED_VALUE""")," Double-Door Mini Fridge + Microwave")</f>
        <v> Double-Door Mini Fridge + Microwave</v>
      </c>
      <c r="J150" s="61">
        <f>IFERROR(__xludf.DUMMYFUNCTION("""COMPUTED_VALUE"""),210.0)</f>
        <v>210</v>
      </c>
      <c r="K150" s="100">
        <f>IFERROR(__xludf.DUMMYFUNCTION("""COMPUTED_VALUE"""),45883.0)</f>
        <v>45883</v>
      </c>
      <c r="L150" s="61" t="str">
        <f>IFERROR(__xludf.DUMMYFUNCTION("""COMPUTED_VALUE"""),"Dauten  ")</f>
        <v>Dauten  </v>
      </c>
      <c r="M150" s="64" t="str">
        <f>IFERROR(__xludf.DUMMYFUNCTION("""COMPUTED_VALUE"""),"132A")</f>
        <v>132A</v>
      </c>
      <c r="N150" s="61"/>
      <c r="O150" s="61" t="b">
        <f>COUNTIF('Delivered Rentals'!A:A, B150) &gt; 0</f>
        <v>1</v>
      </c>
      <c r="P150" s="101"/>
    </row>
    <row r="151">
      <c r="A151" s="102" t="str">
        <f>IFERROR(__xludf.DUMMYFUNCTION("""COMPUTED_VALUE"""),"https://utrucking.com/admin/orders/5908555563196")</f>
        <v>https://utrucking.com/admin/orders/5908555563196</v>
      </c>
      <c r="B151" s="65" t="str">
        <f>IFERROR(__xludf.DUMMYFUNCTION("""COMPUTED_VALUE"""),"#15393")</f>
        <v>#15393</v>
      </c>
      <c r="C151" s="65"/>
      <c r="D151" s="65">
        <f>IFERROR(__xludf.DUMMYFUNCTION("""COMPUTED_VALUE"""),1.3106145209E10)</f>
        <v>13106145209</v>
      </c>
      <c r="E151" s="65" t="str">
        <f>IFERROR(__xludf.DUMMYFUNCTION("""COMPUTED_VALUE"""),"Marci Carabet")</f>
        <v>Marci Carabet</v>
      </c>
      <c r="F151" s="65"/>
      <c r="G151" s="65"/>
      <c r="H151" s="65" t="str">
        <f>IFERROR(__xludf.DUMMYFUNCTION("""COMPUTED_VALUE"""),"Appliance Rental")</f>
        <v>Appliance Rental</v>
      </c>
      <c r="I151" s="65" t="str">
        <f>IFERROR(__xludf.DUMMYFUNCTION("""COMPUTED_VALUE""")," Double-Door Mini Fridge")</f>
        <v> Double-Door Mini Fridge</v>
      </c>
      <c r="J151" s="65">
        <f>IFERROR(__xludf.DUMMYFUNCTION("""COMPUTED_VALUE"""),145.0)</f>
        <v>145</v>
      </c>
      <c r="K151" s="103">
        <f>IFERROR(__xludf.DUMMYFUNCTION("""COMPUTED_VALUE"""),45883.0)</f>
        <v>45883</v>
      </c>
      <c r="L151" s="65" t="str">
        <f>IFERROR(__xludf.DUMMYFUNCTION("""COMPUTED_VALUE"""),"House 22  ")</f>
        <v>House 22  </v>
      </c>
      <c r="M151" s="68" t="str">
        <f>IFERROR(__xludf.DUMMYFUNCTION("""COMPUTED_VALUE"""),"3043")</f>
        <v>3043</v>
      </c>
      <c r="N151" s="65"/>
      <c r="O151" s="65" t="b">
        <f>COUNTIF('Delivered Rentals'!A:A, B151) &gt; 0</f>
        <v>1</v>
      </c>
      <c r="P151" s="104"/>
    </row>
    <row r="152">
      <c r="A152" s="99" t="str">
        <f>IFERROR(__xludf.DUMMYFUNCTION("""COMPUTED_VALUE"""),"https://utrucking.com/admin/orders/5908809744572")</f>
        <v>https://utrucking.com/admin/orders/5908809744572</v>
      </c>
      <c r="B152" s="61" t="str">
        <f>IFERROR(__xludf.DUMMYFUNCTION("""COMPUTED_VALUE"""),"#15397")</f>
        <v>#15397</v>
      </c>
      <c r="C152" s="61"/>
      <c r="D152" s="61">
        <f>IFERROR(__xludf.DUMMYFUNCTION("""COMPUTED_VALUE"""),7.138576891E9)</f>
        <v>7138576891</v>
      </c>
      <c r="E152" s="61" t="str">
        <f>IFERROR(__xludf.DUMMYFUNCTION("""COMPUTED_VALUE"""),"Teresa Witte")</f>
        <v>Teresa Witte</v>
      </c>
      <c r="F152" s="61"/>
      <c r="G152" s="61"/>
      <c r="H152" s="61" t="str">
        <f>IFERROR(__xludf.DUMMYFUNCTION("""COMPUTED_VALUE"""),"Appliance Rental")</f>
        <v>Appliance Rental</v>
      </c>
      <c r="I152" s="61" t="str">
        <f>IFERROR(__xludf.DUMMYFUNCTION("""COMPUTED_VALUE""")," Double-Door Mini Fridge + Microwave")</f>
        <v> Double-Door Mini Fridge + Microwave</v>
      </c>
      <c r="J152" s="61">
        <f>IFERROR(__xludf.DUMMYFUNCTION("""COMPUTED_VALUE"""),210.0)</f>
        <v>210</v>
      </c>
      <c r="K152" s="100">
        <f>IFERROR(__xludf.DUMMYFUNCTION("""COMPUTED_VALUE"""),45883.0)</f>
        <v>45883</v>
      </c>
      <c r="L152" s="61" t="str">
        <f>IFERROR(__xludf.DUMMYFUNCTION("""COMPUTED_VALUE"""),"Danforth  ")</f>
        <v>Danforth  </v>
      </c>
      <c r="M152" s="64" t="str">
        <f>IFERROR(__xludf.DUMMYFUNCTION("""COMPUTED_VALUE"""),"2203")</f>
        <v>2203</v>
      </c>
      <c r="N152" s="61"/>
      <c r="O152" s="61" t="b">
        <f>COUNTIF('Delivered Rentals'!A:A, B152) &gt; 0</f>
        <v>1</v>
      </c>
      <c r="P152" s="101"/>
    </row>
    <row r="153">
      <c r="A153" s="102" t="str">
        <f>IFERROR(__xludf.DUMMYFUNCTION("""COMPUTED_VALUE"""),"https://utrucking.com/admin/orders/5909061697724")</f>
        <v>https://utrucking.com/admin/orders/5909061697724</v>
      </c>
      <c r="B153" s="65" t="str">
        <f>IFERROR(__xludf.DUMMYFUNCTION("""COMPUTED_VALUE"""),"#15402")</f>
        <v>#15402</v>
      </c>
      <c r="C153" s="65" t="str">
        <f>IFERROR(__xludf.DUMMYFUNCTION("""COMPUTED_VALUE"""),"b.giles@wustl.edu")</f>
        <v>b.giles@wustl.edu</v>
      </c>
      <c r="D153" s="65">
        <f>IFERROR(__xludf.DUMMYFUNCTION("""COMPUTED_VALUE"""),2.393513534E9)</f>
        <v>2393513534</v>
      </c>
      <c r="E153" s="65" t="str">
        <f>IFERROR(__xludf.DUMMYFUNCTION("""COMPUTED_VALUE"""),"Bailey Giles")</f>
        <v>Bailey Giles</v>
      </c>
      <c r="F153" s="65"/>
      <c r="G153" s="65"/>
      <c r="H153" s="65" t="str">
        <f>IFERROR(__xludf.DUMMYFUNCTION("""COMPUTED_VALUE"""),"Appliance Rental")</f>
        <v>Appliance Rental</v>
      </c>
      <c r="I153" s="65" t="str">
        <f>IFERROR(__xludf.DUMMYFUNCTION("""COMPUTED_VALUE""")," Double-Door Mini Fridge")</f>
        <v> Double-Door Mini Fridge</v>
      </c>
      <c r="J153" s="65">
        <f>IFERROR(__xludf.DUMMYFUNCTION("""COMPUTED_VALUE"""),145.0)</f>
        <v>145</v>
      </c>
      <c r="K153" s="103">
        <f>IFERROR(__xludf.DUMMYFUNCTION("""COMPUTED_VALUE"""),45883.0)</f>
        <v>45883</v>
      </c>
      <c r="L153" s="65" t="str">
        <f>IFERROR(__xludf.DUMMYFUNCTION("""COMPUTED_VALUE"""),"Nemerov  ")</f>
        <v>Nemerov  </v>
      </c>
      <c r="M153" s="68" t="str">
        <f>IFERROR(__xludf.DUMMYFUNCTION("""COMPUTED_VALUE"""),"2063")</f>
        <v>2063</v>
      </c>
      <c r="N153" s="65"/>
      <c r="O153" s="65" t="b">
        <f>COUNTIF('Delivered Rentals'!A:A, B153) &gt; 0</f>
        <v>1</v>
      </c>
      <c r="P153" s="104"/>
    </row>
    <row r="154">
      <c r="A154" s="99" t="str">
        <f>IFERROR(__xludf.DUMMYFUNCTION("""COMPUTED_VALUE"""),"https://utrucking.com/admin/orders/5909102887100")</f>
        <v>https://utrucking.com/admin/orders/5909102887100</v>
      </c>
      <c r="B154" s="61" t="str">
        <f>IFERROR(__xludf.DUMMYFUNCTION("""COMPUTED_VALUE"""),"#15403")</f>
        <v>#15403</v>
      </c>
      <c r="C154" s="61"/>
      <c r="D154" s="61">
        <f>IFERROR(__xludf.DUMMYFUNCTION("""COMPUTED_VALUE"""),2.285472374E9)</f>
        <v>2285472374</v>
      </c>
      <c r="E154" s="61" t="str">
        <f>IFERROR(__xludf.DUMMYFUNCTION("""COMPUTED_VALUE"""),"Melissa Burton")</f>
        <v>Melissa Burton</v>
      </c>
      <c r="F154" s="61"/>
      <c r="G154" s="61"/>
      <c r="H154" s="61" t="str">
        <f>IFERROR(__xludf.DUMMYFUNCTION("""COMPUTED_VALUE"""),"Appliance Rental")</f>
        <v>Appliance Rental</v>
      </c>
      <c r="I154" s="61" t="str">
        <f>IFERROR(__xludf.DUMMYFUNCTION("""COMPUTED_VALUE""")," Double-Door Mini Fridge + Microwave")</f>
        <v> Double-Door Mini Fridge + Microwave</v>
      </c>
      <c r="J154" s="61">
        <f>IFERROR(__xludf.DUMMYFUNCTION("""COMPUTED_VALUE"""),210.0)</f>
        <v>210</v>
      </c>
      <c r="K154" s="100">
        <f>IFERROR(__xludf.DUMMYFUNCTION("""COMPUTED_VALUE"""),45883.0)</f>
        <v>45883</v>
      </c>
      <c r="L154" s="61" t="str">
        <f>IFERROR(__xludf.DUMMYFUNCTION("""COMPUTED_VALUE"""),"Eliot A  ")</f>
        <v>Eliot A  </v>
      </c>
      <c r="M154" s="64" t="str">
        <f>IFERROR(__xludf.DUMMYFUNCTION("""COMPUTED_VALUE"""),"3043")</f>
        <v>3043</v>
      </c>
      <c r="N154" s="61"/>
      <c r="O154" s="61" t="b">
        <f>COUNTIF('Delivered Rentals'!A:A, B154) &gt; 0</f>
        <v>1</v>
      </c>
      <c r="P154" s="101"/>
    </row>
    <row r="155">
      <c r="A155" s="102" t="str">
        <f>IFERROR(__xludf.DUMMYFUNCTION("""COMPUTED_VALUE"""),"https://utrucking.com/admin/orders/5909536637116")</f>
        <v>https://utrucking.com/admin/orders/5909536637116</v>
      </c>
      <c r="B155" s="65" t="str">
        <f>IFERROR(__xludf.DUMMYFUNCTION("""COMPUTED_VALUE"""),"#15409")</f>
        <v>#15409</v>
      </c>
      <c r="C155" s="65" t="str">
        <f>IFERROR(__xludf.DUMMYFUNCTION("""COMPUTED_VALUE"""),"gangopadhyaysana@gmail.com")</f>
        <v>gangopadhyaysana@gmail.com</v>
      </c>
      <c r="D155" s="65">
        <f>IFERROR(__xludf.DUMMYFUNCTION("""COMPUTED_VALUE"""),2.816368843E9)</f>
        <v>2816368843</v>
      </c>
      <c r="E155" s="65" t="str">
        <f>IFERROR(__xludf.DUMMYFUNCTION("""COMPUTED_VALUE"""),"Abhijit Gangopadhyay")</f>
        <v>Abhijit Gangopadhyay</v>
      </c>
      <c r="F155" s="65"/>
      <c r="G155" s="65"/>
      <c r="H155" s="65" t="str">
        <f>IFERROR(__xludf.DUMMYFUNCTION("""COMPUTED_VALUE"""),"Appliance Rental")</f>
        <v>Appliance Rental</v>
      </c>
      <c r="I155" s="65" t="str">
        <f>IFERROR(__xludf.DUMMYFUNCTION("""COMPUTED_VALUE""")," Double-Door Mini Fridge + Microwave")</f>
        <v> Double-Door Mini Fridge + Microwave</v>
      </c>
      <c r="J155" s="65">
        <f>IFERROR(__xludf.DUMMYFUNCTION("""COMPUTED_VALUE"""),210.0)</f>
        <v>210</v>
      </c>
      <c r="K155" s="103">
        <f>IFERROR(__xludf.DUMMYFUNCTION("""COMPUTED_VALUE"""),45883.0)</f>
        <v>45883</v>
      </c>
      <c r="L155" s="65" t="str">
        <f>IFERROR(__xludf.DUMMYFUNCTION("""COMPUTED_VALUE"""),"Dardick  ")</f>
        <v>Dardick  </v>
      </c>
      <c r="M155" s="68" t="str">
        <f>IFERROR(__xludf.DUMMYFUNCTION("""COMPUTED_VALUE"""),"3302")</f>
        <v>3302</v>
      </c>
      <c r="N155" s="65"/>
      <c r="O155" s="65" t="b">
        <f>COUNTIF('Delivered Rentals'!A:A, B155) &gt; 0</f>
        <v>1</v>
      </c>
      <c r="P155" s="104"/>
    </row>
    <row r="156">
      <c r="A156" s="99" t="str">
        <f>IFERROR(__xludf.DUMMYFUNCTION("""COMPUTED_VALUE"""),"https://utrucking.com/admin/orders/5909911666876")</f>
        <v>https://utrucking.com/admin/orders/5909911666876</v>
      </c>
      <c r="B156" s="61" t="str">
        <f>IFERROR(__xludf.DUMMYFUNCTION("""COMPUTED_VALUE"""),"#15417")</f>
        <v>#15417</v>
      </c>
      <c r="C156" s="61" t="str">
        <f>IFERROR(__xludf.DUMMYFUNCTION("""COMPUTED_VALUE"""),"nisha_lee@icloud.com")</f>
        <v>nisha_lee@icloud.com</v>
      </c>
      <c r="D156" s="61">
        <f>IFERROR(__xludf.DUMMYFUNCTION("""COMPUTED_VALUE"""),3.122032557E9)</f>
        <v>3122032557</v>
      </c>
      <c r="E156" s="61" t="str">
        <f>IFERROR(__xludf.DUMMYFUNCTION("""COMPUTED_VALUE"""),"Shruti Trivedi")</f>
        <v>Shruti Trivedi</v>
      </c>
      <c r="F156" s="61"/>
      <c r="G156" s="61"/>
      <c r="H156" s="61" t="str">
        <f>IFERROR(__xludf.DUMMYFUNCTION("""COMPUTED_VALUE"""),"Appliance Rental")</f>
        <v>Appliance Rental</v>
      </c>
      <c r="I156" s="61" t="str">
        <f>IFERROR(__xludf.DUMMYFUNCTION("""COMPUTED_VALUE""")," Standard Mini Fridge + Microwave")</f>
        <v> Standard Mini Fridge + Microwave</v>
      </c>
      <c r="J156" s="61">
        <f>IFERROR(__xludf.DUMMYFUNCTION("""COMPUTED_VALUE"""),180.0)</f>
        <v>180</v>
      </c>
      <c r="K156" s="100">
        <f>IFERROR(__xludf.DUMMYFUNCTION("""COMPUTED_VALUE"""),45883.0)</f>
        <v>45883</v>
      </c>
      <c r="L156" s="61" t="str">
        <f>IFERROR(__xludf.DUMMYFUNCTION("""COMPUTED_VALUE"""),"Danforth  ")</f>
        <v>Danforth  </v>
      </c>
      <c r="M156" s="64" t="str">
        <f>IFERROR(__xludf.DUMMYFUNCTION("""COMPUTED_VALUE"""),"4414")</f>
        <v>4414</v>
      </c>
      <c r="N156" s="61"/>
      <c r="O156" s="61" t="b">
        <f>COUNTIF('Delivered Rentals'!A:A, B156) &gt; 0</f>
        <v>1</v>
      </c>
      <c r="P156" s="101"/>
    </row>
    <row r="157">
      <c r="A157" s="102" t="str">
        <f>IFERROR(__xludf.DUMMYFUNCTION("""COMPUTED_VALUE"""),"https://utrucking.com/admin/orders/5909917827260")</f>
        <v>https://utrucking.com/admin/orders/5909917827260</v>
      </c>
      <c r="B157" s="65" t="str">
        <f>IFERROR(__xludf.DUMMYFUNCTION("""COMPUTED_VALUE"""),"#15418")</f>
        <v>#15418</v>
      </c>
      <c r="C157" s="65" t="str">
        <f>IFERROR(__xludf.DUMMYFUNCTION("""COMPUTED_VALUE"""),"jefflynas@gmail.com")</f>
        <v>jefflynas@gmail.com</v>
      </c>
      <c r="D157" s="65">
        <f>IFERROR(__xludf.DUMMYFUNCTION("""COMPUTED_VALUE"""),3.108498258E9)</f>
        <v>3108498258</v>
      </c>
      <c r="E157" s="65" t="str">
        <f>IFERROR(__xludf.DUMMYFUNCTION("""COMPUTED_VALUE"""),"Jeffrey Lynas")</f>
        <v>Jeffrey Lynas</v>
      </c>
      <c r="F157" s="65"/>
      <c r="G157" s="65"/>
      <c r="H157" s="65" t="str">
        <f>IFERROR(__xludf.DUMMYFUNCTION("""COMPUTED_VALUE"""),"Appliance Rental")</f>
        <v>Appliance Rental</v>
      </c>
      <c r="I157" s="65" t="str">
        <f>IFERROR(__xludf.DUMMYFUNCTION("""COMPUTED_VALUE""")," Double-Door Mini Fridge + Microwave")</f>
        <v> Double-Door Mini Fridge + Microwave</v>
      </c>
      <c r="J157" s="65">
        <f>IFERROR(__xludf.DUMMYFUNCTION("""COMPUTED_VALUE"""),210.0)</f>
        <v>210</v>
      </c>
      <c r="K157" s="103">
        <f>IFERROR(__xludf.DUMMYFUNCTION("""COMPUTED_VALUE"""),45883.0)</f>
        <v>45883</v>
      </c>
      <c r="L157" s="65" t="str">
        <f>IFERROR(__xludf.DUMMYFUNCTION("""COMPUTED_VALUE"""),"Koenig  ")</f>
        <v>Koenig  </v>
      </c>
      <c r="M157" s="68" t="str">
        <f>IFERROR(__xludf.DUMMYFUNCTION("""COMPUTED_VALUE"""),"1107")</f>
        <v>1107</v>
      </c>
      <c r="N157" s="65"/>
      <c r="O157" s="65" t="b">
        <f>COUNTIF('Delivered Rentals'!A:A, B157) &gt; 0</f>
        <v>1</v>
      </c>
      <c r="P157" s="104"/>
    </row>
    <row r="158">
      <c r="A158" s="99" t="str">
        <f>IFERROR(__xludf.DUMMYFUNCTION("""COMPUTED_VALUE"""),"https://utrucking.com/admin/orders/5909926314172")</f>
        <v>https://utrucking.com/admin/orders/5909926314172</v>
      </c>
      <c r="B158" s="61" t="str">
        <f>IFERROR(__xludf.DUMMYFUNCTION("""COMPUTED_VALUE"""),"#15419")</f>
        <v>#15419</v>
      </c>
      <c r="C158" s="61"/>
      <c r="D158" s="61">
        <f>IFERROR(__xludf.DUMMYFUNCTION("""COMPUTED_VALUE"""),9.086989314E9)</f>
        <v>9086989314</v>
      </c>
      <c r="E158" s="61" t="str">
        <f>IFERROR(__xludf.DUMMYFUNCTION("""COMPUTED_VALUE"""),"Kat Ziwot")</f>
        <v>Kat Ziwot</v>
      </c>
      <c r="F158" s="61"/>
      <c r="G158" s="61"/>
      <c r="H158" s="61" t="str">
        <f>IFERROR(__xludf.DUMMYFUNCTION("""COMPUTED_VALUE"""),"Appliance Rental")</f>
        <v>Appliance Rental</v>
      </c>
      <c r="I158" s="61" t="str">
        <f>IFERROR(__xludf.DUMMYFUNCTION("""COMPUTED_VALUE""")," Double-Door Mini Fridge + Microwave")</f>
        <v> Double-Door Mini Fridge + Microwave</v>
      </c>
      <c r="J158" s="61">
        <f>IFERROR(__xludf.DUMMYFUNCTION("""COMPUTED_VALUE"""),210.0)</f>
        <v>210</v>
      </c>
      <c r="K158" s="100">
        <f>IFERROR(__xludf.DUMMYFUNCTION("""COMPUTED_VALUE"""),45883.0)</f>
        <v>45883</v>
      </c>
      <c r="L158" s="61" t="str">
        <f>IFERROR(__xludf.DUMMYFUNCTION("""COMPUTED_VALUE"""),"Danforth  ")</f>
        <v>Danforth  </v>
      </c>
      <c r="M158" s="64" t="str">
        <f>IFERROR(__xludf.DUMMYFUNCTION("""COMPUTED_VALUE"""),"2212")</f>
        <v>2212</v>
      </c>
      <c r="N158" s="61"/>
      <c r="O158" s="61" t="b">
        <f>COUNTIF('Delivered Rentals'!A:A, B158) &gt; 0</f>
        <v>1</v>
      </c>
      <c r="P158" s="101"/>
    </row>
    <row r="159">
      <c r="A159" s="102" t="str">
        <f>IFERROR(__xludf.DUMMYFUNCTION("""COMPUTED_VALUE"""),"https://utrucking.com/admin/orders/5910118170812")</f>
        <v>https://utrucking.com/admin/orders/5910118170812</v>
      </c>
      <c r="B159" s="65" t="str">
        <f>IFERROR(__xludf.DUMMYFUNCTION("""COMPUTED_VALUE"""),"#15421")</f>
        <v>#15421</v>
      </c>
      <c r="C159" s="65" t="str">
        <f>IFERROR(__xludf.DUMMYFUNCTION("""COMPUTED_VALUE"""),"Chaim.jaffe@yahoo.com")</f>
        <v>Chaim.jaffe@yahoo.com</v>
      </c>
      <c r="D159" s="65">
        <f>IFERROR(__xludf.DUMMYFUNCTION("""COMPUTED_VALUE"""),3.153827241E9)</f>
        <v>3153827241</v>
      </c>
      <c r="E159" s="65" t="str">
        <f>IFERROR(__xludf.DUMMYFUNCTION("""COMPUTED_VALUE"""),"Chaim Jaffe")</f>
        <v>Chaim Jaffe</v>
      </c>
      <c r="F159" s="65"/>
      <c r="G159" s="65"/>
      <c r="H159" s="65" t="str">
        <f>IFERROR(__xludf.DUMMYFUNCTION("""COMPUTED_VALUE"""),"Appliance Rental")</f>
        <v>Appliance Rental</v>
      </c>
      <c r="I159" s="65" t="str">
        <f>IFERROR(__xludf.DUMMYFUNCTION("""COMPUTED_VALUE""")," Double-Door Mini Fridge + Microwave")</f>
        <v> Double-Door Mini Fridge + Microwave</v>
      </c>
      <c r="J159" s="65">
        <f>IFERROR(__xludf.DUMMYFUNCTION("""COMPUTED_VALUE"""),210.0)</f>
        <v>210</v>
      </c>
      <c r="K159" s="103">
        <f>IFERROR(__xludf.DUMMYFUNCTION("""COMPUTED_VALUE"""),45883.0)</f>
        <v>45883</v>
      </c>
      <c r="L159" s="65" t="str">
        <f>IFERROR(__xludf.DUMMYFUNCTION("""COMPUTED_VALUE"""),"Koenig  ")</f>
        <v>Koenig  </v>
      </c>
      <c r="M159" s="68" t="str">
        <f>IFERROR(__xludf.DUMMYFUNCTION("""COMPUTED_VALUE"""),"2212-b")</f>
        <v>2212-b</v>
      </c>
      <c r="N159" s="65"/>
      <c r="O159" s="65" t="b">
        <f>COUNTIF('Delivered Rentals'!A:A, B159) &gt; 0</f>
        <v>1</v>
      </c>
      <c r="P159" s="104"/>
    </row>
    <row r="160">
      <c r="A160" s="99" t="str">
        <f>IFERROR(__xludf.DUMMYFUNCTION("""COMPUTED_VALUE"""),"https://utrucking.com/admin/orders/5910192029884")</f>
        <v>https://utrucking.com/admin/orders/5910192029884</v>
      </c>
      <c r="B160" s="61" t="str">
        <f>IFERROR(__xludf.DUMMYFUNCTION("""COMPUTED_VALUE"""),"#15422")</f>
        <v>#15422</v>
      </c>
      <c r="C160" s="61"/>
      <c r="D160" s="61">
        <f>IFERROR(__xludf.DUMMYFUNCTION("""COMPUTED_VALUE"""),4.079136456E9)</f>
        <v>4079136456</v>
      </c>
      <c r="E160" s="61" t="str">
        <f>IFERROR(__xludf.DUMMYFUNCTION("""COMPUTED_VALUE"""),"Andrew Espenshade")</f>
        <v>Andrew Espenshade</v>
      </c>
      <c r="F160" s="61"/>
      <c r="G160" s="61"/>
      <c r="H160" s="61" t="str">
        <f>IFERROR(__xludf.DUMMYFUNCTION("""COMPUTED_VALUE"""),"Appliance Rental")</f>
        <v>Appliance Rental</v>
      </c>
      <c r="I160" s="61" t="str">
        <f>IFERROR(__xludf.DUMMYFUNCTION("""COMPUTED_VALUE""")," Double-Door Mini Fridge + Microwave")</f>
        <v> Double-Door Mini Fridge + Microwave</v>
      </c>
      <c r="J160" s="61">
        <f>IFERROR(__xludf.DUMMYFUNCTION("""COMPUTED_VALUE"""),210.0)</f>
        <v>210</v>
      </c>
      <c r="K160" s="100">
        <f>IFERROR(__xludf.DUMMYFUNCTION("""COMPUTED_VALUE"""),45883.0)</f>
        <v>45883</v>
      </c>
      <c r="L160" s="61" t="str">
        <f>IFERROR(__xludf.DUMMYFUNCTION("""COMPUTED_VALUE"""),"Umrath  ")</f>
        <v>Umrath  </v>
      </c>
      <c r="M160" s="64" t="str">
        <f>IFERROR(__xludf.DUMMYFUNCTION("""COMPUTED_VALUE"""),"3309")</f>
        <v>3309</v>
      </c>
      <c r="N160" s="61"/>
      <c r="O160" s="61" t="b">
        <f>COUNTIF('Delivered Rentals'!A:A, B160) &gt; 0</f>
        <v>1</v>
      </c>
      <c r="P160" s="101"/>
    </row>
    <row r="161">
      <c r="A161" s="102" t="str">
        <f>IFERROR(__xludf.DUMMYFUNCTION("""COMPUTED_VALUE"""),"https://utrucking.com/admin/orders/5910527967420")</f>
        <v>https://utrucking.com/admin/orders/5910527967420</v>
      </c>
      <c r="B161" s="65" t="str">
        <f>IFERROR(__xludf.DUMMYFUNCTION("""COMPUTED_VALUE"""),"#15424")</f>
        <v>#15424</v>
      </c>
      <c r="C161" s="65" t="str">
        <f>IFERROR(__xludf.DUMMYFUNCTION("""COMPUTED_VALUE"""),"kmicah@wustl.edu")</f>
        <v>kmicah@wustl.edu</v>
      </c>
      <c r="D161" s="65">
        <f>IFERROR(__xludf.DUMMYFUNCTION("""COMPUTED_VALUE"""),4.04368939E9)</f>
        <v>4043689390</v>
      </c>
      <c r="E161" s="65" t="str">
        <f>IFERROR(__xludf.DUMMYFUNCTION("""COMPUTED_VALUE"""),"Micah Kopelman")</f>
        <v>Micah Kopelman</v>
      </c>
      <c r="F161" s="65"/>
      <c r="G161" s="65"/>
      <c r="H161" s="65" t="str">
        <f>IFERROR(__xludf.DUMMYFUNCTION("""COMPUTED_VALUE"""),"Appliance Rental")</f>
        <v>Appliance Rental</v>
      </c>
      <c r="I161" s="65" t="str">
        <f>IFERROR(__xludf.DUMMYFUNCTION("""COMPUTED_VALUE""")," Double-Door Mini Fridge + Microwave")</f>
        <v> Double-Door Mini Fridge + Microwave</v>
      </c>
      <c r="J161" s="65">
        <f>IFERROR(__xludf.DUMMYFUNCTION("""COMPUTED_VALUE"""),210.0)</f>
        <v>210</v>
      </c>
      <c r="K161" s="103">
        <f>IFERROR(__xludf.DUMMYFUNCTION("""COMPUTED_VALUE"""),45883.0)</f>
        <v>45883</v>
      </c>
      <c r="L161" s="65" t="str">
        <f>IFERROR(__xludf.DUMMYFUNCTION("""COMPUTED_VALUE"""),"Dardick  ")</f>
        <v>Dardick  </v>
      </c>
      <c r="M161" s="68" t="str">
        <f>IFERROR(__xludf.DUMMYFUNCTION("""COMPUTED_VALUE"""),"3308")</f>
        <v>3308</v>
      </c>
      <c r="N161" s="65"/>
      <c r="O161" s="65" t="b">
        <f>COUNTIF('Delivered Rentals'!A:A, B161) &gt; 0</f>
        <v>1</v>
      </c>
      <c r="P161" s="104"/>
    </row>
    <row r="162">
      <c r="A162" s="99" t="str">
        <f>IFERROR(__xludf.DUMMYFUNCTION("""COMPUTED_VALUE"""),"https://utrucking.com/admin/orders/5910561423548")</f>
        <v>https://utrucking.com/admin/orders/5910561423548</v>
      </c>
      <c r="B162" s="61" t="str">
        <f>IFERROR(__xludf.DUMMYFUNCTION("""COMPUTED_VALUE"""),"#15425")</f>
        <v>#15425</v>
      </c>
      <c r="C162" s="61" t="str">
        <f>IFERROR(__xludf.DUMMYFUNCTION("""COMPUTED_VALUE"""),"arushig@wustl.edu")</f>
        <v>arushig@wustl.edu</v>
      </c>
      <c r="D162" s="61">
        <f>IFERROR(__xludf.DUMMYFUNCTION("""COMPUTED_VALUE"""),8.296987458E9)</f>
        <v>8296987458</v>
      </c>
      <c r="E162" s="61" t="str">
        <f>IFERROR(__xludf.DUMMYFUNCTION("""COMPUTED_VALUE"""),"Arushi Goyal")</f>
        <v>Arushi Goyal</v>
      </c>
      <c r="F162" s="61"/>
      <c r="G162" s="61"/>
      <c r="H162" s="61" t="str">
        <f>IFERROR(__xludf.DUMMYFUNCTION("""COMPUTED_VALUE"""),"Appliance Rental")</f>
        <v>Appliance Rental</v>
      </c>
      <c r="I162" s="61" t="str">
        <f>IFERROR(__xludf.DUMMYFUNCTION("""COMPUTED_VALUE""")," Standard Mini Fridge + Microwave")</f>
        <v> Standard Mini Fridge + Microwave</v>
      </c>
      <c r="J162" s="61">
        <f>IFERROR(__xludf.DUMMYFUNCTION("""COMPUTED_VALUE"""),180.0)</f>
        <v>180</v>
      </c>
      <c r="K162" s="100">
        <f>IFERROR(__xludf.DUMMYFUNCTION("""COMPUTED_VALUE"""),45881.0)</f>
        <v>45881</v>
      </c>
      <c r="L162" s="61" t="str">
        <f>IFERROR(__xludf.DUMMYFUNCTION("""COMPUTED_VALUE"""),"Park  ")</f>
        <v>Park  </v>
      </c>
      <c r="M162" s="64" t="str">
        <f>IFERROR(__xludf.DUMMYFUNCTION("""COMPUTED_VALUE"""),"171")</f>
        <v>171</v>
      </c>
      <c r="N162" s="61"/>
      <c r="O162" s="61" t="b">
        <f>COUNTIF('Delivered Rentals'!A:A, B162) &gt; 0</f>
        <v>1</v>
      </c>
      <c r="P162" s="101"/>
    </row>
    <row r="163">
      <c r="A163" s="102" t="str">
        <f>IFERROR(__xludf.DUMMYFUNCTION("""COMPUTED_VALUE"""),"https://utrucking.com/admin/orders/5910613754044")</f>
        <v>https://utrucking.com/admin/orders/5910613754044</v>
      </c>
      <c r="B163" s="65" t="str">
        <f>IFERROR(__xludf.DUMMYFUNCTION("""COMPUTED_VALUE"""),"#15426")</f>
        <v>#15426</v>
      </c>
      <c r="C163" s="65"/>
      <c r="D163" s="65">
        <f>IFERROR(__xludf.DUMMYFUNCTION("""COMPUTED_VALUE"""),3.525141862E9)</f>
        <v>3525141862</v>
      </c>
      <c r="E163" s="65" t="str">
        <f>IFERROR(__xludf.DUMMYFUNCTION("""COMPUTED_VALUE"""),"Tara Boonstra")</f>
        <v>Tara Boonstra</v>
      </c>
      <c r="F163" s="65"/>
      <c r="G163" s="65"/>
      <c r="H163" s="65" t="str">
        <f>IFERROR(__xludf.DUMMYFUNCTION("""COMPUTED_VALUE"""),"Appliance Rental")</f>
        <v>Appliance Rental</v>
      </c>
      <c r="I163" s="65" t="str">
        <f>IFERROR(__xludf.DUMMYFUNCTION("""COMPUTED_VALUE""")," Double-Door Mini Fridge + Microwave")</f>
        <v> Double-Door Mini Fridge + Microwave</v>
      </c>
      <c r="J163" s="65">
        <f>IFERROR(__xludf.DUMMYFUNCTION("""COMPUTED_VALUE"""),210.0)</f>
        <v>210</v>
      </c>
      <c r="K163" s="103">
        <f>IFERROR(__xludf.DUMMYFUNCTION("""COMPUTED_VALUE"""),45883.0)</f>
        <v>45883</v>
      </c>
      <c r="L163" s="65" t="str">
        <f>IFERROR(__xludf.DUMMYFUNCTION("""COMPUTED_VALUE"""),"Rutledge  ")</f>
        <v>Rutledge  </v>
      </c>
      <c r="M163" s="68" t="str">
        <f>IFERROR(__xludf.DUMMYFUNCTION("""COMPUTED_VALUE"""),"431")</f>
        <v>431</v>
      </c>
      <c r="N163" s="65"/>
      <c r="O163" s="65" t="b">
        <f>COUNTIF('Delivered Rentals'!A:A, B163) &gt; 0</f>
        <v>1</v>
      </c>
      <c r="P163" s="104"/>
    </row>
    <row r="164">
      <c r="A164" s="99" t="str">
        <f>IFERROR(__xludf.DUMMYFUNCTION("""COMPUTED_VALUE"""),"https://utrucking.com/admin/orders/5910825861308")</f>
        <v>https://utrucking.com/admin/orders/5910825861308</v>
      </c>
      <c r="B164" s="61" t="str">
        <f>IFERROR(__xludf.DUMMYFUNCTION("""COMPUTED_VALUE"""),"#15434")</f>
        <v>#15434</v>
      </c>
      <c r="C164" s="61" t="str">
        <f>IFERROR(__xludf.DUMMYFUNCTION("""COMPUTED_VALUE"""),"n.sofia@wustl.edu")</f>
        <v>n.sofia@wustl.edu</v>
      </c>
      <c r="D164" s="61">
        <f>IFERROR(__xludf.DUMMYFUNCTION("""COMPUTED_VALUE"""),9.179022223E9)</f>
        <v>9179022223</v>
      </c>
      <c r="E164" s="61" t="str">
        <f>IFERROR(__xludf.DUMMYFUNCTION("""COMPUTED_VALUE"""),"Clinton Nossel")</f>
        <v>Clinton Nossel</v>
      </c>
      <c r="F164" s="61"/>
      <c r="G164" s="61"/>
      <c r="H164" s="61" t="str">
        <f>IFERROR(__xludf.DUMMYFUNCTION("""COMPUTED_VALUE"""),"Appliance Rental")</f>
        <v>Appliance Rental</v>
      </c>
      <c r="I164" s="61" t="str">
        <f>IFERROR(__xludf.DUMMYFUNCTION("""COMPUTED_VALUE""")," Double-Door Mini Fridge ")</f>
        <v> Double-Door Mini Fridge </v>
      </c>
      <c r="J164" s="61">
        <f>IFERROR(__xludf.DUMMYFUNCTION("""COMPUTED_VALUE"""),145.0)</f>
        <v>145</v>
      </c>
      <c r="K164" s="100">
        <f>IFERROR(__xludf.DUMMYFUNCTION("""COMPUTED_VALUE"""),45888.0)</f>
        <v>45888</v>
      </c>
      <c r="L164" s="61" t="str">
        <f>IFERROR(__xludf.DUMMYFUNCTION("""COMPUTED_VALUE"""),"Gregg  ")</f>
        <v>Gregg  </v>
      </c>
      <c r="M164" s="64" t="str">
        <f>IFERROR(__xludf.DUMMYFUNCTION("""COMPUTED_VALUE"""),"3133 - A")</f>
        <v>3133 - A</v>
      </c>
      <c r="N164" s="61"/>
      <c r="O164" s="61" t="b">
        <f>COUNTIF('Delivered Rentals'!A:A, B164) &gt; 0</f>
        <v>1</v>
      </c>
      <c r="P164" s="101"/>
    </row>
    <row r="165">
      <c r="A165" s="102" t="str">
        <f>IFERROR(__xludf.DUMMYFUNCTION("""COMPUTED_VALUE"""),"https://utrucking.com/admin/orders/5910867214524")</f>
        <v>https://utrucking.com/admin/orders/5910867214524</v>
      </c>
      <c r="B165" s="65" t="str">
        <f>IFERROR(__xludf.DUMMYFUNCTION("""COMPUTED_VALUE"""),"#15435")</f>
        <v>#15435</v>
      </c>
      <c r="C165" s="65" t="str">
        <f>IFERROR(__xludf.DUMMYFUNCTION("""COMPUTED_VALUE"""),"d.r.wendler@wustl.edu")</f>
        <v>d.r.wendler@wustl.edu</v>
      </c>
      <c r="D165" s="65">
        <f>IFERROR(__xludf.DUMMYFUNCTION("""COMPUTED_VALUE"""),8.327211089E9)</f>
        <v>8327211089</v>
      </c>
      <c r="E165" s="65" t="str">
        <f>IFERROR(__xludf.DUMMYFUNCTION("""COMPUTED_VALUE"""),"Angela Wendler")</f>
        <v>Angela Wendler</v>
      </c>
      <c r="F165" s="65"/>
      <c r="G165" s="65"/>
      <c r="H165" s="65" t="str">
        <f>IFERROR(__xludf.DUMMYFUNCTION("""COMPUTED_VALUE"""),"Appliance Rental")</f>
        <v>Appliance Rental</v>
      </c>
      <c r="I165" s="65" t="str">
        <f>IFERROR(__xludf.DUMMYFUNCTION("""COMPUTED_VALUE""")," Standard Mini Fridge ")</f>
        <v> Standard Mini Fridge </v>
      </c>
      <c r="J165" s="65">
        <f>IFERROR(__xludf.DUMMYFUNCTION("""COMPUTED_VALUE"""),115.0)</f>
        <v>115</v>
      </c>
      <c r="K165" s="103">
        <f>IFERROR(__xludf.DUMMYFUNCTION("""COMPUTED_VALUE"""),45890.0)</f>
        <v>45890</v>
      </c>
      <c r="L165" s="65" t="str">
        <f>IFERROR(__xludf.DUMMYFUNCTION("""COMPUTED_VALUE"""),"House 4 (Theta Xi)  ")</f>
        <v>House 4 (Theta Xi)  </v>
      </c>
      <c r="M165" s="68" t="str">
        <f>IFERROR(__xludf.DUMMYFUNCTION("""COMPUTED_VALUE"""),"206")</f>
        <v>206</v>
      </c>
      <c r="N165" s="65"/>
      <c r="O165" s="65" t="b">
        <f>COUNTIF('Delivered Rentals'!A:A, B165) &gt; 0</f>
        <v>1</v>
      </c>
      <c r="P165" s="104"/>
    </row>
    <row r="166">
      <c r="A166" s="99" t="str">
        <f>IFERROR(__xludf.DUMMYFUNCTION("""COMPUTED_VALUE"""),"https://utrucking.com/admin/orders/5910883696828")</f>
        <v>https://utrucking.com/admin/orders/5910883696828</v>
      </c>
      <c r="B166" s="61" t="str">
        <f>IFERROR(__xludf.DUMMYFUNCTION("""COMPUTED_VALUE"""),"#15436")</f>
        <v>#15436</v>
      </c>
      <c r="C166" s="61" t="str">
        <f>IFERROR(__xludf.DUMMYFUNCTION("""COMPUTED_VALUE"""),"e.eckerle@wustl.edu")</f>
        <v>e.eckerle@wustl.edu</v>
      </c>
      <c r="D166" s="61">
        <f>IFERROR(__xludf.DUMMYFUNCTION("""COMPUTED_VALUE"""),3.173701905E9)</f>
        <v>3173701905</v>
      </c>
      <c r="E166" s="61" t="str">
        <f>IFERROR(__xludf.DUMMYFUNCTION("""COMPUTED_VALUE"""),"Kim Eckerle")</f>
        <v>Kim Eckerle</v>
      </c>
      <c r="F166" s="61"/>
      <c r="G166" s="61"/>
      <c r="H166" s="61" t="str">
        <f>IFERROR(__xludf.DUMMYFUNCTION("""COMPUTED_VALUE"""),"Appliance Rental")</f>
        <v>Appliance Rental</v>
      </c>
      <c r="I166" s="61" t="str">
        <f>IFERROR(__xludf.DUMMYFUNCTION("""COMPUTED_VALUE""")," Double-Door Mini Fridge + Microwave ")</f>
        <v> Double-Door Mini Fridge + Microwave </v>
      </c>
      <c r="J166" s="61">
        <f>IFERROR(__xludf.DUMMYFUNCTION("""COMPUTED_VALUE"""),210.0)</f>
        <v>210</v>
      </c>
      <c r="K166" s="100">
        <f>IFERROR(__xludf.DUMMYFUNCTION("""COMPUTED_VALUE"""),45883.0)</f>
        <v>45883</v>
      </c>
      <c r="L166" s="61" t="str">
        <f>IFERROR(__xludf.DUMMYFUNCTION("""COMPUTED_VALUE"""),"Eliot A  ")</f>
        <v>Eliot A  </v>
      </c>
      <c r="M166" s="64" t="str">
        <f>IFERROR(__xludf.DUMMYFUNCTION("""COMPUTED_VALUE"""),"Room 2111")</f>
        <v>Room 2111</v>
      </c>
      <c r="N166" s="61"/>
      <c r="O166" s="61" t="b">
        <f>COUNTIF('Delivered Rentals'!A:A, B166) &gt; 0</f>
        <v>1</v>
      </c>
      <c r="P166" s="101"/>
    </row>
    <row r="167">
      <c r="A167" s="102" t="str">
        <f>IFERROR(__xludf.DUMMYFUNCTION("""COMPUTED_VALUE"""),"https://utrucking.com/admin/orders/5910979575996")</f>
        <v>https://utrucking.com/admin/orders/5910979575996</v>
      </c>
      <c r="B167" s="65" t="str">
        <f>IFERROR(__xludf.DUMMYFUNCTION("""COMPUTED_VALUE"""),"#15438")</f>
        <v>#15438</v>
      </c>
      <c r="C167" s="65"/>
      <c r="D167" s="65">
        <f>IFERROR(__xludf.DUMMYFUNCTION("""COMPUTED_VALUE"""),6.183834825E9)</f>
        <v>6183834825</v>
      </c>
      <c r="E167" s="65" t="str">
        <f>IFERROR(__xludf.DUMMYFUNCTION("""COMPUTED_VALUE"""),"Amy Balding")</f>
        <v>Amy Balding</v>
      </c>
      <c r="F167" s="65"/>
      <c r="G167" s="65"/>
      <c r="H167" s="65" t="str">
        <f>IFERROR(__xludf.DUMMYFUNCTION("""COMPUTED_VALUE"""),"Appliance Rental")</f>
        <v>Appliance Rental</v>
      </c>
      <c r="I167" s="65" t="str">
        <f>IFERROR(__xludf.DUMMYFUNCTION("""COMPUTED_VALUE""")," Double-Door Mini Fridge ")</f>
        <v> Double-Door Mini Fridge </v>
      </c>
      <c r="J167" s="65">
        <f>IFERROR(__xludf.DUMMYFUNCTION("""COMPUTED_VALUE"""),145.0)</f>
        <v>145</v>
      </c>
      <c r="K167" s="103">
        <f>IFERROR(__xludf.DUMMYFUNCTION("""COMPUTED_VALUE"""),45881.0)</f>
        <v>45881</v>
      </c>
      <c r="L167" s="65" t="str">
        <f>IFERROR(__xludf.DUMMYFUNCTION("""COMPUTED_VALUE"""),"Lee  ")</f>
        <v>Lee  </v>
      </c>
      <c r="M167" s="68" t="str">
        <f>IFERROR(__xludf.DUMMYFUNCTION("""COMPUTED_VALUE"""),"216-A")</f>
        <v>216-A</v>
      </c>
      <c r="N167" s="65"/>
      <c r="O167" s="65" t="b">
        <f>COUNTIF('Delivered Rentals'!A:A, B167) &gt; 0</f>
        <v>1</v>
      </c>
      <c r="P167" s="104"/>
    </row>
    <row r="168">
      <c r="A168" s="99" t="str">
        <f>IFERROR(__xludf.DUMMYFUNCTION("""COMPUTED_VALUE"""),"https://utrucking.com/admin/orders/5912113217724")</f>
        <v>https://utrucking.com/admin/orders/5912113217724</v>
      </c>
      <c r="B168" s="61" t="str">
        <f>IFERROR(__xludf.DUMMYFUNCTION("""COMPUTED_VALUE"""),"#15441")</f>
        <v>#15441</v>
      </c>
      <c r="C168" s="61" t="str">
        <f>IFERROR(__xludf.DUMMYFUNCTION("""COMPUTED_VALUE"""),"davidg795@gmail.com")</f>
        <v>davidg795@gmail.com</v>
      </c>
      <c r="D168" s="61">
        <f>IFERROR(__xludf.DUMMYFUNCTION("""COMPUTED_VALUE"""),6.186411334E9)</f>
        <v>6186411334</v>
      </c>
      <c r="E168" s="61" t="str">
        <f>IFERROR(__xludf.DUMMYFUNCTION("""COMPUTED_VALUE"""),"Adam Mofid")</f>
        <v>Adam Mofid</v>
      </c>
      <c r="F168" s="61"/>
      <c r="G168" s="61"/>
      <c r="H168" s="61" t="str">
        <f>IFERROR(__xludf.DUMMYFUNCTION("""COMPUTED_VALUE"""),"Appliance Rental")</f>
        <v>Appliance Rental</v>
      </c>
      <c r="I168" s="61" t="str">
        <f>IFERROR(__xludf.DUMMYFUNCTION("""COMPUTED_VALUE""")," Double-Door Mini Fridge + Microwave ")</f>
        <v> Double-Door Mini Fridge + Microwave </v>
      </c>
      <c r="J168" s="61">
        <f>IFERROR(__xludf.DUMMYFUNCTION("""COMPUTED_VALUE"""),210.0)</f>
        <v>210</v>
      </c>
      <c r="K168" s="100">
        <f>IFERROR(__xludf.DUMMYFUNCTION("""COMPUTED_VALUE"""),45859.0)</f>
        <v>45859</v>
      </c>
      <c r="L168" s="61" t="str">
        <f>IFERROR(__xludf.DUMMYFUNCTION("""COMPUTED_VALUE"""),"Beaumont  ")</f>
        <v>Beaumont  </v>
      </c>
      <c r="M168" s="64" t="str">
        <f>IFERROR(__xludf.DUMMYFUNCTION("""COMPUTED_VALUE"""),"davidtest")</f>
        <v>davidtest</v>
      </c>
      <c r="N168" s="61"/>
      <c r="O168" s="61" t="b">
        <f>COUNTIF('Delivered Rentals'!A:A, B168) &gt; 0</f>
        <v>1</v>
      </c>
      <c r="P168" s="101"/>
    </row>
    <row r="169">
      <c r="A169" s="102" t="str">
        <f>IFERROR(__xludf.DUMMYFUNCTION("""COMPUTED_VALUE"""),"https://utrucking.com/admin/orders/5912154210492")</f>
        <v>https://utrucking.com/admin/orders/5912154210492</v>
      </c>
      <c r="B169" s="65" t="str">
        <f>IFERROR(__xludf.DUMMYFUNCTION("""COMPUTED_VALUE"""),"#15445")</f>
        <v>#15445</v>
      </c>
      <c r="C169" s="65" t="str">
        <f>IFERROR(__xludf.DUMMYFUNCTION("""COMPUTED_VALUE"""),"lindsayfauntleroy@gmail.com")</f>
        <v>lindsayfauntleroy@gmail.com</v>
      </c>
      <c r="D169" s="65">
        <f>IFERROR(__xludf.DUMMYFUNCTION("""COMPUTED_VALUE"""),1.3476344188E10)</f>
        <v>13476344188</v>
      </c>
      <c r="E169" s="65" t="str">
        <f>IFERROR(__xludf.DUMMYFUNCTION("""COMPUTED_VALUE"""),"Lindsay Fauntleroy")</f>
        <v>Lindsay Fauntleroy</v>
      </c>
      <c r="F169" s="65"/>
      <c r="G169" s="65"/>
      <c r="H169" s="65" t="str">
        <f>IFERROR(__xludf.DUMMYFUNCTION("""COMPUTED_VALUE"""),"Appliance Rental")</f>
        <v>Appliance Rental</v>
      </c>
      <c r="I169" s="65" t="str">
        <f>IFERROR(__xludf.DUMMYFUNCTION("""COMPUTED_VALUE""")," Double-Door Mini Fridge ")</f>
        <v> Double-Door Mini Fridge </v>
      </c>
      <c r="J169" s="65">
        <f>IFERROR(__xludf.DUMMYFUNCTION("""COMPUTED_VALUE"""),145.0)</f>
        <v>145</v>
      </c>
      <c r="K169" s="103">
        <f>IFERROR(__xludf.DUMMYFUNCTION("""COMPUTED_VALUE"""),45883.0)</f>
        <v>45883</v>
      </c>
      <c r="L169" s="65" t="str">
        <f>IFERROR(__xludf.DUMMYFUNCTION("""COMPUTED_VALUE"""),"Lee  ")</f>
        <v>Lee  </v>
      </c>
      <c r="M169" s="68" t="str">
        <f>IFERROR(__xludf.DUMMYFUNCTION("""COMPUTED_VALUE"""),"306-A")</f>
        <v>306-A</v>
      </c>
      <c r="N169" s="65"/>
      <c r="O169" s="65" t="b">
        <f>COUNTIF('Delivered Rentals'!A:A, B169) &gt; 0</f>
        <v>1</v>
      </c>
      <c r="P169" s="104"/>
    </row>
    <row r="170">
      <c r="A170" s="99" t="str">
        <f>IFERROR(__xludf.DUMMYFUNCTION("""COMPUTED_VALUE"""),"https://utrucking.com/admin/orders/5912198021308")</f>
        <v>https://utrucking.com/admin/orders/5912198021308</v>
      </c>
      <c r="B170" s="61" t="str">
        <f>IFERROR(__xludf.DUMMYFUNCTION("""COMPUTED_VALUE"""),"#15448")</f>
        <v>#15448</v>
      </c>
      <c r="C170" s="61" t="str">
        <f>IFERROR(__xludf.DUMMYFUNCTION("""COMPUTED_VALUE"""),"lakshmi1110@gmail.com")</f>
        <v>lakshmi1110@gmail.com</v>
      </c>
      <c r="D170" s="61">
        <f>IFERROR(__xludf.DUMMYFUNCTION("""COMPUTED_VALUE"""),3.109895589E9)</f>
        <v>3109895589</v>
      </c>
      <c r="E170" s="61" t="str">
        <f>IFERROR(__xludf.DUMMYFUNCTION("""COMPUTED_VALUE"""),"Jayadev Gopinath")</f>
        <v>Jayadev Gopinath</v>
      </c>
      <c r="F170" s="61"/>
      <c r="G170" s="61"/>
      <c r="H170" s="61" t="str">
        <f>IFERROR(__xludf.DUMMYFUNCTION("""COMPUTED_VALUE"""),"Appliance Rental")</f>
        <v>Appliance Rental</v>
      </c>
      <c r="I170" s="61" t="str">
        <f>IFERROR(__xludf.DUMMYFUNCTION("""COMPUTED_VALUE""")," Double-Door Mini Fridge + Microwave ")</f>
        <v> Double-Door Mini Fridge + Microwave </v>
      </c>
      <c r="J170" s="61">
        <f>IFERROR(__xludf.DUMMYFUNCTION("""COMPUTED_VALUE"""),210.0)</f>
        <v>210</v>
      </c>
      <c r="K170" s="100">
        <f>IFERROR(__xludf.DUMMYFUNCTION("""COMPUTED_VALUE"""),45883.0)</f>
        <v>45883</v>
      </c>
      <c r="L170" s="61" t="str">
        <f>IFERROR(__xludf.DUMMYFUNCTION("""COMPUTED_VALUE"""),"Eliot A  ")</f>
        <v>Eliot A  </v>
      </c>
      <c r="M170" s="64" t="str">
        <f>IFERROR(__xludf.DUMMYFUNCTION("""COMPUTED_VALUE"""),"2061")</f>
        <v>2061</v>
      </c>
      <c r="N170" s="61"/>
      <c r="O170" s="61" t="b">
        <f>COUNTIF('Delivered Rentals'!A:A, B170) &gt; 0</f>
        <v>1</v>
      </c>
      <c r="P170" s="101"/>
    </row>
    <row r="171">
      <c r="A171" s="102" t="str">
        <f>IFERROR(__xludf.DUMMYFUNCTION("""COMPUTED_VALUE"""),"https://utrucking.com/admin/orders/5912200741052")</f>
        <v>https://utrucking.com/admin/orders/5912200741052</v>
      </c>
      <c r="B171" s="65" t="str">
        <f>IFERROR(__xludf.DUMMYFUNCTION("""COMPUTED_VALUE"""),"#15449")</f>
        <v>#15449</v>
      </c>
      <c r="C171" s="65" t="str">
        <f>IFERROR(__xludf.DUMMYFUNCTION("""COMPUTED_VALUE"""),"rgoldberg576@gmail.com")</f>
        <v>rgoldberg576@gmail.com</v>
      </c>
      <c r="D171" s="65">
        <f>IFERROR(__xludf.DUMMYFUNCTION("""COMPUTED_VALUE"""),4.848322036E9)</f>
        <v>4848322036</v>
      </c>
      <c r="E171" s="65" t="str">
        <f>IFERROR(__xludf.DUMMYFUNCTION("""COMPUTED_VALUE"""),"Rebecca Goldberg")</f>
        <v>Rebecca Goldberg</v>
      </c>
      <c r="F171" s="65"/>
      <c r="G171" s="65"/>
      <c r="H171" s="65" t="str">
        <f>IFERROR(__xludf.DUMMYFUNCTION("""COMPUTED_VALUE"""),"Appliance Rental")</f>
        <v>Appliance Rental</v>
      </c>
      <c r="I171" s="65" t="str">
        <f>IFERROR(__xludf.DUMMYFUNCTION("""COMPUTED_VALUE""")," Microwave Only ")</f>
        <v> Microwave Only </v>
      </c>
      <c r="J171" s="65">
        <f>IFERROR(__xludf.DUMMYFUNCTION("""COMPUTED_VALUE"""),65.0)</f>
        <v>65</v>
      </c>
      <c r="K171" s="103">
        <f>IFERROR(__xludf.DUMMYFUNCTION("""COMPUTED_VALUE"""),45883.0)</f>
        <v>45883</v>
      </c>
      <c r="L171" s="65" t="str">
        <f>IFERROR(__xludf.DUMMYFUNCTION("""COMPUTED_VALUE"""),"Danforth  ")</f>
        <v>Danforth  </v>
      </c>
      <c r="M171" s="68" t="str">
        <f>IFERROR(__xludf.DUMMYFUNCTION("""COMPUTED_VALUE"""),"4425")</f>
        <v>4425</v>
      </c>
      <c r="N171" s="65"/>
      <c r="O171" s="65" t="b">
        <f>COUNTIF('Delivered Rentals'!A:A, B171) &gt; 0</f>
        <v>1</v>
      </c>
      <c r="P171" s="104"/>
    </row>
    <row r="172">
      <c r="A172" s="99" t="str">
        <f>IFERROR(__xludf.DUMMYFUNCTION("""COMPUTED_VALUE"""),"https://utrucking.com/admin/orders/5912254415036")</f>
        <v>https://utrucking.com/admin/orders/5912254415036</v>
      </c>
      <c r="B172" s="61" t="str">
        <f>IFERROR(__xludf.DUMMYFUNCTION("""COMPUTED_VALUE"""),"#15452")</f>
        <v>#15452</v>
      </c>
      <c r="C172" s="61" t="str">
        <f>IFERROR(__xludf.DUMMYFUNCTION("""COMPUTED_VALUE"""),"taytaypeng@gmail.com")</f>
        <v>taytaypeng@gmail.com</v>
      </c>
      <c r="D172" s="61">
        <f>IFERROR(__xludf.DUMMYFUNCTION("""COMPUTED_VALUE"""),1.6265875653E10)</f>
        <v>16265875653</v>
      </c>
      <c r="E172" s="61" t="str">
        <f>IFERROR(__xludf.DUMMYFUNCTION("""COMPUTED_VALUE"""),"Taylor Peng")</f>
        <v>Taylor Peng</v>
      </c>
      <c r="F172" s="61"/>
      <c r="G172" s="61"/>
      <c r="H172" s="61" t="str">
        <f>IFERROR(__xludf.DUMMYFUNCTION("""COMPUTED_VALUE"""),"Appliance Rental")</f>
        <v>Appliance Rental</v>
      </c>
      <c r="I172" s="61" t="str">
        <f>IFERROR(__xludf.DUMMYFUNCTION("""COMPUTED_VALUE""")," Double-Door Mini Fridge + Microwave ")</f>
        <v> Double-Door Mini Fridge + Microwave </v>
      </c>
      <c r="J172" s="61">
        <f>IFERROR(__xludf.DUMMYFUNCTION("""COMPUTED_VALUE"""),210.0)</f>
        <v>210</v>
      </c>
      <c r="K172" s="100">
        <f>IFERROR(__xludf.DUMMYFUNCTION("""COMPUTED_VALUE"""),45883.0)</f>
        <v>45883</v>
      </c>
      <c r="L172" s="61" t="str">
        <f>IFERROR(__xludf.DUMMYFUNCTION("""COMPUTED_VALUE"""),"Lien  ")</f>
        <v>Lien  </v>
      </c>
      <c r="M172" s="64" t="str">
        <f>IFERROR(__xludf.DUMMYFUNCTION("""COMPUTED_VALUE"""),"1103")</f>
        <v>1103</v>
      </c>
      <c r="N172" s="61"/>
      <c r="O172" s="61" t="b">
        <f>COUNTIF('Delivered Rentals'!A:A, B172) &gt; 0</f>
        <v>1</v>
      </c>
      <c r="P172" s="101"/>
    </row>
    <row r="173">
      <c r="A173" s="102" t="str">
        <f>IFERROR(__xludf.DUMMYFUNCTION("""COMPUTED_VALUE"""),"https://utrucking.com/admin/orders/5912289312956")</f>
        <v>https://utrucking.com/admin/orders/5912289312956</v>
      </c>
      <c r="B173" s="65" t="str">
        <f>IFERROR(__xludf.DUMMYFUNCTION("""COMPUTED_VALUE"""),"#15453")</f>
        <v>#15453</v>
      </c>
      <c r="C173" s="65" t="str">
        <f>IFERROR(__xludf.DUMMYFUNCTION("""COMPUTED_VALUE"""),"ellafessler@gmail.com")</f>
        <v>ellafessler@gmail.com</v>
      </c>
      <c r="D173" s="65">
        <f>IFERROR(__xludf.DUMMYFUNCTION("""COMPUTED_VALUE"""),5.853138249E9)</f>
        <v>5853138249</v>
      </c>
      <c r="E173" s="65" t="str">
        <f>IFERROR(__xludf.DUMMYFUNCTION("""COMPUTED_VALUE"""),"Ella Fessler")</f>
        <v>Ella Fessler</v>
      </c>
      <c r="F173" s="65"/>
      <c r="G173" s="65"/>
      <c r="H173" s="65" t="str">
        <f>IFERROR(__xludf.DUMMYFUNCTION("""COMPUTED_VALUE"""),"Appliance Rental")</f>
        <v>Appliance Rental</v>
      </c>
      <c r="I173" s="65" t="str">
        <f>IFERROR(__xludf.DUMMYFUNCTION("""COMPUTED_VALUE""")," Double-Door Mini Fridge + Microwave ")</f>
        <v> Double-Door Mini Fridge + Microwave </v>
      </c>
      <c r="J173" s="65">
        <f>IFERROR(__xludf.DUMMYFUNCTION("""COMPUTED_VALUE"""),210.0)</f>
        <v>210</v>
      </c>
      <c r="K173" s="103">
        <f>IFERROR(__xludf.DUMMYFUNCTION("""COMPUTED_VALUE"""),45883.0)</f>
        <v>45883</v>
      </c>
      <c r="L173" s="65" t="str">
        <f>IFERROR(__xludf.DUMMYFUNCTION("""COMPUTED_VALUE"""),"Dardick  ")</f>
        <v>Dardick  </v>
      </c>
      <c r="M173" s="68" t="str">
        <f>IFERROR(__xludf.DUMMYFUNCTION("""COMPUTED_VALUE"""),"3322")</f>
        <v>3322</v>
      </c>
      <c r="N173" s="65"/>
      <c r="O173" s="65" t="b">
        <f>COUNTIF('Delivered Rentals'!A:A, B173) &gt; 0</f>
        <v>1</v>
      </c>
      <c r="P173" s="104"/>
    </row>
    <row r="174">
      <c r="A174" s="99" t="str">
        <f>IFERROR(__xludf.DUMMYFUNCTION("""COMPUTED_VALUE"""),"https://utrucking.com/admin/orders/5912701665468")</f>
        <v>https://utrucking.com/admin/orders/5912701665468</v>
      </c>
      <c r="B174" s="61" t="str">
        <f>IFERROR(__xludf.DUMMYFUNCTION("""COMPUTED_VALUE"""),"#15468")</f>
        <v>#15468</v>
      </c>
      <c r="C174" s="61" t="str">
        <f>IFERROR(__xludf.DUMMYFUNCTION("""COMPUTED_VALUE"""),"s.r.walden@wustl.edu")</f>
        <v>s.r.walden@wustl.edu</v>
      </c>
      <c r="D174" s="61">
        <f>IFERROR(__xludf.DUMMYFUNCTION("""COMPUTED_VALUE"""),9.178428585E9)</f>
        <v>9178428585</v>
      </c>
      <c r="E174" s="61" t="str">
        <f>IFERROR(__xludf.DUMMYFUNCTION("""COMPUTED_VALUE"""),"Stella Walden")</f>
        <v>Stella Walden</v>
      </c>
      <c r="F174" s="61"/>
      <c r="G174" s="61"/>
      <c r="H174" s="61" t="str">
        <f>IFERROR(__xludf.DUMMYFUNCTION("""COMPUTED_VALUE"""),"Appliance Rental")</f>
        <v>Appliance Rental</v>
      </c>
      <c r="I174" s="61" t="str">
        <f>IFERROR(__xludf.DUMMYFUNCTION("""COMPUTED_VALUE""")," Standard Mini Fridge ")</f>
        <v> Standard Mini Fridge </v>
      </c>
      <c r="J174" s="61">
        <f>IFERROR(__xludf.DUMMYFUNCTION("""COMPUTED_VALUE"""),115.0)</f>
        <v>115</v>
      </c>
      <c r="K174" s="100">
        <f>IFERROR(__xludf.DUMMYFUNCTION("""COMPUTED_VALUE"""),45883.0)</f>
        <v>45883</v>
      </c>
      <c r="L174" s="61" t="str">
        <f>IFERROR(__xludf.DUMMYFUNCTION("""COMPUTED_VALUE"""),"Millbrook Bldg. 4  ")</f>
        <v>Millbrook Bldg. 4  </v>
      </c>
      <c r="M174" s="64" t="str">
        <f>IFERROR(__xludf.DUMMYFUNCTION("""COMPUTED_VALUE"""),"102f")</f>
        <v>102f</v>
      </c>
      <c r="N174" s="61"/>
      <c r="O174" s="61" t="b">
        <f>COUNTIF('Delivered Rentals'!A:A, B174) &gt; 0</f>
        <v>1</v>
      </c>
      <c r="P174" s="101"/>
    </row>
    <row r="175">
      <c r="A175" s="102" t="str">
        <f>IFERROR(__xludf.DUMMYFUNCTION("""COMPUTED_VALUE"""),"https://utrucking.com/admin/orders/5912751374524")</f>
        <v>https://utrucking.com/admin/orders/5912751374524</v>
      </c>
      <c r="B175" s="65" t="str">
        <f>IFERROR(__xludf.DUMMYFUNCTION("""COMPUTED_VALUE"""),"#15470")</f>
        <v>#15470</v>
      </c>
      <c r="C175" s="65"/>
      <c r="D175" s="65">
        <f>IFERROR(__xludf.DUMMYFUNCTION("""COMPUTED_VALUE"""),2.408558605E9)</f>
        <v>2408558605</v>
      </c>
      <c r="E175" s="65" t="str">
        <f>IFERROR(__xludf.DUMMYFUNCTION("""COMPUTED_VALUE"""),"Heidi Karon")</f>
        <v>Heidi Karon</v>
      </c>
      <c r="F175" s="65"/>
      <c r="G175" s="65"/>
      <c r="H175" s="65" t="str">
        <f>IFERROR(__xludf.DUMMYFUNCTION("""COMPUTED_VALUE"""),"Appliance Rental")</f>
        <v>Appliance Rental</v>
      </c>
      <c r="I175" s="65" t="str">
        <f>IFERROR(__xludf.DUMMYFUNCTION("""COMPUTED_VALUE""")," Double-Door Mini Fridge ")</f>
        <v> Double-Door Mini Fridge </v>
      </c>
      <c r="J175" s="65">
        <f>IFERROR(__xludf.DUMMYFUNCTION("""COMPUTED_VALUE"""),145.0)</f>
        <v>145</v>
      </c>
      <c r="K175" s="103">
        <f>IFERROR(__xludf.DUMMYFUNCTION("""COMPUTED_VALUE"""),45890.0)</f>
        <v>45890</v>
      </c>
      <c r="L175" s="65" t="str">
        <f>IFERROR(__xludf.DUMMYFUNCTION("""COMPUTED_VALUE"""),"Nemerov  ")</f>
        <v>Nemerov  </v>
      </c>
      <c r="M175" s="68" t="str">
        <f>IFERROR(__xludf.DUMMYFUNCTION("""COMPUTED_VALUE"""),"3090")</f>
        <v>3090</v>
      </c>
      <c r="N175" s="65"/>
      <c r="O175" s="65" t="b">
        <f>COUNTIF('Delivered Rentals'!A:A, B175) &gt; 0</f>
        <v>1</v>
      </c>
      <c r="P175" s="104"/>
    </row>
    <row r="176">
      <c r="A176" s="99" t="str">
        <f>IFERROR(__xludf.DUMMYFUNCTION("""COMPUTED_VALUE"""),"https://utrucking.com/admin/orders/5912781619388")</f>
        <v>https://utrucking.com/admin/orders/5912781619388</v>
      </c>
      <c r="B176" s="61" t="str">
        <f>IFERROR(__xludf.DUMMYFUNCTION("""COMPUTED_VALUE"""),"#15473")</f>
        <v>#15473</v>
      </c>
      <c r="C176" s="61" t="str">
        <f>IFERROR(__xludf.DUMMYFUNCTION("""COMPUTED_VALUE"""),"j29opal@gmail.com")</f>
        <v>j29opal@gmail.com</v>
      </c>
      <c r="D176" s="61">
        <f>IFERROR(__xludf.DUMMYFUNCTION("""COMPUTED_VALUE"""),9.176892557E9)</f>
        <v>9176892557</v>
      </c>
      <c r="E176" s="61" t="str">
        <f>IFERROR(__xludf.DUMMYFUNCTION("""COMPUTED_VALUE"""),"Vivian Sobel")</f>
        <v>Vivian Sobel</v>
      </c>
      <c r="F176" s="61"/>
      <c r="G176" s="61"/>
      <c r="H176" s="61" t="str">
        <f>IFERROR(__xludf.DUMMYFUNCTION("""COMPUTED_VALUE"""),"Appliance Rental")</f>
        <v>Appliance Rental</v>
      </c>
      <c r="I176" s="61" t="str">
        <f>IFERROR(__xludf.DUMMYFUNCTION("""COMPUTED_VALUE""")," Double-Door Mini Fridge + Microwave ")</f>
        <v> Double-Door Mini Fridge + Microwave </v>
      </c>
      <c r="J176" s="61">
        <f>IFERROR(__xludf.DUMMYFUNCTION("""COMPUTED_VALUE"""),210.0)</f>
        <v>210</v>
      </c>
      <c r="K176" s="100">
        <f>IFERROR(__xludf.DUMMYFUNCTION("""COMPUTED_VALUE"""),45883.0)</f>
        <v>45883</v>
      </c>
      <c r="L176" s="61" t="str">
        <f>IFERROR(__xludf.DUMMYFUNCTION("""COMPUTED_VALUE"""),"Koenig  ")</f>
        <v>Koenig  </v>
      </c>
      <c r="M176" s="64" t="str">
        <f>IFERROR(__xludf.DUMMYFUNCTION("""COMPUTED_VALUE"""),"2206")</f>
        <v>2206</v>
      </c>
      <c r="N176" s="61"/>
      <c r="O176" s="61" t="b">
        <f>COUNTIF('Delivered Rentals'!A:A, B176) &gt; 0</f>
        <v>1</v>
      </c>
      <c r="P176" s="101"/>
    </row>
    <row r="177">
      <c r="A177" s="102" t="str">
        <f>IFERROR(__xludf.DUMMYFUNCTION("""COMPUTED_VALUE"""),"https://utrucking.com/admin/orders/5912840241340")</f>
        <v>https://utrucking.com/admin/orders/5912840241340</v>
      </c>
      <c r="B177" s="65" t="str">
        <f>IFERROR(__xludf.DUMMYFUNCTION("""COMPUTED_VALUE"""),"#15476")</f>
        <v>#15476</v>
      </c>
      <c r="C177" s="65" t="str">
        <f>IFERROR(__xludf.DUMMYFUNCTION("""COMPUTED_VALUE"""),"p.taya@wustl.edu")</f>
        <v>p.taya@wustl.edu</v>
      </c>
      <c r="D177" s="65">
        <f>IFERROR(__xludf.DUMMYFUNCTION("""COMPUTED_VALUE"""),9.142239682E9)</f>
        <v>9142239682</v>
      </c>
      <c r="E177" s="65" t="str">
        <f>IFERROR(__xludf.DUMMYFUNCTION("""COMPUTED_VALUE"""),"Taya Puner")</f>
        <v>Taya Puner</v>
      </c>
      <c r="F177" s="65"/>
      <c r="G177" s="65"/>
      <c r="H177" s="65" t="str">
        <f>IFERROR(__xludf.DUMMYFUNCTION("""COMPUTED_VALUE"""),"Appliance Rental")</f>
        <v>Appliance Rental</v>
      </c>
      <c r="I177" s="65" t="str">
        <f>IFERROR(__xludf.DUMMYFUNCTION("""COMPUTED_VALUE""")," Microwave Only   ")</f>
        <v> Microwave Only   </v>
      </c>
      <c r="J177" s="65">
        <f>IFERROR(__xludf.DUMMYFUNCTION("""COMPUTED_VALUE"""),65.0)</f>
        <v>65</v>
      </c>
      <c r="K177" s="103">
        <f>IFERROR(__xludf.DUMMYFUNCTION("""COMPUTED_VALUE"""),45883.0)</f>
        <v>45883</v>
      </c>
      <c r="L177" s="65" t="str">
        <f>IFERROR(__xludf.DUMMYFUNCTION("""COMPUTED_VALUE"""),"Gregg  ")</f>
        <v>Gregg  </v>
      </c>
      <c r="M177" s="68" t="str">
        <f>IFERROR(__xludf.DUMMYFUNCTION("""COMPUTED_VALUE"""),"3010")</f>
        <v>3010</v>
      </c>
      <c r="N177" s="65"/>
      <c r="O177" s="65" t="b">
        <f>COUNTIF('Delivered Rentals'!A:A, B177) &gt; 0</f>
        <v>1</v>
      </c>
      <c r="P177" s="104" t="str">
        <f>IFERROR(__xludf.DUMMYFUNCTION("""COMPUTED_VALUE""")," ")</f>
        <v> </v>
      </c>
    </row>
    <row r="178">
      <c r="A178" s="99" t="str">
        <f>IFERROR(__xludf.DUMMYFUNCTION("""COMPUTED_VALUE"""),"https://utrucking.com/admin/orders/5912846434492")</f>
        <v>https://utrucking.com/admin/orders/5912846434492</v>
      </c>
      <c r="B178" s="61" t="str">
        <f>IFERROR(__xludf.DUMMYFUNCTION("""COMPUTED_VALUE"""),"#15477")</f>
        <v>#15477</v>
      </c>
      <c r="C178" s="61" t="str">
        <f>IFERROR(__xludf.DUMMYFUNCTION("""COMPUTED_VALUE"""),"milliewolff8@gmail.com")</f>
        <v>milliewolff8@gmail.com</v>
      </c>
      <c r="D178" s="61">
        <f>IFERROR(__xludf.DUMMYFUNCTION("""COMPUTED_VALUE"""),4.405914477E9)</f>
        <v>4405914477</v>
      </c>
      <c r="E178" s="61" t="str">
        <f>IFERROR(__xludf.DUMMYFUNCTION("""COMPUTED_VALUE"""),"Richard Wolff")</f>
        <v>Richard Wolff</v>
      </c>
      <c r="F178" s="61"/>
      <c r="G178" s="61"/>
      <c r="H178" s="61" t="str">
        <f>IFERROR(__xludf.DUMMYFUNCTION("""COMPUTED_VALUE"""),"Appliance Rental")</f>
        <v>Appliance Rental</v>
      </c>
      <c r="I178" s="61" t="str">
        <f>IFERROR(__xludf.DUMMYFUNCTION("""COMPUTED_VALUE""")," Double-Door Mini Fridge + Microwave   ")</f>
        <v> Double-Door Mini Fridge + Microwave   </v>
      </c>
      <c r="J178" s="61">
        <f>IFERROR(__xludf.DUMMYFUNCTION("""COMPUTED_VALUE"""),210.0)</f>
        <v>210</v>
      </c>
      <c r="K178" s="100">
        <f>IFERROR(__xludf.DUMMYFUNCTION("""COMPUTED_VALUE"""),45883.0)</f>
        <v>45883</v>
      </c>
      <c r="L178" s="61" t="str">
        <f>IFERROR(__xludf.DUMMYFUNCTION("""COMPUTED_VALUE"""),"Umrath  ")</f>
        <v>Umrath  </v>
      </c>
      <c r="M178" s="64" t="str">
        <f>IFERROR(__xludf.DUMMYFUNCTION("""COMPUTED_VALUE"""),"L226")</f>
        <v>L226</v>
      </c>
      <c r="N178" s="61"/>
      <c r="O178" s="61" t="b">
        <f>COUNTIF('Delivered Rentals'!A:A, B178) &gt; 0</f>
        <v>1</v>
      </c>
      <c r="P178" s="101" t="str">
        <f>IFERROR(__xludf.DUMMYFUNCTION("""COMPUTED_VALUE""")," ")</f>
        <v> </v>
      </c>
    </row>
    <row r="179">
      <c r="A179" s="102" t="str">
        <f>IFERROR(__xludf.DUMMYFUNCTION("""COMPUTED_VALUE"""),"https://utrucking.com/admin/orders/5912857051324")</f>
        <v>https://utrucking.com/admin/orders/5912857051324</v>
      </c>
      <c r="B179" s="65" t="str">
        <f>IFERROR(__xludf.DUMMYFUNCTION("""COMPUTED_VALUE"""),"#15478")</f>
        <v>#15478</v>
      </c>
      <c r="C179" s="65" t="str">
        <f>IFERROR(__xludf.DUMMYFUNCTION("""COMPUTED_VALUE"""),"adammdowney@gmail.com")</f>
        <v>adammdowney@gmail.com</v>
      </c>
      <c r="D179" s="65">
        <f>IFERROR(__xludf.DUMMYFUNCTION("""COMPUTED_VALUE"""),6.466259442E9)</f>
        <v>6466259442</v>
      </c>
      <c r="E179" s="65" t="str">
        <f>IFERROR(__xludf.DUMMYFUNCTION("""COMPUTED_VALUE"""),"Adam Downey")</f>
        <v>Adam Downey</v>
      </c>
      <c r="F179" s="65"/>
      <c r="G179" s="65"/>
      <c r="H179" s="65" t="str">
        <f>IFERROR(__xludf.DUMMYFUNCTION("""COMPUTED_VALUE"""),"Appliance Rental")</f>
        <v>Appliance Rental</v>
      </c>
      <c r="I179" s="65" t="str">
        <f>IFERROR(__xludf.DUMMYFUNCTION("""COMPUTED_VALUE""")," Double-Door Mini Fridge + Microwave   ")</f>
        <v> Double-Door Mini Fridge + Microwave   </v>
      </c>
      <c r="J179" s="65">
        <f>IFERROR(__xludf.DUMMYFUNCTION("""COMPUTED_VALUE"""),210.0)</f>
        <v>210</v>
      </c>
      <c r="K179" s="103">
        <f>IFERROR(__xludf.DUMMYFUNCTION("""COMPUTED_VALUE"""),45883.0)</f>
        <v>45883</v>
      </c>
      <c r="L179" s="65" t="str">
        <f>IFERROR(__xludf.DUMMYFUNCTION("""COMPUTED_VALUE"""),"Dauten  ")</f>
        <v>Dauten  </v>
      </c>
      <c r="M179" s="68" t="str">
        <f>IFERROR(__xludf.DUMMYFUNCTION("""COMPUTED_VALUE"""),"411-a")</f>
        <v>411-a</v>
      </c>
      <c r="N179" s="65"/>
      <c r="O179" s="65" t="b">
        <f>COUNTIF('Delivered Rentals'!A:A, B179) &gt; 0</f>
        <v>1</v>
      </c>
      <c r="P179" s="104" t="str">
        <f>IFERROR(__xludf.DUMMYFUNCTION("""COMPUTED_VALUE""")," ")</f>
        <v> </v>
      </c>
    </row>
    <row r="180">
      <c r="A180" s="99" t="str">
        <f>IFERROR(__xludf.DUMMYFUNCTION("""COMPUTED_VALUE"""),"https://utrucking.com/admin/orders/5912872681660")</f>
        <v>https://utrucking.com/admin/orders/5912872681660</v>
      </c>
      <c r="B180" s="61" t="str">
        <f>IFERROR(__xludf.DUMMYFUNCTION("""COMPUTED_VALUE"""),"#15481")</f>
        <v>#15481</v>
      </c>
      <c r="C180" s="61" t="str">
        <f>IFERROR(__xludf.DUMMYFUNCTION("""COMPUTED_VALUE"""),"n.schwartz@wustl.edu")</f>
        <v>n.schwartz@wustl.edu</v>
      </c>
      <c r="D180" s="61">
        <f>IFERROR(__xludf.DUMMYFUNCTION("""COMPUTED_VALUE"""),3.104872592E9)</f>
        <v>3104872592</v>
      </c>
      <c r="E180" s="61" t="str">
        <f>IFERROR(__xludf.DUMMYFUNCTION("""COMPUTED_VALUE"""),"Claudia Schwartz")</f>
        <v>Claudia Schwartz</v>
      </c>
      <c r="F180" s="61"/>
      <c r="G180" s="61"/>
      <c r="H180" s="61" t="str">
        <f>IFERROR(__xludf.DUMMYFUNCTION("""COMPUTED_VALUE"""),"Appliance Rental")</f>
        <v>Appliance Rental</v>
      </c>
      <c r="I180" s="61" t="str">
        <f>IFERROR(__xludf.DUMMYFUNCTION("""COMPUTED_VALUE""")," Double-Door Mini Fridge   ")</f>
        <v> Double-Door Mini Fridge   </v>
      </c>
      <c r="J180" s="61">
        <f>IFERROR(__xludf.DUMMYFUNCTION("""COMPUTED_VALUE"""),145.0)</f>
        <v>145</v>
      </c>
      <c r="K180" s="100">
        <f>IFERROR(__xludf.DUMMYFUNCTION("""COMPUTED_VALUE"""),45883.0)</f>
        <v>45883</v>
      </c>
      <c r="L180" s="61" t="str">
        <f>IFERROR(__xludf.DUMMYFUNCTION("""COMPUTED_VALUE"""),"Zetcher  ")</f>
        <v>Zetcher  </v>
      </c>
      <c r="M180" s="64" t="str">
        <f>IFERROR(__xludf.DUMMYFUNCTION("""COMPUTED_VALUE"""),"4124")</f>
        <v>4124</v>
      </c>
      <c r="N180" s="61"/>
      <c r="O180" s="61" t="b">
        <f>COUNTIF('Delivered Rentals'!A:A, B180) &gt; 0</f>
        <v>1</v>
      </c>
      <c r="P180" s="101" t="str">
        <f>IFERROR(__xludf.DUMMYFUNCTION("""COMPUTED_VALUE""")," ")</f>
        <v> </v>
      </c>
    </row>
    <row r="181">
      <c r="A181" s="102" t="str">
        <f>IFERROR(__xludf.DUMMYFUNCTION("""COMPUTED_VALUE"""),"https://utrucking.com/admin/orders/5912909938876")</f>
        <v>https://utrucking.com/admin/orders/5912909938876</v>
      </c>
      <c r="B181" s="65" t="str">
        <f>IFERROR(__xludf.DUMMYFUNCTION("""COMPUTED_VALUE"""),"#15484")</f>
        <v>#15484</v>
      </c>
      <c r="C181" s="65" t="str">
        <f>IFERROR(__xludf.DUMMYFUNCTION("""COMPUTED_VALUE"""),"julie@meggers.com")</f>
        <v>julie@meggers.com</v>
      </c>
      <c r="D181" s="65">
        <f>IFERROR(__xludf.DUMMYFUNCTION("""COMPUTED_VALUE"""),9.493789409E9)</f>
        <v>9493789409</v>
      </c>
      <c r="E181" s="65" t="str">
        <f>IFERROR(__xludf.DUMMYFUNCTION("""COMPUTED_VALUE"""),"Brianna Shute")</f>
        <v>Brianna Shute</v>
      </c>
      <c r="F181" s="65"/>
      <c r="G181" s="65"/>
      <c r="H181" s="65" t="str">
        <f>IFERROR(__xludf.DUMMYFUNCTION("""COMPUTED_VALUE"""),"Appliance Rental")</f>
        <v>Appliance Rental</v>
      </c>
      <c r="I181" s="65" t="str">
        <f>IFERROR(__xludf.DUMMYFUNCTION("""COMPUTED_VALUE""")," Double-Door Mini Fridge + Microwave   ")</f>
        <v> Double-Door Mini Fridge + Microwave   </v>
      </c>
      <c r="J181" s="65">
        <f>IFERROR(__xludf.DUMMYFUNCTION("""COMPUTED_VALUE"""),210.0)</f>
        <v>210</v>
      </c>
      <c r="K181" s="103">
        <f>IFERROR(__xludf.DUMMYFUNCTION("""COMPUTED_VALUE"""),45883.0)</f>
        <v>45883</v>
      </c>
      <c r="L181" s="65" t="str">
        <f>IFERROR(__xludf.DUMMYFUNCTION("""COMPUTED_VALUE"""),"Umrath  ")</f>
        <v>Umrath  </v>
      </c>
      <c r="M181" s="68" t="str">
        <f>IFERROR(__xludf.DUMMYFUNCTION("""COMPUTED_VALUE"""),"0230")</f>
        <v>0230</v>
      </c>
      <c r="N181" s="65"/>
      <c r="O181" s="65" t="b">
        <f>COUNTIF('Delivered Rentals'!A:A, B181) &gt; 0</f>
        <v>1</v>
      </c>
      <c r="P181" s="104" t="str">
        <f>IFERROR(__xludf.DUMMYFUNCTION("""COMPUTED_VALUE""")," ")</f>
        <v> </v>
      </c>
    </row>
    <row r="182">
      <c r="A182" s="99" t="str">
        <f>IFERROR(__xludf.DUMMYFUNCTION("""COMPUTED_VALUE"""),"https://utrucking.com/admin/orders/5912928977084")</f>
        <v>https://utrucking.com/admin/orders/5912928977084</v>
      </c>
      <c r="B182" s="61" t="str">
        <f>IFERROR(__xludf.DUMMYFUNCTION("""COMPUTED_VALUE"""),"#15486")</f>
        <v>#15486</v>
      </c>
      <c r="C182" s="61" t="str">
        <f>IFERROR(__xludf.DUMMYFUNCTION("""COMPUTED_VALUE"""),"elfrantz12@gmail.com")</f>
        <v>elfrantz12@gmail.com</v>
      </c>
      <c r="D182" s="61"/>
      <c r="E182" s="61" t="str">
        <f>IFERROR(__xludf.DUMMYFUNCTION("""COMPUTED_VALUE"""),"Ella Frantz")</f>
        <v>Ella Frantz</v>
      </c>
      <c r="F182" s="61"/>
      <c r="G182" s="61"/>
      <c r="H182" s="61" t="str">
        <f>IFERROR(__xludf.DUMMYFUNCTION("""COMPUTED_VALUE"""),"Appliance Rental")</f>
        <v>Appliance Rental</v>
      </c>
      <c r="I182" s="61" t="str">
        <f>IFERROR(__xludf.DUMMYFUNCTION("""COMPUTED_VALUE""")," Microwave Only   ")</f>
        <v> Microwave Only   </v>
      </c>
      <c r="J182" s="61">
        <f>IFERROR(__xludf.DUMMYFUNCTION("""COMPUTED_VALUE"""),65.0)</f>
        <v>65</v>
      </c>
      <c r="K182" s="100">
        <f>IFERROR(__xludf.DUMMYFUNCTION("""COMPUTED_VALUE"""),45877.0)</f>
        <v>45877</v>
      </c>
      <c r="L182" s="61" t="str">
        <f>IFERROR(__xludf.DUMMYFUNCTION("""COMPUTED_VALUE"""),"Nemerov  ")</f>
        <v>Nemerov  </v>
      </c>
      <c r="M182" s="64" t="str">
        <f>IFERROR(__xludf.DUMMYFUNCTION("""COMPUTED_VALUE"""),"4044")</f>
        <v>4044</v>
      </c>
      <c r="N182" s="61"/>
      <c r="O182" s="61" t="b">
        <f>COUNTIF('Delivered Rentals'!A:A, B182) &gt; 0</f>
        <v>1</v>
      </c>
      <c r="P182" s="101" t="str">
        <f>IFERROR(__xludf.DUMMYFUNCTION("""COMPUTED_VALUE""")," ")</f>
        <v> </v>
      </c>
    </row>
    <row r="183">
      <c r="A183" s="102" t="str">
        <f>IFERROR(__xludf.DUMMYFUNCTION("""COMPUTED_VALUE"""),"https://utrucking.com/admin/orders/5912971149500")</f>
        <v>https://utrucking.com/admin/orders/5912971149500</v>
      </c>
      <c r="B183" s="65" t="str">
        <f>IFERROR(__xludf.DUMMYFUNCTION("""COMPUTED_VALUE"""),"#15487")</f>
        <v>#15487</v>
      </c>
      <c r="C183" s="65" t="str">
        <f>IFERROR(__xludf.DUMMYFUNCTION("""COMPUTED_VALUE"""),"Jksand2025@gmail.com")</f>
        <v>Jksand2025@gmail.com</v>
      </c>
      <c r="D183" s="65">
        <f>IFERROR(__xludf.DUMMYFUNCTION("""COMPUTED_VALUE"""),9.196229366E9)</f>
        <v>9196229366</v>
      </c>
      <c r="E183" s="65" t="str">
        <f>IFERROR(__xludf.DUMMYFUNCTION("""COMPUTED_VALUE"""),"Teresa Reed")</f>
        <v>Teresa Reed</v>
      </c>
      <c r="F183" s="65"/>
      <c r="G183" s="65"/>
      <c r="H183" s="65" t="str">
        <f>IFERROR(__xludf.DUMMYFUNCTION("""COMPUTED_VALUE"""),"Appliance Rental")</f>
        <v>Appliance Rental</v>
      </c>
      <c r="I183" s="65" t="str">
        <f>IFERROR(__xludf.DUMMYFUNCTION("""COMPUTED_VALUE""")," Double-Door Mini Fridge")</f>
        <v> Double-Door Mini Fridge</v>
      </c>
      <c r="J183" s="65">
        <f>IFERROR(__xludf.DUMMYFUNCTION("""COMPUTED_VALUE"""),210.0)</f>
        <v>210</v>
      </c>
      <c r="K183" s="103">
        <f>IFERROR(__xludf.DUMMYFUNCTION("""COMPUTED_VALUE"""),45883.0)</f>
        <v>45883</v>
      </c>
      <c r="L183" s="65" t="str">
        <f>IFERROR(__xludf.DUMMYFUNCTION("""COMPUTED_VALUE"""),"Dardick  ")</f>
        <v>Dardick  </v>
      </c>
      <c r="M183" s="68" t="str">
        <f>IFERROR(__xludf.DUMMYFUNCTION("""COMPUTED_VALUE"""),"4423 - a")</f>
        <v>4423 - a</v>
      </c>
      <c r="N183" s="65"/>
      <c r="O183" s="65" t="b">
        <f>COUNTIF('Delivered Rentals'!A:A, B183) &gt; 0</f>
        <v>1</v>
      </c>
      <c r="P183" s="104" t="str">
        <f>IFERROR(__xludf.DUMMYFUNCTION("""COMPUTED_VALUE""")," ")</f>
        <v> </v>
      </c>
    </row>
    <row r="184">
      <c r="A184" s="99" t="str">
        <f>IFERROR(__xludf.DUMMYFUNCTION("""COMPUTED_VALUE"""),"https://utrucking.com/admin/orders/5913003589820")</f>
        <v>https://utrucking.com/admin/orders/5913003589820</v>
      </c>
      <c r="B184" s="61" t="str">
        <f>IFERROR(__xludf.DUMMYFUNCTION("""COMPUTED_VALUE"""),"#15488")</f>
        <v>#15488</v>
      </c>
      <c r="C184" s="61" t="str">
        <f>IFERROR(__xludf.DUMMYFUNCTION("""COMPUTED_VALUE"""),"sarahhussain@me.com")</f>
        <v>sarahhussain@me.com</v>
      </c>
      <c r="D184" s="61">
        <f>IFERROR(__xludf.DUMMYFUNCTION("""COMPUTED_VALUE"""),9.493512023E9)</f>
        <v>9493512023</v>
      </c>
      <c r="E184" s="61" t="str">
        <f>IFERROR(__xludf.DUMMYFUNCTION("""COMPUTED_VALUE"""),"Sarah Hussain")</f>
        <v>Sarah Hussain</v>
      </c>
      <c r="F184" s="61"/>
      <c r="G184" s="61"/>
      <c r="H184" s="61" t="str">
        <f>IFERROR(__xludf.DUMMYFUNCTION("""COMPUTED_VALUE"""),"Appliance Rental")</f>
        <v>Appliance Rental</v>
      </c>
      <c r="I184" s="61" t="str">
        <f>IFERROR(__xludf.DUMMYFUNCTION("""COMPUTED_VALUE""")," Double-Door Mini Fridge   ")</f>
        <v> Double-Door Mini Fridge   </v>
      </c>
      <c r="J184" s="61">
        <f>IFERROR(__xludf.DUMMYFUNCTION("""COMPUTED_VALUE"""),145.0)</f>
        <v>145</v>
      </c>
      <c r="K184" s="100">
        <f>IFERROR(__xludf.DUMMYFUNCTION("""COMPUTED_VALUE"""),45883.0)</f>
        <v>45883</v>
      </c>
      <c r="L184" s="61" t="str">
        <f>IFERROR(__xludf.DUMMYFUNCTION("""COMPUTED_VALUE"""),"Umrath  ")</f>
        <v>Umrath  </v>
      </c>
      <c r="M184" s="64" t="str">
        <f>IFERROR(__xludf.DUMMYFUNCTION("""COMPUTED_VALUE"""),"L225-b")</f>
        <v>L225-b</v>
      </c>
      <c r="N184" s="61"/>
      <c r="O184" s="61" t="b">
        <f>COUNTIF('Delivered Rentals'!A:A, B184) &gt; 0</f>
        <v>1</v>
      </c>
      <c r="P184" s="101" t="str">
        <f>IFERROR(__xludf.DUMMYFUNCTION("""COMPUTED_VALUE""")," ")</f>
        <v> </v>
      </c>
    </row>
    <row r="185">
      <c r="A185" s="102" t="str">
        <f>IFERROR(__xludf.DUMMYFUNCTION("""COMPUTED_VALUE"""),"https://utrucking.com/admin/orders/5913046876348")</f>
        <v>https://utrucking.com/admin/orders/5913046876348</v>
      </c>
      <c r="B185" s="65" t="str">
        <f>IFERROR(__xludf.DUMMYFUNCTION("""COMPUTED_VALUE"""),"#15490")</f>
        <v>#15490</v>
      </c>
      <c r="C185" s="65"/>
      <c r="D185" s="65">
        <f>IFERROR(__xludf.DUMMYFUNCTION("""COMPUTED_VALUE"""),7.329152221E9)</f>
        <v>7329152221</v>
      </c>
      <c r="E185" s="65" t="str">
        <f>IFERROR(__xludf.DUMMYFUNCTION("""COMPUTED_VALUE"""),"Bin Li")</f>
        <v>Bin Li</v>
      </c>
      <c r="F185" s="65"/>
      <c r="G185" s="65"/>
      <c r="H185" s="65" t="str">
        <f>IFERROR(__xludf.DUMMYFUNCTION("""COMPUTED_VALUE"""),"Appliance Rental")</f>
        <v>Appliance Rental</v>
      </c>
      <c r="I185" s="65" t="str">
        <f>IFERROR(__xludf.DUMMYFUNCTION("""COMPUTED_VALUE""")," Double-Door Mini Fridge   ")</f>
        <v> Double-Door Mini Fridge   </v>
      </c>
      <c r="J185" s="65">
        <f>IFERROR(__xludf.DUMMYFUNCTION("""COMPUTED_VALUE"""),145.0)</f>
        <v>145</v>
      </c>
      <c r="K185" s="103">
        <f>IFERROR(__xludf.DUMMYFUNCTION("""COMPUTED_VALUE"""),45883.0)</f>
        <v>45883</v>
      </c>
      <c r="L185" s="65" t="str">
        <f>IFERROR(__xludf.DUMMYFUNCTION("""COMPUTED_VALUE"""),"Danforth  ")</f>
        <v>Danforth  </v>
      </c>
      <c r="M185" s="68" t="str">
        <f>IFERROR(__xludf.DUMMYFUNCTION("""COMPUTED_VALUE"""),"4413")</f>
        <v>4413</v>
      </c>
      <c r="N185" s="65"/>
      <c r="O185" s="65" t="b">
        <f>COUNTIF('Delivered Rentals'!A:A, B185) &gt; 0</f>
        <v>1</v>
      </c>
      <c r="P185" s="104" t="str">
        <f>IFERROR(__xludf.DUMMYFUNCTION("""COMPUTED_VALUE""")," ")</f>
        <v> </v>
      </c>
    </row>
    <row r="186">
      <c r="A186" s="99" t="str">
        <f>IFERROR(__xludf.DUMMYFUNCTION("""COMPUTED_VALUE"""),"https://utrucking.com/admin/orders/5913049956540")</f>
        <v>https://utrucking.com/admin/orders/5913049956540</v>
      </c>
      <c r="B186" s="61" t="str">
        <f>IFERROR(__xludf.DUMMYFUNCTION("""COMPUTED_VALUE"""),"#15491")</f>
        <v>#15491</v>
      </c>
      <c r="C186" s="61" t="str">
        <f>IFERROR(__xludf.DUMMYFUNCTION("""COMPUTED_VALUE"""),"farisahmed0007@gmail.com")</f>
        <v>farisahmed0007@gmail.com</v>
      </c>
      <c r="D186" s="61">
        <f>IFERROR(__xludf.DUMMYFUNCTION("""COMPUTED_VALUE"""),3.147794178E9)</f>
        <v>3147794178</v>
      </c>
      <c r="E186" s="61" t="str">
        <f>IFERROR(__xludf.DUMMYFUNCTION("""COMPUTED_VALUE"""),"Faris Ahmed")</f>
        <v>Faris Ahmed</v>
      </c>
      <c r="F186" s="61"/>
      <c r="G186" s="61"/>
      <c r="H186" s="61" t="str">
        <f>IFERROR(__xludf.DUMMYFUNCTION("""COMPUTED_VALUE"""),"Appliance Rental")</f>
        <v>Appliance Rental</v>
      </c>
      <c r="I186" s="61" t="str">
        <f>IFERROR(__xludf.DUMMYFUNCTION("""COMPUTED_VALUE""")," Double-Door Mini Fridge + Microwave   ")</f>
        <v> Double-Door Mini Fridge + Microwave   </v>
      </c>
      <c r="J186" s="61">
        <f>IFERROR(__xludf.DUMMYFUNCTION("""COMPUTED_VALUE"""),210.0)</f>
        <v>210</v>
      </c>
      <c r="K186" s="100">
        <f>IFERROR(__xludf.DUMMYFUNCTION("""COMPUTED_VALUE"""),45883.0)</f>
        <v>45883</v>
      </c>
      <c r="L186" s="61" t="str">
        <f>IFERROR(__xludf.DUMMYFUNCTION("""COMPUTED_VALUE"""),"Danforth  ")</f>
        <v>Danforth  </v>
      </c>
      <c r="M186" s="64" t="str">
        <f>IFERROR(__xludf.DUMMYFUNCTION("""COMPUTED_VALUE"""),"4406")</f>
        <v>4406</v>
      </c>
      <c r="N186" s="61"/>
      <c r="O186" s="61" t="b">
        <f>COUNTIF('Delivered Rentals'!A:A, B186) &gt; 0</f>
        <v>1</v>
      </c>
      <c r="P186" s="101" t="str">
        <f>IFERROR(__xludf.DUMMYFUNCTION("""COMPUTED_VALUE""")," ")</f>
        <v> </v>
      </c>
    </row>
    <row r="187">
      <c r="A187" s="102" t="str">
        <f>IFERROR(__xludf.DUMMYFUNCTION("""COMPUTED_VALUE"""),"https://utrucking.com/admin/orders/5913060278460")</f>
        <v>https://utrucking.com/admin/orders/5913060278460</v>
      </c>
      <c r="B187" s="65" t="str">
        <f>IFERROR(__xludf.DUMMYFUNCTION("""COMPUTED_VALUE"""),"#15492")</f>
        <v>#15492</v>
      </c>
      <c r="C187" s="65" t="str">
        <f>IFERROR(__xludf.DUMMYFUNCTION("""COMPUTED_VALUE"""),"s.sylvester@wustl.edu")</f>
        <v>s.sylvester@wustl.edu</v>
      </c>
      <c r="D187" s="65">
        <f>IFERROR(__xludf.DUMMYFUNCTION("""COMPUTED_VALUE"""),3.142878293E9)</f>
        <v>3142878293</v>
      </c>
      <c r="E187" s="65" t="str">
        <f>IFERROR(__xludf.DUMMYFUNCTION("""COMPUTED_VALUE"""),"Samantha Sylvester")</f>
        <v>Samantha Sylvester</v>
      </c>
      <c r="F187" s="65"/>
      <c r="G187" s="65"/>
      <c r="H187" s="65" t="str">
        <f>IFERROR(__xludf.DUMMYFUNCTION("""COMPUTED_VALUE"""),"Appliance Rental")</f>
        <v>Appliance Rental</v>
      </c>
      <c r="I187" s="65" t="str">
        <f>IFERROR(__xludf.DUMMYFUNCTION("""COMPUTED_VALUE""")," Double-Door Mini Fridge + Microwave   ")</f>
        <v> Double-Door Mini Fridge + Microwave   </v>
      </c>
      <c r="J187" s="65">
        <f>IFERROR(__xludf.DUMMYFUNCTION("""COMPUTED_VALUE"""),210.0)</f>
        <v>210</v>
      </c>
      <c r="K187" s="103">
        <f>IFERROR(__xludf.DUMMYFUNCTION("""COMPUTED_VALUE"""),45883.0)</f>
        <v>45883</v>
      </c>
      <c r="L187" s="65" t="str">
        <f>IFERROR(__xludf.DUMMYFUNCTION("""COMPUTED_VALUE"""),"Koenig  ")</f>
        <v>Koenig  </v>
      </c>
      <c r="M187" s="68" t="str">
        <f>IFERROR(__xludf.DUMMYFUNCTION("""COMPUTED_VALUE"""),"3302")</f>
        <v>3302</v>
      </c>
      <c r="N187" s="65"/>
      <c r="O187" s="65" t="b">
        <f>COUNTIF('Delivered Rentals'!A:A, B187) &gt; 0</f>
        <v>1</v>
      </c>
      <c r="P187" s="104" t="str">
        <f>IFERROR(__xludf.DUMMYFUNCTION("""COMPUTED_VALUE""")," ")</f>
        <v> </v>
      </c>
    </row>
    <row r="188">
      <c r="A188" s="99" t="str">
        <f>IFERROR(__xludf.DUMMYFUNCTION("""COMPUTED_VALUE"""),"https://utrucking.com/admin/orders/5913106383036")</f>
        <v>https://utrucking.com/admin/orders/5913106383036</v>
      </c>
      <c r="B188" s="61" t="str">
        <f>IFERROR(__xludf.DUMMYFUNCTION("""COMPUTED_VALUE"""),"#15498")</f>
        <v>#15498</v>
      </c>
      <c r="C188" s="61" t="str">
        <f>IFERROR(__xludf.DUMMYFUNCTION("""COMPUTED_VALUE"""),"marni74@att.net")</f>
        <v>marni74@att.net</v>
      </c>
      <c r="D188" s="61">
        <f>IFERROR(__xludf.DUMMYFUNCTION("""COMPUTED_VALUE"""),1.8479772174E10)</f>
        <v>18479772174</v>
      </c>
      <c r="E188" s="61" t="str">
        <f>IFERROR(__xludf.DUMMYFUNCTION("""COMPUTED_VALUE"""),"Marni Nichols")</f>
        <v>Marni Nichols</v>
      </c>
      <c r="F188" s="61"/>
      <c r="G188" s="61"/>
      <c r="H188" s="61" t="str">
        <f>IFERROR(__xludf.DUMMYFUNCTION("""COMPUTED_VALUE"""),"Appliance Rental")</f>
        <v>Appliance Rental</v>
      </c>
      <c r="I188" s="61" t="str">
        <f>IFERROR(__xludf.DUMMYFUNCTION("""COMPUTED_VALUE""")," Double-Door Mini Fridge   ")</f>
        <v> Double-Door Mini Fridge   </v>
      </c>
      <c r="J188" s="61">
        <f>IFERROR(__xludf.DUMMYFUNCTION("""COMPUTED_VALUE"""),145.0)</f>
        <v>145</v>
      </c>
      <c r="K188" s="100">
        <f>IFERROR(__xludf.DUMMYFUNCTION("""COMPUTED_VALUE"""),45883.0)</f>
        <v>45883</v>
      </c>
      <c r="L188" s="61" t="str">
        <f>IFERROR(__xludf.DUMMYFUNCTION("""COMPUTED_VALUE"""),"Umrath  ")</f>
        <v>Umrath  </v>
      </c>
      <c r="M188" s="64" t="str">
        <f>IFERROR(__xludf.DUMMYFUNCTION("""COMPUTED_VALUE"""),"4431")</f>
        <v>4431</v>
      </c>
      <c r="N188" s="61"/>
      <c r="O188" s="61" t="b">
        <f>COUNTIF('Delivered Rentals'!A:A, B188) &gt; 0</f>
        <v>1</v>
      </c>
      <c r="P188" s="101" t="str">
        <f>IFERROR(__xludf.DUMMYFUNCTION("""COMPUTED_VALUE""")," ")</f>
        <v> </v>
      </c>
    </row>
    <row r="189">
      <c r="A189" s="102" t="str">
        <f>IFERROR(__xludf.DUMMYFUNCTION("""COMPUTED_VALUE"""),"https://utrucking.com/admin/orders/5913136070844")</f>
        <v>https://utrucking.com/admin/orders/5913136070844</v>
      </c>
      <c r="B189" s="65" t="str">
        <f>IFERROR(__xludf.DUMMYFUNCTION("""COMPUTED_VALUE"""),"#15499")</f>
        <v>#15499</v>
      </c>
      <c r="C189" s="65" t="str">
        <f>IFERROR(__xludf.DUMMYFUNCTION("""COMPUTED_VALUE"""),"Cailynbaer22@gmail.com")</f>
        <v>Cailynbaer22@gmail.com</v>
      </c>
      <c r="D189" s="65">
        <f>IFERROR(__xludf.DUMMYFUNCTION("""COMPUTED_VALUE"""),6.463033079E9)</f>
        <v>6463033079</v>
      </c>
      <c r="E189" s="65" t="str">
        <f>IFERROR(__xludf.DUMMYFUNCTION("""COMPUTED_VALUE"""),"Sarah Walters")</f>
        <v>Sarah Walters</v>
      </c>
      <c r="F189" s="65"/>
      <c r="G189" s="65"/>
      <c r="H189" s="65" t="str">
        <f>IFERROR(__xludf.DUMMYFUNCTION("""COMPUTED_VALUE"""),"Appliance Rental")</f>
        <v>Appliance Rental</v>
      </c>
      <c r="I189" s="65" t="str">
        <f>IFERROR(__xludf.DUMMYFUNCTION("""COMPUTED_VALUE""")," Double-Door Mini Fridge   ")</f>
        <v> Double-Door Mini Fridge   </v>
      </c>
      <c r="J189" s="65">
        <f>IFERROR(__xludf.DUMMYFUNCTION("""COMPUTED_VALUE"""),145.0)</f>
        <v>145</v>
      </c>
      <c r="K189" s="103">
        <f>IFERROR(__xludf.DUMMYFUNCTION("""COMPUTED_VALUE"""),45883.0)</f>
        <v>45883</v>
      </c>
      <c r="L189" s="65" t="str">
        <f>IFERROR(__xludf.DUMMYFUNCTION("""COMPUTED_VALUE"""),"Koenig  ")</f>
        <v>Koenig  </v>
      </c>
      <c r="M189" s="68" t="str">
        <f>IFERROR(__xludf.DUMMYFUNCTION("""COMPUTED_VALUE"""),"2219")</f>
        <v>2219</v>
      </c>
      <c r="N189" s="65"/>
      <c r="O189" s="65" t="b">
        <f>COUNTIF('Delivered Rentals'!A:A, B189) &gt; 0</f>
        <v>1</v>
      </c>
      <c r="P189" s="104" t="str">
        <f>IFERROR(__xludf.DUMMYFUNCTION("""COMPUTED_VALUE""")," ")</f>
        <v> </v>
      </c>
    </row>
    <row r="190">
      <c r="A190" s="99" t="str">
        <f>IFERROR(__xludf.DUMMYFUNCTION("""COMPUTED_VALUE"""),"https://utrucking.com/admin/orders/5913185059004")</f>
        <v>https://utrucking.com/admin/orders/5913185059004</v>
      </c>
      <c r="B190" s="61" t="str">
        <f>IFERROR(__xludf.DUMMYFUNCTION("""COMPUTED_VALUE"""),"#15503")</f>
        <v>#15503</v>
      </c>
      <c r="C190" s="61" t="str">
        <f>IFERROR(__xludf.DUMMYFUNCTION("""COMPUTED_VALUE"""),"lynettehopkinson8@comcast.net")</f>
        <v>lynettehopkinson8@comcast.net</v>
      </c>
      <c r="D190" s="61">
        <f>IFERROR(__xludf.DUMMYFUNCTION("""COMPUTED_VALUE"""),2.017856794E9)</f>
        <v>2017856794</v>
      </c>
      <c r="E190" s="61" t="str">
        <f>IFERROR(__xludf.DUMMYFUNCTION("""COMPUTED_VALUE"""),"Lynette Hopkinson")</f>
        <v>Lynette Hopkinson</v>
      </c>
      <c r="F190" s="61"/>
      <c r="G190" s="61"/>
      <c r="H190" s="61" t="str">
        <f>IFERROR(__xludf.DUMMYFUNCTION("""COMPUTED_VALUE"""),"Appliance Rental")</f>
        <v>Appliance Rental</v>
      </c>
      <c r="I190" s="61" t="str">
        <f>IFERROR(__xludf.DUMMYFUNCTION("""COMPUTED_VALUE""")," Standard Mini Fridge + Microwave   ")</f>
        <v> Standard Mini Fridge + Microwave   </v>
      </c>
      <c r="J190" s="61">
        <f>IFERROR(__xludf.DUMMYFUNCTION("""COMPUTED_VALUE"""),180.0)</f>
        <v>180</v>
      </c>
      <c r="K190" s="100">
        <f>IFERROR(__xludf.DUMMYFUNCTION("""COMPUTED_VALUE"""),45883.0)</f>
        <v>45883</v>
      </c>
      <c r="L190" s="61" t="str">
        <f>IFERROR(__xludf.DUMMYFUNCTION("""COMPUTED_VALUE"""),"Koenig  ")</f>
        <v>Koenig  </v>
      </c>
      <c r="M190" s="64" t="str">
        <f>IFERROR(__xludf.DUMMYFUNCTION("""COMPUTED_VALUE"""),"4401A")</f>
        <v>4401A</v>
      </c>
      <c r="N190" s="61"/>
      <c r="O190" s="61" t="b">
        <f>COUNTIF('Delivered Rentals'!A:A, B190) &gt; 0</f>
        <v>1</v>
      </c>
      <c r="P190" s="101" t="str">
        <f>IFERROR(__xludf.DUMMYFUNCTION("""COMPUTED_VALUE""")," ")</f>
        <v> </v>
      </c>
    </row>
    <row r="191">
      <c r="A191" s="102" t="str">
        <f>IFERROR(__xludf.DUMMYFUNCTION("""COMPUTED_VALUE"""),"https://utrucking.com/admin/orders/5913198919868")</f>
        <v>https://utrucking.com/admin/orders/5913198919868</v>
      </c>
      <c r="B191" s="65" t="str">
        <f>IFERROR(__xludf.DUMMYFUNCTION("""COMPUTED_VALUE"""),"#15505")</f>
        <v>#15505</v>
      </c>
      <c r="C191" s="65" t="str">
        <f>IFERROR(__xludf.DUMMYFUNCTION("""COMPUTED_VALUE"""),"sadiemgoldman@gmail.com")</f>
        <v>sadiemgoldman@gmail.com</v>
      </c>
      <c r="D191" s="65">
        <f>IFERROR(__xludf.DUMMYFUNCTION("""COMPUTED_VALUE"""),9.785054923E9)</f>
        <v>9785054923</v>
      </c>
      <c r="E191" s="65" t="str">
        <f>IFERROR(__xludf.DUMMYFUNCTION("""COMPUTED_VALUE"""),"Sadie Goldman")</f>
        <v>Sadie Goldman</v>
      </c>
      <c r="F191" s="65"/>
      <c r="G191" s="65"/>
      <c r="H191" s="65" t="str">
        <f>IFERROR(__xludf.DUMMYFUNCTION("""COMPUTED_VALUE"""),"Appliance Rental")</f>
        <v>Appliance Rental</v>
      </c>
      <c r="I191" s="65" t="str">
        <f>IFERROR(__xludf.DUMMYFUNCTION("""COMPUTED_VALUE""")," Double-Door Mini Fridge   ")</f>
        <v> Double-Door Mini Fridge   </v>
      </c>
      <c r="J191" s="65">
        <f>IFERROR(__xludf.DUMMYFUNCTION("""COMPUTED_VALUE"""),145.0)</f>
        <v>145</v>
      </c>
      <c r="K191" s="103">
        <f>IFERROR(__xludf.DUMMYFUNCTION("""COMPUTED_VALUE"""),45883.0)</f>
        <v>45883</v>
      </c>
      <c r="L191" s="65" t="str">
        <f>IFERROR(__xludf.DUMMYFUNCTION("""COMPUTED_VALUE"""),"Park  ")</f>
        <v>Park  </v>
      </c>
      <c r="M191" s="68" t="str">
        <f>IFERROR(__xludf.DUMMYFUNCTION("""COMPUTED_VALUE"""),"340-a")</f>
        <v>340-a</v>
      </c>
      <c r="N191" s="65"/>
      <c r="O191" s="65" t="b">
        <f>COUNTIF('Delivered Rentals'!A:A, B191) &gt; 0</f>
        <v>1</v>
      </c>
      <c r="P191" s="104" t="str">
        <f>IFERROR(__xludf.DUMMYFUNCTION("""COMPUTED_VALUE""")," ")</f>
        <v> </v>
      </c>
    </row>
    <row r="192">
      <c r="A192" s="99" t="str">
        <f>IFERROR(__xludf.DUMMYFUNCTION("""COMPUTED_VALUE"""),"https://utrucking.com/admin/orders/5913199378620")</f>
        <v>https://utrucking.com/admin/orders/5913199378620</v>
      </c>
      <c r="B192" s="61" t="str">
        <f>IFERROR(__xludf.DUMMYFUNCTION("""COMPUTED_VALUE"""),"#15506")</f>
        <v>#15506</v>
      </c>
      <c r="C192" s="61" t="str">
        <f>IFERROR(__xludf.DUMMYFUNCTION("""COMPUTED_VALUE"""),"seschoen@me.com")</f>
        <v>seschoen@me.com</v>
      </c>
      <c r="D192" s="61">
        <f>IFERROR(__xludf.DUMMYFUNCTION("""COMPUTED_VALUE"""),1.6463822953E10)</f>
        <v>16463822953</v>
      </c>
      <c r="E192" s="61" t="str">
        <f>IFERROR(__xludf.DUMMYFUNCTION("""COMPUTED_VALUE"""),"Sarah Schoen")</f>
        <v>Sarah Schoen</v>
      </c>
      <c r="F192" s="61"/>
      <c r="G192" s="61"/>
      <c r="H192" s="61" t="str">
        <f>IFERROR(__xludf.DUMMYFUNCTION("""COMPUTED_VALUE"""),"Appliance Rental")</f>
        <v>Appliance Rental</v>
      </c>
      <c r="I192" s="61" t="str">
        <f>IFERROR(__xludf.DUMMYFUNCTION("""COMPUTED_VALUE""")," Double-Door Mini Fridge   ")</f>
        <v> Double-Door Mini Fridge   </v>
      </c>
      <c r="J192" s="61">
        <f>IFERROR(__xludf.DUMMYFUNCTION("""COMPUTED_VALUE"""),145.0)</f>
        <v>145</v>
      </c>
      <c r="K192" s="100">
        <f>IFERROR(__xludf.DUMMYFUNCTION("""COMPUTED_VALUE"""),45883.0)</f>
        <v>45883</v>
      </c>
      <c r="L192" s="61" t="str">
        <f>IFERROR(__xludf.DUMMYFUNCTION("""COMPUTED_VALUE"""),"Lien  ")</f>
        <v>Lien  </v>
      </c>
      <c r="M192" s="64" t="str">
        <f>IFERROR(__xludf.DUMMYFUNCTION("""COMPUTED_VALUE"""),"1104B")</f>
        <v>1104B</v>
      </c>
      <c r="N192" s="61"/>
      <c r="O192" s="61" t="b">
        <f>COUNTIF('Delivered Rentals'!A:A, B192) &gt; 0</f>
        <v>1</v>
      </c>
      <c r="P192" s="101" t="str">
        <f>IFERROR(__xludf.DUMMYFUNCTION("""COMPUTED_VALUE""")," ")</f>
        <v> </v>
      </c>
    </row>
    <row r="193">
      <c r="A193" s="102" t="str">
        <f>IFERROR(__xludf.DUMMYFUNCTION("""COMPUTED_VALUE"""),"https://utrucking.com/admin/orders/5913234997436")</f>
        <v>https://utrucking.com/admin/orders/5913234997436</v>
      </c>
      <c r="B193" s="65" t="str">
        <f>IFERROR(__xludf.DUMMYFUNCTION("""COMPUTED_VALUE"""),"#15509")</f>
        <v>#15509</v>
      </c>
      <c r="C193" s="65"/>
      <c r="D193" s="65">
        <f>IFERROR(__xludf.DUMMYFUNCTION("""COMPUTED_VALUE"""),2.03246337E9)</f>
        <v>2032463370</v>
      </c>
      <c r="E193" s="65" t="str">
        <f>IFERROR(__xludf.DUMMYFUNCTION("""COMPUTED_VALUE"""),"Lara Philip")</f>
        <v>Lara Philip</v>
      </c>
      <c r="F193" s="65"/>
      <c r="G193" s="65"/>
      <c r="H193" s="65" t="str">
        <f>IFERROR(__xludf.DUMMYFUNCTION("""COMPUTED_VALUE"""),"Appliance Rental")</f>
        <v>Appliance Rental</v>
      </c>
      <c r="I193" s="65" t="str">
        <f>IFERROR(__xludf.DUMMYFUNCTION("""COMPUTED_VALUE""")," Double-Door Mini Fridge   ")</f>
        <v> Double-Door Mini Fridge   </v>
      </c>
      <c r="J193" s="65">
        <f>IFERROR(__xludf.DUMMYFUNCTION("""COMPUTED_VALUE"""),145.0)</f>
        <v>145</v>
      </c>
      <c r="K193" s="103">
        <f>IFERROR(__xludf.DUMMYFUNCTION("""COMPUTED_VALUE"""),45883.0)</f>
        <v>45883</v>
      </c>
      <c r="L193" s="65" t="str">
        <f>IFERROR(__xludf.DUMMYFUNCTION("""COMPUTED_VALUE"""),"Dardick  ")</f>
        <v>Dardick  </v>
      </c>
      <c r="M193" s="68" t="str">
        <f>IFERROR(__xludf.DUMMYFUNCTION("""COMPUTED_VALUE"""),"3303")</f>
        <v>3303</v>
      </c>
      <c r="N193" s="65"/>
      <c r="O193" s="65" t="b">
        <f>COUNTIF('Delivered Rentals'!A:A, B193) &gt; 0</f>
        <v>1</v>
      </c>
      <c r="P193" s="104" t="str">
        <f>IFERROR(__xludf.DUMMYFUNCTION("""COMPUTED_VALUE""")," ")</f>
        <v> </v>
      </c>
    </row>
    <row r="194">
      <c r="A194" s="99" t="str">
        <f>IFERROR(__xludf.DUMMYFUNCTION("""COMPUTED_VALUE"""),"https://utrucking.com/admin/orders/5913239617724")</f>
        <v>https://utrucking.com/admin/orders/5913239617724</v>
      </c>
      <c r="B194" s="61" t="str">
        <f>IFERROR(__xludf.DUMMYFUNCTION("""COMPUTED_VALUE"""),"#15510")</f>
        <v>#15510</v>
      </c>
      <c r="C194" s="61" t="str">
        <f>IFERROR(__xludf.DUMMYFUNCTION("""COMPUTED_VALUE"""),"danailyse@gmail.com")</f>
        <v>danailyse@gmail.com</v>
      </c>
      <c r="D194" s="61">
        <f>IFERROR(__xludf.DUMMYFUNCTION("""COMPUTED_VALUE"""),9.178478276E9)</f>
        <v>9178478276</v>
      </c>
      <c r="E194" s="61" t="str">
        <f>IFERROR(__xludf.DUMMYFUNCTION("""COMPUTED_VALUE"""),"Dana Rochester")</f>
        <v>Dana Rochester</v>
      </c>
      <c r="F194" s="61"/>
      <c r="G194" s="61"/>
      <c r="H194" s="61" t="str">
        <f>IFERROR(__xludf.DUMMYFUNCTION("""COMPUTED_VALUE"""),"Appliance Rental")</f>
        <v>Appliance Rental</v>
      </c>
      <c r="I194" s="61" t="str">
        <f>IFERROR(__xludf.DUMMYFUNCTION("""COMPUTED_VALUE""")," Double-Door Mini Fridge + Microwave   ")</f>
        <v> Double-Door Mini Fridge + Microwave   </v>
      </c>
      <c r="J194" s="61">
        <f>IFERROR(__xludf.DUMMYFUNCTION("""COMPUTED_VALUE"""),210.0)</f>
        <v>210</v>
      </c>
      <c r="K194" s="100">
        <f>IFERROR(__xludf.DUMMYFUNCTION("""COMPUTED_VALUE"""),45883.0)</f>
        <v>45883</v>
      </c>
      <c r="L194" s="61" t="str">
        <f>IFERROR(__xludf.DUMMYFUNCTION("""COMPUTED_VALUE"""),"Lien  ")</f>
        <v>Lien  </v>
      </c>
      <c r="M194" s="64" t="str">
        <f>IFERROR(__xludf.DUMMYFUNCTION("""COMPUTED_VALUE"""),"3330")</f>
        <v>3330</v>
      </c>
      <c r="N194" s="61"/>
      <c r="O194" s="61" t="b">
        <f>COUNTIF('Delivered Rentals'!A:A, B194) &gt; 0</f>
        <v>1</v>
      </c>
      <c r="P194" s="101" t="str">
        <f>IFERROR(__xludf.DUMMYFUNCTION("""COMPUTED_VALUE""")," ")</f>
        <v> </v>
      </c>
    </row>
    <row r="195">
      <c r="A195" s="102" t="str">
        <f>IFERROR(__xludf.DUMMYFUNCTION("""COMPUTED_VALUE"""),"https://utrucking.com/admin/orders/5913464275132")</f>
        <v>https://utrucking.com/admin/orders/5913464275132</v>
      </c>
      <c r="B195" s="65" t="str">
        <f>IFERROR(__xludf.DUMMYFUNCTION("""COMPUTED_VALUE"""),"#15513")</f>
        <v>#15513</v>
      </c>
      <c r="C195" s="65" t="str">
        <f>IFERROR(__xludf.DUMMYFUNCTION("""COMPUTED_VALUE"""),"debbierothschild@yahoo.com")</f>
        <v>debbierothschild@yahoo.com</v>
      </c>
      <c r="D195" s="65">
        <f>IFERROR(__xludf.DUMMYFUNCTION("""COMPUTED_VALUE"""),9.179695491E9)</f>
        <v>9179695491</v>
      </c>
      <c r="E195" s="65" t="str">
        <f>IFERROR(__xludf.DUMMYFUNCTION("""COMPUTED_VALUE"""),"Debra Rothschild")</f>
        <v>Debra Rothschild</v>
      </c>
      <c r="F195" s="65"/>
      <c r="G195" s="65"/>
      <c r="H195" s="65" t="str">
        <f>IFERROR(__xludf.DUMMYFUNCTION("""COMPUTED_VALUE"""),"Appliance Rental")</f>
        <v>Appliance Rental</v>
      </c>
      <c r="I195" s="65" t="str">
        <f>IFERROR(__xludf.DUMMYFUNCTION("""COMPUTED_VALUE""")," Double-Door Mini Fridge   ")</f>
        <v> Double-Door Mini Fridge   </v>
      </c>
      <c r="J195" s="65">
        <f>IFERROR(__xludf.DUMMYFUNCTION("""COMPUTED_VALUE"""),145.0)</f>
        <v>145</v>
      </c>
      <c r="K195" s="103">
        <f>IFERROR(__xludf.DUMMYFUNCTION("""COMPUTED_VALUE"""),45883.0)</f>
        <v>45883</v>
      </c>
      <c r="L195" s="65" t="str">
        <f>IFERROR(__xludf.DUMMYFUNCTION("""COMPUTED_VALUE"""),"Park  ")</f>
        <v>Park  </v>
      </c>
      <c r="M195" s="68" t="str">
        <f>IFERROR(__xludf.DUMMYFUNCTION("""COMPUTED_VALUE"""),"172")</f>
        <v>172</v>
      </c>
      <c r="N195" s="65"/>
      <c r="O195" s="65" t="b">
        <f>COUNTIF('Delivered Rentals'!A:A, B195) &gt; 0</f>
        <v>1</v>
      </c>
      <c r="P195" s="104" t="str">
        <f>IFERROR(__xludf.DUMMYFUNCTION("""COMPUTED_VALUE""")," ")</f>
        <v> </v>
      </c>
    </row>
    <row r="196">
      <c r="A196" s="99" t="str">
        <f>IFERROR(__xludf.DUMMYFUNCTION("""COMPUTED_VALUE"""),"https://utrucking.com/admin/orders/5913480036540")</f>
        <v>https://utrucking.com/admin/orders/5913480036540</v>
      </c>
      <c r="B196" s="61" t="str">
        <f>IFERROR(__xludf.DUMMYFUNCTION("""COMPUTED_VALUE"""),"#15515")</f>
        <v>#15515</v>
      </c>
      <c r="C196" s="61" t="str">
        <f>IFERROR(__xludf.DUMMYFUNCTION("""COMPUTED_VALUE"""),"rogers.z@wustl.edu")</f>
        <v>rogers.z@wustl.edu</v>
      </c>
      <c r="D196" s="61">
        <f>IFERROR(__xludf.DUMMYFUNCTION("""COMPUTED_VALUE"""),4.104848141E9)</f>
        <v>4104848141</v>
      </c>
      <c r="E196" s="61" t="str">
        <f>IFERROR(__xludf.DUMMYFUNCTION("""COMPUTED_VALUE"""),"Joanna Rogers")</f>
        <v>Joanna Rogers</v>
      </c>
      <c r="F196" s="61"/>
      <c r="G196" s="61"/>
      <c r="H196" s="61" t="str">
        <f>IFERROR(__xludf.DUMMYFUNCTION("""COMPUTED_VALUE"""),"Appliance Rental")</f>
        <v>Appliance Rental</v>
      </c>
      <c r="I196" s="61" t="str">
        <f>IFERROR(__xludf.DUMMYFUNCTION("""COMPUTED_VALUE""")," Double-Door Mini Fridge   ")</f>
        <v> Double-Door Mini Fridge   </v>
      </c>
      <c r="J196" s="61">
        <f>IFERROR(__xludf.DUMMYFUNCTION("""COMPUTED_VALUE"""),145.0)</f>
        <v>145</v>
      </c>
      <c r="K196" s="100">
        <f>IFERROR(__xludf.DUMMYFUNCTION("""COMPUTED_VALUE"""),45883.0)</f>
        <v>45883</v>
      </c>
      <c r="L196" s="61" t="str">
        <f>IFERROR(__xludf.DUMMYFUNCTION("""COMPUTED_VALUE"""),"Lee  ")</f>
        <v>Lee  </v>
      </c>
      <c r="M196" s="64" t="str">
        <f>IFERROR(__xludf.DUMMYFUNCTION("""COMPUTED_VALUE"""),"301")</f>
        <v>301</v>
      </c>
      <c r="N196" s="61"/>
      <c r="O196" s="61" t="b">
        <f>COUNTIF('Delivered Rentals'!A:A, B196) &gt; 0</f>
        <v>1</v>
      </c>
      <c r="P196" s="101" t="str">
        <f>IFERROR(__xludf.DUMMYFUNCTION("""COMPUTED_VALUE""")," ")</f>
        <v> </v>
      </c>
    </row>
    <row r="197">
      <c r="A197" s="102" t="str">
        <f>IFERROR(__xludf.DUMMYFUNCTION("""COMPUTED_VALUE"""),"https://utrucking.com/admin/orders/5913535152316")</f>
        <v>https://utrucking.com/admin/orders/5913535152316</v>
      </c>
      <c r="B197" s="65" t="str">
        <f>IFERROR(__xludf.DUMMYFUNCTION("""COMPUTED_VALUE"""),"#15526")</f>
        <v>#15526</v>
      </c>
      <c r="C197" s="65" t="str">
        <f>IFERROR(__xludf.DUMMYFUNCTION("""COMPUTED_VALUE"""),"alefkowitz1@gmail.com")</f>
        <v>alefkowitz1@gmail.com</v>
      </c>
      <c r="D197" s="65">
        <f>IFERROR(__xludf.DUMMYFUNCTION("""COMPUTED_VALUE"""),1.9177161807E10)</f>
        <v>19177161807</v>
      </c>
      <c r="E197" s="65" t="str">
        <f>IFERROR(__xludf.DUMMYFUNCTION("""COMPUTED_VALUE"""),"Tamar Lefkowitz")</f>
        <v>Tamar Lefkowitz</v>
      </c>
      <c r="F197" s="65"/>
      <c r="G197" s="65"/>
      <c r="H197" s="65" t="str">
        <f>IFERROR(__xludf.DUMMYFUNCTION("""COMPUTED_VALUE"""),"Appliance Rental")</f>
        <v>Appliance Rental</v>
      </c>
      <c r="I197" s="65" t="str">
        <f>IFERROR(__xludf.DUMMYFUNCTION("""COMPUTED_VALUE""")," Double-Door Mini Fridge + Microwave   ")</f>
        <v> Double-Door Mini Fridge + Microwave   </v>
      </c>
      <c r="J197" s="65">
        <f>IFERROR(__xludf.DUMMYFUNCTION("""COMPUTED_VALUE"""),210.0)</f>
        <v>210</v>
      </c>
      <c r="K197" s="103">
        <f>IFERROR(__xludf.DUMMYFUNCTION("""COMPUTED_VALUE"""),45883.0)</f>
        <v>45883</v>
      </c>
      <c r="L197" s="65" t="str">
        <f>IFERROR(__xludf.DUMMYFUNCTION("""COMPUTED_VALUE"""),"Koenig  ")</f>
        <v>Koenig  </v>
      </c>
      <c r="M197" s="68" t="str">
        <f>IFERROR(__xludf.DUMMYFUNCTION("""COMPUTED_VALUE"""),"2207 - b")</f>
        <v>2207 - b</v>
      </c>
      <c r="N197" s="65"/>
      <c r="O197" s="65" t="b">
        <f>COUNTIF('Delivered Rentals'!A:A, B197) &gt; 0</f>
        <v>1</v>
      </c>
      <c r="P197" s="104" t="str">
        <f>IFERROR(__xludf.DUMMYFUNCTION("""COMPUTED_VALUE""")," ")</f>
        <v> </v>
      </c>
    </row>
    <row r="198">
      <c r="A198" s="99" t="str">
        <f>IFERROR(__xludf.DUMMYFUNCTION("""COMPUTED_VALUE"""),"https://utrucking.com/admin/orders/5913703743676")</f>
        <v>https://utrucking.com/admin/orders/5913703743676</v>
      </c>
      <c r="B198" s="61" t="str">
        <f>IFERROR(__xludf.DUMMYFUNCTION("""COMPUTED_VALUE"""),"#15540")</f>
        <v>#15540</v>
      </c>
      <c r="C198" s="61" t="str">
        <f>IFERROR(__xludf.DUMMYFUNCTION("""COMPUTED_VALUE"""),"jaewonkim000@gmail.com")</f>
        <v>jaewonkim000@gmail.com</v>
      </c>
      <c r="D198" s="61">
        <f>IFERROR(__xludf.DUMMYFUNCTION("""COMPUTED_VALUE"""),6.692089376E9)</f>
        <v>6692089376</v>
      </c>
      <c r="E198" s="61" t="str">
        <f>IFERROR(__xludf.DUMMYFUNCTION("""COMPUTED_VALUE"""),"Sage Park")</f>
        <v>Sage Park</v>
      </c>
      <c r="F198" s="61"/>
      <c r="G198" s="61"/>
      <c r="H198" s="61" t="str">
        <f>IFERROR(__xludf.DUMMYFUNCTION("""COMPUTED_VALUE"""),"Appliance Rental")</f>
        <v>Appliance Rental</v>
      </c>
      <c r="I198" s="61" t="str">
        <f>IFERROR(__xludf.DUMMYFUNCTION("""COMPUTED_VALUE""")," Standard Mini Fridge   ")</f>
        <v> Standard Mini Fridge   </v>
      </c>
      <c r="J198" s="61">
        <f>IFERROR(__xludf.DUMMYFUNCTION("""COMPUTED_VALUE"""),115.0)</f>
        <v>115</v>
      </c>
      <c r="K198" s="100">
        <f>IFERROR(__xludf.DUMMYFUNCTION("""COMPUTED_VALUE"""),45883.0)</f>
        <v>45883</v>
      </c>
      <c r="L198" s="61" t="str">
        <f>IFERROR(__xludf.DUMMYFUNCTION("""COMPUTED_VALUE"""),"Koenig  ")</f>
        <v>Koenig  </v>
      </c>
      <c r="M198" s="64" t="str">
        <f>IFERROR(__xludf.DUMMYFUNCTION("""COMPUTED_VALUE"""),"2214")</f>
        <v>2214</v>
      </c>
      <c r="N198" s="61"/>
      <c r="O198" s="61" t="b">
        <f>COUNTIF('Delivered Rentals'!A:A, B198) &gt; 0</f>
        <v>1</v>
      </c>
      <c r="P198" s="101" t="str">
        <f>IFERROR(__xludf.DUMMYFUNCTION("""COMPUTED_VALUE""")," ")</f>
        <v> </v>
      </c>
    </row>
    <row r="199">
      <c r="A199" s="102" t="str">
        <f>IFERROR(__xludf.DUMMYFUNCTION("""COMPUTED_VALUE"""),"https://utrucking.com/admin/orders/5913703874748")</f>
        <v>https://utrucking.com/admin/orders/5913703874748</v>
      </c>
      <c r="B199" s="65" t="str">
        <f>IFERROR(__xludf.DUMMYFUNCTION("""COMPUTED_VALUE"""),"#15541")</f>
        <v>#15541</v>
      </c>
      <c r="C199" s="65" t="str">
        <f>IFERROR(__xludf.DUMMYFUNCTION("""COMPUTED_VALUE"""),"c.maurer@wustl.edu")</f>
        <v>c.maurer@wustl.edu</v>
      </c>
      <c r="D199" s="65">
        <f>IFERROR(__xludf.DUMMYFUNCTION("""COMPUTED_VALUE"""),6.269935538E9)</f>
        <v>6269935538</v>
      </c>
      <c r="E199" s="65" t="str">
        <f>IFERROR(__xludf.DUMMYFUNCTION("""COMPUTED_VALUE"""),"Clare Maurer")</f>
        <v>Clare Maurer</v>
      </c>
      <c r="F199" s="65"/>
      <c r="G199" s="65"/>
      <c r="H199" s="65" t="str">
        <f>IFERROR(__xludf.DUMMYFUNCTION("""COMPUTED_VALUE"""),"Appliance Rental")</f>
        <v>Appliance Rental</v>
      </c>
      <c r="I199" s="65" t="str">
        <f>IFERROR(__xludf.DUMMYFUNCTION("""COMPUTED_VALUE""")," Double-Door Mini Fridge + Microwave   ")</f>
        <v> Double-Door Mini Fridge + Microwave   </v>
      </c>
      <c r="J199" s="65">
        <f>IFERROR(__xludf.DUMMYFUNCTION("""COMPUTED_VALUE"""),210.0)</f>
        <v>210</v>
      </c>
      <c r="K199" s="103">
        <f>IFERROR(__xludf.DUMMYFUNCTION("""COMPUTED_VALUE"""),45883.0)</f>
        <v>45883</v>
      </c>
      <c r="L199" s="65" t="str">
        <f>IFERROR(__xludf.DUMMYFUNCTION("""COMPUTED_VALUE"""),"Danforth  ")</f>
        <v>Danforth  </v>
      </c>
      <c r="M199" s="68" t="str">
        <f>IFERROR(__xludf.DUMMYFUNCTION("""COMPUTED_VALUE"""),"3331")</f>
        <v>3331</v>
      </c>
      <c r="N199" s="65"/>
      <c r="O199" s="65" t="b">
        <f>COUNTIF('Delivered Rentals'!A:A, B199) &gt; 0</f>
        <v>1</v>
      </c>
      <c r="P199" s="104" t="str">
        <f>IFERROR(__xludf.DUMMYFUNCTION("""COMPUTED_VALUE""")," ")</f>
        <v> </v>
      </c>
    </row>
    <row r="200">
      <c r="A200" s="99" t="str">
        <f>IFERROR(__xludf.DUMMYFUNCTION("""COMPUTED_VALUE"""),"https://utrucking.com/admin/orders/5913773834428")</f>
        <v>https://utrucking.com/admin/orders/5913773834428</v>
      </c>
      <c r="B200" s="61" t="str">
        <f>IFERROR(__xludf.DUMMYFUNCTION("""COMPUTED_VALUE"""),"#15547")</f>
        <v>#15547</v>
      </c>
      <c r="C200" s="61" t="str">
        <f>IFERROR(__xludf.DUMMYFUNCTION("""COMPUTED_VALUE"""),"trevorkrejdovsky@gmail.com")</f>
        <v>trevorkrejdovsky@gmail.com</v>
      </c>
      <c r="D200" s="61">
        <f>IFERROR(__xludf.DUMMYFUNCTION("""COMPUTED_VALUE"""),4.152464423E9)</f>
        <v>4152464423</v>
      </c>
      <c r="E200" s="61" t="str">
        <f>IFERROR(__xludf.DUMMYFUNCTION("""COMPUTED_VALUE"""),"Melissa Krejdovsky")</f>
        <v>Melissa Krejdovsky</v>
      </c>
      <c r="F200" s="61"/>
      <c r="G200" s="61"/>
      <c r="H200" s="61" t="str">
        <f>IFERROR(__xludf.DUMMYFUNCTION("""COMPUTED_VALUE"""),"Appliance Rental")</f>
        <v>Appliance Rental</v>
      </c>
      <c r="I200" s="61" t="str">
        <f>IFERROR(__xludf.DUMMYFUNCTION("""COMPUTED_VALUE""")," Double-Door Mini Fridge + Microwave   ")</f>
        <v> Double-Door Mini Fridge + Microwave   </v>
      </c>
      <c r="J200" s="61">
        <f>IFERROR(__xludf.DUMMYFUNCTION("""COMPUTED_VALUE"""),210.0)</f>
        <v>210</v>
      </c>
      <c r="K200" s="100">
        <f>IFERROR(__xludf.DUMMYFUNCTION("""COMPUTED_VALUE"""),45883.0)</f>
        <v>45883</v>
      </c>
      <c r="L200" s="61" t="str">
        <f>IFERROR(__xludf.DUMMYFUNCTION("""COMPUTED_VALUE"""),"Rutledge  ")</f>
        <v>Rutledge  </v>
      </c>
      <c r="M200" s="64" t="str">
        <f>IFERROR(__xludf.DUMMYFUNCTION("""COMPUTED_VALUE"""),"144")</f>
        <v>144</v>
      </c>
      <c r="N200" s="61"/>
      <c r="O200" s="61" t="b">
        <f>COUNTIF('Delivered Rentals'!A:A, B200) &gt; 0</f>
        <v>1</v>
      </c>
      <c r="P200" s="101" t="str">
        <f>IFERROR(__xludf.DUMMYFUNCTION("""COMPUTED_VALUE""")," ")</f>
        <v> </v>
      </c>
    </row>
    <row r="201">
      <c r="A201" s="102" t="str">
        <f>IFERROR(__xludf.DUMMYFUNCTION("""COMPUTED_VALUE"""),"https://utrucking.com/admin/orders/5913893208252")</f>
        <v>https://utrucking.com/admin/orders/5913893208252</v>
      </c>
      <c r="B201" s="65" t="str">
        <f>IFERROR(__xludf.DUMMYFUNCTION("""COMPUTED_VALUE"""),"#15564")</f>
        <v>#15564</v>
      </c>
      <c r="C201" s="65" t="str">
        <f>IFERROR(__xludf.DUMMYFUNCTION("""COMPUTED_VALUE"""),"marci_sherman@hotmail.com")</f>
        <v>marci_sherman@hotmail.com</v>
      </c>
      <c r="D201" s="65"/>
      <c r="E201" s="65" t="str">
        <f>IFERROR(__xludf.DUMMYFUNCTION("""COMPUTED_VALUE"""),"Marci Rosenblatt")</f>
        <v>Marci Rosenblatt</v>
      </c>
      <c r="F201" s="65"/>
      <c r="G201" s="65"/>
      <c r="H201" s="65" t="str">
        <f>IFERROR(__xludf.DUMMYFUNCTION("""COMPUTED_VALUE"""),"Appliance Rental")</f>
        <v>Appliance Rental</v>
      </c>
      <c r="I201" s="65" t="str">
        <f>IFERROR(__xludf.DUMMYFUNCTION("""COMPUTED_VALUE""")," Double-Door Mini Fridge + Microwave   ")</f>
        <v> Double-Door Mini Fridge + Microwave   </v>
      </c>
      <c r="J201" s="65">
        <f>IFERROR(__xludf.DUMMYFUNCTION("""COMPUTED_VALUE"""),210.0)</f>
        <v>210</v>
      </c>
      <c r="K201" s="103">
        <f>IFERROR(__xludf.DUMMYFUNCTION("""COMPUTED_VALUE"""),45883.0)</f>
        <v>45883</v>
      </c>
      <c r="L201" s="65" t="str">
        <f>IFERROR(__xludf.DUMMYFUNCTION("""COMPUTED_VALUE"""),"Park  ")</f>
        <v>Park  </v>
      </c>
      <c r="M201" s="68" t="str">
        <f>IFERROR(__xludf.DUMMYFUNCTION("""COMPUTED_VALUE"""),"441")</f>
        <v>441</v>
      </c>
      <c r="N201" s="65"/>
      <c r="O201" s="65" t="b">
        <f>COUNTIF('Delivered Rentals'!A:A, B201) &gt; 0</f>
        <v>1</v>
      </c>
      <c r="P201" s="104" t="str">
        <f>IFERROR(__xludf.DUMMYFUNCTION("""COMPUTED_VALUE""")," ")</f>
        <v> </v>
      </c>
    </row>
    <row r="202">
      <c r="A202" s="99" t="str">
        <f>IFERROR(__xludf.DUMMYFUNCTION("""COMPUTED_VALUE"""),"https://utrucking.com/admin/orders/5913895895228")</f>
        <v>https://utrucking.com/admin/orders/5913895895228</v>
      </c>
      <c r="B202" s="61" t="str">
        <f>IFERROR(__xludf.DUMMYFUNCTION("""COMPUTED_VALUE"""),"#15566")</f>
        <v>#15566</v>
      </c>
      <c r="C202" s="61"/>
      <c r="D202" s="61">
        <f>IFERROR(__xludf.DUMMYFUNCTION("""COMPUTED_VALUE"""),2.154327954E9)</f>
        <v>2154327954</v>
      </c>
      <c r="E202" s="61" t="str">
        <f>IFERROR(__xludf.DUMMYFUNCTION("""COMPUTED_VALUE"""),"Lynda Szwartz")</f>
        <v>Lynda Szwartz</v>
      </c>
      <c r="F202" s="61"/>
      <c r="G202" s="61"/>
      <c r="H202" s="61" t="str">
        <f>IFERROR(__xludf.DUMMYFUNCTION("""COMPUTED_VALUE"""),"Appliance Rental")</f>
        <v>Appliance Rental</v>
      </c>
      <c r="I202" s="61" t="str">
        <f>IFERROR(__xludf.DUMMYFUNCTION("""COMPUTED_VALUE""")," Microwave Only   ")</f>
        <v> Microwave Only   </v>
      </c>
      <c r="J202" s="61">
        <f>IFERROR(__xludf.DUMMYFUNCTION("""COMPUTED_VALUE"""),65.0)</f>
        <v>65</v>
      </c>
      <c r="K202" s="100">
        <f>IFERROR(__xludf.DUMMYFUNCTION("""COMPUTED_VALUE"""),45883.0)</f>
        <v>45883</v>
      </c>
      <c r="L202" s="61" t="str">
        <f>IFERROR(__xludf.DUMMYFUNCTION("""COMPUTED_VALUE"""),"Umrath  ")</f>
        <v>Umrath  </v>
      </c>
      <c r="M202" s="64" t="str">
        <f>IFERROR(__xludf.DUMMYFUNCTION("""COMPUTED_VALUE"""),"3301")</f>
        <v>3301</v>
      </c>
      <c r="N202" s="61"/>
      <c r="O202" s="61" t="b">
        <f>COUNTIF('Delivered Rentals'!A:A, B202) &gt; 0</f>
        <v>1</v>
      </c>
      <c r="P202" s="101" t="str">
        <f>IFERROR(__xludf.DUMMYFUNCTION("""COMPUTED_VALUE""")," ")</f>
        <v> </v>
      </c>
    </row>
    <row r="203">
      <c r="A203" s="102" t="str">
        <f>IFERROR(__xludf.DUMMYFUNCTION("""COMPUTED_VALUE"""),"https://utrucking.com/admin/orders/5913963430076")</f>
        <v>https://utrucking.com/admin/orders/5913963430076</v>
      </c>
      <c r="B203" s="65" t="str">
        <f>IFERROR(__xludf.DUMMYFUNCTION("""COMPUTED_VALUE"""),"#15580")</f>
        <v>#15580</v>
      </c>
      <c r="C203" s="65"/>
      <c r="D203" s="65">
        <f>IFERROR(__xludf.DUMMYFUNCTION("""COMPUTED_VALUE"""),1.6785581035E10)</f>
        <v>16785581035</v>
      </c>
      <c r="E203" s="65" t="str">
        <f>IFERROR(__xludf.DUMMYFUNCTION("""COMPUTED_VALUE"""),"Makayli Anochie")</f>
        <v>Makayli Anochie</v>
      </c>
      <c r="F203" s="65"/>
      <c r="G203" s="65"/>
      <c r="H203" s="65" t="str">
        <f>IFERROR(__xludf.DUMMYFUNCTION("""COMPUTED_VALUE"""),"Appliance Rental")</f>
        <v>Appliance Rental</v>
      </c>
      <c r="I203" s="65" t="str">
        <f>IFERROR(__xludf.DUMMYFUNCTION("""COMPUTED_VALUE""")," Double-Door Mini Fridge + Microwave   ")</f>
        <v> Double-Door Mini Fridge + Microwave   </v>
      </c>
      <c r="J203" s="65">
        <f>IFERROR(__xludf.DUMMYFUNCTION("""COMPUTED_VALUE"""),210.0)</f>
        <v>210</v>
      </c>
      <c r="K203" s="103">
        <f>IFERROR(__xludf.DUMMYFUNCTION("""COMPUTED_VALUE"""),45891.0)</f>
        <v>45891</v>
      </c>
      <c r="L203" s="65" t="str">
        <f>IFERROR(__xludf.DUMMYFUNCTION("""COMPUTED_VALUE"""),"Zetcher  ")</f>
        <v>Zetcher  </v>
      </c>
      <c r="M203" s="68" t="str">
        <f>IFERROR(__xludf.DUMMYFUNCTION("""COMPUTED_VALUE"""),"2043-a")</f>
        <v>2043-a</v>
      </c>
      <c r="N203" s="65"/>
      <c r="O203" s="65" t="b">
        <f>COUNTIF('Delivered Rentals'!A:A, B203) &gt; 0</f>
        <v>1</v>
      </c>
      <c r="P203" s="104" t="str">
        <f>IFERROR(__xludf.DUMMYFUNCTION("""COMPUTED_VALUE""")," ")</f>
        <v> </v>
      </c>
    </row>
    <row r="204">
      <c r="A204" s="99" t="str">
        <f>IFERROR(__xludf.DUMMYFUNCTION("""COMPUTED_VALUE"""),"https://utrucking.com/admin/orders/5914002882748")</f>
        <v>https://utrucking.com/admin/orders/5914002882748</v>
      </c>
      <c r="B204" s="61" t="str">
        <f>IFERROR(__xludf.DUMMYFUNCTION("""COMPUTED_VALUE"""),"#15586")</f>
        <v>#15586</v>
      </c>
      <c r="C204" s="61"/>
      <c r="D204" s="61">
        <f>IFERROR(__xludf.DUMMYFUNCTION("""COMPUTED_VALUE"""),2.028129294E9)</f>
        <v>2028129294</v>
      </c>
      <c r="E204" s="61" t="str">
        <f>IFERROR(__xludf.DUMMYFUNCTION("""COMPUTED_VALUE"""),"Hannah Brickman")</f>
        <v>Hannah Brickman</v>
      </c>
      <c r="F204" s="61"/>
      <c r="G204" s="61"/>
      <c r="H204" s="61" t="str">
        <f>IFERROR(__xludf.DUMMYFUNCTION("""COMPUTED_VALUE"""),"Appliance Rental")</f>
        <v>Appliance Rental</v>
      </c>
      <c r="I204" s="61" t="str">
        <f>IFERROR(__xludf.DUMMYFUNCTION("""COMPUTED_VALUE""")," Microwave Only   ")</f>
        <v> Microwave Only   </v>
      </c>
      <c r="J204" s="61">
        <f>IFERROR(__xludf.DUMMYFUNCTION("""COMPUTED_VALUE"""),65.0)</f>
        <v>65</v>
      </c>
      <c r="K204" s="100">
        <f>IFERROR(__xludf.DUMMYFUNCTION("""COMPUTED_VALUE"""),45883.0)</f>
        <v>45883</v>
      </c>
      <c r="L204" s="61" t="str">
        <f>IFERROR(__xludf.DUMMYFUNCTION("""COMPUTED_VALUE"""),"Park  ")</f>
        <v>Park  </v>
      </c>
      <c r="M204" s="64" t="str">
        <f>IFERROR(__xludf.DUMMYFUNCTION("""COMPUTED_VALUE"""),"340")</f>
        <v>340</v>
      </c>
      <c r="N204" s="61"/>
      <c r="O204" s="61" t="b">
        <f>COUNTIF('Delivered Rentals'!A:A, B204) &gt; 0</f>
        <v>1</v>
      </c>
      <c r="P204" s="101" t="str">
        <f>IFERROR(__xludf.DUMMYFUNCTION("""COMPUTED_VALUE""")," ")</f>
        <v> </v>
      </c>
    </row>
    <row r="205">
      <c r="A205" s="102" t="str">
        <f>IFERROR(__xludf.DUMMYFUNCTION("""COMPUTED_VALUE"""),"https://utrucking.com/admin/orders/5914007077052")</f>
        <v>https://utrucking.com/admin/orders/5914007077052</v>
      </c>
      <c r="B205" s="65" t="str">
        <f>IFERROR(__xludf.DUMMYFUNCTION("""COMPUTED_VALUE"""),"#15587")</f>
        <v>#15587</v>
      </c>
      <c r="C205" s="65" t="str">
        <f>IFERROR(__xludf.DUMMYFUNCTION("""COMPUTED_VALUE"""),"aidanraghu@gmail.com")</f>
        <v>aidanraghu@gmail.com</v>
      </c>
      <c r="D205" s="65">
        <f>IFERROR(__xludf.DUMMYFUNCTION("""COMPUTED_VALUE"""),8.452718659E9)</f>
        <v>8452718659</v>
      </c>
      <c r="E205" s="65" t="str">
        <f>IFERROR(__xludf.DUMMYFUNCTION("""COMPUTED_VALUE"""),"Raghu Loganathan")</f>
        <v>Raghu Loganathan</v>
      </c>
      <c r="F205" s="65"/>
      <c r="G205" s="65"/>
      <c r="H205" s="65" t="str">
        <f>IFERROR(__xludf.DUMMYFUNCTION("""COMPUTED_VALUE"""),"Appliance Rental")</f>
        <v>Appliance Rental</v>
      </c>
      <c r="I205" s="65" t="str">
        <f>IFERROR(__xludf.DUMMYFUNCTION("""COMPUTED_VALUE""")," Standard Mini Fridge + Microwave   ")</f>
        <v> Standard Mini Fridge + Microwave   </v>
      </c>
      <c r="J205" s="65">
        <f>IFERROR(__xludf.DUMMYFUNCTION("""COMPUTED_VALUE"""),180.0)</f>
        <v>180</v>
      </c>
      <c r="K205" s="103">
        <f>IFERROR(__xludf.DUMMYFUNCTION("""COMPUTED_VALUE"""),45882.0)</f>
        <v>45882</v>
      </c>
      <c r="L205" s="65" t="str">
        <f>IFERROR(__xludf.DUMMYFUNCTION("""COMPUTED_VALUE"""),"Eliot A  ")</f>
        <v>Eliot A  </v>
      </c>
      <c r="M205" s="68" t="str">
        <f>IFERROR(__xludf.DUMMYFUNCTION("""COMPUTED_VALUE"""),"2121")</f>
        <v>2121</v>
      </c>
      <c r="N205" s="65"/>
      <c r="O205" s="65" t="b">
        <f>COUNTIF('Delivered Rentals'!A:A, B205) &gt; 0</f>
        <v>1</v>
      </c>
      <c r="P205" s="104" t="str">
        <f>IFERROR(__xludf.DUMMYFUNCTION("""COMPUTED_VALUE""")," ")</f>
        <v> </v>
      </c>
    </row>
    <row r="206">
      <c r="A206" s="99" t="str">
        <f>IFERROR(__xludf.DUMMYFUNCTION("""COMPUTED_VALUE"""),"https://utrucking.com/admin/orders/5914111443132")</f>
        <v>https://utrucking.com/admin/orders/5914111443132</v>
      </c>
      <c r="B206" s="61" t="str">
        <f>IFERROR(__xludf.DUMMYFUNCTION("""COMPUTED_VALUE"""),"#15602")</f>
        <v>#15602</v>
      </c>
      <c r="C206" s="61"/>
      <c r="D206" s="61">
        <f>IFERROR(__xludf.DUMMYFUNCTION("""COMPUTED_VALUE"""),4.69925541E9)</f>
        <v>4699255410</v>
      </c>
      <c r="E206" s="61" t="str">
        <f>IFERROR(__xludf.DUMMYFUNCTION("""COMPUTED_VALUE"""),"Keshav Vasanth")</f>
        <v>Keshav Vasanth</v>
      </c>
      <c r="F206" s="61"/>
      <c r="G206" s="61"/>
      <c r="H206" s="61" t="str">
        <f>IFERROR(__xludf.DUMMYFUNCTION("""COMPUTED_VALUE"""),"Appliance Rental")</f>
        <v>Appliance Rental</v>
      </c>
      <c r="I206" s="61" t="str">
        <f>IFERROR(__xludf.DUMMYFUNCTION("""COMPUTED_VALUE""")," Double-Door Mini Fridge + Microwave   ")</f>
        <v> Double-Door Mini Fridge + Microwave   </v>
      </c>
      <c r="J206" s="61">
        <f>IFERROR(__xludf.DUMMYFUNCTION("""COMPUTED_VALUE"""),210.0)</f>
        <v>210</v>
      </c>
      <c r="K206" s="100">
        <f>IFERROR(__xludf.DUMMYFUNCTION("""COMPUTED_VALUE"""),45877.0)</f>
        <v>45877</v>
      </c>
      <c r="L206" s="61" t="str">
        <f>IFERROR(__xludf.DUMMYFUNCTION("""COMPUTED_VALUE"""),"Park  ")</f>
        <v>Park  </v>
      </c>
      <c r="M206" s="64" t="str">
        <f>IFERROR(__xludf.DUMMYFUNCTION("""COMPUTED_VALUE"""),"352")</f>
        <v>352</v>
      </c>
      <c r="N206" s="61"/>
      <c r="O206" s="61" t="b">
        <f>COUNTIF('Delivered Rentals'!A:A, B206) &gt; 0</f>
        <v>1</v>
      </c>
      <c r="P206" s="101" t="str">
        <f>IFERROR(__xludf.DUMMYFUNCTION("""COMPUTED_VALUE""")," ")</f>
        <v> </v>
      </c>
    </row>
    <row r="207">
      <c r="A207" s="102" t="str">
        <f>IFERROR(__xludf.DUMMYFUNCTION("""COMPUTED_VALUE"""),"https://utrucking.com/admin/orders/5914193658044")</f>
        <v>https://utrucking.com/admin/orders/5914193658044</v>
      </c>
      <c r="B207" s="65" t="str">
        <f>IFERROR(__xludf.DUMMYFUNCTION("""COMPUTED_VALUE"""),"#15607")</f>
        <v>#15607</v>
      </c>
      <c r="C207" s="65" t="str">
        <f>IFERROR(__xludf.DUMMYFUNCTION("""COMPUTED_VALUE"""),"rappoportm@yahoo.com")</f>
        <v>rappoportm@yahoo.com</v>
      </c>
      <c r="D207" s="65">
        <f>IFERROR(__xludf.DUMMYFUNCTION("""COMPUTED_VALUE"""),3.102211061E9)</f>
        <v>3102211061</v>
      </c>
      <c r="E207" s="65" t="str">
        <f>IFERROR(__xludf.DUMMYFUNCTION("""COMPUTED_VALUE"""),"Michelle Rappoport")</f>
        <v>Michelle Rappoport</v>
      </c>
      <c r="F207" s="65"/>
      <c r="G207" s="65"/>
      <c r="H207" s="65" t="str">
        <f>IFERROR(__xludf.DUMMYFUNCTION("""COMPUTED_VALUE"""),"Appliance Rental")</f>
        <v>Appliance Rental</v>
      </c>
      <c r="I207" s="65" t="str">
        <f>IFERROR(__xludf.DUMMYFUNCTION("""COMPUTED_VALUE""")," Double-Door Mini Fridge + Microwave   ")</f>
        <v> Double-Door Mini Fridge + Microwave   </v>
      </c>
      <c r="J207" s="65">
        <f>IFERROR(__xludf.DUMMYFUNCTION("""COMPUTED_VALUE"""),210.0)</f>
        <v>210</v>
      </c>
      <c r="K207" s="103">
        <f>IFERROR(__xludf.DUMMYFUNCTION("""COMPUTED_VALUE"""),45883.0)</f>
        <v>45883</v>
      </c>
      <c r="L207" s="65" t="str">
        <f>IFERROR(__xludf.DUMMYFUNCTION("""COMPUTED_VALUE"""),"Umrath  ")</f>
        <v>Umrath  </v>
      </c>
      <c r="M207" s="68" t="str">
        <f>IFERROR(__xludf.DUMMYFUNCTION("""COMPUTED_VALUE"""),"L236-B")</f>
        <v>L236-B</v>
      </c>
      <c r="N207" s="65"/>
      <c r="O207" s="65" t="b">
        <f>COUNTIF('Delivered Rentals'!A:A, B207) &gt; 0</f>
        <v>1</v>
      </c>
      <c r="P207" s="104" t="str">
        <f>IFERROR(__xludf.DUMMYFUNCTION("""COMPUTED_VALUE""")," ")</f>
        <v> </v>
      </c>
    </row>
    <row r="208">
      <c r="A208" s="99" t="str">
        <f>IFERROR(__xludf.DUMMYFUNCTION("""COMPUTED_VALUE"""),"https://utrucking.com/admin/orders/5914749075644")</f>
        <v>https://utrucking.com/admin/orders/5914749075644</v>
      </c>
      <c r="B208" s="61" t="str">
        <f>IFERROR(__xludf.DUMMYFUNCTION("""COMPUTED_VALUE"""),"#15631")</f>
        <v>#15631</v>
      </c>
      <c r="C208" s="61" t="str">
        <f>IFERROR(__xludf.DUMMYFUNCTION("""COMPUTED_VALUE"""),"Colesmith@wustl.edu")</f>
        <v>Colesmith@wustl.edu</v>
      </c>
      <c r="D208" s="61">
        <f>IFERROR(__xludf.DUMMYFUNCTION("""COMPUTED_VALUE"""),2.816088509E9)</f>
        <v>2816088509</v>
      </c>
      <c r="E208" s="61" t="str">
        <f>IFERROR(__xludf.DUMMYFUNCTION("""COMPUTED_VALUE"""),"Bryan Smith")</f>
        <v>Bryan Smith</v>
      </c>
      <c r="F208" s="61"/>
      <c r="G208" s="61"/>
      <c r="H208" s="61" t="str">
        <f>IFERROR(__xludf.DUMMYFUNCTION("""COMPUTED_VALUE"""),"Appliance Rental")</f>
        <v>Appliance Rental</v>
      </c>
      <c r="I208" s="61" t="str">
        <f>IFERROR(__xludf.DUMMYFUNCTION("""COMPUTED_VALUE""")," Double-Door Mini Fridge + Microwave   -  - ")</f>
        <v> Double-Door Mini Fridge + Microwave   -  - </v>
      </c>
      <c r="J208" s="61">
        <f>IFERROR(__xludf.DUMMYFUNCTION("""COMPUTED_VALUE"""),210.0)</f>
        <v>210</v>
      </c>
      <c r="K208" s="100">
        <f>IFERROR(__xludf.DUMMYFUNCTION("""COMPUTED_VALUE"""),45883.0)</f>
        <v>45883</v>
      </c>
      <c r="L208" s="61" t="str">
        <f>IFERROR(__xludf.DUMMYFUNCTION("""COMPUTED_VALUE"""),"Danforth  ")</f>
        <v>Danforth  </v>
      </c>
      <c r="M208" s="64" t="str">
        <f>IFERROR(__xludf.DUMMYFUNCTION("""COMPUTED_VALUE"""),"3313-a")</f>
        <v>3313-a</v>
      </c>
      <c r="N208" s="61"/>
      <c r="O208" s="61" t="b">
        <f>COUNTIF('Delivered Rentals'!A:A, B208) &gt; 0</f>
        <v>1</v>
      </c>
      <c r="P208" s="101" t="str">
        <f>IFERROR(__xludf.DUMMYFUNCTION("""COMPUTED_VALUE""")," ")</f>
        <v> </v>
      </c>
    </row>
    <row r="209">
      <c r="A209" s="102" t="str">
        <f>IFERROR(__xludf.DUMMYFUNCTION("""COMPUTED_VALUE"""),"https://utrucking.com/admin/orders/5914749599932")</f>
        <v>https://utrucking.com/admin/orders/5914749599932</v>
      </c>
      <c r="B209" s="65" t="str">
        <f>IFERROR(__xludf.DUMMYFUNCTION("""COMPUTED_VALUE"""),"#15632")</f>
        <v>#15632</v>
      </c>
      <c r="C209" s="65"/>
      <c r="D209" s="65">
        <f>IFERROR(__xludf.DUMMYFUNCTION("""COMPUTED_VALUE"""),4.802827475E9)</f>
        <v>4802827475</v>
      </c>
      <c r="E209" s="65" t="str">
        <f>IFERROR(__xludf.DUMMYFUNCTION("""COMPUTED_VALUE"""),"Stella Mekhanik")</f>
        <v>Stella Mekhanik</v>
      </c>
      <c r="F209" s="65"/>
      <c r="G209" s="65"/>
      <c r="H209" s="65" t="str">
        <f>IFERROR(__xludf.DUMMYFUNCTION("""COMPUTED_VALUE"""),"Appliance Rental")</f>
        <v>Appliance Rental</v>
      </c>
      <c r="I209" s="65" t="str">
        <f>IFERROR(__xludf.DUMMYFUNCTION("""COMPUTED_VALUE""")," Double-Door Mini Fridge + Microwave   -  - ")</f>
        <v> Double-Door Mini Fridge + Microwave   -  - </v>
      </c>
      <c r="J209" s="65">
        <f>IFERROR(__xludf.DUMMYFUNCTION("""COMPUTED_VALUE"""),210.0)</f>
        <v>210</v>
      </c>
      <c r="K209" s="103">
        <f>IFERROR(__xludf.DUMMYFUNCTION("""COMPUTED_VALUE"""),45883.0)</f>
        <v>45883</v>
      </c>
      <c r="L209" s="65" t="str">
        <f>IFERROR(__xludf.DUMMYFUNCTION("""COMPUTED_VALUE"""),"Shanedling  ")</f>
        <v>Shanedling  </v>
      </c>
      <c r="M209" s="68" t="str">
        <f>IFERROR(__xludf.DUMMYFUNCTION("""COMPUTED_VALUE"""),"113")</f>
        <v>113</v>
      </c>
      <c r="N209" s="65"/>
      <c r="O209" s="65" t="b">
        <f>COUNTIF('Delivered Rentals'!A:A, B209) &gt; 0</f>
        <v>1</v>
      </c>
      <c r="P209" s="104" t="str">
        <f>IFERROR(__xludf.DUMMYFUNCTION("""COMPUTED_VALUE""")," ")</f>
        <v> </v>
      </c>
    </row>
    <row r="210">
      <c r="A210" s="99" t="str">
        <f>IFERROR(__xludf.DUMMYFUNCTION("""COMPUTED_VALUE"""),"https://utrucking.com/admin/orders/5914838499516")</f>
        <v>https://utrucking.com/admin/orders/5914838499516</v>
      </c>
      <c r="B210" s="61" t="str">
        <f>IFERROR(__xludf.DUMMYFUNCTION("""COMPUTED_VALUE"""),"#15636")</f>
        <v>#15636</v>
      </c>
      <c r="C210" s="61"/>
      <c r="D210" s="61">
        <f>IFERROR(__xludf.DUMMYFUNCTION("""COMPUTED_VALUE"""),6.46254271E9)</f>
        <v>6462542710</v>
      </c>
      <c r="E210" s="61" t="str">
        <f>IFERROR(__xludf.DUMMYFUNCTION("""COMPUTED_VALUE"""),"Paula Crymes")</f>
        <v>Paula Crymes</v>
      </c>
      <c r="F210" s="61"/>
      <c r="G210" s="61"/>
      <c r="H210" s="61" t="str">
        <f>IFERROR(__xludf.DUMMYFUNCTION("""COMPUTED_VALUE"""),"Appliance Rental")</f>
        <v>Appliance Rental</v>
      </c>
      <c r="I210" s="61" t="str">
        <f>IFERROR(__xludf.DUMMYFUNCTION("""COMPUTED_VALUE""")," Double-Door Mini Fridge   -  - ")</f>
        <v> Double-Door Mini Fridge   -  - </v>
      </c>
      <c r="J210" s="61">
        <f>IFERROR(__xludf.DUMMYFUNCTION("""COMPUTED_VALUE"""),145.0)</f>
        <v>145</v>
      </c>
      <c r="K210" s="100">
        <f>IFERROR(__xludf.DUMMYFUNCTION("""COMPUTED_VALUE"""),45883.0)</f>
        <v>45883</v>
      </c>
      <c r="L210" s="61" t="str">
        <f>IFERROR(__xludf.DUMMYFUNCTION("""COMPUTED_VALUE"""),"Millbrook Bldg. 1  ")</f>
        <v>Millbrook Bldg. 1  </v>
      </c>
      <c r="M210" s="64" t="str">
        <f>IFERROR(__xludf.DUMMYFUNCTION("""COMPUTED_VALUE"""),"250A")</f>
        <v>250A</v>
      </c>
      <c r="N210" s="61"/>
      <c r="O210" s="61" t="b">
        <f>COUNTIF('Delivered Rentals'!A:A, B210) &gt; 0</f>
        <v>1</v>
      </c>
      <c r="P210" s="101" t="str">
        <f>IFERROR(__xludf.DUMMYFUNCTION("""COMPUTED_VALUE""")," ")</f>
        <v> </v>
      </c>
    </row>
    <row r="211">
      <c r="A211" s="102" t="str">
        <f>IFERROR(__xludf.DUMMYFUNCTION("""COMPUTED_VALUE"""),"https://utrucking.com/admin/orders/5914907672764")</f>
        <v>https://utrucking.com/admin/orders/5914907672764</v>
      </c>
      <c r="B211" s="65" t="str">
        <f>IFERROR(__xludf.DUMMYFUNCTION("""COMPUTED_VALUE"""),"#15639")</f>
        <v>#15639</v>
      </c>
      <c r="C211" s="65" t="str">
        <f>IFERROR(__xludf.DUMMYFUNCTION("""COMPUTED_VALUE"""),"k.lindsay@wustl.edu")</f>
        <v>k.lindsay@wustl.edu</v>
      </c>
      <c r="D211" s="65">
        <f>IFERROR(__xludf.DUMMYFUNCTION("""COMPUTED_VALUE"""),5.166597079E9)</f>
        <v>5166597079</v>
      </c>
      <c r="E211" s="65" t="str">
        <f>IFERROR(__xludf.DUMMYFUNCTION("""COMPUTED_VALUE"""),"Lindsay Kweit")</f>
        <v>Lindsay Kweit</v>
      </c>
      <c r="F211" s="65"/>
      <c r="G211" s="65"/>
      <c r="H211" s="65" t="str">
        <f>IFERROR(__xludf.DUMMYFUNCTION("""COMPUTED_VALUE"""),"Appliance Rental")</f>
        <v>Appliance Rental</v>
      </c>
      <c r="I211" s="65" t="str">
        <f>IFERROR(__xludf.DUMMYFUNCTION("""COMPUTED_VALUE""")," Standard Mini Fridge   -  - ")</f>
        <v> Standard Mini Fridge   -  - </v>
      </c>
      <c r="J211" s="65">
        <f>IFERROR(__xludf.DUMMYFUNCTION("""COMPUTED_VALUE"""),115.0)</f>
        <v>115</v>
      </c>
      <c r="K211" s="103">
        <f>IFERROR(__xludf.DUMMYFUNCTION("""COMPUTED_VALUE"""),45883.0)</f>
        <v>45883</v>
      </c>
      <c r="L211" s="65" t="str">
        <f>IFERROR(__xludf.DUMMYFUNCTION("""COMPUTED_VALUE"""),"Lopata  ")</f>
        <v>Lopata  </v>
      </c>
      <c r="M211" s="68" t="str">
        <f>IFERROR(__xludf.DUMMYFUNCTION("""COMPUTED_VALUE"""),"3073")</f>
        <v>3073</v>
      </c>
      <c r="N211" s="65"/>
      <c r="O211" s="65" t="b">
        <f>COUNTIF('Delivered Rentals'!A:A, B211) &gt; 0</f>
        <v>1</v>
      </c>
      <c r="P211" s="104" t="str">
        <f>IFERROR(__xludf.DUMMYFUNCTION("""COMPUTED_VALUE""")," ")</f>
        <v> </v>
      </c>
    </row>
    <row r="212">
      <c r="A212" s="99" t="str">
        <f>IFERROR(__xludf.DUMMYFUNCTION("""COMPUTED_VALUE"""),"https://utrucking.com/admin/orders/5914937557180")</f>
        <v>https://utrucking.com/admin/orders/5914937557180</v>
      </c>
      <c r="B212" s="61" t="str">
        <f>IFERROR(__xludf.DUMMYFUNCTION("""COMPUTED_VALUE"""),"#15641")</f>
        <v>#15641</v>
      </c>
      <c r="C212" s="61" t="str">
        <f>IFERROR(__xludf.DUMMYFUNCTION("""COMPUTED_VALUE"""),"amilia.hinck@gmail.com")</f>
        <v>amilia.hinck@gmail.com</v>
      </c>
      <c r="D212" s="61">
        <f>IFERROR(__xludf.DUMMYFUNCTION("""COMPUTED_VALUE"""),9.526079236E9)</f>
        <v>9526079236</v>
      </c>
      <c r="E212" s="61" t="str">
        <f>IFERROR(__xludf.DUMMYFUNCTION("""COMPUTED_VALUE"""),"Amilia Hinck")</f>
        <v>Amilia Hinck</v>
      </c>
      <c r="F212" s="61"/>
      <c r="G212" s="61"/>
      <c r="H212" s="61" t="str">
        <f>IFERROR(__xludf.DUMMYFUNCTION("""COMPUTED_VALUE"""),"Appliance Rental")</f>
        <v>Appliance Rental</v>
      </c>
      <c r="I212" s="61" t="str">
        <f>IFERROR(__xludf.DUMMYFUNCTION("""COMPUTED_VALUE""")," Double-Door Mini Fridge + Microwave   -  - ")</f>
        <v> Double-Door Mini Fridge + Microwave   -  - </v>
      </c>
      <c r="J212" s="61">
        <f>IFERROR(__xludf.DUMMYFUNCTION("""COMPUTED_VALUE"""),210.0)</f>
        <v>210</v>
      </c>
      <c r="K212" s="100">
        <f>IFERROR(__xludf.DUMMYFUNCTION("""COMPUTED_VALUE"""),45883.0)</f>
        <v>45883</v>
      </c>
      <c r="L212" s="61" t="str">
        <f>IFERROR(__xludf.DUMMYFUNCTION("""COMPUTED_VALUE"""),"Hurd  ")</f>
        <v>Hurd  </v>
      </c>
      <c r="M212" s="64" t="str">
        <f>IFERROR(__xludf.DUMMYFUNCTION("""COMPUTED_VALUE"""),"232")</f>
        <v>232</v>
      </c>
      <c r="N212" s="61"/>
      <c r="O212" s="61" t="b">
        <f>COUNTIF('Delivered Rentals'!A:A, B212) &gt; 0</f>
        <v>1</v>
      </c>
      <c r="P212" s="101" t="str">
        <f>IFERROR(__xludf.DUMMYFUNCTION("""COMPUTED_VALUE""")," ")</f>
        <v> </v>
      </c>
    </row>
    <row r="213">
      <c r="A213" s="102" t="str">
        <f>IFERROR(__xludf.DUMMYFUNCTION("""COMPUTED_VALUE"""),"https://utrucking.com/admin/orders/5914966720700")</f>
        <v>https://utrucking.com/admin/orders/5914966720700</v>
      </c>
      <c r="B213" s="65" t="str">
        <f>IFERROR(__xludf.DUMMYFUNCTION("""COMPUTED_VALUE"""),"#15643")</f>
        <v>#15643</v>
      </c>
      <c r="C213" s="65" t="str">
        <f>IFERROR(__xludf.DUMMYFUNCTION("""COMPUTED_VALUE"""),"lorie.bishop@outlook.com")</f>
        <v>lorie.bishop@outlook.com</v>
      </c>
      <c r="D213" s="65">
        <f>IFERROR(__xludf.DUMMYFUNCTION("""COMPUTED_VALUE"""),9.375366492E9)</f>
        <v>9375366492</v>
      </c>
      <c r="E213" s="65" t="str">
        <f>IFERROR(__xludf.DUMMYFUNCTION("""COMPUTED_VALUE"""),"Lorie Bishop")</f>
        <v>Lorie Bishop</v>
      </c>
      <c r="F213" s="65"/>
      <c r="G213" s="65"/>
      <c r="H213" s="65" t="str">
        <f>IFERROR(__xludf.DUMMYFUNCTION("""COMPUTED_VALUE"""),"Appliance Rental")</f>
        <v>Appliance Rental</v>
      </c>
      <c r="I213" s="65" t="str">
        <f>IFERROR(__xludf.DUMMYFUNCTION("""COMPUTED_VALUE""")," Standard Mini Fridge   -  - ")</f>
        <v> Standard Mini Fridge   -  - </v>
      </c>
      <c r="J213" s="65">
        <f>IFERROR(__xludf.DUMMYFUNCTION("""COMPUTED_VALUE"""),115.0)</f>
        <v>115</v>
      </c>
      <c r="K213" s="103">
        <f>IFERROR(__xludf.DUMMYFUNCTION("""COMPUTED_VALUE"""),45891.0)</f>
        <v>45891</v>
      </c>
      <c r="L213" s="65" t="str">
        <f>IFERROR(__xludf.DUMMYFUNCTION("""COMPUTED_VALUE"""),"Beaumont  ")</f>
        <v>Beaumont  </v>
      </c>
      <c r="M213" s="68" t="str">
        <f>IFERROR(__xludf.DUMMYFUNCTION("""COMPUTED_VALUE"""),"317")</f>
        <v>317</v>
      </c>
      <c r="N213" s="65"/>
      <c r="O213" s="65" t="b">
        <f>COUNTIF('Delivered Rentals'!A:A, B213) &gt; 0</f>
        <v>1</v>
      </c>
      <c r="P213" s="104" t="str">
        <f>IFERROR(__xludf.DUMMYFUNCTION("""COMPUTED_VALUE""")," ")</f>
        <v> </v>
      </c>
    </row>
    <row r="214">
      <c r="A214" s="99" t="str">
        <f>IFERROR(__xludf.DUMMYFUNCTION("""COMPUTED_VALUE"""),"https://utrucking.com/admin/orders/5915374059708")</f>
        <v>https://utrucking.com/admin/orders/5915374059708</v>
      </c>
      <c r="B214" s="61" t="str">
        <f>IFERROR(__xludf.DUMMYFUNCTION("""COMPUTED_VALUE"""),"#15654")</f>
        <v>#15654</v>
      </c>
      <c r="C214" s="61" t="str">
        <f>IFERROR(__xludf.DUMMYFUNCTION("""COMPUTED_VALUE"""),"dwyer.h@wustl.edu")</f>
        <v>dwyer.h@wustl.edu</v>
      </c>
      <c r="D214" s="61">
        <f>IFERROR(__xludf.DUMMYFUNCTION("""COMPUTED_VALUE"""),2.038855935E9)</f>
        <v>2038855935</v>
      </c>
      <c r="E214" s="61" t="str">
        <f>IFERROR(__xludf.DUMMYFUNCTION("""COMPUTED_VALUE"""),"Hannah Dwyer")</f>
        <v>Hannah Dwyer</v>
      </c>
      <c r="F214" s="61"/>
      <c r="G214" s="61"/>
      <c r="H214" s="61" t="str">
        <f>IFERROR(__xludf.DUMMYFUNCTION("""COMPUTED_VALUE"""),"Appliance Rental")</f>
        <v>Appliance Rental</v>
      </c>
      <c r="I214" s="61" t="str">
        <f>IFERROR(__xludf.DUMMYFUNCTION("""COMPUTED_VALUE""")," Double-Door Mini Fridge   -  - ")</f>
        <v> Double-Door Mini Fridge   -  - </v>
      </c>
      <c r="J214" s="61">
        <f>IFERROR(__xludf.DUMMYFUNCTION("""COMPUTED_VALUE"""),145.0)</f>
        <v>145</v>
      </c>
      <c r="K214" s="100">
        <f>IFERROR(__xludf.DUMMYFUNCTION("""COMPUTED_VALUE"""),45883.0)</f>
        <v>45883</v>
      </c>
      <c r="L214" s="61" t="str">
        <f>IFERROR(__xludf.DUMMYFUNCTION("""COMPUTED_VALUE"""),"Nemerov  ")</f>
        <v>Nemerov  </v>
      </c>
      <c r="M214" s="64" t="str">
        <f>IFERROR(__xludf.DUMMYFUNCTION("""COMPUTED_VALUE"""),"3083")</f>
        <v>3083</v>
      </c>
      <c r="N214" s="61"/>
      <c r="O214" s="61" t="b">
        <f>COUNTIF('Delivered Rentals'!A:A, B214) &gt; 0</f>
        <v>1</v>
      </c>
      <c r="P214" s="101" t="str">
        <f>IFERROR(__xludf.DUMMYFUNCTION("""COMPUTED_VALUE""")," ")</f>
        <v> </v>
      </c>
    </row>
    <row r="215">
      <c r="A215" s="102" t="str">
        <f>IFERROR(__xludf.DUMMYFUNCTION("""COMPUTED_VALUE"""),"https://utrucking.com/admin/orders/5915401093308")</f>
        <v>https://utrucking.com/admin/orders/5915401093308</v>
      </c>
      <c r="B215" s="65" t="str">
        <f>IFERROR(__xludf.DUMMYFUNCTION("""COMPUTED_VALUE"""),"#15656")</f>
        <v>#15656</v>
      </c>
      <c r="C215" s="65"/>
      <c r="D215" s="65">
        <f>IFERROR(__xludf.DUMMYFUNCTION("""COMPUTED_VALUE"""),6.082071668E9)</f>
        <v>6082071668</v>
      </c>
      <c r="E215" s="65" t="str">
        <f>IFERROR(__xludf.DUMMYFUNCTION("""COMPUTED_VALUE"""),"Benjamin Thompson")</f>
        <v>Benjamin Thompson</v>
      </c>
      <c r="F215" s="65"/>
      <c r="G215" s="65"/>
      <c r="H215" s="65" t="str">
        <f>IFERROR(__xludf.DUMMYFUNCTION("""COMPUTED_VALUE"""),"Appliance Rental")</f>
        <v>Appliance Rental</v>
      </c>
      <c r="I215" s="65" t="str">
        <f>IFERROR(__xludf.DUMMYFUNCTION("""COMPUTED_VALUE""")," Double-Door Mini Fridge + Microwave   -  - ")</f>
        <v> Double-Door Mini Fridge + Microwave   -  - </v>
      </c>
      <c r="J215" s="65">
        <f>IFERROR(__xludf.DUMMYFUNCTION("""COMPUTED_VALUE"""),210.0)</f>
        <v>210</v>
      </c>
      <c r="K215" s="103">
        <f>IFERROR(__xludf.DUMMYFUNCTION("""COMPUTED_VALUE"""),45883.0)</f>
        <v>45883</v>
      </c>
      <c r="L215" s="65" t="str">
        <f>IFERROR(__xludf.DUMMYFUNCTION("""COMPUTED_VALUE"""),"Lien  ")</f>
        <v>Lien  </v>
      </c>
      <c r="M215" s="68" t="str">
        <f>IFERROR(__xludf.DUMMYFUNCTION("""COMPUTED_VALUE"""),"1114")</f>
        <v>1114</v>
      </c>
      <c r="N215" s="65"/>
      <c r="O215" s="65" t="b">
        <f>COUNTIF('Delivered Rentals'!A:A, B215) &gt; 0</f>
        <v>1</v>
      </c>
      <c r="P215" s="104" t="str">
        <f>IFERROR(__xludf.DUMMYFUNCTION("""COMPUTED_VALUE""")," ")</f>
        <v> </v>
      </c>
    </row>
    <row r="216">
      <c r="A216" s="99" t="str">
        <f>IFERROR(__xludf.DUMMYFUNCTION("""COMPUTED_VALUE"""),"https://utrucking.com/admin/orders/5915474591932")</f>
        <v>https://utrucking.com/admin/orders/5915474591932</v>
      </c>
      <c r="B216" s="61" t="str">
        <f>IFERROR(__xludf.DUMMYFUNCTION("""COMPUTED_VALUE"""),"#15661")</f>
        <v>#15661</v>
      </c>
      <c r="C216" s="61"/>
      <c r="D216" s="61">
        <f>IFERROR(__xludf.DUMMYFUNCTION("""COMPUTED_VALUE"""),7.812666995E9)</f>
        <v>7812666995</v>
      </c>
      <c r="E216" s="61" t="str">
        <f>IFERROR(__xludf.DUMMYFUNCTION("""COMPUTED_VALUE"""),"Anna Bulkovshteyn")</f>
        <v>Anna Bulkovshteyn</v>
      </c>
      <c r="F216" s="61"/>
      <c r="G216" s="61"/>
      <c r="H216" s="61" t="str">
        <f>IFERROR(__xludf.DUMMYFUNCTION("""COMPUTED_VALUE"""),"Appliance Rental")</f>
        <v>Appliance Rental</v>
      </c>
      <c r="I216" s="61" t="str">
        <f>IFERROR(__xludf.DUMMYFUNCTION("""COMPUTED_VALUE""")," Double-Door Mini Fridge + Microwave   -  - ")</f>
        <v> Double-Door Mini Fridge + Microwave   -  - </v>
      </c>
      <c r="J216" s="61">
        <f>IFERROR(__xludf.DUMMYFUNCTION("""COMPUTED_VALUE"""),210.0)</f>
        <v>210</v>
      </c>
      <c r="K216" s="100">
        <f>IFERROR(__xludf.DUMMYFUNCTION("""COMPUTED_VALUE"""),45883.0)</f>
        <v>45883</v>
      </c>
      <c r="L216" s="61" t="str">
        <f>IFERROR(__xludf.DUMMYFUNCTION("""COMPUTED_VALUE"""),"Umrath  ")</f>
        <v>Umrath  </v>
      </c>
      <c r="M216" s="64" t="str">
        <f>IFERROR(__xludf.DUMMYFUNCTION("""COMPUTED_VALUE"""),"4420")</f>
        <v>4420</v>
      </c>
      <c r="N216" s="61"/>
      <c r="O216" s="61" t="b">
        <f>COUNTIF('Delivered Rentals'!A:A, B216) &gt; 0</f>
        <v>1</v>
      </c>
      <c r="P216" s="101" t="str">
        <f>IFERROR(__xludf.DUMMYFUNCTION("""COMPUTED_VALUE""")," ")</f>
        <v> </v>
      </c>
    </row>
    <row r="217">
      <c r="A217" s="102" t="str">
        <f>IFERROR(__xludf.DUMMYFUNCTION("""COMPUTED_VALUE"""),"https://utrucking.com/admin/orders/5915607466172")</f>
        <v>https://utrucking.com/admin/orders/5915607466172</v>
      </c>
      <c r="B217" s="65" t="str">
        <f>IFERROR(__xludf.DUMMYFUNCTION("""COMPUTED_VALUE"""),"#15666")</f>
        <v>#15666</v>
      </c>
      <c r="C217" s="65" t="str">
        <f>IFERROR(__xludf.DUMMYFUNCTION("""COMPUTED_VALUE"""),"weilfamily3@gmail.com")</f>
        <v>weilfamily3@gmail.com</v>
      </c>
      <c r="D217" s="65">
        <f>IFERROR(__xludf.DUMMYFUNCTION("""COMPUTED_VALUE"""),4.156091971E9)</f>
        <v>4156091971</v>
      </c>
      <c r="E217" s="65" t="str">
        <f>IFERROR(__xludf.DUMMYFUNCTION("""COMPUTED_VALUE"""),"jacquelyn weil")</f>
        <v>jacquelyn weil</v>
      </c>
      <c r="F217" s="65"/>
      <c r="G217" s="65"/>
      <c r="H217" s="65" t="str">
        <f>IFERROR(__xludf.DUMMYFUNCTION("""COMPUTED_VALUE"""),"Appliance Rental")</f>
        <v>Appliance Rental</v>
      </c>
      <c r="I217" s="65" t="str">
        <f>IFERROR(__xludf.DUMMYFUNCTION("""COMPUTED_VALUE""")," Standard Mini Fridge   -  - ")</f>
        <v> Standard Mini Fridge   -  - </v>
      </c>
      <c r="J217" s="65">
        <f>IFERROR(__xludf.DUMMYFUNCTION("""COMPUTED_VALUE"""),115.0)</f>
        <v>115</v>
      </c>
      <c r="K217" s="103">
        <f>IFERROR(__xludf.DUMMYFUNCTION("""COMPUTED_VALUE"""),45883.0)</f>
        <v>45883</v>
      </c>
      <c r="L217" s="65" t="str">
        <f>IFERROR(__xludf.DUMMYFUNCTION("""COMPUTED_VALUE"""),"Millbrook Bldg. 4  ")</f>
        <v>Millbrook Bldg. 4  </v>
      </c>
      <c r="M217" s="68" t="str">
        <f>IFERROR(__xludf.DUMMYFUNCTION("""COMPUTED_VALUE"""),"304 E A")</f>
        <v>304 E A</v>
      </c>
      <c r="N217" s="65"/>
      <c r="O217" s="65" t="b">
        <f>COUNTIF('Delivered Rentals'!A:A, B217) &gt; 0</f>
        <v>1</v>
      </c>
      <c r="P217" s="104" t="str">
        <f>IFERROR(__xludf.DUMMYFUNCTION("""COMPUTED_VALUE""")," ")</f>
        <v> </v>
      </c>
    </row>
    <row r="218">
      <c r="A218" s="99" t="str">
        <f>IFERROR(__xludf.DUMMYFUNCTION("""COMPUTED_VALUE"""),"https://utrucking.com/admin/orders/5915629420732")</f>
        <v>https://utrucking.com/admin/orders/5915629420732</v>
      </c>
      <c r="B218" s="61" t="str">
        <f>IFERROR(__xludf.DUMMYFUNCTION("""COMPUTED_VALUE"""),"#15667")</f>
        <v>#15667</v>
      </c>
      <c r="C218" s="61" t="str">
        <f>IFERROR(__xludf.DUMMYFUNCTION("""COMPUTED_VALUE"""),"bethany_klynn@yahoo.com")</f>
        <v>bethany_klynn@yahoo.com</v>
      </c>
      <c r="D218" s="61">
        <f>IFERROR(__xludf.DUMMYFUNCTION("""COMPUTED_VALUE"""),6.145075668E9)</f>
        <v>6145075668</v>
      </c>
      <c r="E218" s="61" t="str">
        <f>IFERROR(__xludf.DUMMYFUNCTION("""COMPUTED_VALUE"""),"Bethany Klynn")</f>
        <v>Bethany Klynn</v>
      </c>
      <c r="F218" s="61"/>
      <c r="G218" s="61"/>
      <c r="H218" s="61" t="str">
        <f>IFERROR(__xludf.DUMMYFUNCTION("""COMPUTED_VALUE"""),"Appliance Rental")</f>
        <v>Appliance Rental</v>
      </c>
      <c r="I218" s="61" t="str">
        <f>IFERROR(__xludf.DUMMYFUNCTION("""COMPUTED_VALUE""")," Double-Door Mini Fridge   -  - ")</f>
        <v> Double-Door Mini Fridge   -  - </v>
      </c>
      <c r="J218" s="61">
        <f>IFERROR(__xludf.DUMMYFUNCTION("""COMPUTED_VALUE"""),145.0)</f>
        <v>145</v>
      </c>
      <c r="K218" s="100">
        <f>IFERROR(__xludf.DUMMYFUNCTION("""COMPUTED_VALUE"""),45883.0)</f>
        <v>45883</v>
      </c>
      <c r="L218" s="61" t="str">
        <f>IFERROR(__xludf.DUMMYFUNCTION("""COMPUTED_VALUE"""),"Park  ")</f>
        <v>Park  </v>
      </c>
      <c r="M218" s="64" t="str">
        <f>IFERROR(__xludf.DUMMYFUNCTION("""COMPUTED_VALUE"""),"231")</f>
        <v>231</v>
      </c>
      <c r="N218" s="61"/>
      <c r="O218" s="61" t="b">
        <f>COUNTIF('Delivered Rentals'!A:A, B218) &gt; 0</f>
        <v>1</v>
      </c>
      <c r="P218" s="101" t="str">
        <f>IFERROR(__xludf.DUMMYFUNCTION("""COMPUTED_VALUE""")," ")</f>
        <v> </v>
      </c>
    </row>
    <row r="219">
      <c r="A219" s="102" t="str">
        <f>IFERROR(__xludf.DUMMYFUNCTION("""COMPUTED_VALUE"""),"https://utrucking.com/admin/orders/5915952251068")</f>
        <v>https://utrucking.com/admin/orders/5915952251068</v>
      </c>
      <c r="B219" s="65" t="str">
        <f>IFERROR(__xludf.DUMMYFUNCTION("""COMPUTED_VALUE"""),"#15679")</f>
        <v>#15679</v>
      </c>
      <c r="C219" s="65" t="str">
        <f>IFERROR(__xludf.DUMMYFUNCTION("""COMPUTED_VALUE"""),"twang4276@gmail.com")</f>
        <v>twang4276@gmail.com</v>
      </c>
      <c r="D219" s="65">
        <f>IFERROR(__xludf.DUMMYFUNCTION("""COMPUTED_VALUE"""),1.4372456625E10)</f>
        <v>14372456625</v>
      </c>
      <c r="E219" s="65" t="str">
        <f>IFERROR(__xludf.DUMMYFUNCTION("""COMPUTED_VALUE"""),"Liling Yang")</f>
        <v>Liling Yang</v>
      </c>
      <c r="F219" s="65"/>
      <c r="G219" s="65"/>
      <c r="H219" s="65" t="str">
        <f>IFERROR(__xludf.DUMMYFUNCTION("""COMPUTED_VALUE"""),"Appliance Rental")</f>
        <v>Appliance Rental</v>
      </c>
      <c r="I219" s="65" t="str">
        <f>IFERROR(__xludf.DUMMYFUNCTION("""COMPUTED_VALUE""")," Standard Mini Fridge   -  - ")</f>
        <v> Standard Mini Fridge   -  - </v>
      </c>
      <c r="J219" s="65">
        <f>IFERROR(__xludf.DUMMYFUNCTION("""COMPUTED_VALUE"""),115.0)</f>
        <v>115</v>
      </c>
      <c r="K219" s="103">
        <f>IFERROR(__xludf.DUMMYFUNCTION("""COMPUTED_VALUE"""),45881.0)</f>
        <v>45881</v>
      </c>
      <c r="L219" s="65" t="str">
        <f>IFERROR(__xludf.DUMMYFUNCTION("""COMPUTED_VALUE"""),"Danforth  ")</f>
        <v>Danforth  </v>
      </c>
      <c r="M219" s="68" t="str">
        <f>IFERROR(__xludf.DUMMYFUNCTION("""COMPUTED_VALUE"""),"2204")</f>
        <v>2204</v>
      </c>
      <c r="N219" s="65"/>
      <c r="O219" s="65" t="b">
        <f>COUNTIF('Delivered Rentals'!A:A, B219) &gt; 0</f>
        <v>1</v>
      </c>
      <c r="P219" s="104" t="str">
        <f>IFERROR(__xludf.DUMMYFUNCTION("""COMPUTED_VALUE""")," ")</f>
        <v> </v>
      </c>
    </row>
    <row r="220">
      <c r="A220" s="99" t="str">
        <f>IFERROR(__xludf.DUMMYFUNCTION("""COMPUTED_VALUE"""),"https://utrucking.com/admin/orders/5915976532156")</f>
        <v>https://utrucking.com/admin/orders/5915976532156</v>
      </c>
      <c r="B220" s="61" t="str">
        <f>IFERROR(__xludf.DUMMYFUNCTION("""COMPUTED_VALUE"""),"#15680")</f>
        <v>#15680</v>
      </c>
      <c r="C220" s="61" t="str">
        <f>IFERROR(__xludf.DUMMYFUNCTION("""COMPUTED_VALUE"""),"a.covello@wustl.edu")</f>
        <v>a.covello@wustl.edu</v>
      </c>
      <c r="D220" s="61">
        <f>IFERROR(__xludf.DUMMYFUNCTION("""COMPUTED_VALUE"""),9.084187448E9)</f>
        <v>9084187448</v>
      </c>
      <c r="E220" s="61" t="str">
        <f>IFERROR(__xludf.DUMMYFUNCTION("""COMPUTED_VALUE"""),"Teresa Covello")</f>
        <v>Teresa Covello</v>
      </c>
      <c r="F220" s="61"/>
      <c r="G220" s="61"/>
      <c r="H220" s="61" t="str">
        <f>IFERROR(__xludf.DUMMYFUNCTION("""COMPUTED_VALUE"""),"Appliance Rental")</f>
        <v>Appliance Rental</v>
      </c>
      <c r="I220" s="61" t="str">
        <f>IFERROR(__xludf.DUMMYFUNCTION("""COMPUTED_VALUE""")," Double-Door Mini Fridge + Microwave   -  - ")</f>
        <v> Double-Door Mini Fridge + Microwave   -  - </v>
      </c>
      <c r="J220" s="61">
        <f>IFERROR(__xludf.DUMMYFUNCTION("""COMPUTED_VALUE"""),210.0)</f>
        <v>210</v>
      </c>
      <c r="K220" s="100">
        <f>IFERROR(__xludf.DUMMYFUNCTION("""COMPUTED_VALUE"""),45880.0)</f>
        <v>45880</v>
      </c>
      <c r="L220" s="61" t="str">
        <f>IFERROR(__xludf.DUMMYFUNCTION("""COMPUTED_VALUE"""),"Eliot A  ")</f>
        <v>Eliot A  </v>
      </c>
      <c r="M220" s="64" t="str">
        <f>IFERROR(__xludf.DUMMYFUNCTION("""COMPUTED_VALUE"""),"3101")</f>
        <v>3101</v>
      </c>
      <c r="N220" s="61"/>
      <c r="O220" s="61" t="b">
        <f>COUNTIF('Delivered Rentals'!A:A, B220) &gt; 0</f>
        <v>1</v>
      </c>
      <c r="P220" s="101" t="str">
        <f>IFERROR(__xludf.DUMMYFUNCTION("""COMPUTED_VALUE""")," ")</f>
        <v> </v>
      </c>
    </row>
    <row r="221">
      <c r="A221" s="102" t="str">
        <f>IFERROR(__xludf.DUMMYFUNCTION("""COMPUTED_VALUE"""),"https://utrucking.com/admin/orders/5915981709500")</f>
        <v>https://utrucking.com/admin/orders/5915981709500</v>
      </c>
      <c r="B221" s="65" t="str">
        <f>IFERROR(__xludf.DUMMYFUNCTION("""COMPUTED_VALUE"""),"#15681")</f>
        <v>#15681</v>
      </c>
      <c r="C221" s="65" t="str">
        <f>IFERROR(__xludf.DUMMYFUNCTION("""COMPUTED_VALUE"""),"chloe.liu0308@gmail.com")</f>
        <v>chloe.liu0308@gmail.com</v>
      </c>
      <c r="D221" s="65">
        <f>IFERROR(__xludf.DUMMYFUNCTION("""COMPUTED_VALUE"""),9.259152979E9)</f>
        <v>9259152979</v>
      </c>
      <c r="E221" s="65" t="str">
        <f>IFERROR(__xludf.DUMMYFUNCTION("""COMPUTED_VALUE"""),"Yiqing Ling")</f>
        <v>Yiqing Ling</v>
      </c>
      <c r="F221" s="65"/>
      <c r="G221" s="65"/>
      <c r="H221" s="65" t="str">
        <f>IFERROR(__xludf.DUMMYFUNCTION("""COMPUTED_VALUE"""),"Appliance Rental")</f>
        <v>Appliance Rental</v>
      </c>
      <c r="I221" s="65" t="str">
        <f>IFERROR(__xludf.DUMMYFUNCTION("""COMPUTED_VALUE""")," Double-Door Mini Fridge + Microwave   -  - ")</f>
        <v> Double-Door Mini Fridge + Microwave   -  - </v>
      </c>
      <c r="J221" s="65">
        <f>IFERROR(__xludf.DUMMYFUNCTION("""COMPUTED_VALUE"""),210.0)</f>
        <v>210</v>
      </c>
      <c r="K221" s="103">
        <f>IFERROR(__xludf.DUMMYFUNCTION("""COMPUTED_VALUE"""),45880.0)</f>
        <v>45880</v>
      </c>
      <c r="L221" s="65" t="str">
        <f>IFERROR(__xludf.DUMMYFUNCTION("""COMPUTED_VALUE"""),"Lien  ")</f>
        <v>Lien  </v>
      </c>
      <c r="M221" s="68" t="str">
        <f>IFERROR(__xludf.DUMMYFUNCTION("""COMPUTED_VALUE"""),"2204")</f>
        <v>2204</v>
      </c>
      <c r="N221" s="65"/>
      <c r="O221" s="65" t="b">
        <f>COUNTIF('Delivered Rentals'!A:A, B221) &gt; 0</f>
        <v>1</v>
      </c>
      <c r="P221" s="104" t="str">
        <f>IFERROR(__xludf.DUMMYFUNCTION("""COMPUTED_VALUE""")," ")</f>
        <v> </v>
      </c>
    </row>
    <row r="222">
      <c r="A222" s="99" t="str">
        <f>IFERROR(__xludf.DUMMYFUNCTION("""COMPUTED_VALUE"""),"https://utrucking.com/admin/orders/5916015460540")</f>
        <v>https://utrucking.com/admin/orders/5916015460540</v>
      </c>
      <c r="B222" s="61" t="str">
        <f>IFERROR(__xludf.DUMMYFUNCTION("""COMPUTED_VALUE"""),"#15682")</f>
        <v>#15682</v>
      </c>
      <c r="C222" s="61" t="str">
        <f>IFERROR(__xludf.DUMMYFUNCTION("""COMPUTED_VALUE"""),"astanley@bassberry.com")</f>
        <v>astanley@bassberry.com</v>
      </c>
      <c r="D222" s="61"/>
      <c r="E222" s="61" t="str">
        <f>IFERROR(__xludf.DUMMYFUNCTION("""COMPUTED_VALUE"""),"Amanda Stanley")</f>
        <v>Amanda Stanley</v>
      </c>
      <c r="F222" s="61"/>
      <c r="G222" s="61"/>
      <c r="H222" s="61" t="str">
        <f>IFERROR(__xludf.DUMMYFUNCTION("""COMPUTED_VALUE"""),"Appliance Rental")</f>
        <v>Appliance Rental</v>
      </c>
      <c r="I222" s="61" t="str">
        <f>IFERROR(__xludf.DUMMYFUNCTION("""COMPUTED_VALUE""")," Double-Door Mini Fridge + Microwave   -  - ")</f>
        <v> Double-Door Mini Fridge + Microwave   -  - </v>
      </c>
      <c r="J222" s="61">
        <f>IFERROR(__xludf.DUMMYFUNCTION("""COMPUTED_VALUE"""),210.0)</f>
        <v>210</v>
      </c>
      <c r="K222" s="100">
        <f>IFERROR(__xludf.DUMMYFUNCTION("""COMPUTED_VALUE"""),45880.0)</f>
        <v>45880</v>
      </c>
      <c r="L222" s="61" t="str">
        <f>IFERROR(__xludf.DUMMYFUNCTION("""COMPUTED_VALUE"""),"Umrath  ")</f>
        <v>Umrath  </v>
      </c>
      <c r="M222" s="64" t="str">
        <f>IFERROR(__xludf.DUMMYFUNCTION("""COMPUTED_VALUE"""),"2225")</f>
        <v>2225</v>
      </c>
      <c r="N222" s="61"/>
      <c r="O222" s="61" t="b">
        <f>COUNTIF('Delivered Rentals'!A:A, B222) &gt; 0</f>
        <v>1</v>
      </c>
      <c r="P222" s="101" t="str">
        <f>IFERROR(__xludf.DUMMYFUNCTION("""COMPUTED_VALUE""")," ")</f>
        <v> </v>
      </c>
    </row>
    <row r="223">
      <c r="A223" s="102" t="str">
        <f>IFERROR(__xludf.DUMMYFUNCTION("""COMPUTED_VALUE"""),"https://utrucking.com/admin/orders/5916229828796")</f>
        <v>https://utrucking.com/admin/orders/5916229828796</v>
      </c>
      <c r="B223" s="65" t="str">
        <f>IFERROR(__xludf.DUMMYFUNCTION("""COMPUTED_VALUE"""),"#15690")</f>
        <v>#15690</v>
      </c>
      <c r="C223" s="65" t="str">
        <f>IFERROR(__xludf.DUMMYFUNCTION("""COMPUTED_VALUE"""),"charliedoehring@icloud.com")</f>
        <v>charliedoehring@icloud.com</v>
      </c>
      <c r="D223" s="65">
        <f>IFERROR(__xludf.DUMMYFUNCTION("""COMPUTED_VALUE"""),1.3312389291E10)</f>
        <v>13312389291</v>
      </c>
      <c r="E223" s="65" t="str">
        <f>IFERROR(__xludf.DUMMYFUNCTION("""COMPUTED_VALUE"""),"Charlie Doehring")</f>
        <v>Charlie Doehring</v>
      </c>
      <c r="F223" s="65"/>
      <c r="G223" s="65"/>
      <c r="H223" s="65" t="str">
        <f>IFERROR(__xludf.DUMMYFUNCTION("""COMPUTED_VALUE"""),"Appliance Rental")</f>
        <v>Appliance Rental</v>
      </c>
      <c r="I223" s="65" t="str">
        <f>IFERROR(__xludf.DUMMYFUNCTION("""COMPUTED_VALUE""")," Double-Door Mini Fridge + Microwave   -  - ")</f>
        <v> Double-Door Mini Fridge + Microwave   -  - </v>
      </c>
      <c r="J223" s="65">
        <f>IFERROR(__xludf.DUMMYFUNCTION("""COMPUTED_VALUE"""),210.0)</f>
        <v>210</v>
      </c>
      <c r="K223" s="103">
        <f>IFERROR(__xludf.DUMMYFUNCTION("""COMPUTED_VALUE"""),45883.0)</f>
        <v>45883</v>
      </c>
      <c r="L223" s="65" t="str">
        <f>IFERROR(__xludf.DUMMYFUNCTION("""COMPUTED_VALUE"""),"Eliot A")</f>
        <v>Eliot A</v>
      </c>
      <c r="M223" s="68" t="str">
        <f>IFERROR(__xludf.DUMMYFUNCTION("""COMPUTED_VALUE"""),"2102")</f>
        <v>2102</v>
      </c>
      <c r="N223" s="65"/>
      <c r="O223" s="65" t="b">
        <f>COUNTIF('Delivered Rentals'!A:A, B223) &gt; 0</f>
        <v>1</v>
      </c>
      <c r="P223" s="104" t="str">
        <f>IFERROR(__xludf.DUMMYFUNCTION("""COMPUTED_VALUE""")," ")</f>
        <v> </v>
      </c>
    </row>
    <row r="224">
      <c r="A224" s="99" t="str">
        <f>IFERROR(__xludf.DUMMYFUNCTION("""COMPUTED_VALUE"""),"https://utrucking.com/admin/orders/5916470149308")</f>
        <v>https://utrucking.com/admin/orders/5916470149308</v>
      </c>
      <c r="B224" s="61" t="str">
        <f>IFERROR(__xludf.DUMMYFUNCTION("""COMPUTED_VALUE"""),"#15698")</f>
        <v>#15698</v>
      </c>
      <c r="C224" s="61" t="str">
        <f>IFERROR(__xludf.DUMMYFUNCTION("""COMPUTED_VALUE"""),"rachelmori@icloud.com")</f>
        <v>rachelmori@icloud.com</v>
      </c>
      <c r="D224" s="61">
        <f>IFERROR(__xludf.DUMMYFUNCTION("""COMPUTED_VALUE"""),2.149989892E9)</f>
        <v>2149989892</v>
      </c>
      <c r="E224" s="61" t="str">
        <f>IFERROR(__xludf.DUMMYFUNCTION("""COMPUTED_VALUE"""),"Rachel Mori")</f>
        <v>Rachel Mori</v>
      </c>
      <c r="F224" s="61"/>
      <c r="G224" s="61"/>
      <c r="H224" s="61" t="str">
        <f>IFERROR(__xludf.DUMMYFUNCTION("""COMPUTED_VALUE"""),"Appliance Rental")</f>
        <v>Appliance Rental</v>
      </c>
      <c r="I224" s="61" t="str">
        <f>IFERROR(__xludf.DUMMYFUNCTION("""COMPUTED_VALUE""")," Microwave Only   -  - ")</f>
        <v> Microwave Only   -  - </v>
      </c>
      <c r="J224" s="61">
        <f>IFERROR(__xludf.DUMMYFUNCTION("""COMPUTED_VALUE"""),65.0)</f>
        <v>65</v>
      </c>
      <c r="K224" s="100">
        <f>IFERROR(__xludf.DUMMYFUNCTION("""COMPUTED_VALUE"""),45883.0)</f>
        <v>45883</v>
      </c>
      <c r="L224" s="61" t="str">
        <f>IFERROR(__xludf.DUMMYFUNCTION("""COMPUTED_VALUE"""),"Koenig  ")</f>
        <v>Koenig  </v>
      </c>
      <c r="M224" s="64" t="str">
        <f>IFERROR(__xludf.DUMMYFUNCTION("""COMPUTED_VALUE"""),"4413")</f>
        <v>4413</v>
      </c>
      <c r="N224" s="61"/>
      <c r="O224" s="61" t="b">
        <f>COUNTIF('Delivered Rentals'!A:A, B224) &gt; 0</f>
        <v>1</v>
      </c>
      <c r="P224" s="101" t="str">
        <f>IFERROR(__xludf.DUMMYFUNCTION("""COMPUTED_VALUE""")," ")</f>
        <v> </v>
      </c>
    </row>
    <row r="225">
      <c r="A225" s="102" t="str">
        <f>IFERROR(__xludf.DUMMYFUNCTION("""COMPUTED_VALUE"""),"https://utrucking.com/admin/orders/5916494397628")</f>
        <v>https://utrucking.com/admin/orders/5916494397628</v>
      </c>
      <c r="B225" s="65" t="str">
        <f>IFERROR(__xludf.DUMMYFUNCTION("""COMPUTED_VALUE"""),"#15699")</f>
        <v>#15699</v>
      </c>
      <c r="C225" s="65"/>
      <c r="D225" s="65">
        <f>IFERROR(__xludf.DUMMYFUNCTION("""COMPUTED_VALUE"""),6.282198206E9)</f>
        <v>6282198206</v>
      </c>
      <c r="E225" s="65" t="str">
        <f>IFERROR(__xludf.DUMMYFUNCTION("""COMPUTED_VALUE"""),"Nikhil Chadha")</f>
        <v>Nikhil Chadha</v>
      </c>
      <c r="F225" s="65"/>
      <c r="G225" s="65"/>
      <c r="H225" s="65" t="str">
        <f>IFERROR(__xludf.DUMMYFUNCTION("""COMPUTED_VALUE"""),"Appliance Rental")</f>
        <v>Appliance Rental</v>
      </c>
      <c r="I225" s="65" t="str">
        <f>IFERROR(__xludf.DUMMYFUNCTION("""COMPUTED_VALUE""")," Double-Door Mini Fridge + Microwave   -  - ")</f>
        <v> Double-Door Mini Fridge + Microwave   -  - </v>
      </c>
      <c r="J225" s="65">
        <f>IFERROR(__xludf.DUMMYFUNCTION("""COMPUTED_VALUE"""),210.0)</f>
        <v>210</v>
      </c>
      <c r="K225" s="103">
        <f>IFERROR(__xludf.DUMMYFUNCTION("""COMPUTED_VALUE"""),45883.0)</f>
        <v>45883</v>
      </c>
      <c r="L225" s="65" t="str">
        <f>IFERROR(__xludf.DUMMYFUNCTION("""COMPUTED_VALUE"""),"Eliot A  ")</f>
        <v>Eliot A  </v>
      </c>
      <c r="M225" s="68" t="str">
        <f>IFERROR(__xludf.DUMMYFUNCTION("""COMPUTED_VALUE"""),"3121")</f>
        <v>3121</v>
      </c>
      <c r="N225" s="65"/>
      <c r="O225" s="65" t="b">
        <f>COUNTIF('Delivered Rentals'!A:A, B225) &gt; 0</f>
        <v>1</v>
      </c>
      <c r="P225" s="104" t="str">
        <f>IFERROR(__xludf.DUMMYFUNCTION("""COMPUTED_VALUE""")," ")</f>
        <v> </v>
      </c>
    </row>
    <row r="226">
      <c r="A226" s="99" t="str">
        <f>IFERROR(__xludf.DUMMYFUNCTION("""COMPUTED_VALUE"""),"https://utrucking.com/admin/orders/5916500328636")</f>
        <v>https://utrucking.com/admin/orders/5916500328636</v>
      </c>
      <c r="B226" s="61" t="str">
        <f>IFERROR(__xludf.DUMMYFUNCTION("""COMPUTED_VALUE"""),"#15700")</f>
        <v>#15700</v>
      </c>
      <c r="C226" s="61" t="str">
        <f>IFERROR(__xludf.DUMMYFUNCTION("""COMPUTED_VALUE"""),"kbwilson24@comcast.net")</f>
        <v>kbwilson24@comcast.net</v>
      </c>
      <c r="D226" s="61">
        <f>IFERROR(__xludf.DUMMYFUNCTION("""COMPUTED_VALUE"""),8.476918994E9)</f>
        <v>8476918994</v>
      </c>
      <c r="E226" s="61" t="str">
        <f>IFERROR(__xludf.DUMMYFUNCTION("""COMPUTED_VALUE"""),"Kevin Wilson")</f>
        <v>Kevin Wilson</v>
      </c>
      <c r="F226" s="61"/>
      <c r="G226" s="61"/>
      <c r="H226" s="61" t="str">
        <f>IFERROR(__xludf.DUMMYFUNCTION("""COMPUTED_VALUE"""),"Appliance Rental")</f>
        <v>Appliance Rental</v>
      </c>
      <c r="I226" s="61" t="str">
        <f>IFERROR(__xludf.DUMMYFUNCTION("""COMPUTED_VALUE""")," Double-Door Mini Fridge   -  - ")</f>
        <v> Double-Door Mini Fridge   -  - </v>
      </c>
      <c r="J226" s="61">
        <f>IFERROR(__xludf.DUMMYFUNCTION("""COMPUTED_VALUE"""),145.0)</f>
        <v>145</v>
      </c>
      <c r="K226" s="100">
        <f>IFERROR(__xludf.DUMMYFUNCTION("""COMPUTED_VALUE"""),45883.0)</f>
        <v>45883</v>
      </c>
      <c r="L226" s="61" t="str">
        <f>IFERROR(__xludf.DUMMYFUNCTION("""COMPUTED_VALUE"""),"Lee  ")</f>
        <v>Lee  </v>
      </c>
      <c r="M226" s="64" t="str">
        <f>IFERROR(__xludf.DUMMYFUNCTION("""COMPUTED_VALUE"""),"222")</f>
        <v>222</v>
      </c>
      <c r="N226" s="61"/>
      <c r="O226" s="61" t="b">
        <f>COUNTIF('Delivered Rentals'!A:A, B226) &gt; 0</f>
        <v>1</v>
      </c>
      <c r="P226" s="101" t="str">
        <f>IFERROR(__xludf.DUMMYFUNCTION("""COMPUTED_VALUE""")," ")</f>
        <v> </v>
      </c>
    </row>
    <row r="227">
      <c r="A227" s="102" t="str">
        <f>IFERROR(__xludf.DUMMYFUNCTION("""COMPUTED_VALUE"""),"https://utrucking.com/admin/orders/5916524052668")</f>
        <v>https://utrucking.com/admin/orders/5916524052668</v>
      </c>
      <c r="B227" s="65" t="str">
        <f>IFERROR(__xludf.DUMMYFUNCTION("""COMPUTED_VALUE"""),"#15701")</f>
        <v>#15701</v>
      </c>
      <c r="C227" s="65" t="str">
        <f>IFERROR(__xludf.DUMMYFUNCTION("""COMPUTED_VALUE"""),"cyung@wustl.edu")</f>
        <v>cyung@wustl.edu</v>
      </c>
      <c r="D227" s="65">
        <f>IFERROR(__xludf.DUMMYFUNCTION("""COMPUTED_VALUE"""),4.153078559E9)</f>
        <v>4153078559</v>
      </c>
      <c r="E227" s="65" t="str">
        <f>IFERROR(__xludf.DUMMYFUNCTION("""COMPUTED_VALUE"""),"Derek Yung")</f>
        <v>Derek Yung</v>
      </c>
      <c r="F227" s="65"/>
      <c r="G227" s="65"/>
      <c r="H227" s="65" t="str">
        <f>IFERROR(__xludf.DUMMYFUNCTION("""COMPUTED_VALUE"""),"Appliance Rental")</f>
        <v>Appliance Rental</v>
      </c>
      <c r="I227" s="65" t="str">
        <f>IFERROR(__xludf.DUMMYFUNCTION("""COMPUTED_VALUE""")," Double-Door Mini Fridge   -  - ")</f>
        <v> Double-Door Mini Fridge   -  - </v>
      </c>
      <c r="J227" s="65">
        <f>IFERROR(__xludf.DUMMYFUNCTION("""COMPUTED_VALUE"""),145.0)</f>
        <v>145</v>
      </c>
      <c r="K227" s="103">
        <f>IFERROR(__xludf.DUMMYFUNCTION("""COMPUTED_VALUE"""),45883.0)</f>
        <v>45883</v>
      </c>
      <c r="L227" s="65" t="str">
        <f>IFERROR(__xludf.DUMMYFUNCTION("""COMPUTED_VALUE"""),"Park  ")</f>
        <v>Park  </v>
      </c>
      <c r="M227" s="68" t="str">
        <f>IFERROR(__xludf.DUMMYFUNCTION("""COMPUTED_VALUE"""),"441")</f>
        <v>441</v>
      </c>
      <c r="N227" s="65"/>
      <c r="O227" s="65" t="b">
        <f>COUNTIF('Delivered Rentals'!A:A, B227) &gt; 0</f>
        <v>1</v>
      </c>
      <c r="P227" s="104" t="str">
        <f>IFERROR(__xludf.DUMMYFUNCTION("""COMPUTED_VALUE""")," ")</f>
        <v> </v>
      </c>
    </row>
    <row r="228">
      <c r="A228" s="99" t="str">
        <f>IFERROR(__xludf.DUMMYFUNCTION("""COMPUTED_VALUE"""),"https://utrucking.com/admin/orders/5916647817404")</f>
        <v>https://utrucking.com/admin/orders/5916647817404</v>
      </c>
      <c r="B228" s="61" t="str">
        <f>IFERROR(__xludf.DUMMYFUNCTION("""COMPUTED_VALUE"""),"#15715")</f>
        <v>#15715</v>
      </c>
      <c r="C228" s="61" t="str">
        <f>IFERROR(__xludf.DUMMYFUNCTION("""COMPUTED_VALUE"""),"l.e.rand@wustl.edu")</f>
        <v>l.e.rand@wustl.edu</v>
      </c>
      <c r="D228" s="61">
        <f>IFERROR(__xludf.DUMMYFUNCTION("""COMPUTED_VALUE"""),2.054784664E9)</f>
        <v>2054784664</v>
      </c>
      <c r="E228" s="61" t="str">
        <f>IFERROR(__xludf.DUMMYFUNCTION("""COMPUTED_VALUE"""),"Anne Rand")</f>
        <v>Anne Rand</v>
      </c>
      <c r="F228" s="61"/>
      <c r="G228" s="61"/>
      <c r="H228" s="61" t="str">
        <f>IFERROR(__xludf.DUMMYFUNCTION("""COMPUTED_VALUE"""),"Appliance Rental")</f>
        <v>Appliance Rental</v>
      </c>
      <c r="I228" s="61" t="str">
        <f>IFERROR(__xludf.DUMMYFUNCTION("""COMPUTED_VALUE""")," Double-Door Mini Fridge   -  - ")</f>
        <v> Double-Door Mini Fridge   -  - </v>
      </c>
      <c r="J228" s="61">
        <f>IFERROR(__xludf.DUMMYFUNCTION("""COMPUTED_VALUE"""),145.0)</f>
        <v>145</v>
      </c>
      <c r="K228" s="100">
        <f>IFERROR(__xludf.DUMMYFUNCTION("""COMPUTED_VALUE"""),45883.0)</f>
        <v>45883</v>
      </c>
      <c r="L228" s="61" t="str">
        <f>IFERROR(__xludf.DUMMYFUNCTION("""COMPUTED_VALUE"""),"House 3 (Alpha Delta Phi)  ")</f>
        <v>House 3 (Alpha Delta Phi)  </v>
      </c>
      <c r="M228" s="64" t="str">
        <f>IFERROR(__xludf.DUMMYFUNCTION("""COMPUTED_VALUE"""),"306")</f>
        <v>306</v>
      </c>
      <c r="N228" s="61"/>
      <c r="O228" s="61" t="b">
        <f>COUNTIF('Delivered Rentals'!A:A, B228) &gt; 0</f>
        <v>1</v>
      </c>
      <c r="P228" s="101" t="str">
        <f>IFERROR(__xludf.DUMMYFUNCTION("""COMPUTED_VALUE""")," ")</f>
        <v> </v>
      </c>
    </row>
    <row r="229">
      <c r="A229" s="102" t="str">
        <f>IFERROR(__xludf.DUMMYFUNCTION("""COMPUTED_VALUE"""),"https://utrucking.com/admin/orders/5916825682108")</f>
        <v>https://utrucking.com/admin/orders/5916825682108</v>
      </c>
      <c r="B229" s="65" t="str">
        <f>IFERROR(__xludf.DUMMYFUNCTION("""COMPUTED_VALUE"""),"#15725")</f>
        <v>#15725</v>
      </c>
      <c r="C229" s="65" t="str">
        <f>IFERROR(__xludf.DUMMYFUNCTION("""COMPUTED_VALUE"""),"chung.j.d@wustl.edu")</f>
        <v>chung.j.d@wustl.edu</v>
      </c>
      <c r="D229" s="65">
        <f>IFERROR(__xludf.DUMMYFUNCTION("""COMPUTED_VALUE"""),5.083616064E9)</f>
        <v>5083616064</v>
      </c>
      <c r="E229" s="65" t="str">
        <f>IFERROR(__xludf.DUMMYFUNCTION("""COMPUTED_VALUE"""),"Bo Kyung Shin")</f>
        <v>Bo Kyung Shin</v>
      </c>
      <c r="F229" s="65"/>
      <c r="G229" s="65"/>
      <c r="H229" s="65" t="str">
        <f>IFERROR(__xludf.DUMMYFUNCTION("""COMPUTED_VALUE"""),"Appliance Rental")</f>
        <v>Appliance Rental</v>
      </c>
      <c r="I229" s="65" t="str">
        <f>IFERROR(__xludf.DUMMYFUNCTION("""COMPUTED_VALUE""")," Double-Door Mini Fridge + Microwave   -  - ")</f>
        <v> Double-Door Mini Fridge + Microwave   -  - </v>
      </c>
      <c r="J229" s="65">
        <f>IFERROR(__xludf.DUMMYFUNCTION("""COMPUTED_VALUE"""),210.0)</f>
        <v>210</v>
      </c>
      <c r="K229" s="103">
        <f>IFERROR(__xludf.DUMMYFUNCTION("""COMPUTED_VALUE"""),45883.0)</f>
        <v>45883</v>
      </c>
      <c r="L229" s="65" t="str">
        <f>IFERROR(__xludf.DUMMYFUNCTION("""COMPUTED_VALUE"""),"Dardick  ")</f>
        <v>Dardick  </v>
      </c>
      <c r="M229" s="68" t="str">
        <f>IFERROR(__xludf.DUMMYFUNCTION("""COMPUTED_VALUE"""),"3319")</f>
        <v>3319</v>
      </c>
      <c r="N229" s="65"/>
      <c r="O229" s="65" t="b">
        <f>COUNTIF('Delivered Rentals'!A:A, B229) &gt; 0</f>
        <v>1</v>
      </c>
      <c r="P229" s="104" t="str">
        <f>IFERROR(__xludf.DUMMYFUNCTION("""COMPUTED_VALUE""")," ")</f>
        <v> </v>
      </c>
    </row>
    <row r="230">
      <c r="A230" s="99" t="str">
        <f>IFERROR(__xludf.DUMMYFUNCTION("""COMPUTED_VALUE"""),"https://utrucking.com/admin/orders/5916872278204")</f>
        <v>https://utrucking.com/admin/orders/5916872278204</v>
      </c>
      <c r="B230" s="61" t="str">
        <f>IFERROR(__xludf.DUMMYFUNCTION("""COMPUTED_VALUE"""),"#15727")</f>
        <v>#15727</v>
      </c>
      <c r="C230" s="61" t="str">
        <f>IFERROR(__xludf.DUMMYFUNCTION("""COMPUTED_VALUE"""),"tong.s@wustl.edu")</f>
        <v>tong.s@wustl.edu</v>
      </c>
      <c r="D230" s="61">
        <f>IFERROR(__xludf.DUMMYFUNCTION("""COMPUTED_VALUE"""),6.097214127E9)</f>
        <v>6097214127</v>
      </c>
      <c r="E230" s="61" t="str">
        <f>IFERROR(__xludf.DUMMYFUNCTION("""COMPUTED_VALUE"""),"Hui Tong")</f>
        <v>Hui Tong</v>
      </c>
      <c r="F230" s="61"/>
      <c r="G230" s="61"/>
      <c r="H230" s="61" t="str">
        <f>IFERROR(__xludf.DUMMYFUNCTION("""COMPUTED_VALUE"""),"Appliance Rental")</f>
        <v>Appliance Rental</v>
      </c>
      <c r="I230" s="61" t="str">
        <f>IFERROR(__xludf.DUMMYFUNCTION("""COMPUTED_VALUE""")," Double-Door Mini Fridge + Microwave   -  - ")</f>
        <v> Double-Door Mini Fridge + Microwave   -  - </v>
      </c>
      <c r="J230" s="61">
        <f>IFERROR(__xludf.DUMMYFUNCTION("""COMPUTED_VALUE"""),210.0)</f>
        <v>210</v>
      </c>
      <c r="K230" s="100">
        <f>IFERROR(__xludf.DUMMYFUNCTION("""COMPUTED_VALUE"""),45883.0)</f>
        <v>45883</v>
      </c>
      <c r="L230" s="61" t="str">
        <f>IFERROR(__xludf.DUMMYFUNCTION("""COMPUTED_VALUE"""),"Koenig  ")</f>
        <v>Koenig  </v>
      </c>
      <c r="M230" s="64" t="str">
        <f>IFERROR(__xludf.DUMMYFUNCTION("""COMPUTED_VALUE"""),"3320")</f>
        <v>3320</v>
      </c>
      <c r="N230" s="61"/>
      <c r="O230" s="61" t="b">
        <f>COUNTIF('Delivered Rentals'!A:A, B230) &gt; 0</f>
        <v>1</v>
      </c>
      <c r="P230" s="101" t="str">
        <f>IFERROR(__xludf.DUMMYFUNCTION("""COMPUTED_VALUE""")," ")</f>
        <v> </v>
      </c>
    </row>
    <row r="231">
      <c r="A231" s="102" t="str">
        <f>IFERROR(__xludf.DUMMYFUNCTION("""COMPUTED_VALUE"""),"https://utrucking.com/admin/orders/5916998828220")</f>
        <v>https://utrucking.com/admin/orders/5916998828220</v>
      </c>
      <c r="B231" s="65" t="str">
        <f>IFERROR(__xludf.DUMMYFUNCTION("""COMPUTED_VALUE"""),"#15739")</f>
        <v>#15739</v>
      </c>
      <c r="C231" s="65" t="str">
        <f>IFERROR(__xludf.DUMMYFUNCTION("""COMPUTED_VALUE"""),"2232lealu@gmail.com")</f>
        <v>2232lealu@gmail.com</v>
      </c>
      <c r="D231" s="65">
        <f>IFERROR(__xludf.DUMMYFUNCTION("""COMPUTED_VALUE"""),8.86912415652E11)</f>
        <v>886912415652</v>
      </c>
      <c r="E231" s="65" t="str">
        <f>IFERROR(__xludf.DUMMYFUNCTION("""COMPUTED_VALUE"""),"YI CHING LU")</f>
        <v>YI CHING LU</v>
      </c>
      <c r="F231" s="65"/>
      <c r="G231" s="65"/>
      <c r="H231" s="65" t="str">
        <f>IFERROR(__xludf.DUMMYFUNCTION("""COMPUTED_VALUE"""),"Appliance Rental")</f>
        <v>Appliance Rental</v>
      </c>
      <c r="I231" s="65" t="str">
        <f>IFERROR(__xludf.DUMMYFUNCTION("""COMPUTED_VALUE""")," Standard Mini Fridge + Microwave   -  - ")</f>
        <v> Standard Mini Fridge + Microwave   -  - </v>
      </c>
      <c r="J231" s="65">
        <f>IFERROR(__xludf.DUMMYFUNCTION("""COMPUTED_VALUE"""),180.0)</f>
        <v>180</v>
      </c>
      <c r="K231" s="103">
        <f>IFERROR(__xludf.DUMMYFUNCTION("""COMPUTED_VALUE"""),45883.0)</f>
        <v>45883</v>
      </c>
      <c r="L231" s="65" t="str">
        <f>IFERROR(__xludf.DUMMYFUNCTION("""COMPUTED_VALUE"""),"Hitzeman  ")</f>
        <v>Hitzeman  </v>
      </c>
      <c r="M231" s="68" t="str">
        <f>IFERROR(__xludf.DUMMYFUNCTION("""COMPUTED_VALUE""")," 113 - A")</f>
        <v> 113 - A</v>
      </c>
      <c r="N231" s="65"/>
      <c r="O231" s="65" t="b">
        <f>COUNTIF('Delivered Rentals'!A:A, B231) &gt; 0</f>
        <v>1</v>
      </c>
      <c r="P231" s="104" t="str">
        <f>IFERROR(__xludf.DUMMYFUNCTION("""COMPUTED_VALUE""")," ")</f>
        <v> </v>
      </c>
    </row>
    <row r="232">
      <c r="A232" s="99" t="str">
        <f>IFERROR(__xludf.DUMMYFUNCTION("""COMPUTED_VALUE"""),"https://utrucking.com/admin/orders/5917350133948")</f>
        <v>https://utrucking.com/admin/orders/5917350133948</v>
      </c>
      <c r="B232" s="61" t="str">
        <f>IFERROR(__xludf.DUMMYFUNCTION("""COMPUTED_VALUE"""),"#15751")</f>
        <v>#15751</v>
      </c>
      <c r="C232" s="61" t="str">
        <f>IFERROR(__xludf.DUMMYFUNCTION("""COMPUTED_VALUE"""),"vogelw@wustl.edu")</f>
        <v>vogelw@wustl.edu</v>
      </c>
      <c r="D232" s="61">
        <f>IFERROR(__xludf.DUMMYFUNCTION("""COMPUTED_VALUE"""),8.014145532E9)</f>
        <v>8014145532</v>
      </c>
      <c r="E232" s="61" t="str">
        <f>IFERROR(__xludf.DUMMYFUNCTION("""COMPUTED_VALUE"""),"Candice Vogel")</f>
        <v>Candice Vogel</v>
      </c>
      <c r="F232" s="61"/>
      <c r="G232" s="61"/>
      <c r="H232" s="61" t="str">
        <f>IFERROR(__xludf.DUMMYFUNCTION("""COMPUTED_VALUE"""),"Appliance Rental")</f>
        <v>Appliance Rental</v>
      </c>
      <c r="I232" s="61" t="str">
        <f>IFERROR(__xludf.DUMMYFUNCTION("""COMPUTED_VALUE""")," Standard Mini Fridge + Microwave   -  - ")</f>
        <v> Standard Mini Fridge + Microwave   -  - </v>
      </c>
      <c r="J232" s="61">
        <f>IFERROR(__xludf.DUMMYFUNCTION("""COMPUTED_VALUE"""),180.0)</f>
        <v>180</v>
      </c>
      <c r="K232" s="100">
        <f>IFERROR(__xludf.DUMMYFUNCTION("""COMPUTED_VALUE"""),45883.0)</f>
        <v>45883</v>
      </c>
      <c r="L232" s="61" t="str">
        <f>IFERROR(__xludf.DUMMYFUNCTION("""COMPUTED_VALUE"""),"Park  ")</f>
        <v>Park  </v>
      </c>
      <c r="M232" s="64" t="str">
        <f>IFERROR(__xludf.DUMMYFUNCTION("""COMPUTED_VALUE"""),"341")</f>
        <v>341</v>
      </c>
      <c r="N232" s="61"/>
      <c r="O232" s="61" t="b">
        <f>COUNTIF('Delivered Rentals'!A:A, B232) &gt; 0</f>
        <v>1</v>
      </c>
      <c r="P232" s="101" t="str">
        <f>IFERROR(__xludf.DUMMYFUNCTION("""COMPUTED_VALUE""")," ")</f>
        <v> </v>
      </c>
    </row>
    <row r="233">
      <c r="A233" s="102" t="str">
        <f>IFERROR(__xludf.DUMMYFUNCTION("""COMPUTED_VALUE"""),"https://utrucking.com/admin/orders/5917531046076")</f>
        <v>https://utrucking.com/admin/orders/5917531046076</v>
      </c>
      <c r="B233" s="65" t="str">
        <f>IFERROR(__xludf.DUMMYFUNCTION("""COMPUTED_VALUE"""),"#15759")</f>
        <v>#15759</v>
      </c>
      <c r="C233" s="65" t="str">
        <f>IFERROR(__xludf.DUMMYFUNCTION("""COMPUTED_VALUE"""),"jojones320@gmail.com")</f>
        <v>jojones320@gmail.com</v>
      </c>
      <c r="D233" s="65">
        <f>IFERROR(__xludf.DUMMYFUNCTION("""COMPUTED_VALUE"""),1.9176867838E10)</f>
        <v>19176867838</v>
      </c>
      <c r="E233" s="65" t="str">
        <f>IFERROR(__xludf.DUMMYFUNCTION("""COMPUTED_VALUE"""),"Joanna Jones")</f>
        <v>Joanna Jones</v>
      </c>
      <c r="F233" s="65"/>
      <c r="G233" s="65"/>
      <c r="H233" s="65" t="str">
        <f>IFERROR(__xludf.DUMMYFUNCTION("""COMPUTED_VALUE"""),"Appliance Rental")</f>
        <v>Appliance Rental</v>
      </c>
      <c r="I233" s="65" t="str">
        <f>IFERROR(__xludf.DUMMYFUNCTION("""COMPUTED_VALUE""")," Double-Door Mini Fridge + Microwave   -  - ")</f>
        <v> Double-Door Mini Fridge + Microwave   -  - </v>
      </c>
      <c r="J233" s="65">
        <f>IFERROR(__xludf.DUMMYFUNCTION("""COMPUTED_VALUE"""),210.0)</f>
        <v>210</v>
      </c>
      <c r="K233" s="103">
        <f>IFERROR(__xludf.DUMMYFUNCTION("""COMPUTED_VALUE"""),45883.0)</f>
        <v>45883</v>
      </c>
      <c r="L233" s="65" t="str">
        <f>IFERROR(__xludf.DUMMYFUNCTION("""COMPUTED_VALUE"""),"Rutledge  ")</f>
        <v>Rutledge  </v>
      </c>
      <c r="M233" s="68" t="str">
        <f>IFERROR(__xludf.DUMMYFUNCTION("""COMPUTED_VALUE"""),"Room 244 for Zachary Beckett Jones (MSC 97543)")</f>
        <v>Room 244 for Zachary Beckett Jones (MSC 97543)</v>
      </c>
      <c r="N233" s="65"/>
      <c r="O233" s="65" t="b">
        <f>COUNTIF('Delivered Rentals'!A:A, B233) &gt; 0</f>
        <v>1</v>
      </c>
      <c r="P233" s="104" t="str">
        <f>IFERROR(__xludf.DUMMYFUNCTION("""COMPUTED_VALUE""")," ")</f>
        <v> </v>
      </c>
    </row>
    <row r="234">
      <c r="A234" s="99" t="str">
        <f>IFERROR(__xludf.DUMMYFUNCTION("""COMPUTED_VALUE"""),"https://utrucking.com/admin/orders/5917557293244")</f>
        <v>https://utrucking.com/admin/orders/5917557293244</v>
      </c>
      <c r="B234" s="61" t="str">
        <f>IFERROR(__xludf.DUMMYFUNCTION("""COMPUTED_VALUE"""),"#15761")</f>
        <v>#15761</v>
      </c>
      <c r="C234" s="61" t="str">
        <f>IFERROR(__xludf.DUMMYFUNCTION("""COMPUTED_VALUE"""),"l.maddy@wustl.edu")</f>
        <v>l.maddy@wustl.edu</v>
      </c>
      <c r="D234" s="61">
        <f>IFERROR(__xludf.DUMMYFUNCTION("""COMPUTED_VALUE"""),2.036225122E9)</f>
        <v>2036225122</v>
      </c>
      <c r="E234" s="61" t="str">
        <f>IFERROR(__xludf.DUMMYFUNCTION("""COMPUTED_VALUE"""),"Maddy Lee")</f>
        <v>Maddy Lee</v>
      </c>
      <c r="F234" s="61"/>
      <c r="G234" s="61"/>
      <c r="H234" s="61" t="str">
        <f>IFERROR(__xludf.DUMMYFUNCTION("""COMPUTED_VALUE"""),"Appliance Rental")</f>
        <v>Appliance Rental</v>
      </c>
      <c r="I234" s="61" t="str">
        <f>IFERROR(__xludf.DUMMYFUNCTION("""COMPUTED_VALUE""")," Double-Door Mini Fridge   -  - ")</f>
        <v> Double-Door Mini Fridge   -  - </v>
      </c>
      <c r="J234" s="61">
        <f>IFERROR(__xludf.DUMMYFUNCTION("""COMPUTED_VALUE"""),145.0)</f>
        <v>145</v>
      </c>
      <c r="K234" s="100">
        <f>IFERROR(__xludf.DUMMYFUNCTION("""COMPUTED_VALUE"""),45882.0)</f>
        <v>45882</v>
      </c>
      <c r="L234" s="61" t="str">
        <f>IFERROR(__xludf.DUMMYFUNCTION("""COMPUTED_VALUE"""),"Nemerov  ")</f>
        <v>Nemerov  </v>
      </c>
      <c r="M234" s="64" t="str">
        <f>IFERROR(__xludf.DUMMYFUNCTION("""COMPUTED_VALUE"""),"4060")</f>
        <v>4060</v>
      </c>
      <c r="N234" s="61"/>
      <c r="O234" s="61" t="b">
        <f>COUNTIF('Delivered Rentals'!A:A, B234) &gt; 0</f>
        <v>1</v>
      </c>
      <c r="P234" s="101" t="str">
        <f>IFERROR(__xludf.DUMMYFUNCTION("""COMPUTED_VALUE""")," ")</f>
        <v> </v>
      </c>
    </row>
    <row r="235">
      <c r="A235" s="102" t="str">
        <f>IFERROR(__xludf.DUMMYFUNCTION("""COMPUTED_VALUE"""),"https://utrucking.com/admin/orders/5917734895804")</f>
        <v>https://utrucking.com/admin/orders/5917734895804</v>
      </c>
      <c r="B235" s="65" t="str">
        <f>IFERROR(__xludf.DUMMYFUNCTION("""COMPUTED_VALUE"""),"#15765")</f>
        <v>#15765</v>
      </c>
      <c r="C235" s="65" t="str">
        <f>IFERROR(__xludf.DUMMYFUNCTION("""COMPUTED_VALUE"""),"alexmarthasvineyard@gmail.com")</f>
        <v>alexmarthasvineyard@gmail.com</v>
      </c>
      <c r="D235" s="65">
        <f>IFERROR(__xludf.DUMMYFUNCTION("""COMPUTED_VALUE"""),8.573485115E9)</f>
        <v>8573485115</v>
      </c>
      <c r="E235" s="65" t="str">
        <f>IFERROR(__xludf.DUMMYFUNCTION("""COMPUTED_VALUE"""),"Megan Weeks")</f>
        <v>Megan Weeks</v>
      </c>
      <c r="F235" s="65"/>
      <c r="G235" s="65"/>
      <c r="H235" s="65" t="str">
        <f>IFERROR(__xludf.DUMMYFUNCTION("""COMPUTED_VALUE"""),"Appliance Rental")</f>
        <v>Appliance Rental</v>
      </c>
      <c r="I235" s="65" t="str">
        <f>IFERROR(__xludf.DUMMYFUNCTION("""COMPUTED_VALUE""")," Double-Door Mini Fridge   -  - ")</f>
        <v> Double-Door Mini Fridge   -  - </v>
      </c>
      <c r="J235" s="65">
        <f>IFERROR(__xludf.DUMMYFUNCTION("""COMPUTED_VALUE"""),145.0)</f>
        <v>145</v>
      </c>
      <c r="K235" s="103">
        <f>IFERROR(__xludf.DUMMYFUNCTION("""COMPUTED_VALUE"""),45883.0)</f>
        <v>45883</v>
      </c>
      <c r="L235" s="65" t="str">
        <f>IFERROR(__xludf.DUMMYFUNCTION("""COMPUTED_VALUE"""),"Nemerov  ")</f>
        <v>Nemerov  </v>
      </c>
      <c r="M235" s="68" t="str">
        <f>IFERROR(__xludf.DUMMYFUNCTION("""COMPUTED_VALUE"""),"3051")</f>
        <v>3051</v>
      </c>
      <c r="N235" s="65"/>
      <c r="O235" s="65" t="b">
        <f>COUNTIF('Delivered Rentals'!A:A, B235) &gt; 0</f>
        <v>1</v>
      </c>
      <c r="P235" s="104" t="str">
        <f>IFERROR(__xludf.DUMMYFUNCTION("""COMPUTED_VALUE""")," ")</f>
        <v> </v>
      </c>
    </row>
    <row r="236">
      <c r="A236" s="99" t="str">
        <f>IFERROR(__xludf.DUMMYFUNCTION("""COMPUTED_VALUE"""),"https://utrucking.com/admin/orders/5917899358396")</f>
        <v>https://utrucking.com/admin/orders/5917899358396</v>
      </c>
      <c r="B236" s="61" t="str">
        <f>IFERROR(__xludf.DUMMYFUNCTION("""COMPUTED_VALUE"""),"#15770")</f>
        <v>#15770</v>
      </c>
      <c r="C236" s="61" t="str">
        <f>IFERROR(__xludf.DUMMYFUNCTION("""COMPUTED_VALUE"""),"marnie0609@yahoo.com")</f>
        <v>marnie0609@yahoo.com</v>
      </c>
      <c r="D236" s="61">
        <f>IFERROR(__xludf.DUMMYFUNCTION("""COMPUTED_VALUE"""),2.018918822E9)</f>
        <v>2018918822</v>
      </c>
      <c r="E236" s="61" t="str">
        <f>IFERROR(__xludf.DUMMYFUNCTION("""COMPUTED_VALUE"""),"Marnie Rukin")</f>
        <v>Marnie Rukin</v>
      </c>
      <c r="F236" s="61"/>
      <c r="G236" s="61"/>
      <c r="H236" s="61" t="str">
        <f>IFERROR(__xludf.DUMMYFUNCTION("""COMPUTED_VALUE"""),"Appliance Rental")</f>
        <v>Appliance Rental</v>
      </c>
      <c r="I236" s="61" t="str">
        <f>IFERROR(__xludf.DUMMYFUNCTION("""COMPUTED_VALUE""")," Microwave Only   -  - ")</f>
        <v> Microwave Only   -  - </v>
      </c>
      <c r="J236" s="61">
        <f>IFERROR(__xludf.DUMMYFUNCTION("""COMPUTED_VALUE"""),65.0)</f>
        <v>65</v>
      </c>
      <c r="K236" s="100">
        <f>IFERROR(__xludf.DUMMYFUNCTION("""COMPUTED_VALUE"""),45883.0)</f>
        <v>45883</v>
      </c>
      <c r="L236" s="61" t="str">
        <f>IFERROR(__xludf.DUMMYFUNCTION("""COMPUTED_VALUE"""),"Umrath  ")</f>
        <v>Umrath  </v>
      </c>
      <c r="M236" s="64" t="str">
        <f>IFERROR(__xludf.DUMMYFUNCTION("""COMPUTED_VALUE"""),"2240")</f>
        <v>2240</v>
      </c>
      <c r="N236" s="61"/>
      <c r="O236" s="61" t="b">
        <f>COUNTIF('Delivered Rentals'!A:A, B236) &gt; 0</f>
        <v>1</v>
      </c>
      <c r="P236" s="101" t="str">
        <f>IFERROR(__xludf.DUMMYFUNCTION("""COMPUTED_VALUE""")," ")</f>
        <v> </v>
      </c>
    </row>
    <row r="237">
      <c r="A237" s="102" t="str">
        <f>IFERROR(__xludf.DUMMYFUNCTION("""COMPUTED_VALUE"""),"https://utrucking.com/admin/orders/5917957750972")</f>
        <v>https://utrucking.com/admin/orders/5917957750972</v>
      </c>
      <c r="B237" s="65" t="str">
        <f>IFERROR(__xludf.DUMMYFUNCTION("""COMPUTED_VALUE"""),"#15773")</f>
        <v>#15773</v>
      </c>
      <c r="C237" s="65" t="str">
        <f>IFERROR(__xludf.DUMMYFUNCTION("""COMPUTED_VALUE"""),"a.k.jones@wustl.edu")</f>
        <v>a.k.jones@wustl.edu</v>
      </c>
      <c r="D237" s="65">
        <f>IFERROR(__xludf.DUMMYFUNCTION("""COMPUTED_VALUE"""),4.172966047E9)</f>
        <v>4172966047</v>
      </c>
      <c r="E237" s="65" t="str">
        <f>IFERROR(__xludf.DUMMYFUNCTION("""COMPUTED_VALUE"""),"Anastasia Jones")</f>
        <v>Anastasia Jones</v>
      </c>
      <c r="F237" s="65"/>
      <c r="G237" s="65"/>
      <c r="H237" s="65" t="str">
        <f>IFERROR(__xludf.DUMMYFUNCTION("""COMPUTED_VALUE"""),"Appliance Rental")</f>
        <v>Appliance Rental</v>
      </c>
      <c r="I237" s="65" t="str">
        <f>IFERROR(__xludf.DUMMYFUNCTION("""COMPUTED_VALUE""")," Double-Door Mini Fridge   -  - ")</f>
        <v> Double-Door Mini Fridge   -  - </v>
      </c>
      <c r="J237" s="65">
        <f>IFERROR(__xludf.DUMMYFUNCTION("""COMPUTED_VALUE"""),145.0)</f>
        <v>145</v>
      </c>
      <c r="K237" s="103">
        <f>IFERROR(__xludf.DUMMYFUNCTION("""COMPUTED_VALUE"""),45883.0)</f>
        <v>45883</v>
      </c>
      <c r="L237" s="65" t="str">
        <f>IFERROR(__xludf.DUMMYFUNCTION("""COMPUTED_VALUE"""),"Danforth  ")</f>
        <v>Danforth  </v>
      </c>
      <c r="M237" s="68" t="str">
        <f>IFERROR(__xludf.DUMMYFUNCTION("""COMPUTED_VALUE"""),"2224-a")</f>
        <v>2224-a</v>
      </c>
      <c r="N237" s="65"/>
      <c r="O237" s="65" t="b">
        <f>COUNTIF('Delivered Rentals'!A:A, B237) &gt; 0</f>
        <v>1</v>
      </c>
      <c r="P237" s="104" t="str">
        <f>IFERROR(__xludf.DUMMYFUNCTION("""COMPUTED_VALUE""")," ")</f>
        <v> </v>
      </c>
    </row>
    <row r="238">
      <c r="A238" s="99" t="str">
        <f>IFERROR(__xludf.DUMMYFUNCTION("""COMPUTED_VALUE"""),"https://utrucking.com/admin/orders/5918383702204")</f>
        <v>https://utrucking.com/admin/orders/5918383702204</v>
      </c>
      <c r="B238" s="61" t="str">
        <f>IFERROR(__xludf.DUMMYFUNCTION("""COMPUTED_VALUE"""),"#15776")</f>
        <v>#15776</v>
      </c>
      <c r="C238" s="61"/>
      <c r="D238" s="61">
        <f>IFERROR(__xludf.DUMMYFUNCTION("""COMPUTED_VALUE"""),9.173921714E9)</f>
        <v>9173921714</v>
      </c>
      <c r="E238" s="61" t="str">
        <f>IFERROR(__xludf.DUMMYFUNCTION("""COMPUTED_VALUE"""),"Anisa Basler")</f>
        <v>Anisa Basler</v>
      </c>
      <c r="F238" s="61"/>
      <c r="G238" s="61"/>
      <c r="H238" s="61" t="str">
        <f>IFERROR(__xludf.DUMMYFUNCTION("""COMPUTED_VALUE"""),"Appliance Rental")</f>
        <v>Appliance Rental</v>
      </c>
      <c r="I238" s="61" t="str">
        <f>IFERROR(__xludf.DUMMYFUNCTION("""COMPUTED_VALUE""")," Standard Mini Fridge   -  - ")</f>
        <v> Standard Mini Fridge   -  - </v>
      </c>
      <c r="J238" s="61">
        <f>IFERROR(__xludf.DUMMYFUNCTION("""COMPUTED_VALUE"""),115.0)</f>
        <v>115</v>
      </c>
      <c r="K238" s="100">
        <f>IFERROR(__xludf.DUMMYFUNCTION("""COMPUTED_VALUE"""),45878.0)</f>
        <v>45878</v>
      </c>
      <c r="L238" s="61" t="str">
        <f>IFERROR(__xludf.DUMMYFUNCTION("""COMPUTED_VALUE"""),"Nemerov  ")</f>
        <v>Nemerov  </v>
      </c>
      <c r="M238" s="64" t="str">
        <f>IFERROR(__xludf.DUMMYFUNCTION("""COMPUTED_VALUE"""),"2041")</f>
        <v>2041</v>
      </c>
      <c r="N238" s="61"/>
      <c r="O238" s="61" t="b">
        <f>COUNTIF('Delivered Rentals'!A:A, B238) &gt; 0</f>
        <v>1</v>
      </c>
      <c r="P238" s="101" t="str">
        <f>IFERROR(__xludf.DUMMYFUNCTION("""COMPUTED_VALUE""")," ")</f>
        <v> </v>
      </c>
    </row>
    <row r="239">
      <c r="A239" s="102" t="str">
        <f>IFERROR(__xludf.DUMMYFUNCTION("""COMPUTED_VALUE"""),"https://utrucking.com/admin/orders/5918543937724")</f>
        <v>https://utrucking.com/admin/orders/5918543937724</v>
      </c>
      <c r="B239" s="65" t="str">
        <f>IFERROR(__xludf.DUMMYFUNCTION("""COMPUTED_VALUE"""),"#15779")</f>
        <v>#15779</v>
      </c>
      <c r="C239" s="65" t="str">
        <f>IFERROR(__xludf.DUMMYFUNCTION("""COMPUTED_VALUE"""),"a.eadala@wustl.edu")</f>
        <v>a.eadala@wustl.edu</v>
      </c>
      <c r="D239" s="65">
        <f>IFERROR(__xludf.DUMMYFUNCTION("""COMPUTED_VALUE"""),7.194219044E9)</f>
        <v>7194219044</v>
      </c>
      <c r="E239" s="65" t="str">
        <f>IFERROR(__xludf.DUMMYFUNCTION("""COMPUTED_VALUE"""),"Adhista Eadala")</f>
        <v>Adhista Eadala</v>
      </c>
      <c r="F239" s="65"/>
      <c r="G239" s="65"/>
      <c r="H239" s="65" t="str">
        <f>IFERROR(__xludf.DUMMYFUNCTION("""COMPUTED_VALUE"""),"Appliance Rental")</f>
        <v>Appliance Rental</v>
      </c>
      <c r="I239" s="65" t="str">
        <f>IFERROR(__xludf.DUMMYFUNCTION("""COMPUTED_VALUE""")," Double-Door Mini Fridge   -  - ")</f>
        <v> Double-Door Mini Fridge   -  - </v>
      </c>
      <c r="J239" s="65">
        <f>IFERROR(__xludf.DUMMYFUNCTION("""COMPUTED_VALUE"""),145.0)</f>
        <v>145</v>
      </c>
      <c r="K239" s="103">
        <f>IFERROR(__xludf.DUMMYFUNCTION("""COMPUTED_VALUE"""),45883.0)</f>
        <v>45883</v>
      </c>
      <c r="L239" s="65" t="str">
        <f>IFERROR(__xludf.DUMMYFUNCTION("""COMPUTED_VALUE"""),"Mudd  ")</f>
        <v>Mudd  </v>
      </c>
      <c r="M239" s="68" t="str">
        <f>IFERROR(__xludf.DUMMYFUNCTION("""COMPUTED_VALUE"""),"431")</f>
        <v>431</v>
      </c>
      <c r="N239" s="65"/>
      <c r="O239" s="65" t="b">
        <f>COUNTIF('Delivered Rentals'!A:A, B239) &gt; 0</f>
        <v>1</v>
      </c>
      <c r="P239" s="104" t="str">
        <f>IFERROR(__xludf.DUMMYFUNCTION("""COMPUTED_VALUE""")," ")</f>
        <v> </v>
      </c>
    </row>
    <row r="240">
      <c r="A240" s="99" t="str">
        <f>IFERROR(__xludf.DUMMYFUNCTION("""COMPUTED_VALUE"""),"https://utrucking.com/admin/orders/5918668325052")</f>
        <v>https://utrucking.com/admin/orders/5918668325052</v>
      </c>
      <c r="B240" s="61" t="str">
        <f>IFERROR(__xludf.DUMMYFUNCTION("""COMPUTED_VALUE"""),"#15780")</f>
        <v>#15780</v>
      </c>
      <c r="C240" s="61" t="str">
        <f>IFERROR(__xludf.DUMMYFUNCTION("""COMPUTED_VALUE"""),"mmq771@msn.com")</f>
        <v>mmq771@msn.com</v>
      </c>
      <c r="D240" s="61">
        <f>IFERROR(__xludf.DUMMYFUNCTION("""COMPUTED_VALUE"""),1.5167815282E10)</f>
        <v>15167815282</v>
      </c>
      <c r="E240" s="61" t="str">
        <f>IFERROR(__xludf.DUMMYFUNCTION("""COMPUTED_VALUE"""),"Maritza Tuohy")</f>
        <v>Maritza Tuohy</v>
      </c>
      <c r="F240" s="61"/>
      <c r="G240" s="61"/>
      <c r="H240" s="61" t="str">
        <f>IFERROR(__xludf.DUMMYFUNCTION("""COMPUTED_VALUE"""),"Appliance Rental")</f>
        <v>Appliance Rental</v>
      </c>
      <c r="I240" s="61" t="str">
        <f>IFERROR(__xludf.DUMMYFUNCTION("""COMPUTED_VALUE""")," Standard Mini Fridge   -  - ")</f>
        <v> Standard Mini Fridge   -  - </v>
      </c>
      <c r="J240" s="61">
        <f>IFERROR(__xludf.DUMMYFUNCTION("""COMPUTED_VALUE"""),115.0)</f>
        <v>115</v>
      </c>
      <c r="K240" s="100">
        <f>IFERROR(__xludf.DUMMYFUNCTION("""COMPUTED_VALUE"""),45875.0)</f>
        <v>45875</v>
      </c>
      <c r="L240" s="61" t="str">
        <f>IFERROR(__xludf.DUMMYFUNCTION("""COMPUTED_VALUE"""),"Gregg  ")</f>
        <v>Gregg  </v>
      </c>
      <c r="M240" s="64" t="str">
        <f>IFERROR(__xludf.DUMMYFUNCTION("""COMPUTED_VALUE"""),"2171")</f>
        <v>2171</v>
      </c>
      <c r="N240" s="61"/>
      <c r="O240" s="61" t="b">
        <f>COUNTIF('Delivered Rentals'!A:A, B240) &gt; 0</f>
        <v>1</v>
      </c>
      <c r="P240" s="101" t="str">
        <f>IFERROR(__xludf.DUMMYFUNCTION("""COMPUTED_VALUE""")," ")</f>
        <v> </v>
      </c>
    </row>
    <row r="241">
      <c r="A241" s="102" t="str">
        <f>IFERROR(__xludf.DUMMYFUNCTION("""COMPUTED_VALUE"""),"https://utrucking.com/admin/orders/5919028281532")</f>
        <v>https://utrucking.com/admin/orders/5919028281532</v>
      </c>
      <c r="B241" s="65" t="str">
        <f>IFERROR(__xludf.DUMMYFUNCTION("""COMPUTED_VALUE"""),"#15790")</f>
        <v>#15790</v>
      </c>
      <c r="C241" s="65"/>
      <c r="D241" s="65">
        <f>IFERROR(__xludf.DUMMYFUNCTION("""COMPUTED_VALUE"""),7.853935935E9)</f>
        <v>7853935935</v>
      </c>
      <c r="E241" s="65" t="str">
        <f>IFERROR(__xludf.DUMMYFUNCTION("""COMPUTED_VALUE"""),"Jeff Kennedy")</f>
        <v>Jeff Kennedy</v>
      </c>
      <c r="F241" s="65"/>
      <c r="G241" s="65"/>
      <c r="H241" s="65" t="str">
        <f>IFERROR(__xludf.DUMMYFUNCTION("""COMPUTED_VALUE"""),"Appliance Rental")</f>
        <v>Appliance Rental</v>
      </c>
      <c r="I241" s="65" t="str">
        <f>IFERROR(__xludf.DUMMYFUNCTION("""COMPUTED_VALUE""")," Double-Door Mini Fridge + Microwave   -  - ")</f>
        <v> Double-Door Mini Fridge + Microwave   -  - </v>
      </c>
      <c r="J241" s="65">
        <f>IFERROR(__xludf.DUMMYFUNCTION("""COMPUTED_VALUE"""),210.0)</f>
        <v>210</v>
      </c>
      <c r="K241" s="103">
        <f>IFERROR(__xludf.DUMMYFUNCTION("""COMPUTED_VALUE"""),45883.0)</f>
        <v>45883</v>
      </c>
      <c r="L241" s="65" t="str">
        <f>IFERROR(__xludf.DUMMYFUNCTION("""COMPUTED_VALUE"""),"Dardick  ")</f>
        <v>Dardick  </v>
      </c>
      <c r="M241" s="68" t="str">
        <f>IFERROR(__xludf.DUMMYFUNCTION("""COMPUTED_VALUE"""),"2227")</f>
        <v>2227</v>
      </c>
      <c r="N241" s="65"/>
      <c r="O241" s="65" t="b">
        <f>COUNTIF('Delivered Rentals'!A:A, B241) &gt; 0</f>
        <v>1</v>
      </c>
      <c r="P241" s="104" t="str">
        <f>IFERROR(__xludf.DUMMYFUNCTION("""COMPUTED_VALUE""")," ")</f>
        <v> </v>
      </c>
    </row>
    <row r="242">
      <c r="A242" s="99" t="str">
        <f>IFERROR(__xludf.DUMMYFUNCTION("""COMPUTED_VALUE"""),"https://utrucking.com/admin/orders/5919285477564")</f>
        <v>https://utrucking.com/admin/orders/5919285477564</v>
      </c>
      <c r="B242" s="61" t="str">
        <f>IFERROR(__xludf.DUMMYFUNCTION("""COMPUTED_VALUE"""),"#15793")</f>
        <v>#15793</v>
      </c>
      <c r="C242" s="61" t="str">
        <f>IFERROR(__xludf.DUMMYFUNCTION("""COMPUTED_VALUE"""),"danacohn8@gmail.com")</f>
        <v>danacohn8@gmail.com</v>
      </c>
      <c r="D242" s="61">
        <f>IFERROR(__xludf.DUMMYFUNCTION("""COMPUTED_VALUE"""),4.042710909E9)</f>
        <v>4042710909</v>
      </c>
      <c r="E242" s="61" t="str">
        <f>IFERROR(__xludf.DUMMYFUNCTION("""COMPUTED_VALUE"""),"Amanda Cohn")</f>
        <v>Amanda Cohn</v>
      </c>
      <c r="F242" s="61"/>
      <c r="G242" s="61"/>
      <c r="H242" s="61" t="str">
        <f>IFERROR(__xludf.DUMMYFUNCTION("""COMPUTED_VALUE"""),"Appliance Rental")</f>
        <v>Appliance Rental</v>
      </c>
      <c r="I242" s="61" t="str">
        <f>IFERROR(__xludf.DUMMYFUNCTION("""COMPUTED_VALUE""")," Double-Door Mini Fridge   -  - ")</f>
        <v> Double-Door Mini Fridge   -  - </v>
      </c>
      <c r="J242" s="61">
        <f>IFERROR(__xludf.DUMMYFUNCTION("""COMPUTED_VALUE"""),145.0)</f>
        <v>145</v>
      </c>
      <c r="K242" s="100">
        <f>IFERROR(__xludf.DUMMYFUNCTION("""COMPUTED_VALUE"""),45883.0)</f>
        <v>45883</v>
      </c>
      <c r="L242" s="61" t="str">
        <f>IFERROR(__xludf.DUMMYFUNCTION("""COMPUTED_VALUE"""),"Lopata  ")</f>
        <v>Lopata  </v>
      </c>
      <c r="M242" s="64" t="str">
        <f>IFERROR(__xludf.DUMMYFUNCTION("""COMPUTED_VALUE"""),"3021-a")</f>
        <v>3021-a</v>
      </c>
      <c r="N242" s="61"/>
      <c r="O242" s="61" t="b">
        <f>COUNTIF('Delivered Rentals'!A:A, B242) &gt; 0</f>
        <v>1</v>
      </c>
      <c r="P242" s="101" t="str">
        <f>IFERROR(__xludf.DUMMYFUNCTION("""COMPUTED_VALUE""")," ")</f>
        <v> </v>
      </c>
    </row>
    <row r="243">
      <c r="A243" s="102" t="str">
        <f>IFERROR(__xludf.DUMMYFUNCTION("""COMPUTED_VALUE"""),"https://utrucking.com/admin/orders/5919321030844")</f>
        <v>https://utrucking.com/admin/orders/5919321030844</v>
      </c>
      <c r="B243" s="65" t="str">
        <f>IFERROR(__xludf.DUMMYFUNCTION("""COMPUTED_VALUE"""),"#15794")</f>
        <v>#15794</v>
      </c>
      <c r="C243" s="65" t="str">
        <f>IFERROR(__xludf.DUMMYFUNCTION("""COMPUTED_VALUE"""),"moret@wustl.edu")</f>
        <v>moret@wustl.edu</v>
      </c>
      <c r="D243" s="65">
        <f>IFERROR(__xludf.DUMMYFUNCTION("""COMPUTED_VALUE"""),7.039675663E9)</f>
        <v>7039675663</v>
      </c>
      <c r="E243" s="65" t="str">
        <f>IFERROR(__xludf.DUMMYFUNCTION("""COMPUTED_VALUE"""),"Scott Levine")</f>
        <v>Scott Levine</v>
      </c>
      <c r="F243" s="65"/>
      <c r="G243" s="65"/>
      <c r="H243" s="65" t="str">
        <f>IFERROR(__xludf.DUMMYFUNCTION("""COMPUTED_VALUE"""),"Appliance Rental")</f>
        <v>Appliance Rental</v>
      </c>
      <c r="I243" s="65" t="str">
        <f>IFERROR(__xludf.DUMMYFUNCTION("""COMPUTED_VALUE""")," Double-Door Mini Fridge + Microwave   -  - ")</f>
        <v> Double-Door Mini Fridge + Microwave   -  - </v>
      </c>
      <c r="J243" s="65">
        <f>IFERROR(__xludf.DUMMYFUNCTION("""COMPUTED_VALUE"""),210.0)</f>
        <v>210</v>
      </c>
      <c r="K243" s="103">
        <f>IFERROR(__xludf.DUMMYFUNCTION("""COMPUTED_VALUE"""),45883.0)</f>
        <v>45883</v>
      </c>
      <c r="L243" s="65" t="str">
        <f>IFERROR(__xludf.DUMMYFUNCTION("""COMPUTED_VALUE"""),"Nemerov  ")</f>
        <v>Nemerov  </v>
      </c>
      <c r="M243" s="68" t="str">
        <f>IFERROR(__xludf.DUMMYFUNCTION("""COMPUTED_VALUE"""),"3020")</f>
        <v>3020</v>
      </c>
      <c r="N243" s="65"/>
      <c r="O243" s="65" t="b">
        <f>COUNTIF('Delivered Rentals'!A:A, B243) &gt; 0</f>
        <v>1</v>
      </c>
      <c r="P243" s="104" t="str">
        <f>IFERROR(__xludf.DUMMYFUNCTION("""COMPUTED_VALUE""")," ")</f>
        <v> </v>
      </c>
    </row>
    <row r="244">
      <c r="A244" s="99" t="str">
        <f>IFERROR(__xludf.DUMMYFUNCTION("""COMPUTED_VALUE"""),"https://utrucking.com/admin/orders/5919334006972")</f>
        <v>https://utrucking.com/admin/orders/5919334006972</v>
      </c>
      <c r="B244" s="61" t="str">
        <f>IFERROR(__xludf.DUMMYFUNCTION("""COMPUTED_VALUE"""),"#15796")</f>
        <v>#15796</v>
      </c>
      <c r="C244" s="61" t="str">
        <f>IFERROR(__xludf.DUMMYFUNCTION("""COMPUTED_VALUE"""),"coyier@wustl.edu")</f>
        <v>coyier@wustl.edu</v>
      </c>
      <c r="D244" s="61">
        <f>IFERROR(__xludf.DUMMYFUNCTION("""COMPUTED_VALUE"""),3.102661941E9)</f>
        <v>3102661941</v>
      </c>
      <c r="E244" s="61" t="str">
        <f>IFERROR(__xludf.DUMMYFUNCTION("""COMPUTED_VALUE"""),"Angie Coyier")</f>
        <v>Angie Coyier</v>
      </c>
      <c r="F244" s="61"/>
      <c r="G244" s="61"/>
      <c r="H244" s="61" t="str">
        <f>IFERROR(__xludf.DUMMYFUNCTION("""COMPUTED_VALUE"""),"Appliance Rental")</f>
        <v>Appliance Rental</v>
      </c>
      <c r="I244" s="61" t="str">
        <f>IFERROR(__xludf.DUMMYFUNCTION("""COMPUTED_VALUE""")," Double-Door Mini Fridge + Microwave   -  - ")</f>
        <v> Double-Door Mini Fridge + Microwave   -  - </v>
      </c>
      <c r="J244" s="61">
        <f>IFERROR(__xludf.DUMMYFUNCTION("""COMPUTED_VALUE"""),210.0)</f>
        <v>210</v>
      </c>
      <c r="K244" s="100">
        <f>IFERROR(__xludf.DUMMYFUNCTION("""COMPUTED_VALUE"""),45883.0)</f>
        <v>45883</v>
      </c>
      <c r="L244" s="61" t="str">
        <f>IFERROR(__xludf.DUMMYFUNCTION("""COMPUTED_VALUE"""),"Hurd  ")</f>
        <v>Hurd  </v>
      </c>
      <c r="M244" s="64" t="str">
        <f>IFERROR(__xludf.DUMMYFUNCTION("""COMPUTED_VALUE"""),"414")</f>
        <v>414</v>
      </c>
      <c r="N244" s="61"/>
      <c r="O244" s="61" t="b">
        <f>COUNTIF('Delivered Rentals'!A:A, B244) &gt; 0</f>
        <v>1</v>
      </c>
      <c r="P244" s="101" t="str">
        <f>IFERROR(__xludf.DUMMYFUNCTION("""COMPUTED_VALUE""")," ")</f>
        <v> </v>
      </c>
    </row>
    <row r="245">
      <c r="A245" s="102" t="str">
        <f>IFERROR(__xludf.DUMMYFUNCTION("""COMPUTED_VALUE"""),"https://utrucking.com/admin/orders/5919444533436")</f>
        <v>https://utrucking.com/admin/orders/5919444533436</v>
      </c>
      <c r="B245" s="65" t="str">
        <f>IFERROR(__xludf.DUMMYFUNCTION("""COMPUTED_VALUE"""),"#15799")</f>
        <v>#15799</v>
      </c>
      <c r="C245" s="65" t="str">
        <f>IFERROR(__xludf.DUMMYFUNCTION("""COMPUTED_VALUE"""),"amy_b_ross@hotmail.com")</f>
        <v>amy_b_ross@hotmail.com</v>
      </c>
      <c r="D245" s="65">
        <f>IFERROR(__xludf.DUMMYFUNCTION("""COMPUTED_VALUE"""),5.083410848E9)</f>
        <v>5083410848</v>
      </c>
      <c r="E245" s="65" t="str">
        <f>IFERROR(__xludf.DUMMYFUNCTION("""COMPUTED_VALUE"""),"Amy Ross")</f>
        <v>Amy Ross</v>
      </c>
      <c r="F245" s="65"/>
      <c r="G245" s="65"/>
      <c r="H245" s="65" t="str">
        <f>IFERROR(__xludf.DUMMYFUNCTION("""COMPUTED_VALUE"""),"Appliance Rental")</f>
        <v>Appliance Rental</v>
      </c>
      <c r="I245" s="65" t="str">
        <f>IFERROR(__xludf.DUMMYFUNCTION("""COMPUTED_VALUE""")," Double-Door Mini Fridge   -  - ")</f>
        <v> Double-Door Mini Fridge   -  - </v>
      </c>
      <c r="J245" s="65">
        <f>IFERROR(__xludf.DUMMYFUNCTION("""COMPUTED_VALUE"""),145.0)</f>
        <v>145</v>
      </c>
      <c r="K245" s="103">
        <f>IFERROR(__xludf.DUMMYFUNCTION("""COMPUTED_VALUE"""),45888.0)</f>
        <v>45888</v>
      </c>
      <c r="L245" s="65" t="str">
        <f>IFERROR(__xludf.DUMMYFUNCTION("""COMPUTED_VALUE"""),"House 4 (Theta Xi)  ")</f>
        <v>House 4 (Theta Xi)  </v>
      </c>
      <c r="M245" s="68" t="str">
        <f>IFERROR(__xludf.DUMMYFUNCTION("""COMPUTED_VALUE"""),"306")</f>
        <v>306</v>
      </c>
      <c r="N245" s="65"/>
      <c r="O245" s="65" t="b">
        <f>COUNTIF('Delivered Rentals'!A:A, B245) &gt; 0</f>
        <v>1</v>
      </c>
      <c r="P245" s="104" t="str">
        <f>IFERROR(__xludf.DUMMYFUNCTION("""COMPUTED_VALUE""")," ")</f>
        <v> </v>
      </c>
    </row>
    <row r="246">
      <c r="A246" s="99" t="str">
        <f>IFERROR(__xludf.DUMMYFUNCTION("""COMPUTED_VALUE"""),"https://utrucking.com/admin/orders/5919454396604")</f>
        <v>https://utrucking.com/admin/orders/5919454396604</v>
      </c>
      <c r="B246" s="61" t="str">
        <f>IFERROR(__xludf.DUMMYFUNCTION("""COMPUTED_VALUE"""),"#15800")</f>
        <v>#15800</v>
      </c>
      <c r="C246" s="61" t="str">
        <f>IFERROR(__xludf.DUMMYFUNCTION("""COMPUTED_VALUE"""),"d.tea@wustl.edu")</f>
        <v>d.tea@wustl.edu</v>
      </c>
      <c r="D246" s="61">
        <f>IFERROR(__xludf.DUMMYFUNCTION("""COMPUTED_VALUE"""),2.124959692E9)</f>
        <v>2124959692</v>
      </c>
      <c r="E246" s="61" t="str">
        <f>IFERROR(__xludf.DUMMYFUNCTION("""COMPUTED_VALUE"""),"Daniela Peneva")</f>
        <v>Daniela Peneva</v>
      </c>
      <c r="F246" s="61"/>
      <c r="G246" s="61"/>
      <c r="H246" s="61" t="str">
        <f>IFERROR(__xludf.DUMMYFUNCTION("""COMPUTED_VALUE"""),"Appliance Rental")</f>
        <v>Appliance Rental</v>
      </c>
      <c r="I246" s="61" t="str">
        <f>IFERROR(__xludf.DUMMYFUNCTION("""COMPUTED_VALUE""")," Double-Door Mini Fridge   -  - ")</f>
        <v> Double-Door Mini Fridge   -  - </v>
      </c>
      <c r="J246" s="61">
        <f>IFERROR(__xludf.DUMMYFUNCTION("""COMPUTED_VALUE"""),145.0)</f>
        <v>145</v>
      </c>
      <c r="K246" s="100">
        <f>IFERROR(__xludf.DUMMYFUNCTION("""COMPUTED_VALUE"""),45883.0)</f>
        <v>45883</v>
      </c>
      <c r="L246" s="61" t="str">
        <f>IFERROR(__xludf.DUMMYFUNCTION("""COMPUTED_VALUE"""),"Shepley  ")</f>
        <v>Shepley  </v>
      </c>
      <c r="M246" s="64" t="str">
        <f>IFERROR(__xludf.DUMMYFUNCTION("""COMPUTED_VALUE"""),"3001")</f>
        <v>3001</v>
      </c>
      <c r="N246" s="61"/>
      <c r="O246" s="61" t="b">
        <f>COUNTIF('Delivered Rentals'!A:A, B246) &gt; 0</f>
        <v>1</v>
      </c>
      <c r="P246" s="101" t="str">
        <f>IFERROR(__xludf.DUMMYFUNCTION("""COMPUTED_VALUE""")," ")</f>
        <v> </v>
      </c>
    </row>
    <row r="247">
      <c r="A247" s="102" t="str">
        <f>IFERROR(__xludf.DUMMYFUNCTION("""COMPUTED_VALUE"""),"https://utrucking.com/admin/orders/5919661588668")</f>
        <v>https://utrucking.com/admin/orders/5919661588668</v>
      </c>
      <c r="B247" s="65" t="str">
        <f>IFERROR(__xludf.DUMMYFUNCTION("""COMPUTED_VALUE"""),"#15805")</f>
        <v>#15805</v>
      </c>
      <c r="C247" s="65" t="str">
        <f>IFERROR(__xludf.DUMMYFUNCTION("""COMPUTED_VALUE"""),"Yunaima.Hernandez@gmail.com")</f>
        <v>Yunaima.Hernandez@gmail.com</v>
      </c>
      <c r="D247" s="65"/>
      <c r="E247" s="65" t="str">
        <f>IFERROR(__xludf.DUMMYFUNCTION("""COMPUTED_VALUE"""),"Yunaima Hernandez")</f>
        <v>Yunaima Hernandez</v>
      </c>
      <c r="F247" s="65"/>
      <c r="G247" s="65"/>
      <c r="H247" s="65" t="str">
        <f>IFERROR(__xludf.DUMMYFUNCTION("""COMPUTED_VALUE"""),"Appliance Rental")</f>
        <v>Appliance Rental</v>
      </c>
      <c r="I247" s="65" t="str">
        <f>IFERROR(__xludf.DUMMYFUNCTION("""COMPUTED_VALUE""")," Double-Door Mini Fridge + Microwave   -  - ")</f>
        <v> Double-Door Mini Fridge + Microwave   -  - </v>
      </c>
      <c r="J247" s="65">
        <f>IFERROR(__xludf.DUMMYFUNCTION("""COMPUTED_VALUE"""),210.0)</f>
        <v>210</v>
      </c>
      <c r="K247" s="103">
        <f>IFERROR(__xludf.DUMMYFUNCTION("""COMPUTED_VALUE"""),45883.0)</f>
        <v>45883</v>
      </c>
      <c r="L247" s="65" t="str">
        <f>IFERROR(__xludf.DUMMYFUNCTION("""COMPUTED_VALUE"""),"Lee  ")</f>
        <v>Lee  </v>
      </c>
      <c r="M247" s="68" t="str">
        <f>IFERROR(__xludf.DUMMYFUNCTION("""COMPUTED_VALUE"""),"122-B")</f>
        <v>122-B</v>
      </c>
      <c r="N247" s="65"/>
      <c r="O247" s="65" t="b">
        <f>COUNTIF('Delivered Rentals'!A:A, B247) &gt; 0</f>
        <v>1</v>
      </c>
      <c r="P247" s="104" t="str">
        <f>IFERROR(__xludf.DUMMYFUNCTION("""COMPUTED_VALUE""")," ")</f>
        <v> </v>
      </c>
    </row>
    <row r="248">
      <c r="A248" s="99" t="str">
        <f>IFERROR(__xludf.DUMMYFUNCTION("""COMPUTED_VALUE"""),"https://utrucking.com/admin/orders/5919673581756")</f>
        <v>https://utrucking.com/admin/orders/5919673581756</v>
      </c>
      <c r="B248" s="61" t="str">
        <f>IFERROR(__xludf.DUMMYFUNCTION("""COMPUTED_VALUE"""),"#15806")</f>
        <v>#15806</v>
      </c>
      <c r="C248" s="61" t="str">
        <f>IFERROR(__xludf.DUMMYFUNCTION("""COMPUTED_VALUE"""),"pnesterovsky@gmail.com")</f>
        <v>pnesterovsky@gmail.com</v>
      </c>
      <c r="D248" s="61">
        <f>IFERROR(__xludf.DUMMYFUNCTION("""COMPUTED_VALUE"""),4.109633683E9)</f>
        <v>4109633683</v>
      </c>
      <c r="E248" s="61" t="str">
        <f>IFERROR(__xludf.DUMMYFUNCTION("""COMPUTED_VALUE"""),"Paul Nesterovsky")</f>
        <v>Paul Nesterovsky</v>
      </c>
      <c r="F248" s="61"/>
      <c r="G248" s="61"/>
      <c r="H248" s="61" t="str">
        <f>IFERROR(__xludf.DUMMYFUNCTION("""COMPUTED_VALUE"""),"Appliance Rental")</f>
        <v>Appliance Rental</v>
      </c>
      <c r="I248" s="61" t="str">
        <f>IFERROR(__xludf.DUMMYFUNCTION("""COMPUTED_VALUE""")," Double-Door Mini Fridge   -  - ")</f>
        <v> Double-Door Mini Fridge   -  - </v>
      </c>
      <c r="J248" s="61">
        <f>IFERROR(__xludf.DUMMYFUNCTION("""COMPUTED_VALUE"""),145.0)</f>
        <v>145</v>
      </c>
      <c r="K248" s="100">
        <f>IFERROR(__xludf.DUMMYFUNCTION("""COMPUTED_VALUE"""),45883.0)</f>
        <v>45883</v>
      </c>
      <c r="L248" s="61" t="str">
        <f>IFERROR(__xludf.DUMMYFUNCTION("""COMPUTED_VALUE"""),"Koenig  ")</f>
        <v>Koenig  </v>
      </c>
      <c r="M248" s="64" t="str">
        <f>IFERROR(__xludf.DUMMYFUNCTION("""COMPUTED_VALUE"""),"2216-A")</f>
        <v>2216-A</v>
      </c>
      <c r="N248" s="61"/>
      <c r="O248" s="61" t="b">
        <f>COUNTIF('Delivered Rentals'!A:A, B248) &gt; 0</f>
        <v>1</v>
      </c>
      <c r="P248" s="101" t="str">
        <f>IFERROR(__xludf.DUMMYFUNCTION("""COMPUTED_VALUE""")," ")</f>
        <v> </v>
      </c>
    </row>
    <row r="249">
      <c r="A249" s="102" t="str">
        <f>IFERROR(__xludf.DUMMYFUNCTION("""COMPUTED_VALUE"""),"https://utrucking.com/admin/orders/5919741542588")</f>
        <v>https://utrucking.com/admin/orders/5919741542588</v>
      </c>
      <c r="B249" s="65" t="str">
        <f>IFERROR(__xludf.DUMMYFUNCTION("""COMPUTED_VALUE"""),"#15809")</f>
        <v>#15809</v>
      </c>
      <c r="C249" s="65"/>
      <c r="D249" s="65">
        <f>IFERROR(__xludf.DUMMYFUNCTION("""COMPUTED_VALUE"""),2.165544334E9)</f>
        <v>2165544334</v>
      </c>
      <c r="E249" s="65" t="str">
        <f>IFERROR(__xludf.DUMMYFUNCTION("""COMPUTED_VALUE"""),"Elana Ben-Tor")</f>
        <v>Elana Ben-Tor</v>
      </c>
      <c r="F249" s="65"/>
      <c r="G249" s="65"/>
      <c r="H249" s="65" t="str">
        <f>IFERROR(__xludf.DUMMYFUNCTION("""COMPUTED_VALUE"""),"Appliance Rental")</f>
        <v>Appliance Rental</v>
      </c>
      <c r="I249" s="65" t="str">
        <f>IFERROR(__xludf.DUMMYFUNCTION("""COMPUTED_VALUE""")," Double-Door Mini Fridge   -  - ")</f>
        <v> Double-Door Mini Fridge   -  - </v>
      </c>
      <c r="J249" s="65">
        <f>IFERROR(__xludf.DUMMYFUNCTION("""COMPUTED_VALUE"""),145.0)</f>
        <v>145</v>
      </c>
      <c r="K249" s="103">
        <f>IFERROR(__xludf.DUMMYFUNCTION("""COMPUTED_VALUE"""),45883.0)</f>
        <v>45883</v>
      </c>
      <c r="L249" s="65" t="str">
        <f>IFERROR(__xludf.DUMMYFUNCTION("""COMPUTED_VALUE"""),"Lien  ")</f>
        <v>Lien  </v>
      </c>
      <c r="M249" s="68" t="str">
        <f>IFERROR(__xludf.DUMMYFUNCTION("""COMPUTED_VALUE"""),"2225")</f>
        <v>2225</v>
      </c>
      <c r="N249" s="65"/>
      <c r="O249" s="65" t="b">
        <f>COUNTIF('Delivered Rentals'!A:A, B249) &gt; 0</f>
        <v>1</v>
      </c>
      <c r="P249" s="104" t="str">
        <f>IFERROR(__xludf.DUMMYFUNCTION("""COMPUTED_VALUE""")," ")</f>
        <v> </v>
      </c>
    </row>
    <row r="250">
      <c r="A250" s="99" t="str">
        <f>IFERROR(__xludf.DUMMYFUNCTION("""COMPUTED_VALUE"""),"https://utrucking.com/admin/orders/5919784960188")</f>
        <v>https://utrucking.com/admin/orders/5919784960188</v>
      </c>
      <c r="B250" s="61" t="str">
        <f>IFERROR(__xludf.DUMMYFUNCTION("""COMPUTED_VALUE"""),"#15810")</f>
        <v>#15810</v>
      </c>
      <c r="C250" s="61"/>
      <c r="D250" s="61">
        <f>IFERROR(__xludf.DUMMYFUNCTION("""COMPUTED_VALUE"""),5.163805641E9)</f>
        <v>5163805641</v>
      </c>
      <c r="E250" s="61" t="str">
        <f>IFERROR(__xludf.DUMMYFUNCTION("""COMPUTED_VALUE"""),"Lee Saltzman")</f>
        <v>Lee Saltzman</v>
      </c>
      <c r="F250" s="61"/>
      <c r="G250" s="61"/>
      <c r="H250" s="61" t="str">
        <f>IFERROR(__xludf.DUMMYFUNCTION("""COMPUTED_VALUE"""),"Appliance Rental")</f>
        <v>Appliance Rental</v>
      </c>
      <c r="I250" s="61" t="str">
        <f>IFERROR(__xludf.DUMMYFUNCTION("""COMPUTED_VALUE""")," Double-Door Mini Fridge + Microwave   -  - ")</f>
        <v> Double-Door Mini Fridge + Microwave   -  - </v>
      </c>
      <c r="J250" s="61">
        <f>IFERROR(__xludf.DUMMYFUNCTION("""COMPUTED_VALUE"""),210.0)</f>
        <v>210</v>
      </c>
      <c r="K250" s="100">
        <f>IFERROR(__xludf.DUMMYFUNCTION("""COMPUTED_VALUE"""),45883.0)</f>
        <v>45883</v>
      </c>
      <c r="L250" s="61" t="str">
        <f>IFERROR(__xludf.DUMMYFUNCTION("""COMPUTED_VALUE"""),"Umrath  ")</f>
        <v>Umrath  </v>
      </c>
      <c r="M250" s="64" t="str">
        <f>IFERROR(__xludf.DUMMYFUNCTION("""COMPUTED_VALUE"""),"2203")</f>
        <v>2203</v>
      </c>
      <c r="N250" s="61"/>
      <c r="O250" s="61" t="b">
        <f>COUNTIF('Delivered Rentals'!A:A, B250) &gt; 0</f>
        <v>1</v>
      </c>
      <c r="P250" s="101" t="str">
        <f>IFERROR(__xludf.DUMMYFUNCTION("""COMPUTED_VALUE""")," ")</f>
        <v> </v>
      </c>
    </row>
    <row r="251">
      <c r="A251" s="102" t="str">
        <f>IFERROR(__xludf.DUMMYFUNCTION("""COMPUTED_VALUE"""),"https://utrucking.com/admin/orders/5919797117116")</f>
        <v>https://utrucking.com/admin/orders/5919797117116</v>
      </c>
      <c r="B251" s="65" t="str">
        <f>IFERROR(__xludf.DUMMYFUNCTION("""COMPUTED_VALUE"""),"#15811")</f>
        <v>#15811</v>
      </c>
      <c r="C251" s="65" t="str">
        <f>IFERROR(__xludf.DUMMYFUNCTION("""COMPUTED_VALUE"""),"erikhaggstrom123@gmail.com")</f>
        <v>erikhaggstrom123@gmail.com</v>
      </c>
      <c r="D251" s="65">
        <f>IFERROR(__xludf.DUMMYFUNCTION("""COMPUTED_VALUE"""),3.176506493E9)</f>
        <v>3176506493</v>
      </c>
      <c r="E251" s="65" t="str">
        <f>IFERROR(__xludf.DUMMYFUNCTION("""COMPUTED_VALUE"""),"Anita Haggstrom")</f>
        <v>Anita Haggstrom</v>
      </c>
      <c r="F251" s="65"/>
      <c r="G251" s="65"/>
      <c r="H251" s="65" t="str">
        <f>IFERROR(__xludf.DUMMYFUNCTION("""COMPUTED_VALUE"""),"Appliance Rental")</f>
        <v>Appliance Rental</v>
      </c>
      <c r="I251" s="65" t="str">
        <f>IFERROR(__xludf.DUMMYFUNCTION("""COMPUTED_VALUE""")," Standard Mini Fridge + Microwave   -  - ")</f>
        <v> Standard Mini Fridge + Microwave   -  - </v>
      </c>
      <c r="J251" s="65">
        <f>IFERROR(__xludf.DUMMYFUNCTION("""COMPUTED_VALUE"""),180.0)</f>
        <v>180</v>
      </c>
      <c r="K251" s="103">
        <f>IFERROR(__xludf.DUMMYFUNCTION("""COMPUTED_VALUE"""),45883.0)</f>
        <v>45883</v>
      </c>
      <c r="L251" s="65" t="str">
        <f>IFERROR(__xludf.DUMMYFUNCTION("""COMPUTED_VALUE"""),"Zetcher  ")</f>
        <v>Zetcher  </v>
      </c>
      <c r="M251" s="68" t="str">
        <f>IFERROR(__xludf.DUMMYFUNCTION("""COMPUTED_VALUE"""),"Zetcher House - 2032 - a")</f>
        <v>Zetcher House - 2032 - a</v>
      </c>
      <c r="N251" s="65"/>
      <c r="O251" s="65" t="b">
        <f>COUNTIF('Delivered Rentals'!A:A, B251) &gt; 0</f>
        <v>1</v>
      </c>
      <c r="P251" s="104" t="str">
        <f>IFERROR(__xludf.DUMMYFUNCTION("""COMPUTED_VALUE""")," ")</f>
        <v> </v>
      </c>
    </row>
    <row r="252">
      <c r="A252" s="99" t="str">
        <f>IFERROR(__xludf.DUMMYFUNCTION("""COMPUTED_VALUE"""),"https://utrucking.com/admin/orders/5919827067068")</f>
        <v>https://utrucking.com/admin/orders/5919827067068</v>
      </c>
      <c r="B252" s="61" t="str">
        <f>IFERROR(__xludf.DUMMYFUNCTION("""COMPUTED_VALUE"""),"#15814")</f>
        <v>#15814</v>
      </c>
      <c r="C252" s="61" t="str">
        <f>IFERROR(__xludf.DUMMYFUNCTION("""COMPUTED_VALUE"""),"olgaflomin@yahoo.com")</f>
        <v>olgaflomin@yahoo.com</v>
      </c>
      <c r="D252" s="61">
        <f>IFERROR(__xludf.DUMMYFUNCTION("""COMPUTED_VALUE"""),2.482316515E9)</f>
        <v>2482316515</v>
      </c>
      <c r="E252" s="61" t="str">
        <f>IFERROR(__xludf.DUMMYFUNCTION("""COMPUTED_VALUE"""),"olga swason")</f>
        <v>olga swason</v>
      </c>
      <c r="F252" s="61"/>
      <c r="G252" s="61"/>
      <c r="H252" s="61" t="str">
        <f>IFERROR(__xludf.DUMMYFUNCTION("""COMPUTED_VALUE"""),"Appliance Rental")</f>
        <v>Appliance Rental</v>
      </c>
      <c r="I252" s="61" t="str">
        <f>IFERROR(__xludf.DUMMYFUNCTION("""COMPUTED_VALUE""")," Double-Door Mini Fridge + Microwave   -  - ")</f>
        <v> Double-Door Mini Fridge + Microwave   -  - </v>
      </c>
      <c r="J252" s="61">
        <f>IFERROR(__xludf.DUMMYFUNCTION("""COMPUTED_VALUE"""),210.0)</f>
        <v>210</v>
      </c>
      <c r="K252" s="100">
        <f>IFERROR(__xludf.DUMMYFUNCTION("""COMPUTED_VALUE"""),45883.0)</f>
        <v>45883</v>
      </c>
      <c r="L252" s="61" t="str">
        <f>IFERROR(__xludf.DUMMYFUNCTION("""COMPUTED_VALUE"""),"Myers  ")</f>
        <v>Myers  </v>
      </c>
      <c r="M252" s="64" t="str">
        <f>IFERROR(__xludf.DUMMYFUNCTION("""COMPUTED_VALUE"""),"213-a")</f>
        <v>213-a</v>
      </c>
      <c r="N252" s="61"/>
      <c r="O252" s="61" t="b">
        <f>COUNTIF('Delivered Rentals'!A:A, B252) &gt; 0</f>
        <v>1</v>
      </c>
      <c r="P252" s="101" t="str">
        <f>IFERROR(__xludf.DUMMYFUNCTION("""COMPUTED_VALUE""")," ")</f>
        <v> </v>
      </c>
    </row>
    <row r="253">
      <c r="A253" s="102" t="str">
        <f>IFERROR(__xludf.DUMMYFUNCTION("""COMPUTED_VALUE"""),"https://utrucking.com/admin/orders/5919858819260")</f>
        <v>https://utrucking.com/admin/orders/5919858819260</v>
      </c>
      <c r="B253" s="65" t="str">
        <f>IFERROR(__xludf.DUMMYFUNCTION("""COMPUTED_VALUE"""),"#15816")</f>
        <v>#15816</v>
      </c>
      <c r="C253" s="65" t="str">
        <f>IFERROR(__xludf.DUMMYFUNCTION("""COMPUTED_VALUE"""),"morganicsj@gmail.com")</f>
        <v>morganicsj@gmail.com</v>
      </c>
      <c r="D253" s="65">
        <f>IFERROR(__xludf.DUMMYFUNCTION("""COMPUTED_VALUE"""),3.126079817E9)</f>
        <v>3126079817</v>
      </c>
      <c r="E253" s="65" t="str">
        <f>IFERROR(__xludf.DUMMYFUNCTION("""COMPUTED_VALUE"""),"Morgan Mueller")</f>
        <v>Morgan Mueller</v>
      </c>
      <c r="F253" s="65"/>
      <c r="G253" s="65"/>
      <c r="H253" s="65" t="str">
        <f>IFERROR(__xludf.DUMMYFUNCTION("""COMPUTED_VALUE"""),"Appliance Rental")</f>
        <v>Appliance Rental</v>
      </c>
      <c r="I253" s="65" t="str">
        <f>IFERROR(__xludf.DUMMYFUNCTION("""COMPUTED_VALUE""")," Double-Door Mini Fridge + Microwave   -  - ")</f>
        <v> Double-Door Mini Fridge + Microwave   -  - </v>
      </c>
      <c r="J253" s="65">
        <f>IFERROR(__xludf.DUMMYFUNCTION("""COMPUTED_VALUE"""),210.0)</f>
        <v>210</v>
      </c>
      <c r="K253" s="103">
        <f>IFERROR(__xludf.DUMMYFUNCTION("""COMPUTED_VALUE"""),45883.0)</f>
        <v>45883</v>
      </c>
      <c r="L253" s="65" t="str">
        <f>IFERROR(__xludf.DUMMYFUNCTION("""COMPUTED_VALUE"""),"Umrath  ")</f>
        <v>Umrath  </v>
      </c>
      <c r="M253" s="68" t="str">
        <f>IFERROR(__xludf.DUMMYFUNCTION("""COMPUTED_VALUE"""),"4411")</f>
        <v>4411</v>
      </c>
      <c r="N253" s="65"/>
      <c r="O253" s="65" t="b">
        <f>COUNTIF('Delivered Rentals'!A:A, B253) &gt; 0</f>
        <v>1</v>
      </c>
      <c r="P253" s="104" t="str">
        <f>IFERROR(__xludf.DUMMYFUNCTION("""COMPUTED_VALUE""")," ")</f>
        <v> </v>
      </c>
    </row>
    <row r="254">
      <c r="A254" s="99" t="str">
        <f>IFERROR(__xludf.DUMMYFUNCTION("""COMPUTED_VALUE"""),"https://utrucking.com/admin/orders/5919977734332")</f>
        <v>https://utrucking.com/admin/orders/5919977734332</v>
      </c>
      <c r="B254" s="61" t="str">
        <f>IFERROR(__xludf.DUMMYFUNCTION("""COMPUTED_VALUE"""),"#15820")</f>
        <v>#15820</v>
      </c>
      <c r="C254" s="61" t="str">
        <f>IFERROR(__xludf.DUMMYFUNCTION("""COMPUTED_VALUE"""),"coltea@wustl.edu")</f>
        <v>coltea@wustl.edu</v>
      </c>
      <c r="D254" s="61">
        <f>IFERROR(__xludf.DUMMYFUNCTION("""COMPUTED_VALUE"""),6.154953485E9)</f>
        <v>6154953485</v>
      </c>
      <c r="E254" s="61" t="str">
        <f>IFERROR(__xludf.DUMMYFUNCTION("""COMPUTED_VALUE"""),"Libby Coltea")</f>
        <v>Libby Coltea</v>
      </c>
      <c r="F254" s="61"/>
      <c r="G254" s="61"/>
      <c r="H254" s="61" t="str">
        <f>IFERROR(__xludf.DUMMYFUNCTION("""COMPUTED_VALUE"""),"Appliance Rental")</f>
        <v>Appliance Rental</v>
      </c>
      <c r="I254" s="61" t="str">
        <f>IFERROR(__xludf.DUMMYFUNCTION("""COMPUTED_VALUE""")," Microwave Only   -  - ")</f>
        <v> Microwave Only   -  - </v>
      </c>
      <c r="J254" s="61">
        <f>IFERROR(__xludf.DUMMYFUNCTION("""COMPUTED_VALUE"""),65.0)</f>
        <v>65</v>
      </c>
      <c r="K254" s="100">
        <f>IFERROR(__xludf.DUMMYFUNCTION("""COMPUTED_VALUE"""),45883.0)</f>
        <v>45883</v>
      </c>
      <c r="L254" s="61" t="str">
        <f>IFERROR(__xludf.DUMMYFUNCTION("""COMPUTED_VALUE"""),"Danforth  ")</f>
        <v>Danforth  </v>
      </c>
      <c r="M254" s="64" t="str">
        <f>IFERROR(__xludf.DUMMYFUNCTION("""COMPUTED_VALUE"""),"3327")</f>
        <v>3327</v>
      </c>
      <c r="N254" s="61"/>
      <c r="O254" s="61" t="b">
        <f>COUNTIF('Delivered Rentals'!A:A, B254) &gt; 0</f>
        <v>1</v>
      </c>
      <c r="P254" s="101" t="str">
        <f>IFERROR(__xludf.DUMMYFUNCTION("""COMPUTED_VALUE""")," ")</f>
        <v> </v>
      </c>
    </row>
    <row r="255">
      <c r="A255" s="102" t="str">
        <f>IFERROR(__xludf.DUMMYFUNCTION("""COMPUTED_VALUE"""),"https://utrucking.com/admin/orders/5920121061564")</f>
        <v>https://utrucking.com/admin/orders/5920121061564</v>
      </c>
      <c r="B255" s="65" t="str">
        <f>IFERROR(__xludf.DUMMYFUNCTION("""COMPUTED_VALUE"""),"#15823")</f>
        <v>#15823</v>
      </c>
      <c r="C255" s="65" t="str">
        <f>IFERROR(__xludf.DUMMYFUNCTION("""COMPUTED_VALUE"""),"schiang@hammertech.us")</f>
        <v>schiang@hammertech.us</v>
      </c>
      <c r="D255" s="65">
        <f>IFERROR(__xludf.DUMMYFUNCTION("""COMPUTED_VALUE"""),8.087819309E9)</f>
        <v>8087819309</v>
      </c>
      <c r="E255" s="65" t="str">
        <f>IFERROR(__xludf.DUMMYFUNCTION("""COMPUTED_VALUE"""),"steven chiang")</f>
        <v>steven chiang</v>
      </c>
      <c r="F255" s="65"/>
      <c r="G255" s="65"/>
      <c r="H255" s="65" t="str">
        <f>IFERROR(__xludf.DUMMYFUNCTION("""COMPUTED_VALUE"""),"Appliance Rental")</f>
        <v>Appliance Rental</v>
      </c>
      <c r="I255" s="65" t="str">
        <f>IFERROR(__xludf.DUMMYFUNCTION("""COMPUTED_VALUE""")," Double-Door Mini Fridge + Microwave   -  - ")</f>
        <v> Double-Door Mini Fridge + Microwave   -  - </v>
      </c>
      <c r="J255" s="65">
        <f>IFERROR(__xludf.DUMMYFUNCTION("""COMPUTED_VALUE"""),210.0)</f>
        <v>210</v>
      </c>
      <c r="K255" s="103">
        <f>IFERROR(__xludf.DUMMYFUNCTION("""COMPUTED_VALUE"""),45883.0)</f>
        <v>45883</v>
      </c>
      <c r="L255" s="65" t="str">
        <f>IFERROR(__xludf.DUMMYFUNCTION("""COMPUTED_VALUE"""),"Lee  ")</f>
        <v>Lee  </v>
      </c>
      <c r="M255" s="68" t="str">
        <f>IFERROR(__xludf.DUMMYFUNCTION("""COMPUTED_VALUE"""),"323-A")</f>
        <v>323-A</v>
      </c>
      <c r="N255" s="65"/>
      <c r="O255" s="65" t="b">
        <f>COUNTIF('Delivered Rentals'!A:A, B255) &gt; 0</f>
        <v>1</v>
      </c>
      <c r="P255" s="104" t="str">
        <f>IFERROR(__xludf.DUMMYFUNCTION("""COMPUTED_VALUE""")," ")</f>
        <v> </v>
      </c>
    </row>
    <row r="256">
      <c r="A256" s="99" t="str">
        <f>IFERROR(__xludf.DUMMYFUNCTION("""COMPUTED_VALUE"""),"https://utrucking.com/admin/orders/5920223396028")</f>
        <v>https://utrucking.com/admin/orders/5920223396028</v>
      </c>
      <c r="B256" s="61" t="str">
        <f>IFERROR(__xludf.DUMMYFUNCTION("""COMPUTED_VALUE"""),"#15824")</f>
        <v>#15824</v>
      </c>
      <c r="C256" s="61" t="str">
        <f>IFERROR(__xludf.DUMMYFUNCTION("""COMPUTED_VALUE"""),"mehtasoha181206@gmail.com")</f>
        <v>mehtasoha181206@gmail.com</v>
      </c>
      <c r="D256" s="61">
        <f>IFERROR(__xludf.DUMMYFUNCTION("""COMPUTED_VALUE"""),9.174977765E9)</f>
        <v>9174977765</v>
      </c>
      <c r="E256" s="61" t="str">
        <f>IFERROR(__xludf.DUMMYFUNCTION("""COMPUTED_VALUE"""),"Sara Mehta")</f>
        <v>Sara Mehta</v>
      </c>
      <c r="F256" s="61"/>
      <c r="G256" s="61"/>
      <c r="H256" s="61" t="str">
        <f>IFERROR(__xludf.DUMMYFUNCTION("""COMPUTED_VALUE"""),"Appliance Rental")</f>
        <v>Appliance Rental</v>
      </c>
      <c r="I256" s="61" t="str">
        <f>IFERROR(__xludf.DUMMYFUNCTION("""COMPUTED_VALUE""")," Double-Door Mini Fridge   -  - ")</f>
        <v> Double-Door Mini Fridge   -  - </v>
      </c>
      <c r="J256" s="61">
        <f>IFERROR(__xludf.DUMMYFUNCTION("""COMPUTED_VALUE"""),145.0)</f>
        <v>145</v>
      </c>
      <c r="K256" s="100">
        <f>IFERROR(__xludf.DUMMYFUNCTION("""COMPUTED_VALUE"""),45881.0)</f>
        <v>45881</v>
      </c>
      <c r="L256" s="61" t="str">
        <f>IFERROR(__xludf.DUMMYFUNCTION("""COMPUTED_VALUE"""),"Park  ")</f>
        <v>Park  </v>
      </c>
      <c r="M256" s="64" t="str">
        <f>IFERROR(__xludf.DUMMYFUNCTION("""COMPUTED_VALUE"""),"462")</f>
        <v>462</v>
      </c>
      <c r="N256" s="61"/>
      <c r="O256" s="61" t="b">
        <f>COUNTIF('Delivered Rentals'!A:A, B256) &gt; 0</f>
        <v>1</v>
      </c>
      <c r="P256" s="101" t="str">
        <f>IFERROR(__xludf.DUMMYFUNCTION("""COMPUTED_VALUE""")," ")</f>
        <v> </v>
      </c>
    </row>
    <row r="257">
      <c r="A257" s="102" t="str">
        <f>IFERROR(__xludf.DUMMYFUNCTION("""COMPUTED_VALUE"""),"https://utrucking.com/admin/orders/5920336150716")</f>
        <v>https://utrucking.com/admin/orders/5920336150716</v>
      </c>
      <c r="B257" s="65" t="str">
        <f>IFERROR(__xludf.DUMMYFUNCTION("""COMPUTED_VALUE"""),"#15829")</f>
        <v>#15829</v>
      </c>
      <c r="C257" s="65"/>
      <c r="D257" s="65">
        <f>IFERROR(__xludf.DUMMYFUNCTION("""COMPUTED_VALUE"""),2.485905519E9)</f>
        <v>2485905519</v>
      </c>
      <c r="E257" s="65" t="str">
        <f>IFERROR(__xludf.DUMMYFUNCTION("""COMPUTED_VALUE"""),"Melanie Feles")</f>
        <v>Melanie Feles</v>
      </c>
      <c r="F257" s="65"/>
      <c r="G257" s="65"/>
      <c r="H257" s="65" t="str">
        <f>IFERROR(__xludf.DUMMYFUNCTION("""COMPUTED_VALUE"""),"Appliance Rental")</f>
        <v>Appliance Rental</v>
      </c>
      <c r="I257" s="65" t="str">
        <f>IFERROR(__xludf.DUMMYFUNCTION("""COMPUTED_VALUE""")," Double-Door Mini Fridge + Microwave   -  - ")</f>
        <v> Double-Door Mini Fridge + Microwave   -  - </v>
      </c>
      <c r="J257" s="65">
        <f>IFERROR(__xludf.DUMMYFUNCTION("""COMPUTED_VALUE"""),210.0)</f>
        <v>210</v>
      </c>
      <c r="K257" s="103">
        <f>IFERROR(__xludf.DUMMYFUNCTION("""COMPUTED_VALUE"""),45883.0)</f>
        <v>45883</v>
      </c>
      <c r="L257" s="65" t="str">
        <f>IFERROR(__xludf.DUMMYFUNCTION("""COMPUTED_VALUE"""),"Umrath  ")</f>
        <v>Umrath  </v>
      </c>
      <c r="M257" s="68" t="str">
        <f>IFERROR(__xludf.DUMMYFUNCTION("""COMPUTED_VALUE"""),"4403")</f>
        <v>4403</v>
      </c>
      <c r="N257" s="65"/>
      <c r="O257" s="65" t="b">
        <f>COUNTIF('Delivered Rentals'!A:A, B257) &gt; 0</f>
        <v>1</v>
      </c>
      <c r="P257" s="104" t="str">
        <f>IFERROR(__xludf.DUMMYFUNCTION("""COMPUTED_VALUE""")," ")</f>
        <v> </v>
      </c>
    </row>
    <row r="258">
      <c r="A258" s="99" t="str">
        <f>IFERROR(__xludf.DUMMYFUNCTION("""COMPUTED_VALUE"""),"https://utrucking.com/admin/orders/5920355352764")</f>
        <v>https://utrucking.com/admin/orders/5920355352764</v>
      </c>
      <c r="B258" s="61" t="str">
        <f>IFERROR(__xludf.DUMMYFUNCTION("""COMPUTED_VALUE"""),"#15830")</f>
        <v>#15830</v>
      </c>
      <c r="C258" s="61" t="str">
        <f>IFERROR(__xludf.DUMMYFUNCTION("""COMPUTED_VALUE"""),"monicafarr@gmail.com")</f>
        <v>monicafarr@gmail.com</v>
      </c>
      <c r="D258" s="61">
        <f>IFERROR(__xludf.DUMMYFUNCTION("""COMPUTED_VALUE"""),5.053073197E9)</f>
        <v>5053073197</v>
      </c>
      <c r="E258" s="61" t="str">
        <f>IFERROR(__xludf.DUMMYFUNCTION("""COMPUTED_VALUE"""),"Monica Farr")</f>
        <v>Monica Farr</v>
      </c>
      <c r="F258" s="61"/>
      <c r="G258" s="61"/>
      <c r="H258" s="61" t="str">
        <f>IFERROR(__xludf.DUMMYFUNCTION("""COMPUTED_VALUE"""),"Appliance Rental")</f>
        <v>Appliance Rental</v>
      </c>
      <c r="I258" s="61" t="str">
        <f>IFERROR(__xludf.DUMMYFUNCTION("""COMPUTED_VALUE""")," Double-Door Mini Fridge + Microwave   -  - ")</f>
        <v> Double-Door Mini Fridge + Microwave   -  - </v>
      </c>
      <c r="J258" s="61">
        <f>IFERROR(__xludf.DUMMYFUNCTION("""COMPUTED_VALUE"""),210.0)</f>
        <v>210</v>
      </c>
      <c r="K258" s="100">
        <f>IFERROR(__xludf.DUMMYFUNCTION("""COMPUTED_VALUE"""),45883.0)</f>
        <v>45883</v>
      </c>
      <c r="L258" s="61" t="str">
        <f>IFERROR(__xludf.DUMMYFUNCTION("""COMPUTED_VALUE"""),"Hurd  ")</f>
        <v>Hurd  </v>
      </c>
      <c r="M258" s="64" t="str">
        <f>IFERROR(__xludf.DUMMYFUNCTION("""COMPUTED_VALUE"""),"423-a")</f>
        <v>423-a</v>
      </c>
      <c r="N258" s="61"/>
      <c r="O258" s="61" t="b">
        <f>COUNTIF('Delivered Rentals'!A:A, B258) &gt; 0</f>
        <v>1</v>
      </c>
      <c r="P258" s="101" t="str">
        <f>IFERROR(__xludf.DUMMYFUNCTION("""COMPUTED_VALUE""")," ")</f>
        <v> </v>
      </c>
    </row>
    <row r="259">
      <c r="A259" s="102" t="str">
        <f>IFERROR(__xludf.DUMMYFUNCTION("""COMPUTED_VALUE"""),"https://utrucking.com/admin/orders/5920379306172")</f>
        <v>https://utrucking.com/admin/orders/5920379306172</v>
      </c>
      <c r="B259" s="65" t="str">
        <f>IFERROR(__xludf.DUMMYFUNCTION("""COMPUTED_VALUE"""),"#15833")</f>
        <v>#15833</v>
      </c>
      <c r="C259" s="65" t="str">
        <f>IFERROR(__xludf.DUMMYFUNCTION("""COMPUTED_VALUE"""),"a.c.nadritch@wustl.edu")</f>
        <v>a.c.nadritch@wustl.edu</v>
      </c>
      <c r="D259" s="65">
        <f>IFERROR(__xludf.DUMMYFUNCTION("""COMPUTED_VALUE"""),2.01693619E9)</f>
        <v>2016936190</v>
      </c>
      <c r="E259" s="65" t="str">
        <f>IFERROR(__xludf.DUMMYFUNCTION("""COMPUTED_VALUE"""),"Alexandra Nadritch")</f>
        <v>Alexandra Nadritch</v>
      </c>
      <c r="F259" s="65"/>
      <c r="G259" s="65"/>
      <c r="H259" s="65" t="str">
        <f>IFERROR(__xludf.DUMMYFUNCTION("""COMPUTED_VALUE"""),"Appliance Rental")</f>
        <v>Appliance Rental</v>
      </c>
      <c r="I259" s="65" t="str">
        <f>IFERROR(__xludf.DUMMYFUNCTION("""COMPUTED_VALUE""")," Double-Door Mini Fridge + Microwave   -  - ")</f>
        <v> Double-Door Mini Fridge + Microwave   -  - </v>
      </c>
      <c r="J259" s="65">
        <f>IFERROR(__xludf.DUMMYFUNCTION("""COMPUTED_VALUE"""),210.0)</f>
        <v>210</v>
      </c>
      <c r="K259" s="103">
        <f>IFERROR(__xludf.DUMMYFUNCTION("""COMPUTED_VALUE"""),45883.0)</f>
        <v>45883</v>
      </c>
      <c r="L259" s="65" t="str">
        <f>IFERROR(__xludf.DUMMYFUNCTION("""COMPUTED_VALUE"""),"Liggett  ")</f>
        <v>Liggett  </v>
      </c>
      <c r="M259" s="68" t="str">
        <f>IFERROR(__xludf.DUMMYFUNCTION("""COMPUTED_VALUE"""),"2331-a")</f>
        <v>2331-a</v>
      </c>
      <c r="N259" s="65"/>
      <c r="O259" s="65" t="b">
        <f>COUNTIF('Delivered Rentals'!A:A, B259) &gt; 0</f>
        <v>1</v>
      </c>
      <c r="P259" s="104" t="str">
        <f>IFERROR(__xludf.DUMMYFUNCTION("""COMPUTED_VALUE""")," ")</f>
        <v> </v>
      </c>
    </row>
    <row r="260">
      <c r="A260" s="99" t="str">
        <f>IFERROR(__xludf.DUMMYFUNCTION("""COMPUTED_VALUE"""),"https://utrucking.com/admin/orders/5920389333180")</f>
        <v>https://utrucking.com/admin/orders/5920389333180</v>
      </c>
      <c r="B260" s="61" t="str">
        <f>IFERROR(__xludf.DUMMYFUNCTION("""COMPUTED_VALUE"""),"#15836")</f>
        <v>#15836</v>
      </c>
      <c r="C260" s="61" t="str">
        <f>IFERROR(__xludf.DUMMYFUNCTION("""COMPUTED_VALUE"""),"lyndongt@aol.com")</f>
        <v>lyndongt@aol.com</v>
      </c>
      <c r="D260" s="61">
        <f>IFERROR(__xludf.DUMMYFUNCTION("""COMPUTED_VALUE"""),5.126942421E9)</f>
        <v>5126942421</v>
      </c>
      <c r="E260" s="61" t="str">
        <f>IFERROR(__xludf.DUMMYFUNCTION("""COMPUTED_VALUE"""),"Lyndon Tilson")</f>
        <v>Lyndon Tilson</v>
      </c>
      <c r="F260" s="61"/>
      <c r="G260" s="61"/>
      <c r="H260" s="61" t="str">
        <f>IFERROR(__xludf.DUMMYFUNCTION("""COMPUTED_VALUE"""),"Appliance Rental")</f>
        <v>Appliance Rental</v>
      </c>
      <c r="I260" s="61" t="str">
        <f>IFERROR(__xludf.DUMMYFUNCTION("""COMPUTED_VALUE""")," Double-Door Mini Fridge   -  - ")</f>
        <v> Double-Door Mini Fridge   -  - </v>
      </c>
      <c r="J260" s="61">
        <f>IFERROR(__xludf.DUMMYFUNCTION("""COMPUTED_VALUE"""),145.0)</f>
        <v>145</v>
      </c>
      <c r="K260" s="100">
        <f>IFERROR(__xludf.DUMMYFUNCTION("""COMPUTED_VALUE"""),45891.0)</f>
        <v>45891</v>
      </c>
      <c r="L260" s="61" t="str">
        <f>IFERROR(__xludf.DUMMYFUNCTION("""COMPUTED_VALUE"""),"House 1")</f>
        <v>House 1</v>
      </c>
      <c r="M260" s="64" t="str">
        <f>IFERROR(__xludf.DUMMYFUNCTION("""COMPUTED_VALUE"""),"212")</f>
        <v>212</v>
      </c>
      <c r="N260" s="61"/>
      <c r="O260" s="61" t="b">
        <f>COUNTIF('Delivered Rentals'!A:A, B260) &gt; 0</f>
        <v>1</v>
      </c>
      <c r="P260" s="101" t="str">
        <f>IFERROR(__xludf.DUMMYFUNCTION("""COMPUTED_VALUE""")," ")</f>
        <v> </v>
      </c>
    </row>
    <row r="261">
      <c r="A261" s="102" t="str">
        <f>IFERROR(__xludf.DUMMYFUNCTION("""COMPUTED_VALUE"""),"https://utrucking.com/admin/orders/5920397787324")</f>
        <v>https://utrucking.com/admin/orders/5920397787324</v>
      </c>
      <c r="B261" s="65" t="str">
        <f>IFERROR(__xludf.DUMMYFUNCTION("""COMPUTED_VALUE"""),"#15837")</f>
        <v>#15837</v>
      </c>
      <c r="C261" s="65" t="str">
        <f>IFERROR(__xludf.DUMMYFUNCTION("""COMPUTED_VALUE"""),"g.scarlett@wustl.edu")</f>
        <v>g.scarlett@wustl.edu</v>
      </c>
      <c r="D261" s="65">
        <f>IFERROR(__xludf.DUMMYFUNCTION("""COMPUTED_VALUE"""),2.038148546E9)</f>
        <v>2038148546</v>
      </c>
      <c r="E261" s="65" t="str">
        <f>IFERROR(__xludf.DUMMYFUNCTION("""COMPUTED_VALUE"""),"Scarlett Gerber")</f>
        <v>Scarlett Gerber</v>
      </c>
      <c r="F261" s="65"/>
      <c r="G261" s="65"/>
      <c r="H261" s="65" t="str">
        <f>IFERROR(__xludf.DUMMYFUNCTION("""COMPUTED_VALUE"""),"Appliance Rental")</f>
        <v>Appliance Rental</v>
      </c>
      <c r="I261" s="65" t="str">
        <f>IFERROR(__xludf.DUMMYFUNCTION("""COMPUTED_VALUE""")," Double-Door Mini Fridge + Microwave   -  - ")</f>
        <v> Double-Door Mini Fridge + Microwave   -  - </v>
      </c>
      <c r="J261" s="65">
        <f>IFERROR(__xludf.DUMMYFUNCTION("""COMPUTED_VALUE"""),210.0)</f>
        <v>210</v>
      </c>
      <c r="K261" s="103">
        <f>IFERROR(__xludf.DUMMYFUNCTION("""COMPUTED_VALUE"""),45890.0)</f>
        <v>45890</v>
      </c>
      <c r="L261" s="65" t="str">
        <f>IFERROR(__xludf.DUMMYFUNCTION("""COMPUTED_VALUE"""),"Beaumont  ")</f>
        <v>Beaumont  </v>
      </c>
      <c r="M261" s="68" t="str">
        <f>IFERROR(__xludf.DUMMYFUNCTION("""COMPUTED_VALUE"""),"304")</f>
        <v>304</v>
      </c>
      <c r="N261" s="65"/>
      <c r="O261" s="65" t="b">
        <f>COUNTIF('Delivered Rentals'!A:A, B261) &gt; 0</f>
        <v>1</v>
      </c>
      <c r="P261" s="104" t="str">
        <f>IFERROR(__xludf.DUMMYFUNCTION("""COMPUTED_VALUE""")," ")</f>
        <v> </v>
      </c>
    </row>
    <row r="262">
      <c r="A262" s="99" t="str">
        <f>IFERROR(__xludf.DUMMYFUNCTION("""COMPUTED_VALUE"""),"https://utrucking.com/admin/orders/5920399458492")</f>
        <v>https://utrucking.com/admin/orders/5920399458492</v>
      </c>
      <c r="B262" s="61" t="str">
        <f>IFERROR(__xludf.DUMMYFUNCTION("""COMPUTED_VALUE"""),"#15838")</f>
        <v>#15838</v>
      </c>
      <c r="C262" s="61" t="str">
        <f>IFERROR(__xludf.DUMMYFUNCTION("""COMPUTED_VALUE"""),"s.f.syed@wustl.edu")</f>
        <v>s.f.syed@wustl.edu</v>
      </c>
      <c r="D262" s="61">
        <f>IFERROR(__xludf.DUMMYFUNCTION("""COMPUTED_VALUE"""),2.173693983E9)</f>
        <v>2173693983</v>
      </c>
      <c r="E262" s="61" t="str">
        <f>IFERROR(__xludf.DUMMYFUNCTION("""COMPUTED_VALUE"""),"Shawn Syed")</f>
        <v>Shawn Syed</v>
      </c>
      <c r="F262" s="61"/>
      <c r="G262" s="61"/>
      <c r="H262" s="61" t="str">
        <f>IFERROR(__xludf.DUMMYFUNCTION("""COMPUTED_VALUE"""),"Appliance Rental")</f>
        <v>Appliance Rental</v>
      </c>
      <c r="I262" s="61" t="str">
        <f>IFERROR(__xludf.DUMMYFUNCTION("""COMPUTED_VALUE""")," Double-Door Mini Fridge   -  - ")</f>
        <v> Double-Door Mini Fridge   -  - </v>
      </c>
      <c r="J262" s="61">
        <f>IFERROR(__xludf.DUMMYFUNCTION("""COMPUTED_VALUE"""),145.0)</f>
        <v>145</v>
      </c>
      <c r="K262" s="100">
        <f>IFERROR(__xludf.DUMMYFUNCTION("""COMPUTED_VALUE"""),45883.0)</f>
        <v>45883</v>
      </c>
      <c r="L262" s="61" t="str">
        <f>IFERROR(__xludf.DUMMYFUNCTION("""COMPUTED_VALUE"""),"Nemerov  ")</f>
        <v>Nemerov  </v>
      </c>
      <c r="M262" s="64" t="str">
        <f>IFERROR(__xludf.DUMMYFUNCTION("""COMPUTED_VALUE"""),"3064")</f>
        <v>3064</v>
      </c>
      <c r="N262" s="61"/>
      <c r="O262" s="61" t="b">
        <f>COUNTIF('Delivered Rentals'!A:A, B262) &gt; 0</f>
        <v>1</v>
      </c>
      <c r="P262" s="101" t="str">
        <f>IFERROR(__xludf.DUMMYFUNCTION("""COMPUTED_VALUE""")," ")</f>
        <v> </v>
      </c>
    </row>
    <row r="263">
      <c r="A263" s="102" t="str">
        <f>IFERROR(__xludf.DUMMYFUNCTION("""COMPUTED_VALUE"""),"https://utrucking.com/admin/orders/5920399720636")</f>
        <v>https://utrucking.com/admin/orders/5920399720636</v>
      </c>
      <c r="B263" s="65" t="str">
        <f>IFERROR(__xludf.DUMMYFUNCTION("""COMPUTED_VALUE"""),"#15839")</f>
        <v>#15839</v>
      </c>
      <c r="C263" s="65"/>
      <c r="D263" s="65">
        <f>IFERROR(__xludf.DUMMYFUNCTION("""COMPUTED_VALUE"""),6.103577127E9)</f>
        <v>6103577127</v>
      </c>
      <c r="E263" s="65" t="str">
        <f>IFERROR(__xludf.DUMMYFUNCTION("""COMPUTED_VALUE"""),"Melissa Pashigian")</f>
        <v>Melissa Pashigian</v>
      </c>
      <c r="F263" s="65"/>
      <c r="G263" s="65"/>
      <c r="H263" s="65" t="str">
        <f>IFERROR(__xludf.DUMMYFUNCTION("""COMPUTED_VALUE"""),"Appliance Rental")</f>
        <v>Appliance Rental</v>
      </c>
      <c r="I263" s="65" t="str">
        <f>IFERROR(__xludf.DUMMYFUNCTION("""COMPUTED_VALUE""")," Double-Door Mini Fridge + Microwave   -  - ")</f>
        <v> Double-Door Mini Fridge + Microwave   -  - </v>
      </c>
      <c r="J263" s="65">
        <f>IFERROR(__xludf.DUMMYFUNCTION("""COMPUTED_VALUE"""),210.0)</f>
        <v>210</v>
      </c>
      <c r="K263" s="103">
        <f>IFERROR(__xludf.DUMMYFUNCTION("""COMPUTED_VALUE"""),45883.0)</f>
        <v>45883</v>
      </c>
      <c r="L263" s="65" t="str">
        <f>IFERROR(__xludf.DUMMYFUNCTION("""COMPUTED_VALUE"""),"Eliot A  ")</f>
        <v>Eliot A  </v>
      </c>
      <c r="M263" s="68" t="str">
        <f>IFERROR(__xludf.DUMMYFUNCTION("""COMPUTED_VALUE"""),"1042 - a")</f>
        <v>1042 - a</v>
      </c>
      <c r="N263" s="65"/>
      <c r="O263" s="65" t="b">
        <f>COUNTIF('Delivered Rentals'!A:A, B263) &gt; 0</f>
        <v>1</v>
      </c>
      <c r="P263" s="104" t="str">
        <f>IFERROR(__xludf.DUMMYFUNCTION("""COMPUTED_VALUE""")," ")</f>
        <v> </v>
      </c>
    </row>
    <row r="264">
      <c r="A264" s="99" t="str">
        <f>IFERROR(__xludf.DUMMYFUNCTION("""COMPUTED_VALUE"""),"https://utrucking.com/admin/orders/5920409256124")</f>
        <v>https://utrucking.com/admin/orders/5920409256124</v>
      </c>
      <c r="B264" s="61" t="str">
        <f>IFERROR(__xludf.DUMMYFUNCTION("""COMPUTED_VALUE"""),"#15840")</f>
        <v>#15840</v>
      </c>
      <c r="C264" s="61" t="str">
        <f>IFERROR(__xludf.DUMMYFUNCTION("""COMPUTED_VALUE"""),"amiller1@wustl.edu")</f>
        <v>amiller1@wustl.edu</v>
      </c>
      <c r="D264" s="61">
        <f>IFERROR(__xludf.DUMMYFUNCTION("""COMPUTED_VALUE"""),5.612254772E9)</f>
        <v>5612254772</v>
      </c>
      <c r="E264" s="61" t="str">
        <f>IFERROR(__xludf.DUMMYFUNCTION("""COMPUTED_VALUE"""),"Anna Miller")</f>
        <v>Anna Miller</v>
      </c>
      <c r="F264" s="61"/>
      <c r="G264" s="61"/>
      <c r="H264" s="61" t="str">
        <f>IFERROR(__xludf.DUMMYFUNCTION("""COMPUTED_VALUE"""),"Appliance Rental")</f>
        <v>Appliance Rental</v>
      </c>
      <c r="I264" s="61" t="str">
        <f>IFERROR(__xludf.DUMMYFUNCTION("""COMPUTED_VALUE""")," Double-Door Mini Fridge + Microwave   -  - ")</f>
        <v> Double-Door Mini Fridge + Microwave   -  - </v>
      </c>
      <c r="J264" s="61">
        <f>IFERROR(__xludf.DUMMYFUNCTION("""COMPUTED_VALUE"""),210.0)</f>
        <v>210</v>
      </c>
      <c r="K264" s="100">
        <f>IFERROR(__xludf.DUMMYFUNCTION("""COMPUTED_VALUE"""),45883.0)</f>
        <v>45883</v>
      </c>
      <c r="L264" s="61" t="str">
        <f>IFERROR(__xludf.DUMMYFUNCTION("""COMPUTED_VALUE"""),"Beaumont  ")</f>
        <v>Beaumont  </v>
      </c>
      <c r="M264" s="64" t="str">
        <f>IFERROR(__xludf.DUMMYFUNCTION("""COMPUTED_VALUE"""),"204")</f>
        <v>204</v>
      </c>
      <c r="N264" s="61"/>
      <c r="O264" s="61" t="b">
        <f>COUNTIF('Delivered Rentals'!A:A, B264) &gt; 0</f>
        <v>1</v>
      </c>
      <c r="P264" s="101" t="str">
        <f>IFERROR(__xludf.DUMMYFUNCTION("""COMPUTED_VALUE""")," ")</f>
        <v> </v>
      </c>
    </row>
    <row r="265">
      <c r="A265" s="102" t="str">
        <f>IFERROR(__xludf.DUMMYFUNCTION("""COMPUTED_VALUE"""),"https://utrucking.com/admin/orders/5920461422780")</f>
        <v>https://utrucking.com/admin/orders/5920461422780</v>
      </c>
      <c r="B265" s="65" t="str">
        <f>IFERROR(__xludf.DUMMYFUNCTION("""COMPUTED_VALUE"""),"#15844")</f>
        <v>#15844</v>
      </c>
      <c r="C265" s="65" t="str">
        <f>IFERROR(__xludf.DUMMYFUNCTION("""COMPUTED_VALUE"""),"mmuller2@yahoo.com")</f>
        <v>mmuller2@yahoo.com</v>
      </c>
      <c r="D265" s="65">
        <f>IFERROR(__xludf.DUMMYFUNCTION("""COMPUTED_VALUE"""),9.176932081E9)</f>
        <v>9176932081</v>
      </c>
      <c r="E265" s="65" t="str">
        <f>IFERROR(__xludf.DUMMYFUNCTION("""COMPUTED_VALUE"""),"Michelle Zellner")</f>
        <v>Michelle Zellner</v>
      </c>
      <c r="F265" s="65"/>
      <c r="G265" s="65"/>
      <c r="H265" s="65" t="str">
        <f>IFERROR(__xludf.DUMMYFUNCTION("""COMPUTED_VALUE"""),"Appliance Rental")</f>
        <v>Appliance Rental</v>
      </c>
      <c r="I265" s="65" t="str">
        <f>IFERROR(__xludf.DUMMYFUNCTION("""COMPUTED_VALUE""")," Double-Door Mini Fridge + Microwave   -  - ")</f>
        <v> Double-Door Mini Fridge + Microwave   -  - </v>
      </c>
      <c r="J265" s="65">
        <f>IFERROR(__xludf.DUMMYFUNCTION("""COMPUTED_VALUE"""),210.0)</f>
        <v>210</v>
      </c>
      <c r="K265" s="103">
        <f>IFERROR(__xludf.DUMMYFUNCTION("""COMPUTED_VALUE"""),45883.0)</f>
        <v>45883</v>
      </c>
      <c r="L265" s="65" t="str">
        <f>IFERROR(__xludf.DUMMYFUNCTION("""COMPUTED_VALUE"""),"Dardick  ")</f>
        <v>Dardick  </v>
      </c>
      <c r="M265" s="68" t="str">
        <f>IFERROR(__xludf.DUMMYFUNCTION("""COMPUTED_VALUE"""),"4411 B")</f>
        <v>4411 B</v>
      </c>
      <c r="N265" s="65"/>
      <c r="O265" s="65" t="b">
        <f>COUNTIF('Delivered Rentals'!A:A, B265) &gt; 0</f>
        <v>1</v>
      </c>
      <c r="P265" s="104" t="str">
        <f>IFERROR(__xludf.DUMMYFUNCTION("""COMPUTED_VALUE""")," ")</f>
        <v> </v>
      </c>
    </row>
    <row r="266">
      <c r="A266" s="99" t="str">
        <f>IFERROR(__xludf.DUMMYFUNCTION("""COMPUTED_VALUE"""),"https://utrucking.com/admin/orders/5920466632892")</f>
        <v>https://utrucking.com/admin/orders/5920466632892</v>
      </c>
      <c r="B266" s="61" t="str">
        <f>IFERROR(__xludf.DUMMYFUNCTION("""COMPUTED_VALUE"""),"#15845")</f>
        <v>#15845</v>
      </c>
      <c r="C266" s="61"/>
      <c r="D266" s="61"/>
      <c r="E266" s="61" t="str">
        <f>IFERROR(__xludf.DUMMYFUNCTION("""COMPUTED_VALUE"""),"Catherine Willcock")</f>
        <v>Catherine Willcock</v>
      </c>
      <c r="F266" s="61"/>
      <c r="G266" s="61"/>
      <c r="H266" s="61" t="str">
        <f>IFERROR(__xludf.DUMMYFUNCTION("""COMPUTED_VALUE"""),"Appliance Rental")</f>
        <v>Appliance Rental</v>
      </c>
      <c r="I266" s="61" t="str">
        <f>IFERROR(__xludf.DUMMYFUNCTION("""COMPUTED_VALUE""")," Double-Door Mini Fridge   -  - ")</f>
        <v> Double-Door Mini Fridge   -  - </v>
      </c>
      <c r="J266" s="61">
        <f>IFERROR(__xludf.DUMMYFUNCTION("""COMPUTED_VALUE"""),145.0)</f>
        <v>145</v>
      </c>
      <c r="K266" s="100">
        <f>IFERROR(__xludf.DUMMYFUNCTION("""COMPUTED_VALUE"""),45883.0)</f>
        <v>45883</v>
      </c>
      <c r="L266" s="61" t="str">
        <f>IFERROR(__xludf.DUMMYFUNCTION("""COMPUTED_VALUE"""),"Umrath  ")</f>
        <v>Umrath  </v>
      </c>
      <c r="M266" s="64" t="str">
        <f>IFERROR(__xludf.DUMMYFUNCTION("""COMPUTED_VALUE"""),"L227 - B")</f>
        <v>L227 - B</v>
      </c>
      <c r="N266" s="61"/>
      <c r="O266" s="61" t="b">
        <f>COUNTIF('Delivered Rentals'!A:A, B266) &gt; 0</f>
        <v>1</v>
      </c>
      <c r="P266" s="101" t="str">
        <f>IFERROR(__xludf.DUMMYFUNCTION("""COMPUTED_VALUE""")," ")</f>
        <v> </v>
      </c>
    </row>
    <row r="267">
      <c r="A267" s="102" t="str">
        <f>IFERROR(__xludf.DUMMYFUNCTION("""COMPUTED_VALUE"""),"https://utrucking.com/admin/orders/5920467321020")</f>
        <v>https://utrucking.com/admin/orders/5920467321020</v>
      </c>
      <c r="B267" s="65" t="str">
        <f>IFERROR(__xludf.DUMMYFUNCTION("""COMPUTED_VALUE"""),"#15846")</f>
        <v>#15846</v>
      </c>
      <c r="C267" s="65"/>
      <c r="D267" s="65">
        <f>IFERROR(__xludf.DUMMYFUNCTION("""COMPUTED_VALUE"""),7.138985646E9)</f>
        <v>7138985646</v>
      </c>
      <c r="E267" s="65" t="str">
        <f>IFERROR(__xludf.DUMMYFUNCTION("""COMPUTED_VALUE"""),"Randi Raizner")</f>
        <v>Randi Raizner</v>
      </c>
      <c r="F267" s="65"/>
      <c r="G267" s="65"/>
      <c r="H267" s="65" t="str">
        <f>IFERROR(__xludf.DUMMYFUNCTION("""COMPUTED_VALUE"""),"Appliance Rental")</f>
        <v>Appliance Rental</v>
      </c>
      <c r="I267" s="65" t="str">
        <f>IFERROR(__xludf.DUMMYFUNCTION("""COMPUTED_VALUE""")," Double-Door Mini Fridge + Microwave   -  - ")</f>
        <v> Double-Door Mini Fridge + Microwave   -  - </v>
      </c>
      <c r="J267" s="65">
        <f>IFERROR(__xludf.DUMMYFUNCTION("""COMPUTED_VALUE"""),210.0)</f>
        <v>210</v>
      </c>
      <c r="K267" s="103">
        <f>IFERROR(__xludf.DUMMYFUNCTION("""COMPUTED_VALUE"""),45892.0)</f>
        <v>45892</v>
      </c>
      <c r="L267" s="65" t="str">
        <f>IFERROR(__xludf.DUMMYFUNCTION("""COMPUTED_VALUE"""),"Wheeler  ")</f>
        <v>Wheeler  </v>
      </c>
      <c r="M267" s="68" t="str">
        <f>IFERROR(__xludf.DUMMYFUNCTION("""COMPUTED_VALUE"""),"3103")</f>
        <v>3103</v>
      </c>
      <c r="N267" s="65"/>
      <c r="O267" s="65" t="b">
        <f>COUNTIF('Delivered Rentals'!A:A, B267) &gt; 0</f>
        <v>1</v>
      </c>
      <c r="P267" s="104" t="str">
        <f>IFERROR(__xludf.DUMMYFUNCTION("""COMPUTED_VALUE""")," ")</f>
        <v> </v>
      </c>
    </row>
    <row r="268">
      <c r="A268" s="99" t="str">
        <f>IFERROR(__xludf.DUMMYFUNCTION("""COMPUTED_VALUE"""),"https://utrucking.com/admin/orders/5920471974076")</f>
        <v>https://utrucking.com/admin/orders/5920471974076</v>
      </c>
      <c r="B268" s="61" t="str">
        <f>IFERROR(__xludf.DUMMYFUNCTION("""COMPUTED_VALUE"""),"#15848")</f>
        <v>#15848</v>
      </c>
      <c r="C268" s="61" t="str">
        <f>IFERROR(__xludf.DUMMYFUNCTION("""COMPUTED_VALUE"""),"m.stikeleather@wustl.edu")</f>
        <v>m.stikeleather@wustl.edu</v>
      </c>
      <c r="D268" s="61">
        <f>IFERROR(__xludf.DUMMYFUNCTION("""COMPUTED_VALUE"""),7.742705618E9)</f>
        <v>7742705618</v>
      </c>
      <c r="E268" s="61" t="str">
        <f>IFERROR(__xludf.DUMMYFUNCTION("""COMPUTED_VALUE"""),"Julia Stikeleather")</f>
        <v>Julia Stikeleather</v>
      </c>
      <c r="F268" s="61"/>
      <c r="G268" s="61"/>
      <c r="H268" s="61" t="str">
        <f>IFERROR(__xludf.DUMMYFUNCTION("""COMPUTED_VALUE"""),"Appliance Rental")</f>
        <v>Appliance Rental</v>
      </c>
      <c r="I268" s="61" t="str">
        <f>IFERROR(__xludf.DUMMYFUNCTION("""COMPUTED_VALUE""")," Double-Door Mini Fridge + Microwave   -  - ")</f>
        <v> Double-Door Mini Fridge + Microwave   -  - </v>
      </c>
      <c r="J268" s="61">
        <f>IFERROR(__xludf.DUMMYFUNCTION("""COMPUTED_VALUE"""),210.0)</f>
        <v>210</v>
      </c>
      <c r="K268" s="100">
        <f>IFERROR(__xludf.DUMMYFUNCTION("""COMPUTED_VALUE"""),45883.0)</f>
        <v>45883</v>
      </c>
      <c r="L268" s="61" t="str">
        <f>IFERROR(__xludf.DUMMYFUNCTION("""COMPUTED_VALUE"""),"Nemerov  ")</f>
        <v>Nemerov  </v>
      </c>
      <c r="M268" s="64" t="str">
        <f>IFERROR(__xludf.DUMMYFUNCTION("""COMPUTED_VALUE"""),"3082")</f>
        <v>3082</v>
      </c>
      <c r="N268" s="61"/>
      <c r="O268" s="61" t="b">
        <f>COUNTIF('Delivered Rentals'!A:A, B268) &gt; 0</f>
        <v>1</v>
      </c>
      <c r="P268" s="101" t="str">
        <f>IFERROR(__xludf.DUMMYFUNCTION("""COMPUTED_VALUE""")," ")</f>
        <v> </v>
      </c>
    </row>
    <row r="269">
      <c r="A269" s="102" t="str">
        <f>IFERROR(__xludf.DUMMYFUNCTION("""COMPUTED_VALUE"""),"https://utrucking.com/admin/orders/5920476496060")</f>
        <v>https://utrucking.com/admin/orders/5920476496060</v>
      </c>
      <c r="B269" s="65" t="str">
        <f>IFERROR(__xludf.DUMMYFUNCTION("""COMPUTED_VALUE"""),"#15849")</f>
        <v>#15849</v>
      </c>
      <c r="C269" s="65" t="str">
        <f>IFERROR(__xludf.DUMMYFUNCTION("""COMPUTED_VALUE"""),"jimmelindawarren@msn.com")</f>
        <v>jimmelindawarren@msn.com</v>
      </c>
      <c r="D269" s="65">
        <f>IFERROR(__xludf.DUMMYFUNCTION("""COMPUTED_VALUE"""),9.099678758E9)</f>
        <v>9099678758</v>
      </c>
      <c r="E269" s="65" t="str">
        <f>IFERROR(__xludf.DUMMYFUNCTION("""COMPUTED_VALUE"""),"Melinda Warren")</f>
        <v>Melinda Warren</v>
      </c>
      <c r="F269" s="65"/>
      <c r="G269" s="65"/>
      <c r="H269" s="65" t="str">
        <f>IFERROR(__xludf.DUMMYFUNCTION("""COMPUTED_VALUE"""),"Appliance Rental")</f>
        <v>Appliance Rental</v>
      </c>
      <c r="I269" s="65" t="str">
        <f>IFERROR(__xludf.DUMMYFUNCTION("""COMPUTED_VALUE""")," Double-Door Mini Fridge   -  - ")</f>
        <v> Double-Door Mini Fridge   -  - </v>
      </c>
      <c r="J269" s="65">
        <f>IFERROR(__xludf.DUMMYFUNCTION("""COMPUTED_VALUE"""),145.0)</f>
        <v>145</v>
      </c>
      <c r="K269" s="103">
        <f>IFERROR(__xludf.DUMMYFUNCTION("""COMPUTED_VALUE"""),45883.0)</f>
        <v>45883</v>
      </c>
      <c r="L269" s="65" t="str">
        <f>IFERROR(__xludf.DUMMYFUNCTION("""COMPUTED_VALUE"""),"Wheeler  ")</f>
        <v>Wheeler  </v>
      </c>
      <c r="M269" s="68" t="str">
        <f>IFERROR(__xludf.DUMMYFUNCTION("""COMPUTED_VALUE"""),"4060")</f>
        <v>4060</v>
      </c>
      <c r="N269" s="65"/>
      <c r="O269" s="65" t="b">
        <f>COUNTIF('Delivered Rentals'!A:A, B269) &gt; 0</f>
        <v>1</v>
      </c>
      <c r="P269" s="104" t="str">
        <f>IFERROR(__xludf.DUMMYFUNCTION("""COMPUTED_VALUE""")," ")</f>
        <v> </v>
      </c>
    </row>
    <row r="270">
      <c r="A270" s="99" t="str">
        <f>IFERROR(__xludf.DUMMYFUNCTION("""COMPUTED_VALUE"""),"https://utrucking.com/admin/orders/5920519520444")</f>
        <v>https://utrucking.com/admin/orders/5920519520444</v>
      </c>
      <c r="B270" s="61" t="str">
        <f>IFERROR(__xludf.DUMMYFUNCTION("""COMPUTED_VALUE"""),"#15850")</f>
        <v>#15850</v>
      </c>
      <c r="C270" s="61" t="str">
        <f>IFERROR(__xludf.DUMMYFUNCTION("""COMPUTED_VALUE"""),"rforman@marathon-co.com")</f>
        <v>rforman@marathon-co.com</v>
      </c>
      <c r="D270" s="61"/>
      <c r="E270" s="61" t="str">
        <f>IFERROR(__xludf.DUMMYFUNCTION("""COMPUTED_VALUE"""),"Lucy Forman")</f>
        <v>Lucy Forman</v>
      </c>
      <c r="F270" s="61"/>
      <c r="G270" s="61"/>
      <c r="H270" s="61" t="str">
        <f>IFERROR(__xludf.DUMMYFUNCTION("""COMPUTED_VALUE"""),"Appliance Rental")</f>
        <v>Appliance Rental</v>
      </c>
      <c r="I270" s="61" t="str">
        <f>IFERROR(__xludf.DUMMYFUNCTION("""COMPUTED_VALUE""")," Double-Door Mini Fridge + Microwave   -  - ")</f>
        <v> Double-Door Mini Fridge + Microwave   -  - </v>
      </c>
      <c r="J270" s="61">
        <f>IFERROR(__xludf.DUMMYFUNCTION("""COMPUTED_VALUE"""),210.0)</f>
        <v>210</v>
      </c>
      <c r="K270" s="100">
        <f>IFERROR(__xludf.DUMMYFUNCTION("""COMPUTED_VALUE"""),45883.0)</f>
        <v>45883</v>
      </c>
      <c r="L270" s="61" t="str">
        <f>IFERROR(__xludf.DUMMYFUNCTION("""COMPUTED_VALUE"""),"Lien  ")</f>
        <v>Lien  </v>
      </c>
      <c r="M270" s="64" t="str">
        <f>IFERROR(__xludf.DUMMYFUNCTION("""COMPUTED_VALUE"""),"3328")</f>
        <v>3328</v>
      </c>
      <c r="N270" s="61"/>
      <c r="O270" s="61" t="b">
        <f>COUNTIF('Delivered Rentals'!A:A, B270) &gt; 0</f>
        <v>1</v>
      </c>
      <c r="P270" s="101" t="str">
        <f>IFERROR(__xludf.DUMMYFUNCTION("""COMPUTED_VALUE""")," ")</f>
        <v> </v>
      </c>
    </row>
    <row r="271">
      <c r="A271" s="102" t="str">
        <f>IFERROR(__xludf.DUMMYFUNCTION("""COMPUTED_VALUE"""),"https://utrucking.com/admin/orders/5920521322684")</f>
        <v>https://utrucking.com/admin/orders/5920521322684</v>
      </c>
      <c r="B271" s="65" t="str">
        <f>IFERROR(__xludf.DUMMYFUNCTION("""COMPUTED_VALUE"""),"#15851")</f>
        <v>#15851</v>
      </c>
      <c r="C271" s="65" t="str">
        <f>IFERROR(__xludf.DUMMYFUNCTION("""COMPUTED_VALUE"""),"nataliebeldnercollege@gmail.com")</f>
        <v>nataliebeldnercollege@gmail.com</v>
      </c>
      <c r="D271" s="65">
        <f>IFERROR(__xludf.DUMMYFUNCTION("""COMPUTED_VALUE"""),9.142681108E9)</f>
        <v>9142681108</v>
      </c>
      <c r="E271" s="65" t="str">
        <f>IFERROR(__xludf.DUMMYFUNCTION("""COMPUTED_VALUE"""),"Natalie Beldner")</f>
        <v>Natalie Beldner</v>
      </c>
      <c r="F271" s="65"/>
      <c r="G271" s="65"/>
      <c r="H271" s="65" t="str">
        <f>IFERROR(__xludf.DUMMYFUNCTION("""COMPUTED_VALUE"""),"Appliance Rental")</f>
        <v>Appliance Rental</v>
      </c>
      <c r="I271" s="65" t="str">
        <f>IFERROR(__xludf.DUMMYFUNCTION("""COMPUTED_VALUE""")," Double-Door Mini Fridge + Microwave   -  - ")</f>
        <v> Double-Door Mini Fridge + Microwave   -  - </v>
      </c>
      <c r="J271" s="65">
        <f>IFERROR(__xludf.DUMMYFUNCTION("""COMPUTED_VALUE"""),210.0)</f>
        <v>210</v>
      </c>
      <c r="K271" s="103">
        <f>IFERROR(__xludf.DUMMYFUNCTION("""COMPUTED_VALUE"""),45883.0)</f>
        <v>45883</v>
      </c>
      <c r="L271" s="65" t="str">
        <f>IFERROR(__xludf.DUMMYFUNCTION("""COMPUTED_VALUE"""),"Lopata  ")</f>
        <v>Lopata  </v>
      </c>
      <c r="M271" s="68" t="str">
        <f>IFERROR(__xludf.DUMMYFUNCTION("""COMPUTED_VALUE"""),"3094")</f>
        <v>3094</v>
      </c>
      <c r="N271" s="65"/>
      <c r="O271" s="65" t="b">
        <f>COUNTIF('Delivered Rentals'!A:A, B271) &gt; 0</f>
        <v>1</v>
      </c>
      <c r="P271" s="104" t="str">
        <f>IFERROR(__xludf.DUMMYFUNCTION("""COMPUTED_VALUE""")," ")</f>
        <v> </v>
      </c>
    </row>
    <row r="272">
      <c r="A272" s="99" t="str">
        <f>IFERROR(__xludf.DUMMYFUNCTION("""COMPUTED_VALUE"""),"https://utrucking.com/admin/orders/5920583844028")</f>
        <v>https://utrucking.com/admin/orders/5920583844028</v>
      </c>
      <c r="B272" s="61" t="str">
        <f>IFERROR(__xludf.DUMMYFUNCTION("""COMPUTED_VALUE"""),"#15854")</f>
        <v>#15854</v>
      </c>
      <c r="C272" s="61"/>
      <c r="D272" s="61">
        <f>IFERROR(__xludf.DUMMYFUNCTION("""COMPUTED_VALUE"""),5.169876034E9)</f>
        <v>5169876034</v>
      </c>
      <c r="E272" s="61" t="str">
        <f>IFERROR(__xludf.DUMMYFUNCTION("""COMPUTED_VALUE"""),"Nicole Yablans")</f>
        <v>Nicole Yablans</v>
      </c>
      <c r="F272" s="61"/>
      <c r="G272" s="61"/>
      <c r="H272" s="61" t="str">
        <f>IFERROR(__xludf.DUMMYFUNCTION("""COMPUTED_VALUE"""),"Appliance Rental")</f>
        <v>Appliance Rental</v>
      </c>
      <c r="I272" s="61" t="str">
        <f>IFERROR(__xludf.DUMMYFUNCTION("""COMPUTED_VALUE""")," Double-Door Mini Fridge + Microwave   -  - ")</f>
        <v> Double-Door Mini Fridge + Microwave   -  - </v>
      </c>
      <c r="J272" s="61">
        <f>IFERROR(__xludf.DUMMYFUNCTION("""COMPUTED_VALUE"""),210.0)</f>
        <v>210</v>
      </c>
      <c r="K272" s="100">
        <f>IFERROR(__xludf.DUMMYFUNCTION("""COMPUTED_VALUE"""),45883.0)</f>
        <v>45883</v>
      </c>
      <c r="L272" s="61" t="str">
        <f>IFERROR(__xludf.DUMMYFUNCTION("""COMPUTED_VALUE"""),"Umrath  ")</f>
        <v>Umrath  </v>
      </c>
      <c r="M272" s="64" t="str">
        <f>IFERROR(__xludf.DUMMYFUNCTION("""COMPUTED_VALUE"""),"2215 A")</f>
        <v>2215 A</v>
      </c>
      <c r="N272" s="61"/>
      <c r="O272" s="61" t="b">
        <f>COUNTIF('Delivered Rentals'!A:A, B272) &gt; 0</f>
        <v>1</v>
      </c>
      <c r="P272" s="101" t="str">
        <f>IFERROR(__xludf.DUMMYFUNCTION("""COMPUTED_VALUE""")," ")</f>
        <v> </v>
      </c>
    </row>
    <row r="273">
      <c r="A273" s="102" t="str">
        <f>IFERROR(__xludf.DUMMYFUNCTION("""COMPUTED_VALUE"""),"https://utrucking.com/admin/orders/5920599048380")</f>
        <v>https://utrucking.com/admin/orders/5920599048380</v>
      </c>
      <c r="B273" s="65" t="str">
        <f>IFERROR(__xludf.DUMMYFUNCTION("""COMPUTED_VALUE"""),"#15855")</f>
        <v>#15855</v>
      </c>
      <c r="C273" s="65" t="str">
        <f>IFERROR(__xludf.DUMMYFUNCTION("""COMPUTED_VALUE"""),"bardiya.niknam@icloud.com")</f>
        <v>bardiya.niknam@icloud.com</v>
      </c>
      <c r="D273" s="65">
        <f>IFERROR(__xludf.DUMMYFUNCTION("""COMPUTED_VALUE"""),3.12956281E9)</f>
        <v>3129562810</v>
      </c>
      <c r="E273" s="65" t="str">
        <f>IFERROR(__xludf.DUMMYFUNCTION("""COMPUTED_VALUE"""),"Bardiya Niknam")</f>
        <v>Bardiya Niknam</v>
      </c>
      <c r="F273" s="65"/>
      <c r="G273" s="65"/>
      <c r="H273" s="65" t="str">
        <f>IFERROR(__xludf.DUMMYFUNCTION("""COMPUTED_VALUE"""),"Appliance Rental")</f>
        <v>Appliance Rental</v>
      </c>
      <c r="I273" s="65" t="str">
        <f>IFERROR(__xludf.DUMMYFUNCTION("""COMPUTED_VALUE""")," Double-Door Mini Fridge + Microwave   -  - ")</f>
        <v> Double-Door Mini Fridge + Microwave   -  - </v>
      </c>
      <c r="J273" s="65">
        <f>IFERROR(__xludf.DUMMYFUNCTION("""COMPUTED_VALUE"""),210.0)</f>
        <v>210</v>
      </c>
      <c r="K273" s="103">
        <f>IFERROR(__xludf.DUMMYFUNCTION("""COMPUTED_VALUE"""),45883.0)</f>
        <v>45883</v>
      </c>
      <c r="L273" s="65" t="str">
        <f>IFERROR(__xludf.DUMMYFUNCTION("""COMPUTED_VALUE"""),"Lien  ")</f>
        <v>Lien  </v>
      </c>
      <c r="M273" s="68" t="str">
        <f>IFERROR(__xludf.DUMMYFUNCTION("""COMPUTED_VALUE"""),"3314-a")</f>
        <v>3314-a</v>
      </c>
      <c r="N273" s="65"/>
      <c r="O273" s="65" t="b">
        <f>COUNTIF('Delivered Rentals'!A:A, B273) &gt; 0</f>
        <v>1</v>
      </c>
      <c r="P273" s="104" t="str">
        <f>IFERROR(__xludf.DUMMYFUNCTION("""COMPUTED_VALUE""")," ")</f>
        <v> </v>
      </c>
    </row>
    <row r="274">
      <c r="A274" s="99" t="str">
        <f>IFERROR(__xludf.DUMMYFUNCTION("""COMPUTED_VALUE"""),"https://utrucking.com/admin/orders/5920622969020")</f>
        <v>https://utrucking.com/admin/orders/5920622969020</v>
      </c>
      <c r="B274" s="61" t="str">
        <f>IFERROR(__xludf.DUMMYFUNCTION("""COMPUTED_VALUE"""),"#15857")</f>
        <v>#15857</v>
      </c>
      <c r="C274" s="61"/>
      <c r="D274" s="61">
        <f>IFERROR(__xludf.DUMMYFUNCTION("""COMPUTED_VALUE"""),2.167779895E9)</f>
        <v>2167779895</v>
      </c>
      <c r="E274" s="61" t="str">
        <f>IFERROR(__xludf.DUMMYFUNCTION("""COMPUTED_VALUE"""),"Anya Mathur")</f>
        <v>Anya Mathur</v>
      </c>
      <c r="F274" s="61"/>
      <c r="G274" s="61"/>
      <c r="H274" s="61" t="str">
        <f>IFERROR(__xludf.DUMMYFUNCTION("""COMPUTED_VALUE"""),"Appliance Rental")</f>
        <v>Appliance Rental</v>
      </c>
      <c r="I274" s="61" t="str">
        <f>IFERROR(__xludf.DUMMYFUNCTION("""COMPUTED_VALUE""")," Double-Door Mini Fridge   -  - ")</f>
        <v> Double-Door Mini Fridge   -  - </v>
      </c>
      <c r="J274" s="61">
        <f>IFERROR(__xludf.DUMMYFUNCTION("""COMPUTED_VALUE"""),145.0)</f>
        <v>145</v>
      </c>
      <c r="K274" s="100">
        <f>IFERROR(__xludf.DUMMYFUNCTION("""COMPUTED_VALUE"""),45883.0)</f>
        <v>45883</v>
      </c>
      <c r="L274" s="61" t="str">
        <f>IFERROR(__xludf.DUMMYFUNCTION("""COMPUTED_VALUE"""),"Nemerov  ")</f>
        <v>Nemerov  </v>
      </c>
      <c r="M274" s="64" t="str">
        <f>IFERROR(__xludf.DUMMYFUNCTION("""COMPUTED_VALUE"""),"4110")</f>
        <v>4110</v>
      </c>
      <c r="N274" s="61"/>
      <c r="O274" s="61" t="b">
        <f>COUNTIF('Delivered Rentals'!A:A, B274) &gt; 0</f>
        <v>1</v>
      </c>
      <c r="P274" s="101" t="str">
        <f>IFERROR(__xludf.DUMMYFUNCTION("""COMPUTED_VALUE""")," ")</f>
        <v> </v>
      </c>
    </row>
    <row r="275">
      <c r="A275" s="102" t="str">
        <f>IFERROR(__xludf.DUMMYFUNCTION("""COMPUTED_VALUE"""),"https://utrucking.com/admin/orders/5920708657340")</f>
        <v>https://utrucking.com/admin/orders/5920708657340</v>
      </c>
      <c r="B275" s="65" t="str">
        <f>IFERROR(__xludf.DUMMYFUNCTION("""COMPUTED_VALUE"""),"#15859")</f>
        <v>#15859</v>
      </c>
      <c r="C275" s="65" t="str">
        <f>IFERROR(__xludf.DUMMYFUNCTION("""COMPUTED_VALUE"""),"maddiebschneider@gmail.com")</f>
        <v>maddiebschneider@gmail.com</v>
      </c>
      <c r="D275" s="65">
        <f>IFERROR(__xludf.DUMMYFUNCTION("""COMPUTED_VALUE"""),7.132137252E9)</f>
        <v>7132137252</v>
      </c>
      <c r="E275" s="65" t="str">
        <f>IFERROR(__xludf.DUMMYFUNCTION("""COMPUTED_VALUE"""),"Maddie Schneider")</f>
        <v>Maddie Schneider</v>
      </c>
      <c r="F275" s="65"/>
      <c r="G275" s="65"/>
      <c r="H275" s="65" t="str">
        <f>IFERROR(__xludf.DUMMYFUNCTION("""COMPUTED_VALUE"""),"Appliance Rental")</f>
        <v>Appliance Rental</v>
      </c>
      <c r="I275" s="65" t="str">
        <f>IFERROR(__xludf.DUMMYFUNCTION("""COMPUTED_VALUE""")," Double-Door Mini Fridge + Microwave   -  - ")</f>
        <v> Double-Door Mini Fridge + Microwave   -  - </v>
      </c>
      <c r="J275" s="65">
        <f>IFERROR(__xludf.DUMMYFUNCTION("""COMPUTED_VALUE"""),210.0)</f>
        <v>210</v>
      </c>
      <c r="K275" s="103">
        <f>IFERROR(__xludf.DUMMYFUNCTION("""COMPUTED_VALUE"""),45883.0)</f>
        <v>45883</v>
      </c>
      <c r="L275" s="65" t="str">
        <f>IFERROR(__xludf.DUMMYFUNCTION("""COMPUTED_VALUE"""),"Village House  ")</f>
        <v>Village House  </v>
      </c>
      <c r="M275" s="68" t="str">
        <f>IFERROR(__xludf.DUMMYFUNCTION("""COMPUTED_VALUE"""),"4072-a")</f>
        <v>4072-a</v>
      </c>
      <c r="N275" s="65"/>
      <c r="O275" s="65" t="b">
        <f>COUNTIF('Delivered Rentals'!A:A, B275) &gt; 0</f>
        <v>1</v>
      </c>
      <c r="P275" s="104" t="str">
        <f>IFERROR(__xludf.DUMMYFUNCTION("""COMPUTED_VALUE""")," ")</f>
        <v> </v>
      </c>
    </row>
    <row r="276">
      <c r="A276" s="99" t="str">
        <f>IFERROR(__xludf.DUMMYFUNCTION("""COMPUTED_VALUE"""),"https://utrucking.com/admin/orders/5920720814268")</f>
        <v>https://utrucking.com/admin/orders/5920720814268</v>
      </c>
      <c r="B276" s="61" t="str">
        <f>IFERROR(__xludf.DUMMYFUNCTION("""COMPUTED_VALUE"""),"#15860")</f>
        <v>#15860</v>
      </c>
      <c r="C276" s="61" t="str">
        <f>IFERROR(__xludf.DUMMYFUNCTION("""COMPUTED_VALUE"""),"lucindalaughlin05@gmail.com")</f>
        <v>lucindalaughlin05@gmail.com</v>
      </c>
      <c r="D276" s="61">
        <f>IFERROR(__xludf.DUMMYFUNCTION("""COMPUTED_VALUE"""),4.156524942E9)</f>
        <v>4156524942</v>
      </c>
      <c r="E276" s="61" t="str">
        <f>IFERROR(__xludf.DUMMYFUNCTION("""COMPUTED_VALUE"""),"Lucinda Laughlin")</f>
        <v>Lucinda Laughlin</v>
      </c>
      <c r="F276" s="61"/>
      <c r="G276" s="61"/>
      <c r="H276" s="61" t="str">
        <f>IFERROR(__xludf.DUMMYFUNCTION("""COMPUTED_VALUE"""),"Appliance Rental")</f>
        <v>Appliance Rental</v>
      </c>
      <c r="I276" s="61" t="str">
        <f>IFERROR(__xludf.DUMMYFUNCTION("""COMPUTED_VALUE""")," Double-Door Mini Fridge   -  - ")</f>
        <v> Double-Door Mini Fridge   -  - </v>
      </c>
      <c r="J276" s="61">
        <f>IFERROR(__xludf.DUMMYFUNCTION("""COMPUTED_VALUE"""),145.0)</f>
        <v>145</v>
      </c>
      <c r="K276" s="100">
        <f>IFERROR(__xludf.DUMMYFUNCTION("""COMPUTED_VALUE"""),45882.0)</f>
        <v>45882</v>
      </c>
      <c r="L276" s="61" t="str">
        <f>IFERROR(__xludf.DUMMYFUNCTION("""COMPUTED_VALUE"""),"Gregg  ")</f>
        <v>Gregg  </v>
      </c>
      <c r="M276" s="64" t="str">
        <f>IFERROR(__xludf.DUMMYFUNCTION("""COMPUTED_VALUE"""),"2010")</f>
        <v>2010</v>
      </c>
      <c r="N276" s="61"/>
      <c r="O276" s="61" t="b">
        <f>COUNTIF('Delivered Rentals'!A:A, B276) &gt; 0</f>
        <v>1</v>
      </c>
      <c r="P276" s="101" t="str">
        <f>IFERROR(__xludf.DUMMYFUNCTION("""COMPUTED_VALUE""")," ")</f>
        <v> </v>
      </c>
    </row>
    <row r="277">
      <c r="A277" s="102" t="str">
        <f>IFERROR(__xludf.DUMMYFUNCTION("""COMPUTED_VALUE"""),"https://utrucking.com/admin/orders/5920740737212")</f>
        <v>https://utrucking.com/admin/orders/5920740737212</v>
      </c>
      <c r="B277" s="65" t="str">
        <f>IFERROR(__xludf.DUMMYFUNCTION("""COMPUTED_VALUE"""),"#15861")</f>
        <v>#15861</v>
      </c>
      <c r="C277" s="65" t="str">
        <f>IFERROR(__xludf.DUMMYFUNCTION("""COMPUTED_VALUE"""),"elisabethpease@icloud.com")</f>
        <v>elisabethpease@icloud.com</v>
      </c>
      <c r="D277" s="65">
        <f>IFERROR(__xludf.DUMMYFUNCTION("""COMPUTED_VALUE"""),8.183846515E9)</f>
        <v>8183846515</v>
      </c>
      <c r="E277" s="65" t="str">
        <f>IFERROR(__xludf.DUMMYFUNCTION("""COMPUTED_VALUE"""),"Ashley Pease")</f>
        <v>Ashley Pease</v>
      </c>
      <c r="F277" s="65"/>
      <c r="G277" s="65"/>
      <c r="H277" s="65" t="str">
        <f>IFERROR(__xludf.DUMMYFUNCTION("""COMPUTED_VALUE"""),"Appliance Rental")</f>
        <v>Appliance Rental</v>
      </c>
      <c r="I277" s="65" t="str">
        <f>IFERROR(__xludf.DUMMYFUNCTION("""COMPUTED_VALUE""")," Double-Door Mini Fridge + Microwave   -  - ")</f>
        <v> Double-Door Mini Fridge + Microwave   -  - </v>
      </c>
      <c r="J277" s="65">
        <f>IFERROR(__xludf.DUMMYFUNCTION("""COMPUTED_VALUE"""),210.0)</f>
        <v>210</v>
      </c>
      <c r="K277" s="103">
        <f>IFERROR(__xludf.DUMMYFUNCTION("""COMPUTED_VALUE"""),45883.0)</f>
        <v>45883</v>
      </c>
      <c r="L277" s="65" t="str">
        <f>IFERROR(__xludf.DUMMYFUNCTION("""COMPUTED_VALUE"""),"Nemerov  ")</f>
        <v>Nemerov  </v>
      </c>
      <c r="M277" s="68" t="str">
        <f>IFERROR(__xludf.DUMMYFUNCTION("""COMPUTED_VALUE"""),"2023 - a")</f>
        <v>2023 - a</v>
      </c>
      <c r="N277" s="65"/>
      <c r="O277" s="65" t="b">
        <f>COUNTIF('Delivered Rentals'!A:A, B277) &gt; 0</f>
        <v>1</v>
      </c>
      <c r="P277" s="104" t="str">
        <f>IFERROR(__xludf.DUMMYFUNCTION("""COMPUTED_VALUE""")," ")</f>
        <v> </v>
      </c>
    </row>
    <row r="278">
      <c r="A278" s="99" t="str">
        <f>IFERROR(__xludf.DUMMYFUNCTION("""COMPUTED_VALUE"""),"https://utrucking.com/admin/orders/5920853000380")</f>
        <v>https://utrucking.com/admin/orders/5920853000380</v>
      </c>
      <c r="B278" s="61" t="str">
        <f>IFERROR(__xludf.DUMMYFUNCTION("""COMPUTED_VALUE"""),"#15868")</f>
        <v>#15868</v>
      </c>
      <c r="C278" s="61" t="str">
        <f>IFERROR(__xludf.DUMMYFUNCTION("""COMPUTED_VALUE"""),"avivakleinhaus59@gmail.com")</f>
        <v>avivakleinhaus59@gmail.com</v>
      </c>
      <c r="D278" s="61">
        <f>IFERROR(__xludf.DUMMYFUNCTION("""COMPUTED_VALUE"""),9.174801265E9)</f>
        <v>9174801265</v>
      </c>
      <c r="E278" s="61" t="str">
        <f>IFERROR(__xludf.DUMMYFUNCTION("""COMPUTED_VALUE"""),"Aviva Kleinhaus")</f>
        <v>Aviva Kleinhaus</v>
      </c>
      <c r="F278" s="61"/>
      <c r="G278" s="61"/>
      <c r="H278" s="61" t="str">
        <f>IFERROR(__xludf.DUMMYFUNCTION("""COMPUTED_VALUE"""),"Appliance Rental")</f>
        <v>Appliance Rental</v>
      </c>
      <c r="I278" s="61" t="str">
        <f>IFERROR(__xludf.DUMMYFUNCTION("""COMPUTED_VALUE""")," Double-Door Mini Fridge + Microwave   -  - ")</f>
        <v> Double-Door Mini Fridge + Microwave   -  - </v>
      </c>
      <c r="J278" s="61">
        <f>IFERROR(__xludf.DUMMYFUNCTION("""COMPUTED_VALUE"""),210.0)</f>
        <v>210</v>
      </c>
      <c r="K278" s="100">
        <f>IFERROR(__xludf.DUMMYFUNCTION("""COMPUTED_VALUE"""),45883.0)</f>
        <v>45883</v>
      </c>
      <c r="L278" s="61" t="str">
        <f>IFERROR(__xludf.DUMMYFUNCTION("""COMPUTED_VALUE"""),"Danforth  ")</f>
        <v>Danforth  </v>
      </c>
      <c r="M278" s="64" t="str">
        <f>IFERROR(__xludf.DUMMYFUNCTION("""COMPUTED_VALUE"""),"3319")</f>
        <v>3319</v>
      </c>
      <c r="N278" s="61"/>
      <c r="O278" s="61" t="b">
        <f>COUNTIF('Delivered Rentals'!A:A, B278) &gt; 0</f>
        <v>1</v>
      </c>
      <c r="P278" s="101" t="str">
        <f>IFERROR(__xludf.DUMMYFUNCTION("""COMPUTED_VALUE""")," ")</f>
        <v> </v>
      </c>
    </row>
    <row r="279">
      <c r="A279" s="102" t="str">
        <f>IFERROR(__xludf.DUMMYFUNCTION("""COMPUTED_VALUE"""),"https://utrucking.com/admin/orders/5920861094076")</f>
        <v>https://utrucking.com/admin/orders/5920861094076</v>
      </c>
      <c r="B279" s="65" t="str">
        <f>IFERROR(__xludf.DUMMYFUNCTION("""COMPUTED_VALUE"""),"#15869")</f>
        <v>#15869</v>
      </c>
      <c r="C279" s="65" t="str">
        <f>IFERROR(__xludf.DUMMYFUNCTION("""COMPUTED_VALUE"""),"selinalin0608@gmail.com")</f>
        <v>selinalin0608@gmail.com</v>
      </c>
      <c r="D279" s="65">
        <f>IFERROR(__xludf.DUMMYFUNCTION("""COMPUTED_VALUE"""),7.789272818E9)</f>
        <v>7789272818</v>
      </c>
      <c r="E279" s="65" t="str">
        <f>IFERROR(__xludf.DUMMYFUNCTION("""COMPUTED_VALUE"""),"Selina Lin")</f>
        <v>Selina Lin</v>
      </c>
      <c r="F279" s="65"/>
      <c r="G279" s="65"/>
      <c r="H279" s="65" t="str">
        <f>IFERROR(__xludf.DUMMYFUNCTION("""COMPUTED_VALUE"""),"Appliance Rental")</f>
        <v>Appliance Rental</v>
      </c>
      <c r="I279" s="65" t="str">
        <f>IFERROR(__xludf.DUMMYFUNCTION("""COMPUTED_VALUE""")," Double-Door Mini Fridge + Microwave   -  - ")</f>
        <v> Double-Door Mini Fridge + Microwave   -  - </v>
      </c>
      <c r="J279" s="65">
        <f>IFERROR(__xludf.DUMMYFUNCTION("""COMPUTED_VALUE"""),210.0)</f>
        <v>210</v>
      </c>
      <c r="K279" s="103">
        <f>IFERROR(__xludf.DUMMYFUNCTION("""COMPUTED_VALUE"""),45880.0)</f>
        <v>45880</v>
      </c>
      <c r="L279" s="65" t="str">
        <f>IFERROR(__xludf.DUMMYFUNCTION("""COMPUTED_VALUE"""),"Umrath  ")</f>
        <v>Umrath  </v>
      </c>
      <c r="M279" s="68" t="str">
        <f>IFERROR(__xludf.DUMMYFUNCTION("""COMPUTED_VALUE"""),"2211")</f>
        <v>2211</v>
      </c>
      <c r="N279" s="65"/>
      <c r="O279" s="65" t="b">
        <f>COUNTIF('Delivered Rentals'!A:A, B279) &gt; 0</f>
        <v>1</v>
      </c>
      <c r="P279" s="104" t="str">
        <f>IFERROR(__xludf.DUMMYFUNCTION("""COMPUTED_VALUE""")," ")</f>
        <v> </v>
      </c>
    </row>
    <row r="280">
      <c r="A280" s="99" t="str">
        <f>IFERROR(__xludf.DUMMYFUNCTION("""COMPUTED_VALUE"""),"https://utrucking.com/admin/orders/5920887079100")</f>
        <v>https://utrucking.com/admin/orders/5920887079100</v>
      </c>
      <c r="B280" s="61" t="str">
        <f>IFERROR(__xludf.DUMMYFUNCTION("""COMPUTED_VALUE"""),"#15871")</f>
        <v>#15871</v>
      </c>
      <c r="C280" s="61"/>
      <c r="D280" s="61">
        <f>IFERROR(__xludf.DUMMYFUNCTION("""COMPUTED_VALUE"""),5.026450365E9)</f>
        <v>5026450365</v>
      </c>
      <c r="E280" s="61" t="str">
        <f>IFERROR(__xludf.DUMMYFUNCTION("""COMPUTED_VALUE"""),"Staci James")</f>
        <v>Staci James</v>
      </c>
      <c r="F280" s="61"/>
      <c r="G280" s="61"/>
      <c r="H280" s="61" t="str">
        <f>IFERROR(__xludf.DUMMYFUNCTION("""COMPUTED_VALUE"""),"Appliance Rental")</f>
        <v>Appliance Rental</v>
      </c>
      <c r="I280" s="61" t="str">
        <f>IFERROR(__xludf.DUMMYFUNCTION("""COMPUTED_VALUE""")," Standard Mini Fridge   -  - ")</f>
        <v> Standard Mini Fridge   -  - </v>
      </c>
      <c r="J280" s="61">
        <f>IFERROR(__xludf.DUMMYFUNCTION("""COMPUTED_VALUE"""),115.0)</f>
        <v>115</v>
      </c>
      <c r="K280" s="100">
        <f>IFERROR(__xludf.DUMMYFUNCTION("""COMPUTED_VALUE"""),45883.0)</f>
        <v>45883</v>
      </c>
      <c r="L280" s="61" t="str">
        <f>IFERROR(__xludf.DUMMYFUNCTION("""COMPUTED_VALUE"""),"Myers  ")</f>
        <v>Myers  </v>
      </c>
      <c r="M280" s="64" t="str">
        <f>IFERROR(__xludf.DUMMYFUNCTION("""COMPUTED_VALUE"""),"412")</f>
        <v>412</v>
      </c>
      <c r="N280" s="61"/>
      <c r="O280" s="61" t="b">
        <f>COUNTIF('Delivered Rentals'!A:A, B280) &gt; 0</f>
        <v>1</v>
      </c>
      <c r="P280" s="101" t="str">
        <f>IFERROR(__xludf.DUMMYFUNCTION("""COMPUTED_VALUE""")," ")</f>
        <v> </v>
      </c>
    </row>
    <row r="281">
      <c r="A281" s="102" t="str">
        <f>IFERROR(__xludf.DUMMYFUNCTION("""COMPUTED_VALUE"""),"https://utrucking.com/admin/orders/5920933347516")</f>
        <v>https://utrucking.com/admin/orders/5920933347516</v>
      </c>
      <c r="B281" s="65" t="str">
        <f>IFERROR(__xludf.DUMMYFUNCTION("""COMPUTED_VALUE"""),"#15873")</f>
        <v>#15873</v>
      </c>
      <c r="C281" s="65" t="str">
        <f>IFERROR(__xludf.DUMMYFUNCTION("""COMPUTED_VALUE"""),"bgeneva@wustl.edu")</f>
        <v>bgeneva@wustl.edu</v>
      </c>
      <c r="D281" s="65">
        <f>IFERROR(__xludf.DUMMYFUNCTION("""COMPUTED_VALUE"""),6.178627945E9)</f>
        <v>6178627945</v>
      </c>
      <c r="E281" s="65" t="str">
        <f>IFERROR(__xludf.DUMMYFUNCTION("""COMPUTED_VALUE"""),"Geneva Burkitt")</f>
        <v>Geneva Burkitt</v>
      </c>
      <c r="F281" s="65"/>
      <c r="G281" s="65"/>
      <c r="H281" s="65" t="str">
        <f>IFERROR(__xludf.DUMMYFUNCTION("""COMPUTED_VALUE"""),"Appliance Rental")</f>
        <v>Appliance Rental</v>
      </c>
      <c r="I281" s="65" t="str">
        <f>IFERROR(__xludf.DUMMYFUNCTION("""COMPUTED_VALUE""")," Double-Door Mini Fridge + Microwave   -  - ")</f>
        <v> Double-Door Mini Fridge + Microwave   -  - </v>
      </c>
      <c r="J281" s="65">
        <f>IFERROR(__xludf.DUMMYFUNCTION("""COMPUTED_VALUE"""),210.0)</f>
        <v>210</v>
      </c>
      <c r="K281" s="103">
        <f>IFERROR(__xludf.DUMMYFUNCTION("""COMPUTED_VALUE"""),45875.0)</f>
        <v>45875</v>
      </c>
      <c r="L281" s="65" t="str">
        <f>IFERROR(__xludf.DUMMYFUNCTION("""COMPUTED_VALUE"""),"DON'T KNOW YET (put 'XXX' for room #)")</f>
        <v>DON'T KNOW YET (put 'XXX' for room #)</v>
      </c>
      <c r="M281" s="68" t="str">
        <f>IFERROR(__xludf.DUMMYFUNCTION("""COMPUTED_VALUE"""),"3153")</f>
        <v>3153</v>
      </c>
      <c r="N281" s="65"/>
      <c r="O281" s="65" t="b">
        <f>COUNTIF('Delivered Rentals'!A:A, B281) &gt; 0</f>
        <v>1</v>
      </c>
      <c r="P281" s="104" t="str">
        <f>IFERROR(__xludf.DUMMYFUNCTION("""COMPUTED_VALUE""")," ")</f>
        <v> </v>
      </c>
    </row>
    <row r="282">
      <c r="A282" s="99" t="str">
        <f>IFERROR(__xludf.DUMMYFUNCTION("""COMPUTED_VALUE"""),"https://utrucking.com/admin/orders/5921014251708")</f>
        <v>https://utrucking.com/admin/orders/5921014251708</v>
      </c>
      <c r="B282" s="61" t="str">
        <f>IFERROR(__xludf.DUMMYFUNCTION("""COMPUTED_VALUE"""),"#15874")</f>
        <v>#15874</v>
      </c>
      <c r="C282" s="61"/>
      <c r="D282" s="61">
        <f>IFERROR(__xludf.DUMMYFUNCTION("""COMPUTED_VALUE"""),3.10916677E9)</f>
        <v>3109166770</v>
      </c>
      <c r="E282" s="61" t="str">
        <f>IFERROR(__xludf.DUMMYFUNCTION("""COMPUTED_VALUE"""),"Ross Goldberg")</f>
        <v>Ross Goldberg</v>
      </c>
      <c r="F282" s="61"/>
      <c r="G282" s="61"/>
      <c r="H282" s="61" t="str">
        <f>IFERROR(__xludf.DUMMYFUNCTION("""COMPUTED_VALUE"""),"Appliance Rental")</f>
        <v>Appliance Rental</v>
      </c>
      <c r="I282" s="61" t="str">
        <f>IFERROR(__xludf.DUMMYFUNCTION("""COMPUTED_VALUE""")," Standard Mini Fridge   -  - ")</f>
        <v> Standard Mini Fridge   -  - </v>
      </c>
      <c r="J282" s="61">
        <f>IFERROR(__xludf.DUMMYFUNCTION("""COMPUTED_VALUE"""),115.0)</f>
        <v>115</v>
      </c>
      <c r="K282" s="100">
        <f>IFERROR(__xludf.DUMMYFUNCTION("""COMPUTED_VALUE"""),45883.0)</f>
        <v>45883</v>
      </c>
      <c r="L282" s="61" t="str">
        <f>IFERROR(__xludf.DUMMYFUNCTION("""COMPUTED_VALUE"""),"Zetcher  ")</f>
        <v>Zetcher  </v>
      </c>
      <c r="M282" s="64" t="str">
        <f>IFERROR(__xludf.DUMMYFUNCTION("""COMPUTED_VALUE"""),"2022")</f>
        <v>2022</v>
      </c>
      <c r="N282" s="61"/>
      <c r="O282" s="61" t="b">
        <f>COUNTIF('Delivered Rentals'!A:A, B282) &gt; 0</f>
        <v>1</v>
      </c>
      <c r="P282" s="101" t="str">
        <f>IFERROR(__xludf.DUMMYFUNCTION("""COMPUTED_VALUE""")," ")</f>
        <v> </v>
      </c>
    </row>
    <row r="283">
      <c r="A283" s="102" t="str">
        <f>IFERROR(__xludf.DUMMYFUNCTION("""COMPUTED_VALUE"""),"https://utrucking.com/admin/orders/5921157152956")</f>
        <v>https://utrucking.com/admin/orders/5921157152956</v>
      </c>
      <c r="B283" s="65" t="str">
        <f>IFERROR(__xludf.DUMMYFUNCTION("""COMPUTED_VALUE"""),"#15878")</f>
        <v>#15878</v>
      </c>
      <c r="C283" s="65" t="str">
        <f>IFERROR(__xludf.DUMMYFUNCTION("""COMPUTED_VALUE"""),"lexirl12@icloud.com")</f>
        <v>lexirl12@icloud.com</v>
      </c>
      <c r="D283" s="65">
        <f>IFERROR(__xludf.DUMMYFUNCTION("""COMPUTED_VALUE"""),6.469060292E9)</f>
        <v>6469060292</v>
      </c>
      <c r="E283" s="65" t="str">
        <f>IFERROR(__xludf.DUMMYFUNCTION("""COMPUTED_VALUE"""),"Lexi Lawsky")</f>
        <v>Lexi Lawsky</v>
      </c>
      <c r="F283" s="65"/>
      <c r="G283" s="65"/>
      <c r="H283" s="65" t="str">
        <f>IFERROR(__xludf.DUMMYFUNCTION("""COMPUTED_VALUE"""),"Appliance Rental")</f>
        <v>Appliance Rental</v>
      </c>
      <c r="I283" s="65" t="str">
        <f>IFERROR(__xludf.DUMMYFUNCTION("""COMPUTED_VALUE""")," Double-Door Mini Fridge   -  - ")</f>
        <v> Double-Door Mini Fridge   -  - </v>
      </c>
      <c r="J283" s="65">
        <f>IFERROR(__xludf.DUMMYFUNCTION("""COMPUTED_VALUE"""),145.0)</f>
        <v>145</v>
      </c>
      <c r="K283" s="103">
        <f>IFERROR(__xludf.DUMMYFUNCTION("""COMPUTED_VALUE"""),45883.0)</f>
        <v>45883</v>
      </c>
      <c r="L283" s="65" t="str">
        <f>IFERROR(__xludf.DUMMYFUNCTION("""COMPUTED_VALUE"""),"Danforth  ")</f>
        <v>Danforth  </v>
      </c>
      <c r="M283" s="68" t="str">
        <f>IFERROR(__xludf.DUMMYFUNCTION("""COMPUTED_VALUE"""),"4426")</f>
        <v>4426</v>
      </c>
      <c r="N283" s="65"/>
      <c r="O283" s="65" t="b">
        <f>COUNTIF('Delivered Rentals'!A:A, B283) &gt; 0</f>
        <v>1</v>
      </c>
      <c r="P283" s="104" t="str">
        <f>IFERROR(__xludf.DUMMYFUNCTION("""COMPUTED_VALUE""")," ")</f>
        <v> </v>
      </c>
    </row>
    <row r="284">
      <c r="A284" s="99" t="str">
        <f>IFERROR(__xludf.DUMMYFUNCTION("""COMPUTED_VALUE"""),"https://utrucking.com/admin/orders/5921302380732")</f>
        <v>https://utrucking.com/admin/orders/5921302380732</v>
      </c>
      <c r="B284" s="61" t="str">
        <f>IFERROR(__xludf.DUMMYFUNCTION("""COMPUTED_VALUE"""),"#15880")</f>
        <v>#15880</v>
      </c>
      <c r="C284" s="61" t="str">
        <f>IFERROR(__xludf.DUMMYFUNCTION("""COMPUTED_VALUE"""),"e.leckerman@wustl.edu")</f>
        <v>e.leckerman@wustl.edu</v>
      </c>
      <c r="D284" s="61">
        <f>IFERROR(__xludf.DUMMYFUNCTION("""COMPUTED_VALUE"""),2.673097223E9)</f>
        <v>2673097223</v>
      </c>
      <c r="E284" s="61" t="str">
        <f>IFERROR(__xludf.DUMMYFUNCTION("""COMPUTED_VALUE"""),"Elijah Leckerman")</f>
        <v>Elijah Leckerman</v>
      </c>
      <c r="F284" s="61"/>
      <c r="G284" s="61"/>
      <c r="H284" s="61" t="str">
        <f>IFERROR(__xludf.DUMMYFUNCTION("""COMPUTED_VALUE"""),"Appliance Rental")</f>
        <v>Appliance Rental</v>
      </c>
      <c r="I284" s="61" t="str">
        <f>IFERROR(__xludf.DUMMYFUNCTION("""COMPUTED_VALUE""")," Double-Door Mini Fridge + Microwave   -  - ")</f>
        <v> Double-Door Mini Fridge + Microwave   -  - </v>
      </c>
      <c r="J284" s="61">
        <f>IFERROR(__xludf.DUMMYFUNCTION("""COMPUTED_VALUE"""),210.0)</f>
        <v>210</v>
      </c>
      <c r="K284" s="100">
        <f>IFERROR(__xludf.DUMMYFUNCTION("""COMPUTED_VALUE"""),45883.0)</f>
        <v>45883</v>
      </c>
      <c r="L284" s="61" t="str">
        <f>IFERROR(__xludf.DUMMYFUNCTION("""COMPUTED_VALUE"""),"Gregg  ")</f>
        <v>Gregg  </v>
      </c>
      <c r="M284" s="64" t="str">
        <f>IFERROR(__xludf.DUMMYFUNCTION("""COMPUTED_VALUE"""),"2174")</f>
        <v>2174</v>
      </c>
      <c r="N284" s="61"/>
      <c r="O284" s="61" t="b">
        <f>COUNTIF('Delivered Rentals'!A:A, B284) &gt; 0</f>
        <v>1</v>
      </c>
      <c r="P284" s="101" t="str">
        <f>IFERROR(__xludf.DUMMYFUNCTION("""COMPUTED_VALUE""")," ")</f>
        <v> </v>
      </c>
    </row>
    <row r="285">
      <c r="A285" s="102" t="str">
        <f>IFERROR(__xludf.DUMMYFUNCTION("""COMPUTED_VALUE"""),"https://utrucking.com/admin/orders/5921546830012")</f>
        <v>https://utrucking.com/admin/orders/5921546830012</v>
      </c>
      <c r="B285" s="65" t="str">
        <f>IFERROR(__xludf.DUMMYFUNCTION("""COMPUTED_VALUE"""),"#15893")</f>
        <v>#15893</v>
      </c>
      <c r="C285" s="65"/>
      <c r="D285" s="65">
        <f>IFERROR(__xludf.DUMMYFUNCTION("""COMPUTED_VALUE"""),5.719994644E9)</f>
        <v>5719994644</v>
      </c>
      <c r="E285" s="65" t="str">
        <f>IFERROR(__xludf.DUMMYFUNCTION("""COMPUTED_VALUE"""),"Julia Markowitz")</f>
        <v>Julia Markowitz</v>
      </c>
      <c r="F285" s="65"/>
      <c r="G285" s="65"/>
      <c r="H285" s="65" t="str">
        <f>IFERROR(__xludf.DUMMYFUNCTION("""COMPUTED_VALUE"""),"Appliance Rental")</f>
        <v>Appliance Rental</v>
      </c>
      <c r="I285" s="65" t="str">
        <f>IFERROR(__xludf.DUMMYFUNCTION("""COMPUTED_VALUE""")," Double-Door Mini Fridge + Microwave   -  - ")</f>
        <v> Double-Door Mini Fridge + Microwave   -  - </v>
      </c>
      <c r="J285" s="65">
        <f>IFERROR(__xludf.DUMMYFUNCTION("""COMPUTED_VALUE"""),210.0)</f>
        <v>210</v>
      </c>
      <c r="K285" s="103">
        <f>IFERROR(__xludf.DUMMYFUNCTION("""COMPUTED_VALUE"""),45881.0)</f>
        <v>45881</v>
      </c>
      <c r="L285" s="65" t="str">
        <f>IFERROR(__xludf.DUMMYFUNCTION("""COMPUTED_VALUE"""),"Lien  ")</f>
        <v>Lien  </v>
      </c>
      <c r="M285" s="68" t="str">
        <f>IFERROR(__xludf.DUMMYFUNCTION("""COMPUTED_VALUE"""),"3319")</f>
        <v>3319</v>
      </c>
      <c r="N285" s="65"/>
      <c r="O285" s="65" t="b">
        <f>COUNTIF('Delivered Rentals'!A:A, B285) &gt; 0</f>
        <v>1</v>
      </c>
      <c r="P285" s="104" t="str">
        <f>IFERROR(__xludf.DUMMYFUNCTION("""COMPUTED_VALUE""")," ")</f>
        <v> </v>
      </c>
    </row>
    <row r="286">
      <c r="A286" s="99" t="str">
        <f>IFERROR(__xludf.DUMMYFUNCTION("""COMPUTED_VALUE"""),"https://utrucking.com/admin/orders/5921608007868")</f>
        <v>https://utrucking.com/admin/orders/5921608007868</v>
      </c>
      <c r="B286" s="61" t="str">
        <f>IFERROR(__xludf.DUMMYFUNCTION("""COMPUTED_VALUE"""),"#15896")</f>
        <v>#15896</v>
      </c>
      <c r="C286" s="61" t="str">
        <f>IFERROR(__xludf.DUMMYFUNCTION("""COMPUTED_VALUE"""),"seanandleslie@comcast.net")</f>
        <v>seanandleslie@comcast.net</v>
      </c>
      <c r="D286" s="61">
        <f>IFERROR(__xludf.DUMMYFUNCTION("""COMPUTED_VALUE"""),8.477911229E9)</f>
        <v>8477911229</v>
      </c>
      <c r="E286" s="61" t="str">
        <f>IFERROR(__xludf.DUMMYFUNCTION("""COMPUTED_VALUE"""),"Sean Smith")</f>
        <v>Sean Smith</v>
      </c>
      <c r="F286" s="61"/>
      <c r="G286" s="61"/>
      <c r="H286" s="61" t="str">
        <f>IFERROR(__xludf.DUMMYFUNCTION("""COMPUTED_VALUE"""),"Appliance Rental")</f>
        <v>Appliance Rental</v>
      </c>
      <c r="I286" s="61" t="str">
        <f>IFERROR(__xludf.DUMMYFUNCTION("""COMPUTED_VALUE""")," Double-Door Mini Fridge + Microwave   -  - ")</f>
        <v> Double-Door Mini Fridge + Microwave   -  - </v>
      </c>
      <c r="J286" s="61">
        <f>IFERROR(__xludf.DUMMYFUNCTION("""COMPUTED_VALUE"""),210.0)</f>
        <v>210</v>
      </c>
      <c r="K286" s="100">
        <f>IFERROR(__xludf.DUMMYFUNCTION("""COMPUTED_VALUE"""),45883.0)</f>
        <v>45883</v>
      </c>
      <c r="L286" s="61" t="str">
        <f>IFERROR(__xludf.DUMMYFUNCTION("""COMPUTED_VALUE"""),"Zetcher  ")</f>
        <v>Zetcher  </v>
      </c>
      <c r="M286" s="64" t="str">
        <f>IFERROR(__xludf.DUMMYFUNCTION("""COMPUTED_VALUE"""),"4190")</f>
        <v>4190</v>
      </c>
      <c r="N286" s="61"/>
      <c r="O286" s="61" t="b">
        <f>COUNTIF('Delivered Rentals'!A:A, B286) &gt; 0</f>
        <v>1</v>
      </c>
      <c r="P286" s="101" t="str">
        <f>IFERROR(__xludf.DUMMYFUNCTION("""COMPUTED_VALUE""")," ")</f>
        <v> </v>
      </c>
    </row>
    <row r="287">
      <c r="A287" s="102" t="str">
        <f>IFERROR(__xludf.DUMMYFUNCTION("""COMPUTED_VALUE"""),"https://utrucking.com/admin/orders/5921682751676")</f>
        <v>https://utrucking.com/admin/orders/5921682751676</v>
      </c>
      <c r="B287" s="65" t="str">
        <f>IFERROR(__xludf.DUMMYFUNCTION("""COMPUTED_VALUE"""),"#15897")</f>
        <v>#15897</v>
      </c>
      <c r="C287" s="65" t="str">
        <f>IFERROR(__xludf.DUMMYFUNCTION("""COMPUTED_VALUE"""),"heidibaltimore@gmail.com")</f>
        <v>heidibaltimore@gmail.com</v>
      </c>
      <c r="D287" s="65">
        <f>IFERROR(__xludf.DUMMYFUNCTION("""COMPUTED_VALUE"""),2.039217823E9)</f>
        <v>2039217823</v>
      </c>
      <c r="E287" s="65" t="str">
        <f>IFERROR(__xludf.DUMMYFUNCTION("""COMPUTED_VALUE"""),"Heidi Baltimore")</f>
        <v>Heidi Baltimore</v>
      </c>
      <c r="F287" s="65"/>
      <c r="G287" s="65"/>
      <c r="H287" s="65" t="str">
        <f>IFERROR(__xludf.DUMMYFUNCTION("""COMPUTED_VALUE"""),"Appliance Rental")</f>
        <v>Appliance Rental</v>
      </c>
      <c r="I287" s="65" t="str">
        <f>IFERROR(__xludf.DUMMYFUNCTION("""COMPUTED_VALUE""")," Double-Door Mini Fridge   -  - ")</f>
        <v> Double-Door Mini Fridge   -  - </v>
      </c>
      <c r="J287" s="65">
        <f>IFERROR(__xludf.DUMMYFUNCTION("""COMPUTED_VALUE"""),145.0)</f>
        <v>145</v>
      </c>
      <c r="K287" s="103">
        <f>IFERROR(__xludf.DUMMYFUNCTION("""COMPUTED_VALUE"""),45883.0)</f>
        <v>45883</v>
      </c>
      <c r="L287" s="65" t="str">
        <f>IFERROR(__xludf.DUMMYFUNCTION("""COMPUTED_VALUE"""),"Zetcher  ")</f>
        <v>Zetcher  </v>
      </c>
      <c r="M287" s="68" t="str">
        <f>IFERROR(__xludf.DUMMYFUNCTION("""COMPUTED_VALUE"""),"3222")</f>
        <v>3222</v>
      </c>
      <c r="N287" s="65"/>
      <c r="O287" s="65" t="b">
        <f>COUNTIF('Delivered Rentals'!A:A, B287) &gt; 0</f>
        <v>1</v>
      </c>
      <c r="P287" s="104" t="str">
        <f>IFERROR(__xludf.DUMMYFUNCTION("""COMPUTED_VALUE""")," ")</f>
        <v> </v>
      </c>
    </row>
    <row r="288">
      <c r="A288" s="99" t="str">
        <f>IFERROR(__xludf.DUMMYFUNCTION("""COMPUTED_VALUE"""),"https://utrucking.com/admin/orders/5921775517884")</f>
        <v>https://utrucking.com/admin/orders/5921775517884</v>
      </c>
      <c r="B288" s="61" t="str">
        <f>IFERROR(__xludf.DUMMYFUNCTION("""COMPUTED_VALUE"""),"#15901")</f>
        <v>#15901</v>
      </c>
      <c r="C288" s="61"/>
      <c r="D288" s="61">
        <f>IFERROR(__xludf.DUMMYFUNCTION("""COMPUTED_VALUE"""),9.723330602E9)</f>
        <v>9723330602</v>
      </c>
      <c r="E288" s="61" t="str">
        <f>IFERROR(__xludf.DUMMYFUNCTION("""COMPUTED_VALUE"""),"Stacey Titens")</f>
        <v>Stacey Titens</v>
      </c>
      <c r="F288" s="61"/>
      <c r="G288" s="61"/>
      <c r="H288" s="61" t="str">
        <f>IFERROR(__xludf.DUMMYFUNCTION("""COMPUTED_VALUE"""),"Appliance Rental")</f>
        <v>Appliance Rental</v>
      </c>
      <c r="I288" s="61" t="str">
        <f>IFERROR(__xludf.DUMMYFUNCTION("""COMPUTED_VALUE""")," Double-Door Mini Fridge + Microwave   -  - ")</f>
        <v> Double-Door Mini Fridge + Microwave   -  - </v>
      </c>
      <c r="J288" s="61">
        <f>IFERROR(__xludf.DUMMYFUNCTION("""COMPUTED_VALUE"""),210.0)</f>
        <v>210</v>
      </c>
      <c r="K288" s="100">
        <f>IFERROR(__xludf.DUMMYFUNCTION("""COMPUTED_VALUE"""),45891.0)</f>
        <v>45891</v>
      </c>
      <c r="L288" s="61" t="str">
        <f>IFERROR(__xludf.DUMMYFUNCTION("""COMPUTED_VALUE"""),"House 22 (Beta Theta Pi)")</f>
        <v>House 22 (Beta Theta Pi)</v>
      </c>
      <c r="M288" s="64" t="str">
        <f>IFERROR(__xludf.DUMMYFUNCTION("""COMPUTED_VALUE"""),"3012")</f>
        <v>3012</v>
      </c>
      <c r="N288" s="61"/>
      <c r="O288" s="61" t="b">
        <f>COUNTIF('Delivered Rentals'!A:A, B288) &gt; 0</f>
        <v>1</v>
      </c>
      <c r="P288" s="101" t="str">
        <f>IFERROR(__xludf.DUMMYFUNCTION("""COMPUTED_VALUE""")," ")</f>
        <v> </v>
      </c>
    </row>
    <row r="289">
      <c r="A289" s="102" t="str">
        <f>IFERROR(__xludf.DUMMYFUNCTION("""COMPUTED_VALUE"""),"https://utrucking.com/admin/orders/5921863958716")</f>
        <v>https://utrucking.com/admin/orders/5921863958716</v>
      </c>
      <c r="B289" s="65" t="str">
        <f>IFERROR(__xludf.DUMMYFUNCTION("""COMPUTED_VALUE"""),"#15903")</f>
        <v>#15903</v>
      </c>
      <c r="C289" s="65" t="str">
        <f>IFERROR(__xludf.DUMMYFUNCTION("""COMPUTED_VALUE"""),"erichan4191@gmail.com")</f>
        <v>erichan4191@gmail.com</v>
      </c>
      <c r="D289" s="65">
        <f>IFERROR(__xludf.DUMMYFUNCTION("""COMPUTED_VALUE"""),1.6508809E10)</f>
        <v>16508809000</v>
      </c>
      <c r="E289" s="65" t="str">
        <f>IFERROR(__xludf.DUMMYFUNCTION("""COMPUTED_VALUE"""),"Eric Han")</f>
        <v>Eric Han</v>
      </c>
      <c r="F289" s="65"/>
      <c r="G289" s="65"/>
      <c r="H289" s="65" t="str">
        <f>IFERROR(__xludf.DUMMYFUNCTION("""COMPUTED_VALUE"""),"Appliance Rental")</f>
        <v>Appliance Rental</v>
      </c>
      <c r="I289" s="65" t="str">
        <f>IFERROR(__xludf.DUMMYFUNCTION("""COMPUTED_VALUE""")," Double-Door Mini Fridge + Microwave   -  - ")</f>
        <v> Double-Door Mini Fridge + Microwave   -  - </v>
      </c>
      <c r="J289" s="65">
        <f>IFERROR(__xludf.DUMMYFUNCTION("""COMPUTED_VALUE"""),210.0)</f>
        <v>210</v>
      </c>
      <c r="K289" s="103">
        <f>IFERROR(__xludf.DUMMYFUNCTION("""COMPUTED_VALUE"""),45883.0)</f>
        <v>45883</v>
      </c>
      <c r="L289" s="65" t="str">
        <f>IFERROR(__xludf.DUMMYFUNCTION("""COMPUTED_VALUE"""),"Danforth  ")</f>
        <v>Danforth  </v>
      </c>
      <c r="M289" s="68" t="str">
        <f>IFERROR(__xludf.DUMMYFUNCTION("""COMPUTED_VALUE"""),"4429")</f>
        <v>4429</v>
      </c>
      <c r="N289" s="65"/>
      <c r="O289" s="65" t="b">
        <f>COUNTIF('Delivered Rentals'!A:A, B289) &gt; 0</f>
        <v>1</v>
      </c>
      <c r="P289" s="104" t="str">
        <f>IFERROR(__xludf.DUMMYFUNCTION("""COMPUTED_VALUE""")," ")</f>
        <v> </v>
      </c>
    </row>
    <row r="290">
      <c r="A290" s="99" t="str">
        <f>IFERROR(__xludf.DUMMYFUNCTION("""COMPUTED_VALUE"""),"https://utrucking.com/admin/orders/5921909014716")</f>
        <v>https://utrucking.com/admin/orders/5921909014716</v>
      </c>
      <c r="B290" s="61" t="str">
        <f>IFERROR(__xludf.DUMMYFUNCTION("""COMPUTED_VALUE"""),"#15904")</f>
        <v>#15904</v>
      </c>
      <c r="C290" s="61" t="str">
        <f>IFERROR(__xludf.DUMMYFUNCTION("""COMPUTED_VALUE"""),"ybookim@gmail.com")</f>
        <v>ybookim@gmail.com</v>
      </c>
      <c r="D290" s="61"/>
      <c r="E290" s="61" t="str">
        <f>IFERROR(__xludf.DUMMYFUNCTION("""COMPUTED_VALUE"""),"YOUNG BOO 김영부")</f>
        <v>YOUNG BOO 김영부</v>
      </c>
      <c r="F290" s="61"/>
      <c r="G290" s="61"/>
      <c r="H290" s="61" t="str">
        <f>IFERROR(__xludf.DUMMYFUNCTION("""COMPUTED_VALUE"""),"Appliance Rental")</f>
        <v>Appliance Rental</v>
      </c>
      <c r="I290" s="61" t="str">
        <f>IFERROR(__xludf.DUMMYFUNCTION("""COMPUTED_VALUE""")," Standard Mini Fridge + Microwave   -  - ")</f>
        <v> Standard Mini Fridge + Microwave   -  - </v>
      </c>
      <c r="J290" s="61">
        <f>IFERROR(__xludf.DUMMYFUNCTION("""COMPUTED_VALUE"""),180.0)</f>
        <v>180</v>
      </c>
      <c r="K290" s="100">
        <f>IFERROR(__xludf.DUMMYFUNCTION("""COMPUTED_VALUE"""),45890.0)</f>
        <v>45890</v>
      </c>
      <c r="L290" s="61" t="str">
        <f>IFERROR(__xludf.DUMMYFUNCTION("""COMPUTED_VALUE"""),"Village House  ")</f>
        <v>Village House  </v>
      </c>
      <c r="M290" s="64" t="str">
        <f>IFERROR(__xludf.DUMMYFUNCTION("""COMPUTED_VALUE"""),"3002a")</f>
        <v>3002a</v>
      </c>
      <c r="N290" s="61"/>
      <c r="O290" s="61" t="b">
        <f>COUNTIF('Delivered Rentals'!A:A, B290) &gt; 0</f>
        <v>1</v>
      </c>
      <c r="P290" s="101" t="str">
        <f>IFERROR(__xludf.DUMMYFUNCTION("""COMPUTED_VALUE""")," ")</f>
        <v> </v>
      </c>
    </row>
    <row r="291">
      <c r="A291" s="102" t="str">
        <f>IFERROR(__xludf.DUMMYFUNCTION("""COMPUTED_VALUE"""),"https://utrucking.com/admin/orders/5922052047036")</f>
        <v>https://utrucking.com/admin/orders/5922052047036</v>
      </c>
      <c r="B291" s="65" t="str">
        <f>IFERROR(__xludf.DUMMYFUNCTION("""COMPUTED_VALUE"""),"#15906")</f>
        <v>#15906</v>
      </c>
      <c r="C291" s="65"/>
      <c r="D291" s="65">
        <f>IFERROR(__xludf.DUMMYFUNCTION("""COMPUTED_VALUE"""),1.5102992644E10)</f>
        <v>15102992644</v>
      </c>
      <c r="E291" s="65" t="str">
        <f>IFERROR(__xludf.DUMMYFUNCTION("""COMPUTED_VALUE"""),"TRI TRAN")</f>
        <v>TRI TRAN</v>
      </c>
      <c r="F291" s="65"/>
      <c r="G291" s="65"/>
      <c r="H291" s="65" t="str">
        <f>IFERROR(__xludf.DUMMYFUNCTION("""COMPUTED_VALUE"""),"Appliance Rental")</f>
        <v>Appliance Rental</v>
      </c>
      <c r="I291" s="65" t="str">
        <f>IFERROR(__xludf.DUMMYFUNCTION("""COMPUTED_VALUE""")," Double-Door Mini Fridge + Microwave   -  - ")</f>
        <v> Double-Door Mini Fridge + Microwave   -  - </v>
      </c>
      <c r="J291" s="65">
        <f>IFERROR(__xludf.DUMMYFUNCTION("""COMPUTED_VALUE"""),210.0)</f>
        <v>210</v>
      </c>
      <c r="K291" s="103">
        <f>IFERROR(__xludf.DUMMYFUNCTION("""COMPUTED_VALUE"""),45883.0)</f>
        <v>45883</v>
      </c>
      <c r="L291" s="65" t="str">
        <f>IFERROR(__xludf.DUMMYFUNCTION("""COMPUTED_VALUE"""),"Lopata  ")</f>
        <v>Lopata  </v>
      </c>
      <c r="M291" s="68" t="str">
        <f>IFERROR(__xludf.DUMMYFUNCTION("""COMPUTED_VALUE"""),"Lopata - 2004 - a")</f>
        <v>Lopata - 2004 - a</v>
      </c>
      <c r="N291" s="65"/>
      <c r="O291" s="65" t="b">
        <f>COUNTIF('Delivered Rentals'!A:A, B291) &gt; 0</f>
        <v>1</v>
      </c>
      <c r="P291" s="104" t="str">
        <f>IFERROR(__xludf.DUMMYFUNCTION("""COMPUTED_VALUE""")," ")</f>
        <v> </v>
      </c>
    </row>
    <row r="292">
      <c r="A292" s="99" t="str">
        <f>IFERROR(__xludf.DUMMYFUNCTION("""COMPUTED_VALUE"""),"https://utrucking.com/admin/orders/5922526003388")</f>
        <v>https://utrucking.com/admin/orders/5922526003388</v>
      </c>
      <c r="B292" s="61" t="str">
        <f>IFERROR(__xludf.DUMMYFUNCTION("""COMPUTED_VALUE"""),"#15909")</f>
        <v>#15909</v>
      </c>
      <c r="C292" s="61" t="str">
        <f>IFERROR(__xludf.DUMMYFUNCTION("""COMPUTED_VALUE"""),"l.lumi@wustl.edu")</f>
        <v>l.lumi@wustl.edu</v>
      </c>
      <c r="D292" s="61">
        <f>IFERROR(__xludf.DUMMYFUNCTION("""COMPUTED_VALUE"""),2.133043801E9)</f>
        <v>2133043801</v>
      </c>
      <c r="E292" s="61" t="str">
        <f>IFERROR(__xludf.DUMMYFUNCTION("""COMPUTED_VALUE"""),"Hayan Kim")</f>
        <v>Hayan Kim</v>
      </c>
      <c r="F292" s="61"/>
      <c r="G292" s="61"/>
      <c r="H292" s="61" t="str">
        <f>IFERROR(__xludf.DUMMYFUNCTION("""COMPUTED_VALUE"""),"Appliance Rental")</f>
        <v>Appliance Rental</v>
      </c>
      <c r="I292" s="61" t="str">
        <f>IFERROR(__xludf.DUMMYFUNCTION("""COMPUTED_VALUE""")," Double-Door Mini Fridge + Microwave   -  - ")</f>
        <v> Double-Door Mini Fridge + Microwave   -  - </v>
      </c>
      <c r="J292" s="61">
        <f>IFERROR(__xludf.DUMMYFUNCTION("""COMPUTED_VALUE"""),210.0)</f>
        <v>210</v>
      </c>
      <c r="K292" s="100">
        <f>IFERROR(__xludf.DUMMYFUNCTION("""COMPUTED_VALUE"""),45883.0)</f>
        <v>45883</v>
      </c>
      <c r="L292" s="61" t="str">
        <f>IFERROR(__xludf.DUMMYFUNCTION("""COMPUTED_VALUE"""),"Wheeler  ")</f>
        <v>Wheeler  </v>
      </c>
      <c r="M292" s="64" t="str">
        <f>IFERROR(__xludf.DUMMYFUNCTION("""COMPUTED_VALUE"""),"1011")</f>
        <v>1011</v>
      </c>
      <c r="N292" s="61"/>
      <c r="O292" s="61" t="b">
        <f>COUNTIF('Delivered Rentals'!A:A, B292) &gt; 0</f>
        <v>1</v>
      </c>
      <c r="P292" s="101" t="str">
        <f>IFERROR(__xludf.DUMMYFUNCTION("""COMPUTED_VALUE""")," ")</f>
        <v> </v>
      </c>
    </row>
    <row r="293">
      <c r="A293" s="102" t="str">
        <f>IFERROR(__xludf.DUMMYFUNCTION("""COMPUTED_VALUE"""),"https://utrucking.com/admin/orders/5922991374524")</f>
        <v>https://utrucking.com/admin/orders/5922991374524</v>
      </c>
      <c r="B293" s="65" t="str">
        <f>IFERROR(__xludf.DUMMYFUNCTION("""COMPUTED_VALUE"""),"#15913")</f>
        <v>#15913</v>
      </c>
      <c r="C293" s="65" t="str">
        <f>IFERROR(__xludf.DUMMYFUNCTION("""COMPUTED_VALUE"""),"j.wolff-merovick@wustl.edu")</f>
        <v>j.wolff-merovick@wustl.edu</v>
      </c>
      <c r="D293" s="65">
        <f>IFERROR(__xludf.DUMMYFUNCTION("""COMPUTED_VALUE"""),5.10292009E9)</f>
        <v>5102920090</v>
      </c>
      <c r="E293" s="65" t="str">
        <f>IFERROR(__xludf.DUMMYFUNCTION("""COMPUTED_VALUE"""),"Jules Wolff-Merovick")</f>
        <v>Jules Wolff-Merovick</v>
      </c>
      <c r="F293" s="65"/>
      <c r="G293" s="65"/>
      <c r="H293" s="65" t="str">
        <f>IFERROR(__xludf.DUMMYFUNCTION("""COMPUTED_VALUE"""),"Appliance Rental")</f>
        <v>Appliance Rental</v>
      </c>
      <c r="I293" s="65" t="str">
        <f>IFERROR(__xludf.DUMMYFUNCTION("""COMPUTED_VALUE""")," Double-Door Mini Fridge + Microwave   -  - ")</f>
        <v> Double-Door Mini Fridge + Microwave   -  - </v>
      </c>
      <c r="J293" s="65">
        <f>IFERROR(__xludf.DUMMYFUNCTION("""COMPUTED_VALUE"""),210.0)</f>
        <v>210</v>
      </c>
      <c r="K293" s="103">
        <f>IFERROR(__xludf.DUMMYFUNCTION("""COMPUTED_VALUE"""),45883.0)</f>
        <v>45883</v>
      </c>
      <c r="L293" s="65" t="str">
        <f>IFERROR(__xludf.DUMMYFUNCTION("""COMPUTED_VALUE"""),"Dardick  ")</f>
        <v>Dardick  </v>
      </c>
      <c r="M293" s="68" t="str">
        <f>IFERROR(__xludf.DUMMYFUNCTION("""COMPUTED_VALUE"""),"3323")</f>
        <v>3323</v>
      </c>
      <c r="N293" s="65"/>
      <c r="O293" s="65" t="b">
        <f>COUNTIF('Delivered Rentals'!A:A, B293) &gt; 0</f>
        <v>1</v>
      </c>
      <c r="P293" s="104" t="str">
        <f>IFERROR(__xludf.DUMMYFUNCTION("""COMPUTED_VALUE""")," ")</f>
        <v> </v>
      </c>
    </row>
    <row r="294">
      <c r="A294" s="99" t="str">
        <f>IFERROR(__xludf.DUMMYFUNCTION("""COMPUTED_VALUE"""),"https://utrucking.com/admin/orders/5923113631932")</f>
        <v>https://utrucking.com/admin/orders/5923113631932</v>
      </c>
      <c r="B294" s="61" t="str">
        <f>IFERROR(__xludf.DUMMYFUNCTION("""COMPUTED_VALUE"""),"#15916")</f>
        <v>#15916</v>
      </c>
      <c r="C294" s="61" t="str">
        <f>IFERROR(__xludf.DUMMYFUNCTION("""COMPUTED_VALUE"""),"jaydenoh2025@gmail.com")</f>
        <v>jaydenoh2025@gmail.com</v>
      </c>
      <c r="D294" s="61">
        <f>IFERROR(__xludf.DUMMYFUNCTION("""COMPUTED_VALUE"""),5.105513843E9)</f>
        <v>5105513843</v>
      </c>
      <c r="E294" s="61" t="str">
        <f>IFERROR(__xludf.DUMMYFUNCTION("""COMPUTED_VALUE"""),"Kuni Oh")</f>
        <v>Kuni Oh</v>
      </c>
      <c r="F294" s="61"/>
      <c r="G294" s="61"/>
      <c r="H294" s="61" t="str">
        <f>IFERROR(__xludf.DUMMYFUNCTION("""COMPUTED_VALUE"""),"Appliance Rental")</f>
        <v>Appliance Rental</v>
      </c>
      <c r="I294" s="61" t="str">
        <f>IFERROR(__xludf.DUMMYFUNCTION("""COMPUTED_VALUE""")," Double-Door Mini Fridge + Microwave   -  - ")</f>
        <v> Double-Door Mini Fridge + Microwave   -  - </v>
      </c>
      <c r="J294" s="61">
        <f>IFERROR(__xludf.DUMMYFUNCTION("""COMPUTED_VALUE"""),210.0)</f>
        <v>210</v>
      </c>
      <c r="K294" s="100">
        <f>IFERROR(__xludf.DUMMYFUNCTION("""COMPUTED_VALUE"""),45887.0)</f>
        <v>45887</v>
      </c>
      <c r="L294" s="61" t="str">
        <f>IFERROR(__xludf.DUMMYFUNCTION("""COMPUTED_VALUE"""),"Park  ")</f>
        <v>Park  </v>
      </c>
      <c r="M294" s="64" t="str">
        <f>IFERROR(__xludf.DUMMYFUNCTION("""COMPUTED_VALUE"""),"361b")</f>
        <v>361b</v>
      </c>
      <c r="N294" s="61"/>
      <c r="O294" s="61" t="b">
        <f>COUNTIF('Delivered Rentals'!A:A, B294) &gt; 0</f>
        <v>1</v>
      </c>
      <c r="P294" s="101" t="str">
        <f>IFERROR(__xludf.DUMMYFUNCTION("""COMPUTED_VALUE""")," ")</f>
        <v> </v>
      </c>
    </row>
    <row r="295">
      <c r="A295" s="102" t="str">
        <f>IFERROR(__xludf.DUMMYFUNCTION("""COMPUTED_VALUE"""),"https://utrucking.com/admin/orders/5923500523708")</f>
        <v>https://utrucking.com/admin/orders/5923500523708</v>
      </c>
      <c r="B295" s="65" t="str">
        <f>IFERROR(__xludf.DUMMYFUNCTION("""COMPUTED_VALUE"""),"#15924")</f>
        <v>#15924</v>
      </c>
      <c r="C295" s="65"/>
      <c r="D295" s="65">
        <f>IFERROR(__xludf.DUMMYFUNCTION("""COMPUTED_VALUE"""),2.064687924E9)</f>
        <v>2064687924</v>
      </c>
      <c r="E295" s="65" t="str">
        <f>IFERROR(__xludf.DUMMYFUNCTION("""COMPUTED_VALUE"""),"Sadie Bloom")</f>
        <v>Sadie Bloom</v>
      </c>
      <c r="F295" s="65"/>
      <c r="G295" s="65"/>
      <c r="H295" s="65" t="str">
        <f>IFERROR(__xludf.DUMMYFUNCTION("""COMPUTED_VALUE"""),"Appliance Rental")</f>
        <v>Appliance Rental</v>
      </c>
      <c r="I295" s="65" t="str">
        <f>IFERROR(__xludf.DUMMYFUNCTION("""COMPUTED_VALUE""")," Double-Door Mini Fridge + Microwave   -  - ")</f>
        <v> Double-Door Mini Fridge + Microwave   -  - </v>
      </c>
      <c r="J295" s="65">
        <f>IFERROR(__xludf.DUMMYFUNCTION("""COMPUTED_VALUE"""),210.0)</f>
        <v>210</v>
      </c>
      <c r="K295" s="103">
        <f>IFERROR(__xludf.DUMMYFUNCTION("""COMPUTED_VALUE"""),45883.0)</f>
        <v>45883</v>
      </c>
      <c r="L295" s="65" t="str">
        <f>IFERROR(__xludf.DUMMYFUNCTION("""COMPUTED_VALUE"""),"Hurd  ")</f>
        <v>Hurd  </v>
      </c>
      <c r="M295" s="68" t="str">
        <f>IFERROR(__xludf.DUMMYFUNCTION("""COMPUTED_VALUE"""),"141-A")</f>
        <v>141-A</v>
      </c>
      <c r="N295" s="65"/>
      <c r="O295" s="65" t="b">
        <f>COUNTIF('Delivered Rentals'!A:A, B295) &gt; 0</f>
        <v>1</v>
      </c>
      <c r="P295" s="104" t="str">
        <f>IFERROR(__xludf.DUMMYFUNCTION("""COMPUTED_VALUE""")," ")</f>
        <v> </v>
      </c>
    </row>
    <row r="296">
      <c r="A296" s="99" t="str">
        <f>IFERROR(__xludf.DUMMYFUNCTION("""COMPUTED_VALUE"""),"https://utrucking.com/admin/orders/5923507994812")</f>
        <v>https://utrucking.com/admin/orders/5923507994812</v>
      </c>
      <c r="B296" s="61" t="str">
        <f>IFERROR(__xludf.DUMMYFUNCTION("""COMPUTED_VALUE"""),"#15925")</f>
        <v>#15925</v>
      </c>
      <c r="C296" s="61" t="str">
        <f>IFERROR(__xludf.DUMMYFUNCTION("""COMPUTED_VALUE"""),"fardosaa123@icloud.com")</f>
        <v>fardosaa123@icloud.com</v>
      </c>
      <c r="D296" s="61">
        <f>IFERROR(__xludf.DUMMYFUNCTION("""COMPUTED_VALUE"""),1.7639101392E10)</f>
        <v>17639101392</v>
      </c>
      <c r="E296" s="61" t="str">
        <f>IFERROR(__xludf.DUMMYFUNCTION("""COMPUTED_VALUE"""),"Fardosa Ahmed")</f>
        <v>Fardosa Ahmed</v>
      </c>
      <c r="F296" s="61"/>
      <c r="G296" s="61"/>
      <c r="H296" s="61" t="str">
        <f>IFERROR(__xludf.DUMMYFUNCTION("""COMPUTED_VALUE"""),"Appliance Rental")</f>
        <v>Appliance Rental</v>
      </c>
      <c r="I296" s="61" t="str">
        <f>IFERROR(__xludf.DUMMYFUNCTION("""COMPUTED_VALUE""")," Double-Door Mini Fridge + Microwave   -  - ")</f>
        <v> Double-Door Mini Fridge + Microwave   -  - </v>
      </c>
      <c r="J296" s="61">
        <f>IFERROR(__xludf.DUMMYFUNCTION("""COMPUTED_VALUE"""),210.0)</f>
        <v>210</v>
      </c>
      <c r="K296" s="100">
        <f>IFERROR(__xludf.DUMMYFUNCTION("""COMPUTED_VALUE"""),45883.0)</f>
        <v>45883</v>
      </c>
      <c r="L296" s="61" t="str">
        <f>IFERROR(__xludf.DUMMYFUNCTION("""COMPUTED_VALUE"""),"Danforth  ")</f>
        <v>Danforth  </v>
      </c>
      <c r="M296" s="64" t="str">
        <f>IFERROR(__xludf.DUMMYFUNCTION("""COMPUTED_VALUE"""),"2211")</f>
        <v>2211</v>
      </c>
      <c r="N296" s="61"/>
      <c r="O296" s="61" t="b">
        <f>COUNTIF('Delivered Rentals'!A:A, B296) &gt; 0</f>
        <v>1</v>
      </c>
      <c r="P296" s="101" t="str">
        <f>IFERROR(__xludf.DUMMYFUNCTION("""COMPUTED_VALUE""")," ")</f>
        <v> </v>
      </c>
    </row>
    <row r="297">
      <c r="A297" s="102" t="str">
        <f>IFERROR(__xludf.DUMMYFUNCTION("""COMPUTED_VALUE"""),"https://utrucking.com/admin/orders/5923603218620")</f>
        <v>https://utrucking.com/admin/orders/5923603218620</v>
      </c>
      <c r="B297" s="65" t="str">
        <f>IFERROR(__xludf.DUMMYFUNCTION("""COMPUTED_VALUE"""),"#15927")</f>
        <v>#15927</v>
      </c>
      <c r="C297" s="65" t="str">
        <f>IFERROR(__xludf.DUMMYFUNCTION("""COMPUTED_VALUE"""),"mariana.gonzalezpina18@gmail.com")</f>
        <v>mariana.gonzalezpina18@gmail.com</v>
      </c>
      <c r="D297" s="65">
        <f>IFERROR(__xludf.DUMMYFUNCTION("""COMPUTED_VALUE"""),3.14704277E9)</f>
        <v>3147042770</v>
      </c>
      <c r="E297" s="65" t="str">
        <f>IFERROR(__xludf.DUMMYFUNCTION("""COMPUTED_VALUE"""),"Mariana Mariana")</f>
        <v>Mariana Mariana</v>
      </c>
      <c r="F297" s="65"/>
      <c r="G297" s="65"/>
      <c r="H297" s="65" t="str">
        <f>IFERROR(__xludf.DUMMYFUNCTION("""COMPUTED_VALUE"""),"Appliance Rental")</f>
        <v>Appliance Rental</v>
      </c>
      <c r="I297" s="65" t="str">
        <f>IFERROR(__xludf.DUMMYFUNCTION("""COMPUTED_VALUE""")," Double-Door Mini Fridge + Microwave   -  - ")</f>
        <v> Double-Door Mini Fridge + Microwave   -  - </v>
      </c>
      <c r="J297" s="65">
        <f>IFERROR(__xludf.DUMMYFUNCTION("""COMPUTED_VALUE"""),210.0)</f>
        <v>210</v>
      </c>
      <c r="K297" s="103">
        <f>IFERROR(__xludf.DUMMYFUNCTION("""COMPUTED_VALUE"""),45883.0)</f>
        <v>45883</v>
      </c>
      <c r="L297" s="65" t="str">
        <f>IFERROR(__xludf.DUMMYFUNCTION("""COMPUTED_VALUE"""),"Umrath  ")</f>
        <v>Umrath  </v>
      </c>
      <c r="M297" s="68" t="str">
        <f>IFERROR(__xludf.DUMMYFUNCTION("""COMPUTED_VALUE"""),"3335b")</f>
        <v>3335b</v>
      </c>
      <c r="N297" s="65"/>
      <c r="O297" s="65" t="b">
        <f>COUNTIF('Delivered Rentals'!A:A, B297) &gt; 0</f>
        <v>1</v>
      </c>
      <c r="P297" s="104" t="str">
        <f>IFERROR(__xludf.DUMMYFUNCTION("""COMPUTED_VALUE""")," ")</f>
        <v> </v>
      </c>
    </row>
    <row r="298">
      <c r="A298" s="99" t="str">
        <f>IFERROR(__xludf.DUMMYFUNCTION("""COMPUTED_VALUE"""),"https://utrucking.com/admin/orders/5923753394364")</f>
        <v>https://utrucking.com/admin/orders/5923753394364</v>
      </c>
      <c r="B298" s="61" t="str">
        <f>IFERROR(__xludf.DUMMYFUNCTION("""COMPUTED_VALUE"""),"#15930")</f>
        <v>#15930</v>
      </c>
      <c r="C298" s="61" t="str">
        <f>IFERROR(__xludf.DUMMYFUNCTION("""COMPUTED_VALUE"""),"e.j.skolnick@wustl.edu")</f>
        <v>e.j.skolnick@wustl.edu</v>
      </c>
      <c r="D298" s="61">
        <f>IFERROR(__xludf.DUMMYFUNCTION("""COMPUTED_VALUE"""),5.028885987E9)</f>
        <v>5028885987</v>
      </c>
      <c r="E298" s="61" t="str">
        <f>IFERROR(__xludf.DUMMYFUNCTION("""COMPUTED_VALUE"""),"Ethan Skolnick")</f>
        <v>Ethan Skolnick</v>
      </c>
      <c r="F298" s="61"/>
      <c r="G298" s="61"/>
      <c r="H298" s="61" t="str">
        <f>IFERROR(__xludf.DUMMYFUNCTION("""COMPUTED_VALUE"""),"Appliance Rental")</f>
        <v>Appliance Rental</v>
      </c>
      <c r="I298" s="61" t="str">
        <f>IFERROR(__xludf.DUMMYFUNCTION("""COMPUTED_VALUE""")," Standard Mini Fridge   -  - ")</f>
        <v> Standard Mini Fridge   -  - </v>
      </c>
      <c r="J298" s="61">
        <f>IFERROR(__xludf.DUMMYFUNCTION("""COMPUTED_VALUE"""),115.0)</f>
        <v>115</v>
      </c>
      <c r="K298" s="100">
        <f>IFERROR(__xludf.DUMMYFUNCTION("""COMPUTED_VALUE"""),45883.0)</f>
        <v>45883</v>
      </c>
      <c r="L298" s="61" t="str">
        <f>IFERROR(__xludf.DUMMYFUNCTION("""COMPUTED_VALUE"""),"Zetcher  ")</f>
        <v>Zetcher  </v>
      </c>
      <c r="M298" s="64" t="str">
        <f>IFERROR(__xludf.DUMMYFUNCTION("""COMPUTED_VALUE"""),"3042")</f>
        <v>3042</v>
      </c>
      <c r="N298" s="61"/>
      <c r="O298" s="61" t="b">
        <f>COUNTIF('Delivered Rentals'!A:A, B298) &gt; 0</f>
        <v>1</v>
      </c>
      <c r="P298" s="101" t="str">
        <f>IFERROR(__xludf.DUMMYFUNCTION("""COMPUTED_VALUE""")," ")</f>
        <v> </v>
      </c>
    </row>
    <row r="299">
      <c r="A299" s="102" t="str">
        <f>IFERROR(__xludf.DUMMYFUNCTION("""COMPUTED_VALUE"""),"https://utrucking.com/admin/orders/5924249075900")</f>
        <v>https://utrucking.com/admin/orders/5924249075900</v>
      </c>
      <c r="B299" s="65" t="str">
        <f>IFERROR(__xludf.DUMMYFUNCTION("""COMPUTED_VALUE"""),"#15934")</f>
        <v>#15934</v>
      </c>
      <c r="C299" s="65" t="str">
        <f>IFERROR(__xludf.DUMMYFUNCTION("""COMPUTED_VALUE"""),"rileymeltz@icloud.com")</f>
        <v>rileymeltz@icloud.com</v>
      </c>
      <c r="D299" s="65">
        <f>IFERROR(__xludf.DUMMYFUNCTION("""COMPUTED_VALUE"""),9.143302573E9)</f>
        <v>9143302573</v>
      </c>
      <c r="E299" s="65" t="str">
        <f>IFERROR(__xludf.DUMMYFUNCTION("""COMPUTED_VALUE"""),"Riley Meltz")</f>
        <v>Riley Meltz</v>
      </c>
      <c r="F299" s="65"/>
      <c r="G299" s="65"/>
      <c r="H299" s="65" t="str">
        <f>IFERROR(__xludf.DUMMYFUNCTION("""COMPUTED_VALUE"""),"Appliance Rental")</f>
        <v>Appliance Rental</v>
      </c>
      <c r="I299" s="65" t="str">
        <f>IFERROR(__xludf.DUMMYFUNCTION("""COMPUTED_VALUE""")," Standard Mini Fridge + Microwave   -  - ")</f>
        <v> Standard Mini Fridge + Microwave   -  - </v>
      </c>
      <c r="J299" s="65">
        <f>IFERROR(__xludf.DUMMYFUNCTION("""COMPUTED_VALUE"""),180.0)</f>
        <v>180</v>
      </c>
      <c r="K299" s="103">
        <f>IFERROR(__xludf.DUMMYFUNCTION("""COMPUTED_VALUE"""),45883.0)</f>
        <v>45883</v>
      </c>
      <c r="L299" s="65" t="str">
        <f>IFERROR(__xludf.DUMMYFUNCTION("""COMPUTED_VALUE"""),"Lopata  ")</f>
        <v>Lopata  </v>
      </c>
      <c r="M299" s="68" t="str">
        <f>IFERROR(__xludf.DUMMYFUNCTION("""COMPUTED_VALUE"""),"3030")</f>
        <v>3030</v>
      </c>
      <c r="N299" s="65"/>
      <c r="O299" s="65" t="b">
        <f>COUNTIF('Delivered Rentals'!A:A, B299) &gt; 0</f>
        <v>1</v>
      </c>
      <c r="P299" s="104" t="str">
        <f>IFERROR(__xludf.DUMMYFUNCTION("""COMPUTED_VALUE""")," ")</f>
        <v> </v>
      </c>
    </row>
    <row r="300">
      <c r="A300" s="99" t="str">
        <f>IFERROR(__xludf.DUMMYFUNCTION("""COMPUTED_VALUE"""),"https://utrucking.com/admin/orders/5924302618812")</f>
        <v>https://utrucking.com/admin/orders/5924302618812</v>
      </c>
      <c r="B300" s="61" t="str">
        <f>IFERROR(__xludf.DUMMYFUNCTION("""COMPUTED_VALUE"""),"#15936")</f>
        <v>#15936</v>
      </c>
      <c r="C300" s="61"/>
      <c r="D300" s="61">
        <f>IFERROR(__xludf.DUMMYFUNCTION("""COMPUTED_VALUE"""),1.9178549554E10)</f>
        <v>19178549554</v>
      </c>
      <c r="E300" s="61" t="str">
        <f>IFERROR(__xludf.DUMMYFUNCTION("""COMPUTED_VALUE"""),"Kristy Harris")</f>
        <v>Kristy Harris</v>
      </c>
      <c r="F300" s="61"/>
      <c r="G300" s="61"/>
      <c r="H300" s="61" t="str">
        <f>IFERROR(__xludf.DUMMYFUNCTION("""COMPUTED_VALUE"""),"Appliance Rental")</f>
        <v>Appliance Rental</v>
      </c>
      <c r="I300" s="61" t="str">
        <f>IFERROR(__xludf.DUMMYFUNCTION("""COMPUTED_VALUE""")," Standard Mini Fridge   -  - ")</f>
        <v> Standard Mini Fridge   -  - </v>
      </c>
      <c r="J300" s="61">
        <f>IFERROR(__xludf.DUMMYFUNCTION("""COMPUTED_VALUE"""),115.0)</f>
        <v>115</v>
      </c>
      <c r="K300" s="100">
        <f>IFERROR(__xludf.DUMMYFUNCTION("""COMPUTED_VALUE"""),45883.0)</f>
        <v>45883</v>
      </c>
      <c r="L300" s="61" t="str">
        <f>IFERROR(__xludf.DUMMYFUNCTION("""COMPUTED_VALUE"""),"Shanedling  ")</f>
        <v>Shanedling  </v>
      </c>
      <c r="M300" s="64" t="str">
        <f>IFERROR(__xludf.DUMMYFUNCTION("""COMPUTED_VALUE"""),"422")</f>
        <v>422</v>
      </c>
      <c r="N300" s="61"/>
      <c r="O300" s="61" t="b">
        <f>COUNTIF('Delivered Rentals'!A:A, B300) &gt; 0</f>
        <v>1</v>
      </c>
      <c r="P300" s="101" t="str">
        <f>IFERROR(__xludf.DUMMYFUNCTION("""COMPUTED_VALUE""")," ")</f>
        <v> </v>
      </c>
    </row>
    <row r="301">
      <c r="A301" s="102" t="str">
        <f>IFERROR(__xludf.DUMMYFUNCTION("""COMPUTED_VALUE"""),"https://utrucking.com/admin/orders/5924362223804")</f>
        <v>https://utrucking.com/admin/orders/5924362223804</v>
      </c>
      <c r="B301" s="65" t="str">
        <f>IFERROR(__xludf.DUMMYFUNCTION("""COMPUTED_VALUE"""),"#15937")</f>
        <v>#15937</v>
      </c>
      <c r="C301" s="65" t="str">
        <f>IFERROR(__xludf.DUMMYFUNCTION("""COMPUTED_VALUE"""),"cielastillings@gmail.com")</f>
        <v>cielastillings@gmail.com</v>
      </c>
      <c r="D301" s="65">
        <f>IFERROR(__xludf.DUMMYFUNCTION("""COMPUTED_VALUE"""),5.055701162E9)</f>
        <v>5055701162</v>
      </c>
      <c r="E301" s="65" t="str">
        <f>IFERROR(__xludf.DUMMYFUNCTION("""COMPUTED_VALUE"""),"Ciela Stillings")</f>
        <v>Ciela Stillings</v>
      </c>
      <c r="F301" s="65"/>
      <c r="G301" s="65"/>
      <c r="H301" s="65" t="str">
        <f>IFERROR(__xludf.DUMMYFUNCTION("""COMPUTED_VALUE"""),"Appliance Rental")</f>
        <v>Appliance Rental</v>
      </c>
      <c r="I301" s="65" t="str">
        <f>IFERROR(__xludf.DUMMYFUNCTION("""COMPUTED_VALUE""")," Double-Door Mini Fridge + Microwave   -  - ")</f>
        <v> Double-Door Mini Fridge + Microwave   -  - </v>
      </c>
      <c r="J301" s="65">
        <f>IFERROR(__xludf.DUMMYFUNCTION("""COMPUTED_VALUE"""),210.0)</f>
        <v>210</v>
      </c>
      <c r="K301" s="103">
        <f>IFERROR(__xludf.DUMMYFUNCTION("""COMPUTED_VALUE"""),45883.0)</f>
        <v>45883</v>
      </c>
      <c r="L301" s="65" t="str">
        <f>IFERROR(__xludf.DUMMYFUNCTION("""COMPUTED_VALUE"""),"Umrath  ")</f>
        <v>Umrath  </v>
      </c>
      <c r="M301" s="68" t="str">
        <f>IFERROR(__xludf.DUMMYFUNCTION("""COMPUTED_VALUE"""),"2219")</f>
        <v>2219</v>
      </c>
      <c r="N301" s="65"/>
      <c r="O301" s="65" t="b">
        <f>COUNTIF('Delivered Rentals'!A:A, B301) &gt; 0</f>
        <v>1</v>
      </c>
      <c r="P301" s="104" t="str">
        <f>IFERROR(__xludf.DUMMYFUNCTION("""COMPUTED_VALUE""")," ")</f>
        <v> </v>
      </c>
    </row>
    <row r="302">
      <c r="A302" s="99" t="str">
        <f>IFERROR(__xludf.DUMMYFUNCTION("""COMPUTED_VALUE"""),"https://utrucking.com/admin/orders/5924651368636")</f>
        <v>https://utrucking.com/admin/orders/5924651368636</v>
      </c>
      <c r="B302" s="61" t="str">
        <f>IFERROR(__xludf.DUMMYFUNCTION("""COMPUTED_VALUE"""),"#15945")</f>
        <v>#15945</v>
      </c>
      <c r="C302" s="61" t="str">
        <f>IFERROR(__xludf.DUMMYFUNCTION("""COMPUTED_VALUE"""),"sp.g672@gmail.com")</f>
        <v>sp.g672@gmail.com</v>
      </c>
      <c r="D302" s="61">
        <f>IFERROR(__xludf.DUMMYFUNCTION("""COMPUTED_VALUE"""),7.812344527E9)</f>
        <v>7812344527</v>
      </c>
      <c r="E302" s="61" t="str">
        <f>IFERROR(__xludf.DUMMYFUNCTION("""COMPUTED_VALUE"""),"Pamela Stephenson")</f>
        <v>Pamela Stephenson</v>
      </c>
      <c r="F302" s="61"/>
      <c r="G302" s="61"/>
      <c r="H302" s="61" t="str">
        <f>IFERROR(__xludf.DUMMYFUNCTION("""COMPUTED_VALUE"""),"Appliance Rental")</f>
        <v>Appliance Rental</v>
      </c>
      <c r="I302" s="61" t="str">
        <f>IFERROR(__xludf.DUMMYFUNCTION("""COMPUTED_VALUE""")," Double-Door Mini Fridge + Microwave   -  - ")</f>
        <v> Double-Door Mini Fridge + Microwave   -  - </v>
      </c>
      <c r="J302" s="61">
        <f>IFERROR(__xludf.DUMMYFUNCTION("""COMPUTED_VALUE"""),210.0)</f>
        <v>210</v>
      </c>
      <c r="K302" s="100">
        <f>IFERROR(__xludf.DUMMYFUNCTION("""COMPUTED_VALUE"""),45883.0)</f>
        <v>45883</v>
      </c>
      <c r="L302" s="61" t="str">
        <f>IFERROR(__xludf.DUMMYFUNCTION("""COMPUTED_VALUE"""),"Dauten  ")</f>
        <v>Dauten  </v>
      </c>
      <c r="M302" s="64" t="str">
        <f>IFERROR(__xludf.DUMMYFUNCTION("""COMPUTED_VALUE"""),"433 - a")</f>
        <v>433 - a</v>
      </c>
      <c r="N302" s="61"/>
      <c r="O302" s="61" t="b">
        <f>COUNTIF('Delivered Rentals'!A:A, B302) &gt; 0</f>
        <v>1</v>
      </c>
      <c r="P302" s="101" t="str">
        <f>IFERROR(__xludf.DUMMYFUNCTION("""COMPUTED_VALUE""")," ")</f>
        <v> </v>
      </c>
    </row>
    <row r="303">
      <c r="A303" s="102" t="str">
        <f>IFERROR(__xludf.DUMMYFUNCTION("""COMPUTED_VALUE"""),"https://utrucking.com/admin/orders/5924654219452")</f>
        <v>https://utrucking.com/admin/orders/5924654219452</v>
      </c>
      <c r="B303" s="65" t="str">
        <f>IFERROR(__xludf.DUMMYFUNCTION("""COMPUTED_VALUE"""),"#15947")</f>
        <v>#15947</v>
      </c>
      <c r="C303" s="65" t="str">
        <f>IFERROR(__xludf.DUMMYFUNCTION("""COMPUTED_VALUE"""),"n.paris@wustl.edu")</f>
        <v>n.paris@wustl.edu</v>
      </c>
      <c r="D303" s="65">
        <f>IFERROR(__xludf.DUMMYFUNCTION("""COMPUTED_VALUE"""),2.135980311E9)</f>
        <v>2135980311</v>
      </c>
      <c r="E303" s="65" t="str">
        <f>IFERROR(__xludf.DUMMYFUNCTION("""COMPUTED_VALUE"""),"Selina Howard")</f>
        <v>Selina Howard</v>
      </c>
      <c r="F303" s="65"/>
      <c r="G303" s="65"/>
      <c r="H303" s="65" t="str">
        <f>IFERROR(__xludf.DUMMYFUNCTION("""COMPUTED_VALUE"""),"Appliance Rental")</f>
        <v>Appliance Rental</v>
      </c>
      <c r="I303" s="65" t="str">
        <f>IFERROR(__xludf.DUMMYFUNCTION("""COMPUTED_VALUE""")," Double-Door Mini Fridge   -  - ")</f>
        <v> Double-Door Mini Fridge   -  - </v>
      </c>
      <c r="J303" s="65">
        <f>IFERROR(__xludf.DUMMYFUNCTION("""COMPUTED_VALUE"""),145.0)</f>
        <v>145</v>
      </c>
      <c r="K303" s="103">
        <f>IFERROR(__xludf.DUMMYFUNCTION("""COMPUTED_VALUE"""),45883.0)</f>
        <v>45883</v>
      </c>
      <c r="L303" s="65" t="str">
        <f>IFERROR(__xludf.DUMMYFUNCTION("""COMPUTED_VALUE"""),"Eliot B  ")</f>
        <v>Eliot B  </v>
      </c>
      <c r="M303" s="68" t="str">
        <f>IFERROR(__xludf.DUMMYFUNCTION("""COMPUTED_VALUE"""),"4040-b")</f>
        <v>4040-b</v>
      </c>
      <c r="N303" s="65"/>
      <c r="O303" s="65" t="b">
        <f>COUNTIF('Delivered Rentals'!A:A, B303) &gt; 0</f>
        <v>1</v>
      </c>
      <c r="P303" s="104" t="str">
        <f>IFERROR(__xludf.DUMMYFUNCTION("""COMPUTED_VALUE""")," ")</f>
        <v> </v>
      </c>
    </row>
    <row r="304">
      <c r="A304" s="99" t="str">
        <f>IFERROR(__xludf.DUMMYFUNCTION("""COMPUTED_VALUE"""),"https://utrucking.com/admin/orders/5924665393340")</f>
        <v>https://utrucking.com/admin/orders/5924665393340</v>
      </c>
      <c r="B304" s="61" t="str">
        <f>IFERROR(__xludf.DUMMYFUNCTION("""COMPUTED_VALUE"""),"#15949")</f>
        <v>#15949</v>
      </c>
      <c r="C304" s="61"/>
      <c r="D304" s="61">
        <f>IFERROR(__xludf.DUMMYFUNCTION("""COMPUTED_VALUE"""),3.14435656E9)</f>
        <v>3144356560</v>
      </c>
      <c r="E304" s="61" t="str">
        <f>IFERROR(__xludf.DUMMYFUNCTION("""COMPUTED_VALUE"""),"Megan Phillips")</f>
        <v>Megan Phillips</v>
      </c>
      <c r="F304" s="61"/>
      <c r="G304" s="61"/>
      <c r="H304" s="61" t="str">
        <f>IFERROR(__xludf.DUMMYFUNCTION("""COMPUTED_VALUE"""),"Appliance Rental")</f>
        <v>Appliance Rental</v>
      </c>
      <c r="I304" s="61" t="str">
        <f>IFERROR(__xludf.DUMMYFUNCTION("""COMPUTED_VALUE""")," Double-Door Mini Fridge + Microwave   -  - ")</f>
        <v> Double-Door Mini Fridge + Microwave   -  - </v>
      </c>
      <c r="J304" s="61">
        <f>IFERROR(__xludf.DUMMYFUNCTION("""COMPUTED_VALUE"""),210.0)</f>
        <v>210</v>
      </c>
      <c r="K304" s="100">
        <f>IFERROR(__xludf.DUMMYFUNCTION("""COMPUTED_VALUE"""),45891.0)</f>
        <v>45891</v>
      </c>
      <c r="L304" s="61" t="str">
        <f>IFERROR(__xludf.DUMMYFUNCTION("""COMPUTED_VALUE"""),"House 11 (Sigma Phi Epsilon)  ")</f>
        <v>House 11 (Sigma Phi Epsilon)  </v>
      </c>
      <c r="M304" s="64" t="str">
        <f>IFERROR(__xludf.DUMMYFUNCTION("""COMPUTED_VALUE"""),"3011")</f>
        <v>3011</v>
      </c>
      <c r="N304" s="61"/>
      <c r="O304" s="61" t="b">
        <f>COUNTIF('Delivered Rentals'!A:A, B304) &gt; 0</f>
        <v>1</v>
      </c>
      <c r="P304" s="101" t="str">
        <f>IFERROR(__xludf.DUMMYFUNCTION("""COMPUTED_VALUE""")," ")</f>
        <v> </v>
      </c>
    </row>
    <row r="305">
      <c r="A305" s="102" t="str">
        <f>IFERROR(__xludf.DUMMYFUNCTION("""COMPUTED_VALUE"""),"https://utrucking.com/admin/orders/5924767858876")</f>
        <v>https://utrucking.com/admin/orders/5924767858876</v>
      </c>
      <c r="B305" s="65" t="str">
        <f>IFERROR(__xludf.DUMMYFUNCTION("""COMPUTED_VALUE"""),"#15956")</f>
        <v>#15956</v>
      </c>
      <c r="C305" s="65" t="str">
        <f>IFERROR(__xludf.DUMMYFUNCTION("""COMPUTED_VALUE"""),"crwetzler@yahoo.com")</f>
        <v>crwetzler@yahoo.com</v>
      </c>
      <c r="D305" s="65">
        <f>IFERROR(__xludf.DUMMYFUNCTION("""COMPUTED_VALUE"""),9.175093592E9)</f>
        <v>9175093592</v>
      </c>
      <c r="E305" s="65" t="str">
        <f>IFERROR(__xludf.DUMMYFUNCTION("""COMPUTED_VALUE"""),"Carmen Menocal")</f>
        <v>Carmen Menocal</v>
      </c>
      <c r="F305" s="65"/>
      <c r="G305" s="65"/>
      <c r="H305" s="65" t="str">
        <f>IFERROR(__xludf.DUMMYFUNCTION("""COMPUTED_VALUE"""),"Appliance Rental")</f>
        <v>Appliance Rental</v>
      </c>
      <c r="I305" s="65" t="str">
        <f>IFERROR(__xludf.DUMMYFUNCTION("""COMPUTED_VALUE""")," Double-Door Mini Fridge + Microwave   -  - ")</f>
        <v> Double-Door Mini Fridge + Microwave   -  - </v>
      </c>
      <c r="J305" s="65">
        <f>IFERROR(__xludf.DUMMYFUNCTION("""COMPUTED_VALUE"""),210.0)</f>
        <v>210</v>
      </c>
      <c r="K305" s="103">
        <f>IFERROR(__xludf.DUMMYFUNCTION("""COMPUTED_VALUE"""),45883.0)</f>
        <v>45883</v>
      </c>
      <c r="L305" s="65" t="str">
        <f>IFERROR(__xludf.DUMMYFUNCTION("""COMPUTED_VALUE"""),"Mudd  ")</f>
        <v>Mudd  </v>
      </c>
      <c r="M305" s="68" t="str">
        <f>IFERROR(__xludf.DUMMYFUNCTION("""COMPUTED_VALUE"""),"161A")</f>
        <v>161A</v>
      </c>
      <c r="N305" s="65"/>
      <c r="O305" s="65" t="b">
        <f>COUNTIF('Delivered Rentals'!A:A, B305) &gt; 0</f>
        <v>1</v>
      </c>
      <c r="P305" s="104" t="str">
        <f>IFERROR(__xludf.DUMMYFUNCTION("""COMPUTED_VALUE""")," ")</f>
        <v> </v>
      </c>
    </row>
    <row r="306">
      <c r="A306" s="99" t="str">
        <f>IFERROR(__xludf.DUMMYFUNCTION("""COMPUTED_VALUE"""),"https://admin.shopify.com/store/utrucking/orders/5924774183100?link_source=search")</f>
        <v>https://admin.shopify.com/store/utrucking/orders/5924774183100?link_source=search</v>
      </c>
      <c r="B306" s="61" t="str">
        <f>IFERROR(__xludf.DUMMYFUNCTION("""COMPUTED_VALUE"""),"#15957")</f>
        <v>#15957</v>
      </c>
      <c r="C306" s="61" t="str">
        <f>IFERROR(__xludf.DUMMYFUNCTION("""COMPUTED_VALUE"""),"dfandrey@deloitte.com")</f>
        <v>dfandrey@deloitte.com</v>
      </c>
      <c r="D306" s="61" t="str">
        <f>IFERROR(__xludf.DUMMYFUNCTION("""COMPUTED_VALUE"""),"617-694-4757")</f>
        <v>617-694-4757</v>
      </c>
      <c r="E306" s="61" t="str">
        <f>IFERROR(__xludf.DUMMYFUNCTION("""COMPUTED_VALUE"""),"Danielle Fandrey")</f>
        <v>Danielle Fandrey</v>
      </c>
      <c r="F306" s="61"/>
      <c r="G306" s="61" t="str">
        <f>IFERROR(__xludf.DUMMYFUNCTION("""COMPUTED_VALUE"""),"307 Lexington Street")</f>
        <v>307 Lexington Street</v>
      </c>
      <c r="H306" s="61" t="str">
        <f>IFERROR(__xludf.DUMMYFUNCTION("""COMPUTED_VALUE"""),"Appliance Rental")</f>
        <v>Appliance Rental</v>
      </c>
      <c r="I306" s="61" t="str">
        <f>IFERROR(__xludf.DUMMYFUNCTION("""COMPUTED_VALUE"""),"Standard Mini Fridge")</f>
        <v>Standard Mini Fridge</v>
      </c>
      <c r="J306" s="61">
        <f>IFERROR(__xludf.DUMMYFUNCTION("""COMPUTED_VALUE"""),115.0)</f>
        <v>115</v>
      </c>
      <c r="K306" s="100">
        <f>IFERROR(__xludf.DUMMYFUNCTION("""COMPUTED_VALUE"""),45883.0)</f>
        <v>45883</v>
      </c>
      <c r="L306" s="61" t="str">
        <f>IFERROR(__xludf.DUMMYFUNCTION("""COMPUTED_VALUE"""),"Liggett")</f>
        <v>Liggett</v>
      </c>
      <c r="M306" s="64" t="str">
        <f>IFERROR(__xludf.DUMMYFUNCTION("""COMPUTED_VALUE"""),"1173")</f>
        <v>1173</v>
      </c>
      <c r="N306" s="61"/>
      <c r="O306" s="61" t="b">
        <f>COUNTIF('Delivered Rentals'!A:A, B306) &gt; 0</f>
        <v>1</v>
      </c>
      <c r="P306" s="101"/>
    </row>
    <row r="307">
      <c r="A307" s="102" t="str">
        <f>IFERROR(__xludf.DUMMYFUNCTION("""COMPUTED_VALUE"""),"https://utrucking.com/admin/orders/5924987863228")</f>
        <v>https://utrucking.com/admin/orders/5924987863228</v>
      </c>
      <c r="B307" s="65" t="str">
        <f>IFERROR(__xludf.DUMMYFUNCTION("""COMPUTED_VALUE"""),"#15969")</f>
        <v>#15969</v>
      </c>
      <c r="C307" s="65" t="str">
        <f>IFERROR(__xludf.DUMMYFUNCTION("""COMPUTED_VALUE"""),"aiaccino29@yahoo.com")</f>
        <v>aiaccino29@yahoo.com</v>
      </c>
      <c r="D307" s="65">
        <f>IFERROR(__xludf.DUMMYFUNCTION("""COMPUTED_VALUE"""),8.18648927E9)</f>
        <v>8186489270</v>
      </c>
      <c r="E307" s="65" t="str">
        <f>IFERROR(__xludf.DUMMYFUNCTION("""COMPUTED_VALUE"""),"Aileen Iaccino")</f>
        <v>Aileen Iaccino</v>
      </c>
      <c r="F307" s="65"/>
      <c r="G307" s="65"/>
      <c r="H307" s="65" t="str">
        <f>IFERROR(__xludf.DUMMYFUNCTION("""COMPUTED_VALUE"""),"Appliance Rental")</f>
        <v>Appliance Rental</v>
      </c>
      <c r="I307" s="65" t="str">
        <f>IFERROR(__xludf.DUMMYFUNCTION("""COMPUTED_VALUE""")," Double-Door Mini Fridge   -  - ")</f>
        <v> Double-Door Mini Fridge   -  - </v>
      </c>
      <c r="J307" s="65">
        <f>IFERROR(__xludf.DUMMYFUNCTION("""COMPUTED_VALUE"""),145.0)</f>
        <v>145</v>
      </c>
      <c r="K307" s="103">
        <f>IFERROR(__xludf.DUMMYFUNCTION("""COMPUTED_VALUE"""),45881.0)</f>
        <v>45881</v>
      </c>
      <c r="L307" s="65" t="str">
        <f>IFERROR(__xludf.DUMMYFUNCTION("""COMPUTED_VALUE"""),"Park  ")</f>
        <v>Park  </v>
      </c>
      <c r="M307" s="68" t="str">
        <f>IFERROR(__xludf.DUMMYFUNCTION("""COMPUTED_VALUE"""),"312")</f>
        <v>312</v>
      </c>
      <c r="N307" s="65"/>
      <c r="O307" s="65" t="b">
        <f>COUNTIF('Delivered Rentals'!A:A, B307) &gt; 0</f>
        <v>1</v>
      </c>
      <c r="P307" s="104" t="str">
        <f>IFERROR(__xludf.DUMMYFUNCTION("""COMPUTED_VALUE""")," ")</f>
        <v> </v>
      </c>
    </row>
    <row r="308">
      <c r="A308" s="99" t="str">
        <f>IFERROR(__xludf.DUMMYFUNCTION("""COMPUTED_VALUE"""),"https://utrucking.com/admin/orders/5925081645244")</f>
        <v>https://utrucking.com/admin/orders/5925081645244</v>
      </c>
      <c r="B308" s="61" t="str">
        <f>IFERROR(__xludf.DUMMYFUNCTION("""COMPUTED_VALUE"""),"#15976")</f>
        <v>#15976</v>
      </c>
      <c r="C308" s="61" t="str">
        <f>IFERROR(__xludf.DUMMYFUNCTION("""COMPUTED_VALUE"""),"ilankliman@gmail.com")</f>
        <v>ilankliman@gmail.com</v>
      </c>
      <c r="D308" s="61">
        <f>IFERROR(__xludf.DUMMYFUNCTION("""COMPUTED_VALUE"""),1.6179529987E10)</f>
        <v>16179529987</v>
      </c>
      <c r="E308" s="61" t="str">
        <f>IFERROR(__xludf.DUMMYFUNCTION("""COMPUTED_VALUE"""),"Ilan Kliman")</f>
        <v>Ilan Kliman</v>
      </c>
      <c r="F308" s="61"/>
      <c r="G308" s="61"/>
      <c r="H308" s="61" t="str">
        <f>IFERROR(__xludf.DUMMYFUNCTION("""COMPUTED_VALUE"""),"Appliance Rental")</f>
        <v>Appliance Rental</v>
      </c>
      <c r="I308" s="61" t="str">
        <f>IFERROR(__xludf.DUMMYFUNCTION("""COMPUTED_VALUE""")," Standard Mini Fridge   -  - ")</f>
        <v> Standard Mini Fridge   -  - </v>
      </c>
      <c r="J308" s="61">
        <f>IFERROR(__xludf.DUMMYFUNCTION("""COMPUTED_VALUE"""),115.0)</f>
        <v>115</v>
      </c>
      <c r="K308" s="100">
        <f>IFERROR(__xludf.DUMMYFUNCTION("""COMPUTED_VALUE"""),45881.0)</f>
        <v>45881</v>
      </c>
      <c r="L308" s="61" t="str">
        <f>IFERROR(__xludf.DUMMYFUNCTION("""COMPUTED_VALUE"""),"Danforth  ")</f>
        <v>Danforth  </v>
      </c>
      <c r="M308" s="64" t="str">
        <f>IFERROR(__xludf.DUMMYFUNCTION("""COMPUTED_VALUE"""),"2226")</f>
        <v>2226</v>
      </c>
      <c r="N308" s="61"/>
      <c r="O308" s="61" t="b">
        <f>COUNTIF('Delivered Rentals'!A:A, B308) &gt; 0</f>
        <v>1</v>
      </c>
      <c r="P308" s="101" t="str">
        <f>IFERROR(__xludf.DUMMYFUNCTION("""COMPUTED_VALUE""")," ")</f>
        <v> </v>
      </c>
    </row>
    <row r="309">
      <c r="A309" s="102" t="str">
        <f>IFERROR(__xludf.DUMMYFUNCTION("""COMPUTED_VALUE"""),"https://utrucking.com/admin/orders/5925443272892")</f>
        <v>https://utrucking.com/admin/orders/5925443272892</v>
      </c>
      <c r="B309" s="65" t="str">
        <f>IFERROR(__xludf.DUMMYFUNCTION("""COMPUTED_VALUE"""),"#15982")</f>
        <v>#15982</v>
      </c>
      <c r="C309" s="65" t="str">
        <f>IFERROR(__xludf.DUMMYFUNCTION("""COMPUTED_VALUE"""),"c.i.godwin@wustl.edu")</f>
        <v>c.i.godwin@wustl.edu</v>
      </c>
      <c r="D309" s="65">
        <f>IFERROR(__xludf.DUMMYFUNCTION("""COMPUTED_VALUE"""),2.03814425E9)</f>
        <v>2038144250</v>
      </c>
      <c r="E309" s="65" t="str">
        <f>IFERROR(__xludf.DUMMYFUNCTION("""COMPUTED_VALUE"""),"Cate Godwin")</f>
        <v>Cate Godwin</v>
      </c>
      <c r="F309" s="65"/>
      <c r="G309" s="65"/>
      <c r="H309" s="65" t="str">
        <f>IFERROR(__xludf.DUMMYFUNCTION("""COMPUTED_VALUE"""),"Appliance Rental")</f>
        <v>Appliance Rental</v>
      </c>
      <c r="I309" s="65" t="str">
        <f>IFERROR(__xludf.DUMMYFUNCTION("""COMPUTED_VALUE""")," Double-Door Mini Fridge   -  - ")</f>
        <v> Double-Door Mini Fridge   -  - </v>
      </c>
      <c r="J309" s="65">
        <f>IFERROR(__xludf.DUMMYFUNCTION("""COMPUTED_VALUE"""),145.0)</f>
        <v>145</v>
      </c>
      <c r="K309" s="103">
        <f>IFERROR(__xludf.DUMMYFUNCTION("""COMPUTED_VALUE"""),45889.0)</f>
        <v>45889</v>
      </c>
      <c r="L309" s="65" t="str">
        <f>IFERROR(__xludf.DUMMYFUNCTION("""COMPUTED_VALUE"""),"Village East  ")</f>
        <v>Village East  </v>
      </c>
      <c r="M309" s="68" t="str">
        <f>IFERROR(__xludf.DUMMYFUNCTION("""COMPUTED_VALUE"""),"1114")</f>
        <v>1114</v>
      </c>
      <c r="N309" s="65"/>
      <c r="O309" s="65" t="b">
        <f>COUNTIF('Delivered Rentals'!A:A, B309) &gt; 0</f>
        <v>1</v>
      </c>
      <c r="P309" s="104" t="str">
        <f>IFERROR(__xludf.DUMMYFUNCTION("""COMPUTED_VALUE""")," ")</f>
        <v> </v>
      </c>
    </row>
    <row r="310">
      <c r="A310" s="99" t="str">
        <f>IFERROR(__xludf.DUMMYFUNCTION("""COMPUTED_VALUE"""),"https://utrucking.com/admin/orders/5925714428092")</f>
        <v>https://utrucking.com/admin/orders/5925714428092</v>
      </c>
      <c r="B310" s="61" t="str">
        <f>IFERROR(__xludf.DUMMYFUNCTION("""COMPUTED_VALUE"""),"#15993")</f>
        <v>#15993</v>
      </c>
      <c r="C310" s="61" t="str">
        <f>IFERROR(__xludf.DUMMYFUNCTION("""COMPUTED_VALUE"""),"Jaci@wustl.edu")</f>
        <v>Jaci@wustl.edu</v>
      </c>
      <c r="D310" s="61">
        <f>IFERROR(__xludf.DUMMYFUNCTION("""COMPUTED_VALUE"""),9.493794575E9)</f>
        <v>9493794575</v>
      </c>
      <c r="E310" s="61" t="str">
        <f>IFERROR(__xludf.DUMMYFUNCTION("""COMPUTED_VALUE"""),"Terry Lee")</f>
        <v>Terry Lee</v>
      </c>
      <c r="F310" s="61"/>
      <c r="G310" s="61"/>
      <c r="H310" s="61" t="str">
        <f>IFERROR(__xludf.DUMMYFUNCTION("""COMPUTED_VALUE"""),"Appliance Rental")</f>
        <v>Appliance Rental</v>
      </c>
      <c r="I310" s="61" t="str">
        <f>IFERROR(__xludf.DUMMYFUNCTION("""COMPUTED_VALUE""")," Double-Door Mini Fridge + Microwave   -  - ")</f>
        <v> Double-Door Mini Fridge + Microwave   -  - </v>
      </c>
      <c r="J310" s="61">
        <f>IFERROR(__xludf.DUMMYFUNCTION("""COMPUTED_VALUE"""),210.0)</f>
        <v>210</v>
      </c>
      <c r="K310" s="100">
        <f>IFERROR(__xludf.DUMMYFUNCTION("""COMPUTED_VALUE"""),45883.0)</f>
        <v>45883</v>
      </c>
      <c r="L310" s="61" t="str">
        <f>IFERROR(__xludf.DUMMYFUNCTION("""COMPUTED_VALUE"""),"Eliot B  ")</f>
        <v>Eliot B  </v>
      </c>
      <c r="M310" s="64" t="str">
        <f>IFERROR(__xludf.DUMMYFUNCTION("""COMPUTED_VALUE"""),"2053-a")</f>
        <v>2053-a</v>
      </c>
      <c r="N310" s="61"/>
      <c r="O310" s="61" t="b">
        <f>COUNTIF('Delivered Rentals'!A:A, B310) &gt; 0</f>
        <v>1</v>
      </c>
      <c r="P310" s="101" t="str">
        <f>IFERROR(__xludf.DUMMYFUNCTION("""COMPUTED_VALUE""")," ")</f>
        <v> </v>
      </c>
    </row>
    <row r="311">
      <c r="A311" s="102" t="str">
        <f>IFERROR(__xludf.DUMMYFUNCTION("""COMPUTED_VALUE"""),"https://utrucking.com/admin/orders/5925828395196")</f>
        <v>https://utrucking.com/admin/orders/5925828395196</v>
      </c>
      <c r="B311" s="65" t="str">
        <f>IFERROR(__xludf.DUMMYFUNCTION("""COMPUTED_VALUE"""),"#15997")</f>
        <v>#15997</v>
      </c>
      <c r="C311" s="65" t="str">
        <f>IFERROR(__xludf.DUMMYFUNCTION("""COMPUTED_VALUE"""),"allisonjkhani@gmail.com")</f>
        <v>allisonjkhani@gmail.com</v>
      </c>
      <c r="D311" s="65">
        <f>IFERROR(__xludf.DUMMYFUNCTION("""COMPUTED_VALUE"""),1.3013853369E10)</f>
        <v>13013853369</v>
      </c>
      <c r="E311" s="65" t="str">
        <f>IFERROR(__xludf.DUMMYFUNCTION("""COMPUTED_VALUE"""),"Allison Khani")</f>
        <v>Allison Khani</v>
      </c>
      <c r="F311" s="65"/>
      <c r="G311" s="65"/>
      <c r="H311" s="65" t="str">
        <f>IFERROR(__xludf.DUMMYFUNCTION("""COMPUTED_VALUE"""),"Appliance Rental")</f>
        <v>Appliance Rental</v>
      </c>
      <c r="I311" s="65" t="str">
        <f>IFERROR(__xludf.DUMMYFUNCTION("""COMPUTED_VALUE""")," Double-Door Mini Fridge + Microwave   -  - ")</f>
        <v> Double-Door Mini Fridge + Microwave   -  - </v>
      </c>
      <c r="J311" s="65">
        <f>IFERROR(__xludf.DUMMYFUNCTION("""COMPUTED_VALUE"""),210.0)</f>
        <v>210</v>
      </c>
      <c r="K311" s="103">
        <f>IFERROR(__xludf.DUMMYFUNCTION("""COMPUTED_VALUE"""),45883.0)</f>
        <v>45883</v>
      </c>
      <c r="L311" s="65" t="str">
        <f>IFERROR(__xludf.DUMMYFUNCTION("""COMPUTED_VALUE"""),"Rutledge  ")</f>
        <v>Rutledge  </v>
      </c>
      <c r="M311" s="68" t="str">
        <f>IFERROR(__xludf.DUMMYFUNCTION("""COMPUTED_VALUE"""),"342")</f>
        <v>342</v>
      </c>
      <c r="N311" s="65"/>
      <c r="O311" s="65" t="b">
        <f>COUNTIF('Delivered Rentals'!A:A, B311) &gt; 0</f>
        <v>1</v>
      </c>
      <c r="P311" s="104" t="str">
        <f>IFERROR(__xludf.DUMMYFUNCTION("""COMPUTED_VALUE""")," ")</f>
        <v> </v>
      </c>
    </row>
    <row r="312">
      <c r="A312" s="99" t="str">
        <f>IFERROR(__xludf.DUMMYFUNCTION("""COMPUTED_VALUE"""),"https://utrucking.com/admin/orders/5925890654396")</f>
        <v>https://utrucking.com/admin/orders/5925890654396</v>
      </c>
      <c r="B312" s="61" t="str">
        <f>IFERROR(__xludf.DUMMYFUNCTION("""COMPUTED_VALUE"""),"#15998")</f>
        <v>#15998</v>
      </c>
      <c r="C312" s="61" t="str">
        <f>IFERROR(__xludf.DUMMYFUNCTION("""COMPUTED_VALUE"""),"Jacobj.tulch17@gmail.com")</f>
        <v>Jacobj.tulch17@gmail.com</v>
      </c>
      <c r="D312" s="61">
        <f>IFERROR(__xludf.DUMMYFUNCTION("""COMPUTED_VALUE"""),3.362690708E9)</f>
        <v>3362690708</v>
      </c>
      <c r="E312" s="61" t="str">
        <f>IFERROR(__xludf.DUMMYFUNCTION("""COMPUTED_VALUE"""),"Peter Tulchinsky")</f>
        <v>Peter Tulchinsky</v>
      </c>
      <c r="F312" s="61"/>
      <c r="G312" s="61"/>
      <c r="H312" s="61" t="str">
        <f>IFERROR(__xludf.DUMMYFUNCTION("""COMPUTED_VALUE"""),"Appliance Rental")</f>
        <v>Appliance Rental</v>
      </c>
      <c r="I312" s="61" t="str">
        <f>IFERROR(__xludf.DUMMYFUNCTION("""COMPUTED_VALUE""")," Standard Mini Fridge   -  - ")</f>
        <v> Standard Mini Fridge   -  - </v>
      </c>
      <c r="J312" s="61">
        <f>IFERROR(__xludf.DUMMYFUNCTION("""COMPUTED_VALUE"""),115.0)</f>
        <v>115</v>
      </c>
      <c r="K312" s="100">
        <f>IFERROR(__xludf.DUMMYFUNCTION("""COMPUTED_VALUE"""),45883.0)</f>
        <v>45883</v>
      </c>
      <c r="L312" s="61" t="str">
        <f>IFERROR(__xludf.DUMMYFUNCTION("""COMPUTED_VALUE"""),"Wheeler  ")</f>
        <v>Wheeler  </v>
      </c>
      <c r="M312" s="64" t="str">
        <f>IFERROR(__xludf.DUMMYFUNCTION("""COMPUTED_VALUE"""),"1053-a")</f>
        <v>1053-a</v>
      </c>
      <c r="N312" s="61"/>
      <c r="O312" s="61" t="b">
        <f>COUNTIF('Delivered Rentals'!A:A, B312) &gt; 0</f>
        <v>1</v>
      </c>
      <c r="P312" s="101" t="str">
        <f>IFERROR(__xludf.DUMMYFUNCTION("""COMPUTED_VALUE""")," ")</f>
        <v> </v>
      </c>
    </row>
    <row r="313">
      <c r="A313" s="102" t="str">
        <f>IFERROR(__xludf.DUMMYFUNCTION("""COMPUTED_VALUE"""),"https://utrucking.com/admin/orders/5925898715324")</f>
        <v>https://utrucking.com/admin/orders/5925898715324</v>
      </c>
      <c r="B313" s="65" t="str">
        <f>IFERROR(__xludf.DUMMYFUNCTION("""COMPUTED_VALUE"""),"#15999")</f>
        <v>#15999</v>
      </c>
      <c r="C313" s="65" t="str">
        <f>IFERROR(__xludf.DUMMYFUNCTION("""COMPUTED_VALUE"""),"cdlpj@me.com")</f>
        <v>cdlpj@me.com</v>
      </c>
      <c r="D313" s="65">
        <f>IFERROR(__xludf.DUMMYFUNCTION("""COMPUTED_VALUE"""),2.143545353E9)</f>
        <v>2143545353</v>
      </c>
      <c r="E313" s="65" t="str">
        <f>IFERROR(__xludf.DUMMYFUNCTION("""COMPUTED_VALUE"""),"Cristina Jaggers")</f>
        <v>Cristina Jaggers</v>
      </c>
      <c r="F313" s="65"/>
      <c r="G313" s="65"/>
      <c r="H313" s="65" t="str">
        <f>IFERROR(__xludf.DUMMYFUNCTION("""COMPUTED_VALUE"""),"Appliance Rental")</f>
        <v>Appliance Rental</v>
      </c>
      <c r="I313" s="65" t="str">
        <f>IFERROR(__xludf.DUMMYFUNCTION("""COMPUTED_VALUE""")," Double-Door Mini Fridge + Microwave   -  - ")</f>
        <v> Double-Door Mini Fridge + Microwave   -  - </v>
      </c>
      <c r="J313" s="65">
        <f>IFERROR(__xludf.DUMMYFUNCTION("""COMPUTED_VALUE"""),210.0)</f>
        <v>210</v>
      </c>
      <c r="K313" s="103">
        <f>IFERROR(__xludf.DUMMYFUNCTION("""COMPUTED_VALUE"""),45883.0)</f>
        <v>45883</v>
      </c>
      <c r="L313" s="65" t="str">
        <f>IFERROR(__xludf.DUMMYFUNCTION("""COMPUTED_VALUE"""),"Myers  ")</f>
        <v>Myers  </v>
      </c>
      <c r="M313" s="68" t="str">
        <f>IFERROR(__xludf.DUMMYFUNCTION("""COMPUTED_VALUE"""),"212-a")</f>
        <v>212-a</v>
      </c>
      <c r="N313" s="65"/>
      <c r="O313" s="65" t="b">
        <f>COUNTIF('Delivered Rentals'!A:A, B313) &gt; 0</f>
        <v>1</v>
      </c>
      <c r="P313" s="104" t="str">
        <f>IFERROR(__xludf.DUMMYFUNCTION("""COMPUTED_VALUE""")," ")</f>
        <v> </v>
      </c>
    </row>
    <row r="314">
      <c r="A314" s="99" t="str">
        <f>IFERROR(__xludf.DUMMYFUNCTION("""COMPUTED_VALUE"""),"https://utrucking.com/admin/orders/5926104137916")</f>
        <v>https://utrucking.com/admin/orders/5926104137916</v>
      </c>
      <c r="B314" s="61" t="str">
        <f>IFERROR(__xludf.DUMMYFUNCTION("""COMPUTED_VALUE"""),"#16004")</f>
        <v>#16004</v>
      </c>
      <c r="C314" s="61" t="str">
        <f>IFERROR(__xludf.DUMMYFUNCTION("""COMPUTED_VALUE"""),"raine94@me.com")</f>
        <v>raine94@me.com</v>
      </c>
      <c r="D314" s="61">
        <f>IFERROR(__xludf.DUMMYFUNCTION("""COMPUTED_VALUE"""),9.079031835E9)</f>
        <v>9079031835</v>
      </c>
      <c r="E314" s="61" t="str">
        <f>IFERROR(__xludf.DUMMYFUNCTION("""COMPUTED_VALUE"""),"Michael Borys")</f>
        <v>Michael Borys</v>
      </c>
      <c r="F314" s="61"/>
      <c r="G314" s="61"/>
      <c r="H314" s="61" t="str">
        <f>IFERROR(__xludf.DUMMYFUNCTION("""COMPUTED_VALUE"""),"Appliance Rental")</f>
        <v>Appliance Rental</v>
      </c>
      <c r="I314" s="61" t="str">
        <f>IFERROR(__xludf.DUMMYFUNCTION("""COMPUTED_VALUE""")," Double-Door Mini Fridge   -  - ")</f>
        <v> Double-Door Mini Fridge   -  - </v>
      </c>
      <c r="J314" s="61">
        <f>IFERROR(__xludf.DUMMYFUNCTION("""COMPUTED_VALUE"""),145.0)</f>
        <v>145</v>
      </c>
      <c r="K314" s="100">
        <f>IFERROR(__xludf.DUMMYFUNCTION("""COMPUTED_VALUE"""),45883.0)</f>
        <v>45883</v>
      </c>
      <c r="L314" s="61" t="str">
        <f>IFERROR(__xludf.DUMMYFUNCTION("""COMPUTED_VALUE"""),"Umrath  ")</f>
        <v>Umrath  </v>
      </c>
      <c r="M314" s="64" t="str">
        <f>IFERROR(__xludf.DUMMYFUNCTION("""COMPUTED_VALUE"""),"2233A")</f>
        <v>2233A</v>
      </c>
      <c r="N314" s="61"/>
      <c r="O314" s="61" t="b">
        <f>COUNTIF('Delivered Rentals'!A:A, B314) &gt; 0</f>
        <v>1</v>
      </c>
      <c r="P314" s="101" t="str">
        <f>IFERROR(__xludf.DUMMYFUNCTION("""COMPUTED_VALUE""")," ")</f>
        <v> </v>
      </c>
    </row>
    <row r="315">
      <c r="A315" s="102" t="str">
        <f>IFERROR(__xludf.DUMMYFUNCTION("""COMPUTED_VALUE"""),"https://utrucking.com/admin/orders/5926257426620")</f>
        <v>https://utrucking.com/admin/orders/5926257426620</v>
      </c>
      <c r="B315" s="65" t="str">
        <f>IFERROR(__xludf.DUMMYFUNCTION("""COMPUTED_VALUE"""),"#16006")</f>
        <v>#16006</v>
      </c>
      <c r="C315" s="65"/>
      <c r="D315" s="65">
        <f>IFERROR(__xludf.DUMMYFUNCTION("""COMPUTED_VALUE"""),7.637424532E9)</f>
        <v>7637424532</v>
      </c>
      <c r="E315" s="65" t="str">
        <f>IFERROR(__xludf.DUMMYFUNCTION("""COMPUTED_VALUE"""),"Zachary Dang")</f>
        <v>Zachary Dang</v>
      </c>
      <c r="F315" s="65"/>
      <c r="G315" s="65"/>
      <c r="H315" s="65" t="str">
        <f>IFERROR(__xludf.DUMMYFUNCTION("""COMPUTED_VALUE"""),"Appliance Rental")</f>
        <v>Appliance Rental</v>
      </c>
      <c r="I315" s="65" t="str">
        <f>IFERROR(__xludf.DUMMYFUNCTION("""COMPUTED_VALUE""")," Double-Door Mini Fridge   -  - ")</f>
        <v> Double-Door Mini Fridge   -  - </v>
      </c>
      <c r="J315" s="65">
        <f>IFERROR(__xludf.DUMMYFUNCTION("""COMPUTED_VALUE"""),145.0)</f>
        <v>145</v>
      </c>
      <c r="K315" s="103">
        <f>IFERROR(__xludf.DUMMYFUNCTION("""COMPUTED_VALUE"""),45883.0)</f>
        <v>45883</v>
      </c>
      <c r="L315" s="65" t="str">
        <f>IFERROR(__xludf.DUMMYFUNCTION("""COMPUTED_VALUE"""),"Dauten  ")</f>
        <v>Dauten  </v>
      </c>
      <c r="M315" s="68" t="str">
        <f>IFERROR(__xludf.DUMMYFUNCTION("""COMPUTED_VALUE"""),"144")</f>
        <v>144</v>
      </c>
      <c r="N315" s="65"/>
      <c r="O315" s="65" t="b">
        <f>COUNTIF('Delivered Rentals'!A:A, B315) &gt; 0</f>
        <v>1</v>
      </c>
      <c r="P315" s="104" t="str">
        <f>IFERROR(__xludf.DUMMYFUNCTION("""COMPUTED_VALUE""")," ")</f>
        <v> </v>
      </c>
    </row>
    <row r="316">
      <c r="A316" s="99" t="str">
        <f>IFERROR(__xludf.DUMMYFUNCTION("""COMPUTED_VALUE"""),"https://utrucking.com/admin/orders/5926260441276")</f>
        <v>https://utrucking.com/admin/orders/5926260441276</v>
      </c>
      <c r="B316" s="61" t="str">
        <f>IFERROR(__xludf.DUMMYFUNCTION("""COMPUTED_VALUE"""),"#16007")</f>
        <v>#16007</v>
      </c>
      <c r="C316" s="61" t="str">
        <f>IFERROR(__xludf.DUMMYFUNCTION("""COMPUTED_VALUE"""),"jennifereliu@gmail.com")</f>
        <v>jennifereliu@gmail.com</v>
      </c>
      <c r="D316" s="61">
        <f>IFERROR(__xludf.DUMMYFUNCTION("""COMPUTED_VALUE"""),9.176504578E9)</f>
        <v>9176504578</v>
      </c>
      <c r="E316" s="61" t="str">
        <f>IFERROR(__xludf.DUMMYFUNCTION("""COMPUTED_VALUE"""),"Jennifer Liu")</f>
        <v>Jennifer Liu</v>
      </c>
      <c r="F316" s="61"/>
      <c r="G316" s="61"/>
      <c r="H316" s="61" t="str">
        <f>IFERROR(__xludf.DUMMYFUNCTION("""COMPUTED_VALUE"""),"Appliance Rental")</f>
        <v>Appliance Rental</v>
      </c>
      <c r="I316" s="61" t="str">
        <f>IFERROR(__xludf.DUMMYFUNCTION("""COMPUTED_VALUE""")," Double-Door Mini Fridge + Microwave   -  - ")</f>
        <v> Double-Door Mini Fridge + Microwave   -  - </v>
      </c>
      <c r="J316" s="61">
        <f>IFERROR(__xludf.DUMMYFUNCTION("""COMPUTED_VALUE"""),210.0)</f>
        <v>210</v>
      </c>
      <c r="K316" s="100">
        <f>IFERROR(__xludf.DUMMYFUNCTION("""COMPUTED_VALUE"""),45883.0)</f>
        <v>45883</v>
      </c>
      <c r="L316" s="61" t="str">
        <f>IFERROR(__xludf.DUMMYFUNCTION("""COMPUTED_VALUE"""),"Umrath  ")</f>
        <v>Umrath  </v>
      </c>
      <c r="M316" s="64" t="str">
        <f>IFERROR(__xludf.DUMMYFUNCTION("""COMPUTED_VALUE"""),"2202")</f>
        <v>2202</v>
      </c>
      <c r="N316" s="61"/>
      <c r="O316" s="61" t="b">
        <f>COUNTIF('Delivered Rentals'!A:A, B316) &gt; 0</f>
        <v>1</v>
      </c>
      <c r="P316" s="101" t="str">
        <f>IFERROR(__xludf.DUMMYFUNCTION("""COMPUTED_VALUE""")," ")</f>
        <v> </v>
      </c>
    </row>
    <row r="317">
      <c r="A317" s="102" t="str">
        <f>IFERROR(__xludf.DUMMYFUNCTION("""COMPUTED_VALUE"""),"https://utrucking.com/admin/orders/5926262669500")</f>
        <v>https://utrucking.com/admin/orders/5926262669500</v>
      </c>
      <c r="B317" s="65" t="str">
        <f>IFERROR(__xludf.DUMMYFUNCTION("""COMPUTED_VALUE"""),"#16008")</f>
        <v>#16008</v>
      </c>
      <c r="C317" s="65" t="str">
        <f>IFERROR(__xludf.DUMMYFUNCTION("""COMPUTED_VALUE"""),"laura.ripin@gmail.com")</f>
        <v>laura.ripin@gmail.com</v>
      </c>
      <c r="D317" s="65">
        <f>IFERROR(__xludf.DUMMYFUNCTION("""COMPUTED_VALUE"""),6.174176185E9)</f>
        <v>6174176185</v>
      </c>
      <c r="E317" s="65" t="str">
        <f>IFERROR(__xludf.DUMMYFUNCTION("""COMPUTED_VALUE"""),"Laura Ripin")</f>
        <v>Laura Ripin</v>
      </c>
      <c r="F317" s="65"/>
      <c r="G317" s="65"/>
      <c r="H317" s="65" t="str">
        <f>IFERROR(__xludf.DUMMYFUNCTION("""COMPUTED_VALUE"""),"Appliance Rental")</f>
        <v>Appliance Rental</v>
      </c>
      <c r="I317" s="65" t="str">
        <f>IFERROR(__xludf.DUMMYFUNCTION("""COMPUTED_VALUE""")," Double-Door Mini Fridge + Microwave   -  - ")</f>
        <v> Double-Door Mini Fridge + Microwave   -  - </v>
      </c>
      <c r="J317" s="65">
        <f>IFERROR(__xludf.DUMMYFUNCTION("""COMPUTED_VALUE"""),210.0)</f>
        <v>210</v>
      </c>
      <c r="K317" s="103">
        <f>IFERROR(__xludf.DUMMYFUNCTION("""COMPUTED_VALUE"""),45883.0)</f>
        <v>45883</v>
      </c>
      <c r="L317" s="65" t="str">
        <f>IFERROR(__xludf.DUMMYFUNCTION("""COMPUTED_VALUE"""),"Dauten  ")</f>
        <v>Dauten  </v>
      </c>
      <c r="M317" s="68" t="str">
        <f>IFERROR(__xludf.DUMMYFUNCTION("""COMPUTED_VALUE"""),"424")</f>
        <v>424</v>
      </c>
      <c r="N317" s="65"/>
      <c r="O317" s="65" t="b">
        <f>COUNTIF('Delivered Rentals'!A:A, B317) &gt; 0</f>
        <v>1</v>
      </c>
      <c r="P317" s="104" t="str">
        <f>IFERROR(__xludf.DUMMYFUNCTION("""COMPUTED_VALUE""")," ")</f>
        <v> </v>
      </c>
    </row>
    <row r="318">
      <c r="A318" s="99" t="str">
        <f>IFERROR(__xludf.DUMMYFUNCTION("""COMPUTED_VALUE"""),"https://utrucking.com/admin/orders/5926336561340")</f>
        <v>https://utrucking.com/admin/orders/5926336561340</v>
      </c>
      <c r="B318" s="61" t="str">
        <f>IFERROR(__xludf.DUMMYFUNCTION("""COMPUTED_VALUE"""),"#16009")</f>
        <v>#16009</v>
      </c>
      <c r="C318" s="61" t="str">
        <f>IFERROR(__xludf.DUMMYFUNCTION("""COMPUTED_VALUE"""),"mepspinner@aol.com")</f>
        <v>mepspinner@aol.com</v>
      </c>
      <c r="D318" s="61">
        <f>IFERROR(__xludf.DUMMYFUNCTION("""COMPUTED_VALUE"""),4.145874195E9)</f>
        <v>4145874195</v>
      </c>
      <c r="E318" s="61" t="str">
        <f>IFERROR(__xludf.DUMMYFUNCTION("""COMPUTED_VALUE"""),"Sarah Bahr")</f>
        <v>Sarah Bahr</v>
      </c>
      <c r="F318" s="61"/>
      <c r="G318" s="61"/>
      <c r="H318" s="61" t="str">
        <f>IFERROR(__xludf.DUMMYFUNCTION("""COMPUTED_VALUE"""),"Appliance Rental")</f>
        <v>Appliance Rental</v>
      </c>
      <c r="I318" s="61" t="str">
        <f>IFERROR(__xludf.DUMMYFUNCTION("""COMPUTED_VALUE""")," Double-Door Mini Fridge + Microwave   -  - ")</f>
        <v> Double-Door Mini Fridge + Microwave   -  - </v>
      </c>
      <c r="J318" s="61">
        <f>IFERROR(__xludf.DUMMYFUNCTION("""COMPUTED_VALUE"""),210.0)</f>
        <v>210</v>
      </c>
      <c r="K318" s="100">
        <f>IFERROR(__xludf.DUMMYFUNCTION("""COMPUTED_VALUE"""),45883.0)</f>
        <v>45883</v>
      </c>
      <c r="L318" s="61" t="str">
        <f>IFERROR(__xludf.DUMMYFUNCTION("""COMPUTED_VALUE"""),"Lee  ")</f>
        <v>Lee  </v>
      </c>
      <c r="M318" s="64" t="str">
        <f>IFERROR(__xludf.DUMMYFUNCTION("""COMPUTED_VALUE"""),"205")</f>
        <v>205</v>
      </c>
      <c r="N318" s="61"/>
      <c r="O318" s="61" t="b">
        <f>COUNTIF('Delivered Rentals'!A:A, B318) &gt; 0</f>
        <v>1</v>
      </c>
      <c r="P318" s="101" t="str">
        <f>IFERROR(__xludf.DUMMYFUNCTION("""COMPUTED_VALUE""")," ")</f>
        <v> </v>
      </c>
    </row>
    <row r="319">
      <c r="A319" s="102" t="str">
        <f>IFERROR(__xludf.DUMMYFUNCTION("""COMPUTED_VALUE"""),"https://utrucking.com/admin/orders/5926378242236")</f>
        <v>https://utrucking.com/admin/orders/5926378242236</v>
      </c>
      <c r="B319" s="65" t="str">
        <f>IFERROR(__xludf.DUMMYFUNCTION("""COMPUTED_VALUE"""),"#16011")</f>
        <v>#16011</v>
      </c>
      <c r="C319" s="65"/>
      <c r="D319" s="65">
        <f>IFERROR(__xludf.DUMMYFUNCTION("""COMPUTED_VALUE"""),2.174170478E9)</f>
        <v>2174170478</v>
      </c>
      <c r="E319" s="65" t="str">
        <f>IFERROR(__xludf.DUMMYFUNCTION("""COMPUTED_VALUE"""),"Eric Tian")</f>
        <v>Eric Tian</v>
      </c>
      <c r="F319" s="65"/>
      <c r="G319" s="65"/>
      <c r="H319" s="65" t="str">
        <f>IFERROR(__xludf.DUMMYFUNCTION("""COMPUTED_VALUE"""),"Appliance Rental")</f>
        <v>Appliance Rental</v>
      </c>
      <c r="I319" s="65" t="str">
        <f>IFERROR(__xludf.DUMMYFUNCTION("""COMPUTED_VALUE""")," Standard Mini Fridge   -  - ")</f>
        <v> Standard Mini Fridge   -  - </v>
      </c>
      <c r="J319" s="65">
        <f>IFERROR(__xludf.DUMMYFUNCTION("""COMPUTED_VALUE"""),115.0)</f>
        <v>115</v>
      </c>
      <c r="K319" s="103">
        <f>IFERROR(__xludf.DUMMYFUNCTION("""COMPUTED_VALUE"""),45883.0)</f>
        <v>45883</v>
      </c>
      <c r="L319" s="65" t="str">
        <f>IFERROR(__xludf.DUMMYFUNCTION("""COMPUTED_VALUE"""),"Hurd  ")</f>
        <v>Hurd  </v>
      </c>
      <c r="M319" s="68" t="str">
        <f>IFERROR(__xludf.DUMMYFUNCTION("""COMPUTED_VALUE"""),"213 a")</f>
        <v>213 a</v>
      </c>
      <c r="N319" s="65"/>
      <c r="O319" s="65" t="b">
        <f>COUNTIF('Delivered Rentals'!A:A, B319) &gt; 0</f>
        <v>1</v>
      </c>
      <c r="P319" s="104" t="str">
        <f>IFERROR(__xludf.DUMMYFUNCTION("""COMPUTED_VALUE""")," ")</f>
        <v> </v>
      </c>
    </row>
    <row r="320">
      <c r="A320" s="99" t="str">
        <f>IFERROR(__xludf.DUMMYFUNCTION("""COMPUTED_VALUE"""),"https://utrucking.com/admin/orders/5926606045372")</f>
        <v>https://utrucking.com/admin/orders/5926606045372</v>
      </c>
      <c r="B320" s="61" t="str">
        <f>IFERROR(__xludf.DUMMYFUNCTION("""COMPUTED_VALUE"""),"#16013")</f>
        <v>#16013</v>
      </c>
      <c r="C320" s="61" t="str">
        <f>IFERROR(__xludf.DUMMYFUNCTION("""COMPUTED_VALUE"""),"gmb.baker@gmail.com")</f>
        <v>gmb.baker@gmail.com</v>
      </c>
      <c r="D320" s="61">
        <f>IFERROR(__xludf.DUMMYFUNCTION("""COMPUTED_VALUE"""),5.166260596E9)</f>
        <v>5166260596</v>
      </c>
      <c r="E320" s="61" t="str">
        <f>IFERROR(__xludf.DUMMYFUNCTION("""COMPUTED_VALUE"""),"Geneane Bloomfield-Baker")</f>
        <v>Geneane Bloomfield-Baker</v>
      </c>
      <c r="F320" s="61"/>
      <c r="G320" s="61"/>
      <c r="H320" s="61" t="str">
        <f>IFERROR(__xludf.DUMMYFUNCTION("""COMPUTED_VALUE"""),"Appliance Rental")</f>
        <v>Appliance Rental</v>
      </c>
      <c r="I320" s="61" t="str">
        <f>IFERROR(__xludf.DUMMYFUNCTION("""COMPUTED_VALUE""")," Double-Door Mini Fridge   -  - ")</f>
        <v> Double-Door Mini Fridge   -  - </v>
      </c>
      <c r="J320" s="61">
        <f>IFERROR(__xludf.DUMMYFUNCTION("""COMPUTED_VALUE"""),145.0)</f>
        <v>145</v>
      </c>
      <c r="K320" s="100">
        <f>IFERROR(__xludf.DUMMYFUNCTION("""COMPUTED_VALUE"""),45883.0)</f>
        <v>45883</v>
      </c>
      <c r="L320" s="61" t="str">
        <f>IFERROR(__xludf.DUMMYFUNCTION("""COMPUTED_VALUE"""),"Lopata  ")</f>
        <v>Lopata  </v>
      </c>
      <c r="M320" s="64" t="str">
        <f>IFERROR(__xludf.DUMMYFUNCTION("""COMPUTED_VALUE"""),"3030")</f>
        <v>3030</v>
      </c>
      <c r="N320" s="61"/>
      <c r="O320" s="61" t="b">
        <f>COUNTIF('Delivered Rentals'!A:A, B320) &gt; 0</f>
        <v>1</v>
      </c>
      <c r="P320" s="101" t="str">
        <f>IFERROR(__xludf.DUMMYFUNCTION("""COMPUTED_VALUE""")," ")</f>
        <v> </v>
      </c>
    </row>
    <row r="321">
      <c r="A321" s="102" t="str">
        <f>IFERROR(__xludf.DUMMYFUNCTION("""COMPUTED_VALUE"""),"https://utrucking.com/admin/orders/5926645399740")</f>
        <v>https://utrucking.com/admin/orders/5926645399740</v>
      </c>
      <c r="B321" s="65" t="str">
        <f>IFERROR(__xludf.DUMMYFUNCTION("""COMPUTED_VALUE"""),"#16015")</f>
        <v>#16015</v>
      </c>
      <c r="C321" s="65"/>
      <c r="D321" s="65">
        <f>IFERROR(__xludf.DUMMYFUNCTION("""COMPUTED_VALUE"""),3.17500095E9)</f>
        <v>3175000950</v>
      </c>
      <c r="E321" s="65" t="str">
        <f>IFERROR(__xludf.DUMMYFUNCTION("""COMPUTED_VALUE"""),"Brian Kahn")</f>
        <v>Brian Kahn</v>
      </c>
      <c r="F321" s="65"/>
      <c r="G321" s="65"/>
      <c r="H321" s="65" t="str">
        <f>IFERROR(__xludf.DUMMYFUNCTION("""COMPUTED_VALUE"""),"Appliance Rental")</f>
        <v>Appliance Rental</v>
      </c>
      <c r="I321" s="65" t="str">
        <f>IFERROR(__xludf.DUMMYFUNCTION("""COMPUTED_VALUE""")," Standard Mini Fridge   -  - ")</f>
        <v> Standard Mini Fridge   -  - </v>
      </c>
      <c r="J321" s="65">
        <f>IFERROR(__xludf.DUMMYFUNCTION("""COMPUTED_VALUE"""),115.0)</f>
        <v>115</v>
      </c>
      <c r="K321" s="103">
        <f>IFERROR(__xludf.DUMMYFUNCTION("""COMPUTED_VALUE"""),45883.0)</f>
        <v>45883</v>
      </c>
      <c r="L321" s="65" t="str">
        <f>IFERROR(__xludf.DUMMYFUNCTION("""COMPUTED_VALUE"""),"Hurd  ")</f>
        <v>Hurd  </v>
      </c>
      <c r="M321" s="68" t="str">
        <f>IFERROR(__xludf.DUMMYFUNCTION("""COMPUTED_VALUE"""),"121A")</f>
        <v>121A</v>
      </c>
      <c r="N321" s="65"/>
      <c r="O321" s="65" t="b">
        <f>COUNTIF('Delivered Rentals'!A:A, B321) &gt; 0</f>
        <v>1</v>
      </c>
      <c r="P321" s="104" t="str">
        <f>IFERROR(__xludf.DUMMYFUNCTION("""COMPUTED_VALUE""")," ")</f>
        <v> </v>
      </c>
    </row>
    <row r="322">
      <c r="A322" s="99" t="str">
        <f>IFERROR(__xludf.DUMMYFUNCTION("""COMPUTED_VALUE"""),"https://utrucking.com/admin/orders/5926790135996")</f>
        <v>https://utrucking.com/admin/orders/5926790135996</v>
      </c>
      <c r="B322" s="61" t="str">
        <f>IFERROR(__xludf.DUMMYFUNCTION("""COMPUTED_VALUE"""),"#16018")</f>
        <v>#16018</v>
      </c>
      <c r="C322" s="61" t="str">
        <f>IFERROR(__xludf.DUMMYFUNCTION("""COMPUTED_VALUE"""),"o.m.sohn@wustl.edu")</f>
        <v>o.m.sohn@wustl.edu</v>
      </c>
      <c r="D322" s="61">
        <f>IFERROR(__xludf.DUMMYFUNCTION("""COMPUTED_VALUE"""),9.173716988E9)</f>
        <v>9173716988</v>
      </c>
      <c r="E322" s="61" t="str">
        <f>IFERROR(__xludf.DUMMYFUNCTION("""COMPUTED_VALUE"""),"Olivia Sohn")</f>
        <v>Olivia Sohn</v>
      </c>
      <c r="F322" s="61"/>
      <c r="G322" s="61"/>
      <c r="H322" s="61" t="str">
        <f>IFERROR(__xludf.DUMMYFUNCTION("""COMPUTED_VALUE"""),"Appliance Rental")</f>
        <v>Appliance Rental</v>
      </c>
      <c r="I322" s="61" t="str">
        <f>IFERROR(__xludf.DUMMYFUNCTION("""COMPUTED_VALUE""")," Double-Door Mini Fridge + Microwave   -  - ")</f>
        <v> Double-Door Mini Fridge + Microwave   -  - </v>
      </c>
      <c r="J322" s="61">
        <f>IFERROR(__xludf.DUMMYFUNCTION("""COMPUTED_VALUE"""),210.0)</f>
        <v>210</v>
      </c>
      <c r="K322" s="100">
        <f>IFERROR(__xludf.DUMMYFUNCTION("""COMPUTED_VALUE"""),45883.0)</f>
        <v>45883</v>
      </c>
      <c r="L322" s="61" t="str">
        <f>IFERROR(__xludf.DUMMYFUNCTION("""COMPUTED_VALUE"""),"Beaumont  ")</f>
        <v>Beaumont  </v>
      </c>
      <c r="M322" s="64" t="str">
        <f>IFERROR(__xludf.DUMMYFUNCTION("""COMPUTED_VALUE"""),"206")</f>
        <v>206</v>
      </c>
      <c r="N322" s="61"/>
      <c r="O322" s="61" t="b">
        <f>COUNTIF('Delivered Rentals'!A:A, B322) &gt; 0</f>
        <v>1</v>
      </c>
      <c r="P322" s="101" t="str">
        <f>IFERROR(__xludf.DUMMYFUNCTION("""COMPUTED_VALUE""")," ")</f>
        <v> </v>
      </c>
    </row>
    <row r="323">
      <c r="A323" s="102" t="str">
        <f>IFERROR(__xludf.DUMMYFUNCTION("""COMPUTED_VALUE"""),"https://utrucking.com/admin/orders/5926845219004")</f>
        <v>https://utrucking.com/admin/orders/5926845219004</v>
      </c>
      <c r="B323" s="65" t="str">
        <f>IFERROR(__xludf.DUMMYFUNCTION("""COMPUTED_VALUE"""),"#16021")</f>
        <v>#16021</v>
      </c>
      <c r="C323" s="65"/>
      <c r="D323" s="65"/>
      <c r="E323" s="65" t="str">
        <f>IFERROR(__xludf.DUMMYFUNCTION("""COMPUTED_VALUE"""),"Meghan Slover")</f>
        <v>Meghan Slover</v>
      </c>
      <c r="F323" s="65"/>
      <c r="G323" s="65"/>
      <c r="H323" s="65" t="str">
        <f>IFERROR(__xludf.DUMMYFUNCTION("""COMPUTED_VALUE"""),"Appliance Rental")</f>
        <v>Appliance Rental</v>
      </c>
      <c r="I323" s="65" t="str">
        <f>IFERROR(__xludf.DUMMYFUNCTION("""COMPUTED_VALUE""")," Double-Door Mini Fridge + Microwave   -  - ")</f>
        <v> Double-Door Mini Fridge + Microwave   -  - </v>
      </c>
      <c r="J323" s="65">
        <f>IFERROR(__xludf.DUMMYFUNCTION("""COMPUTED_VALUE"""),210.0)</f>
        <v>210</v>
      </c>
      <c r="K323" s="103">
        <f>IFERROR(__xludf.DUMMYFUNCTION("""COMPUTED_VALUE"""),45883.0)</f>
        <v>45883</v>
      </c>
      <c r="L323" s="65" t="str">
        <f>IFERROR(__xludf.DUMMYFUNCTION("""COMPUTED_VALUE"""),"Danforth  ")</f>
        <v>Danforth  </v>
      </c>
      <c r="M323" s="68" t="str">
        <f>IFERROR(__xludf.DUMMYFUNCTION("""COMPUTED_VALUE"""),"2222")</f>
        <v>2222</v>
      </c>
      <c r="N323" s="65"/>
      <c r="O323" s="65" t="b">
        <f>COUNTIF('Delivered Rentals'!A:A, B323) &gt; 0</f>
        <v>1</v>
      </c>
      <c r="P323" s="104" t="str">
        <f>IFERROR(__xludf.DUMMYFUNCTION("""COMPUTED_VALUE""")," ")</f>
        <v> </v>
      </c>
    </row>
    <row r="324">
      <c r="A324" s="99" t="str">
        <f>IFERROR(__xludf.DUMMYFUNCTION("""COMPUTED_VALUE"""),"https://utrucking.com/admin/orders/5927023411388")</f>
        <v>https://utrucking.com/admin/orders/5927023411388</v>
      </c>
      <c r="B324" s="61" t="str">
        <f>IFERROR(__xludf.DUMMYFUNCTION("""COMPUTED_VALUE"""),"#16023")</f>
        <v>#16023</v>
      </c>
      <c r="C324" s="61" t="str">
        <f>IFERROR(__xludf.DUMMYFUNCTION("""COMPUTED_VALUE"""),"cristina_hazday@hotmail.com")</f>
        <v>cristina_hazday@hotmail.com</v>
      </c>
      <c r="D324" s="61">
        <f>IFERROR(__xludf.DUMMYFUNCTION("""COMPUTED_VALUE"""),9.173750383E9)</f>
        <v>9173750383</v>
      </c>
      <c r="E324" s="61" t="str">
        <f>IFERROR(__xludf.DUMMYFUNCTION("""COMPUTED_VALUE"""),"Hazday Home")</f>
        <v>Hazday Home</v>
      </c>
      <c r="F324" s="61"/>
      <c r="G324" s="61"/>
      <c r="H324" s="61" t="str">
        <f>IFERROR(__xludf.DUMMYFUNCTION("""COMPUTED_VALUE"""),"Appliance Rental")</f>
        <v>Appliance Rental</v>
      </c>
      <c r="I324" s="61" t="str">
        <f>IFERROR(__xludf.DUMMYFUNCTION("""COMPUTED_VALUE""")," Double-Door Mini Fridge + Microwave   -  - ")</f>
        <v> Double-Door Mini Fridge + Microwave   -  - </v>
      </c>
      <c r="J324" s="61">
        <f>IFERROR(__xludf.DUMMYFUNCTION("""COMPUTED_VALUE"""),210.0)</f>
        <v>210</v>
      </c>
      <c r="K324" s="100">
        <f>IFERROR(__xludf.DUMMYFUNCTION("""COMPUTED_VALUE"""),45883.0)</f>
        <v>45883</v>
      </c>
      <c r="L324" s="61" t="str">
        <f>IFERROR(__xludf.DUMMYFUNCTION("""COMPUTED_VALUE"""),"Myers  ")</f>
        <v>Myers  </v>
      </c>
      <c r="M324" s="64" t="str">
        <f>IFERROR(__xludf.DUMMYFUNCTION("""COMPUTED_VALUE"""),"423-A")</f>
        <v>423-A</v>
      </c>
      <c r="N324" s="61"/>
      <c r="O324" s="61" t="b">
        <f>COUNTIF('Delivered Rentals'!A:A, B324) &gt; 0</f>
        <v>1</v>
      </c>
      <c r="P324" s="101" t="str">
        <f>IFERROR(__xludf.DUMMYFUNCTION("""COMPUTED_VALUE""")," ")</f>
        <v> </v>
      </c>
    </row>
    <row r="325">
      <c r="A325" s="102" t="str">
        <f>IFERROR(__xludf.DUMMYFUNCTION("""COMPUTED_VALUE"""),"https://utrucking.com/admin/orders/5927064076476")</f>
        <v>https://utrucking.com/admin/orders/5927064076476</v>
      </c>
      <c r="B325" s="65" t="str">
        <f>IFERROR(__xludf.DUMMYFUNCTION("""COMPUTED_VALUE"""),"#16024")</f>
        <v>#16024</v>
      </c>
      <c r="C325" s="65" t="str">
        <f>IFERROR(__xludf.DUMMYFUNCTION("""COMPUTED_VALUE"""),"ayeni@wustl.edu")</f>
        <v>ayeni@wustl.edu</v>
      </c>
      <c r="D325" s="65">
        <f>IFERROR(__xludf.DUMMYFUNCTION("""COMPUTED_VALUE"""),3.473362065E9)</f>
        <v>3473362065</v>
      </c>
      <c r="E325" s="65" t="str">
        <f>IFERROR(__xludf.DUMMYFUNCTION("""COMPUTED_VALUE"""),"Adijat Ayeni")</f>
        <v>Adijat Ayeni</v>
      </c>
      <c r="F325" s="65"/>
      <c r="G325" s="65"/>
      <c r="H325" s="65" t="str">
        <f>IFERROR(__xludf.DUMMYFUNCTION("""COMPUTED_VALUE"""),"Appliance Rental")</f>
        <v>Appliance Rental</v>
      </c>
      <c r="I325" s="65" t="str">
        <f>IFERROR(__xludf.DUMMYFUNCTION("""COMPUTED_VALUE""")," Double-Door Mini Fridge + Microwave   -  - ")</f>
        <v> Double-Door Mini Fridge + Microwave   -  - </v>
      </c>
      <c r="J325" s="65">
        <f>IFERROR(__xludf.DUMMYFUNCTION("""COMPUTED_VALUE"""),210.0)</f>
        <v>210</v>
      </c>
      <c r="K325" s="103">
        <f>IFERROR(__xludf.DUMMYFUNCTION("""COMPUTED_VALUE"""),45883.0)</f>
        <v>45883</v>
      </c>
      <c r="L325" s="65" t="str">
        <f>IFERROR(__xludf.DUMMYFUNCTION("""COMPUTED_VALUE"""),"Dardick  ")</f>
        <v>Dardick  </v>
      </c>
      <c r="M325" s="68" t="str">
        <f>IFERROR(__xludf.DUMMYFUNCTION("""COMPUTED_VALUE"""),"2209 ")</f>
        <v>2209 </v>
      </c>
      <c r="N325" s="65"/>
      <c r="O325" s="65" t="b">
        <f>COUNTIF('Delivered Rentals'!A:A, B325) &gt; 0</f>
        <v>1</v>
      </c>
      <c r="P325" s="104" t="str">
        <f>IFERROR(__xludf.DUMMYFUNCTION("""COMPUTED_VALUE""")," ")</f>
        <v> </v>
      </c>
    </row>
    <row r="326">
      <c r="A326" s="99" t="str">
        <f>IFERROR(__xludf.DUMMYFUNCTION("""COMPUTED_VALUE"""),"https://utrucking.com/admin/orders/5927151698108")</f>
        <v>https://utrucking.com/admin/orders/5927151698108</v>
      </c>
      <c r="B326" s="61" t="str">
        <f>IFERROR(__xludf.DUMMYFUNCTION("""COMPUTED_VALUE"""),"#16030")</f>
        <v>#16030</v>
      </c>
      <c r="C326" s="61" t="str">
        <f>IFERROR(__xludf.DUMMYFUNCTION("""COMPUTED_VALUE"""),"hilary.linsky@gmail.com")</f>
        <v>hilary.linsky@gmail.com</v>
      </c>
      <c r="D326" s="61">
        <f>IFERROR(__xludf.DUMMYFUNCTION("""COMPUTED_VALUE"""),9.172141935E9)</f>
        <v>9172141935</v>
      </c>
      <c r="E326" s="61" t="str">
        <f>IFERROR(__xludf.DUMMYFUNCTION("""COMPUTED_VALUE"""),"Hilary Linsky")</f>
        <v>Hilary Linsky</v>
      </c>
      <c r="F326" s="61"/>
      <c r="G326" s="61"/>
      <c r="H326" s="61" t="str">
        <f>IFERROR(__xludf.DUMMYFUNCTION("""COMPUTED_VALUE"""),"Appliance Rental")</f>
        <v>Appliance Rental</v>
      </c>
      <c r="I326" s="61" t="str">
        <f>IFERROR(__xludf.DUMMYFUNCTION("""COMPUTED_VALUE""")," Double-Door Mini Fridge + Microwave   -  - ")</f>
        <v> Double-Door Mini Fridge + Microwave   -  - </v>
      </c>
      <c r="J326" s="61">
        <f>IFERROR(__xludf.DUMMYFUNCTION("""COMPUTED_VALUE"""),210.0)</f>
        <v>210</v>
      </c>
      <c r="K326" s="100">
        <f>IFERROR(__xludf.DUMMYFUNCTION("""COMPUTED_VALUE"""),45883.0)</f>
        <v>45883</v>
      </c>
      <c r="L326" s="61" t="str">
        <f>IFERROR(__xludf.DUMMYFUNCTION("""COMPUTED_VALUE"""),"Danforth  ")</f>
        <v>Danforth  </v>
      </c>
      <c r="M326" s="64" t="str">
        <f>IFERROR(__xludf.DUMMYFUNCTION("""COMPUTED_VALUE"""),"3320")</f>
        <v>3320</v>
      </c>
      <c r="N326" s="61"/>
      <c r="O326" s="61" t="b">
        <f>COUNTIF('Delivered Rentals'!A:A, B326) &gt; 0</f>
        <v>1</v>
      </c>
      <c r="P326" s="101" t="str">
        <f>IFERROR(__xludf.DUMMYFUNCTION("""COMPUTED_VALUE""")," ")</f>
        <v> </v>
      </c>
    </row>
    <row r="327">
      <c r="A327" s="102" t="str">
        <f>IFERROR(__xludf.DUMMYFUNCTION("""COMPUTED_VALUE"""),"https://utrucking.com/admin/orders/5927203733692")</f>
        <v>https://utrucking.com/admin/orders/5927203733692</v>
      </c>
      <c r="B327" s="65" t="str">
        <f>IFERROR(__xludf.DUMMYFUNCTION("""COMPUTED_VALUE"""),"#16033")</f>
        <v>#16033</v>
      </c>
      <c r="C327" s="65"/>
      <c r="D327" s="65">
        <f>IFERROR(__xludf.DUMMYFUNCTION("""COMPUTED_VALUE"""),6.035571581E9)</f>
        <v>6035571581</v>
      </c>
      <c r="E327" s="65" t="str">
        <f>IFERROR(__xludf.DUMMYFUNCTION("""COMPUTED_VALUE"""),"Selena Zou")</f>
        <v>Selena Zou</v>
      </c>
      <c r="F327" s="65"/>
      <c r="G327" s="65"/>
      <c r="H327" s="65" t="str">
        <f>IFERROR(__xludf.DUMMYFUNCTION("""COMPUTED_VALUE"""),"Appliance Rental")</f>
        <v>Appliance Rental</v>
      </c>
      <c r="I327" s="65" t="str">
        <f>IFERROR(__xludf.DUMMYFUNCTION("""COMPUTED_VALUE""")," Double-Door Mini Fridge + Microwave   -  - ")</f>
        <v> Double-Door Mini Fridge + Microwave   -  - </v>
      </c>
      <c r="J327" s="65">
        <f>IFERROR(__xludf.DUMMYFUNCTION("""COMPUTED_VALUE"""),210.0)</f>
        <v>210</v>
      </c>
      <c r="K327" s="103">
        <f>IFERROR(__xludf.DUMMYFUNCTION("""COMPUTED_VALUE"""),45883.0)</f>
        <v>45883</v>
      </c>
      <c r="L327" s="65" t="str">
        <f>IFERROR(__xludf.DUMMYFUNCTION("""COMPUTED_VALUE"""),"Dardick  ")</f>
        <v>Dardick  </v>
      </c>
      <c r="M327" s="68" t="str">
        <f>IFERROR(__xludf.DUMMYFUNCTION("""COMPUTED_VALUE"""),"2215")</f>
        <v>2215</v>
      </c>
      <c r="N327" s="65"/>
      <c r="O327" s="65" t="b">
        <f>COUNTIF('Delivered Rentals'!A:A, B327) &gt; 0</f>
        <v>1</v>
      </c>
      <c r="P327" s="104" t="str">
        <f>IFERROR(__xludf.DUMMYFUNCTION("""COMPUTED_VALUE""")," ")</f>
        <v> </v>
      </c>
    </row>
    <row r="328">
      <c r="A328" s="99" t="str">
        <f>IFERROR(__xludf.DUMMYFUNCTION("""COMPUTED_VALUE"""),"https://utrucking.com/admin/orders/5927275364540")</f>
        <v>https://utrucking.com/admin/orders/5927275364540</v>
      </c>
      <c r="B328" s="61" t="str">
        <f>IFERROR(__xludf.DUMMYFUNCTION("""COMPUTED_VALUE"""),"#16037")</f>
        <v>#16037</v>
      </c>
      <c r="C328" s="61" t="str">
        <f>IFERROR(__xludf.DUMMYFUNCTION("""COMPUTED_VALUE"""),"b.j.rubel@wustl.edu")</f>
        <v>b.j.rubel@wustl.edu</v>
      </c>
      <c r="D328" s="61">
        <f>IFERROR(__xludf.DUMMYFUNCTION("""COMPUTED_VALUE"""),7.816262725E9)</f>
        <v>7816262725</v>
      </c>
      <c r="E328" s="61" t="str">
        <f>IFERROR(__xludf.DUMMYFUNCTION("""COMPUTED_VALUE"""),"Sarah Rubel")</f>
        <v>Sarah Rubel</v>
      </c>
      <c r="F328" s="61"/>
      <c r="G328" s="61"/>
      <c r="H328" s="61" t="str">
        <f>IFERROR(__xludf.DUMMYFUNCTION("""COMPUTED_VALUE"""),"Appliance Rental")</f>
        <v>Appliance Rental</v>
      </c>
      <c r="I328" s="61" t="str">
        <f>IFERROR(__xludf.DUMMYFUNCTION("""COMPUTED_VALUE""")," Double-Door Mini Fridge + Microwave   -  - ")</f>
        <v> Double-Door Mini Fridge + Microwave   -  - </v>
      </c>
      <c r="J328" s="61">
        <f>IFERROR(__xludf.DUMMYFUNCTION("""COMPUTED_VALUE"""),210.0)</f>
        <v>210</v>
      </c>
      <c r="K328" s="100">
        <f>IFERROR(__xludf.DUMMYFUNCTION("""COMPUTED_VALUE"""),45883.0)</f>
        <v>45883</v>
      </c>
      <c r="L328" s="61" t="str">
        <f>IFERROR(__xludf.DUMMYFUNCTION("""COMPUTED_VALUE"""),"6639 University Drive  ")</f>
        <v>6639 University Drive  </v>
      </c>
      <c r="M328" s="64" t="str">
        <f>IFERROR(__xludf.DUMMYFUNCTION("""COMPUTED_VALUE"""),"2W-B")</f>
        <v>2W-B</v>
      </c>
      <c r="N328" s="61"/>
      <c r="O328" s="61" t="b">
        <f>COUNTIF('Delivered Rentals'!A:A, B328) &gt; 0</f>
        <v>1</v>
      </c>
      <c r="P328" s="101" t="str">
        <f>IFERROR(__xludf.DUMMYFUNCTION("""COMPUTED_VALUE""")," ")</f>
        <v> </v>
      </c>
    </row>
    <row r="329">
      <c r="A329" s="102" t="str">
        <f>IFERROR(__xludf.DUMMYFUNCTION("""COMPUTED_VALUE"""),"https://utrucking.com/admin/orders/5927371178172")</f>
        <v>https://utrucking.com/admin/orders/5927371178172</v>
      </c>
      <c r="B329" s="65" t="str">
        <f>IFERROR(__xludf.DUMMYFUNCTION("""COMPUTED_VALUE"""),"#16040")</f>
        <v>#16040</v>
      </c>
      <c r="C329" s="65" t="str">
        <f>IFERROR(__xludf.DUMMYFUNCTION("""COMPUTED_VALUE"""),"carterjamesdavidson@gmail.com")</f>
        <v>carterjamesdavidson@gmail.com</v>
      </c>
      <c r="D329" s="65">
        <f>IFERROR(__xludf.DUMMYFUNCTION("""COMPUTED_VALUE"""),8.574721138E9)</f>
        <v>8574721138</v>
      </c>
      <c r="E329" s="65" t="str">
        <f>IFERROR(__xludf.DUMMYFUNCTION("""COMPUTED_VALUE"""),"Carter Davidson")</f>
        <v>Carter Davidson</v>
      </c>
      <c r="F329" s="65"/>
      <c r="G329" s="65"/>
      <c r="H329" s="65" t="str">
        <f>IFERROR(__xludf.DUMMYFUNCTION("""COMPUTED_VALUE"""),"Appliance Rental")</f>
        <v>Appliance Rental</v>
      </c>
      <c r="I329" s="65" t="str">
        <f>IFERROR(__xludf.DUMMYFUNCTION("""COMPUTED_VALUE""")," Double-Door Mini Fridge + Microwave   -  - ")</f>
        <v> Double-Door Mini Fridge + Microwave   -  - </v>
      </c>
      <c r="J329" s="65">
        <f>IFERROR(__xludf.DUMMYFUNCTION("""COMPUTED_VALUE"""),210.0)</f>
        <v>210</v>
      </c>
      <c r="K329" s="103">
        <f>IFERROR(__xludf.DUMMYFUNCTION("""COMPUTED_VALUE"""),45883.0)</f>
        <v>45883</v>
      </c>
      <c r="L329" s="65" t="str">
        <f>IFERROR(__xludf.DUMMYFUNCTION("""COMPUTED_VALUE"""),"Lien  ")</f>
        <v>Lien  </v>
      </c>
      <c r="M329" s="68" t="str">
        <f>IFERROR(__xludf.DUMMYFUNCTION("""COMPUTED_VALUE"""),"3315b")</f>
        <v>3315b</v>
      </c>
      <c r="N329" s="65"/>
      <c r="O329" s="65" t="b">
        <f>COUNTIF('Delivered Rentals'!A:A, B329) &gt; 0</f>
        <v>1</v>
      </c>
      <c r="P329" s="104" t="str">
        <f>IFERROR(__xludf.DUMMYFUNCTION("""COMPUTED_VALUE""")," ")</f>
        <v> </v>
      </c>
    </row>
    <row r="330">
      <c r="A330" s="99" t="str">
        <f>IFERROR(__xludf.DUMMYFUNCTION("""COMPUTED_VALUE"""),"https://utrucking.com/admin/orders/5927404667068")</f>
        <v>https://utrucking.com/admin/orders/5927404667068</v>
      </c>
      <c r="B330" s="61" t="str">
        <f>IFERROR(__xludf.DUMMYFUNCTION("""COMPUTED_VALUE"""),"#16041")</f>
        <v>#16041</v>
      </c>
      <c r="C330" s="61" t="str">
        <f>IFERROR(__xludf.DUMMYFUNCTION("""COMPUTED_VALUE"""),"liangyan0122@hotmail.com")</f>
        <v>liangyan0122@hotmail.com</v>
      </c>
      <c r="D330" s="61">
        <f>IFERROR(__xludf.DUMMYFUNCTION("""COMPUTED_VALUE"""),3.128239123E9)</f>
        <v>3128239123</v>
      </c>
      <c r="E330" s="61" t="str">
        <f>IFERROR(__xludf.DUMMYFUNCTION("""COMPUTED_VALUE"""),"Liang Yan")</f>
        <v>Liang Yan</v>
      </c>
      <c r="F330" s="61"/>
      <c r="G330" s="61"/>
      <c r="H330" s="61" t="str">
        <f>IFERROR(__xludf.DUMMYFUNCTION("""COMPUTED_VALUE"""),"Appliance Rental")</f>
        <v>Appliance Rental</v>
      </c>
      <c r="I330" s="61" t="str">
        <f>IFERROR(__xludf.DUMMYFUNCTION("""COMPUTED_VALUE""")," Double-Door Mini Fridge + Microwave   -  - ")</f>
        <v> Double-Door Mini Fridge + Microwave   -  - </v>
      </c>
      <c r="J330" s="61">
        <f>IFERROR(__xludf.DUMMYFUNCTION("""COMPUTED_VALUE"""),210.0)</f>
        <v>210</v>
      </c>
      <c r="K330" s="100">
        <f>IFERROR(__xludf.DUMMYFUNCTION("""COMPUTED_VALUE"""),45883.0)</f>
        <v>45883</v>
      </c>
      <c r="L330" s="61" t="str">
        <f>IFERROR(__xludf.DUMMYFUNCTION("""COMPUTED_VALUE"""),"Umrath  ")</f>
        <v>Umrath  </v>
      </c>
      <c r="M330" s="64" t="str">
        <f>IFERROR(__xludf.DUMMYFUNCTION("""COMPUTED_VALUE"""),"1231")</f>
        <v>1231</v>
      </c>
      <c r="N330" s="61"/>
      <c r="O330" s="61" t="b">
        <f>COUNTIF('Delivered Rentals'!A:A, B330) &gt; 0</f>
        <v>1</v>
      </c>
      <c r="P330" s="101" t="str">
        <f>IFERROR(__xludf.DUMMYFUNCTION("""COMPUTED_VALUE""")," ")</f>
        <v> </v>
      </c>
    </row>
    <row r="331">
      <c r="A331" s="102" t="str">
        <f>IFERROR(__xludf.DUMMYFUNCTION("""COMPUTED_VALUE"""),"https://utrucking.com/admin/orders/5927710228668")</f>
        <v>https://utrucking.com/admin/orders/5927710228668</v>
      </c>
      <c r="B331" s="65" t="str">
        <f>IFERROR(__xludf.DUMMYFUNCTION("""COMPUTED_VALUE"""),"#16044")</f>
        <v>#16044</v>
      </c>
      <c r="C331" s="65" t="str">
        <f>IFERROR(__xludf.DUMMYFUNCTION("""COMPUTED_VALUE"""),"jennigaines@yahoo.com")</f>
        <v>jennigaines@yahoo.com</v>
      </c>
      <c r="D331" s="65">
        <f>IFERROR(__xludf.DUMMYFUNCTION("""COMPUTED_VALUE"""),1.7572186714E10)</f>
        <v>17572186714</v>
      </c>
      <c r="E331" s="65" t="str">
        <f>IFERROR(__xludf.DUMMYFUNCTION("""COMPUTED_VALUE"""),"Jennifer Gaines")</f>
        <v>Jennifer Gaines</v>
      </c>
      <c r="F331" s="65"/>
      <c r="G331" s="65"/>
      <c r="H331" s="65" t="str">
        <f>IFERROR(__xludf.DUMMYFUNCTION("""COMPUTED_VALUE"""),"Appliance Rental")</f>
        <v>Appliance Rental</v>
      </c>
      <c r="I331" s="65" t="str">
        <f>IFERROR(__xludf.DUMMYFUNCTION("""COMPUTED_VALUE""")," Double-Door Mini Fridge   -  - ")</f>
        <v> Double-Door Mini Fridge   -  - </v>
      </c>
      <c r="J331" s="65">
        <f>IFERROR(__xludf.DUMMYFUNCTION("""COMPUTED_VALUE"""),145.0)</f>
        <v>145</v>
      </c>
      <c r="K331" s="103">
        <f>IFERROR(__xludf.DUMMYFUNCTION("""COMPUTED_VALUE"""),45883.0)</f>
        <v>45883</v>
      </c>
      <c r="L331" s="65" t="str">
        <f>IFERROR(__xludf.DUMMYFUNCTION("""COMPUTED_VALUE"""),"Hurd  ")</f>
        <v>Hurd  </v>
      </c>
      <c r="M331" s="68" t="str">
        <f>IFERROR(__xludf.DUMMYFUNCTION("""COMPUTED_VALUE"""),"412B")</f>
        <v>412B</v>
      </c>
      <c r="N331" s="65"/>
      <c r="O331" s="65" t="b">
        <f>COUNTIF('Delivered Rentals'!A:A, B331) &gt; 0</f>
        <v>1</v>
      </c>
      <c r="P331" s="104" t="str">
        <f>IFERROR(__xludf.DUMMYFUNCTION("""COMPUTED_VALUE""")," ")</f>
        <v> </v>
      </c>
    </row>
    <row r="332">
      <c r="A332" s="99" t="str">
        <f>IFERROR(__xludf.DUMMYFUNCTION("""COMPUTED_VALUE"""),"https://utrucking.com/admin/orders/5927748403388")</f>
        <v>https://utrucking.com/admin/orders/5927748403388</v>
      </c>
      <c r="B332" s="61" t="str">
        <f>IFERROR(__xludf.DUMMYFUNCTION("""COMPUTED_VALUE"""),"#16045")</f>
        <v>#16045</v>
      </c>
      <c r="C332" s="61" t="str">
        <f>IFERROR(__xludf.DUMMYFUNCTION("""COMPUTED_VALUE"""),"samgoldstein20@gmail.com")</f>
        <v>samgoldstein20@gmail.com</v>
      </c>
      <c r="D332" s="61">
        <f>IFERROR(__xludf.DUMMYFUNCTION("""COMPUTED_VALUE"""),2.025792931E9)</f>
        <v>2025792931</v>
      </c>
      <c r="E332" s="61" t="str">
        <f>IFERROR(__xludf.DUMMYFUNCTION("""COMPUTED_VALUE"""),"Sam Goldstein")</f>
        <v>Sam Goldstein</v>
      </c>
      <c r="F332" s="61"/>
      <c r="G332" s="61"/>
      <c r="H332" s="61" t="str">
        <f>IFERROR(__xludf.DUMMYFUNCTION("""COMPUTED_VALUE"""),"Appliance Rental")</f>
        <v>Appliance Rental</v>
      </c>
      <c r="I332" s="61" t="str">
        <f>IFERROR(__xludf.DUMMYFUNCTION("""COMPUTED_VALUE""")," Double-Door Mini Fridge + Microwave   -  - ")</f>
        <v> Double-Door Mini Fridge + Microwave   -  - </v>
      </c>
      <c r="J332" s="61">
        <f>IFERROR(__xludf.DUMMYFUNCTION("""COMPUTED_VALUE"""),210.0)</f>
        <v>210</v>
      </c>
      <c r="K332" s="100">
        <f>IFERROR(__xludf.DUMMYFUNCTION("""COMPUTED_VALUE"""),45883.0)</f>
        <v>45883</v>
      </c>
      <c r="L332" s="61" t="str">
        <f>IFERROR(__xludf.DUMMYFUNCTION("""COMPUTED_VALUE"""),"Shanedling  ")</f>
        <v>Shanedling  </v>
      </c>
      <c r="M332" s="64" t="str">
        <f>IFERROR(__xludf.DUMMYFUNCTION("""COMPUTED_VALUE"""),"122")</f>
        <v>122</v>
      </c>
      <c r="N332" s="61"/>
      <c r="O332" s="61" t="b">
        <f>COUNTIF('Delivered Rentals'!A:A, B332) &gt; 0</f>
        <v>1</v>
      </c>
      <c r="P332" s="101" t="str">
        <f>IFERROR(__xludf.DUMMYFUNCTION("""COMPUTED_VALUE""")," ")</f>
        <v> </v>
      </c>
    </row>
    <row r="333">
      <c r="A333" s="102" t="str">
        <f>IFERROR(__xludf.DUMMYFUNCTION("""COMPUTED_VALUE"""),"https://utrucking.com/admin/orders/5927778386108")</f>
        <v>https://utrucking.com/admin/orders/5927778386108</v>
      </c>
      <c r="B333" s="65" t="str">
        <f>IFERROR(__xludf.DUMMYFUNCTION("""COMPUTED_VALUE"""),"#16046")</f>
        <v>#16046</v>
      </c>
      <c r="C333" s="65" t="str">
        <f>IFERROR(__xludf.DUMMYFUNCTION("""COMPUTED_VALUE"""),"sarchan@yahoo.com")</f>
        <v>sarchan@yahoo.com</v>
      </c>
      <c r="D333" s="65">
        <f>IFERROR(__xludf.DUMMYFUNCTION("""COMPUTED_VALUE"""),9.73876106E9)</f>
        <v>9738761060</v>
      </c>
      <c r="E333" s="65" t="str">
        <f>IFERROR(__xludf.DUMMYFUNCTION("""COMPUTED_VALUE"""),"Saritha Mathew")</f>
        <v>Saritha Mathew</v>
      </c>
      <c r="F333" s="65"/>
      <c r="G333" s="65"/>
      <c r="H333" s="65" t="str">
        <f>IFERROR(__xludf.DUMMYFUNCTION("""COMPUTED_VALUE"""),"Appliance Rental")</f>
        <v>Appliance Rental</v>
      </c>
      <c r="I333" s="65" t="str">
        <f>IFERROR(__xludf.DUMMYFUNCTION("""COMPUTED_VALUE""")," Double-Door Mini Fridge   -  - ")</f>
        <v> Double-Door Mini Fridge   -  - </v>
      </c>
      <c r="J333" s="65">
        <f>IFERROR(__xludf.DUMMYFUNCTION("""COMPUTED_VALUE"""),145.0)</f>
        <v>145</v>
      </c>
      <c r="K333" s="103">
        <f>IFERROR(__xludf.DUMMYFUNCTION("""COMPUTED_VALUE"""),45883.0)</f>
        <v>45883</v>
      </c>
      <c r="L333" s="65" t="str">
        <f>IFERROR(__xludf.DUMMYFUNCTION("""COMPUTED_VALUE"""),"Dardick  ")</f>
        <v>Dardick  </v>
      </c>
      <c r="M333" s="68" t="str">
        <f>IFERROR(__xludf.DUMMYFUNCTION("""COMPUTED_VALUE"""),"4424")</f>
        <v>4424</v>
      </c>
      <c r="N333" s="65"/>
      <c r="O333" s="65" t="b">
        <f>COUNTIF('Delivered Rentals'!A:A, B333) &gt; 0</f>
        <v>1</v>
      </c>
      <c r="P333" s="104" t="str">
        <f>IFERROR(__xludf.DUMMYFUNCTION("""COMPUTED_VALUE""")," ")</f>
        <v> </v>
      </c>
    </row>
    <row r="334">
      <c r="A334" s="99" t="str">
        <f>IFERROR(__xludf.DUMMYFUNCTION("""COMPUTED_VALUE"""),"https://utrucking.com/admin/orders/5927793033404")</f>
        <v>https://utrucking.com/admin/orders/5927793033404</v>
      </c>
      <c r="B334" s="61" t="str">
        <f>IFERROR(__xludf.DUMMYFUNCTION("""COMPUTED_VALUE"""),"#16047")</f>
        <v>#16047</v>
      </c>
      <c r="C334" s="61" t="str">
        <f>IFERROR(__xludf.DUMMYFUNCTION("""COMPUTED_VALUE"""),"a.l.spencer@wustl.edu")</f>
        <v>a.l.spencer@wustl.edu</v>
      </c>
      <c r="D334" s="61">
        <f>IFERROR(__xludf.DUMMYFUNCTION("""COMPUTED_VALUE"""),3.144050174E9)</f>
        <v>3144050174</v>
      </c>
      <c r="E334" s="61" t="str">
        <f>IFERROR(__xludf.DUMMYFUNCTION("""COMPUTED_VALUE"""),"Amelia Spencer")</f>
        <v>Amelia Spencer</v>
      </c>
      <c r="F334" s="61"/>
      <c r="G334" s="61"/>
      <c r="H334" s="61" t="str">
        <f>IFERROR(__xludf.DUMMYFUNCTION("""COMPUTED_VALUE"""),"Appliance Rental")</f>
        <v>Appliance Rental</v>
      </c>
      <c r="I334" s="61" t="str">
        <f>IFERROR(__xludf.DUMMYFUNCTION("""COMPUTED_VALUE""")," Standard Mini Fridge   -  - ")</f>
        <v> Standard Mini Fridge   -  - </v>
      </c>
      <c r="J334" s="61">
        <f>IFERROR(__xludf.DUMMYFUNCTION("""COMPUTED_VALUE"""),115.0)</f>
        <v>115</v>
      </c>
      <c r="K334" s="100">
        <f>IFERROR(__xludf.DUMMYFUNCTION("""COMPUTED_VALUE"""),45883.0)</f>
        <v>45883</v>
      </c>
      <c r="L334" s="61" t="str">
        <f>IFERROR(__xludf.DUMMYFUNCTION("""COMPUTED_VALUE"""),"Eliot B  ")</f>
        <v>Eliot B  </v>
      </c>
      <c r="M334" s="64" t="str">
        <f>IFERROR(__xludf.DUMMYFUNCTION("""COMPUTED_VALUE"""),"4103")</f>
        <v>4103</v>
      </c>
      <c r="N334" s="61"/>
      <c r="O334" s="61" t="b">
        <f>COUNTIF('Delivered Rentals'!A:A, B334) &gt; 0</f>
        <v>1</v>
      </c>
      <c r="P334" s="101" t="str">
        <f>IFERROR(__xludf.DUMMYFUNCTION("""COMPUTED_VALUE""")," ")</f>
        <v> </v>
      </c>
    </row>
    <row r="335">
      <c r="A335" s="102" t="str">
        <f>IFERROR(__xludf.DUMMYFUNCTION("""COMPUTED_VALUE"""),"https://utrucking.com/admin/orders/5927860764860")</f>
        <v>https://utrucking.com/admin/orders/5927860764860</v>
      </c>
      <c r="B335" s="65" t="str">
        <f>IFERROR(__xludf.DUMMYFUNCTION("""COMPUTED_VALUE"""),"#16048")</f>
        <v>#16048</v>
      </c>
      <c r="C335" s="65" t="str">
        <f>IFERROR(__xludf.DUMMYFUNCTION("""COMPUTED_VALUE"""),"julia061507@gmail.com")</f>
        <v>julia061507@gmail.com</v>
      </c>
      <c r="D335" s="65">
        <f>IFERROR(__xludf.DUMMYFUNCTION("""COMPUTED_VALUE"""),7.085956545E9)</f>
        <v>7085956545</v>
      </c>
      <c r="E335" s="65" t="str">
        <f>IFERROR(__xludf.DUMMYFUNCTION("""COMPUTED_VALUE"""),"Julia Franklin")</f>
        <v>Julia Franklin</v>
      </c>
      <c r="F335" s="65"/>
      <c r="G335" s="65"/>
      <c r="H335" s="65" t="str">
        <f>IFERROR(__xludf.DUMMYFUNCTION("""COMPUTED_VALUE"""),"Appliance Rental")</f>
        <v>Appliance Rental</v>
      </c>
      <c r="I335" s="65" t="str">
        <f>IFERROR(__xludf.DUMMYFUNCTION("""COMPUTED_VALUE""")," Standard Mini Fridge   -  - ")</f>
        <v> Standard Mini Fridge   -  - </v>
      </c>
      <c r="J335" s="65">
        <f>IFERROR(__xludf.DUMMYFUNCTION("""COMPUTED_VALUE"""),115.0)</f>
        <v>115</v>
      </c>
      <c r="K335" s="103">
        <f>IFERROR(__xludf.DUMMYFUNCTION("""COMPUTED_VALUE"""),45887.0)</f>
        <v>45887</v>
      </c>
      <c r="L335" s="65" t="str">
        <f>IFERROR(__xludf.DUMMYFUNCTION("""COMPUTED_VALUE"""),"Lien  ")</f>
        <v>Lien  </v>
      </c>
      <c r="M335" s="68" t="str">
        <f>IFERROR(__xludf.DUMMYFUNCTION("""COMPUTED_VALUE"""),"2205")</f>
        <v>2205</v>
      </c>
      <c r="N335" s="65"/>
      <c r="O335" s="65" t="b">
        <f>COUNTIF('Delivered Rentals'!A:A, B335) &gt; 0</f>
        <v>1</v>
      </c>
      <c r="P335" s="104" t="str">
        <f>IFERROR(__xludf.DUMMYFUNCTION("""COMPUTED_VALUE""")," ")</f>
        <v> </v>
      </c>
    </row>
    <row r="336">
      <c r="A336" s="99" t="str">
        <f>IFERROR(__xludf.DUMMYFUNCTION("""COMPUTED_VALUE"""),"https://utrucking.com/admin/orders/5927898382524")</f>
        <v>https://utrucking.com/admin/orders/5927898382524</v>
      </c>
      <c r="B336" s="61" t="str">
        <f>IFERROR(__xludf.DUMMYFUNCTION("""COMPUTED_VALUE"""),"#16049")</f>
        <v>#16049</v>
      </c>
      <c r="C336" s="61"/>
      <c r="D336" s="61">
        <f>IFERROR(__xludf.DUMMYFUNCTION("""COMPUTED_VALUE"""),7.737151169E9)</f>
        <v>7737151169</v>
      </c>
      <c r="E336" s="61" t="str">
        <f>IFERROR(__xludf.DUMMYFUNCTION("""COMPUTED_VALUE"""),"Adrian Pop")</f>
        <v>Adrian Pop</v>
      </c>
      <c r="F336" s="61"/>
      <c r="G336" s="61"/>
      <c r="H336" s="61" t="str">
        <f>IFERROR(__xludf.DUMMYFUNCTION("""COMPUTED_VALUE"""),"Appliance Rental")</f>
        <v>Appliance Rental</v>
      </c>
      <c r="I336" s="61" t="str">
        <f>IFERROR(__xludf.DUMMYFUNCTION("""COMPUTED_VALUE""")," Double-Door Mini Fridge + Microwave   -  - ")</f>
        <v> Double-Door Mini Fridge + Microwave   -  - </v>
      </c>
      <c r="J336" s="61">
        <f>IFERROR(__xludf.DUMMYFUNCTION("""COMPUTED_VALUE"""),210.0)</f>
        <v>210</v>
      </c>
      <c r="K336" s="100">
        <f>IFERROR(__xludf.DUMMYFUNCTION("""COMPUTED_VALUE"""),45883.0)</f>
        <v>45883</v>
      </c>
      <c r="L336" s="61" t="str">
        <f>IFERROR(__xludf.DUMMYFUNCTION("""COMPUTED_VALUE"""),"Lopata  ")</f>
        <v>Lopata  </v>
      </c>
      <c r="M336" s="64" t="str">
        <f>IFERROR(__xludf.DUMMYFUNCTION("""COMPUTED_VALUE"""),"3164-a")</f>
        <v>3164-a</v>
      </c>
      <c r="N336" s="61"/>
      <c r="O336" s="61" t="b">
        <f>COUNTIF('Delivered Rentals'!A:A, B336) &gt; 0</f>
        <v>1</v>
      </c>
      <c r="P336" s="101" t="str">
        <f>IFERROR(__xludf.DUMMYFUNCTION("""COMPUTED_VALUE""")," ")</f>
        <v> </v>
      </c>
    </row>
    <row r="337">
      <c r="A337" s="102" t="str">
        <f>IFERROR(__xludf.DUMMYFUNCTION("""COMPUTED_VALUE"""),"https://utrucking.com/admin/orders/5927919517884")</f>
        <v>https://utrucking.com/admin/orders/5927919517884</v>
      </c>
      <c r="B337" s="65" t="str">
        <f>IFERROR(__xludf.DUMMYFUNCTION("""COMPUTED_VALUE"""),"#16050")</f>
        <v>#16050</v>
      </c>
      <c r="C337" s="65" t="str">
        <f>IFERROR(__xludf.DUMMYFUNCTION("""COMPUTED_VALUE"""),"Lmpandit@gmail.com")</f>
        <v>Lmpandit@gmail.com</v>
      </c>
      <c r="D337" s="65">
        <f>IFERROR(__xludf.DUMMYFUNCTION("""COMPUTED_VALUE"""),8.323687841E9)</f>
        <v>8323687841</v>
      </c>
      <c r="E337" s="65" t="str">
        <f>IFERROR(__xludf.DUMMYFUNCTION("""COMPUTED_VALUE"""),"Lavannya Pandit")</f>
        <v>Lavannya Pandit</v>
      </c>
      <c r="F337" s="65"/>
      <c r="G337" s="65"/>
      <c r="H337" s="65" t="str">
        <f>IFERROR(__xludf.DUMMYFUNCTION("""COMPUTED_VALUE"""),"Appliance Rental")</f>
        <v>Appliance Rental</v>
      </c>
      <c r="I337" s="65" t="str">
        <f>IFERROR(__xludf.DUMMYFUNCTION("""COMPUTED_VALUE""")," Double-Door Mini Fridge + Microwave   -  - ")</f>
        <v> Double-Door Mini Fridge + Microwave   -  - </v>
      </c>
      <c r="J337" s="65">
        <f>IFERROR(__xludf.DUMMYFUNCTION("""COMPUTED_VALUE"""),210.0)</f>
        <v>210</v>
      </c>
      <c r="K337" s="103">
        <f>IFERROR(__xludf.DUMMYFUNCTION("""COMPUTED_VALUE"""),45883.0)</f>
        <v>45883</v>
      </c>
      <c r="L337" s="65" t="str">
        <f>IFERROR(__xludf.DUMMYFUNCTION("""COMPUTED_VALUE"""),"Mudd  ")</f>
        <v>Mudd  </v>
      </c>
      <c r="M337" s="68" t="str">
        <f>IFERROR(__xludf.DUMMYFUNCTION("""COMPUTED_VALUE"""),"214A")</f>
        <v>214A</v>
      </c>
      <c r="N337" s="65"/>
      <c r="O337" s="65" t="b">
        <f>COUNTIF('Delivered Rentals'!A:A, B337) &gt; 0</f>
        <v>1</v>
      </c>
      <c r="P337" s="104" t="str">
        <f>IFERROR(__xludf.DUMMYFUNCTION("""COMPUTED_VALUE""")," ")</f>
        <v> </v>
      </c>
    </row>
    <row r="338">
      <c r="A338" s="99" t="str">
        <f>IFERROR(__xludf.DUMMYFUNCTION("""COMPUTED_VALUE"""),"https://utrucking.com/admin/orders/5927972012220")</f>
        <v>https://utrucking.com/admin/orders/5927972012220</v>
      </c>
      <c r="B338" s="61" t="str">
        <f>IFERROR(__xludf.DUMMYFUNCTION("""COMPUTED_VALUE"""),"#16051")</f>
        <v>#16051</v>
      </c>
      <c r="C338" s="61" t="str">
        <f>IFERROR(__xludf.DUMMYFUNCTION("""COMPUTED_VALUE"""),"jennrb01@gmail.com")</f>
        <v>jennrb01@gmail.com</v>
      </c>
      <c r="D338" s="61">
        <f>IFERROR(__xludf.DUMMYFUNCTION("""COMPUTED_VALUE"""),2.039162049E9)</f>
        <v>2039162049</v>
      </c>
      <c r="E338" s="61" t="str">
        <f>IFERROR(__xludf.DUMMYFUNCTION("""COMPUTED_VALUE"""),"Jenna Bartlett")</f>
        <v>Jenna Bartlett</v>
      </c>
      <c r="F338" s="61"/>
      <c r="G338" s="61"/>
      <c r="H338" s="61" t="str">
        <f>IFERROR(__xludf.DUMMYFUNCTION("""COMPUTED_VALUE"""),"Appliance Rental")</f>
        <v>Appliance Rental</v>
      </c>
      <c r="I338" s="61" t="str">
        <f>IFERROR(__xludf.DUMMYFUNCTION("""COMPUTED_VALUE""")," Standard Mini Fridge   -  - ")</f>
        <v> Standard Mini Fridge   -  - </v>
      </c>
      <c r="J338" s="61">
        <f>IFERROR(__xludf.DUMMYFUNCTION("""COMPUTED_VALUE"""),115.0)</f>
        <v>115</v>
      </c>
      <c r="K338" s="100">
        <f>IFERROR(__xludf.DUMMYFUNCTION("""COMPUTED_VALUE"""),45922.0)</f>
        <v>45922</v>
      </c>
      <c r="L338" s="61" t="str">
        <f>IFERROR(__xludf.DUMMYFUNCTION("""COMPUTED_VALUE"""),"Gregg  ")</f>
        <v>Gregg  </v>
      </c>
      <c r="M338" s="64" t="str">
        <f>IFERROR(__xludf.DUMMYFUNCTION("""COMPUTED_VALUE"""),"3132 - a")</f>
        <v>3132 - a</v>
      </c>
      <c r="N338" s="61"/>
      <c r="O338" s="61" t="b">
        <f>COUNTIF('Delivered Rentals'!A:A, B338) &gt; 0</f>
        <v>1</v>
      </c>
      <c r="P338" s="101" t="str">
        <f>IFERROR(__xludf.DUMMYFUNCTION("""COMPUTED_VALUE""")," ")</f>
        <v> </v>
      </c>
    </row>
    <row r="339">
      <c r="A339" s="102" t="str">
        <f>IFERROR(__xludf.DUMMYFUNCTION("""COMPUTED_VALUE"""),"https://utrucking.com/admin/orders/5927984038076")</f>
        <v>https://utrucking.com/admin/orders/5927984038076</v>
      </c>
      <c r="B339" s="65" t="str">
        <f>IFERROR(__xludf.DUMMYFUNCTION("""COMPUTED_VALUE"""),"#16053")</f>
        <v>#16053</v>
      </c>
      <c r="C339" s="65" t="str">
        <f>IFERROR(__xludf.DUMMYFUNCTION("""COMPUTED_VALUE"""),"shaydengarber@gmail.com")</f>
        <v>shaydengarber@gmail.com</v>
      </c>
      <c r="D339" s="65">
        <f>IFERROR(__xludf.DUMMYFUNCTION("""COMPUTED_VALUE"""),5.204819535E9)</f>
        <v>5204819535</v>
      </c>
      <c r="E339" s="65" t="str">
        <f>IFERROR(__xludf.DUMMYFUNCTION("""COMPUTED_VALUE"""),"Shayden Garber")</f>
        <v>Shayden Garber</v>
      </c>
      <c r="F339" s="65"/>
      <c r="G339" s="65"/>
      <c r="H339" s="65" t="str">
        <f>IFERROR(__xludf.DUMMYFUNCTION("""COMPUTED_VALUE"""),"Appliance Rental")</f>
        <v>Appliance Rental</v>
      </c>
      <c r="I339" s="65" t="str">
        <f>IFERROR(__xludf.DUMMYFUNCTION("""COMPUTED_VALUE""")," Double-Door Mini Fridge + Microwave   -  - ")</f>
        <v> Double-Door Mini Fridge + Microwave   -  - </v>
      </c>
      <c r="J339" s="65">
        <f>IFERROR(__xludf.DUMMYFUNCTION("""COMPUTED_VALUE"""),210.0)</f>
        <v>210</v>
      </c>
      <c r="K339" s="103">
        <f>IFERROR(__xludf.DUMMYFUNCTION("""COMPUTED_VALUE"""),45883.0)</f>
        <v>45883</v>
      </c>
      <c r="L339" s="65" t="str">
        <f>IFERROR(__xludf.DUMMYFUNCTION("""COMPUTED_VALUE"""),"Dauten  ")</f>
        <v>Dauten  </v>
      </c>
      <c r="M339" s="68" t="str">
        <f>IFERROR(__xludf.DUMMYFUNCTION("""COMPUTED_VALUE"""),"421")</f>
        <v>421</v>
      </c>
      <c r="N339" s="65"/>
      <c r="O339" s="65" t="b">
        <f>COUNTIF('Delivered Rentals'!A:A, B339) &gt; 0</f>
        <v>1</v>
      </c>
      <c r="P339" s="104" t="str">
        <f>IFERROR(__xludf.DUMMYFUNCTION("""COMPUTED_VALUE""")," ")</f>
        <v> </v>
      </c>
    </row>
    <row r="340">
      <c r="A340" s="99" t="str">
        <f>IFERROR(__xludf.DUMMYFUNCTION("""COMPUTED_VALUE"""),"https://utrucking.com/admin/orders/5928079851708")</f>
        <v>https://utrucking.com/admin/orders/5928079851708</v>
      </c>
      <c r="B340" s="61" t="str">
        <f>IFERROR(__xludf.DUMMYFUNCTION("""COMPUTED_VALUE"""),"#16056")</f>
        <v>#16056</v>
      </c>
      <c r="C340" s="61" t="str">
        <f>IFERROR(__xludf.DUMMYFUNCTION("""COMPUTED_VALUE"""),"basab_mukherjee@hotmail.com")</f>
        <v>basab_mukherjee@hotmail.com</v>
      </c>
      <c r="D340" s="61">
        <f>IFERROR(__xludf.DUMMYFUNCTION("""COMPUTED_VALUE"""),4.083941696E9)</f>
        <v>4083941696</v>
      </c>
      <c r="E340" s="61" t="str">
        <f>IFERROR(__xludf.DUMMYFUNCTION("""COMPUTED_VALUE"""),"Basab Mukherjee")</f>
        <v>Basab Mukherjee</v>
      </c>
      <c r="F340" s="61"/>
      <c r="G340" s="61"/>
      <c r="H340" s="61" t="str">
        <f>IFERROR(__xludf.DUMMYFUNCTION("""COMPUTED_VALUE"""),"Appliance Rental")</f>
        <v>Appliance Rental</v>
      </c>
      <c r="I340" s="61" t="str">
        <f>IFERROR(__xludf.DUMMYFUNCTION("""COMPUTED_VALUE""")," Double-Door Mini Fridge + Microwave   -  - ")</f>
        <v> Double-Door Mini Fridge + Microwave   -  - </v>
      </c>
      <c r="J340" s="61">
        <f>IFERROR(__xludf.DUMMYFUNCTION("""COMPUTED_VALUE"""),210.0)</f>
        <v>210</v>
      </c>
      <c r="K340" s="100">
        <f>IFERROR(__xludf.DUMMYFUNCTION("""COMPUTED_VALUE"""),45883.0)</f>
        <v>45883</v>
      </c>
      <c r="L340" s="61" t="str">
        <f>IFERROR(__xludf.DUMMYFUNCTION("""COMPUTED_VALUE"""),"Wheeler  ")</f>
        <v>Wheeler  </v>
      </c>
      <c r="M340" s="64" t="str">
        <f>IFERROR(__xludf.DUMMYFUNCTION("""COMPUTED_VALUE"""),"1044A")</f>
        <v>1044A</v>
      </c>
      <c r="N340" s="61"/>
      <c r="O340" s="61" t="b">
        <f>COUNTIF('Delivered Rentals'!A:A, B340) &gt; 0</f>
        <v>1</v>
      </c>
      <c r="P340" s="101" t="str">
        <f>IFERROR(__xludf.DUMMYFUNCTION("""COMPUTED_VALUE""")," ")</f>
        <v> </v>
      </c>
    </row>
    <row r="341">
      <c r="A341" s="102" t="str">
        <f>IFERROR(__xludf.DUMMYFUNCTION("""COMPUTED_VALUE"""),"https://utrucking.com/admin/orders/5928140341436")</f>
        <v>https://utrucking.com/admin/orders/5928140341436</v>
      </c>
      <c r="B341" s="65" t="str">
        <f>IFERROR(__xludf.DUMMYFUNCTION("""COMPUTED_VALUE"""),"#16059")</f>
        <v>#16059</v>
      </c>
      <c r="C341" s="65" t="str">
        <f>IFERROR(__xludf.DUMMYFUNCTION("""COMPUTED_VALUE"""),"lauramarks@gmail.com")</f>
        <v>lauramarks@gmail.com</v>
      </c>
      <c r="D341" s="65">
        <f>IFERROR(__xludf.DUMMYFUNCTION("""COMPUTED_VALUE"""),2.022470543E9)</f>
        <v>2022470543</v>
      </c>
      <c r="E341" s="65" t="str">
        <f>IFERROR(__xludf.DUMMYFUNCTION("""COMPUTED_VALUE"""),"Laura Marks")</f>
        <v>Laura Marks</v>
      </c>
      <c r="F341" s="65"/>
      <c r="G341" s="65"/>
      <c r="H341" s="65" t="str">
        <f>IFERROR(__xludf.DUMMYFUNCTION("""COMPUTED_VALUE"""),"Appliance Rental")</f>
        <v>Appliance Rental</v>
      </c>
      <c r="I341" s="65" t="str">
        <f>IFERROR(__xludf.DUMMYFUNCTION("""COMPUTED_VALUE""")," Double-Door Mini Fridge + Microwave   -  - ")</f>
        <v> Double-Door Mini Fridge + Microwave   -  - </v>
      </c>
      <c r="J341" s="65">
        <f>IFERROR(__xludf.DUMMYFUNCTION("""COMPUTED_VALUE"""),210.0)</f>
        <v>210</v>
      </c>
      <c r="K341" s="103">
        <f>IFERROR(__xludf.DUMMYFUNCTION("""COMPUTED_VALUE"""),45883.0)</f>
        <v>45883</v>
      </c>
      <c r="L341" s="65" t="str">
        <f>IFERROR(__xludf.DUMMYFUNCTION("""COMPUTED_VALUE"""),"Lien  ")</f>
        <v>Lien  </v>
      </c>
      <c r="M341" s="68" t="str">
        <f>IFERROR(__xludf.DUMMYFUNCTION("""COMPUTED_VALUE"""),"2212")</f>
        <v>2212</v>
      </c>
      <c r="N341" s="65"/>
      <c r="O341" s="65" t="b">
        <f>COUNTIF('Delivered Rentals'!A:A, B341) &gt; 0</f>
        <v>1</v>
      </c>
      <c r="P341" s="104" t="str">
        <f>IFERROR(__xludf.DUMMYFUNCTION("""COMPUTED_VALUE""")," ")</f>
        <v> </v>
      </c>
    </row>
    <row r="342">
      <c r="A342" s="99" t="str">
        <f>IFERROR(__xludf.DUMMYFUNCTION("""COMPUTED_VALUE"""),"https://utrucking.com/admin/orders/5928183267516")</f>
        <v>https://utrucking.com/admin/orders/5928183267516</v>
      </c>
      <c r="B342" s="61" t="str">
        <f>IFERROR(__xludf.DUMMYFUNCTION("""COMPUTED_VALUE"""),"#16060")</f>
        <v>#16060</v>
      </c>
      <c r="C342" s="61" t="str">
        <f>IFERROR(__xludf.DUMMYFUNCTION("""COMPUTED_VALUE"""),"katedieff06@gmail.com")</f>
        <v>katedieff06@gmail.com</v>
      </c>
      <c r="D342" s="61">
        <f>IFERROR(__xludf.DUMMYFUNCTION("""COMPUTED_VALUE"""),8.479106216E9)</f>
        <v>8479106216</v>
      </c>
      <c r="E342" s="61" t="str">
        <f>IFERROR(__xludf.DUMMYFUNCTION("""COMPUTED_VALUE"""),"Kate Dieffenbacher")</f>
        <v>Kate Dieffenbacher</v>
      </c>
      <c r="F342" s="61"/>
      <c r="G342" s="61"/>
      <c r="H342" s="61" t="str">
        <f>IFERROR(__xludf.DUMMYFUNCTION("""COMPUTED_VALUE"""),"Appliance Rental")</f>
        <v>Appliance Rental</v>
      </c>
      <c r="I342" s="61" t="str">
        <f>IFERROR(__xludf.DUMMYFUNCTION("""COMPUTED_VALUE""")," Double-Door Mini Fridge + Microwave   -  - ")</f>
        <v> Double-Door Mini Fridge + Microwave   -  - </v>
      </c>
      <c r="J342" s="61">
        <f>IFERROR(__xludf.DUMMYFUNCTION("""COMPUTED_VALUE"""),210.0)</f>
        <v>210</v>
      </c>
      <c r="K342" s="100">
        <f>IFERROR(__xludf.DUMMYFUNCTION("""COMPUTED_VALUE"""),45883.0)</f>
        <v>45883</v>
      </c>
      <c r="L342" s="61" t="str">
        <f>IFERROR(__xludf.DUMMYFUNCTION("""COMPUTED_VALUE"""),"House 7 ")</f>
        <v>House 7 </v>
      </c>
      <c r="M342" s="64" t="str">
        <f>IFERROR(__xludf.DUMMYFUNCTION("""COMPUTED_VALUE"""),"301")</f>
        <v>301</v>
      </c>
      <c r="N342" s="61"/>
      <c r="O342" s="61" t="b">
        <f>COUNTIF('Delivered Rentals'!A:A, B342) &gt; 0</f>
        <v>1</v>
      </c>
      <c r="P342" s="101" t="str">
        <f>IFERROR(__xludf.DUMMYFUNCTION("""COMPUTED_VALUE""")," ")</f>
        <v> </v>
      </c>
    </row>
    <row r="343">
      <c r="A343" s="102" t="str">
        <f>IFERROR(__xludf.DUMMYFUNCTION("""COMPUTED_VALUE"""),"https://utrucking.com/admin/orders/5928277082300")</f>
        <v>https://utrucking.com/admin/orders/5928277082300</v>
      </c>
      <c r="B343" s="65" t="str">
        <f>IFERROR(__xludf.DUMMYFUNCTION("""COMPUTED_VALUE"""),"#16061")</f>
        <v>#16061</v>
      </c>
      <c r="C343" s="65"/>
      <c r="D343" s="65">
        <f>IFERROR(__xludf.DUMMYFUNCTION("""COMPUTED_VALUE"""),6.466914712E9)</f>
        <v>6466914712</v>
      </c>
      <c r="E343" s="65" t="str">
        <f>IFERROR(__xludf.DUMMYFUNCTION("""COMPUTED_VALUE"""),"Hugo Parrales")</f>
        <v>Hugo Parrales</v>
      </c>
      <c r="F343" s="65"/>
      <c r="G343" s="65"/>
      <c r="H343" s="65" t="str">
        <f>IFERROR(__xludf.DUMMYFUNCTION("""COMPUTED_VALUE"""),"Appliance Rental")</f>
        <v>Appliance Rental</v>
      </c>
      <c r="I343" s="65" t="str">
        <f>IFERROR(__xludf.DUMMYFUNCTION("""COMPUTED_VALUE""")," Double-Door Mini Fridge   -  - ")</f>
        <v> Double-Door Mini Fridge   -  - </v>
      </c>
      <c r="J343" s="65">
        <f>IFERROR(__xludf.DUMMYFUNCTION("""COMPUTED_VALUE"""),145.0)</f>
        <v>145</v>
      </c>
      <c r="K343" s="103">
        <f>IFERROR(__xludf.DUMMYFUNCTION("""COMPUTED_VALUE"""),45883.0)</f>
        <v>45883</v>
      </c>
      <c r="L343" s="65" t="str">
        <f>IFERROR(__xludf.DUMMYFUNCTION("""COMPUTED_VALUE"""),"Dardick  ")</f>
        <v>Dardick  </v>
      </c>
      <c r="M343" s="68" t="str">
        <f>IFERROR(__xludf.DUMMYFUNCTION("""COMPUTED_VALUE"""),"3317")</f>
        <v>3317</v>
      </c>
      <c r="N343" s="65"/>
      <c r="O343" s="65" t="b">
        <f>COUNTIF('Delivered Rentals'!A:A, B343) &gt; 0</f>
        <v>1</v>
      </c>
      <c r="P343" s="104" t="str">
        <f>IFERROR(__xludf.DUMMYFUNCTION("""COMPUTED_VALUE""")," ")</f>
        <v> </v>
      </c>
    </row>
    <row r="344">
      <c r="A344" s="99" t="str">
        <f>IFERROR(__xludf.DUMMYFUNCTION("""COMPUTED_VALUE"""),"https://utrucking.com/admin/orders/5928315584700")</f>
        <v>https://utrucking.com/admin/orders/5928315584700</v>
      </c>
      <c r="B344" s="61" t="str">
        <f>IFERROR(__xludf.DUMMYFUNCTION("""COMPUTED_VALUE"""),"#16062")</f>
        <v>#16062</v>
      </c>
      <c r="C344" s="61" t="str">
        <f>IFERROR(__xludf.DUMMYFUNCTION("""COMPUTED_VALUE"""),"camilainsunza@icloud.com")</f>
        <v>camilainsunza@icloud.com</v>
      </c>
      <c r="D344" s="61">
        <f>IFERROR(__xludf.DUMMYFUNCTION("""COMPUTED_VALUE"""),5.20841425E9)</f>
        <v>5208414250</v>
      </c>
      <c r="E344" s="61" t="str">
        <f>IFERROR(__xludf.DUMMYFUNCTION("""COMPUTED_VALUE"""),"Camila Insunza")</f>
        <v>Camila Insunza</v>
      </c>
      <c r="F344" s="61"/>
      <c r="G344" s="61"/>
      <c r="H344" s="61" t="str">
        <f>IFERROR(__xludf.DUMMYFUNCTION("""COMPUTED_VALUE"""),"Appliance Rental")</f>
        <v>Appliance Rental</v>
      </c>
      <c r="I344" s="61" t="str">
        <f>IFERROR(__xludf.DUMMYFUNCTION("""COMPUTED_VALUE""")," Double-Door Mini Fridge + Microwave   -  - ")</f>
        <v> Double-Door Mini Fridge + Microwave   -  - </v>
      </c>
      <c r="J344" s="61">
        <f>IFERROR(__xludf.DUMMYFUNCTION("""COMPUTED_VALUE"""),210.0)</f>
        <v>210</v>
      </c>
      <c r="K344" s="100">
        <f>IFERROR(__xludf.DUMMYFUNCTION("""COMPUTED_VALUE"""),45883.0)</f>
        <v>45883</v>
      </c>
      <c r="L344" s="61" t="str">
        <f>IFERROR(__xludf.DUMMYFUNCTION("""COMPUTED_VALUE"""),"Dardick  ")</f>
        <v>Dardick  </v>
      </c>
      <c r="M344" s="64" t="str">
        <f>IFERROR(__xludf.DUMMYFUNCTION("""COMPUTED_VALUE"""),"4405")</f>
        <v>4405</v>
      </c>
      <c r="N344" s="61"/>
      <c r="O344" s="61" t="b">
        <f>COUNTIF('Delivered Rentals'!A:A, B344) &gt; 0</f>
        <v>1</v>
      </c>
      <c r="P344" s="101" t="str">
        <f>IFERROR(__xludf.DUMMYFUNCTION("""COMPUTED_VALUE""")," ")</f>
        <v> </v>
      </c>
    </row>
    <row r="345">
      <c r="A345" s="102" t="str">
        <f>IFERROR(__xludf.DUMMYFUNCTION("""COMPUTED_VALUE"""),"https://utrucking.com/admin/orders/5928373027004")</f>
        <v>https://utrucking.com/admin/orders/5928373027004</v>
      </c>
      <c r="B345" s="65" t="str">
        <f>IFERROR(__xludf.DUMMYFUNCTION("""COMPUTED_VALUE"""),"#16063")</f>
        <v>#16063</v>
      </c>
      <c r="C345" s="65" t="str">
        <f>IFERROR(__xludf.DUMMYFUNCTION("""COMPUTED_VALUE"""),"l.naomi@wustl.edu")</f>
        <v>l.naomi@wustl.edu</v>
      </c>
      <c r="D345" s="65">
        <f>IFERROR(__xludf.DUMMYFUNCTION("""COMPUTED_VALUE"""),8.082306631E9)</f>
        <v>8082306631</v>
      </c>
      <c r="E345" s="65" t="str">
        <f>IFERROR(__xludf.DUMMYFUNCTION("""COMPUTED_VALUE"""),"Kam Hing Liang Lee")</f>
        <v>Kam Hing Liang Lee</v>
      </c>
      <c r="F345" s="65"/>
      <c r="G345" s="65"/>
      <c r="H345" s="65" t="str">
        <f>IFERROR(__xludf.DUMMYFUNCTION("""COMPUTED_VALUE"""),"Appliance Rental")</f>
        <v>Appliance Rental</v>
      </c>
      <c r="I345" s="65" t="str">
        <f>IFERROR(__xludf.DUMMYFUNCTION("""COMPUTED_VALUE""")," Double-Door Mini Fridge   -  - ")</f>
        <v> Double-Door Mini Fridge   -  - </v>
      </c>
      <c r="J345" s="65">
        <f>IFERROR(__xludf.DUMMYFUNCTION("""COMPUTED_VALUE"""),145.0)</f>
        <v>145</v>
      </c>
      <c r="K345" s="103">
        <f>IFERROR(__xludf.DUMMYFUNCTION("""COMPUTED_VALUE"""),45883.0)</f>
        <v>45883</v>
      </c>
      <c r="L345" s="65" t="str">
        <f>IFERROR(__xludf.DUMMYFUNCTION("""COMPUTED_VALUE"""),"Shepley  ")</f>
        <v>Shepley  </v>
      </c>
      <c r="M345" s="68" t="str">
        <f>IFERROR(__xludf.DUMMYFUNCTION("""COMPUTED_VALUE"""),"3023")</f>
        <v>3023</v>
      </c>
      <c r="N345" s="65"/>
      <c r="O345" s="65" t="b">
        <f>COUNTIF('Delivered Rentals'!A:A, B345) &gt; 0</f>
        <v>1</v>
      </c>
      <c r="P345" s="104" t="str">
        <f>IFERROR(__xludf.DUMMYFUNCTION("""COMPUTED_VALUE""")," ")</f>
        <v> </v>
      </c>
    </row>
    <row r="346">
      <c r="A346" s="99" t="str">
        <f>IFERROR(__xludf.DUMMYFUNCTION("""COMPUTED_VALUE"""),"https://utrucking.com/admin/orders/5928518975676")</f>
        <v>https://utrucking.com/admin/orders/5928518975676</v>
      </c>
      <c r="B346" s="61" t="str">
        <f>IFERROR(__xludf.DUMMYFUNCTION("""COMPUTED_VALUE"""),"#16064")</f>
        <v>#16064</v>
      </c>
      <c r="C346" s="61" t="str">
        <f>IFERROR(__xludf.DUMMYFUNCTION("""COMPUTED_VALUE"""),"siyukim26@gmail.com")</f>
        <v>siyukim26@gmail.com</v>
      </c>
      <c r="D346" s="61">
        <f>IFERROR(__xludf.DUMMYFUNCTION("""COMPUTED_VALUE"""),2.489867247E9)</f>
        <v>2489867247</v>
      </c>
      <c r="E346" s="61" t="str">
        <f>IFERROR(__xludf.DUMMYFUNCTION("""COMPUTED_VALUE"""),"Hannah Kim")</f>
        <v>Hannah Kim</v>
      </c>
      <c r="F346" s="61"/>
      <c r="G346" s="61"/>
      <c r="H346" s="61" t="str">
        <f>IFERROR(__xludf.DUMMYFUNCTION("""COMPUTED_VALUE"""),"Appliance Rental")</f>
        <v>Appliance Rental</v>
      </c>
      <c r="I346" s="61" t="str">
        <f>IFERROR(__xludf.DUMMYFUNCTION("""COMPUTED_VALUE""")," Double-Door Mini Fridge   -  - ")</f>
        <v> Double-Door Mini Fridge   -  - </v>
      </c>
      <c r="J346" s="61">
        <f>IFERROR(__xludf.DUMMYFUNCTION("""COMPUTED_VALUE"""),145.0)</f>
        <v>145</v>
      </c>
      <c r="K346" s="100">
        <f>IFERROR(__xludf.DUMMYFUNCTION("""COMPUTED_VALUE"""),45883.0)</f>
        <v>45883</v>
      </c>
      <c r="L346" s="61" t="str">
        <f>IFERROR(__xludf.DUMMYFUNCTION("""COMPUTED_VALUE"""),"Eliot A  ")</f>
        <v>Eliot A  </v>
      </c>
      <c r="M346" s="64" t="str">
        <f>IFERROR(__xludf.DUMMYFUNCTION("""COMPUTED_VALUE"""),"2053")</f>
        <v>2053</v>
      </c>
      <c r="N346" s="61"/>
      <c r="O346" s="61" t="b">
        <f>COUNTIF('Delivered Rentals'!A:A, B346) &gt; 0</f>
        <v>1</v>
      </c>
      <c r="P346" s="101" t="str">
        <f>IFERROR(__xludf.DUMMYFUNCTION("""COMPUTED_VALUE""")," ")</f>
        <v> </v>
      </c>
    </row>
    <row r="347">
      <c r="A347" s="102" t="str">
        <f>IFERROR(__xludf.DUMMYFUNCTION("""COMPUTED_VALUE"""),"https://utrucking.com/admin/orders/5928536899772")</f>
        <v>https://utrucking.com/admin/orders/5928536899772</v>
      </c>
      <c r="B347" s="65" t="str">
        <f>IFERROR(__xludf.DUMMYFUNCTION("""COMPUTED_VALUE"""),"#16066")</f>
        <v>#16066</v>
      </c>
      <c r="C347" s="65" t="str">
        <f>IFERROR(__xludf.DUMMYFUNCTION("""COMPUTED_VALUE"""),"audra_collins@yahoo.com")</f>
        <v>audra_collins@yahoo.com</v>
      </c>
      <c r="D347" s="65">
        <f>IFERROR(__xludf.DUMMYFUNCTION("""COMPUTED_VALUE"""),6.096479547E9)</f>
        <v>6096479547</v>
      </c>
      <c r="E347" s="65" t="str">
        <f>IFERROR(__xludf.DUMMYFUNCTION("""COMPUTED_VALUE"""),"Audra Collins")</f>
        <v>Audra Collins</v>
      </c>
      <c r="F347" s="65"/>
      <c r="G347" s="65"/>
      <c r="H347" s="65" t="str">
        <f>IFERROR(__xludf.DUMMYFUNCTION("""COMPUTED_VALUE"""),"Appliance Rental")</f>
        <v>Appliance Rental</v>
      </c>
      <c r="I347" s="65" t="str">
        <f>IFERROR(__xludf.DUMMYFUNCTION("""COMPUTED_VALUE""")," Standard Mini Fridge   -  - ")</f>
        <v> Standard Mini Fridge   -  - </v>
      </c>
      <c r="J347" s="65">
        <f>IFERROR(__xludf.DUMMYFUNCTION("""COMPUTED_VALUE"""),115.0)</f>
        <v>115</v>
      </c>
      <c r="K347" s="103">
        <f>IFERROR(__xludf.DUMMYFUNCTION("""COMPUTED_VALUE"""),45883.0)</f>
        <v>45883</v>
      </c>
      <c r="L347" s="65" t="str">
        <f>IFERROR(__xludf.DUMMYFUNCTION("""COMPUTED_VALUE"""),"Rutledge  ")</f>
        <v>Rutledge  </v>
      </c>
      <c r="M347" s="68" t="str">
        <f>IFERROR(__xludf.DUMMYFUNCTION("""COMPUTED_VALUE"""),"312B")</f>
        <v>312B</v>
      </c>
      <c r="N347" s="65"/>
      <c r="O347" s="65" t="b">
        <f>COUNTIF('Delivered Rentals'!A:A, B347) &gt; 0</f>
        <v>1</v>
      </c>
      <c r="P347" s="104" t="str">
        <f>IFERROR(__xludf.DUMMYFUNCTION("""COMPUTED_VALUE""")," ")</f>
        <v> </v>
      </c>
    </row>
    <row r="348">
      <c r="A348" s="99" t="str">
        <f>IFERROR(__xludf.DUMMYFUNCTION("""COMPUTED_VALUE"""),"https://utrucking.com/admin/orders/5928560263356")</f>
        <v>https://utrucking.com/admin/orders/5928560263356</v>
      </c>
      <c r="B348" s="61" t="str">
        <f>IFERROR(__xludf.DUMMYFUNCTION("""COMPUTED_VALUE"""),"#16068")</f>
        <v>#16068</v>
      </c>
      <c r="C348" s="61"/>
      <c r="D348" s="61">
        <f>IFERROR(__xludf.DUMMYFUNCTION("""COMPUTED_VALUE"""),5.166615166E9)</f>
        <v>5166615166</v>
      </c>
      <c r="E348" s="61" t="str">
        <f>IFERROR(__xludf.DUMMYFUNCTION("""COMPUTED_VALUE"""),"Allyson Weseley")</f>
        <v>Allyson Weseley</v>
      </c>
      <c r="F348" s="61"/>
      <c r="G348" s="61"/>
      <c r="H348" s="61" t="str">
        <f>IFERROR(__xludf.DUMMYFUNCTION("""COMPUTED_VALUE"""),"Appliance Rental")</f>
        <v>Appliance Rental</v>
      </c>
      <c r="I348" s="61" t="str">
        <f>IFERROR(__xludf.DUMMYFUNCTION("""COMPUTED_VALUE""")," Standard Mini Fridge   -  - ")</f>
        <v> Standard Mini Fridge   -  - </v>
      </c>
      <c r="J348" s="61">
        <f>IFERROR(__xludf.DUMMYFUNCTION("""COMPUTED_VALUE"""),115.0)</f>
        <v>115</v>
      </c>
      <c r="K348" s="100">
        <f>IFERROR(__xludf.DUMMYFUNCTION("""COMPUTED_VALUE"""),45883.0)</f>
        <v>45883</v>
      </c>
      <c r="L348" s="61" t="str">
        <f>IFERROR(__xludf.DUMMYFUNCTION("""COMPUTED_VALUE"""),"Shanedling  ")</f>
        <v>Shanedling  </v>
      </c>
      <c r="M348" s="64" t="str">
        <f>IFERROR(__xludf.DUMMYFUNCTION("""COMPUTED_VALUE"""),"121")</f>
        <v>121</v>
      </c>
      <c r="N348" s="61"/>
      <c r="O348" s="61" t="b">
        <f>COUNTIF('Delivered Rentals'!A:A, B348) &gt; 0</f>
        <v>1</v>
      </c>
      <c r="P348" s="101" t="str">
        <f>IFERROR(__xludf.DUMMYFUNCTION("""COMPUTED_VALUE""")," ")</f>
        <v> </v>
      </c>
    </row>
    <row r="349">
      <c r="A349" s="102" t="str">
        <f>IFERROR(__xludf.DUMMYFUNCTION("""COMPUTED_VALUE"""),"https://utrucking.com/admin/orders/5928585363644")</f>
        <v>https://utrucking.com/admin/orders/5928585363644</v>
      </c>
      <c r="B349" s="65" t="str">
        <f>IFERROR(__xludf.DUMMYFUNCTION("""COMPUTED_VALUE"""),"#16069")</f>
        <v>#16069</v>
      </c>
      <c r="C349" s="65" t="str">
        <f>IFERROR(__xludf.DUMMYFUNCTION("""COMPUTED_VALUE"""),"biyu@wustl.edu")</f>
        <v>biyu@wustl.edu</v>
      </c>
      <c r="D349" s="65">
        <f>IFERROR(__xludf.DUMMYFUNCTION("""COMPUTED_VALUE"""),8.613910710166E12)</f>
        <v>8613910710166</v>
      </c>
      <c r="E349" s="65" t="str">
        <f>IFERROR(__xludf.DUMMYFUNCTION("""COMPUTED_VALUE"""),"Liu Ying")</f>
        <v>Liu Ying</v>
      </c>
      <c r="F349" s="65"/>
      <c r="G349" s="65"/>
      <c r="H349" s="65" t="str">
        <f>IFERROR(__xludf.DUMMYFUNCTION("""COMPUTED_VALUE"""),"Appliance Rental")</f>
        <v>Appliance Rental</v>
      </c>
      <c r="I349" s="65" t="str">
        <f>IFERROR(__xludf.DUMMYFUNCTION("""COMPUTED_VALUE""")," Double-Door Mini Fridge + Microwave   -  - ")</f>
        <v> Double-Door Mini Fridge + Microwave   -  - </v>
      </c>
      <c r="J349" s="65">
        <f>IFERROR(__xludf.DUMMYFUNCTION("""COMPUTED_VALUE"""),210.0)</f>
        <v>210</v>
      </c>
      <c r="K349" s="103">
        <f>IFERROR(__xludf.DUMMYFUNCTION("""COMPUTED_VALUE"""),45882.0)</f>
        <v>45882</v>
      </c>
      <c r="L349" s="65" t="str">
        <f>IFERROR(__xludf.DUMMYFUNCTION("""COMPUTED_VALUE"""),"Hitzeman  ")</f>
        <v>Hitzeman  </v>
      </c>
      <c r="M349" s="68" t="str">
        <f>IFERROR(__xludf.DUMMYFUNCTION("""COMPUTED_VALUE"""),"423 - a")</f>
        <v>423 - a</v>
      </c>
      <c r="N349" s="65"/>
      <c r="O349" s="65" t="b">
        <f>COUNTIF('Delivered Rentals'!A:A, B349) &gt; 0</f>
        <v>1</v>
      </c>
      <c r="P349" s="104" t="str">
        <f>IFERROR(__xludf.DUMMYFUNCTION("""COMPUTED_VALUE""")," ")</f>
        <v> </v>
      </c>
    </row>
    <row r="350">
      <c r="A350" s="99" t="str">
        <f>IFERROR(__xludf.DUMMYFUNCTION("""COMPUTED_VALUE"""),"https://utrucking.com/admin/orders/5928622096572")</f>
        <v>https://utrucking.com/admin/orders/5928622096572</v>
      </c>
      <c r="B350" s="61" t="str">
        <f>IFERROR(__xludf.DUMMYFUNCTION("""COMPUTED_VALUE"""),"#16071")</f>
        <v>#16071</v>
      </c>
      <c r="C350" s="61"/>
      <c r="D350" s="61">
        <f>IFERROR(__xludf.DUMMYFUNCTION("""COMPUTED_VALUE"""),7.274181417E9)</f>
        <v>7274181417</v>
      </c>
      <c r="E350" s="61" t="str">
        <f>IFERROR(__xludf.DUMMYFUNCTION("""COMPUTED_VALUE"""),"Veronica Turner")</f>
        <v>Veronica Turner</v>
      </c>
      <c r="F350" s="61"/>
      <c r="G350" s="61"/>
      <c r="H350" s="61" t="str">
        <f>IFERROR(__xludf.DUMMYFUNCTION("""COMPUTED_VALUE"""),"Appliance Rental")</f>
        <v>Appliance Rental</v>
      </c>
      <c r="I350" s="61" t="str">
        <f>IFERROR(__xludf.DUMMYFUNCTION("""COMPUTED_VALUE""")," Double-Door Mini Fridge   -  - ")</f>
        <v> Double-Door Mini Fridge   -  - </v>
      </c>
      <c r="J350" s="61">
        <f>IFERROR(__xludf.DUMMYFUNCTION("""COMPUTED_VALUE"""),145.0)</f>
        <v>145</v>
      </c>
      <c r="K350" s="100">
        <f>IFERROR(__xludf.DUMMYFUNCTION("""COMPUTED_VALUE"""),45877.0)</f>
        <v>45877</v>
      </c>
      <c r="L350" s="61" t="str">
        <f>IFERROR(__xludf.DUMMYFUNCTION("""COMPUTED_VALUE"""),"Gregg  ")</f>
        <v>Gregg  </v>
      </c>
      <c r="M350" s="64" t="str">
        <f>IFERROR(__xludf.DUMMYFUNCTION("""COMPUTED_VALUE"""),"2173")</f>
        <v>2173</v>
      </c>
      <c r="N350" s="61"/>
      <c r="O350" s="61" t="b">
        <f>COUNTIF('Delivered Rentals'!A:A, B350) &gt; 0</f>
        <v>1</v>
      </c>
      <c r="P350" s="101" t="str">
        <f>IFERROR(__xludf.DUMMYFUNCTION("""COMPUTED_VALUE""")," ")</f>
        <v> </v>
      </c>
    </row>
    <row r="351">
      <c r="A351" s="102" t="str">
        <f>IFERROR(__xludf.DUMMYFUNCTION("""COMPUTED_VALUE"""),"https://utrucking.com/admin/orders/5928624488636")</f>
        <v>https://utrucking.com/admin/orders/5928624488636</v>
      </c>
      <c r="B351" s="65" t="str">
        <f>IFERROR(__xludf.DUMMYFUNCTION("""COMPUTED_VALUE"""),"#16072")</f>
        <v>#16072</v>
      </c>
      <c r="C351" s="65" t="str">
        <f>IFERROR(__xludf.DUMMYFUNCTION("""COMPUTED_VALUE"""),"a.hockstein@wustl.edu")</f>
        <v>a.hockstein@wustl.edu</v>
      </c>
      <c r="D351" s="65">
        <f>IFERROR(__xludf.DUMMYFUNCTION("""COMPUTED_VALUE"""),3.025881466E9)</f>
        <v>3025881466</v>
      </c>
      <c r="E351" s="65" t="str">
        <f>IFERROR(__xludf.DUMMYFUNCTION("""COMPUTED_VALUE"""),"Carolyn Hockstein")</f>
        <v>Carolyn Hockstein</v>
      </c>
      <c r="F351" s="65"/>
      <c r="G351" s="65"/>
      <c r="H351" s="65" t="str">
        <f>IFERROR(__xludf.DUMMYFUNCTION("""COMPUTED_VALUE"""),"Appliance Rental")</f>
        <v>Appliance Rental</v>
      </c>
      <c r="I351" s="65" t="str">
        <f>IFERROR(__xludf.DUMMYFUNCTION("""COMPUTED_VALUE""")," Double-Door Mini Fridge + Microwave   -  - ")</f>
        <v> Double-Door Mini Fridge + Microwave   -  - </v>
      </c>
      <c r="J351" s="65">
        <f>IFERROR(__xludf.DUMMYFUNCTION("""COMPUTED_VALUE"""),210.0)</f>
        <v>210</v>
      </c>
      <c r="K351" s="103">
        <f>IFERROR(__xludf.DUMMYFUNCTION("""COMPUTED_VALUE"""),45891.0)</f>
        <v>45891</v>
      </c>
      <c r="L351" s="65" t="str">
        <f>IFERROR(__xludf.DUMMYFUNCTION("""COMPUTED_VALUE"""),"Nemerov  ")</f>
        <v>Nemerov  </v>
      </c>
      <c r="M351" s="68" t="str">
        <f>IFERROR(__xludf.DUMMYFUNCTION("""COMPUTED_VALUE"""),"4073")</f>
        <v>4073</v>
      </c>
      <c r="N351" s="65"/>
      <c r="O351" s="65" t="b">
        <f>COUNTIF('Delivered Rentals'!A:A, B351) &gt; 0</f>
        <v>1</v>
      </c>
      <c r="P351" s="104" t="str">
        <f>IFERROR(__xludf.DUMMYFUNCTION("""COMPUTED_VALUE""")," ")</f>
        <v> </v>
      </c>
    </row>
    <row r="352">
      <c r="A352" s="99" t="str">
        <f>IFERROR(__xludf.DUMMYFUNCTION("""COMPUTED_VALUE"""),"https://utrucking.com/admin/orders/5928670920892")</f>
        <v>https://utrucking.com/admin/orders/5928670920892</v>
      </c>
      <c r="B352" s="61" t="str">
        <f>IFERROR(__xludf.DUMMYFUNCTION("""COMPUTED_VALUE"""),"#16074")</f>
        <v>#16074</v>
      </c>
      <c r="C352" s="61" t="str">
        <f>IFERROR(__xludf.DUMMYFUNCTION("""COMPUTED_VALUE"""),"zacharyd.lew@gmail.com")</f>
        <v>zacharyd.lew@gmail.com</v>
      </c>
      <c r="D352" s="61">
        <f>IFERROR(__xludf.DUMMYFUNCTION("""COMPUTED_VALUE"""),2.032909963E9)</f>
        <v>2032909963</v>
      </c>
      <c r="E352" s="61" t="str">
        <f>IFERROR(__xludf.DUMMYFUNCTION("""COMPUTED_VALUE"""),"Zachary Lew")</f>
        <v>Zachary Lew</v>
      </c>
      <c r="F352" s="61"/>
      <c r="G352" s="61"/>
      <c r="H352" s="61" t="str">
        <f>IFERROR(__xludf.DUMMYFUNCTION("""COMPUTED_VALUE"""),"Appliance Rental")</f>
        <v>Appliance Rental</v>
      </c>
      <c r="I352" s="61" t="str">
        <f>IFERROR(__xludf.DUMMYFUNCTION("""COMPUTED_VALUE""")," Double-Door Mini Fridge + Microwave   -  - ")</f>
        <v> Double-Door Mini Fridge + Microwave   -  - </v>
      </c>
      <c r="J352" s="61">
        <f>IFERROR(__xludf.DUMMYFUNCTION("""COMPUTED_VALUE"""),210.0)</f>
        <v>210</v>
      </c>
      <c r="K352" s="100">
        <f>IFERROR(__xludf.DUMMYFUNCTION("""COMPUTED_VALUE"""),45883.0)</f>
        <v>45883</v>
      </c>
      <c r="L352" s="61" t="str">
        <f>IFERROR(__xludf.DUMMYFUNCTION("""COMPUTED_VALUE"""),"Beaumont  ")</f>
        <v>Beaumont  </v>
      </c>
      <c r="M352" s="64" t="str">
        <f>IFERROR(__xludf.DUMMYFUNCTION("""COMPUTED_VALUE"""),"313")</f>
        <v>313</v>
      </c>
      <c r="N352" s="61"/>
      <c r="O352" s="61" t="b">
        <f>COUNTIF('Delivered Rentals'!A:A, B352) &gt; 0</f>
        <v>1</v>
      </c>
      <c r="P352" s="101" t="str">
        <f>IFERROR(__xludf.DUMMYFUNCTION("""COMPUTED_VALUE""")," ")</f>
        <v> </v>
      </c>
    </row>
    <row r="353">
      <c r="A353" s="102" t="str">
        <f>IFERROR(__xludf.DUMMYFUNCTION("""COMPUTED_VALUE"""),"https://utrucking.com/admin/orders/5928678195388")</f>
        <v>https://utrucking.com/admin/orders/5928678195388</v>
      </c>
      <c r="B353" s="65" t="str">
        <f>IFERROR(__xludf.DUMMYFUNCTION("""COMPUTED_VALUE"""),"#16075")</f>
        <v>#16075</v>
      </c>
      <c r="C353" s="65" t="str">
        <f>IFERROR(__xludf.DUMMYFUNCTION("""COMPUTED_VALUE"""),"revhamenon@gmail.com")</f>
        <v>revhamenon@gmail.com</v>
      </c>
      <c r="D353" s="65">
        <f>IFERROR(__xludf.DUMMYFUNCTION("""COMPUTED_VALUE"""),9.147582157E9)</f>
        <v>9147582157</v>
      </c>
      <c r="E353" s="65" t="str">
        <f>IFERROR(__xludf.DUMMYFUNCTION("""COMPUTED_VALUE"""),"Revha Menon")</f>
        <v>Revha Menon</v>
      </c>
      <c r="F353" s="65"/>
      <c r="G353" s="65"/>
      <c r="H353" s="65" t="str">
        <f>IFERROR(__xludf.DUMMYFUNCTION("""COMPUTED_VALUE"""),"Appliance Rental")</f>
        <v>Appliance Rental</v>
      </c>
      <c r="I353" s="65" t="str">
        <f>IFERROR(__xludf.DUMMYFUNCTION("""COMPUTED_VALUE""")," Double-Door Mini Fridge + Microwave   -  - ")</f>
        <v> Double-Door Mini Fridge + Microwave   -  - </v>
      </c>
      <c r="J353" s="65">
        <f>IFERROR(__xludf.DUMMYFUNCTION("""COMPUTED_VALUE"""),210.0)</f>
        <v>210</v>
      </c>
      <c r="K353" s="103">
        <f>IFERROR(__xludf.DUMMYFUNCTION("""COMPUTED_VALUE"""),45883.0)</f>
        <v>45883</v>
      </c>
      <c r="L353" s="65" t="str">
        <f>IFERROR(__xludf.DUMMYFUNCTION("""COMPUTED_VALUE"""),"Beaumont  ")</f>
        <v>Beaumont  </v>
      </c>
      <c r="M353" s="68" t="str">
        <f>IFERROR(__xludf.DUMMYFUNCTION("""COMPUTED_VALUE"""),"208 a")</f>
        <v>208 a</v>
      </c>
      <c r="N353" s="65"/>
      <c r="O353" s="65" t="b">
        <f>COUNTIF('Delivered Rentals'!A:A, B353) &gt; 0</f>
        <v>1</v>
      </c>
      <c r="P353" s="104" t="str">
        <f>IFERROR(__xludf.DUMMYFUNCTION("""COMPUTED_VALUE""")," ")</f>
        <v> </v>
      </c>
    </row>
    <row r="354">
      <c r="A354" s="99" t="str">
        <f>IFERROR(__xludf.DUMMYFUNCTION("""COMPUTED_VALUE"""),"https://utrucking.com/admin/orders/5928692809916")</f>
        <v>https://utrucking.com/admin/orders/5928692809916</v>
      </c>
      <c r="B354" s="61" t="str">
        <f>IFERROR(__xludf.DUMMYFUNCTION("""COMPUTED_VALUE"""),"#16077")</f>
        <v>#16077</v>
      </c>
      <c r="C354" s="61"/>
      <c r="D354" s="61">
        <f>IFERROR(__xludf.DUMMYFUNCTION("""COMPUTED_VALUE"""),2.105081056E9)</f>
        <v>2105081056</v>
      </c>
      <c r="E354" s="61" t="str">
        <f>IFERROR(__xludf.DUMMYFUNCTION("""COMPUTED_VALUE"""),"Lori Houck")</f>
        <v>Lori Houck</v>
      </c>
      <c r="F354" s="61"/>
      <c r="G354" s="61"/>
      <c r="H354" s="61" t="str">
        <f>IFERROR(__xludf.DUMMYFUNCTION("""COMPUTED_VALUE"""),"Appliance Rental")</f>
        <v>Appliance Rental</v>
      </c>
      <c r="I354" s="61" t="str">
        <f>IFERROR(__xludf.DUMMYFUNCTION("""COMPUTED_VALUE""")," Double-Door Mini Fridge   -  - ")</f>
        <v> Double-Door Mini Fridge   -  - </v>
      </c>
      <c r="J354" s="61">
        <f>IFERROR(__xludf.DUMMYFUNCTION("""COMPUTED_VALUE"""),145.0)</f>
        <v>145</v>
      </c>
      <c r="K354" s="100">
        <f>IFERROR(__xludf.DUMMYFUNCTION("""COMPUTED_VALUE"""),45883.0)</f>
        <v>45883</v>
      </c>
      <c r="L354" s="61" t="str">
        <f>IFERROR(__xludf.DUMMYFUNCTION("""COMPUTED_VALUE"""),"Umrath  ")</f>
        <v>Umrath  </v>
      </c>
      <c r="M354" s="64" t="str">
        <f>IFERROR(__xludf.DUMMYFUNCTION("""COMPUTED_VALUE"""),"2244-b")</f>
        <v>2244-b</v>
      </c>
      <c r="N354" s="61"/>
      <c r="O354" s="61" t="b">
        <f>COUNTIF('Delivered Rentals'!A:A, B354) &gt; 0</f>
        <v>1</v>
      </c>
      <c r="P354" s="101" t="str">
        <f>IFERROR(__xludf.DUMMYFUNCTION("""COMPUTED_VALUE""")," ")</f>
        <v> </v>
      </c>
    </row>
    <row r="355">
      <c r="A355" s="102" t="str">
        <f>IFERROR(__xludf.DUMMYFUNCTION("""COMPUTED_VALUE"""),"https://utrucking.com/admin/orders/5928894595260")</f>
        <v>https://utrucking.com/admin/orders/5928894595260</v>
      </c>
      <c r="B355" s="65" t="str">
        <f>IFERROR(__xludf.DUMMYFUNCTION("""COMPUTED_VALUE"""),"#16079")</f>
        <v>#16079</v>
      </c>
      <c r="C355" s="65" t="str">
        <f>IFERROR(__xludf.DUMMYFUNCTION("""COMPUTED_VALUE"""),"dyson.i@wustl.edu")</f>
        <v>dyson.i@wustl.edu</v>
      </c>
      <c r="D355" s="65">
        <f>IFERROR(__xludf.DUMMYFUNCTION("""COMPUTED_VALUE"""),3.143469642E9)</f>
        <v>3143469642</v>
      </c>
      <c r="E355" s="65" t="str">
        <f>IFERROR(__xludf.DUMMYFUNCTION("""COMPUTED_VALUE"""),"Lawrence Dyson")</f>
        <v>Lawrence Dyson</v>
      </c>
      <c r="F355" s="65"/>
      <c r="G355" s="65"/>
      <c r="H355" s="65" t="str">
        <f>IFERROR(__xludf.DUMMYFUNCTION("""COMPUTED_VALUE"""),"Appliance Rental")</f>
        <v>Appliance Rental</v>
      </c>
      <c r="I355" s="65" t="str">
        <f>IFERROR(__xludf.DUMMYFUNCTION("""COMPUTED_VALUE""")," Double-Door Mini Fridge   -  - ")</f>
        <v> Double-Door Mini Fridge   -  - </v>
      </c>
      <c r="J355" s="65">
        <f>IFERROR(__xludf.DUMMYFUNCTION("""COMPUTED_VALUE"""),145.0)</f>
        <v>145</v>
      </c>
      <c r="K355" s="103">
        <f>IFERROR(__xludf.DUMMYFUNCTION("""COMPUTED_VALUE"""),45883.0)</f>
        <v>45883</v>
      </c>
      <c r="L355" s="65" t="str">
        <f>IFERROR(__xludf.DUMMYFUNCTION("""COMPUTED_VALUE"""),"Beaumont  ")</f>
        <v>Beaumont  </v>
      </c>
      <c r="M355" s="68" t="str">
        <f>IFERROR(__xludf.DUMMYFUNCTION("""COMPUTED_VALUE"""),"212")</f>
        <v>212</v>
      </c>
      <c r="N355" s="65"/>
      <c r="O355" s="65" t="b">
        <f>COUNTIF('Delivered Rentals'!A:A, B355) &gt; 0</f>
        <v>1</v>
      </c>
      <c r="P355" s="104" t="str">
        <f>IFERROR(__xludf.DUMMYFUNCTION("""COMPUTED_VALUE""")," ")</f>
        <v> </v>
      </c>
    </row>
    <row r="356">
      <c r="A356" s="99" t="str">
        <f>IFERROR(__xludf.DUMMYFUNCTION("""COMPUTED_VALUE"""),"https://utrucking.com/admin/orders/5928970944700")</f>
        <v>https://utrucking.com/admin/orders/5928970944700</v>
      </c>
      <c r="B356" s="61" t="str">
        <f>IFERROR(__xludf.DUMMYFUNCTION("""COMPUTED_VALUE"""),"#16082")</f>
        <v>#16082</v>
      </c>
      <c r="C356" s="61"/>
      <c r="D356" s="61">
        <f>IFERROR(__xludf.DUMMYFUNCTION("""COMPUTED_VALUE"""),8.45596507E9)</f>
        <v>8455965070</v>
      </c>
      <c r="E356" s="61" t="str">
        <f>IFERROR(__xludf.DUMMYFUNCTION("""COMPUTED_VALUE"""),"Samuel Panoff")</f>
        <v>Samuel Panoff</v>
      </c>
      <c r="F356" s="61"/>
      <c r="G356" s="61"/>
      <c r="H356" s="61" t="str">
        <f>IFERROR(__xludf.DUMMYFUNCTION("""COMPUTED_VALUE"""),"Appliance Rental")</f>
        <v>Appliance Rental</v>
      </c>
      <c r="I356" s="61" t="str">
        <f>IFERROR(__xludf.DUMMYFUNCTION("""COMPUTED_VALUE""")," Double-Door Mini Fridge + Microwave   -  - ")</f>
        <v> Double-Door Mini Fridge + Microwave   -  - </v>
      </c>
      <c r="J356" s="61">
        <f>IFERROR(__xludf.DUMMYFUNCTION("""COMPUTED_VALUE"""),210.0)</f>
        <v>210</v>
      </c>
      <c r="K356" s="100">
        <f>IFERROR(__xludf.DUMMYFUNCTION("""COMPUTED_VALUE"""),45883.0)</f>
        <v>45883</v>
      </c>
      <c r="L356" s="61" t="str">
        <f>IFERROR(__xludf.DUMMYFUNCTION("""COMPUTED_VALUE"""),"Umrath  ")</f>
        <v>Umrath  </v>
      </c>
      <c r="M356" s="64" t="str">
        <f>IFERROR(__xludf.DUMMYFUNCTION("""COMPUTED_VALUE"""),"2220")</f>
        <v>2220</v>
      </c>
      <c r="N356" s="61"/>
      <c r="O356" s="61" t="b">
        <f>COUNTIF('Delivered Rentals'!A:A, B356) &gt; 0</f>
        <v>1</v>
      </c>
      <c r="P356" s="101" t="str">
        <f>IFERROR(__xludf.DUMMYFUNCTION("""COMPUTED_VALUE""")," ")</f>
        <v> </v>
      </c>
    </row>
    <row r="357">
      <c r="A357" s="102" t="str">
        <f>IFERROR(__xludf.DUMMYFUNCTION("""COMPUTED_VALUE"""),"https://utrucking.com/admin/orders/5928978088124")</f>
        <v>https://utrucking.com/admin/orders/5928978088124</v>
      </c>
      <c r="B357" s="65" t="str">
        <f>IFERROR(__xludf.DUMMYFUNCTION("""COMPUTED_VALUE"""),"#16083")</f>
        <v>#16083</v>
      </c>
      <c r="C357" s="65"/>
      <c r="D357" s="65">
        <f>IFERROR(__xludf.DUMMYFUNCTION("""COMPUTED_VALUE"""),3.012750328E9)</f>
        <v>3012750328</v>
      </c>
      <c r="E357" s="65" t="str">
        <f>IFERROR(__xludf.DUMMYFUNCTION("""COMPUTED_VALUE"""),"Jared Morton")</f>
        <v>Jared Morton</v>
      </c>
      <c r="F357" s="65"/>
      <c r="G357" s="65"/>
      <c r="H357" s="65" t="str">
        <f>IFERROR(__xludf.DUMMYFUNCTION("""COMPUTED_VALUE"""),"Appliance Rental")</f>
        <v>Appliance Rental</v>
      </c>
      <c r="I357" s="65" t="str">
        <f>IFERROR(__xludf.DUMMYFUNCTION("""COMPUTED_VALUE""")," Double-Door Mini Fridge   -  - ")</f>
        <v> Double-Door Mini Fridge   -  - </v>
      </c>
      <c r="J357" s="65">
        <f>IFERROR(__xludf.DUMMYFUNCTION("""COMPUTED_VALUE"""),145.0)</f>
        <v>145</v>
      </c>
      <c r="K357" s="103">
        <f>IFERROR(__xludf.DUMMYFUNCTION("""COMPUTED_VALUE"""),45883.0)</f>
        <v>45883</v>
      </c>
      <c r="L357" s="65" t="str">
        <f>IFERROR(__xludf.DUMMYFUNCTION("""COMPUTED_VALUE"""),"Umrath  ")</f>
        <v>Umrath  </v>
      </c>
      <c r="M357" s="68" t="str">
        <f>IFERROR(__xludf.DUMMYFUNCTION("""COMPUTED_VALUE"""),"4412")</f>
        <v>4412</v>
      </c>
      <c r="N357" s="65"/>
      <c r="O357" s="65" t="b">
        <f>COUNTIF('Delivered Rentals'!A:A, B357) &gt; 0</f>
        <v>1</v>
      </c>
      <c r="P357" s="104" t="str">
        <f>IFERROR(__xludf.DUMMYFUNCTION("""COMPUTED_VALUE""")," ")</f>
        <v> </v>
      </c>
    </row>
    <row r="358">
      <c r="A358" s="99" t="str">
        <f>IFERROR(__xludf.DUMMYFUNCTION("""COMPUTED_VALUE"""),"https://utrucking.com/admin/orders/5929051029692")</f>
        <v>https://utrucking.com/admin/orders/5929051029692</v>
      </c>
      <c r="B358" s="61" t="str">
        <f>IFERROR(__xludf.DUMMYFUNCTION("""COMPUTED_VALUE"""),"#16084")</f>
        <v>#16084</v>
      </c>
      <c r="C358" s="61"/>
      <c r="D358" s="61">
        <f>IFERROR(__xludf.DUMMYFUNCTION("""COMPUTED_VALUE"""),2.015627645E9)</f>
        <v>2015627645</v>
      </c>
      <c r="E358" s="61" t="str">
        <f>IFERROR(__xludf.DUMMYFUNCTION("""COMPUTED_VALUE"""),"Kate Delia")</f>
        <v>Kate Delia</v>
      </c>
      <c r="F358" s="61"/>
      <c r="G358" s="61"/>
      <c r="H358" s="61" t="str">
        <f>IFERROR(__xludf.DUMMYFUNCTION("""COMPUTED_VALUE"""),"Appliance Rental")</f>
        <v>Appliance Rental</v>
      </c>
      <c r="I358" s="61" t="str">
        <f>IFERROR(__xludf.DUMMYFUNCTION("""COMPUTED_VALUE""")," Double-Door Mini Fridge + Microwave   -  - ")</f>
        <v> Double-Door Mini Fridge + Microwave   -  - </v>
      </c>
      <c r="J358" s="61">
        <f>IFERROR(__xludf.DUMMYFUNCTION("""COMPUTED_VALUE"""),210.0)</f>
        <v>210</v>
      </c>
      <c r="K358" s="100">
        <f>IFERROR(__xludf.DUMMYFUNCTION("""COMPUTED_VALUE"""),45883.0)</f>
        <v>45883</v>
      </c>
      <c r="L358" s="61" t="str">
        <f>IFERROR(__xludf.DUMMYFUNCTION("""COMPUTED_VALUE"""),"Koenig  ")</f>
        <v>Koenig  </v>
      </c>
      <c r="M358" s="64" t="str">
        <f>IFERROR(__xludf.DUMMYFUNCTION("""COMPUTED_VALUE"""),"1119")</f>
        <v>1119</v>
      </c>
      <c r="N358" s="61"/>
      <c r="O358" s="61" t="b">
        <f>COUNTIF('Delivered Rentals'!A:A, B358) &gt; 0</f>
        <v>1</v>
      </c>
      <c r="P358" s="101" t="str">
        <f>IFERROR(__xludf.DUMMYFUNCTION("""COMPUTED_VALUE""")," ")</f>
        <v> </v>
      </c>
    </row>
    <row r="359">
      <c r="A359" s="102" t="str">
        <f>IFERROR(__xludf.DUMMYFUNCTION("""COMPUTED_VALUE"""),"https://utrucking.com/admin/orders/5929128624316")</f>
        <v>https://utrucking.com/admin/orders/5929128624316</v>
      </c>
      <c r="B359" s="65" t="str">
        <f>IFERROR(__xludf.DUMMYFUNCTION("""COMPUTED_VALUE"""),"#16085")</f>
        <v>#16085</v>
      </c>
      <c r="C359" s="65" t="str">
        <f>IFERROR(__xludf.DUMMYFUNCTION("""COMPUTED_VALUE"""),"August.y.moon@gmail.com")</f>
        <v>August.y.moon@gmail.com</v>
      </c>
      <c r="D359" s="65">
        <f>IFERROR(__xludf.DUMMYFUNCTION("""COMPUTED_VALUE"""),7.039807764E9)</f>
        <v>7039807764</v>
      </c>
      <c r="E359" s="65" t="str">
        <f>IFERROR(__xludf.DUMMYFUNCTION("""COMPUTED_VALUE"""),"August Moon")</f>
        <v>August Moon</v>
      </c>
      <c r="F359" s="65"/>
      <c r="G359" s="65"/>
      <c r="H359" s="65" t="str">
        <f>IFERROR(__xludf.DUMMYFUNCTION("""COMPUTED_VALUE"""),"Appliance Rental")</f>
        <v>Appliance Rental</v>
      </c>
      <c r="I359" s="65" t="str">
        <f>IFERROR(__xludf.DUMMYFUNCTION("""COMPUTED_VALUE""")," Double-Door Mini Fridge   -  - ")</f>
        <v> Double-Door Mini Fridge   -  - </v>
      </c>
      <c r="J359" s="65">
        <f>IFERROR(__xludf.DUMMYFUNCTION("""COMPUTED_VALUE"""),145.0)</f>
        <v>145</v>
      </c>
      <c r="K359" s="103">
        <f>IFERROR(__xludf.DUMMYFUNCTION("""COMPUTED_VALUE"""),45892.0)</f>
        <v>45892</v>
      </c>
      <c r="L359" s="65" t="str">
        <f>IFERROR(__xludf.DUMMYFUNCTION("""COMPUTED_VALUE"""),"Gregg  ")</f>
        <v>Gregg  </v>
      </c>
      <c r="M359" s="68" t="str">
        <f>IFERROR(__xludf.DUMMYFUNCTION("""COMPUTED_VALUE"""),"3052")</f>
        <v>3052</v>
      </c>
      <c r="N359" s="65"/>
      <c r="O359" s="65" t="b">
        <f>COUNTIF('Delivered Rentals'!A:A, B359) &gt; 0</f>
        <v>1</v>
      </c>
      <c r="P359" s="104" t="str">
        <f>IFERROR(__xludf.DUMMYFUNCTION("""COMPUTED_VALUE""")," ")</f>
        <v> </v>
      </c>
    </row>
    <row r="360">
      <c r="A360" s="99" t="str">
        <f>IFERROR(__xludf.DUMMYFUNCTION("""COMPUTED_VALUE"""),"https://utrucking.com/admin/orders/5929131540668")</f>
        <v>https://utrucking.com/admin/orders/5929131540668</v>
      </c>
      <c r="B360" s="61" t="str">
        <f>IFERROR(__xludf.DUMMYFUNCTION("""COMPUTED_VALUE"""),"#16086")</f>
        <v>#16086</v>
      </c>
      <c r="C360" s="61" t="str">
        <f>IFERROR(__xludf.DUMMYFUNCTION("""COMPUTED_VALUE"""),"bejm28@gmail.com")</f>
        <v>bejm28@gmail.com</v>
      </c>
      <c r="D360" s="61">
        <f>IFERROR(__xludf.DUMMYFUNCTION("""COMPUTED_VALUE"""),8.477076475E9)</f>
        <v>8477076475</v>
      </c>
      <c r="E360" s="61" t="str">
        <f>IFERROR(__xludf.DUMMYFUNCTION("""COMPUTED_VALUE"""),"BEENA MATHEW")</f>
        <v>BEENA MATHEW</v>
      </c>
      <c r="F360" s="61"/>
      <c r="G360" s="61"/>
      <c r="H360" s="61" t="str">
        <f>IFERROR(__xludf.DUMMYFUNCTION("""COMPUTED_VALUE"""),"Appliance Rental")</f>
        <v>Appliance Rental</v>
      </c>
      <c r="I360" s="61" t="str">
        <f>IFERROR(__xludf.DUMMYFUNCTION("""COMPUTED_VALUE""")," Double-Door Mini Fridge + Microwave   -  - ")</f>
        <v> Double-Door Mini Fridge + Microwave   -  - </v>
      </c>
      <c r="J360" s="61">
        <f>IFERROR(__xludf.DUMMYFUNCTION("""COMPUTED_VALUE"""),210.0)</f>
        <v>210</v>
      </c>
      <c r="K360" s="100">
        <f>IFERROR(__xludf.DUMMYFUNCTION("""COMPUTED_VALUE"""),45883.0)</f>
        <v>45883</v>
      </c>
      <c r="L360" s="61" t="str">
        <f>IFERROR(__xludf.DUMMYFUNCTION("""COMPUTED_VALUE"""),"Park  ")</f>
        <v>Park  </v>
      </c>
      <c r="M360" s="64" t="str">
        <f>IFERROR(__xludf.DUMMYFUNCTION("""COMPUTED_VALUE"""),"280-b")</f>
        <v>280-b</v>
      </c>
      <c r="N360" s="61"/>
      <c r="O360" s="61" t="b">
        <f>COUNTIF('Delivered Rentals'!A:A, B360) &gt; 0</f>
        <v>1</v>
      </c>
      <c r="P360" s="101" t="str">
        <f>IFERROR(__xludf.DUMMYFUNCTION("""COMPUTED_VALUE""")," ")</f>
        <v> </v>
      </c>
    </row>
    <row r="361">
      <c r="A361" s="102" t="str">
        <f>IFERROR(__xludf.DUMMYFUNCTION("""COMPUTED_VALUE"""),"https://utrucking.com/admin/orders/5929221882044")</f>
        <v>https://utrucking.com/admin/orders/5929221882044</v>
      </c>
      <c r="B361" s="65" t="str">
        <f>IFERROR(__xludf.DUMMYFUNCTION("""COMPUTED_VALUE"""),"#16088")</f>
        <v>#16088</v>
      </c>
      <c r="C361" s="65" t="str">
        <f>IFERROR(__xludf.DUMMYFUNCTION("""COMPUTED_VALUE"""),"jackson.p.williams@wustl.edu")</f>
        <v>jackson.p.williams@wustl.edu</v>
      </c>
      <c r="D361" s="65">
        <f>IFERROR(__xludf.DUMMYFUNCTION("""COMPUTED_VALUE"""),8.173132347E9)</f>
        <v>8173132347</v>
      </c>
      <c r="E361" s="65" t="str">
        <f>IFERROR(__xludf.DUMMYFUNCTION("""COMPUTED_VALUE"""),"Jackson Williams")</f>
        <v>Jackson Williams</v>
      </c>
      <c r="F361" s="65"/>
      <c r="G361" s="65"/>
      <c r="H361" s="65" t="str">
        <f>IFERROR(__xludf.DUMMYFUNCTION("""COMPUTED_VALUE"""),"Appliance Rental")</f>
        <v>Appliance Rental</v>
      </c>
      <c r="I361" s="65" t="str">
        <f>IFERROR(__xludf.DUMMYFUNCTION("""COMPUTED_VALUE""")," Double-Door Mini Fridge + Microwave   -  - ")</f>
        <v> Double-Door Mini Fridge + Microwave   -  - </v>
      </c>
      <c r="J361" s="65">
        <f>IFERROR(__xludf.DUMMYFUNCTION("""COMPUTED_VALUE"""),210.0)</f>
        <v>210</v>
      </c>
      <c r="K361" s="103">
        <f>IFERROR(__xludf.DUMMYFUNCTION("""COMPUTED_VALUE"""),45883.0)</f>
        <v>45883</v>
      </c>
      <c r="L361" s="65" t="str">
        <f>IFERROR(__xludf.DUMMYFUNCTION("""COMPUTED_VALUE"""),"Rutledge  ")</f>
        <v>Rutledge  </v>
      </c>
      <c r="M361" s="68" t="str">
        <f>IFERROR(__xludf.DUMMYFUNCTION("""COMPUTED_VALUE"""),"111")</f>
        <v>111</v>
      </c>
      <c r="N361" s="65"/>
      <c r="O361" s="65" t="b">
        <f>COUNTIF('Delivered Rentals'!A:A, B361) &gt; 0</f>
        <v>1</v>
      </c>
      <c r="P361" s="104" t="str">
        <f>IFERROR(__xludf.DUMMYFUNCTION("""COMPUTED_VALUE""")," ")</f>
        <v> </v>
      </c>
    </row>
    <row r="362">
      <c r="A362" s="99" t="str">
        <f>IFERROR(__xludf.DUMMYFUNCTION("""COMPUTED_VALUE"""),"https://utrucking.com/admin/orders/5929268904124")</f>
        <v>https://utrucking.com/admin/orders/5929268904124</v>
      </c>
      <c r="B362" s="61" t="str">
        <f>IFERROR(__xludf.DUMMYFUNCTION("""COMPUTED_VALUE"""),"#16090")</f>
        <v>#16090</v>
      </c>
      <c r="C362" s="61" t="str">
        <f>IFERROR(__xludf.DUMMYFUNCTION("""COMPUTED_VALUE"""),"devin.w@wustl.edu")</f>
        <v>devin.w@wustl.edu</v>
      </c>
      <c r="D362" s="61">
        <f>IFERROR(__xludf.DUMMYFUNCTION("""COMPUTED_VALUE"""),1.3025216652E10)</f>
        <v>13025216652</v>
      </c>
      <c r="E362" s="61" t="str">
        <f>IFERROR(__xludf.DUMMYFUNCTION("""COMPUTED_VALUE"""),"Devin Wallace")</f>
        <v>Devin Wallace</v>
      </c>
      <c r="F362" s="61"/>
      <c r="G362" s="61"/>
      <c r="H362" s="61" t="str">
        <f>IFERROR(__xludf.DUMMYFUNCTION("""COMPUTED_VALUE"""),"Appliance Rental")</f>
        <v>Appliance Rental</v>
      </c>
      <c r="I362" s="61" t="str">
        <f>IFERROR(__xludf.DUMMYFUNCTION("""COMPUTED_VALUE""")," Double-Door Mini Fridge   -  - ")</f>
        <v> Double-Door Mini Fridge   -  - </v>
      </c>
      <c r="J362" s="61">
        <f>IFERROR(__xludf.DUMMYFUNCTION("""COMPUTED_VALUE"""),145.0)</f>
        <v>145</v>
      </c>
      <c r="K362" s="100">
        <f>IFERROR(__xludf.DUMMYFUNCTION("""COMPUTED_VALUE"""),45890.0)</f>
        <v>45890</v>
      </c>
      <c r="L362" s="61" t="str">
        <f>IFERROR(__xludf.DUMMYFUNCTION("""COMPUTED_VALUE"""),"Eliot B  ")</f>
        <v>Eliot B  </v>
      </c>
      <c r="M362" s="64" t="str">
        <f>IFERROR(__xludf.DUMMYFUNCTION("""COMPUTED_VALUE"""),"4020")</f>
        <v>4020</v>
      </c>
      <c r="N362" s="61"/>
      <c r="O362" s="61" t="b">
        <f>COUNTIF('Delivered Rentals'!A:A, B362) &gt; 0</f>
        <v>1</v>
      </c>
      <c r="P362" s="101" t="str">
        <f>IFERROR(__xludf.DUMMYFUNCTION("""COMPUTED_VALUE""")," ")</f>
        <v> </v>
      </c>
    </row>
    <row r="363">
      <c r="A363" s="102" t="str">
        <f>IFERROR(__xludf.DUMMYFUNCTION("""COMPUTED_VALUE"""),"https://utrucking.com/admin/orders/5929729097916")</f>
        <v>https://utrucking.com/admin/orders/5929729097916</v>
      </c>
      <c r="B363" s="65" t="str">
        <f>IFERROR(__xludf.DUMMYFUNCTION("""COMPUTED_VALUE"""),"#16096")</f>
        <v>#16096</v>
      </c>
      <c r="C363" s="65" t="str">
        <f>IFERROR(__xludf.DUMMYFUNCTION("""COMPUTED_VALUE"""),"jacquelinec@wustl.edu")</f>
        <v>jacquelinec@wustl.edu</v>
      </c>
      <c r="D363" s="65">
        <f>IFERROR(__xludf.DUMMYFUNCTION("""COMPUTED_VALUE"""),9.788502258E9)</f>
        <v>9788502258</v>
      </c>
      <c r="E363" s="65" t="str">
        <f>IFERROR(__xludf.DUMMYFUNCTION("""COMPUTED_VALUE"""),"Jacqueline Clay")</f>
        <v>Jacqueline Clay</v>
      </c>
      <c r="F363" s="65"/>
      <c r="G363" s="65"/>
      <c r="H363" s="65" t="str">
        <f>IFERROR(__xludf.DUMMYFUNCTION("""COMPUTED_VALUE"""),"Appliance Rental")</f>
        <v>Appliance Rental</v>
      </c>
      <c r="I363" s="65" t="str">
        <f>IFERROR(__xludf.DUMMYFUNCTION("""COMPUTED_VALUE""")," Standard Mini Fridge + Microwave   -  - ")</f>
        <v> Standard Mini Fridge + Microwave   -  - </v>
      </c>
      <c r="J363" s="65">
        <f>IFERROR(__xludf.DUMMYFUNCTION("""COMPUTED_VALUE"""),180.0)</f>
        <v>180</v>
      </c>
      <c r="K363" s="103">
        <f>IFERROR(__xludf.DUMMYFUNCTION("""COMPUTED_VALUE"""),45883.0)</f>
        <v>45883</v>
      </c>
      <c r="L363" s="65" t="str">
        <f>IFERROR(__xludf.DUMMYFUNCTION("""COMPUTED_VALUE"""),"Shanedling  ")</f>
        <v>Shanedling  </v>
      </c>
      <c r="M363" s="68" t="str">
        <f>IFERROR(__xludf.DUMMYFUNCTION("""COMPUTED_VALUE"""),"334")</f>
        <v>334</v>
      </c>
      <c r="N363" s="65"/>
      <c r="O363" s="65" t="b">
        <f>COUNTIF('Delivered Rentals'!A:A, B363) &gt; 0</f>
        <v>1</v>
      </c>
      <c r="P363" s="104" t="str">
        <f>IFERROR(__xludf.DUMMYFUNCTION("""COMPUTED_VALUE""")," ")</f>
        <v> </v>
      </c>
    </row>
    <row r="364">
      <c r="A364" s="99" t="str">
        <f>IFERROR(__xludf.DUMMYFUNCTION("""COMPUTED_VALUE"""),"https://utrucking.com/admin/orders/5929782116540")</f>
        <v>https://utrucking.com/admin/orders/5929782116540</v>
      </c>
      <c r="B364" s="61" t="str">
        <f>IFERROR(__xludf.DUMMYFUNCTION("""COMPUTED_VALUE"""),"#16100")</f>
        <v>#16100</v>
      </c>
      <c r="C364" s="61"/>
      <c r="D364" s="61"/>
      <c r="E364" s="61" t="str">
        <f>IFERROR(__xludf.DUMMYFUNCTION("""COMPUTED_VALUE"""),"Wendy Bonilla Posas")</f>
        <v>Wendy Bonilla Posas</v>
      </c>
      <c r="F364" s="61"/>
      <c r="G364" s="61"/>
      <c r="H364" s="61" t="str">
        <f>IFERROR(__xludf.DUMMYFUNCTION("""COMPUTED_VALUE"""),"Appliance Rental")</f>
        <v>Appliance Rental</v>
      </c>
      <c r="I364" s="61" t="str">
        <f>IFERROR(__xludf.DUMMYFUNCTION("""COMPUTED_VALUE""")," Standard Mini Fridge   -  - ")</f>
        <v> Standard Mini Fridge   -  - </v>
      </c>
      <c r="J364" s="61">
        <f>IFERROR(__xludf.DUMMYFUNCTION("""COMPUTED_VALUE"""),115.0)</f>
        <v>115</v>
      </c>
      <c r="K364" s="100">
        <f>IFERROR(__xludf.DUMMYFUNCTION("""COMPUTED_VALUE"""),45883.0)</f>
        <v>45883</v>
      </c>
      <c r="L364" s="61" t="str">
        <f>IFERROR(__xludf.DUMMYFUNCTION("""COMPUTED_VALUE"""),"Lee  ")</f>
        <v>Lee  </v>
      </c>
      <c r="M364" s="64" t="str">
        <f>IFERROR(__xludf.DUMMYFUNCTION("""COMPUTED_VALUE"""),"215")</f>
        <v>215</v>
      </c>
      <c r="N364" s="61"/>
      <c r="O364" s="61" t="b">
        <f>COUNTIF('Delivered Rentals'!A:A, B364) &gt; 0</f>
        <v>1</v>
      </c>
      <c r="P364" s="101" t="str">
        <f>IFERROR(__xludf.DUMMYFUNCTION("""COMPUTED_VALUE""")," ")</f>
        <v> </v>
      </c>
    </row>
    <row r="365">
      <c r="A365" s="102" t="str">
        <f>IFERROR(__xludf.DUMMYFUNCTION("""COMPUTED_VALUE"""),"https://utrucking.com/admin/orders/5929817997500")</f>
        <v>https://utrucking.com/admin/orders/5929817997500</v>
      </c>
      <c r="B365" s="65" t="str">
        <f>IFERROR(__xludf.DUMMYFUNCTION("""COMPUTED_VALUE"""),"#16102")</f>
        <v>#16102</v>
      </c>
      <c r="C365" s="65"/>
      <c r="D365" s="65">
        <f>IFERROR(__xludf.DUMMYFUNCTION("""COMPUTED_VALUE"""),1.6464186635E10)</f>
        <v>16464186635</v>
      </c>
      <c r="E365" s="65" t="str">
        <f>IFERROR(__xludf.DUMMYFUNCTION("""COMPUTED_VALUE"""),"Leslie Benjamin")</f>
        <v>Leslie Benjamin</v>
      </c>
      <c r="F365" s="65"/>
      <c r="G365" s="65"/>
      <c r="H365" s="65" t="str">
        <f>IFERROR(__xludf.DUMMYFUNCTION("""COMPUTED_VALUE"""),"Appliance Rental")</f>
        <v>Appliance Rental</v>
      </c>
      <c r="I365" s="65" t="str">
        <f>IFERROR(__xludf.DUMMYFUNCTION("""COMPUTED_VALUE""")," Double-Door Mini Fridge + Microwave   -  - ")</f>
        <v> Double-Door Mini Fridge + Microwave   -  - </v>
      </c>
      <c r="J365" s="65">
        <f>IFERROR(__xludf.DUMMYFUNCTION("""COMPUTED_VALUE"""),210.0)</f>
        <v>210</v>
      </c>
      <c r="K365" s="103">
        <f>IFERROR(__xludf.DUMMYFUNCTION("""COMPUTED_VALUE"""),45883.0)</f>
        <v>45883</v>
      </c>
      <c r="L365" s="65" t="str">
        <f>IFERROR(__xludf.DUMMYFUNCTION("""COMPUTED_VALUE"""),"Rutledge  ")</f>
        <v>Rutledge  </v>
      </c>
      <c r="M365" s="68" t="str">
        <f>IFERROR(__xludf.DUMMYFUNCTION("""COMPUTED_VALUE"""),"414-A")</f>
        <v>414-A</v>
      </c>
      <c r="N365" s="65"/>
      <c r="O365" s="65" t="b">
        <f>COUNTIF('Delivered Rentals'!A:A, B365) &gt; 0</f>
        <v>1</v>
      </c>
      <c r="P365" s="104" t="str">
        <f>IFERROR(__xludf.DUMMYFUNCTION("""COMPUTED_VALUE""")," ")</f>
        <v> </v>
      </c>
    </row>
    <row r="366">
      <c r="A366" s="99" t="str">
        <f>IFERROR(__xludf.DUMMYFUNCTION("""COMPUTED_VALUE"""),"https://utrucking.com/admin/orders/5929886941372")</f>
        <v>https://utrucking.com/admin/orders/5929886941372</v>
      </c>
      <c r="B366" s="61" t="str">
        <f>IFERROR(__xludf.DUMMYFUNCTION("""COMPUTED_VALUE"""),"#16106")</f>
        <v>#16106</v>
      </c>
      <c r="C366" s="61" t="str">
        <f>IFERROR(__xludf.DUMMYFUNCTION("""COMPUTED_VALUE"""),"anniec@wustl.edu")</f>
        <v>anniec@wustl.edu</v>
      </c>
      <c r="D366" s="61">
        <f>IFERROR(__xludf.DUMMYFUNCTION("""COMPUTED_VALUE"""),8.432065331E9)</f>
        <v>8432065331</v>
      </c>
      <c r="E366" s="61" t="str">
        <f>IFERROR(__xludf.DUMMYFUNCTION("""COMPUTED_VALUE"""),"Annie Chen")</f>
        <v>Annie Chen</v>
      </c>
      <c r="F366" s="61"/>
      <c r="G366" s="61"/>
      <c r="H366" s="61" t="str">
        <f>IFERROR(__xludf.DUMMYFUNCTION("""COMPUTED_VALUE"""),"Appliance Rental")</f>
        <v>Appliance Rental</v>
      </c>
      <c r="I366" s="61" t="str">
        <f>IFERROR(__xludf.DUMMYFUNCTION("""COMPUTED_VALUE""")," Standard Mini Fridge   - ")</f>
        <v> Standard Mini Fridge   - </v>
      </c>
      <c r="J366" s="61">
        <f>IFERROR(__xludf.DUMMYFUNCTION("""COMPUTED_VALUE"""),115.0)</f>
        <v>115</v>
      </c>
      <c r="K366" s="100">
        <f>IFERROR(__xludf.DUMMYFUNCTION("""COMPUTED_VALUE"""),45883.0)</f>
        <v>45883</v>
      </c>
      <c r="L366" s="61" t="str">
        <f>IFERROR(__xludf.DUMMYFUNCTION("""COMPUTED_VALUE"""),"Umrath  ")</f>
        <v>Umrath  </v>
      </c>
      <c r="M366" s="64" t="str">
        <f>IFERROR(__xludf.DUMMYFUNCTION("""COMPUTED_VALUE"""),"3319a")</f>
        <v>3319a</v>
      </c>
      <c r="N366" s="61"/>
      <c r="O366" s="61" t="b">
        <f>COUNTIF('Delivered Rentals'!A:A, B366) &gt; 0</f>
        <v>1</v>
      </c>
      <c r="P366" s="101"/>
    </row>
    <row r="367">
      <c r="A367" s="102" t="str">
        <f>IFERROR(__xludf.DUMMYFUNCTION("""COMPUTED_VALUE"""),"https://utrucking.com/admin/orders/5930598465724")</f>
        <v>https://utrucking.com/admin/orders/5930598465724</v>
      </c>
      <c r="B367" s="65" t="str">
        <f>IFERROR(__xludf.DUMMYFUNCTION("""COMPUTED_VALUE"""),"#16112")</f>
        <v>#16112</v>
      </c>
      <c r="C367" s="65"/>
      <c r="D367" s="65">
        <f>IFERROR(__xludf.DUMMYFUNCTION("""COMPUTED_VALUE"""),3.103431318E9)</f>
        <v>3103431318</v>
      </c>
      <c r="E367" s="65" t="str">
        <f>IFERROR(__xludf.DUMMYFUNCTION("""COMPUTED_VALUE"""),"Luke Goldberg")</f>
        <v>Luke Goldberg</v>
      </c>
      <c r="F367" s="65" t="str">
        <f>IFERROR(__xludf.DUMMYFUNCTION("""COMPUTED_VALUE"""),"Luke Goldberg")</f>
        <v>Luke Goldberg</v>
      </c>
      <c r="G367" s="65"/>
      <c r="H367" s="65" t="str">
        <f>IFERROR(__xludf.DUMMYFUNCTION("""COMPUTED_VALUE"""),"Appliance Rental")</f>
        <v>Appliance Rental</v>
      </c>
      <c r="I367" s="65" t="str">
        <f>IFERROR(__xludf.DUMMYFUNCTION("""COMPUTED_VALUE""")," Double-Door Mini Fridge + Microwave   - ")</f>
        <v> Double-Door Mini Fridge + Microwave   - </v>
      </c>
      <c r="J367" s="65">
        <f>IFERROR(__xludf.DUMMYFUNCTION("""COMPUTED_VALUE"""),210.0)</f>
        <v>210</v>
      </c>
      <c r="K367" s="103">
        <f>IFERROR(__xludf.DUMMYFUNCTION("""COMPUTED_VALUE"""),45883.0)</f>
        <v>45883</v>
      </c>
      <c r="L367" s="65" t="str">
        <f>IFERROR(__xludf.DUMMYFUNCTION("""COMPUTED_VALUE"""),"House 6 (Sigma Alpha Epsilon)  ")</f>
        <v>House 6 (Sigma Alpha Epsilon)  </v>
      </c>
      <c r="M367" s="68" t="str">
        <f>IFERROR(__xludf.DUMMYFUNCTION("""COMPUTED_VALUE"""),"207")</f>
        <v>207</v>
      </c>
      <c r="N367" s="65"/>
      <c r="O367" s="65" t="b">
        <f>COUNTIF('Delivered Rentals'!A:A, B367) &gt; 0</f>
        <v>1</v>
      </c>
      <c r="P367" s="104"/>
    </row>
    <row r="368">
      <c r="A368" s="99" t="str">
        <f>IFERROR(__xludf.DUMMYFUNCTION("""COMPUTED_VALUE"""),"https://utrucking.com/admin/orders/5930894950588")</f>
        <v>https://utrucking.com/admin/orders/5930894950588</v>
      </c>
      <c r="B368" s="61" t="str">
        <f>IFERROR(__xludf.DUMMYFUNCTION("""COMPUTED_VALUE"""),"#16115")</f>
        <v>#16115</v>
      </c>
      <c r="C368" s="61"/>
      <c r="D368" s="61">
        <f>IFERROR(__xludf.DUMMYFUNCTION("""COMPUTED_VALUE"""),8.582619227E9)</f>
        <v>8582619227</v>
      </c>
      <c r="E368" s="61" t="str">
        <f>IFERROR(__xludf.DUMMYFUNCTION("""COMPUTED_VALUE"""),"Heewon Han")</f>
        <v>Heewon Han</v>
      </c>
      <c r="F368" s="61" t="str">
        <f>IFERROR(__xludf.DUMMYFUNCTION("""COMPUTED_VALUE"""),"Dale Son")</f>
        <v>Dale Son</v>
      </c>
      <c r="G368" s="61"/>
      <c r="H368" s="61" t="str">
        <f>IFERROR(__xludf.DUMMYFUNCTION("""COMPUTED_VALUE"""),"Appliance Rental")</f>
        <v>Appliance Rental</v>
      </c>
      <c r="I368" s="61" t="str">
        <f>IFERROR(__xludf.DUMMYFUNCTION("""COMPUTED_VALUE""")," Double-Door Mini Fridge + Microwave   - ")</f>
        <v> Double-Door Mini Fridge + Microwave   - </v>
      </c>
      <c r="J368" s="61">
        <f>IFERROR(__xludf.DUMMYFUNCTION("""COMPUTED_VALUE"""),210.0)</f>
        <v>210</v>
      </c>
      <c r="K368" s="100">
        <f>IFERROR(__xludf.DUMMYFUNCTION("""COMPUTED_VALUE"""),45882.0)</f>
        <v>45882</v>
      </c>
      <c r="L368" s="61" t="str">
        <f>IFERROR(__xludf.DUMMYFUNCTION("""COMPUTED_VALUE"""),"Hitzeman  ")</f>
        <v>Hitzeman  </v>
      </c>
      <c r="M368" s="64" t="str">
        <f>IFERROR(__xludf.DUMMYFUNCTION("""COMPUTED_VALUE"""),"444b")</f>
        <v>444b</v>
      </c>
      <c r="N368" s="61"/>
      <c r="O368" s="61" t="b">
        <f>COUNTIF('Delivered Rentals'!A:A, B368) &gt; 0</f>
        <v>1</v>
      </c>
      <c r="P368" s="101"/>
    </row>
    <row r="369">
      <c r="A369" s="102" t="str">
        <f>IFERROR(__xludf.DUMMYFUNCTION("""COMPUTED_VALUE"""),"https://utrucking.com/admin/orders/5930966024380")</f>
        <v>https://utrucking.com/admin/orders/5930966024380</v>
      </c>
      <c r="B369" s="65" t="str">
        <f>IFERROR(__xludf.DUMMYFUNCTION("""COMPUTED_VALUE"""),"#16117")</f>
        <v>#16117</v>
      </c>
      <c r="C369" s="65" t="str">
        <f>IFERROR(__xludf.DUMMYFUNCTION("""COMPUTED_VALUE"""),"joshuawarren585@gmail.com")</f>
        <v>joshuawarren585@gmail.com</v>
      </c>
      <c r="D369" s="65">
        <f>IFERROR(__xludf.DUMMYFUNCTION("""COMPUTED_VALUE"""),6.154840612E9)</f>
        <v>6154840612</v>
      </c>
      <c r="E369" s="65" t="str">
        <f>IFERROR(__xludf.DUMMYFUNCTION("""COMPUTED_VALUE"""),"Jennifer Warren")</f>
        <v>Jennifer Warren</v>
      </c>
      <c r="F369" s="65" t="str">
        <f>IFERROR(__xludf.DUMMYFUNCTION("""COMPUTED_VALUE"""),"Joshua Warren")</f>
        <v>Joshua Warren</v>
      </c>
      <c r="G369" s="65"/>
      <c r="H369" s="65" t="str">
        <f>IFERROR(__xludf.DUMMYFUNCTION("""COMPUTED_VALUE"""),"Appliance Rental")</f>
        <v>Appliance Rental</v>
      </c>
      <c r="I369" s="65" t="str">
        <f>IFERROR(__xludf.DUMMYFUNCTION("""COMPUTED_VALUE""")," Standard Mini Fridge   - ")</f>
        <v> Standard Mini Fridge   - </v>
      </c>
      <c r="J369" s="65">
        <f>IFERROR(__xludf.DUMMYFUNCTION("""COMPUTED_VALUE"""),115.0)</f>
        <v>115</v>
      </c>
      <c r="K369" s="103">
        <f>IFERROR(__xludf.DUMMYFUNCTION("""COMPUTED_VALUE"""),45883.0)</f>
        <v>45883</v>
      </c>
      <c r="L369" s="65" t="str">
        <f>IFERROR(__xludf.DUMMYFUNCTION("""COMPUTED_VALUE"""),"Dardick  ")</f>
        <v>Dardick  </v>
      </c>
      <c r="M369" s="68" t="str">
        <f>IFERROR(__xludf.DUMMYFUNCTION("""COMPUTED_VALUE"""),"1104 ")</f>
        <v>1104 </v>
      </c>
      <c r="N369" s="65"/>
      <c r="O369" s="65" t="b">
        <f>COUNTIF('Delivered Rentals'!A:A, B369) &gt; 0</f>
        <v>1</v>
      </c>
      <c r="P369" s="104"/>
    </row>
    <row r="370">
      <c r="A370" s="99" t="str">
        <f>IFERROR(__xludf.DUMMYFUNCTION("""COMPUTED_VALUE"""),"https://utrucking.com/admin/orders/5931570364604")</f>
        <v>https://utrucking.com/admin/orders/5931570364604</v>
      </c>
      <c r="B370" s="61" t="str">
        <f>IFERROR(__xludf.DUMMYFUNCTION("""COMPUTED_VALUE"""),"#16119")</f>
        <v>#16119</v>
      </c>
      <c r="C370" s="61" t="str">
        <f>IFERROR(__xludf.DUMMYFUNCTION("""COMPUTED_VALUE"""),"ntutunjian@aol.com")</f>
        <v>ntutunjian@aol.com</v>
      </c>
      <c r="D370" s="61">
        <f>IFERROR(__xludf.DUMMYFUNCTION("""COMPUTED_VALUE"""),9.174476429E9)</f>
        <v>9174476429</v>
      </c>
      <c r="E370" s="61" t="str">
        <f>IFERROR(__xludf.DUMMYFUNCTION("""COMPUTED_VALUE"""),"Noelle Tutunjian")</f>
        <v>Noelle Tutunjian</v>
      </c>
      <c r="F370" s="61"/>
      <c r="G370" s="61"/>
      <c r="H370" s="61" t="str">
        <f>IFERROR(__xludf.DUMMYFUNCTION("""COMPUTED_VALUE"""),"Appliance Rental")</f>
        <v>Appliance Rental</v>
      </c>
      <c r="I370" s="61" t="str">
        <f>IFERROR(__xludf.DUMMYFUNCTION("""COMPUTED_VALUE""")," Double-Door Mini Fridge + Microwave   - ")</f>
        <v> Double-Door Mini Fridge + Microwave   - </v>
      </c>
      <c r="J370" s="61">
        <f>IFERROR(__xludf.DUMMYFUNCTION("""COMPUTED_VALUE"""),210.0)</f>
        <v>210</v>
      </c>
      <c r="K370" s="100">
        <f>IFERROR(__xludf.DUMMYFUNCTION("""COMPUTED_VALUE"""),45883.0)</f>
        <v>45883</v>
      </c>
      <c r="L370" s="61" t="str">
        <f>IFERROR(__xludf.DUMMYFUNCTION("""COMPUTED_VALUE"""),"Park  ")</f>
        <v>Park  </v>
      </c>
      <c r="M370" s="64" t="str">
        <f>IFERROR(__xludf.DUMMYFUNCTION("""COMPUTED_VALUE"""),"162A")</f>
        <v>162A</v>
      </c>
      <c r="N370" s="61"/>
      <c r="O370" s="61" t="b">
        <f>COUNTIF('Delivered Rentals'!A:A, B370) &gt; 0</f>
        <v>1</v>
      </c>
      <c r="P370" s="101"/>
    </row>
    <row r="371">
      <c r="A371" s="102" t="str">
        <f>IFERROR(__xludf.DUMMYFUNCTION("""COMPUTED_VALUE"""),"https://utrucking.com/admin/orders/5931579244732")</f>
        <v>https://utrucking.com/admin/orders/5931579244732</v>
      </c>
      <c r="B371" s="65" t="str">
        <f>IFERROR(__xludf.DUMMYFUNCTION("""COMPUTED_VALUE"""),"#16120")</f>
        <v>#16120</v>
      </c>
      <c r="C371" s="65" t="str">
        <f>IFERROR(__xludf.DUMMYFUNCTION("""COMPUTED_VALUE"""),"l.moutvic@wustl.edu")</f>
        <v>l.moutvic@wustl.edu</v>
      </c>
      <c r="D371" s="65">
        <f>IFERROR(__xludf.DUMMYFUNCTION("""COMPUTED_VALUE"""),8.477028084E9)</f>
        <v>8477028084</v>
      </c>
      <c r="E371" s="65" t="str">
        <f>IFERROR(__xludf.DUMMYFUNCTION("""COMPUTED_VALUE"""),"Lauren Moutvic")</f>
        <v>Lauren Moutvic</v>
      </c>
      <c r="F371" s="65" t="str">
        <f>IFERROR(__xludf.DUMMYFUNCTION("""COMPUTED_VALUE"""),"Lauren")</f>
        <v>Lauren</v>
      </c>
      <c r="G371" s="65"/>
      <c r="H371" s="65" t="str">
        <f>IFERROR(__xludf.DUMMYFUNCTION("""COMPUTED_VALUE"""),"Appliance Rental")</f>
        <v>Appliance Rental</v>
      </c>
      <c r="I371" s="65" t="str">
        <f>IFERROR(__xludf.DUMMYFUNCTION("""COMPUTED_VALUE""")," Double-Door Mini Fridge   - ")</f>
        <v> Double-Door Mini Fridge   - </v>
      </c>
      <c r="J371" s="65">
        <f>IFERROR(__xludf.DUMMYFUNCTION("""COMPUTED_VALUE"""),145.0)</f>
        <v>145</v>
      </c>
      <c r="K371" s="103">
        <f>IFERROR(__xludf.DUMMYFUNCTION("""COMPUTED_VALUE"""),45883.0)</f>
        <v>45883</v>
      </c>
      <c r="L371" s="65" t="str">
        <f>IFERROR(__xludf.DUMMYFUNCTION("""COMPUTED_VALUE"""),"Mudd  ")</f>
        <v>Mudd  </v>
      </c>
      <c r="M371" s="68" t="str">
        <f>IFERROR(__xludf.DUMMYFUNCTION("""COMPUTED_VALUE"""),"370")</f>
        <v>370</v>
      </c>
      <c r="N371" s="65"/>
      <c r="O371" s="65" t="b">
        <f>COUNTIF('Delivered Rentals'!A:A, B371) &gt; 0</f>
        <v>1</v>
      </c>
      <c r="P371" s="104"/>
    </row>
    <row r="372">
      <c r="A372" s="99" t="str">
        <f>IFERROR(__xludf.DUMMYFUNCTION("""COMPUTED_VALUE"""),"https://utrucking.com/admin/orders/5931665621180")</f>
        <v>https://utrucking.com/admin/orders/5931665621180</v>
      </c>
      <c r="B372" s="61" t="str">
        <f>IFERROR(__xludf.DUMMYFUNCTION("""COMPUTED_VALUE"""),"#16123")</f>
        <v>#16123</v>
      </c>
      <c r="C372" s="61" t="str">
        <f>IFERROR(__xludf.DUMMYFUNCTION("""COMPUTED_VALUE"""),"tamarlehon@gmail.com")</f>
        <v>tamarlehon@gmail.com</v>
      </c>
      <c r="D372" s="61">
        <f>IFERROR(__xludf.DUMMYFUNCTION("""COMPUTED_VALUE"""),6.466181335E9)</f>
        <v>6466181335</v>
      </c>
      <c r="E372" s="61" t="str">
        <f>IFERROR(__xludf.DUMMYFUNCTION("""COMPUTED_VALUE"""),"Tamar Lehon")</f>
        <v>Tamar Lehon</v>
      </c>
      <c r="F372" s="61" t="str">
        <f>IFERROR(__xludf.DUMMYFUNCTION("""COMPUTED_VALUE"""),"Tamar Lehon")</f>
        <v>Tamar Lehon</v>
      </c>
      <c r="G372" s="61"/>
      <c r="H372" s="61" t="str">
        <f>IFERROR(__xludf.DUMMYFUNCTION("""COMPUTED_VALUE"""),"Appliance Rental")</f>
        <v>Appliance Rental</v>
      </c>
      <c r="I372" s="61" t="str">
        <f>IFERROR(__xludf.DUMMYFUNCTION("""COMPUTED_VALUE""")," Double-Door Mini Fridge   - ")</f>
        <v> Double-Door Mini Fridge   - </v>
      </c>
      <c r="J372" s="61">
        <f>IFERROR(__xludf.DUMMYFUNCTION("""COMPUTED_VALUE"""),145.0)</f>
        <v>145</v>
      </c>
      <c r="K372" s="100">
        <f>IFERROR(__xludf.DUMMYFUNCTION("""COMPUTED_VALUE"""),45883.0)</f>
        <v>45883</v>
      </c>
      <c r="L372" s="61" t="str">
        <f>IFERROR(__xludf.DUMMYFUNCTION("""COMPUTED_VALUE"""),"Gregg  ")</f>
        <v>Gregg  </v>
      </c>
      <c r="M372" s="64" t="str">
        <f>IFERROR(__xludf.DUMMYFUNCTION("""COMPUTED_VALUE"""),"3100")</f>
        <v>3100</v>
      </c>
      <c r="N372" s="61"/>
      <c r="O372" s="61" t="b">
        <f>COUNTIF('Delivered Rentals'!A:A, B372) &gt; 0</f>
        <v>1</v>
      </c>
      <c r="P372" s="101"/>
    </row>
    <row r="373">
      <c r="A373" s="102" t="str">
        <f>IFERROR(__xludf.DUMMYFUNCTION("""COMPUTED_VALUE"""),"https://utrucking.com/admin/orders/5931720245436")</f>
        <v>https://utrucking.com/admin/orders/5931720245436</v>
      </c>
      <c r="B373" s="65" t="str">
        <f>IFERROR(__xludf.DUMMYFUNCTION("""COMPUTED_VALUE"""),"#16124")</f>
        <v>#16124</v>
      </c>
      <c r="C373" s="65" t="str">
        <f>IFERROR(__xludf.DUMMYFUNCTION("""COMPUTED_VALUE"""),"lindajchuang@yahoo.com")</f>
        <v>lindajchuang@yahoo.com</v>
      </c>
      <c r="D373" s="65">
        <f>IFERROR(__xludf.DUMMYFUNCTION("""COMPUTED_VALUE"""),9.197873233E9)</f>
        <v>9197873233</v>
      </c>
      <c r="E373" s="65" t="str">
        <f>IFERROR(__xludf.DUMMYFUNCTION("""COMPUTED_VALUE"""),"Linda Chuang")</f>
        <v>Linda Chuang</v>
      </c>
      <c r="F373" s="65" t="str">
        <f>IFERROR(__xludf.DUMMYFUNCTION("""COMPUTED_VALUE"""),"Connor Chuang ")</f>
        <v>Connor Chuang </v>
      </c>
      <c r="G373" s="65"/>
      <c r="H373" s="65" t="str">
        <f>IFERROR(__xludf.DUMMYFUNCTION("""COMPUTED_VALUE"""),"Appliance Rental")</f>
        <v>Appliance Rental</v>
      </c>
      <c r="I373" s="65" t="str">
        <f>IFERROR(__xludf.DUMMYFUNCTION("""COMPUTED_VALUE""")," Microwave Only   - ")</f>
        <v> Microwave Only   - </v>
      </c>
      <c r="J373" s="65">
        <f>IFERROR(__xludf.DUMMYFUNCTION("""COMPUTED_VALUE"""),65.0)</f>
        <v>65</v>
      </c>
      <c r="K373" s="103">
        <f>IFERROR(__xludf.DUMMYFUNCTION("""COMPUTED_VALUE"""),45883.0)</f>
        <v>45883</v>
      </c>
      <c r="L373" s="65" t="str">
        <f>IFERROR(__xludf.DUMMYFUNCTION("""COMPUTED_VALUE"""),"Koenig  ")</f>
        <v>Koenig  </v>
      </c>
      <c r="M373" s="68" t="str">
        <f>IFERROR(__xludf.DUMMYFUNCTION("""COMPUTED_VALUE"""),"3312-B")</f>
        <v>3312-B</v>
      </c>
      <c r="N373" s="65"/>
      <c r="O373" s="65" t="b">
        <f>COUNTIF('Delivered Rentals'!A:A, B373) &gt; 0</f>
        <v>1</v>
      </c>
      <c r="P373" s="104"/>
    </row>
    <row r="374">
      <c r="A374" s="99" t="str">
        <f>IFERROR(__xludf.DUMMYFUNCTION("""COMPUTED_VALUE"""),"https://utrucking.com/admin/orders/5931808751804")</f>
        <v>https://utrucking.com/admin/orders/5931808751804</v>
      </c>
      <c r="B374" s="61" t="str">
        <f>IFERROR(__xludf.DUMMYFUNCTION("""COMPUTED_VALUE"""),"#16127")</f>
        <v>#16127</v>
      </c>
      <c r="C374" s="61" t="str">
        <f>IFERROR(__xludf.DUMMYFUNCTION("""COMPUTED_VALUE"""),"donnermd@hotmail.com")</f>
        <v>donnermd@hotmail.com</v>
      </c>
      <c r="D374" s="61">
        <f>IFERROR(__xludf.DUMMYFUNCTION("""COMPUTED_VALUE"""),1.2539886808E10)</f>
        <v>12539886808</v>
      </c>
      <c r="E374" s="61" t="str">
        <f>IFERROR(__xludf.DUMMYFUNCTION("""COMPUTED_VALUE"""),"Charles Donner")</f>
        <v>Charles Donner</v>
      </c>
      <c r="F374" s="61" t="str">
        <f>IFERROR(__xludf.DUMMYFUNCTION("""COMPUTED_VALUE"""),"Daniel Donner")</f>
        <v>Daniel Donner</v>
      </c>
      <c r="G374" s="61"/>
      <c r="H374" s="61" t="str">
        <f>IFERROR(__xludf.DUMMYFUNCTION("""COMPUTED_VALUE"""),"Appliance Rental")</f>
        <v>Appliance Rental</v>
      </c>
      <c r="I374" s="61" t="str">
        <f>IFERROR(__xludf.DUMMYFUNCTION("""COMPUTED_VALUE""")," Double-Door Mini Fridge + Microwave   - ")</f>
        <v> Double-Door Mini Fridge + Microwave   - </v>
      </c>
      <c r="J374" s="61">
        <f>IFERROR(__xludf.DUMMYFUNCTION("""COMPUTED_VALUE"""),210.0)</f>
        <v>210</v>
      </c>
      <c r="K374" s="100">
        <f>IFERROR(__xludf.DUMMYFUNCTION("""COMPUTED_VALUE"""),45883.0)</f>
        <v>45883</v>
      </c>
      <c r="L374" s="61" t="str">
        <f>IFERROR(__xludf.DUMMYFUNCTION("""COMPUTED_VALUE"""),"Beaumont  ")</f>
        <v>Beaumont  </v>
      </c>
      <c r="M374" s="64" t="str">
        <f>IFERROR(__xludf.DUMMYFUNCTION("""COMPUTED_VALUE"""),"109")</f>
        <v>109</v>
      </c>
      <c r="N374" s="61"/>
      <c r="O374" s="61" t="b">
        <f>COUNTIF('Delivered Rentals'!A:A, B374) &gt; 0</f>
        <v>1</v>
      </c>
      <c r="P374" s="101"/>
    </row>
    <row r="375">
      <c r="A375" s="102" t="str">
        <f>IFERROR(__xludf.DUMMYFUNCTION("""COMPUTED_VALUE"""),"https://utrucking.com/admin/orders/5931833458876")</f>
        <v>https://utrucking.com/admin/orders/5931833458876</v>
      </c>
      <c r="B375" s="65" t="str">
        <f>IFERROR(__xludf.DUMMYFUNCTION("""COMPUTED_VALUE"""),"#16128")</f>
        <v>#16128</v>
      </c>
      <c r="C375" s="65"/>
      <c r="D375" s="65">
        <f>IFERROR(__xludf.DUMMYFUNCTION("""COMPUTED_VALUE"""),6.122078233E9)</f>
        <v>6122078233</v>
      </c>
      <c r="E375" s="65" t="str">
        <f>IFERROR(__xludf.DUMMYFUNCTION("""COMPUTED_VALUE"""),"Jennifer Guion")</f>
        <v>Jennifer Guion</v>
      </c>
      <c r="F375" s="65" t="str">
        <f>IFERROR(__xludf.DUMMYFUNCTION("""COMPUTED_VALUE"""),"Cosmo Guion")</f>
        <v>Cosmo Guion</v>
      </c>
      <c r="G375" s="65"/>
      <c r="H375" s="65" t="str">
        <f>IFERROR(__xludf.DUMMYFUNCTION("""COMPUTED_VALUE"""),"Appliance Rental")</f>
        <v>Appliance Rental</v>
      </c>
      <c r="I375" s="65" t="str">
        <f>IFERROR(__xludf.DUMMYFUNCTION("""COMPUTED_VALUE""")," Double-Door Mini Fridge   - ")</f>
        <v> Double-Door Mini Fridge   - </v>
      </c>
      <c r="J375" s="65">
        <f>IFERROR(__xludf.DUMMYFUNCTION("""COMPUTED_VALUE"""),145.0)</f>
        <v>145</v>
      </c>
      <c r="K375" s="103">
        <f>IFERROR(__xludf.DUMMYFUNCTION("""COMPUTED_VALUE"""),45881.0)</f>
        <v>45881</v>
      </c>
      <c r="L375" s="65" t="str">
        <f>IFERROR(__xludf.DUMMYFUNCTION("""COMPUTED_VALUE"""),"House 22 (Beta Theta Pi)")</f>
        <v>House 22 (Beta Theta Pi)</v>
      </c>
      <c r="M375" s="68" t="str">
        <f>IFERROR(__xludf.DUMMYFUNCTION("""COMPUTED_VALUE"""),"2041 a")</f>
        <v>2041 a</v>
      </c>
      <c r="N375" s="65"/>
      <c r="O375" s="65" t="b">
        <f>COUNTIF('Delivered Rentals'!A:A, B375) &gt; 0</f>
        <v>1</v>
      </c>
      <c r="P375" s="104"/>
    </row>
    <row r="376">
      <c r="A376" s="99" t="str">
        <f>IFERROR(__xludf.DUMMYFUNCTION("""COMPUTED_VALUE"""),"https://utrucking.com/admin/orders/5931926061244")</f>
        <v>https://utrucking.com/admin/orders/5931926061244</v>
      </c>
      <c r="B376" s="61" t="str">
        <f>IFERROR(__xludf.DUMMYFUNCTION("""COMPUTED_VALUE"""),"#16130")</f>
        <v>#16130</v>
      </c>
      <c r="C376" s="61" t="str">
        <f>IFERROR(__xludf.DUMMYFUNCTION("""COMPUTED_VALUE"""),"Blew8006@gmail.com")</f>
        <v>Blew8006@gmail.com</v>
      </c>
      <c r="D376" s="61">
        <f>IFERROR(__xludf.DUMMYFUNCTION("""COMPUTED_VALUE"""),4.049855276E9)</f>
        <v>4049855276</v>
      </c>
      <c r="E376" s="61" t="str">
        <f>IFERROR(__xludf.DUMMYFUNCTION("""COMPUTED_VALUE"""),"Brayden Lewis")</f>
        <v>Brayden Lewis</v>
      </c>
      <c r="F376" s="61" t="str">
        <f>IFERROR(__xludf.DUMMYFUNCTION("""COMPUTED_VALUE"""),"Brayden Lewis")</f>
        <v>Brayden Lewis</v>
      </c>
      <c r="G376" s="61"/>
      <c r="H376" s="61" t="str">
        <f>IFERROR(__xludf.DUMMYFUNCTION("""COMPUTED_VALUE"""),"Appliance Rental")</f>
        <v>Appliance Rental</v>
      </c>
      <c r="I376" s="61" t="str">
        <f>IFERROR(__xludf.DUMMYFUNCTION("""COMPUTED_VALUE""")," Double-Door Mini Fridge + Microwave   - ")</f>
        <v> Double-Door Mini Fridge + Microwave   - </v>
      </c>
      <c r="J376" s="61">
        <f>IFERROR(__xludf.DUMMYFUNCTION("""COMPUTED_VALUE"""),210.0)</f>
        <v>210</v>
      </c>
      <c r="K376" s="100">
        <f>IFERROR(__xludf.DUMMYFUNCTION("""COMPUTED_VALUE"""),45883.0)</f>
        <v>45883</v>
      </c>
      <c r="L376" s="61" t="str">
        <f>IFERROR(__xludf.DUMMYFUNCTION("""COMPUTED_VALUE"""),"Park  ")</f>
        <v>Park  </v>
      </c>
      <c r="M376" s="64" t="str">
        <f>IFERROR(__xludf.DUMMYFUNCTION("""COMPUTED_VALUE"""),"410")</f>
        <v>410</v>
      </c>
      <c r="N376" s="61"/>
      <c r="O376" s="61" t="b">
        <f>COUNTIF('Delivered Rentals'!A:A, B376) &gt; 0</f>
        <v>1</v>
      </c>
      <c r="P376" s="101"/>
    </row>
    <row r="377">
      <c r="A377" s="102" t="str">
        <f>IFERROR(__xludf.DUMMYFUNCTION("""COMPUTED_VALUE"""),"https://utrucking.com/admin/orders/5932198625468")</f>
        <v>https://utrucking.com/admin/orders/5932198625468</v>
      </c>
      <c r="B377" s="65" t="str">
        <f>IFERROR(__xludf.DUMMYFUNCTION("""COMPUTED_VALUE"""),"#16135")</f>
        <v>#16135</v>
      </c>
      <c r="C377" s="65" t="str">
        <f>IFERROR(__xludf.DUMMYFUNCTION("""COMPUTED_VALUE"""),"dvloreno@gmail.com")</f>
        <v>dvloreno@gmail.com</v>
      </c>
      <c r="D377" s="65"/>
      <c r="E377" s="65" t="str">
        <f>IFERROR(__xludf.DUMMYFUNCTION("""COMPUTED_VALUE"""),"Desiree Loreno")</f>
        <v>Desiree Loreno</v>
      </c>
      <c r="F377" s="65" t="str">
        <f>IFERROR(__xludf.DUMMYFUNCTION("""COMPUTED_VALUE"""),"Grace Grieme")</f>
        <v>Grace Grieme</v>
      </c>
      <c r="G377" s="65"/>
      <c r="H377" s="65" t="str">
        <f>IFERROR(__xludf.DUMMYFUNCTION("""COMPUTED_VALUE"""),"Appliance Rental")</f>
        <v>Appliance Rental</v>
      </c>
      <c r="I377" s="65" t="str">
        <f>IFERROR(__xludf.DUMMYFUNCTION("""COMPUTED_VALUE""")," Double-Door Mini Fridge + Microwave   - ")</f>
        <v> Double-Door Mini Fridge + Microwave   - </v>
      </c>
      <c r="J377" s="65">
        <f>IFERROR(__xludf.DUMMYFUNCTION("""COMPUTED_VALUE"""),210.0)</f>
        <v>210</v>
      </c>
      <c r="K377" s="103">
        <f>IFERROR(__xludf.DUMMYFUNCTION("""COMPUTED_VALUE"""),45883.0)</f>
        <v>45883</v>
      </c>
      <c r="L377" s="65" t="str">
        <f>IFERROR(__xludf.DUMMYFUNCTION("""COMPUTED_VALUE"""),"Shanedling  ")</f>
        <v>Shanedling  </v>
      </c>
      <c r="M377" s="68" t="str">
        <f>IFERROR(__xludf.DUMMYFUNCTION("""COMPUTED_VALUE"""),"312")</f>
        <v>312</v>
      </c>
      <c r="N377" s="65"/>
      <c r="O377" s="65" t="b">
        <f>COUNTIF('Delivered Rentals'!A:A, B377) &gt; 0</f>
        <v>1</v>
      </c>
      <c r="P377" s="104"/>
    </row>
    <row r="378">
      <c r="A378" s="99" t="str">
        <f>IFERROR(__xludf.DUMMYFUNCTION("""COMPUTED_VALUE"""),"https://utrucking.com/admin/orders/5932772950204")</f>
        <v>https://utrucking.com/admin/orders/5932772950204</v>
      </c>
      <c r="B378" s="61" t="str">
        <f>IFERROR(__xludf.DUMMYFUNCTION("""COMPUTED_VALUE"""),"#16144")</f>
        <v>#16144</v>
      </c>
      <c r="C378" s="61" t="str">
        <f>IFERROR(__xludf.DUMMYFUNCTION("""COMPUTED_VALUE"""),"celineci1479@gmail.com")</f>
        <v>celineci1479@gmail.com</v>
      </c>
      <c r="D378" s="61">
        <f>IFERROR(__xludf.DUMMYFUNCTION("""COMPUTED_VALUE"""),1.087289599E9)</f>
        <v>1087289599</v>
      </c>
      <c r="E378" s="61" t="str">
        <f>IFERROR(__xludf.DUMMYFUNCTION("""COMPUTED_VALUE"""),"Hongjoong Lee")</f>
        <v>Hongjoong Lee</v>
      </c>
      <c r="F378" s="61" t="str">
        <f>IFERROR(__xludf.DUMMYFUNCTION("""COMPUTED_VALUE"""),"Seoyeong Lee")</f>
        <v>Seoyeong Lee</v>
      </c>
      <c r="G378" s="61"/>
      <c r="H378" s="61" t="str">
        <f>IFERROR(__xludf.DUMMYFUNCTION("""COMPUTED_VALUE"""),"Appliance Rental")</f>
        <v>Appliance Rental</v>
      </c>
      <c r="I378" s="61" t="str">
        <f>IFERROR(__xludf.DUMMYFUNCTION("""COMPUTED_VALUE""")," Standard Mini Fridge   - ")</f>
        <v> Standard Mini Fridge   - </v>
      </c>
      <c r="J378" s="61">
        <f>IFERROR(__xludf.DUMMYFUNCTION("""COMPUTED_VALUE"""),115.0)</f>
        <v>115</v>
      </c>
      <c r="K378" s="100">
        <f>IFERROR(__xludf.DUMMYFUNCTION("""COMPUTED_VALUE"""),45882.0)</f>
        <v>45882</v>
      </c>
      <c r="L378" s="61" t="str">
        <f>IFERROR(__xludf.DUMMYFUNCTION("""COMPUTED_VALUE"""),"Lee  ")</f>
        <v>Lee  </v>
      </c>
      <c r="M378" s="64" t="str">
        <f>IFERROR(__xludf.DUMMYFUNCTION("""COMPUTED_VALUE"""),"Lee - 311 - a")</f>
        <v>Lee - 311 - a</v>
      </c>
      <c r="N378" s="61"/>
      <c r="O378" s="61" t="b">
        <f>COUNTIF('Delivered Rentals'!A:A, B378) &gt; 0</f>
        <v>1</v>
      </c>
      <c r="P378" s="101"/>
    </row>
    <row r="379">
      <c r="A379" s="102" t="str">
        <f>IFERROR(__xludf.DUMMYFUNCTION("""COMPUTED_VALUE"""),"https://utrucking.com/admin/orders/5932828229820")</f>
        <v>https://utrucking.com/admin/orders/5932828229820</v>
      </c>
      <c r="B379" s="65" t="str">
        <f>IFERROR(__xludf.DUMMYFUNCTION("""COMPUTED_VALUE"""),"#16145")</f>
        <v>#16145</v>
      </c>
      <c r="C379" s="65"/>
      <c r="D379" s="65">
        <f>IFERROR(__xludf.DUMMYFUNCTION("""COMPUTED_VALUE"""),5.126995645E9)</f>
        <v>5126995645</v>
      </c>
      <c r="E379" s="65" t="str">
        <f>IFERROR(__xludf.DUMMYFUNCTION("""COMPUTED_VALUE"""),"Shannon Knisely")</f>
        <v>Shannon Knisely</v>
      </c>
      <c r="F379" s="65"/>
      <c r="G379" s="65"/>
      <c r="H379" s="65" t="str">
        <f>IFERROR(__xludf.DUMMYFUNCTION("""COMPUTED_VALUE"""),"Appliance Rental")</f>
        <v>Appliance Rental</v>
      </c>
      <c r="I379" s="65" t="str">
        <f>IFERROR(__xludf.DUMMYFUNCTION("""COMPUTED_VALUE""")," Double-Door Mini Fridge + Microwave   - ")</f>
        <v> Double-Door Mini Fridge + Microwave   - </v>
      </c>
      <c r="J379" s="65">
        <f>IFERROR(__xludf.DUMMYFUNCTION("""COMPUTED_VALUE"""),210.0)</f>
        <v>210</v>
      </c>
      <c r="K379" s="103">
        <f>IFERROR(__xludf.DUMMYFUNCTION("""COMPUTED_VALUE"""),45883.0)</f>
        <v>45883</v>
      </c>
      <c r="L379" s="65" t="str">
        <f>IFERROR(__xludf.DUMMYFUNCTION("""COMPUTED_VALUE"""),"Rutledge  ")</f>
        <v>Rutledge  </v>
      </c>
      <c r="M379" s="68" t="str">
        <f>IFERROR(__xludf.DUMMYFUNCTION("""COMPUTED_VALUE"""),"314-b")</f>
        <v>314-b</v>
      </c>
      <c r="N379" s="65"/>
      <c r="O379" s="65" t="b">
        <f>COUNTIF('Delivered Rentals'!A:A, B379) &gt; 0</f>
        <v>1</v>
      </c>
      <c r="P379" s="104"/>
    </row>
    <row r="380">
      <c r="A380" s="99" t="str">
        <f>IFERROR(__xludf.DUMMYFUNCTION("""COMPUTED_VALUE"""),"https://utrucking.com/admin/orders/5932882493628")</f>
        <v>https://utrucking.com/admin/orders/5932882493628</v>
      </c>
      <c r="B380" s="61" t="str">
        <f>IFERROR(__xludf.DUMMYFUNCTION("""COMPUTED_VALUE"""),"#16148")</f>
        <v>#16148</v>
      </c>
      <c r="C380" s="61" t="str">
        <f>IFERROR(__xludf.DUMMYFUNCTION("""COMPUTED_VALUE"""),"skasirerteitelbaum@gmail.com")</f>
        <v>skasirerteitelbaum@gmail.com</v>
      </c>
      <c r="D380" s="61">
        <f>IFERROR(__xludf.DUMMYFUNCTION("""COMPUTED_VALUE"""),6.466569592E9)</f>
        <v>6466569592</v>
      </c>
      <c r="E380" s="61" t="str">
        <f>IFERROR(__xludf.DUMMYFUNCTION("""COMPUTED_VALUE"""),"Sarah Kasirer")</f>
        <v>Sarah Kasirer</v>
      </c>
      <c r="F380" s="61" t="str">
        <f>IFERROR(__xludf.DUMMYFUNCTION("""COMPUTED_VALUE"""),"Sophia Kasirer Teitelbaum")</f>
        <v>Sophia Kasirer Teitelbaum</v>
      </c>
      <c r="G380" s="61"/>
      <c r="H380" s="61" t="str">
        <f>IFERROR(__xludf.DUMMYFUNCTION("""COMPUTED_VALUE"""),"Appliance Rental")</f>
        <v>Appliance Rental</v>
      </c>
      <c r="I380" s="61" t="str">
        <f>IFERROR(__xludf.DUMMYFUNCTION("""COMPUTED_VALUE""")," Double-Door Mini Fridge   - ")</f>
        <v> Double-Door Mini Fridge   - </v>
      </c>
      <c r="J380" s="61">
        <f>IFERROR(__xludf.DUMMYFUNCTION("""COMPUTED_VALUE"""),145.0)</f>
        <v>145</v>
      </c>
      <c r="K380" s="100">
        <f>IFERROR(__xludf.DUMMYFUNCTION("""COMPUTED_VALUE"""),45883.0)</f>
        <v>45883</v>
      </c>
      <c r="L380" s="61" t="str">
        <f>IFERROR(__xludf.DUMMYFUNCTION("""COMPUTED_VALUE"""),"Lee  ")</f>
        <v>Lee  </v>
      </c>
      <c r="M380" s="64" t="str">
        <f>IFERROR(__xludf.DUMMYFUNCTION("""COMPUTED_VALUE"""),"Lee-212-a")</f>
        <v>Lee-212-a</v>
      </c>
      <c r="N380" s="61"/>
      <c r="O380" s="61" t="b">
        <f>COUNTIF('Delivered Rentals'!A:A, B380) &gt; 0</f>
        <v>1</v>
      </c>
      <c r="P380" s="101"/>
    </row>
    <row r="381">
      <c r="A381" s="102" t="str">
        <f>IFERROR(__xludf.DUMMYFUNCTION("""COMPUTED_VALUE"""),"https://utrucking.com/admin/orders/5933127631036")</f>
        <v>https://utrucking.com/admin/orders/5933127631036</v>
      </c>
      <c r="B381" s="65" t="str">
        <f>IFERROR(__xludf.DUMMYFUNCTION("""COMPUTED_VALUE"""),"#16150")</f>
        <v>#16150</v>
      </c>
      <c r="C381" s="65" t="str">
        <f>IFERROR(__xludf.DUMMYFUNCTION("""COMPUTED_VALUE"""),"anderson.p@wustl.edu")</f>
        <v>anderson.p@wustl.edu</v>
      </c>
      <c r="D381" s="65">
        <f>IFERROR(__xludf.DUMMYFUNCTION("""COMPUTED_VALUE"""),7.312675589E9)</f>
        <v>7312675589</v>
      </c>
      <c r="E381" s="65" t="str">
        <f>IFERROR(__xludf.DUMMYFUNCTION("""COMPUTED_VALUE"""),"Anderson Preston")</f>
        <v>Anderson Preston</v>
      </c>
      <c r="F381" s="65" t="str">
        <f>IFERROR(__xludf.DUMMYFUNCTION("""COMPUTED_VALUE"""),"Anderson Preston")</f>
        <v>Anderson Preston</v>
      </c>
      <c r="G381" s="65"/>
      <c r="H381" s="65" t="str">
        <f>IFERROR(__xludf.DUMMYFUNCTION("""COMPUTED_VALUE"""),"Appliance Rental")</f>
        <v>Appliance Rental</v>
      </c>
      <c r="I381" s="65" t="str">
        <f>IFERROR(__xludf.DUMMYFUNCTION("""COMPUTED_VALUE""")," Double-Door Mini Fridge   - ")</f>
        <v> Double-Door Mini Fridge   - </v>
      </c>
      <c r="J381" s="65">
        <f>IFERROR(__xludf.DUMMYFUNCTION("""COMPUTED_VALUE"""),145.0)</f>
        <v>145</v>
      </c>
      <c r="K381" s="103">
        <f>IFERROR(__xludf.DUMMYFUNCTION("""COMPUTED_VALUE"""),45883.0)</f>
        <v>45883</v>
      </c>
      <c r="L381" s="65" t="str">
        <f>IFERROR(__xludf.DUMMYFUNCTION("""COMPUTED_VALUE"""),"Zetcher  ")</f>
        <v>Zetcher  </v>
      </c>
      <c r="M381" s="68" t="str">
        <f>IFERROR(__xludf.DUMMYFUNCTION("""COMPUTED_VALUE"""),"2161 - a")</f>
        <v>2161 - a</v>
      </c>
      <c r="N381" s="65"/>
      <c r="O381" s="65" t="b">
        <f>COUNTIF('Delivered Rentals'!A:A, B381) &gt; 0</f>
        <v>1</v>
      </c>
      <c r="P381" s="104"/>
    </row>
    <row r="382">
      <c r="A382" s="99" t="str">
        <f>IFERROR(__xludf.DUMMYFUNCTION("""COMPUTED_VALUE"""),"https://utrucking.com/admin/orders/5933181108412")</f>
        <v>https://utrucking.com/admin/orders/5933181108412</v>
      </c>
      <c r="B382" s="61" t="str">
        <f>IFERROR(__xludf.DUMMYFUNCTION("""COMPUTED_VALUE"""),"#16152")</f>
        <v>#16152</v>
      </c>
      <c r="C382" s="61" t="str">
        <f>IFERROR(__xludf.DUMMYFUNCTION("""COMPUTED_VALUE"""),"anyaa@wustl.edu")</f>
        <v>anyaa@wustl.edu</v>
      </c>
      <c r="D382" s="61">
        <f>IFERROR(__xludf.DUMMYFUNCTION("""COMPUTED_VALUE"""),6.129160194E9)</f>
        <v>6129160194</v>
      </c>
      <c r="E382" s="61" t="str">
        <f>IFERROR(__xludf.DUMMYFUNCTION("""COMPUTED_VALUE"""),"Ritu Bhatt")</f>
        <v>Ritu Bhatt</v>
      </c>
      <c r="F382" s="61" t="str">
        <f>IFERROR(__xludf.DUMMYFUNCTION("""COMPUTED_VALUE"""),"Anya Agrawal")</f>
        <v>Anya Agrawal</v>
      </c>
      <c r="G382" s="61"/>
      <c r="H382" s="61" t="str">
        <f>IFERROR(__xludf.DUMMYFUNCTION("""COMPUTED_VALUE"""),"Appliance Rental")</f>
        <v>Appliance Rental</v>
      </c>
      <c r="I382" s="61" t="str">
        <f>IFERROR(__xludf.DUMMYFUNCTION("""COMPUTED_VALUE""")," Double-Door Mini Fridge + Microwave   - ")</f>
        <v> Double-Door Mini Fridge + Microwave   - </v>
      </c>
      <c r="J382" s="61">
        <f>IFERROR(__xludf.DUMMYFUNCTION("""COMPUTED_VALUE"""),210.0)</f>
        <v>210</v>
      </c>
      <c r="K382" s="100">
        <f>IFERROR(__xludf.DUMMYFUNCTION("""COMPUTED_VALUE"""),45883.0)</f>
        <v>45883</v>
      </c>
      <c r="L382" s="61" t="str">
        <f>IFERROR(__xludf.DUMMYFUNCTION("""COMPUTED_VALUE"""),"Umrath  ")</f>
        <v>Umrath  </v>
      </c>
      <c r="M382" s="64" t="str">
        <f>IFERROR(__xludf.DUMMYFUNCTION("""COMPUTED_VALUE"""),"2222")</f>
        <v>2222</v>
      </c>
      <c r="N382" s="61"/>
      <c r="O382" s="61" t="b">
        <f>COUNTIF('Delivered Rentals'!A:A, B382) &gt; 0</f>
        <v>1</v>
      </c>
      <c r="P382" s="101"/>
    </row>
    <row r="383">
      <c r="A383" s="102" t="str">
        <f>IFERROR(__xludf.DUMMYFUNCTION("""COMPUTED_VALUE"""),"https://utrucking.com/admin/orders/5933205815484")</f>
        <v>https://utrucking.com/admin/orders/5933205815484</v>
      </c>
      <c r="B383" s="65" t="str">
        <f>IFERROR(__xludf.DUMMYFUNCTION("""COMPUTED_VALUE"""),"#16153")</f>
        <v>#16153</v>
      </c>
      <c r="C383" s="65"/>
      <c r="D383" s="65">
        <f>IFERROR(__xludf.DUMMYFUNCTION("""COMPUTED_VALUE"""),6.304533015E9)</f>
        <v>6304533015</v>
      </c>
      <c r="E383" s="65" t="str">
        <f>IFERROR(__xludf.DUMMYFUNCTION("""COMPUTED_VALUE"""),"Emma Dram")</f>
        <v>Emma Dram</v>
      </c>
      <c r="F383" s="65" t="str">
        <f>IFERROR(__xludf.DUMMYFUNCTION("""COMPUTED_VALUE"""),"Emma Dram")</f>
        <v>Emma Dram</v>
      </c>
      <c r="G383" s="65"/>
      <c r="H383" s="65" t="str">
        <f>IFERROR(__xludf.DUMMYFUNCTION("""COMPUTED_VALUE"""),"Appliance Rental")</f>
        <v>Appliance Rental</v>
      </c>
      <c r="I383" s="65" t="str">
        <f>IFERROR(__xludf.DUMMYFUNCTION("""COMPUTED_VALUE""")," Double-Door Mini Fridge   - ")</f>
        <v> Double-Door Mini Fridge   - </v>
      </c>
      <c r="J383" s="65">
        <f>IFERROR(__xludf.DUMMYFUNCTION("""COMPUTED_VALUE"""),145.0)</f>
        <v>145</v>
      </c>
      <c r="K383" s="103">
        <f>IFERROR(__xludf.DUMMYFUNCTION("""COMPUTED_VALUE"""),45883.0)</f>
        <v>45883</v>
      </c>
      <c r="L383" s="65" t="str">
        <f>IFERROR(__xludf.DUMMYFUNCTION("""COMPUTED_VALUE"""),"Dardick  ")</f>
        <v>Dardick  </v>
      </c>
      <c r="M383" s="68" t="str">
        <f>IFERROR(__xludf.DUMMYFUNCTION("""COMPUTED_VALUE"""),"3306 - b")</f>
        <v>3306 - b</v>
      </c>
      <c r="N383" s="65"/>
      <c r="O383" s="65" t="b">
        <f>COUNTIF('Delivered Rentals'!A:A, B383) &gt; 0</f>
        <v>1</v>
      </c>
      <c r="P383" s="104"/>
    </row>
    <row r="384">
      <c r="A384" s="99" t="str">
        <f>IFERROR(__xludf.DUMMYFUNCTION("""COMPUTED_VALUE"""),"https://utrucking.com/admin/orders/5933319225532")</f>
        <v>https://utrucking.com/admin/orders/5933319225532</v>
      </c>
      <c r="B384" s="61" t="str">
        <f>IFERROR(__xludf.DUMMYFUNCTION("""COMPUTED_VALUE"""),"#16155")</f>
        <v>#16155</v>
      </c>
      <c r="C384" s="61" t="str">
        <f>IFERROR(__xludf.DUMMYFUNCTION("""COMPUTED_VALUE"""),"cecilia.hsiao.anderson@gmail.com")</f>
        <v>cecilia.hsiao.anderson@gmail.com</v>
      </c>
      <c r="D384" s="61">
        <f>IFERROR(__xludf.DUMMYFUNCTION("""COMPUTED_VALUE"""),6.502197754E9)</f>
        <v>6502197754</v>
      </c>
      <c r="E384" s="61" t="str">
        <f>IFERROR(__xludf.DUMMYFUNCTION("""COMPUTED_VALUE"""),"Tina Hsiao")</f>
        <v>Tina Hsiao</v>
      </c>
      <c r="F384" s="61"/>
      <c r="G384" s="61"/>
      <c r="H384" s="61" t="str">
        <f>IFERROR(__xludf.DUMMYFUNCTION("""COMPUTED_VALUE"""),"Appliance Rental")</f>
        <v>Appliance Rental</v>
      </c>
      <c r="I384" s="61" t="str">
        <f>IFERROR(__xludf.DUMMYFUNCTION("""COMPUTED_VALUE""")," Double-Door Mini Fridge   - ")</f>
        <v> Double-Door Mini Fridge   - </v>
      </c>
      <c r="J384" s="61">
        <f>IFERROR(__xludf.DUMMYFUNCTION("""COMPUTED_VALUE"""),145.0)</f>
        <v>145</v>
      </c>
      <c r="K384" s="100">
        <f>IFERROR(__xludf.DUMMYFUNCTION("""COMPUTED_VALUE"""),45883.0)</f>
        <v>45883</v>
      </c>
      <c r="L384" s="61" t="str">
        <f>IFERROR(__xludf.DUMMYFUNCTION("""COMPUTED_VALUE"""),"Rutledge  ")</f>
        <v>Rutledge  </v>
      </c>
      <c r="M384" s="64" t="str">
        <f>IFERROR(__xludf.DUMMYFUNCTION("""COMPUTED_VALUE"""),"124")</f>
        <v>124</v>
      </c>
      <c r="N384" s="61"/>
      <c r="O384" s="61" t="b">
        <f>COUNTIF('Delivered Rentals'!A:A, B384) &gt; 0</f>
        <v>1</v>
      </c>
      <c r="P384" s="101"/>
    </row>
    <row r="385">
      <c r="A385" s="102" t="str">
        <f>IFERROR(__xludf.DUMMYFUNCTION("""COMPUTED_VALUE"""),"https://utrucking.com/admin/orders/5933390725308")</f>
        <v>https://utrucking.com/admin/orders/5933390725308</v>
      </c>
      <c r="B385" s="65" t="str">
        <f>IFERROR(__xludf.DUMMYFUNCTION("""COMPUTED_VALUE"""),"#16157")</f>
        <v>#16157</v>
      </c>
      <c r="C385" s="65" t="str">
        <f>IFERROR(__xludf.DUMMYFUNCTION("""COMPUTED_VALUE"""),"matthewsunglee@gmail.com")</f>
        <v>matthewsunglee@gmail.com</v>
      </c>
      <c r="D385" s="65">
        <f>IFERROR(__xludf.DUMMYFUNCTION("""COMPUTED_VALUE"""),5.125966532E9)</f>
        <v>5125966532</v>
      </c>
      <c r="E385" s="65" t="str">
        <f>IFERROR(__xludf.DUMMYFUNCTION("""COMPUTED_VALUE"""),"Matthew Lee")</f>
        <v>Matthew Lee</v>
      </c>
      <c r="F385" s="65" t="str">
        <f>IFERROR(__xludf.DUMMYFUNCTION("""COMPUTED_VALUE"""),"Matthew Lee")</f>
        <v>Matthew Lee</v>
      </c>
      <c r="G385" s="65"/>
      <c r="H385" s="65" t="str">
        <f>IFERROR(__xludf.DUMMYFUNCTION("""COMPUTED_VALUE"""),"Appliance Rental")</f>
        <v>Appliance Rental</v>
      </c>
      <c r="I385" s="65" t="str">
        <f>IFERROR(__xludf.DUMMYFUNCTION("""COMPUTED_VALUE""")," Double-Door Mini Fridge + Microwave   - ")</f>
        <v> Double-Door Mini Fridge + Microwave   - </v>
      </c>
      <c r="J385" s="65">
        <f>IFERROR(__xludf.DUMMYFUNCTION("""COMPUTED_VALUE"""),210.0)</f>
        <v>210</v>
      </c>
      <c r="K385" s="103">
        <f>IFERROR(__xludf.DUMMYFUNCTION("""COMPUTED_VALUE"""),45883.0)</f>
        <v>45883</v>
      </c>
      <c r="L385" s="65" t="str">
        <f>IFERROR(__xludf.DUMMYFUNCTION("""COMPUTED_VALUE"""),"Koenig  ")</f>
        <v>Koenig  </v>
      </c>
      <c r="M385" s="68" t="str">
        <f>IFERROR(__xludf.DUMMYFUNCTION("""COMPUTED_VALUE"""),"1103")</f>
        <v>1103</v>
      </c>
      <c r="N385" s="65"/>
      <c r="O385" s="65" t="b">
        <f>COUNTIF('Delivered Rentals'!A:A, B385) &gt; 0</f>
        <v>1</v>
      </c>
      <c r="P385" s="104"/>
    </row>
    <row r="386">
      <c r="A386" s="99" t="str">
        <f>IFERROR(__xludf.DUMMYFUNCTION("""COMPUTED_VALUE"""),"https://utrucking.com/admin/orders/5933465174204")</f>
        <v>https://utrucking.com/admin/orders/5933465174204</v>
      </c>
      <c r="B386" s="61" t="str">
        <f>IFERROR(__xludf.DUMMYFUNCTION("""COMPUTED_VALUE"""),"#16158")</f>
        <v>#16158</v>
      </c>
      <c r="C386" s="61" t="str">
        <f>IFERROR(__xludf.DUMMYFUNCTION("""COMPUTED_VALUE"""),"alexbrla728@gmail.com")</f>
        <v>alexbrla728@gmail.com</v>
      </c>
      <c r="D386" s="61" t="str">
        <f>IFERROR(__xludf.DUMMYFUNCTION("""COMPUTED_VALUE"""),"1 615-561-8686")</f>
        <v>1 615-561-8686</v>
      </c>
      <c r="E386" s="61" t="str">
        <f>IFERROR(__xludf.DUMMYFUNCTION("""COMPUTED_VALUE"""),"Alexander Lara")</f>
        <v>Alexander Lara</v>
      </c>
      <c r="F386" s="61" t="str">
        <f>IFERROR(__xludf.DUMMYFUNCTION("""COMPUTED_VALUE"""),"Alexander Lara")</f>
        <v>Alexander Lara</v>
      </c>
      <c r="G386" s="61"/>
      <c r="H386" s="61" t="str">
        <f>IFERROR(__xludf.DUMMYFUNCTION("""COMPUTED_VALUE"""),"Appliance Rental")</f>
        <v>Appliance Rental</v>
      </c>
      <c r="I386" s="61" t="str">
        <f>IFERROR(__xludf.DUMMYFUNCTION("""COMPUTED_VALUE""")," Double-Door Mini Fridge + Microwave   - ")</f>
        <v> Double-Door Mini Fridge + Microwave   - </v>
      </c>
      <c r="J386" s="61">
        <f>IFERROR(__xludf.DUMMYFUNCTION("""COMPUTED_VALUE"""),210.0)</f>
        <v>210</v>
      </c>
      <c r="K386" s="100">
        <f>IFERROR(__xludf.DUMMYFUNCTION("""COMPUTED_VALUE"""),45883.0)</f>
        <v>45883</v>
      </c>
      <c r="L386" s="61" t="str">
        <f>IFERROR(__xludf.DUMMYFUNCTION("""COMPUTED_VALUE"""),"Park  ")</f>
        <v>Park  </v>
      </c>
      <c r="M386" s="64" t="str">
        <f>IFERROR(__xludf.DUMMYFUNCTION("""COMPUTED_VALUE"""),"412")</f>
        <v>412</v>
      </c>
      <c r="N386" s="61"/>
      <c r="O386" s="61" t="b">
        <f>COUNTIF('Delivered Rentals'!A:A, B386) &gt; 0</f>
        <v>1</v>
      </c>
      <c r="P386" s="101"/>
    </row>
    <row r="387">
      <c r="A387" s="102" t="str">
        <f>IFERROR(__xludf.DUMMYFUNCTION("""COMPUTED_VALUE"""),"https://utrucking.com/admin/orders/5933467107516")</f>
        <v>https://utrucking.com/admin/orders/5933467107516</v>
      </c>
      <c r="B387" s="65" t="str">
        <f>IFERROR(__xludf.DUMMYFUNCTION("""COMPUTED_VALUE"""),"#16159")</f>
        <v>#16159</v>
      </c>
      <c r="C387" s="65" t="str">
        <f>IFERROR(__xludf.DUMMYFUNCTION("""COMPUTED_VALUE"""),"juliahnnn@gmail.com")</f>
        <v>juliahnnn@gmail.com</v>
      </c>
      <c r="D387" s="65">
        <f>IFERROR(__xludf.DUMMYFUNCTION("""COMPUTED_VALUE"""),4.809390749E9)</f>
        <v>4809390749</v>
      </c>
      <c r="E387" s="65" t="str">
        <f>IFERROR(__xludf.DUMMYFUNCTION("""COMPUTED_VALUE"""),"John Hannon")</f>
        <v>John Hannon</v>
      </c>
      <c r="F387" s="65" t="str">
        <f>IFERROR(__xludf.DUMMYFUNCTION("""COMPUTED_VALUE"""),"Julia Hannon")</f>
        <v>Julia Hannon</v>
      </c>
      <c r="G387" s="65"/>
      <c r="H387" s="65" t="str">
        <f>IFERROR(__xludf.DUMMYFUNCTION("""COMPUTED_VALUE"""),"Appliance Rental")</f>
        <v>Appliance Rental</v>
      </c>
      <c r="I387" s="65" t="str">
        <f>IFERROR(__xludf.DUMMYFUNCTION("""COMPUTED_VALUE""")," Double-Door Mini Fridge + Microwave   - ")</f>
        <v> Double-Door Mini Fridge + Microwave   - </v>
      </c>
      <c r="J387" s="65">
        <f>IFERROR(__xludf.DUMMYFUNCTION("""COMPUTED_VALUE"""),210.0)</f>
        <v>210</v>
      </c>
      <c r="K387" s="103">
        <f>IFERROR(__xludf.DUMMYFUNCTION("""COMPUTED_VALUE"""),45883.0)</f>
        <v>45883</v>
      </c>
      <c r="L387" s="65" t="str">
        <f>IFERROR(__xludf.DUMMYFUNCTION("""COMPUTED_VALUE"""),"Shanedling  ")</f>
        <v>Shanedling  </v>
      </c>
      <c r="M387" s="68" t="str">
        <f>IFERROR(__xludf.DUMMYFUNCTION("""COMPUTED_VALUE"""),"410")</f>
        <v>410</v>
      </c>
      <c r="N387" s="65"/>
      <c r="O387" s="65" t="b">
        <f>COUNTIF('Delivered Rentals'!A:A, B387) &gt; 0</f>
        <v>1</v>
      </c>
      <c r="P387" s="104"/>
    </row>
    <row r="388">
      <c r="A388" s="99" t="str">
        <f>IFERROR(__xludf.DUMMYFUNCTION("""COMPUTED_VALUE"""),"https://utrucking.com/admin/orders/5933475922108")</f>
        <v>https://utrucking.com/admin/orders/5933475922108</v>
      </c>
      <c r="B388" s="61" t="str">
        <f>IFERROR(__xludf.DUMMYFUNCTION("""COMPUTED_VALUE"""),"#16160")</f>
        <v>#16160</v>
      </c>
      <c r="C388" s="61" t="str">
        <f>IFERROR(__xludf.DUMMYFUNCTION("""COMPUTED_VALUE"""),"s.g.youngblut@wustl.edu")</f>
        <v>s.g.youngblut@wustl.edu</v>
      </c>
      <c r="D388" s="61">
        <f>IFERROR(__xludf.DUMMYFUNCTION("""COMPUTED_VALUE"""),2.063346136E9)</f>
        <v>2063346136</v>
      </c>
      <c r="E388" s="61" t="str">
        <f>IFERROR(__xludf.DUMMYFUNCTION("""COMPUTED_VALUE"""),"Eric Youngblut")</f>
        <v>Eric Youngblut</v>
      </c>
      <c r="F388" s="61" t="str">
        <f>IFERROR(__xludf.DUMMYFUNCTION("""COMPUTED_VALUE"""),"Sofia Youngblut")</f>
        <v>Sofia Youngblut</v>
      </c>
      <c r="G388" s="61"/>
      <c r="H388" s="61" t="str">
        <f>IFERROR(__xludf.DUMMYFUNCTION("""COMPUTED_VALUE"""),"Appliance Rental")</f>
        <v>Appliance Rental</v>
      </c>
      <c r="I388" s="61" t="str">
        <f>IFERROR(__xludf.DUMMYFUNCTION("""COMPUTED_VALUE""")," Double-Door Mini Fridge   - ")</f>
        <v> Double-Door Mini Fridge   - </v>
      </c>
      <c r="J388" s="61">
        <f>IFERROR(__xludf.DUMMYFUNCTION("""COMPUTED_VALUE"""),145.0)</f>
        <v>145</v>
      </c>
      <c r="K388" s="100">
        <f>IFERROR(__xludf.DUMMYFUNCTION("""COMPUTED_VALUE"""),45883.0)</f>
        <v>45883</v>
      </c>
      <c r="L388" s="61" t="str">
        <f>IFERROR(__xludf.DUMMYFUNCTION("""COMPUTED_VALUE"""),"Shepley  ")</f>
        <v>Shepley  </v>
      </c>
      <c r="M388" s="64" t="str">
        <f>IFERROR(__xludf.DUMMYFUNCTION("""COMPUTED_VALUE"""),"4003")</f>
        <v>4003</v>
      </c>
      <c r="N388" s="61"/>
      <c r="O388" s="61" t="b">
        <f>COUNTIF('Delivered Rentals'!A:A, B388) &gt; 0</f>
        <v>1</v>
      </c>
      <c r="P388" s="101"/>
    </row>
    <row r="389">
      <c r="A389" s="102" t="str">
        <f>IFERROR(__xludf.DUMMYFUNCTION("""COMPUTED_VALUE"""),"https://utrucking.com/admin/orders/5933547487420")</f>
        <v>https://utrucking.com/admin/orders/5933547487420</v>
      </c>
      <c r="B389" s="65" t="str">
        <f>IFERROR(__xludf.DUMMYFUNCTION("""COMPUTED_VALUE"""),"#16163")</f>
        <v>#16163</v>
      </c>
      <c r="C389" s="65" t="str">
        <f>IFERROR(__xludf.DUMMYFUNCTION("""COMPUTED_VALUE"""),"jkbaerwald@gmail.com")</f>
        <v>jkbaerwald@gmail.com</v>
      </c>
      <c r="D389" s="65">
        <f>IFERROR(__xludf.DUMMYFUNCTION("""COMPUTED_VALUE"""),2.068503099E9)</f>
        <v>2068503099</v>
      </c>
      <c r="E389" s="65" t="str">
        <f>IFERROR(__xludf.DUMMYFUNCTION("""COMPUTED_VALUE"""),"Jeannette Baerwald")</f>
        <v>Jeannette Baerwald</v>
      </c>
      <c r="F389" s="65" t="str">
        <f>IFERROR(__xludf.DUMMYFUNCTION("""COMPUTED_VALUE"""),"Dan Baerwald")</f>
        <v>Dan Baerwald</v>
      </c>
      <c r="G389" s="65"/>
      <c r="H389" s="65" t="str">
        <f>IFERROR(__xludf.DUMMYFUNCTION("""COMPUTED_VALUE"""),"Appliance Rental")</f>
        <v>Appliance Rental</v>
      </c>
      <c r="I389" s="65" t="str">
        <f>IFERROR(__xludf.DUMMYFUNCTION("""COMPUTED_VALUE""")," Standard Mini Fridge   - ")</f>
        <v> Standard Mini Fridge   - </v>
      </c>
      <c r="J389" s="65">
        <f>IFERROR(__xludf.DUMMYFUNCTION("""COMPUTED_VALUE"""),115.0)</f>
        <v>115</v>
      </c>
      <c r="K389" s="103">
        <f>IFERROR(__xludf.DUMMYFUNCTION("""COMPUTED_VALUE"""),45883.0)</f>
        <v>45883</v>
      </c>
      <c r="L389" s="65" t="str">
        <f>IFERROR(__xludf.DUMMYFUNCTION("""COMPUTED_VALUE"""),"Park  ")</f>
        <v>Park  </v>
      </c>
      <c r="M389" s="68" t="str">
        <f>IFERROR(__xludf.DUMMYFUNCTION("""COMPUTED_VALUE"""),"140")</f>
        <v>140</v>
      </c>
      <c r="N389" s="65"/>
      <c r="O389" s="65" t="b">
        <f>COUNTIF('Delivered Rentals'!A:A, B389) &gt; 0</f>
        <v>1</v>
      </c>
      <c r="P389" s="104"/>
    </row>
    <row r="390">
      <c r="A390" s="99" t="str">
        <f>IFERROR(__xludf.DUMMYFUNCTION("""COMPUTED_VALUE"""),"https://utrucking.com/admin/orders/5933699039420")</f>
        <v>https://utrucking.com/admin/orders/5933699039420</v>
      </c>
      <c r="B390" s="61" t="str">
        <f>IFERROR(__xludf.DUMMYFUNCTION("""COMPUTED_VALUE"""),"#16165")</f>
        <v>#16165</v>
      </c>
      <c r="C390" s="61"/>
      <c r="D390" s="61">
        <f>IFERROR(__xludf.DUMMYFUNCTION("""COMPUTED_VALUE"""),8.327072357E9)</f>
        <v>8327072357</v>
      </c>
      <c r="E390" s="61" t="str">
        <f>IFERROR(__xludf.DUMMYFUNCTION("""COMPUTED_VALUE"""),"Ryan Eom")</f>
        <v>Ryan Eom</v>
      </c>
      <c r="F390" s="61" t="str">
        <f>IFERROR(__xludf.DUMMYFUNCTION("""COMPUTED_VALUE"""),"Ryan Eom")</f>
        <v>Ryan Eom</v>
      </c>
      <c r="G390" s="61"/>
      <c r="H390" s="61" t="str">
        <f>IFERROR(__xludf.DUMMYFUNCTION("""COMPUTED_VALUE"""),"Appliance Rental")</f>
        <v>Appliance Rental</v>
      </c>
      <c r="I390" s="61" t="str">
        <f>IFERROR(__xludf.DUMMYFUNCTION("""COMPUTED_VALUE""")," Standard Mini Fridge   - ")</f>
        <v> Standard Mini Fridge   - </v>
      </c>
      <c r="J390" s="61">
        <f>IFERROR(__xludf.DUMMYFUNCTION("""COMPUTED_VALUE"""),115.0)</f>
        <v>115</v>
      </c>
      <c r="K390" s="100">
        <f>IFERROR(__xludf.DUMMYFUNCTION("""COMPUTED_VALUE"""),45883.0)</f>
        <v>45883</v>
      </c>
      <c r="L390" s="61" t="str">
        <f>IFERROR(__xludf.DUMMYFUNCTION("""COMPUTED_VALUE"""),"Danforth  ")</f>
        <v>Danforth  </v>
      </c>
      <c r="M390" s="64" t="str">
        <f>IFERROR(__xludf.DUMMYFUNCTION("""COMPUTED_VALUE"""),"4430")</f>
        <v>4430</v>
      </c>
      <c r="N390" s="61"/>
      <c r="O390" s="61" t="b">
        <f>COUNTIF('Delivered Rentals'!A:A, B390) &gt; 0</f>
        <v>1</v>
      </c>
      <c r="P390" s="101"/>
    </row>
    <row r="391">
      <c r="A391" s="102" t="str">
        <f>IFERROR(__xludf.DUMMYFUNCTION("""COMPUTED_VALUE"""),"https://utrucking.com/admin/orders/5933868679356")</f>
        <v>https://utrucking.com/admin/orders/5933868679356</v>
      </c>
      <c r="B391" s="65" t="str">
        <f>IFERROR(__xludf.DUMMYFUNCTION("""COMPUTED_VALUE"""),"#16166")</f>
        <v>#16166</v>
      </c>
      <c r="C391" s="65" t="str">
        <f>IFERROR(__xludf.DUMMYFUNCTION("""COMPUTED_VALUE"""),"c.vidushi@wustl.edu")</f>
        <v>c.vidushi@wustl.edu</v>
      </c>
      <c r="D391" s="65">
        <f>IFERROR(__xludf.DUMMYFUNCTION("""COMPUTED_VALUE"""),9.19618888462E11)</f>
        <v>919618888462</v>
      </c>
      <c r="E391" s="65" t="str">
        <f>IFERROR(__xludf.DUMMYFUNCTION("""COMPUTED_VALUE"""),"Souri Challa")</f>
        <v>Souri Challa</v>
      </c>
      <c r="F391" s="65" t="str">
        <f>IFERROR(__xludf.DUMMYFUNCTION("""COMPUTED_VALUE"""),"Vidushi Challa")</f>
        <v>Vidushi Challa</v>
      </c>
      <c r="G391" s="65"/>
      <c r="H391" s="65" t="str">
        <f>IFERROR(__xludf.DUMMYFUNCTION("""COMPUTED_VALUE"""),"Appliance Rental")</f>
        <v>Appliance Rental</v>
      </c>
      <c r="I391" s="65" t="str">
        <f>IFERROR(__xludf.DUMMYFUNCTION("""COMPUTED_VALUE""")," Double-Door Mini Fridge + Microwave   - ")</f>
        <v> Double-Door Mini Fridge + Microwave   - </v>
      </c>
      <c r="J391" s="65">
        <f>IFERROR(__xludf.DUMMYFUNCTION("""COMPUTED_VALUE"""),210.0)</f>
        <v>210</v>
      </c>
      <c r="K391" s="103" t="str">
        <f>IFERROR(__xludf.DUMMYFUNCTION("""COMPUTED_VALUE"""),"12th")</f>
        <v>12th</v>
      </c>
      <c r="L391" s="65" t="str">
        <f>IFERROR(__xludf.DUMMYFUNCTION("""COMPUTED_VALUE"""),"Eliot A (Thomas Eliot)")</f>
        <v>Eliot A (Thomas Eliot)</v>
      </c>
      <c r="M391" s="68" t="str">
        <f>IFERROR(__xludf.DUMMYFUNCTION("""COMPUTED_VALUE"""),"2000")</f>
        <v>2000</v>
      </c>
      <c r="N391" s="65"/>
      <c r="O391" s="65" t="b">
        <f>COUNTIF('Delivered Rentals'!A:A, B391) &gt; 0</f>
        <v>1</v>
      </c>
      <c r="P391" s="104"/>
    </row>
    <row r="392">
      <c r="A392" s="99" t="str">
        <f>IFERROR(__xludf.DUMMYFUNCTION("""COMPUTED_VALUE"""),"https://utrucking.com/admin/orders/5933871005884")</f>
        <v>https://utrucking.com/admin/orders/5933871005884</v>
      </c>
      <c r="B392" s="61" t="str">
        <f>IFERROR(__xludf.DUMMYFUNCTION("""COMPUTED_VALUE"""),"#16167")</f>
        <v>#16167</v>
      </c>
      <c r="C392" s="61"/>
      <c r="D392" s="61">
        <f>IFERROR(__xludf.DUMMYFUNCTION("""COMPUTED_VALUE"""),2.039897377E9)</f>
        <v>2039897377</v>
      </c>
      <c r="E392" s="61" t="str">
        <f>IFERROR(__xludf.DUMMYFUNCTION("""COMPUTED_VALUE"""),"John Jannotta")</f>
        <v>John Jannotta</v>
      </c>
      <c r="F392" s="61"/>
      <c r="G392" s="61"/>
      <c r="H392" s="61" t="str">
        <f>IFERROR(__xludf.DUMMYFUNCTION("""COMPUTED_VALUE"""),"Appliance Rental")</f>
        <v>Appliance Rental</v>
      </c>
      <c r="I392" s="61" t="str">
        <f>IFERROR(__xludf.DUMMYFUNCTION("""COMPUTED_VALUE""")," Microwave Only   - ")</f>
        <v> Microwave Only   - </v>
      </c>
      <c r="J392" s="61">
        <f>IFERROR(__xludf.DUMMYFUNCTION("""COMPUTED_VALUE"""),65.0)</f>
        <v>65</v>
      </c>
      <c r="K392" s="100">
        <f>IFERROR(__xludf.DUMMYFUNCTION("""COMPUTED_VALUE"""),45883.0)</f>
        <v>45883</v>
      </c>
      <c r="L392" s="61" t="str">
        <f>IFERROR(__xludf.DUMMYFUNCTION("""COMPUTED_VALUE"""),"Dauten  ")</f>
        <v>Dauten  </v>
      </c>
      <c r="M392" s="64" t="str">
        <f>IFERROR(__xludf.DUMMYFUNCTION("""COMPUTED_VALUE"""),"412")</f>
        <v>412</v>
      </c>
      <c r="N392" s="61"/>
      <c r="O392" s="61" t="b">
        <f>COUNTIF('Delivered Rentals'!A:A, B392) &gt; 0</f>
        <v>1</v>
      </c>
      <c r="P392" s="101"/>
    </row>
    <row r="393">
      <c r="A393" s="102" t="str">
        <f>IFERROR(__xludf.DUMMYFUNCTION("""COMPUTED_VALUE"""),"https://utrucking.com/admin/orders/5933913145532")</f>
        <v>https://utrucking.com/admin/orders/5933913145532</v>
      </c>
      <c r="B393" s="65" t="str">
        <f>IFERROR(__xludf.DUMMYFUNCTION("""COMPUTED_VALUE"""),"#16170")</f>
        <v>#16170</v>
      </c>
      <c r="C393" s="65" t="str">
        <f>IFERROR(__xludf.DUMMYFUNCTION("""COMPUTED_VALUE"""),"a.r.victor@wustl.edu")</f>
        <v>a.r.victor@wustl.edu</v>
      </c>
      <c r="D393" s="65">
        <f>IFERROR(__xludf.DUMMYFUNCTION("""COMPUTED_VALUE"""),2.486729306E9)</f>
        <v>2486729306</v>
      </c>
      <c r="E393" s="65" t="str">
        <f>IFERROR(__xludf.DUMMYFUNCTION("""COMPUTED_VALUE"""),"Adin Victor")</f>
        <v>Adin Victor</v>
      </c>
      <c r="F393" s="65" t="str">
        <f>IFERROR(__xludf.DUMMYFUNCTION("""COMPUTED_VALUE"""),"Adin Victor")</f>
        <v>Adin Victor</v>
      </c>
      <c r="G393" s="65"/>
      <c r="H393" s="65" t="str">
        <f>IFERROR(__xludf.DUMMYFUNCTION("""COMPUTED_VALUE"""),"Appliance Rental")</f>
        <v>Appliance Rental</v>
      </c>
      <c r="I393" s="65" t="str">
        <f>IFERROR(__xludf.DUMMYFUNCTION("""COMPUTED_VALUE""")," Double-Door Mini Fridge   - ")</f>
        <v> Double-Door Mini Fridge   - </v>
      </c>
      <c r="J393" s="65">
        <f>IFERROR(__xludf.DUMMYFUNCTION("""COMPUTED_VALUE"""),145.0)</f>
        <v>145</v>
      </c>
      <c r="K393" s="103">
        <f>IFERROR(__xludf.DUMMYFUNCTION("""COMPUTED_VALUE"""),45883.0)</f>
        <v>45883</v>
      </c>
      <c r="L393" s="65" t="str">
        <f>IFERROR(__xludf.DUMMYFUNCTION("""COMPUTED_VALUE"""),"Nemerov  ")</f>
        <v>Nemerov  </v>
      </c>
      <c r="M393" s="68" t="str">
        <f>IFERROR(__xludf.DUMMYFUNCTION("""COMPUTED_VALUE"""),"2080")</f>
        <v>2080</v>
      </c>
      <c r="N393" s="65"/>
      <c r="O393" s="65" t="b">
        <f>COUNTIF('Delivered Rentals'!A:A, B393) &gt; 0</f>
        <v>1</v>
      </c>
      <c r="P393" s="104"/>
    </row>
    <row r="394">
      <c r="A394" s="99" t="str">
        <f>IFERROR(__xludf.DUMMYFUNCTION("""COMPUTED_VALUE"""),"https://admin.shopify.com/store/utrucking/orders/5934055063740")</f>
        <v>https://admin.shopify.com/store/utrucking/orders/5934055063740</v>
      </c>
      <c r="B394" s="61" t="str">
        <f>IFERROR(__xludf.DUMMYFUNCTION("""COMPUTED_VALUE"""),"#16174")</f>
        <v>#16174</v>
      </c>
      <c r="C394" s="61" t="str">
        <f>IFERROR(__xludf.DUMMYFUNCTION("""COMPUTED_VALUE"""),"a.m.herrera@wustl.edu")</f>
        <v>a.m.herrera@wustl.edu</v>
      </c>
      <c r="D394" s="61"/>
      <c r="E394" s="61" t="str">
        <f>IFERROR(__xludf.DUMMYFUNCTION("""COMPUTED_VALUE"""),"Annaliese Herrera")</f>
        <v>Annaliese Herrera</v>
      </c>
      <c r="F394" s="61"/>
      <c r="G394" s="61"/>
      <c r="H394" s="61" t="str">
        <f>IFERROR(__xludf.DUMMYFUNCTION("""COMPUTED_VALUE"""),"Appliance Rental")</f>
        <v>Appliance Rental</v>
      </c>
      <c r="I394" s="61" t="str">
        <f>IFERROR(__xludf.DUMMYFUNCTION("""COMPUTED_VALUE"""),"Double-Door Mini Fridge - 
")</f>
        <v>Double-Door Mini Fridge - 
</v>
      </c>
      <c r="J394" s="61"/>
      <c r="K394" s="100">
        <f>IFERROR(__xludf.DUMMYFUNCTION("""COMPUTED_VALUE"""),45891.0)</f>
        <v>45891</v>
      </c>
      <c r="L394" s="61" t="str">
        <f>IFERROR(__xludf.DUMMYFUNCTION("""COMPUTED_VALUE"""),"Zetcher")</f>
        <v>Zetcher</v>
      </c>
      <c r="M394" s="64" t="str">
        <f>IFERROR(__xludf.DUMMYFUNCTION("""COMPUTED_VALUE"""),"3073")</f>
        <v>3073</v>
      </c>
      <c r="N394" s="61"/>
      <c r="O394" s="61" t="b">
        <f>COUNTIF('Delivered Rentals'!A:A, B394) &gt; 0</f>
        <v>1</v>
      </c>
      <c r="P394" s="101"/>
    </row>
    <row r="395">
      <c r="A395" s="102" t="str">
        <f>IFERROR(__xludf.DUMMYFUNCTION("""COMPUTED_VALUE"""),"https://utrucking.com/admin/orders/5934197375164")</f>
        <v>https://utrucking.com/admin/orders/5934197375164</v>
      </c>
      <c r="B395" s="65" t="str">
        <f>IFERROR(__xludf.DUMMYFUNCTION("""COMPUTED_VALUE"""),"#16176")</f>
        <v>#16176</v>
      </c>
      <c r="C395" s="65" t="str">
        <f>IFERROR(__xludf.DUMMYFUNCTION("""COMPUTED_VALUE"""),"page.s@wustl.edu")</f>
        <v>page.s@wustl.edu</v>
      </c>
      <c r="D395" s="65">
        <f>IFERROR(__xludf.DUMMYFUNCTION("""COMPUTED_VALUE"""),4.153074911E9)</f>
        <v>4153074911</v>
      </c>
      <c r="E395" s="65" t="str">
        <f>IFERROR(__xludf.DUMMYFUNCTION("""COMPUTED_VALUE"""),"Scarlett Page")</f>
        <v>Scarlett Page</v>
      </c>
      <c r="F395" s="65" t="str">
        <f>IFERROR(__xludf.DUMMYFUNCTION("""COMPUTED_VALUE"""),"Scarlett Page")</f>
        <v>Scarlett Page</v>
      </c>
      <c r="G395" s="65"/>
      <c r="H395" s="65" t="str">
        <f>IFERROR(__xludf.DUMMYFUNCTION("""COMPUTED_VALUE"""),"Appliance Rental")</f>
        <v>Appliance Rental</v>
      </c>
      <c r="I395" s="65" t="str">
        <f>IFERROR(__xludf.DUMMYFUNCTION("""COMPUTED_VALUE""")," Standard Mini Fridge + Microwave   - ")</f>
        <v> Standard Mini Fridge + Microwave   - </v>
      </c>
      <c r="J395" s="65">
        <f>IFERROR(__xludf.DUMMYFUNCTION("""COMPUTED_VALUE"""),180.0)</f>
        <v>180</v>
      </c>
      <c r="K395" s="103">
        <f>IFERROR(__xludf.DUMMYFUNCTION("""COMPUTED_VALUE"""),45882.0)</f>
        <v>45882</v>
      </c>
      <c r="L395" s="65" t="str">
        <f>IFERROR(__xludf.DUMMYFUNCTION("""COMPUTED_VALUE"""),"Lee  ")</f>
        <v>Lee  </v>
      </c>
      <c r="M395" s="68" t="str">
        <f>IFERROR(__xludf.DUMMYFUNCTION("""COMPUTED_VALUE"""),"209")</f>
        <v>209</v>
      </c>
      <c r="N395" s="65"/>
      <c r="O395" s="65" t="b">
        <f>COUNTIF('Delivered Rentals'!A:A, B395) &gt; 0</f>
        <v>1</v>
      </c>
      <c r="P395" s="104"/>
    </row>
    <row r="396">
      <c r="A396" s="99" t="str">
        <f>IFERROR(__xludf.DUMMYFUNCTION("""COMPUTED_VALUE"""),"https://utrucking.com/admin/orders/5934204846268")</f>
        <v>https://utrucking.com/admin/orders/5934204846268</v>
      </c>
      <c r="B396" s="61" t="str">
        <f>IFERROR(__xludf.DUMMYFUNCTION("""COMPUTED_VALUE"""),"#16178")</f>
        <v>#16178</v>
      </c>
      <c r="C396" s="61"/>
      <c r="D396" s="61">
        <f>IFERROR(__xludf.DUMMYFUNCTION("""COMPUTED_VALUE"""),8.08389152E9)</f>
        <v>8083891520</v>
      </c>
      <c r="E396" s="61" t="str">
        <f>IFERROR(__xludf.DUMMYFUNCTION("""COMPUTED_VALUE"""),"Nikki Ma")</f>
        <v>Nikki Ma</v>
      </c>
      <c r="F396" s="61" t="str">
        <f>IFERROR(__xludf.DUMMYFUNCTION("""COMPUTED_VALUE"""),"Nikki Ma")</f>
        <v>Nikki Ma</v>
      </c>
      <c r="G396" s="61"/>
      <c r="H396" s="61" t="str">
        <f>IFERROR(__xludf.DUMMYFUNCTION("""COMPUTED_VALUE"""),"Appliance Rental")</f>
        <v>Appliance Rental</v>
      </c>
      <c r="I396" s="61" t="str">
        <f>IFERROR(__xludf.DUMMYFUNCTION("""COMPUTED_VALUE""")," Double-Door Mini Fridge   - ")</f>
        <v> Double-Door Mini Fridge   - </v>
      </c>
      <c r="J396" s="61">
        <f>IFERROR(__xludf.DUMMYFUNCTION("""COMPUTED_VALUE"""),145.0)</f>
        <v>145</v>
      </c>
      <c r="K396" s="100">
        <f>IFERROR(__xludf.DUMMYFUNCTION("""COMPUTED_VALUE"""),45883.0)</f>
        <v>45883</v>
      </c>
      <c r="L396" s="61" t="str">
        <f>IFERROR(__xludf.DUMMYFUNCTION("""COMPUTED_VALUE"""),"Park  ")</f>
        <v>Park  </v>
      </c>
      <c r="M396" s="64" t="str">
        <f>IFERROR(__xludf.DUMMYFUNCTION("""COMPUTED_VALUE"""),"472")</f>
        <v>472</v>
      </c>
      <c r="N396" s="61"/>
      <c r="O396" s="61" t="b">
        <f>COUNTIF('Delivered Rentals'!A:A, B396) &gt; 0</f>
        <v>1</v>
      </c>
      <c r="P396" s="101"/>
    </row>
    <row r="397">
      <c r="A397" s="102" t="str">
        <f>IFERROR(__xludf.DUMMYFUNCTION("""COMPUTED_VALUE"""),"https://utrucking.com/admin/orders/5934212251836")</f>
        <v>https://utrucking.com/admin/orders/5934212251836</v>
      </c>
      <c r="B397" s="65" t="str">
        <f>IFERROR(__xludf.DUMMYFUNCTION("""COMPUTED_VALUE"""),"#16180")</f>
        <v>#16180</v>
      </c>
      <c r="C397" s="65" t="str">
        <f>IFERROR(__xludf.DUMMYFUNCTION("""COMPUTED_VALUE"""),"fosterrice.sylvia@gmail.com")</f>
        <v>fosterrice.sylvia@gmail.com</v>
      </c>
      <c r="D397" s="65">
        <f>IFERROR(__xludf.DUMMYFUNCTION("""COMPUTED_VALUE"""),3.128341503E9)</f>
        <v>3128341503</v>
      </c>
      <c r="E397" s="65" t="str">
        <f>IFERROR(__xludf.DUMMYFUNCTION("""COMPUTED_VALUE"""),"Sylvia Foster-Rice")</f>
        <v>Sylvia Foster-Rice</v>
      </c>
      <c r="F397" s="65" t="str">
        <f>IFERROR(__xludf.DUMMYFUNCTION("""COMPUTED_VALUE"""),"Sylvia Foster-Rice")</f>
        <v>Sylvia Foster-Rice</v>
      </c>
      <c r="G397" s="65"/>
      <c r="H397" s="65" t="str">
        <f>IFERROR(__xludf.DUMMYFUNCTION("""COMPUTED_VALUE"""),"Appliance Rental")</f>
        <v>Appliance Rental</v>
      </c>
      <c r="I397" s="65" t="str">
        <f>IFERROR(__xludf.DUMMYFUNCTION("""COMPUTED_VALUE""")," Microwave Only   - ")</f>
        <v> Microwave Only   - </v>
      </c>
      <c r="J397" s="65">
        <f>IFERROR(__xludf.DUMMYFUNCTION("""COMPUTED_VALUE"""),65.0)</f>
        <v>65</v>
      </c>
      <c r="K397" s="103">
        <f>IFERROR(__xludf.DUMMYFUNCTION("""COMPUTED_VALUE"""),45883.0)</f>
        <v>45883</v>
      </c>
      <c r="L397" s="65" t="str">
        <f>IFERROR(__xludf.DUMMYFUNCTION("""COMPUTED_VALUE"""),"Mudd  ")</f>
        <v>Mudd  </v>
      </c>
      <c r="M397" s="68" t="str">
        <f>IFERROR(__xludf.DUMMYFUNCTION("""COMPUTED_VALUE"""),"223")</f>
        <v>223</v>
      </c>
      <c r="N397" s="65"/>
      <c r="O397" s="65" t="b">
        <f>COUNTIF('Delivered Rentals'!A:A, B397) &gt; 0</f>
        <v>1</v>
      </c>
      <c r="P397" s="104"/>
    </row>
    <row r="398">
      <c r="A398" s="99" t="str">
        <f>IFERROR(__xludf.DUMMYFUNCTION("""COMPUTED_VALUE"""),"https://utrucking.com/admin/orders/5934423867580")</f>
        <v>https://utrucking.com/admin/orders/5934423867580</v>
      </c>
      <c r="B398" s="61" t="str">
        <f>IFERROR(__xludf.DUMMYFUNCTION("""COMPUTED_VALUE"""),"#16183")</f>
        <v>#16183</v>
      </c>
      <c r="C398" s="61"/>
      <c r="D398" s="61">
        <f>IFERROR(__xludf.DUMMYFUNCTION("""COMPUTED_VALUE"""),4.344222654E9)</f>
        <v>4344222654</v>
      </c>
      <c r="E398" s="61" t="str">
        <f>IFERROR(__xludf.DUMMYFUNCTION("""COMPUTED_VALUE"""),"Keith Damiani")</f>
        <v>Keith Damiani</v>
      </c>
      <c r="F398" s="61" t="str">
        <f>IFERROR(__xludf.DUMMYFUNCTION("""COMPUTED_VALUE"""),"Gabriel Damiani ")</f>
        <v>Gabriel Damiani </v>
      </c>
      <c r="G398" s="61"/>
      <c r="H398" s="61" t="str">
        <f>IFERROR(__xludf.DUMMYFUNCTION("""COMPUTED_VALUE"""),"Appliance Rental")</f>
        <v>Appliance Rental</v>
      </c>
      <c r="I398" s="61" t="str">
        <f>IFERROR(__xludf.DUMMYFUNCTION("""COMPUTED_VALUE""")," Double-Door Mini Fridge   - ")</f>
        <v> Double-Door Mini Fridge   - </v>
      </c>
      <c r="J398" s="61">
        <f>IFERROR(__xludf.DUMMYFUNCTION("""COMPUTED_VALUE"""),145.0)</f>
        <v>145</v>
      </c>
      <c r="K398" s="100">
        <f>IFERROR(__xludf.DUMMYFUNCTION("""COMPUTED_VALUE"""),45883.0)</f>
        <v>45883</v>
      </c>
      <c r="L398" s="61" t="str">
        <f>IFERROR(__xludf.DUMMYFUNCTION("""COMPUTED_VALUE"""),"Myers  ")</f>
        <v>Myers  </v>
      </c>
      <c r="M398" s="64" t="str">
        <f>IFERROR(__xludf.DUMMYFUNCTION("""COMPUTED_VALUE"""),"421 b")</f>
        <v>421 b</v>
      </c>
      <c r="N398" s="61"/>
      <c r="O398" s="61" t="b">
        <f>COUNTIF('Delivered Rentals'!A:A, B398) &gt; 0</f>
        <v>1</v>
      </c>
      <c r="P398" s="101"/>
    </row>
    <row r="399">
      <c r="A399" s="102" t="str">
        <f>IFERROR(__xludf.DUMMYFUNCTION("""COMPUTED_VALUE"""),"https://utrucking.com/admin/orders/5934480752828")</f>
        <v>https://utrucking.com/admin/orders/5934480752828</v>
      </c>
      <c r="B399" s="65" t="str">
        <f>IFERROR(__xludf.DUMMYFUNCTION("""COMPUTED_VALUE"""),"#16185")</f>
        <v>#16185</v>
      </c>
      <c r="C399" s="65" t="str">
        <f>IFERROR(__xludf.DUMMYFUNCTION("""COMPUTED_VALUE"""),"lilybrecknock23@gmail.com")</f>
        <v>lilybrecknock23@gmail.com</v>
      </c>
      <c r="D399" s="65">
        <f>IFERROR(__xludf.DUMMYFUNCTION("""COMPUTED_VALUE"""),7.086393381E9)</f>
        <v>7086393381</v>
      </c>
      <c r="E399" s="65" t="str">
        <f>IFERROR(__xludf.DUMMYFUNCTION("""COMPUTED_VALUE"""),"Lily Brecknock")</f>
        <v>Lily Brecknock</v>
      </c>
      <c r="F399" s="65" t="str">
        <f>IFERROR(__xludf.DUMMYFUNCTION("""COMPUTED_VALUE"""),"Lily Brecknock")</f>
        <v>Lily Brecknock</v>
      </c>
      <c r="G399" s="65"/>
      <c r="H399" s="65" t="str">
        <f>IFERROR(__xludf.DUMMYFUNCTION("""COMPUTED_VALUE"""),"Appliance Rental")</f>
        <v>Appliance Rental</v>
      </c>
      <c r="I399" s="65" t="str">
        <f>IFERROR(__xludf.DUMMYFUNCTION("""COMPUTED_VALUE""")," Microwave Only   - ")</f>
        <v> Microwave Only   - </v>
      </c>
      <c r="J399" s="65">
        <f>IFERROR(__xludf.DUMMYFUNCTION("""COMPUTED_VALUE"""),65.0)</f>
        <v>65</v>
      </c>
      <c r="K399" s="103">
        <f>IFERROR(__xludf.DUMMYFUNCTION("""COMPUTED_VALUE"""),45883.0)</f>
        <v>45883</v>
      </c>
      <c r="L399" s="65" t="str">
        <f>IFERROR(__xludf.DUMMYFUNCTION("""COMPUTED_VALUE"""),"Umrath  ")</f>
        <v>Umrath  </v>
      </c>
      <c r="M399" s="68" t="str">
        <f>IFERROR(__xludf.DUMMYFUNCTION("""COMPUTED_VALUE"""),"3324")</f>
        <v>3324</v>
      </c>
      <c r="N399" s="65"/>
      <c r="O399" s="65" t="b">
        <f>COUNTIF('Delivered Rentals'!A:A, B399) &gt; 0</f>
        <v>1</v>
      </c>
      <c r="P399" s="104"/>
    </row>
    <row r="400">
      <c r="A400" s="99" t="str">
        <f>IFERROR(__xludf.DUMMYFUNCTION("""COMPUTED_VALUE"""),"https://utrucking.com/admin/orders/5934502903996")</f>
        <v>https://utrucking.com/admin/orders/5934502903996</v>
      </c>
      <c r="B400" s="61" t="str">
        <f>IFERROR(__xludf.DUMMYFUNCTION("""COMPUTED_VALUE"""),"#16187")</f>
        <v>#16187</v>
      </c>
      <c r="C400" s="61" t="str">
        <f>IFERROR(__xludf.DUMMYFUNCTION("""COMPUTED_VALUE"""),"o.a.yeaman@wustl.edu")</f>
        <v>o.a.yeaman@wustl.edu</v>
      </c>
      <c r="D400" s="61">
        <f>IFERROR(__xludf.DUMMYFUNCTION("""COMPUTED_VALUE"""),4.152507507E9)</f>
        <v>4152507507</v>
      </c>
      <c r="E400" s="61" t="str">
        <f>IFERROR(__xludf.DUMMYFUNCTION("""COMPUTED_VALUE"""),"Oliver Yeaman")</f>
        <v>Oliver Yeaman</v>
      </c>
      <c r="F400" s="61" t="str">
        <f>IFERROR(__xludf.DUMMYFUNCTION("""COMPUTED_VALUE"""),"Oliver Yeaman")</f>
        <v>Oliver Yeaman</v>
      </c>
      <c r="G400" s="61"/>
      <c r="H400" s="61" t="str">
        <f>IFERROR(__xludf.DUMMYFUNCTION("""COMPUTED_VALUE"""),"Appliance Rental")</f>
        <v>Appliance Rental</v>
      </c>
      <c r="I400" s="61" t="str">
        <f>IFERROR(__xludf.DUMMYFUNCTION("""COMPUTED_VALUE""")," Double-Door Mini Fridge + Microwave   - ")</f>
        <v> Double-Door Mini Fridge + Microwave   - </v>
      </c>
      <c r="J400" s="61">
        <f>IFERROR(__xludf.DUMMYFUNCTION("""COMPUTED_VALUE"""),210.0)</f>
        <v>210</v>
      </c>
      <c r="K400" s="100">
        <f>IFERROR(__xludf.DUMMYFUNCTION("""COMPUTED_VALUE"""),45883.0)</f>
        <v>45883</v>
      </c>
      <c r="L400" s="61" t="str">
        <f>IFERROR(__xludf.DUMMYFUNCTION("""COMPUTED_VALUE"""),"Liggett  ")</f>
        <v>Liggett  </v>
      </c>
      <c r="M400" s="64" t="str">
        <f>IFERROR(__xludf.DUMMYFUNCTION("""COMPUTED_VALUE"""),"3371a")</f>
        <v>3371a</v>
      </c>
      <c r="N400" s="61"/>
      <c r="O400" s="61" t="b">
        <f>COUNTIF('Delivered Rentals'!A:A, B400) &gt; 0</f>
        <v>1</v>
      </c>
      <c r="P400" s="101"/>
    </row>
    <row r="401">
      <c r="A401" s="102" t="str">
        <f>IFERROR(__xludf.DUMMYFUNCTION("""COMPUTED_VALUE"""),"https://utrucking.com/admin/orders/5934532264124")</f>
        <v>https://utrucking.com/admin/orders/5934532264124</v>
      </c>
      <c r="B401" s="65" t="str">
        <f>IFERROR(__xludf.DUMMYFUNCTION("""COMPUTED_VALUE"""),"#16188")</f>
        <v>#16188</v>
      </c>
      <c r="C401" s="65" t="str">
        <f>IFERROR(__xludf.DUMMYFUNCTION("""COMPUTED_VALUE"""),"h.c.mcallister@wustl.edu")</f>
        <v>h.c.mcallister@wustl.edu</v>
      </c>
      <c r="D401" s="65">
        <f>IFERROR(__xludf.DUMMYFUNCTION("""COMPUTED_VALUE"""),1.7814965967E10)</f>
        <v>17814965967</v>
      </c>
      <c r="E401" s="65" t="str">
        <f>IFERROR(__xludf.DUMMYFUNCTION("""COMPUTED_VALUE"""),"Hayden McAllister")</f>
        <v>Hayden McAllister</v>
      </c>
      <c r="F401" s="65" t="str">
        <f>IFERROR(__xludf.DUMMYFUNCTION("""COMPUTED_VALUE"""),"Hayden McAllister")</f>
        <v>Hayden McAllister</v>
      </c>
      <c r="G401" s="65"/>
      <c r="H401" s="65" t="str">
        <f>IFERROR(__xludf.DUMMYFUNCTION("""COMPUTED_VALUE"""),"Appliance Rental")</f>
        <v>Appliance Rental</v>
      </c>
      <c r="I401" s="65" t="str">
        <f>IFERROR(__xludf.DUMMYFUNCTION("""COMPUTED_VALUE""")," Double-Door Mini Fridge + Microwave   - ")</f>
        <v> Double-Door Mini Fridge + Microwave   - </v>
      </c>
      <c r="J401" s="65">
        <f>IFERROR(__xludf.DUMMYFUNCTION("""COMPUTED_VALUE"""),210.0)</f>
        <v>210</v>
      </c>
      <c r="K401" s="103">
        <f>IFERROR(__xludf.DUMMYFUNCTION("""COMPUTED_VALUE"""),45883.0)</f>
        <v>45883</v>
      </c>
      <c r="L401" s="65" t="str">
        <f>IFERROR(__xludf.DUMMYFUNCTION("""COMPUTED_VALUE"""),"Lopata  ")</f>
        <v>Lopata  </v>
      </c>
      <c r="M401" s="68" t="str">
        <f>IFERROR(__xludf.DUMMYFUNCTION("""COMPUTED_VALUE"""),"1153")</f>
        <v>1153</v>
      </c>
      <c r="N401" s="65"/>
      <c r="O401" s="65" t="b">
        <f>COUNTIF('Delivered Rentals'!A:A, B401) &gt; 0</f>
        <v>1</v>
      </c>
      <c r="P401" s="104"/>
    </row>
    <row r="402">
      <c r="A402" s="99" t="str">
        <f>IFERROR(__xludf.DUMMYFUNCTION("""COMPUTED_VALUE"""),"https://utrucking.com/admin/orders/5934540587196")</f>
        <v>https://utrucking.com/admin/orders/5934540587196</v>
      </c>
      <c r="B402" s="61" t="str">
        <f>IFERROR(__xludf.DUMMYFUNCTION("""COMPUTED_VALUE"""),"#16189")</f>
        <v>#16189</v>
      </c>
      <c r="C402" s="61"/>
      <c r="D402" s="61">
        <f>IFERROR(__xludf.DUMMYFUNCTION("""COMPUTED_VALUE"""),9.198059326E9)</f>
        <v>9198059326</v>
      </c>
      <c r="E402" s="61" t="str">
        <f>IFERROR(__xludf.DUMMYFUNCTION("""COMPUTED_VALUE"""),"Tayo Lovick")</f>
        <v>Tayo Lovick</v>
      </c>
      <c r="F402" s="61" t="str">
        <f>IFERROR(__xludf.DUMMYFUNCTION("""COMPUTED_VALUE"""),"Tayo Lovick")</f>
        <v>Tayo Lovick</v>
      </c>
      <c r="G402" s="61"/>
      <c r="H402" s="61" t="str">
        <f>IFERROR(__xludf.DUMMYFUNCTION("""COMPUTED_VALUE"""),"Appliance Rental")</f>
        <v>Appliance Rental</v>
      </c>
      <c r="I402" s="61" t="str">
        <f>IFERROR(__xludf.DUMMYFUNCTION("""COMPUTED_VALUE""")," Standard Mini Fridge   - ")</f>
        <v> Standard Mini Fridge   - </v>
      </c>
      <c r="J402" s="61">
        <f>IFERROR(__xludf.DUMMYFUNCTION("""COMPUTED_VALUE"""),115.0)</f>
        <v>115</v>
      </c>
      <c r="K402" s="100">
        <f>IFERROR(__xludf.DUMMYFUNCTION("""COMPUTED_VALUE"""),45883.0)</f>
        <v>45883</v>
      </c>
      <c r="L402" s="61" t="str">
        <f>IFERROR(__xludf.DUMMYFUNCTION("""COMPUTED_VALUE"""),"Danforth  ")</f>
        <v>Danforth  </v>
      </c>
      <c r="M402" s="64" t="str">
        <f>IFERROR(__xludf.DUMMYFUNCTION("""COMPUTED_VALUE"""),"3325")</f>
        <v>3325</v>
      </c>
      <c r="N402" s="61"/>
      <c r="O402" s="61" t="b">
        <f>COUNTIF('Delivered Rentals'!A:A, B402) &gt; 0</f>
        <v>1</v>
      </c>
      <c r="P402" s="101"/>
    </row>
    <row r="403">
      <c r="A403" s="102" t="str">
        <f>IFERROR(__xludf.DUMMYFUNCTION("""COMPUTED_VALUE"""),"https://utrucking.com/admin/orders/5934640791740")</f>
        <v>https://utrucking.com/admin/orders/5934640791740</v>
      </c>
      <c r="B403" s="65" t="str">
        <f>IFERROR(__xludf.DUMMYFUNCTION("""COMPUTED_VALUE"""),"#16191")</f>
        <v>#16191</v>
      </c>
      <c r="C403" s="65"/>
      <c r="D403" s="65">
        <f>IFERROR(__xludf.DUMMYFUNCTION("""COMPUTED_VALUE"""),3.147285258E9)</f>
        <v>3147285258</v>
      </c>
      <c r="E403" s="65" t="str">
        <f>IFERROR(__xludf.DUMMYFUNCTION("""COMPUTED_VALUE"""),"Justin Kim")</f>
        <v>Justin Kim</v>
      </c>
      <c r="F403" s="65" t="str">
        <f>IFERROR(__xludf.DUMMYFUNCTION("""COMPUTED_VALUE"""),"Justin Kim")</f>
        <v>Justin Kim</v>
      </c>
      <c r="G403" s="65"/>
      <c r="H403" s="65" t="str">
        <f>IFERROR(__xludf.DUMMYFUNCTION("""COMPUTED_VALUE"""),"Appliance Rental")</f>
        <v>Appliance Rental</v>
      </c>
      <c r="I403" s="65" t="str">
        <f>IFERROR(__xludf.DUMMYFUNCTION("""COMPUTED_VALUE""")," Double-Door Mini Fridge   - ")</f>
        <v> Double-Door Mini Fridge   - </v>
      </c>
      <c r="J403" s="65">
        <f>IFERROR(__xludf.DUMMYFUNCTION("""COMPUTED_VALUE"""),145.0)</f>
        <v>145</v>
      </c>
      <c r="K403" s="103">
        <f>IFERROR(__xludf.DUMMYFUNCTION("""COMPUTED_VALUE"""),45883.0)</f>
        <v>45883</v>
      </c>
      <c r="L403" s="65" t="str">
        <f>IFERROR(__xludf.DUMMYFUNCTION("""COMPUTED_VALUE"""),"Village House  ")</f>
        <v>Village House  </v>
      </c>
      <c r="M403" s="68" t="str">
        <f>IFERROR(__xludf.DUMMYFUNCTION("""COMPUTED_VALUE"""),"3124")</f>
        <v>3124</v>
      </c>
      <c r="N403" s="65"/>
      <c r="O403" s="65" t="b">
        <f>COUNTIF('Delivered Rentals'!A:A, B403) &gt; 0</f>
        <v>1</v>
      </c>
      <c r="P403" s="104"/>
    </row>
    <row r="404">
      <c r="A404" s="99" t="str">
        <f>IFERROR(__xludf.DUMMYFUNCTION("""COMPUTED_VALUE"""),"https://utrucking.com/admin/orders/5934669234364")</f>
        <v>https://utrucking.com/admin/orders/5934669234364</v>
      </c>
      <c r="B404" s="61" t="str">
        <f>IFERROR(__xludf.DUMMYFUNCTION("""COMPUTED_VALUE"""),"#16192")</f>
        <v>#16192</v>
      </c>
      <c r="C404" s="61"/>
      <c r="D404" s="61">
        <f>IFERROR(__xludf.DUMMYFUNCTION("""COMPUTED_VALUE"""),4.698616984E9)</f>
        <v>4698616984</v>
      </c>
      <c r="E404" s="61" t="str">
        <f>IFERROR(__xludf.DUMMYFUNCTION("""COMPUTED_VALUE"""),"Sojin Lee")</f>
        <v>Sojin Lee</v>
      </c>
      <c r="F404" s="61" t="str">
        <f>IFERROR(__xludf.DUMMYFUNCTION("""COMPUTED_VALUE"""),"Jacqueline Lee")</f>
        <v>Jacqueline Lee</v>
      </c>
      <c r="G404" s="61"/>
      <c r="H404" s="61" t="str">
        <f>IFERROR(__xludf.DUMMYFUNCTION("""COMPUTED_VALUE"""),"Appliance Rental")</f>
        <v>Appliance Rental</v>
      </c>
      <c r="I404" s="61" t="str">
        <f>IFERROR(__xludf.DUMMYFUNCTION("""COMPUTED_VALUE""")," Double-Door Mini Fridge + Microwave   - ")</f>
        <v> Double-Door Mini Fridge + Microwave   - </v>
      </c>
      <c r="J404" s="61">
        <f>IFERROR(__xludf.DUMMYFUNCTION("""COMPUTED_VALUE"""),210.0)</f>
        <v>210</v>
      </c>
      <c r="K404" s="100">
        <f>IFERROR(__xludf.DUMMYFUNCTION("""COMPUTED_VALUE"""),45883.0)</f>
        <v>45883</v>
      </c>
      <c r="L404" s="61" t="str">
        <f>IFERROR(__xludf.DUMMYFUNCTION("""COMPUTED_VALUE"""),"Danforth  ")</f>
        <v>Danforth  </v>
      </c>
      <c r="M404" s="64" t="str">
        <f>IFERROR(__xludf.DUMMYFUNCTION("""COMPUTED_VALUE"""),"3318-a")</f>
        <v>3318-a</v>
      </c>
      <c r="N404" s="61"/>
      <c r="O404" s="61" t="b">
        <f>COUNTIF('Delivered Rentals'!A:A, B404) &gt; 0</f>
        <v>1</v>
      </c>
      <c r="P404" s="101"/>
    </row>
    <row r="405">
      <c r="A405" s="102" t="str">
        <f>IFERROR(__xludf.DUMMYFUNCTION("""COMPUTED_VALUE"""),"https://utrucking.com/admin/orders/5934839955644")</f>
        <v>https://utrucking.com/admin/orders/5934839955644</v>
      </c>
      <c r="B405" s="65" t="str">
        <f>IFERROR(__xludf.DUMMYFUNCTION("""COMPUTED_VALUE"""),"#16194")</f>
        <v>#16194</v>
      </c>
      <c r="C405" s="65" t="str">
        <f>IFERROR(__xludf.DUMMYFUNCTION("""COMPUTED_VALUE"""),"heidiburak@gmail.com")</f>
        <v>heidiburak@gmail.com</v>
      </c>
      <c r="D405" s="65">
        <f>IFERROR(__xludf.DUMMYFUNCTION("""COMPUTED_VALUE"""),2.407516583E9)</f>
        <v>2407516583</v>
      </c>
      <c r="E405" s="65" t="str">
        <f>IFERROR(__xludf.DUMMYFUNCTION("""COMPUTED_VALUE"""),"Heidi Burakiewicz")</f>
        <v>Heidi Burakiewicz</v>
      </c>
      <c r="F405" s="65" t="str">
        <f>IFERROR(__xludf.DUMMYFUNCTION("""COMPUTED_VALUE"""),"Addison Burakiewicz")</f>
        <v>Addison Burakiewicz</v>
      </c>
      <c r="G405" s="65"/>
      <c r="H405" s="65" t="str">
        <f>IFERROR(__xludf.DUMMYFUNCTION("""COMPUTED_VALUE"""),"Appliance Rental")</f>
        <v>Appliance Rental</v>
      </c>
      <c r="I405" s="65" t="str">
        <f>IFERROR(__xludf.DUMMYFUNCTION("""COMPUTED_VALUE""")," Double-Door Mini Fridge + Microwave   - ")</f>
        <v> Double-Door Mini Fridge + Microwave   - </v>
      </c>
      <c r="J405" s="65">
        <f>IFERROR(__xludf.DUMMYFUNCTION("""COMPUTED_VALUE"""),210.0)</f>
        <v>210</v>
      </c>
      <c r="K405" s="103">
        <f>IFERROR(__xludf.DUMMYFUNCTION("""COMPUTED_VALUE"""),45880.0)</f>
        <v>45880</v>
      </c>
      <c r="L405" s="65" t="str">
        <f>IFERROR(__xludf.DUMMYFUNCTION("""COMPUTED_VALUE"""),"Beaumont  ")</f>
        <v>Beaumont  </v>
      </c>
      <c r="M405" s="68" t="str">
        <f>IFERROR(__xludf.DUMMYFUNCTION("""COMPUTED_VALUE"""),"303A")</f>
        <v>303A</v>
      </c>
      <c r="N405" s="65"/>
      <c r="O405" s="65" t="b">
        <f>COUNTIF('Delivered Rentals'!A:A, B405) &gt; 0</f>
        <v>1</v>
      </c>
      <c r="P405" s="104"/>
    </row>
    <row r="406">
      <c r="A406" s="99" t="str">
        <f>IFERROR(__xludf.DUMMYFUNCTION("""COMPUTED_VALUE"""),"https://utrucking.com/admin/orders/5934869610684")</f>
        <v>https://utrucking.com/admin/orders/5934869610684</v>
      </c>
      <c r="B406" s="61" t="str">
        <f>IFERROR(__xludf.DUMMYFUNCTION("""COMPUTED_VALUE"""),"#16195")</f>
        <v>#16195</v>
      </c>
      <c r="C406" s="61" t="str">
        <f>IFERROR(__xludf.DUMMYFUNCTION("""COMPUTED_VALUE"""),"blucelee1975@gmail.com")</f>
        <v>blucelee1975@gmail.com</v>
      </c>
      <c r="D406" s="61">
        <f>IFERROR(__xludf.DUMMYFUNCTION("""COMPUTED_VALUE"""),9.495733262E9)</f>
        <v>9495733262</v>
      </c>
      <c r="E406" s="61" t="str">
        <f>IFERROR(__xludf.DUMMYFUNCTION("""COMPUTED_VALUE"""),"YE LI")</f>
        <v>YE LI</v>
      </c>
      <c r="F406" s="61" t="str">
        <f>IFERROR(__xludf.DUMMYFUNCTION("""COMPUTED_VALUE"""),"Jerry Li")</f>
        <v>Jerry Li</v>
      </c>
      <c r="G406" s="61"/>
      <c r="H406" s="61" t="str">
        <f>IFERROR(__xludf.DUMMYFUNCTION("""COMPUTED_VALUE"""),"Appliance Rental")</f>
        <v>Appliance Rental</v>
      </c>
      <c r="I406" s="61" t="str">
        <f>IFERROR(__xludf.DUMMYFUNCTION("""COMPUTED_VALUE""")," Double-Door Mini Fridge   - ")</f>
        <v> Double-Door Mini Fridge   - </v>
      </c>
      <c r="J406" s="61">
        <f>IFERROR(__xludf.DUMMYFUNCTION("""COMPUTED_VALUE"""),145.0)</f>
        <v>145</v>
      </c>
      <c r="K406" s="100">
        <f>IFERROR(__xludf.DUMMYFUNCTION("""COMPUTED_VALUE"""),45883.0)</f>
        <v>45883</v>
      </c>
      <c r="L406" s="61" t="str">
        <f>IFERROR(__xludf.DUMMYFUNCTION("""COMPUTED_VALUE"""),"Lien  ")</f>
        <v>Lien  </v>
      </c>
      <c r="M406" s="64" t="str">
        <f>IFERROR(__xludf.DUMMYFUNCTION("""COMPUTED_VALUE"""),"3313-a")</f>
        <v>3313-a</v>
      </c>
      <c r="N406" s="61"/>
      <c r="O406" s="61" t="b">
        <f>COUNTIF('Delivered Rentals'!A:A, B406) &gt; 0</f>
        <v>1</v>
      </c>
      <c r="P406" s="101"/>
    </row>
    <row r="407">
      <c r="A407" s="102" t="str">
        <f>IFERROR(__xludf.DUMMYFUNCTION("""COMPUTED_VALUE"""),"https://utrucking.com/admin/orders/5935070380220")</f>
        <v>https://utrucking.com/admin/orders/5935070380220</v>
      </c>
      <c r="B407" s="65" t="str">
        <f>IFERROR(__xludf.DUMMYFUNCTION("""COMPUTED_VALUE"""),"#16197")</f>
        <v>#16197</v>
      </c>
      <c r="C407" s="65"/>
      <c r="D407" s="65">
        <f>IFERROR(__xludf.DUMMYFUNCTION("""COMPUTED_VALUE"""),2.032802503E9)</f>
        <v>2032802503</v>
      </c>
      <c r="E407" s="65" t="str">
        <f>IFERROR(__xludf.DUMMYFUNCTION("""COMPUTED_VALUE"""),"Caleb You")</f>
        <v>Caleb You</v>
      </c>
      <c r="F407" s="65" t="str">
        <f>IFERROR(__xludf.DUMMYFUNCTION("""COMPUTED_VALUE"""),"Caleb You")</f>
        <v>Caleb You</v>
      </c>
      <c r="G407" s="65"/>
      <c r="H407" s="65" t="str">
        <f>IFERROR(__xludf.DUMMYFUNCTION("""COMPUTED_VALUE"""),"Appliance Rental")</f>
        <v>Appliance Rental</v>
      </c>
      <c r="I407" s="65" t="str">
        <f>IFERROR(__xludf.DUMMYFUNCTION("""COMPUTED_VALUE""")," Double-Door Mini Fridge   - ")</f>
        <v> Double-Door Mini Fridge   - </v>
      </c>
      <c r="J407" s="65">
        <f>IFERROR(__xludf.DUMMYFUNCTION("""COMPUTED_VALUE"""),145.0)</f>
        <v>145</v>
      </c>
      <c r="K407" s="103">
        <f>IFERROR(__xludf.DUMMYFUNCTION("""COMPUTED_VALUE"""),45883.0)</f>
        <v>45883</v>
      </c>
      <c r="L407" s="65" t="str">
        <f>IFERROR(__xludf.DUMMYFUNCTION("""COMPUTED_VALUE"""),"Hurd  ")</f>
        <v>Hurd  </v>
      </c>
      <c r="M407" s="68" t="str">
        <f>IFERROR(__xludf.DUMMYFUNCTION("""COMPUTED_VALUE"""),"113A")</f>
        <v>113A</v>
      </c>
      <c r="N407" s="65"/>
      <c r="O407" s="65" t="b">
        <f>COUNTIF('Delivered Rentals'!A:A, B407) &gt; 0</f>
        <v>1</v>
      </c>
      <c r="P407" s="104"/>
    </row>
    <row r="408">
      <c r="A408" s="99" t="str">
        <f>IFERROR(__xludf.DUMMYFUNCTION("""COMPUTED_VALUE"""),"https://utrucking.com/admin/orders/5935096594620")</f>
        <v>https://utrucking.com/admin/orders/5935096594620</v>
      </c>
      <c r="B408" s="61" t="str">
        <f>IFERROR(__xludf.DUMMYFUNCTION("""COMPUTED_VALUE"""),"#16199")</f>
        <v>#16199</v>
      </c>
      <c r="C408" s="61" t="str">
        <f>IFERROR(__xludf.DUMMYFUNCTION("""COMPUTED_VALUE"""),"davidkraut@msn.com")</f>
        <v>davidkraut@msn.com</v>
      </c>
      <c r="D408" s="61">
        <f>IFERROR(__xludf.DUMMYFUNCTION("""COMPUTED_VALUE"""),2.014521094E9)</f>
        <v>2014521094</v>
      </c>
      <c r="E408" s="61" t="str">
        <f>IFERROR(__xludf.DUMMYFUNCTION("""COMPUTED_VALUE"""),"David Kraut")</f>
        <v>David Kraut</v>
      </c>
      <c r="F408" s="61" t="str">
        <f>IFERROR(__xludf.DUMMYFUNCTION("""COMPUTED_VALUE"""),"Matthew Kraut")</f>
        <v>Matthew Kraut</v>
      </c>
      <c r="G408" s="61"/>
      <c r="H408" s="61" t="str">
        <f>IFERROR(__xludf.DUMMYFUNCTION("""COMPUTED_VALUE"""),"Appliance Rental")</f>
        <v>Appliance Rental</v>
      </c>
      <c r="I408" s="61" t="str">
        <f>IFERROR(__xludf.DUMMYFUNCTION("""COMPUTED_VALUE""")," Double-Door Mini Fridge + Microwave   - ")</f>
        <v> Double-Door Mini Fridge + Microwave   - </v>
      </c>
      <c r="J408" s="61">
        <f>IFERROR(__xludf.DUMMYFUNCTION("""COMPUTED_VALUE"""),210.0)</f>
        <v>210</v>
      </c>
      <c r="K408" s="100">
        <f>IFERROR(__xludf.DUMMYFUNCTION("""COMPUTED_VALUE"""),45883.0)</f>
        <v>45883</v>
      </c>
      <c r="L408" s="61" t="str">
        <f>IFERROR(__xludf.DUMMYFUNCTION("""COMPUTED_VALUE"""),"Shanedling  ")</f>
        <v>Shanedling  </v>
      </c>
      <c r="M408" s="64" t="str">
        <f>IFERROR(__xludf.DUMMYFUNCTION("""COMPUTED_VALUE"""),"434-A")</f>
        <v>434-A</v>
      </c>
      <c r="N408" s="61"/>
      <c r="O408" s="61" t="b">
        <f>COUNTIF('Delivered Rentals'!A:A, B408) &gt; 0</f>
        <v>1</v>
      </c>
      <c r="P408" s="101"/>
    </row>
    <row r="409">
      <c r="A409" s="102" t="str">
        <f>IFERROR(__xludf.DUMMYFUNCTION("""COMPUTED_VALUE"""),"https://utrucking.com/admin/orders/5935181201596")</f>
        <v>https://utrucking.com/admin/orders/5935181201596</v>
      </c>
      <c r="B409" s="65" t="str">
        <f>IFERROR(__xludf.DUMMYFUNCTION("""COMPUTED_VALUE"""),"#16200")</f>
        <v>#16200</v>
      </c>
      <c r="C409" s="65" t="str">
        <f>IFERROR(__xludf.DUMMYFUNCTION("""COMPUTED_VALUE"""),"sophia.peyser@gmail.com")</f>
        <v>sophia.peyser@gmail.com</v>
      </c>
      <c r="D409" s="65" t="str">
        <f>IFERROR(__xludf.DUMMYFUNCTION("""COMPUTED_VALUE"""),"1 305-458-9502")</f>
        <v>1 305-458-9502</v>
      </c>
      <c r="E409" s="65" t="str">
        <f>IFERROR(__xludf.DUMMYFUNCTION("""COMPUTED_VALUE"""),"Sophia Prada Peyser")</f>
        <v>Sophia Prada Peyser</v>
      </c>
      <c r="F409" s="65" t="str">
        <f>IFERROR(__xludf.DUMMYFUNCTION("""COMPUTED_VALUE"""),"Sophia Prada Peyser")</f>
        <v>Sophia Prada Peyser</v>
      </c>
      <c r="G409" s="65"/>
      <c r="H409" s="65" t="str">
        <f>IFERROR(__xludf.DUMMYFUNCTION("""COMPUTED_VALUE"""),"Appliance Rental")</f>
        <v>Appliance Rental</v>
      </c>
      <c r="I409" s="65" t="str">
        <f>IFERROR(__xludf.DUMMYFUNCTION("""COMPUTED_VALUE""")," Double-Door Mini Fridge + Microwave   - ")</f>
        <v> Double-Door Mini Fridge + Microwave   - </v>
      </c>
      <c r="J409" s="65">
        <f>IFERROR(__xludf.DUMMYFUNCTION("""COMPUTED_VALUE"""),210.0)</f>
        <v>210</v>
      </c>
      <c r="K409" s="103">
        <f>IFERROR(__xludf.DUMMYFUNCTION("""COMPUTED_VALUE"""),45883.0)</f>
        <v>45883</v>
      </c>
      <c r="L409" s="65" t="str">
        <f>IFERROR(__xludf.DUMMYFUNCTION("""COMPUTED_VALUE"""),"Hitzeman  ")</f>
        <v>Hitzeman  </v>
      </c>
      <c r="M409" s="68" t="str">
        <f>IFERROR(__xludf.DUMMYFUNCTION("""COMPUTED_VALUE"""),"314 - a")</f>
        <v>314 - a</v>
      </c>
      <c r="N409" s="65"/>
      <c r="O409" s="65" t="b">
        <f>COUNTIF('Delivered Rentals'!A:A, B409) &gt; 0</f>
        <v>1</v>
      </c>
      <c r="P409" s="104"/>
    </row>
    <row r="410">
      <c r="A410" s="99" t="str">
        <f>IFERROR(__xludf.DUMMYFUNCTION("""COMPUTED_VALUE"""),"https://utrucking.com/admin/orders/5935223636156")</f>
        <v>https://utrucking.com/admin/orders/5935223636156</v>
      </c>
      <c r="B410" s="61" t="str">
        <f>IFERROR(__xludf.DUMMYFUNCTION("""COMPUTED_VALUE"""),"#16201")</f>
        <v>#16201</v>
      </c>
      <c r="C410" s="61" t="str">
        <f>IFERROR(__xludf.DUMMYFUNCTION("""COMPUTED_VALUE"""),"jennyharris26@gmail.com")</f>
        <v>jennyharris26@gmail.com</v>
      </c>
      <c r="D410" s="61">
        <f>IFERROR(__xludf.DUMMYFUNCTION("""COMPUTED_VALUE"""),3.478310009E9)</f>
        <v>3478310009</v>
      </c>
      <c r="E410" s="61" t="str">
        <f>IFERROR(__xludf.DUMMYFUNCTION("""COMPUTED_VALUE"""),"Jenny Harris")</f>
        <v>Jenny Harris</v>
      </c>
      <c r="F410" s="61" t="str">
        <f>IFERROR(__xludf.DUMMYFUNCTION("""COMPUTED_VALUE"""),"Emily faber")</f>
        <v>Emily faber</v>
      </c>
      <c r="G410" s="61"/>
      <c r="H410" s="61" t="str">
        <f>IFERROR(__xludf.DUMMYFUNCTION("""COMPUTED_VALUE"""),"Appliance Rental")</f>
        <v>Appliance Rental</v>
      </c>
      <c r="I410" s="61" t="str">
        <f>IFERROR(__xludf.DUMMYFUNCTION("""COMPUTED_VALUE""")," Standard Mini Fridge   - ")</f>
        <v> Standard Mini Fridge   - </v>
      </c>
      <c r="J410" s="61">
        <f>IFERROR(__xludf.DUMMYFUNCTION("""COMPUTED_VALUE"""),115.0)</f>
        <v>115</v>
      </c>
      <c r="K410" s="100">
        <f>IFERROR(__xludf.DUMMYFUNCTION("""COMPUTED_VALUE"""),45891.0)</f>
        <v>45891</v>
      </c>
      <c r="L410" s="61" t="str">
        <f>IFERROR(__xludf.DUMMYFUNCTION("""COMPUTED_VALUE"""),"Millbrook Bldg. 4  ")</f>
        <v>Millbrook Bldg. 4  </v>
      </c>
      <c r="M410" s="64" t="str">
        <f>IFERROR(__xludf.DUMMYFUNCTION("""COMPUTED_VALUE"""),"103B")</f>
        <v>103B</v>
      </c>
      <c r="N410" s="61"/>
      <c r="O410" s="61" t="b">
        <f>COUNTIF('Delivered Rentals'!A:A, B410) &gt; 0</f>
        <v>1</v>
      </c>
      <c r="P410" s="101"/>
    </row>
    <row r="411">
      <c r="A411" s="102" t="str">
        <f>IFERROR(__xludf.DUMMYFUNCTION("""COMPUTED_VALUE"""),"https://utrucking.com/admin/orders/5935261745340")</f>
        <v>https://utrucking.com/admin/orders/5935261745340</v>
      </c>
      <c r="B411" s="65" t="str">
        <f>IFERROR(__xludf.DUMMYFUNCTION("""COMPUTED_VALUE"""),"#16202")</f>
        <v>#16202</v>
      </c>
      <c r="C411" s="65" t="str">
        <f>IFERROR(__xludf.DUMMYFUNCTION("""COMPUTED_VALUE"""),"c.mauli@wustl.edu")</f>
        <v>c.mauli@wustl.edu</v>
      </c>
      <c r="D411" s="65">
        <f>IFERROR(__xludf.DUMMYFUNCTION("""COMPUTED_VALUE"""),3.464203568E9)</f>
        <v>3464203568</v>
      </c>
      <c r="E411" s="65" t="str">
        <f>IFERROR(__xludf.DUMMYFUNCTION("""COMPUTED_VALUE"""),"Mauli Chawla")</f>
        <v>Mauli Chawla</v>
      </c>
      <c r="F411" s="65" t="str">
        <f>IFERROR(__xludf.DUMMYFUNCTION("""COMPUTED_VALUE"""),"Mauli Chawla")</f>
        <v>Mauli Chawla</v>
      </c>
      <c r="G411" s="65"/>
      <c r="H411" s="65" t="str">
        <f>IFERROR(__xludf.DUMMYFUNCTION("""COMPUTED_VALUE"""),"Appliance Rental")</f>
        <v>Appliance Rental</v>
      </c>
      <c r="I411" s="65" t="str">
        <f>IFERROR(__xludf.DUMMYFUNCTION("""COMPUTED_VALUE""")," Microwave Only   - ")</f>
        <v> Microwave Only   - </v>
      </c>
      <c r="J411" s="65">
        <f>IFERROR(__xludf.DUMMYFUNCTION("""COMPUTED_VALUE"""),65.0)</f>
        <v>65</v>
      </c>
      <c r="K411" s="103">
        <f>IFERROR(__xludf.DUMMYFUNCTION("""COMPUTED_VALUE"""),45883.0)</f>
        <v>45883</v>
      </c>
      <c r="L411" s="65" t="str">
        <f>IFERROR(__xludf.DUMMYFUNCTION("""COMPUTED_VALUE"""),"Dardick  ")</f>
        <v>Dardick  </v>
      </c>
      <c r="M411" s="68" t="str">
        <f>IFERROR(__xludf.DUMMYFUNCTION("""COMPUTED_VALUE"""),"2223")</f>
        <v>2223</v>
      </c>
      <c r="N411" s="65"/>
      <c r="O411" s="65" t="b">
        <f>COUNTIF('Delivered Rentals'!A:A, B411) &gt; 0</f>
        <v>1</v>
      </c>
      <c r="P411" s="104"/>
    </row>
    <row r="412">
      <c r="A412" s="99" t="str">
        <f>IFERROR(__xludf.DUMMYFUNCTION("""COMPUTED_VALUE"""),"https://utrucking.com/admin/orders/5935301329084")</f>
        <v>https://utrucking.com/admin/orders/5935301329084</v>
      </c>
      <c r="B412" s="61" t="str">
        <f>IFERROR(__xludf.DUMMYFUNCTION("""COMPUTED_VALUE"""),"#16204")</f>
        <v>#16204</v>
      </c>
      <c r="C412" s="61" t="str">
        <f>IFERROR(__xludf.DUMMYFUNCTION("""COMPUTED_VALUE"""),"sean.rule0129@gmail.com")</f>
        <v>sean.rule0129@gmail.com</v>
      </c>
      <c r="D412" s="61">
        <f>IFERROR(__xludf.DUMMYFUNCTION("""COMPUTED_VALUE"""),6.185090791E9)</f>
        <v>6185090791</v>
      </c>
      <c r="E412" s="61" t="str">
        <f>IFERROR(__xludf.DUMMYFUNCTION("""COMPUTED_VALUE"""),"Sean Rule")</f>
        <v>Sean Rule</v>
      </c>
      <c r="F412" s="61" t="str">
        <f>IFERROR(__xludf.DUMMYFUNCTION("""COMPUTED_VALUE"""),"Sean Rule")</f>
        <v>Sean Rule</v>
      </c>
      <c r="G412" s="61"/>
      <c r="H412" s="61" t="str">
        <f>IFERROR(__xludf.DUMMYFUNCTION("""COMPUTED_VALUE"""),"Appliance Rental")</f>
        <v>Appliance Rental</v>
      </c>
      <c r="I412" s="61" t="str">
        <f>IFERROR(__xludf.DUMMYFUNCTION("""COMPUTED_VALUE""")," Double-Door Mini Fridge   - ")</f>
        <v> Double-Door Mini Fridge   - </v>
      </c>
      <c r="J412" s="61">
        <f>IFERROR(__xludf.DUMMYFUNCTION("""COMPUTED_VALUE"""),145.0)</f>
        <v>145</v>
      </c>
      <c r="K412" s="100">
        <f>IFERROR(__xludf.DUMMYFUNCTION("""COMPUTED_VALUE"""),45882.0)</f>
        <v>45882</v>
      </c>
      <c r="L412" s="61" t="str">
        <f>IFERROR(__xludf.DUMMYFUNCTION("""COMPUTED_VALUE"""),"Dardick  ")</f>
        <v>Dardick  </v>
      </c>
      <c r="M412" s="64" t="str">
        <f>IFERROR(__xludf.DUMMYFUNCTION("""COMPUTED_VALUE"""),"2206")</f>
        <v>2206</v>
      </c>
      <c r="N412" s="61"/>
      <c r="O412" s="61" t="b">
        <f>COUNTIF('Delivered Rentals'!A:A, B412) &gt; 0</f>
        <v>1</v>
      </c>
      <c r="P412" s="101"/>
    </row>
    <row r="413">
      <c r="A413" s="102" t="str">
        <f>IFERROR(__xludf.DUMMYFUNCTION("""COMPUTED_VALUE"""),"https://utrucking.com/admin/orders/5935330656444")</f>
        <v>https://utrucking.com/admin/orders/5935330656444</v>
      </c>
      <c r="B413" s="65" t="str">
        <f>IFERROR(__xludf.DUMMYFUNCTION("""COMPUTED_VALUE"""),"#16205")</f>
        <v>#16205</v>
      </c>
      <c r="C413" s="65"/>
      <c r="D413" s="65">
        <f>IFERROR(__xludf.DUMMYFUNCTION("""COMPUTED_VALUE"""),3.038081617E9)</f>
        <v>3038081617</v>
      </c>
      <c r="E413" s="65" t="str">
        <f>IFERROR(__xludf.DUMMYFUNCTION("""COMPUTED_VALUE"""),"michelle draznin")</f>
        <v>michelle draznin</v>
      </c>
      <c r="F413" s="65" t="str">
        <f>IFERROR(__xludf.DUMMYFUNCTION("""COMPUTED_VALUE"""),"Sophia Eison")</f>
        <v>Sophia Eison</v>
      </c>
      <c r="G413" s="65"/>
      <c r="H413" s="65" t="str">
        <f>IFERROR(__xludf.DUMMYFUNCTION("""COMPUTED_VALUE"""),"Appliance Rental")</f>
        <v>Appliance Rental</v>
      </c>
      <c r="I413" s="65" t="str">
        <f>IFERROR(__xludf.DUMMYFUNCTION("""COMPUTED_VALUE""")," Double-Door Mini Fridge + Microwave   - ")</f>
        <v> Double-Door Mini Fridge + Microwave   - </v>
      </c>
      <c r="J413" s="65">
        <f>IFERROR(__xludf.DUMMYFUNCTION("""COMPUTED_VALUE"""),210.0)</f>
        <v>210</v>
      </c>
      <c r="K413" s="103">
        <f>IFERROR(__xludf.DUMMYFUNCTION("""COMPUTED_VALUE"""),45883.0)</f>
        <v>45883</v>
      </c>
      <c r="L413" s="65" t="str">
        <f>IFERROR(__xludf.DUMMYFUNCTION("""COMPUTED_VALUE"""),"Danforth  ")</f>
        <v>Danforth  </v>
      </c>
      <c r="M413" s="68" t="str">
        <f>IFERROR(__xludf.DUMMYFUNCTION("""COMPUTED_VALUE"""),"3332")</f>
        <v>3332</v>
      </c>
      <c r="N413" s="65"/>
      <c r="O413" s="65" t="b">
        <f>COUNTIF('Delivered Rentals'!A:A, B413) &gt; 0</f>
        <v>1</v>
      </c>
      <c r="P413" s="104"/>
    </row>
    <row r="414">
      <c r="A414" s="99" t="str">
        <f>IFERROR(__xludf.DUMMYFUNCTION("""COMPUTED_VALUE"""),"https://utrucking.com/admin/orders/5935402188988")</f>
        <v>https://utrucking.com/admin/orders/5935402188988</v>
      </c>
      <c r="B414" s="61" t="str">
        <f>IFERROR(__xludf.DUMMYFUNCTION("""COMPUTED_VALUE"""),"#16207")</f>
        <v>#16207</v>
      </c>
      <c r="C414" s="61" t="str">
        <f>IFERROR(__xludf.DUMMYFUNCTION("""COMPUTED_VALUE"""),"macmotz@gmail.com")</f>
        <v>macmotz@gmail.com</v>
      </c>
      <c r="D414" s="61">
        <f>IFERROR(__xludf.DUMMYFUNCTION("""COMPUTED_VALUE"""),3.475258364E9)</f>
        <v>3475258364</v>
      </c>
      <c r="E414" s="61" t="str">
        <f>IFERROR(__xludf.DUMMYFUNCTION("""COMPUTED_VALUE"""),"Mac Motz")</f>
        <v>Mac Motz</v>
      </c>
      <c r="F414" s="61" t="str">
        <f>IFERROR(__xludf.DUMMYFUNCTION("""COMPUTED_VALUE"""),"Mac Motz")</f>
        <v>Mac Motz</v>
      </c>
      <c r="G414" s="61"/>
      <c r="H414" s="61" t="str">
        <f>IFERROR(__xludf.DUMMYFUNCTION("""COMPUTED_VALUE"""),"Appliance Rental")</f>
        <v>Appliance Rental</v>
      </c>
      <c r="I414" s="61" t="str">
        <f>IFERROR(__xludf.DUMMYFUNCTION("""COMPUTED_VALUE""")," Microwave Only   - ")</f>
        <v> Microwave Only   - </v>
      </c>
      <c r="J414" s="61">
        <f>IFERROR(__xludf.DUMMYFUNCTION("""COMPUTED_VALUE"""),65.0)</f>
        <v>65</v>
      </c>
      <c r="K414" s="100">
        <f>IFERROR(__xludf.DUMMYFUNCTION("""COMPUTED_VALUE"""),45883.0)</f>
        <v>45883</v>
      </c>
      <c r="L414" s="61" t="str">
        <f>IFERROR(__xludf.DUMMYFUNCTION("""COMPUTED_VALUE"""),"Park  ")</f>
        <v>Park  </v>
      </c>
      <c r="M414" s="64" t="str">
        <f>IFERROR(__xludf.DUMMYFUNCTION("""COMPUTED_VALUE"""),"261")</f>
        <v>261</v>
      </c>
      <c r="N414" s="61"/>
      <c r="O414" s="61" t="b">
        <f>COUNTIF('Delivered Rentals'!A:A, B414) &gt; 0</f>
        <v>1</v>
      </c>
      <c r="P414" s="101"/>
    </row>
    <row r="415">
      <c r="A415" s="102" t="str">
        <f>IFERROR(__xludf.DUMMYFUNCTION("""COMPUTED_VALUE"""),"https://utrucking.com/admin/orders/5935449637052")</f>
        <v>https://utrucking.com/admin/orders/5935449637052</v>
      </c>
      <c r="B415" s="65" t="str">
        <f>IFERROR(__xludf.DUMMYFUNCTION("""COMPUTED_VALUE"""),"#16208")</f>
        <v>#16208</v>
      </c>
      <c r="C415" s="65" t="str">
        <f>IFERROR(__xludf.DUMMYFUNCTION("""COMPUTED_VALUE"""),"anniehlavka@gmail.com")</f>
        <v>anniehlavka@gmail.com</v>
      </c>
      <c r="D415" s="65">
        <f>IFERROR(__xludf.DUMMYFUNCTION("""COMPUTED_VALUE"""),6.504228482E9)</f>
        <v>6504228482</v>
      </c>
      <c r="E415" s="65" t="str">
        <f>IFERROR(__xludf.DUMMYFUNCTION("""COMPUTED_VALUE"""),"Anne Hlavka")</f>
        <v>Anne Hlavka</v>
      </c>
      <c r="F415" s="65" t="str">
        <f>IFERROR(__xludf.DUMMYFUNCTION("""COMPUTED_VALUE"""),"Annie Hlavka")</f>
        <v>Annie Hlavka</v>
      </c>
      <c r="G415" s="65"/>
      <c r="H415" s="65" t="str">
        <f>IFERROR(__xludf.DUMMYFUNCTION("""COMPUTED_VALUE"""),"Appliance Rental")</f>
        <v>Appliance Rental</v>
      </c>
      <c r="I415" s="65" t="str">
        <f>IFERROR(__xludf.DUMMYFUNCTION("""COMPUTED_VALUE""")," Double-Door Mini Fridge   - ")</f>
        <v> Double-Door Mini Fridge   - </v>
      </c>
      <c r="J415" s="65">
        <f>IFERROR(__xludf.DUMMYFUNCTION("""COMPUTED_VALUE"""),145.0)</f>
        <v>145</v>
      </c>
      <c r="K415" s="103">
        <f>IFERROR(__xludf.DUMMYFUNCTION("""COMPUTED_VALUE"""),45883.0)</f>
        <v>45883</v>
      </c>
      <c r="L415" s="65" t="str">
        <f>IFERROR(__xludf.DUMMYFUNCTION("""COMPUTED_VALUE"""),"Beaumont  ")</f>
        <v>Beaumont  </v>
      </c>
      <c r="M415" s="68" t="str">
        <f>IFERROR(__xludf.DUMMYFUNCTION("""COMPUTED_VALUE"""),"205")</f>
        <v>205</v>
      </c>
      <c r="N415" s="65"/>
      <c r="O415" s="65" t="b">
        <f>COUNTIF('Delivered Rentals'!A:A, B415) &gt; 0</f>
        <v>1</v>
      </c>
      <c r="P415" s="104"/>
    </row>
    <row r="416">
      <c r="A416" s="99" t="str">
        <f>IFERROR(__xludf.DUMMYFUNCTION("""COMPUTED_VALUE"""),"https://utrucking.com/admin/orders/5935471034556")</f>
        <v>https://utrucking.com/admin/orders/5935471034556</v>
      </c>
      <c r="B416" s="61" t="str">
        <f>IFERROR(__xludf.DUMMYFUNCTION("""COMPUTED_VALUE"""),"#16209")</f>
        <v>#16209</v>
      </c>
      <c r="C416" s="61"/>
      <c r="D416" s="61">
        <f>IFERROR(__xludf.DUMMYFUNCTION("""COMPUTED_VALUE"""),4.084442452E9)</f>
        <v>4084442452</v>
      </c>
      <c r="E416" s="61" t="str">
        <f>IFERROR(__xludf.DUMMYFUNCTION("""COMPUTED_VALUE"""),"Helen Tieh")</f>
        <v>Helen Tieh</v>
      </c>
      <c r="F416" s="61" t="str">
        <f>IFERROR(__xludf.DUMMYFUNCTION("""COMPUTED_VALUE"""),"R. Dehao Tieh")</f>
        <v>R. Dehao Tieh</v>
      </c>
      <c r="G416" s="61"/>
      <c r="H416" s="61" t="str">
        <f>IFERROR(__xludf.DUMMYFUNCTION("""COMPUTED_VALUE"""),"Appliance Rental")</f>
        <v>Appliance Rental</v>
      </c>
      <c r="I416" s="61" t="str">
        <f>IFERROR(__xludf.DUMMYFUNCTION("""COMPUTED_VALUE""")," Microwave Only   - ")</f>
        <v> Microwave Only   - </v>
      </c>
      <c r="J416" s="61">
        <f>IFERROR(__xludf.DUMMYFUNCTION("""COMPUTED_VALUE"""),65.0)</f>
        <v>65</v>
      </c>
      <c r="K416" s="100">
        <f>IFERROR(__xludf.DUMMYFUNCTION("""COMPUTED_VALUE"""),45883.0)</f>
        <v>45883</v>
      </c>
      <c r="L416" s="61" t="str">
        <f>IFERROR(__xludf.DUMMYFUNCTION("""COMPUTED_VALUE"""),"Umrath  ")</f>
        <v>Umrath  </v>
      </c>
      <c r="M416" s="64" t="str">
        <f>IFERROR(__xludf.DUMMYFUNCTION("""COMPUTED_VALUE"""),"1234")</f>
        <v>1234</v>
      </c>
      <c r="N416" s="61"/>
      <c r="O416" s="61" t="b">
        <f>COUNTIF('Delivered Rentals'!A:A, B416) &gt; 0</f>
        <v>1</v>
      </c>
      <c r="P416" s="101"/>
    </row>
    <row r="417">
      <c r="A417" s="102" t="str">
        <f>IFERROR(__xludf.DUMMYFUNCTION("""COMPUTED_VALUE"""),"https://utrucking.com/admin/orders/5935491973308")</f>
        <v>https://utrucking.com/admin/orders/5935491973308</v>
      </c>
      <c r="B417" s="65" t="str">
        <f>IFERROR(__xludf.DUMMYFUNCTION("""COMPUTED_VALUE"""),"#16210")</f>
        <v>#16210</v>
      </c>
      <c r="C417" s="65"/>
      <c r="D417" s="65">
        <f>IFERROR(__xludf.DUMMYFUNCTION("""COMPUTED_VALUE"""),4.805443982E9)</f>
        <v>4805443982</v>
      </c>
      <c r="E417" s="65" t="str">
        <f>IFERROR(__xludf.DUMMYFUNCTION("""COMPUTED_VALUE"""),"Kylie Orlando")</f>
        <v>Kylie Orlando</v>
      </c>
      <c r="F417" s="65" t="str">
        <f>IFERROR(__xludf.DUMMYFUNCTION("""COMPUTED_VALUE"""),"Kylie Orlando")</f>
        <v>Kylie Orlando</v>
      </c>
      <c r="G417" s="65"/>
      <c r="H417" s="65" t="str">
        <f>IFERROR(__xludf.DUMMYFUNCTION("""COMPUTED_VALUE"""),"Appliance Rental")</f>
        <v>Appliance Rental</v>
      </c>
      <c r="I417" s="65" t="str">
        <f>IFERROR(__xludf.DUMMYFUNCTION("""COMPUTED_VALUE""")," Double-Door Mini Fridge   - ")</f>
        <v> Double-Door Mini Fridge   - </v>
      </c>
      <c r="J417" s="65">
        <f>IFERROR(__xludf.DUMMYFUNCTION("""COMPUTED_VALUE"""),145.0)</f>
        <v>145</v>
      </c>
      <c r="K417" s="103">
        <f>IFERROR(__xludf.DUMMYFUNCTION("""COMPUTED_VALUE"""),45888.0)</f>
        <v>45888</v>
      </c>
      <c r="L417" s="65" t="str">
        <f>IFERROR(__xludf.DUMMYFUNCTION("""COMPUTED_VALUE"""),"Nemerov  ")</f>
        <v>Nemerov  </v>
      </c>
      <c r="M417" s="68" t="str">
        <f>IFERROR(__xludf.DUMMYFUNCTION("""COMPUTED_VALUE"""),"1024")</f>
        <v>1024</v>
      </c>
      <c r="N417" s="65"/>
      <c r="O417" s="65" t="b">
        <f>COUNTIF('Delivered Rentals'!A:A, B417) &gt; 0</f>
        <v>1</v>
      </c>
      <c r="P417" s="104"/>
    </row>
    <row r="418">
      <c r="A418" s="99" t="str">
        <f>IFERROR(__xludf.DUMMYFUNCTION("""COMPUTED_VALUE"""),"https://utrucking.com/admin/orders/5935514484924")</f>
        <v>https://utrucking.com/admin/orders/5935514484924</v>
      </c>
      <c r="B418" s="61" t="str">
        <f>IFERROR(__xludf.DUMMYFUNCTION("""COMPUTED_VALUE"""),"#16211")</f>
        <v>#16211</v>
      </c>
      <c r="C418" s="61" t="str">
        <f>IFERROR(__xludf.DUMMYFUNCTION("""COMPUTED_VALUE"""),"hahaeun.nam@gmail.com")</f>
        <v>hahaeun.nam@gmail.com</v>
      </c>
      <c r="D418" s="61">
        <f>IFERROR(__xludf.DUMMYFUNCTION("""COMPUTED_VALUE"""),4.086232514E9)</f>
        <v>4086232514</v>
      </c>
      <c r="E418" s="61" t="str">
        <f>IFERROR(__xludf.DUMMYFUNCTION("""COMPUTED_VALUE"""),"Haeun Nam")</f>
        <v>Haeun Nam</v>
      </c>
      <c r="F418" s="61" t="str">
        <f>IFERROR(__xludf.DUMMYFUNCTION("""COMPUTED_VALUE"""),"Haeun Nam")</f>
        <v>Haeun Nam</v>
      </c>
      <c r="G418" s="61"/>
      <c r="H418" s="61" t="str">
        <f>IFERROR(__xludf.DUMMYFUNCTION("""COMPUTED_VALUE"""),"Appliance Rental")</f>
        <v>Appliance Rental</v>
      </c>
      <c r="I418" s="61" t="str">
        <f>IFERROR(__xludf.DUMMYFUNCTION("""COMPUTED_VALUE""")," Double-Door Mini Fridge + Microwave   - ")</f>
        <v> Double-Door Mini Fridge + Microwave   - </v>
      </c>
      <c r="J418" s="61">
        <f>IFERROR(__xludf.DUMMYFUNCTION("""COMPUTED_VALUE"""),210.0)</f>
        <v>210</v>
      </c>
      <c r="K418" s="100">
        <f>IFERROR(__xludf.DUMMYFUNCTION("""COMPUTED_VALUE"""),45883.0)</f>
        <v>45883</v>
      </c>
      <c r="L418" s="61" t="str">
        <f>IFERROR(__xludf.DUMMYFUNCTION("""COMPUTED_VALUE"""),"Danforth  ")</f>
        <v>Danforth  </v>
      </c>
      <c r="M418" s="64" t="str">
        <f>IFERROR(__xludf.DUMMYFUNCTION("""COMPUTED_VALUE"""),"2209")</f>
        <v>2209</v>
      </c>
      <c r="N418" s="61"/>
      <c r="O418" s="61" t="b">
        <f>COUNTIF('Delivered Rentals'!A:A, B418) &gt; 0</f>
        <v>1</v>
      </c>
      <c r="P418" s="101"/>
    </row>
    <row r="419">
      <c r="A419" s="102" t="str">
        <f>IFERROR(__xludf.DUMMYFUNCTION("""COMPUTED_VALUE"""),"https://utrucking.com/admin/orders/5935543419068")</f>
        <v>https://utrucking.com/admin/orders/5935543419068</v>
      </c>
      <c r="B419" s="65" t="str">
        <f>IFERROR(__xludf.DUMMYFUNCTION("""COMPUTED_VALUE"""),"#16212")</f>
        <v>#16212</v>
      </c>
      <c r="C419" s="65" t="str">
        <f>IFERROR(__xludf.DUMMYFUNCTION("""COMPUTED_VALUE"""),"b.roshan@wustl.edu")</f>
        <v>b.roshan@wustl.edu</v>
      </c>
      <c r="D419" s="65">
        <f>IFERROR(__xludf.DUMMYFUNCTION("""COMPUTED_VALUE"""),4.156910977E9)</f>
        <v>4156910977</v>
      </c>
      <c r="E419" s="65" t="str">
        <f>IFERROR(__xludf.DUMMYFUNCTION("""COMPUTED_VALUE"""),"Roshan Belani")</f>
        <v>Roshan Belani</v>
      </c>
      <c r="F419" s="65" t="str">
        <f>IFERROR(__xludf.DUMMYFUNCTION("""COMPUTED_VALUE"""),"Roshan Belani")</f>
        <v>Roshan Belani</v>
      </c>
      <c r="G419" s="65"/>
      <c r="H419" s="65" t="str">
        <f>IFERROR(__xludf.DUMMYFUNCTION("""COMPUTED_VALUE"""),"Appliance Rental")</f>
        <v>Appliance Rental</v>
      </c>
      <c r="I419" s="65" t="str">
        <f>IFERROR(__xludf.DUMMYFUNCTION("""COMPUTED_VALUE""")," Double-Door Mini Fridge + Microwave   - ")</f>
        <v> Double-Door Mini Fridge + Microwave   - </v>
      </c>
      <c r="J419" s="65">
        <f>IFERROR(__xludf.DUMMYFUNCTION("""COMPUTED_VALUE"""),210.0)</f>
        <v>210</v>
      </c>
      <c r="K419" s="103">
        <f>IFERROR(__xludf.DUMMYFUNCTION("""COMPUTED_VALUE"""),45883.0)</f>
        <v>45883</v>
      </c>
      <c r="L419" s="65" t="str">
        <f>IFERROR(__xludf.DUMMYFUNCTION("""COMPUTED_VALUE"""),"Umrath  ")</f>
        <v>Umrath  </v>
      </c>
      <c r="M419" s="68" t="str">
        <f>IFERROR(__xludf.DUMMYFUNCTION("""COMPUTED_VALUE"""),"1228-a")</f>
        <v>1228-a</v>
      </c>
      <c r="N419" s="65"/>
      <c r="O419" s="65" t="b">
        <f>COUNTIF('Delivered Rentals'!A:A, B419) &gt; 0</f>
        <v>1</v>
      </c>
      <c r="P419" s="104"/>
    </row>
    <row r="420">
      <c r="A420" s="99" t="str">
        <f>IFERROR(__xludf.DUMMYFUNCTION("""COMPUTED_VALUE"""),"https://utrucking.com/admin/orders/5935561605308")</f>
        <v>https://utrucking.com/admin/orders/5935561605308</v>
      </c>
      <c r="B420" s="61" t="str">
        <f>IFERROR(__xludf.DUMMYFUNCTION("""COMPUTED_VALUE"""),"#16213")</f>
        <v>#16213</v>
      </c>
      <c r="C420" s="61"/>
      <c r="D420" s="61">
        <f>IFERROR(__xludf.DUMMYFUNCTION("""COMPUTED_VALUE"""),9.544834617E9)</f>
        <v>9544834617</v>
      </c>
      <c r="E420" s="61" t="str">
        <f>IFERROR(__xludf.DUMMYFUNCTION("""COMPUTED_VALUE"""),"Aaron Reed")</f>
        <v>Aaron Reed</v>
      </c>
      <c r="F420" s="61" t="str">
        <f>IFERROR(__xludf.DUMMYFUNCTION("""COMPUTED_VALUE"""),"Jocelyn Reed")</f>
        <v>Jocelyn Reed</v>
      </c>
      <c r="G420" s="61"/>
      <c r="H420" s="61" t="str">
        <f>IFERROR(__xludf.DUMMYFUNCTION("""COMPUTED_VALUE"""),"Appliance Rental")</f>
        <v>Appliance Rental</v>
      </c>
      <c r="I420" s="61" t="str">
        <f>IFERROR(__xludf.DUMMYFUNCTION("""COMPUTED_VALUE""")," Microwave Only   - ")</f>
        <v> Microwave Only   - </v>
      </c>
      <c r="J420" s="61">
        <f>IFERROR(__xludf.DUMMYFUNCTION("""COMPUTED_VALUE"""),65.0)</f>
        <v>65</v>
      </c>
      <c r="K420" s="100">
        <f>IFERROR(__xludf.DUMMYFUNCTION("""COMPUTED_VALUE"""),45883.0)</f>
        <v>45883</v>
      </c>
      <c r="L420" s="61" t="str">
        <f>IFERROR(__xludf.DUMMYFUNCTION("""COMPUTED_VALUE"""),"Beaumont  ")</f>
        <v>Beaumont  </v>
      </c>
      <c r="M420" s="64" t="str">
        <f>IFERROR(__xludf.DUMMYFUNCTION("""COMPUTED_VALUE"""),"205")</f>
        <v>205</v>
      </c>
      <c r="N420" s="61"/>
      <c r="O420" s="61" t="b">
        <f>COUNTIF('Delivered Rentals'!A:A, B420) &gt; 0</f>
        <v>1</v>
      </c>
      <c r="P420" s="101"/>
    </row>
    <row r="421">
      <c r="A421" s="102" t="str">
        <f>IFERROR(__xludf.DUMMYFUNCTION("""COMPUTED_VALUE"""),"https://utrucking.com/admin/orders/5935620423868")</f>
        <v>https://utrucking.com/admin/orders/5935620423868</v>
      </c>
      <c r="B421" s="65" t="str">
        <f>IFERROR(__xludf.DUMMYFUNCTION("""COMPUTED_VALUE"""),"#16215")</f>
        <v>#16215</v>
      </c>
      <c r="C421" s="65" t="str">
        <f>IFERROR(__xludf.DUMMYFUNCTION("""COMPUTED_VALUE"""),"raul.leal.070805@gmail.com")</f>
        <v>raul.leal.070805@gmail.com</v>
      </c>
      <c r="D421" s="65">
        <f>IFERROR(__xludf.DUMMYFUNCTION("""COMPUTED_VALUE"""),6.57239748E9)</f>
        <v>6572397480</v>
      </c>
      <c r="E421" s="65" t="str">
        <f>IFERROR(__xludf.DUMMYFUNCTION("""COMPUTED_VALUE"""),"Raul Leal")</f>
        <v>Raul Leal</v>
      </c>
      <c r="F421" s="65" t="str">
        <f>IFERROR(__xludf.DUMMYFUNCTION("""COMPUTED_VALUE"""),"Raul Leal")</f>
        <v>Raul Leal</v>
      </c>
      <c r="G421" s="65"/>
      <c r="H421" s="65" t="str">
        <f>IFERROR(__xludf.DUMMYFUNCTION("""COMPUTED_VALUE"""),"Appliance Rental")</f>
        <v>Appliance Rental</v>
      </c>
      <c r="I421" s="65" t="str">
        <f>IFERROR(__xludf.DUMMYFUNCTION("""COMPUTED_VALUE""")," Double-Door Mini Fridge   - ")</f>
        <v> Double-Door Mini Fridge   - </v>
      </c>
      <c r="J421" s="65">
        <f>IFERROR(__xludf.DUMMYFUNCTION("""COMPUTED_VALUE"""),145.0)</f>
        <v>145</v>
      </c>
      <c r="K421" s="103">
        <f>IFERROR(__xludf.DUMMYFUNCTION("""COMPUTED_VALUE"""),45883.0)</f>
        <v>45883</v>
      </c>
      <c r="L421" s="65" t="str">
        <f>IFERROR(__xludf.DUMMYFUNCTION("""COMPUTED_VALUE"""),"Village East  ")</f>
        <v>Village East  </v>
      </c>
      <c r="M421" s="68" t="str">
        <f>IFERROR(__xludf.DUMMYFUNCTION("""COMPUTED_VALUE"""),"Village East - 2033 - a")</f>
        <v>Village East - 2033 - a</v>
      </c>
      <c r="N421" s="65"/>
      <c r="O421" s="65" t="b">
        <f>COUNTIF('Delivered Rentals'!A:A, B421) &gt; 0</f>
        <v>1</v>
      </c>
      <c r="P421" s="104"/>
    </row>
    <row r="422">
      <c r="A422" s="99" t="str">
        <f>IFERROR(__xludf.DUMMYFUNCTION("""COMPUTED_VALUE"""),"https://utrucking.com/admin/orders/5935644246204")</f>
        <v>https://utrucking.com/admin/orders/5935644246204</v>
      </c>
      <c r="B422" s="61" t="str">
        <f>IFERROR(__xludf.DUMMYFUNCTION("""COMPUTED_VALUE"""),"#16216")</f>
        <v>#16216</v>
      </c>
      <c r="C422" s="61"/>
      <c r="D422" s="61">
        <f>IFERROR(__xludf.DUMMYFUNCTION("""COMPUTED_VALUE"""),2.484629662E9)</f>
        <v>2484629662</v>
      </c>
      <c r="E422" s="61" t="str">
        <f>IFERROR(__xludf.DUMMYFUNCTION("""COMPUTED_VALUE"""),"Balachandra Gaddam")</f>
        <v>Balachandra Gaddam</v>
      </c>
      <c r="F422" s="61" t="str">
        <f>IFERROR(__xludf.DUMMYFUNCTION("""COMPUTED_VALUE"""),"Nishanth Gaddam")</f>
        <v>Nishanth Gaddam</v>
      </c>
      <c r="G422" s="61"/>
      <c r="H422" s="61" t="str">
        <f>IFERROR(__xludf.DUMMYFUNCTION("""COMPUTED_VALUE"""),"Appliance Rental")</f>
        <v>Appliance Rental</v>
      </c>
      <c r="I422" s="61" t="str">
        <f>IFERROR(__xludf.DUMMYFUNCTION("""COMPUTED_VALUE""")," Microwave Only   - ")</f>
        <v> Microwave Only   - </v>
      </c>
      <c r="J422" s="61">
        <f>IFERROR(__xludf.DUMMYFUNCTION("""COMPUTED_VALUE"""),65.0)</f>
        <v>65</v>
      </c>
      <c r="K422" s="100">
        <f>IFERROR(__xludf.DUMMYFUNCTION("""COMPUTED_VALUE"""),45883.0)</f>
        <v>45883</v>
      </c>
      <c r="L422" s="61" t="str">
        <f>IFERROR(__xludf.DUMMYFUNCTION("""COMPUTED_VALUE"""),"Umrath  ")</f>
        <v>Umrath  </v>
      </c>
      <c r="M422" s="64" t="str">
        <f>IFERROR(__xludf.DUMMYFUNCTION("""COMPUTED_VALUE"""),"227")</f>
        <v>227</v>
      </c>
      <c r="N422" s="61"/>
      <c r="O422" s="61" t="b">
        <f>COUNTIF('Delivered Rentals'!A:A, B422) &gt; 0</f>
        <v>1</v>
      </c>
      <c r="P422" s="101"/>
    </row>
    <row r="423">
      <c r="A423" s="102" t="str">
        <f>IFERROR(__xludf.DUMMYFUNCTION("""COMPUTED_VALUE"""),"https://utrucking.com/admin/orders/5935684354236")</f>
        <v>https://utrucking.com/admin/orders/5935684354236</v>
      </c>
      <c r="B423" s="65" t="str">
        <f>IFERROR(__xludf.DUMMYFUNCTION("""COMPUTED_VALUE"""),"#16217")</f>
        <v>#16217</v>
      </c>
      <c r="C423" s="65" t="str">
        <f>IFERROR(__xludf.DUMMYFUNCTION("""COMPUTED_VALUE"""),"ncguyer@gmail.com")</f>
        <v>ncguyer@gmail.com</v>
      </c>
      <c r="D423" s="65">
        <f>IFERROR(__xludf.DUMMYFUNCTION("""COMPUTED_VALUE"""),6.268315472E9)</f>
        <v>6268315472</v>
      </c>
      <c r="E423" s="65" t="str">
        <f>IFERROR(__xludf.DUMMYFUNCTION("""COMPUTED_VALUE"""),"Nancy Guyer")</f>
        <v>Nancy Guyer</v>
      </c>
      <c r="F423" s="65" t="str">
        <f>IFERROR(__xludf.DUMMYFUNCTION("""COMPUTED_VALUE"""),"Evan Guyer")</f>
        <v>Evan Guyer</v>
      </c>
      <c r="G423" s="65"/>
      <c r="H423" s="65" t="str">
        <f>IFERROR(__xludf.DUMMYFUNCTION("""COMPUTED_VALUE"""),"Appliance Rental")</f>
        <v>Appliance Rental</v>
      </c>
      <c r="I423" s="65" t="str">
        <f>IFERROR(__xludf.DUMMYFUNCTION("""COMPUTED_VALUE""")," Double-Door Mini Fridge + Microwave   - ")</f>
        <v> Double-Door Mini Fridge + Microwave   - </v>
      </c>
      <c r="J423" s="65">
        <f>IFERROR(__xludf.DUMMYFUNCTION("""COMPUTED_VALUE"""),210.0)</f>
        <v>210</v>
      </c>
      <c r="K423" s="103">
        <f>IFERROR(__xludf.DUMMYFUNCTION("""COMPUTED_VALUE"""),45883.0)</f>
        <v>45883</v>
      </c>
      <c r="L423" s="65" t="str">
        <f>IFERROR(__xludf.DUMMYFUNCTION("""COMPUTED_VALUE"""),"Shepley  ")</f>
        <v>Shepley  </v>
      </c>
      <c r="M423" s="68" t="str">
        <f>IFERROR(__xludf.DUMMYFUNCTION("""COMPUTED_VALUE"""),"2041-a")</f>
        <v>2041-a</v>
      </c>
      <c r="N423" s="65"/>
      <c r="O423" s="65" t="b">
        <f>COUNTIF('Delivered Rentals'!A:A, B423) &gt; 0</f>
        <v>1</v>
      </c>
      <c r="P423" s="104"/>
    </row>
    <row r="424">
      <c r="A424" s="99" t="str">
        <f>IFERROR(__xludf.DUMMYFUNCTION("""COMPUTED_VALUE"""),"https://utrucking.com/admin/orders/5935686910140")</f>
        <v>https://utrucking.com/admin/orders/5935686910140</v>
      </c>
      <c r="B424" s="61" t="str">
        <f>IFERROR(__xludf.DUMMYFUNCTION("""COMPUTED_VALUE"""),"#16218")</f>
        <v>#16218</v>
      </c>
      <c r="C424" s="61"/>
      <c r="D424" s="61">
        <f>IFERROR(__xludf.DUMMYFUNCTION("""COMPUTED_VALUE"""),6.262721672E9)</f>
        <v>6262721672</v>
      </c>
      <c r="E424" s="61" t="str">
        <f>IFERROR(__xludf.DUMMYFUNCTION("""COMPUTED_VALUE"""),"Rainer Sieben")</f>
        <v>Rainer Sieben</v>
      </c>
      <c r="F424" s="61" t="str">
        <f>IFERROR(__xludf.DUMMYFUNCTION("""COMPUTED_VALUE"""),"Jeremy Sieben")</f>
        <v>Jeremy Sieben</v>
      </c>
      <c r="G424" s="61"/>
      <c r="H424" s="61" t="str">
        <f>IFERROR(__xludf.DUMMYFUNCTION("""COMPUTED_VALUE"""),"Appliance Rental")</f>
        <v>Appliance Rental</v>
      </c>
      <c r="I424" s="61" t="str">
        <f>IFERROR(__xludf.DUMMYFUNCTION("""COMPUTED_VALUE""")," Double-Door Mini Fridge   - ")</f>
        <v> Double-Door Mini Fridge   - </v>
      </c>
      <c r="J424" s="61">
        <f>IFERROR(__xludf.DUMMYFUNCTION("""COMPUTED_VALUE"""),145.0)</f>
        <v>145</v>
      </c>
      <c r="K424" s="100">
        <f>IFERROR(__xludf.DUMMYFUNCTION("""COMPUTED_VALUE"""),45883.0)</f>
        <v>45883</v>
      </c>
      <c r="L424" s="61" t="str">
        <f>IFERROR(__xludf.DUMMYFUNCTION("""COMPUTED_VALUE"""),"Koenig  ")</f>
        <v>Koenig  </v>
      </c>
      <c r="M424" s="64" t="str">
        <f>IFERROR(__xludf.DUMMYFUNCTION("""COMPUTED_VALUE"""),"4412 -a")</f>
        <v>4412 -a</v>
      </c>
      <c r="N424" s="61"/>
      <c r="O424" s="61" t="b">
        <f>COUNTIF('Delivered Rentals'!A:A, B424) &gt; 0</f>
        <v>1</v>
      </c>
      <c r="P424" s="101"/>
    </row>
    <row r="425">
      <c r="A425" s="102" t="str">
        <f>IFERROR(__xludf.DUMMYFUNCTION("""COMPUTED_VALUE"""),"https://utrucking.com/admin/orders/5935700115644")</f>
        <v>https://utrucking.com/admin/orders/5935700115644</v>
      </c>
      <c r="B425" s="65" t="str">
        <f>IFERROR(__xludf.DUMMYFUNCTION("""COMPUTED_VALUE"""),"#16219")</f>
        <v>#16219</v>
      </c>
      <c r="C425" s="65"/>
      <c r="D425" s="65">
        <f>IFERROR(__xludf.DUMMYFUNCTION("""COMPUTED_VALUE"""),2.252277906E9)</f>
        <v>2252277906</v>
      </c>
      <c r="E425" s="65" t="str">
        <f>IFERROR(__xludf.DUMMYFUNCTION("""COMPUTED_VALUE"""),"Samia AbouAkar")</f>
        <v>Samia AbouAkar</v>
      </c>
      <c r="F425" s="65" t="str">
        <f>IFERROR(__xludf.DUMMYFUNCTION("""COMPUTED_VALUE"""),"Samia AbouAkar")</f>
        <v>Samia AbouAkar</v>
      </c>
      <c r="G425" s="65"/>
      <c r="H425" s="65" t="str">
        <f>IFERROR(__xludf.DUMMYFUNCTION("""COMPUTED_VALUE"""),"Appliance Rental")</f>
        <v>Appliance Rental</v>
      </c>
      <c r="I425" s="65" t="str">
        <f>IFERROR(__xludf.DUMMYFUNCTION("""COMPUTED_VALUE""")," Double-Door Mini Fridge + Microwave   - ")</f>
        <v> Double-Door Mini Fridge + Microwave   - </v>
      </c>
      <c r="J425" s="65">
        <f>IFERROR(__xludf.DUMMYFUNCTION("""COMPUTED_VALUE"""),210.0)</f>
        <v>210</v>
      </c>
      <c r="K425" s="103">
        <f>IFERROR(__xludf.DUMMYFUNCTION("""COMPUTED_VALUE"""),45883.0)</f>
        <v>45883</v>
      </c>
      <c r="L425" s="65" t="str">
        <f>IFERROR(__xludf.DUMMYFUNCTION("""COMPUTED_VALUE"""),"Danforth  ")</f>
        <v>Danforth  </v>
      </c>
      <c r="M425" s="68" t="str">
        <f>IFERROR(__xludf.DUMMYFUNCTION("""COMPUTED_VALUE"""),"3315-A")</f>
        <v>3315-A</v>
      </c>
      <c r="N425" s="65"/>
      <c r="O425" s="65" t="b">
        <f>COUNTIF('Delivered Rentals'!A:A, B425) &gt; 0</f>
        <v>1</v>
      </c>
      <c r="P425" s="104"/>
    </row>
    <row r="426">
      <c r="A426" s="99" t="str">
        <f>IFERROR(__xludf.DUMMYFUNCTION("""COMPUTED_VALUE"""),"https://utrucking.com/admin/orders/5935792816316")</f>
        <v>https://utrucking.com/admin/orders/5935792816316</v>
      </c>
      <c r="B426" s="61" t="str">
        <f>IFERROR(__xludf.DUMMYFUNCTION("""COMPUTED_VALUE"""),"#16220")</f>
        <v>#16220</v>
      </c>
      <c r="C426" s="61"/>
      <c r="D426" s="61">
        <f>IFERROR(__xludf.DUMMYFUNCTION("""COMPUTED_VALUE"""),2.022808249E9)</f>
        <v>2022808249</v>
      </c>
      <c r="E426" s="61" t="str">
        <f>IFERROR(__xludf.DUMMYFUNCTION("""COMPUTED_VALUE"""),"Zihan Zhou")</f>
        <v>Zihan Zhou</v>
      </c>
      <c r="F426" s="61" t="str">
        <f>IFERROR(__xludf.DUMMYFUNCTION("""COMPUTED_VALUE"""),"Zihan Zhou")</f>
        <v>Zihan Zhou</v>
      </c>
      <c r="G426" s="61"/>
      <c r="H426" s="61" t="str">
        <f>IFERROR(__xludf.DUMMYFUNCTION("""COMPUTED_VALUE"""),"Appliance Rental")</f>
        <v>Appliance Rental</v>
      </c>
      <c r="I426" s="61" t="str">
        <f>IFERROR(__xludf.DUMMYFUNCTION("""COMPUTED_VALUE""")," Double-Door Mini Fridge + Microwave   - ")</f>
        <v> Double-Door Mini Fridge + Microwave   - </v>
      </c>
      <c r="J426" s="61">
        <f>IFERROR(__xludf.DUMMYFUNCTION("""COMPUTED_VALUE"""),210.0)</f>
        <v>210</v>
      </c>
      <c r="K426" s="100">
        <f>IFERROR(__xludf.DUMMYFUNCTION("""COMPUTED_VALUE"""),45883.0)</f>
        <v>45883</v>
      </c>
      <c r="L426" s="61" t="str">
        <f>IFERROR(__xludf.DUMMYFUNCTION("""COMPUTED_VALUE"""),"Dauten  ")</f>
        <v>Dauten  </v>
      </c>
      <c r="M426" s="64" t="str">
        <f>IFERROR(__xludf.DUMMYFUNCTION("""COMPUTED_VALUE"""),"121a")</f>
        <v>121a</v>
      </c>
      <c r="N426" s="61"/>
      <c r="O426" s="61" t="b">
        <f>COUNTIF('Delivered Rentals'!A:A, B426) &gt; 0</f>
        <v>1</v>
      </c>
      <c r="P426" s="101"/>
    </row>
    <row r="427">
      <c r="A427" s="102" t="str">
        <f>IFERROR(__xludf.DUMMYFUNCTION("""COMPUTED_VALUE"""),"https://utrucking.com/admin/orders/5935831187644")</f>
        <v>https://utrucking.com/admin/orders/5935831187644</v>
      </c>
      <c r="B427" s="65" t="str">
        <f>IFERROR(__xludf.DUMMYFUNCTION("""COMPUTED_VALUE"""),"#16221")</f>
        <v>#16221</v>
      </c>
      <c r="C427" s="65" t="str">
        <f>IFERROR(__xludf.DUMMYFUNCTION("""COMPUTED_VALUE"""),"jmp2012@mac.com")</f>
        <v>jmp2012@mac.com</v>
      </c>
      <c r="D427" s="65">
        <f>IFERROR(__xludf.DUMMYFUNCTION("""COMPUTED_VALUE"""),1.4042108393E10)</f>
        <v>14042108393</v>
      </c>
      <c r="E427" s="65" t="str">
        <f>IFERROR(__xludf.DUMMYFUNCTION("""COMPUTED_VALUE"""),"Mikell Parsch")</f>
        <v>Mikell Parsch</v>
      </c>
      <c r="F427" s="65" t="str">
        <f>IFERROR(__xludf.DUMMYFUNCTION("""COMPUTED_VALUE"""),"Thomas Parsch")</f>
        <v>Thomas Parsch</v>
      </c>
      <c r="G427" s="65"/>
      <c r="H427" s="65" t="str">
        <f>IFERROR(__xludf.DUMMYFUNCTION("""COMPUTED_VALUE"""),"Appliance Rental")</f>
        <v>Appliance Rental</v>
      </c>
      <c r="I427" s="65" t="str">
        <f>IFERROR(__xludf.DUMMYFUNCTION("""COMPUTED_VALUE""")," Double-Door Mini Fridge + Microwave   - ")</f>
        <v> Double-Door Mini Fridge + Microwave   - </v>
      </c>
      <c r="J427" s="65">
        <f>IFERROR(__xludf.DUMMYFUNCTION("""COMPUTED_VALUE"""),210.0)</f>
        <v>210</v>
      </c>
      <c r="K427" s="103">
        <f>IFERROR(__xludf.DUMMYFUNCTION("""COMPUTED_VALUE"""),45883.0)</f>
        <v>45883</v>
      </c>
      <c r="L427" s="65" t="str">
        <f>IFERROR(__xludf.DUMMYFUNCTION("""COMPUTED_VALUE"""),"Myers  ")</f>
        <v>Myers  </v>
      </c>
      <c r="M427" s="68" t="str">
        <f>IFERROR(__xludf.DUMMYFUNCTION("""COMPUTED_VALUE"""),"344a")</f>
        <v>344a</v>
      </c>
      <c r="N427" s="65"/>
      <c r="O427" s="65" t="b">
        <f>COUNTIF('Delivered Rentals'!A:A, B427) &gt; 0</f>
        <v>1</v>
      </c>
      <c r="P427" s="104"/>
    </row>
    <row r="428">
      <c r="A428" s="99" t="str">
        <f>IFERROR(__xludf.DUMMYFUNCTION("""COMPUTED_VALUE"""),"https://utrucking.com/admin/orders/5935838036156")</f>
        <v>https://utrucking.com/admin/orders/5935838036156</v>
      </c>
      <c r="B428" s="61" t="str">
        <f>IFERROR(__xludf.DUMMYFUNCTION("""COMPUTED_VALUE"""),"#16222")</f>
        <v>#16222</v>
      </c>
      <c r="C428" s="61" t="str">
        <f>IFERROR(__xludf.DUMMYFUNCTION("""COMPUTED_VALUE"""),"jensilbert1@gmail.com")</f>
        <v>jensilbert1@gmail.com</v>
      </c>
      <c r="D428" s="61">
        <f>IFERROR(__xludf.DUMMYFUNCTION("""COMPUTED_VALUE"""),9.178415578E9)</f>
        <v>9178415578</v>
      </c>
      <c r="E428" s="61" t="str">
        <f>IFERROR(__xludf.DUMMYFUNCTION("""COMPUTED_VALUE"""),"Jennifer Silbert")</f>
        <v>Jennifer Silbert</v>
      </c>
      <c r="F428" s="61" t="str">
        <f>IFERROR(__xludf.DUMMYFUNCTION("""COMPUTED_VALUE"""),"Sabrina Silbert")</f>
        <v>Sabrina Silbert</v>
      </c>
      <c r="G428" s="61"/>
      <c r="H428" s="61" t="str">
        <f>IFERROR(__xludf.DUMMYFUNCTION("""COMPUTED_VALUE"""),"Appliance Rental")</f>
        <v>Appliance Rental</v>
      </c>
      <c r="I428" s="61" t="str">
        <f>IFERROR(__xludf.DUMMYFUNCTION("""COMPUTED_VALUE""")," Double-Door Mini Fridge   - ")</f>
        <v> Double-Door Mini Fridge   - </v>
      </c>
      <c r="J428" s="61">
        <f>IFERROR(__xludf.DUMMYFUNCTION("""COMPUTED_VALUE"""),145.0)</f>
        <v>145</v>
      </c>
      <c r="K428" s="100">
        <f>IFERROR(__xludf.DUMMYFUNCTION("""COMPUTED_VALUE"""),45883.0)</f>
        <v>45883</v>
      </c>
      <c r="L428" s="61" t="str">
        <f>IFERROR(__xludf.DUMMYFUNCTION("""COMPUTED_VALUE"""),"Lopata  ")</f>
        <v>Lopata  </v>
      </c>
      <c r="M428" s="64" t="str">
        <f>IFERROR(__xludf.DUMMYFUNCTION("""COMPUTED_VALUE"""),"3052a")</f>
        <v>3052a</v>
      </c>
      <c r="N428" s="61"/>
      <c r="O428" s="61" t="b">
        <f>COUNTIF('Delivered Rentals'!A:A, B428) &gt; 0</f>
        <v>1</v>
      </c>
      <c r="P428" s="101"/>
    </row>
    <row r="429">
      <c r="A429" s="102" t="str">
        <f>IFERROR(__xludf.DUMMYFUNCTION("""COMPUTED_VALUE"""),"https://utrucking.com/admin/orders/5935886303420")</f>
        <v>https://utrucking.com/admin/orders/5935886303420</v>
      </c>
      <c r="B429" s="65" t="str">
        <f>IFERROR(__xludf.DUMMYFUNCTION("""COMPUTED_VALUE"""),"#16223")</f>
        <v>#16223</v>
      </c>
      <c r="C429" s="65" t="str">
        <f>IFERROR(__xludf.DUMMYFUNCTION("""COMPUTED_VALUE"""),"burns.k.t@wustl.edu")</f>
        <v>burns.k.t@wustl.edu</v>
      </c>
      <c r="D429" s="65">
        <f>IFERROR(__xludf.DUMMYFUNCTION("""COMPUTED_VALUE"""),4.703668375E9)</f>
        <v>4703668375</v>
      </c>
      <c r="E429" s="65" t="str">
        <f>IFERROR(__xludf.DUMMYFUNCTION("""COMPUTED_VALUE"""),"Katherine Burns")</f>
        <v>Katherine Burns</v>
      </c>
      <c r="F429" s="65" t="str">
        <f>IFERROR(__xludf.DUMMYFUNCTION("""COMPUTED_VALUE"""),"Katherine Burns")</f>
        <v>Katherine Burns</v>
      </c>
      <c r="G429" s="65"/>
      <c r="H429" s="65" t="str">
        <f>IFERROR(__xludf.DUMMYFUNCTION("""COMPUTED_VALUE"""),"Appliance Rental")</f>
        <v>Appliance Rental</v>
      </c>
      <c r="I429" s="65" t="str">
        <f>IFERROR(__xludf.DUMMYFUNCTION("""COMPUTED_VALUE""")," Double-Door Mini Fridge + Microwave   - ")</f>
        <v> Double-Door Mini Fridge + Microwave   - </v>
      </c>
      <c r="J429" s="65">
        <f>IFERROR(__xludf.DUMMYFUNCTION("""COMPUTED_VALUE"""),210.0)</f>
        <v>210</v>
      </c>
      <c r="K429" s="103">
        <f>IFERROR(__xludf.DUMMYFUNCTION("""COMPUTED_VALUE"""),45883.0)</f>
        <v>45883</v>
      </c>
      <c r="L429" s="65" t="str">
        <f>IFERROR(__xludf.DUMMYFUNCTION("""COMPUTED_VALUE"""),"Mudd  ")</f>
        <v>Mudd  </v>
      </c>
      <c r="M429" s="68" t="str">
        <f>IFERROR(__xludf.DUMMYFUNCTION("""COMPUTED_VALUE"""),"151")</f>
        <v>151</v>
      </c>
      <c r="N429" s="65"/>
      <c r="O429" s="65" t="b">
        <f>COUNTIF('Delivered Rentals'!A:A, B429) &gt; 0</f>
        <v>1</v>
      </c>
      <c r="P429" s="104"/>
    </row>
    <row r="430">
      <c r="A430" s="99" t="str">
        <f>IFERROR(__xludf.DUMMYFUNCTION("""COMPUTED_VALUE"""),"https://utrucking.com/admin/orders/5935926214844")</f>
        <v>https://utrucking.com/admin/orders/5935926214844</v>
      </c>
      <c r="B430" s="61" t="str">
        <f>IFERROR(__xludf.DUMMYFUNCTION("""COMPUTED_VALUE"""),"#16224")</f>
        <v>#16224</v>
      </c>
      <c r="C430" s="61" t="str">
        <f>IFERROR(__xludf.DUMMYFUNCTION("""COMPUTED_VALUE"""),"carrington.s@wustl.edu")</f>
        <v>carrington.s@wustl.edu</v>
      </c>
      <c r="D430" s="61">
        <f>IFERROR(__xludf.DUMMYFUNCTION("""COMPUTED_VALUE"""),7.207532564E9)</f>
        <v>7207532564</v>
      </c>
      <c r="E430" s="61" t="str">
        <f>IFERROR(__xludf.DUMMYFUNCTION("""COMPUTED_VALUE"""),"Taylor Carrington")</f>
        <v>Taylor Carrington</v>
      </c>
      <c r="F430" s="61" t="str">
        <f>IFERROR(__xludf.DUMMYFUNCTION("""COMPUTED_VALUE"""),"Sally Carrington")</f>
        <v>Sally Carrington</v>
      </c>
      <c r="G430" s="61"/>
      <c r="H430" s="61" t="str">
        <f>IFERROR(__xludf.DUMMYFUNCTION("""COMPUTED_VALUE"""),"Appliance Rental")</f>
        <v>Appliance Rental</v>
      </c>
      <c r="I430" s="61" t="str">
        <f>IFERROR(__xludf.DUMMYFUNCTION("""COMPUTED_VALUE""")," Double-Door Mini Fridge   - ")</f>
        <v> Double-Door Mini Fridge   - </v>
      </c>
      <c r="J430" s="61">
        <f>IFERROR(__xludf.DUMMYFUNCTION("""COMPUTED_VALUE"""),145.0)</f>
        <v>145</v>
      </c>
      <c r="K430" s="100">
        <f>IFERROR(__xludf.DUMMYFUNCTION("""COMPUTED_VALUE"""),45882.0)</f>
        <v>45882</v>
      </c>
      <c r="L430" s="61" t="str">
        <f>IFERROR(__xludf.DUMMYFUNCTION("""COMPUTED_VALUE"""),"Nemerov  ")</f>
        <v>Nemerov  </v>
      </c>
      <c r="M430" s="64" t="str">
        <f>IFERROR(__xludf.DUMMYFUNCTION("""COMPUTED_VALUE"""),"4060")</f>
        <v>4060</v>
      </c>
      <c r="N430" s="61"/>
      <c r="O430" s="61" t="b">
        <f>COUNTIF('Delivered Rentals'!A:A, B430) &gt; 0</f>
        <v>1</v>
      </c>
      <c r="P430" s="101"/>
    </row>
    <row r="431">
      <c r="A431" s="102" t="str">
        <f>IFERROR(__xludf.DUMMYFUNCTION("""COMPUTED_VALUE"""),"https://utrucking.com/admin/orders/5935941812412")</f>
        <v>https://utrucking.com/admin/orders/5935941812412</v>
      </c>
      <c r="B431" s="65" t="str">
        <f>IFERROR(__xludf.DUMMYFUNCTION("""COMPUTED_VALUE"""),"#16226")</f>
        <v>#16226</v>
      </c>
      <c r="C431" s="65" t="str">
        <f>IFERROR(__xludf.DUMMYFUNCTION("""COMPUTED_VALUE"""),"reina1776@gmail.com")</f>
        <v>reina1776@gmail.com</v>
      </c>
      <c r="D431" s="65">
        <f>IFERROR(__xludf.DUMMYFUNCTION("""COMPUTED_VALUE"""),9.548065446E9)</f>
        <v>9548065446</v>
      </c>
      <c r="E431" s="65" t="str">
        <f>IFERROR(__xludf.DUMMYFUNCTION("""COMPUTED_VALUE"""),"Julie Hack")</f>
        <v>Julie Hack</v>
      </c>
      <c r="F431" s="65" t="str">
        <f>IFERROR(__xludf.DUMMYFUNCTION("""COMPUTED_VALUE"""),"Kennedy Hack-Juman")</f>
        <v>Kennedy Hack-Juman</v>
      </c>
      <c r="G431" s="65"/>
      <c r="H431" s="65" t="str">
        <f>IFERROR(__xludf.DUMMYFUNCTION("""COMPUTED_VALUE"""),"Appliance Rental")</f>
        <v>Appliance Rental</v>
      </c>
      <c r="I431" s="65" t="str">
        <f>IFERROR(__xludf.DUMMYFUNCTION("""COMPUTED_VALUE""")," Double-Door Mini Fridge   - ")</f>
        <v> Double-Door Mini Fridge   - </v>
      </c>
      <c r="J431" s="65">
        <f>IFERROR(__xludf.DUMMYFUNCTION("""COMPUTED_VALUE"""),145.0)</f>
        <v>145</v>
      </c>
      <c r="K431" s="103">
        <f>IFERROR(__xludf.DUMMYFUNCTION("""COMPUTED_VALUE"""),45883.0)</f>
        <v>45883</v>
      </c>
      <c r="L431" s="65" t="str">
        <f>IFERROR(__xludf.DUMMYFUNCTION("""COMPUTED_VALUE"""),"Lopata  ")</f>
        <v>Lopata  </v>
      </c>
      <c r="M431" s="68" t="str">
        <f>IFERROR(__xludf.DUMMYFUNCTION("""COMPUTED_VALUE"""),"3070")</f>
        <v>3070</v>
      </c>
      <c r="N431" s="65"/>
      <c r="O431" s="65" t="b">
        <f>COUNTIF('Delivered Rentals'!A:A, B431) &gt; 0</f>
        <v>1</v>
      </c>
      <c r="P431" s="104"/>
    </row>
    <row r="432">
      <c r="A432" s="99" t="str">
        <f>IFERROR(__xludf.DUMMYFUNCTION("""COMPUTED_VALUE"""),"https://utrucking.com/admin/orders/5936037888188")</f>
        <v>https://utrucking.com/admin/orders/5936037888188</v>
      </c>
      <c r="B432" s="61" t="str">
        <f>IFERROR(__xludf.DUMMYFUNCTION("""COMPUTED_VALUE"""),"#16229")</f>
        <v>#16229</v>
      </c>
      <c r="C432" s="61"/>
      <c r="D432" s="61">
        <f>IFERROR(__xludf.DUMMYFUNCTION("""COMPUTED_VALUE"""),9.175792E9)</f>
        <v>9175792000</v>
      </c>
      <c r="E432" s="61" t="str">
        <f>IFERROR(__xludf.DUMMYFUNCTION("""COMPUTED_VALUE"""),"Rebecca Shalam")</f>
        <v>Rebecca Shalam</v>
      </c>
      <c r="F432" s="61" t="str">
        <f>IFERROR(__xludf.DUMMYFUNCTION("""COMPUTED_VALUE"""),"Nathaniel Shalam")</f>
        <v>Nathaniel Shalam</v>
      </c>
      <c r="G432" s="61"/>
      <c r="H432" s="61" t="str">
        <f>IFERROR(__xludf.DUMMYFUNCTION("""COMPUTED_VALUE"""),"Appliance Rental")</f>
        <v>Appliance Rental</v>
      </c>
      <c r="I432" s="61" t="str">
        <f>IFERROR(__xludf.DUMMYFUNCTION("""COMPUTED_VALUE""")," Double-Door Mini Fridge + Microwave   - ")</f>
        <v> Double-Door Mini Fridge + Microwave   - </v>
      </c>
      <c r="J432" s="61">
        <f>IFERROR(__xludf.DUMMYFUNCTION("""COMPUTED_VALUE"""),210.0)</f>
        <v>210</v>
      </c>
      <c r="K432" s="100">
        <f>IFERROR(__xludf.DUMMYFUNCTION("""COMPUTED_VALUE"""),45883.0)</f>
        <v>45883</v>
      </c>
      <c r="L432" s="61" t="str">
        <f>IFERROR(__xludf.DUMMYFUNCTION("""COMPUTED_VALUE"""),"Danforth  ")</f>
        <v>Danforth  </v>
      </c>
      <c r="M432" s="64" t="str">
        <f>IFERROR(__xludf.DUMMYFUNCTION("""COMPUTED_VALUE"""),"3314 b")</f>
        <v>3314 b</v>
      </c>
      <c r="N432" s="61"/>
      <c r="O432" s="61" t="b">
        <f>COUNTIF('Delivered Rentals'!A:A, B432) &gt; 0</f>
        <v>1</v>
      </c>
      <c r="P432" s="101"/>
    </row>
    <row r="433">
      <c r="A433" s="102" t="str">
        <f>IFERROR(__xludf.DUMMYFUNCTION("""COMPUTED_VALUE"""),"https://utrucking.com/admin/orders/5936131178684")</f>
        <v>https://utrucking.com/admin/orders/5936131178684</v>
      </c>
      <c r="B433" s="65" t="str">
        <f>IFERROR(__xludf.DUMMYFUNCTION("""COMPUTED_VALUE"""),"#16231")</f>
        <v>#16231</v>
      </c>
      <c r="C433" s="65" t="str">
        <f>IFERROR(__xludf.DUMMYFUNCTION("""COMPUTED_VALUE"""),"juliebf@gmail.com")</f>
        <v>juliebf@gmail.com</v>
      </c>
      <c r="D433" s="65">
        <f>IFERROR(__xludf.DUMMYFUNCTION("""COMPUTED_VALUE"""),9.176931389E9)</f>
        <v>9176931389</v>
      </c>
      <c r="E433" s="65" t="str">
        <f>IFERROR(__xludf.DUMMYFUNCTION("""COMPUTED_VALUE"""),"Julie Fajgenbaum")</f>
        <v>Julie Fajgenbaum</v>
      </c>
      <c r="F433" s="65" t="str">
        <f>IFERROR(__xludf.DUMMYFUNCTION("""COMPUTED_VALUE"""),"Emmett Fajgenbaum")</f>
        <v>Emmett Fajgenbaum</v>
      </c>
      <c r="G433" s="65"/>
      <c r="H433" s="65" t="str">
        <f>IFERROR(__xludf.DUMMYFUNCTION("""COMPUTED_VALUE"""),"Appliance Rental")</f>
        <v>Appliance Rental</v>
      </c>
      <c r="I433" s="65" t="str">
        <f>IFERROR(__xludf.DUMMYFUNCTION("""COMPUTED_VALUE""")," Double-Door Mini Fridge   - ")</f>
        <v> Double-Door Mini Fridge   - </v>
      </c>
      <c r="J433" s="65">
        <f>IFERROR(__xludf.DUMMYFUNCTION("""COMPUTED_VALUE"""),145.0)</f>
        <v>145</v>
      </c>
      <c r="K433" s="103">
        <f>IFERROR(__xludf.DUMMYFUNCTION("""COMPUTED_VALUE"""),45883.0)</f>
        <v>45883</v>
      </c>
      <c r="L433" s="65" t="str">
        <f>IFERROR(__xludf.DUMMYFUNCTION("""COMPUTED_VALUE"""),"Park  ")</f>
        <v>Park  </v>
      </c>
      <c r="M433" s="68" t="str">
        <f>IFERROR(__xludf.DUMMYFUNCTION("""COMPUTED_VALUE"""),"442b")</f>
        <v>442b</v>
      </c>
      <c r="N433" s="65"/>
      <c r="O433" s="65" t="b">
        <f>COUNTIF('Delivered Rentals'!A:A, B433) &gt; 0</f>
        <v>1</v>
      </c>
      <c r="P433" s="104"/>
    </row>
    <row r="434">
      <c r="A434" s="99" t="str">
        <f>IFERROR(__xludf.DUMMYFUNCTION("""COMPUTED_VALUE"""),"https://utrucking.com/admin/orders/5936149266620")</f>
        <v>https://utrucking.com/admin/orders/5936149266620</v>
      </c>
      <c r="B434" s="61" t="str">
        <f>IFERROR(__xludf.DUMMYFUNCTION("""COMPUTED_VALUE"""),"#16233")</f>
        <v>#16233</v>
      </c>
      <c r="C434" s="61" t="str">
        <f>IFERROR(__xludf.DUMMYFUNCTION("""COMPUTED_VALUE"""),"jnewmanny@gmail.com")</f>
        <v>jnewmanny@gmail.com</v>
      </c>
      <c r="D434" s="61">
        <f>IFERROR(__xludf.DUMMYFUNCTION("""COMPUTED_VALUE"""),9.175879462E9)</f>
        <v>9175879462</v>
      </c>
      <c r="E434" s="61" t="str">
        <f>IFERROR(__xludf.DUMMYFUNCTION("""COMPUTED_VALUE"""),"Jennifer Newman")</f>
        <v>Jennifer Newman</v>
      </c>
      <c r="F434" s="61" t="str">
        <f>IFERROR(__xludf.DUMMYFUNCTION("""COMPUTED_VALUE"""),"Miles Newman")</f>
        <v>Miles Newman</v>
      </c>
      <c r="G434" s="61"/>
      <c r="H434" s="61" t="str">
        <f>IFERROR(__xludf.DUMMYFUNCTION("""COMPUTED_VALUE"""),"Appliance Rental")</f>
        <v>Appliance Rental</v>
      </c>
      <c r="I434" s="61" t="str">
        <f>IFERROR(__xludf.DUMMYFUNCTION("""COMPUTED_VALUE""")," Standard Mini Fridge   - ")</f>
        <v> Standard Mini Fridge   - </v>
      </c>
      <c r="J434" s="61">
        <f>IFERROR(__xludf.DUMMYFUNCTION("""COMPUTED_VALUE"""),115.0)</f>
        <v>115</v>
      </c>
      <c r="K434" s="100">
        <f>IFERROR(__xludf.DUMMYFUNCTION("""COMPUTED_VALUE"""),45882.0)</f>
        <v>45882</v>
      </c>
      <c r="L434" s="61" t="str">
        <f>IFERROR(__xludf.DUMMYFUNCTION("""COMPUTED_VALUE"""),"Lien  ")</f>
        <v>Lien  </v>
      </c>
      <c r="M434" s="64" t="str">
        <f>IFERROR(__xludf.DUMMYFUNCTION("""COMPUTED_VALUE"""),"2233")</f>
        <v>2233</v>
      </c>
      <c r="N434" s="61"/>
      <c r="O434" s="61" t="b">
        <f>COUNTIF('Delivered Rentals'!A:A, B434) &gt; 0</f>
        <v>1</v>
      </c>
      <c r="P434" s="101"/>
    </row>
    <row r="435">
      <c r="A435" s="102" t="str">
        <f>IFERROR(__xludf.DUMMYFUNCTION("""COMPUTED_VALUE"""),"https://utrucking.com/admin/orders/5936310681788")</f>
        <v>https://utrucking.com/admin/orders/5936310681788</v>
      </c>
      <c r="B435" s="65" t="str">
        <f>IFERROR(__xludf.DUMMYFUNCTION("""COMPUTED_VALUE"""),"#16236")</f>
        <v>#16236</v>
      </c>
      <c r="C435" s="65" t="str">
        <f>IFERROR(__xludf.DUMMYFUNCTION("""COMPUTED_VALUE"""),"chloenoordehn@gmail.com")</f>
        <v>chloenoordehn@gmail.com</v>
      </c>
      <c r="D435" s="65">
        <f>IFERROR(__xludf.DUMMYFUNCTION("""COMPUTED_VALUE"""),1.703395961E10)</f>
        <v>17033959610</v>
      </c>
      <c r="E435" s="65" t="str">
        <f>IFERROR(__xludf.DUMMYFUNCTION("""COMPUTED_VALUE"""),"Chloe dehn")</f>
        <v>Chloe dehn</v>
      </c>
      <c r="F435" s="65" t="str">
        <f>IFERROR(__xludf.DUMMYFUNCTION("""COMPUTED_VALUE"""),"Chloe Dehn")</f>
        <v>Chloe Dehn</v>
      </c>
      <c r="G435" s="65"/>
      <c r="H435" s="65" t="str">
        <f>IFERROR(__xludf.DUMMYFUNCTION("""COMPUTED_VALUE"""),"Appliance Rental")</f>
        <v>Appliance Rental</v>
      </c>
      <c r="I435" s="65" t="str">
        <f>IFERROR(__xludf.DUMMYFUNCTION("""COMPUTED_VALUE""")," Double-Door Mini Fridge + Microwave   - ")</f>
        <v> Double-Door Mini Fridge + Microwave   - </v>
      </c>
      <c r="J435" s="65">
        <f>IFERROR(__xludf.DUMMYFUNCTION("""COMPUTED_VALUE"""),210.0)</f>
        <v>210</v>
      </c>
      <c r="K435" s="103">
        <f>IFERROR(__xludf.DUMMYFUNCTION("""COMPUTED_VALUE"""),45883.0)</f>
        <v>45883</v>
      </c>
      <c r="L435" s="65" t="str">
        <f>IFERROR(__xludf.DUMMYFUNCTION("""COMPUTED_VALUE"""),"Umrath  ")</f>
        <v>Umrath  </v>
      </c>
      <c r="M435" s="68" t="str">
        <f>IFERROR(__xludf.DUMMYFUNCTION("""COMPUTED_VALUE"""),"3326-a")</f>
        <v>3326-a</v>
      </c>
      <c r="N435" s="65"/>
      <c r="O435" s="65" t="b">
        <f>COUNTIF('Delivered Rentals'!A:A, B435) &gt; 0</f>
        <v>1</v>
      </c>
      <c r="P435" s="104"/>
    </row>
    <row r="436">
      <c r="A436" s="99" t="str">
        <f>IFERROR(__xludf.DUMMYFUNCTION("""COMPUTED_VALUE"""),"https://utrucking.com/admin/orders/5936404299964")</f>
        <v>https://utrucking.com/admin/orders/5936404299964</v>
      </c>
      <c r="B436" s="61" t="str">
        <f>IFERROR(__xludf.DUMMYFUNCTION("""COMPUTED_VALUE"""),"#16241")</f>
        <v>#16241</v>
      </c>
      <c r="C436" s="61"/>
      <c r="D436" s="61">
        <f>IFERROR(__xludf.DUMMYFUNCTION("""COMPUTED_VALUE"""),7.87402121E9)</f>
        <v>7874021210</v>
      </c>
      <c r="E436" s="61" t="str">
        <f>IFERROR(__xludf.DUMMYFUNCTION("""COMPUTED_VALUE"""),"Jaime Ortiz")</f>
        <v>Jaime Ortiz</v>
      </c>
      <c r="F436" s="61" t="str">
        <f>IFERROR(__xludf.DUMMYFUNCTION("""COMPUTED_VALUE"""),"Diego")</f>
        <v>Diego</v>
      </c>
      <c r="G436" s="61"/>
      <c r="H436" s="61" t="str">
        <f>IFERROR(__xludf.DUMMYFUNCTION("""COMPUTED_VALUE"""),"Appliance Rental")</f>
        <v>Appliance Rental</v>
      </c>
      <c r="I436" s="61" t="str">
        <f>IFERROR(__xludf.DUMMYFUNCTION("""COMPUTED_VALUE""")," Double-Door Mini Fridge   - ")</f>
        <v> Double-Door Mini Fridge   - </v>
      </c>
      <c r="J436" s="61">
        <f>IFERROR(__xludf.DUMMYFUNCTION("""COMPUTED_VALUE"""),145.0)</f>
        <v>145</v>
      </c>
      <c r="K436" s="100">
        <f>IFERROR(__xludf.DUMMYFUNCTION("""COMPUTED_VALUE"""),45883.0)</f>
        <v>45883</v>
      </c>
      <c r="L436" s="61" t="str">
        <f>IFERROR(__xludf.DUMMYFUNCTION("""COMPUTED_VALUE"""),"Rutledge  ")</f>
        <v>Rutledge  </v>
      </c>
      <c r="M436" s="64" t="str">
        <f>IFERROR(__xludf.DUMMYFUNCTION("""COMPUTED_VALUE"""),"244")</f>
        <v>244</v>
      </c>
      <c r="N436" s="61"/>
      <c r="O436" s="61" t="b">
        <f>COUNTIF('Delivered Rentals'!A:A, B436) &gt; 0</f>
        <v>1</v>
      </c>
      <c r="P436" s="101"/>
    </row>
    <row r="437">
      <c r="A437" s="102" t="str">
        <f>IFERROR(__xludf.DUMMYFUNCTION("""COMPUTED_VALUE"""),"https://utrucking.com/admin/orders/5936419799228")</f>
        <v>https://utrucking.com/admin/orders/5936419799228</v>
      </c>
      <c r="B437" s="65" t="str">
        <f>IFERROR(__xludf.DUMMYFUNCTION("""COMPUTED_VALUE"""),"#16242")</f>
        <v>#16242</v>
      </c>
      <c r="C437" s="65" t="str">
        <f>IFERROR(__xludf.DUMMYFUNCTION("""COMPUTED_VALUE"""),"chiu.t@wustl.edu")</f>
        <v>chiu.t@wustl.edu</v>
      </c>
      <c r="D437" s="65">
        <f>IFERROR(__xludf.DUMMYFUNCTION("""COMPUTED_VALUE"""),9.178269653E9)</f>
        <v>9178269653</v>
      </c>
      <c r="E437" s="65" t="str">
        <f>IFERROR(__xludf.DUMMYFUNCTION("""COMPUTED_VALUE"""),"Patricia Choi")</f>
        <v>Patricia Choi</v>
      </c>
      <c r="F437" s="65" t="str">
        <f>IFERROR(__xludf.DUMMYFUNCTION("""COMPUTED_VALUE"""),"Tyler Chiu")</f>
        <v>Tyler Chiu</v>
      </c>
      <c r="G437" s="65"/>
      <c r="H437" s="65" t="str">
        <f>IFERROR(__xludf.DUMMYFUNCTION("""COMPUTED_VALUE"""),"Appliance Rental")</f>
        <v>Appliance Rental</v>
      </c>
      <c r="I437" s="65" t="str">
        <f>IFERROR(__xludf.DUMMYFUNCTION("""COMPUTED_VALUE""")," Standard Mini Fridge   - ")</f>
        <v> Standard Mini Fridge   - </v>
      </c>
      <c r="J437" s="65">
        <f>IFERROR(__xludf.DUMMYFUNCTION("""COMPUTED_VALUE"""),115.0)</f>
        <v>115</v>
      </c>
      <c r="K437" s="103">
        <f>IFERROR(__xludf.DUMMYFUNCTION("""COMPUTED_VALUE"""),45883.0)</f>
        <v>45883</v>
      </c>
      <c r="L437" s="65" t="str">
        <f>IFERROR(__xludf.DUMMYFUNCTION("""COMPUTED_VALUE"""),"Nemerov  ")</f>
        <v>Nemerov  </v>
      </c>
      <c r="M437" s="68" t="str">
        <f>IFERROR(__xludf.DUMMYFUNCTION("""COMPUTED_VALUE"""),"3032")</f>
        <v>3032</v>
      </c>
      <c r="N437" s="65"/>
      <c r="O437" s="65" t="b">
        <f>COUNTIF('Delivered Rentals'!A:A, B437) &gt; 0</f>
        <v>1</v>
      </c>
      <c r="P437" s="104"/>
    </row>
    <row r="438">
      <c r="A438" s="99" t="str">
        <f>IFERROR(__xludf.DUMMYFUNCTION("""COMPUTED_VALUE"""),"https://utrucking.com/admin/orders/5936446734524")</f>
        <v>https://utrucking.com/admin/orders/5936446734524</v>
      </c>
      <c r="B438" s="61" t="str">
        <f>IFERROR(__xludf.DUMMYFUNCTION("""COMPUTED_VALUE"""),"#16243")</f>
        <v>#16243</v>
      </c>
      <c r="C438" s="61" t="str">
        <f>IFERROR(__xludf.DUMMYFUNCTION("""COMPUTED_VALUE"""),"cp8586@gmail.com")</f>
        <v>cp8586@gmail.com</v>
      </c>
      <c r="D438" s="61">
        <f>IFERROR(__xludf.DUMMYFUNCTION("""COMPUTED_VALUE"""),4.405619067E9)</f>
        <v>4405619067</v>
      </c>
      <c r="E438" s="61" t="str">
        <f>IFERROR(__xludf.DUMMYFUNCTION("""COMPUTED_VALUE"""),"Catherine Watkins")</f>
        <v>Catherine Watkins</v>
      </c>
      <c r="F438" s="61" t="str">
        <f>IFERROR(__xludf.DUMMYFUNCTION("""COMPUTED_VALUE"""),"Peter Watkins")</f>
        <v>Peter Watkins</v>
      </c>
      <c r="G438" s="61"/>
      <c r="H438" s="61" t="str">
        <f>IFERROR(__xludf.DUMMYFUNCTION("""COMPUTED_VALUE"""),"Appliance Rental")</f>
        <v>Appliance Rental</v>
      </c>
      <c r="I438" s="61" t="str">
        <f>IFERROR(__xludf.DUMMYFUNCTION("""COMPUTED_VALUE""")," Standard Mini Fridge   - ")</f>
        <v> Standard Mini Fridge   - </v>
      </c>
      <c r="J438" s="61">
        <f>IFERROR(__xludf.DUMMYFUNCTION("""COMPUTED_VALUE"""),115.0)</f>
        <v>115</v>
      </c>
      <c r="K438" s="100">
        <f>IFERROR(__xludf.DUMMYFUNCTION("""COMPUTED_VALUE"""),45883.0)</f>
        <v>45883</v>
      </c>
      <c r="L438" s="61" t="str">
        <f>IFERROR(__xludf.DUMMYFUNCTION("""COMPUTED_VALUE"""),"Dauten  ")</f>
        <v>Dauten  </v>
      </c>
      <c r="M438" s="64" t="str">
        <f>IFERROR(__xludf.DUMMYFUNCTION("""COMPUTED_VALUE"""),"413-a")</f>
        <v>413-a</v>
      </c>
      <c r="N438" s="61"/>
      <c r="O438" s="61" t="b">
        <f>COUNTIF('Delivered Rentals'!A:A, B438) &gt; 0</f>
        <v>1</v>
      </c>
      <c r="P438" s="101"/>
    </row>
    <row r="439">
      <c r="A439" s="102" t="str">
        <f>IFERROR(__xludf.DUMMYFUNCTION("""COMPUTED_VALUE"""),"https://utrucking.com/admin/orders/5936474652860")</f>
        <v>https://utrucking.com/admin/orders/5936474652860</v>
      </c>
      <c r="B439" s="65" t="str">
        <f>IFERROR(__xludf.DUMMYFUNCTION("""COMPUTED_VALUE"""),"#16244")</f>
        <v>#16244</v>
      </c>
      <c r="C439" s="65"/>
      <c r="D439" s="65">
        <f>IFERROR(__xludf.DUMMYFUNCTION("""COMPUTED_VALUE"""),7.322074234E9)</f>
        <v>7322074234</v>
      </c>
      <c r="E439" s="65" t="str">
        <f>IFERROR(__xludf.DUMMYFUNCTION("""COMPUTED_VALUE"""),"Kiran Banoor")</f>
        <v>Kiran Banoor</v>
      </c>
      <c r="F439" s="65" t="str">
        <f>IFERROR(__xludf.DUMMYFUNCTION("""COMPUTED_VALUE"""),"Aarush Banoor")</f>
        <v>Aarush Banoor</v>
      </c>
      <c r="G439" s="65"/>
      <c r="H439" s="65" t="str">
        <f>IFERROR(__xludf.DUMMYFUNCTION("""COMPUTED_VALUE"""),"Appliance Rental")</f>
        <v>Appliance Rental</v>
      </c>
      <c r="I439" s="65" t="str">
        <f>IFERROR(__xludf.DUMMYFUNCTION("""COMPUTED_VALUE""")," Double-Door Mini Fridge + Microwave   - ")</f>
        <v> Double-Door Mini Fridge + Microwave   - </v>
      </c>
      <c r="J439" s="65">
        <f>IFERROR(__xludf.DUMMYFUNCTION("""COMPUTED_VALUE"""),210.0)</f>
        <v>210</v>
      </c>
      <c r="K439" s="103">
        <f>IFERROR(__xludf.DUMMYFUNCTION("""COMPUTED_VALUE"""),45883.0)</f>
        <v>45883</v>
      </c>
      <c r="L439" s="65" t="str">
        <f>IFERROR(__xludf.DUMMYFUNCTION("""COMPUTED_VALUE"""),"Eliot A (Thomas Eliot)")</f>
        <v>Eliot A (Thomas Eliot)</v>
      </c>
      <c r="M439" s="68" t="str">
        <f>IFERROR(__xludf.DUMMYFUNCTION("""COMPUTED_VALUE"""),"0700")</f>
        <v>0700</v>
      </c>
      <c r="N439" s="65"/>
      <c r="O439" s="65" t="b">
        <f>COUNTIF('Delivered Rentals'!A:A, B439) &gt; 0</f>
        <v>1</v>
      </c>
      <c r="P439" s="104"/>
    </row>
    <row r="440">
      <c r="A440" s="99" t="str">
        <f>IFERROR(__xludf.DUMMYFUNCTION("""COMPUTED_VALUE"""),"https://utrucking.com/admin/orders/5936521773244")</f>
        <v>https://utrucking.com/admin/orders/5936521773244</v>
      </c>
      <c r="B440" s="61" t="str">
        <f>IFERROR(__xludf.DUMMYFUNCTION("""COMPUTED_VALUE"""),"#16245")</f>
        <v>#16245</v>
      </c>
      <c r="C440" s="61"/>
      <c r="D440" s="61">
        <f>IFERROR(__xludf.DUMMYFUNCTION("""COMPUTED_VALUE"""),3.107173497E9)</f>
        <v>3107173497</v>
      </c>
      <c r="E440" s="61" t="str">
        <f>IFERROR(__xludf.DUMMYFUNCTION("""COMPUTED_VALUE"""),"Ellen Goldsmith-Vein")</f>
        <v>Ellen Goldsmith-Vein</v>
      </c>
      <c r="F440" s="61" t="str">
        <f>IFERROR(__xludf.DUMMYFUNCTION("""COMPUTED_VALUE"""),"Jack Vein")</f>
        <v>Jack Vein</v>
      </c>
      <c r="G440" s="61"/>
      <c r="H440" s="61" t="str">
        <f>IFERROR(__xludf.DUMMYFUNCTION("""COMPUTED_VALUE"""),"Appliance Rental")</f>
        <v>Appliance Rental</v>
      </c>
      <c r="I440" s="61" t="str">
        <f>IFERROR(__xludf.DUMMYFUNCTION("""COMPUTED_VALUE""")," Standard Mini Fridge   - ")</f>
        <v> Standard Mini Fridge   - </v>
      </c>
      <c r="J440" s="61">
        <f>IFERROR(__xludf.DUMMYFUNCTION("""COMPUTED_VALUE"""),115.0)</f>
        <v>115</v>
      </c>
      <c r="K440" s="100">
        <f>IFERROR(__xludf.DUMMYFUNCTION("""COMPUTED_VALUE"""),45890.0)</f>
        <v>45890</v>
      </c>
      <c r="L440" s="61" t="str">
        <f>IFERROR(__xludf.DUMMYFUNCTION("""COMPUTED_VALUE"""),"DON'T KNOW YET (put 'XXX' for room #)")</f>
        <v>DON'T KNOW YET (put 'XXX' for room #)</v>
      </c>
      <c r="M440" s="64" t="str">
        <f>IFERROR(__xludf.DUMMYFUNCTION("""COMPUTED_VALUE"""),"6669 Washington Avenue")</f>
        <v>6669 Washington Avenue</v>
      </c>
      <c r="N440" s="61"/>
      <c r="O440" s="61" t="b">
        <f>COUNTIF('Delivered Rentals'!A:A, B440) &gt; 0</f>
        <v>1</v>
      </c>
      <c r="P440" s="101"/>
    </row>
    <row r="441">
      <c r="A441" s="102" t="str">
        <f>IFERROR(__xludf.DUMMYFUNCTION("""COMPUTED_VALUE"""),"https://utrucking.com/admin/orders/5936527048892")</f>
        <v>https://utrucking.com/admin/orders/5936527048892</v>
      </c>
      <c r="B441" s="65" t="str">
        <f>IFERROR(__xludf.DUMMYFUNCTION("""COMPUTED_VALUE"""),"#16246")</f>
        <v>#16246</v>
      </c>
      <c r="C441" s="65" t="str">
        <f>IFERROR(__xludf.DUMMYFUNCTION("""COMPUTED_VALUE"""),"kbwilson24@comcast.net")</f>
        <v>kbwilson24@comcast.net</v>
      </c>
      <c r="D441" s="65">
        <f>IFERROR(__xludf.DUMMYFUNCTION("""COMPUTED_VALUE"""),8.476918994E9)</f>
        <v>8476918994</v>
      </c>
      <c r="E441" s="65" t="str">
        <f>IFERROR(__xludf.DUMMYFUNCTION("""COMPUTED_VALUE"""),"Karen Wilson")</f>
        <v>Karen Wilson</v>
      </c>
      <c r="F441" s="65" t="str">
        <f>IFERROR(__xludf.DUMMYFUNCTION("""COMPUTED_VALUE"""),"Grant Wilson")</f>
        <v>Grant Wilson</v>
      </c>
      <c r="G441" s="65"/>
      <c r="H441" s="65" t="str">
        <f>IFERROR(__xludf.DUMMYFUNCTION("""COMPUTED_VALUE"""),"Appliance Rental")</f>
        <v>Appliance Rental</v>
      </c>
      <c r="I441" s="65" t="str">
        <f>IFERROR(__xludf.DUMMYFUNCTION("""COMPUTED_VALUE""")," Microwave Only   - ")</f>
        <v> Microwave Only   - </v>
      </c>
      <c r="J441" s="65">
        <f>IFERROR(__xludf.DUMMYFUNCTION("""COMPUTED_VALUE"""),65.0)</f>
        <v>65</v>
      </c>
      <c r="K441" s="103">
        <f>IFERROR(__xludf.DUMMYFUNCTION("""COMPUTED_VALUE"""),45883.0)</f>
        <v>45883</v>
      </c>
      <c r="L441" s="65" t="str">
        <f>IFERROR(__xludf.DUMMYFUNCTION("""COMPUTED_VALUE"""),"Lee  ")</f>
        <v>Lee  </v>
      </c>
      <c r="M441" s="68" t="str">
        <f>IFERROR(__xludf.DUMMYFUNCTION("""COMPUTED_VALUE"""),"222")</f>
        <v>222</v>
      </c>
      <c r="N441" s="65"/>
      <c r="O441" s="65" t="b">
        <f>COUNTIF('Delivered Rentals'!A:A, B441) &gt; 0</f>
        <v>1</v>
      </c>
      <c r="P441" s="104"/>
    </row>
    <row r="442">
      <c r="A442" s="99" t="str">
        <f>IFERROR(__xludf.DUMMYFUNCTION("""COMPUTED_VALUE"""),"https://utrucking.com/admin/orders/5936660709564")</f>
        <v>https://utrucking.com/admin/orders/5936660709564</v>
      </c>
      <c r="B442" s="61" t="str">
        <f>IFERROR(__xludf.DUMMYFUNCTION("""COMPUTED_VALUE"""),"#16248")</f>
        <v>#16248</v>
      </c>
      <c r="C442" s="61" t="str">
        <f>IFERROR(__xludf.DUMMYFUNCTION("""COMPUTED_VALUE"""),"kdhhafs@gmail.com")</f>
        <v>kdhhafs@gmail.com</v>
      </c>
      <c r="D442" s="61">
        <f>IFERROR(__xludf.DUMMYFUNCTION("""COMPUTED_VALUE"""),3.147285258E9)</f>
        <v>3147285258</v>
      </c>
      <c r="E442" s="61" t="str">
        <f>IFERROR(__xludf.DUMMYFUNCTION("""COMPUTED_VALUE"""),"Justin Kim")</f>
        <v>Justin Kim</v>
      </c>
      <c r="F442" s="61" t="str">
        <f>IFERROR(__xludf.DUMMYFUNCTION("""COMPUTED_VALUE"""),"Jaewon Lee")</f>
        <v>Jaewon Lee</v>
      </c>
      <c r="G442" s="61"/>
      <c r="H442" s="61" t="str">
        <f>IFERROR(__xludf.DUMMYFUNCTION("""COMPUTED_VALUE"""),"Appliance Rental")</f>
        <v>Appliance Rental</v>
      </c>
      <c r="I442" s="61" t="str">
        <f>IFERROR(__xludf.DUMMYFUNCTION("""COMPUTED_VALUE""")," Microwave Only   - ")</f>
        <v> Microwave Only   - </v>
      </c>
      <c r="J442" s="61">
        <f>IFERROR(__xludf.DUMMYFUNCTION("""COMPUTED_VALUE"""),65.0)</f>
        <v>65</v>
      </c>
      <c r="K442" s="100">
        <f>IFERROR(__xludf.DUMMYFUNCTION("""COMPUTED_VALUE"""),45883.0)</f>
        <v>45883</v>
      </c>
      <c r="L442" s="61" t="str">
        <f>IFERROR(__xludf.DUMMYFUNCTION("""COMPUTED_VALUE"""),"Village House  ")</f>
        <v>Village House  </v>
      </c>
      <c r="M442" s="64" t="str">
        <f>IFERROR(__xludf.DUMMYFUNCTION("""COMPUTED_VALUE"""),"3124")</f>
        <v>3124</v>
      </c>
      <c r="N442" s="61"/>
      <c r="O442" s="61" t="b">
        <f>COUNTIF('Delivered Rentals'!A:A, B442) &gt; 0</f>
        <v>1</v>
      </c>
      <c r="P442" s="101"/>
    </row>
    <row r="443">
      <c r="A443" s="102" t="str">
        <f>IFERROR(__xludf.DUMMYFUNCTION("""COMPUTED_VALUE"""),"https://utrucking.com/admin/orders/5936968138940")</f>
        <v>https://utrucking.com/admin/orders/5936968138940</v>
      </c>
      <c r="B443" s="65" t="str">
        <f>IFERROR(__xludf.DUMMYFUNCTION("""COMPUTED_VALUE"""),"#16251")</f>
        <v>#16251</v>
      </c>
      <c r="C443" s="65" t="str">
        <f>IFERROR(__xludf.DUMMYFUNCTION("""COMPUTED_VALUE"""),"jennifermaxell@gmail.com")</f>
        <v>jennifermaxell@gmail.com</v>
      </c>
      <c r="D443" s="65">
        <f>IFERROR(__xludf.DUMMYFUNCTION("""COMPUTED_VALUE"""),7.708336909E9)</f>
        <v>7708336909</v>
      </c>
      <c r="E443" s="65" t="str">
        <f>IFERROR(__xludf.DUMMYFUNCTION("""COMPUTED_VALUE"""),"Jennifer Maxell")</f>
        <v>Jennifer Maxell</v>
      </c>
      <c r="F443" s="65" t="str">
        <f>IFERROR(__xludf.DUMMYFUNCTION("""COMPUTED_VALUE"""),"Charles Maxell III")</f>
        <v>Charles Maxell III</v>
      </c>
      <c r="G443" s="65"/>
      <c r="H443" s="65" t="str">
        <f>IFERROR(__xludf.DUMMYFUNCTION("""COMPUTED_VALUE"""),"Appliance Rental")</f>
        <v>Appliance Rental</v>
      </c>
      <c r="I443" s="65" t="str">
        <f>IFERROR(__xludf.DUMMYFUNCTION("""COMPUTED_VALUE""")," Double-Door Mini Fridge   - ")</f>
        <v> Double-Door Mini Fridge   - </v>
      </c>
      <c r="J443" s="65">
        <f>IFERROR(__xludf.DUMMYFUNCTION("""COMPUTED_VALUE"""),145.0)</f>
        <v>145</v>
      </c>
      <c r="K443" s="103">
        <f>IFERROR(__xludf.DUMMYFUNCTION("""COMPUTED_VALUE"""),45882.0)</f>
        <v>45882</v>
      </c>
      <c r="L443" s="65" t="str">
        <f>IFERROR(__xludf.DUMMYFUNCTION("""COMPUTED_VALUE"""),"DON'T KNOW YET (put 'XXX' for room #)")</f>
        <v>DON'T KNOW YET (put 'XXX' for room #)</v>
      </c>
      <c r="M443" s="68" t="str">
        <f>IFERROR(__xludf.DUMMYFUNCTION("""COMPUTED_VALUE"""),"XXX")</f>
        <v>XXX</v>
      </c>
      <c r="N443" s="65"/>
      <c r="O443" s="65" t="b">
        <f>COUNTIF('Delivered Rentals'!A:A, B443) &gt; 0</f>
        <v>1</v>
      </c>
      <c r="P443" s="104"/>
    </row>
    <row r="444">
      <c r="A444" s="99" t="str">
        <f>IFERROR(__xludf.DUMMYFUNCTION("""COMPUTED_VALUE"""),"https://utrucking.com/admin/orders/5936996188348")</f>
        <v>https://utrucking.com/admin/orders/5936996188348</v>
      </c>
      <c r="B444" s="61" t="str">
        <f>IFERROR(__xludf.DUMMYFUNCTION("""COMPUTED_VALUE"""),"#16252")</f>
        <v>#16252</v>
      </c>
      <c r="C444" s="61" t="str">
        <f>IFERROR(__xludf.DUMMYFUNCTION("""COMPUTED_VALUE"""),"debbiekahn23@gmail.com")</f>
        <v>debbiekahn23@gmail.com</v>
      </c>
      <c r="D444" s="61">
        <f>IFERROR(__xludf.DUMMYFUNCTION("""COMPUTED_VALUE"""),9.145235728E9)</f>
        <v>9145235728</v>
      </c>
      <c r="E444" s="61" t="str">
        <f>IFERROR(__xludf.DUMMYFUNCTION("""COMPUTED_VALUE"""),"Debra Kahn")</f>
        <v>Debra Kahn</v>
      </c>
      <c r="F444" s="61" t="str">
        <f>IFERROR(__xludf.DUMMYFUNCTION("""COMPUTED_VALUE"""),"Julia Kahn")</f>
        <v>Julia Kahn</v>
      </c>
      <c r="G444" s="61"/>
      <c r="H444" s="61" t="str">
        <f>IFERROR(__xludf.DUMMYFUNCTION("""COMPUTED_VALUE"""),"Appliance Rental")</f>
        <v>Appliance Rental</v>
      </c>
      <c r="I444" s="61" t="str">
        <f>IFERROR(__xludf.DUMMYFUNCTION("""COMPUTED_VALUE""")," Double-Door Mini Fridge   - ")</f>
        <v> Double-Door Mini Fridge   - </v>
      </c>
      <c r="J444" s="61">
        <f>IFERROR(__xludf.DUMMYFUNCTION("""COMPUTED_VALUE"""),145.0)</f>
        <v>145</v>
      </c>
      <c r="K444" s="100">
        <f>IFERROR(__xludf.DUMMYFUNCTION("""COMPUTED_VALUE"""),45883.0)</f>
        <v>45883</v>
      </c>
      <c r="L444" s="61" t="str">
        <f>IFERROR(__xludf.DUMMYFUNCTION("""COMPUTED_VALUE"""),"Umrath  ")</f>
        <v>Umrath  </v>
      </c>
      <c r="M444" s="64" t="str">
        <f>IFERROR(__xludf.DUMMYFUNCTION("""COMPUTED_VALUE"""),"4404")</f>
        <v>4404</v>
      </c>
      <c r="N444" s="61"/>
      <c r="O444" s="61" t="b">
        <f>COUNTIF('Delivered Rentals'!A:A, B444) &gt; 0</f>
        <v>1</v>
      </c>
      <c r="P444" s="101"/>
    </row>
    <row r="445">
      <c r="A445" s="102" t="str">
        <f>IFERROR(__xludf.DUMMYFUNCTION("""COMPUTED_VALUE"""),"https://utrucking.com/admin/orders/5937012441276")</f>
        <v>https://utrucking.com/admin/orders/5937012441276</v>
      </c>
      <c r="B445" s="65" t="str">
        <f>IFERROR(__xludf.DUMMYFUNCTION("""COMPUTED_VALUE"""),"#16253")</f>
        <v>#16253</v>
      </c>
      <c r="C445" s="65" t="str">
        <f>IFERROR(__xludf.DUMMYFUNCTION("""COMPUTED_VALUE"""),"ygaguirre13@gmail.com")</f>
        <v>ygaguirre13@gmail.com</v>
      </c>
      <c r="D445" s="65">
        <f>IFERROR(__xludf.DUMMYFUNCTION("""COMPUTED_VALUE"""),7.739306923E9)</f>
        <v>7739306923</v>
      </c>
      <c r="E445" s="65" t="str">
        <f>IFERROR(__xludf.DUMMYFUNCTION("""COMPUTED_VALUE"""),"Yesenia Aguirre")</f>
        <v>Yesenia Aguirre</v>
      </c>
      <c r="F445" s="65" t="str">
        <f>IFERROR(__xludf.DUMMYFUNCTION("""COMPUTED_VALUE"""),"Yesenia Aguirre")</f>
        <v>Yesenia Aguirre</v>
      </c>
      <c r="G445" s="65"/>
      <c r="H445" s="65" t="str">
        <f>IFERROR(__xludf.DUMMYFUNCTION("""COMPUTED_VALUE"""),"Appliance Rental")</f>
        <v>Appliance Rental</v>
      </c>
      <c r="I445" s="65" t="str">
        <f>IFERROR(__xludf.DUMMYFUNCTION("""COMPUTED_VALUE""")," Double-Door Mini Fridge + Microwave   - ")</f>
        <v> Double-Door Mini Fridge + Microwave   - </v>
      </c>
      <c r="J445" s="65">
        <f>IFERROR(__xludf.DUMMYFUNCTION("""COMPUTED_VALUE"""),210.0)</f>
        <v>210</v>
      </c>
      <c r="K445" s="103">
        <f>IFERROR(__xludf.DUMMYFUNCTION("""COMPUTED_VALUE"""),45891.0)</f>
        <v>45891</v>
      </c>
      <c r="L445" s="65" t="str">
        <f>IFERROR(__xludf.DUMMYFUNCTION("""COMPUTED_VALUE"""),"Wheeler  ")</f>
        <v>Wheeler  </v>
      </c>
      <c r="M445" s="68" t="str">
        <f>IFERROR(__xludf.DUMMYFUNCTION("""COMPUTED_VALUE"""),"4003-a")</f>
        <v>4003-a</v>
      </c>
      <c r="N445" s="65"/>
      <c r="O445" s="65" t="b">
        <f>COUNTIF('Delivered Rentals'!A:A, B445) &gt; 0</f>
        <v>1</v>
      </c>
      <c r="P445" s="104"/>
    </row>
    <row r="446">
      <c r="A446" s="99" t="str">
        <f>IFERROR(__xludf.DUMMYFUNCTION("""COMPUTED_VALUE"""),"https://utrucking.com/admin/orders/5937078862012")</f>
        <v>https://utrucking.com/admin/orders/5937078862012</v>
      </c>
      <c r="B446" s="61" t="str">
        <f>IFERROR(__xludf.DUMMYFUNCTION("""COMPUTED_VALUE"""),"#16257")</f>
        <v>#16257</v>
      </c>
      <c r="C446" s="61" t="str">
        <f>IFERROR(__xludf.DUMMYFUNCTION("""COMPUTED_VALUE"""),"c.m.eddings@wustl.edu")</f>
        <v>c.m.eddings@wustl.edu</v>
      </c>
      <c r="D446" s="61">
        <f>IFERROR(__xludf.DUMMYFUNCTION("""COMPUTED_VALUE"""),3.179187156E9)</f>
        <v>3179187156</v>
      </c>
      <c r="E446" s="61" t="str">
        <f>IFERROR(__xludf.DUMMYFUNCTION("""COMPUTED_VALUE"""),"Denea Eddings")</f>
        <v>Denea Eddings</v>
      </c>
      <c r="F446" s="61" t="str">
        <f>IFERROR(__xludf.DUMMYFUNCTION("""COMPUTED_VALUE"""),"Cordell Eddings")</f>
        <v>Cordell Eddings</v>
      </c>
      <c r="G446" s="61"/>
      <c r="H446" s="61" t="str">
        <f>IFERROR(__xludf.DUMMYFUNCTION("""COMPUTED_VALUE"""),"Appliance Rental")</f>
        <v>Appliance Rental</v>
      </c>
      <c r="I446" s="61" t="str">
        <f>IFERROR(__xludf.DUMMYFUNCTION("""COMPUTED_VALUE""")," Standard Mini Fridge + Microwave   - ")</f>
        <v> Standard Mini Fridge + Microwave   - </v>
      </c>
      <c r="J446" s="61">
        <f>IFERROR(__xludf.DUMMYFUNCTION("""COMPUTED_VALUE"""),180.0)</f>
        <v>180</v>
      </c>
      <c r="K446" s="100">
        <f>IFERROR(__xludf.DUMMYFUNCTION("""COMPUTED_VALUE"""),45883.0)</f>
        <v>45883</v>
      </c>
      <c r="L446" s="61" t="str">
        <f>IFERROR(__xludf.DUMMYFUNCTION("""COMPUTED_VALUE"""),"Zetcher  ")</f>
        <v>Zetcher  </v>
      </c>
      <c r="M446" s="64" t="str">
        <f>IFERROR(__xludf.DUMMYFUNCTION("""COMPUTED_VALUE"""),"3012")</f>
        <v>3012</v>
      </c>
      <c r="N446" s="61"/>
      <c r="O446" s="61" t="b">
        <f>COUNTIF('Delivered Rentals'!A:A, B446) &gt; 0</f>
        <v>1</v>
      </c>
      <c r="P446" s="101"/>
    </row>
    <row r="447">
      <c r="A447" s="102" t="str">
        <f>IFERROR(__xludf.DUMMYFUNCTION("""COMPUTED_VALUE"""),"https://utrucking.com/admin/orders/5937162289340")</f>
        <v>https://utrucking.com/admin/orders/5937162289340</v>
      </c>
      <c r="B447" s="65" t="str">
        <f>IFERROR(__xludf.DUMMYFUNCTION("""COMPUTED_VALUE"""),"#16259")</f>
        <v>#16259</v>
      </c>
      <c r="C447" s="65" t="str">
        <f>IFERROR(__xludf.DUMMYFUNCTION("""COMPUTED_VALUE"""),"j.s.todes@wustl.edu")</f>
        <v>j.s.todes@wustl.edu</v>
      </c>
      <c r="D447" s="65">
        <f>IFERROR(__xludf.DUMMYFUNCTION("""COMPUTED_VALUE"""),9.172326716E9)</f>
        <v>9172326716</v>
      </c>
      <c r="E447" s="65" t="str">
        <f>IFERROR(__xludf.DUMMYFUNCTION("""COMPUTED_VALUE"""),"josh todes")</f>
        <v>josh todes</v>
      </c>
      <c r="F447" s="65" t="str">
        <f>IFERROR(__xludf.DUMMYFUNCTION("""COMPUTED_VALUE"""),"Josh Todes")</f>
        <v>Josh Todes</v>
      </c>
      <c r="G447" s="65"/>
      <c r="H447" s="65" t="str">
        <f>IFERROR(__xludf.DUMMYFUNCTION("""COMPUTED_VALUE"""),"Appliance Rental")</f>
        <v>Appliance Rental</v>
      </c>
      <c r="I447" s="65" t="str">
        <f>IFERROR(__xludf.DUMMYFUNCTION("""COMPUTED_VALUE""")," Double-Door Mini Fridge   - ")</f>
        <v> Double-Door Mini Fridge   - </v>
      </c>
      <c r="J447" s="65">
        <f>IFERROR(__xludf.DUMMYFUNCTION("""COMPUTED_VALUE"""),145.0)</f>
        <v>145</v>
      </c>
      <c r="K447" s="103">
        <f>IFERROR(__xludf.DUMMYFUNCTION("""COMPUTED_VALUE"""),45883.0)</f>
        <v>45883</v>
      </c>
      <c r="L447" s="65" t="str">
        <f>IFERROR(__xludf.DUMMYFUNCTION("""COMPUTED_VALUE"""),"Liggett  ")</f>
        <v>Liggett  </v>
      </c>
      <c r="M447" s="68" t="str">
        <f>IFERROR(__xludf.DUMMYFUNCTION("""COMPUTED_VALUE"""),"2324")</f>
        <v>2324</v>
      </c>
      <c r="N447" s="65"/>
      <c r="O447" s="65" t="b">
        <f>COUNTIF('Delivered Rentals'!A:A, B447) &gt; 0</f>
        <v>1</v>
      </c>
      <c r="P447" s="104"/>
    </row>
    <row r="448">
      <c r="A448" s="99" t="str">
        <f>IFERROR(__xludf.DUMMYFUNCTION("""COMPUTED_VALUE"""),"https://utrucking.com/admin/orders/5937169629372")</f>
        <v>https://utrucking.com/admin/orders/5937169629372</v>
      </c>
      <c r="B448" s="61" t="str">
        <f>IFERROR(__xludf.DUMMYFUNCTION("""COMPUTED_VALUE"""),"#16260")</f>
        <v>#16260</v>
      </c>
      <c r="C448" s="61" t="str">
        <f>IFERROR(__xludf.DUMMYFUNCTION("""COMPUTED_VALUE"""),"mcmurtrie@wustl.edu")</f>
        <v>mcmurtrie@wustl.edu</v>
      </c>
      <c r="D448" s="61">
        <f>IFERROR(__xludf.DUMMYFUNCTION("""COMPUTED_VALUE"""),5.109143676E9)</f>
        <v>5109143676</v>
      </c>
      <c r="E448" s="61" t="str">
        <f>IFERROR(__xludf.DUMMYFUNCTION("""COMPUTED_VALUE"""),"Leah Mahan")</f>
        <v>Leah Mahan</v>
      </c>
      <c r="F448" s="61" t="str">
        <f>IFERROR(__xludf.DUMMYFUNCTION("""COMPUTED_VALUE"""),"Owen McMurtrie")</f>
        <v>Owen McMurtrie</v>
      </c>
      <c r="G448" s="61"/>
      <c r="H448" s="61" t="str">
        <f>IFERROR(__xludf.DUMMYFUNCTION("""COMPUTED_VALUE"""),"Appliance Rental")</f>
        <v>Appliance Rental</v>
      </c>
      <c r="I448" s="61" t="str">
        <f>IFERROR(__xludf.DUMMYFUNCTION("""COMPUTED_VALUE""")," Standard Mini Fridge   - ")</f>
        <v> Standard Mini Fridge   - </v>
      </c>
      <c r="J448" s="61">
        <f>IFERROR(__xludf.DUMMYFUNCTION("""COMPUTED_VALUE"""),115.0)</f>
        <v>115</v>
      </c>
      <c r="K448" s="100">
        <f>IFERROR(__xludf.DUMMYFUNCTION("""COMPUTED_VALUE"""),45883.0)</f>
        <v>45883</v>
      </c>
      <c r="L448" s="61" t="str">
        <f>IFERROR(__xludf.DUMMYFUNCTION("""COMPUTED_VALUE"""),"Lee  ")</f>
        <v>Lee  </v>
      </c>
      <c r="M448" s="64" t="str">
        <f>IFERROR(__xludf.DUMMYFUNCTION("""COMPUTED_VALUE"""),"Lee - 121 - b")</f>
        <v>Lee - 121 - b</v>
      </c>
      <c r="N448" s="61"/>
      <c r="O448" s="61" t="b">
        <f>COUNTIF('Delivered Rentals'!A:A, B448) &gt; 0</f>
        <v>1</v>
      </c>
      <c r="P448" s="101"/>
    </row>
    <row r="449">
      <c r="A449" s="102" t="str">
        <f>IFERROR(__xludf.DUMMYFUNCTION("""COMPUTED_VALUE"""),"https://utrucking.com/admin/orders/5937174577340")</f>
        <v>https://utrucking.com/admin/orders/5937174577340</v>
      </c>
      <c r="B449" s="65" t="str">
        <f>IFERROR(__xludf.DUMMYFUNCTION("""COMPUTED_VALUE"""),"#16261")</f>
        <v>#16261</v>
      </c>
      <c r="C449" s="65" t="str">
        <f>IFERROR(__xludf.DUMMYFUNCTION("""COMPUTED_VALUE"""),"m.e.raue@wustl.edu")</f>
        <v>m.e.raue@wustl.edu</v>
      </c>
      <c r="D449" s="65">
        <f>IFERROR(__xludf.DUMMYFUNCTION("""COMPUTED_VALUE"""),1.3013001073E10)</f>
        <v>13013001073</v>
      </c>
      <c r="E449" s="65" t="str">
        <f>IFERROR(__xludf.DUMMYFUNCTION("""COMPUTED_VALUE"""),"Mackenzie Raue")</f>
        <v>Mackenzie Raue</v>
      </c>
      <c r="F449" s="65" t="str">
        <f>IFERROR(__xludf.DUMMYFUNCTION("""COMPUTED_VALUE"""),"Mackenzie Raue")</f>
        <v>Mackenzie Raue</v>
      </c>
      <c r="G449" s="65"/>
      <c r="H449" s="65" t="str">
        <f>IFERROR(__xludf.DUMMYFUNCTION("""COMPUTED_VALUE"""),"Appliance Rental")</f>
        <v>Appliance Rental</v>
      </c>
      <c r="I449" s="65" t="str">
        <f>IFERROR(__xludf.DUMMYFUNCTION("""COMPUTED_VALUE""")," Double-Door Mini Fridge   - ")</f>
        <v> Double-Door Mini Fridge   - </v>
      </c>
      <c r="J449" s="65">
        <f>IFERROR(__xludf.DUMMYFUNCTION("""COMPUTED_VALUE"""),145.0)</f>
        <v>145</v>
      </c>
      <c r="K449" s="103">
        <f>IFERROR(__xludf.DUMMYFUNCTION("""COMPUTED_VALUE"""),45882.0)</f>
        <v>45882</v>
      </c>
      <c r="L449" s="65" t="str">
        <f>IFERROR(__xludf.DUMMYFUNCTION("""COMPUTED_VALUE"""),"Gregg  ")</f>
        <v>Gregg  </v>
      </c>
      <c r="M449" s="68" t="str">
        <f>IFERROR(__xludf.DUMMYFUNCTION("""COMPUTED_VALUE"""),"2080")</f>
        <v>2080</v>
      </c>
      <c r="N449" s="65"/>
      <c r="O449" s="65" t="b">
        <f>COUNTIF('Delivered Rentals'!A:A, B449) &gt; 0</f>
        <v>1</v>
      </c>
      <c r="P449" s="104"/>
    </row>
    <row r="450">
      <c r="A450" s="99" t="str">
        <f>IFERROR(__xludf.DUMMYFUNCTION("""COMPUTED_VALUE"""),"https://utrucking.com/admin/orders/5937456087228")</f>
        <v>https://utrucking.com/admin/orders/5937456087228</v>
      </c>
      <c r="B450" s="61" t="str">
        <f>IFERROR(__xludf.DUMMYFUNCTION("""COMPUTED_VALUE"""),"#16267")</f>
        <v>#16267</v>
      </c>
      <c r="C450" s="61"/>
      <c r="D450" s="61">
        <f>IFERROR(__xludf.DUMMYFUNCTION("""COMPUTED_VALUE"""),7.703295284E9)</f>
        <v>7703295284</v>
      </c>
      <c r="E450" s="61" t="str">
        <f>IFERROR(__xludf.DUMMYFUNCTION("""COMPUTED_VALUE"""),"Christine Sterne")</f>
        <v>Christine Sterne</v>
      </c>
      <c r="F450" s="61" t="str">
        <f>IFERROR(__xludf.DUMMYFUNCTION("""COMPUTED_VALUE"""),"Eleanor Sterne")</f>
        <v>Eleanor Sterne</v>
      </c>
      <c r="G450" s="61"/>
      <c r="H450" s="61" t="str">
        <f>IFERROR(__xludf.DUMMYFUNCTION("""COMPUTED_VALUE"""),"Appliance Rental")</f>
        <v>Appliance Rental</v>
      </c>
      <c r="I450" s="61" t="str">
        <f>IFERROR(__xludf.DUMMYFUNCTION("""COMPUTED_VALUE""")," Standard Mini Fridge   - ")</f>
        <v> Standard Mini Fridge   - </v>
      </c>
      <c r="J450" s="61">
        <f>IFERROR(__xludf.DUMMYFUNCTION("""COMPUTED_VALUE"""),115.0)</f>
        <v>115</v>
      </c>
      <c r="K450" s="100">
        <f>IFERROR(__xludf.DUMMYFUNCTION("""COMPUTED_VALUE"""),45883.0)</f>
        <v>45883</v>
      </c>
      <c r="L450" s="61" t="str">
        <f>IFERROR(__xludf.DUMMYFUNCTION("""COMPUTED_VALUE"""),"Myers  ")</f>
        <v>Myers  </v>
      </c>
      <c r="M450" s="64" t="str">
        <f>IFERROR(__xludf.DUMMYFUNCTION("""COMPUTED_VALUE"""),"242a")</f>
        <v>242a</v>
      </c>
      <c r="N450" s="61"/>
      <c r="O450" s="61" t="b">
        <f>COUNTIF('Delivered Rentals'!A:A, B450) &gt; 0</f>
        <v>1</v>
      </c>
      <c r="P450" s="101"/>
    </row>
    <row r="451">
      <c r="A451" s="102" t="str">
        <f>IFERROR(__xludf.DUMMYFUNCTION("""COMPUTED_VALUE"""),"https://utrucking.com/admin/orders/5937583227068")</f>
        <v>https://utrucking.com/admin/orders/5937583227068</v>
      </c>
      <c r="B451" s="65" t="str">
        <f>IFERROR(__xludf.DUMMYFUNCTION("""COMPUTED_VALUE"""),"#16268")</f>
        <v>#16268</v>
      </c>
      <c r="C451" s="65" t="str">
        <f>IFERROR(__xludf.DUMMYFUNCTION("""COMPUTED_VALUE"""),"willrothstein@gmail.com")</f>
        <v>willrothstein@gmail.com</v>
      </c>
      <c r="D451" s="65" t="str">
        <f>IFERROR(__xludf.DUMMYFUNCTION("""COMPUTED_VALUE"""),"1 310-415-0928")</f>
        <v>1 310-415-0928</v>
      </c>
      <c r="E451" s="65" t="str">
        <f>IFERROR(__xludf.DUMMYFUNCTION("""COMPUTED_VALUE"""),"Alain Rothstein")</f>
        <v>Alain Rothstein</v>
      </c>
      <c r="F451" s="65" t="str">
        <f>IFERROR(__xludf.DUMMYFUNCTION("""COMPUTED_VALUE"""),"Will Rothstein")</f>
        <v>Will Rothstein</v>
      </c>
      <c r="G451" s="65"/>
      <c r="H451" s="65" t="str">
        <f>IFERROR(__xludf.DUMMYFUNCTION("""COMPUTED_VALUE"""),"Appliance Rental")</f>
        <v>Appliance Rental</v>
      </c>
      <c r="I451" s="65" t="str">
        <f>IFERROR(__xludf.DUMMYFUNCTION("""COMPUTED_VALUE""")," Double-Door Mini Fridge + Microwave   - ")</f>
        <v> Double-Door Mini Fridge + Microwave   - </v>
      </c>
      <c r="J451" s="65">
        <f>IFERROR(__xludf.DUMMYFUNCTION("""COMPUTED_VALUE"""),210.0)</f>
        <v>210</v>
      </c>
      <c r="K451" s="103">
        <f>IFERROR(__xludf.DUMMYFUNCTION("""COMPUTED_VALUE"""),45883.0)</f>
        <v>45883</v>
      </c>
      <c r="L451" s="65" t="str">
        <f>IFERROR(__xludf.DUMMYFUNCTION("""COMPUTED_VALUE"""),"Danforth  ")</f>
        <v>Danforth  </v>
      </c>
      <c r="M451" s="68" t="str">
        <f>IFERROR(__xludf.DUMMYFUNCTION("""COMPUTED_VALUE"""),"3302 - a")</f>
        <v>3302 - a</v>
      </c>
      <c r="N451" s="65"/>
      <c r="O451" s="65" t="b">
        <f>COUNTIF('Delivered Rentals'!A:A, B451) &gt; 0</f>
        <v>1</v>
      </c>
      <c r="P451" s="104"/>
    </row>
    <row r="452">
      <c r="A452" s="99" t="str">
        <f>IFERROR(__xludf.DUMMYFUNCTION("""COMPUTED_VALUE"""),"https://utrucking.com/admin/orders/5937638473916")</f>
        <v>https://utrucking.com/admin/orders/5937638473916</v>
      </c>
      <c r="B452" s="61" t="str">
        <f>IFERROR(__xludf.DUMMYFUNCTION("""COMPUTED_VALUE"""),"#16270")</f>
        <v>#16270</v>
      </c>
      <c r="C452" s="61" t="str">
        <f>IFERROR(__xludf.DUMMYFUNCTION("""COMPUTED_VALUE"""),"andreaelisagabriel@gmail.com")</f>
        <v>andreaelisagabriel@gmail.com</v>
      </c>
      <c r="D452" s="61">
        <f>IFERROR(__xludf.DUMMYFUNCTION("""COMPUTED_VALUE"""),7.033148945E9)</f>
        <v>7033148945</v>
      </c>
      <c r="E452" s="61" t="str">
        <f>IFERROR(__xludf.DUMMYFUNCTION("""COMPUTED_VALUE"""),"Ryan Gabriel")</f>
        <v>Ryan Gabriel</v>
      </c>
      <c r="F452" s="61" t="str">
        <f>IFERROR(__xludf.DUMMYFUNCTION("""COMPUTED_VALUE"""),"Andrea Gabriel")</f>
        <v>Andrea Gabriel</v>
      </c>
      <c r="G452" s="61"/>
      <c r="H452" s="61" t="str">
        <f>IFERROR(__xludf.DUMMYFUNCTION("""COMPUTED_VALUE"""),"Appliance Rental")</f>
        <v>Appliance Rental</v>
      </c>
      <c r="I452" s="61" t="str">
        <f>IFERROR(__xludf.DUMMYFUNCTION("""COMPUTED_VALUE""")," Double-Door Mini Fridge   - ")</f>
        <v> Double-Door Mini Fridge   - </v>
      </c>
      <c r="J452" s="61">
        <f>IFERROR(__xludf.DUMMYFUNCTION("""COMPUTED_VALUE"""),145.0)</f>
        <v>145</v>
      </c>
      <c r="K452" s="100">
        <f>IFERROR(__xludf.DUMMYFUNCTION("""COMPUTED_VALUE"""),45883.0)</f>
        <v>45883</v>
      </c>
      <c r="L452" s="61" t="str">
        <f>IFERROR(__xludf.DUMMYFUNCTION("""COMPUTED_VALUE"""),"Park  ")</f>
        <v>Park  </v>
      </c>
      <c r="M452" s="64" t="str">
        <f>IFERROR(__xludf.DUMMYFUNCTION("""COMPUTED_VALUE"""),"390")</f>
        <v>390</v>
      </c>
      <c r="N452" s="61"/>
      <c r="O452" s="61" t="b">
        <f>COUNTIF('Delivered Rentals'!A:A, B452) &gt; 0</f>
        <v>1</v>
      </c>
      <c r="P452" s="101"/>
    </row>
    <row r="453">
      <c r="A453" s="102" t="str">
        <f>IFERROR(__xludf.DUMMYFUNCTION("""COMPUTED_VALUE"""),"https://utrucking.com/admin/orders/5937684480188")</f>
        <v>https://utrucking.com/admin/orders/5937684480188</v>
      </c>
      <c r="B453" s="65" t="str">
        <f>IFERROR(__xludf.DUMMYFUNCTION("""COMPUTED_VALUE"""),"#16273")</f>
        <v>#16273</v>
      </c>
      <c r="C453" s="65" t="str">
        <f>IFERROR(__xludf.DUMMYFUNCTION("""COMPUTED_VALUE"""),"cslee62567@gmail.com")</f>
        <v>cslee62567@gmail.com</v>
      </c>
      <c r="D453" s="65" t="str">
        <f>IFERROR(__xludf.DUMMYFUNCTION("""COMPUTED_VALUE"""),"1 770-990-5513")</f>
        <v>1 770-990-5513</v>
      </c>
      <c r="E453" s="65" t="str">
        <f>IFERROR(__xludf.DUMMYFUNCTION("""COMPUTED_VALUE"""),"Bennett Lee")</f>
        <v>Bennett Lee</v>
      </c>
      <c r="F453" s="65" t="str">
        <f>IFERROR(__xludf.DUMMYFUNCTION("""COMPUTED_VALUE"""),"Soeun Lee")</f>
        <v>Soeun Lee</v>
      </c>
      <c r="G453" s="65"/>
      <c r="H453" s="65" t="str">
        <f>IFERROR(__xludf.DUMMYFUNCTION("""COMPUTED_VALUE"""),"Appliance Rental")</f>
        <v>Appliance Rental</v>
      </c>
      <c r="I453" s="65" t="str">
        <f>IFERROR(__xludf.DUMMYFUNCTION("""COMPUTED_VALUE""")," Double-Door Mini Fridge   - ")</f>
        <v> Double-Door Mini Fridge   - </v>
      </c>
      <c r="J453" s="65">
        <f>IFERROR(__xludf.DUMMYFUNCTION("""COMPUTED_VALUE"""),145.0)</f>
        <v>145</v>
      </c>
      <c r="K453" s="103">
        <f>IFERROR(__xludf.DUMMYFUNCTION("""COMPUTED_VALUE"""),45883.0)</f>
        <v>45883</v>
      </c>
      <c r="L453" s="65" t="str">
        <f>IFERROR(__xludf.DUMMYFUNCTION("""COMPUTED_VALUE"""),"Zetcher  ")</f>
        <v>Zetcher  </v>
      </c>
      <c r="M453" s="68" t="str">
        <f>IFERROR(__xludf.DUMMYFUNCTION("""COMPUTED_VALUE"""),"2041")</f>
        <v>2041</v>
      </c>
      <c r="N453" s="65"/>
      <c r="O453" s="65" t="b">
        <f>COUNTIF('Delivered Rentals'!A:A, B453) &gt; 0</f>
        <v>1</v>
      </c>
      <c r="P453" s="104"/>
    </row>
    <row r="454">
      <c r="A454" s="99" t="str">
        <f>IFERROR(__xludf.DUMMYFUNCTION("""COMPUTED_VALUE"""),"https://utrucking.com/admin/orders/5937713512636")</f>
        <v>https://utrucking.com/admin/orders/5937713512636</v>
      </c>
      <c r="B454" s="61" t="str">
        <f>IFERROR(__xludf.DUMMYFUNCTION("""COMPUTED_VALUE"""),"#16275")</f>
        <v>#16275</v>
      </c>
      <c r="C454" s="61" t="str">
        <f>IFERROR(__xludf.DUMMYFUNCTION("""COMPUTED_VALUE"""),"f.e.schneider@wustl.edu")</f>
        <v>f.e.schneider@wustl.edu</v>
      </c>
      <c r="D454" s="61">
        <f>IFERROR(__xludf.DUMMYFUNCTION("""COMPUTED_VALUE"""),6.468563561E9)</f>
        <v>6468563561</v>
      </c>
      <c r="E454" s="61" t="str">
        <f>IFERROR(__xludf.DUMMYFUNCTION("""COMPUTED_VALUE"""),"Fay Schneider")</f>
        <v>Fay Schneider</v>
      </c>
      <c r="F454" s="61" t="str">
        <f>IFERROR(__xludf.DUMMYFUNCTION("""COMPUTED_VALUE"""),"Fay Schneider")</f>
        <v>Fay Schneider</v>
      </c>
      <c r="G454" s="61"/>
      <c r="H454" s="61" t="str">
        <f>IFERROR(__xludf.DUMMYFUNCTION("""COMPUTED_VALUE"""),"Appliance Rental")</f>
        <v>Appliance Rental</v>
      </c>
      <c r="I454" s="61" t="str">
        <f>IFERROR(__xludf.DUMMYFUNCTION("""COMPUTED_VALUE""")," Double-Door Mini Fridge   - ")</f>
        <v> Double-Door Mini Fridge   - </v>
      </c>
      <c r="J454" s="61">
        <f>IFERROR(__xludf.DUMMYFUNCTION("""COMPUTED_VALUE"""),145.0)</f>
        <v>145</v>
      </c>
      <c r="K454" s="100">
        <f>IFERROR(__xludf.DUMMYFUNCTION("""COMPUTED_VALUE"""),45891.0)</f>
        <v>45891</v>
      </c>
      <c r="L454" s="61" t="str">
        <f>IFERROR(__xludf.DUMMYFUNCTION("""COMPUTED_VALUE"""),"Lopata  ")</f>
        <v>Lopata  </v>
      </c>
      <c r="M454" s="64" t="str">
        <f>IFERROR(__xludf.DUMMYFUNCTION("""COMPUTED_VALUE"""),"1112-a")</f>
        <v>1112-a</v>
      </c>
      <c r="N454" s="61"/>
      <c r="O454" s="61" t="b">
        <f>COUNTIF('Delivered Rentals'!A:A, B454) &gt; 0</f>
        <v>1</v>
      </c>
      <c r="P454" s="101"/>
    </row>
    <row r="455">
      <c r="A455" s="102" t="str">
        <f>IFERROR(__xludf.DUMMYFUNCTION("""COMPUTED_VALUE"""),"https://utrucking.com/admin/orders/5937749033148")</f>
        <v>https://utrucking.com/admin/orders/5937749033148</v>
      </c>
      <c r="B455" s="65" t="str">
        <f>IFERROR(__xludf.DUMMYFUNCTION("""COMPUTED_VALUE"""),"#16276")</f>
        <v>#16276</v>
      </c>
      <c r="C455" s="65" t="str">
        <f>IFERROR(__xludf.DUMMYFUNCTION("""COMPUTED_VALUE"""),"yingjia@wustl.edu")</f>
        <v>yingjia@wustl.edu</v>
      </c>
      <c r="D455" s="65">
        <f>IFERROR(__xludf.DUMMYFUNCTION("""COMPUTED_VALUE"""),8.618524420657E12)</f>
        <v>8618524420657</v>
      </c>
      <c r="E455" s="65" t="str">
        <f>IFERROR(__xludf.DUMMYFUNCTION("""COMPUTED_VALUE"""),"Yingjia Wang")</f>
        <v>Yingjia Wang</v>
      </c>
      <c r="F455" s="65" t="str">
        <f>IFERROR(__xludf.DUMMYFUNCTION("""COMPUTED_VALUE"""),"Linda Wang")</f>
        <v>Linda Wang</v>
      </c>
      <c r="G455" s="65"/>
      <c r="H455" s="65" t="str">
        <f>IFERROR(__xludf.DUMMYFUNCTION("""COMPUTED_VALUE"""),"Appliance Rental")</f>
        <v>Appliance Rental</v>
      </c>
      <c r="I455" s="65" t="str">
        <f>IFERROR(__xludf.DUMMYFUNCTION("""COMPUTED_VALUE""")," Standard Mini Fridge + Microwave   - ")</f>
        <v> Standard Mini Fridge + Microwave   - </v>
      </c>
      <c r="J455" s="65">
        <f>IFERROR(__xludf.DUMMYFUNCTION("""COMPUTED_VALUE"""),180.0)</f>
        <v>180</v>
      </c>
      <c r="K455" s="103">
        <f>IFERROR(__xludf.DUMMYFUNCTION("""COMPUTED_VALUE"""),45883.0)</f>
        <v>45883</v>
      </c>
      <c r="L455" s="65" t="str">
        <f>IFERROR(__xludf.DUMMYFUNCTION("""COMPUTED_VALUE"""),"Dauten  ")</f>
        <v>Dauten  </v>
      </c>
      <c r="M455" s="68" t="str">
        <f>IFERROR(__xludf.DUMMYFUNCTION("""COMPUTED_VALUE"""),"342")</f>
        <v>342</v>
      </c>
      <c r="N455" s="65"/>
      <c r="O455" s="65" t="b">
        <f>COUNTIF('Delivered Rentals'!A:A, B455) &gt; 0</f>
        <v>1</v>
      </c>
      <c r="P455" s="104"/>
    </row>
    <row r="456">
      <c r="A456" s="99" t="str">
        <f>IFERROR(__xludf.DUMMYFUNCTION("""COMPUTED_VALUE"""),"https://utrucking.com/admin/orders/5937827315900")</f>
        <v>https://utrucking.com/admin/orders/5937827315900</v>
      </c>
      <c r="B456" s="61" t="str">
        <f>IFERROR(__xludf.DUMMYFUNCTION("""COMPUTED_VALUE"""),"#16277")</f>
        <v>#16277</v>
      </c>
      <c r="C456" s="61"/>
      <c r="D456" s="61">
        <f>IFERROR(__xludf.DUMMYFUNCTION("""COMPUTED_VALUE"""),2.133306571E9)</f>
        <v>2133306571</v>
      </c>
      <c r="E456" s="61" t="str">
        <f>IFERROR(__xludf.DUMMYFUNCTION("""COMPUTED_VALUE"""),"Jongho Kim")</f>
        <v>Jongho Kim</v>
      </c>
      <c r="F456" s="61" t="str">
        <f>IFERROR(__xludf.DUMMYFUNCTION("""COMPUTED_VALUE"""),"Sarah Kim")</f>
        <v>Sarah Kim</v>
      </c>
      <c r="G456" s="61"/>
      <c r="H456" s="61" t="str">
        <f>IFERROR(__xludf.DUMMYFUNCTION("""COMPUTED_VALUE"""),"Appliance Rental")</f>
        <v>Appliance Rental</v>
      </c>
      <c r="I456" s="61" t="str">
        <f>IFERROR(__xludf.DUMMYFUNCTION("""COMPUTED_VALUE""")," Microwave Only   - ")</f>
        <v> Microwave Only   - </v>
      </c>
      <c r="J456" s="61">
        <f>IFERROR(__xludf.DUMMYFUNCTION("""COMPUTED_VALUE"""),65.0)</f>
        <v>65</v>
      </c>
      <c r="K456" s="100">
        <f>IFERROR(__xludf.DUMMYFUNCTION("""COMPUTED_VALUE"""),45883.0)</f>
        <v>45883</v>
      </c>
      <c r="L456" s="61" t="str">
        <f>IFERROR(__xludf.DUMMYFUNCTION("""COMPUTED_VALUE"""),"Umrath  ")</f>
        <v>Umrath  </v>
      </c>
      <c r="M456" s="64" t="str">
        <f>IFERROR(__xludf.DUMMYFUNCTION("""COMPUTED_VALUE"""),"3319")</f>
        <v>3319</v>
      </c>
      <c r="N456" s="61"/>
      <c r="O456" s="61" t="b">
        <f>COUNTIF('Delivered Rentals'!A:A, B456) &gt; 0</f>
        <v>1</v>
      </c>
      <c r="P456" s="101"/>
    </row>
    <row r="457">
      <c r="A457" s="102" t="str">
        <f>IFERROR(__xludf.DUMMYFUNCTION("""COMPUTED_VALUE"""),"https://utrucking.com/admin/orders/5938214764732")</f>
        <v>https://utrucking.com/admin/orders/5938214764732</v>
      </c>
      <c r="B457" s="65" t="str">
        <f>IFERROR(__xludf.DUMMYFUNCTION("""COMPUTED_VALUE"""),"#16282")</f>
        <v>#16282</v>
      </c>
      <c r="C457" s="65" t="str">
        <f>IFERROR(__xludf.DUMMYFUNCTION("""COMPUTED_VALUE"""),"ajohnson987634@wustl.edu")</f>
        <v>ajohnson987634@wustl.edu</v>
      </c>
      <c r="D457" s="65">
        <f>IFERROR(__xludf.DUMMYFUNCTION("""COMPUTED_VALUE"""),2.027401122E9)</f>
        <v>2027401122</v>
      </c>
      <c r="E457" s="65" t="str">
        <f>IFERROR(__xludf.DUMMYFUNCTION("""COMPUTED_VALUE"""),"Amar Johnson")</f>
        <v>Amar Johnson</v>
      </c>
      <c r="F457" s="65" t="str">
        <f>IFERROR(__xludf.DUMMYFUNCTION("""COMPUTED_VALUE"""),"Amar Johnson")</f>
        <v>Amar Johnson</v>
      </c>
      <c r="G457" s="65"/>
      <c r="H457" s="65" t="str">
        <f>IFERROR(__xludf.DUMMYFUNCTION("""COMPUTED_VALUE"""),"Appliance Rental")</f>
        <v>Appliance Rental</v>
      </c>
      <c r="I457" s="65" t="str">
        <f>IFERROR(__xludf.DUMMYFUNCTION("""COMPUTED_VALUE""")," Double-Door Mini Fridge + Microwave   - ")</f>
        <v> Double-Door Mini Fridge + Microwave   - </v>
      </c>
      <c r="J457" s="65">
        <f>IFERROR(__xludf.DUMMYFUNCTION("""COMPUTED_VALUE"""),210.0)</f>
        <v>210</v>
      </c>
      <c r="K457" s="103">
        <f>IFERROR(__xludf.DUMMYFUNCTION("""COMPUTED_VALUE"""),45883.0)</f>
        <v>45883</v>
      </c>
      <c r="L457" s="65" t="str">
        <f>IFERROR(__xludf.DUMMYFUNCTION("""COMPUTED_VALUE"""),"Danforth  ")</f>
        <v>Danforth  </v>
      </c>
      <c r="M457" s="68" t="str">
        <f>IFERROR(__xludf.DUMMYFUNCTION("""COMPUTED_VALUE"""),"4405")</f>
        <v>4405</v>
      </c>
      <c r="N457" s="65"/>
      <c r="O457" s="65" t="b">
        <f>COUNTIF('Delivered Rentals'!A:A, B457) &gt; 0</f>
        <v>1</v>
      </c>
      <c r="P457" s="104"/>
    </row>
    <row r="458">
      <c r="A458" s="99" t="str">
        <f>IFERROR(__xludf.DUMMYFUNCTION("""COMPUTED_VALUE"""),"https://utrucking.com/admin/orders/5938539004092")</f>
        <v>https://utrucking.com/admin/orders/5938539004092</v>
      </c>
      <c r="B458" s="61" t="str">
        <f>IFERROR(__xludf.DUMMYFUNCTION("""COMPUTED_VALUE"""),"#16285")</f>
        <v>#16285</v>
      </c>
      <c r="C458" s="61" t="str">
        <f>IFERROR(__xludf.DUMMYFUNCTION("""COMPUTED_VALUE"""),"kelly@diattorney.com")</f>
        <v>kelly@diattorney.com</v>
      </c>
      <c r="D458" s="61">
        <f>IFERROR(__xludf.DUMMYFUNCTION("""COMPUTED_VALUE"""),9.548026083E9)</f>
        <v>9548026083</v>
      </c>
      <c r="E458" s="61" t="str">
        <f>IFERROR(__xludf.DUMMYFUNCTION("""COMPUTED_VALUE"""),"Kelly Dell")</f>
        <v>Kelly Dell</v>
      </c>
      <c r="F458" s="61"/>
      <c r="G458" s="61"/>
      <c r="H458" s="61" t="str">
        <f>IFERROR(__xludf.DUMMYFUNCTION("""COMPUTED_VALUE"""),"Appliance Rental")</f>
        <v>Appliance Rental</v>
      </c>
      <c r="I458" s="61" t="str">
        <f>IFERROR(__xludf.DUMMYFUNCTION("""COMPUTED_VALUE""")," Double-Door Mini Fridge + Microwave   - ")</f>
        <v> Double-Door Mini Fridge + Microwave   - </v>
      </c>
      <c r="J458" s="61">
        <f>IFERROR(__xludf.DUMMYFUNCTION("""COMPUTED_VALUE"""),210.0)</f>
        <v>210</v>
      </c>
      <c r="K458" s="100">
        <f>IFERROR(__xludf.DUMMYFUNCTION("""COMPUTED_VALUE"""),45883.0)</f>
        <v>45883</v>
      </c>
      <c r="L458" s="61" t="str">
        <f>IFERROR(__xludf.DUMMYFUNCTION("""COMPUTED_VALUE"""),"Park  ")</f>
        <v>Park  </v>
      </c>
      <c r="M458" s="64" t="str">
        <f>IFERROR(__xludf.DUMMYFUNCTION("""COMPUTED_VALUE"""),"160a")</f>
        <v>160a</v>
      </c>
      <c r="N458" s="61"/>
      <c r="O458" s="61" t="b">
        <f>COUNTIF('Delivered Rentals'!A:A, B458) &gt; 0</f>
        <v>1</v>
      </c>
      <c r="P458" s="101"/>
    </row>
    <row r="459">
      <c r="A459" s="102" t="str">
        <f>IFERROR(__xludf.DUMMYFUNCTION("""COMPUTED_VALUE"""),"https://utrucking.com/admin/orders/5938793775292")</f>
        <v>https://utrucking.com/admin/orders/5938793775292</v>
      </c>
      <c r="B459" s="65" t="str">
        <f>IFERROR(__xludf.DUMMYFUNCTION("""COMPUTED_VALUE"""),"#16286")</f>
        <v>#16286</v>
      </c>
      <c r="C459" s="65" t="str">
        <f>IFERROR(__xludf.DUMMYFUNCTION("""COMPUTED_VALUE"""),"hudsonlee2024@gmail.com")</f>
        <v>hudsonlee2024@gmail.com</v>
      </c>
      <c r="D459" s="65">
        <f>IFERROR(__xludf.DUMMYFUNCTION("""COMPUTED_VALUE"""),9.735293695E9)</f>
        <v>9735293695</v>
      </c>
      <c r="E459" s="65" t="str">
        <f>IFERROR(__xludf.DUMMYFUNCTION("""COMPUTED_VALUE"""),"Jiyun Kim")</f>
        <v>Jiyun Kim</v>
      </c>
      <c r="F459" s="65" t="str">
        <f>IFERROR(__xludf.DUMMYFUNCTION("""COMPUTED_VALUE"""),"Hudson Lee")</f>
        <v>Hudson Lee</v>
      </c>
      <c r="G459" s="65"/>
      <c r="H459" s="65" t="str">
        <f>IFERROR(__xludf.DUMMYFUNCTION("""COMPUTED_VALUE"""),"Appliance Rental")</f>
        <v>Appliance Rental</v>
      </c>
      <c r="I459" s="65" t="str">
        <f>IFERROR(__xludf.DUMMYFUNCTION("""COMPUTED_VALUE""")," Double-Door Mini Fridge   - ")</f>
        <v> Double-Door Mini Fridge   - </v>
      </c>
      <c r="J459" s="65">
        <f>IFERROR(__xludf.DUMMYFUNCTION("""COMPUTED_VALUE"""),145.0)</f>
        <v>145</v>
      </c>
      <c r="K459" s="103">
        <f>IFERROR(__xludf.DUMMYFUNCTION("""COMPUTED_VALUE"""),45883.0)</f>
        <v>45883</v>
      </c>
      <c r="L459" s="65" t="str">
        <f>IFERROR(__xludf.DUMMYFUNCTION("""COMPUTED_VALUE"""),"Mudd  ")</f>
        <v>Mudd  </v>
      </c>
      <c r="M459" s="68" t="str">
        <f>IFERROR(__xludf.DUMMYFUNCTION("""COMPUTED_VALUE"""),"282B")</f>
        <v>282B</v>
      </c>
      <c r="N459" s="65"/>
      <c r="O459" s="65" t="b">
        <f>COUNTIF('Delivered Rentals'!A:A, B459) &gt; 0</f>
        <v>1</v>
      </c>
      <c r="P459" s="104"/>
    </row>
    <row r="460">
      <c r="A460" s="99" t="str">
        <f>IFERROR(__xludf.DUMMYFUNCTION("""COMPUTED_VALUE"""),"https://utrucking.com/admin/orders/5938879332540")</f>
        <v>https://utrucking.com/admin/orders/5938879332540</v>
      </c>
      <c r="B460" s="61" t="str">
        <f>IFERROR(__xludf.DUMMYFUNCTION("""COMPUTED_VALUE"""),"#16288")</f>
        <v>#16288</v>
      </c>
      <c r="C460" s="61" t="str">
        <f>IFERROR(__xludf.DUMMYFUNCTION("""COMPUTED_VALUE"""),"e.j.zimmerman@wustl.edu")</f>
        <v>e.j.zimmerman@wustl.edu</v>
      </c>
      <c r="D460" s="61">
        <f>IFERROR(__xludf.DUMMYFUNCTION("""COMPUTED_VALUE"""),5.163447738E9)</f>
        <v>5163447738</v>
      </c>
      <c r="E460" s="61" t="str">
        <f>IFERROR(__xludf.DUMMYFUNCTION("""COMPUTED_VALUE"""),"Eric Zimmerman")</f>
        <v>Eric Zimmerman</v>
      </c>
      <c r="F460" s="61" t="str">
        <f>IFERROR(__xludf.DUMMYFUNCTION("""COMPUTED_VALUE"""),"Eric Zimmerman")</f>
        <v>Eric Zimmerman</v>
      </c>
      <c r="G460" s="61"/>
      <c r="H460" s="61" t="str">
        <f>IFERROR(__xludf.DUMMYFUNCTION("""COMPUTED_VALUE"""),"Appliance Rental")</f>
        <v>Appliance Rental</v>
      </c>
      <c r="I460" s="61" t="str">
        <f>IFERROR(__xludf.DUMMYFUNCTION("""COMPUTED_VALUE""")," Double-Door Mini Fridge + Microwave   - ")</f>
        <v> Double-Door Mini Fridge + Microwave   - </v>
      </c>
      <c r="J460" s="61">
        <f>IFERROR(__xludf.DUMMYFUNCTION("""COMPUTED_VALUE"""),210.0)</f>
        <v>210</v>
      </c>
      <c r="K460" s="100">
        <f>IFERROR(__xludf.DUMMYFUNCTION("""COMPUTED_VALUE"""),45883.0)</f>
        <v>45883</v>
      </c>
      <c r="L460" s="61" t="str">
        <f>IFERROR(__xludf.DUMMYFUNCTION("""COMPUTED_VALUE"""),"Millbrook Bldg. 1  ")</f>
        <v>Millbrook Bldg. 1  </v>
      </c>
      <c r="M460" s="64" t="str">
        <f>IFERROR(__xludf.DUMMYFUNCTION("""COMPUTED_VALUE"""),"101C")</f>
        <v>101C</v>
      </c>
      <c r="N460" s="61"/>
      <c r="O460" s="61" t="b">
        <f>COUNTIF('Delivered Rentals'!A:A, B460) &gt; 0</f>
        <v>1</v>
      </c>
      <c r="P460" s="105"/>
    </row>
    <row r="461">
      <c r="A461" s="102" t="str">
        <f>IFERROR(__xludf.DUMMYFUNCTION("""COMPUTED_VALUE"""),"https://utrucking.com/admin/orders/5939001032892")</f>
        <v>https://utrucking.com/admin/orders/5939001032892</v>
      </c>
      <c r="B461" s="65" t="str">
        <f>IFERROR(__xludf.DUMMYFUNCTION("""COMPUTED_VALUE"""),"#16290")</f>
        <v>#16290</v>
      </c>
      <c r="C461" s="65"/>
      <c r="D461" s="65">
        <f>IFERROR(__xludf.DUMMYFUNCTION("""COMPUTED_VALUE"""),7.814141024E9)</f>
        <v>7814141024</v>
      </c>
      <c r="E461" s="65" t="str">
        <f>IFERROR(__xludf.DUMMYFUNCTION("""COMPUTED_VALUE"""),"Marcy Cheifetz")</f>
        <v>Marcy Cheifetz</v>
      </c>
      <c r="F461" s="65" t="str">
        <f>IFERROR(__xludf.DUMMYFUNCTION("""COMPUTED_VALUE"""),"Daniel Cheifetz")</f>
        <v>Daniel Cheifetz</v>
      </c>
      <c r="G461" s="65"/>
      <c r="H461" s="65" t="str">
        <f>IFERROR(__xludf.DUMMYFUNCTION("""COMPUTED_VALUE"""),"Appliance Rental")</f>
        <v>Appliance Rental</v>
      </c>
      <c r="I461" s="65" t="str">
        <f>IFERROR(__xludf.DUMMYFUNCTION("""COMPUTED_VALUE""")," Double-Door Mini Fridge   - ")</f>
        <v> Double-Door Mini Fridge   - </v>
      </c>
      <c r="J461" s="65">
        <f>IFERROR(__xludf.DUMMYFUNCTION("""COMPUTED_VALUE"""),145.0)</f>
        <v>145</v>
      </c>
      <c r="K461" s="103">
        <f>IFERROR(__xludf.DUMMYFUNCTION("""COMPUTED_VALUE"""),45883.0)</f>
        <v>45883</v>
      </c>
      <c r="L461" s="65" t="str">
        <f>IFERROR(__xludf.DUMMYFUNCTION("""COMPUTED_VALUE"""),"Koenig  ")</f>
        <v>Koenig  </v>
      </c>
      <c r="M461" s="68" t="str">
        <f>IFERROR(__xludf.DUMMYFUNCTION("""COMPUTED_VALUE"""),"116A")</f>
        <v>116A</v>
      </c>
      <c r="N461" s="65"/>
      <c r="O461" s="65" t="b">
        <f>COUNTIF('Delivered Rentals'!A:A, B461) &gt; 0</f>
        <v>1</v>
      </c>
      <c r="P461" s="104"/>
    </row>
    <row r="462">
      <c r="A462" s="99" t="str">
        <f>IFERROR(__xludf.DUMMYFUNCTION("""COMPUTED_VALUE"""),"https://utrucking.com/admin/orders/5939046154428")</f>
        <v>https://utrucking.com/admin/orders/5939046154428</v>
      </c>
      <c r="B462" s="61" t="str">
        <f>IFERROR(__xludf.DUMMYFUNCTION("""COMPUTED_VALUE"""),"#16292")</f>
        <v>#16292</v>
      </c>
      <c r="C462" s="61" t="str">
        <f>IFERROR(__xludf.DUMMYFUNCTION("""COMPUTED_VALUE"""),"kaiskaz@sbcglobal.net")</f>
        <v>kaiskaz@sbcglobal.net</v>
      </c>
      <c r="D462" s="61">
        <f>IFERROR(__xludf.DUMMYFUNCTION("""COMPUTED_VALUE"""),7.737913143E9)</f>
        <v>7737913143</v>
      </c>
      <c r="E462" s="61" t="str">
        <f>IFERROR(__xludf.DUMMYFUNCTION("""COMPUTED_VALUE"""),"Monica Kazmier")</f>
        <v>Monica Kazmier</v>
      </c>
      <c r="F462" s="61" t="str">
        <f>IFERROR(__xludf.DUMMYFUNCTION("""COMPUTED_VALUE"""),"Leo Kazmier Kaiser")</f>
        <v>Leo Kazmier Kaiser</v>
      </c>
      <c r="G462" s="61"/>
      <c r="H462" s="61" t="str">
        <f>IFERROR(__xludf.DUMMYFUNCTION("""COMPUTED_VALUE"""),"Appliance Rental")</f>
        <v>Appliance Rental</v>
      </c>
      <c r="I462" s="61" t="str">
        <f>IFERROR(__xludf.DUMMYFUNCTION("""COMPUTED_VALUE""")," Double-Door Mini Fridge   - ")</f>
        <v> Double-Door Mini Fridge   - </v>
      </c>
      <c r="J462" s="61">
        <f>IFERROR(__xludf.DUMMYFUNCTION("""COMPUTED_VALUE"""),145.0)</f>
        <v>145</v>
      </c>
      <c r="K462" s="100">
        <f>IFERROR(__xludf.DUMMYFUNCTION("""COMPUTED_VALUE"""),45892.0)</f>
        <v>45892</v>
      </c>
      <c r="L462" s="61" t="str">
        <f>IFERROR(__xludf.DUMMYFUNCTION("""COMPUTED_VALUE"""),"House 3 (Alpha Delta Phi)  ")</f>
        <v>House 3 (Alpha Delta Phi)  </v>
      </c>
      <c r="M462" s="64" t="str">
        <f>IFERROR(__xludf.DUMMYFUNCTION("""COMPUTED_VALUE"""),"303")</f>
        <v>303</v>
      </c>
      <c r="N462" s="61"/>
      <c r="O462" s="61" t="b">
        <f>COUNTIF('Delivered Rentals'!A:A, B462) &gt; 0</f>
        <v>1</v>
      </c>
      <c r="P462" s="101"/>
    </row>
    <row r="463">
      <c r="A463" s="102" t="str">
        <f>IFERROR(__xludf.DUMMYFUNCTION("""COMPUTED_VALUE"""),"https://utrucking.com/admin/orders/5939049627836")</f>
        <v>https://utrucking.com/admin/orders/5939049627836</v>
      </c>
      <c r="B463" s="65" t="str">
        <f>IFERROR(__xludf.DUMMYFUNCTION("""COMPUTED_VALUE"""),"#16293")</f>
        <v>#16293</v>
      </c>
      <c r="C463" s="65" t="str">
        <f>IFERROR(__xludf.DUMMYFUNCTION("""COMPUTED_VALUE"""),"kjjs777@gmail.com")</f>
        <v>kjjs777@gmail.com</v>
      </c>
      <c r="D463" s="65">
        <f>IFERROR(__xludf.DUMMYFUNCTION("""COMPUTED_VALUE"""),6.462713339E9)</f>
        <v>6462713339</v>
      </c>
      <c r="E463" s="65" t="str">
        <f>IFERROR(__xludf.DUMMYFUNCTION("""COMPUTED_VALUE"""),"Keyin Choi")</f>
        <v>Keyin Choi</v>
      </c>
      <c r="F463" s="65" t="str">
        <f>IFERROR(__xludf.DUMMYFUNCTION("""COMPUTED_VALUE"""),"Jonas Kim")</f>
        <v>Jonas Kim</v>
      </c>
      <c r="G463" s="65"/>
      <c r="H463" s="65" t="str">
        <f>IFERROR(__xludf.DUMMYFUNCTION("""COMPUTED_VALUE"""),"Appliance Rental")</f>
        <v>Appliance Rental</v>
      </c>
      <c r="I463" s="65" t="str">
        <f>IFERROR(__xludf.DUMMYFUNCTION("""COMPUTED_VALUE""")," Double-Door Mini Fridge   - ")</f>
        <v> Double-Door Mini Fridge   - </v>
      </c>
      <c r="J463" s="65">
        <f>IFERROR(__xludf.DUMMYFUNCTION("""COMPUTED_VALUE"""),145.0)</f>
        <v>145</v>
      </c>
      <c r="K463" s="103">
        <f>IFERROR(__xludf.DUMMYFUNCTION("""COMPUTED_VALUE"""),45883.0)</f>
        <v>45883</v>
      </c>
      <c r="L463" s="65" t="str">
        <f>IFERROR(__xludf.DUMMYFUNCTION("""COMPUTED_VALUE"""),"Umrath  ")</f>
        <v>Umrath  </v>
      </c>
      <c r="M463" s="68" t="str">
        <f>IFERROR(__xludf.DUMMYFUNCTION("""COMPUTED_VALUE"""),"4422")</f>
        <v>4422</v>
      </c>
      <c r="N463" s="65"/>
      <c r="O463" s="65" t="b">
        <f>COUNTIF('Delivered Rentals'!A:A, B463) &gt; 0</f>
        <v>1</v>
      </c>
      <c r="P463" s="104"/>
    </row>
    <row r="464">
      <c r="A464" s="99" t="str">
        <f>IFERROR(__xludf.DUMMYFUNCTION("""COMPUTED_VALUE"""),"https://utrucking.com/admin/orders/5939157532860")</f>
        <v>https://utrucking.com/admin/orders/5939157532860</v>
      </c>
      <c r="B464" s="61" t="str">
        <f>IFERROR(__xludf.DUMMYFUNCTION("""COMPUTED_VALUE"""),"#16296")</f>
        <v>#16296</v>
      </c>
      <c r="C464" s="61"/>
      <c r="D464" s="61">
        <f>IFERROR(__xludf.DUMMYFUNCTION("""COMPUTED_VALUE"""),2.094852901E9)</f>
        <v>2094852901</v>
      </c>
      <c r="E464" s="61" t="str">
        <f>IFERROR(__xludf.DUMMYFUNCTION("""COMPUTED_VALUE"""),"Kristen Santos")</f>
        <v>Kristen Santos</v>
      </c>
      <c r="F464" s="61" t="str">
        <f>IFERROR(__xludf.DUMMYFUNCTION("""COMPUTED_VALUE"""),"Theodore Santos")</f>
        <v>Theodore Santos</v>
      </c>
      <c r="G464" s="61"/>
      <c r="H464" s="61" t="str">
        <f>IFERROR(__xludf.DUMMYFUNCTION("""COMPUTED_VALUE"""),"Appliance Rental")</f>
        <v>Appliance Rental</v>
      </c>
      <c r="I464" s="61" t="str">
        <f>IFERROR(__xludf.DUMMYFUNCTION("""COMPUTED_VALUE""")," Double-Door Mini Fridge + Microwave   - ")</f>
        <v> Double-Door Mini Fridge + Microwave   - </v>
      </c>
      <c r="J464" s="61">
        <f>IFERROR(__xludf.DUMMYFUNCTION("""COMPUTED_VALUE"""),210.0)</f>
        <v>210</v>
      </c>
      <c r="K464" s="100">
        <f>IFERROR(__xludf.DUMMYFUNCTION("""COMPUTED_VALUE"""),45883.0)</f>
        <v>45883</v>
      </c>
      <c r="L464" s="61" t="str">
        <f>IFERROR(__xludf.DUMMYFUNCTION("""COMPUTED_VALUE"""),"Eliot A (Thomas Eliot)")</f>
        <v>Eliot A (Thomas Eliot)</v>
      </c>
      <c r="M464" s="64" t="str">
        <f>IFERROR(__xludf.DUMMYFUNCTION("""COMPUTED_VALUE"""),"0304")</f>
        <v>0304</v>
      </c>
      <c r="N464" s="61"/>
      <c r="O464" s="61" t="b">
        <f>COUNTIF('Delivered Rentals'!A:A, B464) &gt; 0</f>
        <v>1</v>
      </c>
      <c r="P464" s="101"/>
    </row>
    <row r="465">
      <c r="A465" s="102" t="str">
        <f>IFERROR(__xludf.DUMMYFUNCTION("""COMPUTED_VALUE"""),"https://utrucking.com/admin/orders/5939183681724")</f>
        <v>https://utrucking.com/admin/orders/5939183681724</v>
      </c>
      <c r="B465" s="65" t="str">
        <f>IFERROR(__xludf.DUMMYFUNCTION("""COMPUTED_VALUE"""),"#16297")</f>
        <v>#16297</v>
      </c>
      <c r="C465" s="65" t="str">
        <f>IFERROR(__xludf.DUMMYFUNCTION("""COMPUTED_VALUE"""),"megkholling@gmail.com")</f>
        <v>megkholling@gmail.com</v>
      </c>
      <c r="D465" s="65">
        <f>IFERROR(__xludf.DUMMYFUNCTION("""COMPUTED_VALUE"""),7.046182366E9)</f>
        <v>7046182366</v>
      </c>
      <c r="E465" s="65" t="str">
        <f>IFERROR(__xludf.DUMMYFUNCTION("""COMPUTED_VALUE"""),"Laura Hollingsworth")</f>
        <v>Laura Hollingsworth</v>
      </c>
      <c r="F465" s="65" t="str">
        <f>IFERROR(__xludf.DUMMYFUNCTION("""COMPUTED_VALUE"""),"Jack Hollingsworth")</f>
        <v>Jack Hollingsworth</v>
      </c>
      <c r="G465" s="65"/>
      <c r="H465" s="65" t="str">
        <f>IFERROR(__xludf.DUMMYFUNCTION("""COMPUTED_VALUE"""),"Appliance Rental")</f>
        <v>Appliance Rental</v>
      </c>
      <c r="I465" s="65" t="str">
        <f>IFERROR(__xludf.DUMMYFUNCTION("""COMPUTED_VALUE""")," Double-Door Mini Fridge   - ")</f>
        <v> Double-Door Mini Fridge   - </v>
      </c>
      <c r="J465" s="65">
        <f>IFERROR(__xludf.DUMMYFUNCTION("""COMPUTED_VALUE"""),145.0)</f>
        <v>145</v>
      </c>
      <c r="K465" s="103">
        <f>IFERROR(__xludf.DUMMYFUNCTION("""COMPUTED_VALUE"""),45883.0)</f>
        <v>45883</v>
      </c>
      <c r="L465" s="65" t="str">
        <f>IFERROR(__xludf.DUMMYFUNCTION("""COMPUTED_VALUE"""),"Millbrook Bldg. 3  ")</f>
        <v>Millbrook Bldg. 3  </v>
      </c>
      <c r="M465" s="68" t="str">
        <f>IFERROR(__xludf.DUMMYFUNCTION("""COMPUTED_VALUE"""),"B - 2C - a")</f>
        <v>B - 2C - a</v>
      </c>
      <c r="N465" s="65"/>
      <c r="O465" s="65" t="b">
        <f>COUNTIF('Delivered Rentals'!A:A, B465) &gt; 0</f>
        <v>1</v>
      </c>
      <c r="P465" s="104"/>
    </row>
    <row r="466">
      <c r="A466" s="99" t="str">
        <f>IFERROR(__xludf.DUMMYFUNCTION("""COMPUTED_VALUE"""),"https://utrucking.com/admin/orders/5939254984892")</f>
        <v>https://utrucking.com/admin/orders/5939254984892</v>
      </c>
      <c r="B466" s="61" t="str">
        <f>IFERROR(__xludf.DUMMYFUNCTION("""COMPUTED_VALUE"""),"#16300")</f>
        <v>#16300</v>
      </c>
      <c r="C466" s="61" t="str">
        <f>IFERROR(__xludf.DUMMYFUNCTION("""COMPUTED_VALUE"""),"amygoebel@yahoo.com")</f>
        <v>amygoebel@yahoo.com</v>
      </c>
      <c r="D466" s="61">
        <f>IFERROR(__xludf.DUMMYFUNCTION("""COMPUTED_VALUE"""),7.819645636E9)</f>
        <v>7819645636</v>
      </c>
      <c r="E466" s="61" t="str">
        <f>IFERROR(__xludf.DUMMYFUNCTION("""COMPUTED_VALUE"""),"Amy Goebel")</f>
        <v>Amy Goebel</v>
      </c>
      <c r="F466" s="61" t="str">
        <f>IFERROR(__xludf.DUMMYFUNCTION("""COMPUTED_VALUE"""),"Caroline Goebel")</f>
        <v>Caroline Goebel</v>
      </c>
      <c r="G466" s="61"/>
      <c r="H466" s="61" t="str">
        <f>IFERROR(__xludf.DUMMYFUNCTION("""COMPUTED_VALUE"""),"Appliance Rental")</f>
        <v>Appliance Rental</v>
      </c>
      <c r="I466" s="61" t="str">
        <f>IFERROR(__xludf.DUMMYFUNCTION("""COMPUTED_VALUE""")," Double-Door Mini Fridge + Microwave   - ")</f>
        <v> Double-Door Mini Fridge + Microwave   - </v>
      </c>
      <c r="J466" s="61">
        <f>IFERROR(__xludf.DUMMYFUNCTION("""COMPUTED_VALUE"""),210.0)</f>
        <v>210</v>
      </c>
      <c r="K466" s="100">
        <f>IFERROR(__xludf.DUMMYFUNCTION("""COMPUTED_VALUE"""),45890.0)</f>
        <v>45890</v>
      </c>
      <c r="L466" s="61" t="str">
        <f>IFERROR(__xludf.DUMMYFUNCTION("""COMPUTED_VALUE"""),"Nemerov  ")</f>
        <v>Nemerov  </v>
      </c>
      <c r="M466" s="64" t="str">
        <f>IFERROR(__xludf.DUMMYFUNCTION("""COMPUTED_VALUE"""),"3081")</f>
        <v>3081</v>
      </c>
      <c r="N466" s="61"/>
      <c r="O466" s="61" t="b">
        <f>COUNTIF('Delivered Rentals'!A:A, B466) &gt; 0</f>
        <v>1</v>
      </c>
      <c r="P466" s="101"/>
    </row>
    <row r="467">
      <c r="A467" s="102" t="str">
        <f>IFERROR(__xludf.DUMMYFUNCTION("""COMPUTED_VALUE"""),"https://utrucking.com/admin/orders/5939324813500")</f>
        <v>https://utrucking.com/admin/orders/5939324813500</v>
      </c>
      <c r="B467" s="65" t="str">
        <f>IFERROR(__xludf.DUMMYFUNCTION("""COMPUTED_VALUE"""),"#16302")</f>
        <v>#16302</v>
      </c>
      <c r="C467" s="65" t="str">
        <f>IFERROR(__xludf.DUMMYFUNCTION("""COMPUTED_VALUE"""),"cecilia.c.heath@gmail.com")</f>
        <v>cecilia.c.heath@gmail.com</v>
      </c>
      <c r="D467" s="65">
        <f>IFERROR(__xludf.DUMMYFUNCTION("""COMPUTED_VALUE"""),4.159996664E9)</f>
        <v>4159996664</v>
      </c>
      <c r="E467" s="65" t="str">
        <f>IFERROR(__xludf.DUMMYFUNCTION("""COMPUTED_VALUE"""),"Marian Heath")</f>
        <v>Marian Heath</v>
      </c>
      <c r="F467" s="65" t="str">
        <f>IFERROR(__xludf.DUMMYFUNCTION("""COMPUTED_VALUE"""),"Ceci Heath")</f>
        <v>Ceci Heath</v>
      </c>
      <c r="G467" s="65"/>
      <c r="H467" s="65" t="str">
        <f>IFERROR(__xludf.DUMMYFUNCTION("""COMPUTED_VALUE"""),"Appliance Rental")</f>
        <v>Appliance Rental</v>
      </c>
      <c r="I467" s="65" t="str">
        <f>IFERROR(__xludf.DUMMYFUNCTION("""COMPUTED_VALUE""")," Double-Door Mini Fridge   - ")</f>
        <v> Double-Door Mini Fridge   - </v>
      </c>
      <c r="J467" s="65">
        <f>IFERROR(__xludf.DUMMYFUNCTION("""COMPUTED_VALUE"""),145.0)</f>
        <v>145</v>
      </c>
      <c r="K467" s="103">
        <f>IFERROR(__xludf.DUMMYFUNCTION("""COMPUTED_VALUE"""),45883.0)</f>
        <v>45883</v>
      </c>
      <c r="L467" s="65" t="str">
        <f>IFERROR(__xludf.DUMMYFUNCTION("""COMPUTED_VALUE"""),"House 1")</f>
        <v>House 1</v>
      </c>
      <c r="M467" s="68" t="str">
        <f>IFERROR(__xludf.DUMMYFUNCTION("""COMPUTED_VALUE"""),"214")</f>
        <v>214</v>
      </c>
      <c r="N467" s="65"/>
      <c r="O467" s="65" t="b">
        <f>COUNTIF('Delivered Rentals'!A:A, B467) &gt; 0</f>
        <v>1</v>
      </c>
      <c r="P467" s="104"/>
    </row>
    <row r="468">
      <c r="A468" s="99" t="str">
        <f>IFERROR(__xludf.DUMMYFUNCTION("""COMPUTED_VALUE"""),"https://utrucking.com/admin/orders/5939678576828")</f>
        <v>https://utrucking.com/admin/orders/5939678576828</v>
      </c>
      <c r="B468" s="61" t="str">
        <f>IFERROR(__xludf.DUMMYFUNCTION("""COMPUTED_VALUE"""),"#16305")</f>
        <v>#16305</v>
      </c>
      <c r="C468" s="61"/>
      <c r="D468" s="61">
        <f>IFERROR(__xludf.DUMMYFUNCTION("""COMPUTED_VALUE"""),3.05794062E9)</f>
        <v>3057940620</v>
      </c>
      <c r="E468" s="61" t="str">
        <f>IFERROR(__xludf.DUMMYFUNCTION("""COMPUTED_VALUE"""),"Hoda Ibrahim")</f>
        <v>Hoda Ibrahim</v>
      </c>
      <c r="F468" s="61" t="str">
        <f>IFERROR(__xludf.DUMMYFUNCTION("""COMPUTED_VALUE"""),"Nour Abou Shousha")</f>
        <v>Nour Abou Shousha</v>
      </c>
      <c r="G468" s="61"/>
      <c r="H468" s="61" t="str">
        <f>IFERROR(__xludf.DUMMYFUNCTION("""COMPUTED_VALUE"""),"Appliance Rental")</f>
        <v>Appliance Rental</v>
      </c>
      <c r="I468" s="61" t="str">
        <f>IFERROR(__xludf.DUMMYFUNCTION("""COMPUTED_VALUE""")," Double-Door Mini Fridge + Microwave   - ")</f>
        <v> Double-Door Mini Fridge + Microwave   - </v>
      </c>
      <c r="J468" s="61">
        <f>IFERROR(__xludf.DUMMYFUNCTION("""COMPUTED_VALUE"""),210.0)</f>
        <v>210</v>
      </c>
      <c r="K468" s="100">
        <f>IFERROR(__xludf.DUMMYFUNCTION("""COMPUTED_VALUE"""),45887.0)</f>
        <v>45887</v>
      </c>
      <c r="L468" s="61" t="str">
        <f>IFERROR(__xludf.DUMMYFUNCTION("""COMPUTED_VALUE"""),"Lien  ")</f>
        <v>Lien  </v>
      </c>
      <c r="M468" s="64" t="str">
        <f>IFERROR(__xludf.DUMMYFUNCTION("""COMPUTED_VALUE"""),"3301")</f>
        <v>3301</v>
      </c>
      <c r="N468" s="61"/>
      <c r="O468" s="61" t="b">
        <f>COUNTIF('Delivered Rentals'!A:A, B468) &gt; 0</f>
        <v>1</v>
      </c>
      <c r="P468" s="101"/>
    </row>
    <row r="469">
      <c r="A469" s="102" t="str">
        <f>IFERROR(__xludf.DUMMYFUNCTION("""COMPUTED_VALUE"""),"https://utrucking.com/admin/orders/5939690111164")</f>
        <v>https://utrucking.com/admin/orders/5939690111164</v>
      </c>
      <c r="B469" s="65" t="str">
        <f>IFERROR(__xludf.DUMMYFUNCTION("""COMPUTED_VALUE"""),"#16306")</f>
        <v>#16306</v>
      </c>
      <c r="C469" s="65"/>
      <c r="D469" s="65">
        <f>IFERROR(__xludf.DUMMYFUNCTION("""COMPUTED_VALUE"""),7.188012876E9)</f>
        <v>7188012876</v>
      </c>
      <c r="E469" s="65" t="str">
        <f>IFERROR(__xludf.DUMMYFUNCTION("""COMPUTED_VALUE"""),"Suxin Chen")</f>
        <v>Suxin Chen</v>
      </c>
      <c r="F469" s="65" t="str">
        <f>IFERROR(__xludf.DUMMYFUNCTION("""COMPUTED_VALUE"""),"Pak Seng Li")</f>
        <v>Pak Seng Li</v>
      </c>
      <c r="G469" s="65"/>
      <c r="H469" s="65" t="str">
        <f>IFERROR(__xludf.DUMMYFUNCTION("""COMPUTED_VALUE"""),"Appliance Rental")</f>
        <v>Appliance Rental</v>
      </c>
      <c r="I469" s="65" t="str">
        <f>IFERROR(__xludf.DUMMYFUNCTION("""COMPUTED_VALUE""")," Double-Door Mini Fridge + Microwave   - ")</f>
        <v> Double-Door Mini Fridge + Microwave   - </v>
      </c>
      <c r="J469" s="65">
        <f>IFERROR(__xludf.DUMMYFUNCTION("""COMPUTED_VALUE"""),210.0)</f>
        <v>210</v>
      </c>
      <c r="K469" s="103">
        <f>IFERROR(__xludf.DUMMYFUNCTION("""COMPUTED_VALUE"""),45887.0)</f>
        <v>45887</v>
      </c>
      <c r="L469" s="65" t="str">
        <f>IFERROR(__xludf.DUMMYFUNCTION("""COMPUTED_VALUE"""),"Myers  ")</f>
        <v>Myers  </v>
      </c>
      <c r="M469" s="68" t="str">
        <f>IFERROR(__xludf.DUMMYFUNCTION("""COMPUTED_VALUE"""),"222-a")</f>
        <v>222-a</v>
      </c>
      <c r="N469" s="65"/>
      <c r="O469" s="65" t="b">
        <f>COUNTIF('Delivered Rentals'!A:A, B469) &gt; 0</f>
        <v>1</v>
      </c>
      <c r="P469" s="104"/>
    </row>
    <row r="470">
      <c r="A470" s="99" t="str">
        <f>IFERROR(__xludf.DUMMYFUNCTION("""COMPUTED_VALUE"""),"https://utrucking.com/admin/orders/5939734184124")</f>
        <v>https://utrucking.com/admin/orders/5939734184124</v>
      </c>
      <c r="B470" s="61" t="str">
        <f>IFERROR(__xludf.DUMMYFUNCTION("""COMPUTED_VALUE"""),"#16307")</f>
        <v>#16307</v>
      </c>
      <c r="C470" s="61" t="str">
        <f>IFERROR(__xludf.DUMMYFUNCTION("""COMPUTED_VALUE"""),"m.sohn@wustl.edu")</f>
        <v>m.sohn@wustl.edu</v>
      </c>
      <c r="D470" s="61">
        <f>IFERROR(__xludf.DUMMYFUNCTION("""COMPUTED_VALUE"""),3.143798058E9)</f>
        <v>3143798058</v>
      </c>
      <c r="E470" s="61" t="str">
        <f>IFERROR(__xludf.DUMMYFUNCTION("""COMPUTED_VALUE"""),"Minjun Sohn")</f>
        <v>Minjun Sohn</v>
      </c>
      <c r="F470" s="61" t="str">
        <f>IFERROR(__xludf.DUMMYFUNCTION("""COMPUTED_VALUE"""),"Minjun Sohn")</f>
        <v>Minjun Sohn</v>
      </c>
      <c r="G470" s="61"/>
      <c r="H470" s="61" t="str">
        <f>IFERROR(__xludf.DUMMYFUNCTION("""COMPUTED_VALUE"""),"Appliance Rental")</f>
        <v>Appliance Rental</v>
      </c>
      <c r="I470" s="61" t="str">
        <f>IFERROR(__xludf.DUMMYFUNCTION("""COMPUTED_VALUE""")," Double-Door Mini Fridge   - ")</f>
        <v> Double-Door Mini Fridge   - </v>
      </c>
      <c r="J470" s="61">
        <f>IFERROR(__xludf.DUMMYFUNCTION("""COMPUTED_VALUE"""),145.0)</f>
        <v>145</v>
      </c>
      <c r="K470" s="100">
        <f>IFERROR(__xludf.DUMMYFUNCTION("""COMPUTED_VALUE"""),45891.0)</f>
        <v>45891</v>
      </c>
      <c r="L470" s="61" t="str">
        <f>IFERROR(__xludf.DUMMYFUNCTION("""COMPUTED_VALUE"""),"Village House  ")</f>
        <v>Village House  </v>
      </c>
      <c r="M470" s="64" t="str">
        <f>IFERROR(__xludf.DUMMYFUNCTION("""COMPUTED_VALUE"""),"3121")</f>
        <v>3121</v>
      </c>
      <c r="N470" s="61"/>
      <c r="O470" s="61" t="b">
        <f>COUNTIF('Delivered Rentals'!A:A, B470) &gt; 0</f>
        <v>1</v>
      </c>
      <c r="P470" s="101"/>
    </row>
    <row r="471">
      <c r="A471" s="102" t="str">
        <f>IFERROR(__xludf.DUMMYFUNCTION("""COMPUTED_VALUE"""),"https://utrucking.com/admin/orders/5939742015676")</f>
        <v>https://utrucking.com/admin/orders/5939742015676</v>
      </c>
      <c r="B471" s="65" t="str">
        <f>IFERROR(__xludf.DUMMYFUNCTION("""COMPUTED_VALUE"""),"#16308")</f>
        <v>#16308</v>
      </c>
      <c r="C471" s="65" t="str">
        <f>IFERROR(__xludf.DUMMYFUNCTION("""COMPUTED_VALUE"""),"ohhnahyun@gmail.com")</f>
        <v>ohhnahyun@gmail.com</v>
      </c>
      <c r="D471" s="65">
        <f>IFERROR(__xludf.DUMMYFUNCTION("""COMPUTED_VALUE"""),4.843547426E9)</f>
        <v>4843547426</v>
      </c>
      <c r="E471" s="65" t="str">
        <f>IFERROR(__xludf.DUMMYFUNCTION("""COMPUTED_VALUE"""),"Sophia Park")</f>
        <v>Sophia Park</v>
      </c>
      <c r="F471" s="65" t="str">
        <f>IFERROR(__xludf.DUMMYFUNCTION("""COMPUTED_VALUE"""),"Sophia Park")</f>
        <v>Sophia Park</v>
      </c>
      <c r="G471" s="65"/>
      <c r="H471" s="65" t="str">
        <f>IFERROR(__xludf.DUMMYFUNCTION("""COMPUTED_VALUE"""),"Appliance Rental")</f>
        <v>Appliance Rental</v>
      </c>
      <c r="I471" s="65" t="str">
        <f>IFERROR(__xludf.DUMMYFUNCTION("""COMPUTED_VALUE""")," Double-Door Mini Fridge   - ")</f>
        <v> Double-Door Mini Fridge   - </v>
      </c>
      <c r="J471" s="65">
        <f>IFERROR(__xludf.DUMMYFUNCTION("""COMPUTED_VALUE"""),145.0)</f>
        <v>145</v>
      </c>
      <c r="K471" s="103">
        <f>IFERROR(__xludf.DUMMYFUNCTION("""COMPUTED_VALUE"""),45887.0)</f>
        <v>45887</v>
      </c>
      <c r="L471" s="65" t="str">
        <f>IFERROR(__xludf.DUMMYFUNCTION("""COMPUTED_VALUE"""),"Lien  ")</f>
        <v>Lien  </v>
      </c>
      <c r="M471" s="68" t="str">
        <f>IFERROR(__xludf.DUMMYFUNCTION("""COMPUTED_VALUE"""),"2211")</f>
        <v>2211</v>
      </c>
      <c r="N471" s="65"/>
      <c r="O471" s="65" t="b">
        <f>COUNTIF('Delivered Rentals'!A:A, B471) &gt; 0</f>
        <v>1</v>
      </c>
      <c r="P471" s="104"/>
    </row>
    <row r="472">
      <c r="A472" s="99" t="str">
        <f>IFERROR(__xludf.DUMMYFUNCTION("""COMPUTED_VALUE"""),"https://utrucking.com/admin/orders/5939995934908")</f>
        <v>https://utrucking.com/admin/orders/5939995934908</v>
      </c>
      <c r="B472" s="61" t="str">
        <f>IFERROR(__xludf.DUMMYFUNCTION("""COMPUTED_VALUE"""),"#16310")</f>
        <v>#16310</v>
      </c>
      <c r="C472" s="61" t="str">
        <f>IFERROR(__xludf.DUMMYFUNCTION("""COMPUTED_VALUE"""),"kennedyb@wustl.edu")</f>
        <v>kennedyb@wustl.edu</v>
      </c>
      <c r="D472" s="61">
        <f>IFERROR(__xludf.DUMMYFUNCTION("""COMPUTED_VALUE"""),6.179491472E9)</f>
        <v>6179491472</v>
      </c>
      <c r="E472" s="61" t="str">
        <f>IFERROR(__xludf.DUMMYFUNCTION("""COMPUTED_VALUE"""),"Eleanor Brown")</f>
        <v>Eleanor Brown</v>
      </c>
      <c r="F472" s="61" t="str">
        <f>IFERROR(__xludf.DUMMYFUNCTION("""COMPUTED_VALUE"""),"Kennedy Brown")</f>
        <v>Kennedy Brown</v>
      </c>
      <c r="G472" s="61"/>
      <c r="H472" s="61" t="str">
        <f>IFERROR(__xludf.DUMMYFUNCTION("""COMPUTED_VALUE"""),"Appliance Rental")</f>
        <v>Appliance Rental</v>
      </c>
      <c r="I472" s="61" t="str">
        <f>IFERROR(__xludf.DUMMYFUNCTION("""COMPUTED_VALUE""")," Double-Door Mini Fridge   - ")</f>
        <v> Double-Door Mini Fridge   - </v>
      </c>
      <c r="J472" s="61">
        <f>IFERROR(__xludf.DUMMYFUNCTION("""COMPUTED_VALUE"""),145.0)</f>
        <v>145</v>
      </c>
      <c r="K472" s="100">
        <f>IFERROR(__xludf.DUMMYFUNCTION("""COMPUTED_VALUE"""),45887.0)</f>
        <v>45887</v>
      </c>
      <c r="L472" s="61" t="str">
        <f>IFERROR(__xludf.DUMMYFUNCTION("""COMPUTED_VALUE"""),"Danforth  ")</f>
        <v>Danforth  </v>
      </c>
      <c r="M472" s="64" t="str">
        <f>IFERROR(__xludf.DUMMYFUNCTION("""COMPUTED_VALUE"""),"1001")</f>
        <v>1001</v>
      </c>
      <c r="N472" s="61"/>
      <c r="O472" s="61" t="b">
        <f>COUNTIF('Delivered Rentals'!A:A, B472) &gt; 0</f>
        <v>1</v>
      </c>
      <c r="P472" s="101"/>
    </row>
    <row r="473">
      <c r="A473" s="102" t="str">
        <f>IFERROR(__xludf.DUMMYFUNCTION("""COMPUTED_VALUE"""),"https://utrucking.com/admin/orders/5940076052668")</f>
        <v>https://utrucking.com/admin/orders/5940076052668</v>
      </c>
      <c r="B473" s="65" t="str">
        <f>IFERROR(__xludf.DUMMYFUNCTION("""COMPUTED_VALUE"""),"#16311")</f>
        <v>#16311</v>
      </c>
      <c r="C473" s="65" t="str">
        <f>IFERROR(__xludf.DUMMYFUNCTION("""COMPUTED_VALUE"""),"Charlottejordangreen@gmail.com")</f>
        <v>Charlottejordangreen@gmail.com</v>
      </c>
      <c r="D473" s="65">
        <f>IFERROR(__xludf.DUMMYFUNCTION("""COMPUTED_VALUE"""),1.240703422E10)</f>
        <v>12407034220</v>
      </c>
      <c r="E473" s="65" t="str">
        <f>IFERROR(__xludf.DUMMYFUNCTION("""COMPUTED_VALUE"""),"Charlotte Green")</f>
        <v>Charlotte Green</v>
      </c>
      <c r="F473" s="65" t="str">
        <f>IFERROR(__xludf.DUMMYFUNCTION("""COMPUTED_VALUE"""),"Charlotte Green")</f>
        <v>Charlotte Green</v>
      </c>
      <c r="G473" s="65"/>
      <c r="H473" s="65" t="str">
        <f>IFERROR(__xludf.DUMMYFUNCTION("""COMPUTED_VALUE"""),"Appliance Rental")</f>
        <v>Appliance Rental</v>
      </c>
      <c r="I473" s="65" t="str">
        <f>IFERROR(__xludf.DUMMYFUNCTION("""COMPUTED_VALUE""")," Standard Mini Fridge   - ")</f>
        <v> Standard Mini Fridge   - </v>
      </c>
      <c r="J473" s="65">
        <f>IFERROR(__xludf.DUMMYFUNCTION("""COMPUTED_VALUE"""),115.0)</f>
        <v>115</v>
      </c>
      <c r="K473" s="103">
        <f>IFERROR(__xludf.DUMMYFUNCTION("""COMPUTED_VALUE"""),45887.0)</f>
        <v>45887</v>
      </c>
      <c r="L473" s="65" t="str">
        <f>IFERROR(__xludf.DUMMYFUNCTION("""COMPUTED_VALUE"""),"Eliot A (Thomas Eliot)")</f>
        <v>Eliot A (Thomas Eliot)</v>
      </c>
      <c r="M473" s="68" t="str">
        <f>IFERROR(__xludf.DUMMYFUNCTION("""COMPUTED_VALUE"""),"3112a")</f>
        <v>3112a</v>
      </c>
      <c r="N473" s="65"/>
      <c r="O473" s="65" t="b">
        <f>COUNTIF('Delivered Rentals'!A:A, B473) &gt; 0</f>
        <v>1</v>
      </c>
      <c r="P473" s="104"/>
    </row>
    <row r="474">
      <c r="A474" s="99" t="str">
        <f>IFERROR(__xludf.DUMMYFUNCTION("""COMPUTED_VALUE"""),"https://utrucking.com/admin/orders/5940142702780")</f>
        <v>https://utrucking.com/admin/orders/5940142702780</v>
      </c>
      <c r="B474" s="61" t="str">
        <f>IFERROR(__xludf.DUMMYFUNCTION("""COMPUTED_VALUE"""),"#16312")</f>
        <v>#16312</v>
      </c>
      <c r="C474" s="61" t="str">
        <f>IFERROR(__xludf.DUMMYFUNCTION("""COMPUTED_VALUE"""),"poeschels@comcast.net")</f>
        <v>poeschels@comcast.net</v>
      </c>
      <c r="D474" s="61">
        <f>IFERROR(__xludf.DUMMYFUNCTION("""COMPUTED_VALUE"""),1.6308413481E10)</f>
        <v>16308413481</v>
      </c>
      <c r="E474" s="61" t="str">
        <f>IFERROR(__xludf.DUMMYFUNCTION("""COMPUTED_VALUE"""),"Linda Poeschel")</f>
        <v>Linda Poeschel</v>
      </c>
      <c r="F474" s="61" t="str">
        <f>IFERROR(__xludf.DUMMYFUNCTION("""COMPUTED_VALUE"""),"Josh Poeschel")</f>
        <v>Josh Poeschel</v>
      </c>
      <c r="G474" s="61"/>
      <c r="H474" s="61" t="str">
        <f>IFERROR(__xludf.DUMMYFUNCTION("""COMPUTED_VALUE"""),"Appliance Rental")</f>
        <v>Appliance Rental</v>
      </c>
      <c r="I474" s="61" t="str">
        <f>IFERROR(__xludf.DUMMYFUNCTION("""COMPUTED_VALUE""")," Standard Mini Fridge + Microwave   - ")</f>
        <v> Standard Mini Fridge + Microwave   - </v>
      </c>
      <c r="J474" s="61">
        <f>IFERROR(__xludf.DUMMYFUNCTION("""COMPUTED_VALUE"""),180.0)</f>
        <v>180</v>
      </c>
      <c r="K474" s="100">
        <f>IFERROR(__xludf.DUMMYFUNCTION("""COMPUTED_VALUE"""),45887.0)</f>
        <v>45887</v>
      </c>
      <c r="L474" s="61" t="str">
        <f>IFERROR(__xludf.DUMMYFUNCTION("""COMPUTED_VALUE"""),"Liggett  ")</f>
        <v>Liggett  </v>
      </c>
      <c r="M474" s="64" t="str">
        <f>IFERROR(__xludf.DUMMYFUNCTION("""COMPUTED_VALUE"""),"2290-a")</f>
        <v>2290-a</v>
      </c>
      <c r="N474" s="61"/>
      <c r="O474" s="61" t="b">
        <f>COUNTIF('Delivered Rentals'!A:A, B474) &gt; 0</f>
        <v>1</v>
      </c>
      <c r="P474" s="101"/>
    </row>
    <row r="475">
      <c r="A475" s="102" t="str">
        <f>IFERROR(__xludf.DUMMYFUNCTION("""COMPUTED_VALUE"""),"https://utrucking.com/admin/orders/5940231864508")</f>
        <v>https://utrucking.com/admin/orders/5940231864508</v>
      </c>
      <c r="B475" s="65" t="str">
        <f>IFERROR(__xludf.DUMMYFUNCTION("""COMPUTED_VALUE"""),"#16317")</f>
        <v>#16317</v>
      </c>
      <c r="C475" s="65"/>
      <c r="D475" s="65">
        <f>IFERROR(__xludf.DUMMYFUNCTION("""COMPUTED_VALUE"""),8.324448437E9)</f>
        <v>8324448437</v>
      </c>
      <c r="E475" s="65" t="str">
        <f>IFERROR(__xludf.DUMMYFUNCTION("""COMPUTED_VALUE"""),"Kimberly Haley-Coleman")</f>
        <v>Kimberly Haley-Coleman</v>
      </c>
      <c r="F475" s="65" t="str">
        <f>IFERROR(__xludf.DUMMYFUNCTION("""COMPUTED_VALUE"""),"Margaret May Coleman")</f>
        <v>Margaret May Coleman</v>
      </c>
      <c r="G475" s="65"/>
      <c r="H475" s="65" t="str">
        <f>IFERROR(__xludf.DUMMYFUNCTION("""COMPUTED_VALUE"""),"Appliance Rental")</f>
        <v>Appliance Rental</v>
      </c>
      <c r="I475" s="65" t="str">
        <f>IFERROR(__xludf.DUMMYFUNCTION("""COMPUTED_VALUE""")," Double-Door Mini Fridge + Microwave   - ")</f>
        <v> Double-Door Mini Fridge + Microwave   - </v>
      </c>
      <c r="J475" s="65">
        <f>IFERROR(__xludf.DUMMYFUNCTION("""COMPUTED_VALUE"""),210.0)</f>
        <v>210</v>
      </c>
      <c r="K475" s="103">
        <f>IFERROR(__xludf.DUMMYFUNCTION("""COMPUTED_VALUE"""),45890.0)</f>
        <v>45890</v>
      </c>
      <c r="L475" s="65" t="str">
        <f>IFERROR(__xludf.DUMMYFUNCTION("""COMPUTED_VALUE"""),"Eliot B  ")</f>
        <v>Eliot B  </v>
      </c>
      <c r="M475" s="68" t="str">
        <f>IFERROR(__xludf.DUMMYFUNCTION("""COMPUTED_VALUE"""),"2nd floor not sure room#")</f>
        <v>2nd floor not sure room#</v>
      </c>
      <c r="N475" s="65"/>
      <c r="O475" s="65" t="b">
        <f>COUNTIF('Delivered Rentals'!A:A, B475) &gt; 0</f>
        <v>1</v>
      </c>
      <c r="P475" s="104"/>
    </row>
    <row r="476">
      <c r="A476" s="99" t="str">
        <f>IFERROR(__xludf.DUMMYFUNCTION("""COMPUTED_VALUE"""),"https://utrucking.com/admin/orders/5940265189564")</f>
        <v>https://utrucking.com/admin/orders/5940265189564</v>
      </c>
      <c r="B476" s="61" t="str">
        <f>IFERROR(__xludf.DUMMYFUNCTION("""COMPUTED_VALUE"""),"#16318")</f>
        <v>#16318</v>
      </c>
      <c r="C476" s="61" t="str">
        <f>IFERROR(__xludf.DUMMYFUNCTION("""COMPUTED_VALUE"""),"ismichaelx@outlook.com")</f>
        <v>ismichaelx@outlook.com</v>
      </c>
      <c r="D476" s="61">
        <f>IFERROR(__xludf.DUMMYFUNCTION("""COMPUTED_VALUE"""),7.733350946E9)</f>
        <v>7733350946</v>
      </c>
      <c r="E476" s="61" t="str">
        <f>IFERROR(__xludf.DUMMYFUNCTION("""COMPUTED_VALUE"""),"Jinde Xi")</f>
        <v>Jinde Xi</v>
      </c>
      <c r="F476" s="61" t="str">
        <f>IFERROR(__xludf.DUMMYFUNCTION("""COMPUTED_VALUE"""),"Jinde Xi")</f>
        <v>Jinde Xi</v>
      </c>
      <c r="G476" s="61"/>
      <c r="H476" s="61" t="str">
        <f>IFERROR(__xludf.DUMMYFUNCTION("""COMPUTED_VALUE"""),"Appliance Rental")</f>
        <v>Appliance Rental</v>
      </c>
      <c r="I476" s="61" t="str">
        <f>IFERROR(__xludf.DUMMYFUNCTION("""COMPUTED_VALUE""")," Double-Door Mini Fridge   - ")</f>
        <v> Double-Door Mini Fridge   - </v>
      </c>
      <c r="J476" s="61">
        <f>IFERROR(__xludf.DUMMYFUNCTION("""COMPUTED_VALUE"""),145.0)</f>
        <v>145</v>
      </c>
      <c r="K476" s="100">
        <f>IFERROR(__xludf.DUMMYFUNCTION("""COMPUTED_VALUE"""),45887.0)</f>
        <v>45887</v>
      </c>
      <c r="L476" s="61" t="str">
        <f>IFERROR(__xludf.DUMMYFUNCTION("""COMPUTED_VALUE"""),"Eliot A (Thomas Eliot)")</f>
        <v>Eliot A (Thomas Eliot)</v>
      </c>
      <c r="M476" s="64" t="str">
        <f>IFERROR(__xludf.DUMMYFUNCTION("""COMPUTED_VALUE"""),"2043/2040")</f>
        <v>2043/2040</v>
      </c>
      <c r="N476" s="61"/>
      <c r="O476" s="61" t="b">
        <f>COUNTIF('Delivered Rentals'!A:A, B476) &gt; 0</f>
        <v>1</v>
      </c>
      <c r="P476" s="101"/>
    </row>
    <row r="477">
      <c r="A477" s="102" t="str">
        <f>IFERROR(__xludf.DUMMYFUNCTION("""COMPUTED_VALUE"""),"https://utrucking.com/admin/orders/5940357497020")</f>
        <v>https://utrucking.com/admin/orders/5940357497020</v>
      </c>
      <c r="B477" s="65" t="str">
        <f>IFERROR(__xludf.DUMMYFUNCTION("""COMPUTED_VALUE"""),"#16319")</f>
        <v>#16319</v>
      </c>
      <c r="C477" s="65"/>
      <c r="D477" s="65">
        <f>IFERROR(__xludf.DUMMYFUNCTION("""COMPUTED_VALUE"""),1.5072061991E10)</f>
        <v>15072061991</v>
      </c>
      <c r="E477" s="65" t="str">
        <f>IFERROR(__xludf.DUMMYFUNCTION("""COMPUTED_VALUE"""),"Sathish Venkatachalem")</f>
        <v>Sathish Venkatachalem</v>
      </c>
      <c r="F477" s="65" t="str">
        <f>IFERROR(__xludf.DUMMYFUNCTION("""COMPUTED_VALUE"""),"Mithul Sathish")</f>
        <v>Mithul Sathish</v>
      </c>
      <c r="G477" s="65"/>
      <c r="H477" s="65" t="str">
        <f>IFERROR(__xludf.DUMMYFUNCTION("""COMPUTED_VALUE"""),"Appliance Rental")</f>
        <v>Appliance Rental</v>
      </c>
      <c r="I477" s="65" t="str">
        <f>IFERROR(__xludf.DUMMYFUNCTION("""COMPUTED_VALUE""")," Double-Door Mini Fridge + Microwave   - ")</f>
        <v> Double-Door Mini Fridge + Microwave   - </v>
      </c>
      <c r="J477" s="65">
        <f>IFERROR(__xludf.DUMMYFUNCTION("""COMPUTED_VALUE"""),210.0)</f>
        <v>210</v>
      </c>
      <c r="K477" s="103">
        <f>IFERROR(__xludf.DUMMYFUNCTION("""COMPUTED_VALUE"""),45887.0)</f>
        <v>45887</v>
      </c>
      <c r="L477" s="65" t="str">
        <f>IFERROR(__xludf.DUMMYFUNCTION("""COMPUTED_VALUE"""),"Lien  ")</f>
        <v>Lien  </v>
      </c>
      <c r="M477" s="68" t="str">
        <f>IFERROR(__xludf.DUMMYFUNCTION("""COMPUTED_VALUE"""),"2229")</f>
        <v>2229</v>
      </c>
      <c r="N477" s="65"/>
      <c r="O477" s="65" t="b">
        <f>COUNTIF('Delivered Rentals'!A:A, B477) &gt; 0</f>
        <v>1</v>
      </c>
      <c r="P477" s="104"/>
    </row>
    <row r="478">
      <c r="A478" s="99" t="str">
        <f>IFERROR(__xludf.DUMMYFUNCTION("""COMPUTED_VALUE"""),"https://utrucking.com/admin/orders/5940455440572")</f>
        <v>https://utrucking.com/admin/orders/5940455440572</v>
      </c>
      <c r="B478" s="61" t="str">
        <f>IFERROR(__xludf.DUMMYFUNCTION("""COMPUTED_VALUE"""),"#16322")</f>
        <v>#16322</v>
      </c>
      <c r="C478" s="61" t="str">
        <f>IFERROR(__xludf.DUMMYFUNCTION("""COMPUTED_VALUE"""),"nadiatanojo31@gmail.com")</f>
        <v>nadiatanojo31@gmail.com</v>
      </c>
      <c r="D478" s="61">
        <f>IFERROR(__xludf.DUMMYFUNCTION("""COMPUTED_VALUE"""),3.475307645E9)</f>
        <v>3475307645</v>
      </c>
      <c r="E478" s="61" t="str">
        <f>IFERROR(__xludf.DUMMYFUNCTION("""COMPUTED_VALUE"""),"Jongky Tanojo")</f>
        <v>Jongky Tanojo</v>
      </c>
      <c r="F478" s="61" t="str">
        <f>IFERROR(__xludf.DUMMYFUNCTION("""COMPUTED_VALUE"""),"Nadia Tanojo")</f>
        <v>Nadia Tanojo</v>
      </c>
      <c r="G478" s="61"/>
      <c r="H478" s="61" t="str">
        <f>IFERROR(__xludf.DUMMYFUNCTION("""COMPUTED_VALUE"""),"Appliance Rental")</f>
        <v>Appliance Rental</v>
      </c>
      <c r="I478" s="61" t="str">
        <f>IFERROR(__xludf.DUMMYFUNCTION("""COMPUTED_VALUE""")," Double-Door Mini Fridge + Microwave   - ")</f>
        <v> Double-Door Mini Fridge + Microwave   - </v>
      </c>
      <c r="J478" s="61">
        <f>IFERROR(__xludf.DUMMYFUNCTION("""COMPUTED_VALUE"""),210.0)</f>
        <v>210</v>
      </c>
      <c r="K478" s="100">
        <f>IFERROR(__xludf.DUMMYFUNCTION("""COMPUTED_VALUE"""),45887.0)</f>
        <v>45887</v>
      </c>
      <c r="L478" s="61" t="str">
        <f>IFERROR(__xludf.DUMMYFUNCTION("""COMPUTED_VALUE"""),"Danforth  ")</f>
        <v>Danforth  </v>
      </c>
      <c r="M478" s="64" t="str">
        <f>IFERROR(__xludf.DUMMYFUNCTION("""COMPUTED_VALUE"""),"4409b")</f>
        <v>4409b</v>
      </c>
      <c r="N478" s="61"/>
      <c r="O478" s="61" t="b">
        <f>COUNTIF('Delivered Rentals'!A:A, B478) &gt; 0</f>
        <v>1</v>
      </c>
      <c r="P478" s="101"/>
    </row>
    <row r="479">
      <c r="A479" s="102" t="str">
        <f>IFERROR(__xludf.DUMMYFUNCTION("""COMPUTED_VALUE"""),"https://utrucking.com/admin/orders/5940496859324")</f>
        <v>https://utrucking.com/admin/orders/5940496859324</v>
      </c>
      <c r="B479" s="65" t="str">
        <f>IFERROR(__xludf.DUMMYFUNCTION("""COMPUTED_VALUE"""),"#16323")</f>
        <v>#16323</v>
      </c>
      <c r="C479" s="65" t="str">
        <f>IFERROR(__xludf.DUMMYFUNCTION("""COMPUTED_VALUE"""),"christianyeramkim@gmail.com")</f>
        <v>christianyeramkim@gmail.com</v>
      </c>
      <c r="D479" s="65">
        <f>IFERROR(__xludf.DUMMYFUNCTION("""COMPUTED_VALUE"""),9.496895443E9)</f>
        <v>9496895443</v>
      </c>
      <c r="E479" s="65" t="str">
        <f>IFERROR(__xludf.DUMMYFUNCTION("""COMPUTED_VALUE"""),"Daniel Kim")</f>
        <v>Daniel Kim</v>
      </c>
      <c r="F479" s="65" t="str">
        <f>IFERROR(__xludf.DUMMYFUNCTION("""COMPUTED_VALUE"""),"Christian Kim")</f>
        <v>Christian Kim</v>
      </c>
      <c r="G479" s="65"/>
      <c r="H479" s="65" t="str">
        <f>IFERROR(__xludf.DUMMYFUNCTION("""COMPUTED_VALUE"""),"Appliance Rental")</f>
        <v>Appliance Rental</v>
      </c>
      <c r="I479" s="65" t="str">
        <f>IFERROR(__xludf.DUMMYFUNCTION("""COMPUTED_VALUE""")," Double-Door Mini Fridge   - ")</f>
        <v> Double-Door Mini Fridge   - </v>
      </c>
      <c r="J479" s="65">
        <f>IFERROR(__xludf.DUMMYFUNCTION("""COMPUTED_VALUE"""),145.0)</f>
        <v>145</v>
      </c>
      <c r="K479" s="103">
        <f>IFERROR(__xludf.DUMMYFUNCTION("""COMPUTED_VALUE"""),45887.0)</f>
        <v>45887</v>
      </c>
      <c r="L479" s="65" t="str">
        <f>IFERROR(__xludf.DUMMYFUNCTION("""COMPUTED_VALUE"""),"Zetcher  ")</f>
        <v>Zetcher  </v>
      </c>
      <c r="M479" s="68" t="str">
        <f>IFERROR(__xludf.DUMMYFUNCTION("""COMPUTED_VALUE"""),"3061")</f>
        <v>3061</v>
      </c>
      <c r="N479" s="65"/>
      <c r="O479" s="65" t="b">
        <f>COUNTIF('Delivered Rentals'!A:A, B479) &gt; 0</f>
        <v>1</v>
      </c>
      <c r="P479" s="104"/>
    </row>
    <row r="480">
      <c r="A480" s="99" t="str">
        <f>IFERROR(__xludf.DUMMYFUNCTION("""COMPUTED_VALUE"""),"https://utrucking.com/admin/orders/5940552728764")</f>
        <v>https://utrucking.com/admin/orders/5940552728764</v>
      </c>
      <c r="B480" s="61" t="str">
        <f>IFERROR(__xludf.DUMMYFUNCTION("""COMPUTED_VALUE"""),"#16324")</f>
        <v>#16324</v>
      </c>
      <c r="C480" s="61"/>
      <c r="D480" s="61">
        <f>IFERROR(__xludf.DUMMYFUNCTION("""COMPUTED_VALUE"""),2.058954063E9)</f>
        <v>2058954063</v>
      </c>
      <c r="E480" s="61" t="str">
        <f>IFERROR(__xludf.DUMMYFUNCTION("""COMPUTED_VALUE"""),"Evelyn Frohsin")</f>
        <v>Evelyn Frohsin</v>
      </c>
      <c r="F480" s="61" t="str">
        <f>IFERROR(__xludf.DUMMYFUNCTION("""COMPUTED_VALUE"""),"Evelyn Frohsin")</f>
        <v>Evelyn Frohsin</v>
      </c>
      <c r="G480" s="61"/>
      <c r="H480" s="61" t="str">
        <f>IFERROR(__xludf.DUMMYFUNCTION("""COMPUTED_VALUE"""),"Appliance Rental")</f>
        <v>Appliance Rental</v>
      </c>
      <c r="I480" s="61" t="str">
        <f>IFERROR(__xludf.DUMMYFUNCTION("""COMPUTED_VALUE""")," Standard Mini Fridge + Microwave   - ")</f>
        <v> Standard Mini Fridge + Microwave   - </v>
      </c>
      <c r="J480" s="61">
        <f>IFERROR(__xludf.DUMMYFUNCTION("""COMPUTED_VALUE"""),180.0)</f>
        <v>180</v>
      </c>
      <c r="K480" s="100">
        <f>IFERROR(__xludf.DUMMYFUNCTION("""COMPUTED_VALUE"""),45883.0)</f>
        <v>45883</v>
      </c>
      <c r="L480" s="61" t="str">
        <f>IFERROR(__xludf.DUMMYFUNCTION("""COMPUTED_VALUE"""),"Dardick  ")</f>
        <v>Dardick  </v>
      </c>
      <c r="M480" s="64" t="str">
        <f>IFERROR(__xludf.DUMMYFUNCTION("""COMPUTED_VALUE"""),"4420 - b")</f>
        <v>4420 - b</v>
      </c>
      <c r="N480" s="61"/>
      <c r="O480" s="61" t="b">
        <f>COUNTIF('Delivered Rentals'!A:A, B480) &gt; 0</f>
        <v>1</v>
      </c>
      <c r="P480" s="101"/>
    </row>
    <row r="481">
      <c r="A481" s="102" t="str">
        <f>IFERROR(__xludf.DUMMYFUNCTION("""COMPUTED_VALUE"""),"https://utrucking.com/admin/orders/5940993065148")</f>
        <v>https://utrucking.com/admin/orders/5940993065148</v>
      </c>
      <c r="B481" s="65" t="str">
        <f>IFERROR(__xludf.DUMMYFUNCTION("""COMPUTED_VALUE"""),"#16327")</f>
        <v>#16327</v>
      </c>
      <c r="C481" s="65" t="str">
        <f>IFERROR(__xludf.DUMMYFUNCTION("""COMPUTED_VALUE"""),"farah.j@wustl.edu")</f>
        <v>farah.j@wustl.edu</v>
      </c>
      <c r="D481" s="65">
        <f>IFERROR(__xludf.DUMMYFUNCTION("""COMPUTED_VALUE"""),6.032935082E9)</f>
        <v>6032935082</v>
      </c>
      <c r="E481" s="65" t="str">
        <f>IFERROR(__xludf.DUMMYFUNCTION("""COMPUTED_VALUE"""),"Jack Farah")</f>
        <v>Jack Farah</v>
      </c>
      <c r="F481" s="65" t="str">
        <f>IFERROR(__xludf.DUMMYFUNCTION("""COMPUTED_VALUE"""),"Jack Farah")</f>
        <v>Jack Farah</v>
      </c>
      <c r="G481" s="65"/>
      <c r="H481" s="65" t="str">
        <f>IFERROR(__xludf.DUMMYFUNCTION("""COMPUTED_VALUE"""),"Appliance Rental")</f>
        <v>Appliance Rental</v>
      </c>
      <c r="I481" s="65" t="str">
        <f>IFERROR(__xludf.DUMMYFUNCTION("""COMPUTED_VALUE""")," Standard Mini Fridge   - ")</f>
        <v> Standard Mini Fridge   - </v>
      </c>
      <c r="J481" s="65">
        <f>IFERROR(__xludf.DUMMYFUNCTION("""COMPUTED_VALUE"""),115.0)</f>
        <v>115</v>
      </c>
      <c r="K481" s="103">
        <f>IFERROR(__xludf.DUMMYFUNCTION("""COMPUTED_VALUE"""),45883.0)</f>
        <v>45883</v>
      </c>
      <c r="L481" s="65" t="str">
        <f>IFERROR(__xludf.DUMMYFUNCTION("""COMPUTED_VALUE"""),"Liggett  ")</f>
        <v>Liggett  </v>
      </c>
      <c r="M481" s="68" t="str">
        <f>IFERROR(__xludf.DUMMYFUNCTION("""COMPUTED_VALUE"""),"4522")</f>
        <v>4522</v>
      </c>
      <c r="N481" s="65"/>
      <c r="O481" s="65" t="b">
        <f>COUNTIF('Delivered Rentals'!A:A, B481) &gt; 0</f>
        <v>1</v>
      </c>
      <c r="P481" s="104"/>
    </row>
    <row r="482">
      <c r="A482" s="99" t="str">
        <f>IFERROR(__xludf.DUMMYFUNCTION("""COMPUTED_VALUE"""),"https://utrucking.com/admin/orders/5941011316924")</f>
        <v>https://utrucking.com/admin/orders/5941011316924</v>
      </c>
      <c r="B482" s="61" t="str">
        <f>IFERROR(__xludf.DUMMYFUNCTION("""COMPUTED_VALUE"""),"#16328")</f>
        <v>#16328</v>
      </c>
      <c r="C482" s="61"/>
      <c r="D482" s="61">
        <f>IFERROR(__xludf.DUMMYFUNCTION("""COMPUTED_VALUE"""),8.402056469E9)</f>
        <v>8402056469</v>
      </c>
      <c r="E482" s="61" t="str">
        <f>IFERROR(__xludf.DUMMYFUNCTION("""COMPUTED_VALUE"""),"Joyce Zhao")</f>
        <v>Joyce Zhao</v>
      </c>
      <c r="F482" s="61" t="str">
        <f>IFERROR(__xludf.DUMMYFUNCTION("""COMPUTED_VALUE"""),"Sihan Zhao")</f>
        <v>Sihan Zhao</v>
      </c>
      <c r="G482" s="61"/>
      <c r="H482" s="61" t="str">
        <f>IFERROR(__xludf.DUMMYFUNCTION("""COMPUTED_VALUE"""),"Appliance Rental")</f>
        <v>Appliance Rental</v>
      </c>
      <c r="I482" s="61" t="str">
        <f>IFERROR(__xludf.DUMMYFUNCTION("""COMPUTED_VALUE""")," Standard Mini Fridge + Microwave   - ")</f>
        <v> Standard Mini Fridge + Microwave   - </v>
      </c>
      <c r="J482" s="61">
        <f>IFERROR(__xludf.DUMMYFUNCTION("""COMPUTED_VALUE"""),180.0)</f>
        <v>180</v>
      </c>
      <c r="K482" s="100">
        <f>IFERROR(__xludf.DUMMYFUNCTION("""COMPUTED_VALUE"""),45887.0)</f>
        <v>45887</v>
      </c>
      <c r="L482" s="61" t="str">
        <f>IFERROR(__xludf.DUMMYFUNCTION("""COMPUTED_VALUE"""),"Shanedling  ")</f>
        <v>Shanedling  </v>
      </c>
      <c r="M482" s="64" t="str">
        <f>IFERROR(__xludf.DUMMYFUNCTION("""COMPUTED_VALUE"""),"333")</f>
        <v>333</v>
      </c>
      <c r="N482" s="61"/>
      <c r="O482" s="61" t="b">
        <f>COUNTIF('Delivered Rentals'!A:A, B482) &gt; 0</f>
        <v>1</v>
      </c>
      <c r="P482" s="101"/>
    </row>
    <row r="483">
      <c r="A483" s="102" t="str">
        <f>IFERROR(__xludf.DUMMYFUNCTION("""COMPUTED_VALUE"""),"https://utrucking.com/admin/orders/5941125841084")</f>
        <v>https://utrucking.com/admin/orders/5941125841084</v>
      </c>
      <c r="B483" s="65" t="str">
        <f>IFERROR(__xludf.DUMMYFUNCTION("""COMPUTED_VALUE"""),"#16329")</f>
        <v>#16329</v>
      </c>
      <c r="C483" s="65"/>
      <c r="D483" s="65">
        <f>IFERROR(__xludf.DUMMYFUNCTION("""COMPUTED_VALUE"""),4.439009858E9)</f>
        <v>4439009858</v>
      </c>
      <c r="E483" s="65" t="str">
        <f>IFERROR(__xludf.DUMMYFUNCTION("""COMPUTED_VALUE"""),"Coleen Schrepfer")</f>
        <v>Coleen Schrepfer</v>
      </c>
      <c r="F483" s="65" t="str">
        <f>IFERROR(__xludf.DUMMYFUNCTION("""COMPUTED_VALUE"""),"Brody Schrepfer")</f>
        <v>Brody Schrepfer</v>
      </c>
      <c r="G483" s="65"/>
      <c r="H483" s="65" t="str">
        <f>IFERROR(__xludf.DUMMYFUNCTION("""COMPUTED_VALUE"""),"Appliance Rental")</f>
        <v>Appliance Rental</v>
      </c>
      <c r="I483" s="65" t="str">
        <f>IFERROR(__xludf.DUMMYFUNCTION("""COMPUTED_VALUE""")," Double-Door Mini Fridge + Microwave   - ")</f>
        <v> Double-Door Mini Fridge + Microwave   - </v>
      </c>
      <c r="J483" s="65">
        <f>IFERROR(__xludf.DUMMYFUNCTION("""COMPUTED_VALUE"""),210.0)</f>
        <v>210</v>
      </c>
      <c r="K483" s="103">
        <f>IFERROR(__xludf.DUMMYFUNCTION("""COMPUTED_VALUE"""),45887.0)</f>
        <v>45887</v>
      </c>
      <c r="L483" s="65" t="str">
        <f>IFERROR(__xludf.DUMMYFUNCTION("""COMPUTED_VALUE"""),"House 7 ")</f>
        <v>House 7 </v>
      </c>
      <c r="M483" s="68" t="str">
        <f>IFERROR(__xludf.DUMMYFUNCTION("""COMPUTED_VALUE"""),"203")</f>
        <v>203</v>
      </c>
      <c r="N483" s="65"/>
      <c r="O483" s="65" t="b">
        <f>COUNTIF('Delivered Rentals'!A:A, B483) &gt; 0</f>
        <v>1</v>
      </c>
      <c r="P483" s="104"/>
    </row>
    <row r="484">
      <c r="A484" s="99" t="str">
        <f>IFERROR(__xludf.DUMMYFUNCTION("""COMPUTED_VALUE"""),"https://utrucking.com/admin/orders/5941497069756")</f>
        <v>https://utrucking.com/admin/orders/5941497069756</v>
      </c>
      <c r="B484" s="61" t="str">
        <f>IFERROR(__xludf.DUMMYFUNCTION("""COMPUTED_VALUE"""),"#16335")</f>
        <v>#16335</v>
      </c>
      <c r="C484" s="61" t="str">
        <f>IFERROR(__xludf.DUMMYFUNCTION("""COMPUTED_VALUE"""),"jason.ye@wustl.edu")</f>
        <v>jason.ye@wustl.edu</v>
      </c>
      <c r="D484" s="61">
        <f>IFERROR(__xludf.DUMMYFUNCTION("""COMPUTED_VALUE"""),3.147605274E9)</f>
        <v>3147605274</v>
      </c>
      <c r="E484" s="61" t="str">
        <f>IFERROR(__xludf.DUMMYFUNCTION("""COMPUTED_VALUE"""),"Jason Ye")</f>
        <v>Jason Ye</v>
      </c>
      <c r="F484" s="61" t="str">
        <f>IFERROR(__xludf.DUMMYFUNCTION("""COMPUTED_VALUE"""),"Jason Ye")</f>
        <v>Jason Ye</v>
      </c>
      <c r="G484" s="61"/>
      <c r="H484" s="61" t="str">
        <f>IFERROR(__xludf.DUMMYFUNCTION("""COMPUTED_VALUE"""),"Appliance Rental")</f>
        <v>Appliance Rental</v>
      </c>
      <c r="I484" s="61" t="str">
        <f>IFERROR(__xludf.DUMMYFUNCTION("""COMPUTED_VALUE""")," Standard Mini Fridge   - ")</f>
        <v> Standard Mini Fridge   - </v>
      </c>
      <c r="J484" s="61">
        <f>IFERROR(__xludf.DUMMYFUNCTION("""COMPUTED_VALUE"""),115.0)</f>
        <v>115</v>
      </c>
      <c r="K484" s="100">
        <f>IFERROR(__xludf.DUMMYFUNCTION("""COMPUTED_VALUE"""),45891.0)</f>
        <v>45891</v>
      </c>
      <c r="L484" s="61" t="str">
        <f>IFERROR(__xludf.DUMMYFUNCTION("""COMPUTED_VALUE"""),"Eliot B  ")</f>
        <v>Eliot B  </v>
      </c>
      <c r="M484" s="64" t="str">
        <f>IFERROR(__xludf.DUMMYFUNCTION("""COMPUTED_VALUE"""),"4071 - a")</f>
        <v>4071 - a</v>
      </c>
      <c r="N484" s="61"/>
      <c r="O484" s="61" t="b">
        <f>COUNTIF('Delivered Rentals'!A:A, B484) &gt; 0</f>
        <v>1</v>
      </c>
      <c r="P484" s="101"/>
    </row>
    <row r="485">
      <c r="A485" s="102" t="str">
        <f>IFERROR(__xludf.DUMMYFUNCTION("""COMPUTED_VALUE"""),"https://utrucking.com/admin/orders/5941663137980")</f>
        <v>https://utrucking.com/admin/orders/5941663137980</v>
      </c>
      <c r="B485" s="65" t="str">
        <f>IFERROR(__xludf.DUMMYFUNCTION("""COMPUTED_VALUE"""),"#16337")</f>
        <v>#16337</v>
      </c>
      <c r="C485" s="65"/>
      <c r="D485" s="65">
        <f>IFERROR(__xludf.DUMMYFUNCTION("""COMPUTED_VALUE"""),3.145417679E9)</f>
        <v>3145417679</v>
      </c>
      <c r="E485" s="65" t="str">
        <f>IFERROR(__xludf.DUMMYFUNCTION("""COMPUTED_VALUE"""),"Alejandro Bribriesco")</f>
        <v>Alejandro Bribriesco</v>
      </c>
      <c r="F485" s="65" t="str">
        <f>IFERROR(__xludf.DUMMYFUNCTION("""COMPUTED_VALUE"""),"Ava Bribriesco")</f>
        <v>Ava Bribriesco</v>
      </c>
      <c r="G485" s="65"/>
      <c r="H485" s="65" t="str">
        <f>IFERROR(__xludf.DUMMYFUNCTION("""COMPUTED_VALUE"""),"Appliance Rental")</f>
        <v>Appliance Rental</v>
      </c>
      <c r="I485" s="65" t="str">
        <f>IFERROR(__xludf.DUMMYFUNCTION("""COMPUTED_VALUE""")," Double-Door Mini Fridge + Microwave   - ")</f>
        <v> Double-Door Mini Fridge + Microwave   - </v>
      </c>
      <c r="J485" s="65">
        <f>IFERROR(__xludf.DUMMYFUNCTION("""COMPUTED_VALUE"""),210.0)</f>
        <v>210</v>
      </c>
      <c r="K485" s="103">
        <f>IFERROR(__xludf.DUMMYFUNCTION("""COMPUTED_VALUE"""),45887.0)</f>
        <v>45887</v>
      </c>
      <c r="L485" s="65" t="str">
        <f>IFERROR(__xludf.DUMMYFUNCTION("""COMPUTED_VALUE"""),"Park  ")</f>
        <v>Park  </v>
      </c>
      <c r="M485" s="68" t="str">
        <f>IFERROR(__xludf.DUMMYFUNCTION("""COMPUTED_VALUE"""),"310")</f>
        <v>310</v>
      </c>
      <c r="N485" s="65"/>
      <c r="O485" s="65" t="b">
        <f>COUNTIF('Delivered Rentals'!A:A, B485) &gt; 0</f>
        <v>1</v>
      </c>
      <c r="P485" s="104"/>
    </row>
    <row r="486">
      <c r="A486" s="99" t="str">
        <f>IFERROR(__xludf.DUMMYFUNCTION("""COMPUTED_VALUE"""),"https://utrucking.com/admin/orders/5941713567932")</f>
        <v>https://utrucking.com/admin/orders/5941713567932</v>
      </c>
      <c r="B486" s="61" t="str">
        <f>IFERROR(__xludf.DUMMYFUNCTION("""COMPUTED_VALUE"""),"#16339")</f>
        <v>#16339</v>
      </c>
      <c r="C486" s="61" t="str">
        <f>IFERROR(__xludf.DUMMYFUNCTION("""COMPUTED_VALUE"""),"suzanne.wiebke@gmail.com")</f>
        <v>suzanne.wiebke@gmail.com</v>
      </c>
      <c r="D486" s="61">
        <f>IFERROR(__xludf.DUMMYFUNCTION("""COMPUTED_VALUE"""),6.193758889E9)</f>
        <v>6193758889</v>
      </c>
      <c r="E486" s="61" t="str">
        <f>IFERROR(__xludf.DUMMYFUNCTION("""COMPUTED_VALUE"""),"Suzanne Wiebke")</f>
        <v>Suzanne Wiebke</v>
      </c>
      <c r="F486" s="61" t="str">
        <f>IFERROR(__xludf.DUMMYFUNCTION("""COMPUTED_VALUE"""),"Nathan Wiebke")</f>
        <v>Nathan Wiebke</v>
      </c>
      <c r="G486" s="61"/>
      <c r="H486" s="61" t="str">
        <f>IFERROR(__xludf.DUMMYFUNCTION("""COMPUTED_VALUE"""),"Appliance Rental")</f>
        <v>Appliance Rental</v>
      </c>
      <c r="I486" s="61" t="str">
        <f>IFERROR(__xludf.DUMMYFUNCTION("""COMPUTED_VALUE""")," Double-Door Mini Fridge   - ")</f>
        <v> Double-Door Mini Fridge   - </v>
      </c>
      <c r="J486" s="61">
        <f>IFERROR(__xludf.DUMMYFUNCTION("""COMPUTED_VALUE"""),145.0)</f>
        <v>145</v>
      </c>
      <c r="K486" s="100">
        <f>IFERROR(__xludf.DUMMYFUNCTION("""COMPUTED_VALUE"""),45887.0)</f>
        <v>45887</v>
      </c>
      <c r="L486" s="61" t="str">
        <f>IFERROR(__xludf.DUMMYFUNCTION("""COMPUTED_VALUE"""),"Eliot A (Thomas Eliot)")</f>
        <v>Eliot A (Thomas Eliot)</v>
      </c>
      <c r="M486" s="64" t="str">
        <f>IFERROR(__xludf.DUMMYFUNCTION("""COMPUTED_VALUE"""),"2094")</f>
        <v>2094</v>
      </c>
      <c r="N486" s="61"/>
      <c r="O486" s="61" t="b">
        <f>COUNTIF('Delivered Rentals'!A:A, B486) &gt; 0</f>
        <v>1</v>
      </c>
      <c r="P486" s="101"/>
    </row>
    <row r="487">
      <c r="A487" s="102" t="str">
        <f>IFERROR(__xludf.DUMMYFUNCTION("""COMPUTED_VALUE"""),"https://utrucking.com/admin/orders/5942038528188")</f>
        <v>https://utrucking.com/admin/orders/5942038528188</v>
      </c>
      <c r="B487" s="65" t="str">
        <f>IFERROR(__xludf.DUMMYFUNCTION("""COMPUTED_VALUE"""),"#16341")</f>
        <v>#16341</v>
      </c>
      <c r="C487" s="65"/>
      <c r="D487" s="65">
        <f>IFERROR(__xludf.DUMMYFUNCTION("""COMPUTED_VALUE"""),9.293913061E9)</f>
        <v>9293913061</v>
      </c>
      <c r="E487" s="65" t="str">
        <f>IFERROR(__xludf.DUMMYFUNCTION("""COMPUTED_VALUE"""),"yuxiao zhao")</f>
        <v>yuxiao zhao</v>
      </c>
      <c r="F487" s="65" t="str">
        <f>IFERROR(__xludf.DUMMYFUNCTION("""COMPUTED_VALUE"""),"evelyn zhao")</f>
        <v>evelyn zhao</v>
      </c>
      <c r="G487" s="65"/>
      <c r="H487" s="65" t="str">
        <f>IFERROR(__xludf.DUMMYFUNCTION("""COMPUTED_VALUE"""),"Appliance Rental")</f>
        <v>Appliance Rental</v>
      </c>
      <c r="I487" s="65" t="str">
        <f>IFERROR(__xludf.DUMMYFUNCTION("""COMPUTED_VALUE""")," Double-Door Mini Fridge   - ")</f>
        <v> Double-Door Mini Fridge   - </v>
      </c>
      <c r="J487" s="65">
        <f>IFERROR(__xludf.DUMMYFUNCTION("""COMPUTED_VALUE"""),145.0)</f>
        <v>145</v>
      </c>
      <c r="K487" s="103">
        <f>IFERROR(__xludf.DUMMYFUNCTION("""COMPUTED_VALUE"""),45891.0)</f>
        <v>45891</v>
      </c>
      <c r="L487" s="65" t="str">
        <f>IFERROR(__xludf.DUMMYFUNCTION("""COMPUTED_VALUE"""),"Shepley  ")</f>
        <v>Shepley  </v>
      </c>
      <c r="M487" s="68" t="str">
        <f>IFERROR(__xludf.DUMMYFUNCTION("""COMPUTED_VALUE"""),"1023-a")</f>
        <v>1023-a</v>
      </c>
      <c r="N487" s="65"/>
      <c r="O487" s="65" t="b">
        <f>COUNTIF('Delivered Rentals'!A:A, B487) &gt; 0</f>
        <v>1</v>
      </c>
      <c r="P487" s="104"/>
    </row>
    <row r="488">
      <c r="A488" s="99" t="str">
        <f>IFERROR(__xludf.DUMMYFUNCTION("""COMPUTED_VALUE"""),"https://utrucking.com/admin/orders/5942640214204")</f>
        <v>https://utrucking.com/admin/orders/5942640214204</v>
      </c>
      <c r="B488" s="61" t="str">
        <f>IFERROR(__xludf.DUMMYFUNCTION("""COMPUTED_VALUE"""),"#16352")</f>
        <v>#16352</v>
      </c>
      <c r="C488" s="61" t="str">
        <f>IFERROR(__xludf.DUMMYFUNCTION("""COMPUTED_VALUE"""),"luistrimino8478@gmail.com")</f>
        <v>luistrimino8478@gmail.com</v>
      </c>
      <c r="D488" s="61">
        <f>IFERROR(__xludf.DUMMYFUNCTION("""COMPUTED_VALUE"""),4.804534052E9)</f>
        <v>4804534052</v>
      </c>
      <c r="E488" s="61" t="str">
        <f>IFERROR(__xludf.DUMMYFUNCTION("""COMPUTED_VALUE"""),"Luis Trimino")</f>
        <v>Luis Trimino</v>
      </c>
      <c r="F488" s="61" t="str">
        <f>IFERROR(__xludf.DUMMYFUNCTION("""COMPUTED_VALUE"""),"Luis Trimino")</f>
        <v>Luis Trimino</v>
      </c>
      <c r="G488" s="61"/>
      <c r="H488" s="61" t="str">
        <f>IFERROR(__xludf.DUMMYFUNCTION("""COMPUTED_VALUE"""),"Appliance Rental")</f>
        <v>Appliance Rental</v>
      </c>
      <c r="I488" s="61" t="str">
        <f>IFERROR(__xludf.DUMMYFUNCTION("""COMPUTED_VALUE""")," Standard Mini Fridge   - ")</f>
        <v> Standard Mini Fridge   - </v>
      </c>
      <c r="J488" s="61">
        <f>IFERROR(__xludf.DUMMYFUNCTION("""COMPUTED_VALUE"""),115.0)</f>
        <v>115</v>
      </c>
      <c r="K488" s="100">
        <f>IFERROR(__xludf.DUMMYFUNCTION("""COMPUTED_VALUE"""),45887.0)</f>
        <v>45887</v>
      </c>
      <c r="L488" s="61" t="str">
        <f>IFERROR(__xludf.DUMMYFUNCTION("""COMPUTED_VALUE"""),"Hurd  ")</f>
        <v>Hurd  </v>
      </c>
      <c r="M488" s="64" t="str">
        <f>IFERROR(__xludf.DUMMYFUNCTION("""COMPUTED_VALUE"""),"333")</f>
        <v>333</v>
      </c>
      <c r="N488" s="61"/>
      <c r="O488" s="61" t="b">
        <f>COUNTIF('Delivered Rentals'!A:A, B488) &gt; 0</f>
        <v>1</v>
      </c>
      <c r="P488" s="101"/>
    </row>
    <row r="489">
      <c r="A489" s="102" t="str">
        <f>IFERROR(__xludf.DUMMYFUNCTION("""COMPUTED_VALUE"""),"https://utrucking.com/admin/orders/5942662398140")</f>
        <v>https://utrucking.com/admin/orders/5942662398140</v>
      </c>
      <c r="B489" s="65" t="str">
        <f>IFERROR(__xludf.DUMMYFUNCTION("""COMPUTED_VALUE"""),"#16353")</f>
        <v>#16353</v>
      </c>
      <c r="C489" s="65" t="str">
        <f>IFERROR(__xludf.DUMMYFUNCTION("""COMPUTED_VALUE"""),"k.m.rambod-sarrieu@wustl.edu")</f>
        <v>k.m.rambod-sarrieu@wustl.edu</v>
      </c>
      <c r="D489" s="65">
        <f>IFERROR(__xludf.DUMMYFUNCTION("""COMPUTED_VALUE"""),4.806007592E9)</f>
        <v>4806007592</v>
      </c>
      <c r="E489" s="65" t="str">
        <f>IFERROR(__xludf.DUMMYFUNCTION("""COMPUTED_VALUE"""),"Kayla Rambod-Sarrieu")</f>
        <v>Kayla Rambod-Sarrieu</v>
      </c>
      <c r="F489" s="65" t="str">
        <f>IFERROR(__xludf.DUMMYFUNCTION("""COMPUTED_VALUE"""),"Kayla Rambod-Sarrieu")</f>
        <v>Kayla Rambod-Sarrieu</v>
      </c>
      <c r="G489" s="65"/>
      <c r="H489" s="65" t="str">
        <f>IFERROR(__xludf.DUMMYFUNCTION("""COMPUTED_VALUE"""),"Appliance Rental")</f>
        <v>Appliance Rental</v>
      </c>
      <c r="I489" s="65" t="str">
        <f>IFERROR(__xludf.DUMMYFUNCTION("""COMPUTED_VALUE""")," Double-Door Mini Fridge   - ")</f>
        <v> Double-Door Mini Fridge   - </v>
      </c>
      <c r="J489" s="65">
        <f>IFERROR(__xludf.DUMMYFUNCTION("""COMPUTED_VALUE"""),145.0)</f>
        <v>145</v>
      </c>
      <c r="K489" s="103">
        <f>IFERROR(__xludf.DUMMYFUNCTION("""COMPUTED_VALUE"""),45887.0)</f>
        <v>45887</v>
      </c>
      <c r="L489" s="65" t="str">
        <f>IFERROR(__xludf.DUMMYFUNCTION("""COMPUTED_VALUE"""),"Myers  ")</f>
        <v>Myers  </v>
      </c>
      <c r="M489" s="68" t="str">
        <f>IFERROR(__xludf.DUMMYFUNCTION("""COMPUTED_VALUE"""),"324")</f>
        <v>324</v>
      </c>
      <c r="N489" s="65"/>
      <c r="O489" s="65" t="b">
        <f>COUNTIF('Delivered Rentals'!A:A, B489) &gt; 0</f>
        <v>1</v>
      </c>
      <c r="P489" s="104"/>
    </row>
    <row r="490">
      <c r="A490" s="99" t="str">
        <f>IFERROR(__xludf.DUMMYFUNCTION("""COMPUTED_VALUE"""),"https://utrucking.com/admin/orders/5942858154172")</f>
        <v>https://utrucking.com/admin/orders/5942858154172</v>
      </c>
      <c r="B490" s="61" t="str">
        <f>IFERROR(__xludf.DUMMYFUNCTION("""COMPUTED_VALUE"""),"#16354")</f>
        <v>#16354</v>
      </c>
      <c r="C490" s="61"/>
      <c r="D490" s="61">
        <f>IFERROR(__xludf.DUMMYFUNCTION("""COMPUTED_VALUE"""),1.049113842E9)</f>
        <v>1049113842</v>
      </c>
      <c r="E490" s="61" t="str">
        <f>IFERROR(__xludf.DUMMYFUNCTION("""COMPUTED_VALUE"""),"Kwangil Kim")</f>
        <v>Kwangil Kim</v>
      </c>
      <c r="F490" s="61" t="str">
        <f>IFERROR(__xludf.DUMMYFUNCTION("""COMPUTED_VALUE"""),"Doyoon Kim")</f>
        <v>Doyoon Kim</v>
      </c>
      <c r="G490" s="61"/>
      <c r="H490" s="61" t="str">
        <f>IFERROR(__xludf.DUMMYFUNCTION("""COMPUTED_VALUE"""),"Appliance Rental")</f>
        <v>Appliance Rental</v>
      </c>
      <c r="I490" s="61" t="str">
        <f>IFERROR(__xludf.DUMMYFUNCTION("""COMPUTED_VALUE""")," Double-Door Mini Fridge   - ")</f>
        <v> Double-Door Mini Fridge   - </v>
      </c>
      <c r="J490" s="61">
        <f>IFERROR(__xludf.DUMMYFUNCTION("""COMPUTED_VALUE"""),145.0)</f>
        <v>145</v>
      </c>
      <c r="K490" s="100">
        <f>IFERROR(__xludf.DUMMYFUNCTION("""COMPUTED_VALUE"""),45887.0)</f>
        <v>45887</v>
      </c>
      <c r="L490" s="61" t="str">
        <f>IFERROR(__xludf.DUMMYFUNCTION("""COMPUTED_VALUE"""),"Lien  ")</f>
        <v>Lien  </v>
      </c>
      <c r="M490" s="64" t="str">
        <f>IFERROR(__xludf.DUMMYFUNCTION("""COMPUTED_VALUE"""),"2201")</f>
        <v>2201</v>
      </c>
      <c r="N490" s="61"/>
      <c r="O490" s="61" t="b">
        <f>COUNTIF('Delivered Rentals'!A:A, B490) &gt; 0</f>
        <v>1</v>
      </c>
      <c r="P490" s="101"/>
    </row>
    <row r="491">
      <c r="A491" s="102" t="str">
        <f>IFERROR(__xludf.DUMMYFUNCTION("""COMPUTED_VALUE"""),"https://utrucking.com/admin/orders/5943317528764")</f>
        <v>https://utrucking.com/admin/orders/5943317528764</v>
      </c>
      <c r="B491" s="65" t="str">
        <f>IFERROR(__xludf.DUMMYFUNCTION("""COMPUTED_VALUE"""),"#16357")</f>
        <v>#16357</v>
      </c>
      <c r="C491" s="65" t="str">
        <f>IFERROR(__xludf.DUMMYFUNCTION("""COMPUTED_VALUE"""),"esperance050505@gmail.com")</f>
        <v>esperance050505@gmail.com</v>
      </c>
      <c r="D491" s="65">
        <f>IFERROR(__xludf.DUMMYFUNCTION("""COMPUTED_VALUE"""),3.464343177E9)</f>
        <v>3464343177</v>
      </c>
      <c r="E491" s="65" t="str">
        <f>IFERROR(__xludf.DUMMYFUNCTION("""COMPUTED_VALUE"""),"Esperance Bukenya")</f>
        <v>Esperance Bukenya</v>
      </c>
      <c r="F491" s="65" t="str">
        <f>IFERROR(__xludf.DUMMYFUNCTION("""COMPUTED_VALUE"""),"Esperance Bukenya")</f>
        <v>Esperance Bukenya</v>
      </c>
      <c r="G491" s="65"/>
      <c r="H491" s="65" t="str">
        <f>IFERROR(__xludf.DUMMYFUNCTION("""COMPUTED_VALUE"""),"Appliance Rental")</f>
        <v>Appliance Rental</v>
      </c>
      <c r="I491" s="65" t="str">
        <f>IFERROR(__xludf.DUMMYFUNCTION("""COMPUTED_VALUE""")," Double-Door Mini Fridge + Microwave   - ")</f>
        <v> Double-Door Mini Fridge + Microwave   - </v>
      </c>
      <c r="J491" s="65">
        <f>IFERROR(__xludf.DUMMYFUNCTION("""COMPUTED_VALUE"""),210.0)</f>
        <v>210</v>
      </c>
      <c r="K491" s="103">
        <f>IFERROR(__xludf.DUMMYFUNCTION("""COMPUTED_VALUE"""),45887.0)</f>
        <v>45887</v>
      </c>
      <c r="L491" s="65" t="str">
        <f>IFERROR(__xludf.DUMMYFUNCTION("""COMPUTED_VALUE"""),"Eliot A (Thomas Eliot)")</f>
        <v>Eliot A (Thomas Eliot)</v>
      </c>
      <c r="M491" s="68" t="str">
        <f>IFERROR(__xludf.DUMMYFUNCTION("""COMPUTED_VALUE"""),"2112")</f>
        <v>2112</v>
      </c>
      <c r="N491" s="65"/>
      <c r="O491" s="65" t="b">
        <f>COUNTIF('Delivered Rentals'!A:A, B491) &gt; 0</f>
        <v>1</v>
      </c>
      <c r="P491" s="104"/>
    </row>
    <row r="492">
      <c r="A492" s="99" t="str">
        <f>IFERROR(__xludf.DUMMYFUNCTION("""COMPUTED_VALUE"""),"https://utrucking.com/admin/orders/5943494312124")</f>
        <v>https://utrucking.com/admin/orders/5943494312124</v>
      </c>
      <c r="B492" s="61" t="str">
        <f>IFERROR(__xludf.DUMMYFUNCTION("""COMPUTED_VALUE"""),"#16359")</f>
        <v>#16359</v>
      </c>
      <c r="C492" s="61"/>
      <c r="D492" s="61">
        <f>IFERROR(__xludf.DUMMYFUNCTION("""COMPUTED_VALUE"""),9.786184522E9)</f>
        <v>9786184522</v>
      </c>
      <c r="E492" s="61" t="str">
        <f>IFERROR(__xludf.DUMMYFUNCTION("""COMPUTED_VALUE"""),"Marshall Fisher")</f>
        <v>Marshall Fisher</v>
      </c>
      <c r="F492" s="61" t="str">
        <f>IFERROR(__xludf.DUMMYFUNCTION("""COMPUTED_VALUE"""),"Marshall Fisher")</f>
        <v>Marshall Fisher</v>
      </c>
      <c r="G492" s="61"/>
      <c r="H492" s="61" t="str">
        <f>IFERROR(__xludf.DUMMYFUNCTION("""COMPUTED_VALUE"""),"Appliance Rental")</f>
        <v>Appliance Rental</v>
      </c>
      <c r="I492" s="61" t="str">
        <f>IFERROR(__xludf.DUMMYFUNCTION("""COMPUTED_VALUE""")," Double-Door Mini Fridge + Microwave   - ")</f>
        <v> Double-Door Mini Fridge + Microwave   - </v>
      </c>
      <c r="J492" s="61">
        <f>IFERROR(__xludf.DUMMYFUNCTION("""COMPUTED_VALUE"""),210.0)</f>
        <v>210</v>
      </c>
      <c r="K492" s="100">
        <f>IFERROR(__xludf.DUMMYFUNCTION("""COMPUTED_VALUE"""),45887.0)</f>
        <v>45887</v>
      </c>
      <c r="L492" s="61" t="str">
        <f>IFERROR(__xludf.DUMMYFUNCTION("""COMPUTED_VALUE"""),"Zetcher  ")</f>
        <v>Zetcher  </v>
      </c>
      <c r="M492" s="64" t="str">
        <f>IFERROR(__xludf.DUMMYFUNCTION("""COMPUTED_VALUE"""),"3194")</f>
        <v>3194</v>
      </c>
      <c r="N492" s="61"/>
      <c r="O492" s="61" t="b">
        <f>COUNTIF('Delivered Rentals'!A:A, B492) &gt; 0</f>
        <v>1</v>
      </c>
      <c r="P492" s="101"/>
    </row>
    <row r="493">
      <c r="A493" s="102" t="str">
        <f>IFERROR(__xludf.DUMMYFUNCTION("""COMPUTED_VALUE"""),"https://utrucking.com/admin/orders/5943544316092")</f>
        <v>https://utrucking.com/admin/orders/5943544316092</v>
      </c>
      <c r="B493" s="65" t="str">
        <f>IFERROR(__xludf.DUMMYFUNCTION("""COMPUTED_VALUE"""),"#16360")</f>
        <v>#16360</v>
      </c>
      <c r="C493" s="65" t="str">
        <f>IFERROR(__xludf.DUMMYFUNCTION("""COMPUTED_VALUE"""),"eliza.podvalny@gmail.com")</f>
        <v>eliza.podvalny@gmail.com</v>
      </c>
      <c r="D493" s="65">
        <f>IFERROR(__xludf.DUMMYFUNCTION("""COMPUTED_VALUE"""),9.149878705E9)</f>
        <v>9149878705</v>
      </c>
      <c r="E493" s="65" t="str">
        <f>IFERROR(__xludf.DUMMYFUNCTION("""COMPUTED_VALUE"""),"Eliza Podvalny")</f>
        <v>Eliza Podvalny</v>
      </c>
      <c r="F493" s="65"/>
      <c r="G493" s="65"/>
      <c r="H493" s="65" t="str">
        <f>IFERROR(__xludf.DUMMYFUNCTION("""COMPUTED_VALUE"""),"Appliance Rental")</f>
        <v>Appliance Rental</v>
      </c>
      <c r="I493" s="65" t="str">
        <f>IFERROR(__xludf.DUMMYFUNCTION("""COMPUTED_VALUE""")," Double-Door Mini Fridge   - ")</f>
        <v> Double-Door Mini Fridge   - </v>
      </c>
      <c r="J493" s="65">
        <f>IFERROR(__xludf.DUMMYFUNCTION("""COMPUTED_VALUE"""),145.0)</f>
        <v>145</v>
      </c>
      <c r="K493" s="103">
        <f>IFERROR(__xludf.DUMMYFUNCTION("""COMPUTED_VALUE"""),45883.0)</f>
        <v>45883</v>
      </c>
      <c r="L493" s="65" t="str">
        <f>IFERROR(__xludf.DUMMYFUNCTION("""COMPUTED_VALUE"""),"Zetcher  ")</f>
        <v>Zetcher  </v>
      </c>
      <c r="M493" s="68" t="str">
        <f>IFERROR(__xludf.DUMMYFUNCTION("""COMPUTED_VALUE"""),"4123")</f>
        <v>4123</v>
      </c>
      <c r="N493" s="65"/>
      <c r="O493" s="65" t="b">
        <f>COUNTIF('Delivered Rentals'!A:A, B493) &gt; 0</f>
        <v>1</v>
      </c>
      <c r="P493" s="104"/>
    </row>
    <row r="494">
      <c r="A494" s="99" t="str">
        <f>IFERROR(__xludf.DUMMYFUNCTION("""COMPUTED_VALUE"""),"https://utrucking.com/admin/orders/5943636754620")</f>
        <v>https://utrucking.com/admin/orders/5943636754620</v>
      </c>
      <c r="B494" s="61" t="str">
        <f>IFERROR(__xludf.DUMMYFUNCTION("""COMPUTED_VALUE"""),"#16362")</f>
        <v>#16362</v>
      </c>
      <c r="C494" s="61"/>
      <c r="D494" s="61">
        <f>IFERROR(__xludf.DUMMYFUNCTION("""COMPUTED_VALUE"""),7.744070219E9)</f>
        <v>7744070219</v>
      </c>
      <c r="E494" s="61" t="str">
        <f>IFERROR(__xludf.DUMMYFUNCTION("""COMPUTED_VALUE"""),"Jackson Dickie")</f>
        <v>Jackson Dickie</v>
      </c>
      <c r="F494" s="61" t="str">
        <f>IFERROR(__xludf.DUMMYFUNCTION("""COMPUTED_VALUE"""),"Jackson Dickie")</f>
        <v>Jackson Dickie</v>
      </c>
      <c r="G494" s="61"/>
      <c r="H494" s="61" t="str">
        <f>IFERROR(__xludf.DUMMYFUNCTION("""COMPUTED_VALUE"""),"Appliance Rental")</f>
        <v>Appliance Rental</v>
      </c>
      <c r="I494" s="61" t="str">
        <f>IFERROR(__xludf.DUMMYFUNCTION("""COMPUTED_VALUE""")," Double-Door Mini Fridge + Microwave   - ")</f>
        <v> Double-Door Mini Fridge + Microwave   - </v>
      </c>
      <c r="J494" s="61">
        <f>IFERROR(__xludf.DUMMYFUNCTION("""COMPUTED_VALUE"""),210.0)</f>
        <v>210</v>
      </c>
      <c r="K494" s="100">
        <f>IFERROR(__xludf.DUMMYFUNCTION("""COMPUTED_VALUE"""),45883.0)</f>
        <v>45883</v>
      </c>
      <c r="L494" s="61" t="str">
        <f>IFERROR(__xludf.DUMMYFUNCTION("""COMPUTED_VALUE"""),"Hurd  ")</f>
        <v>Hurd  </v>
      </c>
      <c r="M494" s="64" t="str">
        <f>IFERROR(__xludf.DUMMYFUNCTION("""COMPUTED_VALUE"""),"334")</f>
        <v>334</v>
      </c>
      <c r="N494" s="61"/>
      <c r="O494" s="61" t="b">
        <f>COUNTIF('Delivered Rentals'!A:A, B494) &gt; 0</f>
        <v>1</v>
      </c>
      <c r="P494" s="101"/>
    </row>
    <row r="495">
      <c r="A495" s="102" t="str">
        <f>IFERROR(__xludf.DUMMYFUNCTION("""COMPUTED_VALUE"""),"https://utrucking.com/admin/orders/5943651532988")</f>
        <v>https://utrucking.com/admin/orders/5943651532988</v>
      </c>
      <c r="B495" s="65" t="str">
        <f>IFERROR(__xludf.DUMMYFUNCTION("""COMPUTED_VALUE"""),"#16363")</f>
        <v>#16363</v>
      </c>
      <c r="C495" s="65" t="str">
        <f>IFERROR(__xludf.DUMMYFUNCTION("""COMPUTED_VALUE"""),"talibenyehuda13@gmail.com")</f>
        <v>talibenyehuda13@gmail.com</v>
      </c>
      <c r="D495" s="65">
        <f>IFERROR(__xludf.DUMMYFUNCTION("""COMPUTED_VALUE"""),6.197401313E9)</f>
        <v>6197401313</v>
      </c>
      <c r="E495" s="65" t="str">
        <f>IFERROR(__xludf.DUMMYFUNCTION("""COMPUTED_VALUE"""),"Tali Ben-Yehuda")</f>
        <v>Tali Ben-Yehuda</v>
      </c>
      <c r="F495" s="65" t="str">
        <f>IFERROR(__xludf.DUMMYFUNCTION("""COMPUTED_VALUE"""),"Tali Ben-Yehuda")</f>
        <v>Tali Ben-Yehuda</v>
      </c>
      <c r="G495" s="65"/>
      <c r="H495" s="65" t="str">
        <f>IFERROR(__xludf.DUMMYFUNCTION("""COMPUTED_VALUE"""),"Appliance Rental")</f>
        <v>Appliance Rental</v>
      </c>
      <c r="I495" s="65" t="str">
        <f>IFERROR(__xludf.DUMMYFUNCTION("""COMPUTED_VALUE""")," Double-Door Mini Fridge   - ")</f>
        <v> Double-Door Mini Fridge   - </v>
      </c>
      <c r="J495" s="65">
        <f>IFERROR(__xludf.DUMMYFUNCTION("""COMPUTED_VALUE"""),145.0)</f>
        <v>145</v>
      </c>
      <c r="K495" s="103">
        <f>IFERROR(__xludf.DUMMYFUNCTION("""COMPUTED_VALUE"""),45887.0)</f>
        <v>45887</v>
      </c>
      <c r="L495" s="65" t="str">
        <f>IFERROR(__xludf.DUMMYFUNCTION("""COMPUTED_VALUE"""),"Hitzeman  ")</f>
        <v>Hitzeman  </v>
      </c>
      <c r="M495" s="68" t="str">
        <f>IFERROR(__xludf.DUMMYFUNCTION("""COMPUTED_VALUE"""),"114")</f>
        <v>114</v>
      </c>
      <c r="N495" s="65"/>
      <c r="O495" s="65" t="b">
        <f>COUNTIF('Delivered Rentals'!A:A, B495) &gt; 0</f>
        <v>1</v>
      </c>
      <c r="P495" s="104"/>
    </row>
    <row r="496">
      <c r="A496" s="99" t="str">
        <f>IFERROR(__xludf.DUMMYFUNCTION("""COMPUTED_VALUE"""),"https://utrucking.com/admin/orders/5943655923900")</f>
        <v>https://utrucking.com/admin/orders/5943655923900</v>
      </c>
      <c r="B496" s="61" t="str">
        <f>IFERROR(__xludf.DUMMYFUNCTION("""COMPUTED_VALUE"""),"#16364")</f>
        <v>#16364</v>
      </c>
      <c r="C496" s="61" t="str">
        <f>IFERROR(__xludf.DUMMYFUNCTION("""COMPUTED_VALUE"""),"oschoellschafer@gmail.com")</f>
        <v>oschoellschafer@gmail.com</v>
      </c>
      <c r="D496" s="61">
        <f>IFERROR(__xludf.DUMMYFUNCTION("""COMPUTED_VALUE"""),8.16872419E9)</f>
        <v>8168724190</v>
      </c>
      <c r="E496" s="61" t="str">
        <f>IFERROR(__xludf.DUMMYFUNCTION("""COMPUTED_VALUE"""),"Matthew Schafer")</f>
        <v>Matthew Schafer</v>
      </c>
      <c r="F496" s="61" t="str">
        <f>IFERROR(__xludf.DUMMYFUNCTION("""COMPUTED_VALUE"""),"Orion Schoell-Schafer")</f>
        <v>Orion Schoell-Schafer</v>
      </c>
      <c r="G496" s="61"/>
      <c r="H496" s="61" t="str">
        <f>IFERROR(__xludf.DUMMYFUNCTION("""COMPUTED_VALUE"""),"Appliance Rental")</f>
        <v>Appliance Rental</v>
      </c>
      <c r="I496" s="61" t="str">
        <f>IFERROR(__xludf.DUMMYFUNCTION("""COMPUTED_VALUE""")," Double-Door Mini Fridge   - ")</f>
        <v> Double-Door Mini Fridge   - </v>
      </c>
      <c r="J496" s="61">
        <f>IFERROR(__xludf.DUMMYFUNCTION("""COMPUTED_VALUE"""),145.0)</f>
        <v>145</v>
      </c>
      <c r="K496" s="100">
        <f>IFERROR(__xludf.DUMMYFUNCTION("""COMPUTED_VALUE"""),45887.0)</f>
        <v>45887</v>
      </c>
      <c r="L496" s="61" t="str">
        <f>IFERROR(__xludf.DUMMYFUNCTION("""COMPUTED_VALUE"""),"Shanedling  ")</f>
        <v>Shanedling  </v>
      </c>
      <c r="M496" s="64" t="str">
        <f>IFERROR(__xludf.DUMMYFUNCTION("""COMPUTED_VALUE"""),"442")</f>
        <v>442</v>
      </c>
      <c r="N496" s="61"/>
      <c r="O496" s="61" t="b">
        <f>COUNTIF('Delivered Rentals'!A:A, B496) &gt; 0</f>
        <v>1</v>
      </c>
      <c r="P496" s="101"/>
    </row>
    <row r="497">
      <c r="A497" s="102" t="str">
        <f>IFERROR(__xludf.DUMMYFUNCTION("""COMPUTED_VALUE"""),"https://utrucking.com/admin/orders/5943720804540")</f>
        <v>https://utrucking.com/admin/orders/5943720804540</v>
      </c>
      <c r="B497" s="65" t="str">
        <f>IFERROR(__xludf.DUMMYFUNCTION("""COMPUTED_VALUE"""),"#16365")</f>
        <v>#16365</v>
      </c>
      <c r="C497" s="65" t="str">
        <f>IFERROR(__xludf.DUMMYFUNCTION("""COMPUTED_VALUE"""),"bblackford2006@gmail.com")</f>
        <v>bblackford2006@gmail.com</v>
      </c>
      <c r="D497" s="65">
        <f>IFERROR(__xludf.DUMMYFUNCTION("""COMPUTED_VALUE"""),5.027026505E9)</f>
        <v>5027026505</v>
      </c>
      <c r="E497" s="65" t="str">
        <f>IFERROR(__xludf.DUMMYFUNCTION("""COMPUTED_VALUE"""),"Benjamin Blackford")</f>
        <v>Benjamin Blackford</v>
      </c>
      <c r="F497" s="65" t="str">
        <f>IFERROR(__xludf.DUMMYFUNCTION("""COMPUTED_VALUE"""),"Benjamin Blackford")</f>
        <v>Benjamin Blackford</v>
      </c>
      <c r="G497" s="65"/>
      <c r="H497" s="65" t="str">
        <f>IFERROR(__xludf.DUMMYFUNCTION("""COMPUTED_VALUE"""),"Appliance Rental")</f>
        <v>Appliance Rental</v>
      </c>
      <c r="I497" s="65" t="str">
        <f>IFERROR(__xludf.DUMMYFUNCTION("""COMPUTED_VALUE""")," Standard Mini Fridge   - ")</f>
        <v> Standard Mini Fridge   - </v>
      </c>
      <c r="J497" s="65">
        <f>IFERROR(__xludf.DUMMYFUNCTION("""COMPUTED_VALUE"""),115.0)</f>
        <v>115</v>
      </c>
      <c r="K497" s="103">
        <f>IFERROR(__xludf.DUMMYFUNCTION("""COMPUTED_VALUE"""),45887.0)</f>
        <v>45887</v>
      </c>
      <c r="L497" s="65" t="str">
        <f>IFERROR(__xludf.DUMMYFUNCTION("""COMPUTED_VALUE"""),"Myers  ")</f>
        <v>Myers  </v>
      </c>
      <c r="M497" s="68" t="str">
        <f>IFERROR(__xludf.DUMMYFUNCTION("""COMPUTED_VALUE"""),"341")</f>
        <v>341</v>
      </c>
      <c r="N497" s="65"/>
      <c r="O497" s="65" t="b">
        <f>COUNTIF('Delivered Rentals'!A:A, B497) &gt; 0</f>
        <v>1</v>
      </c>
      <c r="P497" s="104"/>
    </row>
    <row r="498">
      <c r="A498" s="99" t="str">
        <f>IFERROR(__xludf.DUMMYFUNCTION("""COMPUTED_VALUE"""),"https://utrucking.com/admin/orders/5943938056380")</f>
        <v>https://utrucking.com/admin/orders/5943938056380</v>
      </c>
      <c r="B498" s="61" t="str">
        <f>IFERROR(__xludf.DUMMYFUNCTION("""COMPUTED_VALUE"""),"#16368")</f>
        <v>#16368</v>
      </c>
      <c r="C498" s="61"/>
      <c r="D498" s="61">
        <f>IFERROR(__xludf.DUMMYFUNCTION("""COMPUTED_VALUE"""),8.083695904E9)</f>
        <v>8083695904</v>
      </c>
      <c r="E498" s="61" t="str">
        <f>IFERROR(__xludf.DUMMYFUNCTION("""COMPUTED_VALUE"""),"Spencer Yamamoto")</f>
        <v>Spencer Yamamoto</v>
      </c>
      <c r="F498" s="61" t="str">
        <f>IFERROR(__xludf.DUMMYFUNCTION("""COMPUTED_VALUE"""),"Spencer Yamamoto ")</f>
        <v>Spencer Yamamoto </v>
      </c>
      <c r="G498" s="61"/>
      <c r="H498" s="61" t="str">
        <f>IFERROR(__xludf.DUMMYFUNCTION("""COMPUTED_VALUE"""),"Appliance Rental")</f>
        <v>Appliance Rental</v>
      </c>
      <c r="I498" s="61" t="str">
        <f>IFERROR(__xludf.DUMMYFUNCTION("""COMPUTED_VALUE""")," Double-Door Mini Fridge   - ")</f>
        <v> Double-Door Mini Fridge   - </v>
      </c>
      <c r="J498" s="61">
        <f>IFERROR(__xludf.DUMMYFUNCTION("""COMPUTED_VALUE"""),145.0)</f>
        <v>145</v>
      </c>
      <c r="K498" s="100">
        <f>IFERROR(__xludf.DUMMYFUNCTION("""COMPUTED_VALUE"""),45887.0)</f>
        <v>45887</v>
      </c>
      <c r="L498" s="61" t="str">
        <f>IFERROR(__xludf.DUMMYFUNCTION("""COMPUTED_VALUE"""),"Eliot A (Thomas Eliot)")</f>
        <v>Eliot A (Thomas Eliot)</v>
      </c>
      <c r="M498" s="64" t="str">
        <f>IFERROR(__xludf.DUMMYFUNCTION("""COMPUTED_VALUE"""),"1031")</f>
        <v>1031</v>
      </c>
      <c r="N498" s="61"/>
      <c r="O498" s="61" t="b">
        <f>COUNTIF('Delivered Rentals'!A:A, B498) &gt; 0</f>
        <v>1</v>
      </c>
      <c r="P498" s="101"/>
    </row>
    <row r="499">
      <c r="A499" s="102" t="str">
        <f>IFERROR(__xludf.DUMMYFUNCTION("""COMPUTED_VALUE"""),"https://utrucking.com/admin/orders/5943958143164")</f>
        <v>https://utrucking.com/admin/orders/5943958143164</v>
      </c>
      <c r="B499" s="65" t="str">
        <f>IFERROR(__xludf.DUMMYFUNCTION("""COMPUTED_VALUE"""),"#16369")</f>
        <v>#16369</v>
      </c>
      <c r="C499" s="65" t="str">
        <f>IFERROR(__xludf.DUMMYFUNCTION("""COMPUTED_VALUE"""),"doq@wustl.edu")</f>
        <v>doq@wustl.edu</v>
      </c>
      <c r="D499" s="65">
        <f>IFERROR(__xludf.DUMMYFUNCTION("""COMPUTED_VALUE"""),6.123253362E9)</f>
        <v>6123253362</v>
      </c>
      <c r="E499" s="65" t="str">
        <f>IFERROR(__xludf.DUMMYFUNCTION("""COMPUTED_VALUE"""),"Quan Do")</f>
        <v>Quan Do</v>
      </c>
      <c r="F499" s="65" t="str">
        <f>IFERROR(__xludf.DUMMYFUNCTION("""COMPUTED_VALUE"""),"Quan Do")</f>
        <v>Quan Do</v>
      </c>
      <c r="G499" s="65"/>
      <c r="H499" s="65" t="str">
        <f>IFERROR(__xludf.DUMMYFUNCTION("""COMPUTED_VALUE"""),"Appliance Rental")</f>
        <v>Appliance Rental</v>
      </c>
      <c r="I499" s="65" t="str">
        <f>IFERROR(__xludf.DUMMYFUNCTION("""COMPUTED_VALUE""")," Microwave Only   - ")</f>
        <v> Microwave Only   - </v>
      </c>
      <c r="J499" s="65">
        <f>IFERROR(__xludf.DUMMYFUNCTION("""COMPUTED_VALUE"""),65.0)</f>
        <v>65</v>
      </c>
      <c r="K499" s="103">
        <f>IFERROR(__xludf.DUMMYFUNCTION("""COMPUTED_VALUE"""),45887.0)</f>
        <v>45887</v>
      </c>
      <c r="L499" s="65" t="str">
        <f>IFERROR(__xludf.DUMMYFUNCTION("""COMPUTED_VALUE"""),"Dardick  ")</f>
        <v>Dardick  </v>
      </c>
      <c r="M499" s="68" t="str">
        <f>IFERROR(__xludf.DUMMYFUNCTION("""COMPUTED_VALUE"""),"2206")</f>
        <v>2206</v>
      </c>
      <c r="N499" s="65"/>
      <c r="O499" s="65" t="b">
        <f>COUNTIF('Delivered Rentals'!A:A, B499) &gt; 0</f>
        <v>1</v>
      </c>
      <c r="P499" s="104"/>
    </row>
    <row r="500">
      <c r="A500" s="99" t="str">
        <f>IFERROR(__xludf.DUMMYFUNCTION("""COMPUTED_VALUE"""),"https://utrucking.com/admin/orders/5943969939644")</f>
        <v>https://utrucking.com/admin/orders/5943969939644</v>
      </c>
      <c r="B500" s="61" t="str">
        <f>IFERROR(__xludf.DUMMYFUNCTION("""COMPUTED_VALUE"""),"#16370")</f>
        <v>#16370</v>
      </c>
      <c r="C500" s="61" t="str">
        <f>IFERROR(__xludf.DUMMYFUNCTION("""COMPUTED_VALUE"""),"e.newman@wustl.edu")</f>
        <v>e.newman@wustl.edu</v>
      </c>
      <c r="D500" s="61">
        <f>IFERROR(__xludf.DUMMYFUNCTION("""COMPUTED_VALUE"""),9.179915326E9)</f>
        <v>9179915326</v>
      </c>
      <c r="E500" s="61" t="str">
        <f>IFERROR(__xludf.DUMMYFUNCTION("""COMPUTED_VALUE"""),"Emi Newman")</f>
        <v>Emi Newman</v>
      </c>
      <c r="F500" s="61" t="str">
        <f>IFERROR(__xludf.DUMMYFUNCTION("""COMPUTED_VALUE"""),"Emi Newman")</f>
        <v>Emi Newman</v>
      </c>
      <c r="G500" s="61"/>
      <c r="H500" s="61" t="str">
        <f>IFERROR(__xludf.DUMMYFUNCTION("""COMPUTED_VALUE"""),"Appliance Rental")</f>
        <v>Appliance Rental</v>
      </c>
      <c r="I500" s="61" t="str">
        <f>IFERROR(__xludf.DUMMYFUNCTION("""COMPUTED_VALUE""")," Double-Door Mini Fridge   - ")</f>
        <v> Double-Door Mini Fridge   - </v>
      </c>
      <c r="J500" s="61">
        <f>IFERROR(__xludf.DUMMYFUNCTION("""COMPUTED_VALUE"""),145.0)</f>
        <v>145</v>
      </c>
      <c r="K500" s="100">
        <f>IFERROR(__xludf.DUMMYFUNCTION("""COMPUTED_VALUE"""),45890.0)</f>
        <v>45890</v>
      </c>
      <c r="L500" s="61" t="str">
        <f>IFERROR(__xludf.DUMMYFUNCTION("""COMPUTED_VALUE"""),"Lopata  ")</f>
        <v>Lopata  </v>
      </c>
      <c r="M500" s="64" t="str">
        <f>IFERROR(__xludf.DUMMYFUNCTION("""COMPUTED_VALUE"""),"3023")</f>
        <v>3023</v>
      </c>
      <c r="N500" s="61"/>
      <c r="O500" s="61" t="b">
        <f>COUNTIF('Delivered Rentals'!A:A, B500) &gt; 0</f>
        <v>1</v>
      </c>
      <c r="P500" s="101"/>
    </row>
    <row r="501">
      <c r="A501" s="102" t="str">
        <f>IFERROR(__xludf.DUMMYFUNCTION("""COMPUTED_VALUE"""),"https://utrucking.com/admin/orders/5943982522556")</f>
        <v>https://utrucking.com/admin/orders/5943982522556</v>
      </c>
      <c r="B501" s="65" t="str">
        <f>IFERROR(__xludf.DUMMYFUNCTION("""COMPUTED_VALUE"""),"#16371")</f>
        <v>#16371</v>
      </c>
      <c r="C501" s="65" t="str">
        <f>IFERROR(__xludf.DUMMYFUNCTION("""COMPUTED_VALUE"""),"villanielio96@gmail.com")</f>
        <v>villanielio96@gmail.com</v>
      </c>
      <c r="D501" s="65">
        <f>IFERROR(__xludf.DUMMYFUNCTION("""COMPUTED_VALUE"""),9.144797851E9)</f>
        <v>9144797851</v>
      </c>
      <c r="E501" s="65" t="str">
        <f>IFERROR(__xludf.DUMMYFUNCTION("""COMPUTED_VALUE"""),"Gina Valeri")</f>
        <v>Gina Valeri</v>
      </c>
      <c r="F501" s="65" t="str">
        <f>IFERROR(__xludf.DUMMYFUNCTION("""COMPUTED_VALUE"""),"Elio Villani ")</f>
        <v>Elio Villani </v>
      </c>
      <c r="G501" s="65"/>
      <c r="H501" s="65" t="str">
        <f>IFERROR(__xludf.DUMMYFUNCTION("""COMPUTED_VALUE"""),"Appliance Rental")</f>
        <v>Appliance Rental</v>
      </c>
      <c r="I501" s="65" t="str">
        <f>IFERROR(__xludf.DUMMYFUNCTION("""COMPUTED_VALUE""")," Standard Mini Fridge   - ")</f>
        <v> Standard Mini Fridge   - </v>
      </c>
      <c r="J501" s="65">
        <f>IFERROR(__xludf.DUMMYFUNCTION("""COMPUTED_VALUE"""),115.0)</f>
        <v>115</v>
      </c>
      <c r="K501" s="103">
        <f>IFERROR(__xludf.DUMMYFUNCTION("""COMPUTED_VALUE"""),45887.0)</f>
        <v>45887</v>
      </c>
      <c r="L501" s="65" t="str">
        <f>IFERROR(__xludf.DUMMYFUNCTION("""COMPUTED_VALUE"""),"Shanedling  ")</f>
        <v>Shanedling  </v>
      </c>
      <c r="M501" s="68" t="str">
        <f>IFERROR(__xludf.DUMMYFUNCTION("""COMPUTED_VALUE"""),"232")</f>
        <v>232</v>
      </c>
      <c r="N501" s="65"/>
      <c r="O501" s="65" t="b">
        <f>COUNTIF('Delivered Rentals'!A:A, B501) &gt; 0</f>
        <v>1</v>
      </c>
      <c r="P501" s="104"/>
    </row>
    <row r="502">
      <c r="A502" s="99" t="str">
        <f>IFERROR(__xludf.DUMMYFUNCTION("""COMPUTED_VALUE"""),"https://utrucking.com/admin/orders/5944030232764")</f>
        <v>https://utrucking.com/admin/orders/5944030232764</v>
      </c>
      <c r="B502" s="61" t="str">
        <f>IFERROR(__xludf.DUMMYFUNCTION("""COMPUTED_VALUE"""),"#16372")</f>
        <v>#16372</v>
      </c>
      <c r="C502" s="61" t="str">
        <f>IFERROR(__xludf.DUMMYFUNCTION("""COMPUTED_VALUE"""),"alexlee0407@gmail.com")</f>
        <v>alexlee0407@gmail.com</v>
      </c>
      <c r="D502" s="61">
        <f>IFERROR(__xludf.DUMMYFUNCTION("""COMPUTED_VALUE"""),7.144828812E9)</f>
        <v>7144828812</v>
      </c>
      <c r="E502" s="61" t="str">
        <f>IFERROR(__xludf.DUMMYFUNCTION("""COMPUTED_VALUE"""),"Alexander Lee")</f>
        <v>Alexander Lee</v>
      </c>
      <c r="F502" s="61" t="str">
        <f>IFERROR(__xludf.DUMMYFUNCTION("""COMPUTED_VALUE"""),"Alexander Lee")</f>
        <v>Alexander Lee</v>
      </c>
      <c r="G502" s="61"/>
      <c r="H502" s="61" t="str">
        <f>IFERROR(__xludf.DUMMYFUNCTION("""COMPUTED_VALUE"""),"Appliance Rental")</f>
        <v>Appliance Rental</v>
      </c>
      <c r="I502" s="61" t="str">
        <f>IFERROR(__xludf.DUMMYFUNCTION("""COMPUTED_VALUE""")," Standard Mini Fridge + Microwave   - ")</f>
        <v> Standard Mini Fridge + Microwave   - </v>
      </c>
      <c r="J502" s="61">
        <f>IFERROR(__xludf.DUMMYFUNCTION("""COMPUTED_VALUE"""),180.0)</f>
        <v>180</v>
      </c>
      <c r="K502" s="100">
        <f>IFERROR(__xludf.DUMMYFUNCTION("""COMPUTED_VALUE"""),45892.0)</f>
        <v>45892</v>
      </c>
      <c r="L502" s="61" t="str">
        <f>IFERROR(__xludf.DUMMYFUNCTION("""COMPUTED_VALUE"""),"Zetcher  ")</f>
        <v>Zetcher  </v>
      </c>
      <c r="M502" s="64" t="str">
        <f>IFERROR(__xludf.DUMMYFUNCTION("""COMPUTED_VALUE"""),"3062")</f>
        <v>3062</v>
      </c>
      <c r="N502" s="61"/>
      <c r="O502" s="61" t="b">
        <f>COUNTIF('Delivered Rentals'!A:A, B502) &gt; 0</f>
        <v>1</v>
      </c>
      <c r="P502" s="101"/>
    </row>
    <row r="503">
      <c r="A503" s="102" t="str">
        <f>IFERROR(__xludf.DUMMYFUNCTION("""COMPUTED_VALUE"""),"https://utrucking.com/admin/orders/5944116183228")</f>
        <v>https://utrucking.com/admin/orders/5944116183228</v>
      </c>
      <c r="B503" s="65" t="str">
        <f>IFERROR(__xludf.DUMMYFUNCTION("""COMPUTED_VALUE"""),"#16374")</f>
        <v>#16374</v>
      </c>
      <c r="C503" s="65" t="str">
        <f>IFERROR(__xludf.DUMMYFUNCTION("""COMPUTED_VALUE"""),"percyjackshua@gmail.com")</f>
        <v>percyjackshua@gmail.com</v>
      </c>
      <c r="D503" s="65">
        <f>IFERROR(__xludf.DUMMYFUNCTION("""COMPUTED_VALUE"""),2.133361008E9)</f>
        <v>2133361008</v>
      </c>
      <c r="E503" s="65" t="str">
        <f>IFERROR(__xludf.DUMMYFUNCTION("""COMPUTED_VALUE"""),"Joshua Han")</f>
        <v>Joshua Han</v>
      </c>
      <c r="F503" s="65" t="str">
        <f>IFERROR(__xludf.DUMMYFUNCTION("""COMPUTED_VALUE"""),"Joshua Han")</f>
        <v>Joshua Han</v>
      </c>
      <c r="G503" s="65"/>
      <c r="H503" s="65" t="str">
        <f>IFERROR(__xludf.DUMMYFUNCTION("""COMPUTED_VALUE"""),"Appliance Rental")</f>
        <v>Appliance Rental</v>
      </c>
      <c r="I503" s="65" t="str">
        <f>IFERROR(__xludf.DUMMYFUNCTION("""COMPUTED_VALUE""")," Double-Door Mini Fridge   - ")</f>
        <v> Double-Door Mini Fridge   - </v>
      </c>
      <c r="J503" s="65">
        <f>IFERROR(__xludf.DUMMYFUNCTION("""COMPUTED_VALUE"""),145.0)</f>
        <v>145</v>
      </c>
      <c r="K503" s="103">
        <f>IFERROR(__xludf.DUMMYFUNCTION("""COMPUTED_VALUE"""),45887.0)</f>
        <v>45887</v>
      </c>
      <c r="L503" s="65" t="str">
        <f>IFERROR(__xludf.DUMMYFUNCTION("""COMPUTED_VALUE"""),"Lien  ")</f>
        <v>Lien  </v>
      </c>
      <c r="M503" s="68" t="str">
        <f>IFERROR(__xludf.DUMMYFUNCTION("""COMPUTED_VALUE"""),"2209")</f>
        <v>2209</v>
      </c>
      <c r="N503" s="65"/>
      <c r="O503" s="65" t="b">
        <f>COUNTIF('Delivered Rentals'!A:A, B503) &gt; 0</f>
        <v>1</v>
      </c>
      <c r="P503" s="104"/>
    </row>
    <row r="504">
      <c r="A504" s="99" t="str">
        <f>IFERROR(__xludf.DUMMYFUNCTION("""COMPUTED_VALUE"""),"https://utrucking.com/admin/orders/5944157110460")</f>
        <v>https://utrucking.com/admin/orders/5944157110460</v>
      </c>
      <c r="B504" s="61" t="str">
        <f>IFERROR(__xludf.DUMMYFUNCTION("""COMPUTED_VALUE"""),"#16380")</f>
        <v>#16380</v>
      </c>
      <c r="C504" s="61" t="str">
        <f>IFERROR(__xludf.DUMMYFUNCTION("""COMPUTED_VALUE"""),"carolinesnell13@icloud.com")</f>
        <v>carolinesnell13@icloud.com</v>
      </c>
      <c r="D504" s="61">
        <f>IFERROR(__xludf.DUMMYFUNCTION("""COMPUTED_VALUE"""),9.142630578E9)</f>
        <v>9142630578</v>
      </c>
      <c r="E504" s="61" t="str">
        <f>IFERROR(__xludf.DUMMYFUNCTION("""COMPUTED_VALUE"""),"Caroline Snell")</f>
        <v>Caroline Snell</v>
      </c>
      <c r="F504" s="61" t="str">
        <f>IFERROR(__xludf.DUMMYFUNCTION("""COMPUTED_VALUE"""),"Caroline Snell")</f>
        <v>Caroline Snell</v>
      </c>
      <c r="G504" s="61"/>
      <c r="H504" s="61" t="str">
        <f>IFERROR(__xludf.DUMMYFUNCTION("""COMPUTED_VALUE"""),"Appliance Rental")</f>
        <v>Appliance Rental</v>
      </c>
      <c r="I504" s="61" t="str">
        <f>IFERROR(__xludf.DUMMYFUNCTION("""COMPUTED_VALUE""")," Double-Door Mini Fridge   - ")</f>
        <v> Double-Door Mini Fridge   - </v>
      </c>
      <c r="J504" s="61">
        <f>IFERROR(__xludf.DUMMYFUNCTION("""COMPUTED_VALUE"""),145.0)</f>
        <v>145</v>
      </c>
      <c r="K504" s="100">
        <f>IFERROR(__xludf.DUMMYFUNCTION("""COMPUTED_VALUE"""),45890.0)</f>
        <v>45890</v>
      </c>
      <c r="L504" s="61" t="str">
        <f>IFERROR(__xludf.DUMMYFUNCTION("""COMPUTED_VALUE"""),"Zetcher  ")</f>
        <v>Zetcher  </v>
      </c>
      <c r="M504" s="64" t="str">
        <f>IFERROR(__xludf.DUMMYFUNCTION("""COMPUTED_VALUE"""),"4212")</f>
        <v>4212</v>
      </c>
      <c r="N504" s="61"/>
      <c r="O504" s="61" t="b">
        <f>COUNTIF('Delivered Rentals'!A:A, B504) &gt; 0</f>
        <v>1</v>
      </c>
      <c r="P504" s="101"/>
    </row>
    <row r="505">
      <c r="A505" s="102" t="str">
        <f>IFERROR(__xludf.DUMMYFUNCTION("""COMPUTED_VALUE"""),"https://utrucking.com/admin/orders/5944167596220")</f>
        <v>https://utrucking.com/admin/orders/5944167596220</v>
      </c>
      <c r="B505" s="65" t="str">
        <f>IFERROR(__xludf.DUMMYFUNCTION("""COMPUTED_VALUE"""),"#16381")</f>
        <v>#16381</v>
      </c>
      <c r="C505" s="65" t="str">
        <f>IFERROR(__xludf.DUMMYFUNCTION("""COMPUTED_VALUE"""),"yonjaekim06@gmail.com")</f>
        <v>yonjaekim06@gmail.com</v>
      </c>
      <c r="D505" s="65">
        <f>IFERROR(__xludf.DUMMYFUNCTION("""COMPUTED_VALUE"""),3.109624564E9)</f>
        <v>3109624564</v>
      </c>
      <c r="E505" s="65" t="str">
        <f>IFERROR(__xludf.DUMMYFUNCTION("""COMPUTED_VALUE"""),"Ethan Kim")</f>
        <v>Ethan Kim</v>
      </c>
      <c r="F505" s="65" t="str">
        <f>IFERROR(__xludf.DUMMYFUNCTION("""COMPUTED_VALUE"""),"Ethan Kim")</f>
        <v>Ethan Kim</v>
      </c>
      <c r="G505" s="65"/>
      <c r="H505" s="65" t="str">
        <f>IFERROR(__xludf.DUMMYFUNCTION("""COMPUTED_VALUE"""),"Appliance Rental")</f>
        <v>Appliance Rental</v>
      </c>
      <c r="I505" s="65" t="str">
        <f>IFERROR(__xludf.DUMMYFUNCTION("""COMPUTED_VALUE""")," Double-Door Mini Fridge   - ")</f>
        <v> Double-Door Mini Fridge   - </v>
      </c>
      <c r="J505" s="65">
        <f>IFERROR(__xludf.DUMMYFUNCTION("""COMPUTED_VALUE"""),145.0)</f>
        <v>145</v>
      </c>
      <c r="K505" s="103">
        <f>IFERROR(__xludf.DUMMYFUNCTION("""COMPUTED_VALUE"""),45887.0)</f>
        <v>45887</v>
      </c>
      <c r="L505" s="65" t="str">
        <f>IFERROR(__xludf.DUMMYFUNCTION("""COMPUTED_VALUE"""),"Umrath  ")</f>
        <v>Umrath  </v>
      </c>
      <c r="M505" s="68" t="str">
        <f>IFERROR(__xludf.DUMMYFUNCTION("""COMPUTED_VALUE"""),"3331")</f>
        <v>3331</v>
      </c>
      <c r="N505" s="65"/>
      <c r="O505" s="65" t="b">
        <f>COUNTIF('Delivered Rentals'!A:A, B505) &gt; 0</f>
        <v>1</v>
      </c>
      <c r="P505" s="104"/>
    </row>
    <row r="506">
      <c r="A506" s="99" t="str">
        <f>IFERROR(__xludf.DUMMYFUNCTION("""COMPUTED_VALUE"""),"https://utrucking.com/admin/orders/5944439210172")</f>
        <v>https://utrucking.com/admin/orders/5944439210172</v>
      </c>
      <c r="B506" s="61" t="str">
        <f>IFERROR(__xludf.DUMMYFUNCTION("""COMPUTED_VALUE"""),"#16387")</f>
        <v>#16387</v>
      </c>
      <c r="C506" s="61" t="str">
        <f>IFERROR(__xludf.DUMMYFUNCTION("""COMPUTED_VALUE"""),"bani@wustl.edu")</f>
        <v>bani@wustl.edu</v>
      </c>
      <c r="D506" s="61">
        <f>IFERROR(__xludf.DUMMYFUNCTION("""COMPUTED_VALUE"""),1.9175724556E10)</f>
        <v>19175724556</v>
      </c>
      <c r="E506" s="61" t="str">
        <f>IFERROR(__xludf.DUMMYFUNCTION("""COMPUTED_VALUE"""),"Anuj Chandra")</f>
        <v>Anuj Chandra</v>
      </c>
      <c r="F506" s="61" t="str">
        <f>IFERROR(__xludf.DUMMYFUNCTION("""COMPUTED_VALUE"""),"Bani chandra")</f>
        <v>Bani chandra</v>
      </c>
      <c r="G506" s="61"/>
      <c r="H506" s="61" t="str">
        <f>IFERROR(__xludf.DUMMYFUNCTION("""COMPUTED_VALUE"""),"Appliance Rental")</f>
        <v>Appliance Rental</v>
      </c>
      <c r="I506" s="61" t="str">
        <f>IFERROR(__xludf.DUMMYFUNCTION("""COMPUTED_VALUE""")," Double-Door Mini Fridge   - ")</f>
        <v> Double-Door Mini Fridge   - </v>
      </c>
      <c r="J506" s="61">
        <f>IFERROR(__xludf.DUMMYFUNCTION("""COMPUTED_VALUE"""),145.0)</f>
        <v>145</v>
      </c>
      <c r="K506" s="100">
        <f>IFERROR(__xludf.DUMMYFUNCTION("""COMPUTED_VALUE"""),45888.0)</f>
        <v>45888</v>
      </c>
      <c r="L506" s="61" t="str">
        <f>IFERROR(__xludf.DUMMYFUNCTION("""COMPUTED_VALUE"""),"Mudd  ")</f>
        <v>Mudd  </v>
      </c>
      <c r="M506" s="64" t="str">
        <f>IFERROR(__xludf.DUMMYFUNCTION("""COMPUTED_VALUE"""),"311")</f>
        <v>311</v>
      </c>
      <c r="N506" s="61"/>
      <c r="O506" s="61" t="b">
        <f>COUNTIF('Delivered Rentals'!A:A, B506) &gt; 0</f>
        <v>1</v>
      </c>
      <c r="P506" s="101"/>
    </row>
    <row r="507">
      <c r="A507" s="102" t="str">
        <f>IFERROR(__xludf.DUMMYFUNCTION("""COMPUTED_VALUE"""),"https://utrucking.com/admin/orders/5944488853692")</f>
        <v>https://utrucking.com/admin/orders/5944488853692</v>
      </c>
      <c r="B507" s="65" t="str">
        <f>IFERROR(__xludf.DUMMYFUNCTION("""COMPUTED_VALUE"""),"#16388")</f>
        <v>#16388</v>
      </c>
      <c r="C507" s="65" t="str">
        <f>IFERROR(__xludf.DUMMYFUNCTION("""COMPUTED_VALUE"""),"ashah22@wustl.edu")</f>
        <v>ashah22@wustl.edu</v>
      </c>
      <c r="D507" s="65">
        <f>IFERROR(__xludf.DUMMYFUNCTION("""COMPUTED_VALUE"""),9.820485533E9)</f>
        <v>9820485533</v>
      </c>
      <c r="E507" s="65" t="str">
        <f>IFERROR(__xludf.DUMMYFUNCTION("""COMPUTED_VALUE"""),"Ayaan Shah")</f>
        <v>Ayaan Shah</v>
      </c>
      <c r="F507" s="65" t="str">
        <f>IFERROR(__xludf.DUMMYFUNCTION("""COMPUTED_VALUE"""),"Ayaan Shah")</f>
        <v>Ayaan Shah</v>
      </c>
      <c r="G507" s="65"/>
      <c r="H507" s="65" t="str">
        <f>IFERROR(__xludf.DUMMYFUNCTION("""COMPUTED_VALUE"""),"Appliance Rental")</f>
        <v>Appliance Rental</v>
      </c>
      <c r="I507" s="65" t="str">
        <f>IFERROR(__xludf.DUMMYFUNCTION("""COMPUTED_VALUE""")," Standard Mini Fridge + Microwave   - ")</f>
        <v> Standard Mini Fridge + Microwave   - </v>
      </c>
      <c r="J507" s="65">
        <f>IFERROR(__xludf.DUMMYFUNCTION("""COMPUTED_VALUE"""),180.0)</f>
        <v>180</v>
      </c>
      <c r="K507" s="103">
        <f>IFERROR(__xludf.DUMMYFUNCTION("""COMPUTED_VALUE"""),45891.0)</f>
        <v>45891</v>
      </c>
      <c r="L507" s="65" t="str">
        <f>IFERROR(__xludf.DUMMYFUNCTION("""COMPUTED_VALUE"""),"Mudd  ")</f>
        <v>Mudd  </v>
      </c>
      <c r="M507" s="68" t="str">
        <f>IFERROR(__xludf.DUMMYFUNCTION("""COMPUTED_VALUE"""),"362a")</f>
        <v>362a</v>
      </c>
      <c r="N507" s="65"/>
      <c r="O507" s="65" t="b">
        <f>COUNTIF('Delivered Rentals'!A:A, B507) &gt; 0</f>
        <v>1</v>
      </c>
      <c r="P507" s="104"/>
    </row>
    <row r="508">
      <c r="A508" s="99" t="str">
        <f>IFERROR(__xludf.DUMMYFUNCTION("""COMPUTED_VALUE"""),"https://utrucking.com/admin/orders/5944683004092")</f>
        <v>https://utrucking.com/admin/orders/5944683004092</v>
      </c>
      <c r="B508" s="61" t="str">
        <f>IFERROR(__xludf.DUMMYFUNCTION("""COMPUTED_VALUE"""),"#16391")</f>
        <v>#16391</v>
      </c>
      <c r="C508" s="61"/>
      <c r="D508" s="61">
        <f>IFERROR(__xludf.DUMMYFUNCTION("""COMPUTED_VALUE"""),6.306681983E9)</f>
        <v>6306681983</v>
      </c>
      <c r="E508" s="61" t="str">
        <f>IFERROR(__xludf.DUMMYFUNCTION("""COMPUTED_VALUE"""),"Erika Lytle")</f>
        <v>Erika Lytle</v>
      </c>
      <c r="F508" s="61" t="str">
        <f>IFERROR(__xludf.DUMMYFUNCTION("""COMPUTED_VALUE"""),"Charlie Lytle")</f>
        <v>Charlie Lytle</v>
      </c>
      <c r="G508" s="61"/>
      <c r="H508" s="61" t="str">
        <f>IFERROR(__xludf.DUMMYFUNCTION("""COMPUTED_VALUE"""),"Appliance Rental")</f>
        <v>Appliance Rental</v>
      </c>
      <c r="I508" s="61" t="str">
        <f>IFERROR(__xludf.DUMMYFUNCTION("""COMPUTED_VALUE""")," Double-Door Mini Fridge   - ")</f>
        <v> Double-Door Mini Fridge   - </v>
      </c>
      <c r="J508" s="61">
        <f>IFERROR(__xludf.DUMMYFUNCTION("""COMPUTED_VALUE"""),145.0)</f>
        <v>145</v>
      </c>
      <c r="K508" s="100">
        <f>IFERROR(__xludf.DUMMYFUNCTION("""COMPUTED_VALUE"""),45888.0)</f>
        <v>45888</v>
      </c>
      <c r="L508" s="61" t="str">
        <f>IFERROR(__xludf.DUMMYFUNCTION("""COMPUTED_VALUE"""),"Dardick  ")</f>
        <v>Dardick  </v>
      </c>
      <c r="M508" s="64" t="str">
        <f>IFERROR(__xludf.DUMMYFUNCTION("""COMPUTED_VALUE"""),"2217")</f>
        <v>2217</v>
      </c>
      <c r="N508" s="61"/>
      <c r="O508" s="61" t="b">
        <f>COUNTIF('Delivered Rentals'!A:A, B508) &gt; 0</f>
        <v>1</v>
      </c>
      <c r="P508" s="101" t="str">
        <f>IFERROR(__xludf.DUMMYFUNCTION("""COMPUTED_VALUE""")," ")</f>
        <v> </v>
      </c>
    </row>
    <row r="509">
      <c r="A509" s="102" t="str">
        <f>IFERROR(__xludf.DUMMYFUNCTION("""COMPUTED_VALUE"""),"https://utrucking.com/admin/orders/5944838488252")</f>
        <v>https://utrucking.com/admin/orders/5944838488252</v>
      </c>
      <c r="B509" s="65" t="str">
        <f>IFERROR(__xludf.DUMMYFUNCTION("""COMPUTED_VALUE"""),"#16392")</f>
        <v>#16392</v>
      </c>
      <c r="C509" s="65"/>
      <c r="D509" s="65">
        <f>IFERROR(__xludf.DUMMYFUNCTION("""COMPUTED_VALUE"""),8.325664791E9)</f>
        <v>8325664791</v>
      </c>
      <c r="E509" s="65" t="str">
        <f>IFERROR(__xludf.DUMMYFUNCTION("""COMPUTED_VALUE"""),"Melanie Rodriguez")</f>
        <v>Melanie Rodriguez</v>
      </c>
      <c r="F509" s="65" t="str">
        <f>IFERROR(__xludf.DUMMYFUNCTION("""COMPUTED_VALUE"""),"Melanie Rodriguez")</f>
        <v>Melanie Rodriguez</v>
      </c>
      <c r="G509" s="65"/>
      <c r="H509" s="65" t="str">
        <f>IFERROR(__xludf.DUMMYFUNCTION("""COMPUTED_VALUE"""),"Appliance Rental")</f>
        <v>Appliance Rental</v>
      </c>
      <c r="I509" s="65" t="str">
        <f>IFERROR(__xludf.DUMMYFUNCTION("""COMPUTED_VALUE""")," Double-Door Mini Fridge   - ")</f>
        <v> Double-Door Mini Fridge   - </v>
      </c>
      <c r="J509" s="65">
        <f>IFERROR(__xludf.DUMMYFUNCTION("""COMPUTED_VALUE"""),145.0)</f>
        <v>145</v>
      </c>
      <c r="K509" s="103">
        <f>IFERROR(__xludf.DUMMYFUNCTION("""COMPUTED_VALUE"""),45888.0)</f>
        <v>45888</v>
      </c>
      <c r="L509" s="65" t="str">
        <f>IFERROR(__xludf.DUMMYFUNCTION("""COMPUTED_VALUE"""),"Dardick  ")</f>
        <v>Dardick  </v>
      </c>
      <c r="M509" s="68" t="str">
        <f>IFERROR(__xludf.DUMMYFUNCTION("""COMPUTED_VALUE"""),"2227 ")</f>
        <v>2227 </v>
      </c>
      <c r="N509" s="65"/>
      <c r="O509" s="65" t="b">
        <f>COUNTIF('Delivered Rentals'!A:A, B509) &gt; 0</f>
        <v>1</v>
      </c>
      <c r="P509" s="104" t="str">
        <f>IFERROR(__xludf.DUMMYFUNCTION("""COMPUTED_VALUE""")," ")</f>
        <v> </v>
      </c>
    </row>
    <row r="510">
      <c r="A510" s="99" t="str">
        <f>IFERROR(__xludf.DUMMYFUNCTION("""COMPUTED_VALUE"""),"https://utrucking.com/admin/orders/5945036210364")</f>
        <v>https://utrucking.com/admin/orders/5945036210364</v>
      </c>
      <c r="B510" s="61" t="str">
        <f>IFERROR(__xludf.DUMMYFUNCTION("""COMPUTED_VALUE"""),"#16394")</f>
        <v>#16394</v>
      </c>
      <c r="C510" s="61" t="str">
        <f>IFERROR(__xludf.DUMMYFUNCTION("""COMPUTED_VALUE"""),"hkramm@yahoo.com")</f>
        <v>hkramm@yahoo.com</v>
      </c>
      <c r="D510" s="61">
        <f>IFERROR(__xludf.DUMMYFUNCTION("""COMPUTED_VALUE"""),2.066613897E9)</f>
        <v>2066613897</v>
      </c>
      <c r="E510" s="61" t="str">
        <f>IFERROR(__xludf.DUMMYFUNCTION("""COMPUTED_VALUE"""),"Heather Kramm")</f>
        <v>Heather Kramm</v>
      </c>
      <c r="F510" s="61" t="str">
        <f>IFERROR(__xludf.DUMMYFUNCTION("""COMPUTED_VALUE"""),"Quincy schwartz ")</f>
        <v>Quincy schwartz </v>
      </c>
      <c r="G510" s="61"/>
      <c r="H510" s="61" t="str">
        <f>IFERROR(__xludf.DUMMYFUNCTION("""COMPUTED_VALUE"""),"Appliance Rental")</f>
        <v>Appliance Rental</v>
      </c>
      <c r="I510" s="61" t="str">
        <f>IFERROR(__xludf.DUMMYFUNCTION("""COMPUTED_VALUE""")," Double-Door Mini Fridge   - ")</f>
        <v> Double-Door Mini Fridge   - </v>
      </c>
      <c r="J510" s="61">
        <f>IFERROR(__xludf.DUMMYFUNCTION("""COMPUTED_VALUE"""),145.0)</f>
        <v>145</v>
      </c>
      <c r="K510" s="100">
        <f>IFERROR(__xludf.DUMMYFUNCTION("""COMPUTED_VALUE"""),45888.0)</f>
        <v>45888</v>
      </c>
      <c r="L510" s="61" t="str">
        <f>IFERROR(__xludf.DUMMYFUNCTION("""COMPUTED_VALUE"""),"House 6 (Sigma Alpha Epsilon)  ")</f>
        <v>House 6 (Sigma Alpha Epsilon)  </v>
      </c>
      <c r="M510" s="64" t="str">
        <f>IFERROR(__xludf.DUMMYFUNCTION("""COMPUTED_VALUE"""),"202")</f>
        <v>202</v>
      </c>
      <c r="N510" s="61"/>
      <c r="O510" s="61" t="b">
        <f>COUNTIF('Delivered Rentals'!A:A, B510) &gt; 0</f>
        <v>1</v>
      </c>
      <c r="P510" s="101" t="str">
        <f>IFERROR(__xludf.DUMMYFUNCTION("""COMPUTED_VALUE""")," ")</f>
        <v> </v>
      </c>
    </row>
    <row r="511">
      <c r="A511" s="102" t="str">
        <f>IFERROR(__xludf.DUMMYFUNCTION("""COMPUTED_VALUE"""),"https://utrucking.com/admin/orders/5945294913724")</f>
        <v>https://utrucking.com/admin/orders/5945294913724</v>
      </c>
      <c r="B511" s="65" t="str">
        <f>IFERROR(__xludf.DUMMYFUNCTION("""COMPUTED_VALUE"""),"#16397")</f>
        <v>#16397</v>
      </c>
      <c r="C511" s="65" t="str">
        <f>IFERROR(__xludf.DUMMYFUNCTION("""COMPUTED_VALUE"""),"mikhail.s@wustl.edu")</f>
        <v>mikhail.s@wustl.edu</v>
      </c>
      <c r="D511" s="65">
        <f>IFERROR(__xludf.DUMMYFUNCTION("""COMPUTED_VALUE"""),5.737959554E9)</f>
        <v>5737959554</v>
      </c>
      <c r="E511" s="65" t="str">
        <f>IFERROR(__xludf.DUMMYFUNCTION("""COMPUTED_VALUE"""),"Sophia Mikhail")</f>
        <v>Sophia Mikhail</v>
      </c>
      <c r="F511" s="65" t="str">
        <f>IFERROR(__xludf.DUMMYFUNCTION("""COMPUTED_VALUE"""),"Sophia Mikhail")</f>
        <v>Sophia Mikhail</v>
      </c>
      <c r="G511" s="65"/>
      <c r="H511" s="65" t="str">
        <f>IFERROR(__xludf.DUMMYFUNCTION("""COMPUTED_VALUE"""),"Appliance Rental")</f>
        <v>Appliance Rental</v>
      </c>
      <c r="I511" s="65" t="str">
        <f>IFERROR(__xludf.DUMMYFUNCTION("""COMPUTED_VALUE""")," Standard Mini Fridge   - ")</f>
        <v> Standard Mini Fridge   - </v>
      </c>
      <c r="J511" s="65">
        <f>IFERROR(__xludf.DUMMYFUNCTION("""COMPUTED_VALUE"""),115.0)</f>
        <v>115</v>
      </c>
      <c r="K511" s="103">
        <f>IFERROR(__xludf.DUMMYFUNCTION("""COMPUTED_VALUE"""),45888.0)</f>
        <v>45888</v>
      </c>
      <c r="L511" s="65" t="str">
        <f>IFERROR(__xludf.DUMMYFUNCTION("""COMPUTED_VALUE"""),"House 1")</f>
        <v>House 1</v>
      </c>
      <c r="M511" s="68" t="str">
        <f>IFERROR(__xludf.DUMMYFUNCTION("""COMPUTED_VALUE"""),"213")</f>
        <v>213</v>
      </c>
      <c r="N511" s="65"/>
      <c r="O511" s="65" t="b">
        <f>COUNTIF('Delivered Rentals'!A:A, B511) &gt; 0</f>
        <v>1</v>
      </c>
      <c r="P511" s="104" t="str">
        <f>IFERROR(__xludf.DUMMYFUNCTION("""COMPUTED_VALUE""")," ")</f>
        <v> </v>
      </c>
    </row>
    <row r="512">
      <c r="A512" s="99" t="str">
        <f>IFERROR(__xludf.DUMMYFUNCTION("""COMPUTED_VALUE"""),"https://utrucking.com/admin/orders/5945713000636")</f>
        <v>https://utrucking.com/admin/orders/5945713000636</v>
      </c>
      <c r="B512" s="61" t="str">
        <f>IFERROR(__xludf.DUMMYFUNCTION("""COMPUTED_VALUE"""),"#16406")</f>
        <v>#16406</v>
      </c>
      <c r="C512" s="61" t="str">
        <f>IFERROR(__xludf.DUMMYFUNCTION("""COMPUTED_VALUE"""),"talexathomas@gmail.com")</f>
        <v>talexathomas@gmail.com</v>
      </c>
      <c r="D512" s="61">
        <f>IFERROR(__xludf.DUMMYFUNCTION("""COMPUTED_VALUE"""),2.075704234E9)</f>
        <v>2075704234</v>
      </c>
      <c r="E512" s="61" t="str">
        <f>IFERROR(__xludf.DUMMYFUNCTION("""COMPUTED_VALUE"""),"Tracey Thomas")</f>
        <v>Tracey Thomas</v>
      </c>
      <c r="F512" s="61" t="str">
        <f>IFERROR(__xludf.DUMMYFUNCTION("""COMPUTED_VALUE"""),"Taylor Thomas")</f>
        <v>Taylor Thomas</v>
      </c>
      <c r="G512" s="61"/>
      <c r="H512" s="61" t="str">
        <f>IFERROR(__xludf.DUMMYFUNCTION("""COMPUTED_VALUE"""),"Appliance Rental")</f>
        <v>Appliance Rental</v>
      </c>
      <c r="I512" s="61" t="str">
        <f>IFERROR(__xludf.DUMMYFUNCTION("""COMPUTED_VALUE""")," Double-Door Mini Fridge   - ")</f>
        <v> Double-Door Mini Fridge   - </v>
      </c>
      <c r="J512" s="61">
        <f>IFERROR(__xludf.DUMMYFUNCTION("""COMPUTED_VALUE"""),145.0)</f>
        <v>145</v>
      </c>
      <c r="K512" s="100">
        <f>IFERROR(__xludf.DUMMYFUNCTION("""COMPUTED_VALUE"""),45889.0)</f>
        <v>45889</v>
      </c>
      <c r="L512" s="61" t="str">
        <f>IFERROR(__xludf.DUMMYFUNCTION("""COMPUTED_VALUE"""),"Shepley  ")</f>
        <v>Shepley  </v>
      </c>
      <c r="M512" s="64" t="str">
        <f>IFERROR(__xludf.DUMMYFUNCTION("""COMPUTED_VALUE"""),"2061")</f>
        <v>2061</v>
      </c>
      <c r="N512" s="61"/>
      <c r="O512" s="61" t="b">
        <f>COUNTIF('Delivered Rentals'!A:A, B512) &gt; 0</f>
        <v>1</v>
      </c>
      <c r="P512" s="101" t="str">
        <f>IFERROR(__xludf.DUMMYFUNCTION("""COMPUTED_VALUE""")," ")</f>
        <v> </v>
      </c>
    </row>
    <row r="513">
      <c r="A513" s="102" t="str">
        <f>IFERROR(__xludf.DUMMYFUNCTION("""COMPUTED_VALUE"""),"https://utrucking.com/admin/orders/5945846300860")</f>
        <v>https://utrucking.com/admin/orders/5945846300860</v>
      </c>
      <c r="B513" s="65" t="str">
        <f>IFERROR(__xludf.DUMMYFUNCTION("""COMPUTED_VALUE"""),"#16409")</f>
        <v>#16409</v>
      </c>
      <c r="C513" s="65" t="str">
        <f>IFERROR(__xludf.DUMMYFUNCTION("""COMPUTED_VALUE"""),"alikhan.j@wustl.edu")</f>
        <v>alikhan.j@wustl.edu</v>
      </c>
      <c r="D513" s="65">
        <f>IFERROR(__xludf.DUMMYFUNCTION("""COMPUTED_VALUE"""),1.6472840842E10)</f>
        <v>16472840842</v>
      </c>
      <c r="E513" s="65" t="str">
        <f>IFERROR(__xludf.DUMMYFUNCTION("""COMPUTED_VALUE"""),"Zahra Nurmohamed")</f>
        <v>Zahra Nurmohamed</v>
      </c>
      <c r="F513" s="65" t="str">
        <f>IFERROR(__xludf.DUMMYFUNCTION("""COMPUTED_VALUE"""),"Jordan Ali Khan")</f>
        <v>Jordan Ali Khan</v>
      </c>
      <c r="G513" s="65"/>
      <c r="H513" s="65" t="str">
        <f>IFERROR(__xludf.DUMMYFUNCTION("""COMPUTED_VALUE"""),"Appliance Rental")</f>
        <v>Appliance Rental</v>
      </c>
      <c r="I513" s="65" t="str">
        <f>IFERROR(__xludf.DUMMYFUNCTION("""COMPUTED_VALUE""")," Double-Door Mini Fridge   - ")</f>
        <v> Double-Door Mini Fridge   - </v>
      </c>
      <c r="J513" s="65">
        <f>IFERROR(__xludf.DUMMYFUNCTION("""COMPUTED_VALUE"""),145.0)</f>
        <v>145</v>
      </c>
      <c r="K513" s="103">
        <f>IFERROR(__xludf.DUMMYFUNCTION("""COMPUTED_VALUE"""),45889.0)</f>
        <v>45889</v>
      </c>
      <c r="L513" s="65" t="str">
        <f>IFERROR(__xludf.DUMMYFUNCTION("""COMPUTED_VALUE"""),"House 21 (Alpha Epsilon Pi)  ")</f>
        <v>House 21 (Alpha Epsilon Pi)  </v>
      </c>
      <c r="M513" s="68" t="str">
        <f>IFERROR(__xludf.DUMMYFUNCTION("""COMPUTED_VALUE"""),"2071")</f>
        <v>2071</v>
      </c>
      <c r="N513" s="65"/>
      <c r="O513" s="65" t="b">
        <f>COUNTIF('Delivered Rentals'!A:A, B513) &gt; 0</f>
        <v>1</v>
      </c>
      <c r="P513" s="104" t="str">
        <f>IFERROR(__xludf.DUMMYFUNCTION("""COMPUTED_VALUE""")," ")</f>
        <v> </v>
      </c>
    </row>
    <row r="514">
      <c r="A514" s="99" t="str">
        <f>IFERROR(__xludf.DUMMYFUNCTION("""COMPUTED_VALUE"""),"https://utrucking.com/admin/orders/5945868550332")</f>
        <v>https://utrucking.com/admin/orders/5945868550332</v>
      </c>
      <c r="B514" s="61" t="str">
        <f>IFERROR(__xludf.DUMMYFUNCTION("""COMPUTED_VALUE"""),"#16411")</f>
        <v>#16411</v>
      </c>
      <c r="C514" s="61"/>
      <c r="D514" s="61">
        <f>IFERROR(__xludf.DUMMYFUNCTION("""COMPUTED_VALUE"""),6.178727764E9)</f>
        <v>6178727764</v>
      </c>
      <c r="E514" s="61" t="str">
        <f>IFERROR(__xludf.DUMMYFUNCTION("""COMPUTED_VALUE"""),"Ryan Kravitz")</f>
        <v>Ryan Kravitz</v>
      </c>
      <c r="F514" s="61" t="str">
        <f>IFERROR(__xludf.DUMMYFUNCTION("""COMPUTED_VALUE"""),"Ryan Kravitz")</f>
        <v>Ryan Kravitz</v>
      </c>
      <c r="G514" s="61"/>
      <c r="H514" s="61" t="str">
        <f>IFERROR(__xludf.DUMMYFUNCTION("""COMPUTED_VALUE"""),"Appliance Rental")</f>
        <v>Appliance Rental</v>
      </c>
      <c r="I514" s="61" t="str">
        <f>IFERROR(__xludf.DUMMYFUNCTION("""COMPUTED_VALUE""")," Double-Door Mini Fridge   - ")</f>
        <v> Double-Door Mini Fridge   - </v>
      </c>
      <c r="J514" s="61">
        <f>IFERROR(__xludf.DUMMYFUNCTION("""COMPUTED_VALUE"""),145.0)</f>
        <v>145</v>
      </c>
      <c r="K514" s="100">
        <f>IFERROR(__xludf.DUMMYFUNCTION("""COMPUTED_VALUE"""),45889.0)</f>
        <v>45889</v>
      </c>
      <c r="L514" s="61" t="str">
        <f>IFERROR(__xludf.DUMMYFUNCTION("""COMPUTED_VALUE"""),"Millbrook Bldg. 4  ")</f>
        <v>Millbrook Bldg. 4  </v>
      </c>
      <c r="M514" s="64" t="str">
        <f>IFERROR(__xludf.DUMMYFUNCTION("""COMPUTED_VALUE"""),"Millbrook 4 - 301F - a")</f>
        <v>Millbrook 4 - 301F - a</v>
      </c>
      <c r="N514" s="61"/>
      <c r="O514" s="61" t="b">
        <f>COUNTIF('Delivered Rentals'!A:A, B514) &gt; 0</f>
        <v>1</v>
      </c>
      <c r="P514" s="101" t="str">
        <f>IFERROR(__xludf.DUMMYFUNCTION("""COMPUTED_VALUE""")," ")</f>
        <v> </v>
      </c>
    </row>
    <row r="515">
      <c r="A515" s="102" t="str">
        <f>IFERROR(__xludf.DUMMYFUNCTION("""COMPUTED_VALUE"""),"https://utrucking.com/admin/orders/5946011648188")</f>
        <v>https://utrucking.com/admin/orders/5946011648188</v>
      </c>
      <c r="B515" s="65" t="str">
        <f>IFERROR(__xludf.DUMMYFUNCTION("""COMPUTED_VALUE"""),"#16413")</f>
        <v>#16413</v>
      </c>
      <c r="C515" s="65" t="str">
        <f>IFERROR(__xludf.DUMMYFUNCTION("""COMPUTED_VALUE"""),"charlotteg8ch@gmail.com")</f>
        <v>charlotteg8ch@gmail.com</v>
      </c>
      <c r="D515" s="65">
        <f>IFERROR(__xludf.DUMMYFUNCTION("""COMPUTED_VALUE"""),7.347076208E9)</f>
        <v>7347076208</v>
      </c>
      <c r="E515" s="65" t="str">
        <f>IFERROR(__xludf.DUMMYFUNCTION("""COMPUTED_VALUE"""),"Charlotte Goetsch")</f>
        <v>Charlotte Goetsch</v>
      </c>
      <c r="F515" s="65" t="str">
        <f>IFERROR(__xludf.DUMMYFUNCTION("""COMPUTED_VALUE"""),"Charlotte Goetsch")</f>
        <v>Charlotte Goetsch</v>
      </c>
      <c r="G515" s="65"/>
      <c r="H515" s="65" t="str">
        <f>IFERROR(__xludf.DUMMYFUNCTION("""COMPUTED_VALUE"""),"Appliance Rental")</f>
        <v>Appliance Rental</v>
      </c>
      <c r="I515" s="65" t="str">
        <f>IFERROR(__xludf.DUMMYFUNCTION("""COMPUTED_VALUE""")," Microwave Only   - ")</f>
        <v> Microwave Only   - </v>
      </c>
      <c r="J515" s="65">
        <f>IFERROR(__xludf.DUMMYFUNCTION("""COMPUTED_VALUE"""),65.0)</f>
        <v>65</v>
      </c>
      <c r="K515" s="103">
        <f>IFERROR(__xludf.DUMMYFUNCTION("""COMPUTED_VALUE"""),45887.0)</f>
        <v>45887</v>
      </c>
      <c r="L515" s="65" t="str">
        <f>IFERROR(__xludf.DUMMYFUNCTION("""COMPUTED_VALUE"""),"Nemerov  ")</f>
        <v>Nemerov  </v>
      </c>
      <c r="M515" s="68" t="str">
        <f>IFERROR(__xludf.DUMMYFUNCTION("""COMPUTED_VALUE"""),"2051")</f>
        <v>2051</v>
      </c>
      <c r="N515" s="65"/>
      <c r="O515" s="65" t="b">
        <f>COUNTIF('Delivered Rentals'!A:A, B515) &gt; 0</f>
        <v>1</v>
      </c>
      <c r="P515" s="104" t="str">
        <f>IFERROR(__xludf.DUMMYFUNCTION("""COMPUTED_VALUE""")," ")</f>
        <v> </v>
      </c>
    </row>
    <row r="516">
      <c r="A516" s="99" t="str">
        <f>IFERROR(__xludf.DUMMYFUNCTION("""COMPUTED_VALUE"""),"https://utrucking.com/admin/orders/5946246398140")</f>
        <v>https://utrucking.com/admin/orders/5946246398140</v>
      </c>
      <c r="B516" s="61" t="str">
        <f>IFERROR(__xludf.DUMMYFUNCTION("""COMPUTED_VALUE"""),"#16416")</f>
        <v>#16416</v>
      </c>
      <c r="C516" s="61" t="str">
        <f>IFERROR(__xludf.DUMMYFUNCTION("""COMPUTED_VALUE"""),"marian.kwon@gmail.com")</f>
        <v>marian.kwon@gmail.com</v>
      </c>
      <c r="D516" s="61">
        <f>IFERROR(__xludf.DUMMYFUNCTION("""COMPUTED_VALUE"""),4.158068294E9)</f>
        <v>4158068294</v>
      </c>
      <c r="E516" s="61" t="str">
        <f>IFERROR(__xludf.DUMMYFUNCTION("""COMPUTED_VALUE"""),"Marian Kwon")</f>
        <v>Marian Kwon</v>
      </c>
      <c r="F516" s="61" t="str">
        <f>IFERROR(__xludf.DUMMYFUNCTION("""COMPUTED_VALUE"""),"Sophia Weinberg")</f>
        <v>Sophia Weinberg</v>
      </c>
      <c r="G516" s="61"/>
      <c r="H516" s="61" t="str">
        <f>IFERROR(__xludf.DUMMYFUNCTION("""COMPUTED_VALUE"""),"Appliance Rental")</f>
        <v>Appliance Rental</v>
      </c>
      <c r="I516" s="61" t="str">
        <f>IFERROR(__xludf.DUMMYFUNCTION("""COMPUTED_VALUE""")," Double-Door Mini Fridge   - ")</f>
        <v> Double-Door Mini Fridge   - </v>
      </c>
      <c r="J516" s="61">
        <f>IFERROR(__xludf.DUMMYFUNCTION("""COMPUTED_VALUE"""),145.0)</f>
        <v>145</v>
      </c>
      <c r="K516" s="100">
        <f>IFERROR(__xludf.DUMMYFUNCTION("""COMPUTED_VALUE"""),45891.0)</f>
        <v>45891</v>
      </c>
      <c r="L516" s="61" t="str">
        <f>IFERROR(__xludf.DUMMYFUNCTION("""COMPUTED_VALUE"""),"Millbrook Bldg. 4  ")</f>
        <v>Millbrook Bldg. 4  </v>
      </c>
      <c r="M516" s="64" t="str">
        <f>IFERROR(__xludf.DUMMYFUNCTION("""COMPUTED_VALUE"""),"103")</f>
        <v>103</v>
      </c>
      <c r="N516" s="61"/>
      <c r="O516" s="61" t="b">
        <f>COUNTIF('Delivered Rentals'!A:A, B516) &gt; 0</f>
        <v>1</v>
      </c>
      <c r="P516" s="101" t="str">
        <f>IFERROR(__xludf.DUMMYFUNCTION("""COMPUTED_VALUE""")," ")</f>
        <v> </v>
      </c>
    </row>
    <row r="517">
      <c r="A517" s="102" t="str">
        <f>IFERROR(__xludf.DUMMYFUNCTION("""COMPUTED_VALUE"""),"https://utrucking.com/admin/orders/5946286047420")</f>
        <v>https://utrucking.com/admin/orders/5946286047420</v>
      </c>
      <c r="B517" s="65" t="str">
        <f>IFERROR(__xludf.DUMMYFUNCTION("""COMPUTED_VALUE"""),"#16418")</f>
        <v>#16418</v>
      </c>
      <c r="C517" s="65" t="str">
        <f>IFERROR(__xludf.DUMMYFUNCTION("""COMPUTED_VALUE"""),"paulinasteinman@gmail.com")</f>
        <v>paulinasteinman@gmail.com</v>
      </c>
      <c r="D517" s="65">
        <f>IFERROR(__xludf.DUMMYFUNCTION("""COMPUTED_VALUE"""),3.475142278E9)</f>
        <v>3475142278</v>
      </c>
      <c r="E517" s="65" t="str">
        <f>IFERROR(__xludf.DUMMYFUNCTION("""COMPUTED_VALUE"""),"Hilary Steinman")</f>
        <v>Hilary Steinman</v>
      </c>
      <c r="F517" s="65" t="str">
        <f>IFERROR(__xludf.DUMMYFUNCTION("""COMPUTED_VALUE"""),"Paulina Steinman")</f>
        <v>Paulina Steinman</v>
      </c>
      <c r="G517" s="65"/>
      <c r="H517" s="65" t="str">
        <f>IFERROR(__xludf.DUMMYFUNCTION("""COMPUTED_VALUE"""),"Appliance Rental")</f>
        <v>Appliance Rental</v>
      </c>
      <c r="I517" s="65" t="str">
        <f>IFERROR(__xludf.DUMMYFUNCTION("""COMPUTED_VALUE""")," Double-Door Mini Fridge   - ")</f>
        <v> Double-Door Mini Fridge   - </v>
      </c>
      <c r="J517" s="65">
        <f>IFERROR(__xludf.DUMMYFUNCTION("""COMPUTED_VALUE"""),145.0)</f>
        <v>145</v>
      </c>
      <c r="K517" s="103">
        <f>IFERROR(__xludf.DUMMYFUNCTION("""COMPUTED_VALUE"""),45892.0)</f>
        <v>45892</v>
      </c>
      <c r="L517" s="65" t="str">
        <f>IFERROR(__xludf.DUMMYFUNCTION("""COMPUTED_VALUE"""),"Nemerov  ")</f>
        <v>Nemerov  </v>
      </c>
      <c r="M517" s="68" t="str">
        <f>IFERROR(__xludf.DUMMYFUNCTION("""COMPUTED_VALUE"""),"2040")</f>
        <v>2040</v>
      </c>
      <c r="N517" s="65"/>
      <c r="O517" s="65" t="b">
        <f>COUNTIF('Delivered Rentals'!A:A, B517) &gt; 0</f>
        <v>1</v>
      </c>
      <c r="P517" s="104" t="str">
        <f>IFERROR(__xludf.DUMMYFUNCTION("""COMPUTED_VALUE""")," ")</f>
        <v> </v>
      </c>
    </row>
    <row r="518">
      <c r="A518" s="99" t="str">
        <f>IFERROR(__xludf.DUMMYFUNCTION("""COMPUTED_VALUE"""),"https://utrucking.com/admin/orders/5946459914428")</f>
        <v>https://utrucking.com/admin/orders/5946459914428</v>
      </c>
      <c r="B518" s="61" t="str">
        <f>IFERROR(__xludf.DUMMYFUNCTION("""COMPUTED_VALUE"""),"#16422")</f>
        <v>#16422</v>
      </c>
      <c r="C518" s="61"/>
      <c r="D518" s="61">
        <f>IFERROR(__xludf.DUMMYFUNCTION("""COMPUTED_VALUE"""),7.032232616E9)</f>
        <v>7032232616</v>
      </c>
      <c r="E518" s="61" t="str">
        <f>IFERROR(__xludf.DUMMYFUNCTION("""COMPUTED_VALUE"""),"Hera Kim")</f>
        <v>Hera Kim</v>
      </c>
      <c r="F518" s="61" t="str">
        <f>IFERROR(__xludf.DUMMYFUNCTION("""COMPUTED_VALUE"""),"Hera Kim")</f>
        <v>Hera Kim</v>
      </c>
      <c r="G518" s="61"/>
      <c r="H518" s="61" t="str">
        <f>IFERROR(__xludf.DUMMYFUNCTION("""COMPUTED_VALUE"""),"Appliance Rental")</f>
        <v>Appliance Rental</v>
      </c>
      <c r="I518" s="61" t="str">
        <f>IFERROR(__xludf.DUMMYFUNCTION("""COMPUTED_VALUE""")," Double-Door Mini Fridge + Microwave   - ")</f>
        <v> Double-Door Mini Fridge + Microwave   - </v>
      </c>
      <c r="J518" s="61">
        <f>IFERROR(__xludf.DUMMYFUNCTION("""COMPUTED_VALUE"""),210.0)</f>
        <v>210</v>
      </c>
      <c r="K518" s="100">
        <f>IFERROR(__xludf.DUMMYFUNCTION("""COMPUTED_VALUE"""),45891.0)</f>
        <v>45891</v>
      </c>
      <c r="L518" s="61" t="str">
        <f>IFERROR(__xludf.DUMMYFUNCTION("""COMPUTED_VALUE"""),"Gregg  ")</f>
        <v>Gregg  </v>
      </c>
      <c r="M518" s="64" t="str">
        <f>IFERROR(__xludf.DUMMYFUNCTION("""COMPUTED_VALUE"""),"3032a")</f>
        <v>3032a</v>
      </c>
      <c r="N518" s="61"/>
      <c r="O518" s="61" t="b">
        <f>COUNTIF('Delivered Rentals'!A:A, B518) &gt; 0</f>
        <v>1</v>
      </c>
      <c r="P518" s="101" t="str">
        <f>IFERROR(__xludf.DUMMYFUNCTION("""COMPUTED_VALUE""")," ")</f>
        <v> </v>
      </c>
    </row>
    <row r="519">
      <c r="A519" s="102" t="str">
        <f>IFERROR(__xludf.DUMMYFUNCTION("""COMPUTED_VALUE"""),"https://utrucking.com/admin/orders/5947036401852")</f>
        <v>https://utrucking.com/admin/orders/5947036401852</v>
      </c>
      <c r="B519" s="65" t="str">
        <f>IFERROR(__xludf.DUMMYFUNCTION("""COMPUTED_VALUE"""),"#16434")</f>
        <v>#16434</v>
      </c>
      <c r="C519" s="65" t="str">
        <f>IFERROR(__xludf.DUMMYFUNCTION("""COMPUTED_VALUE"""),"paisleyflamenbaum@gmail.com")</f>
        <v>paisleyflamenbaum@gmail.com</v>
      </c>
      <c r="D519" s="65"/>
      <c r="E519" s="65" t="str">
        <f>IFERROR(__xludf.DUMMYFUNCTION("""COMPUTED_VALUE"""),"Paisley Emma Flamenbaum")</f>
        <v>Paisley Emma Flamenbaum</v>
      </c>
      <c r="F519" s="65" t="str">
        <f>IFERROR(__xludf.DUMMYFUNCTION("""COMPUTED_VALUE"""),"Paisley Flamenbaum")</f>
        <v>Paisley Flamenbaum</v>
      </c>
      <c r="G519" s="65"/>
      <c r="H519" s="65" t="str">
        <f>IFERROR(__xludf.DUMMYFUNCTION("""COMPUTED_VALUE"""),"Appliance Rental")</f>
        <v>Appliance Rental</v>
      </c>
      <c r="I519" s="65" t="str">
        <f>IFERROR(__xludf.DUMMYFUNCTION("""COMPUTED_VALUE""")," Standard Mini Fridge   - ")</f>
        <v> Standard Mini Fridge   - </v>
      </c>
      <c r="J519" s="65">
        <f>IFERROR(__xludf.DUMMYFUNCTION("""COMPUTED_VALUE"""),115.0)</f>
        <v>115</v>
      </c>
      <c r="K519" s="103">
        <f>IFERROR(__xludf.DUMMYFUNCTION("""COMPUTED_VALUE"""),45891.0)</f>
        <v>45891</v>
      </c>
      <c r="L519" s="65" t="str">
        <f>IFERROR(__xludf.DUMMYFUNCTION("""COMPUTED_VALUE"""),"Lopata  ")</f>
        <v>Lopata  </v>
      </c>
      <c r="M519" s="68" t="str">
        <f>IFERROR(__xludf.DUMMYFUNCTION("""COMPUTED_VALUE"""),"3051- a")</f>
        <v>3051- a</v>
      </c>
      <c r="N519" s="65"/>
      <c r="O519" s="65" t="b">
        <f>COUNTIF('Delivered Rentals'!A:A, B519) &gt; 0</f>
        <v>1</v>
      </c>
      <c r="P519" s="104" t="str">
        <f>IFERROR(__xludf.DUMMYFUNCTION("""COMPUTED_VALUE""")," ")</f>
        <v> </v>
      </c>
    </row>
    <row r="520">
      <c r="A520" s="99" t="str">
        <f>IFERROR(__xludf.DUMMYFUNCTION("""COMPUTED_VALUE"""),"https://utrucking.com/admin/orders/5947407630524")</f>
        <v>https://utrucking.com/admin/orders/5947407630524</v>
      </c>
      <c r="B520" s="61" t="str">
        <f>IFERROR(__xludf.DUMMYFUNCTION("""COMPUTED_VALUE"""),"#16435")</f>
        <v>#16435</v>
      </c>
      <c r="C520" s="61"/>
      <c r="D520" s="61">
        <f>IFERROR(__xludf.DUMMYFUNCTION("""COMPUTED_VALUE"""),2.038181729E9)</f>
        <v>2038181729</v>
      </c>
      <c r="E520" s="61" t="str">
        <f>IFERROR(__xludf.DUMMYFUNCTION("""COMPUTED_VALUE"""),"Ella Zhu")</f>
        <v>Ella Zhu</v>
      </c>
      <c r="F520" s="61" t="str">
        <f>IFERROR(__xludf.DUMMYFUNCTION("""COMPUTED_VALUE"""),"Ella Zhu")</f>
        <v>Ella Zhu</v>
      </c>
      <c r="G520" s="61"/>
      <c r="H520" s="61" t="str">
        <f>IFERROR(__xludf.DUMMYFUNCTION("""COMPUTED_VALUE"""),"Appliance Rental")</f>
        <v>Appliance Rental</v>
      </c>
      <c r="I520" s="61" t="str">
        <f>IFERROR(__xludf.DUMMYFUNCTION("""COMPUTED_VALUE""")," Standard Mini Fridge   - ")</f>
        <v> Standard Mini Fridge   - </v>
      </c>
      <c r="J520" s="61">
        <f>IFERROR(__xludf.DUMMYFUNCTION("""COMPUTED_VALUE"""),115.0)</f>
        <v>115</v>
      </c>
      <c r="K520" s="100">
        <f>IFERROR(__xludf.DUMMYFUNCTION("""COMPUTED_VALUE"""),45890.0)</f>
        <v>45890</v>
      </c>
      <c r="L520" s="61" t="str">
        <f>IFERROR(__xludf.DUMMYFUNCTION("""COMPUTED_VALUE"""),"Lien  ")</f>
        <v>Lien  </v>
      </c>
      <c r="M520" s="64" t="str">
        <f>IFERROR(__xludf.DUMMYFUNCTION("""COMPUTED_VALUE"""),"1117-b")</f>
        <v>1117-b</v>
      </c>
      <c r="N520" s="61"/>
      <c r="O520" s="61" t="b">
        <f>COUNTIF('Delivered Rentals'!A:A, B520) &gt; 0</f>
        <v>1</v>
      </c>
      <c r="P520" s="101" t="str">
        <f>IFERROR(__xludf.DUMMYFUNCTION("""COMPUTED_VALUE""")," ")</f>
        <v> </v>
      </c>
    </row>
    <row r="521">
      <c r="A521" s="102" t="str">
        <f>IFERROR(__xludf.DUMMYFUNCTION("""COMPUTED_VALUE"""),"https://utrucking.com/admin/orders/5947420803260")</f>
        <v>https://utrucking.com/admin/orders/5947420803260</v>
      </c>
      <c r="B521" s="65" t="str">
        <f>IFERROR(__xludf.DUMMYFUNCTION("""COMPUTED_VALUE"""),"#16436")</f>
        <v>#16436</v>
      </c>
      <c r="C521" s="65" t="str">
        <f>IFERROR(__xludf.DUMMYFUNCTION("""COMPUTED_VALUE"""),"j.m.quisenberry@wustl.edu")</f>
        <v>j.m.quisenberry@wustl.edu</v>
      </c>
      <c r="D521" s="65">
        <f>IFERROR(__xludf.DUMMYFUNCTION("""COMPUTED_VALUE"""),5.128156391E9)</f>
        <v>5128156391</v>
      </c>
      <c r="E521" s="65" t="str">
        <f>IFERROR(__xludf.DUMMYFUNCTION("""COMPUTED_VALUE"""),"Juliet Quisenberry")</f>
        <v>Juliet Quisenberry</v>
      </c>
      <c r="F521" s="65" t="str">
        <f>IFERROR(__xludf.DUMMYFUNCTION("""COMPUTED_VALUE"""),"Juliet Quisenberry")</f>
        <v>Juliet Quisenberry</v>
      </c>
      <c r="G521" s="65"/>
      <c r="H521" s="65" t="str">
        <f>IFERROR(__xludf.DUMMYFUNCTION("""COMPUTED_VALUE"""),"Appliance Rental")</f>
        <v>Appliance Rental</v>
      </c>
      <c r="I521" s="65" t="str">
        <f>IFERROR(__xludf.DUMMYFUNCTION("""COMPUTED_VALUE""")," Double-Door Mini Fridge   - ")</f>
        <v> Double-Door Mini Fridge   - </v>
      </c>
      <c r="J521" s="65">
        <f>IFERROR(__xludf.DUMMYFUNCTION("""COMPUTED_VALUE"""),145.0)</f>
        <v>145</v>
      </c>
      <c r="K521" s="103">
        <f>IFERROR(__xludf.DUMMYFUNCTION("""COMPUTED_VALUE"""),45890.0)</f>
        <v>45890</v>
      </c>
      <c r="L521" s="65" t="str">
        <f>IFERROR(__xludf.DUMMYFUNCTION("""COMPUTED_VALUE"""),"Eliot B  ")</f>
        <v>Eliot B  </v>
      </c>
      <c r="M521" s="68" t="str">
        <f>IFERROR(__xludf.DUMMYFUNCTION("""COMPUTED_VALUE"""),"3060")</f>
        <v>3060</v>
      </c>
      <c r="N521" s="65"/>
      <c r="O521" s="65" t="b">
        <f>COUNTIF('Delivered Rentals'!A:A, B521) &gt; 0</f>
        <v>1</v>
      </c>
      <c r="P521" s="104" t="str">
        <f>IFERROR(__xludf.DUMMYFUNCTION("""COMPUTED_VALUE""")," ")</f>
        <v> </v>
      </c>
    </row>
    <row r="522">
      <c r="A522" s="99" t="str">
        <f>IFERROR(__xludf.DUMMYFUNCTION("""COMPUTED_VALUE"""),"https://utrucking.com/admin/orders/5947457667260")</f>
        <v>https://utrucking.com/admin/orders/5947457667260</v>
      </c>
      <c r="B522" s="61" t="str">
        <f>IFERROR(__xludf.DUMMYFUNCTION("""COMPUTED_VALUE"""),"#16437")</f>
        <v>#16437</v>
      </c>
      <c r="C522" s="61" t="str">
        <f>IFERROR(__xludf.DUMMYFUNCTION("""COMPUTED_VALUE"""),"kc.danzansky@gmail.com")</f>
        <v>kc.danzansky@gmail.com</v>
      </c>
      <c r="D522" s="61">
        <f>IFERROR(__xludf.DUMMYFUNCTION("""COMPUTED_VALUE"""),1.6125787412E10)</f>
        <v>16125787412</v>
      </c>
      <c r="E522" s="61" t="str">
        <f>IFERROR(__xludf.DUMMYFUNCTION("""COMPUTED_VALUE"""),"Scott Danzansky")</f>
        <v>Scott Danzansky</v>
      </c>
      <c r="F522" s="61" t="str">
        <f>IFERROR(__xludf.DUMMYFUNCTION("""COMPUTED_VALUE"""),"Drew Dillon")</f>
        <v>Drew Dillon</v>
      </c>
      <c r="G522" s="61"/>
      <c r="H522" s="61" t="str">
        <f>IFERROR(__xludf.DUMMYFUNCTION("""COMPUTED_VALUE"""),"Appliance Rental")</f>
        <v>Appliance Rental</v>
      </c>
      <c r="I522" s="61" t="str">
        <f>IFERROR(__xludf.DUMMYFUNCTION("""COMPUTED_VALUE""")," Standard Mini Fridge   - ")</f>
        <v> Standard Mini Fridge   - </v>
      </c>
      <c r="J522" s="61">
        <f>IFERROR(__xludf.DUMMYFUNCTION("""COMPUTED_VALUE"""),115.0)</f>
        <v>115</v>
      </c>
      <c r="K522" s="100">
        <f>IFERROR(__xludf.DUMMYFUNCTION("""COMPUTED_VALUE"""),45890.0)</f>
        <v>45890</v>
      </c>
      <c r="L522" s="61" t="str">
        <f>IFERROR(__xludf.DUMMYFUNCTION("""COMPUTED_VALUE"""),"Park  ")</f>
        <v>Park  </v>
      </c>
      <c r="M522" s="64" t="str">
        <f>IFERROR(__xludf.DUMMYFUNCTION("""COMPUTED_VALUE"""),"120")</f>
        <v>120</v>
      </c>
      <c r="N522" s="61"/>
      <c r="O522" s="61" t="b">
        <f>COUNTIF('Delivered Rentals'!A:A, B522) &gt; 0</f>
        <v>1</v>
      </c>
      <c r="P522" s="101" t="str">
        <f>IFERROR(__xludf.DUMMYFUNCTION("""COMPUTED_VALUE""")," ")</f>
        <v> </v>
      </c>
    </row>
    <row r="523">
      <c r="A523" s="102" t="str">
        <f>IFERROR(__xludf.DUMMYFUNCTION("""COMPUTED_VALUE"""),"https://utrucking.com/admin/orders/5947617116348")</f>
        <v>https://utrucking.com/admin/orders/5947617116348</v>
      </c>
      <c r="B523" s="65" t="str">
        <f>IFERROR(__xludf.DUMMYFUNCTION("""COMPUTED_VALUE"""),"#16441")</f>
        <v>#16441</v>
      </c>
      <c r="C523" s="65"/>
      <c r="D523" s="65">
        <f>IFERROR(__xludf.DUMMYFUNCTION("""COMPUTED_VALUE"""),8.583619963E9)</f>
        <v>8583619963</v>
      </c>
      <c r="E523" s="65" t="str">
        <f>IFERROR(__xludf.DUMMYFUNCTION("""COMPUTED_VALUE"""),"Raj Sugavanam")</f>
        <v>Raj Sugavanam</v>
      </c>
      <c r="F523" s="65" t="str">
        <f>IFERROR(__xludf.DUMMYFUNCTION("""COMPUTED_VALUE"""),"Raj Sugavanam")</f>
        <v>Raj Sugavanam</v>
      </c>
      <c r="G523" s="65"/>
      <c r="H523" s="65" t="str">
        <f>IFERROR(__xludf.DUMMYFUNCTION("""COMPUTED_VALUE"""),"Appliance Rental")</f>
        <v>Appliance Rental</v>
      </c>
      <c r="I523" s="65" t="str">
        <f>IFERROR(__xludf.DUMMYFUNCTION("""COMPUTED_VALUE""")," Double-Door Mini Fridge + Microwave   - ")</f>
        <v> Double-Door Mini Fridge + Microwave   - </v>
      </c>
      <c r="J523" s="65">
        <f>IFERROR(__xludf.DUMMYFUNCTION("""COMPUTED_VALUE"""),210.0)</f>
        <v>210</v>
      </c>
      <c r="K523" s="103">
        <f>IFERROR(__xludf.DUMMYFUNCTION("""COMPUTED_VALUE"""),45891.0)</f>
        <v>45891</v>
      </c>
      <c r="L523" s="65" t="str">
        <f>IFERROR(__xludf.DUMMYFUNCTION("""COMPUTED_VALUE"""),"House 1")</f>
        <v>House 1</v>
      </c>
      <c r="M523" s="68" t="str">
        <f>IFERROR(__xludf.DUMMYFUNCTION("""COMPUTED_VALUE"""),"114")</f>
        <v>114</v>
      </c>
      <c r="N523" s="65"/>
      <c r="O523" s="65" t="b">
        <f>COUNTIF('Delivered Rentals'!A:A, B523) &gt; 0</f>
        <v>1</v>
      </c>
      <c r="P523" s="104" t="str">
        <f>IFERROR(__xludf.DUMMYFUNCTION("""COMPUTED_VALUE""")," ")</f>
        <v> </v>
      </c>
    </row>
    <row r="524">
      <c r="A524" s="99" t="str">
        <f>IFERROR(__xludf.DUMMYFUNCTION("""COMPUTED_VALUE"""),"https://utrucking.com/admin/orders/5947689926844")</f>
        <v>https://utrucking.com/admin/orders/5947689926844</v>
      </c>
      <c r="B524" s="61" t="str">
        <f>IFERROR(__xludf.DUMMYFUNCTION("""COMPUTED_VALUE"""),"#16442")</f>
        <v>#16442</v>
      </c>
      <c r="C524" s="61"/>
      <c r="D524" s="61">
        <f>IFERROR(__xludf.DUMMYFUNCTION("""COMPUTED_VALUE"""),9.173551283E9)</f>
        <v>9173551283</v>
      </c>
      <c r="E524" s="61" t="str">
        <f>IFERROR(__xludf.DUMMYFUNCTION("""COMPUTED_VALUE"""),"Noah Calabrese")</f>
        <v>Noah Calabrese</v>
      </c>
      <c r="F524" s="61" t="str">
        <f>IFERROR(__xludf.DUMMYFUNCTION("""COMPUTED_VALUE"""),"Noah Calabrese")</f>
        <v>Noah Calabrese</v>
      </c>
      <c r="G524" s="61"/>
      <c r="H524" s="61" t="str">
        <f>IFERROR(__xludf.DUMMYFUNCTION("""COMPUTED_VALUE"""),"Appliance Rental")</f>
        <v>Appliance Rental</v>
      </c>
      <c r="I524" s="61" t="str">
        <f>IFERROR(__xludf.DUMMYFUNCTION("""COMPUTED_VALUE""")," Standard Mini Fridge   - ")</f>
        <v> Standard Mini Fridge   - </v>
      </c>
      <c r="J524" s="61">
        <f>IFERROR(__xludf.DUMMYFUNCTION("""COMPUTED_VALUE"""),115.0)</f>
        <v>115</v>
      </c>
      <c r="K524" s="100">
        <f>IFERROR(__xludf.DUMMYFUNCTION("""COMPUTED_VALUE"""),45892.0)</f>
        <v>45892</v>
      </c>
      <c r="L524" s="61" t="str">
        <f>IFERROR(__xludf.DUMMYFUNCTION("""COMPUTED_VALUE"""),"Eliot B  ")</f>
        <v>Eliot B  </v>
      </c>
      <c r="M524" s="64" t="str">
        <f>IFERROR(__xludf.DUMMYFUNCTION("""COMPUTED_VALUE"""),"3094")</f>
        <v>3094</v>
      </c>
      <c r="N524" s="61"/>
      <c r="O524" s="61" t="b">
        <f>COUNTIF('Delivered Rentals'!A:A, B524) &gt; 0</f>
        <v>1</v>
      </c>
      <c r="P524" s="101" t="str">
        <f>IFERROR(__xludf.DUMMYFUNCTION("""COMPUTED_VALUE""")," ")</f>
        <v> </v>
      </c>
    </row>
    <row r="525">
      <c r="A525" s="102" t="str">
        <f>IFERROR(__xludf.DUMMYFUNCTION("""COMPUTED_VALUE"""),"https://utrucking.com/admin/orders/5948136816828")</f>
        <v>https://utrucking.com/admin/orders/5948136816828</v>
      </c>
      <c r="B525" s="65" t="str">
        <f>IFERROR(__xludf.DUMMYFUNCTION("""COMPUTED_VALUE"""),"#16452")</f>
        <v>#16452</v>
      </c>
      <c r="C525" s="65" t="str">
        <f>IFERROR(__xludf.DUMMYFUNCTION("""COMPUTED_VALUE"""),"esti.6@me.com")</f>
        <v>esti.6@me.com</v>
      </c>
      <c r="D525" s="65">
        <f>IFERROR(__xludf.DUMMYFUNCTION("""COMPUTED_VALUE"""),3.12286885E9)</f>
        <v>3122868850</v>
      </c>
      <c r="E525" s="65" t="str">
        <f>IFERROR(__xludf.DUMMYFUNCTION("""COMPUTED_VALUE"""),"Robyn Morgenatern")</f>
        <v>Robyn Morgenatern</v>
      </c>
      <c r="F525" s="65" t="str">
        <f>IFERROR(__xludf.DUMMYFUNCTION("""COMPUTED_VALUE"""),"Estelle Rosenblatt")</f>
        <v>Estelle Rosenblatt</v>
      </c>
      <c r="G525" s="65"/>
      <c r="H525" s="65" t="str">
        <f>IFERROR(__xludf.DUMMYFUNCTION("""COMPUTED_VALUE"""),"Appliance Rental")</f>
        <v>Appliance Rental</v>
      </c>
      <c r="I525" s="65" t="str">
        <f>IFERROR(__xludf.DUMMYFUNCTION("""COMPUTED_VALUE""")," Double-Door Mini Fridge   - ")</f>
        <v> Double-Door Mini Fridge   - </v>
      </c>
      <c r="J525" s="65">
        <f>IFERROR(__xludf.DUMMYFUNCTION("""COMPUTED_VALUE"""),145.0)</f>
        <v>145</v>
      </c>
      <c r="K525" s="103">
        <f>IFERROR(__xludf.DUMMYFUNCTION("""COMPUTED_VALUE"""),45891.0)</f>
        <v>45891</v>
      </c>
      <c r="L525" s="65" t="str">
        <f>IFERROR(__xludf.DUMMYFUNCTION("""COMPUTED_VALUE"""),"Lopata  ")</f>
        <v>Lopata  </v>
      </c>
      <c r="M525" s="68" t="str">
        <f>IFERROR(__xludf.DUMMYFUNCTION("""COMPUTED_VALUE"""),"3022")</f>
        <v>3022</v>
      </c>
      <c r="N525" s="65"/>
      <c r="O525" s="65" t="b">
        <f>COUNTIF('Delivered Rentals'!A:A, B525) &gt; 0</f>
        <v>1</v>
      </c>
      <c r="P525" s="104" t="str">
        <f>IFERROR(__xludf.DUMMYFUNCTION("""COMPUTED_VALUE""")," ")</f>
        <v> </v>
      </c>
    </row>
    <row r="526">
      <c r="A526" s="99" t="str">
        <f>IFERROR(__xludf.DUMMYFUNCTION("""COMPUTED_VALUE"""),"https://utrucking.com/admin/orders/5948361834684")</f>
        <v>https://utrucking.com/admin/orders/5948361834684</v>
      </c>
      <c r="B526" s="61" t="str">
        <f>IFERROR(__xludf.DUMMYFUNCTION("""COMPUTED_VALUE"""),"#16456")</f>
        <v>#16456</v>
      </c>
      <c r="C526" s="61" t="str">
        <f>IFERROR(__xludf.DUMMYFUNCTION("""COMPUTED_VALUE"""),"k.i.pyasik@wustl.edu")</f>
        <v>k.i.pyasik@wustl.edu</v>
      </c>
      <c r="D526" s="61">
        <f>IFERROR(__xludf.DUMMYFUNCTION("""COMPUTED_VALUE"""),8.478635399E9)</f>
        <v>8478635399</v>
      </c>
      <c r="E526" s="61" t="str">
        <f>IFERROR(__xludf.DUMMYFUNCTION("""COMPUTED_VALUE"""),"Katherine Pyasik")</f>
        <v>Katherine Pyasik</v>
      </c>
      <c r="F526" s="61" t="str">
        <f>IFERROR(__xludf.DUMMYFUNCTION("""COMPUTED_VALUE"""),"Katherine Pyasik")</f>
        <v>Katherine Pyasik</v>
      </c>
      <c r="G526" s="61"/>
      <c r="H526" s="61" t="str">
        <f>IFERROR(__xludf.DUMMYFUNCTION("""COMPUTED_VALUE"""),"Appliance Rental")</f>
        <v>Appliance Rental</v>
      </c>
      <c r="I526" s="61" t="str">
        <f>IFERROR(__xludf.DUMMYFUNCTION("""COMPUTED_VALUE""")," Microwave Only   - ")</f>
        <v> Microwave Only   - </v>
      </c>
      <c r="J526" s="61">
        <f>IFERROR(__xludf.DUMMYFUNCTION("""COMPUTED_VALUE"""),65.0)</f>
        <v>65</v>
      </c>
      <c r="K526" s="100">
        <f>IFERROR(__xludf.DUMMYFUNCTION("""COMPUTED_VALUE"""),45891.0)</f>
        <v>45891</v>
      </c>
      <c r="L526" s="61" t="str">
        <f>IFERROR(__xludf.DUMMYFUNCTION("""COMPUTED_VALUE"""),"Wheeler  ")</f>
        <v>Wheeler  </v>
      </c>
      <c r="M526" s="64" t="str">
        <f>IFERROR(__xludf.DUMMYFUNCTION("""COMPUTED_VALUE"""),"4031")</f>
        <v>4031</v>
      </c>
      <c r="N526" s="61"/>
      <c r="O526" s="61" t="b">
        <f>COUNTIF('Delivered Rentals'!A:A, B526) &gt; 0</f>
        <v>1</v>
      </c>
      <c r="P526" s="101" t="str">
        <f>IFERROR(__xludf.DUMMYFUNCTION("""COMPUTED_VALUE""")," ")</f>
        <v> </v>
      </c>
    </row>
    <row r="527">
      <c r="A527" s="102" t="str">
        <f>IFERROR(__xludf.DUMMYFUNCTION("""COMPUTED_VALUE"""),"https://utrucking.com/admin/orders/5948455092412")</f>
        <v>https://utrucking.com/admin/orders/5948455092412</v>
      </c>
      <c r="B527" s="65" t="str">
        <f>IFERROR(__xludf.DUMMYFUNCTION("""COMPUTED_VALUE"""),"#16457")</f>
        <v>#16457</v>
      </c>
      <c r="C527" s="65" t="str">
        <f>IFERROR(__xludf.DUMMYFUNCTION("""COMPUTED_VALUE"""),"a.endale@wustl.edu")</f>
        <v>a.endale@wustl.edu</v>
      </c>
      <c r="D527" s="65">
        <f>IFERROR(__xludf.DUMMYFUNCTION("""COMPUTED_VALUE"""),5.71234034E9)</f>
        <v>5712340340</v>
      </c>
      <c r="E527" s="65" t="str">
        <f>IFERROR(__xludf.DUMMYFUNCTION("""COMPUTED_VALUE"""),"Abigail Endale")</f>
        <v>Abigail Endale</v>
      </c>
      <c r="F527" s="65" t="str">
        <f>IFERROR(__xludf.DUMMYFUNCTION("""COMPUTED_VALUE"""),"Abby Endale")</f>
        <v>Abby Endale</v>
      </c>
      <c r="G527" s="65"/>
      <c r="H527" s="65" t="str">
        <f>IFERROR(__xludf.DUMMYFUNCTION("""COMPUTED_VALUE"""),"Appliance Rental")</f>
        <v>Appliance Rental</v>
      </c>
      <c r="I527" s="65" t="str">
        <f>IFERROR(__xludf.DUMMYFUNCTION("""COMPUTED_VALUE""")," Double-Door Mini Fridge   - ")</f>
        <v> Double-Door Mini Fridge   - </v>
      </c>
      <c r="J527" s="65">
        <f>IFERROR(__xludf.DUMMYFUNCTION("""COMPUTED_VALUE"""),145.0)</f>
        <v>145</v>
      </c>
      <c r="K527" s="103">
        <f>IFERROR(__xludf.DUMMYFUNCTION("""COMPUTED_VALUE"""),45883.0)</f>
        <v>45883</v>
      </c>
      <c r="L527" s="65" t="str">
        <f>IFERROR(__xludf.DUMMYFUNCTION("""COMPUTED_VALUE"""),"Village East  ")</f>
        <v>Village East  </v>
      </c>
      <c r="M527" s="68" t="str">
        <f>IFERROR(__xludf.DUMMYFUNCTION("""COMPUTED_VALUE"""),"3101")</f>
        <v>3101</v>
      </c>
      <c r="N527" s="65"/>
      <c r="O527" s="65" t="b">
        <f>COUNTIF('Delivered Rentals'!A:A, B527) &gt; 0</f>
        <v>1</v>
      </c>
      <c r="P527" s="104" t="str">
        <f>IFERROR(__xludf.DUMMYFUNCTION("""COMPUTED_VALUE""")," ")</f>
        <v> </v>
      </c>
    </row>
    <row r="528">
      <c r="A528" s="99" t="str">
        <f>IFERROR(__xludf.DUMMYFUNCTION("""COMPUTED_VALUE"""),"https://utrucking.com/admin/orders/5948585738428")</f>
        <v>https://utrucking.com/admin/orders/5948585738428</v>
      </c>
      <c r="B528" s="61" t="str">
        <f>IFERROR(__xludf.DUMMYFUNCTION("""COMPUTED_VALUE"""),"#16461")</f>
        <v>#16461</v>
      </c>
      <c r="C528" s="61" t="str">
        <f>IFERROR(__xludf.DUMMYFUNCTION("""COMPUTED_VALUE"""),"akjubes@gmail.com")</f>
        <v>akjubes@gmail.com</v>
      </c>
      <c r="D528" s="61">
        <f>IFERROR(__xludf.DUMMYFUNCTION("""COMPUTED_VALUE"""),9.179712001E9)</f>
        <v>9179712001</v>
      </c>
      <c r="E528" s="61" t="str">
        <f>IFERROR(__xludf.DUMMYFUNCTION("""COMPUTED_VALUE"""),"Allison Jubelirer")</f>
        <v>Allison Jubelirer</v>
      </c>
      <c r="F528" s="61" t="str">
        <f>IFERROR(__xludf.DUMMYFUNCTION("""COMPUTED_VALUE"""),"Eli Jubelirer")</f>
        <v>Eli Jubelirer</v>
      </c>
      <c r="G528" s="61"/>
      <c r="H528" s="61" t="str">
        <f>IFERROR(__xludf.DUMMYFUNCTION("""COMPUTED_VALUE"""),"Appliance Rental")</f>
        <v>Appliance Rental</v>
      </c>
      <c r="I528" s="61" t="str">
        <f>IFERROR(__xludf.DUMMYFUNCTION("""COMPUTED_VALUE""")," Double-Door Mini Fridge   - ")</f>
        <v> Double-Door Mini Fridge   - </v>
      </c>
      <c r="J528" s="61">
        <f>IFERROR(__xludf.DUMMYFUNCTION("""COMPUTED_VALUE"""),145.0)</f>
        <v>145</v>
      </c>
      <c r="K528" s="100">
        <f>IFERROR(__xludf.DUMMYFUNCTION("""COMPUTED_VALUE"""),45891.0)</f>
        <v>45891</v>
      </c>
      <c r="L528" s="61" t="str">
        <f>IFERROR(__xludf.DUMMYFUNCTION("""COMPUTED_VALUE"""),"House 3 (Alpha Delta Phi)  ")</f>
        <v>House 3 (Alpha Delta Phi)  </v>
      </c>
      <c r="M528" s="64" t="str">
        <f>IFERROR(__xludf.DUMMYFUNCTION("""COMPUTED_VALUE"""),"204")</f>
        <v>204</v>
      </c>
      <c r="N528" s="61"/>
      <c r="O528" s="61" t="b">
        <f>COUNTIF('Delivered Rentals'!A:A, B528) &gt; 0</f>
        <v>1</v>
      </c>
      <c r="P528" s="101" t="str">
        <f>IFERROR(__xludf.DUMMYFUNCTION("""COMPUTED_VALUE""")," ")</f>
        <v> </v>
      </c>
    </row>
    <row r="529">
      <c r="A529" s="102" t="str">
        <f>IFERROR(__xludf.DUMMYFUNCTION("""COMPUTED_VALUE"""),"https://utrucking.com/admin/orders/5948771958972")</f>
        <v>https://utrucking.com/admin/orders/5948771958972</v>
      </c>
      <c r="B529" s="65" t="str">
        <f>IFERROR(__xludf.DUMMYFUNCTION("""COMPUTED_VALUE"""),"#16466")</f>
        <v>#16466</v>
      </c>
      <c r="C529" s="65" t="str">
        <f>IFERROR(__xludf.DUMMYFUNCTION("""COMPUTED_VALUE"""),"laskyds@gmail.com")</f>
        <v>laskyds@gmail.com</v>
      </c>
      <c r="D529" s="65">
        <f>IFERROR(__xludf.DUMMYFUNCTION("""COMPUTED_VALUE"""),8.185619533E9)</f>
        <v>8185619533</v>
      </c>
      <c r="E529" s="65" t="str">
        <f>IFERROR(__xludf.DUMMYFUNCTION("""COMPUTED_VALUE"""),"David Lasky")</f>
        <v>David Lasky</v>
      </c>
      <c r="F529" s="65" t="str">
        <f>IFERROR(__xludf.DUMMYFUNCTION("""COMPUTED_VALUE"""),"David Lasky")</f>
        <v>David Lasky</v>
      </c>
      <c r="G529" s="65"/>
      <c r="H529" s="65" t="str">
        <f>IFERROR(__xludf.DUMMYFUNCTION("""COMPUTED_VALUE"""),"Appliance Rental")</f>
        <v>Appliance Rental</v>
      </c>
      <c r="I529" s="65" t="str">
        <f>IFERROR(__xludf.DUMMYFUNCTION("""COMPUTED_VALUE""")," Double-Door Mini Fridge + Microwave   - ")</f>
        <v> Double-Door Mini Fridge + Microwave   - </v>
      </c>
      <c r="J529" s="65">
        <f>IFERROR(__xludf.DUMMYFUNCTION("""COMPUTED_VALUE"""),210.0)</f>
        <v>210</v>
      </c>
      <c r="K529" s="103">
        <f>IFERROR(__xludf.DUMMYFUNCTION("""COMPUTED_VALUE"""),45892.0)</f>
        <v>45892</v>
      </c>
      <c r="L529" s="65" t="str">
        <f>IFERROR(__xludf.DUMMYFUNCTION("""COMPUTED_VALUE"""),"Eliot B  ")</f>
        <v>Eliot B  </v>
      </c>
      <c r="M529" s="68" t="str">
        <f>IFERROR(__xludf.DUMMYFUNCTION("""COMPUTED_VALUE"""),"2031 - a")</f>
        <v>2031 - a</v>
      </c>
      <c r="N529" s="65"/>
      <c r="O529" s="65" t="b">
        <f>COUNTIF('Delivered Rentals'!A:A, B529) &gt; 0</f>
        <v>1</v>
      </c>
      <c r="P529" s="104" t="str">
        <f>IFERROR(__xludf.DUMMYFUNCTION("""COMPUTED_VALUE""")," ")</f>
        <v> </v>
      </c>
    </row>
    <row r="530">
      <c r="A530" s="99" t="str">
        <f>IFERROR(__xludf.DUMMYFUNCTION("""COMPUTED_VALUE"""),"https://utrucking.com/admin/orders/5949031841980")</f>
        <v>https://utrucking.com/admin/orders/5949031841980</v>
      </c>
      <c r="B530" s="61" t="str">
        <f>IFERROR(__xludf.DUMMYFUNCTION("""COMPUTED_VALUE"""),"#16467")</f>
        <v>#16467</v>
      </c>
      <c r="C530" s="61"/>
      <c r="D530" s="61">
        <f>IFERROR(__xludf.DUMMYFUNCTION("""COMPUTED_VALUE"""),3.078290361E9)</f>
        <v>3078290361</v>
      </c>
      <c r="E530" s="61" t="str">
        <f>IFERROR(__xludf.DUMMYFUNCTION("""COMPUTED_VALUE"""),"Zoya Khan")</f>
        <v>Zoya Khan</v>
      </c>
      <c r="F530" s="61" t="str">
        <f>IFERROR(__xludf.DUMMYFUNCTION("""COMPUTED_VALUE"""),"Zoya Khan")</f>
        <v>Zoya Khan</v>
      </c>
      <c r="G530" s="61"/>
      <c r="H530" s="61" t="str">
        <f>IFERROR(__xludf.DUMMYFUNCTION("""COMPUTED_VALUE"""),"Appliance Rental")</f>
        <v>Appliance Rental</v>
      </c>
      <c r="I530" s="61" t="str">
        <f>IFERROR(__xludf.DUMMYFUNCTION("""COMPUTED_VALUE""")," Double-Door Mini Fridge   - ")</f>
        <v> Double-Door Mini Fridge   - </v>
      </c>
      <c r="J530" s="61">
        <f>IFERROR(__xludf.DUMMYFUNCTION("""COMPUTED_VALUE"""),145.0)</f>
        <v>145</v>
      </c>
      <c r="K530" s="100">
        <f>IFERROR(__xludf.DUMMYFUNCTION("""COMPUTED_VALUE"""),45892.0)</f>
        <v>45892</v>
      </c>
      <c r="L530" s="61" t="str">
        <f>IFERROR(__xludf.DUMMYFUNCTION("""COMPUTED_VALUE"""),"Eliot B  ")</f>
        <v>Eliot B  </v>
      </c>
      <c r="M530" s="64" t="str">
        <f>IFERROR(__xludf.DUMMYFUNCTION("""COMPUTED_VALUE""")," 4053 - a")</f>
        <v> 4053 - a</v>
      </c>
      <c r="N530" s="61"/>
      <c r="O530" s="61" t="b">
        <f>COUNTIF('Delivered Rentals'!A:A, B530) &gt; 0</f>
        <v>1</v>
      </c>
      <c r="P530" s="101" t="str">
        <f>IFERROR(__xludf.DUMMYFUNCTION("""COMPUTED_VALUE""")," ")</f>
        <v> </v>
      </c>
    </row>
    <row r="531">
      <c r="A531" s="102" t="str">
        <f>IFERROR(__xludf.DUMMYFUNCTION("""COMPUTED_VALUE"""),"https://utrucking.com/admin/orders/5949053370556")</f>
        <v>https://utrucking.com/admin/orders/5949053370556</v>
      </c>
      <c r="B531" s="65" t="str">
        <f>IFERROR(__xludf.DUMMYFUNCTION("""COMPUTED_VALUE"""),"#16468")</f>
        <v>#16468</v>
      </c>
      <c r="C531" s="65"/>
      <c r="D531" s="65">
        <f>IFERROR(__xludf.DUMMYFUNCTION("""COMPUTED_VALUE"""),9.498120605E9)</f>
        <v>9498120605</v>
      </c>
      <c r="E531" s="65" t="str">
        <f>IFERROR(__xludf.DUMMYFUNCTION("""COMPUTED_VALUE"""),"Amy Hwang")</f>
        <v>Amy Hwang</v>
      </c>
      <c r="F531" s="65" t="str">
        <f>IFERROR(__xludf.DUMMYFUNCTION("""COMPUTED_VALUE"""),"Amy Hwang")</f>
        <v>Amy Hwang</v>
      </c>
      <c r="G531" s="65"/>
      <c r="H531" s="65" t="str">
        <f>IFERROR(__xludf.DUMMYFUNCTION("""COMPUTED_VALUE"""),"Appliance Rental")</f>
        <v>Appliance Rental</v>
      </c>
      <c r="I531" s="65" t="str">
        <f>IFERROR(__xludf.DUMMYFUNCTION("""COMPUTED_VALUE""")," Double-Door Mini Fridge   - ")</f>
        <v> Double-Door Mini Fridge   - </v>
      </c>
      <c r="J531" s="65">
        <f>IFERROR(__xludf.DUMMYFUNCTION("""COMPUTED_VALUE"""),145.0)</f>
        <v>145</v>
      </c>
      <c r="K531" s="103">
        <f>IFERROR(__xludf.DUMMYFUNCTION("""COMPUTED_VALUE"""),45891.0)</f>
        <v>45891</v>
      </c>
      <c r="L531" s="65" t="str">
        <f>IFERROR(__xludf.DUMMYFUNCTION("""COMPUTED_VALUE"""),"Zetcher  ")</f>
        <v>Zetcher  </v>
      </c>
      <c r="M531" s="68" t="str">
        <f>IFERROR(__xludf.DUMMYFUNCTION("""COMPUTED_VALUE"""),"2044")</f>
        <v>2044</v>
      </c>
      <c r="N531" s="65"/>
      <c r="O531" s="65" t="b">
        <f>COUNTIF('Delivered Rentals'!A:A, B531) &gt; 0</f>
        <v>1</v>
      </c>
      <c r="P531" s="104" t="str">
        <f>IFERROR(__xludf.DUMMYFUNCTION("""COMPUTED_VALUE""")," ")</f>
        <v> </v>
      </c>
    </row>
    <row r="532">
      <c r="A532" s="99" t="str">
        <f>IFERROR(__xludf.DUMMYFUNCTION("""COMPUTED_VALUE"""),"https://utrucking.com/admin/orders/5949246472380")</f>
        <v>https://utrucking.com/admin/orders/5949246472380</v>
      </c>
      <c r="B532" s="61" t="str">
        <f>IFERROR(__xludf.DUMMYFUNCTION("""COMPUTED_VALUE"""),"#16472")</f>
        <v>#16472</v>
      </c>
      <c r="C532" s="61"/>
      <c r="D532" s="61">
        <f>IFERROR(__xludf.DUMMYFUNCTION("""COMPUTED_VALUE"""),9.732234041E9)</f>
        <v>9732234041</v>
      </c>
      <c r="E532" s="61" t="str">
        <f>IFERROR(__xludf.DUMMYFUNCTION("""COMPUTED_VALUE"""),"Veeral Bhoot")</f>
        <v>Veeral Bhoot</v>
      </c>
      <c r="F532" s="61" t="str">
        <f>IFERROR(__xludf.DUMMYFUNCTION("""COMPUTED_VALUE"""),"Uma Bhoot")</f>
        <v>Uma Bhoot</v>
      </c>
      <c r="G532" s="61"/>
      <c r="H532" s="61" t="str">
        <f>IFERROR(__xludf.DUMMYFUNCTION("""COMPUTED_VALUE"""),"Appliance Rental")</f>
        <v>Appliance Rental</v>
      </c>
      <c r="I532" s="61" t="str">
        <f>IFERROR(__xludf.DUMMYFUNCTION("""COMPUTED_VALUE""")," Double-Door Mini Fridge + Microwave   - ")</f>
        <v> Double-Door Mini Fridge + Microwave   - </v>
      </c>
      <c r="J532" s="61">
        <f>IFERROR(__xludf.DUMMYFUNCTION("""COMPUTED_VALUE"""),210.0)</f>
        <v>210</v>
      </c>
      <c r="K532" s="100">
        <f>IFERROR(__xludf.DUMMYFUNCTION("""COMPUTED_VALUE"""),45892.0)</f>
        <v>45892</v>
      </c>
      <c r="L532" s="61" t="str">
        <f>IFERROR(__xludf.DUMMYFUNCTION("""COMPUTED_VALUE"""),"Liggett  ")</f>
        <v>Liggett  </v>
      </c>
      <c r="M532" s="64" t="str">
        <f>IFERROR(__xludf.DUMMYFUNCTION("""COMPUTED_VALUE"""),"3400")</f>
        <v>3400</v>
      </c>
      <c r="N532" s="61"/>
      <c r="O532" s="61" t="b">
        <f>COUNTIF('Delivered Rentals'!A:A, B532) &gt; 0</f>
        <v>1</v>
      </c>
      <c r="P532" s="101" t="str">
        <f>IFERROR(__xludf.DUMMYFUNCTION("""COMPUTED_VALUE""")," ")</f>
        <v> </v>
      </c>
    </row>
    <row r="533">
      <c r="A533" s="102" t="str">
        <f>IFERROR(__xludf.DUMMYFUNCTION("""COMPUTED_VALUE"""),"https://utrucking.com/admin/orders/5949362012348")</f>
        <v>https://utrucking.com/admin/orders/5949362012348</v>
      </c>
      <c r="B533" s="65" t="str">
        <f>IFERROR(__xludf.DUMMYFUNCTION("""COMPUTED_VALUE"""),"#16474")</f>
        <v>#16474</v>
      </c>
      <c r="C533" s="65"/>
      <c r="D533" s="65">
        <f>IFERROR(__xludf.DUMMYFUNCTION("""COMPUTED_VALUE"""),4.174502681E9)</f>
        <v>4174502681</v>
      </c>
      <c r="E533" s="65" t="str">
        <f>IFERROR(__xludf.DUMMYFUNCTION("""COMPUTED_VALUE"""),"Kamila Price")</f>
        <v>Kamila Price</v>
      </c>
      <c r="F533" s="65" t="str">
        <f>IFERROR(__xludf.DUMMYFUNCTION("""COMPUTED_VALUE"""),"Eliska Price")</f>
        <v>Eliska Price</v>
      </c>
      <c r="G533" s="65"/>
      <c r="H533" s="65" t="str">
        <f>IFERROR(__xludf.DUMMYFUNCTION("""COMPUTED_VALUE"""),"Appliance Rental")</f>
        <v>Appliance Rental</v>
      </c>
      <c r="I533" s="65" t="str">
        <f>IFERROR(__xludf.DUMMYFUNCTION("""COMPUTED_VALUE""")," Double-Door Mini Fridge   - ")</f>
        <v> Double-Door Mini Fridge   - </v>
      </c>
      <c r="J533" s="65">
        <f>IFERROR(__xludf.DUMMYFUNCTION("""COMPUTED_VALUE"""),145.0)</f>
        <v>145</v>
      </c>
      <c r="K533" s="103">
        <f>IFERROR(__xludf.DUMMYFUNCTION("""COMPUTED_VALUE"""),45892.0)</f>
        <v>45892</v>
      </c>
      <c r="L533" s="65" t="str">
        <f>IFERROR(__xludf.DUMMYFUNCTION("""COMPUTED_VALUE"""),"Wheeler  ")</f>
        <v>Wheeler  </v>
      </c>
      <c r="M533" s="68" t="str">
        <f>IFERROR(__xludf.DUMMYFUNCTION("""COMPUTED_VALUE"""),"1013a")</f>
        <v>1013a</v>
      </c>
      <c r="N533" s="65"/>
      <c r="O533" s="65" t="b">
        <f>COUNTIF('Delivered Rentals'!A:A, B533) &gt; 0</f>
        <v>1</v>
      </c>
      <c r="P533" s="104" t="str">
        <f>IFERROR(__xludf.DUMMYFUNCTION("""COMPUTED_VALUE""")," ")</f>
        <v> </v>
      </c>
    </row>
    <row r="534">
      <c r="A534" s="99" t="str">
        <f>IFERROR(__xludf.DUMMYFUNCTION("""COMPUTED_VALUE"""),"https://utrucking.com/admin/orders/5949366927548")</f>
        <v>https://utrucking.com/admin/orders/5949366927548</v>
      </c>
      <c r="B534" s="61" t="str">
        <f>IFERROR(__xludf.DUMMYFUNCTION("""COMPUTED_VALUE"""),"#16475")</f>
        <v>#16475</v>
      </c>
      <c r="C534" s="61" t="str">
        <f>IFERROR(__xludf.DUMMYFUNCTION("""COMPUTED_VALUE"""),"kaseylschwartz@icloud.com")</f>
        <v>kaseylschwartz@icloud.com</v>
      </c>
      <c r="D534" s="61">
        <f>IFERROR(__xludf.DUMMYFUNCTION("""COMPUTED_VALUE"""),5.164743388E9)</f>
        <v>5164743388</v>
      </c>
      <c r="E534" s="61" t="str">
        <f>IFERROR(__xludf.DUMMYFUNCTION("""COMPUTED_VALUE"""),"Kasey Schwartz")</f>
        <v>Kasey Schwartz</v>
      </c>
      <c r="F534" s="61" t="str">
        <f>IFERROR(__xludf.DUMMYFUNCTION("""COMPUTED_VALUE"""),"Kasey Schwartz")</f>
        <v>Kasey Schwartz</v>
      </c>
      <c r="G534" s="61"/>
      <c r="H534" s="61" t="str">
        <f>IFERROR(__xludf.DUMMYFUNCTION("""COMPUTED_VALUE"""),"Appliance Rental")</f>
        <v>Appliance Rental</v>
      </c>
      <c r="I534" s="61" t="str">
        <f>IFERROR(__xludf.DUMMYFUNCTION("""COMPUTED_VALUE""")," Microwave Only   - ")</f>
        <v> Microwave Only   - </v>
      </c>
      <c r="J534" s="61">
        <f>IFERROR(__xludf.DUMMYFUNCTION("""COMPUTED_VALUE"""),65.0)</f>
        <v>65</v>
      </c>
      <c r="K534" s="100">
        <f>IFERROR(__xludf.DUMMYFUNCTION("""COMPUTED_VALUE"""),45892.0)</f>
        <v>45892</v>
      </c>
      <c r="L534" s="61" t="str">
        <f>IFERROR(__xludf.DUMMYFUNCTION("""COMPUTED_VALUE"""),"Lee  ")</f>
        <v>Lee  </v>
      </c>
      <c r="M534" s="64" t="str">
        <f>IFERROR(__xludf.DUMMYFUNCTION("""COMPUTED_VALUE"""),"111")</f>
        <v>111</v>
      </c>
      <c r="N534" s="61"/>
      <c r="O534" s="61" t="b">
        <f>COUNTIF('Delivered Rentals'!A:A, B534) &gt; 0</f>
        <v>1</v>
      </c>
      <c r="P534" s="101" t="str">
        <f>IFERROR(__xludf.DUMMYFUNCTION("""COMPUTED_VALUE""")," ")</f>
        <v> </v>
      </c>
    </row>
    <row r="535">
      <c r="A535" s="102" t="str">
        <f>IFERROR(__xludf.DUMMYFUNCTION("""COMPUTED_VALUE"""),"https://utrucking.com/admin/orders/5949998661820")</f>
        <v>https://utrucking.com/admin/orders/5949998661820</v>
      </c>
      <c r="B535" s="65" t="str">
        <f>IFERROR(__xludf.DUMMYFUNCTION("""COMPUTED_VALUE"""),"#16479")</f>
        <v>#16479</v>
      </c>
      <c r="C535" s="65" t="str">
        <f>IFERROR(__xludf.DUMMYFUNCTION("""COMPUTED_VALUE"""),"kaminemehta@yahoo.com")</f>
        <v>kaminemehta@yahoo.com</v>
      </c>
      <c r="D535" s="65">
        <f>IFERROR(__xludf.DUMMYFUNCTION("""COMPUTED_VALUE"""),6.463519518E9)</f>
        <v>6463519518</v>
      </c>
      <c r="E535" s="65" t="str">
        <f>IFERROR(__xludf.DUMMYFUNCTION("""COMPUTED_VALUE"""),"Kamine Mehta")</f>
        <v>Kamine Mehta</v>
      </c>
      <c r="F535" s="65" t="str">
        <f>IFERROR(__xludf.DUMMYFUNCTION("""COMPUTED_VALUE"""),"Arya Mehta ")</f>
        <v>Arya Mehta </v>
      </c>
      <c r="G535" s="65"/>
      <c r="H535" s="65" t="str">
        <f>IFERROR(__xludf.DUMMYFUNCTION("""COMPUTED_VALUE"""),"Appliance Rental")</f>
        <v>Appliance Rental</v>
      </c>
      <c r="I535" s="65" t="str">
        <f>IFERROR(__xludf.DUMMYFUNCTION("""COMPUTED_VALUE""")," Double-Door Mini Fridge   - ")</f>
        <v> Double-Door Mini Fridge   - </v>
      </c>
      <c r="J535" s="65">
        <f>IFERROR(__xludf.DUMMYFUNCTION("""COMPUTED_VALUE"""),145.0)</f>
        <v>145</v>
      </c>
      <c r="K535" s="103">
        <f>IFERROR(__xludf.DUMMYFUNCTION("""COMPUTED_VALUE"""),45892.0)</f>
        <v>45892</v>
      </c>
      <c r="L535" s="65" t="str">
        <f>IFERROR(__xludf.DUMMYFUNCTION("""COMPUTED_VALUE"""),"Gregg  ")</f>
        <v>Gregg  </v>
      </c>
      <c r="M535" s="68" t="str">
        <f>IFERROR(__xludf.DUMMYFUNCTION("""COMPUTED_VALUE"""),"3010")</f>
        <v>3010</v>
      </c>
      <c r="N535" s="65"/>
      <c r="O535" s="65" t="b">
        <f>COUNTIF('Delivered Rentals'!A:A, B535) &gt; 0</f>
        <v>1</v>
      </c>
      <c r="P535" s="104" t="str">
        <f>IFERROR(__xludf.DUMMYFUNCTION("""COMPUTED_VALUE""")," ")</f>
        <v> </v>
      </c>
    </row>
    <row r="536">
      <c r="A536" s="99" t="str">
        <f>IFERROR(__xludf.DUMMYFUNCTION("""COMPUTED_VALUE"""),"https://utrucking.com/admin/orders/5950229512380")</f>
        <v>https://utrucking.com/admin/orders/5950229512380</v>
      </c>
      <c r="B536" s="61" t="str">
        <f>IFERROR(__xludf.DUMMYFUNCTION("""COMPUTED_VALUE"""),"#16483")</f>
        <v>#16483</v>
      </c>
      <c r="C536" s="61" t="str">
        <f>IFERROR(__xludf.DUMMYFUNCTION("""COMPUTED_VALUE"""),"djosh@wustl.edu")</f>
        <v>djosh@wustl.edu</v>
      </c>
      <c r="D536" s="61">
        <f>IFERROR(__xludf.DUMMYFUNCTION("""COMPUTED_VALUE"""),9.17566731E9)</f>
        <v>9175667310</v>
      </c>
      <c r="E536" s="61" t="str">
        <f>IFERROR(__xludf.DUMMYFUNCTION("""COMPUTED_VALUE"""),"Joshua Donoho")</f>
        <v>Joshua Donoho</v>
      </c>
      <c r="F536" s="61" t="str">
        <f>IFERROR(__xludf.DUMMYFUNCTION("""COMPUTED_VALUE"""),"Josh Donoho")</f>
        <v>Josh Donoho</v>
      </c>
      <c r="G536" s="61"/>
      <c r="H536" s="61" t="str">
        <f>IFERROR(__xludf.DUMMYFUNCTION("""COMPUTED_VALUE"""),"Appliance Rental")</f>
        <v>Appliance Rental</v>
      </c>
      <c r="I536" s="61" t="str">
        <f>IFERROR(__xludf.DUMMYFUNCTION("""COMPUTED_VALUE""")," Double-Door Mini Fridge   - ")</f>
        <v> Double-Door Mini Fridge   - </v>
      </c>
      <c r="J536" s="61">
        <f>IFERROR(__xludf.DUMMYFUNCTION("""COMPUTED_VALUE"""),145.0)</f>
        <v>145</v>
      </c>
      <c r="K536" s="100">
        <f>IFERROR(__xludf.DUMMYFUNCTION("""COMPUTED_VALUE"""),45892.0)</f>
        <v>45892</v>
      </c>
      <c r="L536" s="61" t="str">
        <f>IFERROR(__xludf.DUMMYFUNCTION("""COMPUTED_VALUE"""),"House 4 (Theta Xi)  ")</f>
        <v>House 4 (Theta Xi)  </v>
      </c>
      <c r="M536" s="64" t="str">
        <f>IFERROR(__xludf.DUMMYFUNCTION("""COMPUTED_VALUE"""),"306")</f>
        <v>306</v>
      </c>
      <c r="N536" s="61"/>
      <c r="O536" s="61" t="b">
        <f>COUNTIF('Delivered Rentals'!A:A, B536) &gt; 0</f>
        <v>1</v>
      </c>
      <c r="P536" s="101" t="str">
        <f>IFERROR(__xludf.DUMMYFUNCTION("""COMPUTED_VALUE""")," ")</f>
        <v> </v>
      </c>
    </row>
    <row r="537">
      <c r="A537" s="102" t="str">
        <f>IFERROR(__xludf.DUMMYFUNCTION("""COMPUTED_VALUE"""),"https://utrucking.com/admin/orders/5950597005500")</f>
        <v>https://utrucking.com/admin/orders/5950597005500</v>
      </c>
      <c r="B537" s="65" t="str">
        <f>IFERROR(__xludf.DUMMYFUNCTION("""COMPUTED_VALUE"""),"#16490")</f>
        <v>#16490</v>
      </c>
      <c r="C537" s="65"/>
      <c r="D537" s="65">
        <f>IFERROR(__xludf.DUMMYFUNCTION("""COMPUTED_VALUE"""),6.178753828E9)</f>
        <v>6178753828</v>
      </c>
      <c r="E537" s="65" t="str">
        <f>IFERROR(__xludf.DUMMYFUNCTION("""COMPUTED_VALUE"""),"Nancy Kashanek")</f>
        <v>Nancy Kashanek</v>
      </c>
      <c r="F537" s="65" t="str">
        <f>IFERROR(__xludf.DUMMYFUNCTION("""COMPUTED_VALUE"""),"Danny Alepa")</f>
        <v>Danny Alepa</v>
      </c>
      <c r="G537" s="65"/>
      <c r="H537" s="65" t="str">
        <f>IFERROR(__xludf.DUMMYFUNCTION("""COMPUTED_VALUE"""),"Appliance Rental")</f>
        <v>Appliance Rental</v>
      </c>
      <c r="I537" s="65" t="str">
        <f>IFERROR(__xludf.DUMMYFUNCTION("""COMPUTED_VALUE""")," Standard Mini Fridge   - ")</f>
        <v> Standard Mini Fridge   - </v>
      </c>
      <c r="J537" s="65">
        <f>IFERROR(__xludf.DUMMYFUNCTION("""COMPUTED_VALUE"""),115.0)</f>
        <v>115</v>
      </c>
      <c r="K537" s="103">
        <f>IFERROR(__xludf.DUMMYFUNCTION("""COMPUTED_VALUE"""),45894.0)</f>
        <v>45894</v>
      </c>
      <c r="L537" s="65" t="str">
        <f>IFERROR(__xludf.DUMMYFUNCTION("""COMPUTED_VALUE"""),"House 22 (Beta Theta Pi)")</f>
        <v>House 22 (Beta Theta Pi)</v>
      </c>
      <c r="M537" s="68" t="str">
        <f>IFERROR(__xludf.DUMMYFUNCTION("""COMPUTED_VALUE"""),"3042")</f>
        <v>3042</v>
      </c>
      <c r="N537" s="65"/>
      <c r="O537" s="65" t="b">
        <f>COUNTIF('Delivered Rentals'!A:A, B537) &gt; 0</f>
        <v>1</v>
      </c>
      <c r="P537" s="104" t="str">
        <f>IFERROR(__xludf.DUMMYFUNCTION("""COMPUTED_VALUE""")," ")</f>
        <v> </v>
      </c>
    </row>
    <row r="538">
      <c r="A538" s="99" t="str">
        <f>IFERROR(__xludf.DUMMYFUNCTION("""COMPUTED_VALUE"""),"https://utrucking.com/admin/orders/5950614601916")</f>
        <v>https://utrucking.com/admin/orders/5950614601916</v>
      </c>
      <c r="B538" s="61" t="str">
        <f>IFERROR(__xludf.DUMMYFUNCTION("""COMPUTED_VALUE"""),"#16491")</f>
        <v>#16491</v>
      </c>
      <c r="C538" s="61"/>
      <c r="D538" s="61">
        <f>IFERROR(__xludf.DUMMYFUNCTION("""COMPUTED_VALUE"""),3.012761373E9)</f>
        <v>3012761373</v>
      </c>
      <c r="E538" s="61" t="str">
        <f>IFERROR(__xludf.DUMMYFUNCTION("""COMPUTED_VALUE"""),"Ari Blumenthal")</f>
        <v>Ari Blumenthal</v>
      </c>
      <c r="F538" s="61" t="str">
        <f>IFERROR(__xludf.DUMMYFUNCTION("""COMPUTED_VALUE"""),"Ari Blumenthal")</f>
        <v>Ari Blumenthal</v>
      </c>
      <c r="G538" s="61"/>
      <c r="H538" s="61" t="str">
        <f>IFERROR(__xludf.DUMMYFUNCTION("""COMPUTED_VALUE"""),"Appliance Rental")</f>
        <v>Appliance Rental</v>
      </c>
      <c r="I538" s="61" t="str">
        <f>IFERROR(__xludf.DUMMYFUNCTION("""COMPUTED_VALUE""")," Standard Mini Fridge   - ")</f>
        <v> Standard Mini Fridge   - </v>
      </c>
      <c r="J538" s="61">
        <f>IFERROR(__xludf.DUMMYFUNCTION("""COMPUTED_VALUE"""),115.0)</f>
        <v>115</v>
      </c>
      <c r="K538" s="100">
        <f>IFERROR(__xludf.DUMMYFUNCTION("""COMPUTED_VALUE"""),45894.0)</f>
        <v>45894</v>
      </c>
      <c r="L538" s="61" t="str">
        <f>IFERROR(__xludf.DUMMYFUNCTION("""COMPUTED_VALUE"""),"House 21 (Alpha Epsilon Pi)  ")</f>
        <v>House 21 (Alpha Epsilon Pi)  </v>
      </c>
      <c r="M538" s="64" t="str">
        <f>IFERROR(__xludf.DUMMYFUNCTION("""COMPUTED_VALUE"""),"1043")</f>
        <v>1043</v>
      </c>
      <c r="N538" s="61"/>
      <c r="O538" s="61" t="b">
        <f>COUNTIF('Delivered Rentals'!A:A, B538) &gt; 0</f>
        <v>1</v>
      </c>
      <c r="P538" s="101" t="str">
        <f>IFERROR(__xludf.DUMMYFUNCTION("""COMPUTED_VALUE""")," ")</f>
        <v> </v>
      </c>
    </row>
    <row r="539">
      <c r="A539" s="102" t="str">
        <f>IFERROR(__xludf.DUMMYFUNCTION("""COMPUTED_VALUE"""),"https://utrucking.com/admin/orders/5950631248060")</f>
        <v>https://utrucking.com/admin/orders/5950631248060</v>
      </c>
      <c r="B539" s="65" t="str">
        <f>IFERROR(__xludf.DUMMYFUNCTION("""COMPUTED_VALUE"""),"#16492")</f>
        <v>#16492</v>
      </c>
      <c r="C539" s="65"/>
      <c r="D539" s="65">
        <f>IFERROR(__xludf.DUMMYFUNCTION("""COMPUTED_VALUE"""),6.099175113E9)</f>
        <v>6099175113</v>
      </c>
      <c r="E539" s="65" t="str">
        <f>IFERROR(__xludf.DUMMYFUNCTION("""COMPUTED_VALUE"""),"Lauren Poprik")</f>
        <v>Lauren Poprik</v>
      </c>
      <c r="F539" s="65" t="str">
        <f>IFERROR(__xludf.DUMMYFUNCTION("""COMPUTED_VALUE"""),"Lauren Poprik")</f>
        <v>Lauren Poprik</v>
      </c>
      <c r="G539" s="65"/>
      <c r="H539" s="65" t="str">
        <f>IFERROR(__xludf.DUMMYFUNCTION("""COMPUTED_VALUE"""),"Appliance Rental")</f>
        <v>Appliance Rental</v>
      </c>
      <c r="I539" s="65" t="str">
        <f>IFERROR(__xludf.DUMMYFUNCTION("""COMPUTED_VALUE""")," Double-Door Mini Fridge   - ")</f>
        <v> Double-Door Mini Fridge   - </v>
      </c>
      <c r="J539" s="65">
        <f>IFERROR(__xludf.DUMMYFUNCTION("""COMPUTED_VALUE"""),145.0)</f>
        <v>145</v>
      </c>
      <c r="K539" s="103">
        <f>IFERROR(__xludf.DUMMYFUNCTION("""COMPUTED_VALUE"""),45894.0)</f>
        <v>45894</v>
      </c>
      <c r="L539" s="65" t="str">
        <f>IFERROR(__xludf.DUMMYFUNCTION("""COMPUTED_VALUE"""),"Lopata  ")</f>
        <v>Lopata  </v>
      </c>
      <c r="M539" s="68" t="str">
        <f>IFERROR(__xludf.DUMMYFUNCTION("""COMPUTED_VALUE"""),"3072")</f>
        <v>3072</v>
      </c>
      <c r="N539" s="65"/>
      <c r="O539" s="65" t="b">
        <f>COUNTIF('Delivered Rentals'!A:A, B539) &gt; 0</f>
        <v>1</v>
      </c>
      <c r="P539" s="104" t="str">
        <f>IFERROR(__xludf.DUMMYFUNCTION("""COMPUTED_VALUE""")," ")</f>
        <v> </v>
      </c>
    </row>
    <row r="540">
      <c r="A540" s="99" t="str">
        <f>IFERROR(__xludf.DUMMYFUNCTION("""COMPUTED_VALUE"""),"https://utrucking.com/admin/orders/5951042879676")</f>
        <v>https://utrucking.com/admin/orders/5951042879676</v>
      </c>
      <c r="B540" s="61" t="str">
        <f>IFERROR(__xludf.DUMMYFUNCTION("""COMPUTED_VALUE"""),"#16495")</f>
        <v>#16495</v>
      </c>
      <c r="C540" s="61" t="str">
        <f>IFERROR(__xludf.DUMMYFUNCTION("""COMPUTED_VALUE"""),"sarasteinmetz2016@gmail.com")</f>
        <v>sarasteinmetz2016@gmail.com</v>
      </c>
      <c r="D540" s="61">
        <f>IFERROR(__xludf.DUMMYFUNCTION("""COMPUTED_VALUE"""),8.163772509E9)</f>
        <v>8163772509</v>
      </c>
      <c r="E540" s="61" t="str">
        <f>IFERROR(__xludf.DUMMYFUNCTION("""COMPUTED_VALUE"""),"Sara Steinmetz")</f>
        <v>Sara Steinmetz</v>
      </c>
      <c r="F540" s="61" t="str">
        <f>IFERROR(__xludf.DUMMYFUNCTION("""COMPUTED_VALUE"""),"Sara Steinmetz")</f>
        <v>Sara Steinmetz</v>
      </c>
      <c r="G540" s="61"/>
      <c r="H540" s="61" t="str">
        <f>IFERROR(__xludf.DUMMYFUNCTION("""COMPUTED_VALUE"""),"Appliance Rental")</f>
        <v>Appliance Rental</v>
      </c>
      <c r="I540" s="61" t="str">
        <f>IFERROR(__xludf.DUMMYFUNCTION("""COMPUTED_VALUE""")," Double-Door Mini Fridge   - ")</f>
        <v> Double-Door Mini Fridge   - </v>
      </c>
      <c r="J540" s="61">
        <f>IFERROR(__xludf.DUMMYFUNCTION("""COMPUTED_VALUE"""),145.0)</f>
        <v>145</v>
      </c>
      <c r="K540" s="100">
        <f>IFERROR(__xludf.DUMMYFUNCTION("""COMPUTED_VALUE"""),45888.0)</f>
        <v>45888</v>
      </c>
      <c r="L540" s="61" t="str">
        <f>IFERROR(__xludf.DUMMYFUNCTION("""COMPUTED_VALUE"""),"Shepley  ")</f>
        <v>Shepley  </v>
      </c>
      <c r="M540" s="64" t="str">
        <f>IFERROR(__xludf.DUMMYFUNCTION("""COMPUTED_VALUE"""),"3084")</f>
        <v>3084</v>
      </c>
      <c r="N540" s="61"/>
      <c r="O540" s="61" t="b">
        <f>COUNTIF('Delivered Rentals'!A:A, B540) &gt; 0</f>
        <v>1</v>
      </c>
      <c r="P540" s="101" t="str">
        <f>IFERROR(__xludf.DUMMYFUNCTION("""COMPUTED_VALUE""")," ")</f>
        <v> </v>
      </c>
    </row>
    <row r="541">
      <c r="A541" s="102" t="str">
        <f>IFERROR(__xludf.DUMMYFUNCTION("""COMPUTED_VALUE"""),"https://utrucking.com/admin/orders/5951084560572")</f>
        <v>https://utrucking.com/admin/orders/5951084560572</v>
      </c>
      <c r="B541" s="65" t="str">
        <f>IFERROR(__xludf.DUMMYFUNCTION("""COMPUTED_VALUE"""),"#16496")</f>
        <v>#16496</v>
      </c>
      <c r="C541" s="65" t="str">
        <f>IFERROR(__xludf.DUMMYFUNCTION("""COMPUTED_VALUE"""),"g.herzlinger@wustl.edu")</f>
        <v>g.herzlinger@wustl.edu</v>
      </c>
      <c r="D541" s="65">
        <f>IFERROR(__xludf.DUMMYFUNCTION("""COMPUTED_VALUE"""),9.179308115E9)</f>
        <v>9179308115</v>
      </c>
      <c r="E541" s="65" t="str">
        <f>IFERROR(__xludf.DUMMYFUNCTION("""COMPUTED_VALUE"""),"Ronald HERZLINGER")</f>
        <v>Ronald HERZLINGER</v>
      </c>
      <c r="F541" s="65" t="str">
        <f>IFERROR(__xludf.DUMMYFUNCTION("""COMPUTED_VALUE"""),"Gabriel herzlinger")</f>
        <v>Gabriel herzlinger</v>
      </c>
      <c r="G541" s="65"/>
      <c r="H541" s="65" t="str">
        <f>IFERROR(__xludf.DUMMYFUNCTION("""COMPUTED_VALUE"""),"Appliance Rental")</f>
        <v>Appliance Rental</v>
      </c>
      <c r="I541" s="65" t="str">
        <f>IFERROR(__xludf.DUMMYFUNCTION("""COMPUTED_VALUE""")," Double-Door Mini Fridge   - ")</f>
        <v> Double-Door Mini Fridge   - </v>
      </c>
      <c r="J541" s="65">
        <f>IFERROR(__xludf.DUMMYFUNCTION("""COMPUTED_VALUE"""),145.0)</f>
        <v>145</v>
      </c>
      <c r="K541" s="103">
        <f>IFERROR(__xludf.DUMMYFUNCTION("""COMPUTED_VALUE"""),45894.0)</f>
        <v>45894</v>
      </c>
      <c r="L541" s="65" t="str">
        <f>IFERROR(__xludf.DUMMYFUNCTION("""COMPUTED_VALUE"""),"Wheeler  ")</f>
        <v>Wheeler  </v>
      </c>
      <c r="M541" s="68" t="str">
        <f>IFERROR(__xludf.DUMMYFUNCTION("""COMPUTED_VALUE"""),"1050")</f>
        <v>1050</v>
      </c>
      <c r="N541" s="65"/>
      <c r="O541" s="65" t="b">
        <f>COUNTIF('Delivered Rentals'!A:A, B541) &gt; 0</f>
        <v>1</v>
      </c>
      <c r="P541" s="104" t="str">
        <f>IFERROR(__xludf.DUMMYFUNCTION("""COMPUTED_VALUE""")," ")</f>
        <v> </v>
      </c>
    </row>
    <row r="542">
      <c r="A542" s="99" t="str">
        <f>IFERROR(__xludf.DUMMYFUNCTION("""COMPUTED_VALUE"""),"https://utrucking.com/admin/orders/5951168544956")</f>
        <v>https://utrucking.com/admin/orders/5951168544956</v>
      </c>
      <c r="B542" s="61" t="str">
        <f>IFERROR(__xludf.DUMMYFUNCTION("""COMPUTED_VALUE"""),"#16497")</f>
        <v>#16497</v>
      </c>
      <c r="C542" s="61"/>
      <c r="D542" s="61">
        <f>IFERROR(__xludf.DUMMYFUNCTION("""COMPUTED_VALUE"""),5.616351769E9)</f>
        <v>5616351769</v>
      </c>
      <c r="E542" s="61" t="str">
        <f>IFERROR(__xludf.DUMMYFUNCTION("""COMPUTED_VALUE"""),"Elizabeth Mohanty")</f>
        <v>Elizabeth Mohanty</v>
      </c>
      <c r="F542" s="61" t="str">
        <f>IFERROR(__xludf.DUMMYFUNCTION("""COMPUTED_VALUE"""),"Maya Mohanty")</f>
        <v>Maya Mohanty</v>
      </c>
      <c r="G542" s="61"/>
      <c r="H542" s="61" t="str">
        <f>IFERROR(__xludf.DUMMYFUNCTION("""COMPUTED_VALUE"""),"Appliance Rental")</f>
        <v>Appliance Rental</v>
      </c>
      <c r="I542" s="61" t="str">
        <f>IFERROR(__xludf.DUMMYFUNCTION("""COMPUTED_VALUE""")," Standard Mini Fridge   - ")</f>
        <v> Standard Mini Fridge   - </v>
      </c>
      <c r="J542" s="61">
        <f>IFERROR(__xludf.DUMMYFUNCTION("""COMPUTED_VALUE"""),115.0)</f>
        <v>115</v>
      </c>
      <c r="K542" s="100">
        <f>IFERROR(__xludf.DUMMYFUNCTION("""COMPUTED_VALUE"""),45894.0)</f>
        <v>45894</v>
      </c>
      <c r="L542" s="61" t="str">
        <f>IFERROR(__xludf.DUMMYFUNCTION("""COMPUTED_VALUE"""),"Mudd  ")</f>
        <v>Mudd  </v>
      </c>
      <c r="M542" s="64" t="str">
        <f>IFERROR(__xludf.DUMMYFUNCTION("""COMPUTED_VALUE"""),"210")</f>
        <v>210</v>
      </c>
      <c r="N542" s="61"/>
      <c r="O542" s="61" t="b">
        <f>COUNTIF('Delivered Rentals'!A:A, B542) &gt; 0</f>
        <v>1</v>
      </c>
      <c r="P542" s="101" t="str">
        <f>IFERROR(__xludf.DUMMYFUNCTION("""COMPUTED_VALUE""")," ")</f>
        <v> </v>
      </c>
    </row>
    <row r="543">
      <c r="A543" s="102" t="str">
        <f>IFERROR(__xludf.DUMMYFUNCTION("""COMPUTED_VALUE"""),"https://utrucking.com/admin/orders/5951213797564")</f>
        <v>https://utrucking.com/admin/orders/5951213797564</v>
      </c>
      <c r="B543" s="65" t="str">
        <f>IFERROR(__xludf.DUMMYFUNCTION("""COMPUTED_VALUE"""),"#16498")</f>
        <v>#16498</v>
      </c>
      <c r="C543" s="65" t="str">
        <f>IFERROR(__xludf.DUMMYFUNCTION("""COMPUTED_VALUE"""),"jenrussellpdx@gmail.com")</f>
        <v>jenrussellpdx@gmail.com</v>
      </c>
      <c r="D543" s="65">
        <f>IFERROR(__xludf.DUMMYFUNCTION("""COMPUTED_VALUE"""),5.033604485E9)</f>
        <v>5033604485</v>
      </c>
      <c r="E543" s="65" t="str">
        <f>IFERROR(__xludf.DUMMYFUNCTION("""COMPUTED_VALUE"""),"Jen Russell")</f>
        <v>Jen Russell</v>
      </c>
      <c r="F543" s="65" t="str">
        <f>IFERROR(__xludf.DUMMYFUNCTION("""COMPUTED_VALUE"""),"Ava Russell")</f>
        <v>Ava Russell</v>
      </c>
      <c r="G543" s="65"/>
      <c r="H543" s="65" t="str">
        <f>IFERROR(__xludf.DUMMYFUNCTION("""COMPUTED_VALUE"""),"Appliance Rental")</f>
        <v>Appliance Rental</v>
      </c>
      <c r="I543" s="65" t="str">
        <f>IFERROR(__xludf.DUMMYFUNCTION("""COMPUTED_VALUE""")," Double-Door Mini Fridge + Microwave   - ")</f>
        <v> Double-Door Mini Fridge + Microwave   - </v>
      </c>
      <c r="J543" s="65">
        <f>IFERROR(__xludf.DUMMYFUNCTION("""COMPUTED_VALUE"""),210.0)</f>
        <v>210</v>
      </c>
      <c r="K543" s="103">
        <f>IFERROR(__xludf.DUMMYFUNCTION("""COMPUTED_VALUE"""),45894.0)</f>
        <v>45894</v>
      </c>
      <c r="L543" s="65" t="str">
        <f>IFERROR(__xludf.DUMMYFUNCTION("""COMPUTED_VALUE"""),"House 7 ")</f>
        <v>House 7 </v>
      </c>
      <c r="M543" s="68" t="str">
        <f>IFERROR(__xludf.DUMMYFUNCTION("""COMPUTED_VALUE"""),"306")</f>
        <v>306</v>
      </c>
      <c r="N543" s="65"/>
      <c r="O543" s="65" t="b">
        <f>COUNTIF('Delivered Rentals'!A:A, B543) &gt; 0</f>
        <v>1</v>
      </c>
      <c r="P543" s="104" t="str">
        <f>IFERROR(__xludf.DUMMYFUNCTION("""COMPUTED_VALUE""")," ")</f>
        <v> </v>
      </c>
    </row>
    <row r="544">
      <c r="A544" s="99" t="str">
        <f>IFERROR(__xludf.DUMMYFUNCTION("""COMPUTED_VALUE"""),"https://utrucking.com/admin/orders/5951343886524")</f>
        <v>https://utrucking.com/admin/orders/5951343886524</v>
      </c>
      <c r="B544" s="61" t="str">
        <f>IFERROR(__xludf.DUMMYFUNCTION("""COMPUTED_VALUE"""),"#16500")</f>
        <v>#16500</v>
      </c>
      <c r="C544" s="61"/>
      <c r="D544" s="61">
        <f>IFERROR(__xludf.DUMMYFUNCTION("""COMPUTED_VALUE"""),8.472263131E9)</f>
        <v>8472263131</v>
      </c>
      <c r="E544" s="61" t="str">
        <f>IFERROR(__xludf.DUMMYFUNCTION("""COMPUTED_VALUE"""),"Lisa Carnes")</f>
        <v>Lisa Carnes</v>
      </c>
      <c r="F544" s="61" t="str">
        <f>IFERROR(__xludf.DUMMYFUNCTION("""COMPUTED_VALUE"""),"David Carnes")</f>
        <v>David Carnes</v>
      </c>
      <c r="G544" s="61"/>
      <c r="H544" s="61" t="str">
        <f>IFERROR(__xludf.DUMMYFUNCTION("""COMPUTED_VALUE"""),"Appliance Rental")</f>
        <v>Appliance Rental</v>
      </c>
      <c r="I544" s="61" t="str">
        <f>IFERROR(__xludf.DUMMYFUNCTION("""COMPUTED_VALUE""")," Standard Mini Fridge   - ")</f>
        <v> Standard Mini Fridge   - </v>
      </c>
      <c r="J544" s="61">
        <f>IFERROR(__xludf.DUMMYFUNCTION("""COMPUTED_VALUE"""),115.0)</f>
        <v>115</v>
      </c>
      <c r="K544" s="100">
        <f>IFERROR(__xludf.DUMMYFUNCTION("""COMPUTED_VALUE"""),45894.0)</f>
        <v>45894</v>
      </c>
      <c r="L544" s="61" t="str">
        <f>IFERROR(__xludf.DUMMYFUNCTION("""COMPUTED_VALUE"""),"Village House  ")</f>
        <v>Village House  </v>
      </c>
      <c r="M544" s="64" t="str">
        <f>IFERROR(__xludf.DUMMYFUNCTION("""COMPUTED_VALUE"""),"2073")</f>
        <v>2073</v>
      </c>
      <c r="N544" s="61"/>
      <c r="O544" s="61" t="b">
        <f>COUNTIF('Delivered Rentals'!A:A, B544) &gt; 0</f>
        <v>1</v>
      </c>
      <c r="P544" s="101" t="str">
        <f>IFERROR(__xludf.DUMMYFUNCTION("""COMPUTED_VALUE""")," ")</f>
        <v> </v>
      </c>
    </row>
    <row r="545">
      <c r="A545" s="102" t="str">
        <f>IFERROR(__xludf.DUMMYFUNCTION("""COMPUTED_VALUE"""),"https://utrucking.com/admin/orders/5951402508476")</f>
        <v>https://utrucking.com/admin/orders/5951402508476</v>
      </c>
      <c r="B545" s="65" t="str">
        <f>IFERROR(__xludf.DUMMYFUNCTION("""COMPUTED_VALUE"""),"#16501")</f>
        <v>#16501</v>
      </c>
      <c r="C545" s="65"/>
      <c r="D545" s="65">
        <f>IFERROR(__xludf.DUMMYFUNCTION("""COMPUTED_VALUE"""),8.588228804E9)</f>
        <v>8588228804</v>
      </c>
      <c r="E545" s="65" t="str">
        <f>IFERROR(__xludf.DUMMYFUNCTION("""COMPUTED_VALUE"""),"Lucas Olmeta")</f>
        <v>Lucas Olmeta</v>
      </c>
      <c r="F545" s="65" t="str">
        <f>IFERROR(__xludf.DUMMYFUNCTION("""COMPUTED_VALUE"""),"Lucas Olmeta")</f>
        <v>Lucas Olmeta</v>
      </c>
      <c r="G545" s="65"/>
      <c r="H545" s="65" t="str">
        <f>IFERROR(__xludf.DUMMYFUNCTION("""COMPUTED_VALUE"""),"Appliance Rental")</f>
        <v>Appliance Rental</v>
      </c>
      <c r="I545" s="65" t="str">
        <f>IFERROR(__xludf.DUMMYFUNCTION("""COMPUTED_VALUE""")," Standard Mini Fridge   - ")</f>
        <v> Standard Mini Fridge   - </v>
      </c>
      <c r="J545" s="65">
        <f>IFERROR(__xludf.DUMMYFUNCTION("""COMPUTED_VALUE"""),115.0)</f>
        <v>115</v>
      </c>
      <c r="K545" s="103">
        <f>IFERROR(__xludf.DUMMYFUNCTION("""COMPUTED_VALUE"""),45894.0)</f>
        <v>45894</v>
      </c>
      <c r="L545" s="65" t="str">
        <f>IFERROR(__xludf.DUMMYFUNCTION("""COMPUTED_VALUE"""),"Liggett  ")</f>
        <v>Liggett  </v>
      </c>
      <c r="M545" s="68" t="str">
        <f>IFERROR(__xludf.DUMMYFUNCTION("""COMPUTED_VALUE"""),"2283")</f>
        <v>2283</v>
      </c>
      <c r="N545" s="65"/>
      <c r="O545" s="65" t="b">
        <f>COUNTIF('Delivered Rentals'!A:A, B545) &gt; 0</f>
        <v>1</v>
      </c>
      <c r="P545" s="104" t="str">
        <f>IFERROR(__xludf.DUMMYFUNCTION("""COMPUTED_VALUE""")," ")</f>
        <v> </v>
      </c>
    </row>
    <row r="546">
      <c r="A546" s="99" t="str">
        <f>IFERROR(__xludf.DUMMYFUNCTION("""COMPUTED_VALUE"""),"https://utrucking.com/admin/orders/5951412732092")</f>
        <v>https://utrucking.com/admin/orders/5951412732092</v>
      </c>
      <c r="B546" s="61" t="str">
        <f>IFERROR(__xludf.DUMMYFUNCTION("""COMPUTED_VALUE"""),"#16502")</f>
        <v>#16502</v>
      </c>
      <c r="C546" s="61" t="str">
        <f>IFERROR(__xludf.DUMMYFUNCTION("""COMPUTED_VALUE"""),"tarun.eswar15@gmail.com")</f>
        <v>tarun.eswar15@gmail.com</v>
      </c>
      <c r="D546" s="61">
        <f>IFERROR(__xludf.DUMMYFUNCTION("""COMPUTED_VALUE"""),9.783944861E9)</f>
        <v>9783944861</v>
      </c>
      <c r="E546" s="61" t="str">
        <f>IFERROR(__xludf.DUMMYFUNCTION("""COMPUTED_VALUE"""),"Eswar Subramanian")</f>
        <v>Eswar Subramanian</v>
      </c>
      <c r="F546" s="61" t="str">
        <f>IFERROR(__xludf.DUMMYFUNCTION("""COMPUTED_VALUE"""),"Tarun Eswar")</f>
        <v>Tarun Eswar</v>
      </c>
      <c r="G546" s="61"/>
      <c r="H546" s="61" t="str">
        <f>IFERROR(__xludf.DUMMYFUNCTION("""COMPUTED_VALUE"""),"Appliance Rental")</f>
        <v>Appliance Rental</v>
      </c>
      <c r="I546" s="61" t="str">
        <f>IFERROR(__xludf.DUMMYFUNCTION("""COMPUTED_VALUE""")," Double-Door Mini Fridge   - ")</f>
        <v> Double-Door Mini Fridge   - </v>
      </c>
      <c r="J546" s="61">
        <f>IFERROR(__xludf.DUMMYFUNCTION("""COMPUTED_VALUE"""),145.0)</f>
        <v>145</v>
      </c>
      <c r="K546" s="100">
        <f>IFERROR(__xludf.DUMMYFUNCTION("""COMPUTED_VALUE"""),45894.0)</f>
        <v>45894</v>
      </c>
      <c r="L546" s="61" t="str">
        <f>IFERROR(__xludf.DUMMYFUNCTION("""COMPUTED_VALUE"""),"Zetcher  ")</f>
        <v>Zetcher  </v>
      </c>
      <c r="M546" s="64" t="str">
        <f>IFERROR(__xludf.DUMMYFUNCTION("""COMPUTED_VALUE"""),"4200")</f>
        <v>4200</v>
      </c>
      <c r="N546" s="61"/>
      <c r="O546" s="61" t="b">
        <f>COUNTIF('Delivered Rentals'!A:A, B546) &gt; 0</f>
        <v>1</v>
      </c>
      <c r="P546" s="101" t="str">
        <f>IFERROR(__xludf.DUMMYFUNCTION("""COMPUTED_VALUE""")," ")</f>
        <v> </v>
      </c>
    </row>
    <row r="547">
      <c r="A547" s="102" t="str">
        <f>IFERROR(__xludf.DUMMYFUNCTION("""COMPUTED_VALUE"""),"https://utrucking.com/admin/orders/5951817416892")</f>
        <v>https://utrucking.com/admin/orders/5951817416892</v>
      </c>
      <c r="B547" s="65" t="str">
        <f>IFERROR(__xludf.DUMMYFUNCTION("""COMPUTED_VALUE"""),"#16512")</f>
        <v>#16512</v>
      </c>
      <c r="C547" s="65" t="str">
        <f>IFERROR(__xludf.DUMMYFUNCTION("""COMPUTED_VALUE"""),"a.m.raboy@wustl.edu")</f>
        <v>a.m.raboy@wustl.edu</v>
      </c>
      <c r="D547" s="65">
        <f>IFERROR(__xludf.DUMMYFUNCTION("""COMPUTED_VALUE"""),7.183085618E9)</f>
        <v>7183085618</v>
      </c>
      <c r="E547" s="65" t="str">
        <f>IFERROR(__xludf.DUMMYFUNCTION("""COMPUTED_VALUE"""),"Douglas Raboy")</f>
        <v>Douglas Raboy</v>
      </c>
      <c r="F547" s="65" t="str">
        <f>IFERROR(__xludf.DUMMYFUNCTION("""COMPUTED_VALUE"""),"Asher Raboy")</f>
        <v>Asher Raboy</v>
      </c>
      <c r="G547" s="65"/>
      <c r="H547" s="65" t="str">
        <f>IFERROR(__xludf.DUMMYFUNCTION("""COMPUTED_VALUE"""),"Appliance Rental")</f>
        <v>Appliance Rental</v>
      </c>
      <c r="I547" s="65" t="str">
        <f>IFERROR(__xludf.DUMMYFUNCTION("""COMPUTED_VALUE""")," Double-Door Mini Fridge   - ")</f>
        <v> Double-Door Mini Fridge   - </v>
      </c>
      <c r="J547" s="65">
        <f>IFERROR(__xludf.DUMMYFUNCTION("""COMPUTED_VALUE"""),145.0)</f>
        <v>145</v>
      </c>
      <c r="K547" s="103">
        <f>IFERROR(__xludf.DUMMYFUNCTION("""COMPUTED_VALUE"""),45894.0)</f>
        <v>45894</v>
      </c>
      <c r="L547" s="65" t="str">
        <f>IFERROR(__xludf.DUMMYFUNCTION("""COMPUTED_VALUE"""),"House 22 (Beta Theta Pi)")</f>
        <v>House 22 (Beta Theta Pi)</v>
      </c>
      <c r="M547" s="68" t="str">
        <f>IFERROR(__xludf.DUMMYFUNCTION("""COMPUTED_VALUE"""),"2001")</f>
        <v>2001</v>
      </c>
      <c r="N547" s="65"/>
      <c r="O547" s="65" t="b">
        <f>COUNTIF('Delivered Rentals'!A:A, B547) &gt; 0</f>
        <v>1</v>
      </c>
      <c r="P547" s="104" t="str">
        <f>IFERROR(__xludf.DUMMYFUNCTION("""COMPUTED_VALUE""")," ")</f>
        <v> </v>
      </c>
    </row>
    <row r="548">
      <c r="A548" s="99" t="str">
        <f>IFERROR(__xludf.DUMMYFUNCTION("""COMPUTED_VALUE"""),"https://utrucking.com/admin/orders/5951823544508")</f>
        <v>https://utrucking.com/admin/orders/5951823544508</v>
      </c>
      <c r="B548" s="61" t="str">
        <f>IFERROR(__xludf.DUMMYFUNCTION("""COMPUTED_VALUE"""),"#16513")</f>
        <v>#16513</v>
      </c>
      <c r="C548" s="61" t="str">
        <f>IFERROR(__xludf.DUMMYFUNCTION("""COMPUTED_VALUE"""),"chao.n.m@wustl.edu")</f>
        <v>chao.n.m@wustl.edu</v>
      </c>
      <c r="D548" s="61">
        <f>IFERROR(__xludf.DUMMYFUNCTION("""COMPUTED_VALUE"""),4.159488426E9)</f>
        <v>4159488426</v>
      </c>
      <c r="E548" s="61" t="str">
        <f>IFERROR(__xludf.DUMMYFUNCTION("""COMPUTED_VALUE"""),"Lynne Lee")</f>
        <v>Lynne Lee</v>
      </c>
      <c r="F548" s="61" t="str">
        <f>IFERROR(__xludf.DUMMYFUNCTION("""COMPUTED_VALUE"""),"Naomi Chao")</f>
        <v>Naomi Chao</v>
      </c>
      <c r="G548" s="61"/>
      <c r="H548" s="61" t="str">
        <f>IFERROR(__xludf.DUMMYFUNCTION("""COMPUTED_VALUE"""),"Appliance Rental")</f>
        <v>Appliance Rental</v>
      </c>
      <c r="I548" s="61" t="str">
        <f>IFERROR(__xludf.DUMMYFUNCTION("""COMPUTED_VALUE""")," Double-Door Mini Fridge   - ")</f>
        <v> Double-Door Mini Fridge   - </v>
      </c>
      <c r="J548" s="61">
        <f>IFERROR(__xludf.DUMMYFUNCTION("""COMPUTED_VALUE"""),145.0)</f>
        <v>145</v>
      </c>
      <c r="K548" s="100">
        <f>IFERROR(__xludf.DUMMYFUNCTION("""COMPUTED_VALUE"""),45894.0)</f>
        <v>45894</v>
      </c>
      <c r="L548" s="61" t="str">
        <f>IFERROR(__xludf.DUMMYFUNCTION("""COMPUTED_VALUE"""),"Mudd  ")</f>
        <v>Mudd  </v>
      </c>
      <c r="M548" s="64" t="str">
        <f>IFERROR(__xludf.DUMMYFUNCTION("""COMPUTED_VALUE"""),"152-a")</f>
        <v>152-a</v>
      </c>
      <c r="N548" s="61"/>
      <c r="O548" s="61" t="b">
        <f>COUNTIF('Delivered Rentals'!A:A, B548) &gt; 0</f>
        <v>1</v>
      </c>
      <c r="P548" s="101" t="str">
        <f>IFERROR(__xludf.DUMMYFUNCTION("""COMPUTED_VALUE""")," ")</f>
        <v> </v>
      </c>
    </row>
    <row r="549">
      <c r="A549" s="102" t="str">
        <f>IFERROR(__xludf.DUMMYFUNCTION("""COMPUTED_VALUE"""),"https://utrucking.com/admin/orders/5951824068796")</f>
        <v>https://utrucking.com/admin/orders/5951824068796</v>
      </c>
      <c r="B549" s="65" t="str">
        <f>IFERROR(__xludf.DUMMYFUNCTION("""COMPUTED_VALUE"""),"#16514")</f>
        <v>#16514</v>
      </c>
      <c r="C549" s="65"/>
      <c r="D549" s="65">
        <f>IFERROR(__xludf.DUMMYFUNCTION("""COMPUTED_VALUE"""),4.425150724E9)</f>
        <v>4425150724</v>
      </c>
      <c r="E549" s="65" t="str">
        <f>IFERROR(__xludf.DUMMYFUNCTION("""COMPUTED_VALUE"""),"Wyatt Ogle")</f>
        <v>Wyatt Ogle</v>
      </c>
      <c r="F549" s="65" t="str">
        <f>IFERROR(__xludf.DUMMYFUNCTION("""COMPUTED_VALUE"""),"Wyatt Ogle")</f>
        <v>Wyatt Ogle</v>
      </c>
      <c r="G549" s="65"/>
      <c r="H549" s="65" t="str">
        <f>IFERROR(__xludf.DUMMYFUNCTION("""COMPUTED_VALUE"""),"Appliance Rental")</f>
        <v>Appliance Rental</v>
      </c>
      <c r="I549" s="65" t="str">
        <f>IFERROR(__xludf.DUMMYFUNCTION("""COMPUTED_VALUE""")," Double-Door Mini Fridge   - ")</f>
        <v> Double-Door Mini Fridge   - </v>
      </c>
      <c r="J549" s="65">
        <f>IFERROR(__xludf.DUMMYFUNCTION("""COMPUTED_VALUE"""),145.0)</f>
        <v>145</v>
      </c>
      <c r="K549" s="103">
        <f>IFERROR(__xludf.DUMMYFUNCTION("""COMPUTED_VALUE"""),45894.0)</f>
        <v>45894</v>
      </c>
      <c r="L549" s="65" t="str">
        <f>IFERROR(__xludf.DUMMYFUNCTION("""COMPUTED_VALUE"""),"House 6 (Sigma Alpha Epsilon)  ")</f>
        <v>House 6 (Sigma Alpha Epsilon)  </v>
      </c>
      <c r="M549" s="68" t="str">
        <f>IFERROR(__xludf.DUMMYFUNCTION("""COMPUTED_VALUE"""),"304")</f>
        <v>304</v>
      </c>
      <c r="N549" s="65"/>
      <c r="O549" s="65" t="b">
        <f>COUNTIF('Delivered Rentals'!A:A, B549) &gt; 0</f>
        <v>1</v>
      </c>
      <c r="P549" s="104" t="str">
        <f>IFERROR(__xludf.DUMMYFUNCTION("""COMPUTED_VALUE""")," ")</f>
        <v> </v>
      </c>
    </row>
    <row r="550">
      <c r="A550" s="99" t="str">
        <f>IFERROR(__xludf.DUMMYFUNCTION("""COMPUTED_VALUE"""),"https://utrucking.com/admin/orders/5951841042620")</f>
        <v>https://utrucking.com/admin/orders/5951841042620</v>
      </c>
      <c r="B550" s="61" t="str">
        <f>IFERROR(__xludf.DUMMYFUNCTION("""COMPUTED_VALUE"""),"#16515")</f>
        <v>#16515</v>
      </c>
      <c r="C550" s="61" t="str">
        <f>IFERROR(__xludf.DUMMYFUNCTION("""COMPUTED_VALUE"""),"shannon2corey@yahoo.com")</f>
        <v>shannon2corey@yahoo.com</v>
      </c>
      <c r="D550" s="61">
        <f>IFERROR(__xludf.DUMMYFUNCTION("""COMPUTED_VALUE"""),3.614430105E9)</f>
        <v>3614430105</v>
      </c>
      <c r="E550" s="61" t="str">
        <f>IFERROR(__xludf.DUMMYFUNCTION("""COMPUTED_VALUE"""),"Shannon Corey")</f>
        <v>Shannon Corey</v>
      </c>
      <c r="F550" s="61" t="str">
        <f>IFERROR(__xludf.DUMMYFUNCTION("""COMPUTED_VALUE"""),"Ian Corey")</f>
        <v>Ian Corey</v>
      </c>
      <c r="G550" s="61"/>
      <c r="H550" s="61" t="str">
        <f>IFERROR(__xludf.DUMMYFUNCTION("""COMPUTED_VALUE"""),"Appliance Rental")</f>
        <v>Appliance Rental</v>
      </c>
      <c r="I550" s="61" t="str">
        <f>IFERROR(__xludf.DUMMYFUNCTION("""COMPUTED_VALUE""")," Double-Door Mini Fridge   - ")</f>
        <v> Double-Door Mini Fridge   - </v>
      </c>
      <c r="J550" s="61">
        <f>IFERROR(__xludf.DUMMYFUNCTION("""COMPUTED_VALUE"""),145.0)</f>
        <v>145</v>
      </c>
      <c r="K550" s="100">
        <f>IFERROR(__xludf.DUMMYFUNCTION("""COMPUTED_VALUE"""),45894.0)</f>
        <v>45894</v>
      </c>
      <c r="L550" s="61" t="str">
        <f>IFERROR(__xludf.DUMMYFUNCTION("""COMPUTED_VALUE"""),"Lee  ")</f>
        <v>Lee  </v>
      </c>
      <c r="M550" s="64" t="str">
        <f>IFERROR(__xludf.DUMMYFUNCTION("""COMPUTED_VALUE"""),"201")</f>
        <v>201</v>
      </c>
      <c r="N550" s="61"/>
      <c r="O550" s="61" t="b">
        <f>COUNTIF('Delivered Rentals'!A:A, B550) &gt; 0</f>
        <v>1</v>
      </c>
      <c r="P550" s="101" t="str">
        <f>IFERROR(__xludf.DUMMYFUNCTION("""COMPUTED_VALUE""")," ")</f>
        <v> </v>
      </c>
    </row>
    <row r="551">
      <c r="A551" s="102" t="str">
        <f>IFERROR(__xludf.DUMMYFUNCTION("""COMPUTED_VALUE"""),"https://utrucking.com/admin/orders/5952766345404")</f>
        <v>https://utrucking.com/admin/orders/5952766345404</v>
      </c>
      <c r="B551" s="65" t="str">
        <f>IFERROR(__xludf.DUMMYFUNCTION("""COMPUTED_VALUE"""),"#16520")</f>
        <v>#16520</v>
      </c>
      <c r="C551" s="65" t="str">
        <f>IFERROR(__xludf.DUMMYFUNCTION("""COMPUTED_VALUE"""),"e.s.palmer@wustl.edu")</f>
        <v>e.s.palmer@wustl.edu</v>
      </c>
      <c r="D551" s="65">
        <f>IFERROR(__xludf.DUMMYFUNCTION("""COMPUTED_VALUE"""),7.817775096E9)</f>
        <v>7817775096</v>
      </c>
      <c r="E551" s="65" t="str">
        <f>IFERROR(__xludf.DUMMYFUNCTION("""COMPUTED_VALUE"""),"Samuel Palmer")</f>
        <v>Samuel Palmer</v>
      </c>
      <c r="F551" s="65" t="str">
        <f>IFERROR(__xludf.DUMMYFUNCTION("""COMPUTED_VALUE"""),"Eleanor Palmer")</f>
        <v>Eleanor Palmer</v>
      </c>
      <c r="G551" s="65"/>
      <c r="H551" s="65" t="str">
        <f>IFERROR(__xludf.DUMMYFUNCTION("""COMPUTED_VALUE"""),"Appliance Rental")</f>
        <v>Appliance Rental</v>
      </c>
      <c r="I551" s="65" t="str">
        <f>IFERROR(__xludf.DUMMYFUNCTION("""COMPUTED_VALUE""")," Double-Door Mini Fridge   - ")</f>
        <v> Double-Door Mini Fridge   - </v>
      </c>
      <c r="J551" s="65">
        <f>IFERROR(__xludf.DUMMYFUNCTION("""COMPUTED_VALUE"""),145.0)</f>
        <v>145</v>
      </c>
      <c r="K551" s="103">
        <f>IFERROR(__xludf.DUMMYFUNCTION("""COMPUTED_VALUE"""),45895.0)</f>
        <v>45895</v>
      </c>
      <c r="L551" s="65" t="str">
        <f>IFERROR(__xludf.DUMMYFUNCTION("""COMPUTED_VALUE"""),"Village House  ")</f>
        <v>Village House  </v>
      </c>
      <c r="M551" s="68" t="str">
        <f>IFERROR(__xludf.DUMMYFUNCTION("""COMPUTED_VALUE"""),"2081 - a")</f>
        <v>2081 - a</v>
      </c>
      <c r="N551" s="65"/>
      <c r="O551" s="65" t="b">
        <f>COUNTIF('Delivered Rentals'!A:A, B551) &gt; 0</f>
        <v>1</v>
      </c>
      <c r="P551" s="104" t="str">
        <f>IFERROR(__xludf.DUMMYFUNCTION("""COMPUTED_VALUE""")," ")</f>
        <v> </v>
      </c>
    </row>
    <row r="552">
      <c r="A552" s="99" t="str">
        <f>IFERROR(__xludf.DUMMYFUNCTION("""COMPUTED_VALUE"""),"https://utrucking.com/admin/orders/5952777158844")</f>
        <v>https://utrucking.com/admin/orders/5952777158844</v>
      </c>
      <c r="B552" s="61" t="str">
        <f>IFERROR(__xludf.DUMMYFUNCTION("""COMPUTED_VALUE"""),"#16521")</f>
        <v>#16521</v>
      </c>
      <c r="C552" s="61" t="str">
        <f>IFERROR(__xludf.DUMMYFUNCTION("""COMPUTED_VALUE"""),"gibsonwerner@icloud.com")</f>
        <v>gibsonwerner@icloud.com</v>
      </c>
      <c r="D552" s="61">
        <f>IFERROR(__xludf.DUMMYFUNCTION("""COMPUTED_VALUE"""),8.174546178E9)</f>
        <v>8174546178</v>
      </c>
      <c r="E552" s="61" t="str">
        <f>IFERROR(__xludf.DUMMYFUNCTION("""COMPUTED_VALUE"""),"Gibson Werner")</f>
        <v>Gibson Werner</v>
      </c>
      <c r="F552" s="61" t="str">
        <f>IFERROR(__xludf.DUMMYFUNCTION("""COMPUTED_VALUE"""),"Gibson Werner")</f>
        <v>Gibson Werner</v>
      </c>
      <c r="G552" s="61"/>
      <c r="H552" s="61" t="str">
        <f>IFERROR(__xludf.DUMMYFUNCTION("""COMPUTED_VALUE"""),"Appliance Rental")</f>
        <v>Appliance Rental</v>
      </c>
      <c r="I552" s="61" t="str">
        <f>IFERROR(__xludf.DUMMYFUNCTION("""COMPUTED_VALUE""")," Double-Door Mini Fridge   - ")</f>
        <v> Double-Door Mini Fridge   - </v>
      </c>
      <c r="J552" s="61">
        <f>IFERROR(__xludf.DUMMYFUNCTION("""COMPUTED_VALUE"""),145.0)</f>
        <v>145</v>
      </c>
      <c r="K552" s="100">
        <f>IFERROR(__xludf.DUMMYFUNCTION("""COMPUTED_VALUE"""),45895.0)</f>
        <v>45895</v>
      </c>
      <c r="L552" s="61" t="str">
        <f>IFERROR(__xludf.DUMMYFUNCTION("""COMPUTED_VALUE"""),"Wheeler  ")</f>
        <v>Wheeler  </v>
      </c>
      <c r="M552" s="64" t="str">
        <f>IFERROR(__xludf.DUMMYFUNCTION("""COMPUTED_VALUE"""),"2022a")</f>
        <v>2022a</v>
      </c>
      <c r="N552" s="61"/>
      <c r="O552" s="61" t="b">
        <f>COUNTIF('Delivered Rentals'!A:A, B552) &gt; 0</f>
        <v>1</v>
      </c>
      <c r="P552" s="101" t="str">
        <f>IFERROR(__xludf.DUMMYFUNCTION("""COMPUTED_VALUE""")," ")</f>
        <v> </v>
      </c>
    </row>
    <row r="553">
      <c r="A553" s="102" t="str">
        <f>IFERROR(__xludf.DUMMYFUNCTION("""COMPUTED_VALUE"""),"https://utrucking.com/admin/orders/5953279983804")</f>
        <v>https://utrucking.com/admin/orders/5953279983804</v>
      </c>
      <c r="B553" s="65" t="str">
        <f>IFERROR(__xludf.DUMMYFUNCTION("""COMPUTED_VALUE"""),"#16523")</f>
        <v>#16523</v>
      </c>
      <c r="C553" s="65" t="str">
        <f>IFERROR(__xludf.DUMMYFUNCTION("""COMPUTED_VALUE"""),"zalbukerk@gmail.com")</f>
        <v>zalbukerk@gmail.com</v>
      </c>
      <c r="D553" s="65">
        <f>IFERROR(__xludf.DUMMYFUNCTION("""COMPUTED_VALUE"""),4.158199354E9)</f>
        <v>4158199354</v>
      </c>
      <c r="E553" s="65" t="str">
        <f>IFERROR(__xludf.DUMMYFUNCTION("""COMPUTED_VALUE"""),"Zoe Albukerk")</f>
        <v>Zoe Albukerk</v>
      </c>
      <c r="F553" s="65" t="str">
        <f>IFERROR(__xludf.DUMMYFUNCTION("""COMPUTED_VALUE"""),"Zoe Albukerk")</f>
        <v>Zoe Albukerk</v>
      </c>
      <c r="G553" s="65"/>
      <c r="H553" s="65" t="str">
        <f>IFERROR(__xludf.DUMMYFUNCTION("""COMPUTED_VALUE"""),"Appliance Rental")</f>
        <v>Appliance Rental</v>
      </c>
      <c r="I553" s="65" t="str">
        <f>IFERROR(__xludf.DUMMYFUNCTION("""COMPUTED_VALUE""")," Double-Door Mini Fridge + Microwave   - ")</f>
        <v> Double-Door Mini Fridge + Microwave   - </v>
      </c>
      <c r="J553" s="65">
        <f>IFERROR(__xludf.DUMMYFUNCTION("""COMPUTED_VALUE"""),210.0)</f>
        <v>210</v>
      </c>
      <c r="K553" s="103">
        <f>IFERROR(__xludf.DUMMYFUNCTION("""COMPUTED_VALUE"""),45895.0)</f>
        <v>45895</v>
      </c>
      <c r="L553" s="65" t="str">
        <f>IFERROR(__xludf.DUMMYFUNCTION("""COMPUTED_VALUE"""),"Shepley  ")</f>
        <v>Shepley  </v>
      </c>
      <c r="M553" s="68" t="str">
        <f>IFERROR(__xludf.DUMMYFUNCTION("""COMPUTED_VALUE"""),"2034")</f>
        <v>2034</v>
      </c>
      <c r="N553" s="65"/>
      <c r="O553" s="65" t="b">
        <f>COUNTIF('Delivered Rentals'!A:A, B553) &gt; 0</f>
        <v>1</v>
      </c>
      <c r="P553" s="104" t="str">
        <f>IFERROR(__xludf.DUMMYFUNCTION("""COMPUTED_VALUE""")," ")</f>
        <v> </v>
      </c>
    </row>
    <row r="554">
      <c r="A554" s="99" t="str">
        <f>IFERROR(__xludf.DUMMYFUNCTION("""COMPUTED_VALUE"""),"https://utrucking.com/admin/orders/5953717108924")</f>
        <v>https://utrucking.com/admin/orders/5953717108924</v>
      </c>
      <c r="B554" s="61" t="str">
        <f>IFERROR(__xludf.DUMMYFUNCTION("""COMPUTED_VALUE"""),"#16525")</f>
        <v>#16525</v>
      </c>
      <c r="C554" s="61" t="str">
        <f>IFERROR(__xludf.DUMMYFUNCTION("""COMPUTED_VALUE"""),"kristinliu25@gmail.com")</f>
        <v>kristinliu25@gmail.com</v>
      </c>
      <c r="D554" s="61">
        <f>IFERROR(__xludf.DUMMYFUNCTION("""COMPUTED_VALUE"""),4.698258771E9)</f>
        <v>4698258771</v>
      </c>
      <c r="E554" s="61" t="str">
        <f>IFERROR(__xludf.DUMMYFUNCTION("""COMPUTED_VALUE"""),"Kristin Liu")</f>
        <v>Kristin Liu</v>
      </c>
      <c r="F554" s="61" t="str">
        <f>IFERROR(__xludf.DUMMYFUNCTION("""COMPUTED_VALUE"""),"Kristin Liu")</f>
        <v>Kristin Liu</v>
      </c>
      <c r="G554" s="61"/>
      <c r="H554" s="61" t="str">
        <f>IFERROR(__xludf.DUMMYFUNCTION("""COMPUTED_VALUE"""),"Appliance Rental")</f>
        <v>Appliance Rental</v>
      </c>
      <c r="I554" s="61" t="str">
        <f>IFERROR(__xludf.DUMMYFUNCTION("""COMPUTED_VALUE""")," Double-Door Mini Fridge   - ")</f>
        <v> Double-Door Mini Fridge   - </v>
      </c>
      <c r="J554" s="61">
        <f>IFERROR(__xludf.DUMMYFUNCTION("""COMPUTED_VALUE"""),145.0)</f>
        <v>145</v>
      </c>
      <c r="K554" s="100">
        <f>IFERROR(__xludf.DUMMYFUNCTION("""COMPUTED_VALUE"""),45895.0)</f>
        <v>45895</v>
      </c>
      <c r="L554" s="61" t="str">
        <f>IFERROR(__xludf.DUMMYFUNCTION("""COMPUTED_VALUE"""),"Shanedling  ")</f>
        <v>Shanedling  </v>
      </c>
      <c r="M554" s="64" t="str">
        <f>IFERROR(__xludf.DUMMYFUNCTION("""COMPUTED_VALUE"""),"314")</f>
        <v>314</v>
      </c>
      <c r="N554" s="61"/>
      <c r="O554" s="61" t="b">
        <f>COUNTIF('Delivered Rentals'!A:A, B554) &gt; 0</f>
        <v>1</v>
      </c>
      <c r="P554" s="101" t="str">
        <f>IFERROR(__xludf.DUMMYFUNCTION("""COMPUTED_VALUE""")," ")</f>
        <v> </v>
      </c>
    </row>
    <row r="555">
      <c r="A555" s="102" t="str">
        <f>IFERROR(__xludf.DUMMYFUNCTION("""COMPUTED_VALUE"""),"https://utrucking.com/admin/orders/5953987641532")</f>
        <v>https://utrucking.com/admin/orders/5953987641532</v>
      </c>
      <c r="B555" s="65" t="str">
        <f>IFERROR(__xludf.DUMMYFUNCTION("""COMPUTED_VALUE"""),"#16526")</f>
        <v>#16526</v>
      </c>
      <c r="C555" s="65"/>
      <c r="D555" s="65">
        <f>IFERROR(__xludf.DUMMYFUNCTION("""COMPUTED_VALUE"""),3.143332601E9)</f>
        <v>3143332601</v>
      </c>
      <c r="E555" s="65" t="str">
        <f>IFERROR(__xludf.DUMMYFUNCTION("""COMPUTED_VALUE"""),"Robert Gabel")</f>
        <v>Robert Gabel</v>
      </c>
      <c r="F555" s="65" t="str">
        <f>IFERROR(__xludf.DUMMYFUNCTION("""COMPUTED_VALUE"""),"Robert Gabel")</f>
        <v>Robert Gabel</v>
      </c>
      <c r="G555" s="65"/>
      <c r="H555" s="65" t="str">
        <f>IFERROR(__xludf.DUMMYFUNCTION("""COMPUTED_VALUE"""),"Appliance Rental")</f>
        <v>Appliance Rental</v>
      </c>
      <c r="I555" s="65" t="str">
        <f>IFERROR(__xludf.DUMMYFUNCTION("""COMPUTED_VALUE""")," Double-Door Mini Fridge   - ")</f>
        <v> Double-Door Mini Fridge   - </v>
      </c>
      <c r="J555" s="65">
        <f>IFERROR(__xludf.DUMMYFUNCTION("""COMPUTED_VALUE"""),145.0)</f>
        <v>145</v>
      </c>
      <c r="K555" s="103">
        <f>IFERROR(__xludf.DUMMYFUNCTION("""COMPUTED_VALUE"""),45898.0)</f>
        <v>45898</v>
      </c>
      <c r="L555" s="65" t="str">
        <f>IFERROR(__xludf.DUMMYFUNCTION("""COMPUTED_VALUE"""),"Rutledge  ")</f>
        <v>Rutledge  </v>
      </c>
      <c r="M555" s="68" t="str">
        <f>IFERROR(__xludf.DUMMYFUNCTION("""COMPUTED_VALUE"""),"444-b")</f>
        <v>444-b</v>
      </c>
      <c r="N555" s="65"/>
      <c r="O555" s="65" t="b">
        <f>COUNTIF('Delivered Rentals'!A:A, B555) &gt; 0</f>
        <v>1</v>
      </c>
      <c r="P555" s="104" t="str">
        <f>IFERROR(__xludf.DUMMYFUNCTION("""COMPUTED_VALUE""")," ")</f>
        <v> </v>
      </c>
    </row>
    <row r="556">
      <c r="A556" s="99" t="str">
        <f>IFERROR(__xludf.DUMMYFUNCTION("""COMPUTED_VALUE"""),"https://utrucking.com/admin/orders/5955519512764")</f>
        <v>https://utrucking.com/admin/orders/5955519512764</v>
      </c>
      <c r="B556" s="61" t="str">
        <f>IFERROR(__xludf.DUMMYFUNCTION("""COMPUTED_VALUE"""),"#16529")</f>
        <v>#16529</v>
      </c>
      <c r="C556" s="61"/>
      <c r="D556" s="61">
        <f>IFERROR(__xludf.DUMMYFUNCTION("""COMPUTED_VALUE"""),2.81660986E9)</f>
        <v>2816609860</v>
      </c>
      <c r="E556" s="61" t="str">
        <f>IFERROR(__xludf.DUMMYFUNCTION("""COMPUTED_VALUE"""),"John Link")</f>
        <v>John Link</v>
      </c>
      <c r="F556" s="61" t="str">
        <f>IFERROR(__xludf.DUMMYFUNCTION("""COMPUTED_VALUE"""),"Jack Link")</f>
        <v>Jack Link</v>
      </c>
      <c r="G556" s="61"/>
      <c r="H556" s="61" t="str">
        <f>IFERROR(__xludf.DUMMYFUNCTION("""COMPUTED_VALUE"""),"Appliance Rental")</f>
        <v>Appliance Rental</v>
      </c>
      <c r="I556" s="61" t="str">
        <f>IFERROR(__xludf.DUMMYFUNCTION("""COMPUTED_VALUE""")," Double-Door Mini Fridge   - ")</f>
        <v> Double-Door Mini Fridge   - </v>
      </c>
      <c r="J556" s="61">
        <f>IFERROR(__xludf.DUMMYFUNCTION("""COMPUTED_VALUE"""),145.0)</f>
        <v>145</v>
      </c>
      <c r="K556" s="100">
        <f>IFERROR(__xludf.DUMMYFUNCTION("""COMPUTED_VALUE"""),45898.0)</f>
        <v>45898</v>
      </c>
      <c r="L556" s="61" t="str">
        <f>IFERROR(__xludf.DUMMYFUNCTION("""COMPUTED_VALUE"""),"Village House  ")</f>
        <v>Village House  </v>
      </c>
      <c r="M556" s="64" t="str">
        <f>IFERROR(__xludf.DUMMYFUNCTION("""COMPUTED_VALUE"""),"4141")</f>
        <v>4141</v>
      </c>
      <c r="N556" s="61"/>
      <c r="O556" s="61" t="b">
        <f>COUNTIF('Delivered Rentals'!A:A, B556) &gt; 0</f>
        <v>1</v>
      </c>
      <c r="P556" s="101" t="str">
        <f>IFERROR(__xludf.DUMMYFUNCTION("""COMPUTED_VALUE""")," ")</f>
        <v> </v>
      </c>
    </row>
    <row r="557">
      <c r="A557" s="102" t="str">
        <f>IFERROR(__xludf.DUMMYFUNCTION("""COMPUTED_VALUE"""),"https://utrucking.com/admin/orders/5955718545596")</f>
        <v>https://utrucking.com/admin/orders/5955718545596</v>
      </c>
      <c r="B557" s="65" t="str">
        <f>IFERROR(__xludf.DUMMYFUNCTION("""COMPUTED_VALUE"""),"#16534")</f>
        <v>#16534</v>
      </c>
      <c r="C557" s="65"/>
      <c r="D557" s="65">
        <f>IFERROR(__xludf.DUMMYFUNCTION("""COMPUTED_VALUE"""),3.146656647E9)</f>
        <v>3146656647</v>
      </c>
      <c r="E557" s="65" t="str">
        <f>IFERROR(__xludf.DUMMYFUNCTION("""COMPUTED_VALUE"""),"Hajin Ruy")</f>
        <v>Hajin Ruy</v>
      </c>
      <c r="F557" s="65" t="str">
        <f>IFERROR(__xludf.DUMMYFUNCTION("""COMPUTED_VALUE"""),"Hajin Ruy")</f>
        <v>Hajin Ruy</v>
      </c>
      <c r="G557" s="65"/>
      <c r="H557" s="65" t="str">
        <f>IFERROR(__xludf.DUMMYFUNCTION("""COMPUTED_VALUE"""),"Appliance Rental")</f>
        <v>Appliance Rental</v>
      </c>
      <c r="I557" s="65" t="str">
        <f>IFERROR(__xludf.DUMMYFUNCTION("""COMPUTED_VALUE""")," Double-Door Mini Fridge + Microwave   - ")</f>
        <v> Double-Door Mini Fridge + Microwave   - </v>
      </c>
      <c r="J557" s="65">
        <f>IFERROR(__xludf.DUMMYFUNCTION("""COMPUTED_VALUE"""),210.0)</f>
        <v>210</v>
      </c>
      <c r="K557" s="103">
        <f>IFERROR(__xludf.DUMMYFUNCTION("""COMPUTED_VALUE"""),45897.0)</f>
        <v>45897</v>
      </c>
      <c r="L557" s="65" t="str">
        <f>IFERROR(__xludf.DUMMYFUNCTION("""COMPUTED_VALUE"""),"Village House  ")</f>
        <v>Village House  </v>
      </c>
      <c r="M557" s="68" t="str">
        <f>IFERROR(__xludf.DUMMYFUNCTION("""COMPUTED_VALUE"""),"3090")</f>
        <v>3090</v>
      </c>
      <c r="N557" s="65"/>
      <c r="O557" s="65" t="b">
        <f>COUNTIF('Delivered Rentals'!A:A, B557) &gt; 0</f>
        <v>1</v>
      </c>
      <c r="P557" s="104" t="str">
        <f>IFERROR(__xludf.DUMMYFUNCTION("""COMPUTED_VALUE""")," ")</f>
        <v> </v>
      </c>
    </row>
    <row r="558">
      <c r="A558" s="99" t="str">
        <f>IFERROR(__xludf.DUMMYFUNCTION("""COMPUTED_VALUE"""),"https://utrucking.com/admin/orders/5955853615292")</f>
        <v>https://utrucking.com/admin/orders/5955853615292</v>
      </c>
      <c r="B558" s="61" t="str">
        <f>IFERROR(__xludf.DUMMYFUNCTION("""COMPUTED_VALUE"""),"#16535")</f>
        <v>#16535</v>
      </c>
      <c r="C558" s="61" t="str">
        <f>IFERROR(__xludf.DUMMYFUNCTION("""COMPUTED_VALUE"""),"poonn2347@gmail.com")</f>
        <v>poonn2347@gmail.com</v>
      </c>
      <c r="D558" s="61">
        <f>IFERROR(__xludf.DUMMYFUNCTION("""COMPUTED_VALUE"""),4.08359787E9)</f>
        <v>4083597870</v>
      </c>
      <c r="E558" s="61" t="str">
        <f>IFERROR(__xludf.DUMMYFUNCTION("""COMPUTED_VALUE"""),"Natalie Poon")</f>
        <v>Natalie Poon</v>
      </c>
      <c r="F558" s="61" t="str">
        <f>IFERROR(__xludf.DUMMYFUNCTION("""COMPUTED_VALUE"""),"Natalie Poon")</f>
        <v>Natalie Poon</v>
      </c>
      <c r="G558" s="61"/>
      <c r="H558" s="61" t="str">
        <f>IFERROR(__xludf.DUMMYFUNCTION("""COMPUTED_VALUE"""),"Appliance Rental")</f>
        <v>Appliance Rental</v>
      </c>
      <c r="I558" s="61" t="str">
        <f>IFERROR(__xludf.DUMMYFUNCTION("""COMPUTED_VALUE""")," Double-Door Mini Fridge   - ")</f>
        <v> Double-Door Mini Fridge   - </v>
      </c>
      <c r="J558" s="61">
        <f>IFERROR(__xludf.DUMMYFUNCTION("""COMPUTED_VALUE"""),145.0)</f>
        <v>145</v>
      </c>
      <c r="K558" s="100">
        <f>IFERROR(__xludf.DUMMYFUNCTION("""COMPUTED_VALUE"""),45897.0)</f>
        <v>45897</v>
      </c>
      <c r="L558" s="61" t="str">
        <f>IFERROR(__xludf.DUMMYFUNCTION("""COMPUTED_VALUE"""),"Park  ")</f>
        <v>Park  </v>
      </c>
      <c r="M558" s="64" t="str">
        <f>IFERROR(__xludf.DUMMYFUNCTION("""COMPUTED_VALUE"""),"342")</f>
        <v>342</v>
      </c>
      <c r="N558" s="61"/>
      <c r="O558" s="61" t="b">
        <f>COUNTIF('Delivered Rentals'!A:A, B558) &gt; 0</f>
        <v>1</v>
      </c>
      <c r="P558" s="101" t="str">
        <f>IFERROR(__xludf.DUMMYFUNCTION("""COMPUTED_VALUE""")," ")</f>
        <v> </v>
      </c>
    </row>
    <row r="559">
      <c r="A559" s="102" t="str">
        <f>IFERROR(__xludf.DUMMYFUNCTION("""COMPUTED_VALUE"""),"https://utrucking.com/admin/orders/5956828725436")</f>
        <v>https://utrucking.com/admin/orders/5956828725436</v>
      </c>
      <c r="B559" s="65" t="str">
        <f>IFERROR(__xludf.DUMMYFUNCTION("""COMPUTED_VALUE"""),"#16537")</f>
        <v>#16537</v>
      </c>
      <c r="C559" s="65" t="str">
        <f>IFERROR(__xludf.DUMMYFUNCTION("""COMPUTED_VALUE"""),"brecknock@wustl.edu")</f>
        <v>brecknock@wustl.edu</v>
      </c>
      <c r="D559" s="65">
        <f>IFERROR(__xludf.DUMMYFUNCTION("""COMPUTED_VALUE"""),7.086393381E9)</f>
        <v>7086393381</v>
      </c>
      <c r="E559" s="65" t="str">
        <f>IFERROR(__xludf.DUMMYFUNCTION("""COMPUTED_VALUE"""),"Lily Brecknock")</f>
        <v>Lily Brecknock</v>
      </c>
      <c r="F559" s="65" t="str">
        <f>IFERROR(__xludf.DUMMYFUNCTION("""COMPUTED_VALUE"""),"Lily Brecknock")</f>
        <v>Lily Brecknock</v>
      </c>
      <c r="G559" s="65"/>
      <c r="H559" s="65" t="str">
        <f>IFERROR(__xludf.DUMMYFUNCTION("""COMPUTED_VALUE"""),"Appliance Rental")</f>
        <v>Appliance Rental</v>
      </c>
      <c r="I559" s="65" t="str">
        <f>IFERROR(__xludf.DUMMYFUNCTION("""COMPUTED_VALUE""")," Double-Door Mini Fridge   - ")</f>
        <v> Double-Door Mini Fridge   - </v>
      </c>
      <c r="J559" s="65">
        <f>IFERROR(__xludf.DUMMYFUNCTION("""COMPUTED_VALUE"""),145.0)</f>
        <v>145</v>
      </c>
      <c r="K559" s="103">
        <f>IFERROR(__xludf.DUMMYFUNCTION("""COMPUTED_VALUE"""),45898.0)</f>
        <v>45898</v>
      </c>
      <c r="L559" s="65" t="str">
        <f>IFERROR(__xludf.DUMMYFUNCTION("""COMPUTED_VALUE"""),"Umrath  ")</f>
        <v>Umrath  </v>
      </c>
      <c r="M559" s="68" t="str">
        <f>IFERROR(__xludf.DUMMYFUNCTION("""COMPUTED_VALUE"""),"3324")</f>
        <v>3324</v>
      </c>
      <c r="N559" s="65"/>
      <c r="O559" s="65" t="b">
        <f>COUNTIF('Delivered Rentals'!A:A, B559) &gt; 0</f>
        <v>1</v>
      </c>
      <c r="P559" s="104" t="str">
        <f>IFERROR(__xludf.DUMMYFUNCTION("""COMPUTED_VALUE""")," ")</f>
        <v> </v>
      </c>
    </row>
    <row r="560">
      <c r="A560" s="99" t="str">
        <f>IFERROR(__xludf.DUMMYFUNCTION("""COMPUTED_VALUE"""),"https://utrucking.com/admin/orders/5956999479484")</f>
        <v>https://utrucking.com/admin/orders/5956999479484</v>
      </c>
      <c r="B560" s="61" t="str">
        <f>IFERROR(__xludf.DUMMYFUNCTION("""COMPUTED_VALUE"""),"#16538")</f>
        <v>#16538</v>
      </c>
      <c r="C560" s="61"/>
      <c r="D560" s="61">
        <f>IFERROR(__xludf.DUMMYFUNCTION("""COMPUTED_VALUE"""),1.3507172225E10)</f>
        <v>13507172225</v>
      </c>
      <c r="E560" s="61" t="str">
        <f>IFERROR(__xludf.DUMMYFUNCTION("""COMPUTED_VALUE"""),"Zitian Barfuss Liao")</f>
        <v>Zitian Barfuss Liao</v>
      </c>
      <c r="F560" s="61" t="str">
        <f>IFERROR(__xludf.DUMMYFUNCTION("""COMPUTED_VALUE"""),"Zia Bärfuss—Liao")</f>
        <v>Zia Bärfuss—Liao</v>
      </c>
      <c r="G560" s="61"/>
      <c r="H560" s="61" t="str">
        <f>IFERROR(__xludf.DUMMYFUNCTION("""COMPUTED_VALUE"""),"Appliance Rental")</f>
        <v>Appliance Rental</v>
      </c>
      <c r="I560" s="61" t="str">
        <f>IFERROR(__xludf.DUMMYFUNCTION("""COMPUTED_VALUE""")," Double-Door Mini Fridge   - ")</f>
        <v> Double-Door Mini Fridge   - </v>
      </c>
      <c r="J560" s="61">
        <f>IFERROR(__xludf.DUMMYFUNCTION("""COMPUTED_VALUE"""),145.0)</f>
        <v>145</v>
      </c>
      <c r="K560" s="100">
        <f>IFERROR(__xludf.DUMMYFUNCTION("""COMPUTED_VALUE"""),45898.0)</f>
        <v>45898</v>
      </c>
      <c r="L560" s="61" t="str">
        <f>IFERROR(__xludf.DUMMYFUNCTION("""COMPUTED_VALUE"""),"Eliot B (Sophomore Dorm)")</f>
        <v>Eliot B (Sophomore Dorm)</v>
      </c>
      <c r="M560" s="64" t="str">
        <f>IFERROR(__xludf.DUMMYFUNCTION("""COMPUTED_VALUE"""),"1030")</f>
        <v>1030</v>
      </c>
      <c r="N560" s="61"/>
      <c r="O560" s="61" t="b">
        <f>COUNTIF('Delivered Rentals'!A:A, B560) &gt; 0</f>
        <v>1</v>
      </c>
      <c r="P560" s="101" t="str">
        <f>IFERROR(__xludf.DUMMYFUNCTION("""COMPUTED_VALUE""")," ")</f>
        <v> </v>
      </c>
    </row>
    <row r="561">
      <c r="A561" s="102" t="str">
        <f>IFERROR(__xludf.DUMMYFUNCTION("""COMPUTED_VALUE"""),"https://utrucking.com/admin/orders/5961025716412")</f>
        <v>https://utrucking.com/admin/orders/5961025716412</v>
      </c>
      <c r="B561" s="65" t="str">
        <f>IFERROR(__xludf.DUMMYFUNCTION("""COMPUTED_VALUE"""),"#16540")</f>
        <v>#16540</v>
      </c>
      <c r="C561" s="65"/>
      <c r="D561" s="65">
        <f>IFERROR(__xludf.DUMMYFUNCTION("""COMPUTED_VALUE"""),7.192279715E9)</f>
        <v>7192279715</v>
      </c>
      <c r="E561" s="65" t="str">
        <f>IFERROR(__xludf.DUMMYFUNCTION("""COMPUTED_VALUE"""),"Abigail Lee")</f>
        <v>Abigail Lee</v>
      </c>
      <c r="F561" s="65" t="str">
        <f>IFERROR(__xludf.DUMMYFUNCTION("""COMPUTED_VALUE"""),"(Abigail) Meena Lee")</f>
        <v>(Abigail) Meena Lee</v>
      </c>
      <c r="G561" s="65"/>
      <c r="H561" s="65" t="str">
        <f>IFERROR(__xludf.DUMMYFUNCTION("""COMPUTED_VALUE"""),"Appliance Rental")</f>
        <v>Appliance Rental</v>
      </c>
      <c r="I561" s="65" t="str">
        <f>IFERROR(__xludf.DUMMYFUNCTION("""COMPUTED_VALUE""")," Double-Door Mini Fridge   - ")</f>
        <v> Double-Door Mini Fridge   - </v>
      </c>
      <c r="J561" s="65">
        <f>IFERROR(__xludf.DUMMYFUNCTION("""COMPUTED_VALUE"""),145.0)</f>
        <v>145</v>
      </c>
      <c r="K561" s="103">
        <f>IFERROR(__xludf.DUMMYFUNCTION("""COMPUTED_VALUE"""),45901.0)</f>
        <v>45901</v>
      </c>
      <c r="L561" s="65" t="str">
        <f>IFERROR(__xludf.DUMMYFUNCTION("""COMPUTED_VALUE"""),"Shepley  ")</f>
        <v>Shepley  </v>
      </c>
      <c r="M561" s="68" t="str">
        <f>IFERROR(__xludf.DUMMYFUNCTION("""COMPUTED_VALUE"""),"2051")</f>
        <v>2051</v>
      </c>
      <c r="N561" s="65"/>
      <c r="O561" s="65" t="b">
        <f>COUNTIF('Delivered Rentals'!A:A, B561) &gt; 0</f>
        <v>1</v>
      </c>
      <c r="P561" s="104" t="str">
        <f>IFERROR(__xludf.DUMMYFUNCTION("""COMPUTED_VALUE""")," ")</f>
        <v> </v>
      </c>
    </row>
    <row r="562">
      <c r="A562" s="99" t="str">
        <f>IFERROR(__xludf.DUMMYFUNCTION("""COMPUTED_VALUE"""),"https://utrucking.com/admin/orders/5963881414844")</f>
        <v>https://utrucking.com/admin/orders/5963881414844</v>
      </c>
      <c r="B562" s="61" t="str">
        <f>IFERROR(__xludf.DUMMYFUNCTION("""COMPUTED_VALUE"""),"#16542")</f>
        <v>#16542</v>
      </c>
      <c r="C562" s="61"/>
      <c r="D562" s="61">
        <f>IFERROR(__xludf.DUMMYFUNCTION("""COMPUTED_VALUE"""),4.243843825E9)</f>
        <v>4243843825</v>
      </c>
      <c r="E562" s="61" t="str">
        <f>IFERROR(__xludf.DUMMYFUNCTION("""COMPUTED_VALUE"""),"Tami Bruskotter")</f>
        <v>Tami Bruskotter</v>
      </c>
      <c r="F562" s="61" t="str">
        <f>IFERROR(__xludf.DUMMYFUNCTION("""COMPUTED_VALUE"""),"Reiland Bruskotter ")</f>
        <v>Reiland Bruskotter </v>
      </c>
      <c r="G562" s="61"/>
      <c r="H562" s="61" t="str">
        <f>IFERROR(__xludf.DUMMYFUNCTION("""COMPUTED_VALUE"""),"Appliance Rental")</f>
        <v>Appliance Rental</v>
      </c>
      <c r="I562" s="61" t="str">
        <f>IFERROR(__xludf.DUMMYFUNCTION("""COMPUTED_VALUE""")," Microwave Only   - ")</f>
        <v> Microwave Only   - </v>
      </c>
      <c r="J562" s="61">
        <f>IFERROR(__xludf.DUMMYFUNCTION("""COMPUTED_VALUE"""),65.0)</f>
        <v>65</v>
      </c>
      <c r="K562" s="100">
        <f>IFERROR(__xludf.DUMMYFUNCTION("""COMPUTED_VALUE"""),45903.0)</f>
        <v>45903</v>
      </c>
      <c r="L562" s="61" t="str">
        <f>IFERROR(__xludf.DUMMYFUNCTION("""COMPUTED_VALUE"""),"Beaumont  ")</f>
        <v>Beaumont  </v>
      </c>
      <c r="M562" s="64" t="str">
        <f>IFERROR(__xludf.DUMMYFUNCTION("""COMPUTED_VALUE"""),"307")</f>
        <v>307</v>
      </c>
      <c r="N562" s="61"/>
      <c r="O562" s="61" t="b">
        <f>COUNTIF('Delivered Rentals'!A:A, B562) &gt; 0</f>
        <v>1</v>
      </c>
      <c r="P562" s="101" t="str">
        <f>IFERROR(__xludf.DUMMYFUNCTION("""COMPUTED_VALUE""")," ")</f>
        <v> </v>
      </c>
    </row>
    <row r="563">
      <c r="A563" s="102" t="str">
        <f>IFERROR(__xludf.DUMMYFUNCTION("""COMPUTED_VALUE"""),"https://utrucking.com/admin/orders/5963923849404")</f>
        <v>https://utrucking.com/admin/orders/5963923849404</v>
      </c>
      <c r="B563" s="65" t="str">
        <f>IFERROR(__xludf.DUMMYFUNCTION("""COMPUTED_VALUE"""),"#16543")</f>
        <v>#16543</v>
      </c>
      <c r="C563" s="65"/>
      <c r="D563" s="65">
        <f>IFERROR(__xludf.DUMMYFUNCTION("""COMPUTED_VALUE"""),9.706234067E9)</f>
        <v>9706234067</v>
      </c>
      <c r="E563" s="65" t="str">
        <f>IFERROR(__xludf.DUMMYFUNCTION("""COMPUTED_VALUE"""),"Jenny Short")</f>
        <v>Jenny Short</v>
      </c>
      <c r="F563" s="65" t="str">
        <f>IFERROR(__xludf.DUMMYFUNCTION("""COMPUTED_VALUE"""),"Ruby Short")</f>
        <v>Ruby Short</v>
      </c>
      <c r="G563" s="65"/>
      <c r="H563" s="65" t="str">
        <f>IFERROR(__xludf.DUMMYFUNCTION("""COMPUTED_VALUE"""),"Appliance Rental")</f>
        <v>Appliance Rental</v>
      </c>
      <c r="I563" s="65" t="str">
        <f>IFERROR(__xludf.DUMMYFUNCTION("""COMPUTED_VALUE""")," Double-Door Mini Fridge   - ")</f>
        <v> Double-Door Mini Fridge   - </v>
      </c>
      <c r="J563" s="65">
        <f>IFERROR(__xludf.DUMMYFUNCTION("""COMPUTED_VALUE"""),145.0)</f>
        <v>145</v>
      </c>
      <c r="K563" s="103">
        <f>IFERROR(__xludf.DUMMYFUNCTION("""COMPUTED_VALUE"""),45903.0)</f>
        <v>45903</v>
      </c>
      <c r="L563" s="65" t="str">
        <f>IFERROR(__xludf.DUMMYFUNCTION("""COMPUTED_VALUE"""),"Shepley  ")</f>
        <v>Shepley  </v>
      </c>
      <c r="M563" s="68" t="str">
        <f>IFERROR(__xludf.DUMMYFUNCTION("""COMPUTED_VALUE"""),"3000 - 3002 specifically ")</f>
        <v>3000 - 3002 specifically </v>
      </c>
      <c r="N563" s="65"/>
      <c r="O563" s="65" t="b">
        <f>COUNTIF('Delivered Rentals'!A:A, B563) &gt; 0</f>
        <v>1</v>
      </c>
      <c r="P563" s="104" t="str">
        <f>IFERROR(__xludf.DUMMYFUNCTION("""COMPUTED_VALUE""")," ")</f>
        <v> </v>
      </c>
    </row>
    <row r="564">
      <c r="A564" s="99" t="str">
        <f>IFERROR(__xludf.DUMMYFUNCTION("""COMPUTED_VALUE"""),"https://utrucking.com/admin/orders/5963953832124")</f>
        <v>https://utrucking.com/admin/orders/5963953832124</v>
      </c>
      <c r="B564" s="61" t="str">
        <f>IFERROR(__xludf.DUMMYFUNCTION("""COMPUTED_VALUE"""),"#16544")</f>
        <v>#16544</v>
      </c>
      <c r="C564" s="61" t="str">
        <f>IFERROR(__xludf.DUMMYFUNCTION("""COMPUTED_VALUE"""),"yingluo@wustl.edu")</f>
        <v>yingluo@wustl.edu</v>
      </c>
      <c r="D564" s="61">
        <f>IFERROR(__xludf.DUMMYFUNCTION("""COMPUTED_VALUE"""),3.14570988E9)</f>
        <v>3145709880</v>
      </c>
      <c r="E564" s="61" t="str">
        <f>IFERROR(__xludf.DUMMYFUNCTION("""COMPUTED_VALUE"""),"Claire Jin")</f>
        <v>Claire Jin</v>
      </c>
      <c r="F564" s="61" t="str">
        <f>IFERROR(__xludf.DUMMYFUNCTION("""COMPUTED_VALUE"""),"Claire Jin")</f>
        <v>Claire Jin</v>
      </c>
      <c r="G564" s="61"/>
      <c r="H564" s="61" t="str">
        <f>IFERROR(__xludf.DUMMYFUNCTION("""COMPUTED_VALUE"""),"Appliance Rental")</f>
        <v>Appliance Rental</v>
      </c>
      <c r="I564" s="61" t="str">
        <f>IFERROR(__xludf.DUMMYFUNCTION("""COMPUTED_VALUE""")," Double-Door Mini Fridge   - ")</f>
        <v> Double-Door Mini Fridge   - </v>
      </c>
      <c r="J564" s="61">
        <f>IFERROR(__xludf.DUMMYFUNCTION("""COMPUTED_VALUE"""),145.0)</f>
        <v>145</v>
      </c>
      <c r="K564" s="100">
        <f>IFERROR(__xludf.DUMMYFUNCTION("""COMPUTED_VALUE"""),45903.0)</f>
        <v>45903</v>
      </c>
      <c r="L564" s="61" t="str">
        <f>IFERROR(__xludf.DUMMYFUNCTION("""COMPUTED_VALUE"""),"Shanedling  ")</f>
        <v>Shanedling  </v>
      </c>
      <c r="M564" s="64" t="str">
        <f>IFERROR(__xludf.DUMMYFUNCTION("""COMPUTED_VALUE"""),"411")</f>
        <v>411</v>
      </c>
      <c r="N564" s="61"/>
      <c r="O564" s="61" t="b">
        <f>COUNTIF('Delivered Rentals'!A:A, B564) &gt; 0</f>
        <v>1</v>
      </c>
      <c r="P564" s="101" t="str">
        <f>IFERROR(__xludf.DUMMYFUNCTION("""COMPUTED_VALUE""")," ")</f>
        <v> </v>
      </c>
    </row>
    <row r="565">
      <c r="A565" s="102" t="str">
        <f>IFERROR(__xludf.DUMMYFUNCTION("""COMPUTED_VALUE"""),"https://utrucking.com/admin/orders/5983353372860")</f>
        <v>https://utrucking.com/admin/orders/5983353372860</v>
      </c>
      <c r="B565" s="65" t="str">
        <f>IFERROR(__xludf.DUMMYFUNCTION("""COMPUTED_VALUE"""),"#16549")</f>
        <v>#16549</v>
      </c>
      <c r="C565" s="65" t="str">
        <f>IFERROR(__xludf.DUMMYFUNCTION("""COMPUTED_VALUE"""),"e.d.salzberg@wustl.edu")</f>
        <v>e.d.salzberg@wustl.edu</v>
      </c>
      <c r="D565" s="65">
        <f>IFERROR(__xludf.DUMMYFUNCTION("""COMPUTED_VALUE"""),9.177330027E9)</f>
        <v>9177330027</v>
      </c>
      <c r="E565" s="65" t="str">
        <f>IFERROR(__xludf.DUMMYFUNCTION("""COMPUTED_VALUE"""),"ellie salzberg")</f>
        <v>ellie salzberg</v>
      </c>
      <c r="F565" s="65" t="str">
        <f>IFERROR(__xludf.DUMMYFUNCTION("""COMPUTED_VALUE"""),"ellie salzberg")</f>
        <v>ellie salzberg</v>
      </c>
      <c r="G565" s="65"/>
      <c r="H565" s="65" t="str">
        <f>IFERROR(__xludf.DUMMYFUNCTION("""COMPUTED_VALUE"""),"Appliance Rental")</f>
        <v>Appliance Rental</v>
      </c>
      <c r="I565" s="65" t="str">
        <f>IFERROR(__xludf.DUMMYFUNCTION("""COMPUTED_VALUE""")," Microwave Only   - ")</f>
        <v> Microwave Only   - </v>
      </c>
      <c r="J565" s="65">
        <f>IFERROR(__xludf.DUMMYFUNCTION("""COMPUTED_VALUE"""),65.0)</f>
        <v>65</v>
      </c>
      <c r="K565" s="103">
        <f>IFERROR(__xludf.DUMMYFUNCTION("""COMPUTED_VALUE"""),45920.0)</f>
        <v>45920</v>
      </c>
      <c r="L565" s="65" t="str">
        <f>IFERROR(__xludf.DUMMYFUNCTION("""COMPUTED_VALUE"""),"Dauten  ")</f>
        <v>Dauten  </v>
      </c>
      <c r="M565" s="68" t="str">
        <f>IFERROR(__xludf.DUMMYFUNCTION("""COMPUTED_VALUE"""),"422")</f>
        <v>422</v>
      </c>
      <c r="N565" s="65"/>
      <c r="O565" s="65" t="b">
        <f>COUNTIF('Delivered Rentals'!A:A, B565) &gt; 0</f>
        <v>0</v>
      </c>
      <c r="P565" s="104" t="str">
        <f>IFERROR(__xludf.DUMMYFUNCTION("""COMPUTED_VALUE""")," ")</f>
        <v> </v>
      </c>
    </row>
    <row r="566">
      <c r="A566" s="99" t="str">
        <f>IFERROR(__xludf.DUMMYFUNCTION("""COMPUTED_VALUE"""),"https://utrucking.com/admin/orders/5994182082748")</f>
        <v>https://utrucking.com/admin/orders/5994182082748</v>
      </c>
      <c r="B566" s="61" t="str">
        <f>IFERROR(__xludf.DUMMYFUNCTION("""COMPUTED_VALUE"""),"#16552")</f>
        <v>#16552</v>
      </c>
      <c r="C566" s="61"/>
      <c r="D566" s="61">
        <f>IFERROR(__xludf.DUMMYFUNCTION("""COMPUTED_VALUE"""),1.617970659E10)</f>
        <v>16179706590</v>
      </c>
      <c r="E566" s="61" t="str">
        <f>IFERROR(__xludf.DUMMYFUNCTION("""COMPUTED_VALUE"""),"Jessica Myers")</f>
        <v>Jessica Myers</v>
      </c>
      <c r="F566" s="61" t="str">
        <f>IFERROR(__xludf.DUMMYFUNCTION("""COMPUTED_VALUE"""),"Sam Myers")</f>
        <v>Sam Myers</v>
      </c>
      <c r="G566" s="61"/>
      <c r="H566" s="61" t="str">
        <f>IFERROR(__xludf.DUMMYFUNCTION("""COMPUTED_VALUE"""),"Appliance Rental")</f>
        <v>Appliance Rental</v>
      </c>
      <c r="I566" s="61" t="str">
        <f>IFERROR(__xludf.DUMMYFUNCTION("""COMPUTED_VALUE""")," Double-Door Mini Fridge   - ")</f>
        <v> Double-Door Mini Fridge   - </v>
      </c>
      <c r="J566" s="61">
        <f>IFERROR(__xludf.DUMMYFUNCTION("""COMPUTED_VALUE"""),145.0)</f>
        <v>145</v>
      </c>
      <c r="K566" s="100">
        <f>IFERROR(__xludf.DUMMYFUNCTION("""COMPUTED_VALUE"""),45930.0)</f>
        <v>45930</v>
      </c>
      <c r="L566" s="61" t="str">
        <f>IFERROR(__xludf.DUMMYFUNCTION("""COMPUTED_VALUE"""),"Zetcher  ")</f>
        <v>Zetcher  </v>
      </c>
      <c r="M566" s="64" t="str">
        <f>IFERROR(__xludf.DUMMYFUNCTION("""COMPUTED_VALUE"""),"2020")</f>
        <v>2020</v>
      </c>
      <c r="N566" s="61"/>
      <c r="O566" s="61" t="b">
        <f>COUNTIF('Delivered Rentals'!A:A, B566) &gt; 0</f>
        <v>0</v>
      </c>
      <c r="P566" s="101" t="str">
        <f>IFERROR(__xludf.DUMMYFUNCTION("""COMPUTED_VALUE""")," ")</f>
        <v> </v>
      </c>
    </row>
    <row r="567">
      <c r="A567" s="102" t="str">
        <f>IFERROR(__xludf.DUMMYFUNCTION("""COMPUTED_VALUE"""),"https://utrucking.com/admin/orders/6004570783932")</f>
        <v>https://utrucking.com/admin/orders/6004570783932</v>
      </c>
      <c r="B567" s="65" t="str">
        <f>IFERROR(__xludf.DUMMYFUNCTION("""COMPUTED_VALUE"""),"#16553")</f>
        <v>#16553</v>
      </c>
      <c r="C567" s="65" t="str">
        <f>IFERROR(__xludf.DUMMYFUNCTION("""COMPUTED_VALUE"""),"elee987628@wustl.edu")</f>
        <v>elee987628@wustl.edu</v>
      </c>
      <c r="D567" s="65">
        <f>IFERROR(__xludf.DUMMYFUNCTION("""COMPUTED_VALUE"""),8.21047021643E11)</f>
        <v>821047021643</v>
      </c>
      <c r="E567" s="65" t="str">
        <f>IFERROR(__xludf.DUMMYFUNCTION("""COMPUTED_VALUE"""),"Seunghan Lee")</f>
        <v>Seunghan Lee</v>
      </c>
      <c r="F567" s="65" t="str">
        <f>IFERROR(__xludf.DUMMYFUNCTION("""COMPUTED_VALUE"""),"Alicia Lee")</f>
        <v>Alicia Lee</v>
      </c>
      <c r="G567" s="65"/>
      <c r="H567" s="65" t="str">
        <f>IFERROR(__xludf.DUMMYFUNCTION("""COMPUTED_VALUE"""),"Appliance Rental")</f>
        <v>Appliance Rental</v>
      </c>
      <c r="I567" s="65" t="str">
        <f>IFERROR(__xludf.DUMMYFUNCTION("""COMPUTED_VALUE""")," Double-Door Mini Fridge + Microwave   - ")</f>
        <v> Double-Door Mini Fridge + Microwave   - </v>
      </c>
      <c r="J567" s="65">
        <f>IFERROR(__xludf.DUMMYFUNCTION("""COMPUTED_VALUE"""),210.0)</f>
        <v>210</v>
      </c>
      <c r="K567" s="103">
        <f>IFERROR(__xludf.DUMMYFUNCTION("""COMPUTED_VALUE"""),45932.0)</f>
        <v>45932</v>
      </c>
      <c r="L567" s="65" t="str">
        <f>IFERROR(__xludf.DUMMYFUNCTION("""COMPUTED_VALUE"""),"Park  ")</f>
        <v>Park  </v>
      </c>
      <c r="M567" s="68" t="str">
        <f>IFERROR(__xludf.DUMMYFUNCTION("""COMPUTED_VALUE"""),"311")</f>
        <v>311</v>
      </c>
      <c r="N567" s="65"/>
      <c r="O567" s="65" t="b">
        <f>COUNTIF('Delivered Rentals'!A:A, B567) &gt; 0</f>
        <v>0</v>
      </c>
      <c r="P567" s="104" t="str">
        <f>IFERROR(__xludf.DUMMYFUNCTION("""COMPUTED_VALUE""")," ")</f>
        <v> </v>
      </c>
    </row>
    <row r="568">
      <c r="A568" s="99" t="str">
        <f>IFERROR(__xludf.DUMMYFUNCTION("""COMPUTED_VALUE"""),"https://utrucking.com/admin/orders/6060083675324")</f>
        <v>https://utrucking.com/admin/orders/6060083675324</v>
      </c>
      <c r="B568" s="61" t="str">
        <f>IFERROR(__xludf.DUMMYFUNCTION("""COMPUTED_VALUE"""),"#16628")</f>
        <v>#16628</v>
      </c>
      <c r="C568" s="61" t="str">
        <f>IFERROR(__xludf.DUMMYFUNCTION("""COMPUTED_VALUE"""),"seirertenley@gmail.com")</f>
        <v>seirertenley@gmail.com</v>
      </c>
      <c r="D568" s="61">
        <f>IFERROR(__xludf.DUMMYFUNCTION("""COMPUTED_VALUE"""),9.177100102E9)</f>
        <v>9177100102</v>
      </c>
      <c r="E568" s="61" t="str">
        <f>IFERROR(__xludf.DUMMYFUNCTION("""COMPUTED_VALUE"""),"Dominique Schulte")</f>
        <v>Dominique Schulte</v>
      </c>
      <c r="F568" s="61" t="str">
        <f>IFERROR(__xludf.DUMMYFUNCTION("""COMPUTED_VALUE"""),"Katherine Seirer")</f>
        <v>Katherine Seirer</v>
      </c>
      <c r="G568" s="61"/>
      <c r="H568" s="61" t="str">
        <f>IFERROR(__xludf.DUMMYFUNCTION("""COMPUTED_VALUE"""),"Appliance Rental")</f>
        <v>Appliance Rental</v>
      </c>
      <c r="I568" s="61" t="str">
        <f>IFERROR(__xludf.DUMMYFUNCTION("""COMPUTED_VALUE""")," Double-Door Mini Fridge + Microwave   - ")</f>
        <v> Double-Door Mini Fridge + Microwave   - </v>
      </c>
      <c r="J568" s="61">
        <f>IFERROR(__xludf.DUMMYFUNCTION("""COMPUTED_VALUE"""),210.0)</f>
        <v>210</v>
      </c>
      <c r="K568" s="100">
        <f>IFERROR(__xludf.DUMMYFUNCTION("""COMPUTED_VALUE"""),45964.0)</f>
        <v>45964</v>
      </c>
      <c r="L568" s="61" t="str">
        <f>IFERROR(__xludf.DUMMYFUNCTION("""COMPUTED_VALUE"""),"Hitzeman  ")</f>
        <v>Hitzeman  </v>
      </c>
      <c r="M568" s="64" t="str">
        <f>IFERROR(__xludf.DUMMYFUNCTION("""COMPUTED_VALUE"""),"434")</f>
        <v>434</v>
      </c>
      <c r="N568" s="61"/>
      <c r="O568" s="61" t="b">
        <f>COUNTIF('Delivered Rentals'!A:A, B568) &gt; 0</f>
        <v>0</v>
      </c>
      <c r="P568" s="101" t="str">
        <f>IFERROR(__xludf.DUMMYFUNCTION("""COMPUTED_VALUE""")," ")</f>
        <v> </v>
      </c>
    </row>
    <row r="569">
      <c r="A569" s="102" t="str">
        <f>IFERROR(__xludf.DUMMYFUNCTION("""COMPUTED_VALUE"""),"https://utrucking.com/admin/orders/6147540549820")</f>
        <v>https://utrucking.com/admin/orders/6147540549820</v>
      </c>
      <c r="B569" s="65" t="str">
        <f>IFERROR(__xludf.DUMMYFUNCTION("""COMPUTED_VALUE"""),"#16646")</f>
        <v>#16646</v>
      </c>
      <c r="C569" s="65" t="str">
        <f>IFERROR(__xludf.DUMMYFUNCTION("""COMPUTED_VALUE"""),"faier@wustl.edu")</f>
        <v>faier@wustl.edu</v>
      </c>
      <c r="D569" s="65">
        <f>IFERROR(__xludf.DUMMYFUNCTION("""COMPUTED_VALUE"""),8.473056032E9)</f>
        <v>8473056032</v>
      </c>
      <c r="E569" s="65" t="str">
        <f>IFERROR(__xludf.DUMMYFUNCTION("""COMPUTED_VALUE"""),"Maya Faier")</f>
        <v>Maya Faier</v>
      </c>
      <c r="F569" s="65" t="str">
        <f>IFERROR(__xludf.DUMMYFUNCTION("""COMPUTED_VALUE"""),"Maya Faier")</f>
        <v>Maya Faier</v>
      </c>
      <c r="G569" s="65"/>
      <c r="H569" s="65" t="str">
        <f>IFERROR(__xludf.DUMMYFUNCTION("""COMPUTED_VALUE"""),"Appliance Rental")</f>
        <v>Appliance Rental</v>
      </c>
      <c r="I569" s="65" t="str">
        <f>IFERROR(__xludf.DUMMYFUNCTION("""COMPUTED_VALUE""")," Microwave Only   - ")</f>
        <v> Microwave Only   - </v>
      </c>
      <c r="J569" s="65">
        <f>IFERROR(__xludf.DUMMYFUNCTION("""COMPUTED_VALUE"""),65.0)</f>
        <v>65</v>
      </c>
      <c r="K569" s="103">
        <f>IFERROR(__xludf.DUMMYFUNCTION("""COMPUTED_VALUE"""),45992.0)</f>
        <v>45992</v>
      </c>
      <c r="L569" s="65" t="str">
        <f>IFERROR(__xludf.DUMMYFUNCTION("""COMPUTED_VALUE"""),"Myers  ")</f>
        <v>Myers  </v>
      </c>
      <c r="M569" s="68" t="str">
        <f>IFERROR(__xludf.DUMMYFUNCTION("""COMPUTED_VALUE"""),"413 (suite 41)")</f>
        <v>413 (suite 41)</v>
      </c>
      <c r="N569" s="65"/>
      <c r="O569" s="65" t="b">
        <f>COUNTIF('Delivered Rentals'!A:A, B569) &gt; 0</f>
        <v>0</v>
      </c>
      <c r="P569" s="104" t="str">
        <f>IFERROR(__xludf.DUMMYFUNCTION("""COMPUTED_VALUE""")," ")</f>
        <v> </v>
      </c>
    </row>
    <row r="570">
      <c r="A570" s="99" t="str">
        <f>IFERROR(__xludf.DUMMYFUNCTION("""COMPUTED_VALUE"""),"https://utrucking.com/admin/orders/6216625782972")</f>
        <v>https://utrucking.com/admin/orders/6216625782972</v>
      </c>
      <c r="B570" s="61" t="str">
        <f>IFERROR(__xludf.DUMMYFUNCTION("""COMPUTED_VALUE"""),"#16765")</f>
        <v>#16765</v>
      </c>
      <c r="C570" s="61"/>
      <c r="D570" s="61">
        <f>IFERROR(__xludf.DUMMYFUNCTION("""COMPUTED_VALUE"""),3.17250013E9)</f>
        <v>3172500130</v>
      </c>
      <c r="E570" s="61" t="str">
        <f>IFERROR(__xludf.DUMMYFUNCTION("""COMPUTED_VALUE"""),"Emily Kaiser")</f>
        <v>Emily Kaiser</v>
      </c>
      <c r="F570" s="61" t="str">
        <f>IFERROR(__xludf.DUMMYFUNCTION("""COMPUTED_VALUE"""),"Lucille Kaiser")</f>
        <v>Lucille Kaiser</v>
      </c>
      <c r="G570" s="61"/>
      <c r="H570" s="61" t="str">
        <f>IFERROR(__xludf.DUMMYFUNCTION("""COMPUTED_VALUE"""),"Appliance Rental")</f>
        <v>Appliance Rental</v>
      </c>
      <c r="I570" s="61" t="str">
        <f>IFERROR(__xludf.DUMMYFUNCTION("""COMPUTED_VALUE""")," Double-Door Mini Fridge + Microwave   - ")</f>
        <v> Double-Door Mini Fridge + Microwave   - </v>
      </c>
      <c r="J570" s="61">
        <f>IFERROR(__xludf.DUMMYFUNCTION("""COMPUTED_VALUE"""),210.0)</f>
        <v>210</v>
      </c>
      <c r="K570" s="100">
        <f>IFERROR(__xludf.DUMMYFUNCTION("""COMPUTED_VALUE"""),46248.0)</f>
        <v>46248</v>
      </c>
      <c r="L570" s="61" t="str">
        <f>IFERROR(__xludf.DUMMYFUNCTION("""COMPUTED_VALUE"""),"DON'T KNOW YET (put 'XXX' for room #)")</f>
        <v>DON'T KNOW YET (put 'XXX' for room #)</v>
      </c>
      <c r="M570" s="64" t="str">
        <f>IFERROR(__xludf.DUMMYFUNCTION("""COMPUTED_VALUE"""),"XXX")</f>
        <v>XXX</v>
      </c>
      <c r="N570" s="61"/>
      <c r="O570" s="61" t="b">
        <f>COUNTIF('Delivered Rentals'!A:A, B570) &gt; 0</f>
        <v>0</v>
      </c>
      <c r="P570" s="101" t="str">
        <f>IFERROR(__xludf.DUMMYFUNCTION("""COMPUTED_VALUE""")," ")</f>
        <v> </v>
      </c>
    </row>
    <row r="571">
      <c r="A571" s="102" t="str">
        <f>IFERROR(__xludf.DUMMYFUNCTION("""COMPUTED_VALUE"""),"https://utrucking.com/admin/orders/6227419758780")</f>
        <v>https://utrucking.com/admin/orders/6227419758780</v>
      </c>
      <c r="B571" s="65" t="str">
        <f>IFERROR(__xludf.DUMMYFUNCTION("""COMPUTED_VALUE"""),"#16772")</f>
        <v>#16772</v>
      </c>
      <c r="C571" s="65" t="str">
        <f>IFERROR(__xludf.DUMMYFUNCTION("""COMPUTED_VALUE"""),"priyankasomaiya974@gmail.com")</f>
        <v>priyankasomaiya974@gmail.com</v>
      </c>
      <c r="D571" s="65"/>
      <c r="E571" s="65" t="str">
        <f>IFERROR(__xludf.DUMMYFUNCTION("""COMPUTED_VALUE"""),"Priyanka Somaiya")</f>
        <v>Priyanka Somaiya</v>
      </c>
      <c r="F571" s="65" t="str">
        <f>IFERROR(__xludf.DUMMYFUNCTION("""COMPUTED_VALUE"""),"Priyanka Somaiya")</f>
        <v>Priyanka Somaiya</v>
      </c>
      <c r="G571" s="65"/>
      <c r="H571" s="65" t="str">
        <f>IFERROR(__xludf.DUMMYFUNCTION("""COMPUTED_VALUE"""),"Appliance Rental")</f>
        <v>Appliance Rental</v>
      </c>
      <c r="I571" s="65" t="str">
        <f>IFERROR(__xludf.DUMMYFUNCTION("""COMPUTED_VALUE""")," Double-Door Mini Fridge   - ")</f>
        <v> Double-Door Mini Fridge   - </v>
      </c>
      <c r="J571" s="65">
        <f>IFERROR(__xludf.DUMMYFUNCTION("""COMPUTED_VALUE"""),145.0)</f>
        <v>145</v>
      </c>
      <c r="K571" s="103">
        <f>IFERROR(__xludf.DUMMYFUNCTION("""COMPUTED_VALUE"""),46034.0)</f>
        <v>46034</v>
      </c>
      <c r="L571" s="65" t="str">
        <f>IFERROR(__xludf.DUMMYFUNCTION("""COMPUTED_VALUE"""),"Hitzeman  ")</f>
        <v>Hitzeman  </v>
      </c>
      <c r="M571" s="68" t="str">
        <f>IFERROR(__xludf.DUMMYFUNCTION("""COMPUTED_VALUE"""),"112")</f>
        <v>112</v>
      </c>
      <c r="N571" s="65"/>
      <c r="O571" s="65" t="b">
        <f>COUNTIF('Delivered Rentals'!A:A, B571) &gt; 0</f>
        <v>0</v>
      </c>
      <c r="P571" s="104" t="str">
        <f>IFERROR(__xludf.DUMMYFUNCTION("""COMPUTED_VALUE""")," ")</f>
        <v> </v>
      </c>
    </row>
    <row r="572">
      <c r="A572" s="99" t="str">
        <f>IFERROR(__xludf.DUMMYFUNCTION("""COMPUTED_VALUE"""),"https://utrucking.com/admin/orders/6228440350908")</f>
        <v>https://utrucking.com/admin/orders/6228440350908</v>
      </c>
      <c r="B572" s="61" t="str">
        <f>IFERROR(__xludf.DUMMYFUNCTION("""COMPUTED_VALUE"""),"#16776")</f>
        <v>#16776</v>
      </c>
      <c r="C572" s="61"/>
      <c r="D572" s="61">
        <f>IFERROR(__xludf.DUMMYFUNCTION("""COMPUTED_VALUE"""),9.143309695E9)</f>
        <v>9143309695</v>
      </c>
      <c r="E572" s="61" t="str">
        <f>IFERROR(__xludf.DUMMYFUNCTION("""COMPUTED_VALUE"""),"Amira Thadani")</f>
        <v>Amira Thadani</v>
      </c>
      <c r="F572" s="61" t="str">
        <f>IFERROR(__xludf.DUMMYFUNCTION("""COMPUTED_VALUE"""),"Amira Thadani")</f>
        <v>Amira Thadani</v>
      </c>
      <c r="G572" s="61"/>
      <c r="H572" s="61" t="str">
        <f>IFERROR(__xludf.DUMMYFUNCTION("""COMPUTED_VALUE"""),"Appliance Rental")</f>
        <v>Appliance Rental</v>
      </c>
      <c r="I572" s="61" t="str">
        <f>IFERROR(__xludf.DUMMYFUNCTION("""COMPUTED_VALUE""")," Standard Mini Fridge   - ")</f>
        <v> Standard Mini Fridge   - </v>
      </c>
      <c r="J572" s="61">
        <f>IFERROR(__xludf.DUMMYFUNCTION("""COMPUTED_VALUE"""),115.0)</f>
        <v>115</v>
      </c>
      <c r="K572" s="100">
        <f>IFERROR(__xludf.DUMMYFUNCTION("""COMPUTED_VALUE"""),46034.0)</f>
        <v>46034</v>
      </c>
      <c r="L572" s="61" t="str">
        <f>IFERROR(__xludf.DUMMYFUNCTION("""COMPUTED_VALUE"""),"Shepley  ")</f>
        <v>Shepley  </v>
      </c>
      <c r="M572" s="64" t="str">
        <f>IFERROR(__xludf.DUMMYFUNCTION("""COMPUTED_VALUE"""),"4011 - a")</f>
        <v>4011 - a</v>
      </c>
      <c r="N572" s="61"/>
      <c r="O572" s="61" t="b">
        <f>COUNTIF('Delivered Rentals'!A:A, B572) &gt; 0</f>
        <v>0</v>
      </c>
      <c r="P572" s="101" t="str">
        <f>IFERROR(__xludf.DUMMYFUNCTION("""COMPUTED_VALUE""")," ")</f>
        <v> </v>
      </c>
    </row>
    <row r="573">
      <c r="A573" s="102" t="str">
        <f>IFERROR(__xludf.DUMMYFUNCTION("""COMPUTED_VALUE"""),"https://utrucking.com/admin/orders/6266325303484")</f>
        <v>https://utrucking.com/admin/orders/6266325303484</v>
      </c>
      <c r="B573" s="65" t="str">
        <f>IFERROR(__xludf.DUMMYFUNCTION("""COMPUTED_VALUE"""),"#16780")</f>
        <v>#16780</v>
      </c>
      <c r="C573" s="65"/>
      <c r="D573" s="65">
        <f>IFERROR(__xludf.DUMMYFUNCTION("""COMPUTED_VALUE"""),5.166976116E9)</f>
        <v>5166976116</v>
      </c>
      <c r="E573" s="65" t="str">
        <f>IFERROR(__xludf.DUMMYFUNCTION("""COMPUTED_VALUE"""),"Michaela Damaghi")</f>
        <v>Michaela Damaghi</v>
      </c>
      <c r="F573" s="65" t="str">
        <f>IFERROR(__xludf.DUMMYFUNCTION("""COMPUTED_VALUE"""),"Michaela Damaghi")</f>
        <v>Michaela Damaghi</v>
      </c>
      <c r="G573" s="65"/>
      <c r="H573" s="65" t="str">
        <f>IFERROR(__xludf.DUMMYFUNCTION("""COMPUTED_VALUE"""),"Appliance Rental")</f>
        <v>Appliance Rental</v>
      </c>
      <c r="I573" s="65" t="str">
        <f>IFERROR(__xludf.DUMMYFUNCTION("""COMPUTED_VALUE""")," Standard Mini Fridge + Microwave   - ")</f>
        <v> Standard Mini Fridge + Microwave   - </v>
      </c>
      <c r="J573" s="65">
        <f>IFERROR(__xludf.DUMMYFUNCTION("""COMPUTED_VALUE"""),180.0)</f>
        <v>180</v>
      </c>
      <c r="K573" s="103">
        <f>IFERROR(__xludf.DUMMYFUNCTION("""COMPUTED_VALUE"""),46036.0)</f>
        <v>46036</v>
      </c>
      <c r="L573" s="65" t="str">
        <f>IFERROR(__xludf.DUMMYFUNCTION("""COMPUTED_VALUE"""),"Village East  ")</f>
        <v>Village East  </v>
      </c>
      <c r="M573" s="68" t="str">
        <f>IFERROR(__xludf.DUMMYFUNCTION("""COMPUTED_VALUE"""),"0044")</f>
        <v>0044</v>
      </c>
      <c r="N573" s="65"/>
      <c r="O573" s="65" t="b">
        <f>COUNTIF('Delivered Rentals'!A:A, B573) &gt; 0</f>
        <v>0</v>
      </c>
      <c r="P573" s="104" t="str">
        <f>IFERROR(__xludf.DUMMYFUNCTION("""COMPUTED_VALUE""")," ")</f>
        <v> </v>
      </c>
    </row>
    <row r="574">
      <c r="A574" s="99" t="str">
        <f>IFERROR(__xludf.DUMMYFUNCTION("""COMPUTED_VALUE"""),"https://utrucking.com/admin/orders/6353026023612")</f>
        <v>https://utrucking.com/admin/orders/6353026023612</v>
      </c>
      <c r="B574" s="61" t="str">
        <f>IFERROR(__xludf.DUMMYFUNCTION("""COMPUTED_VALUE"""),"#17096")</f>
        <v>#17096</v>
      </c>
      <c r="C574" s="61"/>
      <c r="D574" s="61">
        <f>IFERROR(__xludf.DUMMYFUNCTION("""COMPUTED_VALUE"""),7.472298328E9)</f>
        <v>7472298328</v>
      </c>
      <c r="E574" s="61" t="str">
        <f>IFERROR(__xludf.DUMMYFUNCTION("""COMPUTED_VALUE"""),"Thomas Moutes")</f>
        <v>Thomas Moutes</v>
      </c>
      <c r="F574" s="61" t="str">
        <f>IFERROR(__xludf.DUMMYFUNCTION("""COMPUTED_VALUE"""),"Jenna Moutes")</f>
        <v>Jenna Moutes</v>
      </c>
      <c r="G574" s="61"/>
      <c r="H574" s="61" t="str">
        <f>IFERROR(__xludf.DUMMYFUNCTION("""COMPUTED_VALUE"""),"Appliance Rental")</f>
        <v>Appliance Rental</v>
      </c>
      <c r="I574" s="61" t="str">
        <f>IFERROR(__xludf.DUMMYFUNCTION("""COMPUTED_VALUE""")," Standard Mini Fridge + Microwave   - ")</f>
        <v> Standard Mini Fridge + Microwave   - </v>
      </c>
      <c r="J574" s="61">
        <f>IFERROR(__xludf.DUMMYFUNCTION("""COMPUTED_VALUE"""),180.0)</f>
        <v>180</v>
      </c>
      <c r="K574" s="100">
        <f>IFERROR(__xludf.DUMMYFUNCTION("""COMPUTED_VALUE"""),46095.0)</f>
        <v>46095</v>
      </c>
      <c r="L574" s="61" t="str">
        <f>IFERROR(__xludf.DUMMYFUNCTION("""COMPUTED_VALUE"""),"Umrath  ")</f>
        <v>Umrath  </v>
      </c>
      <c r="M574" s="64" t="str">
        <f>IFERROR(__xludf.DUMMYFUNCTION("""COMPUTED_VALUE"""),"L230")</f>
        <v>L230</v>
      </c>
      <c r="N574" s="61"/>
      <c r="O574" s="61" t="b">
        <f>COUNTIF('Delivered Rentals'!A:A, B574) &gt; 0</f>
        <v>0</v>
      </c>
      <c r="P574" s="101" t="str">
        <f>IFERROR(__xludf.DUMMYFUNCTION("""COMPUTED_VALUE""")," ")</f>
        <v> </v>
      </c>
    </row>
    <row r="575">
      <c r="A575" s="102" t="str">
        <f>IFERROR(__xludf.DUMMYFUNCTION("""COMPUTED_VALUE"""),"https://utrucking.com/admin/orders/6413603406012")</f>
        <v>https://utrucking.com/admin/orders/6413603406012</v>
      </c>
      <c r="B575" s="65" t="str">
        <f>IFERROR(__xludf.DUMMYFUNCTION("""COMPUTED_VALUE"""),"#17401")</f>
        <v>#17401</v>
      </c>
      <c r="C575" s="65" t="str">
        <f>IFERROR(__xludf.DUMMYFUNCTION("""COMPUTED_VALUE"""),"leahanva@gmail.com")</f>
        <v>leahanva@gmail.com</v>
      </c>
      <c r="D575" s="65">
        <f>IFERROR(__xludf.DUMMYFUNCTION("""COMPUTED_VALUE"""),6.782969135E9)</f>
        <v>6782969135</v>
      </c>
      <c r="E575" s="65" t="str">
        <f>IFERROR(__xludf.DUMMYFUNCTION("""COMPUTED_VALUE"""),"Leah Golub")</f>
        <v>Leah Golub</v>
      </c>
      <c r="F575" s="65" t="str">
        <f>IFERROR(__xludf.DUMMYFUNCTION("""COMPUTED_VALUE"""),"Eva Golub")</f>
        <v>Eva Golub</v>
      </c>
      <c r="G575" s="65"/>
      <c r="H575" s="65" t="str">
        <f>IFERROR(__xludf.DUMMYFUNCTION("""COMPUTED_VALUE"""),"Appliance Rental")</f>
        <v>Appliance Rental</v>
      </c>
      <c r="I575" s="65" t="str">
        <f>IFERROR(__xludf.DUMMYFUNCTION("""COMPUTED_VALUE""")," Double-Door Mini Fridge + Microwave   - ")</f>
        <v> Double-Door Mini Fridge + Microwave   - </v>
      </c>
      <c r="J575" s="65">
        <f>IFERROR(__xludf.DUMMYFUNCTION("""COMPUTED_VALUE"""),210.0)</f>
        <v>210</v>
      </c>
      <c r="K575" s="103">
        <f>IFERROR(__xludf.DUMMYFUNCTION("""COMPUTED_VALUE"""),46255.0)</f>
        <v>46255</v>
      </c>
      <c r="L575" s="65" t="str">
        <f>IFERROR(__xludf.DUMMYFUNCTION("""COMPUTED_VALUE"""),"Lopata  ")</f>
        <v>Lopata  </v>
      </c>
      <c r="M575" s="68" t="str">
        <f>IFERROR(__xludf.DUMMYFUNCTION("""COMPUTED_VALUE"""),"XXX")</f>
        <v>XXX</v>
      </c>
      <c r="N575" s="65"/>
      <c r="O575" s="65" t="b">
        <f>COUNTIF('Delivered Rentals'!A:A, B575) &gt; 0</f>
        <v>0</v>
      </c>
      <c r="P575" s="104" t="str">
        <f>IFERROR(__xludf.DUMMYFUNCTION("""COMPUTED_VALUE""")," ")</f>
        <v> </v>
      </c>
    </row>
    <row r="576">
      <c r="A576" s="99" t="str">
        <f>IFERROR(__xludf.DUMMYFUNCTION("""COMPUTED_VALUE"""),"https://utrucking.com/admin/orders/6443226235068")</f>
        <v>https://utrucking.com/admin/orders/6443226235068</v>
      </c>
      <c r="B576" s="61" t="str">
        <f>IFERROR(__xludf.DUMMYFUNCTION("""COMPUTED_VALUE"""),"#17754")</f>
        <v>#17754</v>
      </c>
      <c r="C576" s="61" t="str">
        <f>IFERROR(__xludf.DUMMYFUNCTION("""COMPUTED_VALUE"""),"aimirsky@yahoo.com")</f>
        <v>aimirsky@yahoo.com</v>
      </c>
      <c r="D576" s="61">
        <f>IFERROR(__xludf.DUMMYFUNCTION("""COMPUTED_VALUE"""),6.784277093E9)</f>
        <v>6784277093</v>
      </c>
      <c r="E576" s="61" t="str">
        <f>IFERROR(__xludf.DUMMYFUNCTION("""COMPUTED_VALUE"""),"Allison Howard")</f>
        <v>Allison Howard</v>
      </c>
      <c r="F576" s="61" t="str">
        <f>IFERROR(__xludf.DUMMYFUNCTION("""COMPUTED_VALUE"""),"Simone Howard")</f>
        <v>Simone Howard</v>
      </c>
      <c r="G576" s="61"/>
      <c r="H576" s="61" t="str">
        <f>IFERROR(__xludf.DUMMYFUNCTION("""COMPUTED_VALUE"""),"Appliance Rental")</f>
        <v>Appliance Rental</v>
      </c>
      <c r="I576" s="61" t="str">
        <f>IFERROR(__xludf.DUMMYFUNCTION("""COMPUTED_VALUE""")," Double-Door Mini Fridge   - ")</f>
        <v> Double-Door Mini Fridge   - </v>
      </c>
      <c r="J576" s="61">
        <f>IFERROR(__xludf.DUMMYFUNCTION("""COMPUTED_VALUE"""),145.0)</f>
        <v>145</v>
      </c>
      <c r="K576" s="100">
        <f>IFERROR(__xludf.DUMMYFUNCTION("""COMPUTED_VALUE"""),46255.0)</f>
        <v>46255</v>
      </c>
      <c r="L576" s="61" t="str">
        <f>IFERROR(__xludf.DUMMYFUNCTION("""COMPUTED_VALUE"""),"Mudd  ")</f>
        <v>Mudd  </v>
      </c>
      <c r="M576" s="64" t="str">
        <f>IFERROR(__xludf.DUMMYFUNCTION("""COMPUTED_VALUE"""),"271")</f>
        <v>271</v>
      </c>
      <c r="N576" s="61" t="str">
        <f>IFERROR(__xludf.DUMMYFUNCTION("""COMPUTED_VALUE""")," ")</f>
        <v> </v>
      </c>
      <c r="O576" s="61" t="b">
        <f>COUNTIF('Delivered Rentals'!A:A, B576) &gt; 0</f>
        <v>0</v>
      </c>
      <c r="P576" s="101" t="str">
        <f>IFERROR(__xludf.DUMMYFUNCTION("""COMPUTED_VALUE""")," ")</f>
        <v> </v>
      </c>
    </row>
    <row r="577">
      <c r="A577" s="102" t="str">
        <f>IFERROR(__xludf.DUMMYFUNCTION("""COMPUTED_VALUE"""),"https://utrucking.com/admin/orders/6452827455676")</f>
        <v>https://utrucking.com/admin/orders/6452827455676</v>
      </c>
      <c r="B577" s="65" t="str">
        <f>IFERROR(__xludf.DUMMYFUNCTION("""COMPUTED_VALUE"""),"#18156")</f>
        <v>#18156</v>
      </c>
      <c r="C577" s="65" t="str">
        <f>IFERROR(__xludf.DUMMYFUNCTION("""COMPUTED_VALUE"""),"priyanka_kirubakaran@hotmail.com")</f>
        <v>priyanka_kirubakaran@hotmail.com</v>
      </c>
      <c r="D577" s="65">
        <f>IFERROR(__xludf.DUMMYFUNCTION("""COMPUTED_VALUE"""),3.307345426E9)</f>
        <v>3307345426</v>
      </c>
      <c r="E577" s="65" t="str">
        <f>IFERROR(__xludf.DUMMYFUNCTION("""COMPUTED_VALUE"""),"Priyanka Kirubakaran")</f>
        <v>Priyanka Kirubakaran</v>
      </c>
      <c r="F577" s="65" t="str">
        <f>IFERROR(__xludf.DUMMYFUNCTION("""COMPUTED_VALUE"""),"Sahana")</f>
        <v>Sahana</v>
      </c>
      <c r="G577" s="65"/>
      <c r="H577" s="65" t="str">
        <f>IFERROR(__xludf.DUMMYFUNCTION("""COMPUTED_VALUE"""),"Appliance Rental")</f>
        <v>Appliance Rental</v>
      </c>
      <c r="I577" s="65" t="str">
        <f>IFERROR(__xludf.DUMMYFUNCTION("""COMPUTED_VALUE""")," Double-Door Mini Fridge + Microwave   - ")</f>
        <v> Double-Door Mini Fridge + Microwave   - </v>
      </c>
      <c r="J577" s="65">
        <f>IFERROR(__xludf.DUMMYFUNCTION("""COMPUTED_VALUE"""),210.0)</f>
        <v>210</v>
      </c>
      <c r="K577" s="103">
        <f>IFERROR(__xludf.DUMMYFUNCTION("""COMPUTED_VALUE"""),46249.0)</f>
        <v>46249</v>
      </c>
      <c r="L577" s="65" t="str">
        <f>IFERROR(__xludf.DUMMYFUNCTION("""COMPUTED_VALUE"""),"DON'T KNOW YET (put 'XXX' for room #)")</f>
        <v>DON'T KNOW YET (put 'XXX' for room #)</v>
      </c>
      <c r="M577" s="68" t="str">
        <f>IFERROR(__xludf.DUMMYFUNCTION("""COMPUTED_VALUE"""),"Dont know ")</f>
        <v>Dont know </v>
      </c>
      <c r="N577" s="65" t="str">
        <f>IFERROR(__xludf.DUMMYFUNCTION("""COMPUTED_VALUE""")," ")</f>
        <v> </v>
      </c>
      <c r="O577" s="65" t="b">
        <f>COUNTIF('Delivered Rentals'!A:A, B577) &gt; 0</f>
        <v>0</v>
      </c>
      <c r="P577" s="104" t="str">
        <f>IFERROR(__xludf.DUMMYFUNCTION("""COMPUTED_VALUE""")," ")</f>
        <v> </v>
      </c>
    </row>
    <row r="578">
      <c r="A578" s="99" t="str">
        <f>IFERROR(__xludf.DUMMYFUNCTION("""COMPUTED_VALUE"""),"https://utrucking.com/admin/orders/6460491563196")</f>
        <v>https://utrucking.com/admin/orders/6460491563196</v>
      </c>
      <c r="B578" s="61" t="str">
        <f>IFERROR(__xludf.DUMMYFUNCTION("""COMPUTED_VALUE"""),"#18347")</f>
        <v>#18347</v>
      </c>
      <c r="C578" s="61" t="str">
        <f>IFERROR(__xludf.DUMMYFUNCTION("""COMPUTED_VALUE"""),"animalfarm@earthlink.net")</f>
        <v>animalfarm@earthlink.net</v>
      </c>
      <c r="D578" s="61">
        <f>IFERROR(__xludf.DUMMYFUNCTION("""COMPUTED_VALUE"""),2.094852901E9)</f>
        <v>2094852901</v>
      </c>
      <c r="E578" s="61" t="str">
        <f>IFERROR(__xludf.DUMMYFUNCTION("""COMPUTED_VALUE"""),"Kristen Santos")</f>
        <v>Kristen Santos</v>
      </c>
      <c r="F578" s="61" t="str">
        <f>IFERROR(__xludf.DUMMYFUNCTION("""COMPUTED_VALUE"""),"Theodore Santos")</f>
        <v>Theodore Santos</v>
      </c>
      <c r="G578" s="61"/>
      <c r="H578" s="61" t="str">
        <f>IFERROR(__xludf.DUMMYFUNCTION("""COMPUTED_VALUE"""),"Appliance Rental")</f>
        <v>Appliance Rental</v>
      </c>
      <c r="I578" s="61" t="str">
        <f>IFERROR(__xludf.DUMMYFUNCTION("""COMPUTED_VALUE""")," Double-Door Mini Fridge + Microwave / Academic Year (Aug–May)   - ")</f>
        <v> Double-Door Mini Fridge + Microwave / Academic Year (Aug–May)   - </v>
      </c>
      <c r="J578" s="61">
        <f>IFERROR(__xludf.DUMMYFUNCTION("""COMPUTED_VALUE"""),210.0)</f>
        <v>210</v>
      </c>
      <c r="K578" s="100">
        <f>IFERROR(__xludf.DUMMYFUNCTION("""COMPUTED_VALUE"""),46255.0)</f>
        <v>46255</v>
      </c>
      <c r="L578" s="61" t="str">
        <f>IFERROR(__xludf.DUMMYFUNCTION("""COMPUTED_VALUE"""),"Lopata  ")</f>
        <v>Lopata  </v>
      </c>
      <c r="M578" s="64" t="str">
        <f>IFERROR(__xludf.DUMMYFUNCTION("""COMPUTED_VALUE"""),"2003A")</f>
        <v>2003A</v>
      </c>
      <c r="N578" s="61" t="str">
        <f>IFERROR(__xludf.DUMMYFUNCTION("""COMPUTED_VALUE""")," ")</f>
        <v> </v>
      </c>
      <c r="O578" s="61" t="b">
        <f>COUNTIF('Delivered Rentals'!A:A, B578) &gt; 0</f>
        <v>0</v>
      </c>
      <c r="P578" s="101" t="str">
        <f>IFERROR(__xludf.DUMMYFUNCTION("""COMPUTED_VALUE""")," ")</f>
        <v> </v>
      </c>
    </row>
    <row r="579">
      <c r="A579" s="102" t="str">
        <f>IFERROR(__xludf.DUMMYFUNCTION("""COMPUTED_VALUE"""),"https://utrucking.com/admin/orders/6460561817788")</f>
        <v>https://utrucking.com/admin/orders/6460561817788</v>
      </c>
      <c r="B579" s="65" t="str">
        <f>IFERROR(__xludf.DUMMYFUNCTION("""COMPUTED_VALUE"""),"#18348")</f>
        <v>#18348</v>
      </c>
      <c r="C579" s="65" t="str">
        <f>IFERROR(__xludf.DUMMYFUNCTION("""COMPUTED_VALUE"""),"tina@industryfilms.com")</f>
        <v>tina@industryfilms.com</v>
      </c>
      <c r="D579" s="65">
        <f>IFERROR(__xludf.DUMMYFUNCTION("""COMPUTED_VALUE"""),7.18915217E9)</f>
        <v>7189152170</v>
      </c>
      <c r="E579" s="65" t="str">
        <f>IFERROR(__xludf.DUMMYFUNCTION("""COMPUTED_VALUE"""),"Tina Petridis-Gerling")</f>
        <v>Tina Petridis-Gerling</v>
      </c>
      <c r="F579" s="65" t="str">
        <f>IFERROR(__xludf.DUMMYFUNCTION("""COMPUTED_VALUE"""),"ALEXANDRA GERLING")</f>
        <v>ALEXANDRA GERLING</v>
      </c>
      <c r="G579" s="65"/>
      <c r="H579" s="65" t="str">
        <f>IFERROR(__xludf.DUMMYFUNCTION("""COMPUTED_VALUE"""),"Appliance Rental")</f>
        <v>Appliance Rental</v>
      </c>
      <c r="I579" s="65" t="str">
        <f>IFERROR(__xludf.DUMMYFUNCTION("""COMPUTED_VALUE""")," Double-Door Mini Fridge + Microwave / Academic Year (Aug–May)   - ")</f>
        <v> Double-Door Mini Fridge + Microwave / Academic Year (Aug–May)   - </v>
      </c>
      <c r="J579" s="65">
        <f>IFERROR(__xludf.DUMMYFUNCTION("""COMPUTED_VALUE"""),210.0)</f>
        <v>210</v>
      </c>
      <c r="K579" s="103">
        <f>IFERROR(__xludf.DUMMYFUNCTION("""COMPUTED_VALUE"""),46248.0)</f>
        <v>46248</v>
      </c>
      <c r="L579" s="65" t="str">
        <f>IFERROR(__xludf.DUMMYFUNCTION("""COMPUTED_VALUE"""),"DON'T KNOW YET (put 'XXX' for room #)")</f>
        <v>DON'T KNOW YET (put 'XXX' for room #)</v>
      </c>
      <c r="M579" s="68" t="str">
        <f>IFERROR(__xludf.DUMMYFUNCTION("""COMPUTED_VALUE"""),"XXX")</f>
        <v>XXX</v>
      </c>
      <c r="N579" s="65" t="str">
        <f>IFERROR(__xludf.DUMMYFUNCTION("""COMPUTED_VALUE""")," ")</f>
        <v> </v>
      </c>
      <c r="O579" s="65" t="b">
        <f>COUNTIF('Delivered Rentals'!A:A, B579) &gt; 0</f>
        <v>0</v>
      </c>
      <c r="P579" s="104" t="str">
        <f>IFERROR(__xludf.DUMMYFUNCTION("""COMPUTED_VALUE""")," ")</f>
        <v> </v>
      </c>
    </row>
    <row r="580">
      <c r="A580" s="99" t="str">
        <f>IFERROR(__xludf.DUMMYFUNCTION("""COMPUTED_VALUE"""),"https://utrucking.com/admin/orders/6463846318268")</f>
        <v>https://utrucking.com/admin/orders/6463846318268</v>
      </c>
      <c r="B580" s="61" t="str">
        <f>IFERROR(__xludf.DUMMYFUNCTION("""COMPUTED_VALUE"""),"#18371")</f>
        <v>#18371</v>
      </c>
      <c r="C580" s="61" t="str">
        <f>IFERROR(__xludf.DUMMYFUNCTION("""COMPUTED_VALUE"""),"avaswietgirl@gmail.com")</f>
        <v>avaswietgirl@gmail.com</v>
      </c>
      <c r="D580" s="61">
        <f>IFERROR(__xludf.DUMMYFUNCTION("""COMPUTED_VALUE"""),7.146255442E9)</f>
        <v>7146255442</v>
      </c>
      <c r="E580" s="61" t="str">
        <f>IFERROR(__xludf.DUMMYFUNCTION("""COMPUTED_VALUE"""),"Ava Swietlikowski")</f>
        <v>Ava Swietlikowski</v>
      </c>
      <c r="F580" s="61" t="str">
        <f>IFERROR(__xludf.DUMMYFUNCTION("""COMPUTED_VALUE"""),"Ava")</f>
        <v>Ava</v>
      </c>
      <c r="G580" s="61"/>
      <c r="H580" s="61" t="str">
        <f>IFERROR(__xludf.DUMMYFUNCTION("""COMPUTED_VALUE"""),"Appliance Rental")</f>
        <v>Appliance Rental</v>
      </c>
      <c r="I580" s="61" t="str">
        <f>IFERROR(__xludf.DUMMYFUNCTION("""COMPUTED_VALUE""")," Double-Door Mini Fridge / Academic Year (Aug–May)   - ")</f>
        <v> Double-Door Mini Fridge / Academic Year (Aug–May)   - </v>
      </c>
      <c r="J580" s="61">
        <f>IFERROR(__xludf.DUMMYFUNCTION("""COMPUTED_VALUE"""),145.0)</f>
        <v>145</v>
      </c>
      <c r="K580" s="100">
        <f>IFERROR(__xludf.DUMMYFUNCTION("""COMPUTED_VALUE"""),46241.0)</f>
        <v>46241</v>
      </c>
      <c r="L580" s="61" t="str">
        <f>IFERROR(__xludf.DUMMYFUNCTION("""COMPUTED_VALUE"""),"Nemerov  ")</f>
        <v>Nemerov  </v>
      </c>
      <c r="M580" s="64" t="str">
        <f>IFERROR(__xludf.DUMMYFUNCTION("""COMPUTED_VALUE"""),"2094")</f>
        <v>2094</v>
      </c>
      <c r="N580" s="61" t="str">
        <f>IFERROR(__xludf.DUMMYFUNCTION("""COMPUTED_VALUE""")," ")</f>
        <v> </v>
      </c>
      <c r="O580" s="61" t="b">
        <f>COUNTIF('Delivered Rentals'!A:A, B580) &gt; 0</f>
        <v>0</v>
      </c>
      <c r="P580" s="101" t="str">
        <f>IFERROR(__xludf.DUMMYFUNCTION("""COMPUTED_VALUE""")," ")</f>
        <v> </v>
      </c>
    </row>
    <row r="581">
      <c r="A581" s="102" t="str">
        <f>IFERROR(__xludf.DUMMYFUNCTION("""COMPUTED_VALUE"""),"https://utrucking.com/admin/orders/6464345309372")</f>
        <v>https://utrucking.com/admin/orders/6464345309372</v>
      </c>
      <c r="B581" s="65" t="str">
        <f>IFERROR(__xludf.DUMMYFUNCTION("""COMPUTED_VALUE"""),"#18374")</f>
        <v>#18374</v>
      </c>
      <c r="C581" s="65" t="str">
        <f>IFERROR(__xludf.DUMMYFUNCTION("""COMPUTED_VALUE"""),"jenn.nosenchuk@gmail.com")</f>
        <v>jenn.nosenchuk@gmail.com</v>
      </c>
      <c r="D581" s="65">
        <f>IFERROR(__xludf.DUMMYFUNCTION("""COMPUTED_VALUE"""),9.178466025E9)</f>
        <v>9178466025</v>
      </c>
      <c r="E581" s="65" t="str">
        <f>IFERROR(__xludf.DUMMYFUNCTION("""COMPUTED_VALUE"""),"Jennifer Nosenchuk")</f>
        <v>Jennifer Nosenchuk</v>
      </c>
      <c r="F581" s="65" t="str">
        <f>IFERROR(__xludf.DUMMYFUNCTION("""COMPUTED_VALUE"""),"Charlotte Nosenchuk")</f>
        <v>Charlotte Nosenchuk</v>
      </c>
      <c r="G581" s="65"/>
      <c r="H581" s="65" t="str">
        <f>IFERROR(__xludf.DUMMYFUNCTION("""COMPUTED_VALUE"""),"Appliance Rental")</f>
        <v>Appliance Rental</v>
      </c>
      <c r="I581" s="65" t="str">
        <f>IFERROR(__xludf.DUMMYFUNCTION("""COMPUTED_VALUE""")," Double-Door Mini Fridge + Microwave / Academic Year (Aug–May)   - ")</f>
        <v> Double-Door Mini Fridge + Microwave / Academic Year (Aug–May)   - </v>
      </c>
      <c r="J581" s="65">
        <f>IFERROR(__xludf.DUMMYFUNCTION("""COMPUTED_VALUE"""),210.0)</f>
        <v>210</v>
      </c>
      <c r="K581" s="103">
        <f>IFERROR(__xludf.DUMMYFUNCTION("""COMPUTED_VALUE"""),46248.0)</f>
        <v>46248</v>
      </c>
      <c r="L581" s="65" t="str">
        <f>IFERROR(__xludf.DUMMYFUNCTION("""COMPUTED_VALUE"""),"DON'T KNOW YET (put 'XXX' for room #)")</f>
        <v>DON'T KNOW YET (put 'XXX' for room #)</v>
      </c>
      <c r="M581" s="68" t="str">
        <f>IFERROR(__xludf.DUMMYFUNCTION("""COMPUTED_VALUE"""),"XXX")</f>
        <v>XXX</v>
      </c>
      <c r="N581" s="65" t="str">
        <f>IFERROR(__xludf.DUMMYFUNCTION("""COMPUTED_VALUE""")," ")</f>
        <v> </v>
      </c>
      <c r="O581" s="65" t="b">
        <f>COUNTIF('Delivered Rentals'!A:A, B581) &gt; 0</f>
        <v>0</v>
      </c>
      <c r="P581" s="104" t="str">
        <f>IFERROR(__xludf.DUMMYFUNCTION("""COMPUTED_VALUE""")," ")</f>
        <v> </v>
      </c>
    </row>
    <row r="582">
      <c r="A582" s="99" t="str">
        <f>IFERROR(__xludf.DUMMYFUNCTION("""COMPUTED_VALUE"""),"https://utrucking.com/admin/orders/6471430308028")</f>
        <v>https://utrucking.com/admin/orders/6471430308028</v>
      </c>
      <c r="B582" s="61" t="str">
        <f>IFERROR(__xludf.DUMMYFUNCTION("""COMPUTED_VALUE"""),"#18398")</f>
        <v>#18398</v>
      </c>
      <c r="C582" s="61" t="str">
        <f>IFERROR(__xludf.DUMMYFUNCTION("""COMPUTED_VALUE"""),"l.noa@wustl.edu")</f>
        <v>l.noa@wustl.edu</v>
      </c>
      <c r="D582" s="61">
        <f>IFERROR(__xludf.DUMMYFUNCTION("""COMPUTED_VALUE"""),3.104182714E9)</f>
        <v>3104182714</v>
      </c>
      <c r="E582" s="61" t="str">
        <f>IFERROR(__xludf.DUMMYFUNCTION("""COMPUTED_VALUE"""),"Stacey Levy")</f>
        <v>Stacey Levy</v>
      </c>
      <c r="F582" s="61" t="str">
        <f>IFERROR(__xludf.DUMMYFUNCTION("""COMPUTED_VALUE"""),"Noa Levy")</f>
        <v>Noa Levy</v>
      </c>
      <c r="G582" s="61"/>
      <c r="H582" s="61" t="str">
        <f>IFERROR(__xludf.DUMMYFUNCTION("""COMPUTED_VALUE"""),"Appliance Rental")</f>
        <v>Appliance Rental</v>
      </c>
      <c r="I582" s="61" t="str">
        <f>IFERROR(__xludf.DUMMYFUNCTION("""COMPUTED_VALUE""")," Double-Door Mini Fridge / Academic Year (Aug–May)   - ")</f>
        <v> Double-Door Mini Fridge / Academic Year (Aug–May)   - </v>
      </c>
      <c r="J582" s="61">
        <f>IFERROR(__xludf.DUMMYFUNCTION("""COMPUTED_VALUE"""),145.0)</f>
        <v>145</v>
      </c>
      <c r="K582" s="100">
        <f>IFERROR(__xludf.DUMMYFUNCTION("""COMPUTED_VALUE"""),46244.0)</f>
        <v>46244</v>
      </c>
      <c r="L582" s="61" t="str">
        <f>IFERROR(__xludf.DUMMYFUNCTION("""COMPUTED_VALUE"""),"Nemerov  ")</f>
        <v>Nemerov  </v>
      </c>
      <c r="M582" s="64" t="str">
        <f>IFERROR(__xludf.DUMMYFUNCTION("""COMPUTED_VALUE"""),"2010")</f>
        <v>2010</v>
      </c>
      <c r="N582" s="61" t="str">
        <f>IFERROR(__xludf.DUMMYFUNCTION("""COMPUTED_VALUE""")," ")</f>
        <v> </v>
      </c>
      <c r="O582" s="61" t="b">
        <f>COUNTIF('Delivered Rentals'!A:A, B582) &gt; 0</f>
        <v>0</v>
      </c>
      <c r="P582" s="101" t="str">
        <f>IFERROR(__xludf.DUMMYFUNCTION("""COMPUTED_VALUE""")," ")</f>
        <v> </v>
      </c>
    </row>
    <row r="583">
      <c r="A583" s="65"/>
      <c r="B583" s="65"/>
      <c r="C583" s="65"/>
      <c r="D583" s="65"/>
      <c r="E583" s="65"/>
      <c r="F583" s="65"/>
      <c r="G583" s="65"/>
      <c r="H583" s="65"/>
      <c r="I583" s="65"/>
      <c r="J583" s="65"/>
      <c r="K583" s="103"/>
      <c r="L583" s="65"/>
      <c r="M583" s="68"/>
      <c r="N583" s="65"/>
      <c r="O583" s="65" t="b">
        <f>COUNTIF('Delivered Rentals'!A:A, B583) &gt; 0</f>
        <v>0</v>
      </c>
      <c r="P583" s="104"/>
    </row>
    <row r="584">
      <c r="A584" s="61"/>
      <c r="B584" s="61"/>
      <c r="C584" s="61"/>
      <c r="D584" s="61"/>
      <c r="E584" s="61"/>
      <c r="F584" s="61"/>
      <c r="G584" s="61"/>
      <c r="H584" s="61"/>
      <c r="I584" s="61"/>
      <c r="J584" s="61"/>
      <c r="K584" s="100"/>
      <c r="L584" s="61"/>
      <c r="M584" s="64"/>
      <c r="N584" s="61"/>
      <c r="O584" s="61" t="b">
        <f>COUNTIF('Delivered Rentals'!A:A, B584) &gt; 0</f>
        <v>0</v>
      </c>
      <c r="P584" s="101"/>
    </row>
    <row r="585">
      <c r="A585" s="65"/>
      <c r="B585" s="65"/>
      <c r="C585" s="65"/>
      <c r="D585" s="65"/>
      <c r="E585" s="65"/>
      <c r="F585" s="65"/>
      <c r="G585" s="65"/>
      <c r="H585" s="65"/>
      <c r="I585" s="65"/>
      <c r="J585" s="65"/>
      <c r="K585" s="103"/>
      <c r="L585" s="65"/>
      <c r="M585" s="68"/>
      <c r="N585" s="65"/>
      <c r="O585" s="65" t="b">
        <f>COUNTIF('Delivered Rentals'!A:A, B585) &gt; 0</f>
        <v>0</v>
      </c>
      <c r="P585" s="104"/>
    </row>
    <row r="586">
      <c r="A586" s="61"/>
      <c r="B586" s="61"/>
      <c r="C586" s="61"/>
      <c r="D586" s="61"/>
      <c r="E586" s="61"/>
      <c r="F586" s="61"/>
      <c r="G586" s="61"/>
      <c r="H586" s="61"/>
      <c r="I586" s="61"/>
      <c r="J586" s="61"/>
      <c r="K586" s="100"/>
      <c r="L586" s="61"/>
      <c r="M586" s="64"/>
      <c r="N586" s="61"/>
      <c r="O586" s="61" t="b">
        <f>COUNTIF('Delivered Rentals'!A:A, B586) &gt; 0</f>
        <v>0</v>
      </c>
      <c r="P586" s="101"/>
    </row>
    <row r="587">
      <c r="A587" s="65"/>
      <c r="B587" s="65"/>
      <c r="C587" s="65"/>
      <c r="D587" s="65"/>
      <c r="E587" s="65"/>
      <c r="F587" s="65"/>
      <c r="G587" s="65"/>
      <c r="H587" s="65"/>
      <c r="I587" s="65"/>
      <c r="J587" s="65"/>
      <c r="K587" s="103"/>
      <c r="L587" s="65"/>
      <c r="M587" s="68"/>
      <c r="N587" s="65"/>
      <c r="O587" s="65" t="b">
        <f>COUNTIF('Delivered Rentals'!A:A, B587) &gt; 0</f>
        <v>0</v>
      </c>
      <c r="P587" s="104"/>
    </row>
    <row r="588">
      <c r="A588" s="61"/>
      <c r="B588" s="61"/>
      <c r="C588" s="61"/>
      <c r="D588" s="61"/>
      <c r="E588" s="61"/>
      <c r="F588" s="61"/>
      <c r="G588" s="61"/>
      <c r="H588" s="61"/>
      <c r="I588" s="61"/>
      <c r="J588" s="61"/>
      <c r="K588" s="100"/>
      <c r="L588" s="61"/>
      <c r="M588" s="64"/>
      <c r="N588" s="61"/>
      <c r="O588" s="61" t="b">
        <f>COUNTIF('Delivered Rentals'!A:A, B588) &gt; 0</f>
        <v>0</v>
      </c>
      <c r="P588" s="101"/>
    </row>
    <row r="589">
      <c r="A589" s="65"/>
      <c r="B589" s="65"/>
      <c r="C589" s="65"/>
      <c r="D589" s="65"/>
      <c r="E589" s="65"/>
      <c r="F589" s="65"/>
      <c r="G589" s="65"/>
      <c r="H589" s="65"/>
      <c r="I589" s="65"/>
      <c r="J589" s="65"/>
      <c r="K589" s="103"/>
      <c r="L589" s="65"/>
      <c r="M589" s="68"/>
      <c r="N589" s="65"/>
      <c r="O589" s="65" t="b">
        <f>COUNTIF('Delivered Rentals'!A:A, B589) &gt; 0</f>
        <v>0</v>
      </c>
      <c r="P589" s="104"/>
    </row>
    <row r="590">
      <c r="A590" s="61"/>
      <c r="B590" s="61"/>
      <c r="C590" s="61"/>
      <c r="D590" s="61"/>
      <c r="E590" s="61"/>
      <c r="F590" s="61"/>
      <c r="G590" s="61"/>
      <c r="H590" s="61"/>
      <c r="I590" s="61"/>
      <c r="J590" s="61"/>
      <c r="K590" s="100"/>
      <c r="L590" s="61"/>
      <c r="M590" s="64"/>
      <c r="N590" s="61"/>
      <c r="O590" s="61" t="b">
        <f>COUNTIF('Delivered Rentals'!A:A, B590) &gt; 0</f>
        <v>0</v>
      </c>
      <c r="P590" s="101"/>
    </row>
    <row r="591">
      <c r="A591" s="65"/>
      <c r="B591" s="65"/>
      <c r="C591" s="65"/>
      <c r="D591" s="65"/>
      <c r="E591" s="65"/>
      <c r="F591" s="65"/>
      <c r="G591" s="65"/>
      <c r="H591" s="65"/>
      <c r="I591" s="65"/>
      <c r="J591" s="65"/>
      <c r="K591" s="103"/>
      <c r="L591" s="65"/>
      <c r="M591" s="68"/>
      <c r="N591" s="65"/>
      <c r="O591" s="65" t="b">
        <f>COUNTIF('Delivered Rentals'!A:A, B591) &gt; 0</f>
        <v>0</v>
      </c>
      <c r="P591" s="104"/>
    </row>
    <row r="592">
      <c r="A592" s="61"/>
      <c r="B592" s="61"/>
      <c r="C592" s="61"/>
      <c r="D592" s="61"/>
      <c r="E592" s="61"/>
      <c r="F592" s="61"/>
      <c r="G592" s="61"/>
      <c r="H592" s="61"/>
      <c r="I592" s="61"/>
      <c r="J592" s="61"/>
      <c r="K592" s="100"/>
      <c r="L592" s="61"/>
      <c r="M592" s="64"/>
      <c r="N592" s="61"/>
      <c r="O592" s="61" t="b">
        <f>COUNTIF('Delivered Rentals'!A:A, B592) &gt; 0</f>
        <v>0</v>
      </c>
      <c r="P592" s="101"/>
    </row>
    <row r="593">
      <c r="A593" s="65"/>
      <c r="B593" s="65"/>
      <c r="C593" s="65"/>
      <c r="D593" s="65"/>
      <c r="E593" s="65"/>
      <c r="F593" s="65"/>
      <c r="G593" s="65"/>
      <c r="H593" s="65"/>
      <c r="I593" s="65"/>
      <c r="J593" s="65"/>
      <c r="K593" s="103"/>
      <c r="L593" s="65"/>
      <c r="M593" s="68"/>
      <c r="N593" s="65"/>
      <c r="O593" s="65" t="b">
        <f>COUNTIF('Delivered Rentals'!A:A, B593) &gt; 0</f>
        <v>0</v>
      </c>
      <c r="P593" s="104"/>
    </row>
    <row r="594">
      <c r="A594" s="61"/>
      <c r="B594" s="61"/>
      <c r="C594" s="61"/>
      <c r="D594" s="61"/>
      <c r="E594" s="61"/>
      <c r="F594" s="61"/>
      <c r="G594" s="61"/>
      <c r="H594" s="61"/>
      <c r="I594" s="61"/>
      <c r="J594" s="61"/>
      <c r="K594" s="100"/>
      <c r="L594" s="61"/>
      <c r="M594" s="64"/>
      <c r="N594" s="61"/>
      <c r="O594" s="61" t="b">
        <f>COUNTIF('Delivered Rentals'!A:A, B594) &gt; 0</f>
        <v>0</v>
      </c>
      <c r="P594" s="101"/>
    </row>
    <row r="595">
      <c r="A595" s="65"/>
      <c r="B595" s="65"/>
      <c r="C595" s="65"/>
      <c r="D595" s="65"/>
      <c r="E595" s="65"/>
      <c r="F595" s="65"/>
      <c r="G595" s="65"/>
      <c r="H595" s="65"/>
      <c r="I595" s="65"/>
      <c r="J595" s="65"/>
      <c r="K595" s="103"/>
      <c r="L595" s="65"/>
      <c r="M595" s="68"/>
      <c r="N595" s="65"/>
      <c r="O595" s="65" t="b">
        <f>COUNTIF('Delivered Rentals'!A:A, B595) &gt; 0</f>
        <v>0</v>
      </c>
      <c r="P595" s="104"/>
    </row>
    <row r="596">
      <c r="A596" s="61"/>
      <c r="B596" s="61"/>
      <c r="C596" s="61"/>
      <c r="D596" s="61"/>
      <c r="E596" s="61"/>
      <c r="F596" s="61"/>
      <c r="G596" s="61"/>
      <c r="H596" s="61"/>
      <c r="I596" s="61"/>
      <c r="J596" s="61"/>
      <c r="K596" s="100"/>
      <c r="L596" s="61"/>
      <c r="M596" s="64"/>
      <c r="N596" s="61"/>
      <c r="O596" s="61" t="b">
        <f>COUNTIF('Delivered Rentals'!A:A, B596) &gt; 0</f>
        <v>0</v>
      </c>
      <c r="P596" s="101"/>
    </row>
    <row r="597">
      <c r="A597" s="65"/>
      <c r="B597" s="65"/>
      <c r="C597" s="65"/>
      <c r="D597" s="65"/>
      <c r="E597" s="65"/>
      <c r="F597" s="65"/>
      <c r="G597" s="65"/>
      <c r="H597" s="65"/>
      <c r="I597" s="65"/>
      <c r="J597" s="65"/>
      <c r="K597" s="103"/>
      <c r="L597" s="65"/>
      <c r="M597" s="68"/>
      <c r="N597" s="65"/>
      <c r="O597" s="65" t="b">
        <f>COUNTIF('Delivered Rentals'!A:A, B597) &gt; 0</f>
        <v>0</v>
      </c>
      <c r="P597" s="104"/>
    </row>
    <row r="598">
      <c r="A598" s="61"/>
      <c r="B598" s="61"/>
      <c r="C598" s="61"/>
      <c r="D598" s="61"/>
      <c r="E598" s="61"/>
      <c r="F598" s="61"/>
      <c r="G598" s="61"/>
      <c r="H598" s="61"/>
      <c r="I598" s="61"/>
      <c r="J598" s="61"/>
      <c r="K598" s="100"/>
      <c r="L598" s="61"/>
      <c r="M598" s="64"/>
      <c r="N598" s="61"/>
      <c r="O598" s="61" t="b">
        <f>COUNTIF('Delivered Rentals'!A:A, B598) &gt; 0</f>
        <v>0</v>
      </c>
      <c r="P598" s="101"/>
    </row>
    <row r="599">
      <c r="A599" s="65"/>
      <c r="B599" s="65"/>
      <c r="C599" s="65"/>
      <c r="D599" s="65"/>
      <c r="E599" s="65"/>
      <c r="F599" s="65"/>
      <c r="G599" s="65"/>
      <c r="H599" s="65"/>
      <c r="I599" s="65"/>
      <c r="J599" s="65"/>
      <c r="K599" s="103"/>
      <c r="L599" s="65"/>
      <c r="M599" s="68"/>
      <c r="N599" s="65"/>
      <c r="O599" s="65" t="b">
        <f>COUNTIF('Delivered Rentals'!A:A, B599) &gt; 0</f>
        <v>0</v>
      </c>
      <c r="P599" s="104"/>
    </row>
    <row r="600">
      <c r="A600" s="61"/>
      <c r="B600" s="61"/>
      <c r="C600" s="61"/>
      <c r="D600" s="61"/>
      <c r="E600" s="61"/>
      <c r="F600" s="61"/>
      <c r="G600" s="61"/>
      <c r="H600" s="61"/>
      <c r="I600" s="61"/>
      <c r="J600" s="61"/>
      <c r="K600" s="100"/>
      <c r="L600" s="61"/>
      <c r="M600" s="64"/>
      <c r="N600" s="61"/>
      <c r="O600" s="61" t="b">
        <f>COUNTIF('Delivered Rentals'!A:A, B600) &gt; 0</f>
        <v>0</v>
      </c>
      <c r="P600" s="101"/>
    </row>
    <row r="601">
      <c r="A601" s="65"/>
      <c r="B601" s="65"/>
      <c r="C601" s="65"/>
      <c r="D601" s="65"/>
      <c r="E601" s="65"/>
      <c r="F601" s="65"/>
      <c r="G601" s="65"/>
      <c r="H601" s="65"/>
      <c r="I601" s="65"/>
      <c r="J601" s="65"/>
      <c r="K601" s="103"/>
      <c r="L601" s="65"/>
      <c r="M601" s="68"/>
      <c r="N601" s="65"/>
      <c r="O601" s="65" t="b">
        <f>COUNTIF('Delivered Rentals'!A:A, B601) &gt; 0</f>
        <v>0</v>
      </c>
      <c r="P601" s="104"/>
    </row>
    <row r="602">
      <c r="A602" s="61"/>
      <c r="B602" s="61"/>
      <c r="C602" s="61"/>
      <c r="D602" s="61"/>
      <c r="E602" s="61"/>
      <c r="F602" s="61"/>
      <c r="G602" s="61"/>
      <c r="H602" s="61"/>
      <c r="I602" s="61"/>
      <c r="J602" s="61"/>
      <c r="K602" s="100"/>
      <c r="L602" s="61"/>
      <c r="M602" s="64"/>
      <c r="N602" s="61"/>
      <c r="O602" s="61" t="b">
        <f>COUNTIF('Delivered Rentals'!A:A, B602) &gt; 0</f>
        <v>0</v>
      </c>
      <c r="P602" s="101"/>
    </row>
    <row r="603">
      <c r="A603" s="65"/>
      <c r="B603" s="65"/>
      <c r="C603" s="65"/>
      <c r="D603" s="65"/>
      <c r="E603" s="65"/>
      <c r="F603" s="65"/>
      <c r="G603" s="65"/>
      <c r="H603" s="65"/>
      <c r="I603" s="65"/>
      <c r="J603" s="65"/>
      <c r="K603" s="103"/>
      <c r="L603" s="65"/>
      <c r="M603" s="68"/>
      <c r="N603" s="65"/>
      <c r="O603" s="65" t="b">
        <f>COUNTIF('Delivered Rentals'!A:A, B603) &gt; 0</f>
        <v>0</v>
      </c>
      <c r="P603" s="104"/>
    </row>
    <row r="604">
      <c r="A604" s="61"/>
      <c r="B604" s="61"/>
      <c r="C604" s="61"/>
      <c r="D604" s="61"/>
      <c r="E604" s="61"/>
      <c r="F604" s="61"/>
      <c r="G604" s="61"/>
      <c r="H604" s="61"/>
      <c r="I604" s="61"/>
      <c r="J604" s="61"/>
      <c r="K604" s="100"/>
      <c r="L604" s="61"/>
      <c r="M604" s="64"/>
      <c r="N604" s="61"/>
      <c r="O604" s="61" t="b">
        <f>COUNTIF('Delivered Rentals'!A:A, B604) &gt; 0</f>
        <v>0</v>
      </c>
      <c r="P604" s="101"/>
    </row>
    <row r="605">
      <c r="A605" s="65"/>
      <c r="B605" s="65"/>
      <c r="C605" s="65"/>
      <c r="D605" s="65"/>
      <c r="E605" s="65"/>
      <c r="F605" s="65"/>
      <c r="G605" s="65"/>
      <c r="H605" s="65"/>
      <c r="I605" s="65"/>
      <c r="J605" s="65"/>
      <c r="K605" s="103"/>
      <c r="L605" s="65"/>
      <c r="M605" s="68"/>
      <c r="N605" s="65"/>
      <c r="O605" s="65" t="b">
        <f>COUNTIF('Delivered Rentals'!A:A, B605) &gt; 0</f>
        <v>0</v>
      </c>
      <c r="P605" s="104"/>
    </row>
    <row r="606">
      <c r="A606" s="61"/>
      <c r="B606" s="61"/>
      <c r="C606" s="61"/>
      <c r="D606" s="61"/>
      <c r="E606" s="61"/>
      <c r="F606" s="61"/>
      <c r="G606" s="61"/>
      <c r="H606" s="61"/>
      <c r="I606" s="61"/>
      <c r="J606" s="61"/>
      <c r="K606" s="100"/>
      <c r="L606" s="61"/>
      <c r="M606" s="64"/>
      <c r="N606" s="61"/>
      <c r="O606" s="61" t="b">
        <f>COUNTIF('Delivered Rentals'!A:A, B606) &gt; 0</f>
        <v>0</v>
      </c>
      <c r="P606" s="101"/>
    </row>
    <row r="607">
      <c r="A607" s="65"/>
      <c r="B607" s="65"/>
      <c r="C607" s="65"/>
      <c r="D607" s="65"/>
      <c r="E607" s="65"/>
      <c r="F607" s="65"/>
      <c r="G607" s="65"/>
      <c r="H607" s="65"/>
      <c r="I607" s="65"/>
      <c r="J607" s="65"/>
      <c r="K607" s="103"/>
      <c r="L607" s="65"/>
      <c r="M607" s="68"/>
      <c r="N607" s="65"/>
      <c r="O607" s="65" t="b">
        <f>COUNTIF('Delivered Rentals'!A:A, B607) &gt; 0</f>
        <v>0</v>
      </c>
      <c r="P607" s="104"/>
    </row>
    <row r="608">
      <c r="A608" s="61"/>
      <c r="B608" s="61"/>
      <c r="C608" s="61"/>
      <c r="D608" s="61"/>
      <c r="E608" s="61"/>
      <c r="F608" s="61"/>
      <c r="G608" s="61"/>
      <c r="H608" s="61"/>
      <c r="I608" s="61"/>
      <c r="J608" s="61"/>
      <c r="K608" s="100"/>
      <c r="L608" s="61"/>
      <c r="M608" s="64"/>
      <c r="N608" s="61"/>
      <c r="O608" s="61" t="b">
        <f>COUNTIF('Delivered Rentals'!A:A, B608) &gt; 0</f>
        <v>0</v>
      </c>
      <c r="P608" s="101"/>
    </row>
    <row r="609">
      <c r="A609" s="65"/>
      <c r="B609" s="65"/>
      <c r="C609" s="65"/>
      <c r="D609" s="65"/>
      <c r="E609" s="65"/>
      <c r="F609" s="65"/>
      <c r="G609" s="65"/>
      <c r="H609" s="65"/>
      <c r="I609" s="65"/>
      <c r="J609" s="65"/>
      <c r="K609" s="103"/>
      <c r="L609" s="65"/>
      <c r="M609" s="68"/>
      <c r="N609" s="65"/>
      <c r="O609" s="65" t="b">
        <f>COUNTIF('Delivered Rentals'!A:A, B609) &gt; 0</f>
        <v>0</v>
      </c>
      <c r="P609" s="104"/>
    </row>
    <row r="610">
      <c r="A610" s="61"/>
      <c r="B610" s="61"/>
      <c r="C610" s="61"/>
      <c r="D610" s="61"/>
      <c r="E610" s="61"/>
      <c r="F610" s="61"/>
      <c r="G610" s="61"/>
      <c r="H610" s="61"/>
      <c r="I610" s="61"/>
      <c r="J610" s="61"/>
      <c r="K610" s="100"/>
      <c r="L610" s="61"/>
      <c r="M610" s="64"/>
      <c r="N610" s="61"/>
      <c r="O610" s="61" t="b">
        <f>COUNTIF('Delivered Rentals'!A:A, B610) &gt; 0</f>
        <v>0</v>
      </c>
      <c r="P610" s="101"/>
    </row>
    <row r="611">
      <c r="A611" s="65"/>
      <c r="B611" s="65"/>
      <c r="C611" s="65"/>
      <c r="D611" s="65"/>
      <c r="E611" s="65"/>
      <c r="F611" s="65"/>
      <c r="G611" s="65"/>
      <c r="H611" s="65"/>
      <c r="I611" s="65"/>
      <c r="J611" s="65"/>
      <c r="K611" s="103"/>
      <c r="L611" s="65"/>
      <c r="M611" s="68"/>
      <c r="N611" s="65"/>
      <c r="O611" s="65" t="b">
        <f>COUNTIF('Delivered Rentals'!A:A, B611) &gt; 0</f>
        <v>0</v>
      </c>
      <c r="P611" s="104"/>
    </row>
    <row r="612">
      <c r="A612" s="61"/>
      <c r="B612" s="61"/>
      <c r="C612" s="61"/>
      <c r="D612" s="61"/>
      <c r="E612" s="61"/>
      <c r="F612" s="61"/>
      <c r="G612" s="61"/>
      <c r="H612" s="61"/>
      <c r="I612" s="61"/>
      <c r="J612" s="61"/>
      <c r="K612" s="100"/>
      <c r="L612" s="61"/>
      <c r="M612" s="64"/>
      <c r="N612" s="61"/>
      <c r="O612" s="61" t="b">
        <f>COUNTIF('Delivered Rentals'!A:A, B612) &gt; 0</f>
        <v>0</v>
      </c>
      <c r="P612" s="101"/>
    </row>
    <row r="613">
      <c r="A613" s="65"/>
      <c r="B613" s="65"/>
      <c r="C613" s="65"/>
      <c r="D613" s="65"/>
      <c r="E613" s="65"/>
      <c r="F613" s="65"/>
      <c r="G613" s="65"/>
      <c r="H613" s="65"/>
      <c r="I613" s="65"/>
      <c r="J613" s="65"/>
      <c r="K613" s="103"/>
      <c r="L613" s="65"/>
      <c r="M613" s="68"/>
      <c r="N613" s="65"/>
      <c r="O613" s="65" t="b">
        <f>COUNTIF('Delivered Rentals'!A:A, B613) &gt; 0</f>
        <v>0</v>
      </c>
      <c r="P613" s="104"/>
    </row>
    <row r="614">
      <c r="A614" s="61"/>
      <c r="B614" s="61"/>
      <c r="C614" s="61"/>
      <c r="D614" s="61"/>
      <c r="E614" s="61"/>
      <c r="F614" s="61"/>
      <c r="G614" s="61"/>
      <c r="H614" s="61"/>
      <c r="I614" s="61"/>
      <c r="J614" s="61"/>
      <c r="K614" s="100"/>
      <c r="L614" s="61"/>
      <c r="M614" s="64"/>
      <c r="N614" s="61"/>
      <c r="O614" s="61" t="b">
        <f>COUNTIF('Delivered Rentals'!A:A, B614) &gt; 0</f>
        <v>0</v>
      </c>
      <c r="P614" s="101"/>
    </row>
    <row r="615">
      <c r="A615" s="65"/>
      <c r="B615" s="65"/>
      <c r="C615" s="65"/>
      <c r="D615" s="65"/>
      <c r="E615" s="65"/>
      <c r="F615" s="65"/>
      <c r="G615" s="65"/>
      <c r="H615" s="65"/>
      <c r="I615" s="65"/>
      <c r="J615" s="65"/>
      <c r="K615" s="103"/>
      <c r="L615" s="65"/>
      <c r="M615" s="68"/>
      <c r="N615" s="65"/>
      <c r="O615" s="65" t="b">
        <f>COUNTIF('Delivered Rentals'!A:A, B615) &gt; 0</f>
        <v>0</v>
      </c>
      <c r="P615" s="104"/>
    </row>
    <row r="616">
      <c r="A616" s="61"/>
      <c r="B616" s="61"/>
      <c r="C616" s="61"/>
      <c r="D616" s="61"/>
      <c r="E616" s="61"/>
      <c r="F616" s="61"/>
      <c r="G616" s="61"/>
      <c r="H616" s="61"/>
      <c r="I616" s="61"/>
      <c r="J616" s="61"/>
      <c r="K616" s="100"/>
      <c r="L616" s="61"/>
      <c r="M616" s="64"/>
      <c r="N616" s="61"/>
      <c r="O616" s="61" t="b">
        <f>COUNTIF('Delivered Rentals'!A:A, B616) &gt; 0</f>
        <v>0</v>
      </c>
      <c r="P616" s="101"/>
    </row>
    <row r="617">
      <c r="A617" s="65"/>
      <c r="B617" s="65"/>
      <c r="C617" s="65"/>
      <c r="D617" s="65"/>
      <c r="E617" s="65"/>
      <c r="F617" s="65"/>
      <c r="G617" s="65"/>
      <c r="H617" s="65"/>
      <c r="I617" s="65"/>
      <c r="J617" s="65"/>
      <c r="K617" s="103"/>
      <c r="L617" s="65"/>
      <c r="M617" s="68"/>
      <c r="N617" s="65"/>
      <c r="O617" s="65" t="b">
        <f>COUNTIF('Delivered Rentals'!A:A, B617) &gt; 0</f>
        <v>0</v>
      </c>
      <c r="P617" s="104"/>
    </row>
    <row r="618">
      <c r="A618" s="61"/>
      <c r="B618" s="61"/>
      <c r="C618" s="61"/>
      <c r="D618" s="61"/>
      <c r="E618" s="61"/>
      <c r="F618" s="61"/>
      <c r="G618" s="61"/>
      <c r="H618" s="61"/>
      <c r="I618" s="61"/>
      <c r="J618" s="61"/>
      <c r="K618" s="100"/>
      <c r="L618" s="61"/>
      <c r="M618" s="64"/>
      <c r="N618" s="61"/>
      <c r="O618" s="61" t="b">
        <f>COUNTIF('Delivered Rentals'!A:A, B618) &gt; 0</f>
        <v>0</v>
      </c>
      <c r="P618" s="101"/>
    </row>
    <row r="619">
      <c r="A619" s="65"/>
      <c r="B619" s="65"/>
      <c r="C619" s="65"/>
      <c r="D619" s="65"/>
      <c r="E619" s="65"/>
      <c r="F619" s="65"/>
      <c r="G619" s="65"/>
      <c r="H619" s="65"/>
      <c r="I619" s="65"/>
      <c r="J619" s="65"/>
      <c r="K619" s="103"/>
      <c r="L619" s="65"/>
      <c r="M619" s="68"/>
      <c r="N619" s="65"/>
      <c r="O619" s="65" t="b">
        <f>COUNTIF('Delivered Rentals'!A:A, B619) &gt; 0</f>
        <v>0</v>
      </c>
      <c r="P619" s="104"/>
    </row>
    <row r="620">
      <c r="A620" s="61"/>
      <c r="B620" s="61"/>
      <c r="C620" s="61"/>
      <c r="D620" s="61"/>
      <c r="E620" s="61"/>
      <c r="F620" s="61"/>
      <c r="G620" s="61"/>
      <c r="H620" s="61"/>
      <c r="I620" s="61"/>
      <c r="J620" s="61"/>
      <c r="K620" s="100"/>
      <c r="L620" s="61"/>
      <c r="M620" s="64"/>
      <c r="N620" s="61"/>
      <c r="O620" s="61" t="b">
        <f>COUNTIF('Delivered Rentals'!A:A, B620) &gt; 0</f>
        <v>0</v>
      </c>
      <c r="P620" s="101"/>
    </row>
    <row r="621">
      <c r="A621" s="65"/>
      <c r="B621" s="65"/>
      <c r="C621" s="65"/>
      <c r="D621" s="65"/>
      <c r="E621" s="65"/>
      <c r="F621" s="65"/>
      <c r="G621" s="65"/>
      <c r="H621" s="65"/>
      <c r="I621" s="65"/>
      <c r="J621" s="65"/>
      <c r="K621" s="103"/>
      <c r="L621" s="65"/>
      <c r="M621" s="68"/>
      <c r="N621" s="65"/>
      <c r="O621" s="65" t="b">
        <f>COUNTIF('Delivered Rentals'!A:A, B621) &gt; 0</f>
        <v>0</v>
      </c>
      <c r="P621" s="104"/>
    </row>
    <row r="622">
      <c r="A622" s="61"/>
      <c r="B622" s="61"/>
      <c r="C622" s="61"/>
      <c r="D622" s="61"/>
      <c r="E622" s="61"/>
      <c r="F622" s="61"/>
      <c r="G622" s="61"/>
      <c r="H622" s="61"/>
      <c r="I622" s="61"/>
      <c r="J622" s="61"/>
      <c r="K622" s="100"/>
      <c r="L622" s="61"/>
      <c r="M622" s="64"/>
      <c r="N622" s="61"/>
      <c r="O622" s="61" t="b">
        <f>COUNTIF('Delivered Rentals'!A:A, B622) &gt; 0</f>
        <v>0</v>
      </c>
      <c r="P622" s="101"/>
    </row>
    <row r="623">
      <c r="A623" s="65"/>
      <c r="B623" s="65"/>
      <c r="C623" s="65"/>
      <c r="D623" s="65"/>
      <c r="E623" s="65"/>
      <c r="F623" s="65"/>
      <c r="G623" s="65"/>
      <c r="H623" s="65"/>
      <c r="I623" s="65"/>
      <c r="J623" s="65"/>
      <c r="K623" s="103"/>
      <c r="L623" s="65"/>
      <c r="M623" s="68"/>
      <c r="N623" s="65"/>
      <c r="O623" s="65" t="b">
        <f>COUNTIF('Delivered Rentals'!A:A, B623) &gt; 0</f>
        <v>0</v>
      </c>
      <c r="P623" s="104"/>
    </row>
    <row r="624">
      <c r="A624" s="61"/>
      <c r="B624" s="61"/>
      <c r="C624" s="61"/>
      <c r="D624" s="61"/>
      <c r="E624" s="61"/>
      <c r="F624" s="61"/>
      <c r="G624" s="61"/>
      <c r="H624" s="61"/>
      <c r="I624" s="61"/>
      <c r="J624" s="61"/>
      <c r="K624" s="100"/>
      <c r="L624" s="61"/>
      <c r="M624" s="64"/>
      <c r="N624" s="61"/>
      <c r="O624" s="61" t="b">
        <f>COUNTIF('Delivered Rentals'!A:A, B624) &gt; 0</f>
        <v>0</v>
      </c>
      <c r="P624" s="101"/>
    </row>
    <row r="625">
      <c r="A625" s="65"/>
      <c r="B625" s="65"/>
      <c r="C625" s="65"/>
      <c r="D625" s="65"/>
      <c r="E625" s="65"/>
      <c r="F625" s="65"/>
      <c r="G625" s="65"/>
      <c r="H625" s="65"/>
      <c r="I625" s="65"/>
      <c r="J625" s="65"/>
      <c r="K625" s="103"/>
      <c r="L625" s="65"/>
      <c r="M625" s="68"/>
      <c r="N625" s="65"/>
      <c r="O625" s="65" t="b">
        <f>COUNTIF('Delivered Rentals'!A:A, B625) &gt; 0</f>
        <v>0</v>
      </c>
      <c r="P625" s="104"/>
    </row>
    <row r="626">
      <c r="A626" s="61"/>
      <c r="B626" s="61"/>
      <c r="C626" s="61"/>
      <c r="D626" s="61"/>
      <c r="E626" s="61"/>
      <c r="F626" s="61"/>
      <c r="G626" s="61"/>
      <c r="H626" s="61"/>
      <c r="I626" s="61"/>
      <c r="J626" s="61"/>
      <c r="K626" s="100"/>
      <c r="L626" s="61"/>
      <c r="M626" s="64"/>
      <c r="N626" s="61"/>
      <c r="O626" s="61" t="b">
        <f>COUNTIF('Delivered Rentals'!A:A, B626) &gt; 0</f>
        <v>0</v>
      </c>
      <c r="P626" s="101"/>
    </row>
    <row r="627">
      <c r="A627" s="65"/>
      <c r="B627" s="65"/>
      <c r="C627" s="65"/>
      <c r="D627" s="65"/>
      <c r="E627" s="65"/>
      <c r="F627" s="65"/>
      <c r="G627" s="65"/>
      <c r="H627" s="65"/>
      <c r="I627" s="65"/>
      <c r="J627" s="65"/>
      <c r="K627" s="103"/>
      <c r="L627" s="65"/>
      <c r="M627" s="68"/>
      <c r="N627" s="65"/>
      <c r="O627" s="65" t="b">
        <f>COUNTIF('Delivered Rentals'!A:A, B627) &gt; 0</f>
        <v>0</v>
      </c>
      <c r="P627" s="104"/>
    </row>
    <row r="628">
      <c r="A628" s="61"/>
      <c r="B628" s="61"/>
      <c r="C628" s="61"/>
      <c r="D628" s="61"/>
      <c r="E628" s="61"/>
      <c r="F628" s="61"/>
      <c r="G628" s="61"/>
      <c r="H628" s="61"/>
      <c r="I628" s="61"/>
      <c r="J628" s="61"/>
      <c r="K628" s="100"/>
      <c r="L628" s="61"/>
      <c r="M628" s="64"/>
      <c r="N628" s="61"/>
      <c r="O628" s="61" t="b">
        <f>COUNTIF('Delivered Rentals'!A:A, B628) &gt; 0</f>
        <v>0</v>
      </c>
      <c r="P628" s="101"/>
    </row>
    <row r="629">
      <c r="A629" s="65"/>
      <c r="B629" s="65"/>
      <c r="C629" s="65"/>
      <c r="D629" s="65"/>
      <c r="E629" s="65"/>
      <c r="F629" s="65"/>
      <c r="G629" s="65"/>
      <c r="H629" s="65"/>
      <c r="I629" s="65"/>
      <c r="J629" s="65"/>
      <c r="K629" s="103"/>
      <c r="L629" s="65"/>
      <c r="M629" s="68"/>
      <c r="N629" s="65"/>
      <c r="O629" s="65" t="b">
        <f>COUNTIF('Delivered Rentals'!A:A, B629) &gt; 0</f>
        <v>0</v>
      </c>
      <c r="P629" s="104"/>
    </row>
    <row r="630">
      <c r="A630" s="61"/>
      <c r="B630" s="61"/>
      <c r="C630" s="61"/>
      <c r="D630" s="61"/>
      <c r="E630" s="61"/>
      <c r="F630" s="61"/>
      <c r="G630" s="61"/>
      <c r="H630" s="61"/>
      <c r="I630" s="61"/>
      <c r="J630" s="61"/>
      <c r="K630" s="100"/>
      <c r="L630" s="61"/>
      <c r="M630" s="64"/>
      <c r="N630" s="61"/>
      <c r="O630" s="61" t="b">
        <f>COUNTIF('Delivered Rentals'!A:A, B630) &gt; 0</f>
        <v>0</v>
      </c>
      <c r="P630" s="101"/>
    </row>
    <row r="631">
      <c r="A631" s="65"/>
      <c r="B631" s="65"/>
      <c r="C631" s="65"/>
      <c r="D631" s="65"/>
      <c r="E631" s="65"/>
      <c r="F631" s="65"/>
      <c r="G631" s="65"/>
      <c r="H631" s="65"/>
      <c r="I631" s="65"/>
      <c r="J631" s="65"/>
      <c r="K631" s="103"/>
      <c r="L631" s="65"/>
      <c r="M631" s="68"/>
      <c r="N631" s="65"/>
      <c r="O631" s="65" t="b">
        <f>COUNTIF('Delivered Rentals'!A:A, B631) &gt; 0</f>
        <v>0</v>
      </c>
      <c r="P631" s="104"/>
    </row>
    <row r="632">
      <c r="A632" s="61"/>
      <c r="B632" s="61"/>
      <c r="C632" s="61"/>
      <c r="D632" s="61"/>
      <c r="E632" s="61"/>
      <c r="F632" s="61"/>
      <c r="G632" s="61"/>
      <c r="H632" s="61"/>
      <c r="I632" s="61"/>
      <c r="J632" s="61"/>
      <c r="K632" s="100"/>
      <c r="L632" s="61"/>
      <c r="M632" s="64"/>
      <c r="N632" s="61"/>
      <c r="O632" s="61" t="b">
        <f>COUNTIF('Delivered Rentals'!A:A, B632) &gt; 0</f>
        <v>0</v>
      </c>
      <c r="P632" s="101"/>
    </row>
    <row r="633">
      <c r="A633" s="65"/>
      <c r="B633" s="65"/>
      <c r="C633" s="65"/>
      <c r="D633" s="65"/>
      <c r="E633" s="65"/>
      <c r="F633" s="65"/>
      <c r="G633" s="65"/>
      <c r="H633" s="65"/>
      <c r="I633" s="65"/>
      <c r="J633" s="65"/>
      <c r="K633" s="103"/>
      <c r="L633" s="65"/>
      <c r="M633" s="68"/>
      <c r="N633" s="65"/>
      <c r="O633" s="65" t="b">
        <f>COUNTIF('Delivered Rentals'!A:A, B633) &gt; 0</f>
        <v>0</v>
      </c>
      <c r="P633" s="104"/>
    </row>
    <row r="634">
      <c r="A634" s="61"/>
      <c r="B634" s="61"/>
      <c r="C634" s="61"/>
      <c r="D634" s="61"/>
      <c r="E634" s="61"/>
      <c r="F634" s="61"/>
      <c r="G634" s="61"/>
      <c r="H634" s="61"/>
      <c r="I634" s="61"/>
      <c r="J634" s="61"/>
      <c r="K634" s="100"/>
      <c r="L634" s="61"/>
      <c r="M634" s="64"/>
      <c r="N634" s="61"/>
      <c r="O634" s="61" t="b">
        <f>COUNTIF('Delivered Rentals'!A:A, B634) &gt; 0</f>
        <v>0</v>
      </c>
      <c r="P634" s="101"/>
    </row>
    <row r="635">
      <c r="A635" s="65"/>
      <c r="B635" s="65"/>
      <c r="C635" s="65"/>
      <c r="D635" s="65"/>
      <c r="E635" s="65"/>
      <c r="F635" s="65"/>
      <c r="G635" s="65"/>
      <c r="H635" s="65"/>
      <c r="I635" s="65"/>
      <c r="J635" s="65"/>
      <c r="K635" s="103"/>
      <c r="L635" s="65"/>
      <c r="M635" s="68"/>
      <c r="N635" s="65"/>
      <c r="O635" s="65" t="b">
        <f>COUNTIF('Delivered Rentals'!A:A, B635) &gt; 0</f>
        <v>0</v>
      </c>
      <c r="P635" s="104"/>
    </row>
    <row r="636">
      <c r="A636" s="61"/>
      <c r="B636" s="61"/>
      <c r="C636" s="61"/>
      <c r="D636" s="61"/>
      <c r="E636" s="61"/>
      <c r="F636" s="61"/>
      <c r="G636" s="61"/>
      <c r="H636" s="61"/>
      <c r="I636" s="61"/>
      <c r="J636" s="61"/>
      <c r="K636" s="100"/>
      <c r="L636" s="61"/>
      <c r="M636" s="64"/>
      <c r="N636" s="61"/>
      <c r="O636" s="61" t="b">
        <f>COUNTIF('Delivered Rentals'!A:A, B636) &gt; 0</f>
        <v>0</v>
      </c>
      <c r="P636" s="101"/>
    </row>
    <row r="637">
      <c r="A637" s="65"/>
      <c r="B637" s="65"/>
      <c r="C637" s="65"/>
      <c r="D637" s="65"/>
      <c r="E637" s="65"/>
      <c r="F637" s="65"/>
      <c r="G637" s="65"/>
      <c r="H637" s="65"/>
      <c r="I637" s="65"/>
      <c r="J637" s="65"/>
      <c r="K637" s="103"/>
      <c r="L637" s="65"/>
      <c r="M637" s="68"/>
      <c r="N637" s="65"/>
      <c r="O637" s="65" t="b">
        <f>COUNTIF('Delivered Rentals'!A:A, B637) &gt; 0</f>
        <v>0</v>
      </c>
      <c r="P637" s="104"/>
    </row>
    <row r="638">
      <c r="A638" s="61"/>
      <c r="B638" s="61"/>
      <c r="C638" s="61"/>
      <c r="D638" s="61"/>
      <c r="E638" s="61"/>
      <c r="F638" s="61"/>
      <c r="G638" s="61"/>
      <c r="H638" s="61"/>
      <c r="I638" s="61"/>
      <c r="J638" s="61"/>
      <c r="K638" s="100"/>
      <c r="L638" s="61"/>
      <c r="M638" s="64"/>
      <c r="N638" s="61"/>
      <c r="O638" s="61" t="b">
        <f>COUNTIF('Delivered Rentals'!A:A, B638) &gt; 0</f>
        <v>0</v>
      </c>
      <c r="P638" s="101"/>
    </row>
    <row r="639">
      <c r="A639" s="65"/>
      <c r="B639" s="65"/>
      <c r="C639" s="65"/>
      <c r="D639" s="65"/>
      <c r="E639" s="65"/>
      <c r="F639" s="65"/>
      <c r="G639" s="65"/>
      <c r="H639" s="65"/>
      <c r="I639" s="65"/>
      <c r="J639" s="65"/>
      <c r="K639" s="103"/>
      <c r="L639" s="65"/>
      <c r="M639" s="68"/>
      <c r="N639" s="65"/>
      <c r="O639" s="65" t="b">
        <f>COUNTIF('Delivered Rentals'!A:A, B639) &gt; 0</f>
        <v>0</v>
      </c>
      <c r="P639" s="104"/>
    </row>
    <row r="640">
      <c r="A640" s="61"/>
      <c r="B640" s="61"/>
      <c r="C640" s="61"/>
      <c r="D640" s="61"/>
      <c r="E640" s="61"/>
      <c r="F640" s="61"/>
      <c r="G640" s="61"/>
      <c r="H640" s="61"/>
      <c r="I640" s="61"/>
      <c r="J640" s="61"/>
      <c r="K640" s="100"/>
      <c r="L640" s="61"/>
      <c r="M640" s="64"/>
      <c r="N640" s="61"/>
      <c r="O640" s="61" t="b">
        <f>COUNTIF('Delivered Rentals'!A:A, B640) &gt; 0</f>
        <v>0</v>
      </c>
      <c r="P640" s="101"/>
    </row>
    <row r="641">
      <c r="A641" s="65"/>
      <c r="B641" s="65"/>
      <c r="C641" s="65"/>
      <c r="D641" s="65"/>
      <c r="E641" s="65"/>
      <c r="F641" s="65"/>
      <c r="G641" s="65"/>
      <c r="H641" s="65"/>
      <c r="I641" s="65"/>
      <c r="J641" s="65"/>
      <c r="K641" s="103"/>
      <c r="L641" s="65"/>
      <c r="M641" s="68"/>
      <c r="N641" s="65"/>
      <c r="O641" s="65" t="b">
        <f>COUNTIF('Delivered Rentals'!A:A, B641) &gt; 0</f>
        <v>0</v>
      </c>
      <c r="P641" s="104"/>
    </row>
    <row r="642">
      <c r="A642" s="61"/>
      <c r="B642" s="61"/>
      <c r="C642" s="61"/>
      <c r="D642" s="61"/>
      <c r="E642" s="61"/>
      <c r="F642" s="61"/>
      <c r="G642" s="61"/>
      <c r="H642" s="61"/>
      <c r="I642" s="61"/>
      <c r="J642" s="61"/>
      <c r="K642" s="100"/>
      <c r="L642" s="61"/>
      <c r="M642" s="64"/>
      <c r="N642" s="61"/>
      <c r="O642" s="61" t="b">
        <f>COUNTIF('Delivered Rentals'!A:A, B642) &gt; 0</f>
        <v>0</v>
      </c>
      <c r="P642" s="101"/>
    </row>
    <row r="643">
      <c r="A643" s="65"/>
      <c r="B643" s="65"/>
      <c r="C643" s="65"/>
      <c r="D643" s="65"/>
      <c r="E643" s="65"/>
      <c r="F643" s="65"/>
      <c r="G643" s="65"/>
      <c r="H643" s="65"/>
      <c r="I643" s="65"/>
      <c r="J643" s="65"/>
      <c r="K643" s="103"/>
      <c r="L643" s="65"/>
      <c r="M643" s="68"/>
      <c r="N643" s="65"/>
      <c r="O643" s="65" t="b">
        <f>COUNTIF('Delivered Rentals'!A:A, B643) &gt; 0</f>
        <v>0</v>
      </c>
      <c r="P643" s="104"/>
    </row>
    <row r="644">
      <c r="A644" s="61"/>
      <c r="B644" s="61"/>
      <c r="C644" s="61"/>
      <c r="D644" s="61"/>
      <c r="E644" s="61"/>
      <c r="F644" s="61"/>
      <c r="G644" s="61"/>
      <c r="H644" s="61"/>
      <c r="I644" s="61"/>
      <c r="J644" s="61"/>
      <c r="K644" s="100"/>
      <c r="L644" s="61"/>
      <c r="M644" s="64"/>
      <c r="N644" s="61"/>
      <c r="O644" s="61" t="b">
        <f>COUNTIF('Delivered Rentals'!A:A, B644) &gt; 0</f>
        <v>0</v>
      </c>
      <c r="P644" s="101"/>
    </row>
    <row r="645">
      <c r="A645" s="65"/>
      <c r="B645" s="65"/>
      <c r="C645" s="65"/>
      <c r="D645" s="65"/>
      <c r="E645" s="65"/>
      <c r="F645" s="65"/>
      <c r="G645" s="65"/>
      <c r="H645" s="65"/>
      <c r="I645" s="65"/>
      <c r="J645" s="65"/>
      <c r="K645" s="103"/>
      <c r="L645" s="65"/>
      <c r="M645" s="68"/>
      <c r="N645" s="65"/>
      <c r="O645" s="65" t="b">
        <f>COUNTIF('Delivered Rentals'!A:A, B645) &gt; 0</f>
        <v>0</v>
      </c>
      <c r="P645" s="104"/>
    </row>
    <row r="646">
      <c r="A646" s="61"/>
      <c r="B646" s="61"/>
      <c r="C646" s="61"/>
      <c r="D646" s="61"/>
      <c r="E646" s="61"/>
      <c r="F646" s="61"/>
      <c r="G646" s="61"/>
      <c r="H646" s="61"/>
      <c r="I646" s="61"/>
      <c r="J646" s="61"/>
      <c r="K646" s="100"/>
      <c r="L646" s="61"/>
      <c r="M646" s="64"/>
      <c r="N646" s="61"/>
      <c r="O646" s="61" t="b">
        <f>COUNTIF('Delivered Rentals'!A:A, B646) &gt; 0</f>
        <v>0</v>
      </c>
      <c r="P646" s="101"/>
    </row>
    <row r="647">
      <c r="A647" s="65"/>
      <c r="B647" s="65"/>
      <c r="C647" s="65"/>
      <c r="D647" s="65"/>
      <c r="E647" s="65"/>
      <c r="F647" s="65"/>
      <c r="G647" s="65"/>
      <c r="H647" s="65"/>
      <c r="I647" s="65"/>
      <c r="J647" s="65"/>
      <c r="K647" s="103"/>
      <c r="L647" s="65"/>
      <c r="M647" s="68"/>
      <c r="N647" s="65"/>
      <c r="O647" s="65" t="b">
        <f>COUNTIF('Delivered Rentals'!A:A, B647) &gt; 0</f>
        <v>0</v>
      </c>
      <c r="P647" s="104"/>
    </row>
    <row r="648">
      <c r="A648" s="61"/>
      <c r="B648" s="61"/>
      <c r="C648" s="61"/>
      <c r="D648" s="61"/>
      <c r="E648" s="61"/>
      <c r="F648" s="61"/>
      <c r="G648" s="61"/>
      <c r="H648" s="61"/>
      <c r="I648" s="61"/>
      <c r="J648" s="61"/>
      <c r="K648" s="100"/>
      <c r="L648" s="61"/>
      <c r="M648" s="64"/>
      <c r="N648" s="61"/>
      <c r="O648" s="61" t="b">
        <f>COUNTIF('Delivered Rentals'!A:A, B648) &gt; 0</f>
        <v>0</v>
      </c>
      <c r="P648" s="101"/>
    </row>
    <row r="649">
      <c r="A649" s="65"/>
      <c r="B649" s="65"/>
      <c r="C649" s="65"/>
      <c r="D649" s="65"/>
      <c r="E649" s="65"/>
      <c r="F649" s="65"/>
      <c r="G649" s="65"/>
      <c r="H649" s="65"/>
      <c r="I649" s="65"/>
      <c r="J649" s="65"/>
      <c r="K649" s="103"/>
      <c r="L649" s="65"/>
      <c r="M649" s="68"/>
      <c r="N649" s="65"/>
      <c r="O649" s="65" t="b">
        <f>COUNTIF('Delivered Rentals'!A:A, B649) &gt; 0</f>
        <v>0</v>
      </c>
      <c r="P649" s="104"/>
    </row>
    <row r="650">
      <c r="A650" s="61"/>
      <c r="B650" s="61"/>
      <c r="C650" s="61"/>
      <c r="D650" s="61"/>
      <c r="E650" s="61"/>
      <c r="F650" s="61"/>
      <c r="G650" s="61"/>
      <c r="H650" s="61"/>
      <c r="I650" s="61"/>
      <c r="J650" s="61"/>
      <c r="K650" s="100"/>
      <c r="L650" s="61"/>
      <c r="M650" s="64"/>
      <c r="N650" s="61"/>
      <c r="O650" s="61" t="b">
        <f>COUNTIF('Delivered Rentals'!A:A, B650) &gt; 0</f>
        <v>0</v>
      </c>
      <c r="P650" s="101"/>
    </row>
    <row r="651">
      <c r="A651" s="65"/>
      <c r="B651" s="65"/>
      <c r="C651" s="65"/>
      <c r="D651" s="65"/>
      <c r="E651" s="65"/>
      <c r="F651" s="65"/>
      <c r="G651" s="65"/>
      <c r="H651" s="65"/>
      <c r="I651" s="65"/>
      <c r="J651" s="65"/>
      <c r="K651" s="103"/>
      <c r="L651" s="65"/>
      <c r="M651" s="68"/>
      <c r="N651" s="65"/>
      <c r="O651" s="65" t="b">
        <f>COUNTIF('Delivered Rentals'!A:A, B651) &gt; 0</f>
        <v>0</v>
      </c>
      <c r="P651" s="104"/>
    </row>
    <row r="652">
      <c r="A652" s="61"/>
      <c r="B652" s="61"/>
      <c r="C652" s="61"/>
      <c r="D652" s="61"/>
      <c r="E652" s="61"/>
      <c r="F652" s="61"/>
      <c r="G652" s="61"/>
      <c r="H652" s="61"/>
      <c r="I652" s="61"/>
      <c r="J652" s="61"/>
      <c r="K652" s="100"/>
      <c r="L652" s="61"/>
      <c r="M652" s="64"/>
      <c r="N652" s="61"/>
      <c r="O652" s="61" t="b">
        <f>COUNTIF('Delivered Rentals'!A:A, B652) &gt; 0</f>
        <v>0</v>
      </c>
      <c r="P652" s="101"/>
    </row>
    <row r="653">
      <c r="A653" s="65"/>
      <c r="B653" s="65"/>
      <c r="C653" s="65"/>
      <c r="D653" s="65"/>
      <c r="E653" s="65"/>
      <c r="F653" s="65"/>
      <c r="G653" s="65"/>
      <c r="H653" s="65"/>
      <c r="I653" s="65"/>
      <c r="J653" s="65"/>
      <c r="K653" s="103"/>
      <c r="L653" s="65"/>
      <c r="M653" s="68"/>
      <c r="N653" s="65"/>
      <c r="O653" s="65" t="b">
        <f>COUNTIF('Delivered Rentals'!A:A, B653) &gt; 0</f>
        <v>0</v>
      </c>
      <c r="P653" s="104"/>
    </row>
    <row r="654">
      <c r="A654" s="61"/>
      <c r="B654" s="61"/>
      <c r="C654" s="61"/>
      <c r="D654" s="61"/>
      <c r="E654" s="61"/>
      <c r="F654" s="61"/>
      <c r="G654" s="61"/>
      <c r="H654" s="61"/>
      <c r="I654" s="61"/>
      <c r="J654" s="61"/>
      <c r="K654" s="100"/>
      <c r="L654" s="61"/>
      <c r="M654" s="64"/>
      <c r="N654" s="61"/>
      <c r="O654" s="61" t="b">
        <f>COUNTIF('Delivered Rentals'!A:A, B654) &gt; 0</f>
        <v>0</v>
      </c>
      <c r="P654" s="101"/>
    </row>
    <row r="655">
      <c r="A655" s="65"/>
      <c r="B655" s="65"/>
      <c r="C655" s="65"/>
      <c r="D655" s="65"/>
      <c r="E655" s="65"/>
      <c r="F655" s="65"/>
      <c r="G655" s="65"/>
      <c r="H655" s="65"/>
      <c r="I655" s="65"/>
      <c r="J655" s="65"/>
      <c r="K655" s="103"/>
      <c r="L655" s="65"/>
      <c r="M655" s="68"/>
      <c r="N655" s="65"/>
      <c r="O655" s="65" t="b">
        <f>COUNTIF('Delivered Rentals'!A:A, B655) &gt; 0</f>
        <v>0</v>
      </c>
      <c r="P655" s="104"/>
    </row>
    <row r="656">
      <c r="A656" s="61"/>
      <c r="B656" s="61"/>
      <c r="C656" s="61"/>
      <c r="D656" s="61"/>
      <c r="E656" s="61"/>
      <c r="F656" s="61"/>
      <c r="G656" s="61"/>
      <c r="H656" s="61"/>
      <c r="I656" s="61"/>
      <c r="J656" s="61"/>
      <c r="K656" s="100"/>
      <c r="L656" s="61"/>
      <c r="M656" s="64"/>
      <c r="N656" s="61"/>
      <c r="O656" s="61" t="b">
        <f>COUNTIF('Delivered Rentals'!A:A, B656) &gt; 0</f>
        <v>0</v>
      </c>
      <c r="P656" s="101"/>
    </row>
    <row r="657">
      <c r="A657" s="65"/>
      <c r="B657" s="65"/>
      <c r="C657" s="65"/>
      <c r="D657" s="65"/>
      <c r="E657" s="65"/>
      <c r="F657" s="65"/>
      <c r="G657" s="65"/>
      <c r="H657" s="65"/>
      <c r="I657" s="65"/>
      <c r="J657" s="65"/>
      <c r="K657" s="103"/>
      <c r="L657" s="65"/>
      <c r="M657" s="68"/>
      <c r="N657" s="65"/>
      <c r="O657" s="65" t="b">
        <f>COUNTIF('Delivered Rentals'!A:A, B657) &gt; 0</f>
        <v>0</v>
      </c>
      <c r="P657" s="104"/>
    </row>
    <row r="658">
      <c r="A658" s="61"/>
      <c r="B658" s="61"/>
      <c r="C658" s="61"/>
      <c r="D658" s="61"/>
      <c r="E658" s="61"/>
      <c r="F658" s="61"/>
      <c r="G658" s="61"/>
      <c r="H658" s="61"/>
      <c r="I658" s="61"/>
      <c r="J658" s="61"/>
      <c r="K658" s="100"/>
      <c r="L658" s="61"/>
      <c r="M658" s="64"/>
      <c r="N658" s="61"/>
      <c r="O658" s="61" t="b">
        <f>COUNTIF('Delivered Rentals'!A:A, B658) &gt; 0</f>
        <v>0</v>
      </c>
      <c r="P658" s="101"/>
    </row>
    <row r="659">
      <c r="A659" s="65"/>
      <c r="B659" s="65"/>
      <c r="C659" s="65"/>
      <c r="D659" s="65"/>
      <c r="E659" s="65"/>
      <c r="F659" s="65"/>
      <c r="G659" s="65"/>
      <c r="H659" s="65"/>
      <c r="I659" s="65"/>
      <c r="J659" s="65"/>
      <c r="K659" s="103"/>
      <c r="L659" s="65"/>
      <c r="M659" s="68"/>
      <c r="N659" s="65"/>
      <c r="O659" s="65" t="b">
        <f>COUNTIF('Delivered Rentals'!A:A, B659) &gt; 0</f>
        <v>0</v>
      </c>
      <c r="P659" s="104"/>
    </row>
    <row r="660">
      <c r="A660" s="61"/>
      <c r="B660" s="61"/>
      <c r="C660" s="61"/>
      <c r="D660" s="61"/>
      <c r="E660" s="61"/>
      <c r="F660" s="61"/>
      <c r="G660" s="61"/>
      <c r="H660" s="61"/>
      <c r="I660" s="61"/>
      <c r="J660" s="61"/>
      <c r="K660" s="100"/>
      <c r="L660" s="61"/>
      <c r="M660" s="64"/>
      <c r="N660" s="61"/>
      <c r="O660" s="61" t="b">
        <f>COUNTIF('Delivered Rentals'!A:A, B660) &gt; 0</f>
        <v>0</v>
      </c>
      <c r="P660" s="101"/>
    </row>
    <row r="661">
      <c r="A661" s="65"/>
      <c r="B661" s="65"/>
      <c r="C661" s="65"/>
      <c r="D661" s="65"/>
      <c r="E661" s="65"/>
      <c r="F661" s="65"/>
      <c r="G661" s="65"/>
      <c r="H661" s="65"/>
      <c r="I661" s="65"/>
      <c r="J661" s="65"/>
      <c r="K661" s="103"/>
      <c r="L661" s="65"/>
      <c r="M661" s="68"/>
      <c r="N661" s="65"/>
      <c r="O661" s="65" t="b">
        <f>COUNTIF('Delivered Rentals'!A:A, B661) &gt; 0</f>
        <v>0</v>
      </c>
      <c r="P661" s="104"/>
    </row>
    <row r="662">
      <c r="A662" s="61"/>
      <c r="B662" s="61"/>
      <c r="C662" s="61"/>
      <c r="D662" s="61"/>
      <c r="E662" s="61"/>
      <c r="F662" s="61"/>
      <c r="G662" s="61"/>
      <c r="H662" s="61"/>
      <c r="I662" s="61"/>
      <c r="J662" s="61"/>
      <c r="K662" s="100"/>
      <c r="L662" s="61"/>
      <c r="M662" s="64"/>
      <c r="N662" s="61"/>
      <c r="O662" s="61" t="b">
        <f>COUNTIF('Delivered Rentals'!A:A, B662) &gt; 0</f>
        <v>0</v>
      </c>
      <c r="P662" s="101"/>
    </row>
    <row r="663">
      <c r="A663" s="65"/>
      <c r="B663" s="65"/>
      <c r="C663" s="65"/>
      <c r="D663" s="65"/>
      <c r="E663" s="65"/>
      <c r="F663" s="65"/>
      <c r="G663" s="65"/>
      <c r="H663" s="65"/>
      <c r="I663" s="65"/>
      <c r="J663" s="65"/>
      <c r="K663" s="103"/>
      <c r="L663" s="65"/>
      <c r="M663" s="68"/>
      <c r="N663" s="65"/>
      <c r="O663" s="65" t="b">
        <f>COUNTIF('Delivered Rentals'!A:A, B663) &gt; 0</f>
        <v>0</v>
      </c>
      <c r="P663" s="104"/>
    </row>
    <row r="664">
      <c r="A664" s="61"/>
      <c r="B664" s="61"/>
      <c r="C664" s="61"/>
      <c r="D664" s="61"/>
      <c r="E664" s="61"/>
      <c r="F664" s="61"/>
      <c r="G664" s="61"/>
      <c r="H664" s="61"/>
      <c r="I664" s="61"/>
      <c r="J664" s="61"/>
      <c r="K664" s="100"/>
      <c r="L664" s="61"/>
      <c r="M664" s="64"/>
      <c r="N664" s="61"/>
      <c r="O664" s="61" t="b">
        <f>COUNTIF('Delivered Rentals'!A:A, B664) &gt; 0</f>
        <v>0</v>
      </c>
      <c r="P664" s="101"/>
    </row>
    <row r="665">
      <c r="A665" s="65"/>
      <c r="B665" s="65"/>
      <c r="C665" s="65"/>
      <c r="D665" s="65"/>
      <c r="E665" s="65"/>
      <c r="F665" s="65"/>
      <c r="G665" s="65"/>
      <c r="H665" s="65"/>
      <c r="I665" s="65"/>
      <c r="J665" s="65"/>
      <c r="K665" s="103"/>
      <c r="L665" s="65"/>
      <c r="M665" s="68"/>
      <c r="N665" s="65"/>
      <c r="O665" s="65" t="b">
        <f>COUNTIF('Delivered Rentals'!A:A, B665) &gt; 0</f>
        <v>0</v>
      </c>
      <c r="P665" s="104"/>
    </row>
    <row r="666">
      <c r="A666" s="61"/>
      <c r="B666" s="61"/>
      <c r="C666" s="61"/>
      <c r="D666" s="61"/>
      <c r="E666" s="61"/>
      <c r="F666" s="61"/>
      <c r="G666" s="61"/>
      <c r="H666" s="61"/>
      <c r="I666" s="61"/>
      <c r="J666" s="61"/>
      <c r="K666" s="100"/>
      <c r="L666" s="61"/>
      <c r="M666" s="64"/>
      <c r="N666" s="61"/>
      <c r="O666" s="61" t="b">
        <f>COUNTIF('Delivered Rentals'!A:A, B666) &gt; 0</f>
        <v>0</v>
      </c>
      <c r="P666" s="101"/>
    </row>
    <row r="667">
      <c r="A667" s="65"/>
      <c r="B667" s="65"/>
      <c r="C667" s="65"/>
      <c r="D667" s="65"/>
      <c r="E667" s="65"/>
      <c r="F667" s="65"/>
      <c r="G667" s="65"/>
      <c r="H667" s="65"/>
      <c r="I667" s="65"/>
      <c r="J667" s="65"/>
      <c r="K667" s="103"/>
      <c r="L667" s="65"/>
      <c r="M667" s="68"/>
      <c r="N667" s="65"/>
      <c r="O667" s="65" t="b">
        <f>COUNTIF('Delivered Rentals'!A:A, B667) &gt; 0</f>
        <v>0</v>
      </c>
      <c r="P667" s="104"/>
    </row>
    <row r="668">
      <c r="A668" s="61"/>
      <c r="B668" s="61"/>
      <c r="C668" s="61"/>
      <c r="D668" s="61"/>
      <c r="E668" s="61"/>
      <c r="F668" s="61"/>
      <c r="G668" s="61"/>
      <c r="H668" s="61"/>
      <c r="I668" s="61"/>
      <c r="J668" s="61"/>
      <c r="K668" s="100"/>
      <c r="L668" s="61"/>
      <c r="M668" s="64"/>
      <c r="N668" s="61"/>
      <c r="O668" s="61" t="b">
        <f>COUNTIF('Delivered Rentals'!A:A, B668) &gt; 0</f>
        <v>0</v>
      </c>
      <c r="P668" s="101"/>
    </row>
    <row r="669">
      <c r="A669" s="65"/>
      <c r="B669" s="65"/>
      <c r="C669" s="65"/>
      <c r="D669" s="65"/>
      <c r="E669" s="65"/>
      <c r="F669" s="65"/>
      <c r="G669" s="65"/>
      <c r="H669" s="65"/>
      <c r="I669" s="65"/>
      <c r="J669" s="65"/>
      <c r="K669" s="103"/>
      <c r="L669" s="65"/>
      <c r="M669" s="68"/>
      <c r="N669" s="65"/>
      <c r="O669" s="65" t="b">
        <f>COUNTIF('Delivered Rentals'!A:A, B669) &gt; 0</f>
        <v>0</v>
      </c>
      <c r="P669" s="104"/>
    </row>
    <row r="670">
      <c r="A670" s="61"/>
      <c r="B670" s="61"/>
      <c r="C670" s="61"/>
      <c r="D670" s="61"/>
      <c r="E670" s="61"/>
      <c r="F670" s="61"/>
      <c r="G670" s="61"/>
      <c r="H670" s="61"/>
      <c r="I670" s="61"/>
      <c r="J670" s="61"/>
      <c r="K670" s="100"/>
      <c r="L670" s="61"/>
      <c r="M670" s="64"/>
      <c r="N670" s="61"/>
      <c r="O670" s="61" t="b">
        <f>COUNTIF('Delivered Rentals'!A:A, B670) &gt; 0</f>
        <v>0</v>
      </c>
      <c r="P670" s="101"/>
    </row>
    <row r="671">
      <c r="A671" s="65"/>
      <c r="B671" s="65"/>
      <c r="C671" s="65"/>
      <c r="D671" s="65"/>
      <c r="E671" s="65"/>
      <c r="F671" s="65"/>
      <c r="G671" s="65"/>
      <c r="H671" s="65"/>
      <c r="I671" s="65"/>
      <c r="J671" s="65"/>
      <c r="K671" s="103"/>
      <c r="L671" s="65"/>
      <c r="M671" s="68"/>
      <c r="N671" s="65"/>
      <c r="O671" s="65" t="b">
        <f>COUNTIF('Delivered Rentals'!A:A, B671) &gt; 0</f>
        <v>0</v>
      </c>
      <c r="P671" s="104"/>
    </row>
    <row r="672">
      <c r="A672" s="61"/>
      <c r="B672" s="61"/>
      <c r="C672" s="61"/>
      <c r="D672" s="61"/>
      <c r="E672" s="61"/>
      <c r="F672" s="61"/>
      <c r="G672" s="61"/>
      <c r="H672" s="61"/>
      <c r="I672" s="61"/>
      <c r="J672" s="61"/>
      <c r="K672" s="100"/>
      <c r="L672" s="61"/>
      <c r="M672" s="64"/>
      <c r="N672" s="61"/>
      <c r="O672" s="61" t="b">
        <f>COUNTIF('Delivered Rentals'!A:A, B672) &gt; 0</f>
        <v>0</v>
      </c>
      <c r="P672" s="101"/>
    </row>
    <row r="673">
      <c r="A673" s="65"/>
      <c r="B673" s="65"/>
      <c r="C673" s="65"/>
      <c r="D673" s="65"/>
      <c r="E673" s="65"/>
      <c r="F673" s="65"/>
      <c r="G673" s="65"/>
      <c r="H673" s="65"/>
      <c r="I673" s="65"/>
      <c r="J673" s="65"/>
      <c r="K673" s="103"/>
      <c r="L673" s="65"/>
      <c r="M673" s="68"/>
      <c r="N673" s="65"/>
      <c r="O673" s="65" t="b">
        <f>COUNTIF('Delivered Rentals'!A:A, B673) &gt; 0</f>
        <v>0</v>
      </c>
      <c r="P673" s="104"/>
    </row>
    <row r="674">
      <c r="A674" s="61"/>
      <c r="B674" s="61"/>
      <c r="C674" s="61"/>
      <c r="D674" s="61"/>
      <c r="E674" s="61"/>
      <c r="F674" s="61"/>
      <c r="G674" s="61"/>
      <c r="H674" s="61"/>
      <c r="I674" s="61"/>
      <c r="J674" s="61"/>
      <c r="K674" s="100"/>
      <c r="L674" s="61"/>
      <c r="M674" s="64"/>
      <c r="N674" s="61"/>
      <c r="O674" s="61" t="b">
        <f>COUNTIF('Delivered Rentals'!A:A, B674) &gt; 0</f>
        <v>0</v>
      </c>
      <c r="P674" s="101"/>
    </row>
    <row r="675">
      <c r="A675" s="65"/>
      <c r="B675" s="65"/>
      <c r="C675" s="65"/>
      <c r="D675" s="65"/>
      <c r="E675" s="65"/>
      <c r="F675" s="65"/>
      <c r="G675" s="65"/>
      <c r="H675" s="65"/>
      <c r="I675" s="65"/>
      <c r="J675" s="65"/>
      <c r="K675" s="103"/>
      <c r="L675" s="65"/>
      <c r="M675" s="68"/>
      <c r="N675" s="65"/>
      <c r="O675" s="65" t="b">
        <f>COUNTIF('Delivered Rentals'!A:A, B675) &gt; 0</f>
        <v>0</v>
      </c>
      <c r="P675" s="104"/>
    </row>
    <row r="676">
      <c r="A676" s="61"/>
      <c r="B676" s="61"/>
      <c r="C676" s="61"/>
      <c r="D676" s="61"/>
      <c r="E676" s="61"/>
      <c r="F676" s="61"/>
      <c r="G676" s="61"/>
      <c r="H676" s="61"/>
      <c r="I676" s="61"/>
      <c r="J676" s="61"/>
      <c r="K676" s="100"/>
      <c r="L676" s="61"/>
      <c r="M676" s="64"/>
      <c r="N676" s="61"/>
      <c r="O676" s="61" t="b">
        <f>COUNTIF('Delivered Rentals'!A:A, B676) &gt; 0</f>
        <v>0</v>
      </c>
      <c r="P676" s="101"/>
    </row>
    <row r="677">
      <c r="A677" s="65"/>
      <c r="B677" s="65"/>
      <c r="C677" s="65"/>
      <c r="D677" s="65"/>
      <c r="E677" s="65"/>
      <c r="F677" s="65"/>
      <c r="G677" s="65"/>
      <c r="H677" s="65"/>
      <c r="I677" s="65"/>
      <c r="J677" s="65"/>
      <c r="K677" s="103"/>
      <c r="L677" s="65"/>
      <c r="M677" s="68"/>
      <c r="N677" s="65"/>
      <c r="O677" s="65" t="b">
        <f>COUNTIF('Delivered Rentals'!A:A, B677) &gt; 0</f>
        <v>0</v>
      </c>
      <c r="P677" s="104"/>
    </row>
    <row r="678">
      <c r="A678" s="61"/>
      <c r="B678" s="61"/>
      <c r="C678" s="61"/>
      <c r="D678" s="61"/>
      <c r="E678" s="61"/>
      <c r="F678" s="61"/>
      <c r="G678" s="61"/>
      <c r="H678" s="61"/>
      <c r="I678" s="61"/>
      <c r="J678" s="61"/>
      <c r="K678" s="100"/>
      <c r="L678" s="61"/>
      <c r="M678" s="64"/>
      <c r="N678" s="61"/>
      <c r="O678" s="61" t="b">
        <f>COUNTIF('Delivered Rentals'!A:A, B678) &gt; 0</f>
        <v>0</v>
      </c>
      <c r="P678" s="101"/>
    </row>
    <row r="679">
      <c r="A679" s="65"/>
      <c r="B679" s="65"/>
      <c r="C679" s="65"/>
      <c r="D679" s="65"/>
      <c r="E679" s="65"/>
      <c r="F679" s="65"/>
      <c r="G679" s="65"/>
      <c r="H679" s="65"/>
      <c r="I679" s="65"/>
      <c r="J679" s="65"/>
      <c r="K679" s="103"/>
      <c r="L679" s="65"/>
      <c r="M679" s="68"/>
      <c r="N679" s="65"/>
      <c r="O679" s="65" t="b">
        <f>COUNTIF('Delivered Rentals'!A:A, B679) &gt; 0</f>
        <v>0</v>
      </c>
      <c r="P679" s="104"/>
    </row>
    <row r="680">
      <c r="A680" s="61"/>
      <c r="B680" s="61"/>
      <c r="C680" s="61"/>
      <c r="D680" s="61"/>
      <c r="E680" s="61"/>
      <c r="F680" s="61"/>
      <c r="G680" s="61"/>
      <c r="H680" s="61"/>
      <c r="I680" s="61"/>
      <c r="J680" s="61"/>
      <c r="K680" s="100"/>
      <c r="L680" s="61"/>
      <c r="M680" s="64"/>
      <c r="N680" s="61"/>
      <c r="O680" s="61" t="b">
        <f>COUNTIF('Delivered Rentals'!A:A, B680) &gt; 0</f>
        <v>0</v>
      </c>
      <c r="P680" s="101"/>
    </row>
    <row r="681">
      <c r="A681" s="65"/>
      <c r="B681" s="65"/>
      <c r="C681" s="65"/>
      <c r="D681" s="65"/>
      <c r="E681" s="65"/>
      <c r="F681" s="65"/>
      <c r="G681" s="65"/>
      <c r="H681" s="65"/>
      <c r="I681" s="65"/>
      <c r="J681" s="65"/>
      <c r="K681" s="103"/>
      <c r="L681" s="65"/>
      <c r="M681" s="68"/>
      <c r="N681" s="65"/>
      <c r="O681" s="65" t="b">
        <f>COUNTIF('Delivered Rentals'!A:A, B681) &gt; 0</f>
        <v>0</v>
      </c>
      <c r="P681" s="104"/>
    </row>
    <row r="682">
      <c r="A682" s="61"/>
      <c r="B682" s="61"/>
      <c r="C682" s="61"/>
      <c r="D682" s="61"/>
      <c r="E682" s="61"/>
      <c r="F682" s="61"/>
      <c r="G682" s="61"/>
      <c r="H682" s="61"/>
      <c r="I682" s="61"/>
      <c r="J682" s="61"/>
      <c r="K682" s="100"/>
      <c r="L682" s="61"/>
      <c r="M682" s="64"/>
      <c r="N682" s="61"/>
      <c r="O682" s="61" t="b">
        <f>COUNTIF('Delivered Rentals'!A:A, B682) &gt; 0</f>
        <v>0</v>
      </c>
      <c r="P682" s="101"/>
    </row>
    <row r="683">
      <c r="A683" s="65"/>
      <c r="B683" s="65"/>
      <c r="C683" s="65"/>
      <c r="D683" s="65"/>
      <c r="E683" s="65"/>
      <c r="F683" s="65"/>
      <c r="G683" s="65"/>
      <c r="H683" s="65"/>
      <c r="I683" s="65"/>
      <c r="J683" s="65"/>
      <c r="K683" s="103"/>
      <c r="L683" s="65"/>
      <c r="M683" s="68"/>
      <c r="N683" s="65"/>
      <c r="O683" s="65" t="b">
        <f>COUNTIF('Delivered Rentals'!A:A, B683) &gt; 0</f>
        <v>0</v>
      </c>
      <c r="P683" s="104"/>
    </row>
    <row r="684">
      <c r="A684" s="61"/>
      <c r="B684" s="61"/>
      <c r="C684" s="61"/>
      <c r="D684" s="61"/>
      <c r="E684" s="61"/>
      <c r="F684" s="61"/>
      <c r="G684" s="61"/>
      <c r="H684" s="61"/>
      <c r="I684" s="61"/>
      <c r="J684" s="61"/>
      <c r="K684" s="100"/>
      <c r="L684" s="61"/>
      <c r="M684" s="64"/>
      <c r="N684" s="61"/>
      <c r="O684" s="61" t="b">
        <f>COUNTIF('Delivered Rentals'!A:A, B684) &gt; 0</f>
        <v>0</v>
      </c>
      <c r="P684" s="101"/>
    </row>
    <row r="685">
      <c r="A685" s="65"/>
      <c r="B685" s="65"/>
      <c r="C685" s="65"/>
      <c r="D685" s="65"/>
      <c r="E685" s="65"/>
      <c r="F685" s="65"/>
      <c r="G685" s="65"/>
      <c r="H685" s="65"/>
      <c r="I685" s="65"/>
      <c r="J685" s="65"/>
      <c r="K685" s="103"/>
      <c r="L685" s="65"/>
      <c r="M685" s="68"/>
      <c r="N685" s="65"/>
      <c r="O685" s="65" t="b">
        <f>COUNTIF('Delivered Rentals'!A:A, B685) &gt; 0</f>
        <v>0</v>
      </c>
      <c r="P685" s="104"/>
    </row>
    <row r="686">
      <c r="A686" s="61"/>
      <c r="B686" s="61"/>
      <c r="C686" s="61"/>
      <c r="D686" s="61"/>
      <c r="E686" s="61"/>
      <c r="F686" s="61"/>
      <c r="G686" s="61"/>
      <c r="H686" s="61"/>
      <c r="I686" s="61"/>
      <c r="J686" s="61"/>
      <c r="K686" s="100"/>
      <c r="L686" s="61"/>
      <c r="M686" s="64"/>
      <c r="N686" s="61"/>
      <c r="O686" s="61" t="b">
        <f>COUNTIF('Delivered Rentals'!A:A, B686) &gt; 0</f>
        <v>0</v>
      </c>
      <c r="P686" s="101"/>
    </row>
    <row r="687">
      <c r="A687" s="65"/>
      <c r="B687" s="65"/>
      <c r="C687" s="65"/>
      <c r="D687" s="65"/>
      <c r="E687" s="65"/>
      <c r="F687" s="65"/>
      <c r="G687" s="65"/>
      <c r="H687" s="65"/>
      <c r="I687" s="65"/>
      <c r="J687" s="65"/>
      <c r="K687" s="103"/>
      <c r="L687" s="65"/>
      <c r="M687" s="68"/>
      <c r="N687" s="65"/>
      <c r="O687" s="65" t="b">
        <f>COUNTIF('Delivered Rentals'!A:A, B687) &gt; 0</f>
        <v>0</v>
      </c>
      <c r="P687" s="104"/>
    </row>
    <row r="688">
      <c r="A688" s="61"/>
      <c r="B688" s="61"/>
      <c r="C688" s="61"/>
      <c r="D688" s="61"/>
      <c r="E688" s="61"/>
      <c r="F688" s="61"/>
      <c r="G688" s="61"/>
      <c r="H688" s="61"/>
      <c r="I688" s="61"/>
      <c r="J688" s="61"/>
      <c r="K688" s="100"/>
      <c r="L688" s="61"/>
      <c r="M688" s="64"/>
      <c r="N688" s="61"/>
      <c r="O688" s="61" t="b">
        <f>COUNTIF('Delivered Rentals'!A:A, B688) &gt; 0</f>
        <v>0</v>
      </c>
      <c r="P688" s="101"/>
    </row>
    <row r="689">
      <c r="A689" s="65"/>
      <c r="B689" s="65"/>
      <c r="C689" s="65"/>
      <c r="D689" s="65"/>
      <c r="E689" s="65"/>
      <c r="F689" s="65"/>
      <c r="G689" s="65"/>
      <c r="H689" s="65"/>
      <c r="I689" s="65"/>
      <c r="J689" s="65"/>
      <c r="K689" s="103"/>
      <c r="L689" s="65"/>
      <c r="M689" s="68"/>
      <c r="N689" s="65"/>
      <c r="O689" s="65" t="b">
        <f>COUNTIF('Delivered Rentals'!A:A, B689) &gt; 0</f>
        <v>0</v>
      </c>
      <c r="P689" s="104"/>
    </row>
    <row r="690">
      <c r="A690" s="61"/>
      <c r="B690" s="61"/>
      <c r="C690" s="61"/>
      <c r="D690" s="61"/>
      <c r="E690" s="61"/>
      <c r="F690" s="61"/>
      <c r="G690" s="61"/>
      <c r="H690" s="61"/>
      <c r="I690" s="61"/>
      <c r="J690" s="61"/>
      <c r="K690" s="100"/>
      <c r="L690" s="61"/>
      <c r="M690" s="64"/>
      <c r="N690" s="61"/>
      <c r="O690" s="61" t="b">
        <f>COUNTIF('Delivered Rentals'!A:A, B690) &gt; 0</f>
        <v>0</v>
      </c>
      <c r="P690" s="101"/>
    </row>
    <row r="691">
      <c r="A691" s="65"/>
      <c r="B691" s="65"/>
      <c r="C691" s="65"/>
      <c r="D691" s="65"/>
      <c r="E691" s="65"/>
      <c r="F691" s="65"/>
      <c r="G691" s="65"/>
      <c r="H691" s="65"/>
      <c r="I691" s="65"/>
      <c r="J691" s="65"/>
      <c r="K691" s="103"/>
      <c r="L691" s="65"/>
      <c r="M691" s="68"/>
      <c r="N691" s="65"/>
      <c r="O691" s="65" t="b">
        <f>COUNTIF('Delivered Rentals'!A:A, B691) &gt; 0</f>
        <v>0</v>
      </c>
      <c r="P691" s="104"/>
    </row>
    <row r="692">
      <c r="A692" s="61"/>
      <c r="B692" s="61"/>
      <c r="C692" s="61"/>
      <c r="D692" s="61"/>
      <c r="E692" s="61"/>
      <c r="F692" s="61"/>
      <c r="G692" s="61"/>
      <c r="H692" s="61"/>
      <c r="I692" s="61"/>
      <c r="J692" s="61"/>
      <c r="K692" s="100"/>
      <c r="L692" s="61"/>
      <c r="M692" s="64"/>
      <c r="N692" s="61"/>
      <c r="O692" s="61" t="b">
        <f>COUNTIF('Delivered Rentals'!A:A, B692) &gt; 0</f>
        <v>0</v>
      </c>
      <c r="P692" s="101"/>
    </row>
    <row r="693">
      <c r="A693" s="65"/>
      <c r="B693" s="65"/>
      <c r="C693" s="65"/>
      <c r="D693" s="65"/>
      <c r="E693" s="65"/>
      <c r="F693" s="65"/>
      <c r="G693" s="65"/>
      <c r="H693" s="65"/>
      <c r="I693" s="65"/>
      <c r="J693" s="65"/>
      <c r="K693" s="103"/>
      <c r="L693" s="65"/>
      <c r="M693" s="68"/>
      <c r="N693" s="65"/>
      <c r="O693" s="65" t="b">
        <f>COUNTIF('Delivered Rentals'!A:A, B693) &gt; 0</f>
        <v>0</v>
      </c>
      <c r="P693" s="104"/>
    </row>
    <row r="694">
      <c r="A694" s="61"/>
      <c r="B694" s="61"/>
      <c r="C694" s="61"/>
      <c r="D694" s="61"/>
      <c r="E694" s="61"/>
      <c r="F694" s="61"/>
      <c r="G694" s="61"/>
      <c r="H694" s="61"/>
      <c r="I694" s="61"/>
      <c r="J694" s="61"/>
      <c r="K694" s="100"/>
      <c r="L694" s="61"/>
      <c r="M694" s="64"/>
      <c r="N694" s="61"/>
      <c r="O694" s="61" t="b">
        <f>COUNTIF('Delivered Rentals'!A:A, B694) &gt; 0</f>
        <v>0</v>
      </c>
      <c r="P694" s="101"/>
    </row>
    <row r="695">
      <c r="A695" s="65"/>
      <c r="B695" s="65"/>
      <c r="C695" s="65"/>
      <c r="D695" s="65"/>
      <c r="E695" s="65"/>
      <c r="F695" s="65"/>
      <c r="G695" s="65"/>
      <c r="H695" s="65"/>
      <c r="I695" s="65"/>
      <c r="J695" s="65"/>
      <c r="K695" s="103"/>
      <c r="L695" s="65"/>
      <c r="M695" s="68"/>
      <c r="N695" s="65"/>
      <c r="O695" s="65" t="b">
        <f>COUNTIF('Delivered Rentals'!A:A, B695) &gt; 0</f>
        <v>0</v>
      </c>
      <c r="P695" s="104"/>
    </row>
    <row r="696">
      <c r="A696" s="61"/>
      <c r="B696" s="61"/>
      <c r="C696" s="61"/>
      <c r="D696" s="61"/>
      <c r="E696" s="61"/>
      <c r="F696" s="61"/>
      <c r="G696" s="61"/>
      <c r="H696" s="61"/>
      <c r="I696" s="61"/>
      <c r="J696" s="61"/>
      <c r="K696" s="100"/>
      <c r="L696" s="61"/>
      <c r="M696" s="64"/>
      <c r="N696" s="61"/>
      <c r="O696" s="61" t="b">
        <f>COUNTIF('Delivered Rentals'!A:A, B696) &gt; 0</f>
        <v>0</v>
      </c>
      <c r="P696" s="101"/>
    </row>
    <row r="697">
      <c r="A697" s="65"/>
      <c r="B697" s="65"/>
      <c r="C697" s="65"/>
      <c r="D697" s="65"/>
      <c r="E697" s="65"/>
      <c r="F697" s="65"/>
      <c r="G697" s="65"/>
      <c r="H697" s="65"/>
      <c r="I697" s="65"/>
      <c r="J697" s="65"/>
      <c r="K697" s="103"/>
      <c r="L697" s="65"/>
      <c r="M697" s="68"/>
      <c r="N697" s="65"/>
      <c r="O697" s="65" t="b">
        <f>COUNTIF('Delivered Rentals'!A:A, B697) &gt; 0</f>
        <v>0</v>
      </c>
      <c r="P697" s="104"/>
    </row>
    <row r="698">
      <c r="A698" s="61"/>
      <c r="B698" s="61"/>
      <c r="C698" s="61"/>
      <c r="D698" s="61"/>
      <c r="E698" s="61"/>
      <c r="F698" s="61"/>
      <c r="G698" s="61"/>
      <c r="H698" s="61"/>
      <c r="I698" s="61"/>
      <c r="J698" s="61"/>
      <c r="K698" s="100"/>
      <c r="L698" s="61"/>
      <c r="M698" s="64"/>
      <c r="N698" s="61"/>
      <c r="O698" s="61" t="b">
        <f>COUNTIF('Delivered Rentals'!A:A, B698) &gt; 0</f>
        <v>0</v>
      </c>
      <c r="P698" s="101"/>
    </row>
    <row r="699">
      <c r="A699" s="65"/>
      <c r="B699" s="65"/>
      <c r="C699" s="65"/>
      <c r="D699" s="65"/>
      <c r="E699" s="65"/>
      <c r="F699" s="65"/>
      <c r="G699" s="65"/>
      <c r="H699" s="65"/>
      <c r="I699" s="65"/>
      <c r="J699" s="65"/>
      <c r="K699" s="103"/>
      <c r="L699" s="65"/>
      <c r="M699" s="68"/>
      <c r="N699" s="65"/>
      <c r="O699" s="65" t="b">
        <f>COUNTIF('Delivered Rentals'!A:A, B699) &gt; 0</f>
        <v>0</v>
      </c>
      <c r="P699" s="104"/>
    </row>
    <row r="700">
      <c r="A700" s="61"/>
      <c r="B700" s="61"/>
      <c r="C700" s="61"/>
      <c r="D700" s="61"/>
      <c r="E700" s="61"/>
      <c r="F700" s="61"/>
      <c r="G700" s="61"/>
      <c r="H700" s="61"/>
      <c r="I700" s="61"/>
      <c r="J700" s="61"/>
      <c r="K700" s="100"/>
      <c r="L700" s="61"/>
      <c r="M700" s="64"/>
      <c r="N700" s="61"/>
      <c r="O700" s="61" t="b">
        <f>COUNTIF('Delivered Rentals'!A:A, B700) &gt; 0</f>
        <v>0</v>
      </c>
      <c r="P700" s="101"/>
    </row>
    <row r="701">
      <c r="A701" s="65"/>
      <c r="B701" s="65"/>
      <c r="C701" s="65"/>
      <c r="D701" s="65"/>
      <c r="E701" s="65"/>
      <c r="F701" s="65"/>
      <c r="G701" s="65"/>
      <c r="H701" s="65"/>
      <c r="I701" s="65"/>
      <c r="J701" s="65"/>
      <c r="K701" s="103"/>
      <c r="L701" s="65"/>
      <c r="M701" s="68"/>
      <c r="N701" s="65"/>
      <c r="O701" s="65" t="b">
        <f>COUNTIF('Delivered Rentals'!A:A, B701) &gt; 0</f>
        <v>0</v>
      </c>
      <c r="P701" s="104"/>
    </row>
    <row r="702">
      <c r="A702" s="61"/>
      <c r="B702" s="61"/>
      <c r="C702" s="61"/>
      <c r="D702" s="61"/>
      <c r="E702" s="61"/>
      <c r="F702" s="61"/>
      <c r="G702" s="61"/>
      <c r="H702" s="61"/>
      <c r="I702" s="61"/>
      <c r="J702" s="61"/>
      <c r="K702" s="100"/>
      <c r="L702" s="61"/>
      <c r="M702" s="64"/>
      <c r="N702" s="61"/>
      <c r="O702" s="61" t="b">
        <f>COUNTIF('Delivered Rentals'!A:A, B702) &gt; 0</f>
        <v>0</v>
      </c>
      <c r="P702" s="101"/>
    </row>
    <row r="703">
      <c r="A703" s="65"/>
      <c r="B703" s="65"/>
      <c r="C703" s="65"/>
      <c r="D703" s="65"/>
      <c r="E703" s="65"/>
      <c r="F703" s="65"/>
      <c r="G703" s="65"/>
      <c r="H703" s="65"/>
      <c r="I703" s="65"/>
      <c r="J703" s="65"/>
      <c r="K703" s="103"/>
      <c r="L703" s="65"/>
      <c r="M703" s="68"/>
      <c r="N703" s="65"/>
      <c r="O703" s="65" t="b">
        <f>COUNTIF('Delivered Rentals'!A:A, B703) &gt; 0</f>
        <v>0</v>
      </c>
      <c r="P703" s="104"/>
    </row>
    <row r="704">
      <c r="A704" s="61"/>
      <c r="B704" s="61"/>
      <c r="C704" s="61"/>
      <c r="D704" s="61"/>
      <c r="E704" s="61"/>
      <c r="F704" s="61"/>
      <c r="G704" s="61"/>
      <c r="H704" s="61"/>
      <c r="I704" s="61"/>
      <c r="J704" s="61"/>
      <c r="K704" s="100"/>
      <c r="L704" s="61"/>
      <c r="M704" s="64"/>
      <c r="N704" s="61"/>
      <c r="O704" s="61" t="b">
        <f>COUNTIF('Delivered Rentals'!A:A, B704) &gt; 0</f>
        <v>0</v>
      </c>
      <c r="P704" s="101"/>
    </row>
    <row r="705">
      <c r="A705" s="65"/>
      <c r="B705" s="65"/>
      <c r="C705" s="65"/>
      <c r="D705" s="65"/>
      <c r="E705" s="65"/>
      <c r="F705" s="65"/>
      <c r="G705" s="65"/>
      <c r="H705" s="65"/>
      <c r="I705" s="65"/>
      <c r="J705" s="65"/>
      <c r="K705" s="103"/>
      <c r="L705" s="65"/>
      <c r="M705" s="68"/>
      <c r="N705" s="65"/>
      <c r="O705" s="65" t="b">
        <f>COUNTIF('Delivered Rentals'!A:A, B705) &gt; 0</f>
        <v>0</v>
      </c>
      <c r="P705" s="104"/>
    </row>
    <row r="706">
      <c r="A706" s="61"/>
      <c r="B706" s="61"/>
      <c r="C706" s="61"/>
      <c r="D706" s="61"/>
      <c r="E706" s="61"/>
      <c r="F706" s="61"/>
      <c r="G706" s="61"/>
      <c r="H706" s="61"/>
      <c r="I706" s="61"/>
      <c r="J706" s="61"/>
      <c r="K706" s="100"/>
      <c r="L706" s="61"/>
      <c r="M706" s="64"/>
      <c r="N706" s="61"/>
      <c r="O706" s="61" t="b">
        <f>COUNTIF('Delivered Rentals'!A:A, B706) &gt; 0</f>
        <v>0</v>
      </c>
      <c r="P706" s="101"/>
    </row>
    <row r="707">
      <c r="A707" s="65"/>
      <c r="B707" s="65"/>
      <c r="C707" s="65"/>
      <c r="D707" s="65"/>
      <c r="E707" s="65"/>
      <c r="F707" s="65"/>
      <c r="G707" s="65"/>
      <c r="H707" s="65"/>
      <c r="I707" s="65"/>
      <c r="J707" s="65"/>
      <c r="K707" s="103"/>
      <c r="L707" s="65"/>
      <c r="M707" s="68"/>
      <c r="N707" s="65"/>
      <c r="O707" s="65" t="b">
        <f>COUNTIF('Delivered Rentals'!A:A, B707) &gt; 0</f>
        <v>0</v>
      </c>
      <c r="P707" s="104"/>
    </row>
    <row r="708">
      <c r="A708" s="61"/>
      <c r="B708" s="61"/>
      <c r="C708" s="61"/>
      <c r="D708" s="61"/>
      <c r="E708" s="61"/>
      <c r="F708" s="61"/>
      <c r="G708" s="61"/>
      <c r="H708" s="61"/>
      <c r="I708" s="61"/>
      <c r="J708" s="61"/>
      <c r="K708" s="100"/>
      <c r="L708" s="61"/>
      <c r="M708" s="64"/>
      <c r="N708" s="61"/>
      <c r="O708" s="61" t="b">
        <f>COUNTIF('Delivered Rentals'!A:A, B708) &gt; 0</f>
        <v>0</v>
      </c>
      <c r="P708" s="101"/>
    </row>
    <row r="709">
      <c r="A709" s="65"/>
      <c r="B709" s="65"/>
      <c r="C709" s="65"/>
      <c r="D709" s="65"/>
      <c r="E709" s="65"/>
      <c r="F709" s="65"/>
      <c r="G709" s="65"/>
      <c r="H709" s="65"/>
      <c r="I709" s="65"/>
      <c r="J709" s="65"/>
      <c r="K709" s="103"/>
      <c r="L709" s="65"/>
      <c r="M709" s="68"/>
      <c r="N709" s="65"/>
      <c r="O709" s="65" t="b">
        <f>COUNTIF('Delivered Rentals'!A:A, B709) &gt; 0</f>
        <v>0</v>
      </c>
      <c r="P709" s="104"/>
    </row>
    <row r="710">
      <c r="A710" s="61"/>
      <c r="B710" s="61"/>
      <c r="C710" s="61"/>
      <c r="D710" s="61"/>
      <c r="E710" s="61"/>
      <c r="F710" s="61"/>
      <c r="G710" s="61"/>
      <c r="H710" s="61"/>
      <c r="I710" s="61"/>
      <c r="J710" s="61"/>
      <c r="K710" s="100"/>
      <c r="L710" s="61"/>
      <c r="M710" s="64"/>
      <c r="N710" s="61"/>
      <c r="O710" s="61" t="b">
        <f>COUNTIF('Delivered Rentals'!A:A, B710) &gt; 0</f>
        <v>0</v>
      </c>
      <c r="P710" s="101"/>
    </row>
    <row r="711">
      <c r="A711" s="65"/>
      <c r="B711" s="65"/>
      <c r="C711" s="65"/>
      <c r="D711" s="65"/>
      <c r="E711" s="65"/>
      <c r="F711" s="65"/>
      <c r="G711" s="65"/>
      <c r="H711" s="65"/>
      <c r="I711" s="65"/>
      <c r="J711" s="65"/>
      <c r="K711" s="103"/>
      <c r="L711" s="65"/>
      <c r="M711" s="68"/>
      <c r="N711" s="65"/>
      <c r="O711" s="65" t="b">
        <f>COUNTIF('Delivered Rentals'!A:A, B711) &gt; 0</f>
        <v>0</v>
      </c>
      <c r="P711" s="104"/>
    </row>
    <row r="712">
      <c r="A712" s="61"/>
      <c r="B712" s="61"/>
      <c r="C712" s="61"/>
      <c r="D712" s="61"/>
      <c r="E712" s="61"/>
      <c r="F712" s="61"/>
      <c r="G712" s="61"/>
      <c r="H712" s="61"/>
      <c r="I712" s="61"/>
      <c r="J712" s="61"/>
      <c r="K712" s="100"/>
      <c r="L712" s="61"/>
      <c r="M712" s="64"/>
      <c r="N712" s="61"/>
      <c r="O712" s="61" t="b">
        <f>COUNTIF('Delivered Rentals'!A:A, B712) &gt; 0</f>
        <v>0</v>
      </c>
      <c r="P712" s="101"/>
    </row>
    <row r="713">
      <c r="A713" s="65"/>
      <c r="B713" s="65"/>
      <c r="C713" s="65"/>
      <c r="D713" s="65"/>
      <c r="E713" s="65"/>
      <c r="F713" s="65"/>
      <c r="G713" s="65"/>
      <c r="H713" s="65"/>
      <c r="I713" s="65"/>
      <c r="J713" s="65"/>
      <c r="K713" s="103"/>
      <c r="L713" s="65"/>
      <c r="M713" s="68"/>
      <c r="N713" s="65"/>
      <c r="O713" s="65" t="b">
        <f>COUNTIF('Delivered Rentals'!A:A, B713) &gt; 0</f>
        <v>0</v>
      </c>
      <c r="P713" s="104"/>
    </row>
    <row r="714">
      <c r="A714" s="61"/>
      <c r="B714" s="61"/>
      <c r="C714" s="61"/>
      <c r="D714" s="61"/>
      <c r="E714" s="61"/>
      <c r="F714" s="61"/>
      <c r="G714" s="61"/>
      <c r="H714" s="61"/>
      <c r="I714" s="61"/>
      <c r="J714" s="61"/>
      <c r="K714" s="100"/>
      <c r="L714" s="61"/>
      <c r="M714" s="64"/>
      <c r="N714" s="61"/>
      <c r="O714" s="61" t="b">
        <f>COUNTIF('Delivered Rentals'!A:A, B714) &gt; 0</f>
        <v>0</v>
      </c>
      <c r="P714" s="101"/>
    </row>
    <row r="715">
      <c r="A715" s="65"/>
      <c r="B715" s="65"/>
      <c r="C715" s="65"/>
      <c r="D715" s="65"/>
      <c r="E715" s="65"/>
      <c r="F715" s="65"/>
      <c r="G715" s="65"/>
      <c r="H715" s="65"/>
      <c r="I715" s="65"/>
      <c r="J715" s="65"/>
      <c r="K715" s="103"/>
      <c r="L715" s="65"/>
      <c r="M715" s="68"/>
      <c r="N715" s="65"/>
      <c r="O715" s="65" t="b">
        <f>COUNTIF('Delivered Rentals'!A:A, B715) &gt; 0</f>
        <v>0</v>
      </c>
      <c r="P715" s="104"/>
    </row>
    <row r="716">
      <c r="A716" s="61"/>
      <c r="B716" s="61"/>
      <c r="C716" s="61"/>
      <c r="D716" s="61"/>
      <c r="E716" s="61"/>
      <c r="F716" s="61"/>
      <c r="G716" s="61"/>
      <c r="H716" s="61"/>
      <c r="I716" s="61"/>
      <c r="J716" s="61"/>
      <c r="K716" s="100"/>
      <c r="L716" s="61"/>
      <c r="M716" s="64"/>
      <c r="N716" s="61"/>
      <c r="O716" s="61" t="b">
        <f>COUNTIF('Delivered Rentals'!A:A, B716) &gt; 0</f>
        <v>0</v>
      </c>
      <c r="P716" s="101"/>
    </row>
    <row r="717">
      <c r="A717" s="65"/>
      <c r="B717" s="65"/>
      <c r="C717" s="65"/>
      <c r="D717" s="65"/>
      <c r="E717" s="65"/>
      <c r="F717" s="65"/>
      <c r="G717" s="65"/>
      <c r="H717" s="65"/>
      <c r="I717" s="65"/>
      <c r="J717" s="65"/>
      <c r="K717" s="103"/>
      <c r="L717" s="65"/>
      <c r="M717" s="68"/>
      <c r="N717" s="65"/>
      <c r="O717" s="65" t="b">
        <f>COUNTIF('Delivered Rentals'!A:A, B717) &gt; 0</f>
        <v>0</v>
      </c>
      <c r="P717" s="104"/>
    </row>
    <row r="718">
      <c r="A718" s="61"/>
      <c r="B718" s="61"/>
      <c r="C718" s="61"/>
      <c r="D718" s="61"/>
      <c r="E718" s="61"/>
      <c r="F718" s="61"/>
      <c r="G718" s="61"/>
      <c r="H718" s="61"/>
      <c r="I718" s="61"/>
      <c r="J718" s="61"/>
      <c r="K718" s="100"/>
      <c r="L718" s="61"/>
      <c r="M718" s="64"/>
      <c r="N718" s="61"/>
      <c r="O718" s="61" t="b">
        <f>COUNTIF('Delivered Rentals'!A:A, B718) &gt; 0</f>
        <v>0</v>
      </c>
      <c r="P718" s="101"/>
    </row>
    <row r="719">
      <c r="A719" s="65"/>
      <c r="B719" s="65"/>
      <c r="C719" s="65"/>
      <c r="D719" s="65"/>
      <c r="E719" s="65"/>
      <c r="F719" s="65"/>
      <c r="G719" s="65"/>
      <c r="H719" s="65"/>
      <c r="I719" s="65"/>
      <c r="J719" s="65"/>
      <c r="K719" s="103"/>
      <c r="L719" s="65"/>
      <c r="M719" s="68"/>
      <c r="N719" s="65"/>
      <c r="O719" s="65" t="b">
        <f>COUNTIF('Delivered Rentals'!A:A, B719) &gt; 0</f>
        <v>0</v>
      </c>
      <c r="P719" s="104"/>
    </row>
    <row r="720">
      <c r="A720" s="61"/>
      <c r="B720" s="61"/>
      <c r="C720" s="61"/>
      <c r="D720" s="61"/>
      <c r="E720" s="61"/>
      <c r="F720" s="61"/>
      <c r="G720" s="61"/>
      <c r="H720" s="61"/>
      <c r="I720" s="61"/>
      <c r="J720" s="61"/>
      <c r="K720" s="100"/>
      <c r="L720" s="61"/>
      <c r="M720" s="64"/>
      <c r="N720" s="61"/>
      <c r="O720" s="61" t="b">
        <f>COUNTIF('Delivered Rentals'!A:A, B720) &gt; 0</f>
        <v>0</v>
      </c>
      <c r="P720" s="101"/>
    </row>
    <row r="721">
      <c r="A721" s="65"/>
      <c r="B721" s="65"/>
      <c r="C721" s="65"/>
      <c r="D721" s="65"/>
      <c r="E721" s="65"/>
      <c r="F721" s="65"/>
      <c r="G721" s="65"/>
      <c r="H721" s="65"/>
      <c r="I721" s="65"/>
      <c r="J721" s="65"/>
      <c r="K721" s="103"/>
      <c r="L721" s="65"/>
      <c r="M721" s="68"/>
      <c r="N721" s="65"/>
      <c r="O721" s="65" t="b">
        <f>COUNTIF('Delivered Rentals'!A:A, B721) &gt; 0</f>
        <v>0</v>
      </c>
      <c r="P721" s="104"/>
    </row>
    <row r="722">
      <c r="A722" s="61"/>
      <c r="B722" s="61"/>
      <c r="C722" s="61"/>
      <c r="D722" s="61"/>
      <c r="E722" s="61"/>
      <c r="F722" s="61"/>
      <c r="G722" s="61"/>
      <c r="H722" s="61"/>
      <c r="I722" s="61"/>
      <c r="J722" s="61"/>
      <c r="K722" s="100"/>
      <c r="L722" s="61"/>
      <c r="M722" s="64"/>
      <c r="N722" s="61"/>
      <c r="O722" s="61" t="b">
        <f>COUNTIF('Delivered Rentals'!A:A, B722) &gt; 0</f>
        <v>0</v>
      </c>
      <c r="P722" s="101"/>
    </row>
    <row r="723">
      <c r="A723" s="65"/>
      <c r="B723" s="65"/>
      <c r="C723" s="65"/>
      <c r="D723" s="65"/>
      <c r="E723" s="65"/>
      <c r="F723" s="65"/>
      <c r="G723" s="65"/>
      <c r="H723" s="65"/>
      <c r="I723" s="65"/>
      <c r="J723" s="65"/>
      <c r="K723" s="103"/>
      <c r="L723" s="65"/>
      <c r="M723" s="68"/>
      <c r="N723" s="65"/>
      <c r="O723" s="65" t="b">
        <f>COUNTIF('Delivered Rentals'!A:A, B723) &gt; 0</f>
        <v>0</v>
      </c>
      <c r="P723" s="104"/>
    </row>
    <row r="724">
      <c r="A724" s="61"/>
      <c r="B724" s="61"/>
      <c r="C724" s="61"/>
      <c r="D724" s="61"/>
      <c r="E724" s="61"/>
      <c r="F724" s="61"/>
      <c r="G724" s="61"/>
      <c r="H724" s="61"/>
      <c r="I724" s="61"/>
      <c r="J724" s="61"/>
      <c r="K724" s="100"/>
      <c r="L724" s="61"/>
      <c r="M724" s="64"/>
      <c r="N724" s="61"/>
      <c r="O724" s="61" t="b">
        <f>COUNTIF('Delivered Rentals'!A:A, B724) &gt; 0</f>
        <v>0</v>
      </c>
      <c r="P724" s="101"/>
    </row>
    <row r="725">
      <c r="A725" s="65"/>
      <c r="B725" s="65"/>
      <c r="C725" s="65"/>
      <c r="D725" s="65"/>
      <c r="E725" s="65"/>
      <c r="F725" s="65"/>
      <c r="G725" s="65"/>
      <c r="H725" s="65"/>
      <c r="I725" s="65"/>
      <c r="J725" s="65"/>
      <c r="K725" s="103"/>
      <c r="L725" s="65"/>
      <c r="M725" s="68"/>
      <c r="N725" s="65"/>
      <c r="O725" s="65" t="b">
        <f>COUNTIF('Delivered Rentals'!A:A, B725) &gt; 0</f>
        <v>0</v>
      </c>
      <c r="P725" s="104"/>
    </row>
    <row r="726">
      <c r="A726" s="61"/>
      <c r="B726" s="61"/>
      <c r="C726" s="61"/>
      <c r="D726" s="61"/>
      <c r="E726" s="61"/>
      <c r="F726" s="61"/>
      <c r="G726" s="61"/>
      <c r="H726" s="61"/>
      <c r="I726" s="61"/>
      <c r="J726" s="61"/>
      <c r="K726" s="100"/>
      <c r="L726" s="61"/>
      <c r="M726" s="64"/>
      <c r="N726" s="61"/>
      <c r="O726" s="61" t="b">
        <f>COUNTIF('Delivered Rentals'!A:A, B726) &gt; 0</f>
        <v>0</v>
      </c>
      <c r="P726" s="101"/>
    </row>
    <row r="727">
      <c r="A727" s="65"/>
      <c r="B727" s="65"/>
      <c r="C727" s="65"/>
      <c r="D727" s="65"/>
      <c r="E727" s="65"/>
      <c r="F727" s="65"/>
      <c r="G727" s="65"/>
      <c r="H727" s="65"/>
      <c r="I727" s="65"/>
      <c r="J727" s="65"/>
      <c r="K727" s="103"/>
      <c r="L727" s="65"/>
      <c r="M727" s="68"/>
      <c r="N727" s="65"/>
      <c r="O727" s="65" t="b">
        <f>COUNTIF('Delivered Rentals'!A:A, B727) &gt; 0</f>
        <v>0</v>
      </c>
      <c r="P727" s="104"/>
    </row>
    <row r="728">
      <c r="A728" s="61"/>
      <c r="B728" s="61"/>
      <c r="C728" s="61"/>
      <c r="D728" s="61"/>
      <c r="E728" s="61"/>
      <c r="F728" s="61"/>
      <c r="G728" s="61"/>
      <c r="H728" s="61"/>
      <c r="I728" s="61"/>
      <c r="J728" s="61"/>
      <c r="K728" s="100"/>
      <c r="L728" s="61"/>
      <c r="M728" s="64"/>
      <c r="N728" s="61"/>
      <c r="O728" s="61" t="b">
        <f>COUNTIF('Delivered Rentals'!A:A, B728) &gt; 0</f>
        <v>0</v>
      </c>
      <c r="P728" s="101"/>
    </row>
    <row r="729">
      <c r="A729" s="65"/>
      <c r="B729" s="65"/>
      <c r="C729" s="65"/>
      <c r="D729" s="65"/>
      <c r="E729" s="65"/>
      <c r="F729" s="65"/>
      <c r="G729" s="65"/>
      <c r="H729" s="65"/>
      <c r="I729" s="65"/>
      <c r="J729" s="65"/>
      <c r="K729" s="103"/>
      <c r="L729" s="65"/>
      <c r="M729" s="68"/>
      <c r="N729" s="65"/>
      <c r="O729" s="65" t="b">
        <f>COUNTIF('Delivered Rentals'!A:A, B729) &gt; 0</f>
        <v>0</v>
      </c>
      <c r="P729" s="104"/>
    </row>
    <row r="730">
      <c r="A730" s="61"/>
      <c r="B730" s="61"/>
      <c r="C730" s="61"/>
      <c r="D730" s="61"/>
      <c r="E730" s="61"/>
      <c r="F730" s="61"/>
      <c r="G730" s="61"/>
      <c r="H730" s="61"/>
      <c r="I730" s="61"/>
      <c r="J730" s="61"/>
      <c r="K730" s="100"/>
      <c r="L730" s="61"/>
      <c r="M730" s="64"/>
      <c r="N730" s="61"/>
      <c r="O730" s="61" t="b">
        <f>COUNTIF('Delivered Rentals'!A:A, B730) &gt; 0</f>
        <v>0</v>
      </c>
      <c r="P730" s="101"/>
    </row>
    <row r="731">
      <c r="A731" s="65"/>
      <c r="B731" s="65"/>
      <c r="C731" s="65"/>
      <c r="D731" s="65"/>
      <c r="E731" s="65"/>
      <c r="F731" s="65"/>
      <c r="G731" s="65"/>
      <c r="H731" s="65"/>
      <c r="I731" s="65"/>
      <c r="J731" s="65"/>
      <c r="K731" s="103"/>
      <c r="L731" s="65"/>
      <c r="M731" s="68"/>
      <c r="N731" s="65"/>
      <c r="O731" s="65" t="b">
        <f>COUNTIF('Delivered Rentals'!A:A, B731) &gt; 0</f>
        <v>0</v>
      </c>
      <c r="P731" s="104"/>
    </row>
    <row r="732">
      <c r="A732" s="61"/>
      <c r="B732" s="61"/>
      <c r="C732" s="61"/>
      <c r="D732" s="61"/>
      <c r="E732" s="61"/>
      <c r="F732" s="61"/>
      <c r="G732" s="61"/>
      <c r="H732" s="61"/>
      <c r="I732" s="61"/>
      <c r="J732" s="61"/>
      <c r="K732" s="100"/>
      <c r="L732" s="61"/>
      <c r="M732" s="64"/>
      <c r="N732" s="61"/>
      <c r="O732" s="61" t="b">
        <f>COUNTIF('Delivered Rentals'!A:A, B732) &gt; 0</f>
        <v>0</v>
      </c>
      <c r="P732" s="101"/>
    </row>
    <row r="733">
      <c r="A733" s="65"/>
      <c r="B733" s="65"/>
      <c r="C733" s="65"/>
      <c r="D733" s="65"/>
      <c r="E733" s="65"/>
      <c r="F733" s="65"/>
      <c r="G733" s="65"/>
      <c r="H733" s="65"/>
      <c r="I733" s="65"/>
      <c r="J733" s="65"/>
      <c r="K733" s="103"/>
      <c r="L733" s="65"/>
      <c r="M733" s="68"/>
      <c r="N733" s="65"/>
      <c r="O733" s="65" t="b">
        <f>COUNTIF('Delivered Rentals'!A:A, B733) &gt; 0</f>
        <v>0</v>
      </c>
      <c r="P733" s="104"/>
    </row>
    <row r="734">
      <c r="A734" s="61"/>
      <c r="B734" s="61"/>
      <c r="C734" s="61"/>
      <c r="D734" s="61"/>
      <c r="E734" s="61"/>
      <c r="F734" s="61"/>
      <c r="G734" s="61"/>
      <c r="H734" s="61"/>
      <c r="I734" s="61"/>
      <c r="J734" s="61"/>
      <c r="K734" s="100"/>
      <c r="L734" s="61"/>
      <c r="M734" s="64"/>
      <c r="N734" s="61"/>
      <c r="O734" s="61" t="b">
        <f>COUNTIF('Delivered Rentals'!A:A, B734) &gt; 0</f>
        <v>0</v>
      </c>
      <c r="P734" s="101"/>
    </row>
    <row r="735">
      <c r="A735" s="65"/>
      <c r="B735" s="65"/>
      <c r="C735" s="65"/>
      <c r="D735" s="65"/>
      <c r="E735" s="65"/>
      <c r="F735" s="65"/>
      <c r="G735" s="65"/>
      <c r="H735" s="65"/>
      <c r="I735" s="65"/>
      <c r="J735" s="65"/>
      <c r="K735" s="103"/>
      <c r="L735" s="65"/>
      <c r="M735" s="68"/>
      <c r="N735" s="65"/>
      <c r="O735" s="65" t="b">
        <f>COUNTIF('Delivered Rentals'!A:A, B735) &gt; 0</f>
        <v>0</v>
      </c>
      <c r="P735" s="104"/>
    </row>
    <row r="736">
      <c r="A736" s="61"/>
      <c r="B736" s="61"/>
      <c r="C736" s="61"/>
      <c r="D736" s="61"/>
      <c r="E736" s="61"/>
      <c r="F736" s="61"/>
      <c r="G736" s="61"/>
      <c r="H736" s="61"/>
      <c r="I736" s="61"/>
      <c r="J736" s="61"/>
      <c r="K736" s="100"/>
      <c r="L736" s="61"/>
      <c r="M736" s="64"/>
      <c r="N736" s="61"/>
      <c r="O736" s="61" t="b">
        <f>COUNTIF('Delivered Rentals'!A:A, B736) &gt; 0</f>
        <v>0</v>
      </c>
      <c r="P736" s="101"/>
    </row>
    <row r="737">
      <c r="A737" s="65"/>
      <c r="B737" s="65"/>
      <c r="C737" s="65"/>
      <c r="D737" s="65"/>
      <c r="E737" s="65"/>
      <c r="F737" s="65"/>
      <c r="G737" s="65"/>
      <c r="H737" s="65"/>
      <c r="I737" s="65"/>
      <c r="J737" s="65"/>
      <c r="K737" s="103"/>
      <c r="L737" s="65"/>
      <c r="M737" s="68"/>
      <c r="N737" s="65"/>
      <c r="O737" s="65" t="b">
        <f>COUNTIF('Delivered Rentals'!A:A, B737) &gt; 0</f>
        <v>0</v>
      </c>
      <c r="P737" s="104"/>
    </row>
    <row r="738">
      <c r="A738" s="61"/>
      <c r="B738" s="61"/>
      <c r="C738" s="61"/>
      <c r="D738" s="61"/>
      <c r="E738" s="61"/>
      <c r="F738" s="61"/>
      <c r="G738" s="61"/>
      <c r="H738" s="61"/>
      <c r="I738" s="61"/>
      <c r="J738" s="61"/>
      <c r="K738" s="100"/>
      <c r="L738" s="61"/>
      <c r="M738" s="64"/>
      <c r="N738" s="61"/>
      <c r="O738" s="61" t="b">
        <f>COUNTIF('Delivered Rentals'!A:A, B738) &gt; 0</f>
        <v>0</v>
      </c>
      <c r="P738" s="101"/>
    </row>
    <row r="739">
      <c r="A739" s="65"/>
      <c r="B739" s="65"/>
      <c r="C739" s="65"/>
      <c r="D739" s="65"/>
      <c r="E739" s="65"/>
      <c r="F739" s="65"/>
      <c r="G739" s="65"/>
      <c r="H739" s="65"/>
      <c r="I739" s="65"/>
      <c r="J739" s="65"/>
      <c r="K739" s="103"/>
      <c r="L739" s="65"/>
      <c r="M739" s="68"/>
      <c r="N739" s="65"/>
      <c r="O739" s="65" t="b">
        <f>COUNTIF('Delivered Rentals'!A:A, B739) &gt; 0</f>
        <v>0</v>
      </c>
      <c r="P739" s="104"/>
    </row>
    <row r="740">
      <c r="A740" s="61"/>
      <c r="B740" s="61"/>
      <c r="C740" s="61"/>
      <c r="D740" s="61"/>
      <c r="E740" s="61"/>
      <c r="F740" s="61"/>
      <c r="G740" s="61"/>
      <c r="H740" s="61"/>
      <c r="I740" s="61"/>
      <c r="J740" s="61"/>
      <c r="K740" s="100"/>
      <c r="L740" s="61"/>
      <c r="M740" s="64"/>
      <c r="N740" s="61"/>
      <c r="O740" s="61" t="b">
        <f>COUNTIF('Delivered Rentals'!A:A, B740) &gt; 0</f>
        <v>0</v>
      </c>
      <c r="P740" s="101"/>
    </row>
    <row r="741">
      <c r="A741" s="65"/>
      <c r="B741" s="65"/>
      <c r="C741" s="65"/>
      <c r="D741" s="65"/>
      <c r="E741" s="65"/>
      <c r="F741" s="65"/>
      <c r="G741" s="65"/>
      <c r="H741" s="65"/>
      <c r="I741" s="65"/>
      <c r="J741" s="65"/>
      <c r="K741" s="103"/>
      <c r="L741" s="65"/>
      <c r="M741" s="68"/>
      <c r="N741" s="65"/>
      <c r="O741" s="65" t="b">
        <f>COUNTIF('Delivered Rentals'!A:A, B741) &gt; 0</f>
        <v>0</v>
      </c>
      <c r="P741" s="104"/>
    </row>
    <row r="742">
      <c r="A742" s="61"/>
      <c r="B742" s="61"/>
      <c r="C742" s="61"/>
      <c r="D742" s="61"/>
      <c r="E742" s="61"/>
      <c r="F742" s="61"/>
      <c r="G742" s="61"/>
      <c r="H742" s="61"/>
      <c r="I742" s="61"/>
      <c r="J742" s="61"/>
      <c r="K742" s="100"/>
      <c r="L742" s="61"/>
      <c r="M742" s="64"/>
      <c r="N742" s="61"/>
      <c r="O742" s="61" t="b">
        <f>COUNTIF('Delivered Rentals'!A:A, B742) &gt; 0</f>
        <v>0</v>
      </c>
      <c r="P742" s="101"/>
    </row>
    <row r="743">
      <c r="A743" s="65"/>
      <c r="B743" s="65"/>
      <c r="C743" s="65"/>
      <c r="D743" s="65"/>
      <c r="E743" s="65"/>
      <c r="F743" s="65"/>
      <c r="G743" s="65"/>
      <c r="H743" s="65"/>
      <c r="I743" s="65"/>
      <c r="J743" s="65"/>
      <c r="K743" s="103"/>
      <c r="L743" s="65"/>
      <c r="M743" s="68"/>
      <c r="N743" s="65"/>
      <c r="O743" s="65" t="b">
        <f>COUNTIF('Delivered Rentals'!A:A, B743) &gt; 0</f>
        <v>0</v>
      </c>
      <c r="P743" s="104"/>
    </row>
    <row r="744">
      <c r="A744" s="61"/>
      <c r="B744" s="61"/>
      <c r="C744" s="61"/>
      <c r="D744" s="61"/>
      <c r="E744" s="61"/>
      <c r="F744" s="61"/>
      <c r="G744" s="61"/>
      <c r="H744" s="61"/>
      <c r="I744" s="61"/>
      <c r="J744" s="61"/>
      <c r="K744" s="100"/>
      <c r="L744" s="61"/>
      <c r="M744" s="64"/>
      <c r="N744" s="61"/>
      <c r="O744" s="61" t="b">
        <f>COUNTIF('Delivered Rentals'!A:A, B744) &gt; 0</f>
        <v>0</v>
      </c>
      <c r="P744" s="101"/>
    </row>
    <row r="745">
      <c r="A745" s="65"/>
      <c r="B745" s="65"/>
      <c r="C745" s="65"/>
      <c r="D745" s="65"/>
      <c r="E745" s="65"/>
      <c r="F745" s="65"/>
      <c r="G745" s="65"/>
      <c r="H745" s="65"/>
      <c r="I745" s="65"/>
      <c r="J745" s="65"/>
      <c r="K745" s="103"/>
      <c r="L745" s="65"/>
      <c r="M745" s="68"/>
      <c r="N745" s="65"/>
      <c r="O745" s="65" t="b">
        <f>COUNTIF('Delivered Rentals'!A:A, B745) &gt; 0</f>
        <v>0</v>
      </c>
      <c r="P745" s="104"/>
    </row>
    <row r="746">
      <c r="A746" s="61"/>
      <c r="B746" s="61"/>
      <c r="C746" s="61"/>
      <c r="D746" s="61"/>
      <c r="E746" s="61"/>
      <c r="F746" s="61"/>
      <c r="G746" s="61"/>
      <c r="H746" s="61"/>
      <c r="I746" s="61"/>
      <c r="J746" s="61"/>
      <c r="K746" s="100"/>
      <c r="L746" s="61"/>
      <c r="M746" s="64"/>
      <c r="N746" s="61"/>
      <c r="O746" s="61" t="b">
        <f>COUNTIF('Delivered Rentals'!A:A, B746) &gt; 0</f>
        <v>0</v>
      </c>
      <c r="P746" s="101"/>
    </row>
    <row r="747">
      <c r="A747" s="65"/>
      <c r="B747" s="65"/>
      <c r="C747" s="65"/>
      <c r="D747" s="65"/>
      <c r="E747" s="65"/>
      <c r="F747" s="65"/>
      <c r="G747" s="65"/>
      <c r="H747" s="65"/>
      <c r="I747" s="65"/>
      <c r="J747" s="65"/>
      <c r="K747" s="103"/>
      <c r="L747" s="65"/>
      <c r="M747" s="68"/>
      <c r="N747" s="65"/>
      <c r="O747" s="65" t="b">
        <f>COUNTIF('Delivered Rentals'!A:A, B747) &gt; 0</f>
        <v>0</v>
      </c>
      <c r="P747" s="104"/>
    </row>
    <row r="748">
      <c r="A748" s="61"/>
      <c r="B748" s="61"/>
      <c r="C748" s="61"/>
      <c r="D748" s="61"/>
      <c r="E748" s="61"/>
      <c r="F748" s="61"/>
      <c r="G748" s="61"/>
      <c r="H748" s="61"/>
      <c r="I748" s="61"/>
      <c r="J748" s="61"/>
      <c r="K748" s="100"/>
      <c r="L748" s="61"/>
      <c r="M748" s="64"/>
      <c r="N748" s="61"/>
      <c r="O748" s="61" t="b">
        <f>COUNTIF('Delivered Rentals'!A:A, B748) &gt; 0</f>
        <v>0</v>
      </c>
      <c r="P748" s="101"/>
    </row>
    <row r="749">
      <c r="A749" s="65"/>
      <c r="B749" s="65"/>
      <c r="C749" s="65"/>
      <c r="D749" s="65"/>
      <c r="E749" s="65"/>
      <c r="F749" s="65"/>
      <c r="G749" s="65"/>
      <c r="H749" s="65"/>
      <c r="I749" s="65"/>
      <c r="J749" s="65"/>
      <c r="K749" s="103"/>
      <c r="L749" s="65"/>
      <c r="M749" s="68"/>
      <c r="N749" s="65"/>
      <c r="O749" s="65" t="b">
        <f>COUNTIF('Delivered Rentals'!A:A, B749) &gt; 0</f>
        <v>0</v>
      </c>
      <c r="P749" s="104"/>
    </row>
    <row r="750">
      <c r="A750" s="61"/>
      <c r="B750" s="61"/>
      <c r="C750" s="61"/>
      <c r="D750" s="61"/>
      <c r="E750" s="61"/>
      <c r="F750" s="61"/>
      <c r="G750" s="61"/>
      <c r="H750" s="61"/>
      <c r="I750" s="61"/>
      <c r="J750" s="61"/>
      <c r="K750" s="100"/>
      <c r="L750" s="61"/>
      <c r="M750" s="64"/>
      <c r="N750" s="61"/>
      <c r="O750" s="61" t="b">
        <f>COUNTIF('Delivered Rentals'!A:A, B750) &gt; 0</f>
        <v>0</v>
      </c>
      <c r="P750" s="101"/>
    </row>
    <row r="751">
      <c r="A751" s="65"/>
      <c r="B751" s="65"/>
      <c r="C751" s="65"/>
      <c r="D751" s="65"/>
      <c r="E751" s="65"/>
      <c r="F751" s="65"/>
      <c r="G751" s="65"/>
      <c r="H751" s="65"/>
      <c r="I751" s="65"/>
      <c r="J751" s="65"/>
      <c r="K751" s="103"/>
      <c r="L751" s="65"/>
      <c r="M751" s="68"/>
      <c r="N751" s="65"/>
      <c r="O751" s="65" t="b">
        <f>COUNTIF('Delivered Rentals'!A:A, B751) &gt; 0</f>
        <v>0</v>
      </c>
      <c r="P751" s="104"/>
    </row>
    <row r="752">
      <c r="A752" s="61"/>
      <c r="B752" s="61"/>
      <c r="C752" s="61"/>
      <c r="D752" s="61"/>
      <c r="E752" s="61"/>
      <c r="F752" s="61"/>
      <c r="G752" s="61"/>
      <c r="H752" s="61"/>
      <c r="I752" s="61"/>
      <c r="J752" s="61"/>
      <c r="K752" s="100"/>
      <c r="L752" s="61"/>
      <c r="M752" s="64"/>
      <c r="N752" s="61"/>
      <c r="O752" s="61" t="b">
        <f>COUNTIF('Delivered Rentals'!A:A, B752) &gt; 0</f>
        <v>0</v>
      </c>
      <c r="P752" s="101"/>
    </row>
    <row r="753">
      <c r="A753" s="65"/>
      <c r="B753" s="65"/>
      <c r="C753" s="65"/>
      <c r="D753" s="65"/>
      <c r="E753" s="65"/>
      <c r="F753" s="65"/>
      <c r="G753" s="65"/>
      <c r="H753" s="65"/>
      <c r="I753" s="65"/>
      <c r="J753" s="65"/>
      <c r="K753" s="103"/>
      <c r="L753" s="65"/>
      <c r="M753" s="68"/>
      <c r="N753" s="65"/>
      <c r="O753" s="65" t="b">
        <f>COUNTIF('Delivered Rentals'!A:A, B753) &gt; 0</f>
        <v>0</v>
      </c>
      <c r="P753" s="104"/>
    </row>
    <row r="754">
      <c r="A754" s="61"/>
      <c r="B754" s="61"/>
      <c r="C754" s="61"/>
      <c r="D754" s="61"/>
      <c r="E754" s="61"/>
      <c r="F754" s="61"/>
      <c r="G754" s="61"/>
      <c r="H754" s="61"/>
      <c r="I754" s="61"/>
      <c r="J754" s="61"/>
      <c r="K754" s="100"/>
      <c r="L754" s="61"/>
      <c r="M754" s="64"/>
      <c r="N754" s="61"/>
      <c r="O754" s="61" t="b">
        <f>COUNTIF('Delivered Rentals'!A:A, B754) &gt; 0</f>
        <v>0</v>
      </c>
      <c r="P754" s="101"/>
    </row>
    <row r="755">
      <c r="A755" s="65"/>
      <c r="B755" s="65"/>
      <c r="C755" s="65"/>
      <c r="D755" s="65"/>
      <c r="E755" s="65"/>
      <c r="F755" s="65"/>
      <c r="G755" s="65"/>
      <c r="H755" s="65"/>
      <c r="I755" s="65"/>
      <c r="J755" s="65"/>
      <c r="K755" s="103"/>
      <c r="L755" s="65"/>
      <c r="M755" s="68"/>
      <c r="N755" s="65"/>
      <c r="O755" s="65" t="b">
        <f>COUNTIF('Delivered Rentals'!A:A, B755) &gt; 0</f>
        <v>0</v>
      </c>
      <c r="P755" s="104"/>
    </row>
    <row r="756">
      <c r="A756" s="61"/>
      <c r="B756" s="61"/>
      <c r="C756" s="61"/>
      <c r="D756" s="61"/>
      <c r="E756" s="61"/>
      <c r="F756" s="61"/>
      <c r="G756" s="61"/>
      <c r="H756" s="61"/>
      <c r="I756" s="61"/>
      <c r="J756" s="61"/>
      <c r="K756" s="100"/>
      <c r="L756" s="61"/>
      <c r="M756" s="64"/>
      <c r="N756" s="61"/>
      <c r="O756" s="61" t="b">
        <f>COUNTIF('Delivered Rentals'!A:A, B756) &gt; 0</f>
        <v>0</v>
      </c>
      <c r="P756" s="101"/>
    </row>
    <row r="757">
      <c r="A757" s="65"/>
      <c r="B757" s="65"/>
      <c r="C757" s="65"/>
      <c r="D757" s="65"/>
      <c r="E757" s="65"/>
      <c r="F757" s="65"/>
      <c r="G757" s="65"/>
      <c r="H757" s="65"/>
      <c r="I757" s="65"/>
      <c r="J757" s="65"/>
      <c r="K757" s="103"/>
      <c r="L757" s="65"/>
      <c r="M757" s="68"/>
      <c r="N757" s="65"/>
      <c r="O757" s="65" t="b">
        <f>COUNTIF('Delivered Rentals'!A:A, B757) &gt; 0</f>
        <v>0</v>
      </c>
      <c r="P757" s="104"/>
    </row>
    <row r="758">
      <c r="A758" s="61"/>
      <c r="B758" s="61"/>
      <c r="C758" s="61"/>
      <c r="D758" s="61"/>
      <c r="E758" s="61"/>
      <c r="F758" s="61"/>
      <c r="G758" s="61"/>
      <c r="H758" s="61"/>
      <c r="I758" s="61"/>
      <c r="J758" s="61"/>
      <c r="K758" s="100"/>
      <c r="L758" s="61"/>
      <c r="M758" s="64"/>
      <c r="N758" s="61"/>
      <c r="O758" s="61" t="b">
        <f>COUNTIF('Delivered Rentals'!A:A, B758) &gt; 0</f>
        <v>0</v>
      </c>
      <c r="P758" s="101"/>
    </row>
    <row r="759">
      <c r="A759" s="65"/>
      <c r="B759" s="65"/>
      <c r="C759" s="65"/>
      <c r="D759" s="65"/>
      <c r="E759" s="65"/>
      <c r="F759" s="65"/>
      <c r="G759" s="65"/>
      <c r="H759" s="65"/>
      <c r="I759" s="65"/>
      <c r="J759" s="65"/>
      <c r="K759" s="103"/>
      <c r="L759" s="65"/>
      <c r="M759" s="68"/>
      <c r="N759" s="65"/>
      <c r="O759" s="65" t="b">
        <f>COUNTIF('Delivered Rentals'!A:A, B759) &gt; 0</f>
        <v>0</v>
      </c>
      <c r="P759" s="104"/>
    </row>
    <row r="760">
      <c r="A760" s="61"/>
      <c r="B760" s="61"/>
      <c r="C760" s="61"/>
      <c r="D760" s="61"/>
      <c r="E760" s="61"/>
      <c r="F760" s="61"/>
      <c r="G760" s="61"/>
      <c r="H760" s="61"/>
      <c r="I760" s="61"/>
      <c r="J760" s="61"/>
      <c r="K760" s="100"/>
      <c r="L760" s="61"/>
      <c r="M760" s="64"/>
      <c r="N760" s="61"/>
      <c r="O760" s="61" t="b">
        <f>COUNTIF('Delivered Rentals'!A:A, B760) &gt; 0</f>
        <v>0</v>
      </c>
      <c r="P760" s="101"/>
    </row>
    <row r="761">
      <c r="A761" s="65"/>
      <c r="B761" s="65"/>
      <c r="C761" s="65"/>
      <c r="D761" s="65"/>
      <c r="E761" s="65"/>
      <c r="F761" s="65"/>
      <c r="G761" s="65"/>
      <c r="H761" s="65"/>
      <c r="I761" s="65"/>
      <c r="J761" s="65"/>
      <c r="K761" s="103"/>
      <c r="L761" s="65"/>
      <c r="M761" s="68"/>
      <c r="N761" s="65"/>
      <c r="O761" s="65" t="b">
        <f>COUNTIF('Delivered Rentals'!A:A, B761) &gt; 0</f>
        <v>0</v>
      </c>
      <c r="P761" s="104"/>
    </row>
    <row r="762">
      <c r="A762" s="61"/>
      <c r="B762" s="61"/>
      <c r="C762" s="61"/>
      <c r="D762" s="61"/>
      <c r="E762" s="61"/>
      <c r="F762" s="61"/>
      <c r="G762" s="61"/>
      <c r="H762" s="61"/>
      <c r="I762" s="61"/>
      <c r="J762" s="61"/>
      <c r="K762" s="100"/>
      <c r="L762" s="61"/>
      <c r="M762" s="64"/>
      <c r="N762" s="61"/>
      <c r="O762" s="61" t="b">
        <f>COUNTIF('Delivered Rentals'!A:A, B762) &gt; 0</f>
        <v>0</v>
      </c>
      <c r="P762" s="101"/>
    </row>
    <row r="763">
      <c r="A763" s="65"/>
      <c r="B763" s="65"/>
      <c r="C763" s="65"/>
      <c r="D763" s="65"/>
      <c r="E763" s="65"/>
      <c r="F763" s="65"/>
      <c r="G763" s="65"/>
      <c r="H763" s="65"/>
      <c r="I763" s="65"/>
      <c r="J763" s="65"/>
      <c r="K763" s="103"/>
      <c r="L763" s="65"/>
      <c r="M763" s="68"/>
      <c r="N763" s="65"/>
      <c r="O763" s="65" t="b">
        <f>COUNTIF('Delivered Rentals'!A:A, B763) &gt; 0</f>
        <v>0</v>
      </c>
      <c r="P763" s="104"/>
    </row>
    <row r="764">
      <c r="A764" s="61"/>
      <c r="B764" s="61"/>
      <c r="C764" s="61"/>
      <c r="D764" s="61"/>
      <c r="E764" s="61"/>
      <c r="F764" s="61"/>
      <c r="G764" s="61"/>
      <c r="H764" s="61"/>
      <c r="I764" s="61"/>
      <c r="J764" s="61"/>
      <c r="K764" s="100"/>
      <c r="L764" s="61"/>
      <c r="M764" s="64"/>
      <c r="N764" s="61"/>
      <c r="O764" s="61" t="b">
        <f>COUNTIF('Delivered Rentals'!A:A, B764) &gt; 0</f>
        <v>0</v>
      </c>
      <c r="P764" s="101"/>
    </row>
    <row r="765">
      <c r="A765" s="65"/>
      <c r="B765" s="65"/>
      <c r="C765" s="65"/>
      <c r="D765" s="65"/>
      <c r="E765" s="65"/>
      <c r="F765" s="65"/>
      <c r="G765" s="65"/>
      <c r="H765" s="65"/>
      <c r="I765" s="65"/>
      <c r="J765" s="65"/>
      <c r="K765" s="103"/>
      <c r="L765" s="65"/>
      <c r="M765" s="68"/>
      <c r="N765" s="65"/>
      <c r="O765" s="65" t="b">
        <f>COUNTIF('Delivered Rentals'!A:A, B765) &gt; 0</f>
        <v>0</v>
      </c>
      <c r="P765" s="104"/>
    </row>
    <row r="766">
      <c r="A766" s="61"/>
      <c r="B766" s="61"/>
      <c r="C766" s="61"/>
      <c r="D766" s="61"/>
      <c r="E766" s="61"/>
      <c r="F766" s="61"/>
      <c r="G766" s="61"/>
      <c r="H766" s="61"/>
      <c r="I766" s="61"/>
      <c r="J766" s="61"/>
      <c r="K766" s="100"/>
      <c r="L766" s="61"/>
      <c r="M766" s="64"/>
      <c r="N766" s="61"/>
      <c r="O766" s="61" t="b">
        <f>COUNTIF('Delivered Rentals'!A:A, B766) &gt; 0</f>
        <v>0</v>
      </c>
      <c r="P766" s="101"/>
    </row>
    <row r="767">
      <c r="A767" s="65"/>
      <c r="B767" s="65"/>
      <c r="C767" s="65"/>
      <c r="D767" s="65"/>
      <c r="E767" s="65"/>
      <c r="F767" s="65"/>
      <c r="G767" s="65"/>
      <c r="H767" s="65"/>
      <c r="I767" s="65"/>
      <c r="J767" s="65"/>
      <c r="K767" s="103"/>
      <c r="L767" s="65"/>
      <c r="M767" s="68"/>
      <c r="N767" s="65"/>
      <c r="O767" s="65" t="b">
        <f>COUNTIF('Delivered Rentals'!A:A, B767) &gt; 0</f>
        <v>0</v>
      </c>
      <c r="P767" s="104"/>
    </row>
    <row r="768">
      <c r="A768" s="61"/>
      <c r="B768" s="61"/>
      <c r="C768" s="61"/>
      <c r="D768" s="61"/>
      <c r="E768" s="61"/>
      <c r="F768" s="61"/>
      <c r="G768" s="61"/>
      <c r="H768" s="61"/>
      <c r="I768" s="61"/>
      <c r="J768" s="61"/>
      <c r="K768" s="100"/>
      <c r="L768" s="61"/>
      <c r="M768" s="64"/>
      <c r="N768" s="61"/>
      <c r="O768" s="61" t="b">
        <f>COUNTIF('Delivered Rentals'!A:A, B768) &gt; 0</f>
        <v>0</v>
      </c>
      <c r="P768" s="101"/>
    </row>
    <row r="769">
      <c r="A769" s="65"/>
      <c r="B769" s="65"/>
      <c r="C769" s="65"/>
      <c r="D769" s="65"/>
      <c r="E769" s="65"/>
      <c r="F769" s="65"/>
      <c r="G769" s="65"/>
      <c r="H769" s="65"/>
      <c r="I769" s="65"/>
      <c r="J769" s="65"/>
      <c r="K769" s="103"/>
      <c r="L769" s="65"/>
      <c r="M769" s="68"/>
      <c r="N769" s="65"/>
      <c r="O769" s="65" t="b">
        <f>COUNTIF('Delivered Rentals'!A:A, B769) &gt; 0</f>
        <v>0</v>
      </c>
      <c r="P769" s="104"/>
    </row>
    <row r="770">
      <c r="A770" s="61"/>
      <c r="B770" s="61"/>
      <c r="C770" s="61"/>
      <c r="D770" s="61"/>
      <c r="E770" s="61"/>
      <c r="F770" s="61"/>
      <c r="G770" s="61"/>
      <c r="H770" s="61"/>
      <c r="I770" s="61"/>
      <c r="J770" s="61"/>
      <c r="K770" s="100"/>
      <c r="L770" s="61"/>
      <c r="M770" s="64"/>
      <c r="N770" s="61"/>
      <c r="O770" s="61" t="b">
        <f>COUNTIF('Delivered Rentals'!A:A, B770) &gt; 0</f>
        <v>0</v>
      </c>
      <c r="P770" s="101"/>
    </row>
    <row r="771">
      <c r="A771" s="65"/>
      <c r="B771" s="65"/>
      <c r="C771" s="65"/>
      <c r="D771" s="65"/>
      <c r="E771" s="65"/>
      <c r="F771" s="65"/>
      <c r="G771" s="65"/>
      <c r="H771" s="65"/>
      <c r="I771" s="65"/>
      <c r="J771" s="65"/>
      <c r="K771" s="103"/>
      <c r="L771" s="65"/>
      <c r="M771" s="68"/>
      <c r="N771" s="65"/>
      <c r="O771" s="65" t="b">
        <f>COUNTIF('Delivered Rentals'!A:A, B771) &gt; 0</f>
        <v>0</v>
      </c>
      <c r="P771" s="104"/>
    </row>
    <row r="772">
      <c r="A772" s="61"/>
      <c r="B772" s="61"/>
      <c r="C772" s="61"/>
      <c r="D772" s="61"/>
      <c r="E772" s="61"/>
      <c r="F772" s="61"/>
      <c r="G772" s="61"/>
      <c r="H772" s="61"/>
      <c r="I772" s="61"/>
      <c r="J772" s="61"/>
      <c r="K772" s="100"/>
      <c r="L772" s="61"/>
      <c r="M772" s="64"/>
      <c r="N772" s="61"/>
      <c r="O772" s="61" t="b">
        <f>COUNTIF('Delivered Rentals'!A:A, B772) &gt; 0</f>
        <v>0</v>
      </c>
      <c r="P772" s="101"/>
    </row>
    <row r="773">
      <c r="A773" s="65"/>
      <c r="B773" s="65"/>
      <c r="C773" s="65"/>
      <c r="D773" s="65"/>
      <c r="E773" s="65"/>
      <c r="F773" s="65"/>
      <c r="G773" s="65"/>
      <c r="H773" s="65"/>
      <c r="I773" s="65"/>
      <c r="J773" s="65"/>
      <c r="K773" s="103"/>
      <c r="L773" s="65"/>
      <c r="M773" s="68"/>
      <c r="N773" s="65"/>
      <c r="O773" s="65" t="b">
        <f>COUNTIF('Delivered Rentals'!A:A, B773) &gt; 0</f>
        <v>0</v>
      </c>
      <c r="P773" s="104"/>
    </row>
    <row r="774">
      <c r="A774" s="61"/>
      <c r="B774" s="61"/>
      <c r="C774" s="61"/>
      <c r="D774" s="61"/>
      <c r="E774" s="61"/>
      <c r="F774" s="61"/>
      <c r="G774" s="61"/>
      <c r="H774" s="61"/>
      <c r="I774" s="61"/>
      <c r="J774" s="61"/>
      <c r="K774" s="100"/>
      <c r="L774" s="61"/>
      <c r="M774" s="64"/>
      <c r="N774" s="61"/>
      <c r="O774" s="61" t="b">
        <f>COUNTIF('Delivered Rentals'!A:A, B774) &gt; 0</f>
        <v>0</v>
      </c>
      <c r="P774" s="101"/>
    </row>
    <row r="775">
      <c r="A775" s="65"/>
      <c r="B775" s="65"/>
      <c r="C775" s="65"/>
      <c r="D775" s="65"/>
      <c r="E775" s="65"/>
      <c r="F775" s="65"/>
      <c r="G775" s="65"/>
      <c r="H775" s="65"/>
      <c r="I775" s="65"/>
      <c r="J775" s="65"/>
      <c r="K775" s="103"/>
      <c r="L775" s="65"/>
      <c r="M775" s="68"/>
      <c r="N775" s="65"/>
      <c r="O775" s="65" t="b">
        <f>COUNTIF('Delivered Rentals'!A:A, B775) &gt; 0</f>
        <v>0</v>
      </c>
      <c r="P775" s="104"/>
    </row>
    <row r="776">
      <c r="A776" s="61"/>
      <c r="B776" s="61"/>
      <c r="C776" s="61"/>
      <c r="D776" s="61"/>
      <c r="E776" s="61"/>
      <c r="F776" s="61"/>
      <c r="G776" s="61"/>
      <c r="H776" s="61"/>
      <c r="I776" s="61"/>
      <c r="J776" s="61"/>
      <c r="K776" s="100"/>
      <c r="L776" s="61"/>
      <c r="M776" s="64"/>
      <c r="N776" s="61"/>
      <c r="O776" s="61" t="b">
        <f>COUNTIF('Delivered Rentals'!A:A, B776) &gt; 0</f>
        <v>0</v>
      </c>
      <c r="P776" s="101"/>
    </row>
    <row r="777">
      <c r="A777" s="65"/>
      <c r="B777" s="65"/>
      <c r="C777" s="65"/>
      <c r="D777" s="65"/>
      <c r="E777" s="65"/>
      <c r="F777" s="65"/>
      <c r="G777" s="65"/>
      <c r="H777" s="65"/>
      <c r="I777" s="65"/>
      <c r="J777" s="65"/>
      <c r="K777" s="103"/>
      <c r="L777" s="65"/>
      <c r="M777" s="68"/>
      <c r="N777" s="65"/>
      <c r="O777" s="65" t="b">
        <f>COUNTIF('Delivered Rentals'!A:A, B777) &gt; 0</f>
        <v>0</v>
      </c>
      <c r="P777" s="104"/>
    </row>
    <row r="778">
      <c r="A778" s="61"/>
      <c r="B778" s="61"/>
      <c r="C778" s="61"/>
      <c r="D778" s="61"/>
      <c r="E778" s="61"/>
      <c r="F778" s="61"/>
      <c r="G778" s="61"/>
      <c r="H778" s="61"/>
      <c r="I778" s="61"/>
      <c r="J778" s="61"/>
      <c r="K778" s="100"/>
      <c r="L778" s="61"/>
      <c r="M778" s="64"/>
      <c r="N778" s="61"/>
      <c r="O778" s="61" t="b">
        <f>COUNTIF('Delivered Rentals'!A:A, B778) &gt; 0</f>
        <v>0</v>
      </c>
      <c r="P778" s="101"/>
    </row>
    <row r="779">
      <c r="A779" s="65"/>
      <c r="B779" s="65"/>
      <c r="C779" s="65"/>
      <c r="D779" s="65"/>
      <c r="E779" s="65"/>
      <c r="F779" s="65"/>
      <c r="G779" s="65"/>
      <c r="H779" s="65"/>
      <c r="I779" s="65"/>
      <c r="J779" s="65"/>
      <c r="K779" s="103"/>
      <c r="L779" s="65"/>
      <c r="M779" s="68"/>
      <c r="N779" s="65"/>
      <c r="O779" s="65" t="b">
        <f>COUNTIF('Delivered Rentals'!A:A, B779) &gt; 0</f>
        <v>0</v>
      </c>
      <c r="P779" s="104"/>
    </row>
    <row r="780">
      <c r="A780" s="61"/>
      <c r="B780" s="61"/>
      <c r="C780" s="61"/>
      <c r="D780" s="61"/>
      <c r="E780" s="61"/>
      <c r="F780" s="61"/>
      <c r="G780" s="61"/>
      <c r="H780" s="61"/>
      <c r="I780" s="61"/>
      <c r="J780" s="61"/>
      <c r="K780" s="100"/>
      <c r="L780" s="61"/>
      <c r="M780" s="64"/>
      <c r="N780" s="61"/>
      <c r="O780" s="61" t="b">
        <f>COUNTIF('Delivered Rentals'!A:A, B780) &gt; 0</f>
        <v>0</v>
      </c>
      <c r="P780" s="101"/>
    </row>
    <row r="781">
      <c r="A781" s="65"/>
      <c r="B781" s="65"/>
      <c r="C781" s="65"/>
      <c r="D781" s="65"/>
      <c r="E781" s="65"/>
      <c r="F781" s="65"/>
      <c r="G781" s="65"/>
      <c r="H781" s="65"/>
      <c r="I781" s="65"/>
      <c r="J781" s="65"/>
      <c r="K781" s="103"/>
      <c r="L781" s="65"/>
      <c r="M781" s="68"/>
      <c r="N781" s="65"/>
      <c r="O781" s="65" t="b">
        <f>COUNTIF('Delivered Rentals'!A:A, B781) &gt; 0</f>
        <v>0</v>
      </c>
      <c r="P781" s="104"/>
    </row>
    <row r="782">
      <c r="A782" s="61"/>
      <c r="B782" s="61"/>
      <c r="C782" s="61"/>
      <c r="D782" s="61"/>
      <c r="E782" s="61"/>
      <c r="F782" s="61"/>
      <c r="G782" s="61"/>
      <c r="H782" s="61"/>
      <c r="I782" s="61"/>
      <c r="J782" s="61"/>
      <c r="K782" s="100"/>
      <c r="L782" s="61"/>
      <c r="M782" s="64"/>
      <c r="N782" s="61"/>
      <c r="O782" s="61" t="b">
        <f>COUNTIF('Delivered Rentals'!A:A, B782) &gt; 0</f>
        <v>0</v>
      </c>
      <c r="P782" s="101"/>
    </row>
    <row r="783">
      <c r="A783" s="65"/>
      <c r="B783" s="65"/>
      <c r="C783" s="65"/>
      <c r="D783" s="65"/>
      <c r="E783" s="65"/>
      <c r="F783" s="65"/>
      <c r="G783" s="65"/>
      <c r="H783" s="65"/>
      <c r="I783" s="65"/>
      <c r="J783" s="65"/>
      <c r="K783" s="103"/>
      <c r="L783" s="65"/>
      <c r="M783" s="68"/>
      <c r="N783" s="65"/>
      <c r="O783" s="65" t="b">
        <f>COUNTIF('Delivered Rentals'!A:A, B783) &gt; 0</f>
        <v>0</v>
      </c>
      <c r="P783" s="104"/>
    </row>
    <row r="784">
      <c r="A784" s="61"/>
      <c r="B784" s="61"/>
      <c r="C784" s="61"/>
      <c r="D784" s="61"/>
      <c r="E784" s="61"/>
      <c r="F784" s="61"/>
      <c r="G784" s="61"/>
      <c r="H784" s="61"/>
      <c r="I784" s="61"/>
      <c r="J784" s="61"/>
      <c r="K784" s="100"/>
      <c r="L784" s="61"/>
      <c r="M784" s="64"/>
      <c r="N784" s="61"/>
      <c r="O784" s="61" t="b">
        <f>COUNTIF('Delivered Rentals'!A:A, B784) &gt; 0</f>
        <v>0</v>
      </c>
      <c r="P784" s="101"/>
    </row>
    <row r="785">
      <c r="A785" s="65"/>
      <c r="B785" s="65"/>
      <c r="C785" s="65"/>
      <c r="D785" s="65"/>
      <c r="E785" s="65"/>
      <c r="F785" s="65"/>
      <c r="G785" s="65"/>
      <c r="H785" s="65"/>
      <c r="I785" s="65"/>
      <c r="J785" s="65"/>
      <c r="K785" s="103"/>
      <c r="L785" s="65"/>
      <c r="M785" s="68"/>
      <c r="N785" s="65"/>
      <c r="O785" s="65" t="b">
        <f>COUNTIF('Delivered Rentals'!A:A, B785) &gt; 0</f>
        <v>0</v>
      </c>
      <c r="P785" s="104"/>
    </row>
    <row r="786">
      <c r="A786" s="61"/>
      <c r="B786" s="61"/>
      <c r="C786" s="61"/>
      <c r="D786" s="61"/>
      <c r="E786" s="61"/>
      <c r="F786" s="61"/>
      <c r="G786" s="61"/>
      <c r="H786" s="61"/>
      <c r="I786" s="61"/>
      <c r="J786" s="61"/>
      <c r="K786" s="100"/>
      <c r="L786" s="61"/>
      <c r="M786" s="64"/>
      <c r="N786" s="61"/>
      <c r="O786" s="61" t="b">
        <f>COUNTIF('Delivered Rentals'!A:A, B786) &gt; 0</f>
        <v>0</v>
      </c>
      <c r="P786" s="101"/>
    </row>
    <row r="787">
      <c r="A787" s="65"/>
      <c r="B787" s="65"/>
      <c r="C787" s="65"/>
      <c r="D787" s="65"/>
      <c r="E787" s="65"/>
      <c r="F787" s="65"/>
      <c r="G787" s="65"/>
      <c r="H787" s="65"/>
      <c r="I787" s="65"/>
      <c r="J787" s="65"/>
      <c r="K787" s="103"/>
      <c r="L787" s="65"/>
      <c r="M787" s="68"/>
      <c r="N787" s="65"/>
      <c r="O787" s="65" t="b">
        <f>COUNTIF('Delivered Rentals'!A:A, B787) &gt; 0</f>
        <v>0</v>
      </c>
      <c r="P787" s="104"/>
    </row>
    <row r="788">
      <c r="A788" s="61"/>
      <c r="B788" s="61"/>
      <c r="C788" s="61"/>
      <c r="D788" s="61"/>
      <c r="E788" s="61"/>
      <c r="F788" s="61"/>
      <c r="G788" s="61"/>
      <c r="H788" s="61"/>
      <c r="I788" s="61"/>
      <c r="J788" s="61"/>
      <c r="K788" s="100"/>
      <c r="L788" s="61"/>
      <c r="M788" s="64"/>
      <c r="N788" s="61"/>
      <c r="O788" s="61" t="b">
        <f>COUNTIF('Delivered Rentals'!A:A, B788) &gt; 0</f>
        <v>0</v>
      </c>
      <c r="P788" s="101"/>
    </row>
    <row r="789">
      <c r="A789" s="65"/>
      <c r="B789" s="65"/>
      <c r="C789" s="65"/>
      <c r="D789" s="65"/>
      <c r="E789" s="65"/>
      <c r="F789" s="65"/>
      <c r="G789" s="65"/>
      <c r="H789" s="65"/>
      <c r="I789" s="65"/>
      <c r="J789" s="65"/>
      <c r="K789" s="103"/>
      <c r="L789" s="65"/>
      <c r="M789" s="68"/>
      <c r="N789" s="65"/>
      <c r="O789" s="65" t="b">
        <f>COUNTIF('Delivered Rentals'!A:A, B789) &gt; 0</f>
        <v>0</v>
      </c>
      <c r="P789" s="104"/>
    </row>
    <row r="790">
      <c r="A790" s="61"/>
      <c r="B790" s="61"/>
      <c r="C790" s="61"/>
      <c r="D790" s="61"/>
      <c r="E790" s="61"/>
      <c r="F790" s="61"/>
      <c r="G790" s="61"/>
      <c r="H790" s="61"/>
      <c r="I790" s="61"/>
      <c r="J790" s="61"/>
      <c r="K790" s="100"/>
      <c r="L790" s="61"/>
      <c r="M790" s="64"/>
      <c r="N790" s="61"/>
      <c r="O790" s="61" t="b">
        <f>COUNTIF('Delivered Rentals'!A:A, B790) &gt; 0</f>
        <v>0</v>
      </c>
      <c r="P790" s="101"/>
    </row>
    <row r="791">
      <c r="A791" s="65"/>
      <c r="B791" s="65"/>
      <c r="C791" s="65"/>
      <c r="D791" s="65"/>
      <c r="E791" s="65"/>
      <c r="F791" s="65"/>
      <c r="G791" s="65"/>
      <c r="H791" s="65"/>
      <c r="I791" s="65"/>
      <c r="J791" s="65"/>
      <c r="K791" s="103"/>
      <c r="L791" s="65"/>
      <c r="M791" s="68"/>
      <c r="N791" s="65"/>
      <c r="O791" s="65" t="b">
        <f>COUNTIF('Delivered Rentals'!A:A, B791) &gt; 0</f>
        <v>0</v>
      </c>
      <c r="P791" s="104"/>
    </row>
    <row r="792">
      <c r="A792" s="61"/>
      <c r="B792" s="61"/>
      <c r="C792" s="61"/>
      <c r="D792" s="61"/>
      <c r="E792" s="61"/>
      <c r="F792" s="61"/>
      <c r="G792" s="61"/>
      <c r="H792" s="61"/>
      <c r="I792" s="61"/>
      <c r="J792" s="61"/>
      <c r="K792" s="100"/>
      <c r="L792" s="61"/>
      <c r="M792" s="64"/>
      <c r="N792" s="61"/>
      <c r="O792" s="61" t="b">
        <f>COUNTIF('Delivered Rentals'!A:A, B792) &gt; 0</f>
        <v>0</v>
      </c>
      <c r="P792" s="101"/>
    </row>
    <row r="793">
      <c r="A793" s="65"/>
      <c r="B793" s="65"/>
      <c r="C793" s="65"/>
      <c r="D793" s="65"/>
      <c r="E793" s="65"/>
      <c r="F793" s="65"/>
      <c r="G793" s="65"/>
      <c r="H793" s="65"/>
      <c r="I793" s="65"/>
      <c r="J793" s="65"/>
      <c r="K793" s="103"/>
      <c r="L793" s="65"/>
      <c r="M793" s="68"/>
      <c r="N793" s="65"/>
      <c r="O793" s="65" t="b">
        <f>COUNTIF('Delivered Rentals'!A:A, B793) &gt; 0</f>
        <v>0</v>
      </c>
      <c r="P793" s="104"/>
    </row>
    <row r="794">
      <c r="A794" s="61"/>
      <c r="B794" s="61"/>
      <c r="C794" s="61"/>
      <c r="D794" s="61"/>
      <c r="E794" s="61"/>
      <c r="F794" s="61"/>
      <c r="G794" s="61"/>
      <c r="H794" s="61"/>
      <c r="I794" s="61"/>
      <c r="J794" s="61"/>
      <c r="K794" s="100"/>
      <c r="L794" s="61"/>
      <c r="M794" s="64"/>
      <c r="N794" s="61"/>
      <c r="O794" s="61" t="b">
        <f>COUNTIF('Delivered Rentals'!A:A, B794) &gt; 0</f>
        <v>0</v>
      </c>
      <c r="P794" s="101"/>
    </row>
    <row r="795">
      <c r="A795" s="65"/>
      <c r="B795" s="65"/>
      <c r="C795" s="65"/>
      <c r="D795" s="65"/>
      <c r="E795" s="65"/>
      <c r="F795" s="65"/>
      <c r="G795" s="65"/>
      <c r="H795" s="65"/>
      <c r="I795" s="65"/>
      <c r="J795" s="65"/>
      <c r="K795" s="103"/>
      <c r="L795" s="65"/>
      <c r="M795" s="68"/>
      <c r="N795" s="65"/>
      <c r="O795" s="65" t="b">
        <f>COUNTIF('Delivered Rentals'!A:A, B795) &gt; 0</f>
        <v>0</v>
      </c>
      <c r="P795" s="104"/>
    </row>
    <row r="796">
      <c r="A796" s="61"/>
      <c r="B796" s="61"/>
      <c r="C796" s="61"/>
      <c r="D796" s="61"/>
      <c r="E796" s="61"/>
      <c r="F796" s="61"/>
      <c r="G796" s="61"/>
      <c r="H796" s="61"/>
      <c r="I796" s="61"/>
      <c r="J796" s="61"/>
      <c r="K796" s="100"/>
      <c r="L796" s="61"/>
      <c r="M796" s="64"/>
      <c r="N796" s="61"/>
      <c r="O796" s="61" t="b">
        <f>COUNTIF('Delivered Rentals'!A:A, B796) &gt; 0</f>
        <v>0</v>
      </c>
      <c r="P796" s="101"/>
    </row>
    <row r="797">
      <c r="A797" s="65"/>
      <c r="B797" s="65"/>
      <c r="C797" s="65"/>
      <c r="D797" s="65"/>
      <c r="E797" s="65"/>
      <c r="F797" s="65"/>
      <c r="G797" s="65"/>
      <c r="H797" s="65"/>
      <c r="I797" s="65"/>
      <c r="J797" s="65"/>
      <c r="K797" s="103"/>
      <c r="L797" s="65"/>
      <c r="M797" s="68"/>
      <c r="N797" s="65"/>
      <c r="O797" s="65" t="b">
        <f>COUNTIF('Delivered Rentals'!A:A, B797) &gt; 0</f>
        <v>0</v>
      </c>
      <c r="P797" s="104"/>
    </row>
    <row r="798">
      <c r="A798" s="61"/>
      <c r="B798" s="61"/>
      <c r="C798" s="61"/>
      <c r="D798" s="61"/>
      <c r="E798" s="61"/>
      <c r="F798" s="61"/>
      <c r="G798" s="61"/>
      <c r="H798" s="61"/>
      <c r="I798" s="61"/>
      <c r="J798" s="61"/>
      <c r="K798" s="100"/>
      <c r="L798" s="61"/>
      <c r="M798" s="64"/>
      <c r="N798" s="61"/>
      <c r="O798" s="61" t="b">
        <f>COUNTIF('Delivered Rentals'!A:A, B798) &gt; 0</f>
        <v>0</v>
      </c>
      <c r="P798" s="101"/>
    </row>
    <row r="799">
      <c r="A799" s="65"/>
      <c r="B799" s="65"/>
      <c r="C799" s="65"/>
      <c r="D799" s="65"/>
      <c r="E799" s="65"/>
      <c r="F799" s="65"/>
      <c r="G799" s="65"/>
      <c r="H799" s="65"/>
      <c r="I799" s="65"/>
      <c r="J799" s="65"/>
      <c r="K799" s="103"/>
      <c r="L799" s="65"/>
      <c r="M799" s="68"/>
      <c r="N799" s="65"/>
      <c r="O799" s="65" t="b">
        <f>COUNTIF('Delivered Rentals'!A:A, B799) &gt; 0</f>
        <v>0</v>
      </c>
      <c r="P799" s="104"/>
    </row>
    <row r="800">
      <c r="A800" s="61"/>
      <c r="B800" s="61"/>
      <c r="C800" s="61"/>
      <c r="D800" s="61"/>
      <c r="E800" s="61"/>
      <c r="F800" s="61"/>
      <c r="G800" s="61"/>
      <c r="H800" s="61"/>
      <c r="I800" s="61"/>
      <c r="J800" s="61"/>
      <c r="K800" s="100"/>
      <c r="L800" s="61"/>
      <c r="M800" s="64"/>
      <c r="N800" s="61"/>
      <c r="O800" s="61" t="b">
        <f>COUNTIF('Delivered Rentals'!A:A, B800) &gt; 0</f>
        <v>0</v>
      </c>
      <c r="P800" s="101"/>
    </row>
    <row r="801">
      <c r="A801" s="65"/>
      <c r="B801" s="65"/>
      <c r="C801" s="65"/>
      <c r="D801" s="65"/>
      <c r="E801" s="65"/>
      <c r="F801" s="65"/>
      <c r="G801" s="65"/>
      <c r="H801" s="65"/>
      <c r="I801" s="65"/>
      <c r="J801" s="65"/>
      <c r="K801" s="103"/>
      <c r="L801" s="65"/>
      <c r="M801" s="68"/>
      <c r="N801" s="65"/>
      <c r="O801" s="65" t="b">
        <f>COUNTIF('Delivered Rentals'!A:A, B801) &gt; 0</f>
        <v>0</v>
      </c>
      <c r="P801" s="104"/>
    </row>
    <row r="802">
      <c r="A802" s="61"/>
      <c r="B802" s="61"/>
      <c r="C802" s="61"/>
      <c r="D802" s="61"/>
      <c r="E802" s="61"/>
      <c r="F802" s="61"/>
      <c r="G802" s="61"/>
      <c r="H802" s="61"/>
      <c r="I802" s="61"/>
      <c r="J802" s="61"/>
      <c r="K802" s="100"/>
      <c r="L802" s="61"/>
      <c r="M802" s="64"/>
      <c r="N802" s="61"/>
      <c r="O802" s="61" t="b">
        <f>COUNTIF('Delivered Rentals'!A:A, B802) &gt; 0</f>
        <v>0</v>
      </c>
      <c r="P802" s="101"/>
    </row>
    <row r="803">
      <c r="A803" s="65"/>
      <c r="B803" s="65"/>
      <c r="C803" s="65"/>
      <c r="D803" s="65"/>
      <c r="E803" s="65"/>
      <c r="F803" s="65"/>
      <c r="G803" s="65"/>
      <c r="H803" s="65"/>
      <c r="I803" s="65"/>
      <c r="J803" s="65"/>
      <c r="K803" s="103"/>
      <c r="L803" s="65"/>
      <c r="M803" s="68"/>
      <c r="N803" s="65"/>
      <c r="O803" s="65" t="b">
        <f>COUNTIF('Delivered Rentals'!A:A, B803) &gt; 0</f>
        <v>0</v>
      </c>
      <c r="P803" s="104"/>
    </row>
    <row r="804">
      <c r="A804" s="61"/>
      <c r="B804" s="61"/>
      <c r="C804" s="61"/>
      <c r="D804" s="61"/>
      <c r="E804" s="61"/>
      <c r="F804" s="61"/>
      <c r="G804" s="61"/>
      <c r="H804" s="61"/>
      <c r="I804" s="61"/>
      <c r="J804" s="61"/>
      <c r="K804" s="100"/>
      <c r="L804" s="61"/>
      <c r="M804" s="64"/>
      <c r="N804" s="61"/>
      <c r="O804" s="61" t="b">
        <f>COUNTIF('Delivered Rentals'!A:A, B804) &gt; 0</f>
        <v>0</v>
      </c>
      <c r="P804" s="101"/>
    </row>
    <row r="805">
      <c r="A805" s="65"/>
      <c r="B805" s="65"/>
      <c r="C805" s="65"/>
      <c r="D805" s="65"/>
      <c r="E805" s="65"/>
      <c r="F805" s="65"/>
      <c r="G805" s="65"/>
      <c r="H805" s="65"/>
      <c r="I805" s="65"/>
      <c r="J805" s="65"/>
      <c r="K805" s="103"/>
      <c r="L805" s="65"/>
      <c r="M805" s="68"/>
      <c r="N805" s="65"/>
      <c r="O805" s="65" t="b">
        <f>COUNTIF('Delivered Rentals'!A:A, B805) &gt; 0</f>
        <v>0</v>
      </c>
      <c r="P805" s="104"/>
    </row>
    <row r="806">
      <c r="A806" s="61"/>
      <c r="B806" s="61"/>
      <c r="C806" s="61"/>
      <c r="D806" s="61"/>
      <c r="E806" s="61"/>
      <c r="F806" s="61"/>
      <c r="G806" s="61"/>
      <c r="H806" s="61"/>
      <c r="I806" s="61"/>
      <c r="J806" s="61"/>
      <c r="K806" s="100"/>
      <c r="L806" s="61"/>
      <c r="M806" s="64"/>
      <c r="N806" s="61"/>
      <c r="O806" s="61" t="b">
        <f>COUNTIF('Delivered Rentals'!A:A, B806) &gt; 0</f>
        <v>0</v>
      </c>
      <c r="P806" s="101"/>
    </row>
    <row r="807">
      <c r="A807" s="65"/>
      <c r="B807" s="65"/>
      <c r="C807" s="65"/>
      <c r="D807" s="65"/>
      <c r="E807" s="65"/>
      <c r="F807" s="65"/>
      <c r="G807" s="65"/>
      <c r="H807" s="65"/>
      <c r="I807" s="65"/>
      <c r="J807" s="65"/>
      <c r="K807" s="103"/>
      <c r="L807" s="65"/>
      <c r="M807" s="68"/>
      <c r="N807" s="65"/>
      <c r="O807" s="65" t="b">
        <f>COUNTIF('Delivered Rentals'!A:A, B807) &gt; 0</f>
        <v>0</v>
      </c>
      <c r="P807" s="104"/>
    </row>
    <row r="808">
      <c r="A808" s="61"/>
      <c r="B808" s="61"/>
      <c r="C808" s="61"/>
      <c r="D808" s="61"/>
      <c r="E808" s="61"/>
      <c r="F808" s="61"/>
      <c r="G808" s="61"/>
      <c r="H808" s="61"/>
      <c r="I808" s="61"/>
      <c r="J808" s="61"/>
      <c r="K808" s="100"/>
      <c r="L808" s="61"/>
      <c r="M808" s="64"/>
      <c r="N808" s="61"/>
      <c r="O808" s="61" t="b">
        <f>COUNTIF('Delivered Rentals'!A:A, B808) &gt; 0</f>
        <v>0</v>
      </c>
      <c r="P808" s="101"/>
    </row>
    <row r="809">
      <c r="A809" s="65"/>
      <c r="B809" s="65"/>
      <c r="C809" s="65"/>
      <c r="D809" s="65"/>
      <c r="E809" s="65"/>
      <c r="F809" s="65"/>
      <c r="G809" s="65"/>
      <c r="H809" s="65"/>
      <c r="I809" s="65"/>
      <c r="J809" s="65"/>
      <c r="K809" s="103"/>
      <c r="L809" s="65"/>
      <c r="M809" s="68"/>
      <c r="N809" s="65"/>
      <c r="O809" s="65" t="b">
        <f>COUNTIF('Delivered Rentals'!A:A, B809) &gt; 0</f>
        <v>0</v>
      </c>
      <c r="P809" s="104"/>
    </row>
    <row r="810">
      <c r="A810" s="61"/>
      <c r="B810" s="61"/>
      <c r="C810" s="61"/>
      <c r="D810" s="61"/>
      <c r="E810" s="61"/>
      <c r="F810" s="61"/>
      <c r="G810" s="61"/>
      <c r="H810" s="61"/>
      <c r="I810" s="61"/>
      <c r="J810" s="61"/>
      <c r="K810" s="100"/>
      <c r="L810" s="61"/>
      <c r="M810" s="64"/>
      <c r="N810" s="61"/>
      <c r="O810" s="61" t="b">
        <f>COUNTIF('Delivered Rentals'!A:A, B810) &gt; 0</f>
        <v>0</v>
      </c>
      <c r="P810" s="101"/>
    </row>
    <row r="811">
      <c r="A811" s="65"/>
      <c r="B811" s="65"/>
      <c r="C811" s="65"/>
      <c r="D811" s="65"/>
      <c r="E811" s="65"/>
      <c r="F811" s="65"/>
      <c r="G811" s="65"/>
      <c r="H811" s="65"/>
      <c r="I811" s="65"/>
      <c r="J811" s="65"/>
      <c r="K811" s="103"/>
      <c r="L811" s="65"/>
      <c r="M811" s="68"/>
      <c r="N811" s="65"/>
      <c r="O811" s="65" t="b">
        <f>COUNTIF('Delivered Rentals'!A:A, B811) &gt; 0</f>
        <v>0</v>
      </c>
      <c r="P811" s="104"/>
    </row>
    <row r="812">
      <c r="A812" s="61"/>
      <c r="B812" s="61"/>
      <c r="C812" s="61"/>
      <c r="D812" s="61"/>
      <c r="E812" s="61"/>
      <c r="F812" s="61"/>
      <c r="G812" s="61"/>
      <c r="H812" s="61"/>
      <c r="I812" s="61"/>
      <c r="J812" s="61"/>
      <c r="K812" s="100"/>
      <c r="L812" s="61"/>
      <c r="M812" s="64"/>
      <c r="N812" s="61"/>
      <c r="O812" s="61" t="b">
        <f>COUNTIF('Delivered Rentals'!A:A, B812) &gt; 0</f>
        <v>0</v>
      </c>
      <c r="P812" s="101"/>
    </row>
    <row r="813">
      <c r="A813" s="65"/>
      <c r="B813" s="65"/>
      <c r="C813" s="65"/>
      <c r="D813" s="65"/>
      <c r="E813" s="65"/>
      <c r="F813" s="65"/>
      <c r="G813" s="65"/>
      <c r="H813" s="65"/>
      <c r="I813" s="65"/>
      <c r="J813" s="65"/>
      <c r="K813" s="103"/>
      <c r="L813" s="65"/>
      <c r="M813" s="68"/>
      <c r="N813" s="65"/>
      <c r="O813" s="65" t="b">
        <f>COUNTIF('Delivered Rentals'!A:A, B813) &gt; 0</f>
        <v>0</v>
      </c>
      <c r="P813" s="104"/>
    </row>
    <row r="814">
      <c r="A814" s="61"/>
      <c r="B814" s="61"/>
      <c r="C814" s="61"/>
      <c r="D814" s="61"/>
      <c r="E814" s="61"/>
      <c r="F814" s="61"/>
      <c r="G814" s="61"/>
      <c r="H814" s="61"/>
      <c r="I814" s="61"/>
      <c r="J814" s="61"/>
      <c r="K814" s="100"/>
      <c r="L814" s="61"/>
      <c r="M814" s="64"/>
      <c r="N814" s="61"/>
      <c r="O814" s="61" t="b">
        <f>COUNTIF('Delivered Rentals'!A:A, B814) &gt; 0</f>
        <v>0</v>
      </c>
      <c r="P814" s="101"/>
    </row>
    <row r="815">
      <c r="A815" s="65"/>
      <c r="B815" s="65"/>
      <c r="C815" s="65"/>
      <c r="D815" s="65"/>
      <c r="E815" s="65"/>
      <c r="F815" s="65"/>
      <c r="G815" s="65"/>
      <c r="H815" s="65"/>
      <c r="I815" s="65"/>
      <c r="J815" s="65"/>
      <c r="K815" s="103"/>
      <c r="L815" s="65"/>
      <c r="M815" s="68"/>
      <c r="N815" s="65"/>
      <c r="O815" s="65" t="b">
        <f>COUNTIF('Delivered Rentals'!A:A, B815) &gt; 0</f>
        <v>0</v>
      </c>
      <c r="P815" s="104"/>
    </row>
    <row r="816">
      <c r="A816" s="61"/>
      <c r="B816" s="61"/>
      <c r="C816" s="61"/>
      <c r="D816" s="61"/>
      <c r="E816" s="61"/>
      <c r="F816" s="61"/>
      <c r="G816" s="61"/>
      <c r="H816" s="61"/>
      <c r="I816" s="61"/>
      <c r="J816" s="61"/>
      <c r="K816" s="100"/>
      <c r="L816" s="61"/>
      <c r="M816" s="64"/>
      <c r="N816" s="61"/>
      <c r="O816" s="61" t="b">
        <f>COUNTIF('Delivered Rentals'!A:A, B816) &gt; 0</f>
        <v>0</v>
      </c>
      <c r="P816" s="101"/>
    </row>
    <row r="817">
      <c r="A817" s="65"/>
      <c r="B817" s="65"/>
      <c r="C817" s="65"/>
      <c r="D817" s="65"/>
      <c r="E817" s="65"/>
      <c r="F817" s="65"/>
      <c r="G817" s="65"/>
      <c r="H817" s="65"/>
      <c r="I817" s="65"/>
      <c r="J817" s="65"/>
      <c r="K817" s="103"/>
      <c r="L817" s="65"/>
      <c r="M817" s="68"/>
      <c r="N817" s="65"/>
      <c r="O817" s="65" t="b">
        <f>COUNTIF('Delivered Rentals'!A:A, B817) &gt; 0</f>
        <v>0</v>
      </c>
      <c r="P817" s="104"/>
    </row>
    <row r="818">
      <c r="A818" s="61"/>
      <c r="B818" s="61"/>
      <c r="C818" s="61"/>
      <c r="D818" s="61"/>
      <c r="E818" s="61"/>
      <c r="F818" s="61"/>
      <c r="G818" s="61"/>
      <c r="H818" s="61"/>
      <c r="I818" s="61"/>
      <c r="J818" s="61"/>
      <c r="K818" s="100"/>
      <c r="L818" s="61"/>
      <c r="M818" s="64"/>
      <c r="N818" s="61"/>
      <c r="O818" s="61" t="b">
        <f>COUNTIF('Delivered Rentals'!A:A, B818) &gt; 0</f>
        <v>0</v>
      </c>
      <c r="P818" s="101"/>
    </row>
    <row r="819">
      <c r="A819" s="65"/>
      <c r="B819" s="65"/>
      <c r="C819" s="65"/>
      <c r="D819" s="65"/>
      <c r="E819" s="65"/>
      <c r="F819" s="65"/>
      <c r="G819" s="65"/>
      <c r="H819" s="65"/>
      <c r="I819" s="65"/>
      <c r="J819" s="65"/>
      <c r="K819" s="103"/>
      <c r="L819" s="65"/>
      <c r="M819" s="68"/>
      <c r="N819" s="65"/>
      <c r="O819" s="65" t="b">
        <f>COUNTIF('Delivered Rentals'!A:A, B819) &gt; 0</f>
        <v>0</v>
      </c>
      <c r="P819" s="104"/>
    </row>
    <row r="820">
      <c r="A820" s="61"/>
      <c r="B820" s="61"/>
      <c r="C820" s="61"/>
      <c r="D820" s="61"/>
      <c r="E820" s="61"/>
      <c r="F820" s="61"/>
      <c r="G820" s="61"/>
      <c r="H820" s="61"/>
      <c r="I820" s="61"/>
      <c r="J820" s="61"/>
      <c r="K820" s="100"/>
      <c r="L820" s="61"/>
      <c r="M820" s="64"/>
      <c r="N820" s="61"/>
      <c r="O820" s="61" t="b">
        <f>COUNTIF('Delivered Rentals'!A:A, B820) &gt; 0</f>
        <v>0</v>
      </c>
      <c r="P820" s="101"/>
    </row>
    <row r="821">
      <c r="A821" s="65"/>
      <c r="B821" s="65"/>
      <c r="C821" s="65"/>
      <c r="D821" s="65"/>
      <c r="E821" s="65"/>
      <c r="F821" s="65"/>
      <c r="G821" s="65"/>
      <c r="H821" s="65"/>
      <c r="I821" s="65"/>
      <c r="J821" s="65"/>
      <c r="K821" s="103"/>
      <c r="L821" s="65"/>
      <c r="M821" s="68"/>
      <c r="N821" s="65"/>
      <c r="O821" s="65" t="b">
        <f>COUNTIF('Delivered Rentals'!A:A, B821) &gt; 0</f>
        <v>0</v>
      </c>
      <c r="P821" s="104"/>
    </row>
    <row r="822">
      <c r="A822" s="61"/>
      <c r="B822" s="61"/>
      <c r="C822" s="61"/>
      <c r="D822" s="61"/>
      <c r="E822" s="61"/>
      <c r="F822" s="61"/>
      <c r="G822" s="61"/>
      <c r="H822" s="61"/>
      <c r="I822" s="61"/>
      <c r="J822" s="61"/>
      <c r="K822" s="100"/>
      <c r="L822" s="61"/>
      <c r="M822" s="64"/>
      <c r="N822" s="61"/>
      <c r="O822" s="61" t="b">
        <f>COUNTIF('Delivered Rentals'!A:A, B822) &gt; 0</f>
        <v>0</v>
      </c>
      <c r="P822" s="101"/>
    </row>
    <row r="823">
      <c r="A823" s="65"/>
      <c r="B823" s="65"/>
      <c r="C823" s="65"/>
      <c r="D823" s="65"/>
      <c r="E823" s="65"/>
      <c r="F823" s="65"/>
      <c r="G823" s="65"/>
      <c r="H823" s="65"/>
      <c r="I823" s="65"/>
      <c r="J823" s="65"/>
      <c r="K823" s="103"/>
      <c r="L823" s="65"/>
      <c r="M823" s="68"/>
      <c r="N823" s="65"/>
      <c r="O823" s="65" t="b">
        <f>COUNTIF('Delivered Rentals'!A:A, B823) &gt; 0</f>
        <v>0</v>
      </c>
      <c r="P823" s="104"/>
    </row>
    <row r="824">
      <c r="A824" s="61"/>
      <c r="B824" s="61"/>
      <c r="C824" s="61"/>
      <c r="D824" s="61"/>
      <c r="E824" s="61"/>
      <c r="F824" s="61"/>
      <c r="G824" s="61"/>
      <c r="H824" s="61"/>
      <c r="I824" s="61"/>
      <c r="J824" s="61"/>
      <c r="K824" s="100"/>
      <c r="L824" s="61"/>
      <c r="M824" s="64"/>
      <c r="N824" s="61"/>
      <c r="O824" s="61" t="b">
        <f>COUNTIF('Delivered Rentals'!A:A, B824) &gt; 0</f>
        <v>0</v>
      </c>
      <c r="P824" s="101"/>
    </row>
    <row r="825">
      <c r="A825" s="65"/>
      <c r="B825" s="65"/>
      <c r="C825" s="65"/>
      <c r="D825" s="65"/>
      <c r="E825" s="65"/>
      <c r="F825" s="65"/>
      <c r="G825" s="65"/>
      <c r="H825" s="65"/>
      <c r="I825" s="65"/>
      <c r="J825" s="65"/>
      <c r="K825" s="103"/>
      <c r="L825" s="65"/>
      <c r="M825" s="68"/>
      <c r="N825" s="65"/>
      <c r="O825" s="65" t="b">
        <f>COUNTIF('Delivered Rentals'!A:A, B825) &gt; 0</f>
        <v>0</v>
      </c>
      <c r="P825" s="104"/>
    </row>
    <row r="826">
      <c r="A826" s="61"/>
      <c r="B826" s="61"/>
      <c r="C826" s="61"/>
      <c r="D826" s="61"/>
      <c r="E826" s="61"/>
      <c r="F826" s="61"/>
      <c r="G826" s="61"/>
      <c r="H826" s="61"/>
      <c r="I826" s="61"/>
      <c r="J826" s="61"/>
      <c r="K826" s="100"/>
      <c r="L826" s="61"/>
      <c r="M826" s="64"/>
      <c r="N826" s="61"/>
      <c r="O826" s="61" t="b">
        <f>COUNTIF('Delivered Rentals'!A:A, B826) &gt; 0</f>
        <v>0</v>
      </c>
      <c r="P826" s="101"/>
    </row>
    <row r="827">
      <c r="A827" s="65"/>
      <c r="B827" s="65"/>
      <c r="C827" s="65"/>
      <c r="D827" s="65"/>
      <c r="E827" s="65"/>
      <c r="F827" s="65"/>
      <c r="G827" s="65"/>
      <c r="H827" s="65"/>
      <c r="I827" s="65"/>
      <c r="J827" s="65"/>
      <c r="K827" s="103"/>
      <c r="L827" s="65"/>
      <c r="M827" s="68"/>
      <c r="N827" s="65"/>
      <c r="O827" s="65" t="b">
        <f>COUNTIF('Delivered Rentals'!A:A, B827) &gt; 0</f>
        <v>0</v>
      </c>
      <c r="P827" s="104"/>
    </row>
    <row r="828">
      <c r="A828" s="61"/>
      <c r="B828" s="61"/>
      <c r="C828" s="61"/>
      <c r="D828" s="61"/>
      <c r="E828" s="61"/>
      <c r="F828" s="61"/>
      <c r="G828" s="61"/>
      <c r="H828" s="61"/>
      <c r="I828" s="61"/>
      <c r="J828" s="61"/>
      <c r="K828" s="100"/>
      <c r="L828" s="61"/>
      <c r="M828" s="64"/>
      <c r="N828" s="61"/>
      <c r="O828" s="61" t="b">
        <f>COUNTIF('Delivered Rentals'!A:A, B828) &gt; 0</f>
        <v>0</v>
      </c>
      <c r="P828" s="101"/>
    </row>
    <row r="829">
      <c r="A829" s="65"/>
      <c r="B829" s="65"/>
      <c r="C829" s="65"/>
      <c r="D829" s="65"/>
      <c r="E829" s="65"/>
      <c r="F829" s="65"/>
      <c r="G829" s="65"/>
      <c r="H829" s="65"/>
      <c r="I829" s="65"/>
      <c r="J829" s="65"/>
      <c r="K829" s="103"/>
      <c r="L829" s="65"/>
      <c r="M829" s="68"/>
      <c r="N829" s="65"/>
      <c r="O829" s="65" t="b">
        <f>COUNTIF('Delivered Rentals'!A:A, B829) &gt; 0</f>
        <v>0</v>
      </c>
      <c r="P829" s="104"/>
    </row>
    <row r="830">
      <c r="A830" s="61"/>
      <c r="B830" s="61"/>
      <c r="C830" s="61"/>
      <c r="D830" s="61"/>
      <c r="E830" s="61"/>
      <c r="F830" s="61"/>
      <c r="G830" s="61"/>
      <c r="H830" s="61"/>
      <c r="I830" s="61"/>
      <c r="J830" s="61"/>
      <c r="K830" s="100"/>
      <c r="L830" s="61"/>
      <c r="M830" s="64"/>
      <c r="N830" s="61"/>
      <c r="O830" s="61" t="b">
        <f>COUNTIF('Delivered Rentals'!A:A, B830) &gt; 0</f>
        <v>0</v>
      </c>
      <c r="P830" s="101"/>
    </row>
    <row r="831">
      <c r="A831" s="65"/>
      <c r="B831" s="65"/>
      <c r="C831" s="65"/>
      <c r="D831" s="65"/>
      <c r="E831" s="65"/>
      <c r="F831" s="65"/>
      <c r="G831" s="65"/>
      <c r="H831" s="65"/>
      <c r="I831" s="65"/>
      <c r="J831" s="65"/>
      <c r="K831" s="103"/>
      <c r="L831" s="65"/>
      <c r="M831" s="68"/>
      <c r="N831" s="65"/>
      <c r="O831" s="65" t="b">
        <f>COUNTIF('Delivered Rentals'!A:A, B831) &gt; 0</f>
        <v>0</v>
      </c>
      <c r="P831" s="104"/>
    </row>
    <row r="832">
      <c r="A832" s="61"/>
      <c r="B832" s="61"/>
      <c r="C832" s="61"/>
      <c r="D832" s="61"/>
      <c r="E832" s="61"/>
      <c r="F832" s="61"/>
      <c r="G832" s="61"/>
      <c r="H832" s="61"/>
      <c r="I832" s="61"/>
      <c r="J832" s="61"/>
      <c r="K832" s="100"/>
      <c r="L832" s="61"/>
      <c r="M832" s="64"/>
      <c r="N832" s="61"/>
      <c r="O832" s="61" t="b">
        <f>COUNTIF('Delivered Rentals'!A:A, B832) &gt; 0</f>
        <v>0</v>
      </c>
      <c r="P832" s="101"/>
    </row>
    <row r="833">
      <c r="A833" s="65"/>
      <c r="B833" s="65"/>
      <c r="C833" s="65"/>
      <c r="D833" s="65"/>
      <c r="E833" s="65"/>
      <c r="F833" s="65"/>
      <c r="G833" s="65"/>
      <c r="H833" s="65"/>
      <c r="I833" s="65"/>
      <c r="J833" s="65"/>
      <c r="K833" s="103"/>
      <c r="L833" s="65"/>
      <c r="M833" s="68"/>
      <c r="N833" s="65"/>
      <c r="O833" s="65" t="b">
        <f>COUNTIF('Delivered Rentals'!A:A, B833) &gt; 0</f>
        <v>0</v>
      </c>
      <c r="P833" s="104"/>
    </row>
    <row r="834">
      <c r="A834" s="61"/>
      <c r="B834" s="61"/>
      <c r="C834" s="61"/>
      <c r="D834" s="61"/>
      <c r="E834" s="61"/>
      <c r="F834" s="61"/>
      <c r="G834" s="61"/>
      <c r="H834" s="61"/>
      <c r="I834" s="61"/>
      <c r="J834" s="61"/>
      <c r="K834" s="100"/>
      <c r="L834" s="61"/>
      <c r="M834" s="64"/>
      <c r="N834" s="61"/>
      <c r="O834" s="61" t="b">
        <f>COUNTIF('Delivered Rentals'!A:A, B834) &gt; 0</f>
        <v>0</v>
      </c>
      <c r="P834" s="101"/>
    </row>
    <row r="835">
      <c r="A835" s="65"/>
      <c r="B835" s="65"/>
      <c r="C835" s="65"/>
      <c r="D835" s="65"/>
      <c r="E835" s="65"/>
      <c r="F835" s="65"/>
      <c r="G835" s="65"/>
      <c r="H835" s="65"/>
      <c r="I835" s="65"/>
      <c r="J835" s="65"/>
      <c r="K835" s="103"/>
      <c r="L835" s="65"/>
      <c r="M835" s="68"/>
      <c r="N835" s="65"/>
      <c r="O835" s="65" t="b">
        <f>COUNTIF('Delivered Rentals'!A:A, B835) &gt; 0</f>
        <v>0</v>
      </c>
      <c r="P835" s="104"/>
    </row>
    <row r="836">
      <c r="A836" s="61"/>
      <c r="B836" s="61"/>
      <c r="C836" s="61"/>
      <c r="D836" s="61"/>
      <c r="E836" s="61"/>
      <c r="F836" s="61"/>
      <c r="G836" s="61"/>
      <c r="H836" s="61"/>
      <c r="I836" s="61"/>
      <c r="J836" s="61"/>
      <c r="K836" s="100"/>
      <c r="L836" s="61"/>
      <c r="M836" s="64"/>
      <c r="N836" s="61"/>
      <c r="O836" s="61" t="b">
        <f>COUNTIF('Delivered Rentals'!A:A, B836) &gt; 0</f>
        <v>0</v>
      </c>
      <c r="P836" s="101"/>
    </row>
    <row r="837">
      <c r="A837" s="65"/>
      <c r="B837" s="65"/>
      <c r="C837" s="65"/>
      <c r="D837" s="65"/>
      <c r="E837" s="65"/>
      <c r="F837" s="65"/>
      <c r="G837" s="65"/>
      <c r="H837" s="65"/>
      <c r="I837" s="65"/>
      <c r="J837" s="65"/>
      <c r="K837" s="103"/>
      <c r="L837" s="65"/>
      <c r="M837" s="68"/>
      <c r="N837" s="65"/>
      <c r="O837" s="65" t="b">
        <f>COUNTIF('Delivered Rentals'!A:A, B837) &gt; 0</f>
        <v>0</v>
      </c>
      <c r="P837" s="104"/>
    </row>
    <row r="838">
      <c r="A838" s="61"/>
      <c r="B838" s="61"/>
      <c r="C838" s="61"/>
      <c r="D838" s="61"/>
      <c r="E838" s="61"/>
      <c r="F838" s="61"/>
      <c r="G838" s="61"/>
      <c r="H838" s="61"/>
      <c r="I838" s="61"/>
      <c r="J838" s="61"/>
      <c r="K838" s="100"/>
      <c r="L838" s="61"/>
      <c r="M838" s="64"/>
      <c r="N838" s="61"/>
      <c r="O838" s="61" t="b">
        <f>COUNTIF('Delivered Rentals'!A:A, B838) &gt; 0</f>
        <v>0</v>
      </c>
      <c r="P838" s="101"/>
    </row>
    <row r="839">
      <c r="A839" s="65"/>
      <c r="B839" s="65"/>
      <c r="C839" s="65"/>
      <c r="D839" s="65"/>
      <c r="E839" s="65"/>
      <c r="F839" s="65"/>
      <c r="G839" s="65"/>
      <c r="H839" s="65"/>
      <c r="I839" s="65"/>
      <c r="J839" s="65"/>
      <c r="K839" s="103"/>
      <c r="L839" s="65"/>
      <c r="M839" s="68"/>
      <c r="N839" s="65"/>
      <c r="O839" s="65" t="b">
        <f>COUNTIF('Delivered Rentals'!A:A, B839) &gt; 0</f>
        <v>0</v>
      </c>
      <c r="P839" s="104"/>
    </row>
    <row r="840">
      <c r="A840" s="61"/>
      <c r="B840" s="61"/>
      <c r="C840" s="61"/>
      <c r="D840" s="61"/>
      <c r="E840" s="61"/>
      <c r="F840" s="61"/>
      <c r="G840" s="61"/>
      <c r="H840" s="61"/>
      <c r="I840" s="61"/>
      <c r="J840" s="61"/>
      <c r="K840" s="100"/>
      <c r="L840" s="61"/>
      <c r="M840" s="64"/>
      <c r="N840" s="61"/>
      <c r="O840" s="61" t="b">
        <f>COUNTIF('Delivered Rentals'!A:A, B840) &gt; 0</f>
        <v>0</v>
      </c>
      <c r="P840" s="101"/>
    </row>
    <row r="841">
      <c r="A841" s="65"/>
      <c r="B841" s="65"/>
      <c r="C841" s="65"/>
      <c r="D841" s="65"/>
      <c r="E841" s="65"/>
      <c r="F841" s="65"/>
      <c r="G841" s="65"/>
      <c r="H841" s="65"/>
      <c r="I841" s="65"/>
      <c r="J841" s="65"/>
      <c r="K841" s="103"/>
      <c r="L841" s="65"/>
      <c r="M841" s="68"/>
      <c r="N841" s="65"/>
      <c r="O841" s="65" t="b">
        <f>COUNTIF('Delivered Rentals'!A:A, B841) &gt; 0</f>
        <v>0</v>
      </c>
      <c r="P841" s="104"/>
    </row>
    <row r="842">
      <c r="A842" s="61"/>
      <c r="B842" s="61"/>
      <c r="C842" s="61"/>
      <c r="D842" s="61"/>
      <c r="E842" s="61"/>
      <c r="F842" s="61"/>
      <c r="G842" s="61"/>
      <c r="H842" s="61"/>
      <c r="I842" s="61"/>
      <c r="J842" s="61"/>
      <c r="K842" s="100"/>
      <c r="L842" s="61"/>
      <c r="M842" s="64"/>
      <c r="N842" s="61"/>
      <c r="O842" s="61" t="b">
        <f>COUNTIF('Delivered Rentals'!A:A, B842) &gt; 0</f>
        <v>0</v>
      </c>
      <c r="P842" s="101"/>
    </row>
    <row r="843">
      <c r="A843" s="65"/>
      <c r="B843" s="65"/>
      <c r="C843" s="65"/>
      <c r="D843" s="65"/>
      <c r="E843" s="65"/>
      <c r="F843" s="65"/>
      <c r="G843" s="65"/>
      <c r="H843" s="65"/>
      <c r="I843" s="65"/>
      <c r="J843" s="65"/>
      <c r="K843" s="103"/>
      <c r="L843" s="65"/>
      <c r="M843" s="68"/>
      <c r="N843" s="65"/>
      <c r="O843" s="65" t="b">
        <f>COUNTIF('Delivered Rentals'!A:A, B843) &gt; 0</f>
        <v>0</v>
      </c>
      <c r="P843" s="104"/>
    </row>
    <row r="844">
      <c r="A844" s="61"/>
      <c r="B844" s="61"/>
      <c r="C844" s="61"/>
      <c r="D844" s="61"/>
      <c r="E844" s="61"/>
      <c r="F844" s="61"/>
      <c r="G844" s="61"/>
      <c r="H844" s="61"/>
      <c r="I844" s="61"/>
      <c r="J844" s="61"/>
      <c r="K844" s="100"/>
      <c r="L844" s="61"/>
      <c r="M844" s="64"/>
      <c r="N844" s="61"/>
      <c r="O844" s="61" t="b">
        <f>COUNTIF('Delivered Rentals'!A:A, B844) &gt; 0</f>
        <v>0</v>
      </c>
      <c r="P844" s="101"/>
    </row>
    <row r="845">
      <c r="A845" s="65"/>
      <c r="B845" s="65"/>
      <c r="C845" s="65"/>
      <c r="D845" s="65"/>
      <c r="E845" s="65"/>
      <c r="F845" s="65"/>
      <c r="G845" s="65"/>
      <c r="H845" s="65"/>
      <c r="I845" s="65"/>
      <c r="J845" s="65"/>
      <c r="K845" s="103"/>
      <c r="L845" s="65"/>
      <c r="M845" s="68"/>
      <c r="N845" s="65"/>
      <c r="O845" s="65" t="b">
        <f>COUNTIF('Delivered Rentals'!A:A, B845) &gt; 0</f>
        <v>0</v>
      </c>
      <c r="P845" s="104"/>
    </row>
    <row r="846">
      <c r="A846" s="61"/>
      <c r="B846" s="61"/>
      <c r="C846" s="61"/>
      <c r="D846" s="61"/>
      <c r="E846" s="61"/>
      <c r="F846" s="61"/>
      <c r="G846" s="61"/>
      <c r="H846" s="61"/>
      <c r="I846" s="61"/>
      <c r="J846" s="61"/>
      <c r="K846" s="100"/>
      <c r="L846" s="61"/>
      <c r="M846" s="64"/>
      <c r="N846" s="61"/>
      <c r="O846" s="61" t="b">
        <f>COUNTIF('Delivered Rentals'!A:A, B846) &gt; 0</f>
        <v>0</v>
      </c>
      <c r="P846" s="101"/>
    </row>
    <row r="847">
      <c r="A847" s="65"/>
      <c r="B847" s="65"/>
      <c r="C847" s="65"/>
      <c r="D847" s="65"/>
      <c r="E847" s="65"/>
      <c r="F847" s="65"/>
      <c r="G847" s="65"/>
      <c r="H847" s="65"/>
      <c r="I847" s="65"/>
      <c r="J847" s="65"/>
      <c r="K847" s="103"/>
      <c r="L847" s="65"/>
      <c r="M847" s="68"/>
      <c r="N847" s="65"/>
      <c r="O847" s="65" t="b">
        <f>COUNTIF('Delivered Rentals'!A:A, B847) &gt; 0</f>
        <v>0</v>
      </c>
      <c r="P847" s="104"/>
    </row>
    <row r="848">
      <c r="A848" s="61"/>
      <c r="B848" s="61"/>
      <c r="C848" s="61"/>
      <c r="D848" s="61"/>
      <c r="E848" s="61"/>
      <c r="F848" s="61"/>
      <c r="G848" s="61"/>
      <c r="H848" s="61"/>
      <c r="I848" s="61"/>
      <c r="J848" s="61"/>
      <c r="K848" s="100"/>
      <c r="L848" s="61"/>
      <c r="M848" s="64"/>
      <c r="N848" s="61"/>
      <c r="O848" s="61" t="b">
        <f>COUNTIF('Delivered Rentals'!A:A, B848) &gt; 0</f>
        <v>0</v>
      </c>
      <c r="P848" s="101"/>
    </row>
    <row r="849">
      <c r="A849" s="65"/>
      <c r="B849" s="65"/>
      <c r="C849" s="65"/>
      <c r="D849" s="65"/>
      <c r="E849" s="65"/>
      <c r="F849" s="65"/>
      <c r="G849" s="65"/>
      <c r="H849" s="65"/>
      <c r="I849" s="65"/>
      <c r="J849" s="65"/>
      <c r="K849" s="103"/>
      <c r="L849" s="65"/>
      <c r="M849" s="68"/>
      <c r="N849" s="65"/>
      <c r="O849" s="65" t="b">
        <f>COUNTIF('Delivered Rentals'!A:A, B849) &gt; 0</f>
        <v>0</v>
      </c>
      <c r="P849" s="104"/>
    </row>
    <row r="850">
      <c r="A850" s="61"/>
      <c r="B850" s="61"/>
      <c r="C850" s="61"/>
      <c r="D850" s="61"/>
      <c r="E850" s="61"/>
      <c r="F850" s="61"/>
      <c r="G850" s="61"/>
      <c r="H850" s="61"/>
      <c r="I850" s="61"/>
      <c r="J850" s="61"/>
      <c r="K850" s="100"/>
      <c r="L850" s="61"/>
      <c r="M850" s="64"/>
      <c r="N850" s="61"/>
      <c r="O850" s="61" t="b">
        <f>COUNTIF('Delivered Rentals'!A:A, B850) &gt; 0</f>
        <v>0</v>
      </c>
      <c r="P850" s="101"/>
    </row>
    <row r="851">
      <c r="A851" s="65"/>
      <c r="B851" s="65"/>
      <c r="C851" s="65"/>
      <c r="D851" s="65"/>
      <c r="E851" s="65"/>
      <c r="F851" s="65"/>
      <c r="G851" s="65"/>
      <c r="H851" s="65"/>
      <c r="I851" s="65"/>
      <c r="J851" s="65"/>
      <c r="K851" s="103"/>
      <c r="L851" s="65"/>
      <c r="M851" s="68"/>
      <c r="N851" s="65"/>
      <c r="O851" s="65" t="b">
        <f>COUNTIF('Delivered Rentals'!A:A, B851) &gt; 0</f>
        <v>0</v>
      </c>
      <c r="P851" s="104"/>
    </row>
    <row r="852">
      <c r="A852" s="61"/>
      <c r="B852" s="61"/>
      <c r="C852" s="61"/>
      <c r="D852" s="61"/>
      <c r="E852" s="61"/>
      <c r="F852" s="61"/>
      <c r="G852" s="61"/>
      <c r="H852" s="61"/>
      <c r="I852" s="61"/>
      <c r="J852" s="61"/>
      <c r="K852" s="100"/>
      <c r="L852" s="61"/>
      <c r="M852" s="64"/>
      <c r="N852" s="61"/>
      <c r="O852" s="61" t="b">
        <f>COUNTIF('Delivered Rentals'!A:A, B852) &gt; 0</f>
        <v>0</v>
      </c>
      <c r="P852" s="101"/>
    </row>
    <row r="853">
      <c r="A853" s="65"/>
      <c r="B853" s="65"/>
      <c r="C853" s="65"/>
      <c r="D853" s="65"/>
      <c r="E853" s="65"/>
      <c r="F853" s="65"/>
      <c r="G853" s="65"/>
      <c r="H853" s="65"/>
      <c r="I853" s="65"/>
      <c r="J853" s="65"/>
      <c r="K853" s="103"/>
      <c r="L853" s="65"/>
      <c r="M853" s="68"/>
      <c r="N853" s="65"/>
      <c r="O853" s="65" t="b">
        <f>COUNTIF('Delivered Rentals'!A:A, B853) &gt; 0</f>
        <v>0</v>
      </c>
      <c r="P853" s="104"/>
    </row>
    <row r="854">
      <c r="A854" s="61"/>
      <c r="B854" s="61"/>
      <c r="C854" s="61"/>
      <c r="D854" s="61"/>
      <c r="E854" s="61"/>
      <c r="F854" s="61"/>
      <c r="G854" s="61"/>
      <c r="H854" s="61"/>
      <c r="I854" s="61"/>
      <c r="J854" s="61"/>
      <c r="K854" s="100"/>
      <c r="L854" s="61"/>
      <c r="M854" s="64"/>
      <c r="N854" s="61"/>
      <c r="O854" s="61" t="b">
        <f>COUNTIF('Delivered Rentals'!A:A, B854) &gt; 0</f>
        <v>0</v>
      </c>
      <c r="P854" s="101"/>
    </row>
    <row r="855">
      <c r="A855" s="65"/>
      <c r="B855" s="65"/>
      <c r="C855" s="65"/>
      <c r="D855" s="65"/>
      <c r="E855" s="65"/>
      <c r="F855" s="65"/>
      <c r="G855" s="65"/>
      <c r="H855" s="65"/>
      <c r="I855" s="65"/>
      <c r="J855" s="65"/>
      <c r="K855" s="103"/>
      <c r="L855" s="65"/>
      <c r="M855" s="68"/>
      <c r="N855" s="65"/>
      <c r="O855" s="65" t="b">
        <f>COUNTIF('Delivered Rentals'!A:A, B855) &gt; 0</f>
        <v>0</v>
      </c>
      <c r="P855" s="104"/>
    </row>
    <row r="856">
      <c r="A856" s="61"/>
      <c r="B856" s="61"/>
      <c r="C856" s="61"/>
      <c r="D856" s="61"/>
      <c r="E856" s="61"/>
      <c r="F856" s="61"/>
      <c r="G856" s="61"/>
      <c r="H856" s="61"/>
      <c r="I856" s="61"/>
      <c r="J856" s="61"/>
      <c r="K856" s="100"/>
      <c r="L856" s="61"/>
      <c r="M856" s="64"/>
      <c r="N856" s="61"/>
      <c r="O856" s="61" t="b">
        <f>COUNTIF('Delivered Rentals'!A:A, B856) &gt; 0</f>
        <v>0</v>
      </c>
      <c r="P856" s="101"/>
    </row>
    <row r="857">
      <c r="A857" s="65"/>
      <c r="B857" s="65"/>
      <c r="C857" s="65"/>
      <c r="D857" s="65"/>
      <c r="E857" s="65"/>
      <c r="F857" s="65"/>
      <c r="G857" s="65"/>
      <c r="H857" s="65"/>
      <c r="I857" s="65"/>
      <c r="J857" s="65"/>
      <c r="K857" s="103"/>
      <c r="L857" s="65"/>
      <c r="M857" s="68"/>
      <c r="N857" s="65"/>
      <c r="O857" s="65" t="b">
        <f>COUNTIF('Delivered Rentals'!A:A, B857) &gt; 0</f>
        <v>0</v>
      </c>
      <c r="P857" s="104"/>
    </row>
    <row r="858">
      <c r="A858" s="61"/>
      <c r="B858" s="61"/>
      <c r="C858" s="61"/>
      <c r="D858" s="61"/>
      <c r="E858" s="61"/>
      <c r="F858" s="61"/>
      <c r="G858" s="61"/>
      <c r="H858" s="61"/>
      <c r="I858" s="61"/>
      <c r="J858" s="61"/>
      <c r="K858" s="100"/>
      <c r="L858" s="61"/>
      <c r="M858" s="64"/>
      <c r="N858" s="61"/>
      <c r="O858" s="61" t="b">
        <f>COUNTIF('Delivered Rentals'!A:A, B858) &gt; 0</f>
        <v>0</v>
      </c>
      <c r="P858" s="101"/>
    </row>
    <row r="859">
      <c r="A859" s="65"/>
      <c r="B859" s="65"/>
      <c r="C859" s="65"/>
      <c r="D859" s="65"/>
      <c r="E859" s="65"/>
      <c r="F859" s="65"/>
      <c r="G859" s="65"/>
      <c r="H859" s="65"/>
      <c r="I859" s="65"/>
      <c r="J859" s="65"/>
      <c r="K859" s="103"/>
      <c r="L859" s="65"/>
      <c r="M859" s="68"/>
      <c r="N859" s="65"/>
      <c r="O859" s="65" t="b">
        <f>COUNTIF('Delivered Rentals'!A:A, B859) &gt; 0</f>
        <v>0</v>
      </c>
      <c r="P859" s="104"/>
    </row>
    <row r="860">
      <c r="A860" s="61"/>
      <c r="B860" s="61"/>
      <c r="C860" s="61"/>
      <c r="D860" s="61"/>
      <c r="E860" s="61"/>
      <c r="F860" s="61"/>
      <c r="G860" s="61"/>
      <c r="H860" s="61"/>
      <c r="I860" s="61"/>
      <c r="J860" s="61"/>
      <c r="K860" s="100"/>
      <c r="L860" s="61"/>
      <c r="M860" s="64"/>
      <c r="N860" s="61"/>
      <c r="O860" s="61" t="b">
        <f>COUNTIF('Delivered Rentals'!A:A, B860) &gt; 0</f>
        <v>0</v>
      </c>
      <c r="P860" s="101"/>
    </row>
    <row r="861">
      <c r="A861" s="65"/>
      <c r="B861" s="65"/>
      <c r="C861" s="65"/>
      <c r="D861" s="65"/>
      <c r="E861" s="65"/>
      <c r="F861" s="65"/>
      <c r="G861" s="65"/>
      <c r="H861" s="65"/>
      <c r="I861" s="65"/>
      <c r="J861" s="65"/>
      <c r="K861" s="103"/>
      <c r="L861" s="65"/>
      <c r="M861" s="68"/>
      <c r="N861" s="65"/>
      <c r="O861" s="65" t="b">
        <f>COUNTIF('Delivered Rentals'!A:A, B861) &gt; 0</f>
        <v>0</v>
      </c>
      <c r="P861" s="104"/>
    </row>
    <row r="862">
      <c r="A862" s="61"/>
      <c r="B862" s="61"/>
      <c r="C862" s="61"/>
      <c r="D862" s="61"/>
      <c r="E862" s="61"/>
      <c r="F862" s="61"/>
      <c r="G862" s="61"/>
      <c r="H862" s="61"/>
      <c r="I862" s="61"/>
      <c r="J862" s="61"/>
      <c r="K862" s="100"/>
      <c r="L862" s="61"/>
      <c r="M862" s="64"/>
      <c r="N862" s="61"/>
      <c r="O862" s="61" t="b">
        <f>COUNTIF('Delivered Rentals'!A:A, B862) &gt; 0</f>
        <v>0</v>
      </c>
      <c r="P862" s="101"/>
    </row>
    <row r="863">
      <c r="A863" s="65"/>
      <c r="B863" s="65"/>
      <c r="C863" s="65"/>
      <c r="D863" s="65"/>
      <c r="E863" s="65"/>
      <c r="F863" s="65"/>
      <c r="G863" s="65"/>
      <c r="H863" s="65"/>
      <c r="I863" s="65"/>
      <c r="J863" s="65"/>
      <c r="K863" s="103"/>
      <c r="L863" s="65"/>
      <c r="M863" s="68"/>
      <c r="N863" s="65"/>
      <c r="O863" s="65" t="b">
        <f>COUNTIF('Delivered Rentals'!A:A, B863) &gt; 0</f>
        <v>0</v>
      </c>
      <c r="P863" s="104"/>
    </row>
    <row r="864">
      <c r="A864" s="61"/>
      <c r="B864" s="61"/>
      <c r="C864" s="61"/>
      <c r="D864" s="61"/>
      <c r="E864" s="61"/>
      <c r="F864" s="61"/>
      <c r="G864" s="61"/>
      <c r="H864" s="61"/>
      <c r="I864" s="61"/>
      <c r="J864" s="61"/>
      <c r="K864" s="100"/>
      <c r="L864" s="61"/>
      <c r="M864" s="64"/>
      <c r="N864" s="61"/>
      <c r="O864" s="61" t="b">
        <f>COUNTIF('Delivered Rentals'!A:A, B864) &gt; 0</f>
        <v>0</v>
      </c>
      <c r="P864" s="101"/>
    </row>
    <row r="865">
      <c r="A865" s="65"/>
      <c r="B865" s="65"/>
      <c r="C865" s="65"/>
      <c r="D865" s="65"/>
      <c r="E865" s="65"/>
      <c r="F865" s="65"/>
      <c r="G865" s="65"/>
      <c r="H865" s="65"/>
      <c r="I865" s="65"/>
      <c r="J865" s="65"/>
      <c r="K865" s="103"/>
      <c r="L865" s="65"/>
      <c r="M865" s="68"/>
      <c r="N865" s="65"/>
      <c r="O865" s="65" t="b">
        <f>COUNTIF('Delivered Rentals'!A:A, B865) &gt; 0</f>
        <v>0</v>
      </c>
      <c r="P865" s="104"/>
    </row>
    <row r="866">
      <c r="A866" s="61"/>
      <c r="B866" s="61"/>
      <c r="C866" s="61"/>
      <c r="D866" s="61"/>
      <c r="E866" s="61"/>
      <c r="F866" s="61"/>
      <c r="G866" s="61"/>
      <c r="H866" s="61"/>
      <c r="I866" s="61"/>
      <c r="J866" s="61"/>
      <c r="K866" s="100"/>
      <c r="L866" s="61"/>
      <c r="M866" s="64"/>
      <c r="N866" s="61"/>
      <c r="O866" s="61" t="b">
        <f>COUNTIF('Delivered Rentals'!A:A, B866) &gt; 0</f>
        <v>0</v>
      </c>
      <c r="P866" s="101"/>
    </row>
    <row r="867">
      <c r="A867" s="65"/>
      <c r="B867" s="65"/>
      <c r="C867" s="65"/>
      <c r="D867" s="65"/>
      <c r="E867" s="65"/>
      <c r="F867" s="65"/>
      <c r="G867" s="65"/>
      <c r="H867" s="65"/>
      <c r="I867" s="65"/>
      <c r="J867" s="65"/>
      <c r="K867" s="103"/>
      <c r="L867" s="65"/>
      <c r="M867" s="68"/>
      <c r="N867" s="65"/>
      <c r="O867" s="65" t="b">
        <f>COUNTIF('Delivered Rentals'!A:A, B867) &gt; 0</f>
        <v>0</v>
      </c>
      <c r="P867" s="104"/>
    </row>
    <row r="868">
      <c r="A868" s="61"/>
      <c r="B868" s="61"/>
      <c r="C868" s="61"/>
      <c r="D868" s="61"/>
      <c r="E868" s="61"/>
      <c r="F868" s="61"/>
      <c r="G868" s="61"/>
      <c r="H868" s="61"/>
      <c r="I868" s="61"/>
      <c r="J868" s="61"/>
      <c r="K868" s="100"/>
      <c r="L868" s="61"/>
      <c r="M868" s="64"/>
      <c r="N868" s="61"/>
      <c r="O868" s="61" t="b">
        <f>COUNTIF('Delivered Rentals'!A:A, B868) &gt; 0</f>
        <v>0</v>
      </c>
      <c r="P868" s="101"/>
    </row>
    <row r="869">
      <c r="A869" s="65"/>
      <c r="B869" s="65"/>
      <c r="C869" s="65"/>
      <c r="D869" s="65"/>
      <c r="E869" s="65"/>
      <c r="F869" s="65"/>
      <c r="G869" s="65"/>
      <c r="H869" s="65"/>
      <c r="I869" s="65"/>
      <c r="J869" s="65"/>
      <c r="K869" s="103"/>
      <c r="L869" s="65"/>
      <c r="M869" s="68"/>
      <c r="N869" s="65"/>
      <c r="O869" s="65" t="b">
        <f>COUNTIF('Delivered Rentals'!A:A, B869) &gt; 0</f>
        <v>0</v>
      </c>
      <c r="P869" s="104"/>
    </row>
    <row r="870">
      <c r="A870" s="61"/>
      <c r="B870" s="61"/>
      <c r="C870" s="61"/>
      <c r="D870" s="61"/>
      <c r="E870" s="61"/>
      <c r="F870" s="61"/>
      <c r="G870" s="61"/>
      <c r="H870" s="61"/>
      <c r="I870" s="61"/>
      <c r="J870" s="61"/>
      <c r="K870" s="100"/>
      <c r="L870" s="61"/>
      <c r="M870" s="64"/>
      <c r="N870" s="61"/>
      <c r="O870" s="61" t="b">
        <f>COUNTIF('Delivered Rentals'!A:A, B870) &gt; 0</f>
        <v>0</v>
      </c>
      <c r="P870" s="101"/>
    </row>
    <row r="871">
      <c r="A871" s="65"/>
      <c r="B871" s="65"/>
      <c r="C871" s="65"/>
      <c r="D871" s="65"/>
      <c r="E871" s="65"/>
      <c r="F871" s="65"/>
      <c r="G871" s="65"/>
      <c r="H871" s="65"/>
      <c r="I871" s="65"/>
      <c r="J871" s="65"/>
      <c r="K871" s="103"/>
      <c r="L871" s="65"/>
      <c r="M871" s="68"/>
      <c r="N871" s="65"/>
      <c r="O871" s="65" t="b">
        <f>COUNTIF('Delivered Rentals'!A:A, B871) &gt; 0</f>
        <v>0</v>
      </c>
      <c r="P871" s="104"/>
    </row>
    <row r="872">
      <c r="A872" s="61"/>
      <c r="B872" s="61"/>
      <c r="C872" s="61"/>
      <c r="D872" s="61"/>
      <c r="E872" s="61"/>
      <c r="F872" s="61"/>
      <c r="G872" s="61"/>
      <c r="H872" s="61"/>
      <c r="I872" s="61"/>
      <c r="J872" s="61"/>
      <c r="K872" s="100"/>
      <c r="L872" s="61"/>
      <c r="M872" s="64"/>
      <c r="N872" s="61"/>
      <c r="O872" s="61" t="b">
        <f>COUNTIF('Delivered Rentals'!A:A, B872) &gt; 0</f>
        <v>0</v>
      </c>
      <c r="P872" s="101"/>
    </row>
    <row r="873">
      <c r="A873" s="65"/>
      <c r="B873" s="65"/>
      <c r="C873" s="65"/>
      <c r="D873" s="65"/>
      <c r="E873" s="65"/>
      <c r="F873" s="65"/>
      <c r="G873" s="65"/>
      <c r="H873" s="65"/>
      <c r="I873" s="65"/>
      <c r="J873" s="65"/>
      <c r="K873" s="103"/>
      <c r="L873" s="65"/>
      <c r="M873" s="68"/>
      <c r="N873" s="65"/>
      <c r="O873" s="65" t="b">
        <f>COUNTIF('Delivered Rentals'!A:A, B873) &gt; 0</f>
        <v>0</v>
      </c>
      <c r="P873" s="104"/>
    </row>
    <row r="874">
      <c r="A874" s="61"/>
      <c r="B874" s="61"/>
      <c r="C874" s="61"/>
      <c r="D874" s="61"/>
      <c r="E874" s="61"/>
      <c r="F874" s="61"/>
      <c r="G874" s="61"/>
      <c r="H874" s="61"/>
      <c r="I874" s="61"/>
      <c r="J874" s="61"/>
      <c r="K874" s="100"/>
      <c r="L874" s="61"/>
      <c r="M874" s="64"/>
      <c r="N874" s="61"/>
      <c r="O874" s="61" t="b">
        <f>COUNTIF('Delivered Rentals'!A:A, B874) &gt; 0</f>
        <v>0</v>
      </c>
      <c r="P874" s="101"/>
    </row>
    <row r="875">
      <c r="A875" s="65"/>
      <c r="B875" s="65"/>
      <c r="C875" s="65"/>
      <c r="D875" s="65"/>
      <c r="E875" s="65"/>
      <c r="F875" s="65"/>
      <c r="G875" s="65"/>
      <c r="H875" s="65"/>
      <c r="I875" s="65"/>
      <c r="J875" s="65"/>
      <c r="K875" s="103"/>
      <c r="L875" s="65"/>
      <c r="M875" s="68"/>
      <c r="N875" s="65"/>
      <c r="O875" s="65" t="b">
        <f>COUNTIF('Delivered Rentals'!A:A, B875) &gt; 0</f>
        <v>0</v>
      </c>
      <c r="P875" s="104"/>
    </row>
    <row r="876">
      <c r="A876" s="61"/>
      <c r="B876" s="61"/>
      <c r="C876" s="61"/>
      <c r="D876" s="61"/>
      <c r="E876" s="61"/>
      <c r="F876" s="61"/>
      <c r="G876" s="61"/>
      <c r="H876" s="61"/>
      <c r="I876" s="61"/>
      <c r="J876" s="61"/>
      <c r="K876" s="100"/>
      <c r="L876" s="61"/>
      <c r="M876" s="64"/>
      <c r="N876" s="61"/>
      <c r="O876" s="61" t="b">
        <f>COUNTIF('Delivered Rentals'!A:A, B876) &gt; 0</f>
        <v>0</v>
      </c>
      <c r="P876" s="101"/>
    </row>
    <row r="877">
      <c r="A877" s="65"/>
      <c r="B877" s="65"/>
      <c r="C877" s="65"/>
      <c r="D877" s="65"/>
      <c r="E877" s="65"/>
      <c r="F877" s="65"/>
      <c r="G877" s="65"/>
      <c r="H877" s="65"/>
      <c r="I877" s="65"/>
      <c r="J877" s="65"/>
      <c r="K877" s="103"/>
      <c r="L877" s="65"/>
      <c r="M877" s="68"/>
      <c r="N877" s="65"/>
      <c r="O877" s="65" t="b">
        <f>COUNTIF('Delivered Rentals'!A:A, B877) &gt; 0</f>
        <v>0</v>
      </c>
      <c r="P877" s="104"/>
    </row>
    <row r="878">
      <c r="A878" s="61"/>
      <c r="B878" s="61"/>
      <c r="C878" s="61"/>
      <c r="D878" s="61"/>
      <c r="E878" s="61"/>
      <c r="F878" s="61"/>
      <c r="G878" s="61"/>
      <c r="H878" s="61"/>
      <c r="I878" s="61"/>
      <c r="J878" s="61"/>
      <c r="K878" s="100"/>
      <c r="L878" s="61"/>
      <c r="M878" s="64"/>
      <c r="N878" s="61"/>
      <c r="O878" s="61" t="b">
        <f>COUNTIF('Delivered Rentals'!A:A, B878) &gt; 0</f>
        <v>0</v>
      </c>
      <c r="P878" s="101"/>
    </row>
    <row r="879">
      <c r="A879" s="65"/>
      <c r="B879" s="65"/>
      <c r="C879" s="65"/>
      <c r="D879" s="65"/>
      <c r="E879" s="65"/>
      <c r="F879" s="65"/>
      <c r="G879" s="65"/>
      <c r="H879" s="65"/>
      <c r="I879" s="65"/>
      <c r="J879" s="65"/>
      <c r="K879" s="103"/>
      <c r="L879" s="65"/>
      <c r="M879" s="68"/>
      <c r="N879" s="65"/>
      <c r="O879" s="65" t="b">
        <f>COUNTIF('Delivered Rentals'!A:A, B879) &gt; 0</f>
        <v>0</v>
      </c>
      <c r="P879" s="104"/>
    </row>
    <row r="880">
      <c r="A880" s="61"/>
      <c r="B880" s="61"/>
      <c r="C880" s="61"/>
      <c r="D880" s="61"/>
      <c r="E880" s="61"/>
      <c r="F880" s="61"/>
      <c r="G880" s="61"/>
      <c r="H880" s="61"/>
      <c r="I880" s="61"/>
      <c r="J880" s="61"/>
      <c r="K880" s="100"/>
      <c r="L880" s="61"/>
      <c r="M880" s="64"/>
      <c r="N880" s="61"/>
      <c r="O880" s="61" t="b">
        <f>COUNTIF('Delivered Rentals'!A:A, B880) &gt; 0</f>
        <v>0</v>
      </c>
      <c r="P880" s="101"/>
    </row>
    <row r="881">
      <c r="A881" s="65"/>
      <c r="B881" s="65"/>
      <c r="C881" s="65"/>
      <c r="D881" s="65"/>
      <c r="E881" s="65"/>
      <c r="F881" s="65"/>
      <c r="G881" s="65"/>
      <c r="H881" s="65"/>
      <c r="I881" s="65"/>
      <c r="J881" s="65"/>
      <c r="K881" s="103"/>
      <c r="L881" s="65"/>
      <c r="M881" s="68"/>
      <c r="N881" s="65"/>
      <c r="O881" s="65" t="b">
        <f>COUNTIF('Delivered Rentals'!A:A, B881) &gt; 0</f>
        <v>0</v>
      </c>
      <c r="P881" s="104"/>
    </row>
    <row r="882">
      <c r="A882" s="61"/>
      <c r="B882" s="61"/>
      <c r="C882" s="61"/>
      <c r="D882" s="61"/>
      <c r="E882" s="61"/>
      <c r="F882" s="61"/>
      <c r="G882" s="61"/>
      <c r="H882" s="61"/>
      <c r="I882" s="61"/>
      <c r="J882" s="61"/>
      <c r="K882" s="100"/>
      <c r="L882" s="61"/>
      <c r="M882" s="64"/>
      <c r="N882" s="61"/>
      <c r="O882" s="61" t="b">
        <f>COUNTIF('Delivered Rentals'!A:A, B882) &gt; 0</f>
        <v>0</v>
      </c>
      <c r="P882" s="101"/>
    </row>
    <row r="883">
      <c r="A883" s="65"/>
      <c r="B883" s="65"/>
      <c r="C883" s="65"/>
      <c r="D883" s="65"/>
      <c r="E883" s="65"/>
      <c r="F883" s="65"/>
      <c r="G883" s="65"/>
      <c r="H883" s="65"/>
      <c r="I883" s="65"/>
      <c r="J883" s="65"/>
      <c r="K883" s="103"/>
      <c r="L883" s="65"/>
      <c r="M883" s="68"/>
      <c r="N883" s="65"/>
      <c r="O883" s="65" t="b">
        <f>COUNTIF('Delivered Rentals'!A:A, B883) &gt; 0</f>
        <v>0</v>
      </c>
      <c r="P883" s="104"/>
    </row>
    <row r="884">
      <c r="A884" s="61"/>
      <c r="B884" s="61"/>
      <c r="C884" s="61"/>
      <c r="D884" s="61"/>
      <c r="E884" s="61"/>
      <c r="F884" s="61"/>
      <c r="G884" s="61"/>
      <c r="H884" s="61"/>
      <c r="I884" s="61"/>
      <c r="J884" s="61"/>
      <c r="K884" s="100"/>
      <c r="L884" s="61"/>
      <c r="M884" s="64"/>
      <c r="N884" s="61"/>
      <c r="O884" s="61" t="b">
        <f>COUNTIF('Delivered Rentals'!A:A, B884) &gt; 0</f>
        <v>0</v>
      </c>
      <c r="P884" s="101"/>
    </row>
    <row r="885">
      <c r="A885" s="65"/>
      <c r="B885" s="65"/>
      <c r="C885" s="65"/>
      <c r="D885" s="65"/>
      <c r="E885" s="65"/>
      <c r="F885" s="65"/>
      <c r="G885" s="65"/>
      <c r="H885" s="65"/>
      <c r="I885" s="65"/>
      <c r="J885" s="65"/>
      <c r="K885" s="103"/>
      <c r="L885" s="65"/>
      <c r="M885" s="68"/>
      <c r="N885" s="65"/>
      <c r="O885" s="65" t="b">
        <f>COUNTIF('Delivered Rentals'!A:A, B885) &gt; 0</f>
        <v>0</v>
      </c>
      <c r="P885" s="104"/>
    </row>
    <row r="886">
      <c r="A886" s="61"/>
      <c r="B886" s="61"/>
      <c r="C886" s="61"/>
      <c r="D886" s="61"/>
      <c r="E886" s="61"/>
      <c r="F886" s="61"/>
      <c r="G886" s="61"/>
      <c r="H886" s="61"/>
      <c r="I886" s="61"/>
      <c r="J886" s="61"/>
      <c r="K886" s="100"/>
      <c r="L886" s="61"/>
      <c r="M886" s="64"/>
      <c r="N886" s="61"/>
      <c r="O886" s="61" t="b">
        <f>COUNTIF('Delivered Rentals'!A:A, B886) &gt; 0</f>
        <v>0</v>
      </c>
      <c r="P886" s="101"/>
    </row>
    <row r="887">
      <c r="A887" s="65"/>
      <c r="B887" s="65"/>
      <c r="C887" s="65"/>
      <c r="D887" s="65"/>
      <c r="E887" s="65"/>
      <c r="F887" s="65"/>
      <c r="G887" s="65"/>
      <c r="H887" s="65"/>
      <c r="I887" s="65"/>
      <c r="J887" s="65"/>
      <c r="K887" s="103"/>
      <c r="L887" s="65"/>
      <c r="M887" s="68"/>
      <c r="N887" s="65"/>
      <c r="O887" s="65" t="b">
        <f>COUNTIF('Delivered Rentals'!A:A, B887) &gt; 0</f>
        <v>0</v>
      </c>
      <c r="P887" s="104"/>
    </row>
    <row r="888">
      <c r="A888" s="61"/>
      <c r="B888" s="61"/>
      <c r="C888" s="61"/>
      <c r="D888" s="61"/>
      <c r="E888" s="61"/>
      <c r="F888" s="61"/>
      <c r="G888" s="61"/>
      <c r="H888" s="61"/>
      <c r="I888" s="61"/>
      <c r="J888" s="61"/>
      <c r="K888" s="100"/>
      <c r="L888" s="61"/>
      <c r="M888" s="64"/>
      <c r="N888" s="61"/>
      <c r="O888" s="61" t="b">
        <f>COUNTIF('Delivered Rentals'!A:A, B888) &gt; 0</f>
        <v>0</v>
      </c>
      <c r="P888" s="101"/>
    </row>
    <row r="889">
      <c r="A889" s="65"/>
      <c r="B889" s="65"/>
      <c r="C889" s="65"/>
      <c r="D889" s="65"/>
      <c r="E889" s="65"/>
      <c r="F889" s="65"/>
      <c r="G889" s="65"/>
      <c r="H889" s="65"/>
      <c r="I889" s="65"/>
      <c r="J889" s="65"/>
      <c r="K889" s="103"/>
      <c r="L889" s="65"/>
      <c r="M889" s="68"/>
      <c r="N889" s="65"/>
      <c r="O889" s="65" t="b">
        <f>COUNTIF('Delivered Rentals'!A:A, B889) &gt; 0</f>
        <v>0</v>
      </c>
      <c r="P889" s="104"/>
    </row>
    <row r="890">
      <c r="A890" s="61"/>
      <c r="B890" s="61"/>
      <c r="C890" s="61"/>
      <c r="D890" s="61"/>
      <c r="E890" s="61"/>
      <c r="F890" s="61"/>
      <c r="G890" s="61"/>
      <c r="H890" s="61"/>
      <c r="I890" s="61"/>
      <c r="J890" s="61"/>
      <c r="K890" s="100"/>
      <c r="L890" s="61"/>
      <c r="M890" s="64"/>
      <c r="N890" s="61"/>
      <c r="O890" s="61" t="b">
        <f>COUNTIF('Delivered Rentals'!A:A, B890) &gt; 0</f>
        <v>0</v>
      </c>
      <c r="P890" s="101"/>
    </row>
    <row r="891">
      <c r="A891" s="65"/>
      <c r="B891" s="65"/>
      <c r="C891" s="65"/>
      <c r="D891" s="65"/>
      <c r="E891" s="65"/>
      <c r="F891" s="65"/>
      <c r="G891" s="65"/>
      <c r="H891" s="65"/>
      <c r="I891" s="65"/>
      <c r="J891" s="65"/>
      <c r="K891" s="103"/>
      <c r="L891" s="65"/>
      <c r="M891" s="68"/>
      <c r="N891" s="65"/>
      <c r="O891" s="65" t="b">
        <f>COUNTIF('Delivered Rentals'!A:A, B891) &gt; 0</f>
        <v>0</v>
      </c>
      <c r="P891" s="104"/>
    </row>
    <row r="892">
      <c r="A892" s="61"/>
      <c r="B892" s="61"/>
      <c r="C892" s="61"/>
      <c r="D892" s="61"/>
      <c r="E892" s="61"/>
      <c r="F892" s="61"/>
      <c r="G892" s="61"/>
      <c r="H892" s="61"/>
      <c r="I892" s="61"/>
      <c r="J892" s="61"/>
      <c r="K892" s="100"/>
      <c r="L892" s="61"/>
      <c r="M892" s="64"/>
      <c r="N892" s="61"/>
      <c r="O892" s="61" t="b">
        <f>COUNTIF('Delivered Rentals'!A:A, B892) &gt; 0</f>
        <v>0</v>
      </c>
      <c r="P892" s="101"/>
    </row>
    <row r="893">
      <c r="A893" s="65"/>
      <c r="B893" s="65"/>
      <c r="C893" s="65"/>
      <c r="D893" s="65"/>
      <c r="E893" s="65"/>
      <c r="F893" s="65"/>
      <c r="G893" s="65"/>
      <c r="H893" s="65"/>
      <c r="I893" s="65"/>
      <c r="J893" s="65"/>
      <c r="K893" s="103"/>
      <c r="L893" s="65"/>
      <c r="M893" s="68"/>
      <c r="N893" s="65"/>
      <c r="O893" s="65" t="b">
        <f>COUNTIF('Delivered Rentals'!A:A, B893) &gt; 0</f>
        <v>0</v>
      </c>
      <c r="P893" s="104"/>
    </row>
    <row r="894">
      <c r="A894" s="61"/>
      <c r="B894" s="61"/>
      <c r="C894" s="61"/>
      <c r="D894" s="61"/>
      <c r="E894" s="61"/>
      <c r="F894" s="61"/>
      <c r="G894" s="61"/>
      <c r="H894" s="61"/>
      <c r="I894" s="61"/>
      <c r="J894" s="61"/>
      <c r="K894" s="100"/>
      <c r="L894" s="61"/>
      <c r="M894" s="64"/>
      <c r="N894" s="61"/>
      <c r="O894" s="61" t="b">
        <f>COUNTIF('Delivered Rentals'!A:A, B894) &gt; 0</f>
        <v>0</v>
      </c>
      <c r="P894" s="101"/>
    </row>
    <row r="895">
      <c r="A895" s="65"/>
      <c r="B895" s="65"/>
      <c r="C895" s="65"/>
      <c r="D895" s="65"/>
      <c r="E895" s="65"/>
      <c r="F895" s="65"/>
      <c r="G895" s="65"/>
      <c r="H895" s="65"/>
      <c r="I895" s="65"/>
      <c r="J895" s="65"/>
      <c r="K895" s="103"/>
      <c r="L895" s="65"/>
      <c r="M895" s="68"/>
      <c r="N895" s="65"/>
      <c r="O895" s="65" t="b">
        <f>COUNTIF('Delivered Rentals'!A:A, B895) &gt; 0</f>
        <v>0</v>
      </c>
      <c r="P895" s="104"/>
    </row>
    <row r="896">
      <c r="A896" s="61"/>
      <c r="B896" s="61"/>
      <c r="C896" s="61"/>
      <c r="D896" s="61"/>
      <c r="E896" s="61"/>
      <c r="F896" s="61"/>
      <c r="G896" s="61"/>
      <c r="H896" s="61"/>
      <c r="I896" s="61"/>
      <c r="J896" s="61"/>
      <c r="K896" s="100"/>
      <c r="L896" s="61"/>
      <c r="M896" s="64"/>
      <c r="N896" s="61"/>
      <c r="O896" s="61" t="b">
        <f>COUNTIF('Delivered Rentals'!A:A, B896) &gt; 0</f>
        <v>0</v>
      </c>
      <c r="P896" s="101"/>
    </row>
    <row r="897">
      <c r="A897" s="65"/>
      <c r="B897" s="65"/>
      <c r="C897" s="65"/>
      <c r="D897" s="65"/>
      <c r="E897" s="65"/>
      <c r="F897" s="65"/>
      <c r="G897" s="65"/>
      <c r="H897" s="65"/>
      <c r="I897" s="65"/>
      <c r="J897" s="65"/>
      <c r="K897" s="103"/>
      <c r="L897" s="65"/>
      <c r="M897" s="68"/>
      <c r="N897" s="65"/>
      <c r="O897" s="65" t="b">
        <f>COUNTIF('Delivered Rentals'!A:A, B897) &gt; 0</f>
        <v>0</v>
      </c>
      <c r="P897" s="104"/>
    </row>
    <row r="898">
      <c r="A898" s="61"/>
      <c r="B898" s="61"/>
      <c r="C898" s="61"/>
      <c r="D898" s="61"/>
      <c r="E898" s="61"/>
      <c r="F898" s="61"/>
      <c r="G898" s="61"/>
      <c r="H898" s="61"/>
      <c r="I898" s="61"/>
      <c r="J898" s="61"/>
      <c r="K898" s="100"/>
      <c r="L898" s="61"/>
      <c r="M898" s="64"/>
      <c r="N898" s="61"/>
      <c r="O898" s="61" t="b">
        <f>COUNTIF('Delivered Rentals'!A:A, B898) &gt; 0</f>
        <v>0</v>
      </c>
      <c r="P898" s="101"/>
    </row>
    <row r="899">
      <c r="A899" s="65"/>
      <c r="B899" s="65"/>
      <c r="C899" s="65"/>
      <c r="D899" s="65"/>
      <c r="E899" s="65"/>
      <c r="F899" s="65"/>
      <c r="G899" s="65"/>
      <c r="H899" s="65"/>
      <c r="I899" s="65"/>
      <c r="J899" s="65"/>
      <c r="K899" s="103"/>
      <c r="L899" s="65"/>
      <c r="M899" s="68"/>
      <c r="N899" s="65"/>
      <c r="O899" s="65" t="b">
        <f>COUNTIF('Delivered Rentals'!A:A, B899) &gt; 0</f>
        <v>0</v>
      </c>
      <c r="P899" s="104"/>
    </row>
    <row r="900">
      <c r="A900" s="61"/>
      <c r="B900" s="61"/>
      <c r="C900" s="61"/>
      <c r="D900" s="61"/>
      <c r="E900" s="61"/>
      <c r="F900" s="61"/>
      <c r="G900" s="61"/>
      <c r="H900" s="61"/>
      <c r="I900" s="61"/>
      <c r="J900" s="61"/>
      <c r="K900" s="100"/>
      <c r="L900" s="61"/>
      <c r="M900" s="64"/>
      <c r="N900" s="61"/>
      <c r="O900" s="61" t="b">
        <f>COUNTIF('Delivered Rentals'!A:A, B900) &gt; 0</f>
        <v>0</v>
      </c>
      <c r="P900" s="101"/>
    </row>
    <row r="901">
      <c r="A901" s="65"/>
      <c r="B901" s="65"/>
      <c r="C901" s="65"/>
      <c r="D901" s="65"/>
      <c r="E901" s="65"/>
      <c r="F901" s="65"/>
      <c r="G901" s="65"/>
      <c r="H901" s="65"/>
      <c r="I901" s="65"/>
      <c r="J901" s="65"/>
      <c r="K901" s="103"/>
      <c r="L901" s="65"/>
      <c r="M901" s="68"/>
      <c r="N901" s="65"/>
      <c r="O901" s="65" t="b">
        <f>COUNTIF('Delivered Rentals'!A:A, B901) &gt; 0</f>
        <v>0</v>
      </c>
      <c r="P901" s="104"/>
    </row>
    <row r="902">
      <c r="A902" s="61"/>
      <c r="B902" s="61"/>
      <c r="C902" s="61"/>
      <c r="D902" s="61"/>
      <c r="E902" s="61"/>
      <c r="F902" s="61"/>
      <c r="G902" s="61"/>
      <c r="H902" s="61"/>
      <c r="I902" s="61"/>
      <c r="J902" s="61"/>
      <c r="K902" s="100"/>
      <c r="L902" s="61"/>
      <c r="M902" s="64"/>
      <c r="N902" s="61"/>
      <c r="O902" s="61" t="b">
        <f>COUNTIF('Delivered Rentals'!A:A, B902) &gt; 0</f>
        <v>0</v>
      </c>
      <c r="P902" s="101"/>
    </row>
    <row r="903">
      <c r="A903" s="65"/>
      <c r="B903" s="65"/>
      <c r="C903" s="65"/>
      <c r="D903" s="65"/>
      <c r="E903" s="65"/>
      <c r="F903" s="65"/>
      <c r="G903" s="65"/>
      <c r="H903" s="65"/>
      <c r="I903" s="65"/>
      <c r="J903" s="65"/>
      <c r="K903" s="103"/>
      <c r="L903" s="65"/>
      <c r="M903" s="68"/>
      <c r="N903" s="65"/>
      <c r="O903" s="65" t="b">
        <f>COUNTIF('Delivered Rentals'!A:A, B903) &gt; 0</f>
        <v>0</v>
      </c>
      <c r="P903" s="104"/>
    </row>
    <row r="904">
      <c r="A904" s="61"/>
      <c r="B904" s="61"/>
      <c r="C904" s="61"/>
      <c r="D904" s="61"/>
      <c r="E904" s="61"/>
      <c r="F904" s="61"/>
      <c r="G904" s="61"/>
      <c r="H904" s="61"/>
      <c r="I904" s="61"/>
      <c r="J904" s="61"/>
      <c r="K904" s="100"/>
      <c r="L904" s="61"/>
      <c r="M904" s="64"/>
      <c r="N904" s="61"/>
      <c r="O904" s="61" t="b">
        <f>COUNTIF('Delivered Rentals'!A:A, B904) &gt; 0</f>
        <v>0</v>
      </c>
      <c r="P904" s="101"/>
    </row>
    <row r="905">
      <c r="A905" s="65"/>
      <c r="B905" s="65"/>
      <c r="C905" s="65"/>
      <c r="D905" s="65"/>
      <c r="E905" s="65"/>
      <c r="F905" s="65"/>
      <c r="G905" s="65"/>
      <c r="H905" s="65"/>
      <c r="I905" s="65"/>
      <c r="J905" s="65"/>
      <c r="K905" s="103"/>
      <c r="L905" s="65"/>
      <c r="M905" s="68"/>
      <c r="N905" s="65"/>
      <c r="O905" s="65" t="b">
        <f>COUNTIF('Delivered Rentals'!A:A, B905) &gt; 0</f>
        <v>0</v>
      </c>
      <c r="P905" s="104"/>
    </row>
    <row r="906">
      <c r="A906" s="61"/>
      <c r="B906" s="61"/>
      <c r="C906" s="61"/>
      <c r="D906" s="61"/>
      <c r="E906" s="61"/>
      <c r="F906" s="61"/>
      <c r="G906" s="61"/>
      <c r="H906" s="61"/>
      <c r="I906" s="61"/>
      <c r="J906" s="61"/>
      <c r="K906" s="100"/>
      <c r="L906" s="61"/>
      <c r="M906" s="64"/>
      <c r="N906" s="61"/>
      <c r="O906" s="61" t="b">
        <f>COUNTIF('Delivered Rentals'!A:A, B906) &gt; 0</f>
        <v>0</v>
      </c>
      <c r="P906" s="101"/>
    </row>
    <row r="907">
      <c r="A907" s="65"/>
      <c r="B907" s="65"/>
      <c r="C907" s="65"/>
      <c r="D907" s="65"/>
      <c r="E907" s="65"/>
      <c r="F907" s="65"/>
      <c r="G907" s="65"/>
      <c r="H907" s="65"/>
      <c r="I907" s="65"/>
      <c r="J907" s="65"/>
      <c r="K907" s="103"/>
      <c r="L907" s="65"/>
      <c r="M907" s="68"/>
      <c r="N907" s="65"/>
      <c r="O907" s="65" t="b">
        <f>COUNTIF('Delivered Rentals'!A:A, B907) &gt; 0</f>
        <v>0</v>
      </c>
      <c r="P907" s="104"/>
    </row>
    <row r="908">
      <c r="A908" s="61"/>
      <c r="B908" s="61"/>
      <c r="C908" s="61"/>
      <c r="D908" s="61"/>
      <c r="E908" s="61"/>
      <c r="F908" s="61"/>
      <c r="G908" s="61"/>
      <c r="H908" s="61"/>
      <c r="I908" s="61"/>
      <c r="J908" s="61"/>
      <c r="K908" s="100"/>
      <c r="L908" s="61"/>
      <c r="M908" s="64"/>
      <c r="N908" s="61"/>
      <c r="O908" s="61" t="b">
        <f>COUNTIF('Delivered Rentals'!A:A, B908) &gt; 0</f>
        <v>0</v>
      </c>
      <c r="P908" s="101"/>
    </row>
    <row r="909">
      <c r="A909" s="65"/>
      <c r="B909" s="65"/>
      <c r="C909" s="65"/>
      <c r="D909" s="65"/>
      <c r="E909" s="65"/>
      <c r="F909" s="65"/>
      <c r="G909" s="65"/>
      <c r="H909" s="65"/>
      <c r="I909" s="65"/>
      <c r="J909" s="65"/>
      <c r="K909" s="103"/>
      <c r="L909" s="65"/>
      <c r="M909" s="68"/>
      <c r="N909" s="65"/>
      <c r="O909" s="65" t="b">
        <f>COUNTIF('Delivered Rentals'!A:A, B909) &gt; 0</f>
        <v>0</v>
      </c>
      <c r="P909" s="104"/>
    </row>
    <row r="910">
      <c r="A910" s="61"/>
      <c r="B910" s="61"/>
      <c r="C910" s="61"/>
      <c r="D910" s="61"/>
      <c r="E910" s="61"/>
      <c r="F910" s="61"/>
      <c r="G910" s="61"/>
      <c r="H910" s="61"/>
      <c r="I910" s="61"/>
      <c r="J910" s="61"/>
      <c r="K910" s="100"/>
      <c r="L910" s="61"/>
      <c r="M910" s="64"/>
      <c r="N910" s="61"/>
      <c r="O910" s="61" t="b">
        <f>COUNTIF('Delivered Rentals'!A:A, B910) &gt; 0</f>
        <v>0</v>
      </c>
      <c r="P910" s="101"/>
    </row>
    <row r="911">
      <c r="A911" s="65"/>
      <c r="B911" s="65"/>
      <c r="C911" s="65"/>
      <c r="D911" s="65"/>
      <c r="E911" s="65"/>
      <c r="F911" s="65"/>
      <c r="G911" s="65"/>
      <c r="H911" s="65"/>
      <c r="I911" s="65"/>
      <c r="J911" s="65"/>
      <c r="K911" s="103"/>
      <c r="L911" s="65"/>
      <c r="M911" s="68"/>
      <c r="N911" s="65"/>
      <c r="O911" s="65" t="b">
        <f>COUNTIF('Delivered Rentals'!A:A, B911) &gt; 0</f>
        <v>0</v>
      </c>
      <c r="P911" s="104"/>
    </row>
    <row r="912">
      <c r="A912" s="61"/>
      <c r="B912" s="61"/>
      <c r="C912" s="61"/>
      <c r="D912" s="61"/>
      <c r="E912" s="61"/>
      <c r="F912" s="61"/>
      <c r="G912" s="61"/>
      <c r="H912" s="61"/>
      <c r="I912" s="61"/>
      <c r="J912" s="61"/>
      <c r="K912" s="100"/>
      <c r="L912" s="61"/>
      <c r="M912" s="64"/>
      <c r="N912" s="61"/>
      <c r="O912" s="61" t="b">
        <f>COUNTIF('Delivered Rentals'!A:A, B912) &gt; 0</f>
        <v>0</v>
      </c>
      <c r="P912" s="101"/>
    </row>
    <row r="913">
      <c r="A913" s="65"/>
      <c r="B913" s="65"/>
      <c r="C913" s="65"/>
      <c r="D913" s="65"/>
      <c r="E913" s="65"/>
      <c r="F913" s="65"/>
      <c r="G913" s="65"/>
      <c r="H913" s="65"/>
      <c r="I913" s="65"/>
      <c r="J913" s="65"/>
      <c r="K913" s="103"/>
      <c r="L913" s="65"/>
      <c r="M913" s="68"/>
      <c r="N913" s="65"/>
      <c r="O913" s="65" t="b">
        <f>COUNTIF('Delivered Rentals'!A:A, B913) &gt; 0</f>
        <v>0</v>
      </c>
      <c r="P913" s="104"/>
    </row>
    <row r="914">
      <c r="A914" s="61"/>
      <c r="B914" s="61"/>
      <c r="C914" s="61"/>
      <c r="D914" s="61"/>
      <c r="E914" s="61"/>
      <c r="F914" s="61"/>
      <c r="G914" s="61"/>
      <c r="H914" s="61"/>
      <c r="I914" s="61"/>
      <c r="J914" s="61"/>
      <c r="K914" s="100"/>
      <c r="L914" s="61"/>
      <c r="M914" s="64"/>
      <c r="N914" s="61"/>
      <c r="O914" s="61" t="b">
        <f>COUNTIF('Delivered Rentals'!A:A, B914) &gt; 0</f>
        <v>0</v>
      </c>
      <c r="P914" s="101"/>
    </row>
    <row r="915">
      <c r="A915" s="65"/>
      <c r="B915" s="65"/>
      <c r="C915" s="65"/>
      <c r="D915" s="65"/>
      <c r="E915" s="65"/>
      <c r="F915" s="65"/>
      <c r="G915" s="65"/>
      <c r="H915" s="65"/>
      <c r="I915" s="65"/>
      <c r="J915" s="65"/>
      <c r="K915" s="103"/>
      <c r="L915" s="65"/>
      <c r="M915" s="68"/>
      <c r="N915" s="65"/>
      <c r="O915" s="65" t="b">
        <f>COUNTIF('Delivered Rentals'!A:A, B915) &gt; 0</f>
        <v>0</v>
      </c>
      <c r="P915" s="104"/>
    </row>
    <row r="916">
      <c r="A916" s="61"/>
      <c r="B916" s="61"/>
      <c r="C916" s="61"/>
      <c r="D916" s="61"/>
      <c r="E916" s="61"/>
      <c r="F916" s="61"/>
      <c r="G916" s="61"/>
      <c r="H916" s="61"/>
      <c r="I916" s="61"/>
      <c r="J916" s="61"/>
      <c r="K916" s="100"/>
      <c r="L916" s="61"/>
      <c r="M916" s="64"/>
      <c r="N916" s="61"/>
      <c r="O916" s="61" t="b">
        <f>COUNTIF('Delivered Rentals'!A:A, B916) &gt; 0</f>
        <v>0</v>
      </c>
      <c r="P916" s="101"/>
    </row>
    <row r="917">
      <c r="A917" s="65"/>
      <c r="B917" s="65"/>
      <c r="C917" s="65"/>
      <c r="D917" s="65"/>
      <c r="E917" s="65"/>
      <c r="F917" s="65"/>
      <c r="G917" s="65"/>
      <c r="H917" s="65"/>
      <c r="I917" s="65"/>
      <c r="J917" s="65"/>
      <c r="K917" s="103"/>
      <c r="L917" s="65"/>
      <c r="M917" s="68"/>
      <c r="N917" s="65"/>
      <c r="O917" s="65" t="b">
        <f>COUNTIF('Delivered Rentals'!A:A, B917) &gt; 0</f>
        <v>0</v>
      </c>
      <c r="P917" s="104"/>
    </row>
    <row r="918">
      <c r="A918" s="61"/>
      <c r="B918" s="61"/>
      <c r="C918" s="61"/>
      <c r="D918" s="61"/>
      <c r="E918" s="61"/>
      <c r="F918" s="61"/>
      <c r="G918" s="61"/>
      <c r="H918" s="61"/>
      <c r="I918" s="61"/>
      <c r="J918" s="61"/>
      <c r="K918" s="100"/>
      <c r="L918" s="61"/>
      <c r="M918" s="64"/>
      <c r="N918" s="61"/>
      <c r="O918" s="61" t="b">
        <f>COUNTIF('Delivered Rentals'!A:A, B918) &gt; 0</f>
        <v>0</v>
      </c>
      <c r="P918" s="101"/>
    </row>
    <row r="919">
      <c r="A919" s="65"/>
      <c r="B919" s="65"/>
      <c r="C919" s="65"/>
      <c r="D919" s="65"/>
      <c r="E919" s="65"/>
      <c r="F919" s="65"/>
      <c r="G919" s="65"/>
      <c r="H919" s="65"/>
      <c r="I919" s="65"/>
      <c r="J919" s="65"/>
      <c r="K919" s="103"/>
      <c r="L919" s="65"/>
      <c r="M919" s="68"/>
      <c r="N919" s="65"/>
      <c r="O919" s="65" t="b">
        <f>COUNTIF('Delivered Rentals'!A:A, B919) &gt; 0</f>
        <v>0</v>
      </c>
      <c r="P919" s="104"/>
    </row>
    <row r="920">
      <c r="A920" s="61"/>
      <c r="B920" s="61"/>
      <c r="C920" s="61"/>
      <c r="D920" s="61"/>
      <c r="E920" s="61"/>
      <c r="F920" s="61"/>
      <c r="G920" s="61"/>
      <c r="H920" s="61"/>
      <c r="I920" s="61"/>
      <c r="J920" s="61"/>
      <c r="K920" s="100"/>
      <c r="L920" s="61"/>
      <c r="M920" s="64"/>
      <c r="N920" s="61"/>
      <c r="O920" s="61" t="b">
        <f>COUNTIF('Delivered Rentals'!A:A, B920) &gt; 0</f>
        <v>0</v>
      </c>
      <c r="P920" s="101"/>
    </row>
    <row r="921">
      <c r="A921" s="65"/>
      <c r="B921" s="65"/>
      <c r="C921" s="65"/>
      <c r="D921" s="65"/>
      <c r="E921" s="65"/>
      <c r="F921" s="65"/>
      <c r="G921" s="65"/>
      <c r="H921" s="65"/>
      <c r="I921" s="65"/>
      <c r="J921" s="65"/>
      <c r="K921" s="103"/>
      <c r="L921" s="65"/>
      <c r="M921" s="68"/>
      <c r="N921" s="65"/>
      <c r="O921" s="65" t="b">
        <f>COUNTIF('Delivered Rentals'!A:A, B921) &gt; 0</f>
        <v>0</v>
      </c>
      <c r="P921" s="104"/>
    </row>
    <row r="922">
      <c r="A922" s="61"/>
      <c r="B922" s="61"/>
      <c r="C922" s="61"/>
      <c r="D922" s="61"/>
      <c r="E922" s="61"/>
      <c r="F922" s="61"/>
      <c r="G922" s="61"/>
      <c r="H922" s="61"/>
      <c r="I922" s="61"/>
      <c r="J922" s="61"/>
      <c r="K922" s="100"/>
      <c r="L922" s="61"/>
      <c r="M922" s="64"/>
      <c r="N922" s="61"/>
      <c r="O922" s="61" t="b">
        <f>COUNTIF('Delivered Rentals'!A:A, B922) &gt; 0</f>
        <v>0</v>
      </c>
      <c r="P922" s="101"/>
    </row>
    <row r="923">
      <c r="A923" s="65"/>
      <c r="B923" s="65"/>
      <c r="C923" s="65"/>
      <c r="D923" s="65"/>
      <c r="E923" s="65"/>
      <c r="F923" s="65"/>
      <c r="G923" s="65"/>
      <c r="H923" s="65"/>
      <c r="I923" s="65"/>
      <c r="J923" s="65"/>
      <c r="K923" s="103"/>
      <c r="L923" s="65"/>
      <c r="M923" s="68"/>
      <c r="N923" s="65"/>
      <c r="O923" s="65" t="b">
        <f>COUNTIF('Delivered Rentals'!A:A, B923) &gt; 0</f>
        <v>0</v>
      </c>
      <c r="P923" s="104"/>
    </row>
    <row r="924">
      <c r="A924" s="61"/>
      <c r="B924" s="61"/>
      <c r="C924" s="61"/>
      <c r="D924" s="61"/>
      <c r="E924" s="61"/>
      <c r="F924" s="61"/>
      <c r="G924" s="61"/>
      <c r="H924" s="61"/>
      <c r="I924" s="61"/>
      <c r="J924" s="61"/>
      <c r="K924" s="100"/>
      <c r="L924" s="61"/>
      <c r="M924" s="64"/>
      <c r="N924" s="61"/>
      <c r="O924" s="61" t="b">
        <f>COUNTIF('Delivered Rentals'!A:A, B924) &gt; 0</f>
        <v>0</v>
      </c>
      <c r="P924" s="101"/>
    </row>
    <row r="925">
      <c r="A925" s="65"/>
      <c r="B925" s="65"/>
      <c r="C925" s="65"/>
      <c r="D925" s="65"/>
      <c r="E925" s="65"/>
      <c r="F925" s="65"/>
      <c r="G925" s="65"/>
      <c r="H925" s="65"/>
      <c r="I925" s="65"/>
      <c r="J925" s="65"/>
      <c r="K925" s="103"/>
      <c r="L925" s="65"/>
      <c r="M925" s="68"/>
      <c r="N925" s="65"/>
      <c r="O925" s="65" t="b">
        <f>COUNTIF('Delivered Rentals'!A:A, B925) &gt; 0</f>
        <v>0</v>
      </c>
      <c r="P925" s="104"/>
    </row>
    <row r="926">
      <c r="A926" s="61"/>
      <c r="B926" s="61"/>
      <c r="C926" s="61"/>
      <c r="D926" s="61"/>
      <c r="E926" s="61"/>
      <c r="F926" s="61"/>
      <c r="G926" s="61"/>
      <c r="H926" s="61"/>
      <c r="I926" s="61"/>
      <c r="J926" s="61"/>
      <c r="K926" s="100"/>
      <c r="L926" s="61"/>
      <c r="M926" s="64"/>
      <c r="N926" s="61"/>
      <c r="O926" s="61" t="b">
        <f>COUNTIF('Delivered Rentals'!A:A, B926) &gt; 0</f>
        <v>0</v>
      </c>
      <c r="P926" s="101"/>
    </row>
    <row r="927">
      <c r="A927" s="65"/>
      <c r="B927" s="65"/>
      <c r="C927" s="65"/>
      <c r="D927" s="65"/>
      <c r="E927" s="65"/>
      <c r="F927" s="65"/>
      <c r="G927" s="65"/>
      <c r="H927" s="65"/>
      <c r="I927" s="65"/>
      <c r="J927" s="65"/>
      <c r="K927" s="103"/>
      <c r="L927" s="65"/>
      <c r="M927" s="68"/>
      <c r="N927" s="65"/>
      <c r="O927" s="65" t="b">
        <f>COUNTIF('Delivered Rentals'!A:A, B927) &gt; 0</f>
        <v>0</v>
      </c>
      <c r="P927" s="104"/>
    </row>
    <row r="928">
      <c r="A928" s="61"/>
      <c r="B928" s="61"/>
      <c r="C928" s="61"/>
      <c r="D928" s="61"/>
      <c r="E928" s="61"/>
      <c r="F928" s="61"/>
      <c r="G928" s="61"/>
      <c r="H928" s="61"/>
      <c r="I928" s="61"/>
      <c r="J928" s="61"/>
      <c r="K928" s="100"/>
      <c r="L928" s="61"/>
      <c r="M928" s="64"/>
      <c r="N928" s="61"/>
      <c r="O928" s="61" t="b">
        <f>COUNTIF('Delivered Rentals'!A:A, B928) &gt; 0</f>
        <v>0</v>
      </c>
      <c r="P928" s="101"/>
    </row>
    <row r="929">
      <c r="A929" s="65"/>
      <c r="B929" s="65"/>
      <c r="C929" s="65"/>
      <c r="D929" s="65"/>
      <c r="E929" s="65"/>
      <c r="F929" s="65"/>
      <c r="G929" s="65"/>
      <c r="H929" s="65"/>
      <c r="I929" s="65"/>
      <c r="J929" s="65"/>
      <c r="K929" s="103"/>
      <c r="L929" s="65"/>
      <c r="M929" s="68"/>
      <c r="N929" s="65"/>
      <c r="O929" s="65" t="b">
        <f>COUNTIF('Delivered Rentals'!A:A, B929) &gt; 0</f>
        <v>0</v>
      </c>
      <c r="P929" s="104"/>
    </row>
    <row r="930">
      <c r="A930" s="61"/>
      <c r="B930" s="61"/>
      <c r="C930" s="61"/>
      <c r="D930" s="61"/>
      <c r="E930" s="61"/>
      <c r="F930" s="61"/>
      <c r="G930" s="61"/>
      <c r="H930" s="61"/>
      <c r="I930" s="61"/>
      <c r="J930" s="61"/>
      <c r="K930" s="100"/>
      <c r="L930" s="61"/>
      <c r="M930" s="64"/>
      <c r="N930" s="61"/>
      <c r="O930" s="61" t="b">
        <f>COUNTIF('Delivered Rentals'!A:A, B930) &gt; 0</f>
        <v>0</v>
      </c>
      <c r="P930" s="101"/>
    </row>
    <row r="931">
      <c r="A931" s="65"/>
      <c r="B931" s="65"/>
      <c r="C931" s="65"/>
      <c r="D931" s="65"/>
      <c r="E931" s="65"/>
      <c r="F931" s="65"/>
      <c r="G931" s="65"/>
      <c r="H931" s="65"/>
      <c r="I931" s="65"/>
      <c r="J931" s="65"/>
      <c r="K931" s="103"/>
      <c r="L931" s="65"/>
      <c r="M931" s="68"/>
      <c r="N931" s="65"/>
      <c r="O931" s="65" t="b">
        <f>COUNTIF('Delivered Rentals'!A:A, B931) &gt; 0</f>
        <v>0</v>
      </c>
      <c r="P931" s="104"/>
    </row>
    <row r="932">
      <c r="A932" s="61"/>
      <c r="B932" s="61"/>
      <c r="C932" s="61"/>
      <c r="D932" s="61"/>
      <c r="E932" s="61"/>
      <c r="F932" s="61"/>
      <c r="G932" s="61"/>
      <c r="H932" s="61"/>
      <c r="I932" s="61"/>
      <c r="J932" s="61"/>
      <c r="K932" s="100"/>
      <c r="L932" s="61"/>
      <c r="M932" s="64"/>
      <c r="N932" s="61"/>
      <c r="O932" s="61" t="b">
        <f>COUNTIF('Delivered Rentals'!A:A, B932) &gt; 0</f>
        <v>0</v>
      </c>
      <c r="P932" s="101"/>
    </row>
    <row r="933">
      <c r="A933" s="65"/>
      <c r="B933" s="65"/>
      <c r="C933" s="65"/>
      <c r="D933" s="65"/>
      <c r="E933" s="65"/>
      <c r="F933" s="65"/>
      <c r="G933" s="65"/>
      <c r="H933" s="65"/>
      <c r="I933" s="65"/>
      <c r="J933" s="65"/>
      <c r="K933" s="103"/>
      <c r="L933" s="65"/>
      <c r="M933" s="68"/>
      <c r="N933" s="65"/>
      <c r="O933" s="65" t="b">
        <f>COUNTIF('Delivered Rentals'!A:A, B933) &gt; 0</f>
        <v>0</v>
      </c>
      <c r="P933" s="104"/>
    </row>
    <row r="934">
      <c r="A934" s="61"/>
      <c r="B934" s="61"/>
      <c r="C934" s="61"/>
      <c r="D934" s="61"/>
      <c r="E934" s="61"/>
      <c r="F934" s="61"/>
      <c r="G934" s="61"/>
      <c r="H934" s="61"/>
      <c r="I934" s="61"/>
      <c r="J934" s="61"/>
      <c r="K934" s="100"/>
      <c r="L934" s="61"/>
      <c r="M934" s="64"/>
      <c r="N934" s="61"/>
      <c r="O934" s="61" t="b">
        <f>COUNTIF('Delivered Rentals'!A:A, B934) &gt; 0</f>
        <v>0</v>
      </c>
      <c r="P934" s="101"/>
    </row>
    <row r="935">
      <c r="A935" s="65"/>
      <c r="B935" s="65"/>
      <c r="C935" s="65"/>
      <c r="D935" s="65"/>
      <c r="E935" s="65"/>
      <c r="F935" s="65"/>
      <c r="G935" s="65"/>
      <c r="H935" s="65"/>
      <c r="I935" s="65"/>
      <c r="J935" s="65"/>
      <c r="K935" s="103"/>
      <c r="L935" s="65"/>
      <c r="M935" s="68"/>
      <c r="N935" s="65"/>
      <c r="O935" s="65" t="b">
        <f>COUNTIF('Delivered Rentals'!A:A, B935) &gt; 0</f>
        <v>0</v>
      </c>
      <c r="P935" s="104"/>
    </row>
    <row r="936">
      <c r="A936" s="61"/>
      <c r="B936" s="61"/>
      <c r="C936" s="61"/>
      <c r="D936" s="61"/>
      <c r="E936" s="61"/>
      <c r="F936" s="61"/>
      <c r="G936" s="61"/>
      <c r="H936" s="61"/>
      <c r="I936" s="61"/>
      <c r="J936" s="61"/>
      <c r="K936" s="100"/>
      <c r="L936" s="61"/>
      <c r="M936" s="64"/>
      <c r="N936" s="61"/>
      <c r="O936" s="61" t="b">
        <f>COUNTIF('Delivered Rentals'!A:A, B936) &gt; 0</f>
        <v>0</v>
      </c>
      <c r="P936" s="101"/>
    </row>
    <row r="937">
      <c r="A937" s="65"/>
      <c r="B937" s="65"/>
      <c r="C937" s="65"/>
      <c r="D937" s="65"/>
      <c r="E937" s="65"/>
      <c r="F937" s="65"/>
      <c r="G937" s="65"/>
      <c r="H937" s="65"/>
      <c r="I937" s="65"/>
      <c r="J937" s="65"/>
      <c r="K937" s="103"/>
      <c r="L937" s="65"/>
      <c r="M937" s="68"/>
      <c r="N937" s="65"/>
      <c r="O937" s="65" t="b">
        <f>COUNTIF('Delivered Rentals'!A:A, B937) &gt; 0</f>
        <v>0</v>
      </c>
      <c r="P937" s="104"/>
    </row>
    <row r="938">
      <c r="A938" s="61"/>
      <c r="B938" s="61"/>
      <c r="C938" s="61"/>
      <c r="D938" s="61"/>
      <c r="E938" s="61"/>
      <c r="F938" s="61"/>
      <c r="G938" s="61"/>
      <c r="H938" s="61"/>
      <c r="I938" s="61"/>
      <c r="J938" s="61"/>
      <c r="K938" s="100"/>
      <c r="L938" s="61"/>
      <c r="M938" s="64"/>
      <c r="N938" s="61"/>
      <c r="O938" s="61" t="b">
        <f>COUNTIF('Delivered Rentals'!A:A, B938) &gt; 0</f>
        <v>0</v>
      </c>
      <c r="P938" s="101"/>
    </row>
    <row r="939">
      <c r="A939" s="65"/>
      <c r="B939" s="65"/>
      <c r="C939" s="65"/>
      <c r="D939" s="65"/>
      <c r="E939" s="65"/>
      <c r="F939" s="65"/>
      <c r="G939" s="65"/>
      <c r="H939" s="65"/>
      <c r="I939" s="65"/>
      <c r="J939" s="65"/>
      <c r="K939" s="103"/>
      <c r="L939" s="65"/>
      <c r="M939" s="68"/>
      <c r="N939" s="65"/>
      <c r="O939" s="65" t="b">
        <f>COUNTIF('Delivered Rentals'!A:A, B939) &gt; 0</f>
        <v>0</v>
      </c>
      <c r="P939" s="104"/>
    </row>
    <row r="940">
      <c r="A940" s="61"/>
      <c r="B940" s="61"/>
      <c r="C940" s="61"/>
      <c r="D940" s="61"/>
      <c r="E940" s="61"/>
      <c r="F940" s="61"/>
      <c r="G940" s="61"/>
      <c r="H940" s="61"/>
      <c r="I940" s="61"/>
      <c r="J940" s="61"/>
      <c r="K940" s="100"/>
      <c r="L940" s="61"/>
      <c r="M940" s="64"/>
      <c r="N940" s="61"/>
      <c r="O940" s="61" t="b">
        <f>COUNTIF('Delivered Rentals'!A:A, B940) &gt; 0</f>
        <v>0</v>
      </c>
      <c r="P940" s="101"/>
    </row>
    <row r="941">
      <c r="A941" s="65"/>
      <c r="B941" s="65"/>
      <c r="C941" s="65"/>
      <c r="D941" s="65"/>
      <c r="E941" s="65"/>
      <c r="F941" s="65"/>
      <c r="G941" s="65"/>
      <c r="H941" s="65"/>
      <c r="I941" s="65"/>
      <c r="J941" s="65"/>
      <c r="K941" s="103"/>
      <c r="L941" s="65"/>
      <c r="M941" s="68"/>
      <c r="N941" s="65"/>
      <c r="O941" s="65" t="b">
        <f>COUNTIF('Delivered Rentals'!A:A, B941) &gt; 0</f>
        <v>0</v>
      </c>
      <c r="P941" s="104"/>
    </row>
    <row r="942">
      <c r="A942" s="61"/>
      <c r="B942" s="61"/>
      <c r="C942" s="61"/>
      <c r="D942" s="61"/>
      <c r="E942" s="61"/>
      <c r="F942" s="61"/>
      <c r="G942" s="61"/>
      <c r="H942" s="61"/>
      <c r="I942" s="61"/>
      <c r="J942" s="61"/>
      <c r="K942" s="100"/>
      <c r="L942" s="61"/>
      <c r="M942" s="64"/>
      <c r="N942" s="61"/>
      <c r="O942" s="61" t="b">
        <f>COUNTIF('Delivered Rentals'!A:A, B942) &gt; 0</f>
        <v>0</v>
      </c>
      <c r="P942" s="101"/>
    </row>
    <row r="943">
      <c r="A943" s="65"/>
      <c r="B943" s="65"/>
      <c r="C943" s="65"/>
      <c r="D943" s="65"/>
      <c r="E943" s="65"/>
      <c r="F943" s="65"/>
      <c r="G943" s="65"/>
      <c r="H943" s="65"/>
      <c r="I943" s="65"/>
      <c r="J943" s="65"/>
      <c r="K943" s="103"/>
      <c r="L943" s="65"/>
      <c r="M943" s="68"/>
      <c r="N943" s="65"/>
      <c r="O943" s="65" t="b">
        <f>COUNTIF('Delivered Rentals'!A:A, B943) &gt; 0</f>
        <v>0</v>
      </c>
      <c r="P943" s="104"/>
    </row>
    <row r="944">
      <c r="A944" s="61"/>
      <c r="B944" s="61"/>
      <c r="C944" s="61"/>
      <c r="D944" s="61"/>
      <c r="E944" s="61"/>
      <c r="F944" s="61"/>
      <c r="G944" s="61"/>
      <c r="H944" s="61"/>
      <c r="I944" s="61"/>
      <c r="J944" s="61"/>
      <c r="K944" s="100"/>
      <c r="L944" s="61"/>
      <c r="M944" s="64"/>
      <c r="N944" s="61"/>
      <c r="O944" s="61" t="b">
        <f>COUNTIF('Delivered Rentals'!A:A, B944) &gt; 0</f>
        <v>0</v>
      </c>
      <c r="P944" s="101"/>
    </row>
    <row r="945">
      <c r="A945" s="65"/>
      <c r="B945" s="65"/>
      <c r="C945" s="65"/>
      <c r="D945" s="65"/>
      <c r="E945" s="65"/>
      <c r="F945" s="65"/>
      <c r="G945" s="65"/>
      <c r="H945" s="65"/>
      <c r="I945" s="65"/>
      <c r="J945" s="65"/>
      <c r="K945" s="103"/>
      <c r="L945" s="65"/>
      <c r="M945" s="68"/>
      <c r="N945" s="65"/>
      <c r="O945" s="65" t="b">
        <f>COUNTIF('Delivered Rentals'!A:A, B945) &gt; 0</f>
        <v>0</v>
      </c>
      <c r="P945" s="104"/>
    </row>
    <row r="946">
      <c r="A946" s="61"/>
      <c r="B946" s="61"/>
      <c r="C946" s="61"/>
      <c r="D946" s="61"/>
      <c r="E946" s="61"/>
      <c r="F946" s="61"/>
      <c r="G946" s="61"/>
      <c r="H946" s="61"/>
      <c r="I946" s="61"/>
      <c r="J946" s="61"/>
      <c r="K946" s="100"/>
      <c r="L946" s="61"/>
      <c r="M946" s="64"/>
      <c r="N946" s="61"/>
      <c r="O946" s="61" t="b">
        <f>COUNTIF('Delivered Rentals'!A:A, B946) &gt; 0</f>
        <v>0</v>
      </c>
      <c r="P946" s="101"/>
    </row>
    <row r="947">
      <c r="A947" s="65"/>
      <c r="B947" s="65"/>
      <c r="C947" s="65"/>
      <c r="D947" s="65"/>
      <c r="E947" s="65"/>
      <c r="F947" s="65"/>
      <c r="G947" s="65"/>
      <c r="H947" s="65"/>
      <c r="I947" s="65"/>
      <c r="J947" s="65"/>
      <c r="K947" s="103"/>
      <c r="L947" s="65"/>
      <c r="M947" s="68"/>
      <c r="N947" s="65"/>
      <c r="O947" s="65" t="b">
        <f>COUNTIF('Delivered Rentals'!A:A, B947) &gt; 0</f>
        <v>0</v>
      </c>
      <c r="P947" s="104"/>
    </row>
    <row r="948">
      <c r="A948" s="61"/>
      <c r="B948" s="61"/>
      <c r="C948" s="61"/>
      <c r="D948" s="61"/>
      <c r="E948" s="61"/>
      <c r="F948" s="61"/>
      <c r="G948" s="61"/>
      <c r="H948" s="61"/>
      <c r="I948" s="61"/>
      <c r="J948" s="61"/>
      <c r="K948" s="100"/>
      <c r="L948" s="61"/>
      <c r="M948" s="64"/>
      <c r="N948" s="61"/>
      <c r="O948" s="61" t="b">
        <f>COUNTIF('Delivered Rentals'!A:A, B948) &gt; 0</f>
        <v>0</v>
      </c>
      <c r="P948" s="101"/>
    </row>
    <row r="949">
      <c r="A949" s="65"/>
      <c r="B949" s="65"/>
      <c r="C949" s="65"/>
      <c r="D949" s="65"/>
      <c r="E949" s="65"/>
      <c r="F949" s="65"/>
      <c r="G949" s="65"/>
      <c r="H949" s="65"/>
      <c r="I949" s="65"/>
      <c r="J949" s="65"/>
      <c r="K949" s="103"/>
      <c r="L949" s="65"/>
      <c r="M949" s="68"/>
      <c r="N949" s="65"/>
      <c r="O949" s="65" t="b">
        <f>COUNTIF('Delivered Rentals'!A:A, B949) &gt; 0</f>
        <v>0</v>
      </c>
      <c r="P949" s="104"/>
    </row>
    <row r="950">
      <c r="A950" s="61"/>
      <c r="B950" s="61"/>
      <c r="C950" s="61"/>
      <c r="D950" s="61"/>
      <c r="E950" s="61"/>
      <c r="F950" s="61"/>
      <c r="G950" s="61"/>
      <c r="H950" s="61"/>
      <c r="I950" s="61"/>
      <c r="J950" s="61"/>
      <c r="K950" s="100"/>
      <c r="L950" s="61"/>
      <c r="M950" s="64"/>
      <c r="N950" s="61"/>
      <c r="O950" s="61" t="b">
        <f>COUNTIF('Delivered Rentals'!A:A, B950) &gt; 0</f>
        <v>0</v>
      </c>
      <c r="P950" s="101"/>
    </row>
    <row r="951">
      <c r="A951" s="65"/>
      <c r="B951" s="65"/>
      <c r="C951" s="65"/>
      <c r="D951" s="65"/>
      <c r="E951" s="65"/>
      <c r="F951" s="65"/>
      <c r="G951" s="65"/>
      <c r="H951" s="65"/>
      <c r="I951" s="65"/>
      <c r="J951" s="65"/>
      <c r="K951" s="103"/>
      <c r="L951" s="65"/>
      <c r="M951" s="68"/>
      <c r="N951" s="65"/>
      <c r="O951" s="65" t="b">
        <f>COUNTIF('Delivered Rentals'!A:A, B951) &gt; 0</f>
        <v>0</v>
      </c>
      <c r="P951" s="104"/>
    </row>
    <row r="952">
      <c r="A952" s="61"/>
      <c r="B952" s="61"/>
      <c r="C952" s="61"/>
      <c r="D952" s="61"/>
      <c r="E952" s="61"/>
      <c r="F952" s="61"/>
      <c r="G952" s="61"/>
      <c r="H952" s="61"/>
      <c r="I952" s="61"/>
      <c r="J952" s="61"/>
      <c r="K952" s="100"/>
      <c r="L952" s="61"/>
      <c r="M952" s="64"/>
      <c r="N952" s="61"/>
      <c r="O952" s="61" t="b">
        <f>COUNTIF('Delivered Rentals'!A:A, B952) &gt; 0</f>
        <v>0</v>
      </c>
      <c r="P952" s="101"/>
    </row>
    <row r="953">
      <c r="A953" s="65"/>
      <c r="B953" s="65"/>
      <c r="C953" s="65"/>
      <c r="D953" s="65"/>
      <c r="E953" s="65"/>
      <c r="F953" s="65"/>
      <c r="G953" s="65"/>
      <c r="H953" s="65"/>
      <c r="I953" s="65"/>
      <c r="J953" s="65"/>
      <c r="K953" s="103"/>
      <c r="L953" s="65"/>
      <c r="M953" s="68"/>
      <c r="N953" s="65"/>
      <c r="O953" s="65" t="b">
        <f>COUNTIF('Delivered Rentals'!A:A, B953) &gt; 0</f>
        <v>0</v>
      </c>
      <c r="P953" s="104"/>
    </row>
    <row r="954">
      <c r="A954" s="61"/>
      <c r="B954" s="61"/>
      <c r="C954" s="61"/>
      <c r="D954" s="61"/>
      <c r="E954" s="61"/>
      <c r="F954" s="61"/>
      <c r="G954" s="61"/>
      <c r="H954" s="61"/>
      <c r="I954" s="61"/>
      <c r="J954" s="61"/>
      <c r="K954" s="100"/>
      <c r="L954" s="61"/>
      <c r="M954" s="64"/>
      <c r="N954" s="61"/>
      <c r="O954" s="61" t="b">
        <f>COUNTIF('Delivered Rentals'!A:A, B954) &gt; 0</f>
        <v>0</v>
      </c>
      <c r="P954" s="101"/>
    </row>
    <row r="955">
      <c r="A955" s="65"/>
      <c r="B955" s="65"/>
      <c r="C955" s="65"/>
      <c r="D955" s="65"/>
      <c r="E955" s="65"/>
      <c r="F955" s="65"/>
      <c r="G955" s="65"/>
      <c r="H955" s="65"/>
      <c r="I955" s="65"/>
      <c r="J955" s="65"/>
      <c r="K955" s="103"/>
      <c r="L955" s="65"/>
      <c r="M955" s="68"/>
      <c r="N955" s="65"/>
      <c r="O955" s="65" t="b">
        <f>COUNTIF('Delivered Rentals'!A:A, B955) &gt; 0</f>
        <v>0</v>
      </c>
      <c r="P955" s="104"/>
    </row>
    <row r="956">
      <c r="A956" s="61"/>
      <c r="B956" s="61"/>
      <c r="C956" s="61"/>
      <c r="D956" s="61"/>
      <c r="E956" s="61"/>
      <c r="F956" s="61"/>
      <c r="G956" s="61"/>
      <c r="H956" s="61"/>
      <c r="I956" s="61"/>
      <c r="J956" s="61"/>
      <c r="K956" s="100"/>
      <c r="L956" s="61"/>
      <c r="M956" s="64"/>
      <c r="N956" s="61"/>
      <c r="O956" s="61" t="b">
        <f>COUNTIF('Delivered Rentals'!A:A, B956) &gt; 0</f>
        <v>0</v>
      </c>
      <c r="P956" s="101"/>
    </row>
    <row r="957">
      <c r="A957" s="65"/>
      <c r="B957" s="65"/>
      <c r="C957" s="65"/>
      <c r="D957" s="65"/>
      <c r="E957" s="65"/>
      <c r="F957" s="65"/>
      <c r="G957" s="65"/>
      <c r="H957" s="65"/>
      <c r="I957" s="65"/>
      <c r="J957" s="65"/>
      <c r="K957" s="103"/>
      <c r="L957" s="65"/>
      <c r="M957" s="68"/>
      <c r="N957" s="65"/>
      <c r="O957" s="65" t="b">
        <f>COUNTIF('Delivered Rentals'!A:A, B957) &gt; 0</f>
        <v>0</v>
      </c>
      <c r="P957" s="104"/>
    </row>
    <row r="958">
      <c r="A958" s="61"/>
      <c r="B958" s="61"/>
      <c r="C958" s="61"/>
      <c r="D958" s="61"/>
      <c r="E958" s="61"/>
      <c r="F958" s="61"/>
      <c r="G958" s="61"/>
      <c r="H958" s="61"/>
      <c r="I958" s="61"/>
      <c r="J958" s="61"/>
      <c r="K958" s="100"/>
      <c r="L958" s="61"/>
      <c r="M958" s="64"/>
      <c r="N958" s="61"/>
      <c r="O958" s="61" t="b">
        <f>COUNTIF('Delivered Rentals'!A:A, B958) &gt; 0</f>
        <v>0</v>
      </c>
      <c r="P958" s="101"/>
    </row>
    <row r="959">
      <c r="A959" s="65"/>
      <c r="B959" s="65"/>
      <c r="C959" s="65"/>
      <c r="D959" s="65"/>
      <c r="E959" s="65"/>
      <c r="F959" s="65"/>
      <c r="G959" s="65"/>
      <c r="H959" s="65"/>
      <c r="I959" s="65"/>
      <c r="J959" s="65"/>
      <c r="K959" s="103"/>
      <c r="L959" s="65"/>
      <c r="M959" s="68"/>
      <c r="N959" s="65"/>
      <c r="O959" s="65" t="b">
        <f>COUNTIF('Delivered Rentals'!A:A, B959) &gt; 0</f>
        <v>0</v>
      </c>
      <c r="P959" s="104"/>
    </row>
    <row r="960">
      <c r="A960" s="61"/>
      <c r="B960" s="61"/>
      <c r="C960" s="61"/>
      <c r="D960" s="61"/>
      <c r="E960" s="61"/>
      <c r="F960" s="61"/>
      <c r="G960" s="61"/>
      <c r="H960" s="61"/>
      <c r="I960" s="61"/>
      <c r="J960" s="61"/>
      <c r="K960" s="100"/>
      <c r="L960" s="61"/>
      <c r="M960" s="64"/>
      <c r="N960" s="61"/>
      <c r="O960" s="61" t="b">
        <f>COUNTIF('Delivered Rentals'!A:A, B960) &gt; 0</f>
        <v>0</v>
      </c>
      <c r="P960" s="101"/>
    </row>
    <row r="961">
      <c r="A961" s="65"/>
      <c r="B961" s="65"/>
      <c r="C961" s="65"/>
      <c r="D961" s="65"/>
      <c r="E961" s="65"/>
      <c r="F961" s="65"/>
      <c r="G961" s="65"/>
      <c r="H961" s="65"/>
      <c r="I961" s="65"/>
      <c r="J961" s="65"/>
      <c r="K961" s="103"/>
      <c r="L961" s="65"/>
      <c r="M961" s="68"/>
      <c r="N961" s="65"/>
      <c r="O961" s="65" t="b">
        <f>COUNTIF('Delivered Rentals'!A:A, B961) &gt; 0</f>
        <v>0</v>
      </c>
      <c r="P961" s="104"/>
    </row>
    <row r="962">
      <c r="A962" s="61"/>
      <c r="B962" s="61"/>
      <c r="C962" s="61"/>
      <c r="D962" s="61"/>
      <c r="E962" s="61"/>
      <c r="F962" s="61"/>
      <c r="G962" s="61"/>
      <c r="H962" s="61"/>
      <c r="I962" s="61"/>
      <c r="J962" s="61"/>
      <c r="K962" s="100"/>
      <c r="L962" s="61"/>
      <c r="M962" s="64"/>
      <c r="N962" s="61"/>
      <c r="O962" s="61" t="b">
        <f>COUNTIF('Delivered Rentals'!A:A, B962) &gt; 0</f>
        <v>0</v>
      </c>
      <c r="P962" s="101"/>
    </row>
    <row r="963">
      <c r="A963" s="65"/>
      <c r="B963" s="65"/>
      <c r="C963" s="65"/>
      <c r="D963" s="65"/>
      <c r="E963" s="65"/>
      <c r="F963" s="65"/>
      <c r="G963" s="65"/>
      <c r="H963" s="65"/>
      <c r="I963" s="65"/>
      <c r="J963" s="65"/>
      <c r="K963" s="103"/>
      <c r="L963" s="65"/>
      <c r="M963" s="68"/>
      <c r="N963" s="65"/>
      <c r="O963" s="65" t="b">
        <f>COUNTIF('Delivered Rentals'!A:A, B963) &gt; 0</f>
        <v>0</v>
      </c>
      <c r="P963" s="104"/>
    </row>
    <row r="964">
      <c r="A964" s="61"/>
      <c r="B964" s="61"/>
      <c r="C964" s="61"/>
      <c r="D964" s="61"/>
      <c r="E964" s="61"/>
      <c r="F964" s="61"/>
      <c r="G964" s="61"/>
      <c r="H964" s="61"/>
      <c r="I964" s="61"/>
      <c r="J964" s="61"/>
      <c r="K964" s="100"/>
      <c r="L964" s="61"/>
      <c r="M964" s="64"/>
      <c r="N964" s="61"/>
      <c r="O964" s="61" t="b">
        <f>COUNTIF('Delivered Rentals'!A:A, B964) &gt; 0</f>
        <v>0</v>
      </c>
      <c r="P964" s="101"/>
    </row>
    <row r="965">
      <c r="A965" s="65"/>
      <c r="B965" s="65"/>
      <c r="C965" s="65"/>
      <c r="D965" s="65"/>
      <c r="E965" s="65"/>
      <c r="F965" s="65"/>
      <c r="G965" s="65"/>
      <c r="H965" s="65"/>
      <c r="I965" s="65"/>
      <c r="J965" s="65"/>
      <c r="K965" s="103"/>
      <c r="L965" s="65"/>
      <c r="M965" s="68"/>
      <c r="N965" s="65"/>
      <c r="O965" s="65" t="b">
        <f>COUNTIF('Delivered Rentals'!A:A, B965) &gt; 0</f>
        <v>0</v>
      </c>
      <c r="P965" s="104"/>
    </row>
    <row r="966">
      <c r="A966" s="61"/>
      <c r="B966" s="61"/>
      <c r="C966" s="61"/>
      <c r="D966" s="61"/>
      <c r="E966" s="61"/>
      <c r="F966" s="61"/>
      <c r="G966" s="61"/>
      <c r="H966" s="61"/>
      <c r="I966" s="61"/>
      <c r="J966" s="61"/>
      <c r="K966" s="100"/>
      <c r="L966" s="61"/>
      <c r="M966" s="64"/>
      <c r="N966" s="61"/>
      <c r="O966" s="61" t="b">
        <f>COUNTIF('Delivered Rentals'!A:A, B966) &gt; 0</f>
        <v>0</v>
      </c>
      <c r="P966" s="101"/>
    </row>
    <row r="967">
      <c r="A967" s="65"/>
      <c r="B967" s="65"/>
      <c r="C967" s="65"/>
      <c r="D967" s="65"/>
      <c r="E967" s="65"/>
      <c r="F967" s="65"/>
      <c r="G967" s="65"/>
      <c r="H967" s="65"/>
      <c r="I967" s="65"/>
      <c r="J967" s="65"/>
      <c r="K967" s="103"/>
      <c r="L967" s="65"/>
      <c r="M967" s="68"/>
      <c r="N967" s="65"/>
      <c r="O967" s="65" t="b">
        <f>COUNTIF('Delivered Rentals'!A:A, B967) &gt; 0</f>
        <v>0</v>
      </c>
      <c r="P967" s="104"/>
    </row>
    <row r="968">
      <c r="A968" s="61"/>
      <c r="B968" s="61"/>
      <c r="C968" s="61"/>
      <c r="D968" s="61"/>
      <c r="E968" s="61"/>
      <c r="F968" s="61"/>
      <c r="G968" s="61"/>
      <c r="H968" s="61"/>
      <c r="I968" s="61"/>
      <c r="J968" s="61"/>
      <c r="K968" s="100"/>
      <c r="L968" s="61"/>
      <c r="M968" s="64"/>
      <c r="N968" s="61"/>
      <c r="O968" s="61" t="b">
        <f>COUNTIF('Delivered Rentals'!A:A, B968) &gt; 0</f>
        <v>0</v>
      </c>
      <c r="P968" s="101"/>
    </row>
    <row r="969">
      <c r="A969" s="65"/>
      <c r="B969" s="65"/>
      <c r="C969" s="65"/>
      <c r="D969" s="65"/>
      <c r="E969" s="65"/>
      <c r="F969" s="65"/>
      <c r="G969" s="65"/>
      <c r="H969" s="65"/>
      <c r="I969" s="65"/>
      <c r="J969" s="65"/>
      <c r="K969" s="103"/>
      <c r="L969" s="65"/>
      <c r="M969" s="68"/>
      <c r="N969" s="65"/>
      <c r="O969" s="65" t="b">
        <f>COUNTIF('Delivered Rentals'!A:A, B969) &gt; 0</f>
        <v>0</v>
      </c>
      <c r="P969" s="104"/>
    </row>
    <row r="970">
      <c r="A970" s="61"/>
      <c r="B970" s="61"/>
      <c r="C970" s="61"/>
      <c r="D970" s="61"/>
      <c r="E970" s="61"/>
      <c r="F970" s="61"/>
      <c r="G970" s="61"/>
      <c r="H970" s="61"/>
      <c r="I970" s="61"/>
      <c r="J970" s="61"/>
      <c r="K970" s="100"/>
      <c r="L970" s="61"/>
      <c r="M970" s="64"/>
      <c r="N970" s="61"/>
      <c r="O970" s="61" t="b">
        <f>COUNTIF('Delivered Rentals'!A:A, B970) &gt; 0</f>
        <v>0</v>
      </c>
      <c r="P970" s="101"/>
    </row>
    <row r="971">
      <c r="A971" s="65"/>
      <c r="B971" s="65"/>
      <c r="C971" s="65"/>
      <c r="D971" s="65"/>
      <c r="E971" s="65"/>
      <c r="F971" s="65"/>
      <c r="G971" s="65"/>
      <c r="H971" s="65"/>
      <c r="I971" s="65"/>
      <c r="J971" s="65"/>
      <c r="K971" s="103"/>
      <c r="L971" s="65"/>
      <c r="M971" s="68"/>
      <c r="N971" s="65"/>
      <c r="O971" s="65" t="b">
        <f>COUNTIF('Delivered Rentals'!A:A, B971) &gt; 0</f>
        <v>0</v>
      </c>
      <c r="P971" s="104"/>
    </row>
    <row r="972">
      <c r="A972" s="61"/>
      <c r="B972" s="61"/>
      <c r="C972" s="61"/>
      <c r="D972" s="61"/>
      <c r="E972" s="61"/>
      <c r="F972" s="61"/>
      <c r="G972" s="61"/>
      <c r="H972" s="61"/>
      <c r="I972" s="61"/>
      <c r="J972" s="61"/>
      <c r="K972" s="100"/>
      <c r="L972" s="61"/>
      <c r="M972" s="64"/>
      <c r="N972" s="61"/>
      <c r="O972" s="61" t="b">
        <f>COUNTIF('Delivered Rentals'!A:A, B972) &gt; 0</f>
        <v>0</v>
      </c>
      <c r="P972" s="101"/>
    </row>
    <row r="973">
      <c r="A973" s="65"/>
      <c r="B973" s="65"/>
      <c r="C973" s="65"/>
      <c r="D973" s="65"/>
      <c r="E973" s="65"/>
      <c r="F973" s="65"/>
      <c r="G973" s="65"/>
      <c r="H973" s="65"/>
      <c r="I973" s="65"/>
      <c r="J973" s="65"/>
      <c r="K973" s="103"/>
      <c r="L973" s="65"/>
      <c r="M973" s="68"/>
      <c r="N973" s="65"/>
      <c r="O973" s="65" t="b">
        <f>COUNTIF('Delivered Rentals'!A:A, B973) &gt; 0</f>
        <v>0</v>
      </c>
      <c r="P973" s="104"/>
    </row>
    <row r="974">
      <c r="A974" s="61"/>
      <c r="B974" s="61"/>
      <c r="C974" s="61"/>
      <c r="D974" s="61"/>
      <c r="E974" s="61"/>
      <c r="F974" s="61"/>
      <c r="G974" s="61"/>
      <c r="H974" s="61"/>
      <c r="I974" s="61"/>
      <c r="J974" s="61"/>
      <c r="K974" s="100"/>
      <c r="L974" s="61"/>
      <c r="M974" s="64"/>
      <c r="N974" s="61"/>
      <c r="O974" s="61" t="b">
        <f>COUNTIF('Delivered Rentals'!A:A, B974) &gt; 0</f>
        <v>0</v>
      </c>
      <c r="P974" s="101"/>
    </row>
    <row r="975">
      <c r="A975" s="65"/>
      <c r="B975" s="65"/>
      <c r="C975" s="65"/>
      <c r="D975" s="65"/>
      <c r="E975" s="65"/>
      <c r="F975" s="65"/>
      <c r="G975" s="65"/>
      <c r="H975" s="65"/>
      <c r="I975" s="65"/>
      <c r="J975" s="65"/>
      <c r="K975" s="103"/>
      <c r="L975" s="65"/>
      <c r="M975" s="68"/>
      <c r="N975" s="65"/>
      <c r="O975" s="65" t="b">
        <f>COUNTIF('Delivered Rentals'!A:A, B975) &gt; 0</f>
        <v>0</v>
      </c>
      <c r="P975" s="104"/>
    </row>
    <row r="976">
      <c r="A976" s="61"/>
      <c r="B976" s="61"/>
      <c r="C976" s="61"/>
      <c r="D976" s="61"/>
      <c r="E976" s="61"/>
      <c r="F976" s="61"/>
      <c r="G976" s="61"/>
      <c r="H976" s="61"/>
      <c r="I976" s="61"/>
      <c r="J976" s="61"/>
      <c r="K976" s="100"/>
      <c r="L976" s="61"/>
      <c r="M976" s="64"/>
      <c r="N976" s="61"/>
      <c r="O976" s="61" t="b">
        <f>COUNTIF('Delivered Rentals'!A:A, B976) &gt; 0</f>
        <v>0</v>
      </c>
      <c r="P976" s="101"/>
    </row>
    <row r="977">
      <c r="A977" s="65"/>
      <c r="B977" s="65"/>
      <c r="C977" s="65"/>
      <c r="D977" s="65"/>
      <c r="E977" s="65"/>
      <c r="F977" s="65"/>
      <c r="G977" s="65"/>
      <c r="H977" s="65"/>
      <c r="I977" s="65"/>
      <c r="J977" s="65"/>
      <c r="K977" s="103"/>
      <c r="L977" s="65"/>
      <c r="M977" s="68"/>
      <c r="N977" s="65"/>
      <c r="O977" s="65" t="b">
        <f>COUNTIF('Delivered Rentals'!A:A, B977) &gt; 0</f>
        <v>0</v>
      </c>
      <c r="P977" s="104"/>
    </row>
    <row r="978">
      <c r="A978" s="61"/>
      <c r="B978" s="61"/>
      <c r="C978" s="61"/>
      <c r="D978" s="61"/>
      <c r="E978" s="61"/>
      <c r="F978" s="61"/>
      <c r="G978" s="61"/>
      <c r="H978" s="61"/>
      <c r="I978" s="61"/>
      <c r="J978" s="61"/>
      <c r="K978" s="100"/>
      <c r="L978" s="61"/>
      <c r="M978" s="64"/>
      <c r="N978" s="61"/>
      <c r="O978" s="61" t="b">
        <f>COUNTIF('Delivered Rentals'!A:A, B978) &gt; 0</f>
        <v>0</v>
      </c>
      <c r="P978" s="101"/>
    </row>
    <row r="979">
      <c r="A979" s="65"/>
      <c r="B979" s="65"/>
      <c r="C979" s="65"/>
      <c r="D979" s="65"/>
      <c r="E979" s="65"/>
      <c r="F979" s="65"/>
      <c r="G979" s="65"/>
      <c r="H979" s="65"/>
      <c r="I979" s="65"/>
      <c r="J979" s="65"/>
      <c r="K979" s="103"/>
      <c r="L979" s="65"/>
      <c r="M979" s="68"/>
      <c r="N979" s="65"/>
      <c r="O979" s="65" t="b">
        <f>COUNTIF('Delivered Rentals'!A:A, B979) &gt; 0</f>
        <v>0</v>
      </c>
      <c r="P979" s="104"/>
    </row>
    <row r="980">
      <c r="A980" s="61"/>
      <c r="B980" s="61"/>
      <c r="C980" s="61"/>
      <c r="D980" s="61"/>
      <c r="E980" s="61"/>
      <c r="F980" s="61"/>
      <c r="G980" s="61"/>
      <c r="H980" s="61"/>
      <c r="I980" s="61"/>
      <c r="J980" s="61"/>
      <c r="K980" s="100"/>
      <c r="L980" s="61"/>
      <c r="M980" s="64"/>
      <c r="N980" s="61"/>
      <c r="O980" s="61" t="b">
        <f>COUNTIF('Delivered Rentals'!A:A, B980) &gt; 0</f>
        <v>0</v>
      </c>
      <c r="P980" s="101"/>
    </row>
    <row r="981">
      <c r="A981" s="65"/>
      <c r="B981" s="65"/>
      <c r="C981" s="65"/>
      <c r="D981" s="65"/>
      <c r="E981" s="65"/>
      <c r="F981" s="65"/>
      <c r="G981" s="65"/>
      <c r="H981" s="65"/>
      <c r="I981" s="65"/>
      <c r="J981" s="65"/>
      <c r="K981" s="103"/>
      <c r="L981" s="65"/>
      <c r="M981" s="68"/>
      <c r="N981" s="65"/>
      <c r="O981" s="65" t="b">
        <f>COUNTIF('Delivered Rentals'!A:A, B981) &gt; 0</f>
        <v>0</v>
      </c>
      <c r="P981" s="104"/>
    </row>
    <row r="982">
      <c r="A982" s="61"/>
      <c r="B982" s="61"/>
      <c r="C982" s="61"/>
      <c r="D982" s="61"/>
      <c r="E982" s="61"/>
      <c r="F982" s="61"/>
      <c r="G982" s="61"/>
      <c r="H982" s="61"/>
      <c r="I982" s="61"/>
      <c r="J982" s="61"/>
      <c r="K982" s="100"/>
      <c r="L982" s="61"/>
      <c r="M982" s="64"/>
      <c r="N982" s="61"/>
      <c r="O982" s="61" t="b">
        <f>COUNTIF('Delivered Rentals'!A:A, B982) &gt; 0</f>
        <v>0</v>
      </c>
      <c r="P982" s="101"/>
    </row>
    <row r="983">
      <c r="A983" s="65"/>
      <c r="B983" s="65"/>
      <c r="C983" s="65"/>
      <c r="D983" s="65"/>
      <c r="E983" s="65"/>
      <c r="F983" s="65"/>
      <c r="G983" s="65"/>
      <c r="H983" s="65"/>
      <c r="I983" s="65"/>
      <c r="J983" s="65"/>
      <c r="K983" s="103"/>
      <c r="L983" s="65"/>
      <c r="M983" s="68"/>
      <c r="N983" s="65"/>
      <c r="O983" s="65" t="b">
        <f>COUNTIF('Delivered Rentals'!A:A, B983) &gt; 0</f>
        <v>0</v>
      </c>
      <c r="P983" s="104"/>
    </row>
    <row r="984">
      <c r="A984" s="61"/>
      <c r="B984" s="61"/>
      <c r="C984" s="61"/>
      <c r="D984" s="61"/>
      <c r="E984" s="61"/>
      <c r="F984" s="61"/>
      <c r="G984" s="61"/>
      <c r="H984" s="61"/>
      <c r="I984" s="61"/>
      <c r="J984" s="61"/>
      <c r="K984" s="100"/>
      <c r="L984" s="61"/>
      <c r="M984" s="64"/>
      <c r="N984" s="61"/>
      <c r="O984" s="61" t="b">
        <f>COUNTIF('Delivered Rentals'!A:A, B984) &gt; 0</f>
        <v>0</v>
      </c>
      <c r="P984" s="101"/>
    </row>
    <row r="985">
      <c r="A985" s="65"/>
      <c r="B985" s="65"/>
      <c r="C985" s="65"/>
      <c r="D985" s="65"/>
      <c r="E985" s="65"/>
      <c r="F985" s="65"/>
      <c r="G985" s="65"/>
      <c r="H985" s="65"/>
      <c r="I985" s="65"/>
      <c r="J985" s="65"/>
      <c r="K985" s="103"/>
      <c r="L985" s="65"/>
      <c r="M985" s="68"/>
      <c r="N985" s="65"/>
      <c r="O985" s="65" t="b">
        <f>COUNTIF('Delivered Rentals'!A:A, B985) &gt; 0</f>
        <v>0</v>
      </c>
      <c r="P985" s="104"/>
    </row>
    <row r="986">
      <c r="A986" s="61"/>
      <c r="B986" s="61"/>
      <c r="C986" s="61"/>
      <c r="D986" s="61"/>
      <c r="E986" s="61"/>
      <c r="F986" s="61"/>
      <c r="G986" s="61"/>
      <c r="H986" s="61"/>
      <c r="I986" s="61"/>
      <c r="J986" s="61"/>
      <c r="K986" s="100"/>
      <c r="L986" s="61"/>
      <c r="M986" s="64"/>
      <c r="N986" s="61"/>
      <c r="O986" s="61" t="b">
        <f>COUNTIF('Delivered Rentals'!A:A, B986) &gt; 0</f>
        <v>0</v>
      </c>
      <c r="P986" s="101"/>
    </row>
    <row r="987">
      <c r="A987" s="65"/>
      <c r="B987" s="65"/>
      <c r="C987" s="65"/>
      <c r="D987" s="65"/>
      <c r="E987" s="65"/>
      <c r="F987" s="65"/>
      <c r="G987" s="65"/>
      <c r="H987" s="65"/>
      <c r="I987" s="65"/>
      <c r="J987" s="65"/>
      <c r="K987" s="103"/>
      <c r="L987" s="65"/>
      <c r="M987" s="68"/>
      <c r="N987" s="65"/>
      <c r="O987" s="65" t="b">
        <f>COUNTIF('Delivered Rentals'!A:A, B987) &gt; 0</f>
        <v>0</v>
      </c>
      <c r="P987" s="104"/>
    </row>
    <row r="988">
      <c r="A988" s="61"/>
      <c r="B988" s="61"/>
      <c r="C988" s="61"/>
      <c r="D988" s="61"/>
      <c r="E988" s="61"/>
      <c r="F988" s="61"/>
      <c r="G988" s="61"/>
      <c r="H988" s="61"/>
      <c r="I988" s="61"/>
      <c r="J988" s="61"/>
      <c r="K988" s="100"/>
      <c r="L988" s="61"/>
      <c r="M988" s="64"/>
      <c r="N988" s="61"/>
      <c r="O988" s="61" t="b">
        <f>COUNTIF('Delivered Rentals'!A:A, B988) &gt; 0</f>
        <v>0</v>
      </c>
      <c r="P988" s="101"/>
    </row>
    <row r="989">
      <c r="A989" s="65"/>
      <c r="B989" s="65"/>
      <c r="C989" s="65"/>
      <c r="D989" s="65"/>
      <c r="E989" s="65"/>
      <c r="F989" s="65"/>
      <c r="G989" s="65"/>
      <c r="H989" s="65"/>
      <c r="I989" s="65"/>
      <c r="J989" s="65"/>
      <c r="K989" s="103"/>
      <c r="L989" s="65"/>
      <c r="M989" s="68"/>
      <c r="N989" s="65"/>
      <c r="O989" s="65" t="b">
        <f>COUNTIF('Delivered Rentals'!A:A, B989) &gt; 0</f>
        <v>0</v>
      </c>
      <c r="P989" s="104"/>
    </row>
    <row r="990">
      <c r="A990" s="61"/>
      <c r="B990" s="61"/>
      <c r="C990" s="61"/>
      <c r="D990" s="61"/>
      <c r="E990" s="61"/>
      <c r="F990" s="61"/>
      <c r="G990" s="61"/>
      <c r="H990" s="61"/>
      <c r="I990" s="61"/>
      <c r="J990" s="61"/>
      <c r="K990" s="100"/>
      <c r="L990" s="61"/>
      <c r="M990" s="64"/>
      <c r="N990" s="61"/>
      <c r="O990" s="61" t="b">
        <f>COUNTIF('Delivered Rentals'!A:A, B990) &gt; 0</f>
        <v>0</v>
      </c>
      <c r="P990" s="101"/>
    </row>
    <row r="991">
      <c r="A991" s="65"/>
      <c r="B991" s="65"/>
      <c r="C991" s="65"/>
      <c r="D991" s="65"/>
      <c r="E991" s="65"/>
      <c r="F991" s="65"/>
      <c r="G991" s="65"/>
      <c r="H991" s="65"/>
      <c r="I991" s="65"/>
      <c r="J991" s="65"/>
      <c r="K991" s="103"/>
      <c r="L991" s="65"/>
      <c r="M991" s="68"/>
      <c r="N991" s="65"/>
      <c r="O991" s="65" t="b">
        <f>COUNTIF('Delivered Rentals'!A:A, B991) &gt; 0</f>
        <v>0</v>
      </c>
      <c r="P991" s="104"/>
    </row>
    <row r="992">
      <c r="A992" s="61"/>
      <c r="B992" s="61"/>
      <c r="C992" s="61"/>
      <c r="D992" s="61"/>
      <c r="E992" s="61"/>
      <c r="F992" s="61"/>
      <c r="G992" s="61"/>
      <c r="H992" s="61"/>
      <c r="I992" s="61"/>
      <c r="J992" s="61"/>
      <c r="K992" s="100"/>
      <c r="L992" s="61"/>
      <c r="M992" s="64"/>
      <c r="N992" s="61"/>
      <c r="O992" s="61" t="b">
        <f>COUNTIF('Delivered Rentals'!A:A, B992) &gt; 0</f>
        <v>0</v>
      </c>
      <c r="P992" s="101"/>
    </row>
    <row r="993">
      <c r="A993" s="65"/>
      <c r="B993" s="65"/>
      <c r="C993" s="65"/>
      <c r="D993" s="65"/>
      <c r="E993" s="65"/>
      <c r="F993" s="65"/>
      <c r="G993" s="65"/>
      <c r="H993" s="65"/>
      <c r="I993" s="65"/>
      <c r="J993" s="65"/>
      <c r="K993" s="103"/>
      <c r="L993" s="65"/>
      <c r="M993" s="68"/>
      <c r="N993" s="65"/>
      <c r="O993" s="65" t="b">
        <f>COUNTIF('Delivered Rentals'!A:A, B993) &gt; 0</f>
        <v>0</v>
      </c>
      <c r="P993" s="104"/>
    </row>
    <row r="994">
      <c r="A994" s="61"/>
      <c r="B994" s="61"/>
      <c r="C994" s="61"/>
      <c r="D994" s="61"/>
      <c r="E994" s="61"/>
      <c r="F994" s="61"/>
      <c r="G994" s="61"/>
      <c r="H994" s="61"/>
      <c r="I994" s="61"/>
      <c r="J994" s="61"/>
      <c r="K994" s="100"/>
      <c r="L994" s="61"/>
      <c r="M994" s="64"/>
      <c r="N994" s="61"/>
      <c r="O994" s="61" t="b">
        <f>COUNTIF('Delivered Rentals'!A:A, B994) &gt; 0</f>
        <v>0</v>
      </c>
      <c r="P994" s="101"/>
    </row>
    <row r="995">
      <c r="A995" s="65"/>
      <c r="B995" s="65"/>
      <c r="C995" s="65"/>
      <c r="D995" s="65"/>
      <c r="E995" s="65"/>
      <c r="F995" s="65"/>
      <c r="G995" s="65"/>
      <c r="H995" s="65"/>
      <c r="I995" s="65"/>
      <c r="J995" s="65"/>
      <c r="K995" s="103"/>
      <c r="L995" s="65"/>
      <c r="M995" s="68"/>
      <c r="N995" s="65"/>
      <c r="O995" s="65" t="b">
        <f>COUNTIF('Delivered Rentals'!A:A, B995) &gt; 0</f>
        <v>0</v>
      </c>
      <c r="P995" s="104"/>
    </row>
    <row r="996">
      <c r="A996" s="61"/>
      <c r="B996" s="61"/>
      <c r="C996" s="61"/>
      <c r="D996" s="61"/>
      <c r="E996" s="61"/>
      <c r="F996" s="61"/>
      <c r="G996" s="61"/>
      <c r="H996" s="61"/>
      <c r="I996" s="61"/>
      <c r="J996" s="61"/>
      <c r="K996" s="100"/>
      <c r="L996" s="61"/>
      <c r="M996" s="64"/>
      <c r="N996" s="61"/>
      <c r="O996" s="61" t="b">
        <f>COUNTIF('Delivered Rentals'!A:A, B996) &gt; 0</f>
        <v>0</v>
      </c>
      <c r="P996" s="101"/>
    </row>
    <row r="997">
      <c r="A997" s="65"/>
      <c r="B997" s="65"/>
      <c r="C997" s="65"/>
      <c r="D997" s="65"/>
      <c r="E997" s="65"/>
      <c r="F997" s="65"/>
      <c r="G997" s="65"/>
      <c r="H997" s="65"/>
      <c r="I997" s="65"/>
      <c r="J997" s="65"/>
      <c r="K997" s="103"/>
      <c r="L997" s="65"/>
      <c r="M997" s="68"/>
      <c r="N997" s="65"/>
      <c r="O997" s="65" t="b">
        <f>COUNTIF('Delivered Rentals'!A:A, B997) &gt; 0</f>
        <v>0</v>
      </c>
      <c r="P997" s="104"/>
    </row>
    <row r="998">
      <c r="A998" s="61"/>
      <c r="B998" s="61"/>
      <c r="C998" s="61"/>
      <c r="D998" s="61"/>
      <c r="E998" s="61"/>
      <c r="F998" s="61"/>
      <c r="G998" s="61"/>
      <c r="H998" s="61"/>
      <c r="I998" s="61"/>
      <c r="J998" s="61"/>
      <c r="K998" s="100"/>
      <c r="L998" s="61"/>
      <c r="M998" s="64"/>
      <c r="N998" s="61"/>
      <c r="O998" s="61" t="b">
        <f>COUNTIF('Delivered Rentals'!A:A, B998) &gt; 0</f>
        <v>0</v>
      </c>
      <c r="P998" s="101"/>
    </row>
    <row r="999">
      <c r="A999" s="65"/>
      <c r="B999" s="65"/>
      <c r="C999" s="65"/>
      <c r="D999" s="65"/>
      <c r="E999" s="65"/>
      <c r="F999" s="65"/>
      <c r="G999" s="65"/>
      <c r="H999" s="65"/>
      <c r="I999" s="65"/>
      <c r="J999" s="65"/>
      <c r="K999" s="103"/>
      <c r="L999" s="65"/>
      <c r="M999" s="68"/>
      <c r="N999" s="65"/>
      <c r="O999" s="65" t="b">
        <f>COUNTIF('Delivered Rentals'!A:A, B999) &gt; 0</f>
        <v>0</v>
      </c>
      <c r="P999" s="104"/>
    </row>
  </sheetData>
  <autoFilter ref="$A$1:$M$41">
    <sortState ref="A1:M41">
      <sortCondition ref="K1:K41"/>
    </sortState>
  </autoFilter>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s>
  <drawing r:id="rId58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14211</v>
      </c>
    </row>
    <row r="2">
      <c r="A2" s="84" t="s">
        <v>3880</v>
      </c>
    </row>
    <row r="3">
      <c r="A3" s="84" t="s">
        <v>1417</v>
      </c>
    </row>
    <row r="4">
      <c r="A4" s="84" t="s">
        <v>918</v>
      </c>
    </row>
    <row r="5">
      <c r="A5" s="84" t="s">
        <v>1379</v>
      </c>
    </row>
    <row r="6">
      <c r="A6" s="84" t="s">
        <v>1960</v>
      </c>
    </row>
    <row r="7">
      <c r="A7" s="84" t="s">
        <v>1428</v>
      </c>
    </row>
    <row r="8">
      <c r="A8" s="84" t="s">
        <v>1980</v>
      </c>
    </row>
    <row r="9">
      <c r="A9" s="84" t="s">
        <v>671</v>
      </c>
    </row>
    <row r="10">
      <c r="A10" s="84" t="s">
        <v>3374</v>
      </c>
    </row>
    <row r="11">
      <c r="A11" s="84" t="s">
        <v>911</v>
      </c>
    </row>
    <row r="12">
      <c r="A12" s="84" t="s">
        <v>4192</v>
      </c>
    </row>
    <row r="13">
      <c r="A13" s="84" t="s">
        <v>1701</v>
      </c>
    </row>
    <row r="14">
      <c r="A14" s="84" t="s">
        <v>1531</v>
      </c>
    </row>
    <row r="15">
      <c r="A15" s="84" t="s">
        <v>1594</v>
      </c>
    </row>
    <row r="16">
      <c r="A16" s="84" t="s">
        <v>1272</v>
      </c>
    </row>
    <row r="17">
      <c r="A17" s="84" t="s">
        <v>2001</v>
      </c>
    </row>
    <row r="18">
      <c r="A18" s="84" t="s">
        <v>1922</v>
      </c>
    </row>
    <row r="19">
      <c r="A19" s="84" t="s">
        <v>916</v>
      </c>
    </row>
    <row r="20">
      <c r="A20" s="84" t="s">
        <v>992</v>
      </c>
    </row>
    <row r="21">
      <c r="A21" s="84" t="s">
        <v>2473</v>
      </c>
    </row>
    <row r="22">
      <c r="A22" s="84" t="s">
        <v>1308</v>
      </c>
    </row>
    <row r="23">
      <c r="A23" s="84" t="s">
        <v>958</v>
      </c>
    </row>
    <row r="24">
      <c r="A24" s="84" t="s">
        <v>586</v>
      </c>
    </row>
    <row r="25">
      <c r="A25" s="84" t="s">
        <v>2865</v>
      </c>
    </row>
    <row r="26">
      <c r="A26" s="84" t="s">
        <v>1913</v>
      </c>
    </row>
    <row r="27">
      <c r="A27" s="19" t="s">
        <v>2865</v>
      </c>
    </row>
    <row r="28">
      <c r="A28" s="84" t="s">
        <v>1496</v>
      </c>
    </row>
    <row r="29">
      <c r="A29" s="84" t="s">
        <v>3996</v>
      </c>
    </row>
    <row r="30">
      <c r="A30" s="84" t="s">
        <v>1757</v>
      </c>
    </row>
    <row r="31">
      <c r="A31" s="84" t="s">
        <v>2190</v>
      </c>
    </row>
    <row r="32">
      <c r="A32" s="84" t="s">
        <v>3323</v>
      </c>
    </row>
    <row r="33">
      <c r="A33" s="84" t="s">
        <v>1770</v>
      </c>
      <c r="B33" s="106"/>
      <c r="C33" s="84" t="s">
        <v>14217</v>
      </c>
    </row>
    <row r="34">
      <c r="A34" s="84" t="s">
        <v>2639</v>
      </c>
      <c r="B34" s="106"/>
      <c r="C34" s="84"/>
    </row>
    <row r="35">
      <c r="A35" s="84" t="s">
        <v>3672</v>
      </c>
      <c r="B35" s="106"/>
      <c r="C35" s="84"/>
    </row>
    <row r="36">
      <c r="A36" s="84" t="s">
        <v>885</v>
      </c>
      <c r="B36" s="106"/>
      <c r="C36" s="84"/>
    </row>
    <row r="37">
      <c r="A37" s="84" t="s">
        <v>1603</v>
      </c>
      <c r="B37" s="106"/>
      <c r="C37" s="84"/>
    </row>
    <row r="38">
      <c r="A38" s="84" t="s">
        <v>2552</v>
      </c>
      <c r="B38" s="106"/>
      <c r="C38" s="84"/>
    </row>
    <row r="39">
      <c r="A39" s="84" t="s">
        <v>189</v>
      </c>
      <c r="B39" s="106"/>
      <c r="C39" s="84"/>
    </row>
    <row r="40">
      <c r="A40" s="84" t="s">
        <v>999</v>
      </c>
      <c r="B40" s="106"/>
      <c r="C40" s="84"/>
    </row>
    <row r="41">
      <c r="A41" s="84" t="s">
        <v>1227</v>
      </c>
      <c r="B41" s="106"/>
      <c r="C41" s="84"/>
    </row>
    <row r="42">
      <c r="A42" s="84" t="s">
        <v>3817</v>
      </c>
      <c r="B42" s="106"/>
      <c r="C42" s="84"/>
    </row>
    <row r="43">
      <c r="A43" s="84" t="s">
        <v>360</v>
      </c>
      <c r="B43" s="106"/>
      <c r="C43" s="84"/>
    </row>
    <row r="44">
      <c r="A44" s="84" t="s">
        <v>1992</v>
      </c>
      <c r="B44" s="106"/>
      <c r="C44" s="84"/>
    </row>
    <row r="45">
      <c r="A45" s="84" t="s">
        <v>2439</v>
      </c>
      <c r="B45" s="106"/>
      <c r="C45" s="84"/>
    </row>
    <row r="46">
      <c r="A46" s="84" t="s">
        <v>2749</v>
      </c>
      <c r="B46" s="106"/>
      <c r="C46" s="84"/>
    </row>
    <row r="47">
      <c r="A47" s="84" t="s">
        <v>2162</v>
      </c>
      <c r="B47" s="106"/>
      <c r="C47" s="84"/>
    </row>
    <row r="48">
      <c r="A48" s="84" t="s">
        <v>2618</v>
      </c>
      <c r="B48" s="106"/>
      <c r="C48" s="84"/>
    </row>
    <row r="49">
      <c r="A49" s="84" t="s">
        <v>2143</v>
      </c>
      <c r="B49" s="106"/>
      <c r="C49" s="84"/>
    </row>
    <row r="50">
      <c r="A50" s="84" t="s">
        <v>1142</v>
      </c>
      <c r="B50" s="106"/>
      <c r="C50" s="84"/>
    </row>
    <row r="51">
      <c r="A51" s="84" t="s">
        <v>2532</v>
      </c>
      <c r="B51" s="106"/>
      <c r="C51" s="84"/>
    </row>
    <row r="52">
      <c r="A52" s="84" t="s">
        <v>2466</v>
      </c>
      <c r="B52" s="106"/>
      <c r="C52" s="84"/>
    </row>
    <row r="53">
      <c r="A53" s="84" t="s">
        <v>2512</v>
      </c>
      <c r="B53" s="106"/>
      <c r="C53" s="84"/>
    </row>
    <row r="54">
      <c r="A54" s="84" t="s">
        <v>1182</v>
      </c>
      <c r="B54" s="106"/>
      <c r="C54" s="84"/>
    </row>
    <row r="55">
      <c r="A55" s="84" t="s">
        <v>3188</v>
      </c>
      <c r="B55" s="106"/>
      <c r="C55" s="84"/>
    </row>
    <row r="56">
      <c r="A56" s="84" t="s">
        <v>1846</v>
      </c>
      <c r="B56" s="106"/>
      <c r="C56" s="84"/>
    </row>
    <row r="57">
      <c r="A57" s="84" t="s">
        <v>3594</v>
      </c>
      <c r="B57" s="106"/>
      <c r="C57" s="84"/>
    </row>
    <row r="58">
      <c r="A58" s="84" t="s">
        <v>1386</v>
      </c>
      <c r="B58" s="106"/>
      <c r="C58" s="84"/>
    </row>
    <row r="59">
      <c r="A59" s="84" t="s">
        <v>900</v>
      </c>
      <c r="B59" s="106"/>
      <c r="C59" s="84"/>
    </row>
    <row r="60">
      <c r="A60" s="84" t="s">
        <v>4056</v>
      </c>
      <c r="B60" s="106"/>
      <c r="C60" s="84"/>
    </row>
    <row r="61">
      <c r="A61" s="84" t="s">
        <v>646</v>
      </c>
      <c r="B61" s="106"/>
      <c r="C61" s="84"/>
    </row>
    <row r="62">
      <c r="A62" s="84" t="s">
        <v>2968</v>
      </c>
      <c r="B62" s="106"/>
      <c r="C62" s="84"/>
    </row>
    <row r="63">
      <c r="A63" s="84" t="s">
        <v>2168</v>
      </c>
      <c r="B63" s="106"/>
      <c r="C63" s="84"/>
    </row>
    <row r="64">
      <c r="A64" s="84" t="s">
        <v>229</v>
      </c>
      <c r="B64" s="106"/>
      <c r="C64" s="84"/>
    </row>
    <row r="65">
      <c r="A65" s="84" t="s">
        <v>927</v>
      </c>
      <c r="B65" s="106"/>
      <c r="C65" s="84"/>
    </row>
    <row r="66">
      <c r="A66" s="84" t="s">
        <v>1074</v>
      </c>
      <c r="B66" s="106"/>
      <c r="C66" s="84"/>
    </row>
    <row r="67">
      <c r="A67" s="84" t="s">
        <v>1295</v>
      </c>
      <c r="B67" s="106"/>
      <c r="C67" s="84"/>
    </row>
    <row r="68">
      <c r="A68" s="84" t="s">
        <v>1539</v>
      </c>
      <c r="B68" s="106"/>
      <c r="C68" s="84"/>
    </row>
    <row r="69">
      <c r="A69" s="84" t="s">
        <v>1723</v>
      </c>
      <c r="B69" s="106"/>
      <c r="C69" s="84"/>
    </row>
    <row r="70">
      <c r="A70" s="84" t="s">
        <v>3479</v>
      </c>
      <c r="B70" s="106"/>
      <c r="C70" s="84"/>
    </row>
    <row r="71">
      <c r="A71" s="84" t="s">
        <v>896</v>
      </c>
      <c r="B71" s="106"/>
      <c r="C71" s="84"/>
    </row>
    <row r="72">
      <c r="A72" s="84" t="s">
        <v>2612</v>
      </c>
      <c r="B72" s="106"/>
      <c r="C72" s="84"/>
    </row>
    <row r="73">
      <c r="A73" s="84" t="s">
        <v>1671</v>
      </c>
      <c r="B73" s="106"/>
      <c r="C73" s="84"/>
    </row>
    <row r="74">
      <c r="A74" s="84" t="s">
        <v>2542</v>
      </c>
      <c r="B74" s="106"/>
      <c r="C74" s="84"/>
    </row>
    <row r="75">
      <c r="A75" s="84" t="s">
        <v>609</v>
      </c>
      <c r="B75" s="106"/>
      <c r="C75" s="84"/>
    </row>
    <row r="76">
      <c r="A76" s="84" t="s">
        <v>863</v>
      </c>
      <c r="B76" s="106"/>
      <c r="C76" s="84"/>
    </row>
    <row r="77">
      <c r="A77" s="84" t="s">
        <v>1688</v>
      </c>
      <c r="B77" s="106"/>
      <c r="C77" s="84"/>
    </row>
    <row r="78">
      <c r="A78" s="84" t="s">
        <v>2547</v>
      </c>
      <c r="B78" s="106"/>
      <c r="C78" s="84"/>
    </row>
    <row r="79">
      <c r="A79" s="84" t="s">
        <v>2304</v>
      </c>
      <c r="B79" s="106"/>
      <c r="C79" s="84"/>
    </row>
    <row r="80">
      <c r="A80" s="84" t="s">
        <v>1841</v>
      </c>
      <c r="B80" s="106"/>
      <c r="C80" s="84"/>
    </row>
    <row r="81">
      <c r="A81" s="84" t="s">
        <v>1950</v>
      </c>
      <c r="B81" s="106"/>
      <c r="C81" s="84"/>
    </row>
    <row r="82">
      <c r="A82" s="84" t="s">
        <v>2832</v>
      </c>
      <c r="B82" s="106"/>
      <c r="C82" s="84"/>
    </row>
    <row r="83">
      <c r="A83" s="84" t="s">
        <v>1113</v>
      </c>
      <c r="B83" s="106"/>
      <c r="C83" s="84"/>
    </row>
    <row r="84">
      <c r="A84" s="84" t="s">
        <v>3318</v>
      </c>
      <c r="B84" s="106"/>
      <c r="C84" s="84"/>
    </row>
    <row r="85">
      <c r="A85" s="84" t="s">
        <v>2033</v>
      </c>
      <c r="B85" s="106"/>
      <c r="C85" s="84"/>
    </row>
    <row r="86">
      <c r="A86" s="84" t="s">
        <v>923</v>
      </c>
      <c r="B86" s="106"/>
      <c r="C86" s="84"/>
    </row>
    <row r="87">
      <c r="A87" s="84" t="s">
        <v>2148</v>
      </c>
      <c r="B87" s="106"/>
      <c r="C87" s="84"/>
    </row>
    <row r="88">
      <c r="A88" s="84" t="s">
        <v>865</v>
      </c>
      <c r="B88" s="106"/>
      <c r="C88" s="84"/>
    </row>
    <row r="89">
      <c r="A89" s="84" t="s">
        <v>1668</v>
      </c>
      <c r="B89" s="106"/>
      <c r="C89" s="84"/>
    </row>
    <row r="90">
      <c r="A90" s="84" t="s">
        <v>4069</v>
      </c>
      <c r="B90" s="106"/>
      <c r="C90" s="84"/>
    </row>
    <row r="91">
      <c r="A91" s="84" t="s">
        <v>722</v>
      </c>
      <c r="B91" s="106"/>
      <c r="C91" s="84"/>
    </row>
    <row r="92">
      <c r="A92" s="84" t="s">
        <v>822</v>
      </c>
      <c r="B92" s="106"/>
      <c r="C92" s="84"/>
    </row>
    <row r="93">
      <c r="A93" s="84" t="s">
        <v>4213</v>
      </c>
      <c r="B93" s="106"/>
      <c r="C93" s="84"/>
    </row>
    <row r="94">
      <c r="A94" s="84" t="s">
        <v>1169</v>
      </c>
      <c r="B94" s="106"/>
      <c r="C94" s="84"/>
    </row>
    <row r="95">
      <c r="A95" s="84" t="s">
        <v>649</v>
      </c>
      <c r="B95" s="106"/>
      <c r="C95" s="84"/>
    </row>
    <row r="96">
      <c r="A96" s="84" t="s">
        <v>1458</v>
      </c>
      <c r="B96" s="106"/>
      <c r="C96" s="84"/>
    </row>
    <row r="97">
      <c r="A97" s="84" t="s">
        <v>901</v>
      </c>
      <c r="B97" s="106"/>
      <c r="C97" s="84"/>
    </row>
    <row r="98">
      <c r="A98" s="84" t="s">
        <v>1986</v>
      </c>
      <c r="B98" s="106"/>
      <c r="C98" s="84"/>
    </row>
    <row r="99">
      <c r="A99" s="84" t="s">
        <v>2254</v>
      </c>
      <c r="B99" s="106"/>
      <c r="C99" s="84"/>
    </row>
    <row r="100">
      <c r="A100" s="84" t="s">
        <v>1243</v>
      </c>
      <c r="B100" s="106"/>
      <c r="C100" s="84"/>
    </row>
    <row r="101">
      <c r="A101" s="84" t="s">
        <v>3680</v>
      </c>
      <c r="B101" s="106"/>
      <c r="C101" s="84"/>
    </row>
    <row r="102">
      <c r="A102" s="84" t="s">
        <v>1425</v>
      </c>
      <c r="B102" s="106"/>
      <c r="C102" s="84"/>
    </row>
    <row r="103">
      <c r="A103" s="84" t="s">
        <v>1796</v>
      </c>
      <c r="B103" s="106"/>
      <c r="C103" s="84"/>
    </row>
    <row r="104">
      <c r="A104" s="84" t="s">
        <v>2282</v>
      </c>
      <c r="B104" s="106"/>
      <c r="C104" s="84"/>
    </row>
    <row r="105">
      <c r="A105" s="84" t="s">
        <v>2694</v>
      </c>
      <c r="B105" s="106"/>
      <c r="C105" s="84"/>
    </row>
    <row r="106">
      <c r="A106" s="84" t="s">
        <v>830</v>
      </c>
      <c r="B106" s="106"/>
      <c r="C106" s="84"/>
    </row>
    <row r="107">
      <c r="A107" s="84" t="s">
        <v>4006</v>
      </c>
      <c r="B107" s="106"/>
      <c r="C107" s="84"/>
    </row>
    <row r="108">
      <c r="A108" s="84" t="s">
        <v>2523</v>
      </c>
      <c r="B108" s="106"/>
      <c r="C108" s="84"/>
    </row>
    <row r="109">
      <c r="A109" s="84" t="s">
        <v>1129</v>
      </c>
      <c r="B109" s="106"/>
      <c r="C109" s="84"/>
    </row>
    <row r="110">
      <c r="A110" s="84" t="s">
        <v>2654</v>
      </c>
      <c r="B110" s="106"/>
      <c r="C110" s="84"/>
    </row>
    <row r="111">
      <c r="A111" s="84" t="s">
        <v>2322</v>
      </c>
      <c r="B111" s="106"/>
      <c r="C111" s="84"/>
    </row>
    <row r="112">
      <c r="A112" s="84" t="s">
        <v>3457</v>
      </c>
      <c r="B112" s="106"/>
      <c r="C112" s="84"/>
    </row>
    <row r="113">
      <c r="A113" s="84" t="s">
        <v>2420</v>
      </c>
      <c r="B113" s="106"/>
      <c r="C113" s="84"/>
    </row>
    <row r="114">
      <c r="A114" s="84" t="s">
        <v>3589</v>
      </c>
      <c r="B114" s="106"/>
      <c r="C114" s="84"/>
    </row>
    <row r="115">
      <c r="A115" s="84" t="s">
        <v>4181</v>
      </c>
      <c r="B115" s="106"/>
      <c r="C115" s="84"/>
    </row>
    <row r="116">
      <c r="A116" s="84" t="s">
        <v>3446</v>
      </c>
      <c r="B116" s="106"/>
      <c r="C116" s="84"/>
    </row>
    <row r="117">
      <c r="A117" s="84" t="s">
        <v>4023</v>
      </c>
      <c r="B117" s="106"/>
      <c r="C117" s="84"/>
    </row>
    <row r="118">
      <c r="A118" s="84" t="s">
        <v>1251</v>
      </c>
      <c r="B118" s="106"/>
      <c r="C118" s="84"/>
    </row>
    <row r="119">
      <c r="A119" s="84" t="s">
        <v>1814</v>
      </c>
      <c r="B119" s="106"/>
      <c r="C119" s="84"/>
    </row>
    <row r="120">
      <c r="A120" s="84" t="s">
        <v>2060</v>
      </c>
      <c r="B120" s="106"/>
      <c r="C120" s="84"/>
    </row>
    <row r="121">
      <c r="A121" s="84" t="s">
        <v>1014</v>
      </c>
      <c r="B121" s="106"/>
      <c r="C121" s="84"/>
    </row>
    <row r="122">
      <c r="A122" s="84" t="s">
        <v>787</v>
      </c>
      <c r="B122" s="106"/>
      <c r="C122" s="84"/>
    </row>
    <row r="123">
      <c r="A123" s="84" t="s">
        <v>1944</v>
      </c>
      <c r="B123" s="106"/>
      <c r="C123" s="84"/>
    </row>
    <row r="124">
      <c r="A124" s="84" t="s">
        <v>793</v>
      </c>
      <c r="B124" s="106"/>
      <c r="C124" s="84"/>
    </row>
    <row r="125">
      <c r="A125" s="84" t="s">
        <v>676</v>
      </c>
      <c r="B125" s="106"/>
      <c r="C125" s="84"/>
    </row>
    <row r="126">
      <c r="A126" s="84" t="s">
        <v>710</v>
      </c>
      <c r="B126" s="106"/>
      <c r="C126" s="84"/>
    </row>
    <row r="127">
      <c r="A127" s="84" t="s">
        <v>1927</v>
      </c>
      <c r="B127" s="106"/>
      <c r="C127" s="84"/>
    </row>
    <row r="128">
      <c r="A128" s="84" t="s">
        <v>729</v>
      </c>
      <c r="B128" s="106"/>
      <c r="C128" s="84"/>
    </row>
    <row r="129">
      <c r="A129" s="84" t="s">
        <v>1808</v>
      </c>
      <c r="B129" s="106"/>
      <c r="C129" s="84"/>
    </row>
    <row r="130">
      <c r="A130" s="84" t="s">
        <v>778</v>
      </c>
      <c r="B130" s="106"/>
      <c r="C130" s="84"/>
    </row>
    <row r="131">
      <c r="A131" s="84" t="s">
        <v>4175</v>
      </c>
      <c r="B131" s="106"/>
      <c r="C131" s="84"/>
    </row>
    <row r="132">
      <c r="A132" s="84" t="s">
        <v>1820</v>
      </c>
      <c r="B132" s="106"/>
      <c r="C132" s="84"/>
    </row>
    <row r="133">
      <c r="A133" s="84" t="s">
        <v>717</v>
      </c>
      <c r="B133" s="106"/>
      <c r="C133" s="84"/>
    </row>
    <row r="134">
      <c r="A134" s="84" t="s">
        <v>3576</v>
      </c>
      <c r="B134" s="106"/>
      <c r="C134" s="84"/>
    </row>
    <row r="135">
      <c r="A135" s="84" t="s">
        <v>4847</v>
      </c>
      <c r="B135" s="106"/>
      <c r="C135" s="84"/>
    </row>
    <row r="136">
      <c r="A136" s="84" t="s">
        <v>4321</v>
      </c>
      <c r="B136" s="106"/>
      <c r="C136" s="84"/>
    </row>
    <row r="137">
      <c r="A137" s="84" t="s">
        <v>4551</v>
      </c>
      <c r="B137" s="106"/>
      <c r="C137" s="84"/>
    </row>
    <row r="138">
      <c r="A138" s="84" t="s">
        <v>63</v>
      </c>
      <c r="B138" s="106"/>
      <c r="C138" s="84"/>
    </row>
    <row r="139">
      <c r="A139" s="84" t="s">
        <v>2138</v>
      </c>
      <c r="B139" s="106"/>
      <c r="C139" s="84"/>
    </row>
    <row r="140">
      <c r="A140" s="84" t="s">
        <v>4599</v>
      </c>
      <c r="B140" s="106"/>
      <c r="C140" s="84"/>
    </row>
    <row r="141">
      <c r="A141" s="84" t="s">
        <v>4734</v>
      </c>
      <c r="B141" s="106"/>
      <c r="C141" s="84"/>
    </row>
    <row r="142">
      <c r="A142" s="84" t="s">
        <v>4768</v>
      </c>
      <c r="B142" s="106"/>
      <c r="C142" s="84"/>
    </row>
    <row r="143">
      <c r="A143" s="84" t="s">
        <v>4452</v>
      </c>
      <c r="B143" s="106"/>
      <c r="C143" s="84"/>
    </row>
    <row r="144">
      <c r="A144" s="84" t="s">
        <v>4461</v>
      </c>
      <c r="B144" s="106"/>
      <c r="C144" s="84"/>
    </row>
    <row r="145">
      <c r="A145" s="84" t="s">
        <v>4457</v>
      </c>
      <c r="B145" s="106"/>
      <c r="C145" s="84"/>
    </row>
    <row r="146">
      <c r="A146" s="84" t="s">
        <v>4410</v>
      </c>
      <c r="B146" s="106"/>
      <c r="C146" s="84"/>
    </row>
    <row r="147">
      <c r="A147" s="84" t="s">
        <v>4499</v>
      </c>
      <c r="B147" s="106"/>
      <c r="C147" s="84"/>
    </row>
    <row r="148">
      <c r="A148" s="84" t="s">
        <v>4515</v>
      </c>
      <c r="B148" s="106"/>
      <c r="C148" s="84"/>
    </row>
    <row r="149">
      <c r="A149" s="84" t="s">
        <v>4085</v>
      </c>
      <c r="B149" s="106"/>
      <c r="C149" s="84"/>
    </row>
    <row r="150">
      <c r="A150" s="84" t="s">
        <v>4242</v>
      </c>
      <c r="B150" s="106"/>
      <c r="C150" s="84"/>
    </row>
    <row r="151">
      <c r="A151" s="84" t="s">
        <v>4339</v>
      </c>
      <c r="B151" s="106"/>
      <c r="C151" s="84"/>
    </row>
    <row r="152">
      <c r="A152" s="84" t="s">
        <v>1884</v>
      </c>
      <c r="B152" s="106"/>
      <c r="C152" s="84"/>
    </row>
    <row r="153">
      <c r="A153" s="84" t="s">
        <v>4445</v>
      </c>
      <c r="B153" s="106"/>
      <c r="C153" s="84"/>
    </row>
    <row r="154">
      <c r="A154" s="84" t="s">
        <v>819</v>
      </c>
      <c r="B154" s="106"/>
      <c r="C154" s="84"/>
    </row>
    <row r="155">
      <c r="A155" s="84" t="s">
        <v>1719</v>
      </c>
      <c r="B155" s="106"/>
      <c r="C155" s="84"/>
    </row>
    <row r="156">
      <c r="A156" s="84" t="s">
        <v>4368</v>
      </c>
      <c r="B156" s="106"/>
      <c r="C156" s="84"/>
    </row>
    <row r="157">
      <c r="A157" s="84" t="s">
        <v>4302</v>
      </c>
      <c r="B157" s="106"/>
      <c r="C157" s="84"/>
    </row>
    <row r="158">
      <c r="A158" s="84" t="s">
        <v>4484</v>
      </c>
      <c r="B158" s="106"/>
      <c r="C158" s="84"/>
    </row>
    <row r="159">
      <c r="A159" s="84" t="s">
        <v>1265</v>
      </c>
      <c r="B159" s="106"/>
      <c r="C159" s="84"/>
    </row>
    <row r="160">
      <c r="A160" s="84" t="s">
        <v>4857</v>
      </c>
      <c r="B160" s="106"/>
      <c r="C160" s="84"/>
    </row>
    <row r="161">
      <c r="A161" s="84" t="s">
        <v>4555</v>
      </c>
      <c r="B161" s="106"/>
      <c r="C161" s="84"/>
    </row>
    <row r="162">
      <c r="A162" s="84" t="s">
        <v>4269</v>
      </c>
      <c r="B162" s="106"/>
      <c r="C162" s="84"/>
    </row>
    <row r="163">
      <c r="A163" s="84" t="s">
        <v>1856</v>
      </c>
      <c r="B163" s="106"/>
      <c r="C163" s="84"/>
    </row>
    <row r="164">
      <c r="A164" s="84" t="s">
        <v>797</v>
      </c>
      <c r="B164" s="106"/>
      <c r="C164" s="84"/>
    </row>
    <row r="165">
      <c r="A165" s="84" t="s">
        <v>4248</v>
      </c>
      <c r="B165" s="106"/>
      <c r="C165" s="84"/>
    </row>
    <row r="166">
      <c r="A166" s="84" t="s">
        <v>2826</v>
      </c>
      <c r="B166" s="106"/>
      <c r="C166" s="84"/>
    </row>
    <row r="167">
      <c r="A167" s="84" t="s">
        <v>860</v>
      </c>
      <c r="B167" s="106"/>
      <c r="C167" s="84"/>
    </row>
    <row r="168">
      <c r="A168" s="84" t="s">
        <v>4265</v>
      </c>
      <c r="B168" s="106"/>
      <c r="C168" s="84"/>
    </row>
    <row r="169">
      <c r="A169" s="84" t="s">
        <v>4388</v>
      </c>
      <c r="B169" s="106"/>
      <c r="C169" s="84"/>
    </row>
    <row r="170">
      <c r="A170" s="84" t="s">
        <v>1195</v>
      </c>
      <c r="B170" s="106"/>
      <c r="C170" s="84"/>
    </row>
    <row r="171">
      <c r="A171" s="84" t="s">
        <v>1471</v>
      </c>
      <c r="B171" s="106"/>
      <c r="C171" s="84"/>
    </row>
    <row r="172">
      <c r="A172" s="84" t="s">
        <v>699</v>
      </c>
      <c r="B172" s="106"/>
      <c r="C172" s="84"/>
    </row>
    <row r="173">
      <c r="A173" s="84" t="s">
        <v>893</v>
      </c>
      <c r="B173" s="106"/>
      <c r="C173" s="84"/>
    </row>
    <row r="174">
      <c r="A174" s="84" t="s">
        <v>2668</v>
      </c>
      <c r="B174" s="106"/>
      <c r="C174" s="84"/>
    </row>
    <row r="175">
      <c r="A175" s="84" t="s">
        <v>834</v>
      </c>
      <c r="B175" s="106"/>
      <c r="C175" s="84"/>
    </row>
    <row r="176">
      <c r="A176" s="84" t="s">
        <v>1632</v>
      </c>
      <c r="B176" s="106"/>
      <c r="C176" s="84"/>
    </row>
    <row r="177">
      <c r="A177" s="84" t="s">
        <v>4466</v>
      </c>
      <c r="B177" s="106"/>
      <c r="C177" s="84"/>
    </row>
    <row r="178">
      <c r="A178" s="84" t="s">
        <v>558</v>
      </c>
      <c r="B178" s="106"/>
      <c r="C178" s="84"/>
    </row>
    <row r="179">
      <c r="A179" s="84" t="s">
        <v>4489</v>
      </c>
      <c r="B179" s="106"/>
      <c r="C179" s="84"/>
    </row>
    <row r="180">
      <c r="A180" s="84" t="s">
        <v>4291</v>
      </c>
      <c r="B180" s="106"/>
      <c r="C180" s="84"/>
    </row>
    <row r="181">
      <c r="A181" s="84" t="s">
        <v>4567</v>
      </c>
      <c r="B181" s="106"/>
      <c r="C181" s="84"/>
    </row>
    <row r="182">
      <c r="A182" s="84" t="s">
        <v>4373</v>
      </c>
      <c r="B182" s="106"/>
      <c r="C182" s="84"/>
    </row>
    <row r="183">
      <c r="A183" s="84" t="s">
        <v>4843</v>
      </c>
      <c r="B183" s="106"/>
      <c r="C183" s="84"/>
    </row>
    <row r="184">
      <c r="A184" s="84" t="s">
        <v>4682</v>
      </c>
      <c r="B184" s="106"/>
      <c r="C184" s="84"/>
    </row>
    <row r="185">
      <c r="A185" s="84" t="s">
        <v>4753</v>
      </c>
      <c r="B185" s="106"/>
      <c r="C185" s="84"/>
    </row>
    <row r="186">
      <c r="A186" s="84" t="s">
        <v>4510</v>
      </c>
      <c r="B186" s="106"/>
      <c r="C186" s="84"/>
    </row>
    <row r="187">
      <c r="A187" s="84" t="s">
        <v>3361</v>
      </c>
      <c r="B187" s="106"/>
      <c r="C187" s="84"/>
    </row>
    <row r="188">
      <c r="A188" s="84" t="s">
        <v>4741</v>
      </c>
      <c r="B188" s="106"/>
      <c r="C188" s="84"/>
    </row>
    <row r="189">
      <c r="A189" s="84" t="s">
        <v>4469</v>
      </c>
      <c r="B189" s="106"/>
      <c r="C189" s="84"/>
    </row>
    <row r="190">
      <c r="A190" s="84" t="s">
        <v>838</v>
      </c>
      <c r="B190" s="106"/>
      <c r="C190" s="84"/>
    </row>
    <row r="191">
      <c r="A191" s="84" t="s">
        <v>4997</v>
      </c>
      <c r="B191" s="106"/>
      <c r="C191" s="84"/>
    </row>
    <row r="192">
      <c r="A192" s="84" t="s">
        <v>733</v>
      </c>
      <c r="B192" s="106"/>
      <c r="C192" s="84"/>
    </row>
    <row r="193">
      <c r="A193" s="84" t="s">
        <v>857</v>
      </c>
      <c r="B193" s="106"/>
      <c r="C193" s="84"/>
    </row>
    <row r="194">
      <c r="A194" s="84" t="s">
        <v>5318</v>
      </c>
      <c r="B194" s="106"/>
      <c r="C194" s="84"/>
    </row>
    <row r="195">
      <c r="A195" s="84" t="s">
        <v>5096</v>
      </c>
      <c r="B195" s="106"/>
      <c r="C195" s="84"/>
    </row>
    <row r="196">
      <c r="A196" s="84" t="s">
        <v>5353</v>
      </c>
      <c r="B196" s="106"/>
      <c r="C196" s="84"/>
    </row>
    <row r="197">
      <c r="A197" s="84" t="s">
        <v>762</v>
      </c>
      <c r="B197" s="106"/>
      <c r="C197" s="84"/>
    </row>
    <row r="198">
      <c r="A198" s="84" t="s">
        <v>635</v>
      </c>
      <c r="B198" s="106"/>
      <c r="C198" s="84"/>
    </row>
    <row r="199">
      <c r="A199" s="84" t="s">
        <v>5518</v>
      </c>
      <c r="B199" s="106"/>
      <c r="C199" s="84"/>
    </row>
    <row r="200">
      <c r="A200" s="84" t="s">
        <v>5209</v>
      </c>
      <c r="B200" s="106"/>
      <c r="C200" s="84"/>
    </row>
    <row r="201">
      <c r="A201" s="84" t="s">
        <v>5487</v>
      </c>
      <c r="B201" s="106"/>
      <c r="C201" s="84"/>
    </row>
    <row r="202">
      <c r="A202" s="84" t="s">
        <v>4897</v>
      </c>
      <c r="B202" s="106"/>
      <c r="C202" s="84"/>
    </row>
    <row r="203">
      <c r="A203" s="84" t="s">
        <v>5428</v>
      </c>
      <c r="B203" s="106"/>
      <c r="C203" s="84"/>
    </row>
    <row r="204">
      <c r="A204" s="84" t="s">
        <v>5259</v>
      </c>
      <c r="B204" s="106"/>
      <c r="C204" s="84"/>
    </row>
    <row r="205">
      <c r="A205" s="84" t="s">
        <v>4940</v>
      </c>
      <c r="B205" s="106"/>
      <c r="C205" s="84"/>
    </row>
    <row r="206">
      <c r="A206" s="84" t="s">
        <v>5470</v>
      </c>
      <c r="B206" s="106"/>
      <c r="C206" s="84"/>
    </row>
    <row r="207">
      <c r="A207" s="84" t="s">
        <v>5250</v>
      </c>
      <c r="B207" s="106"/>
      <c r="C207" s="84"/>
    </row>
    <row r="208">
      <c r="A208" s="84" t="s">
        <v>5534</v>
      </c>
      <c r="B208" s="106"/>
      <c r="C208" s="84"/>
    </row>
    <row r="209">
      <c r="A209" s="84" t="s">
        <v>5205</v>
      </c>
      <c r="B209" s="106"/>
      <c r="C209" s="84"/>
    </row>
    <row r="210">
      <c r="A210" s="84" t="s">
        <v>5263</v>
      </c>
      <c r="B210" s="106"/>
      <c r="C210" s="84"/>
    </row>
    <row r="211">
      <c r="A211" s="84" t="s">
        <v>5254</v>
      </c>
      <c r="B211" s="106"/>
      <c r="C211" s="84"/>
    </row>
    <row r="212">
      <c r="A212" s="84" t="s">
        <v>4899</v>
      </c>
      <c r="B212" s="106"/>
      <c r="C212" s="84"/>
    </row>
    <row r="213">
      <c r="A213" s="84" t="s">
        <v>5241</v>
      </c>
      <c r="B213" s="106"/>
      <c r="C213" s="84"/>
    </row>
    <row r="214">
      <c r="A214" s="84" t="s">
        <v>5407</v>
      </c>
      <c r="B214" s="106"/>
      <c r="C214" s="84"/>
    </row>
    <row r="215">
      <c r="A215" s="84" t="s">
        <v>5445</v>
      </c>
      <c r="B215" s="106"/>
      <c r="C215" s="84"/>
    </row>
    <row r="216">
      <c r="A216" s="84" t="s">
        <v>724</v>
      </c>
      <c r="B216" s="106"/>
      <c r="C216" s="84"/>
    </row>
    <row r="217">
      <c r="A217" s="84" t="s">
        <v>5499</v>
      </c>
      <c r="B217" s="106"/>
      <c r="C217" s="84"/>
    </row>
    <row r="218">
      <c r="A218" s="84" t="s">
        <v>5401</v>
      </c>
      <c r="B218" s="106"/>
      <c r="C218" s="84"/>
    </row>
    <row r="219">
      <c r="A219" s="84" t="s">
        <v>5274</v>
      </c>
      <c r="B219" s="106"/>
      <c r="C219" s="84"/>
    </row>
    <row r="220">
      <c r="A220" s="84" t="s">
        <v>5423</v>
      </c>
      <c r="B220" s="106"/>
      <c r="C220" s="84"/>
    </row>
    <row r="221">
      <c r="A221" s="84" t="s">
        <v>5291</v>
      </c>
      <c r="B221" s="106"/>
      <c r="C221" s="84"/>
    </row>
    <row r="222">
      <c r="A222" s="84" t="s">
        <v>5214</v>
      </c>
      <c r="B222" s="106"/>
      <c r="C222" s="84"/>
    </row>
    <row r="223">
      <c r="A223" s="84" t="s">
        <v>5327</v>
      </c>
      <c r="B223" s="106"/>
      <c r="C223" s="84"/>
    </row>
    <row r="224">
      <c r="A224" s="84" t="s">
        <v>759</v>
      </c>
      <c r="B224" s="106"/>
      <c r="C224" s="84"/>
    </row>
    <row r="225">
      <c r="A225" s="84" t="s">
        <v>655</v>
      </c>
      <c r="B225" s="106"/>
      <c r="C225" s="84"/>
    </row>
    <row r="226">
      <c r="A226" s="84" t="s">
        <v>5189</v>
      </c>
      <c r="B226" s="106"/>
      <c r="C226" s="84"/>
    </row>
    <row r="227">
      <c r="A227" s="84" t="s">
        <v>5660</v>
      </c>
      <c r="B227" s="106"/>
      <c r="C227" s="84"/>
    </row>
    <row r="228">
      <c r="A228" s="84" t="s">
        <v>4947</v>
      </c>
      <c r="B228" s="106"/>
      <c r="C228" s="84"/>
    </row>
    <row r="229">
      <c r="A229" s="84" t="s">
        <v>1187</v>
      </c>
      <c r="B229" s="106"/>
      <c r="C229" s="84"/>
    </row>
    <row r="230">
      <c r="A230" s="84" t="s">
        <v>4415</v>
      </c>
      <c r="B230" s="106"/>
      <c r="C230" s="84"/>
    </row>
    <row r="231">
      <c r="A231" s="84" t="s">
        <v>887</v>
      </c>
      <c r="B231" s="106"/>
      <c r="C231" s="84"/>
    </row>
    <row r="232">
      <c r="A232" s="84" t="s">
        <v>253</v>
      </c>
      <c r="B232" s="106"/>
      <c r="C232" s="84"/>
    </row>
    <row r="233">
      <c r="A233" s="84" t="s">
        <v>5523</v>
      </c>
      <c r="B233" s="106"/>
      <c r="C233" s="84"/>
    </row>
    <row r="234">
      <c r="A234" s="84" t="s">
        <v>2298</v>
      </c>
      <c r="B234" s="106"/>
      <c r="C234" s="84"/>
    </row>
    <row r="235">
      <c r="A235" s="84" t="s">
        <v>3634</v>
      </c>
      <c r="B235" s="106"/>
      <c r="C235" s="84"/>
    </row>
    <row r="236">
      <c r="A236" s="84" t="s">
        <v>2238</v>
      </c>
      <c r="B236" s="106"/>
      <c r="C236" s="84"/>
    </row>
    <row r="237">
      <c r="A237" s="84" t="s">
        <v>3081</v>
      </c>
      <c r="B237" s="106"/>
      <c r="C237" s="84"/>
    </row>
    <row r="238">
      <c r="A238" s="84" t="s">
        <v>2066</v>
      </c>
      <c r="B238" s="106"/>
      <c r="C238" s="84"/>
    </row>
    <row r="239">
      <c r="A239" s="84" t="s">
        <v>3584</v>
      </c>
      <c r="B239" s="106"/>
      <c r="C239" s="84"/>
    </row>
    <row r="240">
      <c r="A240" s="84" t="s">
        <v>3677</v>
      </c>
      <c r="B240" s="106"/>
      <c r="C240" s="84"/>
    </row>
    <row r="241">
      <c r="A241" s="84" t="s">
        <v>1729</v>
      </c>
      <c r="B241" s="106"/>
      <c r="C241" s="84"/>
    </row>
    <row r="242">
      <c r="A242" s="84" t="s">
        <v>1938</v>
      </c>
      <c r="B242" s="106"/>
      <c r="C242" s="84"/>
    </row>
    <row r="243">
      <c r="A243" s="84" t="s">
        <v>5508</v>
      </c>
      <c r="B243" s="106"/>
      <c r="C243" s="84"/>
    </row>
    <row r="244">
      <c r="A244" s="84" t="s">
        <v>854</v>
      </c>
      <c r="B244" s="106"/>
      <c r="C244" s="84"/>
    </row>
    <row r="245">
      <c r="A245" s="84" t="s">
        <v>181</v>
      </c>
      <c r="B245" s="106"/>
      <c r="C245" s="84"/>
    </row>
    <row r="246">
      <c r="A246" s="84" t="s">
        <v>553</v>
      </c>
      <c r="B246" s="106"/>
      <c r="C246" s="84"/>
    </row>
    <row r="247">
      <c r="A247" s="84" t="s">
        <v>2529</v>
      </c>
      <c r="B247" s="106"/>
      <c r="C247" s="84"/>
    </row>
    <row r="248">
      <c r="A248" s="84" t="s">
        <v>4440</v>
      </c>
      <c r="B248" s="106"/>
      <c r="C248" s="84"/>
    </row>
    <row r="249">
      <c r="A249" s="84" t="s">
        <v>1007</v>
      </c>
      <c r="B249" s="106"/>
      <c r="C249" s="84"/>
    </row>
    <row r="250">
      <c r="A250" s="84" t="s">
        <v>5512</v>
      </c>
      <c r="B250" s="106"/>
      <c r="C250" s="84"/>
    </row>
    <row r="251">
      <c r="A251" s="84" t="s">
        <v>1352</v>
      </c>
      <c r="B251" s="106"/>
      <c r="C251" s="84"/>
    </row>
    <row r="252">
      <c r="A252" s="84" t="s">
        <v>1096</v>
      </c>
      <c r="B252" s="106"/>
      <c r="C252" s="84"/>
    </row>
    <row r="253">
      <c r="A253" s="84" t="s">
        <v>1970</v>
      </c>
      <c r="B253" s="106"/>
      <c r="C253" s="84"/>
    </row>
    <row r="254">
      <c r="A254" s="84" t="s">
        <v>5434</v>
      </c>
      <c r="B254" s="106"/>
      <c r="C254" s="84"/>
    </row>
    <row r="255">
      <c r="A255" s="84" t="s">
        <v>2103</v>
      </c>
      <c r="B255" s="106"/>
      <c r="C255" s="84"/>
    </row>
    <row r="256">
      <c r="A256" s="84" t="s">
        <v>2176</v>
      </c>
      <c r="B256" s="106"/>
      <c r="C256" s="84"/>
    </row>
    <row r="257">
      <c r="A257" s="84" t="s">
        <v>3810</v>
      </c>
      <c r="B257" s="106"/>
      <c r="C257" s="84"/>
    </row>
    <row r="258">
      <c r="A258" s="84" t="s">
        <v>4787</v>
      </c>
      <c r="B258" s="106"/>
      <c r="C258" s="84"/>
    </row>
    <row r="259">
      <c r="A259" s="84" t="s">
        <v>1176</v>
      </c>
      <c r="B259" s="106"/>
      <c r="C259" s="84"/>
    </row>
    <row r="260">
      <c r="A260" s="84" t="s">
        <v>2664</v>
      </c>
      <c r="B260" s="106"/>
      <c r="C260" s="84"/>
    </row>
    <row r="261">
      <c r="A261" s="84" t="s">
        <v>2329</v>
      </c>
      <c r="B261" s="106"/>
      <c r="C261" s="84"/>
    </row>
    <row r="262">
      <c r="A262" s="84" t="s">
        <v>869</v>
      </c>
      <c r="B262" s="106"/>
      <c r="C262" s="84"/>
    </row>
    <row r="263">
      <c r="A263" s="84" t="s">
        <v>1752</v>
      </c>
      <c r="B263" s="106"/>
      <c r="C263" s="84"/>
    </row>
    <row r="264">
      <c r="A264" s="84" t="s">
        <v>1445</v>
      </c>
      <c r="B264" s="106"/>
      <c r="C264" s="84"/>
    </row>
    <row r="265">
      <c r="A265" s="84" t="s">
        <v>1158</v>
      </c>
      <c r="B265" s="106"/>
      <c r="C265" s="84"/>
    </row>
    <row r="266">
      <c r="A266" s="84" t="s">
        <v>817</v>
      </c>
      <c r="B266" s="106"/>
      <c r="C266" s="84"/>
    </row>
    <row r="267">
      <c r="A267" s="84" t="s">
        <v>5331</v>
      </c>
      <c r="B267" s="106"/>
      <c r="C267" s="84"/>
    </row>
    <row r="268">
      <c r="A268" s="84" t="s">
        <v>4161</v>
      </c>
      <c r="B268" s="106"/>
      <c r="C268" s="84"/>
    </row>
    <row r="269">
      <c r="A269" s="84" t="s">
        <v>5366</v>
      </c>
      <c r="B269" s="106"/>
      <c r="C269" s="84"/>
    </row>
    <row r="270">
      <c r="A270" s="84" t="s">
        <v>5590</v>
      </c>
      <c r="B270" s="106"/>
      <c r="C270" s="84"/>
    </row>
    <row r="271">
      <c r="A271" s="84" t="s">
        <v>5618</v>
      </c>
      <c r="B271" s="106"/>
      <c r="C271" s="84"/>
    </row>
    <row r="272">
      <c r="A272" s="84" t="s">
        <v>5622</v>
      </c>
      <c r="B272" s="106"/>
      <c r="C272" s="84"/>
    </row>
    <row r="273">
      <c r="A273" s="84" t="s">
        <v>2456</v>
      </c>
      <c r="B273" s="106"/>
      <c r="C273" s="84"/>
    </row>
    <row r="274">
      <c r="A274" s="84" t="s">
        <v>2223</v>
      </c>
      <c r="B274" s="106"/>
      <c r="C274" s="84"/>
    </row>
    <row r="275">
      <c r="A275" s="84" t="s">
        <v>5461</v>
      </c>
      <c r="B275" s="106"/>
      <c r="C275" s="84"/>
    </row>
    <row r="276">
      <c r="A276" s="84" t="s">
        <v>5824</v>
      </c>
      <c r="B276" s="106"/>
      <c r="C276" s="84"/>
    </row>
    <row r="277">
      <c r="A277" s="84" t="s">
        <v>5631</v>
      </c>
      <c r="B277" s="106"/>
      <c r="C277" s="84"/>
    </row>
    <row r="278">
      <c r="A278" s="84" t="s">
        <v>4613</v>
      </c>
      <c r="B278" s="106"/>
      <c r="C278" s="84"/>
    </row>
    <row r="279">
      <c r="A279" s="84" t="s">
        <v>4107</v>
      </c>
      <c r="B279" s="106"/>
      <c r="C279" s="84"/>
    </row>
    <row r="280">
      <c r="A280" s="84" t="s">
        <v>5561</v>
      </c>
      <c r="B280" s="106"/>
      <c r="C280" s="84"/>
    </row>
    <row r="281">
      <c r="A281" s="84" t="s">
        <v>4512</v>
      </c>
      <c r="B281" s="106"/>
      <c r="C281" s="84"/>
    </row>
    <row r="282">
      <c r="A282" s="84" t="s">
        <v>739</v>
      </c>
      <c r="B282" s="106"/>
      <c r="C282" s="84"/>
    </row>
    <row r="283">
      <c r="A283" s="84" t="s">
        <v>5440</v>
      </c>
      <c r="B283" s="106"/>
      <c r="C283" s="84"/>
    </row>
    <row r="284">
      <c r="A284" s="84" t="s">
        <v>5781</v>
      </c>
      <c r="B284" s="106"/>
      <c r="C284" s="84"/>
    </row>
    <row r="285">
      <c r="A285" s="84" t="s">
        <v>5548</v>
      </c>
      <c r="B285" s="106"/>
      <c r="C285" s="84"/>
    </row>
    <row r="286">
      <c r="A286" s="84" t="s">
        <v>5566</v>
      </c>
      <c r="B286" s="106"/>
      <c r="C286" s="84"/>
    </row>
    <row r="287">
      <c r="A287" s="84" t="s">
        <v>5715</v>
      </c>
      <c r="B287" s="106"/>
      <c r="C287" s="84"/>
    </row>
    <row r="288">
      <c r="A288" s="84" t="s">
        <v>5650</v>
      </c>
      <c r="B288" s="106"/>
      <c r="C288" s="84"/>
    </row>
    <row r="289">
      <c r="A289" s="84" t="s">
        <v>5706</v>
      </c>
      <c r="B289" s="106"/>
      <c r="C289" s="84"/>
    </row>
    <row r="290">
      <c r="A290" s="84" t="s">
        <v>5791</v>
      </c>
      <c r="B290" s="106"/>
      <c r="C290" s="84"/>
    </row>
    <row r="291">
      <c r="A291" s="84" t="s">
        <v>5689</v>
      </c>
      <c r="B291" s="106"/>
      <c r="C291" s="84"/>
    </row>
    <row r="292">
      <c r="A292" s="84" t="s">
        <v>5892</v>
      </c>
      <c r="B292" s="106"/>
      <c r="C292" s="84"/>
    </row>
    <row r="293">
      <c r="A293" s="84" t="s">
        <v>5544</v>
      </c>
      <c r="B293" s="106"/>
      <c r="C293" s="84"/>
    </row>
    <row r="294">
      <c r="A294" s="84" t="s">
        <v>5734</v>
      </c>
      <c r="B294" s="106"/>
      <c r="C294" s="84"/>
    </row>
    <row r="295">
      <c r="A295" s="84" t="s">
        <v>5626</v>
      </c>
      <c r="B295" s="106"/>
      <c r="C295" s="84"/>
    </row>
    <row r="296">
      <c r="A296" s="84" t="s">
        <v>5829</v>
      </c>
      <c r="B296" s="106"/>
      <c r="C296" s="84"/>
    </row>
    <row r="297">
      <c r="A297" s="84" t="s">
        <v>4890</v>
      </c>
      <c r="B297" s="106"/>
      <c r="C297" s="84"/>
    </row>
    <row r="298">
      <c r="A298" s="84" t="s">
        <v>5451</v>
      </c>
      <c r="B298" s="106"/>
      <c r="C298" s="84"/>
    </row>
    <row r="299">
      <c r="A299" s="84" t="s">
        <v>5283</v>
      </c>
      <c r="B299" s="106"/>
      <c r="C299" s="84"/>
    </row>
    <row r="300">
      <c r="A300" s="84" t="s">
        <v>935</v>
      </c>
      <c r="B300" s="106"/>
      <c r="C300" s="84"/>
    </row>
    <row r="301">
      <c r="A301" s="84" t="s">
        <v>826</v>
      </c>
      <c r="B301" s="106"/>
      <c r="C301" s="84"/>
    </row>
    <row r="302">
      <c r="A302" s="84" t="s">
        <v>687</v>
      </c>
      <c r="B302" s="106"/>
      <c r="C302" s="84"/>
    </row>
    <row r="303">
      <c r="A303" s="84" t="s">
        <v>217</v>
      </c>
      <c r="B303" s="106"/>
      <c r="C303" s="84"/>
    </row>
    <row r="304">
      <c r="A304" s="84" t="s">
        <v>1393</v>
      </c>
      <c r="B304" s="106"/>
      <c r="C304" s="84"/>
    </row>
    <row r="305">
      <c r="A305" s="84" t="s">
        <v>812</v>
      </c>
      <c r="B305" s="106"/>
      <c r="C305" s="84"/>
    </row>
    <row r="306">
      <c r="A306" s="84" t="s">
        <v>2010</v>
      </c>
      <c r="B306" s="106"/>
      <c r="C306" s="84"/>
    </row>
    <row r="307">
      <c r="A307" s="84" t="s">
        <v>5855</v>
      </c>
      <c r="B307" s="106"/>
      <c r="C307" s="84"/>
    </row>
    <row r="308">
      <c r="A308" s="84" t="s">
        <v>4727</v>
      </c>
      <c r="B308" s="106"/>
      <c r="C308" s="84"/>
    </row>
    <row r="309">
      <c r="A309" s="84" t="s">
        <v>4956</v>
      </c>
      <c r="B309" s="106"/>
      <c r="C309" s="84"/>
    </row>
    <row r="310">
      <c r="A310" s="84" t="s">
        <v>770</v>
      </c>
      <c r="B310" s="106"/>
      <c r="C310" s="84"/>
    </row>
    <row r="311">
      <c r="A311" s="84" t="s">
        <v>3348</v>
      </c>
      <c r="B311" s="106"/>
      <c r="C311" s="84"/>
    </row>
    <row r="312">
      <c r="A312" s="84" t="s">
        <v>5503</v>
      </c>
      <c r="B312" s="106"/>
      <c r="C312" s="84"/>
    </row>
    <row r="313">
      <c r="A313" s="84" t="s">
        <v>843</v>
      </c>
      <c r="B313" s="106"/>
      <c r="C313" s="84"/>
    </row>
    <row r="314">
      <c r="A314" s="84" t="s">
        <v>3753</v>
      </c>
      <c r="B314" s="106"/>
      <c r="C314" s="84"/>
    </row>
    <row r="315">
      <c r="A315" s="84" t="s">
        <v>4209</v>
      </c>
      <c r="B315" s="106"/>
      <c r="C315" s="84"/>
    </row>
    <row r="316">
      <c r="A316" s="84" t="s">
        <v>1694</v>
      </c>
      <c r="B316" s="106"/>
      <c r="C316" s="84"/>
    </row>
    <row r="317">
      <c r="A317" s="84" t="s">
        <v>2230</v>
      </c>
      <c r="B317" s="106"/>
      <c r="C317" s="84"/>
    </row>
    <row r="318">
      <c r="A318" s="84" t="s">
        <v>1135</v>
      </c>
      <c r="B318" s="106"/>
      <c r="C318" s="84"/>
    </row>
    <row r="319">
      <c r="A319" s="84" t="s">
        <v>4403</v>
      </c>
      <c r="B319" s="106"/>
      <c r="C319" s="84"/>
    </row>
    <row r="320">
      <c r="A320" s="84" t="s">
        <v>5765</v>
      </c>
      <c r="B320" s="106"/>
      <c r="C320" s="84"/>
    </row>
    <row r="321">
      <c r="A321" s="84" t="s">
        <v>1335</v>
      </c>
      <c r="B321" s="106"/>
      <c r="C321" s="84"/>
    </row>
    <row r="322">
      <c r="A322" s="84" t="s">
        <v>4575</v>
      </c>
      <c r="B322" s="106"/>
      <c r="C322" s="84"/>
    </row>
    <row r="323">
      <c r="A323" s="84" t="s">
        <v>3161</v>
      </c>
      <c r="B323" s="106"/>
      <c r="C323" s="84"/>
    </row>
    <row r="324">
      <c r="A324" s="84" t="s">
        <v>1082</v>
      </c>
      <c r="B324" s="106"/>
      <c r="C324" s="84"/>
    </row>
    <row r="325">
      <c r="A325" s="84" t="s">
        <v>5060</v>
      </c>
      <c r="B325" s="106"/>
      <c r="C325" s="84"/>
    </row>
    <row r="326">
      <c r="A326" s="84" t="s">
        <v>1553</v>
      </c>
      <c r="B326" s="106"/>
      <c r="C326" s="84"/>
    </row>
    <row r="327">
      <c r="A327" s="84" t="s">
        <v>5860</v>
      </c>
      <c r="B327" s="106"/>
      <c r="C327" s="84"/>
    </row>
    <row r="328">
      <c r="A328" s="84" t="s">
        <v>6113</v>
      </c>
      <c r="B328" s="106"/>
      <c r="C328" s="84"/>
    </row>
    <row r="329">
      <c r="A329" s="84" t="s">
        <v>6005</v>
      </c>
      <c r="B329" s="106"/>
      <c r="C329" s="84"/>
    </row>
    <row r="330">
      <c r="A330" s="84" t="s">
        <v>4344</v>
      </c>
      <c r="B330" s="106"/>
      <c r="C330" s="84"/>
    </row>
    <row r="331">
      <c r="A331" s="84" t="s">
        <v>3686</v>
      </c>
      <c r="B331" s="106"/>
      <c r="C331" s="84"/>
    </row>
    <row r="332">
      <c r="A332" s="84" t="s">
        <v>2959</v>
      </c>
      <c r="B332" s="106"/>
      <c r="C332" s="84"/>
    </row>
    <row r="333">
      <c r="A333" s="84" t="s">
        <v>3077</v>
      </c>
      <c r="B333" s="106"/>
      <c r="C333" s="84"/>
    </row>
    <row r="334">
      <c r="A334" s="84" t="s">
        <v>2649</v>
      </c>
      <c r="B334" s="106"/>
      <c r="C334" s="84"/>
    </row>
    <row r="335">
      <c r="A335" s="84" t="s">
        <v>1968</v>
      </c>
      <c r="B335" s="106"/>
      <c r="C335" s="84"/>
    </row>
    <row r="336">
      <c r="A336" s="84" t="s">
        <v>1780</v>
      </c>
      <c r="B336" s="106"/>
      <c r="C336" s="84"/>
    </row>
    <row r="337">
      <c r="A337" s="84" t="s">
        <v>4802</v>
      </c>
      <c r="B337" s="106"/>
      <c r="C337" s="84"/>
    </row>
    <row r="338">
      <c r="A338" s="84" t="s">
        <v>3949</v>
      </c>
      <c r="B338" s="106"/>
      <c r="C338" s="84"/>
    </row>
    <row r="339">
      <c r="A339" s="84" t="s">
        <v>1644</v>
      </c>
      <c r="B339" s="106"/>
      <c r="C339" s="84"/>
    </row>
    <row r="340">
      <c r="A340" s="84" t="s">
        <v>1780</v>
      </c>
      <c r="B340" s="106"/>
      <c r="C340" s="84"/>
    </row>
    <row r="341">
      <c r="A341" s="84" t="s">
        <v>876</v>
      </c>
      <c r="B341" s="106"/>
      <c r="C341" s="84"/>
    </row>
    <row r="342">
      <c r="A342" s="84" t="s">
        <v>5638</v>
      </c>
      <c r="B342" s="106"/>
      <c r="C342" s="84"/>
    </row>
    <row r="343">
      <c r="A343" s="84" t="s">
        <v>3506</v>
      </c>
      <c r="B343" s="106"/>
      <c r="C343" s="84"/>
    </row>
    <row r="344">
      <c r="A344" s="84" t="s">
        <v>6030</v>
      </c>
      <c r="B344" s="106"/>
      <c r="C344" s="84"/>
    </row>
    <row r="345">
      <c r="A345" s="84" t="s">
        <v>5803</v>
      </c>
      <c r="B345" s="106"/>
      <c r="C345" s="84"/>
    </row>
    <row r="346">
      <c r="A346" s="84" t="s">
        <v>2182</v>
      </c>
      <c r="B346" s="106"/>
      <c r="C346" s="84"/>
    </row>
    <row r="347">
      <c r="A347" s="84" t="s">
        <v>2683</v>
      </c>
      <c r="B347" s="106"/>
      <c r="C347" s="84"/>
    </row>
    <row r="348">
      <c r="A348" s="84" t="s">
        <v>6016</v>
      </c>
      <c r="B348" s="106"/>
      <c r="C348" s="84"/>
    </row>
    <row r="349">
      <c r="A349" s="84" t="s">
        <v>6041</v>
      </c>
      <c r="B349" s="106"/>
      <c r="C349" s="84"/>
    </row>
    <row r="350">
      <c r="A350" s="84" t="s">
        <v>6172</v>
      </c>
      <c r="B350" s="106"/>
      <c r="C350" s="84"/>
    </row>
    <row r="351">
      <c r="A351" s="84" t="s">
        <v>5945</v>
      </c>
      <c r="B351" s="106"/>
      <c r="C351" s="84"/>
    </row>
    <row r="352">
      <c r="A352" s="84" t="s">
        <v>6010</v>
      </c>
      <c r="B352" s="106"/>
      <c r="C352" s="84"/>
    </row>
    <row r="353">
      <c r="A353" s="84" t="s">
        <v>6056</v>
      </c>
      <c r="B353" s="106"/>
      <c r="C353" s="84"/>
    </row>
    <row r="354">
      <c r="A354" s="84" t="s">
        <v>1677</v>
      </c>
      <c r="B354" s="106"/>
      <c r="C354" s="84"/>
    </row>
    <row r="355">
      <c r="A355" s="84" t="s">
        <v>5601</v>
      </c>
      <c r="B355" s="106"/>
      <c r="C355" s="84"/>
    </row>
    <row r="356">
      <c r="A356" s="84" t="s">
        <v>5305</v>
      </c>
      <c r="B356" s="106"/>
      <c r="C356" s="84"/>
    </row>
    <row r="357">
      <c r="A357" s="84" t="s">
        <v>5573</v>
      </c>
      <c r="B357" s="106"/>
      <c r="C357" s="84"/>
    </row>
    <row r="358">
      <c r="A358" s="84" t="s">
        <v>5850</v>
      </c>
      <c r="B358" s="106"/>
      <c r="C358" s="84"/>
    </row>
    <row r="359">
      <c r="A359" s="84" t="s">
        <v>5573</v>
      </c>
      <c r="B359" s="106"/>
      <c r="C359" s="84"/>
    </row>
    <row r="360">
      <c r="A360" s="84" t="s">
        <v>3384</v>
      </c>
      <c r="B360" s="106"/>
      <c r="C360" s="84"/>
    </row>
    <row r="361">
      <c r="A361" s="84" t="s">
        <v>4421</v>
      </c>
      <c r="B361" s="106"/>
      <c r="C361" s="84"/>
    </row>
    <row r="362">
      <c r="A362" s="84" t="s">
        <v>5578</v>
      </c>
      <c r="B362" s="106"/>
      <c r="C362" s="84"/>
    </row>
    <row r="363">
      <c r="A363" s="84" t="s">
        <v>763</v>
      </c>
      <c r="B363" s="106"/>
      <c r="C363" s="84"/>
    </row>
    <row r="364">
      <c r="A364" s="84" t="s">
        <v>4408</v>
      </c>
      <c r="B364" s="106"/>
      <c r="C364" s="84"/>
    </row>
    <row r="365">
      <c r="A365" s="84" t="s">
        <v>5939</v>
      </c>
      <c r="B365" s="106"/>
      <c r="C365" s="84"/>
    </row>
    <row r="366">
      <c r="A366" s="84" t="s">
        <v>5958</v>
      </c>
      <c r="B366" s="106"/>
      <c r="C366" s="84"/>
    </row>
    <row r="367">
      <c r="A367" s="84" t="s">
        <v>6104</v>
      </c>
      <c r="B367" s="106"/>
      <c r="C367" s="84"/>
    </row>
    <row r="368">
      <c r="A368" s="84" t="s">
        <v>5991</v>
      </c>
      <c r="B368" s="106"/>
      <c r="C368" s="84"/>
    </row>
    <row r="369">
      <c r="A369" s="84" t="s">
        <v>6071</v>
      </c>
      <c r="B369" s="106"/>
      <c r="C369" s="84"/>
    </row>
    <row r="370">
      <c r="A370" s="84" t="s">
        <v>5980</v>
      </c>
      <c r="B370" s="106"/>
      <c r="C370" s="84"/>
    </row>
    <row r="371">
      <c r="A371" s="84" t="s">
        <v>1835</v>
      </c>
      <c r="B371" s="106"/>
      <c r="C371" s="84"/>
    </row>
    <row r="372">
      <c r="A372" s="84" t="s">
        <v>4273</v>
      </c>
      <c r="B372" s="106"/>
      <c r="C372" s="84"/>
    </row>
    <row r="373">
      <c r="A373" s="84" t="s">
        <v>4703</v>
      </c>
      <c r="B373" s="106"/>
      <c r="C373" s="84"/>
    </row>
    <row r="374">
      <c r="A374" s="84" t="s">
        <v>4697</v>
      </c>
      <c r="B374" s="106"/>
      <c r="C374" s="84"/>
    </row>
    <row r="375">
      <c r="A375" s="84" t="s">
        <v>1802</v>
      </c>
      <c r="B375" s="106"/>
      <c r="C375" s="84"/>
    </row>
    <row r="376">
      <c r="A376" s="84" t="s">
        <v>4873</v>
      </c>
      <c r="B376" s="106"/>
      <c r="C376" s="84"/>
    </row>
    <row r="377">
      <c r="A377" s="84" t="s">
        <v>2494</v>
      </c>
      <c r="B377" s="106"/>
      <c r="C377" s="84"/>
    </row>
    <row r="378">
      <c r="A378" s="84" t="s">
        <v>5964</v>
      </c>
      <c r="B378" s="106"/>
      <c r="C378" s="84"/>
    </row>
    <row r="379">
      <c r="A379" s="84" t="s">
        <v>781</v>
      </c>
      <c r="B379" s="106"/>
      <c r="C379" s="84"/>
    </row>
    <row r="380">
      <c r="A380" s="84" t="s">
        <v>6091</v>
      </c>
      <c r="B380" s="106"/>
      <c r="C380" s="84"/>
    </row>
    <row r="381">
      <c r="A381" s="84" t="s">
        <v>3044</v>
      </c>
      <c r="B381" s="106"/>
      <c r="C381" s="84"/>
    </row>
    <row r="382">
      <c r="A382" s="84" t="s">
        <v>4581</v>
      </c>
      <c r="B382" s="106"/>
      <c r="C382" s="84"/>
    </row>
    <row r="383">
      <c r="A383" s="84" t="s">
        <v>713</v>
      </c>
      <c r="B383" s="106"/>
      <c r="C383" s="84"/>
    </row>
    <row r="384">
      <c r="A384" s="84" t="s">
        <v>6148</v>
      </c>
      <c r="B384" s="106"/>
      <c r="C384" s="84"/>
    </row>
    <row r="385">
      <c r="A385" s="84" t="s">
        <v>5975</v>
      </c>
      <c r="B385" s="106"/>
      <c r="C385" s="84"/>
    </row>
    <row r="386">
      <c r="A386" s="84" t="s">
        <v>6161</v>
      </c>
      <c r="B386" s="106"/>
      <c r="C386" s="84"/>
    </row>
    <row r="387">
      <c r="A387" s="84" t="s">
        <v>6001</v>
      </c>
      <c r="B387" s="106"/>
      <c r="C387" s="84"/>
    </row>
    <row r="388">
      <c r="A388" s="84" t="s">
        <v>6137</v>
      </c>
      <c r="B388" s="106"/>
      <c r="C388" s="84"/>
    </row>
    <row r="389">
      <c r="A389" s="84" t="s">
        <v>6046</v>
      </c>
      <c r="B389" s="106"/>
      <c r="C389" s="84"/>
    </row>
    <row r="390">
      <c r="A390" s="84" t="s">
        <v>6166</v>
      </c>
      <c r="B390" s="106"/>
      <c r="C390" s="84"/>
    </row>
    <row r="391">
      <c r="A391" s="84" t="s">
        <v>6244</v>
      </c>
      <c r="B391" s="106"/>
      <c r="C391" s="84"/>
    </row>
    <row r="392">
      <c r="A392" s="84" t="s">
        <v>6344</v>
      </c>
      <c r="B392" s="106"/>
      <c r="C392" s="84"/>
    </row>
    <row r="393">
      <c r="A393" s="84" t="s">
        <v>6385</v>
      </c>
      <c r="B393" s="106"/>
      <c r="C393" s="84"/>
    </row>
    <row r="394">
      <c r="A394" s="84" t="s">
        <v>6478</v>
      </c>
      <c r="B394" s="106"/>
      <c r="C394" s="84"/>
    </row>
    <row r="395">
      <c r="A395" s="84" t="s">
        <v>6532</v>
      </c>
      <c r="B395" s="106"/>
      <c r="C395" s="84"/>
    </row>
    <row r="396">
      <c r="A396" s="84" t="s">
        <v>6196</v>
      </c>
      <c r="B396" s="106"/>
      <c r="C396" s="84"/>
    </row>
    <row r="397">
      <c r="A397" s="84" t="s">
        <v>6226</v>
      </c>
      <c r="B397" s="106"/>
      <c r="C397" s="84"/>
    </row>
    <row r="398">
      <c r="A398" s="84" t="s">
        <v>6211</v>
      </c>
      <c r="B398" s="106"/>
      <c r="C398" s="84"/>
    </row>
    <row r="399">
      <c r="A399" s="84" t="s">
        <v>6563</v>
      </c>
      <c r="B399" s="106"/>
      <c r="C399" s="84"/>
    </row>
    <row r="400">
      <c r="A400" s="84" t="s">
        <v>6784</v>
      </c>
      <c r="B400" s="106"/>
      <c r="C400" s="84"/>
    </row>
    <row r="401">
      <c r="A401" s="84" t="s">
        <v>6328</v>
      </c>
      <c r="B401" s="106"/>
      <c r="C401" s="84"/>
    </row>
    <row r="402">
      <c r="A402" s="84" t="s">
        <v>6840</v>
      </c>
      <c r="B402" s="106"/>
      <c r="C402" s="84"/>
    </row>
    <row r="403">
      <c r="A403" s="84" t="s">
        <v>6804</v>
      </c>
      <c r="B403" s="106"/>
      <c r="C403" s="84"/>
    </row>
    <row r="404">
      <c r="A404" s="84" t="s">
        <v>6441</v>
      </c>
      <c r="B404" s="106"/>
      <c r="C404" s="84"/>
    </row>
    <row r="405">
      <c r="A405" s="84" t="s">
        <v>6730</v>
      </c>
      <c r="B405" s="106"/>
      <c r="C405" s="84"/>
    </row>
    <row r="406">
      <c r="A406" s="84" t="s">
        <v>6834</v>
      </c>
      <c r="B406" s="106"/>
      <c r="C406" s="84"/>
    </row>
    <row r="407">
      <c r="A407" s="84" t="s">
        <v>6799</v>
      </c>
      <c r="B407" s="106"/>
      <c r="C407" s="84"/>
    </row>
    <row r="408">
      <c r="A408" s="84" t="s">
        <v>6569</v>
      </c>
      <c r="B408" s="106"/>
      <c r="C408" s="84"/>
    </row>
    <row r="409">
      <c r="A409" s="84" t="s">
        <v>6319</v>
      </c>
      <c r="B409" s="106"/>
      <c r="C409" s="84"/>
    </row>
    <row r="410">
      <c r="A410" s="84" t="s">
        <v>6369</v>
      </c>
      <c r="B410" s="106"/>
      <c r="C410" s="84"/>
    </row>
    <row r="411">
      <c r="A411" s="84" t="s">
        <v>6185</v>
      </c>
      <c r="B411" s="106"/>
      <c r="C411" s="84"/>
    </row>
    <row r="412">
      <c r="A412" s="84" t="s">
        <v>6250</v>
      </c>
      <c r="B412" s="106"/>
      <c r="C412" s="84"/>
    </row>
    <row r="413">
      <c r="A413" s="84" t="s">
        <v>6652</v>
      </c>
      <c r="B413" s="106"/>
      <c r="C413" s="84"/>
    </row>
    <row r="414">
      <c r="A414" s="84" t="s">
        <v>6865</v>
      </c>
      <c r="B414" s="106"/>
      <c r="C414" s="84"/>
    </row>
    <row r="415">
      <c r="A415" s="84" t="s">
        <v>6309</v>
      </c>
      <c r="B415" s="106"/>
      <c r="C415" s="84"/>
    </row>
    <row r="416">
      <c r="A416" s="84" t="s">
        <v>6279</v>
      </c>
      <c r="B416" s="106"/>
      <c r="C416" s="84"/>
    </row>
    <row r="417">
      <c r="A417" s="84" t="s">
        <v>6486</v>
      </c>
      <c r="B417" s="106"/>
      <c r="C417" s="84"/>
    </row>
    <row r="418">
      <c r="A418" s="84" t="s">
        <v>6378</v>
      </c>
      <c r="B418" s="106"/>
      <c r="C418" s="84"/>
    </row>
    <row r="419">
      <c r="A419" s="84" t="s">
        <v>6586</v>
      </c>
      <c r="B419" s="106"/>
      <c r="C419" s="84"/>
    </row>
    <row r="420">
      <c r="A420" s="84" t="s">
        <v>6260</v>
      </c>
      <c r="B420" s="106"/>
      <c r="C420" s="84"/>
    </row>
    <row r="421">
      <c r="A421" s="84" t="s">
        <v>6669</v>
      </c>
      <c r="B421" s="106"/>
      <c r="C421" s="84"/>
    </row>
    <row r="422">
      <c r="A422" s="84" t="s">
        <v>4102</v>
      </c>
      <c r="B422" s="106"/>
      <c r="C422" s="84"/>
    </row>
    <row r="423">
      <c r="A423" s="84" t="s">
        <v>5808</v>
      </c>
      <c r="B423" s="106"/>
      <c r="C423" s="84"/>
    </row>
    <row r="424">
      <c r="A424" s="84" t="s">
        <v>5456</v>
      </c>
      <c r="B424" s="106"/>
      <c r="C424" s="84"/>
    </row>
    <row r="425">
      <c r="A425" s="84" t="s">
        <v>6674</v>
      </c>
      <c r="B425" s="106"/>
      <c r="C425" s="84"/>
    </row>
    <row r="426">
      <c r="A426" s="84" t="s">
        <v>6339</v>
      </c>
      <c r="B426" s="106"/>
      <c r="C426" s="84"/>
    </row>
    <row r="427">
      <c r="A427" s="84" t="s">
        <v>6121</v>
      </c>
      <c r="B427" s="106"/>
      <c r="C427" s="84"/>
    </row>
    <row r="428">
      <c r="A428" s="84" t="s">
        <v>4992</v>
      </c>
      <c r="B428" s="106"/>
      <c r="C428" s="84"/>
    </row>
    <row r="429">
      <c r="A429" s="84" t="s">
        <v>6425</v>
      </c>
      <c r="B429" s="106"/>
      <c r="C429" s="84"/>
    </row>
    <row r="430">
      <c r="A430" s="84" t="s">
        <v>6453</v>
      </c>
      <c r="B430" s="106"/>
      <c r="C430" s="84"/>
    </row>
    <row r="431">
      <c r="A431" s="84" t="s">
        <v>6525</v>
      </c>
      <c r="B431" s="106"/>
      <c r="C431" s="84"/>
    </row>
    <row r="432">
      <c r="A432" s="84" t="s">
        <v>6617</v>
      </c>
      <c r="B432" s="106"/>
      <c r="C432" s="84"/>
    </row>
    <row r="433">
      <c r="A433" s="84" t="s">
        <v>6435</v>
      </c>
      <c r="B433" s="106"/>
      <c r="C433" s="84"/>
    </row>
    <row r="434">
      <c r="A434" s="84" t="s">
        <v>6324</v>
      </c>
      <c r="B434" s="106"/>
      <c r="C434" s="84"/>
    </row>
    <row r="435">
      <c r="A435" s="84" t="s">
        <v>6265</v>
      </c>
      <c r="B435" s="106"/>
      <c r="C435" s="84"/>
    </row>
    <row r="436">
      <c r="A436" s="84" t="s">
        <v>6290</v>
      </c>
      <c r="B436" s="106"/>
      <c r="C436" s="84"/>
    </row>
    <row r="437">
      <c r="A437" s="84" t="s">
        <v>6236</v>
      </c>
      <c r="B437" s="106"/>
      <c r="C437" s="84"/>
    </row>
    <row r="438">
      <c r="A438" s="84" t="s">
        <v>6877</v>
      </c>
      <c r="B438" s="106"/>
      <c r="C438" s="84"/>
    </row>
    <row r="439">
      <c r="A439" s="84" t="s">
        <v>6429</v>
      </c>
      <c r="B439" s="106"/>
      <c r="C439" s="84"/>
    </row>
    <row r="440">
      <c r="A440" s="84" t="s">
        <v>6755</v>
      </c>
      <c r="B440" s="106"/>
      <c r="C440" s="84"/>
    </row>
    <row r="441">
      <c r="A441" s="84" t="s">
        <v>6273</v>
      </c>
      <c r="B441" s="106"/>
      <c r="C441" s="84"/>
    </row>
    <row r="442">
      <c r="A442" s="84" t="s">
        <v>6712</v>
      </c>
      <c r="B442" s="106"/>
      <c r="C442" s="84"/>
    </row>
    <row r="443">
      <c r="A443" s="84" t="s">
        <v>6481</v>
      </c>
      <c r="B443" s="106"/>
      <c r="C443" s="84"/>
    </row>
    <row r="444">
      <c r="A444" s="84" t="s">
        <v>6285</v>
      </c>
      <c r="B444" s="106"/>
      <c r="C444" s="84"/>
    </row>
    <row r="445">
      <c r="A445" s="84" t="s">
        <v>6268</v>
      </c>
      <c r="B445" s="106"/>
      <c r="C445" s="84"/>
    </row>
    <row r="446">
      <c r="A446" s="84" t="s">
        <v>6303</v>
      </c>
      <c r="B446" s="106"/>
      <c r="C446" s="84"/>
    </row>
    <row r="447">
      <c r="A447" s="84" t="s">
        <v>6397</v>
      </c>
      <c r="B447" s="106"/>
      <c r="C447" s="84"/>
    </row>
    <row r="448">
      <c r="A448" s="84" t="s">
        <v>6622</v>
      </c>
      <c r="B448" s="106"/>
      <c r="C448" s="84"/>
    </row>
    <row r="449">
      <c r="A449" s="84" t="s">
        <v>6508</v>
      </c>
      <c r="B449" s="106"/>
      <c r="C449" s="84"/>
    </row>
    <row r="450">
      <c r="A450" s="84" t="s">
        <v>6872</v>
      </c>
      <c r="B450" s="106"/>
      <c r="C450" s="84"/>
    </row>
    <row r="451">
      <c r="A451" s="84" t="s">
        <v>6602</v>
      </c>
      <c r="B451" s="106"/>
      <c r="C451" s="84"/>
    </row>
    <row r="452">
      <c r="A452" s="84" t="s">
        <v>6779</v>
      </c>
      <c r="B452" s="106"/>
      <c r="C452" s="84"/>
    </row>
    <row r="453">
      <c r="A453" s="84" t="s">
        <v>6202</v>
      </c>
      <c r="B453" s="106"/>
      <c r="C453" s="84"/>
    </row>
    <row r="454">
      <c r="A454" s="84" t="s">
        <v>6845</v>
      </c>
      <c r="B454" s="106"/>
      <c r="C454" s="84"/>
    </row>
    <row r="455">
      <c r="A455" s="84" t="s">
        <v>6791</v>
      </c>
      <c r="B455" s="106"/>
      <c r="C455" s="84"/>
    </row>
    <row r="456">
      <c r="A456" s="84" t="s">
        <v>6809</v>
      </c>
      <c r="B456" s="106"/>
      <c r="C456" s="84"/>
    </row>
    <row r="457">
      <c r="A457" s="84" t="s">
        <v>6522</v>
      </c>
      <c r="B457" s="106"/>
      <c r="C457" s="84"/>
    </row>
    <row r="458">
      <c r="A458" s="84" t="s">
        <v>6313</v>
      </c>
      <c r="B458" s="106"/>
      <c r="C458" s="84"/>
    </row>
    <row r="459">
      <c r="A459" s="84" t="s">
        <v>6695</v>
      </c>
      <c r="B459" s="106"/>
      <c r="C459" s="84"/>
    </row>
    <row r="460">
      <c r="A460" s="84" t="s">
        <v>6181</v>
      </c>
      <c r="B460" s="106"/>
      <c r="C460" s="84"/>
    </row>
    <row r="461">
      <c r="A461" s="84" t="s">
        <v>6462</v>
      </c>
      <c r="B461" s="106"/>
      <c r="C461" s="84"/>
    </row>
    <row r="462">
      <c r="A462" s="84" t="s">
        <v>6788</v>
      </c>
      <c r="B462" s="106"/>
      <c r="C462" s="84"/>
    </row>
    <row r="463">
      <c r="A463" s="84" t="s">
        <v>6612</v>
      </c>
      <c r="B463" s="106"/>
      <c r="C463" s="84"/>
    </row>
    <row r="464">
      <c r="A464" s="84" t="s">
        <v>6356</v>
      </c>
      <c r="B464" s="106"/>
      <c r="C464" s="84"/>
    </row>
    <row r="465">
      <c r="A465" s="84" t="s">
        <v>6335</v>
      </c>
      <c r="B465" s="106"/>
      <c r="C465" s="84"/>
    </row>
    <row r="466">
      <c r="A466" s="84" t="s">
        <v>6219</v>
      </c>
      <c r="B466" s="106"/>
      <c r="C466" s="84"/>
    </row>
    <row r="467">
      <c r="A467" s="84" t="s">
        <v>6684</v>
      </c>
      <c r="B467" s="106"/>
      <c r="C467" s="84"/>
    </row>
    <row r="468">
      <c r="A468" s="84" t="s">
        <v>5129</v>
      </c>
      <c r="B468" s="106"/>
      <c r="C468" s="84"/>
    </row>
    <row r="469">
      <c r="A469" s="84" t="s">
        <v>664</v>
      </c>
      <c r="B469" s="106"/>
      <c r="C469" s="84"/>
    </row>
    <row r="470">
      <c r="A470" s="84" t="s">
        <v>6297</v>
      </c>
      <c r="B470" s="106"/>
      <c r="C470" s="84"/>
    </row>
    <row r="471">
      <c r="A471" s="84" t="s">
        <v>6736</v>
      </c>
      <c r="B471" s="106"/>
      <c r="C471" s="84"/>
    </row>
    <row r="472">
      <c r="A472" s="84" t="s">
        <v>1059</v>
      </c>
      <c r="B472" s="106"/>
      <c r="C472" s="84"/>
    </row>
    <row r="473">
      <c r="A473" s="84" t="s">
        <v>783</v>
      </c>
      <c r="B473" s="106"/>
      <c r="C473" s="84"/>
    </row>
    <row r="474">
      <c r="A474" s="84" t="s">
        <v>641</v>
      </c>
      <c r="B474" s="106"/>
      <c r="C474" s="84"/>
    </row>
    <row r="475">
      <c r="A475" s="84" t="s">
        <v>2411</v>
      </c>
      <c r="B475" s="106"/>
      <c r="C475" s="84"/>
    </row>
    <row r="476">
      <c r="A476" s="84" t="s">
        <v>6232</v>
      </c>
      <c r="B476" s="106"/>
      <c r="C476" s="84"/>
    </row>
    <row r="477">
      <c r="A477" s="84" t="s">
        <v>3503</v>
      </c>
      <c r="B477" s="106"/>
      <c r="C477" s="84"/>
    </row>
    <row r="478">
      <c r="A478" s="84" t="s">
        <v>6763</v>
      </c>
      <c r="B478" s="106"/>
      <c r="C478" s="84"/>
    </row>
    <row r="479">
      <c r="A479" s="84" t="s">
        <v>6706</v>
      </c>
      <c r="B479" s="106"/>
      <c r="C479" s="84"/>
    </row>
    <row r="480">
      <c r="A480" s="84" t="s">
        <v>5389</v>
      </c>
      <c r="B480" s="106"/>
      <c r="C480" s="84"/>
    </row>
    <row r="481">
      <c r="A481" s="84" t="s">
        <v>2267</v>
      </c>
      <c r="B481" s="106"/>
      <c r="C481" s="84"/>
    </row>
    <row r="482">
      <c r="A482" s="84">
        <v>15217.0</v>
      </c>
      <c r="B482" s="106"/>
      <c r="C482" s="84"/>
    </row>
    <row r="483">
      <c r="A483" s="84" t="s">
        <v>950</v>
      </c>
      <c r="B483" s="106"/>
      <c r="C483" s="84"/>
    </row>
    <row r="484">
      <c r="A484" s="84" t="s">
        <v>6950</v>
      </c>
      <c r="B484" s="106"/>
      <c r="C484" s="84"/>
    </row>
    <row r="485">
      <c r="A485" s="84" t="s">
        <v>7018</v>
      </c>
      <c r="B485" s="106"/>
      <c r="C485" s="84"/>
    </row>
    <row r="486">
      <c r="A486" s="84" t="s">
        <v>7061</v>
      </c>
      <c r="B486" s="106"/>
      <c r="C486" s="84"/>
    </row>
    <row r="487">
      <c r="A487" s="84" t="s">
        <v>7209</v>
      </c>
      <c r="B487" s="106"/>
      <c r="C487" s="84"/>
    </row>
    <row r="488">
      <c r="A488" s="84" t="s">
        <v>7064</v>
      </c>
      <c r="B488" s="106"/>
      <c r="C488" s="84"/>
    </row>
    <row r="489">
      <c r="A489" s="84" t="s">
        <v>7090</v>
      </c>
      <c r="B489" s="106"/>
      <c r="C489" s="84"/>
    </row>
    <row r="490">
      <c r="A490" s="84" t="s">
        <v>7035</v>
      </c>
      <c r="B490" s="106"/>
      <c r="C490" s="84"/>
    </row>
    <row r="491">
      <c r="A491" s="84" t="s">
        <v>7425</v>
      </c>
      <c r="B491" s="106"/>
      <c r="C491" s="84"/>
    </row>
    <row r="492">
      <c r="A492" s="84" t="s">
        <v>7134</v>
      </c>
      <c r="B492" s="106"/>
      <c r="C492" s="84"/>
    </row>
    <row r="493">
      <c r="A493" s="84" t="s">
        <v>7049</v>
      </c>
      <c r="B493" s="106"/>
      <c r="C493" s="84"/>
    </row>
    <row r="494">
      <c r="A494" s="84" t="s">
        <v>7045</v>
      </c>
      <c r="B494" s="106"/>
      <c r="C494" s="84"/>
    </row>
    <row r="495">
      <c r="A495" s="84" t="s">
        <v>7140</v>
      </c>
      <c r="B495" s="106"/>
      <c r="C495" s="84"/>
    </row>
    <row r="496">
      <c r="A496" s="84" t="s">
        <v>7068</v>
      </c>
      <c r="B496" s="106"/>
      <c r="C496" s="84"/>
    </row>
    <row r="497">
      <c r="A497" s="84" t="s">
        <v>7263</v>
      </c>
      <c r="B497" s="106"/>
      <c r="C497" s="84"/>
    </row>
    <row r="498">
      <c r="A498" s="84" t="s">
        <v>6959</v>
      </c>
      <c r="B498" s="106"/>
      <c r="C498" s="84"/>
    </row>
    <row r="499">
      <c r="A499" s="84" t="s">
        <v>6940</v>
      </c>
      <c r="B499" s="106"/>
      <c r="C499" s="84"/>
    </row>
    <row r="500">
      <c r="A500" s="84" t="s">
        <v>7172</v>
      </c>
      <c r="B500" s="106"/>
      <c r="C500" s="84"/>
    </row>
    <row r="501">
      <c r="A501" s="84" t="s">
        <v>7201</v>
      </c>
      <c r="B501" s="106"/>
      <c r="C501" s="84"/>
    </row>
    <row r="502">
      <c r="A502" s="84" t="s">
        <v>7094</v>
      </c>
      <c r="B502" s="106"/>
      <c r="C502" s="84"/>
    </row>
    <row r="503">
      <c r="A503" s="84" t="s">
        <v>7195</v>
      </c>
      <c r="B503" s="106"/>
      <c r="C503" s="84"/>
    </row>
    <row r="504">
      <c r="A504" s="84" t="s">
        <v>7331</v>
      </c>
      <c r="B504" s="106"/>
      <c r="C504" s="84"/>
    </row>
    <row r="505">
      <c r="A505" s="84" t="s">
        <v>7304</v>
      </c>
      <c r="B505" s="106"/>
      <c r="C505" s="84"/>
    </row>
    <row r="506">
      <c r="A506" s="84" t="s">
        <v>7014</v>
      </c>
      <c r="B506" s="106"/>
      <c r="C506" s="84"/>
    </row>
    <row r="507">
      <c r="A507" s="84" t="s">
        <v>7075</v>
      </c>
      <c r="B507" s="106"/>
      <c r="C507" s="84"/>
    </row>
    <row r="508">
      <c r="A508" s="84" t="s">
        <v>7014</v>
      </c>
      <c r="B508" s="106"/>
      <c r="C508" s="84"/>
    </row>
    <row r="509">
      <c r="A509" s="84" t="s">
        <v>7452</v>
      </c>
      <c r="B509" s="106"/>
      <c r="C509" s="84"/>
    </row>
    <row r="510">
      <c r="A510" s="84" t="s">
        <v>6930</v>
      </c>
      <c r="B510" s="106"/>
      <c r="C510" s="84"/>
    </row>
    <row r="511">
      <c r="A511" s="84" t="s">
        <v>7429</v>
      </c>
      <c r="B511" s="106"/>
      <c r="C511" s="84"/>
    </row>
    <row r="512">
      <c r="A512" s="84" t="s">
        <v>7022</v>
      </c>
      <c r="B512" s="106"/>
      <c r="C512" s="84"/>
    </row>
    <row r="513">
      <c r="A513" s="84" t="s">
        <v>7022</v>
      </c>
      <c r="B513" s="106"/>
      <c r="C513" s="84"/>
    </row>
    <row r="514">
      <c r="A514" s="84" t="s">
        <v>7113</v>
      </c>
      <c r="B514" s="106"/>
      <c r="C514" s="84"/>
    </row>
    <row r="515">
      <c r="A515" s="84" t="s">
        <v>7422</v>
      </c>
      <c r="B515" s="106"/>
      <c r="C515" s="84"/>
    </row>
    <row r="516">
      <c r="A516" s="84" t="s">
        <v>6891</v>
      </c>
      <c r="B516" s="106"/>
      <c r="C516" s="84"/>
    </row>
    <row r="517">
      <c r="A517" s="84" t="s">
        <v>7281</v>
      </c>
      <c r="B517" s="106"/>
      <c r="C517" s="84"/>
    </row>
    <row r="518">
      <c r="A518" s="84" t="s">
        <v>7416</v>
      </c>
      <c r="B518" s="106"/>
      <c r="C518" s="84"/>
    </row>
    <row r="519">
      <c r="A519" s="84" t="s">
        <v>7505</v>
      </c>
      <c r="B519" s="106"/>
      <c r="C519" s="84"/>
    </row>
    <row r="520">
      <c r="A520" s="84" t="s">
        <v>7098</v>
      </c>
      <c r="B520" s="106"/>
      <c r="C520" s="84"/>
    </row>
    <row r="521">
      <c r="A521" s="84" t="s">
        <v>7531</v>
      </c>
      <c r="B521" s="106"/>
      <c r="C521" s="84"/>
    </row>
    <row r="522">
      <c r="A522" s="84" t="s">
        <v>7319</v>
      </c>
      <c r="B522" s="106"/>
      <c r="C522" s="84"/>
    </row>
    <row r="523">
      <c r="A523" s="84" t="s">
        <v>7294</v>
      </c>
      <c r="B523" s="106"/>
      <c r="C523" s="84"/>
    </row>
    <row r="524">
      <c r="A524" s="84" t="s">
        <v>7106</v>
      </c>
      <c r="B524" s="106"/>
      <c r="C524" s="84"/>
    </row>
    <row r="525">
      <c r="A525" s="84" t="s">
        <v>7101</v>
      </c>
      <c r="B525" s="106"/>
      <c r="C525" s="84"/>
    </row>
    <row r="526">
      <c r="A526" s="84" t="s">
        <v>6897</v>
      </c>
      <c r="B526" s="106"/>
      <c r="C526" s="84"/>
    </row>
    <row r="527">
      <c r="A527" s="84" t="s">
        <v>7525</v>
      </c>
      <c r="B527" s="106"/>
      <c r="C527" s="84"/>
    </row>
    <row r="528">
      <c r="A528" s="84" t="s">
        <v>7178</v>
      </c>
      <c r="B528" s="106"/>
      <c r="C528" s="84"/>
    </row>
    <row r="529">
      <c r="A529" s="84" t="s">
        <v>7353</v>
      </c>
      <c r="B529" s="106"/>
      <c r="C529" s="84"/>
    </row>
    <row r="530">
      <c r="A530" s="84" t="s">
        <v>6900</v>
      </c>
      <c r="B530" s="106"/>
      <c r="C530" s="84"/>
    </row>
    <row r="531">
      <c r="A531" s="84" t="s">
        <v>7553</v>
      </c>
      <c r="B531" s="106"/>
      <c r="C531" s="84"/>
    </row>
    <row r="532">
      <c r="A532" s="84" t="s">
        <v>7450</v>
      </c>
      <c r="B532" s="106"/>
      <c r="C532" s="84"/>
    </row>
    <row r="533">
      <c r="A533" s="84" t="s">
        <v>7634</v>
      </c>
      <c r="B533" s="106"/>
      <c r="C533" s="84"/>
    </row>
    <row r="534">
      <c r="A534" s="84" t="s">
        <v>7573</v>
      </c>
      <c r="B534" s="106"/>
      <c r="C534" s="84"/>
    </row>
    <row r="535">
      <c r="A535" s="84" t="s">
        <v>7724</v>
      </c>
      <c r="B535" s="106"/>
      <c r="C535" s="84"/>
    </row>
    <row r="536">
      <c r="A536" s="84" t="s">
        <v>7741</v>
      </c>
      <c r="B536" s="106"/>
      <c r="C536" s="84"/>
    </row>
    <row r="537">
      <c r="A537" s="84" t="s">
        <v>7220</v>
      </c>
      <c r="B537" s="106"/>
      <c r="C537" s="84"/>
    </row>
    <row r="538">
      <c r="A538" s="84" t="s">
        <v>7736</v>
      </c>
      <c r="B538" s="106"/>
      <c r="C538" s="84"/>
    </row>
    <row r="539">
      <c r="A539" s="84" t="s">
        <v>7579</v>
      </c>
      <c r="B539" s="106"/>
      <c r="C539" s="84"/>
    </row>
    <row r="540">
      <c r="A540" s="84" t="s">
        <v>7906</v>
      </c>
      <c r="B540" s="106"/>
      <c r="C540" s="84"/>
    </row>
    <row r="541">
      <c r="A541" s="84" t="s">
        <v>7858</v>
      </c>
      <c r="B541" s="106"/>
      <c r="C541" s="84"/>
    </row>
    <row r="542">
      <c r="A542" s="84" t="s">
        <v>7853</v>
      </c>
      <c r="B542" s="106"/>
      <c r="C542" s="84"/>
    </row>
    <row r="543">
      <c r="A543" s="84" t="s">
        <v>7844</v>
      </c>
      <c r="B543" s="106"/>
      <c r="C543" s="84"/>
    </row>
    <row r="544">
      <c r="A544" s="84" t="s">
        <v>7713</v>
      </c>
      <c r="B544" s="106"/>
      <c r="C544" s="84"/>
    </row>
    <row r="545">
      <c r="A545" s="84" t="s">
        <v>7718</v>
      </c>
      <c r="B545" s="106"/>
      <c r="C545" s="84"/>
    </row>
    <row r="546">
      <c r="A546" s="84" t="s">
        <v>7610</v>
      </c>
      <c r="B546" s="106"/>
      <c r="C546" s="84"/>
    </row>
    <row r="547">
      <c r="A547" s="84" t="s">
        <v>7835</v>
      </c>
      <c r="B547" s="106"/>
      <c r="C547" s="84"/>
    </row>
    <row r="548">
      <c r="A548" s="84" t="s">
        <v>7894</v>
      </c>
      <c r="B548" s="106"/>
      <c r="C548" s="84"/>
    </row>
    <row r="549">
      <c r="A549" s="84" t="s">
        <v>7797</v>
      </c>
      <c r="B549" s="106"/>
      <c r="C549" s="84"/>
    </row>
    <row r="550">
      <c r="A550" s="84" t="s">
        <v>7903</v>
      </c>
      <c r="B550" s="106"/>
      <c r="C550" s="84"/>
    </row>
    <row r="551">
      <c r="A551" s="84" t="s">
        <v>7582</v>
      </c>
      <c r="B551" s="106"/>
      <c r="C551" s="84"/>
    </row>
    <row r="552">
      <c r="A552" s="84" t="s">
        <v>7746</v>
      </c>
      <c r="B552" s="106"/>
      <c r="C552" s="84"/>
    </row>
    <row r="553">
      <c r="A553" s="84" t="s">
        <v>7805</v>
      </c>
      <c r="B553" s="106"/>
      <c r="C553" s="84"/>
    </row>
    <row r="554">
      <c r="A554" s="84" t="s">
        <v>7599</v>
      </c>
      <c r="B554" s="106"/>
      <c r="C554" s="84"/>
    </row>
    <row r="555">
      <c r="A555" s="84" t="s">
        <v>7891</v>
      </c>
      <c r="B555" s="106"/>
      <c r="C555" s="84"/>
    </row>
    <row r="556">
      <c r="A556" s="84" t="s">
        <v>7830</v>
      </c>
      <c r="B556" s="106"/>
      <c r="C556" s="84"/>
    </row>
    <row r="557">
      <c r="A557" s="84" t="s">
        <v>7872</v>
      </c>
      <c r="B557" s="106"/>
      <c r="C557" s="84"/>
    </row>
    <row r="558">
      <c r="A558" s="84" t="s">
        <v>7793</v>
      </c>
      <c r="B558" s="106"/>
      <c r="C558" s="84"/>
    </row>
    <row r="559">
      <c r="A559" s="84" t="s">
        <v>7691</v>
      </c>
      <c r="B559" s="106"/>
      <c r="C559" s="84"/>
    </row>
    <row r="560">
      <c r="A560" s="84" t="s">
        <v>7695</v>
      </c>
      <c r="B560" s="106"/>
      <c r="C560" s="84"/>
    </row>
    <row r="561">
      <c r="A561" s="84" t="s">
        <v>7698</v>
      </c>
      <c r="B561" s="106"/>
      <c r="C561" s="84"/>
    </row>
    <row r="562">
      <c r="A562" s="84" t="s">
        <v>7615</v>
      </c>
      <c r="B562" s="106"/>
      <c r="C562" s="84"/>
    </row>
    <row r="563">
      <c r="A563" s="84" t="s">
        <v>7920</v>
      </c>
      <c r="B563" s="106"/>
      <c r="C563" s="84"/>
    </row>
    <row r="564">
      <c r="A564" s="84" t="s">
        <v>6447</v>
      </c>
      <c r="B564" s="106"/>
      <c r="C564" s="84"/>
    </row>
    <row r="565">
      <c r="A565" s="84" t="s">
        <v>7929</v>
      </c>
      <c r="B565" s="106"/>
      <c r="C565" s="84"/>
    </row>
    <row r="566">
      <c r="A566" s="84" t="s">
        <v>7934</v>
      </c>
      <c r="B566" s="106"/>
      <c r="C566" s="84"/>
    </row>
    <row r="567">
      <c r="A567" s="84" t="s">
        <v>7939</v>
      </c>
      <c r="B567" s="106"/>
      <c r="C567" s="84"/>
    </row>
    <row r="568">
      <c r="A568" s="84" t="s">
        <v>7728</v>
      </c>
      <c r="B568" s="106"/>
      <c r="C568" s="84"/>
    </row>
    <row r="569">
      <c r="A569" s="84" t="s">
        <v>7802</v>
      </c>
      <c r="B569" s="106"/>
      <c r="C569" s="84"/>
    </row>
    <row r="570">
      <c r="A570" s="84" t="s">
        <v>7652</v>
      </c>
      <c r="B570" s="106"/>
      <c r="C570" s="8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14211</v>
      </c>
      <c r="B1" s="84" t="s">
        <v>14218</v>
      </c>
    </row>
    <row r="2">
      <c r="A2" s="84" t="s">
        <v>1594</v>
      </c>
      <c r="B2" s="84" t="s">
        <v>14219</v>
      </c>
    </row>
    <row r="3">
      <c r="A3" s="84" t="s">
        <v>366</v>
      </c>
      <c r="B3" s="84" t="s">
        <v>14220</v>
      </c>
    </row>
    <row r="4">
      <c r="A4" s="84" t="s">
        <v>140</v>
      </c>
      <c r="B4" s="84" t="s">
        <v>14221</v>
      </c>
    </row>
    <row r="5">
      <c r="A5" s="84" t="s">
        <v>1775</v>
      </c>
      <c r="B5" s="84" t="s">
        <v>14222</v>
      </c>
    </row>
    <row r="6">
      <c r="A6" s="84" t="s">
        <v>155</v>
      </c>
      <c r="B6" s="84" t="s">
        <v>14223</v>
      </c>
    </row>
    <row r="7">
      <c r="A7" s="84" t="s">
        <v>402</v>
      </c>
      <c r="B7" s="84" t="s">
        <v>14224</v>
      </c>
    </row>
    <row r="8">
      <c r="A8" s="84" t="s">
        <v>134</v>
      </c>
      <c r="B8" s="84" t="s">
        <v>14225</v>
      </c>
    </row>
    <row r="9">
      <c r="A9" s="84" t="s">
        <v>1211</v>
      </c>
      <c r="B9" s="84" t="s">
        <v>14226</v>
      </c>
    </row>
    <row r="10">
      <c r="A10" s="84" t="s">
        <v>229</v>
      </c>
      <c r="B10" s="84" t="s">
        <v>14227</v>
      </c>
    </row>
    <row r="11">
      <c r="A11" s="84" t="s">
        <v>283</v>
      </c>
      <c r="B11" s="84" t="s">
        <v>14228</v>
      </c>
    </row>
    <row r="12">
      <c r="A12" s="84" t="s">
        <v>111</v>
      </c>
      <c r="B12" s="84" t="s">
        <v>14229</v>
      </c>
    </row>
    <row r="13">
      <c r="A13" s="84" t="s">
        <v>1974</v>
      </c>
      <c r="B13" s="84" t="s">
        <v>14230</v>
      </c>
    </row>
    <row r="14">
      <c r="A14" s="84" t="s">
        <v>169</v>
      </c>
      <c r="B14" s="84" t="s">
        <v>14231</v>
      </c>
    </row>
    <row r="15">
      <c r="A15" s="84" t="s">
        <v>97</v>
      </c>
      <c r="B15" s="84" t="s">
        <v>14232</v>
      </c>
    </row>
    <row r="16">
      <c r="A16" s="84" t="s">
        <v>372</v>
      </c>
      <c r="B16" s="84" t="s">
        <v>14233</v>
      </c>
    </row>
    <row r="17">
      <c r="A17" s="84" t="s">
        <v>234</v>
      </c>
      <c r="B17" s="84" t="s">
        <v>14234</v>
      </c>
    </row>
    <row r="18">
      <c r="A18" s="84" t="s">
        <v>217</v>
      </c>
      <c r="B18" s="84" t="s">
        <v>14235</v>
      </c>
    </row>
    <row r="19">
      <c r="A19" s="84" t="s">
        <v>2096</v>
      </c>
      <c r="B19" s="84" t="s">
        <v>14236</v>
      </c>
    </row>
    <row r="20">
      <c r="A20" s="84" t="s">
        <v>1783</v>
      </c>
      <c r="B20" s="84" t="s">
        <v>14237</v>
      </c>
    </row>
    <row r="21">
      <c r="A21" s="84" t="s">
        <v>710</v>
      </c>
      <c r="B21" s="84" t="s">
        <v>14238</v>
      </c>
    </row>
    <row r="22">
      <c r="A22" s="84" t="s">
        <v>4000</v>
      </c>
      <c r="B22" s="84" t="s">
        <v>14239</v>
      </c>
    </row>
    <row r="23">
      <c r="A23" s="84" t="s">
        <v>1371</v>
      </c>
      <c r="B23" s="84" t="s">
        <v>14240</v>
      </c>
    </row>
    <row r="24">
      <c r="A24" s="84" t="s">
        <v>3616</v>
      </c>
      <c r="B24" s="84" t="s">
        <v>14241</v>
      </c>
    </row>
    <row r="25">
      <c r="A25" s="84" t="s">
        <v>1566</v>
      </c>
      <c r="B25" s="84" t="s">
        <v>14242</v>
      </c>
    </row>
    <row r="26">
      <c r="A26" s="84" t="s">
        <v>240</v>
      </c>
      <c r="B26" s="84" t="s">
        <v>14219</v>
      </c>
    </row>
    <row r="27">
      <c r="A27" s="84" t="s">
        <v>397</v>
      </c>
      <c r="B27" s="84" t="s">
        <v>14243</v>
      </c>
    </row>
    <row r="28">
      <c r="A28" s="84" t="s">
        <v>1187</v>
      </c>
      <c r="B28" s="84" t="s">
        <v>14244</v>
      </c>
    </row>
    <row r="29">
      <c r="A29" s="84" t="s">
        <v>205</v>
      </c>
      <c r="B29" s="84" t="s">
        <v>14245</v>
      </c>
    </row>
    <row r="30">
      <c r="A30" s="84" t="s">
        <v>1713</v>
      </c>
      <c r="B30" s="84" t="s">
        <v>14246</v>
      </c>
    </row>
    <row r="31">
      <c r="A31" s="84" t="s">
        <v>4198</v>
      </c>
      <c r="B31" s="84" t="s">
        <v>14247</v>
      </c>
    </row>
    <row r="32">
      <c r="A32" s="84" t="s">
        <v>163</v>
      </c>
      <c r="B32" s="84" t="s">
        <v>14237</v>
      </c>
    </row>
    <row r="33">
      <c r="A33" s="84" t="s">
        <v>342</v>
      </c>
      <c r="B33" s="84" t="s">
        <v>14248</v>
      </c>
    </row>
    <row r="34">
      <c r="A34" s="84" t="s">
        <v>1587</v>
      </c>
      <c r="B34" s="84" t="s">
        <v>14249</v>
      </c>
    </row>
    <row r="35">
      <c r="A35" s="84" t="s">
        <v>324</v>
      </c>
      <c r="B35" s="84" t="s">
        <v>14250</v>
      </c>
    </row>
    <row r="36">
      <c r="A36" s="84" t="s">
        <v>181</v>
      </c>
      <c r="B36" s="84" t="s">
        <v>14251</v>
      </c>
    </row>
    <row r="37">
      <c r="A37" s="84" t="s">
        <v>1619</v>
      </c>
      <c r="B37" s="84" t="s">
        <v>14252</v>
      </c>
    </row>
    <row r="38">
      <c r="A38" s="84" t="s">
        <v>127</v>
      </c>
      <c r="B38" s="84" t="s">
        <v>14253</v>
      </c>
    </row>
    <row r="39">
      <c r="A39" s="84" t="s">
        <v>1287</v>
      </c>
      <c r="B39" s="84" t="s">
        <v>14254</v>
      </c>
    </row>
    <row r="40">
      <c r="A40" s="84" t="s">
        <v>3194</v>
      </c>
      <c r="B40" s="84" t="s">
        <v>14255</v>
      </c>
    </row>
    <row r="41">
      <c r="A41" s="84" t="s">
        <v>2929</v>
      </c>
      <c r="B41" s="84" t="s">
        <v>14256</v>
      </c>
    </row>
    <row r="42">
      <c r="A42" s="84" t="s">
        <v>4013</v>
      </c>
      <c r="B42" s="84" t="s">
        <v>14257</v>
      </c>
    </row>
    <row r="43">
      <c r="A43" s="84" t="s">
        <v>379</v>
      </c>
      <c r="B43" s="84" t="s">
        <v>14258</v>
      </c>
    </row>
    <row r="44">
      <c r="A44" s="84" t="s">
        <v>301</v>
      </c>
      <c r="B44" s="84" t="s">
        <v>14259</v>
      </c>
    </row>
    <row r="45">
      <c r="A45" s="84" t="s">
        <v>2336</v>
      </c>
      <c r="B45" s="84" t="s">
        <v>14260</v>
      </c>
    </row>
    <row r="46">
      <c r="A46" s="84" t="s">
        <v>1888</v>
      </c>
      <c r="B46" s="84" t="s">
        <v>14261</v>
      </c>
    </row>
    <row r="47">
      <c r="A47" s="84" t="s">
        <v>2643</v>
      </c>
      <c r="B47" s="84" t="s">
        <v>14262</v>
      </c>
    </row>
    <row r="48">
      <c r="A48" s="84" t="s">
        <v>5064</v>
      </c>
      <c r="B48" s="84" t="s">
        <v>14263</v>
      </c>
    </row>
    <row r="49">
      <c r="A49" s="84" t="s">
        <v>3330</v>
      </c>
      <c r="B49" s="84" t="s">
        <v>14264</v>
      </c>
    </row>
    <row r="50">
      <c r="A50" s="84" t="s">
        <v>1033</v>
      </c>
      <c r="B50" s="84" t="s">
        <v>14265</v>
      </c>
    </row>
    <row r="51">
      <c r="A51" s="84" t="s">
        <v>2208</v>
      </c>
      <c r="B51" s="84" t="s">
        <v>14266</v>
      </c>
    </row>
    <row r="52">
      <c r="A52" s="84" t="s">
        <v>4640</v>
      </c>
      <c r="B52" s="84" t="s">
        <v>14267</v>
      </c>
    </row>
    <row r="53">
      <c r="A53" s="84" t="s">
        <v>2286</v>
      </c>
      <c r="B53" s="84" t="s">
        <v>14268</v>
      </c>
    </row>
    <row r="54">
      <c r="A54" s="84" t="s">
        <v>2333</v>
      </c>
      <c r="B54" s="84" t="s">
        <v>14269</v>
      </c>
    </row>
    <row r="55">
      <c r="A55" s="84" t="s">
        <v>2567</v>
      </c>
      <c r="B55" s="84" t="s">
        <v>14270</v>
      </c>
    </row>
    <row r="56">
      <c r="A56" s="84" t="s">
        <v>1906</v>
      </c>
      <c r="B56" s="84" t="s">
        <v>14271</v>
      </c>
    </row>
    <row r="57">
      <c r="A57" s="84" t="s">
        <v>1150</v>
      </c>
      <c r="B57" s="84" t="s">
        <v>14272</v>
      </c>
    </row>
    <row r="58">
      <c r="A58" s="84" t="s">
        <v>1041</v>
      </c>
      <c r="B58" s="84" t="s">
        <v>14273</v>
      </c>
    </row>
    <row r="59">
      <c r="A59" s="84" t="s">
        <v>974</v>
      </c>
      <c r="B59" s="84" t="s">
        <v>14274</v>
      </c>
    </row>
    <row r="60">
      <c r="A60" s="84" t="s">
        <v>4284</v>
      </c>
      <c r="B60" s="84" t="s">
        <v>11803</v>
      </c>
    </row>
    <row r="61">
      <c r="A61" s="84" t="s">
        <v>3566</v>
      </c>
      <c r="B61" s="84" t="s">
        <v>14275</v>
      </c>
    </row>
    <row r="62">
      <c r="A62" s="84" t="s">
        <v>312</v>
      </c>
      <c r="B62" s="84" t="s">
        <v>14276</v>
      </c>
    </row>
    <row r="63">
      <c r="A63" s="84" t="s">
        <v>148</v>
      </c>
      <c r="B63" s="84" t="s">
        <v>14277</v>
      </c>
    </row>
    <row r="64">
      <c r="A64" s="84" t="s">
        <v>1257</v>
      </c>
      <c r="B64" s="84" t="s">
        <v>14278</v>
      </c>
    </row>
    <row r="65">
      <c r="A65" s="84" t="s">
        <v>984</v>
      </c>
      <c r="B65" s="84" t="s">
        <v>14279</v>
      </c>
    </row>
    <row r="66">
      <c r="A66" s="84" t="s">
        <v>193</v>
      </c>
      <c r="B66" s="84" t="s">
        <v>14280</v>
      </c>
    </row>
    <row r="67">
      <c r="A67" s="84" t="s">
        <v>1953</v>
      </c>
      <c r="B67" s="84" t="s">
        <v>14281</v>
      </c>
    </row>
    <row r="68">
      <c r="A68" s="84" t="s">
        <v>1490</v>
      </c>
      <c r="B68" s="84" t="s">
        <v>14282</v>
      </c>
    </row>
    <row r="69">
      <c r="A69" s="84" t="s">
        <v>1738</v>
      </c>
      <c r="B69" s="84" t="s">
        <v>14283</v>
      </c>
    </row>
    <row r="70">
      <c r="A70" s="84" t="s">
        <v>348</v>
      </c>
      <c r="B70" s="84" t="s">
        <v>14284</v>
      </c>
    </row>
    <row r="71">
      <c r="A71" s="84" t="s">
        <v>318</v>
      </c>
      <c r="B71" s="84" t="s">
        <v>14285</v>
      </c>
    </row>
    <row r="72">
      <c r="A72" s="84" t="s">
        <v>265</v>
      </c>
      <c r="B72" s="84" t="s">
        <v>14286</v>
      </c>
    </row>
    <row r="73">
      <c r="A73" s="84" t="s">
        <v>306</v>
      </c>
      <c r="B73" s="84" t="s">
        <v>14287</v>
      </c>
    </row>
    <row r="74">
      <c r="A74" s="84" t="s">
        <v>391</v>
      </c>
      <c r="B74" s="84" t="s">
        <v>14288</v>
      </c>
    </row>
    <row r="75">
      <c r="A75" s="84" t="s">
        <v>4075</v>
      </c>
      <c r="B75" s="84" t="s">
        <v>14289</v>
      </c>
    </row>
    <row r="76">
      <c r="A76" s="84" t="s">
        <v>2119</v>
      </c>
      <c r="B76" s="84" t="s">
        <v>14290</v>
      </c>
    </row>
    <row r="77">
      <c r="A77" s="84" t="s">
        <v>385</v>
      </c>
      <c r="B77" s="84" t="s">
        <v>14291</v>
      </c>
    </row>
    <row r="78">
      <c r="A78" s="84" t="s">
        <v>253</v>
      </c>
      <c r="B78" s="84" t="s">
        <v>14292</v>
      </c>
    </row>
    <row r="79">
      <c r="A79" s="84" t="s">
        <v>4837</v>
      </c>
      <c r="B79" s="84" t="s">
        <v>14293</v>
      </c>
    </row>
    <row r="80">
      <c r="A80" s="84" t="s">
        <v>278</v>
      </c>
      <c r="B80" s="84" t="s">
        <v>14294</v>
      </c>
    </row>
    <row r="81">
      <c r="A81" s="84" t="s">
        <v>3464</v>
      </c>
      <c r="B81" s="84" t="s">
        <v>14295</v>
      </c>
    </row>
    <row r="82">
      <c r="A82" s="84" t="s">
        <v>354</v>
      </c>
      <c r="B82" s="84" t="s">
        <v>14296</v>
      </c>
    </row>
    <row r="83">
      <c r="A83" s="84" t="s">
        <v>2449</v>
      </c>
      <c r="B83" s="84" t="s">
        <v>14297</v>
      </c>
    </row>
    <row r="84">
      <c r="A84" s="84" t="s">
        <v>1579</v>
      </c>
      <c r="B84" s="84" t="s">
        <v>14298</v>
      </c>
    </row>
    <row r="85">
      <c r="A85" s="84" t="s">
        <v>5043</v>
      </c>
      <c r="B85" s="84" t="s">
        <v>14299</v>
      </c>
    </row>
    <row r="86">
      <c r="A86" s="84" t="s">
        <v>294</v>
      </c>
      <c r="B86" s="84" t="s">
        <v>14300</v>
      </c>
    </row>
    <row r="87">
      <c r="A87" s="84" t="s">
        <v>3799</v>
      </c>
      <c r="B87" s="84" t="s">
        <v>14301</v>
      </c>
    </row>
    <row r="88">
      <c r="A88" s="84" t="s">
        <v>3441</v>
      </c>
      <c r="B88" s="84" t="s">
        <v>14302</v>
      </c>
    </row>
    <row r="89">
      <c r="A89" s="84" t="s">
        <v>337</v>
      </c>
      <c r="B89" s="84" t="s">
        <v>14303</v>
      </c>
    </row>
    <row r="90">
      <c r="A90" s="84" t="s">
        <v>360</v>
      </c>
      <c r="B90" s="84" t="s">
        <v>14304</v>
      </c>
    </row>
    <row r="91">
      <c r="A91" s="84" t="s">
        <v>199</v>
      </c>
      <c r="B91" s="84" t="s">
        <v>14305</v>
      </c>
    </row>
    <row r="92">
      <c r="A92" s="84" t="s">
        <v>247</v>
      </c>
      <c r="B92" s="84" t="s">
        <v>14306</v>
      </c>
    </row>
    <row r="93">
      <c r="A93" s="84" t="s">
        <v>3488</v>
      </c>
      <c r="B93" s="84" t="s">
        <v>14307</v>
      </c>
    </row>
    <row r="94">
      <c r="A94" s="84" t="s">
        <v>1211</v>
      </c>
      <c r="B94" s="84" t="s">
        <v>14226</v>
      </c>
    </row>
    <row r="95">
      <c r="A95" s="84" t="s">
        <v>1545</v>
      </c>
      <c r="B95" s="84" t="s">
        <v>14308</v>
      </c>
    </row>
    <row r="96">
      <c r="A96" s="84" t="s">
        <v>2929</v>
      </c>
      <c r="B96" s="84" t="s">
        <v>14256</v>
      </c>
    </row>
    <row r="97">
      <c r="A97" s="84" t="s">
        <v>104</v>
      </c>
      <c r="B97" s="84" t="s">
        <v>14309</v>
      </c>
    </row>
    <row r="98">
      <c r="A98" s="84" t="s">
        <v>2766</v>
      </c>
      <c r="B98" s="84" t="s">
        <v>14310</v>
      </c>
    </row>
    <row r="99">
      <c r="A99" s="84" t="s">
        <v>2628</v>
      </c>
      <c r="B99" s="84" t="s">
        <v>14311</v>
      </c>
    </row>
    <row r="100">
      <c r="A100" s="84" t="s">
        <v>5049</v>
      </c>
      <c r="B100" s="84" t="s">
        <v>14312</v>
      </c>
    </row>
    <row r="101">
      <c r="A101" s="84" t="s">
        <v>2806</v>
      </c>
      <c r="B101" s="84" t="s">
        <v>14313</v>
      </c>
    </row>
    <row r="102">
      <c r="A102" s="84" t="s">
        <v>3330</v>
      </c>
      <c r="B102" s="84" t="s">
        <v>14264</v>
      </c>
    </row>
    <row r="103">
      <c r="A103" s="84" t="s">
        <v>1117</v>
      </c>
      <c r="B103" s="84" t="s">
        <v>14314</v>
      </c>
    </row>
    <row r="104">
      <c r="A104" s="84" t="s">
        <v>3135</v>
      </c>
      <c r="B104" s="84" t="s">
        <v>14315</v>
      </c>
    </row>
    <row r="105">
      <c r="A105" s="84" t="s">
        <v>169</v>
      </c>
      <c r="B105" s="84" t="s">
        <v>14231</v>
      </c>
    </row>
    <row r="106">
      <c r="A106" s="84" t="s">
        <v>1663</v>
      </c>
      <c r="B106" s="84" t="s">
        <v>14316</v>
      </c>
    </row>
    <row r="107">
      <c r="A107" s="84" t="s">
        <v>1235</v>
      </c>
      <c r="B107" s="84" t="s">
        <v>14317</v>
      </c>
    </row>
    <row r="108">
      <c r="A108" s="84" t="s">
        <v>2216</v>
      </c>
      <c r="B108" s="84" t="s">
        <v>14318</v>
      </c>
    </row>
    <row r="109">
      <c r="A109" s="84" t="s">
        <v>1503</v>
      </c>
      <c r="B109" s="84" t="s">
        <v>14319</v>
      </c>
    </row>
    <row r="110">
      <c r="A110" s="84" t="s">
        <v>4128</v>
      </c>
      <c r="B110" s="84" t="s">
        <v>14320</v>
      </c>
    </row>
    <row r="111">
      <c r="A111" s="84" t="s">
        <v>259</v>
      </c>
      <c r="B111" s="84" t="s">
        <v>14321</v>
      </c>
    </row>
    <row r="112">
      <c r="A112" s="84" t="s">
        <v>1211</v>
      </c>
      <c r="B112" s="84" t="s">
        <v>14226</v>
      </c>
    </row>
    <row r="113">
      <c r="A113" s="84" t="s">
        <v>2733</v>
      </c>
      <c r="B113" s="84" t="s">
        <v>14322</v>
      </c>
    </row>
    <row r="114">
      <c r="A114" s="84" t="s">
        <v>5606</v>
      </c>
      <c r="B114" s="84" t="s">
        <v>14323</v>
      </c>
    </row>
    <row r="115">
      <c r="A115" s="84" t="s">
        <v>2404</v>
      </c>
      <c r="B115" s="84" t="s">
        <v>2408</v>
      </c>
    </row>
    <row r="116">
      <c r="A116" s="84" t="s">
        <v>5043</v>
      </c>
      <c r="B116" s="84" t="s">
        <v>14299</v>
      </c>
    </row>
    <row r="117">
      <c r="A117" s="84" t="s">
        <v>337</v>
      </c>
      <c r="B117" s="84" t="s">
        <v>14303</v>
      </c>
    </row>
    <row r="118">
      <c r="A118" s="84" t="s">
        <v>1023</v>
      </c>
      <c r="B118" s="84" t="s">
        <v>14324</v>
      </c>
    </row>
    <row r="119">
      <c r="A119" s="84" t="s">
        <v>385</v>
      </c>
      <c r="B119" s="84" t="s">
        <v>14325</v>
      </c>
    </row>
    <row r="120">
      <c r="A120" s="84" t="s">
        <v>331</v>
      </c>
      <c r="B120" s="84" t="s">
        <v>14326</v>
      </c>
    </row>
    <row r="121">
      <c r="A121" s="84" t="s">
        <v>210</v>
      </c>
      <c r="B121" s="84" t="s">
        <v>14327</v>
      </c>
    </row>
    <row r="122">
      <c r="A122" s="84" t="s">
        <v>2758</v>
      </c>
      <c r="B122" s="84" t="s">
        <v>14328</v>
      </c>
    </row>
    <row r="123">
      <c r="A123" s="84" t="s">
        <v>1875</v>
      </c>
      <c r="B123" s="84" t="s">
        <v>14329</v>
      </c>
    </row>
    <row r="124">
      <c r="A124" s="84" t="s">
        <v>1559</v>
      </c>
      <c r="B124" s="84" t="s">
        <v>14330</v>
      </c>
    </row>
    <row r="125">
      <c r="A125" s="84" t="s">
        <v>4677</v>
      </c>
      <c r="B125" s="84" t="s">
        <v>14331</v>
      </c>
    </row>
    <row r="126">
      <c r="A126" s="84" t="s">
        <v>3793</v>
      </c>
      <c r="B126" s="84" t="s">
        <v>14332</v>
      </c>
    </row>
    <row r="127">
      <c r="A127" s="84" t="s">
        <v>1875</v>
      </c>
      <c r="B127" s="84" t="s">
        <v>14329</v>
      </c>
    </row>
    <row r="128">
      <c r="A128" s="84" t="s">
        <v>4666</v>
      </c>
      <c r="B128" s="84" t="s">
        <v>14333</v>
      </c>
    </row>
    <row r="129">
      <c r="A129" s="84" t="s">
        <v>5023</v>
      </c>
      <c r="B129" s="84" t="s">
        <v>14334</v>
      </c>
    </row>
    <row r="130">
      <c r="A130" s="84" t="s">
        <v>3610</v>
      </c>
      <c r="B130" s="84" t="s">
        <v>14335</v>
      </c>
    </row>
    <row r="131">
      <c r="A131" s="84" t="s">
        <v>294</v>
      </c>
      <c r="B131" s="84" t="s">
        <v>14300</v>
      </c>
    </row>
    <row r="132">
      <c r="A132" s="84" t="s">
        <v>3168</v>
      </c>
      <c r="B132" s="84" t="s">
        <v>14336</v>
      </c>
    </row>
    <row r="133">
      <c r="A133" s="84" t="s">
        <v>2292</v>
      </c>
      <c r="B133" s="84" t="s">
        <v>14337</v>
      </c>
    </row>
    <row r="134">
      <c r="A134" s="84" t="s">
        <v>4284</v>
      </c>
      <c r="B134" s="84" t="s">
        <v>14338</v>
      </c>
    </row>
    <row r="135">
      <c r="A135" s="84" t="s">
        <v>4260</v>
      </c>
      <c r="B135" s="84" t="s">
        <v>14339</v>
      </c>
    </row>
    <row r="136">
      <c r="A136" s="84" t="s">
        <v>1650</v>
      </c>
      <c r="B136" s="84" t="s">
        <v>14340</v>
      </c>
    </row>
    <row r="137">
      <c r="A137" s="84" t="s">
        <v>1496</v>
      </c>
      <c r="B137" s="84" t="s">
        <v>14341</v>
      </c>
    </row>
    <row r="138">
      <c r="A138" s="84" t="s">
        <v>5090</v>
      </c>
      <c r="B138" s="84" t="s">
        <v>14342</v>
      </c>
    </row>
    <row r="139">
      <c r="A139" s="84" t="s">
        <v>581</v>
      </c>
      <c r="B139" s="84" t="s">
        <v>14343</v>
      </c>
    </row>
    <row r="140">
      <c r="A140" s="84" t="s">
        <v>3323</v>
      </c>
      <c r="B140" s="84" t="s">
        <v>14344</v>
      </c>
    </row>
    <row r="141">
      <c r="A141" s="84" t="s">
        <v>586</v>
      </c>
      <c r="B141" s="84" t="s">
        <v>14345</v>
      </c>
    </row>
    <row r="142">
      <c r="A142" s="84" t="s">
        <v>1483</v>
      </c>
      <c r="B142" s="84" t="s">
        <v>14346</v>
      </c>
    </row>
    <row r="143">
      <c r="A143" s="84" t="s">
        <v>429</v>
      </c>
      <c r="B143" s="84" t="s">
        <v>14347</v>
      </c>
    </row>
    <row r="144">
      <c r="A144" s="84" t="s">
        <v>4044</v>
      </c>
      <c r="B144" s="84" t="s">
        <v>14348</v>
      </c>
    </row>
    <row r="145">
      <c r="A145" s="84" t="s">
        <v>4415</v>
      </c>
      <c r="B145" s="84" t="s">
        <v>14349</v>
      </c>
    </row>
    <row r="146">
      <c r="A146" s="84" t="s">
        <v>592</v>
      </c>
      <c r="B146" s="84" t="s">
        <v>14350</v>
      </c>
    </row>
    <row r="147">
      <c r="A147" s="84" t="s">
        <v>805</v>
      </c>
      <c r="B147" s="84" t="s">
        <v>14351</v>
      </c>
    </row>
    <row r="148">
      <c r="A148" s="84" t="s">
        <v>2271</v>
      </c>
      <c r="B148" s="84" t="s">
        <v>14352</v>
      </c>
    </row>
    <row r="149">
      <c r="A149" s="84" t="s">
        <v>3634</v>
      </c>
      <c r="B149" s="84" t="s">
        <v>14353</v>
      </c>
    </row>
    <row r="150">
      <c r="A150" s="84" t="s">
        <v>535</v>
      </c>
      <c r="B150" s="84" t="s">
        <v>14354</v>
      </c>
    </row>
    <row r="151">
      <c r="A151" s="84" t="s">
        <v>541</v>
      </c>
      <c r="B151" s="84" t="s">
        <v>14355</v>
      </c>
    </row>
    <row r="152">
      <c r="A152" s="84" t="s">
        <v>476</v>
      </c>
      <c r="B152" s="84" t="s">
        <v>14356</v>
      </c>
    </row>
    <row r="153">
      <c r="A153" s="84" t="s">
        <v>2083</v>
      </c>
      <c r="B153" s="84" t="s">
        <v>14357</v>
      </c>
    </row>
    <row r="154">
      <c r="A154" s="84" t="s">
        <v>4519</v>
      </c>
      <c r="B154" s="84" t="s">
        <v>14358</v>
      </c>
    </row>
    <row r="155">
      <c r="A155" s="84" t="s">
        <v>2216</v>
      </c>
      <c r="B155" s="84" t="s">
        <v>14318</v>
      </c>
    </row>
    <row r="156">
      <c r="A156" s="84" t="s">
        <v>745</v>
      </c>
      <c r="B156" s="84" t="s">
        <v>14359</v>
      </c>
    </row>
    <row r="157">
      <c r="A157" s="84" t="s">
        <v>1879</v>
      </c>
      <c r="B157" s="84" t="s">
        <v>14360</v>
      </c>
    </row>
    <row r="158">
      <c r="A158" s="84" t="s">
        <v>1525</v>
      </c>
      <c r="B158" s="84" t="s">
        <v>14361</v>
      </c>
    </row>
    <row r="159">
      <c r="A159" s="84" t="s">
        <v>530</v>
      </c>
      <c r="B159" s="84" t="s">
        <v>14362</v>
      </c>
    </row>
    <row r="160">
      <c r="A160" s="84" t="s">
        <v>1719</v>
      </c>
      <c r="B160" s="84" t="s">
        <v>14363</v>
      </c>
    </row>
    <row r="161">
      <c r="A161" s="84" t="s">
        <v>1365</v>
      </c>
      <c r="B161" s="84" t="s">
        <v>14364</v>
      </c>
    </row>
    <row r="162">
      <c r="A162" s="84" t="s">
        <v>288</v>
      </c>
      <c r="B162" s="84" t="s">
        <v>14365</v>
      </c>
    </row>
    <row r="163">
      <c r="A163" s="84" t="s">
        <v>1379</v>
      </c>
      <c r="B163" s="84" t="s">
        <v>14366</v>
      </c>
    </row>
    <row r="164">
      <c r="A164" s="84" t="s">
        <v>1319</v>
      </c>
      <c r="B164" s="84" t="s">
        <v>14366</v>
      </c>
    </row>
    <row r="165">
      <c r="A165" s="84" t="s">
        <v>1682</v>
      </c>
      <c r="B165" s="84" t="s">
        <v>14367</v>
      </c>
    </row>
    <row r="166">
      <c r="A166" s="84" t="s">
        <v>435</v>
      </c>
      <c r="B166" s="84" t="s">
        <v>14368</v>
      </c>
    </row>
    <row r="167">
      <c r="A167" s="84" t="s">
        <v>413</v>
      </c>
      <c r="B167" s="84" t="s">
        <v>14369</v>
      </c>
    </row>
    <row r="168">
      <c r="A168" s="84" t="s">
        <v>487</v>
      </c>
      <c r="B168" s="84" t="s">
        <v>14370</v>
      </c>
    </row>
    <row r="169">
      <c r="A169" s="84" t="s">
        <v>1894</v>
      </c>
      <c r="B169" s="84" t="s">
        <v>14371</v>
      </c>
    </row>
    <row r="170">
      <c r="A170" s="84" t="s">
        <v>516</v>
      </c>
      <c r="B170" s="84" t="s">
        <v>14372</v>
      </c>
    </row>
    <row r="171">
      <c r="A171" s="84" t="s">
        <v>692</v>
      </c>
      <c r="B171" s="84" t="s">
        <v>14373</v>
      </c>
    </row>
    <row r="172">
      <c r="A172" s="84" t="s">
        <v>2822</v>
      </c>
      <c r="B172" s="84" t="s">
        <v>14374</v>
      </c>
    </row>
    <row r="173">
      <c r="A173" s="84" t="s">
        <v>1464</v>
      </c>
      <c r="B173" s="84" t="s">
        <v>14373</v>
      </c>
    </row>
    <row r="174">
      <c r="A174" s="84" t="s">
        <v>465</v>
      </c>
      <c r="B174" s="84" t="s">
        <v>14375</v>
      </c>
    </row>
    <row r="175">
      <c r="A175" s="84" t="s">
        <v>504</v>
      </c>
      <c r="B175" s="84" t="s">
        <v>14376</v>
      </c>
    </row>
    <row r="176">
      <c r="A176" s="84" t="s">
        <v>1477</v>
      </c>
      <c r="B176" s="84" t="s">
        <v>14377</v>
      </c>
    </row>
    <row r="177">
      <c r="A177" s="84" t="s">
        <v>492</v>
      </c>
      <c r="B177" s="84" t="s">
        <v>14378</v>
      </c>
    </row>
    <row r="178">
      <c r="A178" s="84" t="s">
        <v>2246</v>
      </c>
      <c r="B178" s="84" t="s">
        <v>14379</v>
      </c>
    </row>
    <row r="179">
      <c r="A179" s="84" t="s">
        <v>2048</v>
      </c>
      <c r="B179" s="84" t="s">
        <v>14380</v>
      </c>
    </row>
    <row r="180">
      <c r="A180" s="84" t="s">
        <v>1830</v>
      </c>
      <c r="B180" s="84" t="s">
        <v>14379</v>
      </c>
    </row>
    <row r="181">
      <c r="A181" s="84" t="s">
        <v>419</v>
      </c>
      <c r="B181" s="84" t="s">
        <v>14381</v>
      </c>
    </row>
    <row r="182">
      <c r="A182" s="84" t="s">
        <v>408</v>
      </c>
      <c r="B182" s="84" t="s">
        <v>14382</v>
      </c>
    </row>
    <row r="183">
      <c r="A183" s="84" t="s">
        <v>609</v>
      </c>
      <c r="B183" s="84" t="s">
        <v>14383</v>
      </c>
    </row>
    <row r="184">
      <c r="A184" s="84" t="s">
        <v>622</v>
      </c>
      <c r="B184" s="84" t="s">
        <v>14384</v>
      </c>
    </row>
    <row r="185">
      <c r="A185" s="84" t="s">
        <v>498</v>
      </c>
      <c r="B185" s="84" t="s">
        <v>14385</v>
      </c>
    </row>
    <row r="186">
      <c r="A186" s="84" t="s">
        <v>553</v>
      </c>
      <c r="B186" s="84" t="s">
        <v>14386</v>
      </c>
    </row>
    <row r="187">
      <c r="A187" s="84" t="s">
        <v>923</v>
      </c>
      <c r="B187" s="84" t="s">
        <v>14387</v>
      </c>
    </row>
    <row r="188">
      <c r="A188" s="84" t="s">
        <v>441</v>
      </c>
      <c r="B188" s="84" t="s">
        <v>14388</v>
      </c>
    </row>
    <row r="189">
      <c r="A189" s="84" t="s">
        <v>604</v>
      </c>
      <c r="B189" s="84" t="s">
        <v>14389</v>
      </c>
    </row>
    <row r="190">
      <c r="A190" s="84" t="s">
        <v>950</v>
      </c>
      <c r="B190" s="84" t="s">
        <v>14390</v>
      </c>
    </row>
    <row r="191">
      <c r="A191" s="84" t="s">
        <v>447</v>
      </c>
      <c r="B191" s="84" t="s">
        <v>14391</v>
      </c>
    </row>
    <row r="192">
      <c r="A192" s="84" t="s">
        <v>4934</v>
      </c>
      <c r="B192" s="84" t="s">
        <v>14392</v>
      </c>
    </row>
    <row r="193">
      <c r="A193" s="84" t="s">
        <v>2473</v>
      </c>
      <c r="B193" s="84" t="s">
        <v>14393</v>
      </c>
    </row>
    <row r="194">
      <c r="A194" s="84" t="s">
        <v>1744</v>
      </c>
      <c r="B194" s="84" t="s">
        <v>14394</v>
      </c>
    </row>
    <row r="195">
      <c r="A195" s="84" t="s">
        <v>1996</v>
      </c>
      <c r="B195" s="84" t="s">
        <v>14395</v>
      </c>
    </row>
    <row r="196">
      <c r="A196" s="84" t="s">
        <v>3626</v>
      </c>
      <c r="B196" s="84" t="s">
        <v>14396</v>
      </c>
    </row>
    <row r="197">
      <c r="A197" s="84" t="s">
        <v>1573</v>
      </c>
      <c r="B197" s="84" t="s">
        <v>14397</v>
      </c>
    </row>
    <row r="198">
      <c r="A198" s="84" t="s">
        <v>1458</v>
      </c>
      <c r="B198" s="84" t="s">
        <v>14398</v>
      </c>
    </row>
    <row r="199">
      <c r="A199" s="84" t="s">
        <v>1862</v>
      </c>
      <c r="B199" s="84" t="s">
        <v>14399</v>
      </c>
    </row>
    <row r="200">
      <c r="A200" s="84" t="s">
        <v>1763</v>
      </c>
      <c r="B200" s="84" t="s">
        <v>14400</v>
      </c>
    </row>
    <row r="201">
      <c r="A201" s="84" t="s">
        <v>558</v>
      </c>
      <c r="B201" s="84" t="s">
        <v>14401</v>
      </c>
    </row>
    <row r="202">
      <c r="A202" s="84" t="s">
        <v>966</v>
      </c>
      <c r="B202" s="84" t="s">
        <v>14402</v>
      </c>
    </row>
    <row r="203">
      <c r="A203" s="84" t="s">
        <v>1509</v>
      </c>
      <c r="B203" s="84" t="s">
        <v>14316</v>
      </c>
    </row>
    <row r="204">
      <c r="A204" s="84" t="s">
        <v>460</v>
      </c>
      <c r="B204" s="84" t="s">
        <v>14403</v>
      </c>
    </row>
    <row r="205">
      <c r="A205" s="84" t="s">
        <v>71</v>
      </c>
      <c r="B205" s="84" t="s">
        <v>14403</v>
      </c>
    </row>
    <row r="206">
      <c r="A206" s="84" t="s">
        <v>5010</v>
      </c>
      <c r="B206" s="84" t="s">
        <v>14404</v>
      </c>
    </row>
    <row r="207">
      <c r="A207" s="84" t="s">
        <v>1401</v>
      </c>
      <c r="B207" s="84" t="s">
        <v>14405</v>
      </c>
    </row>
    <row r="208">
      <c r="A208" s="84" t="s">
        <v>546</v>
      </c>
      <c r="B208" s="84" t="s">
        <v>14406</v>
      </c>
    </row>
    <row r="209">
      <c r="A209" s="84" t="s">
        <v>470</v>
      </c>
      <c r="B209" s="84" t="s">
        <v>14407</v>
      </c>
    </row>
    <row r="210">
      <c r="A210" s="84" t="s">
        <v>5078</v>
      </c>
      <c r="B210" s="84" t="s">
        <v>14408</v>
      </c>
    </row>
    <row r="211">
      <c r="A211" s="84" t="s">
        <v>4983</v>
      </c>
      <c r="B211" s="84" t="s">
        <v>14409</v>
      </c>
    </row>
    <row r="212">
      <c r="A212" s="84" t="s">
        <v>571</v>
      </c>
      <c r="B212" s="84" t="s">
        <v>14410</v>
      </c>
    </row>
    <row r="213">
      <c r="A213" s="84" t="s">
        <v>3793</v>
      </c>
      <c r="B213" s="84" t="s">
        <v>14411</v>
      </c>
    </row>
    <row r="214">
      <c r="A214" s="84" t="s">
        <v>481</v>
      </c>
      <c r="B214" s="84" t="s">
        <v>14412</v>
      </c>
    </row>
    <row r="215">
      <c r="A215" s="84" t="s">
        <v>5085</v>
      </c>
      <c r="B215" s="84" t="s">
        <v>14413</v>
      </c>
    </row>
    <row r="216">
      <c r="A216" s="84" t="s">
        <v>4588</v>
      </c>
      <c r="B216" s="84" t="s">
        <v>14414</v>
      </c>
    </row>
    <row r="217">
      <c r="A217" s="84" t="s">
        <v>3804</v>
      </c>
      <c r="B217" s="84" t="s">
        <v>14415</v>
      </c>
    </row>
    <row r="218">
      <c r="A218" s="84" t="s">
        <v>2089</v>
      </c>
      <c r="B218" s="84" t="s">
        <v>14416</v>
      </c>
    </row>
    <row r="219">
      <c r="A219" s="84" t="s">
        <v>1357</v>
      </c>
      <c r="B219" s="84" t="s">
        <v>14417</v>
      </c>
    </row>
    <row r="220">
      <c r="A220" s="84" t="s">
        <v>1220</v>
      </c>
      <c r="B220" s="84" t="s">
        <v>14418</v>
      </c>
    </row>
    <row r="221">
      <c r="A221" s="84" t="s">
        <v>3044</v>
      </c>
      <c r="B221" s="84" t="s">
        <v>14419</v>
      </c>
    </row>
    <row r="222">
      <c r="A222" s="84" t="s">
        <v>3665</v>
      </c>
      <c r="B222" s="84" t="s">
        <v>14420</v>
      </c>
    </row>
    <row r="223">
      <c r="A223" s="84" t="s">
        <v>5495</v>
      </c>
      <c r="B223" s="84" t="s">
        <v>14421</v>
      </c>
    </row>
    <row r="224">
      <c r="A224" s="84" t="s">
        <v>905</v>
      </c>
      <c r="B224" s="84" t="s">
        <v>14422</v>
      </c>
    </row>
    <row r="225">
      <c r="A225" s="84" t="s">
        <v>2198</v>
      </c>
      <c r="B225" s="84" t="s">
        <v>14423</v>
      </c>
    </row>
    <row r="226">
      <c r="A226" s="84" t="s">
        <v>3650</v>
      </c>
      <c r="B226" s="84" t="s">
        <v>14424</v>
      </c>
    </row>
    <row r="227">
      <c r="A227" s="84" t="s">
        <v>2016</v>
      </c>
      <c r="B227" s="84" t="s">
        <v>14425</v>
      </c>
    </row>
    <row r="228">
      <c r="A228" s="84" t="s">
        <v>5817</v>
      </c>
      <c r="B228" s="84" t="s">
        <v>14426</v>
      </c>
    </row>
    <row r="229">
      <c r="A229" s="84" t="s">
        <v>354</v>
      </c>
      <c r="B229" s="84" t="s">
        <v>14296</v>
      </c>
    </row>
    <row r="230">
      <c r="A230" s="84" t="s">
        <v>3361</v>
      </c>
      <c r="B230" s="84" t="s">
        <v>14427</v>
      </c>
    </row>
    <row r="231">
      <c r="A231" s="84" t="s">
        <v>4966</v>
      </c>
      <c r="B231" s="84" t="s">
        <v>14428</v>
      </c>
    </row>
    <row r="232">
      <c r="A232" s="84" t="s">
        <v>4089</v>
      </c>
      <c r="B232" s="84" t="s">
        <v>14429</v>
      </c>
    </row>
    <row r="233">
      <c r="A233" s="84" t="s">
        <v>4504</v>
      </c>
      <c r="B233" s="84" t="s">
        <v>14430</v>
      </c>
    </row>
    <row r="234">
      <c r="A234" s="84" t="s">
        <v>615</v>
      </c>
      <c r="B234" s="84" t="s">
        <v>14431</v>
      </c>
    </row>
    <row r="235">
      <c r="A235" s="84" t="s">
        <v>1705</v>
      </c>
      <c r="B235" s="84" t="s">
        <v>14432</v>
      </c>
    </row>
    <row r="236">
      <c r="A236" s="84" t="s">
        <v>628</v>
      </c>
      <c r="B236" s="84" t="s">
        <v>14433</v>
      </c>
    </row>
    <row r="237">
      <c r="A237" s="84" t="s">
        <v>2311</v>
      </c>
      <c r="B237" s="84" t="s">
        <v>14434</v>
      </c>
    </row>
    <row r="238">
      <c r="A238" s="84" t="s">
        <v>3122</v>
      </c>
      <c r="B238" s="84" t="s">
        <v>14435</v>
      </c>
    </row>
    <row r="239">
      <c r="A239" s="84" t="s">
        <v>1048</v>
      </c>
      <c r="B239" s="84" t="s">
        <v>14436</v>
      </c>
    </row>
    <row r="240">
      <c r="A240" s="84" t="s">
        <v>597</v>
      </c>
      <c r="B240" s="84" t="s">
        <v>14437</v>
      </c>
    </row>
    <row r="241">
      <c r="A241" s="84" t="s">
        <v>564</v>
      </c>
      <c r="B241" s="84" t="s">
        <v>14438</v>
      </c>
    </row>
    <row r="242">
      <c r="A242" s="84" t="s">
        <v>1516</v>
      </c>
      <c r="B242" s="84" t="s">
        <v>14439</v>
      </c>
    </row>
    <row r="243">
      <c r="A243" s="84" t="s">
        <v>4927</v>
      </c>
      <c r="B243" s="84" t="s">
        <v>14440</v>
      </c>
    </row>
    <row r="244">
      <c r="A244" s="84" t="s">
        <v>1980</v>
      </c>
      <c r="B244" s="84" t="s">
        <v>14441</v>
      </c>
    </row>
    <row r="245">
      <c r="A245" s="84" t="s">
        <v>5578</v>
      </c>
      <c r="B245" s="84" t="s">
        <v>14442</v>
      </c>
    </row>
    <row r="246">
      <c r="A246" s="84" t="s">
        <v>1986</v>
      </c>
      <c r="B246" s="84" t="s">
        <v>14443</v>
      </c>
    </row>
    <row r="247">
      <c r="A247" s="84" t="s">
        <v>2670</v>
      </c>
      <c r="B247" s="84" t="s">
        <v>14444</v>
      </c>
    </row>
    <row r="248">
      <c r="A248" s="84" t="s">
        <v>3665</v>
      </c>
      <c r="B248" s="84" t="s">
        <v>14420</v>
      </c>
    </row>
    <row r="249">
      <c r="A249" s="84" t="s">
        <v>4588</v>
      </c>
      <c r="B249" s="84" t="s">
        <v>14414</v>
      </c>
    </row>
    <row r="250">
      <c r="A250" s="84" t="s">
        <v>5307</v>
      </c>
      <c r="B250" s="84" t="s">
        <v>14445</v>
      </c>
    </row>
    <row r="251">
      <c r="A251" s="84" t="s">
        <v>1738</v>
      </c>
      <c r="B251" s="84" t="s">
        <v>14446</v>
      </c>
    </row>
    <row r="252">
      <c r="A252" s="84" t="s">
        <v>5596</v>
      </c>
      <c r="B252" s="84" t="s">
        <v>14447</v>
      </c>
    </row>
    <row r="253">
      <c r="A253" s="84" t="s">
        <v>2016</v>
      </c>
      <c r="B253" s="84" t="s">
        <v>14425</v>
      </c>
    </row>
    <row r="254">
      <c r="A254" s="84">
        <v>15712.0</v>
      </c>
      <c r="B254" s="84"/>
    </row>
    <row r="255">
      <c r="A255" s="84" t="s">
        <v>4332</v>
      </c>
      <c r="B255" s="84" t="s">
        <v>14448</v>
      </c>
    </row>
    <row r="256">
      <c r="A256" s="84" t="s">
        <v>5106</v>
      </c>
      <c r="B256" s="84" t="s">
        <v>14449</v>
      </c>
    </row>
    <row r="257">
      <c r="A257" s="84" t="s">
        <v>3804</v>
      </c>
      <c r="B257" s="84" t="s">
        <v>14415</v>
      </c>
    </row>
    <row r="258">
      <c r="A258" s="84" t="s">
        <v>4123</v>
      </c>
      <c r="B258" s="84" t="s">
        <v>14450</v>
      </c>
    </row>
    <row r="259">
      <c r="A259" s="84" t="s">
        <v>5817</v>
      </c>
      <c r="B259" s="84" t="s">
        <v>14426</v>
      </c>
    </row>
    <row r="260">
      <c r="A260" s="84" t="s">
        <v>4822</v>
      </c>
      <c r="B260" s="84" t="s">
        <v>14451</v>
      </c>
    </row>
    <row r="261">
      <c r="A261" s="84" t="s">
        <v>3844</v>
      </c>
      <c r="B261" s="84" t="s">
        <v>14452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14211</v>
      </c>
      <c r="B1" s="84" t="s">
        <v>14218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3" max="3" width="19.5"/>
    <col customWidth="1" min="5" max="5" width="18.63"/>
    <col customWidth="1" min="6" max="6" width="14.75"/>
    <col customWidth="1" min="8" max="8" width="21.5"/>
    <col customWidth="1" min="9" max="9" width="34.5"/>
    <col customWidth="1" min="10" max="10" width="18.5"/>
    <col customWidth="1" min="11" max="11" width="13.75"/>
    <col customWidth="1" min="12" max="12" width="25.13"/>
    <col customWidth="1" min="13" max="13" width="19.75"/>
    <col customWidth="1" min="14" max="14" width="34.63"/>
    <col customWidth="1" min="16" max="16" width="8.5"/>
  </cols>
  <sheetData>
    <row r="1">
      <c r="A1" s="45" t="s">
        <v>14039</v>
      </c>
      <c r="B1" s="45" t="s">
        <v>14211</v>
      </c>
      <c r="C1" s="45" t="s">
        <v>2</v>
      </c>
      <c r="D1" s="45" t="s">
        <v>3</v>
      </c>
      <c r="E1" s="45" t="s">
        <v>14212</v>
      </c>
      <c r="F1" s="45" t="s">
        <v>35</v>
      </c>
      <c r="G1" s="45" t="s">
        <v>5</v>
      </c>
      <c r="H1" s="45" t="s">
        <v>10</v>
      </c>
      <c r="I1" s="45" t="s">
        <v>18</v>
      </c>
      <c r="J1" s="45" t="s">
        <v>14453</v>
      </c>
      <c r="K1" s="45" t="s">
        <v>14214</v>
      </c>
      <c r="L1" s="45" t="s">
        <v>20</v>
      </c>
      <c r="M1" s="45" t="s">
        <v>14</v>
      </c>
      <c r="N1" s="45" t="s">
        <v>14043</v>
      </c>
      <c r="O1" s="97" t="s">
        <v>34</v>
      </c>
      <c r="P1" s="97" t="s">
        <v>14215</v>
      </c>
    </row>
    <row r="2">
      <c r="A2" s="99" t="str">
        <f>IFERROR(__xludf.DUMMYFUNCTION("ARRAYFORMULA(
  IFERROR(
    FILTER(
      {
        MAIN!A:A,
        MAIN!B:B,
        MAIN!C:C,
        IF(MAIN!D:D="""", MAIN!AM:AM, MAIN!D:D),
        MAIN!E:E,
        MAIN!AJ:AJ,
        MAIN!F:F,
        MAIN!K:K,
        MAIN!N:N,
        MAIN!Q:"&amp;"Q,
        MAIN!P:P,
        MAIN!U:U,
        MAIN!V:V,
        MAIN!AA:AA,
        MAIN!AI:AI
      },
      MAIN!K:K=""Storage Item Return""
    )
  )
)"),"https://utrucking.myshopify.com/admin/orders?query=14045")</f>
        <v>https://utrucking.myshopify.com/admin/orders?query=14045</v>
      </c>
      <c r="B2" s="61" t="str">
        <f>IFERROR(__xludf.DUMMYFUNCTION("""COMPUTED_VALUE"""),"#14045")</f>
        <v>#14045</v>
      </c>
      <c r="C2" s="61" t="str">
        <f>IFERROR(__xludf.DUMMYFUNCTION("""COMPUTED_VALUE"""),"helenmives@gmail.com")</f>
        <v>helenmives@gmail.com</v>
      </c>
      <c r="D2" s="61" t="str">
        <f>IFERROR(__xludf.DUMMYFUNCTION("""COMPUTED_VALUE"""),"857-218-8168")</f>
        <v>857-218-8168</v>
      </c>
      <c r="E2" s="61" t="str">
        <f>IFERROR(__xludf.DUMMYFUNCTION("""COMPUTED_VALUE"""),"Helen Ives")</f>
        <v>Helen Ives</v>
      </c>
      <c r="F2" s="61"/>
      <c r="G2" s="61"/>
      <c r="H2" s="61" t="str">
        <f>IFERROR(__xludf.DUMMYFUNCTION("""COMPUTED_VALUE"""),"Storage Item Return")</f>
        <v>Storage Item Return</v>
      </c>
      <c r="I2" s="61" t="str">
        <f>IFERROR(__xludf.DUMMYFUNCTION("""COMPUTED_VALUE"""),"University Housing")</f>
        <v>University Housing</v>
      </c>
      <c r="J2" s="107" t="str">
        <f>IFERROR(__xludf.DUMMYFUNCTION("""COMPUTED_VALUE"""),"09:00 AM - 11:00 AM")</f>
        <v>09:00 AM - 11:00 AM</v>
      </c>
      <c r="K2" s="107">
        <f>IFERROR(__xludf.DUMMYFUNCTION("""COMPUTED_VALUE"""),45890.0)</f>
        <v>45890</v>
      </c>
      <c r="L2" s="61" t="str">
        <f>IFERROR(__xludf.DUMMYFUNCTION("""COMPUTED_VALUE"""),"Greenway Apartments")</f>
        <v>Greenway Apartments</v>
      </c>
      <c r="M2" s="61" t="str">
        <f>IFERROR(__xludf.DUMMYFUNCTION("""COMPUTED_VALUE"""),"Apartment 324-B")</f>
        <v>Apartment 324-B</v>
      </c>
      <c r="N2" s="61"/>
      <c r="O2" s="61" t="str">
        <f>IFERROR(__xludf.DUMMYFUNCTION("""COMPUTED_VALUE"""),"The address on my boxes is no longer accurate, and the address I have put here (for WashU housing) is the one that should be used for all of my boxes. Many thanks!")</f>
        <v>The address on my boxes is no longer accurate, and the address I have put here (for WashU housing) is the one that should be used for all of my boxes. Many thanks!</v>
      </c>
      <c r="P2" s="61" t="b">
        <f>COUNTIF('Delivered SIR'!A:A, E2) &gt; 0</f>
        <v>1</v>
      </c>
    </row>
    <row r="3">
      <c r="A3" s="102" t="str">
        <f>IFERROR(__xludf.DUMMYFUNCTION("""COMPUTED_VALUE"""),"https://utrucking.myshopify.com/admin/orders?query=14075")</f>
        <v>https://utrucking.myshopify.com/admin/orders?query=14075</v>
      </c>
      <c r="B3" s="65" t="str">
        <f>IFERROR(__xludf.DUMMYFUNCTION("""COMPUTED_VALUE"""),"#14075")</f>
        <v>#14075</v>
      </c>
      <c r="C3" s="65" t="str">
        <f>IFERROR(__xludf.DUMMYFUNCTION("""COMPUTED_VALUE"""),"cclee@wustl.edu")</f>
        <v>cclee@wustl.edu</v>
      </c>
      <c r="D3" s="65">
        <f>IFERROR(__xludf.DUMMYFUNCTION("""COMPUTED_VALUE"""),9.495312E9)</f>
        <v>9495312000</v>
      </c>
      <c r="E3" s="65" t="str">
        <f>IFERROR(__xludf.DUMMYFUNCTION("""COMPUTED_VALUE"""),"Chelsea Lee")</f>
        <v>Chelsea Lee</v>
      </c>
      <c r="F3" s="65"/>
      <c r="G3" s="65"/>
      <c r="H3" s="65" t="str">
        <f>IFERROR(__xludf.DUMMYFUNCTION("""COMPUTED_VALUE"""),"Storage Item Return")</f>
        <v>Storage Item Return</v>
      </c>
      <c r="I3" s="65" t="str">
        <f>IFERROR(__xludf.DUMMYFUNCTION("""COMPUTED_VALUE"""),"University Housing")</f>
        <v>University Housing</v>
      </c>
      <c r="J3" s="108" t="str">
        <f>IFERROR(__xludf.DUMMYFUNCTION("""COMPUTED_VALUE"""),"03:00 PM - 05:00 PM")</f>
        <v>03:00 PM - 05:00 PM</v>
      </c>
      <c r="K3" s="108">
        <f>IFERROR(__xludf.DUMMYFUNCTION("""COMPUTED_VALUE"""),45891.0)</f>
        <v>45891</v>
      </c>
      <c r="L3" s="65" t="str">
        <f>IFERROR(__xludf.DUMMYFUNCTION("""COMPUTED_VALUE"""),"Nemerov")</f>
        <v>Nemerov</v>
      </c>
      <c r="M3" s="65">
        <f>IFERROR(__xludf.DUMMYFUNCTION("""COMPUTED_VALUE"""),4052.0)</f>
        <v>4052</v>
      </c>
      <c r="N3" s="65"/>
      <c r="O3" s="65" t="str">
        <f>IFERROR(__xludf.DUMMYFUNCTION("""COMPUTED_VALUE"""),"It would be appreciated if my stuff can be delivered to my room, but if not possible, leaving it in the common room of 4050 is good as well.")</f>
        <v>It would be appreciated if my stuff can be delivered to my room, but if not possible, leaving it in the common room of 4050 is good as well.</v>
      </c>
      <c r="P3" s="65" t="b">
        <f>COUNTIF('Delivered SIR'!A:A, E3) &gt; 0</f>
        <v>1</v>
      </c>
    </row>
    <row r="4">
      <c r="A4" s="99" t="str">
        <f>IFERROR(__xludf.DUMMYFUNCTION("""COMPUTED_VALUE"""),"https://utrucking.myshopify.com/admin/orders?query=14191")</f>
        <v>https://utrucking.myshopify.com/admin/orders?query=14191</v>
      </c>
      <c r="B4" s="61" t="str">
        <f>IFERROR(__xludf.DUMMYFUNCTION("""COMPUTED_VALUE"""),"#14191")</f>
        <v>#14191</v>
      </c>
      <c r="C4" s="61" t="str">
        <f>IFERROR(__xludf.DUMMYFUNCTION("""COMPUTED_VALUE"""),"jessicajlee@wustl.edu")</f>
        <v>jessicajlee@wustl.edu</v>
      </c>
      <c r="D4" s="61">
        <f>IFERROR(__xludf.DUMMYFUNCTION("""COMPUTED_VALUE"""),7.087372613E9)</f>
        <v>7087372613</v>
      </c>
      <c r="E4" s="61" t="str">
        <f>IFERROR(__xludf.DUMMYFUNCTION("""COMPUTED_VALUE"""),"Jessica Lee")</f>
        <v>Jessica Lee</v>
      </c>
      <c r="F4" s="61"/>
      <c r="G4" s="61"/>
      <c r="H4" s="61" t="str">
        <f>IFERROR(__xludf.DUMMYFUNCTION("""COMPUTED_VALUE"""),"Storage Item Return")</f>
        <v>Storage Item Return</v>
      </c>
      <c r="I4" s="61" t="str">
        <f>IFERROR(__xludf.DUMMYFUNCTION("""COMPUTED_VALUE"""),"University Housing")</f>
        <v>University Housing</v>
      </c>
      <c r="J4" s="107" t="str">
        <f>IFERROR(__xludf.DUMMYFUNCTION("""COMPUTED_VALUE"""),"09:00 AM - 11:00 AM")</f>
        <v>09:00 AM - 11:00 AM</v>
      </c>
      <c r="K4" s="107">
        <f>IFERROR(__xludf.DUMMYFUNCTION("""COMPUTED_VALUE"""),45876.0)</f>
        <v>45876</v>
      </c>
      <c r="L4" s="61" t="str">
        <f>IFERROR(__xludf.DUMMYFUNCTION("""COMPUTED_VALUE"""),"Nemerov")</f>
        <v>Nemerov</v>
      </c>
      <c r="M4" s="61">
        <f>IFERROR(__xludf.DUMMYFUNCTION("""COMPUTED_VALUE"""),4000.0)</f>
        <v>4000</v>
      </c>
      <c r="N4" s="61"/>
      <c r="O4" s="61"/>
      <c r="P4" s="61" t="b">
        <f>COUNTIF('Delivered SIR'!A:A, E4) &gt; 0</f>
        <v>1</v>
      </c>
    </row>
    <row r="5">
      <c r="A5" s="102" t="str">
        <f>IFERROR(__xludf.DUMMYFUNCTION("""COMPUTED_VALUE"""),"https://admin.shopify.com/store/utrucking/orders/5811833962684?link_source=search")</f>
        <v>https://admin.shopify.com/store/utrucking/orders/5811833962684?link_source=search</v>
      </c>
      <c r="B5" s="65" t="str">
        <f>IFERROR(__xludf.DUMMYFUNCTION("""COMPUTED_VALUE"""),"#14478")</f>
        <v>#14478</v>
      </c>
      <c r="C5" s="65" t="str">
        <f>IFERROR(__xludf.DUMMYFUNCTION("""COMPUTED_VALUE"""),"hermione@wustl.edu")</f>
        <v>hermione@wustl.edu</v>
      </c>
      <c r="D5" s="65" t="str">
        <f>IFERROR(__xludf.DUMMYFUNCTION("""COMPUTED_VALUE"""),"314-745-7657")</f>
        <v>314-745-7657</v>
      </c>
      <c r="E5" s="65" t="str">
        <f>IFERROR(__xludf.DUMMYFUNCTION("""COMPUTED_VALUE"""),"Yutong Xie")</f>
        <v>Yutong Xie</v>
      </c>
      <c r="F5" s="65"/>
      <c r="G5" s="65" t="str">
        <f>IFERROR(__xludf.DUMMYFUNCTION("""COMPUTED_VALUE"""),"6515 Wydown Boulevard")</f>
        <v>6515 Wydown Boulevard</v>
      </c>
      <c r="H5" s="65" t="str">
        <f>IFERROR(__xludf.DUMMYFUNCTION("""COMPUTED_VALUE"""),"Storage Item Return")</f>
        <v>Storage Item Return</v>
      </c>
      <c r="I5" s="65" t="str">
        <f>IFERROR(__xludf.DUMMYFUNCTION("""COMPUTED_VALUE"""),"Non-University Housing")</f>
        <v>Non-University Housing</v>
      </c>
      <c r="J5" s="108" t="str">
        <f>IFERROR(__xludf.DUMMYFUNCTION("""COMPUTED_VALUE"""),"02:00 PM - 04:00 PM")</f>
        <v>02:00 PM - 04:00 PM</v>
      </c>
      <c r="K5" s="108">
        <f>IFERROR(__xludf.DUMMYFUNCTION("""COMPUTED_VALUE"""),45893.0)</f>
        <v>45893</v>
      </c>
      <c r="L5" s="65"/>
      <c r="M5" s="65"/>
      <c r="N5" s="65"/>
      <c r="O5" s="65"/>
      <c r="P5" s="65" t="b">
        <f>COUNTIF('Delivered SIR'!A:A, E5) &gt; 0</f>
        <v>0</v>
      </c>
    </row>
    <row r="6">
      <c r="A6" s="99" t="str">
        <f>IFERROR(__xludf.DUMMYFUNCTION("""COMPUTED_VALUE"""),"https://utrucking.myshopify.com/admin/orders?query=14235")</f>
        <v>https://utrucking.myshopify.com/admin/orders?query=14235</v>
      </c>
      <c r="B6" s="61" t="str">
        <f>IFERROR(__xludf.DUMMYFUNCTION("""COMPUTED_VALUE"""),"#14235")</f>
        <v>#14235</v>
      </c>
      <c r="C6" s="61" t="str">
        <f>IFERROR(__xludf.DUMMYFUNCTION("""COMPUTED_VALUE"""),"s.venkat@wustl.edu")</f>
        <v>s.venkat@wustl.edu</v>
      </c>
      <c r="D6" s="61">
        <f>IFERROR(__xludf.DUMMYFUNCTION("""COMPUTED_VALUE"""),5.01676664E9)</f>
        <v>5016766640</v>
      </c>
      <c r="E6" s="61" t="str">
        <f>IFERROR(__xludf.DUMMYFUNCTION("""COMPUTED_VALUE"""),"Sairisheeth Venkat")</f>
        <v>Sairisheeth Venkat</v>
      </c>
      <c r="F6" s="61"/>
      <c r="G6" s="61"/>
      <c r="H6" s="61" t="str">
        <f>IFERROR(__xludf.DUMMYFUNCTION("""COMPUTED_VALUE"""),"Storage Item Return")</f>
        <v>Storage Item Return</v>
      </c>
      <c r="I6" s="61" t="str">
        <f>IFERROR(__xludf.DUMMYFUNCTION("""COMPUTED_VALUE"""),"University Housing")</f>
        <v>University Housing</v>
      </c>
      <c r="J6" s="107" t="str">
        <f>IFERROR(__xludf.DUMMYFUNCTION("""COMPUTED_VALUE"""),"10:00 AM - 12:00 PM")</f>
        <v>10:00 AM - 12:00 PM</v>
      </c>
      <c r="K6" s="107">
        <f>IFERROR(__xludf.DUMMYFUNCTION("""COMPUTED_VALUE"""),45891.0)</f>
        <v>45891</v>
      </c>
      <c r="L6" s="61" t="str">
        <f>IFERROR(__xludf.DUMMYFUNCTION("""COMPUTED_VALUE"""),"Shepley")</f>
        <v>Shepley</v>
      </c>
      <c r="M6" s="61" t="str">
        <f>IFERROR(__xludf.DUMMYFUNCTION("""COMPUTED_VALUE"""),"2021-a")</f>
        <v>2021-a</v>
      </c>
      <c r="N6" s="61"/>
      <c r="O6" s="61"/>
      <c r="P6" s="61" t="b">
        <f>COUNTIF('Delivered SIR'!A:A, E6) &gt; 0</f>
        <v>1</v>
      </c>
    </row>
    <row r="7">
      <c r="A7" s="102" t="str">
        <f>IFERROR(__xludf.DUMMYFUNCTION("""COMPUTED_VALUE"""),"https://utrucking.myshopify.com/admin/orders?query=14652")</f>
        <v>https://utrucking.myshopify.com/admin/orders?query=14652</v>
      </c>
      <c r="B7" s="65" t="str">
        <f>IFERROR(__xludf.DUMMYFUNCTION("""COMPUTED_VALUE"""),"#14652")</f>
        <v>#14652</v>
      </c>
      <c r="C7" s="65" t="str">
        <f>IFERROR(__xludf.DUMMYFUNCTION("""COMPUTED_VALUE"""),"a.dalen@wustl.edu")</f>
        <v>a.dalen@wustl.edu</v>
      </c>
      <c r="D7" s="65">
        <f>IFERROR(__xludf.DUMMYFUNCTION("""COMPUTED_VALUE"""),5.402078205E9)</f>
        <v>5402078205</v>
      </c>
      <c r="E7" s="65" t="str">
        <f>IFERROR(__xludf.DUMMYFUNCTION("""COMPUTED_VALUE"""),"Dalen Ainsworth")</f>
        <v>Dalen Ainsworth</v>
      </c>
      <c r="F7" s="65"/>
      <c r="G7" s="65"/>
      <c r="H7" s="65" t="str">
        <f>IFERROR(__xludf.DUMMYFUNCTION("""COMPUTED_VALUE"""),"Storage Item Return")</f>
        <v>Storage Item Return</v>
      </c>
      <c r="I7" s="65" t="str">
        <f>IFERROR(__xludf.DUMMYFUNCTION("""COMPUTED_VALUE"""),"University Housing")</f>
        <v>University Housing</v>
      </c>
      <c r="J7" s="108" t="str">
        <f>IFERROR(__xludf.DUMMYFUNCTION("""COMPUTED_VALUE"""),"09:00 AM to 11:00 AM")</f>
        <v>09:00 AM to 11:00 AM</v>
      </c>
      <c r="K7" s="108">
        <f>IFERROR(__xludf.DUMMYFUNCTION("""COMPUTED_VALUE"""),45877.0)</f>
        <v>45877</v>
      </c>
      <c r="L7" s="65" t="str">
        <f>IFERROR(__xludf.DUMMYFUNCTION("""COMPUTED_VALUE"""),"Koenig")</f>
        <v>Koenig</v>
      </c>
      <c r="M7" s="65">
        <f>IFERROR(__xludf.DUMMYFUNCTION("""COMPUTED_VALUE"""),3301.0)</f>
        <v>3301</v>
      </c>
      <c r="N7" s="65"/>
      <c r="O7" s="65" t="str">
        <f>IFERROR(__xludf.DUMMYFUNCTION("""COMPUTED_VALUE"""),"I am moving back in on May 11th to another dorm on WashU campus because I will be serving as a summer Conference Assistant.")</f>
        <v>I am moving back in on May 11th to another dorm on WashU campus because I will be serving as a summer Conference Assistant.</v>
      </c>
      <c r="P7" s="65" t="b">
        <f>COUNTIF('Delivered SIR'!A:A, E7) &gt; 0</f>
        <v>0</v>
      </c>
    </row>
    <row r="8">
      <c r="A8" s="99" t="str">
        <f>IFERROR(__xludf.DUMMYFUNCTION("""COMPUTED_VALUE"""),"https://utrucking.myshopify.com/admin/orders?query=14667")</f>
        <v>https://utrucking.myshopify.com/admin/orders?query=14667</v>
      </c>
      <c r="B8" s="61" t="str">
        <f>IFERROR(__xludf.DUMMYFUNCTION("""COMPUTED_VALUE"""),"#14667")</f>
        <v>#14667</v>
      </c>
      <c r="C8" s="61" t="str">
        <f>IFERROR(__xludf.DUMMYFUNCTION("""COMPUTED_VALUE"""),"k.youbo@wustl.edu")</f>
        <v>k.youbo@wustl.edu</v>
      </c>
      <c r="D8" s="61">
        <f>IFERROR(__xludf.DUMMYFUNCTION("""COMPUTED_VALUE"""),3.146857851E9)</f>
        <v>3146857851</v>
      </c>
      <c r="E8" s="61" t="str">
        <f>IFERROR(__xludf.DUMMYFUNCTION("""COMPUTED_VALUE"""),"Alan Kong")</f>
        <v>Alan Kong</v>
      </c>
      <c r="F8" s="61"/>
      <c r="G8" s="61"/>
      <c r="H8" s="61" t="str">
        <f>IFERROR(__xludf.DUMMYFUNCTION("""COMPUTED_VALUE"""),"Storage Item Return")</f>
        <v>Storage Item Return</v>
      </c>
      <c r="I8" s="61" t="str">
        <f>IFERROR(__xludf.DUMMYFUNCTION("""COMPUTED_VALUE"""),"University Housing")</f>
        <v>University Housing</v>
      </c>
      <c r="J8" s="107" t="str">
        <f>IFERROR(__xludf.DUMMYFUNCTION("""COMPUTED_VALUE"""),"12:00 PM - 02:00 PM")</f>
        <v>12:00 PM - 02:00 PM</v>
      </c>
      <c r="K8" s="107">
        <f>IFERROR(__xludf.DUMMYFUNCTION("""COMPUTED_VALUE"""),45889.0)</f>
        <v>45889</v>
      </c>
      <c r="L8" s="61" t="str">
        <f>IFERROR(__xludf.DUMMYFUNCTION("""COMPUTED_VALUE"""),"Zetcher")</f>
        <v>Zetcher</v>
      </c>
      <c r="M8" s="61">
        <f>IFERROR(__xludf.DUMMYFUNCTION("""COMPUTED_VALUE"""),4104.0)</f>
        <v>4104</v>
      </c>
      <c r="N8" s="61"/>
      <c r="O8" s="61"/>
      <c r="P8" s="61" t="b">
        <f>COUNTIF('Delivered SIR'!A:A, E8) &gt; 0</f>
        <v>1</v>
      </c>
    </row>
    <row r="9">
      <c r="A9" s="102" t="str">
        <f>IFERROR(__xludf.DUMMYFUNCTION("""COMPUTED_VALUE"""),"https://utrucking.myshopify.com/admin/orders?query=14803")</f>
        <v>https://utrucking.myshopify.com/admin/orders?query=14803</v>
      </c>
      <c r="B9" s="65" t="str">
        <f>IFERROR(__xludf.DUMMYFUNCTION("""COMPUTED_VALUE"""),"#14803")</f>
        <v>#14803</v>
      </c>
      <c r="C9" s="65" t="str">
        <f>IFERROR(__xludf.DUMMYFUNCTION("""COMPUTED_VALUE"""),"kimmel@wustl.edu")</f>
        <v>kimmel@wustl.edu</v>
      </c>
      <c r="D9" s="65">
        <f>IFERROR(__xludf.DUMMYFUNCTION("""COMPUTED_VALUE"""),9.179410655E9)</f>
        <v>9179410655</v>
      </c>
      <c r="E9" s="65" t="str">
        <f>IFERROR(__xludf.DUMMYFUNCTION("""COMPUTED_VALUE"""),"Mark Kimmel")</f>
        <v>Mark Kimmel</v>
      </c>
      <c r="F9" s="65"/>
      <c r="G9" s="65"/>
      <c r="H9" s="65" t="str">
        <f>IFERROR(__xludf.DUMMYFUNCTION("""COMPUTED_VALUE"""),"Storage Item Return")</f>
        <v>Storage Item Return</v>
      </c>
      <c r="I9" s="65" t="str">
        <f>IFERROR(__xludf.DUMMYFUNCTION("""COMPUTED_VALUE"""),"University Housing")</f>
        <v>University Housing</v>
      </c>
      <c r="J9" s="108" t="str">
        <f>IFERROR(__xludf.DUMMYFUNCTION("""COMPUTED_VALUE"""),"02:00 PM - 04:00 PM")</f>
        <v>02:00 PM - 04:00 PM</v>
      </c>
      <c r="K9" s="108">
        <f>IFERROR(__xludf.DUMMYFUNCTION("""COMPUTED_VALUE"""),45877.0)</f>
        <v>45877</v>
      </c>
      <c r="L9" s="65" t="str">
        <f>IFERROR(__xludf.DUMMYFUNCTION("""COMPUTED_VALUE"""),"Eliot B")</f>
        <v>Eliot B</v>
      </c>
      <c r="M9" s="65">
        <f>IFERROR(__xludf.DUMMYFUNCTION("""COMPUTED_VALUE"""),3061.0)</f>
        <v>3061</v>
      </c>
      <c r="N9" s="65"/>
      <c r="O9" s="65" t="str">
        <f>IFERROR(__xludf.DUMMYFUNCTION("""COMPUTED_VALUE"""),"Four boxes. I move in August 9th.")</f>
        <v>Four boxes. I move in August 9th.</v>
      </c>
      <c r="P9" s="65" t="b">
        <f>COUNTIF('Delivered SIR'!A:A, E9) &gt; 0</f>
        <v>1</v>
      </c>
    </row>
    <row r="10">
      <c r="A10" s="99" t="str">
        <f>IFERROR(__xludf.DUMMYFUNCTION("""COMPUTED_VALUE"""),"https://utrucking.myshopify.com/admin/orders?query=14958")</f>
        <v>https://utrucking.myshopify.com/admin/orders?query=14958</v>
      </c>
      <c r="B10" s="61" t="str">
        <f>IFERROR(__xludf.DUMMYFUNCTION("""COMPUTED_VALUE"""),"#14958")</f>
        <v>#14958</v>
      </c>
      <c r="C10" s="61" t="str">
        <f>IFERROR(__xludf.DUMMYFUNCTION("""COMPUTED_VALUE"""),"berkowitz.r@wustl.edu")</f>
        <v>berkowitz.r@wustl.edu</v>
      </c>
      <c r="D10" s="61" t="str">
        <f>IFERROR(__xludf.DUMMYFUNCTION("""COMPUTED_VALUE"""),"(917) 921-9329")</f>
        <v>(917) 921-9329</v>
      </c>
      <c r="E10" s="61" t="str">
        <f>IFERROR(__xludf.DUMMYFUNCTION("""COMPUTED_VALUE"""),"Ryan Berkowitz")</f>
        <v>Ryan Berkowitz</v>
      </c>
      <c r="F10" s="61"/>
      <c r="G10" s="61"/>
      <c r="H10" s="61" t="str">
        <f>IFERROR(__xludf.DUMMYFUNCTION("""COMPUTED_VALUE"""),"Storage Item Return")</f>
        <v>Storage Item Return</v>
      </c>
      <c r="I10" s="61" t="str">
        <f>IFERROR(__xludf.DUMMYFUNCTION("""COMPUTED_VALUE"""),"Non-University Housing")</f>
        <v>Non-University Housing</v>
      </c>
      <c r="J10" s="107" t="str">
        <f>IFERROR(__xludf.DUMMYFUNCTION("""COMPUTED_VALUE"""),"10:00 AM - 12:00 PM")</f>
        <v>10:00 AM - 12:00 PM</v>
      </c>
      <c r="K10" s="107">
        <f>IFERROR(__xludf.DUMMYFUNCTION("""COMPUTED_VALUE"""),45891.0)</f>
        <v>45891</v>
      </c>
      <c r="L10" s="61" t="str">
        <f>IFERROR(__xludf.DUMMYFUNCTION("""COMPUTED_VALUE"""),"Greenway Apartments")</f>
        <v>Greenway Apartments</v>
      </c>
      <c r="M10" s="61">
        <f>IFERROR(__xludf.DUMMYFUNCTION("""COMPUTED_VALUE"""),202.0)</f>
        <v>202</v>
      </c>
      <c r="N10" s="61"/>
      <c r="O10" s="61"/>
      <c r="P10" s="61" t="b">
        <f>COUNTIF('Delivered SIR'!A:A, E10) &gt; 0</f>
        <v>1</v>
      </c>
    </row>
    <row r="11">
      <c r="A11" s="102" t="str">
        <f>IFERROR(__xludf.DUMMYFUNCTION("""COMPUTED_VALUE"""),"https://utrucking.myshopify.com/admin/orders?query=14960")</f>
        <v>https://utrucking.myshopify.com/admin/orders?query=14960</v>
      </c>
      <c r="B11" s="65" t="str">
        <f>IFERROR(__xludf.DUMMYFUNCTION("""COMPUTED_VALUE"""),"#14960")</f>
        <v>#14960</v>
      </c>
      <c r="C11" s="65" t="str">
        <f>IFERROR(__xludf.DUMMYFUNCTION("""COMPUTED_VALUE"""),"helenmives@gmail.com")</f>
        <v>helenmives@gmail.com</v>
      </c>
      <c r="D11" s="65" t="str">
        <f>IFERROR(__xludf.DUMMYFUNCTION("""COMPUTED_VALUE"""),"(857) 218-8168")</f>
        <v>(857) 218-8168</v>
      </c>
      <c r="E11" s="65" t="str">
        <f>IFERROR(__xludf.DUMMYFUNCTION("""COMPUTED_VALUE"""),"Helen Ives")</f>
        <v>Helen Ives</v>
      </c>
      <c r="F11" s="65"/>
      <c r="G11" s="65"/>
      <c r="H11" s="65" t="str">
        <f>IFERROR(__xludf.DUMMYFUNCTION("""COMPUTED_VALUE"""),"Storage Item Return")</f>
        <v>Storage Item Return</v>
      </c>
      <c r="I11" s="65" t="str">
        <f>IFERROR(__xludf.DUMMYFUNCTION("""COMPUTED_VALUE"""),"University Housing")</f>
        <v>University Housing</v>
      </c>
      <c r="J11" s="108" t="str">
        <f>IFERROR(__xludf.DUMMYFUNCTION("""COMPUTED_VALUE"""),"09:00 AM - 11:00 AM")</f>
        <v>09:00 AM - 11:00 AM</v>
      </c>
      <c r="K11" s="108">
        <f>IFERROR(__xludf.DUMMYFUNCTION("""COMPUTED_VALUE"""),45887.0)</f>
        <v>45887</v>
      </c>
      <c r="L11" s="65" t="str">
        <f>IFERROR(__xludf.DUMMYFUNCTION("""COMPUTED_VALUE"""),"Greenway Apartments")</f>
        <v>Greenway Apartments</v>
      </c>
      <c r="M11" s="65" t="str">
        <f>IFERROR(__xludf.DUMMYFUNCTION("""COMPUTED_VALUE"""),"Apartment 324-B")</f>
        <v>Apartment 324-B</v>
      </c>
      <c r="N11" s="65"/>
      <c r="O11" s="65"/>
      <c r="P11" s="65" t="b">
        <f>COUNTIF('Delivered SIR'!A:A, E11) &gt; 0</f>
        <v>1</v>
      </c>
    </row>
    <row r="12">
      <c r="A12" s="99" t="str">
        <f>IFERROR(__xludf.DUMMYFUNCTION("""COMPUTED_VALUE"""),"https://utrucking.myshopify.com/admin/orders?query=15009")</f>
        <v>https://utrucking.myshopify.com/admin/orders?query=15009</v>
      </c>
      <c r="B12" s="61" t="str">
        <f>IFERROR(__xludf.DUMMYFUNCTION("""COMPUTED_VALUE"""),"#15009")</f>
        <v>#15009</v>
      </c>
      <c r="C12" s="61" t="str">
        <f>IFERROR(__xludf.DUMMYFUNCTION("""COMPUTED_VALUE"""),"d.echo@wustl.edu")</f>
        <v>d.echo@wustl.edu</v>
      </c>
      <c r="D12" s="61">
        <f>IFERROR(__xludf.DUMMYFUNCTION("""COMPUTED_VALUE"""),3.144189591E9)</f>
        <v>3144189591</v>
      </c>
      <c r="E12" s="61" t="str">
        <f>IFERROR(__xludf.DUMMYFUNCTION("""COMPUTED_VALUE"""),"Echo Dong")</f>
        <v>Echo Dong</v>
      </c>
      <c r="F12" s="61"/>
      <c r="G12" s="61"/>
      <c r="H12" s="61" t="str">
        <f>IFERROR(__xludf.DUMMYFUNCTION("""COMPUTED_VALUE"""),"Storage Item Return")</f>
        <v>Storage Item Return</v>
      </c>
      <c r="I12" s="61" t="str">
        <f>IFERROR(__xludf.DUMMYFUNCTION("""COMPUTED_VALUE"""),"University Housing")</f>
        <v>University Housing</v>
      </c>
      <c r="J12" s="107" t="str">
        <f>IFERROR(__xludf.DUMMYFUNCTION("""COMPUTED_VALUE"""),"10:00 AM - 12:00 PM")</f>
        <v>10:00 AM - 12:00 PM</v>
      </c>
      <c r="K12" s="107">
        <f>IFERROR(__xludf.DUMMYFUNCTION("""COMPUTED_VALUE"""),45889.0)</f>
        <v>45889</v>
      </c>
      <c r="L12" s="61" t="str">
        <f>IFERROR(__xludf.DUMMYFUNCTION("""COMPUTED_VALUE"""),"Zetcher")</f>
        <v>Zetcher</v>
      </c>
      <c r="M12" s="61">
        <f>IFERROR(__xludf.DUMMYFUNCTION("""COMPUTED_VALUE"""),4181.0)</f>
        <v>4181</v>
      </c>
      <c r="N12" s="61"/>
      <c r="O12" s="61" t="str">
        <f>IFERROR(__xludf.DUMMYFUNCTION("""COMPUTED_VALUE"""),"early access delivery")</f>
        <v>early access delivery</v>
      </c>
      <c r="P12" s="61" t="b">
        <f>COUNTIF('Delivered SIR'!A:A, E12) &gt; 0</f>
        <v>1</v>
      </c>
    </row>
    <row r="13">
      <c r="A13" s="102" t="str">
        <f>IFERROR(__xludf.DUMMYFUNCTION("""COMPUTED_VALUE"""),"https://utrucking.myshopify.com/admin/orders?query=15016")</f>
        <v>https://utrucking.myshopify.com/admin/orders?query=15016</v>
      </c>
      <c r="B13" s="65" t="str">
        <f>IFERROR(__xludf.DUMMYFUNCTION("""COMPUTED_VALUE"""),"#15016")</f>
        <v>#15016</v>
      </c>
      <c r="C13" s="65" t="str">
        <f>IFERROR(__xludf.DUMMYFUNCTION("""COMPUTED_VALUE"""),"parkerdayan@gmail.com")</f>
        <v>parkerdayan@gmail.com</v>
      </c>
      <c r="D13" s="65" t="str">
        <f>IFERROR(__xludf.DUMMYFUNCTION("""COMPUTED_VALUE"""),"(917) 687-6428")</f>
        <v>(917) 687-6428</v>
      </c>
      <c r="E13" s="65" t="str">
        <f>IFERROR(__xludf.DUMMYFUNCTION("""COMPUTED_VALUE"""),"Dayan Parker")</f>
        <v>Dayan Parker</v>
      </c>
      <c r="F13" s="65"/>
      <c r="G13" s="65" t="str">
        <f>IFERROR(__xludf.DUMMYFUNCTION("""COMPUTED_VALUE"""),"6250 Clemens Ave, St. Louis MO 63130, Apartment 3W")</f>
        <v>6250 Clemens Ave, St. Louis MO 63130, Apartment 3W</v>
      </c>
      <c r="H13" s="65" t="str">
        <f>IFERROR(__xludf.DUMMYFUNCTION("""COMPUTED_VALUE"""),"Storage Item Return")</f>
        <v>Storage Item Return</v>
      </c>
      <c r="I13" s="65" t="str">
        <f>IFERROR(__xludf.DUMMYFUNCTION("""COMPUTED_VALUE"""),"Non-University Housing")</f>
        <v>Non-University Housing</v>
      </c>
      <c r="J13" s="108" t="str">
        <f>IFERROR(__xludf.DUMMYFUNCTION("""COMPUTED_VALUE"""),"03:00 PM - 05:00 PM")</f>
        <v>03:00 PM - 05:00 PM</v>
      </c>
      <c r="K13" s="108">
        <f>IFERROR(__xludf.DUMMYFUNCTION("""COMPUTED_VALUE"""),45889.0)</f>
        <v>45889</v>
      </c>
      <c r="L13" s="65"/>
      <c r="M13" s="65"/>
      <c r="N13" s="65"/>
      <c r="O13" s="65" t="str">
        <f>IFERROR(__xludf.DUMMYFUNCTION("""COMPUTED_VALUE"""),"I am driving in on the 20th so closer to 4-5 would be better for me. Thanks!")</f>
        <v>I am driving in on the 20th so closer to 4-5 would be better for me. Thanks!</v>
      </c>
      <c r="P13" s="65" t="b">
        <f>COUNTIF('Delivered SIR'!A:A, E13) &gt; 0</f>
        <v>0</v>
      </c>
    </row>
    <row r="14">
      <c r="A14" s="99" t="str">
        <f>IFERROR(__xludf.DUMMYFUNCTION("""COMPUTED_VALUE"""),"https://utrucking.myshopify.com/admin/orders?query=15075")</f>
        <v>https://utrucking.myshopify.com/admin/orders?query=15075</v>
      </c>
      <c r="B14" s="61" t="str">
        <f>IFERROR(__xludf.DUMMYFUNCTION("""COMPUTED_VALUE"""),"#15075")</f>
        <v>#15075</v>
      </c>
      <c r="C14" s="61" t="str">
        <f>IFERROR(__xludf.DUMMYFUNCTION("""COMPUTED_VALUE"""),"jdana0228@gmail.com")</f>
        <v>jdana0228@gmail.com</v>
      </c>
      <c r="D14" s="61">
        <f>IFERROR(__xludf.DUMMYFUNCTION("""COMPUTED_VALUE"""),6.198502951E9)</f>
        <v>6198502951</v>
      </c>
      <c r="E14" s="61" t="str">
        <f>IFERROR(__xludf.DUMMYFUNCTION("""COMPUTED_VALUE"""),"Jocelyn Hannah")</f>
        <v>Jocelyn Hannah</v>
      </c>
      <c r="F14" s="61"/>
      <c r="G14" s="61" t="str">
        <f>IFERROR(__xludf.DUMMYFUNCTION("""COMPUTED_VALUE"""),"605 Leland Avenue, Apt. 306, St. Louis, MO 63130")</f>
        <v>605 Leland Avenue, Apt. 306, St. Louis, MO 63130</v>
      </c>
      <c r="H14" s="61" t="str">
        <f>IFERROR(__xludf.DUMMYFUNCTION("""COMPUTED_VALUE"""),"Storage Item Return")</f>
        <v>Storage Item Return</v>
      </c>
      <c r="I14" s="61" t="str">
        <f>IFERROR(__xludf.DUMMYFUNCTION("""COMPUTED_VALUE"""),"Non-University Housing")</f>
        <v>Non-University Housing</v>
      </c>
      <c r="J14" s="107" t="str">
        <f>IFERROR(__xludf.DUMMYFUNCTION("""COMPUTED_VALUE"""),"11:00 AM - 01:00 PM")</f>
        <v>11:00 AM - 01:00 PM</v>
      </c>
      <c r="K14" s="107">
        <f>IFERROR(__xludf.DUMMYFUNCTION("""COMPUTED_VALUE"""),45891.0)</f>
        <v>45891</v>
      </c>
      <c r="L14" s="61"/>
      <c r="M14" s="61"/>
      <c r="N14" s="61"/>
      <c r="O14" s="61"/>
      <c r="P14" s="61" t="b">
        <f>COUNTIF('Delivered SIR'!A:A, E14) &gt; 0</f>
        <v>0</v>
      </c>
    </row>
    <row r="15">
      <c r="A15" s="102" t="str">
        <f>IFERROR(__xludf.DUMMYFUNCTION("""COMPUTED_VALUE"""),"https://utrucking.myshopify.com/admin/orders?query=15093")</f>
        <v>https://utrucking.myshopify.com/admin/orders?query=15093</v>
      </c>
      <c r="B15" s="65" t="str">
        <f>IFERROR(__xludf.DUMMYFUNCTION("""COMPUTED_VALUE"""),"#15093")</f>
        <v>#15093</v>
      </c>
      <c r="C15" s="65" t="str">
        <f>IFERROR(__xludf.DUMMYFUNCTION("""COMPUTED_VALUE"""),"m.miriam@wustl.edu")</f>
        <v>m.miriam@wustl.edu</v>
      </c>
      <c r="D15" s="65">
        <f>IFERROR(__xludf.DUMMYFUNCTION("""COMPUTED_VALUE"""),9.253341357E9)</f>
        <v>9253341357</v>
      </c>
      <c r="E15" s="65" t="str">
        <f>IFERROR(__xludf.DUMMYFUNCTION("""COMPUTED_VALUE"""),"Miriam Moyes")</f>
        <v>Miriam Moyes</v>
      </c>
      <c r="F15" s="65"/>
      <c r="G15" s="65"/>
      <c r="H15" s="65" t="str">
        <f>IFERROR(__xludf.DUMMYFUNCTION("""COMPUTED_VALUE"""),"Storage Item Return")</f>
        <v>Storage Item Return</v>
      </c>
      <c r="I15" s="65" t="str">
        <f>IFERROR(__xludf.DUMMYFUNCTION("""COMPUTED_VALUE"""),"University Housing")</f>
        <v>University Housing</v>
      </c>
      <c r="J15" s="108" t="str">
        <f>IFERROR(__xludf.DUMMYFUNCTION("""COMPUTED_VALUE"""),"09:00 AM - 11:00 AM")</f>
        <v>09:00 AM - 11:00 AM</v>
      </c>
      <c r="K15" s="108">
        <f>IFERROR(__xludf.DUMMYFUNCTION("""COMPUTED_VALUE"""),45891.0)</f>
        <v>45891</v>
      </c>
      <c r="L15" s="65" t="str">
        <f>IFERROR(__xludf.DUMMYFUNCTION("""COMPUTED_VALUE"""),"Liggett")</f>
        <v>Liggett</v>
      </c>
      <c r="M15" s="65">
        <f>IFERROR(__xludf.DUMMYFUNCTION("""COMPUTED_VALUE"""),2312.0)</f>
        <v>2312</v>
      </c>
      <c r="N15" s="65"/>
      <c r="O15" s="65"/>
      <c r="P15" s="65" t="b">
        <f>COUNTIF('Delivered SIR'!A:A, E15) &gt; 0</f>
        <v>1</v>
      </c>
    </row>
    <row r="16">
      <c r="A16" s="99" t="str">
        <f>IFERROR(__xludf.DUMMYFUNCTION("""COMPUTED_VALUE"""),"https://utrucking.myshopify.com/admin/orders?query=15096")</f>
        <v>https://utrucking.myshopify.com/admin/orders?query=15096</v>
      </c>
      <c r="B16" s="61" t="str">
        <f>IFERROR(__xludf.DUMMYFUNCTION("""COMPUTED_VALUE"""),"#15096")</f>
        <v>#15096</v>
      </c>
      <c r="C16" s="61" t="str">
        <f>IFERROR(__xludf.DUMMYFUNCTION("""COMPUTED_VALUE"""),"g.gavin@wustl.edu")</f>
        <v>g.gavin@wustl.edu</v>
      </c>
      <c r="D16" s="61" t="str">
        <f>IFERROR(__xludf.DUMMYFUNCTION("""COMPUTED_VALUE"""),"(310) 980-8519")</f>
        <v>(310) 980-8519</v>
      </c>
      <c r="E16" s="61" t="str">
        <f>IFERROR(__xludf.DUMMYFUNCTION("""COMPUTED_VALUE"""),"gavin goldsmith")</f>
        <v>gavin goldsmith</v>
      </c>
      <c r="F16" s="61"/>
      <c r="G16" s="61"/>
      <c r="H16" s="61" t="str">
        <f>IFERROR(__xludf.DUMMYFUNCTION("""COMPUTED_VALUE"""),"Storage Item Return")</f>
        <v>Storage Item Return</v>
      </c>
      <c r="I16" s="61" t="str">
        <f>IFERROR(__xludf.DUMMYFUNCTION("""COMPUTED_VALUE"""),"University Housing")</f>
        <v>University Housing</v>
      </c>
      <c r="J16" s="107" t="str">
        <f>IFERROR(__xludf.DUMMYFUNCTION("""COMPUTED_VALUE"""),"09:00 AM - 11:00 AM")</f>
        <v>09:00 AM - 11:00 AM</v>
      </c>
      <c r="K16" s="107">
        <f>IFERROR(__xludf.DUMMYFUNCTION("""COMPUTED_VALUE"""),45891.0)</f>
        <v>45891</v>
      </c>
      <c r="L16" s="61" t="str">
        <f>IFERROR(__xludf.DUMMYFUNCTION("""COMPUTED_VALUE"""),"Millbrook Bldg. 1")</f>
        <v>Millbrook Bldg. 1</v>
      </c>
      <c r="M16" s="61" t="str">
        <f>IFERROR(__xludf.DUMMYFUNCTION("""COMPUTED_VALUE"""),"207C")</f>
        <v>207C</v>
      </c>
      <c r="N16" s="61"/>
      <c r="O16" s="61"/>
      <c r="P16" s="61" t="b">
        <f>COUNTIF('Delivered SIR'!A:A, E16) &gt; 0</f>
        <v>1</v>
      </c>
    </row>
    <row r="17">
      <c r="A17" s="102" t="str">
        <f>IFERROR(__xludf.DUMMYFUNCTION("""COMPUTED_VALUE"""),"https://utrucking.myshopify.com/admin/orders?query=15122")</f>
        <v>https://utrucking.myshopify.com/admin/orders?query=15122</v>
      </c>
      <c r="B17" s="65" t="str">
        <f>IFERROR(__xludf.DUMMYFUNCTION("""COMPUTED_VALUE"""),"#15122")</f>
        <v>#15122</v>
      </c>
      <c r="C17" s="65" t="str">
        <f>IFERROR(__xludf.DUMMYFUNCTION("""COMPUTED_VALUE"""),"m.tomar@wustl.edu")</f>
        <v>m.tomar@wustl.edu</v>
      </c>
      <c r="D17" s="65">
        <f>IFERROR(__xludf.DUMMYFUNCTION("""COMPUTED_VALUE"""),2.673568115E9)</f>
        <v>2673568115</v>
      </c>
      <c r="E17" s="65" t="str">
        <f>IFERROR(__xludf.DUMMYFUNCTION("""COMPUTED_VALUE"""),"Medha Tomar")</f>
        <v>Medha Tomar</v>
      </c>
      <c r="F17" s="65"/>
      <c r="G17" s="65" t="str">
        <f>IFERROR(__xludf.DUMMYFUNCTION("""COMPUTED_VALUE"""),"605 Leland Ave., Apt. 608, University City, MO 63130")</f>
        <v>605 Leland Ave., Apt. 608, University City, MO 63130</v>
      </c>
      <c r="H17" s="65" t="str">
        <f>IFERROR(__xludf.DUMMYFUNCTION("""COMPUTED_VALUE"""),"Storage Item Return")</f>
        <v>Storage Item Return</v>
      </c>
      <c r="I17" s="65" t="str">
        <f>IFERROR(__xludf.DUMMYFUNCTION("""COMPUTED_VALUE"""),"Non-University Housing")</f>
        <v>Non-University Housing</v>
      </c>
      <c r="J17" s="108" t="str">
        <f>IFERROR(__xludf.DUMMYFUNCTION("""COMPUTED_VALUE"""),"10:00 AM to 12:00 PM")</f>
        <v>10:00 AM to 12:00 PM</v>
      </c>
      <c r="K17" s="108">
        <f>IFERROR(__xludf.DUMMYFUNCTION("""COMPUTED_VALUE"""),45878.0)</f>
        <v>45878</v>
      </c>
      <c r="L17" s="65"/>
      <c r="M17" s="65"/>
      <c r="N17" s="65"/>
      <c r="O17" s="65"/>
      <c r="P17" s="65" t="b">
        <f>COUNTIF('Delivered SIR'!A:A, E17) &gt; 0</f>
        <v>0</v>
      </c>
    </row>
    <row r="18">
      <c r="A18" s="99" t="str">
        <f>IFERROR(__xludf.DUMMYFUNCTION("""COMPUTED_VALUE"""),"https://utrucking.myshopify.com/admin/orders?query=15137")</f>
        <v>https://utrucking.myshopify.com/admin/orders?query=15137</v>
      </c>
      <c r="B18" s="61" t="str">
        <f>IFERROR(__xludf.DUMMYFUNCTION("""COMPUTED_VALUE"""),"#15137")</f>
        <v>#15137</v>
      </c>
      <c r="C18" s="61" t="str">
        <f>IFERROR(__xludf.DUMMYFUNCTION("""COMPUTED_VALUE"""),"b.cayden@wustl.edu")</f>
        <v>b.cayden@wustl.edu</v>
      </c>
      <c r="D18" s="61" t="str">
        <f>IFERROR(__xludf.DUMMYFUNCTION("""COMPUTED_VALUE"""),"(973) 715-4139")</f>
        <v>(973) 715-4139</v>
      </c>
      <c r="E18" s="61" t="str">
        <f>IFERROR(__xludf.DUMMYFUNCTION("""COMPUTED_VALUE"""),"Cayden Barrison")</f>
        <v>Cayden Barrison</v>
      </c>
      <c r="F18" s="61"/>
      <c r="G18" s="61"/>
      <c r="H18" s="61" t="str">
        <f>IFERROR(__xludf.DUMMYFUNCTION("""COMPUTED_VALUE"""),"Storage Item Return")</f>
        <v>Storage Item Return</v>
      </c>
      <c r="I18" s="61" t="str">
        <f>IFERROR(__xludf.DUMMYFUNCTION("""COMPUTED_VALUE"""),"University Housing")</f>
        <v>University Housing</v>
      </c>
      <c r="J18" s="107" t="str">
        <f>IFERROR(__xludf.DUMMYFUNCTION("""COMPUTED_VALUE"""),"12:00 PM - 02:00 PM")</f>
        <v>12:00 PM - 02:00 PM</v>
      </c>
      <c r="K18" s="107">
        <f>IFERROR(__xludf.DUMMYFUNCTION("""COMPUTED_VALUE"""),45889.0)</f>
        <v>45889</v>
      </c>
      <c r="L18" s="61" t="str">
        <f>IFERROR(__xludf.DUMMYFUNCTION("""COMPUTED_VALUE"""),"6645 University Drive")</f>
        <v>6645 University Drive</v>
      </c>
      <c r="M18" s="61" t="str">
        <f>IFERROR(__xludf.DUMMYFUNCTION("""COMPUTED_VALUE"""),"1E-A")</f>
        <v>1E-A</v>
      </c>
      <c r="N18" s="61"/>
      <c r="O18" s="61"/>
      <c r="P18" s="61" t="b">
        <f>COUNTIF('Delivered SIR'!A:A, E18) &gt; 0</f>
        <v>0</v>
      </c>
    </row>
    <row r="19">
      <c r="A19" s="102" t="str">
        <f>IFERROR(__xludf.DUMMYFUNCTION("""COMPUTED_VALUE"""),"https://utrucking.myshopify.com/admin/orders?query=15146")</f>
        <v>https://utrucking.myshopify.com/admin/orders?query=15146</v>
      </c>
      <c r="B19" s="65" t="str">
        <f>IFERROR(__xludf.DUMMYFUNCTION("""COMPUTED_VALUE"""),"#15146")</f>
        <v>#15146</v>
      </c>
      <c r="C19" s="65" t="str">
        <f>IFERROR(__xludf.DUMMYFUNCTION("""COMPUTED_VALUE"""),"b.broker@wustl.edu")</f>
        <v>b.broker@wustl.edu</v>
      </c>
      <c r="D19" s="65">
        <f>IFERROR(__xludf.DUMMYFUNCTION("""COMPUTED_VALUE"""),2.155005523E9)</f>
        <v>2155005523</v>
      </c>
      <c r="E19" s="65" t="str">
        <f>IFERROR(__xludf.DUMMYFUNCTION("""COMPUTED_VALUE"""),"Ben Broker")</f>
        <v>Ben Broker</v>
      </c>
      <c r="F19" s="65"/>
      <c r="G19" s="65"/>
      <c r="H19" s="65" t="str">
        <f>IFERROR(__xludf.DUMMYFUNCTION("""COMPUTED_VALUE"""),"Storage Item Return")</f>
        <v>Storage Item Return</v>
      </c>
      <c r="I19" s="65" t="str">
        <f>IFERROR(__xludf.DUMMYFUNCTION("""COMPUTED_VALUE"""),"University Housing")</f>
        <v>University Housing</v>
      </c>
      <c r="J19" s="108" t="str">
        <f>IFERROR(__xludf.DUMMYFUNCTION("""COMPUTED_VALUE"""),"12:00 PM - 02:00 PM")</f>
        <v>12:00 PM - 02:00 PM</v>
      </c>
      <c r="K19" s="108">
        <f>IFERROR(__xludf.DUMMYFUNCTION("""COMPUTED_VALUE"""),45887.0)</f>
        <v>45887</v>
      </c>
      <c r="L19" s="65" t="str">
        <f>IFERROR(__xludf.DUMMYFUNCTION("""COMPUTED_VALUE"""),"House 6 (Sigma Alpha Epsilon)")</f>
        <v>House 6 (Sigma Alpha Epsilon)</v>
      </c>
      <c r="M19" s="65">
        <f>IFERROR(__xludf.DUMMYFUNCTION("""COMPUTED_VALUE"""),208.0)</f>
        <v>208</v>
      </c>
      <c r="N19" s="65"/>
      <c r="O19" s="65" t="str">
        <f>IFERROR(__xludf.DUMMYFUNCTION("""COMPUTED_VALUE"""),"Moving in on August 19. Please deliver storage, WashUWash and appliances together. Thanks.")</f>
        <v>Moving in on August 19. Please deliver storage, WashUWash and appliances together. Thanks.</v>
      </c>
      <c r="P19" s="65" t="b">
        <f>COUNTIF('Delivered SIR'!A:A, E19) &gt; 0</f>
        <v>1</v>
      </c>
    </row>
    <row r="20">
      <c r="A20" s="99" t="str">
        <f>IFERROR(__xludf.DUMMYFUNCTION("""COMPUTED_VALUE"""),"https://utrucking.myshopify.com/admin/orders?query=15147")</f>
        <v>https://utrucking.myshopify.com/admin/orders?query=15147</v>
      </c>
      <c r="B20" s="61" t="str">
        <f>IFERROR(__xludf.DUMMYFUNCTION("""COMPUTED_VALUE"""),"#15147")</f>
        <v>#15147</v>
      </c>
      <c r="C20" s="61" t="str">
        <f>IFERROR(__xludf.DUMMYFUNCTION("""COMPUTED_VALUE"""),"gloriadotori18@gmail.com")</f>
        <v>gloriadotori18@gmail.com</v>
      </c>
      <c r="D20" s="61">
        <f>IFERROR(__xludf.DUMMYFUNCTION("""COMPUTED_VALUE"""),1.6176349662E10)</f>
        <v>16176349662</v>
      </c>
      <c r="E20" s="61" t="str">
        <f>IFERROR(__xludf.DUMMYFUNCTION("""COMPUTED_VALUE"""),"Gloria Lee")</f>
        <v>Gloria Lee</v>
      </c>
      <c r="F20" s="61"/>
      <c r="G20" s="61"/>
      <c r="H20" s="61" t="str">
        <f>IFERROR(__xludf.DUMMYFUNCTION("""COMPUTED_VALUE"""),"Storage Item Return")</f>
        <v>Storage Item Return</v>
      </c>
      <c r="I20" s="61" t="str">
        <f>IFERROR(__xludf.DUMMYFUNCTION("""COMPUTED_VALUE"""),"University Housing")</f>
        <v>University Housing</v>
      </c>
      <c r="J20" s="107" t="str">
        <f>IFERROR(__xludf.DUMMYFUNCTION("""COMPUTED_VALUE"""),"09:00 AM - 11:00 AM")</f>
        <v>09:00 AM - 11:00 AM</v>
      </c>
      <c r="K20" s="107">
        <f>IFERROR(__xludf.DUMMYFUNCTION("""COMPUTED_VALUE"""),45892.0)</f>
        <v>45892</v>
      </c>
      <c r="L20" s="61" t="str">
        <f>IFERROR(__xludf.DUMMYFUNCTION("""COMPUTED_VALUE"""),"Millbrook Bldg. 3")</f>
        <v>Millbrook Bldg. 3</v>
      </c>
      <c r="M20" s="61" t="str">
        <f>IFERROR(__xludf.DUMMYFUNCTION("""COMPUTED_VALUE"""),"202B - A")</f>
        <v>202B - A</v>
      </c>
      <c r="N20" s="61"/>
      <c r="O20" s="61"/>
      <c r="P20" s="61" t="b">
        <f>COUNTIF('Delivered SIR'!A:A, E20) &gt; 0</f>
        <v>1</v>
      </c>
    </row>
    <row r="21">
      <c r="A21" s="102" t="str">
        <f>IFERROR(__xludf.DUMMYFUNCTION("""COMPUTED_VALUE"""),"https://utrucking.myshopify.com/admin/orders?query=15172")</f>
        <v>https://utrucking.myshopify.com/admin/orders?query=15172</v>
      </c>
      <c r="B21" s="65" t="str">
        <f>IFERROR(__xludf.DUMMYFUNCTION("""COMPUTED_VALUE"""),"#15172")</f>
        <v>#15172</v>
      </c>
      <c r="C21" s="65" t="str">
        <f>IFERROR(__xludf.DUMMYFUNCTION("""COMPUTED_VALUE"""),"acosta.v@wustl.edu")</f>
        <v>acosta.v@wustl.edu</v>
      </c>
      <c r="D21" s="65" t="str">
        <f>IFERROR(__xludf.DUMMYFUNCTION("""COMPUTED_VALUE"""),"(787) 548-0701")</f>
        <v>(787) 548-0701</v>
      </c>
      <c r="E21" s="65" t="str">
        <f>IFERROR(__xludf.DUMMYFUNCTION("""COMPUTED_VALUE"""),"Veronica Acosta")</f>
        <v>Veronica Acosta</v>
      </c>
      <c r="F21" s="65"/>
      <c r="G21" s="65" t="str">
        <f>IFERROR(__xludf.DUMMYFUNCTION("""COMPUTED_VALUE"""),"729 Westgate Ave 1S")</f>
        <v>729 Westgate Ave 1S</v>
      </c>
      <c r="H21" s="65" t="str">
        <f>IFERROR(__xludf.DUMMYFUNCTION("""COMPUTED_VALUE"""),"Storage Item Return")</f>
        <v>Storage Item Return</v>
      </c>
      <c r="I21" s="65" t="str">
        <f>IFERROR(__xludf.DUMMYFUNCTION("""COMPUTED_VALUE"""),"Non-University Housing")</f>
        <v>Non-University Housing</v>
      </c>
      <c r="J21" s="108" t="str">
        <f>IFERROR(__xludf.DUMMYFUNCTION("""COMPUTED_VALUE"""),"10:00 AM - 12:00 PM")</f>
        <v>10:00 AM - 12:00 PM</v>
      </c>
      <c r="K21" s="108">
        <f>IFERROR(__xludf.DUMMYFUNCTION("""COMPUTED_VALUE"""),45855.0)</f>
        <v>45855</v>
      </c>
      <c r="L21" s="65"/>
      <c r="M21" s="65"/>
      <c r="N21" s="65"/>
      <c r="O21" s="65"/>
      <c r="P21" s="65" t="b">
        <f>COUNTIF('Delivered SIR'!A:A, E21) &gt; 0</f>
        <v>0</v>
      </c>
    </row>
    <row r="22">
      <c r="A22" s="99" t="str">
        <f>IFERROR(__xludf.DUMMYFUNCTION("""COMPUTED_VALUE"""),"https://utrucking.myshopify.com/admin/orders?query=15210")</f>
        <v>https://utrucking.myshopify.com/admin/orders?query=15210</v>
      </c>
      <c r="B22" s="61" t="str">
        <f>IFERROR(__xludf.DUMMYFUNCTION("""COMPUTED_VALUE"""),"#15210")</f>
        <v>#15210</v>
      </c>
      <c r="C22" s="61" t="str">
        <f>IFERROR(__xludf.DUMMYFUNCTION("""COMPUTED_VALUE"""),"rdesai0609@gmail.com")</f>
        <v>rdesai0609@gmail.com</v>
      </c>
      <c r="D22" s="61">
        <f>IFERROR(__xludf.DUMMYFUNCTION("""COMPUTED_VALUE"""),9.144139568E9)</f>
        <v>9144139568</v>
      </c>
      <c r="E22" s="61" t="str">
        <f>IFERROR(__xludf.DUMMYFUNCTION("""COMPUTED_VALUE"""),"Roma Desai")</f>
        <v>Roma Desai</v>
      </c>
      <c r="F22" s="61"/>
      <c r="G22" s="61" t="str">
        <f>IFERROR(__xludf.DUMMYFUNCTION("""COMPUTED_VALUE"""),"6669 Washington Avenue, Apartment 203")</f>
        <v>6669 Washington Avenue, Apartment 203</v>
      </c>
      <c r="H22" s="61" t="str">
        <f>IFERROR(__xludf.DUMMYFUNCTION("""COMPUTED_VALUE"""),"Storage Item Return")</f>
        <v>Storage Item Return</v>
      </c>
      <c r="I22" s="61" t="str">
        <f>IFERROR(__xludf.DUMMYFUNCTION("""COMPUTED_VALUE"""),"Non-University Housing")</f>
        <v>Non-University Housing</v>
      </c>
      <c r="J22" s="107" t="str">
        <f>IFERROR(__xludf.DUMMYFUNCTION("""COMPUTED_VALUE"""),"11:00 AM - 01:00 PM")</f>
        <v>11:00 AM - 01:00 PM</v>
      </c>
      <c r="K22" s="107">
        <f>IFERROR(__xludf.DUMMYFUNCTION("""COMPUTED_VALUE"""),45882.0)</f>
        <v>45882</v>
      </c>
      <c r="L22" s="61"/>
      <c r="M22" s="61"/>
      <c r="N22" s="61"/>
      <c r="O22" s="61" t="str">
        <f>IFERROR(__xludf.DUMMYFUNCTION("""COMPUTED_VALUE"""),"if you need the access code or phone number of tenant that will be there to coordinate drop off send me email!")</f>
        <v>if you need the access code or phone number of tenant that will be there to coordinate drop off send me email!</v>
      </c>
      <c r="P22" s="61" t="b">
        <f>COUNTIF('Delivered SIR'!A:A, E22) &gt; 0</f>
        <v>0</v>
      </c>
    </row>
    <row r="23">
      <c r="A23" s="102" t="str">
        <f>IFERROR(__xludf.DUMMYFUNCTION("""COMPUTED_VALUE"""),"https://utrucking.com/admin/orders/5897677144252")</f>
        <v>https://utrucking.com/admin/orders/5897677144252</v>
      </c>
      <c r="B23" s="65" t="str">
        <f>IFERROR(__xludf.DUMMYFUNCTION("""COMPUTED_VALUE"""),"#15216")</f>
        <v>#15216</v>
      </c>
      <c r="C23" s="65" t="str">
        <f>IFERROR(__xludf.DUMMYFUNCTION("""COMPUTED_VALUE"""),"emeralda@wustl.edu")</f>
        <v>emeralda@wustl.edu</v>
      </c>
      <c r="D23" s="65"/>
      <c r="E23" s="65" t="str">
        <f>IFERROR(__xludf.DUMMYFUNCTION("""COMPUTED_VALUE"""),"Emeralda Jin")</f>
        <v>Emeralda Jin</v>
      </c>
      <c r="F23" s="65"/>
      <c r="G23" s="65" t="str">
        <f>IFERROR(__xludf.DUMMYFUNCTION("""COMPUTED_VALUE"""),"12110 Cameron Drive Duluth United States")</f>
        <v>12110 Cameron Drive Duluth United States</v>
      </c>
      <c r="H23" s="65" t="str">
        <f>IFERROR(__xludf.DUMMYFUNCTION("""COMPUTED_VALUE"""),"Storage Item Return")</f>
        <v>Storage Item Return</v>
      </c>
      <c r="I23" s="65" t="str">
        <f>IFERROR(__xludf.DUMMYFUNCTION("""COMPUTED_VALUE"""),"University Housing")</f>
        <v>University Housing</v>
      </c>
      <c r="J23" s="108" t="str">
        <f>IFERROR(__xludf.DUMMYFUNCTION("""COMPUTED_VALUE"""),"11:00 AM - 01:00 PM")</f>
        <v>11:00 AM - 01:00 PM</v>
      </c>
      <c r="K23" s="108">
        <f>IFERROR(__xludf.DUMMYFUNCTION("""COMPUTED_VALUE"""),45890.0)</f>
        <v>45890</v>
      </c>
      <c r="L23" s="65" t="str">
        <f>IFERROR(__xludf.DUMMYFUNCTION("""COMPUTED_VALUE"""),"Mudd  ")</f>
        <v>Mudd  </v>
      </c>
      <c r="M23" s="65" t="str">
        <f>IFERROR(__xludf.DUMMYFUNCTION("""COMPUTED_VALUE"""),"141")</f>
        <v>141</v>
      </c>
      <c r="N23" s="65"/>
      <c r="O23" s="65"/>
      <c r="P23" s="65" t="b">
        <f>COUNTIF('Delivered SIR'!A:A, E23) &gt; 0</f>
        <v>0</v>
      </c>
    </row>
    <row r="24">
      <c r="A24" s="99" t="str">
        <f>IFERROR(__xludf.DUMMYFUNCTION("""COMPUTED_VALUE"""),"https://utrucking.com/admin/orders/5898491166908")</f>
        <v>https://utrucking.com/admin/orders/5898491166908</v>
      </c>
      <c r="B24" s="61" t="str">
        <f>IFERROR(__xludf.DUMMYFUNCTION("""COMPUTED_VALUE"""),"#15230")</f>
        <v>#15230</v>
      </c>
      <c r="C24" s="61" t="str">
        <f>IFERROR(__xludf.DUMMYFUNCTION("""COMPUTED_VALUE"""),"acaitlin@wustl.edu")</f>
        <v>acaitlin@wustl.edu</v>
      </c>
      <c r="D24" s="61"/>
      <c r="E24" s="61" t="str">
        <f>IFERROR(__xludf.DUMMYFUNCTION("""COMPUTED_VALUE"""),"Caitlin Alfaro")</f>
        <v>Caitlin Alfaro</v>
      </c>
      <c r="F24" s="61"/>
      <c r="G24" s="61" t="str">
        <f>IFERROR(__xludf.DUMMYFUNCTION("""COMPUTED_VALUE"""),"28 Black Pine Lane Lumberton United States")</f>
        <v>28 Black Pine Lane Lumberton United States</v>
      </c>
      <c r="H24" s="61" t="str">
        <f>IFERROR(__xludf.DUMMYFUNCTION("""COMPUTED_VALUE"""),"Storage Item Return")</f>
        <v>Storage Item Return</v>
      </c>
      <c r="I24" s="61" t="str">
        <f>IFERROR(__xludf.DUMMYFUNCTION("""COMPUTED_VALUE"""),"University Housing")</f>
        <v>University Housing</v>
      </c>
      <c r="J24" s="107" t="str">
        <f>IFERROR(__xludf.DUMMYFUNCTION("""COMPUTED_VALUE"""),"09:00 AM to 11:00 AM  ")</f>
        <v>09:00 AM to 11:00 AM  </v>
      </c>
      <c r="K24" s="107">
        <f>IFERROR(__xludf.DUMMYFUNCTION("""COMPUTED_VALUE"""),45883.0)</f>
        <v>45883</v>
      </c>
      <c r="L24" s="61" t="str">
        <f>IFERROR(__xludf.DUMMYFUNCTION("""COMPUTED_VALUE"""),"Millbrook Bldg. 2  ")</f>
        <v>Millbrook Bldg. 2  </v>
      </c>
      <c r="M24" s="61" t="str">
        <f>IFERROR(__xludf.DUMMYFUNCTION("""COMPUTED_VALUE"""),"104C-b")</f>
        <v>104C-b</v>
      </c>
      <c r="N24" s="61"/>
      <c r="O24" s="61"/>
      <c r="P24" s="61" t="b">
        <f>COUNTIF('Delivered SIR'!A:A, E24) &gt; 0</f>
        <v>1</v>
      </c>
    </row>
    <row r="25">
      <c r="A25" s="102" t="str">
        <f>IFERROR(__xludf.DUMMYFUNCTION("""COMPUTED_VALUE"""),"https://utrucking.com/admin/orders/5899149574332")</f>
        <v>https://utrucking.com/admin/orders/5899149574332</v>
      </c>
      <c r="B25" s="65" t="str">
        <f>IFERROR(__xludf.DUMMYFUNCTION("""COMPUTED_VALUE"""),"#15239")</f>
        <v>#15239</v>
      </c>
      <c r="C25" s="65" t="str">
        <f>IFERROR(__xludf.DUMMYFUNCTION("""COMPUTED_VALUE"""),"f.perez@wustl.edu")</f>
        <v>f.perez@wustl.edu</v>
      </c>
      <c r="D25" s="65"/>
      <c r="E25" s="65" t="str">
        <f>IFERROR(__xludf.DUMMYFUNCTION("""COMPUTED_VALUE"""),"Francisco Perez")</f>
        <v>Francisco Perez</v>
      </c>
      <c r="F25" s="65"/>
      <c r="G25" s="65" t="str">
        <f>IFERROR(__xludf.DUMMYFUNCTION("""COMPUTED_VALUE"""),"4747 N Kenneth Ave Apt 3 Chicago United States")</f>
        <v>4747 N Kenneth Ave Apt 3 Chicago United States</v>
      </c>
      <c r="H25" s="65" t="str">
        <f>IFERROR(__xludf.DUMMYFUNCTION("""COMPUTED_VALUE"""),"Storage Item Return")</f>
        <v>Storage Item Return</v>
      </c>
      <c r="I25" s="65" t="str">
        <f>IFERROR(__xludf.DUMMYFUNCTION("""COMPUTED_VALUE"""),"University Housing")</f>
        <v>University Housing</v>
      </c>
      <c r="J25" s="108" t="str">
        <f>IFERROR(__xludf.DUMMYFUNCTION("""COMPUTED_VALUE"""),"09:00 AM to 11:00 AM  ")</f>
        <v>09:00 AM to 11:00 AM  </v>
      </c>
      <c r="K25" s="108">
        <f>IFERROR(__xludf.DUMMYFUNCTION("""COMPUTED_VALUE"""),45883.0)</f>
        <v>45883</v>
      </c>
      <c r="L25" s="65" t="str">
        <f>IFERROR(__xludf.DUMMYFUNCTION("""COMPUTED_VALUE"""),"House 5 (Hamsini)  ")</f>
        <v>House 5 (Hamsini)  </v>
      </c>
      <c r="M25" s="65" t="str">
        <f>IFERROR(__xludf.DUMMYFUNCTION("""COMPUTED_VALUE"""),"110")</f>
        <v>110</v>
      </c>
      <c r="N25" s="65"/>
      <c r="O25" s="65"/>
      <c r="P25" s="65" t="b">
        <f>COUNTIF('Delivered SIR'!A:A, E25) &gt; 0</f>
        <v>1</v>
      </c>
    </row>
    <row r="26">
      <c r="A26" s="99" t="str">
        <f>IFERROR(__xludf.DUMMYFUNCTION("""COMPUTED_VALUE"""),"https://utrucking.com/admin/orders/5899315642556")</f>
        <v>https://utrucking.com/admin/orders/5899315642556</v>
      </c>
      <c r="B26" s="61" t="str">
        <f>IFERROR(__xludf.DUMMYFUNCTION("""COMPUTED_VALUE"""),"#15244")</f>
        <v>#15244</v>
      </c>
      <c r="C26" s="61"/>
      <c r="D26" s="61">
        <f>IFERROR(__xludf.DUMMYFUNCTION("""COMPUTED_VALUE"""),9.788061822E9)</f>
        <v>9788061822</v>
      </c>
      <c r="E26" s="61" t="str">
        <f>IFERROR(__xludf.DUMMYFUNCTION("""COMPUTED_VALUE"""),"Emily  Kobelski ")</f>
        <v>Emily  Kobelski </v>
      </c>
      <c r="F26" s="61"/>
      <c r="G26" s="61"/>
      <c r="H26" s="61" t="str">
        <f>IFERROR(__xludf.DUMMYFUNCTION("""COMPUTED_VALUE"""),"Storage Item Return")</f>
        <v>Storage Item Return</v>
      </c>
      <c r="I26" s="61" t="str">
        <f>IFERROR(__xludf.DUMMYFUNCTION("""COMPUTED_VALUE"""),"University Housing")</f>
        <v>University Housing</v>
      </c>
      <c r="J26" s="107" t="str">
        <f>IFERROR(__xludf.DUMMYFUNCTION("""COMPUTED_VALUE"""),"09:00 AM to 11:00 AM  ")</f>
        <v>09:00 AM to 11:00 AM  </v>
      </c>
      <c r="K26" s="107">
        <f>IFERROR(__xludf.DUMMYFUNCTION("""COMPUTED_VALUE"""),45890.0)</f>
        <v>45890</v>
      </c>
      <c r="L26" s="61" t="str">
        <f>IFERROR(__xludf.DUMMYFUNCTION("""COMPUTED_VALUE"""),"Village House  ")</f>
        <v>Village House  </v>
      </c>
      <c r="M26" s="61" t="str">
        <f>IFERROR(__xludf.DUMMYFUNCTION("""COMPUTED_VALUE"""),"4160")</f>
        <v>4160</v>
      </c>
      <c r="N26" s="61"/>
      <c r="O26" s="61"/>
      <c r="P26" s="61" t="b">
        <f>COUNTIF('Delivered SIR'!A:A, E26) &gt; 0</f>
        <v>0</v>
      </c>
    </row>
    <row r="27">
      <c r="A27" s="102" t="str">
        <f>IFERROR(__xludf.DUMMYFUNCTION("""COMPUTED_VALUE"""),"https://utrucking.com/admin/orders/5899380981948")</f>
        <v>https://utrucking.com/admin/orders/5899380981948</v>
      </c>
      <c r="B27" s="65" t="str">
        <f>IFERROR(__xludf.DUMMYFUNCTION("""COMPUTED_VALUE"""),"#15246")</f>
        <v>#15246</v>
      </c>
      <c r="C27" s="65" t="str">
        <f>IFERROR(__xludf.DUMMYFUNCTION("""COMPUTED_VALUE"""),"h.serene@wustl.edu")</f>
        <v>h.serene@wustl.edu</v>
      </c>
      <c r="D27" s="65">
        <f>IFERROR(__xludf.DUMMYFUNCTION("""COMPUTED_VALUE"""),6.788767305E9)</f>
        <v>6788767305</v>
      </c>
      <c r="E27" s="65" t="str">
        <f>IFERROR(__xludf.DUMMYFUNCTION("""COMPUTED_VALUE"""),"Erica  Harris ")</f>
        <v>Erica  Harris </v>
      </c>
      <c r="F27" s="65"/>
      <c r="G27" s="65"/>
      <c r="H27" s="65" t="str">
        <f>IFERROR(__xludf.DUMMYFUNCTION("""COMPUTED_VALUE"""),"Storage Item Return")</f>
        <v>Storage Item Return</v>
      </c>
      <c r="I27" s="65" t="str">
        <f>IFERROR(__xludf.DUMMYFUNCTION("""COMPUTED_VALUE"""),"University Housing")</f>
        <v>University Housing</v>
      </c>
      <c r="J27" s="108" t="str">
        <f>IFERROR(__xludf.DUMMYFUNCTION("""COMPUTED_VALUE"""),"09:00 AM to 11:00 AM  ")</f>
        <v>09:00 AM to 11:00 AM  </v>
      </c>
      <c r="K27" s="108">
        <f>IFERROR(__xludf.DUMMYFUNCTION("""COMPUTED_VALUE"""),45891.0)</f>
        <v>45891</v>
      </c>
      <c r="L27" s="65" t="str">
        <f>IFERROR(__xludf.DUMMYFUNCTION("""COMPUTED_VALUE"""),"House 1 (Alpha Delta Phi)  ")</f>
        <v>House 1 (Alpha Delta Phi)  </v>
      </c>
      <c r="M27" s="65" t="str">
        <f>IFERROR(__xludf.DUMMYFUNCTION("""COMPUTED_VALUE"""),"210")</f>
        <v>210</v>
      </c>
      <c r="N27" s="65"/>
      <c r="O27" s="65"/>
      <c r="P27" s="65" t="b">
        <f>COUNTIF('Delivered SIR'!A:A, E27) &gt; 0</f>
        <v>0</v>
      </c>
    </row>
    <row r="28">
      <c r="A28" s="99" t="str">
        <f>IFERROR(__xludf.DUMMYFUNCTION("""COMPUTED_VALUE"""),"https://utrucking.com/admin/orders/5899777736892")</f>
        <v>https://utrucking.com/admin/orders/5899777736892</v>
      </c>
      <c r="B28" s="61" t="str">
        <f>IFERROR(__xludf.DUMMYFUNCTION("""COMPUTED_VALUE"""),"#15251")</f>
        <v>#15251</v>
      </c>
      <c r="C28" s="61" t="str">
        <f>IFERROR(__xludf.DUMMYFUNCTION("""COMPUTED_VALUE"""),"g.lanzillo@wustl.edu")</f>
        <v>g.lanzillo@wustl.edu</v>
      </c>
      <c r="D28" s="61">
        <f>IFERROR(__xludf.DUMMYFUNCTION("""COMPUTED_VALUE"""),3.02233479E9)</f>
        <v>3022334790</v>
      </c>
      <c r="E28" s="61" t="str">
        <f>IFERROR(__xludf.DUMMYFUNCTION("""COMPUTED_VALUE"""),"Gemma  Lanzillo ")</f>
        <v>Gemma  Lanzillo </v>
      </c>
      <c r="F28" s="61"/>
      <c r="G28" s="61"/>
      <c r="H28" s="61" t="str">
        <f>IFERROR(__xludf.DUMMYFUNCTION("""COMPUTED_VALUE"""),"Storage Item Return")</f>
        <v>Storage Item Return</v>
      </c>
      <c r="I28" s="61" t="str">
        <f>IFERROR(__xludf.DUMMYFUNCTION("""COMPUTED_VALUE"""),"University Housing")</f>
        <v>University Housing</v>
      </c>
      <c r="J28" s="107" t="str">
        <f>IFERROR(__xludf.DUMMYFUNCTION("""COMPUTED_VALUE"""),"09:00 AM to 11:00 AM  ")</f>
        <v>09:00 AM to 11:00 AM  </v>
      </c>
      <c r="K28" s="107">
        <f>IFERROR(__xludf.DUMMYFUNCTION("""COMPUTED_VALUE"""),45883.0)</f>
        <v>45883</v>
      </c>
      <c r="L28" s="61" t="str">
        <f>IFERROR(__xludf.DUMMYFUNCTION("""COMPUTED_VALUE"""),"Shepley  ")</f>
        <v>Shepley  </v>
      </c>
      <c r="M28" s="61" t="str">
        <f>IFERROR(__xludf.DUMMYFUNCTION("""COMPUTED_VALUE"""),"2052-a")</f>
        <v>2052-a</v>
      </c>
      <c r="N28" s="61"/>
      <c r="O28" s="61"/>
      <c r="P28" s="61" t="b">
        <f>COUNTIF('Delivered SIR'!A:A, E28) &gt; 0</f>
        <v>0</v>
      </c>
    </row>
    <row r="29">
      <c r="A29" s="102" t="str">
        <f>IFERROR(__xludf.DUMMYFUNCTION("""COMPUTED_VALUE"""),"https://utrucking.com/admin/orders/5900089852092")</f>
        <v>https://utrucking.com/admin/orders/5900089852092</v>
      </c>
      <c r="B29" s="65" t="str">
        <f>IFERROR(__xludf.DUMMYFUNCTION("""COMPUTED_VALUE"""),"#15257")</f>
        <v>#15257</v>
      </c>
      <c r="C29" s="65" t="str">
        <f>IFERROR(__xludf.DUMMYFUNCTION("""COMPUTED_VALUE"""),"hgrossman05@gmail.com")</f>
        <v>hgrossman05@gmail.com</v>
      </c>
      <c r="D29" s="65">
        <f>IFERROR(__xludf.DUMMYFUNCTION("""COMPUTED_VALUE"""),1.2013100288E10)</f>
        <v>12013100288</v>
      </c>
      <c r="E29" s="65" t="str">
        <f>IFERROR(__xludf.DUMMYFUNCTION("""COMPUTED_VALUE"""),"Harrison  Grossman ")</f>
        <v>Harrison  Grossman </v>
      </c>
      <c r="F29" s="65"/>
      <c r="G29" s="65" t="str">
        <f>IFERROR(__xludf.DUMMYFUNCTION("""COMPUTED_VALUE"""),"17019 Brookwood Dr")</f>
        <v>17019 Brookwood Dr</v>
      </c>
      <c r="H29" s="65" t="str">
        <f>IFERROR(__xludf.DUMMYFUNCTION("""COMPUTED_VALUE"""),"Storage Item Return")</f>
        <v>Storage Item Return</v>
      </c>
      <c r="I29" s="65" t="str">
        <f>IFERROR(__xludf.DUMMYFUNCTION("""COMPUTED_VALUE"""),"Non-University Housing")</f>
        <v>Non-University Housing</v>
      </c>
      <c r="J29" s="108" t="str">
        <f>IFERROR(__xludf.DUMMYFUNCTION("""COMPUTED_VALUE"""),"09:00 AM to 11:00 AM  ")</f>
        <v>09:00 AM to 11:00 AM  </v>
      </c>
      <c r="K29" s="108">
        <f>IFERROR(__xludf.DUMMYFUNCTION("""COMPUTED_VALUE"""),45871.0)</f>
        <v>45871</v>
      </c>
      <c r="L29" s="65"/>
      <c r="M29" s="65"/>
      <c r="N29" s="65" t="str">
        <f>IFERROR(__xludf.DUMMYFUNCTION("""COMPUTED_VALUE"""),"100 N Kingshighway Blvd St Louis MO 63108")</f>
        <v>100 N Kingshighway Blvd St Louis MO 63108</v>
      </c>
      <c r="O29" s="65"/>
      <c r="P29" s="65" t="b">
        <f>COUNTIF('Delivered SIR'!A:A, E29) &gt; 0</f>
        <v>0</v>
      </c>
    </row>
    <row r="30">
      <c r="A30" s="99" t="str">
        <f>IFERROR(__xludf.DUMMYFUNCTION("""COMPUTED_VALUE"""),"https://utrucking.com/admin/orders/5900342067388")</f>
        <v>https://utrucking.com/admin/orders/5900342067388</v>
      </c>
      <c r="B30" s="61" t="str">
        <f>IFERROR(__xludf.DUMMYFUNCTION("""COMPUTED_VALUE"""),"#15268")</f>
        <v>#15268</v>
      </c>
      <c r="C30" s="61" t="str">
        <f>IFERROR(__xludf.DUMMYFUNCTION("""COMPUTED_VALUE"""),"d.mingyue@wustl.edu")</f>
        <v>d.mingyue@wustl.edu</v>
      </c>
      <c r="D30" s="61">
        <f>IFERROR(__xludf.DUMMYFUNCTION("""COMPUTED_VALUE"""),1.314437775E10)</f>
        <v>13144377750</v>
      </c>
      <c r="E30" s="61" t="str">
        <f>IFERROR(__xludf.DUMMYFUNCTION("""COMPUTED_VALUE"""),"Mingyue  Ding ")</f>
        <v>Mingyue  Ding </v>
      </c>
      <c r="F30" s="61"/>
      <c r="G30" s="61" t="str">
        <f>IFERROR(__xludf.DUMMYFUNCTION("""COMPUTED_VALUE"""),"6985 Snow Way Drive")</f>
        <v>6985 Snow Way Drive</v>
      </c>
      <c r="H30" s="61" t="str">
        <f>IFERROR(__xludf.DUMMYFUNCTION("""COMPUTED_VALUE"""),"Storage Item Return")</f>
        <v>Storage Item Return</v>
      </c>
      <c r="I30" s="61" t="str">
        <f>IFERROR(__xludf.DUMMYFUNCTION("""COMPUTED_VALUE"""),"University Housing")</f>
        <v>University Housing</v>
      </c>
      <c r="J30" s="107" t="str">
        <f>IFERROR(__xludf.DUMMYFUNCTION("""COMPUTED_VALUE"""),"09:00 AM to 11:00 AM  ")</f>
        <v>09:00 AM to 11:00 AM  </v>
      </c>
      <c r="K30" s="107">
        <f>IFERROR(__xludf.DUMMYFUNCTION("""COMPUTED_VALUE"""),45883.0)</f>
        <v>45883</v>
      </c>
      <c r="L30" s="61" t="str">
        <f>IFERROR(__xludf.DUMMYFUNCTION("""COMPUTED_VALUE"""),"House 1")</f>
        <v>House 1</v>
      </c>
      <c r="M30" s="61" t="str">
        <f>IFERROR(__xludf.DUMMYFUNCTION("""COMPUTED_VALUE"""),"209 - a")</f>
        <v>209 - a</v>
      </c>
      <c r="N30" s="61"/>
      <c r="O30" s="61"/>
      <c r="P30" s="61" t="b">
        <f>COUNTIF('Delivered SIR'!A:A, E30) &gt; 0</f>
        <v>0</v>
      </c>
    </row>
    <row r="31">
      <c r="A31" s="102" t="str">
        <f>IFERROR(__xludf.DUMMYFUNCTION("""COMPUTED_VALUE"""),"https://utrucking.com/admin/orders/5900755337404")</f>
        <v>https://utrucking.com/admin/orders/5900755337404</v>
      </c>
      <c r="B31" s="65" t="str">
        <f>IFERROR(__xludf.DUMMYFUNCTION("""COMPUTED_VALUE"""),"#15275")</f>
        <v>#15275</v>
      </c>
      <c r="C31" s="65" t="str">
        <f>IFERROR(__xludf.DUMMYFUNCTION("""COMPUTED_VALUE"""),"orbucho2006@gmail.com")</f>
        <v>orbucho2006@gmail.com</v>
      </c>
      <c r="D31" s="65">
        <f>IFERROR(__xludf.DUMMYFUNCTION("""COMPUTED_VALUE"""),9.177326364E9)</f>
        <v>9177326364</v>
      </c>
      <c r="E31" s="65" t="str">
        <f>IFERROR(__xludf.DUMMYFUNCTION("""COMPUTED_VALUE"""),"Olivia Orbuch")</f>
        <v>Olivia Orbuch</v>
      </c>
      <c r="F31" s="65"/>
      <c r="G31" s="65" t="str">
        <f>IFERROR(__xludf.DUMMYFUNCTION("""COMPUTED_VALUE"""),"1723 s corning street")</f>
        <v>1723 s corning street</v>
      </c>
      <c r="H31" s="65" t="str">
        <f>IFERROR(__xludf.DUMMYFUNCTION("""COMPUTED_VALUE"""),"Storage Item Return")</f>
        <v>Storage Item Return</v>
      </c>
      <c r="I31" s="65" t="str">
        <f>IFERROR(__xludf.DUMMYFUNCTION("""COMPUTED_VALUE"""),"﻿﻿ Non-University Housing")</f>
        <v>﻿﻿ Non-University Housing</v>
      </c>
      <c r="J31" s="108" t="str">
        <f>IFERROR(__xludf.DUMMYFUNCTION("""COMPUTED_VALUE"""),"12:00 PM to 02:00 PM  ")</f>
        <v>12:00 PM to 02:00 PM  </v>
      </c>
      <c r="K31" s="108">
        <f>IFERROR(__xludf.DUMMYFUNCTION("""COMPUTED_VALUE"""),45875.0)</f>
        <v>45875</v>
      </c>
      <c r="L31" s="65"/>
      <c r="M31" s="65"/>
      <c r="N31" s="65" t="str">
        <f>IFERROR(__xludf.DUMMYFUNCTION("""COMPUTED_VALUE"""),"7036 Forsyth Blvd")</f>
        <v>7036 Forsyth Blvd</v>
      </c>
      <c r="O31" s="65"/>
      <c r="P31" s="65" t="b">
        <f>COUNTIF('Delivered SIR'!A:A, E31) &gt; 0</f>
        <v>0</v>
      </c>
    </row>
    <row r="32">
      <c r="A32" s="99" t="str">
        <f>IFERROR(__xludf.DUMMYFUNCTION("""COMPUTED_VALUE"""),"https://utrucking.com/admin/orders/5900791414972")</f>
        <v>https://utrucking.com/admin/orders/5900791414972</v>
      </c>
      <c r="B32" s="61" t="str">
        <f>IFERROR(__xludf.DUMMYFUNCTION("""COMPUTED_VALUE"""),"#15276")</f>
        <v>#15276</v>
      </c>
      <c r="C32" s="61" t="str">
        <f>IFERROR(__xludf.DUMMYFUNCTION("""COMPUTED_VALUE"""),"g.kogan@wustl.edu")</f>
        <v>g.kogan@wustl.edu</v>
      </c>
      <c r="D32" s="61">
        <f>IFERROR(__xludf.DUMMYFUNCTION("""COMPUTED_VALUE"""),1.914602624E10)</f>
        <v>19146026240</v>
      </c>
      <c r="E32" s="61" t="str">
        <f>IFERROR(__xludf.DUMMYFUNCTION("""COMPUTED_VALUE"""),"Gabrielle Kogan")</f>
        <v>Gabrielle Kogan</v>
      </c>
      <c r="F32" s="61"/>
      <c r="G32" s="61" t="str">
        <f>IFERROR(__xludf.DUMMYFUNCTION("""COMPUTED_VALUE"""),"39 Orchard Hill Rd")</f>
        <v>39 Orchard Hill Rd</v>
      </c>
      <c r="H32" s="61" t="str">
        <f>IFERROR(__xludf.DUMMYFUNCTION("""COMPUTED_VALUE"""),"Storage Item Return")</f>
        <v>Storage Item Return</v>
      </c>
      <c r="I32" s="61" t="str">
        <f>IFERROR(__xludf.DUMMYFUNCTION("""COMPUTED_VALUE"""),"﻿﻿ University Housing")</f>
        <v>﻿﻿ University Housing</v>
      </c>
      <c r="J32" s="107" t="str">
        <f>IFERROR(__xludf.DUMMYFUNCTION("""COMPUTED_VALUE"""),"09:00 AM to 11:00 AM  ")</f>
        <v>09:00 AM to 11:00 AM  </v>
      </c>
      <c r="K32" s="107">
        <f>IFERROR(__xludf.DUMMYFUNCTION("""COMPUTED_VALUE"""),45876.0)</f>
        <v>45876</v>
      </c>
      <c r="L32" s="61" t="str">
        <f>IFERROR(__xludf.DUMMYFUNCTION("""COMPUTED_VALUE"""),"Beaumont  ")</f>
        <v>Beaumont  </v>
      </c>
      <c r="M32" s="61" t="str">
        <f>IFERROR(__xludf.DUMMYFUNCTION("""COMPUTED_VALUE"""),"321")</f>
        <v>321</v>
      </c>
      <c r="N32" s="61"/>
      <c r="O32" s="61"/>
      <c r="P32" s="61" t="b">
        <f>COUNTIF('Delivered SIR'!A:A, E32) &gt; 0</f>
        <v>1</v>
      </c>
    </row>
    <row r="33">
      <c r="A33" s="102" t="str">
        <f>IFERROR(__xludf.DUMMYFUNCTION("""COMPUTED_VALUE"""),"https://utrucking.com/admin/orders/5900814680252")</f>
        <v>https://utrucking.com/admin/orders/5900814680252</v>
      </c>
      <c r="B33" s="65" t="str">
        <f>IFERROR(__xludf.DUMMYFUNCTION("""COMPUTED_VALUE"""),"#15277")</f>
        <v>#15277</v>
      </c>
      <c r="C33" s="65"/>
      <c r="D33" s="65">
        <f>IFERROR(__xludf.DUMMYFUNCTION("""COMPUTED_VALUE"""),9.179217228E9)</f>
        <v>9179217228</v>
      </c>
      <c r="E33" s="65" t="str">
        <f>IFERROR(__xludf.DUMMYFUNCTION("""COMPUTED_VALUE"""),"lloyd mallah")</f>
        <v>lloyd mallah</v>
      </c>
      <c r="F33" s="65"/>
      <c r="G33" s="65" t="str">
        <f>IFERROR(__xludf.DUMMYFUNCTION("""COMPUTED_VALUE"""),"17 Birch Lane")</f>
        <v>17 Birch Lane</v>
      </c>
      <c r="H33" s="65" t="str">
        <f>IFERROR(__xludf.DUMMYFUNCTION("""COMPUTED_VALUE"""),"Storage Item Return")</f>
        <v>Storage Item Return</v>
      </c>
      <c r="I33" s="65" t="str">
        <f>IFERROR(__xludf.DUMMYFUNCTION("""COMPUTED_VALUE"""),"﻿﻿ Non-University Housing")</f>
        <v>﻿﻿ Non-University Housing</v>
      </c>
      <c r="J33" s="108" t="str">
        <f>IFERROR(__xludf.DUMMYFUNCTION("""COMPUTED_VALUE"""),"03:00 PM to 05:00 PM")</f>
        <v>03:00 PM to 05:00 PM</v>
      </c>
      <c r="K33" s="108">
        <f>IFERROR(__xludf.DUMMYFUNCTION("""COMPUTED_VALUE"""),45888.0)</f>
        <v>45888</v>
      </c>
      <c r="L33" s="65"/>
      <c r="M33" s="65"/>
      <c r="N33" s="65" t="str">
        <f>IFERROR(__xludf.DUMMYFUNCTION("""COMPUTED_VALUE"""),"6843 Kingsbury Blvd
Apartment 1E
St. Louis, MO 63130")</f>
        <v>6843 Kingsbury Blvd
Apartment 1E
St. Louis, MO 63130</v>
      </c>
      <c r="O33" s="65"/>
      <c r="P33" s="65" t="b">
        <f>COUNTIF('Delivered SIR'!A:A, E33) &gt; 0</f>
        <v>0</v>
      </c>
    </row>
    <row r="34">
      <c r="A34" s="99" t="str">
        <f>IFERROR(__xludf.DUMMYFUNCTION("""COMPUTED_VALUE"""),"https://utrucking.com/admin/orders/5901064863932")</f>
        <v>https://utrucking.com/admin/orders/5901064863932</v>
      </c>
      <c r="B34" s="61" t="str">
        <f>IFERROR(__xludf.DUMMYFUNCTION("""COMPUTED_VALUE"""),"#15286")</f>
        <v>#15286</v>
      </c>
      <c r="C34" s="61" t="str">
        <f>IFERROR(__xludf.DUMMYFUNCTION("""COMPUTED_VALUE"""),"freedman.g@wustl.edu")</f>
        <v>freedman.g@wustl.edu</v>
      </c>
      <c r="D34" s="61">
        <f>IFERROR(__xludf.DUMMYFUNCTION("""COMPUTED_VALUE"""),3.109229448E9)</f>
        <v>3109229448</v>
      </c>
      <c r="E34" s="61" t="str">
        <f>IFERROR(__xludf.DUMMYFUNCTION("""COMPUTED_VALUE"""),"Gabriel Freedman")</f>
        <v>Gabriel Freedman</v>
      </c>
      <c r="F34" s="61"/>
      <c r="G34" s="61" t="str">
        <f>IFERROR(__xludf.DUMMYFUNCTION("""COMPUTED_VALUE"""),"526 North Saltair Avenue")</f>
        <v>526 North Saltair Avenue</v>
      </c>
      <c r="H34" s="61" t="str">
        <f>IFERROR(__xludf.DUMMYFUNCTION("""COMPUTED_VALUE"""),"Storage Item Return")</f>
        <v>Storage Item Return</v>
      </c>
      <c r="I34" s="61" t="str">
        <f>IFERROR(__xludf.DUMMYFUNCTION("""COMPUTED_VALUE"""),"﻿﻿ University Housing")</f>
        <v>﻿﻿ University Housing</v>
      </c>
      <c r="J34" s="107" t="str">
        <f>IFERROR(__xludf.DUMMYFUNCTION("""COMPUTED_VALUE"""),"09:00 AM to 11:00 AM  ")</f>
        <v>09:00 AM to 11:00 AM  </v>
      </c>
      <c r="K34" s="107">
        <f>IFERROR(__xludf.DUMMYFUNCTION("""COMPUTED_VALUE"""),45883.0)</f>
        <v>45883</v>
      </c>
      <c r="L34" s="61" t="str">
        <f>IFERROR(__xludf.DUMMYFUNCTION("""COMPUTED_VALUE"""),"House 6 (Sigma Alpha Epsilon)  ")</f>
        <v>House 6 (Sigma Alpha Epsilon)  </v>
      </c>
      <c r="M34" s="61" t="str">
        <f>IFERROR(__xludf.DUMMYFUNCTION("""COMPUTED_VALUE"""),"305")</f>
        <v>305</v>
      </c>
      <c r="N34" s="61"/>
      <c r="O34" s="61"/>
      <c r="P34" s="61" t="b">
        <f>COUNTIF('Delivered SIR'!A:A, E34) &gt; 0</f>
        <v>1</v>
      </c>
    </row>
    <row r="35">
      <c r="A35" s="102" t="str">
        <f>IFERROR(__xludf.DUMMYFUNCTION("""COMPUTED_VALUE"""),"https://utrucking.com/admin/orders/5901577748668")</f>
        <v>https://utrucking.com/admin/orders/5901577748668</v>
      </c>
      <c r="B35" s="65" t="str">
        <f>IFERROR(__xludf.DUMMYFUNCTION("""COMPUTED_VALUE"""),"#15290")</f>
        <v>#15290</v>
      </c>
      <c r="C35" s="65"/>
      <c r="D35" s="65">
        <f>IFERROR(__xludf.DUMMYFUNCTION("""COMPUTED_VALUE"""),7.046920035E9)</f>
        <v>7046920035</v>
      </c>
      <c r="E35" s="65" t="str">
        <f>IFERROR(__xludf.DUMMYFUNCTION("""COMPUTED_VALUE"""),"Cherie Sidhu")</f>
        <v>Cherie Sidhu</v>
      </c>
      <c r="F35" s="65"/>
      <c r="G35" s="65" t="str">
        <f>IFERROR(__xludf.DUMMYFUNCTION("""COMPUTED_VALUE"""),"1420 Stone Gate Dr")</f>
        <v>1420 Stone Gate Dr</v>
      </c>
      <c r="H35" s="65" t="str">
        <f>IFERROR(__xludf.DUMMYFUNCTION("""COMPUTED_VALUE"""),"Storage Item Return")</f>
        <v>Storage Item Return</v>
      </c>
      <c r="I35" s="65" t="str">
        <f>IFERROR(__xludf.DUMMYFUNCTION("""COMPUTED_VALUE"""),"﻿﻿ University Housing")</f>
        <v>﻿﻿ University Housing</v>
      </c>
      <c r="J35" s="108" t="str">
        <f>IFERROR(__xludf.DUMMYFUNCTION("""COMPUTED_VALUE"""),"01:00 PM to 03:00 PM  ")</f>
        <v>01:00 PM to 03:00 PM  </v>
      </c>
      <c r="K35" s="108">
        <f>IFERROR(__xludf.DUMMYFUNCTION("""COMPUTED_VALUE"""),45876.0)</f>
        <v>45876</v>
      </c>
      <c r="L35" s="65" t="str">
        <f>IFERROR(__xludf.DUMMYFUNCTION("""COMPUTED_VALUE"""),"Nemerov  ")</f>
        <v>Nemerov  </v>
      </c>
      <c r="M35" s="65" t="str">
        <f>IFERROR(__xludf.DUMMYFUNCTION("""COMPUTED_VALUE"""),"3053")</f>
        <v>3053</v>
      </c>
      <c r="N35" s="65"/>
      <c r="O35" s="65"/>
      <c r="P35" s="65" t="b">
        <f>COUNTIF('Delivered SIR'!A:A, E35) &gt; 0</f>
        <v>0</v>
      </c>
    </row>
    <row r="36">
      <c r="A36" s="99" t="str">
        <f>IFERROR(__xludf.DUMMYFUNCTION("""COMPUTED_VALUE"""),"https://utrucking.com/admin/orders/5901603799228")</f>
        <v>https://utrucking.com/admin/orders/5901603799228</v>
      </c>
      <c r="B36" s="61" t="str">
        <f>IFERROR(__xludf.DUMMYFUNCTION("""COMPUTED_VALUE"""),"#15291")</f>
        <v>#15291</v>
      </c>
      <c r="C36" s="61" t="str">
        <f>IFERROR(__xludf.DUMMYFUNCTION("""COMPUTED_VALUE"""),"talykaplan@gmail.com")</f>
        <v>talykaplan@gmail.com</v>
      </c>
      <c r="D36" s="61">
        <f>IFERROR(__xludf.DUMMYFUNCTION("""COMPUTED_VALUE"""),1.2014077071E10)</f>
        <v>12014077071</v>
      </c>
      <c r="E36" s="61" t="str">
        <f>IFERROR(__xludf.DUMMYFUNCTION("""COMPUTED_VALUE"""),"Taly Kaplan")</f>
        <v>Taly Kaplan</v>
      </c>
      <c r="F36" s="61"/>
      <c r="G36" s="61" t="str">
        <f>IFERROR(__xludf.DUMMYFUNCTION("""COMPUTED_VALUE"""),"18 Rene Drive")</f>
        <v>18 Rene Drive</v>
      </c>
      <c r="H36" s="61" t="str">
        <f>IFERROR(__xludf.DUMMYFUNCTION("""COMPUTED_VALUE"""),"Storage Item Return")</f>
        <v>Storage Item Return</v>
      </c>
      <c r="I36" s="61" t="str">
        <f>IFERROR(__xludf.DUMMYFUNCTION("""COMPUTED_VALUE"""),"﻿﻿ University Housing")</f>
        <v>﻿﻿ University Housing</v>
      </c>
      <c r="J36" s="107" t="str">
        <f>IFERROR(__xludf.DUMMYFUNCTION("""COMPUTED_VALUE"""),"12:00 PM to 02:00 PM  ")</f>
        <v>12:00 PM to 02:00 PM  </v>
      </c>
      <c r="K36" s="107">
        <f>IFERROR(__xludf.DUMMYFUNCTION("""COMPUTED_VALUE"""),45883.0)</f>
        <v>45883</v>
      </c>
      <c r="L36" s="61" t="str">
        <f>IFERROR(__xludf.DUMMYFUNCTION("""COMPUTED_VALUE"""),"House 21 (Alpha Epsilon Pi)  ")</f>
        <v>House 21 (Alpha Epsilon Pi)  </v>
      </c>
      <c r="M36" s="61" t="str">
        <f>IFERROR(__xludf.DUMMYFUNCTION("""COMPUTED_VALUE"""),"3081")</f>
        <v>3081</v>
      </c>
      <c r="N36" s="61"/>
      <c r="O36" s="61"/>
      <c r="P36" s="61" t="b">
        <f>COUNTIF('Delivered SIR'!A:A, E36) &gt; 0</f>
        <v>0</v>
      </c>
    </row>
    <row r="37">
      <c r="A37" s="102" t="str">
        <f>IFERROR(__xludf.DUMMYFUNCTION("""COMPUTED_VALUE"""),"https://utrucking.com/admin/orders/5901762691260")</f>
        <v>https://utrucking.com/admin/orders/5901762691260</v>
      </c>
      <c r="B37" s="65" t="str">
        <f>IFERROR(__xludf.DUMMYFUNCTION("""COMPUTED_VALUE"""),"#15293")</f>
        <v>#15293</v>
      </c>
      <c r="C37" s="65"/>
      <c r="D37" s="65">
        <f>IFERROR(__xludf.DUMMYFUNCTION("""COMPUTED_VALUE"""),6.463198706E9)</f>
        <v>6463198706</v>
      </c>
      <c r="E37" s="65" t="str">
        <f>IFERROR(__xludf.DUMMYFUNCTION("""COMPUTED_VALUE"""),"Ian Shurslep")</f>
        <v>Ian Shurslep</v>
      </c>
      <c r="F37" s="65"/>
      <c r="G37" s="65"/>
      <c r="H37" s="65" t="str">
        <f>IFERROR(__xludf.DUMMYFUNCTION("""COMPUTED_VALUE"""),"Storage Item Return")</f>
        <v>Storage Item Return</v>
      </c>
      <c r="I37" s="65" t="str">
        <f>IFERROR(__xludf.DUMMYFUNCTION("""COMPUTED_VALUE"""),"University Housing")</f>
        <v>University Housing</v>
      </c>
      <c r="J37" s="108" t="str">
        <f>IFERROR(__xludf.DUMMYFUNCTION("""COMPUTED_VALUE"""),"11:00 AM to 01:00 PM  ")</f>
        <v>11:00 AM to 01:00 PM  </v>
      </c>
      <c r="K37" s="108">
        <f>IFERROR(__xludf.DUMMYFUNCTION("""COMPUTED_VALUE"""),45882.0)</f>
        <v>45882</v>
      </c>
      <c r="L37" s="65" t="str">
        <f>IFERROR(__xludf.DUMMYFUNCTION("""COMPUTED_VALUE"""),"Millbrook Bldg. 4  ")</f>
        <v>Millbrook Bldg. 4  </v>
      </c>
      <c r="M37" s="65" t="str">
        <f>IFERROR(__xludf.DUMMYFUNCTION("""COMPUTED_VALUE"""),"304C (Moving in on 17th)")</f>
        <v>304C (Moving in on 17th)</v>
      </c>
      <c r="N37" s="65"/>
      <c r="O37" s="65"/>
      <c r="P37" s="65" t="b">
        <f>COUNTIF('Delivered SIR'!A:A, E37) &gt; 0</f>
        <v>1</v>
      </c>
    </row>
    <row r="38">
      <c r="A38" s="99" t="str">
        <f>IFERROR(__xludf.DUMMYFUNCTION("""COMPUTED_VALUE"""),"https://utrucking.com/admin/orders/5903703638204")</f>
        <v>https://utrucking.com/admin/orders/5903703638204</v>
      </c>
      <c r="B38" s="61" t="str">
        <f>IFERROR(__xludf.DUMMYFUNCTION("""COMPUTED_VALUE"""),"#15319")</f>
        <v>#15319</v>
      </c>
      <c r="C38" s="61" t="str">
        <f>IFERROR(__xludf.DUMMYFUNCTION("""COMPUTED_VALUE"""),"joline@wustl.edu")</f>
        <v>joline@wustl.edu</v>
      </c>
      <c r="D38" s="61">
        <f>IFERROR(__xludf.DUMMYFUNCTION("""COMPUTED_VALUE"""),3.46221826E9)</f>
        <v>3462218260</v>
      </c>
      <c r="E38" s="61" t="str">
        <f>IFERROR(__xludf.DUMMYFUNCTION("""COMPUTED_VALUE"""),"Joline Sun")</f>
        <v>Joline Sun</v>
      </c>
      <c r="F38" s="61"/>
      <c r="G38" s="61"/>
      <c r="H38" s="61" t="str">
        <f>IFERROR(__xludf.DUMMYFUNCTION("""COMPUTED_VALUE"""),"Storage Item Return")</f>
        <v>Storage Item Return</v>
      </c>
      <c r="I38" s="61" t="str">
        <f>IFERROR(__xludf.DUMMYFUNCTION("""COMPUTED_VALUE"""),"University Housing")</f>
        <v>University Housing</v>
      </c>
      <c r="J38" s="107" t="str">
        <f>IFERROR(__xludf.DUMMYFUNCTION("""COMPUTED_VALUE"""),"01:00 PM to 03:00 PM  ")</f>
        <v>01:00 PM to 03:00 PM  </v>
      </c>
      <c r="K38" s="107">
        <f>IFERROR(__xludf.DUMMYFUNCTION("""COMPUTED_VALUE"""),45883.0)</f>
        <v>45883</v>
      </c>
      <c r="L38" s="61" t="str">
        <f>IFERROR(__xludf.DUMMYFUNCTION("""COMPUTED_VALUE"""),"Shepley  ")</f>
        <v>Shepley  </v>
      </c>
      <c r="M38" s="61" t="str">
        <f>IFERROR(__xludf.DUMMYFUNCTION("""COMPUTED_VALUE"""),"2053-a")</f>
        <v>2053-a</v>
      </c>
      <c r="N38" s="61"/>
      <c r="O38" s="61"/>
      <c r="P38" s="61" t="b">
        <f>COUNTIF('Delivered SIR'!A:A, E38) &gt; 0</f>
        <v>1</v>
      </c>
    </row>
    <row r="39">
      <c r="A39" s="102" t="str">
        <f>IFERROR(__xludf.DUMMYFUNCTION("""COMPUTED_VALUE"""),"https://utrucking.com/admin/orders/5903767109820")</f>
        <v>https://utrucking.com/admin/orders/5903767109820</v>
      </c>
      <c r="B39" s="65" t="str">
        <f>IFERROR(__xludf.DUMMYFUNCTION("""COMPUTED_VALUE"""),"#15322")</f>
        <v>#15322</v>
      </c>
      <c r="C39" s="65" t="str">
        <f>IFERROR(__xludf.DUMMYFUNCTION("""COMPUTED_VALUE"""),"k.nayeon@wustl.edu")</f>
        <v>k.nayeon@wustl.edu</v>
      </c>
      <c r="D39" s="65">
        <f>IFERROR(__xludf.DUMMYFUNCTION("""COMPUTED_VALUE"""),6.503092445E9)</f>
        <v>6503092445</v>
      </c>
      <c r="E39" s="65" t="str">
        <f>IFERROR(__xludf.DUMMYFUNCTION("""COMPUTED_VALUE"""),"Nayeon Kim")</f>
        <v>Nayeon Kim</v>
      </c>
      <c r="F39" s="65"/>
      <c r="G39" s="65"/>
      <c r="H39" s="65" t="str">
        <f>IFERROR(__xludf.DUMMYFUNCTION("""COMPUTED_VALUE"""),"Storage Item Return")</f>
        <v>Storage Item Return</v>
      </c>
      <c r="I39" s="65" t="str">
        <f>IFERROR(__xludf.DUMMYFUNCTION("""COMPUTED_VALUE"""),"University Housing")</f>
        <v>University Housing</v>
      </c>
      <c r="J39" s="108" t="str">
        <f>IFERROR(__xludf.DUMMYFUNCTION("""COMPUTED_VALUE"""),"10:00 AM to 12:00 PM  ")</f>
        <v>10:00 AM to 12:00 PM  </v>
      </c>
      <c r="K39" s="108">
        <f>IFERROR(__xludf.DUMMYFUNCTION("""COMPUTED_VALUE"""),45883.0)</f>
        <v>45883</v>
      </c>
      <c r="L39" s="65" t="str">
        <f>IFERROR(__xludf.DUMMYFUNCTION("""COMPUTED_VALUE"""),"Zetcher  ")</f>
        <v>Zetcher  </v>
      </c>
      <c r="M39" s="65" t="str">
        <f>IFERROR(__xludf.DUMMYFUNCTION("""COMPUTED_VALUE"""),"3154")</f>
        <v>3154</v>
      </c>
      <c r="N39" s="65"/>
      <c r="O39" s="65"/>
      <c r="P39" s="65" t="b">
        <f>COUNTIF('Delivered SIR'!A:A, E39) &gt; 0</f>
        <v>1</v>
      </c>
    </row>
    <row r="40">
      <c r="A40" s="99" t="str">
        <f>IFERROR(__xludf.DUMMYFUNCTION("""COMPUTED_VALUE"""),"https://utrucking.com/admin/orders/5903819833532")</f>
        <v>https://utrucking.com/admin/orders/5903819833532</v>
      </c>
      <c r="B40" s="61" t="str">
        <f>IFERROR(__xludf.DUMMYFUNCTION("""COMPUTED_VALUE"""),"#15324")</f>
        <v>#15324</v>
      </c>
      <c r="C40" s="61" t="str">
        <f>IFERROR(__xludf.DUMMYFUNCTION("""COMPUTED_VALUE"""),"mabeleonurrutia@gmail.com")</f>
        <v>mabeleonurrutia@gmail.com</v>
      </c>
      <c r="D40" s="61">
        <f>IFERROR(__xludf.DUMMYFUNCTION("""COMPUTED_VALUE"""),4.707319605E9)</f>
        <v>4707319605</v>
      </c>
      <c r="E40" s="61" t="str">
        <f>IFERROR(__xludf.DUMMYFUNCTION("""COMPUTED_VALUE"""),"Maria Leon")</f>
        <v>Maria Leon</v>
      </c>
      <c r="F40" s="61"/>
      <c r="G40" s="61"/>
      <c r="H40" s="61" t="str">
        <f>IFERROR(__xludf.DUMMYFUNCTION("""COMPUTED_VALUE"""),"Storage Item Return")</f>
        <v>Storage Item Return</v>
      </c>
      <c r="I40" s="61" t="str">
        <f>IFERROR(__xludf.DUMMYFUNCTION("""COMPUTED_VALUE"""),"University Housing")</f>
        <v>University Housing</v>
      </c>
      <c r="J40" s="107" t="str">
        <f>IFERROR(__xludf.DUMMYFUNCTION("""COMPUTED_VALUE"""),"09:00 AM to 11:00 AM  ")</f>
        <v>09:00 AM to 11:00 AM  </v>
      </c>
      <c r="K40" s="107">
        <f>IFERROR(__xludf.DUMMYFUNCTION("""COMPUTED_VALUE"""),45875.0)</f>
        <v>45875</v>
      </c>
      <c r="L40" s="61" t="str">
        <f>IFERROR(__xludf.DUMMYFUNCTION("""COMPUTED_VALUE"""),"Eliot B  ")</f>
        <v>Eliot B  </v>
      </c>
      <c r="M40" s="61" t="str">
        <f>IFERROR(__xludf.DUMMYFUNCTION("""COMPUTED_VALUE""")," 1054-A")</f>
        <v> 1054-A</v>
      </c>
      <c r="N40" s="61"/>
      <c r="O40" s="61"/>
      <c r="P40" s="61" t="b">
        <f>COUNTIF('Delivered SIR'!A:A, E40) &gt; 0</f>
        <v>0</v>
      </c>
    </row>
    <row r="41">
      <c r="A41" s="102" t="str">
        <f>IFERROR(__xludf.DUMMYFUNCTION("""COMPUTED_VALUE"""),"https://utrucking.com/admin/orders/5904418308284")</f>
        <v>https://utrucking.com/admin/orders/5904418308284</v>
      </c>
      <c r="B41" s="65" t="str">
        <f>IFERROR(__xludf.DUMMYFUNCTION("""COMPUTED_VALUE"""),"#15334")</f>
        <v>#15334</v>
      </c>
      <c r="C41" s="65" t="str">
        <f>IFERROR(__xludf.DUMMYFUNCTION("""COMPUTED_VALUE"""),"Ejbloom54@gmail.com")</f>
        <v>Ejbloom54@gmail.com</v>
      </c>
      <c r="D41" s="65">
        <f>IFERROR(__xludf.DUMMYFUNCTION("""COMPUTED_VALUE"""),1.9175709951E10)</f>
        <v>19175709951</v>
      </c>
      <c r="E41" s="65" t="str">
        <f>IFERROR(__xludf.DUMMYFUNCTION("""COMPUTED_VALUE"""),"Ronda Bloom")</f>
        <v>Ronda Bloom</v>
      </c>
      <c r="F41" s="65"/>
      <c r="G41" s="65"/>
      <c r="H41" s="65" t="str">
        <f>IFERROR(__xludf.DUMMYFUNCTION("""COMPUTED_VALUE"""),"Storage Item Return")</f>
        <v>Storage Item Return</v>
      </c>
      <c r="I41" s="65" t="str">
        <f>IFERROR(__xludf.DUMMYFUNCTION("""COMPUTED_VALUE"""),"University Housing")</f>
        <v>University Housing</v>
      </c>
      <c r="J41" s="108" t="str">
        <f>IFERROR(__xludf.DUMMYFUNCTION("""COMPUTED_VALUE"""),"09:00 AM to 11:00 AM  ")</f>
        <v>09:00 AM to 11:00 AM  </v>
      </c>
      <c r="K41" s="108">
        <f>IFERROR(__xludf.DUMMYFUNCTION("""COMPUTED_VALUE"""),45887.0)</f>
        <v>45887</v>
      </c>
      <c r="L41" s="65" t="str">
        <f>IFERROR(__xludf.DUMMYFUNCTION("""COMPUTED_VALUE"""),"House 2 (Sigma Nu)  ")</f>
        <v>House 2 (Sigma Nu)  </v>
      </c>
      <c r="M41" s="65" t="str">
        <f>IFERROR(__xludf.DUMMYFUNCTION("""COMPUTED_VALUE"""),"308")</f>
        <v>308</v>
      </c>
      <c r="N41" s="65"/>
      <c r="O41" s="65"/>
      <c r="P41" s="65" t="b">
        <f>COUNTIF('Delivered SIR'!A:A, E41) &gt; 0</f>
        <v>0</v>
      </c>
    </row>
    <row r="42">
      <c r="A42" s="99" t="str">
        <f>IFERROR(__xludf.DUMMYFUNCTION("""COMPUTED_VALUE"""),"https://utrucking.com/admin/orders/5904591716540")</f>
        <v>https://utrucking.com/admin/orders/5904591716540</v>
      </c>
      <c r="B42" s="61" t="str">
        <f>IFERROR(__xludf.DUMMYFUNCTION("""COMPUTED_VALUE"""),"#15341")</f>
        <v>#15341</v>
      </c>
      <c r="C42" s="61" t="str">
        <f>IFERROR(__xludf.DUMMYFUNCTION("""COMPUTED_VALUE"""),"r.l.wei@wustl.edu")</f>
        <v>r.l.wei@wustl.edu</v>
      </c>
      <c r="D42" s="61">
        <f>IFERROR(__xludf.DUMMYFUNCTION("""COMPUTED_VALUE"""),1.6473022388E10)</f>
        <v>16473022388</v>
      </c>
      <c r="E42" s="61" t="str">
        <f>IFERROR(__xludf.DUMMYFUNCTION("""COMPUTED_VALUE"""),"Ronnie Wei")</f>
        <v>Ronnie Wei</v>
      </c>
      <c r="F42" s="61"/>
      <c r="G42" s="61"/>
      <c r="H42" s="61" t="str">
        <f>IFERROR(__xludf.DUMMYFUNCTION("""COMPUTED_VALUE"""),"Storage Item Return")</f>
        <v>Storage Item Return</v>
      </c>
      <c r="I42" s="61" t="str">
        <f>IFERROR(__xludf.DUMMYFUNCTION("""COMPUTED_VALUE"""),"University Housing")</f>
        <v>University Housing</v>
      </c>
      <c r="J42" s="107" t="str">
        <f>IFERROR(__xludf.DUMMYFUNCTION("""COMPUTED_VALUE"""),"09:00 AM to 11:00 AM  ")</f>
        <v>09:00 AM to 11:00 AM  </v>
      </c>
      <c r="K42" s="107">
        <f>IFERROR(__xludf.DUMMYFUNCTION("""COMPUTED_VALUE"""),45883.0)</f>
        <v>45883</v>
      </c>
      <c r="L42" s="61" t="str">
        <f>IFERROR(__xludf.DUMMYFUNCTION("""COMPUTED_VALUE"""),"Village East  ")</f>
        <v>Village East  </v>
      </c>
      <c r="M42" s="61" t="str">
        <f>IFERROR(__xludf.DUMMYFUNCTION("""COMPUTED_VALUE"""),"0012 a")</f>
        <v>0012 a</v>
      </c>
      <c r="N42" s="61"/>
      <c r="O42" s="61"/>
      <c r="P42" s="61" t="b">
        <f>COUNTIF('Delivered SIR'!A:A, E42) &gt; 0</f>
        <v>1</v>
      </c>
    </row>
    <row r="43">
      <c r="A43" s="102" t="str">
        <f>IFERROR(__xludf.DUMMYFUNCTION("""COMPUTED_VALUE"""),"https://utrucking.com/admin/orders/5905179443388")</f>
        <v>https://utrucking.com/admin/orders/5905179443388</v>
      </c>
      <c r="B43" s="65" t="str">
        <f>IFERROR(__xludf.DUMMYFUNCTION("""COMPUTED_VALUE"""),"#15351")</f>
        <v>#15351</v>
      </c>
      <c r="C43" s="65" t="str">
        <f>IFERROR(__xludf.DUMMYFUNCTION("""COMPUTED_VALUE"""),"kailabrooks11@gmail.com")</f>
        <v>kailabrooks11@gmail.com</v>
      </c>
      <c r="D43" s="65">
        <f>IFERROR(__xludf.DUMMYFUNCTION("""COMPUTED_VALUE"""),8.454439805E9)</f>
        <v>8454439805</v>
      </c>
      <c r="E43" s="65" t="str">
        <f>IFERROR(__xludf.DUMMYFUNCTION("""COMPUTED_VALUE"""),"Kaila Brooks")</f>
        <v>Kaila Brooks</v>
      </c>
      <c r="F43" s="65"/>
      <c r="G43" s="65"/>
      <c r="H43" s="65" t="str">
        <f>IFERROR(__xludf.DUMMYFUNCTION("""COMPUTED_VALUE"""),"Storage Item Return")</f>
        <v>Storage Item Return</v>
      </c>
      <c r="I43" s="65" t="str">
        <f>IFERROR(__xludf.DUMMYFUNCTION("""COMPUTED_VALUE"""),"University Housing")</f>
        <v>University Housing</v>
      </c>
      <c r="J43" s="108" t="str">
        <f>IFERROR(__xludf.DUMMYFUNCTION("""COMPUTED_VALUE"""),"09:00 AM to 11:00 AM  ")</f>
        <v>09:00 AM to 11:00 AM  </v>
      </c>
      <c r="K43" s="108">
        <f>IFERROR(__xludf.DUMMYFUNCTION("""COMPUTED_VALUE"""),45883.0)</f>
        <v>45883</v>
      </c>
      <c r="L43" s="65" t="str">
        <f>IFERROR(__xludf.DUMMYFUNCTION("""COMPUTED_VALUE"""),"Gregg  ")</f>
        <v>Gregg  </v>
      </c>
      <c r="M43" s="65" t="str">
        <f>IFERROR(__xludf.DUMMYFUNCTION("""COMPUTED_VALUE"""),"3102")</f>
        <v>3102</v>
      </c>
      <c r="N43" s="65"/>
      <c r="O43" s="65"/>
      <c r="P43" s="65" t="b">
        <f>COUNTIF('Delivered SIR'!A:A, E43) &gt; 0</f>
        <v>1</v>
      </c>
    </row>
    <row r="44">
      <c r="A44" s="99" t="str">
        <f>IFERROR(__xludf.DUMMYFUNCTION("""COMPUTED_VALUE"""),"https://utrucking.com/admin/orders/5905232101564")</f>
        <v>https://utrucking.com/admin/orders/5905232101564</v>
      </c>
      <c r="B44" s="61" t="str">
        <f>IFERROR(__xludf.DUMMYFUNCTION("""COMPUTED_VALUE"""),"#15353")</f>
        <v>#15353</v>
      </c>
      <c r="C44" s="61"/>
      <c r="D44" s="61">
        <f>IFERROR(__xludf.DUMMYFUNCTION("""COMPUTED_VALUE"""),6.156090081E9)</f>
        <v>6156090081</v>
      </c>
      <c r="E44" s="61" t="str">
        <f>IFERROR(__xludf.DUMMYFUNCTION("""COMPUTED_VALUE"""),"Cleo Gauthier")</f>
        <v>Cleo Gauthier</v>
      </c>
      <c r="F44" s="61"/>
      <c r="G44" s="61"/>
      <c r="H44" s="61" t="str">
        <f>IFERROR(__xludf.DUMMYFUNCTION("""COMPUTED_VALUE"""),"Storage Item Return")</f>
        <v>Storage Item Return</v>
      </c>
      <c r="I44" s="61" t="str">
        <f>IFERROR(__xludf.DUMMYFUNCTION("""COMPUTED_VALUE"""),"University Housing")</f>
        <v>University Housing</v>
      </c>
      <c r="J44" s="107" t="str">
        <f>IFERROR(__xludf.DUMMYFUNCTION("""COMPUTED_VALUE"""),"09:00 AM to 11:00 AM  ")</f>
        <v>09:00 AM to 11:00 AM  </v>
      </c>
      <c r="K44" s="107">
        <f>IFERROR(__xludf.DUMMYFUNCTION("""COMPUTED_VALUE"""),45883.0)</f>
        <v>45883</v>
      </c>
      <c r="L44" s="61" t="str">
        <f>IFERROR(__xludf.DUMMYFUNCTION("""COMPUTED_VALUE"""),"Zetcher  ")</f>
        <v>Zetcher  </v>
      </c>
      <c r="M44" s="61" t="str">
        <f>IFERROR(__xludf.DUMMYFUNCTION("""COMPUTED_VALUE"""),"2102")</f>
        <v>2102</v>
      </c>
      <c r="N44" s="61"/>
      <c r="O44" s="61"/>
      <c r="P44" s="61" t="b">
        <f>COUNTIF('Delivered SIR'!A:A, E44) &gt; 0</f>
        <v>1</v>
      </c>
    </row>
    <row r="45">
      <c r="A45" s="102" t="str">
        <f>IFERROR(__xludf.DUMMYFUNCTION("""COMPUTED_VALUE"""),"https://utrucking.com/admin/orders/5905277124796")</f>
        <v>https://utrucking.com/admin/orders/5905277124796</v>
      </c>
      <c r="B45" s="65" t="str">
        <f>IFERROR(__xludf.DUMMYFUNCTION("""COMPUTED_VALUE"""),"#15357")</f>
        <v>#15357</v>
      </c>
      <c r="C45" s="65"/>
      <c r="D45" s="65">
        <f>IFERROR(__xludf.DUMMYFUNCTION("""COMPUTED_VALUE"""),1.9177165165E10)</f>
        <v>19177165165</v>
      </c>
      <c r="E45" s="65" t="str">
        <f>IFERROR(__xludf.DUMMYFUNCTION("""COMPUTED_VALUE"""),"Lisa Sreter")</f>
        <v>Lisa Sreter</v>
      </c>
      <c r="F45" s="65"/>
      <c r="G45" s="65"/>
      <c r="H45" s="65" t="str">
        <f>IFERROR(__xludf.DUMMYFUNCTION("""COMPUTED_VALUE"""),"Storage Item Return")</f>
        <v>Storage Item Return</v>
      </c>
      <c r="I45" s="65" t="str">
        <f>IFERROR(__xludf.DUMMYFUNCTION("""COMPUTED_VALUE"""),"University Housing")</f>
        <v>University Housing</v>
      </c>
      <c r="J45" s="108" t="str">
        <f>IFERROR(__xludf.DUMMYFUNCTION("""COMPUTED_VALUE"""),"09:00 AM to 11:00 AM  ")</f>
        <v>09:00 AM to 11:00 AM  </v>
      </c>
      <c r="K45" s="108">
        <f>IFERROR(__xludf.DUMMYFUNCTION("""COMPUTED_VALUE"""),45883.0)</f>
        <v>45883</v>
      </c>
      <c r="L45" s="65" t="str">
        <f>IFERROR(__xludf.DUMMYFUNCTION("""COMPUTED_VALUE"""),"Loop Loft 6255  ")</f>
        <v>Loop Loft 6255  </v>
      </c>
      <c r="M45" s="65" t="str">
        <f>IFERROR(__xludf.DUMMYFUNCTION("""COMPUTED_VALUE"""),"210C")</f>
        <v>210C</v>
      </c>
      <c r="N45" s="65"/>
      <c r="O45" s="65"/>
      <c r="P45" s="65" t="b">
        <f>COUNTIF('Delivered SIR'!A:A, E45) &gt; 0</f>
        <v>1</v>
      </c>
    </row>
    <row r="46">
      <c r="A46" s="99" t="str">
        <f>IFERROR(__xludf.DUMMYFUNCTION("""COMPUTED_VALUE"""),"https://utrucking.com/admin/orders/5905503715516")</f>
        <v>https://utrucking.com/admin/orders/5905503715516</v>
      </c>
      <c r="B46" s="61" t="str">
        <f>IFERROR(__xludf.DUMMYFUNCTION("""COMPUTED_VALUE"""),"#15362")</f>
        <v>#15362</v>
      </c>
      <c r="C46" s="61" t="str">
        <f>IFERROR(__xludf.DUMMYFUNCTION("""COMPUTED_VALUE"""),"j.s.todes@wustl.edu")</f>
        <v>j.s.todes@wustl.edu</v>
      </c>
      <c r="D46" s="61">
        <f>IFERROR(__xludf.DUMMYFUNCTION("""COMPUTED_VALUE"""),9.172326716E9)</f>
        <v>9172326716</v>
      </c>
      <c r="E46" s="61" t="str">
        <f>IFERROR(__xludf.DUMMYFUNCTION("""COMPUTED_VALUE"""),"Josh Todes")</f>
        <v>Josh Todes</v>
      </c>
      <c r="F46" s="61"/>
      <c r="G46" s="61"/>
      <c r="H46" s="61" t="str">
        <f>IFERROR(__xludf.DUMMYFUNCTION("""COMPUTED_VALUE"""),"Storage Item Return")</f>
        <v>Storage Item Return</v>
      </c>
      <c r="I46" s="61" t="str">
        <f>IFERROR(__xludf.DUMMYFUNCTION("""COMPUTED_VALUE"""),"University Housing")</f>
        <v>University Housing</v>
      </c>
      <c r="J46" s="107" t="str">
        <f>IFERROR(__xludf.DUMMYFUNCTION("""COMPUTED_VALUE"""),"09:00 AM to 11:00 AM  ")</f>
        <v>09:00 AM to 11:00 AM  </v>
      </c>
      <c r="K46" s="107">
        <f>IFERROR(__xludf.DUMMYFUNCTION("""COMPUTED_VALUE"""),45883.0)</f>
        <v>45883</v>
      </c>
      <c r="L46" s="61" t="str">
        <f>IFERROR(__xludf.DUMMYFUNCTION("""COMPUTED_VALUE"""),"Liggett  ")</f>
        <v>Liggett  </v>
      </c>
      <c r="M46" s="61" t="str">
        <f>IFERROR(__xludf.DUMMYFUNCTION("""COMPUTED_VALUE"""),"2324")</f>
        <v>2324</v>
      </c>
      <c r="N46" s="61"/>
      <c r="O46" s="61"/>
      <c r="P46" s="61" t="b">
        <f>COUNTIF('Delivered SIR'!A:A, E46) &gt; 0</f>
        <v>1</v>
      </c>
    </row>
    <row r="47">
      <c r="A47" s="102" t="str">
        <f>IFERROR(__xludf.DUMMYFUNCTION("""COMPUTED_VALUE"""),"https://utrucking.com/admin/orders/5906011127996")</f>
        <v>https://utrucking.com/admin/orders/5906011127996</v>
      </c>
      <c r="B47" s="65" t="str">
        <f>IFERROR(__xludf.DUMMYFUNCTION("""COMPUTED_VALUE"""),"#15372")</f>
        <v>#15372</v>
      </c>
      <c r="C47" s="65" t="str">
        <f>IFERROR(__xludf.DUMMYFUNCTION("""COMPUTED_VALUE"""),"a.l.halbert@wustl.edu")</f>
        <v>a.l.halbert@wustl.edu</v>
      </c>
      <c r="D47" s="65">
        <f>IFERROR(__xludf.DUMMYFUNCTION("""COMPUTED_VALUE"""),1.3125222133E10)</f>
        <v>13125222133</v>
      </c>
      <c r="E47" s="65" t="str">
        <f>IFERROR(__xludf.DUMMYFUNCTION("""COMPUTED_VALUE"""),"Ala Halbert")</f>
        <v>Ala Halbert</v>
      </c>
      <c r="F47" s="65"/>
      <c r="G47" s="65"/>
      <c r="H47" s="65" t="str">
        <f>IFERROR(__xludf.DUMMYFUNCTION("""COMPUTED_VALUE"""),"Storage Item Return")</f>
        <v>Storage Item Return</v>
      </c>
      <c r="I47" s="65" t="str">
        <f>IFERROR(__xludf.DUMMYFUNCTION("""COMPUTED_VALUE"""),"University Housing")</f>
        <v>University Housing</v>
      </c>
      <c r="J47" s="108" t="str">
        <f>IFERROR(__xludf.DUMMYFUNCTION("""COMPUTED_VALUE"""),"09:00 AM to 11:00 AM  ")</f>
        <v>09:00 AM to 11:00 AM  </v>
      </c>
      <c r="K47" s="108">
        <f>IFERROR(__xludf.DUMMYFUNCTION("""COMPUTED_VALUE"""),45883.0)</f>
        <v>45883</v>
      </c>
      <c r="L47" s="65" t="str">
        <f>IFERROR(__xludf.DUMMYFUNCTION("""COMPUTED_VALUE"""),"Lopata  ")</f>
        <v>Lopata  </v>
      </c>
      <c r="M47" s="65" t="str">
        <f>IFERROR(__xludf.DUMMYFUNCTION("""COMPUTED_VALUE"""),"1163")</f>
        <v>1163</v>
      </c>
      <c r="N47" s="65"/>
      <c r="O47" s="65"/>
      <c r="P47" s="65" t="b">
        <f>COUNTIF('Delivered SIR'!A:A, E47) &gt; 0</f>
        <v>1</v>
      </c>
    </row>
    <row r="48">
      <c r="A48" s="99" t="str">
        <f>IFERROR(__xludf.DUMMYFUNCTION("""COMPUTED_VALUE"""),"https://utrucking.com/admin/orders/5906274451644")</f>
        <v>https://utrucking.com/admin/orders/5906274451644</v>
      </c>
      <c r="B48" s="61" t="str">
        <f>IFERROR(__xludf.DUMMYFUNCTION("""COMPUTED_VALUE"""),"#15375")</f>
        <v>#15375</v>
      </c>
      <c r="C48" s="61" t="str">
        <f>IFERROR(__xludf.DUMMYFUNCTION("""COMPUTED_VALUE"""),"swirtschafter@mac.com")</f>
        <v>swirtschafter@mac.com</v>
      </c>
      <c r="D48" s="61">
        <f>IFERROR(__xludf.DUMMYFUNCTION("""COMPUTED_VALUE"""),5.612135201E9)</f>
        <v>5612135201</v>
      </c>
      <c r="E48" s="61" t="str">
        <f>IFERROR(__xludf.DUMMYFUNCTION("""COMPUTED_VALUE"""),"Shoshana Wirtschafter")</f>
        <v>Shoshana Wirtschafter</v>
      </c>
      <c r="F48" s="61"/>
      <c r="G48" s="61"/>
      <c r="H48" s="61" t="str">
        <f>IFERROR(__xludf.DUMMYFUNCTION("""COMPUTED_VALUE"""),"Storage Item Return")</f>
        <v>Storage Item Return</v>
      </c>
      <c r="I48" s="61" t="str">
        <f>IFERROR(__xludf.DUMMYFUNCTION("""COMPUTED_VALUE"""),"University Housing")</f>
        <v>University Housing</v>
      </c>
      <c r="J48" s="107" t="str">
        <f>IFERROR(__xludf.DUMMYFUNCTION("""COMPUTED_VALUE"""),"09:00 AM to 11:00 AM  ")</f>
        <v>09:00 AM to 11:00 AM  </v>
      </c>
      <c r="K48" s="107">
        <f>IFERROR(__xludf.DUMMYFUNCTION("""COMPUTED_VALUE"""),45883.0)</f>
        <v>45883</v>
      </c>
      <c r="L48" s="61" t="str">
        <f>IFERROR(__xludf.DUMMYFUNCTION("""COMPUTED_VALUE"""),"Millbrook Bldg. 4  ")</f>
        <v>Millbrook Bldg. 4  </v>
      </c>
      <c r="M48" s="61" t="str">
        <f>IFERROR(__xludf.DUMMYFUNCTION("""COMPUTED_VALUE"""),"201H-A")</f>
        <v>201H-A</v>
      </c>
      <c r="N48" s="61"/>
      <c r="O48" s="61"/>
      <c r="P48" s="61" t="b">
        <f>COUNTIF('Delivered SIR'!A:A, E48) &gt; 0</f>
        <v>1</v>
      </c>
    </row>
    <row r="49">
      <c r="A49" s="102" t="str">
        <f>IFERROR(__xludf.DUMMYFUNCTION("""COMPUTED_VALUE"""),"https://utrucking.com/admin/orders/5907370311868")</f>
        <v>https://utrucking.com/admin/orders/5907370311868</v>
      </c>
      <c r="B49" s="65" t="str">
        <f>IFERROR(__xludf.DUMMYFUNCTION("""COMPUTED_VALUE"""),"#15378")</f>
        <v>#15378</v>
      </c>
      <c r="C49" s="65" t="str">
        <f>IFERROR(__xludf.DUMMYFUNCTION("""COMPUTED_VALUE"""),"annikadivan@gmail.com")</f>
        <v>annikadivan@gmail.com</v>
      </c>
      <c r="D49" s="65">
        <f>IFERROR(__xludf.DUMMYFUNCTION("""COMPUTED_VALUE"""),6.468648855E9)</f>
        <v>6468648855</v>
      </c>
      <c r="E49" s="65" t="str">
        <f>IFERROR(__xludf.DUMMYFUNCTION("""COMPUTED_VALUE"""),"Vamil Divan")</f>
        <v>Vamil Divan</v>
      </c>
      <c r="F49" s="65"/>
      <c r="G49" s="65"/>
      <c r="H49" s="65" t="str">
        <f>IFERROR(__xludf.DUMMYFUNCTION("""COMPUTED_VALUE"""),"Storage Item Return")</f>
        <v>Storage Item Return</v>
      </c>
      <c r="I49" s="65" t="str">
        <f>IFERROR(__xludf.DUMMYFUNCTION("""COMPUTED_VALUE"""),"University Housing")</f>
        <v>University Housing</v>
      </c>
      <c r="J49" s="108" t="str">
        <f>IFERROR(__xludf.DUMMYFUNCTION("""COMPUTED_VALUE"""),"09:00 AM to 11:00 AM  ")</f>
        <v>09:00 AM to 11:00 AM  </v>
      </c>
      <c r="K49" s="108">
        <f>IFERROR(__xludf.DUMMYFUNCTION("""COMPUTED_VALUE"""),45887.0)</f>
        <v>45887</v>
      </c>
      <c r="L49" s="65" t="str">
        <f>IFERROR(__xludf.DUMMYFUNCTION("""COMPUTED_VALUE"""),"Loop Loft 6200  ")</f>
        <v>Loop Loft 6200  </v>
      </c>
      <c r="M49" s="65" t="str">
        <f>IFERROR(__xludf.DUMMYFUNCTION("""COMPUTED_VALUE"""),"308B")</f>
        <v>308B</v>
      </c>
      <c r="N49" s="65"/>
      <c r="O49" s="65"/>
      <c r="P49" s="65" t="b">
        <f>COUNTIF('Delivered SIR'!A:A, E49) &gt; 0</f>
        <v>0</v>
      </c>
    </row>
    <row r="50">
      <c r="A50" s="99" t="str">
        <f>IFERROR(__xludf.DUMMYFUNCTION("""COMPUTED_VALUE"""),"https://utrucking.com/admin/orders/5908555563196")</f>
        <v>https://utrucking.com/admin/orders/5908555563196</v>
      </c>
      <c r="B50" s="61" t="str">
        <f>IFERROR(__xludf.DUMMYFUNCTION("""COMPUTED_VALUE"""),"#15393")</f>
        <v>#15393</v>
      </c>
      <c r="C50" s="61"/>
      <c r="D50" s="61">
        <f>IFERROR(__xludf.DUMMYFUNCTION("""COMPUTED_VALUE"""),1.3106145209E10)</f>
        <v>13106145209</v>
      </c>
      <c r="E50" s="61" t="str">
        <f>IFERROR(__xludf.DUMMYFUNCTION("""COMPUTED_VALUE"""),"Marci Carabet")</f>
        <v>Marci Carabet</v>
      </c>
      <c r="F50" s="61"/>
      <c r="G50" s="61"/>
      <c r="H50" s="61" t="str">
        <f>IFERROR(__xludf.DUMMYFUNCTION("""COMPUTED_VALUE"""),"Storage Item Return")</f>
        <v>Storage Item Return</v>
      </c>
      <c r="I50" s="61" t="str">
        <f>IFERROR(__xludf.DUMMYFUNCTION("""COMPUTED_VALUE"""),"University Housing")</f>
        <v>University Housing</v>
      </c>
      <c r="J50" s="107" t="str">
        <f>IFERROR(__xludf.DUMMYFUNCTION("""COMPUTED_VALUE"""),"09:00 AM to 11:00 AM  ")</f>
        <v>09:00 AM to 11:00 AM  </v>
      </c>
      <c r="K50" s="107">
        <f>IFERROR(__xludf.DUMMYFUNCTION("""COMPUTED_VALUE"""),45883.0)</f>
        <v>45883</v>
      </c>
      <c r="L50" s="61" t="str">
        <f>IFERROR(__xludf.DUMMYFUNCTION("""COMPUTED_VALUE"""),"House 22  ")</f>
        <v>House 22  </v>
      </c>
      <c r="M50" s="61" t="str">
        <f>IFERROR(__xludf.DUMMYFUNCTION("""COMPUTED_VALUE"""),"3043")</f>
        <v>3043</v>
      </c>
      <c r="N50" s="61"/>
      <c r="O50" s="61"/>
      <c r="P50" s="61" t="b">
        <f>COUNTIF('Delivered SIR'!A:A, E50) &gt; 0</f>
        <v>0</v>
      </c>
    </row>
    <row r="51">
      <c r="A51" s="102" t="str">
        <f>IFERROR(__xludf.DUMMYFUNCTION("""COMPUTED_VALUE"""),"https://utrucking.com/admin/orders/5908931346620")</f>
        <v>https://utrucking.com/admin/orders/5908931346620</v>
      </c>
      <c r="B51" s="65" t="str">
        <f>IFERROR(__xludf.DUMMYFUNCTION("""COMPUTED_VALUE"""),"#15398")</f>
        <v>#15398</v>
      </c>
      <c r="C51" s="65" t="str">
        <f>IFERROR(__xludf.DUMMYFUNCTION("""COMPUTED_VALUE"""),"rsullivan0226@gmail.com")</f>
        <v>rsullivan0226@gmail.com</v>
      </c>
      <c r="D51" s="65">
        <f>IFERROR(__xludf.DUMMYFUNCTION("""COMPUTED_VALUE"""),7.813928082E9)</f>
        <v>7813928082</v>
      </c>
      <c r="E51" s="65" t="str">
        <f>IFERROR(__xludf.DUMMYFUNCTION("""COMPUTED_VALUE"""),"Reid Sullivan")</f>
        <v>Reid Sullivan</v>
      </c>
      <c r="F51" s="65"/>
      <c r="G51" s="65"/>
      <c r="H51" s="65" t="str">
        <f>IFERROR(__xludf.DUMMYFUNCTION("""COMPUTED_VALUE"""),"Storage Item Return")</f>
        <v>Storage Item Return</v>
      </c>
      <c r="I51" s="65" t="str">
        <f>IFERROR(__xludf.DUMMYFUNCTION("""COMPUTED_VALUE"""),"University Housing")</f>
        <v>University Housing</v>
      </c>
      <c r="J51" s="108" t="str">
        <f>IFERROR(__xludf.DUMMYFUNCTION("""COMPUTED_VALUE"""),"09:00 AM to 11:00 AM  ")</f>
        <v>09:00 AM to 11:00 AM  </v>
      </c>
      <c r="K51" s="108">
        <f>IFERROR(__xludf.DUMMYFUNCTION("""COMPUTED_VALUE"""),45883.0)</f>
        <v>45883</v>
      </c>
      <c r="L51" s="65" t="str">
        <f>IFERROR(__xludf.DUMMYFUNCTION("""COMPUTED_VALUE"""),"House 2 (Sigma Nu)  ")</f>
        <v>House 2 (Sigma Nu)  </v>
      </c>
      <c r="M51" s="65" t="str">
        <f>IFERROR(__xludf.DUMMYFUNCTION("""COMPUTED_VALUE"""),"203")</f>
        <v>203</v>
      </c>
      <c r="N51" s="65"/>
      <c r="O51" s="65"/>
      <c r="P51" s="65" t="b">
        <f>COUNTIF('Delivered SIR'!A:A, E51) &gt; 0</f>
        <v>1</v>
      </c>
    </row>
    <row r="52">
      <c r="A52" s="99" t="str">
        <f>IFERROR(__xludf.DUMMYFUNCTION("""COMPUTED_VALUE"""),"https://utrucking.com/admin/orders/5908934557884")</f>
        <v>https://utrucking.com/admin/orders/5908934557884</v>
      </c>
      <c r="B52" s="61" t="str">
        <f>IFERROR(__xludf.DUMMYFUNCTION("""COMPUTED_VALUE"""),"#15399")</f>
        <v>#15399</v>
      </c>
      <c r="C52" s="61" t="str">
        <f>IFERROR(__xludf.DUMMYFUNCTION("""COMPUTED_VALUE"""),"g.giselle@wustl.edu")</f>
        <v>g.giselle@wustl.edu</v>
      </c>
      <c r="D52" s="61">
        <f>IFERROR(__xludf.DUMMYFUNCTION("""COMPUTED_VALUE"""),9.143916204E9)</f>
        <v>9143916204</v>
      </c>
      <c r="E52" s="61" t="str">
        <f>IFERROR(__xludf.DUMMYFUNCTION("""COMPUTED_VALUE"""),"Giselle Groff")</f>
        <v>Giselle Groff</v>
      </c>
      <c r="F52" s="61"/>
      <c r="G52" s="61" t="str">
        <f>IFERROR(__xludf.DUMMYFUNCTION("""COMPUTED_VALUE"""),"6105 Delmar Blvd, Apt 523  
St. Louis, MO 63112")</f>
        <v>6105 Delmar Blvd, Apt 523  
St. Louis, MO 63112</v>
      </c>
      <c r="H52" s="61" t="str">
        <f>IFERROR(__xludf.DUMMYFUNCTION("""COMPUTED_VALUE"""),"Storage Item Return")</f>
        <v>Storage Item Return</v>
      </c>
      <c r="I52" s="61" t="str">
        <f>IFERROR(__xludf.DUMMYFUNCTION("""COMPUTED_VALUE"""),"Non-University Housing")</f>
        <v>Non-University Housing</v>
      </c>
      <c r="J52" s="107" t="str">
        <f>IFERROR(__xludf.DUMMYFUNCTION("""COMPUTED_VALUE"""),"09:00 AM to 11:00 AM  ")</f>
        <v>09:00 AM to 11:00 AM  </v>
      </c>
      <c r="K52" s="107">
        <f>IFERROR(__xludf.DUMMYFUNCTION("""COMPUTED_VALUE"""),45891.0)</f>
        <v>45891</v>
      </c>
      <c r="L52" s="61"/>
      <c r="M52" s="61"/>
      <c r="N52" s="61" t="str">
        <f>IFERROR(__xludf.DUMMYFUNCTION("""COMPUTED_VALUE"""),"6105 Delmar Blvd, Apt 523  
St. Louis, MO 63112")</f>
        <v>6105 Delmar Blvd, Apt 523  
St. Louis, MO 63112</v>
      </c>
      <c r="O52" s="61"/>
      <c r="P52" s="61" t="b">
        <f>COUNTIF('Delivered SIR'!A:A, E52) &gt; 0</f>
        <v>0</v>
      </c>
    </row>
    <row r="53">
      <c r="A53" s="102" t="str">
        <f>IFERROR(__xludf.DUMMYFUNCTION("""COMPUTED_VALUE"""),"https://utrucking.com/admin/orders/5909107703996")</f>
        <v>https://utrucking.com/admin/orders/5909107703996</v>
      </c>
      <c r="B53" s="65" t="str">
        <f>IFERROR(__xludf.DUMMYFUNCTION("""COMPUTED_VALUE"""),"#15404")</f>
        <v>#15404</v>
      </c>
      <c r="C53" s="65"/>
      <c r="D53" s="65">
        <f>IFERROR(__xludf.DUMMYFUNCTION("""COMPUTED_VALUE"""),9.894924002E9)</f>
        <v>9894924002</v>
      </c>
      <c r="E53" s="65" t="str">
        <f>IFERROR(__xludf.DUMMYFUNCTION("""COMPUTED_VALUE"""),"Allyce Wilmot")</f>
        <v>Allyce Wilmot</v>
      </c>
      <c r="F53" s="65"/>
      <c r="G53" s="65" t="str">
        <f>IFERROR(__xludf.DUMMYFUNCTION("""COMPUTED_VALUE"""),"732 Westgate Ave APT 1S St. Louis, MO 63130")</f>
        <v>732 Westgate Ave APT 1S St. Louis, MO 63130</v>
      </c>
      <c r="H53" s="65" t="str">
        <f>IFERROR(__xludf.DUMMYFUNCTION("""COMPUTED_VALUE"""),"Storage Item Return")</f>
        <v>Storage Item Return</v>
      </c>
      <c r="I53" s="65" t="str">
        <f>IFERROR(__xludf.DUMMYFUNCTION("""COMPUTED_VALUE"""),"Non-University Housing")</f>
        <v>Non-University Housing</v>
      </c>
      <c r="J53" s="108" t="str">
        <f>IFERROR(__xludf.DUMMYFUNCTION("""COMPUTED_VALUE"""),"12:00 PM to 02:00 PM  ")</f>
        <v>12:00 PM to 02:00 PM  </v>
      </c>
      <c r="K53" s="108">
        <f>IFERROR(__xludf.DUMMYFUNCTION("""COMPUTED_VALUE"""),45866.0)</f>
        <v>45866</v>
      </c>
      <c r="L53" s="65"/>
      <c r="M53" s="65"/>
      <c r="N53" s="65" t="str">
        <f>IFERROR(__xludf.DUMMYFUNCTION("""COMPUTED_VALUE"""),"732 Westgate Ave APT 1S St. Louis, MO 63130")</f>
        <v>732 Westgate Ave APT 1S St. Louis, MO 63130</v>
      </c>
      <c r="O53" s="65"/>
      <c r="P53" s="65" t="b">
        <f>COUNTIF('Delivered SIR'!A:A, E53) &gt; 0</f>
        <v>0</v>
      </c>
    </row>
    <row r="54">
      <c r="A54" s="99" t="str">
        <f>IFERROR(__xludf.DUMMYFUNCTION("""COMPUTED_VALUE"""),"https://utrucking.com/admin/orders/5909563867324")</f>
        <v>https://utrucking.com/admin/orders/5909563867324</v>
      </c>
      <c r="B54" s="61" t="str">
        <f>IFERROR(__xludf.DUMMYFUNCTION("""COMPUTED_VALUE"""),"#15411")</f>
        <v>#15411</v>
      </c>
      <c r="C54" s="61" t="str">
        <f>IFERROR(__xludf.DUMMYFUNCTION("""COMPUTED_VALUE"""),"b.mcinturff@wustl.edu")</f>
        <v>b.mcinturff@wustl.edu</v>
      </c>
      <c r="D54" s="61">
        <f>IFERROR(__xludf.DUMMYFUNCTION("""COMPUTED_VALUE"""),6.154984292E9)</f>
        <v>6154984292</v>
      </c>
      <c r="E54" s="61" t="str">
        <f>IFERROR(__xludf.DUMMYFUNCTION("""COMPUTED_VALUE"""),"Christy Mcinturff")</f>
        <v>Christy Mcinturff</v>
      </c>
      <c r="F54" s="61"/>
      <c r="G54" s="61"/>
      <c r="H54" s="61" t="str">
        <f>IFERROR(__xludf.DUMMYFUNCTION("""COMPUTED_VALUE"""),"Storage Item Return")</f>
        <v>Storage Item Return</v>
      </c>
      <c r="I54" s="61" t="str">
        <f>IFERROR(__xludf.DUMMYFUNCTION("""COMPUTED_VALUE"""),"University Housing")</f>
        <v>University Housing</v>
      </c>
      <c r="J54" s="107" t="str">
        <f>IFERROR(__xludf.DUMMYFUNCTION("""COMPUTED_VALUE"""),"09:00 AM to 11:00 AM  ")</f>
        <v>09:00 AM to 11:00 AM  </v>
      </c>
      <c r="K54" s="107">
        <f>IFERROR(__xludf.DUMMYFUNCTION("""COMPUTED_VALUE"""),45883.0)</f>
        <v>45883</v>
      </c>
      <c r="L54" s="61" t="str">
        <f>IFERROR(__xludf.DUMMYFUNCTION("""COMPUTED_VALUE"""),"Nemerov  ")</f>
        <v>Nemerov  </v>
      </c>
      <c r="M54" s="61" t="str">
        <f>IFERROR(__xludf.DUMMYFUNCTION("""COMPUTED_VALUE"""),"2064")</f>
        <v>2064</v>
      </c>
      <c r="N54" s="61"/>
      <c r="O54" s="61"/>
      <c r="P54" s="61" t="b">
        <f>COUNTIF('Delivered SIR'!A:A, E54) &gt; 0</f>
        <v>0</v>
      </c>
    </row>
    <row r="55">
      <c r="A55" s="102" t="str">
        <f>IFERROR(__xludf.DUMMYFUNCTION("""COMPUTED_VALUE"""),"https://utrucking.com/admin/orders/5909572583612")</f>
        <v>https://utrucking.com/admin/orders/5909572583612</v>
      </c>
      <c r="B55" s="65" t="str">
        <f>IFERROR(__xludf.DUMMYFUNCTION("""COMPUTED_VALUE"""),"#15413")</f>
        <v>#15413</v>
      </c>
      <c r="C55" s="65" t="str">
        <f>IFERROR(__xludf.DUMMYFUNCTION("""COMPUTED_VALUE"""),"b.giles@wustl.edu")</f>
        <v>b.giles@wustl.edu</v>
      </c>
      <c r="D55" s="65">
        <f>IFERROR(__xludf.DUMMYFUNCTION("""COMPUTED_VALUE"""),2.393513534E9)</f>
        <v>2393513534</v>
      </c>
      <c r="E55" s="65" t="str">
        <f>IFERROR(__xludf.DUMMYFUNCTION("""COMPUTED_VALUE"""),"Bailey Giles")</f>
        <v>Bailey Giles</v>
      </c>
      <c r="F55" s="65"/>
      <c r="G55" s="65"/>
      <c r="H55" s="65" t="str">
        <f>IFERROR(__xludf.DUMMYFUNCTION("""COMPUTED_VALUE"""),"Storage Item Return")</f>
        <v>Storage Item Return</v>
      </c>
      <c r="I55" s="65" t="str">
        <f>IFERROR(__xludf.DUMMYFUNCTION("""COMPUTED_VALUE"""),"University Housing")</f>
        <v>University Housing</v>
      </c>
      <c r="J55" s="108" t="str">
        <f>IFERROR(__xludf.DUMMYFUNCTION("""COMPUTED_VALUE"""),"09:00 AM to 11:00 AM  ")</f>
        <v>09:00 AM to 11:00 AM  </v>
      </c>
      <c r="K55" s="108">
        <f>IFERROR(__xludf.DUMMYFUNCTION("""COMPUTED_VALUE"""),45883.0)</f>
        <v>45883</v>
      </c>
      <c r="L55" s="65" t="str">
        <f>IFERROR(__xludf.DUMMYFUNCTION("""COMPUTED_VALUE"""),"Nemerov  ")</f>
        <v>Nemerov  </v>
      </c>
      <c r="M55" s="65" t="str">
        <f>IFERROR(__xludf.DUMMYFUNCTION("""COMPUTED_VALUE"""),"2063")</f>
        <v>2063</v>
      </c>
      <c r="N55" s="65"/>
      <c r="O55" s="65"/>
      <c r="P55" s="65" t="b">
        <f>COUNTIF('Delivered SIR'!A:A, E55) &gt; 0</f>
        <v>1</v>
      </c>
    </row>
    <row r="56">
      <c r="A56" s="99" t="str">
        <f>IFERROR(__xludf.DUMMYFUNCTION("""COMPUTED_VALUE"""),"https://utrucking.com/admin/orders/5909573337276")</f>
        <v>https://utrucking.com/admin/orders/5909573337276</v>
      </c>
      <c r="B56" s="61" t="str">
        <f>IFERROR(__xludf.DUMMYFUNCTION("""COMPUTED_VALUE"""),"#15414")</f>
        <v>#15414</v>
      </c>
      <c r="C56" s="61"/>
      <c r="D56" s="61">
        <f>IFERROR(__xludf.DUMMYFUNCTION("""COMPUTED_VALUE"""),6.154993847E9)</f>
        <v>6154993847</v>
      </c>
      <c r="E56" s="61" t="str">
        <f>IFERROR(__xludf.DUMMYFUNCTION("""COMPUTED_VALUE"""),"Sophia Frist")</f>
        <v>Sophia Frist</v>
      </c>
      <c r="F56" s="61"/>
      <c r="G56" s="61" t="str">
        <f>IFERROR(__xludf.DUMMYFUNCTION("""COMPUTED_VALUE"""),"6006 Washington Boulevard")</f>
        <v>6006 Washington Boulevard</v>
      </c>
      <c r="H56" s="61" t="str">
        <f>IFERROR(__xludf.DUMMYFUNCTION("""COMPUTED_VALUE"""),"Storage Item Return")</f>
        <v>Storage Item Return</v>
      </c>
      <c r="I56" s="61" t="str">
        <f>IFERROR(__xludf.DUMMYFUNCTION("""COMPUTED_VALUE"""),"Non-University Housing")</f>
        <v>Non-University Housing</v>
      </c>
      <c r="J56" s="107" t="str">
        <f>IFERROR(__xludf.DUMMYFUNCTION("""COMPUTED_VALUE"""),"03:00 PM to 05:00 PM")</f>
        <v>03:00 PM to 05:00 PM</v>
      </c>
      <c r="K56" s="107">
        <f>IFERROR(__xludf.DUMMYFUNCTION("""COMPUTED_VALUE"""),45864.0)</f>
        <v>45864</v>
      </c>
      <c r="L56" s="61"/>
      <c r="M56" s="61"/>
      <c r="N56" s="61" t="str">
        <f>IFERROR(__xludf.DUMMYFUNCTION("""COMPUTED_VALUE"""),"6006 Washington Boulevard")</f>
        <v>6006 Washington Boulevard</v>
      </c>
      <c r="O56" s="61"/>
      <c r="P56" s="61" t="b">
        <f>COUNTIF('Delivered SIR'!A:A, E56) &gt; 0</f>
        <v>0</v>
      </c>
    </row>
    <row r="57">
      <c r="A57" s="102" t="str">
        <f>IFERROR(__xludf.DUMMYFUNCTION("""COMPUTED_VALUE"""),"https://utrucking.com/admin/orders/5909841117372")</f>
        <v>https://utrucking.com/admin/orders/5909841117372</v>
      </c>
      <c r="B57" s="65" t="str">
        <f>IFERROR(__xludf.DUMMYFUNCTION("""COMPUTED_VALUE"""),"#15416")</f>
        <v>#15416</v>
      </c>
      <c r="C57" s="65"/>
      <c r="D57" s="65">
        <f>IFERROR(__xludf.DUMMYFUNCTION("""COMPUTED_VALUE"""),8.589995331E9)</f>
        <v>8589995331</v>
      </c>
      <c r="E57" s="65" t="str">
        <f>IFERROR(__xludf.DUMMYFUNCTION("""COMPUTED_VALUE"""),"Adam Mofid")</f>
        <v>Adam Mofid</v>
      </c>
      <c r="F57" s="65"/>
      <c r="G57" s="65"/>
      <c r="H57" s="65" t="str">
        <f>IFERROR(__xludf.DUMMYFUNCTION("""COMPUTED_VALUE"""),"Storage Item Return")</f>
        <v>Storage Item Return</v>
      </c>
      <c r="I57" s="65" t="str">
        <f>IFERROR(__xludf.DUMMYFUNCTION("""COMPUTED_VALUE"""),"University Housing")</f>
        <v>University Housing</v>
      </c>
      <c r="J57" s="108" t="str">
        <f>IFERROR(__xludf.DUMMYFUNCTION("""COMPUTED_VALUE"""),"09:00 AM to 11:00 AM  ")</f>
        <v>09:00 AM to 11:00 AM  </v>
      </c>
      <c r="K57" s="108">
        <f>IFERROR(__xludf.DUMMYFUNCTION("""COMPUTED_VALUE"""),45857.0)</f>
        <v>45857</v>
      </c>
      <c r="L57" s="65" t="str">
        <f>IFERROR(__xludf.DUMMYFUNCTION("""COMPUTED_VALUE"""),"DON'T KNOW YET (put 'XXX' for room #)")</f>
        <v>DON'T KNOW YET (put 'XXX' for room #)</v>
      </c>
      <c r="M57" s="65" t="str">
        <f>IFERROR(__xludf.DUMMYFUNCTION("""COMPUTED_VALUE"""),"XXX")</f>
        <v>XXX</v>
      </c>
      <c r="N57" s="65"/>
      <c r="O57" s="65"/>
      <c r="P57" s="65" t="b">
        <f>COUNTIF('Delivered SIR'!A:A, E57) &gt; 0</f>
        <v>0</v>
      </c>
    </row>
    <row r="58">
      <c r="A58" s="99" t="str">
        <f>IFERROR(__xludf.DUMMYFUNCTION("""COMPUTED_VALUE"""),"https://utrucking.com/admin/orders/5910227452092")</f>
        <v>https://utrucking.com/admin/orders/5910227452092</v>
      </c>
      <c r="B58" s="61" t="str">
        <f>IFERROR(__xludf.DUMMYFUNCTION("""COMPUTED_VALUE"""),"#15423")</f>
        <v>#15423</v>
      </c>
      <c r="C58" s="61" t="str">
        <f>IFERROR(__xludf.DUMMYFUNCTION("""COMPUTED_VALUE"""),"a.s.park@wustl.edu")</f>
        <v>a.s.park@wustl.edu</v>
      </c>
      <c r="D58" s="61">
        <f>IFERROR(__xludf.DUMMYFUNCTION("""COMPUTED_VALUE"""),4.694510901E9)</f>
        <v>4694510901</v>
      </c>
      <c r="E58" s="61" t="str">
        <f>IFERROR(__xludf.DUMMYFUNCTION("""COMPUTED_VALUE"""),"Alexander Park")</f>
        <v>Alexander Park</v>
      </c>
      <c r="F58" s="61"/>
      <c r="G58" s="61"/>
      <c r="H58" s="61" t="str">
        <f>IFERROR(__xludf.DUMMYFUNCTION("""COMPUTED_VALUE"""),"Storage Item Return")</f>
        <v>Storage Item Return</v>
      </c>
      <c r="I58" s="61" t="str">
        <f>IFERROR(__xludf.DUMMYFUNCTION("""COMPUTED_VALUE"""),"University Housing")</f>
        <v>University Housing</v>
      </c>
      <c r="J58" s="107" t="str">
        <f>IFERROR(__xludf.DUMMYFUNCTION("""COMPUTED_VALUE"""),"09:00 AM to 11:00 AM  ")</f>
        <v>09:00 AM to 11:00 AM  </v>
      </c>
      <c r="K58" s="107">
        <f>IFERROR(__xludf.DUMMYFUNCTION("""COMPUTED_VALUE"""),45876.0)</f>
        <v>45876</v>
      </c>
      <c r="L58" s="61" t="str">
        <f>IFERROR(__xludf.DUMMYFUNCTION("""COMPUTED_VALUE"""),"Shepley  ")</f>
        <v>Shepley  </v>
      </c>
      <c r="M58" s="61" t="str">
        <f>IFERROR(__xludf.DUMMYFUNCTION("""COMPUTED_VALUE"""),"4031 - a")</f>
        <v>4031 - a</v>
      </c>
      <c r="N58" s="61"/>
      <c r="O58" s="61"/>
      <c r="P58" s="61" t="b">
        <f>COUNTIF('Delivered SIR'!A:A, E58) &gt; 0</f>
        <v>1</v>
      </c>
    </row>
    <row r="59">
      <c r="A59" s="102" t="str">
        <f>IFERROR(__xludf.DUMMYFUNCTION("""COMPUTED_VALUE"""),"https://utrucking.com/admin/orders/5910681026748")</f>
        <v>https://utrucking.com/admin/orders/5910681026748</v>
      </c>
      <c r="B59" s="65" t="str">
        <f>IFERROR(__xludf.DUMMYFUNCTION("""COMPUTED_VALUE"""),"#15429")</f>
        <v>#15429</v>
      </c>
      <c r="C59" s="65" t="str">
        <f>IFERROR(__xludf.DUMMYFUNCTION("""COMPUTED_VALUE"""),"bella.d@wustl.edu")</f>
        <v>bella.d@wustl.edu</v>
      </c>
      <c r="D59" s="65">
        <f>IFERROR(__xludf.DUMMYFUNCTION("""COMPUTED_VALUE"""),3.148147426E9)</f>
        <v>3148147426</v>
      </c>
      <c r="E59" s="65" t="str">
        <f>IFERROR(__xludf.DUMMYFUNCTION("""COMPUTED_VALUE"""),"Bella Dai")</f>
        <v>Bella Dai</v>
      </c>
      <c r="F59" s="65"/>
      <c r="G59" s="65"/>
      <c r="H59" s="65" t="str">
        <f>IFERROR(__xludf.DUMMYFUNCTION("""COMPUTED_VALUE"""),"Storage Item Return")</f>
        <v>Storage Item Return</v>
      </c>
      <c r="I59" s="65" t="str">
        <f>IFERROR(__xludf.DUMMYFUNCTION("""COMPUTED_VALUE"""),"University Housing")</f>
        <v>University Housing</v>
      </c>
      <c r="J59" s="108" t="str">
        <f>IFERROR(__xludf.DUMMYFUNCTION("""COMPUTED_VALUE"""),"10:00 AM to 12:00 PM  ")</f>
        <v>10:00 AM to 12:00 PM  </v>
      </c>
      <c r="K59" s="108">
        <f>IFERROR(__xludf.DUMMYFUNCTION("""COMPUTED_VALUE"""),45880.0)</f>
        <v>45880</v>
      </c>
      <c r="L59" s="65" t="str">
        <f>IFERROR(__xludf.DUMMYFUNCTION("""COMPUTED_VALUE"""),"Nemerov  ")</f>
        <v>Nemerov  </v>
      </c>
      <c r="M59" s="65" t="str">
        <f>IFERROR(__xludf.DUMMYFUNCTION("""COMPUTED_VALUE"""),"1003")</f>
        <v>1003</v>
      </c>
      <c r="N59" s="65"/>
      <c r="O59" s="65"/>
      <c r="P59" s="65" t="b">
        <f>COUNTIF('Delivered SIR'!A:A, E59) &gt; 0</f>
        <v>0</v>
      </c>
    </row>
    <row r="60">
      <c r="A60" s="99" t="str">
        <f>IFERROR(__xludf.DUMMYFUNCTION("""COMPUTED_VALUE"""),"https://utrucking.com/admin/orders/5910825861308")</f>
        <v>https://utrucking.com/admin/orders/5910825861308</v>
      </c>
      <c r="B60" s="61" t="str">
        <f>IFERROR(__xludf.DUMMYFUNCTION("""COMPUTED_VALUE"""),"#15434")</f>
        <v>#15434</v>
      </c>
      <c r="C60" s="61" t="str">
        <f>IFERROR(__xludf.DUMMYFUNCTION("""COMPUTED_VALUE"""),"n.sofia@wustl.edu")</f>
        <v>n.sofia@wustl.edu</v>
      </c>
      <c r="D60" s="61">
        <f>IFERROR(__xludf.DUMMYFUNCTION("""COMPUTED_VALUE"""),9.179022223E9)</f>
        <v>9179022223</v>
      </c>
      <c r="E60" s="61" t="str">
        <f>IFERROR(__xludf.DUMMYFUNCTION("""COMPUTED_VALUE"""),"Clinton Nossel")</f>
        <v>Clinton Nossel</v>
      </c>
      <c r="F60" s="61"/>
      <c r="G60" s="61"/>
      <c r="H60" s="61" t="str">
        <f>IFERROR(__xludf.DUMMYFUNCTION("""COMPUTED_VALUE"""),"Storage Item Return")</f>
        <v>Storage Item Return</v>
      </c>
      <c r="I60" s="61" t="str">
        <f>IFERROR(__xludf.DUMMYFUNCTION("""COMPUTED_VALUE"""),"University Housing")</f>
        <v>University Housing</v>
      </c>
      <c r="J60" s="107" t="str">
        <f>IFERROR(__xludf.DUMMYFUNCTION("""COMPUTED_VALUE"""),"09:00 AM to 11:00 AM  ")</f>
        <v>09:00 AM to 11:00 AM  </v>
      </c>
      <c r="K60" s="107">
        <f>IFERROR(__xludf.DUMMYFUNCTION("""COMPUTED_VALUE"""),45888.0)</f>
        <v>45888</v>
      </c>
      <c r="L60" s="61" t="str">
        <f>IFERROR(__xludf.DUMMYFUNCTION("""COMPUTED_VALUE"""),"Gregg  ")</f>
        <v>Gregg  </v>
      </c>
      <c r="M60" s="61" t="str">
        <f>IFERROR(__xludf.DUMMYFUNCTION("""COMPUTED_VALUE"""),"3133 - A")</f>
        <v>3133 - A</v>
      </c>
      <c r="N60" s="61"/>
      <c r="O60" s="61"/>
      <c r="P60" s="61" t="b">
        <f>COUNTIF('Delivered SIR'!A:A, E60) &gt; 0</f>
        <v>0</v>
      </c>
    </row>
    <row r="61">
      <c r="A61" s="102" t="str">
        <f>IFERROR(__xludf.DUMMYFUNCTION("""COMPUTED_VALUE"""),"https://utrucking.com/admin/orders/5910867214524")</f>
        <v>https://utrucking.com/admin/orders/5910867214524</v>
      </c>
      <c r="B61" s="65" t="str">
        <f>IFERROR(__xludf.DUMMYFUNCTION("""COMPUTED_VALUE"""),"#15435")</f>
        <v>#15435</v>
      </c>
      <c r="C61" s="65" t="str">
        <f>IFERROR(__xludf.DUMMYFUNCTION("""COMPUTED_VALUE"""),"d.r.wendler@wustl.edu")</f>
        <v>d.r.wendler@wustl.edu</v>
      </c>
      <c r="D61" s="65">
        <f>IFERROR(__xludf.DUMMYFUNCTION("""COMPUTED_VALUE"""),8.327211089E9)</f>
        <v>8327211089</v>
      </c>
      <c r="E61" s="65" t="str">
        <f>IFERROR(__xludf.DUMMYFUNCTION("""COMPUTED_VALUE"""),"Angela Wendler")</f>
        <v>Angela Wendler</v>
      </c>
      <c r="F61" s="65"/>
      <c r="G61" s="65"/>
      <c r="H61" s="65" t="str">
        <f>IFERROR(__xludf.DUMMYFUNCTION("""COMPUTED_VALUE"""),"Storage Item Return")</f>
        <v>Storage Item Return</v>
      </c>
      <c r="I61" s="65" t="str">
        <f>IFERROR(__xludf.DUMMYFUNCTION("""COMPUTED_VALUE"""),"University Housing")</f>
        <v>University Housing</v>
      </c>
      <c r="J61" s="108" t="str">
        <f>IFERROR(__xludf.DUMMYFUNCTION("""COMPUTED_VALUE"""),"03:00 PM to 05:00 PM")</f>
        <v>03:00 PM to 05:00 PM</v>
      </c>
      <c r="K61" s="108">
        <f>IFERROR(__xludf.DUMMYFUNCTION("""COMPUTED_VALUE"""),45890.0)</f>
        <v>45890</v>
      </c>
      <c r="L61" s="65" t="str">
        <f>IFERROR(__xludf.DUMMYFUNCTION("""COMPUTED_VALUE"""),"House 4 (Theta Xi)  ")</f>
        <v>House 4 (Theta Xi)  </v>
      </c>
      <c r="M61" s="65" t="str">
        <f>IFERROR(__xludf.DUMMYFUNCTION("""COMPUTED_VALUE"""),"206")</f>
        <v>206</v>
      </c>
      <c r="N61" s="65"/>
      <c r="O61" s="65"/>
      <c r="P61" s="65" t="b">
        <f>COUNTIF('Delivered SIR'!A:A, E61) &gt; 0</f>
        <v>0</v>
      </c>
    </row>
    <row r="62">
      <c r="A62" s="99" t="str">
        <f>IFERROR(__xludf.DUMMYFUNCTION("""COMPUTED_VALUE"""),"https://utrucking.com/admin/orders/5910996910268")</f>
        <v>https://utrucking.com/admin/orders/5910996910268</v>
      </c>
      <c r="B62" s="61" t="str">
        <f>IFERROR(__xludf.DUMMYFUNCTION("""COMPUTED_VALUE"""),"#15439")</f>
        <v>#15439</v>
      </c>
      <c r="C62" s="61" t="str">
        <f>IFERROR(__xludf.DUMMYFUNCTION("""COMPUTED_VALUE"""),"cox.k.j@wustl.edu")</f>
        <v>cox.k.j@wustl.edu</v>
      </c>
      <c r="D62" s="61">
        <f>IFERROR(__xludf.DUMMYFUNCTION("""COMPUTED_VALUE"""),4.152986477E9)</f>
        <v>4152986477</v>
      </c>
      <c r="E62" s="61" t="str">
        <f>IFERROR(__xludf.DUMMYFUNCTION("""COMPUTED_VALUE"""),"Christopher Cox")</f>
        <v>Christopher Cox</v>
      </c>
      <c r="F62" s="61"/>
      <c r="G62" s="61"/>
      <c r="H62" s="61" t="str">
        <f>IFERROR(__xludf.DUMMYFUNCTION("""COMPUTED_VALUE"""),"Storage Item Return")</f>
        <v>Storage Item Return</v>
      </c>
      <c r="I62" s="61" t="str">
        <f>IFERROR(__xludf.DUMMYFUNCTION("""COMPUTED_VALUE"""),"University Housing")</f>
        <v>University Housing</v>
      </c>
      <c r="J62" s="107" t="str">
        <f>IFERROR(__xludf.DUMMYFUNCTION("""COMPUTED_VALUE"""),"11:00 AM to 01:00 PM  ")</f>
        <v>11:00 AM to 01:00 PM  </v>
      </c>
      <c r="K62" s="107">
        <f>IFERROR(__xludf.DUMMYFUNCTION("""COMPUTED_VALUE"""),45883.0)</f>
        <v>45883</v>
      </c>
      <c r="L62" s="61" t="str">
        <f>IFERROR(__xludf.DUMMYFUNCTION("""COMPUTED_VALUE"""),"Gregg  ")</f>
        <v>Gregg  </v>
      </c>
      <c r="M62" s="61" t="str">
        <f>IFERROR(__xludf.DUMMYFUNCTION("""COMPUTED_VALUE"""),"3143")</f>
        <v>3143</v>
      </c>
      <c r="N62" s="61"/>
      <c r="O62" s="61"/>
      <c r="P62" s="61" t="b">
        <f>COUNTIF('Delivered SIR'!A:A, E62) &gt; 0</f>
        <v>0</v>
      </c>
    </row>
    <row r="63">
      <c r="A63" s="102" t="str">
        <f>IFERROR(__xludf.DUMMYFUNCTION("""COMPUTED_VALUE"""),"https://utrucking.com/admin/orders/5912134189244")</f>
        <v>https://utrucking.com/admin/orders/5912134189244</v>
      </c>
      <c r="B63" s="65" t="str">
        <f>IFERROR(__xludf.DUMMYFUNCTION("""COMPUTED_VALUE"""),"#15443")</f>
        <v>#15443</v>
      </c>
      <c r="C63" s="65"/>
      <c r="D63" s="65">
        <f>IFERROR(__xludf.DUMMYFUNCTION("""COMPUTED_VALUE"""),2.157964125E9)</f>
        <v>2157964125</v>
      </c>
      <c r="E63" s="65" t="str">
        <f>IFERROR(__xludf.DUMMYFUNCTION("""COMPUTED_VALUE"""),"Douglas Ominsky")</f>
        <v>Douglas Ominsky</v>
      </c>
      <c r="F63" s="65"/>
      <c r="G63" s="65"/>
      <c r="H63" s="65" t="str">
        <f>IFERROR(__xludf.DUMMYFUNCTION("""COMPUTED_VALUE"""),"Storage Item Return")</f>
        <v>Storage Item Return</v>
      </c>
      <c r="I63" s="65" t="str">
        <f>IFERROR(__xludf.DUMMYFUNCTION("""COMPUTED_VALUE"""),"University Housing")</f>
        <v>University Housing</v>
      </c>
      <c r="J63" s="108" t="str">
        <f>IFERROR(__xludf.DUMMYFUNCTION("""COMPUTED_VALUE"""),"09:00 AM to 11:00 AM  ")</f>
        <v>09:00 AM to 11:00 AM  </v>
      </c>
      <c r="K63" s="108">
        <f>IFERROR(__xludf.DUMMYFUNCTION("""COMPUTED_VALUE"""),45890.0)</f>
        <v>45890</v>
      </c>
      <c r="L63" s="65" t="str">
        <f>IFERROR(__xludf.DUMMYFUNCTION("""COMPUTED_VALUE"""),"Lopata  ")</f>
        <v>Lopata  </v>
      </c>
      <c r="M63" s="65" t="str">
        <f>IFERROR(__xludf.DUMMYFUNCTION("""COMPUTED_VALUE"""),"1114")</f>
        <v>1114</v>
      </c>
      <c r="N63" s="65"/>
      <c r="O63" s="65"/>
      <c r="P63" s="65" t="b">
        <f>COUNTIF('Delivered SIR'!A:A, E63) &gt; 0</f>
        <v>0</v>
      </c>
    </row>
    <row r="64">
      <c r="A64" s="99" t="str">
        <f>IFERROR(__xludf.DUMMYFUNCTION("""COMPUTED_VALUE"""),"https://utrucking.com/admin/orders/5912250613948")</f>
        <v>https://utrucking.com/admin/orders/5912250613948</v>
      </c>
      <c r="B64" s="61" t="str">
        <f>IFERROR(__xludf.DUMMYFUNCTION("""COMPUTED_VALUE"""),"#15451")</f>
        <v>#15451</v>
      </c>
      <c r="C64" s="61"/>
      <c r="D64" s="61">
        <f>IFERROR(__xludf.DUMMYFUNCTION("""COMPUTED_VALUE"""),6.319035927E9)</f>
        <v>6319035927</v>
      </c>
      <c r="E64" s="61" t="str">
        <f>IFERROR(__xludf.DUMMYFUNCTION("""COMPUTED_VALUE"""),"Rory O'Shea")</f>
        <v>Rory O'Shea</v>
      </c>
      <c r="F64" s="61"/>
      <c r="G64" s="61"/>
      <c r="H64" s="61" t="str">
        <f>IFERROR(__xludf.DUMMYFUNCTION("""COMPUTED_VALUE"""),"Storage Item Return")</f>
        <v>Storage Item Return</v>
      </c>
      <c r="I64" s="61" t="str">
        <f>IFERROR(__xludf.DUMMYFUNCTION("""COMPUTED_VALUE"""),"University Housing")</f>
        <v>University Housing</v>
      </c>
      <c r="J64" s="107" t="str">
        <f>IFERROR(__xludf.DUMMYFUNCTION("""COMPUTED_VALUE"""),"09:00 AM to 11:00 AM  ")</f>
        <v>09:00 AM to 11:00 AM  </v>
      </c>
      <c r="K64" s="107">
        <f>IFERROR(__xludf.DUMMYFUNCTION("""COMPUTED_VALUE"""),45876.0)</f>
        <v>45876</v>
      </c>
      <c r="L64" s="61" t="str">
        <f>IFERROR(__xludf.DUMMYFUNCTION("""COMPUTED_VALUE"""),"Village House  ")</f>
        <v>Village House  </v>
      </c>
      <c r="M64" s="61" t="str">
        <f>IFERROR(__xludf.DUMMYFUNCTION("""COMPUTED_VALUE"""),"4012")</f>
        <v>4012</v>
      </c>
      <c r="N64" s="61"/>
      <c r="O64" s="61"/>
      <c r="P64" s="61" t="b">
        <f>COUNTIF('Delivered SIR'!A:A, E64) &gt; 0</f>
        <v>1</v>
      </c>
    </row>
    <row r="65">
      <c r="A65" s="102" t="str">
        <f>IFERROR(__xludf.DUMMYFUNCTION("""COMPUTED_VALUE"""),"https://utrucking.com/admin/orders/5912530682044")</f>
        <v>https://utrucking.com/admin/orders/5912530682044</v>
      </c>
      <c r="B65" s="65" t="str">
        <f>IFERROR(__xludf.DUMMYFUNCTION("""COMPUTED_VALUE"""),"#15456")</f>
        <v>#15456</v>
      </c>
      <c r="C65" s="65"/>
      <c r="D65" s="65">
        <f>IFERROR(__xludf.DUMMYFUNCTION("""COMPUTED_VALUE"""),1.9175728671E10)</f>
        <v>19175728671</v>
      </c>
      <c r="E65" s="65" t="str">
        <f>IFERROR(__xludf.DUMMYFUNCTION("""COMPUTED_VALUE"""),"Russell Flicker")</f>
        <v>Russell Flicker</v>
      </c>
      <c r="F65" s="65"/>
      <c r="G65" s="65" t="str">
        <f>IFERROR(__xludf.DUMMYFUNCTION("""COMPUTED_VALUE"""),"6683 Washington Avenue, Apt 3E")</f>
        <v>6683 Washington Avenue, Apt 3E</v>
      </c>
      <c r="H65" s="65" t="str">
        <f>IFERROR(__xludf.DUMMYFUNCTION("""COMPUTED_VALUE"""),"Storage Item Return")</f>
        <v>Storage Item Return</v>
      </c>
      <c r="I65" s="65" t="str">
        <f>IFERROR(__xludf.DUMMYFUNCTION("""COMPUTED_VALUE"""),"Non-University Housing")</f>
        <v>Non-University Housing</v>
      </c>
      <c r="J65" s="108" t="str">
        <f>IFERROR(__xludf.DUMMYFUNCTION("""COMPUTED_VALUE"""),"10:00 AM to 12:00 PM  ")</f>
        <v>10:00 AM to 12:00 PM  </v>
      </c>
      <c r="K65" s="108">
        <f>IFERROR(__xludf.DUMMYFUNCTION("""COMPUTED_VALUE"""),45892.0)</f>
        <v>45892</v>
      </c>
      <c r="L65" s="65"/>
      <c r="M65" s="65"/>
      <c r="N65" s="65" t="str">
        <f>IFERROR(__xludf.DUMMYFUNCTION("""COMPUTED_VALUE"""),"6683 Washington Avenue, Apt 3E")</f>
        <v>6683 Washington Avenue, Apt 3E</v>
      </c>
      <c r="O65" s="65"/>
      <c r="P65" s="65" t="b">
        <f>COUNTIF('Delivered SIR'!A:A, E65) &gt; 0</f>
        <v>0</v>
      </c>
    </row>
    <row r="66">
      <c r="A66" s="99" t="str">
        <f>IFERROR(__xludf.DUMMYFUNCTION("""COMPUTED_VALUE"""),"https://utrucking.com/admin/orders/5912574361788")</f>
        <v>https://utrucking.com/admin/orders/5912574361788</v>
      </c>
      <c r="B66" s="61" t="str">
        <f>IFERROR(__xludf.DUMMYFUNCTION("""COMPUTED_VALUE"""),"#15457")</f>
        <v>#15457</v>
      </c>
      <c r="C66" s="61" t="str">
        <f>IFERROR(__xludf.DUMMYFUNCTION("""COMPUTED_VALUE"""),"minjunsohn@gmail.com")</f>
        <v>minjunsohn@gmail.com</v>
      </c>
      <c r="D66" s="61">
        <f>IFERROR(__xludf.DUMMYFUNCTION("""COMPUTED_VALUE"""),1.3143798058E10)</f>
        <v>13143798058</v>
      </c>
      <c r="E66" s="61" t="str">
        <f>IFERROR(__xludf.DUMMYFUNCTION("""COMPUTED_VALUE"""),"Minjun Sohn")</f>
        <v>Minjun Sohn</v>
      </c>
      <c r="F66" s="61"/>
      <c r="G66" s="61"/>
      <c r="H66" s="61" t="str">
        <f>IFERROR(__xludf.DUMMYFUNCTION("""COMPUTED_VALUE"""),"Storage Item Return")</f>
        <v>Storage Item Return</v>
      </c>
      <c r="I66" s="61" t="str">
        <f>IFERROR(__xludf.DUMMYFUNCTION("""COMPUTED_VALUE"""),"University Housing")</f>
        <v>University Housing</v>
      </c>
      <c r="J66" s="107" t="str">
        <f>IFERROR(__xludf.DUMMYFUNCTION("""COMPUTED_VALUE"""),"09:00 AM to 11:00 AM  ")</f>
        <v>09:00 AM to 11:00 AM  </v>
      </c>
      <c r="K66" s="107">
        <f>IFERROR(__xludf.DUMMYFUNCTION("""COMPUTED_VALUE"""),45883.0)</f>
        <v>45883</v>
      </c>
      <c r="L66" s="61" t="str">
        <f>IFERROR(__xludf.DUMMYFUNCTION("""COMPUTED_VALUE"""),"Village House  ")</f>
        <v>Village House  </v>
      </c>
      <c r="M66" s="61" t="str">
        <f>IFERROR(__xludf.DUMMYFUNCTION("""COMPUTED_VALUE"""),"3121")</f>
        <v>3121</v>
      </c>
      <c r="N66" s="61"/>
      <c r="O66" s="61"/>
      <c r="P66" s="61" t="b">
        <f>COUNTIF('Delivered SIR'!A:A, E66) &gt; 0</f>
        <v>1</v>
      </c>
    </row>
    <row r="67">
      <c r="A67" s="102" t="str">
        <f>IFERROR(__xludf.DUMMYFUNCTION("""COMPUTED_VALUE"""),"https://utrucking.com/admin/orders/5912574951612")</f>
        <v>https://utrucking.com/admin/orders/5912574951612</v>
      </c>
      <c r="B67" s="65" t="str">
        <f>IFERROR(__xludf.DUMMYFUNCTION("""COMPUTED_VALUE"""),"#15458")</f>
        <v>#15458</v>
      </c>
      <c r="C67" s="65" t="str">
        <f>IFERROR(__xludf.DUMMYFUNCTION("""COMPUTED_VALUE"""),"renacohen46@gmail.com")</f>
        <v>renacohen46@gmail.com</v>
      </c>
      <c r="D67" s="65">
        <f>IFERROR(__xludf.DUMMYFUNCTION("""COMPUTED_VALUE"""),8.125588554E9)</f>
        <v>8125588554</v>
      </c>
      <c r="E67" s="65" t="str">
        <f>IFERROR(__xludf.DUMMYFUNCTION("""COMPUTED_VALUE"""),"Rena Cohen")</f>
        <v>Rena Cohen</v>
      </c>
      <c r="F67" s="65"/>
      <c r="G67" s="65"/>
      <c r="H67" s="65" t="str">
        <f>IFERROR(__xludf.DUMMYFUNCTION("""COMPUTED_VALUE"""),"Storage Item Return")</f>
        <v>Storage Item Return</v>
      </c>
      <c r="I67" s="65" t="str">
        <f>IFERROR(__xludf.DUMMYFUNCTION("""COMPUTED_VALUE"""),"University Housing")</f>
        <v>University Housing</v>
      </c>
      <c r="J67" s="108" t="str">
        <f>IFERROR(__xludf.DUMMYFUNCTION("""COMPUTED_VALUE"""),"09:00 AM to 11:00 AM  ")</f>
        <v>09:00 AM to 11:00 AM  </v>
      </c>
      <c r="K67" s="108">
        <f>IFERROR(__xludf.DUMMYFUNCTION("""COMPUTED_VALUE"""),45883.0)</f>
        <v>45883</v>
      </c>
      <c r="L67" s="65" t="str">
        <f>IFERROR(__xludf.DUMMYFUNCTION("""COMPUTED_VALUE"""),"Village House  ")</f>
        <v>Village House  </v>
      </c>
      <c r="M67" s="65" t="str">
        <f>IFERROR(__xludf.DUMMYFUNCTION("""COMPUTED_VALUE"""),"3131-a")</f>
        <v>3131-a</v>
      </c>
      <c r="N67" s="65"/>
      <c r="O67" s="65"/>
      <c r="P67" s="65" t="b">
        <f>COUNTIF('Delivered SIR'!A:A, E67) &gt; 0</f>
        <v>1</v>
      </c>
    </row>
    <row r="68">
      <c r="A68" s="99" t="str">
        <f>IFERROR(__xludf.DUMMYFUNCTION("""COMPUTED_VALUE"""),"https://utrucking.com/admin/orders/5912600936636")</f>
        <v>https://utrucking.com/admin/orders/5912600936636</v>
      </c>
      <c r="B68" s="61" t="str">
        <f>IFERROR(__xludf.DUMMYFUNCTION("""COMPUTED_VALUE"""),"#15459")</f>
        <v>#15459</v>
      </c>
      <c r="C68" s="61" t="str">
        <f>IFERROR(__xludf.DUMMYFUNCTION("""COMPUTED_VALUE"""),"tnix410@gmail.com")</f>
        <v>tnix410@gmail.com</v>
      </c>
      <c r="D68" s="61">
        <f>IFERROR(__xludf.DUMMYFUNCTION("""COMPUTED_VALUE"""),9.174391832E9)</f>
        <v>9174391832</v>
      </c>
      <c r="E68" s="61" t="str">
        <f>IFERROR(__xludf.DUMMYFUNCTION("""COMPUTED_VALUE"""),"tracy Nix")</f>
        <v>tracy Nix</v>
      </c>
      <c r="F68" s="61"/>
      <c r="G68" s="61"/>
      <c r="H68" s="61" t="str">
        <f>IFERROR(__xludf.DUMMYFUNCTION("""COMPUTED_VALUE"""),"Storage Item Return")</f>
        <v>Storage Item Return</v>
      </c>
      <c r="I68" s="61" t="str">
        <f>IFERROR(__xludf.DUMMYFUNCTION("""COMPUTED_VALUE"""),"University Housing")</f>
        <v>University Housing</v>
      </c>
      <c r="J68" s="107" t="str">
        <f>IFERROR(__xludf.DUMMYFUNCTION("""COMPUTED_VALUE"""),"09:00 AM to 11:00 AM  ")</f>
        <v>09:00 AM to 11:00 AM  </v>
      </c>
      <c r="K68" s="107">
        <f>IFERROR(__xludf.DUMMYFUNCTION("""COMPUTED_VALUE"""),45883.0)</f>
        <v>45883</v>
      </c>
      <c r="L68" s="61" t="str">
        <f>IFERROR(__xludf.DUMMYFUNCTION("""COMPUTED_VALUE"""),"Nemerov  ")</f>
        <v>Nemerov  </v>
      </c>
      <c r="M68" s="61" t="str">
        <f>IFERROR(__xludf.DUMMYFUNCTION("""COMPUTED_VALUE"""),"4104 - a")</f>
        <v>4104 - a</v>
      </c>
      <c r="N68" s="61"/>
      <c r="O68" s="61"/>
      <c r="P68" s="61" t="b">
        <f>COUNTIF('Delivered SIR'!A:A, E68) &gt; 0</f>
        <v>0</v>
      </c>
    </row>
    <row r="69">
      <c r="A69" s="102" t="str">
        <f>IFERROR(__xludf.DUMMYFUNCTION("""COMPUTED_VALUE"""),"https://utrucking.com/admin/orders/5912616108220")</f>
        <v>https://utrucking.com/admin/orders/5912616108220</v>
      </c>
      <c r="B69" s="65" t="str">
        <f>IFERROR(__xludf.DUMMYFUNCTION("""COMPUTED_VALUE"""),"#15460")</f>
        <v>#15460</v>
      </c>
      <c r="C69" s="65" t="str">
        <f>IFERROR(__xludf.DUMMYFUNCTION("""COMPUTED_VALUE"""),"neilgarethmurphy@gmail.com")</f>
        <v>neilgarethmurphy@gmail.com</v>
      </c>
      <c r="D69" s="65">
        <f>IFERROR(__xludf.DUMMYFUNCTION("""COMPUTED_VALUE"""),4.107500522E9)</f>
        <v>4107500522</v>
      </c>
      <c r="E69" s="65" t="str">
        <f>IFERROR(__xludf.DUMMYFUNCTION("""COMPUTED_VALUE"""),"Neil Murphy")</f>
        <v>Neil Murphy</v>
      </c>
      <c r="F69" s="65"/>
      <c r="G69" s="65"/>
      <c r="H69" s="65" t="str">
        <f>IFERROR(__xludf.DUMMYFUNCTION("""COMPUTED_VALUE"""),"Storage Item Return")</f>
        <v>Storage Item Return</v>
      </c>
      <c r="I69" s="65" t="str">
        <f>IFERROR(__xludf.DUMMYFUNCTION("""COMPUTED_VALUE"""),"University Housing")</f>
        <v>University Housing</v>
      </c>
      <c r="J69" s="108" t="str">
        <f>IFERROR(__xludf.DUMMYFUNCTION("""COMPUTED_VALUE"""),"09:00 AM to 11:00 AM  ")</f>
        <v>09:00 AM to 11:00 AM  </v>
      </c>
      <c r="K69" s="108">
        <f>IFERROR(__xludf.DUMMYFUNCTION("""COMPUTED_VALUE"""),45883.0)</f>
        <v>45883</v>
      </c>
      <c r="L69" s="65" t="str">
        <f>IFERROR(__xludf.DUMMYFUNCTION("""COMPUTED_VALUE"""),"Beaumont  ")</f>
        <v>Beaumont  </v>
      </c>
      <c r="M69" s="65" t="str">
        <f>IFERROR(__xludf.DUMMYFUNCTION("""COMPUTED_VALUE"""),"219")</f>
        <v>219</v>
      </c>
      <c r="N69" s="65"/>
      <c r="O69" s="65"/>
      <c r="P69" s="65" t="b">
        <f>COUNTIF('Delivered SIR'!A:A, E69) &gt; 0</f>
        <v>1</v>
      </c>
    </row>
    <row r="70">
      <c r="A70" s="99" t="str">
        <f>IFERROR(__xludf.DUMMYFUNCTION("""COMPUTED_VALUE"""),"https://utrucking.com/admin/orders/5912619909308")</f>
        <v>https://utrucking.com/admin/orders/5912619909308</v>
      </c>
      <c r="B70" s="61" t="str">
        <f>IFERROR(__xludf.DUMMYFUNCTION("""COMPUTED_VALUE"""),"#15461")</f>
        <v>#15461</v>
      </c>
      <c r="C70" s="61" t="str">
        <f>IFERROR(__xludf.DUMMYFUNCTION("""COMPUTED_VALUE"""),"jaberger530@gmail.com")</f>
        <v>jaberger530@gmail.com</v>
      </c>
      <c r="D70" s="61">
        <f>IFERROR(__xludf.DUMMYFUNCTION("""COMPUTED_VALUE"""),5.855009708E9)</f>
        <v>5855009708</v>
      </c>
      <c r="E70" s="61" t="str">
        <f>IFERROR(__xludf.DUMMYFUNCTION("""COMPUTED_VALUE"""),"Jared Berger")</f>
        <v>Jared Berger</v>
      </c>
      <c r="F70" s="61"/>
      <c r="G70" s="61"/>
      <c r="H70" s="61" t="str">
        <f>IFERROR(__xludf.DUMMYFUNCTION("""COMPUTED_VALUE"""),"Storage Item Return")</f>
        <v>Storage Item Return</v>
      </c>
      <c r="I70" s="61" t="str">
        <f>IFERROR(__xludf.DUMMYFUNCTION("""COMPUTED_VALUE"""),"University Housing")</f>
        <v>University Housing</v>
      </c>
      <c r="J70" s="107" t="str">
        <f>IFERROR(__xludf.DUMMYFUNCTION("""COMPUTED_VALUE"""),"09:00 AM to 11:00 AM  ")</f>
        <v>09:00 AM to 11:00 AM  </v>
      </c>
      <c r="K70" s="107">
        <f>IFERROR(__xludf.DUMMYFUNCTION("""COMPUTED_VALUE"""),45883.0)</f>
        <v>45883</v>
      </c>
      <c r="L70" s="61" t="str">
        <f>IFERROR(__xludf.DUMMYFUNCTION("""COMPUTED_VALUE"""),"Loop Loft 6263  ")</f>
        <v>Loop Loft 6263  </v>
      </c>
      <c r="M70" s="61" t="str">
        <f>IFERROR(__xludf.DUMMYFUNCTION("""COMPUTED_VALUE"""),"309C ")</f>
        <v>309C </v>
      </c>
      <c r="N70" s="61"/>
      <c r="O70" s="61"/>
      <c r="P70" s="61" t="b">
        <f>COUNTIF('Delivered SIR'!A:A, E70) &gt; 0</f>
        <v>1</v>
      </c>
    </row>
    <row r="71">
      <c r="A71" s="102" t="str">
        <f>IFERROR(__xludf.DUMMYFUNCTION("""COMPUTED_VALUE"""),"https://utrucking.com/admin/orders/5912660672700")</f>
        <v>https://utrucking.com/admin/orders/5912660672700</v>
      </c>
      <c r="B71" s="65" t="str">
        <f>IFERROR(__xludf.DUMMYFUNCTION("""COMPUTED_VALUE"""),"#15463")</f>
        <v>#15463</v>
      </c>
      <c r="C71" s="65"/>
      <c r="D71" s="65">
        <f>IFERROR(__xludf.DUMMYFUNCTION("""COMPUTED_VALUE"""),2.019602593E9)</f>
        <v>2019602593</v>
      </c>
      <c r="E71" s="65" t="str">
        <f>IFERROR(__xludf.DUMMYFUNCTION("""COMPUTED_VALUE"""),"Danbee You")</f>
        <v>Danbee You</v>
      </c>
      <c r="F71" s="65"/>
      <c r="G71" s="65"/>
      <c r="H71" s="65" t="str">
        <f>IFERROR(__xludf.DUMMYFUNCTION("""COMPUTED_VALUE"""),"Storage Item Return")</f>
        <v>Storage Item Return</v>
      </c>
      <c r="I71" s="65" t="str">
        <f>IFERROR(__xludf.DUMMYFUNCTION("""COMPUTED_VALUE"""),"University Housing")</f>
        <v>University Housing</v>
      </c>
      <c r="J71" s="108" t="str">
        <f>IFERROR(__xludf.DUMMYFUNCTION("""COMPUTED_VALUE"""),"09:00 AM to 11:00 AM  ")</f>
        <v>09:00 AM to 11:00 AM  </v>
      </c>
      <c r="K71" s="108">
        <f>IFERROR(__xludf.DUMMYFUNCTION("""COMPUTED_VALUE"""),45882.0)</f>
        <v>45882</v>
      </c>
      <c r="L71" s="65" t="str">
        <f>IFERROR(__xludf.DUMMYFUNCTION("""COMPUTED_VALUE"""),"Mudd  ")</f>
        <v>Mudd  </v>
      </c>
      <c r="M71" s="65" t="str">
        <f>IFERROR(__xludf.DUMMYFUNCTION("""COMPUTED_VALUE"""),"482-b")</f>
        <v>482-b</v>
      </c>
      <c r="N71" s="65"/>
      <c r="O71" s="65"/>
      <c r="P71" s="65" t="b">
        <f>COUNTIF('Delivered SIR'!A:A, E71) &gt; 0</f>
        <v>1</v>
      </c>
    </row>
    <row r="72">
      <c r="A72" s="99" t="str">
        <f>IFERROR(__xludf.DUMMYFUNCTION("""COMPUTED_VALUE"""),"https://utrucking.com/admin/orders/5912662212796")</f>
        <v>https://utrucking.com/admin/orders/5912662212796</v>
      </c>
      <c r="B72" s="61" t="str">
        <f>IFERROR(__xludf.DUMMYFUNCTION("""COMPUTED_VALUE"""),"#15464")</f>
        <v>#15464</v>
      </c>
      <c r="C72" s="61" t="str">
        <f>IFERROR(__xludf.DUMMYFUNCTION("""COMPUTED_VALUE"""),"j.m.waldo@wustl.edu")</f>
        <v>j.m.waldo@wustl.edu</v>
      </c>
      <c r="D72" s="61">
        <f>IFERROR(__xludf.DUMMYFUNCTION("""COMPUTED_VALUE"""),6.305612081E9)</f>
        <v>6305612081</v>
      </c>
      <c r="E72" s="61" t="str">
        <f>IFERROR(__xludf.DUMMYFUNCTION("""COMPUTED_VALUE"""),"Elizabeth Waldo")</f>
        <v>Elizabeth Waldo</v>
      </c>
      <c r="F72" s="61"/>
      <c r="G72" s="61"/>
      <c r="H72" s="61" t="str">
        <f>IFERROR(__xludf.DUMMYFUNCTION("""COMPUTED_VALUE"""),"Storage Item Return")</f>
        <v>Storage Item Return</v>
      </c>
      <c r="I72" s="61" t="str">
        <f>IFERROR(__xludf.DUMMYFUNCTION("""COMPUTED_VALUE"""),"University Housing")</f>
        <v>University Housing</v>
      </c>
      <c r="J72" s="107" t="str">
        <f>IFERROR(__xludf.DUMMYFUNCTION("""COMPUTED_VALUE"""),"09:00 AM to 11:00 AM  ")</f>
        <v>09:00 AM to 11:00 AM  </v>
      </c>
      <c r="K72" s="107">
        <f>IFERROR(__xludf.DUMMYFUNCTION("""COMPUTED_VALUE"""),45883.0)</f>
        <v>45883</v>
      </c>
      <c r="L72" s="61" t="str">
        <f>IFERROR(__xludf.DUMMYFUNCTION("""COMPUTED_VALUE"""),"Village House  ")</f>
        <v>Village House  </v>
      </c>
      <c r="M72" s="61" t="str">
        <f>IFERROR(__xludf.DUMMYFUNCTION("""COMPUTED_VALUE"""),"3013a")</f>
        <v>3013a</v>
      </c>
      <c r="N72" s="61"/>
      <c r="O72" s="61"/>
      <c r="P72" s="61" t="b">
        <f>COUNTIF('Delivered SIR'!A:A, E72) &gt; 0</f>
        <v>0</v>
      </c>
    </row>
    <row r="73">
      <c r="A73" s="102" t="str">
        <f>IFERROR(__xludf.DUMMYFUNCTION("""COMPUTED_VALUE"""),"https://utrucking.com/admin/orders/5912683774140")</f>
        <v>https://utrucking.com/admin/orders/5912683774140</v>
      </c>
      <c r="B73" s="65" t="str">
        <f>IFERROR(__xludf.DUMMYFUNCTION("""COMPUTED_VALUE"""),"#15465")</f>
        <v>#15465</v>
      </c>
      <c r="C73" s="65" t="str">
        <f>IFERROR(__xludf.DUMMYFUNCTION("""COMPUTED_VALUE"""),"alexlee0407@gmail.com")</f>
        <v>alexlee0407@gmail.com</v>
      </c>
      <c r="D73" s="65">
        <f>IFERROR(__xludf.DUMMYFUNCTION("""COMPUTED_VALUE"""),7.144828812E9)</f>
        <v>7144828812</v>
      </c>
      <c r="E73" s="65" t="str">
        <f>IFERROR(__xludf.DUMMYFUNCTION("""COMPUTED_VALUE"""),"Alexander Lee")</f>
        <v>Alexander Lee</v>
      </c>
      <c r="F73" s="65"/>
      <c r="G73" s="65"/>
      <c r="H73" s="65" t="str">
        <f>IFERROR(__xludf.DUMMYFUNCTION("""COMPUTED_VALUE"""),"Storage Item Return")</f>
        <v>Storage Item Return</v>
      </c>
      <c r="I73" s="65" t="str">
        <f>IFERROR(__xludf.DUMMYFUNCTION("""COMPUTED_VALUE"""),"University Housing")</f>
        <v>University Housing</v>
      </c>
      <c r="J73" s="108" t="str">
        <f>IFERROR(__xludf.DUMMYFUNCTION("""COMPUTED_VALUE"""),"09:00 AM to 11:00 AM  ")</f>
        <v>09:00 AM to 11:00 AM  </v>
      </c>
      <c r="K73" s="108">
        <f>IFERROR(__xludf.DUMMYFUNCTION("""COMPUTED_VALUE"""),45883.0)</f>
        <v>45883</v>
      </c>
      <c r="L73" s="65" t="str">
        <f>IFERROR(__xludf.DUMMYFUNCTION("""COMPUTED_VALUE"""),"Zetcher  ")</f>
        <v>Zetcher  </v>
      </c>
      <c r="M73" s="65" t="str">
        <f>IFERROR(__xludf.DUMMYFUNCTION("""COMPUTED_VALUE"""),"3062")</f>
        <v>3062</v>
      </c>
      <c r="N73" s="65"/>
      <c r="O73" s="65"/>
      <c r="P73" s="65" t="b">
        <f>COUNTIF('Delivered SIR'!A:A, E73) &gt; 0</f>
        <v>1</v>
      </c>
    </row>
    <row r="74">
      <c r="A74" s="99" t="str">
        <f>IFERROR(__xludf.DUMMYFUNCTION("""COMPUTED_VALUE"""),"https://utrucking.com/admin/orders/5912693866684")</f>
        <v>https://utrucking.com/admin/orders/5912693866684</v>
      </c>
      <c r="B74" s="61" t="str">
        <f>IFERROR(__xludf.DUMMYFUNCTION("""COMPUTED_VALUE"""),"#15466")</f>
        <v>#15466</v>
      </c>
      <c r="C74" s="61" t="str">
        <f>IFERROR(__xludf.DUMMYFUNCTION("""COMPUTED_VALUE"""),"s.r.walden@wustl.edu")</f>
        <v>s.r.walden@wustl.edu</v>
      </c>
      <c r="D74" s="61">
        <f>IFERROR(__xludf.DUMMYFUNCTION("""COMPUTED_VALUE"""),9.178428585E9)</f>
        <v>9178428585</v>
      </c>
      <c r="E74" s="61" t="str">
        <f>IFERROR(__xludf.DUMMYFUNCTION("""COMPUTED_VALUE"""),"Stella Walden")</f>
        <v>Stella Walden</v>
      </c>
      <c r="F74" s="61"/>
      <c r="G74" s="61"/>
      <c r="H74" s="61" t="str">
        <f>IFERROR(__xludf.DUMMYFUNCTION("""COMPUTED_VALUE"""),"Storage Item Return")</f>
        <v>Storage Item Return</v>
      </c>
      <c r="I74" s="61" t="str">
        <f>IFERROR(__xludf.DUMMYFUNCTION("""COMPUTED_VALUE"""),"University Housing")</f>
        <v>University Housing</v>
      </c>
      <c r="J74" s="107" t="str">
        <f>IFERROR(__xludf.DUMMYFUNCTION("""COMPUTED_VALUE"""),"09:00 AM to 11:00 AM  ")</f>
        <v>09:00 AM to 11:00 AM  </v>
      </c>
      <c r="K74" s="107">
        <f>IFERROR(__xludf.DUMMYFUNCTION("""COMPUTED_VALUE"""),45883.0)</f>
        <v>45883</v>
      </c>
      <c r="L74" s="61" t="str">
        <f>IFERROR(__xludf.DUMMYFUNCTION("""COMPUTED_VALUE"""),"Millbrook Bldg. 4  ")</f>
        <v>Millbrook Bldg. 4  </v>
      </c>
      <c r="M74" s="61" t="str">
        <f>IFERROR(__xludf.DUMMYFUNCTION("""COMPUTED_VALUE"""),"102F")</f>
        <v>102F</v>
      </c>
      <c r="N74" s="61"/>
      <c r="O74" s="61"/>
      <c r="P74" s="61" t="b">
        <f>COUNTIF('Delivered SIR'!A:A, E74) &gt; 0</f>
        <v>1</v>
      </c>
    </row>
    <row r="75">
      <c r="A75" s="102" t="str">
        <f>IFERROR(__xludf.DUMMYFUNCTION("""COMPUTED_VALUE"""),"https://utrucking.com/admin/orders/5912710250684")</f>
        <v>https://utrucking.com/admin/orders/5912710250684</v>
      </c>
      <c r="B75" s="65" t="str">
        <f>IFERROR(__xludf.DUMMYFUNCTION("""COMPUTED_VALUE"""),"#15469")</f>
        <v>#15469</v>
      </c>
      <c r="C75" s="65" t="str">
        <f>IFERROR(__xludf.DUMMYFUNCTION("""COMPUTED_VALUE"""),"k.d.roy@wustl.edu")</f>
        <v>k.d.roy@wustl.edu</v>
      </c>
      <c r="D75" s="65">
        <f>IFERROR(__xludf.DUMMYFUNCTION("""COMPUTED_VALUE"""),6.462400383E9)</f>
        <v>6462400383</v>
      </c>
      <c r="E75" s="65" t="str">
        <f>IFERROR(__xludf.DUMMYFUNCTION("""COMPUTED_VALUE"""),"Renata Roy")</f>
        <v>Renata Roy</v>
      </c>
      <c r="F75" s="65"/>
      <c r="G75" s="65"/>
      <c r="H75" s="65" t="str">
        <f>IFERROR(__xludf.DUMMYFUNCTION("""COMPUTED_VALUE"""),"Storage Item Return")</f>
        <v>Storage Item Return</v>
      </c>
      <c r="I75" s="65" t="str">
        <f>IFERROR(__xludf.DUMMYFUNCTION("""COMPUTED_VALUE"""),"University Housing")</f>
        <v>University Housing</v>
      </c>
      <c r="J75" s="108" t="str">
        <f>IFERROR(__xludf.DUMMYFUNCTION("""COMPUTED_VALUE"""),"09:00 AM to 11:00 AM  ")</f>
        <v>09:00 AM to 11:00 AM  </v>
      </c>
      <c r="K75" s="108">
        <f>IFERROR(__xludf.DUMMYFUNCTION("""COMPUTED_VALUE"""),45883.0)</f>
        <v>45883</v>
      </c>
      <c r="L75" s="65" t="str">
        <f>IFERROR(__xludf.DUMMYFUNCTION("""COMPUTED_VALUE"""),"Eliot B  ")</f>
        <v>Eliot B  </v>
      </c>
      <c r="M75" s="65" t="str">
        <f>IFERROR(__xludf.DUMMYFUNCTION("""COMPUTED_VALUE"""),"1032")</f>
        <v>1032</v>
      </c>
      <c r="N75" s="65"/>
      <c r="O75" s="65"/>
      <c r="P75" s="65" t="b">
        <f>COUNTIF('Delivered SIR'!A:A, E75) &gt; 0</f>
        <v>0</v>
      </c>
    </row>
    <row r="76">
      <c r="A76" s="99" t="str">
        <f>IFERROR(__xludf.DUMMYFUNCTION("""COMPUTED_VALUE"""),"https://utrucking.com/admin/orders/5912769855676")</f>
        <v>https://utrucking.com/admin/orders/5912769855676</v>
      </c>
      <c r="B76" s="61" t="str">
        <f>IFERROR(__xludf.DUMMYFUNCTION("""COMPUTED_VALUE"""),"#15471")</f>
        <v>#15471</v>
      </c>
      <c r="C76" s="61" t="str">
        <f>IFERROR(__xludf.DUMMYFUNCTION("""COMPUTED_VALUE"""),"djwadecoolswag@icloud.com")</f>
        <v>djwadecoolswag@icloud.com</v>
      </c>
      <c r="D76" s="61">
        <f>IFERROR(__xludf.DUMMYFUNCTION("""COMPUTED_VALUE"""),1.646254271E10)</f>
        <v>16462542710</v>
      </c>
      <c r="E76" s="61" t="str">
        <f>IFERROR(__xludf.DUMMYFUNCTION("""COMPUTED_VALUE"""),"Lauren Enoch")</f>
        <v>Lauren Enoch</v>
      </c>
      <c r="F76" s="61"/>
      <c r="G76" s="61"/>
      <c r="H76" s="61" t="str">
        <f>IFERROR(__xludf.DUMMYFUNCTION("""COMPUTED_VALUE"""),"Storage Item Return")</f>
        <v>Storage Item Return</v>
      </c>
      <c r="I76" s="61" t="str">
        <f>IFERROR(__xludf.DUMMYFUNCTION("""COMPUTED_VALUE"""),"University Housing")</f>
        <v>University Housing</v>
      </c>
      <c r="J76" s="107" t="str">
        <f>IFERROR(__xludf.DUMMYFUNCTION("""COMPUTED_VALUE"""),"09:00 AM to 11:00 AM  ")</f>
        <v>09:00 AM to 11:00 AM  </v>
      </c>
      <c r="K76" s="107">
        <f>IFERROR(__xludf.DUMMYFUNCTION("""COMPUTED_VALUE"""),45883.0)</f>
        <v>45883</v>
      </c>
      <c r="L76" s="61" t="str">
        <f>IFERROR(__xludf.DUMMYFUNCTION("""COMPUTED_VALUE"""),"Millbrook Bldg. 1  ")</f>
        <v>Millbrook Bldg. 1  </v>
      </c>
      <c r="M76" s="61" t="str">
        <f>IFERROR(__xludf.DUMMYFUNCTION("""COMPUTED_VALUE"""),"205A")</f>
        <v>205A</v>
      </c>
      <c r="N76" s="61"/>
      <c r="O76" s="61"/>
      <c r="P76" s="61" t="b">
        <f>COUNTIF('Delivered SIR'!A:A, E76) &gt; 0</f>
        <v>1</v>
      </c>
    </row>
    <row r="77">
      <c r="A77" s="102" t="str">
        <f>IFERROR(__xludf.DUMMYFUNCTION("""COMPUTED_VALUE"""),"https://utrucking.com/admin/orders/5912777785532")</f>
        <v>https://utrucking.com/admin/orders/5912777785532</v>
      </c>
      <c r="B77" s="65" t="str">
        <f>IFERROR(__xludf.DUMMYFUNCTION("""COMPUTED_VALUE"""),"#15472")</f>
        <v>#15472</v>
      </c>
      <c r="C77" s="65" t="str">
        <f>IFERROR(__xludf.DUMMYFUNCTION("""COMPUTED_VALUE"""),"akjubes@gmail.com")</f>
        <v>akjubes@gmail.com</v>
      </c>
      <c r="D77" s="65">
        <f>IFERROR(__xludf.DUMMYFUNCTION("""COMPUTED_VALUE"""),9.179712001E9)</f>
        <v>9179712001</v>
      </c>
      <c r="E77" s="65" t="str">
        <f>IFERROR(__xludf.DUMMYFUNCTION("""COMPUTED_VALUE"""),"Allison Jubelirer")</f>
        <v>Allison Jubelirer</v>
      </c>
      <c r="F77" s="65"/>
      <c r="G77" s="65"/>
      <c r="H77" s="65" t="str">
        <f>IFERROR(__xludf.DUMMYFUNCTION("""COMPUTED_VALUE"""),"Storage Item Return")</f>
        <v>Storage Item Return</v>
      </c>
      <c r="I77" s="65" t="str">
        <f>IFERROR(__xludf.DUMMYFUNCTION("""COMPUTED_VALUE"""),"University Housing")</f>
        <v>University Housing</v>
      </c>
      <c r="J77" s="108" t="str">
        <f>IFERROR(__xludf.DUMMYFUNCTION("""COMPUTED_VALUE"""),"09:00 AM to 11:00 AM  ")</f>
        <v>09:00 AM to 11:00 AM  </v>
      </c>
      <c r="K77" s="108">
        <f>IFERROR(__xludf.DUMMYFUNCTION("""COMPUTED_VALUE"""),45891.0)</f>
        <v>45891</v>
      </c>
      <c r="L77" s="65" t="str">
        <f>IFERROR(__xludf.DUMMYFUNCTION("""COMPUTED_VALUE"""),"House 3 (Alpha Delta Phi)")</f>
        <v>House 3 (Alpha Delta Phi)</v>
      </c>
      <c r="M77" s="65" t="str">
        <f>IFERROR(__xludf.DUMMYFUNCTION("""COMPUTED_VALUE"""),"204")</f>
        <v>204</v>
      </c>
      <c r="N77" s="65"/>
      <c r="O77" s="65"/>
      <c r="P77" s="65" t="b">
        <f>COUNTIF('Delivered SIR'!A:A, E77) &gt; 0</f>
        <v>0</v>
      </c>
    </row>
    <row r="78">
      <c r="A78" s="99" t="str">
        <f>IFERROR(__xludf.DUMMYFUNCTION("""COMPUTED_VALUE"""),"https://utrucking.com/admin/orders/5912781684924")</f>
        <v>https://utrucking.com/admin/orders/5912781684924</v>
      </c>
      <c r="B78" s="61" t="str">
        <f>IFERROR(__xludf.DUMMYFUNCTION("""COMPUTED_VALUE"""),"#15474")</f>
        <v>#15474</v>
      </c>
      <c r="C78" s="61" t="str">
        <f>IFERROR(__xludf.DUMMYFUNCTION("""COMPUTED_VALUE"""),"edenlevi613@gmail.com")</f>
        <v>edenlevi613@gmail.com</v>
      </c>
      <c r="D78" s="61">
        <f>IFERROR(__xludf.DUMMYFUNCTION("""COMPUTED_VALUE"""),9.499108556E9)</f>
        <v>9499108556</v>
      </c>
      <c r="E78" s="61" t="str">
        <f>IFERROR(__xludf.DUMMYFUNCTION("""COMPUTED_VALUE"""),"eden levi")</f>
        <v>eden levi</v>
      </c>
      <c r="F78" s="61"/>
      <c r="G78" s="61"/>
      <c r="H78" s="61" t="str">
        <f>IFERROR(__xludf.DUMMYFUNCTION("""COMPUTED_VALUE"""),"Storage Item Return")</f>
        <v>Storage Item Return</v>
      </c>
      <c r="I78" s="61" t="str">
        <f>IFERROR(__xludf.DUMMYFUNCTION("""COMPUTED_VALUE"""),"University Housing")</f>
        <v>University Housing</v>
      </c>
      <c r="J78" s="107" t="str">
        <f>IFERROR(__xludf.DUMMYFUNCTION("""COMPUTED_VALUE"""),"09:00 AM to 11:00 AM  ")</f>
        <v>09:00 AM to 11:00 AM  </v>
      </c>
      <c r="K78" s="107">
        <f>IFERROR(__xludf.DUMMYFUNCTION("""COMPUTED_VALUE"""),45883.0)</f>
        <v>45883</v>
      </c>
      <c r="L78" s="61" t="str">
        <f>IFERROR(__xludf.DUMMYFUNCTION("""COMPUTED_VALUE"""),"Mudd  ")</f>
        <v>Mudd  </v>
      </c>
      <c r="M78" s="61" t="str">
        <f>IFERROR(__xludf.DUMMYFUNCTION("""COMPUTED_VALUE"""),"432")</f>
        <v>432</v>
      </c>
      <c r="N78" s="61"/>
      <c r="O78" s="61"/>
      <c r="P78" s="61" t="b">
        <f>COUNTIF('Delivered SIR'!A:A, E78) &gt; 0</f>
        <v>1</v>
      </c>
    </row>
    <row r="79">
      <c r="A79" s="102" t="str">
        <f>IFERROR(__xludf.DUMMYFUNCTION("""COMPUTED_VALUE"""),"https://utrucking.com/admin/orders/5912840241340")</f>
        <v>https://utrucking.com/admin/orders/5912840241340</v>
      </c>
      <c r="B79" s="65" t="str">
        <f>IFERROR(__xludf.DUMMYFUNCTION("""COMPUTED_VALUE"""),"#15476")</f>
        <v>#15476</v>
      </c>
      <c r="C79" s="65" t="str">
        <f>IFERROR(__xludf.DUMMYFUNCTION("""COMPUTED_VALUE"""),"p.taya@wustl.edu")</f>
        <v>p.taya@wustl.edu</v>
      </c>
      <c r="D79" s="65">
        <f>IFERROR(__xludf.DUMMYFUNCTION("""COMPUTED_VALUE"""),9.142239682E9)</f>
        <v>9142239682</v>
      </c>
      <c r="E79" s="65" t="str">
        <f>IFERROR(__xludf.DUMMYFUNCTION("""COMPUTED_VALUE"""),"Taya Puner")</f>
        <v>Taya Puner</v>
      </c>
      <c r="F79" s="65"/>
      <c r="G79" s="65"/>
      <c r="H79" s="65" t="str">
        <f>IFERROR(__xludf.DUMMYFUNCTION("""COMPUTED_VALUE"""),"Storage Item Return")</f>
        <v>Storage Item Return</v>
      </c>
      <c r="I79" s="65" t="str">
        <f>IFERROR(__xludf.DUMMYFUNCTION("""COMPUTED_VALUE"""),"University Housing ")</f>
        <v>University Housing </v>
      </c>
      <c r="J79" s="108" t="str">
        <f>IFERROR(__xludf.DUMMYFUNCTION("""COMPUTED_VALUE"""),"09:00 AM to 11:00 AM   ")</f>
        <v>09:00 AM to 11:00 AM   </v>
      </c>
      <c r="K79" s="108">
        <f>IFERROR(__xludf.DUMMYFUNCTION("""COMPUTED_VALUE"""),45883.0)</f>
        <v>45883</v>
      </c>
      <c r="L79" s="65" t="str">
        <f>IFERROR(__xludf.DUMMYFUNCTION("""COMPUTED_VALUE"""),"Gregg  ")</f>
        <v>Gregg  </v>
      </c>
      <c r="M79" s="65" t="str">
        <f>IFERROR(__xludf.DUMMYFUNCTION("""COMPUTED_VALUE"""),"3010")</f>
        <v>3010</v>
      </c>
      <c r="N79" s="65"/>
      <c r="O79" s="65"/>
      <c r="P79" s="65" t="b">
        <f>COUNTIF('Delivered SIR'!A:A, E79) &gt; 0</f>
        <v>1</v>
      </c>
    </row>
    <row r="80">
      <c r="A80" s="99" t="str">
        <f>IFERROR(__xludf.DUMMYFUNCTION("""COMPUTED_VALUE"""),"https://utrucking.com/admin/orders/5912857182396")</f>
        <v>https://utrucking.com/admin/orders/5912857182396</v>
      </c>
      <c r="B80" s="61" t="str">
        <f>IFERROR(__xludf.DUMMYFUNCTION("""COMPUTED_VALUE"""),"#15479")</f>
        <v>#15479</v>
      </c>
      <c r="C80" s="61" t="str">
        <f>IFERROR(__xludf.DUMMYFUNCTION("""COMPUTED_VALUE"""),"caitkyuen@gmail.com")</f>
        <v>caitkyuen@gmail.com</v>
      </c>
      <c r="D80" s="61">
        <f>IFERROR(__xludf.DUMMYFUNCTION("""COMPUTED_VALUE"""),8.084892869E9)</f>
        <v>8084892869</v>
      </c>
      <c r="E80" s="61" t="str">
        <f>IFERROR(__xludf.DUMMYFUNCTION("""COMPUTED_VALUE"""),"Caitlin Yuen")</f>
        <v>Caitlin Yuen</v>
      </c>
      <c r="F80" s="61"/>
      <c r="G80" s="61" t="str">
        <f>IFERROR(__xludf.DUMMYFUNCTION("""COMPUTED_VALUE"""),"665 S Skinker Blvd. St. Louis, MO 63105
APT 05D")</f>
        <v>665 S Skinker Blvd. St. Louis, MO 63105
APT 05D</v>
      </c>
      <c r="H80" s="61" t="str">
        <f>IFERROR(__xludf.DUMMYFUNCTION("""COMPUTED_VALUE"""),"Storage Item Return")</f>
        <v>Storage Item Return</v>
      </c>
      <c r="I80" s="61" t="str">
        <f>IFERROR(__xludf.DUMMYFUNCTION("""COMPUTED_VALUE"""),"Non-University Housing ")</f>
        <v>Non-University Housing </v>
      </c>
      <c r="J80" s="107" t="str">
        <f>IFERROR(__xludf.DUMMYFUNCTION("""COMPUTED_VALUE"""),"09:00 AM to 11:00 AM   ")</f>
        <v>09:00 AM to 11:00 AM   </v>
      </c>
      <c r="K80" s="107">
        <f>IFERROR(__xludf.DUMMYFUNCTION("""COMPUTED_VALUE"""),45890.0)</f>
        <v>45890</v>
      </c>
      <c r="L80" s="61"/>
      <c r="M80" s="61"/>
      <c r="N80" s="61" t="str">
        <f>IFERROR(__xludf.DUMMYFUNCTION("""COMPUTED_VALUE"""),"665 S Skinker Blvd. St. Louis, MO 63105
APT 05D")</f>
        <v>665 S Skinker Blvd. St. Louis, MO 63105
APT 05D</v>
      </c>
      <c r="O80" s="61"/>
      <c r="P80" s="61" t="b">
        <f>COUNTIF('Delivered SIR'!A:A, E80) &gt; 0</f>
        <v>0</v>
      </c>
    </row>
    <row r="81">
      <c r="A81" s="102" t="str">
        <f>IFERROR(__xludf.DUMMYFUNCTION("""COMPUTED_VALUE"""),"https://utrucking.com/admin/orders/5912870813884")</f>
        <v>https://utrucking.com/admin/orders/5912870813884</v>
      </c>
      <c r="B81" s="65" t="str">
        <f>IFERROR(__xludf.DUMMYFUNCTION("""COMPUTED_VALUE"""),"#15480")</f>
        <v>#15480</v>
      </c>
      <c r="C81" s="65" t="str">
        <f>IFERROR(__xludf.DUMMYFUNCTION("""COMPUTED_VALUE"""),"n.schwartz@wustl.edu")</f>
        <v>n.schwartz@wustl.edu</v>
      </c>
      <c r="D81" s="65">
        <f>IFERROR(__xludf.DUMMYFUNCTION("""COMPUTED_VALUE"""),3.104872592E9)</f>
        <v>3104872592</v>
      </c>
      <c r="E81" s="65" t="str">
        <f>IFERROR(__xludf.DUMMYFUNCTION("""COMPUTED_VALUE"""),"Claudia Schwartz")</f>
        <v>Claudia Schwartz</v>
      </c>
      <c r="F81" s="65"/>
      <c r="G81" s="65"/>
      <c r="H81" s="65" t="str">
        <f>IFERROR(__xludf.DUMMYFUNCTION("""COMPUTED_VALUE"""),"Storage Item Return")</f>
        <v>Storage Item Return</v>
      </c>
      <c r="I81" s="65" t="str">
        <f>IFERROR(__xludf.DUMMYFUNCTION("""COMPUTED_VALUE"""),"University Housing ")</f>
        <v>University Housing </v>
      </c>
      <c r="J81" s="108" t="str">
        <f>IFERROR(__xludf.DUMMYFUNCTION("""COMPUTED_VALUE"""),"09:00 AM to 11:00 AM   ")</f>
        <v>09:00 AM to 11:00 AM   </v>
      </c>
      <c r="K81" s="108">
        <f>IFERROR(__xludf.DUMMYFUNCTION("""COMPUTED_VALUE"""),45883.0)</f>
        <v>45883</v>
      </c>
      <c r="L81" s="65" t="str">
        <f>IFERROR(__xludf.DUMMYFUNCTION("""COMPUTED_VALUE"""),"Zetcher  ")</f>
        <v>Zetcher  </v>
      </c>
      <c r="M81" s="65" t="str">
        <f>IFERROR(__xludf.DUMMYFUNCTION("""COMPUTED_VALUE"""),"4124")</f>
        <v>4124</v>
      </c>
      <c r="N81" s="65"/>
      <c r="O81" s="65"/>
      <c r="P81" s="65" t="b">
        <f>COUNTIF('Delivered SIR'!A:A, E81) &gt; 0</f>
        <v>0</v>
      </c>
    </row>
    <row r="82">
      <c r="A82" s="99" t="str">
        <f>IFERROR(__xludf.DUMMYFUNCTION("""COMPUTED_VALUE"""),"https://utrucking.com/admin/orders/5912878842044")</f>
        <v>https://utrucking.com/admin/orders/5912878842044</v>
      </c>
      <c r="B82" s="61" t="str">
        <f>IFERROR(__xludf.DUMMYFUNCTION("""COMPUTED_VALUE"""),"#15482")</f>
        <v>#15482</v>
      </c>
      <c r="C82" s="61" t="str">
        <f>IFERROR(__xludf.DUMMYFUNCTION("""COMPUTED_VALUE"""),"bride.bratty.1u@icloud.com")</f>
        <v>bride.bratty.1u@icloud.com</v>
      </c>
      <c r="D82" s="61">
        <f>IFERROR(__xludf.DUMMYFUNCTION("""COMPUTED_VALUE"""),8.173664556E9)</f>
        <v>8173664556</v>
      </c>
      <c r="E82" s="61" t="str">
        <f>IFERROR(__xludf.DUMMYFUNCTION("""COMPUTED_VALUE"""),"James Edwardsen")</f>
        <v>James Edwardsen</v>
      </c>
      <c r="F82" s="61"/>
      <c r="G82" s="61" t="str">
        <f>IFERROR(__xludf.DUMMYFUNCTION("""COMPUTED_VALUE"""),"608 Kingsland Avenue
St. Louis, MO 63130
Unit 2K-1")</f>
        <v>608 Kingsland Avenue
St. Louis, MO 63130
Unit 2K-1</v>
      </c>
      <c r="H82" s="61" t="str">
        <f>IFERROR(__xludf.DUMMYFUNCTION("""COMPUTED_VALUE"""),"Storage Item Return")</f>
        <v>Storage Item Return</v>
      </c>
      <c r="I82" s="61" t="str">
        <f>IFERROR(__xludf.DUMMYFUNCTION("""COMPUTED_VALUE"""),"Non-University Housing ")</f>
        <v>Non-University Housing </v>
      </c>
      <c r="J82" s="107" t="str">
        <f>IFERROR(__xludf.DUMMYFUNCTION("""COMPUTED_VALUE"""),"10:00 AM to 12:00 PM   ")</f>
        <v>10:00 AM to 12:00 PM   </v>
      </c>
      <c r="K82" s="107">
        <f>IFERROR(__xludf.DUMMYFUNCTION("""COMPUTED_VALUE"""),45891.0)</f>
        <v>45891</v>
      </c>
      <c r="L82" s="61"/>
      <c r="M82" s="61"/>
      <c r="N82" s="61" t="str">
        <f>IFERROR(__xludf.DUMMYFUNCTION("""COMPUTED_VALUE"""),"6603 University Drive")</f>
        <v>6603 University Drive</v>
      </c>
      <c r="O82" s="61"/>
      <c r="P82" s="61" t="b">
        <f>COUNTIF('Delivered SIR'!A:A, E82) &gt; 0</f>
        <v>0</v>
      </c>
    </row>
    <row r="83">
      <c r="A83" s="102" t="str">
        <f>IFERROR(__xludf.DUMMYFUNCTION("""COMPUTED_VALUE"""),"https://utrucking.com/admin/orders/5912909283516")</f>
        <v>https://utrucking.com/admin/orders/5912909283516</v>
      </c>
      <c r="B83" s="65" t="str">
        <f>IFERROR(__xludf.DUMMYFUNCTION("""COMPUTED_VALUE"""),"#15483")</f>
        <v>#15483</v>
      </c>
      <c r="C83" s="65" t="str">
        <f>IFERROR(__xludf.DUMMYFUNCTION("""COMPUTED_VALUE"""),"chendexter123@gmail.com")</f>
        <v>chendexter123@gmail.com</v>
      </c>
      <c r="D83" s="65">
        <f>IFERROR(__xludf.DUMMYFUNCTION("""COMPUTED_VALUE"""),4.693533725E9)</f>
        <v>4693533725</v>
      </c>
      <c r="E83" s="65" t="str">
        <f>IFERROR(__xludf.DUMMYFUNCTION("""COMPUTED_VALUE"""),"Dexter Chen")</f>
        <v>Dexter Chen</v>
      </c>
      <c r="F83" s="65"/>
      <c r="G83" s="65"/>
      <c r="H83" s="65" t="str">
        <f>IFERROR(__xludf.DUMMYFUNCTION("""COMPUTED_VALUE"""),"Storage Item Return")</f>
        <v>Storage Item Return</v>
      </c>
      <c r="I83" s="65" t="str">
        <f>IFERROR(__xludf.DUMMYFUNCTION("""COMPUTED_VALUE"""),"University Housing ")</f>
        <v>University Housing </v>
      </c>
      <c r="J83" s="108" t="str">
        <f>IFERROR(__xludf.DUMMYFUNCTION("""COMPUTED_VALUE"""),"09:00 AM to 11:00 AM   ")</f>
        <v>09:00 AM to 11:00 AM   </v>
      </c>
      <c r="K83" s="108">
        <f>IFERROR(__xludf.DUMMYFUNCTION("""COMPUTED_VALUE"""),45883.0)</f>
        <v>45883</v>
      </c>
      <c r="L83" s="65" t="str">
        <f>IFERROR(__xludf.DUMMYFUNCTION("""COMPUTED_VALUE"""),"Greenway Apartments  ")</f>
        <v>Greenway Apartments  </v>
      </c>
      <c r="M83" s="65" t="str">
        <f>IFERROR(__xludf.DUMMYFUNCTION("""COMPUTED_VALUE"""),"313B")</f>
        <v>313B</v>
      </c>
      <c r="N83" s="65"/>
      <c r="O83" s="65"/>
      <c r="P83" s="65" t="b">
        <f>COUNTIF('Delivered SIR'!A:A, E83) &gt; 0</f>
        <v>1</v>
      </c>
    </row>
    <row r="84">
      <c r="A84" s="99" t="str">
        <f>IFERROR(__xludf.DUMMYFUNCTION("""COMPUTED_VALUE"""),"https://utrucking.com/admin/orders/5912915706044")</f>
        <v>https://utrucking.com/admin/orders/5912915706044</v>
      </c>
      <c r="B84" s="61" t="str">
        <f>IFERROR(__xludf.DUMMYFUNCTION("""COMPUTED_VALUE"""),"#15485")</f>
        <v>#15485</v>
      </c>
      <c r="C84" s="61" t="str">
        <f>IFERROR(__xludf.DUMMYFUNCTION("""COMPUTED_VALUE"""),"jessicamakana@gmail.com")</f>
        <v>jessicamakana@gmail.com</v>
      </c>
      <c r="D84" s="61">
        <f>IFERROR(__xludf.DUMMYFUNCTION("""COMPUTED_VALUE"""),8.087454804E9)</f>
        <v>8087454804</v>
      </c>
      <c r="E84" s="61" t="str">
        <f>IFERROR(__xludf.DUMMYFUNCTION("""COMPUTED_VALUE"""),"Jessica Erwin")</f>
        <v>Jessica Erwin</v>
      </c>
      <c r="F84" s="61"/>
      <c r="G84" s="61"/>
      <c r="H84" s="61" t="str">
        <f>IFERROR(__xludf.DUMMYFUNCTION("""COMPUTED_VALUE"""),"Storage Item Return")</f>
        <v>Storage Item Return</v>
      </c>
      <c r="I84" s="61" t="str">
        <f>IFERROR(__xludf.DUMMYFUNCTION("""COMPUTED_VALUE"""),"University Housing ")</f>
        <v>University Housing </v>
      </c>
      <c r="J84" s="107" t="str">
        <f>IFERROR(__xludf.DUMMYFUNCTION("""COMPUTED_VALUE"""),"09:00 AM to 11:00 AM   ")</f>
        <v>09:00 AM to 11:00 AM   </v>
      </c>
      <c r="K84" s="107">
        <f>IFERROR(__xludf.DUMMYFUNCTION("""COMPUTED_VALUE"""),45883.0)</f>
        <v>45883</v>
      </c>
      <c r="L84" s="61" t="str">
        <f>IFERROR(__xludf.DUMMYFUNCTION("""COMPUTED_VALUE"""),"Nemerov  ")</f>
        <v>Nemerov  </v>
      </c>
      <c r="M84" s="61" t="str">
        <f>IFERROR(__xludf.DUMMYFUNCTION("""COMPUTED_VALUE"""),"4043")</f>
        <v>4043</v>
      </c>
      <c r="N84" s="61"/>
      <c r="O84" s="61"/>
      <c r="P84" s="61" t="b">
        <f>COUNTIF('Delivered SIR'!A:A, E84) &gt; 0</f>
        <v>1</v>
      </c>
    </row>
    <row r="85">
      <c r="A85" s="102" t="str">
        <f>IFERROR(__xludf.DUMMYFUNCTION("""COMPUTED_VALUE"""),"https://utrucking.com/admin/orders/5913034653884")</f>
        <v>https://utrucking.com/admin/orders/5913034653884</v>
      </c>
      <c r="B85" s="65" t="str">
        <f>IFERROR(__xludf.DUMMYFUNCTION("""COMPUTED_VALUE"""),"#15489")</f>
        <v>#15489</v>
      </c>
      <c r="C85" s="65" t="str">
        <f>IFERROR(__xludf.DUMMYFUNCTION("""COMPUTED_VALUE"""),"17mnguy@gmail.com")</f>
        <v>17mnguy@gmail.com</v>
      </c>
      <c r="D85" s="65">
        <f>IFERROR(__xludf.DUMMYFUNCTION("""COMPUTED_VALUE"""),8.082568944E9)</f>
        <v>8082568944</v>
      </c>
      <c r="E85" s="65" t="str">
        <f>IFERROR(__xludf.DUMMYFUNCTION("""COMPUTED_VALUE"""),"Minh Nguyen")</f>
        <v>Minh Nguyen</v>
      </c>
      <c r="F85" s="65"/>
      <c r="G85" s="65"/>
      <c r="H85" s="65" t="str">
        <f>IFERROR(__xludf.DUMMYFUNCTION("""COMPUTED_VALUE"""),"Storage Item Return")</f>
        <v>Storage Item Return</v>
      </c>
      <c r="I85" s="65" t="str">
        <f>IFERROR(__xludf.DUMMYFUNCTION("""COMPUTED_VALUE"""),"University Housing ")</f>
        <v>University Housing </v>
      </c>
      <c r="J85" s="108" t="str">
        <f>IFERROR(__xludf.DUMMYFUNCTION("""COMPUTED_VALUE"""),"09:00 AM to 11:00 AM   ")</f>
        <v>09:00 AM to 11:00 AM   </v>
      </c>
      <c r="K85" s="108">
        <f>IFERROR(__xludf.DUMMYFUNCTION("""COMPUTED_VALUE"""),45883.0)</f>
        <v>45883</v>
      </c>
      <c r="L85" s="65" t="str">
        <f>IFERROR(__xludf.DUMMYFUNCTION("""COMPUTED_VALUE"""),"Beaumont  ")</f>
        <v>Beaumont  </v>
      </c>
      <c r="M85" s="65" t="str">
        <f>IFERROR(__xludf.DUMMYFUNCTION("""COMPUTED_VALUE"""),"309 a")</f>
        <v>309 a</v>
      </c>
      <c r="N85" s="65"/>
      <c r="O85" s="65"/>
      <c r="P85" s="65" t="b">
        <f>COUNTIF('Delivered SIR'!A:A, E85) &gt; 0</f>
        <v>0</v>
      </c>
    </row>
    <row r="86">
      <c r="A86" s="99" t="str">
        <f>IFERROR(__xludf.DUMMYFUNCTION("""COMPUTED_VALUE"""),"https://utrucking.com/admin/orders/5913061261500")</f>
        <v>https://utrucking.com/admin/orders/5913061261500</v>
      </c>
      <c r="B86" s="61" t="str">
        <f>IFERROR(__xludf.DUMMYFUNCTION("""COMPUTED_VALUE"""),"#15493")</f>
        <v>#15493</v>
      </c>
      <c r="C86" s="61"/>
      <c r="D86" s="61">
        <f>IFERROR(__xludf.DUMMYFUNCTION("""COMPUTED_VALUE"""),4.127734502E9)</f>
        <v>4127734502</v>
      </c>
      <c r="E86" s="61" t="str">
        <f>IFERROR(__xludf.DUMMYFUNCTION("""COMPUTED_VALUE"""),"Uma Simhan")</f>
        <v>Uma Simhan</v>
      </c>
      <c r="F86" s="61"/>
      <c r="G86" s="61"/>
      <c r="H86" s="61" t="str">
        <f>IFERROR(__xludf.DUMMYFUNCTION("""COMPUTED_VALUE"""),"Storage Item Return")</f>
        <v>Storage Item Return</v>
      </c>
      <c r="I86" s="61" t="str">
        <f>IFERROR(__xludf.DUMMYFUNCTION("""COMPUTED_VALUE"""),"University Housing ")</f>
        <v>University Housing </v>
      </c>
      <c r="J86" s="107" t="str">
        <f>IFERROR(__xludf.DUMMYFUNCTION("""COMPUTED_VALUE"""),"09:00 AM to 11:00 AM   ")</f>
        <v>09:00 AM to 11:00 AM   </v>
      </c>
      <c r="K86" s="107">
        <f>IFERROR(__xludf.DUMMYFUNCTION("""COMPUTED_VALUE"""),45883.0)</f>
        <v>45883</v>
      </c>
      <c r="L86" s="61" t="str">
        <f>IFERROR(__xludf.DUMMYFUNCTION("""COMPUTED_VALUE"""),"Greenway Apartments  ")</f>
        <v>Greenway Apartments  </v>
      </c>
      <c r="M86" s="61" t="str">
        <f>IFERROR(__xludf.DUMMYFUNCTION("""COMPUTED_VALUE"""),"124 C A")</f>
        <v>124 C A</v>
      </c>
      <c r="N86" s="61"/>
      <c r="O86" s="61"/>
      <c r="P86" s="61" t="b">
        <f>COUNTIF('Delivered SIR'!A:A, E86) &gt; 0</f>
        <v>1</v>
      </c>
    </row>
    <row r="87">
      <c r="A87" s="102" t="str">
        <f>IFERROR(__xludf.DUMMYFUNCTION("""COMPUTED_VALUE"""),"https://utrucking.com/admin/orders/5913061425340")</f>
        <v>https://utrucking.com/admin/orders/5913061425340</v>
      </c>
      <c r="B87" s="65" t="str">
        <f>IFERROR(__xludf.DUMMYFUNCTION("""COMPUTED_VALUE"""),"#15494")</f>
        <v>#15494</v>
      </c>
      <c r="C87" s="65" t="str">
        <f>IFERROR(__xludf.DUMMYFUNCTION("""COMPUTED_VALUE"""),"jsimhan16@gmail.com")</f>
        <v>jsimhan16@gmail.com</v>
      </c>
      <c r="D87" s="65">
        <f>IFERROR(__xludf.DUMMYFUNCTION("""COMPUTED_VALUE"""),4.122772357E9)</f>
        <v>4122772357</v>
      </c>
      <c r="E87" s="65" t="str">
        <f>IFERROR(__xludf.DUMMYFUNCTION("""COMPUTED_VALUE"""),"Jayanthi Simhan")</f>
        <v>Jayanthi Simhan</v>
      </c>
      <c r="F87" s="65"/>
      <c r="G87" s="65"/>
      <c r="H87" s="65" t="str">
        <f>IFERROR(__xludf.DUMMYFUNCTION("""COMPUTED_VALUE"""),"Storage Item Return")</f>
        <v>Storage Item Return</v>
      </c>
      <c r="I87" s="65" t="str">
        <f>IFERROR(__xludf.DUMMYFUNCTION("""COMPUTED_VALUE"""),"University Housing ")</f>
        <v>University Housing </v>
      </c>
      <c r="J87" s="108" t="str">
        <f>IFERROR(__xludf.DUMMYFUNCTION("""COMPUTED_VALUE"""),"09:00 AM to 11:00 AM   ")</f>
        <v>09:00 AM to 11:00 AM   </v>
      </c>
      <c r="K87" s="108">
        <f>IFERROR(__xludf.DUMMYFUNCTION("""COMPUTED_VALUE"""),45883.0)</f>
        <v>45883</v>
      </c>
      <c r="L87" s="65" t="str">
        <f>IFERROR(__xludf.DUMMYFUNCTION("""COMPUTED_VALUE"""),"Greenway Apartments  ")</f>
        <v>Greenway Apartments  </v>
      </c>
      <c r="M87" s="65" t="str">
        <f>IFERROR(__xludf.DUMMYFUNCTION("""COMPUTED_VALUE"""),"124Aa")</f>
        <v>124Aa</v>
      </c>
      <c r="N87" s="65"/>
      <c r="O87" s="65"/>
      <c r="P87" s="65" t="b">
        <f>COUNTIF('Delivered SIR'!A:A, E87) &gt; 0</f>
        <v>1</v>
      </c>
    </row>
    <row r="88">
      <c r="A88" s="99" t="str">
        <f>IFERROR(__xludf.DUMMYFUNCTION("""COMPUTED_VALUE"""),"https://utrucking.com/admin/orders/5913080987836")</f>
        <v>https://utrucking.com/admin/orders/5913080987836</v>
      </c>
      <c r="B88" s="61" t="str">
        <f>IFERROR(__xludf.DUMMYFUNCTION("""COMPUTED_VALUE"""),"#15497")</f>
        <v>#15497</v>
      </c>
      <c r="C88" s="61" t="str">
        <f>IFERROR(__xludf.DUMMYFUNCTION("""COMPUTED_VALUE"""),"gracetodd0613@gmail.com")</f>
        <v>gracetodd0613@gmail.com</v>
      </c>
      <c r="D88" s="61"/>
      <c r="E88" s="61" t="str">
        <f>IFERROR(__xludf.DUMMYFUNCTION("""COMPUTED_VALUE"""),"Grace Todd")</f>
        <v>Grace Todd</v>
      </c>
      <c r="F88" s="61"/>
      <c r="G88" s="61"/>
      <c r="H88" s="61" t="str">
        <f>IFERROR(__xludf.DUMMYFUNCTION("""COMPUTED_VALUE"""),"Storage Item Return")</f>
        <v>Storage Item Return</v>
      </c>
      <c r="I88" s="61" t="str">
        <f>IFERROR(__xludf.DUMMYFUNCTION("""COMPUTED_VALUE"""),"University Housing ")</f>
        <v>University Housing </v>
      </c>
      <c r="J88" s="107" t="str">
        <f>IFERROR(__xludf.DUMMYFUNCTION("""COMPUTED_VALUE"""),"09:00 AM to 11:00 AM   ")</f>
        <v>09:00 AM to 11:00 AM   </v>
      </c>
      <c r="K88" s="107">
        <f>IFERROR(__xludf.DUMMYFUNCTION("""COMPUTED_VALUE"""),45882.0)</f>
        <v>45882</v>
      </c>
      <c r="L88" s="61" t="str">
        <f>IFERROR(__xludf.DUMMYFUNCTION("""COMPUTED_VALUE"""),"Nemerov  ")</f>
        <v>Nemerov  </v>
      </c>
      <c r="M88" s="61" t="str">
        <f>IFERROR(__xludf.DUMMYFUNCTION("""COMPUTED_VALUE"""),"4063")</f>
        <v>4063</v>
      </c>
      <c r="N88" s="61"/>
      <c r="O88" s="61"/>
      <c r="P88" s="61" t="b">
        <f>COUNTIF('Delivered SIR'!A:A, E88) &gt; 0</f>
        <v>1</v>
      </c>
    </row>
    <row r="89">
      <c r="A89" s="102" t="str">
        <f>IFERROR(__xludf.DUMMYFUNCTION("""COMPUTED_VALUE"""),"https://utrucking.com/admin/orders/5913213173948")</f>
        <v>https://utrucking.com/admin/orders/5913213173948</v>
      </c>
      <c r="B89" s="65" t="str">
        <f>IFERROR(__xludf.DUMMYFUNCTION("""COMPUTED_VALUE"""),"#15507")</f>
        <v>#15507</v>
      </c>
      <c r="C89" s="65" t="str">
        <f>IFERROR(__xludf.DUMMYFUNCTION("""COMPUTED_VALUE"""),"w158675239@163.com")</f>
        <v>w158675239@163.com</v>
      </c>
      <c r="D89" s="65">
        <f>IFERROR(__xludf.DUMMYFUNCTION("""COMPUTED_VALUE"""),2.179796836E9)</f>
        <v>2179796836</v>
      </c>
      <c r="E89" s="65" t="str">
        <f>IFERROR(__xludf.DUMMYFUNCTION("""COMPUTED_VALUE"""),"Xiao Wu")</f>
        <v>Xiao Wu</v>
      </c>
      <c r="F89" s="65"/>
      <c r="G89" s="65"/>
      <c r="H89" s="65" t="str">
        <f>IFERROR(__xludf.DUMMYFUNCTION("""COMPUTED_VALUE"""),"Storage Item Return")</f>
        <v>Storage Item Return</v>
      </c>
      <c r="I89" s="65" t="str">
        <f>IFERROR(__xludf.DUMMYFUNCTION("""COMPUTED_VALUE"""),"University Housing ")</f>
        <v>University Housing </v>
      </c>
      <c r="J89" s="108" t="str">
        <f>IFERROR(__xludf.DUMMYFUNCTION("""COMPUTED_VALUE"""),"09:00 AM to 11:00 AM   ")</f>
        <v>09:00 AM to 11:00 AM   </v>
      </c>
      <c r="K89" s="108">
        <f>IFERROR(__xludf.DUMMYFUNCTION("""COMPUTED_VALUE"""),45883.0)</f>
        <v>45883</v>
      </c>
      <c r="L89" s="65" t="str">
        <f>IFERROR(__xludf.DUMMYFUNCTION("""COMPUTED_VALUE"""),"Loop Loft 6255  ")</f>
        <v>Loop Loft 6255  </v>
      </c>
      <c r="M89" s="65" t="str">
        <f>IFERROR(__xludf.DUMMYFUNCTION("""COMPUTED_VALUE"""),"309")</f>
        <v>309</v>
      </c>
      <c r="N89" s="65"/>
      <c r="O89" s="65"/>
      <c r="P89" s="65" t="b">
        <f>COUNTIF('Delivered SIR'!A:A, E89) &gt; 0</f>
        <v>1</v>
      </c>
    </row>
    <row r="90">
      <c r="A90" s="99" t="str">
        <f>IFERROR(__xludf.DUMMYFUNCTION("""COMPUTED_VALUE"""),"https://utrucking.com/admin/orders/5913445892284")</f>
        <v>https://utrucking.com/admin/orders/5913445892284</v>
      </c>
      <c r="B90" s="61" t="str">
        <f>IFERROR(__xludf.DUMMYFUNCTION("""COMPUTED_VALUE"""),"#15512")</f>
        <v>#15512</v>
      </c>
      <c r="C90" s="61" t="str">
        <f>IFERROR(__xludf.DUMMYFUNCTION("""COMPUTED_VALUE"""),"Cheetahsprint83264@gmail.com")</f>
        <v>Cheetahsprint83264@gmail.com</v>
      </c>
      <c r="D90" s="61"/>
      <c r="E90" s="61" t="str">
        <f>IFERROR(__xludf.DUMMYFUNCTION("""COMPUTED_VALUE"""),"Sarah Baek")</f>
        <v>Sarah Baek</v>
      </c>
      <c r="F90" s="61"/>
      <c r="G90" s="61"/>
      <c r="H90" s="61" t="str">
        <f>IFERROR(__xludf.DUMMYFUNCTION("""COMPUTED_VALUE"""),"Storage Item Return")</f>
        <v>Storage Item Return</v>
      </c>
      <c r="I90" s="61" t="str">
        <f>IFERROR(__xludf.DUMMYFUNCTION("""COMPUTED_VALUE"""),"University Housing ")</f>
        <v>University Housing </v>
      </c>
      <c r="J90" s="107" t="str">
        <f>IFERROR(__xludf.DUMMYFUNCTION("""COMPUTED_VALUE"""),"09:00 AM to 11:00 AM   ")</f>
        <v>09:00 AM to 11:00 AM   </v>
      </c>
      <c r="K90" s="107">
        <f>IFERROR(__xludf.DUMMYFUNCTION("""COMPUTED_VALUE"""),45883.0)</f>
        <v>45883</v>
      </c>
      <c r="L90" s="61" t="str">
        <f>IFERROR(__xludf.DUMMYFUNCTION("""COMPUTED_VALUE"""),"Village House  ")</f>
        <v>Village House  </v>
      </c>
      <c r="M90" s="61" t="str">
        <f>IFERROR(__xludf.DUMMYFUNCTION("""COMPUTED_VALUE"""),"2051 a")</f>
        <v>2051 a</v>
      </c>
      <c r="N90" s="61"/>
      <c r="O90" s="61"/>
      <c r="P90" s="61" t="b">
        <f>COUNTIF('Delivered SIR'!A:A, E90) &gt; 0</f>
        <v>1</v>
      </c>
    </row>
    <row r="91">
      <c r="A91" s="102" t="str">
        <f>IFERROR(__xludf.DUMMYFUNCTION("""COMPUTED_VALUE"""),"https://admin.shopify.com/store/utrucking/orders/5913466306748?link_source=search")</f>
        <v>https://admin.shopify.com/store/utrucking/orders/5913466306748?link_source=search</v>
      </c>
      <c r="B91" s="65" t="str">
        <f>IFERROR(__xludf.DUMMYFUNCTION("""COMPUTED_VALUE"""),"#15514")</f>
        <v>#15514</v>
      </c>
      <c r="C91" s="65" t="str">
        <f>IFERROR(__xludf.DUMMYFUNCTION("""COMPUTED_VALUE"""),"erleabi@icloud.com")</f>
        <v>erleabi@icloud.com</v>
      </c>
      <c r="D91" s="65"/>
      <c r="E91" s="65" t="str">
        <f>IFERROR(__xludf.DUMMYFUNCTION("""COMPUTED_VALUE"""),"Tamy Erle")</f>
        <v>Tamy Erle</v>
      </c>
      <c r="F91" s="65"/>
      <c r="G91" s="65" t="str">
        <f>IFERROR(__xludf.DUMMYFUNCTION("""COMPUTED_VALUE"""),"5484 Harvest Run Dr")</f>
        <v>5484 Harvest Run Dr</v>
      </c>
      <c r="H91" s="65" t="str">
        <f>IFERROR(__xludf.DUMMYFUNCTION("""COMPUTED_VALUE"""),"Storage Item Return")</f>
        <v>Storage Item Return</v>
      </c>
      <c r="I91" s="65" t="str">
        <f>IFERROR(__xludf.DUMMYFUNCTION("""COMPUTED_VALUE"""),"University Housing ")</f>
        <v>University Housing </v>
      </c>
      <c r="J91" s="108"/>
      <c r="K91" s="108">
        <f>IFERROR(__xludf.DUMMYFUNCTION("""COMPUTED_VALUE"""),45891.0)</f>
        <v>45891</v>
      </c>
      <c r="L91" s="65" t="str">
        <f>IFERROR(__xludf.DUMMYFUNCTION("""COMPUTED_VALUE"""),"Lopata")</f>
        <v>Lopata</v>
      </c>
      <c r="M91" s="65" t="str">
        <f>IFERROR(__xludf.DUMMYFUNCTION("""COMPUTED_VALUE"""),"1051")</f>
        <v>1051</v>
      </c>
      <c r="N91" s="65"/>
      <c r="O91" s="65"/>
      <c r="P91" s="65" t="b">
        <f>COUNTIF('Delivered SIR'!A:A, E91) &gt; 0</f>
        <v>0</v>
      </c>
    </row>
    <row r="92">
      <c r="A92" s="99" t="str">
        <f>IFERROR(__xludf.DUMMYFUNCTION("""COMPUTED_VALUE"""),"https://utrucking.com/admin/orders/5913481904316")</f>
        <v>https://utrucking.com/admin/orders/5913481904316</v>
      </c>
      <c r="B92" s="61" t="str">
        <f>IFERROR(__xludf.DUMMYFUNCTION("""COMPUTED_VALUE"""),"#15516")</f>
        <v>#15516</v>
      </c>
      <c r="C92" s="61" t="str">
        <f>IFERROR(__xludf.DUMMYFUNCTION("""COMPUTED_VALUE"""),"Catepink435@gmail.com")</f>
        <v>Catepink435@gmail.com</v>
      </c>
      <c r="D92" s="61">
        <f>IFERROR(__xludf.DUMMYFUNCTION("""COMPUTED_VALUE"""),2.03814425E9)</f>
        <v>2038144250</v>
      </c>
      <c r="E92" s="61" t="str">
        <f>IFERROR(__xludf.DUMMYFUNCTION("""COMPUTED_VALUE"""),"Cate Godwin")</f>
        <v>Cate Godwin</v>
      </c>
      <c r="F92" s="61"/>
      <c r="G92" s="61"/>
      <c r="H92" s="61" t="str">
        <f>IFERROR(__xludf.DUMMYFUNCTION("""COMPUTED_VALUE"""),"Storage Item Return")</f>
        <v>Storage Item Return</v>
      </c>
      <c r="I92" s="61" t="str">
        <f>IFERROR(__xludf.DUMMYFUNCTION("""COMPUTED_VALUE"""),"University Housing ")</f>
        <v>University Housing </v>
      </c>
      <c r="J92" s="107" t="str">
        <f>IFERROR(__xludf.DUMMYFUNCTION("""COMPUTED_VALUE"""),"09:00 AM to 11:00 AM   ")</f>
        <v>09:00 AM to 11:00 AM   </v>
      </c>
      <c r="K92" s="107">
        <f>IFERROR(__xludf.DUMMYFUNCTION("""COMPUTED_VALUE"""),45887.0)</f>
        <v>45887</v>
      </c>
      <c r="L92" s="61" t="str">
        <f>IFERROR(__xludf.DUMMYFUNCTION("""COMPUTED_VALUE"""),"Village East  ")</f>
        <v>Village East  </v>
      </c>
      <c r="M92" s="61" t="str">
        <f>IFERROR(__xludf.DUMMYFUNCTION("""COMPUTED_VALUE"""),"1114")</f>
        <v>1114</v>
      </c>
      <c r="N92" s="61"/>
      <c r="O92" s="61"/>
      <c r="P92" s="61" t="b">
        <f>COUNTIF('Delivered SIR'!A:A, E92) &gt; 0</f>
        <v>1</v>
      </c>
    </row>
    <row r="93">
      <c r="A93" s="102" t="str">
        <f>IFERROR(__xludf.DUMMYFUNCTION("""COMPUTED_VALUE"""),"https://utrucking.com/admin/orders/5913490489532")</f>
        <v>https://utrucking.com/admin/orders/5913490489532</v>
      </c>
      <c r="B93" s="65" t="str">
        <f>IFERROR(__xludf.DUMMYFUNCTION("""COMPUTED_VALUE"""),"#15517")</f>
        <v>#15517</v>
      </c>
      <c r="C93" s="65" t="str">
        <f>IFERROR(__xludf.DUMMYFUNCTION("""COMPUTED_VALUE"""),"jsebag1@gmail.com")</f>
        <v>jsebag1@gmail.com</v>
      </c>
      <c r="D93" s="65">
        <f>IFERROR(__xludf.DUMMYFUNCTION("""COMPUTED_VALUE"""),9.173731714E9)</f>
        <v>9173731714</v>
      </c>
      <c r="E93" s="65" t="str">
        <f>IFERROR(__xludf.DUMMYFUNCTION("""COMPUTED_VALUE"""),"Jordan Sebag")</f>
        <v>Jordan Sebag</v>
      </c>
      <c r="F93" s="65"/>
      <c r="G93" s="65"/>
      <c r="H93" s="65" t="str">
        <f>IFERROR(__xludf.DUMMYFUNCTION("""COMPUTED_VALUE"""),"Storage Item Return")</f>
        <v>Storage Item Return</v>
      </c>
      <c r="I93" s="65" t="str">
        <f>IFERROR(__xludf.DUMMYFUNCTION("""COMPUTED_VALUE"""),"University Housing ")</f>
        <v>University Housing </v>
      </c>
      <c r="J93" s="108" t="str">
        <f>IFERROR(__xludf.DUMMYFUNCTION("""COMPUTED_VALUE"""),"09:00 AM to 11:00 AM   ")</f>
        <v>09:00 AM to 11:00 AM   </v>
      </c>
      <c r="K93" s="108">
        <f>IFERROR(__xludf.DUMMYFUNCTION("""COMPUTED_VALUE"""),45883.0)</f>
        <v>45883</v>
      </c>
      <c r="L93" s="65" t="str">
        <f>IFERROR(__xludf.DUMMYFUNCTION("""COMPUTED_VALUE"""),"Village East  ")</f>
        <v>Village East  </v>
      </c>
      <c r="M93" s="65" t="str">
        <f>IFERROR(__xludf.DUMMYFUNCTION("""COMPUTED_VALUE"""),"1111")</f>
        <v>1111</v>
      </c>
      <c r="N93" s="65"/>
      <c r="O93" s="65"/>
      <c r="P93" s="65" t="b">
        <f>COUNTIF('Delivered SIR'!A:A, E93) &gt; 0</f>
        <v>1</v>
      </c>
    </row>
    <row r="94">
      <c r="A94" s="99" t="str">
        <f>IFERROR(__xludf.DUMMYFUNCTION("""COMPUTED_VALUE"""),"https://utrucking.com/admin/orders/5913500876988")</f>
        <v>https://utrucking.com/admin/orders/5913500876988</v>
      </c>
      <c r="B94" s="61" t="str">
        <f>IFERROR(__xludf.DUMMYFUNCTION("""COMPUTED_VALUE"""),"#15518")</f>
        <v>#15518</v>
      </c>
      <c r="C94" s="61"/>
      <c r="D94" s="61">
        <f>IFERROR(__xludf.DUMMYFUNCTION("""COMPUTED_VALUE"""),9.179219329E9)</f>
        <v>9179219329</v>
      </c>
      <c r="E94" s="61" t="str">
        <f>IFERROR(__xludf.DUMMYFUNCTION("""COMPUTED_VALUE"""),"Meredith Berkowitz")</f>
        <v>Meredith Berkowitz</v>
      </c>
      <c r="F94" s="61"/>
      <c r="G94" s="61"/>
      <c r="H94" s="61" t="str">
        <f>IFERROR(__xludf.DUMMYFUNCTION("""COMPUTED_VALUE"""),"Storage Item Return")</f>
        <v>Storage Item Return</v>
      </c>
      <c r="I94" s="61" t="str">
        <f>IFERROR(__xludf.DUMMYFUNCTION("""COMPUTED_VALUE"""),"University Housing ")</f>
        <v>University Housing </v>
      </c>
      <c r="J94" s="107" t="str">
        <f>IFERROR(__xludf.DUMMYFUNCTION("""COMPUTED_VALUE"""),"09:00 AM to 11:00 AM   ")</f>
        <v>09:00 AM to 11:00 AM   </v>
      </c>
      <c r="K94" s="107">
        <f>IFERROR(__xludf.DUMMYFUNCTION("""COMPUTED_VALUE"""),45892.0)</f>
        <v>45892</v>
      </c>
      <c r="L94" s="61" t="str">
        <f>IFERROR(__xludf.DUMMYFUNCTION("""COMPUTED_VALUE"""),"Greenway Apartments  ")</f>
        <v>Greenway Apartments  </v>
      </c>
      <c r="M94" s="61" t="str">
        <f>IFERROR(__xludf.DUMMYFUNCTION("""COMPUTED_VALUE"""),"202")</f>
        <v>202</v>
      </c>
      <c r="N94" s="61"/>
      <c r="O94" s="61"/>
      <c r="P94" s="61" t="b">
        <f>COUNTIF('Delivered SIR'!A:A, E94) &gt; 0</f>
        <v>0</v>
      </c>
    </row>
    <row r="95">
      <c r="A95" s="102" t="str">
        <f>IFERROR(__xludf.DUMMYFUNCTION("""COMPUTED_VALUE"""),"https://utrucking.com/admin/orders/5913501892796")</f>
        <v>https://utrucking.com/admin/orders/5913501892796</v>
      </c>
      <c r="B95" s="65" t="str">
        <f>IFERROR(__xludf.DUMMYFUNCTION("""COMPUTED_VALUE"""),"#15519")</f>
        <v>#15519</v>
      </c>
      <c r="C95" s="65" t="str">
        <f>IFERROR(__xludf.DUMMYFUNCTION("""COMPUTED_VALUE"""),"ellielaird@icloud.com")</f>
        <v>ellielaird@icloud.com</v>
      </c>
      <c r="D95" s="65">
        <f>IFERROR(__xludf.DUMMYFUNCTION("""COMPUTED_VALUE"""),2.145770454E9)</f>
        <v>2145770454</v>
      </c>
      <c r="E95" s="65" t="str">
        <f>IFERROR(__xludf.DUMMYFUNCTION("""COMPUTED_VALUE"""),"Ellie Laird")</f>
        <v>Ellie Laird</v>
      </c>
      <c r="F95" s="65"/>
      <c r="G95" s="65"/>
      <c r="H95" s="65" t="str">
        <f>IFERROR(__xludf.DUMMYFUNCTION("""COMPUTED_VALUE"""),"Storage Item Return")</f>
        <v>Storage Item Return</v>
      </c>
      <c r="I95" s="65" t="str">
        <f>IFERROR(__xludf.DUMMYFUNCTION("""COMPUTED_VALUE"""),"University Housing ")</f>
        <v>University Housing </v>
      </c>
      <c r="J95" s="108" t="str">
        <f>IFERROR(__xludf.DUMMYFUNCTION("""COMPUTED_VALUE"""),"09:00 AM to 11:00 AM   ")</f>
        <v>09:00 AM to 11:00 AM   </v>
      </c>
      <c r="K95" s="108">
        <f>IFERROR(__xludf.DUMMYFUNCTION("""COMPUTED_VALUE"""),45881.0)</f>
        <v>45881</v>
      </c>
      <c r="L95" s="65" t="str">
        <f>IFERROR(__xludf.DUMMYFUNCTION("""COMPUTED_VALUE"""),"Millbrook Bldg. 3  ")</f>
        <v>Millbrook Bldg. 3  </v>
      </c>
      <c r="M95" s="65" t="str">
        <f>IFERROR(__xludf.DUMMYFUNCTION("""COMPUTED_VALUE"""),"102")</f>
        <v>102</v>
      </c>
      <c r="N95" s="65"/>
      <c r="O95" s="65"/>
      <c r="P95" s="65" t="b">
        <f>COUNTIF('Delivered SIR'!A:A, E95) &gt; 0</f>
        <v>0</v>
      </c>
    </row>
    <row r="96">
      <c r="A96" s="99" t="str">
        <f>IFERROR(__xludf.DUMMYFUNCTION("""COMPUTED_VALUE"""),"https://utrucking.com/admin/orders/5913503269052")</f>
        <v>https://utrucking.com/admin/orders/5913503269052</v>
      </c>
      <c r="B96" s="61" t="str">
        <f>IFERROR(__xludf.DUMMYFUNCTION("""COMPUTED_VALUE"""),"#15520")</f>
        <v>#15520</v>
      </c>
      <c r="C96" s="61" t="str">
        <f>IFERROR(__xludf.DUMMYFUNCTION("""COMPUTED_VALUE"""),"e.f.lopez@wustl.edu")</f>
        <v>e.f.lopez@wustl.edu</v>
      </c>
      <c r="D96" s="61"/>
      <c r="E96" s="61" t="str">
        <f>IFERROR(__xludf.DUMMYFUNCTION("""COMPUTED_VALUE"""),"Emily Lopez")</f>
        <v>Emily Lopez</v>
      </c>
      <c r="F96" s="61"/>
      <c r="G96" s="61"/>
      <c r="H96" s="61" t="str">
        <f>IFERROR(__xludf.DUMMYFUNCTION("""COMPUTED_VALUE"""),"Storage Item Return")</f>
        <v>Storage Item Return</v>
      </c>
      <c r="I96" s="61" t="str">
        <f>IFERROR(__xludf.DUMMYFUNCTION("""COMPUTED_VALUE"""),"University Housing ")</f>
        <v>University Housing </v>
      </c>
      <c r="J96" s="107" t="str">
        <f>IFERROR(__xludf.DUMMYFUNCTION("""COMPUTED_VALUE"""),"09:00 AM to 11:00 AM   ")</f>
        <v>09:00 AM to 11:00 AM   </v>
      </c>
      <c r="K96" s="107">
        <f>IFERROR(__xludf.DUMMYFUNCTION("""COMPUTED_VALUE"""),45883.0)</f>
        <v>45883</v>
      </c>
      <c r="L96" s="61" t="str">
        <f>IFERROR(__xludf.DUMMYFUNCTION("""COMPUTED_VALUE"""),"Gregg  ")</f>
        <v>Gregg  </v>
      </c>
      <c r="M96" s="61" t="str">
        <f>IFERROR(__xludf.DUMMYFUNCTION("""COMPUTED_VALUE"""),"2021")</f>
        <v>2021</v>
      </c>
      <c r="N96" s="61"/>
      <c r="O96" s="61"/>
      <c r="P96" s="61" t="b">
        <f>COUNTIF('Delivered SIR'!A:A, E96) &gt; 0</f>
        <v>1</v>
      </c>
    </row>
    <row r="97">
      <c r="A97" s="102" t="str">
        <f>IFERROR(__xludf.DUMMYFUNCTION("""COMPUTED_VALUE"""),"https://utrucking.com/admin/orders/5913504612540")</f>
        <v>https://utrucking.com/admin/orders/5913504612540</v>
      </c>
      <c r="B97" s="65" t="str">
        <f>IFERROR(__xludf.DUMMYFUNCTION("""COMPUTED_VALUE"""),"#15521")</f>
        <v>#15521</v>
      </c>
      <c r="C97" s="65"/>
      <c r="D97" s="65">
        <f>IFERROR(__xludf.DUMMYFUNCTION("""COMPUTED_VALUE"""),3.142977831E9)</f>
        <v>3142977831</v>
      </c>
      <c r="E97" s="65" t="str">
        <f>IFERROR(__xludf.DUMMYFUNCTION("""COMPUTED_VALUE"""),"Yuan Wang")</f>
        <v>Yuan Wang</v>
      </c>
      <c r="F97" s="65"/>
      <c r="G97" s="65" t="str">
        <f>IFERROR(__xludf.DUMMYFUNCTION("""COMPUTED_VALUE"""),"7256 Pershing Avenue - A
University City, MO 63130
United States")</f>
        <v>7256 Pershing Avenue - A
University City, MO 63130
United States</v>
      </c>
      <c r="H97" s="65" t="str">
        <f>IFERROR(__xludf.DUMMYFUNCTION("""COMPUTED_VALUE"""),"Storage Item Return")</f>
        <v>Storage Item Return</v>
      </c>
      <c r="I97" s="65" t="str">
        <f>IFERROR(__xludf.DUMMYFUNCTION("""COMPUTED_VALUE"""),"Non-University Housing ")</f>
        <v>Non-University Housing </v>
      </c>
      <c r="J97" s="108" t="str">
        <f>IFERROR(__xludf.DUMMYFUNCTION("""COMPUTED_VALUE"""),"09:00 AM to 11:00 AM   ")</f>
        <v>09:00 AM to 11:00 AM   </v>
      </c>
      <c r="K97" s="108">
        <f>IFERROR(__xludf.DUMMYFUNCTION("""COMPUTED_VALUE"""),45891.0)</f>
        <v>45891</v>
      </c>
      <c r="L97" s="65"/>
      <c r="M97" s="65"/>
      <c r="N97" s="65" t="str">
        <f>IFERROR(__xludf.DUMMYFUNCTION("""COMPUTED_VALUE"""),"7256 Pershing Avenue - A
University City, MO 63130
United States")</f>
        <v>7256 Pershing Avenue - A
University City, MO 63130
United States</v>
      </c>
      <c r="O97" s="65"/>
      <c r="P97" s="65" t="b">
        <f>COUNTIF('Delivered SIR'!A:A, E97) &gt; 0</f>
        <v>0</v>
      </c>
    </row>
    <row r="98">
      <c r="A98" s="99" t="str">
        <f>IFERROR(__xludf.DUMMYFUNCTION("""COMPUTED_VALUE"""),"https://utrucking.com/admin/orders/5913505366204")</f>
        <v>https://utrucking.com/admin/orders/5913505366204</v>
      </c>
      <c r="B98" s="61" t="str">
        <f>IFERROR(__xludf.DUMMYFUNCTION("""COMPUTED_VALUE"""),"#15522")</f>
        <v>#15522</v>
      </c>
      <c r="C98" s="61" t="str">
        <f>IFERROR(__xludf.DUMMYFUNCTION("""COMPUTED_VALUE"""),"jencanter@gmail.com")</f>
        <v>jencanter@gmail.com</v>
      </c>
      <c r="D98" s="61">
        <f>IFERROR(__xludf.DUMMYFUNCTION("""COMPUTED_VALUE"""),9.147724856E9)</f>
        <v>9147724856</v>
      </c>
      <c r="E98" s="61" t="str">
        <f>IFERROR(__xludf.DUMMYFUNCTION("""COMPUTED_VALUE"""),"Jennifer Canter")</f>
        <v>Jennifer Canter</v>
      </c>
      <c r="F98" s="61"/>
      <c r="G98" s="61" t="str">
        <f>IFERROR(__xludf.DUMMYFUNCTION("""COMPUTED_VALUE"""),"6105 Delmar Blvd
Apt. 508
St. Louis MO 63112
CONTACT PHONE 914-772-4856 (Jennifer Canter - mother) ")</f>
        <v>6105 Delmar Blvd
Apt. 508
St. Louis MO 63112
CONTACT PHONE 914-772-4856 (Jennifer Canter - mother) </v>
      </c>
      <c r="H98" s="61" t="str">
        <f>IFERROR(__xludf.DUMMYFUNCTION("""COMPUTED_VALUE"""),"Storage Item Return")</f>
        <v>Storage Item Return</v>
      </c>
      <c r="I98" s="61" t="str">
        <f>IFERROR(__xludf.DUMMYFUNCTION("""COMPUTED_VALUE"""),"Non-University Housing ")</f>
        <v>Non-University Housing </v>
      </c>
      <c r="J98" s="107" t="str">
        <f>IFERROR(__xludf.DUMMYFUNCTION("""COMPUTED_VALUE"""),"03:00 PM to 05:00 PM ")</f>
        <v>03:00 PM to 05:00 PM </v>
      </c>
      <c r="K98" s="107">
        <f>IFERROR(__xludf.DUMMYFUNCTION("""COMPUTED_VALUE"""),45883.0)</f>
        <v>45883</v>
      </c>
      <c r="L98" s="61"/>
      <c r="M98" s="61"/>
      <c r="N98" s="61" t="str">
        <f>IFERROR(__xludf.DUMMYFUNCTION("""COMPUTED_VALUE"""),"6105 Delmar Blvd
Apt. 508
St. Louis MO 63112
CONTACT PHONE 914-772-4856 (Jennifer Canter - mother) ")</f>
        <v>6105 Delmar Blvd
Apt. 508
St. Louis MO 63112
CONTACT PHONE 914-772-4856 (Jennifer Canter - mother) </v>
      </c>
      <c r="O98" s="61"/>
      <c r="P98" s="61" t="b">
        <f>COUNTIF('Delivered SIR'!A:A, E98) &gt; 0</f>
        <v>0</v>
      </c>
    </row>
    <row r="99">
      <c r="A99" s="102" t="str">
        <f>IFERROR(__xludf.DUMMYFUNCTION("""COMPUTED_VALUE"""),"https://utrucking.com/admin/orders/5913520472252")</f>
        <v>https://utrucking.com/admin/orders/5913520472252</v>
      </c>
      <c r="B99" s="65" t="str">
        <f>IFERROR(__xludf.DUMMYFUNCTION("""COMPUTED_VALUE"""),"#15524")</f>
        <v>#15524</v>
      </c>
      <c r="C99" s="65" t="str">
        <f>IFERROR(__xludf.DUMMYFUNCTION("""COMPUTED_VALUE"""),"ego.oyler@icloud.com")</f>
        <v>ego.oyler@icloud.com</v>
      </c>
      <c r="D99" s="65">
        <f>IFERROR(__xludf.DUMMYFUNCTION("""COMPUTED_VALUE"""),7.732307431E9)</f>
        <v>7732307431</v>
      </c>
      <c r="E99" s="65" t="str">
        <f>IFERROR(__xludf.DUMMYFUNCTION("""COMPUTED_VALUE"""),"Randall Oyler")</f>
        <v>Randall Oyler</v>
      </c>
      <c r="F99" s="65"/>
      <c r="G99" s="65"/>
      <c r="H99" s="65" t="str">
        <f>IFERROR(__xludf.DUMMYFUNCTION("""COMPUTED_VALUE"""),"Storage Item Return")</f>
        <v>Storage Item Return</v>
      </c>
      <c r="I99" s="65" t="str">
        <f>IFERROR(__xludf.DUMMYFUNCTION("""COMPUTED_VALUE"""),"University Housing ")</f>
        <v>University Housing </v>
      </c>
      <c r="J99" s="108" t="str">
        <f>IFERROR(__xludf.DUMMYFUNCTION("""COMPUTED_VALUE"""),"09:00 AM to 11:00 AM   ")</f>
        <v>09:00 AM to 11:00 AM   </v>
      </c>
      <c r="K99" s="108">
        <f>IFERROR(__xludf.DUMMYFUNCTION("""COMPUTED_VALUE"""),45881.0)</f>
        <v>45881</v>
      </c>
      <c r="L99" s="65" t="str">
        <f>IFERROR(__xludf.DUMMYFUNCTION("""COMPUTED_VALUE"""),"Nemerov  ")</f>
        <v>Nemerov  </v>
      </c>
      <c r="M99" s="65" t="str">
        <f>IFERROR(__xludf.DUMMYFUNCTION("""COMPUTED_VALUE"""),"Nemerov - 1011 - a")</f>
        <v>Nemerov - 1011 - a</v>
      </c>
      <c r="N99" s="65"/>
      <c r="O99" s="65"/>
      <c r="P99" s="65" t="b">
        <f>COUNTIF('Delivered SIR'!A:A, E99) &gt; 0</f>
        <v>0</v>
      </c>
    </row>
    <row r="100">
      <c r="A100" s="99" t="str">
        <f>IFERROR(__xludf.DUMMYFUNCTION("""COMPUTED_VALUE"""),"https://utrucking.com/admin/orders/5913535086780")</f>
        <v>https://utrucking.com/admin/orders/5913535086780</v>
      </c>
      <c r="B100" s="61" t="str">
        <f>IFERROR(__xludf.DUMMYFUNCTION("""COMPUTED_VALUE"""),"#15525")</f>
        <v>#15525</v>
      </c>
      <c r="C100" s="61" t="str">
        <f>IFERROR(__xludf.DUMMYFUNCTION("""COMPUTED_VALUE"""),"isabelalanfranchi@gmail.com")</f>
        <v>isabelalanfranchi@gmail.com</v>
      </c>
      <c r="D100" s="61">
        <f>IFERROR(__xludf.DUMMYFUNCTION("""COMPUTED_VALUE"""),3.053021327E9)</f>
        <v>3053021327</v>
      </c>
      <c r="E100" s="61" t="str">
        <f>IFERROR(__xludf.DUMMYFUNCTION("""COMPUTED_VALUE"""),"Isabela S Lanfranchi")</f>
        <v>Isabela S Lanfranchi</v>
      </c>
      <c r="F100" s="61"/>
      <c r="G100" s="61"/>
      <c r="H100" s="61" t="str">
        <f>IFERROR(__xludf.DUMMYFUNCTION("""COMPUTED_VALUE"""),"Storage Item Return")</f>
        <v>Storage Item Return</v>
      </c>
      <c r="I100" s="61" t="str">
        <f>IFERROR(__xludf.DUMMYFUNCTION("""COMPUTED_VALUE"""),"University Housing ")</f>
        <v>University Housing </v>
      </c>
      <c r="J100" s="107" t="str">
        <f>IFERROR(__xludf.DUMMYFUNCTION("""COMPUTED_VALUE"""),"09:00 AM to 11:00 AM   ")</f>
        <v>09:00 AM to 11:00 AM   </v>
      </c>
      <c r="K100" s="107">
        <f>IFERROR(__xludf.DUMMYFUNCTION("""COMPUTED_VALUE"""),45883.0)</f>
        <v>45883</v>
      </c>
      <c r="L100" s="61" t="str">
        <f>IFERROR(__xludf.DUMMYFUNCTION("""COMPUTED_VALUE"""),"Lopata  ")</f>
        <v>Lopata  </v>
      </c>
      <c r="M100" s="61" t="str">
        <f>IFERROR(__xludf.DUMMYFUNCTION("""COMPUTED_VALUE"""),"1053-a")</f>
        <v>1053-a</v>
      </c>
      <c r="N100" s="61"/>
      <c r="O100" s="61"/>
      <c r="P100" s="61" t="b">
        <f>COUNTIF('Delivered SIR'!A:A, E100) &gt; 0</f>
        <v>0</v>
      </c>
    </row>
    <row r="101">
      <c r="A101" s="102" t="str">
        <f>IFERROR(__xludf.DUMMYFUNCTION("""COMPUTED_VALUE"""),"https://utrucking.com/admin/orders/5913552388284")</f>
        <v>https://utrucking.com/admin/orders/5913552388284</v>
      </c>
      <c r="B101" s="65" t="str">
        <f>IFERROR(__xludf.DUMMYFUNCTION("""COMPUTED_VALUE"""),"#15527")</f>
        <v>#15527</v>
      </c>
      <c r="C101" s="65" t="str">
        <f>IFERROR(__xludf.DUMMYFUNCTION("""COMPUTED_VALUE"""),"k.j.krauss@wustl.edu")</f>
        <v>k.j.krauss@wustl.edu</v>
      </c>
      <c r="D101" s="65" t="str">
        <f>IFERROR(__xludf.DUMMYFUNCTION("""COMPUTED_VALUE"""),"1 (917) 873-8450")</f>
        <v>1 (917) 873-8450</v>
      </c>
      <c r="E101" s="65" t="str">
        <f>IFERROR(__xludf.DUMMYFUNCTION("""COMPUTED_VALUE"""),"Heidi Krauss")</f>
        <v>Heidi Krauss</v>
      </c>
      <c r="F101" s="65"/>
      <c r="G101" s="65"/>
      <c r="H101" s="65" t="str">
        <f>IFERROR(__xludf.DUMMYFUNCTION("""COMPUTED_VALUE"""),"Storage Item Return")</f>
        <v>Storage Item Return</v>
      </c>
      <c r="I101" s="65" t="str">
        <f>IFERROR(__xludf.DUMMYFUNCTION("""COMPUTED_VALUE"""),"University Housing ")</f>
        <v>University Housing </v>
      </c>
      <c r="J101" s="108" t="str">
        <f>IFERROR(__xludf.DUMMYFUNCTION("""COMPUTED_VALUE"""),"09:00 AM to 11:00 AM   ")</f>
        <v>09:00 AM to 11:00 AM   </v>
      </c>
      <c r="K101" s="108">
        <f>IFERROR(__xludf.DUMMYFUNCTION("""COMPUTED_VALUE"""),45883.0)</f>
        <v>45883</v>
      </c>
      <c r="L101" s="65" t="str">
        <f>IFERROR(__xludf.DUMMYFUNCTION("""COMPUTED_VALUE"""),"Millbrook Bldg. 3  ")</f>
        <v>Millbrook Bldg. 3  </v>
      </c>
      <c r="M101" s="65" t="str">
        <f>IFERROR(__xludf.DUMMYFUNCTION("""COMPUTED_VALUE"""),"301B-a")</f>
        <v>301B-a</v>
      </c>
      <c r="N101" s="65"/>
      <c r="O101" s="65"/>
      <c r="P101" s="65" t="b">
        <f>COUNTIF('Delivered SIR'!A:A, E101) &gt; 0</f>
        <v>0</v>
      </c>
    </row>
    <row r="102">
      <c r="A102" s="99" t="str">
        <f>IFERROR(__xludf.DUMMYFUNCTION("""COMPUTED_VALUE"""),"https://utrucking.com/admin/orders/5913577259196")</f>
        <v>https://utrucking.com/admin/orders/5913577259196</v>
      </c>
      <c r="B102" s="61" t="str">
        <f>IFERROR(__xludf.DUMMYFUNCTION("""COMPUTED_VALUE"""),"#15530")</f>
        <v>#15530</v>
      </c>
      <c r="C102" s="61" t="str">
        <f>IFERROR(__xludf.DUMMYFUNCTION("""COMPUTED_VALUE"""),"g.jager@wustl.edu")</f>
        <v>g.jager@wustl.edu</v>
      </c>
      <c r="D102" s="61" t="str">
        <f>IFERROR(__xludf.DUMMYFUNCTION("""COMPUTED_VALUE"""),"(909) 289-0030")</f>
        <v>(909) 289-0030</v>
      </c>
      <c r="E102" s="61" t="str">
        <f>IFERROR(__xludf.DUMMYFUNCTION("""COMPUTED_VALUE"""),"Gabriella Jager")</f>
        <v>Gabriella Jager</v>
      </c>
      <c r="F102" s="61"/>
      <c r="G102" s="61"/>
      <c r="H102" s="61" t="str">
        <f>IFERROR(__xludf.DUMMYFUNCTION("""COMPUTED_VALUE"""),"Storage Item Return")</f>
        <v>Storage Item Return</v>
      </c>
      <c r="I102" s="61" t="str">
        <f>IFERROR(__xludf.DUMMYFUNCTION("""COMPUTED_VALUE"""),"University Housing ")</f>
        <v>University Housing </v>
      </c>
      <c r="J102" s="107" t="str">
        <f>IFERROR(__xludf.DUMMYFUNCTION("""COMPUTED_VALUE"""),"09:00 AM to 11:00 AM   ")</f>
        <v>09:00 AM to 11:00 AM   </v>
      </c>
      <c r="K102" s="107">
        <f>IFERROR(__xludf.DUMMYFUNCTION("""COMPUTED_VALUE"""),45876.0)</f>
        <v>45876</v>
      </c>
      <c r="L102" s="61" t="str">
        <f>IFERROR(__xludf.DUMMYFUNCTION("""COMPUTED_VALUE"""),"Shanedling  ")</f>
        <v>Shanedling  </v>
      </c>
      <c r="M102" s="61" t="str">
        <f>IFERROR(__xludf.DUMMYFUNCTION("""COMPUTED_VALUE"""),"143")</f>
        <v>143</v>
      </c>
      <c r="N102" s="61"/>
      <c r="O102" s="61"/>
      <c r="P102" s="61" t="b">
        <f>COUNTIF('Delivered SIR'!A:A, E102) &gt; 0</f>
        <v>0</v>
      </c>
    </row>
    <row r="103">
      <c r="A103" s="102" t="str">
        <f>IFERROR(__xludf.DUMMYFUNCTION("""COMPUTED_VALUE"""),"https://utrucking.com/admin/orders/5913582665916")</f>
        <v>https://utrucking.com/admin/orders/5913582665916</v>
      </c>
      <c r="B103" s="65" t="str">
        <f>IFERROR(__xludf.DUMMYFUNCTION("""COMPUTED_VALUE"""),"#15531")</f>
        <v>#15531</v>
      </c>
      <c r="C103" s="65" t="str">
        <f>IFERROR(__xludf.DUMMYFUNCTION("""COMPUTED_VALUE"""),"jensilbert1@gmail.com")</f>
        <v>jensilbert1@gmail.com</v>
      </c>
      <c r="D103" s="65">
        <f>IFERROR(__xludf.DUMMYFUNCTION("""COMPUTED_VALUE"""),9.178415578E9)</f>
        <v>9178415578</v>
      </c>
      <c r="E103" s="65" t="str">
        <f>IFERROR(__xludf.DUMMYFUNCTION("""COMPUTED_VALUE"""),"Jennifer Silbert")</f>
        <v>Jennifer Silbert</v>
      </c>
      <c r="F103" s="65"/>
      <c r="G103" s="65"/>
      <c r="H103" s="65" t="str">
        <f>IFERROR(__xludf.DUMMYFUNCTION("""COMPUTED_VALUE"""),"Storage Item Return")</f>
        <v>Storage Item Return</v>
      </c>
      <c r="I103" s="65" t="str">
        <f>IFERROR(__xludf.DUMMYFUNCTION("""COMPUTED_VALUE"""),"University Housing ")</f>
        <v>University Housing </v>
      </c>
      <c r="J103" s="108" t="str">
        <f>IFERROR(__xludf.DUMMYFUNCTION("""COMPUTED_VALUE"""),"09:00 AM to 11:00 AM   ")</f>
        <v>09:00 AM to 11:00 AM   </v>
      </c>
      <c r="K103" s="108">
        <f>IFERROR(__xludf.DUMMYFUNCTION("""COMPUTED_VALUE"""),45883.0)</f>
        <v>45883</v>
      </c>
      <c r="L103" s="65" t="str">
        <f>IFERROR(__xludf.DUMMYFUNCTION("""COMPUTED_VALUE"""),"Lopata  ")</f>
        <v>Lopata  </v>
      </c>
      <c r="M103" s="65" t="str">
        <f>IFERROR(__xludf.DUMMYFUNCTION("""COMPUTED_VALUE"""),"3052-a")</f>
        <v>3052-a</v>
      </c>
      <c r="N103" s="65"/>
      <c r="O103" s="65"/>
      <c r="P103" s="65" t="b">
        <f>COUNTIF('Delivered SIR'!A:A, E103) &gt; 0</f>
        <v>0</v>
      </c>
    </row>
    <row r="104">
      <c r="A104" s="99" t="str">
        <f>IFERROR(__xludf.DUMMYFUNCTION("""COMPUTED_VALUE"""),"https://utrucking.com/admin/orders/5913604882620")</f>
        <v>https://utrucking.com/admin/orders/5913604882620</v>
      </c>
      <c r="B104" s="61" t="str">
        <f>IFERROR(__xludf.DUMMYFUNCTION("""COMPUTED_VALUE"""),"#15532")</f>
        <v>#15532</v>
      </c>
      <c r="C104" s="61" t="str">
        <f>IFERROR(__xludf.DUMMYFUNCTION("""COMPUTED_VALUE"""),"clr19594@gmail.com")</f>
        <v>clr19594@gmail.com</v>
      </c>
      <c r="D104" s="61">
        <f>IFERROR(__xludf.DUMMYFUNCTION("""COMPUTED_VALUE"""),9.293024005E9)</f>
        <v>9293024005</v>
      </c>
      <c r="E104" s="61" t="str">
        <f>IFERROR(__xludf.DUMMYFUNCTION("""COMPUTED_VALUE"""),"Cooper Rodriguez")</f>
        <v>Cooper Rodriguez</v>
      </c>
      <c r="F104" s="61"/>
      <c r="G104" s="61"/>
      <c r="H104" s="61" t="str">
        <f>IFERROR(__xludf.DUMMYFUNCTION("""COMPUTED_VALUE"""),"Storage Item Return")</f>
        <v>Storage Item Return</v>
      </c>
      <c r="I104" s="61" t="str">
        <f>IFERROR(__xludf.DUMMYFUNCTION("""COMPUTED_VALUE"""),"University Housing ")</f>
        <v>University Housing </v>
      </c>
      <c r="J104" s="107" t="str">
        <f>IFERROR(__xludf.DUMMYFUNCTION("""COMPUTED_VALUE"""),"09:00 AM to 11:00 AM   ")</f>
        <v>09:00 AM to 11:00 AM   </v>
      </c>
      <c r="K104" s="107">
        <f>IFERROR(__xludf.DUMMYFUNCTION("""COMPUTED_VALUE"""),45883.0)</f>
        <v>45883</v>
      </c>
      <c r="L104" s="61" t="str">
        <f>IFERROR(__xludf.DUMMYFUNCTION("""COMPUTED_VALUE"""),"Eliot B  ")</f>
        <v>Eliot B  </v>
      </c>
      <c r="M104" s="61" t="str">
        <f>IFERROR(__xludf.DUMMYFUNCTION("""COMPUTED_VALUE"""),"1104-a")</f>
        <v>1104-a</v>
      </c>
      <c r="N104" s="61"/>
      <c r="O104" s="61"/>
      <c r="P104" s="61" t="b">
        <f>COUNTIF('Delivered SIR'!A:A, E104) &gt; 0</f>
        <v>1</v>
      </c>
    </row>
    <row r="105">
      <c r="A105" s="102" t="str">
        <f>IFERROR(__xludf.DUMMYFUNCTION("""COMPUTED_VALUE"""),"https://utrucking.com/admin/orders/5913656131772")</f>
        <v>https://utrucking.com/admin/orders/5913656131772</v>
      </c>
      <c r="B105" s="65" t="str">
        <f>IFERROR(__xludf.DUMMYFUNCTION("""COMPUTED_VALUE"""),"#15533")</f>
        <v>#15533</v>
      </c>
      <c r="C105" s="65" t="str">
        <f>IFERROR(__xludf.DUMMYFUNCTION("""COMPUTED_VALUE"""),"b.knadjian@wustl.edu")</f>
        <v>b.knadjian@wustl.edu</v>
      </c>
      <c r="D105" s="65">
        <f>IFERROR(__xludf.DUMMYFUNCTION("""COMPUTED_VALUE"""),3.104678536E9)</f>
        <v>3104678536</v>
      </c>
      <c r="E105" s="65" t="str">
        <f>IFERROR(__xludf.DUMMYFUNCTION("""COMPUTED_VALUE"""),"Bella Knadjian")</f>
        <v>Bella Knadjian</v>
      </c>
      <c r="F105" s="65"/>
      <c r="G105" s="65"/>
      <c r="H105" s="65" t="str">
        <f>IFERROR(__xludf.DUMMYFUNCTION("""COMPUTED_VALUE"""),"Storage Item Return")</f>
        <v>Storage Item Return</v>
      </c>
      <c r="I105" s="65" t="str">
        <f>IFERROR(__xludf.DUMMYFUNCTION("""COMPUTED_VALUE"""),"University Housing ")</f>
        <v>University Housing </v>
      </c>
      <c r="J105" s="108" t="str">
        <f>IFERROR(__xludf.DUMMYFUNCTION("""COMPUTED_VALUE"""),"09:00 AM to 11:00 AM   ")</f>
        <v>09:00 AM to 11:00 AM   </v>
      </c>
      <c r="K105" s="108">
        <f>IFERROR(__xludf.DUMMYFUNCTION("""COMPUTED_VALUE"""),45883.0)</f>
        <v>45883</v>
      </c>
      <c r="L105" s="65" t="str">
        <f>IFERROR(__xludf.DUMMYFUNCTION("""COMPUTED_VALUE"""),"Village East  ")</f>
        <v>Village East  </v>
      </c>
      <c r="M105" s="65" t="str">
        <f>IFERROR(__xludf.DUMMYFUNCTION("""COMPUTED_VALUE"""),"2123 - a")</f>
        <v>2123 - a</v>
      </c>
      <c r="N105" s="65"/>
      <c r="O105" s="65"/>
      <c r="P105" s="65" t="b">
        <f>COUNTIF('Delivered SIR'!A:A, E105) &gt; 0</f>
        <v>0</v>
      </c>
    </row>
    <row r="106">
      <c r="A106" s="99" t="str">
        <f>IFERROR(__xludf.DUMMYFUNCTION("""COMPUTED_VALUE"""),"https://utrucking.com/admin/orders/5913659113660")</f>
        <v>https://utrucking.com/admin/orders/5913659113660</v>
      </c>
      <c r="B106" s="61" t="str">
        <f>IFERROR(__xludf.DUMMYFUNCTION("""COMPUTED_VALUE"""),"#15534")</f>
        <v>#15534</v>
      </c>
      <c r="C106" s="61" t="str">
        <f>IFERROR(__xludf.DUMMYFUNCTION("""COMPUTED_VALUE"""),"a.cherish@wustl.edu")</f>
        <v>a.cherish@wustl.edu</v>
      </c>
      <c r="D106" s="61">
        <f>IFERROR(__xludf.DUMMYFUNCTION("""COMPUTED_VALUE"""),8.325713206E9)</f>
        <v>8325713206</v>
      </c>
      <c r="E106" s="61" t="str">
        <f>IFERROR(__xludf.DUMMYFUNCTION("""COMPUTED_VALUE"""),"Cherish Amby-Okolo")</f>
        <v>Cherish Amby-Okolo</v>
      </c>
      <c r="F106" s="61"/>
      <c r="G106" s="61"/>
      <c r="H106" s="61" t="str">
        <f>IFERROR(__xludf.DUMMYFUNCTION("""COMPUTED_VALUE"""),"Storage Item Return")</f>
        <v>Storage Item Return</v>
      </c>
      <c r="I106" s="61" t="str">
        <f>IFERROR(__xludf.DUMMYFUNCTION("""COMPUTED_VALUE"""),"University Housing ")</f>
        <v>University Housing </v>
      </c>
      <c r="J106" s="107" t="str">
        <f>IFERROR(__xludf.DUMMYFUNCTION("""COMPUTED_VALUE"""),"09:00 AM to 11:00 AM   ")</f>
        <v>09:00 AM to 11:00 AM   </v>
      </c>
      <c r="K106" s="107">
        <f>IFERROR(__xludf.DUMMYFUNCTION("""COMPUTED_VALUE"""),45883.0)</f>
        <v>45883</v>
      </c>
      <c r="L106" s="61" t="str">
        <f>IFERROR(__xludf.DUMMYFUNCTION("""COMPUTED_VALUE"""),"Eliot B  ")</f>
        <v>Eliot B  </v>
      </c>
      <c r="M106" s="61" t="str">
        <f>IFERROR(__xludf.DUMMYFUNCTION("""COMPUTED_VALUE"""),"1031")</f>
        <v>1031</v>
      </c>
      <c r="N106" s="61"/>
      <c r="O106" s="61"/>
      <c r="P106" s="61" t="b">
        <f>COUNTIF('Delivered SIR'!A:A, E106) &gt; 0</f>
        <v>1</v>
      </c>
    </row>
    <row r="107">
      <c r="A107" s="102" t="str">
        <f>IFERROR(__xludf.DUMMYFUNCTION("""COMPUTED_VALUE"""),"https://utrucking.com/admin/orders/5913664520380")</f>
        <v>https://utrucking.com/admin/orders/5913664520380</v>
      </c>
      <c r="B107" s="65" t="str">
        <f>IFERROR(__xludf.DUMMYFUNCTION("""COMPUTED_VALUE"""),"#15535")</f>
        <v>#15535</v>
      </c>
      <c r="C107" s="65" t="str">
        <f>IFERROR(__xludf.DUMMYFUNCTION("""COMPUTED_VALUE"""),"m.toledo@wustl.edu")</f>
        <v>m.toledo@wustl.edu</v>
      </c>
      <c r="D107" s="65"/>
      <c r="E107" s="65" t="str">
        <f>IFERROR(__xludf.DUMMYFUNCTION("""COMPUTED_VALUE"""),"Melyssah Melyssah")</f>
        <v>Melyssah Melyssah</v>
      </c>
      <c r="F107" s="65"/>
      <c r="G107" s="65"/>
      <c r="H107" s="65" t="str">
        <f>IFERROR(__xludf.DUMMYFUNCTION("""COMPUTED_VALUE"""),"Storage Item Return")</f>
        <v>Storage Item Return</v>
      </c>
      <c r="I107" s="65" t="str">
        <f>IFERROR(__xludf.DUMMYFUNCTION("""COMPUTED_VALUE"""),"University Housing ")</f>
        <v>University Housing </v>
      </c>
      <c r="J107" s="108" t="str">
        <f>IFERROR(__xludf.DUMMYFUNCTION("""COMPUTED_VALUE"""),"09:00 AM to 11:00 AM   ")</f>
        <v>09:00 AM to 11:00 AM   </v>
      </c>
      <c r="K107" s="108">
        <f>IFERROR(__xludf.DUMMYFUNCTION("""COMPUTED_VALUE"""),45883.0)</f>
        <v>45883</v>
      </c>
      <c r="L107" s="65" t="str">
        <f>IFERROR(__xludf.DUMMYFUNCTION("""COMPUTED_VALUE"""),"Mudd  ")</f>
        <v>Mudd  </v>
      </c>
      <c r="M107" s="65" t="str">
        <f>IFERROR(__xludf.DUMMYFUNCTION("""COMPUTED_VALUE"""),"324")</f>
        <v>324</v>
      </c>
      <c r="N107" s="65"/>
      <c r="O107" s="65"/>
      <c r="P107" s="65" t="b">
        <f>COUNTIF('Delivered SIR'!A:A, E107) &gt; 0</f>
        <v>0</v>
      </c>
    </row>
    <row r="108">
      <c r="A108" s="99" t="str">
        <f>IFERROR(__xludf.DUMMYFUNCTION("""COMPUTED_VALUE"""),"https://utrucking.com/admin/orders/5913682542780")</f>
        <v>https://utrucking.com/admin/orders/5913682542780</v>
      </c>
      <c r="B108" s="61" t="str">
        <f>IFERROR(__xludf.DUMMYFUNCTION("""COMPUTED_VALUE"""),"#15537")</f>
        <v>#15537</v>
      </c>
      <c r="C108" s="61" t="str">
        <f>IFERROR(__xludf.DUMMYFUNCTION("""COMPUTED_VALUE"""),"raeruthkaplan@gmail.com")</f>
        <v>raeruthkaplan@gmail.com</v>
      </c>
      <c r="D108" s="61"/>
      <c r="E108" s="61" t="str">
        <f>IFERROR(__xludf.DUMMYFUNCTION("""COMPUTED_VALUE"""),"Jessica Kaplan")</f>
        <v>Jessica Kaplan</v>
      </c>
      <c r="F108" s="61"/>
      <c r="G108" s="61"/>
      <c r="H108" s="61" t="str">
        <f>IFERROR(__xludf.DUMMYFUNCTION("""COMPUTED_VALUE"""),"Storage Item Return")</f>
        <v>Storage Item Return</v>
      </c>
      <c r="I108" s="61" t="str">
        <f>IFERROR(__xludf.DUMMYFUNCTION("""COMPUTED_VALUE"""),"University Housing ")</f>
        <v>University Housing </v>
      </c>
      <c r="J108" s="107" t="str">
        <f>IFERROR(__xludf.DUMMYFUNCTION("""COMPUTED_VALUE"""),"09:00 AM to 11:00 AM   ")</f>
        <v>09:00 AM to 11:00 AM   </v>
      </c>
      <c r="K108" s="107">
        <f>IFERROR(__xludf.DUMMYFUNCTION("""COMPUTED_VALUE"""),45883.0)</f>
        <v>45883</v>
      </c>
      <c r="L108" s="61" t="str">
        <f>IFERROR(__xludf.DUMMYFUNCTION("""COMPUTED_VALUE"""),"Millbrook Bldg. 1  ")</f>
        <v>Millbrook Bldg. 1  </v>
      </c>
      <c r="M108" s="61" t="str">
        <f>IFERROR(__xludf.DUMMYFUNCTION("""COMPUTED_VALUE"""),"104B")</f>
        <v>104B</v>
      </c>
      <c r="N108" s="61"/>
      <c r="O108" s="61"/>
      <c r="P108" s="61" t="b">
        <f>COUNTIF('Delivered SIR'!A:A, E108) &gt; 0</f>
        <v>0</v>
      </c>
    </row>
    <row r="109">
      <c r="A109" s="102" t="str">
        <f>IFERROR(__xludf.DUMMYFUNCTION("""COMPUTED_VALUE"""),"https://utrucking.com/admin/orders/5913694732476")</f>
        <v>https://utrucking.com/admin/orders/5913694732476</v>
      </c>
      <c r="B109" s="65" t="str">
        <f>IFERROR(__xludf.DUMMYFUNCTION("""COMPUTED_VALUE"""),"#15538")</f>
        <v>#15538</v>
      </c>
      <c r="C109" s="65" t="str">
        <f>IFERROR(__xludf.DUMMYFUNCTION("""COMPUTED_VALUE"""),"mayatylis@icloud.com")</f>
        <v>mayatylis@icloud.com</v>
      </c>
      <c r="D109" s="65">
        <f>IFERROR(__xludf.DUMMYFUNCTION("""COMPUTED_VALUE"""),3.47843139E9)</f>
        <v>3478431390</v>
      </c>
      <c r="E109" s="65" t="str">
        <f>IFERROR(__xludf.DUMMYFUNCTION("""COMPUTED_VALUE"""),"Maya Tylis")</f>
        <v>Maya Tylis</v>
      </c>
      <c r="F109" s="65"/>
      <c r="G109" s="65"/>
      <c r="H109" s="65" t="str">
        <f>IFERROR(__xludf.DUMMYFUNCTION("""COMPUTED_VALUE"""),"Storage Item Return")</f>
        <v>Storage Item Return</v>
      </c>
      <c r="I109" s="65" t="str">
        <f>IFERROR(__xludf.DUMMYFUNCTION("""COMPUTED_VALUE"""),"University Housing ")</f>
        <v>University Housing </v>
      </c>
      <c r="J109" s="108" t="str">
        <f>IFERROR(__xludf.DUMMYFUNCTION("""COMPUTED_VALUE"""),"09:00 AM to 11:00 AM   ")</f>
        <v>09:00 AM to 11:00 AM   </v>
      </c>
      <c r="K109" s="108">
        <f>IFERROR(__xludf.DUMMYFUNCTION("""COMPUTED_VALUE"""),45883.0)</f>
        <v>45883</v>
      </c>
      <c r="L109" s="65" t="str">
        <f>IFERROR(__xludf.DUMMYFUNCTION("""COMPUTED_VALUE"""),"Liggett  ")</f>
        <v>Liggett  </v>
      </c>
      <c r="M109" s="65" t="str">
        <f>IFERROR(__xludf.DUMMYFUNCTION("""COMPUTED_VALUE"""),"2273")</f>
        <v>2273</v>
      </c>
      <c r="N109" s="65"/>
      <c r="O109" s="65"/>
      <c r="P109" s="65" t="b">
        <f>COUNTIF('Delivered SIR'!A:A, E109) &gt; 0</f>
        <v>1</v>
      </c>
    </row>
    <row r="110">
      <c r="A110" s="99" t="str">
        <f>IFERROR(__xludf.DUMMYFUNCTION("""COMPUTED_VALUE"""),"https://utrucking.com/admin/orders/5913743425724")</f>
        <v>https://utrucking.com/admin/orders/5913743425724</v>
      </c>
      <c r="B110" s="61" t="str">
        <f>IFERROR(__xludf.DUMMYFUNCTION("""COMPUTED_VALUE"""),"#15542")</f>
        <v>#15542</v>
      </c>
      <c r="C110" s="61" t="str">
        <f>IFERROR(__xludf.DUMMYFUNCTION("""COMPUTED_VALUE"""),"elisa.considine@gmail.com")</f>
        <v>elisa.considine@gmail.com</v>
      </c>
      <c r="D110" s="61">
        <f>IFERROR(__xludf.DUMMYFUNCTION("""COMPUTED_VALUE"""),1.9139728857E10)</f>
        <v>19139728857</v>
      </c>
      <c r="E110" s="61" t="str">
        <f>IFERROR(__xludf.DUMMYFUNCTION("""COMPUTED_VALUE"""),"Elisa Considine")</f>
        <v>Elisa Considine</v>
      </c>
      <c r="F110" s="61"/>
      <c r="G110" s="61"/>
      <c r="H110" s="61" t="str">
        <f>IFERROR(__xludf.DUMMYFUNCTION("""COMPUTED_VALUE"""),"Storage Item Return")</f>
        <v>Storage Item Return</v>
      </c>
      <c r="I110" s="61" t="str">
        <f>IFERROR(__xludf.DUMMYFUNCTION("""COMPUTED_VALUE"""),"University Housing ")</f>
        <v>University Housing </v>
      </c>
      <c r="J110" s="107" t="str">
        <f>IFERROR(__xludf.DUMMYFUNCTION("""COMPUTED_VALUE"""),"09:00 AM to 11:00 AM   ")</f>
        <v>09:00 AM to 11:00 AM   </v>
      </c>
      <c r="K110" s="107">
        <f>IFERROR(__xludf.DUMMYFUNCTION("""COMPUTED_VALUE"""),45883.0)</f>
        <v>45883</v>
      </c>
      <c r="L110" s="61" t="str">
        <f>IFERROR(__xludf.DUMMYFUNCTION("""COMPUTED_VALUE"""),"Loop Loft 6263  ")</f>
        <v>Loop Loft 6263  </v>
      </c>
      <c r="M110" s="61" t="str">
        <f>IFERROR(__xludf.DUMMYFUNCTION("""COMPUTED_VALUE"""),"307B- Room A")</f>
        <v>307B- Room A</v>
      </c>
      <c r="N110" s="61"/>
      <c r="O110" s="61"/>
      <c r="P110" s="61" t="b">
        <f>COUNTIF('Delivered SIR'!A:A, E110) &gt; 0</f>
        <v>0</v>
      </c>
    </row>
    <row r="111">
      <c r="A111" s="102" t="str">
        <f>IFERROR(__xludf.DUMMYFUNCTION("""COMPUTED_VALUE"""),"https://utrucking.com/admin/orders/5913743884476")</f>
        <v>https://utrucking.com/admin/orders/5913743884476</v>
      </c>
      <c r="B111" s="65" t="str">
        <f>IFERROR(__xludf.DUMMYFUNCTION("""COMPUTED_VALUE"""),"#15543")</f>
        <v>#15543</v>
      </c>
      <c r="C111" s="65" t="str">
        <f>IFERROR(__xludf.DUMMYFUNCTION("""COMPUTED_VALUE"""),"a.y.xu@wustl.edu")</f>
        <v>a.y.xu@wustl.edu</v>
      </c>
      <c r="D111" s="65">
        <f>IFERROR(__xludf.DUMMYFUNCTION("""COMPUTED_VALUE"""),8.323291499E9)</f>
        <v>8323291499</v>
      </c>
      <c r="E111" s="65" t="str">
        <f>IFERROR(__xludf.DUMMYFUNCTION("""COMPUTED_VALUE"""),"Alice Xu")</f>
        <v>Alice Xu</v>
      </c>
      <c r="F111" s="65"/>
      <c r="G111" s="65"/>
      <c r="H111" s="65" t="str">
        <f>IFERROR(__xludf.DUMMYFUNCTION("""COMPUTED_VALUE"""),"Storage Item Return")</f>
        <v>Storage Item Return</v>
      </c>
      <c r="I111" s="65" t="str">
        <f>IFERROR(__xludf.DUMMYFUNCTION("""COMPUTED_VALUE"""),"University Housing ")</f>
        <v>University Housing </v>
      </c>
      <c r="J111" s="108" t="str">
        <f>IFERROR(__xludf.DUMMYFUNCTION("""COMPUTED_VALUE"""),"09:00 AM to 11:00 AM   ")</f>
        <v>09:00 AM to 11:00 AM   </v>
      </c>
      <c r="K111" s="108">
        <f>IFERROR(__xludf.DUMMYFUNCTION("""COMPUTED_VALUE"""),45883.0)</f>
        <v>45883</v>
      </c>
      <c r="L111" s="65" t="str">
        <f>IFERROR(__xludf.DUMMYFUNCTION("""COMPUTED_VALUE"""),"Lopata  ")</f>
        <v>Lopata  </v>
      </c>
      <c r="M111" s="65" t="str">
        <f>IFERROR(__xludf.DUMMYFUNCTION("""COMPUTED_VALUE"""),"3142")</f>
        <v>3142</v>
      </c>
      <c r="N111" s="65"/>
      <c r="O111" s="65"/>
      <c r="P111" s="65" t="b">
        <f>COUNTIF('Delivered SIR'!A:A, E111) &gt; 0</f>
        <v>1</v>
      </c>
    </row>
    <row r="112">
      <c r="A112" s="99" t="str">
        <f>IFERROR(__xludf.DUMMYFUNCTION("""COMPUTED_VALUE"""),"https://utrucking.com/admin/orders/5913744801980")</f>
        <v>https://utrucking.com/admin/orders/5913744801980</v>
      </c>
      <c r="B112" s="61" t="str">
        <f>IFERROR(__xludf.DUMMYFUNCTION("""COMPUTED_VALUE"""),"#15544")</f>
        <v>#15544</v>
      </c>
      <c r="C112" s="61" t="str">
        <f>IFERROR(__xludf.DUMMYFUNCTION("""COMPUTED_VALUE"""),"ashah22@wustl.edu")</f>
        <v>ashah22@wustl.edu</v>
      </c>
      <c r="D112" s="61">
        <f>IFERROR(__xludf.DUMMYFUNCTION("""COMPUTED_VALUE"""),9.522200874E9)</f>
        <v>9522200874</v>
      </c>
      <c r="E112" s="61" t="str">
        <f>IFERROR(__xludf.DUMMYFUNCTION("""COMPUTED_VALUE"""),"Ayaan Shah")</f>
        <v>Ayaan Shah</v>
      </c>
      <c r="F112" s="61"/>
      <c r="G112" s="61"/>
      <c r="H112" s="61" t="str">
        <f>IFERROR(__xludf.DUMMYFUNCTION("""COMPUTED_VALUE"""),"Storage Item Return")</f>
        <v>Storage Item Return</v>
      </c>
      <c r="I112" s="61" t="str">
        <f>IFERROR(__xludf.DUMMYFUNCTION("""COMPUTED_VALUE"""),"University Housing ")</f>
        <v>University Housing </v>
      </c>
      <c r="J112" s="107" t="str">
        <f>IFERROR(__xludf.DUMMYFUNCTION("""COMPUTED_VALUE"""),"01:00 PM to 03:00 PM   ")</f>
        <v>01:00 PM to 03:00 PM   </v>
      </c>
      <c r="K112" s="107">
        <f>IFERROR(__xludf.DUMMYFUNCTION("""COMPUTED_VALUE"""),45891.0)</f>
        <v>45891</v>
      </c>
      <c r="L112" s="61" t="str">
        <f>IFERROR(__xludf.DUMMYFUNCTION("""COMPUTED_VALUE"""),"Mudd  ")</f>
        <v>Mudd  </v>
      </c>
      <c r="M112" s="61" t="str">
        <f>IFERROR(__xludf.DUMMYFUNCTION("""COMPUTED_VALUE"""),"362")</f>
        <v>362</v>
      </c>
      <c r="N112" s="61"/>
      <c r="O112" s="61"/>
      <c r="P112" s="61" t="b">
        <f>COUNTIF('Delivered SIR'!A:A, E112) &gt; 0</f>
        <v>0</v>
      </c>
    </row>
    <row r="113">
      <c r="A113" s="102" t="str">
        <f>IFERROR(__xludf.DUMMYFUNCTION("""COMPUTED_VALUE"""),"https://utrucking.com/admin/orders/5913759187132")</f>
        <v>https://utrucking.com/admin/orders/5913759187132</v>
      </c>
      <c r="B113" s="65" t="str">
        <f>IFERROR(__xludf.DUMMYFUNCTION("""COMPUTED_VALUE"""),"#15545")</f>
        <v>#15545</v>
      </c>
      <c r="C113" s="65" t="str">
        <f>IFERROR(__xludf.DUMMYFUNCTION("""COMPUTED_VALUE"""),"b.vidushi@wustl.edu")</f>
        <v>b.vidushi@wustl.edu</v>
      </c>
      <c r="D113" s="65"/>
      <c r="E113" s="65" t="str">
        <f>IFERROR(__xludf.DUMMYFUNCTION("""COMPUTED_VALUE"""),"Vidushi Binani")</f>
        <v>Vidushi Binani</v>
      </c>
      <c r="F113" s="65"/>
      <c r="G113" s="65"/>
      <c r="H113" s="65" t="str">
        <f>IFERROR(__xludf.DUMMYFUNCTION("""COMPUTED_VALUE"""),"Storage Item Return")</f>
        <v>Storage Item Return</v>
      </c>
      <c r="I113" s="65" t="str">
        <f>IFERROR(__xludf.DUMMYFUNCTION("""COMPUTED_VALUE"""),"University Housing ")</f>
        <v>University Housing </v>
      </c>
      <c r="J113" s="108" t="str">
        <f>IFERROR(__xludf.DUMMYFUNCTION("""COMPUTED_VALUE"""),"01:00 PM to 03:00 PM   ")</f>
        <v>01:00 PM to 03:00 PM   </v>
      </c>
      <c r="K113" s="108">
        <f>IFERROR(__xludf.DUMMYFUNCTION("""COMPUTED_VALUE"""),45878.0)</f>
        <v>45878</v>
      </c>
      <c r="L113" s="65" t="str">
        <f>IFERROR(__xludf.DUMMYFUNCTION("""COMPUTED_VALUE"""),"Liggett  ")</f>
        <v>Liggett  </v>
      </c>
      <c r="M113" s="65" t="str">
        <f>IFERROR(__xludf.DUMMYFUNCTION("""COMPUTED_VALUE"""),"3410")</f>
        <v>3410</v>
      </c>
      <c r="N113" s="65"/>
      <c r="O113" s="65"/>
      <c r="P113" s="65" t="b">
        <f>COUNTIF('Delivered SIR'!A:A, E113) &gt; 0</f>
        <v>1</v>
      </c>
    </row>
    <row r="114">
      <c r="A114" s="99" t="str">
        <f>IFERROR(__xludf.DUMMYFUNCTION("""COMPUTED_VALUE"""),"https://utrucking.com/admin/orders/5913769410748")</f>
        <v>https://utrucking.com/admin/orders/5913769410748</v>
      </c>
      <c r="B114" s="61" t="str">
        <f>IFERROR(__xludf.DUMMYFUNCTION("""COMPUTED_VALUE"""),"#15546")</f>
        <v>#15546</v>
      </c>
      <c r="C114" s="61" t="str">
        <f>IFERROR(__xludf.DUMMYFUNCTION("""COMPUTED_VALUE"""),"masonsmiller108@gmail.com")</f>
        <v>masonsmiller108@gmail.com</v>
      </c>
      <c r="D114" s="61">
        <f>IFERROR(__xludf.DUMMYFUNCTION("""COMPUTED_VALUE"""),4.439707907E9)</f>
        <v>4439707907</v>
      </c>
      <c r="E114" s="61" t="str">
        <f>IFERROR(__xludf.DUMMYFUNCTION("""COMPUTED_VALUE"""),"Mason Miller")</f>
        <v>Mason Miller</v>
      </c>
      <c r="F114" s="61"/>
      <c r="G114" s="61"/>
      <c r="H114" s="61" t="str">
        <f>IFERROR(__xludf.DUMMYFUNCTION("""COMPUTED_VALUE"""),"Storage Item Return")</f>
        <v>Storage Item Return</v>
      </c>
      <c r="I114" s="61" t="str">
        <f>IFERROR(__xludf.DUMMYFUNCTION("""COMPUTED_VALUE"""),"University Housing ")</f>
        <v>University Housing </v>
      </c>
      <c r="J114" s="107" t="str">
        <f>IFERROR(__xludf.DUMMYFUNCTION("""COMPUTED_VALUE"""),"09:00 AM to 11:00 AM   ")</f>
        <v>09:00 AM to 11:00 AM   </v>
      </c>
      <c r="K114" s="107">
        <f>IFERROR(__xludf.DUMMYFUNCTION("""COMPUTED_VALUE"""),45883.0)</f>
        <v>45883</v>
      </c>
      <c r="L114" s="61" t="str">
        <f>IFERROR(__xludf.DUMMYFUNCTION("""COMPUTED_VALUE"""),"Lopata  ")</f>
        <v>Lopata  </v>
      </c>
      <c r="M114" s="61" t="str">
        <f>IFERROR(__xludf.DUMMYFUNCTION("""COMPUTED_VALUE"""),"3092-a")</f>
        <v>3092-a</v>
      </c>
      <c r="N114" s="61"/>
      <c r="O114" s="61"/>
      <c r="P114" s="61" t="b">
        <f>COUNTIF('Delivered SIR'!A:A, E114) &gt; 0</f>
        <v>1</v>
      </c>
    </row>
    <row r="115">
      <c r="A115" s="102" t="str">
        <f>IFERROR(__xludf.DUMMYFUNCTION("""COMPUTED_VALUE"""),"https://utrucking.com/admin/orders/5913784549564")</f>
        <v>https://utrucking.com/admin/orders/5913784549564</v>
      </c>
      <c r="B115" s="65" t="str">
        <f>IFERROR(__xludf.DUMMYFUNCTION("""COMPUTED_VALUE"""),"#15548")</f>
        <v>#15548</v>
      </c>
      <c r="C115" s="65" t="str">
        <f>IFERROR(__xludf.DUMMYFUNCTION("""COMPUTED_VALUE"""),"l.a.marlowe@wustl.edu")</f>
        <v>l.a.marlowe@wustl.edu</v>
      </c>
      <c r="D115" s="65">
        <f>IFERROR(__xludf.DUMMYFUNCTION("""COMPUTED_VALUE"""),9.178254484E9)</f>
        <v>9178254484</v>
      </c>
      <c r="E115" s="65" t="str">
        <f>IFERROR(__xludf.DUMMYFUNCTION("""COMPUTED_VALUE"""),"Staci Marlowe")</f>
        <v>Staci Marlowe</v>
      </c>
      <c r="F115" s="65"/>
      <c r="G115" s="65"/>
      <c r="H115" s="65" t="str">
        <f>IFERROR(__xludf.DUMMYFUNCTION("""COMPUTED_VALUE"""),"Storage Item Return")</f>
        <v>Storage Item Return</v>
      </c>
      <c r="I115" s="65" t="str">
        <f>IFERROR(__xludf.DUMMYFUNCTION("""COMPUTED_VALUE"""),"University Housing ")</f>
        <v>University Housing </v>
      </c>
      <c r="J115" s="108" t="str">
        <f>IFERROR(__xludf.DUMMYFUNCTION("""COMPUTED_VALUE"""),"09:00 AM to 11:00 AM   ")</f>
        <v>09:00 AM to 11:00 AM   </v>
      </c>
      <c r="K115" s="108">
        <f>IFERROR(__xludf.DUMMYFUNCTION("""COMPUTED_VALUE"""),45881.0)</f>
        <v>45881</v>
      </c>
      <c r="L115" s="65" t="str">
        <f>IFERROR(__xludf.DUMMYFUNCTION("""COMPUTED_VALUE"""),"Millbrook Bldg. 3  ")</f>
        <v>Millbrook Bldg. 3  </v>
      </c>
      <c r="M115" s="65" t="str">
        <f>IFERROR(__xludf.DUMMYFUNCTION("""COMPUTED_VALUE"""),"202")</f>
        <v>202</v>
      </c>
      <c r="N115" s="65"/>
      <c r="O115" s="65"/>
      <c r="P115" s="65" t="b">
        <f>COUNTIF('Delivered SIR'!A:A, E115) &gt; 0</f>
        <v>1</v>
      </c>
    </row>
    <row r="116">
      <c r="A116" s="99" t="str">
        <f>IFERROR(__xludf.DUMMYFUNCTION("""COMPUTED_VALUE"""),"https://utrucking.com/admin/orders/5913802866876")</f>
        <v>https://utrucking.com/admin/orders/5913802866876</v>
      </c>
      <c r="B116" s="61" t="str">
        <f>IFERROR(__xludf.DUMMYFUNCTION("""COMPUTED_VALUE"""),"#15549")</f>
        <v>#15549</v>
      </c>
      <c r="C116" s="61" t="str">
        <f>IFERROR(__xludf.DUMMYFUNCTION("""COMPUTED_VALUE"""),"grainne.deburca@nyu.edu")</f>
        <v>grainne.deburca@nyu.edu</v>
      </c>
      <c r="D116" s="61">
        <f>IFERROR(__xludf.DUMMYFUNCTION("""COMPUTED_VALUE"""),6.462475497E9)</f>
        <v>6462475497</v>
      </c>
      <c r="E116" s="61" t="str">
        <f>IFERROR(__xludf.DUMMYFUNCTION("""COMPUTED_VALUE"""),"Grainne de Burca")</f>
        <v>Grainne de Burca</v>
      </c>
      <c r="F116" s="61"/>
      <c r="G116" s="61"/>
      <c r="H116" s="61" t="str">
        <f>IFERROR(__xludf.DUMMYFUNCTION("""COMPUTED_VALUE"""),"Storage Item Return")</f>
        <v>Storage Item Return</v>
      </c>
      <c r="I116" s="61" t="str">
        <f>IFERROR(__xludf.DUMMYFUNCTION("""COMPUTED_VALUE"""),"University Housing ")</f>
        <v>University Housing </v>
      </c>
      <c r="J116" s="107" t="str">
        <f>IFERROR(__xludf.DUMMYFUNCTION("""COMPUTED_VALUE"""),"09:00 AM to 11:00 AM   ")</f>
        <v>09:00 AM to 11:00 AM   </v>
      </c>
      <c r="K116" s="107">
        <f>IFERROR(__xludf.DUMMYFUNCTION("""COMPUTED_VALUE"""),45883.0)</f>
        <v>45883</v>
      </c>
      <c r="L116" s="61" t="str">
        <f>IFERROR(__xludf.DUMMYFUNCTION("""COMPUTED_VALUE"""),"Gregg  ")</f>
        <v>Gregg  </v>
      </c>
      <c r="M116" s="61" t="str">
        <f>IFERROR(__xludf.DUMMYFUNCTION("""COMPUTED_VALUE"""),"3022-a")</f>
        <v>3022-a</v>
      </c>
      <c r="N116" s="61"/>
      <c r="O116" s="61"/>
      <c r="P116" s="61" t="b">
        <f>COUNTIF('Delivered SIR'!A:A, E116) &gt; 0</f>
        <v>0</v>
      </c>
    </row>
    <row r="117">
      <c r="A117" s="102" t="str">
        <f>IFERROR(__xludf.DUMMYFUNCTION("""COMPUTED_VALUE"""),"https://utrucking.com/admin/orders/5913804701884")</f>
        <v>https://utrucking.com/admin/orders/5913804701884</v>
      </c>
      <c r="B117" s="65" t="str">
        <f>IFERROR(__xludf.DUMMYFUNCTION("""COMPUTED_VALUE"""),"#15550")</f>
        <v>#15550</v>
      </c>
      <c r="C117" s="65" t="str">
        <f>IFERROR(__xludf.DUMMYFUNCTION("""COMPUTED_VALUE"""),"noasobel19@gmail.com")</f>
        <v>noasobel19@gmail.com</v>
      </c>
      <c r="D117" s="65">
        <f>IFERROR(__xludf.DUMMYFUNCTION("""COMPUTED_VALUE"""),6.092562682E9)</f>
        <v>6092562682</v>
      </c>
      <c r="E117" s="65" t="str">
        <f>IFERROR(__xludf.DUMMYFUNCTION("""COMPUTED_VALUE"""),"Karen Sobel")</f>
        <v>Karen Sobel</v>
      </c>
      <c r="F117" s="65"/>
      <c r="G117" s="65"/>
      <c r="H117" s="65" t="str">
        <f>IFERROR(__xludf.DUMMYFUNCTION("""COMPUTED_VALUE"""),"Storage Item Return")</f>
        <v>Storage Item Return</v>
      </c>
      <c r="I117" s="65" t="str">
        <f>IFERROR(__xludf.DUMMYFUNCTION("""COMPUTED_VALUE"""),"University Housing ")</f>
        <v>University Housing </v>
      </c>
      <c r="J117" s="108" t="str">
        <f>IFERROR(__xludf.DUMMYFUNCTION("""COMPUTED_VALUE"""),"09:00 AM to 11:00 AM   ")</f>
        <v>09:00 AM to 11:00 AM   </v>
      </c>
      <c r="K117" s="108">
        <f>IFERROR(__xludf.DUMMYFUNCTION("""COMPUTED_VALUE"""),45890.0)</f>
        <v>45890</v>
      </c>
      <c r="L117" s="65" t="str">
        <f>IFERROR(__xludf.DUMMYFUNCTION("""COMPUTED_VALUE"""),"Mudd  ")</f>
        <v>Mudd  </v>
      </c>
      <c r="M117" s="65" t="str">
        <f>IFERROR(__xludf.DUMMYFUNCTION("""COMPUTED_VALUE"""),"372")</f>
        <v>372</v>
      </c>
      <c r="N117" s="65"/>
      <c r="O117" s="65"/>
      <c r="P117" s="65" t="b">
        <f>COUNTIF('Delivered SIR'!A:A, E117) &gt; 0</f>
        <v>0</v>
      </c>
    </row>
    <row r="118">
      <c r="A118" s="99" t="str">
        <f>IFERROR(__xludf.DUMMYFUNCTION("""COMPUTED_VALUE"""),"https://utrucking.com/admin/orders/5913805488316")</f>
        <v>https://utrucking.com/admin/orders/5913805488316</v>
      </c>
      <c r="B118" s="61" t="str">
        <f>IFERROR(__xludf.DUMMYFUNCTION("""COMPUTED_VALUE"""),"#15551")</f>
        <v>#15551</v>
      </c>
      <c r="C118" s="61" t="str">
        <f>IFERROR(__xludf.DUMMYFUNCTION("""COMPUTED_VALUE"""),"l.speier@wustl.edu")</f>
        <v>l.speier@wustl.edu</v>
      </c>
      <c r="D118" s="61">
        <f>IFERROR(__xludf.DUMMYFUNCTION("""COMPUTED_VALUE"""),5.107081479E9)</f>
        <v>5107081479</v>
      </c>
      <c r="E118" s="61" t="str">
        <f>IFERROR(__xludf.DUMMYFUNCTION("""COMPUTED_VALUE"""),"Lucas Speier")</f>
        <v>Lucas Speier</v>
      </c>
      <c r="F118" s="61"/>
      <c r="G118" s="61"/>
      <c r="H118" s="61" t="str">
        <f>IFERROR(__xludf.DUMMYFUNCTION("""COMPUTED_VALUE"""),"Storage Item Return")</f>
        <v>Storage Item Return</v>
      </c>
      <c r="I118" s="61" t="str">
        <f>IFERROR(__xludf.DUMMYFUNCTION("""COMPUTED_VALUE"""),"University Housing ")</f>
        <v>University Housing </v>
      </c>
      <c r="J118" s="107" t="str">
        <f>IFERROR(__xludf.DUMMYFUNCTION("""COMPUTED_VALUE"""),"09:00 AM to 11:00 AM   ")</f>
        <v>09:00 AM to 11:00 AM   </v>
      </c>
      <c r="K118" s="107">
        <f>IFERROR(__xludf.DUMMYFUNCTION("""COMPUTED_VALUE"""),45881.0)</f>
        <v>45881</v>
      </c>
      <c r="L118" s="61" t="str">
        <f>IFERROR(__xludf.DUMMYFUNCTION("""COMPUTED_VALUE"""),"Eliot B  ")</f>
        <v>Eliot B  </v>
      </c>
      <c r="M118" s="61" t="str">
        <f>IFERROR(__xludf.DUMMYFUNCTION("""COMPUTED_VALUE"""),"4093")</f>
        <v>4093</v>
      </c>
      <c r="N118" s="61"/>
      <c r="O118" s="61"/>
      <c r="P118" s="61" t="b">
        <f>COUNTIF('Delivered SIR'!A:A, E118) &gt; 0</f>
        <v>1</v>
      </c>
    </row>
    <row r="119">
      <c r="A119" s="102" t="str">
        <f>IFERROR(__xludf.DUMMYFUNCTION("""COMPUTED_VALUE"""),"https://utrucking.com/admin/orders/5913809060028")</f>
        <v>https://utrucking.com/admin/orders/5913809060028</v>
      </c>
      <c r="B119" s="65" t="str">
        <f>IFERROR(__xludf.DUMMYFUNCTION("""COMPUTED_VALUE"""),"#15552")</f>
        <v>#15552</v>
      </c>
      <c r="C119" s="65" t="str">
        <f>IFERROR(__xludf.DUMMYFUNCTION("""COMPUTED_VALUE"""),"jfussell123@icloud.com")</f>
        <v>jfussell123@icloud.com</v>
      </c>
      <c r="D119" s="65">
        <f>IFERROR(__xludf.DUMMYFUNCTION("""COMPUTED_VALUE"""),1.5169028488E10)</f>
        <v>15169028488</v>
      </c>
      <c r="E119" s="65" t="str">
        <f>IFERROR(__xludf.DUMMYFUNCTION("""COMPUTED_VALUE"""),"Jenise Fussell")</f>
        <v>Jenise Fussell</v>
      </c>
      <c r="F119" s="65"/>
      <c r="G119" s="65"/>
      <c r="H119" s="65" t="str">
        <f>IFERROR(__xludf.DUMMYFUNCTION("""COMPUTED_VALUE"""),"Storage Item Return")</f>
        <v>Storage Item Return</v>
      </c>
      <c r="I119" s="65" t="str">
        <f>IFERROR(__xludf.DUMMYFUNCTION("""COMPUTED_VALUE"""),"University Housing ")</f>
        <v>University Housing </v>
      </c>
      <c r="J119" s="108" t="str">
        <f>IFERROR(__xludf.DUMMYFUNCTION("""COMPUTED_VALUE"""),"09:00 AM to 11:00 AM   ")</f>
        <v>09:00 AM to 11:00 AM   </v>
      </c>
      <c r="K119" s="108">
        <f>IFERROR(__xludf.DUMMYFUNCTION("""COMPUTED_VALUE"""),45883.0)</f>
        <v>45883</v>
      </c>
      <c r="L119" s="65" t="str">
        <f>IFERROR(__xludf.DUMMYFUNCTION("""COMPUTED_VALUE"""),"Liggett  ")</f>
        <v>Liggett  </v>
      </c>
      <c r="M119" s="65" t="str">
        <f>IFERROR(__xludf.DUMMYFUNCTION("""COMPUTED_VALUE"""),"4490")</f>
        <v>4490</v>
      </c>
      <c r="N119" s="65"/>
      <c r="O119" s="65"/>
      <c r="P119" s="65" t="b">
        <f>COUNTIF('Delivered SIR'!A:A, E119) &gt; 0</f>
        <v>1</v>
      </c>
    </row>
    <row r="120">
      <c r="A120" s="99" t="str">
        <f>IFERROR(__xludf.DUMMYFUNCTION("""COMPUTED_VALUE"""),"https://utrucking.com/admin/orders/5913811288252")</f>
        <v>https://utrucking.com/admin/orders/5913811288252</v>
      </c>
      <c r="B120" s="61" t="str">
        <f>IFERROR(__xludf.DUMMYFUNCTION("""COMPUTED_VALUE"""),"#15553")</f>
        <v>#15553</v>
      </c>
      <c r="C120" s="61" t="str">
        <f>IFERROR(__xludf.DUMMYFUNCTION("""COMPUTED_VALUE"""),"sofia.greenberg@icloud.com")</f>
        <v>sofia.greenberg@icloud.com</v>
      </c>
      <c r="D120" s="61"/>
      <c r="E120" s="61" t="str">
        <f>IFERROR(__xludf.DUMMYFUNCTION("""COMPUTED_VALUE"""),"Ana Greenberg")</f>
        <v>Ana Greenberg</v>
      </c>
      <c r="F120" s="61"/>
      <c r="G120" s="61"/>
      <c r="H120" s="61" t="str">
        <f>IFERROR(__xludf.DUMMYFUNCTION("""COMPUTED_VALUE"""),"Storage Item Return")</f>
        <v>Storage Item Return</v>
      </c>
      <c r="I120" s="61" t="str">
        <f>IFERROR(__xludf.DUMMYFUNCTION("""COMPUTED_VALUE"""),"University Housing ")</f>
        <v>University Housing </v>
      </c>
      <c r="J120" s="107" t="str">
        <f>IFERROR(__xludf.DUMMYFUNCTION("""COMPUTED_VALUE"""),"09:00 AM to 11:00 AM   ")</f>
        <v>09:00 AM to 11:00 AM   </v>
      </c>
      <c r="K120" s="107">
        <f>IFERROR(__xludf.DUMMYFUNCTION("""COMPUTED_VALUE"""),45887.0)</f>
        <v>45887</v>
      </c>
      <c r="L120" s="61" t="str">
        <f>IFERROR(__xludf.DUMMYFUNCTION("""COMPUTED_VALUE"""),"Eliot B  ")</f>
        <v>Eliot B  </v>
      </c>
      <c r="M120" s="61" t="str">
        <f>IFERROR(__xludf.DUMMYFUNCTION("""COMPUTED_VALUE"""),"3062")</f>
        <v>3062</v>
      </c>
      <c r="N120" s="61"/>
      <c r="O120" s="61"/>
      <c r="P120" s="61" t="b">
        <f>COUNTIF('Delivered SIR'!A:A, E120) &gt; 0</f>
        <v>0</v>
      </c>
    </row>
    <row r="121">
      <c r="A121" s="102" t="str">
        <f>IFERROR(__xludf.DUMMYFUNCTION("""COMPUTED_VALUE"""),"https://utrucking.com/admin/orders/5913815810236")</f>
        <v>https://utrucking.com/admin/orders/5913815810236</v>
      </c>
      <c r="B121" s="65" t="str">
        <f>IFERROR(__xludf.DUMMYFUNCTION("""COMPUTED_VALUE"""),"#15554")</f>
        <v>#15554</v>
      </c>
      <c r="C121" s="65" t="str">
        <f>IFERROR(__xludf.DUMMYFUNCTION("""COMPUTED_VALUE"""),"cbellejohnson@gmail.com")</f>
        <v>cbellejohnson@gmail.com</v>
      </c>
      <c r="D121" s="65">
        <f>IFERROR(__xludf.DUMMYFUNCTION("""COMPUTED_VALUE"""),1.4158479046E10)</f>
        <v>14158479046</v>
      </c>
      <c r="E121" s="65" t="str">
        <f>IFERROR(__xludf.DUMMYFUNCTION("""COMPUTED_VALUE"""),"Camille Johnson")</f>
        <v>Camille Johnson</v>
      </c>
      <c r="F121" s="65"/>
      <c r="G121" s="65"/>
      <c r="H121" s="65" t="str">
        <f>IFERROR(__xludf.DUMMYFUNCTION("""COMPUTED_VALUE"""),"Storage Item Return")</f>
        <v>Storage Item Return</v>
      </c>
      <c r="I121" s="65" t="str">
        <f>IFERROR(__xludf.DUMMYFUNCTION("""COMPUTED_VALUE"""),"University Housing ")</f>
        <v>University Housing </v>
      </c>
      <c r="J121" s="108" t="str">
        <f>IFERROR(__xludf.DUMMYFUNCTION("""COMPUTED_VALUE"""),"09:00 AM to 11:00 AM   ")</f>
        <v>09:00 AM to 11:00 AM   </v>
      </c>
      <c r="K121" s="108">
        <f>IFERROR(__xludf.DUMMYFUNCTION("""COMPUTED_VALUE"""),45883.0)</f>
        <v>45883</v>
      </c>
      <c r="L121" s="65" t="str">
        <f>IFERROR(__xludf.DUMMYFUNCTION("""COMPUTED_VALUE"""),"Wheeler  ")</f>
        <v>Wheeler  </v>
      </c>
      <c r="M121" s="65" t="str">
        <f>IFERROR(__xludf.DUMMYFUNCTION("""COMPUTED_VALUE"""),"4033")</f>
        <v>4033</v>
      </c>
      <c r="N121" s="65"/>
      <c r="O121" s="65"/>
      <c r="P121" s="65" t="b">
        <f>COUNTIF('Delivered SIR'!A:A, E121) &gt; 0</f>
        <v>1</v>
      </c>
    </row>
    <row r="122">
      <c r="A122" s="99" t="str">
        <f>IFERROR(__xludf.DUMMYFUNCTION("""COMPUTED_VALUE"""),"https://utrucking.com/admin/orders/5913829441724")</f>
        <v>https://utrucking.com/admin/orders/5913829441724</v>
      </c>
      <c r="B122" s="61" t="str">
        <f>IFERROR(__xludf.DUMMYFUNCTION("""COMPUTED_VALUE"""),"#15555")</f>
        <v>#15555</v>
      </c>
      <c r="C122" s="61"/>
      <c r="D122" s="61"/>
      <c r="E122" s="61" t="str">
        <f>IFERROR(__xludf.DUMMYFUNCTION("""COMPUTED_VALUE"""),"Andrew Smersfelt")</f>
        <v>Andrew Smersfelt</v>
      </c>
      <c r="F122" s="61"/>
      <c r="G122" s="61"/>
      <c r="H122" s="61" t="str">
        <f>IFERROR(__xludf.DUMMYFUNCTION("""COMPUTED_VALUE"""),"Storage Item Return")</f>
        <v>Storage Item Return</v>
      </c>
      <c r="I122" s="61" t="str">
        <f>IFERROR(__xludf.DUMMYFUNCTION("""COMPUTED_VALUE"""),"University Housing ")</f>
        <v>University Housing </v>
      </c>
      <c r="J122" s="107" t="str">
        <f>IFERROR(__xludf.DUMMYFUNCTION("""COMPUTED_VALUE"""),"09:00 AM to 11:00 AM   ")</f>
        <v>09:00 AM to 11:00 AM   </v>
      </c>
      <c r="K122" s="107">
        <f>IFERROR(__xludf.DUMMYFUNCTION("""COMPUTED_VALUE"""),45883.0)</f>
        <v>45883</v>
      </c>
      <c r="L122" s="61" t="str">
        <f>IFERROR(__xludf.DUMMYFUNCTION("""COMPUTED_VALUE"""),"Wheeler  ")</f>
        <v>Wheeler  </v>
      </c>
      <c r="M122" s="61" t="str">
        <f>IFERROR(__xludf.DUMMYFUNCTION("""COMPUTED_VALUE"""),"3112")</f>
        <v>3112</v>
      </c>
      <c r="N122" s="61"/>
      <c r="O122" s="61"/>
      <c r="P122" s="61" t="b">
        <f>COUNTIF('Delivered SIR'!A:A, E122) &gt; 0</f>
        <v>1</v>
      </c>
    </row>
    <row r="123">
      <c r="A123" s="102" t="str">
        <f>IFERROR(__xludf.DUMMYFUNCTION("""COMPUTED_VALUE"""),"https://utrucking.com/admin/orders/5913838387388")</f>
        <v>https://utrucking.com/admin/orders/5913838387388</v>
      </c>
      <c r="B123" s="65" t="str">
        <f>IFERROR(__xludf.DUMMYFUNCTION("""COMPUTED_VALUE"""),"#15556")</f>
        <v>#15556</v>
      </c>
      <c r="C123" s="65"/>
      <c r="D123" s="65"/>
      <c r="E123" s="65" t="str">
        <f>IFERROR(__xludf.DUMMYFUNCTION("""COMPUTED_VALUE"""),"Jacquelyn Stern")</f>
        <v>Jacquelyn Stern</v>
      </c>
      <c r="F123" s="65"/>
      <c r="G123" s="65"/>
      <c r="H123" s="65" t="str">
        <f>IFERROR(__xludf.DUMMYFUNCTION("""COMPUTED_VALUE"""),"Storage Item Return")</f>
        <v>Storage Item Return</v>
      </c>
      <c r="I123" s="65" t="str">
        <f>IFERROR(__xludf.DUMMYFUNCTION("""COMPUTED_VALUE"""),"University Housing ")</f>
        <v>University Housing </v>
      </c>
      <c r="J123" s="108" t="str">
        <f>IFERROR(__xludf.DUMMYFUNCTION("""COMPUTED_VALUE"""),"09:00 AM to 11:00 AM   ")</f>
        <v>09:00 AM to 11:00 AM   </v>
      </c>
      <c r="K123" s="108">
        <f>IFERROR(__xludf.DUMMYFUNCTION("""COMPUTED_VALUE"""),45883.0)</f>
        <v>45883</v>
      </c>
      <c r="L123" s="65" t="str">
        <f>IFERROR(__xludf.DUMMYFUNCTION("""COMPUTED_VALUE"""),"Zetcher  ")</f>
        <v>Zetcher  </v>
      </c>
      <c r="M123" s="65" t="str">
        <f>IFERROR(__xludf.DUMMYFUNCTION("""COMPUTED_VALUE"""),"3000")</f>
        <v>3000</v>
      </c>
      <c r="N123" s="65"/>
      <c r="O123" s="65"/>
      <c r="P123" s="65" t="b">
        <f>COUNTIF('Delivered SIR'!A:A, E123) &gt; 0</f>
        <v>0</v>
      </c>
    </row>
    <row r="124">
      <c r="A124" s="99" t="str">
        <f>IFERROR(__xludf.DUMMYFUNCTION("""COMPUTED_VALUE"""),"https://utrucking.com/admin/orders/5913843302588")</f>
        <v>https://utrucking.com/admin/orders/5913843302588</v>
      </c>
      <c r="B124" s="61" t="str">
        <f>IFERROR(__xludf.DUMMYFUNCTION("""COMPUTED_VALUE"""),"#15557")</f>
        <v>#15557</v>
      </c>
      <c r="C124" s="61" t="str">
        <f>IFERROR(__xludf.DUMMYFUNCTION("""COMPUTED_VALUE"""),"Benjaminkotch@icloud.com")</f>
        <v>Benjaminkotch@icloud.com</v>
      </c>
      <c r="D124" s="61">
        <f>IFERROR(__xludf.DUMMYFUNCTION("""COMPUTED_VALUE"""),8.455419984E9)</f>
        <v>8455419984</v>
      </c>
      <c r="E124" s="61" t="str">
        <f>IFERROR(__xludf.DUMMYFUNCTION("""COMPUTED_VALUE"""),"Benjamin Kotch")</f>
        <v>Benjamin Kotch</v>
      </c>
      <c r="F124" s="61"/>
      <c r="G124" s="61"/>
      <c r="H124" s="61" t="str">
        <f>IFERROR(__xludf.DUMMYFUNCTION("""COMPUTED_VALUE"""),"Storage Item Return")</f>
        <v>Storage Item Return</v>
      </c>
      <c r="I124" s="61" t="str">
        <f>IFERROR(__xludf.DUMMYFUNCTION("""COMPUTED_VALUE"""),"University Housing ")</f>
        <v>University Housing </v>
      </c>
      <c r="J124" s="107" t="str">
        <f>IFERROR(__xludf.DUMMYFUNCTION("""COMPUTED_VALUE"""),"03:00 PM to 05:00 PM ")</f>
        <v>03:00 PM to 05:00 PM </v>
      </c>
      <c r="K124" s="107">
        <f>IFERROR(__xludf.DUMMYFUNCTION("""COMPUTED_VALUE"""),45883.0)</f>
        <v>45883</v>
      </c>
      <c r="L124" s="61" t="str">
        <f>IFERROR(__xludf.DUMMYFUNCTION("""COMPUTED_VALUE"""),"Millbrook Bldg. 4  ")</f>
        <v>Millbrook Bldg. 4  </v>
      </c>
      <c r="M124" s="61" t="str">
        <f>IFERROR(__xludf.DUMMYFUNCTION("""COMPUTED_VALUE"""),"301B-A")</f>
        <v>301B-A</v>
      </c>
      <c r="N124" s="61"/>
      <c r="O124" s="61"/>
      <c r="P124" s="61" t="b">
        <f>COUNTIF('Delivered SIR'!A:A, E124) &gt; 0</f>
        <v>0</v>
      </c>
    </row>
    <row r="125">
      <c r="A125" s="102" t="str">
        <f>IFERROR(__xludf.DUMMYFUNCTION("""COMPUTED_VALUE"""),"https://utrucking.com/admin/orders/5913853329596")</f>
        <v>https://utrucking.com/admin/orders/5913853329596</v>
      </c>
      <c r="B125" s="65" t="str">
        <f>IFERROR(__xludf.DUMMYFUNCTION("""COMPUTED_VALUE"""),"#15558")</f>
        <v>#15558</v>
      </c>
      <c r="C125" s="65" t="str">
        <f>IFERROR(__xludf.DUMMYFUNCTION("""COMPUTED_VALUE"""),"d.tea@wustl.edu")</f>
        <v>d.tea@wustl.edu</v>
      </c>
      <c r="D125" s="65">
        <f>IFERROR(__xludf.DUMMYFUNCTION("""COMPUTED_VALUE"""),7.866672127E9)</f>
        <v>7866672127</v>
      </c>
      <c r="E125" s="65" t="str">
        <f>IFERROR(__xludf.DUMMYFUNCTION("""COMPUTED_VALUE"""),"Téa Delic")</f>
        <v>Téa Delic</v>
      </c>
      <c r="F125" s="65"/>
      <c r="G125" s="65"/>
      <c r="H125" s="65" t="str">
        <f>IFERROR(__xludf.DUMMYFUNCTION("""COMPUTED_VALUE"""),"Storage Item Return")</f>
        <v>Storage Item Return</v>
      </c>
      <c r="I125" s="65" t="str">
        <f>IFERROR(__xludf.DUMMYFUNCTION("""COMPUTED_VALUE"""),"University Housing ")</f>
        <v>University Housing </v>
      </c>
      <c r="J125" s="108" t="str">
        <f>IFERROR(__xludf.DUMMYFUNCTION("""COMPUTED_VALUE"""),"09:00 AM to 11:00 AM   ")</f>
        <v>09:00 AM to 11:00 AM   </v>
      </c>
      <c r="K125" s="108">
        <f>IFERROR(__xludf.DUMMYFUNCTION("""COMPUTED_VALUE"""),45883.0)</f>
        <v>45883</v>
      </c>
      <c r="L125" s="65" t="str">
        <f>IFERROR(__xludf.DUMMYFUNCTION("""COMPUTED_VALUE"""),"Shepley  ")</f>
        <v>Shepley  </v>
      </c>
      <c r="M125" s="65" t="str">
        <f>IFERROR(__xludf.DUMMYFUNCTION("""COMPUTED_VALUE"""),"3001")</f>
        <v>3001</v>
      </c>
      <c r="N125" s="65"/>
      <c r="O125" s="65"/>
      <c r="P125" s="65" t="b">
        <f>COUNTIF('Delivered SIR'!A:A, E125) &gt; 0</f>
        <v>0</v>
      </c>
    </row>
    <row r="126">
      <c r="A126" s="99" t="str">
        <f>IFERROR(__xludf.DUMMYFUNCTION("""COMPUTED_VALUE"""),"https://utrucking.com/admin/orders/5913857589436")</f>
        <v>https://utrucking.com/admin/orders/5913857589436</v>
      </c>
      <c r="B126" s="61" t="str">
        <f>IFERROR(__xludf.DUMMYFUNCTION("""COMPUTED_VALUE"""),"#15560")</f>
        <v>#15560</v>
      </c>
      <c r="C126" s="61" t="str">
        <f>IFERROR(__xludf.DUMMYFUNCTION("""COMPUTED_VALUE"""),"camille@mcschwab.com")</f>
        <v>camille@mcschwab.com</v>
      </c>
      <c r="D126" s="61">
        <f>IFERROR(__xludf.DUMMYFUNCTION("""COMPUTED_VALUE"""),3.10729396E9)</f>
        <v>3107293960</v>
      </c>
      <c r="E126" s="61" t="str">
        <f>IFERROR(__xludf.DUMMYFUNCTION("""COMPUTED_VALUE"""),"Camille Schwab")</f>
        <v>Camille Schwab</v>
      </c>
      <c r="F126" s="61"/>
      <c r="G126" s="61"/>
      <c r="H126" s="61" t="str">
        <f>IFERROR(__xludf.DUMMYFUNCTION("""COMPUTED_VALUE"""),"Storage Item Return")</f>
        <v>Storage Item Return</v>
      </c>
      <c r="I126" s="61" t="str">
        <f>IFERROR(__xludf.DUMMYFUNCTION("""COMPUTED_VALUE"""),"University Housing ")</f>
        <v>University Housing </v>
      </c>
      <c r="J126" s="107" t="str">
        <f>IFERROR(__xludf.DUMMYFUNCTION("""COMPUTED_VALUE"""),"09:00 AM to 11:00 AM   ")</f>
        <v>09:00 AM to 11:00 AM   </v>
      </c>
      <c r="K126" s="107">
        <f>IFERROR(__xludf.DUMMYFUNCTION("""COMPUTED_VALUE"""),45883.0)</f>
        <v>45883</v>
      </c>
      <c r="L126" s="61" t="str">
        <f>IFERROR(__xludf.DUMMYFUNCTION("""COMPUTED_VALUE"""),"Loop Loft 6300  ")</f>
        <v>Loop Loft 6300  </v>
      </c>
      <c r="M126" s="61" t="str">
        <f>IFERROR(__xludf.DUMMYFUNCTION("""COMPUTED_VALUE"""),"213C-a")</f>
        <v>213C-a</v>
      </c>
      <c r="N126" s="61"/>
      <c r="O126" s="61"/>
      <c r="P126" s="61" t="b">
        <f>COUNTIF('Delivered SIR'!A:A, E126) &gt; 0</f>
        <v>1</v>
      </c>
    </row>
    <row r="127">
      <c r="A127" s="102" t="str">
        <f>IFERROR(__xludf.DUMMYFUNCTION("""COMPUTED_VALUE"""),"https://utrucking.com/admin/orders/5913861816508")</f>
        <v>https://utrucking.com/admin/orders/5913861816508</v>
      </c>
      <c r="B127" s="65" t="str">
        <f>IFERROR(__xludf.DUMMYFUNCTION("""COMPUTED_VALUE"""),"#15561")</f>
        <v>#15561</v>
      </c>
      <c r="C127" s="65" t="str">
        <f>IFERROR(__xludf.DUMMYFUNCTION("""COMPUTED_VALUE"""),"sachin.blake@gmail.com")</f>
        <v>sachin.blake@gmail.com</v>
      </c>
      <c r="D127" s="65">
        <f>IFERROR(__xludf.DUMMYFUNCTION("""COMPUTED_VALUE"""),2.159070064E9)</f>
        <v>2159070064</v>
      </c>
      <c r="E127" s="65" t="str">
        <f>IFERROR(__xludf.DUMMYFUNCTION("""COMPUTED_VALUE"""),"Sachin Blake")</f>
        <v>Sachin Blake</v>
      </c>
      <c r="F127" s="65"/>
      <c r="G127" s="65"/>
      <c r="H127" s="65" t="str">
        <f>IFERROR(__xludf.DUMMYFUNCTION("""COMPUTED_VALUE"""),"Storage Item Return")</f>
        <v>Storage Item Return</v>
      </c>
      <c r="I127" s="65" t="str">
        <f>IFERROR(__xludf.DUMMYFUNCTION("""COMPUTED_VALUE"""),"University Housing ")</f>
        <v>University Housing </v>
      </c>
      <c r="J127" s="108" t="str">
        <f>IFERROR(__xludf.DUMMYFUNCTION("""COMPUTED_VALUE"""),"09:00 AM to 11:00 AM   ")</f>
        <v>09:00 AM to 11:00 AM   </v>
      </c>
      <c r="K127" s="108">
        <f>IFERROR(__xludf.DUMMYFUNCTION("""COMPUTED_VALUE"""),45883.0)</f>
        <v>45883</v>
      </c>
      <c r="L127" s="65" t="str">
        <f>IFERROR(__xludf.DUMMYFUNCTION("""COMPUTED_VALUE"""),"House 2 (Sigma Nu)  ")</f>
        <v>House 2 (Sigma Nu)  </v>
      </c>
      <c r="M127" s="65" t="str">
        <f>IFERROR(__xludf.DUMMYFUNCTION("""COMPUTED_VALUE"""),"209")</f>
        <v>209</v>
      </c>
      <c r="N127" s="65"/>
      <c r="O127" s="65"/>
      <c r="P127" s="65" t="b">
        <f>COUNTIF('Delivered SIR'!A:A, E127) &gt; 0</f>
        <v>1</v>
      </c>
    </row>
    <row r="128">
      <c r="A128" s="99" t="str">
        <f>IFERROR(__xludf.DUMMYFUNCTION("""COMPUTED_VALUE"""),"https://utrucking.com/admin/orders/5913866764476")</f>
        <v>https://utrucking.com/admin/orders/5913866764476</v>
      </c>
      <c r="B128" s="61" t="str">
        <f>IFERROR(__xludf.DUMMYFUNCTION("""COMPUTED_VALUE"""),"#15562")</f>
        <v>#15562</v>
      </c>
      <c r="C128" s="61" t="str">
        <f>IFERROR(__xludf.DUMMYFUNCTION("""COMPUTED_VALUE"""),"sbryn20@icloud.com")</f>
        <v>sbryn20@icloud.com</v>
      </c>
      <c r="D128" s="61">
        <f>IFERROR(__xludf.DUMMYFUNCTION("""COMPUTED_VALUE"""),9.735188085E9)</f>
        <v>9735188085</v>
      </c>
      <c r="E128" s="61" t="str">
        <f>IFERROR(__xludf.DUMMYFUNCTION("""COMPUTED_VALUE"""),"Karin Kelner")</f>
        <v>Karin Kelner</v>
      </c>
      <c r="F128" s="61"/>
      <c r="G128" s="61"/>
      <c r="H128" s="61" t="str">
        <f>IFERROR(__xludf.DUMMYFUNCTION("""COMPUTED_VALUE"""),"Storage Item Return")</f>
        <v>Storage Item Return</v>
      </c>
      <c r="I128" s="61" t="str">
        <f>IFERROR(__xludf.DUMMYFUNCTION("""COMPUTED_VALUE"""),"University Housing ")</f>
        <v>University Housing </v>
      </c>
      <c r="J128" s="107" t="str">
        <f>IFERROR(__xludf.DUMMYFUNCTION("""COMPUTED_VALUE"""),"09:00 AM to 11:00 AM   ")</f>
        <v>09:00 AM to 11:00 AM   </v>
      </c>
      <c r="K128" s="107">
        <f>IFERROR(__xludf.DUMMYFUNCTION("""COMPUTED_VALUE"""),45883.0)</f>
        <v>45883</v>
      </c>
      <c r="L128" s="61" t="str">
        <f>IFERROR(__xludf.DUMMYFUNCTION("""COMPUTED_VALUE"""),"Loop Loft 6255  ")</f>
        <v>Loop Loft 6255  </v>
      </c>
      <c r="M128" s="61" t="str">
        <f>IFERROR(__xludf.DUMMYFUNCTION("""COMPUTED_VALUE"""),"411C")</f>
        <v>411C</v>
      </c>
      <c r="N128" s="61"/>
      <c r="O128" s="61"/>
      <c r="P128" s="61" t="b">
        <f>COUNTIF('Delivered SIR'!A:A, E128) &gt; 0</f>
        <v>1</v>
      </c>
    </row>
    <row r="129">
      <c r="A129" s="102" t="str">
        <f>IFERROR(__xludf.DUMMYFUNCTION("""COMPUTED_VALUE"""),"https://utrucking.com/admin/orders/5913884852412")</f>
        <v>https://utrucking.com/admin/orders/5913884852412</v>
      </c>
      <c r="B129" s="65" t="str">
        <f>IFERROR(__xludf.DUMMYFUNCTION("""COMPUTED_VALUE"""),"#15563")</f>
        <v>#15563</v>
      </c>
      <c r="C129" s="65"/>
      <c r="D129" s="65"/>
      <c r="E129" s="65" t="str">
        <f>IFERROR(__xludf.DUMMYFUNCTION("""COMPUTED_VALUE"""),"Maria Veronica Llerena")</f>
        <v>Maria Veronica Llerena</v>
      </c>
      <c r="F129" s="65"/>
      <c r="G129" s="65"/>
      <c r="H129" s="65" t="str">
        <f>IFERROR(__xludf.DUMMYFUNCTION("""COMPUTED_VALUE"""),"Storage Item Return")</f>
        <v>Storage Item Return</v>
      </c>
      <c r="I129" s="65" t="str">
        <f>IFERROR(__xludf.DUMMYFUNCTION("""COMPUTED_VALUE"""),"University Housing ")</f>
        <v>University Housing </v>
      </c>
      <c r="J129" s="108" t="str">
        <f>IFERROR(__xludf.DUMMYFUNCTION("""COMPUTED_VALUE"""),"03:00 PM to 05:00 PM ")</f>
        <v>03:00 PM to 05:00 PM </v>
      </c>
      <c r="K129" s="108">
        <f>IFERROR(__xludf.DUMMYFUNCTION("""COMPUTED_VALUE"""),45891.0)</f>
        <v>45891</v>
      </c>
      <c r="L129" s="65" t="str">
        <f>IFERROR(__xludf.DUMMYFUNCTION("""COMPUTED_VALUE"""),"6633 University Drive  ")</f>
        <v>6633 University Drive  </v>
      </c>
      <c r="M129" s="65" t="str">
        <f>IFERROR(__xludf.DUMMYFUNCTION("""COMPUTED_VALUE"""),"2W-a")</f>
        <v>2W-a</v>
      </c>
      <c r="N129" s="65"/>
      <c r="O129" s="65"/>
      <c r="P129" s="65" t="b">
        <f>COUNTIF('Delivered SIR'!A:A, E129) &gt; 0</f>
        <v>0</v>
      </c>
    </row>
    <row r="130">
      <c r="A130" s="99" t="str">
        <f>IFERROR(__xludf.DUMMYFUNCTION("""COMPUTED_VALUE"""),"https://utrucking.com/admin/orders/5913895862460")</f>
        <v>https://utrucking.com/admin/orders/5913895862460</v>
      </c>
      <c r="B130" s="61" t="str">
        <f>IFERROR(__xludf.DUMMYFUNCTION("""COMPUTED_VALUE"""),"#15565")</f>
        <v>#15565</v>
      </c>
      <c r="C130" s="61" t="str">
        <f>IFERROR(__xludf.DUMMYFUNCTION("""COMPUTED_VALUE"""),"l.mazeeva@wustl.edu")</f>
        <v>l.mazeeva@wustl.edu</v>
      </c>
      <c r="D130" s="61">
        <f>IFERROR(__xludf.DUMMYFUNCTION("""COMPUTED_VALUE"""),4.252731891E9)</f>
        <v>4252731891</v>
      </c>
      <c r="E130" s="61" t="str">
        <f>IFERROR(__xludf.DUMMYFUNCTION("""COMPUTED_VALUE"""),"Lydia Mazeeva")</f>
        <v>Lydia Mazeeva</v>
      </c>
      <c r="F130" s="61"/>
      <c r="G130" s="61"/>
      <c r="H130" s="61" t="str">
        <f>IFERROR(__xludf.DUMMYFUNCTION("""COMPUTED_VALUE"""),"Storage Item Return")</f>
        <v>Storage Item Return</v>
      </c>
      <c r="I130" s="61" t="str">
        <f>IFERROR(__xludf.DUMMYFUNCTION("""COMPUTED_VALUE"""),"University Housing ")</f>
        <v>University Housing </v>
      </c>
      <c r="J130" s="107" t="str">
        <f>IFERROR(__xludf.DUMMYFUNCTION("""COMPUTED_VALUE"""),"09:00 AM to 11:00 AM   ")</f>
        <v>09:00 AM to 11:00 AM   </v>
      </c>
      <c r="K130" s="107">
        <f>IFERROR(__xludf.DUMMYFUNCTION("""COMPUTED_VALUE"""),45883.0)</f>
        <v>45883</v>
      </c>
      <c r="L130" s="61" t="str">
        <f>IFERROR(__xludf.DUMMYFUNCTION("""COMPUTED_VALUE"""),"6633 University Drive  ")</f>
        <v>6633 University Drive  </v>
      </c>
      <c r="M130" s="61" t="str">
        <f>IFERROR(__xludf.DUMMYFUNCTION("""COMPUTED_VALUE"""),"U Drive (6633) - 2W-C - a")</f>
        <v>U Drive (6633) - 2W-C - a</v>
      </c>
      <c r="N130" s="61"/>
      <c r="O130" s="61"/>
      <c r="P130" s="61" t="b">
        <f>COUNTIF('Delivered SIR'!A:A, E130) &gt; 0</f>
        <v>1</v>
      </c>
    </row>
    <row r="131">
      <c r="A131" s="102" t="str">
        <f>IFERROR(__xludf.DUMMYFUNCTION("""COMPUTED_VALUE"""),"https://utrucking.com/admin/orders/5913901465788")</f>
        <v>https://utrucking.com/admin/orders/5913901465788</v>
      </c>
      <c r="B131" s="65" t="str">
        <f>IFERROR(__xludf.DUMMYFUNCTION("""COMPUTED_VALUE"""),"#15567")</f>
        <v>#15567</v>
      </c>
      <c r="C131" s="65" t="str">
        <f>IFERROR(__xludf.DUMMYFUNCTION("""COMPUTED_VALUE"""),"davidwvox@gmail.com")</f>
        <v>davidwvox@gmail.com</v>
      </c>
      <c r="D131" s="65">
        <f>IFERROR(__xludf.DUMMYFUNCTION("""COMPUTED_VALUE"""),9.176859313E9)</f>
        <v>9176859313</v>
      </c>
      <c r="E131" s="65" t="str">
        <f>IFERROR(__xludf.DUMMYFUNCTION("""COMPUTED_VALUE"""),"Cara O'Shaughnessy")</f>
        <v>Cara O'Shaughnessy</v>
      </c>
      <c r="F131" s="65"/>
      <c r="G131" s="65" t="str">
        <f>IFERROR(__xludf.DUMMYFUNCTION("""COMPUTED_VALUE"""),"705 Interdrive 
Apt. 1S
University City, MO 63130")</f>
        <v>705 Interdrive 
Apt. 1S
University City, MO 63130</v>
      </c>
      <c r="H131" s="65" t="str">
        <f>IFERROR(__xludf.DUMMYFUNCTION("""COMPUTED_VALUE"""),"Storage Item Return")</f>
        <v>Storage Item Return</v>
      </c>
      <c r="I131" s="65" t="str">
        <f>IFERROR(__xludf.DUMMYFUNCTION("""COMPUTED_VALUE"""),"Non-University Housing ")</f>
        <v>Non-University Housing </v>
      </c>
      <c r="J131" s="108" t="str">
        <f>IFERROR(__xludf.DUMMYFUNCTION("""COMPUTED_VALUE"""),"01:00 PM to 03:00 PM   ")</f>
        <v>01:00 PM to 03:00 PM   </v>
      </c>
      <c r="K131" s="108">
        <f>IFERROR(__xludf.DUMMYFUNCTION("""COMPUTED_VALUE"""),45875.0)</f>
        <v>45875</v>
      </c>
      <c r="L131" s="65"/>
      <c r="M131" s="65"/>
      <c r="N131" s="65" t="str">
        <f>IFERROR(__xludf.DUMMYFUNCTION("""COMPUTED_VALUE"""),"705 Interdrive 
Apt. 1S
University City, MO 63130")</f>
        <v>705 Interdrive 
Apt. 1S
University City, MO 63130</v>
      </c>
      <c r="O131" s="65"/>
      <c r="P131" s="65" t="b">
        <f>COUNTIF('Delivered SIR'!A:A, E131) &gt; 0</f>
        <v>0</v>
      </c>
    </row>
    <row r="132">
      <c r="A132" s="99" t="str">
        <f>IFERROR(__xludf.DUMMYFUNCTION("""COMPUTED_VALUE"""),"https://utrucking.com/admin/orders/5913903038652")</f>
        <v>https://utrucking.com/admin/orders/5913903038652</v>
      </c>
      <c r="B132" s="61" t="str">
        <f>IFERROR(__xludf.DUMMYFUNCTION("""COMPUTED_VALUE"""),"#15568")</f>
        <v>#15568</v>
      </c>
      <c r="C132" s="61" t="str">
        <f>IFERROR(__xludf.DUMMYFUNCTION("""COMPUTED_VALUE"""),"m.g.milord@wustl.edu")</f>
        <v>m.g.milord@wustl.edu</v>
      </c>
      <c r="D132" s="61"/>
      <c r="E132" s="61" t="str">
        <f>IFERROR(__xludf.DUMMYFUNCTION("""COMPUTED_VALUE"""),"Midgee Milord")</f>
        <v>Midgee Milord</v>
      </c>
      <c r="F132" s="61"/>
      <c r="G132" s="61"/>
      <c r="H132" s="61" t="str">
        <f>IFERROR(__xludf.DUMMYFUNCTION("""COMPUTED_VALUE"""),"Storage Item Return")</f>
        <v>Storage Item Return</v>
      </c>
      <c r="I132" s="61" t="str">
        <f>IFERROR(__xludf.DUMMYFUNCTION("""COMPUTED_VALUE"""),"University Housing ")</f>
        <v>University Housing </v>
      </c>
      <c r="J132" s="107" t="str">
        <f>IFERROR(__xludf.DUMMYFUNCTION("""COMPUTED_VALUE"""),"09:00 AM to 11:00 AM   ")</f>
        <v>09:00 AM to 11:00 AM   </v>
      </c>
      <c r="K132" s="107">
        <f>IFERROR(__xludf.DUMMYFUNCTION("""COMPUTED_VALUE"""),45883.0)</f>
        <v>45883</v>
      </c>
      <c r="L132" s="61" t="str">
        <f>IFERROR(__xludf.DUMMYFUNCTION("""COMPUTED_VALUE"""),"Nemerov  ")</f>
        <v>Nemerov  </v>
      </c>
      <c r="M132" s="61" t="str">
        <f>IFERROR(__xludf.DUMMYFUNCTION("""COMPUTED_VALUE"""),"3042")</f>
        <v>3042</v>
      </c>
      <c r="N132" s="61"/>
      <c r="O132" s="61"/>
      <c r="P132" s="61" t="b">
        <f>COUNTIF('Delivered SIR'!A:A, E132) &gt; 0</f>
        <v>0</v>
      </c>
    </row>
    <row r="133">
      <c r="A133" s="102" t="str">
        <f>IFERROR(__xludf.DUMMYFUNCTION("""COMPUTED_VALUE"""),"https://utrucking.com/admin/orders/5913909362876")</f>
        <v>https://utrucking.com/admin/orders/5913909362876</v>
      </c>
      <c r="B133" s="65" t="str">
        <f>IFERROR(__xludf.DUMMYFUNCTION("""COMPUTED_VALUE"""),"#15569")</f>
        <v>#15569</v>
      </c>
      <c r="C133" s="65" t="str">
        <f>IFERROR(__xludf.DUMMYFUNCTION("""COMPUTED_VALUE"""),"caballero@wustl.edu")</f>
        <v>caballero@wustl.edu</v>
      </c>
      <c r="D133" s="65">
        <f>IFERROR(__xludf.DUMMYFUNCTION("""COMPUTED_VALUE"""),3.017067737E9)</f>
        <v>3017067737</v>
      </c>
      <c r="E133" s="65" t="str">
        <f>IFERROR(__xludf.DUMMYFUNCTION("""COMPUTED_VALUE"""),"Elena Caballero")</f>
        <v>Elena Caballero</v>
      </c>
      <c r="F133" s="65"/>
      <c r="G133" s="65"/>
      <c r="H133" s="65" t="str">
        <f>IFERROR(__xludf.DUMMYFUNCTION("""COMPUTED_VALUE"""),"Storage Item Return")</f>
        <v>Storage Item Return</v>
      </c>
      <c r="I133" s="65" t="str">
        <f>IFERROR(__xludf.DUMMYFUNCTION("""COMPUTED_VALUE"""),"University Housing ")</f>
        <v>University Housing </v>
      </c>
      <c r="J133" s="108" t="str">
        <f>IFERROR(__xludf.DUMMYFUNCTION("""COMPUTED_VALUE"""),"09:00 AM to 11:00 AM   ")</f>
        <v>09:00 AM to 11:00 AM   </v>
      </c>
      <c r="K133" s="108">
        <f>IFERROR(__xludf.DUMMYFUNCTION("""COMPUTED_VALUE"""),45883.0)</f>
        <v>45883</v>
      </c>
      <c r="L133" s="65" t="str">
        <f>IFERROR(__xludf.DUMMYFUNCTION("""COMPUTED_VALUE"""),"Loop Loft 6255  ")</f>
        <v>Loop Loft 6255  </v>
      </c>
      <c r="M133" s="65" t="str">
        <f>IFERROR(__xludf.DUMMYFUNCTION("""COMPUTED_VALUE"""),"403A")</f>
        <v>403A</v>
      </c>
      <c r="N133" s="65"/>
      <c r="O133" s="65"/>
      <c r="P133" s="65" t="b">
        <f>COUNTIF('Delivered SIR'!A:A, E133) &gt; 0</f>
        <v>1</v>
      </c>
    </row>
    <row r="134">
      <c r="A134" s="99" t="str">
        <f>IFERROR(__xludf.DUMMYFUNCTION("""COMPUTED_VALUE"""),"https://utrucking.com/admin/orders/5913911689404")</f>
        <v>https://utrucking.com/admin/orders/5913911689404</v>
      </c>
      <c r="B134" s="61" t="str">
        <f>IFERROR(__xludf.DUMMYFUNCTION("""COMPUTED_VALUE"""),"#15570")</f>
        <v>#15570</v>
      </c>
      <c r="C134" s="61" t="str">
        <f>IFERROR(__xludf.DUMMYFUNCTION("""COMPUTED_VALUE"""),"coco.z@wustl.edu")</f>
        <v>coco.z@wustl.edu</v>
      </c>
      <c r="D134" s="61">
        <f>IFERROR(__xludf.DUMMYFUNCTION("""COMPUTED_VALUE"""),3.143350405E9)</f>
        <v>3143350405</v>
      </c>
      <c r="E134" s="61" t="str">
        <f>IFERROR(__xludf.DUMMYFUNCTION("""COMPUTED_VALUE"""),"Yue Zhan")</f>
        <v>Yue Zhan</v>
      </c>
      <c r="F134" s="61"/>
      <c r="G134" s="61"/>
      <c r="H134" s="61" t="str">
        <f>IFERROR(__xludf.DUMMYFUNCTION("""COMPUTED_VALUE"""),"Storage Item Return")</f>
        <v>Storage Item Return</v>
      </c>
      <c r="I134" s="61" t="str">
        <f>IFERROR(__xludf.DUMMYFUNCTION("""COMPUTED_VALUE"""),"University Housing ")</f>
        <v>University Housing </v>
      </c>
      <c r="J134" s="107" t="str">
        <f>IFERROR(__xludf.DUMMYFUNCTION("""COMPUTED_VALUE"""),"09:00 AM to 11:00 AM   ")</f>
        <v>09:00 AM to 11:00 AM   </v>
      </c>
      <c r="K134" s="107">
        <f>IFERROR(__xludf.DUMMYFUNCTION("""COMPUTED_VALUE"""),45883.0)</f>
        <v>45883</v>
      </c>
      <c r="L134" s="61" t="str">
        <f>IFERROR(__xludf.DUMMYFUNCTION("""COMPUTED_VALUE"""),"Lopata  ")</f>
        <v>Lopata  </v>
      </c>
      <c r="M134" s="61" t="str">
        <f>IFERROR(__xludf.DUMMYFUNCTION("""COMPUTED_VALUE"""),"3062-a")</f>
        <v>3062-a</v>
      </c>
      <c r="N134" s="61"/>
      <c r="O134" s="61"/>
      <c r="P134" s="61" t="b">
        <f>COUNTIF('Delivered SIR'!A:A, E134) &gt; 0</f>
        <v>0</v>
      </c>
    </row>
    <row r="135">
      <c r="A135" s="102" t="str">
        <f>IFERROR(__xludf.DUMMYFUNCTION("""COMPUTED_VALUE"""),"https://utrucking.com/admin/orders/5913917391036")</f>
        <v>https://utrucking.com/admin/orders/5913917391036</v>
      </c>
      <c r="B135" s="65" t="str">
        <f>IFERROR(__xludf.DUMMYFUNCTION("""COMPUTED_VALUE"""),"#15571")</f>
        <v>#15571</v>
      </c>
      <c r="C135" s="65" t="str">
        <f>IFERROR(__xludf.DUMMYFUNCTION("""COMPUTED_VALUE"""),"kgablewis@gmail.com")</f>
        <v>kgablewis@gmail.com</v>
      </c>
      <c r="D135" s="65">
        <f>IFERROR(__xludf.DUMMYFUNCTION("""COMPUTED_VALUE"""),6.122206574E9)</f>
        <v>6122206574</v>
      </c>
      <c r="E135" s="65" t="str">
        <f>IFERROR(__xludf.DUMMYFUNCTION("""COMPUTED_VALUE"""),"Kendra Lewi")</f>
        <v>Kendra Lewi</v>
      </c>
      <c r="F135" s="65"/>
      <c r="G135" s="65"/>
      <c r="H135" s="65" t="str">
        <f>IFERROR(__xludf.DUMMYFUNCTION("""COMPUTED_VALUE"""),"Storage Item Return")</f>
        <v>Storage Item Return</v>
      </c>
      <c r="I135" s="65" t="str">
        <f>IFERROR(__xludf.DUMMYFUNCTION("""COMPUTED_VALUE"""),"University Housing ")</f>
        <v>University Housing </v>
      </c>
      <c r="J135" s="108" t="str">
        <f>IFERROR(__xludf.DUMMYFUNCTION("""COMPUTED_VALUE"""),"09:00 AM to 11:00 AM   ")</f>
        <v>09:00 AM to 11:00 AM   </v>
      </c>
      <c r="K135" s="108">
        <f>IFERROR(__xludf.DUMMYFUNCTION("""COMPUTED_VALUE"""),45875.0)</f>
        <v>45875</v>
      </c>
      <c r="L135" s="65" t="str">
        <f>IFERROR(__xludf.DUMMYFUNCTION("""COMPUTED_VALUE"""),"Loop Loft 6200  ")</f>
        <v>Loop Loft 6200  </v>
      </c>
      <c r="M135" s="65" t="str">
        <f>IFERROR(__xludf.DUMMYFUNCTION("""COMPUTED_VALUE"""),"313")</f>
        <v>313</v>
      </c>
      <c r="N135" s="65"/>
      <c r="O135" s="65"/>
      <c r="P135" s="65" t="b">
        <f>COUNTIF('Delivered SIR'!A:A, E135) &gt; 0</f>
        <v>0</v>
      </c>
    </row>
    <row r="136">
      <c r="A136" s="99" t="str">
        <f>IFERROR(__xludf.DUMMYFUNCTION("""COMPUTED_VALUE"""),"https://utrucking.com/admin/orders/5913918668988")</f>
        <v>https://utrucking.com/admin/orders/5913918668988</v>
      </c>
      <c r="B136" s="61" t="str">
        <f>IFERROR(__xludf.DUMMYFUNCTION("""COMPUTED_VALUE"""),"#15572")</f>
        <v>#15572</v>
      </c>
      <c r="C136" s="61" t="str">
        <f>IFERROR(__xludf.DUMMYFUNCTION("""COMPUTED_VALUE"""),"michelleaandjeff@gmail.com")</f>
        <v>michelleaandjeff@gmail.com</v>
      </c>
      <c r="D136" s="61">
        <f>IFERROR(__xludf.DUMMYFUNCTION("""COMPUTED_VALUE"""),3.109808519E9)</f>
        <v>3109808519</v>
      </c>
      <c r="E136" s="61" t="str">
        <f>IFERROR(__xludf.DUMMYFUNCTION("""COMPUTED_VALUE"""),"Michelle Morrow")</f>
        <v>Michelle Morrow</v>
      </c>
      <c r="F136" s="61"/>
      <c r="G136" s="61"/>
      <c r="H136" s="61" t="str">
        <f>IFERROR(__xludf.DUMMYFUNCTION("""COMPUTED_VALUE"""),"Storage Item Return")</f>
        <v>Storage Item Return</v>
      </c>
      <c r="I136" s="61" t="str">
        <f>IFERROR(__xludf.DUMMYFUNCTION("""COMPUTED_VALUE"""),"University Housing ")</f>
        <v>University Housing </v>
      </c>
      <c r="J136" s="107" t="str">
        <f>IFERROR(__xludf.DUMMYFUNCTION("""COMPUTED_VALUE"""),"09:00 AM to 11:00 AM   ")</f>
        <v>09:00 AM to 11:00 AM   </v>
      </c>
      <c r="K136" s="107">
        <f>IFERROR(__xludf.DUMMYFUNCTION("""COMPUTED_VALUE"""),45890.0)</f>
        <v>45890</v>
      </c>
      <c r="L136" s="61" t="str">
        <f>IFERROR(__xludf.DUMMYFUNCTION("""COMPUTED_VALUE"""),"Millbrook Bldg. 1  ")</f>
        <v>Millbrook Bldg. 1  </v>
      </c>
      <c r="M136" s="61" t="str">
        <f>IFERROR(__xludf.DUMMYFUNCTION("""COMPUTED_VALUE"""),"room # 207C-a")</f>
        <v>room # 207C-a</v>
      </c>
      <c r="N136" s="61"/>
      <c r="O136" s="61"/>
      <c r="P136" s="61" t="b">
        <f>COUNTIF('Delivered SIR'!A:A, E136) &gt; 0</f>
        <v>0</v>
      </c>
    </row>
    <row r="137">
      <c r="A137" s="102" t="str">
        <f>IFERROR(__xludf.DUMMYFUNCTION("""COMPUTED_VALUE"""),"https://utrucking.com/admin/orders/5913919226044")</f>
        <v>https://utrucking.com/admin/orders/5913919226044</v>
      </c>
      <c r="B137" s="65" t="str">
        <f>IFERROR(__xludf.DUMMYFUNCTION("""COMPUTED_VALUE"""),"#15573")</f>
        <v>#15573</v>
      </c>
      <c r="C137" s="65" t="str">
        <f>IFERROR(__xludf.DUMMYFUNCTION("""COMPUTED_VALUE"""),"violetholah@gmail.com")</f>
        <v>violetholah@gmail.com</v>
      </c>
      <c r="D137" s="65">
        <f>IFERROR(__xludf.DUMMYFUNCTION("""COMPUTED_VALUE"""),5.033339851E9)</f>
        <v>5033339851</v>
      </c>
      <c r="E137" s="65" t="str">
        <f>IFERROR(__xludf.DUMMYFUNCTION("""COMPUTED_VALUE"""),"Violet Holah")</f>
        <v>Violet Holah</v>
      </c>
      <c r="F137" s="65"/>
      <c r="G137" s="65"/>
      <c r="H137" s="65" t="str">
        <f>IFERROR(__xludf.DUMMYFUNCTION("""COMPUTED_VALUE"""),"Storage Item Return")</f>
        <v>Storage Item Return</v>
      </c>
      <c r="I137" s="65" t="str">
        <f>IFERROR(__xludf.DUMMYFUNCTION("""COMPUTED_VALUE"""),"University Housing ")</f>
        <v>University Housing </v>
      </c>
      <c r="J137" s="108" t="str">
        <f>IFERROR(__xludf.DUMMYFUNCTION("""COMPUTED_VALUE"""),"09:00 AM to 11:00 AM   ")</f>
        <v>09:00 AM to 11:00 AM   </v>
      </c>
      <c r="K137" s="108">
        <f>IFERROR(__xludf.DUMMYFUNCTION("""COMPUTED_VALUE"""),45883.0)</f>
        <v>45883</v>
      </c>
      <c r="L137" s="65" t="str">
        <f>IFERROR(__xludf.DUMMYFUNCTION("""COMPUTED_VALUE"""),"Millbrook Bldg. 3  ")</f>
        <v>Millbrook Bldg. 3  </v>
      </c>
      <c r="M137" s="65" t="str">
        <f>IFERROR(__xludf.DUMMYFUNCTION("""COMPUTED_VALUE"""),"201-G")</f>
        <v>201-G</v>
      </c>
      <c r="N137" s="65"/>
      <c r="O137" s="65"/>
      <c r="P137" s="65" t="b">
        <f>COUNTIF('Delivered SIR'!A:A, E137) &gt; 0</f>
        <v>1</v>
      </c>
    </row>
    <row r="138">
      <c r="A138" s="99" t="str">
        <f>IFERROR(__xludf.DUMMYFUNCTION("""COMPUTED_VALUE"""),"https://utrucking.com/admin/orders/5913921028284")</f>
        <v>https://utrucking.com/admin/orders/5913921028284</v>
      </c>
      <c r="B138" s="61" t="str">
        <f>IFERROR(__xludf.DUMMYFUNCTION("""COMPUTED_VALUE"""),"#15575")</f>
        <v>#15575</v>
      </c>
      <c r="C138" s="61" t="str">
        <f>IFERROR(__xludf.DUMMYFUNCTION("""COMPUTED_VALUE"""),"aung.c@wustl.edu")</f>
        <v>aung.c@wustl.edu</v>
      </c>
      <c r="D138" s="61">
        <f>IFERROR(__xludf.DUMMYFUNCTION("""COMPUTED_VALUE"""),5.125527826E9)</f>
        <v>5125527826</v>
      </c>
      <c r="E138" s="61" t="str">
        <f>IFERROR(__xludf.DUMMYFUNCTION("""COMPUTED_VALUE"""),"Christopher Aung")</f>
        <v>Christopher Aung</v>
      </c>
      <c r="F138" s="61"/>
      <c r="G138" s="61"/>
      <c r="H138" s="61" t="str">
        <f>IFERROR(__xludf.DUMMYFUNCTION("""COMPUTED_VALUE"""),"Storage Item Return")</f>
        <v>Storage Item Return</v>
      </c>
      <c r="I138" s="61" t="str">
        <f>IFERROR(__xludf.DUMMYFUNCTION("""COMPUTED_VALUE"""),"University Housing ")</f>
        <v>University Housing </v>
      </c>
      <c r="J138" s="107" t="str">
        <f>IFERROR(__xludf.DUMMYFUNCTION("""COMPUTED_VALUE"""),"09:00 AM to 11:00 AM   ")</f>
        <v>09:00 AM to 11:00 AM   </v>
      </c>
      <c r="K138" s="107">
        <f>IFERROR(__xludf.DUMMYFUNCTION("""COMPUTED_VALUE"""),45883.0)</f>
        <v>45883</v>
      </c>
      <c r="L138" s="61" t="str">
        <f>IFERROR(__xludf.DUMMYFUNCTION("""COMPUTED_VALUE"""),"Village House  ")</f>
        <v>Village House  </v>
      </c>
      <c r="M138" s="61" t="str">
        <f>IFERROR(__xludf.DUMMYFUNCTION("""COMPUTED_VALUE"""),"3012-a")</f>
        <v>3012-a</v>
      </c>
      <c r="N138" s="61"/>
      <c r="O138" s="61"/>
      <c r="P138" s="61" t="b">
        <f>COUNTIF('Delivered SIR'!A:A, E138) &gt; 0</f>
        <v>1</v>
      </c>
    </row>
    <row r="139">
      <c r="A139" s="102" t="str">
        <f>IFERROR(__xludf.DUMMYFUNCTION("""COMPUTED_VALUE"""),"https://utrucking.com/admin/orders/5913928171708")</f>
        <v>https://utrucking.com/admin/orders/5913928171708</v>
      </c>
      <c r="B139" s="65" t="str">
        <f>IFERROR(__xludf.DUMMYFUNCTION("""COMPUTED_VALUE"""),"#15576")</f>
        <v>#15576</v>
      </c>
      <c r="C139" s="65" t="str">
        <f>IFERROR(__xludf.DUMMYFUNCTION("""COMPUTED_VALUE"""),"sadieforman@gmail.com")</f>
        <v>sadieforman@gmail.com</v>
      </c>
      <c r="D139" s="65">
        <f>IFERROR(__xludf.DUMMYFUNCTION("""COMPUTED_VALUE"""),2.6758431E9)</f>
        <v>2675843100</v>
      </c>
      <c r="E139" s="65" t="str">
        <f>IFERROR(__xludf.DUMMYFUNCTION("""COMPUTED_VALUE"""),"Sadie Forman")</f>
        <v>Sadie Forman</v>
      </c>
      <c r="F139" s="65"/>
      <c r="G139" s="65"/>
      <c r="H139" s="65" t="str">
        <f>IFERROR(__xludf.DUMMYFUNCTION("""COMPUTED_VALUE"""),"Storage Item Return")</f>
        <v>Storage Item Return</v>
      </c>
      <c r="I139" s="65" t="str">
        <f>IFERROR(__xludf.DUMMYFUNCTION("""COMPUTED_VALUE"""),"University Housing ")</f>
        <v>University Housing </v>
      </c>
      <c r="J139" s="108" t="str">
        <f>IFERROR(__xludf.DUMMYFUNCTION("""COMPUTED_VALUE"""),"09:00 AM to 11:00 AM   ")</f>
        <v>09:00 AM to 11:00 AM   </v>
      </c>
      <c r="K139" s="108">
        <f>IFERROR(__xludf.DUMMYFUNCTION("""COMPUTED_VALUE"""),45883.0)</f>
        <v>45883</v>
      </c>
      <c r="L139" s="65" t="str">
        <f>IFERROR(__xludf.DUMMYFUNCTION("""COMPUTED_VALUE"""),"Village East  ")</f>
        <v>Village East  </v>
      </c>
      <c r="M139" s="65" t="str">
        <f>IFERROR(__xludf.DUMMYFUNCTION("""COMPUTED_VALUE"""),"2100")</f>
        <v>2100</v>
      </c>
      <c r="N139" s="65"/>
      <c r="O139" s="65"/>
      <c r="P139" s="65" t="b">
        <f>COUNTIF('Delivered SIR'!A:A, E139) &gt; 0</f>
        <v>0</v>
      </c>
    </row>
    <row r="140">
      <c r="A140" s="99" t="str">
        <f>IFERROR(__xludf.DUMMYFUNCTION("""COMPUTED_VALUE"""),"https://utrucking.com/admin/orders/5913935577276")</f>
        <v>https://utrucking.com/admin/orders/5913935577276</v>
      </c>
      <c r="B140" s="61" t="str">
        <f>IFERROR(__xludf.DUMMYFUNCTION("""COMPUTED_VALUE"""),"#15577")</f>
        <v>#15577</v>
      </c>
      <c r="C140" s="61" t="str">
        <f>IFERROR(__xludf.DUMMYFUNCTION("""COMPUTED_VALUE"""),"j.h.sun@wustl.edu")</f>
        <v>j.h.sun@wustl.edu</v>
      </c>
      <c r="D140" s="61">
        <f>IFERROR(__xludf.DUMMYFUNCTION("""COMPUTED_VALUE"""),9.787275368E9)</f>
        <v>9787275368</v>
      </c>
      <c r="E140" s="61" t="str">
        <f>IFERROR(__xludf.DUMMYFUNCTION("""COMPUTED_VALUE"""),"Jasmine Sun")</f>
        <v>Jasmine Sun</v>
      </c>
      <c r="F140" s="61"/>
      <c r="G140" s="61"/>
      <c r="H140" s="61" t="str">
        <f>IFERROR(__xludf.DUMMYFUNCTION("""COMPUTED_VALUE"""),"Storage Item Return")</f>
        <v>Storage Item Return</v>
      </c>
      <c r="I140" s="61" t="str">
        <f>IFERROR(__xludf.DUMMYFUNCTION("""COMPUTED_VALUE"""),"University Housing ")</f>
        <v>University Housing </v>
      </c>
      <c r="J140" s="107" t="str">
        <f>IFERROR(__xludf.DUMMYFUNCTION("""COMPUTED_VALUE"""),"09:00 AM to 11:00 AM   ")</f>
        <v>09:00 AM to 11:00 AM   </v>
      </c>
      <c r="K140" s="107">
        <f>IFERROR(__xludf.DUMMYFUNCTION("""COMPUTED_VALUE"""),45883.0)</f>
        <v>45883</v>
      </c>
      <c r="L140" s="61" t="str">
        <f>IFERROR(__xludf.DUMMYFUNCTION("""COMPUTED_VALUE"""),"Village House  ")</f>
        <v>Village House  </v>
      </c>
      <c r="M140" s="61" t="str">
        <f>IFERROR(__xludf.DUMMYFUNCTION("""COMPUTED_VALUE"""),"3064")</f>
        <v>3064</v>
      </c>
      <c r="N140" s="61"/>
      <c r="O140" s="61"/>
      <c r="P140" s="61" t="b">
        <f>COUNTIF('Delivered SIR'!A:A, E140) &gt; 0</f>
        <v>1</v>
      </c>
    </row>
    <row r="141">
      <c r="A141" s="102" t="str">
        <f>IFERROR(__xludf.DUMMYFUNCTION("""COMPUTED_VALUE"""),"https://utrucking.com/admin/orders/5913947734204")</f>
        <v>https://utrucking.com/admin/orders/5913947734204</v>
      </c>
      <c r="B141" s="65" t="str">
        <f>IFERROR(__xludf.DUMMYFUNCTION("""COMPUTED_VALUE"""),"#15578")</f>
        <v>#15578</v>
      </c>
      <c r="C141" s="65" t="str">
        <f>IFERROR(__xludf.DUMMYFUNCTION("""COMPUTED_VALUE"""),"nicolebackals@gmail.com")</f>
        <v>nicolebackals@gmail.com</v>
      </c>
      <c r="D141" s="65">
        <f>IFERROR(__xludf.DUMMYFUNCTION("""COMPUTED_VALUE"""),7.545441369E9)</f>
        <v>7545441369</v>
      </c>
      <c r="E141" s="65" t="str">
        <f>IFERROR(__xludf.DUMMYFUNCTION("""COMPUTED_VALUE"""),"Nicole Backal")</f>
        <v>Nicole Backal</v>
      </c>
      <c r="F141" s="65"/>
      <c r="G141" s="65"/>
      <c r="H141" s="65" t="str">
        <f>IFERROR(__xludf.DUMMYFUNCTION("""COMPUTED_VALUE"""),"Storage Item Return")</f>
        <v>Storage Item Return</v>
      </c>
      <c r="I141" s="65" t="str">
        <f>IFERROR(__xludf.DUMMYFUNCTION("""COMPUTED_VALUE"""),"University Housing ")</f>
        <v>University Housing </v>
      </c>
      <c r="J141" s="108" t="str">
        <f>IFERROR(__xludf.DUMMYFUNCTION("""COMPUTED_VALUE"""),"09:00 AM to 11:00 AM   ")</f>
        <v>09:00 AM to 11:00 AM   </v>
      </c>
      <c r="K141" s="108">
        <f>IFERROR(__xludf.DUMMYFUNCTION("""COMPUTED_VALUE"""),45887.0)</f>
        <v>45887</v>
      </c>
      <c r="L141" s="65" t="str">
        <f>IFERROR(__xludf.DUMMYFUNCTION("""COMPUTED_VALUE"""),"Loop Loft 6200  ")</f>
        <v>Loop Loft 6200  </v>
      </c>
      <c r="M141" s="65" t="str">
        <f>IFERROR(__xludf.DUMMYFUNCTION("""COMPUTED_VALUE"""),"309A")</f>
        <v>309A</v>
      </c>
      <c r="N141" s="65"/>
      <c r="O141" s="65"/>
      <c r="P141" s="65" t="b">
        <f>COUNTIF('Delivered SIR'!A:A, E141) &gt; 0</f>
        <v>1</v>
      </c>
    </row>
    <row r="142">
      <c r="A142" s="99" t="str">
        <f>IFERROR(__xludf.DUMMYFUNCTION("""COMPUTED_VALUE"""),"https://utrucking.com/admin/orders/5913955238076")</f>
        <v>https://utrucking.com/admin/orders/5913955238076</v>
      </c>
      <c r="B142" s="61" t="str">
        <f>IFERROR(__xludf.DUMMYFUNCTION("""COMPUTED_VALUE"""),"#15579")</f>
        <v>#15579</v>
      </c>
      <c r="C142" s="61" t="str">
        <f>IFERROR(__xludf.DUMMYFUNCTION("""COMPUTED_VALUE"""),"n.naveen@wustl.edu")</f>
        <v>n.naveen@wustl.edu</v>
      </c>
      <c r="D142" s="61">
        <f>IFERROR(__xludf.DUMMYFUNCTION("""COMPUTED_VALUE"""),8.478636577E9)</f>
        <v>8478636577</v>
      </c>
      <c r="E142" s="61" t="str">
        <f>IFERROR(__xludf.DUMMYFUNCTION("""COMPUTED_VALUE"""),"Niyati Naveen")</f>
        <v>Niyati Naveen</v>
      </c>
      <c r="F142" s="61"/>
      <c r="G142" s="61"/>
      <c r="H142" s="61" t="str">
        <f>IFERROR(__xludf.DUMMYFUNCTION("""COMPUTED_VALUE"""),"Storage Item Return")</f>
        <v>Storage Item Return</v>
      </c>
      <c r="I142" s="61" t="str">
        <f>IFERROR(__xludf.DUMMYFUNCTION("""COMPUTED_VALUE"""),"University Housing ")</f>
        <v>University Housing </v>
      </c>
      <c r="J142" s="107" t="str">
        <f>IFERROR(__xludf.DUMMYFUNCTION("""COMPUTED_VALUE"""),"09:00 AM to 11:00 AM   ")</f>
        <v>09:00 AM to 11:00 AM   </v>
      </c>
      <c r="K142" s="107">
        <f>IFERROR(__xludf.DUMMYFUNCTION("""COMPUTED_VALUE"""),45883.0)</f>
        <v>45883</v>
      </c>
      <c r="L142" s="61" t="str">
        <f>IFERROR(__xludf.DUMMYFUNCTION("""COMPUTED_VALUE"""),"Wheeler  ")</f>
        <v>Wheeler  </v>
      </c>
      <c r="M142" s="61" t="str">
        <f>IFERROR(__xludf.DUMMYFUNCTION("""COMPUTED_VALUE"""),"2083")</f>
        <v>2083</v>
      </c>
      <c r="N142" s="61"/>
      <c r="O142" s="61"/>
      <c r="P142" s="61" t="b">
        <f>COUNTIF('Delivered SIR'!A:A, E142) &gt; 0</f>
        <v>1</v>
      </c>
    </row>
    <row r="143">
      <c r="A143" s="102" t="str">
        <f>IFERROR(__xludf.DUMMYFUNCTION("""COMPUTED_VALUE"""),"https://utrucking.com/admin/orders/5913969230012")</f>
        <v>https://utrucking.com/admin/orders/5913969230012</v>
      </c>
      <c r="B143" s="65" t="str">
        <f>IFERROR(__xludf.DUMMYFUNCTION("""COMPUTED_VALUE"""),"#15581")</f>
        <v>#15581</v>
      </c>
      <c r="C143" s="65" t="str">
        <f>IFERROR(__xludf.DUMMYFUNCTION("""COMPUTED_VALUE"""),"diaz-mira@wustl.edu")</f>
        <v>diaz-mira@wustl.edu</v>
      </c>
      <c r="D143" s="65">
        <f>IFERROR(__xludf.DUMMYFUNCTION("""COMPUTED_VALUE"""),9.046714462E9)</f>
        <v>9046714462</v>
      </c>
      <c r="E143" s="65" t="str">
        <f>IFERROR(__xludf.DUMMYFUNCTION("""COMPUTED_VALUE"""),"Isabella Diaz-Mira")</f>
        <v>Isabella Diaz-Mira</v>
      </c>
      <c r="F143" s="65"/>
      <c r="G143" s="65" t="str">
        <f>IFERROR(__xludf.DUMMYFUNCTION("""COMPUTED_VALUE"""),"605 Leland Ave., Apt. 200
University City, MO 63130")</f>
        <v>605 Leland Ave., Apt. 200
University City, MO 63130</v>
      </c>
      <c r="H143" s="65" t="str">
        <f>IFERROR(__xludf.DUMMYFUNCTION("""COMPUTED_VALUE"""),"Storage Item Return")</f>
        <v>Storage Item Return</v>
      </c>
      <c r="I143" s="65" t="str">
        <f>IFERROR(__xludf.DUMMYFUNCTION("""COMPUTED_VALUE"""),"Non-University Housing ")</f>
        <v>Non-University Housing </v>
      </c>
      <c r="J143" s="108" t="str">
        <f>IFERROR(__xludf.DUMMYFUNCTION("""COMPUTED_VALUE"""),"09:00 AM to 11:00 AM   ")</f>
        <v>09:00 AM to 11:00 AM   </v>
      </c>
      <c r="K143" s="108">
        <f>IFERROR(__xludf.DUMMYFUNCTION("""COMPUTED_VALUE"""),45887.0)</f>
        <v>45887</v>
      </c>
      <c r="L143" s="65"/>
      <c r="M143" s="65"/>
      <c r="N143" s="65" t="str">
        <f>IFERROR(__xludf.DUMMYFUNCTION("""COMPUTED_VALUE"""),"605 Leland Ave., Apt. 200
University City, MO 63130")</f>
        <v>605 Leland Ave., Apt. 200
University City, MO 63130</v>
      </c>
      <c r="O143" s="65"/>
      <c r="P143" s="65" t="b">
        <f>COUNTIF('Delivered SIR'!A:A, E143) &gt; 0</f>
        <v>0</v>
      </c>
    </row>
    <row r="144">
      <c r="A144" s="99" t="str">
        <f>IFERROR(__xludf.DUMMYFUNCTION("""COMPUTED_VALUE"""),"https://utrucking.com/admin/orders/5913972080828")</f>
        <v>https://utrucking.com/admin/orders/5913972080828</v>
      </c>
      <c r="B144" s="61" t="str">
        <f>IFERROR(__xludf.DUMMYFUNCTION("""COMPUTED_VALUE"""),"#15582")</f>
        <v>#15582</v>
      </c>
      <c r="C144" s="61"/>
      <c r="D144" s="61">
        <f>IFERROR(__xludf.DUMMYFUNCTION("""COMPUTED_VALUE"""),8.187513679E9)</f>
        <v>8187513679</v>
      </c>
      <c r="E144" s="61" t="str">
        <f>IFERROR(__xludf.DUMMYFUNCTION("""COMPUTED_VALUE"""),"Jordan Kim")</f>
        <v>Jordan Kim</v>
      </c>
      <c r="F144" s="61"/>
      <c r="G144" s="61" t="str">
        <f>IFERROR(__xludf.DUMMYFUNCTION("""COMPUTED_VALUE"""),"5959 McPherson Ave, Floor G
St Louis, Missouri 63112")</f>
        <v>5959 McPherson Ave, Floor G
St Louis, Missouri 63112</v>
      </c>
      <c r="H144" s="61" t="str">
        <f>IFERROR(__xludf.DUMMYFUNCTION("""COMPUTED_VALUE"""),"Storage Item Return")</f>
        <v>Storage Item Return</v>
      </c>
      <c r="I144" s="61" t="str">
        <f>IFERROR(__xludf.DUMMYFUNCTION("""COMPUTED_VALUE"""),"Non-University Housing ")</f>
        <v>Non-University Housing </v>
      </c>
      <c r="J144" s="107" t="str">
        <f>IFERROR(__xludf.DUMMYFUNCTION("""COMPUTED_VALUE"""),"10:00 AM to 11:00 AM ")</f>
        <v>10:00 AM to 11:00 AM </v>
      </c>
      <c r="K144" s="107">
        <f>IFERROR(__xludf.DUMMYFUNCTION("""COMPUTED_VALUE"""),45891.0)</f>
        <v>45891</v>
      </c>
      <c r="L144" s="61"/>
      <c r="M144" s="61"/>
      <c r="N144" s="61" t="str">
        <f>IFERROR(__xludf.DUMMYFUNCTION("""COMPUTED_VALUE"""),"5959 McPherson Ave, Floor G
St Louis, Missouri 63112")</f>
        <v>5959 McPherson Ave, Floor G
St Louis, Missouri 63112</v>
      </c>
      <c r="O144" s="61"/>
      <c r="P144" s="61" t="b">
        <f>COUNTIF('Delivered SIR'!A:A, E144) &gt; 0</f>
        <v>0</v>
      </c>
    </row>
    <row r="145">
      <c r="A145" s="102" t="str">
        <f>IFERROR(__xludf.DUMMYFUNCTION("""COMPUTED_VALUE"""),"https://utrucking.com/admin/orders/5913988530364")</f>
        <v>https://utrucking.com/admin/orders/5913988530364</v>
      </c>
      <c r="B145" s="65" t="str">
        <f>IFERROR(__xludf.DUMMYFUNCTION("""COMPUTED_VALUE"""),"#15583")</f>
        <v>#15583</v>
      </c>
      <c r="C145" s="65" t="str">
        <f>IFERROR(__xludf.DUMMYFUNCTION("""COMPUTED_VALUE"""),"a.hockstein@wustl.edu")</f>
        <v>a.hockstein@wustl.edu</v>
      </c>
      <c r="D145" s="65">
        <f>IFERROR(__xludf.DUMMYFUNCTION("""COMPUTED_VALUE"""),3.025881466E9)</f>
        <v>3025881466</v>
      </c>
      <c r="E145" s="65" t="str">
        <f>IFERROR(__xludf.DUMMYFUNCTION("""COMPUTED_VALUE"""),"Aaron Hockstein")</f>
        <v>Aaron Hockstein</v>
      </c>
      <c r="F145" s="65"/>
      <c r="G145" s="65"/>
      <c r="H145" s="65" t="str">
        <f>IFERROR(__xludf.DUMMYFUNCTION("""COMPUTED_VALUE"""),"Storage Item Return")</f>
        <v>Storage Item Return</v>
      </c>
      <c r="I145" s="65" t="str">
        <f>IFERROR(__xludf.DUMMYFUNCTION("""COMPUTED_VALUE"""),"University Housing ")</f>
        <v>University Housing </v>
      </c>
      <c r="J145" s="108" t="str">
        <f>IFERROR(__xludf.DUMMYFUNCTION("""COMPUTED_VALUE"""),"09:00 AM to 11:00 AM   09:00 AM to 11:00 AM  ")</f>
        <v>09:00 AM to 11:00 AM   09:00 AM to 11:00 AM  </v>
      </c>
      <c r="K145" s="108">
        <f>IFERROR(__xludf.DUMMYFUNCTION("""COMPUTED_VALUE"""),45891.0)</f>
        <v>45891</v>
      </c>
      <c r="L145" s="65" t="str">
        <f>IFERROR(__xludf.DUMMYFUNCTION("""COMPUTED_VALUE"""),"Nemerov  ")</f>
        <v>Nemerov  </v>
      </c>
      <c r="M145" s="65" t="str">
        <f>IFERROR(__xludf.DUMMYFUNCTION("""COMPUTED_VALUE"""),"4073")</f>
        <v>4073</v>
      </c>
      <c r="N145" s="65"/>
      <c r="O145" s="65"/>
      <c r="P145" s="65" t="b">
        <f>COUNTIF('Delivered SIR'!A:A, E145) &gt; 0</f>
        <v>1</v>
      </c>
    </row>
    <row r="146">
      <c r="A146" s="99" t="str">
        <f>IFERROR(__xludf.DUMMYFUNCTION("""COMPUTED_VALUE"""),"https://utrucking.com/admin/orders/5913989972156")</f>
        <v>https://utrucking.com/admin/orders/5913989972156</v>
      </c>
      <c r="B146" s="61" t="str">
        <f>IFERROR(__xludf.DUMMYFUNCTION("""COMPUTED_VALUE"""),"#15584")</f>
        <v>#15584</v>
      </c>
      <c r="C146" s="61" t="str">
        <f>IFERROR(__xludf.DUMMYFUNCTION("""COMPUTED_VALUE"""),"sia.bansal123@gmail.com")</f>
        <v>sia.bansal123@gmail.com</v>
      </c>
      <c r="D146" s="61">
        <f>IFERROR(__xludf.DUMMYFUNCTION("""COMPUTED_VALUE"""),9.73609422E9)</f>
        <v>9736094220</v>
      </c>
      <c r="E146" s="61" t="str">
        <f>IFERROR(__xludf.DUMMYFUNCTION("""COMPUTED_VALUE"""),"Sia Bansal")</f>
        <v>Sia Bansal</v>
      </c>
      <c r="F146" s="61"/>
      <c r="G146" s="61"/>
      <c r="H146" s="61" t="str">
        <f>IFERROR(__xludf.DUMMYFUNCTION("""COMPUTED_VALUE"""),"Storage Item Return")</f>
        <v>Storage Item Return</v>
      </c>
      <c r="I146" s="61" t="str">
        <f>IFERROR(__xludf.DUMMYFUNCTION("""COMPUTED_VALUE"""),"University Housing ")</f>
        <v>University Housing </v>
      </c>
      <c r="J146" s="107" t="str">
        <f>IFERROR(__xludf.DUMMYFUNCTION("""COMPUTED_VALUE"""),"09:00 AM to 11:00 AM   ")</f>
        <v>09:00 AM to 11:00 AM   </v>
      </c>
      <c r="K146" s="107">
        <f>IFERROR(__xludf.DUMMYFUNCTION("""COMPUTED_VALUE"""),45887.0)</f>
        <v>45887</v>
      </c>
      <c r="L146" s="61" t="str">
        <f>IFERROR(__xludf.DUMMYFUNCTION("""COMPUTED_VALUE"""),"Village East  ")</f>
        <v>Village East  </v>
      </c>
      <c r="M146" s="61" t="str">
        <f>IFERROR(__xludf.DUMMYFUNCTION("""COMPUTED_VALUE"""),"1032 - a")</f>
        <v>1032 - a</v>
      </c>
      <c r="N146" s="61"/>
      <c r="O146" s="61"/>
      <c r="P146" s="61" t="b">
        <f>COUNTIF('Delivered SIR'!A:A, E146) &gt; 0</f>
        <v>1</v>
      </c>
    </row>
    <row r="147">
      <c r="A147" s="102" t="str">
        <f>IFERROR(__xludf.DUMMYFUNCTION("""COMPUTED_VALUE"""),"https://utrucking.com/admin/orders/5914000130236")</f>
        <v>https://utrucking.com/admin/orders/5914000130236</v>
      </c>
      <c r="B147" s="65" t="str">
        <f>IFERROR(__xludf.DUMMYFUNCTION("""COMPUTED_VALUE"""),"#15585")</f>
        <v>#15585</v>
      </c>
      <c r="C147" s="65" t="str">
        <f>IFERROR(__xludf.DUMMYFUNCTION("""COMPUTED_VALUE"""),"g.ross@wustl.edu")</f>
        <v>g.ross@wustl.edu</v>
      </c>
      <c r="D147" s="65">
        <f>IFERROR(__xludf.DUMMYFUNCTION("""COMPUTED_VALUE"""),3.10916677E9)</f>
        <v>3109166770</v>
      </c>
      <c r="E147" s="65" t="str">
        <f>IFERROR(__xludf.DUMMYFUNCTION("""COMPUTED_VALUE"""),"Ross Goldberg")</f>
        <v>Ross Goldberg</v>
      </c>
      <c r="F147" s="65"/>
      <c r="G147" s="65"/>
      <c r="H147" s="65" t="str">
        <f>IFERROR(__xludf.DUMMYFUNCTION("""COMPUTED_VALUE"""),"Storage Item Return")</f>
        <v>Storage Item Return</v>
      </c>
      <c r="I147" s="65" t="str">
        <f>IFERROR(__xludf.DUMMYFUNCTION("""COMPUTED_VALUE"""),"University Housing ")</f>
        <v>University Housing </v>
      </c>
      <c r="J147" s="108" t="str">
        <f>IFERROR(__xludf.DUMMYFUNCTION("""COMPUTED_VALUE"""),"09:00 AM to 11:00 AM   ")</f>
        <v>09:00 AM to 11:00 AM   </v>
      </c>
      <c r="K147" s="108">
        <f>IFERROR(__xludf.DUMMYFUNCTION("""COMPUTED_VALUE"""),45883.0)</f>
        <v>45883</v>
      </c>
      <c r="L147" s="65" t="str">
        <f>IFERROR(__xludf.DUMMYFUNCTION("""COMPUTED_VALUE"""),"Zetcher  ")</f>
        <v>Zetcher  </v>
      </c>
      <c r="M147" s="65" t="str">
        <f>IFERROR(__xludf.DUMMYFUNCTION("""COMPUTED_VALUE"""),"2022")</f>
        <v>2022</v>
      </c>
      <c r="N147" s="65"/>
      <c r="O147" s="65"/>
      <c r="P147" s="65" t="b">
        <f>COUNTIF('Delivered SIR'!A:A, E147) &gt; 0</f>
        <v>1</v>
      </c>
    </row>
    <row r="148">
      <c r="A148" s="99" t="str">
        <f>IFERROR(__xludf.DUMMYFUNCTION("""COMPUTED_VALUE"""),"https://utrucking.com/admin/orders/5914008092860")</f>
        <v>https://utrucking.com/admin/orders/5914008092860</v>
      </c>
      <c r="B148" s="61" t="str">
        <f>IFERROR(__xludf.DUMMYFUNCTION("""COMPUTED_VALUE"""),"#15588")</f>
        <v>#15588</v>
      </c>
      <c r="C148" s="61" t="str">
        <f>IFERROR(__xludf.DUMMYFUNCTION("""COMPUTED_VALUE"""),"kornhaberluke@gmail.com")</f>
        <v>kornhaberluke@gmail.com</v>
      </c>
      <c r="D148" s="61" t="str">
        <f>IFERROR(__xludf.DUMMYFUNCTION("""COMPUTED_VALUE"""),"1 862-221-7772")</f>
        <v>1 862-221-7772</v>
      </c>
      <c r="E148" s="61" t="str">
        <f>IFERROR(__xludf.DUMMYFUNCTION("""COMPUTED_VALUE"""),"Luke Kornhaber")</f>
        <v>Luke Kornhaber</v>
      </c>
      <c r="F148" s="61"/>
      <c r="G148" s="61"/>
      <c r="H148" s="61" t="str">
        <f>IFERROR(__xludf.DUMMYFUNCTION("""COMPUTED_VALUE"""),"Storage Item Return")</f>
        <v>Storage Item Return</v>
      </c>
      <c r="I148" s="61" t="str">
        <f>IFERROR(__xludf.DUMMYFUNCTION("""COMPUTED_VALUE"""),"University Housing ")</f>
        <v>University Housing </v>
      </c>
      <c r="J148" s="107" t="str">
        <f>IFERROR(__xludf.DUMMYFUNCTION("""COMPUTED_VALUE"""),"09:00 AM to 11:00 AM   ")</f>
        <v>09:00 AM to 11:00 AM   </v>
      </c>
      <c r="K148" s="107">
        <f>IFERROR(__xludf.DUMMYFUNCTION("""COMPUTED_VALUE"""),45883.0)</f>
        <v>45883</v>
      </c>
      <c r="L148" s="61" t="str">
        <f>IFERROR(__xludf.DUMMYFUNCTION("""COMPUTED_VALUE"""),"House 3 (Alpha Delta Phi)")</f>
        <v>House 3 (Alpha Delta Phi)</v>
      </c>
      <c r="M148" s="61" t="str">
        <f>IFERROR(__xludf.DUMMYFUNCTION("""COMPUTED_VALUE"""),"207")</f>
        <v>207</v>
      </c>
      <c r="N148" s="61"/>
      <c r="O148" s="61"/>
      <c r="P148" s="61" t="b">
        <f>COUNTIF('Delivered SIR'!A:A, E148) &gt; 0</f>
        <v>1</v>
      </c>
    </row>
    <row r="149">
      <c r="A149" s="102" t="str">
        <f>IFERROR(__xludf.DUMMYFUNCTION("""COMPUTED_VALUE"""),"https://utrucking.com/admin/orders/5914010321084")</f>
        <v>https://utrucking.com/admin/orders/5914010321084</v>
      </c>
      <c r="B149" s="65" t="str">
        <f>IFERROR(__xludf.DUMMYFUNCTION("""COMPUTED_VALUE"""),"#15589")</f>
        <v>#15589</v>
      </c>
      <c r="C149" s="65" t="str">
        <f>IFERROR(__xludf.DUMMYFUNCTION("""COMPUTED_VALUE"""),"Lisa.srwtwr@gmail.com")</f>
        <v>Lisa.srwtwr@gmail.com</v>
      </c>
      <c r="D149" s="65">
        <f>IFERROR(__xludf.DUMMYFUNCTION("""COMPUTED_VALUE"""),9.177165168E9)</f>
        <v>9177165168</v>
      </c>
      <c r="E149" s="65" t="str">
        <f>IFERROR(__xludf.DUMMYFUNCTION("""COMPUTED_VALUE"""),"Lisa Sreter")</f>
        <v>Lisa Sreter</v>
      </c>
      <c r="F149" s="65"/>
      <c r="G149" s="65"/>
      <c r="H149" s="65" t="str">
        <f>IFERROR(__xludf.DUMMYFUNCTION("""COMPUTED_VALUE"""),"Storage Item Return")</f>
        <v>Storage Item Return</v>
      </c>
      <c r="I149" s="65" t="str">
        <f>IFERROR(__xludf.DUMMYFUNCTION("""COMPUTED_VALUE"""),"University Housing ")</f>
        <v>University Housing </v>
      </c>
      <c r="J149" s="108" t="str">
        <f>IFERROR(__xludf.DUMMYFUNCTION("""COMPUTED_VALUE"""),"09:00 AM to 11:00 AM   ")</f>
        <v>09:00 AM to 11:00 AM   </v>
      </c>
      <c r="K149" s="108">
        <f>IFERROR(__xludf.DUMMYFUNCTION("""COMPUTED_VALUE"""),45883.0)</f>
        <v>45883</v>
      </c>
      <c r="L149" s="65" t="str">
        <f>IFERROR(__xludf.DUMMYFUNCTION("""COMPUTED_VALUE"""),"Loop Loft 6255  ")</f>
        <v>Loop Loft 6255  </v>
      </c>
      <c r="M149" s="65" t="str">
        <f>IFERROR(__xludf.DUMMYFUNCTION("""COMPUTED_VALUE"""),"210C")</f>
        <v>210C</v>
      </c>
      <c r="N149" s="65"/>
      <c r="O149" s="65"/>
      <c r="P149" s="65" t="b">
        <f>COUNTIF('Delivered SIR'!A:A, E149) &gt; 0</f>
        <v>1</v>
      </c>
    </row>
    <row r="150">
      <c r="A150" s="99" t="str">
        <f>IFERROR(__xludf.DUMMYFUNCTION("""COMPUTED_VALUE"""),"https://utrucking.com/admin/orders/5914012221628")</f>
        <v>https://utrucking.com/admin/orders/5914012221628</v>
      </c>
      <c r="B150" s="61" t="str">
        <f>IFERROR(__xludf.DUMMYFUNCTION("""COMPUTED_VALUE"""),"#15590")</f>
        <v>#15590</v>
      </c>
      <c r="C150" s="61" t="str">
        <f>IFERROR(__xludf.DUMMYFUNCTION("""COMPUTED_VALUE"""),"jboxwach@icloud.com")</f>
        <v>jboxwach@icloud.com</v>
      </c>
      <c r="D150" s="61">
        <f>IFERROR(__xludf.DUMMYFUNCTION("""COMPUTED_VALUE"""),3.103404311E9)</f>
        <v>3103404311</v>
      </c>
      <c r="E150" s="61" t="str">
        <f>IFERROR(__xludf.DUMMYFUNCTION("""COMPUTED_VALUE"""),"Jordanna Boxer Wachler")</f>
        <v>Jordanna Boxer Wachler</v>
      </c>
      <c r="F150" s="61"/>
      <c r="G150" s="61"/>
      <c r="H150" s="61" t="str">
        <f>IFERROR(__xludf.DUMMYFUNCTION("""COMPUTED_VALUE"""),"Storage Item Return")</f>
        <v>Storage Item Return</v>
      </c>
      <c r="I150" s="61" t="str">
        <f>IFERROR(__xludf.DUMMYFUNCTION("""COMPUTED_VALUE"""),"University Housing ")</f>
        <v>University Housing </v>
      </c>
      <c r="J150" s="107" t="str">
        <f>IFERROR(__xludf.DUMMYFUNCTION("""COMPUTED_VALUE"""),"09:00 AM to 11:00 AM   ")</f>
        <v>09:00 AM to 11:00 AM   </v>
      </c>
      <c r="K150" s="107">
        <f>IFERROR(__xludf.DUMMYFUNCTION("""COMPUTED_VALUE"""),45883.0)</f>
        <v>45883</v>
      </c>
      <c r="L150" s="61" t="str">
        <f>IFERROR(__xludf.DUMMYFUNCTION("""COMPUTED_VALUE"""),"Lopata  ")</f>
        <v>Lopata  </v>
      </c>
      <c r="M150" s="61" t="str">
        <f>IFERROR(__xludf.DUMMYFUNCTION("""COMPUTED_VALUE"""),"2032-A")</f>
        <v>2032-A</v>
      </c>
      <c r="N150" s="61"/>
      <c r="O150" s="61"/>
      <c r="P150" s="61" t="b">
        <f>COUNTIF('Delivered SIR'!A:A, E150) &gt; 0</f>
        <v>1</v>
      </c>
    </row>
    <row r="151">
      <c r="A151" s="102" t="str">
        <f>IFERROR(__xludf.DUMMYFUNCTION("""COMPUTED_VALUE"""),"https://utrucking.com/admin/orders/5914018316476")</f>
        <v>https://utrucking.com/admin/orders/5914018316476</v>
      </c>
      <c r="B151" s="65" t="str">
        <f>IFERROR(__xludf.DUMMYFUNCTION("""COMPUTED_VALUE"""),"#15591")</f>
        <v>#15591</v>
      </c>
      <c r="C151" s="65" t="str">
        <f>IFERROR(__xludf.DUMMYFUNCTION("""COMPUTED_VALUE"""),"joycel@wustl.edu")</f>
        <v>joycel@wustl.edu</v>
      </c>
      <c r="D151" s="65"/>
      <c r="E151" s="65" t="str">
        <f>IFERROR(__xludf.DUMMYFUNCTION("""COMPUTED_VALUE"""),"Tsu-Yu Lin")</f>
        <v>Tsu-Yu Lin</v>
      </c>
      <c r="F151" s="65"/>
      <c r="G151" s="65"/>
      <c r="H151" s="65" t="str">
        <f>IFERROR(__xludf.DUMMYFUNCTION("""COMPUTED_VALUE"""),"Storage Item Return")</f>
        <v>Storage Item Return</v>
      </c>
      <c r="I151" s="65" t="str">
        <f>IFERROR(__xludf.DUMMYFUNCTION("""COMPUTED_VALUE"""),"University Housing ")</f>
        <v>University Housing </v>
      </c>
      <c r="J151" s="108" t="str">
        <f>IFERROR(__xludf.DUMMYFUNCTION("""COMPUTED_VALUE"""),"09:00 AM to 11:00 AM   ")</f>
        <v>09:00 AM to 11:00 AM   </v>
      </c>
      <c r="K151" s="108">
        <f>IFERROR(__xludf.DUMMYFUNCTION("""COMPUTED_VALUE"""),45883.0)</f>
        <v>45883</v>
      </c>
      <c r="L151" s="65" t="str">
        <f>IFERROR(__xludf.DUMMYFUNCTION("""COMPUTED_VALUE"""),"Nemerov  ")</f>
        <v>Nemerov  </v>
      </c>
      <c r="M151" s="65" t="str">
        <f>IFERROR(__xludf.DUMMYFUNCTION("""COMPUTED_VALUE"""),"1004")</f>
        <v>1004</v>
      </c>
      <c r="N151" s="65"/>
      <c r="O151" s="65"/>
      <c r="P151" s="65" t="b">
        <f>COUNTIF('Delivered SIR'!A:A, E151) &gt; 0</f>
        <v>0</v>
      </c>
    </row>
    <row r="152">
      <c r="A152" s="99" t="str">
        <f>IFERROR(__xludf.DUMMYFUNCTION("""COMPUTED_VALUE"""),"https://utrucking.com/admin/orders/5914028507324")</f>
        <v>https://utrucking.com/admin/orders/5914028507324</v>
      </c>
      <c r="B152" s="61" t="str">
        <f>IFERROR(__xludf.DUMMYFUNCTION("""COMPUTED_VALUE"""),"#15592")</f>
        <v>#15592</v>
      </c>
      <c r="C152" s="61" t="str">
        <f>IFERROR(__xludf.DUMMYFUNCTION("""COMPUTED_VALUE"""),"s.c.yang@wustl.edu")</f>
        <v>s.c.yang@wustl.edu</v>
      </c>
      <c r="D152" s="61">
        <f>IFERROR(__xludf.DUMMYFUNCTION("""COMPUTED_VALUE"""),3.323231785E9)</f>
        <v>3323231785</v>
      </c>
      <c r="E152" s="61" t="str">
        <f>IFERROR(__xludf.DUMMYFUNCTION("""COMPUTED_VALUE"""),"Seoin Yang")</f>
        <v>Seoin Yang</v>
      </c>
      <c r="F152" s="61"/>
      <c r="G152" s="61"/>
      <c r="H152" s="61" t="str">
        <f>IFERROR(__xludf.DUMMYFUNCTION("""COMPUTED_VALUE"""),"Storage Item Return")</f>
        <v>Storage Item Return</v>
      </c>
      <c r="I152" s="61" t="str">
        <f>IFERROR(__xludf.DUMMYFUNCTION("""COMPUTED_VALUE"""),"University Housing ")</f>
        <v>University Housing </v>
      </c>
      <c r="J152" s="107" t="str">
        <f>IFERROR(__xludf.DUMMYFUNCTION("""COMPUTED_VALUE"""),"09:00 AM to 11:00 AM   ")</f>
        <v>09:00 AM to 11:00 AM   </v>
      </c>
      <c r="K152" s="107">
        <f>IFERROR(__xludf.DUMMYFUNCTION("""COMPUTED_VALUE"""),45883.0)</f>
        <v>45883</v>
      </c>
      <c r="L152" s="61" t="str">
        <f>IFERROR(__xludf.DUMMYFUNCTION("""COMPUTED_VALUE"""),"Shepley  ")</f>
        <v>Shepley  </v>
      </c>
      <c r="M152" s="61" t="str">
        <f>IFERROR(__xludf.DUMMYFUNCTION("""COMPUTED_VALUE"""),"1034-a")</f>
        <v>1034-a</v>
      </c>
      <c r="N152" s="61"/>
      <c r="O152" s="61"/>
      <c r="P152" s="61" t="b">
        <f>COUNTIF('Delivered SIR'!A:A, E152) &gt; 0</f>
        <v>1</v>
      </c>
    </row>
    <row r="153">
      <c r="A153" s="102" t="str">
        <f>IFERROR(__xludf.DUMMYFUNCTION("""COMPUTED_VALUE"""),"https://utrucking.com/admin/orders/5914056556732")</f>
        <v>https://utrucking.com/admin/orders/5914056556732</v>
      </c>
      <c r="B153" s="65" t="str">
        <f>IFERROR(__xludf.DUMMYFUNCTION("""COMPUTED_VALUE"""),"#15594")</f>
        <v>#15594</v>
      </c>
      <c r="C153" s="65" t="str">
        <f>IFERROR(__xludf.DUMMYFUNCTION("""COMPUTED_VALUE"""),"e.t.kim@wustl.edu")</f>
        <v>e.t.kim@wustl.edu</v>
      </c>
      <c r="D153" s="65">
        <f>IFERROR(__xludf.DUMMYFUNCTION("""COMPUTED_VALUE"""),2.134089574E9)</f>
        <v>2134089574</v>
      </c>
      <c r="E153" s="65" t="str">
        <f>IFERROR(__xludf.DUMMYFUNCTION("""COMPUTED_VALUE"""),"Ethan Kim")</f>
        <v>Ethan Kim</v>
      </c>
      <c r="F153" s="65"/>
      <c r="G153" s="65"/>
      <c r="H153" s="65" t="str">
        <f>IFERROR(__xludf.DUMMYFUNCTION("""COMPUTED_VALUE"""),"Storage Item Return")</f>
        <v>Storage Item Return</v>
      </c>
      <c r="I153" s="65" t="str">
        <f>IFERROR(__xludf.DUMMYFUNCTION("""COMPUTED_VALUE"""),"University Housing ")</f>
        <v>University Housing </v>
      </c>
      <c r="J153" s="108" t="str">
        <f>IFERROR(__xludf.DUMMYFUNCTION("""COMPUTED_VALUE"""),"09:00 AM to 11:00 AM   ")</f>
        <v>09:00 AM to 11:00 AM   </v>
      </c>
      <c r="K153" s="108">
        <f>IFERROR(__xludf.DUMMYFUNCTION("""COMPUTED_VALUE"""),45883.0)</f>
        <v>45883</v>
      </c>
      <c r="L153" s="65" t="str">
        <f>IFERROR(__xludf.DUMMYFUNCTION("""COMPUTED_VALUE"""),"House 2 (Sigma Nu)  ")</f>
        <v>House 2 (Sigma Nu)  </v>
      </c>
      <c r="M153" s="65" t="str">
        <f>IFERROR(__xludf.DUMMYFUNCTION("""COMPUTED_VALUE"""),"208")</f>
        <v>208</v>
      </c>
      <c r="N153" s="65"/>
      <c r="O153" s="65"/>
      <c r="P153" s="65" t="b">
        <f>COUNTIF('Delivered SIR'!A:A, E153) &gt; 0</f>
        <v>1</v>
      </c>
    </row>
    <row r="154">
      <c r="A154" s="99" t="str">
        <f>IFERROR(__xludf.DUMMYFUNCTION("""COMPUTED_VALUE"""),"https://utrucking.com/admin/orders/5914061701308")</f>
        <v>https://utrucking.com/admin/orders/5914061701308</v>
      </c>
      <c r="B154" s="61" t="str">
        <f>IFERROR(__xludf.DUMMYFUNCTION("""COMPUTED_VALUE"""),"#15596")</f>
        <v>#15596</v>
      </c>
      <c r="C154" s="61" t="str">
        <f>IFERROR(__xludf.DUMMYFUNCTION("""COMPUTED_VALUE"""),"h.r.raab@wustl.edu")</f>
        <v>h.r.raab@wustl.edu</v>
      </c>
      <c r="D154" s="61">
        <f>IFERROR(__xludf.DUMMYFUNCTION("""COMPUTED_VALUE"""),9.146062616E9)</f>
        <v>9146062616</v>
      </c>
      <c r="E154" s="61" t="str">
        <f>IFERROR(__xludf.DUMMYFUNCTION("""COMPUTED_VALUE"""),"Hannah Raab")</f>
        <v>Hannah Raab</v>
      </c>
      <c r="F154" s="61"/>
      <c r="G154" s="61"/>
      <c r="H154" s="61" t="str">
        <f>IFERROR(__xludf.DUMMYFUNCTION("""COMPUTED_VALUE"""),"Storage Item Return")</f>
        <v>Storage Item Return</v>
      </c>
      <c r="I154" s="61" t="str">
        <f>IFERROR(__xludf.DUMMYFUNCTION("""COMPUTED_VALUE"""),"University Housing ")</f>
        <v>University Housing </v>
      </c>
      <c r="J154" s="107" t="str">
        <f>IFERROR(__xludf.DUMMYFUNCTION("""COMPUTED_VALUE"""),"09:00 AM to 11:00 AM   ")</f>
        <v>09:00 AM to 11:00 AM   </v>
      </c>
      <c r="K154" s="107">
        <f>IFERROR(__xludf.DUMMYFUNCTION("""COMPUTED_VALUE"""),45883.0)</f>
        <v>45883</v>
      </c>
      <c r="L154" s="61" t="str">
        <f>IFERROR(__xludf.DUMMYFUNCTION("""COMPUTED_VALUE"""),"Village East  ")</f>
        <v>Village East  </v>
      </c>
      <c r="M154" s="61" t="str">
        <f>IFERROR(__xludf.DUMMYFUNCTION("""COMPUTED_VALUE"""),"2091")</f>
        <v>2091</v>
      </c>
      <c r="N154" s="61"/>
      <c r="O154" s="61"/>
      <c r="P154" s="61" t="b">
        <f>COUNTIF('Delivered SIR'!A:A, E154) &gt; 0</f>
        <v>1</v>
      </c>
    </row>
    <row r="155">
      <c r="A155" s="102" t="str">
        <f>IFERROR(__xludf.DUMMYFUNCTION("""COMPUTED_VALUE"""),"https://utrucking.com/admin/orders/5914063798460")</f>
        <v>https://utrucking.com/admin/orders/5914063798460</v>
      </c>
      <c r="B155" s="65" t="str">
        <f>IFERROR(__xludf.DUMMYFUNCTION("""COMPUTED_VALUE"""),"#15598")</f>
        <v>#15598</v>
      </c>
      <c r="C155" s="65"/>
      <c r="D155" s="65">
        <f>IFERROR(__xludf.DUMMYFUNCTION("""COMPUTED_VALUE"""),9.01545952E9)</f>
        <v>9015459520</v>
      </c>
      <c r="E155" s="65" t="str">
        <f>IFERROR(__xludf.DUMMYFUNCTION("""COMPUTED_VALUE"""),"Julian Nguyen")</f>
        <v>Julian Nguyen</v>
      </c>
      <c r="F155" s="65"/>
      <c r="G155" s="65"/>
      <c r="H155" s="65" t="str">
        <f>IFERROR(__xludf.DUMMYFUNCTION("""COMPUTED_VALUE"""),"Storage Item Return")</f>
        <v>Storage Item Return</v>
      </c>
      <c r="I155" s="65" t="str">
        <f>IFERROR(__xludf.DUMMYFUNCTION("""COMPUTED_VALUE"""),"University Housing ")</f>
        <v>University Housing </v>
      </c>
      <c r="J155" s="108" t="str">
        <f>IFERROR(__xludf.DUMMYFUNCTION("""COMPUTED_VALUE"""),"09:00 AM to 11:00 AM   ")</f>
        <v>09:00 AM to 11:00 AM   </v>
      </c>
      <c r="K155" s="108">
        <f>IFERROR(__xludf.DUMMYFUNCTION("""COMPUTED_VALUE"""),45891.0)</f>
        <v>45891</v>
      </c>
      <c r="L155" s="65" t="str">
        <f>IFERROR(__xludf.DUMMYFUNCTION("""COMPUTED_VALUE"""),"Liggett  ")</f>
        <v>Liggett  </v>
      </c>
      <c r="M155" s="65" t="str">
        <f>IFERROR(__xludf.DUMMYFUNCTION("""COMPUTED_VALUE"""),"4464")</f>
        <v>4464</v>
      </c>
      <c r="N155" s="65"/>
      <c r="O155" s="65"/>
      <c r="P155" s="65" t="b">
        <f>COUNTIF('Delivered SIR'!A:A, E155) &gt; 0</f>
        <v>0</v>
      </c>
    </row>
    <row r="156">
      <c r="A156" s="99" t="str">
        <f>IFERROR(__xludf.DUMMYFUNCTION("""COMPUTED_VALUE"""),"https://utrucking.com/admin/orders/5914064027836")</f>
        <v>https://utrucking.com/admin/orders/5914064027836</v>
      </c>
      <c r="B156" s="61" t="str">
        <f>IFERROR(__xludf.DUMMYFUNCTION("""COMPUTED_VALUE"""),"#15599")</f>
        <v>#15599</v>
      </c>
      <c r="C156" s="61" t="str">
        <f>IFERROR(__xludf.DUMMYFUNCTION("""COMPUTED_VALUE"""),"l.tyler@wustl.edu")</f>
        <v>l.tyler@wustl.edu</v>
      </c>
      <c r="D156" s="61">
        <f>IFERROR(__xludf.DUMMYFUNCTION("""COMPUTED_VALUE"""),9.172827563E9)</f>
        <v>9172827563</v>
      </c>
      <c r="E156" s="61" t="str">
        <f>IFERROR(__xludf.DUMMYFUNCTION("""COMPUTED_VALUE"""),"Tyler Leiderman")</f>
        <v>Tyler Leiderman</v>
      </c>
      <c r="F156" s="61"/>
      <c r="G156" s="61"/>
      <c r="H156" s="61" t="str">
        <f>IFERROR(__xludf.DUMMYFUNCTION("""COMPUTED_VALUE"""),"Storage Item Return")</f>
        <v>Storage Item Return</v>
      </c>
      <c r="I156" s="61" t="str">
        <f>IFERROR(__xludf.DUMMYFUNCTION("""COMPUTED_VALUE"""),"University Housing ")</f>
        <v>University Housing </v>
      </c>
      <c r="J156" s="107" t="str">
        <f>IFERROR(__xludf.DUMMYFUNCTION("""COMPUTED_VALUE"""),"09:00 AM to 11:00 AM   ")</f>
        <v>09:00 AM to 11:00 AM   </v>
      </c>
      <c r="K156" s="107">
        <f>IFERROR(__xludf.DUMMYFUNCTION("""COMPUTED_VALUE"""),45883.0)</f>
        <v>45883</v>
      </c>
      <c r="L156" s="61" t="str">
        <f>IFERROR(__xludf.DUMMYFUNCTION("""COMPUTED_VALUE"""),"Millbrook Bldg. 4  ")</f>
        <v>Millbrook Bldg. 4  </v>
      </c>
      <c r="M156" s="61" t="str">
        <f>IFERROR(__xludf.DUMMYFUNCTION("""COMPUTED_VALUE"""),"202C")</f>
        <v>202C</v>
      </c>
      <c r="N156" s="61"/>
      <c r="O156" s="61"/>
      <c r="P156" s="61" t="b">
        <f>COUNTIF('Delivered SIR'!A:A, E156) &gt; 0</f>
        <v>1</v>
      </c>
    </row>
    <row r="157">
      <c r="A157" s="102" t="str">
        <f>IFERROR(__xludf.DUMMYFUNCTION("""COMPUTED_VALUE"""),"https://utrucking.com/admin/orders/5914079002812")</f>
        <v>https://utrucking.com/admin/orders/5914079002812</v>
      </c>
      <c r="B157" s="65" t="str">
        <f>IFERROR(__xludf.DUMMYFUNCTION("""COMPUTED_VALUE"""),"#15600")</f>
        <v>#15600</v>
      </c>
      <c r="C157" s="65" t="str">
        <f>IFERROR(__xludf.DUMMYFUNCTION("""COMPUTED_VALUE"""),"c.t.nelson@wustl.edu")</f>
        <v>c.t.nelson@wustl.edu</v>
      </c>
      <c r="D157" s="65">
        <f>IFERROR(__xludf.DUMMYFUNCTION("""COMPUTED_VALUE"""),8.024516839E9)</f>
        <v>8024516839</v>
      </c>
      <c r="E157" s="65" t="str">
        <f>IFERROR(__xludf.DUMMYFUNCTION("""COMPUTED_VALUE"""),"Cole Nelsin")</f>
        <v>Cole Nelsin</v>
      </c>
      <c r="F157" s="65"/>
      <c r="G157" s="65"/>
      <c r="H157" s="65" t="str">
        <f>IFERROR(__xludf.DUMMYFUNCTION("""COMPUTED_VALUE"""),"Storage Item Return")</f>
        <v>Storage Item Return</v>
      </c>
      <c r="I157" s="65" t="str">
        <f>IFERROR(__xludf.DUMMYFUNCTION("""COMPUTED_VALUE"""),"University Housing ")</f>
        <v>University Housing </v>
      </c>
      <c r="J157" s="108" t="str">
        <f>IFERROR(__xludf.DUMMYFUNCTION("""COMPUTED_VALUE"""),"09:00 AM to 11:00 AM   ")</f>
        <v>09:00 AM to 11:00 AM   </v>
      </c>
      <c r="K157" s="108">
        <f>IFERROR(__xludf.DUMMYFUNCTION("""COMPUTED_VALUE"""),45883.0)</f>
        <v>45883</v>
      </c>
      <c r="L157" s="65" t="str">
        <f>IFERROR(__xludf.DUMMYFUNCTION("""COMPUTED_VALUE"""),"House 1")</f>
        <v>House 1</v>
      </c>
      <c r="M157" s="65" t="str">
        <f>IFERROR(__xludf.DUMMYFUNCTION("""COMPUTED_VALUE"""),"311")</f>
        <v>311</v>
      </c>
      <c r="N157" s="65"/>
      <c r="O157" s="65"/>
      <c r="P157" s="65" t="b">
        <f>COUNTIF('Delivered SIR'!A:A, E157) &gt; 0</f>
        <v>0</v>
      </c>
    </row>
    <row r="158">
      <c r="A158" s="99" t="str">
        <f>IFERROR(__xludf.DUMMYFUNCTION("""COMPUTED_VALUE"""),"https://utrucking.com/admin/orders/5914108362940")</f>
        <v>https://utrucking.com/admin/orders/5914108362940</v>
      </c>
      <c r="B158" s="61" t="str">
        <f>IFERROR(__xludf.DUMMYFUNCTION("""COMPUTED_VALUE"""),"#15601")</f>
        <v>#15601</v>
      </c>
      <c r="C158" s="61"/>
      <c r="D158" s="61">
        <f>IFERROR(__xludf.DUMMYFUNCTION("""COMPUTED_VALUE"""),4.69925541E9)</f>
        <v>4699255410</v>
      </c>
      <c r="E158" s="61" t="str">
        <f>IFERROR(__xludf.DUMMYFUNCTION("""COMPUTED_VALUE"""),"Keshav Vasanth")</f>
        <v>Keshav Vasanth</v>
      </c>
      <c r="F158" s="61"/>
      <c r="G158" s="61"/>
      <c r="H158" s="61" t="str">
        <f>IFERROR(__xludf.DUMMYFUNCTION("""COMPUTED_VALUE"""),"Storage Item Return")</f>
        <v>Storage Item Return</v>
      </c>
      <c r="I158" s="61" t="str">
        <f>IFERROR(__xludf.DUMMYFUNCTION("""COMPUTED_VALUE"""),"University Housing ")</f>
        <v>University Housing </v>
      </c>
      <c r="J158" s="107" t="str">
        <f>IFERROR(__xludf.DUMMYFUNCTION("""COMPUTED_VALUE"""),"09:00 AM to 11:00 AM   ")</f>
        <v>09:00 AM to 11:00 AM   </v>
      </c>
      <c r="K158" s="107">
        <f>IFERROR(__xludf.DUMMYFUNCTION("""COMPUTED_VALUE"""),45877.0)</f>
        <v>45877</v>
      </c>
      <c r="L158" s="61" t="str">
        <f>IFERROR(__xludf.DUMMYFUNCTION("""COMPUTED_VALUE"""),"Park  ")</f>
        <v>Park  </v>
      </c>
      <c r="M158" s="61" t="str">
        <f>IFERROR(__xludf.DUMMYFUNCTION("""COMPUTED_VALUE"""),"352")</f>
        <v>352</v>
      </c>
      <c r="N158" s="61"/>
      <c r="O158" s="61"/>
      <c r="P158" s="61" t="b">
        <f>COUNTIF('Delivered SIR'!A:A, E158) &gt; 0</f>
        <v>1</v>
      </c>
    </row>
    <row r="159">
      <c r="A159" s="102" t="str">
        <f>IFERROR(__xludf.DUMMYFUNCTION("""COMPUTED_VALUE"""),"https://utrucking.com/admin/orders/5914113376444")</f>
        <v>https://utrucking.com/admin/orders/5914113376444</v>
      </c>
      <c r="B159" s="65" t="str">
        <f>IFERROR(__xludf.DUMMYFUNCTION("""COMPUTED_VALUE"""),"#15603")</f>
        <v>#15603</v>
      </c>
      <c r="C159" s="65" t="str">
        <f>IFERROR(__xludf.DUMMYFUNCTION("""COMPUTED_VALUE"""),"caitlindwilliams@icloud.com")</f>
        <v>caitlindwilliams@icloud.com</v>
      </c>
      <c r="D159" s="65">
        <f>IFERROR(__xludf.DUMMYFUNCTION("""COMPUTED_VALUE"""),9.082747241E9)</f>
        <v>9082747241</v>
      </c>
      <c r="E159" s="65" t="str">
        <f>IFERROR(__xludf.DUMMYFUNCTION("""COMPUTED_VALUE"""),"Caitlin Williams")</f>
        <v>Caitlin Williams</v>
      </c>
      <c r="F159" s="65"/>
      <c r="G159" s="65"/>
      <c r="H159" s="65" t="str">
        <f>IFERROR(__xludf.DUMMYFUNCTION("""COMPUTED_VALUE"""),"Storage Item Return")</f>
        <v>Storage Item Return</v>
      </c>
      <c r="I159" s="65" t="str">
        <f>IFERROR(__xludf.DUMMYFUNCTION("""COMPUTED_VALUE"""),"University Housing ")</f>
        <v>University Housing </v>
      </c>
      <c r="J159" s="108" t="str">
        <f>IFERROR(__xludf.DUMMYFUNCTION("""COMPUTED_VALUE"""),"09:00 AM to 11:00 AM   ")</f>
        <v>09:00 AM to 11:00 AM   </v>
      </c>
      <c r="K159" s="108">
        <f>IFERROR(__xludf.DUMMYFUNCTION("""COMPUTED_VALUE"""),45890.0)</f>
        <v>45890</v>
      </c>
      <c r="L159" s="65" t="str">
        <f>IFERROR(__xludf.DUMMYFUNCTION("""COMPUTED_VALUE"""),"Millbrook Bldg. 3  ")</f>
        <v>Millbrook Bldg. 3  </v>
      </c>
      <c r="M159" s="65" t="str">
        <f>IFERROR(__xludf.DUMMYFUNCTION("""COMPUTED_VALUE"""),"201")</f>
        <v>201</v>
      </c>
      <c r="N159" s="65"/>
      <c r="O159" s="65"/>
      <c r="P159" s="65" t="b">
        <f>COUNTIF('Delivered SIR'!A:A, E159) &gt; 0</f>
        <v>1</v>
      </c>
    </row>
    <row r="160">
      <c r="A160" s="99" t="str">
        <f>IFERROR(__xludf.DUMMYFUNCTION("""COMPUTED_VALUE"""),"https://utrucking.com/admin/orders/5914175570108")</f>
        <v>https://utrucking.com/admin/orders/5914175570108</v>
      </c>
      <c r="B160" s="61" t="str">
        <f>IFERROR(__xludf.DUMMYFUNCTION("""COMPUTED_VALUE"""),"#15605")</f>
        <v>#15605</v>
      </c>
      <c r="C160" s="61" t="str">
        <f>IFERROR(__xludf.DUMMYFUNCTION("""COMPUTED_VALUE"""),"o.m.sohn@wustl.edu")</f>
        <v>o.m.sohn@wustl.edu</v>
      </c>
      <c r="D160" s="61">
        <f>IFERROR(__xludf.DUMMYFUNCTION("""COMPUTED_VALUE"""),9.173716988E9)</f>
        <v>9173716988</v>
      </c>
      <c r="E160" s="61" t="str">
        <f>IFERROR(__xludf.DUMMYFUNCTION("""COMPUTED_VALUE"""),"Olivia Sohn")</f>
        <v>Olivia Sohn</v>
      </c>
      <c r="F160" s="61"/>
      <c r="G160" s="61"/>
      <c r="H160" s="61" t="str">
        <f>IFERROR(__xludf.DUMMYFUNCTION("""COMPUTED_VALUE"""),"Storage Item Return")</f>
        <v>Storage Item Return</v>
      </c>
      <c r="I160" s="61" t="str">
        <f>IFERROR(__xludf.DUMMYFUNCTION("""COMPUTED_VALUE"""),"University Housing ")</f>
        <v>University Housing </v>
      </c>
      <c r="J160" s="107" t="str">
        <f>IFERROR(__xludf.DUMMYFUNCTION("""COMPUTED_VALUE"""),"09:00 AM to 11:00 AM   ")</f>
        <v>09:00 AM to 11:00 AM   </v>
      </c>
      <c r="K160" s="107">
        <f>IFERROR(__xludf.DUMMYFUNCTION("""COMPUTED_VALUE"""),45883.0)</f>
        <v>45883</v>
      </c>
      <c r="L160" s="61" t="str">
        <f>IFERROR(__xludf.DUMMYFUNCTION("""COMPUTED_VALUE"""),"Beaumont  ")</f>
        <v>Beaumont  </v>
      </c>
      <c r="M160" s="61" t="str">
        <f>IFERROR(__xludf.DUMMYFUNCTION("""COMPUTED_VALUE"""),"Beaumont - 206 - b")</f>
        <v>Beaumont - 206 - b</v>
      </c>
      <c r="N160" s="61"/>
      <c r="O160" s="61"/>
      <c r="P160" s="61" t="b">
        <f>COUNTIF('Delivered SIR'!A:A, E160) &gt; 0</f>
        <v>1</v>
      </c>
    </row>
    <row r="161">
      <c r="A161" s="102" t="str">
        <f>IFERROR(__xludf.DUMMYFUNCTION("""COMPUTED_VALUE"""),"https://utrucking.com/admin/orders/5914184810684")</f>
        <v>https://utrucking.com/admin/orders/5914184810684</v>
      </c>
      <c r="B161" s="65" t="str">
        <f>IFERROR(__xludf.DUMMYFUNCTION("""COMPUTED_VALUE"""),"#15606")</f>
        <v>#15606</v>
      </c>
      <c r="C161" s="65" t="str">
        <f>IFERROR(__xludf.DUMMYFUNCTION("""COMPUTED_VALUE"""),"mnzouenkeu@gmail.com")</f>
        <v>mnzouenkeu@gmail.com</v>
      </c>
      <c r="D161" s="65">
        <f>IFERROR(__xludf.DUMMYFUNCTION("""COMPUTED_VALUE"""),5.184202821E9)</f>
        <v>5184202821</v>
      </c>
      <c r="E161" s="65" t="str">
        <f>IFERROR(__xludf.DUMMYFUNCTION("""COMPUTED_VALUE"""),"Jason-Franck Nzouenkeu")</f>
        <v>Jason-Franck Nzouenkeu</v>
      </c>
      <c r="F161" s="65"/>
      <c r="G161" s="65"/>
      <c r="H161" s="65" t="str">
        <f>IFERROR(__xludf.DUMMYFUNCTION("""COMPUTED_VALUE"""),"Storage Item Return")</f>
        <v>Storage Item Return</v>
      </c>
      <c r="I161" s="65" t="str">
        <f>IFERROR(__xludf.DUMMYFUNCTION("""COMPUTED_VALUE"""),"University Housing ")</f>
        <v>University Housing </v>
      </c>
      <c r="J161" s="108" t="str">
        <f>IFERROR(__xludf.DUMMYFUNCTION("""COMPUTED_VALUE"""),"02:00 PM to 04:00 PM ")</f>
        <v>02:00 PM to 04:00 PM </v>
      </c>
      <c r="K161" s="108">
        <f>IFERROR(__xludf.DUMMYFUNCTION("""COMPUTED_VALUE"""),45883.0)</f>
        <v>45883</v>
      </c>
      <c r="L161" s="65" t="str">
        <f>IFERROR(__xludf.DUMMYFUNCTION("""COMPUTED_VALUE"""),"Lopata  ")</f>
        <v>Lopata  </v>
      </c>
      <c r="M161" s="65" t="str">
        <f>IFERROR(__xludf.DUMMYFUNCTION("""COMPUTED_VALUE"""),"1022 - a")</f>
        <v>1022 - a</v>
      </c>
      <c r="N161" s="65"/>
      <c r="O161" s="65"/>
      <c r="P161" s="65" t="b">
        <f>COUNTIF('Delivered SIR'!A:A, E161) &gt; 0</f>
        <v>1</v>
      </c>
    </row>
    <row r="162">
      <c r="A162" s="99" t="str">
        <f>IFERROR(__xludf.DUMMYFUNCTION("""COMPUTED_VALUE"""),"https://utrucking.com/admin/orders/5914230358204")</f>
        <v>https://utrucking.com/admin/orders/5914230358204</v>
      </c>
      <c r="B162" s="61" t="str">
        <f>IFERROR(__xludf.DUMMYFUNCTION("""COMPUTED_VALUE"""),"#15610")</f>
        <v>#15610</v>
      </c>
      <c r="C162" s="61" t="str">
        <f>IFERROR(__xludf.DUMMYFUNCTION("""COMPUTED_VALUE"""),"ella.j@wustl.edu")</f>
        <v>ella.j@wustl.edu</v>
      </c>
      <c r="D162" s="61">
        <f>IFERROR(__xludf.DUMMYFUNCTION("""COMPUTED_VALUE"""),1.045349699E9)</f>
        <v>1045349699</v>
      </c>
      <c r="E162" s="61" t="str">
        <f>IFERROR(__xludf.DUMMYFUNCTION("""COMPUTED_VALUE"""),"Min Seo Jang")</f>
        <v>Min Seo Jang</v>
      </c>
      <c r="F162" s="61"/>
      <c r="G162" s="61"/>
      <c r="H162" s="61" t="str">
        <f>IFERROR(__xludf.DUMMYFUNCTION("""COMPUTED_VALUE"""),"Storage Item Return")</f>
        <v>Storage Item Return</v>
      </c>
      <c r="I162" s="61" t="str">
        <f>IFERROR(__xludf.DUMMYFUNCTION("""COMPUTED_VALUE"""),"University Housing ")</f>
        <v>University Housing </v>
      </c>
      <c r="J162" s="107" t="str">
        <f>IFERROR(__xludf.DUMMYFUNCTION("""COMPUTED_VALUE"""),"09:00 AM to 11:00 AM   ")</f>
        <v>09:00 AM to 11:00 AM   </v>
      </c>
      <c r="K162" s="107">
        <f>IFERROR(__xludf.DUMMYFUNCTION("""COMPUTED_VALUE"""),45883.0)</f>
        <v>45883</v>
      </c>
      <c r="L162" s="61" t="str">
        <f>IFERROR(__xludf.DUMMYFUNCTION("""COMPUTED_VALUE"""),"Village East  ")</f>
        <v>Village East  </v>
      </c>
      <c r="M162" s="61" t="str">
        <f>IFERROR(__xludf.DUMMYFUNCTION("""COMPUTED_VALUE"""),"2074 - a")</f>
        <v>2074 - a</v>
      </c>
      <c r="N162" s="61"/>
      <c r="O162" s="61"/>
      <c r="P162" s="61" t="b">
        <f>COUNTIF('Delivered SIR'!A:A, E162) &gt; 0</f>
        <v>0</v>
      </c>
    </row>
    <row r="163">
      <c r="A163" s="102" t="str">
        <f>IFERROR(__xludf.DUMMYFUNCTION("""COMPUTED_VALUE"""),"https://utrucking.com/admin/orders/5914257260732")</f>
        <v>https://utrucking.com/admin/orders/5914257260732</v>
      </c>
      <c r="B163" s="65" t="str">
        <f>IFERROR(__xludf.DUMMYFUNCTION("""COMPUTED_VALUE"""),"#15611")</f>
        <v>#15611</v>
      </c>
      <c r="C163" s="65" t="str">
        <f>IFERROR(__xludf.DUMMYFUNCTION("""COMPUTED_VALUE"""),"hbyzhang17@gmail.com")</f>
        <v>hbyzhang17@gmail.com</v>
      </c>
      <c r="D163" s="65"/>
      <c r="E163" s="65" t="str">
        <f>IFERROR(__xludf.DUMMYFUNCTION("""COMPUTED_VALUE"""),"ZHANG BOYUAN")</f>
        <v>ZHANG BOYUAN</v>
      </c>
      <c r="F163" s="65"/>
      <c r="G163" s="65" t="str">
        <f>IFERROR(__xludf.DUMMYFUNCTION("""COMPUTED_VALUE"""),"5800 Highlands Plaza Dr Apt 452")</f>
        <v>5800 Highlands Plaza Dr Apt 452</v>
      </c>
      <c r="H163" s="65" t="str">
        <f>IFERROR(__xludf.DUMMYFUNCTION("""COMPUTED_VALUE"""),"Storage Item Return")</f>
        <v>Storage Item Return</v>
      </c>
      <c r="I163" s="65" t="str">
        <f>IFERROR(__xludf.DUMMYFUNCTION("""COMPUTED_VALUE"""),"Non-University Housing ")</f>
        <v>Non-University Housing </v>
      </c>
      <c r="J163" s="108" t="str">
        <f>IFERROR(__xludf.DUMMYFUNCTION("""COMPUTED_VALUE"""),"01:00 PM to 03:00 PM   ")</f>
        <v>01:00 PM to 03:00 PM   </v>
      </c>
      <c r="K163" s="108">
        <f>IFERROR(__xludf.DUMMYFUNCTION("""COMPUTED_VALUE"""),45891.0)</f>
        <v>45891</v>
      </c>
      <c r="L163" s="65"/>
      <c r="M163" s="65"/>
      <c r="N163" s="65" t="str">
        <f>IFERROR(__xludf.DUMMYFUNCTION("""COMPUTED_VALUE"""),"5800 Highlands Plaza Dr Apt 452")</f>
        <v>5800 Highlands Plaza Dr Apt 452</v>
      </c>
      <c r="O163" s="65"/>
      <c r="P163" s="65" t="b">
        <f>COUNTIF('Delivered SIR'!A:A, E163) &gt; 0</f>
        <v>0</v>
      </c>
    </row>
    <row r="164">
      <c r="A164" s="99" t="str">
        <f>IFERROR(__xludf.DUMMYFUNCTION("""COMPUTED_VALUE"""),"https://utrucking.com/admin/orders/5914270269628")</f>
        <v>https://utrucking.com/admin/orders/5914270269628</v>
      </c>
      <c r="B164" s="61" t="str">
        <f>IFERROR(__xludf.DUMMYFUNCTION("""COMPUTED_VALUE"""),"#15612")</f>
        <v>#15612</v>
      </c>
      <c r="C164" s="61" t="str">
        <f>IFERROR(__xludf.DUMMYFUNCTION("""COMPUTED_VALUE"""),"e.h.kang@wustl.edu")</f>
        <v>e.h.kang@wustl.edu</v>
      </c>
      <c r="D164" s="61">
        <f>IFERROR(__xludf.DUMMYFUNCTION("""COMPUTED_VALUE"""),8.21037260719E11)</f>
        <v>821037260719</v>
      </c>
      <c r="E164" s="61" t="str">
        <f>IFERROR(__xludf.DUMMYFUNCTION("""COMPUTED_VALUE"""),"Hun Sok Kang")</f>
        <v>Hun Sok Kang</v>
      </c>
      <c r="F164" s="61"/>
      <c r="G164" s="61"/>
      <c r="H164" s="61" t="str">
        <f>IFERROR(__xludf.DUMMYFUNCTION("""COMPUTED_VALUE"""),"Storage Item Return")</f>
        <v>Storage Item Return</v>
      </c>
      <c r="I164" s="61" t="str">
        <f>IFERROR(__xludf.DUMMYFUNCTION("""COMPUTED_VALUE"""),"University Housing ")</f>
        <v>University Housing </v>
      </c>
      <c r="J164" s="107" t="str">
        <f>IFERROR(__xludf.DUMMYFUNCTION("""COMPUTED_VALUE"""),"11:00 AM to 01:00 PM   ")</f>
        <v>11:00 AM to 01:00 PM   </v>
      </c>
      <c r="K164" s="107">
        <f>IFERROR(__xludf.DUMMYFUNCTION("""COMPUTED_VALUE"""),45883.0)</f>
        <v>45883</v>
      </c>
      <c r="L164" s="61" t="str">
        <f>IFERROR(__xludf.DUMMYFUNCTION("""COMPUTED_VALUE"""),"Beaumont  ")</f>
        <v>Beaumont  </v>
      </c>
      <c r="M164" s="61" t="str">
        <f>IFERROR(__xludf.DUMMYFUNCTION("""COMPUTED_VALUE"""),"105 a")</f>
        <v>105 a</v>
      </c>
      <c r="N164" s="61"/>
      <c r="O164" s="61"/>
      <c r="P164" s="61" t="b">
        <f>COUNTIF('Delivered SIR'!A:A, E164) &gt; 0</f>
        <v>0</v>
      </c>
    </row>
    <row r="165">
      <c r="A165" s="102" t="str">
        <f>IFERROR(__xludf.DUMMYFUNCTION("""COMPUTED_VALUE"""),"https://utrucking.com/admin/orders/5914395574460")</f>
        <v>https://utrucking.com/admin/orders/5914395574460</v>
      </c>
      <c r="B165" s="65" t="str">
        <f>IFERROR(__xludf.DUMMYFUNCTION("""COMPUTED_VALUE"""),"#15613")</f>
        <v>#15613</v>
      </c>
      <c r="C165" s="65" t="str">
        <f>IFERROR(__xludf.DUMMYFUNCTION("""COMPUTED_VALUE"""),"michelemusicsteele@gmail.com")</f>
        <v>michelemusicsteele@gmail.com</v>
      </c>
      <c r="D165" s="65">
        <f>IFERROR(__xludf.DUMMYFUNCTION("""COMPUTED_VALUE"""),2.536914831E9)</f>
        <v>2536914831</v>
      </c>
      <c r="E165" s="65" t="str">
        <f>IFERROR(__xludf.DUMMYFUNCTION("""COMPUTED_VALUE"""),"Michele Steele")</f>
        <v>Michele Steele</v>
      </c>
      <c r="F165" s="65"/>
      <c r="G165" s="65"/>
      <c r="H165" s="65" t="str">
        <f>IFERROR(__xludf.DUMMYFUNCTION("""COMPUTED_VALUE"""),"Storage Item Return")</f>
        <v>Storage Item Return</v>
      </c>
      <c r="I165" s="65" t="str">
        <f>IFERROR(__xludf.DUMMYFUNCTION("""COMPUTED_VALUE"""),"University Housing ")</f>
        <v>University Housing </v>
      </c>
      <c r="J165" s="108" t="str">
        <f>IFERROR(__xludf.DUMMYFUNCTION("""COMPUTED_VALUE"""),"09:00 AM to 11:00 AM   ")</f>
        <v>09:00 AM to 11:00 AM   </v>
      </c>
      <c r="K165" s="108">
        <f>IFERROR(__xludf.DUMMYFUNCTION("""COMPUTED_VALUE"""),45890.0)</f>
        <v>45890</v>
      </c>
      <c r="L165" s="65" t="str">
        <f>IFERROR(__xludf.DUMMYFUNCTION("""COMPUTED_VALUE"""),"Village East  ")</f>
        <v>Village East  </v>
      </c>
      <c r="M165" s="65" t="str">
        <f>IFERROR(__xludf.DUMMYFUNCTION("""COMPUTED_VALUE"""),"village east 0063")</f>
        <v>village east 0063</v>
      </c>
      <c r="N165" s="65"/>
      <c r="O165" s="65"/>
      <c r="P165" s="65" t="b">
        <f>COUNTIF('Delivered SIR'!A:A, E165) &gt; 0</f>
        <v>0</v>
      </c>
    </row>
    <row r="166">
      <c r="A166" s="99" t="str">
        <f>IFERROR(__xludf.DUMMYFUNCTION("""COMPUTED_VALUE"""),"https://utrucking.com/admin/orders/5914411958460")</f>
        <v>https://utrucking.com/admin/orders/5914411958460</v>
      </c>
      <c r="B166" s="61" t="str">
        <f>IFERROR(__xludf.DUMMYFUNCTION("""COMPUTED_VALUE"""),"#15614")</f>
        <v>#15614</v>
      </c>
      <c r="C166" s="61" t="str">
        <f>IFERROR(__xludf.DUMMYFUNCTION("""COMPUTED_VALUE"""),"melpollack@yahoo.com")</f>
        <v>melpollack@yahoo.com</v>
      </c>
      <c r="D166" s="61">
        <f>IFERROR(__xludf.DUMMYFUNCTION("""COMPUTED_VALUE"""),9.176897822E9)</f>
        <v>9176897822</v>
      </c>
      <c r="E166" s="61" t="str">
        <f>IFERROR(__xludf.DUMMYFUNCTION("""COMPUTED_VALUE"""),"Melissa Pollack")</f>
        <v>Melissa Pollack</v>
      </c>
      <c r="F166" s="61"/>
      <c r="G166" s="61"/>
      <c r="H166" s="61" t="str">
        <f>IFERROR(__xludf.DUMMYFUNCTION("""COMPUTED_VALUE"""),"Storage Item Return")</f>
        <v>Storage Item Return</v>
      </c>
      <c r="I166" s="61" t="str">
        <f>IFERROR(__xludf.DUMMYFUNCTION("""COMPUTED_VALUE"""),"University Housing ")</f>
        <v>University Housing </v>
      </c>
      <c r="J166" s="107" t="str">
        <f>IFERROR(__xludf.DUMMYFUNCTION("""COMPUTED_VALUE"""),"09:00 AM to 11:00 AM   ")</f>
        <v>09:00 AM to 11:00 AM   </v>
      </c>
      <c r="K166" s="107">
        <f>IFERROR(__xludf.DUMMYFUNCTION("""COMPUTED_VALUE"""),45883.0)</f>
        <v>45883</v>
      </c>
      <c r="L166" s="61" t="str">
        <f>IFERROR(__xludf.DUMMYFUNCTION("""COMPUTED_VALUE"""),"Wheeler  ")</f>
        <v>Wheeler  </v>
      </c>
      <c r="M166" s="61" t="str">
        <f>IFERROR(__xludf.DUMMYFUNCTION("""COMPUTED_VALUE"""),"3104")</f>
        <v>3104</v>
      </c>
      <c r="N166" s="61"/>
      <c r="O166" s="61"/>
      <c r="P166" s="61" t="b">
        <f>COUNTIF('Delivered SIR'!A:A, E166) &gt; 0</f>
        <v>0</v>
      </c>
    </row>
    <row r="167">
      <c r="A167" s="102" t="str">
        <f>IFERROR(__xludf.DUMMYFUNCTION("""COMPUTED_VALUE"""),"https://utrucking.com/admin/orders/5914416939196")</f>
        <v>https://utrucking.com/admin/orders/5914416939196</v>
      </c>
      <c r="B167" s="65" t="str">
        <f>IFERROR(__xludf.DUMMYFUNCTION("""COMPUTED_VALUE"""),"#15615")</f>
        <v>#15615</v>
      </c>
      <c r="C167" s="65" t="str">
        <f>IFERROR(__xludf.DUMMYFUNCTION("""COMPUTED_VALUE"""),"j.tali@wustl.edu")</f>
        <v>j.tali@wustl.edu</v>
      </c>
      <c r="D167" s="65">
        <f>IFERROR(__xludf.DUMMYFUNCTION("""COMPUTED_VALUE"""),5.122001577E9)</f>
        <v>5122001577</v>
      </c>
      <c r="E167" s="65" t="str">
        <f>IFERROR(__xludf.DUMMYFUNCTION("""COMPUTED_VALUE"""),"Tali Jarmond")</f>
        <v>Tali Jarmond</v>
      </c>
      <c r="F167" s="65"/>
      <c r="G167" s="65"/>
      <c r="H167" s="65" t="str">
        <f>IFERROR(__xludf.DUMMYFUNCTION("""COMPUTED_VALUE"""),"Storage Item Return")</f>
        <v>Storage Item Return</v>
      </c>
      <c r="I167" s="65" t="str">
        <f>IFERROR(__xludf.DUMMYFUNCTION("""COMPUTED_VALUE"""),"University Housing ")</f>
        <v>University Housing </v>
      </c>
      <c r="J167" s="108" t="str">
        <f>IFERROR(__xludf.DUMMYFUNCTION("""COMPUTED_VALUE"""),"09:00 AM to 11:00 AM   ")</f>
        <v>09:00 AM to 11:00 AM   </v>
      </c>
      <c r="K167" s="108">
        <f>IFERROR(__xludf.DUMMYFUNCTION("""COMPUTED_VALUE"""),45878.0)</f>
        <v>45878</v>
      </c>
      <c r="L167" s="65" t="str">
        <f>IFERROR(__xludf.DUMMYFUNCTION("""COMPUTED_VALUE"""),"Umrath  ")</f>
        <v>Umrath  </v>
      </c>
      <c r="M167" s="65" t="str">
        <f>IFERROR(__xludf.DUMMYFUNCTION("""COMPUTED_VALUE"""),"4410")</f>
        <v>4410</v>
      </c>
      <c r="N167" s="65"/>
      <c r="O167" s="65"/>
      <c r="P167" s="65" t="b">
        <f>COUNTIF('Delivered SIR'!A:A, E167) &gt; 0</f>
        <v>1</v>
      </c>
    </row>
    <row r="168">
      <c r="A168" s="99" t="str">
        <f>IFERROR(__xludf.DUMMYFUNCTION("""COMPUTED_VALUE"""),"https://utrucking.com/admin/orders/5914453803196")</f>
        <v>https://utrucking.com/admin/orders/5914453803196</v>
      </c>
      <c r="B168" s="61" t="str">
        <f>IFERROR(__xludf.DUMMYFUNCTION("""COMPUTED_VALUE"""),"#15616")</f>
        <v>#15616</v>
      </c>
      <c r="C168" s="61" t="str">
        <f>IFERROR(__xludf.DUMMYFUNCTION("""COMPUTED_VALUE"""),"kleinstephen88@gmail.com")</f>
        <v>kleinstephen88@gmail.com</v>
      </c>
      <c r="D168" s="61">
        <f>IFERROR(__xludf.DUMMYFUNCTION("""COMPUTED_VALUE"""),9.258859084E9)</f>
        <v>9258859084</v>
      </c>
      <c r="E168" s="61" t="str">
        <f>IFERROR(__xludf.DUMMYFUNCTION("""COMPUTED_VALUE"""),"Kenneth Klein")</f>
        <v>Kenneth Klein</v>
      </c>
      <c r="F168" s="61"/>
      <c r="G168" s="61"/>
      <c r="H168" s="61" t="str">
        <f>IFERROR(__xludf.DUMMYFUNCTION("""COMPUTED_VALUE"""),"Storage Item Return")</f>
        <v>Storage Item Return</v>
      </c>
      <c r="I168" s="61" t="str">
        <f>IFERROR(__xludf.DUMMYFUNCTION("""COMPUTED_VALUE"""),"University Housing ")</f>
        <v>University Housing </v>
      </c>
      <c r="J168" s="107" t="str">
        <f>IFERROR(__xludf.DUMMYFUNCTION("""COMPUTED_VALUE"""),"09:00 AM to 11:00 AM   ")</f>
        <v>09:00 AM to 11:00 AM   </v>
      </c>
      <c r="K168" s="107">
        <f>IFERROR(__xludf.DUMMYFUNCTION("""COMPUTED_VALUE"""),45892.0)</f>
        <v>45892</v>
      </c>
      <c r="L168" s="61" t="str">
        <f>IFERROR(__xludf.DUMMYFUNCTION("""COMPUTED_VALUE"""),"Zetcher  ")</f>
        <v>Zetcher  </v>
      </c>
      <c r="M168" s="61" t="str">
        <f>IFERROR(__xludf.DUMMYFUNCTION("""COMPUTED_VALUE"""),"2030")</f>
        <v>2030</v>
      </c>
      <c r="N168" s="61"/>
      <c r="O168" s="61"/>
      <c r="P168" s="61" t="b">
        <f>COUNTIF('Delivered SIR'!A:A, E168) &gt; 0</f>
        <v>0</v>
      </c>
    </row>
    <row r="169">
      <c r="A169" s="102" t="str">
        <f>IFERROR(__xludf.DUMMYFUNCTION("""COMPUTED_VALUE"""),"https://utrucking.com/admin/orders/5914463731900")</f>
        <v>https://utrucking.com/admin/orders/5914463731900</v>
      </c>
      <c r="B169" s="65" t="str">
        <f>IFERROR(__xludf.DUMMYFUNCTION("""COMPUTED_VALUE"""),"#15618")</f>
        <v>#15618</v>
      </c>
      <c r="C169" s="65" t="str">
        <f>IFERROR(__xludf.DUMMYFUNCTION("""COMPUTED_VALUE"""),"mwstike21@gmail.com")</f>
        <v>mwstike21@gmail.com</v>
      </c>
      <c r="D169" s="65">
        <f>IFERROR(__xludf.DUMMYFUNCTION("""COMPUTED_VALUE"""),7.742705618E9)</f>
        <v>7742705618</v>
      </c>
      <c r="E169" s="65" t="str">
        <f>IFERROR(__xludf.DUMMYFUNCTION("""COMPUTED_VALUE"""),"Madison Stikeleather")</f>
        <v>Madison Stikeleather</v>
      </c>
      <c r="F169" s="65"/>
      <c r="G169" s="65"/>
      <c r="H169" s="65" t="str">
        <f>IFERROR(__xludf.DUMMYFUNCTION("""COMPUTED_VALUE"""),"Storage Item Return")</f>
        <v>Storage Item Return</v>
      </c>
      <c r="I169" s="65" t="str">
        <f>IFERROR(__xludf.DUMMYFUNCTION("""COMPUTED_VALUE"""),"University Housing ")</f>
        <v>University Housing </v>
      </c>
      <c r="J169" s="108" t="str">
        <f>IFERROR(__xludf.DUMMYFUNCTION("""COMPUTED_VALUE"""),"09:00 AM to 11:00 AM   ")</f>
        <v>09:00 AM to 11:00 AM   </v>
      </c>
      <c r="K169" s="108">
        <f>IFERROR(__xludf.DUMMYFUNCTION("""COMPUTED_VALUE"""),45883.0)</f>
        <v>45883</v>
      </c>
      <c r="L169" s="65" t="str">
        <f>IFERROR(__xludf.DUMMYFUNCTION("""COMPUTED_VALUE"""),"Nemerov  ")</f>
        <v>Nemerov  </v>
      </c>
      <c r="M169" s="65" t="str">
        <f>IFERROR(__xludf.DUMMYFUNCTION("""COMPUTED_VALUE"""),"3082")</f>
        <v>3082</v>
      </c>
      <c r="N169" s="65"/>
      <c r="O169" s="65"/>
      <c r="P169" s="65" t="b">
        <f>COUNTIF('Delivered SIR'!A:A, E169) &gt; 0</f>
        <v>1</v>
      </c>
    </row>
    <row r="170">
      <c r="A170" s="99" t="str">
        <f>IFERROR(__xludf.DUMMYFUNCTION("""COMPUTED_VALUE"""),"https://utrucking.com/admin/orders/5914471465148")</f>
        <v>https://utrucking.com/admin/orders/5914471465148</v>
      </c>
      <c r="B170" s="61" t="str">
        <f>IFERROR(__xludf.DUMMYFUNCTION("""COMPUTED_VALUE"""),"#15619")</f>
        <v>#15619</v>
      </c>
      <c r="C170" s="61" t="str">
        <f>IFERROR(__xludf.DUMMYFUNCTION("""COMPUTED_VALUE"""),"b.seoyoung@wustl.edu")</f>
        <v>b.seoyoung@wustl.edu</v>
      </c>
      <c r="D170" s="61">
        <f>IFERROR(__xludf.DUMMYFUNCTION("""COMPUTED_VALUE"""),4.086554687E9)</f>
        <v>4086554687</v>
      </c>
      <c r="E170" s="61" t="str">
        <f>IFERROR(__xludf.DUMMYFUNCTION("""COMPUTED_VALUE"""),"Seoyoung Bae")</f>
        <v>Seoyoung Bae</v>
      </c>
      <c r="F170" s="61"/>
      <c r="G170" s="61"/>
      <c r="H170" s="61" t="str">
        <f>IFERROR(__xludf.DUMMYFUNCTION("""COMPUTED_VALUE"""),"Storage Item Return")</f>
        <v>Storage Item Return</v>
      </c>
      <c r="I170" s="61" t="str">
        <f>IFERROR(__xludf.DUMMYFUNCTION("""COMPUTED_VALUE"""),"University Housing ")</f>
        <v>University Housing </v>
      </c>
      <c r="J170" s="107" t="str">
        <f>IFERROR(__xludf.DUMMYFUNCTION("""COMPUTED_VALUE"""),"09:00 AM to 11:00 AM   ")</f>
        <v>09:00 AM to 11:00 AM   </v>
      </c>
      <c r="K170" s="107">
        <f>IFERROR(__xludf.DUMMYFUNCTION("""COMPUTED_VALUE"""),45883.0)</f>
        <v>45883</v>
      </c>
      <c r="L170" s="61" t="str">
        <f>IFERROR(__xludf.DUMMYFUNCTION("""COMPUTED_VALUE"""),"Loop Loft 6300  ")</f>
        <v>Loop Loft 6300  </v>
      </c>
      <c r="M170" s="61" t="str">
        <f>IFERROR(__xludf.DUMMYFUNCTION("""COMPUTED_VALUE"""),"211B")</f>
        <v>211B</v>
      </c>
      <c r="N170" s="61"/>
      <c r="O170" s="61"/>
      <c r="P170" s="61" t="b">
        <f>COUNTIF('Delivered SIR'!A:A, E170) &gt; 0</f>
        <v>1</v>
      </c>
    </row>
    <row r="171">
      <c r="A171" s="102" t="str">
        <f>IFERROR(__xludf.DUMMYFUNCTION("""COMPUTED_VALUE"""),"https://utrucking.com/admin/orders/5914475495612")</f>
        <v>https://utrucking.com/admin/orders/5914475495612</v>
      </c>
      <c r="B171" s="65" t="str">
        <f>IFERROR(__xludf.DUMMYFUNCTION("""COMPUTED_VALUE"""),"#15620")</f>
        <v>#15620</v>
      </c>
      <c r="C171" s="65" t="str">
        <f>IFERROR(__xludf.DUMMYFUNCTION("""COMPUTED_VALUE"""),"e.a.mccullough@wustl.edu")</f>
        <v>e.a.mccullough@wustl.edu</v>
      </c>
      <c r="D171" s="65">
        <f>IFERROR(__xludf.DUMMYFUNCTION("""COMPUTED_VALUE"""),9.178591903E9)</f>
        <v>9178591903</v>
      </c>
      <c r="E171" s="65" t="str">
        <f>IFERROR(__xludf.DUMMYFUNCTION("""COMPUTED_VALUE"""),"Ella McCullough")</f>
        <v>Ella McCullough</v>
      </c>
      <c r="F171" s="65"/>
      <c r="G171" s="65"/>
      <c r="H171" s="65" t="str">
        <f>IFERROR(__xludf.DUMMYFUNCTION("""COMPUTED_VALUE"""),"Storage Item Return")</f>
        <v>Storage Item Return</v>
      </c>
      <c r="I171" s="65" t="str">
        <f>IFERROR(__xludf.DUMMYFUNCTION("""COMPUTED_VALUE"""),"University Housing ")</f>
        <v>University Housing </v>
      </c>
      <c r="J171" s="108" t="str">
        <f>IFERROR(__xludf.DUMMYFUNCTION("""COMPUTED_VALUE"""),"09:00 AM to 11:00 AM   ")</f>
        <v>09:00 AM to 11:00 AM   </v>
      </c>
      <c r="K171" s="108">
        <f>IFERROR(__xludf.DUMMYFUNCTION("""COMPUTED_VALUE"""),45883.0)</f>
        <v>45883</v>
      </c>
      <c r="L171" s="65" t="str">
        <f>IFERROR(__xludf.DUMMYFUNCTION("""COMPUTED_VALUE"""),"Millbrook Bldg. 2  ")</f>
        <v>Millbrook Bldg. 2  </v>
      </c>
      <c r="M171" s="65" t="str">
        <f>IFERROR(__xludf.DUMMYFUNCTION("""COMPUTED_VALUE"""),"303C - a")</f>
        <v>303C - a</v>
      </c>
      <c r="N171" s="65"/>
      <c r="O171" s="65"/>
      <c r="P171" s="65" t="b">
        <f>COUNTIF('Delivered SIR'!A:A, E171) &gt; 0</f>
        <v>0</v>
      </c>
    </row>
    <row r="172">
      <c r="A172" s="99" t="str">
        <f>IFERROR(__xludf.DUMMYFUNCTION("""COMPUTED_VALUE"""),"https://utrucking.com/admin/orders/5914495058108")</f>
        <v>https://utrucking.com/admin/orders/5914495058108</v>
      </c>
      <c r="B172" s="61" t="str">
        <f>IFERROR(__xludf.DUMMYFUNCTION("""COMPUTED_VALUE"""),"#15621")</f>
        <v>#15621</v>
      </c>
      <c r="C172" s="61" t="str">
        <f>IFERROR(__xludf.DUMMYFUNCTION("""COMPUTED_VALUE"""),"p.sanjna@wustl.edu")</f>
        <v>p.sanjna@wustl.edu</v>
      </c>
      <c r="D172" s="61">
        <f>IFERROR(__xludf.DUMMYFUNCTION("""COMPUTED_VALUE"""),7.135421223E9)</f>
        <v>7135421223</v>
      </c>
      <c r="E172" s="61" t="str">
        <f>IFERROR(__xludf.DUMMYFUNCTION("""COMPUTED_VALUE"""),"Rahul Pandit")</f>
        <v>Rahul Pandit</v>
      </c>
      <c r="F172" s="61"/>
      <c r="G172" s="61"/>
      <c r="H172" s="61" t="str">
        <f>IFERROR(__xludf.DUMMYFUNCTION("""COMPUTED_VALUE"""),"Storage Item Return")</f>
        <v>Storage Item Return</v>
      </c>
      <c r="I172" s="61" t="str">
        <f>IFERROR(__xludf.DUMMYFUNCTION("""COMPUTED_VALUE"""),"University Housing ")</f>
        <v>University Housing </v>
      </c>
      <c r="J172" s="107" t="str">
        <f>IFERROR(__xludf.DUMMYFUNCTION("""COMPUTED_VALUE"""),"09:00 AM to 11:00 AM   ")</f>
        <v>09:00 AM to 11:00 AM   </v>
      </c>
      <c r="K172" s="107">
        <f>IFERROR(__xludf.DUMMYFUNCTION("""COMPUTED_VALUE"""),45883.0)</f>
        <v>45883</v>
      </c>
      <c r="L172" s="61" t="str">
        <f>IFERROR(__xludf.DUMMYFUNCTION("""COMPUTED_VALUE"""),"Mudd  ")</f>
        <v>Mudd  </v>
      </c>
      <c r="M172" s="61" t="str">
        <f>IFERROR(__xludf.DUMMYFUNCTION("""COMPUTED_VALUE"""),"214a")</f>
        <v>214a</v>
      </c>
      <c r="N172" s="61"/>
      <c r="O172" s="61"/>
      <c r="P172" s="61" t="b">
        <f>COUNTIF('Delivered SIR'!A:A, E172) &gt; 0</f>
        <v>0</v>
      </c>
    </row>
    <row r="173">
      <c r="A173" s="102" t="str">
        <f>IFERROR(__xludf.DUMMYFUNCTION("""COMPUTED_VALUE"""),"https://utrucking.com/admin/orders/5914515112124")</f>
        <v>https://utrucking.com/admin/orders/5914515112124</v>
      </c>
      <c r="B173" s="65" t="str">
        <f>IFERROR(__xludf.DUMMYFUNCTION("""COMPUTED_VALUE"""),"#15622")</f>
        <v>#15622</v>
      </c>
      <c r="C173" s="65" t="str">
        <f>IFERROR(__xludf.DUMMYFUNCTION("""COMPUTED_VALUE"""),"a.lior@wustl.edu")</f>
        <v>a.lior@wustl.edu</v>
      </c>
      <c r="D173" s="65">
        <f>IFERROR(__xludf.DUMMYFUNCTION("""COMPUTED_VALUE"""),3.148619712E9)</f>
        <v>3148619712</v>
      </c>
      <c r="E173" s="65" t="str">
        <f>IFERROR(__xludf.DUMMYFUNCTION("""COMPUTED_VALUE"""),"Lior Alon")</f>
        <v>Lior Alon</v>
      </c>
      <c r="F173" s="65"/>
      <c r="G173" s="65"/>
      <c r="H173" s="65" t="str">
        <f>IFERROR(__xludf.DUMMYFUNCTION("""COMPUTED_VALUE"""),"Storage Item Return")</f>
        <v>Storage Item Return</v>
      </c>
      <c r="I173" s="65" t="str">
        <f>IFERROR(__xludf.DUMMYFUNCTION("""COMPUTED_VALUE"""),"University Housing ")</f>
        <v>University Housing </v>
      </c>
      <c r="J173" s="108" t="str">
        <f>IFERROR(__xludf.DUMMYFUNCTION("""COMPUTED_VALUE"""),"09:00 AM to 11:00 AM   ")</f>
        <v>09:00 AM to 11:00 AM   </v>
      </c>
      <c r="K173" s="108" t="str">
        <f>IFERROR(__xludf.DUMMYFUNCTION("""COMPUTED_VALUE"""),"08/20/2025 08/20/2025")</f>
        <v>08/20/2025 08/20/2025</v>
      </c>
      <c r="L173" s="65" t="str">
        <f>IFERROR(__xludf.DUMMYFUNCTION("""COMPUTED_VALUE"""),"Shepley  ")</f>
        <v>Shepley  </v>
      </c>
      <c r="M173" s="65" t="str">
        <f>IFERROR(__xludf.DUMMYFUNCTION("""COMPUTED_VALUE"""),"4004")</f>
        <v>4004</v>
      </c>
      <c r="N173" s="65"/>
      <c r="O173" s="65"/>
      <c r="P173" s="65" t="b">
        <f>COUNTIF('Delivered SIR'!A:A, E173) &gt; 0</f>
        <v>1</v>
      </c>
    </row>
    <row r="174">
      <c r="A174" s="99" t="str">
        <f>IFERROR(__xludf.DUMMYFUNCTION("""COMPUTED_VALUE"""),"https://utrucking.com/admin/orders/5914540441788")</f>
        <v>https://utrucking.com/admin/orders/5914540441788</v>
      </c>
      <c r="B174" s="61" t="str">
        <f>IFERROR(__xludf.DUMMYFUNCTION("""COMPUTED_VALUE"""),"#15623")</f>
        <v>#15623</v>
      </c>
      <c r="C174" s="61" t="str">
        <f>IFERROR(__xludf.DUMMYFUNCTION("""COMPUTED_VALUE"""),"maraperry63@gmail.com")</f>
        <v>maraperry63@gmail.com</v>
      </c>
      <c r="D174" s="61">
        <f>IFERROR(__xludf.DUMMYFUNCTION("""COMPUTED_VALUE"""),9.176136594E9)</f>
        <v>9176136594</v>
      </c>
      <c r="E174" s="61" t="str">
        <f>IFERROR(__xludf.DUMMYFUNCTION("""COMPUTED_VALUE"""),"Mara Perry")</f>
        <v>Mara Perry</v>
      </c>
      <c r="F174" s="61"/>
      <c r="G174" s="61"/>
      <c r="H174" s="61" t="str">
        <f>IFERROR(__xludf.DUMMYFUNCTION("""COMPUTED_VALUE"""),"Storage Item Return")</f>
        <v>Storage Item Return</v>
      </c>
      <c r="I174" s="61" t="str">
        <f>IFERROR(__xludf.DUMMYFUNCTION("""COMPUTED_VALUE"""),"University Housing ")</f>
        <v>University Housing </v>
      </c>
      <c r="J174" s="107" t="str">
        <f>IFERROR(__xludf.DUMMYFUNCTION("""COMPUTED_VALUE"""),"09:00 AM to 11:00 AM   ")</f>
        <v>09:00 AM to 11:00 AM   </v>
      </c>
      <c r="K174" s="107">
        <f>IFERROR(__xludf.DUMMYFUNCTION("""COMPUTED_VALUE"""),45883.0)</f>
        <v>45883</v>
      </c>
      <c r="L174" s="61" t="str">
        <f>IFERROR(__xludf.DUMMYFUNCTION("""COMPUTED_VALUE"""),"Millbrook Bldg. 1  ")</f>
        <v>Millbrook Bldg. 1  </v>
      </c>
      <c r="M174" s="61" t="str">
        <f>IFERROR(__xludf.DUMMYFUNCTION("""COMPUTED_VALUE"""),"203A")</f>
        <v>203A</v>
      </c>
      <c r="N174" s="61"/>
      <c r="O174" s="61"/>
      <c r="P174" s="61" t="b">
        <f>COUNTIF('Delivered SIR'!A:A, E174) &gt; 0</f>
        <v>0</v>
      </c>
    </row>
    <row r="175">
      <c r="A175" s="102" t="str">
        <f>IFERROR(__xludf.DUMMYFUNCTION("""COMPUTED_VALUE"""),"https://utrucking.com/admin/orders/5914581336252")</f>
        <v>https://utrucking.com/admin/orders/5914581336252</v>
      </c>
      <c r="B175" s="65" t="str">
        <f>IFERROR(__xludf.DUMMYFUNCTION("""COMPUTED_VALUE"""),"#15624")</f>
        <v>#15624</v>
      </c>
      <c r="C175" s="65" t="str">
        <f>IFERROR(__xludf.DUMMYFUNCTION("""COMPUTED_VALUE"""),"e.j.skolnick@wustl.edu")</f>
        <v>e.j.skolnick@wustl.edu</v>
      </c>
      <c r="D175" s="65">
        <f>IFERROR(__xludf.DUMMYFUNCTION("""COMPUTED_VALUE"""),1.5028885987E10)</f>
        <v>15028885987</v>
      </c>
      <c r="E175" s="65" t="str">
        <f>IFERROR(__xludf.DUMMYFUNCTION("""COMPUTED_VALUE"""),"Ethan Skolnick")</f>
        <v>Ethan Skolnick</v>
      </c>
      <c r="F175" s="65"/>
      <c r="G175" s="65"/>
      <c r="H175" s="65" t="str">
        <f>IFERROR(__xludf.DUMMYFUNCTION("""COMPUTED_VALUE"""),"Storage Item Return")</f>
        <v>Storage Item Return</v>
      </c>
      <c r="I175" s="65" t="str">
        <f>IFERROR(__xludf.DUMMYFUNCTION("""COMPUTED_VALUE"""),"University Housing ")</f>
        <v>University Housing </v>
      </c>
      <c r="J175" s="108" t="str">
        <f>IFERROR(__xludf.DUMMYFUNCTION("""COMPUTED_VALUE"""),"09:00 AM to 11:00 AM   ")</f>
        <v>09:00 AM to 11:00 AM   </v>
      </c>
      <c r="K175" s="108">
        <f>IFERROR(__xludf.DUMMYFUNCTION("""COMPUTED_VALUE"""),45889.0)</f>
        <v>45889</v>
      </c>
      <c r="L175" s="65" t="str">
        <f>IFERROR(__xludf.DUMMYFUNCTION("""COMPUTED_VALUE"""),"Zetcher  ")</f>
        <v>Zetcher  </v>
      </c>
      <c r="M175" s="65" t="str">
        <f>IFERROR(__xludf.DUMMYFUNCTION("""COMPUTED_VALUE"""),"3042")</f>
        <v>3042</v>
      </c>
      <c r="N175" s="65"/>
      <c r="O175" s="65"/>
      <c r="P175" s="65" t="b">
        <f>COUNTIF('Delivered SIR'!A:A, E175) &gt; 0</f>
        <v>1</v>
      </c>
    </row>
    <row r="176">
      <c r="A176" s="99" t="str">
        <f>IFERROR(__xludf.DUMMYFUNCTION("""COMPUTED_VALUE"""),"https://utrucking.com/admin/orders/5914593067196")</f>
        <v>https://utrucking.com/admin/orders/5914593067196</v>
      </c>
      <c r="B176" s="61" t="str">
        <f>IFERROR(__xludf.DUMMYFUNCTION("""COMPUTED_VALUE"""),"#15625")</f>
        <v>#15625</v>
      </c>
      <c r="C176" s="61" t="str">
        <f>IFERROR(__xludf.DUMMYFUNCTION("""COMPUTED_VALUE"""),"c.k.ryan@wustl.edu")</f>
        <v>c.k.ryan@wustl.edu</v>
      </c>
      <c r="D176" s="61">
        <f>IFERROR(__xludf.DUMMYFUNCTION("""COMPUTED_VALUE"""),3.392354784E9)</f>
        <v>3392354784</v>
      </c>
      <c r="E176" s="61" t="str">
        <f>IFERROR(__xludf.DUMMYFUNCTION("""COMPUTED_VALUE"""),"Caroline S Ryan")</f>
        <v>Caroline S Ryan</v>
      </c>
      <c r="F176" s="61"/>
      <c r="G176" s="61"/>
      <c r="H176" s="61" t="str">
        <f>IFERROR(__xludf.DUMMYFUNCTION("""COMPUTED_VALUE"""),"Storage Item Return")</f>
        <v>Storage Item Return</v>
      </c>
      <c r="I176" s="61" t="str">
        <f>IFERROR(__xludf.DUMMYFUNCTION("""COMPUTED_VALUE"""),"University Housing ")</f>
        <v>University Housing </v>
      </c>
      <c r="J176" s="107" t="str">
        <f>IFERROR(__xludf.DUMMYFUNCTION("""COMPUTED_VALUE"""),"09:00 AM to 11:00 AM   ")</f>
        <v>09:00 AM to 11:00 AM   </v>
      </c>
      <c r="K176" s="107">
        <f>IFERROR(__xludf.DUMMYFUNCTION("""COMPUTED_VALUE"""),45889.0)</f>
        <v>45889</v>
      </c>
      <c r="L176" s="61" t="str">
        <f>IFERROR(__xludf.DUMMYFUNCTION("""COMPUTED_VALUE"""),"House 21 (Alpha Epsilon Pi)  ")</f>
        <v>House 21 (Alpha Epsilon Pi)  </v>
      </c>
      <c r="M176" s="61" t="str">
        <f>IFERROR(__xludf.DUMMYFUNCTION("""COMPUTED_VALUE"""),"2063")</f>
        <v>2063</v>
      </c>
      <c r="N176" s="61"/>
      <c r="O176" s="61"/>
      <c r="P176" s="61" t="b">
        <f>COUNTIF('Delivered SIR'!A:A, E176) &gt; 0</f>
        <v>0</v>
      </c>
    </row>
    <row r="177">
      <c r="A177" s="102" t="str">
        <f>IFERROR(__xludf.DUMMYFUNCTION("""COMPUTED_VALUE"""),"https://utrucking.com/admin/orders/5914665517244")</f>
        <v>https://utrucking.com/admin/orders/5914665517244</v>
      </c>
      <c r="B177" s="65" t="str">
        <f>IFERROR(__xludf.DUMMYFUNCTION("""COMPUTED_VALUE"""),"#15626")</f>
        <v>#15626</v>
      </c>
      <c r="C177" s="65" t="str">
        <f>IFERROR(__xludf.DUMMYFUNCTION("""COMPUTED_VALUE"""),"noa.shiloach@gmail.com")</f>
        <v>noa.shiloach@gmail.com</v>
      </c>
      <c r="D177" s="65">
        <f>IFERROR(__xludf.DUMMYFUNCTION("""COMPUTED_VALUE"""),9.146089127E9)</f>
        <v>9146089127</v>
      </c>
      <c r="E177" s="65" t="str">
        <f>IFERROR(__xludf.DUMMYFUNCTION("""COMPUTED_VALUE"""),"Noa Shiloach")</f>
        <v>Noa Shiloach</v>
      </c>
      <c r="F177" s="65"/>
      <c r="G177" s="65"/>
      <c r="H177" s="65" t="str">
        <f>IFERROR(__xludf.DUMMYFUNCTION("""COMPUTED_VALUE"""),"Storage Item Return")</f>
        <v>Storage Item Return</v>
      </c>
      <c r="I177" s="65" t="str">
        <f>IFERROR(__xludf.DUMMYFUNCTION("""COMPUTED_VALUE"""),"University Housing ")</f>
        <v>University Housing </v>
      </c>
      <c r="J177" s="108" t="str">
        <f>IFERROR(__xludf.DUMMYFUNCTION("""COMPUTED_VALUE"""),"09:00 AM to 11:00 AM   ")</f>
        <v>09:00 AM to 11:00 AM   </v>
      </c>
      <c r="K177" s="108">
        <f>IFERROR(__xludf.DUMMYFUNCTION("""COMPUTED_VALUE"""),45889.0)</f>
        <v>45889</v>
      </c>
      <c r="L177" s="65" t="str">
        <f>IFERROR(__xludf.DUMMYFUNCTION("""COMPUTED_VALUE"""),"Greenway Apartments  ")</f>
        <v>Greenway Apartments  </v>
      </c>
      <c r="M177" s="65" t="str">
        <f>IFERROR(__xludf.DUMMYFUNCTION("""COMPUTED_VALUE"""),"003-A")</f>
        <v>003-A</v>
      </c>
      <c r="N177" s="65"/>
      <c r="O177" s="65"/>
      <c r="P177" s="65" t="b">
        <f>COUNTIF('Delivered SIR'!A:A, E177) &gt; 0</f>
        <v>1</v>
      </c>
    </row>
    <row r="178">
      <c r="A178" s="99" t="str">
        <f>IFERROR(__xludf.DUMMYFUNCTION("""COMPUTED_VALUE"""),"https://utrucking.com/admin/orders/5914677379260")</f>
        <v>https://utrucking.com/admin/orders/5914677379260</v>
      </c>
      <c r="B178" s="61" t="str">
        <f>IFERROR(__xludf.DUMMYFUNCTION("""COMPUTED_VALUE"""),"#15627")</f>
        <v>#15627</v>
      </c>
      <c r="C178" s="61" t="str">
        <f>IFERROR(__xludf.DUMMYFUNCTION("""COMPUTED_VALUE"""),"c.m.eddings@wustl.edu")</f>
        <v>c.m.eddings@wustl.edu</v>
      </c>
      <c r="D178" s="61">
        <f>IFERROR(__xludf.DUMMYFUNCTION("""COMPUTED_VALUE"""),3.179187156E9)</f>
        <v>3179187156</v>
      </c>
      <c r="E178" s="61" t="str">
        <f>IFERROR(__xludf.DUMMYFUNCTION("""COMPUTED_VALUE"""),"Denea Eddings")</f>
        <v>Denea Eddings</v>
      </c>
      <c r="F178" s="61"/>
      <c r="G178" s="61"/>
      <c r="H178" s="61" t="str">
        <f>IFERROR(__xludf.DUMMYFUNCTION("""COMPUTED_VALUE"""),"Storage Item Return")</f>
        <v>Storage Item Return</v>
      </c>
      <c r="I178" s="61" t="str">
        <f>IFERROR(__xludf.DUMMYFUNCTION("""COMPUTED_VALUE"""),"University Housing ")</f>
        <v>University Housing </v>
      </c>
      <c r="J178" s="107" t="str">
        <f>IFERROR(__xludf.DUMMYFUNCTION("""COMPUTED_VALUE"""),"09:00 AM to 11:00 AM   ")</f>
        <v>09:00 AM to 11:00 AM   </v>
      </c>
      <c r="K178" s="107">
        <f>IFERROR(__xludf.DUMMYFUNCTION("""COMPUTED_VALUE"""),45883.0)</f>
        <v>45883</v>
      </c>
      <c r="L178" s="61" t="str">
        <f>IFERROR(__xludf.DUMMYFUNCTION("""COMPUTED_VALUE"""),"Zetcher  ")</f>
        <v>Zetcher  </v>
      </c>
      <c r="M178" s="61" t="str">
        <f>IFERROR(__xludf.DUMMYFUNCTION("""COMPUTED_VALUE"""),"3012")</f>
        <v>3012</v>
      </c>
      <c r="N178" s="61"/>
      <c r="O178" s="61"/>
      <c r="P178" s="61" t="b">
        <f>COUNTIF('Delivered SIR'!A:A, E178) &gt; 0</f>
        <v>0</v>
      </c>
    </row>
    <row r="179">
      <c r="A179" s="102" t="str">
        <f>IFERROR(__xludf.DUMMYFUNCTION("""COMPUTED_VALUE"""),"https://utrucking.com/admin/orders/5914694090940")</f>
        <v>https://utrucking.com/admin/orders/5914694090940</v>
      </c>
      <c r="B179" s="65" t="str">
        <f>IFERROR(__xludf.DUMMYFUNCTION("""COMPUTED_VALUE"""),"#15628")</f>
        <v>#15628</v>
      </c>
      <c r="C179" s="65" t="str">
        <f>IFERROR(__xludf.DUMMYFUNCTION("""COMPUTED_VALUE"""),"l.pino-sanchez@wustl.edu")</f>
        <v>l.pino-sanchez@wustl.edu</v>
      </c>
      <c r="D179" s="65">
        <f>IFERROR(__xludf.DUMMYFUNCTION("""COMPUTED_VALUE"""),7.872211671E9)</f>
        <v>7872211671</v>
      </c>
      <c r="E179" s="65" t="str">
        <f>IFERROR(__xludf.DUMMYFUNCTION("""COMPUTED_VALUE"""),"Leany Pino Sánchez")</f>
        <v>Leany Pino Sánchez</v>
      </c>
      <c r="F179" s="65"/>
      <c r="G179" s="65"/>
      <c r="H179" s="65" t="str">
        <f>IFERROR(__xludf.DUMMYFUNCTION("""COMPUTED_VALUE"""),"Storage Item Return")</f>
        <v>Storage Item Return</v>
      </c>
      <c r="I179" s="65" t="str">
        <f>IFERROR(__xludf.DUMMYFUNCTION("""COMPUTED_VALUE"""),"University Housing ")</f>
        <v>University Housing </v>
      </c>
      <c r="J179" s="108" t="str">
        <f>IFERROR(__xludf.DUMMYFUNCTION("""COMPUTED_VALUE"""),"11:00 AM to 01:00 PM   ")</f>
        <v>11:00 AM to 01:00 PM   </v>
      </c>
      <c r="K179" s="108">
        <f>IFERROR(__xludf.DUMMYFUNCTION("""COMPUTED_VALUE"""),45883.0)</f>
        <v>45883</v>
      </c>
      <c r="L179" s="65" t="str">
        <f>IFERROR(__xludf.DUMMYFUNCTION("""COMPUTED_VALUE"""),"Mudd  ")</f>
        <v>Mudd  </v>
      </c>
      <c r="M179" s="65" t="str">
        <f>IFERROR(__xludf.DUMMYFUNCTION("""COMPUTED_VALUE"""),"352")</f>
        <v>352</v>
      </c>
      <c r="N179" s="65"/>
      <c r="O179" s="65"/>
      <c r="P179" s="65" t="b">
        <f>COUNTIF('Delivered SIR'!A:A, E179) &gt; 0</f>
        <v>1</v>
      </c>
    </row>
    <row r="180">
      <c r="A180" s="99" t="str">
        <f>IFERROR(__xludf.DUMMYFUNCTION("""COMPUTED_VALUE"""),"https://utrucking.com/admin/orders/5914728300732")</f>
        <v>https://utrucking.com/admin/orders/5914728300732</v>
      </c>
      <c r="B180" s="61" t="str">
        <f>IFERROR(__xludf.DUMMYFUNCTION("""COMPUTED_VALUE"""),"#15629")</f>
        <v>#15629</v>
      </c>
      <c r="C180" s="61" t="str">
        <f>IFERROR(__xludf.DUMMYFUNCTION("""COMPUTED_VALUE"""),"jackedelstein@icloud.com")</f>
        <v>jackedelstein@icloud.com</v>
      </c>
      <c r="D180" s="61">
        <f>IFERROR(__xludf.DUMMYFUNCTION("""COMPUTED_VALUE"""),5.613744124E9)</f>
        <v>5613744124</v>
      </c>
      <c r="E180" s="61" t="str">
        <f>IFERROR(__xludf.DUMMYFUNCTION("""COMPUTED_VALUE"""),"Jack Edelstein")</f>
        <v>Jack Edelstein</v>
      </c>
      <c r="F180" s="61"/>
      <c r="G180" s="61"/>
      <c r="H180" s="61" t="str">
        <f>IFERROR(__xludf.DUMMYFUNCTION("""COMPUTED_VALUE"""),"Storage Item Return")</f>
        <v>Storage Item Return</v>
      </c>
      <c r="I180" s="61" t="str">
        <f>IFERROR(__xludf.DUMMYFUNCTION("""COMPUTED_VALUE"""),"University Housing ")</f>
        <v>University Housing </v>
      </c>
      <c r="J180" s="107" t="str">
        <f>IFERROR(__xludf.DUMMYFUNCTION("""COMPUTED_VALUE"""),"09:00 AM to 11:00 AM   ")</f>
        <v>09:00 AM to 11:00 AM   </v>
      </c>
      <c r="K180" s="107">
        <f>IFERROR(__xludf.DUMMYFUNCTION("""COMPUTED_VALUE"""),45890.0)</f>
        <v>45890</v>
      </c>
      <c r="L180" s="61" t="str">
        <f>IFERROR(__xludf.DUMMYFUNCTION("""COMPUTED_VALUE"""),"House 22  ")</f>
        <v>House 22  </v>
      </c>
      <c r="M180" s="61" t="str">
        <f>IFERROR(__xludf.DUMMYFUNCTION("""COMPUTED_VALUE"""),"1021")</f>
        <v>1021</v>
      </c>
      <c r="N180" s="61"/>
      <c r="O180" s="61"/>
      <c r="P180" s="61" t="b">
        <f>COUNTIF('Delivered SIR'!A:A, E180) &gt; 0</f>
        <v>1</v>
      </c>
    </row>
    <row r="181">
      <c r="A181" s="102" t="str">
        <f>IFERROR(__xludf.DUMMYFUNCTION("""COMPUTED_VALUE"""),"https://utrucking.com/admin/orders/5914728300732")</f>
        <v>https://utrucking.com/admin/orders/5914728300732</v>
      </c>
      <c r="B181" s="65" t="str">
        <f>IFERROR(__xludf.DUMMYFUNCTION("""COMPUTED_VALUE"""),"#15629")</f>
        <v>#15629</v>
      </c>
      <c r="C181" s="65" t="str">
        <f>IFERROR(__xludf.DUMMYFUNCTION("""COMPUTED_VALUE"""),"jackedelstein@icloud.com")</f>
        <v>jackedelstein@icloud.com</v>
      </c>
      <c r="D181" s="65">
        <f>IFERROR(__xludf.DUMMYFUNCTION("""COMPUTED_VALUE"""),5.613744124E9)</f>
        <v>5613744124</v>
      </c>
      <c r="E181" s="65" t="str">
        <f>IFERROR(__xludf.DUMMYFUNCTION("""COMPUTED_VALUE"""),"Jack Edelstein")</f>
        <v>Jack Edelstein</v>
      </c>
      <c r="F181" s="65"/>
      <c r="G181" s="65"/>
      <c r="H181" s="65" t="str">
        <f>IFERROR(__xludf.DUMMYFUNCTION("""COMPUTED_VALUE"""),"Storage Item Return")</f>
        <v>Storage Item Return</v>
      </c>
      <c r="I181" s="65" t="str">
        <f>IFERROR(__xludf.DUMMYFUNCTION("""COMPUTED_VALUE"""),"University Housing ")</f>
        <v>University Housing </v>
      </c>
      <c r="J181" s="108" t="str">
        <f>IFERROR(__xludf.DUMMYFUNCTION("""COMPUTED_VALUE"""),"09:00 AM to 11:00 AM   ")</f>
        <v>09:00 AM to 11:00 AM   </v>
      </c>
      <c r="K181" s="108">
        <f>IFERROR(__xludf.DUMMYFUNCTION("""COMPUTED_VALUE"""),45890.0)</f>
        <v>45890</v>
      </c>
      <c r="L181" s="65" t="str">
        <f>IFERROR(__xludf.DUMMYFUNCTION("""COMPUTED_VALUE"""),"House 22  ")</f>
        <v>House 22  </v>
      </c>
      <c r="M181" s="65" t="str">
        <f>IFERROR(__xludf.DUMMYFUNCTION("""COMPUTED_VALUE"""),"1021")</f>
        <v>1021</v>
      </c>
      <c r="N181" s="65"/>
      <c r="O181" s="65"/>
      <c r="P181" s="65" t="b">
        <f>COUNTIF('Delivered SIR'!A:A, E181) &gt; 0</f>
        <v>1</v>
      </c>
    </row>
    <row r="182">
      <c r="A182" s="99" t="str">
        <f>IFERROR(__xludf.DUMMYFUNCTION("""COMPUTED_VALUE"""),"https://utrucking.com/admin/orders/5914735149244")</f>
        <v>https://utrucking.com/admin/orders/5914735149244</v>
      </c>
      <c r="B182" s="61" t="str">
        <f>IFERROR(__xludf.DUMMYFUNCTION("""COMPUTED_VALUE"""),"#15630")</f>
        <v>#15630</v>
      </c>
      <c r="C182" s="61" t="str">
        <f>IFERROR(__xludf.DUMMYFUNCTION("""COMPUTED_VALUE"""),"zzx20031225@gmail.com")</f>
        <v>zzx20031225@gmail.com</v>
      </c>
      <c r="D182" s="61">
        <f>IFERROR(__xludf.DUMMYFUNCTION("""COMPUTED_VALUE"""),3.145833274E9)</f>
        <v>3145833274</v>
      </c>
      <c r="E182" s="61" t="str">
        <f>IFERROR(__xludf.DUMMYFUNCTION("""COMPUTED_VALUE"""),"Zhixu Zhang")</f>
        <v>Zhixu Zhang</v>
      </c>
      <c r="F182" s="61"/>
      <c r="G182" s="61" t="str">
        <f>IFERROR(__xludf.DUMMYFUNCTION("""COMPUTED_VALUE"""),"6105 Delmar Blvd, Everly on the loop, #Unit610 - B")</f>
        <v>6105 Delmar Blvd, Everly on the loop, #Unit610 - B</v>
      </c>
      <c r="H182" s="61" t="str">
        <f>IFERROR(__xludf.DUMMYFUNCTION("""COMPUTED_VALUE"""),"Storage Item Return")</f>
        <v>Storage Item Return</v>
      </c>
      <c r="I182" s="61" t="str">
        <f>IFERROR(__xludf.DUMMYFUNCTION("""COMPUTED_VALUE"""),"Non-University Housing ")</f>
        <v>Non-University Housing </v>
      </c>
      <c r="J182" s="107" t="str">
        <f>IFERROR(__xludf.DUMMYFUNCTION("""COMPUTED_VALUE"""),"03:00 PM to 05:00 PM ")</f>
        <v>03:00 PM to 05:00 PM </v>
      </c>
      <c r="K182" s="107">
        <f>IFERROR(__xludf.DUMMYFUNCTION("""COMPUTED_VALUE"""),45896.0)</f>
        <v>45896</v>
      </c>
      <c r="L182" s="61"/>
      <c r="M182" s="61"/>
      <c r="N182" s="61" t="str">
        <f>IFERROR(__xludf.DUMMYFUNCTION("""COMPUTED_VALUE"""),"6105 Delmar Blvd, Everly on the loop, #Unit610 - B")</f>
        <v>6105 Delmar Blvd, Everly on the loop, #Unit610 - B</v>
      </c>
      <c r="O182" s="61"/>
      <c r="P182" s="61" t="b">
        <f>COUNTIF('Delivered SIR'!A:A, E182) &gt; 0</f>
        <v>0</v>
      </c>
    </row>
    <row r="183">
      <c r="A183" s="102" t="str">
        <f>IFERROR(__xludf.DUMMYFUNCTION("""COMPUTED_VALUE"""),"https://utrucking.com/admin/orders/5914819657916")</f>
        <v>https://utrucking.com/admin/orders/5914819657916</v>
      </c>
      <c r="B183" s="65" t="str">
        <f>IFERROR(__xludf.DUMMYFUNCTION("""COMPUTED_VALUE"""),"#15634")</f>
        <v>#15634</v>
      </c>
      <c r="C183" s="65" t="str">
        <f>IFERROR(__xludf.DUMMYFUNCTION("""COMPUTED_VALUE"""),"becky.l@wustl.edu")</f>
        <v>becky.l@wustl.edu</v>
      </c>
      <c r="D183" s="65">
        <f>IFERROR(__xludf.DUMMYFUNCTION("""COMPUTED_VALUE"""),7.147460017E9)</f>
        <v>7147460017</v>
      </c>
      <c r="E183" s="65" t="str">
        <f>IFERROR(__xludf.DUMMYFUNCTION("""COMPUTED_VALUE"""),"Becky Liu")</f>
        <v>Becky Liu</v>
      </c>
      <c r="F183" s="65"/>
      <c r="G183" s="65"/>
      <c r="H183" s="65" t="str">
        <f>IFERROR(__xludf.DUMMYFUNCTION("""COMPUTED_VALUE"""),"Storage Item Return")</f>
        <v>Storage Item Return</v>
      </c>
      <c r="I183" s="65" t="str">
        <f>IFERROR(__xludf.DUMMYFUNCTION("""COMPUTED_VALUE"""),"University Housing ")</f>
        <v>University Housing </v>
      </c>
      <c r="J183" s="108" t="str">
        <f>IFERROR(__xludf.DUMMYFUNCTION("""COMPUTED_VALUE"""),"03:00 PM to 05:00 PM ")</f>
        <v>03:00 PM to 05:00 PM </v>
      </c>
      <c r="K183" s="108">
        <f>IFERROR(__xludf.DUMMYFUNCTION("""COMPUTED_VALUE"""),45891.0)</f>
        <v>45891</v>
      </c>
      <c r="L183" s="65" t="str">
        <f>IFERROR(__xludf.DUMMYFUNCTION("""COMPUTED_VALUE"""),"Village House  ")</f>
        <v>Village House  </v>
      </c>
      <c r="M183" s="65" t="str">
        <f>IFERROR(__xludf.DUMMYFUNCTION("""COMPUTED_VALUE"""),"4031a ")</f>
        <v>4031a </v>
      </c>
      <c r="N183" s="65"/>
      <c r="O183" s="65"/>
      <c r="P183" s="65" t="b">
        <f>COUNTIF('Delivered SIR'!A:A, E183) &gt; 0</f>
        <v>0</v>
      </c>
    </row>
    <row r="184">
      <c r="A184" s="99" t="str">
        <f>IFERROR(__xludf.DUMMYFUNCTION("""COMPUTED_VALUE"""),"https://utrucking.com/admin/orders/5914836926652")</f>
        <v>https://utrucking.com/admin/orders/5914836926652</v>
      </c>
      <c r="B184" s="61" t="str">
        <f>IFERROR(__xludf.DUMMYFUNCTION("""COMPUTED_VALUE"""),"#15635")</f>
        <v>#15635</v>
      </c>
      <c r="C184" s="61" t="str">
        <f>IFERROR(__xludf.DUMMYFUNCTION("""COMPUTED_VALUE"""),"aespurple@icloud.com")</f>
        <v>aespurple@icloud.com</v>
      </c>
      <c r="D184" s="61">
        <f>IFERROR(__xludf.DUMMYFUNCTION("""COMPUTED_VALUE"""),3.15430005E9)</f>
        <v>3154300050</v>
      </c>
      <c r="E184" s="61" t="str">
        <f>IFERROR(__xludf.DUMMYFUNCTION("""COMPUTED_VALUE"""),"Abbie Sapira")</f>
        <v>Abbie Sapira</v>
      </c>
      <c r="F184" s="61"/>
      <c r="G184" s="61"/>
      <c r="H184" s="61" t="str">
        <f>IFERROR(__xludf.DUMMYFUNCTION("""COMPUTED_VALUE"""),"Storage Item Return")</f>
        <v>Storage Item Return</v>
      </c>
      <c r="I184" s="61" t="str">
        <f>IFERROR(__xludf.DUMMYFUNCTION("""COMPUTED_VALUE"""),"University Housing ")</f>
        <v>University Housing </v>
      </c>
      <c r="J184" s="107" t="str">
        <f>IFERROR(__xludf.DUMMYFUNCTION("""COMPUTED_VALUE"""),"09:00 AM to 11:00 AM   ")</f>
        <v>09:00 AM to 11:00 AM   </v>
      </c>
      <c r="K184" s="107">
        <f>IFERROR(__xludf.DUMMYFUNCTION("""COMPUTED_VALUE"""),45889.0)</f>
        <v>45889</v>
      </c>
      <c r="L184" s="61" t="str">
        <f>IFERROR(__xludf.DUMMYFUNCTION("""COMPUTED_VALUE"""),"Loop Loft 6255  ")</f>
        <v>Loop Loft 6255  </v>
      </c>
      <c r="M184" s="61" t="str">
        <f>IFERROR(__xludf.DUMMYFUNCTION("""COMPUTED_VALUE"""),"304C")</f>
        <v>304C</v>
      </c>
      <c r="N184" s="61"/>
      <c r="O184" s="61"/>
      <c r="P184" s="61" t="b">
        <f>COUNTIF('Delivered SIR'!A:A, E184) &gt; 0</f>
        <v>1</v>
      </c>
    </row>
    <row r="185">
      <c r="A185" s="102" t="str">
        <f>IFERROR(__xludf.DUMMYFUNCTION("""COMPUTED_VALUE"""),"https://utrucking.com/admin/orders/5914861142204")</f>
        <v>https://utrucking.com/admin/orders/5914861142204</v>
      </c>
      <c r="B185" s="65" t="str">
        <f>IFERROR(__xludf.DUMMYFUNCTION("""COMPUTED_VALUE"""),"#15637")</f>
        <v>#15637</v>
      </c>
      <c r="C185" s="65"/>
      <c r="D185" s="65">
        <f>IFERROR(__xludf.DUMMYFUNCTION("""COMPUTED_VALUE"""),7.819645636E9)</f>
        <v>7819645636</v>
      </c>
      <c r="E185" s="65" t="str">
        <f>IFERROR(__xludf.DUMMYFUNCTION("""COMPUTED_VALUE"""),"Amy Goebel")</f>
        <v>Amy Goebel</v>
      </c>
      <c r="F185" s="65"/>
      <c r="G185" s="65"/>
      <c r="H185" s="65" t="str">
        <f>IFERROR(__xludf.DUMMYFUNCTION("""COMPUTED_VALUE"""),"Storage Item Return")</f>
        <v>Storage Item Return</v>
      </c>
      <c r="I185" s="65" t="str">
        <f>IFERROR(__xludf.DUMMYFUNCTION("""COMPUTED_VALUE"""),"University Housing ")</f>
        <v>University Housing </v>
      </c>
      <c r="J185" s="108" t="str">
        <f>IFERROR(__xludf.DUMMYFUNCTION("""COMPUTED_VALUE"""),"09:00 AM to 11:00 AM   ")</f>
        <v>09:00 AM to 11:00 AM   </v>
      </c>
      <c r="K185" s="108">
        <f>IFERROR(__xludf.DUMMYFUNCTION("""COMPUTED_VALUE"""),45883.0)</f>
        <v>45883</v>
      </c>
      <c r="L185" s="65" t="str">
        <f>IFERROR(__xludf.DUMMYFUNCTION("""COMPUTED_VALUE"""),"Nemerov  ")</f>
        <v>Nemerov  </v>
      </c>
      <c r="M185" s="65" t="str">
        <f>IFERROR(__xludf.DUMMYFUNCTION("""COMPUTED_VALUE"""),"3081")</f>
        <v>3081</v>
      </c>
      <c r="N185" s="65"/>
      <c r="O185" s="65"/>
      <c r="P185" s="65" t="b">
        <f>COUNTIF('Delivered SIR'!A:A, E185) &gt; 0</f>
        <v>0</v>
      </c>
    </row>
    <row r="186">
      <c r="A186" s="99" t="str">
        <f>IFERROR(__xludf.DUMMYFUNCTION("""COMPUTED_VALUE"""),"https://utrucking.com/admin/orders/5914905772220")</f>
        <v>https://utrucking.com/admin/orders/5914905772220</v>
      </c>
      <c r="B186" s="61" t="str">
        <f>IFERROR(__xludf.DUMMYFUNCTION("""COMPUTED_VALUE"""),"#15638")</f>
        <v>#15638</v>
      </c>
      <c r="C186" s="61"/>
      <c r="D186" s="61">
        <f>IFERROR(__xludf.DUMMYFUNCTION("""COMPUTED_VALUE"""),1.8063493688E10)</f>
        <v>18063493688</v>
      </c>
      <c r="E186" s="61" t="str">
        <f>IFERROR(__xludf.DUMMYFUNCTION("""COMPUTED_VALUE"""),"Eleanor Archer")</f>
        <v>Eleanor Archer</v>
      </c>
      <c r="F186" s="61"/>
      <c r="G186" s="61" t="str">
        <f>IFERROR(__xludf.DUMMYFUNCTION("""COMPUTED_VALUE"""),"6105 Delmar Blvd. Apt 714-A
St. Louis, MO 63112
United States")</f>
        <v>6105 Delmar Blvd. Apt 714-A
St. Louis, MO 63112
United States</v>
      </c>
      <c r="H186" s="61" t="str">
        <f>IFERROR(__xludf.DUMMYFUNCTION("""COMPUTED_VALUE"""),"Storage Item Return")</f>
        <v>Storage Item Return</v>
      </c>
      <c r="I186" s="61" t="str">
        <f>IFERROR(__xludf.DUMMYFUNCTION("""COMPUTED_VALUE"""),"Non-University Housing ")</f>
        <v>Non-University Housing </v>
      </c>
      <c r="J186" s="107" t="str">
        <f>IFERROR(__xludf.DUMMYFUNCTION("""COMPUTED_VALUE"""),"03:00 PM to 05:00 PM ")</f>
        <v>03:00 PM to 05:00 PM </v>
      </c>
      <c r="K186" s="107">
        <f>IFERROR(__xludf.DUMMYFUNCTION("""COMPUTED_VALUE"""),45892.0)</f>
        <v>45892</v>
      </c>
      <c r="L186" s="61"/>
      <c r="M186" s="61"/>
      <c r="N186" s="61" t="str">
        <f>IFERROR(__xludf.DUMMYFUNCTION("""COMPUTED_VALUE"""),"6105 Delmar Blvd. Apt 714-A
St. Louis, MO 63112
United States")</f>
        <v>6105 Delmar Blvd. Apt 714-A
St. Louis, MO 63112
United States</v>
      </c>
      <c r="O186" s="61"/>
      <c r="P186" s="61" t="b">
        <f>COUNTIF('Delivered SIR'!A:A, E186) &gt; 0</f>
        <v>0</v>
      </c>
    </row>
    <row r="187">
      <c r="A187" s="102" t="str">
        <f>IFERROR(__xludf.DUMMYFUNCTION("""COMPUTED_VALUE"""),"https://utrucking.com/admin/orders/5914930806972")</f>
        <v>https://utrucking.com/admin/orders/5914930806972</v>
      </c>
      <c r="B187" s="65" t="str">
        <f>IFERROR(__xludf.DUMMYFUNCTION("""COMPUTED_VALUE"""),"#15640")</f>
        <v>#15640</v>
      </c>
      <c r="C187" s="65" t="str">
        <f>IFERROR(__xludf.DUMMYFUNCTION("""COMPUTED_VALUE"""),"intuitiveen@gmail.com")</f>
        <v>intuitiveen@gmail.com</v>
      </c>
      <c r="D187" s="65"/>
      <c r="E187" s="65" t="str">
        <f>IFERROR(__xludf.DUMMYFUNCTION("""COMPUTED_VALUE"""),"Ethan A Ng")</f>
        <v>Ethan A Ng</v>
      </c>
      <c r="F187" s="65"/>
      <c r="G187" s="65"/>
      <c r="H187" s="65" t="str">
        <f>IFERROR(__xludf.DUMMYFUNCTION("""COMPUTED_VALUE"""),"Storage Item Return")</f>
        <v>Storage Item Return</v>
      </c>
      <c r="I187" s="65" t="str">
        <f>IFERROR(__xludf.DUMMYFUNCTION("""COMPUTED_VALUE"""),"University Housing ")</f>
        <v>University Housing </v>
      </c>
      <c r="J187" s="108" t="str">
        <f>IFERROR(__xludf.DUMMYFUNCTION("""COMPUTED_VALUE"""),"09:00 AM to 11:00 AM   ")</f>
        <v>09:00 AM to 11:00 AM   </v>
      </c>
      <c r="K187" s="108">
        <f>IFERROR(__xludf.DUMMYFUNCTION("""COMPUTED_VALUE"""),45892.0)</f>
        <v>45892</v>
      </c>
      <c r="L187" s="65" t="str">
        <f>IFERROR(__xludf.DUMMYFUNCTION("""COMPUTED_VALUE"""),"Loop Loft 6255  ")</f>
        <v>Loop Loft 6255  </v>
      </c>
      <c r="M187" s="65" t="str">
        <f>IFERROR(__xludf.DUMMYFUNCTION("""COMPUTED_VALUE"""),"312A")</f>
        <v>312A</v>
      </c>
      <c r="N187" s="65"/>
      <c r="O187" s="65"/>
      <c r="P187" s="65" t="b">
        <f>COUNTIF('Delivered SIR'!A:A, E187) &gt; 0</f>
        <v>0</v>
      </c>
    </row>
    <row r="188">
      <c r="A188" s="99" t="str">
        <f>IFERROR(__xludf.DUMMYFUNCTION("""COMPUTED_VALUE"""),"https://utrucking.com/admin/orders/5914951811260")</f>
        <v>https://utrucking.com/admin/orders/5914951811260</v>
      </c>
      <c r="B188" s="61" t="str">
        <f>IFERROR(__xludf.DUMMYFUNCTION("""COMPUTED_VALUE"""),"#15642")</f>
        <v>#15642</v>
      </c>
      <c r="C188" s="61" t="str">
        <f>IFERROR(__xludf.DUMMYFUNCTION("""COMPUTED_VALUE"""),"a.raizner@wustl.edu")</f>
        <v>a.raizner@wustl.edu</v>
      </c>
      <c r="D188" s="61"/>
      <c r="E188" s="61" t="str">
        <f>IFERROR(__xludf.DUMMYFUNCTION("""COMPUTED_VALUE"""),"Alex Raizner")</f>
        <v>Alex Raizner</v>
      </c>
      <c r="F188" s="61"/>
      <c r="G188" s="61"/>
      <c r="H188" s="61" t="str">
        <f>IFERROR(__xludf.DUMMYFUNCTION("""COMPUTED_VALUE"""),"Storage Item Return")</f>
        <v>Storage Item Return</v>
      </c>
      <c r="I188" s="61" t="str">
        <f>IFERROR(__xludf.DUMMYFUNCTION("""COMPUTED_VALUE"""),"University Housing ")</f>
        <v>University Housing </v>
      </c>
      <c r="J188" s="107" t="str">
        <f>IFERROR(__xludf.DUMMYFUNCTION("""COMPUTED_VALUE"""),"01:00 PM to 03:00 PM   ")</f>
        <v>01:00 PM to 03:00 PM   </v>
      </c>
      <c r="K188" s="107">
        <f>IFERROR(__xludf.DUMMYFUNCTION("""COMPUTED_VALUE"""),45890.0)</f>
        <v>45890</v>
      </c>
      <c r="L188" s="61" t="str">
        <f>IFERROR(__xludf.DUMMYFUNCTION("""COMPUTED_VALUE"""),"Wheeler  ")</f>
        <v>Wheeler  </v>
      </c>
      <c r="M188" s="61" t="str">
        <f>IFERROR(__xludf.DUMMYFUNCTION("""COMPUTED_VALUE"""),"3103")</f>
        <v>3103</v>
      </c>
      <c r="N188" s="61"/>
      <c r="O188" s="61"/>
      <c r="P188" s="61" t="b">
        <f>COUNTIF('Delivered SIR'!A:A, E188) &gt; 0</f>
        <v>1</v>
      </c>
    </row>
    <row r="189">
      <c r="A189" s="102" t="str">
        <f>IFERROR(__xludf.DUMMYFUNCTION("""COMPUTED_VALUE"""),"https://utrucking.com/admin/orders/5914996474044")</f>
        <v>https://utrucking.com/admin/orders/5914996474044</v>
      </c>
      <c r="B189" s="65" t="str">
        <f>IFERROR(__xludf.DUMMYFUNCTION("""COMPUTED_VALUE"""),"#15644")</f>
        <v>#15644</v>
      </c>
      <c r="C189" s="65" t="str">
        <f>IFERROR(__xludf.DUMMYFUNCTION("""COMPUTED_VALUE"""),"amyhwang33@gmail.com")</f>
        <v>amyhwang33@gmail.com</v>
      </c>
      <c r="D189" s="65"/>
      <c r="E189" s="65" t="str">
        <f>IFERROR(__xludf.DUMMYFUNCTION("""COMPUTED_VALUE"""),"Amy Hwang")</f>
        <v>Amy Hwang</v>
      </c>
      <c r="F189" s="65"/>
      <c r="G189" s="65"/>
      <c r="H189" s="65" t="str">
        <f>IFERROR(__xludf.DUMMYFUNCTION("""COMPUTED_VALUE"""),"Storage Item Return")</f>
        <v>Storage Item Return</v>
      </c>
      <c r="I189" s="65" t="str">
        <f>IFERROR(__xludf.DUMMYFUNCTION("""COMPUTED_VALUE"""),"University Housing ")</f>
        <v>University Housing </v>
      </c>
      <c r="J189" s="108" t="str">
        <f>IFERROR(__xludf.DUMMYFUNCTION("""COMPUTED_VALUE"""),"10:00 AM to 12:00 PM   ")</f>
        <v>10:00 AM to 12:00 PM   </v>
      </c>
      <c r="K189" s="108">
        <f>IFERROR(__xludf.DUMMYFUNCTION("""COMPUTED_VALUE"""),45890.0)</f>
        <v>45890</v>
      </c>
      <c r="L189" s="65" t="str">
        <f>IFERROR(__xludf.DUMMYFUNCTION("""COMPUTED_VALUE"""),"Zetcher  ")</f>
        <v>Zetcher  </v>
      </c>
      <c r="M189" s="65" t="str">
        <f>IFERROR(__xludf.DUMMYFUNCTION("""COMPUTED_VALUE"""),"2044")</f>
        <v>2044</v>
      </c>
      <c r="N189" s="65"/>
      <c r="O189" s="65"/>
      <c r="P189" s="65" t="b">
        <f>COUNTIF('Delivered SIR'!A:A, E189) &gt; 0</f>
        <v>1</v>
      </c>
    </row>
    <row r="190">
      <c r="A190" s="99" t="str">
        <f>IFERROR(__xludf.DUMMYFUNCTION("""COMPUTED_VALUE"""),"https://utrucking.com/admin/orders/5914999521468")</f>
        <v>https://utrucking.com/admin/orders/5914999521468</v>
      </c>
      <c r="B190" s="61" t="str">
        <f>IFERROR(__xludf.DUMMYFUNCTION("""COMPUTED_VALUE"""),"#15645")</f>
        <v>#15645</v>
      </c>
      <c r="C190" s="61" t="str">
        <f>IFERROR(__xludf.DUMMYFUNCTION("""COMPUTED_VALUE"""),"l.a.volkova@wustl.edu")</f>
        <v>l.a.volkova@wustl.edu</v>
      </c>
      <c r="D190" s="61">
        <f>IFERROR(__xludf.DUMMYFUNCTION("""COMPUTED_VALUE"""),9.402221167E9)</f>
        <v>9402221167</v>
      </c>
      <c r="E190" s="61" t="str">
        <f>IFERROR(__xludf.DUMMYFUNCTION("""COMPUTED_VALUE"""),"Lidiia Volkova")</f>
        <v>Lidiia Volkova</v>
      </c>
      <c r="F190" s="61"/>
      <c r="G190" s="61"/>
      <c r="H190" s="61" t="str">
        <f>IFERROR(__xludf.DUMMYFUNCTION("""COMPUTED_VALUE"""),"Storage Item Return")</f>
        <v>Storage Item Return</v>
      </c>
      <c r="I190" s="61" t="str">
        <f>IFERROR(__xludf.DUMMYFUNCTION("""COMPUTED_VALUE"""),"University Housing ")</f>
        <v>University Housing </v>
      </c>
      <c r="J190" s="107" t="str">
        <f>IFERROR(__xludf.DUMMYFUNCTION("""COMPUTED_VALUE"""),"09:00 AM to 11:00 AM   ")</f>
        <v>09:00 AM to 11:00 AM   </v>
      </c>
      <c r="K190" s="107">
        <f>IFERROR(__xludf.DUMMYFUNCTION("""COMPUTED_VALUE"""),45888.0)</f>
        <v>45888</v>
      </c>
      <c r="L190" s="61" t="str">
        <f>IFERROR(__xludf.DUMMYFUNCTION("""COMPUTED_VALUE"""),"Zetcher  ")</f>
        <v>Zetcher  </v>
      </c>
      <c r="M190" s="61" t="str">
        <f>IFERROR(__xludf.DUMMYFUNCTION("""COMPUTED_VALUE"""),"4024-a")</f>
        <v>4024-a</v>
      </c>
      <c r="N190" s="61"/>
      <c r="O190" s="61"/>
      <c r="P190" s="61" t="b">
        <f>COUNTIF('Delivered SIR'!A:A, E190) &gt; 0</f>
        <v>1</v>
      </c>
    </row>
    <row r="191">
      <c r="A191" s="102" t="str">
        <f>IFERROR(__xludf.DUMMYFUNCTION("""COMPUTED_VALUE"""),"https://utrucking.com/admin/orders/5915017707708")</f>
        <v>https://utrucking.com/admin/orders/5915017707708</v>
      </c>
      <c r="B191" s="65" t="str">
        <f>IFERROR(__xludf.DUMMYFUNCTION("""COMPUTED_VALUE"""),"#15646")</f>
        <v>#15646</v>
      </c>
      <c r="C191" s="65" t="str">
        <f>IFERROR(__xludf.DUMMYFUNCTION("""COMPUTED_VALUE"""),"j.p.lynch@wustl.edu")</f>
        <v>j.p.lynch@wustl.edu</v>
      </c>
      <c r="D191" s="65">
        <f>IFERROR(__xludf.DUMMYFUNCTION("""COMPUTED_VALUE"""),6.103689007E9)</f>
        <v>6103689007</v>
      </c>
      <c r="E191" s="65" t="str">
        <f>IFERROR(__xludf.DUMMYFUNCTION("""COMPUTED_VALUE"""),"Joseph Lynch")</f>
        <v>Joseph Lynch</v>
      </c>
      <c r="F191" s="65"/>
      <c r="G191" s="65"/>
      <c r="H191" s="65" t="str">
        <f>IFERROR(__xludf.DUMMYFUNCTION("""COMPUTED_VALUE"""),"Storage Item Return")</f>
        <v>Storage Item Return</v>
      </c>
      <c r="I191" s="65" t="str">
        <f>IFERROR(__xludf.DUMMYFUNCTION("""COMPUTED_VALUE"""),"University Housing ")</f>
        <v>University Housing </v>
      </c>
      <c r="J191" s="108" t="str">
        <f>IFERROR(__xludf.DUMMYFUNCTION("""COMPUTED_VALUE"""),"09:00 AM to 11:00 AM   ")</f>
        <v>09:00 AM to 11:00 AM   </v>
      </c>
      <c r="K191" s="108">
        <f>IFERROR(__xludf.DUMMYFUNCTION("""COMPUTED_VALUE"""),45891.0)</f>
        <v>45891</v>
      </c>
      <c r="L191" s="65" t="str">
        <f>IFERROR(__xludf.DUMMYFUNCTION("""COMPUTED_VALUE"""),"Nemerov  ")</f>
        <v>Nemerov  </v>
      </c>
      <c r="M191" s="65" t="str">
        <f>IFERROR(__xludf.DUMMYFUNCTION("""COMPUTED_VALUE"""),"3073 - a")</f>
        <v>3073 - a</v>
      </c>
      <c r="N191" s="65"/>
      <c r="O191" s="65"/>
      <c r="P191" s="65" t="b">
        <f>COUNTIF('Delivered SIR'!A:A, E191) &gt; 0</f>
        <v>1</v>
      </c>
    </row>
    <row r="192">
      <c r="A192" s="99" t="str">
        <f>IFERROR(__xludf.DUMMYFUNCTION("""COMPUTED_VALUE"""),"https://utrucking.com/admin/orders/5915044053180")</f>
        <v>https://utrucking.com/admin/orders/5915044053180</v>
      </c>
      <c r="B192" s="61" t="str">
        <f>IFERROR(__xludf.DUMMYFUNCTION("""COMPUTED_VALUE"""),"#15647")</f>
        <v>#15647</v>
      </c>
      <c r="C192" s="61" t="str">
        <f>IFERROR(__xludf.DUMMYFUNCTION("""COMPUTED_VALUE"""),"jeeho@wustl.edu")</f>
        <v>jeeho@wustl.edu</v>
      </c>
      <c r="D192" s="61">
        <f>IFERROR(__xludf.DUMMYFUNCTION("""COMPUTED_VALUE"""),3.14349549E9)</f>
        <v>3143495490</v>
      </c>
      <c r="E192" s="61" t="str">
        <f>IFERROR(__xludf.DUMMYFUNCTION("""COMPUTED_VALUE"""),"Jeeho Kang")</f>
        <v>Jeeho Kang</v>
      </c>
      <c r="F192" s="61"/>
      <c r="G192" s="61"/>
      <c r="H192" s="61" t="str">
        <f>IFERROR(__xludf.DUMMYFUNCTION("""COMPUTED_VALUE"""),"Storage Item Return")</f>
        <v>Storage Item Return</v>
      </c>
      <c r="I192" s="61" t="str">
        <f>IFERROR(__xludf.DUMMYFUNCTION("""COMPUTED_VALUE"""),"University Housing ")</f>
        <v>University Housing </v>
      </c>
      <c r="J192" s="107" t="str">
        <f>IFERROR(__xludf.DUMMYFUNCTION("""COMPUTED_VALUE"""),"09:00 AM to 11:00 AM   ")</f>
        <v>09:00 AM to 11:00 AM   </v>
      </c>
      <c r="K192" s="107">
        <f>IFERROR(__xludf.DUMMYFUNCTION("""COMPUTED_VALUE"""),45889.0)</f>
        <v>45889</v>
      </c>
      <c r="L192" s="61" t="str">
        <f>IFERROR(__xludf.DUMMYFUNCTION("""COMPUTED_VALUE"""),"Loop Loft 6300  ")</f>
        <v>Loop Loft 6300  </v>
      </c>
      <c r="M192" s="61" t="str">
        <f>IFERROR(__xludf.DUMMYFUNCTION("""COMPUTED_VALUE"""),"206C-a")</f>
        <v>206C-a</v>
      </c>
      <c r="N192" s="61"/>
      <c r="O192" s="61"/>
      <c r="P192" s="61" t="b">
        <f>COUNTIF('Delivered SIR'!A:A, E192) &gt; 0</f>
        <v>1</v>
      </c>
    </row>
    <row r="193">
      <c r="A193" s="102" t="str">
        <f>IFERROR(__xludf.DUMMYFUNCTION("""COMPUTED_VALUE"""),"https://utrucking.com/admin/orders/5915044413628")</f>
        <v>https://utrucking.com/admin/orders/5915044413628</v>
      </c>
      <c r="B193" s="65" t="str">
        <f>IFERROR(__xludf.DUMMYFUNCTION("""COMPUTED_VALUE"""),"#15648")</f>
        <v>#15648</v>
      </c>
      <c r="C193" s="65" t="str">
        <f>IFERROR(__xludf.DUMMYFUNCTION("""COMPUTED_VALUE"""),"galiasheinberg@hotmail.com")</f>
        <v>galiasheinberg@hotmail.com</v>
      </c>
      <c r="D193" s="65">
        <f>IFERROR(__xludf.DUMMYFUNCTION("""COMPUTED_VALUE"""),5.519495484E9)</f>
        <v>5519495484</v>
      </c>
      <c r="E193" s="65" t="str">
        <f>IFERROR(__xludf.DUMMYFUNCTION("""COMPUTED_VALUE"""),"Galia Sheinberg")</f>
        <v>Galia Sheinberg</v>
      </c>
      <c r="F193" s="65"/>
      <c r="G193" s="65"/>
      <c r="H193" s="65" t="str">
        <f>IFERROR(__xludf.DUMMYFUNCTION("""COMPUTED_VALUE"""),"Storage Item Return")</f>
        <v>Storage Item Return</v>
      </c>
      <c r="I193" s="65" t="str">
        <f>IFERROR(__xludf.DUMMYFUNCTION("""COMPUTED_VALUE"""),"University Housing ")</f>
        <v>University Housing </v>
      </c>
      <c r="J193" s="108" t="str">
        <f>IFERROR(__xludf.DUMMYFUNCTION("""COMPUTED_VALUE"""),"12:00 PM to 02:00 PM   ")</f>
        <v>12:00 PM to 02:00 PM   </v>
      </c>
      <c r="K193" s="108">
        <f>IFERROR(__xludf.DUMMYFUNCTION("""COMPUTED_VALUE"""),45889.0)</f>
        <v>45889</v>
      </c>
      <c r="L193" s="65" t="str">
        <f>IFERROR(__xludf.DUMMYFUNCTION("""COMPUTED_VALUE"""),"Eliot B  ")</f>
        <v>Eliot B  </v>
      </c>
      <c r="M193" s="65" t="str">
        <f>IFERROR(__xludf.DUMMYFUNCTION("""COMPUTED_VALUE"""),"03031")</f>
        <v>03031</v>
      </c>
      <c r="N193" s="65"/>
      <c r="O193" s="65"/>
      <c r="P193" s="65" t="b">
        <f>COUNTIF('Delivered SIR'!A:A, E193) &gt; 0</f>
        <v>0</v>
      </c>
    </row>
    <row r="194">
      <c r="A194" s="99" t="str">
        <f>IFERROR(__xludf.DUMMYFUNCTION("""COMPUTED_VALUE"""),"https://utrucking.com/admin/orders/5915109163196")</f>
        <v>https://utrucking.com/admin/orders/5915109163196</v>
      </c>
      <c r="B194" s="61" t="str">
        <f>IFERROR(__xludf.DUMMYFUNCTION("""COMPUTED_VALUE"""),"#15649")</f>
        <v>#15649</v>
      </c>
      <c r="C194" s="61" t="str">
        <f>IFERROR(__xludf.DUMMYFUNCTION("""COMPUTED_VALUE"""),"zechatwustl@gmail.com")</f>
        <v>zechatwustl@gmail.com</v>
      </c>
      <c r="D194" s="61">
        <f>IFERROR(__xludf.DUMMYFUNCTION("""COMPUTED_VALUE"""),9.712354311E9)</f>
        <v>9712354311</v>
      </c>
      <c r="E194" s="61" t="str">
        <f>IFERROR(__xludf.DUMMYFUNCTION("""COMPUTED_VALUE"""),"Linda Pressnell")</f>
        <v>Linda Pressnell</v>
      </c>
      <c r="F194" s="61"/>
      <c r="G194" s="61"/>
      <c r="H194" s="61" t="str">
        <f>IFERROR(__xludf.DUMMYFUNCTION("""COMPUTED_VALUE"""),"Storage Item Return")</f>
        <v>Storage Item Return</v>
      </c>
      <c r="I194" s="61" t="str">
        <f>IFERROR(__xludf.DUMMYFUNCTION("""COMPUTED_VALUE"""),"University Housing ")</f>
        <v>University Housing </v>
      </c>
      <c r="J194" s="107" t="str">
        <f>IFERROR(__xludf.DUMMYFUNCTION("""COMPUTED_VALUE"""),"09:00 AM to 11:00 AM   ")</f>
        <v>09:00 AM to 11:00 AM   </v>
      </c>
      <c r="K194" s="107">
        <f>IFERROR(__xludf.DUMMYFUNCTION("""COMPUTED_VALUE"""),45883.0)</f>
        <v>45883</v>
      </c>
      <c r="L194" s="61" t="str">
        <f>IFERROR(__xludf.DUMMYFUNCTION("""COMPUTED_VALUE"""),"Wheeler  ")</f>
        <v>Wheeler  </v>
      </c>
      <c r="M194" s="61" t="str">
        <f>IFERROR(__xludf.DUMMYFUNCTION("""COMPUTED_VALUE"""),"3003")</f>
        <v>3003</v>
      </c>
      <c r="N194" s="61"/>
      <c r="O194" s="61"/>
      <c r="P194" s="61" t="b">
        <f>COUNTIF('Delivered SIR'!A:A, E194) &gt; 0</f>
        <v>0</v>
      </c>
    </row>
    <row r="195">
      <c r="A195" s="102" t="str">
        <f>IFERROR(__xludf.DUMMYFUNCTION("""COMPUTED_VALUE"""),"https://utrucking.com/admin/orders/5915164934332")</f>
        <v>https://utrucking.com/admin/orders/5915164934332</v>
      </c>
      <c r="B195" s="65" t="str">
        <f>IFERROR(__xludf.DUMMYFUNCTION("""COMPUTED_VALUE"""),"#15650")</f>
        <v>#15650</v>
      </c>
      <c r="C195" s="65" t="str">
        <f>IFERROR(__xludf.DUMMYFUNCTION("""COMPUTED_VALUE"""),"ivy.kang@wustl.edu")</f>
        <v>ivy.kang@wustl.edu</v>
      </c>
      <c r="D195" s="65">
        <f>IFERROR(__xludf.DUMMYFUNCTION("""COMPUTED_VALUE"""),3.147325875E9)</f>
        <v>3147325875</v>
      </c>
      <c r="E195" s="65" t="str">
        <f>IFERROR(__xludf.DUMMYFUNCTION("""COMPUTED_VALUE"""),"Ivy Kang")</f>
        <v>Ivy Kang</v>
      </c>
      <c r="F195" s="65"/>
      <c r="G195" s="65" t="str">
        <f>IFERROR(__xludf.DUMMYFUNCTION("""COMPUTED_VALUE"""),"311 DeBaliviere Ave, N420, St. Louis, Mo, 63112 (North Building)")</f>
        <v>311 DeBaliviere Ave, N420, St. Louis, Mo, 63112 (North Building)</v>
      </c>
      <c r="H195" s="65" t="str">
        <f>IFERROR(__xludf.DUMMYFUNCTION("""COMPUTED_VALUE"""),"Storage Item Return")</f>
        <v>Storage Item Return</v>
      </c>
      <c r="I195" s="65" t="str">
        <f>IFERROR(__xludf.DUMMYFUNCTION("""COMPUTED_VALUE"""),"Non-University Housing ")</f>
        <v>Non-University Housing </v>
      </c>
      <c r="J195" s="108" t="str">
        <f>IFERROR(__xludf.DUMMYFUNCTION("""COMPUTED_VALUE"""),"09:00 AM to 11:00 AM   ")</f>
        <v>09:00 AM to 11:00 AM   </v>
      </c>
      <c r="K195" s="108">
        <f>IFERROR(__xludf.DUMMYFUNCTION("""COMPUTED_VALUE"""),45894.0)</f>
        <v>45894</v>
      </c>
      <c r="L195" s="65"/>
      <c r="M195" s="65"/>
      <c r="N195" s="65" t="str">
        <f>IFERROR(__xludf.DUMMYFUNCTION("""COMPUTED_VALUE"""),"311 DeBaliviere Ave, N420, St. Louis, Mo, 63112 (North Building)")</f>
        <v>311 DeBaliviere Ave, N420, St. Louis, Mo, 63112 (North Building)</v>
      </c>
      <c r="O195" s="65"/>
      <c r="P195" s="65" t="b">
        <f>COUNTIF('Delivered SIR'!A:A, E195) &gt; 0</f>
        <v>0</v>
      </c>
    </row>
    <row r="196">
      <c r="A196" s="99" t="str">
        <f>IFERROR(__xludf.DUMMYFUNCTION("""COMPUTED_VALUE"""),"https://utrucking.com/admin/orders/5915173224636")</f>
        <v>https://utrucking.com/admin/orders/5915173224636</v>
      </c>
      <c r="B196" s="61" t="str">
        <f>IFERROR(__xludf.DUMMYFUNCTION("""COMPUTED_VALUE"""),"#15651")</f>
        <v>#15651</v>
      </c>
      <c r="C196" s="61" t="str">
        <f>IFERROR(__xludf.DUMMYFUNCTION("""COMPUTED_VALUE"""),"jacksonstrauss@gmail.com")</f>
        <v>jacksonstrauss@gmail.com</v>
      </c>
      <c r="D196" s="61">
        <f>IFERROR(__xludf.DUMMYFUNCTION("""COMPUTED_VALUE"""),3.107499513E9)</f>
        <v>3107499513</v>
      </c>
      <c r="E196" s="61" t="str">
        <f>IFERROR(__xludf.DUMMYFUNCTION("""COMPUTED_VALUE"""),"Jackson Strauss")</f>
        <v>Jackson Strauss</v>
      </c>
      <c r="F196" s="61"/>
      <c r="G196" s="61"/>
      <c r="H196" s="61" t="str">
        <f>IFERROR(__xludf.DUMMYFUNCTION("""COMPUTED_VALUE"""),"Storage Item Return")</f>
        <v>Storage Item Return</v>
      </c>
      <c r="I196" s="61" t="str">
        <f>IFERROR(__xludf.DUMMYFUNCTION("""COMPUTED_VALUE"""),"University Housing ")</f>
        <v>University Housing </v>
      </c>
      <c r="J196" s="107" t="str">
        <f>IFERROR(__xludf.DUMMYFUNCTION("""COMPUTED_VALUE"""),"09:00 AM to 11:00 AM   ")</f>
        <v>09:00 AM to 11:00 AM   </v>
      </c>
      <c r="K196" s="107">
        <f>IFERROR(__xludf.DUMMYFUNCTION("""COMPUTED_VALUE"""),45889.0)</f>
        <v>45889</v>
      </c>
      <c r="L196" s="61" t="str">
        <f>IFERROR(__xludf.DUMMYFUNCTION("""COMPUTED_VALUE"""),"Loop Loft 6300  ")</f>
        <v>Loop Loft 6300  </v>
      </c>
      <c r="M196" s="61" t="str">
        <f>IFERROR(__xludf.DUMMYFUNCTION("""COMPUTED_VALUE"""),"302A")</f>
        <v>302A</v>
      </c>
      <c r="N196" s="61"/>
      <c r="O196" s="61"/>
      <c r="P196" s="61" t="b">
        <f>COUNTIF('Delivered SIR'!A:A, E196) &gt; 0</f>
        <v>1</v>
      </c>
    </row>
    <row r="197">
      <c r="A197" s="102" t="str">
        <f>IFERROR(__xludf.DUMMYFUNCTION("""COMPUTED_VALUE"""),"https://utrucking.com/admin/orders/5915235254460")</f>
        <v>https://utrucking.com/admin/orders/5915235254460</v>
      </c>
      <c r="B197" s="65" t="str">
        <f>IFERROR(__xludf.DUMMYFUNCTION("""COMPUTED_VALUE"""),"#15652")</f>
        <v>#15652</v>
      </c>
      <c r="C197" s="65" t="str">
        <f>IFERROR(__xludf.DUMMYFUNCTION("""COMPUTED_VALUE"""),"a.l.yoon@wustl.edu")</f>
        <v>a.l.yoon@wustl.edu</v>
      </c>
      <c r="D197" s="65">
        <f>IFERROR(__xludf.DUMMYFUNCTION("""COMPUTED_VALUE"""),3.14537675E9)</f>
        <v>3145376750</v>
      </c>
      <c r="E197" s="65" t="str">
        <f>IFERROR(__xludf.DUMMYFUNCTION("""COMPUTED_VALUE"""),"Ashley Yoon")</f>
        <v>Ashley Yoon</v>
      </c>
      <c r="F197" s="65"/>
      <c r="G197" s="65"/>
      <c r="H197" s="65" t="str">
        <f>IFERROR(__xludf.DUMMYFUNCTION("""COMPUTED_VALUE"""),"Storage Item Return")</f>
        <v>Storage Item Return</v>
      </c>
      <c r="I197" s="65" t="str">
        <f>IFERROR(__xludf.DUMMYFUNCTION("""COMPUTED_VALUE"""),"University Housing ")</f>
        <v>University Housing </v>
      </c>
      <c r="J197" s="108" t="str">
        <f>IFERROR(__xludf.DUMMYFUNCTION("""COMPUTED_VALUE"""),"10:00 AM to 12:00 PM   ")</f>
        <v>10:00 AM to 12:00 PM   </v>
      </c>
      <c r="K197" s="108">
        <f>IFERROR(__xludf.DUMMYFUNCTION("""COMPUTED_VALUE"""),45890.0)</f>
        <v>45890</v>
      </c>
      <c r="L197" s="65" t="str">
        <f>IFERROR(__xludf.DUMMYFUNCTION("""COMPUTED_VALUE"""),"Gregg  ")</f>
        <v>Gregg  </v>
      </c>
      <c r="M197" s="65" t="str">
        <f>IFERROR(__xludf.DUMMYFUNCTION("""COMPUTED_VALUE"""),"3073-a")</f>
        <v>3073-a</v>
      </c>
      <c r="N197" s="65"/>
      <c r="O197" s="65"/>
      <c r="P197" s="65" t="b">
        <f>COUNTIF('Delivered SIR'!A:A, E197) &gt; 0</f>
        <v>1</v>
      </c>
    </row>
    <row r="198">
      <c r="A198" s="99" t="str">
        <f>IFERROR(__xludf.DUMMYFUNCTION("""COMPUTED_VALUE"""),"https://utrucking.com/admin/orders/5915394441404")</f>
        <v>https://utrucking.com/admin/orders/5915394441404</v>
      </c>
      <c r="B198" s="61" t="str">
        <f>IFERROR(__xludf.DUMMYFUNCTION("""COMPUTED_VALUE"""),"#15655")</f>
        <v>#15655</v>
      </c>
      <c r="C198" s="61"/>
      <c r="D198" s="61">
        <f>IFERROR(__xludf.DUMMYFUNCTION("""COMPUTED_VALUE"""),4.084807212E9)</f>
        <v>4084807212</v>
      </c>
      <c r="E198" s="61" t="str">
        <f>IFERROR(__xludf.DUMMYFUNCTION("""COMPUTED_VALUE"""),"Laureline Troin")</f>
        <v>Laureline Troin</v>
      </c>
      <c r="F198" s="61"/>
      <c r="G198" s="61"/>
      <c r="H198" s="61" t="str">
        <f>IFERROR(__xludf.DUMMYFUNCTION("""COMPUTED_VALUE"""),"Storage Item Return")</f>
        <v>Storage Item Return</v>
      </c>
      <c r="I198" s="61" t="str">
        <f>IFERROR(__xludf.DUMMYFUNCTION("""COMPUTED_VALUE"""),"University Housing ")</f>
        <v>University Housing </v>
      </c>
      <c r="J198" s="107" t="str">
        <f>IFERROR(__xludf.DUMMYFUNCTION("""COMPUTED_VALUE"""),"12:00 PM to 02:00 PM   ")</f>
        <v>12:00 PM to 02:00 PM   </v>
      </c>
      <c r="K198" s="107">
        <f>IFERROR(__xludf.DUMMYFUNCTION("""COMPUTED_VALUE"""),45890.0)</f>
        <v>45890</v>
      </c>
      <c r="L198" s="61" t="str">
        <f>IFERROR(__xludf.DUMMYFUNCTION("""COMPUTED_VALUE"""),"Gregg  ")</f>
        <v>Gregg  </v>
      </c>
      <c r="M198" s="61" t="str">
        <f>IFERROR(__xludf.DUMMYFUNCTION("""COMPUTED_VALUE"""),"3054")</f>
        <v>3054</v>
      </c>
      <c r="N198" s="61"/>
      <c r="O198" s="61"/>
      <c r="P198" s="61" t="b">
        <f>COUNTIF('Delivered SIR'!A:A, E198) &gt; 0</f>
        <v>0</v>
      </c>
    </row>
    <row r="199">
      <c r="A199" s="102" t="str">
        <f>IFERROR(__xludf.DUMMYFUNCTION("""COMPUTED_VALUE"""),"https://utrucking.com/admin/orders/5915411120316")</f>
        <v>https://utrucking.com/admin/orders/5915411120316</v>
      </c>
      <c r="B199" s="65" t="str">
        <f>IFERROR(__xludf.DUMMYFUNCTION("""COMPUTED_VALUE"""),"#15657")</f>
        <v>#15657</v>
      </c>
      <c r="C199" s="65"/>
      <c r="D199" s="65">
        <f>IFERROR(__xludf.DUMMYFUNCTION("""COMPUTED_VALUE"""),2.155005523E9)</f>
        <v>2155005523</v>
      </c>
      <c r="E199" s="65" t="str">
        <f>IFERROR(__xludf.DUMMYFUNCTION("""COMPUTED_VALUE"""),"Bradley Broker")</f>
        <v>Bradley Broker</v>
      </c>
      <c r="F199" s="65"/>
      <c r="G199" s="65"/>
      <c r="H199" s="65" t="str">
        <f>IFERROR(__xludf.DUMMYFUNCTION("""COMPUTED_VALUE"""),"Storage Item Return")</f>
        <v>Storage Item Return</v>
      </c>
      <c r="I199" s="65" t="str">
        <f>IFERROR(__xludf.DUMMYFUNCTION("""COMPUTED_VALUE"""),"University Housing ")</f>
        <v>University Housing </v>
      </c>
      <c r="J199" s="108" t="str">
        <f>IFERROR(__xludf.DUMMYFUNCTION("""COMPUTED_VALUE"""),"10:00 AM to 12:00 PM   ")</f>
        <v>10:00 AM to 12:00 PM   </v>
      </c>
      <c r="K199" s="108">
        <f>IFERROR(__xludf.DUMMYFUNCTION("""COMPUTED_VALUE"""),45888.0)</f>
        <v>45888</v>
      </c>
      <c r="L199" s="65" t="str">
        <f>IFERROR(__xludf.DUMMYFUNCTION("""COMPUTED_VALUE"""),"House 6 (Sigma Alpha Epsilon)  ")</f>
        <v>House 6 (Sigma Alpha Epsilon)  </v>
      </c>
      <c r="M199" s="65" t="str">
        <f>IFERROR(__xludf.DUMMYFUNCTION("""COMPUTED_VALUE"""),"208")</f>
        <v>208</v>
      </c>
      <c r="N199" s="65"/>
      <c r="O199" s="65"/>
      <c r="P199" s="65" t="b">
        <f>COUNTIF('Delivered SIR'!A:A, E199) &gt; 0</f>
        <v>0</v>
      </c>
    </row>
    <row r="200">
      <c r="A200" s="99" t="str">
        <f>IFERROR(__xludf.DUMMYFUNCTION("""COMPUTED_VALUE"""),"https://utrucking.com/admin/orders/5915445690556")</f>
        <v>https://utrucking.com/admin/orders/5915445690556</v>
      </c>
      <c r="B200" s="61" t="str">
        <f>IFERROR(__xludf.DUMMYFUNCTION("""COMPUTED_VALUE"""),"#15659")</f>
        <v>#15659</v>
      </c>
      <c r="C200" s="61" t="str">
        <f>IFERROR(__xludf.DUMMYFUNCTION("""COMPUTED_VALUE"""),"hmcwhan@icloud.com")</f>
        <v>hmcwhan@icloud.com</v>
      </c>
      <c r="D200" s="61">
        <f>IFERROR(__xludf.DUMMYFUNCTION("""COMPUTED_VALUE"""),1.6179019427E10)</f>
        <v>16179019427</v>
      </c>
      <c r="E200" s="61" t="str">
        <f>IFERROR(__xludf.DUMMYFUNCTION("""COMPUTED_VALUE"""),"Hannah McWhan")</f>
        <v>Hannah McWhan</v>
      </c>
      <c r="F200" s="61"/>
      <c r="G200" s="61"/>
      <c r="H200" s="61" t="str">
        <f>IFERROR(__xludf.DUMMYFUNCTION("""COMPUTED_VALUE"""),"Storage Item Return")</f>
        <v>Storage Item Return</v>
      </c>
      <c r="I200" s="61" t="str">
        <f>IFERROR(__xludf.DUMMYFUNCTION("""COMPUTED_VALUE"""),"University Housing ")</f>
        <v>University Housing </v>
      </c>
      <c r="J200" s="107" t="str">
        <f>IFERROR(__xludf.DUMMYFUNCTION("""COMPUTED_VALUE"""),"09:00 AM to 11:00 AM   ")</f>
        <v>09:00 AM to 11:00 AM   </v>
      </c>
      <c r="K200" s="107">
        <f>IFERROR(__xludf.DUMMYFUNCTION("""COMPUTED_VALUE"""),45883.0)</f>
        <v>45883</v>
      </c>
      <c r="L200" s="61" t="str">
        <f>IFERROR(__xludf.DUMMYFUNCTION("""COMPUTED_VALUE"""),"Zetcher  ")</f>
        <v>Zetcher  </v>
      </c>
      <c r="M200" s="61" t="str">
        <f>IFERROR(__xludf.DUMMYFUNCTION("""COMPUTED_VALUE"""),"3024-a")</f>
        <v>3024-a</v>
      </c>
      <c r="N200" s="61"/>
      <c r="O200" s="61"/>
      <c r="P200" s="61" t="b">
        <f>COUNTIF('Delivered SIR'!A:A, E200) &gt; 0</f>
        <v>1</v>
      </c>
    </row>
    <row r="201">
      <c r="A201" s="102" t="str">
        <f>IFERROR(__xludf.DUMMYFUNCTION("""COMPUTED_VALUE"""),"https://utrucking.com/admin/orders/5915470430396")</f>
        <v>https://utrucking.com/admin/orders/5915470430396</v>
      </c>
      <c r="B201" s="65" t="str">
        <f>IFERROR(__xludf.DUMMYFUNCTION("""COMPUTED_VALUE"""),"#15660")</f>
        <v>#15660</v>
      </c>
      <c r="C201" s="65"/>
      <c r="D201" s="65">
        <f>IFERROR(__xludf.DUMMYFUNCTION("""COMPUTED_VALUE"""),9.175334035E9)</f>
        <v>9175334035</v>
      </c>
      <c r="E201" s="65" t="str">
        <f>IFERROR(__xludf.DUMMYFUNCTION("""COMPUTED_VALUE"""),"Andrea Loigman")</f>
        <v>Andrea Loigman</v>
      </c>
      <c r="F201" s="65"/>
      <c r="G201" s="65"/>
      <c r="H201" s="65" t="str">
        <f>IFERROR(__xludf.DUMMYFUNCTION("""COMPUTED_VALUE"""),"Storage Item Return")</f>
        <v>Storage Item Return</v>
      </c>
      <c r="I201" s="65" t="str">
        <f>IFERROR(__xludf.DUMMYFUNCTION("""COMPUTED_VALUE"""),"University Housing ")</f>
        <v>University Housing </v>
      </c>
      <c r="J201" s="108" t="str">
        <f>IFERROR(__xludf.DUMMYFUNCTION("""COMPUTED_VALUE"""),"09:00 AM to 11:00 AM   ")</f>
        <v>09:00 AM to 11:00 AM   </v>
      </c>
      <c r="K201" s="108">
        <f>IFERROR(__xludf.DUMMYFUNCTION("""COMPUTED_VALUE"""),45888.0)</f>
        <v>45888</v>
      </c>
      <c r="L201" s="65" t="str">
        <f>IFERROR(__xludf.DUMMYFUNCTION("""COMPUTED_VALUE"""),"Lopata  ")</f>
        <v>Lopata  </v>
      </c>
      <c r="M201" s="65" t="str">
        <f>IFERROR(__xludf.DUMMYFUNCTION("""COMPUTED_VALUE"""),"3030")</f>
        <v>3030</v>
      </c>
      <c r="N201" s="65"/>
      <c r="O201" s="65"/>
      <c r="P201" s="65" t="b">
        <f>COUNTIF('Delivered SIR'!A:A, E201) &gt; 0</f>
        <v>0</v>
      </c>
    </row>
    <row r="202">
      <c r="A202" s="99" t="str">
        <f>IFERROR(__xludf.DUMMYFUNCTION("""COMPUTED_VALUE"""),"https://utrucking.com/admin/orders/5915484422332")</f>
        <v>https://utrucking.com/admin/orders/5915484422332</v>
      </c>
      <c r="B202" s="61" t="str">
        <f>IFERROR(__xludf.DUMMYFUNCTION("""COMPUTED_VALUE"""),"#15662")</f>
        <v>#15662</v>
      </c>
      <c r="C202" s="61" t="str">
        <f>IFERROR(__xludf.DUMMYFUNCTION("""COMPUTED_VALUE"""),"mink7950@gmail.com")</f>
        <v>mink7950@gmail.com</v>
      </c>
      <c r="D202" s="61">
        <f>IFERROR(__xludf.DUMMYFUNCTION("""COMPUTED_VALUE"""),3.239255711E9)</f>
        <v>3239255711</v>
      </c>
      <c r="E202" s="61" t="str">
        <f>IFERROR(__xludf.DUMMYFUNCTION("""COMPUTED_VALUE"""),"Ein Gi Kim")</f>
        <v>Ein Gi Kim</v>
      </c>
      <c r="F202" s="61"/>
      <c r="G202" s="61"/>
      <c r="H202" s="61" t="str">
        <f>IFERROR(__xludf.DUMMYFUNCTION("""COMPUTED_VALUE"""),"Storage Item Return")</f>
        <v>Storage Item Return</v>
      </c>
      <c r="I202" s="61" t="str">
        <f>IFERROR(__xludf.DUMMYFUNCTION("""COMPUTED_VALUE"""),"University Housing ")</f>
        <v>University Housing </v>
      </c>
      <c r="J202" s="107" t="str">
        <f>IFERROR(__xludf.DUMMYFUNCTION("""COMPUTED_VALUE"""),"10:00 AM to 12:00 PM   ")</f>
        <v>10:00 AM to 12:00 PM   </v>
      </c>
      <c r="K202" s="107">
        <f>IFERROR(__xludf.DUMMYFUNCTION("""COMPUTED_VALUE"""),45890.0)</f>
        <v>45890</v>
      </c>
      <c r="L202" s="61" t="str">
        <f>IFERROR(__xludf.DUMMYFUNCTION("""COMPUTED_VALUE"""),"Liggett  ")</f>
        <v>Liggett  </v>
      </c>
      <c r="M202" s="61" t="str">
        <f>IFERROR(__xludf.DUMMYFUNCTION("""COMPUTED_VALUE"""),"2321-A ")</f>
        <v>2321-A </v>
      </c>
      <c r="N202" s="61"/>
      <c r="O202" s="61"/>
      <c r="P202" s="61" t="b">
        <f>COUNTIF('Delivered SIR'!A:A, E202) &gt; 0</f>
        <v>0</v>
      </c>
    </row>
    <row r="203">
      <c r="A203" s="102" t="str">
        <f>IFERROR(__xludf.DUMMYFUNCTION("""COMPUTED_VALUE"""),"https://utrucking.com/admin/orders/5915512635580")</f>
        <v>https://utrucking.com/admin/orders/5915512635580</v>
      </c>
      <c r="B203" s="65" t="str">
        <f>IFERROR(__xludf.DUMMYFUNCTION("""COMPUTED_VALUE"""),"#15664")</f>
        <v>#15664</v>
      </c>
      <c r="C203" s="65" t="str">
        <f>IFERROR(__xludf.DUMMYFUNCTION("""COMPUTED_VALUE"""),"doyoon.k@wustl.edu")</f>
        <v>doyoon.k@wustl.edu</v>
      </c>
      <c r="D203" s="65">
        <f>IFERROR(__xludf.DUMMYFUNCTION("""COMPUTED_VALUE"""),1.2068568386E10)</f>
        <v>12068568386</v>
      </c>
      <c r="E203" s="65" t="str">
        <f>IFERROR(__xludf.DUMMYFUNCTION("""COMPUTED_VALUE"""),"Ja Eun Park")</f>
        <v>Ja Eun Park</v>
      </c>
      <c r="F203" s="65"/>
      <c r="G203" s="65"/>
      <c r="H203" s="65" t="str">
        <f>IFERROR(__xludf.DUMMYFUNCTION("""COMPUTED_VALUE"""),"Storage Item Return")</f>
        <v>Storage Item Return</v>
      </c>
      <c r="I203" s="65" t="str">
        <f>IFERROR(__xludf.DUMMYFUNCTION("""COMPUTED_VALUE"""),"University Housing ")</f>
        <v>University Housing </v>
      </c>
      <c r="J203" s="108" t="str">
        <f>IFERROR(__xludf.DUMMYFUNCTION("""COMPUTED_VALUE"""),"09:00 AM to 11:00 AM   ")</f>
        <v>09:00 AM to 11:00 AM   </v>
      </c>
      <c r="K203" s="108">
        <f>IFERROR(__xludf.DUMMYFUNCTION("""COMPUTED_VALUE"""),45883.0)</f>
        <v>45883</v>
      </c>
      <c r="L203" s="65" t="str">
        <f>IFERROR(__xludf.DUMMYFUNCTION("""COMPUTED_VALUE"""),"Millbrook Bldg. 2  ")</f>
        <v>Millbrook Bldg. 2  </v>
      </c>
      <c r="M203" s="65" t="str">
        <f>IFERROR(__xludf.DUMMYFUNCTION("""COMPUTED_VALUE"""),"203A")</f>
        <v>203A</v>
      </c>
      <c r="N203" s="65"/>
      <c r="O203" s="65"/>
      <c r="P203" s="65" t="b">
        <f>COUNTIF('Delivered SIR'!A:A, E203) &gt; 0</f>
        <v>1</v>
      </c>
    </row>
    <row r="204">
      <c r="A204" s="99" t="str">
        <f>IFERROR(__xludf.DUMMYFUNCTION("""COMPUTED_VALUE"""),"https://utrucking.com/admin/orders/5915529838780")</f>
        <v>https://utrucking.com/admin/orders/5915529838780</v>
      </c>
      <c r="B204" s="61" t="str">
        <f>IFERROR(__xludf.DUMMYFUNCTION("""COMPUTED_VALUE"""),"#15665")</f>
        <v>#15665</v>
      </c>
      <c r="C204" s="61" t="str">
        <f>IFERROR(__xludf.DUMMYFUNCTION("""COMPUTED_VALUE"""),"a.l.soderberg@wustl.edu")</f>
        <v>a.l.soderberg@wustl.edu</v>
      </c>
      <c r="D204" s="61">
        <f>IFERROR(__xludf.DUMMYFUNCTION("""COMPUTED_VALUE"""),2.01960196E9)</f>
        <v>2019601960</v>
      </c>
      <c r="E204" s="61" t="str">
        <f>IFERROR(__xludf.DUMMYFUNCTION("""COMPUTED_VALUE"""),"Alyssa Soderberg")</f>
        <v>Alyssa Soderberg</v>
      </c>
      <c r="F204" s="61"/>
      <c r="G204" s="61"/>
      <c r="H204" s="61" t="str">
        <f>IFERROR(__xludf.DUMMYFUNCTION("""COMPUTED_VALUE"""),"Storage Item Return")</f>
        <v>Storage Item Return</v>
      </c>
      <c r="I204" s="61" t="str">
        <f>IFERROR(__xludf.DUMMYFUNCTION("""COMPUTED_VALUE"""),"University Housing ")</f>
        <v>University Housing </v>
      </c>
      <c r="J204" s="107" t="str">
        <f>IFERROR(__xludf.DUMMYFUNCTION("""COMPUTED_VALUE"""),"12:00 PM to 02:00 PM   ")</f>
        <v>12:00 PM to 02:00 PM   </v>
      </c>
      <c r="K204" s="107">
        <f>IFERROR(__xludf.DUMMYFUNCTION("""COMPUTED_VALUE"""),45889.0)</f>
        <v>45889</v>
      </c>
      <c r="L204" s="61" t="str">
        <f>IFERROR(__xludf.DUMMYFUNCTION("""COMPUTED_VALUE"""),"Loop Loft 6255  ")</f>
        <v>Loop Loft 6255  </v>
      </c>
      <c r="M204" s="61" t="str">
        <f>IFERROR(__xludf.DUMMYFUNCTION("""COMPUTED_VALUE"""),"303B")</f>
        <v>303B</v>
      </c>
      <c r="N204" s="61"/>
      <c r="O204" s="61"/>
      <c r="P204" s="61" t="b">
        <f>COUNTIF('Delivered SIR'!A:A, E204) &gt; 0</f>
        <v>1</v>
      </c>
    </row>
    <row r="205">
      <c r="A205" s="102" t="str">
        <f>IFERROR(__xludf.DUMMYFUNCTION("""COMPUTED_VALUE"""),"https://utrucking.com/admin/orders/5915879538876")</f>
        <v>https://utrucking.com/admin/orders/5915879538876</v>
      </c>
      <c r="B205" s="65" t="str">
        <f>IFERROR(__xludf.DUMMYFUNCTION("""COMPUTED_VALUE"""),"#15673")</f>
        <v>#15673</v>
      </c>
      <c r="C205" s="65" t="str">
        <f>IFERROR(__xludf.DUMMYFUNCTION("""COMPUTED_VALUE"""),"d.d.khen@wustl.edu")</f>
        <v>d.d.khen@wustl.edu</v>
      </c>
      <c r="D205" s="65">
        <f>IFERROR(__xludf.DUMMYFUNCTION("""COMPUTED_VALUE"""),9.178486818E9)</f>
        <v>9178486818</v>
      </c>
      <c r="E205" s="65" t="str">
        <f>IFERROR(__xludf.DUMMYFUNCTION("""COMPUTED_VALUE"""),"Daniel Khen")</f>
        <v>Daniel Khen</v>
      </c>
      <c r="F205" s="65"/>
      <c r="G205" s="65" t="str">
        <f>IFERROR(__xludf.DUMMYFUNCTION("""COMPUTED_VALUE"""),"6148 Pershing Ave
St. Louis, MO 63112")</f>
        <v>6148 Pershing Ave
St. Louis, MO 63112</v>
      </c>
      <c r="H205" s="65" t="str">
        <f>IFERROR(__xludf.DUMMYFUNCTION("""COMPUTED_VALUE"""),"Storage Item Return")</f>
        <v>Storage Item Return</v>
      </c>
      <c r="I205" s="65" t="str">
        <f>IFERROR(__xludf.DUMMYFUNCTION("""COMPUTED_VALUE"""),"Non-University Housing ")</f>
        <v>Non-University Housing </v>
      </c>
      <c r="J205" s="108" t="str">
        <f>IFERROR(__xludf.DUMMYFUNCTION("""COMPUTED_VALUE"""),"03:00 PM to 05:00 PM ")</f>
        <v>03:00 PM to 05:00 PM </v>
      </c>
      <c r="K205" s="108">
        <f>IFERROR(__xludf.DUMMYFUNCTION("""COMPUTED_VALUE"""),45891.0)</f>
        <v>45891</v>
      </c>
      <c r="L205" s="65"/>
      <c r="M205" s="65"/>
      <c r="N205" s="65" t="str">
        <f>IFERROR(__xludf.DUMMYFUNCTION("""COMPUTED_VALUE"""),"6148 Pershing Ave
St. Louis, MO 63112")</f>
        <v>6148 Pershing Ave
St. Louis, MO 63112</v>
      </c>
      <c r="O205" s="65"/>
      <c r="P205" s="65" t="b">
        <f>COUNTIF('Delivered SIR'!A:A, E205) &gt; 0</f>
        <v>0</v>
      </c>
    </row>
    <row r="206">
      <c r="A206" s="99" t="str">
        <f>IFERROR(__xludf.DUMMYFUNCTION("""COMPUTED_VALUE"""),"https://utrucking.com/admin/orders/5915888156860")</f>
        <v>https://utrucking.com/admin/orders/5915888156860</v>
      </c>
      <c r="B206" s="61" t="str">
        <f>IFERROR(__xludf.DUMMYFUNCTION("""COMPUTED_VALUE"""),"#15674")</f>
        <v>#15674</v>
      </c>
      <c r="C206" s="61" t="str">
        <f>IFERROR(__xludf.DUMMYFUNCTION("""COMPUTED_VALUE"""),"parker.s.j@wustl.edu")</f>
        <v>parker.s.j@wustl.edu</v>
      </c>
      <c r="D206" s="61">
        <f>IFERROR(__xludf.DUMMYFUNCTION("""COMPUTED_VALUE"""),6.506447533E9)</f>
        <v>6506447533</v>
      </c>
      <c r="E206" s="61" t="str">
        <f>IFERROR(__xludf.DUMMYFUNCTION("""COMPUTED_VALUE"""),"Stella Parker")</f>
        <v>Stella Parker</v>
      </c>
      <c r="F206" s="61"/>
      <c r="G206" s="61" t="str">
        <f>IFERROR(__xludf.DUMMYFUNCTION("""COMPUTED_VALUE"""),"5919 McPherson Ave 3rd Floor")</f>
        <v>5919 McPherson Ave 3rd Floor</v>
      </c>
      <c r="H206" s="61" t="str">
        <f>IFERROR(__xludf.DUMMYFUNCTION("""COMPUTED_VALUE"""),"Storage Item Return")</f>
        <v>Storage Item Return</v>
      </c>
      <c r="I206" s="61" t="str">
        <f>IFERROR(__xludf.DUMMYFUNCTION("""COMPUTED_VALUE"""),"Non-University Housing ")</f>
        <v>Non-University Housing </v>
      </c>
      <c r="J206" s="107" t="str">
        <f>IFERROR(__xludf.DUMMYFUNCTION("""COMPUTED_VALUE"""),"10:00 AM to 12:00 PM   ")</f>
        <v>10:00 AM to 12:00 PM   </v>
      </c>
      <c r="K206" s="107">
        <f>IFERROR(__xludf.DUMMYFUNCTION("""COMPUTED_VALUE"""),45871.0)</f>
        <v>45871</v>
      </c>
      <c r="L206" s="61"/>
      <c r="M206" s="61"/>
      <c r="N206" s="61" t="str">
        <f>IFERROR(__xludf.DUMMYFUNCTION("""COMPUTED_VALUE"""),"5919 McPherson Ave 3rd Floor")</f>
        <v>5919 McPherson Ave 3rd Floor</v>
      </c>
      <c r="O206" s="61"/>
      <c r="P206" s="61" t="b">
        <f>COUNTIF('Delivered SIR'!A:A, E206) &gt; 0</f>
        <v>0</v>
      </c>
    </row>
    <row r="207">
      <c r="A207" s="102" t="str">
        <f>IFERROR(__xludf.DUMMYFUNCTION("""COMPUTED_VALUE"""),"https://utrucking.com/admin/orders/5915905884348")</f>
        <v>https://utrucking.com/admin/orders/5915905884348</v>
      </c>
      <c r="B207" s="65" t="str">
        <f>IFERROR(__xludf.DUMMYFUNCTION("""COMPUTED_VALUE"""),"#15676")</f>
        <v>#15676</v>
      </c>
      <c r="C207" s="65" t="str">
        <f>IFERROR(__xludf.DUMMYFUNCTION("""COMPUTED_VALUE"""),"kaittan20@gmail.com")</f>
        <v>kaittan20@gmail.com</v>
      </c>
      <c r="D207" s="65">
        <f>IFERROR(__xludf.DUMMYFUNCTION("""COMPUTED_VALUE"""),9.166999502E9)</f>
        <v>9166999502</v>
      </c>
      <c r="E207" s="65" t="str">
        <f>IFERROR(__xludf.DUMMYFUNCTION("""COMPUTED_VALUE"""),"Kaitlyn Tan")</f>
        <v>Kaitlyn Tan</v>
      </c>
      <c r="F207" s="65"/>
      <c r="G207" s="65"/>
      <c r="H207" s="65" t="str">
        <f>IFERROR(__xludf.DUMMYFUNCTION("""COMPUTED_VALUE"""),"Storage Item Return")</f>
        <v>Storage Item Return</v>
      </c>
      <c r="I207" s="65" t="str">
        <f>IFERROR(__xludf.DUMMYFUNCTION("""COMPUTED_VALUE"""),"University Housing ")</f>
        <v>University Housing </v>
      </c>
      <c r="J207" s="108" t="str">
        <f>IFERROR(__xludf.DUMMYFUNCTION("""COMPUTED_VALUE"""),"12:00 PM to 02:00 PM   ")</f>
        <v>12:00 PM to 02:00 PM   </v>
      </c>
      <c r="K207" s="108">
        <f>IFERROR(__xludf.DUMMYFUNCTION("""COMPUTED_VALUE"""),45889.0)</f>
        <v>45889</v>
      </c>
      <c r="L207" s="65" t="str">
        <f>IFERROR(__xludf.DUMMYFUNCTION("""COMPUTED_VALUE"""),"Zetcher  ")</f>
        <v>Zetcher  </v>
      </c>
      <c r="M207" s="65" t="str">
        <f>IFERROR(__xludf.DUMMYFUNCTION("""COMPUTED_VALUE"""),"3091 - a")</f>
        <v>3091 - a</v>
      </c>
      <c r="N207" s="65"/>
      <c r="O207" s="65"/>
      <c r="P207" s="65" t="b">
        <f>COUNTIF('Delivered SIR'!A:A, E207) &gt; 0</f>
        <v>1</v>
      </c>
    </row>
    <row r="208">
      <c r="A208" s="99" t="str">
        <f>IFERROR(__xludf.DUMMYFUNCTION("""COMPUTED_VALUE"""),"https://utrucking.com/admin/orders/5915948744892")</f>
        <v>https://utrucking.com/admin/orders/5915948744892</v>
      </c>
      <c r="B208" s="61" t="str">
        <f>IFERROR(__xludf.DUMMYFUNCTION("""COMPUTED_VALUE"""),"#15678")</f>
        <v>#15678</v>
      </c>
      <c r="C208" s="61" t="str">
        <f>IFERROR(__xludf.DUMMYFUNCTION("""COMPUTED_VALUE"""),"d.a.restrebada@wustl.edu")</f>
        <v>d.a.restrebada@wustl.edu</v>
      </c>
      <c r="D208" s="61">
        <f>IFERROR(__xludf.DUMMYFUNCTION("""COMPUTED_VALUE"""),7.865079948E9)</f>
        <v>7865079948</v>
      </c>
      <c r="E208" s="61" t="str">
        <f>IFERROR(__xludf.DUMMYFUNCTION("""COMPUTED_VALUE"""),"Daniel Restrebada")</f>
        <v>Daniel Restrebada</v>
      </c>
      <c r="F208" s="61"/>
      <c r="G208" s="61"/>
      <c r="H208" s="61" t="str">
        <f>IFERROR(__xludf.DUMMYFUNCTION("""COMPUTED_VALUE"""),"Storage Item Return")</f>
        <v>Storage Item Return</v>
      </c>
      <c r="I208" s="61" t="str">
        <f>IFERROR(__xludf.DUMMYFUNCTION("""COMPUTED_VALUE"""),"University Housing ")</f>
        <v>University Housing </v>
      </c>
      <c r="J208" s="107" t="str">
        <f>IFERROR(__xludf.DUMMYFUNCTION("""COMPUTED_VALUE"""),"03:00 PM to 05:00 PM ")</f>
        <v>03:00 PM to 05:00 PM </v>
      </c>
      <c r="K208" s="107">
        <f>IFERROR(__xludf.DUMMYFUNCTION("""COMPUTED_VALUE"""),45890.0)</f>
        <v>45890</v>
      </c>
      <c r="L208" s="61" t="str">
        <f>IFERROR(__xludf.DUMMYFUNCTION("""COMPUTED_VALUE"""),"Nemerov  ")</f>
        <v>Nemerov  </v>
      </c>
      <c r="M208" s="61" t="str">
        <f>IFERROR(__xludf.DUMMYFUNCTION("""COMPUTED_VALUE"""),"3110")</f>
        <v>3110</v>
      </c>
      <c r="N208" s="61"/>
      <c r="O208" s="61"/>
      <c r="P208" s="61" t="b">
        <f>COUNTIF('Delivered SIR'!A:A, E208) &gt; 0</f>
        <v>1</v>
      </c>
    </row>
    <row r="209">
      <c r="A209" s="102" t="str">
        <f>IFERROR(__xludf.DUMMYFUNCTION("""COMPUTED_VALUE"""),"https://utrucking.com/admin/orders/5916035580092")</f>
        <v>https://utrucking.com/admin/orders/5916035580092</v>
      </c>
      <c r="B209" s="65" t="str">
        <f>IFERROR(__xludf.DUMMYFUNCTION("""COMPUTED_VALUE"""),"#15683")</f>
        <v>#15683</v>
      </c>
      <c r="C209" s="65" t="str">
        <f>IFERROR(__xludf.DUMMYFUNCTION("""COMPUTED_VALUE"""),"stevekimmd@gmail.com")</f>
        <v>stevekimmd@gmail.com</v>
      </c>
      <c r="D209" s="65">
        <f>IFERROR(__xludf.DUMMYFUNCTION("""COMPUTED_VALUE"""),5.202738866E9)</f>
        <v>5202738866</v>
      </c>
      <c r="E209" s="65" t="str">
        <f>IFERROR(__xludf.DUMMYFUNCTION("""COMPUTED_VALUE"""),"Sydney Kim")</f>
        <v>Sydney Kim</v>
      </c>
      <c r="F209" s="65"/>
      <c r="G209" s="65"/>
      <c r="H209" s="65" t="str">
        <f>IFERROR(__xludf.DUMMYFUNCTION("""COMPUTED_VALUE"""),"Storage Item Return")</f>
        <v>Storage Item Return</v>
      </c>
      <c r="I209" s="65" t="str">
        <f>IFERROR(__xludf.DUMMYFUNCTION("""COMPUTED_VALUE"""),"University Housing ")</f>
        <v>University Housing </v>
      </c>
      <c r="J209" s="108" t="str">
        <f>IFERROR(__xludf.DUMMYFUNCTION("""COMPUTED_VALUE"""),"09:00 AM to 11:00 AM   ")</f>
        <v>09:00 AM to 11:00 AM   </v>
      </c>
      <c r="K209" s="108">
        <f>IFERROR(__xludf.DUMMYFUNCTION("""COMPUTED_VALUE"""),45888.0)</f>
        <v>45888</v>
      </c>
      <c r="L209" s="65" t="str">
        <f>IFERROR(__xludf.DUMMYFUNCTION("""COMPUTED_VALUE"""),"Loop Loft 6255  ")</f>
        <v>Loop Loft 6255  </v>
      </c>
      <c r="M209" s="65" t="str">
        <f>IFERROR(__xludf.DUMMYFUNCTION("""COMPUTED_VALUE"""),"316C")</f>
        <v>316C</v>
      </c>
      <c r="N209" s="65"/>
      <c r="O209" s="65"/>
      <c r="P209" s="65" t="b">
        <f>COUNTIF('Delivered SIR'!A:A, E209) &gt; 0</f>
        <v>1</v>
      </c>
    </row>
    <row r="210">
      <c r="A210" s="99" t="str">
        <f>IFERROR(__xludf.DUMMYFUNCTION("""COMPUTED_VALUE"""),"https://utrucking.com/admin/orders/5916042395836")</f>
        <v>https://utrucking.com/admin/orders/5916042395836</v>
      </c>
      <c r="B210" s="61" t="str">
        <f>IFERROR(__xludf.DUMMYFUNCTION("""COMPUTED_VALUE"""),"#15684")</f>
        <v>#15684</v>
      </c>
      <c r="C210" s="61" t="str">
        <f>IFERROR(__xludf.DUMMYFUNCTION("""COMPUTED_VALUE"""),"k.yerin@wustl.edu")</f>
        <v>k.yerin@wustl.edu</v>
      </c>
      <c r="D210" s="61">
        <f>IFERROR(__xludf.DUMMYFUNCTION("""COMPUTED_VALUE"""),3.142367799E9)</f>
        <v>3142367799</v>
      </c>
      <c r="E210" s="61" t="str">
        <f>IFERROR(__xludf.DUMMYFUNCTION("""COMPUTED_VALUE"""),"Yerin Kang")</f>
        <v>Yerin Kang</v>
      </c>
      <c r="F210" s="61"/>
      <c r="G210" s="61" t="str">
        <f>IFERROR(__xludf.DUMMYFUNCTION("""COMPUTED_VALUE"""),"
6105 Delmar Blvd. Apt 203
ST. LOUIS, MISSOURI 63112
United States")</f>
        <v>
6105 Delmar Blvd. Apt 203
ST. LOUIS, MISSOURI 63112
United States</v>
      </c>
      <c r="H210" s="61" t="str">
        <f>IFERROR(__xludf.DUMMYFUNCTION("""COMPUTED_VALUE"""),"Storage Item Return")</f>
        <v>Storage Item Return</v>
      </c>
      <c r="I210" s="61" t="str">
        <f>IFERROR(__xludf.DUMMYFUNCTION("""COMPUTED_VALUE"""),"Non-University Housing ")</f>
        <v>Non-University Housing </v>
      </c>
      <c r="J210" s="107" t="str">
        <f>IFERROR(__xludf.DUMMYFUNCTION("""COMPUTED_VALUE"""),"09:00 AM to 11:00 AM   ")</f>
        <v>09:00 AM to 11:00 AM   </v>
      </c>
      <c r="K210" s="107">
        <f>IFERROR(__xludf.DUMMYFUNCTION("""COMPUTED_VALUE"""),45891.0)</f>
        <v>45891</v>
      </c>
      <c r="L210" s="61"/>
      <c r="M210" s="61"/>
      <c r="N210" s="61" t="str">
        <f>IFERROR(__xludf.DUMMYFUNCTION("""COMPUTED_VALUE"""),"
6105 Delmar Blvd. Apt 203
ST. LOUIS, MISSOURI 63112
United States")</f>
        <v>
6105 Delmar Blvd. Apt 203
ST. LOUIS, MISSOURI 63112
United States</v>
      </c>
      <c r="O210" s="61"/>
      <c r="P210" s="61" t="b">
        <f>COUNTIF('Delivered SIR'!A:A, E210) &gt; 0</f>
        <v>0</v>
      </c>
    </row>
    <row r="211">
      <c r="A211" s="102" t="str">
        <f>IFERROR(__xludf.DUMMYFUNCTION("""COMPUTED_VALUE"""),"https://utrucking.com/admin/orders/5916107636924")</f>
        <v>https://utrucking.com/admin/orders/5916107636924</v>
      </c>
      <c r="B211" s="65" t="str">
        <f>IFERROR(__xludf.DUMMYFUNCTION("""COMPUTED_VALUE"""),"#15687")</f>
        <v>#15687</v>
      </c>
      <c r="C211" s="65" t="str">
        <f>IFERROR(__xludf.DUMMYFUNCTION("""COMPUTED_VALUE"""),"g.nomin@wustl.edu")</f>
        <v>g.nomin@wustl.edu</v>
      </c>
      <c r="D211" s="65">
        <f>IFERROR(__xludf.DUMMYFUNCTION("""COMPUTED_VALUE"""),4.252465308E9)</f>
        <v>4252465308</v>
      </c>
      <c r="E211" s="65" t="str">
        <f>IFERROR(__xludf.DUMMYFUNCTION("""COMPUTED_VALUE"""),"Nomin Ganbold")</f>
        <v>Nomin Ganbold</v>
      </c>
      <c r="F211" s="65"/>
      <c r="G211" s="65"/>
      <c r="H211" s="65" t="str">
        <f>IFERROR(__xludf.DUMMYFUNCTION("""COMPUTED_VALUE"""),"Storage Item Return")</f>
        <v>Storage Item Return</v>
      </c>
      <c r="I211" s="65" t="str">
        <f>IFERROR(__xludf.DUMMYFUNCTION("""COMPUTED_VALUE"""),"University Housing ")</f>
        <v>University Housing </v>
      </c>
      <c r="J211" s="108" t="str">
        <f>IFERROR(__xludf.DUMMYFUNCTION("""COMPUTED_VALUE"""),"09:00 AM to 11:00 AM   ")</f>
        <v>09:00 AM to 11:00 AM   </v>
      </c>
      <c r="K211" s="108">
        <f>IFERROR(__xludf.DUMMYFUNCTION("""COMPUTED_VALUE"""),45888.0)</f>
        <v>45888</v>
      </c>
      <c r="L211" s="65" t="str">
        <f>IFERROR(__xludf.DUMMYFUNCTION("""COMPUTED_VALUE"""),"Village House  ")</f>
        <v>Village House  </v>
      </c>
      <c r="M211" s="65" t="str">
        <f>IFERROR(__xludf.DUMMYFUNCTION("""COMPUTED_VALUE"""),"3061")</f>
        <v>3061</v>
      </c>
      <c r="N211" s="65"/>
      <c r="O211" s="65"/>
      <c r="P211" s="65" t="b">
        <f>COUNTIF('Delivered SIR'!A:A, E211) &gt; 0</f>
        <v>1</v>
      </c>
    </row>
    <row r="212">
      <c r="A212" s="99" t="str">
        <f>IFERROR(__xludf.DUMMYFUNCTION("""COMPUTED_VALUE"""),"https://utrucking.com/admin/orders/5916184903868")</f>
        <v>https://utrucking.com/admin/orders/5916184903868</v>
      </c>
      <c r="B212" s="61" t="str">
        <f>IFERROR(__xludf.DUMMYFUNCTION("""COMPUTED_VALUE"""),"#15689")</f>
        <v>#15689</v>
      </c>
      <c r="C212" s="61" t="str">
        <f>IFERROR(__xludf.DUMMYFUNCTION("""COMPUTED_VALUE"""),"bani@wustl.edu")</f>
        <v>bani@wustl.edu</v>
      </c>
      <c r="D212" s="61">
        <f>IFERROR(__xludf.DUMMYFUNCTION("""COMPUTED_VALUE"""),1.8605006445E10)</f>
        <v>18605006445</v>
      </c>
      <c r="E212" s="61" t="str">
        <f>IFERROR(__xludf.DUMMYFUNCTION("""COMPUTED_VALUE"""),"Bani Chandra")</f>
        <v>Bani Chandra</v>
      </c>
      <c r="F212" s="61"/>
      <c r="G212" s="61"/>
      <c r="H212" s="61" t="str">
        <f>IFERROR(__xludf.DUMMYFUNCTION("""COMPUTED_VALUE"""),"Storage Item Return")</f>
        <v>Storage Item Return</v>
      </c>
      <c r="I212" s="61" t="str">
        <f>IFERROR(__xludf.DUMMYFUNCTION("""COMPUTED_VALUE"""),"University Housing ")</f>
        <v>University Housing </v>
      </c>
      <c r="J212" s="107" t="str">
        <f>IFERROR(__xludf.DUMMYFUNCTION("""COMPUTED_VALUE"""),"09:00 AM to 11:00 AM   ")</f>
        <v>09:00 AM to 11:00 AM   </v>
      </c>
      <c r="K212" s="107">
        <f>IFERROR(__xludf.DUMMYFUNCTION("""COMPUTED_VALUE"""),45887.0)</f>
        <v>45887</v>
      </c>
      <c r="L212" s="61" t="str">
        <f>IFERROR(__xludf.DUMMYFUNCTION("""COMPUTED_VALUE"""),"Mudd  ")</f>
        <v>Mudd  </v>
      </c>
      <c r="M212" s="61" t="str">
        <f>IFERROR(__xludf.DUMMYFUNCTION("""COMPUTED_VALUE"""),"311")</f>
        <v>311</v>
      </c>
      <c r="N212" s="61"/>
      <c r="O212" s="61"/>
      <c r="P212" s="61" t="b">
        <f>COUNTIF('Delivered SIR'!A:A, E212) &gt; 0</f>
        <v>0</v>
      </c>
    </row>
    <row r="213">
      <c r="A213" s="102" t="str">
        <f>IFERROR(__xludf.DUMMYFUNCTION("""COMPUTED_VALUE"""),"https://utrucking.com/admin/orders/5916234842300")</f>
        <v>https://utrucking.com/admin/orders/5916234842300</v>
      </c>
      <c r="B213" s="65" t="str">
        <f>IFERROR(__xludf.DUMMYFUNCTION("""COMPUTED_VALUE"""),"#15691")</f>
        <v>#15691</v>
      </c>
      <c r="C213" s="65" t="str">
        <f>IFERROR(__xludf.DUMMYFUNCTION("""COMPUTED_VALUE"""),"marasilverstein@gmail.com")</f>
        <v>marasilverstein@gmail.com</v>
      </c>
      <c r="D213" s="65">
        <f>IFERROR(__xludf.DUMMYFUNCTION("""COMPUTED_VALUE"""),5.165241033E9)</f>
        <v>5165241033</v>
      </c>
      <c r="E213" s="65" t="str">
        <f>IFERROR(__xludf.DUMMYFUNCTION("""COMPUTED_VALUE"""),"Mara Silverstein")</f>
        <v>Mara Silverstein</v>
      </c>
      <c r="F213" s="65"/>
      <c r="G213" s="65" t="str">
        <f>IFERROR(__xludf.DUMMYFUNCTION("""COMPUTED_VALUE"""),"5942 McPherson Ave 
63112
Inch up n")</f>
        <v>5942 McPherson Ave 
63112
Inch up n</v>
      </c>
      <c r="H213" s="65" t="str">
        <f>IFERROR(__xludf.DUMMYFUNCTION("""COMPUTED_VALUE"""),"Storage Item Return")</f>
        <v>Storage Item Return</v>
      </c>
      <c r="I213" s="65" t="str">
        <f>IFERROR(__xludf.DUMMYFUNCTION("""COMPUTED_VALUE"""),"Non-University Housing ")</f>
        <v>Non-University Housing </v>
      </c>
      <c r="J213" s="108" t="str">
        <f>IFERROR(__xludf.DUMMYFUNCTION("""COMPUTED_VALUE"""),"12:00 PM to 02:00 PM   ")</f>
        <v>12:00 PM to 02:00 PM   </v>
      </c>
      <c r="K213" s="108">
        <f>IFERROR(__xludf.DUMMYFUNCTION("""COMPUTED_VALUE"""),45891.0)</f>
        <v>45891</v>
      </c>
      <c r="L213" s="65"/>
      <c r="M213" s="65"/>
      <c r="N213" s="65" t="str">
        <f>IFERROR(__xludf.DUMMYFUNCTION("""COMPUTED_VALUE"""),"5942 McPherson Ave 
63112
Inch up n")</f>
        <v>5942 McPherson Ave 
63112
Inch up n</v>
      </c>
      <c r="O213" s="65"/>
      <c r="P213" s="65" t="b">
        <f>COUNTIF('Delivered SIR'!A:A, E213) &gt; 0</f>
        <v>0</v>
      </c>
    </row>
    <row r="214">
      <c r="A214" s="99" t="str">
        <f>IFERROR(__xludf.DUMMYFUNCTION("""COMPUTED_VALUE"""),"https://utrucking.com/admin/orders/5916273868988")</f>
        <v>https://utrucking.com/admin/orders/5916273868988</v>
      </c>
      <c r="B214" s="61" t="str">
        <f>IFERROR(__xludf.DUMMYFUNCTION("""COMPUTED_VALUE"""),"#15692")</f>
        <v>#15692</v>
      </c>
      <c r="C214" s="61" t="str">
        <f>IFERROR(__xludf.DUMMYFUNCTION("""COMPUTED_VALUE"""),"Carbunaru@wustl.edu")</f>
        <v>Carbunaru@wustl.edu</v>
      </c>
      <c r="D214" s="61">
        <f>IFERROR(__xludf.DUMMYFUNCTION("""COMPUTED_VALUE"""),3.107499227E9)</f>
        <v>3107499227</v>
      </c>
      <c r="E214" s="61" t="str">
        <f>IFERROR(__xludf.DUMMYFUNCTION("""COMPUTED_VALUE"""),"Natalie carbunaru")</f>
        <v>Natalie carbunaru</v>
      </c>
      <c r="F214" s="61"/>
      <c r="G214" s="61"/>
      <c r="H214" s="61" t="str">
        <f>IFERROR(__xludf.DUMMYFUNCTION("""COMPUTED_VALUE"""),"Storage Item Return")</f>
        <v>Storage Item Return</v>
      </c>
      <c r="I214" s="61" t="str">
        <f>IFERROR(__xludf.DUMMYFUNCTION("""COMPUTED_VALUE"""),"University Housing ")</f>
        <v>University Housing </v>
      </c>
      <c r="J214" s="107" t="str">
        <f>IFERROR(__xludf.DUMMYFUNCTION("""COMPUTED_VALUE"""),"09:00 AM to 11:00 AM   ")</f>
        <v>09:00 AM to 11:00 AM   </v>
      </c>
      <c r="K214" s="107">
        <f>IFERROR(__xludf.DUMMYFUNCTION("""COMPUTED_VALUE"""),45890.0)</f>
        <v>45890</v>
      </c>
      <c r="L214" s="61" t="str">
        <f>IFERROR(__xludf.DUMMYFUNCTION("""COMPUTED_VALUE"""),"Nemerov  ")</f>
        <v>Nemerov  </v>
      </c>
      <c r="M214" s="61" t="str">
        <f>IFERROR(__xludf.DUMMYFUNCTION("""COMPUTED_VALUE"""),"Suite 4080/4082")</f>
        <v>Suite 4080/4082</v>
      </c>
      <c r="N214" s="61"/>
      <c r="O214" s="61"/>
      <c r="P214" s="61" t="b">
        <f>COUNTIF('Delivered SIR'!A:A, E214) &gt; 0</f>
        <v>0</v>
      </c>
    </row>
    <row r="215">
      <c r="A215" s="102" t="str">
        <f>IFERROR(__xludf.DUMMYFUNCTION("""COMPUTED_VALUE"""),"https://utrucking.com/admin/orders/5916401598652")</f>
        <v>https://utrucking.com/admin/orders/5916401598652</v>
      </c>
      <c r="B215" s="65" t="str">
        <f>IFERROR(__xludf.DUMMYFUNCTION("""COMPUTED_VALUE"""),"#15695")</f>
        <v>#15695</v>
      </c>
      <c r="C215" s="65" t="str">
        <f>IFERROR(__xludf.DUMMYFUNCTION("""COMPUTED_VALUE"""),"l.maddy@wustl.edu")</f>
        <v>l.maddy@wustl.edu</v>
      </c>
      <c r="D215" s="65">
        <f>IFERROR(__xludf.DUMMYFUNCTION("""COMPUTED_VALUE"""),2.036225122E9)</f>
        <v>2036225122</v>
      </c>
      <c r="E215" s="65" t="str">
        <f>IFERROR(__xludf.DUMMYFUNCTION("""COMPUTED_VALUE"""),"Maddy Lee")</f>
        <v>Maddy Lee</v>
      </c>
      <c r="F215" s="65"/>
      <c r="G215" s="65"/>
      <c r="H215" s="65" t="str">
        <f>IFERROR(__xludf.DUMMYFUNCTION("""COMPUTED_VALUE"""),"Storage Item Return")</f>
        <v>Storage Item Return</v>
      </c>
      <c r="I215" s="65" t="str">
        <f>IFERROR(__xludf.DUMMYFUNCTION("""COMPUTED_VALUE"""),"University Housing ")</f>
        <v>University Housing </v>
      </c>
      <c r="J215" s="108" t="str">
        <f>IFERROR(__xludf.DUMMYFUNCTION("""COMPUTED_VALUE"""),"10:00 AM to 12:00 PM   ")</f>
        <v>10:00 AM to 12:00 PM   </v>
      </c>
      <c r="K215" s="108">
        <f>IFERROR(__xludf.DUMMYFUNCTION("""COMPUTED_VALUE"""),45880.0)</f>
        <v>45880</v>
      </c>
      <c r="L215" s="65" t="str">
        <f>IFERROR(__xludf.DUMMYFUNCTION("""COMPUTED_VALUE"""),"Nemerov  ")</f>
        <v>Nemerov  </v>
      </c>
      <c r="M215" s="65" t="str">
        <f>IFERROR(__xludf.DUMMYFUNCTION("""COMPUTED_VALUE"""),"4061")</f>
        <v>4061</v>
      </c>
      <c r="N215" s="65"/>
      <c r="O215" s="65"/>
      <c r="P215" s="65" t="b">
        <f>COUNTIF('Delivered SIR'!A:A, E215) &gt; 0</f>
        <v>0</v>
      </c>
    </row>
    <row r="216">
      <c r="A216" s="99" t="str">
        <f>IFERROR(__xludf.DUMMYFUNCTION("""COMPUTED_VALUE"""),"https://utrucking.com/admin/orders/5916444852412")</f>
        <v>https://utrucking.com/admin/orders/5916444852412</v>
      </c>
      <c r="B216" s="61" t="str">
        <f>IFERROR(__xludf.DUMMYFUNCTION("""COMPUTED_VALUE"""),"#15696")</f>
        <v>#15696</v>
      </c>
      <c r="C216" s="61" t="str">
        <f>IFERROR(__xludf.DUMMYFUNCTION("""COMPUTED_VALUE"""),"clarahart29@icloud.com")</f>
        <v>clarahart29@icloud.com</v>
      </c>
      <c r="D216" s="61">
        <f>IFERROR(__xludf.DUMMYFUNCTION("""COMPUTED_VALUE"""),2.01289224E9)</f>
        <v>2012892240</v>
      </c>
      <c r="E216" s="61" t="str">
        <f>IFERROR(__xludf.DUMMYFUNCTION("""COMPUTED_VALUE"""),"clara hart")</f>
        <v>clara hart</v>
      </c>
      <c r="F216" s="61"/>
      <c r="G216" s="61"/>
      <c r="H216" s="61" t="str">
        <f>IFERROR(__xludf.DUMMYFUNCTION("""COMPUTED_VALUE"""),"Storage Item Return")</f>
        <v>Storage Item Return</v>
      </c>
      <c r="I216" s="61" t="str">
        <f>IFERROR(__xludf.DUMMYFUNCTION("""COMPUTED_VALUE"""),"University Housing ")</f>
        <v>University Housing </v>
      </c>
      <c r="J216" s="107" t="str">
        <f>IFERROR(__xludf.DUMMYFUNCTION("""COMPUTED_VALUE"""),"09:00 AM to 11:00 AM   ")</f>
        <v>09:00 AM to 11:00 AM   </v>
      </c>
      <c r="K216" s="107">
        <f>IFERROR(__xludf.DUMMYFUNCTION("""COMPUTED_VALUE"""),45890.0)</f>
        <v>45890</v>
      </c>
      <c r="L216" s="61" t="str">
        <f>IFERROR(__xludf.DUMMYFUNCTION("""COMPUTED_VALUE"""),"Village East  ")</f>
        <v>Village East  </v>
      </c>
      <c r="M216" s="61" t="str">
        <f>IFERROR(__xludf.DUMMYFUNCTION("""COMPUTED_VALUE"""),"3073-A")</f>
        <v>3073-A</v>
      </c>
      <c r="N216" s="61"/>
      <c r="O216" s="61"/>
      <c r="P216" s="61" t="b">
        <f>COUNTIF('Delivered SIR'!A:A, E216) &gt; 0</f>
        <v>1</v>
      </c>
    </row>
    <row r="217">
      <c r="A217" s="102" t="str">
        <f>IFERROR(__xludf.DUMMYFUNCTION("""COMPUTED_VALUE"""),"https://utrucking.com/admin/orders/5916565930172")</f>
        <v>https://utrucking.com/admin/orders/5916565930172</v>
      </c>
      <c r="B217" s="65" t="str">
        <f>IFERROR(__xludf.DUMMYFUNCTION("""COMPUTED_VALUE"""),"#15702")</f>
        <v>#15702</v>
      </c>
      <c r="C217" s="65" t="str">
        <f>IFERROR(__xludf.DUMMYFUNCTION("""COMPUTED_VALUE"""),"l.a.marlowe@wustl.edu")</f>
        <v>l.a.marlowe@wustl.edu</v>
      </c>
      <c r="D217" s="65"/>
      <c r="E217" s="65" t="str">
        <f>IFERROR(__xludf.DUMMYFUNCTION("""COMPUTED_VALUE"""),"Staci Marlowe")</f>
        <v>Staci Marlowe</v>
      </c>
      <c r="F217" s="65"/>
      <c r="G217" s="65"/>
      <c r="H217" s="65" t="str">
        <f>IFERROR(__xludf.DUMMYFUNCTION("""COMPUTED_VALUE"""),"Storage Item Return")</f>
        <v>Storage Item Return</v>
      </c>
      <c r="I217" s="65" t="str">
        <f>IFERROR(__xludf.DUMMYFUNCTION("""COMPUTED_VALUE"""),"University Housing ")</f>
        <v>University Housing </v>
      </c>
      <c r="J217" s="108" t="str">
        <f>IFERROR(__xludf.DUMMYFUNCTION("""COMPUTED_VALUE"""),"09:00 AM to 11:00 AM   ")</f>
        <v>09:00 AM to 11:00 AM   </v>
      </c>
      <c r="K217" s="108">
        <f>IFERROR(__xludf.DUMMYFUNCTION("""COMPUTED_VALUE"""),45880.0)</f>
        <v>45880</v>
      </c>
      <c r="L217" s="65" t="str">
        <f>IFERROR(__xludf.DUMMYFUNCTION("""COMPUTED_VALUE"""),"Millbrook Bldg. 3  ")</f>
        <v>Millbrook Bldg. 3  </v>
      </c>
      <c r="M217" s="65" t="str">
        <f>IFERROR(__xludf.DUMMYFUNCTION("""COMPUTED_VALUE"""),"202")</f>
        <v>202</v>
      </c>
      <c r="N217" s="65"/>
      <c r="O217" s="65"/>
      <c r="P217" s="65" t="b">
        <f>COUNTIF('Delivered SIR'!A:A, E217) &gt; 0</f>
        <v>1</v>
      </c>
    </row>
    <row r="218">
      <c r="A218" s="99" t="str">
        <f>IFERROR(__xludf.DUMMYFUNCTION("""COMPUTED_VALUE"""),"https://utrucking.com/admin/orders/5916575039676")</f>
        <v>https://utrucking.com/admin/orders/5916575039676</v>
      </c>
      <c r="B218" s="61" t="str">
        <f>IFERROR(__xludf.DUMMYFUNCTION("""COMPUTED_VALUE"""),"#15703")</f>
        <v>#15703</v>
      </c>
      <c r="C218" s="61" t="str">
        <f>IFERROR(__xludf.DUMMYFUNCTION("""COMPUTED_VALUE"""),"e.c.ellison@wustl.edu")</f>
        <v>e.c.ellison@wustl.edu</v>
      </c>
      <c r="D218" s="61">
        <f>IFERROR(__xludf.DUMMYFUNCTION("""COMPUTED_VALUE"""),7.203471708E9)</f>
        <v>7203471708</v>
      </c>
      <c r="E218" s="61" t="str">
        <f>IFERROR(__xludf.DUMMYFUNCTION("""COMPUTED_VALUE"""),"Emily Ellison")</f>
        <v>Emily Ellison</v>
      </c>
      <c r="F218" s="61"/>
      <c r="G218" s="61"/>
      <c r="H218" s="61" t="str">
        <f>IFERROR(__xludf.DUMMYFUNCTION("""COMPUTED_VALUE"""),"Storage Item Return")</f>
        <v>Storage Item Return</v>
      </c>
      <c r="I218" s="61" t="str">
        <f>IFERROR(__xludf.DUMMYFUNCTION("""COMPUTED_VALUE"""),"University Housing ")</f>
        <v>University Housing </v>
      </c>
      <c r="J218" s="107" t="str">
        <f>IFERROR(__xludf.DUMMYFUNCTION("""COMPUTED_VALUE"""),"09:00 AM to 11:00 AM   ")</f>
        <v>09:00 AM to 11:00 AM   </v>
      </c>
      <c r="K218" s="107">
        <f>IFERROR(__xludf.DUMMYFUNCTION("""COMPUTED_VALUE"""),45887.0)</f>
        <v>45887</v>
      </c>
      <c r="L218" s="61" t="str">
        <f>IFERROR(__xludf.DUMMYFUNCTION("""COMPUTED_VALUE"""),"Greenway Apartments  ")</f>
        <v>Greenway Apartments  </v>
      </c>
      <c r="M218" s="61" t="str">
        <f>IFERROR(__xludf.DUMMYFUNCTION("""COMPUTED_VALUE"""),"307-A")</f>
        <v>307-A</v>
      </c>
      <c r="N218" s="61"/>
      <c r="O218" s="61"/>
      <c r="P218" s="61" t="b">
        <f>COUNTIF('Delivered SIR'!A:A, E218) &gt; 0</f>
        <v>1</v>
      </c>
    </row>
    <row r="219">
      <c r="A219" s="102" t="str">
        <f>IFERROR(__xludf.DUMMYFUNCTION("""COMPUTED_VALUE"""),"https://utrucking.com/admin/orders/5916581986492")</f>
        <v>https://utrucking.com/admin/orders/5916581986492</v>
      </c>
      <c r="B219" s="65" t="str">
        <f>IFERROR(__xludf.DUMMYFUNCTION("""COMPUTED_VALUE"""),"#15705")</f>
        <v>#15705</v>
      </c>
      <c r="C219" s="65" t="str">
        <f>IFERROR(__xludf.DUMMYFUNCTION("""COMPUTED_VALUE"""),"g.scarlett@wustl.edu")</f>
        <v>g.scarlett@wustl.edu</v>
      </c>
      <c r="D219" s="65">
        <f>IFERROR(__xludf.DUMMYFUNCTION("""COMPUTED_VALUE"""),2.038148546E9)</f>
        <v>2038148546</v>
      </c>
      <c r="E219" s="65" t="str">
        <f>IFERROR(__xludf.DUMMYFUNCTION("""COMPUTED_VALUE"""),"Scarlett Gerber")</f>
        <v>Scarlett Gerber</v>
      </c>
      <c r="F219" s="65"/>
      <c r="G219" s="65"/>
      <c r="H219" s="65" t="str">
        <f>IFERROR(__xludf.DUMMYFUNCTION("""COMPUTED_VALUE"""),"Storage Item Return")</f>
        <v>Storage Item Return</v>
      </c>
      <c r="I219" s="65" t="str">
        <f>IFERROR(__xludf.DUMMYFUNCTION("""COMPUTED_VALUE"""),"University Housing ")</f>
        <v>University Housing </v>
      </c>
      <c r="J219" s="108" t="str">
        <f>IFERROR(__xludf.DUMMYFUNCTION("""COMPUTED_VALUE"""),"09:00 AM to 11:00 AM   ")</f>
        <v>09:00 AM to 11:00 AM   </v>
      </c>
      <c r="K219" s="108">
        <f>IFERROR(__xludf.DUMMYFUNCTION("""COMPUTED_VALUE"""),45890.0)</f>
        <v>45890</v>
      </c>
      <c r="L219" s="65" t="str">
        <f>IFERROR(__xludf.DUMMYFUNCTION("""COMPUTED_VALUE"""),"Beaumont  ")</f>
        <v>Beaumont  </v>
      </c>
      <c r="M219" s="65" t="str">
        <f>IFERROR(__xludf.DUMMYFUNCTION("""COMPUTED_VALUE"""),"304")</f>
        <v>304</v>
      </c>
      <c r="N219" s="65"/>
      <c r="O219" s="65"/>
      <c r="P219" s="65" t="b">
        <f>COUNTIF('Delivered SIR'!A:A, E219) &gt; 0</f>
        <v>1</v>
      </c>
    </row>
    <row r="220">
      <c r="A220" s="99" t="str">
        <f>IFERROR(__xludf.DUMMYFUNCTION("""COMPUTED_VALUE"""),"https://utrucking.com/admin/orders/5916582215868")</f>
        <v>https://utrucking.com/admin/orders/5916582215868</v>
      </c>
      <c r="B220" s="61" t="str">
        <f>IFERROR(__xludf.DUMMYFUNCTION("""COMPUTED_VALUE"""),"#15706")</f>
        <v>#15706</v>
      </c>
      <c r="C220" s="61" t="str">
        <f>IFERROR(__xludf.DUMMYFUNCTION("""COMPUTED_VALUE"""),"boyd.j.r@wustl.edu")</f>
        <v>boyd.j.r@wustl.edu</v>
      </c>
      <c r="D220" s="61">
        <f>IFERROR(__xludf.DUMMYFUNCTION("""COMPUTED_VALUE"""),2.074231849E9)</f>
        <v>2074231849</v>
      </c>
      <c r="E220" s="61" t="str">
        <f>IFERROR(__xludf.DUMMYFUNCTION("""COMPUTED_VALUE"""),"Jackson Boyd")</f>
        <v>Jackson Boyd</v>
      </c>
      <c r="F220" s="61"/>
      <c r="G220" s="61"/>
      <c r="H220" s="61" t="str">
        <f>IFERROR(__xludf.DUMMYFUNCTION("""COMPUTED_VALUE"""),"Storage Item Return")</f>
        <v>Storage Item Return</v>
      </c>
      <c r="I220" s="61" t="str">
        <f>IFERROR(__xludf.DUMMYFUNCTION("""COMPUTED_VALUE"""),"University Housing ")</f>
        <v>University Housing </v>
      </c>
      <c r="J220" s="107" t="str">
        <f>IFERROR(__xludf.DUMMYFUNCTION("""COMPUTED_VALUE"""),"12:00 PM to 02:00 PM   ")</f>
        <v>12:00 PM to 02:00 PM   </v>
      </c>
      <c r="K220" s="107">
        <f>IFERROR(__xludf.DUMMYFUNCTION("""COMPUTED_VALUE"""),45888.0)</f>
        <v>45888</v>
      </c>
      <c r="L220" s="61" t="str">
        <f>IFERROR(__xludf.DUMMYFUNCTION("""COMPUTED_VALUE"""),"House 22 (Beta Theta Pi)")</f>
        <v>House 22 (Beta Theta Pi)</v>
      </c>
      <c r="M220" s="61" t="str">
        <f>IFERROR(__xludf.DUMMYFUNCTION("""COMPUTED_VALUE"""),"2043")</f>
        <v>2043</v>
      </c>
      <c r="N220" s="61"/>
      <c r="O220" s="61"/>
      <c r="P220" s="61" t="b">
        <f>COUNTIF('Delivered SIR'!A:A, E220) &gt; 0</f>
        <v>1</v>
      </c>
    </row>
    <row r="221">
      <c r="A221" s="102" t="str">
        <f>IFERROR(__xludf.DUMMYFUNCTION("""COMPUTED_VALUE"""),"https://utrucking.com/admin/orders/5916587229372")</f>
        <v>https://utrucking.com/admin/orders/5916587229372</v>
      </c>
      <c r="B221" s="65" t="str">
        <f>IFERROR(__xludf.DUMMYFUNCTION("""COMPUTED_VALUE"""),"#15707")</f>
        <v>#15707</v>
      </c>
      <c r="C221" s="65" t="str">
        <f>IFERROR(__xludf.DUMMYFUNCTION("""COMPUTED_VALUE"""),"a.l.oates@wustl.edu")</f>
        <v>a.l.oates@wustl.edu</v>
      </c>
      <c r="D221" s="65"/>
      <c r="E221" s="65" t="str">
        <f>IFERROR(__xludf.DUMMYFUNCTION("""COMPUTED_VALUE"""),"alisa oates")</f>
        <v>alisa oates</v>
      </c>
      <c r="F221" s="65"/>
      <c r="G221" s="65"/>
      <c r="H221" s="65" t="str">
        <f>IFERROR(__xludf.DUMMYFUNCTION("""COMPUTED_VALUE"""),"Storage Item Return")</f>
        <v>Storage Item Return</v>
      </c>
      <c r="I221" s="65" t="str">
        <f>IFERROR(__xludf.DUMMYFUNCTION("""COMPUTED_VALUE"""),"University Housing ")</f>
        <v>University Housing </v>
      </c>
      <c r="J221" s="108" t="str">
        <f>IFERROR(__xludf.DUMMYFUNCTION("""COMPUTED_VALUE"""),"09:00 AM to 11:00 AM   ")</f>
        <v>09:00 AM to 11:00 AM   </v>
      </c>
      <c r="K221" s="108">
        <f>IFERROR(__xludf.DUMMYFUNCTION("""COMPUTED_VALUE"""),45889.0)</f>
        <v>45889</v>
      </c>
      <c r="L221" s="65" t="str">
        <f>IFERROR(__xludf.DUMMYFUNCTION("""COMPUTED_VALUE"""),"Mudd  ")</f>
        <v>Mudd  </v>
      </c>
      <c r="M221" s="65" t="str">
        <f>IFERROR(__xludf.DUMMYFUNCTION("""COMPUTED_VALUE"""),"492")</f>
        <v>492</v>
      </c>
      <c r="N221" s="65"/>
      <c r="O221" s="65"/>
      <c r="P221" s="65" t="b">
        <f>COUNTIF('Delivered SIR'!A:A, E221) &gt; 0</f>
        <v>0</v>
      </c>
    </row>
    <row r="222">
      <c r="A222" s="99" t="str">
        <f>IFERROR(__xludf.DUMMYFUNCTION("""COMPUTED_VALUE"""),"https://utrucking.com/admin/orders/5916587851964")</f>
        <v>https://utrucking.com/admin/orders/5916587851964</v>
      </c>
      <c r="B222" s="61" t="str">
        <f>IFERROR(__xludf.DUMMYFUNCTION("""COMPUTED_VALUE"""),"#15708")</f>
        <v>#15708</v>
      </c>
      <c r="C222" s="61" t="str">
        <f>IFERROR(__xludf.DUMMYFUNCTION("""COMPUTED_VALUE"""),"s.l.schneider@wustl.edu")</f>
        <v>s.l.schneider@wustl.edu</v>
      </c>
      <c r="D222" s="61"/>
      <c r="E222" s="61" t="str">
        <f>IFERROR(__xludf.DUMMYFUNCTION("""COMPUTED_VALUE"""),"Sydney Schneider")</f>
        <v>Sydney Schneider</v>
      </c>
      <c r="F222" s="61"/>
      <c r="G222" s="61" t="str">
        <f>IFERROR(__xludf.DUMMYFUNCTION("""COMPUTED_VALUE"""),"7209 Lindell Blvd
St. Louis, MO 63130")</f>
        <v>7209 Lindell Blvd
St. Louis, MO 63130</v>
      </c>
      <c r="H222" s="61" t="str">
        <f>IFERROR(__xludf.DUMMYFUNCTION("""COMPUTED_VALUE"""),"Storage Item Return")</f>
        <v>Storage Item Return</v>
      </c>
      <c r="I222" s="61" t="str">
        <f>IFERROR(__xludf.DUMMYFUNCTION("""COMPUTED_VALUE"""),"Non-University Housing ")</f>
        <v>Non-University Housing </v>
      </c>
      <c r="J222" s="107" t="str">
        <f>IFERROR(__xludf.DUMMYFUNCTION("""COMPUTED_VALUE"""),"09:00 AM to 11:00 AM   ")</f>
        <v>09:00 AM to 11:00 AM   </v>
      </c>
      <c r="K222" s="107">
        <f>IFERROR(__xludf.DUMMYFUNCTION("""COMPUTED_VALUE"""),45891.0)</f>
        <v>45891</v>
      </c>
      <c r="L222" s="61"/>
      <c r="M222" s="61"/>
      <c r="N222" s="61" t="str">
        <f>IFERROR(__xludf.DUMMYFUNCTION("""COMPUTED_VALUE"""),"7209 Lindell Blvd
St. Louis, MO 63130")</f>
        <v>7209 Lindell Blvd
St. Louis, MO 63130</v>
      </c>
      <c r="O222" s="61"/>
      <c r="P222" s="61" t="b">
        <f>COUNTIF('Delivered SIR'!A:A, E222) &gt; 0</f>
        <v>0</v>
      </c>
    </row>
    <row r="223">
      <c r="A223" s="102" t="str">
        <f>IFERROR(__xludf.DUMMYFUNCTION("""COMPUTED_VALUE"""),"https://utrucking.com/admin/orders/5916599779516")</f>
        <v>https://utrucking.com/admin/orders/5916599779516</v>
      </c>
      <c r="B223" s="65" t="str">
        <f>IFERROR(__xludf.DUMMYFUNCTION("""COMPUTED_VALUE"""),"#15709")</f>
        <v>#15709</v>
      </c>
      <c r="C223" s="65" t="str">
        <f>IFERROR(__xludf.DUMMYFUNCTION("""COMPUTED_VALUE"""),"a.e.kingsnorth@wustl.edu")</f>
        <v>a.e.kingsnorth@wustl.edu</v>
      </c>
      <c r="D223" s="65">
        <f>IFERROR(__xludf.DUMMYFUNCTION("""COMPUTED_VALUE"""),8.6259653E9)</f>
        <v>8625965300</v>
      </c>
      <c r="E223" s="65" t="str">
        <f>IFERROR(__xludf.DUMMYFUNCTION("""COMPUTED_VALUE"""),"Andrew Kingsnorth")</f>
        <v>Andrew Kingsnorth</v>
      </c>
      <c r="F223" s="65"/>
      <c r="G223" s="65"/>
      <c r="H223" s="65" t="str">
        <f>IFERROR(__xludf.DUMMYFUNCTION("""COMPUTED_VALUE"""),"Storage Item Return")</f>
        <v>Storage Item Return</v>
      </c>
      <c r="I223" s="65" t="str">
        <f>IFERROR(__xludf.DUMMYFUNCTION("""COMPUTED_VALUE"""),"University Housing ")</f>
        <v>University Housing </v>
      </c>
      <c r="J223" s="108" t="str">
        <f>IFERROR(__xludf.DUMMYFUNCTION("""COMPUTED_VALUE"""),"10:00 AM to 12:00 PM   ")</f>
        <v>10:00 AM to 12:00 PM   </v>
      </c>
      <c r="K223" s="108">
        <f>IFERROR(__xludf.DUMMYFUNCTION("""COMPUTED_VALUE"""),45875.0)</f>
        <v>45875</v>
      </c>
      <c r="L223" s="65" t="str">
        <f>IFERROR(__xludf.DUMMYFUNCTION("""COMPUTED_VALUE"""),"Mudd  ")</f>
        <v>Mudd  </v>
      </c>
      <c r="M223" s="65" t="str">
        <f>IFERROR(__xludf.DUMMYFUNCTION("""COMPUTED_VALUE"""),"102-b")</f>
        <v>102-b</v>
      </c>
      <c r="N223" s="65"/>
      <c r="O223" s="65"/>
      <c r="P223" s="65" t="b">
        <f>COUNTIF('Delivered SIR'!A:A, E223) &gt; 0</f>
        <v>1</v>
      </c>
    </row>
    <row r="224">
      <c r="A224" s="99" t="str">
        <f>IFERROR(__xludf.DUMMYFUNCTION("""COMPUTED_VALUE"""),"https://utrucking.com/admin/orders/5916606103740")</f>
        <v>https://utrucking.com/admin/orders/5916606103740</v>
      </c>
      <c r="B224" s="61" t="str">
        <f>IFERROR(__xludf.DUMMYFUNCTION("""COMPUTED_VALUE"""),"#15710")</f>
        <v>#15710</v>
      </c>
      <c r="C224" s="61" t="str">
        <f>IFERROR(__xludf.DUMMYFUNCTION("""COMPUTED_VALUE"""),"c.tollefson@wustl.edu")</f>
        <v>c.tollefson@wustl.edu</v>
      </c>
      <c r="D224" s="61">
        <f>IFERROR(__xludf.DUMMYFUNCTION("""COMPUTED_VALUE"""),3.019556655E9)</f>
        <v>3019556655</v>
      </c>
      <c r="E224" s="61" t="str">
        <f>IFERROR(__xludf.DUMMYFUNCTION("""COMPUTED_VALUE"""),"Isaac Tollefson")</f>
        <v>Isaac Tollefson</v>
      </c>
      <c r="F224" s="61"/>
      <c r="G224" s="61"/>
      <c r="H224" s="61" t="str">
        <f>IFERROR(__xludf.DUMMYFUNCTION("""COMPUTED_VALUE"""),"Storage Item Return")</f>
        <v>Storage Item Return</v>
      </c>
      <c r="I224" s="61" t="str">
        <f>IFERROR(__xludf.DUMMYFUNCTION("""COMPUTED_VALUE"""),"University Housing ")</f>
        <v>University Housing </v>
      </c>
      <c r="J224" s="107" t="str">
        <f>IFERROR(__xludf.DUMMYFUNCTION("""COMPUTED_VALUE"""),"09:00 AM to 11:00 AM   ")</f>
        <v>09:00 AM to 11:00 AM   </v>
      </c>
      <c r="K224" s="107">
        <f>IFERROR(__xludf.DUMMYFUNCTION("""COMPUTED_VALUE"""),45883.0)</f>
        <v>45883</v>
      </c>
      <c r="L224" s="61" t="str">
        <f>IFERROR(__xludf.DUMMYFUNCTION("""COMPUTED_VALUE"""),"Greenway Apartments  ")</f>
        <v>Greenway Apartments  </v>
      </c>
      <c r="M224" s="61" t="str">
        <f>IFERROR(__xludf.DUMMYFUNCTION("""COMPUTED_VALUE"""),"005-A")</f>
        <v>005-A</v>
      </c>
      <c r="N224" s="61"/>
      <c r="O224" s="61"/>
      <c r="P224" s="61" t="b">
        <f>COUNTIF('Delivered SIR'!A:A, E224) &gt; 0</f>
        <v>0</v>
      </c>
    </row>
    <row r="225">
      <c r="A225" s="102" t="str">
        <f>IFERROR(__xludf.DUMMYFUNCTION("""COMPUTED_VALUE"""),"https://utrucking.com/admin/orders/5916626878652")</f>
        <v>https://utrucking.com/admin/orders/5916626878652</v>
      </c>
      <c r="B225" s="65" t="str">
        <f>IFERROR(__xludf.DUMMYFUNCTION("""COMPUTED_VALUE"""),"#15713")</f>
        <v>#15713</v>
      </c>
      <c r="C225" s="65" t="str">
        <f>IFERROR(__xludf.DUMMYFUNCTION("""COMPUTED_VALUE"""),"rondabloom@gmail.com")</f>
        <v>rondabloom@gmail.com</v>
      </c>
      <c r="D225" s="65">
        <f>IFERROR(__xludf.DUMMYFUNCTION("""COMPUTED_VALUE"""),9.175709951E9)</f>
        <v>9175709951</v>
      </c>
      <c r="E225" s="65" t="str">
        <f>IFERROR(__xludf.DUMMYFUNCTION("""COMPUTED_VALUE"""),"Ronda Bloom")</f>
        <v>Ronda Bloom</v>
      </c>
      <c r="F225" s="65"/>
      <c r="G225" s="65"/>
      <c r="H225" s="65" t="str">
        <f>IFERROR(__xludf.DUMMYFUNCTION("""COMPUTED_VALUE"""),"Storage Item Return")</f>
        <v>Storage Item Return</v>
      </c>
      <c r="I225" s="65" t="str">
        <f>IFERROR(__xludf.DUMMYFUNCTION("""COMPUTED_VALUE"""),"University Housing ")</f>
        <v>University Housing </v>
      </c>
      <c r="J225" s="108" t="str">
        <f>IFERROR(__xludf.DUMMYFUNCTION("""COMPUTED_VALUE"""),"09:00 AM to 11:00 AM   ")</f>
        <v>09:00 AM to 11:00 AM   </v>
      </c>
      <c r="K225" s="108">
        <f>IFERROR(__xludf.DUMMYFUNCTION("""COMPUTED_VALUE"""),45888.0)</f>
        <v>45888</v>
      </c>
      <c r="L225" s="65" t="str">
        <f>IFERROR(__xludf.DUMMYFUNCTION("""COMPUTED_VALUE"""),"House 2 (Sigma Nu)  ")</f>
        <v>House 2 (Sigma Nu)  </v>
      </c>
      <c r="M225" s="65" t="str">
        <f>IFERROR(__xludf.DUMMYFUNCTION("""COMPUTED_VALUE"""),"308")</f>
        <v>308</v>
      </c>
      <c r="N225" s="65"/>
      <c r="O225" s="65"/>
      <c r="P225" s="65" t="b">
        <f>COUNTIF('Delivered SIR'!A:A, E225) &gt; 0</f>
        <v>0</v>
      </c>
    </row>
    <row r="226">
      <c r="A226" s="99" t="str">
        <f>IFERROR(__xludf.DUMMYFUNCTION("""COMPUTED_VALUE"""),"https://utrucking.com/admin/orders/5916632252604")</f>
        <v>https://utrucking.com/admin/orders/5916632252604</v>
      </c>
      <c r="B226" s="61" t="str">
        <f>IFERROR(__xludf.DUMMYFUNCTION("""COMPUTED_VALUE"""),"#15714")</f>
        <v>#15714</v>
      </c>
      <c r="C226" s="61" t="str">
        <f>IFERROR(__xludf.DUMMYFUNCTION("""COMPUTED_VALUE"""),"maddiebschneider@gmail.com")</f>
        <v>maddiebschneider@gmail.com</v>
      </c>
      <c r="D226" s="61">
        <f>IFERROR(__xludf.DUMMYFUNCTION("""COMPUTED_VALUE"""),7.132137252E9)</f>
        <v>7132137252</v>
      </c>
      <c r="E226" s="61" t="str">
        <f>IFERROR(__xludf.DUMMYFUNCTION("""COMPUTED_VALUE"""),"Maddie Schneider")</f>
        <v>Maddie Schneider</v>
      </c>
      <c r="F226" s="61"/>
      <c r="G226" s="61"/>
      <c r="H226" s="61" t="str">
        <f>IFERROR(__xludf.DUMMYFUNCTION("""COMPUTED_VALUE"""),"Storage Item Return")</f>
        <v>Storage Item Return</v>
      </c>
      <c r="I226" s="61" t="str">
        <f>IFERROR(__xludf.DUMMYFUNCTION("""COMPUTED_VALUE"""),"University Housing ")</f>
        <v>University Housing </v>
      </c>
      <c r="J226" s="107" t="str">
        <f>IFERROR(__xludf.DUMMYFUNCTION("""COMPUTED_VALUE"""),"09:00 AM to 11:00 AM   ")</f>
        <v>09:00 AM to 11:00 AM   </v>
      </c>
      <c r="K226" s="107">
        <f>IFERROR(__xludf.DUMMYFUNCTION("""COMPUTED_VALUE"""),45888.0)</f>
        <v>45888</v>
      </c>
      <c r="L226" s="61" t="str">
        <f>IFERROR(__xludf.DUMMYFUNCTION("""COMPUTED_VALUE"""),"Village House  ")</f>
        <v>Village House  </v>
      </c>
      <c r="M226" s="61" t="str">
        <f>IFERROR(__xludf.DUMMYFUNCTION("""COMPUTED_VALUE"""),"4072-a")</f>
        <v>4072-a</v>
      </c>
      <c r="N226" s="61"/>
      <c r="O226" s="61"/>
      <c r="P226" s="61" t="b">
        <f>COUNTIF('Delivered SIR'!A:A, E226) &gt; 0</f>
        <v>0</v>
      </c>
    </row>
    <row r="227">
      <c r="A227" s="102" t="str">
        <f>IFERROR(__xludf.DUMMYFUNCTION("""COMPUTED_VALUE"""),"https://utrucking.com/admin/orders/5916678652092")</f>
        <v>https://utrucking.com/admin/orders/5916678652092</v>
      </c>
      <c r="B227" s="65" t="str">
        <f>IFERROR(__xludf.DUMMYFUNCTION("""COMPUTED_VALUE"""),"#15717")</f>
        <v>#15717</v>
      </c>
      <c r="C227" s="65"/>
      <c r="D227" s="65">
        <f>IFERROR(__xludf.DUMMYFUNCTION("""COMPUTED_VALUE"""),3.108029683E9)</f>
        <v>3108029683</v>
      </c>
      <c r="E227" s="65" t="str">
        <f>IFERROR(__xludf.DUMMYFUNCTION("""COMPUTED_VALUE"""),"Yinghui Huo")</f>
        <v>Yinghui Huo</v>
      </c>
      <c r="F227" s="65"/>
      <c r="G227" s="65"/>
      <c r="H227" s="65" t="str">
        <f>IFERROR(__xludf.DUMMYFUNCTION("""COMPUTED_VALUE"""),"Storage Item Return")</f>
        <v>Storage Item Return</v>
      </c>
      <c r="I227" s="65" t="str">
        <f>IFERROR(__xludf.DUMMYFUNCTION("""COMPUTED_VALUE"""),"University Housing ")</f>
        <v>University Housing </v>
      </c>
      <c r="J227" s="108" t="str">
        <f>IFERROR(__xludf.DUMMYFUNCTION("""COMPUTED_VALUE"""),"09:00 AM to 11:00 AM   ")</f>
        <v>09:00 AM to 11:00 AM   </v>
      </c>
      <c r="K227" s="108">
        <f>IFERROR(__xludf.DUMMYFUNCTION("""COMPUTED_VALUE"""),45887.0)</f>
        <v>45887</v>
      </c>
      <c r="L227" s="65" t="str">
        <f>IFERROR(__xludf.DUMMYFUNCTION("""COMPUTED_VALUE"""),"Loop Loft 6300  ")</f>
        <v>Loop Loft 6300  </v>
      </c>
      <c r="M227" s="65" t="str">
        <f>IFERROR(__xludf.DUMMYFUNCTION("""COMPUTED_VALUE"""),"317A")</f>
        <v>317A</v>
      </c>
      <c r="N227" s="65"/>
      <c r="O227" s="65"/>
      <c r="P227" s="65" t="b">
        <f>COUNTIF('Delivered SIR'!A:A, E227) &gt; 0</f>
        <v>0</v>
      </c>
    </row>
    <row r="228">
      <c r="A228" s="99" t="str">
        <f>IFERROR(__xludf.DUMMYFUNCTION("""COMPUTED_VALUE"""),"https://utrucking.com/admin/orders/5916693823676")</f>
        <v>https://utrucking.com/admin/orders/5916693823676</v>
      </c>
      <c r="B228" s="61" t="str">
        <f>IFERROR(__xludf.DUMMYFUNCTION("""COMPUTED_VALUE"""),"#15718")</f>
        <v>#15718</v>
      </c>
      <c r="C228" s="61" t="str">
        <f>IFERROR(__xludf.DUMMYFUNCTION("""COMPUTED_VALUE"""),"rsosland@gmail.com")</f>
        <v>rsosland@gmail.com</v>
      </c>
      <c r="D228" s="61">
        <f>IFERROR(__xludf.DUMMYFUNCTION("""COMPUTED_VALUE"""),9.135933838E9)</f>
        <v>9135933838</v>
      </c>
      <c r="E228" s="61" t="str">
        <f>IFERROR(__xludf.DUMMYFUNCTION("""COMPUTED_VALUE"""),"Rachel Sosland")</f>
        <v>Rachel Sosland</v>
      </c>
      <c r="F228" s="61"/>
      <c r="G228" s="61"/>
      <c r="H228" s="61" t="str">
        <f>IFERROR(__xludf.DUMMYFUNCTION("""COMPUTED_VALUE"""),"Storage Item Return")</f>
        <v>Storage Item Return</v>
      </c>
      <c r="I228" s="61" t="str">
        <f>IFERROR(__xludf.DUMMYFUNCTION("""COMPUTED_VALUE"""),"University Housing ")</f>
        <v>University Housing </v>
      </c>
      <c r="J228" s="107" t="str">
        <f>IFERROR(__xludf.DUMMYFUNCTION("""COMPUTED_VALUE"""),"09:00 AM to 11:00 AM   ")</f>
        <v>09:00 AM to 11:00 AM   </v>
      </c>
      <c r="K228" s="107">
        <f>IFERROR(__xludf.DUMMYFUNCTION("""COMPUTED_VALUE"""),45890.0)</f>
        <v>45890</v>
      </c>
      <c r="L228" s="61" t="str">
        <f>IFERROR(__xludf.DUMMYFUNCTION("""COMPUTED_VALUE"""),"House 3 (Alpha Delta Phi)")</f>
        <v>House 3 (Alpha Delta Phi)</v>
      </c>
      <c r="M228" s="61" t="str">
        <f>IFERROR(__xludf.DUMMYFUNCTION("""COMPUTED_VALUE"""),"206")</f>
        <v>206</v>
      </c>
      <c r="N228" s="61"/>
      <c r="O228" s="61"/>
      <c r="P228" s="61" t="b">
        <f>COUNTIF('Delivered SIR'!A:A, E228) &gt; 0</f>
        <v>0</v>
      </c>
    </row>
    <row r="229">
      <c r="A229" s="102" t="str">
        <f>IFERROR(__xludf.DUMMYFUNCTION("""COMPUTED_VALUE"""),"https://utrucking.com/admin/orders/5916698509500")</f>
        <v>https://utrucking.com/admin/orders/5916698509500</v>
      </c>
      <c r="B229" s="65" t="str">
        <f>IFERROR(__xludf.DUMMYFUNCTION("""COMPUTED_VALUE"""),"#15719")</f>
        <v>#15719</v>
      </c>
      <c r="C229" s="65" t="str">
        <f>IFERROR(__xludf.DUMMYFUNCTION("""COMPUTED_VALUE"""),"anv1@cornell.edu")</f>
        <v>anv1@cornell.edu</v>
      </c>
      <c r="D229" s="65">
        <f>IFERROR(__xludf.DUMMYFUNCTION("""COMPUTED_VALUE"""),9.177447372E9)</f>
        <v>9177447372</v>
      </c>
      <c r="E229" s="65" t="str">
        <f>IFERROR(__xludf.DUMMYFUNCTION("""COMPUTED_VALUE"""),"Amy Garcia")</f>
        <v>Amy Garcia</v>
      </c>
      <c r="F229" s="65"/>
      <c r="G229" s="65"/>
      <c r="H229" s="65" t="str">
        <f>IFERROR(__xludf.DUMMYFUNCTION("""COMPUTED_VALUE"""),"Storage Item Return")</f>
        <v>Storage Item Return</v>
      </c>
      <c r="I229" s="65" t="str">
        <f>IFERROR(__xludf.DUMMYFUNCTION("""COMPUTED_VALUE"""),"University Housing ")</f>
        <v>University Housing </v>
      </c>
      <c r="J229" s="108" t="str">
        <f>IFERROR(__xludf.DUMMYFUNCTION("""COMPUTED_VALUE"""),"10:00 AM to 12:00 PM   ")</f>
        <v>10:00 AM to 12:00 PM   </v>
      </c>
      <c r="K229" s="108">
        <f>IFERROR(__xludf.DUMMYFUNCTION("""COMPUTED_VALUE"""),45890.0)</f>
        <v>45890</v>
      </c>
      <c r="L229" s="65" t="str">
        <f>IFERROR(__xludf.DUMMYFUNCTION("""COMPUTED_VALUE"""),"House 21 (Alpha Epsilon Pi)  ")</f>
        <v>House 21 (Alpha Epsilon Pi)  </v>
      </c>
      <c r="M229" s="65" t="str">
        <f>IFERROR(__xludf.DUMMYFUNCTION("""COMPUTED_VALUE"""),"2061-a")</f>
        <v>2061-a</v>
      </c>
      <c r="N229" s="65"/>
      <c r="O229" s="65"/>
      <c r="P229" s="65" t="b">
        <f>COUNTIF('Delivered SIR'!A:A, E229) &gt; 0</f>
        <v>0</v>
      </c>
    </row>
    <row r="230">
      <c r="A230" s="99" t="str">
        <f>IFERROR(__xludf.DUMMYFUNCTION("""COMPUTED_VALUE"""),"https://utrucking.com/admin/orders/5916698706108")</f>
        <v>https://utrucking.com/admin/orders/5916698706108</v>
      </c>
      <c r="B230" s="61" t="str">
        <f>IFERROR(__xludf.DUMMYFUNCTION("""COMPUTED_VALUE"""),"#15720")</f>
        <v>#15720</v>
      </c>
      <c r="C230" s="61"/>
      <c r="D230" s="61">
        <f>IFERROR(__xludf.DUMMYFUNCTION("""COMPUTED_VALUE"""),4.102586632E9)</f>
        <v>4102586632</v>
      </c>
      <c r="E230" s="61" t="str">
        <f>IFERROR(__xludf.DUMMYFUNCTION("""COMPUTED_VALUE"""),"Lori Veiel")</f>
        <v>Lori Veiel</v>
      </c>
      <c r="F230" s="61"/>
      <c r="G230" s="61"/>
      <c r="H230" s="61" t="str">
        <f>IFERROR(__xludf.DUMMYFUNCTION("""COMPUTED_VALUE"""),"Storage Item Return")</f>
        <v>Storage Item Return</v>
      </c>
      <c r="I230" s="61" t="str">
        <f>IFERROR(__xludf.DUMMYFUNCTION("""COMPUTED_VALUE"""),"University Housing ")</f>
        <v>University Housing </v>
      </c>
      <c r="J230" s="107" t="str">
        <f>IFERROR(__xludf.DUMMYFUNCTION("""COMPUTED_VALUE"""),"09:00 AM to 11:00 AM   ")</f>
        <v>09:00 AM to 11:00 AM   </v>
      </c>
      <c r="K230" s="107">
        <f>IFERROR(__xludf.DUMMYFUNCTION("""COMPUTED_VALUE"""),45888.0)</f>
        <v>45888</v>
      </c>
      <c r="L230" s="61" t="str">
        <f>IFERROR(__xludf.DUMMYFUNCTION("""COMPUTED_VALUE"""),"Liggett  ")</f>
        <v>Liggett  </v>
      </c>
      <c r="M230" s="61" t="str">
        <f>IFERROR(__xludf.DUMMYFUNCTION("""COMPUTED_VALUE"""),"3373-a")</f>
        <v>3373-a</v>
      </c>
      <c r="N230" s="61"/>
      <c r="O230" s="61"/>
      <c r="P230" s="61" t="b">
        <f>COUNTIF('Delivered SIR'!A:A, E230) &gt; 0</f>
        <v>0</v>
      </c>
    </row>
    <row r="231">
      <c r="A231" s="102" t="str">
        <f>IFERROR(__xludf.DUMMYFUNCTION("""COMPUTED_VALUE"""),"https://utrucking.com/admin/orders/5916703719612")</f>
        <v>https://utrucking.com/admin/orders/5916703719612</v>
      </c>
      <c r="B231" s="65" t="str">
        <f>IFERROR(__xludf.DUMMYFUNCTION("""COMPUTED_VALUE"""),"#15721")</f>
        <v>#15721</v>
      </c>
      <c r="C231" s="65" t="str">
        <f>IFERROR(__xludf.DUMMYFUNCTION("""COMPUTED_VALUE"""),"jakebarberine1@gmail.com")</f>
        <v>jakebarberine1@gmail.com</v>
      </c>
      <c r="D231" s="65">
        <f>IFERROR(__xludf.DUMMYFUNCTION("""COMPUTED_VALUE"""),6.466702225E9)</f>
        <v>6466702225</v>
      </c>
      <c r="E231" s="65" t="str">
        <f>IFERROR(__xludf.DUMMYFUNCTION("""COMPUTED_VALUE"""),"Jake Barberine")</f>
        <v>Jake Barberine</v>
      </c>
      <c r="F231" s="65"/>
      <c r="G231" s="65"/>
      <c r="H231" s="65" t="str">
        <f>IFERROR(__xludf.DUMMYFUNCTION("""COMPUTED_VALUE"""),"Storage Item Return")</f>
        <v>Storage Item Return</v>
      </c>
      <c r="I231" s="65" t="str">
        <f>IFERROR(__xludf.DUMMYFUNCTION("""COMPUTED_VALUE"""),"University Housing ")</f>
        <v>University Housing </v>
      </c>
      <c r="J231" s="108" t="str">
        <f>IFERROR(__xludf.DUMMYFUNCTION("""COMPUTED_VALUE"""),"09:00 AM to 11:00 AM   ")</f>
        <v>09:00 AM to 11:00 AM   </v>
      </c>
      <c r="K231" s="108">
        <f>IFERROR(__xludf.DUMMYFUNCTION("""COMPUTED_VALUE"""),45889.0)</f>
        <v>45889</v>
      </c>
      <c r="L231" s="65" t="str">
        <f>IFERROR(__xludf.DUMMYFUNCTION("""COMPUTED_VALUE"""),"Millbrook Bldg. 3  ")</f>
        <v>Millbrook Bldg. 3  </v>
      </c>
      <c r="M231" s="65" t="str">
        <f>IFERROR(__xludf.DUMMYFUNCTION("""COMPUTED_VALUE"""),"203B")</f>
        <v>203B</v>
      </c>
      <c r="N231" s="65"/>
      <c r="O231" s="65"/>
      <c r="P231" s="65" t="b">
        <f>COUNTIF('Delivered SIR'!A:A, E231) &gt; 0</f>
        <v>1</v>
      </c>
    </row>
    <row r="232">
      <c r="A232" s="99" t="str">
        <f>IFERROR(__xludf.DUMMYFUNCTION("""COMPUTED_VALUE"""),"https://utrucking.com/admin/orders/5916870148284")</f>
        <v>https://utrucking.com/admin/orders/5916870148284</v>
      </c>
      <c r="B232" s="61" t="str">
        <f>IFERROR(__xludf.DUMMYFUNCTION("""COMPUTED_VALUE"""),"#15726")</f>
        <v>#15726</v>
      </c>
      <c r="C232" s="61" t="str">
        <f>IFERROR(__xludf.DUMMYFUNCTION("""COMPUTED_VALUE"""),"lucindalaughlin@icloud.com")</f>
        <v>lucindalaughlin@icloud.com</v>
      </c>
      <c r="D232" s="61">
        <f>IFERROR(__xludf.DUMMYFUNCTION("""COMPUTED_VALUE"""),4.156524942E9)</f>
        <v>4156524942</v>
      </c>
      <c r="E232" s="61" t="str">
        <f>IFERROR(__xludf.DUMMYFUNCTION("""COMPUTED_VALUE"""),"Lucinda Laughlin")</f>
        <v>Lucinda Laughlin</v>
      </c>
      <c r="F232" s="61"/>
      <c r="G232" s="61"/>
      <c r="H232" s="61" t="str">
        <f>IFERROR(__xludf.DUMMYFUNCTION("""COMPUTED_VALUE"""),"Storage Item Return")</f>
        <v>Storage Item Return</v>
      </c>
      <c r="I232" s="61" t="str">
        <f>IFERROR(__xludf.DUMMYFUNCTION("""COMPUTED_VALUE"""),"University Housing ")</f>
        <v>University Housing </v>
      </c>
      <c r="J232" s="107" t="str">
        <f>IFERROR(__xludf.DUMMYFUNCTION("""COMPUTED_VALUE"""),"09:00 AM to 11:00 AM   ")</f>
        <v>09:00 AM to 11:00 AM   </v>
      </c>
      <c r="K232" s="107">
        <f>IFERROR(__xludf.DUMMYFUNCTION("""COMPUTED_VALUE"""),45880.0)</f>
        <v>45880</v>
      </c>
      <c r="L232" s="61" t="str">
        <f>IFERROR(__xludf.DUMMYFUNCTION("""COMPUTED_VALUE"""),"Gregg  ")</f>
        <v>Gregg  </v>
      </c>
      <c r="M232" s="61" t="str">
        <f>IFERROR(__xludf.DUMMYFUNCTION("""COMPUTED_VALUE"""),"2010")</f>
        <v>2010</v>
      </c>
      <c r="N232" s="61"/>
      <c r="O232" s="61"/>
      <c r="P232" s="61" t="b">
        <f>COUNTIF('Delivered SIR'!A:A, E232) &gt; 0</f>
        <v>1</v>
      </c>
    </row>
    <row r="233">
      <c r="A233" s="102" t="str">
        <f>IFERROR(__xludf.DUMMYFUNCTION("""COMPUTED_VALUE"""),"https://utrucking.com/admin/orders/5916919627964")</f>
        <v>https://utrucking.com/admin/orders/5916919627964</v>
      </c>
      <c r="B233" s="65" t="str">
        <f>IFERROR(__xludf.DUMMYFUNCTION("""COMPUTED_VALUE"""),"#15729")</f>
        <v>#15729</v>
      </c>
      <c r="C233" s="65" t="str">
        <f>IFERROR(__xludf.DUMMYFUNCTION("""COMPUTED_VALUE"""),"devin.w@wustl.edu")</f>
        <v>devin.w@wustl.edu</v>
      </c>
      <c r="D233" s="65">
        <f>IFERROR(__xludf.DUMMYFUNCTION("""COMPUTED_VALUE"""),1.3025216652E10)</f>
        <v>13025216652</v>
      </c>
      <c r="E233" s="65" t="str">
        <f>IFERROR(__xludf.DUMMYFUNCTION("""COMPUTED_VALUE"""),"Devin Wallace")</f>
        <v>Devin Wallace</v>
      </c>
      <c r="F233" s="65"/>
      <c r="G233" s="65"/>
      <c r="H233" s="65" t="str">
        <f>IFERROR(__xludf.DUMMYFUNCTION("""COMPUTED_VALUE"""),"Storage Item Return")</f>
        <v>Storage Item Return</v>
      </c>
      <c r="I233" s="65" t="str">
        <f>IFERROR(__xludf.DUMMYFUNCTION("""COMPUTED_VALUE"""),"University Housing ")</f>
        <v>University Housing </v>
      </c>
      <c r="J233" s="108" t="str">
        <f>IFERROR(__xludf.DUMMYFUNCTION("""COMPUTED_VALUE"""),"11:00 AM to 01:00 PM   ")</f>
        <v>11:00 AM to 01:00 PM   </v>
      </c>
      <c r="K233" s="108">
        <f>IFERROR(__xludf.DUMMYFUNCTION("""COMPUTED_VALUE"""),45890.0)</f>
        <v>45890</v>
      </c>
      <c r="L233" s="65" t="str">
        <f>IFERROR(__xludf.DUMMYFUNCTION("""COMPUTED_VALUE"""),"Eliot B  ")</f>
        <v>Eliot B  </v>
      </c>
      <c r="M233" s="65" t="str">
        <f>IFERROR(__xludf.DUMMYFUNCTION("""COMPUTED_VALUE"""),"4023")</f>
        <v>4023</v>
      </c>
      <c r="N233" s="65"/>
      <c r="O233" s="65"/>
      <c r="P233" s="65" t="b">
        <f>COUNTIF('Delivered SIR'!A:A, E233) &gt; 0</f>
        <v>1</v>
      </c>
    </row>
    <row r="234">
      <c r="A234" s="99" t="str">
        <f>IFERROR(__xludf.DUMMYFUNCTION("""COMPUTED_VALUE"""),"https://utrucking.com/admin/orders/5916921823420")</f>
        <v>https://utrucking.com/admin/orders/5916921823420</v>
      </c>
      <c r="B234" s="61" t="str">
        <f>IFERROR(__xludf.DUMMYFUNCTION("""COMPUTED_VALUE"""),"#15730")</f>
        <v>#15730</v>
      </c>
      <c r="C234" s="61" t="str">
        <f>IFERROR(__xludf.DUMMYFUNCTION("""COMPUTED_VALUE"""),"arushi.gupta@outlook.com")</f>
        <v>arushi.gupta@outlook.com</v>
      </c>
      <c r="D234" s="61">
        <f>IFERROR(__xludf.DUMMYFUNCTION("""COMPUTED_VALUE"""),9.082108801E9)</f>
        <v>9082108801</v>
      </c>
      <c r="E234" s="61" t="str">
        <f>IFERROR(__xludf.DUMMYFUNCTION("""COMPUTED_VALUE"""),"Arushi Gupta")</f>
        <v>Arushi Gupta</v>
      </c>
      <c r="F234" s="61"/>
      <c r="G234" s="61"/>
      <c r="H234" s="61" t="str">
        <f>IFERROR(__xludf.DUMMYFUNCTION("""COMPUTED_VALUE"""),"Storage Item Return")</f>
        <v>Storage Item Return</v>
      </c>
      <c r="I234" s="61" t="str">
        <f>IFERROR(__xludf.DUMMYFUNCTION("""COMPUTED_VALUE"""),"University Housing ")</f>
        <v>University Housing </v>
      </c>
      <c r="J234" s="107" t="str">
        <f>IFERROR(__xludf.DUMMYFUNCTION("""COMPUTED_VALUE"""),"09:00 AM to 11:00 AM   ")</f>
        <v>09:00 AM to 11:00 AM   </v>
      </c>
      <c r="K234" s="107">
        <f>IFERROR(__xludf.DUMMYFUNCTION("""COMPUTED_VALUE"""),45895.0)</f>
        <v>45895</v>
      </c>
      <c r="L234" s="61" t="str">
        <f>IFERROR(__xludf.DUMMYFUNCTION("""COMPUTED_VALUE"""),"Village East  ")</f>
        <v>Village East  </v>
      </c>
      <c r="M234" s="61" t="str">
        <f>IFERROR(__xludf.DUMMYFUNCTION("""COMPUTED_VALUE"""),"2094-a")</f>
        <v>2094-a</v>
      </c>
      <c r="N234" s="61"/>
      <c r="O234" s="61"/>
      <c r="P234" s="61" t="b">
        <f>COUNTIF('Delivered SIR'!A:A, E234) &gt; 0</f>
        <v>1</v>
      </c>
    </row>
    <row r="235">
      <c r="A235" s="102" t="str">
        <f>IFERROR(__xludf.DUMMYFUNCTION("""COMPUTED_VALUE"""),"https://utrucking.com/admin/orders/5916935258300")</f>
        <v>https://utrucking.com/admin/orders/5916935258300</v>
      </c>
      <c r="B235" s="65" t="str">
        <f>IFERROR(__xludf.DUMMYFUNCTION("""COMPUTED_VALUE"""),"#15731")</f>
        <v>#15731</v>
      </c>
      <c r="C235" s="65"/>
      <c r="D235" s="65">
        <f>IFERROR(__xludf.DUMMYFUNCTION("""COMPUTED_VALUE"""),4.049156962E9)</f>
        <v>4049156962</v>
      </c>
      <c r="E235" s="65" t="str">
        <f>IFERROR(__xludf.DUMMYFUNCTION("""COMPUTED_VALUE"""),"Lance Lourie")</f>
        <v>Lance Lourie</v>
      </c>
      <c r="F235" s="65"/>
      <c r="G235" s="65" t="str">
        <f>IFERROR(__xludf.DUMMYFUNCTION("""COMPUTED_VALUE"""),"6006 Washington Blvd, Floor 2")</f>
        <v>6006 Washington Blvd, Floor 2</v>
      </c>
      <c r="H235" s="65" t="str">
        <f>IFERROR(__xludf.DUMMYFUNCTION("""COMPUTED_VALUE"""),"Storage Item Return")</f>
        <v>Storage Item Return</v>
      </c>
      <c r="I235" s="65" t="str">
        <f>IFERROR(__xludf.DUMMYFUNCTION("""COMPUTED_VALUE"""),"Non-University Housing ")</f>
        <v>Non-University Housing </v>
      </c>
      <c r="J235" s="108" t="str">
        <f>IFERROR(__xludf.DUMMYFUNCTION("""COMPUTED_VALUE"""),"12:00 PM to 02:00 PM   ")</f>
        <v>12:00 PM to 02:00 PM   </v>
      </c>
      <c r="K235" s="108">
        <f>IFERROR(__xludf.DUMMYFUNCTION("""COMPUTED_VALUE"""),45873.0)</f>
        <v>45873</v>
      </c>
      <c r="L235" s="65"/>
      <c r="M235" s="65"/>
      <c r="N235" s="65" t="str">
        <f>IFERROR(__xludf.DUMMYFUNCTION("""COMPUTED_VALUE"""),"6006 Washington Blvd, Floor 2")</f>
        <v>6006 Washington Blvd, Floor 2</v>
      </c>
      <c r="O235" s="65"/>
      <c r="P235" s="65" t="b">
        <f>COUNTIF('Delivered SIR'!A:A, E235) &gt; 0</f>
        <v>0</v>
      </c>
    </row>
    <row r="236">
      <c r="A236" s="99" t="str">
        <f>IFERROR(__xludf.DUMMYFUNCTION("""COMPUTED_VALUE"""),"https://utrucking.com/admin/orders/5916943188156")</f>
        <v>https://utrucking.com/admin/orders/5916943188156</v>
      </c>
      <c r="B236" s="61" t="str">
        <f>IFERROR(__xludf.DUMMYFUNCTION("""COMPUTED_VALUE"""),"#15733")</f>
        <v>#15733</v>
      </c>
      <c r="C236" s="61" t="str">
        <f>IFERROR(__xludf.DUMMYFUNCTION("""COMPUTED_VALUE"""),"l.zhanning@wustl.edu")</f>
        <v>l.zhanning@wustl.edu</v>
      </c>
      <c r="D236" s="61">
        <f>IFERROR(__xludf.DUMMYFUNCTION("""COMPUTED_VALUE"""),3.147604801E9)</f>
        <v>3147604801</v>
      </c>
      <c r="E236" s="61" t="str">
        <f>IFERROR(__xludf.DUMMYFUNCTION("""COMPUTED_VALUE"""),"Maggie Lin")</f>
        <v>Maggie Lin</v>
      </c>
      <c r="F236" s="61"/>
      <c r="G236" s="61"/>
      <c r="H236" s="61" t="str">
        <f>IFERROR(__xludf.DUMMYFUNCTION("""COMPUTED_VALUE"""),"Storage Item Return")</f>
        <v>Storage Item Return</v>
      </c>
      <c r="I236" s="61" t="str">
        <f>IFERROR(__xludf.DUMMYFUNCTION("""COMPUTED_VALUE"""),"University Housing ")</f>
        <v>University Housing </v>
      </c>
      <c r="J236" s="107" t="str">
        <f>IFERROR(__xludf.DUMMYFUNCTION("""COMPUTED_VALUE"""),"09:00 AM to 11:00 AM   ")</f>
        <v>09:00 AM to 11:00 AM   </v>
      </c>
      <c r="K236" s="107">
        <f>IFERROR(__xludf.DUMMYFUNCTION("""COMPUTED_VALUE"""),45889.0)</f>
        <v>45889</v>
      </c>
      <c r="L236" s="61" t="str">
        <f>IFERROR(__xludf.DUMMYFUNCTION("""COMPUTED_VALUE"""),"Zetcher  ")</f>
        <v>Zetcher  </v>
      </c>
      <c r="M236" s="61" t="str">
        <f>IFERROR(__xludf.DUMMYFUNCTION("""COMPUTED_VALUE"""),"3093 - a")</f>
        <v>3093 - a</v>
      </c>
      <c r="N236" s="61"/>
      <c r="O236" s="61"/>
      <c r="P236" s="61" t="b">
        <f>COUNTIF('Delivered SIR'!A:A, E236) &gt; 0</f>
        <v>0</v>
      </c>
    </row>
    <row r="237">
      <c r="A237" s="102" t="str">
        <f>IFERROR(__xludf.DUMMYFUNCTION("""COMPUTED_VALUE"""),"https://utrucking.com/admin/orders/5916952133820")</f>
        <v>https://utrucking.com/admin/orders/5916952133820</v>
      </c>
      <c r="B237" s="65" t="str">
        <f>IFERROR(__xludf.DUMMYFUNCTION("""COMPUTED_VALUE"""),"#15734")</f>
        <v>#15734</v>
      </c>
      <c r="C237" s="65" t="str">
        <f>IFERROR(__xludf.DUMMYFUNCTION("""COMPUTED_VALUE"""),"j.g.miller@wustl.edu")</f>
        <v>j.g.miller@wustl.edu</v>
      </c>
      <c r="D237" s="65">
        <f>IFERROR(__xludf.DUMMYFUNCTION("""COMPUTED_VALUE"""),4.158028428E9)</f>
        <v>4158028428</v>
      </c>
      <c r="E237" s="65" t="str">
        <f>IFERROR(__xludf.DUMMYFUNCTION("""COMPUTED_VALUE"""),"Joshua Miller")</f>
        <v>Joshua Miller</v>
      </c>
      <c r="F237" s="65"/>
      <c r="G237" s="65"/>
      <c r="H237" s="65" t="str">
        <f>IFERROR(__xludf.DUMMYFUNCTION("""COMPUTED_VALUE"""),"Storage Item Return")</f>
        <v>Storage Item Return</v>
      </c>
      <c r="I237" s="65" t="str">
        <f>IFERROR(__xludf.DUMMYFUNCTION("""COMPUTED_VALUE"""),"University Housing ")</f>
        <v>University Housing </v>
      </c>
      <c r="J237" s="108" t="str">
        <f>IFERROR(__xludf.DUMMYFUNCTION("""COMPUTED_VALUE"""),"09:00 AM to 11:00 AM   ")</f>
        <v>09:00 AM to 11:00 AM   </v>
      </c>
      <c r="K237" s="108">
        <f>IFERROR(__xludf.DUMMYFUNCTION("""COMPUTED_VALUE"""),45889.0)</f>
        <v>45889</v>
      </c>
      <c r="L237" s="65" t="str">
        <f>IFERROR(__xludf.DUMMYFUNCTION("""COMPUTED_VALUE"""),"Eliot B  ")</f>
        <v>Eliot B  </v>
      </c>
      <c r="M237" s="65" t="str">
        <f>IFERROR(__xludf.DUMMYFUNCTION("""COMPUTED_VALUE"""),"2094")</f>
        <v>2094</v>
      </c>
      <c r="N237" s="65"/>
      <c r="O237" s="65" t="str">
        <f>IFERROR(__xludf.DUMMYFUNCTION("""COMPUTED_VALUE"""),"Joshua Miller put 4 UTs &amp; 1 L Plastic back into storage until January ")</f>
        <v>Joshua Miller put 4 UTs &amp; 1 L Plastic back into storage until January </v>
      </c>
      <c r="P237" s="65" t="b">
        <f>COUNTIF('Delivered SIR'!A:A, E237) &gt; 0</f>
        <v>1</v>
      </c>
    </row>
    <row r="238">
      <c r="A238" s="99" t="str">
        <f>IFERROR(__xludf.DUMMYFUNCTION("""COMPUTED_VALUE"""),"https://utrucking.com/admin/orders/5916965535932")</f>
        <v>https://utrucking.com/admin/orders/5916965535932</v>
      </c>
      <c r="B238" s="61" t="str">
        <f>IFERROR(__xludf.DUMMYFUNCTION("""COMPUTED_VALUE"""),"#15735")</f>
        <v>#15735</v>
      </c>
      <c r="C238" s="61" t="str">
        <f>IFERROR(__xludf.DUMMYFUNCTION("""COMPUTED_VALUE"""),"k.n.sharifi@wustl.edu")</f>
        <v>k.n.sharifi@wustl.edu</v>
      </c>
      <c r="D238" s="61">
        <f>IFERROR(__xludf.DUMMYFUNCTION("""COMPUTED_VALUE"""),3.109818861E9)</f>
        <v>3109818861</v>
      </c>
      <c r="E238" s="61" t="str">
        <f>IFERROR(__xludf.DUMMYFUNCTION("""COMPUTED_VALUE"""),"Kian Sharifi")</f>
        <v>Kian Sharifi</v>
      </c>
      <c r="F238" s="61"/>
      <c r="G238" s="61"/>
      <c r="H238" s="61" t="str">
        <f>IFERROR(__xludf.DUMMYFUNCTION("""COMPUTED_VALUE"""),"Storage Item Return")</f>
        <v>Storage Item Return</v>
      </c>
      <c r="I238" s="61" t="str">
        <f>IFERROR(__xludf.DUMMYFUNCTION("""COMPUTED_VALUE"""),"University Housing ")</f>
        <v>University Housing </v>
      </c>
      <c r="J238" s="107" t="str">
        <f>IFERROR(__xludf.DUMMYFUNCTION("""COMPUTED_VALUE"""),"12:00 PM to 02:00 PM   ")</f>
        <v>12:00 PM to 02:00 PM   </v>
      </c>
      <c r="K238" s="107">
        <f>IFERROR(__xludf.DUMMYFUNCTION("""COMPUTED_VALUE"""),45890.0)</f>
        <v>45890</v>
      </c>
      <c r="L238" s="61" t="str">
        <f>IFERROR(__xludf.DUMMYFUNCTION("""COMPUTED_VALUE"""),"Wheeler  ")</f>
        <v>Wheeler  </v>
      </c>
      <c r="M238" s="61" t="str">
        <f>IFERROR(__xludf.DUMMYFUNCTION("""COMPUTED_VALUE"""),"3102")</f>
        <v>3102</v>
      </c>
      <c r="N238" s="61"/>
      <c r="O238" s="61"/>
      <c r="P238" s="61" t="b">
        <f>COUNTIF('Delivered SIR'!A:A, E238) &gt; 0</f>
        <v>1</v>
      </c>
    </row>
    <row r="239">
      <c r="A239" s="102" t="str">
        <f>IFERROR(__xludf.DUMMYFUNCTION("""COMPUTED_VALUE"""),"https://utrucking.com/admin/orders/5916966125756")</f>
        <v>https://utrucking.com/admin/orders/5916966125756</v>
      </c>
      <c r="B239" s="65" t="str">
        <f>IFERROR(__xludf.DUMMYFUNCTION("""COMPUTED_VALUE"""),"#15736")</f>
        <v>#15736</v>
      </c>
      <c r="C239" s="65"/>
      <c r="D239" s="65">
        <f>IFERROR(__xludf.DUMMYFUNCTION("""COMPUTED_VALUE"""),9.545484359E9)</f>
        <v>9545484359</v>
      </c>
      <c r="E239" s="65" t="str">
        <f>IFERROR(__xludf.DUMMYFUNCTION("""COMPUTED_VALUE"""),"Clayton Berger")</f>
        <v>Clayton Berger</v>
      </c>
      <c r="F239" s="65"/>
      <c r="G239" s="65"/>
      <c r="H239" s="65" t="str">
        <f>IFERROR(__xludf.DUMMYFUNCTION("""COMPUTED_VALUE"""),"Storage Item Return")</f>
        <v>Storage Item Return</v>
      </c>
      <c r="I239" s="65" t="str">
        <f>IFERROR(__xludf.DUMMYFUNCTION("""COMPUTED_VALUE"""),"University Housing ")</f>
        <v>University Housing </v>
      </c>
      <c r="J239" s="108" t="str">
        <f>IFERROR(__xludf.DUMMYFUNCTION("""COMPUTED_VALUE"""),"09:00 AM to 11:00 AM   ")</f>
        <v>09:00 AM to 11:00 AM   </v>
      </c>
      <c r="K239" s="108">
        <f>IFERROR(__xludf.DUMMYFUNCTION("""COMPUTED_VALUE"""),45888.0)</f>
        <v>45888</v>
      </c>
      <c r="L239" s="65" t="str">
        <f>IFERROR(__xludf.DUMMYFUNCTION("""COMPUTED_VALUE"""),"Nemerov  ")</f>
        <v>Nemerov  </v>
      </c>
      <c r="M239" s="65" t="str">
        <f>IFERROR(__xludf.DUMMYFUNCTION("""COMPUTED_VALUE"""),"4081")</f>
        <v>4081</v>
      </c>
      <c r="N239" s="65"/>
      <c r="O239" s="65"/>
      <c r="P239" s="65" t="b">
        <f>COUNTIF('Delivered SIR'!A:A, E239) &gt; 0</f>
        <v>0</v>
      </c>
    </row>
    <row r="240">
      <c r="A240" s="99" t="str">
        <f>IFERROR(__xludf.DUMMYFUNCTION("""COMPUTED_VALUE"""),"https://utrucking.com/admin/orders/5916979757244")</f>
        <v>https://utrucking.com/admin/orders/5916979757244</v>
      </c>
      <c r="B240" s="61" t="str">
        <f>IFERROR(__xludf.DUMMYFUNCTION("""COMPUTED_VALUE"""),"#15737")</f>
        <v>#15737</v>
      </c>
      <c r="C240" s="61" t="str">
        <f>IFERROR(__xludf.DUMMYFUNCTION("""COMPUTED_VALUE"""),"jackiez@wustl.edu")</f>
        <v>jackiez@wustl.edu</v>
      </c>
      <c r="D240" s="61">
        <f>IFERROR(__xludf.DUMMYFUNCTION("""COMPUTED_VALUE"""),5.163470507E9)</f>
        <v>5163470507</v>
      </c>
      <c r="E240" s="61" t="str">
        <f>IFERROR(__xludf.DUMMYFUNCTION("""COMPUTED_VALUE"""),"Jackie Zhang")</f>
        <v>Jackie Zhang</v>
      </c>
      <c r="F240" s="61"/>
      <c r="G240" s="61"/>
      <c r="H240" s="61" t="str">
        <f>IFERROR(__xludf.DUMMYFUNCTION("""COMPUTED_VALUE"""),"Storage Item Return")</f>
        <v>Storage Item Return</v>
      </c>
      <c r="I240" s="61" t="str">
        <f>IFERROR(__xludf.DUMMYFUNCTION("""COMPUTED_VALUE"""),"University Housing ")</f>
        <v>University Housing </v>
      </c>
      <c r="J240" s="107" t="str">
        <f>IFERROR(__xludf.DUMMYFUNCTION("""COMPUTED_VALUE"""),"09:00 AM to 11:00 AM   ")</f>
        <v>09:00 AM to 11:00 AM   </v>
      </c>
      <c r="K240" s="107">
        <f>IFERROR(__xludf.DUMMYFUNCTION("""COMPUTED_VALUE"""),45883.0)</f>
        <v>45883</v>
      </c>
      <c r="L240" s="61" t="str">
        <f>IFERROR(__xludf.DUMMYFUNCTION("""COMPUTED_VALUE"""),"Nemerov  ")</f>
        <v>Nemerov  </v>
      </c>
      <c r="M240" s="61" t="str">
        <f>IFERROR(__xludf.DUMMYFUNCTION("""COMPUTED_VALUE"""),"3063")</f>
        <v>3063</v>
      </c>
      <c r="N240" s="61"/>
      <c r="O240" s="61"/>
      <c r="P240" s="61" t="b">
        <f>COUNTIF('Delivered SIR'!A:A, E240) &gt; 0</f>
        <v>1</v>
      </c>
    </row>
    <row r="241">
      <c r="A241" s="102" t="str">
        <f>IFERROR(__xludf.DUMMYFUNCTION("""COMPUTED_VALUE"""),"https://utrucking.com/admin/orders/5916994044092")</f>
        <v>https://utrucking.com/admin/orders/5916994044092</v>
      </c>
      <c r="B241" s="65" t="str">
        <f>IFERROR(__xludf.DUMMYFUNCTION("""COMPUTED_VALUE"""),"#15738")</f>
        <v>#15738</v>
      </c>
      <c r="C241" s="65"/>
      <c r="D241" s="65">
        <f>IFERROR(__xludf.DUMMYFUNCTION("""COMPUTED_VALUE"""),4.156030667E9)</f>
        <v>4156030667</v>
      </c>
      <c r="E241" s="65" t="str">
        <f>IFERROR(__xludf.DUMMYFUNCTION("""COMPUTED_VALUE"""),"Brian Hau")</f>
        <v>Brian Hau</v>
      </c>
      <c r="F241" s="65"/>
      <c r="G241" s="65" t="str">
        <f>IFERROR(__xludf.DUMMYFUNCTION("""COMPUTED_VALUE"""),"6665 Washington Ave, #1E")</f>
        <v>6665 Washington Ave, #1E</v>
      </c>
      <c r="H241" s="65" t="str">
        <f>IFERROR(__xludf.DUMMYFUNCTION("""COMPUTED_VALUE"""),"Storage Item Return")</f>
        <v>Storage Item Return</v>
      </c>
      <c r="I241" s="65" t="str">
        <f>IFERROR(__xludf.DUMMYFUNCTION("""COMPUTED_VALUE"""),"Non-University Housing ")</f>
        <v>Non-University Housing </v>
      </c>
      <c r="J241" s="108" t="str">
        <f>IFERROR(__xludf.DUMMYFUNCTION("""COMPUTED_VALUE"""),"05.00 PM")</f>
        <v>05.00 PM</v>
      </c>
      <c r="K241" s="108">
        <f>IFERROR(__xludf.DUMMYFUNCTION("""COMPUTED_VALUE"""),45892.0)</f>
        <v>45892</v>
      </c>
      <c r="L241" s="65"/>
      <c r="M241" s="65"/>
      <c r="N241" s="65" t="str">
        <f>IFERROR(__xludf.DUMMYFUNCTION("""COMPUTED_VALUE"""),"6665 Washington Ave, #1E")</f>
        <v>6665 Washington Ave, #1E</v>
      </c>
      <c r="O241" s="65" t="str">
        <f>IFERROR(__xludf.DUMMYFUNCTION("""COMPUTED_VALUE"""),"flight landing at 5, please leave outside building if we can't delay the delivery until 6 or so")</f>
        <v>flight landing at 5, please leave outside building if we can't delay the delivery until 6 or so</v>
      </c>
      <c r="P241" s="65" t="b">
        <f>COUNTIF('Delivered SIR'!A:A, E241) &gt; 0</f>
        <v>0</v>
      </c>
    </row>
    <row r="242">
      <c r="A242" s="99" t="str">
        <f>IFERROR(__xludf.DUMMYFUNCTION("""COMPUTED_VALUE"""),"https://utrucking.com/admin/orders/5917017964732")</f>
        <v>https://utrucking.com/admin/orders/5917017964732</v>
      </c>
      <c r="B242" s="61" t="str">
        <f>IFERROR(__xludf.DUMMYFUNCTION("""COMPUTED_VALUE"""),"#15740")</f>
        <v>#15740</v>
      </c>
      <c r="C242" s="61" t="str">
        <f>IFERROR(__xludf.DUMMYFUNCTION("""COMPUTED_VALUE"""),"c.r.rinke@wustl.edu")</f>
        <v>c.r.rinke@wustl.edu</v>
      </c>
      <c r="D242" s="61">
        <f>IFERROR(__xludf.DUMMYFUNCTION("""COMPUTED_VALUE"""),9.149878671E9)</f>
        <v>9149878671</v>
      </c>
      <c r="E242" s="61" t="str">
        <f>IFERROR(__xludf.DUMMYFUNCTION("""COMPUTED_VALUE"""),"Coby Rinke")</f>
        <v>Coby Rinke</v>
      </c>
      <c r="F242" s="61"/>
      <c r="G242" s="61"/>
      <c r="H242" s="61" t="str">
        <f>IFERROR(__xludf.DUMMYFUNCTION("""COMPUTED_VALUE"""),"Storage Item Return")</f>
        <v>Storage Item Return</v>
      </c>
      <c r="I242" s="61" t="str">
        <f>IFERROR(__xludf.DUMMYFUNCTION("""COMPUTED_VALUE"""),"University Housing ")</f>
        <v>University Housing </v>
      </c>
      <c r="J242" s="107" t="str">
        <f>IFERROR(__xludf.DUMMYFUNCTION("""COMPUTED_VALUE"""),"09:00 AM to 11:00 AM   ")</f>
        <v>09:00 AM to 11:00 AM   </v>
      </c>
      <c r="K242" s="107">
        <f>IFERROR(__xludf.DUMMYFUNCTION("""COMPUTED_VALUE"""),45891.0)</f>
        <v>45891</v>
      </c>
      <c r="L242" s="61" t="str">
        <f>IFERROR(__xludf.DUMMYFUNCTION("""COMPUTED_VALUE"""),"Village House  ")</f>
        <v>Village House  </v>
      </c>
      <c r="M242" s="61" t="str">
        <f>IFERROR(__xludf.DUMMYFUNCTION("""COMPUTED_VALUE"""),"3101 - a")</f>
        <v>3101 - a</v>
      </c>
      <c r="N242" s="61"/>
      <c r="O242" s="61"/>
      <c r="P242" s="61" t="b">
        <f>COUNTIF('Delivered SIR'!A:A, E242) &gt; 0</f>
        <v>1</v>
      </c>
    </row>
    <row r="243">
      <c r="A243" s="102" t="str">
        <f>IFERROR(__xludf.DUMMYFUNCTION("""COMPUTED_VALUE"""),"https://utrucking.com/admin/orders/5917070524604")</f>
        <v>https://utrucking.com/admin/orders/5917070524604</v>
      </c>
      <c r="B243" s="65" t="str">
        <f>IFERROR(__xludf.DUMMYFUNCTION("""COMPUTED_VALUE"""),"#15741")</f>
        <v>#15741</v>
      </c>
      <c r="C243" s="65" t="str">
        <f>IFERROR(__xludf.DUMMYFUNCTION("""COMPUTED_VALUE"""),"ashleypease16@gmail.com")</f>
        <v>ashleypease16@gmail.com</v>
      </c>
      <c r="D243" s="65">
        <f>IFERROR(__xludf.DUMMYFUNCTION("""COMPUTED_VALUE"""),8.183846515E9)</f>
        <v>8183846515</v>
      </c>
      <c r="E243" s="65" t="str">
        <f>IFERROR(__xludf.DUMMYFUNCTION("""COMPUTED_VALUE"""),"Ashley Pease")</f>
        <v>Ashley Pease</v>
      </c>
      <c r="F243" s="65"/>
      <c r="G243" s="65"/>
      <c r="H243" s="65" t="str">
        <f>IFERROR(__xludf.DUMMYFUNCTION("""COMPUTED_VALUE"""),"Storage Item Return")</f>
        <v>Storage Item Return</v>
      </c>
      <c r="I243" s="65" t="str">
        <f>IFERROR(__xludf.DUMMYFUNCTION("""COMPUTED_VALUE"""),"University Housing ")</f>
        <v>University Housing </v>
      </c>
      <c r="J243" s="108" t="str">
        <f>IFERROR(__xludf.DUMMYFUNCTION("""COMPUTED_VALUE"""),"09:00 AM to 11:00 AM   ")</f>
        <v>09:00 AM to 11:00 AM   </v>
      </c>
      <c r="K243" s="108">
        <f>IFERROR(__xludf.DUMMYFUNCTION("""COMPUTED_VALUE"""),45888.0)</f>
        <v>45888</v>
      </c>
      <c r="L243" s="65" t="str">
        <f>IFERROR(__xludf.DUMMYFUNCTION("""COMPUTED_VALUE"""),"Nemerov  ")</f>
        <v>Nemerov  </v>
      </c>
      <c r="M243" s="65" t="str">
        <f>IFERROR(__xludf.DUMMYFUNCTION("""COMPUTED_VALUE"""),"2023-A")</f>
        <v>2023-A</v>
      </c>
      <c r="N243" s="65"/>
      <c r="O243" s="65"/>
      <c r="P243" s="65" t="b">
        <f>COUNTIF('Delivered SIR'!A:A, E243) &gt; 0</f>
        <v>0</v>
      </c>
    </row>
    <row r="244">
      <c r="A244" s="99" t="str">
        <f>IFERROR(__xludf.DUMMYFUNCTION("""COMPUTED_VALUE"""),"https://utrucking.com/admin/orders/5917073572028")</f>
        <v>https://utrucking.com/admin/orders/5917073572028</v>
      </c>
      <c r="B244" s="61" t="str">
        <f>IFERROR(__xludf.DUMMYFUNCTION("""COMPUTED_VALUE"""),"#15742")</f>
        <v>#15742</v>
      </c>
      <c r="C244" s="61" t="str">
        <f>IFERROR(__xludf.DUMMYFUNCTION("""COMPUTED_VALUE"""),"esterly@wustl.edu")</f>
        <v>esterly@wustl.edu</v>
      </c>
      <c r="D244" s="61">
        <f>IFERROR(__xludf.DUMMYFUNCTION("""COMPUTED_VALUE"""),7.73633487E9)</f>
        <v>7736334870</v>
      </c>
      <c r="E244" s="61" t="str">
        <f>IFERROR(__xludf.DUMMYFUNCTION("""COMPUTED_VALUE"""),"Isabel Esterly")</f>
        <v>Isabel Esterly</v>
      </c>
      <c r="F244" s="61"/>
      <c r="G244" s="61"/>
      <c r="H244" s="61" t="str">
        <f>IFERROR(__xludf.DUMMYFUNCTION("""COMPUTED_VALUE"""),"Storage Item Return")</f>
        <v>Storage Item Return</v>
      </c>
      <c r="I244" s="61" t="str">
        <f>IFERROR(__xludf.DUMMYFUNCTION("""COMPUTED_VALUE"""),"University Housing ")</f>
        <v>University Housing </v>
      </c>
      <c r="J244" s="107" t="str">
        <f>IFERROR(__xludf.DUMMYFUNCTION("""COMPUTED_VALUE"""),"09:00 AM to 11:00 AM   ")</f>
        <v>09:00 AM to 11:00 AM   </v>
      </c>
      <c r="K244" s="107">
        <f>IFERROR(__xludf.DUMMYFUNCTION("""COMPUTED_VALUE"""),45889.0)</f>
        <v>45889</v>
      </c>
      <c r="L244" s="61" t="str">
        <f>IFERROR(__xludf.DUMMYFUNCTION("""COMPUTED_VALUE"""),"Gregg  ")</f>
        <v>Gregg  </v>
      </c>
      <c r="M244" s="61" t="str">
        <f>IFERROR(__xludf.DUMMYFUNCTION("""COMPUTED_VALUE"""),"2053")</f>
        <v>2053</v>
      </c>
      <c r="N244" s="61"/>
      <c r="O244" s="61"/>
      <c r="P244" s="61" t="b">
        <f>COUNTIF('Delivered SIR'!A:A, E244) &gt; 0</f>
        <v>1</v>
      </c>
    </row>
    <row r="245">
      <c r="A245" s="102" t="str">
        <f>IFERROR(__xludf.DUMMYFUNCTION("""COMPUTED_VALUE"""),"https://utrucking.com/admin/orders/5917080387772")</f>
        <v>https://utrucking.com/admin/orders/5917080387772</v>
      </c>
      <c r="B245" s="65" t="str">
        <f>IFERROR(__xludf.DUMMYFUNCTION("""COMPUTED_VALUE"""),"#15743")</f>
        <v>#15743</v>
      </c>
      <c r="C245" s="65" t="str">
        <f>IFERROR(__xludf.DUMMYFUNCTION("""COMPUTED_VALUE"""),"rachely2005@gmail.com")</f>
        <v>rachely2005@gmail.com</v>
      </c>
      <c r="D245" s="65">
        <f>IFERROR(__xludf.DUMMYFUNCTION("""COMPUTED_VALUE"""),3.105000477E9)</f>
        <v>3105000477</v>
      </c>
      <c r="E245" s="65" t="str">
        <f>IFERROR(__xludf.DUMMYFUNCTION("""COMPUTED_VALUE"""),"Rachel Park")</f>
        <v>Rachel Park</v>
      </c>
      <c r="F245" s="65"/>
      <c r="G245" s="65"/>
      <c r="H245" s="65" t="str">
        <f>IFERROR(__xludf.DUMMYFUNCTION("""COMPUTED_VALUE"""),"Storage Item Return")</f>
        <v>Storage Item Return</v>
      </c>
      <c r="I245" s="65" t="str">
        <f>IFERROR(__xludf.DUMMYFUNCTION("""COMPUTED_VALUE"""),"University Housing ")</f>
        <v>University Housing </v>
      </c>
      <c r="J245" s="108" t="str">
        <f>IFERROR(__xludf.DUMMYFUNCTION("""COMPUTED_VALUE"""),"09:00 AM to 11:00 AM   ")</f>
        <v>09:00 AM to 11:00 AM   </v>
      </c>
      <c r="K245" s="108">
        <f>IFERROR(__xludf.DUMMYFUNCTION("""COMPUTED_VALUE"""),45892.0)</f>
        <v>45892</v>
      </c>
      <c r="L245" s="65" t="str">
        <f>IFERROR(__xludf.DUMMYFUNCTION("""COMPUTED_VALUE"""),"Gregg  ")</f>
        <v>Gregg  </v>
      </c>
      <c r="M245" s="65" t="str">
        <f>IFERROR(__xludf.DUMMYFUNCTION("""COMPUTED_VALUE"""),"3072")</f>
        <v>3072</v>
      </c>
      <c r="N245" s="65"/>
      <c r="O245" s="65"/>
      <c r="P245" s="65" t="b">
        <f>COUNTIF('Delivered SIR'!A:A, E245) &gt; 0</f>
        <v>1</v>
      </c>
    </row>
    <row r="246">
      <c r="A246" s="99" t="str">
        <f>IFERROR(__xludf.DUMMYFUNCTION("""COMPUTED_VALUE"""),"https://utrucking.com/admin/orders/5917088547004")</f>
        <v>https://utrucking.com/admin/orders/5917088547004</v>
      </c>
      <c r="B246" s="61" t="str">
        <f>IFERROR(__xludf.DUMMYFUNCTION("""COMPUTED_VALUE"""),"#15744")</f>
        <v>#15744</v>
      </c>
      <c r="C246" s="61" t="str">
        <f>IFERROR(__xludf.DUMMYFUNCTION("""COMPUTED_VALUE"""),"c.kaiting@wustl.edu")</f>
        <v>c.kaiting@wustl.edu</v>
      </c>
      <c r="D246" s="61">
        <f>IFERROR(__xludf.DUMMYFUNCTION("""COMPUTED_VALUE"""),3.146855883E9)</f>
        <v>3146855883</v>
      </c>
      <c r="E246" s="61" t="str">
        <f>IFERROR(__xludf.DUMMYFUNCTION("""COMPUTED_VALUE"""),"Justin Chen")</f>
        <v>Justin Chen</v>
      </c>
      <c r="F246" s="61"/>
      <c r="G246" s="61"/>
      <c r="H246" s="61" t="str">
        <f>IFERROR(__xludf.DUMMYFUNCTION("""COMPUTED_VALUE"""),"Storage Item Return")</f>
        <v>Storage Item Return</v>
      </c>
      <c r="I246" s="61" t="str">
        <f>IFERROR(__xludf.DUMMYFUNCTION("""COMPUTED_VALUE"""),"University Housing ")</f>
        <v>University Housing </v>
      </c>
      <c r="J246" s="107" t="str">
        <f>IFERROR(__xludf.DUMMYFUNCTION("""COMPUTED_VALUE"""),"10:00 AM to 12:00 PM   ")</f>
        <v>10:00 AM to 12:00 PM   </v>
      </c>
      <c r="K246" s="107">
        <f>IFERROR(__xludf.DUMMYFUNCTION("""COMPUTED_VALUE"""),45890.0)</f>
        <v>45890</v>
      </c>
      <c r="L246" s="61" t="str">
        <f>IFERROR(__xludf.DUMMYFUNCTION("""COMPUTED_VALUE"""),"Lopata  ")</f>
        <v>Lopata  </v>
      </c>
      <c r="M246" s="61" t="str">
        <f>IFERROR(__xludf.DUMMYFUNCTION("""COMPUTED_VALUE"""),"3131-a")</f>
        <v>3131-a</v>
      </c>
      <c r="N246" s="61"/>
      <c r="O246" s="61"/>
      <c r="P246" s="61" t="b">
        <f>COUNTIF('Delivered SIR'!A:A, E246) &gt; 0</f>
        <v>1</v>
      </c>
    </row>
    <row r="247">
      <c r="A247" s="102" t="str">
        <f>IFERROR(__xludf.DUMMYFUNCTION("""COMPUTED_VALUE"""),"https://utrucking.com/admin/orders/5917106700476")</f>
        <v>https://utrucking.com/admin/orders/5917106700476</v>
      </c>
      <c r="B247" s="65" t="str">
        <f>IFERROR(__xludf.DUMMYFUNCTION("""COMPUTED_VALUE"""),"#15745")</f>
        <v>#15745</v>
      </c>
      <c r="C247" s="65" t="str">
        <f>IFERROR(__xludf.DUMMYFUNCTION("""COMPUTED_VALUE"""),"a.meidjina@wustl.edu")</f>
        <v>a.meidjina@wustl.edu</v>
      </c>
      <c r="D247" s="65">
        <f>IFERROR(__xludf.DUMMYFUNCTION("""COMPUTED_VALUE"""),1.3473215248E10)</f>
        <v>13473215248</v>
      </c>
      <c r="E247" s="65" t="str">
        <f>IFERROR(__xludf.DUMMYFUNCTION("""COMPUTED_VALUE"""),"Meidjina Adonis")</f>
        <v>Meidjina Adonis</v>
      </c>
      <c r="F247" s="65"/>
      <c r="G247" s="65"/>
      <c r="H247" s="65" t="str">
        <f>IFERROR(__xludf.DUMMYFUNCTION("""COMPUTED_VALUE"""),"Storage Item Return")</f>
        <v>Storage Item Return</v>
      </c>
      <c r="I247" s="65" t="str">
        <f>IFERROR(__xludf.DUMMYFUNCTION("""COMPUTED_VALUE"""),"University Housing ")</f>
        <v>University Housing </v>
      </c>
      <c r="J247" s="108" t="str">
        <f>IFERROR(__xludf.DUMMYFUNCTION("""COMPUTED_VALUE"""),"09:00 AM to 11:00 AM   ")</f>
        <v>09:00 AM to 11:00 AM   </v>
      </c>
      <c r="K247" s="108">
        <f>IFERROR(__xludf.DUMMYFUNCTION("""COMPUTED_VALUE"""),45887.0)</f>
        <v>45887</v>
      </c>
      <c r="L247" s="65" t="str">
        <f>IFERROR(__xludf.DUMMYFUNCTION("""COMPUTED_VALUE"""),"Eliot B  ")</f>
        <v>Eliot B  </v>
      </c>
      <c r="M247" s="65" t="str">
        <f>IFERROR(__xludf.DUMMYFUNCTION("""COMPUTED_VALUE"""),"3040 - a")</f>
        <v>3040 - a</v>
      </c>
      <c r="N247" s="65"/>
      <c r="O247" s="65"/>
      <c r="P247" s="65" t="b">
        <f>COUNTIF('Delivered SIR'!A:A, E247) &gt; 0</f>
        <v>1</v>
      </c>
    </row>
    <row r="248">
      <c r="A248" s="99" t="str">
        <f>IFERROR(__xludf.DUMMYFUNCTION("""COMPUTED_VALUE"""),"https://utrucking.com/admin/orders/5917160112316")</f>
        <v>https://utrucking.com/admin/orders/5917160112316</v>
      </c>
      <c r="B248" s="61" t="str">
        <f>IFERROR(__xludf.DUMMYFUNCTION("""COMPUTED_VALUE"""),"#15746")</f>
        <v>#15746</v>
      </c>
      <c r="C248" s="61" t="str">
        <f>IFERROR(__xludf.DUMMYFUNCTION("""COMPUTED_VALUE"""),"dilitar@wustl.edu")</f>
        <v>dilitar@wustl.edu</v>
      </c>
      <c r="D248" s="61">
        <f>IFERROR(__xludf.DUMMYFUNCTION("""COMPUTED_VALUE"""),9.293913061E9)</f>
        <v>9293913061</v>
      </c>
      <c r="E248" s="61" t="str">
        <f>IFERROR(__xludf.DUMMYFUNCTION("""COMPUTED_VALUE"""),"yuxiao zhao")</f>
        <v>yuxiao zhao</v>
      </c>
      <c r="F248" s="61"/>
      <c r="G248" s="61"/>
      <c r="H248" s="61" t="str">
        <f>IFERROR(__xludf.DUMMYFUNCTION("""COMPUTED_VALUE"""),"Storage Item Return")</f>
        <v>Storage Item Return</v>
      </c>
      <c r="I248" s="61" t="str">
        <f>IFERROR(__xludf.DUMMYFUNCTION("""COMPUTED_VALUE"""),"University Housing ")</f>
        <v>University Housing </v>
      </c>
      <c r="J248" s="107" t="str">
        <f>IFERROR(__xludf.DUMMYFUNCTION("""COMPUTED_VALUE"""),"09:00 AM to 11:00 AM   ")</f>
        <v>09:00 AM to 11:00 AM   </v>
      </c>
      <c r="K248" s="107">
        <f>IFERROR(__xludf.DUMMYFUNCTION("""COMPUTED_VALUE"""),45891.0)</f>
        <v>45891</v>
      </c>
      <c r="L248" s="61" t="str">
        <f>IFERROR(__xludf.DUMMYFUNCTION("""COMPUTED_VALUE"""),"Shepley  ")</f>
        <v>Shepley  </v>
      </c>
      <c r="M248" s="61" t="str">
        <f>IFERROR(__xludf.DUMMYFUNCTION("""COMPUTED_VALUE"""),"1023-a")</f>
        <v>1023-a</v>
      </c>
      <c r="N248" s="61"/>
      <c r="O248" s="61"/>
      <c r="P248" s="61" t="b">
        <f>COUNTIF('Delivered SIR'!A:A, E248) &gt; 0</f>
        <v>1</v>
      </c>
    </row>
    <row r="249">
      <c r="A249" s="102" t="str">
        <f>IFERROR(__xludf.DUMMYFUNCTION("""COMPUTED_VALUE"""),"https://utrucking.com/admin/orders/5917271326908")</f>
        <v>https://utrucking.com/admin/orders/5917271326908</v>
      </c>
      <c r="B249" s="65" t="str">
        <f>IFERROR(__xludf.DUMMYFUNCTION("""COMPUTED_VALUE"""),"#15748")</f>
        <v>#15748</v>
      </c>
      <c r="C249" s="65" t="str">
        <f>IFERROR(__xludf.DUMMYFUNCTION("""COMPUTED_VALUE"""),"c.newhouse@wustl.edu")</f>
        <v>c.newhouse@wustl.edu</v>
      </c>
      <c r="D249" s="65"/>
      <c r="E249" s="65" t="str">
        <f>IFERROR(__xludf.DUMMYFUNCTION("""COMPUTED_VALUE"""),"Charlotte Newhouse")</f>
        <v>Charlotte Newhouse</v>
      </c>
      <c r="F249" s="65"/>
      <c r="G249" s="65"/>
      <c r="H249" s="65" t="str">
        <f>IFERROR(__xludf.DUMMYFUNCTION("""COMPUTED_VALUE"""),"Storage Item Return")</f>
        <v>Storage Item Return</v>
      </c>
      <c r="I249" s="65" t="str">
        <f>IFERROR(__xludf.DUMMYFUNCTION("""COMPUTED_VALUE"""),"University Housing ")</f>
        <v>University Housing </v>
      </c>
      <c r="J249" s="108" t="str">
        <f>IFERROR(__xludf.DUMMYFUNCTION("""COMPUTED_VALUE"""),"09:00 AM to 11:00 AM   ")</f>
        <v>09:00 AM to 11:00 AM   </v>
      </c>
      <c r="K249" s="108">
        <f>IFERROR(__xludf.DUMMYFUNCTION("""COMPUTED_VALUE"""),45888.0)</f>
        <v>45888</v>
      </c>
      <c r="L249" s="65" t="str">
        <f>IFERROR(__xludf.DUMMYFUNCTION("""COMPUTED_VALUE"""),"Millbrook Bldg. 3  ")</f>
        <v>Millbrook Bldg. 3  </v>
      </c>
      <c r="M249" s="65" t="str">
        <f>IFERROR(__xludf.DUMMYFUNCTION("""COMPUTED_VALUE"""),"Suite 303- room d")</f>
        <v>Suite 303- room d</v>
      </c>
      <c r="N249" s="65"/>
      <c r="O249" s="65"/>
      <c r="P249" s="65" t="b">
        <f>COUNTIF('Delivered SIR'!A:A, E249) &gt; 0</f>
        <v>1</v>
      </c>
    </row>
    <row r="250">
      <c r="A250" s="99" t="str">
        <f>IFERROR(__xludf.DUMMYFUNCTION("""COMPUTED_VALUE"""),"https://utrucking.com/admin/orders/5917362815164")</f>
        <v>https://utrucking.com/admin/orders/5917362815164</v>
      </c>
      <c r="B250" s="61" t="str">
        <f>IFERROR(__xludf.DUMMYFUNCTION("""COMPUTED_VALUE"""),"#15753")</f>
        <v>#15753</v>
      </c>
      <c r="C250" s="61" t="str">
        <f>IFERROR(__xludf.DUMMYFUNCTION("""COMPUTED_VALUE"""),"junyoung.p@wustl.edu")</f>
        <v>junyoung.p@wustl.edu</v>
      </c>
      <c r="D250" s="61">
        <f>IFERROR(__xludf.DUMMYFUNCTION("""COMPUTED_VALUE"""),5.093120321E9)</f>
        <v>5093120321</v>
      </c>
      <c r="E250" s="61" t="str">
        <f>IFERROR(__xludf.DUMMYFUNCTION("""COMPUTED_VALUE"""),"Junyoung Park")</f>
        <v>Junyoung Park</v>
      </c>
      <c r="F250" s="61"/>
      <c r="G250" s="61"/>
      <c r="H250" s="61" t="str">
        <f>IFERROR(__xludf.DUMMYFUNCTION("""COMPUTED_VALUE"""),"Storage Item Return")</f>
        <v>Storage Item Return</v>
      </c>
      <c r="I250" s="61" t="str">
        <f>IFERROR(__xludf.DUMMYFUNCTION("""COMPUTED_VALUE"""),"University Housing ")</f>
        <v>University Housing </v>
      </c>
      <c r="J250" s="107" t="str">
        <f>IFERROR(__xludf.DUMMYFUNCTION("""COMPUTED_VALUE"""),"09:00 AM to 11:00 AM   ")</f>
        <v>09:00 AM to 11:00 AM   </v>
      </c>
      <c r="K250" s="107">
        <f>IFERROR(__xludf.DUMMYFUNCTION("""COMPUTED_VALUE"""),45890.0)</f>
        <v>45890</v>
      </c>
      <c r="L250" s="61" t="str">
        <f>IFERROR(__xludf.DUMMYFUNCTION("""COMPUTED_VALUE"""),"Loop Loft 6300  ")</f>
        <v>Loop Loft 6300  </v>
      </c>
      <c r="M250" s="61" t="str">
        <f>IFERROR(__xludf.DUMMYFUNCTION("""COMPUTED_VALUE"""),"202A")</f>
        <v>202A</v>
      </c>
      <c r="N250" s="61"/>
      <c r="O250" s="61"/>
      <c r="P250" s="61" t="b">
        <f>COUNTIF('Delivered SIR'!A:A, E250) &gt; 0</f>
        <v>0</v>
      </c>
    </row>
    <row r="251">
      <c r="A251" s="102" t="str">
        <f>IFERROR(__xludf.DUMMYFUNCTION("""COMPUTED_VALUE"""),"https://utrucking.com/admin/orders/5917518659772")</f>
        <v>https://utrucking.com/admin/orders/5917518659772</v>
      </c>
      <c r="B251" s="65" t="str">
        <f>IFERROR(__xludf.DUMMYFUNCTION("""COMPUTED_VALUE"""),"#15755")</f>
        <v>#15755</v>
      </c>
      <c r="C251" s="65" t="str">
        <f>IFERROR(__xludf.DUMMYFUNCTION("""COMPUTED_VALUE"""),"ellisternk@gmail.com")</f>
        <v>ellisternk@gmail.com</v>
      </c>
      <c r="D251" s="65">
        <f>IFERROR(__xludf.DUMMYFUNCTION("""COMPUTED_VALUE"""),9.177571872E9)</f>
        <v>9177571872</v>
      </c>
      <c r="E251" s="65" t="str">
        <f>IFERROR(__xludf.DUMMYFUNCTION("""COMPUTED_VALUE"""),"Elli Stern")</f>
        <v>Elli Stern</v>
      </c>
      <c r="F251" s="65"/>
      <c r="G251" s="65"/>
      <c r="H251" s="65" t="str">
        <f>IFERROR(__xludf.DUMMYFUNCTION("""COMPUTED_VALUE"""),"Storage Item Return")</f>
        <v>Storage Item Return</v>
      </c>
      <c r="I251" s="65" t="str">
        <f>IFERROR(__xludf.DUMMYFUNCTION("""COMPUTED_VALUE"""),"University Housing ")</f>
        <v>University Housing </v>
      </c>
      <c r="J251" s="108" t="str">
        <f>IFERROR(__xludf.DUMMYFUNCTION("""COMPUTED_VALUE"""),"12:00 PM to 02:00 PM   ")</f>
        <v>12:00 PM to 02:00 PM   </v>
      </c>
      <c r="K251" s="108">
        <f>IFERROR(__xludf.DUMMYFUNCTION("""COMPUTED_VALUE"""),45888.0)</f>
        <v>45888</v>
      </c>
      <c r="L251" s="65" t="str">
        <f>IFERROR(__xludf.DUMMYFUNCTION("""COMPUTED_VALUE"""),"Loop Loft 6263  ")</f>
        <v>Loop Loft 6263  </v>
      </c>
      <c r="M251" s="65" t="str">
        <f>IFERROR(__xludf.DUMMYFUNCTION("""COMPUTED_VALUE"""),"208B")</f>
        <v>208B</v>
      </c>
      <c r="N251" s="65"/>
      <c r="O251" s="65"/>
      <c r="P251" s="65" t="b">
        <f>COUNTIF('Delivered SIR'!A:A, E251) &gt; 0</f>
        <v>1</v>
      </c>
    </row>
    <row r="252">
      <c r="A252" s="99" t="str">
        <f>IFERROR(__xludf.DUMMYFUNCTION("""COMPUTED_VALUE"""),"https://utrucking.com/admin/orders/5917753540796")</f>
        <v>https://utrucking.com/admin/orders/5917753540796</v>
      </c>
      <c r="B252" s="61" t="str">
        <f>IFERROR(__xludf.DUMMYFUNCTION("""COMPUTED_VALUE"""),"#15766")</f>
        <v>#15766</v>
      </c>
      <c r="C252" s="61" t="str">
        <f>IFERROR(__xludf.DUMMYFUNCTION("""COMPUTED_VALUE"""),"eddiezhao21@gmail.com")</f>
        <v>eddiezhao21@gmail.com</v>
      </c>
      <c r="D252" s="61">
        <f>IFERROR(__xludf.DUMMYFUNCTION("""COMPUTED_VALUE"""),7.813281188E9)</f>
        <v>7813281188</v>
      </c>
      <c r="E252" s="61" t="str">
        <f>IFERROR(__xludf.DUMMYFUNCTION("""COMPUTED_VALUE"""),"Eddie Zhao")</f>
        <v>Eddie Zhao</v>
      </c>
      <c r="F252" s="61"/>
      <c r="G252" s="61"/>
      <c r="H252" s="61" t="str">
        <f>IFERROR(__xludf.DUMMYFUNCTION("""COMPUTED_VALUE"""),"Storage Item Return")</f>
        <v>Storage Item Return</v>
      </c>
      <c r="I252" s="61" t="str">
        <f>IFERROR(__xludf.DUMMYFUNCTION("""COMPUTED_VALUE"""),"University Housing ")</f>
        <v>University Housing </v>
      </c>
      <c r="J252" s="107" t="str">
        <f>IFERROR(__xludf.DUMMYFUNCTION("""COMPUTED_VALUE"""),"12:00 PM to 02:00 PM   ")</f>
        <v>12:00 PM to 02:00 PM   </v>
      </c>
      <c r="K252" s="107">
        <f>IFERROR(__xludf.DUMMYFUNCTION("""COMPUTED_VALUE"""),45890.0)</f>
        <v>45890</v>
      </c>
      <c r="L252" s="61" t="str">
        <f>IFERROR(__xludf.DUMMYFUNCTION("""COMPUTED_VALUE"""),"Zetcher  ")</f>
        <v>Zetcher  </v>
      </c>
      <c r="M252" s="61" t="str">
        <f>IFERROR(__xludf.DUMMYFUNCTION("""COMPUTED_VALUE"""),"4140")</f>
        <v>4140</v>
      </c>
      <c r="N252" s="61"/>
      <c r="O252" s="61"/>
      <c r="P252" s="61" t="b">
        <f>COUNTIF('Delivered SIR'!A:A, E252) &gt; 0</f>
        <v>1</v>
      </c>
    </row>
    <row r="253">
      <c r="A253" s="102" t="str">
        <f>IFERROR(__xludf.DUMMYFUNCTION("""COMPUTED_VALUE"""),"https://utrucking.com/admin/orders/5917758521532")</f>
        <v>https://utrucking.com/admin/orders/5917758521532</v>
      </c>
      <c r="B253" s="65" t="str">
        <f>IFERROR(__xludf.DUMMYFUNCTION("""COMPUTED_VALUE"""),"#15767")</f>
        <v>#15767</v>
      </c>
      <c r="C253" s="65" t="str">
        <f>IFERROR(__xludf.DUMMYFUNCTION("""COMPUTED_VALUE"""),"alecataboy@outlook.com")</f>
        <v>alecataboy@outlook.com</v>
      </c>
      <c r="D253" s="65">
        <f>IFERROR(__xludf.DUMMYFUNCTION("""COMPUTED_VALUE"""),4.47464797988E11)</f>
        <v>447464797988</v>
      </c>
      <c r="E253" s="65" t="str">
        <f>IFERROR(__xludf.DUMMYFUNCTION("""COMPUTED_VALUE"""),"Alexander Anderson")</f>
        <v>Alexander Anderson</v>
      </c>
      <c r="F253" s="65"/>
      <c r="G253" s="65" t="str">
        <f>IFERROR(__xludf.DUMMYFUNCTION("""COMPUTED_VALUE"""),"6157 Waterman Blvd Apt 3W")</f>
        <v>6157 Waterman Blvd Apt 3W</v>
      </c>
      <c r="H253" s="65" t="str">
        <f>IFERROR(__xludf.DUMMYFUNCTION("""COMPUTED_VALUE"""),"Storage Item Return")</f>
        <v>Storage Item Return</v>
      </c>
      <c r="I253" s="65" t="str">
        <f>IFERROR(__xludf.DUMMYFUNCTION("""COMPUTED_VALUE"""),"Non-University Housing ")</f>
        <v>Non-University Housing </v>
      </c>
      <c r="J253" s="108" t="str">
        <f>IFERROR(__xludf.DUMMYFUNCTION("""COMPUTED_VALUE"""),"11:00 AM to 01:00 PM   ")</f>
        <v>11:00 AM to 01:00 PM   </v>
      </c>
      <c r="K253" s="108">
        <f>IFERROR(__xludf.DUMMYFUNCTION("""COMPUTED_VALUE"""),45894.0)</f>
        <v>45894</v>
      </c>
      <c r="L253" s="65"/>
      <c r="M253" s="65"/>
      <c r="N253" s="65" t="str">
        <f>IFERROR(__xludf.DUMMYFUNCTION("""COMPUTED_VALUE"""),"6157 Waterman Blvd Apt 3W")</f>
        <v>6157 Waterman Blvd Apt 3W</v>
      </c>
      <c r="O253" s="65"/>
      <c r="P253" s="65" t="b">
        <f>COUNTIF('Delivered SIR'!A:A, E253) &gt; 0</f>
        <v>0</v>
      </c>
    </row>
    <row r="254">
      <c r="A254" s="99" t="str">
        <f>IFERROR(__xludf.DUMMYFUNCTION("""COMPUTED_VALUE"""),"https://utrucking.com/admin/orders/5917847158972")</f>
        <v>https://utrucking.com/admin/orders/5917847158972</v>
      </c>
      <c r="B254" s="61" t="str">
        <f>IFERROR(__xludf.DUMMYFUNCTION("""COMPUTED_VALUE"""),"#15769")</f>
        <v>#15769</v>
      </c>
      <c r="C254" s="61" t="str">
        <f>IFERROR(__xludf.DUMMYFUNCTION("""COMPUTED_VALUE"""),"jennrb01@gmail.com")</f>
        <v>jennrb01@gmail.com</v>
      </c>
      <c r="D254" s="61">
        <f>IFERROR(__xludf.DUMMYFUNCTION("""COMPUTED_VALUE"""),1.2039162049E10)</f>
        <v>12039162049</v>
      </c>
      <c r="E254" s="61" t="str">
        <f>IFERROR(__xludf.DUMMYFUNCTION("""COMPUTED_VALUE"""),"Jenna Bartlett")</f>
        <v>Jenna Bartlett</v>
      </c>
      <c r="F254" s="61"/>
      <c r="G254" s="61"/>
      <c r="H254" s="61" t="str">
        <f>IFERROR(__xludf.DUMMYFUNCTION("""COMPUTED_VALUE"""),"Storage Item Return")</f>
        <v>Storage Item Return</v>
      </c>
      <c r="I254" s="61" t="str">
        <f>IFERROR(__xludf.DUMMYFUNCTION("""COMPUTED_VALUE"""),"University Housing ")</f>
        <v>University Housing </v>
      </c>
      <c r="J254" s="107" t="str">
        <f>IFERROR(__xludf.DUMMYFUNCTION("""COMPUTED_VALUE"""),"09:00 AM to 11:00 AM   ")</f>
        <v>09:00 AM to 11:00 AM   </v>
      </c>
      <c r="K254" s="107">
        <f>IFERROR(__xludf.DUMMYFUNCTION("""COMPUTED_VALUE"""),45891.0)</f>
        <v>45891</v>
      </c>
      <c r="L254" s="61" t="str">
        <f>IFERROR(__xludf.DUMMYFUNCTION("""COMPUTED_VALUE"""),"Gregg  ")</f>
        <v>Gregg  </v>
      </c>
      <c r="M254" s="61" t="str">
        <f>IFERROR(__xludf.DUMMYFUNCTION("""COMPUTED_VALUE"""),"3132-a")</f>
        <v>3132-a</v>
      </c>
      <c r="N254" s="61"/>
      <c r="O254" s="61"/>
      <c r="P254" s="61" t="b">
        <f>COUNTIF('Delivered SIR'!A:A, E254) &gt; 0</f>
        <v>1</v>
      </c>
    </row>
    <row r="255">
      <c r="A255" s="102" t="str">
        <f>IFERROR(__xludf.DUMMYFUNCTION("""COMPUTED_VALUE"""),"https://utrucking.com/admin/orders/5917923442876")</f>
        <v>https://utrucking.com/admin/orders/5917923442876</v>
      </c>
      <c r="B255" s="65" t="str">
        <f>IFERROR(__xludf.DUMMYFUNCTION("""COMPUTED_VALUE"""),"#15771")</f>
        <v>#15771</v>
      </c>
      <c r="C255" s="65" t="str">
        <f>IFERROR(__xludf.DUMMYFUNCTION("""COMPUTED_VALUE"""),"p.tamia@wustl.edu")</f>
        <v>p.tamia@wustl.edu</v>
      </c>
      <c r="D255" s="65">
        <f>IFERROR(__xludf.DUMMYFUNCTION("""COMPUTED_VALUE"""),8.439062372E9)</f>
        <v>8439062372</v>
      </c>
      <c r="E255" s="65" t="str">
        <f>IFERROR(__xludf.DUMMYFUNCTION("""COMPUTED_VALUE"""),"Tremain Prioleau")</f>
        <v>Tremain Prioleau</v>
      </c>
      <c r="F255" s="65"/>
      <c r="G255" s="65"/>
      <c r="H255" s="65" t="str">
        <f>IFERROR(__xludf.DUMMYFUNCTION("""COMPUTED_VALUE"""),"Storage Item Return")</f>
        <v>Storage Item Return</v>
      </c>
      <c r="I255" s="65" t="str">
        <f>IFERROR(__xludf.DUMMYFUNCTION("""COMPUTED_VALUE"""),"University Housing ")</f>
        <v>University Housing </v>
      </c>
      <c r="J255" s="108" t="str">
        <f>IFERROR(__xludf.DUMMYFUNCTION("""COMPUTED_VALUE"""),"09:00 AM to 11:00 AM   ")</f>
        <v>09:00 AM to 11:00 AM   </v>
      </c>
      <c r="K255" s="108">
        <f>IFERROR(__xludf.DUMMYFUNCTION("""COMPUTED_VALUE"""),45876.0)</f>
        <v>45876</v>
      </c>
      <c r="L255" s="65" t="str">
        <f>IFERROR(__xludf.DUMMYFUNCTION("""COMPUTED_VALUE"""),"Liggett  ")</f>
        <v>Liggett  </v>
      </c>
      <c r="M255" s="65" t="str">
        <f>IFERROR(__xludf.DUMMYFUNCTION("""COMPUTED_VALUE"""),"3422-a")</f>
        <v>3422-a</v>
      </c>
      <c r="N255" s="65"/>
      <c r="O255" s="65"/>
      <c r="P255" s="65" t="b">
        <f>COUNTIF('Delivered SIR'!A:A, E255) &gt; 0</f>
        <v>0</v>
      </c>
    </row>
    <row r="256">
      <c r="A256" s="99" t="str">
        <f>IFERROR(__xludf.DUMMYFUNCTION("""COMPUTED_VALUE"""),"https://utrucking.com/admin/orders/5917935337660")</f>
        <v>https://utrucking.com/admin/orders/5917935337660</v>
      </c>
      <c r="B256" s="61" t="str">
        <f>IFERROR(__xludf.DUMMYFUNCTION("""COMPUTED_VALUE"""),"#15772")</f>
        <v>#15772</v>
      </c>
      <c r="C256" s="61" t="str">
        <f>IFERROR(__xludf.DUMMYFUNCTION("""COMPUTED_VALUE"""),"kevinkan2015@gmail.com")</f>
        <v>kevinkan2015@gmail.com</v>
      </c>
      <c r="D256" s="61">
        <f>IFERROR(__xludf.DUMMYFUNCTION("""COMPUTED_VALUE"""),8.582096759E9)</f>
        <v>8582096759</v>
      </c>
      <c r="E256" s="61" t="str">
        <f>IFERROR(__xludf.DUMMYFUNCTION("""COMPUTED_VALUE"""),"Kevin Kan")</f>
        <v>Kevin Kan</v>
      </c>
      <c r="F256" s="61"/>
      <c r="G256" s="61"/>
      <c r="H256" s="61" t="str">
        <f>IFERROR(__xludf.DUMMYFUNCTION("""COMPUTED_VALUE"""),"Storage Item Return")</f>
        <v>Storage Item Return</v>
      </c>
      <c r="I256" s="61" t="str">
        <f>IFERROR(__xludf.DUMMYFUNCTION("""COMPUTED_VALUE"""),"University Housing ")</f>
        <v>University Housing </v>
      </c>
      <c r="J256" s="107" t="str">
        <f>IFERROR(__xludf.DUMMYFUNCTION("""COMPUTED_VALUE"""),"10:00 AM to 12:00 PM   ")</f>
        <v>10:00 AM to 12:00 PM   </v>
      </c>
      <c r="K256" s="107">
        <f>IFERROR(__xludf.DUMMYFUNCTION("""COMPUTED_VALUE"""),45888.0)</f>
        <v>45888</v>
      </c>
      <c r="L256" s="61" t="str">
        <f>IFERROR(__xludf.DUMMYFUNCTION("""COMPUTED_VALUE"""),"Loop Loft 6200  ")</f>
        <v>Loop Loft 6200  </v>
      </c>
      <c r="M256" s="61" t="str">
        <f>IFERROR(__xludf.DUMMYFUNCTION("""COMPUTED_VALUE"""),"406C")</f>
        <v>406C</v>
      </c>
      <c r="N256" s="61"/>
      <c r="O256" s="61"/>
      <c r="P256" s="61" t="b">
        <f>COUNTIF('Delivered SIR'!A:A, E256) &gt; 0</f>
        <v>1</v>
      </c>
    </row>
    <row r="257">
      <c r="A257" s="102" t="str">
        <f>IFERROR(__xludf.DUMMYFUNCTION("""COMPUTED_VALUE"""),"https://utrucking.com/admin/orders/5918308204732")</f>
        <v>https://utrucking.com/admin/orders/5918308204732</v>
      </c>
      <c r="B257" s="65" t="str">
        <f>IFERROR(__xludf.DUMMYFUNCTION("""COMPUTED_VALUE"""),"#15775")</f>
        <v>#15775</v>
      </c>
      <c r="C257" s="65"/>
      <c r="D257" s="65"/>
      <c r="E257" s="65" t="str">
        <f>IFERROR(__xludf.DUMMYFUNCTION("""COMPUTED_VALUE"""),"Delaney Das")</f>
        <v>Delaney Das</v>
      </c>
      <c r="F257" s="65"/>
      <c r="G257" s="65"/>
      <c r="H257" s="65" t="str">
        <f>IFERROR(__xludf.DUMMYFUNCTION("""COMPUTED_VALUE"""),"Storage Item Return")</f>
        <v>Storage Item Return</v>
      </c>
      <c r="I257" s="65" t="str">
        <f>IFERROR(__xludf.DUMMYFUNCTION("""COMPUTED_VALUE"""),"University Housing ")</f>
        <v>University Housing </v>
      </c>
      <c r="J257" s="108" t="str">
        <f>IFERROR(__xludf.DUMMYFUNCTION("""COMPUTED_VALUE"""),"09:00 AM to 11:00 AM   ")</f>
        <v>09:00 AM to 11:00 AM   </v>
      </c>
      <c r="K257" s="108">
        <f>IFERROR(__xludf.DUMMYFUNCTION("""COMPUTED_VALUE"""),45888.0)</f>
        <v>45888</v>
      </c>
      <c r="L257" s="65" t="str">
        <f>IFERROR(__xludf.DUMMYFUNCTION("""COMPUTED_VALUE"""),"Loop Loft 6200  ")</f>
        <v>Loop Loft 6200  </v>
      </c>
      <c r="M257" s="65" t="str">
        <f>IFERROR(__xludf.DUMMYFUNCTION("""COMPUTED_VALUE"""),"218C")</f>
        <v>218C</v>
      </c>
      <c r="N257" s="65"/>
      <c r="O257" s="65"/>
      <c r="P257" s="65" t="b">
        <f>COUNTIF('Delivered SIR'!A:A, E257) &gt; 0</f>
        <v>1</v>
      </c>
    </row>
    <row r="258">
      <c r="A258" s="99" t="str">
        <f>IFERROR(__xludf.DUMMYFUNCTION("""COMPUTED_VALUE"""),"https://utrucking.com/admin/orders/5918525653180")</f>
        <v>https://utrucking.com/admin/orders/5918525653180</v>
      </c>
      <c r="B258" s="61" t="str">
        <f>IFERROR(__xludf.DUMMYFUNCTION("""COMPUTED_VALUE"""),"#15778")</f>
        <v>#15778</v>
      </c>
      <c r="C258" s="61" t="str">
        <f>IFERROR(__xludf.DUMMYFUNCTION("""COMPUTED_VALUE"""),"l.c.wasserstein@wustl.edu")</f>
        <v>l.c.wasserstein@wustl.edu</v>
      </c>
      <c r="D258" s="61">
        <f>IFERROR(__xludf.DUMMYFUNCTION("""COMPUTED_VALUE"""),2.035651151E9)</f>
        <v>2035651151</v>
      </c>
      <c r="E258" s="61" t="str">
        <f>IFERROR(__xludf.DUMMYFUNCTION("""COMPUTED_VALUE"""),"Leah Wasserstein")</f>
        <v>Leah Wasserstein</v>
      </c>
      <c r="F258" s="61"/>
      <c r="G258" s="61"/>
      <c r="H258" s="61" t="str">
        <f>IFERROR(__xludf.DUMMYFUNCTION("""COMPUTED_VALUE"""),"Storage Item Return")</f>
        <v>Storage Item Return</v>
      </c>
      <c r="I258" s="61" t="str">
        <f>IFERROR(__xludf.DUMMYFUNCTION("""COMPUTED_VALUE"""),"University Housing ")</f>
        <v>University Housing </v>
      </c>
      <c r="J258" s="107" t="str">
        <f>IFERROR(__xludf.DUMMYFUNCTION("""COMPUTED_VALUE"""),"09:00 AM to 11:00 AM   ")</f>
        <v>09:00 AM to 11:00 AM   </v>
      </c>
      <c r="K258" s="107">
        <f>IFERROR(__xludf.DUMMYFUNCTION("""COMPUTED_VALUE"""),45889.0)</f>
        <v>45889</v>
      </c>
      <c r="L258" s="61" t="str">
        <f>IFERROR(__xludf.DUMMYFUNCTION("""COMPUTED_VALUE"""),"Mudd  ")</f>
        <v>Mudd  </v>
      </c>
      <c r="M258" s="61" t="str">
        <f>IFERROR(__xludf.DUMMYFUNCTION("""COMPUTED_VALUE"""),"373")</f>
        <v>373</v>
      </c>
      <c r="N258" s="61"/>
      <c r="O258" s="61"/>
      <c r="P258" s="61" t="b">
        <f>COUNTIF('Delivered SIR'!A:A, E258) &gt; 0</f>
        <v>1</v>
      </c>
    </row>
    <row r="259">
      <c r="A259" s="102" t="str">
        <f>IFERROR(__xludf.DUMMYFUNCTION("""COMPUTED_VALUE"""),"https://utrucking.com/admin/orders/5918668325052")</f>
        <v>https://utrucking.com/admin/orders/5918668325052</v>
      </c>
      <c r="B259" s="65" t="str">
        <f>IFERROR(__xludf.DUMMYFUNCTION("""COMPUTED_VALUE"""),"#15780")</f>
        <v>#15780</v>
      </c>
      <c r="C259" s="65" t="str">
        <f>IFERROR(__xludf.DUMMYFUNCTION("""COMPUTED_VALUE"""),"mmq771@msn.com")</f>
        <v>mmq771@msn.com</v>
      </c>
      <c r="D259" s="65">
        <f>IFERROR(__xludf.DUMMYFUNCTION("""COMPUTED_VALUE"""),1.5167815282E10)</f>
        <v>15167815282</v>
      </c>
      <c r="E259" s="65" t="str">
        <f>IFERROR(__xludf.DUMMYFUNCTION("""COMPUTED_VALUE"""),"Maritza Tuohy")</f>
        <v>Maritza Tuohy</v>
      </c>
      <c r="F259" s="65"/>
      <c r="G259" s="65"/>
      <c r="H259" s="65" t="str">
        <f>IFERROR(__xludf.DUMMYFUNCTION("""COMPUTED_VALUE"""),"Storage Item Return")</f>
        <v>Storage Item Return</v>
      </c>
      <c r="I259" s="65" t="str">
        <f>IFERROR(__xludf.DUMMYFUNCTION("""COMPUTED_VALUE"""),"University Housing ")</f>
        <v>University Housing </v>
      </c>
      <c r="J259" s="108" t="str">
        <f>IFERROR(__xludf.DUMMYFUNCTION("""COMPUTED_VALUE"""),"09:00 AM to 11:00 AM   ")</f>
        <v>09:00 AM to 11:00 AM   </v>
      </c>
      <c r="K259" s="108">
        <f>IFERROR(__xludf.DUMMYFUNCTION("""COMPUTED_VALUE"""),45875.0)</f>
        <v>45875</v>
      </c>
      <c r="L259" s="65" t="str">
        <f>IFERROR(__xludf.DUMMYFUNCTION("""COMPUTED_VALUE"""),"Gregg  ")</f>
        <v>Gregg  </v>
      </c>
      <c r="M259" s="65" t="str">
        <f>IFERROR(__xludf.DUMMYFUNCTION("""COMPUTED_VALUE"""),"2171")</f>
        <v>2171</v>
      </c>
      <c r="N259" s="65"/>
      <c r="O259" s="65"/>
      <c r="P259" s="65" t="b">
        <f>COUNTIF('Delivered SIR'!A:A, E259) &gt; 0</f>
        <v>0</v>
      </c>
    </row>
    <row r="260">
      <c r="A260" s="99" t="str">
        <f>IFERROR(__xludf.DUMMYFUNCTION("""COMPUTED_VALUE"""),"https://utrucking.com/admin/orders/5918679498940")</f>
        <v>https://utrucking.com/admin/orders/5918679498940</v>
      </c>
      <c r="B260" s="61" t="str">
        <f>IFERROR(__xludf.DUMMYFUNCTION("""COMPUTED_VALUE"""),"#15781")</f>
        <v>#15781</v>
      </c>
      <c r="C260" s="61" t="str">
        <f>IFERROR(__xludf.DUMMYFUNCTION("""COMPUTED_VALUE"""),"cargomez@sbcglobal.net")</f>
        <v>cargomez@sbcglobal.net</v>
      </c>
      <c r="D260" s="61">
        <f>IFERROR(__xludf.DUMMYFUNCTION("""COMPUTED_VALUE"""),7.133036272E9)</f>
        <v>7133036272</v>
      </c>
      <c r="E260" s="61" t="str">
        <f>IFERROR(__xludf.DUMMYFUNCTION("""COMPUTED_VALUE"""),"Carmen Gomez")</f>
        <v>Carmen Gomez</v>
      </c>
      <c r="F260" s="61"/>
      <c r="G260" s="61"/>
      <c r="H260" s="61" t="str">
        <f>IFERROR(__xludf.DUMMYFUNCTION("""COMPUTED_VALUE"""),"Storage Item Return")</f>
        <v>Storage Item Return</v>
      </c>
      <c r="I260" s="61" t="str">
        <f>IFERROR(__xludf.DUMMYFUNCTION("""COMPUTED_VALUE"""),"University Housing ")</f>
        <v>University Housing </v>
      </c>
      <c r="J260" s="107" t="str">
        <f>IFERROR(__xludf.DUMMYFUNCTION("""COMPUTED_VALUE"""),"09:00 AM to 11:00 AM   ")</f>
        <v>09:00 AM to 11:00 AM   </v>
      </c>
      <c r="K260" s="107">
        <f>IFERROR(__xludf.DUMMYFUNCTION("""COMPUTED_VALUE"""),45877.0)</f>
        <v>45877</v>
      </c>
      <c r="L260" s="61" t="str">
        <f>IFERROR(__xludf.DUMMYFUNCTION("""COMPUTED_VALUE"""),"House 22 (Beta Theta Pi)")</f>
        <v>House 22 (Beta Theta Pi)</v>
      </c>
      <c r="M260" s="61" t="str">
        <f>IFERROR(__xludf.DUMMYFUNCTION("""COMPUTED_VALUE"""),"2002")</f>
        <v>2002</v>
      </c>
      <c r="N260" s="61"/>
      <c r="O260" s="61"/>
      <c r="P260" s="61" t="b">
        <f>COUNTIF('Delivered SIR'!A:A, E260) &gt; 0</f>
        <v>0</v>
      </c>
    </row>
    <row r="261">
      <c r="A261" s="102" t="str">
        <f>IFERROR(__xludf.DUMMYFUNCTION("""COMPUTED_VALUE"""),"https://utrucking.com/admin/orders/5918707220668")</f>
        <v>https://utrucking.com/admin/orders/5918707220668</v>
      </c>
      <c r="B261" s="65" t="str">
        <f>IFERROR(__xludf.DUMMYFUNCTION("""COMPUTED_VALUE"""),"#15782")</f>
        <v>#15782</v>
      </c>
      <c r="C261" s="65" t="str">
        <f>IFERROR(__xludf.DUMMYFUNCTION("""COMPUTED_VALUE"""),"andreleger25@gmail.com")</f>
        <v>andreleger25@gmail.com</v>
      </c>
      <c r="D261" s="65">
        <f>IFERROR(__xludf.DUMMYFUNCTION("""COMPUTED_VALUE"""),5.086425956E9)</f>
        <v>5086425956</v>
      </c>
      <c r="E261" s="65" t="str">
        <f>IFERROR(__xludf.DUMMYFUNCTION("""COMPUTED_VALUE"""),"Andre Leger")</f>
        <v>Andre Leger</v>
      </c>
      <c r="F261" s="65"/>
      <c r="G261" s="65" t="str">
        <f>IFERROR(__xludf.DUMMYFUNCTION("""COMPUTED_VALUE"""),"6022 Mcpherson Ave")</f>
        <v>6022 Mcpherson Ave</v>
      </c>
      <c r="H261" s="65" t="str">
        <f>IFERROR(__xludf.DUMMYFUNCTION("""COMPUTED_VALUE"""),"Storage Item Return")</f>
        <v>Storage Item Return</v>
      </c>
      <c r="I261" s="65" t="str">
        <f>IFERROR(__xludf.DUMMYFUNCTION("""COMPUTED_VALUE"""),"Non-University Housing ")</f>
        <v>Non-University Housing </v>
      </c>
      <c r="J261" s="108" t="str">
        <f>IFERROR(__xludf.DUMMYFUNCTION("""COMPUTED_VALUE"""),"12:00 PM to 02:00 PM   ")</f>
        <v>12:00 PM to 02:00 PM   </v>
      </c>
      <c r="K261" s="108">
        <f>IFERROR(__xludf.DUMMYFUNCTION("""COMPUTED_VALUE"""),45892.0)</f>
        <v>45892</v>
      </c>
      <c r="L261" s="65"/>
      <c r="M261" s="65"/>
      <c r="N261" s="65" t="str">
        <f>IFERROR(__xludf.DUMMYFUNCTION("""COMPUTED_VALUE"""),"6022 Mcpherson Ave")</f>
        <v>6022 Mcpherson Ave</v>
      </c>
      <c r="O261" s="65"/>
      <c r="P261" s="65" t="b">
        <f>COUNTIF('Delivered SIR'!A:A, E261) &gt; 0</f>
        <v>0</v>
      </c>
    </row>
    <row r="262">
      <c r="A262" s="99" t="str">
        <f>IFERROR(__xludf.DUMMYFUNCTION("""COMPUTED_VALUE"""),"https://utrucking.com/admin/orders/5918775017660")</f>
        <v>https://utrucking.com/admin/orders/5918775017660</v>
      </c>
      <c r="B262" s="61" t="str">
        <f>IFERROR(__xludf.DUMMYFUNCTION("""COMPUTED_VALUE"""),"#15785")</f>
        <v>#15785</v>
      </c>
      <c r="C262" s="61" t="str">
        <f>IFERROR(__xludf.DUMMYFUNCTION("""COMPUTED_VALUE"""),"h.sylver@wustl.edu")</f>
        <v>h.sylver@wustl.edu</v>
      </c>
      <c r="D262" s="61">
        <f>IFERROR(__xludf.DUMMYFUNCTION("""COMPUTED_VALUE"""),2.532133537E9)</f>
        <v>2532133537</v>
      </c>
      <c r="E262" s="61" t="str">
        <f>IFERROR(__xludf.DUMMYFUNCTION("""COMPUTED_VALUE"""),"Sylver Violette Hart")</f>
        <v>Sylver Violette Hart</v>
      </c>
      <c r="F262" s="61"/>
      <c r="G262" s="61"/>
      <c r="H262" s="61" t="str">
        <f>IFERROR(__xludf.DUMMYFUNCTION("""COMPUTED_VALUE"""),"Storage Item Return")</f>
        <v>Storage Item Return</v>
      </c>
      <c r="I262" s="61" t="str">
        <f>IFERROR(__xludf.DUMMYFUNCTION("""COMPUTED_VALUE"""),"University Housing ")</f>
        <v>University Housing </v>
      </c>
      <c r="J262" s="107" t="str">
        <f>IFERROR(__xludf.DUMMYFUNCTION("""COMPUTED_VALUE"""),"12:00 PM to 02:00 PM   ")</f>
        <v>12:00 PM to 02:00 PM   </v>
      </c>
      <c r="K262" s="107">
        <f>IFERROR(__xludf.DUMMYFUNCTION("""COMPUTED_VALUE"""),45883.0)</f>
        <v>45883</v>
      </c>
      <c r="L262" s="61" t="str">
        <f>IFERROR(__xludf.DUMMYFUNCTION("""COMPUTED_VALUE"""),"Loop Loft 6255  ")</f>
        <v>Loop Loft 6255  </v>
      </c>
      <c r="M262" s="61" t="str">
        <f>IFERROR(__xludf.DUMMYFUNCTION("""COMPUTED_VALUE"""),"302A-a ")</f>
        <v>302A-a </v>
      </c>
      <c r="N262" s="61"/>
      <c r="O262" s="61"/>
      <c r="P262" s="61" t="b">
        <f>COUNTIF('Delivered SIR'!A:A, E262) &gt; 0</f>
        <v>0</v>
      </c>
    </row>
    <row r="263">
      <c r="A263" s="102" t="str">
        <f>IFERROR(__xludf.DUMMYFUNCTION("""COMPUTED_VALUE"""),"https://utrucking.com/admin/orders/5918800675004")</f>
        <v>https://utrucking.com/admin/orders/5918800675004</v>
      </c>
      <c r="B263" s="65" t="str">
        <f>IFERROR(__xludf.DUMMYFUNCTION("""COMPUTED_VALUE"""),"#15786")</f>
        <v>#15786</v>
      </c>
      <c r="C263" s="65"/>
      <c r="D263" s="65">
        <f>IFERROR(__xludf.DUMMYFUNCTION("""COMPUTED_VALUE"""),9.723330602E9)</f>
        <v>9723330602</v>
      </c>
      <c r="E263" s="65" t="str">
        <f>IFERROR(__xludf.DUMMYFUNCTION("""COMPUTED_VALUE"""),"Stacey Titens")</f>
        <v>Stacey Titens</v>
      </c>
      <c r="F263" s="65"/>
      <c r="G263" s="65"/>
      <c r="H263" s="65" t="str">
        <f>IFERROR(__xludf.DUMMYFUNCTION("""COMPUTED_VALUE"""),"Storage Item Return")</f>
        <v>Storage Item Return</v>
      </c>
      <c r="I263" s="65" t="str">
        <f>IFERROR(__xludf.DUMMYFUNCTION("""COMPUTED_VALUE"""),"University Housing ")</f>
        <v>University Housing </v>
      </c>
      <c r="J263" s="108" t="str">
        <f>IFERROR(__xludf.DUMMYFUNCTION("""COMPUTED_VALUE"""),"09:00 AM to 11:00 AM   ")</f>
        <v>09:00 AM to 11:00 AM   </v>
      </c>
      <c r="K263" s="108">
        <f>IFERROR(__xludf.DUMMYFUNCTION("""COMPUTED_VALUE"""),45891.0)</f>
        <v>45891</v>
      </c>
      <c r="L263" s="65" t="str">
        <f>IFERROR(__xludf.DUMMYFUNCTION("""COMPUTED_VALUE"""),"House 22 (Beta Theta Pi)")</f>
        <v>House 22 (Beta Theta Pi)</v>
      </c>
      <c r="M263" s="65" t="str">
        <f>IFERROR(__xludf.DUMMYFUNCTION("""COMPUTED_VALUE"""),"X")</f>
        <v>X</v>
      </c>
      <c r="N263" s="65"/>
      <c r="O263" s="65"/>
      <c r="P263" s="65" t="b">
        <f>COUNTIF('Delivered SIR'!A:A, E263) &gt; 0</f>
        <v>0</v>
      </c>
    </row>
    <row r="264">
      <c r="A264" s="99" t="str">
        <f>IFERROR(__xludf.DUMMYFUNCTION("""COMPUTED_VALUE"""),"https://utrucking.com/admin/orders/5918907564220")</f>
        <v>https://utrucking.com/admin/orders/5918907564220</v>
      </c>
      <c r="B264" s="61" t="str">
        <f>IFERROR(__xludf.DUMMYFUNCTION("""COMPUTED_VALUE"""),"#15787")</f>
        <v>#15787</v>
      </c>
      <c r="C264" s="61" t="str">
        <f>IFERROR(__xludf.DUMMYFUNCTION("""COMPUTED_VALUE"""),"tarynsager@gmail.com")</f>
        <v>tarynsager@gmail.com</v>
      </c>
      <c r="D264" s="61">
        <f>IFERROR(__xludf.DUMMYFUNCTION("""COMPUTED_VALUE"""),8.057220816E9)</f>
        <v>8057220816</v>
      </c>
      <c r="E264" s="61" t="str">
        <f>IFERROR(__xludf.DUMMYFUNCTION("""COMPUTED_VALUE"""),"Taryn Sager")</f>
        <v>Taryn Sager</v>
      </c>
      <c r="F264" s="61"/>
      <c r="G264" s="61"/>
      <c r="H264" s="61" t="str">
        <f>IFERROR(__xludf.DUMMYFUNCTION("""COMPUTED_VALUE"""),"Storage Item Return")</f>
        <v>Storage Item Return</v>
      </c>
      <c r="I264" s="61" t="str">
        <f>IFERROR(__xludf.DUMMYFUNCTION("""COMPUTED_VALUE"""),"University Housing ")</f>
        <v>University Housing </v>
      </c>
      <c r="J264" s="107" t="str">
        <f>IFERROR(__xludf.DUMMYFUNCTION("""COMPUTED_VALUE"""),"09:00 AM to 11:00 AM   ")</f>
        <v>09:00 AM to 11:00 AM   </v>
      </c>
      <c r="K264" s="107">
        <f>IFERROR(__xludf.DUMMYFUNCTION("""COMPUTED_VALUE"""),45888.0)</f>
        <v>45888</v>
      </c>
      <c r="L264" s="61" t="str">
        <f>IFERROR(__xludf.DUMMYFUNCTION("""COMPUTED_VALUE"""),"6811 University Drive")</f>
        <v>6811 University Drive</v>
      </c>
      <c r="M264" s="61" t="str">
        <f>IFERROR(__xludf.DUMMYFUNCTION("""COMPUTED_VALUE"""),"Apt 2E, Room A")</f>
        <v>Apt 2E, Room A</v>
      </c>
      <c r="N264" s="61"/>
      <c r="O264" s="61"/>
      <c r="P264" s="61" t="b">
        <f>COUNTIF('Delivered SIR'!A:A, E264) &gt; 0</f>
        <v>1</v>
      </c>
    </row>
    <row r="265">
      <c r="A265" s="102" t="str">
        <f>IFERROR(__xludf.DUMMYFUNCTION("""COMPUTED_VALUE"""),"https://utrucking.com/admin/orders/5918979522748")</f>
        <v>https://utrucking.com/admin/orders/5918979522748</v>
      </c>
      <c r="B265" s="65" t="str">
        <f>IFERROR(__xludf.DUMMYFUNCTION("""COMPUTED_VALUE"""),"#15788")</f>
        <v>#15788</v>
      </c>
      <c r="C265" s="65" t="str">
        <f>IFERROR(__xludf.DUMMYFUNCTION("""COMPUTED_VALUE"""),"a.k.mehta@wustl.edu")</f>
        <v>a.k.mehta@wustl.edu</v>
      </c>
      <c r="D265" s="65">
        <f>IFERROR(__xludf.DUMMYFUNCTION("""COMPUTED_VALUE"""),5.086546802E9)</f>
        <v>5086546802</v>
      </c>
      <c r="E265" s="65" t="str">
        <f>IFERROR(__xludf.DUMMYFUNCTION("""COMPUTED_VALUE"""),"Arya Mehta")</f>
        <v>Arya Mehta</v>
      </c>
      <c r="F265" s="65"/>
      <c r="G265" s="65"/>
      <c r="H265" s="65" t="str">
        <f>IFERROR(__xludf.DUMMYFUNCTION("""COMPUTED_VALUE"""),"Storage Item Return")</f>
        <v>Storage Item Return</v>
      </c>
      <c r="I265" s="65" t="str">
        <f>IFERROR(__xludf.DUMMYFUNCTION("""COMPUTED_VALUE"""),"University Housing ")</f>
        <v>University Housing </v>
      </c>
      <c r="J265" s="108" t="str">
        <f>IFERROR(__xludf.DUMMYFUNCTION("""COMPUTED_VALUE"""),"09:00 AM to 11:00 AM   ")</f>
        <v>09:00 AM to 11:00 AM   </v>
      </c>
      <c r="K265" s="108">
        <f>IFERROR(__xludf.DUMMYFUNCTION("""COMPUTED_VALUE"""),45889.0)</f>
        <v>45889</v>
      </c>
      <c r="L265" s="65" t="str">
        <f>IFERROR(__xludf.DUMMYFUNCTION("""COMPUTED_VALUE"""),"Gregg  ")</f>
        <v>Gregg  </v>
      </c>
      <c r="M265" s="65" t="str">
        <f>IFERROR(__xludf.DUMMYFUNCTION("""COMPUTED_VALUE"""),"3010")</f>
        <v>3010</v>
      </c>
      <c r="N265" s="65"/>
      <c r="O265" s="65"/>
      <c r="P265" s="65" t="b">
        <f>COUNTIF('Delivered SIR'!A:A, E265) &gt; 0</f>
        <v>1</v>
      </c>
    </row>
    <row r="266">
      <c r="A266" s="99" t="str">
        <f>IFERROR(__xludf.DUMMYFUNCTION("""COMPUTED_VALUE"""),"https://utrucking.com/admin/orders/5919018909884")</f>
        <v>https://utrucking.com/admin/orders/5919018909884</v>
      </c>
      <c r="B266" s="61" t="str">
        <f>IFERROR(__xludf.DUMMYFUNCTION("""COMPUTED_VALUE"""),"#15789")</f>
        <v>#15789</v>
      </c>
      <c r="C266" s="61" t="str">
        <f>IFERROR(__xludf.DUMMYFUNCTION("""COMPUTED_VALUE"""),"Kararcarundel@gmail.com")</f>
        <v>Kararcarundel@gmail.com</v>
      </c>
      <c r="D266" s="61">
        <f>IFERROR(__xludf.DUMMYFUNCTION("""COMPUTED_VALUE"""),2.022765494E9)</f>
        <v>2022765494</v>
      </c>
      <c r="E266" s="61" t="str">
        <f>IFERROR(__xludf.DUMMYFUNCTION("""COMPUTED_VALUE"""),"Kara Arundel")</f>
        <v>Kara Arundel</v>
      </c>
      <c r="F266" s="61"/>
      <c r="G266" s="61"/>
      <c r="H266" s="61" t="str">
        <f>IFERROR(__xludf.DUMMYFUNCTION("""COMPUTED_VALUE"""),"Storage Item Return")</f>
        <v>Storage Item Return</v>
      </c>
      <c r="I266" s="61" t="str">
        <f>IFERROR(__xludf.DUMMYFUNCTION("""COMPUTED_VALUE"""),"University Housing ")</f>
        <v>University Housing </v>
      </c>
      <c r="J266" s="107" t="str">
        <f>IFERROR(__xludf.DUMMYFUNCTION("""COMPUTED_VALUE"""),"09:00 AM to 11:00 AM   ")</f>
        <v>09:00 AM to 11:00 AM   </v>
      </c>
      <c r="K266" s="107">
        <f>IFERROR(__xludf.DUMMYFUNCTION("""COMPUTED_VALUE"""),45890.0)</f>
        <v>45890</v>
      </c>
      <c r="L266" s="61" t="str">
        <f>IFERROR(__xludf.DUMMYFUNCTION("""COMPUTED_VALUE"""),"Millbrook Bldg. 4  ")</f>
        <v>Millbrook Bldg. 4  </v>
      </c>
      <c r="M266" s="61" t="str">
        <f>IFERROR(__xludf.DUMMYFUNCTION("""COMPUTED_VALUE"""),"203B - a")</f>
        <v>203B - a</v>
      </c>
      <c r="N266" s="61"/>
      <c r="O266" s="61"/>
      <c r="P266" s="61" t="b">
        <f>COUNTIF('Delivered SIR'!A:A, E266) &gt; 0</f>
        <v>0</v>
      </c>
    </row>
    <row r="267">
      <c r="A267" s="102" t="str">
        <f>IFERROR(__xludf.DUMMYFUNCTION("""COMPUTED_VALUE"""),"https://utrucking.com/admin/orders/5919031820476")</f>
        <v>https://utrucking.com/admin/orders/5919031820476</v>
      </c>
      <c r="B267" s="65" t="str">
        <f>IFERROR(__xludf.DUMMYFUNCTION("""COMPUTED_VALUE"""),"#15791")</f>
        <v>#15791</v>
      </c>
      <c r="C267" s="65" t="str">
        <f>IFERROR(__xludf.DUMMYFUNCTION("""COMPUTED_VALUE"""),"Mcvey.r@wustl.org")</f>
        <v>Mcvey.r@wustl.org</v>
      </c>
      <c r="D267" s="65"/>
      <c r="E267" s="65" t="str">
        <f>IFERROR(__xludf.DUMMYFUNCTION("""COMPUTED_VALUE"""),"Reid Mcvey")</f>
        <v>Reid Mcvey</v>
      </c>
      <c r="F267" s="65"/>
      <c r="G267" s="65"/>
      <c r="H267" s="65" t="str">
        <f>IFERROR(__xludf.DUMMYFUNCTION("""COMPUTED_VALUE"""),"Storage Item Return")</f>
        <v>Storage Item Return</v>
      </c>
      <c r="I267" s="65" t="str">
        <f>IFERROR(__xludf.DUMMYFUNCTION("""COMPUTED_VALUE"""),"University Housing ")</f>
        <v>University Housing </v>
      </c>
      <c r="J267" s="108" t="str">
        <f>IFERROR(__xludf.DUMMYFUNCTION("""COMPUTED_VALUE"""),"09:00 AM to 11:00 AM   ")</f>
        <v>09:00 AM to 11:00 AM   </v>
      </c>
      <c r="K267" s="108">
        <f>IFERROR(__xludf.DUMMYFUNCTION("""COMPUTED_VALUE"""),45890.0)</f>
        <v>45890</v>
      </c>
      <c r="L267" s="65" t="str">
        <f>IFERROR(__xludf.DUMMYFUNCTION("""COMPUTED_VALUE"""),"Zetcher  ")</f>
        <v>Zetcher  </v>
      </c>
      <c r="M267" s="65" t="str">
        <f>IFERROR(__xludf.DUMMYFUNCTION("""COMPUTED_VALUE"""),"2163")</f>
        <v>2163</v>
      </c>
      <c r="N267" s="65"/>
      <c r="O267" s="65"/>
      <c r="P267" s="65" t="b">
        <f>COUNTIF('Delivered SIR'!A:A, E267) &gt; 0</f>
        <v>1</v>
      </c>
    </row>
    <row r="268">
      <c r="A268" s="99" t="str">
        <f>IFERROR(__xludf.DUMMYFUNCTION("""COMPUTED_VALUE"""),"https://utrucking.com/admin/orders/5919171346620")</f>
        <v>https://utrucking.com/admin/orders/5919171346620</v>
      </c>
      <c r="B268" s="61" t="str">
        <f>IFERROR(__xludf.DUMMYFUNCTION("""COMPUTED_VALUE"""),"#15792")</f>
        <v>#15792</v>
      </c>
      <c r="C268" s="61" t="str">
        <f>IFERROR(__xludf.DUMMYFUNCTION("""COMPUTED_VALUE"""),"k.youboalan@gmail.com")</f>
        <v>k.youboalan@gmail.com</v>
      </c>
      <c r="D268" s="61">
        <f>IFERROR(__xludf.DUMMYFUNCTION("""COMPUTED_VALUE"""),1.3146857851E10)</f>
        <v>13146857851</v>
      </c>
      <c r="E268" s="61" t="str">
        <f>IFERROR(__xludf.DUMMYFUNCTION("""COMPUTED_VALUE"""),"Alan Kong")</f>
        <v>Alan Kong</v>
      </c>
      <c r="F268" s="61"/>
      <c r="G268" s="61"/>
      <c r="H268" s="61" t="str">
        <f>IFERROR(__xludf.DUMMYFUNCTION("""COMPUTED_VALUE"""),"Storage Item Return")</f>
        <v>Storage Item Return</v>
      </c>
      <c r="I268" s="61" t="str">
        <f>IFERROR(__xludf.DUMMYFUNCTION("""COMPUTED_VALUE"""),"University Housing ")</f>
        <v>University Housing </v>
      </c>
      <c r="J268" s="107" t="str">
        <f>IFERROR(__xludf.DUMMYFUNCTION("""COMPUTED_VALUE"""),"09:00 AM to 11:00 AM   ")</f>
        <v>09:00 AM to 11:00 AM   </v>
      </c>
      <c r="K268" s="107">
        <f>IFERROR(__xludf.DUMMYFUNCTION("""COMPUTED_VALUE"""),45890.0)</f>
        <v>45890</v>
      </c>
      <c r="L268" s="61" t="str">
        <f>IFERROR(__xludf.DUMMYFUNCTION("""COMPUTED_VALUE"""),"Zetcher  ")</f>
        <v>Zetcher  </v>
      </c>
      <c r="M268" s="61" t="str">
        <f>IFERROR(__xludf.DUMMYFUNCTION("""COMPUTED_VALUE"""),"4104-a")</f>
        <v>4104-a</v>
      </c>
      <c r="N268" s="61"/>
      <c r="O268" s="61"/>
      <c r="P268" s="61" t="b">
        <f>COUNTIF('Delivered SIR'!A:A, E268) &gt; 0</f>
        <v>1</v>
      </c>
    </row>
    <row r="269">
      <c r="A269" s="102" t="str">
        <f>IFERROR(__xludf.DUMMYFUNCTION("""COMPUTED_VALUE"""),"https://utrucking.com/admin/orders/5919285477564")</f>
        <v>https://utrucking.com/admin/orders/5919285477564</v>
      </c>
      <c r="B269" s="65" t="str">
        <f>IFERROR(__xludf.DUMMYFUNCTION("""COMPUTED_VALUE"""),"#15793")</f>
        <v>#15793</v>
      </c>
      <c r="C269" s="65" t="str">
        <f>IFERROR(__xludf.DUMMYFUNCTION("""COMPUTED_VALUE"""),"danacohn8@gmail.com")</f>
        <v>danacohn8@gmail.com</v>
      </c>
      <c r="D269" s="65">
        <f>IFERROR(__xludf.DUMMYFUNCTION("""COMPUTED_VALUE"""),4.042710909E9)</f>
        <v>4042710909</v>
      </c>
      <c r="E269" s="65" t="str">
        <f>IFERROR(__xludf.DUMMYFUNCTION("""COMPUTED_VALUE"""),"Amanda Cohn")</f>
        <v>Amanda Cohn</v>
      </c>
      <c r="F269" s="65"/>
      <c r="G269" s="65"/>
      <c r="H269" s="65" t="str">
        <f>IFERROR(__xludf.DUMMYFUNCTION("""COMPUTED_VALUE"""),"Storage Item Return")</f>
        <v>Storage Item Return</v>
      </c>
      <c r="I269" s="65" t="str">
        <f>IFERROR(__xludf.DUMMYFUNCTION("""COMPUTED_VALUE"""),"University Housing ")</f>
        <v>University Housing </v>
      </c>
      <c r="J269" s="108" t="str">
        <f>IFERROR(__xludf.DUMMYFUNCTION("""COMPUTED_VALUE"""),"09:00 AM to 11:00 AM   ")</f>
        <v>09:00 AM to 11:00 AM   </v>
      </c>
      <c r="K269" s="108">
        <f>IFERROR(__xludf.DUMMYFUNCTION("""COMPUTED_VALUE"""),45890.0)</f>
        <v>45890</v>
      </c>
      <c r="L269" s="65" t="str">
        <f>IFERROR(__xludf.DUMMYFUNCTION("""COMPUTED_VALUE"""),"DON'T KNOW YET (put 'XXX' for room #)")</f>
        <v>DON'T KNOW YET (put 'XXX' for room #)</v>
      </c>
      <c r="M269" s="65" t="str">
        <f>IFERROR(__xludf.DUMMYFUNCTION("""COMPUTED_VALUE"""),"Lopata Hall 3021-a ")</f>
        <v>Lopata Hall 3021-a </v>
      </c>
      <c r="N269" s="65"/>
      <c r="O269" s="65"/>
      <c r="P269" s="65" t="b">
        <f>COUNTIF('Delivered SIR'!A:A, E269) &gt; 0</f>
        <v>0</v>
      </c>
    </row>
    <row r="270">
      <c r="A270" s="99" t="str">
        <f>IFERROR(__xludf.DUMMYFUNCTION("""COMPUTED_VALUE"""),"https://utrucking.com/admin/orders/5919325487292")</f>
        <v>https://utrucking.com/admin/orders/5919325487292</v>
      </c>
      <c r="B270" s="61" t="str">
        <f>IFERROR(__xludf.DUMMYFUNCTION("""COMPUTED_VALUE"""),"#15795")</f>
        <v>#15795</v>
      </c>
      <c r="C270" s="61" t="str">
        <f>IFERROR(__xludf.DUMMYFUNCTION("""COMPUTED_VALUE"""),"guthrie.s@wustl.edu")</f>
        <v>guthrie.s@wustl.edu</v>
      </c>
      <c r="D270" s="61">
        <f>IFERROR(__xludf.DUMMYFUNCTION("""COMPUTED_VALUE"""),7.035773662E9)</f>
        <v>7035773662</v>
      </c>
      <c r="E270" s="61" t="str">
        <f>IFERROR(__xludf.DUMMYFUNCTION("""COMPUTED_VALUE"""),"Sydney Guthrie")</f>
        <v>Sydney Guthrie</v>
      </c>
      <c r="F270" s="61"/>
      <c r="G270" s="61"/>
      <c r="H270" s="61" t="str">
        <f>IFERROR(__xludf.DUMMYFUNCTION("""COMPUTED_VALUE"""),"Storage Item Return")</f>
        <v>Storage Item Return</v>
      </c>
      <c r="I270" s="61" t="str">
        <f>IFERROR(__xludf.DUMMYFUNCTION("""COMPUTED_VALUE"""),"University Housing ")</f>
        <v>University Housing </v>
      </c>
      <c r="J270" s="107" t="str">
        <f>IFERROR(__xludf.DUMMYFUNCTION("""COMPUTED_VALUE"""),"09:00 AM to 11:00 AM   ")</f>
        <v>09:00 AM to 11:00 AM   </v>
      </c>
      <c r="K270" s="107">
        <f>IFERROR(__xludf.DUMMYFUNCTION("""COMPUTED_VALUE"""),45890.0)</f>
        <v>45890</v>
      </c>
      <c r="L270" s="61" t="str">
        <f>IFERROR(__xludf.DUMMYFUNCTION("""COMPUTED_VALUE"""),"Nemerov  ")</f>
        <v>Nemerov  </v>
      </c>
      <c r="M270" s="61" t="str">
        <f>IFERROR(__xludf.DUMMYFUNCTION("""COMPUTED_VALUE"""),"3021")</f>
        <v>3021</v>
      </c>
      <c r="N270" s="61"/>
      <c r="O270" s="61"/>
      <c r="P270" s="61" t="b">
        <f>COUNTIF('Delivered SIR'!A:A, E270) &gt; 0</f>
        <v>1</v>
      </c>
    </row>
    <row r="271">
      <c r="A271" s="102" t="str">
        <f>IFERROR(__xludf.DUMMYFUNCTION("""COMPUTED_VALUE"""),"https://utrucking.com/admin/orders/5919400132796")</f>
        <v>https://utrucking.com/admin/orders/5919400132796</v>
      </c>
      <c r="B271" s="65" t="str">
        <f>IFERROR(__xludf.DUMMYFUNCTION("""COMPUTED_VALUE"""),"#15798")</f>
        <v>#15798</v>
      </c>
      <c r="C271" s="65" t="str">
        <f>IFERROR(__xludf.DUMMYFUNCTION("""COMPUTED_VALUE"""),"a.l.tafesse@wustl.edu")</f>
        <v>a.l.tafesse@wustl.edu</v>
      </c>
      <c r="D271" s="65">
        <f>IFERROR(__xludf.DUMMYFUNCTION("""COMPUTED_VALUE"""),2.024899021E9)</f>
        <v>2024899021</v>
      </c>
      <c r="E271" s="65" t="str">
        <f>IFERROR(__xludf.DUMMYFUNCTION("""COMPUTED_VALUE"""),"Andre Morgan")</f>
        <v>Andre Morgan</v>
      </c>
      <c r="F271" s="65"/>
      <c r="G271" s="65"/>
      <c r="H271" s="65" t="str">
        <f>IFERROR(__xludf.DUMMYFUNCTION("""COMPUTED_VALUE"""),"Storage Item Return")</f>
        <v>Storage Item Return</v>
      </c>
      <c r="I271" s="65" t="str">
        <f>IFERROR(__xludf.DUMMYFUNCTION("""COMPUTED_VALUE"""),"University Housing ")</f>
        <v>University Housing </v>
      </c>
      <c r="J271" s="108" t="str">
        <f>IFERROR(__xludf.DUMMYFUNCTION("""COMPUTED_VALUE"""),"09:00 AM to 11:00 AM   ")</f>
        <v>09:00 AM to 11:00 AM   </v>
      </c>
      <c r="K271" s="108">
        <f>IFERROR(__xludf.DUMMYFUNCTION("""COMPUTED_VALUE"""),45889.0)</f>
        <v>45889</v>
      </c>
      <c r="L271" s="65" t="str">
        <f>IFERROR(__xludf.DUMMYFUNCTION("""COMPUTED_VALUE"""),"Mudd  ")</f>
        <v>Mudd  </v>
      </c>
      <c r="M271" s="65" t="str">
        <f>IFERROR(__xludf.DUMMYFUNCTION("""COMPUTED_VALUE"""),"222-a")</f>
        <v>222-a</v>
      </c>
      <c r="N271" s="65"/>
      <c r="O271" s="65"/>
      <c r="P271" s="65" t="b">
        <f>COUNTIF('Delivered SIR'!A:A, E271) &gt; 0</f>
        <v>0</v>
      </c>
    </row>
    <row r="272">
      <c r="A272" s="99" t="str">
        <f>IFERROR(__xludf.DUMMYFUNCTION("""COMPUTED_VALUE"""),"https://utrucking.com/admin/orders/5919444533436")</f>
        <v>https://utrucking.com/admin/orders/5919444533436</v>
      </c>
      <c r="B272" s="61" t="str">
        <f>IFERROR(__xludf.DUMMYFUNCTION("""COMPUTED_VALUE"""),"#15799")</f>
        <v>#15799</v>
      </c>
      <c r="C272" s="61" t="str">
        <f>IFERROR(__xludf.DUMMYFUNCTION("""COMPUTED_VALUE"""),"amy_b_ross@hotmail.com")</f>
        <v>amy_b_ross@hotmail.com</v>
      </c>
      <c r="D272" s="61">
        <f>IFERROR(__xludf.DUMMYFUNCTION("""COMPUTED_VALUE"""),5.083410848E9)</f>
        <v>5083410848</v>
      </c>
      <c r="E272" s="61" t="str">
        <f>IFERROR(__xludf.DUMMYFUNCTION("""COMPUTED_VALUE"""),"Amy Ross")</f>
        <v>Amy Ross</v>
      </c>
      <c r="F272" s="61"/>
      <c r="G272" s="61"/>
      <c r="H272" s="61" t="str">
        <f>IFERROR(__xludf.DUMMYFUNCTION("""COMPUTED_VALUE"""),"Storage Item Return")</f>
        <v>Storage Item Return</v>
      </c>
      <c r="I272" s="61" t="str">
        <f>IFERROR(__xludf.DUMMYFUNCTION("""COMPUTED_VALUE"""),"University Housing ")</f>
        <v>University Housing </v>
      </c>
      <c r="J272" s="107" t="str">
        <f>IFERROR(__xludf.DUMMYFUNCTION("""COMPUTED_VALUE"""),"09:00 AM to 11:00 AM   ")</f>
        <v>09:00 AM to 11:00 AM   </v>
      </c>
      <c r="K272" s="107">
        <f>IFERROR(__xludf.DUMMYFUNCTION("""COMPUTED_VALUE"""),45888.0)</f>
        <v>45888</v>
      </c>
      <c r="L272" s="61" t="str">
        <f>IFERROR(__xludf.DUMMYFUNCTION("""COMPUTED_VALUE"""),"House 4 (Theta Xi)  ")</f>
        <v>House 4 (Theta Xi)  </v>
      </c>
      <c r="M272" s="61" t="str">
        <f>IFERROR(__xludf.DUMMYFUNCTION("""COMPUTED_VALUE"""),"306")</f>
        <v>306</v>
      </c>
      <c r="N272" s="61"/>
      <c r="O272" s="61"/>
      <c r="P272" s="61" t="b">
        <f>COUNTIF('Delivered SIR'!A:A, E272) &gt; 0</f>
        <v>0</v>
      </c>
    </row>
    <row r="273">
      <c r="A273" s="102" t="str">
        <f>IFERROR(__xludf.DUMMYFUNCTION("""COMPUTED_VALUE"""),"https://utrucking.com/admin/orders/5919521308860")</f>
        <v>https://utrucking.com/admin/orders/5919521308860</v>
      </c>
      <c r="B273" s="65" t="str">
        <f>IFERROR(__xludf.DUMMYFUNCTION("""COMPUTED_VALUE"""),"#15801")</f>
        <v>#15801</v>
      </c>
      <c r="C273" s="65" t="str">
        <f>IFERROR(__xludf.DUMMYFUNCTION("""COMPUTED_VALUE"""),"f.sylvia@wustl.edu")</f>
        <v>f.sylvia@wustl.edu</v>
      </c>
      <c r="D273" s="65">
        <f>IFERROR(__xludf.DUMMYFUNCTION("""COMPUTED_VALUE"""),3.128341503E9)</f>
        <v>3128341503</v>
      </c>
      <c r="E273" s="65" t="str">
        <f>IFERROR(__xludf.DUMMYFUNCTION("""COMPUTED_VALUE"""),"Sylvia Foster-Rice")</f>
        <v>Sylvia Foster-Rice</v>
      </c>
      <c r="F273" s="65"/>
      <c r="G273" s="65"/>
      <c r="H273" s="65" t="str">
        <f>IFERROR(__xludf.DUMMYFUNCTION("""COMPUTED_VALUE"""),"Storage Item Return")</f>
        <v>Storage Item Return</v>
      </c>
      <c r="I273" s="65" t="str">
        <f>IFERROR(__xludf.DUMMYFUNCTION("""COMPUTED_VALUE"""),"University Housing ")</f>
        <v>University Housing </v>
      </c>
      <c r="J273" s="108" t="str">
        <f>IFERROR(__xludf.DUMMYFUNCTION("""COMPUTED_VALUE"""),"09:00 AM to 11:00 AM   ")</f>
        <v>09:00 AM to 11:00 AM   </v>
      </c>
      <c r="K273" s="108">
        <f>IFERROR(__xludf.DUMMYFUNCTION("""COMPUTED_VALUE"""),45882.0)</f>
        <v>45882</v>
      </c>
      <c r="L273" s="65" t="str">
        <f>IFERROR(__xludf.DUMMYFUNCTION("""COMPUTED_VALUE"""),"Mudd  ")</f>
        <v>Mudd  </v>
      </c>
      <c r="M273" s="65" t="str">
        <f>IFERROR(__xludf.DUMMYFUNCTION("""COMPUTED_VALUE"""),"223 ")</f>
        <v>223 </v>
      </c>
      <c r="N273" s="65"/>
      <c r="O273" s="65"/>
      <c r="P273" s="65" t="b">
        <f>COUNTIF('Delivered SIR'!A:A, E273) &gt; 0</f>
        <v>1</v>
      </c>
    </row>
    <row r="274">
      <c r="A274" s="99" t="str">
        <f>IFERROR(__xludf.DUMMYFUNCTION("""COMPUTED_VALUE"""),"https://utrucking.com/admin/orders/5919623676092")</f>
        <v>https://utrucking.com/admin/orders/5919623676092</v>
      </c>
      <c r="B274" s="61" t="str">
        <f>IFERROR(__xludf.DUMMYFUNCTION("""COMPUTED_VALUE"""),"#15802")</f>
        <v>#15802</v>
      </c>
      <c r="C274" s="61" t="str">
        <f>IFERROR(__xludf.DUMMYFUNCTION("""COMPUTED_VALUE"""),"laceyshin12@gmail.com")</f>
        <v>laceyshin12@gmail.com</v>
      </c>
      <c r="D274" s="61">
        <f>IFERROR(__xludf.DUMMYFUNCTION("""COMPUTED_VALUE"""),2.019160999E9)</f>
        <v>2019160999</v>
      </c>
      <c r="E274" s="61" t="str">
        <f>IFERROR(__xludf.DUMMYFUNCTION("""COMPUTED_VALUE"""),"Kyunga Shin")</f>
        <v>Kyunga Shin</v>
      </c>
      <c r="F274" s="61"/>
      <c r="G274" s="61"/>
      <c r="H274" s="61" t="str">
        <f>IFERROR(__xludf.DUMMYFUNCTION("""COMPUTED_VALUE"""),"Storage Item Return")</f>
        <v>Storage Item Return</v>
      </c>
      <c r="I274" s="61" t="str">
        <f>IFERROR(__xludf.DUMMYFUNCTION("""COMPUTED_VALUE"""),"University Housing ")</f>
        <v>University Housing </v>
      </c>
      <c r="J274" s="107" t="str">
        <f>IFERROR(__xludf.DUMMYFUNCTION("""COMPUTED_VALUE"""),"11:00 AM to 01:00 PM   ")</f>
        <v>11:00 AM to 01:00 PM   </v>
      </c>
      <c r="K274" s="107">
        <f>IFERROR(__xludf.DUMMYFUNCTION("""COMPUTED_VALUE"""),45889.0)</f>
        <v>45889</v>
      </c>
      <c r="L274" s="61" t="str">
        <f>IFERROR(__xludf.DUMMYFUNCTION("""COMPUTED_VALUE"""),"Millbrook Bldg. 1  ")</f>
        <v>Millbrook Bldg. 1  </v>
      </c>
      <c r="M274" s="61" t="str">
        <f>IFERROR(__xludf.DUMMYFUNCTION("""COMPUTED_VALUE"""),"203")</f>
        <v>203</v>
      </c>
      <c r="N274" s="61"/>
      <c r="O274" s="61"/>
      <c r="P274" s="61" t="b">
        <f>COUNTIF('Delivered SIR'!A:A, E274) &gt; 0</f>
        <v>1</v>
      </c>
    </row>
    <row r="275">
      <c r="A275" s="102" t="str">
        <f>IFERROR(__xludf.DUMMYFUNCTION("""COMPUTED_VALUE"""),"https://utrucking.com/admin/orders/5919686623420")</f>
        <v>https://utrucking.com/admin/orders/5919686623420</v>
      </c>
      <c r="B275" s="65" t="str">
        <f>IFERROR(__xludf.DUMMYFUNCTION("""COMPUTED_VALUE"""),"#15807")</f>
        <v>#15807</v>
      </c>
      <c r="C275" s="65" t="str">
        <f>IFERROR(__xludf.DUMMYFUNCTION("""COMPUTED_VALUE"""),"jbelcolore2@icloud.com")</f>
        <v>jbelcolore2@icloud.com</v>
      </c>
      <c r="D275" s="65">
        <f>IFERROR(__xludf.DUMMYFUNCTION("""COMPUTED_VALUE"""),9.144741857E9)</f>
        <v>9144741857</v>
      </c>
      <c r="E275" s="65" t="str">
        <f>IFERROR(__xludf.DUMMYFUNCTION("""COMPUTED_VALUE"""),"Jennifer Belcolore-Arguello")</f>
        <v>Jennifer Belcolore-Arguello</v>
      </c>
      <c r="F275" s="65"/>
      <c r="G275" s="65"/>
      <c r="H275" s="65" t="str">
        <f>IFERROR(__xludf.DUMMYFUNCTION("""COMPUTED_VALUE"""),"Storage Item Return")</f>
        <v>Storage Item Return</v>
      </c>
      <c r="I275" s="65" t="str">
        <f>IFERROR(__xludf.DUMMYFUNCTION("""COMPUTED_VALUE"""),"University Housing ")</f>
        <v>University Housing </v>
      </c>
      <c r="J275" s="108" t="str">
        <f>IFERROR(__xludf.DUMMYFUNCTION("""COMPUTED_VALUE"""),"09:00 AM to 11:00 AM   ")</f>
        <v>09:00 AM to 11:00 AM   </v>
      </c>
      <c r="K275" s="108">
        <f>IFERROR(__xludf.DUMMYFUNCTION("""COMPUTED_VALUE"""),45880.0)</f>
        <v>45880</v>
      </c>
      <c r="L275" s="65" t="str">
        <f>IFERROR(__xludf.DUMMYFUNCTION("""COMPUTED_VALUE"""),"Greenway Apartments  ")</f>
        <v>Greenway Apartments  </v>
      </c>
      <c r="M275" s="65" t="str">
        <f>IFERROR(__xludf.DUMMYFUNCTION("""COMPUTED_VALUE"""),"118A")</f>
        <v>118A</v>
      </c>
      <c r="N275" s="65"/>
      <c r="O275" s="65"/>
      <c r="P275" s="65" t="b">
        <f>COUNTIF('Delivered SIR'!A:A, E275) &gt; 0</f>
        <v>0</v>
      </c>
    </row>
    <row r="276">
      <c r="A276" s="99" t="str">
        <f>IFERROR(__xludf.DUMMYFUNCTION("""COMPUTED_VALUE"""),"https://utrucking.com/admin/orders/5919813697724")</f>
        <v>https://utrucking.com/admin/orders/5919813697724</v>
      </c>
      <c r="B276" s="61" t="str">
        <f>IFERROR(__xludf.DUMMYFUNCTION("""COMPUTED_VALUE"""),"#15812")</f>
        <v>#15812</v>
      </c>
      <c r="C276" s="61" t="str">
        <f>IFERROR(__xludf.DUMMYFUNCTION("""COMPUTED_VALUE"""),"s.e.weiss@wustl.edu")</f>
        <v>s.e.weiss@wustl.edu</v>
      </c>
      <c r="D276" s="61">
        <f>IFERROR(__xludf.DUMMYFUNCTION("""COMPUTED_VALUE"""),8.183243669E9)</f>
        <v>8183243669</v>
      </c>
      <c r="E276" s="61" t="str">
        <f>IFERROR(__xludf.DUMMYFUNCTION("""COMPUTED_VALUE"""),"Sophie Weiss")</f>
        <v>Sophie Weiss</v>
      </c>
      <c r="F276" s="61"/>
      <c r="G276" s="61" t="str">
        <f>IFERROR(__xludf.DUMMYFUNCTION("""COMPUTED_VALUE"""),"6660 Washington Ave, University City, 
APT. 3E
MO 63130")</f>
        <v>6660 Washington Ave, University City, 
APT. 3E
MO 63130</v>
      </c>
      <c r="H276" s="61" t="str">
        <f>IFERROR(__xludf.DUMMYFUNCTION("""COMPUTED_VALUE"""),"Storage Item Return")</f>
        <v>Storage Item Return</v>
      </c>
      <c r="I276" s="61" t="str">
        <f>IFERROR(__xludf.DUMMYFUNCTION("""COMPUTED_VALUE"""),"Non-University Housing ")</f>
        <v>Non-University Housing </v>
      </c>
      <c r="J276" s="107" t="str">
        <f>IFERROR(__xludf.DUMMYFUNCTION("""COMPUTED_VALUE"""),"03:00 PM to 05:00 PM ")</f>
        <v>03:00 PM to 05:00 PM </v>
      </c>
      <c r="K276" s="107">
        <f>IFERROR(__xludf.DUMMYFUNCTION("""COMPUTED_VALUE"""),45868.0)</f>
        <v>45868</v>
      </c>
      <c r="L276" s="61"/>
      <c r="M276" s="61"/>
      <c r="N276" s="61" t="str">
        <f>IFERROR(__xludf.DUMMYFUNCTION("""COMPUTED_VALUE"""),"6660 Washington Ave, University City, 
APT. 3E
MO 63130")</f>
        <v>6660 Washington Ave, University City, 
APT. 3E
MO 63130</v>
      </c>
      <c r="O276" s="61"/>
      <c r="P276" s="61" t="b">
        <f>COUNTIF('Delivered SIR'!A:A, E276) &gt; 0</f>
        <v>0</v>
      </c>
    </row>
    <row r="277">
      <c r="A277" s="102" t="str">
        <f>IFERROR(__xludf.DUMMYFUNCTION("""COMPUTED_VALUE"""),"https://utrucking.com/admin/orders/5919846531260")</f>
        <v>https://utrucking.com/admin/orders/5919846531260</v>
      </c>
      <c r="B277" s="65" t="str">
        <f>IFERROR(__xludf.DUMMYFUNCTION("""COMPUTED_VALUE"""),"#15815")</f>
        <v>#15815</v>
      </c>
      <c r="C277" s="65" t="str">
        <f>IFERROR(__xludf.DUMMYFUNCTION("""COMPUTED_VALUE"""),"m.d.porter@wustl.edu")</f>
        <v>m.d.porter@wustl.edu</v>
      </c>
      <c r="D277" s="65">
        <f>IFERROR(__xludf.DUMMYFUNCTION("""COMPUTED_VALUE"""),9.145655432E9)</f>
        <v>9145655432</v>
      </c>
      <c r="E277" s="65" t="str">
        <f>IFERROR(__xludf.DUMMYFUNCTION("""COMPUTED_VALUE"""),"Mikayla Porter")</f>
        <v>Mikayla Porter</v>
      </c>
      <c r="F277" s="65"/>
      <c r="G277" s="65"/>
      <c r="H277" s="65" t="str">
        <f>IFERROR(__xludf.DUMMYFUNCTION("""COMPUTED_VALUE"""),"Storage Item Return")</f>
        <v>Storage Item Return</v>
      </c>
      <c r="I277" s="65" t="str">
        <f>IFERROR(__xludf.DUMMYFUNCTION("""COMPUTED_VALUE"""),"University Housing ")</f>
        <v>University Housing </v>
      </c>
      <c r="J277" s="108" t="str">
        <f>IFERROR(__xludf.DUMMYFUNCTION("""COMPUTED_VALUE"""),"12:00 PM to 02:00 PM   ")</f>
        <v>12:00 PM to 02:00 PM   </v>
      </c>
      <c r="K277" s="108">
        <f>IFERROR(__xludf.DUMMYFUNCTION("""COMPUTED_VALUE"""),45882.0)</f>
        <v>45882</v>
      </c>
      <c r="L277" s="65" t="str">
        <f>IFERROR(__xludf.DUMMYFUNCTION("""COMPUTED_VALUE"""),"Liggett  ")</f>
        <v>Liggett  </v>
      </c>
      <c r="M277" s="65" t="str">
        <f>IFERROR(__xludf.DUMMYFUNCTION("""COMPUTED_VALUE"""),"2264")</f>
        <v>2264</v>
      </c>
      <c r="N277" s="65"/>
      <c r="O277" s="65"/>
      <c r="P277" s="65" t="b">
        <f>COUNTIF('Delivered SIR'!A:A, E277) &gt; 0</f>
        <v>1</v>
      </c>
    </row>
    <row r="278">
      <c r="A278" s="99" t="str">
        <f>IFERROR(__xludf.DUMMYFUNCTION("""COMPUTED_VALUE"""),"https://utrucking.com/admin/orders/5919870714044")</f>
        <v>https://utrucking.com/admin/orders/5919870714044</v>
      </c>
      <c r="B278" s="61" t="str">
        <f>IFERROR(__xludf.DUMMYFUNCTION("""COMPUTED_VALUE"""),"#15817")</f>
        <v>#15817</v>
      </c>
      <c r="C278" s="61" t="str">
        <f>IFERROR(__xludf.DUMMYFUNCTION("""COMPUTED_VALUE"""),"kang.minju@wustl.edu")</f>
        <v>kang.minju@wustl.edu</v>
      </c>
      <c r="D278" s="61"/>
      <c r="E278" s="61" t="str">
        <f>IFERROR(__xludf.DUMMYFUNCTION("""COMPUTED_VALUE"""),"Minju Kang")</f>
        <v>Minju Kang</v>
      </c>
      <c r="F278" s="61"/>
      <c r="G278" s="61"/>
      <c r="H278" s="61" t="str">
        <f>IFERROR(__xludf.DUMMYFUNCTION("""COMPUTED_VALUE"""),"Storage Item Return")</f>
        <v>Storage Item Return</v>
      </c>
      <c r="I278" s="61" t="str">
        <f>IFERROR(__xludf.DUMMYFUNCTION("""COMPUTED_VALUE"""),"University Housing ")</f>
        <v>University Housing </v>
      </c>
      <c r="J278" s="107" t="str">
        <f>IFERROR(__xludf.DUMMYFUNCTION("""COMPUTED_VALUE"""),"09:00 AM to 11:00 AM   ")</f>
        <v>09:00 AM to 11:00 AM   </v>
      </c>
      <c r="K278" s="107">
        <f>IFERROR(__xludf.DUMMYFUNCTION("""COMPUTED_VALUE"""),45887.0)</f>
        <v>45887</v>
      </c>
      <c r="L278" s="61" t="str">
        <f>IFERROR(__xludf.DUMMYFUNCTION("""COMPUTED_VALUE"""),"Village House  ")</f>
        <v>Village House  </v>
      </c>
      <c r="M278" s="61" t="str">
        <f>IFERROR(__xludf.DUMMYFUNCTION("""COMPUTED_VALUE"""),"3094")</f>
        <v>3094</v>
      </c>
      <c r="N278" s="61"/>
      <c r="O278" s="61"/>
      <c r="P278" s="61" t="b">
        <f>COUNTIF('Delivered SIR'!A:A, E278) &gt; 0</f>
        <v>1</v>
      </c>
    </row>
    <row r="279">
      <c r="A279" s="102" t="str">
        <f>IFERROR(__xludf.DUMMYFUNCTION("""COMPUTED_VALUE"""),"https://utrucking.com/admin/orders/5919915475132")</f>
        <v>https://utrucking.com/admin/orders/5919915475132</v>
      </c>
      <c r="B279" s="65" t="str">
        <f>IFERROR(__xludf.DUMMYFUNCTION("""COMPUTED_VALUE"""),"#15818")</f>
        <v>#15818</v>
      </c>
      <c r="C279" s="65" t="str">
        <f>IFERROR(__xludf.DUMMYFUNCTION("""COMPUTED_VALUE"""),"f.harari@wustl.edu")</f>
        <v>f.harari@wustl.edu</v>
      </c>
      <c r="D279" s="65">
        <f>IFERROR(__xludf.DUMMYFUNCTION("""COMPUTED_VALUE"""),7.18551122E9)</f>
        <v>7185511220</v>
      </c>
      <c r="E279" s="65" t="str">
        <f>IFERROR(__xludf.DUMMYFUNCTION("""COMPUTED_VALUE"""),"Kornelia Harari")</f>
        <v>Kornelia Harari</v>
      </c>
      <c r="F279" s="65"/>
      <c r="G279" s="65"/>
      <c r="H279" s="65" t="str">
        <f>IFERROR(__xludf.DUMMYFUNCTION("""COMPUTED_VALUE"""),"Storage Item Return")</f>
        <v>Storage Item Return</v>
      </c>
      <c r="I279" s="65" t="str">
        <f>IFERROR(__xludf.DUMMYFUNCTION("""COMPUTED_VALUE"""),"University Housing ")</f>
        <v>University Housing </v>
      </c>
      <c r="J279" s="108" t="str">
        <f>IFERROR(__xludf.DUMMYFUNCTION("""COMPUTED_VALUE"""),"09:00 AM to 11:00 AM   ")</f>
        <v>09:00 AM to 11:00 AM   </v>
      </c>
      <c r="K279" s="108">
        <f>IFERROR(__xludf.DUMMYFUNCTION("""COMPUTED_VALUE"""),45889.0)</f>
        <v>45889</v>
      </c>
      <c r="L279" s="65" t="str">
        <f>IFERROR(__xludf.DUMMYFUNCTION("""COMPUTED_VALUE"""),"House 6 (Sigma Alpha Epsilon)  ")</f>
        <v>House 6 (Sigma Alpha Epsilon)  </v>
      </c>
      <c r="M279" s="65" t="str">
        <f>IFERROR(__xludf.DUMMYFUNCTION("""COMPUTED_VALUE"""),"206")</f>
        <v>206</v>
      </c>
      <c r="N279" s="65"/>
      <c r="O279" s="65"/>
      <c r="P279" s="65" t="b">
        <f>COUNTIF('Delivered SIR'!A:A, E279) &gt; 0</f>
        <v>0</v>
      </c>
    </row>
    <row r="280">
      <c r="A280" s="99" t="str">
        <f>IFERROR(__xludf.DUMMYFUNCTION("""COMPUTED_VALUE"""),"https://utrucking.com/admin/orders/5919937953980")</f>
        <v>https://utrucking.com/admin/orders/5919937953980</v>
      </c>
      <c r="B280" s="61" t="str">
        <f>IFERROR(__xludf.DUMMYFUNCTION("""COMPUTED_VALUE"""),"#15819")</f>
        <v>#15819</v>
      </c>
      <c r="C280" s="61" t="str">
        <f>IFERROR(__xludf.DUMMYFUNCTION("""COMPUTED_VALUE"""),"mrfernon@gmail.com")</f>
        <v>mrfernon@gmail.com</v>
      </c>
      <c r="D280" s="61">
        <f>IFERROR(__xludf.DUMMYFUNCTION("""COMPUTED_VALUE"""),6.195181936E9)</f>
        <v>6195181936</v>
      </c>
      <c r="E280" s="61" t="str">
        <f>IFERROR(__xludf.DUMMYFUNCTION("""COMPUTED_VALUE"""),"Clark Fernon")</f>
        <v>Clark Fernon</v>
      </c>
      <c r="F280" s="61"/>
      <c r="G280" s="61"/>
      <c r="H280" s="61" t="str">
        <f>IFERROR(__xludf.DUMMYFUNCTION("""COMPUTED_VALUE"""),"Storage Item Return")</f>
        <v>Storage Item Return</v>
      </c>
      <c r="I280" s="61" t="str">
        <f>IFERROR(__xludf.DUMMYFUNCTION("""COMPUTED_VALUE"""),"University Housing ")</f>
        <v>University Housing </v>
      </c>
      <c r="J280" s="107" t="str">
        <f>IFERROR(__xludf.DUMMYFUNCTION("""COMPUTED_VALUE"""),"09:00 AM to 11:00 AM   ")</f>
        <v>09:00 AM to 11:00 AM   </v>
      </c>
      <c r="K280" s="107">
        <f>IFERROR(__xludf.DUMMYFUNCTION("""COMPUTED_VALUE"""),45889.0)</f>
        <v>45889</v>
      </c>
      <c r="L280" s="61" t="str">
        <f>IFERROR(__xludf.DUMMYFUNCTION("""COMPUTED_VALUE"""),"Eliot B  ")</f>
        <v>Eliot B  </v>
      </c>
      <c r="M280" s="61" t="str">
        <f>IFERROR(__xludf.DUMMYFUNCTION("""COMPUTED_VALUE"""),"1034 a")</f>
        <v>1034 a</v>
      </c>
      <c r="N280" s="61"/>
      <c r="O280" s="61"/>
      <c r="P280" s="61" t="b">
        <f>COUNTIF('Delivered SIR'!A:A, E280) &gt; 0</f>
        <v>0</v>
      </c>
    </row>
    <row r="281">
      <c r="A281" s="102" t="str">
        <f>IFERROR(__xludf.DUMMYFUNCTION("""COMPUTED_VALUE"""),"https://utrucking.com/admin/orders/5920083116220")</f>
        <v>https://utrucking.com/admin/orders/5920083116220</v>
      </c>
      <c r="B281" s="65" t="str">
        <f>IFERROR(__xludf.DUMMYFUNCTION("""COMPUTED_VALUE"""),"#15821")</f>
        <v>#15821</v>
      </c>
      <c r="C281" s="65" t="str">
        <f>IFERROR(__xludf.DUMMYFUNCTION("""COMPUTED_VALUE"""),"masstheo@icloud.com")</f>
        <v>masstheo@icloud.com</v>
      </c>
      <c r="D281" s="65">
        <f>IFERROR(__xludf.DUMMYFUNCTION("""COMPUTED_VALUE"""),1.3107452523E10)</f>
        <v>13107452523</v>
      </c>
      <c r="E281" s="65" t="str">
        <f>IFERROR(__xludf.DUMMYFUNCTION("""COMPUTED_VALUE"""),"Theo Mass")</f>
        <v>Theo Mass</v>
      </c>
      <c r="F281" s="65"/>
      <c r="G281" s="65" t="str">
        <f>IFERROR(__xludf.DUMMYFUNCTION("""COMPUTED_VALUE"""),"6105 Delmar Blvd")</f>
        <v>6105 Delmar Blvd</v>
      </c>
      <c r="H281" s="65" t="str">
        <f>IFERROR(__xludf.DUMMYFUNCTION("""COMPUTED_VALUE"""),"Storage Item Return")</f>
        <v>Storage Item Return</v>
      </c>
      <c r="I281" s="65" t="str">
        <f>IFERROR(__xludf.DUMMYFUNCTION("""COMPUTED_VALUE"""),"Non-University Housing ")</f>
        <v>Non-University Housing </v>
      </c>
      <c r="J281" s="108" t="str">
        <f>IFERROR(__xludf.DUMMYFUNCTION("""COMPUTED_VALUE"""),"11:00 AM to 01:00 PM   ")</f>
        <v>11:00 AM to 01:00 PM   </v>
      </c>
      <c r="K281" s="108">
        <f>IFERROR(__xludf.DUMMYFUNCTION("""COMPUTED_VALUE"""),45890.0)</f>
        <v>45890</v>
      </c>
      <c r="L281" s="65"/>
      <c r="M281" s="65"/>
      <c r="N281" s="65" t="str">
        <f>IFERROR(__xludf.DUMMYFUNCTION("""COMPUTED_VALUE"""),"6105 Delmar Blvd")</f>
        <v>6105 Delmar Blvd</v>
      </c>
      <c r="O281" s="65"/>
      <c r="P281" s="65" t="b">
        <f>COUNTIF('Delivered SIR'!A:A, E281) &gt; 0</f>
        <v>0</v>
      </c>
    </row>
    <row r="282">
      <c r="A282" s="99" t="str">
        <f>IFERROR(__xludf.DUMMYFUNCTION("""COMPUTED_VALUE"""),"https://utrucking.com/admin/orders/5920250233020")</f>
        <v>https://utrucking.com/admin/orders/5920250233020</v>
      </c>
      <c r="B282" s="61" t="str">
        <f>IFERROR(__xludf.DUMMYFUNCTION("""COMPUTED_VALUE"""),"#15825")</f>
        <v>#15825</v>
      </c>
      <c r="C282" s="61" t="str">
        <f>IFERROR(__xludf.DUMMYFUNCTION("""COMPUTED_VALUE"""),"wekslergabriel2005@gmail.com")</f>
        <v>wekslergabriel2005@gmail.com</v>
      </c>
      <c r="D282" s="61">
        <f>IFERROR(__xludf.DUMMYFUNCTION("""COMPUTED_VALUE"""),3.038830553E9)</f>
        <v>3038830553</v>
      </c>
      <c r="E282" s="61" t="str">
        <f>IFERROR(__xludf.DUMMYFUNCTION("""COMPUTED_VALUE"""),"Gabriel Weksler")</f>
        <v>Gabriel Weksler</v>
      </c>
      <c r="F282" s="61"/>
      <c r="G282" s="61"/>
      <c r="H282" s="61" t="str">
        <f>IFERROR(__xludf.DUMMYFUNCTION("""COMPUTED_VALUE"""),"Storage Item Return")</f>
        <v>Storage Item Return</v>
      </c>
      <c r="I282" s="61" t="str">
        <f>IFERROR(__xludf.DUMMYFUNCTION("""COMPUTED_VALUE"""),"University Housing ")</f>
        <v>University Housing </v>
      </c>
      <c r="J282" s="107" t="str">
        <f>IFERROR(__xludf.DUMMYFUNCTION("""COMPUTED_VALUE"""),"09:00 AM to 11:00 AM   ")</f>
        <v>09:00 AM to 11:00 AM   </v>
      </c>
      <c r="K282" s="107">
        <f>IFERROR(__xludf.DUMMYFUNCTION("""COMPUTED_VALUE"""),45892.0)</f>
        <v>45892</v>
      </c>
      <c r="L282" s="61" t="str">
        <f>IFERROR(__xludf.DUMMYFUNCTION("""COMPUTED_VALUE"""),"Millbrook Bldg. 4  ")</f>
        <v>Millbrook Bldg. 4  </v>
      </c>
      <c r="M282" s="61" t="str">
        <f>IFERROR(__xludf.DUMMYFUNCTION("""COMPUTED_VALUE"""),"203F-a")</f>
        <v>203F-a</v>
      </c>
      <c r="N282" s="61"/>
      <c r="O282" s="61"/>
      <c r="P282" s="61" t="b">
        <f>COUNTIF('Delivered SIR'!A:A, E282) &gt; 0</f>
        <v>1</v>
      </c>
    </row>
    <row r="283">
      <c r="A283" s="102" t="str">
        <f>IFERROR(__xludf.DUMMYFUNCTION("""COMPUTED_VALUE"""),"https://utrucking.com/admin/orders/5920260948156")</f>
        <v>https://utrucking.com/admin/orders/5920260948156</v>
      </c>
      <c r="B283" s="65" t="str">
        <f>IFERROR(__xludf.DUMMYFUNCTION("""COMPUTED_VALUE"""),"#15826")</f>
        <v>#15826</v>
      </c>
      <c r="C283" s="65"/>
      <c r="D283" s="65">
        <f>IFERROR(__xludf.DUMMYFUNCTION("""COMPUTED_VALUE"""),3.015756053E9)</f>
        <v>3015756053</v>
      </c>
      <c r="E283" s="65" t="str">
        <f>IFERROR(__xludf.DUMMYFUNCTION("""COMPUTED_VALUE"""),"Yael Fischman")</f>
        <v>Yael Fischman</v>
      </c>
      <c r="F283" s="65"/>
      <c r="G283" s="65"/>
      <c r="H283" s="65" t="str">
        <f>IFERROR(__xludf.DUMMYFUNCTION("""COMPUTED_VALUE"""),"Storage Item Return")</f>
        <v>Storage Item Return</v>
      </c>
      <c r="I283" s="65" t="str">
        <f>IFERROR(__xludf.DUMMYFUNCTION("""COMPUTED_VALUE"""),"University Housing ")</f>
        <v>University Housing </v>
      </c>
      <c r="J283" s="108" t="str">
        <f>IFERROR(__xludf.DUMMYFUNCTION("""COMPUTED_VALUE"""),"09:00 AM to 11:00 AM   ")</f>
        <v>09:00 AM to 11:00 AM   </v>
      </c>
      <c r="K283" s="108">
        <f>IFERROR(__xludf.DUMMYFUNCTION("""COMPUTED_VALUE"""),45875.0)</f>
        <v>45875</v>
      </c>
      <c r="L283" s="65" t="str">
        <f>IFERROR(__xludf.DUMMYFUNCTION("""COMPUTED_VALUE"""),"Eliot B  ")</f>
        <v>Eliot B  </v>
      </c>
      <c r="M283" s="65" t="str">
        <f>IFERROR(__xludf.DUMMYFUNCTION("""COMPUTED_VALUE"""),"3033")</f>
        <v>3033</v>
      </c>
      <c r="N283" s="65"/>
      <c r="O283" s="65"/>
      <c r="P283" s="65" t="b">
        <f>COUNTIF('Delivered SIR'!A:A, E283) &gt; 0</f>
        <v>1</v>
      </c>
    </row>
    <row r="284">
      <c r="A284" s="99" t="str">
        <f>IFERROR(__xludf.DUMMYFUNCTION("""COMPUTED_VALUE"""),"https://utrucking.com/admin/orders/5920303775932")</f>
        <v>https://utrucking.com/admin/orders/5920303775932</v>
      </c>
      <c r="B284" s="61" t="str">
        <f>IFERROR(__xludf.DUMMYFUNCTION("""COMPUTED_VALUE"""),"#15827")</f>
        <v>#15827</v>
      </c>
      <c r="C284" s="61"/>
      <c r="D284" s="61">
        <f>IFERROR(__xludf.DUMMYFUNCTION("""COMPUTED_VALUE"""),3.148280842E9)</f>
        <v>3148280842</v>
      </c>
      <c r="E284" s="61" t="str">
        <f>IFERROR(__xludf.DUMMYFUNCTION("""COMPUTED_VALUE"""),"Yolanda Zhanh")</f>
        <v>Yolanda Zhanh</v>
      </c>
      <c r="F284" s="61"/>
      <c r="G284" s="61" t="str">
        <f>IFERROR(__xludf.DUMMYFUNCTION("""COMPUTED_VALUE"""),"The Residences at Delmar DivINe
5535 Delmar Blvd, #322, St Louis,MO 63112")</f>
        <v>The Residences at Delmar DivINe
5535 Delmar Blvd, #322, St Louis,MO 63112</v>
      </c>
      <c r="H284" s="61" t="str">
        <f>IFERROR(__xludf.DUMMYFUNCTION("""COMPUTED_VALUE"""),"Storage Item Return")</f>
        <v>Storage Item Return</v>
      </c>
      <c r="I284" s="61" t="str">
        <f>IFERROR(__xludf.DUMMYFUNCTION("""COMPUTED_VALUE"""),"Non-University Housing ")</f>
        <v>Non-University Housing </v>
      </c>
      <c r="J284" s="107" t="str">
        <f>IFERROR(__xludf.DUMMYFUNCTION("""COMPUTED_VALUE"""),"12:00 PM to 02:00 PM   ")</f>
        <v>12:00 PM to 02:00 PM   </v>
      </c>
      <c r="K284" s="107">
        <f>IFERROR(__xludf.DUMMYFUNCTION("""COMPUTED_VALUE"""),45890.0)</f>
        <v>45890</v>
      </c>
      <c r="L284" s="61"/>
      <c r="M284" s="61"/>
      <c r="N284" s="61" t="str">
        <f>IFERROR(__xludf.DUMMYFUNCTION("""COMPUTED_VALUE"""),"The Residences at Delmar DivINe
5535 Delmar Blvd, #322, St Louis,MO 63112")</f>
        <v>The Residences at Delmar DivINe
5535 Delmar Blvd, #322, St Louis,MO 63112</v>
      </c>
      <c r="O284" s="61"/>
      <c r="P284" s="61" t="b">
        <f>COUNTIF('Delivered SIR'!A:A, E284) &gt; 0</f>
        <v>0</v>
      </c>
    </row>
    <row r="285">
      <c r="A285" s="102" t="str">
        <f>IFERROR(__xludf.DUMMYFUNCTION("""COMPUTED_VALUE"""),"https://utrucking.com/admin/orders/5920319340732")</f>
        <v>https://utrucking.com/admin/orders/5920319340732</v>
      </c>
      <c r="B285" s="65" t="str">
        <f>IFERROR(__xludf.DUMMYFUNCTION("""COMPUTED_VALUE"""),"#15828")</f>
        <v>#15828</v>
      </c>
      <c r="C285" s="65" t="str">
        <f>IFERROR(__xludf.DUMMYFUNCTION("""COMPUTED_VALUE"""),"b.keela@wustl.edu")</f>
        <v>b.keela@wustl.edu</v>
      </c>
      <c r="D285" s="65"/>
      <c r="E285" s="65" t="str">
        <f>IFERROR(__xludf.DUMMYFUNCTION("""COMPUTED_VALUE"""),"Keela Bond")</f>
        <v>Keela Bond</v>
      </c>
      <c r="F285" s="65"/>
      <c r="G285" s="65"/>
      <c r="H285" s="65" t="str">
        <f>IFERROR(__xludf.DUMMYFUNCTION("""COMPUTED_VALUE"""),"Storage Item Return")</f>
        <v>Storage Item Return</v>
      </c>
      <c r="I285" s="65" t="str">
        <f>IFERROR(__xludf.DUMMYFUNCTION("""COMPUTED_VALUE"""),"University Housing ")</f>
        <v>University Housing </v>
      </c>
      <c r="J285" s="108" t="str">
        <f>IFERROR(__xludf.DUMMYFUNCTION("""COMPUTED_VALUE"""),"03:00 PM to 05:00 PM ")</f>
        <v>03:00 PM to 05:00 PM </v>
      </c>
      <c r="K285" s="108">
        <f>IFERROR(__xludf.DUMMYFUNCTION("""COMPUTED_VALUE"""),45888.0)</f>
        <v>45888</v>
      </c>
      <c r="L285" s="65" t="str">
        <f>IFERROR(__xludf.DUMMYFUNCTION("""COMPUTED_VALUE"""),"Village House  ")</f>
        <v>Village House  </v>
      </c>
      <c r="M285" s="65" t="str">
        <f>IFERROR(__xludf.DUMMYFUNCTION("""COMPUTED_VALUE"""),"2082-a")</f>
        <v>2082-a</v>
      </c>
      <c r="N285" s="65"/>
      <c r="O285" s="65"/>
      <c r="P285" s="65" t="b">
        <f>COUNTIF('Delivered SIR'!A:A, E285) &gt; 0</f>
        <v>1</v>
      </c>
    </row>
    <row r="286">
      <c r="A286" s="99" t="str">
        <f>IFERROR(__xludf.DUMMYFUNCTION("""COMPUTED_VALUE"""),"https://utrucking.com/admin/orders/5920368033980")</f>
        <v>https://utrucking.com/admin/orders/5920368033980</v>
      </c>
      <c r="B286" s="61" t="str">
        <f>IFERROR(__xludf.DUMMYFUNCTION("""COMPUTED_VALUE"""),"#15831")</f>
        <v>#15831</v>
      </c>
      <c r="C286" s="61" t="str">
        <f>IFERROR(__xludf.DUMMYFUNCTION("""COMPUTED_VALUE"""),"anderson.g.d@wustl.edu")</f>
        <v>anderson.g.d@wustl.edu</v>
      </c>
      <c r="D286" s="61"/>
      <c r="E286" s="61" t="str">
        <f>IFERROR(__xludf.DUMMYFUNCTION("""COMPUTED_VALUE"""),"Grant Anderson")</f>
        <v>Grant Anderson</v>
      </c>
      <c r="F286" s="61"/>
      <c r="G286" s="61"/>
      <c r="H286" s="61" t="str">
        <f>IFERROR(__xludf.DUMMYFUNCTION("""COMPUTED_VALUE"""),"Storage Item Return")</f>
        <v>Storage Item Return</v>
      </c>
      <c r="I286" s="61" t="str">
        <f>IFERROR(__xludf.DUMMYFUNCTION("""COMPUTED_VALUE"""),"University Housing ")</f>
        <v>University Housing </v>
      </c>
      <c r="J286" s="107" t="str">
        <f>IFERROR(__xludf.DUMMYFUNCTION("""COMPUTED_VALUE"""),"09:00 AM to 11:00 AM   ")</f>
        <v>09:00 AM to 11:00 AM   </v>
      </c>
      <c r="K286" s="107">
        <f>IFERROR(__xludf.DUMMYFUNCTION("""COMPUTED_VALUE"""),45888.0)</f>
        <v>45888</v>
      </c>
      <c r="L286" s="61" t="str">
        <f>IFERROR(__xludf.DUMMYFUNCTION("""COMPUTED_VALUE"""),"Eliot B  ")</f>
        <v>Eliot B  </v>
      </c>
      <c r="M286" s="61" t="str">
        <f>IFERROR(__xludf.DUMMYFUNCTION("""COMPUTED_VALUE"""),"04021")</f>
        <v>04021</v>
      </c>
      <c r="N286" s="61"/>
      <c r="O286" s="61"/>
      <c r="P286" s="61" t="b">
        <f>COUNTIF('Delivered SIR'!A:A, E286) &gt; 0</f>
        <v>1</v>
      </c>
    </row>
    <row r="287">
      <c r="A287" s="102" t="str">
        <f>IFERROR(__xludf.DUMMYFUNCTION("""COMPUTED_VALUE"""),"https://utrucking.com/admin/orders/5920376291516")</f>
        <v>https://utrucking.com/admin/orders/5920376291516</v>
      </c>
      <c r="B287" s="65" t="str">
        <f>IFERROR(__xludf.DUMMYFUNCTION("""COMPUTED_VALUE"""),"#15832")</f>
        <v>#15832</v>
      </c>
      <c r="C287" s="65" t="str">
        <f>IFERROR(__xludf.DUMMYFUNCTION("""COMPUTED_VALUE"""),"f.margaret@wustl.edu")</f>
        <v>f.margaret@wustl.edu</v>
      </c>
      <c r="D287" s="65">
        <f>IFERROR(__xludf.DUMMYFUNCTION("""COMPUTED_VALUE"""),1.7742571404E10)</f>
        <v>17742571404</v>
      </c>
      <c r="E287" s="65" t="str">
        <f>IFERROR(__xludf.DUMMYFUNCTION("""COMPUTED_VALUE"""),"Margaret Foley")</f>
        <v>Margaret Foley</v>
      </c>
      <c r="F287" s="65"/>
      <c r="G287" s="65"/>
      <c r="H287" s="65" t="str">
        <f>IFERROR(__xludf.DUMMYFUNCTION("""COMPUTED_VALUE"""),"Storage Item Return")</f>
        <v>Storage Item Return</v>
      </c>
      <c r="I287" s="65" t="str">
        <f>IFERROR(__xludf.DUMMYFUNCTION("""COMPUTED_VALUE"""),"University Housing ")</f>
        <v>University Housing </v>
      </c>
      <c r="J287" s="108" t="str">
        <f>IFERROR(__xludf.DUMMYFUNCTION("""COMPUTED_VALUE"""),"09:00 AM to 11:00 AM   ")</f>
        <v>09:00 AM to 11:00 AM   </v>
      </c>
      <c r="K287" s="108">
        <f>IFERROR(__xludf.DUMMYFUNCTION("""COMPUTED_VALUE"""),45889.0)</f>
        <v>45889</v>
      </c>
      <c r="L287" s="65" t="str">
        <f>IFERROR(__xludf.DUMMYFUNCTION("""COMPUTED_VALUE"""),"Village East  ")</f>
        <v>Village East  </v>
      </c>
      <c r="M287" s="65" t="str">
        <f>IFERROR(__xludf.DUMMYFUNCTION("""COMPUTED_VALUE"""),"3043")</f>
        <v>3043</v>
      </c>
      <c r="N287" s="65"/>
      <c r="O287" s="65"/>
      <c r="P287" s="65" t="b">
        <f>COUNTIF('Delivered SIR'!A:A, E287) &gt; 0</f>
        <v>0</v>
      </c>
    </row>
    <row r="288">
      <c r="A288" s="99" t="str">
        <f>IFERROR(__xludf.DUMMYFUNCTION("""COMPUTED_VALUE"""),"https://utrucking.com/admin/orders/5920379306172")</f>
        <v>https://utrucking.com/admin/orders/5920379306172</v>
      </c>
      <c r="B288" s="61" t="str">
        <f>IFERROR(__xludf.DUMMYFUNCTION("""COMPUTED_VALUE"""),"#15833")</f>
        <v>#15833</v>
      </c>
      <c r="C288" s="61" t="str">
        <f>IFERROR(__xludf.DUMMYFUNCTION("""COMPUTED_VALUE"""),"a.c.nadritch@wustl.edu")</f>
        <v>a.c.nadritch@wustl.edu</v>
      </c>
      <c r="D288" s="61">
        <f>IFERROR(__xludf.DUMMYFUNCTION("""COMPUTED_VALUE"""),2.01693619E9)</f>
        <v>2016936190</v>
      </c>
      <c r="E288" s="61" t="str">
        <f>IFERROR(__xludf.DUMMYFUNCTION("""COMPUTED_VALUE"""),"Alexandra Nadritch")</f>
        <v>Alexandra Nadritch</v>
      </c>
      <c r="F288" s="61"/>
      <c r="G288" s="61"/>
      <c r="H288" s="61" t="str">
        <f>IFERROR(__xludf.DUMMYFUNCTION("""COMPUTED_VALUE"""),"Storage Item Return")</f>
        <v>Storage Item Return</v>
      </c>
      <c r="I288" s="61" t="str">
        <f>IFERROR(__xludf.DUMMYFUNCTION("""COMPUTED_VALUE"""),"University Housing ")</f>
        <v>University Housing </v>
      </c>
      <c r="J288" s="107" t="str">
        <f>IFERROR(__xludf.DUMMYFUNCTION("""COMPUTED_VALUE"""),"09:00 AM to 11:00 AM   ")</f>
        <v>09:00 AM to 11:00 AM   </v>
      </c>
      <c r="K288" s="107">
        <f>IFERROR(__xludf.DUMMYFUNCTION("""COMPUTED_VALUE"""),45889.0)</f>
        <v>45889</v>
      </c>
      <c r="L288" s="61" t="str">
        <f>IFERROR(__xludf.DUMMYFUNCTION("""COMPUTED_VALUE"""),"Liggett  ")</f>
        <v>Liggett  </v>
      </c>
      <c r="M288" s="61" t="str">
        <f>IFERROR(__xludf.DUMMYFUNCTION("""COMPUTED_VALUE"""),"2331- a")</f>
        <v>2331- a</v>
      </c>
      <c r="N288" s="61"/>
      <c r="O288" s="61"/>
      <c r="P288" s="61" t="b">
        <f>COUNTIF('Delivered SIR'!A:A, E288) &gt; 0</f>
        <v>1</v>
      </c>
    </row>
    <row r="289">
      <c r="A289" s="102" t="str">
        <f>IFERROR(__xludf.DUMMYFUNCTION("""COMPUTED_VALUE"""),"https://utrucking.com/admin/orders/5920383205564")</f>
        <v>https://utrucking.com/admin/orders/5920383205564</v>
      </c>
      <c r="B289" s="65" t="str">
        <f>IFERROR(__xludf.DUMMYFUNCTION("""COMPUTED_VALUE"""),"#15834")</f>
        <v>#15834</v>
      </c>
      <c r="C289" s="65" t="str">
        <f>IFERROR(__xludf.DUMMYFUNCTION("""COMPUTED_VALUE"""),"gabe.herzlinger@gmail.com")</f>
        <v>gabe.herzlinger@gmail.com</v>
      </c>
      <c r="D289" s="65">
        <f>IFERROR(__xludf.DUMMYFUNCTION("""COMPUTED_VALUE"""),9.178590611E9)</f>
        <v>9178590611</v>
      </c>
      <c r="E289" s="65" t="str">
        <f>IFERROR(__xludf.DUMMYFUNCTION("""COMPUTED_VALUE"""),"Ronald Herzlinger")</f>
        <v>Ronald Herzlinger</v>
      </c>
      <c r="F289" s="65"/>
      <c r="G289" s="65"/>
      <c r="H289" s="65" t="str">
        <f>IFERROR(__xludf.DUMMYFUNCTION("""COMPUTED_VALUE"""),"Storage Item Return")</f>
        <v>Storage Item Return</v>
      </c>
      <c r="I289" s="65" t="str">
        <f>IFERROR(__xludf.DUMMYFUNCTION("""COMPUTED_VALUE"""),"University Housing ")</f>
        <v>University Housing </v>
      </c>
      <c r="J289" s="108" t="str">
        <f>IFERROR(__xludf.DUMMYFUNCTION("""COMPUTED_VALUE"""),"09:00 AM to 11:00 AM   ")</f>
        <v>09:00 AM to 11:00 AM   </v>
      </c>
      <c r="K289" s="108">
        <f>IFERROR(__xludf.DUMMYFUNCTION("""COMPUTED_VALUE"""),45888.0)</f>
        <v>45888</v>
      </c>
      <c r="L289" s="65" t="str">
        <f>IFERROR(__xludf.DUMMYFUNCTION("""COMPUTED_VALUE"""),"Wheeler  ")</f>
        <v>Wheeler  </v>
      </c>
      <c r="M289" s="65" t="str">
        <f>IFERROR(__xludf.DUMMYFUNCTION("""COMPUTED_VALUE"""),"1051 a")</f>
        <v>1051 a</v>
      </c>
      <c r="N289" s="65"/>
      <c r="O289" s="65"/>
      <c r="P289" s="65" t="b">
        <f>COUNTIF('Delivered SIR'!A:A, E289) &gt; 0</f>
        <v>0</v>
      </c>
    </row>
    <row r="290">
      <c r="A290" s="99" t="str">
        <f>IFERROR(__xludf.DUMMYFUNCTION("""COMPUTED_VALUE"""),"https://utrucking.com/admin/orders/5920386941116")</f>
        <v>https://utrucking.com/admin/orders/5920386941116</v>
      </c>
      <c r="B290" s="61" t="str">
        <f>IFERROR(__xludf.DUMMYFUNCTION("""COMPUTED_VALUE"""),"#15835")</f>
        <v>#15835</v>
      </c>
      <c r="C290" s="61"/>
      <c r="D290" s="61">
        <f>IFERROR(__xludf.DUMMYFUNCTION("""COMPUTED_VALUE"""),6.304858286E9)</f>
        <v>6304858286</v>
      </c>
      <c r="E290" s="61" t="str">
        <f>IFERROR(__xludf.DUMMYFUNCTION("""COMPUTED_VALUE"""),"Cayleigh O’Hare")</f>
        <v>Cayleigh O’Hare</v>
      </c>
      <c r="F290" s="61"/>
      <c r="G290" s="61"/>
      <c r="H290" s="61" t="str">
        <f>IFERROR(__xludf.DUMMYFUNCTION("""COMPUTED_VALUE"""),"Storage Item Return")</f>
        <v>Storage Item Return</v>
      </c>
      <c r="I290" s="61" t="str">
        <f>IFERROR(__xludf.DUMMYFUNCTION("""COMPUTED_VALUE"""),"University Housing ")</f>
        <v>University Housing </v>
      </c>
      <c r="J290" s="107" t="str">
        <f>IFERROR(__xludf.DUMMYFUNCTION("""COMPUTED_VALUE"""),"09:00 AM to 11:00 AM   ")</f>
        <v>09:00 AM to 11:00 AM   </v>
      </c>
      <c r="K290" s="107">
        <f>IFERROR(__xludf.DUMMYFUNCTION("""COMPUTED_VALUE"""),45883.0)</f>
        <v>45883</v>
      </c>
      <c r="L290" s="61" t="str">
        <f>IFERROR(__xludf.DUMMYFUNCTION("""COMPUTED_VALUE"""),"Village East  ")</f>
        <v>Village East  </v>
      </c>
      <c r="M290" s="61" t="str">
        <f>IFERROR(__xludf.DUMMYFUNCTION("""COMPUTED_VALUE"""),"3121")</f>
        <v>3121</v>
      </c>
      <c r="N290" s="61"/>
      <c r="O290" s="61"/>
      <c r="P290" s="61" t="b">
        <f>COUNTIF('Delivered SIR'!A:A, E290) &gt; 0</f>
        <v>0</v>
      </c>
    </row>
    <row r="291">
      <c r="A291" s="102" t="str">
        <f>IFERROR(__xludf.DUMMYFUNCTION("""COMPUTED_VALUE"""),"https://utrucking.com/admin/orders/5920410370236")</f>
        <v>https://utrucking.com/admin/orders/5920410370236</v>
      </c>
      <c r="B291" s="65" t="str">
        <f>IFERROR(__xludf.DUMMYFUNCTION("""COMPUTED_VALUE"""),"#15841")</f>
        <v>#15841</v>
      </c>
      <c r="C291" s="65" t="str">
        <f>IFERROR(__xludf.DUMMYFUNCTION("""COMPUTED_VALUE"""),"connorvanh@gmail.com")</f>
        <v>connorvanh@gmail.com</v>
      </c>
      <c r="D291" s="65">
        <f>IFERROR(__xludf.DUMMYFUNCTION("""COMPUTED_VALUE"""),4.084770269E9)</f>
        <v>4084770269</v>
      </c>
      <c r="E291" s="65" t="str">
        <f>IFERROR(__xludf.DUMMYFUNCTION("""COMPUTED_VALUE"""),"Anna Lin")</f>
        <v>Anna Lin</v>
      </c>
      <c r="F291" s="65"/>
      <c r="G291" s="65"/>
      <c r="H291" s="65" t="str">
        <f>IFERROR(__xludf.DUMMYFUNCTION("""COMPUTED_VALUE"""),"Storage Item Return")</f>
        <v>Storage Item Return</v>
      </c>
      <c r="I291" s="65" t="str">
        <f>IFERROR(__xludf.DUMMYFUNCTION("""COMPUTED_VALUE"""),"University Housing ")</f>
        <v>University Housing </v>
      </c>
      <c r="J291" s="108" t="str">
        <f>IFERROR(__xludf.DUMMYFUNCTION("""COMPUTED_VALUE"""),"09:00 AM to 11:00 AM   ")</f>
        <v>09:00 AM to 11:00 AM   </v>
      </c>
      <c r="K291" s="108">
        <f>IFERROR(__xludf.DUMMYFUNCTION("""COMPUTED_VALUE"""),45880.0)</f>
        <v>45880</v>
      </c>
      <c r="L291" s="65" t="str">
        <f>IFERROR(__xludf.DUMMYFUNCTION("""COMPUTED_VALUE"""),"Loop Loft 6200  ")</f>
        <v>Loop Loft 6200  </v>
      </c>
      <c r="M291" s="65" t="str">
        <f>IFERROR(__xludf.DUMMYFUNCTION("""COMPUTED_VALUE"""),"103B")</f>
        <v>103B</v>
      </c>
      <c r="N291" s="65"/>
      <c r="O291" s="65"/>
      <c r="P291" s="65" t="b">
        <f>COUNTIF('Delivered SIR'!A:A, E291) &gt; 0</f>
        <v>0</v>
      </c>
    </row>
    <row r="292">
      <c r="A292" s="99" t="str">
        <f>IFERROR(__xludf.DUMMYFUNCTION("""COMPUTED_VALUE"""),"https://utrucking.com/admin/orders/5920420397244")</f>
        <v>https://utrucking.com/admin/orders/5920420397244</v>
      </c>
      <c r="B292" s="61" t="str">
        <f>IFERROR(__xludf.DUMMYFUNCTION("""COMPUTED_VALUE"""),"#15842")</f>
        <v>#15842</v>
      </c>
      <c r="C292" s="61"/>
      <c r="D292" s="61"/>
      <c r="E292" s="61" t="str">
        <f>IFERROR(__xludf.DUMMYFUNCTION("""COMPUTED_VALUE"""),"Olivia Siegel")</f>
        <v>Olivia Siegel</v>
      </c>
      <c r="F292" s="61"/>
      <c r="G292" s="61"/>
      <c r="H292" s="61" t="str">
        <f>IFERROR(__xludf.DUMMYFUNCTION("""COMPUTED_VALUE"""),"Storage Item Return")</f>
        <v>Storage Item Return</v>
      </c>
      <c r="I292" s="61" t="str">
        <f>IFERROR(__xludf.DUMMYFUNCTION("""COMPUTED_VALUE"""),"University Housing ")</f>
        <v>University Housing </v>
      </c>
      <c r="J292" s="107" t="str">
        <f>IFERROR(__xludf.DUMMYFUNCTION("""COMPUTED_VALUE"""),"09:00 AM to 11:00 AM   ")</f>
        <v>09:00 AM to 11:00 AM   </v>
      </c>
      <c r="K292" s="107">
        <f>IFERROR(__xludf.DUMMYFUNCTION("""COMPUTED_VALUE"""),45889.0)</f>
        <v>45889</v>
      </c>
      <c r="L292" s="61" t="str">
        <f>IFERROR(__xludf.DUMMYFUNCTION("""COMPUTED_VALUE"""),"Millbrook Bldg. 1  ")</f>
        <v>Millbrook Bldg. 1  </v>
      </c>
      <c r="M292" s="61" t="str">
        <f>IFERROR(__xludf.DUMMYFUNCTION("""COMPUTED_VALUE"""),"202B")</f>
        <v>202B</v>
      </c>
      <c r="N292" s="61"/>
      <c r="O292" s="61"/>
      <c r="P292" s="61" t="b">
        <f>COUNTIF('Delivered SIR'!A:A, E292) &gt; 0</f>
        <v>1</v>
      </c>
    </row>
    <row r="293">
      <c r="A293" s="102" t="str">
        <f>IFERROR(__xludf.DUMMYFUNCTION("""COMPUTED_VALUE"""),"https://utrucking.com/admin/orders/5920441368764")</f>
        <v>https://utrucking.com/admin/orders/5920441368764</v>
      </c>
      <c r="B293" s="65" t="str">
        <f>IFERROR(__xludf.DUMMYFUNCTION("""COMPUTED_VALUE"""),"#15843")</f>
        <v>#15843</v>
      </c>
      <c r="C293" s="65" t="str">
        <f>IFERROR(__xludf.DUMMYFUNCTION("""COMPUTED_VALUE"""),"geniacjefferson@gmail.com")</f>
        <v>geniacjefferson@gmail.com</v>
      </c>
      <c r="D293" s="65">
        <f>IFERROR(__xludf.DUMMYFUNCTION("""COMPUTED_VALUE"""),2.03945605E9)</f>
        <v>2039456050</v>
      </c>
      <c r="E293" s="65" t="str">
        <f>IFERROR(__xludf.DUMMYFUNCTION("""COMPUTED_VALUE"""),"Genia Jefferson")</f>
        <v>Genia Jefferson</v>
      </c>
      <c r="F293" s="65"/>
      <c r="G293" s="65"/>
      <c r="H293" s="65" t="str">
        <f>IFERROR(__xludf.DUMMYFUNCTION("""COMPUTED_VALUE"""),"Storage Item Return")</f>
        <v>Storage Item Return</v>
      </c>
      <c r="I293" s="65" t="str">
        <f>IFERROR(__xludf.DUMMYFUNCTION("""COMPUTED_VALUE"""),"University Housing ")</f>
        <v>University Housing </v>
      </c>
      <c r="J293" s="108" t="str">
        <f>IFERROR(__xludf.DUMMYFUNCTION("""COMPUTED_VALUE"""),"11:00 AM to 01:00 PM   ")</f>
        <v>11:00 AM to 01:00 PM   </v>
      </c>
      <c r="K293" s="108">
        <f>IFERROR(__xludf.DUMMYFUNCTION("""COMPUTED_VALUE"""),45889.0)</f>
        <v>45889</v>
      </c>
      <c r="L293" s="65" t="str">
        <f>IFERROR(__xludf.DUMMYFUNCTION("""COMPUTED_VALUE"""),"Nemerov  ")</f>
        <v>Nemerov  </v>
      </c>
      <c r="M293" s="65" t="str">
        <f>IFERROR(__xludf.DUMMYFUNCTION("""COMPUTED_VALUE"""),"4010 B")</f>
        <v>4010 B</v>
      </c>
      <c r="N293" s="65"/>
      <c r="O293" s="65"/>
      <c r="P293" s="65" t="b">
        <f>COUNTIF('Delivered SIR'!A:A, E293) &gt; 0</f>
        <v>1</v>
      </c>
    </row>
    <row r="294">
      <c r="A294" s="99" t="str">
        <f>IFERROR(__xludf.DUMMYFUNCTION("""COMPUTED_VALUE"""),"https://utrucking.com/admin/orders/5920469123260")</f>
        <v>https://utrucking.com/admin/orders/5920469123260</v>
      </c>
      <c r="B294" s="61" t="str">
        <f>IFERROR(__xludf.DUMMYFUNCTION("""COMPUTED_VALUE"""),"#15847")</f>
        <v>#15847</v>
      </c>
      <c r="C294" s="61"/>
      <c r="D294" s="61">
        <f>IFERROR(__xludf.DUMMYFUNCTION("""COMPUTED_VALUE"""),7.138985646E9)</f>
        <v>7138985646</v>
      </c>
      <c r="E294" s="61" t="str">
        <f>IFERROR(__xludf.DUMMYFUNCTION("""COMPUTED_VALUE"""),"Randi Raizner")</f>
        <v>Randi Raizner</v>
      </c>
      <c r="F294" s="61"/>
      <c r="G294" s="61"/>
      <c r="H294" s="61" t="str">
        <f>IFERROR(__xludf.DUMMYFUNCTION("""COMPUTED_VALUE"""),"Storage Item Return")</f>
        <v>Storage Item Return</v>
      </c>
      <c r="I294" s="61" t="str">
        <f>IFERROR(__xludf.DUMMYFUNCTION("""COMPUTED_VALUE"""),"University Housing ")</f>
        <v>University Housing </v>
      </c>
      <c r="J294" s="107" t="str">
        <f>IFERROR(__xludf.DUMMYFUNCTION("""COMPUTED_VALUE"""),"09:00 AM to 11:00 AM   ")</f>
        <v>09:00 AM to 11:00 AM   </v>
      </c>
      <c r="K294" s="107">
        <f>IFERROR(__xludf.DUMMYFUNCTION("""COMPUTED_VALUE"""),45889.0)</f>
        <v>45889</v>
      </c>
      <c r="L294" s="61" t="str">
        <f>IFERROR(__xludf.DUMMYFUNCTION("""COMPUTED_VALUE"""),"Wheeler  ")</f>
        <v>Wheeler  </v>
      </c>
      <c r="M294" s="61" t="str">
        <f>IFERROR(__xludf.DUMMYFUNCTION("""COMPUTED_VALUE"""),"3103")</f>
        <v>3103</v>
      </c>
      <c r="N294" s="61"/>
      <c r="O294" s="61"/>
      <c r="P294" s="61" t="b">
        <f>COUNTIF('Delivered SIR'!A:A, E294) &gt; 0</f>
        <v>0</v>
      </c>
    </row>
    <row r="295">
      <c r="A295" s="102" t="str">
        <f>IFERROR(__xludf.DUMMYFUNCTION("""COMPUTED_VALUE"""),"https://utrucking.com/admin/orders/5920539017404")</f>
        <v>https://utrucking.com/admin/orders/5920539017404</v>
      </c>
      <c r="B295" s="65" t="str">
        <f>IFERROR(__xludf.DUMMYFUNCTION("""COMPUTED_VALUE"""),"#15852")</f>
        <v>#15852</v>
      </c>
      <c r="C295" s="65"/>
      <c r="D295" s="65">
        <f>IFERROR(__xludf.DUMMYFUNCTION("""COMPUTED_VALUE"""),2.676162895E9)</f>
        <v>2676162895</v>
      </c>
      <c r="E295" s="65" t="str">
        <f>IFERROR(__xludf.DUMMYFUNCTION("""COMPUTED_VALUE"""),"Cecilia Idinopulos")</f>
        <v>Cecilia Idinopulos</v>
      </c>
      <c r="F295" s="65"/>
      <c r="G295" s="65" t="str">
        <f>IFERROR(__xludf.DUMMYFUNCTION("""COMPUTED_VALUE"""),"6006 Washington Boulevard, Floor 1
St Louis, Missouri 63112")</f>
        <v>6006 Washington Boulevard, Floor 1
St Louis, Missouri 63112</v>
      </c>
      <c r="H295" s="65" t="str">
        <f>IFERROR(__xludf.DUMMYFUNCTION("""COMPUTED_VALUE"""),"Storage Item Return")</f>
        <v>Storage Item Return</v>
      </c>
      <c r="I295" s="65" t="str">
        <f>IFERROR(__xludf.DUMMYFUNCTION("""COMPUTED_VALUE"""),"Non-University Housing ")</f>
        <v>Non-University Housing </v>
      </c>
      <c r="J295" s="108" t="str">
        <f>IFERROR(__xludf.DUMMYFUNCTION("""COMPUTED_VALUE"""),"11:00 AM to 01:00 PM   ")</f>
        <v>11:00 AM to 01:00 PM   </v>
      </c>
      <c r="K295" s="108">
        <f>IFERROR(__xludf.DUMMYFUNCTION("""COMPUTED_VALUE"""),45891.0)</f>
        <v>45891</v>
      </c>
      <c r="L295" s="65"/>
      <c r="M295" s="65"/>
      <c r="N295" s="65" t="str">
        <f>IFERROR(__xludf.DUMMYFUNCTION("""COMPUTED_VALUE"""),"6006 Washington Boulevard, Floor 1
St Louis, Missouri 63112")</f>
        <v>6006 Washington Boulevard, Floor 1
St Louis, Missouri 63112</v>
      </c>
      <c r="O295" s="65"/>
      <c r="P295" s="65" t="b">
        <f>COUNTIF('Delivered SIR'!A:A, E295) &gt; 0</f>
        <v>0</v>
      </c>
    </row>
    <row r="296">
      <c r="A296" s="99" t="str">
        <f>IFERROR(__xludf.DUMMYFUNCTION("""COMPUTED_VALUE"""),"https://utrucking.com/admin/orders/5920544981180")</f>
        <v>https://utrucking.com/admin/orders/5920544981180</v>
      </c>
      <c r="B296" s="61" t="str">
        <f>IFERROR(__xludf.DUMMYFUNCTION("""COMPUTED_VALUE"""),"#15853")</f>
        <v>#15853</v>
      </c>
      <c r="C296" s="61" t="str">
        <f>IFERROR(__xludf.DUMMYFUNCTION("""COMPUTED_VALUE"""),"katya@khesin.com")</f>
        <v>katya@khesin.com</v>
      </c>
      <c r="D296" s="61">
        <f>IFERROR(__xludf.DUMMYFUNCTION("""COMPUTED_VALUE"""),9.177251154E9)</f>
        <v>9177251154</v>
      </c>
      <c r="E296" s="61" t="str">
        <f>IFERROR(__xludf.DUMMYFUNCTION("""COMPUTED_VALUE"""),"Katya Khesin")</f>
        <v>Katya Khesin</v>
      </c>
      <c r="F296" s="61"/>
      <c r="G296" s="61"/>
      <c r="H296" s="61" t="str">
        <f>IFERROR(__xludf.DUMMYFUNCTION("""COMPUTED_VALUE"""),"Storage Item Return")</f>
        <v>Storage Item Return</v>
      </c>
      <c r="I296" s="61" t="str">
        <f>IFERROR(__xludf.DUMMYFUNCTION("""COMPUTED_VALUE"""),"University Housing ")</f>
        <v>University Housing </v>
      </c>
      <c r="J296" s="107" t="str">
        <f>IFERROR(__xludf.DUMMYFUNCTION("""COMPUTED_VALUE"""),"11:00 AM to 01:00 PM   ")</f>
        <v>11:00 AM to 01:00 PM   </v>
      </c>
      <c r="K296" s="107">
        <f>IFERROR(__xludf.DUMMYFUNCTION("""COMPUTED_VALUE"""),45890.0)</f>
        <v>45890</v>
      </c>
      <c r="L296" s="61" t="str">
        <f>IFERROR(__xludf.DUMMYFUNCTION("""COMPUTED_VALUE"""),"Lopata  ")</f>
        <v>Lopata  </v>
      </c>
      <c r="M296" s="61" t="str">
        <f>IFERROR(__xludf.DUMMYFUNCTION("""COMPUTED_VALUE"""),"3123")</f>
        <v>3123</v>
      </c>
      <c r="N296" s="61"/>
      <c r="O296" s="61"/>
      <c r="P296" s="61" t="b">
        <f>COUNTIF('Delivered SIR'!A:A, E296) &gt; 0</f>
        <v>1</v>
      </c>
    </row>
    <row r="297">
      <c r="A297" s="102" t="str">
        <f>IFERROR(__xludf.DUMMYFUNCTION("""COMPUTED_VALUE"""),"https://utrucking.com/admin/orders/5920619561148")</f>
        <v>https://utrucking.com/admin/orders/5920619561148</v>
      </c>
      <c r="B297" s="65" t="str">
        <f>IFERROR(__xludf.DUMMYFUNCTION("""COMPUTED_VALUE"""),"#15856")</f>
        <v>#15856</v>
      </c>
      <c r="C297" s="65"/>
      <c r="D297" s="65">
        <f>IFERROR(__xludf.DUMMYFUNCTION("""COMPUTED_VALUE"""),8.622169997E9)</f>
        <v>8622169997</v>
      </c>
      <c r="E297" s="65" t="str">
        <f>IFERROR(__xludf.DUMMYFUNCTION("""COMPUTED_VALUE"""),"Lila Promisel")</f>
        <v>Lila Promisel</v>
      </c>
      <c r="F297" s="65"/>
      <c r="G297" s="65" t="str">
        <f>IFERROR(__xludf.DUMMYFUNCTION("""COMPUTED_VALUE"""),"6805-1E Washington Avenue, Saint Louis, MO 63130")</f>
        <v>6805-1E Washington Avenue, Saint Louis, MO 63130</v>
      </c>
      <c r="H297" s="65" t="str">
        <f>IFERROR(__xludf.DUMMYFUNCTION("""COMPUTED_VALUE"""),"Storage Item Return")</f>
        <v>Storage Item Return</v>
      </c>
      <c r="I297" s="65" t="str">
        <f>IFERROR(__xludf.DUMMYFUNCTION("""COMPUTED_VALUE"""),"Non-University Housing ")</f>
        <v>Non-University Housing </v>
      </c>
      <c r="J297" s="108" t="str">
        <f>IFERROR(__xludf.DUMMYFUNCTION("""COMPUTED_VALUE"""),"12:00 PM to 02:00 PM   ")</f>
        <v>12:00 PM to 02:00 PM   </v>
      </c>
      <c r="K297" s="108">
        <f>IFERROR(__xludf.DUMMYFUNCTION("""COMPUTED_VALUE"""),45889.0)</f>
        <v>45889</v>
      </c>
      <c r="L297" s="65"/>
      <c r="M297" s="65"/>
      <c r="N297" s="65" t="str">
        <f>IFERROR(__xludf.DUMMYFUNCTION("""COMPUTED_VALUE"""),"6805-1E Washington Avenue, Saint Louis, MO 63130")</f>
        <v>6805-1E Washington Avenue, Saint Louis, MO 63130</v>
      </c>
      <c r="O297" s="65"/>
      <c r="P297" s="65" t="b">
        <f>COUNTIF('Delivered SIR'!A:A, E297) &gt; 0</f>
        <v>0</v>
      </c>
    </row>
    <row r="298">
      <c r="A298" s="99" t="str">
        <f>IFERROR(__xludf.DUMMYFUNCTION("""COMPUTED_VALUE"""),"https://utrucking.com/admin/orders/5920756236476")</f>
        <v>https://utrucking.com/admin/orders/5920756236476</v>
      </c>
      <c r="B298" s="61" t="str">
        <f>IFERROR(__xludf.DUMMYFUNCTION("""COMPUTED_VALUE"""),"#15863")</f>
        <v>#15863</v>
      </c>
      <c r="C298" s="61"/>
      <c r="D298" s="61">
        <f>IFERROR(__xludf.DUMMYFUNCTION("""COMPUTED_VALUE"""),2.152859232E9)</f>
        <v>2152859232</v>
      </c>
      <c r="E298" s="61" t="str">
        <f>IFERROR(__xludf.DUMMYFUNCTION("""COMPUTED_VALUE"""),"Nancy Katz")</f>
        <v>Nancy Katz</v>
      </c>
      <c r="F298" s="61"/>
      <c r="G298" s="61"/>
      <c r="H298" s="61" t="str">
        <f>IFERROR(__xludf.DUMMYFUNCTION("""COMPUTED_VALUE"""),"Storage Item Return")</f>
        <v>Storage Item Return</v>
      </c>
      <c r="I298" s="61" t="str">
        <f>IFERROR(__xludf.DUMMYFUNCTION("""COMPUTED_VALUE"""),"University Housing ")</f>
        <v>University Housing </v>
      </c>
      <c r="J298" s="107" t="str">
        <f>IFERROR(__xludf.DUMMYFUNCTION("""COMPUTED_VALUE"""),"09:00 AM to 11:00 AM   ")</f>
        <v>09:00 AM to 11:00 AM   </v>
      </c>
      <c r="K298" s="107">
        <f>IFERROR(__xludf.DUMMYFUNCTION("""COMPUTED_VALUE"""),45890.0)</f>
        <v>45890</v>
      </c>
      <c r="L298" s="61" t="str">
        <f>IFERROR(__xludf.DUMMYFUNCTION("""COMPUTED_VALUE"""),"Gregg  ")</f>
        <v>Gregg  </v>
      </c>
      <c r="M298" s="61" t="str">
        <f>IFERROR(__xludf.DUMMYFUNCTION("""COMPUTED_VALUE"""),"?")</f>
        <v>?</v>
      </c>
      <c r="N298" s="61"/>
      <c r="O298" s="61"/>
      <c r="P298" s="61" t="b">
        <f>COUNTIF('Delivered SIR'!A:A, E298) &gt; 0</f>
        <v>0</v>
      </c>
    </row>
    <row r="299">
      <c r="A299" s="102" t="str">
        <f>IFERROR(__xludf.DUMMYFUNCTION("""COMPUTED_VALUE"""),"https://utrucking.com/admin/orders/5920756564156")</f>
        <v>https://utrucking.com/admin/orders/5920756564156</v>
      </c>
      <c r="B299" s="65" t="str">
        <f>IFERROR(__xludf.DUMMYFUNCTION("""COMPUTED_VALUE"""),"#15864")</f>
        <v>#15864</v>
      </c>
      <c r="C299" s="65" t="str">
        <f>IFERROR(__xludf.DUMMYFUNCTION("""COMPUTED_VALUE"""),"b.grunzweig@wustl.edu")</f>
        <v>b.grunzweig@wustl.edu</v>
      </c>
      <c r="D299" s="65">
        <f>IFERROR(__xludf.DUMMYFUNCTION("""COMPUTED_VALUE"""),8.052845691E9)</f>
        <v>8052845691</v>
      </c>
      <c r="E299" s="65" t="str">
        <f>IFERROR(__xludf.DUMMYFUNCTION("""COMPUTED_VALUE"""),"Bernard Grunzweig")</f>
        <v>Bernard Grunzweig</v>
      </c>
      <c r="F299" s="65"/>
      <c r="G299" s="65"/>
      <c r="H299" s="65" t="str">
        <f>IFERROR(__xludf.DUMMYFUNCTION("""COMPUTED_VALUE"""),"Storage Item Return")</f>
        <v>Storage Item Return</v>
      </c>
      <c r="I299" s="65" t="str">
        <f>IFERROR(__xludf.DUMMYFUNCTION("""COMPUTED_VALUE"""),"University Housing ")</f>
        <v>University Housing </v>
      </c>
      <c r="J299" s="108" t="str">
        <f>IFERROR(__xludf.DUMMYFUNCTION("""COMPUTED_VALUE"""),"09:00 AM to 11:00 AM   ")</f>
        <v>09:00 AM to 11:00 AM   </v>
      </c>
      <c r="K299" s="108">
        <f>IFERROR(__xludf.DUMMYFUNCTION("""COMPUTED_VALUE"""),45889.0)</f>
        <v>45889</v>
      </c>
      <c r="L299" s="65" t="str">
        <f>IFERROR(__xludf.DUMMYFUNCTION("""COMPUTED_VALUE"""),"House 4 (Theta Xi)  ")</f>
        <v>House 4 (Theta Xi)  </v>
      </c>
      <c r="M299" s="65" t="str">
        <f>IFERROR(__xludf.DUMMYFUNCTION("""COMPUTED_VALUE"""),"209")</f>
        <v>209</v>
      </c>
      <c r="N299" s="65"/>
      <c r="O299" s="65"/>
      <c r="P299" s="65" t="b">
        <f>COUNTIF('Delivered SIR'!A:A, E299) &gt; 0</f>
        <v>0</v>
      </c>
    </row>
    <row r="300">
      <c r="A300" s="99" t="str">
        <f>IFERROR(__xludf.DUMMYFUNCTION("""COMPUTED_VALUE"""),"https://utrucking.com/admin/orders/5920791560380")</f>
        <v>https://utrucking.com/admin/orders/5920791560380</v>
      </c>
      <c r="B300" s="61" t="str">
        <f>IFERROR(__xludf.DUMMYFUNCTION("""COMPUTED_VALUE"""),"#15865")</f>
        <v>#15865</v>
      </c>
      <c r="C300" s="61" t="str">
        <f>IFERROR(__xludf.DUMMYFUNCTION("""COMPUTED_VALUE"""),"bae.k@wustl.edu")</f>
        <v>bae.k@wustl.edu</v>
      </c>
      <c r="D300" s="61">
        <f>IFERROR(__xludf.DUMMYFUNCTION("""COMPUTED_VALUE"""),9.043774154E9)</f>
        <v>9043774154</v>
      </c>
      <c r="E300" s="61" t="str">
        <f>IFERROR(__xludf.DUMMYFUNCTION("""COMPUTED_VALUE"""),"Chul Bae")</f>
        <v>Chul Bae</v>
      </c>
      <c r="F300" s="61"/>
      <c r="G300" s="61"/>
      <c r="H300" s="61" t="str">
        <f>IFERROR(__xludf.DUMMYFUNCTION("""COMPUTED_VALUE"""),"Storage Item Return")</f>
        <v>Storage Item Return</v>
      </c>
      <c r="I300" s="61" t="str">
        <f>IFERROR(__xludf.DUMMYFUNCTION("""COMPUTED_VALUE"""),"University Housing ")</f>
        <v>University Housing </v>
      </c>
      <c r="J300" s="107" t="str">
        <f>IFERROR(__xludf.DUMMYFUNCTION("""COMPUTED_VALUE"""),"11:00 AM to 01:00 PM   ")</f>
        <v>11:00 AM to 01:00 PM   </v>
      </c>
      <c r="K300" s="107">
        <f>IFERROR(__xludf.DUMMYFUNCTION("""COMPUTED_VALUE"""),45888.0)</f>
        <v>45888</v>
      </c>
      <c r="L300" s="61" t="str">
        <f>IFERROR(__xludf.DUMMYFUNCTION("""COMPUTED_VALUE"""),"Mudd  ")</f>
        <v>Mudd  </v>
      </c>
      <c r="M300" s="61" t="str">
        <f>IFERROR(__xludf.DUMMYFUNCTION("""COMPUTED_VALUE"""),"163")</f>
        <v>163</v>
      </c>
      <c r="N300" s="61"/>
      <c r="O300" s="61"/>
      <c r="P300" s="61" t="b">
        <f>COUNTIF('Delivered SIR'!A:A, E300) &gt; 0</f>
        <v>0</v>
      </c>
    </row>
    <row r="301">
      <c r="A301" s="102" t="str">
        <f>IFERROR(__xludf.DUMMYFUNCTION("""COMPUTED_VALUE"""),"https://utrucking.com/admin/orders/5920815612092")</f>
        <v>https://utrucking.com/admin/orders/5920815612092</v>
      </c>
      <c r="B301" s="65" t="str">
        <f>IFERROR(__xludf.DUMMYFUNCTION("""COMPUTED_VALUE"""),"#15866")</f>
        <v>#15866</v>
      </c>
      <c r="C301" s="65" t="str">
        <f>IFERROR(__xludf.DUMMYFUNCTION("""COMPUTED_VALUE"""),"chiu.d@wustl.edu")</f>
        <v>chiu.d@wustl.edu</v>
      </c>
      <c r="D301" s="65">
        <f>IFERROR(__xludf.DUMMYFUNCTION("""COMPUTED_VALUE"""),8.328982565E9)</f>
        <v>8328982565</v>
      </c>
      <c r="E301" s="65" t="str">
        <f>IFERROR(__xludf.DUMMYFUNCTION("""COMPUTED_VALUE"""),"Julie Chiu")</f>
        <v>Julie Chiu</v>
      </c>
      <c r="F301" s="65"/>
      <c r="G301" s="65"/>
      <c r="H301" s="65" t="str">
        <f>IFERROR(__xludf.DUMMYFUNCTION("""COMPUTED_VALUE"""),"Storage Item Return")</f>
        <v>Storage Item Return</v>
      </c>
      <c r="I301" s="65" t="str">
        <f>IFERROR(__xludf.DUMMYFUNCTION("""COMPUTED_VALUE"""),"University Housing ")</f>
        <v>University Housing </v>
      </c>
      <c r="J301" s="108" t="str">
        <f>IFERROR(__xludf.DUMMYFUNCTION("""COMPUTED_VALUE"""),"10:00 AM to 12:00 PM   ")</f>
        <v>10:00 AM to 12:00 PM   </v>
      </c>
      <c r="K301" s="108">
        <f>IFERROR(__xludf.DUMMYFUNCTION("""COMPUTED_VALUE"""),45889.0)</f>
        <v>45889</v>
      </c>
      <c r="L301" s="65" t="str">
        <f>IFERROR(__xludf.DUMMYFUNCTION("""COMPUTED_VALUE"""),"Gregg  ")</f>
        <v>Gregg  </v>
      </c>
      <c r="M301" s="65" t="str">
        <f>IFERROR(__xludf.DUMMYFUNCTION("""COMPUTED_VALUE"""),"1043 - a")</f>
        <v>1043 - a</v>
      </c>
      <c r="N301" s="65"/>
      <c r="O301" s="65"/>
      <c r="P301" s="65" t="b">
        <f>COUNTIF('Delivered SIR'!A:A, E301) &gt; 0</f>
        <v>0</v>
      </c>
    </row>
    <row r="302">
      <c r="A302" s="99" t="str">
        <f>IFERROR(__xludf.DUMMYFUNCTION("""COMPUTED_VALUE"""),"https://utrucking.com/admin/orders/5920836026556")</f>
        <v>https://utrucking.com/admin/orders/5920836026556</v>
      </c>
      <c r="B302" s="61" t="str">
        <f>IFERROR(__xludf.DUMMYFUNCTION("""COMPUTED_VALUE"""),"#15867")</f>
        <v>#15867</v>
      </c>
      <c r="C302" s="61" t="str">
        <f>IFERROR(__xludf.DUMMYFUNCTION("""COMPUTED_VALUE"""),"sagejones@gmail.com")</f>
        <v>sagejones@gmail.com</v>
      </c>
      <c r="D302" s="61">
        <f>IFERROR(__xludf.DUMMYFUNCTION("""COMPUTED_VALUE"""),7.32839525E9)</f>
        <v>7328395250</v>
      </c>
      <c r="E302" s="61" t="str">
        <f>IFERROR(__xludf.DUMMYFUNCTION("""COMPUTED_VALUE"""),"Sage Jones")</f>
        <v>Sage Jones</v>
      </c>
      <c r="F302" s="61"/>
      <c r="G302" s="61"/>
      <c r="H302" s="61" t="str">
        <f>IFERROR(__xludf.DUMMYFUNCTION("""COMPUTED_VALUE"""),"Storage Item Return")</f>
        <v>Storage Item Return</v>
      </c>
      <c r="I302" s="61" t="str">
        <f>IFERROR(__xludf.DUMMYFUNCTION("""COMPUTED_VALUE"""),"University Housing ")</f>
        <v>University Housing </v>
      </c>
      <c r="J302" s="107" t="str">
        <f>IFERROR(__xludf.DUMMYFUNCTION("""COMPUTED_VALUE"""),"09:00 AM to 11:00 AM   ")</f>
        <v>09:00 AM to 11:00 AM   </v>
      </c>
      <c r="K302" s="107">
        <f>IFERROR(__xludf.DUMMYFUNCTION("""COMPUTED_VALUE"""),45883.0)</f>
        <v>45883</v>
      </c>
      <c r="L302" s="61" t="str">
        <f>IFERROR(__xludf.DUMMYFUNCTION("""COMPUTED_VALUE"""),"Mudd  ")</f>
        <v>Mudd  </v>
      </c>
      <c r="M302" s="61" t="str">
        <f>IFERROR(__xludf.DUMMYFUNCTION("""COMPUTED_VALUE"""),"224")</f>
        <v>224</v>
      </c>
      <c r="N302" s="61"/>
      <c r="O302" s="61"/>
      <c r="P302" s="61" t="b">
        <f>COUNTIF('Delivered SIR'!A:A, E302) &gt; 0</f>
        <v>1</v>
      </c>
    </row>
    <row r="303">
      <c r="A303" s="102" t="str">
        <f>IFERROR(__xludf.DUMMYFUNCTION("""COMPUTED_VALUE"""),"https://utrucking.com/admin/orders/5920881705148")</f>
        <v>https://utrucking.com/admin/orders/5920881705148</v>
      </c>
      <c r="B303" s="65" t="str">
        <f>IFERROR(__xludf.DUMMYFUNCTION("""COMPUTED_VALUE"""),"#15870")</f>
        <v>#15870</v>
      </c>
      <c r="C303" s="65" t="str">
        <f>IFERROR(__xludf.DUMMYFUNCTION("""COMPUTED_VALUE"""),"brsbruins@gmail.com")</f>
        <v>brsbruins@gmail.com</v>
      </c>
      <c r="D303" s="65">
        <f>IFERROR(__xludf.DUMMYFUNCTION("""COMPUTED_VALUE"""),3.107391189E9)</f>
        <v>3107391189</v>
      </c>
      <c r="E303" s="65" t="str">
        <f>IFERROR(__xludf.DUMMYFUNCTION("""COMPUTED_VALUE"""),"Benjamin Santaella")</f>
        <v>Benjamin Santaella</v>
      </c>
      <c r="F303" s="65"/>
      <c r="G303" s="65"/>
      <c r="H303" s="65" t="str">
        <f>IFERROR(__xludf.DUMMYFUNCTION("""COMPUTED_VALUE"""),"Storage Item Return")</f>
        <v>Storage Item Return</v>
      </c>
      <c r="I303" s="65" t="str">
        <f>IFERROR(__xludf.DUMMYFUNCTION("""COMPUTED_VALUE"""),"University Housing ")</f>
        <v>University Housing </v>
      </c>
      <c r="J303" s="108" t="str">
        <f>IFERROR(__xludf.DUMMYFUNCTION("""COMPUTED_VALUE"""),"03:00 PM to 05:00 PM ")</f>
        <v>03:00 PM to 05:00 PM </v>
      </c>
      <c r="K303" s="108">
        <f>IFERROR(__xludf.DUMMYFUNCTION("""COMPUTED_VALUE"""),45890.0)</f>
        <v>45890</v>
      </c>
      <c r="L303" s="65" t="str">
        <f>IFERROR(__xludf.DUMMYFUNCTION("""COMPUTED_VALUE"""),"Greenway Apartments  ")</f>
        <v>Greenway Apartments  </v>
      </c>
      <c r="M303" s="65" t="str">
        <f>IFERROR(__xludf.DUMMYFUNCTION("""COMPUTED_VALUE"""),"Greenway - 138-C - a")</f>
        <v>Greenway - 138-C - a</v>
      </c>
      <c r="N303" s="65"/>
      <c r="O303" s="65"/>
      <c r="P303" s="65" t="b">
        <f>COUNTIF('Delivered SIR'!A:A, E303) &gt; 0</f>
        <v>0</v>
      </c>
    </row>
    <row r="304">
      <c r="A304" s="99" t="str">
        <f>IFERROR(__xludf.DUMMYFUNCTION("""COMPUTED_VALUE"""),"https://utrucking.com/admin/orders/5920888357052")</f>
        <v>https://utrucking.com/admin/orders/5920888357052</v>
      </c>
      <c r="B304" s="61" t="str">
        <f>IFERROR(__xludf.DUMMYFUNCTION("""COMPUTED_VALUE"""),"#15872")</f>
        <v>#15872</v>
      </c>
      <c r="C304" s="61"/>
      <c r="D304" s="61">
        <f>IFERROR(__xludf.DUMMYFUNCTION("""COMPUTED_VALUE"""),7.724974219E9)</f>
        <v>7724974219</v>
      </c>
      <c r="E304" s="61" t="str">
        <f>IFERROR(__xludf.DUMMYFUNCTION("""COMPUTED_VALUE"""),"Sela Rosen")</f>
        <v>Sela Rosen</v>
      </c>
      <c r="F304" s="61"/>
      <c r="G304" s="61"/>
      <c r="H304" s="61" t="str">
        <f>IFERROR(__xludf.DUMMYFUNCTION("""COMPUTED_VALUE"""),"Storage Item Return")</f>
        <v>Storage Item Return</v>
      </c>
      <c r="I304" s="61" t="str">
        <f>IFERROR(__xludf.DUMMYFUNCTION("""COMPUTED_VALUE"""),"University Housing ")</f>
        <v>University Housing </v>
      </c>
      <c r="J304" s="107" t="str">
        <f>IFERROR(__xludf.DUMMYFUNCTION("""COMPUTED_VALUE"""),"10:00 AM to 12:00 PM   ")</f>
        <v>10:00 AM to 12:00 PM   </v>
      </c>
      <c r="K304" s="107">
        <f>IFERROR(__xludf.DUMMYFUNCTION("""COMPUTED_VALUE"""),45890.0)</f>
        <v>45890</v>
      </c>
      <c r="L304" s="61" t="str">
        <f>IFERROR(__xludf.DUMMYFUNCTION("""COMPUTED_VALUE"""),"Greenway Apartments  ")</f>
        <v>Greenway Apartments  </v>
      </c>
      <c r="M304" s="61" t="str">
        <f>IFERROR(__xludf.DUMMYFUNCTION("""COMPUTED_VALUE"""),"113A")</f>
        <v>113A</v>
      </c>
      <c r="N304" s="61"/>
      <c r="O304" s="61"/>
      <c r="P304" s="61" t="b">
        <f>COUNTIF('Delivered SIR'!A:A, E304) &gt; 0</f>
        <v>1</v>
      </c>
    </row>
    <row r="305">
      <c r="A305" s="102" t="str">
        <f>IFERROR(__xludf.DUMMYFUNCTION("""COMPUTED_VALUE"""),"https://utrucking.com/admin/orders/5920933347516")</f>
        <v>https://utrucking.com/admin/orders/5920933347516</v>
      </c>
      <c r="B305" s="65" t="str">
        <f>IFERROR(__xludf.DUMMYFUNCTION("""COMPUTED_VALUE"""),"#15873")</f>
        <v>#15873</v>
      </c>
      <c r="C305" s="65" t="str">
        <f>IFERROR(__xludf.DUMMYFUNCTION("""COMPUTED_VALUE"""),"bgeneva@wustl.edu")</f>
        <v>bgeneva@wustl.edu</v>
      </c>
      <c r="D305" s="65">
        <f>IFERROR(__xludf.DUMMYFUNCTION("""COMPUTED_VALUE"""),6.178627945E9)</f>
        <v>6178627945</v>
      </c>
      <c r="E305" s="65" t="str">
        <f>IFERROR(__xludf.DUMMYFUNCTION("""COMPUTED_VALUE"""),"Geneva Burkitt")</f>
        <v>Geneva Burkitt</v>
      </c>
      <c r="F305" s="65"/>
      <c r="G305" s="65"/>
      <c r="H305" s="65" t="str">
        <f>IFERROR(__xludf.DUMMYFUNCTION("""COMPUTED_VALUE"""),"Storage Item Return")</f>
        <v>Storage Item Return</v>
      </c>
      <c r="I305" s="65" t="str">
        <f>IFERROR(__xludf.DUMMYFUNCTION("""COMPUTED_VALUE"""),"University Housing ")</f>
        <v>University Housing </v>
      </c>
      <c r="J305" s="108" t="str">
        <f>IFERROR(__xludf.DUMMYFUNCTION("""COMPUTED_VALUE"""),"09:00 AM to 11:00 AM   ")</f>
        <v>09:00 AM to 11:00 AM   </v>
      </c>
      <c r="K305" s="108">
        <f>IFERROR(__xludf.DUMMYFUNCTION("""COMPUTED_VALUE"""),45875.0)</f>
        <v>45875</v>
      </c>
      <c r="L305" s="65" t="str">
        <f>IFERROR(__xludf.DUMMYFUNCTION("""COMPUTED_VALUE"""),"Zetcher  ")</f>
        <v>Zetcher  </v>
      </c>
      <c r="M305" s="65" t="str">
        <f>IFERROR(__xludf.DUMMYFUNCTION("""COMPUTED_VALUE"""),"3153")</f>
        <v>3153</v>
      </c>
      <c r="N305" s="65"/>
      <c r="O305" s="65"/>
      <c r="P305" s="65" t="b">
        <f>COUNTIF('Delivered SIR'!A:A, E305) &gt; 0</f>
        <v>1</v>
      </c>
    </row>
    <row r="306">
      <c r="A306" s="99" t="str">
        <f>IFERROR(__xludf.DUMMYFUNCTION("""COMPUTED_VALUE"""),"https://utrucking.com/admin/orders/5921016545468")</f>
        <v>https://utrucking.com/admin/orders/5921016545468</v>
      </c>
      <c r="B306" s="61" t="str">
        <f>IFERROR(__xludf.DUMMYFUNCTION("""COMPUTED_VALUE"""),"#15875")</f>
        <v>#15875</v>
      </c>
      <c r="C306" s="61" t="str">
        <f>IFERROR(__xludf.DUMMYFUNCTION("""COMPUTED_VALUE"""),"cmaggie@wustl.edu")</f>
        <v>cmaggie@wustl.edu</v>
      </c>
      <c r="D306" s="61">
        <f>IFERROR(__xludf.DUMMYFUNCTION("""COMPUTED_VALUE"""),5.038398163E9)</f>
        <v>5038398163</v>
      </c>
      <c r="E306" s="61" t="str">
        <f>IFERROR(__xludf.DUMMYFUNCTION("""COMPUTED_VALUE"""),"Margaret Crimmins")</f>
        <v>Margaret Crimmins</v>
      </c>
      <c r="F306" s="61"/>
      <c r="G306" s="61"/>
      <c r="H306" s="61" t="str">
        <f>IFERROR(__xludf.DUMMYFUNCTION("""COMPUTED_VALUE"""),"Storage Item Return")</f>
        <v>Storage Item Return</v>
      </c>
      <c r="I306" s="61" t="str">
        <f>IFERROR(__xludf.DUMMYFUNCTION("""COMPUTED_VALUE"""),"University Housing ")</f>
        <v>University Housing </v>
      </c>
      <c r="J306" s="107" t="str">
        <f>IFERROR(__xludf.DUMMYFUNCTION("""COMPUTED_VALUE"""),"09:00 AM to 11:00 AM   ")</f>
        <v>09:00 AM to 11:00 AM   </v>
      </c>
      <c r="K306" s="107">
        <f>IFERROR(__xludf.DUMMYFUNCTION("""COMPUTED_VALUE"""),45888.0)</f>
        <v>45888</v>
      </c>
      <c r="L306" s="61" t="str">
        <f>IFERROR(__xludf.DUMMYFUNCTION("""COMPUTED_VALUE"""),"6801 University Drive  ")</f>
        <v>6801 University Drive  </v>
      </c>
      <c r="M306" s="61" t="str">
        <f>IFERROR(__xludf.DUMMYFUNCTION("""COMPUTED_VALUE"""),"2W-A")</f>
        <v>2W-A</v>
      </c>
      <c r="N306" s="61"/>
      <c r="O306" s="61"/>
      <c r="P306" s="61" t="b">
        <f>COUNTIF('Delivered SIR'!A:A, E306) &gt; 0</f>
        <v>0</v>
      </c>
    </row>
    <row r="307">
      <c r="A307" s="102" t="str">
        <f>IFERROR(__xludf.DUMMYFUNCTION("""COMPUTED_VALUE"""),"https://utrucking.com/admin/orders/5921125728444")</f>
        <v>https://utrucking.com/admin/orders/5921125728444</v>
      </c>
      <c r="B307" s="65" t="str">
        <f>IFERROR(__xludf.DUMMYFUNCTION("""COMPUTED_VALUE"""),"#15877")</f>
        <v>#15877</v>
      </c>
      <c r="C307" s="65" t="str">
        <f>IFERROR(__xludf.DUMMYFUNCTION("""COMPUTED_VALUE"""),"viviennechung13@gmail.com")</f>
        <v>viviennechung13@gmail.com</v>
      </c>
      <c r="D307" s="65">
        <f>IFERROR(__xludf.DUMMYFUNCTION("""COMPUTED_VALUE"""),3.149405449E9)</f>
        <v>3149405449</v>
      </c>
      <c r="E307" s="65" t="str">
        <f>IFERROR(__xludf.DUMMYFUNCTION("""COMPUTED_VALUE"""),"Vivienne Chung")</f>
        <v>Vivienne Chung</v>
      </c>
      <c r="F307" s="65"/>
      <c r="G307" s="65"/>
      <c r="H307" s="65" t="str">
        <f>IFERROR(__xludf.DUMMYFUNCTION("""COMPUTED_VALUE"""),"Storage Item Return")</f>
        <v>Storage Item Return</v>
      </c>
      <c r="I307" s="65" t="str">
        <f>IFERROR(__xludf.DUMMYFUNCTION("""COMPUTED_VALUE"""),"University Housing ")</f>
        <v>University Housing </v>
      </c>
      <c r="J307" s="108" t="str">
        <f>IFERROR(__xludf.DUMMYFUNCTION("""COMPUTED_VALUE"""),"01:00 PM to 03:00 PM   ")</f>
        <v>01:00 PM to 03:00 PM   </v>
      </c>
      <c r="K307" s="108">
        <f>IFERROR(__xludf.DUMMYFUNCTION("""COMPUTED_VALUE"""),45889.0)</f>
        <v>45889</v>
      </c>
      <c r="L307" s="65" t="str">
        <f>IFERROR(__xludf.DUMMYFUNCTION("""COMPUTED_VALUE"""),"Village East  ")</f>
        <v>Village East  </v>
      </c>
      <c r="M307" s="65" t="str">
        <f>IFERROR(__xludf.DUMMYFUNCTION("""COMPUTED_VALUE"""),"2073")</f>
        <v>2073</v>
      </c>
      <c r="N307" s="65"/>
      <c r="O307" s="65"/>
      <c r="P307" s="65" t="b">
        <f>COUNTIF('Delivered SIR'!A:A, E307) &gt; 0</f>
        <v>1</v>
      </c>
    </row>
    <row r="308">
      <c r="A308" s="99" t="str">
        <f>IFERROR(__xludf.DUMMYFUNCTION("""COMPUTED_VALUE"""),"https://utrucking.com/admin/orders/5921302610108")</f>
        <v>https://utrucking.com/admin/orders/5921302610108</v>
      </c>
      <c r="B308" s="61" t="str">
        <f>IFERROR(__xludf.DUMMYFUNCTION("""COMPUTED_VALUE"""),"#15881")</f>
        <v>#15881</v>
      </c>
      <c r="C308" s="61" t="str">
        <f>IFERROR(__xludf.DUMMYFUNCTION("""COMPUTED_VALUE"""),"c.b.merce@wustl.edu")</f>
        <v>c.b.merce@wustl.edu</v>
      </c>
      <c r="D308" s="61">
        <f>IFERROR(__xludf.DUMMYFUNCTION("""COMPUTED_VALUE"""),3.148104007E9)</f>
        <v>3148104007</v>
      </c>
      <c r="E308" s="61" t="str">
        <f>IFERROR(__xludf.DUMMYFUNCTION("""COMPUTED_VALUE"""),"Coleman Merce")</f>
        <v>Coleman Merce</v>
      </c>
      <c r="F308" s="61"/>
      <c r="G308" s="61"/>
      <c r="H308" s="61" t="str">
        <f>IFERROR(__xludf.DUMMYFUNCTION("""COMPUTED_VALUE"""),"Storage Item Return")</f>
        <v>Storage Item Return</v>
      </c>
      <c r="I308" s="61" t="str">
        <f>IFERROR(__xludf.DUMMYFUNCTION("""COMPUTED_VALUE"""),"University Housing ")</f>
        <v>University Housing </v>
      </c>
      <c r="J308" s="107" t="str">
        <f>IFERROR(__xludf.DUMMYFUNCTION("""COMPUTED_VALUE"""),"09:00 AM to 11:00 AM   ")</f>
        <v>09:00 AM to 11:00 AM   </v>
      </c>
      <c r="K308" s="107">
        <f>IFERROR(__xludf.DUMMYFUNCTION("""COMPUTED_VALUE"""),45887.0)</f>
        <v>45887</v>
      </c>
      <c r="L308" s="61" t="str">
        <f>IFERROR(__xludf.DUMMYFUNCTION("""COMPUTED_VALUE"""),"Eliot B  ")</f>
        <v>Eliot B  </v>
      </c>
      <c r="M308" s="61" t="str">
        <f>IFERROR(__xludf.DUMMYFUNCTION("""COMPUTED_VALUE"""),"2034 - a")</f>
        <v>2034 - a</v>
      </c>
      <c r="N308" s="61"/>
      <c r="O308" s="61"/>
      <c r="P308" s="61" t="b">
        <f>COUNTIF('Delivered SIR'!A:A, E308) &gt; 0</f>
        <v>1</v>
      </c>
    </row>
    <row r="309">
      <c r="A309" s="102" t="str">
        <f>IFERROR(__xludf.DUMMYFUNCTION("""COMPUTED_VALUE"""),"https://utrucking.com/admin/orders/5921335640252")</f>
        <v>https://utrucking.com/admin/orders/5921335640252</v>
      </c>
      <c r="B309" s="65" t="str">
        <f>IFERROR(__xludf.DUMMYFUNCTION("""COMPUTED_VALUE"""),"#15882")</f>
        <v>#15882</v>
      </c>
      <c r="C309" s="65" t="str">
        <f>IFERROR(__xludf.DUMMYFUNCTION("""COMPUTED_VALUE"""),"i.jaegy@wustl.edu")</f>
        <v>i.jaegy@wustl.edu</v>
      </c>
      <c r="D309" s="65">
        <f>IFERROR(__xludf.DUMMYFUNCTION("""COMPUTED_VALUE"""),8.325135528E9)</f>
        <v>8325135528</v>
      </c>
      <c r="E309" s="65" t="str">
        <f>IFERROR(__xludf.DUMMYFUNCTION("""COMPUTED_VALUE"""),"Ina Jaegy")</f>
        <v>Ina Jaegy</v>
      </c>
      <c r="F309" s="65"/>
      <c r="G309" s="65"/>
      <c r="H309" s="65" t="str">
        <f>IFERROR(__xludf.DUMMYFUNCTION("""COMPUTED_VALUE"""),"Storage Item Return")</f>
        <v>Storage Item Return</v>
      </c>
      <c r="I309" s="65" t="str">
        <f>IFERROR(__xludf.DUMMYFUNCTION("""COMPUTED_VALUE"""),"University Housing ")</f>
        <v>University Housing </v>
      </c>
      <c r="J309" s="108" t="str">
        <f>IFERROR(__xludf.DUMMYFUNCTION("""COMPUTED_VALUE"""),"09:00 AM to 11:00 AM   ")</f>
        <v>09:00 AM to 11:00 AM   </v>
      </c>
      <c r="K309" s="108">
        <f>IFERROR(__xludf.DUMMYFUNCTION("""COMPUTED_VALUE"""),45888.0)</f>
        <v>45888</v>
      </c>
      <c r="L309" s="65" t="str">
        <f>IFERROR(__xludf.DUMMYFUNCTION("""COMPUTED_VALUE"""),"Millbrook Bldg. 4  ")</f>
        <v>Millbrook Bldg. 4  </v>
      </c>
      <c r="M309" s="65" t="str">
        <f>IFERROR(__xludf.DUMMYFUNCTION("""COMPUTED_VALUE"""),"104E")</f>
        <v>104E</v>
      </c>
      <c r="N309" s="65"/>
      <c r="O309" s="65"/>
      <c r="P309" s="65" t="b">
        <f>COUNTIF('Delivered SIR'!A:A, E309) &gt; 0</f>
        <v>1</v>
      </c>
    </row>
    <row r="310">
      <c r="A310" s="99" t="str">
        <f>IFERROR(__xludf.DUMMYFUNCTION("""COMPUTED_VALUE"""),"https://utrucking.com/admin/orders/5921359364284")</f>
        <v>https://utrucking.com/admin/orders/5921359364284</v>
      </c>
      <c r="B310" s="61" t="str">
        <f>IFERROR(__xludf.DUMMYFUNCTION("""COMPUTED_VALUE"""),"#15883")</f>
        <v>#15883</v>
      </c>
      <c r="C310" s="61" t="str">
        <f>IFERROR(__xludf.DUMMYFUNCTION("""COMPUTED_VALUE"""),"n.paris@wustl.edu")</f>
        <v>n.paris@wustl.edu</v>
      </c>
      <c r="D310" s="61">
        <f>IFERROR(__xludf.DUMMYFUNCTION("""COMPUTED_VALUE"""),2.135980311E9)</f>
        <v>2135980311</v>
      </c>
      <c r="E310" s="61" t="str">
        <f>IFERROR(__xludf.DUMMYFUNCTION("""COMPUTED_VALUE"""),"Selina Howard")</f>
        <v>Selina Howard</v>
      </c>
      <c r="F310" s="61"/>
      <c r="G310" s="61"/>
      <c r="H310" s="61" t="str">
        <f>IFERROR(__xludf.DUMMYFUNCTION("""COMPUTED_VALUE"""),"Storage Item Return")</f>
        <v>Storage Item Return</v>
      </c>
      <c r="I310" s="61" t="str">
        <f>IFERROR(__xludf.DUMMYFUNCTION("""COMPUTED_VALUE"""),"University Housing ")</f>
        <v>University Housing </v>
      </c>
      <c r="J310" s="107" t="str">
        <f>IFERROR(__xludf.DUMMYFUNCTION("""COMPUTED_VALUE"""),"09:00 AM to 11:00 AM   ")</f>
        <v>09:00 AM to 11:00 AM   </v>
      </c>
      <c r="K310" s="107">
        <f>IFERROR(__xludf.DUMMYFUNCTION("""COMPUTED_VALUE"""),45882.0)</f>
        <v>45882</v>
      </c>
      <c r="L310" s="61" t="str">
        <f>IFERROR(__xludf.DUMMYFUNCTION("""COMPUTED_VALUE"""),"Eliot B  ")</f>
        <v>Eliot B  </v>
      </c>
      <c r="M310" s="61" t="str">
        <f>IFERROR(__xludf.DUMMYFUNCTION("""COMPUTED_VALUE"""),"4040 - b")</f>
        <v>4040 - b</v>
      </c>
      <c r="N310" s="61"/>
      <c r="O310" s="61"/>
      <c r="P310" s="61" t="b">
        <f>COUNTIF('Delivered SIR'!A:A, E310) &gt; 0</f>
        <v>0</v>
      </c>
    </row>
    <row r="311">
      <c r="A311" s="102" t="str">
        <f>IFERROR(__xludf.DUMMYFUNCTION("""COMPUTED_VALUE"""),"https://utrucking.com/admin/orders/5921388822716")</f>
        <v>https://utrucking.com/admin/orders/5921388822716</v>
      </c>
      <c r="B311" s="65" t="str">
        <f>IFERROR(__xludf.DUMMYFUNCTION("""COMPUTED_VALUE"""),"#15886")</f>
        <v>#15886</v>
      </c>
      <c r="C311" s="65" t="str">
        <f>IFERROR(__xludf.DUMMYFUNCTION("""COMPUTED_VALUE"""),"cradgerson@gmail.com")</f>
        <v>cradgerson@gmail.com</v>
      </c>
      <c r="D311" s="65">
        <f>IFERROR(__xludf.DUMMYFUNCTION("""COMPUTED_VALUE"""),9.172460728E9)</f>
        <v>9172460728</v>
      </c>
      <c r="E311" s="65" t="str">
        <f>IFERROR(__xludf.DUMMYFUNCTION("""COMPUTED_VALUE"""),"Conrad Gerson")</f>
        <v>Conrad Gerson</v>
      </c>
      <c r="F311" s="65"/>
      <c r="G311" s="65"/>
      <c r="H311" s="65" t="str">
        <f>IFERROR(__xludf.DUMMYFUNCTION("""COMPUTED_VALUE"""),"Storage Item Return")</f>
        <v>Storage Item Return</v>
      </c>
      <c r="I311" s="65" t="str">
        <f>IFERROR(__xludf.DUMMYFUNCTION("""COMPUTED_VALUE"""),"University Housing ")</f>
        <v>University Housing </v>
      </c>
      <c r="J311" s="108" t="str">
        <f>IFERROR(__xludf.DUMMYFUNCTION("""COMPUTED_VALUE"""),"09:00 AM to 11:00 AM   ")</f>
        <v>09:00 AM to 11:00 AM   </v>
      </c>
      <c r="K311" s="108">
        <f>IFERROR(__xludf.DUMMYFUNCTION("""COMPUTED_VALUE"""),45890.0)</f>
        <v>45890</v>
      </c>
      <c r="L311" s="65" t="str">
        <f>IFERROR(__xludf.DUMMYFUNCTION("""COMPUTED_VALUE"""),"House 21 (Alpha Epsilon Pi)  ")</f>
        <v>House 21 (Alpha Epsilon Pi)  </v>
      </c>
      <c r="M311" s="65" t="str">
        <f>IFERROR(__xludf.DUMMYFUNCTION("""COMPUTED_VALUE"""),"3062")</f>
        <v>3062</v>
      </c>
      <c r="N311" s="65"/>
      <c r="O311" s="65"/>
      <c r="P311" s="65" t="b">
        <f>COUNTIF('Delivered SIR'!A:A, E311) &gt; 0</f>
        <v>1</v>
      </c>
    </row>
    <row r="312">
      <c r="A312" s="99" t="str">
        <f>IFERROR(__xludf.DUMMYFUNCTION("""COMPUTED_VALUE"""),"https://utrucking.com/admin/orders/5921422409916")</f>
        <v>https://utrucking.com/admin/orders/5921422409916</v>
      </c>
      <c r="B312" s="61" t="str">
        <f>IFERROR(__xludf.DUMMYFUNCTION("""COMPUTED_VALUE"""),"#15888")</f>
        <v>#15888</v>
      </c>
      <c r="C312" s="61" t="str">
        <f>IFERROR(__xludf.DUMMYFUNCTION("""COMPUTED_VALUE"""),"k.margot@wustl.edu")</f>
        <v>k.margot@wustl.edu</v>
      </c>
      <c r="D312" s="61">
        <f>IFERROR(__xludf.DUMMYFUNCTION("""COMPUTED_VALUE"""),7.13321044E9)</f>
        <v>7133210440</v>
      </c>
      <c r="E312" s="61" t="str">
        <f>IFERROR(__xludf.DUMMYFUNCTION("""COMPUTED_VALUE"""),"Margot Kades")</f>
        <v>Margot Kades</v>
      </c>
      <c r="F312" s="61"/>
      <c r="G312" s="61"/>
      <c r="H312" s="61" t="str">
        <f>IFERROR(__xludf.DUMMYFUNCTION("""COMPUTED_VALUE"""),"Storage Item Return")</f>
        <v>Storage Item Return</v>
      </c>
      <c r="I312" s="61" t="str">
        <f>IFERROR(__xludf.DUMMYFUNCTION("""COMPUTED_VALUE"""),"University Housing ")</f>
        <v>University Housing </v>
      </c>
      <c r="J312" s="107" t="str">
        <f>IFERROR(__xludf.DUMMYFUNCTION("""COMPUTED_VALUE"""),"09:00 AM to 11:00 AM   ")</f>
        <v>09:00 AM to 11:00 AM   </v>
      </c>
      <c r="K312" s="107">
        <f>IFERROR(__xludf.DUMMYFUNCTION("""COMPUTED_VALUE"""),45881.0)</f>
        <v>45881</v>
      </c>
      <c r="L312" s="61" t="str">
        <f>IFERROR(__xludf.DUMMYFUNCTION("""COMPUTED_VALUE"""),"Greenway Apartments  ")</f>
        <v>Greenway Apartments  </v>
      </c>
      <c r="M312" s="61" t="str">
        <f>IFERROR(__xludf.DUMMYFUNCTION("""COMPUTED_VALUE"""),"Apartment 112-A")</f>
        <v>Apartment 112-A</v>
      </c>
      <c r="N312" s="61"/>
      <c r="O312" s="61"/>
      <c r="P312" s="61" t="b">
        <f>COUNTIF('Delivered SIR'!A:A, E312) &gt; 0</f>
        <v>1</v>
      </c>
    </row>
    <row r="313">
      <c r="A313" s="102" t="str">
        <f>IFERROR(__xludf.DUMMYFUNCTION("""COMPUTED_VALUE"""),"https://utrucking.com/admin/orders/5921484669116")</f>
        <v>https://utrucking.com/admin/orders/5921484669116</v>
      </c>
      <c r="B313" s="65" t="str">
        <f>IFERROR(__xludf.DUMMYFUNCTION("""COMPUTED_VALUE"""),"#15889")</f>
        <v>#15889</v>
      </c>
      <c r="C313" s="65" t="str">
        <f>IFERROR(__xludf.DUMMYFUNCTION("""COMPUTED_VALUE"""),"ryantchao@yahoo.com")</f>
        <v>ryantchao@yahoo.com</v>
      </c>
      <c r="D313" s="65">
        <f>IFERROR(__xludf.DUMMYFUNCTION("""COMPUTED_VALUE"""),4.159488426E9)</f>
        <v>4159488426</v>
      </c>
      <c r="E313" s="65" t="str">
        <f>IFERROR(__xludf.DUMMYFUNCTION("""COMPUTED_VALUE"""),"Lynne Lee")</f>
        <v>Lynne Lee</v>
      </c>
      <c r="F313" s="65"/>
      <c r="G313" s="65"/>
      <c r="H313" s="65" t="str">
        <f>IFERROR(__xludf.DUMMYFUNCTION("""COMPUTED_VALUE"""),"Storage Item Return")</f>
        <v>Storage Item Return</v>
      </c>
      <c r="I313" s="65" t="str">
        <f>IFERROR(__xludf.DUMMYFUNCTION("""COMPUTED_VALUE"""),"University Housing ")</f>
        <v>University Housing </v>
      </c>
      <c r="J313" s="108" t="str">
        <f>IFERROR(__xludf.DUMMYFUNCTION("""COMPUTED_VALUE"""),"09:00 AM to 11:00 AM   ")</f>
        <v>09:00 AM to 11:00 AM   </v>
      </c>
      <c r="K313" s="108">
        <f>IFERROR(__xludf.DUMMYFUNCTION("""COMPUTED_VALUE"""),45889.0)</f>
        <v>45889</v>
      </c>
      <c r="L313" s="65" t="str">
        <f>IFERROR(__xludf.DUMMYFUNCTION("""COMPUTED_VALUE"""),"Mudd  ")</f>
        <v>Mudd  </v>
      </c>
      <c r="M313" s="65" t="str">
        <f>IFERROR(__xludf.DUMMYFUNCTION("""COMPUTED_VALUE"""),"152A")</f>
        <v>152A</v>
      </c>
      <c r="N313" s="65"/>
      <c r="O313" s="65"/>
      <c r="P313" s="65" t="b">
        <f>COUNTIF('Delivered SIR'!A:A, E313) &gt; 0</f>
        <v>0</v>
      </c>
    </row>
    <row r="314">
      <c r="A314" s="99" t="str">
        <f>IFERROR(__xludf.DUMMYFUNCTION("""COMPUTED_VALUE"""),"https://utrucking.com/admin/orders/5921493942460")</f>
        <v>https://utrucking.com/admin/orders/5921493942460</v>
      </c>
      <c r="B314" s="61" t="str">
        <f>IFERROR(__xludf.DUMMYFUNCTION("""COMPUTED_VALUE"""),"#15891")</f>
        <v>#15891</v>
      </c>
      <c r="C314" s="61" t="str">
        <f>IFERROR(__xludf.DUMMYFUNCTION("""COMPUTED_VALUE"""),"anniehlavka@gmail.com")</f>
        <v>anniehlavka@gmail.com</v>
      </c>
      <c r="D314" s="61">
        <f>IFERROR(__xludf.DUMMYFUNCTION("""COMPUTED_VALUE"""),6.504228482E9)</f>
        <v>6504228482</v>
      </c>
      <c r="E314" s="61" t="str">
        <f>IFERROR(__xludf.DUMMYFUNCTION("""COMPUTED_VALUE"""),"Anne Hlavka")</f>
        <v>Anne Hlavka</v>
      </c>
      <c r="F314" s="61"/>
      <c r="G314" s="61"/>
      <c r="H314" s="61" t="str">
        <f>IFERROR(__xludf.DUMMYFUNCTION("""COMPUTED_VALUE"""),"Storage Item Return")</f>
        <v>Storage Item Return</v>
      </c>
      <c r="I314" s="61" t="str">
        <f>IFERROR(__xludf.DUMMYFUNCTION("""COMPUTED_VALUE"""),"University Housing ")</f>
        <v>University Housing </v>
      </c>
      <c r="J314" s="107" t="str">
        <f>IFERROR(__xludf.DUMMYFUNCTION("""COMPUTED_VALUE"""),"09:00 AM to 11:00 AM   ")</f>
        <v>09:00 AM to 11:00 AM   </v>
      </c>
      <c r="K314" s="107">
        <f>IFERROR(__xludf.DUMMYFUNCTION("""COMPUTED_VALUE"""),45889.0)</f>
        <v>45889</v>
      </c>
      <c r="L314" s="61" t="str">
        <f>IFERROR(__xludf.DUMMYFUNCTION("""COMPUTED_VALUE"""),"Beaumont  ")</f>
        <v>Beaumont  </v>
      </c>
      <c r="M314" s="61" t="str">
        <f>IFERROR(__xludf.DUMMYFUNCTION("""COMPUTED_VALUE"""),"205")</f>
        <v>205</v>
      </c>
      <c r="N314" s="61"/>
      <c r="O314" s="61"/>
      <c r="P314" s="61" t="b">
        <f>COUNTIF('Delivered SIR'!A:A, E314) &gt; 0</f>
        <v>0</v>
      </c>
    </row>
    <row r="315">
      <c r="A315" s="102" t="str">
        <f>IFERROR(__xludf.DUMMYFUNCTION("""COMPUTED_VALUE"""),"https://utrucking.com/admin/orders/5921555054780")</f>
        <v>https://utrucking.com/admin/orders/5921555054780</v>
      </c>
      <c r="B315" s="65" t="str">
        <f>IFERROR(__xludf.DUMMYFUNCTION("""COMPUTED_VALUE"""),"#15894")</f>
        <v>#15894</v>
      </c>
      <c r="C315" s="65" t="str">
        <f>IFERROR(__xludf.DUMMYFUNCTION("""COMPUTED_VALUE"""),"hera@wustl.edu")</f>
        <v>hera@wustl.edu</v>
      </c>
      <c r="D315" s="65">
        <f>IFERROR(__xludf.DUMMYFUNCTION("""COMPUTED_VALUE"""),7.032232616E9)</f>
        <v>7032232616</v>
      </c>
      <c r="E315" s="65" t="str">
        <f>IFERROR(__xludf.DUMMYFUNCTION("""COMPUTED_VALUE"""),"Hera Kim")</f>
        <v>Hera Kim</v>
      </c>
      <c r="F315" s="65"/>
      <c r="G315" s="65"/>
      <c r="H315" s="65" t="str">
        <f>IFERROR(__xludf.DUMMYFUNCTION("""COMPUTED_VALUE"""),"Storage Item Return")</f>
        <v>Storage Item Return</v>
      </c>
      <c r="I315" s="65" t="str">
        <f>IFERROR(__xludf.DUMMYFUNCTION("""COMPUTED_VALUE"""),"University Housing ")</f>
        <v>University Housing </v>
      </c>
      <c r="J315" s="108" t="str">
        <f>IFERROR(__xludf.DUMMYFUNCTION("""COMPUTED_VALUE"""),"09:00 AM to 11:00 AM   ")</f>
        <v>09:00 AM to 11:00 AM   </v>
      </c>
      <c r="K315" s="108">
        <f>IFERROR(__xludf.DUMMYFUNCTION("""COMPUTED_VALUE"""),45891.0)</f>
        <v>45891</v>
      </c>
      <c r="L315" s="65" t="str">
        <f>IFERROR(__xludf.DUMMYFUNCTION("""COMPUTED_VALUE"""),"Gregg  ")</f>
        <v>Gregg  </v>
      </c>
      <c r="M315" s="65" t="str">
        <f>IFERROR(__xludf.DUMMYFUNCTION("""COMPUTED_VALUE"""),"3032a")</f>
        <v>3032a</v>
      </c>
      <c r="N315" s="65"/>
      <c r="O315" s="65"/>
      <c r="P315" s="65" t="b">
        <f>COUNTIF('Delivered SIR'!A:A, E315) &gt; 0</f>
        <v>1</v>
      </c>
    </row>
    <row r="316">
      <c r="A316" s="99" t="str">
        <f>IFERROR(__xludf.DUMMYFUNCTION("""COMPUTED_VALUE"""),"https://utrucking.com/admin/orders/5921576976572")</f>
        <v>https://utrucking.com/admin/orders/5921576976572</v>
      </c>
      <c r="B316" s="61" t="str">
        <f>IFERROR(__xludf.DUMMYFUNCTION("""COMPUTED_VALUE"""),"#15895")</f>
        <v>#15895</v>
      </c>
      <c r="C316" s="61" t="str">
        <f>IFERROR(__xludf.DUMMYFUNCTION("""COMPUTED_VALUE"""),"maxselver8@gmail.com")</f>
        <v>maxselver8@gmail.com</v>
      </c>
      <c r="D316" s="61">
        <f>IFERROR(__xludf.DUMMYFUNCTION("""COMPUTED_VALUE"""),2.012503176E9)</f>
        <v>2012503176</v>
      </c>
      <c r="E316" s="61" t="str">
        <f>IFERROR(__xludf.DUMMYFUNCTION("""COMPUTED_VALUE"""),"Maxwell Selver")</f>
        <v>Maxwell Selver</v>
      </c>
      <c r="F316" s="61"/>
      <c r="G316" s="61" t="str">
        <f>IFERROR(__xludf.DUMMYFUNCTION("""COMPUTED_VALUE"""),"6669 Washington Avenue, Apartment 101 (Front door code: 13579# ; Apartment key lockbox code #7503)")</f>
        <v>6669 Washington Avenue, Apartment 101 (Front door code: 13579# ; Apartment key lockbox code #7503)</v>
      </c>
      <c r="H316" s="61" t="str">
        <f>IFERROR(__xludf.DUMMYFUNCTION("""COMPUTED_VALUE"""),"Storage Item Return")</f>
        <v>Storage Item Return</v>
      </c>
      <c r="I316" s="61" t="str">
        <f>IFERROR(__xludf.DUMMYFUNCTION("""COMPUTED_VALUE"""),"Non-University Housing ")</f>
        <v>Non-University Housing </v>
      </c>
      <c r="J316" s="107" t="str">
        <f>IFERROR(__xludf.DUMMYFUNCTION("""COMPUTED_VALUE"""),"03:00 PM to 05:00 PM ")</f>
        <v>03:00 PM to 05:00 PM </v>
      </c>
      <c r="K316" s="107">
        <f>IFERROR(__xludf.DUMMYFUNCTION("""COMPUTED_VALUE"""),45889.0)</f>
        <v>45889</v>
      </c>
      <c r="L316" s="61"/>
      <c r="M316" s="61"/>
      <c r="N316" s="61" t="str">
        <f>IFERROR(__xludf.DUMMYFUNCTION("""COMPUTED_VALUE"""),"6669 Washington Avenue, Apartment 101 (Front door code: 13579# ; Apartment key lockbox code #7503)")</f>
        <v>6669 Washington Avenue, Apartment 101 (Front door code: 13579# ; Apartment key lockbox code #7503)</v>
      </c>
      <c r="O316" s="61" t="str">
        <f>IFERROR(__xludf.DUMMYFUNCTION("""COMPUTED_VALUE"""),"(Front door code: 13579# ; Apartment key lockbox code #7503)")</f>
        <v>(Front door code: 13579# ; Apartment key lockbox code #7503)</v>
      </c>
      <c r="P316" s="61" t="b">
        <f>COUNTIF('Delivered SIR'!A:A, E316) &gt; 0</f>
        <v>0</v>
      </c>
    </row>
    <row r="317">
      <c r="A317" s="102" t="str">
        <f>IFERROR(__xludf.DUMMYFUNCTION("""COMPUTED_VALUE"""),"https://utrucking.com/admin/orders/5921705951420")</f>
        <v>https://utrucking.com/admin/orders/5921705951420</v>
      </c>
      <c r="B317" s="65" t="str">
        <f>IFERROR(__xludf.DUMMYFUNCTION("""COMPUTED_VALUE"""),"#15898")</f>
        <v>#15898</v>
      </c>
      <c r="C317" s="65" t="str">
        <f>IFERROR(__xludf.DUMMYFUNCTION("""COMPUTED_VALUE"""),"g.a.gonzalez@wustl.edu")</f>
        <v>g.a.gonzalez@wustl.edu</v>
      </c>
      <c r="D317" s="65">
        <f>IFERROR(__xludf.DUMMYFUNCTION("""COMPUTED_VALUE"""),5.419776812E9)</f>
        <v>5419776812</v>
      </c>
      <c r="E317" s="65" t="str">
        <f>IFERROR(__xludf.DUMMYFUNCTION("""COMPUTED_VALUE"""),"Gabriel González")</f>
        <v>Gabriel González</v>
      </c>
      <c r="F317" s="65"/>
      <c r="G317" s="65" t="str">
        <f>IFERROR(__xludf.DUMMYFUNCTION("""COMPUTED_VALUE"""),"738 Interdrive, University City, MO 63130")</f>
        <v>738 Interdrive, University City, MO 63130</v>
      </c>
      <c r="H317" s="65" t="str">
        <f>IFERROR(__xludf.DUMMYFUNCTION("""COMPUTED_VALUE"""),"Storage Item Return")</f>
        <v>Storage Item Return</v>
      </c>
      <c r="I317" s="65" t="str">
        <f>IFERROR(__xludf.DUMMYFUNCTION("""COMPUTED_VALUE"""),"Non-University Housing ")</f>
        <v>Non-University Housing </v>
      </c>
      <c r="J317" s="108" t="str">
        <f>IFERROR(__xludf.DUMMYFUNCTION("""COMPUTED_VALUE"""),"10:00 AM to 12:00 PM   ")</f>
        <v>10:00 AM to 12:00 PM   </v>
      </c>
      <c r="K317" s="108">
        <f>IFERROR(__xludf.DUMMYFUNCTION("""COMPUTED_VALUE"""),45893.0)</f>
        <v>45893</v>
      </c>
      <c r="L317" s="65"/>
      <c r="M317" s="65"/>
      <c r="N317" s="65" t="str">
        <f>IFERROR(__xludf.DUMMYFUNCTION("""COMPUTED_VALUE"""),"738 Interdrive, University City, MO 63130")</f>
        <v>738 Interdrive, University City, MO 63130</v>
      </c>
      <c r="O317" s="65"/>
      <c r="P317" s="65" t="b">
        <f>COUNTIF('Delivered SIR'!A:A, E317) &gt; 0</f>
        <v>0</v>
      </c>
    </row>
    <row r="318">
      <c r="A318" s="99" t="str">
        <f>IFERROR(__xludf.DUMMYFUNCTION("""COMPUTED_VALUE"""),"https://utrucking.com/admin/orders/5921713914044")</f>
        <v>https://utrucking.com/admin/orders/5921713914044</v>
      </c>
      <c r="B318" s="61" t="str">
        <f>IFERROR(__xludf.DUMMYFUNCTION("""COMPUTED_VALUE"""),"#15900")</f>
        <v>#15900</v>
      </c>
      <c r="C318" s="61" t="str">
        <f>IFERROR(__xludf.DUMMYFUNCTION("""COMPUTED_VALUE"""),"nicorose885@gmail.com")</f>
        <v>nicorose885@gmail.com</v>
      </c>
      <c r="D318" s="61">
        <f>IFERROR(__xludf.DUMMYFUNCTION("""COMPUTED_VALUE"""),2.538882856E9)</f>
        <v>2538882856</v>
      </c>
      <c r="E318" s="61" t="str">
        <f>IFERROR(__xludf.DUMMYFUNCTION("""COMPUTED_VALUE"""),"Nico Rose")</f>
        <v>Nico Rose</v>
      </c>
      <c r="F318" s="61"/>
      <c r="G318" s="61"/>
      <c r="H318" s="61" t="str">
        <f>IFERROR(__xludf.DUMMYFUNCTION("""COMPUTED_VALUE"""),"Storage Item Return")</f>
        <v>Storage Item Return</v>
      </c>
      <c r="I318" s="61" t="str">
        <f>IFERROR(__xludf.DUMMYFUNCTION("""COMPUTED_VALUE"""),"University Housing ")</f>
        <v>University Housing </v>
      </c>
      <c r="J318" s="107" t="str">
        <f>IFERROR(__xludf.DUMMYFUNCTION("""COMPUTED_VALUE"""),"09:00 AM to 11:00 AM   ")</f>
        <v>09:00 AM to 11:00 AM   </v>
      </c>
      <c r="K318" s="107">
        <f>IFERROR(__xludf.DUMMYFUNCTION("""COMPUTED_VALUE"""),45889.0)</f>
        <v>45889</v>
      </c>
      <c r="L318" s="61" t="str">
        <f>IFERROR(__xludf.DUMMYFUNCTION("""COMPUTED_VALUE"""),"Village House  ")</f>
        <v>Village House  </v>
      </c>
      <c r="M318" s="61" t="str">
        <f>IFERROR(__xludf.DUMMYFUNCTION("""COMPUTED_VALUE"""),"4014a")</f>
        <v>4014a</v>
      </c>
      <c r="N318" s="61"/>
      <c r="O318" s="61"/>
      <c r="P318" s="61" t="b">
        <f>COUNTIF('Delivered SIR'!A:A, E318) &gt; 0</f>
        <v>1</v>
      </c>
    </row>
    <row r="319">
      <c r="A319" s="102" t="str">
        <f>IFERROR(__xludf.DUMMYFUNCTION("""COMPUTED_VALUE"""),"https://utrucking.com/admin/orders/5921855406268")</f>
        <v>https://utrucking.com/admin/orders/5921855406268</v>
      </c>
      <c r="B319" s="65" t="str">
        <f>IFERROR(__xludf.DUMMYFUNCTION("""COMPUTED_VALUE"""),"#15902")</f>
        <v>#15902</v>
      </c>
      <c r="C319" s="65" t="str">
        <f>IFERROR(__xludf.DUMMYFUNCTION("""COMPUTED_VALUE"""),"jace329612@gmail.com")</f>
        <v>jace329612@gmail.com</v>
      </c>
      <c r="D319" s="65">
        <f>IFERROR(__xludf.DUMMYFUNCTION("""COMPUTED_VALUE"""),9.148853999E9)</f>
        <v>9148853999</v>
      </c>
      <c r="E319" s="65" t="str">
        <f>IFERROR(__xludf.DUMMYFUNCTION("""COMPUTED_VALUE"""),"Jungyeon Park")</f>
        <v>Jungyeon Park</v>
      </c>
      <c r="F319" s="65"/>
      <c r="G319" s="65" t="str">
        <f>IFERROR(__xludf.DUMMYFUNCTION("""COMPUTED_VALUE"""),"725 Interdrive Street, St. Louis, MO 63130")</f>
        <v>725 Interdrive Street, St. Louis, MO 63130</v>
      </c>
      <c r="H319" s="65" t="str">
        <f>IFERROR(__xludf.DUMMYFUNCTION("""COMPUTED_VALUE"""),"Storage Item Return")</f>
        <v>Storage Item Return</v>
      </c>
      <c r="I319" s="65" t="str">
        <f>IFERROR(__xludf.DUMMYFUNCTION("""COMPUTED_VALUE"""),"Non-University Housing ")</f>
        <v>Non-University Housing </v>
      </c>
      <c r="J319" s="108" t="str">
        <f>IFERROR(__xludf.DUMMYFUNCTION("""COMPUTED_VALUE"""),"12:00 PM to 02:00 PM   ")</f>
        <v>12:00 PM to 02:00 PM   </v>
      </c>
      <c r="K319" s="108">
        <f>IFERROR(__xludf.DUMMYFUNCTION("""COMPUTED_VALUE"""),45891.0)</f>
        <v>45891</v>
      </c>
      <c r="L319" s="65"/>
      <c r="M319" s="65"/>
      <c r="N319" s="65" t="str">
        <f>IFERROR(__xludf.DUMMYFUNCTION("""COMPUTED_VALUE"""),"725 Interdrive Street, St. Louis, MO 63130")</f>
        <v>725 Interdrive Street, St. Louis, MO 63130</v>
      </c>
      <c r="O319" s="65"/>
      <c r="P319" s="65" t="b">
        <f>COUNTIF('Delivered SIR'!A:A, E319) &gt; 0</f>
        <v>0</v>
      </c>
    </row>
    <row r="320">
      <c r="A320" s="99" t="str">
        <f>IFERROR(__xludf.DUMMYFUNCTION("""COMPUTED_VALUE"""),"https://utrucking.com/admin/orders/5921909014716")</f>
        <v>https://utrucking.com/admin/orders/5921909014716</v>
      </c>
      <c r="B320" s="61" t="str">
        <f>IFERROR(__xludf.DUMMYFUNCTION("""COMPUTED_VALUE"""),"#15904")</f>
        <v>#15904</v>
      </c>
      <c r="C320" s="61" t="str">
        <f>IFERROR(__xludf.DUMMYFUNCTION("""COMPUTED_VALUE"""),"ybookim@gmail.com")</f>
        <v>ybookim@gmail.com</v>
      </c>
      <c r="D320" s="61"/>
      <c r="E320" s="61" t="str">
        <f>IFERROR(__xludf.DUMMYFUNCTION("""COMPUTED_VALUE"""),"YOUNG BOO 김영부")</f>
        <v>YOUNG BOO 김영부</v>
      </c>
      <c r="F320" s="61"/>
      <c r="G320" s="61"/>
      <c r="H320" s="61" t="str">
        <f>IFERROR(__xludf.DUMMYFUNCTION("""COMPUTED_VALUE"""),"Storage Item Return")</f>
        <v>Storage Item Return</v>
      </c>
      <c r="I320" s="61" t="str">
        <f>IFERROR(__xludf.DUMMYFUNCTION("""COMPUTED_VALUE"""),"University Housing ")</f>
        <v>University Housing </v>
      </c>
      <c r="J320" s="107" t="str">
        <f>IFERROR(__xludf.DUMMYFUNCTION("""COMPUTED_VALUE"""),"10:00 AM to 12:00 PM   ")</f>
        <v>10:00 AM to 12:00 PM   </v>
      </c>
      <c r="K320" s="107">
        <f>IFERROR(__xludf.DUMMYFUNCTION("""COMPUTED_VALUE"""),45890.0)</f>
        <v>45890</v>
      </c>
      <c r="L320" s="61" t="str">
        <f>IFERROR(__xludf.DUMMYFUNCTION("""COMPUTED_VALUE"""),"Village House  ")</f>
        <v>Village House  </v>
      </c>
      <c r="M320" s="61" t="str">
        <f>IFERROR(__xludf.DUMMYFUNCTION("""COMPUTED_VALUE"""),"3002a")</f>
        <v>3002a</v>
      </c>
      <c r="N320" s="61"/>
      <c r="O320" s="61"/>
      <c r="P320" s="61" t="b">
        <f>COUNTIF('Delivered SIR'!A:A, E320) &gt; 0</f>
        <v>0</v>
      </c>
    </row>
    <row r="321">
      <c r="A321" s="102" t="str">
        <f>IFERROR(__xludf.DUMMYFUNCTION("""COMPUTED_VALUE"""),"https://utrucking.com/admin/orders/5921912357052")</f>
        <v>https://utrucking.com/admin/orders/5921912357052</v>
      </c>
      <c r="B321" s="65" t="str">
        <f>IFERROR(__xludf.DUMMYFUNCTION("""COMPUTED_VALUE"""),"#15905")</f>
        <v>#15905</v>
      </c>
      <c r="C321" s="65" t="str">
        <f>IFERROR(__xludf.DUMMYFUNCTION("""COMPUTED_VALUE"""),"gracemchung@gmail.com")</f>
        <v>gracemchung@gmail.com</v>
      </c>
      <c r="D321" s="65">
        <f>IFERROR(__xludf.DUMMYFUNCTION("""COMPUTED_VALUE"""),9.175201944E9)</f>
        <v>9175201944</v>
      </c>
      <c r="E321" s="65" t="str">
        <f>IFERROR(__xludf.DUMMYFUNCTION("""COMPUTED_VALUE"""),"Maryellen McQuade")</f>
        <v>Maryellen McQuade</v>
      </c>
      <c r="F321" s="65"/>
      <c r="G321" s="65"/>
      <c r="H321" s="65" t="str">
        <f>IFERROR(__xludf.DUMMYFUNCTION("""COMPUTED_VALUE"""),"Storage Item Return")</f>
        <v>Storage Item Return</v>
      </c>
      <c r="I321" s="65" t="str">
        <f>IFERROR(__xludf.DUMMYFUNCTION("""COMPUTED_VALUE"""),"University Housing ")</f>
        <v>University Housing </v>
      </c>
      <c r="J321" s="108" t="str">
        <f>IFERROR(__xludf.DUMMYFUNCTION("""COMPUTED_VALUE"""),"09:00 AM to 11:00 AM   ")</f>
        <v>09:00 AM to 11:00 AM   </v>
      </c>
      <c r="K321" s="108">
        <f>IFERROR(__xludf.DUMMYFUNCTION("""COMPUTED_VALUE"""),45889.0)</f>
        <v>45889</v>
      </c>
      <c r="L321" s="65" t="str">
        <f>IFERROR(__xludf.DUMMYFUNCTION("""COMPUTED_VALUE"""),"Millbrook Bldg. 2  ")</f>
        <v>Millbrook Bldg. 2  </v>
      </c>
      <c r="M321" s="65" t="str">
        <f>IFERROR(__xludf.DUMMYFUNCTION("""COMPUTED_VALUE"""),"201C-a")</f>
        <v>201C-a</v>
      </c>
      <c r="N321" s="65"/>
      <c r="O321" s="65"/>
      <c r="P321" s="65" t="b">
        <f>COUNTIF('Delivered SIR'!A:A, E321) &gt; 0</f>
        <v>0</v>
      </c>
    </row>
    <row r="322">
      <c r="A322" s="99" t="str">
        <f>IFERROR(__xludf.DUMMYFUNCTION("""COMPUTED_VALUE"""),"https://utrucking.com/admin/orders/5922066071740")</f>
        <v>https://utrucking.com/admin/orders/5922066071740</v>
      </c>
      <c r="B322" s="61" t="str">
        <f>IFERROR(__xludf.DUMMYFUNCTION("""COMPUTED_VALUE"""),"#15907")</f>
        <v>#15907</v>
      </c>
      <c r="C322" s="61"/>
      <c r="D322" s="61">
        <f>IFERROR(__xludf.DUMMYFUNCTION("""COMPUTED_VALUE"""),9.083346111E9)</f>
        <v>9083346111</v>
      </c>
      <c r="E322" s="61" t="str">
        <f>IFERROR(__xludf.DUMMYFUNCTION("""COMPUTED_VALUE"""),"Cecelia Reali")</f>
        <v>Cecelia Reali</v>
      </c>
      <c r="F322" s="61"/>
      <c r="G322" s="61"/>
      <c r="H322" s="61" t="str">
        <f>IFERROR(__xludf.DUMMYFUNCTION("""COMPUTED_VALUE"""),"Storage Item Return")</f>
        <v>Storage Item Return</v>
      </c>
      <c r="I322" s="61" t="str">
        <f>IFERROR(__xludf.DUMMYFUNCTION("""COMPUTED_VALUE"""),"University Housing ")</f>
        <v>University Housing </v>
      </c>
      <c r="J322" s="107" t="str">
        <f>IFERROR(__xludf.DUMMYFUNCTION("""COMPUTED_VALUE"""),"09:00 AM to 11:00 AM   ")</f>
        <v>09:00 AM to 11:00 AM   </v>
      </c>
      <c r="K322" s="107">
        <f>IFERROR(__xludf.DUMMYFUNCTION("""COMPUTED_VALUE"""),45889.0)</f>
        <v>45889</v>
      </c>
      <c r="L322" s="61" t="str">
        <f>IFERROR(__xludf.DUMMYFUNCTION("""COMPUTED_VALUE"""),"6801 University Drive  ")</f>
        <v>6801 University Drive  </v>
      </c>
      <c r="M322" s="61" t="str">
        <f>IFERROR(__xludf.DUMMYFUNCTION("""COMPUTED_VALUE"""),"2W-C - a")</f>
        <v>2W-C - a</v>
      </c>
      <c r="N322" s="61"/>
      <c r="O322" s="61"/>
      <c r="P322" s="61" t="b">
        <f>COUNTIF('Delivered SIR'!A:A, E322) &gt; 0</f>
        <v>0</v>
      </c>
    </row>
    <row r="323">
      <c r="A323" s="102" t="str">
        <f>IFERROR(__xludf.DUMMYFUNCTION("""COMPUTED_VALUE"""),"https://utrucking.com/admin/orders/5922526003388")</f>
        <v>https://utrucking.com/admin/orders/5922526003388</v>
      </c>
      <c r="B323" s="65" t="str">
        <f>IFERROR(__xludf.DUMMYFUNCTION("""COMPUTED_VALUE"""),"#15909")</f>
        <v>#15909</v>
      </c>
      <c r="C323" s="65" t="str">
        <f>IFERROR(__xludf.DUMMYFUNCTION("""COMPUTED_VALUE"""),"l.lumi@wustl.edu")</f>
        <v>l.lumi@wustl.edu</v>
      </c>
      <c r="D323" s="65">
        <f>IFERROR(__xludf.DUMMYFUNCTION("""COMPUTED_VALUE"""),2.133043801E9)</f>
        <v>2133043801</v>
      </c>
      <c r="E323" s="65" t="str">
        <f>IFERROR(__xludf.DUMMYFUNCTION("""COMPUTED_VALUE"""),"Hayan Kim")</f>
        <v>Hayan Kim</v>
      </c>
      <c r="F323" s="65"/>
      <c r="G323" s="65"/>
      <c r="H323" s="65" t="str">
        <f>IFERROR(__xludf.DUMMYFUNCTION("""COMPUTED_VALUE"""),"Storage Item Return")</f>
        <v>Storage Item Return</v>
      </c>
      <c r="I323" s="65" t="str">
        <f>IFERROR(__xludf.DUMMYFUNCTION("""COMPUTED_VALUE"""),"University Housing ")</f>
        <v>University Housing </v>
      </c>
      <c r="J323" s="108" t="str">
        <f>IFERROR(__xludf.DUMMYFUNCTION("""COMPUTED_VALUE"""),"09:00 AM to 11:00 AM   ")</f>
        <v>09:00 AM to 11:00 AM   </v>
      </c>
      <c r="K323" s="108">
        <f>IFERROR(__xludf.DUMMYFUNCTION("""COMPUTED_VALUE"""),45888.0)</f>
        <v>45888</v>
      </c>
      <c r="L323" s="65" t="str">
        <f>IFERROR(__xludf.DUMMYFUNCTION("""COMPUTED_VALUE"""),"Wheeler  ")</f>
        <v>Wheeler  </v>
      </c>
      <c r="M323" s="65" t="str">
        <f>IFERROR(__xludf.DUMMYFUNCTION("""COMPUTED_VALUE"""),"1011")</f>
        <v>1011</v>
      </c>
      <c r="N323" s="65"/>
      <c r="O323" s="65"/>
      <c r="P323" s="65" t="b">
        <f>COUNTIF('Delivered SIR'!A:A, E323) &gt; 0</f>
        <v>0</v>
      </c>
    </row>
    <row r="324">
      <c r="A324" s="99" t="str">
        <f>IFERROR(__xludf.DUMMYFUNCTION("""COMPUTED_VALUE"""),"https://utrucking.com/admin/orders/5922846277820")</f>
        <v>https://utrucking.com/admin/orders/5922846277820</v>
      </c>
      <c r="B324" s="61" t="str">
        <f>IFERROR(__xludf.DUMMYFUNCTION("""COMPUTED_VALUE"""),"#15910")</f>
        <v>#15910</v>
      </c>
      <c r="C324" s="61"/>
      <c r="D324" s="61">
        <f>IFERROR(__xludf.DUMMYFUNCTION("""COMPUTED_VALUE"""),7.817775096E9)</f>
        <v>7817775096</v>
      </c>
      <c r="E324" s="61" t="str">
        <f>IFERROR(__xludf.DUMMYFUNCTION("""COMPUTED_VALUE"""),"Eleanor Palmer")</f>
        <v>Eleanor Palmer</v>
      </c>
      <c r="F324" s="61"/>
      <c r="G324" s="61"/>
      <c r="H324" s="61" t="str">
        <f>IFERROR(__xludf.DUMMYFUNCTION("""COMPUTED_VALUE"""),"Storage Item Return")</f>
        <v>Storage Item Return</v>
      </c>
      <c r="I324" s="61" t="str">
        <f>IFERROR(__xludf.DUMMYFUNCTION("""COMPUTED_VALUE"""),"University Housing ")</f>
        <v>University Housing </v>
      </c>
      <c r="J324" s="107" t="str">
        <f>IFERROR(__xludf.DUMMYFUNCTION("""COMPUTED_VALUE"""),"12:00 PM to 02:00 PM   ")</f>
        <v>12:00 PM to 02:00 PM   </v>
      </c>
      <c r="K324" s="107">
        <f>IFERROR(__xludf.DUMMYFUNCTION("""COMPUTED_VALUE"""),45888.0)</f>
        <v>45888</v>
      </c>
      <c r="L324" s="61" t="str">
        <f>IFERROR(__xludf.DUMMYFUNCTION("""COMPUTED_VALUE"""),"Village House  ")</f>
        <v>Village House  </v>
      </c>
      <c r="M324" s="61" t="str">
        <f>IFERROR(__xludf.DUMMYFUNCTION("""COMPUTED_VALUE"""),"2081 - A")</f>
        <v>2081 - A</v>
      </c>
      <c r="N324" s="61"/>
      <c r="O324" s="61"/>
      <c r="P324" s="61" t="b">
        <f>COUNTIF('Delivered SIR'!A:A, E324) &gt; 0</f>
        <v>1</v>
      </c>
    </row>
    <row r="325">
      <c r="A325" s="102" t="str">
        <f>IFERROR(__xludf.DUMMYFUNCTION("""COMPUTED_VALUE"""),"https://utrucking.com/admin/orders/5922875408572")</f>
        <v>https://utrucking.com/admin/orders/5922875408572</v>
      </c>
      <c r="B325" s="65" t="str">
        <f>IFERROR(__xludf.DUMMYFUNCTION("""COMPUTED_VALUE"""),"#15911")</f>
        <v>#15911</v>
      </c>
      <c r="C325" s="65" t="str">
        <f>IFERROR(__xludf.DUMMYFUNCTION("""COMPUTED_VALUE"""),"c.deisi@wustl.edu")</f>
        <v>c.deisi@wustl.edu</v>
      </c>
      <c r="D325" s="65">
        <f>IFERROR(__xludf.DUMMYFUNCTION("""COMPUTED_VALUE"""),2.144032341E9)</f>
        <v>2144032341</v>
      </c>
      <c r="E325" s="65" t="str">
        <f>IFERROR(__xludf.DUMMYFUNCTION("""COMPUTED_VALUE"""),"Deisi Contreras")</f>
        <v>Deisi Contreras</v>
      </c>
      <c r="F325" s="65"/>
      <c r="G325" s="65"/>
      <c r="H325" s="65" t="str">
        <f>IFERROR(__xludf.DUMMYFUNCTION("""COMPUTED_VALUE"""),"Storage Item Return")</f>
        <v>Storage Item Return</v>
      </c>
      <c r="I325" s="65" t="str">
        <f>IFERROR(__xludf.DUMMYFUNCTION("""COMPUTED_VALUE"""),"University Housing ")</f>
        <v>University Housing </v>
      </c>
      <c r="J325" s="108" t="str">
        <f>IFERROR(__xludf.DUMMYFUNCTION("""COMPUTED_VALUE"""),"12:00 PM to 02:00 PM   ")</f>
        <v>12:00 PM to 02:00 PM   </v>
      </c>
      <c r="K325" s="108">
        <f>IFERROR(__xludf.DUMMYFUNCTION("""COMPUTED_VALUE"""),45889.0)</f>
        <v>45889</v>
      </c>
      <c r="L325" s="65" t="str">
        <f>IFERROR(__xludf.DUMMYFUNCTION("""COMPUTED_VALUE"""),"Lopata  ")</f>
        <v>Lopata  </v>
      </c>
      <c r="M325" s="65" t="str">
        <f>IFERROR(__xludf.DUMMYFUNCTION("""COMPUTED_VALUE"""),"3002 - a")</f>
        <v>3002 - a</v>
      </c>
      <c r="N325" s="65"/>
      <c r="O325" s="65"/>
      <c r="P325" s="65" t="b">
        <f>COUNTIF('Delivered SIR'!A:A, E325) &gt; 0</f>
        <v>1</v>
      </c>
    </row>
    <row r="326">
      <c r="A326" s="99" t="str">
        <f>IFERROR(__xludf.DUMMYFUNCTION("""COMPUTED_VALUE"""),"https://utrucking.com/admin/orders/5922891595964")</f>
        <v>https://utrucking.com/admin/orders/5922891595964</v>
      </c>
      <c r="B326" s="61" t="str">
        <f>IFERROR(__xludf.DUMMYFUNCTION("""COMPUTED_VALUE"""),"#15912")</f>
        <v>#15912</v>
      </c>
      <c r="C326" s="61"/>
      <c r="D326" s="61">
        <f>IFERROR(__xludf.DUMMYFUNCTION("""COMPUTED_VALUE"""),9.253307379E9)</f>
        <v>9253307379</v>
      </c>
      <c r="E326" s="61" t="str">
        <f>IFERROR(__xludf.DUMMYFUNCTION("""COMPUTED_VALUE"""),"Leena Ray")</f>
        <v>Leena Ray</v>
      </c>
      <c r="F326" s="61"/>
      <c r="G326" s="61"/>
      <c r="H326" s="61" t="str">
        <f>IFERROR(__xludf.DUMMYFUNCTION("""COMPUTED_VALUE"""),"Storage Item Return")</f>
        <v>Storage Item Return</v>
      </c>
      <c r="I326" s="61" t="str">
        <f>IFERROR(__xludf.DUMMYFUNCTION("""COMPUTED_VALUE"""),"University Housing ")</f>
        <v>University Housing </v>
      </c>
      <c r="J326" s="107" t="str">
        <f>IFERROR(__xludf.DUMMYFUNCTION("""COMPUTED_VALUE"""),"09:00 AM to 11:00 AM   ")</f>
        <v>09:00 AM to 11:00 AM   </v>
      </c>
      <c r="K326" s="107">
        <f>IFERROR(__xludf.DUMMYFUNCTION("""COMPUTED_VALUE"""),45889.0)</f>
        <v>45889</v>
      </c>
      <c r="L326" s="61" t="str">
        <f>IFERROR(__xludf.DUMMYFUNCTION("""COMPUTED_VALUE"""),"Wheeler  ")</f>
        <v>Wheeler  </v>
      </c>
      <c r="M326" s="61" t="str">
        <f>IFERROR(__xludf.DUMMYFUNCTION("""COMPUTED_VALUE"""),"3020")</f>
        <v>3020</v>
      </c>
      <c r="N326" s="61"/>
      <c r="O326" s="61"/>
      <c r="P326" s="61" t="b">
        <f>COUNTIF('Delivered SIR'!A:A, E326) &gt; 0</f>
        <v>0</v>
      </c>
    </row>
    <row r="327">
      <c r="A327" s="102" t="str">
        <f>IFERROR(__xludf.DUMMYFUNCTION("""COMPUTED_VALUE"""),"https://utrucking.com/admin/orders/5923098689724")</f>
        <v>https://utrucking.com/admin/orders/5923098689724</v>
      </c>
      <c r="B327" s="65" t="str">
        <f>IFERROR(__xludf.DUMMYFUNCTION("""COMPUTED_VALUE"""),"#15915")</f>
        <v>#15915</v>
      </c>
      <c r="C327" s="65" t="str">
        <f>IFERROR(__xludf.DUMMYFUNCTION("""COMPUTED_VALUE"""),"jeremy@budinfamily.com")</f>
        <v>jeremy@budinfamily.com</v>
      </c>
      <c r="D327" s="65">
        <f>IFERROR(__xludf.DUMMYFUNCTION("""COMPUTED_VALUE"""),8.479877699E9)</f>
        <v>8479877699</v>
      </c>
      <c r="E327" s="65" t="str">
        <f>IFERROR(__xludf.DUMMYFUNCTION("""COMPUTED_VALUE"""),"Jeremy Budin")</f>
        <v>Jeremy Budin</v>
      </c>
      <c r="F327" s="65"/>
      <c r="G327" s="65"/>
      <c r="H327" s="65" t="str">
        <f>IFERROR(__xludf.DUMMYFUNCTION("""COMPUTED_VALUE"""),"Storage Item Return")</f>
        <v>Storage Item Return</v>
      </c>
      <c r="I327" s="65" t="str">
        <f>IFERROR(__xludf.DUMMYFUNCTION("""COMPUTED_VALUE"""),"University Housing ")</f>
        <v>University Housing </v>
      </c>
      <c r="J327" s="108" t="str">
        <f>IFERROR(__xludf.DUMMYFUNCTION("""COMPUTED_VALUE"""),"09:00 AM to 11:00 AM   ")</f>
        <v>09:00 AM to 11:00 AM   </v>
      </c>
      <c r="K327" s="108">
        <f>IFERROR(__xludf.DUMMYFUNCTION("""COMPUTED_VALUE"""),45889.0)</f>
        <v>45889</v>
      </c>
      <c r="L327" s="65" t="str">
        <f>IFERROR(__xludf.DUMMYFUNCTION("""COMPUTED_VALUE"""),"Liggett  ")</f>
        <v>Liggett  </v>
      </c>
      <c r="M327" s="65" t="str">
        <f>IFERROR(__xludf.DUMMYFUNCTION("""COMPUTED_VALUE"""),"2323a")</f>
        <v>2323a</v>
      </c>
      <c r="N327" s="65"/>
      <c r="O327" s="65"/>
      <c r="P327" s="65" t="b">
        <f>COUNTIF('Delivered SIR'!A:A, E327) &gt; 0</f>
        <v>1</v>
      </c>
    </row>
    <row r="328">
      <c r="A328" s="99" t="str">
        <f>IFERROR(__xludf.DUMMYFUNCTION("""COMPUTED_VALUE"""),"https://utrucking.com/admin/orders/5923127066812")</f>
        <v>https://utrucking.com/admin/orders/5923127066812</v>
      </c>
      <c r="B328" s="61" t="str">
        <f>IFERROR(__xludf.DUMMYFUNCTION("""COMPUTED_VALUE"""),"#15917")</f>
        <v>#15917</v>
      </c>
      <c r="C328" s="61"/>
      <c r="D328" s="61">
        <f>IFERROR(__xludf.DUMMYFUNCTION("""COMPUTED_VALUE"""),9.495018958E9)</f>
        <v>9495018958</v>
      </c>
      <c r="E328" s="61" t="str">
        <f>IFERROR(__xludf.DUMMYFUNCTION("""COMPUTED_VALUE"""),"Kana Byrd")</f>
        <v>Kana Byrd</v>
      </c>
      <c r="F328" s="61"/>
      <c r="G328" s="61"/>
      <c r="H328" s="61" t="str">
        <f>IFERROR(__xludf.DUMMYFUNCTION("""COMPUTED_VALUE"""),"Storage Item Return")</f>
        <v>Storage Item Return</v>
      </c>
      <c r="I328" s="61" t="str">
        <f>IFERROR(__xludf.DUMMYFUNCTION("""COMPUTED_VALUE"""),"University Housing ")</f>
        <v>University Housing </v>
      </c>
      <c r="J328" s="107" t="str">
        <f>IFERROR(__xludf.DUMMYFUNCTION("""COMPUTED_VALUE"""),"01:00 PM to 03:00 PM   ")</f>
        <v>01:00 PM to 03:00 PM   </v>
      </c>
      <c r="K328" s="107">
        <f>IFERROR(__xludf.DUMMYFUNCTION("""COMPUTED_VALUE"""),45890.0)</f>
        <v>45890</v>
      </c>
      <c r="L328" s="61" t="str">
        <f>IFERROR(__xludf.DUMMYFUNCTION("""COMPUTED_VALUE"""),"Millbrook Bldg. 3  ")</f>
        <v>Millbrook Bldg. 3  </v>
      </c>
      <c r="M328" s="61" t="str">
        <f>IFERROR(__xludf.DUMMYFUNCTION("""COMPUTED_VALUE"""),"101")</f>
        <v>101</v>
      </c>
      <c r="N328" s="61"/>
      <c r="O328" s="61"/>
      <c r="P328" s="61" t="b">
        <f>COUNTIF('Delivered SIR'!A:A, E328) &gt; 0</f>
        <v>1</v>
      </c>
    </row>
    <row r="329">
      <c r="A329" s="102" t="str">
        <f>IFERROR(__xludf.DUMMYFUNCTION("""COMPUTED_VALUE"""),"https://utrucking.com/admin/orders/5923197550780")</f>
        <v>https://utrucking.com/admin/orders/5923197550780</v>
      </c>
      <c r="B329" s="65" t="str">
        <f>IFERROR(__xludf.DUMMYFUNCTION("""COMPUTED_VALUE"""),"#15918")</f>
        <v>#15918</v>
      </c>
      <c r="C329" s="65"/>
      <c r="D329" s="65">
        <f>IFERROR(__xludf.DUMMYFUNCTION("""COMPUTED_VALUE"""),3.10984429E9)</f>
        <v>3109844290</v>
      </c>
      <c r="E329" s="65" t="str">
        <f>IFERROR(__xludf.DUMMYFUNCTION("""COMPUTED_VALUE"""),"Paige Acquistapace")</f>
        <v>Paige Acquistapace</v>
      </c>
      <c r="F329" s="65"/>
      <c r="G329" s="65"/>
      <c r="H329" s="65" t="str">
        <f>IFERROR(__xludf.DUMMYFUNCTION("""COMPUTED_VALUE"""),"Storage Item Return")</f>
        <v>Storage Item Return</v>
      </c>
      <c r="I329" s="65" t="str">
        <f>IFERROR(__xludf.DUMMYFUNCTION("""COMPUTED_VALUE"""),"University Housing ")</f>
        <v>University Housing </v>
      </c>
      <c r="J329" s="108" t="str">
        <f>IFERROR(__xludf.DUMMYFUNCTION("""COMPUTED_VALUE"""),"11:00 AM to 01:00 PM   ")</f>
        <v>11:00 AM to 01:00 PM   </v>
      </c>
      <c r="K329" s="108">
        <f>IFERROR(__xludf.DUMMYFUNCTION("""COMPUTED_VALUE"""),45888.0)</f>
        <v>45888</v>
      </c>
      <c r="L329" s="65" t="str">
        <f>IFERROR(__xludf.DUMMYFUNCTION("""COMPUTED_VALUE"""),"Mudd  ")</f>
        <v>Mudd  </v>
      </c>
      <c r="M329" s="65" t="str">
        <f>IFERROR(__xludf.DUMMYFUNCTION("""COMPUTED_VALUE"""),"410")</f>
        <v>410</v>
      </c>
      <c r="N329" s="65"/>
      <c r="O329" s="65"/>
      <c r="P329" s="65" t="b">
        <f>COUNTIF('Delivered SIR'!A:A, E329) &gt; 0</f>
        <v>0</v>
      </c>
    </row>
    <row r="330">
      <c r="A330" s="99" t="str">
        <f>IFERROR(__xludf.DUMMYFUNCTION("""COMPUTED_VALUE"""),"https://utrucking.com/admin/orders/5923338420412")</f>
        <v>https://utrucking.com/admin/orders/5923338420412</v>
      </c>
      <c r="B330" s="61" t="str">
        <f>IFERROR(__xludf.DUMMYFUNCTION("""COMPUTED_VALUE"""),"#15919")</f>
        <v>#15919</v>
      </c>
      <c r="C330" s="61" t="str">
        <f>IFERROR(__xludf.DUMMYFUNCTION("""COMPUTED_VALUE"""),"rohankmoorthi@gmail.com")</f>
        <v>rohankmoorthi@gmail.com</v>
      </c>
      <c r="D330" s="61">
        <f>IFERROR(__xludf.DUMMYFUNCTION("""COMPUTED_VALUE"""),9.255499908E9)</f>
        <v>9255499908</v>
      </c>
      <c r="E330" s="61" t="str">
        <f>IFERROR(__xludf.DUMMYFUNCTION("""COMPUTED_VALUE"""),"Rohan Krishnamoorthi")</f>
        <v>Rohan Krishnamoorthi</v>
      </c>
      <c r="F330" s="61"/>
      <c r="G330" s="61"/>
      <c r="H330" s="61" t="str">
        <f>IFERROR(__xludf.DUMMYFUNCTION("""COMPUTED_VALUE"""),"Storage Item Return")</f>
        <v>Storage Item Return</v>
      </c>
      <c r="I330" s="61" t="str">
        <f>IFERROR(__xludf.DUMMYFUNCTION("""COMPUTED_VALUE"""),"University Housing ")</f>
        <v>University Housing </v>
      </c>
      <c r="J330" s="107" t="str">
        <f>IFERROR(__xludf.DUMMYFUNCTION("""COMPUTED_VALUE"""),"09:00 AM to 11:00 AM   ")</f>
        <v>09:00 AM to 11:00 AM   </v>
      </c>
      <c r="K330" s="107">
        <f>IFERROR(__xludf.DUMMYFUNCTION("""COMPUTED_VALUE"""),45890.0)</f>
        <v>45890</v>
      </c>
      <c r="L330" s="61" t="str">
        <f>IFERROR(__xludf.DUMMYFUNCTION("""COMPUTED_VALUE"""),"Greenway Apartments  ")</f>
        <v>Greenway Apartments  </v>
      </c>
      <c r="M330" s="61" t="str">
        <f>IFERROR(__xludf.DUMMYFUNCTION("""COMPUTED_VALUE"""),"009-A")</f>
        <v>009-A</v>
      </c>
      <c r="N330" s="61"/>
      <c r="O330" s="61"/>
      <c r="P330" s="61" t="b">
        <f>COUNTIF('Delivered SIR'!A:A, E330) &gt; 0</f>
        <v>1</v>
      </c>
    </row>
    <row r="331">
      <c r="A331" s="102" t="str">
        <f>IFERROR(__xludf.DUMMYFUNCTION("""COMPUTED_VALUE"""),"https://utrucking.com/admin/orders/5923413983420")</f>
        <v>https://utrucking.com/admin/orders/5923413983420</v>
      </c>
      <c r="B331" s="65" t="str">
        <f>IFERROR(__xludf.DUMMYFUNCTION("""COMPUTED_VALUE"""),"#15921")</f>
        <v>#15921</v>
      </c>
      <c r="C331" s="65" t="str">
        <f>IFERROR(__xludf.DUMMYFUNCTION("""COMPUTED_VALUE"""),"a.ciara@wustl.edu")</f>
        <v>a.ciara@wustl.edu</v>
      </c>
      <c r="D331" s="65">
        <f>IFERROR(__xludf.DUMMYFUNCTION("""COMPUTED_VALUE"""),3.472325667E9)</f>
        <v>3472325667</v>
      </c>
      <c r="E331" s="65" t="str">
        <f>IFERROR(__xludf.DUMMYFUNCTION("""COMPUTED_VALUE"""),"Ciara Avelar")</f>
        <v>Ciara Avelar</v>
      </c>
      <c r="F331" s="65"/>
      <c r="G331" s="65"/>
      <c r="H331" s="65" t="str">
        <f>IFERROR(__xludf.DUMMYFUNCTION("""COMPUTED_VALUE"""),"Storage Item Return")</f>
        <v>Storage Item Return</v>
      </c>
      <c r="I331" s="65" t="str">
        <f>IFERROR(__xludf.DUMMYFUNCTION("""COMPUTED_VALUE"""),"University Housing ")</f>
        <v>University Housing </v>
      </c>
      <c r="J331" s="108" t="str">
        <f>IFERROR(__xludf.DUMMYFUNCTION("""COMPUTED_VALUE"""),"09:00 AM to 11:00 AM   ")</f>
        <v>09:00 AM to 11:00 AM   </v>
      </c>
      <c r="K331" s="108">
        <f>IFERROR(__xludf.DUMMYFUNCTION("""COMPUTED_VALUE"""),45889.0)</f>
        <v>45889</v>
      </c>
      <c r="L331" s="65" t="str">
        <f>IFERROR(__xludf.DUMMYFUNCTION("""COMPUTED_VALUE"""),"Loop Loft 6200  ")</f>
        <v>Loop Loft 6200  </v>
      </c>
      <c r="M331" s="65" t="str">
        <f>IFERROR(__xludf.DUMMYFUNCTION("""COMPUTED_VALUE"""),"315B")</f>
        <v>315B</v>
      </c>
      <c r="N331" s="65"/>
      <c r="O331" s="65"/>
      <c r="P331" s="65" t="b">
        <f>COUNTIF('Delivered SIR'!A:A, E331) &gt; 0</f>
        <v>1</v>
      </c>
    </row>
    <row r="332">
      <c r="A332" s="99" t="str">
        <f>IFERROR(__xludf.DUMMYFUNCTION("""COMPUTED_VALUE"""),"https://utrucking.com/admin/orders/5923437117628")</f>
        <v>https://utrucking.com/admin/orders/5923437117628</v>
      </c>
      <c r="B332" s="61" t="str">
        <f>IFERROR(__xludf.DUMMYFUNCTION("""COMPUTED_VALUE"""),"#15922")</f>
        <v>#15922</v>
      </c>
      <c r="C332" s="61" t="str">
        <f>IFERROR(__xludf.DUMMYFUNCTION("""COMPUTED_VALUE"""),"knikita@wustl.edu")</f>
        <v>knikita@wustl.edu</v>
      </c>
      <c r="D332" s="61">
        <f>IFERROR(__xludf.DUMMYFUNCTION("""COMPUTED_VALUE"""),3.142267697E9)</f>
        <v>3142267697</v>
      </c>
      <c r="E332" s="61" t="str">
        <f>IFERROR(__xludf.DUMMYFUNCTION("""COMPUTED_VALUE"""),"Nikita Kostromins")</f>
        <v>Nikita Kostromins</v>
      </c>
      <c r="F332" s="61"/>
      <c r="G332" s="61"/>
      <c r="H332" s="61" t="str">
        <f>IFERROR(__xludf.DUMMYFUNCTION("""COMPUTED_VALUE"""),"Storage Item Return")</f>
        <v>Storage Item Return</v>
      </c>
      <c r="I332" s="61" t="str">
        <f>IFERROR(__xludf.DUMMYFUNCTION("""COMPUTED_VALUE"""),"University Housing ")</f>
        <v>University Housing </v>
      </c>
      <c r="J332" s="107" t="str">
        <f>IFERROR(__xludf.DUMMYFUNCTION("""COMPUTED_VALUE"""),"03:00 PM to 05:00 PM ")</f>
        <v>03:00 PM to 05:00 PM </v>
      </c>
      <c r="K332" s="107">
        <f>IFERROR(__xludf.DUMMYFUNCTION("""COMPUTED_VALUE"""),45890.0)</f>
        <v>45890</v>
      </c>
      <c r="L332" s="61" t="str">
        <f>IFERROR(__xludf.DUMMYFUNCTION("""COMPUTED_VALUE"""),"House 6 (Sigma Alpha Epsilon)  ")</f>
        <v>House 6 (Sigma Alpha Epsilon)  </v>
      </c>
      <c r="M332" s="61" t="str">
        <f>IFERROR(__xludf.DUMMYFUNCTION("""COMPUTED_VALUE"""),"X")</f>
        <v>X</v>
      </c>
      <c r="N332" s="61"/>
      <c r="O332" s="61"/>
      <c r="P332" s="61" t="b">
        <f>COUNTIF('Delivered SIR'!A:A, E332) &gt; 0</f>
        <v>1</v>
      </c>
    </row>
    <row r="333">
      <c r="A333" s="102" t="str">
        <f>IFERROR(__xludf.DUMMYFUNCTION("""COMPUTED_VALUE"""),"https://utrucking.com/admin/orders/5923591585980")</f>
        <v>https://utrucking.com/admin/orders/5923591585980</v>
      </c>
      <c r="B333" s="65" t="str">
        <f>IFERROR(__xludf.DUMMYFUNCTION("""COMPUTED_VALUE"""),"#15926")</f>
        <v>#15926</v>
      </c>
      <c r="C333" s="65" t="str">
        <f>IFERROR(__xludf.DUMMYFUNCTION("""COMPUTED_VALUE"""),"nataliegornstein@gmail.com")</f>
        <v>nataliegornstein@gmail.com</v>
      </c>
      <c r="D333" s="65">
        <f>IFERROR(__xludf.DUMMYFUNCTION("""COMPUTED_VALUE"""),6.174616197E9)</f>
        <v>6174616197</v>
      </c>
      <c r="E333" s="65" t="str">
        <f>IFERROR(__xludf.DUMMYFUNCTION("""COMPUTED_VALUE"""),"Eric Gornstein")</f>
        <v>Eric Gornstein</v>
      </c>
      <c r="F333" s="65"/>
      <c r="G333" s="65"/>
      <c r="H333" s="65" t="str">
        <f>IFERROR(__xludf.DUMMYFUNCTION("""COMPUTED_VALUE"""),"Storage Item Return")</f>
        <v>Storage Item Return</v>
      </c>
      <c r="I333" s="65" t="str">
        <f>IFERROR(__xludf.DUMMYFUNCTION("""COMPUTED_VALUE"""),"University Housing ")</f>
        <v>University Housing </v>
      </c>
      <c r="J333" s="108" t="str">
        <f>IFERROR(__xludf.DUMMYFUNCTION("""COMPUTED_VALUE"""),"09:00 AM to 11:00 AM   ")</f>
        <v>09:00 AM to 11:00 AM   </v>
      </c>
      <c r="K333" s="108">
        <f>IFERROR(__xludf.DUMMYFUNCTION("""COMPUTED_VALUE"""),45888.0)</f>
        <v>45888</v>
      </c>
      <c r="L333" s="65" t="str">
        <f>IFERROR(__xludf.DUMMYFUNCTION("""COMPUTED_VALUE"""),"House 6 (Sigma Alpha Epsilon)  ")</f>
        <v>House 6 (Sigma Alpha Epsilon)  </v>
      </c>
      <c r="M333" s="65" t="str">
        <f>IFERROR(__xludf.DUMMYFUNCTION("""COMPUTED_VALUE"""),"103")</f>
        <v>103</v>
      </c>
      <c r="N333" s="65"/>
      <c r="O333" s="65"/>
      <c r="P333" s="65" t="b">
        <f>COUNTIF('Delivered SIR'!A:A, E333) &gt; 0</f>
        <v>0</v>
      </c>
    </row>
    <row r="334">
      <c r="A334" s="99" t="str">
        <f>IFERROR(__xludf.DUMMYFUNCTION("""COMPUTED_VALUE"""),"https://utrucking.com/admin/orders/5923692740796")</f>
        <v>https://utrucking.com/admin/orders/5923692740796</v>
      </c>
      <c r="B334" s="61" t="str">
        <f>IFERROR(__xludf.DUMMYFUNCTION("""COMPUTED_VALUE"""),"#15928")</f>
        <v>#15928</v>
      </c>
      <c r="C334" s="61" t="str">
        <f>IFERROR(__xludf.DUMMYFUNCTION("""COMPUTED_VALUE"""),"jessica.zmood@gmail.com")</f>
        <v>jessica.zmood@gmail.com</v>
      </c>
      <c r="D334" s="61">
        <f>IFERROR(__xludf.DUMMYFUNCTION("""COMPUTED_VALUE"""),9.178474451E9)</f>
        <v>9178474451</v>
      </c>
      <c r="E334" s="61" t="str">
        <f>IFERROR(__xludf.DUMMYFUNCTION("""COMPUTED_VALUE"""),"Dov Zmood")</f>
        <v>Dov Zmood</v>
      </c>
      <c r="F334" s="61"/>
      <c r="G334" s="61"/>
      <c r="H334" s="61" t="str">
        <f>IFERROR(__xludf.DUMMYFUNCTION("""COMPUTED_VALUE"""),"Storage Item Return")</f>
        <v>Storage Item Return</v>
      </c>
      <c r="I334" s="61" t="str">
        <f>IFERROR(__xludf.DUMMYFUNCTION("""COMPUTED_VALUE"""),"University Housing ")</f>
        <v>University Housing </v>
      </c>
      <c r="J334" s="107" t="str">
        <f>IFERROR(__xludf.DUMMYFUNCTION("""COMPUTED_VALUE"""),"03:00 PM to 05:00 PM ")</f>
        <v>03:00 PM to 05:00 PM </v>
      </c>
      <c r="K334" s="107">
        <f>IFERROR(__xludf.DUMMYFUNCTION("""COMPUTED_VALUE"""),45889.0)</f>
        <v>45889</v>
      </c>
      <c r="L334" s="61" t="str">
        <f>IFERROR(__xludf.DUMMYFUNCTION("""COMPUTED_VALUE"""),"Millbrook Bldg. 3  ")</f>
        <v>Millbrook Bldg. 3  </v>
      </c>
      <c r="M334" s="61" t="str">
        <f>IFERROR(__xludf.DUMMYFUNCTION("""COMPUTED_VALUE"""),"303-D")</f>
        <v>303-D</v>
      </c>
      <c r="N334" s="61"/>
      <c r="O334" s="61"/>
      <c r="P334" s="61" t="b">
        <f>COUNTIF('Delivered SIR'!A:A, E334) &gt; 0</f>
        <v>0</v>
      </c>
    </row>
    <row r="335">
      <c r="A335" s="102" t="str">
        <f>IFERROR(__xludf.DUMMYFUNCTION("""COMPUTED_VALUE"""),"https://utrucking.com/admin/orders/5923716300988")</f>
        <v>https://utrucking.com/admin/orders/5923716300988</v>
      </c>
      <c r="B335" s="65" t="str">
        <f>IFERROR(__xludf.DUMMYFUNCTION("""COMPUTED_VALUE"""),"#15929")</f>
        <v>#15929</v>
      </c>
      <c r="C335" s="65" t="str">
        <f>IFERROR(__xludf.DUMMYFUNCTION("""COMPUTED_VALUE"""),"a.eidelhoch@wustl.edu")</f>
        <v>a.eidelhoch@wustl.edu</v>
      </c>
      <c r="D335" s="65">
        <f>IFERROR(__xludf.DUMMYFUNCTION("""COMPUTED_VALUE"""),4.154125651E9)</f>
        <v>4154125651</v>
      </c>
      <c r="E335" s="65" t="str">
        <f>IFERROR(__xludf.DUMMYFUNCTION("""COMPUTED_VALUE"""),"Sarah Eidelhoch")</f>
        <v>Sarah Eidelhoch</v>
      </c>
      <c r="F335" s="65"/>
      <c r="G335" s="65"/>
      <c r="H335" s="65" t="str">
        <f>IFERROR(__xludf.DUMMYFUNCTION("""COMPUTED_VALUE"""),"Storage Item Return")</f>
        <v>Storage Item Return</v>
      </c>
      <c r="I335" s="65" t="str">
        <f>IFERROR(__xludf.DUMMYFUNCTION("""COMPUTED_VALUE"""),"University Housing ")</f>
        <v>University Housing </v>
      </c>
      <c r="J335" s="108" t="str">
        <f>IFERROR(__xludf.DUMMYFUNCTION("""COMPUTED_VALUE"""),"09:00 AM to 11:00 AM   ")</f>
        <v>09:00 AM to 11:00 AM   </v>
      </c>
      <c r="K335" s="108">
        <f>IFERROR(__xludf.DUMMYFUNCTION("""COMPUTED_VALUE"""),45892.0)</f>
        <v>45892</v>
      </c>
      <c r="L335" s="65" t="str">
        <f>IFERROR(__xludf.DUMMYFUNCTION("""COMPUTED_VALUE"""),"Eliot B  ")</f>
        <v>Eliot B  </v>
      </c>
      <c r="M335" s="65" t="str">
        <f>IFERROR(__xludf.DUMMYFUNCTION("""COMPUTED_VALUE"""),"4021")</f>
        <v>4021</v>
      </c>
      <c r="N335" s="65"/>
      <c r="O335" s="65"/>
      <c r="P335" s="65" t="b">
        <f>COUNTIF('Delivered SIR'!A:A, E335) &gt; 0</f>
        <v>0</v>
      </c>
    </row>
    <row r="336">
      <c r="A336" s="99" t="str">
        <f>IFERROR(__xludf.DUMMYFUNCTION("""COMPUTED_VALUE"""),"https://utrucking.com/admin/orders/5923984507068")</f>
        <v>https://utrucking.com/admin/orders/5923984507068</v>
      </c>
      <c r="B336" s="61" t="str">
        <f>IFERROR(__xludf.DUMMYFUNCTION("""COMPUTED_VALUE"""),"#15931")</f>
        <v>#15931</v>
      </c>
      <c r="C336" s="61" t="str">
        <f>IFERROR(__xludf.DUMMYFUNCTION("""COMPUTED_VALUE"""),"chengwei.s@wustl.edu")</f>
        <v>chengwei.s@wustl.edu</v>
      </c>
      <c r="D336" s="61">
        <f>IFERROR(__xludf.DUMMYFUNCTION("""COMPUTED_VALUE"""),3.14437011E9)</f>
        <v>3144370110</v>
      </c>
      <c r="E336" s="61" t="str">
        <f>IFERROR(__xludf.DUMMYFUNCTION("""COMPUTED_VALUE"""),"Chengwei Shang")</f>
        <v>Chengwei Shang</v>
      </c>
      <c r="F336" s="61"/>
      <c r="G336" s="61"/>
      <c r="H336" s="61" t="str">
        <f>IFERROR(__xludf.DUMMYFUNCTION("""COMPUTED_VALUE"""),"Storage Item Return")</f>
        <v>Storage Item Return</v>
      </c>
      <c r="I336" s="61" t="str">
        <f>IFERROR(__xludf.DUMMYFUNCTION("""COMPUTED_VALUE"""),"University Housing ")</f>
        <v>University Housing </v>
      </c>
      <c r="J336" s="107" t="str">
        <f>IFERROR(__xludf.DUMMYFUNCTION("""COMPUTED_VALUE"""),"09:00 AM to 11:00 AM   ")</f>
        <v>09:00 AM to 11:00 AM   </v>
      </c>
      <c r="K336" s="107">
        <f>IFERROR(__xludf.DUMMYFUNCTION("""COMPUTED_VALUE"""),45890.0)</f>
        <v>45890</v>
      </c>
      <c r="L336" s="61" t="str">
        <f>IFERROR(__xludf.DUMMYFUNCTION("""COMPUTED_VALUE"""),"House 5")</f>
        <v>House 5</v>
      </c>
      <c r="M336" s="61" t="str">
        <f>IFERROR(__xludf.DUMMYFUNCTION("""COMPUTED_VALUE"""),"202-a")</f>
        <v>202-a</v>
      </c>
      <c r="N336" s="61"/>
      <c r="O336" s="61"/>
      <c r="P336" s="61" t="b">
        <f>COUNTIF('Delivered SIR'!A:A, E336) &gt; 0</f>
        <v>0</v>
      </c>
    </row>
    <row r="337">
      <c r="A337" s="102" t="str">
        <f>IFERROR(__xludf.DUMMYFUNCTION("""COMPUTED_VALUE"""),"https://utrucking.com/admin/orders/5924131242172")</f>
        <v>https://utrucking.com/admin/orders/5924131242172</v>
      </c>
      <c r="B337" s="65" t="str">
        <f>IFERROR(__xludf.DUMMYFUNCTION("""COMPUTED_VALUE"""),"#15932")</f>
        <v>#15932</v>
      </c>
      <c r="C337" s="65" t="str">
        <f>IFERROR(__xludf.DUMMYFUNCTION("""COMPUTED_VALUE"""),"h.a.john@wustl.edu")</f>
        <v>h.a.john@wustl.edu</v>
      </c>
      <c r="D337" s="65">
        <f>IFERROR(__xludf.DUMMYFUNCTION("""COMPUTED_VALUE"""),4.752434614E9)</f>
        <v>4752434614</v>
      </c>
      <c r="E337" s="65" t="str">
        <f>IFERROR(__xludf.DUMMYFUNCTION("""COMPUTED_VALUE"""),"Harrison John")</f>
        <v>Harrison John</v>
      </c>
      <c r="F337" s="65"/>
      <c r="G337" s="65"/>
      <c r="H337" s="65" t="str">
        <f>IFERROR(__xludf.DUMMYFUNCTION("""COMPUTED_VALUE"""),"Storage Item Return")</f>
        <v>Storage Item Return</v>
      </c>
      <c r="I337" s="65" t="str">
        <f>IFERROR(__xludf.DUMMYFUNCTION("""COMPUTED_VALUE"""),"University Housing ")</f>
        <v>University Housing </v>
      </c>
      <c r="J337" s="108" t="str">
        <f>IFERROR(__xludf.DUMMYFUNCTION("""COMPUTED_VALUE"""),"02:00 PM to 04:00 PM ")</f>
        <v>02:00 PM to 04:00 PM </v>
      </c>
      <c r="K337" s="108">
        <f>IFERROR(__xludf.DUMMYFUNCTION("""COMPUTED_VALUE"""),45890.0)</f>
        <v>45890</v>
      </c>
      <c r="L337" s="65" t="str">
        <f>IFERROR(__xludf.DUMMYFUNCTION("""COMPUTED_VALUE"""),"House 2 (Sigma Nu)  ")</f>
        <v>House 2 (Sigma Nu)  </v>
      </c>
      <c r="M337" s="65" t="str">
        <f>IFERROR(__xludf.DUMMYFUNCTION("""COMPUTED_VALUE"""),"203")</f>
        <v>203</v>
      </c>
      <c r="N337" s="65"/>
      <c r="O337" s="65"/>
      <c r="P337" s="65" t="b">
        <f>COUNTIF('Delivered SIR'!A:A, E337) &gt; 0</f>
        <v>1</v>
      </c>
    </row>
    <row r="338">
      <c r="A338" s="99" t="str">
        <f>IFERROR(__xludf.DUMMYFUNCTION("""COMPUTED_VALUE"""),"https://utrucking.com/admin/orders/5924189438140")</f>
        <v>https://utrucking.com/admin/orders/5924189438140</v>
      </c>
      <c r="B338" s="61" t="str">
        <f>IFERROR(__xludf.DUMMYFUNCTION("""COMPUTED_VALUE"""),"#15933")</f>
        <v>#15933</v>
      </c>
      <c r="C338" s="61" t="str">
        <f>IFERROR(__xludf.DUMMYFUNCTION("""COMPUTED_VALUE"""),"2836531271@qq.com")</f>
        <v>2836531271@qq.com</v>
      </c>
      <c r="D338" s="61">
        <f>IFERROR(__xludf.DUMMYFUNCTION("""COMPUTED_VALUE"""),3.147285646E9)</f>
        <v>3147285646</v>
      </c>
      <c r="E338" s="61" t="str">
        <f>IFERROR(__xludf.DUMMYFUNCTION("""COMPUTED_VALUE"""),"Andrea Liang")</f>
        <v>Andrea Liang</v>
      </c>
      <c r="F338" s="61"/>
      <c r="G338" s="61"/>
      <c r="H338" s="61" t="str">
        <f>IFERROR(__xludf.DUMMYFUNCTION("""COMPUTED_VALUE"""),"Storage Item Return")</f>
        <v>Storage Item Return</v>
      </c>
      <c r="I338" s="61" t="str">
        <f>IFERROR(__xludf.DUMMYFUNCTION("""COMPUTED_VALUE"""),"University Housing ")</f>
        <v>University Housing </v>
      </c>
      <c r="J338" s="107" t="str">
        <f>IFERROR(__xludf.DUMMYFUNCTION("""COMPUTED_VALUE"""),"10:00 AM to 12:00 PM   ")</f>
        <v>10:00 AM to 12:00 PM   </v>
      </c>
      <c r="K338" s="107">
        <f>IFERROR(__xludf.DUMMYFUNCTION("""COMPUTED_VALUE"""),45890.0)</f>
        <v>45890</v>
      </c>
      <c r="L338" s="61" t="str">
        <f>IFERROR(__xludf.DUMMYFUNCTION("""COMPUTED_VALUE"""),"Nemerov  ")</f>
        <v>Nemerov  </v>
      </c>
      <c r="M338" s="61" t="str">
        <f>IFERROR(__xludf.DUMMYFUNCTION("""COMPUTED_VALUE"""),"1002")</f>
        <v>1002</v>
      </c>
      <c r="N338" s="61"/>
      <c r="O338" s="61"/>
      <c r="P338" s="61" t="b">
        <f>COUNTIF('Delivered SIR'!A:A, E338) &gt; 0</f>
        <v>1</v>
      </c>
    </row>
    <row r="339">
      <c r="A339" s="102" t="str">
        <f>IFERROR(__xludf.DUMMYFUNCTION("""COMPUTED_VALUE"""),"https://utrucking.com/admin/orders/5924255039676")</f>
        <v>https://utrucking.com/admin/orders/5924255039676</v>
      </c>
      <c r="B339" s="65" t="str">
        <f>IFERROR(__xludf.DUMMYFUNCTION("""COMPUTED_VALUE"""),"#15935")</f>
        <v>#15935</v>
      </c>
      <c r="C339" s="65" t="str">
        <f>IFERROR(__xludf.DUMMYFUNCTION("""COMPUTED_VALUE"""),"c.langrui@wustl.edu")</f>
        <v>c.langrui@wustl.edu</v>
      </c>
      <c r="D339" s="65">
        <f>IFERROR(__xludf.DUMMYFUNCTION("""COMPUTED_VALUE"""),3.144371708E9)</f>
        <v>3144371708</v>
      </c>
      <c r="E339" s="65" t="str">
        <f>IFERROR(__xludf.DUMMYFUNCTION("""COMPUTED_VALUE"""),"Rain Cao")</f>
        <v>Rain Cao</v>
      </c>
      <c r="F339" s="65"/>
      <c r="G339" s="65"/>
      <c r="H339" s="65" t="str">
        <f>IFERROR(__xludf.DUMMYFUNCTION("""COMPUTED_VALUE"""),"Storage Item Return")</f>
        <v>Storage Item Return</v>
      </c>
      <c r="I339" s="65" t="str">
        <f>IFERROR(__xludf.DUMMYFUNCTION("""COMPUTED_VALUE"""),"University Housing ")</f>
        <v>University Housing </v>
      </c>
      <c r="J339" s="108" t="str">
        <f>IFERROR(__xludf.DUMMYFUNCTION("""COMPUTED_VALUE"""),"10:00 AM to 12:00 PM   ")</f>
        <v>10:00 AM to 12:00 PM   </v>
      </c>
      <c r="K339" s="108">
        <f>IFERROR(__xludf.DUMMYFUNCTION("""COMPUTED_VALUE"""),45891.0)</f>
        <v>45891</v>
      </c>
      <c r="L339" s="65" t="str">
        <f>IFERROR(__xludf.DUMMYFUNCTION("""COMPUTED_VALUE"""),"Village House  ")</f>
        <v>Village House  </v>
      </c>
      <c r="M339" s="65" t="str">
        <f>IFERROR(__xludf.DUMMYFUNCTION("""COMPUTED_VALUE"""),"3032")</f>
        <v>3032</v>
      </c>
      <c r="N339" s="65"/>
      <c r="O339" s="65"/>
      <c r="P339" s="65" t="b">
        <f>COUNTIF('Delivered SIR'!A:A, E339) &gt; 0</f>
        <v>1</v>
      </c>
    </row>
    <row r="340">
      <c r="A340" s="99" t="str">
        <f>IFERROR(__xludf.DUMMYFUNCTION("""COMPUTED_VALUE"""),"https://utrucking.com/admin/orders/5924397056188")</f>
        <v>https://utrucking.com/admin/orders/5924397056188</v>
      </c>
      <c r="B340" s="61" t="str">
        <f>IFERROR(__xludf.DUMMYFUNCTION("""COMPUTED_VALUE"""),"#15938")</f>
        <v>#15938</v>
      </c>
      <c r="C340" s="61" t="str">
        <f>IFERROR(__xludf.DUMMYFUNCTION("""COMPUTED_VALUE"""),"melinagarren@gmail.com")</f>
        <v>melinagarren@gmail.com</v>
      </c>
      <c r="D340" s="61">
        <f>IFERROR(__xludf.DUMMYFUNCTION("""COMPUTED_VALUE"""),8.312503665E9)</f>
        <v>8312503665</v>
      </c>
      <c r="E340" s="61" t="str">
        <f>IFERROR(__xludf.DUMMYFUNCTION("""COMPUTED_VALUE"""),"Melina Garren")</f>
        <v>Melina Garren</v>
      </c>
      <c r="F340" s="61"/>
      <c r="G340" s="61"/>
      <c r="H340" s="61" t="str">
        <f>IFERROR(__xludf.DUMMYFUNCTION("""COMPUTED_VALUE"""),"Storage Item Return")</f>
        <v>Storage Item Return</v>
      </c>
      <c r="I340" s="61" t="str">
        <f>IFERROR(__xludf.DUMMYFUNCTION("""COMPUTED_VALUE"""),"University Housing ")</f>
        <v>University Housing </v>
      </c>
      <c r="J340" s="107" t="str">
        <f>IFERROR(__xludf.DUMMYFUNCTION("""COMPUTED_VALUE"""),"09:00 AM to 11:00 AM   ")</f>
        <v>09:00 AM to 11:00 AM   </v>
      </c>
      <c r="K340" s="107">
        <f>IFERROR(__xludf.DUMMYFUNCTION("""COMPUTED_VALUE"""),45888.0)</f>
        <v>45888</v>
      </c>
      <c r="L340" s="61" t="str">
        <f>IFERROR(__xludf.DUMMYFUNCTION("""COMPUTED_VALUE"""),"Millbrook Bldg. 2  ")</f>
        <v>Millbrook Bldg. 2  </v>
      </c>
      <c r="M340" s="61" t="str">
        <f>IFERROR(__xludf.DUMMYFUNCTION("""COMPUTED_VALUE"""),"201A")</f>
        <v>201A</v>
      </c>
      <c r="N340" s="61"/>
      <c r="O340" s="61"/>
      <c r="P340" s="61" t="b">
        <f>COUNTIF('Delivered SIR'!A:A, E340) &gt; 0</f>
        <v>1</v>
      </c>
    </row>
    <row r="341">
      <c r="A341" s="102" t="str">
        <f>IFERROR(__xludf.DUMMYFUNCTION("""COMPUTED_VALUE"""),"https://utrucking.com/admin/orders/5924401152188")</f>
        <v>https://utrucking.com/admin/orders/5924401152188</v>
      </c>
      <c r="B341" s="65" t="str">
        <f>IFERROR(__xludf.DUMMYFUNCTION("""COMPUTED_VALUE"""),"#15939")</f>
        <v>#15939</v>
      </c>
      <c r="C341" s="65" t="str">
        <f>IFERROR(__xludf.DUMMYFUNCTION("""COMPUTED_VALUE"""),"nataliebeldnercollege@gmail.com")</f>
        <v>nataliebeldnercollege@gmail.com</v>
      </c>
      <c r="D341" s="65">
        <f>IFERROR(__xludf.DUMMYFUNCTION("""COMPUTED_VALUE"""),9.142681108E9)</f>
        <v>9142681108</v>
      </c>
      <c r="E341" s="65" t="str">
        <f>IFERROR(__xludf.DUMMYFUNCTION("""COMPUTED_VALUE"""),"Natalie Beldner")</f>
        <v>Natalie Beldner</v>
      </c>
      <c r="F341" s="65"/>
      <c r="G341" s="65"/>
      <c r="H341" s="65" t="str">
        <f>IFERROR(__xludf.DUMMYFUNCTION("""COMPUTED_VALUE"""),"Storage Item Return")</f>
        <v>Storage Item Return</v>
      </c>
      <c r="I341" s="65" t="str">
        <f>IFERROR(__xludf.DUMMYFUNCTION("""COMPUTED_VALUE"""),"University Housing ")</f>
        <v>University Housing </v>
      </c>
      <c r="J341" s="108" t="str">
        <f>IFERROR(__xludf.DUMMYFUNCTION("""COMPUTED_VALUE"""),"09:00 AM to 11:00 AM   ")</f>
        <v>09:00 AM to 11:00 AM   </v>
      </c>
      <c r="K341" s="108">
        <f>IFERROR(__xludf.DUMMYFUNCTION("""COMPUTED_VALUE"""),45887.0)</f>
        <v>45887</v>
      </c>
      <c r="L341" s="65" t="str">
        <f>IFERROR(__xludf.DUMMYFUNCTION("""COMPUTED_VALUE"""),"Lopata  ")</f>
        <v>Lopata  </v>
      </c>
      <c r="M341" s="65" t="str">
        <f>IFERROR(__xludf.DUMMYFUNCTION("""COMPUTED_VALUE"""),"3094")</f>
        <v>3094</v>
      </c>
      <c r="N341" s="65"/>
      <c r="O341" s="65"/>
      <c r="P341" s="65" t="b">
        <f>COUNTIF('Delivered SIR'!A:A, E341) &gt; 0</f>
        <v>1</v>
      </c>
    </row>
    <row r="342">
      <c r="A342" s="99" t="str">
        <f>IFERROR(__xludf.DUMMYFUNCTION("""COMPUTED_VALUE"""),"https://utrucking.com/admin/orders/5924440637628")</f>
        <v>https://utrucking.com/admin/orders/5924440637628</v>
      </c>
      <c r="B342" s="61" t="str">
        <f>IFERROR(__xludf.DUMMYFUNCTION("""COMPUTED_VALUE"""),"#15941")</f>
        <v>#15941</v>
      </c>
      <c r="C342" s="61" t="str">
        <f>IFERROR(__xludf.DUMMYFUNCTION("""COMPUTED_VALUE"""),"b.moses@wustl.edu")</f>
        <v>b.moses@wustl.edu</v>
      </c>
      <c r="D342" s="61">
        <f>IFERROR(__xludf.DUMMYFUNCTION("""COMPUTED_VALUE"""),9.176983349E9)</f>
        <v>9176983349</v>
      </c>
      <c r="E342" s="61" t="str">
        <f>IFERROR(__xludf.DUMMYFUNCTION("""COMPUTED_VALUE"""),"Moses Bank")</f>
        <v>Moses Bank</v>
      </c>
      <c r="F342" s="61"/>
      <c r="G342" s="61"/>
      <c r="H342" s="61" t="str">
        <f>IFERROR(__xludf.DUMMYFUNCTION("""COMPUTED_VALUE"""),"Storage Item Return")</f>
        <v>Storage Item Return</v>
      </c>
      <c r="I342" s="61" t="str">
        <f>IFERROR(__xludf.DUMMYFUNCTION("""COMPUTED_VALUE"""),"University Housing ")</f>
        <v>University Housing </v>
      </c>
      <c r="J342" s="107" t="str">
        <f>IFERROR(__xludf.DUMMYFUNCTION("""COMPUTED_VALUE"""),"09:00 AM to 11:00 AM   ")</f>
        <v>09:00 AM to 11:00 AM   </v>
      </c>
      <c r="K342" s="107">
        <f>IFERROR(__xludf.DUMMYFUNCTION("""COMPUTED_VALUE"""),45891.0)</f>
        <v>45891</v>
      </c>
      <c r="L342" s="61" t="str">
        <f>IFERROR(__xludf.DUMMYFUNCTION("""COMPUTED_VALUE"""),"Village East  ")</f>
        <v>Village East  </v>
      </c>
      <c r="M342" s="61" t="str">
        <f>IFERROR(__xludf.DUMMYFUNCTION("""COMPUTED_VALUE"""),"1044 - a")</f>
        <v>1044 - a</v>
      </c>
      <c r="N342" s="61"/>
      <c r="O342" s="61"/>
      <c r="P342" s="61" t="b">
        <f>COUNTIF('Delivered SIR'!A:A, E342) &gt; 0</f>
        <v>1</v>
      </c>
    </row>
    <row r="343">
      <c r="A343" s="102" t="str">
        <f>IFERROR(__xludf.DUMMYFUNCTION("""COMPUTED_VALUE"""),"https://utrucking.com/admin/orders/5924658938044")</f>
        <v>https://utrucking.com/admin/orders/5924658938044</v>
      </c>
      <c r="B343" s="65" t="str">
        <f>IFERROR(__xludf.DUMMYFUNCTION("""COMPUTED_VALUE"""),"#15948")</f>
        <v>#15948</v>
      </c>
      <c r="C343" s="65" t="str">
        <f>IFERROR(__xludf.DUMMYFUNCTION("""COMPUTED_VALUE"""),"n.s.staes@wustl.edu")</f>
        <v>n.s.staes@wustl.edu</v>
      </c>
      <c r="D343" s="65">
        <f>IFERROR(__xludf.DUMMYFUNCTION("""COMPUTED_VALUE"""),5.04301644E9)</f>
        <v>5043016440</v>
      </c>
      <c r="E343" s="65" t="str">
        <f>IFERROR(__xludf.DUMMYFUNCTION("""COMPUTED_VALUE"""),"Nyja Staes")</f>
        <v>Nyja Staes</v>
      </c>
      <c r="F343" s="65"/>
      <c r="G343" s="65"/>
      <c r="H343" s="65" t="str">
        <f>IFERROR(__xludf.DUMMYFUNCTION("""COMPUTED_VALUE"""),"Storage Item Return")</f>
        <v>Storage Item Return</v>
      </c>
      <c r="I343" s="65" t="str">
        <f>IFERROR(__xludf.DUMMYFUNCTION("""COMPUTED_VALUE"""),"University Housing ")</f>
        <v>University Housing </v>
      </c>
      <c r="J343" s="108" t="str">
        <f>IFERROR(__xludf.DUMMYFUNCTION("""COMPUTED_VALUE"""),"09:00 AM to 11:00 AM   ")</f>
        <v>09:00 AM to 11:00 AM   </v>
      </c>
      <c r="K343" s="108">
        <f>IFERROR(__xludf.DUMMYFUNCTION("""COMPUTED_VALUE"""),45888.0)</f>
        <v>45888</v>
      </c>
      <c r="L343" s="65" t="str">
        <f>IFERROR(__xludf.DUMMYFUNCTION("""COMPUTED_VALUE"""),"Loop Loft 6300  ")</f>
        <v>Loop Loft 6300  </v>
      </c>
      <c r="M343" s="65" t="str">
        <f>IFERROR(__xludf.DUMMYFUNCTION("""COMPUTED_VALUE"""),"403 a ")</f>
        <v>403 a </v>
      </c>
      <c r="N343" s="65"/>
      <c r="O343" s="65"/>
      <c r="P343" s="65" t="b">
        <f>COUNTIF('Delivered SIR'!A:A, E343) &gt; 0</f>
        <v>0</v>
      </c>
    </row>
    <row r="344">
      <c r="A344" s="99" t="str">
        <f>IFERROR(__xludf.DUMMYFUNCTION("""COMPUTED_VALUE"""),"https://utrucking.com/admin/orders/5924670570684")</f>
        <v>https://utrucking.com/admin/orders/5924670570684</v>
      </c>
      <c r="B344" s="61" t="str">
        <f>IFERROR(__xludf.DUMMYFUNCTION("""COMPUTED_VALUE"""),"#15950")</f>
        <v>#15950</v>
      </c>
      <c r="C344" s="61" t="str">
        <f>IFERROR(__xludf.DUMMYFUNCTION("""COMPUTED_VALUE"""),"sofiayoungblut@gmail.com")</f>
        <v>sofiayoungblut@gmail.com</v>
      </c>
      <c r="D344" s="61">
        <f>IFERROR(__xludf.DUMMYFUNCTION("""COMPUTED_VALUE"""),2.063346136E9)</f>
        <v>2063346136</v>
      </c>
      <c r="E344" s="61" t="str">
        <f>IFERROR(__xludf.DUMMYFUNCTION("""COMPUTED_VALUE"""),"Sofia Youngblut")</f>
        <v>Sofia Youngblut</v>
      </c>
      <c r="F344" s="61"/>
      <c r="G344" s="61"/>
      <c r="H344" s="61" t="str">
        <f>IFERROR(__xludf.DUMMYFUNCTION("""COMPUTED_VALUE"""),"Storage Item Return")</f>
        <v>Storage Item Return</v>
      </c>
      <c r="I344" s="61" t="str">
        <f>IFERROR(__xludf.DUMMYFUNCTION("""COMPUTED_VALUE"""),"University Housing ")</f>
        <v>University Housing </v>
      </c>
      <c r="J344" s="107" t="str">
        <f>IFERROR(__xludf.DUMMYFUNCTION("""COMPUTED_VALUE"""),"09:00 AM to 11:00 AM   ")</f>
        <v>09:00 AM to 11:00 AM   </v>
      </c>
      <c r="K344" s="107">
        <f>IFERROR(__xludf.DUMMYFUNCTION("""COMPUTED_VALUE"""),45888.0)</f>
        <v>45888</v>
      </c>
      <c r="L344" s="61" t="str">
        <f>IFERROR(__xludf.DUMMYFUNCTION("""COMPUTED_VALUE"""),"Shepley  ")</f>
        <v>Shepley  </v>
      </c>
      <c r="M344" s="61" t="str">
        <f>IFERROR(__xludf.DUMMYFUNCTION("""COMPUTED_VALUE"""),"4003")</f>
        <v>4003</v>
      </c>
      <c r="N344" s="61"/>
      <c r="O344" s="61"/>
      <c r="P344" s="61" t="b">
        <f>COUNTIF('Delivered SIR'!A:A, E344) &gt; 0</f>
        <v>1</v>
      </c>
    </row>
    <row r="345">
      <c r="A345" s="102" t="str">
        <f>IFERROR(__xludf.DUMMYFUNCTION("""COMPUTED_VALUE"""),"https://utrucking.com/admin/orders/5924671979708")</f>
        <v>https://utrucking.com/admin/orders/5924671979708</v>
      </c>
      <c r="B345" s="65" t="str">
        <f>IFERROR(__xludf.DUMMYFUNCTION("""COMPUTED_VALUE"""),"#15951")</f>
        <v>#15951</v>
      </c>
      <c r="C345" s="65" t="str">
        <f>IFERROR(__xludf.DUMMYFUNCTION("""COMPUTED_VALUE"""),"alisonflamenbaum@gmail.com")</f>
        <v>alisonflamenbaum@gmail.com</v>
      </c>
      <c r="D345" s="65">
        <f>IFERROR(__xludf.DUMMYFUNCTION("""COMPUTED_VALUE"""),9.145259746E9)</f>
        <v>9145259746</v>
      </c>
      <c r="E345" s="65" t="str">
        <f>IFERROR(__xludf.DUMMYFUNCTION("""COMPUTED_VALUE"""),"Paisley Flamenbaum")</f>
        <v>Paisley Flamenbaum</v>
      </c>
      <c r="F345" s="65"/>
      <c r="G345" s="65"/>
      <c r="H345" s="65" t="str">
        <f>IFERROR(__xludf.DUMMYFUNCTION("""COMPUTED_VALUE"""),"Storage Item Return")</f>
        <v>Storage Item Return</v>
      </c>
      <c r="I345" s="65" t="str">
        <f>IFERROR(__xludf.DUMMYFUNCTION("""COMPUTED_VALUE"""),"University Housing ")</f>
        <v>University Housing </v>
      </c>
      <c r="J345" s="108" t="str">
        <f>IFERROR(__xludf.DUMMYFUNCTION("""COMPUTED_VALUE"""),"09:00 AM to 11:00 AM   ")</f>
        <v>09:00 AM to 11:00 AM   </v>
      </c>
      <c r="K345" s="108">
        <f>IFERROR(__xludf.DUMMYFUNCTION("""COMPUTED_VALUE"""),45883.0)</f>
        <v>45883</v>
      </c>
      <c r="L345" s="65" t="str">
        <f>IFERROR(__xludf.DUMMYFUNCTION("""COMPUTED_VALUE"""),"Lopata  ")</f>
        <v>Lopata  </v>
      </c>
      <c r="M345" s="65" t="str">
        <f>IFERROR(__xludf.DUMMYFUNCTION("""COMPUTED_VALUE"""),"3051-A")</f>
        <v>3051-A</v>
      </c>
      <c r="N345" s="65"/>
      <c r="O345" s="65"/>
      <c r="P345" s="65" t="b">
        <f>COUNTIF('Delivered SIR'!A:A, E345) &gt; 0</f>
        <v>1</v>
      </c>
    </row>
    <row r="346">
      <c r="A346" s="99" t="str">
        <f>IFERROR(__xludf.DUMMYFUNCTION("""COMPUTED_VALUE"""),"https://utrucking.com/admin/orders/5924695048380")</f>
        <v>https://utrucking.com/admin/orders/5924695048380</v>
      </c>
      <c r="B346" s="61" t="str">
        <f>IFERROR(__xludf.DUMMYFUNCTION("""COMPUTED_VALUE"""),"#15953")</f>
        <v>#15953</v>
      </c>
      <c r="C346" s="61" t="str">
        <f>IFERROR(__xludf.DUMMYFUNCTION("""COMPUTED_VALUE"""),"cecemilde@icloud.com")</f>
        <v>cecemilde@icloud.com</v>
      </c>
      <c r="D346" s="61">
        <f>IFERROR(__xludf.DUMMYFUNCTION("""COMPUTED_VALUE"""),9.178683484E9)</f>
        <v>9178683484</v>
      </c>
      <c r="E346" s="61" t="str">
        <f>IFERROR(__xludf.DUMMYFUNCTION("""COMPUTED_VALUE"""),"Cece Milde")</f>
        <v>Cece Milde</v>
      </c>
      <c r="F346" s="61"/>
      <c r="G346" s="61"/>
      <c r="H346" s="61" t="str">
        <f>IFERROR(__xludf.DUMMYFUNCTION("""COMPUTED_VALUE"""),"Storage Item Return")</f>
        <v>Storage Item Return</v>
      </c>
      <c r="I346" s="61" t="str">
        <f>IFERROR(__xludf.DUMMYFUNCTION("""COMPUTED_VALUE"""),"University Housing ")</f>
        <v>University Housing </v>
      </c>
      <c r="J346" s="107" t="str">
        <f>IFERROR(__xludf.DUMMYFUNCTION("""COMPUTED_VALUE"""),"11:00 AM to 01:00 PM   ")</f>
        <v>11:00 AM to 01:00 PM   </v>
      </c>
      <c r="K346" s="107">
        <f>IFERROR(__xludf.DUMMYFUNCTION("""COMPUTED_VALUE"""),45889.0)</f>
        <v>45889</v>
      </c>
      <c r="L346" s="61" t="str">
        <f>IFERROR(__xludf.DUMMYFUNCTION("""COMPUTED_VALUE"""),"Millbrook Bldg. 3  ")</f>
        <v>Millbrook Bldg. 3  </v>
      </c>
      <c r="M346" s="61" t="str">
        <f>IFERROR(__xludf.DUMMYFUNCTION("""COMPUTED_VALUE"""),"103E")</f>
        <v>103E</v>
      </c>
      <c r="N346" s="61"/>
      <c r="O346" s="61"/>
      <c r="P346" s="61" t="b">
        <f>COUNTIF('Delivered SIR'!A:A, E346) &gt; 0</f>
        <v>1</v>
      </c>
    </row>
    <row r="347">
      <c r="A347" s="102" t="str">
        <f>IFERROR(__xludf.DUMMYFUNCTION("""COMPUTED_VALUE"""),"https://utrucking.com/admin/orders/5924752031932")</f>
        <v>https://utrucking.com/admin/orders/5924752031932</v>
      </c>
      <c r="B347" s="65" t="str">
        <f>IFERROR(__xludf.DUMMYFUNCTION("""COMPUTED_VALUE"""),"#15955")</f>
        <v>#15955</v>
      </c>
      <c r="C347" s="65"/>
      <c r="D347" s="65">
        <f>IFERROR(__xludf.DUMMYFUNCTION("""COMPUTED_VALUE"""),6.465651495E9)</f>
        <v>6465651495</v>
      </c>
      <c r="E347" s="65" t="str">
        <f>IFERROR(__xludf.DUMMYFUNCTION("""COMPUTED_VALUE"""),"Mack La Rosa")</f>
        <v>Mack La Rosa</v>
      </c>
      <c r="F347" s="65"/>
      <c r="G347" s="65" t="str">
        <f>IFERROR(__xludf.DUMMYFUNCTION("""COMPUTED_VALUE"""),"6632 Washington Ave, Apt 3N, St. Louis MO")</f>
        <v>6632 Washington Ave, Apt 3N, St. Louis MO</v>
      </c>
      <c r="H347" s="65" t="str">
        <f>IFERROR(__xludf.DUMMYFUNCTION("""COMPUTED_VALUE"""),"Storage Item Return")</f>
        <v>Storage Item Return</v>
      </c>
      <c r="I347" s="65" t="str">
        <f>IFERROR(__xludf.DUMMYFUNCTION("""COMPUTED_VALUE"""),"Non-University Housing ")</f>
        <v>Non-University Housing </v>
      </c>
      <c r="J347" s="108" t="str">
        <f>IFERROR(__xludf.DUMMYFUNCTION("""COMPUTED_VALUE"""),"01:00 PM to 03:00 PM   ")</f>
        <v>01:00 PM to 03:00 PM   </v>
      </c>
      <c r="K347" s="108">
        <f>IFERROR(__xludf.DUMMYFUNCTION("""COMPUTED_VALUE"""),45891.0)</f>
        <v>45891</v>
      </c>
      <c r="L347" s="65"/>
      <c r="M347" s="65"/>
      <c r="N347" s="65" t="str">
        <f>IFERROR(__xludf.DUMMYFUNCTION("""COMPUTED_VALUE"""),"6632 Washington Ave, Apt 3N, St. Louis MO")</f>
        <v>6632 Washington Ave, Apt 3N, St. Louis MO</v>
      </c>
      <c r="O347" s="65"/>
      <c r="P347" s="65" t="b">
        <f>COUNTIF('Delivered SIR'!A:A, E347) &gt; 0</f>
        <v>0</v>
      </c>
    </row>
    <row r="348">
      <c r="A348" s="99" t="str">
        <f>IFERROR(__xludf.DUMMYFUNCTION("""COMPUTED_VALUE"""),"https://utrucking.com/admin/orders/5924814192828")</f>
        <v>https://utrucking.com/admin/orders/5924814192828</v>
      </c>
      <c r="B348" s="61" t="str">
        <f>IFERROR(__xludf.DUMMYFUNCTION("""COMPUTED_VALUE"""),"#15958")</f>
        <v>#15958</v>
      </c>
      <c r="C348" s="61"/>
      <c r="D348" s="61">
        <f>IFERROR(__xludf.DUMMYFUNCTION("""COMPUTED_VALUE"""),9.496684951E9)</f>
        <v>9496684951</v>
      </c>
      <c r="E348" s="61" t="str">
        <f>IFERROR(__xludf.DUMMYFUNCTION("""COMPUTED_VALUE"""),"Andy Du")</f>
        <v>Andy Du</v>
      </c>
      <c r="F348" s="61"/>
      <c r="G348" s="61" t="str">
        <f>IFERROR(__xludf.DUMMYFUNCTION("""COMPUTED_VALUE"""),"6515 Delmar Blvd, St. Louis MO 63112
(Everly On The Loop)")</f>
        <v>6515 Delmar Blvd, St. Louis MO 63112
(Everly On The Loop)</v>
      </c>
      <c r="H348" s="61" t="str">
        <f>IFERROR(__xludf.DUMMYFUNCTION("""COMPUTED_VALUE"""),"Storage Item Return")</f>
        <v>Storage Item Return</v>
      </c>
      <c r="I348" s="61" t="str">
        <f>IFERROR(__xludf.DUMMYFUNCTION("""COMPUTED_VALUE"""),"Non-University Housing ")</f>
        <v>Non-University Housing </v>
      </c>
      <c r="J348" s="107" t="str">
        <f>IFERROR(__xludf.DUMMYFUNCTION("""COMPUTED_VALUE"""),"10:00 AM to 12:00 PM   ")</f>
        <v>10:00 AM to 12:00 PM   </v>
      </c>
      <c r="K348" s="107">
        <f>IFERROR(__xludf.DUMMYFUNCTION("""COMPUTED_VALUE"""),45887.0)</f>
        <v>45887</v>
      </c>
      <c r="L348" s="61"/>
      <c r="M348" s="61"/>
      <c r="N348" s="61" t="str">
        <f>IFERROR(__xludf.DUMMYFUNCTION("""COMPUTED_VALUE"""),"6105 Delmar Blvd, Apt 523, St. Louis MO 63112 (Everly On The Loop)")</f>
        <v>6105 Delmar Blvd, Apt 523, St. Louis MO 63112 (Everly On The Loop)</v>
      </c>
      <c r="O348" s="61"/>
      <c r="P348" s="61" t="b">
        <f>COUNTIF('Delivered SIR'!A:A, E348) &gt; 0</f>
        <v>0</v>
      </c>
    </row>
    <row r="349">
      <c r="A349" s="102" t="str">
        <f>IFERROR(__xludf.DUMMYFUNCTION("""COMPUTED_VALUE"""),"https://utrucking.com/admin/orders/5924833132732")</f>
        <v>https://utrucking.com/admin/orders/5924833132732</v>
      </c>
      <c r="B349" s="65" t="str">
        <f>IFERROR(__xludf.DUMMYFUNCTION("""COMPUTED_VALUE"""),"#15961")</f>
        <v>#15961</v>
      </c>
      <c r="C349" s="65"/>
      <c r="D349" s="65">
        <f>IFERROR(__xludf.DUMMYFUNCTION("""COMPUTED_VALUE"""),9.496684951E9)</f>
        <v>9496684951</v>
      </c>
      <c r="E349" s="65" t="str">
        <f>IFERROR(__xludf.DUMMYFUNCTION("""COMPUTED_VALUE"""),"Andy Du")</f>
        <v>Andy Du</v>
      </c>
      <c r="F349" s="65"/>
      <c r="G349" s="65" t="str">
        <f>IFERROR(__xludf.DUMMYFUNCTION("""COMPUTED_VALUE"""),"6105 Delmar Blvd, Apt 523, St. Louis MO 63112 (Everly On The Loop)
")</f>
        <v>6105 Delmar Blvd, Apt 523, St. Louis MO 63112 (Everly On The Loop)
</v>
      </c>
      <c r="H349" s="65" t="str">
        <f>IFERROR(__xludf.DUMMYFUNCTION("""COMPUTED_VALUE"""),"Storage Item Return")</f>
        <v>Storage Item Return</v>
      </c>
      <c r="I349" s="65" t="str">
        <f>IFERROR(__xludf.DUMMYFUNCTION("""COMPUTED_VALUE"""),"Non-University Housing ")</f>
        <v>Non-University Housing </v>
      </c>
      <c r="J349" s="108" t="str">
        <f>IFERROR(__xludf.DUMMYFUNCTION("""COMPUTED_VALUE"""),"10:00 AM to 12:00 PM   ")</f>
        <v>10:00 AM to 12:00 PM   </v>
      </c>
      <c r="K349" s="108">
        <f>IFERROR(__xludf.DUMMYFUNCTION("""COMPUTED_VALUE"""),45887.0)</f>
        <v>45887</v>
      </c>
      <c r="L349" s="65"/>
      <c r="M349" s="65"/>
      <c r="N349" s="65" t="str">
        <f>IFERROR(__xludf.DUMMYFUNCTION("""COMPUTED_VALUE"""),"6105 Delmar Blvd, Apt 523, St. Louis MO 63112 (Everly On The Loop)
")</f>
        <v>6105 Delmar Blvd, Apt 523, St. Louis MO 63112 (Everly On The Loop)
</v>
      </c>
      <c r="O349" s="65"/>
      <c r="P349" s="65" t="b">
        <f>COUNTIF('Delivered SIR'!A:A, E349) &gt; 0</f>
        <v>0</v>
      </c>
    </row>
    <row r="350">
      <c r="A350" s="99" t="str">
        <f>IFERROR(__xludf.DUMMYFUNCTION("""COMPUTED_VALUE"""),"https://utrucking.com/admin/orders/5924843126972")</f>
        <v>https://utrucking.com/admin/orders/5924843126972</v>
      </c>
      <c r="B350" s="61" t="str">
        <f>IFERROR(__xludf.DUMMYFUNCTION("""COMPUTED_VALUE"""),"#15963")</f>
        <v>#15963</v>
      </c>
      <c r="C350" s="61" t="str">
        <f>IFERROR(__xludf.DUMMYFUNCTION("""COMPUTED_VALUE"""),"i.a.wong@wustl.edu")</f>
        <v>i.a.wong@wustl.edu</v>
      </c>
      <c r="D350" s="61">
        <f>IFERROR(__xludf.DUMMYFUNCTION("""COMPUTED_VALUE"""),1.4694104197E10)</f>
        <v>14694104197</v>
      </c>
      <c r="E350" s="61" t="str">
        <f>IFERROR(__xludf.DUMMYFUNCTION("""COMPUTED_VALUE"""),"Ingrid Wong")</f>
        <v>Ingrid Wong</v>
      </c>
      <c r="F350" s="61"/>
      <c r="G350" s="61"/>
      <c r="H350" s="61" t="str">
        <f>IFERROR(__xludf.DUMMYFUNCTION("""COMPUTED_VALUE"""),"Storage Item Return")</f>
        <v>Storage Item Return</v>
      </c>
      <c r="I350" s="61" t="str">
        <f>IFERROR(__xludf.DUMMYFUNCTION("""COMPUTED_VALUE"""),"University Housing ")</f>
        <v>University Housing </v>
      </c>
      <c r="J350" s="107" t="str">
        <f>IFERROR(__xludf.DUMMYFUNCTION("""COMPUTED_VALUE"""),"03:00 PM to 05:00 PM ")</f>
        <v>03:00 PM to 05:00 PM </v>
      </c>
      <c r="K350" s="107">
        <f>IFERROR(__xludf.DUMMYFUNCTION("""COMPUTED_VALUE"""),45889.0)</f>
        <v>45889</v>
      </c>
      <c r="L350" s="61" t="str">
        <f>IFERROR(__xludf.DUMMYFUNCTION("""COMPUTED_VALUE"""),"Village House  ")</f>
        <v>Village House  </v>
      </c>
      <c r="M350" s="61" t="str">
        <f>IFERROR(__xludf.DUMMYFUNCTION("""COMPUTED_VALUE"""),"4002 ")</f>
        <v>4002 </v>
      </c>
      <c r="N350" s="61"/>
      <c r="O350" s="61"/>
      <c r="P350" s="61" t="b">
        <f>COUNTIF('Delivered SIR'!A:A, E350) &gt; 0</f>
        <v>1</v>
      </c>
    </row>
    <row r="351">
      <c r="A351" s="102" t="str">
        <f>IFERROR(__xludf.DUMMYFUNCTION("""COMPUTED_VALUE"""),"https://utrucking.com/admin/orders/5924847517884")</f>
        <v>https://utrucking.com/admin/orders/5924847517884</v>
      </c>
      <c r="B351" s="65" t="str">
        <f>IFERROR(__xludf.DUMMYFUNCTION("""COMPUTED_VALUE"""),"#15964")</f>
        <v>#15964</v>
      </c>
      <c r="C351" s="65" t="str">
        <f>IFERROR(__xludf.DUMMYFUNCTION("""COMPUTED_VALUE"""),"cannistraro@comcast.net")</f>
        <v>cannistraro@comcast.net</v>
      </c>
      <c r="D351" s="65"/>
      <c r="E351" s="65" t="str">
        <f>IFERROR(__xludf.DUMMYFUNCTION("""COMPUTED_VALUE"""),"Joseph Cannistraro")</f>
        <v>Joseph Cannistraro</v>
      </c>
      <c r="F351" s="65"/>
      <c r="G351" s="65"/>
      <c r="H351" s="65" t="str">
        <f>IFERROR(__xludf.DUMMYFUNCTION("""COMPUTED_VALUE"""),"Storage Item Return")</f>
        <v>Storage Item Return</v>
      </c>
      <c r="I351" s="65" t="str">
        <f>IFERROR(__xludf.DUMMYFUNCTION("""COMPUTED_VALUE"""),"University Housing ")</f>
        <v>University Housing </v>
      </c>
      <c r="J351" s="108" t="str">
        <f>IFERROR(__xludf.DUMMYFUNCTION("""COMPUTED_VALUE"""),"11:00 AM to 01:00 PM   ")</f>
        <v>11:00 AM to 01:00 PM   </v>
      </c>
      <c r="K351" s="108">
        <f>IFERROR(__xludf.DUMMYFUNCTION("""COMPUTED_VALUE"""),45888.0)</f>
        <v>45888</v>
      </c>
      <c r="L351" s="65" t="str">
        <f>IFERROR(__xludf.DUMMYFUNCTION("""COMPUTED_VALUE"""),"Nemerov  ")</f>
        <v>Nemerov  </v>
      </c>
      <c r="M351" s="65" t="str">
        <f>IFERROR(__xludf.DUMMYFUNCTION("""COMPUTED_VALUE"""),"3071-a")</f>
        <v>3071-a</v>
      </c>
      <c r="N351" s="65"/>
      <c r="O351" s="65"/>
      <c r="P351" s="65" t="b">
        <f>COUNTIF('Delivered SIR'!A:A, E351) &gt; 0</f>
        <v>0</v>
      </c>
    </row>
    <row r="352">
      <c r="A352" s="99" t="str">
        <f>IFERROR(__xludf.DUMMYFUNCTION("""COMPUTED_VALUE"""),"https://utrucking.com/admin/orders/5924847550652")</f>
        <v>https://utrucking.com/admin/orders/5924847550652</v>
      </c>
      <c r="B352" s="61" t="str">
        <f>IFERROR(__xludf.DUMMYFUNCTION("""COMPUTED_VALUE"""),"#15965")</f>
        <v>#15965</v>
      </c>
      <c r="C352" s="61" t="str">
        <f>IFERROR(__xludf.DUMMYFUNCTION("""COMPUTED_VALUE"""),"sophiewhang28@gmail.com")</f>
        <v>sophiewhang28@gmail.com</v>
      </c>
      <c r="D352" s="61">
        <f>IFERROR(__xludf.DUMMYFUNCTION("""COMPUTED_VALUE"""),7.03859443E9)</f>
        <v>7038594430</v>
      </c>
      <c r="E352" s="61" t="str">
        <f>IFERROR(__xludf.DUMMYFUNCTION("""COMPUTED_VALUE"""),"sophie whang")</f>
        <v>sophie whang</v>
      </c>
      <c r="F352" s="61"/>
      <c r="G352" s="61" t="str">
        <f>IFERROR(__xludf.DUMMYFUNCTION("""COMPUTED_VALUE"""),"6105 Delmar Blvd, St. Louis, MO 63112")</f>
        <v>6105 Delmar Blvd, St. Louis, MO 63112</v>
      </c>
      <c r="H352" s="61" t="str">
        <f>IFERROR(__xludf.DUMMYFUNCTION("""COMPUTED_VALUE"""),"Storage Item Return")</f>
        <v>Storage Item Return</v>
      </c>
      <c r="I352" s="61" t="str">
        <f>IFERROR(__xludf.DUMMYFUNCTION("""COMPUTED_VALUE"""),"Non-University Housing ")</f>
        <v>Non-University Housing </v>
      </c>
      <c r="J352" s="107" t="str">
        <f>IFERROR(__xludf.DUMMYFUNCTION("""COMPUTED_VALUE"""),"03:00 PM to 05:00 PM ")</f>
        <v>03:00 PM to 05:00 PM </v>
      </c>
      <c r="K352" s="107">
        <f>IFERROR(__xludf.DUMMYFUNCTION("""COMPUTED_VALUE"""),45891.0)</f>
        <v>45891</v>
      </c>
      <c r="L352" s="61"/>
      <c r="M352" s="61"/>
      <c r="N352" s="61" t="str">
        <f>IFERROR(__xludf.DUMMYFUNCTION("""COMPUTED_VALUE"""),"6105 Delmar Blvd, St. Louis, MO 63112")</f>
        <v>6105 Delmar Blvd, St. Louis, MO 63112</v>
      </c>
      <c r="O352" s="61"/>
      <c r="P352" s="61" t="b">
        <f>COUNTIF('Delivered SIR'!A:A, E352) &gt; 0</f>
        <v>0</v>
      </c>
    </row>
    <row r="353">
      <c r="A353" s="102" t="str">
        <f>IFERROR(__xludf.DUMMYFUNCTION("""COMPUTED_VALUE"""),"https://utrucking.com/admin/orders/5924949393596")</f>
        <v>https://utrucking.com/admin/orders/5924949393596</v>
      </c>
      <c r="B353" s="65" t="str">
        <f>IFERROR(__xludf.DUMMYFUNCTION("""COMPUTED_VALUE"""),"#15968")</f>
        <v>#15968</v>
      </c>
      <c r="C353" s="65" t="str">
        <f>IFERROR(__xludf.DUMMYFUNCTION("""COMPUTED_VALUE"""),"s.sienna@wustl.edu")</f>
        <v>s.sienna@wustl.edu</v>
      </c>
      <c r="D353" s="65"/>
      <c r="E353" s="65" t="str">
        <f>IFERROR(__xludf.DUMMYFUNCTION("""COMPUTED_VALUE"""),"Sangeeta Prakash")</f>
        <v>Sangeeta Prakash</v>
      </c>
      <c r="F353" s="65"/>
      <c r="G353" s="65"/>
      <c r="H353" s="65" t="str">
        <f>IFERROR(__xludf.DUMMYFUNCTION("""COMPUTED_VALUE"""),"Storage Item Return")</f>
        <v>Storage Item Return</v>
      </c>
      <c r="I353" s="65" t="str">
        <f>IFERROR(__xludf.DUMMYFUNCTION("""COMPUTED_VALUE"""),"University Housing ")</f>
        <v>University Housing </v>
      </c>
      <c r="J353" s="108" t="str">
        <f>IFERROR(__xludf.DUMMYFUNCTION("""COMPUTED_VALUE"""),"09:00 AM to 11:00 AM   ")</f>
        <v>09:00 AM to 11:00 AM   </v>
      </c>
      <c r="K353" s="108">
        <f>IFERROR(__xludf.DUMMYFUNCTION("""COMPUTED_VALUE"""),45892.0)</f>
        <v>45892</v>
      </c>
      <c r="L353" s="65" t="str">
        <f>IFERROR(__xludf.DUMMYFUNCTION("""COMPUTED_VALUE"""),"Millbrook Bldg. 2  ")</f>
        <v>Millbrook Bldg. 2  </v>
      </c>
      <c r="M353" s="65" t="str">
        <f>IFERROR(__xludf.DUMMYFUNCTION("""COMPUTED_VALUE"""),"303b")</f>
        <v>303b</v>
      </c>
      <c r="N353" s="65"/>
      <c r="O353" s="65"/>
      <c r="P353" s="65" t="b">
        <f>COUNTIF('Delivered SIR'!A:A, E353) &gt; 0</f>
        <v>0</v>
      </c>
    </row>
    <row r="354">
      <c r="A354" s="99" t="str">
        <f>IFERROR(__xludf.DUMMYFUNCTION("""COMPUTED_VALUE"""),"https://utrucking.com/admin/orders/5925023613116")</f>
        <v>https://utrucking.com/admin/orders/5925023613116</v>
      </c>
      <c r="B354" s="61" t="str">
        <f>IFERROR(__xludf.DUMMYFUNCTION("""COMPUTED_VALUE"""),"#15971")</f>
        <v>#15971</v>
      </c>
      <c r="C354" s="61"/>
      <c r="D354" s="61">
        <f>IFERROR(__xludf.DUMMYFUNCTION("""COMPUTED_VALUE"""),7.088332708E9)</f>
        <v>7088332708</v>
      </c>
      <c r="E354" s="61" t="str">
        <f>IFERROR(__xludf.DUMMYFUNCTION("""COMPUTED_VALUE"""),"Omotunde Oyende")</f>
        <v>Omotunde Oyende</v>
      </c>
      <c r="F354" s="61"/>
      <c r="G354" s="61"/>
      <c r="H354" s="61" t="str">
        <f>IFERROR(__xludf.DUMMYFUNCTION("""COMPUTED_VALUE"""),"Storage Item Return")</f>
        <v>Storage Item Return</v>
      </c>
      <c r="I354" s="61" t="str">
        <f>IFERROR(__xludf.DUMMYFUNCTION("""COMPUTED_VALUE"""),"University Housing ")</f>
        <v>University Housing </v>
      </c>
      <c r="J354" s="107" t="str">
        <f>IFERROR(__xludf.DUMMYFUNCTION("""COMPUTED_VALUE"""),"09:00 AM to 11:00 AM   ")</f>
        <v>09:00 AM to 11:00 AM   </v>
      </c>
      <c r="K354" s="107">
        <f>IFERROR(__xludf.DUMMYFUNCTION("""COMPUTED_VALUE"""),45890.0)</f>
        <v>45890</v>
      </c>
      <c r="L354" s="61" t="str">
        <f>IFERROR(__xludf.DUMMYFUNCTION("""COMPUTED_VALUE"""),"Millbrook Bldg. 3  ")</f>
        <v>Millbrook Bldg. 3  </v>
      </c>
      <c r="M354" s="61" t="str">
        <f>IFERROR(__xludf.DUMMYFUNCTION("""COMPUTED_VALUE"""),"104C-b")</f>
        <v>104C-b</v>
      </c>
      <c r="N354" s="61"/>
      <c r="O354" s="61"/>
      <c r="P354" s="61" t="b">
        <f>COUNTIF('Delivered SIR'!A:A, E354) &gt; 0</f>
        <v>0</v>
      </c>
    </row>
    <row r="355">
      <c r="A355" s="102" t="str">
        <f>IFERROR(__xludf.DUMMYFUNCTION("""COMPUTED_VALUE"""),"https://utrucking.com/admin/orders/5925047107772")</f>
        <v>https://utrucking.com/admin/orders/5925047107772</v>
      </c>
      <c r="B355" s="65" t="str">
        <f>IFERROR(__xludf.DUMMYFUNCTION("""COMPUTED_VALUE"""),"#15972")</f>
        <v>#15972</v>
      </c>
      <c r="C355" s="65"/>
      <c r="D355" s="65">
        <f>IFERROR(__xludf.DUMMYFUNCTION("""COMPUTED_VALUE"""),3.148278069E9)</f>
        <v>3148278069</v>
      </c>
      <c r="E355" s="65" t="str">
        <f>IFERROR(__xludf.DUMMYFUNCTION("""COMPUTED_VALUE"""),"Xinzhi Zhang")</f>
        <v>Xinzhi Zhang</v>
      </c>
      <c r="F355" s="65"/>
      <c r="G355" s="65" t="str">
        <f>IFERROR(__xludf.DUMMYFUNCTION("""COMPUTED_VALUE"""),"5539 Pershing Ave, Apt 313, Saint Louis, MO 63112")</f>
        <v>5539 Pershing Ave, Apt 313, Saint Louis, MO 63112</v>
      </c>
      <c r="H355" s="65" t="str">
        <f>IFERROR(__xludf.DUMMYFUNCTION("""COMPUTED_VALUE"""),"Storage Item Return")</f>
        <v>Storage Item Return</v>
      </c>
      <c r="I355" s="65" t="str">
        <f>IFERROR(__xludf.DUMMYFUNCTION("""COMPUTED_VALUE"""),"Non-University Housing ")</f>
        <v>Non-University Housing </v>
      </c>
      <c r="J355" s="108" t="str">
        <f>IFERROR(__xludf.DUMMYFUNCTION("""COMPUTED_VALUE"""),"09:00 AM to 11:00 AM   ")</f>
        <v>09:00 AM to 11:00 AM   </v>
      </c>
      <c r="K355" s="108">
        <f>IFERROR(__xludf.DUMMYFUNCTION("""COMPUTED_VALUE"""),45892.0)</f>
        <v>45892</v>
      </c>
      <c r="L355" s="65"/>
      <c r="M355" s="65"/>
      <c r="N355" s="65" t="str">
        <f>IFERROR(__xludf.DUMMYFUNCTION("""COMPUTED_VALUE"""),"5539 Pershing Ave, Apt 313, Saint Louis, MO 63112")</f>
        <v>5539 Pershing Ave, Apt 313, Saint Louis, MO 63112</v>
      </c>
      <c r="O355" s="65"/>
      <c r="P355" s="65" t="b">
        <f>COUNTIF('Delivered SIR'!A:A, E355) &gt; 0</f>
        <v>0</v>
      </c>
    </row>
    <row r="356">
      <c r="A356" s="99" t="str">
        <f>IFERROR(__xludf.DUMMYFUNCTION("""COMPUTED_VALUE"""),"https://utrucking.com/admin/orders/5925100847292")</f>
        <v>https://utrucking.com/admin/orders/5925100847292</v>
      </c>
      <c r="B356" s="61" t="str">
        <f>IFERROR(__xludf.DUMMYFUNCTION("""COMPUTED_VALUE"""),"#15977")</f>
        <v>#15977</v>
      </c>
      <c r="C356" s="61" t="str">
        <f>IFERROR(__xludf.DUMMYFUNCTION("""COMPUTED_VALUE"""),"e.y.shin@wustl.edu")</f>
        <v>e.y.shin@wustl.edu</v>
      </c>
      <c r="D356" s="61">
        <f>IFERROR(__xludf.DUMMYFUNCTION("""COMPUTED_VALUE"""),8.062399265E9)</f>
        <v>8062399265</v>
      </c>
      <c r="E356" s="61" t="str">
        <f>IFERROR(__xludf.DUMMYFUNCTION("""COMPUTED_VALUE"""),"Emily Shin")</f>
        <v>Emily Shin</v>
      </c>
      <c r="F356" s="61"/>
      <c r="G356" s="61"/>
      <c r="H356" s="61" t="str">
        <f>IFERROR(__xludf.DUMMYFUNCTION("""COMPUTED_VALUE"""),"Storage Item Return")</f>
        <v>Storage Item Return</v>
      </c>
      <c r="I356" s="61" t="str">
        <f>IFERROR(__xludf.DUMMYFUNCTION("""COMPUTED_VALUE"""),"University Housing ")</f>
        <v>University Housing </v>
      </c>
      <c r="J356" s="107" t="str">
        <f>IFERROR(__xludf.DUMMYFUNCTION("""COMPUTED_VALUE"""),"09:00 AM to 11:00 AM   ")</f>
        <v>09:00 AM to 11:00 AM   </v>
      </c>
      <c r="K356" s="107">
        <f>IFERROR(__xludf.DUMMYFUNCTION("""COMPUTED_VALUE"""),45892.0)</f>
        <v>45892</v>
      </c>
      <c r="L356" s="61" t="str">
        <f>IFERROR(__xludf.DUMMYFUNCTION("""COMPUTED_VALUE"""),"Mudd  ")</f>
        <v>Mudd  </v>
      </c>
      <c r="M356" s="61" t="str">
        <f>IFERROR(__xludf.DUMMYFUNCTION("""COMPUTED_VALUE"""),"231")</f>
        <v>231</v>
      </c>
      <c r="N356" s="61"/>
      <c r="O356" s="61"/>
      <c r="P356" s="61" t="b">
        <f>COUNTIF('Delivered SIR'!A:A, E356) &gt; 0</f>
        <v>0</v>
      </c>
    </row>
    <row r="357">
      <c r="A357" s="102" t="str">
        <f>IFERROR(__xludf.DUMMYFUNCTION("""COMPUTED_VALUE"""),"https://utrucking.com/admin/orders/5925408899260")</f>
        <v>https://utrucking.com/admin/orders/5925408899260</v>
      </c>
      <c r="B357" s="65" t="str">
        <f>IFERROR(__xludf.DUMMYFUNCTION("""COMPUTED_VALUE"""),"#15981")</f>
        <v>#15981</v>
      </c>
      <c r="C357" s="65" t="str">
        <f>IFERROR(__xludf.DUMMYFUNCTION("""COMPUTED_VALUE"""),"tnfink@comcast.net")</f>
        <v>tnfink@comcast.net</v>
      </c>
      <c r="D357" s="65">
        <f>IFERROR(__xludf.DUMMYFUNCTION("""COMPUTED_VALUE"""),2.485612354E9)</f>
        <v>2485612354</v>
      </c>
      <c r="E357" s="65" t="str">
        <f>IFERROR(__xludf.DUMMYFUNCTION("""COMPUTED_VALUE"""),"nicole fink")</f>
        <v>nicole fink</v>
      </c>
      <c r="F357" s="65"/>
      <c r="G357" s="65" t="str">
        <f>IFERROR(__xludf.DUMMYFUNCTION("""COMPUTED_VALUE"""),"608 Kingsland Ave")</f>
        <v>608 Kingsland Ave</v>
      </c>
      <c r="H357" s="65" t="str">
        <f>IFERROR(__xludf.DUMMYFUNCTION("""COMPUTED_VALUE"""),"Storage Item Return")</f>
        <v>Storage Item Return</v>
      </c>
      <c r="I357" s="65" t="str">
        <f>IFERROR(__xludf.DUMMYFUNCTION("""COMPUTED_VALUE"""),"Non-University Housing ")</f>
        <v>Non-University Housing </v>
      </c>
      <c r="J357" s="108" t="str">
        <f>IFERROR(__xludf.DUMMYFUNCTION("""COMPUTED_VALUE"""),"03:00 PM to 05:00 PM ")</f>
        <v>03:00 PM to 05:00 PM </v>
      </c>
      <c r="K357" s="108">
        <f>IFERROR(__xludf.DUMMYFUNCTION("""COMPUTED_VALUE"""),45890.0)</f>
        <v>45890</v>
      </c>
      <c r="L357" s="65"/>
      <c r="M357" s="65"/>
      <c r="N357" s="65" t="str">
        <f>IFERROR(__xludf.DUMMYFUNCTION("""COMPUTED_VALUE"""),"6666 Washington Ave, Univeristy City, MO")</f>
        <v>6666 Washington Ave, Univeristy City, MO</v>
      </c>
      <c r="O357" s="65"/>
      <c r="P357" s="65" t="b">
        <f>COUNTIF('Delivered SIR'!A:A, E357) &gt; 0</f>
        <v>0</v>
      </c>
    </row>
    <row r="358">
      <c r="A358" s="99" t="str">
        <f>IFERROR(__xludf.DUMMYFUNCTION("""COMPUTED_VALUE"""),"https://utrucking.com/admin/orders/5925515985084")</f>
        <v>https://utrucking.com/admin/orders/5925515985084</v>
      </c>
      <c r="B358" s="61" t="str">
        <f>IFERROR(__xludf.DUMMYFUNCTION("""COMPUTED_VALUE"""),"#15985")</f>
        <v>#15985</v>
      </c>
      <c r="C358" s="61" t="str">
        <f>IFERROR(__xludf.DUMMYFUNCTION("""COMPUTED_VALUE"""),"malayahill30@gmail.com")</f>
        <v>malayahill30@gmail.com</v>
      </c>
      <c r="D358" s="61">
        <f>IFERROR(__xludf.DUMMYFUNCTION("""COMPUTED_VALUE"""),7.027384346E9)</f>
        <v>7027384346</v>
      </c>
      <c r="E358" s="61" t="str">
        <f>IFERROR(__xludf.DUMMYFUNCTION("""COMPUTED_VALUE"""),"Malaya Hill")</f>
        <v>Malaya Hill</v>
      </c>
      <c r="F358" s="61"/>
      <c r="G358" s="61" t="str">
        <f>IFERROR(__xludf.DUMMYFUNCTION("""COMPUTED_VALUE"""),"5920 McPherson Ave, 1st Floor, St. Louis, MO 63112")</f>
        <v>5920 McPherson Ave, 1st Floor, St. Louis, MO 63112</v>
      </c>
      <c r="H358" s="61" t="str">
        <f>IFERROR(__xludf.DUMMYFUNCTION("""COMPUTED_VALUE"""),"Storage Item Return")</f>
        <v>Storage Item Return</v>
      </c>
      <c r="I358" s="61" t="str">
        <f>IFERROR(__xludf.DUMMYFUNCTION("""COMPUTED_VALUE"""),"Non-University Housing ")</f>
        <v>Non-University Housing </v>
      </c>
      <c r="J358" s="107" t="str">
        <f>IFERROR(__xludf.DUMMYFUNCTION("""COMPUTED_VALUE"""),"11:00 AM to 01:00 PM   ")</f>
        <v>11:00 AM to 01:00 PM   </v>
      </c>
      <c r="K358" s="107">
        <f>IFERROR(__xludf.DUMMYFUNCTION("""COMPUTED_VALUE"""),45889.0)</f>
        <v>45889</v>
      </c>
      <c r="L358" s="61"/>
      <c r="M358" s="61"/>
      <c r="N358" s="61" t="str">
        <f>IFERROR(__xludf.DUMMYFUNCTION("""COMPUTED_VALUE"""),"5920 McPherson Ave, 1st Floor, St. Louis, MO 63112")</f>
        <v>5920 McPherson Ave, 1st Floor, St. Louis, MO 63112</v>
      </c>
      <c r="O358" s="61"/>
      <c r="P358" s="61" t="b">
        <f>COUNTIF('Delivered SIR'!A:A, E358) &gt; 0</f>
        <v>0</v>
      </c>
    </row>
    <row r="359">
      <c r="A359" s="102" t="str">
        <f>IFERROR(__xludf.DUMMYFUNCTION("""COMPUTED_VALUE"""),"https://utrucking.com/admin/orders/5925525323964")</f>
        <v>https://utrucking.com/admin/orders/5925525323964</v>
      </c>
      <c r="B359" s="65" t="str">
        <f>IFERROR(__xludf.DUMMYFUNCTION("""COMPUTED_VALUE"""),"#15987")</f>
        <v>#15987</v>
      </c>
      <c r="C359" s="65" t="str">
        <f>IFERROR(__xludf.DUMMYFUNCTION("""COMPUTED_VALUE"""),"jsvinick@verizon.net")</f>
        <v>jsvinick@verizon.net</v>
      </c>
      <c r="D359" s="65">
        <f>IFERROR(__xludf.DUMMYFUNCTION("""COMPUTED_VALUE"""),3.016465795E9)</f>
        <v>3016465795</v>
      </c>
      <c r="E359" s="65" t="str">
        <f>IFERROR(__xludf.DUMMYFUNCTION("""COMPUTED_VALUE"""),"Jackie Vinick")</f>
        <v>Jackie Vinick</v>
      </c>
      <c r="F359" s="65"/>
      <c r="G359" s="65"/>
      <c r="H359" s="65" t="str">
        <f>IFERROR(__xludf.DUMMYFUNCTION("""COMPUTED_VALUE"""),"Storage Item Return")</f>
        <v>Storage Item Return</v>
      </c>
      <c r="I359" s="65" t="str">
        <f>IFERROR(__xludf.DUMMYFUNCTION("""COMPUTED_VALUE"""),"University Housing ")</f>
        <v>University Housing </v>
      </c>
      <c r="J359" s="108" t="str">
        <f>IFERROR(__xludf.DUMMYFUNCTION("""COMPUTED_VALUE"""),"09:00 AM to 11:00 AM   ")</f>
        <v>09:00 AM to 11:00 AM   </v>
      </c>
      <c r="K359" s="108">
        <f>IFERROR(__xludf.DUMMYFUNCTION("""COMPUTED_VALUE"""),45890.0)</f>
        <v>45890</v>
      </c>
      <c r="L359" s="65" t="str">
        <f>IFERROR(__xludf.DUMMYFUNCTION("""COMPUTED_VALUE"""),"Millbrook Bldg. 4  ")</f>
        <v>Millbrook Bldg. 4  </v>
      </c>
      <c r="M359" s="65" t="str">
        <f>IFERROR(__xludf.DUMMYFUNCTION("""COMPUTED_VALUE"""),"Apt 102, room A")</f>
        <v>Apt 102, room A</v>
      </c>
      <c r="N359" s="65"/>
      <c r="O359" s="65"/>
      <c r="P359" s="65" t="b">
        <f>COUNTIF('Delivered SIR'!A:A, E359) &gt; 0</f>
        <v>0</v>
      </c>
    </row>
    <row r="360">
      <c r="A360" s="99" t="str">
        <f>IFERROR(__xludf.DUMMYFUNCTION("""COMPUTED_VALUE"""),"https://utrucking.com/admin/orders/5925693718716")</f>
        <v>https://utrucking.com/admin/orders/5925693718716</v>
      </c>
      <c r="B360" s="61" t="str">
        <f>IFERROR(__xludf.DUMMYFUNCTION("""COMPUTED_VALUE"""),"#15990")</f>
        <v>#15990</v>
      </c>
      <c r="C360" s="61"/>
      <c r="D360" s="61">
        <f>IFERROR(__xludf.DUMMYFUNCTION("""COMPUTED_VALUE"""),6.469326841E9)</f>
        <v>6469326841</v>
      </c>
      <c r="E360" s="61" t="str">
        <f>IFERROR(__xludf.DUMMYFUNCTION("""COMPUTED_VALUE"""),"Tenzing Dekyong")</f>
        <v>Tenzing Dekyong</v>
      </c>
      <c r="F360" s="61"/>
      <c r="G360" s="61"/>
      <c r="H360" s="61" t="str">
        <f>IFERROR(__xludf.DUMMYFUNCTION("""COMPUTED_VALUE"""),"Storage Item Return")</f>
        <v>Storage Item Return</v>
      </c>
      <c r="I360" s="61" t="str">
        <f>IFERROR(__xludf.DUMMYFUNCTION("""COMPUTED_VALUE"""),"University Housing ")</f>
        <v>University Housing </v>
      </c>
      <c r="J360" s="107" t="str">
        <f>IFERROR(__xludf.DUMMYFUNCTION("""COMPUTED_VALUE"""),"02:00 PM to 04:00 PM ")</f>
        <v>02:00 PM to 04:00 PM </v>
      </c>
      <c r="K360" s="107">
        <f>IFERROR(__xludf.DUMMYFUNCTION("""COMPUTED_VALUE"""),45891.0)</f>
        <v>45891</v>
      </c>
      <c r="L360" s="61" t="str">
        <f>IFERROR(__xludf.DUMMYFUNCTION("""COMPUTED_VALUE"""),"Loop Loft 6263  ")</f>
        <v>Loop Loft 6263  </v>
      </c>
      <c r="M360" s="61" t="str">
        <f>IFERROR(__xludf.DUMMYFUNCTION("""COMPUTED_VALUE"""),"202A - a ")</f>
        <v>202A - a </v>
      </c>
      <c r="N360" s="61"/>
      <c r="O360" s="61"/>
      <c r="P360" s="61" t="b">
        <f>COUNTIF('Delivered SIR'!A:A, E360) &gt; 0</f>
        <v>0</v>
      </c>
    </row>
    <row r="361">
      <c r="A361" s="102" t="str">
        <f>IFERROR(__xludf.DUMMYFUNCTION("""COMPUTED_VALUE"""),"https://utrucking.com/admin/orders/5925707579580")</f>
        <v>https://utrucking.com/admin/orders/5925707579580</v>
      </c>
      <c r="B361" s="65" t="str">
        <f>IFERROR(__xludf.DUMMYFUNCTION("""COMPUTED_VALUE"""),"#15991")</f>
        <v>#15991</v>
      </c>
      <c r="C361" s="65" t="str">
        <f>IFERROR(__xludf.DUMMYFUNCTION("""COMPUTED_VALUE"""),"m.h.mesnick@wustl.edu")</f>
        <v>m.h.mesnick@wustl.edu</v>
      </c>
      <c r="D361" s="65">
        <f>IFERROR(__xludf.DUMMYFUNCTION("""COMPUTED_VALUE"""),9.177100692E9)</f>
        <v>9177100692</v>
      </c>
      <c r="E361" s="65" t="str">
        <f>IFERROR(__xludf.DUMMYFUNCTION("""COMPUTED_VALUE"""),"Michelle Mesnick")</f>
        <v>Michelle Mesnick</v>
      </c>
      <c r="F361" s="65"/>
      <c r="G361" s="65" t="str">
        <f>IFERROR(__xludf.DUMMYFUNCTION("""COMPUTED_VALUE"""),"807 Westgate Ave
Apt 2")</f>
        <v>807 Westgate Ave
Apt 2</v>
      </c>
      <c r="H361" s="65" t="str">
        <f>IFERROR(__xludf.DUMMYFUNCTION("""COMPUTED_VALUE"""),"Storage Item Return")</f>
        <v>Storage Item Return</v>
      </c>
      <c r="I361" s="65" t="str">
        <f>IFERROR(__xludf.DUMMYFUNCTION("""COMPUTED_VALUE"""),"Non-University Housing ")</f>
        <v>Non-University Housing </v>
      </c>
      <c r="J361" s="108" t="str">
        <f>IFERROR(__xludf.DUMMYFUNCTION("""COMPUTED_VALUE"""),"10:00 AM to 12:00 PM   ")</f>
        <v>10:00 AM to 12:00 PM   </v>
      </c>
      <c r="K361" s="108">
        <f>IFERROR(__xludf.DUMMYFUNCTION("""COMPUTED_VALUE"""),45887.0)</f>
        <v>45887</v>
      </c>
      <c r="L361" s="65"/>
      <c r="M361" s="65"/>
      <c r="N361" s="65" t="str">
        <f>IFERROR(__xludf.DUMMYFUNCTION("""COMPUTED_VALUE"""),"807 Westgate Ave
Apt 2")</f>
        <v>807 Westgate Ave
Apt 2</v>
      </c>
      <c r="O361" s="65"/>
      <c r="P361" s="65" t="b">
        <f>COUNTIF('Delivered SIR'!A:A, E361) &gt; 0</f>
        <v>0</v>
      </c>
    </row>
    <row r="362">
      <c r="A362" s="99" t="str">
        <f>IFERROR(__xludf.DUMMYFUNCTION("""COMPUTED_VALUE"""),"https://utrucking.com/admin/orders/5925711642812")</f>
        <v>https://utrucking.com/admin/orders/5925711642812</v>
      </c>
      <c r="B362" s="61" t="str">
        <f>IFERROR(__xludf.DUMMYFUNCTION("""COMPUTED_VALUE"""),"#15992")</f>
        <v>#15992</v>
      </c>
      <c r="C362" s="61" t="str">
        <f>IFERROR(__xludf.DUMMYFUNCTION("""COMPUTED_VALUE"""),"Jaci@wustl.edu")</f>
        <v>Jaci@wustl.edu</v>
      </c>
      <c r="D362" s="61">
        <f>IFERROR(__xludf.DUMMYFUNCTION("""COMPUTED_VALUE"""),9.493794575E9)</f>
        <v>9493794575</v>
      </c>
      <c r="E362" s="61" t="str">
        <f>IFERROR(__xludf.DUMMYFUNCTION("""COMPUTED_VALUE"""),"Terry Lee")</f>
        <v>Terry Lee</v>
      </c>
      <c r="F362" s="61"/>
      <c r="G362" s="61"/>
      <c r="H362" s="61" t="str">
        <f>IFERROR(__xludf.DUMMYFUNCTION("""COMPUTED_VALUE"""),"Storage Item Return")</f>
        <v>Storage Item Return</v>
      </c>
      <c r="I362" s="61" t="str">
        <f>IFERROR(__xludf.DUMMYFUNCTION("""COMPUTED_VALUE"""),"University Housing ")</f>
        <v>University Housing </v>
      </c>
      <c r="J362" s="107" t="str">
        <f>IFERROR(__xludf.DUMMYFUNCTION("""COMPUTED_VALUE"""),"10:00 AM to 12:00 PM   ")</f>
        <v>10:00 AM to 12:00 PM   </v>
      </c>
      <c r="K362" s="107">
        <f>IFERROR(__xludf.DUMMYFUNCTION("""COMPUTED_VALUE"""),45889.0)</f>
        <v>45889</v>
      </c>
      <c r="L362" s="61" t="str">
        <f>IFERROR(__xludf.DUMMYFUNCTION("""COMPUTED_VALUE"""),"Eliot B  ")</f>
        <v>Eliot B  </v>
      </c>
      <c r="M362" s="61" t="str">
        <f>IFERROR(__xludf.DUMMYFUNCTION("""COMPUTED_VALUE"""),"2053-a")</f>
        <v>2053-a</v>
      </c>
      <c r="N362" s="61"/>
      <c r="O362" s="61"/>
      <c r="P362" s="61" t="b">
        <f>COUNTIF('Delivered SIR'!A:A, E362) &gt; 0</f>
        <v>0</v>
      </c>
    </row>
    <row r="363">
      <c r="A363" s="102" t="str">
        <f>IFERROR(__xludf.DUMMYFUNCTION("""COMPUTED_VALUE"""),"https://utrucking.com/admin/orders/5925724717244")</f>
        <v>https://utrucking.com/admin/orders/5925724717244</v>
      </c>
      <c r="B363" s="65" t="str">
        <f>IFERROR(__xludf.DUMMYFUNCTION("""COMPUTED_VALUE"""),"#15994")</f>
        <v>#15994</v>
      </c>
      <c r="C363" s="65" t="str">
        <f>IFERROR(__xludf.DUMMYFUNCTION("""COMPUTED_VALUE"""),"wekslerdanielle@gmail.com")</f>
        <v>wekslerdanielle@gmail.com</v>
      </c>
      <c r="D363" s="65"/>
      <c r="E363" s="65" t="str">
        <f>IFERROR(__xludf.DUMMYFUNCTION("""COMPUTED_VALUE"""),"Danielle Weksler")</f>
        <v>Danielle Weksler</v>
      </c>
      <c r="F363" s="65"/>
      <c r="G363" s="65"/>
      <c r="H363" s="65" t="str">
        <f>IFERROR(__xludf.DUMMYFUNCTION("""COMPUTED_VALUE"""),"Storage Item Return")</f>
        <v>Storage Item Return</v>
      </c>
      <c r="I363" s="65" t="str">
        <f>IFERROR(__xludf.DUMMYFUNCTION("""COMPUTED_VALUE"""),"University Housing ")</f>
        <v>University Housing </v>
      </c>
      <c r="J363" s="108" t="str">
        <f>IFERROR(__xludf.DUMMYFUNCTION("""COMPUTED_VALUE"""),"09:00 AM to 11:00 AM   ")</f>
        <v>09:00 AM to 11:00 AM   </v>
      </c>
      <c r="K363" s="108">
        <f>IFERROR(__xludf.DUMMYFUNCTION("""COMPUTED_VALUE"""),45897.0)</f>
        <v>45897</v>
      </c>
      <c r="L363" s="65" t="str">
        <f>IFERROR(__xludf.DUMMYFUNCTION("""COMPUTED_VALUE"""),"Millbrook Bldg. 4  ")</f>
        <v>Millbrook Bldg. 4  </v>
      </c>
      <c r="M363" s="65" t="str">
        <f>IFERROR(__xludf.DUMMYFUNCTION("""COMPUTED_VALUE"""),"203F")</f>
        <v>203F</v>
      </c>
      <c r="N363" s="65"/>
      <c r="O363" s="65"/>
      <c r="P363" s="65" t="b">
        <f>COUNTIF('Delivered SIR'!A:A, E363) &gt; 0</f>
        <v>0</v>
      </c>
    </row>
    <row r="364">
      <c r="A364" s="99" t="str">
        <f>IFERROR(__xludf.DUMMYFUNCTION("""COMPUTED_VALUE"""),"https://utrucking.com/admin/orders/5925727240380")</f>
        <v>https://utrucking.com/admin/orders/5925727240380</v>
      </c>
      <c r="B364" s="61" t="str">
        <f>IFERROR(__xludf.DUMMYFUNCTION("""COMPUTED_VALUE"""),"#15995")</f>
        <v>#15995</v>
      </c>
      <c r="C364" s="61"/>
      <c r="D364" s="61"/>
      <c r="E364" s="61" t="str">
        <f>IFERROR(__xludf.DUMMYFUNCTION("""COMPUTED_VALUE"""),"Tejal Patel")</f>
        <v>Tejal Patel</v>
      </c>
      <c r="F364" s="61"/>
      <c r="G364" s="61"/>
      <c r="H364" s="61" t="str">
        <f>IFERROR(__xludf.DUMMYFUNCTION("""COMPUTED_VALUE"""),"Storage Item Return")</f>
        <v>Storage Item Return</v>
      </c>
      <c r="I364" s="61" t="str">
        <f>IFERROR(__xludf.DUMMYFUNCTION("""COMPUTED_VALUE"""),"University Housing ")</f>
        <v>University Housing </v>
      </c>
      <c r="J364" s="107" t="str">
        <f>IFERROR(__xludf.DUMMYFUNCTION("""COMPUTED_VALUE"""),"09:00 AM to 11:00 AM   ")</f>
        <v>09:00 AM to 11:00 AM   </v>
      </c>
      <c r="K364" s="107">
        <f>IFERROR(__xludf.DUMMYFUNCTION("""COMPUTED_VALUE"""),45890.0)</f>
        <v>45890</v>
      </c>
      <c r="L364" s="61" t="str">
        <f>IFERROR(__xludf.DUMMYFUNCTION("""COMPUTED_VALUE"""),"Millbrook Bldg. 2  ")</f>
        <v>Millbrook Bldg. 2  </v>
      </c>
      <c r="M364" s="61" t="str">
        <f>IFERROR(__xludf.DUMMYFUNCTION("""COMPUTED_VALUE"""),"202 b-a")</f>
        <v>202 b-a</v>
      </c>
      <c r="N364" s="61"/>
      <c r="O364" s="61"/>
      <c r="P364" s="61" t="b">
        <f>COUNTIF('Delivered SIR'!A:A, E364) &gt; 0</f>
        <v>0</v>
      </c>
    </row>
    <row r="365">
      <c r="A365" s="102" t="str">
        <f>IFERROR(__xludf.DUMMYFUNCTION("""COMPUTED_VALUE"""),"https://utrucking.com/admin/orders/5925801590972")</f>
        <v>https://utrucking.com/admin/orders/5925801590972</v>
      </c>
      <c r="B365" s="65" t="str">
        <f>IFERROR(__xludf.DUMMYFUNCTION("""COMPUTED_VALUE"""),"#15996")</f>
        <v>#15996</v>
      </c>
      <c r="C365" s="65" t="str">
        <f>IFERROR(__xludf.DUMMYFUNCTION("""COMPUTED_VALUE"""),"Kennylovefabrizio@gmail.com")</f>
        <v>Kennylovefabrizio@gmail.com</v>
      </c>
      <c r="D365" s="65">
        <f>IFERROR(__xludf.DUMMYFUNCTION("""COMPUTED_VALUE"""),2.023085714E9)</f>
        <v>2023085714</v>
      </c>
      <c r="E365" s="65" t="str">
        <f>IFERROR(__xludf.DUMMYFUNCTION("""COMPUTED_VALUE"""),"Kenneth Love-Fabrizio")</f>
        <v>Kenneth Love-Fabrizio</v>
      </c>
      <c r="F365" s="65"/>
      <c r="G365" s="65"/>
      <c r="H365" s="65" t="str">
        <f>IFERROR(__xludf.DUMMYFUNCTION("""COMPUTED_VALUE"""),"Storage Item Return")</f>
        <v>Storage Item Return</v>
      </c>
      <c r="I365" s="65" t="str">
        <f>IFERROR(__xludf.DUMMYFUNCTION("""COMPUTED_VALUE"""),"University Housing ")</f>
        <v>University Housing </v>
      </c>
      <c r="J365" s="108" t="str">
        <f>IFERROR(__xludf.DUMMYFUNCTION("""COMPUTED_VALUE"""),"09:00 AM to 11:00 AM   ")</f>
        <v>09:00 AM to 11:00 AM   </v>
      </c>
      <c r="K365" s="108">
        <f>IFERROR(__xludf.DUMMYFUNCTION("""COMPUTED_VALUE"""),45889.0)</f>
        <v>45889</v>
      </c>
      <c r="L365" s="65" t="str">
        <f>IFERROR(__xludf.DUMMYFUNCTION("""COMPUTED_VALUE"""),"Nemerov  ")</f>
        <v>Nemerov  </v>
      </c>
      <c r="M365" s="65" t="str">
        <f>IFERROR(__xludf.DUMMYFUNCTION("""COMPUTED_VALUE"""),"2010a")</f>
        <v>2010a</v>
      </c>
      <c r="N365" s="65"/>
      <c r="O365" s="65"/>
      <c r="P365" s="65" t="b">
        <f>COUNTIF('Delivered SIR'!A:A, E365) &gt; 0</f>
        <v>1</v>
      </c>
    </row>
    <row r="366">
      <c r="A366" s="99" t="str">
        <f>IFERROR(__xludf.DUMMYFUNCTION("""COMPUTED_VALUE"""),"https://utrucking.com/admin/orders/5925955043516")</f>
        <v>https://utrucking.com/admin/orders/5925955043516</v>
      </c>
      <c r="B366" s="61" t="str">
        <f>IFERROR(__xludf.DUMMYFUNCTION("""COMPUTED_VALUE"""),"#16000")</f>
        <v>#16000</v>
      </c>
      <c r="C366" s="61" t="str">
        <f>IFERROR(__xludf.DUMMYFUNCTION("""COMPUTED_VALUE"""),"j.e.najari@wustl.edu")</f>
        <v>j.e.najari@wustl.edu</v>
      </c>
      <c r="D366" s="61">
        <f>IFERROR(__xludf.DUMMYFUNCTION("""COMPUTED_VALUE"""),4.693164294E9)</f>
        <v>4693164294</v>
      </c>
      <c r="E366" s="61" t="str">
        <f>IFERROR(__xludf.DUMMYFUNCTION("""COMPUTED_VALUE"""),"Jasmine Najari")</f>
        <v>Jasmine Najari</v>
      </c>
      <c r="F366" s="61"/>
      <c r="G366" s="61" t="str">
        <f>IFERROR(__xludf.DUMMYFUNCTION("""COMPUTED_VALUE"""),"5510 Pershing Ave
Unit #314
St. Louis, MO 63112")</f>
        <v>5510 Pershing Ave
Unit #314
St. Louis, MO 63112</v>
      </c>
      <c r="H366" s="61" t="str">
        <f>IFERROR(__xludf.DUMMYFUNCTION("""COMPUTED_VALUE"""),"Storage Item Return")</f>
        <v>Storage Item Return</v>
      </c>
      <c r="I366" s="61" t="str">
        <f>IFERROR(__xludf.DUMMYFUNCTION("""COMPUTED_VALUE"""),"Non-University Housing ")</f>
        <v>Non-University Housing </v>
      </c>
      <c r="J366" s="107" t="str">
        <f>IFERROR(__xludf.DUMMYFUNCTION("""COMPUTED_VALUE"""),"09:00 AM to 11:00 AM   ")</f>
        <v>09:00 AM to 11:00 AM   </v>
      </c>
      <c r="K366" s="107">
        <f>IFERROR(__xludf.DUMMYFUNCTION("""COMPUTED_VALUE"""),45887.0)</f>
        <v>45887</v>
      </c>
      <c r="L366" s="61"/>
      <c r="M366" s="61"/>
      <c r="N366" s="61" t="str">
        <f>IFERROR(__xludf.DUMMYFUNCTION("""COMPUTED_VALUE"""),"5510 Pershing Ave
Unit #314
St. Louis, MO 63112")</f>
        <v>5510 Pershing Ave
Unit #314
St. Louis, MO 63112</v>
      </c>
      <c r="O366" s="61"/>
      <c r="P366" s="61" t="b">
        <f>COUNTIF('Delivered SIR'!A:A, E366) &gt; 0</f>
        <v>0</v>
      </c>
    </row>
    <row r="367">
      <c r="A367" s="102" t="str">
        <f>IFERROR(__xludf.DUMMYFUNCTION("""COMPUTED_VALUE"""),"https://utrucking.com/admin/orders/5926035947708")</f>
        <v>https://utrucking.com/admin/orders/5926035947708</v>
      </c>
      <c r="B367" s="65" t="str">
        <f>IFERROR(__xludf.DUMMYFUNCTION("""COMPUTED_VALUE"""),"#16001")</f>
        <v>#16001</v>
      </c>
      <c r="C367" s="65" t="str">
        <f>IFERROR(__xludf.DUMMYFUNCTION("""COMPUTED_VALUE"""),"b.cugno@wustl.edu")</f>
        <v>b.cugno@wustl.edu</v>
      </c>
      <c r="D367" s="65">
        <f>IFERROR(__xludf.DUMMYFUNCTION("""COMPUTED_VALUE"""),7.16368072E9)</f>
        <v>7163680720</v>
      </c>
      <c r="E367" s="65" t="str">
        <f>IFERROR(__xludf.DUMMYFUNCTION("""COMPUTED_VALUE"""),"Benjamin Cugno")</f>
        <v>Benjamin Cugno</v>
      </c>
      <c r="F367" s="65"/>
      <c r="G367" s="65"/>
      <c r="H367" s="65" t="str">
        <f>IFERROR(__xludf.DUMMYFUNCTION("""COMPUTED_VALUE"""),"Storage Item Return")</f>
        <v>Storage Item Return</v>
      </c>
      <c r="I367" s="65" t="str">
        <f>IFERROR(__xludf.DUMMYFUNCTION("""COMPUTED_VALUE"""),"University Housing ")</f>
        <v>University Housing </v>
      </c>
      <c r="J367" s="108" t="str">
        <f>IFERROR(__xludf.DUMMYFUNCTION("""COMPUTED_VALUE"""),"09:00 AM to 11:00 AM   ")</f>
        <v>09:00 AM to 11:00 AM   </v>
      </c>
      <c r="K367" s="108">
        <f>IFERROR(__xludf.DUMMYFUNCTION("""COMPUTED_VALUE"""),45889.0)</f>
        <v>45889</v>
      </c>
      <c r="L367" s="65" t="str">
        <f>IFERROR(__xludf.DUMMYFUNCTION("""COMPUTED_VALUE"""),"House 11 (Sigma Phi Epsilon)  ")</f>
        <v>House 11 (Sigma Phi Epsilon)  </v>
      </c>
      <c r="M367" s="65" t="str">
        <f>IFERROR(__xludf.DUMMYFUNCTION("""COMPUTED_VALUE"""),"211")</f>
        <v>211</v>
      </c>
      <c r="N367" s="65"/>
      <c r="O367" s="65"/>
      <c r="P367" s="65" t="b">
        <f>COUNTIF('Delivered SIR'!A:A, E367) &gt; 0</f>
        <v>1</v>
      </c>
    </row>
    <row r="368">
      <c r="A368" s="99" t="str">
        <f>IFERROR(__xludf.DUMMYFUNCTION("""COMPUTED_VALUE"""),"https://utrucking.com/admin/orders/5926063407292")</f>
        <v>https://utrucking.com/admin/orders/5926063407292</v>
      </c>
      <c r="B368" s="61" t="str">
        <f>IFERROR(__xludf.DUMMYFUNCTION("""COMPUTED_VALUE"""),"#16003")</f>
        <v>#16003</v>
      </c>
      <c r="C368" s="61" t="str">
        <f>IFERROR(__xludf.DUMMYFUNCTION("""COMPUTED_VALUE"""),"ehkim524@gmail.com")</f>
        <v>ehkim524@gmail.com</v>
      </c>
      <c r="D368" s="61">
        <f>IFERROR(__xludf.DUMMYFUNCTION("""COMPUTED_VALUE"""),2.017078123E9)</f>
        <v>2017078123</v>
      </c>
      <c r="E368" s="61" t="str">
        <f>IFERROR(__xludf.DUMMYFUNCTION("""COMPUTED_VALUE"""),"Eleanor Kim")</f>
        <v>Eleanor Kim</v>
      </c>
      <c r="F368" s="61"/>
      <c r="G368" s="61"/>
      <c r="H368" s="61" t="str">
        <f>IFERROR(__xludf.DUMMYFUNCTION("""COMPUTED_VALUE"""),"Storage Item Return")</f>
        <v>Storage Item Return</v>
      </c>
      <c r="I368" s="61" t="str">
        <f>IFERROR(__xludf.DUMMYFUNCTION("""COMPUTED_VALUE"""),"University Housing ")</f>
        <v>University Housing </v>
      </c>
      <c r="J368" s="107" t="str">
        <f>IFERROR(__xludf.DUMMYFUNCTION("""COMPUTED_VALUE"""),"09:00 AM to 11:00 AM   ")</f>
        <v>09:00 AM to 11:00 AM   </v>
      </c>
      <c r="K368" s="107">
        <f>IFERROR(__xludf.DUMMYFUNCTION("""COMPUTED_VALUE"""),45891.0)</f>
        <v>45891</v>
      </c>
      <c r="L368" s="61" t="str">
        <f>IFERROR(__xludf.DUMMYFUNCTION("""COMPUTED_VALUE"""),"Loop Loft 6263  ")</f>
        <v>Loop Loft 6263  </v>
      </c>
      <c r="M368" s="61" t="str">
        <f>IFERROR(__xludf.DUMMYFUNCTION("""COMPUTED_VALUE"""),"202B")</f>
        <v>202B</v>
      </c>
      <c r="N368" s="61"/>
      <c r="O368" s="61"/>
      <c r="P368" s="61" t="b">
        <f>COUNTIF('Delivered SIR'!A:A, E368) &gt; 0</f>
        <v>0</v>
      </c>
    </row>
    <row r="369">
      <c r="A369" s="102" t="str">
        <f>IFERROR(__xludf.DUMMYFUNCTION("""COMPUTED_VALUE"""),"https://utrucking.com/admin/orders/5926179307708")</f>
        <v>https://utrucking.com/admin/orders/5926179307708</v>
      </c>
      <c r="B369" s="65" t="str">
        <f>IFERROR(__xludf.DUMMYFUNCTION("""COMPUTED_VALUE"""),"#16005")</f>
        <v>#16005</v>
      </c>
      <c r="C369" s="65"/>
      <c r="D369" s="65">
        <f>IFERROR(__xludf.DUMMYFUNCTION("""COMPUTED_VALUE"""),6.199619808E9)</f>
        <v>6199619808</v>
      </c>
      <c r="E369" s="65" t="str">
        <f>IFERROR(__xludf.DUMMYFUNCTION("""COMPUTED_VALUE"""),"Alex Tak")</f>
        <v>Alex Tak</v>
      </c>
      <c r="F369" s="65"/>
      <c r="G369" s="65"/>
      <c r="H369" s="65" t="str">
        <f>IFERROR(__xludf.DUMMYFUNCTION("""COMPUTED_VALUE"""),"Storage Item Return")</f>
        <v>Storage Item Return</v>
      </c>
      <c r="I369" s="65" t="str">
        <f>IFERROR(__xludf.DUMMYFUNCTION("""COMPUTED_VALUE"""),"University Housing ")</f>
        <v>University Housing </v>
      </c>
      <c r="J369" s="108" t="str">
        <f>IFERROR(__xludf.DUMMYFUNCTION("""COMPUTED_VALUE"""),"09:00 AM to 11:00 AM   ")</f>
        <v>09:00 AM to 11:00 AM   </v>
      </c>
      <c r="K369" s="108">
        <f>IFERROR(__xludf.DUMMYFUNCTION("""COMPUTED_VALUE"""),45890.0)</f>
        <v>45890</v>
      </c>
      <c r="L369" s="65" t="str">
        <f>IFERROR(__xludf.DUMMYFUNCTION("""COMPUTED_VALUE"""),"Zetcher  ")</f>
        <v>Zetcher  </v>
      </c>
      <c r="M369" s="65" t="str">
        <f>IFERROR(__xludf.DUMMYFUNCTION("""COMPUTED_VALUE"""),"3063-a")</f>
        <v>3063-a</v>
      </c>
      <c r="N369" s="65"/>
      <c r="O369" s="65"/>
      <c r="P369" s="65" t="b">
        <f>COUNTIF('Delivered SIR'!A:A, E369) &gt; 0</f>
        <v>0</v>
      </c>
    </row>
    <row r="370">
      <c r="A370" s="99" t="str">
        <f>IFERROR(__xludf.DUMMYFUNCTION("""COMPUTED_VALUE"""),"https://utrucking.com/admin/orders/5926353207484")</f>
        <v>https://utrucking.com/admin/orders/5926353207484</v>
      </c>
      <c r="B370" s="61" t="str">
        <f>IFERROR(__xludf.DUMMYFUNCTION("""COMPUTED_VALUE"""),"#16010")</f>
        <v>#16010</v>
      </c>
      <c r="C370" s="61" t="str">
        <f>IFERROR(__xludf.DUMMYFUNCTION("""COMPUTED_VALUE"""),"ruby.koo@wustl.edu")</f>
        <v>ruby.koo@wustl.edu</v>
      </c>
      <c r="D370" s="61">
        <f>IFERROR(__xludf.DUMMYFUNCTION("""COMPUTED_VALUE"""),6.173205824E9)</f>
        <v>6173205824</v>
      </c>
      <c r="E370" s="61" t="str">
        <f>IFERROR(__xludf.DUMMYFUNCTION("""COMPUTED_VALUE"""),"Naeun Koo")</f>
        <v>Naeun Koo</v>
      </c>
      <c r="F370" s="61"/>
      <c r="G370" s="61"/>
      <c r="H370" s="61" t="str">
        <f>IFERROR(__xludf.DUMMYFUNCTION("""COMPUTED_VALUE"""),"Storage Item Return")</f>
        <v>Storage Item Return</v>
      </c>
      <c r="I370" s="61" t="str">
        <f>IFERROR(__xludf.DUMMYFUNCTION("""COMPUTED_VALUE"""),"University Housing ")</f>
        <v>University Housing </v>
      </c>
      <c r="J370" s="107" t="str">
        <f>IFERROR(__xludf.DUMMYFUNCTION("""COMPUTED_VALUE"""),"09:00 AM to 11:00 AM   ")</f>
        <v>09:00 AM to 11:00 AM   </v>
      </c>
      <c r="K370" s="107">
        <f>IFERROR(__xludf.DUMMYFUNCTION("""COMPUTED_VALUE"""),45880.0)</f>
        <v>45880</v>
      </c>
      <c r="L370" s="61" t="str">
        <f>IFERROR(__xludf.DUMMYFUNCTION("""COMPUTED_VALUE"""),"Millbrook Bldg. 3  ")</f>
        <v>Millbrook Bldg. 3  </v>
      </c>
      <c r="M370" s="61" t="str">
        <f>IFERROR(__xludf.DUMMYFUNCTION("""COMPUTED_VALUE"""),"104A")</f>
        <v>104A</v>
      </c>
      <c r="N370" s="61"/>
      <c r="O370" s="61"/>
      <c r="P370" s="61" t="b">
        <f>COUNTIF('Delivered SIR'!A:A, E370) &gt; 0</f>
        <v>0</v>
      </c>
    </row>
    <row r="371">
      <c r="A371" s="102" t="str">
        <f>IFERROR(__xludf.DUMMYFUNCTION("""COMPUTED_VALUE"""),"https://utrucking.com/admin/orders/5926639993020")</f>
        <v>https://utrucking.com/admin/orders/5926639993020</v>
      </c>
      <c r="B371" s="65" t="str">
        <f>IFERROR(__xludf.DUMMYFUNCTION("""COMPUTED_VALUE"""),"#16014")</f>
        <v>#16014</v>
      </c>
      <c r="C371" s="65" t="str">
        <f>IFERROR(__xludf.DUMMYFUNCTION("""COMPUTED_VALUE"""),"brittanychang1@gmail.com")</f>
        <v>brittanychang1@gmail.com</v>
      </c>
      <c r="D371" s="65">
        <f>IFERROR(__xludf.DUMMYFUNCTION("""COMPUTED_VALUE"""),3.126228414E9)</f>
        <v>3126228414</v>
      </c>
      <c r="E371" s="65" t="str">
        <f>IFERROR(__xludf.DUMMYFUNCTION("""COMPUTED_VALUE"""),"brittany Chang")</f>
        <v>brittany Chang</v>
      </c>
      <c r="F371" s="65"/>
      <c r="G371" s="65"/>
      <c r="H371" s="65" t="str">
        <f>IFERROR(__xludf.DUMMYFUNCTION("""COMPUTED_VALUE"""),"Storage Item Return")</f>
        <v>Storage Item Return</v>
      </c>
      <c r="I371" s="65" t="str">
        <f>IFERROR(__xludf.DUMMYFUNCTION("""COMPUTED_VALUE"""),"University Housing ")</f>
        <v>University Housing </v>
      </c>
      <c r="J371" s="108" t="str">
        <f>IFERROR(__xludf.DUMMYFUNCTION("""COMPUTED_VALUE"""),"03:00 PM to 05:00 PM ")</f>
        <v>03:00 PM to 05:00 PM </v>
      </c>
      <c r="K371" s="108">
        <f>IFERROR(__xludf.DUMMYFUNCTION("""COMPUTED_VALUE"""),45891.0)</f>
        <v>45891</v>
      </c>
      <c r="L371" s="65" t="str">
        <f>IFERROR(__xludf.DUMMYFUNCTION("""COMPUTED_VALUE"""),"Nemerov  ")</f>
        <v>Nemerov  </v>
      </c>
      <c r="M371" s="65" t="str">
        <f>IFERROR(__xludf.DUMMYFUNCTION("""COMPUTED_VALUE"""),"471")</f>
        <v>471</v>
      </c>
      <c r="N371" s="65"/>
      <c r="O371" s="65"/>
      <c r="P371" s="65" t="b">
        <f>COUNTIF('Delivered SIR'!A:A, E371) &gt; 0</f>
        <v>0</v>
      </c>
    </row>
    <row r="372">
      <c r="A372" s="99" t="str">
        <f>IFERROR(__xludf.DUMMYFUNCTION("""COMPUTED_VALUE"""),"https://utrucking.com/admin/orders/5926732005564")</f>
        <v>https://utrucking.com/admin/orders/5926732005564</v>
      </c>
      <c r="B372" s="61" t="str">
        <f>IFERROR(__xludf.DUMMYFUNCTION("""COMPUTED_VALUE"""),"#16016")</f>
        <v>#16016</v>
      </c>
      <c r="C372" s="61" t="str">
        <f>IFERROR(__xludf.DUMMYFUNCTION("""COMPUTED_VALUE"""),"p.sebastian@wustl.edu")</f>
        <v>p.sebastian@wustl.edu</v>
      </c>
      <c r="D372" s="61">
        <f>IFERROR(__xludf.DUMMYFUNCTION("""COMPUTED_VALUE"""),7.203693946E9)</f>
        <v>7203693946</v>
      </c>
      <c r="E372" s="61" t="str">
        <f>IFERROR(__xludf.DUMMYFUNCTION("""COMPUTED_VALUE"""),"Sebastian Pujet")</f>
        <v>Sebastian Pujet</v>
      </c>
      <c r="F372" s="61"/>
      <c r="G372" s="61"/>
      <c r="H372" s="61" t="str">
        <f>IFERROR(__xludf.DUMMYFUNCTION("""COMPUTED_VALUE"""),"Storage Item Return")</f>
        <v>Storage Item Return</v>
      </c>
      <c r="I372" s="61" t="str">
        <f>IFERROR(__xludf.DUMMYFUNCTION("""COMPUTED_VALUE"""),"University Housing ")</f>
        <v>University Housing </v>
      </c>
      <c r="J372" s="107" t="str">
        <f>IFERROR(__xludf.DUMMYFUNCTION("""COMPUTED_VALUE"""),"09:00 AM to 11:00 AM   ")</f>
        <v>09:00 AM to 11:00 AM   </v>
      </c>
      <c r="K372" s="107">
        <f>IFERROR(__xludf.DUMMYFUNCTION("""COMPUTED_VALUE"""),45889.0)</f>
        <v>45889</v>
      </c>
      <c r="L372" s="61" t="str">
        <f>IFERROR(__xludf.DUMMYFUNCTION("""COMPUTED_VALUE"""),"6639 University Drive  ")</f>
        <v>6639 University Drive  </v>
      </c>
      <c r="M372" s="61" t="str">
        <f>IFERROR(__xludf.DUMMYFUNCTION("""COMPUTED_VALUE"""),"2W-A")</f>
        <v>2W-A</v>
      </c>
      <c r="N372" s="61"/>
      <c r="O372" s="61"/>
      <c r="P372" s="61" t="b">
        <f>COUNTIF('Delivered SIR'!A:A, E372) &gt; 0</f>
        <v>1</v>
      </c>
    </row>
    <row r="373">
      <c r="A373" s="102" t="str">
        <f>IFERROR(__xludf.DUMMYFUNCTION("""COMPUTED_VALUE"""),"https://utrucking.com/admin/orders/5926740918460")</f>
        <v>https://utrucking.com/admin/orders/5926740918460</v>
      </c>
      <c r="B373" s="65" t="str">
        <f>IFERROR(__xludf.DUMMYFUNCTION("""COMPUTED_VALUE"""),"#16017")</f>
        <v>#16017</v>
      </c>
      <c r="C373" s="65" t="str">
        <f>IFERROR(__xludf.DUMMYFUNCTION("""COMPUTED_VALUE"""),"underwood.ht@gmail.com")</f>
        <v>underwood.ht@gmail.com</v>
      </c>
      <c r="D373" s="65">
        <f>IFERROR(__xludf.DUMMYFUNCTION("""COMPUTED_VALUE"""),5.052318907E9)</f>
        <v>5052318907</v>
      </c>
      <c r="E373" s="65" t="str">
        <f>IFERROR(__xludf.DUMMYFUNCTION("""COMPUTED_VALUE"""),"Hugo Underwood")</f>
        <v>Hugo Underwood</v>
      </c>
      <c r="F373" s="65"/>
      <c r="G373" s="65"/>
      <c r="H373" s="65" t="str">
        <f>IFERROR(__xludf.DUMMYFUNCTION("""COMPUTED_VALUE"""),"Storage Item Return")</f>
        <v>Storage Item Return</v>
      </c>
      <c r="I373" s="65" t="str">
        <f>IFERROR(__xludf.DUMMYFUNCTION("""COMPUTED_VALUE"""),"University Housing ")</f>
        <v>University Housing </v>
      </c>
      <c r="J373" s="108" t="str">
        <f>IFERROR(__xludf.DUMMYFUNCTION("""COMPUTED_VALUE"""),"11:00 AM to 01:00 PM   ")</f>
        <v>11:00 AM to 01:00 PM   </v>
      </c>
      <c r="K373" s="108">
        <f>IFERROR(__xludf.DUMMYFUNCTION("""COMPUTED_VALUE"""),45889.0)</f>
        <v>45889</v>
      </c>
      <c r="L373" s="65" t="str">
        <f>IFERROR(__xludf.DUMMYFUNCTION("""COMPUTED_VALUE"""),"Loop Loft 6255  ")</f>
        <v>Loop Loft 6255  </v>
      </c>
      <c r="M373" s="65" t="str">
        <f>IFERROR(__xludf.DUMMYFUNCTION("""COMPUTED_VALUE"""),"413A - a")</f>
        <v>413A - a</v>
      </c>
      <c r="N373" s="65"/>
      <c r="O373" s="65"/>
      <c r="P373" s="65" t="b">
        <f>COUNTIF('Delivered SIR'!A:A, E373) &gt; 0</f>
        <v>1</v>
      </c>
    </row>
    <row r="374">
      <c r="A374" s="99" t="str">
        <f>IFERROR(__xludf.DUMMYFUNCTION("""COMPUTED_VALUE"""),"https://utrucking.com/admin/orders/5926800982204")</f>
        <v>https://utrucking.com/admin/orders/5926800982204</v>
      </c>
      <c r="B374" s="61" t="str">
        <f>IFERROR(__xludf.DUMMYFUNCTION("""COMPUTED_VALUE"""),"#16019")</f>
        <v>#16019</v>
      </c>
      <c r="C374" s="61" t="str">
        <f>IFERROR(__xludf.DUMMYFUNCTION("""COMPUTED_VALUE"""),"amy_b_ross@hotmail.com")</f>
        <v>amy_b_ross@hotmail.com</v>
      </c>
      <c r="D374" s="61">
        <f>IFERROR(__xludf.DUMMYFUNCTION("""COMPUTED_VALUE"""),5.083410848E9)</f>
        <v>5083410848</v>
      </c>
      <c r="E374" s="61" t="str">
        <f>IFERROR(__xludf.DUMMYFUNCTION("""COMPUTED_VALUE"""),"Amy Ross")</f>
        <v>Amy Ross</v>
      </c>
      <c r="F374" s="61"/>
      <c r="G374" s="61"/>
      <c r="H374" s="61" t="str">
        <f>IFERROR(__xludf.DUMMYFUNCTION("""COMPUTED_VALUE"""),"Storage Item Return")</f>
        <v>Storage Item Return</v>
      </c>
      <c r="I374" s="61" t="str">
        <f>IFERROR(__xludf.DUMMYFUNCTION("""COMPUTED_VALUE"""),"University Housing ")</f>
        <v>University Housing </v>
      </c>
      <c r="J374" s="107" t="str">
        <f>IFERROR(__xludf.DUMMYFUNCTION("""COMPUTED_VALUE"""),"09:00 AM to 11:00 AM   ")</f>
        <v>09:00 AM to 11:00 AM   </v>
      </c>
      <c r="K374" s="107">
        <f>IFERROR(__xludf.DUMMYFUNCTION("""COMPUTED_VALUE"""),45888.0)</f>
        <v>45888</v>
      </c>
      <c r="L374" s="61" t="str">
        <f>IFERROR(__xludf.DUMMYFUNCTION("""COMPUTED_VALUE"""),"House 4 (Theta Xi)  ")</f>
        <v>House 4 (Theta Xi)  </v>
      </c>
      <c r="M374" s="61" t="str">
        <f>IFERROR(__xludf.DUMMYFUNCTION("""COMPUTED_VALUE"""),"306")</f>
        <v>306</v>
      </c>
      <c r="N374" s="61"/>
      <c r="O374" s="61"/>
      <c r="P374" s="61" t="b">
        <f>COUNTIF('Delivered SIR'!A:A, E374) &gt; 0</f>
        <v>0</v>
      </c>
    </row>
    <row r="375">
      <c r="A375" s="102" t="str">
        <f>IFERROR(__xludf.DUMMYFUNCTION("""COMPUTED_VALUE"""),"https://utrucking.com/admin/orders/5927006044348")</f>
        <v>https://utrucking.com/admin/orders/5927006044348</v>
      </c>
      <c r="B375" s="65" t="str">
        <f>IFERROR(__xludf.DUMMYFUNCTION("""COMPUTED_VALUE"""),"#16022")</f>
        <v>#16022</v>
      </c>
      <c r="C375" s="65" t="str">
        <f>IFERROR(__xludf.DUMMYFUNCTION("""COMPUTED_VALUE"""),"m.a.torky@wustl.edu")</f>
        <v>m.a.torky@wustl.edu</v>
      </c>
      <c r="D375" s="65">
        <f>IFERROR(__xludf.DUMMYFUNCTION("""COMPUTED_VALUE"""),2.06755391E9)</f>
        <v>2067553910</v>
      </c>
      <c r="E375" s="65" t="str">
        <f>IFERROR(__xludf.DUMMYFUNCTION("""COMPUTED_VALUE"""),"Maya Torky")</f>
        <v>Maya Torky</v>
      </c>
      <c r="F375" s="65"/>
      <c r="G375" s="65"/>
      <c r="H375" s="65" t="str">
        <f>IFERROR(__xludf.DUMMYFUNCTION("""COMPUTED_VALUE"""),"Storage Item Return")</f>
        <v>Storage Item Return</v>
      </c>
      <c r="I375" s="65" t="str">
        <f>IFERROR(__xludf.DUMMYFUNCTION("""COMPUTED_VALUE"""),"University Housing ")</f>
        <v>University Housing </v>
      </c>
      <c r="J375" s="108" t="str">
        <f>IFERROR(__xludf.DUMMYFUNCTION("""COMPUTED_VALUE"""),"01:00 PM to 03:00 PM   ")</f>
        <v>01:00 PM to 03:00 PM   </v>
      </c>
      <c r="K375" s="108">
        <f>IFERROR(__xludf.DUMMYFUNCTION("""COMPUTED_VALUE"""),45892.0)</f>
        <v>45892</v>
      </c>
      <c r="L375" s="65" t="str">
        <f>IFERROR(__xludf.DUMMYFUNCTION("""COMPUTED_VALUE"""),"Liggett  ")</f>
        <v>Liggett  </v>
      </c>
      <c r="M375" s="65" t="str">
        <f>IFERROR(__xludf.DUMMYFUNCTION("""COMPUTED_VALUE"""),"1164A")</f>
        <v>1164A</v>
      </c>
      <c r="N375" s="65"/>
      <c r="O375" s="65"/>
      <c r="P375" s="65" t="b">
        <f>COUNTIF('Delivered SIR'!A:A, E375) &gt; 0</f>
        <v>1</v>
      </c>
    </row>
    <row r="376">
      <c r="A376" s="99" t="str">
        <f>IFERROR(__xludf.DUMMYFUNCTION("""COMPUTED_VALUE"""),"https://utrucking.com/admin/orders/5927125319868")</f>
        <v>https://utrucking.com/admin/orders/5927125319868</v>
      </c>
      <c r="B376" s="61" t="str">
        <f>IFERROR(__xludf.DUMMYFUNCTION("""COMPUTED_VALUE"""),"#16025")</f>
        <v>#16025</v>
      </c>
      <c r="C376" s="61" t="str">
        <f>IFERROR(__xludf.DUMMYFUNCTION("""COMPUTED_VALUE"""),"jamie4169@icloud.com")</f>
        <v>jamie4169@icloud.com</v>
      </c>
      <c r="D376" s="61">
        <f>IFERROR(__xludf.DUMMYFUNCTION("""COMPUTED_VALUE"""),8.186204788E9)</f>
        <v>8186204788</v>
      </c>
      <c r="E376" s="61" t="str">
        <f>IFERROR(__xludf.DUMMYFUNCTION("""COMPUTED_VALUE"""),"Jamie Greenberg")</f>
        <v>Jamie Greenberg</v>
      </c>
      <c r="F376" s="61"/>
      <c r="G376" s="61"/>
      <c r="H376" s="61" t="str">
        <f>IFERROR(__xludf.DUMMYFUNCTION("""COMPUTED_VALUE"""),"Storage Item Return")</f>
        <v>Storage Item Return</v>
      </c>
      <c r="I376" s="61" t="str">
        <f>IFERROR(__xludf.DUMMYFUNCTION("""COMPUTED_VALUE"""),"University Housing ")</f>
        <v>University Housing </v>
      </c>
      <c r="J376" s="107" t="str">
        <f>IFERROR(__xludf.DUMMYFUNCTION("""COMPUTED_VALUE"""),"09:00 AM to 11:00 AM   ")</f>
        <v>09:00 AM to 11:00 AM   </v>
      </c>
      <c r="K376" s="107">
        <f>IFERROR(__xludf.DUMMYFUNCTION("""COMPUTED_VALUE"""),45890.0)</f>
        <v>45890</v>
      </c>
      <c r="L376" s="61" t="str">
        <f>IFERROR(__xludf.DUMMYFUNCTION("""COMPUTED_VALUE"""),"Loop Loft 6300  ")</f>
        <v>Loop Loft 6300  </v>
      </c>
      <c r="M376" s="61" t="str">
        <f>IFERROR(__xludf.DUMMYFUNCTION("""COMPUTED_VALUE"""),"404c")</f>
        <v>404c</v>
      </c>
      <c r="N376" s="61"/>
      <c r="O376" s="61"/>
      <c r="P376" s="61" t="b">
        <f>COUNTIF('Delivered SIR'!A:A, E376) &gt; 0</f>
        <v>1</v>
      </c>
    </row>
    <row r="377">
      <c r="A377" s="102" t="str">
        <f>IFERROR(__xludf.DUMMYFUNCTION("""COMPUTED_VALUE"""),"https://utrucking.com/admin/orders/5927135379644")</f>
        <v>https://utrucking.com/admin/orders/5927135379644</v>
      </c>
      <c r="B377" s="65" t="str">
        <f>IFERROR(__xludf.DUMMYFUNCTION("""COMPUTED_VALUE"""),"#16026")</f>
        <v>#16026</v>
      </c>
      <c r="C377" s="65"/>
      <c r="D377" s="65">
        <f>IFERROR(__xludf.DUMMYFUNCTION("""COMPUTED_VALUE"""),3.078290361E9)</f>
        <v>3078290361</v>
      </c>
      <c r="E377" s="65" t="str">
        <f>IFERROR(__xludf.DUMMYFUNCTION("""COMPUTED_VALUE"""),"Zoya Khan")</f>
        <v>Zoya Khan</v>
      </c>
      <c r="F377" s="65"/>
      <c r="G377" s="65"/>
      <c r="H377" s="65" t="str">
        <f>IFERROR(__xludf.DUMMYFUNCTION("""COMPUTED_VALUE"""),"Storage Item Return")</f>
        <v>Storage Item Return</v>
      </c>
      <c r="I377" s="65" t="str">
        <f>IFERROR(__xludf.DUMMYFUNCTION("""COMPUTED_VALUE"""),"University Housing ")</f>
        <v>University Housing </v>
      </c>
      <c r="J377" s="108" t="str">
        <f>IFERROR(__xludf.DUMMYFUNCTION("""COMPUTED_VALUE"""),"09:00 AM to 11:00 AM   ")</f>
        <v>09:00 AM to 11:00 AM   </v>
      </c>
      <c r="K377" s="108">
        <f>IFERROR(__xludf.DUMMYFUNCTION("""COMPUTED_VALUE"""),45889.0)</f>
        <v>45889</v>
      </c>
      <c r="L377" s="65" t="str">
        <f>IFERROR(__xludf.DUMMYFUNCTION("""COMPUTED_VALUE"""),"Eliot B  ")</f>
        <v>Eliot B  </v>
      </c>
      <c r="M377" s="65" t="str">
        <f>IFERROR(__xludf.DUMMYFUNCTION("""COMPUTED_VALUE"""),"4053 - a")</f>
        <v>4053 - a</v>
      </c>
      <c r="N377" s="65"/>
      <c r="O377" s="65"/>
      <c r="P377" s="65" t="b">
        <f>COUNTIF('Delivered SIR'!A:A, E377) &gt; 0</f>
        <v>1</v>
      </c>
    </row>
    <row r="378">
      <c r="A378" s="99" t="str">
        <f>IFERROR(__xludf.DUMMYFUNCTION("""COMPUTED_VALUE"""),"https://utrucking.com/admin/orders/5927141769404")</f>
        <v>https://utrucking.com/admin/orders/5927141769404</v>
      </c>
      <c r="B378" s="61" t="str">
        <f>IFERROR(__xludf.DUMMYFUNCTION("""COMPUTED_VALUE"""),"#16027")</f>
        <v>#16027</v>
      </c>
      <c r="C378" s="61"/>
      <c r="D378" s="61">
        <f>IFERROR(__xludf.DUMMYFUNCTION("""COMPUTED_VALUE"""),2.158375659E9)</f>
        <v>2158375659</v>
      </c>
      <c r="E378" s="61" t="str">
        <f>IFERROR(__xludf.DUMMYFUNCTION("""COMPUTED_VALUE"""),"Joshua Freeman")</f>
        <v>Joshua Freeman</v>
      </c>
      <c r="F378" s="61"/>
      <c r="G378" s="61"/>
      <c r="H378" s="61" t="str">
        <f>IFERROR(__xludf.DUMMYFUNCTION("""COMPUTED_VALUE"""),"Storage Item Return")</f>
        <v>Storage Item Return</v>
      </c>
      <c r="I378" s="61" t="str">
        <f>IFERROR(__xludf.DUMMYFUNCTION("""COMPUTED_VALUE"""),"University Housing ")</f>
        <v>University Housing </v>
      </c>
      <c r="J378" s="107" t="str">
        <f>IFERROR(__xludf.DUMMYFUNCTION("""COMPUTED_VALUE"""),"09:00 AM to 11:00 AM   ")</f>
        <v>09:00 AM to 11:00 AM   </v>
      </c>
      <c r="K378" s="107">
        <f>IFERROR(__xludf.DUMMYFUNCTION("""COMPUTED_VALUE"""),45891.0)</f>
        <v>45891</v>
      </c>
      <c r="L378" s="61" t="str">
        <f>IFERROR(__xludf.DUMMYFUNCTION("""COMPUTED_VALUE"""),"Lopata  ")</f>
        <v>Lopata  </v>
      </c>
      <c r="M378" s="61" t="str">
        <f>IFERROR(__xludf.DUMMYFUNCTION("""COMPUTED_VALUE"""),"1041 - a")</f>
        <v>1041 - a</v>
      </c>
      <c r="N378" s="61"/>
      <c r="O378" s="61"/>
      <c r="P378" s="61" t="b">
        <f>COUNTIF('Delivered SIR'!A:A, E378) &gt; 0</f>
        <v>1</v>
      </c>
    </row>
    <row r="379">
      <c r="A379" s="102" t="str">
        <f>IFERROR(__xludf.DUMMYFUNCTION("""COMPUTED_VALUE"""),"https://utrucking.com/admin/orders/5927150616764")</f>
        <v>https://utrucking.com/admin/orders/5927150616764</v>
      </c>
      <c r="B379" s="65" t="str">
        <f>IFERROR(__xludf.DUMMYFUNCTION("""COMPUTED_VALUE"""),"#16029")</f>
        <v>#16029</v>
      </c>
      <c r="C379" s="65" t="str">
        <f>IFERROR(__xludf.DUMMYFUNCTION("""COMPUTED_VALUE"""),"fjoshua@wustl.edu")</f>
        <v>fjoshua@wustl.edu</v>
      </c>
      <c r="D379" s="65">
        <f>IFERROR(__xludf.DUMMYFUNCTION("""COMPUTED_VALUE"""),2.158375659E9)</f>
        <v>2158375659</v>
      </c>
      <c r="E379" s="65" t="str">
        <f>IFERROR(__xludf.DUMMYFUNCTION("""COMPUTED_VALUE"""),"Joshua Freeman")</f>
        <v>Joshua Freeman</v>
      </c>
      <c r="F379" s="65"/>
      <c r="G379" s="65"/>
      <c r="H379" s="65" t="str">
        <f>IFERROR(__xludf.DUMMYFUNCTION("""COMPUTED_VALUE"""),"Storage Item Return")</f>
        <v>Storage Item Return</v>
      </c>
      <c r="I379" s="65" t="str">
        <f>IFERROR(__xludf.DUMMYFUNCTION("""COMPUTED_VALUE"""),"University Housing ")</f>
        <v>University Housing </v>
      </c>
      <c r="J379" s="108" t="str">
        <f>IFERROR(__xludf.DUMMYFUNCTION("""COMPUTED_VALUE"""),"09:00 AM to 11:00 AM   ")</f>
        <v>09:00 AM to 11:00 AM   </v>
      </c>
      <c r="K379" s="108">
        <f>IFERROR(__xludf.DUMMYFUNCTION("""COMPUTED_VALUE"""),45891.0)</f>
        <v>45891</v>
      </c>
      <c r="L379" s="65" t="str">
        <f>IFERROR(__xludf.DUMMYFUNCTION("""COMPUTED_VALUE"""),"Lopata  ")</f>
        <v>Lopata  </v>
      </c>
      <c r="M379" s="65" t="str">
        <f>IFERROR(__xludf.DUMMYFUNCTION("""COMPUTED_VALUE"""),"1041 a ")</f>
        <v>1041 a </v>
      </c>
      <c r="N379" s="65"/>
      <c r="O379" s="65"/>
      <c r="P379" s="65" t="b">
        <f>COUNTIF('Delivered SIR'!A:A, E379) &gt; 0</f>
        <v>1</v>
      </c>
    </row>
    <row r="380">
      <c r="A380" s="99" t="str">
        <f>IFERROR(__xludf.DUMMYFUNCTION("""COMPUTED_VALUE"""),"https://utrucking.com/admin/orders/5927186104508")</f>
        <v>https://utrucking.com/admin/orders/5927186104508</v>
      </c>
      <c r="B380" s="61" t="str">
        <f>IFERROR(__xludf.DUMMYFUNCTION("""COMPUTED_VALUE"""),"#16032")</f>
        <v>#16032</v>
      </c>
      <c r="C380" s="61"/>
      <c r="D380" s="61">
        <f>IFERROR(__xludf.DUMMYFUNCTION("""COMPUTED_VALUE"""),9.176260576E9)</f>
        <v>9176260576</v>
      </c>
      <c r="E380" s="61" t="str">
        <f>IFERROR(__xludf.DUMMYFUNCTION("""COMPUTED_VALUE"""),"Suzanne Kohl")</f>
        <v>Suzanne Kohl</v>
      </c>
      <c r="F380" s="61"/>
      <c r="G380" s="61" t="str">
        <f>IFERROR(__xludf.DUMMYFUNCTION("""COMPUTED_VALUE"""),"6659 Kingsbury Boulevard, St. Louis, MO 63130 Apartment 1W")</f>
        <v>6659 Kingsbury Boulevard, St. Louis, MO 63130 Apartment 1W</v>
      </c>
      <c r="H380" s="61" t="str">
        <f>IFERROR(__xludf.DUMMYFUNCTION("""COMPUTED_VALUE"""),"Storage Item Return")</f>
        <v>Storage Item Return</v>
      </c>
      <c r="I380" s="61" t="str">
        <f>IFERROR(__xludf.DUMMYFUNCTION("""COMPUTED_VALUE"""),"Non-University Housing ")</f>
        <v>Non-University Housing </v>
      </c>
      <c r="J380" s="107" t="str">
        <f>IFERROR(__xludf.DUMMYFUNCTION("""COMPUTED_VALUE"""),"03:00 PM to 05:00 PM ")</f>
        <v>03:00 PM to 05:00 PM </v>
      </c>
      <c r="K380" s="107">
        <f>IFERROR(__xludf.DUMMYFUNCTION("""COMPUTED_VALUE"""),45891.0)</f>
        <v>45891</v>
      </c>
      <c r="L380" s="61"/>
      <c r="M380" s="61"/>
      <c r="N380" s="61" t="str">
        <f>IFERROR(__xludf.DUMMYFUNCTION("""COMPUTED_VALUE"""),"6659 Kingsbury Boulevard, St. Louis, MO 63130 Apartment 1W")</f>
        <v>6659 Kingsbury Boulevard, St. Louis, MO 63130 Apartment 1W</v>
      </c>
      <c r="O380" s="61"/>
      <c r="P380" s="61" t="b">
        <f>COUNTIF('Delivered SIR'!A:A, E380) &gt; 0</f>
        <v>0</v>
      </c>
    </row>
    <row r="381">
      <c r="A381" s="102" t="str">
        <f>IFERROR(__xludf.DUMMYFUNCTION("""COMPUTED_VALUE"""),"https://utrucking.com/admin/orders/5927205044412")</f>
        <v>https://utrucking.com/admin/orders/5927205044412</v>
      </c>
      <c r="B381" s="65" t="str">
        <f>IFERROR(__xludf.DUMMYFUNCTION("""COMPUTED_VALUE"""),"#16034")</f>
        <v>#16034</v>
      </c>
      <c r="C381" s="65" t="str">
        <f>IFERROR(__xludf.DUMMYFUNCTION("""COMPUTED_VALUE"""),"r.sulur@wustl.edu")</f>
        <v>r.sulur@wustl.edu</v>
      </c>
      <c r="D381" s="65">
        <f>IFERROR(__xludf.DUMMYFUNCTION("""COMPUTED_VALUE"""),5.089488913E9)</f>
        <v>5089488913</v>
      </c>
      <c r="E381" s="65" t="str">
        <f>IFERROR(__xludf.DUMMYFUNCTION("""COMPUTED_VALUE"""),"Riya Sulur")</f>
        <v>Riya Sulur</v>
      </c>
      <c r="F381" s="65"/>
      <c r="G381" s="65"/>
      <c r="H381" s="65" t="str">
        <f>IFERROR(__xludf.DUMMYFUNCTION("""COMPUTED_VALUE"""),"Storage Item Return")</f>
        <v>Storage Item Return</v>
      </c>
      <c r="I381" s="65" t="str">
        <f>IFERROR(__xludf.DUMMYFUNCTION("""COMPUTED_VALUE"""),"University Housing ")</f>
        <v>University Housing </v>
      </c>
      <c r="J381" s="108" t="str">
        <f>IFERROR(__xludf.DUMMYFUNCTION("""COMPUTED_VALUE"""),"09:00 AM to 11:00 AM   ")</f>
        <v>09:00 AM to 11:00 AM   </v>
      </c>
      <c r="K381" s="108">
        <f>IFERROR(__xludf.DUMMYFUNCTION("""COMPUTED_VALUE"""),45883.0)</f>
        <v>45883</v>
      </c>
      <c r="L381" s="65" t="str">
        <f>IFERROR(__xludf.DUMMYFUNCTION("""COMPUTED_VALUE"""),"Greenway Apartments  ")</f>
        <v>Greenway Apartments  </v>
      </c>
      <c r="M381" s="65" t="str">
        <f>IFERROR(__xludf.DUMMYFUNCTION("""COMPUTED_VALUE"""),"124B")</f>
        <v>124B</v>
      </c>
      <c r="N381" s="65"/>
      <c r="O381" s="65"/>
      <c r="P381" s="65" t="b">
        <f>COUNTIF('Delivered SIR'!A:A, E381) &gt; 0</f>
        <v>1</v>
      </c>
    </row>
    <row r="382">
      <c r="A382" s="99" t="str">
        <f>IFERROR(__xludf.DUMMYFUNCTION("""COMPUTED_VALUE"""),"https://utrucking.com/admin/orders/5927224901820")</f>
        <v>https://utrucking.com/admin/orders/5927224901820</v>
      </c>
      <c r="B382" s="61" t="str">
        <f>IFERROR(__xludf.DUMMYFUNCTION("""COMPUTED_VALUE"""),"#16035")</f>
        <v>#16035</v>
      </c>
      <c r="C382" s="61" t="str">
        <f>IFERROR(__xludf.DUMMYFUNCTION("""COMPUTED_VALUE"""),"samsegal123@aol.com")</f>
        <v>samsegal123@aol.com</v>
      </c>
      <c r="D382" s="61">
        <f>IFERROR(__xludf.DUMMYFUNCTION("""COMPUTED_VALUE"""),6.073331477E9)</f>
        <v>6073331477</v>
      </c>
      <c r="E382" s="61" t="str">
        <f>IFERROR(__xludf.DUMMYFUNCTION("""COMPUTED_VALUE"""),"Sam Segal")</f>
        <v>Sam Segal</v>
      </c>
      <c r="F382" s="61"/>
      <c r="G382" s="61"/>
      <c r="H382" s="61" t="str">
        <f>IFERROR(__xludf.DUMMYFUNCTION("""COMPUTED_VALUE"""),"Storage Item Return")</f>
        <v>Storage Item Return</v>
      </c>
      <c r="I382" s="61" t="str">
        <f>IFERROR(__xludf.DUMMYFUNCTION("""COMPUTED_VALUE"""),"University Housing ")</f>
        <v>University Housing </v>
      </c>
      <c r="J382" s="107" t="str">
        <f>IFERROR(__xludf.DUMMYFUNCTION("""COMPUTED_VALUE"""),"09:00 AM to 11:00 AM   ")</f>
        <v>09:00 AM to 11:00 AM   </v>
      </c>
      <c r="K382" s="107">
        <f>IFERROR(__xludf.DUMMYFUNCTION("""COMPUTED_VALUE"""),45889.0)</f>
        <v>45889</v>
      </c>
      <c r="L382" s="61" t="str">
        <f>IFERROR(__xludf.DUMMYFUNCTION("""COMPUTED_VALUE"""),"Millbrook Bldg. 3  ")</f>
        <v>Millbrook Bldg. 3  </v>
      </c>
      <c r="M382" s="61" t="str">
        <f>IFERROR(__xludf.DUMMYFUNCTION("""COMPUTED_VALUE"""),"B-2A-a")</f>
        <v>B-2A-a</v>
      </c>
      <c r="N382" s="61"/>
      <c r="O382" s="61"/>
      <c r="P382" s="61" t="b">
        <f>COUNTIF('Delivered SIR'!A:A, E382) &gt; 0</f>
        <v>1</v>
      </c>
    </row>
    <row r="383">
      <c r="A383" s="102" t="str">
        <f>IFERROR(__xludf.DUMMYFUNCTION("""COMPUTED_VALUE"""),"https://utrucking.com/admin/orders/5927344570556")</f>
        <v>https://utrucking.com/admin/orders/5927344570556</v>
      </c>
      <c r="B383" s="65" t="str">
        <f>IFERROR(__xludf.DUMMYFUNCTION("""COMPUTED_VALUE"""),"#16038")</f>
        <v>#16038</v>
      </c>
      <c r="C383" s="65" t="str">
        <f>IFERROR(__xludf.DUMMYFUNCTION("""COMPUTED_VALUE"""),"e.lou@wustl.edu")</f>
        <v>e.lou@wustl.edu</v>
      </c>
      <c r="D383" s="65">
        <f>IFERROR(__xludf.DUMMYFUNCTION("""COMPUTED_VALUE"""),3.143339028E9)</f>
        <v>3143339028</v>
      </c>
      <c r="E383" s="65" t="str">
        <f>IFERROR(__xludf.DUMMYFUNCTION("""COMPUTED_VALUE"""),"Weijia Lou")</f>
        <v>Weijia Lou</v>
      </c>
      <c r="F383" s="65"/>
      <c r="G383" s="65" t="str">
        <f>IFERROR(__xludf.DUMMYFUNCTION("""COMPUTED_VALUE"""),"6105 Delmar Blvd. Apt 402-C
ST. LOUIS, MISSOURI 63112
United States")</f>
        <v>6105 Delmar Blvd. Apt 402-C
ST. LOUIS, MISSOURI 63112
United States</v>
      </c>
      <c r="H383" s="65" t="str">
        <f>IFERROR(__xludf.DUMMYFUNCTION("""COMPUTED_VALUE"""),"Storage Item Return")</f>
        <v>Storage Item Return</v>
      </c>
      <c r="I383" s="65" t="str">
        <f>IFERROR(__xludf.DUMMYFUNCTION("""COMPUTED_VALUE"""),"Non-University Housing ")</f>
        <v>Non-University Housing </v>
      </c>
      <c r="J383" s="108" t="str">
        <f>IFERROR(__xludf.DUMMYFUNCTION("""COMPUTED_VALUE"""),"11:00 AM to 01:00 PM   ")</f>
        <v>11:00 AM to 01:00 PM   </v>
      </c>
      <c r="K383" s="108">
        <f>IFERROR(__xludf.DUMMYFUNCTION("""COMPUTED_VALUE"""),45890.0)</f>
        <v>45890</v>
      </c>
      <c r="L383" s="65"/>
      <c r="M383" s="65"/>
      <c r="N383" s="65" t="str">
        <f>IFERROR(__xludf.DUMMYFUNCTION("""COMPUTED_VALUE"""),"6105 Delmar Blvd. Apt 402-C
ST. LOUIS, MISSOURI 63112
United States")</f>
        <v>6105 Delmar Blvd. Apt 402-C
ST. LOUIS, MISSOURI 63112
United States</v>
      </c>
      <c r="O383" s="65"/>
      <c r="P383" s="65" t="b">
        <f>COUNTIF('Delivered SIR'!A:A, E383) &gt; 0</f>
        <v>0</v>
      </c>
    </row>
    <row r="384">
      <c r="A384" s="99" t="str">
        <f>IFERROR(__xludf.DUMMYFUNCTION("""COMPUTED_VALUE"""),"https://utrucking.com/admin/orders/5927358857404")</f>
        <v>https://utrucking.com/admin/orders/5927358857404</v>
      </c>
      <c r="B384" s="61" t="str">
        <f>IFERROR(__xludf.DUMMYFUNCTION("""COMPUTED_VALUE"""),"#16039")</f>
        <v>#16039</v>
      </c>
      <c r="C384" s="61" t="str">
        <f>IFERROR(__xludf.DUMMYFUNCTION("""COMPUTED_VALUE"""),"f.yige@wustl.edu")</f>
        <v>f.yige@wustl.edu</v>
      </c>
      <c r="D384" s="61">
        <f>IFERROR(__xludf.DUMMYFUNCTION("""COMPUTED_VALUE"""),1.3147458915E10)</f>
        <v>13147458915</v>
      </c>
      <c r="E384" s="61" t="str">
        <f>IFERROR(__xludf.DUMMYFUNCTION("""COMPUTED_VALUE"""),"Yige Feng")</f>
        <v>Yige Feng</v>
      </c>
      <c r="F384" s="61"/>
      <c r="G384" s="61" t="str">
        <f>IFERROR(__xludf.DUMMYFUNCTION("""COMPUTED_VALUE"""),"6105 Delmar Blvd.  Apt 402-A
ST. LOUIS, MISSOURI 63112
United States")</f>
        <v>6105 Delmar Blvd.  Apt 402-A
ST. LOUIS, MISSOURI 63112
United States</v>
      </c>
      <c r="H384" s="61" t="str">
        <f>IFERROR(__xludf.DUMMYFUNCTION("""COMPUTED_VALUE"""),"Storage Item Return")</f>
        <v>Storage Item Return</v>
      </c>
      <c r="I384" s="61" t="str">
        <f>IFERROR(__xludf.DUMMYFUNCTION("""COMPUTED_VALUE"""),"Non-University Housing ")</f>
        <v>Non-University Housing </v>
      </c>
      <c r="J384" s="107" t="str">
        <f>IFERROR(__xludf.DUMMYFUNCTION("""COMPUTED_VALUE"""),"11:00 AM to 01:00 PM   ")</f>
        <v>11:00 AM to 01:00 PM   </v>
      </c>
      <c r="K384" s="107">
        <f>IFERROR(__xludf.DUMMYFUNCTION("""COMPUTED_VALUE"""),45890.0)</f>
        <v>45890</v>
      </c>
      <c r="L384" s="61"/>
      <c r="M384" s="61"/>
      <c r="N384" s="61" t="str">
        <f>IFERROR(__xludf.DUMMYFUNCTION("""COMPUTED_VALUE"""),"6105 Delmar Blvd.  Apt 402-A
ST. LOUIS, MISSOURI 63112
United States")</f>
        <v>6105 Delmar Blvd.  Apt 402-A
ST. LOUIS, MISSOURI 63112
United States</v>
      </c>
      <c r="O384" s="61"/>
      <c r="P384" s="61" t="b">
        <f>COUNTIF('Delivered SIR'!A:A, E384) &gt; 0</f>
        <v>0</v>
      </c>
    </row>
    <row r="385">
      <c r="A385" s="102" t="str">
        <f>IFERROR(__xludf.DUMMYFUNCTION("""COMPUTED_VALUE"""),"https://utrucking.com/admin/orders/5927430127804")</f>
        <v>https://utrucking.com/admin/orders/5927430127804</v>
      </c>
      <c r="B385" s="65" t="str">
        <f>IFERROR(__xludf.DUMMYFUNCTION("""COMPUTED_VALUE"""),"#16042")</f>
        <v>#16042</v>
      </c>
      <c r="C385" s="65" t="str">
        <f>IFERROR(__xludf.DUMMYFUNCTION("""COMPUTED_VALUE"""),"m.saanya@wustl.edu")</f>
        <v>m.saanya@wustl.edu</v>
      </c>
      <c r="D385" s="65">
        <f>IFERROR(__xludf.DUMMYFUNCTION("""COMPUTED_VALUE"""),3.213876026E9)</f>
        <v>3213876026</v>
      </c>
      <c r="E385" s="65" t="str">
        <f>IFERROR(__xludf.DUMMYFUNCTION("""COMPUTED_VALUE"""),"Saanya Manoj")</f>
        <v>Saanya Manoj</v>
      </c>
      <c r="F385" s="65"/>
      <c r="G385" s="65"/>
      <c r="H385" s="65" t="str">
        <f>IFERROR(__xludf.DUMMYFUNCTION("""COMPUTED_VALUE"""),"Storage Item Return")</f>
        <v>Storage Item Return</v>
      </c>
      <c r="I385" s="65" t="str">
        <f>IFERROR(__xludf.DUMMYFUNCTION("""COMPUTED_VALUE"""),"University Housing University Housing")</f>
        <v>University Housing University Housing</v>
      </c>
      <c r="J385" s="108" t="str">
        <f>IFERROR(__xludf.DUMMYFUNCTION("""COMPUTED_VALUE"""),"09:00 AM to 11:00 AM   ")</f>
        <v>09:00 AM to 11:00 AM   </v>
      </c>
      <c r="K385" s="108">
        <f>IFERROR(__xludf.DUMMYFUNCTION("""COMPUTED_VALUE"""),45890.0)</f>
        <v>45890</v>
      </c>
      <c r="L385" s="65" t="str">
        <f>IFERROR(__xludf.DUMMYFUNCTION("""COMPUTED_VALUE"""),"Loop Loft 6300  ")</f>
        <v>Loop Loft 6300  </v>
      </c>
      <c r="M385" s="65" t="str">
        <f>IFERROR(__xludf.DUMMYFUNCTION("""COMPUTED_VALUE"""),"105A")</f>
        <v>105A</v>
      </c>
      <c r="N385" s="65"/>
      <c r="O385" s="65"/>
      <c r="P385" s="65" t="b">
        <f>COUNTIF('Delivered SIR'!A:A, E385) &gt; 0</f>
        <v>0</v>
      </c>
    </row>
    <row r="386">
      <c r="A386" s="99" t="str">
        <f>IFERROR(__xludf.DUMMYFUNCTION("""COMPUTED_VALUE"""),"https://utrucking.com/admin/orders/5927563722940")</f>
        <v>https://utrucking.com/admin/orders/5927563722940</v>
      </c>
      <c r="B386" s="61" t="str">
        <f>IFERROR(__xludf.DUMMYFUNCTION("""COMPUTED_VALUE"""),"#16043")</f>
        <v>#16043</v>
      </c>
      <c r="C386" s="61" t="str">
        <f>IFERROR(__xludf.DUMMYFUNCTION("""COMPUTED_VALUE"""),"bi.s@wustl.edu")</f>
        <v>bi.s@wustl.edu</v>
      </c>
      <c r="D386" s="61">
        <f>IFERROR(__xludf.DUMMYFUNCTION("""COMPUTED_VALUE"""),3.146655285E9)</f>
        <v>3146655285</v>
      </c>
      <c r="E386" s="61" t="str">
        <f>IFERROR(__xludf.DUMMYFUNCTION("""COMPUTED_VALUE"""),"Siyuan Bi")</f>
        <v>Siyuan Bi</v>
      </c>
      <c r="F386" s="61"/>
      <c r="G386" s="61"/>
      <c r="H386" s="61" t="str">
        <f>IFERROR(__xludf.DUMMYFUNCTION("""COMPUTED_VALUE"""),"Storage Item Return")</f>
        <v>Storage Item Return</v>
      </c>
      <c r="I386" s="61" t="str">
        <f>IFERROR(__xludf.DUMMYFUNCTION("""COMPUTED_VALUE"""),"University Housing ")</f>
        <v>University Housing </v>
      </c>
      <c r="J386" s="107" t="str">
        <f>IFERROR(__xludf.DUMMYFUNCTION("""COMPUTED_VALUE"""),"12:00 PM to 02:00 PM   ")</f>
        <v>12:00 PM to 02:00 PM   </v>
      </c>
      <c r="K386" s="107">
        <f>IFERROR(__xludf.DUMMYFUNCTION("""COMPUTED_VALUE"""),45890.0)</f>
        <v>45890</v>
      </c>
      <c r="L386" s="61" t="str">
        <f>IFERROR(__xludf.DUMMYFUNCTION("""COMPUTED_VALUE"""),"Village House  ")</f>
        <v>Village House  </v>
      </c>
      <c r="M386" s="61" t="str">
        <f>IFERROR(__xludf.DUMMYFUNCTION("""COMPUTED_VALUE"""),"3033-A")</f>
        <v>3033-A</v>
      </c>
      <c r="N386" s="61"/>
      <c r="O386" s="61"/>
      <c r="P386" s="61" t="b">
        <f>COUNTIF('Delivered SIR'!A:A, E386) &gt; 0</f>
        <v>1</v>
      </c>
    </row>
    <row r="387">
      <c r="A387" s="102" t="str">
        <f>IFERROR(__xludf.DUMMYFUNCTION("""COMPUTED_VALUE"""),"https://utrucking.com/admin/orders/5927975256252")</f>
        <v>https://utrucking.com/admin/orders/5927975256252</v>
      </c>
      <c r="B387" s="65" t="str">
        <f>IFERROR(__xludf.DUMMYFUNCTION("""COMPUTED_VALUE"""),"#16052")</f>
        <v>#16052</v>
      </c>
      <c r="C387" s="65" t="str">
        <f>IFERROR(__xludf.DUMMYFUNCTION("""COMPUTED_VALUE"""),"l.tahlia@wustl.edu")</f>
        <v>l.tahlia@wustl.edu</v>
      </c>
      <c r="D387" s="65">
        <f>IFERROR(__xludf.DUMMYFUNCTION("""COMPUTED_VALUE"""),5.616543968E9)</f>
        <v>5616543968</v>
      </c>
      <c r="E387" s="65" t="str">
        <f>IFERROR(__xludf.DUMMYFUNCTION("""COMPUTED_VALUE"""),"Tahlia Lamour")</f>
        <v>Tahlia Lamour</v>
      </c>
      <c r="F387" s="65"/>
      <c r="G387" s="65"/>
      <c r="H387" s="65" t="str">
        <f>IFERROR(__xludf.DUMMYFUNCTION("""COMPUTED_VALUE"""),"Storage Item Return")</f>
        <v>Storage Item Return</v>
      </c>
      <c r="I387" s="65" t="str">
        <f>IFERROR(__xludf.DUMMYFUNCTION("""COMPUTED_VALUE"""),"University Housing ")</f>
        <v>University Housing </v>
      </c>
      <c r="J387" s="108" t="str">
        <f>IFERROR(__xludf.DUMMYFUNCTION("""COMPUTED_VALUE"""),"09:00 AM to 11:00 AM   ")</f>
        <v>09:00 AM to 11:00 AM   </v>
      </c>
      <c r="K387" s="108">
        <f>IFERROR(__xludf.DUMMYFUNCTION("""COMPUTED_VALUE"""),45890.0)</f>
        <v>45890</v>
      </c>
      <c r="L387" s="65" t="str">
        <f>IFERROR(__xludf.DUMMYFUNCTION("""COMPUTED_VALUE"""),"Greenway Apartments  ")</f>
        <v>Greenway Apartments  </v>
      </c>
      <c r="M387" s="65" t="str">
        <f>IFERROR(__xludf.DUMMYFUNCTION("""COMPUTED_VALUE"""),"317-B")</f>
        <v>317-B</v>
      </c>
      <c r="N387" s="65"/>
      <c r="O387" s="65"/>
      <c r="P387" s="65" t="b">
        <f>COUNTIF('Delivered SIR'!A:A, E387) &gt; 0</f>
        <v>1</v>
      </c>
    </row>
    <row r="388">
      <c r="A388" s="99" t="str">
        <f>IFERROR(__xludf.DUMMYFUNCTION("""COMPUTED_VALUE"""),"https://utrucking.com/admin/orders/5928023064764")</f>
        <v>https://utrucking.com/admin/orders/5928023064764</v>
      </c>
      <c r="B388" s="61" t="str">
        <f>IFERROR(__xludf.DUMMYFUNCTION("""COMPUTED_VALUE"""),"#16054")</f>
        <v>#16054</v>
      </c>
      <c r="C388" s="61" t="str">
        <f>IFERROR(__xludf.DUMMYFUNCTION("""COMPUTED_VALUE"""),"alexkennlee@gmail.com")</f>
        <v>alexkennlee@gmail.com</v>
      </c>
      <c r="D388" s="61">
        <f>IFERROR(__xludf.DUMMYFUNCTION("""COMPUTED_VALUE"""),6.262351783E9)</f>
        <v>6262351783</v>
      </c>
      <c r="E388" s="61" t="str">
        <f>IFERROR(__xludf.DUMMYFUNCTION("""COMPUTED_VALUE"""),"Alex Lee")</f>
        <v>Alex Lee</v>
      </c>
      <c r="F388" s="61"/>
      <c r="G388" s="61" t="str">
        <f>IFERROR(__xludf.DUMMYFUNCTION("""COMPUTED_VALUE"""),"6665 Washington Ave, Saint Louis, MO 63130, Apt. 1E ")</f>
        <v>6665 Washington Ave, Saint Louis, MO 63130, Apt. 1E </v>
      </c>
      <c r="H388" s="61" t="str">
        <f>IFERROR(__xludf.DUMMYFUNCTION("""COMPUTED_VALUE"""),"Storage Item Return")</f>
        <v>Storage Item Return</v>
      </c>
      <c r="I388" s="61" t="str">
        <f>IFERROR(__xludf.DUMMYFUNCTION("""COMPUTED_VALUE"""),"Non-University Housing ")</f>
        <v>Non-University Housing </v>
      </c>
      <c r="J388" s="107" t="str">
        <f>IFERROR(__xludf.DUMMYFUNCTION("""COMPUTED_VALUE"""),"04:00 PM to 05:00 PM ")</f>
        <v>04:00 PM to 05:00 PM </v>
      </c>
      <c r="K388" s="107">
        <f>IFERROR(__xludf.DUMMYFUNCTION("""COMPUTED_VALUE"""),45891.0)</f>
        <v>45891</v>
      </c>
      <c r="L388" s="61"/>
      <c r="M388" s="61"/>
      <c r="N388" s="61" t="str">
        <f>IFERROR(__xludf.DUMMYFUNCTION("""COMPUTED_VALUE"""),"6665 Washington Ave, Saint Louis, MO 63130, Apt. 1E ")</f>
        <v>6665 Washington Ave, Saint Louis, MO 63130, Apt. 1E </v>
      </c>
      <c r="O388" s="61"/>
      <c r="P388" s="61" t="b">
        <f>COUNTIF('Delivered SIR'!A:A, E388) &gt; 0</f>
        <v>0</v>
      </c>
    </row>
    <row r="389">
      <c r="A389" s="102" t="str">
        <f>IFERROR(__xludf.DUMMYFUNCTION("""COMPUTED_VALUE"""),"https://utrucking.com/admin/orders/5928059437244")</f>
        <v>https://utrucking.com/admin/orders/5928059437244</v>
      </c>
      <c r="B389" s="65" t="str">
        <f>IFERROR(__xludf.DUMMYFUNCTION("""COMPUTED_VALUE"""),"#16055")</f>
        <v>#16055</v>
      </c>
      <c r="C389" s="65" t="str">
        <f>IFERROR(__xludf.DUMMYFUNCTION("""COMPUTED_VALUE"""),"almathisson@gmail.com")</f>
        <v>almathisson@gmail.com</v>
      </c>
      <c r="D389" s="65">
        <f>IFERROR(__xludf.DUMMYFUNCTION("""COMPUTED_VALUE"""),9.145888237E9)</f>
        <v>9145888237</v>
      </c>
      <c r="E389" s="65" t="str">
        <f>IFERROR(__xludf.DUMMYFUNCTION("""COMPUTED_VALUE"""),"Alyssa Mathisson")</f>
        <v>Alyssa Mathisson</v>
      </c>
      <c r="F389" s="65"/>
      <c r="G389" s="65"/>
      <c r="H389" s="65" t="str">
        <f>IFERROR(__xludf.DUMMYFUNCTION("""COMPUTED_VALUE"""),"Storage Item Return")</f>
        <v>Storage Item Return</v>
      </c>
      <c r="I389" s="65" t="str">
        <f>IFERROR(__xludf.DUMMYFUNCTION("""COMPUTED_VALUE"""),"University Housing ")</f>
        <v>University Housing </v>
      </c>
      <c r="J389" s="108" t="str">
        <f>IFERROR(__xludf.DUMMYFUNCTION("""COMPUTED_VALUE"""),"09:00 AM to 11:00 AM   ")</f>
        <v>09:00 AM to 11:00 AM   </v>
      </c>
      <c r="K389" s="108">
        <f>IFERROR(__xludf.DUMMYFUNCTION("""COMPUTED_VALUE"""),45888.0)</f>
        <v>45888</v>
      </c>
      <c r="L389" s="65" t="str">
        <f>IFERROR(__xludf.DUMMYFUNCTION("""COMPUTED_VALUE"""),"Mudd  ")</f>
        <v>Mudd  </v>
      </c>
      <c r="M389" s="65" t="str">
        <f>IFERROR(__xludf.DUMMYFUNCTION("""COMPUTED_VALUE"""),"482")</f>
        <v>482</v>
      </c>
      <c r="N389" s="65"/>
      <c r="O389" s="65"/>
      <c r="P389" s="65" t="b">
        <f>COUNTIF('Delivered SIR'!A:A, E389) &gt; 0</f>
        <v>0</v>
      </c>
    </row>
    <row r="390">
      <c r="A390" s="99" t="str">
        <f>IFERROR(__xludf.DUMMYFUNCTION("""COMPUTED_VALUE"""),"https://utrucking.com/admin/orders/5928084832444")</f>
        <v>https://utrucking.com/admin/orders/5928084832444</v>
      </c>
      <c r="B390" s="61" t="str">
        <f>IFERROR(__xludf.DUMMYFUNCTION("""COMPUTED_VALUE"""),"#16057")</f>
        <v>#16057</v>
      </c>
      <c r="C390" s="61"/>
      <c r="D390" s="61">
        <f>IFERROR(__xludf.DUMMYFUNCTION("""COMPUTED_VALUE"""),4.083941696E9)</f>
        <v>4083941696</v>
      </c>
      <c r="E390" s="61" t="str">
        <f>IFERROR(__xludf.DUMMYFUNCTION("""COMPUTED_VALUE"""),"Basab Mukherjee")</f>
        <v>Basab Mukherjee</v>
      </c>
      <c r="F390" s="61"/>
      <c r="G390" s="61"/>
      <c r="H390" s="61" t="str">
        <f>IFERROR(__xludf.DUMMYFUNCTION("""COMPUTED_VALUE"""),"Storage Item Return")</f>
        <v>Storage Item Return</v>
      </c>
      <c r="I390" s="61" t="str">
        <f>IFERROR(__xludf.DUMMYFUNCTION("""COMPUTED_VALUE"""),"University Housing ")</f>
        <v>University Housing </v>
      </c>
      <c r="J390" s="107" t="str">
        <f>IFERROR(__xludf.DUMMYFUNCTION("""COMPUTED_VALUE"""),"03:00 PM to 05:00 PM ")</f>
        <v>03:00 PM to 05:00 PM </v>
      </c>
      <c r="K390" s="107">
        <f>IFERROR(__xludf.DUMMYFUNCTION("""COMPUTED_VALUE"""),45890.0)</f>
        <v>45890</v>
      </c>
      <c r="L390" s="61" t="str">
        <f>IFERROR(__xludf.DUMMYFUNCTION("""COMPUTED_VALUE"""),"Wheeler  ")</f>
        <v>Wheeler  </v>
      </c>
      <c r="M390" s="61" t="str">
        <f>IFERROR(__xludf.DUMMYFUNCTION("""COMPUTED_VALUE"""),"1044-A")</f>
        <v>1044-A</v>
      </c>
      <c r="N390" s="61"/>
      <c r="O390" s="61"/>
      <c r="P390" s="61" t="b">
        <f>COUNTIF('Delivered SIR'!A:A, E390) &gt; 0</f>
        <v>0</v>
      </c>
    </row>
    <row r="391">
      <c r="A391" s="102" t="str">
        <f>IFERROR(__xludf.DUMMYFUNCTION("""COMPUTED_VALUE"""),"https://utrucking.com/admin/orders/5928543322300")</f>
        <v>https://utrucking.com/admin/orders/5928543322300</v>
      </c>
      <c r="B391" s="65" t="str">
        <f>IFERROR(__xludf.DUMMYFUNCTION("""COMPUTED_VALUE"""),"#16067")</f>
        <v>#16067</v>
      </c>
      <c r="C391" s="65"/>
      <c r="D391" s="65">
        <f>IFERROR(__xludf.DUMMYFUNCTION("""COMPUTED_VALUE"""),3.147880826E9)</f>
        <v>3147880826</v>
      </c>
      <c r="E391" s="65" t="str">
        <f>IFERROR(__xludf.DUMMYFUNCTION("""COMPUTED_VALUE"""),"Jihyun Park")</f>
        <v>Jihyun Park</v>
      </c>
      <c r="F391" s="65"/>
      <c r="G391" s="65"/>
      <c r="H391" s="65" t="str">
        <f>IFERROR(__xludf.DUMMYFUNCTION("""COMPUTED_VALUE"""),"Storage Item Return")</f>
        <v>Storage Item Return</v>
      </c>
      <c r="I391" s="65" t="str">
        <f>IFERROR(__xludf.DUMMYFUNCTION("""COMPUTED_VALUE"""),"University Housing ")</f>
        <v>University Housing </v>
      </c>
      <c r="J391" s="108" t="str">
        <f>IFERROR(__xludf.DUMMYFUNCTION("""COMPUTED_VALUE"""),"09:00 AM to 11:00 AM   ")</f>
        <v>09:00 AM to 11:00 AM   </v>
      </c>
      <c r="K391" s="108">
        <f>IFERROR(__xludf.DUMMYFUNCTION("""COMPUTED_VALUE"""),45889.0)</f>
        <v>45889</v>
      </c>
      <c r="L391" s="65" t="str">
        <f>IFERROR(__xludf.DUMMYFUNCTION("""COMPUTED_VALUE"""),"Loop Loft 6300  ")</f>
        <v>Loop Loft 6300  </v>
      </c>
      <c r="M391" s="65" t="str">
        <f>IFERROR(__xludf.DUMMYFUNCTION("""COMPUTED_VALUE"""),"206A")</f>
        <v>206A</v>
      </c>
      <c r="N391" s="65"/>
      <c r="O391" s="65"/>
      <c r="P391" s="65" t="b">
        <f>COUNTIF('Delivered SIR'!A:A, E391) &gt; 0</f>
        <v>0</v>
      </c>
    </row>
    <row r="392">
      <c r="A392" s="99" t="str">
        <f>IFERROR(__xludf.DUMMYFUNCTION("""COMPUTED_VALUE"""),"https://utrucking.com/admin/orders/5928616755388")</f>
        <v>https://utrucking.com/admin/orders/5928616755388</v>
      </c>
      <c r="B392" s="61" t="str">
        <f>IFERROR(__xludf.DUMMYFUNCTION("""COMPUTED_VALUE"""),"#16070")</f>
        <v>#16070</v>
      </c>
      <c r="C392" s="61" t="str">
        <f>IFERROR(__xludf.DUMMYFUNCTION("""COMPUTED_VALUE"""),"sarah_smalik@yahoo.com")</f>
        <v>sarah_smalik@yahoo.com</v>
      </c>
      <c r="D392" s="61">
        <f>IFERROR(__xludf.DUMMYFUNCTION("""COMPUTED_VALUE"""),6.464042721E9)</f>
        <v>6464042721</v>
      </c>
      <c r="E392" s="61" t="str">
        <f>IFERROR(__xludf.DUMMYFUNCTION("""COMPUTED_VALUE"""),"Sarah Suleman")</f>
        <v>Sarah Suleman</v>
      </c>
      <c r="F392" s="61"/>
      <c r="G392" s="61"/>
      <c r="H392" s="61" t="str">
        <f>IFERROR(__xludf.DUMMYFUNCTION("""COMPUTED_VALUE"""),"Storage Item Return")</f>
        <v>Storage Item Return</v>
      </c>
      <c r="I392" s="61" t="str">
        <f>IFERROR(__xludf.DUMMYFUNCTION("""COMPUTED_VALUE"""),"University Housing ")</f>
        <v>University Housing </v>
      </c>
      <c r="J392" s="107" t="str">
        <f>IFERROR(__xludf.DUMMYFUNCTION("""COMPUTED_VALUE"""),"01:00 PM to 03:00 PM   ")</f>
        <v>01:00 PM to 03:00 PM   </v>
      </c>
      <c r="K392" s="107">
        <f>IFERROR(__xludf.DUMMYFUNCTION("""COMPUTED_VALUE"""),45892.0)</f>
        <v>45892</v>
      </c>
      <c r="L392" s="61" t="str">
        <f>IFERROR(__xludf.DUMMYFUNCTION("""COMPUTED_VALUE"""),"Loop Loft 6263  ")</f>
        <v>Loop Loft 6263  </v>
      </c>
      <c r="M392" s="61" t="str">
        <f>IFERROR(__xludf.DUMMYFUNCTION("""COMPUTED_VALUE"""),"209C")</f>
        <v>209C</v>
      </c>
      <c r="N392" s="61"/>
      <c r="O392" s="61"/>
      <c r="P392" s="61" t="b">
        <f>COUNTIF('Delivered SIR'!A:A, E392) &gt; 0</f>
        <v>0</v>
      </c>
    </row>
    <row r="393">
      <c r="A393" s="102" t="str">
        <f>IFERROR(__xludf.DUMMYFUNCTION("""COMPUTED_VALUE"""),"https://utrucking.com/admin/orders/5928668070076")</f>
        <v>https://utrucking.com/admin/orders/5928668070076</v>
      </c>
      <c r="B393" s="65" t="str">
        <f>IFERROR(__xludf.DUMMYFUNCTION("""COMPUTED_VALUE"""),"#16073")</f>
        <v>#16073</v>
      </c>
      <c r="C393" s="65" t="str">
        <f>IFERROR(__xludf.DUMMYFUNCTION("""COMPUTED_VALUE"""),"hkramm@yahoo.com")</f>
        <v>hkramm@yahoo.com</v>
      </c>
      <c r="D393" s="65">
        <f>IFERROR(__xludf.DUMMYFUNCTION("""COMPUTED_VALUE"""),2.066613897E9)</f>
        <v>2066613897</v>
      </c>
      <c r="E393" s="65" t="str">
        <f>IFERROR(__xludf.DUMMYFUNCTION("""COMPUTED_VALUE"""),"Heather Kramm")</f>
        <v>Heather Kramm</v>
      </c>
      <c r="F393" s="65"/>
      <c r="G393" s="65"/>
      <c r="H393" s="65" t="str">
        <f>IFERROR(__xludf.DUMMYFUNCTION("""COMPUTED_VALUE"""),"Storage Item Return")</f>
        <v>Storage Item Return</v>
      </c>
      <c r="I393" s="65" t="str">
        <f>IFERROR(__xludf.DUMMYFUNCTION("""COMPUTED_VALUE"""),"University Housing ")</f>
        <v>University Housing </v>
      </c>
      <c r="J393" s="108" t="str">
        <f>IFERROR(__xludf.DUMMYFUNCTION("""COMPUTED_VALUE"""),"09:00 AM to 11:00 AM   ")</f>
        <v>09:00 AM to 11:00 AM   </v>
      </c>
      <c r="K393" s="108">
        <f>IFERROR(__xludf.DUMMYFUNCTION("""COMPUTED_VALUE"""),45887.0)</f>
        <v>45887</v>
      </c>
      <c r="L393" s="65" t="str">
        <f>IFERROR(__xludf.DUMMYFUNCTION("""COMPUTED_VALUE"""),"House 6 (Sigma Alpha Epsilon)  ")</f>
        <v>House 6 (Sigma Alpha Epsilon)  </v>
      </c>
      <c r="M393" s="65" t="str">
        <f>IFERROR(__xludf.DUMMYFUNCTION("""COMPUTED_VALUE"""),"202")</f>
        <v>202</v>
      </c>
      <c r="N393" s="65"/>
      <c r="O393" s="65"/>
      <c r="P393" s="65" t="b">
        <f>COUNTIF('Delivered SIR'!A:A, E393) &gt; 0</f>
        <v>0</v>
      </c>
    </row>
    <row r="394">
      <c r="A394" s="99" t="str">
        <f>IFERROR(__xludf.DUMMYFUNCTION("""COMPUTED_VALUE"""),"https://utrucking.com/admin/orders/5928678195388")</f>
        <v>https://utrucking.com/admin/orders/5928678195388</v>
      </c>
      <c r="B394" s="61" t="str">
        <f>IFERROR(__xludf.DUMMYFUNCTION("""COMPUTED_VALUE"""),"#16075")</f>
        <v>#16075</v>
      </c>
      <c r="C394" s="61" t="str">
        <f>IFERROR(__xludf.DUMMYFUNCTION("""COMPUTED_VALUE"""),"revhamenon@gmail.com")</f>
        <v>revhamenon@gmail.com</v>
      </c>
      <c r="D394" s="61">
        <f>IFERROR(__xludf.DUMMYFUNCTION("""COMPUTED_VALUE"""),9.147582157E9)</f>
        <v>9147582157</v>
      </c>
      <c r="E394" s="61" t="str">
        <f>IFERROR(__xludf.DUMMYFUNCTION("""COMPUTED_VALUE"""),"Revha Menon")</f>
        <v>Revha Menon</v>
      </c>
      <c r="F394" s="61"/>
      <c r="G394" s="61"/>
      <c r="H394" s="61" t="str">
        <f>IFERROR(__xludf.DUMMYFUNCTION("""COMPUTED_VALUE"""),"Storage Item Return")</f>
        <v>Storage Item Return</v>
      </c>
      <c r="I394" s="61" t="str">
        <f>IFERROR(__xludf.DUMMYFUNCTION("""COMPUTED_VALUE"""),"University Housing ")</f>
        <v>University Housing </v>
      </c>
      <c r="J394" s="107" t="str">
        <f>IFERROR(__xludf.DUMMYFUNCTION("""COMPUTED_VALUE"""),"09:00 AM to 11:00 AM   ")</f>
        <v>09:00 AM to 11:00 AM   </v>
      </c>
      <c r="K394" s="107">
        <f>IFERROR(__xludf.DUMMYFUNCTION("""COMPUTED_VALUE"""),45888.0)</f>
        <v>45888</v>
      </c>
      <c r="L394" s="61" t="str">
        <f>IFERROR(__xludf.DUMMYFUNCTION("""COMPUTED_VALUE"""),"Beaumont  ")</f>
        <v>Beaumont  </v>
      </c>
      <c r="M394" s="61" t="str">
        <f>IFERROR(__xludf.DUMMYFUNCTION("""COMPUTED_VALUE"""),"208 a")</f>
        <v>208 a</v>
      </c>
      <c r="N394" s="61"/>
      <c r="O394" s="61"/>
      <c r="P394" s="61" t="b">
        <f>COUNTIF('Delivered SIR'!A:A, E394) &gt; 0</f>
        <v>1</v>
      </c>
    </row>
    <row r="395">
      <c r="A395" s="102" t="str">
        <f>IFERROR(__xludf.DUMMYFUNCTION("""COMPUTED_VALUE"""),"https://utrucking.com/admin/orders/5928681504956")</f>
        <v>https://utrucking.com/admin/orders/5928681504956</v>
      </c>
      <c r="B395" s="65" t="str">
        <f>IFERROR(__xludf.DUMMYFUNCTION("""COMPUTED_VALUE"""),"#16076")</f>
        <v>#16076</v>
      </c>
      <c r="C395" s="65" t="str">
        <f>IFERROR(__xludf.DUMMYFUNCTION("""COMPUTED_VALUE"""),"kim.m1@wustl.edu")</f>
        <v>kim.m1@wustl.edu</v>
      </c>
      <c r="D395" s="65">
        <f>IFERROR(__xludf.DUMMYFUNCTION("""COMPUTED_VALUE"""),7.7055774E9)</f>
        <v>7705577400</v>
      </c>
      <c r="E395" s="65" t="str">
        <f>IFERROR(__xludf.DUMMYFUNCTION("""COMPUTED_VALUE"""),"JungAh Kim")</f>
        <v>JungAh Kim</v>
      </c>
      <c r="F395" s="65"/>
      <c r="G395" s="65"/>
      <c r="H395" s="65" t="str">
        <f>IFERROR(__xludf.DUMMYFUNCTION("""COMPUTED_VALUE"""),"Storage Item Return")</f>
        <v>Storage Item Return</v>
      </c>
      <c r="I395" s="65" t="str">
        <f>IFERROR(__xludf.DUMMYFUNCTION("""COMPUTED_VALUE"""),"University Housing ")</f>
        <v>University Housing </v>
      </c>
      <c r="J395" s="108" t="str">
        <f>IFERROR(__xludf.DUMMYFUNCTION("""COMPUTED_VALUE"""),"01:00 PM to 03:00 PM   ")</f>
        <v>01:00 PM to 03:00 PM   </v>
      </c>
      <c r="K395" s="108">
        <f>IFERROR(__xludf.DUMMYFUNCTION("""COMPUTED_VALUE"""),45891.0)</f>
        <v>45891</v>
      </c>
      <c r="L395" s="65" t="str">
        <f>IFERROR(__xludf.DUMMYFUNCTION("""COMPUTED_VALUE"""),"Shepley  ")</f>
        <v>Shepley  </v>
      </c>
      <c r="M395" s="65" t="str">
        <f>IFERROR(__xludf.DUMMYFUNCTION("""COMPUTED_VALUE"""),"3092")</f>
        <v>3092</v>
      </c>
      <c r="N395" s="65"/>
      <c r="O395" s="65"/>
      <c r="P395" s="65" t="b">
        <f>COUNTIF('Delivered SIR'!A:A, E395) &gt; 0</f>
        <v>0</v>
      </c>
    </row>
    <row r="396">
      <c r="A396" s="99" t="str">
        <f>IFERROR(__xludf.DUMMYFUNCTION("""COMPUTED_VALUE"""),"https://utrucking.com/admin/orders/5928921628860")</f>
        <v>https://utrucking.com/admin/orders/5928921628860</v>
      </c>
      <c r="B396" s="61" t="str">
        <f>IFERROR(__xludf.DUMMYFUNCTION("""COMPUTED_VALUE"""),"#16081")</f>
        <v>#16081</v>
      </c>
      <c r="C396" s="61" t="str">
        <f>IFERROR(__xludf.DUMMYFUNCTION("""COMPUTED_VALUE"""),"edna.zheng@icloud.com")</f>
        <v>edna.zheng@icloud.com</v>
      </c>
      <c r="D396" s="61">
        <f>IFERROR(__xludf.DUMMYFUNCTION("""COMPUTED_VALUE"""),9.293915011E9)</f>
        <v>9293915011</v>
      </c>
      <c r="E396" s="61" t="str">
        <f>IFERROR(__xludf.DUMMYFUNCTION("""COMPUTED_VALUE"""),"Edna Zheng")</f>
        <v>Edna Zheng</v>
      </c>
      <c r="F396" s="61"/>
      <c r="G396" s="61"/>
      <c r="H396" s="61" t="str">
        <f>IFERROR(__xludf.DUMMYFUNCTION("""COMPUTED_VALUE"""),"Storage Item Return")</f>
        <v>Storage Item Return</v>
      </c>
      <c r="I396" s="61" t="str">
        <f>IFERROR(__xludf.DUMMYFUNCTION("""COMPUTED_VALUE"""),"University Housing ")</f>
        <v>University Housing </v>
      </c>
      <c r="J396" s="107" t="str">
        <f>IFERROR(__xludf.DUMMYFUNCTION("""COMPUTED_VALUE"""),"09:00 AM to 11:00 AM   ")</f>
        <v>09:00 AM to 11:00 AM   </v>
      </c>
      <c r="K396" s="107">
        <f>IFERROR(__xludf.DUMMYFUNCTION("""COMPUTED_VALUE"""),45890.0)</f>
        <v>45890</v>
      </c>
      <c r="L396" s="61" t="str">
        <f>IFERROR(__xludf.DUMMYFUNCTION("""COMPUTED_VALUE"""),"Village House  ")</f>
        <v>Village House  </v>
      </c>
      <c r="M396" s="61" t="str">
        <f>IFERROR(__xludf.DUMMYFUNCTION("""COMPUTED_VALUE"""),"4102 - a")</f>
        <v>4102 - a</v>
      </c>
      <c r="N396" s="61"/>
      <c r="O396" s="61"/>
      <c r="P396" s="61" t="b">
        <f>COUNTIF('Delivered SIR'!A:A, E396) &gt; 0</f>
        <v>1</v>
      </c>
    </row>
    <row r="397">
      <c r="A397" s="102" t="str">
        <f>IFERROR(__xludf.DUMMYFUNCTION("""COMPUTED_VALUE"""),"https://utrucking.com/admin/orders/5929152905404")</f>
        <v>https://utrucking.com/admin/orders/5929152905404</v>
      </c>
      <c r="B397" s="65" t="str">
        <f>IFERROR(__xludf.DUMMYFUNCTION("""COMPUTED_VALUE"""),"#16087")</f>
        <v>#16087</v>
      </c>
      <c r="C397" s="65" t="str">
        <f>IFERROR(__xludf.DUMMYFUNCTION("""COMPUTED_VALUE"""),"gdogarcia14@gmail.com")</f>
        <v>gdogarcia14@gmail.com</v>
      </c>
      <c r="D397" s="65">
        <f>IFERROR(__xludf.DUMMYFUNCTION("""COMPUTED_VALUE"""),1.6107319348E10)</f>
        <v>16107319348</v>
      </c>
      <c r="E397" s="65" t="str">
        <f>IFERROR(__xludf.DUMMYFUNCTION("""COMPUTED_VALUE"""),"Gerardo Garcia Rodriguez")</f>
        <v>Gerardo Garcia Rodriguez</v>
      </c>
      <c r="F397" s="65"/>
      <c r="G397" s="65" t="str">
        <f>IFERROR(__xludf.DUMMYFUNCTION("""COMPUTED_VALUE"""),"805 Westgate Ave, Saint Louis, MO 63130")</f>
        <v>805 Westgate Ave, Saint Louis, MO 63130</v>
      </c>
      <c r="H397" s="65" t="str">
        <f>IFERROR(__xludf.DUMMYFUNCTION("""COMPUTED_VALUE"""),"Storage Item Return")</f>
        <v>Storage Item Return</v>
      </c>
      <c r="I397" s="65" t="str">
        <f>IFERROR(__xludf.DUMMYFUNCTION("""COMPUTED_VALUE"""),"Non-University Housing ")</f>
        <v>Non-University Housing </v>
      </c>
      <c r="J397" s="108" t="str">
        <f>IFERROR(__xludf.DUMMYFUNCTION("""COMPUTED_VALUE"""),"10:00 AM to 12:00 PM   ")</f>
        <v>10:00 AM to 12:00 PM   </v>
      </c>
      <c r="K397" s="108">
        <f>IFERROR(__xludf.DUMMYFUNCTION("""COMPUTED_VALUE"""),45891.0)</f>
        <v>45891</v>
      </c>
      <c r="L397" s="65"/>
      <c r="M397" s="65"/>
      <c r="N397" s="65" t="str">
        <f>IFERROR(__xludf.DUMMYFUNCTION("""COMPUTED_VALUE"""),"805 Westgate Ave, Saint Louis, MO 63130")</f>
        <v>805 Westgate Ave, Saint Louis, MO 63130</v>
      </c>
      <c r="O397" s="65"/>
      <c r="P397" s="65" t="b">
        <f>COUNTIF('Delivered SIR'!A:A, E397) &gt; 0</f>
        <v>0</v>
      </c>
    </row>
    <row r="398">
      <c r="A398" s="99" t="str">
        <f>IFERROR(__xludf.DUMMYFUNCTION("""COMPUTED_VALUE"""),"https://utrucking.com/admin/orders/5929229418684")</f>
        <v>https://utrucking.com/admin/orders/5929229418684</v>
      </c>
      <c r="B398" s="61" t="str">
        <f>IFERROR(__xludf.DUMMYFUNCTION("""COMPUTED_VALUE"""),"#16089")</f>
        <v>#16089</v>
      </c>
      <c r="C398" s="61" t="str">
        <f>IFERROR(__xludf.DUMMYFUNCTION("""COMPUTED_VALUE"""),"asherraboy@gmail.com")</f>
        <v>asherraboy@gmail.com</v>
      </c>
      <c r="D398" s="61">
        <f>IFERROR(__xludf.DUMMYFUNCTION("""COMPUTED_VALUE"""),7.183085618E9)</f>
        <v>7183085618</v>
      </c>
      <c r="E398" s="61" t="str">
        <f>IFERROR(__xludf.DUMMYFUNCTION("""COMPUTED_VALUE"""),"Asher Raboy")</f>
        <v>Asher Raboy</v>
      </c>
      <c r="F398" s="61"/>
      <c r="G398" s="61"/>
      <c r="H398" s="61" t="str">
        <f>IFERROR(__xludf.DUMMYFUNCTION("""COMPUTED_VALUE"""),"Storage Item Return")</f>
        <v>Storage Item Return</v>
      </c>
      <c r="I398" s="61" t="str">
        <f>IFERROR(__xludf.DUMMYFUNCTION("""COMPUTED_VALUE"""),"University Housing ")</f>
        <v>University Housing </v>
      </c>
      <c r="J398" s="107" t="str">
        <f>IFERROR(__xludf.DUMMYFUNCTION("""COMPUTED_VALUE"""),"09:00 AM to 11:00 AM   ")</f>
        <v>09:00 AM to 11:00 AM   </v>
      </c>
      <c r="K398" s="107">
        <f>IFERROR(__xludf.DUMMYFUNCTION("""COMPUTED_VALUE"""),45887.0)</f>
        <v>45887</v>
      </c>
      <c r="L398" s="61" t="str">
        <f>IFERROR(__xludf.DUMMYFUNCTION("""COMPUTED_VALUE"""),"House 22 (Beta Theta Pi)")</f>
        <v>House 22 (Beta Theta Pi)</v>
      </c>
      <c r="M398" s="61" t="str">
        <f>IFERROR(__xludf.DUMMYFUNCTION("""COMPUTED_VALUE"""),"2001")</f>
        <v>2001</v>
      </c>
      <c r="N398" s="61"/>
      <c r="O398" s="61"/>
      <c r="P398" s="61" t="b">
        <f>COUNTIF('Delivered SIR'!A:A, E398) &gt; 0</f>
        <v>1</v>
      </c>
    </row>
    <row r="399">
      <c r="A399" s="102" t="str">
        <f>IFERROR(__xludf.DUMMYFUNCTION("""COMPUTED_VALUE"""),"https://utrucking.com/admin/orders/5929322447036")</f>
        <v>https://utrucking.com/admin/orders/5929322447036</v>
      </c>
      <c r="B399" s="65" t="str">
        <f>IFERROR(__xludf.DUMMYFUNCTION("""COMPUTED_VALUE"""),"#16092")</f>
        <v>#16092</v>
      </c>
      <c r="C399" s="65" t="str">
        <f>IFERROR(__xludf.DUMMYFUNCTION("""COMPUTED_VALUE"""),"iris.z@wustl.edu")</f>
        <v>iris.z@wustl.edu</v>
      </c>
      <c r="D399" s="65">
        <f>IFERROR(__xludf.DUMMYFUNCTION("""COMPUTED_VALUE"""),3.14319707E9)</f>
        <v>3143197070</v>
      </c>
      <c r="E399" s="65" t="str">
        <f>IFERROR(__xludf.DUMMYFUNCTION("""COMPUTED_VALUE"""),"Ziwen Zhang")</f>
        <v>Ziwen Zhang</v>
      </c>
      <c r="F399" s="65"/>
      <c r="G399" s="65"/>
      <c r="H399" s="65" t="str">
        <f>IFERROR(__xludf.DUMMYFUNCTION("""COMPUTED_VALUE"""),"Storage Item Return")</f>
        <v>Storage Item Return</v>
      </c>
      <c r="I399" s="65" t="str">
        <f>IFERROR(__xludf.DUMMYFUNCTION("""COMPUTED_VALUE"""),"University Housing ")</f>
        <v>University Housing </v>
      </c>
      <c r="J399" s="108" t="str">
        <f>IFERROR(__xludf.DUMMYFUNCTION("""COMPUTED_VALUE"""),"12:00 PM to 02:00 PM   ")</f>
        <v>12:00 PM to 02:00 PM   </v>
      </c>
      <c r="K399" s="108">
        <f>IFERROR(__xludf.DUMMYFUNCTION("""COMPUTED_VALUE"""),45878.0)</f>
        <v>45878</v>
      </c>
      <c r="L399" s="65" t="str">
        <f>IFERROR(__xludf.DUMMYFUNCTION("""COMPUTED_VALUE"""),"Lopata  ")</f>
        <v>Lopata  </v>
      </c>
      <c r="M399" s="65" t="str">
        <f>IFERROR(__xludf.DUMMYFUNCTION("""COMPUTED_VALUE"""),"3061")</f>
        <v>3061</v>
      </c>
      <c r="N399" s="65"/>
      <c r="O399" s="65"/>
      <c r="P399" s="65" t="b">
        <f>COUNTIF('Delivered SIR'!A:A, E399) &gt; 0</f>
        <v>0</v>
      </c>
    </row>
    <row r="400">
      <c r="A400" s="99" t="str">
        <f>IFERROR(__xludf.DUMMYFUNCTION("""COMPUTED_VALUE"""),"https://utrucking.com/admin/orders/5929458270396")</f>
        <v>https://utrucking.com/admin/orders/5929458270396</v>
      </c>
      <c r="B400" s="61" t="str">
        <f>IFERROR(__xludf.DUMMYFUNCTION("""COMPUTED_VALUE"""),"#16093")</f>
        <v>#16093</v>
      </c>
      <c r="C400" s="61"/>
      <c r="D400" s="61">
        <f>IFERROR(__xludf.DUMMYFUNCTION("""COMPUTED_VALUE"""),8.087285613E9)</f>
        <v>8087285613</v>
      </c>
      <c r="E400" s="61" t="str">
        <f>IFERROR(__xludf.DUMMYFUNCTION("""COMPUTED_VALUE"""),"Yuet Mui Kong")</f>
        <v>Yuet Mui Kong</v>
      </c>
      <c r="F400" s="61"/>
      <c r="G400" s="61" t="str">
        <f>IFERROR(__xludf.DUMMYFUNCTION("""COMPUTED_VALUE"""),"726 Eastgate Avenue, Saint Louis, MO 63130")</f>
        <v>726 Eastgate Avenue, Saint Louis, MO 63130</v>
      </c>
      <c r="H400" s="61" t="str">
        <f>IFERROR(__xludf.DUMMYFUNCTION("""COMPUTED_VALUE"""),"Storage Item Return")</f>
        <v>Storage Item Return</v>
      </c>
      <c r="I400" s="61" t="str">
        <f>IFERROR(__xludf.DUMMYFUNCTION("""COMPUTED_VALUE"""),"Non-University Housing ")</f>
        <v>Non-University Housing </v>
      </c>
      <c r="J400" s="107" t="str">
        <f>IFERROR(__xludf.DUMMYFUNCTION("""COMPUTED_VALUE"""),"02:00 PM to 04:00 PM ")</f>
        <v>02:00 PM to 04:00 PM </v>
      </c>
      <c r="K400" s="107">
        <f>IFERROR(__xludf.DUMMYFUNCTION("""COMPUTED_VALUE"""),45887.0)</f>
        <v>45887</v>
      </c>
      <c r="L400" s="61"/>
      <c r="M400" s="61"/>
      <c r="N400" s="61" t="str">
        <f>IFERROR(__xludf.DUMMYFUNCTION("""COMPUTED_VALUE"""),"726 Eastgate Avenue, Saint Louis, MO 63130")</f>
        <v>726 Eastgate Avenue, Saint Louis, MO 63130</v>
      </c>
      <c r="O400" s="61"/>
      <c r="P400" s="61" t="b">
        <f>COUNTIF('Delivered SIR'!A:A, E400) &gt; 0</f>
        <v>0</v>
      </c>
    </row>
    <row r="401">
      <c r="A401" s="102" t="str">
        <f>IFERROR(__xludf.DUMMYFUNCTION("""COMPUTED_VALUE"""),"https://utrucking.com/admin/orders/5929684992188")</f>
        <v>https://utrucking.com/admin/orders/5929684992188</v>
      </c>
      <c r="B401" s="65" t="str">
        <f>IFERROR(__xludf.DUMMYFUNCTION("""COMPUTED_VALUE"""),"#16094")</f>
        <v>#16094</v>
      </c>
      <c r="C401" s="65"/>
      <c r="D401" s="65">
        <f>IFERROR(__xludf.DUMMYFUNCTION("""COMPUTED_VALUE"""),9.707613003E9)</f>
        <v>9707613003</v>
      </c>
      <c r="E401" s="65" t="str">
        <f>IFERROR(__xludf.DUMMYFUNCTION("""COMPUTED_VALUE"""),"Ruby Short")</f>
        <v>Ruby Short</v>
      </c>
      <c r="F401" s="65"/>
      <c r="G401" s="65"/>
      <c r="H401" s="65" t="str">
        <f>IFERROR(__xludf.DUMMYFUNCTION("""COMPUTED_VALUE"""),"Storage Item Return")</f>
        <v>Storage Item Return</v>
      </c>
      <c r="I401" s="65" t="str">
        <f>IFERROR(__xludf.DUMMYFUNCTION("""COMPUTED_VALUE"""),"University Housing ")</f>
        <v>University Housing </v>
      </c>
      <c r="J401" s="108" t="str">
        <f>IFERROR(__xludf.DUMMYFUNCTION("""COMPUTED_VALUE"""),"10:00 AM to 12:00 PM   ")</f>
        <v>10:00 AM to 12:00 PM   </v>
      </c>
      <c r="K401" s="108">
        <f>IFERROR(__xludf.DUMMYFUNCTION("""COMPUTED_VALUE"""),45891.0)</f>
        <v>45891</v>
      </c>
      <c r="L401" s="65" t="str">
        <f>IFERROR(__xludf.DUMMYFUNCTION("""COMPUTED_VALUE"""),"Shepley  ")</f>
        <v>Shepley  </v>
      </c>
      <c r="M401" s="65" t="str">
        <f>IFERROR(__xludf.DUMMYFUNCTION("""COMPUTED_VALUE"""),"3002-a")</f>
        <v>3002-a</v>
      </c>
      <c r="N401" s="65"/>
      <c r="O401" s="65"/>
      <c r="P401" s="65" t="b">
        <f>COUNTIF('Delivered SIR'!A:A, E401) &gt; 0</f>
        <v>1</v>
      </c>
    </row>
    <row r="402">
      <c r="A402" s="99" t="str">
        <f>IFERROR(__xludf.DUMMYFUNCTION("""COMPUTED_VALUE"""),"https://utrucking.com/admin/orders/5929736962236")</f>
        <v>https://utrucking.com/admin/orders/5929736962236</v>
      </c>
      <c r="B402" s="61" t="str">
        <f>IFERROR(__xludf.DUMMYFUNCTION("""COMPUTED_VALUE"""),"#16097")</f>
        <v>#16097</v>
      </c>
      <c r="C402" s="61" t="str">
        <f>IFERROR(__xludf.DUMMYFUNCTION("""COMPUTED_VALUE"""),"m.mariana2005@outlook.com")</f>
        <v>m.mariana2005@outlook.com</v>
      </c>
      <c r="D402" s="61">
        <f>IFERROR(__xludf.DUMMYFUNCTION("""COMPUTED_VALUE"""),2.163470634E9)</f>
        <v>2163470634</v>
      </c>
      <c r="E402" s="61" t="str">
        <f>IFERROR(__xludf.DUMMYFUNCTION("""COMPUTED_VALUE"""),"Yihan Ma")</f>
        <v>Yihan Ma</v>
      </c>
      <c r="F402" s="61"/>
      <c r="G402" s="61" t="str">
        <f>IFERROR(__xludf.DUMMYFUNCTION("""COMPUTED_VALUE"""),"224D GANEDAGO HALL, ITHACA NY 14853")</f>
        <v>224D GANEDAGO HALL, ITHACA NY 14853</v>
      </c>
      <c r="H402" s="61" t="str">
        <f>IFERROR(__xludf.DUMMYFUNCTION("""COMPUTED_VALUE"""),"Storage Item Return")</f>
        <v>Storage Item Return</v>
      </c>
      <c r="I402" s="61" t="str">
        <f>IFERROR(__xludf.DUMMYFUNCTION("""COMPUTED_VALUE"""),"Non-University Housing ")</f>
        <v>Non-University Housing </v>
      </c>
      <c r="J402" s="107" t="str">
        <f>IFERROR(__xludf.DUMMYFUNCTION("""COMPUTED_VALUE"""),"09:00 AM to 11:00 AM   ")</f>
        <v>09:00 AM to 11:00 AM   </v>
      </c>
      <c r="K402" s="107">
        <f>IFERROR(__xludf.DUMMYFUNCTION("""COMPUTED_VALUE"""),45881.0)</f>
        <v>45881</v>
      </c>
      <c r="L402" s="61"/>
      <c r="M402" s="61"/>
      <c r="N402" s="61" t="str">
        <f>IFERROR(__xludf.DUMMYFUNCTION("""COMPUTED_VALUE"""),"224D GANEDAGO HALL, ITHACA NY 14853")</f>
        <v>224D GANEDAGO HALL, ITHACA NY 14853</v>
      </c>
      <c r="O402" s="61"/>
      <c r="P402" s="61" t="b">
        <f>COUNTIF('Delivered SIR'!A:A, E402) &gt; 0</f>
        <v>0</v>
      </c>
    </row>
    <row r="403">
      <c r="A403" s="102" t="str">
        <f>IFERROR(__xludf.DUMMYFUNCTION("""COMPUTED_VALUE"""),"https://utrucking.com/admin/orders/5929770909884")</f>
        <v>https://utrucking.com/admin/orders/5929770909884</v>
      </c>
      <c r="B403" s="65" t="str">
        <f>IFERROR(__xludf.DUMMYFUNCTION("""COMPUTED_VALUE"""),"#16098")</f>
        <v>#16098</v>
      </c>
      <c r="C403" s="65" t="str">
        <f>IFERROR(__xludf.DUMMYFUNCTION("""COMPUTED_VALUE"""),"h.thun@wustl.edu")</f>
        <v>h.thun@wustl.edu</v>
      </c>
      <c r="D403" s="65">
        <f>IFERROR(__xludf.DUMMYFUNCTION("""COMPUTED_VALUE"""),3.10295778E9)</f>
        <v>3102957780</v>
      </c>
      <c r="E403" s="65" t="str">
        <f>IFERROR(__xludf.DUMMYFUNCTION("""COMPUTED_VALUE"""),"Jola Thun")</f>
        <v>Jola Thun</v>
      </c>
      <c r="F403" s="65"/>
      <c r="G403" s="65"/>
      <c r="H403" s="65" t="str">
        <f>IFERROR(__xludf.DUMMYFUNCTION("""COMPUTED_VALUE"""),"Storage Item Return")</f>
        <v>Storage Item Return</v>
      </c>
      <c r="I403" s="65" t="str">
        <f>IFERROR(__xludf.DUMMYFUNCTION("""COMPUTED_VALUE"""),"University Housing ")</f>
        <v>University Housing </v>
      </c>
      <c r="J403" s="108" t="str">
        <f>IFERROR(__xludf.DUMMYFUNCTION("""COMPUTED_VALUE"""),"09:00 AM to 11:00 AM   ")</f>
        <v>09:00 AM to 11:00 AM   </v>
      </c>
      <c r="K403" s="108">
        <f>IFERROR(__xludf.DUMMYFUNCTION("""COMPUTED_VALUE"""),45887.0)</f>
        <v>45887</v>
      </c>
      <c r="L403" s="65" t="str">
        <f>IFERROR(__xludf.DUMMYFUNCTION("""COMPUTED_VALUE"""),"House 8 (Tau Kappa Epsilon)  ")</f>
        <v>House 8 (Tau Kappa Epsilon)  </v>
      </c>
      <c r="M403" s="65" t="str">
        <f>IFERROR(__xludf.DUMMYFUNCTION("""COMPUTED_VALUE"""),"3052")</f>
        <v>3052</v>
      </c>
      <c r="N403" s="65"/>
      <c r="O403" s="65"/>
      <c r="P403" s="65" t="b">
        <f>COUNTIF('Delivered SIR'!A:A, E403) &gt; 0</f>
        <v>0</v>
      </c>
    </row>
    <row r="404">
      <c r="A404" s="99" t="str">
        <f>IFERROR(__xludf.DUMMYFUNCTION("""COMPUTED_VALUE"""),"https://utrucking.com/admin/orders/5929812492476")</f>
        <v>https://utrucking.com/admin/orders/5929812492476</v>
      </c>
      <c r="B404" s="61" t="str">
        <f>IFERROR(__xludf.DUMMYFUNCTION("""COMPUTED_VALUE"""),"#16101")</f>
        <v>#16101</v>
      </c>
      <c r="C404" s="61" t="str">
        <f>IFERROR(__xludf.DUMMYFUNCTION("""COMPUTED_VALUE"""),"raumac01@gmail.com")</f>
        <v>raumac01@gmail.com</v>
      </c>
      <c r="D404" s="61">
        <f>IFERROR(__xludf.DUMMYFUNCTION("""COMPUTED_VALUE"""),1.3013001073E10)</f>
        <v>13013001073</v>
      </c>
      <c r="E404" s="61" t="str">
        <f>IFERROR(__xludf.DUMMYFUNCTION("""COMPUTED_VALUE"""),"Mackenzie Raue")</f>
        <v>Mackenzie Raue</v>
      </c>
      <c r="F404" s="61"/>
      <c r="G404" s="61"/>
      <c r="H404" s="61" t="str">
        <f>IFERROR(__xludf.DUMMYFUNCTION("""COMPUTED_VALUE"""),"Storage Item Return")</f>
        <v>Storage Item Return</v>
      </c>
      <c r="I404" s="61" t="str">
        <f>IFERROR(__xludf.DUMMYFUNCTION("""COMPUTED_VALUE"""),"University Housing ")</f>
        <v>University Housing </v>
      </c>
      <c r="J404" s="107" t="str">
        <f>IFERROR(__xludf.DUMMYFUNCTION("""COMPUTED_VALUE"""),"09:00 AM to 11:00 AM   ")</f>
        <v>09:00 AM to 11:00 AM   </v>
      </c>
      <c r="K404" s="107">
        <f>IFERROR(__xludf.DUMMYFUNCTION("""COMPUTED_VALUE"""),45877.0)</f>
        <v>45877</v>
      </c>
      <c r="L404" s="61" t="str">
        <f>IFERROR(__xludf.DUMMYFUNCTION("""COMPUTED_VALUE"""),"Gregg  ")</f>
        <v>Gregg  </v>
      </c>
      <c r="M404" s="61" t="str">
        <f>IFERROR(__xludf.DUMMYFUNCTION("""COMPUTED_VALUE"""),"2080")</f>
        <v>2080</v>
      </c>
      <c r="N404" s="61"/>
      <c r="O404" s="61"/>
      <c r="P404" s="61" t="b">
        <f>COUNTIF('Delivered SIR'!A:A, E404) &gt; 0</f>
        <v>1</v>
      </c>
    </row>
    <row r="405">
      <c r="A405" s="102" t="str">
        <f>IFERROR(__xludf.DUMMYFUNCTION("""COMPUTED_VALUE"""),"https://utrucking.com/admin/orders/5929843032252")</f>
        <v>https://utrucking.com/admin/orders/5929843032252</v>
      </c>
      <c r="B405" s="65" t="str">
        <f>IFERROR(__xludf.DUMMYFUNCTION("""COMPUTED_VALUE"""),"#16103")</f>
        <v>#16103</v>
      </c>
      <c r="C405" s="65"/>
      <c r="D405" s="65">
        <f>IFERROR(__xludf.DUMMYFUNCTION("""COMPUTED_VALUE"""),5.103842689E9)</f>
        <v>5103842689</v>
      </c>
      <c r="E405" s="65" t="str">
        <f>IFERROR(__xludf.DUMMYFUNCTION("""COMPUTED_VALUE"""),"Carol Burton")</f>
        <v>Carol Burton</v>
      </c>
      <c r="F405" s="65"/>
      <c r="G405" s="65" t="str">
        <f>IFERROR(__xludf.DUMMYFUNCTION("""COMPUTED_VALUE"""),"6127 Waterman Boulevard, 3rd floor
st louis, MO 63112")</f>
        <v>6127 Waterman Boulevard, 3rd floor
st louis, MO 63112</v>
      </c>
      <c r="H405" s="65" t="str">
        <f>IFERROR(__xludf.DUMMYFUNCTION("""COMPUTED_VALUE"""),"Storage Item Return")</f>
        <v>Storage Item Return</v>
      </c>
      <c r="I405" s="65" t="str">
        <f>IFERROR(__xludf.DUMMYFUNCTION("""COMPUTED_VALUE"""),"Non-University Housing ")</f>
        <v>Non-University Housing </v>
      </c>
      <c r="J405" s="108" t="str">
        <f>IFERROR(__xludf.DUMMYFUNCTION("""COMPUTED_VALUE"""),"12:00 PM to 02:00 PM  ")</f>
        <v>12:00 PM to 02:00 PM  </v>
      </c>
      <c r="K405" s="108">
        <f>IFERROR(__xludf.DUMMYFUNCTION("""COMPUTED_VALUE"""),45891.0)</f>
        <v>45891</v>
      </c>
      <c r="L405" s="65"/>
      <c r="M405" s="65"/>
      <c r="N405" s="65" t="str">
        <f>IFERROR(__xludf.DUMMYFUNCTION("""COMPUTED_VALUE"""),"6127 Waterman Boulevard, 3rd floor
st louis, MO 63112")</f>
        <v>6127 Waterman Boulevard, 3rd floor
st louis, MO 63112</v>
      </c>
      <c r="O405" s="65"/>
      <c r="P405" s="65" t="b">
        <f>COUNTIF('Delivered SIR'!A:A, E405) &gt; 0</f>
        <v>0</v>
      </c>
    </row>
    <row r="406">
      <c r="A406" s="99" t="str">
        <f>IFERROR(__xludf.DUMMYFUNCTION("""COMPUTED_VALUE"""),"https://utrucking.com/admin/orders/5929847324860")</f>
        <v>https://utrucking.com/admin/orders/5929847324860</v>
      </c>
      <c r="B406" s="61" t="str">
        <f>IFERROR(__xludf.DUMMYFUNCTION("""COMPUTED_VALUE"""),"#16104")</f>
        <v>#16104</v>
      </c>
      <c r="C406" s="61" t="str">
        <f>IFERROR(__xludf.DUMMYFUNCTION("""COMPUTED_VALUE"""),"aben@wustl.edu")</f>
        <v>aben@wustl.edu</v>
      </c>
      <c r="D406" s="61">
        <f>IFERROR(__xludf.DUMMYFUNCTION("""COMPUTED_VALUE"""),9.176082186E9)</f>
        <v>9176082186</v>
      </c>
      <c r="E406" s="61" t="str">
        <f>IFERROR(__xludf.DUMMYFUNCTION("""COMPUTED_VALUE"""),"Benjamin Appelbaum")</f>
        <v>Benjamin Appelbaum</v>
      </c>
      <c r="F406" s="61"/>
      <c r="G406" s="61"/>
      <c r="H406" s="61" t="str">
        <f>IFERROR(__xludf.DUMMYFUNCTION("""COMPUTED_VALUE"""),"Storage Item Return")</f>
        <v>Storage Item Return</v>
      </c>
      <c r="I406" s="61" t="str">
        <f>IFERROR(__xludf.DUMMYFUNCTION("""COMPUTED_VALUE"""),"University Housing ")</f>
        <v>University Housing </v>
      </c>
      <c r="J406" s="107" t="str">
        <f>IFERROR(__xludf.DUMMYFUNCTION("""COMPUTED_VALUE"""),"09:00 AM to 11:00 AM  ")</f>
        <v>09:00 AM to 11:00 AM  </v>
      </c>
      <c r="K406" s="107">
        <f>IFERROR(__xludf.DUMMYFUNCTION("""COMPUTED_VALUE"""),45887.0)</f>
        <v>45887</v>
      </c>
      <c r="L406" s="61" t="str">
        <f>IFERROR(__xludf.DUMMYFUNCTION("""COMPUTED_VALUE"""),"Millbrook Bldg. 4  ")</f>
        <v>Millbrook Bldg. 4  </v>
      </c>
      <c r="M406" s="61" t="str">
        <f>IFERROR(__xludf.DUMMYFUNCTION("""COMPUTED_VALUE"""),"202 D")</f>
        <v>202 D</v>
      </c>
      <c r="N406" s="61"/>
      <c r="O406" s="61"/>
      <c r="P406" s="61" t="b">
        <f>COUNTIF('Delivered SIR'!A:A, E406) &gt; 0</f>
        <v>0</v>
      </c>
    </row>
    <row r="407">
      <c r="A407" s="102" t="str">
        <f>IFERROR(__xludf.DUMMYFUNCTION("""COMPUTED_VALUE"""),"https://utrucking.com/admin/orders/5929875177660")</f>
        <v>https://utrucking.com/admin/orders/5929875177660</v>
      </c>
      <c r="B407" s="65" t="str">
        <f>IFERROR(__xludf.DUMMYFUNCTION("""COMPUTED_VALUE"""),"#16105")</f>
        <v>#16105</v>
      </c>
      <c r="C407" s="65"/>
      <c r="D407" s="65">
        <f>IFERROR(__xludf.DUMMYFUNCTION("""COMPUTED_VALUE"""),7.73317501E9)</f>
        <v>7733175010</v>
      </c>
      <c r="E407" s="65" t="str">
        <f>IFERROR(__xludf.DUMMYFUNCTION("""COMPUTED_VALUE"""),"Stella Ohazurume")</f>
        <v>Stella Ohazurume</v>
      </c>
      <c r="F407" s="65"/>
      <c r="G407" s="65" t="str">
        <f>IFERROR(__xludf.DUMMYFUNCTION("""COMPUTED_VALUE"""),"726 Eastgate Avenue, 2nd
Floor, Saint Louis, MO 63130")</f>
        <v>726 Eastgate Avenue, 2nd
Floor, Saint Louis, MO 63130</v>
      </c>
      <c r="H407" s="65" t="str">
        <f>IFERROR(__xludf.DUMMYFUNCTION("""COMPUTED_VALUE"""),"Storage Item Return")</f>
        <v>Storage Item Return</v>
      </c>
      <c r="I407" s="65" t="str">
        <f>IFERROR(__xludf.DUMMYFUNCTION("""COMPUTED_VALUE"""),"Non-University Housing ")</f>
        <v>Non-University Housing </v>
      </c>
      <c r="J407" s="108" t="str">
        <f>IFERROR(__xludf.DUMMYFUNCTION("""COMPUTED_VALUE"""),"12:00 PM to 02:00 PM  ")</f>
        <v>12:00 PM to 02:00 PM  </v>
      </c>
      <c r="K407" s="108">
        <f>IFERROR(__xludf.DUMMYFUNCTION("""COMPUTED_VALUE"""),45892.0)</f>
        <v>45892</v>
      </c>
      <c r="L407" s="65"/>
      <c r="M407" s="65"/>
      <c r="N407" s="65" t="str">
        <f>IFERROR(__xludf.DUMMYFUNCTION("""COMPUTED_VALUE"""),"726 Eastgate Avenue, 2nd
Floor, Saint Louis, MO 63130")</f>
        <v>726 Eastgate Avenue, 2nd
Floor, Saint Louis, MO 63130</v>
      </c>
      <c r="O407" s="65"/>
      <c r="P407" s="65" t="b">
        <f>COUNTIF('Delivered SIR'!A:A, E407) &gt; 0</f>
        <v>0</v>
      </c>
    </row>
    <row r="408">
      <c r="A408" s="99" t="str">
        <f>IFERROR(__xludf.DUMMYFUNCTION("""COMPUTED_VALUE"""),"https://utrucking.com/admin/orders/5929907880124")</f>
        <v>https://utrucking.com/admin/orders/5929907880124</v>
      </c>
      <c r="B408" s="61" t="str">
        <f>IFERROR(__xludf.DUMMYFUNCTION("""COMPUTED_VALUE"""),"#16107")</f>
        <v>#16107</v>
      </c>
      <c r="C408" s="61" t="str">
        <f>IFERROR(__xludf.DUMMYFUNCTION("""COMPUTED_VALUE"""),"deannaskiles@yahoo.com")</f>
        <v>deannaskiles@yahoo.com</v>
      </c>
      <c r="D408" s="61"/>
      <c r="E408" s="61" t="str">
        <f>IFERROR(__xludf.DUMMYFUNCTION("""COMPUTED_VALUE"""),"seth skiles")</f>
        <v>seth skiles</v>
      </c>
      <c r="F408" s="61" t="str">
        <f>IFERROR(__xludf.DUMMYFUNCTION("""COMPUTED_VALUE"""),"Seth Skiles")</f>
        <v>Seth Skiles</v>
      </c>
      <c r="G408" s="61"/>
      <c r="H408" s="61" t="str">
        <f>IFERROR(__xludf.DUMMYFUNCTION("""COMPUTED_VALUE"""),"Storage Item Return")</f>
        <v>Storage Item Return</v>
      </c>
      <c r="I408" s="61" t="str">
        <f>IFERROR(__xludf.DUMMYFUNCTION("""COMPUTED_VALUE"""),"University Housing ")</f>
        <v>University Housing </v>
      </c>
      <c r="J408" s="107" t="str">
        <f>IFERROR(__xludf.DUMMYFUNCTION("""COMPUTED_VALUE"""),"09:00 AM to 11:00 AM  ")</f>
        <v>09:00 AM to 11:00 AM  </v>
      </c>
      <c r="K408" s="107">
        <f>IFERROR(__xludf.DUMMYFUNCTION("""COMPUTED_VALUE"""),45887.0)</f>
        <v>45887</v>
      </c>
      <c r="L408" s="61" t="str">
        <f>IFERROR(__xludf.DUMMYFUNCTION("""COMPUTED_VALUE"""),"Millbrook Bldg. 4  ")</f>
        <v>Millbrook Bldg. 4  </v>
      </c>
      <c r="M408" s="61" t="str">
        <f>IFERROR(__xludf.DUMMYFUNCTION("""COMPUTED_VALUE"""),"303A-a")</f>
        <v>303A-a</v>
      </c>
      <c r="N408" s="61"/>
      <c r="O408" s="61"/>
      <c r="P408" s="61" t="b">
        <f>COUNTIF('Delivered SIR'!A:A, E408) &gt; 0</f>
        <v>1</v>
      </c>
    </row>
    <row r="409">
      <c r="A409" s="102" t="str">
        <f>IFERROR(__xludf.DUMMYFUNCTION("""COMPUTED_VALUE"""),"https://utrucking.com/admin/orders/5930162094268")</f>
        <v>https://utrucking.com/admin/orders/5930162094268</v>
      </c>
      <c r="B409" s="65" t="str">
        <f>IFERROR(__xludf.DUMMYFUNCTION("""COMPUTED_VALUE"""),"#16108")</f>
        <v>#16108</v>
      </c>
      <c r="C409" s="65" t="str">
        <f>IFERROR(__xludf.DUMMYFUNCTION("""COMPUTED_VALUE"""),"e.a.himmelstein@wustl.edu")</f>
        <v>e.a.himmelstein@wustl.edu</v>
      </c>
      <c r="D409" s="65">
        <f>IFERROR(__xludf.DUMMYFUNCTION("""COMPUTED_VALUE"""),8.16651684E9)</f>
        <v>8166516840</v>
      </c>
      <c r="E409" s="65" t="str">
        <f>IFERROR(__xludf.DUMMYFUNCTION("""COMPUTED_VALUE"""),"Emily Himmelstein")</f>
        <v>Emily Himmelstein</v>
      </c>
      <c r="F409" s="65" t="str">
        <f>IFERROR(__xludf.DUMMYFUNCTION("""COMPUTED_VALUE"""),"Emily Himmelstein")</f>
        <v>Emily Himmelstein</v>
      </c>
      <c r="G409" s="65"/>
      <c r="H409" s="65" t="str">
        <f>IFERROR(__xludf.DUMMYFUNCTION("""COMPUTED_VALUE"""),"Storage Item Return")</f>
        <v>Storage Item Return</v>
      </c>
      <c r="I409" s="65" t="str">
        <f>IFERROR(__xludf.DUMMYFUNCTION("""COMPUTED_VALUE"""),"University Housing ")</f>
        <v>University Housing </v>
      </c>
      <c r="J409" s="108" t="str">
        <f>IFERROR(__xludf.DUMMYFUNCTION("""COMPUTED_VALUE"""),"01:00 PM to 03:00 PM  ")</f>
        <v>01:00 PM to 03:00 PM  </v>
      </c>
      <c r="K409" s="108">
        <f>IFERROR(__xludf.DUMMYFUNCTION("""COMPUTED_VALUE"""),45890.0)</f>
        <v>45890</v>
      </c>
      <c r="L409" s="65" t="str">
        <f>IFERROR(__xludf.DUMMYFUNCTION("""COMPUTED_VALUE"""),"Lopata  ")</f>
        <v>Lopata  </v>
      </c>
      <c r="M409" s="65" t="str">
        <f>IFERROR(__xludf.DUMMYFUNCTION("""COMPUTED_VALUE"""),"2021")</f>
        <v>2021</v>
      </c>
      <c r="N409" s="65"/>
      <c r="O409" s="65"/>
      <c r="P409" s="65" t="b">
        <f>COUNTIF('Delivered SIR'!A:A, E409) &gt; 0</f>
        <v>1</v>
      </c>
    </row>
    <row r="410">
      <c r="A410" s="99" t="str">
        <f>IFERROR(__xludf.DUMMYFUNCTION("""COMPUTED_VALUE"""),"https://utrucking.com/admin/orders/5930439868604")</f>
        <v>https://utrucking.com/admin/orders/5930439868604</v>
      </c>
      <c r="B410" s="61" t="str">
        <f>IFERROR(__xludf.DUMMYFUNCTION("""COMPUTED_VALUE"""),"#16109")</f>
        <v>#16109</v>
      </c>
      <c r="C410" s="61" t="str">
        <f>IFERROR(__xludf.DUMMYFUNCTION("""COMPUTED_VALUE"""),"b.miriam@wustl.edu")</f>
        <v>b.miriam@wustl.edu</v>
      </c>
      <c r="D410" s="61"/>
      <c r="E410" s="61" t="str">
        <f>IFERROR(__xludf.DUMMYFUNCTION("""COMPUTED_VALUE"""),"Miriam Bash")</f>
        <v>Miriam Bash</v>
      </c>
      <c r="F410" s="61" t="str">
        <f>IFERROR(__xludf.DUMMYFUNCTION("""COMPUTED_VALUE"""),"Miriam Bash")</f>
        <v>Miriam Bash</v>
      </c>
      <c r="G410" s="61"/>
      <c r="H410" s="61" t="str">
        <f>IFERROR(__xludf.DUMMYFUNCTION("""COMPUTED_VALUE"""),"Storage Item Return")</f>
        <v>Storage Item Return</v>
      </c>
      <c r="I410" s="61" t="str">
        <f>IFERROR(__xludf.DUMMYFUNCTION("""COMPUTED_VALUE"""),"University Housing ")</f>
        <v>University Housing </v>
      </c>
      <c r="J410" s="107" t="str">
        <f>IFERROR(__xludf.DUMMYFUNCTION("""COMPUTED_VALUE"""),"09:00 AM to 11:00 AM  ")</f>
        <v>09:00 AM to 11:00 AM  </v>
      </c>
      <c r="K410" s="107">
        <f>IFERROR(__xludf.DUMMYFUNCTION("""COMPUTED_VALUE"""),45887.0)</f>
        <v>45887</v>
      </c>
      <c r="L410" s="61" t="str">
        <f>IFERROR(__xludf.DUMMYFUNCTION("""COMPUTED_VALUE"""),"Millbrook Bldg. 1  ")</f>
        <v>Millbrook Bldg. 1  </v>
      </c>
      <c r="M410" s="61" t="str">
        <f>IFERROR(__xludf.DUMMYFUNCTION("""COMPUTED_VALUE"""),"208A-a")</f>
        <v>208A-a</v>
      </c>
      <c r="N410" s="61"/>
      <c r="O410" s="61"/>
      <c r="P410" s="61" t="b">
        <f>COUNTIF('Delivered SIR'!A:A, E410) &gt; 0</f>
        <v>0</v>
      </c>
    </row>
    <row r="411">
      <c r="A411" s="102" t="str">
        <f>IFERROR(__xludf.DUMMYFUNCTION("""COMPUTED_VALUE"""),"https://utrucking.com/admin/orders/5930540400828")</f>
        <v>https://utrucking.com/admin/orders/5930540400828</v>
      </c>
      <c r="B411" s="65" t="str">
        <f>IFERROR(__xludf.DUMMYFUNCTION("""COMPUTED_VALUE"""),"#16111")</f>
        <v>#16111</v>
      </c>
      <c r="C411" s="65"/>
      <c r="D411" s="65"/>
      <c r="E411" s="65" t="str">
        <f>IFERROR(__xludf.DUMMYFUNCTION("""COMPUTED_VALUE"""),"Elizabeth Zheng")</f>
        <v>Elizabeth Zheng</v>
      </c>
      <c r="F411" s="65" t="str">
        <f>IFERROR(__xludf.DUMMYFUNCTION("""COMPUTED_VALUE"""),"Elizabeth Zheng")</f>
        <v>Elizabeth Zheng</v>
      </c>
      <c r="G411" s="65"/>
      <c r="H411" s="65" t="str">
        <f>IFERROR(__xludf.DUMMYFUNCTION("""COMPUTED_VALUE"""),"Storage Item Return")</f>
        <v>Storage Item Return</v>
      </c>
      <c r="I411" s="65" t="str">
        <f>IFERROR(__xludf.DUMMYFUNCTION("""COMPUTED_VALUE"""),"University Housing ")</f>
        <v>University Housing </v>
      </c>
      <c r="J411" s="108" t="str">
        <f>IFERROR(__xludf.DUMMYFUNCTION("""COMPUTED_VALUE"""),"09:00 AM to 11:00 AM  ")</f>
        <v>09:00 AM to 11:00 AM  </v>
      </c>
      <c r="K411" s="108">
        <f>IFERROR(__xludf.DUMMYFUNCTION("""COMPUTED_VALUE"""),45888.0)</f>
        <v>45888</v>
      </c>
      <c r="L411" s="65" t="str">
        <f>IFERROR(__xludf.DUMMYFUNCTION("""COMPUTED_VALUE"""),"Eliot B  ")</f>
        <v>Eliot B  </v>
      </c>
      <c r="M411" s="65" t="str">
        <f>IFERROR(__xludf.DUMMYFUNCTION("""COMPUTED_VALUE"""),"3003 ")</f>
        <v>3003 </v>
      </c>
      <c r="N411" s="65"/>
      <c r="O411" s="65"/>
      <c r="P411" s="65" t="b">
        <f>COUNTIF('Delivered SIR'!A:A, E411) &gt; 0</f>
        <v>1</v>
      </c>
    </row>
    <row r="412">
      <c r="A412" s="99" t="str">
        <f>IFERROR(__xludf.DUMMYFUNCTION("""COMPUTED_VALUE"""),"https://utrucking.com/admin/orders/5930720231612")</f>
        <v>https://utrucking.com/admin/orders/5930720231612</v>
      </c>
      <c r="B412" s="61" t="str">
        <f>IFERROR(__xludf.DUMMYFUNCTION("""COMPUTED_VALUE"""),"#16113")</f>
        <v>#16113</v>
      </c>
      <c r="C412" s="61" t="str">
        <f>IFERROR(__xludf.DUMMYFUNCTION("""COMPUTED_VALUE"""),"alrightkid54@yahoo.com")</f>
        <v>alrightkid54@yahoo.com</v>
      </c>
      <c r="D412" s="61">
        <f>IFERROR(__xludf.DUMMYFUNCTION("""COMPUTED_VALUE"""),2.194480879E9)</f>
        <v>2194480879</v>
      </c>
      <c r="E412" s="61" t="str">
        <f>IFERROR(__xludf.DUMMYFUNCTION("""COMPUTED_VALUE"""),"Larry Young")</f>
        <v>Larry Young</v>
      </c>
      <c r="F412" s="61" t="str">
        <f>IFERROR(__xludf.DUMMYFUNCTION("""COMPUTED_VALUE"""),"Yasmir Young")</f>
        <v>Yasmir Young</v>
      </c>
      <c r="G412" s="61"/>
      <c r="H412" s="61" t="str">
        <f>IFERROR(__xludf.DUMMYFUNCTION("""COMPUTED_VALUE"""),"Storage Item Return")</f>
        <v>Storage Item Return</v>
      </c>
      <c r="I412" s="61" t="str">
        <f>IFERROR(__xludf.DUMMYFUNCTION("""COMPUTED_VALUE"""),"University Housing ")</f>
        <v>University Housing </v>
      </c>
      <c r="J412" s="107" t="str">
        <f>IFERROR(__xludf.DUMMYFUNCTION("""COMPUTED_VALUE"""),"11:00 AM to 01:00 PM  ")</f>
        <v>11:00 AM to 01:00 PM  </v>
      </c>
      <c r="K412" s="107">
        <f>IFERROR(__xludf.DUMMYFUNCTION("""COMPUTED_VALUE"""),45888.0)</f>
        <v>45888</v>
      </c>
      <c r="L412" s="61" t="str">
        <f>IFERROR(__xludf.DUMMYFUNCTION("""COMPUTED_VALUE"""),"Greenway Apartments  ")</f>
        <v>Greenway Apartments  </v>
      </c>
      <c r="M412" s="61" t="str">
        <f>IFERROR(__xludf.DUMMYFUNCTION("""COMPUTED_VALUE"""),"304 A")</f>
        <v>304 A</v>
      </c>
      <c r="N412" s="61"/>
      <c r="O412" s="61"/>
      <c r="P412" s="61" t="b">
        <f>COUNTIF('Delivered SIR'!A:A, E412) &gt; 0</f>
        <v>0</v>
      </c>
    </row>
    <row r="413">
      <c r="A413" s="102" t="str">
        <f>IFERROR(__xludf.DUMMYFUNCTION("""COMPUTED_VALUE"""),"https://utrucking.com/admin/orders/5930847273148")</f>
        <v>https://utrucking.com/admin/orders/5930847273148</v>
      </c>
      <c r="B413" s="65" t="str">
        <f>IFERROR(__xludf.DUMMYFUNCTION("""COMPUTED_VALUE"""),"#16114")</f>
        <v>#16114</v>
      </c>
      <c r="C413" s="65" t="str">
        <f>IFERROR(__xludf.DUMMYFUNCTION("""COMPUTED_VALUE"""),"e.d.froehlich@wustl.edu")</f>
        <v>e.d.froehlich@wustl.edu</v>
      </c>
      <c r="D413" s="65">
        <f>IFERROR(__xludf.DUMMYFUNCTION("""COMPUTED_VALUE"""),9.177150051E9)</f>
        <v>9177150051</v>
      </c>
      <c r="E413" s="65" t="str">
        <f>IFERROR(__xludf.DUMMYFUNCTION("""COMPUTED_VALUE"""),"Amy Froehlich")</f>
        <v>Amy Froehlich</v>
      </c>
      <c r="F413" s="65"/>
      <c r="G413" s="65"/>
      <c r="H413" s="65" t="str">
        <f>IFERROR(__xludf.DUMMYFUNCTION("""COMPUTED_VALUE"""),"Storage Item Return")</f>
        <v>Storage Item Return</v>
      </c>
      <c r="I413" s="65" t="str">
        <f>IFERROR(__xludf.DUMMYFUNCTION("""COMPUTED_VALUE"""),"University Housing ")</f>
        <v>University Housing </v>
      </c>
      <c r="J413" s="108" t="str">
        <f>IFERROR(__xludf.DUMMYFUNCTION("""COMPUTED_VALUE"""),"09:00 AM to 11:00 AM  ")</f>
        <v>09:00 AM to 11:00 AM  </v>
      </c>
      <c r="K413" s="108">
        <f>IFERROR(__xludf.DUMMYFUNCTION("""COMPUTED_VALUE"""),45889.0)</f>
        <v>45889</v>
      </c>
      <c r="L413" s="65" t="str">
        <f>IFERROR(__xludf.DUMMYFUNCTION("""COMPUTED_VALUE"""),"Mudd  ")</f>
        <v>Mudd  </v>
      </c>
      <c r="M413" s="65" t="str">
        <f>IFERROR(__xludf.DUMMYFUNCTION("""COMPUTED_VALUE"""),"252")</f>
        <v>252</v>
      </c>
      <c r="N413" s="65"/>
      <c r="O413" s="65"/>
      <c r="P413" s="65" t="b">
        <f>COUNTIF('Delivered SIR'!A:A, E413) &gt; 0</f>
        <v>0</v>
      </c>
    </row>
    <row r="414">
      <c r="A414" s="99" t="str">
        <f>IFERROR(__xludf.DUMMYFUNCTION("""COMPUTED_VALUE"""),"https://utrucking.com/admin/orders/5930949607612")</f>
        <v>https://utrucking.com/admin/orders/5930949607612</v>
      </c>
      <c r="B414" s="61" t="str">
        <f>IFERROR(__xludf.DUMMYFUNCTION("""COMPUTED_VALUE"""),"#16116")</f>
        <v>#16116</v>
      </c>
      <c r="C414" s="61" t="str">
        <f>IFERROR(__xludf.DUMMYFUNCTION("""COMPUTED_VALUE"""),"e.georgia@wustl.edu")</f>
        <v>e.georgia@wustl.edu</v>
      </c>
      <c r="D414" s="61">
        <f>IFERROR(__xludf.DUMMYFUNCTION("""COMPUTED_VALUE"""),4.43714935E9)</f>
        <v>4437149350</v>
      </c>
      <c r="E414" s="61" t="str">
        <f>IFERROR(__xludf.DUMMYFUNCTION("""COMPUTED_VALUE"""),"Georgia Elis")</f>
        <v>Georgia Elis</v>
      </c>
      <c r="F414" s="61" t="str">
        <f>IFERROR(__xludf.DUMMYFUNCTION("""COMPUTED_VALUE"""),"Georgia Elis")</f>
        <v>Georgia Elis</v>
      </c>
      <c r="G414" s="61" t="str">
        <f>IFERROR(__xludf.DUMMYFUNCTION("""COMPUTED_VALUE"""),"6633 Kingsbury Blvd 3E")</f>
        <v>6633 Kingsbury Blvd 3E</v>
      </c>
      <c r="H414" s="61" t="str">
        <f>IFERROR(__xludf.DUMMYFUNCTION("""COMPUTED_VALUE"""),"Storage Item Return")</f>
        <v>Storage Item Return</v>
      </c>
      <c r="I414" s="61" t="str">
        <f>IFERROR(__xludf.DUMMYFUNCTION("""COMPUTED_VALUE"""),"Non-University Housing ")</f>
        <v>Non-University Housing </v>
      </c>
      <c r="J414" s="107" t="str">
        <f>IFERROR(__xludf.DUMMYFUNCTION("""COMPUTED_VALUE"""),"11:00 AM to 01:00 PM  ")</f>
        <v>11:00 AM to 01:00 PM  </v>
      </c>
      <c r="K414" s="107">
        <f>IFERROR(__xludf.DUMMYFUNCTION("""COMPUTED_VALUE"""),45878.0)</f>
        <v>45878</v>
      </c>
      <c r="L414" s="61"/>
      <c r="M414" s="61"/>
      <c r="N414" s="61" t="str">
        <f>IFERROR(__xludf.DUMMYFUNCTION("""COMPUTED_VALUE"""),"6633 Kingsbury Blvd 3E")</f>
        <v>6633 Kingsbury Blvd 3E</v>
      </c>
      <c r="O414" s="61"/>
      <c r="P414" s="61" t="b">
        <f>COUNTIF('Delivered SIR'!A:A, E414) &gt; 0</f>
        <v>0</v>
      </c>
    </row>
    <row r="415">
      <c r="A415" s="102" t="str">
        <f>IFERROR(__xludf.DUMMYFUNCTION("""COMPUTED_VALUE"""),"https://utrucking.com/admin/orders/5931101978812")</f>
        <v>https://utrucking.com/admin/orders/5931101978812</v>
      </c>
      <c r="B415" s="65" t="str">
        <f>IFERROR(__xludf.DUMMYFUNCTION("""COMPUTED_VALUE"""),"#16118")</f>
        <v>#16118</v>
      </c>
      <c r="C415" s="65" t="str">
        <f>IFERROR(__xludf.DUMMYFUNCTION("""COMPUTED_VALUE"""),"nartey.n120@gmail.com")</f>
        <v>nartey.n120@gmail.com</v>
      </c>
      <c r="D415" s="65">
        <f>IFERROR(__xludf.DUMMYFUNCTION("""COMPUTED_VALUE"""),7.038697756E9)</f>
        <v>7038697756</v>
      </c>
      <c r="E415" s="65" t="str">
        <f>IFERROR(__xludf.DUMMYFUNCTION("""COMPUTED_VALUE"""),"Nicole Nartey")</f>
        <v>Nicole Nartey</v>
      </c>
      <c r="F415" s="65"/>
      <c r="G415" s="65" t="str">
        <f>IFERROR(__xludf.DUMMYFUNCTION("""COMPUTED_VALUE"""),"6317 Southwood Ave, Apt 2W, Clayton, Missouri 63105")</f>
        <v>6317 Southwood Ave, Apt 2W, Clayton, Missouri 63105</v>
      </c>
      <c r="H415" s="65" t="str">
        <f>IFERROR(__xludf.DUMMYFUNCTION("""COMPUTED_VALUE"""),"Storage Item Return")</f>
        <v>Storage Item Return</v>
      </c>
      <c r="I415" s="65" t="str">
        <f>IFERROR(__xludf.DUMMYFUNCTION("""COMPUTED_VALUE"""),"Non-University Housing ")</f>
        <v>Non-University Housing </v>
      </c>
      <c r="J415" s="108" t="str">
        <f>IFERROR(__xludf.DUMMYFUNCTION("""COMPUTED_VALUE"""),"09:00 AM to 11:00 AM  ")</f>
        <v>09:00 AM to 11:00 AM  </v>
      </c>
      <c r="K415" s="108">
        <f>IFERROR(__xludf.DUMMYFUNCTION("""COMPUTED_VALUE"""),45881.0)</f>
        <v>45881</v>
      </c>
      <c r="L415" s="65"/>
      <c r="M415" s="65"/>
      <c r="N415" s="65" t="str">
        <f>IFERROR(__xludf.DUMMYFUNCTION("""COMPUTED_VALUE"""),"6317 Southwood Ave, Apt 2W, Clayton, Missouri 63105")</f>
        <v>6317 Southwood Ave, Apt 2W, Clayton, Missouri 63105</v>
      </c>
      <c r="O415" s="65"/>
      <c r="P415" s="65" t="b">
        <f>COUNTIF('Delivered SIR'!A:A, E415) &gt; 0</f>
        <v>0</v>
      </c>
    </row>
    <row r="416">
      <c r="A416" s="99" t="str">
        <f>IFERROR(__xludf.DUMMYFUNCTION("""COMPUTED_VALUE"""),"https://utrucking.com/admin/orders/5931584422076")</f>
        <v>https://utrucking.com/admin/orders/5931584422076</v>
      </c>
      <c r="B416" s="61" t="str">
        <f>IFERROR(__xludf.DUMMYFUNCTION("""COMPUTED_VALUE"""),"#16121")</f>
        <v>#16121</v>
      </c>
      <c r="C416" s="61" t="str">
        <f>IFERROR(__xludf.DUMMYFUNCTION("""COMPUTED_VALUE"""),"allen.r.g@wustl.edu")</f>
        <v>allen.r.g@wustl.edu</v>
      </c>
      <c r="D416" s="61">
        <f>IFERROR(__xludf.DUMMYFUNCTION("""COMPUTED_VALUE"""),8.323714682E9)</f>
        <v>8323714682</v>
      </c>
      <c r="E416" s="61" t="str">
        <f>IFERROR(__xludf.DUMMYFUNCTION("""COMPUTED_VALUE"""),"Ryan Allen")</f>
        <v>Ryan Allen</v>
      </c>
      <c r="F416" s="61" t="str">
        <f>IFERROR(__xludf.DUMMYFUNCTION("""COMPUTED_VALUE"""),"Ryan Allen")</f>
        <v>Ryan Allen</v>
      </c>
      <c r="G416" s="61" t="str">
        <f>IFERROR(__xludf.DUMMYFUNCTION("""COMPUTED_VALUE"""),"715 Limit Ave #2S
University City, MO
63130")</f>
        <v>715 Limit Ave #2S
University City, MO
63130</v>
      </c>
      <c r="H416" s="61" t="str">
        <f>IFERROR(__xludf.DUMMYFUNCTION("""COMPUTED_VALUE"""),"Storage Item Return")</f>
        <v>Storage Item Return</v>
      </c>
      <c r="I416" s="61" t="str">
        <f>IFERROR(__xludf.DUMMYFUNCTION("""COMPUTED_VALUE"""),"Non-University Housing ")</f>
        <v>Non-University Housing </v>
      </c>
      <c r="J416" s="107" t="str">
        <f>IFERROR(__xludf.DUMMYFUNCTION("""COMPUTED_VALUE"""),"10:00 AM to 12:00 PM  ")</f>
        <v>10:00 AM to 12:00 PM  </v>
      </c>
      <c r="K416" s="107">
        <f>IFERROR(__xludf.DUMMYFUNCTION("""COMPUTED_VALUE"""),45887.0)</f>
        <v>45887</v>
      </c>
      <c r="L416" s="61"/>
      <c r="M416" s="61"/>
      <c r="N416" s="61" t="str">
        <f>IFERROR(__xludf.DUMMYFUNCTION("""COMPUTED_VALUE"""),"715 Limit Ave #2S
University City, MO
63130")</f>
        <v>715 Limit Ave #2S
University City, MO
63130</v>
      </c>
      <c r="O416" s="61"/>
      <c r="P416" s="61" t="b">
        <f>COUNTIF('Delivered SIR'!A:A, E416) &gt; 0</f>
        <v>0</v>
      </c>
    </row>
    <row r="417">
      <c r="A417" s="102" t="str">
        <f>IFERROR(__xludf.DUMMYFUNCTION("""COMPUTED_VALUE"""),"https://utrucking.com/admin/orders/5931724341436")</f>
        <v>https://utrucking.com/admin/orders/5931724341436</v>
      </c>
      <c r="B417" s="65" t="str">
        <f>IFERROR(__xludf.DUMMYFUNCTION("""COMPUTED_VALUE"""),"#16125")</f>
        <v>#16125</v>
      </c>
      <c r="C417" s="65" t="str">
        <f>IFERROR(__xludf.DUMMYFUNCTION("""COMPUTED_VALUE"""),"calvin.chao17@gmail.com")</f>
        <v>calvin.chao17@gmail.com</v>
      </c>
      <c r="D417" s="65">
        <f>IFERROR(__xludf.DUMMYFUNCTION("""COMPUTED_VALUE"""),8.12803899E9)</f>
        <v>8128038990</v>
      </c>
      <c r="E417" s="65" t="str">
        <f>IFERROR(__xludf.DUMMYFUNCTION("""COMPUTED_VALUE"""),"Tzu-Hsun Chao")</f>
        <v>Tzu-Hsun Chao</v>
      </c>
      <c r="F417" s="65" t="str">
        <f>IFERROR(__xludf.DUMMYFUNCTION("""COMPUTED_VALUE"""),"Calvin Chao")</f>
        <v>Calvin Chao</v>
      </c>
      <c r="G417" s="65" t="str">
        <f>IFERROR(__xludf.DUMMYFUNCTION("""COMPUTED_VALUE"""),"100 N Kingshighway Blvd, #3009
St Louis, Mo 63108")</f>
        <v>100 N Kingshighway Blvd, #3009
St Louis, Mo 63108</v>
      </c>
      <c r="H417" s="65" t="str">
        <f>IFERROR(__xludf.DUMMYFUNCTION("""COMPUTED_VALUE"""),"Storage Item Return")</f>
        <v>Storage Item Return</v>
      </c>
      <c r="I417" s="65" t="str">
        <f>IFERROR(__xludf.DUMMYFUNCTION("""COMPUTED_VALUE"""),"Non-University Housing ")</f>
        <v>Non-University Housing </v>
      </c>
      <c r="J417" s="108" t="str">
        <f>IFERROR(__xludf.DUMMYFUNCTION("""COMPUTED_VALUE"""),"03:00 PM to 05:00 PM")</f>
        <v>03:00 PM to 05:00 PM</v>
      </c>
      <c r="K417" s="108">
        <f>IFERROR(__xludf.DUMMYFUNCTION("""COMPUTED_VALUE"""),45883.0)</f>
        <v>45883</v>
      </c>
      <c r="L417" s="65"/>
      <c r="M417" s="65"/>
      <c r="N417" s="65" t="str">
        <f>IFERROR(__xludf.DUMMYFUNCTION("""COMPUTED_VALUE"""),"100 N Kingshighway Blvd, #3009
St Louis, Mo 63108")</f>
        <v>100 N Kingshighway Blvd, #3009
St Louis, Mo 63108</v>
      </c>
      <c r="O417" s="65"/>
      <c r="P417" s="65" t="b">
        <f>COUNTIF('Delivered SIR'!A:A, E417) &gt; 0</f>
        <v>0</v>
      </c>
    </row>
    <row r="418">
      <c r="A418" s="99" t="str">
        <f>IFERROR(__xludf.DUMMYFUNCTION("""COMPUTED_VALUE"""),"https://utrucking.com/admin/orders/5931730305212")</f>
        <v>https://utrucking.com/admin/orders/5931730305212</v>
      </c>
      <c r="B418" s="61" t="str">
        <f>IFERROR(__xludf.DUMMYFUNCTION("""COMPUTED_VALUE"""),"#16126")</f>
        <v>#16126</v>
      </c>
      <c r="C418" s="61" t="str">
        <f>IFERROR(__xludf.DUMMYFUNCTION("""COMPUTED_VALUE"""),"xinmiao.y@wustl.edu")</f>
        <v>xinmiao.y@wustl.edu</v>
      </c>
      <c r="D418" s="61">
        <f>IFERROR(__xludf.DUMMYFUNCTION("""COMPUTED_VALUE"""),6.092106952E9)</f>
        <v>6092106952</v>
      </c>
      <c r="E418" s="61" t="str">
        <f>IFERROR(__xludf.DUMMYFUNCTION("""COMPUTED_VALUE"""),"Victoria Yu")</f>
        <v>Victoria Yu</v>
      </c>
      <c r="F418" s="61" t="str">
        <f>IFERROR(__xludf.DUMMYFUNCTION("""COMPUTED_VALUE"""),"Victoria Yu")</f>
        <v>Victoria Yu</v>
      </c>
      <c r="G418" s="61" t="str">
        <f>IFERROR(__xludf.DUMMYFUNCTION("""COMPUTED_VALUE"""),"100 N Kingshighway Blvd, #3009, St. Louis, Mo 63108")</f>
        <v>100 N Kingshighway Blvd, #3009, St. Louis, Mo 63108</v>
      </c>
      <c r="H418" s="61" t="str">
        <f>IFERROR(__xludf.DUMMYFUNCTION("""COMPUTED_VALUE"""),"Storage Item Return")</f>
        <v>Storage Item Return</v>
      </c>
      <c r="I418" s="61" t="str">
        <f>IFERROR(__xludf.DUMMYFUNCTION("""COMPUTED_VALUE"""),"Non-University Housing ")</f>
        <v>Non-University Housing </v>
      </c>
      <c r="J418" s="107" t="str">
        <f>IFERROR(__xludf.DUMMYFUNCTION("""COMPUTED_VALUE"""),"12:00 PM to 02:00 PM")</f>
        <v>12:00 PM to 02:00 PM</v>
      </c>
      <c r="K418" s="107">
        <f>IFERROR(__xludf.DUMMYFUNCTION("""COMPUTED_VALUE"""),45892.0)</f>
        <v>45892</v>
      </c>
      <c r="L418" s="61"/>
      <c r="M418" s="61"/>
      <c r="N418" s="61" t="str">
        <f>IFERROR(__xludf.DUMMYFUNCTION("""COMPUTED_VALUE"""),"100 N Kingshighway Blvd, #3009, St. Louis, Mo 63108")</f>
        <v>100 N Kingshighway Blvd, #3009, St. Louis, Mo 63108</v>
      </c>
      <c r="O418" s="61"/>
      <c r="P418" s="61" t="b">
        <f>COUNTIF('Delivered SIR'!A:A, E418) &gt; 0</f>
        <v>0</v>
      </c>
    </row>
    <row r="419">
      <c r="A419" s="102" t="str">
        <f>IFERROR(__xludf.DUMMYFUNCTION("""COMPUTED_VALUE"""),"https://utrucking.com/admin/orders/5931950768316")</f>
        <v>https://utrucking.com/admin/orders/5931950768316</v>
      </c>
      <c r="B419" s="65" t="str">
        <f>IFERROR(__xludf.DUMMYFUNCTION("""COMPUTED_VALUE"""),"#16131")</f>
        <v>#16131</v>
      </c>
      <c r="C419" s="65"/>
      <c r="D419" s="65">
        <f>IFERROR(__xludf.DUMMYFUNCTION("""COMPUTED_VALUE"""),5.125347623E9)</f>
        <v>5125347623</v>
      </c>
      <c r="E419" s="65" t="str">
        <f>IFERROR(__xludf.DUMMYFUNCTION("""COMPUTED_VALUE"""),"Julie Loo")</f>
        <v>Julie Loo</v>
      </c>
      <c r="F419" s="65" t="str">
        <f>IFERROR(__xludf.DUMMYFUNCTION("""COMPUTED_VALUE"""),"Dawson Loo")</f>
        <v>Dawson Loo</v>
      </c>
      <c r="G419" s="65" t="str">
        <f>IFERROR(__xludf.DUMMYFUNCTION("""COMPUTED_VALUE"""),"5539 Pershing Ave Unit 204 Saint Louis, MO 63112 (The Chelsea)")</f>
        <v>5539 Pershing Ave Unit 204 Saint Louis, MO 63112 (The Chelsea)</v>
      </c>
      <c r="H419" s="65" t="str">
        <f>IFERROR(__xludf.DUMMYFUNCTION("""COMPUTED_VALUE"""),"Storage Item Return")</f>
        <v>Storage Item Return</v>
      </c>
      <c r="I419" s="65" t="str">
        <f>IFERROR(__xludf.DUMMYFUNCTION("""COMPUTED_VALUE"""),"Non-University Housing ")</f>
        <v>Non-University Housing </v>
      </c>
      <c r="J419" s="108" t="str">
        <f>IFERROR(__xludf.DUMMYFUNCTION("""COMPUTED_VALUE"""),"09:00 AM to 11:00 AM  ")</f>
        <v>09:00 AM to 11:00 AM  </v>
      </c>
      <c r="K419" s="108">
        <f>IFERROR(__xludf.DUMMYFUNCTION("""COMPUTED_VALUE"""),45889.0)</f>
        <v>45889</v>
      </c>
      <c r="L419" s="65"/>
      <c r="M419" s="65"/>
      <c r="N419" s="65" t="str">
        <f>IFERROR(__xludf.DUMMYFUNCTION("""COMPUTED_VALUE"""),"5539 Pershing Ave Unit 204 Saint Louis, MO 63112 (The Chelsea)")</f>
        <v>5539 Pershing Ave Unit 204 Saint Louis, MO 63112 (The Chelsea)</v>
      </c>
      <c r="O419" s="65"/>
      <c r="P419" s="65" t="b">
        <f>COUNTIF('Delivered SIR'!A:A, E419) &gt; 0</f>
        <v>0</v>
      </c>
    </row>
    <row r="420">
      <c r="A420" s="99" t="str">
        <f>IFERROR(__xludf.DUMMYFUNCTION("""COMPUTED_VALUE"""),"https://utrucking.com/admin/orders/5932023480508")</f>
        <v>https://utrucking.com/admin/orders/5932023480508</v>
      </c>
      <c r="B420" s="61" t="str">
        <f>IFERROR(__xludf.DUMMYFUNCTION("""COMPUTED_VALUE"""),"#16132")</f>
        <v>#16132</v>
      </c>
      <c r="C420" s="61" t="str">
        <f>IFERROR(__xludf.DUMMYFUNCTION("""COMPUTED_VALUE"""),"ssophiecantu@gmail.com")</f>
        <v>ssophiecantu@gmail.com</v>
      </c>
      <c r="D420" s="61">
        <f>IFERROR(__xludf.DUMMYFUNCTION("""COMPUTED_VALUE"""),1.6102205349E10)</f>
        <v>16102205349</v>
      </c>
      <c r="E420" s="61" t="str">
        <f>IFERROR(__xludf.DUMMYFUNCTION("""COMPUTED_VALUE"""),"Sophie Cantu")</f>
        <v>Sophie Cantu</v>
      </c>
      <c r="F420" s="61" t="str">
        <f>IFERROR(__xludf.DUMMYFUNCTION("""COMPUTED_VALUE"""),"Sophie Cantu")</f>
        <v>Sophie Cantu</v>
      </c>
      <c r="G420" s="61" t="str">
        <f>IFERROR(__xludf.DUMMYFUNCTION("""COMPUTED_VALUE"""),"6300 Cabanne Ave St. Louis MO 63130")</f>
        <v>6300 Cabanne Ave St. Louis MO 63130</v>
      </c>
      <c r="H420" s="61" t="str">
        <f>IFERROR(__xludf.DUMMYFUNCTION("""COMPUTED_VALUE"""),"Storage Item Return")</f>
        <v>Storage Item Return</v>
      </c>
      <c r="I420" s="61" t="str">
        <f>IFERROR(__xludf.DUMMYFUNCTION("""COMPUTED_VALUE"""),"Non-University Housing ")</f>
        <v>Non-University Housing </v>
      </c>
      <c r="J420" s="107" t="str">
        <f>IFERROR(__xludf.DUMMYFUNCTION("""COMPUTED_VALUE"""),"03:00 PM to 05:00 PM")</f>
        <v>03:00 PM to 05:00 PM</v>
      </c>
      <c r="K420" s="107">
        <f>IFERROR(__xludf.DUMMYFUNCTION("""COMPUTED_VALUE"""),45891.0)</f>
        <v>45891</v>
      </c>
      <c r="L420" s="61"/>
      <c r="M420" s="61"/>
      <c r="N420" s="61" t="str">
        <f>IFERROR(__xludf.DUMMYFUNCTION("""COMPUTED_VALUE"""),"6300 Cabanne Ave St. Louis MO 63130")</f>
        <v>6300 Cabanne Ave St. Louis MO 63130</v>
      </c>
      <c r="O420" s="61"/>
      <c r="P420" s="61" t="b">
        <f>COUNTIF('Delivered SIR'!A:A, E420) &gt; 0</f>
        <v>0</v>
      </c>
    </row>
    <row r="421">
      <c r="A421" s="102" t="str">
        <f>IFERROR(__xludf.DUMMYFUNCTION("""COMPUTED_VALUE"""),"https://utrucking.com/admin/orders/5932105040060")</f>
        <v>https://utrucking.com/admin/orders/5932105040060</v>
      </c>
      <c r="B421" s="65" t="str">
        <f>IFERROR(__xludf.DUMMYFUNCTION("""COMPUTED_VALUE"""),"#16133")</f>
        <v>#16133</v>
      </c>
      <c r="C421" s="65"/>
      <c r="D421" s="65">
        <f>IFERROR(__xludf.DUMMYFUNCTION("""COMPUTED_VALUE"""),2.019884741E9)</f>
        <v>2019884741</v>
      </c>
      <c r="E421" s="65" t="str">
        <f>IFERROR(__xludf.DUMMYFUNCTION("""COMPUTED_VALUE"""),"Ella Buchsbayew")</f>
        <v>Ella Buchsbayew</v>
      </c>
      <c r="F421" s="65" t="str">
        <f>IFERROR(__xludf.DUMMYFUNCTION("""COMPUTED_VALUE"""),"Ella Buchsbayew")</f>
        <v>Ella Buchsbayew</v>
      </c>
      <c r="G421" s="65"/>
      <c r="H421" s="65" t="str">
        <f>IFERROR(__xludf.DUMMYFUNCTION("""COMPUTED_VALUE"""),"Storage Item Return")</f>
        <v>Storage Item Return</v>
      </c>
      <c r="I421" s="65" t="str">
        <f>IFERROR(__xludf.DUMMYFUNCTION("""COMPUTED_VALUE"""),"University Housing ")</f>
        <v>University Housing </v>
      </c>
      <c r="J421" s="108" t="str">
        <f>IFERROR(__xludf.DUMMYFUNCTION("""COMPUTED_VALUE"""),"3-5 pm")</f>
        <v>3-5 pm</v>
      </c>
      <c r="K421" s="108">
        <f>IFERROR(__xludf.DUMMYFUNCTION("""COMPUTED_VALUE"""),45888.0)</f>
        <v>45888</v>
      </c>
      <c r="L421" s="65" t="str">
        <f>IFERROR(__xludf.DUMMYFUNCTION("""COMPUTED_VALUE"""),"Millbrook Bldg. 1  ")</f>
        <v>Millbrook Bldg. 1  </v>
      </c>
      <c r="M421" s="65" t="str">
        <f>IFERROR(__xludf.DUMMYFUNCTION("""COMPUTED_VALUE"""),"208C")</f>
        <v>208C</v>
      </c>
      <c r="N421" s="65"/>
      <c r="O421" s="65"/>
      <c r="P421" s="65" t="b">
        <f>COUNTIF('Delivered SIR'!A:A, E421) &gt; 0</f>
        <v>0</v>
      </c>
    </row>
    <row r="422">
      <c r="A422" s="99" t="str">
        <f>IFERROR(__xludf.DUMMYFUNCTION("""COMPUTED_VALUE"""),"https://utrucking.com/admin/orders/5932301123772")</f>
        <v>https://utrucking.com/admin/orders/5932301123772</v>
      </c>
      <c r="B422" s="61" t="str">
        <f>IFERROR(__xludf.DUMMYFUNCTION("""COMPUTED_VALUE"""),"#16136")</f>
        <v>#16136</v>
      </c>
      <c r="C422" s="61" t="str">
        <f>IFERROR(__xludf.DUMMYFUNCTION("""COMPUTED_VALUE"""),"ari.blumenthal@icloud.com")</f>
        <v>ari.blumenthal@icloud.com</v>
      </c>
      <c r="D422" s="61">
        <f>IFERROR(__xludf.DUMMYFUNCTION("""COMPUTED_VALUE"""),3.012761373E9)</f>
        <v>3012761373</v>
      </c>
      <c r="E422" s="61" t="str">
        <f>IFERROR(__xludf.DUMMYFUNCTION("""COMPUTED_VALUE"""),"Ari Blumenthal")</f>
        <v>Ari Blumenthal</v>
      </c>
      <c r="F422" s="61" t="str">
        <f>IFERROR(__xludf.DUMMYFUNCTION("""COMPUTED_VALUE"""),"Ari Blumenthal")</f>
        <v>Ari Blumenthal</v>
      </c>
      <c r="G422" s="61"/>
      <c r="H422" s="61" t="str">
        <f>IFERROR(__xludf.DUMMYFUNCTION("""COMPUTED_VALUE"""),"Storage Item Return")</f>
        <v>Storage Item Return</v>
      </c>
      <c r="I422" s="61" t="str">
        <f>IFERROR(__xludf.DUMMYFUNCTION("""COMPUTED_VALUE"""),"University Housing ")</f>
        <v>University Housing </v>
      </c>
      <c r="J422" s="107" t="str">
        <f>IFERROR(__xludf.DUMMYFUNCTION("""COMPUTED_VALUE"""),"12:00 PM to 02:00 PM  ")</f>
        <v>12:00 PM to 02:00 PM  </v>
      </c>
      <c r="K422" s="107">
        <f>IFERROR(__xludf.DUMMYFUNCTION("""COMPUTED_VALUE"""),45890.0)</f>
        <v>45890</v>
      </c>
      <c r="L422" s="61" t="str">
        <f>IFERROR(__xludf.DUMMYFUNCTION("""COMPUTED_VALUE"""),"House 21 (Alpha Epsilon Pi)  ")</f>
        <v>House 21 (Alpha Epsilon Pi)  </v>
      </c>
      <c r="M422" s="61" t="str">
        <f>IFERROR(__xludf.DUMMYFUNCTION("""COMPUTED_VALUE"""),"1041")</f>
        <v>1041</v>
      </c>
      <c r="N422" s="61"/>
      <c r="O422" s="61"/>
      <c r="P422" s="61" t="b">
        <f>COUNTIF('Delivered SIR'!A:A, E422) &gt; 0</f>
        <v>1</v>
      </c>
    </row>
    <row r="423">
      <c r="A423" s="102" t="str">
        <f>IFERROR(__xludf.DUMMYFUNCTION("""COMPUTED_VALUE"""),"https://utrucking.com/admin/orders/5932394905788")</f>
        <v>https://utrucking.com/admin/orders/5932394905788</v>
      </c>
      <c r="B423" s="65" t="str">
        <f>IFERROR(__xludf.DUMMYFUNCTION("""COMPUTED_VALUE"""),"#16137")</f>
        <v>#16137</v>
      </c>
      <c r="C423" s="65" t="str">
        <f>IFERROR(__xludf.DUMMYFUNCTION("""COMPUTED_VALUE"""),"matt34nats@icloud.com")</f>
        <v>matt34nats@icloud.com</v>
      </c>
      <c r="D423" s="65">
        <f>IFERROR(__xludf.DUMMYFUNCTION("""COMPUTED_VALUE"""),3.0171702E9)</f>
        <v>3017170200</v>
      </c>
      <c r="E423" s="65" t="str">
        <f>IFERROR(__xludf.DUMMYFUNCTION("""COMPUTED_VALUE"""),"Matthew Steindecker")</f>
        <v>Matthew Steindecker</v>
      </c>
      <c r="F423" s="65" t="str">
        <f>IFERROR(__xludf.DUMMYFUNCTION("""COMPUTED_VALUE"""),"Matthew Steindecker")</f>
        <v>Matthew Steindecker</v>
      </c>
      <c r="G423" s="65" t="str">
        <f>IFERROR(__xludf.DUMMYFUNCTION("""COMPUTED_VALUE"""),"7024 Forsyth BLVD, Saint Louis, MO, 63105")</f>
        <v>7024 Forsyth BLVD, Saint Louis, MO, 63105</v>
      </c>
      <c r="H423" s="65" t="str">
        <f>IFERROR(__xludf.DUMMYFUNCTION("""COMPUTED_VALUE"""),"Storage Item Return")</f>
        <v>Storage Item Return</v>
      </c>
      <c r="I423" s="65" t="str">
        <f>IFERROR(__xludf.DUMMYFUNCTION("""COMPUTED_VALUE"""),"Non-University Housing ")</f>
        <v>Non-University Housing </v>
      </c>
      <c r="J423" s="108" t="str">
        <f>IFERROR(__xludf.DUMMYFUNCTION("""COMPUTED_VALUE"""),"02:00 PM to 04:00 PM")</f>
        <v>02:00 PM to 04:00 PM</v>
      </c>
      <c r="K423" s="108">
        <f>IFERROR(__xludf.DUMMYFUNCTION("""COMPUTED_VALUE"""),45890.0)</f>
        <v>45890</v>
      </c>
      <c r="L423" s="65"/>
      <c r="M423" s="65"/>
      <c r="N423" s="65" t="str">
        <f>IFERROR(__xludf.DUMMYFUNCTION("""COMPUTED_VALUE"""),"7024 Forsyth BLVD, Saint Louis, MO, 63105")</f>
        <v>7024 Forsyth BLVD, Saint Louis, MO, 63105</v>
      </c>
      <c r="O423" s="65"/>
      <c r="P423" s="65" t="b">
        <f>COUNTIF('Delivered SIR'!A:A, E423) &gt; 0</f>
        <v>0</v>
      </c>
    </row>
    <row r="424">
      <c r="A424" s="99" t="str">
        <f>IFERROR(__xludf.DUMMYFUNCTION("""COMPUTED_VALUE"""),"https://utrucking.com/admin/orders/5932673138876")</f>
        <v>https://utrucking.com/admin/orders/5932673138876</v>
      </c>
      <c r="B424" s="61" t="str">
        <f>IFERROR(__xludf.DUMMYFUNCTION("""COMPUTED_VALUE"""),"#16138")</f>
        <v>#16138</v>
      </c>
      <c r="C424" s="61" t="str">
        <f>IFERROR(__xludf.DUMMYFUNCTION("""COMPUTED_VALUE"""),"jason.ribatt@icloud.com")</f>
        <v>jason.ribatt@icloud.com</v>
      </c>
      <c r="D424" s="61">
        <f>IFERROR(__xludf.DUMMYFUNCTION("""COMPUTED_VALUE"""),6.178038873E9)</f>
        <v>6178038873</v>
      </c>
      <c r="E424" s="61" t="str">
        <f>IFERROR(__xludf.DUMMYFUNCTION("""COMPUTED_VALUE"""),"Jason Ribatt")</f>
        <v>Jason Ribatt</v>
      </c>
      <c r="F424" s="61" t="str">
        <f>IFERROR(__xludf.DUMMYFUNCTION("""COMPUTED_VALUE"""),"Jason Ribatt")</f>
        <v>Jason Ribatt</v>
      </c>
      <c r="G424" s="61"/>
      <c r="H424" s="61" t="str">
        <f>IFERROR(__xludf.DUMMYFUNCTION("""COMPUTED_VALUE"""),"Storage Item Return")</f>
        <v>Storage Item Return</v>
      </c>
      <c r="I424" s="61" t="str">
        <f>IFERROR(__xludf.DUMMYFUNCTION("""COMPUTED_VALUE"""),"University Housing ")</f>
        <v>University Housing </v>
      </c>
      <c r="J424" s="107" t="str">
        <f>IFERROR(__xludf.DUMMYFUNCTION("""COMPUTED_VALUE"""),"09:00 AM to 11:00 AM  ")</f>
        <v>09:00 AM to 11:00 AM  </v>
      </c>
      <c r="K424" s="107">
        <f>IFERROR(__xludf.DUMMYFUNCTION("""COMPUTED_VALUE"""),45891.0)</f>
        <v>45891</v>
      </c>
      <c r="L424" s="61" t="str">
        <f>IFERROR(__xludf.DUMMYFUNCTION("""COMPUTED_VALUE"""),"Beaumont  ")</f>
        <v>Beaumont  </v>
      </c>
      <c r="M424" s="61" t="str">
        <f>IFERROR(__xludf.DUMMYFUNCTION("""COMPUTED_VALUE"""),"218 a")</f>
        <v>218 a</v>
      </c>
      <c r="N424" s="61"/>
      <c r="O424" s="61"/>
      <c r="P424" s="61" t="b">
        <f>COUNTIF('Delivered SIR'!A:A, E424) &gt; 0</f>
        <v>1</v>
      </c>
    </row>
    <row r="425">
      <c r="A425" s="102" t="str">
        <f>IFERROR(__xludf.DUMMYFUNCTION("""COMPUTED_VALUE"""),"https://utrucking.com/admin/orders/5932711477436")</f>
        <v>https://utrucking.com/admin/orders/5932711477436</v>
      </c>
      <c r="B425" s="65" t="str">
        <f>IFERROR(__xludf.DUMMYFUNCTION("""COMPUTED_VALUE"""),"#16139")</f>
        <v>#16139</v>
      </c>
      <c r="C425" s="65" t="str">
        <f>IFERROR(__xludf.DUMMYFUNCTION("""COMPUTED_VALUE"""),"jiwoo@wustl.edu")</f>
        <v>jiwoo@wustl.edu</v>
      </c>
      <c r="D425" s="65">
        <f>IFERROR(__xludf.DUMMYFUNCTION("""COMPUTED_VALUE"""),7.635018666E9)</f>
        <v>7635018666</v>
      </c>
      <c r="E425" s="65" t="str">
        <f>IFERROR(__xludf.DUMMYFUNCTION("""COMPUTED_VALUE"""),"Jiwoo Park")</f>
        <v>Jiwoo Park</v>
      </c>
      <c r="F425" s="65"/>
      <c r="G425" s="65"/>
      <c r="H425" s="65" t="str">
        <f>IFERROR(__xludf.DUMMYFUNCTION("""COMPUTED_VALUE"""),"Storage Item Return")</f>
        <v>Storage Item Return</v>
      </c>
      <c r="I425" s="65" t="str">
        <f>IFERROR(__xludf.DUMMYFUNCTION("""COMPUTED_VALUE"""),"University Housing ")</f>
        <v>University Housing </v>
      </c>
      <c r="J425" s="108" t="str">
        <f>IFERROR(__xludf.DUMMYFUNCTION("""COMPUTED_VALUE"""),"02:00 PM to 04:00 PM")</f>
        <v>02:00 PM to 04:00 PM</v>
      </c>
      <c r="K425" s="108">
        <f>IFERROR(__xludf.DUMMYFUNCTION("""COMPUTED_VALUE"""),45890.0)</f>
        <v>45890</v>
      </c>
      <c r="L425" s="65" t="str">
        <f>IFERROR(__xludf.DUMMYFUNCTION("""COMPUTED_VALUE"""),"6811 University Drive")</f>
        <v>6811 University Drive</v>
      </c>
      <c r="M425" s="65" t="str">
        <f>IFERROR(__xludf.DUMMYFUNCTION("""COMPUTED_VALUE"""),"2W-C - a")</f>
        <v>2W-C - a</v>
      </c>
      <c r="N425" s="65"/>
      <c r="O425" s="65"/>
      <c r="P425" s="65" t="b">
        <f>COUNTIF('Delivered SIR'!A:A, E425) &gt; 0</f>
        <v>1</v>
      </c>
    </row>
    <row r="426">
      <c r="A426" s="99" t="str">
        <f>IFERROR(__xludf.DUMMYFUNCTION("""COMPUTED_VALUE"""),"https://utrucking.com/admin/orders/5932721176764")</f>
        <v>https://utrucking.com/admin/orders/5932721176764</v>
      </c>
      <c r="B426" s="61" t="str">
        <f>IFERROR(__xludf.DUMMYFUNCTION("""COMPUTED_VALUE"""),"#16140")</f>
        <v>#16140</v>
      </c>
      <c r="C426" s="61" t="str">
        <f>IFERROR(__xludf.DUMMYFUNCTION("""COMPUTED_VALUE"""),"chenfei.x@wustl.edu")</f>
        <v>chenfei.x@wustl.edu</v>
      </c>
      <c r="D426" s="61">
        <f>IFERROR(__xludf.DUMMYFUNCTION("""COMPUTED_VALUE"""),3.142295158E9)</f>
        <v>3142295158</v>
      </c>
      <c r="E426" s="61" t="str">
        <f>IFERROR(__xludf.DUMMYFUNCTION("""COMPUTED_VALUE"""),"Chenfei Xu")</f>
        <v>Chenfei Xu</v>
      </c>
      <c r="F426" s="61" t="str">
        <f>IFERROR(__xludf.DUMMYFUNCTION("""COMPUTED_VALUE"""),"Chenfei Xu")</f>
        <v>Chenfei Xu</v>
      </c>
      <c r="G426" s="61"/>
      <c r="H426" s="61" t="str">
        <f>IFERROR(__xludf.DUMMYFUNCTION("""COMPUTED_VALUE"""),"Storage Item Return")</f>
        <v>Storage Item Return</v>
      </c>
      <c r="I426" s="61" t="str">
        <f>IFERROR(__xludf.DUMMYFUNCTION("""COMPUTED_VALUE"""),"University Housing ")</f>
        <v>University Housing </v>
      </c>
      <c r="J426" s="107" t="str">
        <f>IFERROR(__xludf.DUMMYFUNCTION("""COMPUTED_VALUE"""),"02:00 PM to 04:00 PM")</f>
        <v>02:00 PM to 04:00 PM</v>
      </c>
      <c r="K426" s="107">
        <f>IFERROR(__xludf.DUMMYFUNCTION("""COMPUTED_VALUE"""),45889.0)</f>
        <v>45889</v>
      </c>
      <c r="L426" s="61" t="str">
        <f>IFERROR(__xludf.DUMMYFUNCTION("""COMPUTED_VALUE"""),"Zetcher  ")</f>
        <v>Zetcher  </v>
      </c>
      <c r="M426" s="61" t="str">
        <f>IFERROR(__xludf.DUMMYFUNCTION("""COMPUTED_VALUE"""),"2121-A")</f>
        <v>2121-A</v>
      </c>
      <c r="N426" s="61"/>
      <c r="O426" s="61"/>
      <c r="P426" s="61" t="b">
        <f>COUNTIF('Delivered SIR'!A:A, E426) &gt; 0</f>
        <v>0</v>
      </c>
    </row>
    <row r="427">
      <c r="A427" s="102" t="str">
        <f>IFERROR(__xludf.DUMMYFUNCTION("""COMPUTED_VALUE"""),"https://utrucking.com/admin/orders/5932735135932")</f>
        <v>https://utrucking.com/admin/orders/5932735135932</v>
      </c>
      <c r="B427" s="65" t="str">
        <f>IFERROR(__xludf.DUMMYFUNCTION("""COMPUTED_VALUE"""),"#16141")</f>
        <v>#16141</v>
      </c>
      <c r="C427" s="65"/>
      <c r="D427" s="65">
        <f>IFERROR(__xludf.DUMMYFUNCTION("""COMPUTED_VALUE"""),3.01529447E9)</f>
        <v>3015294470</v>
      </c>
      <c r="E427" s="65" t="str">
        <f>IFERROR(__xludf.DUMMYFUNCTION("""COMPUTED_VALUE"""),"Jordyn White")</f>
        <v>Jordyn White</v>
      </c>
      <c r="F427" s="65" t="str">
        <f>IFERROR(__xludf.DUMMYFUNCTION("""COMPUTED_VALUE"""),"Jordyn White")</f>
        <v>Jordyn White</v>
      </c>
      <c r="G427" s="65"/>
      <c r="H427" s="65" t="str">
        <f>IFERROR(__xludf.DUMMYFUNCTION("""COMPUTED_VALUE"""),"Storage Item Return")</f>
        <v>Storage Item Return</v>
      </c>
      <c r="I427" s="65" t="str">
        <f>IFERROR(__xludf.DUMMYFUNCTION("""COMPUTED_VALUE"""),"University Housing ")</f>
        <v>University Housing </v>
      </c>
      <c r="J427" s="108" t="str">
        <f>IFERROR(__xludf.DUMMYFUNCTION("""COMPUTED_VALUE"""),"09:00 AM to 11:00 AM  ")</f>
        <v>09:00 AM to 11:00 AM  </v>
      </c>
      <c r="K427" s="108">
        <f>IFERROR(__xludf.DUMMYFUNCTION("""COMPUTED_VALUE"""),45888.0)</f>
        <v>45888</v>
      </c>
      <c r="L427" s="65" t="str">
        <f>IFERROR(__xludf.DUMMYFUNCTION("""COMPUTED_VALUE"""),"Lopata  ")</f>
        <v>Lopata  </v>
      </c>
      <c r="M427" s="65" t="str">
        <f>IFERROR(__xludf.DUMMYFUNCTION("""COMPUTED_VALUE"""),"3091 -a")</f>
        <v>3091 -a</v>
      </c>
      <c r="N427" s="65"/>
      <c r="O427" s="65"/>
      <c r="P427" s="65" t="b">
        <f>COUNTIF('Delivered SIR'!A:A, E427) &gt; 0</f>
        <v>1</v>
      </c>
    </row>
    <row r="428">
      <c r="A428" s="99" t="str">
        <f>IFERROR(__xludf.DUMMYFUNCTION("""COMPUTED_VALUE"""),"https://utrucking.com/admin/orders/5932749160636")</f>
        <v>https://utrucking.com/admin/orders/5932749160636</v>
      </c>
      <c r="B428" s="61" t="str">
        <f>IFERROR(__xludf.DUMMYFUNCTION("""COMPUTED_VALUE"""),"#16142")</f>
        <v>#16142</v>
      </c>
      <c r="C428" s="61" t="str">
        <f>IFERROR(__xludf.DUMMYFUNCTION("""COMPUTED_VALUE"""),"n.k.rosell@wustl.edu")</f>
        <v>n.k.rosell@wustl.edu</v>
      </c>
      <c r="D428" s="61">
        <f>IFERROR(__xludf.DUMMYFUNCTION("""COMPUTED_VALUE"""),9.178426437E9)</f>
        <v>9178426437</v>
      </c>
      <c r="E428" s="61" t="str">
        <f>IFERROR(__xludf.DUMMYFUNCTION("""COMPUTED_VALUE"""),"Sarah Rosell")</f>
        <v>Sarah Rosell</v>
      </c>
      <c r="F428" s="61" t="str">
        <f>IFERROR(__xludf.DUMMYFUNCTION("""COMPUTED_VALUE"""),"Nina Rosell")</f>
        <v>Nina Rosell</v>
      </c>
      <c r="G428" s="61"/>
      <c r="H428" s="61" t="str">
        <f>IFERROR(__xludf.DUMMYFUNCTION("""COMPUTED_VALUE"""),"Storage Item Return")</f>
        <v>Storage Item Return</v>
      </c>
      <c r="I428" s="61" t="str">
        <f>IFERROR(__xludf.DUMMYFUNCTION("""COMPUTED_VALUE"""),"University Housing ")</f>
        <v>University Housing </v>
      </c>
      <c r="J428" s="107" t="str">
        <f>IFERROR(__xludf.DUMMYFUNCTION("""COMPUTED_VALUE"""),"09:00 AM to 11:00 AM  ")</f>
        <v>09:00 AM to 11:00 AM  </v>
      </c>
      <c r="K428" s="107">
        <f>IFERROR(__xludf.DUMMYFUNCTION("""COMPUTED_VALUE"""),45889.0)</f>
        <v>45889</v>
      </c>
      <c r="L428" s="61" t="str">
        <f>IFERROR(__xludf.DUMMYFUNCTION("""COMPUTED_VALUE"""),"Millbrook Bldg. 4  ")</f>
        <v>Millbrook Bldg. 4  </v>
      </c>
      <c r="M428" s="61" t="str">
        <f>IFERROR(__xludf.DUMMYFUNCTION("""COMPUTED_VALUE"""),"302C - a")</f>
        <v>302C - a</v>
      </c>
      <c r="N428" s="61"/>
      <c r="O428" s="61"/>
      <c r="P428" s="61" t="b">
        <f>COUNTIF('Delivered SIR'!A:A, E428) &gt; 0</f>
        <v>0</v>
      </c>
    </row>
    <row r="429">
      <c r="A429" s="102" t="str">
        <f>IFERROR(__xludf.DUMMYFUNCTION("""COMPUTED_VALUE"""),"https://utrucking.com/admin/orders/5932751061180")</f>
        <v>https://utrucking.com/admin/orders/5932751061180</v>
      </c>
      <c r="B429" s="65" t="str">
        <f>IFERROR(__xludf.DUMMYFUNCTION("""COMPUTED_VALUE"""),"#16143")</f>
        <v>#16143</v>
      </c>
      <c r="C429" s="65" t="str">
        <f>IFERROR(__xludf.DUMMYFUNCTION("""COMPUTED_VALUE"""),"palomo.daniel@icloud.com")</f>
        <v>palomo.daniel@icloud.com</v>
      </c>
      <c r="D429" s="65">
        <f>IFERROR(__xludf.DUMMYFUNCTION("""COMPUTED_VALUE"""),7.137027657E9)</f>
        <v>7137027657</v>
      </c>
      <c r="E429" s="65" t="str">
        <f>IFERROR(__xludf.DUMMYFUNCTION("""COMPUTED_VALUE"""),"Daniel Palomo")</f>
        <v>Daniel Palomo</v>
      </c>
      <c r="F429" s="65" t="str">
        <f>IFERROR(__xludf.DUMMYFUNCTION("""COMPUTED_VALUE"""),"Daniel Palomo")</f>
        <v>Daniel Palomo</v>
      </c>
      <c r="G429" s="65"/>
      <c r="H429" s="65" t="str">
        <f>IFERROR(__xludf.DUMMYFUNCTION("""COMPUTED_VALUE"""),"Storage Item Return")</f>
        <v>Storage Item Return</v>
      </c>
      <c r="I429" s="65" t="str">
        <f>IFERROR(__xludf.DUMMYFUNCTION("""COMPUTED_VALUE"""),"University Housing ")</f>
        <v>University Housing </v>
      </c>
      <c r="J429" s="108" t="str">
        <f>IFERROR(__xludf.DUMMYFUNCTION("""COMPUTED_VALUE"""),"01:00 PM to 03:00 PM  ")</f>
        <v>01:00 PM to 03:00 PM  </v>
      </c>
      <c r="K429" s="108">
        <f>IFERROR(__xludf.DUMMYFUNCTION("""COMPUTED_VALUE"""),45889.0)</f>
        <v>45889</v>
      </c>
      <c r="L429" s="65" t="str">
        <f>IFERROR(__xludf.DUMMYFUNCTION("""COMPUTED_VALUE"""),"Zetcher  ")</f>
        <v>Zetcher  </v>
      </c>
      <c r="M429" s="65" t="str">
        <f>IFERROR(__xludf.DUMMYFUNCTION("""COMPUTED_VALUE"""),"4030")</f>
        <v>4030</v>
      </c>
      <c r="N429" s="65"/>
      <c r="O429" s="65"/>
      <c r="P429" s="65" t="b">
        <f>COUNTIF('Delivered SIR'!A:A, E429) &gt; 0</f>
        <v>1</v>
      </c>
    </row>
    <row r="430">
      <c r="A430" s="99" t="str">
        <f>IFERROR(__xludf.DUMMYFUNCTION("""COMPUTED_VALUE"""),"https://utrucking.com/admin/orders/5932833833148")</f>
        <v>https://utrucking.com/admin/orders/5932833833148</v>
      </c>
      <c r="B430" s="61" t="str">
        <f>IFERROR(__xludf.DUMMYFUNCTION("""COMPUTED_VALUE"""),"#16146")</f>
        <v>#16146</v>
      </c>
      <c r="C430" s="61" t="str">
        <f>IFERROR(__xludf.DUMMYFUNCTION("""COMPUTED_VALUE"""),"jaroog05@icloud.com")</f>
        <v>jaroog05@icloud.com</v>
      </c>
      <c r="D430" s="61">
        <f>IFERROR(__xludf.DUMMYFUNCTION("""COMPUTED_VALUE"""),1.8622500227E10)</f>
        <v>18622500227</v>
      </c>
      <c r="E430" s="61" t="str">
        <f>IFERROR(__xludf.DUMMYFUNCTION("""COMPUTED_VALUE"""),"Jared Garelick")</f>
        <v>Jared Garelick</v>
      </c>
      <c r="F430" s="61" t="str">
        <f>IFERROR(__xludf.DUMMYFUNCTION("""COMPUTED_VALUE"""),"Jared Garelick")</f>
        <v>Jared Garelick</v>
      </c>
      <c r="G430" s="61" t="str">
        <f>IFERROR(__xludf.DUMMYFUNCTION("""COMPUTED_VALUE"""),"5956 De Giverville Ave")</f>
        <v>5956 De Giverville Ave</v>
      </c>
      <c r="H430" s="61" t="str">
        <f>IFERROR(__xludf.DUMMYFUNCTION("""COMPUTED_VALUE"""),"Storage Item Return")</f>
        <v>Storage Item Return</v>
      </c>
      <c r="I430" s="61" t="str">
        <f>IFERROR(__xludf.DUMMYFUNCTION("""COMPUTED_VALUE"""),"Non-University Housing ")</f>
        <v>Non-University Housing </v>
      </c>
      <c r="J430" s="107" t="str">
        <f>IFERROR(__xludf.DUMMYFUNCTION("""COMPUTED_VALUE"""),"12:00 PM to 02:00 PM  ")</f>
        <v>12:00 PM to 02:00 PM  </v>
      </c>
      <c r="K430" s="107">
        <f>IFERROR(__xludf.DUMMYFUNCTION("""COMPUTED_VALUE"""),45889.0)</f>
        <v>45889</v>
      </c>
      <c r="L430" s="61"/>
      <c r="M430" s="61"/>
      <c r="N430" s="61" t="str">
        <f>IFERROR(__xludf.DUMMYFUNCTION("""COMPUTED_VALUE"""),"5956 De Giverville Ave")</f>
        <v>5956 De Giverville Ave</v>
      </c>
      <c r="O430" s="61"/>
      <c r="P430" s="61" t="b">
        <f>COUNTIF('Delivered SIR'!A:A, E430) &gt; 0</f>
        <v>0</v>
      </c>
    </row>
    <row r="431">
      <c r="A431" s="102" t="str">
        <f>IFERROR(__xludf.DUMMYFUNCTION("""COMPUTED_VALUE"""),"https://utrucking.com/admin/orders/5932867485884")</f>
        <v>https://utrucking.com/admin/orders/5932867485884</v>
      </c>
      <c r="B431" s="65" t="str">
        <f>IFERROR(__xludf.DUMMYFUNCTION("""COMPUTED_VALUE"""),"#16147")</f>
        <v>#16147</v>
      </c>
      <c r="C431" s="65" t="str">
        <f>IFERROR(__xludf.DUMMYFUNCTION("""COMPUTED_VALUE"""),"a.h.rosenberg@wustl.edu")</f>
        <v>a.h.rosenberg@wustl.edu</v>
      </c>
      <c r="D431" s="65"/>
      <c r="E431" s="65" t="str">
        <f>IFERROR(__xludf.DUMMYFUNCTION("""COMPUTED_VALUE"""),"Drew Rosenberg")</f>
        <v>Drew Rosenberg</v>
      </c>
      <c r="F431" s="65" t="str">
        <f>IFERROR(__xludf.DUMMYFUNCTION("""COMPUTED_VALUE"""),"Drew Rosenberg")</f>
        <v>Drew Rosenberg</v>
      </c>
      <c r="G431" s="65"/>
      <c r="H431" s="65" t="str">
        <f>IFERROR(__xludf.DUMMYFUNCTION("""COMPUTED_VALUE"""),"Storage Item Return")</f>
        <v>Storage Item Return</v>
      </c>
      <c r="I431" s="65" t="str">
        <f>IFERROR(__xludf.DUMMYFUNCTION("""COMPUTED_VALUE"""),"University Housing ")</f>
        <v>University Housing </v>
      </c>
      <c r="J431" s="108" t="str">
        <f>IFERROR(__xludf.DUMMYFUNCTION("""COMPUTED_VALUE"""),"09:00 AM to 11:00 AM  ")</f>
        <v>09:00 AM to 11:00 AM  </v>
      </c>
      <c r="K431" s="108">
        <f>IFERROR(__xludf.DUMMYFUNCTION("""COMPUTED_VALUE"""),45878.0)</f>
        <v>45878</v>
      </c>
      <c r="L431" s="65" t="str">
        <f>IFERROR(__xludf.DUMMYFUNCTION("""COMPUTED_VALUE"""),"Greenway Apartments  ")</f>
        <v>Greenway Apartments  </v>
      </c>
      <c r="M431" s="65" t="str">
        <f>IFERROR(__xludf.DUMMYFUNCTION("""COMPUTED_VALUE"""),"012-C-a")</f>
        <v>012-C-a</v>
      </c>
      <c r="N431" s="65"/>
      <c r="O431" s="65"/>
      <c r="P431" s="65" t="b">
        <f>COUNTIF('Delivered SIR'!A:A, E431) &gt; 0</f>
        <v>1</v>
      </c>
    </row>
    <row r="432">
      <c r="A432" s="99" t="str">
        <f>IFERROR(__xludf.DUMMYFUNCTION("""COMPUTED_VALUE"""),"https://utrucking.com/admin/orders/5933134774460")</f>
        <v>https://utrucking.com/admin/orders/5933134774460</v>
      </c>
      <c r="B432" s="61" t="str">
        <f>IFERROR(__xludf.DUMMYFUNCTION("""COMPUTED_VALUE"""),"#16151")</f>
        <v>#16151</v>
      </c>
      <c r="C432" s="61" t="str">
        <f>IFERROR(__xludf.DUMMYFUNCTION("""COMPUTED_VALUE"""),"dunnmattye@gmail.com")</f>
        <v>dunnmattye@gmail.com</v>
      </c>
      <c r="D432" s="61">
        <f>IFERROR(__xludf.DUMMYFUNCTION("""COMPUTED_VALUE"""),6.178933544E9)</f>
        <v>6178933544</v>
      </c>
      <c r="E432" s="61" t="str">
        <f>IFERROR(__xludf.DUMMYFUNCTION("""COMPUTED_VALUE"""),"Matthew Dunn")</f>
        <v>Matthew Dunn</v>
      </c>
      <c r="F432" s="61" t="str">
        <f>IFERROR(__xludf.DUMMYFUNCTION("""COMPUTED_VALUE"""),"Matthew Dunn")</f>
        <v>Matthew Dunn</v>
      </c>
      <c r="G432" s="61"/>
      <c r="H432" s="61" t="str">
        <f>IFERROR(__xludf.DUMMYFUNCTION("""COMPUTED_VALUE"""),"Storage Item Return")</f>
        <v>Storage Item Return</v>
      </c>
      <c r="I432" s="61" t="str">
        <f>IFERROR(__xludf.DUMMYFUNCTION("""COMPUTED_VALUE"""),"University Housing ")</f>
        <v>University Housing </v>
      </c>
      <c r="J432" s="107" t="str">
        <f>IFERROR(__xludf.DUMMYFUNCTION("""COMPUTED_VALUE"""),"12:00 PM to 02:00 PM  ")</f>
        <v>12:00 PM to 02:00 PM  </v>
      </c>
      <c r="K432" s="107">
        <f>IFERROR(__xludf.DUMMYFUNCTION("""COMPUTED_VALUE"""),45887.0)</f>
        <v>45887</v>
      </c>
      <c r="L432" s="61" t="str">
        <f>IFERROR(__xludf.DUMMYFUNCTION("""COMPUTED_VALUE"""),"Liggett  ")</f>
        <v>Liggett  </v>
      </c>
      <c r="M432" s="61" t="str">
        <f>IFERROR(__xludf.DUMMYFUNCTION("""COMPUTED_VALUE"""),"3347-1")</f>
        <v>3347-1</v>
      </c>
      <c r="N432" s="61"/>
      <c r="O432" s="61"/>
      <c r="P432" s="61" t="b">
        <f>COUNTIF('Delivered SIR'!A:A, E432) &gt; 0</f>
        <v>1</v>
      </c>
    </row>
    <row r="433">
      <c r="A433" s="102" t="str">
        <f>IFERROR(__xludf.DUMMYFUNCTION("""COMPUTED_VALUE"""),"https://utrucking.com/admin/orders/5933232881852")</f>
        <v>https://utrucking.com/admin/orders/5933232881852</v>
      </c>
      <c r="B433" s="65" t="str">
        <f>IFERROR(__xludf.DUMMYFUNCTION("""COMPUTED_VALUE"""),"#16154")</f>
        <v>#16154</v>
      </c>
      <c r="C433" s="65" t="str">
        <f>IFERROR(__xludf.DUMMYFUNCTION("""COMPUTED_VALUE"""),"mayauz@yahoo.com")</f>
        <v>mayauz@yahoo.com</v>
      </c>
      <c r="D433" s="65">
        <f>IFERROR(__xludf.DUMMYFUNCTION("""COMPUTED_VALUE"""),9.175021828E9)</f>
        <v>9175021828</v>
      </c>
      <c r="E433" s="65" t="str">
        <f>IFERROR(__xludf.DUMMYFUNCTION("""COMPUTED_VALUE"""),"Mayalen Uribe")</f>
        <v>Mayalen Uribe</v>
      </c>
      <c r="F433" s="65" t="str">
        <f>IFERROR(__xludf.DUMMYFUNCTION("""COMPUTED_VALUE"""),"Ander Pineda")</f>
        <v>Ander Pineda</v>
      </c>
      <c r="G433" s="65"/>
      <c r="H433" s="65" t="str">
        <f>IFERROR(__xludf.DUMMYFUNCTION("""COMPUTED_VALUE"""),"Storage Item Return")</f>
        <v>Storage Item Return</v>
      </c>
      <c r="I433" s="65" t="str">
        <f>IFERROR(__xludf.DUMMYFUNCTION("""COMPUTED_VALUE"""),"University Housing ")</f>
        <v>University Housing </v>
      </c>
      <c r="J433" s="108" t="str">
        <f>IFERROR(__xludf.DUMMYFUNCTION("""COMPUTED_VALUE"""),"09:00 AM to 11:00 AM  ")</f>
        <v>09:00 AM to 11:00 AM  </v>
      </c>
      <c r="K433" s="108">
        <f>IFERROR(__xludf.DUMMYFUNCTION("""COMPUTED_VALUE"""),45889.0)</f>
        <v>45889</v>
      </c>
      <c r="L433" s="65" t="str">
        <f>IFERROR(__xludf.DUMMYFUNCTION("""COMPUTED_VALUE"""),"House 21 (Alpha Epsilon Pi)  ")</f>
        <v>House 21 (Alpha Epsilon Pi)  </v>
      </c>
      <c r="M433" s="65" t="str">
        <f>IFERROR(__xludf.DUMMYFUNCTION("""COMPUTED_VALUE"""),"3071")</f>
        <v>3071</v>
      </c>
      <c r="N433" s="65"/>
      <c r="O433" s="65"/>
      <c r="P433" s="65" t="b">
        <f>COUNTIF('Delivered SIR'!A:A, E433) &gt; 0</f>
        <v>0</v>
      </c>
    </row>
    <row r="434">
      <c r="A434" s="99" t="str">
        <f>IFERROR(__xludf.DUMMYFUNCTION("""COMPUTED_VALUE"""),"https://utrucking.com/admin/orders/5933364543676")</f>
        <v>https://utrucking.com/admin/orders/5933364543676</v>
      </c>
      <c r="B434" s="61" t="str">
        <f>IFERROR(__xludf.DUMMYFUNCTION("""COMPUTED_VALUE"""),"#16156")</f>
        <v>#16156</v>
      </c>
      <c r="C434" s="61" t="str">
        <f>IFERROR(__xludf.DUMMYFUNCTION("""COMPUTED_VALUE"""),"l.xingchen@wustl.edu")</f>
        <v>l.xingchen@wustl.edu</v>
      </c>
      <c r="D434" s="61">
        <f>IFERROR(__xludf.DUMMYFUNCTION("""COMPUTED_VALUE"""),1.3681380323E10)</f>
        <v>13681380323</v>
      </c>
      <c r="E434" s="61" t="str">
        <f>IFERROR(__xludf.DUMMYFUNCTION("""COMPUTED_VALUE"""),"Xingchen Li")</f>
        <v>Xingchen Li</v>
      </c>
      <c r="F434" s="61" t="str">
        <f>IFERROR(__xludf.DUMMYFUNCTION("""COMPUTED_VALUE"""),"Xingchen Li")</f>
        <v>Xingchen Li</v>
      </c>
      <c r="G434" s="61" t="str">
        <f>IFERROR(__xludf.DUMMYFUNCTION("""COMPUTED_VALUE"""),"7000 Lindell Blvd, St Louis, MO, 63130")</f>
        <v>7000 Lindell Blvd, St Louis, MO, 63130</v>
      </c>
      <c r="H434" s="61" t="str">
        <f>IFERROR(__xludf.DUMMYFUNCTION("""COMPUTED_VALUE"""),"Storage Item Return")</f>
        <v>Storage Item Return</v>
      </c>
      <c r="I434" s="61" t="str">
        <f>IFERROR(__xludf.DUMMYFUNCTION("""COMPUTED_VALUE"""),"Non-University Housing ")</f>
        <v>Non-University Housing </v>
      </c>
      <c r="J434" s="107" t="str">
        <f>IFERROR(__xludf.DUMMYFUNCTION("""COMPUTED_VALUE"""),"09:00 AM to 11:00 AM  ")</f>
        <v>09:00 AM to 11:00 AM  </v>
      </c>
      <c r="K434" s="107">
        <f>IFERROR(__xludf.DUMMYFUNCTION("""COMPUTED_VALUE"""),45889.0)</f>
        <v>45889</v>
      </c>
      <c r="L434" s="61"/>
      <c r="M434" s="61"/>
      <c r="N434" s="61" t="str">
        <f>IFERROR(__xludf.DUMMYFUNCTION("""COMPUTED_VALUE"""),"7000 Lindell Blvd, St Louis, MO, 63130")</f>
        <v>7000 Lindell Blvd, St Louis, MO, 63130</v>
      </c>
      <c r="O434" s="61"/>
      <c r="P434" s="61" t="b">
        <f>COUNTIF('Delivered SIR'!A:A, E434) &gt; 0</f>
        <v>0</v>
      </c>
    </row>
    <row r="435">
      <c r="A435" s="102" t="str">
        <f>IFERROR(__xludf.DUMMYFUNCTION("""COMPUTED_VALUE"""),"https://utrucking.com/admin/orders/5933493256380")</f>
        <v>https://utrucking.com/admin/orders/5933493256380</v>
      </c>
      <c r="B435" s="65" t="str">
        <f>IFERROR(__xludf.DUMMYFUNCTION("""COMPUTED_VALUE"""),"#16161")</f>
        <v>#16161</v>
      </c>
      <c r="C435" s="65" t="str">
        <f>IFERROR(__xludf.DUMMYFUNCTION("""COMPUTED_VALUE"""),"l.olive@wustl.edu")</f>
        <v>l.olive@wustl.edu</v>
      </c>
      <c r="D435" s="65" t="str">
        <f>IFERROR(__xludf.DUMMYFUNCTION("""COMPUTED_VALUE"""),"(314) 320-6420")</f>
        <v>(314) 320-6420</v>
      </c>
      <c r="E435" s="65" t="str">
        <f>IFERROR(__xludf.DUMMYFUNCTION("""COMPUTED_VALUE"""),"Olive Li")</f>
        <v>Olive Li</v>
      </c>
      <c r="F435" s="65" t="str">
        <f>IFERROR(__xludf.DUMMYFUNCTION("""COMPUTED_VALUE"""),"Olive Li")</f>
        <v>Olive Li</v>
      </c>
      <c r="G435" s="65" t="str">
        <f>IFERROR(__xludf.DUMMYFUNCTION("""COMPUTED_VALUE"""),"6031 Waterman Blvd. Unit E")</f>
        <v>6031 Waterman Blvd. Unit E</v>
      </c>
      <c r="H435" s="65" t="str">
        <f>IFERROR(__xludf.DUMMYFUNCTION("""COMPUTED_VALUE"""),"Storage Item Return")</f>
        <v>Storage Item Return</v>
      </c>
      <c r="I435" s="65" t="str">
        <f>IFERROR(__xludf.DUMMYFUNCTION("""COMPUTED_VALUE"""),"Non-University Housing ")</f>
        <v>Non-University Housing </v>
      </c>
      <c r="J435" s="108" t="str">
        <f>IFERROR(__xludf.DUMMYFUNCTION("""COMPUTED_VALUE"""),"01:00 PM to 03:00 PM  ")</f>
        <v>01:00 PM to 03:00 PM  </v>
      </c>
      <c r="K435" s="108">
        <f>IFERROR(__xludf.DUMMYFUNCTION("""COMPUTED_VALUE"""),45882.0)</f>
        <v>45882</v>
      </c>
      <c r="L435" s="65"/>
      <c r="M435" s="65"/>
      <c r="N435" s="65" t="str">
        <f>IFERROR(__xludf.DUMMYFUNCTION("""COMPUTED_VALUE"""),"6031 Waterman Blvd. Unit E")</f>
        <v>6031 Waterman Blvd. Unit E</v>
      </c>
      <c r="O435" s="65"/>
      <c r="P435" s="65" t="b">
        <f>COUNTIF('Delivered SIR'!A:A, E435) &gt; 0</f>
        <v>0</v>
      </c>
    </row>
    <row r="436">
      <c r="A436" s="99" t="str">
        <f>IFERROR(__xludf.DUMMYFUNCTION("""COMPUTED_VALUE"""),"https://utrucking.com/admin/orders/5933526843580")</f>
        <v>https://utrucking.com/admin/orders/5933526843580</v>
      </c>
      <c r="B436" s="61" t="str">
        <f>IFERROR(__xludf.DUMMYFUNCTION("""COMPUTED_VALUE"""),"#16162")</f>
        <v>#16162</v>
      </c>
      <c r="C436" s="61"/>
      <c r="D436" s="61">
        <f>IFERROR(__xludf.DUMMYFUNCTION("""COMPUTED_VALUE"""),9.147724856E9)</f>
        <v>9147724856</v>
      </c>
      <c r="E436" s="61" t="str">
        <f>IFERROR(__xludf.DUMMYFUNCTION("""COMPUTED_VALUE"""),"Jennifer Canter")</f>
        <v>Jennifer Canter</v>
      </c>
      <c r="F436" s="61" t="str">
        <f>IFERROR(__xludf.DUMMYFUNCTION("""COMPUTED_VALUE"""),"Lucas Canter ")</f>
        <v>Lucas Canter </v>
      </c>
      <c r="G436" s="61" t="str">
        <f>IFERROR(__xludf.DUMMYFUNCTION("""COMPUTED_VALUE"""),"Everlly
6105 Delmar Blvd
Apt. 508
St. Louis  MO 63112
United States")</f>
        <v>Everlly
6105 Delmar Blvd
Apt. 508
St. Louis  MO 63112
United States</v>
      </c>
      <c r="H436" s="61" t="str">
        <f>IFERROR(__xludf.DUMMYFUNCTION("""COMPUTED_VALUE"""),"Storage Item Return")</f>
        <v>Storage Item Return</v>
      </c>
      <c r="I436" s="61" t="str">
        <f>IFERROR(__xludf.DUMMYFUNCTION("""COMPUTED_VALUE"""),"Non-University Housing ")</f>
        <v>Non-University Housing </v>
      </c>
      <c r="J436" s="107" t="str">
        <f>IFERROR(__xludf.DUMMYFUNCTION("""COMPUTED_VALUE"""),"02:00 PM to 04:00 PM")</f>
        <v>02:00 PM to 04:00 PM</v>
      </c>
      <c r="K436" s="107">
        <f>IFERROR(__xludf.DUMMYFUNCTION("""COMPUTED_VALUE"""),45883.0)</f>
        <v>45883</v>
      </c>
      <c r="L436" s="61"/>
      <c r="M436" s="61"/>
      <c r="N436" s="61" t="str">
        <f>IFERROR(__xludf.DUMMYFUNCTION("""COMPUTED_VALUE"""),"Everlly
6105 Delmar Blvd
Apt. 508
St. Louis  MO 63112
United States")</f>
        <v>Everlly
6105 Delmar Blvd
Apt. 508
St. Louis  MO 63112
United States</v>
      </c>
      <c r="O436" s="61"/>
      <c r="P436" s="61" t="b">
        <f>COUNTIF('Delivered SIR'!A:A, E436) &gt; 0</f>
        <v>0</v>
      </c>
    </row>
    <row r="437">
      <c r="A437" s="102" t="str">
        <f>IFERROR(__xludf.DUMMYFUNCTION("""COMPUTED_VALUE"""),"https://utrucking.com/admin/orders/5933656670396")</f>
        <v>https://utrucking.com/admin/orders/5933656670396</v>
      </c>
      <c r="B437" s="65" t="str">
        <f>IFERROR(__xludf.DUMMYFUNCTION("""COMPUTED_VALUE"""),"#16164")</f>
        <v>#16164</v>
      </c>
      <c r="C437" s="65"/>
      <c r="D437" s="65">
        <f>IFERROR(__xludf.DUMMYFUNCTION("""COMPUTED_VALUE"""),2.252187722E9)</f>
        <v>2252187722</v>
      </c>
      <c r="E437" s="65" t="str">
        <f>IFERROR(__xludf.DUMMYFUNCTION("""COMPUTED_VALUE"""),"Yvette Guilford-Perkins")</f>
        <v>Yvette Guilford-Perkins</v>
      </c>
      <c r="F437" s="65" t="str">
        <f>IFERROR(__xludf.DUMMYFUNCTION("""COMPUTED_VALUE"""),"Lauren Perkins")</f>
        <v>Lauren Perkins</v>
      </c>
      <c r="G437" s="65"/>
      <c r="H437" s="65" t="str">
        <f>IFERROR(__xludf.DUMMYFUNCTION("""COMPUTED_VALUE"""),"Storage Item Return")</f>
        <v>Storage Item Return</v>
      </c>
      <c r="I437" s="65" t="str">
        <f>IFERROR(__xludf.DUMMYFUNCTION("""COMPUTED_VALUE"""),"University Housing ")</f>
        <v>University Housing </v>
      </c>
      <c r="J437" s="108" t="str">
        <f>IFERROR(__xludf.DUMMYFUNCTION("""COMPUTED_VALUE"""),"09:00 AM to 11:00 AM  ")</f>
        <v>09:00 AM to 11:00 AM  </v>
      </c>
      <c r="K437" s="108">
        <f>IFERROR(__xludf.DUMMYFUNCTION("""COMPUTED_VALUE"""),45887.0)</f>
        <v>45887</v>
      </c>
      <c r="L437" s="65" t="str">
        <f>IFERROR(__xludf.DUMMYFUNCTION("""COMPUTED_VALUE"""),"Greenway Apartments  ")</f>
        <v>Greenway Apartments  </v>
      </c>
      <c r="M437" s="65" t="str">
        <f>IFERROR(__xludf.DUMMYFUNCTION("""COMPUTED_VALUE"""),"314-B")</f>
        <v>314-B</v>
      </c>
      <c r="N437" s="65"/>
      <c r="O437" s="65"/>
      <c r="P437" s="65" t="b">
        <f>COUNTIF('Delivered SIR'!A:A, E437) &gt; 0</f>
        <v>0</v>
      </c>
    </row>
    <row r="438">
      <c r="A438" s="99" t="str">
        <f>IFERROR(__xludf.DUMMYFUNCTION("""COMPUTED_VALUE"""),"https://utrucking.com/admin/orders/5933872939196")</f>
        <v>https://utrucking.com/admin/orders/5933872939196</v>
      </c>
      <c r="B438" s="61" t="str">
        <f>IFERROR(__xludf.DUMMYFUNCTION("""COMPUTED_VALUE"""),"#16168")</f>
        <v>#16168</v>
      </c>
      <c r="C438" s="61" t="str">
        <f>IFERROR(__xludf.DUMMYFUNCTION("""COMPUTED_VALUE"""),"e.hait@wustl.edu")</f>
        <v>e.hait@wustl.edu</v>
      </c>
      <c r="D438" s="61">
        <f>IFERROR(__xludf.DUMMYFUNCTION("""COMPUTED_VALUE"""),5.082165227E9)</f>
        <v>5082165227</v>
      </c>
      <c r="E438" s="61" t="str">
        <f>IFERROR(__xludf.DUMMYFUNCTION("""COMPUTED_VALUE"""),"Emma Hait")</f>
        <v>Emma Hait</v>
      </c>
      <c r="F438" s="61" t="str">
        <f>IFERROR(__xludf.DUMMYFUNCTION("""COMPUTED_VALUE"""),"Emma Hait")</f>
        <v>Emma Hait</v>
      </c>
      <c r="G438" s="61"/>
      <c r="H438" s="61" t="str">
        <f>IFERROR(__xludf.DUMMYFUNCTION("""COMPUTED_VALUE"""),"Storage Item Return")</f>
        <v>Storage Item Return</v>
      </c>
      <c r="I438" s="61" t="str">
        <f>IFERROR(__xludf.DUMMYFUNCTION("""COMPUTED_VALUE"""),"University Housing ")</f>
        <v>University Housing </v>
      </c>
      <c r="J438" s="107" t="str">
        <f>IFERROR(__xludf.DUMMYFUNCTION("""COMPUTED_VALUE"""),"09:00 AM to 11:00 AM  ")</f>
        <v>09:00 AM to 11:00 AM  </v>
      </c>
      <c r="K438" s="107">
        <f>IFERROR(__xludf.DUMMYFUNCTION("""COMPUTED_VALUE"""),45880.0)</f>
        <v>45880</v>
      </c>
      <c r="L438" s="61" t="str">
        <f>IFERROR(__xludf.DUMMYFUNCTION("""COMPUTED_VALUE"""),"Nemerov  ")</f>
        <v>Nemerov  </v>
      </c>
      <c r="M438" s="61" t="str">
        <f>IFERROR(__xludf.DUMMYFUNCTION("""COMPUTED_VALUE"""),"4083-a")</f>
        <v>4083-a</v>
      </c>
      <c r="N438" s="61"/>
      <c r="O438" s="61"/>
      <c r="P438" s="61" t="b">
        <f>COUNTIF('Delivered SIR'!A:A, E438) &gt; 0</f>
        <v>1</v>
      </c>
    </row>
    <row r="439">
      <c r="A439" s="102" t="str">
        <f>IFERROR(__xludf.DUMMYFUNCTION("""COMPUTED_VALUE"""),"https://utrucking.com/admin/orders/5933897056444")</f>
        <v>https://utrucking.com/admin/orders/5933897056444</v>
      </c>
      <c r="B439" s="65" t="str">
        <f>IFERROR(__xludf.DUMMYFUNCTION("""COMPUTED_VALUE"""),"#16169")</f>
        <v>#16169</v>
      </c>
      <c r="C439" s="65" t="str">
        <f>IFERROR(__xludf.DUMMYFUNCTION("""COMPUTED_VALUE"""),"a.chen1@wustl.edu")</f>
        <v>a.chen1@wustl.edu</v>
      </c>
      <c r="D439" s="65">
        <f>IFERROR(__xludf.DUMMYFUNCTION("""COMPUTED_VALUE"""),9.013381006E9)</f>
        <v>9013381006</v>
      </c>
      <c r="E439" s="65" t="str">
        <f>IFERROR(__xludf.DUMMYFUNCTION("""COMPUTED_VALUE"""),"Song Chen")</f>
        <v>Song Chen</v>
      </c>
      <c r="F439" s="65" t="str">
        <f>IFERROR(__xludf.DUMMYFUNCTION("""COMPUTED_VALUE"""),"Angela chen")</f>
        <v>Angela chen</v>
      </c>
      <c r="G439" s="65"/>
      <c r="H439" s="65" t="str">
        <f>IFERROR(__xludf.DUMMYFUNCTION("""COMPUTED_VALUE"""),"Storage Item Return")</f>
        <v>Storage Item Return</v>
      </c>
      <c r="I439" s="65" t="str">
        <f>IFERROR(__xludf.DUMMYFUNCTION("""COMPUTED_VALUE"""),"University Housing ")</f>
        <v>University Housing </v>
      </c>
      <c r="J439" s="108" t="str">
        <f>IFERROR(__xludf.DUMMYFUNCTION("""COMPUTED_VALUE"""),"09:00 AM to 11:00 AM  ")</f>
        <v>09:00 AM to 11:00 AM  </v>
      </c>
      <c r="K439" s="108">
        <f>IFERROR(__xludf.DUMMYFUNCTION("""COMPUTED_VALUE"""),45878.0)</f>
        <v>45878</v>
      </c>
      <c r="L439" s="65" t="str">
        <f>IFERROR(__xludf.DUMMYFUNCTION("""COMPUTED_VALUE"""),"Mudd  ")</f>
        <v>Mudd  </v>
      </c>
      <c r="M439" s="65" t="str">
        <f>IFERROR(__xludf.DUMMYFUNCTION("""COMPUTED_VALUE"""),"481")</f>
        <v>481</v>
      </c>
      <c r="N439" s="65"/>
      <c r="O439" s="65"/>
      <c r="P439" s="65" t="b">
        <f>COUNTIF('Delivered SIR'!A:A, E439) &gt; 0</f>
        <v>0</v>
      </c>
    </row>
    <row r="440">
      <c r="A440" s="99" t="str">
        <f>IFERROR(__xludf.DUMMYFUNCTION("""COMPUTED_VALUE"""),"https://utrucking.com/admin/orders/5933913145532")</f>
        <v>https://utrucking.com/admin/orders/5933913145532</v>
      </c>
      <c r="B440" s="61" t="str">
        <f>IFERROR(__xludf.DUMMYFUNCTION("""COMPUTED_VALUE"""),"#16170")</f>
        <v>#16170</v>
      </c>
      <c r="C440" s="61" t="str">
        <f>IFERROR(__xludf.DUMMYFUNCTION("""COMPUTED_VALUE"""),"a.r.victor@wustl.edu")</f>
        <v>a.r.victor@wustl.edu</v>
      </c>
      <c r="D440" s="61">
        <f>IFERROR(__xludf.DUMMYFUNCTION("""COMPUTED_VALUE"""),2.486729306E9)</f>
        <v>2486729306</v>
      </c>
      <c r="E440" s="61" t="str">
        <f>IFERROR(__xludf.DUMMYFUNCTION("""COMPUTED_VALUE"""),"Adin Victor")</f>
        <v>Adin Victor</v>
      </c>
      <c r="F440" s="61" t="str">
        <f>IFERROR(__xludf.DUMMYFUNCTION("""COMPUTED_VALUE"""),"Adin Victor")</f>
        <v>Adin Victor</v>
      </c>
      <c r="G440" s="61"/>
      <c r="H440" s="61" t="str">
        <f>IFERROR(__xludf.DUMMYFUNCTION("""COMPUTED_VALUE"""),"Storage Item Return")</f>
        <v>Storage Item Return</v>
      </c>
      <c r="I440" s="61" t="str">
        <f>IFERROR(__xludf.DUMMYFUNCTION("""COMPUTED_VALUE"""),"University Housing ")</f>
        <v>University Housing </v>
      </c>
      <c r="J440" s="107" t="str">
        <f>IFERROR(__xludf.DUMMYFUNCTION("""COMPUTED_VALUE"""),"12:00 PM to 02:00 PM  ")</f>
        <v>12:00 PM to 02:00 PM  </v>
      </c>
      <c r="K440" s="107">
        <f>IFERROR(__xludf.DUMMYFUNCTION("""COMPUTED_VALUE"""),45888.0)</f>
        <v>45888</v>
      </c>
      <c r="L440" s="61" t="str">
        <f>IFERROR(__xludf.DUMMYFUNCTION("""COMPUTED_VALUE"""),"Nemerov  ")</f>
        <v>Nemerov  </v>
      </c>
      <c r="M440" s="61" t="str">
        <f>IFERROR(__xludf.DUMMYFUNCTION("""COMPUTED_VALUE"""),"2080")</f>
        <v>2080</v>
      </c>
      <c r="N440" s="61"/>
      <c r="O440" s="61"/>
      <c r="P440" s="61" t="b">
        <f>COUNTIF('Delivered SIR'!A:A, E440) &gt; 0</f>
        <v>1</v>
      </c>
    </row>
    <row r="441">
      <c r="A441" s="102" t="str">
        <f>IFERROR(__xludf.DUMMYFUNCTION("""COMPUTED_VALUE"""),"https://utrucking.com/admin/orders/5933926809788")</f>
        <v>https://utrucking.com/admin/orders/5933926809788</v>
      </c>
      <c r="B441" s="65" t="str">
        <f>IFERROR(__xludf.DUMMYFUNCTION("""COMPUTED_VALUE"""),"#16171")</f>
        <v>#16171</v>
      </c>
      <c r="C441" s="65"/>
      <c r="D441" s="65">
        <f>IFERROR(__xludf.DUMMYFUNCTION("""COMPUTED_VALUE"""),9.146062356E9)</f>
        <v>9146062356</v>
      </c>
      <c r="E441" s="65" t="str">
        <f>IFERROR(__xludf.DUMMYFUNCTION("""COMPUTED_VALUE"""),"Grazia Violone")</f>
        <v>Grazia Violone</v>
      </c>
      <c r="F441" s="65" t="str">
        <f>IFERROR(__xludf.DUMMYFUNCTION("""COMPUTED_VALUE"""),"Luca Violone")</f>
        <v>Luca Violone</v>
      </c>
      <c r="G441" s="65"/>
      <c r="H441" s="65" t="str">
        <f>IFERROR(__xludf.DUMMYFUNCTION("""COMPUTED_VALUE"""),"Storage Item Return")</f>
        <v>Storage Item Return</v>
      </c>
      <c r="I441" s="65" t="str">
        <f>IFERROR(__xludf.DUMMYFUNCTION("""COMPUTED_VALUE"""),"University Housing ")</f>
        <v>University Housing </v>
      </c>
      <c r="J441" s="108" t="str">
        <f>IFERROR(__xludf.DUMMYFUNCTION("""COMPUTED_VALUE"""),"12:00 PM to 02:00 PM  ")</f>
        <v>12:00 PM to 02:00 PM  </v>
      </c>
      <c r="K441" s="108">
        <f>IFERROR(__xludf.DUMMYFUNCTION("""COMPUTED_VALUE"""),45883.0)</f>
        <v>45883</v>
      </c>
      <c r="L441" s="65" t="str">
        <f>IFERROR(__xludf.DUMMYFUNCTION("""COMPUTED_VALUE"""),"Gregg  ")</f>
        <v>Gregg  </v>
      </c>
      <c r="M441" s="65" t="str">
        <f>IFERROR(__xludf.DUMMYFUNCTION("""COMPUTED_VALUE"""),"3160 b")</f>
        <v>3160 b</v>
      </c>
      <c r="N441" s="65"/>
      <c r="O441" s="65"/>
      <c r="P441" s="65" t="b">
        <f>COUNTIF('Delivered SIR'!A:A, E441) &gt; 0</f>
        <v>0</v>
      </c>
    </row>
    <row r="442">
      <c r="A442" s="99" t="str">
        <f>IFERROR(__xludf.DUMMYFUNCTION("""COMPUTED_VALUE"""),"https://utrucking.com/admin/orders/5933989232828")</f>
        <v>https://utrucking.com/admin/orders/5933989232828</v>
      </c>
      <c r="B442" s="61" t="str">
        <f>IFERROR(__xludf.DUMMYFUNCTION("""COMPUTED_VALUE"""),"#16172")</f>
        <v>#16172</v>
      </c>
      <c r="C442" s="61" t="str">
        <f>IFERROR(__xludf.DUMMYFUNCTION("""COMPUTED_VALUE"""),"jeffrey.innocentlucifer@gmail.com")</f>
        <v>jeffrey.innocentlucifer@gmail.com</v>
      </c>
      <c r="D442" s="61" t="str">
        <f>IFERROR(__xludf.DUMMYFUNCTION("""COMPUTED_VALUE"""),"1 314-740-7363")</f>
        <v>1 314-740-7363</v>
      </c>
      <c r="E442" s="61" t="str">
        <f>IFERROR(__xludf.DUMMYFUNCTION("""COMPUTED_VALUE"""),"RUIFU CHEN")</f>
        <v>RUIFU CHEN</v>
      </c>
      <c r="F442" s="61" t="str">
        <f>IFERROR(__xludf.DUMMYFUNCTION("""COMPUTED_VALUE"""),"Jeffrey Chen")</f>
        <v>Jeffrey Chen</v>
      </c>
      <c r="G442" s="61" t="str">
        <f>IFERROR(__xludf.DUMMYFUNCTION("""COMPUTED_VALUE"""),"25 North Central Ave #413 Clayton MO 63105")</f>
        <v>25 North Central Ave #413 Clayton MO 63105</v>
      </c>
      <c r="H442" s="61" t="str">
        <f>IFERROR(__xludf.DUMMYFUNCTION("""COMPUTED_VALUE"""),"Storage Item Return")</f>
        <v>Storage Item Return</v>
      </c>
      <c r="I442" s="61" t="str">
        <f>IFERROR(__xludf.DUMMYFUNCTION("""COMPUTED_VALUE"""),"Non-University Housing ")</f>
        <v>Non-University Housing </v>
      </c>
      <c r="J442" s="107" t="str">
        <f>IFERROR(__xludf.DUMMYFUNCTION("""COMPUTED_VALUE"""),"10:00 AM to 12:00 PM  ")</f>
        <v>10:00 AM to 12:00 PM  </v>
      </c>
      <c r="K442" s="107">
        <f>IFERROR(__xludf.DUMMYFUNCTION("""COMPUTED_VALUE"""),45891.0)</f>
        <v>45891</v>
      </c>
      <c r="L442" s="61"/>
      <c r="M442" s="61"/>
      <c r="N442" s="61" t="str">
        <f>IFERROR(__xludf.DUMMYFUNCTION("""COMPUTED_VALUE"""),"25 North Central Ave #413 Clayton MO 63105")</f>
        <v>25 North Central Ave #413 Clayton MO 63105</v>
      </c>
      <c r="O442" s="61"/>
      <c r="P442" s="61" t="b">
        <f>COUNTIF('Delivered SIR'!A:A, E442) &gt; 0</f>
        <v>0</v>
      </c>
    </row>
    <row r="443">
      <c r="A443" s="102" t="str">
        <f>IFERROR(__xludf.DUMMYFUNCTION("""COMPUTED_VALUE"""),"https://utrucking.com/admin/orders/5934199701692")</f>
        <v>https://utrucking.com/admin/orders/5934199701692</v>
      </c>
      <c r="B443" s="65" t="str">
        <f>IFERROR(__xludf.DUMMYFUNCTION("""COMPUTED_VALUE"""),"#16177")</f>
        <v>#16177</v>
      </c>
      <c r="C443" s="65"/>
      <c r="D443" s="65">
        <f>IFERROR(__xludf.DUMMYFUNCTION("""COMPUTED_VALUE"""),7.735583081E9)</f>
        <v>7735583081</v>
      </c>
      <c r="E443" s="65" t="str">
        <f>IFERROR(__xludf.DUMMYFUNCTION("""COMPUTED_VALUE"""),"Corina Jones")</f>
        <v>Corina Jones</v>
      </c>
      <c r="F443" s="65" t="str">
        <f>IFERROR(__xludf.DUMMYFUNCTION("""COMPUTED_VALUE"""),"Coco Jones")</f>
        <v>Coco Jones</v>
      </c>
      <c r="G443" s="65"/>
      <c r="H443" s="65" t="str">
        <f>IFERROR(__xludf.DUMMYFUNCTION("""COMPUTED_VALUE"""),"Storage Item Return")</f>
        <v>Storage Item Return</v>
      </c>
      <c r="I443" s="65" t="str">
        <f>IFERROR(__xludf.DUMMYFUNCTION("""COMPUTED_VALUE"""),"University Housing ")</f>
        <v>University Housing </v>
      </c>
      <c r="J443" s="108" t="str">
        <f>IFERROR(__xludf.DUMMYFUNCTION("""COMPUTED_VALUE"""),"09:00 AM to 11:00 AM  ")</f>
        <v>09:00 AM to 11:00 AM  </v>
      </c>
      <c r="K443" s="108">
        <f>IFERROR(__xludf.DUMMYFUNCTION("""COMPUTED_VALUE"""),45889.0)</f>
        <v>45889</v>
      </c>
      <c r="L443" s="65" t="str">
        <f>IFERROR(__xludf.DUMMYFUNCTION("""COMPUTED_VALUE"""),"6633 University Drive  ")</f>
        <v>6633 University Drive  </v>
      </c>
      <c r="M443" s="65" t="str">
        <f>IFERROR(__xludf.DUMMYFUNCTION("""COMPUTED_VALUE"""),"2W-A")</f>
        <v>2W-A</v>
      </c>
      <c r="N443" s="65"/>
      <c r="O443" s="65"/>
      <c r="P443" s="65" t="b">
        <f>COUNTIF('Delivered SIR'!A:A, E443) &gt; 0</f>
        <v>1</v>
      </c>
    </row>
    <row r="444">
      <c r="A444" s="99" t="str">
        <f>IFERROR(__xludf.DUMMYFUNCTION("""COMPUTED_VALUE"""),"https://utrucking.com/admin/orders/5934209695932")</f>
        <v>https://utrucking.com/admin/orders/5934209695932</v>
      </c>
      <c r="B444" s="61" t="str">
        <f>IFERROR(__xludf.DUMMYFUNCTION("""COMPUTED_VALUE"""),"#16179")</f>
        <v>#16179</v>
      </c>
      <c r="C444" s="61"/>
      <c r="D444" s="61">
        <f>IFERROR(__xludf.DUMMYFUNCTION("""COMPUTED_VALUE"""),6.467570626E9)</f>
        <v>6467570626</v>
      </c>
      <c r="E444" s="61" t="str">
        <f>IFERROR(__xludf.DUMMYFUNCTION("""COMPUTED_VALUE"""),"Sam Modlinger")</f>
        <v>Sam Modlinger</v>
      </c>
      <c r="F444" s="61" t="str">
        <f>IFERROR(__xludf.DUMMYFUNCTION("""COMPUTED_VALUE"""),"Sam Modlinger")</f>
        <v>Sam Modlinger</v>
      </c>
      <c r="G444" s="61" t="str">
        <f>IFERROR(__xludf.DUMMYFUNCTION("""COMPUTED_VALUE"""),"6127 Waterman Boulevard")</f>
        <v>6127 Waterman Boulevard</v>
      </c>
      <c r="H444" s="61" t="str">
        <f>IFERROR(__xludf.DUMMYFUNCTION("""COMPUTED_VALUE"""),"Storage Item Return")</f>
        <v>Storage Item Return</v>
      </c>
      <c r="I444" s="61" t="str">
        <f>IFERROR(__xludf.DUMMYFUNCTION("""COMPUTED_VALUE"""),"Non-University Housing ")</f>
        <v>Non-University Housing </v>
      </c>
      <c r="J444" s="107" t="str">
        <f>IFERROR(__xludf.DUMMYFUNCTION("""COMPUTED_VALUE"""),"09:00 AM to 11:00 AM  ")</f>
        <v>09:00 AM to 11:00 AM  </v>
      </c>
      <c r="K444" s="107">
        <f>IFERROR(__xludf.DUMMYFUNCTION("""COMPUTED_VALUE"""),45890.0)</f>
        <v>45890</v>
      </c>
      <c r="L444" s="61"/>
      <c r="M444" s="61"/>
      <c r="N444" s="61" t="str">
        <f>IFERROR(__xludf.DUMMYFUNCTION("""COMPUTED_VALUE"""),"6127 Waterman Boulevard")</f>
        <v>6127 Waterman Boulevard</v>
      </c>
      <c r="O444" s="61"/>
      <c r="P444" s="61" t="b">
        <f>COUNTIF('Delivered SIR'!A:A, E444) &gt; 0</f>
        <v>0</v>
      </c>
    </row>
    <row r="445">
      <c r="A445" s="102" t="str">
        <f>IFERROR(__xludf.DUMMYFUNCTION("""COMPUTED_VALUE"""),"https://utrucking.com/admin/orders/5934227357884")</f>
        <v>https://utrucking.com/admin/orders/5934227357884</v>
      </c>
      <c r="B445" s="65" t="str">
        <f>IFERROR(__xludf.DUMMYFUNCTION("""COMPUTED_VALUE"""),"#16181")</f>
        <v>#16181</v>
      </c>
      <c r="C445" s="65" t="str">
        <f>IFERROR(__xludf.DUMMYFUNCTION("""COMPUTED_VALUE"""),"a.e.ramos@wustl.edu")</f>
        <v>a.e.ramos@wustl.edu</v>
      </c>
      <c r="D445" s="65">
        <f>IFERROR(__xludf.DUMMYFUNCTION("""COMPUTED_VALUE"""),9.565887369E9)</f>
        <v>9565887369</v>
      </c>
      <c r="E445" s="65" t="str">
        <f>IFERROR(__xludf.DUMMYFUNCTION("""COMPUTED_VALUE"""),"Anaelda Ramos")</f>
        <v>Anaelda Ramos</v>
      </c>
      <c r="F445" s="65" t="str">
        <f>IFERROR(__xludf.DUMMYFUNCTION("""COMPUTED_VALUE"""),"Anaelda Ramos")</f>
        <v>Anaelda Ramos</v>
      </c>
      <c r="G445" s="65"/>
      <c r="H445" s="65" t="str">
        <f>IFERROR(__xludf.DUMMYFUNCTION("""COMPUTED_VALUE"""),"Storage Item Return")</f>
        <v>Storage Item Return</v>
      </c>
      <c r="I445" s="65" t="str">
        <f>IFERROR(__xludf.DUMMYFUNCTION("""COMPUTED_VALUE"""),"University Housing ")</f>
        <v>University Housing </v>
      </c>
      <c r="J445" s="108" t="str">
        <f>IFERROR(__xludf.DUMMYFUNCTION("""COMPUTED_VALUE"""),"01:00 PM to 03:00 PM  ")</f>
        <v>01:00 PM to 03:00 PM  </v>
      </c>
      <c r="K445" s="108">
        <f>IFERROR(__xludf.DUMMYFUNCTION("""COMPUTED_VALUE"""),45889.0)</f>
        <v>45889</v>
      </c>
      <c r="L445" s="65" t="str">
        <f>IFERROR(__xludf.DUMMYFUNCTION("""COMPUTED_VALUE"""),"Greenway Apartments  ")</f>
        <v>Greenway Apartments  </v>
      </c>
      <c r="M445" s="65" t="str">
        <f>IFERROR(__xludf.DUMMYFUNCTION("""COMPUTED_VALUE"""),"117-B")</f>
        <v>117-B</v>
      </c>
      <c r="N445" s="65"/>
      <c r="O445" s="65"/>
      <c r="P445" s="65" t="b">
        <f>COUNTIF('Delivered SIR'!A:A, E445) &gt; 0</f>
        <v>1</v>
      </c>
    </row>
    <row r="446">
      <c r="A446" s="99" t="str">
        <f>IFERROR(__xludf.DUMMYFUNCTION("""COMPUTED_VALUE"""),"https://utrucking.com/admin/orders/5934235648188")</f>
        <v>https://utrucking.com/admin/orders/5934235648188</v>
      </c>
      <c r="B446" s="61" t="str">
        <f>IFERROR(__xludf.DUMMYFUNCTION("""COMPUTED_VALUE"""),"#16182")</f>
        <v>#16182</v>
      </c>
      <c r="C446" s="61" t="str">
        <f>IFERROR(__xludf.DUMMYFUNCTION("""COMPUTED_VALUE"""),"collin.k@wustl.edu")</f>
        <v>collin.k@wustl.edu</v>
      </c>
      <c r="D446" s="61">
        <f>IFERROR(__xludf.DUMMYFUNCTION("""COMPUTED_VALUE"""),2.133088884E9)</f>
        <v>2133088884</v>
      </c>
      <c r="E446" s="61" t="str">
        <f>IFERROR(__xludf.DUMMYFUNCTION("""COMPUTED_VALUE"""),"Collin Kim")</f>
        <v>Collin Kim</v>
      </c>
      <c r="F446" s="61" t="str">
        <f>IFERROR(__xludf.DUMMYFUNCTION("""COMPUTED_VALUE"""),"Collin Kim")</f>
        <v>Collin Kim</v>
      </c>
      <c r="G446" s="61" t="str">
        <f>IFERROR(__xludf.DUMMYFUNCTION("""COMPUTED_VALUE"""),"605 Leland Ave Apt. 401, St. Louis, MO 63130")</f>
        <v>605 Leland Ave Apt. 401, St. Louis, MO 63130</v>
      </c>
      <c r="H446" s="61" t="str">
        <f>IFERROR(__xludf.DUMMYFUNCTION("""COMPUTED_VALUE"""),"Storage Item Return")</f>
        <v>Storage Item Return</v>
      </c>
      <c r="I446" s="61" t="str">
        <f>IFERROR(__xludf.DUMMYFUNCTION("""COMPUTED_VALUE"""),"Non-University Housing ")</f>
        <v>Non-University Housing </v>
      </c>
      <c r="J446" s="107" t="str">
        <f>IFERROR(__xludf.DUMMYFUNCTION("""COMPUTED_VALUE"""),"02:00 PM to 04:00 PM")</f>
        <v>02:00 PM to 04:00 PM</v>
      </c>
      <c r="K446" s="107">
        <f>IFERROR(__xludf.DUMMYFUNCTION("""COMPUTED_VALUE"""),45891.0)</f>
        <v>45891</v>
      </c>
      <c r="L446" s="61"/>
      <c r="M446" s="61"/>
      <c r="N446" s="61" t="str">
        <f>IFERROR(__xludf.DUMMYFUNCTION("""COMPUTED_VALUE"""),"605 Leland Ave Apt. 401, St. Louis, MO 63130")</f>
        <v>605 Leland Ave Apt. 401, St. Louis, MO 63130</v>
      </c>
      <c r="O446" s="61"/>
      <c r="P446" s="61" t="b">
        <f>COUNTIF('Delivered SIR'!A:A, E446) &gt; 0</f>
        <v>0</v>
      </c>
    </row>
    <row r="447">
      <c r="A447" s="102" t="str">
        <f>IFERROR(__xludf.DUMMYFUNCTION("""COMPUTED_VALUE"""),"https://utrucking.com/admin/orders/5934435631292")</f>
        <v>https://utrucking.com/admin/orders/5934435631292</v>
      </c>
      <c r="B447" s="65" t="str">
        <f>IFERROR(__xludf.DUMMYFUNCTION("""COMPUTED_VALUE"""),"#16184")</f>
        <v>#16184</v>
      </c>
      <c r="C447" s="65"/>
      <c r="D447" s="65">
        <f>IFERROR(__xludf.DUMMYFUNCTION("""COMPUTED_VALUE"""),5.124612236E9)</f>
        <v>5124612236</v>
      </c>
      <c r="E447" s="65" t="str">
        <f>IFERROR(__xludf.DUMMYFUNCTION("""COMPUTED_VALUE"""),"Shannon Quisenberry")</f>
        <v>Shannon Quisenberry</v>
      </c>
      <c r="F447" s="65" t="str">
        <f>IFERROR(__xludf.DUMMYFUNCTION("""COMPUTED_VALUE"""),"Juliet Quisenberry")</f>
        <v>Juliet Quisenberry</v>
      </c>
      <c r="G447" s="65"/>
      <c r="H447" s="65" t="str">
        <f>IFERROR(__xludf.DUMMYFUNCTION("""COMPUTED_VALUE"""),"Storage Item Return")</f>
        <v>Storage Item Return</v>
      </c>
      <c r="I447" s="65" t="str">
        <f>IFERROR(__xludf.DUMMYFUNCTION("""COMPUTED_VALUE"""),"University Housing ")</f>
        <v>University Housing </v>
      </c>
      <c r="J447" s="108" t="str">
        <f>IFERROR(__xludf.DUMMYFUNCTION("""COMPUTED_VALUE"""),"01:00 PM to 03:00 PM  ")</f>
        <v>01:00 PM to 03:00 PM  </v>
      </c>
      <c r="K447" s="108">
        <f>IFERROR(__xludf.DUMMYFUNCTION("""COMPUTED_VALUE"""),45891.0)</f>
        <v>45891</v>
      </c>
      <c r="L447" s="65" t="str">
        <f>IFERROR(__xludf.DUMMYFUNCTION("""COMPUTED_VALUE"""),"Eliot B  ")</f>
        <v>Eliot B  </v>
      </c>
      <c r="M447" s="65" t="str">
        <f>IFERROR(__xludf.DUMMYFUNCTION("""COMPUTED_VALUE"""),"3064 a")</f>
        <v>3064 a</v>
      </c>
      <c r="N447" s="65"/>
      <c r="O447" s="65"/>
      <c r="P447" s="65" t="b">
        <f>COUNTIF('Delivered SIR'!A:A, E447) &gt; 0</f>
        <v>0</v>
      </c>
    </row>
    <row r="448">
      <c r="A448" s="99" t="str">
        <f>IFERROR(__xludf.DUMMYFUNCTION("""COMPUTED_VALUE"""),"https://utrucking.com/admin/orders/5934483144892")</f>
        <v>https://utrucking.com/admin/orders/5934483144892</v>
      </c>
      <c r="B448" s="61" t="str">
        <f>IFERROR(__xludf.DUMMYFUNCTION("""COMPUTED_VALUE"""),"#16186")</f>
        <v>#16186</v>
      </c>
      <c r="C448" s="61"/>
      <c r="D448" s="61">
        <f>IFERROR(__xludf.DUMMYFUNCTION("""COMPUTED_VALUE"""),4.103822747E9)</f>
        <v>4103822747</v>
      </c>
      <c r="E448" s="61" t="str">
        <f>IFERROR(__xludf.DUMMYFUNCTION("""COMPUTED_VALUE"""),"Lauren Klein")</f>
        <v>Lauren Klein</v>
      </c>
      <c r="F448" s="61" t="str">
        <f>IFERROR(__xludf.DUMMYFUNCTION("""COMPUTED_VALUE"""),"David Klein ")</f>
        <v>David Klein </v>
      </c>
      <c r="G448" s="61"/>
      <c r="H448" s="61" t="str">
        <f>IFERROR(__xludf.DUMMYFUNCTION("""COMPUTED_VALUE"""),"Storage Item Return")</f>
        <v>Storage Item Return</v>
      </c>
      <c r="I448" s="61" t="str">
        <f>IFERROR(__xludf.DUMMYFUNCTION("""COMPUTED_VALUE"""),"University Housing ")</f>
        <v>University Housing </v>
      </c>
      <c r="J448" s="107" t="str">
        <f>IFERROR(__xludf.DUMMYFUNCTION("""COMPUTED_VALUE"""),"09:00 AM to 11:00 AM  ")</f>
        <v>09:00 AM to 11:00 AM  </v>
      </c>
      <c r="K448" s="107">
        <f>IFERROR(__xludf.DUMMYFUNCTION("""COMPUTED_VALUE"""),45888.0)</f>
        <v>45888</v>
      </c>
      <c r="L448" s="61" t="str">
        <f>IFERROR(__xludf.DUMMYFUNCTION("""COMPUTED_VALUE"""),"6645 University Drive  ")</f>
        <v>6645 University Drive  </v>
      </c>
      <c r="M448" s="61" t="str">
        <f>IFERROR(__xludf.DUMMYFUNCTION("""COMPUTED_VALUE"""),"1E-B")</f>
        <v>1E-B</v>
      </c>
      <c r="N448" s="61"/>
      <c r="O448" s="61"/>
      <c r="P448" s="61" t="b">
        <f>COUNTIF('Delivered SIR'!A:A, E448) &gt; 0</f>
        <v>0</v>
      </c>
    </row>
    <row r="449">
      <c r="A449" s="102" t="str">
        <f>IFERROR(__xludf.DUMMYFUNCTION("""COMPUTED_VALUE"""),"https://utrucking.com/admin/orders/5934581383356")</f>
        <v>https://utrucking.com/admin/orders/5934581383356</v>
      </c>
      <c r="B449" s="65" t="str">
        <f>IFERROR(__xludf.DUMMYFUNCTION("""COMPUTED_VALUE"""),"#16190")</f>
        <v>#16190</v>
      </c>
      <c r="C449" s="65" t="str">
        <f>IFERROR(__xludf.DUMMYFUNCTION("""COMPUTED_VALUE"""),"f.yangtong@wustl.edu")</f>
        <v>f.yangtong@wustl.edu</v>
      </c>
      <c r="D449" s="65">
        <f>IFERROR(__xludf.DUMMYFUNCTION("""COMPUTED_VALUE"""),6.266259994E9)</f>
        <v>6266259994</v>
      </c>
      <c r="E449" s="65" t="str">
        <f>IFERROR(__xludf.DUMMYFUNCTION("""COMPUTED_VALUE"""),"Yangtong Feng")</f>
        <v>Yangtong Feng</v>
      </c>
      <c r="F449" s="65"/>
      <c r="G449" s="65"/>
      <c r="H449" s="65" t="str">
        <f>IFERROR(__xludf.DUMMYFUNCTION("""COMPUTED_VALUE"""),"Storage Item Return")</f>
        <v>Storage Item Return</v>
      </c>
      <c r="I449" s="65" t="str">
        <f>IFERROR(__xludf.DUMMYFUNCTION("""COMPUTED_VALUE"""),"University Housing ")</f>
        <v>University Housing </v>
      </c>
      <c r="J449" s="108" t="str">
        <f>IFERROR(__xludf.DUMMYFUNCTION("""COMPUTED_VALUE"""),"03:00 PM to 05:00 PM")</f>
        <v>03:00 PM to 05:00 PM</v>
      </c>
      <c r="K449" s="108">
        <f>IFERROR(__xludf.DUMMYFUNCTION("""COMPUTED_VALUE"""),45892.0)</f>
        <v>45892</v>
      </c>
      <c r="L449" s="65" t="str">
        <f>IFERROR(__xludf.DUMMYFUNCTION("""COMPUTED_VALUE"""),"Village House  ")</f>
        <v>Village House  </v>
      </c>
      <c r="M449" s="65" t="str">
        <f>IFERROR(__xludf.DUMMYFUNCTION("""COMPUTED_VALUE"""),"3034")</f>
        <v>3034</v>
      </c>
      <c r="N449" s="65"/>
      <c r="O449" s="65"/>
      <c r="P449" s="65" t="b">
        <f>COUNTIF('Delivered SIR'!A:A, E449) &gt; 0</f>
        <v>1</v>
      </c>
    </row>
    <row r="450">
      <c r="A450" s="99" t="str">
        <f>IFERROR(__xludf.DUMMYFUNCTION("""COMPUTED_VALUE"""),"https://utrucking.com/admin/orders/5934640791740")</f>
        <v>https://utrucking.com/admin/orders/5934640791740</v>
      </c>
      <c r="B450" s="61" t="str">
        <f>IFERROR(__xludf.DUMMYFUNCTION("""COMPUTED_VALUE"""),"#16191")</f>
        <v>#16191</v>
      </c>
      <c r="C450" s="61"/>
      <c r="D450" s="61">
        <f>IFERROR(__xludf.DUMMYFUNCTION("""COMPUTED_VALUE"""),3.147285258E9)</f>
        <v>3147285258</v>
      </c>
      <c r="E450" s="61" t="str">
        <f>IFERROR(__xludf.DUMMYFUNCTION("""COMPUTED_VALUE"""),"Justin Kim")</f>
        <v>Justin Kim</v>
      </c>
      <c r="F450" s="61" t="str">
        <f>IFERROR(__xludf.DUMMYFUNCTION("""COMPUTED_VALUE"""),"Justin Kim")</f>
        <v>Justin Kim</v>
      </c>
      <c r="G450" s="61"/>
      <c r="H450" s="61" t="str">
        <f>IFERROR(__xludf.DUMMYFUNCTION("""COMPUTED_VALUE"""),"Storage Item Return")</f>
        <v>Storage Item Return</v>
      </c>
      <c r="I450" s="61" t="str">
        <f>IFERROR(__xludf.DUMMYFUNCTION("""COMPUTED_VALUE"""),"University Housing ")</f>
        <v>University Housing </v>
      </c>
      <c r="J450" s="107" t="str">
        <f>IFERROR(__xludf.DUMMYFUNCTION("""COMPUTED_VALUE"""),"12:00 PM to 02:00 PM  ")</f>
        <v>12:00 PM to 02:00 PM  </v>
      </c>
      <c r="K450" s="107">
        <f>IFERROR(__xludf.DUMMYFUNCTION("""COMPUTED_VALUE"""),45889.0)</f>
        <v>45889</v>
      </c>
      <c r="L450" s="61" t="str">
        <f>IFERROR(__xludf.DUMMYFUNCTION("""COMPUTED_VALUE"""),"Village House  ")</f>
        <v>Village House  </v>
      </c>
      <c r="M450" s="61" t="str">
        <f>IFERROR(__xludf.DUMMYFUNCTION("""COMPUTED_VALUE"""),"3124")</f>
        <v>3124</v>
      </c>
      <c r="N450" s="61"/>
      <c r="O450" s="61"/>
      <c r="P450" s="61" t="b">
        <f>COUNTIF('Delivered SIR'!A:A, E450) &gt; 0</f>
        <v>1</v>
      </c>
    </row>
    <row r="451">
      <c r="A451" s="102" t="str">
        <f>IFERROR(__xludf.DUMMYFUNCTION("""COMPUTED_VALUE"""),"https://utrucking.com/admin/orders/5934716485820")</f>
        <v>https://utrucking.com/admin/orders/5934716485820</v>
      </c>
      <c r="B451" s="65" t="str">
        <f>IFERROR(__xludf.DUMMYFUNCTION("""COMPUTED_VALUE"""),"#16193")</f>
        <v>#16193</v>
      </c>
      <c r="C451" s="65" t="str">
        <f>IFERROR(__xludf.DUMMYFUNCTION("""COMPUTED_VALUE"""),"a.ratchakorn@wustl.edu")</f>
        <v>a.ratchakorn@wustl.edu</v>
      </c>
      <c r="D451" s="65">
        <f>IFERROR(__xludf.DUMMYFUNCTION("""COMPUTED_VALUE"""),4.152868676E9)</f>
        <v>4152868676</v>
      </c>
      <c r="E451" s="65" t="str">
        <f>IFERROR(__xludf.DUMMYFUNCTION("""COMPUTED_VALUE"""),"Ratchakorn Anuvattanaphorn")</f>
        <v>Ratchakorn Anuvattanaphorn</v>
      </c>
      <c r="F451" s="65" t="str">
        <f>IFERROR(__xludf.DUMMYFUNCTION("""COMPUTED_VALUE"""),"Ratchakorn Matthew Anuvattanaphorn")</f>
        <v>Ratchakorn Matthew Anuvattanaphorn</v>
      </c>
      <c r="G451" s="65"/>
      <c r="H451" s="65" t="str">
        <f>IFERROR(__xludf.DUMMYFUNCTION("""COMPUTED_VALUE"""),"Storage Item Return")</f>
        <v>Storage Item Return</v>
      </c>
      <c r="I451" s="65" t="str">
        <f>IFERROR(__xludf.DUMMYFUNCTION("""COMPUTED_VALUE"""),"University Housing ")</f>
        <v>University Housing </v>
      </c>
      <c r="J451" s="108" t="str">
        <f>IFERROR(__xludf.DUMMYFUNCTION("""COMPUTED_VALUE"""),"09:00 AM to 11:00 AM  ")</f>
        <v>09:00 AM to 11:00 AM  </v>
      </c>
      <c r="K451" s="108">
        <f>IFERROR(__xludf.DUMMYFUNCTION("""COMPUTED_VALUE"""),45890.0)</f>
        <v>45890</v>
      </c>
      <c r="L451" s="65" t="str">
        <f>IFERROR(__xludf.DUMMYFUNCTION("""COMPUTED_VALUE"""),"Shepley  ")</f>
        <v>Shepley  </v>
      </c>
      <c r="M451" s="65" t="str">
        <f>IFERROR(__xludf.DUMMYFUNCTION("""COMPUTED_VALUE"""),"3071")</f>
        <v>3071</v>
      </c>
      <c r="N451" s="65"/>
      <c r="O451" s="65"/>
      <c r="P451" s="65" t="b">
        <f>COUNTIF('Delivered SIR'!A:A, E451) &gt; 0</f>
        <v>1</v>
      </c>
    </row>
    <row r="452">
      <c r="A452" s="99" t="str">
        <f>IFERROR(__xludf.DUMMYFUNCTION("""COMPUTED_VALUE"""),"https://utrucking.com/admin/orders/5934940291260")</f>
        <v>https://utrucking.com/admin/orders/5934940291260</v>
      </c>
      <c r="B452" s="61" t="str">
        <f>IFERROR(__xludf.DUMMYFUNCTION("""COMPUTED_VALUE"""),"#16196")</f>
        <v>#16196</v>
      </c>
      <c r="C452" s="61" t="str">
        <f>IFERROR(__xludf.DUMMYFUNCTION("""COMPUTED_VALUE"""),"c.zion@wustl.edu")</f>
        <v>c.zion@wustl.edu</v>
      </c>
      <c r="D452" s="61">
        <f>IFERROR(__xludf.DUMMYFUNCTION("""COMPUTED_VALUE"""),6.195132161E9)</f>
        <v>6195132161</v>
      </c>
      <c r="E452" s="61" t="str">
        <f>IFERROR(__xludf.DUMMYFUNCTION("""COMPUTED_VALUE"""),"Zion Curb")</f>
        <v>Zion Curb</v>
      </c>
      <c r="F452" s="61" t="str">
        <f>IFERROR(__xludf.DUMMYFUNCTION("""COMPUTED_VALUE"""),"Zion Curb")</f>
        <v>Zion Curb</v>
      </c>
      <c r="G452" s="61"/>
      <c r="H452" s="61" t="str">
        <f>IFERROR(__xludf.DUMMYFUNCTION("""COMPUTED_VALUE"""),"Storage Item Return")</f>
        <v>Storage Item Return</v>
      </c>
      <c r="I452" s="61" t="str">
        <f>IFERROR(__xludf.DUMMYFUNCTION("""COMPUTED_VALUE"""),"University Housing ")</f>
        <v>University Housing </v>
      </c>
      <c r="J452" s="107" t="str">
        <f>IFERROR(__xludf.DUMMYFUNCTION("""COMPUTED_VALUE"""),"01:00 PM to 03:00 PM  ")</f>
        <v>01:00 PM to 03:00 PM  </v>
      </c>
      <c r="K452" s="107">
        <f>IFERROR(__xludf.DUMMYFUNCTION("""COMPUTED_VALUE"""),45888.0)</f>
        <v>45888</v>
      </c>
      <c r="L452" s="61" t="str">
        <f>IFERROR(__xludf.DUMMYFUNCTION("""COMPUTED_VALUE"""),"Liggett  ")</f>
        <v>Liggett  </v>
      </c>
      <c r="M452" s="61" t="str">
        <f>IFERROR(__xludf.DUMMYFUNCTION("""COMPUTED_VALUE"""),"3423 A")</f>
        <v>3423 A</v>
      </c>
      <c r="N452" s="61"/>
      <c r="O452" s="61"/>
      <c r="P452" s="61" t="b">
        <f>COUNTIF('Delivered SIR'!A:A, E452) &gt; 0</f>
        <v>1</v>
      </c>
    </row>
    <row r="453">
      <c r="A453" s="102" t="str">
        <f>IFERROR(__xludf.DUMMYFUNCTION("""COMPUTED_VALUE"""),"https://utrucking.com/admin/orders/5935094005948")</f>
        <v>https://utrucking.com/admin/orders/5935094005948</v>
      </c>
      <c r="B453" s="65" t="str">
        <f>IFERROR(__xludf.DUMMYFUNCTION("""COMPUTED_VALUE"""),"#16198")</f>
        <v>#16198</v>
      </c>
      <c r="C453" s="65" t="str">
        <f>IFERROR(__xludf.DUMMYFUNCTION("""COMPUTED_VALUE"""),"b.riddhishrree@wustl.edu")</f>
        <v>b.riddhishrree@wustl.edu</v>
      </c>
      <c r="D453" s="65">
        <f>IFERROR(__xludf.DUMMYFUNCTION("""COMPUTED_VALUE"""),9.082083515E9)</f>
        <v>9082083515</v>
      </c>
      <c r="E453" s="65" t="str">
        <f>IFERROR(__xludf.DUMMYFUNCTION("""COMPUTED_VALUE"""),"Riddhishrree Badhan")</f>
        <v>Riddhishrree Badhan</v>
      </c>
      <c r="F453" s="65" t="str">
        <f>IFERROR(__xludf.DUMMYFUNCTION("""COMPUTED_VALUE"""),"Riddhishrree Badhan")</f>
        <v>Riddhishrree Badhan</v>
      </c>
      <c r="G453" s="65"/>
      <c r="H453" s="65" t="str">
        <f>IFERROR(__xludf.DUMMYFUNCTION("""COMPUTED_VALUE"""),"Storage Item Return")</f>
        <v>Storage Item Return</v>
      </c>
      <c r="I453" s="65" t="str">
        <f>IFERROR(__xludf.DUMMYFUNCTION("""COMPUTED_VALUE"""),"University Housing ")</f>
        <v>University Housing </v>
      </c>
      <c r="J453" s="108" t="str">
        <f>IFERROR(__xludf.DUMMYFUNCTION("""COMPUTED_VALUE"""),"01:00 PM to 03:00 PM  ")</f>
        <v>01:00 PM to 03:00 PM  </v>
      </c>
      <c r="K453" s="108">
        <f>IFERROR(__xludf.DUMMYFUNCTION("""COMPUTED_VALUE"""),45880.0)</f>
        <v>45880</v>
      </c>
      <c r="L453" s="65" t="str">
        <f>IFERROR(__xludf.DUMMYFUNCTION("""COMPUTED_VALUE"""),"Umrath  ")</f>
        <v>Umrath  </v>
      </c>
      <c r="M453" s="65" t="str">
        <f>IFERROR(__xludf.DUMMYFUNCTION("""COMPUTED_VALUE"""),"2212")</f>
        <v>2212</v>
      </c>
      <c r="N453" s="65"/>
      <c r="O453" s="65"/>
      <c r="P453" s="65" t="b">
        <f>COUNTIF('Delivered SIR'!A:A, E453) &gt; 0</f>
        <v>0</v>
      </c>
    </row>
    <row r="454">
      <c r="A454" s="99" t="str">
        <f>IFERROR(__xludf.DUMMYFUNCTION("""COMPUTED_VALUE"""),"https://utrucking.com/admin/orders/5935290876092")</f>
        <v>https://utrucking.com/admin/orders/5935290876092</v>
      </c>
      <c r="B454" s="61" t="str">
        <f>IFERROR(__xludf.DUMMYFUNCTION("""COMPUTED_VALUE"""),"#16203")</f>
        <v>#16203</v>
      </c>
      <c r="C454" s="61"/>
      <c r="D454" s="61">
        <f>IFERROR(__xludf.DUMMYFUNCTION("""COMPUTED_VALUE"""),7.72888503E9)</f>
        <v>7728885030</v>
      </c>
      <c r="E454" s="61" t="str">
        <f>IFERROR(__xludf.DUMMYFUNCTION("""COMPUTED_VALUE"""),"Mariel Scher")</f>
        <v>Mariel Scher</v>
      </c>
      <c r="F454" s="61" t="str">
        <f>IFERROR(__xludf.DUMMYFUNCTION("""COMPUTED_VALUE"""),"Mariel Scher")</f>
        <v>Mariel Scher</v>
      </c>
      <c r="G454" s="61" t="str">
        <f>IFERROR(__xludf.DUMMYFUNCTION("""COMPUTED_VALUE"""),"Everly on the Loop 
6105 Delmar Blvd, St. Louis, MO 63112")</f>
        <v>Everly on the Loop 
6105 Delmar Blvd, St. Louis, MO 63112</v>
      </c>
      <c r="H454" s="61" t="str">
        <f>IFERROR(__xludf.DUMMYFUNCTION("""COMPUTED_VALUE"""),"Storage Item Return")</f>
        <v>Storage Item Return</v>
      </c>
      <c r="I454" s="61" t="str">
        <f>IFERROR(__xludf.DUMMYFUNCTION("""COMPUTED_VALUE"""),"Non-University Housing ")</f>
        <v>Non-University Housing </v>
      </c>
      <c r="J454" s="107" t="str">
        <f>IFERROR(__xludf.DUMMYFUNCTION("""COMPUTED_VALUE"""),"10:00 AM to 12:00 PM  ")</f>
        <v>10:00 AM to 12:00 PM  </v>
      </c>
      <c r="K454" s="107">
        <f>IFERROR(__xludf.DUMMYFUNCTION("""COMPUTED_VALUE"""),45890.0)</f>
        <v>45890</v>
      </c>
      <c r="L454" s="61"/>
      <c r="M454" s="61"/>
      <c r="N454" s="61" t="str">
        <f>IFERROR(__xludf.DUMMYFUNCTION("""COMPUTED_VALUE"""),"Everly on the Loop 
6105 Delmar Blvd, St. Louis, MO 63112")</f>
        <v>Everly on the Loop 
6105 Delmar Blvd, St. Louis, MO 63112</v>
      </c>
      <c r="O454" s="61"/>
      <c r="P454" s="61" t="b">
        <f>COUNTIF('Delivered SIR'!A:A, E454) &gt; 0</f>
        <v>0</v>
      </c>
    </row>
    <row r="455">
      <c r="A455" s="102" t="str">
        <f>IFERROR(__xludf.DUMMYFUNCTION("""COMPUTED_VALUE"""),"https://utrucking.com/admin/orders/5935387017404")</f>
        <v>https://utrucking.com/admin/orders/5935387017404</v>
      </c>
      <c r="B455" s="65" t="str">
        <f>IFERROR(__xludf.DUMMYFUNCTION("""COMPUTED_VALUE"""),"#16206")</f>
        <v>#16206</v>
      </c>
      <c r="C455" s="65"/>
      <c r="D455" s="65">
        <f>IFERROR(__xludf.DUMMYFUNCTION("""COMPUTED_VALUE"""),9.179915326E9)</f>
        <v>9179915326</v>
      </c>
      <c r="E455" s="65" t="str">
        <f>IFERROR(__xludf.DUMMYFUNCTION("""COMPUTED_VALUE"""),"Jessica Newman")</f>
        <v>Jessica Newman</v>
      </c>
      <c r="F455" s="65" t="str">
        <f>IFERROR(__xludf.DUMMYFUNCTION("""COMPUTED_VALUE"""),"Emi Newman")</f>
        <v>Emi Newman</v>
      </c>
      <c r="G455" s="65"/>
      <c r="H455" s="65" t="str">
        <f>IFERROR(__xludf.DUMMYFUNCTION("""COMPUTED_VALUE"""),"Storage Item Return")</f>
        <v>Storage Item Return</v>
      </c>
      <c r="I455" s="65" t="str">
        <f>IFERROR(__xludf.DUMMYFUNCTION("""COMPUTED_VALUE"""),"University Housing ")</f>
        <v>University Housing </v>
      </c>
      <c r="J455" s="108" t="str">
        <f>IFERROR(__xludf.DUMMYFUNCTION("""COMPUTED_VALUE"""),"09:00 AM to 11:00 AM  ")</f>
        <v>09:00 AM to 11:00 AM  </v>
      </c>
      <c r="K455" s="108">
        <f>IFERROR(__xludf.DUMMYFUNCTION("""COMPUTED_VALUE"""),45888.0)</f>
        <v>45888</v>
      </c>
      <c r="L455" s="65" t="str">
        <f>IFERROR(__xludf.DUMMYFUNCTION("""COMPUTED_VALUE"""),"Lopata  ")</f>
        <v>Lopata  </v>
      </c>
      <c r="M455" s="65" t="str">
        <f>IFERROR(__xludf.DUMMYFUNCTION("""COMPUTED_VALUE"""),"3023")</f>
        <v>3023</v>
      </c>
      <c r="N455" s="65"/>
      <c r="O455" s="65"/>
      <c r="P455" s="65" t="b">
        <f>COUNTIF('Delivered SIR'!A:A, E455) &gt; 0</f>
        <v>0</v>
      </c>
    </row>
    <row r="456">
      <c r="A456" s="99" t="str">
        <f>IFERROR(__xludf.DUMMYFUNCTION("""COMPUTED_VALUE"""),"https://utrucking.com/admin/orders/5935615180988")</f>
        <v>https://utrucking.com/admin/orders/5935615180988</v>
      </c>
      <c r="B456" s="61" t="str">
        <f>IFERROR(__xludf.DUMMYFUNCTION("""COMPUTED_VALUE"""),"#16214")</f>
        <v>#16214</v>
      </c>
      <c r="C456" s="61" t="str">
        <f>IFERROR(__xludf.DUMMYFUNCTION("""COMPUTED_VALUE"""),"zacharyd.lew@gmail.com")</f>
        <v>zacharyd.lew@gmail.com</v>
      </c>
      <c r="D456" s="61">
        <f>IFERROR(__xludf.DUMMYFUNCTION("""COMPUTED_VALUE"""),2.032909963E9)</f>
        <v>2032909963</v>
      </c>
      <c r="E456" s="61" t="str">
        <f>IFERROR(__xludf.DUMMYFUNCTION("""COMPUTED_VALUE"""),"Zachary Lew")</f>
        <v>Zachary Lew</v>
      </c>
      <c r="F456" s="61" t="str">
        <f>IFERROR(__xludf.DUMMYFUNCTION("""COMPUTED_VALUE"""),"Zachary Lew")</f>
        <v>Zachary Lew</v>
      </c>
      <c r="G456" s="61"/>
      <c r="H456" s="61" t="str">
        <f>IFERROR(__xludf.DUMMYFUNCTION("""COMPUTED_VALUE"""),"Storage Item Return")</f>
        <v>Storage Item Return</v>
      </c>
      <c r="I456" s="61" t="str">
        <f>IFERROR(__xludf.DUMMYFUNCTION("""COMPUTED_VALUE"""),"University Housing ")</f>
        <v>University Housing </v>
      </c>
      <c r="J456" s="107" t="str">
        <f>IFERROR(__xludf.DUMMYFUNCTION("""COMPUTED_VALUE"""),"09:00 AM to 11:00 AM  ")</f>
        <v>09:00 AM to 11:00 AM  </v>
      </c>
      <c r="K456" s="107">
        <f>IFERROR(__xludf.DUMMYFUNCTION("""COMPUTED_VALUE"""),45888.0)</f>
        <v>45888</v>
      </c>
      <c r="L456" s="61" t="str">
        <f>IFERROR(__xludf.DUMMYFUNCTION("""COMPUTED_VALUE"""),"Beaumont  ")</f>
        <v>Beaumont  </v>
      </c>
      <c r="M456" s="61" t="str">
        <f>IFERROR(__xludf.DUMMYFUNCTION("""COMPUTED_VALUE"""),"313")</f>
        <v>313</v>
      </c>
      <c r="N456" s="61"/>
      <c r="O456" s="61"/>
      <c r="P456" s="61" t="b">
        <f>COUNTIF('Delivered SIR'!A:A, E456) &gt; 0</f>
        <v>1</v>
      </c>
    </row>
    <row r="457">
      <c r="A457" s="102" t="str">
        <f>IFERROR(__xludf.DUMMYFUNCTION("""COMPUTED_VALUE"""),"https://utrucking.com/admin/orders/5935940632764")</f>
        <v>https://utrucking.com/admin/orders/5935940632764</v>
      </c>
      <c r="B457" s="65" t="str">
        <f>IFERROR(__xludf.DUMMYFUNCTION("""COMPUTED_VALUE"""),"#16225")</f>
        <v>#16225</v>
      </c>
      <c r="C457" s="65" t="str">
        <f>IFERROR(__xludf.DUMMYFUNCTION("""COMPUTED_VALUE"""),"reina1776@gmail.com")</f>
        <v>reina1776@gmail.com</v>
      </c>
      <c r="D457" s="65"/>
      <c r="E457" s="65" t="str">
        <f>IFERROR(__xludf.DUMMYFUNCTION("""COMPUTED_VALUE"""),"Julie Hack")</f>
        <v>Julie Hack</v>
      </c>
      <c r="F457" s="65" t="str">
        <f>IFERROR(__xludf.DUMMYFUNCTION("""COMPUTED_VALUE"""),"Kennedy Hack-Juman")</f>
        <v>Kennedy Hack-Juman</v>
      </c>
      <c r="G457" s="65"/>
      <c r="H457" s="65" t="str">
        <f>IFERROR(__xludf.DUMMYFUNCTION("""COMPUTED_VALUE"""),"Storage Item Return")</f>
        <v>Storage Item Return</v>
      </c>
      <c r="I457" s="65" t="str">
        <f>IFERROR(__xludf.DUMMYFUNCTION("""COMPUTED_VALUE"""),"University Housing ")</f>
        <v>University Housing </v>
      </c>
      <c r="J457" s="108" t="str">
        <f>IFERROR(__xludf.DUMMYFUNCTION("""COMPUTED_VALUE"""),"09:00 AM to 11:00 AM  ")</f>
        <v>09:00 AM to 11:00 AM  </v>
      </c>
      <c r="K457" s="108">
        <f>IFERROR(__xludf.DUMMYFUNCTION("""COMPUTED_VALUE"""),45887.0)</f>
        <v>45887</v>
      </c>
      <c r="L457" s="65" t="str">
        <f>IFERROR(__xludf.DUMMYFUNCTION("""COMPUTED_VALUE"""),"Lopata  ")</f>
        <v>Lopata  </v>
      </c>
      <c r="M457" s="65" t="str">
        <f>IFERROR(__xludf.DUMMYFUNCTION("""COMPUTED_VALUE"""),"3070")</f>
        <v>3070</v>
      </c>
      <c r="N457" s="65"/>
      <c r="O457" s="65"/>
      <c r="P457" s="65" t="b">
        <f>COUNTIF('Delivered SIR'!A:A, E457) &gt; 0</f>
        <v>0</v>
      </c>
    </row>
    <row r="458">
      <c r="A458" s="99" t="str">
        <f>IFERROR(__xludf.DUMMYFUNCTION("""COMPUTED_VALUE"""),"https://utrucking.com/admin/orders/5935992766652")</f>
        <v>https://utrucking.com/admin/orders/5935992766652</v>
      </c>
      <c r="B458" s="61" t="str">
        <f>IFERROR(__xludf.DUMMYFUNCTION("""COMPUTED_VALUE"""),"#16227")</f>
        <v>#16227</v>
      </c>
      <c r="C458" s="61" t="str">
        <f>IFERROR(__xludf.DUMMYFUNCTION("""COMPUTED_VALUE"""),"l.runfeng@wustl.edu")</f>
        <v>l.runfeng@wustl.edu</v>
      </c>
      <c r="D458" s="61">
        <f>IFERROR(__xludf.DUMMYFUNCTION("""COMPUTED_VALUE"""),3.147323414E9)</f>
        <v>3147323414</v>
      </c>
      <c r="E458" s="61" t="str">
        <f>IFERROR(__xludf.DUMMYFUNCTION("""COMPUTED_VALUE"""),"Runfeng Liu")</f>
        <v>Runfeng Liu</v>
      </c>
      <c r="F458" s="61" t="str">
        <f>IFERROR(__xludf.DUMMYFUNCTION("""COMPUTED_VALUE"""),"Alvin(Runfeng) Liu")</f>
        <v>Alvin(Runfeng) Liu</v>
      </c>
      <c r="G458" s="61"/>
      <c r="H458" s="61" t="str">
        <f>IFERROR(__xludf.DUMMYFUNCTION("""COMPUTED_VALUE"""),"Storage Item Return")</f>
        <v>Storage Item Return</v>
      </c>
      <c r="I458" s="61" t="str">
        <f>IFERROR(__xludf.DUMMYFUNCTION("""COMPUTED_VALUE"""),"University Housing ")</f>
        <v>University Housing </v>
      </c>
      <c r="J458" s="107" t="str">
        <f>IFERROR(__xludf.DUMMYFUNCTION("""COMPUTED_VALUE"""),"09:00 AM to 11:00 AM  ")</f>
        <v>09:00 AM to 11:00 AM  </v>
      </c>
      <c r="K458" s="107">
        <f>IFERROR(__xludf.DUMMYFUNCTION("""COMPUTED_VALUE"""),45882.0)</f>
        <v>45882</v>
      </c>
      <c r="L458" s="61" t="str">
        <f>IFERROR(__xludf.DUMMYFUNCTION("""COMPUTED_VALUE"""),"Shepley  ")</f>
        <v>Shepley  </v>
      </c>
      <c r="M458" s="61" t="str">
        <f>IFERROR(__xludf.DUMMYFUNCTION("""COMPUTED_VALUE"""),"4033-a")</f>
        <v>4033-a</v>
      </c>
      <c r="N458" s="61"/>
      <c r="O458" s="61"/>
      <c r="P458" s="61" t="b">
        <f>COUNTIF('Delivered SIR'!A:A, E458) &gt; 0</f>
        <v>1</v>
      </c>
    </row>
    <row r="459">
      <c r="A459" s="102" t="str">
        <f>IFERROR(__xludf.DUMMYFUNCTION("""COMPUTED_VALUE"""),"https://utrucking.com/admin/orders/5936009740476")</f>
        <v>https://utrucking.com/admin/orders/5936009740476</v>
      </c>
      <c r="B459" s="65" t="str">
        <f>IFERROR(__xludf.DUMMYFUNCTION("""COMPUTED_VALUE"""),"#16228")</f>
        <v>#16228</v>
      </c>
      <c r="C459" s="65" t="str">
        <f>IFERROR(__xludf.DUMMYFUNCTION("""COMPUTED_VALUE"""),"b.j.pennington@wustl.edu")</f>
        <v>b.j.pennington@wustl.edu</v>
      </c>
      <c r="D459" s="65">
        <f>IFERROR(__xludf.DUMMYFUNCTION("""COMPUTED_VALUE"""),7.735975714E9)</f>
        <v>7735975714</v>
      </c>
      <c r="E459" s="65" t="str">
        <f>IFERROR(__xludf.DUMMYFUNCTION("""COMPUTED_VALUE"""),"Brent Pennington")</f>
        <v>Brent Pennington</v>
      </c>
      <c r="F459" s="65" t="str">
        <f>IFERROR(__xludf.DUMMYFUNCTION("""COMPUTED_VALUE"""),"Brent Pennington")</f>
        <v>Brent Pennington</v>
      </c>
      <c r="G459" s="65"/>
      <c r="H459" s="65" t="str">
        <f>IFERROR(__xludf.DUMMYFUNCTION("""COMPUTED_VALUE"""),"Storage Item Return")</f>
        <v>Storage Item Return</v>
      </c>
      <c r="I459" s="65" t="str">
        <f>IFERROR(__xludf.DUMMYFUNCTION("""COMPUTED_VALUE"""),"University Housing ")</f>
        <v>University Housing </v>
      </c>
      <c r="J459" s="108" t="str">
        <f>IFERROR(__xludf.DUMMYFUNCTION("""COMPUTED_VALUE"""),"09:00 AM to 11:00 AM  ")</f>
        <v>09:00 AM to 11:00 AM  </v>
      </c>
      <c r="K459" s="108">
        <f>IFERROR(__xludf.DUMMYFUNCTION("""COMPUTED_VALUE"""),45888.0)</f>
        <v>45888</v>
      </c>
      <c r="L459" s="65" t="str">
        <f>IFERROR(__xludf.DUMMYFUNCTION("""COMPUTED_VALUE"""),"Loop Loft 6263  ")</f>
        <v>Loop Loft 6263  </v>
      </c>
      <c r="M459" s="65" t="str">
        <f>IFERROR(__xludf.DUMMYFUNCTION("""COMPUTED_VALUE"""),"207C")</f>
        <v>207C</v>
      </c>
      <c r="N459" s="65"/>
      <c r="O459" s="65"/>
      <c r="P459" s="65" t="b">
        <f>COUNTIF('Delivered SIR'!A:A, E459) &gt; 0</f>
        <v>1</v>
      </c>
    </row>
    <row r="460">
      <c r="A460" s="99" t="str">
        <f>IFERROR(__xludf.DUMMYFUNCTION("""COMPUTED_VALUE"""),"https://utrucking.com/admin/orders/5936041918652")</f>
        <v>https://utrucking.com/admin/orders/5936041918652</v>
      </c>
      <c r="B460" s="61" t="str">
        <f>IFERROR(__xludf.DUMMYFUNCTION("""COMPUTED_VALUE"""),"#16230")</f>
        <v>#16230</v>
      </c>
      <c r="C460" s="61"/>
      <c r="D460" s="61">
        <f>IFERROR(__xludf.DUMMYFUNCTION("""COMPUTED_VALUE"""),9.734942276E9)</f>
        <v>9734942276</v>
      </c>
      <c r="E460" s="61" t="str">
        <f>IFERROR(__xludf.DUMMYFUNCTION("""COMPUTED_VALUE"""),"Joshua Warner")</f>
        <v>Joshua Warner</v>
      </c>
      <c r="F460" s="61" t="str">
        <f>IFERROR(__xludf.DUMMYFUNCTION("""COMPUTED_VALUE"""),"Joshua Warner")</f>
        <v>Joshua Warner</v>
      </c>
      <c r="G460" s="61" t="str">
        <f>IFERROR(__xludf.DUMMYFUNCTION("""COMPUTED_VALUE"""),"6309 S Rosebury Ave, Apt 1E, Clayton, MO, 63105")</f>
        <v>6309 S Rosebury Ave, Apt 1E, Clayton, MO, 63105</v>
      </c>
      <c r="H460" s="61" t="str">
        <f>IFERROR(__xludf.DUMMYFUNCTION("""COMPUTED_VALUE"""),"Storage Item Return")</f>
        <v>Storage Item Return</v>
      </c>
      <c r="I460" s="61" t="str">
        <f>IFERROR(__xludf.DUMMYFUNCTION("""COMPUTED_VALUE"""),"Non-University Housing ")</f>
        <v>Non-University Housing </v>
      </c>
      <c r="J460" s="107" t="str">
        <f>IFERROR(__xludf.DUMMYFUNCTION("""COMPUTED_VALUE"""),"11:00 AM to 01:00 PM  ")</f>
        <v>11:00 AM to 01:00 PM  </v>
      </c>
      <c r="K460" s="107">
        <f>IFERROR(__xludf.DUMMYFUNCTION("""COMPUTED_VALUE"""),45883.0)</f>
        <v>45883</v>
      </c>
      <c r="L460" s="61"/>
      <c r="M460" s="61"/>
      <c r="N460" s="61" t="str">
        <f>IFERROR(__xludf.DUMMYFUNCTION("""COMPUTED_VALUE"""),"6309 S Rosebury Ave, Apt 1E, Clayton, MO, 63105")</f>
        <v>6309 S Rosebury Ave, Apt 1E, Clayton, MO, 63105</v>
      </c>
      <c r="O460" s="61"/>
      <c r="P460" s="61" t="b">
        <f>COUNTIF('Delivered SIR'!A:A, E460) &gt; 0</f>
        <v>0</v>
      </c>
    </row>
    <row r="461">
      <c r="A461" s="102" t="str">
        <f>IFERROR(__xludf.DUMMYFUNCTION("""COMPUTED_VALUE"""),"https://utrucking.com/admin/orders/5936134127804")</f>
        <v>https://utrucking.com/admin/orders/5936134127804</v>
      </c>
      <c r="B461" s="65" t="str">
        <f>IFERROR(__xludf.DUMMYFUNCTION("""COMPUTED_VALUE"""),"#16232")</f>
        <v>#16232</v>
      </c>
      <c r="C461" s="65"/>
      <c r="D461" s="65">
        <f>IFERROR(__xludf.DUMMYFUNCTION("""COMPUTED_VALUE"""),9.165912419E9)</f>
        <v>9165912419</v>
      </c>
      <c r="E461" s="65" t="str">
        <f>IFERROR(__xludf.DUMMYFUNCTION("""COMPUTED_VALUE"""),"Quentin Wallace")</f>
        <v>Quentin Wallace</v>
      </c>
      <c r="F461" s="65" t="str">
        <f>IFERROR(__xludf.DUMMYFUNCTION("""COMPUTED_VALUE"""),"Quentin Wallace")</f>
        <v>Quentin Wallace</v>
      </c>
      <c r="G461" s="65"/>
      <c r="H461" s="65" t="str">
        <f>IFERROR(__xludf.DUMMYFUNCTION("""COMPUTED_VALUE"""),"Storage Item Return")</f>
        <v>Storage Item Return</v>
      </c>
      <c r="I461" s="65" t="str">
        <f>IFERROR(__xludf.DUMMYFUNCTION("""COMPUTED_VALUE"""),"University Housing ")</f>
        <v>University Housing </v>
      </c>
      <c r="J461" s="108" t="str">
        <f>IFERROR(__xludf.DUMMYFUNCTION("""COMPUTED_VALUE"""),"12:00 PM to 02:00 PM  ")</f>
        <v>12:00 PM to 02:00 PM  </v>
      </c>
      <c r="K461" s="108">
        <f>IFERROR(__xludf.DUMMYFUNCTION("""COMPUTED_VALUE"""),45883.0)</f>
        <v>45883</v>
      </c>
      <c r="L461" s="65" t="str">
        <f>IFERROR(__xludf.DUMMYFUNCTION("""COMPUTED_VALUE"""),"Gregg  ")</f>
        <v>Gregg  </v>
      </c>
      <c r="M461" s="65" t="str">
        <f>IFERROR(__xludf.DUMMYFUNCTION("""COMPUTED_VALUE"""),"3160 A")</f>
        <v>3160 A</v>
      </c>
      <c r="N461" s="65"/>
      <c r="O461" s="65"/>
      <c r="P461" s="65" t="b">
        <f>COUNTIF('Delivered SIR'!A:A, E461) &gt; 0</f>
        <v>1</v>
      </c>
    </row>
    <row r="462">
      <c r="A462" s="99" t="str">
        <f>IFERROR(__xludf.DUMMYFUNCTION("""COMPUTED_VALUE"""),"https://utrucking.com/admin/orders/5936324182204")</f>
        <v>https://utrucking.com/admin/orders/5936324182204</v>
      </c>
      <c r="B462" s="61" t="str">
        <f>IFERROR(__xludf.DUMMYFUNCTION("""COMPUTED_VALUE"""),"#16237")</f>
        <v>#16237</v>
      </c>
      <c r="C462" s="61"/>
      <c r="D462" s="61">
        <f>IFERROR(__xludf.DUMMYFUNCTION("""COMPUTED_VALUE"""),9.176900058E9)</f>
        <v>9176900058</v>
      </c>
      <c r="E462" s="61" t="str">
        <f>IFERROR(__xludf.DUMMYFUNCTION("""COMPUTED_VALUE"""),"John Meer")</f>
        <v>John Meer</v>
      </c>
      <c r="F462" s="61" t="str">
        <f>IFERROR(__xludf.DUMMYFUNCTION("""COMPUTED_VALUE"""),"Avery Meer")</f>
        <v>Avery Meer</v>
      </c>
      <c r="G462" s="61"/>
      <c r="H462" s="61" t="str">
        <f>IFERROR(__xludf.DUMMYFUNCTION("""COMPUTED_VALUE"""),"Storage Item Return")</f>
        <v>Storage Item Return</v>
      </c>
      <c r="I462" s="61" t="str">
        <f>IFERROR(__xludf.DUMMYFUNCTION("""COMPUTED_VALUE"""),"University Housing ")</f>
        <v>University Housing </v>
      </c>
      <c r="J462" s="107" t="str">
        <f>IFERROR(__xludf.DUMMYFUNCTION("""COMPUTED_VALUE"""),"09:00 AM to 11:00 AM  ")</f>
        <v>09:00 AM to 11:00 AM  </v>
      </c>
      <c r="K462" s="107">
        <f>IFERROR(__xludf.DUMMYFUNCTION("""COMPUTED_VALUE"""),45890.0)</f>
        <v>45890</v>
      </c>
      <c r="L462" s="61" t="str">
        <f>IFERROR(__xludf.DUMMYFUNCTION("""COMPUTED_VALUE"""),"Greenway Apartments  ")</f>
        <v>Greenway Apartments  </v>
      </c>
      <c r="M462" s="61" t="str">
        <f>IFERROR(__xludf.DUMMYFUNCTION("""COMPUTED_VALUE"""),"012-B")</f>
        <v>012-B</v>
      </c>
      <c r="N462" s="61"/>
      <c r="O462" s="61"/>
      <c r="P462" s="61" t="b">
        <f>COUNTIF('Delivered SIR'!A:A, E462) &gt; 0</f>
        <v>0</v>
      </c>
    </row>
    <row r="463">
      <c r="A463" s="102" t="str">
        <f>IFERROR(__xludf.DUMMYFUNCTION("""COMPUTED_VALUE"""),"https://utrucking.com/admin/orders/5936342335676")</f>
        <v>https://utrucking.com/admin/orders/5936342335676</v>
      </c>
      <c r="B463" s="65" t="str">
        <f>IFERROR(__xludf.DUMMYFUNCTION("""COMPUTED_VALUE"""),"#16238")</f>
        <v>#16238</v>
      </c>
      <c r="C463" s="65" t="str">
        <f>IFERROR(__xludf.DUMMYFUNCTION("""COMPUTED_VALUE"""),"k.namhun@wustl.edu")</f>
        <v>k.namhun@wustl.edu</v>
      </c>
      <c r="D463" s="65">
        <f>IFERROR(__xludf.DUMMYFUNCTION("""COMPUTED_VALUE"""),3.142248719E9)</f>
        <v>3142248719</v>
      </c>
      <c r="E463" s="65" t="str">
        <f>IFERROR(__xludf.DUMMYFUNCTION("""COMPUTED_VALUE"""),"Namhun Kim")</f>
        <v>Namhun Kim</v>
      </c>
      <c r="F463" s="65" t="str">
        <f>IFERROR(__xludf.DUMMYFUNCTION("""COMPUTED_VALUE"""),"Namhun Kim")</f>
        <v>Namhun Kim</v>
      </c>
      <c r="G463" s="65" t="str">
        <f>IFERROR(__xludf.DUMMYFUNCTION("""COMPUTED_VALUE"""),"6669 Washington Avenue
Apartment 103
St. Louis, MO 63130")</f>
        <v>6669 Washington Avenue
Apartment 103
St. Louis, MO 63130</v>
      </c>
      <c r="H463" s="65" t="str">
        <f>IFERROR(__xludf.DUMMYFUNCTION("""COMPUTED_VALUE"""),"Storage Item Return")</f>
        <v>Storage Item Return</v>
      </c>
      <c r="I463" s="65" t="str">
        <f>IFERROR(__xludf.DUMMYFUNCTION("""COMPUTED_VALUE"""),"Non-University Housing ")</f>
        <v>Non-University Housing </v>
      </c>
      <c r="J463" s="108" t="str">
        <f>IFERROR(__xludf.DUMMYFUNCTION("""COMPUTED_VALUE"""),"12:00 PM to 02:00 PM  ")</f>
        <v>12:00 PM to 02:00 PM  </v>
      </c>
      <c r="K463" s="108">
        <f>IFERROR(__xludf.DUMMYFUNCTION("""COMPUTED_VALUE"""),45891.0)</f>
        <v>45891</v>
      </c>
      <c r="L463" s="65"/>
      <c r="M463" s="65"/>
      <c r="N463" s="65" t="str">
        <f>IFERROR(__xludf.DUMMYFUNCTION("""COMPUTED_VALUE"""),"6669 Washington Avenue
Apartment 103
St. Louis, MO 63130")</f>
        <v>6669 Washington Avenue
Apartment 103
St. Louis, MO 63130</v>
      </c>
      <c r="O463" s="65"/>
      <c r="P463" s="65" t="b">
        <f>COUNTIF('Delivered SIR'!A:A, E463) &gt; 0</f>
        <v>0</v>
      </c>
    </row>
    <row r="464">
      <c r="A464" s="99" t="str">
        <f>IFERROR(__xludf.DUMMYFUNCTION("""COMPUTED_VALUE"""),"https://utrucking.com/admin/orders/5936381690044")</f>
        <v>https://utrucking.com/admin/orders/5936381690044</v>
      </c>
      <c r="B464" s="61" t="str">
        <f>IFERROR(__xludf.DUMMYFUNCTION("""COMPUTED_VALUE"""),"#16239")</f>
        <v>#16239</v>
      </c>
      <c r="C464" s="61" t="str">
        <f>IFERROR(__xludf.DUMMYFUNCTION("""COMPUTED_VALUE"""),"a.g.jacob@wustl.edu")</f>
        <v>a.g.jacob@wustl.edu</v>
      </c>
      <c r="D464" s="61">
        <f>IFERROR(__xludf.DUMMYFUNCTION("""COMPUTED_VALUE"""),6.175489523E9)</f>
        <v>6175489523</v>
      </c>
      <c r="E464" s="61" t="str">
        <f>IFERROR(__xludf.DUMMYFUNCTION("""COMPUTED_VALUE"""),"Ania Jacob")</f>
        <v>Ania Jacob</v>
      </c>
      <c r="F464" s="61" t="str">
        <f>IFERROR(__xludf.DUMMYFUNCTION("""COMPUTED_VALUE"""),"Ania Jacob")</f>
        <v>Ania Jacob</v>
      </c>
      <c r="G464" s="61"/>
      <c r="H464" s="61" t="str">
        <f>IFERROR(__xludf.DUMMYFUNCTION("""COMPUTED_VALUE"""),"Storage Item Return")</f>
        <v>Storage Item Return</v>
      </c>
      <c r="I464" s="61" t="str">
        <f>IFERROR(__xludf.DUMMYFUNCTION("""COMPUTED_VALUE"""),"University Housing ")</f>
        <v>University Housing </v>
      </c>
      <c r="J464" s="107" t="str">
        <f>IFERROR(__xludf.DUMMYFUNCTION("""COMPUTED_VALUE"""),"09:00 AM to 11:00 AM  ")</f>
        <v>09:00 AM to 11:00 AM  </v>
      </c>
      <c r="K464" s="107">
        <f>IFERROR(__xludf.DUMMYFUNCTION("""COMPUTED_VALUE"""),45887.0)</f>
        <v>45887</v>
      </c>
      <c r="L464" s="61" t="str">
        <f>IFERROR(__xludf.DUMMYFUNCTION("""COMPUTED_VALUE"""),"Greenway Apartments  ")</f>
        <v>Greenway Apartments  </v>
      </c>
      <c r="M464" s="61" t="str">
        <f>IFERROR(__xludf.DUMMYFUNCTION("""COMPUTED_VALUE"""),"119A")</f>
        <v>119A</v>
      </c>
      <c r="N464" s="61"/>
      <c r="O464" s="61"/>
      <c r="P464" s="61" t="b">
        <f>COUNTIF('Delivered SIR'!A:A, E464) &gt; 0</f>
        <v>1</v>
      </c>
    </row>
    <row r="465">
      <c r="A465" s="102" t="str">
        <f>IFERROR(__xludf.DUMMYFUNCTION("""COMPUTED_VALUE"""),"https://utrucking.com/admin/orders/5936390176956")</f>
        <v>https://utrucking.com/admin/orders/5936390176956</v>
      </c>
      <c r="B465" s="65" t="str">
        <f>IFERROR(__xludf.DUMMYFUNCTION("""COMPUTED_VALUE"""),"#16240")</f>
        <v>#16240</v>
      </c>
      <c r="C465" s="65" t="str">
        <f>IFERROR(__xludf.DUMMYFUNCTION("""COMPUTED_VALUE"""),"h.kopel@wustl.edu")</f>
        <v>h.kopel@wustl.edu</v>
      </c>
      <c r="D465" s="65">
        <f>IFERROR(__xludf.DUMMYFUNCTION("""COMPUTED_VALUE"""),9.175533135E9)</f>
        <v>9175533135</v>
      </c>
      <c r="E465" s="65" t="str">
        <f>IFERROR(__xludf.DUMMYFUNCTION("""COMPUTED_VALUE"""),"Hallie Kopel")</f>
        <v>Hallie Kopel</v>
      </c>
      <c r="F465" s="65" t="str">
        <f>IFERROR(__xludf.DUMMYFUNCTION("""COMPUTED_VALUE"""),"Hallie Kopel")</f>
        <v>Hallie Kopel</v>
      </c>
      <c r="G465" s="65"/>
      <c r="H465" s="65" t="str">
        <f>IFERROR(__xludf.DUMMYFUNCTION("""COMPUTED_VALUE"""),"Storage Item Return")</f>
        <v>Storage Item Return</v>
      </c>
      <c r="I465" s="65" t="str">
        <f>IFERROR(__xludf.DUMMYFUNCTION("""COMPUTED_VALUE"""),"University Housing ")</f>
        <v>University Housing </v>
      </c>
      <c r="J465" s="108" t="str">
        <f>IFERROR(__xludf.DUMMYFUNCTION("""COMPUTED_VALUE"""),"09:00 AM to 11:00 AM  ")</f>
        <v>09:00 AM to 11:00 AM  </v>
      </c>
      <c r="K465" s="108">
        <f>IFERROR(__xludf.DUMMYFUNCTION("""COMPUTED_VALUE"""),45889.0)</f>
        <v>45889</v>
      </c>
      <c r="L465" s="65" t="str">
        <f>IFERROR(__xludf.DUMMYFUNCTION("""COMPUTED_VALUE"""),"Millbrook Bldg. 1  ")</f>
        <v>Millbrook Bldg. 1  </v>
      </c>
      <c r="M465" s="65" t="str">
        <f>IFERROR(__xludf.DUMMYFUNCTION("""COMPUTED_VALUE"""),"104")</f>
        <v>104</v>
      </c>
      <c r="N465" s="65"/>
      <c r="O465" s="65"/>
      <c r="P465" s="65" t="b">
        <f>COUNTIF('Delivered SIR'!A:A, E465) &gt; 0</f>
        <v>1</v>
      </c>
    </row>
    <row r="466">
      <c r="A466" s="99" t="str">
        <f>IFERROR(__xludf.DUMMYFUNCTION("""COMPUTED_VALUE"""),"https://utrucking.com/admin/orders/5936419799228")</f>
        <v>https://utrucking.com/admin/orders/5936419799228</v>
      </c>
      <c r="B466" s="61" t="str">
        <f>IFERROR(__xludf.DUMMYFUNCTION("""COMPUTED_VALUE"""),"#16242")</f>
        <v>#16242</v>
      </c>
      <c r="C466" s="61" t="str">
        <f>IFERROR(__xludf.DUMMYFUNCTION("""COMPUTED_VALUE"""),"chiu.t@wustl.edu")</f>
        <v>chiu.t@wustl.edu</v>
      </c>
      <c r="D466" s="61">
        <f>IFERROR(__xludf.DUMMYFUNCTION("""COMPUTED_VALUE"""),9.178269653E9)</f>
        <v>9178269653</v>
      </c>
      <c r="E466" s="61" t="str">
        <f>IFERROR(__xludf.DUMMYFUNCTION("""COMPUTED_VALUE"""),"Patricia Choi")</f>
        <v>Patricia Choi</v>
      </c>
      <c r="F466" s="61" t="str">
        <f>IFERROR(__xludf.DUMMYFUNCTION("""COMPUTED_VALUE"""),"Tyler Chiu")</f>
        <v>Tyler Chiu</v>
      </c>
      <c r="G466" s="61"/>
      <c r="H466" s="61" t="str">
        <f>IFERROR(__xludf.DUMMYFUNCTION("""COMPUTED_VALUE"""),"Storage Item Return")</f>
        <v>Storage Item Return</v>
      </c>
      <c r="I466" s="61" t="str">
        <f>IFERROR(__xludf.DUMMYFUNCTION("""COMPUTED_VALUE"""),"University Housing ")</f>
        <v>University Housing </v>
      </c>
      <c r="J466" s="107" t="str">
        <f>IFERROR(__xludf.DUMMYFUNCTION("""COMPUTED_VALUE"""),"10:00 AM to 12:00 PM  ")</f>
        <v>10:00 AM to 12:00 PM  </v>
      </c>
      <c r="K466" s="107">
        <f>IFERROR(__xludf.DUMMYFUNCTION("""COMPUTED_VALUE"""),45889.0)</f>
        <v>45889</v>
      </c>
      <c r="L466" s="61" t="str">
        <f>IFERROR(__xludf.DUMMYFUNCTION("""COMPUTED_VALUE"""),"Nemerov  ")</f>
        <v>Nemerov  </v>
      </c>
      <c r="M466" s="61" t="str">
        <f>IFERROR(__xludf.DUMMYFUNCTION("""COMPUTED_VALUE"""),"3032")</f>
        <v>3032</v>
      </c>
      <c r="N466" s="61"/>
      <c r="O466" s="61"/>
      <c r="P466" s="61" t="b">
        <f>COUNTIF('Delivered SIR'!A:A, E466) &gt; 0</f>
        <v>0</v>
      </c>
    </row>
    <row r="467">
      <c r="A467" s="102" t="str">
        <f>IFERROR(__xludf.DUMMYFUNCTION("""COMPUTED_VALUE"""),"https://utrucking.com/admin/orders/5936542810300")</f>
        <v>https://utrucking.com/admin/orders/5936542810300</v>
      </c>
      <c r="B467" s="65" t="str">
        <f>IFERROR(__xludf.DUMMYFUNCTION("""COMPUTED_VALUE"""),"#16247")</f>
        <v>#16247</v>
      </c>
      <c r="C467" s="65"/>
      <c r="D467" s="65">
        <f>IFERROR(__xludf.DUMMYFUNCTION("""COMPUTED_VALUE"""),6.103240732E9)</f>
        <v>6103240732</v>
      </c>
      <c r="E467" s="65" t="str">
        <f>IFERROR(__xludf.DUMMYFUNCTION("""COMPUTED_VALUE"""),"ETHAN CHUNG")</f>
        <v>ETHAN CHUNG</v>
      </c>
      <c r="F467" s="65" t="str">
        <f>IFERROR(__xludf.DUMMYFUNCTION("""COMPUTED_VALUE"""),"Ethan Chung")</f>
        <v>Ethan Chung</v>
      </c>
      <c r="G467" s="65"/>
      <c r="H467" s="65" t="str">
        <f>IFERROR(__xludf.DUMMYFUNCTION("""COMPUTED_VALUE"""),"Storage Item Return")</f>
        <v>Storage Item Return</v>
      </c>
      <c r="I467" s="65" t="str">
        <f>IFERROR(__xludf.DUMMYFUNCTION("""COMPUTED_VALUE"""),"University Housing ")</f>
        <v>University Housing </v>
      </c>
      <c r="J467" s="108" t="str">
        <f>IFERROR(__xludf.DUMMYFUNCTION("""COMPUTED_VALUE"""),"09:00 AM to 11:00 AM  ")</f>
        <v>09:00 AM to 11:00 AM  </v>
      </c>
      <c r="K467" s="108">
        <f>IFERROR(__xludf.DUMMYFUNCTION("""COMPUTED_VALUE"""),45882.0)</f>
        <v>45882</v>
      </c>
      <c r="L467" s="65" t="str">
        <f>IFERROR(__xludf.DUMMYFUNCTION("""COMPUTED_VALUE"""),"House 6 (Sigma Alpha Epsilon)  ")</f>
        <v>House 6 (Sigma Alpha Epsilon)  </v>
      </c>
      <c r="M467" s="65" t="str">
        <f>IFERROR(__xludf.DUMMYFUNCTION("""COMPUTED_VALUE"""),"301")</f>
        <v>301</v>
      </c>
      <c r="N467" s="65"/>
      <c r="O467" s="65"/>
      <c r="P467" s="65" t="b">
        <f>COUNTIF('Delivered SIR'!A:A, E467) &gt; 0</f>
        <v>1</v>
      </c>
    </row>
    <row r="468">
      <c r="A468" s="99" t="str">
        <f>IFERROR(__xludf.DUMMYFUNCTION("""COMPUTED_VALUE"""),"https://utrucking.com/admin/orders/5936860954812")</f>
        <v>https://utrucking.com/admin/orders/5936860954812</v>
      </c>
      <c r="B468" s="61" t="str">
        <f>IFERROR(__xludf.DUMMYFUNCTION("""COMPUTED_VALUE"""),"#16249")</f>
        <v>#16249</v>
      </c>
      <c r="C468" s="61" t="str">
        <f>IFERROR(__xludf.DUMMYFUNCTION("""COMPUTED_VALUE"""),"marasilverstein@gmail.com")</f>
        <v>marasilverstein@gmail.com</v>
      </c>
      <c r="D468" s="61">
        <f>IFERROR(__xludf.DUMMYFUNCTION("""COMPUTED_VALUE"""),5.165241033E9)</f>
        <v>5165241033</v>
      </c>
      <c r="E468" s="61" t="str">
        <f>IFERROR(__xludf.DUMMYFUNCTION("""COMPUTED_VALUE"""),"Mara Silverstein")</f>
        <v>Mara Silverstein</v>
      </c>
      <c r="F468" s="61" t="str">
        <f>IFERROR(__xludf.DUMMYFUNCTION("""COMPUTED_VALUE"""),"Ava Silverstein")</f>
        <v>Ava Silverstein</v>
      </c>
      <c r="G468" s="61" t="str">
        <f>IFERROR(__xludf.DUMMYFUNCTION("""COMPUTED_VALUE"""),"5942 McPherson Avenue ")</f>
        <v>5942 McPherson Avenue </v>
      </c>
      <c r="H468" s="61" t="str">
        <f>IFERROR(__xludf.DUMMYFUNCTION("""COMPUTED_VALUE"""),"Storage Item Return")</f>
        <v>Storage Item Return</v>
      </c>
      <c r="I468" s="61" t="str">
        <f>IFERROR(__xludf.DUMMYFUNCTION("""COMPUTED_VALUE"""),"Non-University Housing ")</f>
        <v>Non-University Housing </v>
      </c>
      <c r="J468" s="107" t="str">
        <f>IFERROR(__xludf.DUMMYFUNCTION("""COMPUTED_VALUE"""),"03:00 PM to 05:00 PM")</f>
        <v>03:00 PM to 05:00 PM</v>
      </c>
      <c r="K468" s="107">
        <f>IFERROR(__xludf.DUMMYFUNCTION("""COMPUTED_VALUE"""),45891.0)</f>
        <v>45891</v>
      </c>
      <c r="L468" s="61"/>
      <c r="M468" s="61"/>
      <c r="N468" s="61" t="str">
        <f>IFERROR(__xludf.DUMMYFUNCTION("""COMPUTED_VALUE"""),"5942 McPherson Avenue ")</f>
        <v>5942 McPherson Avenue </v>
      </c>
      <c r="O468" s="61"/>
      <c r="P468" s="61" t="b">
        <f>COUNTIF('Delivered SIR'!A:A, E468) &gt; 0</f>
        <v>0</v>
      </c>
    </row>
    <row r="469">
      <c r="A469" s="102" t="str">
        <f>IFERROR(__xludf.DUMMYFUNCTION("""COMPUTED_VALUE"""),"https://utrucking.com/admin/orders/5936930881724")</f>
        <v>https://utrucking.com/admin/orders/5936930881724</v>
      </c>
      <c r="B469" s="65" t="str">
        <f>IFERROR(__xludf.DUMMYFUNCTION("""COMPUTED_VALUE"""),"#16250")</f>
        <v>#16250</v>
      </c>
      <c r="C469" s="65"/>
      <c r="D469" s="65">
        <f>IFERROR(__xludf.DUMMYFUNCTION("""COMPUTED_VALUE"""),1.8454167986E10)</f>
        <v>18454167986</v>
      </c>
      <c r="E469" s="65" t="str">
        <f>IFERROR(__xludf.DUMMYFUNCTION("""COMPUTED_VALUE"""),"Kendra Close")</f>
        <v>Kendra Close</v>
      </c>
      <c r="F469" s="65" t="str">
        <f>IFERROR(__xludf.DUMMYFUNCTION("""COMPUTED_VALUE"""),"Quinn Close")</f>
        <v>Quinn Close</v>
      </c>
      <c r="G469" s="65" t="str">
        <f>IFERROR(__xludf.DUMMYFUNCTION("""COMPUTED_VALUE"""),"745 Westgate Ave")</f>
        <v>745 Westgate Ave</v>
      </c>
      <c r="H469" s="65" t="str">
        <f>IFERROR(__xludf.DUMMYFUNCTION("""COMPUTED_VALUE"""),"Storage Item Return")</f>
        <v>Storage Item Return</v>
      </c>
      <c r="I469" s="65" t="str">
        <f>IFERROR(__xludf.DUMMYFUNCTION("""COMPUTED_VALUE"""),"Non-University Housing ")</f>
        <v>Non-University Housing </v>
      </c>
      <c r="J469" s="108" t="str">
        <f>IFERROR(__xludf.DUMMYFUNCTION("""COMPUTED_VALUE"""),"03:00 PM to 05:00 PM")</f>
        <v>03:00 PM to 05:00 PM</v>
      </c>
      <c r="K469" s="108">
        <f>IFERROR(__xludf.DUMMYFUNCTION("""COMPUTED_VALUE"""),45887.0)</f>
        <v>45887</v>
      </c>
      <c r="L469" s="65"/>
      <c r="M469" s="65"/>
      <c r="N469" s="65" t="str">
        <f>IFERROR(__xludf.DUMMYFUNCTION("""COMPUTED_VALUE"""),"745 Westgate Ave")</f>
        <v>745 Westgate Ave</v>
      </c>
      <c r="O469" s="65"/>
      <c r="P469" s="65" t="b">
        <f>COUNTIF('Delivered SIR'!A:A, E469) &gt; 0</f>
        <v>0</v>
      </c>
    </row>
    <row r="470">
      <c r="A470" s="99" t="str">
        <f>IFERROR(__xludf.DUMMYFUNCTION("""COMPUTED_VALUE"""),"https://utrucking.com/admin/orders/5937032855740")</f>
        <v>https://utrucking.com/admin/orders/5937032855740</v>
      </c>
      <c r="B470" s="61" t="str">
        <f>IFERROR(__xludf.DUMMYFUNCTION("""COMPUTED_VALUE"""),"#16254")</f>
        <v>#16254</v>
      </c>
      <c r="C470" s="61" t="str">
        <f>IFERROR(__xludf.DUMMYFUNCTION("""COMPUTED_VALUE"""),"howard.y@wustl.edu")</f>
        <v>howard.y@wustl.edu</v>
      </c>
      <c r="D470" s="61">
        <f>IFERROR(__xludf.DUMMYFUNCTION("""COMPUTED_VALUE"""),5.104023568E9)</f>
        <v>5104023568</v>
      </c>
      <c r="E470" s="61" t="str">
        <f>IFERROR(__xludf.DUMMYFUNCTION("""COMPUTED_VALUE"""),"Howard Yu")</f>
        <v>Howard Yu</v>
      </c>
      <c r="F470" s="61" t="str">
        <f>IFERROR(__xludf.DUMMYFUNCTION("""COMPUTED_VALUE"""),"Howard Yu")</f>
        <v>Howard Yu</v>
      </c>
      <c r="G470" s="61"/>
      <c r="H470" s="61" t="str">
        <f>IFERROR(__xludf.DUMMYFUNCTION("""COMPUTED_VALUE"""),"Storage Item Return")</f>
        <v>Storage Item Return</v>
      </c>
      <c r="I470" s="61" t="str">
        <f>IFERROR(__xludf.DUMMYFUNCTION("""COMPUTED_VALUE"""),"University Housing ")</f>
        <v>University Housing </v>
      </c>
      <c r="J470" s="107" t="str">
        <f>IFERROR(__xludf.DUMMYFUNCTION("""COMPUTED_VALUE"""),"09:00 AM to 11:00 AM  ")</f>
        <v>09:00 AM to 11:00 AM  </v>
      </c>
      <c r="K470" s="107">
        <f>IFERROR(__xludf.DUMMYFUNCTION("""COMPUTED_VALUE"""),45889.0)</f>
        <v>45889</v>
      </c>
      <c r="L470" s="61" t="str">
        <f>IFERROR(__xludf.DUMMYFUNCTION("""COMPUTED_VALUE"""),"Village East  ")</f>
        <v>Village East  </v>
      </c>
      <c r="M470" s="61" t="str">
        <f>IFERROR(__xludf.DUMMYFUNCTION("""COMPUTED_VALUE"""),"1012-a")</f>
        <v>1012-a</v>
      </c>
      <c r="N470" s="61"/>
      <c r="O470" s="61"/>
      <c r="P470" s="61" t="b">
        <f>COUNTIF('Delivered SIR'!A:A, E470) &gt; 0</f>
        <v>1</v>
      </c>
    </row>
    <row r="471">
      <c r="A471" s="102" t="str">
        <f>IFERROR(__xludf.DUMMYFUNCTION("""COMPUTED_VALUE"""),"https://utrucking.com/admin/orders/5937056448700")</f>
        <v>https://utrucking.com/admin/orders/5937056448700</v>
      </c>
      <c r="B471" s="65" t="str">
        <f>IFERROR(__xludf.DUMMYFUNCTION("""COMPUTED_VALUE"""),"#16256")</f>
        <v>#16256</v>
      </c>
      <c r="C471" s="65" t="str">
        <f>IFERROR(__xludf.DUMMYFUNCTION("""COMPUTED_VALUE"""),"cheng.li1@wustl.edu")</f>
        <v>cheng.li1@wustl.edu</v>
      </c>
      <c r="D471" s="65">
        <f>IFERROR(__xludf.DUMMYFUNCTION("""COMPUTED_VALUE"""),6.507706708E9)</f>
        <v>6507706708</v>
      </c>
      <c r="E471" s="65" t="str">
        <f>IFERROR(__xludf.DUMMYFUNCTION("""COMPUTED_VALUE"""),"Cheng Li")</f>
        <v>Cheng Li</v>
      </c>
      <c r="F471" s="65" t="str">
        <f>IFERROR(__xludf.DUMMYFUNCTION("""COMPUTED_VALUE"""),"Cheng Li ")</f>
        <v>Cheng Li </v>
      </c>
      <c r="G471" s="65" t="str">
        <f>IFERROR(__xludf.DUMMYFUNCTION("""COMPUTED_VALUE"""),"6652 Washington, Apt. A6")</f>
        <v>6652 Washington, Apt. A6</v>
      </c>
      <c r="H471" s="65" t="str">
        <f>IFERROR(__xludf.DUMMYFUNCTION("""COMPUTED_VALUE"""),"Storage Item Return")</f>
        <v>Storage Item Return</v>
      </c>
      <c r="I471" s="65" t="str">
        <f>IFERROR(__xludf.DUMMYFUNCTION("""COMPUTED_VALUE"""),"Non-University Housing ")</f>
        <v>Non-University Housing </v>
      </c>
      <c r="J471" s="108" t="str">
        <f>IFERROR(__xludf.DUMMYFUNCTION("""COMPUTED_VALUE"""),"02:00 PM to 04:00 PM")</f>
        <v>02:00 PM to 04:00 PM</v>
      </c>
      <c r="K471" s="108">
        <f>IFERROR(__xludf.DUMMYFUNCTION("""COMPUTED_VALUE"""),45891.0)</f>
        <v>45891</v>
      </c>
      <c r="L471" s="65"/>
      <c r="M471" s="65"/>
      <c r="N471" s="65" t="str">
        <f>IFERROR(__xludf.DUMMYFUNCTION("""COMPUTED_VALUE"""),"6652 Washington, Apt. A6")</f>
        <v>6652 Washington, Apt. A6</v>
      </c>
      <c r="O471" s="65"/>
      <c r="P471" s="65" t="b">
        <f>COUNTIF('Delivered SIR'!A:A, E471) &gt; 0</f>
        <v>0</v>
      </c>
    </row>
    <row r="472">
      <c r="A472" s="99" t="str">
        <f>IFERROR(__xludf.DUMMYFUNCTION("""COMPUTED_VALUE"""),"https://utrucking.com/admin/orders/5937175625916")</f>
        <v>https://utrucking.com/admin/orders/5937175625916</v>
      </c>
      <c r="B472" s="61" t="str">
        <f>IFERROR(__xludf.DUMMYFUNCTION("""COMPUTED_VALUE"""),"#16262")</f>
        <v>#16262</v>
      </c>
      <c r="C472" s="61" t="str">
        <f>IFERROR(__xludf.DUMMYFUNCTION("""COMPUTED_VALUE"""),"beaulieu@wustl.edu")</f>
        <v>beaulieu@wustl.edu</v>
      </c>
      <c r="D472" s="61">
        <f>IFERROR(__xludf.DUMMYFUNCTION("""COMPUTED_VALUE"""),7.036774759E9)</f>
        <v>7036774759</v>
      </c>
      <c r="E472" s="61" t="str">
        <f>IFERROR(__xludf.DUMMYFUNCTION("""COMPUTED_VALUE"""),"Noel Beaulieu")</f>
        <v>Noel Beaulieu</v>
      </c>
      <c r="F472" s="61" t="str">
        <f>IFERROR(__xludf.DUMMYFUNCTION("""COMPUTED_VALUE"""),"Noel Beaulieu")</f>
        <v>Noel Beaulieu</v>
      </c>
      <c r="G472" s="61"/>
      <c r="H472" s="61" t="str">
        <f>IFERROR(__xludf.DUMMYFUNCTION("""COMPUTED_VALUE"""),"Storage Item Return")</f>
        <v>Storage Item Return</v>
      </c>
      <c r="I472" s="61" t="str">
        <f>IFERROR(__xludf.DUMMYFUNCTION("""COMPUTED_VALUE"""),"University Housing ")</f>
        <v>University Housing </v>
      </c>
      <c r="J472" s="107" t="str">
        <f>IFERROR(__xludf.DUMMYFUNCTION("""COMPUTED_VALUE"""),"09:00 AM to 11:00 AM  ")</f>
        <v>09:00 AM to 11:00 AM  </v>
      </c>
      <c r="K472" s="107">
        <f>IFERROR(__xludf.DUMMYFUNCTION("""COMPUTED_VALUE"""),45889.0)</f>
        <v>45889</v>
      </c>
      <c r="L472" s="61" t="str">
        <f>IFERROR(__xludf.DUMMYFUNCTION("""COMPUTED_VALUE"""),"Greenway Apartments  ")</f>
        <v>Greenway Apartments  </v>
      </c>
      <c r="M472" s="61" t="str">
        <f>IFERROR(__xludf.DUMMYFUNCTION("""COMPUTED_VALUE"""),"138-A-a")</f>
        <v>138-A-a</v>
      </c>
      <c r="N472" s="61"/>
      <c r="O472" s="61"/>
      <c r="P472" s="61" t="b">
        <f>COUNTIF('Delivered SIR'!A:A, E472) &gt; 0</f>
        <v>1</v>
      </c>
    </row>
    <row r="473">
      <c r="A473" s="102" t="str">
        <f>IFERROR(__xludf.DUMMYFUNCTION("""COMPUTED_VALUE"""),"https://utrucking.com/admin/orders/5937197908156")</f>
        <v>https://utrucking.com/admin/orders/5937197908156</v>
      </c>
      <c r="B473" s="65" t="str">
        <f>IFERROR(__xludf.DUMMYFUNCTION("""COMPUTED_VALUE"""),"#16263")</f>
        <v>#16263</v>
      </c>
      <c r="C473" s="65" t="str">
        <f>IFERROR(__xludf.DUMMYFUNCTION("""COMPUTED_VALUE"""),"s.n.witt@wustl.edu")</f>
        <v>s.n.witt@wustl.edu</v>
      </c>
      <c r="D473" s="65">
        <f>IFERROR(__xludf.DUMMYFUNCTION("""COMPUTED_VALUE"""),9.082108815E9)</f>
        <v>9082108815</v>
      </c>
      <c r="E473" s="65" t="str">
        <f>IFERROR(__xludf.DUMMYFUNCTION("""COMPUTED_VALUE"""),"Samantha Witt")</f>
        <v>Samantha Witt</v>
      </c>
      <c r="F473" s="65" t="str">
        <f>IFERROR(__xludf.DUMMYFUNCTION("""COMPUTED_VALUE"""),"Samantha Witt")</f>
        <v>Samantha Witt</v>
      </c>
      <c r="G473" s="65" t="str">
        <f>IFERROR(__xludf.DUMMYFUNCTION("""COMPUTED_VALUE"""),"723 Interdrive, Apartment #2, University City, MO 63130")</f>
        <v>723 Interdrive, Apartment #2, University City, MO 63130</v>
      </c>
      <c r="H473" s="65" t="str">
        <f>IFERROR(__xludf.DUMMYFUNCTION("""COMPUTED_VALUE"""),"Storage Item Return")</f>
        <v>Storage Item Return</v>
      </c>
      <c r="I473" s="65" t="str">
        <f>IFERROR(__xludf.DUMMYFUNCTION("""COMPUTED_VALUE"""),"Non-University Housing ")</f>
        <v>Non-University Housing </v>
      </c>
      <c r="J473" s="108" t="str">
        <f>IFERROR(__xludf.DUMMYFUNCTION("""COMPUTED_VALUE"""),"12:00 PM to 02:00 PM  ")</f>
        <v>12:00 PM to 02:00 PM  </v>
      </c>
      <c r="K473" s="108">
        <f>IFERROR(__xludf.DUMMYFUNCTION("""COMPUTED_VALUE"""),45891.0)</f>
        <v>45891</v>
      </c>
      <c r="L473" s="65"/>
      <c r="M473" s="65"/>
      <c r="N473" s="65" t="str">
        <f>IFERROR(__xludf.DUMMYFUNCTION("""COMPUTED_VALUE"""),"723 Interdrive, Apartment #2, University City, MO 63130")</f>
        <v>723 Interdrive, Apartment #2, University City, MO 63130</v>
      </c>
      <c r="O473" s="65"/>
      <c r="P473" s="65" t="b">
        <f>COUNTIF('Delivered SIR'!A:A, E473) &gt; 0</f>
        <v>0</v>
      </c>
    </row>
    <row r="474">
      <c r="A474" s="99" t="str">
        <f>IFERROR(__xludf.DUMMYFUNCTION("""COMPUTED_VALUE"""),"https://utrucking.com/admin/orders/5937224188092")</f>
        <v>https://utrucking.com/admin/orders/5937224188092</v>
      </c>
      <c r="B474" s="61" t="str">
        <f>IFERROR(__xludf.DUMMYFUNCTION("""COMPUTED_VALUE"""),"#16264")</f>
        <v>#16264</v>
      </c>
      <c r="C474" s="61" t="str">
        <f>IFERROR(__xludf.DUMMYFUNCTION("""COMPUTED_VALUE"""),"fionamadeleinebell@gmail.com")</f>
        <v>fionamadeleinebell@gmail.com</v>
      </c>
      <c r="D474" s="61">
        <f>IFERROR(__xludf.DUMMYFUNCTION("""COMPUTED_VALUE"""),9.179752699E9)</f>
        <v>9179752699</v>
      </c>
      <c r="E474" s="61" t="str">
        <f>IFERROR(__xludf.DUMMYFUNCTION("""COMPUTED_VALUE"""),"Fiona Bell")</f>
        <v>Fiona Bell</v>
      </c>
      <c r="F474" s="61" t="str">
        <f>IFERROR(__xludf.DUMMYFUNCTION("""COMPUTED_VALUE"""),"Fiona Bell")</f>
        <v>Fiona Bell</v>
      </c>
      <c r="G474" s="61"/>
      <c r="H474" s="61" t="str">
        <f>IFERROR(__xludf.DUMMYFUNCTION("""COMPUTED_VALUE"""),"Storage Item Return")</f>
        <v>Storage Item Return</v>
      </c>
      <c r="I474" s="61" t="str">
        <f>IFERROR(__xludf.DUMMYFUNCTION("""COMPUTED_VALUE"""),"University Housing ")</f>
        <v>University Housing </v>
      </c>
      <c r="J474" s="107" t="str">
        <f>IFERROR(__xludf.DUMMYFUNCTION("""COMPUTED_VALUE"""),"09:00 AM to 11:00 AM  ")</f>
        <v>09:00 AM to 11:00 AM  </v>
      </c>
      <c r="K474" s="107">
        <f>IFERROR(__xludf.DUMMYFUNCTION("""COMPUTED_VALUE"""),45887.0)</f>
        <v>45887</v>
      </c>
      <c r="L474" s="61" t="str">
        <f>IFERROR(__xludf.DUMMYFUNCTION("""COMPUTED_VALUE"""),"Beaumont  ")</f>
        <v>Beaumont  </v>
      </c>
      <c r="M474" s="61" t="str">
        <f>IFERROR(__xludf.DUMMYFUNCTION("""COMPUTED_VALUE"""),"206 B")</f>
        <v>206 B</v>
      </c>
      <c r="N474" s="61"/>
      <c r="O474" s="61"/>
      <c r="P474" s="61" t="b">
        <f>COUNTIF('Delivered SIR'!A:A, E474) &gt; 0</f>
        <v>1</v>
      </c>
    </row>
    <row r="475">
      <c r="A475" s="102" t="str">
        <f>IFERROR(__xludf.DUMMYFUNCTION("""COMPUTED_VALUE"""),"https://utrucking.com/admin/orders/5937344872636")</f>
        <v>https://utrucking.com/admin/orders/5937344872636</v>
      </c>
      <c r="B475" s="65" t="str">
        <f>IFERROR(__xludf.DUMMYFUNCTION("""COMPUTED_VALUE"""),"#16266")</f>
        <v>#16266</v>
      </c>
      <c r="C475" s="65" t="str">
        <f>IFERROR(__xludf.DUMMYFUNCTION("""COMPUTED_VALUE"""),"brian6.h.sung@gmail.com")</f>
        <v>brian6.h.sung@gmail.com</v>
      </c>
      <c r="D475" s="65">
        <f>IFERROR(__xludf.DUMMYFUNCTION("""COMPUTED_VALUE"""),4.259226562E9)</f>
        <v>4259226562</v>
      </c>
      <c r="E475" s="65" t="str">
        <f>IFERROR(__xludf.DUMMYFUNCTION("""COMPUTED_VALUE"""),"Suyeon Choi")</f>
        <v>Suyeon Choi</v>
      </c>
      <c r="F475" s="65" t="str">
        <f>IFERROR(__xludf.DUMMYFUNCTION("""COMPUTED_VALUE"""),"Hojoon Sung")</f>
        <v>Hojoon Sung</v>
      </c>
      <c r="G475" s="65"/>
      <c r="H475" s="65" t="str">
        <f>IFERROR(__xludf.DUMMYFUNCTION("""COMPUTED_VALUE"""),"Storage Item Return")</f>
        <v>Storage Item Return</v>
      </c>
      <c r="I475" s="65" t="str">
        <f>IFERROR(__xludf.DUMMYFUNCTION("""COMPUTED_VALUE"""),"University Housing ")</f>
        <v>University Housing </v>
      </c>
      <c r="J475" s="108" t="str">
        <f>IFERROR(__xludf.DUMMYFUNCTION("""COMPUTED_VALUE"""),"03:00 PM to 05:00 PM")</f>
        <v>03:00 PM to 05:00 PM</v>
      </c>
      <c r="K475" s="108">
        <f>IFERROR(__xludf.DUMMYFUNCTION("""COMPUTED_VALUE"""),45890.0)</f>
        <v>45890</v>
      </c>
      <c r="L475" s="65" t="str">
        <f>IFERROR(__xludf.DUMMYFUNCTION("""COMPUTED_VALUE"""),"Nemerov  ")</f>
        <v>Nemerov  </v>
      </c>
      <c r="M475" s="65" t="str">
        <f>IFERROR(__xludf.DUMMYFUNCTION("""COMPUTED_VALUE"""),"2092 a")</f>
        <v>2092 a</v>
      </c>
      <c r="N475" s="65"/>
      <c r="O475" s="65"/>
      <c r="P475" s="65" t="b">
        <f>COUNTIF('Delivered SIR'!A:A, E475) &gt; 0</f>
        <v>0</v>
      </c>
    </row>
    <row r="476">
      <c r="A476" s="99" t="str">
        <f>IFERROR(__xludf.DUMMYFUNCTION("""COMPUTED_VALUE"""),"https://admin.shopify.com/store/utrucking/orders/5937637720252?link_source=search")</f>
        <v>https://admin.shopify.com/store/utrucking/orders/5937637720252?link_source=search</v>
      </c>
      <c r="B476" s="61" t="str">
        <f>IFERROR(__xludf.DUMMYFUNCTION("""COMPUTED_VALUE"""),"#16269")</f>
        <v>#16269</v>
      </c>
      <c r="C476" s="61" t="str">
        <f>IFERROR(__xludf.DUMMYFUNCTION("""COMPUTED_VALUE"""),"b.zia@wustl.edu")</f>
        <v>b.zia@wustl.edu</v>
      </c>
      <c r="D476" s="61" t="str">
        <f>IFERROR(__xludf.DUMMYFUNCTION("""COMPUTED_VALUE"""),"86 135 0717 2225")</f>
        <v>86 135 0717 2225</v>
      </c>
      <c r="E476" s="61" t="str">
        <f>IFERROR(__xludf.DUMMYFUNCTION("""COMPUTED_VALUE"""),"Zia Barfuss--Liao")</f>
        <v>Zia Barfuss--Liao</v>
      </c>
      <c r="F476" s="61"/>
      <c r="G476" s="61" t="str">
        <f>IFERROR(__xludf.DUMMYFUNCTION("""COMPUTED_VALUE"""),"Linjiangdadao No.68")</f>
        <v>Linjiangdadao No.68</v>
      </c>
      <c r="H476" s="61" t="str">
        <f>IFERROR(__xludf.DUMMYFUNCTION("""COMPUTED_VALUE"""),"Storage Item Return")</f>
        <v>Storage Item Return</v>
      </c>
      <c r="I476" s="61" t="str">
        <f>IFERROR(__xludf.DUMMYFUNCTION("""COMPUTED_VALUE"""),"University Housing ")</f>
        <v>University Housing </v>
      </c>
      <c r="J476" s="107"/>
      <c r="K476" s="107">
        <f>IFERROR(__xludf.DUMMYFUNCTION("""COMPUTED_VALUE"""),45883.0)</f>
        <v>45883</v>
      </c>
      <c r="L476" s="61" t="str">
        <f>IFERROR(__xludf.DUMMYFUNCTION("""COMPUTED_VALUE"""),"Eliot B")</f>
        <v>Eliot B</v>
      </c>
      <c r="M476" s="61" t="str">
        <f>IFERROR(__xludf.DUMMYFUNCTION("""COMPUTED_VALUE"""),"1033 - a")</f>
        <v>1033 - a</v>
      </c>
      <c r="N476" s="61"/>
      <c r="O476" s="61"/>
      <c r="P476" s="61" t="b">
        <f>COUNTIF('Delivered SIR'!A:A, E476) &gt; 0</f>
        <v>1</v>
      </c>
    </row>
    <row r="477">
      <c r="A477" s="102" t="str">
        <f>IFERROR(__xludf.DUMMYFUNCTION("""COMPUTED_VALUE"""),"https://utrucking.com/admin/orders/5937666851004")</f>
        <v>https://utrucking.com/admin/orders/5937666851004</v>
      </c>
      <c r="B477" s="65" t="str">
        <f>IFERROR(__xludf.DUMMYFUNCTION("""COMPUTED_VALUE"""),"#16271")</f>
        <v>#16271</v>
      </c>
      <c r="C477" s="65" t="str">
        <f>IFERROR(__xludf.DUMMYFUNCTION("""COMPUTED_VALUE"""),"kirabjoe@gmail.com")</f>
        <v>kirabjoe@gmail.com</v>
      </c>
      <c r="D477" s="65">
        <f>IFERROR(__xludf.DUMMYFUNCTION("""COMPUTED_VALUE"""),1.5512643633E10)</f>
        <v>15512643633</v>
      </c>
      <c r="E477" s="65" t="str">
        <f>IFERROR(__xludf.DUMMYFUNCTION("""COMPUTED_VALUE"""),"Kira Joe")</f>
        <v>Kira Joe</v>
      </c>
      <c r="F477" s="65" t="str">
        <f>IFERROR(__xludf.DUMMYFUNCTION("""COMPUTED_VALUE"""),"Kira Joe")</f>
        <v>Kira Joe</v>
      </c>
      <c r="G477" s="65" t="str">
        <f>IFERROR(__xludf.DUMMYFUNCTION("""COMPUTED_VALUE"""),"6105 Delmar Blvd — Apartment 710")</f>
        <v>6105 Delmar Blvd — Apartment 710</v>
      </c>
      <c r="H477" s="65" t="str">
        <f>IFERROR(__xludf.DUMMYFUNCTION("""COMPUTED_VALUE"""),"Storage Item Return")</f>
        <v>Storage Item Return</v>
      </c>
      <c r="I477" s="65" t="str">
        <f>IFERROR(__xludf.DUMMYFUNCTION("""COMPUTED_VALUE"""),"Non-University Housing ")</f>
        <v>Non-University Housing </v>
      </c>
      <c r="J477" s="108" t="str">
        <f>IFERROR(__xludf.DUMMYFUNCTION("""COMPUTED_VALUE"""),"02:00 PM to 04:00 PM")</f>
        <v>02:00 PM to 04:00 PM</v>
      </c>
      <c r="K477" s="108">
        <f>IFERROR(__xludf.DUMMYFUNCTION("""COMPUTED_VALUE"""),45890.0)</f>
        <v>45890</v>
      </c>
      <c r="L477" s="65"/>
      <c r="M477" s="65"/>
      <c r="N477" s="65" t="str">
        <f>IFERROR(__xludf.DUMMYFUNCTION("""COMPUTED_VALUE"""),"6105 Delmar Blvd — Apartment 710")</f>
        <v>6105 Delmar Blvd — Apartment 710</v>
      </c>
      <c r="O477" s="65"/>
      <c r="P477" s="65" t="b">
        <f>COUNTIF('Delivered SIR'!A:A, E477) &gt; 0</f>
        <v>0</v>
      </c>
    </row>
    <row r="478">
      <c r="A478" s="99" t="str">
        <f>IFERROR(__xludf.DUMMYFUNCTION("""COMPUTED_VALUE"""),"https://utrucking.com/admin/orders/5937673568444")</f>
        <v>https://utrucking.com/admin/orders/5937673568444</v>
      </c>
      <c r="B478" s="61" t="str">
        <f>IFERROR(__xludf.DUMMYFUNCTION("""COMPUTED_VALUE"""),"#16272")</f>
        <v>#16272</v>
      </c>
      <c r="C478" s="61" t="str">
        <f>IFERROR(__xludf.DUMMYFUNCTION("""COMPUTED_VALUE"""),"c.coffey@wustl.edu")</f>
        <v>c.coffey@wustl.edu</v>
      </c>
      <c r="D478" s="61">
        <f>IFERROR(__xludf.DUMMYFUNCTION("""COMPUTED_VALUE"""),2.03246205E9)</f>
        <v>2032462050</v>
      </c>
      <c r="E478" s="61" t="str">
        <f>IFERROR(__xludf.DUMMYFUNCTION("""COMPUTED_VALUE"""),"Caroline Coffey")</f>
        <v>Caroline Coffey</v>
      </c>
      <c r="F478" s="61" t="str">
        <f>IFERROR(__xludf.DUMMYFUNCTION("""COMPUTED_VALUE"""),"Caroline Coffey")</f>
        <v>Caroline Coffey</v>
      </c>
      <c r="G478" s="61"/>
      <c r="H478" s="61" t="str">
        <f>IFERROR(__xludf.DUMMYFUNCTION("""COMPUTED_VALUE"""),"Storage Item Return")</f>
        <v>Storage Item Return</v>
      </c>
      <c r="I478" s="61" t="str">
        <f>IFERROR(__xludf.DUMMYFUNCTION("""COMPUTED_VALUE"""),"University Housing ")</f>
        <v>University Housing </v>
      </c>
      <c r="J478" s="107" t="str">
        <f>IFERROR(__xludf.DUMMYFUNCTION("""COMPUTED_VALUE"""),"09:00 AM to 11:00 AM  ")</f>
        <v>09:00 AM to 11:00 AM  </v>
      </c>
      <c r="K478" s="107">
        <f>IFERROR(__xludf.DUMMYFUNCTION("""COMPUTED_VALUE"""),45891.0)</f>
        <v>45891</v>
      </c>
      <c r="L478" s="61" t="str">
        <f>IFERROR(__xludf.DUMMYFUNCTION("""COMPUTED_VALUE"""),"6607 University Drive  ")</f>
        <v>6607 University Drive  </v>
      </c>
      <c r="M478" s="61" t="str">
        <f>IFERROR(__xludf.DUMMYFUNCTION("""COMPUTED_VALUE"""),"2W-A")</f>
        <v>2W-A</v>
      </c>
      <c r="N478" s="61"/>
      <c r="O478" s="61"/>
      <c r="P478" s="61" t="b">
        <f>COUNTIF('Delivered SIR'!A:A, E478) &gt; 0</f>
        <v>1</v>
      </c>
    </row>
    <row r="479">
      <c r="A479" s="102" t="str">
        <f>IFERROR(__xludf.DUMMYFUNCTION("""COMPUTED_VALUE"""),"https://utrucking.com/admin/orders/5937929552060")</f>
        <v>https://utrucking.com/admin/orders/5937929552060</v>
      </c>
      <c r="B479" s="65" t="str">
        <f>IFERROR(__xludf.DUMMYFUNCTION("""COMPUTED_VALUE"""),"#16279")</f>
        <v>#16279</v>
      </c>
      <c r="C479" s="65" t="str">
        <f>IFERROR(__xludf.DUMMYFUNCTION("""COMPUTED_VALUE"""),"lin.yujie@wustl.edu")</f>
        <v>lin.yujie@wustl.edu</v>
      </c>
      <c r="D479" s="65">
        <f>IFERROR(__xludf.DUMMYFUNCTION("""COMPUTED_VALUE"""),3.148147538E9)</f>
        <v>3148147538</v>
      </c>
      <c r="E479" s="65" t="str">
        <f>IFERROR(__xludf.DUMMYFUNCTION("""COMPUTED_VALUE"""),"Yujie Lin")</f>
        <v>Yujie Lin</v>
      </c>
      <c r="F479" s="65" t="str">
        <f>IFERROR(__xludf.DUMMYFUNCTION("""COMPUTED_VALUE"""),"Yujie Lin")</f>
        <v>Yujie Lin</v>
      </c>
      <c r="G479" s="65" t="str">
        <f>IFERROR(__xludf.DUMMYFUNCTION("""COMPUTED_VALUE"""),"1316 McCausland Avenue St Louis 63117")</f>
        <v>1316 McCausland Avenue St Louis 63117</v>
      </c>
      <c r="H479" s="65" t="str">
        <f>IFERROR(__xludf.DUMMYFUNCTION("""COMPUTED_VALUE"""),"Storage Item Return")</f>
        <v>Storage Item Return</v>
      </c>
      <c r="I479" s="65" t="str">
        <f>IFERROR(__xludf.DUMMYFUNCTION("""COMPUTED_VALUE"""),"Non-University Housing ")</f>
        <v>Non-University Housing </v>
      </c>
      <c r="J479" s="108" t="str">
        <f>IFERROR(__xludf.DUMMYFUNCTION("""COMPUTED_VALUE"""),"01:00 PM to 03:00 PM  ")</f>
        <v>01:00 PM to 03:00 PM  </v>
      </c>
      <c r="K479" s="108">
        <f>IFERROR(__xludf.DUMMYFUNCTION("""COMPUTED_VALUE"""),45887.0)</f>
        <v>45887</v>
      </c>
      <c r="L479" s="65"/>
      <c r="M479" s="65"/>
      <c r="N479" s="65" t="str">
        <f>IFERROR(__xludf.DUMMYFUNCTION("""COMPUTED_VALUE"""),"1316 McCausland Avenue St Louis 63117")</f>
        <v>1316 McCausland Avenue St Louis 63117</v>
      </c>
      <c r="O479" s="65" t="str">
        <f>IFERROR(__xludf.DUMMYFUNCTION("""COMPUTED_VALUE"""),"Contact: Mark Bethel | (312) 952-3233")</f>
        <v>Contact: Mark Bethel | (312) 952-3233</v>
      </c>
      <c r="P479" s="65" t="b">
        <f>COUNTIF('Delivered SIR'!A:A, E479) &gt; 0</f>
        <v>0</v>
      </c>
    </row>
    <row r="480">
      <c r="A480" s="99" t="str">
        <f>IFERROR(__xludf.DUMMYFUNCTION("""COMPUTED_VALUE"""),"https://utrucking.com/admin/orders/5938082152636")</f>
        <v>https://utrucking.com/admin/orders/5938082152636</v>
      </c>
      <c r="B480" s="61" t="str">
        <f>IFERROR(__xludf.DUMMYFUNCTION("""COMPUTED_VALUE"""),"#16280")</f>
        <v>#16280</v>
      </c>
      <c r="C480" s="61" t="str">
        <f>IFERROR(__xludf.DUMMYFUNCTION("""COMPUTED_VALUE"""),"maame12darkwah12@gmail.com")</f>
        <v>maame12darkwah12@gmail.com</v>
      </c>
      <c r="D480" s="61">
        <f>IFERROR(__xludf.DUMMYFUNCTION("""COMPUTED_VALUE"""),5.717076491E9)</f>
        <v>5717076491</v>
      </c>
      <c r="E480" s="61" t="str">
        <f>IFERROR(__xludf.DUMMYFUNCTION("""COMPUTED_VALUE"""),"Maame Akua Abire Darkwah")</f>
        <v>Maame Akua Abire Darkwah</v>
      </c>
      <c r="F480" s="61" t="str">
        <f>IFERROR(__xludf.DUMMYFUNCTION("""COMPUTED_VALUE"""),"Maame Akua Abire Darkwah")</f>
        <v>Maame Akua Abire Darkwah</v>
      </c>
      <c r="G480" s="61"/>
      <c r="H480" s="61" t="str">
        <f>IFERROR(__xludf.DUMMYFUNCTION("""COMPUTED_VALUE"""),"Storage Item Return")</f>
        <v>Storage Item Return</v>
      </c>
      <c r="I480" s="61" t="str">
        <f>IFERROR(__xludf.DUMMYFUNCTION("""COMPUTED_VALUE"""),"University Housing ")</f>
        <v>University Housing </v>
      </c>
      <c r="J480" s="107" t="str">
        <f>IFERROR(__xludf.DUMMYFUNCTION("""COMPUTED_VALUE"""),"12:00 PM to 02:00 PM  ")</f>
        <v>12:00 PM to 02:00 PM  </v>
      </c>
      <c r="K480" s="107">
        <f>IFERROR(__xludf.DUMMYFUNCTION("""COMPUTED_VALUE"""),45883.0)</f>
        <v>45883</v>
      </c>
      <c r="L480" s="61" t="str">
        <f>IFERROR(__xludf.DUMMYFUNCTION("""COMPUTED_VALUE"""),"6057 Waterman Ave")</f>
        <v>6057 Waterman Ave</v>
      </c>
      <c r="M480" s="61" t="str">
        <f>IFERROR(__xludf.DUMMYFUNCTION("""COMPUTED_VALUE"""),"1N-A")</f>
        <v>1N-A</v>
      </c>
      <c r="N480" s="61"/>
      <c r="O480" s="61"/>
      <c r="P480" s="61" t="b">
        <f>COUNTIF('Delivered SIR'!A:A, E480) &gt; 0</f>
        <v>1</v>
      </c>
    </row>
    <row r="481">
      <c r="A481" s="102" t="str">
        <f>IFERROR(__xludf.DUMMYFUNCTION("""COMPUTED_VALUE"""),"https://utrucking.com/admin/orders/5938211193020")</f>
        <v>https://utrucking.com/admin/orders/5938211193020</v>
      </c>
      <c r="B481" s="65" t="str">
        <f>IFERROR(__xludf.DUMMYFUNCTION("""COMPUTED_VALUE"""),"#16281")</f>
        <v>#16281</v>
      </c>
      <c r="C481" s="65" t="str">
        <f>IFERROR(__xludf.DUMMYFUNCTION("""COMPUTED_VALUE"""),"cheong.d@wustl.edu")</f>
        <v>cheong.d@wustl.edu</v>
      </c>
      <c r="D481" s="65">
        <f>IFERROR(__xludf.DUMMYFUNCTION("""COMPUTED_VALUE"""),7.032037971E9)</f>
        <v>7032037971</v>
      </c>
      <c r="E481" s="65" t="str">
        <f>IFERROR(__xludf.DUMMYFUNCTION("""COMPUTED_VALUE"""),"Danielle Cheong")</f>
        <v>Danielle Cheong</v>
      </c>
      <c r="F481" s="65" t="str">
        <f>IFERROR(__xludf.DUMMYFUNCTION("""COMPUTED_VALUE"""),"Danielle Cheong ")</f>
        <v>Danielle Cheong </v>
      </c>
      <c r="G481" s="65"/>
      <c r="H481" s="65" t="str">
        <f>IFERROR(__xludf.DUMMYFUNCTION("""COMPUTED_VALUE"""),"Storage Item Return")</f>
        <v>Storage Item Return</v>
      </c>
      <c r="I481" s="65" t="str">
        <f>IFERROR(__xludf.DUMMYFUNCTION("""COMPUTED_VALUE"""),"University Housing ")</f>
        <v>University Housing </v>
      </c>
      <c r="J481" s="108" t="str">
        <f>IFERROR(__xludf.DUMMYFUNCTION("""COMPUTED_VALUE"""),"01:00 PM to 03:00 PM  ")</f>
        <v>01:00 PM to 03:00 PM  </v>
      </c>
      <c r="K481" s="108">
        <f>IFERROR(__xludf.DUMMYFUNCTION("""COMPUTED_VALUE"""),45890.0)</f>
        <v>45890</v>
      </c>
      <c r="L481" s="65" t="str">
        <f>IFERROR(__xludf.DUMMYFUNCTION("""COMPUTED_VALUE"""),"Shepley  ")</f>
        <v>Shepley  </v>
      </c>
      <c r="M481" s="65" t="str">
        <f>IFERROR(__xludf.DUMMYFUNCTION("""COMPUTED_VALUE"""),"3021 - a")</f>
        <v>3021 - a</v>
      </c>
      <c r="N481" s="65"/>
      <c r="O481" s="65"/>
      <c r="P481" s="65" t="b">
        <f>COUNTIF('Delivered SIR'!A:A, E481) &gt; 0</f>
        <v>1</v>
      </c>
    </row>
    <row r="482">
      <c r="A482" s="99" t="str">
        <f>IFERROR(__xludf.DUMMYFUNCTION("""COMPUTED_VALUE"""),"https://utrucking.com/admin/orders/5938365890748")</f>
        <v>https://utrucking.com/admin/orders/5938365890748</v>
      </c>
      <c r="B482" s="61" t="str">
        <f>IFERROR(__xludf.DUMMYFUNCTION("""COMPUTED_VALUE"""),"#16283")</f>
        <v>#16283</v>
      </c>
      <c r="C482" s="61" t="str">
        <f>IFERROR(__xludf.DUMMYFUNCTION("""COMPUTED_VALUE"""),"awesomeandepictom9872@gmail.com")</f>
        <v>awesomeandepictom9872@gmail.com</v>
      </c>
      <c r="D482" s="61"/>
      <c r="E482" s="61" t="str">
        <f>IFERROR(__xludf.DUMMYFUNCTION("""COMPUTED_VALUE"""),"Youngtak 서영탁")</f>
        <v>Youngtak 서영탁</v>
      </c>
      <c r="F482" s="61" t="str">
        <f>IFERROR(__xludf.DUMMYFUNCTION("""COMPUTED_VALUE"""),"Youngtak Seo")</f>
        <v>Youngtak Seo</v>
      </c>
      <c r="G482" s="61" t="str">
        <f>IFERROR(__xludf.DUMMYFUNCTION("""COMPUTED_VALUE"""),"6669 Washington Avenue
Apartment 103
St. Louis, MO 63130")</f>
        <v>6669 Washington Avenue
Apartment 103
St. Louis, MO 63130</v>
      </c>
      <c r="H482" s="61" t="str">
        <f>IFERROR(__xludf.DUMMYFUNCTION("""COMPUTED_VALUE"""),"Storage Item Return")</f>
        <v>Storage Item Return</v>
      </c>
      <c r="I482" s="61" t="str">
        <f>IFERROR(__xludf.DUMMYFUNCTION("""COMPUTED_VALUE"""),"Non-University Housing ")</f>
        <v>Non-University Housing </v>
      </c>
      <c r="J482" s="107" t="str">
        <f>IFERROR(__xludf.DUMMYFUNCTION("""COMPUTED_VALUE"""),"02:00 PM to 04:00 PM")</f>
        <v>02:00 PM to 04:00 PM</v>
      </c>
      <c r="K482" s="107">
        <f>IFERROR(__xludf.DUMMYFUNCTION("""COMPUTED_VALUE"""),45891.0)</f>
        <v>45891</v>
      </c>
      <c r="L482" s="61"/>
      <c r="M482" s="61"/>
      <c r="N482" s="61" t="str">
        <f>IFERROR(__xludf.DUMMYFUNCTION("""COMPUTED_VALUE"""),"6669 Washington Avenue
Apartment 103
St. Louis, MO 63130")</f>
        <v>6669 Washington Avenue
Apartment 103
St. Louis, MO 63130</v>
      </c>
      <c r="O482" s="61"/>
      <c r="P482" s="61" t="b">
        <f>COUNTIF('Delivered SIR'!A:A, E482) &gt; 0</f>
        <v>0</v>
      </c>
    </row>
    <row r="483">
      <c r="A483" s="102" t="str">
        <f>IFERROR(__xludf.DUMMYFUNCTION("""COMPUTED_VALUE"""),"https://utrucking.com/admin/orders/5938380734652")</f>
        <v>https://utrucking.com/admin/orders/5938380734652</v>
      </c>
      <c r="B483" s="65" t="str">
        <f>IFERROR(__xludf.DUMMYFUNCTION("""COMPUTED_VALUE"""),"#16284")</f>
        <v>#16284</v>
      </c>
      <c r="C483" s="65" t="str">
        <f>IFERROR(__xludf.DUMMYFUNCTION("""COMPUTED_VALUE"""),"julieanneweiss@me.com")</f>
        <v>julieanneweiss@me.com</v>
      </c>
      <c r="D483" s="65">
        <f>IFERROR(__xludf.DUMMYFUNCTION("""COMPUTED_VALUE"""),3.104291277E9)</f>
        <v>3104291277</v>
      </c>
      <c r="E483" s="65" t="str">
        <f>IFERROR(__xludf.DUMMYFUNCTION("""COMPUTED_VALUE"""),"Julie Weiss")</f>
        <v>Julie Weiss</v>
      </c>
      <c r="F483" s="65" t="str">
        <f>IFERROR(__xludf.DUMMYFUNCTION("""COMPUTED_VALUE"""),"Ella Weiss ")</f>
        <v>Ella Weiss </v>
      </c>
      <c r="G483" s="65"/>
      <c r="H483" s="65" t="str">
        <f>IFERROR(__xludf.DUMMYFUNCTION("""COMPUTED_VALUE"""),"Storage Item Return")</f>
        <v>Storage Item Return</v>
      </c>
      <c r="I483" s="65" t="str">
        <f>IFERROR(__xludf.DUMMYFUNCTION("""COMPUTED_VALUE"""),"University Housing ")</f>
        <v>University Housing </v>
      </c>
      <c r="J483" s="108" t="str">
        <f>IFERROR(__xludf.DUMMYFUNCTION("""COMPUTED_VALUE"""),"09:00 AM to 11:00 AM  ")</f>
        <v>09:00 AM to 11:00 AM  </v>
      </c>
      <c r="K483" s="108">
        <f>IFERROR(__xludf.DUMMYFUNCTION("""COMPUTED_VALUE"""),45888.0)</f>
        <v>45888</v>
      </c>
      <c r="L483" s="65" t="str">
        <f>IFERROR(__xludf.DUMMYFUNCTION("""COMPUTED_VALUE"""),"Millbrook Bldg. 1  ")</f>
        <v>Millbrook Bldg. 1  </v>
      </c>
      <c r="M483" s="65" t="str">
        <f>IFERROR(__xludf.DUMMYFUNCTION("""COMPUTED_VALUE"""),"203B - a ")</f>
        <v>203B - a </v>
      </c>
      <c r="N483" s="65"/>
      <c r="O483" s="65"/>
      <c r="P483" s="65" t="b">
        <f>COUNTIF('Delivered SIR'!A:A, E483) &gt; 0</f>
        <v>0</v>
      </c>
    </row>
    <row r="484">
      <c r="A484" s="99" t="str">
        <f>IFERROR(__xludf.DUMMYFUNCTION("""COMPUTED_VALUE"""),"https://utrucking.com/admin/orders/5938976719036")</f>
        <v>https://utrucking.com/admin/orders/5938976719036</v>
      </c>
      <c r="B484" s="61" t="str">
        <f>IFERROR(__xludf.DUMMYFUNCTION("""COMPUTED_VALUE"""),"#16289")</f>
        <v>#16289</v>
      </c>
      <c r="C484" s="61" t="str">
        <f>IFERROR(__xludf.DUMMYFUNCTION("""COMPUTED_VALUE"""),"ngreen0708@gmail.com")</f>
        <v>ngreen0708@gmail.com</v>
      </c>
      <c r="D484" s="61">
        <f>IFERROR(__xludf.DUMMYFUNCTION("""COMPUTED_VALUE"""),9.089563876E9)</f>
        <v>9089563876</v>
      </c>
      <c r="E484" s="61" t="str">
        <f>IFERROR(__xludf.DUMMYFUNCTION("""COMPUTED_VALUE"""),"Natalie Green")</f>
        <v>Natalie Green</v>
      </c>
      <c r="F484" s="61" t="str">
        <f>IFERROR(__xludf.DUMMYFUNCTION("""COMPUTED_VALUE"""),"Natalie Green")</f>
        <v>Natalie Green</v>
      </c>
      <c r="G484" s="61"/>
      <c r="H484" s="61" t="str">
        <f>IFERROR(__xludf.DUMMYFUNCTION("""COMPUTED_VALUE"""),"Storage Item Return")</f>
        <v>Storage Item Return</v>
      </c>
      <c r="I484" s="61" t="str">
        <f>IFERROR(__xludf.DUMMYFUNCTION("""COMPUTED_VALUE"""),"University Housing ")</f>
        <v>University Housing </v>
      </c>
      <c r="J484" s="107" t="str">
        <f>IFERROR(__xludf.DUMMYFUNCTION("""COMPUTED_VALUE"""),"09:00 AM to 11:00 AM  ")</f>
        <v>09:00 AM to 11:00 AM  </v>
      </c>
      <c r="K484" s="107">
        <f>IFERROR(__xludf.DUMMYFUNCTION("""COMPUTED_VALUE"""),45889.0)</f>
        <v>45889</v>
      </c>
      <c r="L484" s="61" t="str">
        <f>IFERROR(__xludf.DUMMYFUNCTION("""COMPUTED_VALUE"""),"Loop Loft 6200  ")</f>
        <v>Loop Loft 6200  </v>
      </c>
      <c r="M484" s="61" t="str">
        <f>IFERROR(__xludf.DUMMYFUNCTION("""COMPUTED_VALUE"""),"116B-a")</f>
        <v>116B-a</v>
      </c>
      <c r="N484" s="61"/>
      <c r="O484" s="61"/>
      <c r="P484" s="61" t="b">
        <f>COUNTIF('Delivered SIR'!A:A, E484) &gt; 0</f>
        <v>0</v>
      </c>
    </row>
    <row r="485">
      <c r="A485" s="102" t="str">
        <f>IFERROR(__xludf.DUMMYFUNCTION("""COMPUTED_VALUE"""),"https://utrucking.com/admin/orders/5939044024508")</f>
        <v>https://utrucking.com/admin/orders/5939044024508</v>
      </c>
      <c r="B485" s="65" t="str">
        <f>IFERROR(__xludf.DUMMYFUNCTION("""COMPUTED_VALUE"""),"#16291")</f>
        <v>#16291</v>
      </c>
      <c r="C485" s="65" t="str">
        <f>IFERROR(__xludf.DUMMYFUNCTION("""COMPUTED_VALUE"""),"g.tobey@wustl.edu")</f>
        <v>g.tobey@wustl.edu</v>
      </c>
      <c r="D485" s="65">
        <f>IFERROR(__xludf.DUMMYFUNCTION("""COMPUTED_VALUE"""),9.73597803E9)</f>
        <v>9735978030</v>
      </c>
      <c r="E485" s="65" t="str">
        <f>IFERROR(__xludf.DUMMYFUNCTION("""COMPUTED_VALUE"""),"Tobey Giat")</f>
        <v>Tobey Giat</v>
      </c>
      <c r="F485" s="65" t="str">
        <f>IFERROR(__xludf.DUMMYFUNCTION("""COMPUTED_VALUE"""),"Tobey Giat")</f>
        <v>Tobey Giat</v>
      </c>
      <c r="G485" s="65"/>
      <c r="H485" s="65" t="str">
        <f>IFERROR(__xludf.DUMMYFUNCTION("""COMPUTED_VALUE"""),"Storage Item Return")</f>
        <v>Storage Item Return</v>
      </c>
      <c r="I485" s="65" t="str">
        <f>IFERROR(__xludf.DUMMYFUNCTION("""COMPUTED_VALUE"""),"University Housing ")</f>
        <v>University Housing </v>
      </c>
      <c r="J485" s="108" t="str">
        <f>IFERROR(__xludf.DUMMYFUNCTION("""COMPUTED_VALUE"""),"09:00 AM to 11:00 AM  ")</f>
        <v>09:00 AM to 11:00 AM  </v>
      </c>
      <c r="K485" s="108">
        <f>IFERROR(__xludf.DUMMYFUNCTION("""COMPUTED_VALUE"""),45888.0)</f>
        <v>45888</v>
      </c>
      <c r="L485" s="65" t="str">
        <f>IFERROR(__xludf.DUMMYFUNCTION("""COMPUTED_VALUE"""),"House 11 (Sigma Phi Epsilon)  ")</f>
        <v>House 11 (Sigma Phi Epsilon)  </v>
      </c>
      <c r="M485" s="65" t="str">
        <f>IFERROR(__xludf.DUMMYFUNCTION("""COMPUTED_VALUE"""),"1014")</f>
        <v>1014</v>
      </c>
      <c r="N485" s="65"/>
      <c r="O485" s="65"/>
      <c r="P485" s="65" t="b">
        <f>COUNTIF('Delivered SIR'!A:A, E485) &gt; 0</f>
        <v>1</v>
      </c>
    </row>
    <row r="486">
      <c r="A486" s="99" t="str">
        <f>IFERROR(__xludf.DUMMYFUNCTION("""COMPUTED_VALUE"""),"https://utrucking.com/admin/orders/5939119227068")</f>
        <v>https://utrucking.com/admin/orders/5939119227068</v>
      </c>
      <c r="B486" s="61" t="str">
        <f>IFERROR(__xludf.DUMMYFUNCTION("""COMPUTED_VALUE"""),"#16294")</f>
        <v>#16294</v>
      </c>
      <c r="C486" s="61" t="str">
        <f>IFERROR(__xludf.DUMMYFUNCTION("""COMPUTED_VALUE"""),"ingrid.nixon@gmail.com")</f>
        <v>ingrid.nixon@gmail.com</v>
      </c>
      <c r="D486" s="61">
        <f>IFERROR(__xludf.DUMMYFUNCTION("""COMPUTED_VALUE"""),2.024978188E9)</f>
        <v>2024978188</v>
      </c>
      <c r="E486" s="61" t="str">
        <f>IFERROR(__xludf.DUMMYFUNCTION("""COMPUTED_VALUE"""),"Ingrid Nixon")</f>
        <v>Ingrid Nixon</v>
      </c>
      <c r="F486" s="61" t="str">
        <f>IFERROR(__xludf.DUMMYFUNCTION("""COMPUTED_VALUE"""),"Gianna Nixon")</f>
        <v>Gianna Nixon</v>
      </c>
      <c r="G486" s="61"/>
      <c r="H486" s="61" t="str">
        <f>IFERROR(__xludf.DUMMYFUNCTION("""COMPUTED_VALUE"""),"Storage Item Return")</f>
        <v>Storage Item Return</v>
      </c>
      <c r="I486" s="61" t="str">
        <f>IFERROR(__xludf.DUMMYFUNCTION("""COMPUTED_VALUE"""),"University Housing ")</f>
        <v>University Housing </v>
      </c>
      <c r="J486" s="107" t="str">
        <f>IFERROR(__xludf.DUMMYFUNCTION("""COMPUTED_VALUE"""),"09:00 AM to 11:00 AM  ")</f>
        <v>09:00 AM to 11:00 AM  </v>
      </c>
      <c r="K486" s="107">
        <f>IFERROR(__xludf.DUMMYFUNCTION("""COMPUTED_VALUE"""),45890.0)</f>
        <v>45890</v>
      </c>
      <c r="L486" s="61" t="str">
        <f>IFERROR(__xludf.DUMMYFUNCTION("""COMPUTED_VALUE"""),"Lopata  ")</f>
        <v>Lopata  </v>
      </c>
      <c r="M486" s="61" t="str">
        <f>IFERROR(__xludf.DUMMYFUNCTION("""COMPUTED_VALUE"""),"2033")</f>
        <v>2033</v>
      </c>
      <c r="N486" s="61"/>
      <c r="O486" s="61"/>
      <c r="P486" s="61" t="b">
        <f>COUNTIF('Delivered SIR'!A:A, E486) &gt; 0</f>
        <v>0</v>
      </c>
    </row>
    <row r="487">
      <c r="A487" s="102" t="str">
        <f>IFERROR(__xludf.DUMMYFUNCTION("""COMPUTED_VALUE"""),"https://utrucking.com/admin/orders/5939136954556")</f>
        <v>https://utrucking.com/admin/orders/5939136954556</v>
      </c>
      <c r="B487" s="65" t="str">
        <f>IFERROR(__xludf.DUMMYFUNCTION("""COMPUTED_VALUE"""),"#16295")</f>
        <v>#16295</v>
      </c>
      <c r="C487" s="65"/>
      <c r="D487" s="65">
        <f>IFERROR(__xludf.DUMMYFUNCTION("""COMPUTED_VALUE"""),7.149299133E9)</f>
        <v>7149299133</v>
      </c>
      <c r="E487" s="65" t="str">
        <f>IFERROR(__xludf.DUMMYFUNCTION("""COMPUTED_VALUE"""),"Karla Tiscareno")</f>
        <v>Karla Tiscareno</v>
      </c>
      <c r="F487" s="65" t="str">
        <f>IFERROR(__xludf.DUMMYFUNCTION("""COMPUTED_VALUE"""),"Karla Tiscareno")</f>
        <v>Karla Tiscareno</v>
      </c>
      <c r="G487" s="65"/>
      <c r="H487" s="65" t="str">
        <f>IFERROR(__xludf.DUMMYFUNCTION("""COMPUTED_VALUE"""),"Storage Item Return")</f>
        <v>Storage Item Return</v>
      </c>
      <c r="I487" s="65" t="str">
        <f>IFERROR(__xludf.DUMMYFUNCTION("""COMPUTED_VALUE"""),"University Housing ")</f>
        <v>University Housing </v>
      </c>
      <c r="J487" s="108" t="str">
        <f>IFERROR(__xludf.DUMMYFUNCTION("""COMPUTED_VALUE"""),"12:00 PM to 02:00 PM  ")</f>
        <v>12:00 PM to 02:00 PM  </v>
      </c>
      <c r="K487" s="108">
        <f>IFERROR(__xludf.DUMMYFUNCTION("""COMPUTED_VALUE"""),45888.0)</f>
        <v>45888</v>
      </c>
      <c r="L487" s="65" t="str">
        <f>IFERROR(__xludf.DUMMYFUNCTION("""COMPUTED_VALUE"""),"Village House  ")</f>
        <v>Village House  </v>
      </c>
      <c r="M487" s="65" t="str">
        <f>IFERROR(__xludf.DUMMYFUNCTION("""COMPUTED_VALUE"""),"2122")</f>
        <v>2122</v>
      </c>
      <c r="N487" s="65"/>
      <c r="O487" s="65"/>
      <c r="P487" s="65" t="b">
        <f>COUNTIF('Delivered SIR'!A:A, E487) &gt; 0</f>
        <v>1</v>
      </c>
    </row>
    <row r="488">
      <c r="A488" s="99" t="str">
        <f>IFERROR(__xludf.DUMMYFUNCTION("""COMPUTED_VALUE"""),"https://utrucking.com/admin/orders/5939197280444")</f>
        <v>https://utrucking.com/admin/orders/5939197280444</v>
      </c>
      <c r="B488" s="61" t="str">
        <f>IFERROR(__xludf.DUMMYFUNCTION("""COMPUTED_VALUE"""),"#16298")</f>
        <v>#16298</v>
      </c>
      <c r="C488" s="61" t="str">
        <f>IFERROR(__xludf.DUMMYFUNCTION("""COMPUTED_VALUE"""),"khy06541@gmail.com")</f>
        <v>khy06541@gmail.com</v>
      </c>
      <c r="D488" s="61">
        <f>IFERROR(__xludf.DUMMYFUNCTION("""COMPUTED_VALUE"""),4.844319255E9)</f>
        <v>4844319255</v>
      </c>
      <c r="E488" s="61" t="str">
        <f>IFERROR(__xludf.DUMMYFUNCTION("""COMPUTED_VALUE"""),"Hayoon Kim")</f>
        <v>Hayoon Kim</v>
      </c>
      <c r="F488" s="61" t="str">
        <f>IFERROR(__xludf.DUMMYFUNCTION("""COMPUTED_VALUE"""),"Hayoon Kim ")</f>
        <v>Hayoon Kim </v>
      </c>
      <c r="G488" s="61"/>
      <c r="H488" s="61" t="str">
        <f>IFERROR(__xludf.DUMMYFUNCTION("""COMPUTED_VALUE"""),"Storage Item Return")</f>
        <v>Storage Item Return</v>
      </c>
      <c r="I488" s="61" t="str">
        <f>IFERROR(__xludf.DUMMYFUNCTION("""COMPUTED_VALUE"""),"University Housing ")</f>
        <v>University Housing </v>
      </c>
      <c r="J488" s="107" t="str">
        <f>IFERROR(__xludf.DUMMYFUNCTION("""COMPUTED_VALUE"""),"01:00 PM to 03:00 PM  ")</f>
        <v>01:00 PM to 03:00 PM  </v>
      </c>
      <c r="K488" s="107">
        <f>IFERROR(__xludf.DUMMYFUNCTION("""COMPUTED_VALUE"""),45887.0)</f>
        <v>45887</v>
      </c>
      <c r="L488" s="61" t="str">
        <f>IFERROR(__xludf.DUMMYFUNCTION("""COMPUTED_VALUE"""),"Zetcher  ")</f>
        <v>Zetcher  </v>
      </c>
      <c r="M488" s="61" t="str">
        <f>IFERROR(__xludf.DUMMYFUNCTION("""COMPUTED_VALUE"""),"2090")</f>
        <v>2090</v>
      </c>
      <c r="N488" s="61"/>
      <c r="O488" s="61"/>
      <c r="P488" s="61" t="b">
        <f>COUNTIF('Delivered SIR'!A:A, E488) &gt; 0</f>
        <v>1</v>
      </c>
    </row>
    <row r="489">
      <c r="A489" s="102" t="str">
        <f>IFERROR(__xludf.DUMMYFUNCTION("""COMPUTED_VALUE"""),"https://utrucking.com/admin/orders/5939314753724")</f>
        <v>https://utrucking.com/admin/orders/5939314753724</v>
      </c>
      <c r="B489" s="65" t="str">
        <f>IFERROR(__xludf.DUMMYFUNCTION("""COMPUTED_VALUE"""),"#16301")</f>
        <v>#16301</v>
      </c>
      <c r="C489" s="65" t="str">
        <f>IFERROR(__xludf.DUMMYFUNCTION("""COMPUTED_VALUE"""),"j.d.vein@wustl.edu")</f>
        <v>j.d.vein@wustl.edu</v>
      </c>
      <c r="D489" s="65">
        <f>IFERROR(__xludf.DUMMYFUNCTION("""COMPUTED_VALUE"""),3.104635735E9)</f>
        <v>3104635735</v>
      </c>
      <c r="E489" s="65" t="str">
        <f>IFERROR(__xludf.DUMMYFUNCTION("""COMPUTED_VALUE"""),"Jack Vein")</f>
        <v>Jack Vein</v>
      </c>
      <c r="F489" s="65" t="str">
        <f>IFERROR(__xludf.DUMMYFUNCTION("""COMPUTED_VALUE"""),"Jack Vein")</f>
        <v>Jack Vein</v>
      </c>
      <c r="G489" s="65" t="str">
        <f>IFERROR(__xludf.DUMMYFUNCTION("""COMPUTED_VALUE"""),"6669 Washington Avenue
Apartment 102")</f>
        <v>6669 Washington Avenue
Apartment 102</v>
      </c>
      <c r="H489" s="65" t="str">
        <f>IFERROR(__xludf.DUMMYFUNCTION("""COMPUTED_VALUE"""),"Storage Item Return")</f>
        <v>Storage Item Return</v>
      </c>
      <c r="I489" s="65" t="str">
        <f>IFERROR(__xludf.DUMMYFUNCTION("""COMPUTED_VALUE"""),"Non-University Housing ")</f>
        <v>Non-University Housing </v>
      </c>
      <c r="J489" s="108" t="str">
        <f>IFERROR(__xludf.DUMMYFUNCTION("""COMPUTED_VALUE"""),"10:00 AM to 12:00 PM  ")</f>
        <v>10:00 AM to 12:00 PM  </v>
      </c>
      <c r="K489" s="108">
        <f>IFERROR(__xludf.DUMMYFUNCTION("""COMPUTED_VALUE"""),45890.0)</f>
        <v>45890</v>
      </c>
      <c r="L489" s="65"/>
      <c r="M489" s="65"/>
      <c r="N489" s="65" t="str">
        <f>IFERROR(__xludf.DUMMYFUNCTION("""COMPUTED_VALUE"""),"6669 Washington Avenue
Apartment 102")</f>
        <v>6669 Washington Avenue
Apartment 102</v>
      </c>
      <c r="O489" s="65"/>
      <c r="P489" s="65" t="b">
        <f>COUNTIF('Delivered SIR'!A:A, E489) &gt; 0</f>
        <v>0</v>
      </c>
    </row>
    <row r="490">
      <c r="A490" s="99" t="str">
        <f>IFERROR(__xludf.DUMMYFUNCTION("""COMPUTED_VALUE"""),"https://utrucking.com/admin/orders/5939433603260")</f>
        <v>https://utrucking.com/admin/orders/5939433603260</v>
      </c>
      <c r="B490" s="61" t="str">
        <f>IFERROR(__xludf.DUMMYFUNCTION("""COMPUTED_VALUE"""),"#16303")</f>
        <v>#16303</v>
      </c>
      <c r="C490" s="61" t="str">
        <f>IFERROR(__xludf.DUMMYFUNCTION("""COMPUTED_VALUE"""),"tigastyle1928@gmail.com")</f>
        <v>tigastyle1928@gmail.com</v>
      </c>
      <c r="D490" s="61">
        <f>IFERROR(__xludf.DUMMYFUNCTION("""COMPUTED_VALUE"""),3.108835579E9)</f>
        <v>3108835579</v>
      </c>
      <c r="E490" s="61" t="str">
        <f>IFERROR(__xludf.DUMMYFUNCTION("""COMPUTED_VALUE"""),"Tiger Lu")</f>
        <v>Tiger Lu</v>
      </c>
      <c r="F490" s="61" t="str">
        <f>IFERROR(__xludf.DUMMYFUNCTION("""COMPUTED_VALUE"""),"Tiger J W Lu")</f>
        <v>Tiger J W Lu</v>
      </c>
      <c r="G490" s="61" t="str">
        <f>IFERROR(__xludf.DUMMYFUNCTION("""COMPUTED_VALUE"""),"726 Westgate Ave, APT 1N")</f>
        <v>726 Westgate Ave, APT 1N</v>
      </c>
      <c r="H490" s="61" t="str">
        <f>IFERROR(__xludf.DUMMYFUNCTION("""COMPUTED_VALUE"""),"Storage Item Return")</f>
        <v>Storage Item Return</v>
      </c>
      <c r="I490" s="61" t="str">
        <f>IFERROR(__xludf.DUMMYFUNCTION("""COMPUTED_VALUE"""),"Non-University Housing ")</f>
        <v>Non-University Housing </v>
      </c>
      <c r="J490" s="107" t="str">
        <f>IFERROR(__xludf.DUMMYFUNCTION("""COMPUTED_VALUE"""),"10:00 AM to 12:00 PM  ")</f>
        <v>10:00 AM to 12:00 PM  </v>
      </c>
      <c r="K490" s="107">
        <f>IFERROR(__xludf.DUMMYFUNCTION("""COMPUTED_VALUE"""),45894.0)</f>
        <v>45894</v>
      </c>
      <c r="L490" s="61"/>
      <c r="M490" s="61"/>
      <c r="N490" s="61" t="str">
        <f>IFERROR(__xludf.DUMMYFUNCTION("""COMPUTED_VALUE"""),"726 Westgate Ave, APT 1N")</f>
        <v>726 Westgate Ave, APT 1N</v>
      </c>
      <c r="O490" s="61"/>
      <c r="P490" s="61" t="b">
        <f>COUNTIF('Delivered SIR'!A:A, E490) &gt; 0</f>
        <v>0</v>
      </c>
    </row>
    <row r="491">
      <c r="A491" s="102" t="str">
        <f>IFERROR(__xludf.DUMMYFUNCTION("""COMPUTED_VALUE"""),"https://utrucking.com/admin/orders/5939552714940")</f>
        <v>https://utrucking.com/admin/orders/5939552714940</v>
      </c>
      <c r="B491" s="65" t="str">
        <f>IFERROR(__xludf.DUMMYFUNCTION("""COMPUTED_VALUE"""),"#16304")</f>
        <v>#16304</v>
      </c>
      <c r="C491" s="65" t="str">
        <f>IFERROR(__xludf.DUMMYFUNCTION("""COMPUTED_VALUE"""),"hanwen.zhao@wustl.edu")</f>
        <v>hanwen.zhao@wustl.edu</v>
      </c>
      <c r="D491" s="65">
        <f>IFERROR(__xludf.DUMMYFUNCTION("""COMPUTED_VALUE"""),3.145710969E9)</f>
        <v>3145710969</v>
      </c>
      <c r="E491" s="65" t="str">
        <f>IFERROR(__xludf.DUMMYFUNCTION("""COMPUTED_VALUE"""),"Richard Zhao")</f>
        <v>Richard Zhao</v>
      </c>
      <c r="F491" s="65" t="str">
        <f>IFERROR(__xludf.DUMMYFUNCTION("""COMPUTED_VALUE"""),"Richard Zhao")</f>
        <v>Richard Zhao</v>
      </c>
      <c r="G491" s="65"/>
      <c r="H491" s="65" t="str">
        <f>IFERROR(__xludf.DUMMYFUNCTION("""COMPUTED_VALUE"""),"Storage Item Return")</f>
        <v>Storage Item Return</v>
      </c>
      <c r="I491" s="65" t="str">
        <f>IFERROR(__xludf.DUMMYFUNCTION("""COMPUTED_VALUE"""),"University Housing ")</f>
        <v>University Housing </v>
      </c>
      <c r="J491" s="108" t="str">
        <f>IFERROR(__xludf.DUMMYFUNCTION("""COMPUTED_VALUE"""),"09:00 AM to 11:00 AM  ")</f>
        <v>09:00 AM to 11:00 AM  </v>
      </c>
      <c r="K491" s="108">
        <f>IFERROR(__xludf.DUMMYFUNCTION("""COMPUTED_VALUE"""),45887.0)</f>
        <v>45887</v>
      </c>
      <c r="L491" s="65" t="str">
        <f>IFERROR(__xludf.DUMMYFUNCTION("""COMPUTED_VALUE"""),"House 1")</f>
        <v>House 1</v>
      </c>
      <c r="M491" s="65" t="str">
        <f>IFERROR(__xludf.DUMMYFUNCTION("""COMPUTED_VALUE"""),"115-a")</f>
        <v>115-a</v>
      </c>
      <c r="N491" s="65"/>
      <c r="O491" s="65"/>
      <c r="P491" s="65" t="b">
        <f>COUNTIF('Delivered SIR'!A:A, E491) &gt; 0</f>
        <v>1</v>
      </c>
    </row>
    <row r="492">
      <c r="A492" s="99" t="str">
        <f>IFERROR(__xludf.DUMMYFUNCTION("""COMPUTED_VALUE"""),"https://utrucking.com/admin/orders/5939801751740")</f>
        <v>https://utrucking.com/admin/orders/5939801751740</v>
      </c>
      <c r="B492" s="61" t="str">
        <f>IFERROR(__xludf.DUMMYFUNCTION("""COMPUTED_VALUE"""),"#16309")</f>
        <v>#16309</v>
      </c>
      <c r="C492" s="61"/>
      <c r="D492" s="61">
        <f>IFERROR(__xludf.DUMMYFUNCTION("""COMPUTED_VALUE"""),2.019738432E9)</f>
        <v>2019738432</v>
      </c>
      <c r="E492" s="61" t="str">
        <f>IFERROR(__xludf.DUMMYFUNCTION("""COMPUTED_VALUE"""),"Qihan Wang")</f>
        <v>Qihan Wang</v>
      </c>
      <c r="F492" s="61" t="str">
        <f>IFERROR(__xludf.DUMMYFUNCTION("""COMPUTED_VALUE"""),"Qihan Wang")</f>
        <v>Qihan Wang</v>
      </c>
      <c r="G492" s="61"/>
      <c r="H492" s="61" t="str">
        <f>IFERROR(__xludf.DUMMYFUNCTION("""COMPUTED_VALUE"""),"Storage Item Return")</f>
        <v>Storage Item Return</v>
      </c>
      <c r="I492" s="61" t="str">
        <f>IFERROR(__xludf.DUMMYFUNCTION("""COMPUTED_VALUE"""),"University Housing ")</f>
        <v>University Housing </v>
      </c>
      <c r="J492" s="107" t="str">
        <f>IFERROR(__xludf.DUMMYFUNCTION("""COMPUTED_VALUE"""),"09:00 AM to 11:00 AM  ")</f>
        <v>09:00 AM to 11:00 AM  </v>
      </c>
      <c r="K492" s="107">
        <f>IFERROR(__xludf.DUMMYFUNCTION("""COMPUTED_VALUE"""),45890.0)</f>
        <v>45890</v>
      </c>
      <c r="L492" s="61" t="str">
        <f>IFERROR(__xludf.DUMMYFUNCTION("""COMPUTED_VALUE"""),"Greenway Apartments  ")</f>
        <v>Greenway Apartments  </v>
      </c>
      <c r="M492" s="61" t="str">
        <f>IFERROR(__xludf.DUMMYFUNCTION("""COMPUTED_VALUE"""),"313-A")</f>
        <v>313-A</v>
      </c>
      <c r="N492" s="61"/>
      <c r="O492" s="61"/>
      <c r="P492" s="61" t="b">
        <f>COUNTIF('Delivered SIR'!A:A, E492) &gt; 0</f>
        <v>1</v>
      </c>
    </row>
    <row r="493">
      <c r="A493" s="102" t="str">
        <f>IFERROR(__xludf.DUMMYFUNCTION("""COMPUTED_VALUE"""),"https://utrucking.com/admin/orders/5940171505852")</f>
        <v>https://utrucking.com/admin/orders/5940171505852</v>
      </c>
      <c r="B493" s="65" t="str">
        <f>IFERROR(__xludf.DUMMYFUNCTION("""COMPUTED_VALUE"""),"#16314")</f>
        <v>#16314</v>
      </c>
      <c r="C493" s="65" t="str">
        <f>IFERROR(__xludf.DUMMYFUNCTION("""COMPUTED_VALUE"""),"salehsa329@gmail.com")</f>
        <v>salehsa329@gmail.com</v>
      </c>
      <c r="D493" s="65">
        <f>IFERROR(__xludf.DUMMYFUNCTION("""COMPUTED_VALUE"""),9.143279547E9)</f>
        <v>9143279547</v>
      </c>
      <c r="E493" s="65" t="str">
        <f>IFERROR(__xludf.DUMMYFUNCTION("""COMPUTED_VALUE"""),"Samira Saleh")</f>
        <v>Samira Saleh</v>
      </c>
      <c r="F493" s="65" t="str">
        <f>IFERROR(__xludf.DUMMYFUNCTION("""COMPUTED_VALUE"""),"Samira Saleh")</f>
        <v>Samira Saleh</v>
      </c>
      <c r="G493" s="65"/>
      <c r="H493" s="65" t="str">
        <f>IFERROR(__xludf.DUMMYFUNCTION("""COMPUTED_VALUE"""),"Storage Item Return")</f>
        <v>Storage Item Return</v>
      </c>
      <c r="I493" s="65" t="str">
        <f>IFERROR(__xludf.DUMMYFUNCTION("""COMPUTED_VALUE"""),"University Housing ")</f>
        <v>University Housing </v>
      </c>
      <c r="J493" s="108" t="str">
        <f>IFERROR(__xludf.DUMMYFUNCTION("""COMPUTED_VALUE"""),"03:00 PM to 05:00 PM")</f>
        <v>03:00 PM to 05:00 PM</v>
      </c>
      <c r="K493" s="108">
        <f>IFERROR(__xludf.DUMMYFUNCTION("""COMPUTED_VALUE"""),45889.0)</f>
        <v>45889</v>
      </c>
      <c r="L493" s="65" t="str">
        <f>IFERROR(__xludf.DUMMYFUNCTION("""COMPUTED_VALUE"""),"Loop Loft 6300  ")</f>
        <v>Loop Loft 6300  </v>
      </c>
      <c r="M493" s="65" t="str">
        <f>IFERROR(__xludf.DUMMYFUNCTION("""COMPUTED_VALUE"""),"103B")</f>
        <v>103B</v>
      </c>
      <c r="N493" s="65"/>
      <c r="O493" s="65"/>
      <c r="P493" s="65" t="b">
        <f>COUNTIF('Delivered SIR'!A:A, E493) &gt; 0</f>
        <v>0</v>
      </c>
    </row>
    <row r="494">
      <c r="A494" s="99" t="str">
        <f>IFERROR(__xludf.DUMMYFUNCTION("""COMPUTED_VALUE"""),"https://utrucking.com/admin/orders/5940189429948")</f>
        <v>https://utrucking.com/admin/orders/5940189429948</v>
      </c>
      <c r="B494" s="61" t="str">
        <f>IFERROR(__xludf.DUMMYFUNCTION("""COMPUTED_VALUE"""),"#16315")</f>
        <v>#16315</v>
      </c>
      <c r="C494" s="61"/>
      <c r="D494" s="61">
        <f>IFERROR(__xludf.DUMMYFUNCTION("""COMPUTED_VALUE"""),9.49307021E9)</f>
        <v>9493070210</v>
      </c>
      <c r="E494" s="61" t="str">
        <f>IFERROR(__xludf.DUMMYFUNCTION("""COMPUTED_VALUE"""),"Tessa Siminou")</f>
        <v>Tessa Siminou</v>
      </c>
      <c r="F494" s="61" t="str">
        <f>IFERROR(__xludf.DUMMYFUNCTION("""COMPUTED_VALUE"""),"Tessa Siminou")</f>
        <v>Tessa Siminou</v>
      </c>
      <c r="G494" s="61" t="str">
        <f>IFERROR(__xludf.DUMMYFUNCTION("""COMPUTED_VALUE"""),"299 DeBaliviere Ave
Apt #S322
St. Louis, MO 63112")</f>
        <v>299 DeBaliviere Ave
Apt #S322
St. Louis, MO 63112</v>
      </c>
      <c r="H494" s="61" t="str">
        <f>IFERROR(__xludf.DUMMYFUNCTION("""COMPUTED_VALUE"""),"Storage Item Return")</f>
        <v>Storage Item Return</v>
      </c>
      <c r="I494" s="61" t="str">
        <f>IFERROR(__xludf.DUMMYFUNCTION("""COMPUTED_VALUE"""),"Non-University Housing ")</f>
        <v>Non-University Housing </v>
      </c>
      <c r="J494" s="107" t="str">
        <f>IFERROR(__xludf.DUMMYFUNCTION("""COMPUTED_VALUE"""),"02:00 PM to 04:00 PM")</f>
        <v>02:00 PM to 04:00 PM</v>
      </c>
      <c r="K494" s="107">
        <f>IFERROR(__xludf.DUMMYFUNCTION("""COMPUTED_VALUE"""),45890.0)</f>
        <v>45890</v>
      </c>
      <c r="L494" s="61"/>
      <c r="M494" s="61"/>
      <c r="N494" s="61" t="str">
        <f>IFERROR(__xludf.DUMMYFUNCTION("""COMPUTED_VALUE"""),"299 DeBaliviere Ave
Apt #S322
St. Louis, MO 63112")</f>
        <v>299 DeBaliviere Ave
Apt #S322
St. Louis, MO 63112</v>
      </c>
      <c r="O494" s="61"/>
      <c r="P494" s="61" t="b">
        <f>COUNTIF('Delivered SIR'!A:A, E494) &gt; 0</f>
        <v>0</v>
      </c>
    </row>
    <row r="495">
      <c r="A495" s="102" t="str">
        <f>IFERROR(__xludf.DUMMYFUNCTION("""COMPUTED_VALUE"""),"https://utrucking.com/admin/orders/5940192870588")</f>
        <v>https://utrucking.com/admin/orders/5940192870588</v>
      </c>
      <c r="B495" s="65" t="str">
        <f>IFERROR(__xludf.DUMMYFUNCTION("""COMPUTED_VALUE"""),"#16316")</f>
        <v>#16316</v>
      </c>
      <c r="C495" s="65" t="str">
        <f>IFERROR(__xludf.DUMMYFUNCTION("""COMPUTED_VALUE"""),"o.omotunde@wustl.edu")</f>
        <v>o.omotunde@wustl.edu</v>
      </c>
      <c r="D495" s="65">
        <f>IFERROR(__xludf.DUMMYFUNCTION("""COMPUTED_VALUE"""),7.088332708E9)</f>
        <v>7088332708</v>
      </c>
      <c r="E495" s="65" t="str">
        <f>IFERROR(__xludf.DUMMYFUNCTION("""COMPUTED_VALUE"""),"Omotunde Oyende")</f>
        <v>Omotunde Oyende</v>
      </c>
      <c r="F495" s="65" t="str">
        <f>IFERROR(__xludf.DUMMYFUNCTION("""COMPUTED_VALUE"""),"Precious Oyende")</f>
        <v>Precious Oyende</v>
      </c>
      <c r="G495" s="65"/>
      <c r="H495" s="65" t="str">
        <f>IFERROR(__xludf.DUMMYFUNCTION("""COMPUTED_VALUE"""),"Storage Item Return")</f>
        <v>Storage Item Return</v>
      </c>
      <c r="I495" s="65" t="str">
        <f>IFERROR(__xludf.DUMMYFUNCTION("""COMPUTED_VALUE"""),"University Housing ")</f>
        <v>University Housing </v>
      </c>
      <c r="J495" s="108" t="str">
        <f>IFERROR(__xludf.DUMMYFUNCTION("""COMPUTED_VALUE"""),"09:00 AM to 11:00 AM  ")</f>
        <v>09:00 AM to 11:00 AM  </v>
      </c>
      <c r="K495" s="108">
        <f>IFERROR(__xludf.DUMMYFUNCTION("""COMPUTED_VALUE"""),45890.0)</f>
        <v>45890</v>
      </c>
      <c r="L495" s="65" t="str">
        <f>IFERROR(__xludf.DUMMYFUNCTION("""COMPUTED_VALUE"""),"Millbrook Bldg. 3  ")</f>
        <v>Millbrook Bldg. 3  </v>
      </c>
      <c r="M495" s="65" t="str">
        <f>IFERROR(__xludf.DUMMYFUNCTION("""COMPUTED_VALUE"""),"104C-b")</f>
        <v>104C-b</v>
      </c>
      <c r="N495" s="65"/>
      <c r="O495" s="65"/>
      <c r="P495" s="65" t="b">
        <f>COUNTIF('Delivered SIR'!A:A, E495) &gt; 0</f>
        <v>0</v>
      </c>
    </row>
    <row r="496">
      <c r="A496" s="99" t="str">
        <f>IFERROR(__xludf.DUMMYFUNCTION("""COMPUTED_VALUE"""),"https://utrucking.com/admin/orders/5940378173628")</f>
        <v>https://utrucking.com/admin/orders/5940378173628</v>
      </c>
      <c r="B496" s="61" t="str">
        <f>IFERROR(__xludf.DUMMYFUNCTION("""COMPUTED_VALUE"""),"#16320")</f>
        <v>#16320</v>
      </c>
      <c r="C496" s="61" t="str">
        <f>IFERROR(__xludf.DUMMYFUNCTION("""COMPUTED_VALUE"""),"janine.p@wustl.edu")</f>
        <v>janine.p@wustl.edu</v>
      </c>
      <c r="D496" s="61">
        <f>IFERROR(__xludf.DUMMYFUNCTION("""COMPUTED_VALUE"""),2.538862379E9)</f>
        <v>2538862379</v>
      </c>
      <c r="E496" s="61" t="str">
        <f>IFERROR(__xludf.DUMMYFUNCTION("""COMPUTED_VALUE"""),"Janine Park")</f>
        <v>Janine Park</v>
      </c>
      <c r="F496" s="61" t="str">
        <f>IFERROR(__xludf.DUMMYFUNCTION("""COMPUTED_VALUE"""),"Janine Park")</f>
        <v>Janine Park</v>
      </c>
      <c r="G496" s="61"/>
      <c r="H496" s="61" t="str">
        <f>IFERROR(__xludf.DUMMYFUNCTION("""COMPUTED_VALUE"""),"Storage Item Return")</f>
        <v>Storage Item Return</v>
      </c>
      <c r="I496" s="61" t="str">
        <f>IFERROR(__xludf.DUMMYFUNCTION("""COMPUTED_VALUE"""),"University Housing ")</f>
        <v>University Housing </v>
      </c>
      <c r="J496" s="107" t="str">
        <f>IFERROR(__xludf.DUMMYFUNCTION("""COMPUTED_VALUE"""),"12:00 PM to 02:00 PM  ")</f>
        <v>12:00 PM to 02:00 PM  </v>
      </c>
      <c r="K496" s="107">
        <f>IFERROR(__xludf.DUMMYFUNCTION("""COMPUTED_VALUE"""),45889.0)</f>
        <v>45889</v>
      </c>
      <c r="L496" s="61" t="str">
        <f>IFERROR(__xludf.DUMMYFUNCTION("""COMPUTED_VALUE"""),"Loop Loft 6300  ")</f>
        <v>Loop Loft 6300  </v>
      </c>
      <c r="M496" s="61" t="str">
        <f>IFERROR(__xludf.DUMMYFUNCTION("""COMPUTED_VALUE"""),"320A")</f>
        <v>320A</v>
      </c>
      <c r="N496" s="61"/>
      <c r="O496" s="61"/>
      <c r="P496" s="61" t="b">
        <f>COUNTIF('Delivered SIR'!A:A, E496) &gt; 0</f>
        <v>1</v>
      </c>
    </row>
    <row r="497">
      <c r="A497" s="102" t="str">
        <f>IFERROR(__xludf.DUMMYFUNCTION("""COMPUTED_VALUE"""),"https://utrucking.com/admin/orders/5940395671740")</f>
        <v>https://utrucking.com/admin/orders/5940395671740</v>
      </c>
      <c r="B497" s="65" t="str">
        <f>IFERROR(__xludf.DUMMYFUNCTION("""COMPUTED_VALUE"""),"#16321")</f>
        <v>#16321</v>
      </c>
      <c r="C497" s="65" t="str">
        <f>IFERROR(__xludf.DUMMYFUNCTION("""COMPUTED_VALUE"""),"avis10.sa@gmail.com")</f>
        <v>avis10.sa@gmail.com</v>
      </c>
      <c r="D497" s="65">
        <f>IFERROR(__xludf.DUMMYFUNCTION("""COMPUTED_VALUE"""),9.738421988E9)</f>
        <v>9738421988</v>
      </c>
      <c r="E497" s="65" t="str">
        <f>IFERROR(__xludf.DUMMYFUNCTION("""COMPUTED_VALUE"""),"Shirley Ann Alexander")</f>
        <v>Shirley Ann Alexander</v>
      </c>
      <c r="F497" s="65" t="str">
        <f>IFERROR(__xludf.DUMMYFUNCTION("""COMPUTED_VALUE"""),"Safiya Alexander")</f>
        <v>Safiya Alexander</v>
      </c>
      <c r="G497" s="65"/>
      <c r="H497" s="65" t="str">
        <f>IFERROR(__xludf.DUMMYFUNCTION("""COMPUTED_VALUE"""),"Storage Item Return")</f>
        <v>Storage Item Return</v>
      </c>
      <c r="I497" s="65" t="str">
        <f>IFERROR(__xludf.DUMMYFUNCTION("""COMPUTED_VALUE"""),"University Housing ")</f>
        <v>University Housing </v>
      </c>
      <c r="J497" s="108" t="str">
        <f>IFERROR(__xludf.DUMMYFUNCTION("""COMPUTED_VALUE"""),"09:00 AM to 11:00 AM  ")</f>
        <v>09:00 AM to 11:00 AM  </v>
      </c>
      <c r="K497" s="108">
        <f>IFERROR(__xludf.DUMMYFUNCTION("""COMPUTED_VALUE"""),45888.0)</f>
        <v>45888</v>
      </c>
      <c r="L497" s="65" t="str">
        <f>IFERROR(__xludf.DUMMYFUNCTION("""COMPUTED_VALUE"""),"Loop Loft 6300  ")</f>
        <v>Loop Loft 6300  </v>
      </c>
      <c r="M497" s="65" t="str">
        <f>IFERROR(__xludf.DUMMYFUNCTION("""COMPUTED_VALUE"""),"118")</f>
        <v>118</v>
      </c>
      <c r="N497" s="65"/>
      <c r="O497" s="65"/>
      <c r="P497" s="65" t="b">
        <f>COUNTIF('Delivered SIR'!A:A, E497) &gt; 0</f>
        <v>0</v>
      </c>
    </row>
    <row r="498">
      <c r="A498" s="99" t="str">
        <f>IFERROR(__xludf.DUMMYFUNCTION("""COMPUTED_VALUE"""),"https://utrucking.com/admin/orders/5940559970492")</f>
        <v>https://utrucking.com/admin/orders/5940559970492</v>
      </c>
      <c r="B498" s="61" t="str">
        <f>IFERROR(__xludf.DUMMYFUNCTION("""COMPUTED_VALUE"""),"#16325")</f>
        <v>#16325</v>
      </c>
      <c r="C498" s="61"/>
      <c r="D498" s="61">
        <f>IFERROR(__xludf.DUMMYFUNCTION("""COMPUTED_VALUE"""),4.045103674E9)</f>
        <v>4045103674</v>
      </c>
      <c r="E498" s="61" t="str">
        <f>IFERROR(__xludf.DUMMYFUNCTION("""COMPUTED_VALUE"""),"Adam Berkowitz")</f>
        <v>Adam Berkowitz</v>
      </c>
      <c r="F498" s="61" t="str">
        <f>IFERROR(__xludf.DUMMYFUNCTION("""COMPUTED_VALUE"""),"Adam Berkowitz")</f>
        <v>Adam Berkowitz</v>
      </c>
      <c r="G498" s="61" t="str">
        <f>IFERROR(__xludf.DUMMYFUNCTION("""COMPUTED_VALUE"""),"5 South Big Bend Blvd St Louis MO 63105 apt 1C")</f>
        <v>5 South Big Bend Blvd St Louis MO 63105 apt 1C</v>
      </c>
      <c r="H498" s="61" t="str">
        <f>IFERROR(__xludf.DUMMYFUNCTION("""COMPUTED_VALUE"""),"Storage Item Return")</f>
        <v>Storage Item Return</v>
      </c>
      <c r="I498" s="61" t="str">
        <f>IFERROR(__xludf.DUMMYFUNCTION("""COMPUTED_VALUE"""),"Non-University Housing ")</f>
        <v>Non-University Housing </v>
      </c>
      <c r="J498" s="107" t="str">
        <f>IFERROR(__xludf.DUMMYFUNCTION("""COMPUTED_VALUE"""),"10:00 AM to 12:00 PM  ")</f>
        <v>10:00 AM to 12:00 PM  </v>
      </c>
      <c r="K498" s="107">
        <f>IFERROR(__xludf.DUMMYFUNCTION("""COMPUTED_VALUE"""),45889.0)</f>
        <v>45889</v>
      </c>
      <c r="L498" s="61"/>
      <c r="M498" s="61"/>
      <c r="N498" s="61" t="str">
        <f>IFERROR(__xludf.DUMMYFUNCTION("""COMPUTED_VALUE"""),"5 South Big Bend Blvd St Louis MO 63105 apt 1C")</f>
        <v>5 South Big Bend Blvd St Louis MO 63105 apt 1C</v>
      </c>
      <c r="O498" s="61"/>
      <c r="P498" s="61" t="b">
        <f>COUNTIF('Delivered SIR'!A:A, E498) &gt; 0</f>
        <v>0</v>
      </c>
    </row>
    <row r="499">
      <c r="A499" s="102" t="str">
        <f>IFERROR(__xludf.DUMMYFUNCTION("""COMPUTED_VALUE"""),"https://utrucking.com/admin/orders/5940849639612")</f>
        <v>https://utrucking.com/admin/orders/5940849639612</v>
      </c>
      <c r="B499" s="65" t="str">
        <f>IFERROR(__xludf.DUMMYFUNCTION("""COMPUTED_VALUE"""),"#16326")</f>
        <v>#16326</v>
      </c>
      <c r="C499" s="65" t="str">
        <f>IFERROR(__xludf.DUMMYFUNCTION("""COMPUTED_VALUE"""),"darrenwong886@gmail.com")</f>
        <v>darrenwong886@gmail.com</v>
      </c>
      <c r="D499" s="65">
        <f>IFERROR(__xludf.DUMMYFUNCTION("""COMPUTED_VALUE"""),8.084547039E9)</f>
        <v>8084547039</v>
      </c>
      <c r="E499" s="65" t="str">
        <f>IFERROR(__xludf.DUMMYFUNCTION("""COMPUTED_VALUE"""),"Darren Wong")</f>
        <v>Darren Wong</v>
      </c>
      <c r="F499" s="65" t="str">
        <f>IFERROR(__xludf.DUMMYFUNCTION("""COMPUTED_VALUE"""),"Darren Wong")</f>
        <v>Darren Wong</v>
      </c>
      <c r="G499" s="65"/>
      <c r="H499" s="65" t="str">
        <f>IFERROR(__xludf.DUMMYFUNCTION("""COMPUTED_VALUE"""),"Storage Item Return")</f>
        <v>Storage Item Return</v>
      </c>
      <c r="I499" s="65" t="str">
        <f>IFERROR(__xludf.DUMMYFUNCTION("""COMPUTED_VALUE"""),"University Housing ")</f>
        <v>University Housing </v>
      </c>
      <c r="J499" s="108" t="str">
        <f>IFERROR(__xludf.DUMMYFUNCTION("""COMPUTED_VALUE"""),"02:00 PM to 04:00 PM")</f>
        <v>02:00 PM to 04:00 PM</v>
      </c>
      <c r="K499" s="108">
        <f>IFERROR(__xludf.DUMMYFUNCTION("""COMPUTED_VALUE"""),45888.0)</f>
        <v>45888</v>
      </c>
      <c r="L499" s="65" t="str">
        <f>IFERROR(__xludf.DUMMYFUNCTION("""COMPUTED_VALUE"""),"Mudd  ")</f>
        <v>Mudd  </v>
      </c>
      <c r="M499" s="65" t="str">
        <f>IFERROR(__xludf.DUMMYFUNCTION("""COMPUTED_VALUE"""),"251-b")</f>
        <v>251-b</v>
      </c>
      <c r="N499" s="65"/>
      <c r="O499" s="65"/>
      <c r="P499" s="65" t="b">
        <f>COUNTIF('Delivered SIR'!A:A, E499) &gt; 0</f>
        <v>1</v>
      </c>
    </row>
    <row r="500">
      <c r="A500" s="99" t="str">
        <f>IFERROR(__xludf.DUMMYFUNCTION("""COMPUTED_VALUE"""),"https://utrucking.com/admin/orders/5941208318140")</f>
        <v>https://utrucking.com/admin/orders/5941208318140</v>
      </c>
      <c r="B500" s="61" t="str">
        <f>IFERROR(__xludf.DUMMYFUNCTION("""COMPUTED_VALUE"""),"#16330")</f>
        <v>#16330</v>
      </c>
      <c r="C500" s="61"/>
      <c r="D500" s="61">
        <f>IFERROR(__xludf.DUMMYFUNCTION("""COMPUTED_VALUE"""),1.56128943E10)</f>
        <v>15612894300</v>
      </c>
      <c r="E500" s="61" t="str">
        <f>IFERROR(__xludf.DUMMYFUNCTION("""COMPUTED_VALUE"""),"Bobby Kaplan")</f>
        <v>Bobby Kaplan</v>
      </c>
      <c r="F500" s="61" t="str">
        <f>IFERROR(__xludf.DUMMYFUNCTION("""COMPUTED_VALUE"""),"Robert Kaplan")</f>
        <v>Robert Kaplan</v>
      </c>
      <c r="G500" s="61"/>
      <c r="H500" s="61" t="str">
        <f>IFERROR(__xludf.DUMMYFUNCTION("""COMPUTED_VALUE"""),"Storage Item Return")</f>
        <v>Storage Item Return</v>
      </c>
      <c r="I500" s="61" t="str">
        <f>IFERROR(__xludf.DUMMYFUNCTION("""COMPUTED_VALUE"""),"University Housing ")</f>
        <v>University Housing </v>
      </c>
      <c r="J500" s="107" t="str">
        <f>IFERROR(__xludf.DUMMYFUNCTION("""COMPUTED_VALUE"""),"09:00 AM to 11:00 AM  ")</f>
        <v>09:00 AM to 11:00 AM  </v>
      </c>
      <c r="K500" s="107">
        <f>IFERROR(__xludf.DUMMYFUNCTION("""COMPUTED_VALUE"""),45887.0)</f>
        <v>45887</v>
      </c>
      <c r="L500" s="61" t="str">
        <f>IFERROR(__xludf.DUMMYFUNCTION("""COMPUTED_VALUE"""),"Millbrook Bldg. 1  ")</f>
        <v>Millbrook Bldg. 1  </v>
      </c>
      <c r="M500" s="61" t="str">
        <f>IFERROR(__xludf.DUMMYFUNCTION("""COMPUTED_VALUE"""),"101A")</f>
        <v>101A</v>
      </c>
      <c r="N500" s="61"/>
      <c r="O500" s="61"/>
      <c r="P500" s="61" t="b">
        <f>COUNTIF('Delivered SIR'!A:A, E500) &gt; 0</f>
        <v>0</v>
      </c>
    </row>
    <row r="501">
      <c r="A501" s="102" t="str">
        <f>IFERROR(__xludf.DUMMYFUNCTION("""COMPUTED_VALUE"""),"https://utrucking.com/admin/orders/5941285421244")</f>
        <v>https://utrucking.com/admin/orders/5941285421244</v>
      </c>
      <c r="B501" s="65" t="str">
        <f>IFERROR(__xludf.DUMMYFUNCTION("""COMPUTED_VALUE"""),"#16331")</f>
        <v>#16331</v>
      </c>
      <c r="C501" s="65" t="str">
        <f>IFERROR(__xludf.DUMMYFUNCTION("""COMPUTED_VALUE"""),"haynesong@gmail.com")</f>
        <v>haynesong@gmail.com</v>
      </c>
      <c r="D501" s="65">
        <f>IFERROR(__xludf.DUMMYFUNCTION("""COMPUTED_VALUE"""),6.178933213E9)</f>
        <v>6178933213</v>
      </c>
      <c r="E501" s="65" t="str">
        <f>IFERROR(__xludf.DUMMYFUNCTION("""COMPUTED_VALUE"""),"Hayne Song")</f>
        <v>Hayne Song</v>
      </c>
      <c r="F501" s="65" t="str">
        <f>IFERROR(__xludf.DUMMYFUNCTION("""COMPUTED_VALUE"""),"Hayne Song")</f>
        <v>Hayne Song</v>
      </c>
      <c r="G501" s="65"/>
      <c r="H501" s="65" t="str">
        <f>IFERROR(__xludf.DUMMYFUNCTION("""COMPUTED_VALUE"""),"Storage Item Return")</f>
        <v>Storage Item Return</v>
      </c>
      <c r="I501" s="65" t="str">
        <f>IFERROR(__xludf.DUMMYFUNCTION("""COMPUTED_VALUE"""),"University Housing ")</f>
        <v>University Housing </v>
      </c>
      <c r="J501" s="108" t="str">
        <f>IFERROR(__xludf.DUMMYFUNCTION("""COMPUTED_VALUE"""),"09:00 AM to 11:00 AM  ")</f>
        <v>09:00 AM to 11:00 AM  </v>
      </c>
      <c r="K501" s="108">
        <f>IFERROR(__xludf.DUMMYFUNCTION("""COMPUTED_VALUE"""),45890.0)</f>
        <v>45890</v>
      </c>
      <c r="L501" s="65" t="str">
        <f>IFERROR(__xludf.DUMMYFUNCTION("""COMPUTED_VALUE"""),"Zetcher  ")</f>
        <v>Zetcher  </v>
      </c>
      <c r="M501" s="65" t="str">
        <f>IFERROR(__xludf.DUMMYFUNCTION("""COMPUTED_VALUE"""),"2223")</f>
        <v>2223</v>
      </c>
      <c r="N501" s="65"/>
      <c r="O501" s="65"/>
      <c r="P501" s="65" t="b">
        <f>COUNTIF('Delivered SIR'!A:A, E501) &gt; 0</f>
        <v>1</v>
      </c>
    </row>
    <row r="502">
      <c r="A502" s="99" t="str">
        <f>IFERROR(__xludf.DUMMYFUNCTION("""COMPUTED_VALUE"""),"https://utrucking.com/admin/orders/5941318222012")</f>
        <v>https://utrucking.com/admin/orders/5941318222012</v>
      </c>
      <c r="B502" s="61" t="str">
        <f>IFERROR(__xludf.DUMMYFUNCTION("""COMPUTED_VALUE"""),"#16332")</f>
        <v>#16332</v>
      </c>
      <c r="C502" s="61" t="str">
        <f>IFERROR(__xludf.DUMMYFUNCTION("""COMPUTED_VALUE"""),"d.romen@wustl.edu")</f>
        <v>d.romen@wustl.edu</v>
      </c>
      <c r="D502" s="61">
        <f>IFERROR(__xludf.DUMMYFUNCTION("""COMPUTED_VALUE"""),2.016007748E9)</f>
        <v>2016007748</v>
      </c>
      <c r="E502" s="61" t="str">
        <f>IFERROR(__xludf.DUMMYFUNCTION("""COMPUTED_VALUE"""),"Romen Der Manuelian")</f>
        <v>Romen Der Manuelian</v>
      </c>
      <c r="F502" s="61" t="str">
        <f>IFERROR(__xludf.DUMMYFUNCTION("""COMPUTED_VALUE"""),"Romen Der Manuelian")</f>
        <v>Romen Der Manuelian</v>
      </c>
      <c r="G502" s="61"/>
      <c r="H502" s="61" t="str">
        <f>IFERROR(__xludf.DUMMYFUNCTION("""COMPUTED_VALUE"""),"Storage Item Return")</f>
        <v>Storage Item Return</v>
      </c>
      <c r="I502" s="61" t="str">
        <f>IFERROR(__xludf.DUMMYFUNCTION("""COMPUTED_VALUE"""),"University Housing ")</f>
        <v>University Housing </v>
      </c>
      <c r="J502" s="107" t="str">
        <f>IFERROR(__xludf.DUMMYFUNCTION("""COMPUTED_VALUE"""),"09:00 AM to 11:00 AM  ")</f>
        <v>09:00 AM to 11:00 AM  </v>
      </c>
      <c r="K502" s="107">
        <f>IFERROR(__xludf.DUMMYFUNCTION("""COMPUTED_VALUE"""),45889.0)</f>
        <v>45889</v>
      </c>
      <c r="L502" s="61" t="str">
        <f>IFERROR(__xludf.DUMMYFUNCTION("""COMPUTED_VALUE"""),"Greenway Apartments  ")</f>
        <v>Greenway Apartments  </v>
      </c>
      <c r="M502" s="61" t="str">
        <f>IFERROR(__xludf.DUMMYFUNCTION("""COMPUTED_VALUE"""),"010B")</f>
        <v>010B</v>
      </c>
      <c r="N502" s="61"/>
      <c r="O502" s="61"/>
      <c r="P502" s="61" t="b">
        <f>COUNTIF('Delivered SIR'!A:A, E502) &gt; 0</f>
        <v>1</v>
      </c>
    </row>
    <row r="503">
      <c r="A503" s="102" t="str">
        <f>IFERROR(__xludf.DUMMYFUNCTION("""COMPUTED_VALUE"""),"https://utrucking.com/admin/orders/5941420687548")</f>
        <v>https://utrucking.com/admin/orders/5941420687548</v>
      </c>
      <c r="B503" s="65" t="str">
        <f>IFERROR(__xludf.DUMMYFUNCTION("""COMPUTED_VALUE"""),"#16334")</f>
        <v>#16334</v>
      </c>
      <c r="C503" s="65"/>
      <c r="D503" s="65">
        <f>IFERROR(__xludf.DUMMYFUNCTION("""COMPUTED_VALUE"""),4.8492964E9)</f>
        <v>4849296400</v>
      </c>
      <c r="E503" s="65" t="str">
        <f>IFERROR(__xludf.DUMMYFUNCTION("""COMPUTED_VALUE"""),"Elena Capobianco")</f>
        <v>Elena Capobianco</v>
      </c>
      <c r="F503" s="65" t="str">
        <f>IFERROR(__xludf.DUMMYFUNCTION("""COMPUTED_VALUE"""),"Ellie Capobianco")</f>
        <v>Ellie Capobianco</v>
      </c>
      <c r="G503" s="65"/>
      <c r="H503" s="65" t="str">
        <f>IFERROR(__xludf.DUMMYFUNCTION("""COMPUTED_VALUE"""),"Storage Item Return")</f>
        <v>Storage Item Return</v>
      </c>
      <c r="I503" s="65" t="str">
        <f>IFERROR(__xludf.DUMMYFUNCTION("""COMPUTED_VALUE"""),"University Housing ")</f>
        <v>University Housing </v>
      </c>
      <c r="J503" s="108" t="str">
        <f>IFERROR(__xludf.DUMMYFUNCTION("""COMPUTED_VALUE"""),"09:00 AM to 11:00 AM  ")</f>
        <v>09:00 AM to 11:00 AM  </v>
      </c>
      <c r="K503" s="108">
        <f>IFERROR(__xludf.DUMMYFUNCTION("""COMPUTED_VALUE"""),45887.0)</f>
        <v>45887</v>
      </c>
      <c r="L503" s="65" t="str">
        <f>IFERROR(__xludf.DUMMYFUNCTION("""COMPUTED_VALUE"""),"Millbrook Bldg. 1  ")</f>
        <v>Millbrook Bldg. 1  </v>
      </c>
      <c r="M503" s="65" t="str">
        <f>IFERROR(__xludf.DUMMYFUNCTION("""COMPUTED_VALUE"""),"105A - a")</f>
        <v>105A - a</v>
      </c>
      <c r="N503" s="65"/>
      <c r="O503" s="65"/>
      <c r="P503" s="65" t="b">
        <f>COUNTIF('Delivered SIR'!A:A, E503) &gt; 0</f>
        <v>0</v>
      </c>
    </row>
    <row r="504">
      <c r="A504" s="99" t="str">
        <f>IFERROR(__xludf.DUMMYFUNCTION("""COMPUTED_VALUE"""),"https://utrucking.com/admin/orders/5941498478780")</f>
        <v>https://utrucking.com/admin/orders/5941498478780</v>
      </c>
      <c r="B504" s="61" t="str">
        <f>IFERROR(__xludf.DUMMYFUNCTION("""COMPUTED_VALUE"""),"#16336")</f>
        <v>#16336</v>
      </c>
      <c r="C504" s="61"/>
      <c r="D504" s="61">
        <f>IFERROR(__xludf.DUMMYFUNCTION("""COMPUTED_VALUE"""),6.179992787E9)</f>
        <v>6179992787</v>
      </c>
      <c r="E504" s="61" t="str">
        <f>IFERROR(__xludf.DUMMYFUNCTION("""COMPUTED_VALUE"""),"Maya Rodriguez-Clark")</f>
        <v>Maya Rodriguez-Clark</v>
      </c>
      <c r="F504" s="61" t="str">
        <f>IFERROR(__xludf.DUMMYFUNCTION("""COMPUTED_VALUE"""),"Maya Rodriguez-Clark")</f>
        <v>Maya Rodriguez-Clark</v>
      </c>
      <c r="G504" s="61" t="str">
        <f>IFERROR(__xludf.DUMMYFUNCTION("""COMPUTED_VALUE"""),"6615 Kingsbury boulevard, apartment 3E, University City MO 63130")</f>
        <v>6615 Kingsbury boulevard, apartment 3E, University City MO 63130</v>
      </c>
      <c r="H504" s="61" t="str">
        <f>IFERROR(__xludf.DUMMYFUNCTION("""COMPUTED_VALUE"""),"Storage Item Return")</f>
        <v>Storage Item Return</v>
      </c>
      <c r="I504" s="61" t="str">
        <f>IFERROR(__xludf.DUMMYFUNCTION("""COMPUTED_VALUE"""),"Non-University Housing ")</f>
        <v>Non-University Housing </v>
      </c>
      <c r="J504" s="107" t="str">
        <f>IFERROR(__xludf.DUMMYFUNCTION("""COMPUTED_VALUE"""),"11:00 AM to 01:00 PM")</f>
        <v>11:00 AM to 01:00 PM</v>
      </c>
      <c r="K504" s="107">
        <f>IFERROR(__xludf.DUMMYFUNCTION("""COMPUTED_VALUE"""),45891.0)</f>
        <v>45891</v>
      </c>
      <c r="L504" s="61"/>
      <c r="M504" s="61"/>
      <c r="N504" s="61" t="str">
        <f>IFERROR(__xludf.DUMMYFUNCTION("""COMPUTED_VALUE"""),"6615 Kingsbury boulevard, apartment 3E, University City MO 63130")</f>
        <v>6615 Kingsbury boulevard, apartment 3E, University City MO 63130</v>
      </c>
      <c r="O504" s="61" t="str">
        <f>IFERROR(__xludf.DUMMYFUNCTION("""COMPUTED_VALUE"""),"Contact: Allison Loudenback 636-856-7785")</f>
        <v>Contact: Allison Loudenback 636-856-7785</v>
      </c>
      <c r="P504" s="61" t="b">
        <f>COUNTIF('Delivered SIR'!A:A, E504) &gt; 0</f>
        <v>0</v>
      </c>
    </row>
    <row r="505">
      <c r="A505" s="102" t="str">
        <f>IFERROR(__xludf.DUMMYFUNCTION("""COMPUTED_VALUE"""),"https://utrucking.com/admin/orders/5941736145084")</f>
        <v>https://utrucking.com/admin/orders/5941736145084</v>
      </c>
      <c r="B505" s="65" t="str">
        <f>IFERROR(__xludf.DUMMYFUNCTION("""COMPUTED_VALUE"""),"#16340")</f>
        <v>#16340</v>
      </c>
      <c r="C505" s="65" t="str">
        <f>IFERROR(__xludf.DUMMYFUNCTION("""COMPUTED_VALUE"""),"hu.w.b@wustl.edu")</f>
        <v>hu.w.b@wustl.edu</v>
      </c>
      <c r="D505" s="65">
        <f>IFERROR(__xludf.DUMMYFUNCTION("""COMPUTED_VALUE"""),3.146806397E9)</f>
        <v>3146806397</v>
      </c>
      <c r="E505" s="65" t="str">
        <f>IFERROR(__xludf.DUMMYFUNCTION("""COMPUTED_VALUE"""),"William Hu")</f>
        <v>William Hu</v>
      </c>
      <c r="F505" s="65" t="str">
        <f>IFERROR(__xludf.DUMMYFUNCTION("""COMPUTED_VALUE"""),"William Hu")</f>
        <v>William Hu</v>
      </c>
      <c r="G505" s="65"/>
      <c r="H505" s="65" t="str">
        <f>IFERROR(__xludf.DUMMYFUNCTION("""COMPUTED_VALUE"""),"Storage Item Return")</f>
        <v>Storage Item Return</v>
      </c>
      <c r="I505" s="65" t="str">
        <f>IFERROR(__xludf.DUMMYFUNCTION("""COMPUTED_VALUE"""),"University Housing ")</f>
        <v>University Housing </v>
      </c>
      <c r="J505" s="108" t="str">
        <f>IFERROR(__xludf.DUMMYFUNCTION("""COMPUTED_VALUE"""),"09:00 AM to 11:00 AM  ")</f>
        <v>09:00 AM to 11:00 AM  </v>
      </c>
      <c r="K505" s="108">
        <f>IFERROR(__xludf.DUMMYFUNCTION("""COMPUTED_VALUE"""),45892.0)</f>
        <v>45892</v>
      </c>
      <c r="L505" s="65" t="str">
        <f>IFERROR(__xludf.DUMMYFUNCTION("""COMPUTED_VALUE"""),"Lopata  ")</f>
        <v>Lopata  </v>
      </c>
      <c r="M505" s="65" t="str">
        <f>IFERROR(__xludf.DUMMYFUNCTION("""COMPUTED_VALUE"""),"2081")</f>
        <v>2081</v>
      </c>
      <c r="N505" s="65"/>
      <c r="O505" s="65"/>
      <c r="P505" s="65" t="b">
        <f>COUNTIF('Delivered SIR'!A:A, E505) &gt; 0</f>
        <v>1</v>
      </c>
    </row>
    <row r="506">
      <c r="A506" s="99" t="str">
        <f>IFERROR(__xludf.DUMMYFUNCTION("""COMPUTED_VALUE"""),"https://utrucking.com/admin/orders/5942097969340")</f>
        <v>https://utrucking.com/admin/orders/5942097969340</v>
      </c>
      <c r="B506" s="61" t="str">
        <f>IFERROR(__xludf.DUMMYFUNCTION("""COMPUTED_VALUE"""),"#16342")</f>
        <v>#16342</v>
      </c>
      <c r="C506" s="61" t="str">
        <f>IFERROR(__xludf.DUMMYFUNCTION("""COMPUTED_VALUE"""),"c.susie@wustl.edu")</f>
        <v>c.susie@wustl.edu</v>
      </c>
      <c r="D506" s="61">
        <f>IFERROR(__xludf.DUMMYFUNCTION("""COMPUTED_VALUE"""),7.144068873E9)</f>
        <v>7144068873</v>
      </c>
      <c r="E506" s="61" t="str">
        <f>IFERROR(__xludf.DUMMYFUNCTION("""COMPUTED_VALUE"""),"Susie Choi")</f>
        <v>Susie Choi</v>
      </c>
      <c r="F506" s="61" t="str">
        <f>IFERROR(__xludf.DUMMYFUNCTION("""COMPUTED_VALUE"""),"Susie Choi")</f>
        <v>Susie Choi</v>
      </c>
      <c r="G506" s="61"/>
      <c r="H506" s="61" t="str">
        <f>IFERROR(__xludf.DUMMYFUNCTION("""COMPUTED_VALUE"""),"Storage Item Return")</f>
        <v>Storage Item Return</v>
      </c>
      <c r="I506" s="61" t="str">
        <f>IFERROR(__xludf.DUMMYFUNCTION("""COMPUTED_VALUE"""),"University Housing ")</f>
        <v>University Housing </v>
      </c>
      <c r="J506" s="107" t="str">
        <f>IFERROR(__xludf.DUMMYFUNCTION("""COMPUTED_VALUE"""),"09:00 AM to 11:00 AM  ")</f>
        <v>09:00 AM to 11:00 AM  </v>
      </c>
      <c r="K506" s="107">
        <f>IFERROR(__xludf.DUMMYFUNCTION("""COMPUTED_VALUE"""),45889.0)</f>
        <v>45889</v>
      </c>
      <c r="L506" s="61" t="str">
        <f>IFERROR(__xludf.DUMMYFUNCTION("""COMPUTED_VALUE"""),"6057 Waterman Blvd")</f>
        <v>6057 Waterman Blvd</v>
      </c>
      <c r="M506" s="61" t="str">
        <f>IFERROR(__xludf.DUMMYFUNCTION("""COMPUTED_VALUE"""),"3N-B")</f>
        <v>3N-B</v>
      </c>
      <c r="N506" s="61"/>
      <c r="O506" s="61"/>
      <c r="P506" s="61" t="b">
        <f>COUNTIF('Delivered SIR'!A:A, E506) &gt; 0</f>
        <v>0</v>
      </c>
    </row>
    <row r="507">
      <c r="A507" s="102" t="str">
        <f>IFERROR(__xludf.DUMMYFUNCTION("""COMPUTED_VALUE"""),"https://utrucking.com/admin/orders/5942123102396")</f>
        <v>https://utrucking.com/admin/orders/5942123102396</v>
      </c>
      <c r="B507" s="65" t="str">
        <f>IFERROR(__xludf.DUMMYFUNCTION("""COMPUTED_VALUE"""),"#16343")</f>
        <v>#16343</v>
      </c>
      <c r="C507" s="65"/>
      <c r="D507" s="65">
        <f>IFERROR(__xludf.DUMMYFUNCTION("""COMPUTED_VALUE"""),3.12882758E9)</f>
        <v>3128827580</v>
      </c>
      <c r="E507" s="65" t="str">
        <f>IFERROR(__xludf.DUMMYFUNCTION("""COMPUTED_VALUE"""),"Peter Adams-Agresti")</f>
        <v>Peter Adams-Agresti</v>
      </c>
      <c r="F507" s="65" t="str">
        <f>IFERROR(__xludf.DUMMYFUNCTION("""COMPUTED_VALUE"""),"Peter Adams-Agresti")</f>
        <v>Peter Adams-Agresti</v>
      </c>
      <c r="G507" s="65" t="str">
        <f>IFERROR(__xludf.DUMMYFUNCTION("""COMPUTED_VALUE"""),"7012 Forsyth Apt 2E, St Louis, Mo 6310")</f>
        <v>7012 Forsyth Apt 2E, St Louis, Mo 6310</v>
      </c>
      <c r="H507" s="65" t="str">
        <f>IFERROR(__xludf.DUMMYFUNCTION("""COMPUTED_VALUE"""),"Storage Item Return")</f>
        <v>Storage Item Return</v>
      </c>
      <c r="I507" s="65" t="str">
        <f>IFERROR(__xludf.DUMMYFUNCTION("""COMPUTED_VALUE"""),"Non-University Housing ")</f>
        <v>Non-University Housing </v>
      </c>
      <c r="J507" s="108" t="str">
        <f>IFERROR(__xludf.DUMMYFUNCTION("""COMPUTED_VALUE"""),"09:00 AM to 11:00 AM  ")</f>
        <v>09:00 AM to 11:00 AM  </v>
      </c>
      <c r="K507" s="108">
        <f>IFERROR(__xludf.DUMMYFUNCTION("""COMPUTED_VALUE"""),45888.0)</f>
        <v>45888</v>
      </c>
      <c r="L507" s="65"/>
      <c r="M507" s="65"/>
      <c r="N507" s="65" t="str">
        <f>IFERROR(__xludf.DUMMYFUNCTION("""COMPUTED_VALUE"""),"7012 Forsyth Apt 2E, St Louis, Mo 6310")</f>
        <v>7012 Forsyth Apt 2E, St Louis, Mo 6310</v>
      </c>
      <c r="O507" s="65"/>
      <c r="P507" s="65" t="b">
        <f>COUNTIF('Delivered SIR'!A:A, E507) &gt; 0</f>
        <v>0</v>
      </c>
    </row>
    <row r="508">
      <c r="A508" s="99" t="str">
        <f>IFERROR(__xludf.DUMMYFUNCTION("""COMPUTED_VALUE"""),"https://utrucking.com/admin/orders/5942128050364")</f>
        <v>https://utrucking.com/admin/orders/5942128050364</v>
      </c>
      <c r="B508" s="61" t="str">
        <f>IFERROR(__xludf.DUMMYFUNCTION("""COMPUTED_VALUE"""),"#16344")</f>
        <v>#16344</v>
      </c>
      <c r="C508" s="61"/>
      <c r="D508" s="61">
        <f>IFERROR(__xludf.DUMMYFUNCTION("""COMPUTED_VALUE"""),2.033627665E9)</f>
        <v>2033627665</v>
      </c>
      <c r="E508" s="61" t="str">
        <f>IFERROR(__xludf.DUMMYFUNCTION("""COMPUTED_VALUE"""),"Adi Garg")</f>
        <v>Adi Garg</v>
      </c>
      <c r="F508" s="61" t="str">
        <f>IFERROR(__xludf.DUMMYFUNCTION("""COMPUTED_VALUE"""),"Adi Garg")</f>
        <v>Adi Garg</v>
      </c>
      <c r="G508" s="61"/>
      <c r="H508" s="61" t="str">
        <f>IFERROR(__xludf.DUMMYFUNCTION("""COMPUTED_VALUE"""),"Storage Item Return")</f>
        <v>Storage Item Return</v>
      </c>
      <c r="I508" s="61" t="str">
        <f>IFERROR(__xludf.DUMMYFUNCTION("""COMPUTED_VALUE"""),"University Housing ")</f>
        <v>University Housing </v>
      </c>
      <c r="J508" s="107" t="str">
        <f>IFERROR(__xludf.DUMMYFUNCTION("""COMPUTED_VALUE"""),"09:00 AM to 11:00 AM  ")</f>
        <v>09:00 AM to 11:00 AM  </v>
      </c>
      <c r="K508" s="107">
        <f>IFERROR(__xludf.DUMMYFUNCTION("""COMPUTED_VALUE"""),45890.0)</f>
        <v>45890</v>
      </c>
      <c r="L508" s="61" t="str">
        <f>IFERROR(__xludf.DUMMYFUNCTION("""COMPUTED_VALUE"""),"Millbrook Bldg. 4  ")</f>
        <v>Millbrook Bldg. 4  </v>
      </c>
      <c r="M508" s="61" t="str">
        <f>IFERROR(__xludf.DUMMYFUNCTION("""COMPUTED_VALUE"""),"203C")</f>
        <v>203C</v>
      </c>
      <c r="N508" s="61"/>
      <c r="O508" s="61"/>
      <c r="P508" s="61" t="b">
        <f>COUNTIF('Delivered SIR'!A:A, E508) &gt; 0</f>
        <v>0</v>
      </c>
    </row>
    <row r="509">
      <c r="A509" s="102" t="str">
        <f>IFERROR(__xludf.DUMMYFUNCTION("""COMPUTED_VALUE"""),"https://utrucking.com/admin/orders/5942173204668")</f>
        <v>https://utrucking.com/admin/orders/5942173204668</v>
      </c>
      <c r="B509" s="65" t="str">
        <f>IFERROR(__xludf.DUMMYFUNCTION("""COMPUTED_VALUE"""),"#16345")</f>
        <v>#16345</v>
      </c>
      <c r="C509" s="65" t="str">
        <f>IFERROR(__xludf.DUMMYFUNCTION("""COMPUTED_VALUE"""),"libbyhurwitz@gmail.com")</f>
        <v>libbyhurwitz@gmail.com</v>
      </c>
      <c r="D509" s="65">
        <f>IFERROR(__xludf.DUMMYFUNCTION("""COMPUTED_VALUE"""),2.026970061E9)</f>
        <v>2026970061</v>
      </c>
      <c r="E509" s="65" t="str">
        <f>IFERROR(__xludf.DUMMYFUNCTION("""COMPUTED_VALUE"""),"Libby Hurwitz")</f>
        <v>Libby Hurwitz</v>
      </c>
      <c r="F509" s="65" t="str">
        <f>IFERROR(__xludf.DUMMYFUNCTION("""COMPUTED_VALUE"""),"Libby Hurwitz")</f>
        <v>Libby Hurwitz</v>
      </c>
      <c r="G509" s="65"/>
      <c r="H509" s="65" t="str">
        <f>IFERROR(__xludf.DUMMYFUNCTION("""COMPUTED_VALUE"""),"Storage Item Return")</f>
        <v>Storage Item Return</v>
      </c>
      <c r="I509" s="65" t="str">
        <f>IFERROR(__xludf.DUMMYFUNCTION("""COMPUTED_VALUE"""),"University Housing ")</f>
        <v>University Housing </v>
      </c>
      <c r="J509" s="108" t="str">
        <f>IFERROR(__xludf.DUMMYFUNCTION("""COMPUTED_VALUE"""),"12:00 PM to 02:00 PM  ")</f>
        <v>12:00 PM to 02:00 PM  </v>
      </c>
      <c r="K509" s="108">
        <f>IFERROR(__xludf.DUMMYFUNCTION("""COMPUTED_VALUE"""),45888.0)</f>
        <v>45888</v>
      </c>
      <c r="L509" s="65" t="str">
        <f>IFERROR(__xludf.DUMMYFUNCTION("""COMPUTED_VALUE"""),"Liggett  ")</f>
        <v>Liggett  </v>
      </c>
      <c r="M509" s="65" t="str">
        <f>IFERROR(__xludf.DUMMYFUNCTION("""COMPUTED_VALUE"""),"2272 a")</f>
        <v>2272 a</v>
      </c>
      <c r="N509" s="65"/>
      <c r="O509" s="65"/>
      <c r="P509" s="65" t="b">
        <f>COUNTIF('Delivered SIR'!A:A, E509) &gt; 0</f>
        <v>1</v>
      </c>
    </row>
    <row r="510">
      <c r="A510" s="99" t="str">
        <f>IFERROR(__xludf.DUMMYFUNCTION("""COMPUTED_VALUE"""),"https://utrucking.com/admin/orders/5942311715004")</f>
        <v>https://utrucking.com/admin/orders/5942311715004</v>
      </c>
      <c r="B510" s="61" t="str">
        <f>IFERROR(__xludf.DUMMYFUNCTION("""COMPUTED_VALUE"""),"#16346")</f>
        <v>#16346</v>
      </c>
      <c r="C510" s="61" t="str">
        <f>IFERROR(__xludf.DUMMYFUNCTION("""COMPUTED_VALUE"""),"i.louise@wustl.edu")</f>
        <v>i.louise@wustl.edu</v>
      </c>
      <c r="D510" s="61">
        <f>IFERROR(__xludf.DUMMYFUNCTION("""COMPUTED_VALUE"""),9.546586032E9)</f>
        <v>9546586032</v>
      </c>
      <c r="E510" s="61" t="str">
        <f>IFERROR(__xludf.DUMMYFUNCTION("""COMPUTED_VALUE"""),"Louise Ingham")</f>
        <v>Louise Ingham</v>
      </c>
      <c r="F510" s="61" t="str">
        <f>IFERROR(__xludf.DUMMYFUNCTION("""COMPUTED_VALUE"""),"Louise Ingham")</f>
        <v>Louise Ingham</v>
      </c>
      <c r="G510" s="61" t="str">
        <f>IFERROR(__xludf.DUMMYFUNCTION("""COMPUTED_VALUE"""),"6615 Kingsbury Blvd, Apt 2W
University City, MO 63130")</f>
        <v>6615 Kingsbury Blvd, Apt 2W
University City, MO 63130</v>
      </c>
      <c r="H510" s="61" t="str">
        <f>IFERROR(__xludf.DUMMYFUNCTION("""COMPUTED_VALUE"""),"Storage Item Return")</f>
        <v>Storage Item Return</v>
      </c>
      <c r="I510" s="61" t="str">
        <f>IFERROR(__xludf.DUMMYFUNCTION("""COMPUTED_VALUE"""),"Non-University Housing ")</f>
        <v>Non-University Housing </v>
      </c>
      <c r="J510" s="107" t="str">
        <f>IFERROR(__xludf.DUMMYFUNCTION("""COMPUTED_VALUE"""),"11:00 AM to 01:00 PM  ")</f>
        <v>11:00 AM to 01:00 PM  </v>
      </c>
      <c r="K510" s="107">
        <f>IFERROR(__xludf.DUMMYFUNCTION("""COMPUTED_VALUE"""),45891.0)</f>
        <v>45891</v>
      </c>
      <c r="L510" s="61"/>
      <c r="M510" s="61"/>
      <c r="N510" s="61" t="str">
        <f>IFERROR(__xludf.DUMMYFUNCTION("""COMPUTED_VALUE"""),"6615 Kingsbury Blvd, Apt 2W
University City, MO 63130")</f>
        <v>6615 Kingsbury Blvd, Apt 2W
University City, MO 63130</v>
      </c>
      <c r="O510" s="61"/>
      <c r="P510" s="61" t="b">
        <f>COUNTIF('Delivered SIR'!A:A, E510) &gt; 0</f>
        <v>0</v>
      </c>
    </row>
    <row r="511">
      <c r="A511" s="102" t="str">
        <f>IFERROR(__xludf.DUMMYFUNCTION("""COMPUTED_VALUE"""),"https://utrucking.com/admin/orders/5942375809212")</f>
        <v>https://utrucking.com/admin/orders/5942375809212</v>
      </c>
      <c r="B511" s="65" t="str">
        <f>IFERROR(__xludf.DUMMYFUNCTION("""COMPUTED_VALUE"""),"#16347")</f>
        <v>#16347</v>
      </c>
      <c r="C511" s="65" t="str">
        <f>IFERROR(__xludf.DUMMYFUNCTION("""COMPUTED_VALUE"""),"n.m.umana-ramos@wustl.edu")</f>
        <v>n.m.umana-ramos@wustl.edu</v>
      </c>
      <c r="D511" s="65">
        <f>IFERROR(__xludf.DUMMYFUNCTION("""COMPUTED_VALUE"""),6.606196304E9)</f>
        <v>6606196304</v>
      </c>
      <c r="E511" s="65" t="str">
        <f>IFERROR(__xludf.DUMMYFUNCTION("""COMPUTED_VALUE"""),"Esmeralda Ramos")</f>
        <v>Esmeralda Ramos</v>
      </c>
      <c r="F511" s="65" t="str">
        <f>IFERROR(__xludf.DUMMYFUNCTION("""COMPUTED_VALUE"""),"Noe Umana-Ramos")</f>
        <v>Noe Umana-Ramos</v>
      </c>
      <c r="G511" s="65"/>
      <c r="H511" s="65" t="str">
        <f>IFERROR(__xludf.DUMMYFUNCTION("""COMPUTED_VALUE"""),"Storage Item Return")</f>
        <v>Storage Item Return</v>
      </c>
      <c r="I511" s="65" t="str">
        <f>IFERROR(__xludf.DUMMYFUNCTION("""COMPUTED_VALUE"""),"University Housing ")</f>
        <v>University Housing </v>
      </c>
      <c r="J511" s="108" t="str">
        <f>IFERROR(__xludf.DUMMYFUNCTION("""COMPUTED_VALUE"""),"09:00 AM to 11:00 AM  ")</f>
        <v>09:00 AM to 11:00 AM  </v>
      </c>
      <c r="K511" s="108">
        <f>IFERROR(__xludf.DUMMYFUNCTION("""COMPUTED_VALUE"""),45887.0)</f>
        <v>45887</v>
      </c>
      <c r="L511" s="65" t="str">
        <f>IFERROR(__xludf.DUMMYFUNCTION("""COMPUTED_VALUE"""),"Loop Loft 6255  ")</f>
        <v>Loop Loft 6255  </v>
      </c>
      <c r="M511" s="65" t="str">
        <f>IFERROR(__xludf.DUMMYFUNCTION("""COMPUTED_VALUE"""),"401C")</f>
        <v>401C</v>
      </c>
      <c r="N511" s="65"/>
      <c r="O511" s="65"/>
      <c r="P511" s="65" t="b">
        <f>COUNTIF('Delivered SIR'!A:A, E511) &gt; 0</f>
        <v>0</v>
      </c>
    </row>
    <row r="512">
      <c r="A512" s="99" t="str">
        <f>IFERROR(__xludf.DUMMYFUNCTION("""COMPUTED_VALUE"""),"https://utrucking.com/admin/orders/5942379806908")</f>
        <v>https://utrucking.com/admin/orders/5942379806908</v>
      </c>
      <c r="B512" s="61" t="str">
        <f>IFERROR(__xludf.DUMMYFUNCTION("""COMPUTED_VALUE"""),"#16348")</f>
        <v>#16348</v>
      </c>
      <c r="C512" s="61" t="str">
        <f>IFERROR(__xludf.DUMMYFUNCTION("""COMPUTED_VALUE"""),"Jameyer@wustl.edu")</f>
        <v>Jameyer@wustl.edu</v>
      </c>
      <c r="D512" s="61">
        <f>IFERROR(__xludf.DUMMYFUNCTION("""COMPUTED_VALUE"""),6.503859175E9)</f>
        <v>6503859175</v>
      </c>
      <c r="E512" s="61" t="str">
        <f>IFERROR(__xludf.DUMMYFUNCTION("""COMPUTED_VALUE"""),"Jonathan Meyer")</f>
        <v>Jonathan Meyer</v>
      </c>
      <c r="F512" s="61" t="str">
        <f>IFERROR(__xludf.DUMMYFUNCTION("""COMPUTED_VALUE"""),"Jack Meyer")</f>
        <v>Jack Meyer</v>
      </c>
      <c r="G512" s="61"/>
      <c r="H512" s="61" t="str">
        <f>IFERROR(__xludf.DUMMYFUNCTION("""COMPUTED_VALUE"""),"Storage Item Return")</f>
        <v>Storage Item Return</v>
      </c>
      <c r="I512" s="61" t="str">
        <f>IFERROR(__xludf.DUMMYFUNCTION("""COMPUTED_VALUE"""),"University Housing ")</f>
        <v>University Housing </v>
      </c>
      <c r="J512" s="107" t="str">
        <f>IFERROR(__xludf.DUMMYFUNCTION("""COMPUTED_VALUE"""),"10:00 AM to 12:00 PM  ")</f>
        <v>10:00 AM to 12:00 PM  </v>
      </c>
      <c r="K512" s="107">
        <f>IFERROR(__xludf.DUMMYFUNCTION("""COMPUTED_VALUE"""),45888.0)</f>
        <v>45888</v>
      </c>
      <c r="L512" s="61" t="str">
        <f>IFERROR(__xludf.DUMMYFUNCTION("""COMPUTED_VALUE"""),"Liggett  ")</f>
        <v>Liggett  </v>
      </c>
      <c r="M512" s="61" t="str">
        <f>IFERROR(__xludf.DUMMYFUNCTION("""COMPUTED_VALUE"""),"3361")</f>
        <v>3361</v>
      </c>
      <c r="N512" s="61"/>
      <c r="O512" s="61"/>
      <c r="P512" s="61" t="b">
        <f>COUNTIF('Delivered SIR'!A:A, E512) &gt; 0</f>
        <v>1</v>
      </c>
    </row>
    <row r="513">
      <c r="A513" s="102" t="str">
        <f>IFERROR(__xludf.DUMMYFUNCTION("""COMPUTED_VALUE"""),"https://utrucking.com/admin/orders/5942574219452")</f>
        <v>https://utrucking.com/admin/orders/5942574219452</v>
      </c>
      <c r="B513" s="65" t="str">
        <f>IFERROR(__xludf.DUMMYFUNCTION("""COMPUTED_VALUE"""),"#16349")</f>
        <v>#16349</v>
      </c>
      <c r="C513" s="65" t="str">
        <f>IFERROR(__xludf.DUMMYFUNCTION("""COMPUTED_VALUE"""),"aubreytalles@gmail.com")</f>
        <v>aubreytalles@gmail.com</v>
      </c>
      <c r="D513" s="65">
        <f>IFERROR(__xludf.DUMMYFUNCTION("""COMPUTED_VALUE"""),9.178819128E9)</f>
        <v>9178819128</v>
      </c>
      <c r="E513" s="65" t="str">
        <f>IFERROR(__xludf.DUMMYFUNCTION("""COMPUTED_VALUE"""),"Aubrey Talles")</f>
        <v>Aubrey Talles</v>
      </c>
      <c r="F513" s="65" t="str">
        <f>IFERROR(__xludf.DUMMYFUNCTION("""COMPUTED_VALUE"""),"Sienna Talles")</f>
        <v>Sienna Talles</v>
      </c>
      <c r="G513" s="65"/>
      <c r="H513" s="65" t="str">
        <f>IFERROR(__xludf.DUMMYFUNCTION("""COMPUTED_VALUE"""),"Storage Item Return")</f>
        <v>Storage Item Return</v>
      </c>
      <c r="I513" s="65" t="str">
        <f>IFERROR(__xludf.DUMMYFUNCTION("""COMPUTED_VALUE"""),"University Housing ")</f>
        <v>University Housing </v>
      </c>
      <c r="J513" s="108" t="str">
        <f>IFERROR(__xludf.DUMMYFUNCTION("""COMPUTED_VALUE"""),"09:00 AM to 11:00 AM  ")</f>
        <v>09:00 AM to 11:00 AM  </v>
      </c>
      <c r="K513" s="108">
        <f>IFERROR(__xludf.DUMMYFUNCTION("""COMPUTED_VALUE"""),45888.0)</f>
        <v>45888</v>
      </c>
      <c r="L513" s="65" t="str">
        <f>IFERROR(__xludf.DUMMYFUNCTION("""COMPUTED_VALUE"""),"Lopata  ")</f>
        <v>Lopata  </v>
      </c>
      <c r="M513" s="65" t="str">
        <f>IFERROR(__xludf.DUMMYFUNCTION("""COMPUTED_VALUE"""),"3033")</f>
        <v>3033</v>
      </c>
      <c r="N513" s="65"/>
      <c r="O513" s="65"/>
      <c r="P513" s="65" t="b">
        <f>COUNTIF('Delivered SIR'!A:A, E513) &gt; 0</f>
        <v>0</v>
      </c>
    </row>
    <row r="514">
      <c r="A514" s="99" t="str">
        <f>IFERROR(__xludf.DUMMYFUNCTION("""COMPUTED_VALUE"""),"https://utrucking.com/admin/orders/5942594011324")</f>
        <v>https://utrucking.com/admin/orders/5942594011324</v>
      </c>
      <c r="B514" s="61" t="str">
        <f>IFERROR(__xludf.DUMMYFUNCTION("""COMPUTED_VALUE"""),"#16350")</f>
        <v>#16350</v>
      </c>
      <c r="C514" s="61"/>
      <c r="D514" s="61">
        <f>IFERROR(__xludf.DUMMYFUNCTION("""COMPUTED_VALUE"""),7.819645636E9)</f>
        <v>7819645636</v>
      </c>
      <c r="E514" s="61" t="str">
        <f>IFERROR(__xludf.DUMMYFUNCTION("""COMPUTED_VALUE"""),"Amy Goebel")</f>
        <v>Amy Goebel</v>
      </c>
      <c r="F514" s="61" t="str">
        <f>IFERROR(__xludf.DUMMYFUNCTION("""COMPUTED_VALUE"""),"Charlie Goebel")</f>
        <v>Charlie Goebel</v>
      </c>
      <c r="G514" s="61" t="str">
        <f>IFERROR(__xludf.DUMMYFUNCTION("""COMPUTED_VALUE"""),"6669 Washington Avenue #202")</f>
        <v>6669 Washington Avenue #202</v>
      </c>
      <c r="H514" s="61" t="str">
        <f>IFERROR(__xludf.DUMMYFUNCTION("""COMPUTED_VALUE"""),"Storage Item Return")</f>
        <v>Storage Item Return</v>
      </c>
      <c r="I514" s="61" t="str">
        <f>IFERROR(__xludf.DUMMYFUNCTION("""COMPUTED_VALUE"""),"Non-University Housing ")</f>
        <v>Non-University Housing </v>
      </c>
      <c r="J514" s="107" t="str">
        <f>IFERROR(__xludf.DUMMYFUNCTION("""COMPUTED_VALUE"""),"10:00 AM to 12:00 PM  ")</f>
        <v>10:00 AM to 12:00 PM  </v>
      </c>
      <c r="K514" s="107">
        <f>IFERROR(__xludf.DUMMYFUNCTION("""COMPUTED_VALUE"""),45891.0)</f>
        <v>45891</v>
      </c>
      <c r="L514" s="61"/>
      <c r="M514" s="61"/>
      <c r="N514" s="61" t="str">
        <f>IFERROR(__xludf.DUMMYFUNCTION("""COMPUTED_VALUE"""),"6669 Washington Avenue #202")</f>
        <v>6669 Washington Avenue #202</v>
      </c>
      <c r="O514" s="61"/>
      <c r="P514" s="61" t="b">
        <f>COUNTIF('Delivered SIR'!A:A, E514) &gt; 0</f>
        <v>0</v>
      </c>
    </row>
    <row r="515">
      <c r="A515" s="102" t="str">
        <f>IFERROR(__xludf.DUMMYFUNCTION("""COMPUTED_VALUE"""),"https://utrucking.com/admin/orders/5942613475516")</f>
        <v>https://utrucking.com/admin/orders/5942613475516</v>
      </c>
      <c r="B515" s="65" t="str">
        <f>IFERROR(__xludf.DUMMYFUNCTION("""COMPUTED_VALUE"""),"#16351")</f>
        <v>#16351</v>
      </c>
      <c r="C515" s="65" t="str">
        <f>IFERROR(__xludf.DUMMYFUNCTION("""COMPUTED_VALUE"""),"l.lynch@wustl.edu")</f>
        <v>l.lynch@wustl.edu</v>
      </c>
      <c r="D515" s="65">
        <f>IFERROR(__xludf.DUMMYFUNCTION("""COMPUTED_VALUE"""),4.15425478E9)</f>
        <v>4154254780</v>
      </c>
      <c r="E515" s="65" t="str">
        <f>IFERROR(__xludf.DUMMYFUNCTION("""COMPUTED_VALUE"""),"Lauren Lynch")</f>
        <v>Lauren Lynch</v>
      </c>
      <c r="F515" s="65" t="str">
        <f>IFERROR(__xludf.DUMMYFUNCTION("""COMPUTED_VALUE"""),"Lauren Lynch")</f>
        <v>Lauren Lynch</v>
      </c>
      <c r="G515" s="65"/>
      <c r="H515" s="65" t="str">
        <f>IFERROR(__xludf.DUMMYFUNCTION("""COMPUTED_VALUE"""),"Storage Item Return")</f>
        <v>Storage Item Return</v>
      </c>
      <c r="I515" s="65" t="str">
        <f>IFERROR(__xludf.DUMMYFUNCTION("""COMPUTED_VALUE"""),"University Housing ")</f>
        <v>University Housing </v>
      </c>
      <c r="J515" s="108" t="str">
        <f>IFERROR(__xludf.DUMMYFUNCTION("""COMPUTED_VALUE"""),"09:00 AM to 11:00 AM  ")</f>
        <v>09:00 AM to 11:00 AM  </v>
      </c>
      <c r="K515" s="108">
        <f>IFERROR(__xludf.DUMMYFUNCTION("""COMPUTED_VALUE"""),45895.0)</f>
        <v>45895</v>
      </c>
      <c r="L515" s="65" t="str">
        <f>IFERROR(__xludf.DUMMYFUNCTION("""COMPUTED_VALUE"""),"Loop Loft 6200  ")</f>
        <v>Loop Loft 6200  </v>
      </c>
      <c r="M515" s="65" t="str">
        <f>IFERROR(__xludf.DUMMYFUNCTION("""COMPUTED_VALUE"""),"Lofts (6200) - 101C - a")</f>
        <v>Lofts (6200) - 101C - a</v>
      </c>
      <c r="N515" s="65"/>
      <c r="O515" s="65"/>
      <c r="P515" s="65" t="b">
        <f>COUNTIF('Delivered SIR'!A:A, E515) &gt; 0</f>
        <v>0</v>
      </c>
    </row>
    <row r="516">
      <c r="A516" s="99" t="str">
        <f>IFERROR(__xludf.DUMMYFUNCTION("""COMPUTED_VALUE"""),"https://utrucking.com/admin/orders/5943095820476")</f>
        <v>https://utrucking.com/admin/orders/5943095820476</v>
      </c>
      <c r="B516" s="61" t="str">
        <f>IFERROR(__xludf.DUMMYFUNCTION("""COMPUTED_VALUE"""),"#16355")</f>
        <v>#16355</v>
      </c>
      <c r="C516" s="61" t="str">
        <f>IFERROR(__xludf.DUMMYFUNCTION("""COMPUTED_VALUE"""),"drwat0928@aol.com")</f>
        <v>drwat0928@aol.com</v>
      </c>
      <c r="D516" s="61">
        <f>IFERROR(__xludf.DUMMYFUNCTION("""COMPUTED_VALUE"""),9.195618234E9)</f>
        <v>9195618234</v>
      </c>
      <c r="E516" s="61" t="str">
        <f>IFERROR(__xludf.DUMMYFUNCTION("""COMPUTED_VALUE"""),"Nicole Watkins")</f>
        <v>Nicole Watkins</v>
      </c>
      <c r="F516" s="61" t="str">
        <f>IFERROR(__xludf.DUMMYFUNCTION("""COMPUTED_VALUE"""),"Nena Tesinsky")</f>
        <v>Nena Tesinsky</v>
      </c>
      <c r="G516" s="61"/>
      <c r="H516" s="61" t="str">
        <f>IFERROR(__xludf.DUMMYFUNCTION("""COMPUTED_VALUE"""),"Storage Item Return")</f>
        <v>Storage Item Return</v>
      </c>
      <c r="I516" s="61" t="str">
        <f>IFERROR(__xludf.DUMMYFUNCTION("""COMPUTED_VALUE"""),"University Housing ")</f>
        <v>University Housing </v>
      </c>
      <c r="J516" s="107" t="str">
        <f>IFERROR(__xludf.DUMMYFUNCTION("""COMPUTED_VALUE"""),"09:00 AM to 11:00 AM  ")</f>
        <v>09:00 AM to 11:00 AM  </v>
      </c>
      <c r="K516" s="107">
        <f>IFERROR(__xludf.DUMMYFUNCTION("""COMPUTED_VALUE"""),45889.0)</f>
        <v>45889</v>
      </c>
      <c r="L516" s="61" t="str">
        <f>IFERROR(__xludf.DUMMYFUNCTION("""COMPUTED_VALUE"""),"Loop Loft 6300  ")</f>
        <v>Loop Loft 6300  </v>
      </c>
      <c r="M516" s="61" t="str">
        <f>IFERROR(__xludf.DUMMYFUNCTION("""COMPUTED_VALUE"""),"304C-a")</f>
        <v>304C-a</v>
      </c>
      <c r="N516" s="61"/>
      <c r="O516" s="61"/>
      <c r="P516" s="61" t="b">
        <f>COUNTIF('Delivered SIR'!A:A, E516) &gt; 0</f>
        <v>0</v>
      </c>
    </row>
    <row r="517">
      <c r="A517" s="102" t="str">
        <f>IFERROR(__xludf.DUMMYFUNCTION("""COMPUTED_VALUE"""),"https://utrucking.com/admin/orders/5943322575036")</f>
        <v>https://utrucking.com/admin/orders/5943322575036</v>
      </c>
      <c r="B517" s="65" t="str">
        <f>IFERROR(__xludf.DUMMYFUNCTION("""COMPUTED_VALUE"""),"#16358")</f>
        <v>#16358</v>
      </c>
      <c r="C517" s="65" t="str">
        <f>IFERROR(__xludf.DUMMYFUNCTION("""COMPUTED_VALUE"""),"b.dou@wustl.edu")</f>
        <v>b.dou@wustl.edu</v>
      </c>
      <c r="D517" s="65">
        <f>IFERROR(__xludf.DUMMYFUNCTION("""COMPUTED_VALUE"""),3.142557428E9)</f>
        <v>3142557428</v>
      </c>
      <c r="E517" s="65" t="str">
        <f>IFERROR(__xludf.DUMMYFUNCTION("""COMPUTED_VALUE"""),"Brian Dou")</f>
        <v>Brian Dou</v>
      </c>
      <c r="F517" s="65" t="str">
        <f>IFERROR(__xludf.DUMMYFUNCTION("""COMPUTED_VALUE"""),"Brian Dou")</f>
        <v>Brian Dou</v>
      </c>
      <c r="G517" s="65"/>
      <c r="H517" s="65" t="str">
        <f>IFERROR(__xludf.DUMMYFUNCTION("""COMPUTED_VALUE"""),"Storage Item Return")</f>
        <v>Storage Item Return</v>
      </c>
      <c r="I517" s="65" t="str">
        <f>IFERROR(__xludf.DUMMYFUNCTION("""COMPUTED_VALUE"""),"University Housing ")</f>
        <v>University Housing </v>
      </c>
      <c r="J517" s="108" t="str">
        <f>IFERROR(__xludf.DUMMYFUNCTION("""COMPUTED_VALUE"""),"10:00 AM to 12:00 PM  ")</f>
        <v>10:00 AM to 12:00 PM  </v>
      </c>
      <c r="K517" s="108">
        <f>IFERROR(__xludf.DUMMYFUNCTION("""COMPUTED_VALUE"""),45889.0)</f>
        <v>45889</v>
      </c>
      <c r="L517" s="65" t="str">
        <f>IFERROR(__xludf.DUMMYFUNCTION("""COMPUTED_VALUE"""),"Zetcher  ")</f>
        <v>Zetcher  </v>
      </c>
      <c r="M517" s="65" t="str">
        <f>IFERROR(__xludf.DUMMYFUNCTION("""COMPUTED_VALUE"""),"2123-a")</f>
        <v>2123-a</v>
      </c>
      <c r="N517" s="65"/>
      <c r="O517" s="65"/>
      <c r="P517" s="65" t="b">
        <f>COUNTIF('Delivered SIR'!A:A, E517) &gt; 0</f>
        <v>1</v>
      </c>
    </row>
    <row r="518">
      <c r="A518" s="99" t="str">
        <f>IFERROR(__xludf.DUMMYFUNCTION("""COMPUTED_VALUE"""),"https://utrucking.com/admin/orders/5943549788348")</f>
        <v>https://utrucking.com/admin/orders/5943549788348</v>
      </c>
      <c r="B518" s="61" t="str">
        <f>IFERROR(__xludf.DUMMYFUNCTION("""COMPUTED_VALUE"""),"#16361")</f>
        <v>#16361</v>
      </c>
      <c r="C518" s="61" t="str">
        <f>IFERROR(__xludf.DUMMYFUNCTION("""COMPUTED_VALUE"""),"o.j.obalua@wustl.edu")</f>
        <v>o.j.obalua@wustl.edu</v>
      </c>
      <c r="D518" s="61">
        <f>IFERROR(__xludf.DUMMYFUNCTION("""COMPUTED_VALUE"""),2.023165522E9)</f>
        <v>2023165522</v>
      </c>
      <c r="E518" s="61" t="str">
        <f>IFERROR(__xludf.DUMMYFUNCTION("""COMPUTED_VALUE"""),"Olutobi Obalua")</f>
        <v>Olutobi Obalua</v>
      </c>
      <c r="F518" s="61" t="str">
        <f>IFERROR(__xludf.DUMMYFUNCTION("""COMPUTED_VALUE"""),"Olutobi Obalua")</f>
        <v>Olutobi Obalua</v>
      </c>
      <c r="G518" s="61" t="str">
        <f>IFERROR(__xludf.DUMMYFUNCTION("""COMPUTED_VALUE"""),"6186 Waterman Boulevard, St. Louis, MO, 63112 (second floor)")</f>
        <v>6186 Waterman Boulevard, St. Louis, MO, 63112 (second floor)</v>
      </c>
      <c r="H518" s="61" t="str">
        <f>IFERROR(__xludf.DUMMYFUNCTION("""COMPUTED_VALUE"""),"Storage Item Return")</f>
        <v>Storage Item Return</v>
      </c>
      <c r="I518" s="61" t="str">
        <f>IFERROR(__xludf.DUMMYFUNCTION("""COMPUTED_VALUE"""),"Non-University Housing ")</f>
        <v>Non-University Housing </v>
      </c>
      <c r="J518" s="107" t="str">
        <f>IFERROR(__xludf.DUMMYFUNCTION("""COMPUTED_VALUE"""),"12:00 PM to 02:00 PM  ")</f>
        <v>12:00 PM to 02:00 PM  </v>
      </c>
      <c r="K518" s="107">
        <f>IFERROR(__xludf.DUMMYFUNCTION("""COMPUTED_VALUE"""),45887.0)</f>
        <v>45887</v>
      </c>
      <c r="L518" s="61"/>
      <c r="M518" s="61"/>
      <c r="N518" s="61" t="str">
        <f>IFERROR(__xludf.DUMMYFUNCTION("""COMPUTED_VALUE"""),"6186 Waterman Boulevard, St. Louis, MO, 63112 (second floor)")</f>
        <v>6186 Waterman Boulevard, St. Louis, MO, 63112 (second floor)</v>
      </c>
      <c r="O518" s="61"/>
      <c r="P518" s="61" t="b">
        <f>COUNTIF('Delivered SIR'!A:A, E518) &gt; 0</f>
        <v>0</v>
      </c>
    </row>
    <row r="519">
      <c r="A519" s="102" t="str">
        <f>IFERROR(__xludf.DUMMYFUNCTION("""COMPUTED_VALUE"""),"https://utrucking.com/admin/orders/5943885365436")</f>
        <v>https://utrucking.com/admin/orders/5943885365436</v>
      </c>
      <c r="B519" s="65" t="str">
        <f>IFERROR(__xludf.DUMMYFUNCTION("""COMPUTED_VALUE"""),"#16367")</f>
        <v>#16367</v>
      </c>
      <c r="C519" s="65" t="str">
        <f>IFERROR(__xludf.DUMMYFUNCTION("""COMPUTED_VALUE"""),"a.cunado@wustl.edu")</f>
        <v>a.cunado@wustl.edu</v>
      </c>
      <c r="D519" s="65">
        <f>IFERROR(__xludf.DUMMYFUNCTION("""COMPUTED_VALUE"""),3.142035485E9)</f>
        <v>3142035485</v>
      </c>
      <c r="E519" s="65" t="str">
        <f>IFERROR(__xludf.DUMMYFUNCTION("""COMPUTED_VALUE"""),"Alicia Cunado")</f>
        <v>Alicia Cunado</v>
      </c>
      <c r="F519" s="65" t="str">
        <f>IFERROR(__xludf.DUMMYFUNCTION("""COMPUTED_VALUE"""),"Alicia Cunado")</f>
        <v>Alicia Cunado</v>
      </c>
      <c r="G519" s="65"/>
      <c r="H519" s="65" t="str">
        <f>IFERROR(__xludf.DUMMYFUNCTION("""COMPUTED_VALUE"""),"Storage Item Return")</f>
        <v>Storage Item Return</v>
      </c>
      <c r="I519" s="65" t="str">
        <f>IFERROR(__xludf.DUMMYFUNCTION("""COMPUTED_VALUE"""),"University Housing ")</f>
        <v>University Housing </v>
      </c>
      <c r="J519" s="108" t="str">
        <f>IFERROR(__xludf.DUMMYFUNCTION("""COMPUTED_VALUE"""),"09:00 AM to 11:00 AM  ")</f>
        <v>09:00 AM to 11:00 AM  </v>
      </c>
      <c r="K519" s="108">
        <f>IFERROR(__xludf.DUMMYFUNCTION("""COMPUTED_VALUE"""),45889.0)</f>
        <v>45889</v>
      </c>
      <c r="L519" s="65" t="str">
        <f>IFERROR(__xludf.DUMMYFUNCTION("""COMPUTED_VALUE"""),"6649 University Drive  ")</f>
        <v>6649 University Drive  </v>
      </c>
      <c r="M519" s="65" t="str">
        <f>IFERROR(__xludf.DUMMYFUNCTION("""COMPUTED_VALUE"""),"Apartment 1W room B")</f>
        <v>Apartment 1W room B</v>
      </c>
      <c r="N519" s="65"/>
      <c r="O519" s="65"/>
      <c r="P519" s="65" t="b">
        <f>COUNTIF('Delivered SIR'!A:A, E519) &gt; 0</f>
        <v>0</v>
      </c>
    </row>
    <row r="520">
      <c r="A520" s="99" t="str">
        <f>IFERROR(__xludf.DUMMYFUNCTION("""COMPUTED_VALUE"""),"https://utrucking.com/admin/orders/5944049926332")</f>
        <v>https://utrucking.com/admin/orders/5944049926332</v>
      </c>
      <c r="B520" s="61" t="str">
        <f>IFERROR(__xludf.DUMMYFUNCTION("""COMPUTED_VALUE"""),"#16373")</f>
        <v>#16373</v>
      </c>
      <c r="C520" s="61" t="str">
        <f>IFERROR(__xludf.DUMMYFUNCTION("""COMPUTED_VALUE"""),"neiltbreslich@gmail.com")</f>
        <v>neiltbreslich@gmail.com</v>
      </c>
      <c r="D520" s="61">
        <f>IFERROR(__xludf.DUMMYFUNCTION("""COMPUTED_VALUE"""),1.2063761685E10)</f>
        <v>12063761685</v>
      </c>
      <c r="E520" s="61" t="str">
        <f>IFERROR(__xludf.DUMMYFUNCTION("""COMPUTED_VALUE"""),"Neil Breslich")</f>
        <v>Neil Breslich</v>
      </c>
      <c r="F520" s="61" t="str">
        <f>IFERROR(__xludf.DUMMYFUNCTION("""COMPUTED_VALUE"""),"Neil Breslich")</f>
        <v>Neil Breslich</v>
      </c>
      <c r="G520" s="61" t="str">
        <f>IFERROR(__xludf.DUMMYFUNCTION("""COMPUTED_VALUE"""),"738 Interdrive, University City,  MO 63130")</f>
        <v>738 Interdrive, University City,  MO 63130</v>
      </c>
      <c r="H520" s="61" t="str">
        <f>IFERROR(__xludf.DUMMYFUNCTION("""COMPUTED_VALUE"""),"Storage Item Return")</f>
        <v>Storage Item Return</v>
      </c>
      <c r="I520" s="61" t="str">
        <f>IFERROR(__xludf.DUMMYFUNCTION("""COMPUTED_VALUE"""),"Non-University Housing ")</f>
        <v>Non-University Housing </v>
      </c>
      <c r="J520" s="107" t="str">
        <f>IFERROR(__xludf.DUMMYFUNCTION("""COMPUTED_VALUE"""),"03:00 PM to 05:00 PM")</f>
        <v>03:00 PM to 05:00 PM</v>
      </c>
      <c r="K520" s="107">
        <f>IFERROR(__xludf.DUMMYFUNCTION("""COMPUTED_VALUE"""),45887.0)</f>
        <v>45887</v>
      </c>
      <c r="L520" s="61"/>
      <c r="M520" s="61"/>
      <c r="N520" s="61" t="str">
        <f>IFERROR(__xludf.DUMMYFUNCTION("""COMPUTED_VALUE"""),"738 Interdrive, University City,  MO 63130")</f>
        <v>738 Interdrive, University City,  MO 63130</v>
      </c>
      <c r="O520" s="61"/>
      <c r="P520" s="61" t="b">
        <f>COUNTIF('Delivered SIR'!A:A, E520) &gt; 0</f>
        <v>0</v>
      </c>
    </row>
    <row r="521">
      <c r="A521" s="102" t="str">
        <f>IFERROR(__xludf.DUMMYFUNCTION("""COMPUTED_VALUE"""),"https://utrucking.com/admin/orders/5944233296060")</f>
        <v>https://utrucking.com/admin/orders/5944233296060</v>
      </c>
      <c r="B521" s="65" t="str">
        <f>IFERROR(__xludf.DUMMYFUNCTION("""COMPUTED_VALUE"""),"#16382")</f>
        <v>#16382</v>
      </c>
      <c r="C521" s="65" t="str">
        <f>IFERROR(__xludf.DUMMYFUNCTION("""COMPUTED_VALUE"""),"yas.ibrhm23@gmail.com")</f>
        <v>yas.ibrhm23@gmail.com</v>
      </c>
      <c r="D521" s="65">
        <f>IFERROR(__xludf.DUMMYFUNCTION("""COMPUTED_VALUE"""),9.045755831E9)</f>
        <v>9045755831</v>
      </c>
      <c r="E521" s="65" t="str">
        <f>IFERROR(__xludf.DUMMYFUNCTION("""COMPUTED_VALUE"""),"Yasmeen Ibrahim")</f>
        <v>Yasmeen Ibrahim</v>
      </c>
      <c r="F521" s="65" t="str">
        <f>IFERROR(__xludf.DUMMYFUNCTION("""COMPUTED_VALUE"""),"Yasmeen Ibrahim")</f>
        <v>Yasmeen Ibrahim</v>
      </c>
      <c r="G521" s="65" t="str">
        <f>IFERROR(__xludf.DUMMYFUNCTION("""COMPUTED_VALUE"""),"7036 Forsyth Blvd
Apartment #1E
")</f>
        <v>7036 Forsyth Blvd
Apartment #1E
</v>
      </c>
      <c r="H521" s="65" t="str">
        <f>IFERROR(__xludf.DUMMYFUNCTION("""COMPUTED_VALUE"""),"Storage Item Return")</f>
        <v>Storage Item Return</v>
      </c>
      <c r="I521" s="65" t="str">
        <f>IFERROR(__xludf.DUMMYFUNCTION("""COMPUTED_VALUE"""),"Non-University Housing ")</f>
        <v>Non-University Housing </v>
      </c>
      <c r="J521" s="108" t="str">
        <f>IFERROR(__xludf.DUMMYFUNCTION("""COMPUTED_VALUE"""),"11:00 AM to 01:00 PM  ")</f>
        <v>11:00 AM to 01:00 PM  </v>
      </c>
      <c r="K521" s="108">
        <f>IFERROR(__xludf.DUMMYFUNCTION("""COMPUTED_VALUE"""),45890.0)</f>
        <v>45890</v>
      </c>
      <c r="L521" s="65"/>
      <c r="M521" s="65"/>
      <c r="N521" s="65" t="str">
        <f>IFERROR(__xludf.DUMMYFUNCTION("""COMPUTED_VALUE"""),"7036 Forsyth Blvd
Apartment #1E
")</f>
        <v>7036 Forsyth Blvd
Apartment #1E
</v>
      </c>
      <c r="O521" s="65"/>
      <c r="P521" s="65" t="b">
        <f>COUNTIF('Delivered SIR'!A:A, E521) &gt; 0</f>
        <v>0</v>
      </c>
    </row>
    <row r="522">
      <c r="A522" s="99" t="str">
        <f>IFERROR(__xludf.DUMMYFUNCTION("""COMPUTED_VALUE"""),"https://utrucking.com/admin/orders/5944271863996")</f>
        <v>https://utrucking.com/admin/orders/5944271863996</v>
      </c>
      <c r="B522" s="61" t="str">
        <f>IFERROR(__xludf.DUMMYFUNCTION("""COMPUTED_VALUE"""),"#16383")</f>
        <v>#16383</v>
      </c>
      <c r="C522" s="61" t="str">
        <f>IFERROR(__xludf.DUMMYFUNCTION("""COMPUTED_VALUE"""),"redcedariver@hotmail.com")</f>
        <v>redcedariver@hotmail.com</v>
      </c>
      <c r="D522" s="61">
        <f>IFERROR(__xludf.DUMMYFUNCTION("""COMPUTED_VALUE"""),1.3911331289E10)</f>
        <v>13911331289</v>
      </c>
      <c r="E522" s="61" t="str">
        <f>IFERROR(__xludf.DUMMYFUNCTION("""COMPUTED_VALUE"""),"Zhikun Li")</f>
        <v>Zhikun Li</v>
      </c>
      <c r="F522" s="61" t="str">
        <f>IFERROR(__xludf.DUMMYFUNCTION("""COMPUTED_VALUE"""),"Yike Li (Grace)")</f>
        <v>Yike Li (Grace)</v>
      </c>
      <c r="G522" s="61"/>
      <c r="H522" s="61" t="str">
        <f>IFERROR(__xludf.DUMMYFUNCTION("""COMPUTED_VALUE"""),"Storage Item Return")</f>
        <v>Storage Item Return</v>
      </c>
      <c r="I522" s="61" t="str">
        <f>IFERROR(__xludf.DUMMYFUNCTION("""COMPUTED_VALUE"""),"University Housing ")</f>
        <v>University Housing </v>
      </c>
      <c r="J522" s="107" t="str">
        <f>IFERROR(__xludf.DUMMYFUNCTION("""COMPUTED_VALUE"""),"10:00 AM to 12:00 PM  ")</f>
        <v>10:00 AM to 12:00 PM  </v>
      </c>
      <c r="K522" s="107">
        <f>IFERROR(__xludf.DUMMYFUNCTION("""COMPUTED_VALUE"""),45891.0)</f>
        <v>45891</v>
      </c>
      <c r="L522" s="61" t="str">
        <f>IFERROR(__xludf.DUMMYFUNCTION("""COMPUTED_VALUE"""),"House 5")</f>
        <v>House 5</v>
      </c>
      <c r="M522" s="61" t="str">
        <f>IFERROR(__xludf.DUMMYFUNCTION("""COMPUTED_VALUE"""),"308-a")</f>
        <v>308-a</v>
      </c>
      <c r="N522" s="61"/>
      <c r="O522" s="61"/>
      <c r="P522" s="61" t="b">
        <f>COUNTIF('Delivered SIR'!A:A, E522) &gt; 0</f>
        <v>0</v>
      </c>
    </row>
    <row r="523">
      <c r="A523" s="102" t="str">
        <f>IFERROR(__xludf.DUMMYFUNCTION("""COMPUTED_VALUE"""),"https://utrucking.com/admin/orders/5944282415292")</f>
        <v>https://utrucking.com/admin/orders/5944282415292</v>
      </c>
      <c r="B523" s="65" t="str">
        <f>IFERROR(__xludf.DUMMYFUNCTION("""COMPUTED_VALUE"""),"#16384")</f>
        <v>#16384</v>
      </c>
      <c r="C523" s="65"/>
      <c r="D523" s="65">
        <f>IFERROR(__xludf.DUMMYFUNCTION("""COMPUTED_VALUE"""),6.509466018E9)</f>
        <v>6509466018</v>
      </c>
      <c r="E523" s="65" t="str">
        <f>IFERROR(__xludf.DUMMYFUNCTION("""COMPUTED_VALUE"""),"Adam Zwaanstra")</f>
        <v>Adam Zwaanstra</v>
      </c>
      <c r="F523" s="65" t="str">
        <f>IFERROR(__xludf.DUMMYFUNCTION("""COMPUTED_VALUE"""),"Adam Zwaanstra")</f>
        <v>Adam Zwaanstra</v>
      </c>
      <c r="G523" s="65" t="str">
        <f>IFERROR(__xludf.DUMMYFUNCTION("""COMPUTED_VALUE"""),"6808 Washington Ave Apt 3W, University City, MO 63130")</f>
        <v>6808 Washington Ave Apt 3W, University City, MO 63130</v>
      </c>
      <c r="H523" s="65" t="str">
        <f>IFERROR(__xludf.DUMMYFUNCTION("""COMPUTED_VALUE"""),"Storage Item Return")</f>
        <v>Storage Item Return</v>
      </c>
      <c r="I523" s="65" t="str">
        <f>IFERROR(__xludf.DUMMYFUNCTION("""COMPUTED_VALUE"""),"Non-University Housing ")</f>
        <v>Non-University Housing </v>
      </c>
      <c r="J523" s="108" t="str">
        <f>IFERROR(__xludf.DUMMYFUNCTION("""COMPUTED_VALUE"""),"09:00 AM to 11:00 AM  ")</f>
        <v>09:00 AM to 11:00 AM  </v>
      </c>
      <c r="K523" s="108">
        <f>IFERROR(__xludf.DUMMYFUNCTION("""COMPUTED_VALUE"""),45891.0)</f>
        <v>45891</v>
      </c>
      <c r="L523" s="65"/>
      <c r="M523" s="65"/>
      <c r="N523" s="65" t="str">
        <f>IFERROR(__xludf.DUMMYFUNCTION("""COMPUTED_VALUE"""),"6808 Washington Ave Apt 3W, University City, MO 63130")</f>
        <v>6808 Washington Ave Apt 3W, University City, MO 63130</v>
      </c>
      <c r="O523" s="65"/>
      <c r="P523" s="65" t="b">
        <f>COUNTIF('Delivered SIR'!A:A, E523) &gt; 0</f>
        <v>0</v>
      </c>
    </row>
    <row r="524">
      <c r="A524" s="99" t="str">
        <f>IFERROR(__xludf.DUMMYFUNCTION("""COMPUTED_VALUE"""),"https://utrucking.com/admin/orders/5944305090748")</f>
        <v>https://utrucking.com/admin/orders/5944305090748</v>
      </c>
      <c r="B524" s="61" t="str">
        <f>IFERROR(__xludf.DUMMYFUNCTION("""COMPUTED_VALUE"""),"#16385")</f>
        <v>#16385</v>
      </c>
      <c r="C524" s="61" t="str">
        <f>IFERROR(__xludf.DUMMYFUNCTION("""COMPUTED_VALUE"""),"liu.jason@wustl.edu")</f>
        <v>liu.jason@wustl.edu</v>
      </c>
      <c r="D524" s="61">
        <f>IFERROR(__xludf.DUMMYFUNCTION("""COMPUTED_VALUE"""),3.147453187E9)</f>
        <v>3147453187</v>
      </c>
      <c r="E524" s="61" t="str">
        <f>IFERROR(__xludf.DUMMYFUNCTION("""COMPUTED_VALUE"""),"Yujie Liu")</f>
        <v>Yujie Liu</v>
      </c>
      <c r="F524" s="61" t="str">
        <f>IFERROR(__xludf.DUMMYFUNCTION("""COMPUTED_VALUE"""),"Jason Liu")</f>
        <v>Jason Liu</v>
      </c>
      <c r="G524" s="61" t="str">
        <f>IFERROR(__xludf.DUMMYFUNCTION("""COMPUTED_VALUE"""),"1419-A, everly on the loop, 6105 Delmar Blvd, MO 63112")</f>
        <v>1419-A, everly on the loop, 6105 Delmar Blvd, MO 63112</v>
      </c>
      <c r="H524" s="61" t="str">
        <f>IFERROR(__xludf.DUMMYFUNCTION("""COMPUTED_VALUE"""),"Storage Item Return")</f>
        <v>Storage Item Return</v>
      </c>
      <c r="I524" s="61" t="str">
        <f>IFERROR(__xludf.DUMMYFUNCTION("""COMPUTED_VALUE"""),"Non-University Housing ")</f>
        <v>Non-University Housing </v>
      </c>
      <c r="J524" s="107" t="str">
        <f>IFERROR(__xludf.DUMMYFUNCTION("""COMPUTED_VALUE"""),"01:00 PM to 03:00 PM  ")</f>
        <v>01:00 PM to 03:00 PM  </v>
      </c>
      <c r="K524" s="107">
        <f>IFERROR(__xludf.DUMMYFUNCTION("""COMPUTED_VALUE"""),45889.0)</f>
        <v>45889</v>
      </c>
      <c r="L524" s="61"/>
      <c r="M524" s="61"/>
      <c r="N524" s="61" t="str">
        <f>IFERROR(__xludf.DUMMYFUNCTION("""COMPUTED_VALUE"""),"1419-A, everly on the loop, 6105 Delmar Blvd, MO 63112")</f>
        <v>1419-A, everly on the loop, 6105 Delmar Blvd, MO 63112</v>
      </c>
      <c r="O524" s="61"/>
      <c r="P524" s="61" t="b">
        <f>COUNTIF('Delivered SIR'!A:A, E524) &gt; 0</f>
        <v>0</v>
      </c>
    </row>
    <row r="525">
      <c r="A525" s="102" t="str">
        <f>IFERROR(__xludf.DUMMYFUNCTION("""COMPUTED_VALUE"""),"https://utrucking.com/admin/orders/5944313381052")</f>
        <v>https://utrucking.com/admin/orders/5944313381052</v>
      </c>
      <c r="B525" s="65" t="str">
        <f>IFERROR(__xludf.DUMMYFUNCTION("""COMPUTED_VALUE"""),"#16386")</f>
        <v>#16386</v>
      </c>
      <c r="C525" s="65" t="str">
        <f>IFERROR(__xludf.DUMMYFUNCTION("""COMPUTED_VALUE"""),"keumriley@gmail.com")</f>
        <v>keumriley@gmail.com</v>
      </c>
      <c r="D525" s="65">
        <f>IFERROR(__xludf.DUMMYFUNCTION("""COMPUTED_VALUE"""),2.135980808E9)</f>
        <v>2135980808</v>
      </c>
      <c r="E525" s="65" t="str">
        <f>IFERROR(__xludf.DUMMYFUNCTION("""COMPUTED_VALUE"""),"Jimin Nam")</f>
        <v>Jimin Nam</v>
      </c>
      <c r="F525" s="65" t="str">
        <f>IFERROR(__xludf.DUMMYFUNCTION("""COMPUTED_VALUE"""),"Riley Keum")</f>
        <v>Riley Keum</v>
      </c>
      <c r="G525" s="65"/>
      <c r="H525" s="65" t="str">
        <f>IFERROR(__xludf.DUMMYFUNCTION("""COMPUTED_VALUE"""),"Storage Item Return")</f>
        <v>Storage Item Return</v>
      </c>
      <c r="I525" s="65" t="str">
        <f>IFERROR(__xludf.DUMMYFUNCTION("""COMPUTED_VALUE"""),"University Housing ")</f>
        <v>University Housing </v>
      </c>
      <c r="J525" s="108" t="str">
        <f>IFERROR(__xludf.DUMMYFUNCTION("""COMPUTED_VALUE"""),"09:00 AM to 11:00 AM  ")</f>
        <v>09:00 AM to 11:00 AM  </v>
      </c>
      <c r="K525" s="108">
        <f>IFERROR(__xludf.DUMMYFUNCTION("""COMPUTED_VALUE"""),45889.0)</f>
        <v>45889</v>
      </c>
      <c r="L525" s="65" t="str">
        <f>IFERROR(__xludf.DUMMYFUNCTION("""COMPUTED_VALUE"""),"Lopata  ")</f>
        <v>Lopata  </v>
      </c>
      <c r="M525" s="65" t="str">
        <f>IFERROR(__xludf.DUMMYFUNCTION("""COMPUTED_VALUE"""),"2034-a")</f>
        <v>2034-a</v>
      </c>
      <c r="N525" s="65"/>
      <c r="O525" s="65"/>
      <c r="P525" s="65" t="b">
        <f>COUNTIF('Delivered SIR'!A:A, E525) &gt; 0</f>
        <v>0</v>
      </c>
    </row>
    <row r="526">
      <c r="A526" s="99" t="str">
        <f>IFERROR(__xludf.DUMMYFUNCTION("""COMPUTED_VALUE"""),"https://utrucking.com/admin/orders/5944604229820")</f>
        <v>https://utrucking.com/admin/orders/5944604229820</v>
      </c>
      <c r="B526" s="61" t="str">
        <f>IFERROR(__xludf.DUMMYFUNCTION("""COMPUTED_VALUE"""),"#16389")</f>
        <v>#16389</v>
      </c>
      <c r="C526" s="61" t="str">
        <f>IFERROR(__xludf.DUMMYFUNCTION("""COMPUTED_VALUE"""),"m.g.somosi@wustl.edu")</f>
        <v>m.g.somosi@wustl.edu</v>
      </c>
      <c r="D526" s="61">
        <f>IFERROR(__xludf.DUMMYFUNCTION("""COMPUTED_VALUE"""),9.292941052E9)</f>
        <v>9292941052</v>
      </c>
      <c r="E526" s="61" t="str">
        <f>IFERROR(__xludf.DUMMYFUNCTION("""COMPUTED_VALUE"""),"Andrew Somosi")</f>
        <v>Andrew Somosi</v>
      </c>
      <c r="F526" s="61" t="str">
        <f>IFERROR(__xludf.DUMMYFUNCTION("""COMPUTED_VALUE"""),"Monica Somosi ")</f>
        <v>Monica Somosi </v>
      </c>
      <c r="G526" s="61"/>
      <c r="H526" s="61" t="str">
        <f>IFERROR(__xludf.DUMMYFUNCTION("""COMPUTED_VALUE"""),"Storage Item Return")</f>
        <v>Storage Item Return</v>
      </c>
      <c r="I526" s="61" t="str">
        <f>IFERROR(__xludf.DUMMYFUNCTION("""COMPUTED_VALUE"""),"University Housing ")</f>
        <v>University Housing </v>
      </c>
      <c r="J526" s="107" t="str">
        <f>IFERROR(__xludf.DUMMYFUNCTION("""COMPUTED_VALUE"""),"09:00 AM to 11:00 AM   ")</f>
        <v>09:00 AM to 11:00 AM   </v>
      </c>
      <c r="K526" s="107">
        <f>IFERROR(__xludf.DUMMYFUNCTION("""COMPUTED_VALUE"""),45889.0)</f>
        <v>45889</v>
      </c>
      <c r="L526" s="61" t="str">
        <f>IFERROR(__xludf.DUMMYFUNCTION("""COMPUTED_VALUE"""),"Millbrook Bldg. 3  ")</f>
        <v>Millbrook Bldg. 3  </v>
      </c>
      <c r="M526" s="61" t="str">
        <f>IFERROR(__xludf.DUMMYFUNCTION("""COMPUTED_VALUE"""),"301A")</f>
        <v>301A</v>
      </c>
      <c r="N526" s="61"/>
      <c r="O526" s="61"/>
      <c r="P526" s="61" t="b">
        <f>COUNTIF('Delivered SIR'!A:A, E526) &gt; 0</f>
        <v>0</v>
      </c>
    </row>
    <row r="527">
      <c r="A527" s="102" t="str">
        <f>IFERROR(__xludf.DUMMYFUNCTION("""COMPUTED_VALUE"""),"https://utrucking.com/admin/orders/5944681758908")</f>
        <v>https://utrucking.com/admin/orders/5944681758908</v>
      </c>
      <c r="B527" s="65" t="str">
        <f>IFERROR(__xludf.DUMMYFUNCTION("""COMPUTED_VALUE"""),"#16390")</f>
        <v>#16390</v>
      </c>
      <c r="C527" s="65" t="str">
        <f>IFERROR(__xludf.DUMMYFUNCTION("""COMPUTED_VALUE"""),"arorainara@gmail.com")</f>
        <v>arorainara@gmail.com</v>
      </c>
      <c r="D527" s="65" t="str">
        <f>IFERROR(__xludf.DUMMYFUNCTION("""COMPUTED_VALUE"""),"1 314-818-4005")</f>
        <v>1 314-818-4005</v>
      </c>
      <c r="E527" s="65" t="str">
        <f>IFERROR(__xludf.DUMMYFUNCTION("""COMPUTED_VALUE"""),"Inara Arora")</f>
        <v>Inara Arora</v>
      </c>
      <c r="F527" s="65" t="str">
        <f>IFERROR(__xludf.DUMMYFUNCTION("""COMPUTED_VALUE"""),"Inara Arora")</f>
        <v>Inara Arora</v>
      </c>
      <c r="G527" s="65"/>
      <c r="H527" s="65" t="str">
        <f>IFERROR(__xludf.DUMMYFUNCTION("""COMPUTED_VALUE"""),"Storage Item Return")</f>
        <v>Storage Item Return</v>
      </c>
      <c r="I527" s="65" t="str">
        <f>IFERROR(__xludf.DUMMYFUNCTION("""COMPUTED_VALUE"""),"University Housing ")</f>
        <v>University Housing </v>
      </c>
      <c r="J527" s="108" t="str">
        <f>IFERROR(__xludf.DUMMYFUNCTION("""COMPUTED_VALUE"""),"09:00 AM to 11:00 AM   ")</f>
        <v>09:00 AM to 11:00 AM   </v>
      </c>
      <c r="K527" s="108">
        <f>IFERROR(__xludf.DUMMYFUNCTION("""COMPUTED_VALUE"""),45890.0)</f>
        <v>45890</v>
      </c>
      <c r="L527" s="65" t="str">
        <f>IFERROR(__xludf.DUMMYFUNCTION("""COMPUTED_VALUE"""),"Loop Loft 6255  ")</f>
        <v>Loop Loft 6255  </v>
      </c>
      <c r="M527" s="65" t="str">
        <f>IFERROR(__xludf.DUMMYFUNCTION("""COMPUTED_VALUE"""),"418B")</f>
        <v>418B</v>
      </c>
      <c r="N527" s="65"/>
      <c r="O527" s="65"/>
      <c r="P527" s="65" t="b">
        <f>COUNTIF('Delivered SIR'!A:A, E527) &gt; 0</f>
        <v>1</v>
      </c>
    </row>
    <row r="528">
      <c r="A528" s="99" t="str">
        <f>IFERROR(__xludf.DUMMYFUNCTION("""COMPUTED_VALUE"""),"https://utrucking.com/admin/orders/5944857329852")</f>
        <v>https://utrucking.com/admin/orders/5944857329852</v>
      </c>
      <c r="B528" s="61" t="str">
        <f>IFERROR(__xludf.DUMMYFUNCTION("""COMPUTED_VALUE"""),"#16393")</f>
        <v>#16393</v>
      </c>
      <c r="C528" s="61"/>
      <c r="D528" s="61">
        <f>IFERROR(__xludf.DUMMYFUNCTION("""COMPUTED_VALUE"""),9.146024774E9)</f>
        <v>9146024774</v>
      </c>
      <c r="E528" s="61" t="str">
        <f>IFERROR(__xludf.DUMMYFUNCTION("""COMPUTED_VALUE"""),"Jane Spiro")</f>
        <v>Jane Spiro</v>
      </c>
      <c r="F528" s="61" t="str">
        <f>IFERROR(__xludf.DUMMYFUNCTION("""COMPUTED_VALUE"""),"Jane Spiro")</f>
        <v>Jane Spiro</v>
      </c>
      <c r="G528" s="61"/>
      <c r="H528" s="61" t="str">
        <f>IFERROR(__xludf.DUMMYFUNCTION("""COMPUTED_VALUE"""),"Storage Item Return")</f>
        <v>Storage Item Return</v>
      </c>
      <c r="I528" s="61" t="str">
        <f>IFERROR(__xludf.DUMMYFUNCTION("""COMPUTED_VALUE"""),"University Housing ")</f>
        <v>University Housing </v>
      </c>
      <c r="J528" s="107" t="str">
        <f>IFERROR(__xludf.DUMMYFUNCTION("""COMPUTED_VALUE"""),"09:00 AM to 11:00 AM   ")</f>
        <v>09:00 AM to 11:00 AM   </v>
      </c>
      <c r="K528" s="107">
        <f>IFERROR(__xludf.DUMMYFUNCTION("""COMPUTED_VALUE"""),45888.0)</f>
        <v>45888</v>
      </c>
      <c r="L528" s="61" t="str">
        <f>IFERROR(__xludf.DUMMYFUNCTION("""COMPUTED_VALUE"""),"Millbrook Bldg. 3  ")</f>
        <v>Millbrook Bldg. 3  </v>
      </c>
      <c r="M528" s="61" t="str">
        <f>IFERROR(__xludf.DUMMYFUNCTION("""COMPUTED_VALUE"""),"301C-a")</f>
        <v>301C-a</v>
      </c>
      <c r="N528" s="61"/>
      <c r="O528" s="61"/>
      <c r="P528" s="61" t="b">
        <f>COUNTIF('Delivered SIR'!A:A, E528) &gt; 0</f>
        <v>1</v>
      </c>
    </row>
    <row r="529">
      <c r="A529" s="102" t="str">
        <f>IFERROR(__xludf.DUMMYFUNCTION("""COMPUTED_VALUE"""),"https://utrucking.com/admin/orders/5945072124092")</f>
        <v>https://utrucking.com/admin/orders/5945072124092</v>
      </c>
      <c r="B529" s="65" t="str">
        <f>IFERROR(__xludf.DUMMYFUNCTION("""COMPUTED_VALUE"""),"#16395")</f>
        <v>#16395</v>
      </c>
      <c r="C529" s="65" t="str">
        <f>IFERROR(__xludf.DUMMYFUNCTION("""COMPUTED_VALUE"""),"hluz@wustl.edu")</f>
        <v>hluz@wustl.edu</v>
      </c>
      <c r="D529" s="65">
        <f>IFERROR(__xludf.DUMMYFUNCTION("""COMPUTED_VALUE"""),2.81726226E9)</f>
        <v>2817262260</v>
      </c>
      <c r="E529" s="65" t="str">
        <f>IFERROR(__xludf.DUMMYFUNCTION("""COMPUTED_VALUE"""),"Jasmine Hluz")</f>
        <v>Jasmine Hluz</v>
      </c>
      <c r="F529" s="65" t="str">
        <f>IFERROR(__xludf.DUMMYFUNCTION("""COMPUTED_VALUE"""),"Jasmine Hluz")</f>
        <v>Jasmine Hluz</v>
      </c>
      <c r="G529" s="65"/>
      <c r="H529" s="65" t="str">
        <f>IFERROR(__xludf.DUMMYFUNCTION("""COMPUTED_VALUE"""),"Storage Item Return")</f>
        <v>Storage Item Return</v>
      </c>
      <c r="I529" s="65" t="str">
        <f>IFERROR(__xludf.DUMMYFUNCTION("""COMPUTED_VALUE"""),"University Housing ")</f>
        <v>University Housing </v>
      </c>
      <c r="J529" s="108" t="str">
        <f>IFERROR(__xludf.DUMMYFUNCTION("""COMPUTED_VALUE"""),"09:00 AM to 11:00 AM   ")</f>
        <v>09:00 AM to 11:00 AM   </v>
      </c>
      <c r="K529" s="108">
        <f>IFERROR(__xludf.DUMMYFUNCTION("""COMPUTED_VALUE"""),45889.0)</f>
        <v>45889</v>
      </c>
      <c r="L529" s="65" t="str">
        <f>IFERROR(__xludf.DUMMYFUNCTION("""COMPUTED_VALUE"""),"Shepley  ")</f>
        <v>Shepley  </v>
      </c>
      <c r="M529" s="65" t="str">
        <f>IFERROR(__xludf.DUMMYFUNCTION("""COMPUTED_VALUE"""),"3081")</f>
        <v>3081</v>
      </c>
      <c r="N529" s="65"/>
      <c r="O529" s="65"/>
      <c r="P529" s="65" t="b">
        <f>COUNTIF('Delivered SIR'!A:A, E529) &gt; 0</f>
        <v>1</v>
      </c>
    </row>
    <row r="530">
      <c r="A530" s="99" t="str">
        <f>IFERROR(__xludf.DUMMYFUNCTION("""COMPUTED_VALUE"""),"https://utrucking.com/admin/orders/5945272172732")</f>
        <v>https://utrucking.com/admin/orders/5945272172732</v>
      </c>
      <c r="B530" s="61" t="str">
        <f>IFERROR(__xludf.DUMMYFUNCTION("""COMPUTED_VALUE"""),"#16396")</f>
        <v>#16396</v>
      </c>
      <c r="C530" s="61"/>
      <c r="D530" s="61">
        <f>IFERROR(__xludf.DUMMYFUNCTION("""COMPUTED_VALUE"""),3.102925626E9)</f>
        <v>3102925626</v>
      </c>
      <c r="E530" s="61" t="str">
        <f>IFERROR(__xludf.DUMMYFUNCTION("""COMPUTED_VALUE"""),"Emily Poltorak")</f>
        <v>Emily Poltorak</v>
      </c>
      <c r="F530" s="61" t="str">
        <f>IFERROR(__xludf.DUMMYFUNCTION("""COMPUTED_VALUE"""),"Emily Poltorak")</f>
        <v>Emily Poltorak</v>
      </c>
      <c r="G530" s="61"/>
      <c r="H530" s="61" t="str">
        <f>IFERROR(__xludf.DUMMYFUNCTION("""COMPUTED_VALUE"""),"Storage Item Return")</f>
        <v>Storage Item Return</v>
      </c>
      <c r="I530" s="61" t="str">
        <f>IFERROR(__xludf.DUMMYFUNCTION("""COMPUTED_VALUE"""),"University Housing ")</f>
        <v>University Housing </v>
      </c>
      <c r="J530" s="107" t="str">
        <f>IFERROR(__xludf.DUMMYFUNCTION("""COMPUTED_VALUE"""),"09:00 AM to 11:00 AM   ")</f>
        <v>09:00 AM to 11:00 AM   </v>
      </c>
      <c r="K530" s="107">
        <f>IFERROR(__xludf.DUMMYFUNCTION("""COMPUTED_VALUE"""),45891.0)</f>
        <v>45891</v>
      </c>
      <c r="L530" s="61" t="str">
        <f>IFERROR(__xludf.DUMMYFUNCTION("""COMPUTED_VALUE"""),"Nemerov  ")</f>
        <v>Nemerov  </v>
      </c>
      <c r="M530" s="61" t="str">
        <f>IFERROR(__xludf.DUMMYFUNCTION("""COMPUTED_VALUE"""),"2084")</f>
        <v>2084</v>
      </c>
      <c r="N530" s="61"/>
      <c r="O530" s="61"/>
      <c r="P530" s="61" t="b">
        <f>COUNTIF('Delivered SIR'!A:A, E530) &gt; 0</f>
        <v>1</v>
      </c>
    </row>
    <row r="531">
      <c r="A531" s="102" t="str">
        <f>IFERROR(__xludf.DUMMYFUNCTION("""COMPUTED_VALUE"""),"https://utrucking.com/admin/orders/5945338003644")</f>
        <v>https://utrucking.com/admin/orders/5945338003644</v>
      </c>
      <c r="B531" s="65" t="str">
        <f>IFERROR(__xludf.DUMMYFUNCTION("""COMPUTED_VALUE"""),"#16398")</f>
        <v>#16398</v>
      </c>
      <c r="C531" s="65" t="str">
        <f>IFERROR(__xludf.DUMMYFUNCTION("""COMPUTED_VALUE"""),"ulricapeng3420@outlook.com")</f>
        <v>ulricapeng3420@outlook.com</v>
      </c>
      <c r="D531" s="65">
        <f>IFERROR(__xludf.DUMMYFUNCTION("""COMPUTED_VALUE"""),7.326429191E9)</f>
        <v>7326429191</v>
      </c>
      <c r="E531" s="65" t="str">
        <f>IFERROR(__xludf.DUMMYFUNCTION("""COMPUTED_VALUE"""),"Ulrica Yingying Peng")</f>
        <v>Ulrica Yingying Peng</v>
      </c>
      <c r="F531" s="65" t="str">
        <f>IFERROR(__xludf.DUMMYFUNCTION("""COMPUTED_VALUE"""),"Ulrica Yingying Peng")</f>
        <v>Ulrica Yingying Peng</v>
      </c>
      <c r="G531" s="65" t="str">
        <f>IFERROR(__xludf.DUMMYFUNCTION("""COMPUTED_VALUE"""),"Lewis Collaborative #125, 725 Kingsland Ave, St. Louis, MO 63130")</f>
        <v>Lewis Collaborative #125, 725 Kingsland Ave, St. Louis, MO 63130</v>
      </c>
      <c r="H531" s="65" t="str">
        <f>IFERROR(__xludf.DUMMYFUNCTION("""COMPUTED_VALUE"""),"Storage Item Return")</f>
        <v>Storage Item Return</v>
      </c>
      <c r="I531" s="65" t="str">
        <f>IFERROR(__xludf.DUMMYFUNCTION("""COMPUTED_VALUE"""),"Non-University Housing ")</f>
        <v>Non-University Housing </v>
      </c>
      <c r="J531" s="108" t="str">
        <f>IFERROR(__xludf.DUMMYFUNCTION("""COMPUTED_VALUE"""),"09:00 AM to 11:00 AM   ")</f>
        <v>09:00 AM to 11:00 AM   </v>
      </c>
      <c r="K531" s="108">
        <f>IFERROR(__xludf.DUMMYFUNCTION("""COMPUTED_VALUE"""),45890.0)</f>
        <v>45890</v>
      </c>
      <c r="L531" s="65"/>
      <c r="M531" s="65"/>
      <c r="N531" s="65" t="str">
        <f>IFERROR(__xludf.DUMMYFUNCTION("""COMPUTED_VALUE"""),"Lewis Collaborative #125, 725 Kingsland Ave, St. Louis, MO 63130")</f>
        <v>Lewis Collaborative #125, 725 Kingsland Ave, St. Louis, MO 63130</v>
      </c>
      <c r="O531" s="65"/>
      <c r="P531" s="65" t="b">
        <f>COUNTIF('Delivered SIR'!A:A, E531) &gt; 0</f>
        <v>0</v>
      </c>
    </row>
    <row r="532">
      <c r="A532" s="99" t="str">
        <f>IFERROR(__xludf.DUMMYFUNCTION("""COMPUTED_VALUE"""),"https://utrucking.com/admin/orders/5945389842620")</f>
        <v>https://utrucking.com/admin/orders/5945389842620</v>
      </c>
      <c r="B532" s="61" t="str">
        <f>IFERROR(__xludf.DUMMYFUNCTION("""COMPUTED_VALUE"""),"#16399")</f>
        <v>#16399</v>
      </c>
      <c r="C532" s="61"/>
      <c r="D532" s="61">
        <f>IFERROR(__xludf.DUMMYFUNCTION("""COMPUTED_VALUE"""),7.725300687E9)</f>
        <v>7725300687</v>
      </c>
      <c r="E532" s="61" t="str">
        <f>IFERROR(__xludf.DUMMYFUNCTION("""COMPUTED_VALUE"""),"Samer Elhoushy")</f>
        <v>Samer Elhoushy</v>
      </c>
      <c r="F532" s="61" t="str">
        <f>IFERROR(__xludf.DUMMYFUNCTION("""COMPUTED_VALUE"""),"Samer Elhoushy")</f>
        <v>Samer Elhoushy</v>
      </c>
      <c r="G532" s="61" t="str">
        <f>IFERROR(__xludf.DUMMYFUNCTION("""COMPUTED_VALUE"""),"2113 SW Olympic Club Terrace")</f>
        <v>2113 SW Olympic Club Terrace</v>
      </c>
      <c r="H532" s="61" t="str">
        <f>IFERROR(__xludf.DUMMYFUNCTION("""COMPUTED_VALUE"""),"Storage Item Return")</f>
        <v>Storage Item Return</v>
      </c>
      <c r="I532" s="61" t="str">
        <f>IFERROR(__xludf.DUMMYFUNCTION("""COMPUTED_VALUE"""),"Non-University Housing ")</f>
        <v>Non-University Housing </v>
      </c>
      <c r="J532" s="107" t="str">
        <f>IFERROR(__xludf.DUMMYFUNCTION("""COMPUTED_VALUE"""),"10:00 AM to 12:00 PM   ")</f>
        <v>10:00 AM to 12:00 PM   </v>
      </c>
      <c r="K532" s="107">
        <f>IFERROR(__xludf.DUMMYFUNCTION("""COMPUTED_VALUE"""),45888.0)</f>
        <v>45888</v>
      </c>
      <c r="L532" s="61"/>
      <c r="M532" s="61"/>
      <c r="N532" s="61" t="str">
        <f>IFERROR(__xludf.DUMMYFUNCTION("""COMPUTED_VALUE"""),"2113 SW Olympic Club Terrace")</f>
        <v>2113 SW Olympic Club Terrace</v>
      </c>
      <c r="O532" s="61"/>
      <c r="P532" s="61" t="b">
        <f>COUNTIF('Delivered SIR'!A:A, E532) &gt; 0</f>
        <v>0</v>
      </c>
    </row>
    <row r="533">
      <c r="A533" s="102" t="str">
        <f>IFERROR(__xludf.DUMMYFUNCTION("""COMPUTED_VALUE"""),"https://utrucking.com/admin/orders/5945397313724")</f>
        <v>https://utrucking.com/admin/orders/5945397313724</v>
      </c>
      <c r="B533" s="65" t="str">
        <f>IFERROR(__xludf.DUMMYFUNCTION("""COMPUTED_VALUE"""),"#16400")</f>
        <v>#16400</v>
      </c>
      <c r="C533" s="65" t="str">
        <f>IFERROR(__xludf.DUMMYFUNCTION("""COMPUTED_VALUE"""),"brouilletmatthew@gmail.com")</f>
        <v>brouilletmatthew@gmail.com</v>
      </c>
      <c r="D533" s="65">
        <f>IFERROR(__xludf.DUMMYFUNCTION("""COMPUTED_VALUE"""),7.745025038E9)</f>
        <v>7745025038</v>
      </c>
      <c r="E533" s="65" t="str">
        <f>IFERROR(__xludf.DUMMYFUNCTION("""COMPUTED_VALUE"""),"Matthew Brouillet")</f>
        <v>Matthew Brouillet</v>
      </c>
      <c r="F533" s="65" t="str">
        <f>IFERROR(__xludf.DUMMYFUNCTION("""COMPUTED_VALUE"""),"Matthew Brouillet")</f>
        <v>Matthew Brouillet</v>
      </c>
      <c r="G533" s="65" t="str">
        <f>IFERROR(__xludf.DUMMYFUNCTION("""COMPUTED_VALUE"""),"6665 Washington Ave. 
Apartment #3W")</f>
        <v>6665 Washington Ave. 
Apartment #3W</v>
      </c>
      <c r="H533" s="65" t="str">
        <f>IFERROR(__xludf.DUMMYFUNCTION("""COMPUTED_VALUE"""),"Storage Item Return")</f>
        <v>Storage Item Return</v>
      </c>
      <c r="I533" s="65" t="str">
        <f>IFERROR(__xludf.DUMMYFUNCTION("""COMPUTED_VALUE"""),"Non-University Housing ")</f>
        <v>Non-University Housing </v>
      </c>
      <c r="J533" s="108" t="str">
        <f>IFERROR(__xludf.DUMMYFUNCTION("""COMPUTED_VALUE"""),"02:00 PM to 04:00 PM ")</f>
        <v>02:00 PM to 04:00 PM </v>
      </c>
      <c r="K533" s="108">
        <f>IFERROR(__xludf.DUMMYFUNCTION("""COMPUTED_VALUE"""),45892.0)</f>
        <v>45892</v>
      </c>
      <c r="L533" s="65"/>
      <c r="M533" s="65"/>
      <c r="N533" s="65" t="str">
        <f>IFERROR(__xludf.DUMMYFUNCTION("""COMPUTED_VALUE"""),"6665 Washington Ave. 
Apartment #3W")</f>
        <v>6665 Washington Ave. 
Apartment #3W</v>
      </c>
      <c r="O533" s="65"/>
      <c r="P533" s="65" t="b">
        <f>COUNTIF('Delivered SIR'!A:A, E533) &gt; 0</f>
        <v>0</v>
      </c>
    </row>
    <row r="534">
      <c r="A534" s="99" t="str">
        <f>IFERROR(__xludf.DUMMYFUNCTION("""COMPUTED_VALUE"""),"https://utrucking.com/admin/orders/5945528189116")</f>
        <v>https://utrucking.com/admin/orders/5945528189116</v>
      </c>
      <c r="B534" s="61" t="str">
        <f>IFERROR(__xludf.DUMMYFUNCTION("""COMPUTED_VALUE"""),"#16401")</f>
        <v>#16401</v>
      </c>
      <c r="C534" s="61" t="str">
        <f>IFERROR(__xludf.DUMMYFUNCTION("""COMPUTED_VALUE"""),"g.madeleine@wustl.edu")</f>
        <v>g.madeleine@wustl.edu</v>
      </c>
      <c r="D534" s="61">
        <f>IFERROR(__xludf.DUMMYFUNCTION("""COMPUTED_VALUE"""),6.268404132E9)</f>
        <v>6268404132</v>
      </c>
      <c r="E534" s="61" t="str">
        <f>IFERROR(__xludf.DUMMYFUNCTION("""COMPUTED_VALUE"""),"Maddie Gomez")</f>
        <v>Maddie Gomez</v>
      </c>
      <c r="F534" s="61" t="str">
        <f>IFERROR(__xludf.DUMMYFUNCTION("""COMPUTED_VALUE"""),"Maddie Gomez")</f>
        <v>Maddie Gomez</v>
      </c>
      <c r="G534" s="61"/>
      <c r="H534" s="61" t="str">
        <f>IFERROR(__xludf.DUMMYFUNCTION("""COMPUTED_VALUE"""),"Storage Item Return")</f>
        <v>Storage Item Return</v>
      </c>
      <c r="I534" s="61" t="str">
        <f>IFERROR(__xludf.DUMMYFUNCTION("""COMPUTED_VALUE"""),"University Housing ")</f>
        <v>University Housing </v>
      </c>
      <c r="J534" s="107" t="str">
        <f>IFERROR(__xludf.DUMMYFUNCTION("""COMPUTED_VALUE"""),"09:00 AM to 11:00 AM   ")</f>
        <v>09:00 AM to 11:00 AM   </v>
      </c>
      <c r="K534" s="107">
        <f>IFERROR(__xludf.DUMMYFUNCTION("""COMPUTED_VALUE"""),45889.0)</f>
        <v>45889</v>
      </c>
      <c r="L534" s="61" t="str">
        <f>IFERROR(__xludf.DUMMYFUNCTION("""COMPUTED_VALUE"""),"Greenway Apartments  ")</f>
        <v>Greenway Apartments  </v>
      </c>
      <c r="M534" s="61" t="str">
        <f>IFERROR(__xludf.DUMMYFUNCTION("""COMPUTED_VALUE"""),"121-C")</f>
        <v>121-C</v>
      </c>
      <c r="N534" s="61"/>
      <c r="O534" s="61"/>
      <c r="P534" s="61" t="b">
        <f>COUNTIF('Delivered SIR'!A:A, E534) &gt; 0</f>
        <v>1</v>
      </c>
    </row>
    <row r="535">
      <c r="A535" s="102" t="str">
        <f>IFERROR(__xludf.DUMMYFUNCTION("""COMPUTED_VALUE"""),"https://utrucking.com/admin/orders/5945591791804")</f>
        <v>https://utrucking.com/admin/orders/5945591791804</v>
      </c>
      <c r="B535" s="65" t="str">
        <f>IFERROR(__xludf.DUMMYFUNCTION("""COMPUTED_VALUE"""),"#16402")</f>
        <v>#16402</v>
      </c>
      <c r="C535" s="65" t="str">
        <f>IFERROR(__xludf.DUMMYFUNCTION("""COMPUTED_VALUE"""),"abby.z@wustl.edu")</f>
        <v>abby.z@wustl.edu</v>
      </c>
      <c r="D535" s="65">
        <f>IFERROR(__xludf.DUMMYFUNCTION("""COMPUTED_VALUE"""),1.3148278069E10)</f>
        <v>13148278069</v>
      </c>
      <c r="E535" s="65" t="str">
        <f>IFERROR(__xludf.DUMMYFUNCTION("""COMPUTED_VALUE"""),"Xinzhi Zhang")</f>
        <v>Xinzhi Zhang</v>
      </c>
      <c r="F535" s="65" t="str">
        <f>IFERROR(__xludf.DUMMYFUNCTION("""COMPUTED_VALUE"""),"Abby Zhang")</f>
        <v>Abby Zhang</v>
      </c>
      <c r="G535" s="65" t="str">
        <f>IFERROR(__xludf.DUMMYFUNCTION("""COMPUTED_VALUE"""),"5539 Pershing Ave, Apt. 313, St. Louis, MO, 63112")</f>
        <v>5539 Pershing Ave, Apt. 313, St. Louis, MO, 63112</v>
      </c>
      <c r="H535" s="65" t="str">
        <f>IFERROR(__xludf.DUMMYFUNCTION("""COMPUTED_VALUE"""),"Storage Item Return")</f>
        <v>Storage Item Return</v>
      </c>
      <c r="I535" s="65" t="str">
        <f>IFERROR(__xludf.DUMMYFUNCTION("""COMPUTED_VALUE"""),"Non-University Housing ")</f>
        <v>Non-University Housing </v>
      </c>
      <c r="J535" s="108" t="str">
        <f>IFERROR(__xludf.DUMMYFUNCTION("""COMPUTED_VALUE"""),"10:00 AM to 12:00 PM   ")</f>
        <v>10:00 AM to 12:00 PM   </v>
      </c>
      <c r="K535" s="108">
        <f>IFERROR(__xludf.DUMMYFUNCTION("""COMPUTED_VALUE"""),45892.0)</f>
        <v>45892</v>
      </c>
      <c r="L535" s="65"/>
      <c r="M535" s="65"/>
      <c r="N535" s="65" t="str">
        <f>IFERROR(__xludf.DUMMYFUNCTION("""COMPUTED_VALUE"""),"5539 Pershing Ave, Apt. 313, St. Louis, MO, 63112")</f>
        <v>5539 Pershing Ave, Apt. 313, St. Louis, MO, 63112</v>
      </c>
      <c r="O535" s="65"/>
      <c r="P535" s="65" t="b">
        <f>COUNTIF('Delivered SIR'!A:A, E535) &gt; 0</f>
        <v>0</v>
      </c>
    </row>
    <row r="536">
      <c r="A536" s="99" t="str">
        <f>IFERROR(__xludf.DUMMYFUNCTION("""COMPUTED_VALUE"""),"https://utrucking.com/admin/orders/5945651298492")</f>
        <v>https://utrucking.com/admin/orders/5945651298492</v>
      </c>
      <c r="B536" s="61" t="str">
        <f>IFERROR(__xludf.DUMMYFUNCTION("""COMPUTED_VALUE"""),"#16403")</f>
        <v>#16403</v>
      </c>
      <c r="C536" s="61"/>
      <c r="D536" s="61">
        <f>IFERROR(__xludf.DUMMYFUNCTION("""COMPUTED_VALUE"""),9.493399393E9)</f>
        <v>9493399393</v>
      </c>
      <c r="E536" s="61" t="str">
        <f>IFERROR(__xludf.DUMMYFUNCTION("""COMPUTED_VALUE"""),"Sean Kim")</f>
        <v>Sean Kim</v>
      </c>
      <c r="F536" s="61" t="str">
        <f>IFERROR(__xludf.DUMMYFUNCTION("""COMPUTED_VALUE"""),"Sean Kim")</f>
        <v>Sean Kim</v>
      </c>
      <c r="G536" s="61"/>
      <c r="H536" s="61" t="str">
        <f>IFERROR(__xludf.DUMMYFUNCTION("""COMPUTED_VALUE"""),"Storage Item Return")</f>
        <v>Storage Item Return</v>
      </c>
      <c r="I536" s="61" t="str">
        <f>IFERROR(__xludf.DUMMYFUNCTION("""COMPUTED_VALUE"""),"University Housing ")</f>
        <v>University Housing </v>
      </c>
      <c r="J536" s="107" t="str">
        <f>IFERROR(__xludf.DUMMYFUNCTION("""COMPUTED_VALUE"""),"09:00 AM to 11:00 AM   ")</f>
        <v>09:00 AM to 11:00 AM   </v>
      </c>
      <c r="K536" s="107">
        <f>IFERROR(__xludf.DUMMYFUNCTION("""COMPUTED_VALUE"""),45890.0)</f>
        <v>45890</v>
      </c>
      <c r="L536" s="61" t="str">
        <f>IFERROR(__xludf.DUMMYFUNCTION("""COMPUTED_VALUE"""),"Loop Loft 6255  ")</f>
        <v>Loop Loft 6255  </v>
      </c>
      <c r="M536" s="61" t="str">
        <f>IFERROR(__xludf.DUMMYFUNCTION("""COMPUTED_VALUE"""),"307A")</f>
        <v>307A</v>
      </c>
      <c r="N536" s="61"/>
      <c r="O536" s="61"/>
      <c r="P536" s="61" t="b">
        <f>COUNTIF('Delivered SIR'!A:A, E536) &gt; 0</f>
        <v>1</v>
      </c>
    </row>
    <row r="537">
      <c r="A537" s="102" t="str">
        <f>IFERROR(__xludf.DUMMYFUNCTION("""COMPUTED_VALUE"""),"https://utrucking.com/admin/orders/5945651921084")</f>
        <v>https://utrucking.com/admin/orders/5945651921084</v>
      </c>
      <c r="B537" s="65" t="str">
        <f>IFERROR(__xludf.DUMMYFUNCTION("""COMPUTED_VALUE"""),"#16404")</f>
        <v>#16404</v>
      </c>
      <c r="C537" s="65"/>
      <c r="D537" s="65">
        <f>IFERROR(__xludf.DUMMYFUNCTION("""COMPUTED_VALUE"""),3.142259876E9)</f>
        <v>3142259876</v>
      </c>
      <c r="E537" s="65" t="str">
        <f>IFERROR(__xludf.DUMMYFUNCTION("""COMPUTED_VALUE"""),"Young Hwan Choi")</f>
        <v>Young Hwan Choi</v>
      </c>
      <c r="F537" s="65" t="str">
        <f>IFERROR(__xludf.DUMMYFUNCTION("""COMPUTED_VALUE"""),"Young Hwan Choi")</f>
        <v>Young Hwan Choi</v>
      </c>
      <c r="G537" s="65" t="str">
        <f>IFERROR(__xludf.DUMMYFUNCTION("""COMPUTED_VALUE"""),"605 Leland Ave., Apt. 203, University City, MO 63130")</f>
        <v>605 Leland Ave., Apt. 203, University City, MO 63130</v>
      </c>
      <c r="H537" s="65" t="str">
        <f>IFERROR(__xludf.DUMMYFUNCTION("""COMPUTED_VALUE"""),"Storage Item Return")</f>
        <v>Storage Item Return</v>
      </c>
      <c r="I537" s="65" t="str">
        <f>IFERROR(__xludf.DUMMYFUNCTION("""COMPUTED_VALUE"""),"Non-University Housing ")</f>
        <v>Non-University Housing </v>
      </c>
      <c r="J537" s="108" t="str">
        <f>IFERROR(__xludf.DUMMYFUNCTION("""COMPUTED_VALUE"""),"09:00 AM to 11:00 AM   ")</f>
        <v>09:00 AM to 11:00 AM   </v>
      </c>
      <c r="K537" s="108">
        <f>IFERROR(__xludf.DUMMYFUNCTION("""COMPUTED_VALUE"""),45894.0)</f>
        <v>45894</v>
      </c>
      <c r="L537" s="65"/>
      <c r="M537" s="65"/>
      <c r="N537" s="65" t="str">
        <f>IFERROR(__xludf.DUMMYFUNCTION("""COMPUTED_VALUE"""),"605 Leland Ave., Apt. 203, University City, MO 63130")</f>
        <v>605 Leland Ave., Apt. 203, University City, MO 63130</v>
      </c>
      <c r="O537" s="65"/>
      <c r="P537" s="65" t="b">
        <f>COUNTIF('Delivered SIR'!A:A, E537) &gt; 0</f>
        <v>0</v>
      </c>
    </row>
    <row r="538">
      <c r="A538" s="99" t="str">
        <f>IFERROR(__xludf.DUMMYFUNCTION("""COMPUTED_VALUE"""),"https://utrucking.com/admin/orders/5945695731900")</f>
        <v>https://utrucking.com/admin/orders/5945695731900</v>
      </c>
      <c r="B538" s="61" t="str">
        <f>IFERROR(__xludf.DUMMYFUNCTION("""COMPUTED_VALUE"""),"#16405")</f>
        <v>#16405</v>
      </c>
      <c r="C538" s="61"/>
      <c r="D538" s="61">
        <f>IFERROR(__xludf.DUMMYFUNCTION("""COMPUTED_VALUE"""),8.578299994E9)</f>
        <v>8578299994</v>
      </c>
      <c r="E538" s="61" t="str">
        <f>IFERROR(__xludf.DUMMYFUNCTION("""COMPUTED_VALUE"""),"Liam Deighton")</f>
        <v>Liam Deighton</v>
      </c>
      <c r="F538" s="61" t="str">
        <f>IFERROR(__xludf.DUMMYFUNCTION("""COMPUTED_VALUE"""),"Liam Deighton")</f>
        <v>Liam Deighton</v>
      </c>
      <c r="G538" s="61"/>
      <c r="H538" s="61" t="str">
        <f>IFERROR(__xludf.DUMMYFUNCTION("""COMPUTED_VALUE"""),"Storage Item Return")</f>
        <v>Storage Item Return</v>
      </c>
      <c r="I538" s="61" t="str">
        <f>IFERROR(__xludf.DUMMYFUNCTION("""COMPUTED_VALUE"""),"University Housing ")</f>
        <v>University Housing </v>
      </c>
      <c r="J538" s="107" t="str">
        <f>IFERROR(__xludf.DUMMYFUNCTION("""COMPUTED_VALUE"""),"09:00 AM to 11:00 AM   ")</f>
        <v>09:00 AM to 11:00 AM   </v>
      </c>
      <c r="K538" s="107">
        <f>IFERROR(__xludf.DUMMYFUNCTION("""COMPUTED_VALUE"""),45890.0)</f>
        <v>45890</v>
      </c>
      <c r="L538" s="61" t="str">
        <f>IFERROR(__xludf.DUMMYFUNCTION("""COMPUTED_VALUE"""),"Shepley  ")</f>
        <v>Shepley  </v>
      </c>
      <c r="M538" s="61" t="str">
        <f>IFERROR(__xludf.DUMMYFUNCTION("""COMPUTED_VALUE"""),"2042")</f>
        <v>2042</v>
      </c>
      <c r="N538" s="61"/>
      <c r="O538" s="61"/>
      <c r="P538" s="61" t="b">
        <f>COUNTIF('Delivered SIR'!A:A, E538) &gt; 0</f>
        <v>0</v>
      </c>
    </row>
    <row r="539">
      <c r="A539" s="102" t="str">
        <f>IFERROR(__xludf.DUMMYFUNCTION("""COMPUTED_VALUE"""),"https://utrucking.com/admin/orders/5945768247484")</f>
        <v>https://utrucking.com/admin/orders/5945768247484</v>
      </c>
      <c r="B539" s="65" t="str">
        <f>IFERROR(__xludf.DUMMYFUNCTION("""COMPUTED_VALUE"""),"#16407")</f>
        <v>#16407</v>
      </c>
      <c r="C539" s="65" t="str">
        <f>IFERROR(__xludf.DUMMYFUNCTION("""COMPUTED_VALUE"""),"joshuaberner5@gmail.com")</f>
        <v>joshuaberner5@gmail.com</v>
      </c>
      <c r="D539" s="65"/>
      <c r="E539" s="65" t="str">
        <f>IFERROR(__xludf.DUMMYFUNCTION("""COMPUTED_VALUE"""),"Joshua Berner")</f>
        <v>Joshua Berner</v>
      </c>
      <c r="F539" s="65" t="str">
        <f>IFERROR(__xludf.DUMMYFUNCTION("""COMPUTED_VALUE"""),"Joshua Berner")</f>
        <v>Joshua Berner</v>
      </c>
      <c r="G539" s="65"/>
      <c r="H539" s="65" t="str">
        <f>IFERROR(__xludf.DUMMYFUNCTION("""COMPUTED_VALUE"""),"Storage Item Return")</f>
        <v>Storage Item Return</v>
      </c>
      <c r="I539" s="65" t="str">
        <f>IFERROR(__xludf.DUMMYFUNCTION("""COMPUTED_VALUE"""),"University Housing ")</f>
        <v>University Housing </v>
      </c>
      <c r="J539" s="108" t="str">
        <f>IFERROR(__xludf.DUMMYFUNCTION("""COMPUTED_VALUE"""),"10:00 AM to 12:00 PM   ")</f>
        <v>10:00 AM to 12:00 PM   </v>
      </c>
      <c r="K539" s="108">
        <f>IFERROR(__xludf.DUMMYFUNCTION("""COMPUTED_VALUE"""),45889.0)</f>
        <v>45889</v>
      </c>
      <c r="L539" s="65" t="str">
        <f>IFERROR(__xludf.DUMMYFUNCTION("""COMPUTED_VALUE"""),"Loop Loft 6200  ")</f>
        <v>Loop Loft 6200  </v>
      </c>
      <c r="M539" s="65" t="str">
        <f>IFERROR(__xludf.DUMMYFUNCTION("""COMPUTED_VALUE"""),"309C")</f>
        <v>309C</v>
      </c>
      <c r="N539" s="65"/>
      <c r="O539" s="65"/>
      <c r="P539" s="65" t="b">
        <f>COUNTIF('Delivered SIR'!A:A, E539) &gt; 0</f>
        <v>1</v>
      </c>
    </row>
    <row r="540">
      <c r="A540" s="99" t="str">
        <f>IFERROR(__xludf.DUMMYFUNCTION("""COMPUTED_VALUE"""),"https://utrucking.com/admin/orders/5945784008892")</f>
        <v>https://utrucking.com/admin/orders/5945784008892</v>
      </c>
      <c r="B540" s="61" t="str">
        <f>IFERROR(__xludf.DUMMYFUNCTION("""COMPUTED_VALUE"""),"#16408")</f>
        <v>#16408</v>
      </c>
      <c r="C540" s="61" t="str">
        <f>IFERROR(__xludf.DUMMYFUNCTION("""COMPUTED_VALUE"""),"m.n.stonov@wustl.edu")</f>
        <v>m.n.stonov@wustl.edu</v>
      </c>
      <c r="D540" s="61">
        <f>IFERROR(__xludf.DUMMYFUNCTION("""COMPUTED_VALUE"""),8.474719752E9)</f>
        <v>8474719752</v>
      </c>
      <c r="E540" s="61" t="str">
        <f>IFERROR(__xludf.DUMMYFUNCTION("""COMPUTED_VALUE"""),"Mia Stonov")</f>
        <v>Mia Stonov</v>
      </c>
      <c r="F540" s="61" t="str">
        <f>IFERROR(__xludf.DUMMYFUNCTION("""COMPUTED_VALUE"""),"Mia Stonov")</f>
        <v>Mia Stonov</v>
      </c>
      <c r="G540" s="61"/>
      <c r="H540" s="61" t="str">
        <f>IFERROR(__xludf.DUMMYFUNCTION("""COMPUTED_VALUE"""),"Storage Item Return")</f>
        <v>Storage Item Return</v>
      </c>
      <c r="I540" s="61" t="str">
        <f>IFERROR(__xludf.DUMMYFUNCTION("""COMPUTED_VALUE"""),"University Housing ")</f>
        <v>University Housing </v>
      </c>
      <c r="J540" s="107" t="str">
        <f>IFERROR(__xludf.DUMMYFUNCTION("""COMPUTED_VALUE"""),"09:00 AM to 11:00 AM   ")</f>
        <v>09:00 AM to 11:00 AM   </v>
      </c>
      <c r="K540" s="107">
        <f>IFERROR(__xludf.DUMMYFUNCTION("""COMPUTED_VALUE"""),45889.0)</f>
        <v>45889</v>
      </c>
      <c r="L540" s="61" t="str">
        <f>IFERROR(__xludf.DUMMYFUNCTION("""COMPUTED_VALUE"""),"Nemerov  ")</f>
        <v>Nemerov  </v>
      </c>
      <c r="M540" s="61" t="str">
        <f>IFERROR(__xludf.DUMMYFUNCTION("""COMPUTED_VALUE"""),"3024a")</f>
        <v>3024a</v>
      </c>
      <c r="N540" s="61"/>
      <c r="O540" s="61"/>
      <c r="P540" s="61" t="b">
        <f>COUNTIF('Delivered SIR'!A:A, E540) &gt; 0</f>
        <v>1</v>
      </c>
    </row>
    <row r="541">
      <c r="A541" s="102" t="str">
        <f>IFERROR(__xludf.DUMMYFUNCTION("""COMPUTED_VALUE"""),"https://utrucking.com/admin/orders/5945857081532")</f>
        <v>https://utrucking.com/admin/orders/5945857081532</v>
      </c>
      <c r="B541" s="65" t="str">
        <f>IFERROR(__xludf.DUMMYFUNCTION("""COMPUTED_VALUE"""),"#16410")</f>
        <v>#16410</v>
      </c>
      <c r="C541" s="65" t="str">
        <f>IFERROR(__xludf.DUMMYFUNCTION("""COMPUTED_VALUE"""),"stealyrfac@aol.com")</f>
        <v>stealyrfac@aol.com</v>
      </c>
      <c r="D541" s="65">
        <f>IFERROR(__xludf.DUMMYFUNCTION("""COMPUTED_VALUE"""),5.168172028E9)</f>
        <v>5168172028</v>
      </c>
      <c r="E541" s="65" t="str">
        <f>IFERROR(__xludf.DUMMYFUNCTION("""COMPUTED_VALUE"""),"Shayne Taranto")</f>
        <v>Shayne Taranto</v>
      </c>
      <c r="F541" s="65" t="str">
        <f>IFERROR(__xludf.DUMMYFUNCTION("""COMPUTED_VALUE"""),"Shayne Taranto")</f>
        <v>Shayne Taranto</v>
      </c>
      <c r="G541" s="65" t="str">
        <f>IFERROR(__xludf.DUMMYFUNCTION("""COMPUTED_VALUE"""),"6105 Delmar Blvd. Apt 716")</f>
        <v>6105 Delmar Blvd. Apt 716</v>
      </c>
      <c r="H541" s="65" t="str">
        <f>IFERROR(__xludf.DUMMYFUNCTION("""COMPUTED_VALUE"""),"Storage Item Return")</f>
        <v>Storage Item Return</v>
      </c>
      <c r="I541" s="65" t="str">
        <f>IFERROR(__xludf.DUMMYFUNCTION("""COMPUTED_VALUE"""),"Non-University Housing ")</f>
        <v>Non-University Housing </v>
      </c>
      <c r="J541" s="108" t="str">
        <f>IFERROR(__xludf.DUMMYFUNCTION("""COMPUTED_VALUE"""),"12:00 PM to 02:00 PM   ")</f>
        <v>12:00 PM to 02:00 PM   </v>
      </c>
      <c r="K541" s="108">
        <f>IFERROR(__xludf.DUMMYFUNCTION("""COMPUTED_VALUE"""),45891.0)</f>
        <v>45891</v>
      </c>
      <c r="L541" s="65"/>
      <c r="M541" s="65"/>
      <c r="N541" s="65" t="str">
        <f>IFERROR(__xludf.DUMMYFUNCTION("""COMPUTED_VALUE"""),"6105 Delmar Blvd. Apt 716")</f>
        <v>6105 Delmar Blvd. Apt 716</v>
      </c>
      <c r="O541" s="65"/>
      <c r="P541" s="65" t="b">
        <f>COUNTIF('Delivered SIR'!A:A, E541) &gt; 0</f>
        <v>0</v>
      </c>
    </row>
    <row r="542">
      <c r="A542" s="99" t="str">
        <f>IFERROR(__xludf.DUMMYFUNCTION("""COMPUTED_VALUE"""),"https://utrucking.com/admin/orders/5945960661180")</f>
        <v>https://utrucking.com/admin/orders/5945960661180</v>
      </c>
      <c r="B542" s="61" t="str">
        <f>IFERROR(__xludf.DUMMYFUNCTION("""COMPUTED_VALUE"""),"#16412")</f>
        <v>#16412</v>
      </c>
      <c r="C542" s="61" t="str">
        <f>IFERROR(__xludf.DUMMYFUNCTION("""COMPUTED_VALUE"""),"shaadkhalil621@gmail.com")</f>
        <v>shaadkhalil621@gmail.com</v>
      </c>
      <c r="D542" s="61">
        <f>IFERROR(__xludf.DUMMYFUNCTION("""COMPUTED_VALUE"""),6.304186444E9)</f>
        <v>6304186444</v>
      </c>
      <c r="E542" s="61" t="str">
        <f>IFERROR(__xludf.DUMMYFUNCTION("""COMPUTED_VALUE"""),"Shaad Khalil")</f>
        <v>Shaad Khalil</v>
      </c>
      <c r="F542" s="61" t="str">
        <f>IFERROR(__xludf.DUMMYFUNCTION("""COMPUTED_VALUE"""),"Shaad Khalil")</f>
        <v>Shaad Khalil</v>
      </c>
      <c r="G542" s="61" t="str">
        <f>IFERROR(__xludf.DUMMYFUNCTION("""COMPUTED_VALUE"""),"Everly on the Loop, 6105 Delmar Blvd, St. Louis, MO 63112")</f>
        <v>Everly on the Loop, 6105 Delmar Blvd, St. Louis, MO 63112</v>
      </c>
      <c r="H542" s="61" t="str">
        <f>IFERROR(__xludf.DUMMYFUNCTION("""COMPUTED_VALUE"""),"Storage Item Return")</f>
        <v>Storage Item Return</v>
      </c>
      <c r="I542" s="61" t="str">
        <f>IFERROR(__xludf.DUMMYFUNCTION("""COMPUTED_VALUE"""),"Non-University Housing ")</f>
        <v>Non-University Housing </v>
      </c>
      <c r="J542" s="107" t="str">
        <f>IFERROR(__xludf.DUMMYFUNCTION("""COMPUTED_VALUE"""),"10:00 AM to 12:00 PM   ")</f>
        <v>10:00 AM to 12:00 PM   </v>
      </c>
      <c r="K542" s="107">
        <f>IFERROR(__xludf.DUMMYFUNCTION("""COMPUTED_VALUE"""),45892.0)</f>
        <v>45892</v>
      </c>
      <c r="L542" s="61"/>
      <c r="M542" s="61"/>
      <c r="N542" s="61" t="str">
        <f>IFERROR(__xludf.DUMMYFUNCTION("""COMPUTED_VALUE"""),"Everly on the Loop, 6105 Delmar Blvd, St. Louis, MO 63112")</f>
        <v>Everly on the Loop, 6105 Delmar Blvd, St. Louis, MO 63112</v>
      </c>
      <c r="O542" s="61"/>
      <c r="P542" s="61" t="b">
        <f>COUNTIF('Delivered SIR'!A:A, E542) &gt; 0</f>
        <v>0</v>
      </c>
    </row>
    <row r="543">
      <c r="A543" s="102" t="str">
        <f>IFERROR(__xludf.DUMMYFUNCTION("""COMPUTED_VALUE"""),"https://utrucking.com/admin/orders/5946068369596")</f>
        <v>https://utrucking.com/admin/orders/5946068369596</v>
      </c>
      <c r="B543" s="65" t="str">
        <f>IFERROR(__xludf.DUMMYFUNCTION("""COMPUTED_VALUE"""),"#16414")</f>
        <v>#16414</v>
      </c>
      <c r="C543" s="65"/>
      <c r="D543" s="65">
        <f>IFERROR(__xludf.DUMMYFUNCTION("""COMPUTED_VALUE"""),2.027519595E9)</f>
        <v>2027519595</v>
      </c>
      <c r="E543" s="65" t="str">
        <f>IFERROR(__xludf.DUMMYFUNCTION("""COMPUTED_VALUE"""),"Titilope Omole")</f>
        <v>Titilope Omole</v>
      </c>
      <c r="F543" s="65" t="str">
        <f>IFERROR(__xludf.DUMMYFUNCTION("""COMPUTED_VALUE"""),"Titilope Omole")</f>
        <v>Titilope Omole</v>
      </c>
      <c r="G543" s="65"/>
      <c r="H543" s="65" t="str">
        <f>IFERROR(__xludf.DUMMYFUNCTION("""COMPUTED_VALUE"""),"Storage Item Return")</f>
        <v>Storage Item Return</v>
      </c>
      <c r="I543" s="65" t="str">
        <f>IFERROR(__xludf.DUMMYFUNCTION("""COMPUTED_VALUE"""),"University Housing ")</f>
        <v>University Housing </v>
      </c>
      <c r="J543" s="108" t="str">
        <f>IFERROR(__xludf.DUMMYFUNCTION("""COMPUTED_VALUE"""),"01:00 PM to 03:00 PM   ")</f>
        <v>01:00 PM to 03:00 PM   </v>
      </c>
      <c r="K543" s="108">
        <f>IFERROR(__xludf.DUMMYFUNCTION("""COMPUTED_VALUE"""),45892.0)</f>
        <v>45892</v>
      </c>
      <c r="L543" s="65" t="str">
        <f>IFERROR(__xludf.DUMMYFUNCTION("""COMPUTED_VALUE"""),"Village House  ")</f>
        <v>Village House  </v>
      </c>
      <c r="M543" s="65" t="str">
        <f>IFERROR(__xludf.DUMMYFUNCTION("""COMPUTED_VALUE"""),"4094")</f>
        <v>4094</v>
      </c>
      <c r="N543" s="65"/>
      <c r="O543" s="65"/>
      <c r="P543" s="65" t="b">
        <f>COUNTIF('Delivered SIR'!A:A, E543) &gt; 0</f>
        <v>1</v>
      </c>
    </row>
    <row r="544">
      <c r="A544" s="99" t="str">
        <f>IFERROR(__xludf.DUMMYFUNCTION("""COMPUTED_VALUE"""),"https://utrucking.com/admin/orders/5946243645628")</f>
        <v>https://utrucking.com/admin/orders/5946243645628</v>
      </c>
      <c r="B544" s="61" t="str">
        <f>IFERROR(__xludf.DUMMYFUNCTION("""COMPUTED_VALUE"""),"#16415")</f>
        <v>#16415</v>
      </c>
      <c r="C544" s="61" t="str">
        <f>IFERROR(__xludf.DUMMYFUNCTION("""COMPUTED_VALUE"""),"matthewgrossman24@gmail.com")</f>
        <v>matthewgrossman24@gmail.com</v>
      </c>
      <c r="D544" s="61">
        <f>IFERROR(__xludf.DUMMYFUNCTION("""COMPUTED_VALUE"""),4.103754764E9)</f>
        <v>4103754764</v>
      </c>
      <c r="E544" s="61" t="str">
        <f>IFERROR(__xludf.DUMMYFUNCTION("""COMPUTED_VALUE"""),"Matthew Grossman")</f>
        <v>Matthew Grossman</v>
      </c>
      <c r="F544" s="61" t="str">
        <f>IFERROR(__xludf.DUMMYFUNCTION("""COMPUTED_VALUE"""),"Matthew Grossman")</f>
        <v>Matthew Grossman</v>
      </c>
      <c r="G544" s="61" t="str">
        <f>IFERROR(__xludf.DUMMYFUNCTION("""COMPUTED_VALUE"""),"6808 Washington Avenue")</f>
        <v>6808 Washington Avenue</v>
      </c>
      <c r="H544" s="61" t="str">
        <f>IFERROR(__xludf.DUMMYFUNCTION("""COMPUTED_VALUE"""),"Storage Item Return")</f>
        <v>Storage Item Return</v>
      </c>
      <c r="I544" s="61" t="str">
        <f>IFERROR(__xludf.DUMMYFUNCTION("""COMPUTED_VALUE"""),"Non-University Housing ")</f>
        <v>Non-University Housing </v>
      </c>
      <c r="J544" s="107" t="str">
        <f>IFERROR(__xludf.DUMMYFUNCTION("""COMPUTED_VALUE"""),"01:00 PM to 03:00 PM   ")</f>
        <v>01:00 PM to 03:00 PM   </v>
      </c>
      <c r="K544" s="107">
        <f>IFERROR(__xludf.DUMMYFUNCTION("""COMPUTED_VALUE"""),45891.0)</f>
        <v>45891</v>
      </c>
      <c r="L544" s="61"/>
      <c r="M544" s="61"/>
      <c r="N544" s="61" t="str">
        <f>IFERROR(__xludf.DUMMYFUNCTION("""COMPUTED_VALUE"""),"6808 Washington Avenue")</f>
        <v>6808 Washington Avenue</v>
      </c>
      <c r="O544" s="61"/>
      <c r="P544" s="61" t="b">
        <f>COUNTIF('Delivered SIR'!A:A, E544) &gt; 0</f>
        <v>0</v>
      </c>
    </row>
    <row r="545">
      <c r="A545" s="102" t="str">
        <f>IFERROR(__xludf.DUMMYFUNCTION("""COMPUTED_VALUE"""),"https://utrucking.com/admin/orders/5946279067836")</f>
        <v>https://utrucking.com/admin/orders/5946279067836</v>
      </c>
      <c r="B545" s="65" t="str">
        <f>IFERROR(__xludf.DUMMYFUNCTION("""COMPUTED_VALUE"""),"#16417")</f>
        <v>#16417</v>
      </c>
      <c r="C545" s="65" t="str">
        <f>IFERROR(__xludf.DUMMYFUNCTION("""COMPUTED_VALUE"""),"a.mikheil@wustl.edu")</f>
        <v>a.mikheil@wustl.edu</v>
      </c>
      <c r="D545" s="65">
        <f>IFERROR(__xludf.DUMMYFUNCTION("""COMPUTED_VALUE"""),9.734492828E9)</f>
        <v>9734492828</v>
      </c>
      <c r="E545" s="65" t="str">
        <f>IFERROR(__xludf.DUMMYFUNCTION("""COMPUTED_VALUE"""),"MIkheil Avaliani")</f>
        <v>MIkheil Avaliani</v>
      </c>
      <c r="F545" s="65" t="str">
        <f>IFERROR(__xludf.DUMMYFUNCTION("""COMPUTED_VALUE"""),"Mikheil Avaliani")</f>
        <v>Mikheil Avaliani</v>
      </c>
      <c r="G545" s="65" t="str">
        <f>IFERROR(__xludf.DUMMYFUNCTION("""COMPUTED_VALUE"""),"6188 Mcpherson Avenue, Unit #605")</f>
        <v>6188 Mcpherson Avenue, Unit #605</v>
      </c>
      <c r="H545" s="65" t="str">
        <f>IFERROR(__xludf.DUMMYFUNCTION("""COMPUTED_VALUE"""),"Storage Item Return")</f>
        <v>Storage Item Return</v>
      </c>
      <c r="I545" s="65" t="str">
        <f>IFERROR(__xludf.DUMMYFUNCTION("""COMPUTED_VALUE"""),"Non-University Housing ")</f>
        <v>Non-University Housing </v>
      </c>
      <c r="J545" s="108" t="str">
        <f>IFERROR(__xludf.DUMMYFUNCTION("""COMPUTED_VALUE"""),"11:00 AM to 01:00 PM   ")</f>
        <v>11:00 AM to 01:00 PM   </v>
      </c>
      <c r="K545" s="108">
        <f>IFERROR(__xludf.DUMMYFUNCTION("""COMPUTED_VALUE"""),45890.0)</f>
        <v>45890</v>
      </c>
      <c r="L545" s="65"/>
      <c r="M545" s="65"/>
      <c r="N545" s="65" t="str">
        <f>IFERROR(__xludf.DUMMYFUNCTION("""COMPUTED_VALUE"""),"6188 Mcpherson Avenue, Unit #605")</f>
        <v>6188 Mcpherson Avenue, Unit #605</v>
      </c>
      <c r="O545" s="65"/>
      <c r="P545" s="65" t="b">
        <f>COUNTIF('Delivered SIR'!A:A, E545) &gt; 0</f>
        <v>0</v>
      </c>
    </row>
    <row r="546">
      <c r="A546" s="99" t="str">
        <f>IFERROR(__xludf.DUMMYFUNCTION("""COMPUTED_VALUE"""),"https://utrucking.com/admin/orders/5946371801276")</f>
        <v>https://utrucking.com/admin/orders/5946371801276</v>
      </c>
      <c r="B546" s="61" t="str">
        <f>IFERROR(__xludf.DUMMYFUNCTION("""COMPUTED_VALUE"""),"#16420")</f>
        <v>#16420</v>
      </c>
      <c r="C546" s="61" t="str">
        <f>IFERROR(__xludf.DUMMYFUNCTION("""COMPUTED_VALUE"""),"arielljordanhaims@gmail.com")</f>
        <v>arielljordanhaims@gmail.com</v>
      </c>
      <c r="D546" s="61"/>
      <c r="E546" s="61" t="str">
        <f>IFERROR(__xludf.DUMMYFUNCTION("""COMPUTED_VALUE"""),"Ariell Haims")</f>
        <v>Ariell Haims</v>
      </c>
      <c r="F546" s="61" t="str">
        <f>IFERROR(__xludf.DUMMYFUNCTION("""COMPUTED_VALUE"""),"Ariell Haims")</f>
        <v>Ariell Haims</v>
      </c>
      <c r="G546" s="61"/>
      <c r="H546" s="61" t="str">
        <f>IFERROR(__xludf.DUMMYFUNCTION("""COMPUTED_VALUE"""),"Storage Item Return")</f>
        <v>Storage Item Return</v>
      </c>
      <c r="I546" s="61" t="str">
        <f>IFERROR(__xludf.DUMMYFUNCTION("""COMPUTED_VALUE"""),"University Housing ")</f>
        <v>University Housing </v>
      </c>
      <c r="J546" s="107" t="str">
        <f>IFERROR(__xludf.DUMMYFUNCTION("""COMPUTED_VALUE"""),"09:00 AM to 11:00 AM   ")</f>
        <v>09:00 AM to 11:00 AM   </v>
      </c>
      <c r="K546" s="107">
        <f>IFERROR(__xludf.DUMMYFUNCTION("""COMPUTED_VALUE"""),45889.0)</f>
        <v>45889</v>
      </c>
      <c r="L546" s="61" t="str">
        <f>IFERROR(__xludf.DUMMYFUNCTION("""COMPUTED_VALUE"""),"Millbrook Bldg. 1  ")</f>
        <v>Millbrook Bldg. 1  </v>
      </c>
      <c r="M546" s="61" t="str">
        <f>IFERROR(__xludf.DUMMYFUNCTION("""COMPUTED_VALUE"""),"108C - a")</f>
        <v>108C - a</v>
      </c>
      <c r="N546" s="61"/>
      <c r="O546" s="61"/>
      <c r="P546" s="61" t="b">
        <f>COUNTIF('Delivered SIR'!A:A, E546) &gt; 0</f>
        <v>1</v>
      </c>
    </row>
    <row r="547">
      <c r="A547" s="102" t="str">
        <f>IFERROR(__xludf.DUMMYFUNCTION("""COMPUTED_VALUE"""),"https://utrucking.com/admin/orders/5946452443324")</f>
        <v>https://utrucking.com/admin/orders/5946452443324</v>
      </c>
      <c r="B547" s="65" t="str">
        <f>IFERROR(__xludf.DUMMYFUNCTION("""COMPUTED_VALUE"""),"#16421")</f>
        <v>#16421</v>
      </c>
      <c r="C547" s="65" t="str">
        <f>IFERROR(__xludf.DUMMYFUNCTION("""COMPUTED_VALUE"""),"jleo@wustl.edu")</f>
        <v>jleo@wustl.edu</v>
      </c>
      <c r="D547" s="65">
        <f>IFERROR(__xludf.DUMMYFUNCTION("""COMPUTED_VALUE"""),5.133153885E9)</f>
        <v>5133153885</v>
      </c>
      <c r="E547" s="65" t="str">
        <f>IFERROR(__xludf.DUMMYFUNCTION("""COMPUTED_VALUE"""),"Leo Joffe")</f>
        <v>Leo Joffe</v>
      </c>
      <c r="F547" s="65" t="str">
        <f>IFERROR(__xludf.DUMMYFUNCTION("""COMPUTED_VALUE"""),"Leo Joffe")</f>
        <v>Leo Joffe</v>
      </c>
      <c r="G547" s="65"/>
      <c r="H547" s="65" t="str">
        <f>IFERROR(__xludf.DUMMYFUNCTION("""COMPUTED_VALUE"""),"Storage Item Return")</f>
        <v>Storage Item Return</v>
      </c>
      <c r="I547" s="65" t="str">
        <f>IFERROR(__xludf.DUMMYFUNCTION("""COMPUTED_VALUE"""),"University Housing ")</f>
        <v>University Housing </v>
      </c>
      <c r="J547" s="108" t="str">
        <f>IFERROR(__xludf.DUMMYFUNCTION("""COMPUTED_VALUE"""),"09:00 AM to 11:00 AM   ")</f>
        <v>09:00 AM to 11:00 AM   </v>
      </c>
      <c r="K547" s="108">
        <f>IFERROR(__xludf.DUMMYFUNCTION("""COMPUTED_VALUE"""),45888.0)</f>
        <v>45888</v>
      </c>
      <c r="L547" s="65" t="str">
        <f>IFERROR(__xludf.DUMMYFUNCTION("""COMPUTED_VALUE"""),"House 3 (Alpha Delta Phi)")</f>
        <v>House 3 (Alpha Delta Phi)</v>
      </c>
      <c r="M547" s="65" t="str">
        <f>IFERROR(__xludf.DUMMYFUNCTION("""COMPUTED_VALUE"""),"205")</f>
        <v>205</v>
      </c>
      <c r="N547" s="65"/>
      <c r="O547" s="65"/>
      <c r="P547" s="65" t="b">
        <f>COUNTIF('Delivered SIR'!A:A, E547) &gt; 0</f>
        <v>1</v>
      </c>
    </row>
    <row r="548">
      <c r="A548" s="99" t="str">
        <f>IFERROR(__xludf.DUMMYFUNCTION("""COMPUTED_VALUE"""),"https://utrucking.com/admin/orders/5946522009788")</f>
        <v>https://utrucking.com/admin/orders/5946522009788</v>
      </c>
      <c r="B548" s="61" t="str">
        <f>IFERROR(__xludf.DUMMYFUNCTION("""COMPUTED_VALUE"""),"#16423")</f>
        <v>#16423</v>
      </c>
      <c r="C548" s="61" t="str">
        <f>IFERROR(__xludf.DUMMYFUNCTION("""COMPUTED_VALUE"""),"lewmadeleine@gmail.com")</f>
        <v>lewmadeleine@gmail.com</v>
      </c>
      <c r="D548" s="61">
        <f>IFERROR(__xludf.DUMMYFUNCTION("""COMPUTED_VALUE"""),4.159885221E9)</f>
        <v>4159885221</v>
      </c>
      <c r="E548" s="61" t="str">
        <f>IFERROR(__xludf.DUMMYFUNCTION("""COMPUTED_VALUE"""),"Madeline Lew")</f>
        <v>Madeline Lew</v>
      </c>
      <c r="F548" s="61" t="str">
        <f>IFERROR(__xludf.DUMMYFUNCTION("""COMPUTED_VALUE"""),"Madeleine Lew")</f>
        <v>Madeleine Lew</v>
      </c>
      <c r="G548" s="61" t="str">
        <f>IFERROR(__xludf.DUMMYFUNCTION("""COMPUTED_VALUE"""),"605 Leland Ave, Apt. 308, University City, MO 63130 ")</f>
        <v>605 Leland Ave, Apt. 308, University City, MO 63130 </v>
      </c>
      <c r="H548" s="61" t="str">
        <f>IFERROR(__xludf.DUMMYFUNCTION("""COMPUTED_VALUE"""),"Storage Item Return")</f>
        <v>Storage Item Return</v>
      </c>
      <c r="I548" s="61" t="str">
        <f>IFERROR(__xludf.DUMMYFUNCTION("""COMPUTED_VALUE"""),"Non-University Housing ")</f>
        <v>Non-University Housing </v>
      </c>
      <c r="J548" s="107" t="str">
        <f>IFERROR(__xludf.DUMMYFUNCTION("""COMPUTED_VALUE"""),"12:00 PM to 02:00 PM   ")</f>
        <v>12:00 PM to 02:00 PM   </v>
      </c>
      <c r="K548" s="107">
        <f>IFERROR(__xludf.DUMMYFUNCTION("""COMPUTED_VALUE"""),45891.0)</f>
        <v>45891</v>
      </c>
      <c r="L548" s="61"/>
      <c r="M548" s="61"/>
      <c r="N548" s="61" t="str">
        <f>IFERROR(__xludf.DUMMYFUNCTION("""COMPUTED_VALUE"""),"605 Leland Ave, Apt. 308, University City, MO 63130 ")</f>
        <v>605 Leland Ave, Apt. 308, University City, MO 63130 </v>
      </c>
      <c r="O548" s="61"/>
      <c r="P548" s="61" t="b">
        <f>COUNTIF('Delivered SIR'!A:A, E548) &gt; 0</f>
        <v>0</v>
      </c>
    </row>
    <row r="549">
      <c r="A549" s="102" t="str">
        <f>IFERROR(__xludf.DUMMYFUNCTION("""COMPUTED_VALUE"""),"https://utrucking.com/admin/orders/5946678608060")</f>
        <v>https://utrucking.com/admin/orders/5946678608060</v>
      </c>
      <c r="B549" s="65" t="str">
        <f>IFERROR(__xludf.DUMMYFUNCTION("""COMPUTED_VALUE"""),"#16424")</f>
        <v>#16424</v>
      </c>
      <c r="C549" s="65" t="str">
        <f>IFERROR(__xludf.DUMMYFUNCTION("""COMPUTED_VALUE"""),"amy.gao@wustl.edu")</f>
        <v>amy.gao@wustl.edu</v>
      </c>
      <c r="D549" s="65">
        <f>IFERROR(__xludf.DUMMYFUNCTION("""COMPUTED_VALUE"""),3.149349561E9)</f>
        <v>3149349561</v>
      </c>
      <c r="E549" s="65" t="str">
        <f>IFERROR(__xludf.DUMMYFUNCTION("""COMPUTED_VALUE"""),"Amy Gao")</f>
        <v>Amy Gao</v>
      </c>
      <c r="F549" s="65" t="str">
        <f>IFERROR(__xludf.DUMMYFUNCTION("""COMPUTED_VALUE"""),"Amy Gao")</f>
        <v>Amy Gao</v>
      </c>
      <c r="G549" s="65" t="str">
        <f>IFERROR(__xludf.DUMMYFUNCTION("""COMPUTED_VALUE"""),"6609 Kingsbury blvd Apt 1W")</f>
        <v>6609 Kingsbury blvd Apt 1W</v>
      </c>
      <c r="H549" s="65" t="str">
        <f>IFERROR(__xludf.DUMMYFUNCTION("""COMPUTED_VALUE"""),"Storage Item Return")</f>
        <v>Storage Item Return</v>
      </c>
      <c r="I549" s="65" t="str">
        <f>IFERROR(__xludf.DUMMYFUNCTION("""COMPUTED_VALUE"""),"Non-University Housing ")</f>
        <v>Non-University Housing </v>
      </c>
      <c r="J549" s="108" t="str">
        <f>IFERROR(__xludf.DUMMYFUNCTION("""COMPUTED_VALUE"""),"09:00 AM to 11:00 AM   ")</f>
        <v>09:00 AM to 11:00 AM   </v>
      </c>
      <c r="K549" s="108">
        <f>IFERROR(__xludf.DUMMYFUNCTION("""COMPUTED_VALUE"""),45892.0)</f>
        <v>45892</v>
      </c>
      <c r="L549" s="65"/>
      <c r="M549" s="65"/>
      <c r="N549" s="65" t="str">
        <f>IFERROR(__xludf.DUMMYFUNCTION("""COMPUTED_VALUE"""),"6609 Kingsbury blvd Apt 1W")</f>
        <v>6609 Kingsbury blvd Apt 1W</v>
      </c>
      <c r="O549" s="65"/>
      <c r="P549" s="65" t="b">
        <f>COUNTIF('Delivered SIR'!A:A, E549) &gt; 0</f>
        <v>0</v>
      </c>
    </row>
    <row r="550">
      <c r="A550" s="99" t="str">
        <f>IFERROR(__xludf.DUMMYFUNCTION("""COMPUTED_VALUE"""),"https://utrucking.com/admin/orders/5946683588796")</f>
        <v>https://utrucking.com/admin/orders/5946683588796</v>
      </c>
      <c r="B550" s="61" t="str">
        <f>IFERROR(__xludf.DUMMYFUNCTION("""COMPUTED_VALUE"""),"#16425")</f>
        <v>#16425</v>
      </c>
      <c r="C550" s="61"/>
      <c r="D550" s="61">
        <f>IFERROR(__xludf.DUMMYFUNCTION("""COMPUTED_VALUE"""),3.078232952E9)</f>
        <v>3078232952</v>
      </c>
      <c r="E550" s="61" t="str">
        <f>IFERROR(__xludf.DUMMYFUNCTION("""COMPUTED_VALUE"""),"Caleb Ruff")</f>
        <v>Caleb Ruff</v>
      </c>
      <c r="F550" s="61" t="str">
        <f>IFERROR(__xludf.DUMMYFUNCTION("""COMPUTED_VALUE"""),"Caleb Ruff")</f>
        <v>Caleb Ruff</v>
      </c>
      <c r="G550" s="61"/>
      <c r="H550" s="61" t="str">
        <f>IFERROR(__xludf.DUMMYFUNCTION("""COMPUTED_VALUE"""),"Storage Item Return")</f>
        <v>Storage Item Return</v>
      </c>
      <c r="I550" s="61" t="str">
        <f>IFERROR(__xludf.DUMMYFUNCTION("""COMPUTED_VALUE"""),"University Housing ")</f>
        <v>University Housing </v>
      </c>
      <c r="J550" s="107" t="str">
        <f>IFERROR(__xludf.DUMMYFUNCTION("""COMPUTED_VALUE"""),"11:00 AM to 01:00 PM   ")</f>
        <v>11:00 AM to 01:00 PM   </v>
      </c>
      <c r="K550" s="107">
        <f>IFERROR(__xludf.DUMMYFUNCTION("""COMPUTED_VALUE"""),45891.0)</f>
        <v>45891</v>
      </c>
      <c r="L550" s="61" t="str">
        <f>IFERROR(__xludf.DUMMYFUNCTION("""COMPUTED_VALUE"""),"Village House  ")</f>
        <v>Village House  </v>
      </c>
      <c r="M550" s="61" t="str">
        <f>IFERROR(__xludf.DUMMYFUNCTION("""COMPUTED_VALUE"""),"4082-a")</f>
        <v>4082-a</v>
      </c>
      <c r="N550" s="61"/>
      <c r="O550" s="61"/>
      <c r="P550" s="61" t="b">
        <f>COUNTIF('Delivered SIR'!A:A, E550) &gt; 0</f>
        <v>1</v>
      </c>
    </row>
    <row r="551">
      <c r="A551" s="102" t="str">
        <f>IFERROR(__xludf.DUMMYFUNCTION("""COMPUTED_VALUE"""),"https://utrucking.com/admin/orders/5946719830204")</f>
        <v>https://utrucking.com/admin/orders/5946719830204</v>
      </c>
      <c r="B551" s="65" t="str">
        <f>IFERROR(__xludf.DUMMYFUNCTION("""COMPUTED_VALUE"""),"#16426")</f>
        <v>#16426</v>
      </c>
      <c r="C551" s="65" t="str">
        <f>IFERROR(__xludf.DUMMYFUNCTION("""COMPUTED_VALUE"""),"guoliang@wustl.edu")</f>
        <v>guoliang@wustl.edu</v>
      </c>
      <c r="D551" s="65">
        <f>IFERROR(__xludf.DUMMYFUNCTION("""COMPUTED_VALUE"""),3.148821693E9)</f>
        <v>3148821693</v>
      </c>
      <c r="E551" s="65" t="str">
        <f>IFERROR(__xludf.DUMMYFUNCTION("""COMPUTED_VALUE"""),"Guoliang Wu")</f>
        <v>Guoliang Wu</v>
      </c>
      <c r="F551" s="65" t="str">
        <f>IFERROR(__xludf.DUMMYFUNCTION("""COMPUTED_VALUE"""),"Thomas Wu")</f>
        <v>Thomas Wu</v>
      </c>
      <c r="G551" s="65" t="str">
        <f>IFERROR(__xludf.DUMMYFUNCTION("""COMPUTED_VALUE"""),"6701 San Bonita Ave, Saint Louis, MO 63105, Apt 3S")</f>
        <v>6701 San Bonita Ave, Saint Louis, MO 63105, Apt 3S</v>
      </c>
      <c r="H551" s="65" t="str">
        <f>IFERROR(__xludf.DUMMYFUNCTION("""COMPUTED_VALUE"""),"Storage Item Return")</f>
        <v>Storage Item Return</v>
      </c>
      <c r="I551" s="65" t="str">
        <f>IFERROR(__xludf.DUMMYFUNCTION("""COMPUTED_VALUE"""),"Non-University Housing ")</f>
        <v>Non-University Housing </v>
      </c>
      <c r="J551" s="108" t="str">
        <f>IFERROR(__xludf.DUMMYFUNCTION("""COMPUTED_VALUE"""),"03:00 PM to 05:00 PM ")</f>
        <v>03:00 PM to 05:00 PM </v>
      </c>
      <c r="K551" s="108">
        <f>IFERROR(__xludf.DUMMYFUNCTION("""COMPUTED_VALUE"""),45892.0)</f>
        <v>45892</v>
      </c>
      <c r="L551" s="65"/>
      <c r="M551" s="65"/>
      <c r="N551" s="65" t="str">
        <f>IFERROR(__xludf.DUMMYFUNCTION("""COMPUTED_VALUE"""),"6701 San Bonita Ave, Saint Louis, MO 63105, Apt 3S")</f>
        <v>6701 San Bonita Ave, Saint Louis, MO 63105, Apt 3S</v>
      </c>
      <c r="O551" s="65"/>
      <c r="P551" s="65" t="b">
        <f>COUNTIF('Delivered SIR'!A:A, E551) &gt; 0</f>
        <v>0</v>
      </c>
    </row>
    <row r="552">
      <c r="A552" s="99" t="str">
        <f>IFERROR(__xludf.DUMMYFUNCTION("""COMPUTED_VALUE"""),"https://utrucking.com/admin/orders/5946779697340")</f>
        <v>https://utrucking.com/admin/orders/5946779697340</v>
      </c>
      <c r="B552" s="61" t="str">
        <f>IFERROR(__xludf.DUMMYFUNCTION("""COMPUTED_VALUE"""),"#16427")</f>
        <v>#16427</v>
      </c>
      <c r="C552" s="61" t="str">
        <f>IFERROR(__xludf.DUMMYFUNCTION("""COMPUTED_VALUE"""),"rbqls1013@gmail.com")</f>
        <v>rbqls1013@gmail.com</v>
      </c>
      <c r="D552" s="61">
        <f>IFERROR(__xludf.DUMMYFUNCTION("""COMPUTED_VALUE"""),8.149254159E9)</f>
        <v>8149254159</v>
      </c>
      <c r="E552" s="61" t="str">
        <f>IFERROR(__xludf.DUMMYFUNCTION("""COMPUTED_VALUE"""),"Kyubin Kim")</f>
        <v>Kyubin Kim</v>
      </c>
      <c r="F552" s="61" t="str">
        <f>IFERROR(__xludf.DUMMYFUNCTION("""COMPUTED_VALUE"""),"Izzy Kim")</f>
        <v>Izzy Kim</v>
      </c>
      <c r="G552" s="61"/>
      <c r="H552" s="61" t="str">
        <f>IFERROR(__xludf.DUMMYFUNCTION("""COMPUTED_VALUE"""),"Storage Item Return")</f>
        <v>Storage Item Return</v>
      </c>
      <c r="I552" s="61" t="str">
        <f>IFERROR(__xludf.DUMMYFUNCTION("""COMPUTED_VALUE"""),"University Housing ")</f>
        <v>University Housing </v>
      </c>
      <c r="J552" s="107" t="str">
        <f>IFERROR(__xludf.DUMMYFUNCTION("""COMPUTED_VALUE"""),"09:00 AM to 11:00 AM   ")</f>
        <v>09:00 AM to 11:00 AM   </v>
      </c>
      <c r="K552" s="107">
        <f>IFERROR(__xludf.DUMMYFUNCTION("""COMPUTED_VALUE"""),45890.0)</f>
        <v>45890</v>
      </c>
      <c r="L552" s="61" t="str">
        <f>IFERROR(__xludf.DUMMYFUNCTION("""COMPUTED_VALUE"""),"Village House  ")</f>
        <v>Village House  </v>
      </c>
      <c r="M552" s="61" t="str">
        <f>IFERROR(__xludf.DUMMYFUNCTION("""COMPUTED_VALUE"""),"3062-a")</f>
        <v>3062-a</v>
      </c>
      <c r="N552" s="61"/>
      <c r="O552" s="61"/>
      <c r="P552" s="61" t="b">
        <f>COUNTIF('Delivered SIR'!A:A, E552) &gt; 0</f>
        <v>0</v>
      </c>
    </row>
    <row r="553">
      <c r="A553" s="102" t="str">
        <f>IFERROR(__xludf.DUMMYFUNCTION("""COMPUTED_VALUE"""),"https://utrucking.com/admin/orders/5946855620796")</f>
        <v>https://utrucking.com/admin/orders/5946855620796</v>
      </c>
      <c r="B553" s="65" t="str">
        <f>IFERROR(__xludf.DUMMYFUNCTION("""COMPUTED_VALUE"""),"#16428")</f>
        <v>#16428</v>
      </c>
      <c r="C553" s="65"/>
      <c r="D553" s="65">
        <f>IFERROR(__xludf.DUMMYFUNCTION("""COMPUTED_VALUE"""),9.145255121E9)</f>
        <v>9145255121</v>
      </c>
      <c r="E553" s="65" t="str">
        <f>IFERROR(__xludf.DUMMYFUNCTION("""COMPUTED_VALUE"""),"Rachel Solomon")</f>
        <v>Rachel Solomon</v>
      </c>
      <c r="F553" s="65" t="str">
        <f>IFERROR(__xludf.DUMMYFUNCTION("""COMPUTED_VALUE"""),"Rachel Solomon")</f>
        <v>Rachel Solomon</v>
      </c>
      <c r="G553" s="65" t="str">
        <f>IFERROR(__xludf.DUMMYFUNCTION("""COMPUTED_VALUE"""),"5931 Kingsbury Ave St Louis MO apartment 2E ")</f>
        <v>5931 Kingsbury Ave St Louis MO apartment 2E </v>
      </c>
      <c r="H553" s="65" t="str">
        <f>IFERROR(__xludf.DUMMYFUNCTION("""COMPUTED_VALUE"""),"Storage Item Return")</f>
        <v>Storage Item Return</v>
      </c>
      <c r="I553" s="65" t="str">
        <f>IFERROR(__xludf.DUMMYFUNCTION("""COMPUTED_VALUE"""),"Non-University Housing ")</f>
        <v>Non-University Housing </v>
      </c>
      <c r="J553" s="108" t="str">
        <f>IFERROR(__xludf.DUMMYFUNCTION("""COMPUTED_VALUE"""),"09:00 AM to 11:00 AM   ")</f>
        <v>09:00 AM to 11:00 AM   </v>
      </c>
      <c r="K553" s="108">
        <f>IFERROR(__xludf.DUMMYFUNCTION("""COMPUTED_VALUE"""),45890.0)</f>
        <v>45890</v>
      </c>
      <c r="L553" s="65"/>
      <c r="M553" s="65"/>
      <c r="N553" s="65" t="str">
        <f>IFERROR(__xludf.DUMMYFUNCTION("""COMPUTED_VALUE"""),"5931 Kingsbury Ave St Louis MO apartment 2E ")</f>
        <v>5931 Kingsbury Ave St Louis MO apartment 2E </v>
      </c>
      <c r="O553" s="65"/>
      <c r="P553" s="65" t="b">
        <f>COUNTIF('Delivered SIR'!A:A, E553) &gt; 0</f>
        <v>0</v>
      </c>
    </row>
    <row r="554">
      <c r="A554" s="99" t="str">
        <f>IFERROR(__xludf.DUMMYFUNCTION("""COMPUTED_VALUE"""),"https://utrucking.com/admin/orders/5946886160572")</f>
        <v>https://utrucking.com/admin/orders/5946886160572</v>
      </c>
      <c r="B554" s="61" t="str">
        <f>IFERROR(__xludf.DUMMYFUNCTION("""COMPUTED_VALUE"""),"#16429")</f>
        <v>#16429</v>
      </c>
      <c r="C554" s="61" t="str">
        <f>IFERROR(__xludf.DUMMYFUNCTION("""COMPUTED_VALUE"""),"a.iyanu@wustl.edu")</f>
        <v>a.iyanu@wustl.edu</v>
      </c>
      <c r="D554" s="61">
        <f>IFERROR(__xludf.DUMMYFUNCTION("""COMPUTED_VALUE"""),7.033894355E9)</f>
        <v>7033894355</v>
      </c>
      <c r="E554" s="61" t="str">
        <f>IFERROR(__xludf.DUMMYFUNCTION("""COMPUTED_VALUE"""),"Iyanuoluwa Akinyemi")</f>
        <v>Iyanuoluwa Akinyemi</v>
      </c>
      <c r="F554" s="61" t="str">
        <f>IFERROR(__xludf.DUMMYFUNCTION("""COMPUTED_VALUE"""),"Iyanuoluwa Akinyemi")</f>
        <v>Iyanuoluwa Akinyemi</v>
      </c>
      <c r="G554" s="61" t="str">
        <f>IFERROR(__xludf.DUMMYFUNCTION("""COMPUTED_VALUE"""),"735 Westgate Ave. Unit #1S, St. Louis, MO 63130")</f>
        <v>735 Westgate Ave. Unit #1S, St. Louis, MO 63130</v>
      </c>
      <c r="H554" s="61" t="str">
        <f>IFERROR(__xludf.DUMMYFUNCTION("""COMPUTED_VALUE"""),"Storage Item Return")</f>
        <v>Storage Item Return</v>
      </c>
      <c r="I554" s="61" t="str">
        <f>IFERROR(__xludf.DUMMYFUNCTION("""COMPUTED_VALUE"""),"Non-University Housing ")</f>
        <v>Non-University Housing </v>
      </c>
      <c r="J554" s="107" t="str">
        <f>IFERROR(__xludf.DUMMYFUNCTION("""COMPUTED_VALUE"""),"11:00 AM to 01:00 PM   ")</f>
        <v>11:00 AM to 01:00 PM   </v>
      </c>
      <c r="K554" s="107">
        <f>IFERROR(__xludf.DUMMYFUNCTION("""COMPUTED_VALUE"""),45889.0)</f>
        <v>45889</v>
      </c>
      <c r="L554" s="61"/>
      <c r="M554" s="61"/>
      <c r="N554" s="61" t="str">
        <f>IFERROR(__xludf.DUMMYFUNCTION("""COMPUTED_VALUE"""),"735 Westgate Ave. Unit #1S, St. Louis, MO 63130")</f>
        <v>735 Westgate Ave. Unit #1S, St. Louis, MO 63130</v>
      </c>
      <c r="O554" s="61"/>
      <c r="P554" s="61" t="b">
        <f>COUNTIF('Delivered SIR'!A:A, E554) &gt; 0</f>
        <v>0</v>
      </c>
    </row>
    <row r="555">
      <c r="A555" s="102" t="str">
        <f>IFERROR(__xludf.DUMMYFUNCTION("""COMPUTED_VALUE"""),"https://utrucking.com/admin/orders/5946903724220")</f>
        <v>https://utrucking.com/admin/orders/5946903724220</v>
      </c>
      <c r="B555" s="65" t="str">
        <f>IFERROR(__xludf.DUMMYFUNCTION("""COMPUTED_VALUE"""),"#16430")</f>
        <v>#16430</v>
      </c>
      <c r="C555" s="65" t="str">
        <f>IFERROR(__xludf.DUMMYFUNCTION("""COMPUTED_VALUE"""),"j.m.mccabe@wustl.edu")</f>
        <v>j.m.mccabe@wustl.edu</v>
      </c>
      <c r="D555" s="65">
        <f>IFERROR(__xludf.DUMMYFUNCTION("""COMPUTED_VALUE"""),6.108040945E9)</f>
        <v>6108040945</v>
      </c>
      <c r="E555" s="65" t="str">
        <f>IFERROR(__xludf.DUMMYFUNCTION("""COMPUTED_VALUE"""),"Jjohn McCabe")</f>
        <v>Jjohn McCabe</v>
      </c>
      <c r="F555" s="65" t="str">
        <f>IFERROR(__xludf.DUMMYFUNCTION("""COMPUTED_VALUE"""),"Jack McCabe")</f>
        <v>Jack McCabe</v>
      </c>
      <c r="G555" s="65"/>
      <c r="H555" s="65" t="str">
        <f>IFERROR(__xludf.DUMMYFUNCTION("""COMPUTED_VALUE"""),"Storage Item Return")</f>
        <v>Storage Item Return</v>
      </c>
      <c r="I555" s="65" t="str">
        <f>IFERROR(__xludf.DUMMYFUNCTION("""COMPUTED_VALUE"""),"University Housing ")</f>
        <v>University Housing </v>
      </c>
      <c r="J555" s="108" t="str">
        <f>IFERROR(__xludf.DUMMYFUNCTION("""COMPUTED_VALUE"""),"01:00 PM to 03:00 PM   ")</f>
        <v>01:00 PM to 03:00 PM   </v>
      </c>
      <c r="K555" s="108">
        <f>IFERROR(__xludf.DUMMYFUNCTION("""COMPUTED_VALUE"""),45890.0)</f>
        <v>45890</v>
      </c>
      <c r="L555" s="65" t="str">
        <f>IFERROR(__xludf.DUMMYFUNCTION("""COMPUTED_VALUE"""),"House 4 (Theta Xi)  ")</f>
        <v>House 4 (Theta Xi)  </v>
      </c>
      <c r="M555" s="65" t="str">
        <f>IFERROR(__xludf.DUMMYFUNCTION("""COMPUTED_VALUE"""),"302")</f>
        <v>302</v>
      </c>
      <c r="N555" s="65"/>
      <c r="O555" s="65"/>
      <c r="P555" s="65" t="b">
        <f>COUNTIF('Delivered SIR'!A:A, E555) &gt; 0</f>
        <v>0</v>
      </c>
    </row>
    <row r="556">
      <c r="A556" s="99" t="str">
        <f>IFERROR(__xludf.DUMMYFUNCTION("""COMPUTED_VALUE"""),"https://utrucking.com/admin/orders/5946929774780")</f>
        <v>https://utrucking.com/admin/orders/5946929774780</v>
      </c>
      <c r="B556" s="61" t="str">
        <f>IFERROR(__xludf.DUMMYFUNCTION("""COMPUTED_VALUE"""),"#16431")</f>
        <v>#16431</v>
      </c>
      <c r="C556" s="61" t="str">
        <f>IFERROR(__xludf.DUMMYFUNCTION("""COMPUTED_VALUE"""),"j.sofia@wustl.edu")</f>
        <v>j.sofia@wustl.edu</v>
      </c>
      <c r="D556" s="61">
        <f>IFERROR(__xludf.DUMMYFUNCTION("""COMPUTED_VALUE"""),9.012990235E9)</f>
        <v>9012990235</v>
      </c>
      <c r="E556" s="61" t="str">
        <f>IFERROR(__xludf.DUMMYFUNCTION("""COMPUTED_VALUE"""),"Monique Jalenak")</f>
        <v>Monique Jalenak</v>
      </c>
      <c r="F556" s="61" t="str">
        <f>IFERROR(__xludf.DUMMYFUNCTION("""COMPUTED_VALUE"""),"Sofia Jalenak")</f>
        <v>Sofia Jalenak</v>
      </c>
      <c r="G556" s="61"/>
      <c r="H556" s="61" t="str">
        <f>IFERROR(__xludf.DUMMYFUNCTION("""COMPUTED_VALUE"""),"Storage Item Return")</f>
        <v>Storage Item Return</v>
      </c>
      <c r="I556" s="61" t="str">
        <f>IFERROR(__xludf.DUMMYFUNCTION("""COMPUTED_VALUE"""),"University Housing ")</f>
        <v>University Housing </v>
      </c>
      <c r="J556" s="107" t="str">
        <f>IFERROR(__xludf.DUMMYFUNCTION("""COMPUTED_VALUE"""),"09:00 AM to 11:00 AM   ")</f>
        <v>09:00 AM to 11:00 AM   </v>
      </c>
      <c r="K556" s="107">
        <f>IFERROR(__xludf.DUMMYFUNCTION("""COMPUTED_VALUE"""),45890.0)</f>
        <v>45890</v>
      </c>
      <c r="L556" s="61" t="str">
        <f>IFERROR(__xludf.DUMMYFUNCTION("""COMPUTED_VALUE"""),"Village East  ")</f>
        <v>Village East  </v>
      </c>
      <c r="M556" s="61" t="str">
        <f>IFERROR(__xludf.DUMMYFUNCTION("""COMPUTED_VALUE"""),"3032 - a")</f>
        <v>3032 - a</v>
      </c>
      <c r="N556" s="61"/>
      <c r="O556" s="61"/>
      <c r="P556" s="61" t="b">
        <f>COUNTIF('Delivered SIR'!A:A, E556) &gt; 0</f>
        <v>0</v>
      </c>
    </row>
    <row r="557">
      <c r="A557" s="102" t="str">
        <f>IFERROR(__xludf.DUMMYFUNCTION("""COMPUTED_VALUE"""),"https://utrucking.com/admin/orders/5946982170812")</f>
        <v>https://utrucking.com/admin/orders/5946982170812</v>
      </c>
      <c r="B557" s="65" t="str">
        <f>IFERROR(__xludf.DUMMYFUNCTION("""COMPUTED_VALUE"""),"#16432")</f>
        <v>#16432</v>
      </c>
      <c r="C557" s="65"/>
      <c r="D557" s="65">
        <f>IFERROR(__xludf.DUMMYFUNCTION("""COMPUTED_VALUE"""),2.023941557E9)</f>
        <v>2023941557</v>
      </c>
      <c r="E557" s="65" t="str">
        <f>IFERROR(__xludf.DUMMYFUNCTION("""COMPUTED_VALUE"""),"Rowan Mahler")</f>
        <v>Rowan Mahler</v>
      </c>
      <c r="F557" s="65" t="str">
        <f>IFERROR(__xludf.DUMMYFUNCTION("""COMPUTED_VALUE"""),"Rowan Mahler")</f>
        <v>Rowan Mahler</v>
      </c>
      <c r="G557" s="65" t="str">
        <f>IFERROR(__xludf.DUMMYFUNCTION("""COMPUTED_VALUE"""),"5539 Pershing Ave, St. Louis, MO 63112
Appt 513")</f>
        <v>5539 Pershing Ave, St. Louis, MO 63112
Appt 513</v>
      </c>
      <c r="H557" s="65" t="str">
        <f>IFERROR(__xludf.DUMMYFUNCTION("""COMPUTED_VALUE"""),"Storage Item Return")</f>
        <v>Storage Item Return</v>
      </c>
      <c r="I557" s="65" t="str">
        <f>IFERROR(__xludf.DUMMYFUNCTION("""COMPUTED_VALUE"""),"Non-University Housing ")</f>
        <v>Non-University Housing </v>
      </c>
      <c r="J557" s="108" t="str">
        <f>IFERROR(__xludf.DUMMYFUNCTION("""COMPUTED_VALUE"""),"03:00 PM to 05:00 PM ")</f>
        <v>03:00 PM to 05:00 PM </v>
      </c>
      <c r="K557" s="108">
        <f>IFERROR(__xludf.DUMMYFUNCTION("""COMPUTED_VALUE"""),45889.0)</f>
        <v>45889</v>
      </c>
      <c r="L557" s="65"/>
      <c r="M557" s="65"/>
      <c r="N557" s="65" t="str">
        <f>IFERROR(__xludf.DUMMYFUNCTION("""COMPUTED_VALUE"""),"5539 Pershing Ave, St. Louis, MO 63112
Appt 513")</f>
        <v>5539 Pershing Ave, St. Louis, MO 63112
Appt 513</v>
      </c>
      <c r="O557" s="65"/>
      <c r="P557" s="65" t="b">
        <f>COUNTIF('Delivered SIR'!A:A, E557) &gt; 0</f>
        <v>0</v>
      </c>
    </row>
    <row r="558">
      <c r="A558" s="99" t="str">
        <f>IFERROR(__xludf.DUMMYFUNCTION("""COMPUTED_VALUE"""),"https://utrucking.com/admin/orders/5947030143164")</f>
        <v>https://utrucking.com/admin/orders/5947030143164</v>
      </c>
      <c r="B558" s="61" t="str">
        <f>IFERROR(__xludf.DUMMYFUNCTION("""COMPUTED_VALUE"""),"#16433")</f>
        <v>#16433</v>
      </c>
      <c r="C558" s="61" t="str">
        <f>IFERROR(__xludf.DUMMYFUNCTION("""COMPUTED_VALUE"""),"itaikomoroff@gmail.com")</f>
        <v>itaikomoroff@gmail.com</v>
      </c>
      <c r="D558" s="61">
        <f>IFERROR(__xludf.DUMMYFUNCTION("""COMPUTED_VALUE"""),9.178628772E9)</f>
        <v>9178628772</v>
      </c>
      <c r="E558" s="61" t="str">
        <f>IFERROR(__xludf.DUMMYFUNCTION("""COMPUTED_VALUE"""),"Itai Komoroff")</f>
        <v>Itai Komoroff</v>
      </c>
      <c r="F558" s="61" t="str">
        <f>IFERROR(__xludf.DUMMYFUNCTION("""COMPUTED_VALUE"""),"Itai Komoroff ")</f>
        <v>Itai Komoroff </v>
      </c>
      <c r="G558" s="61"/>
      <c r="H558" s="61" t="str">
        <f>IFERROR(__xludf.DUMMYFUNCTION("""COMPUTED_VALUE"""),"Storage Item Return")</f>
        <v>Storage Item Return</v>
      </c>
      <c r="I558" s="61" t="str">
        <f>IFERROR(__xludf.DUMMYFUNCTION("""COMPUTED_VALUE"""),"University Housing ")</f>
        <v>University Housing </v>
      </c>
      <c r="J558" s="107" t="str">
        <f>IFERROR(__xludf.DUMMYFUNCTION("""COMPUTED_VALUE"""),"09:00 AM to 11:00 AM   ")</f>
        <v>09:00 AM to 11:00 AM   </v>
      </c>
      <c r="K558" s="107">
        <f>IFERROR(__xludf.DUMMYFUNCTION("""COMPUTED_VALUE"""),45890.0)</f>
        <v>45890</v>
      </c>
      <c r="L558" s="61" t="str">
        <f>IFERROR(__xludf.DUMMYFUNCTION("""COMPUTED_VALUE"""),"House 21 (Alpha Epsilon Pi)  ")</f>
        <v>House 21 (Alpha Epsilon Pi)  </v>
      </c>
      <c r="M558" s="61" t="str">
        <f>IFERROR(__xludf.DUMMYFUNCTION("""COMPUTED_VALUE"""),"2071")</f>
        <v>2071</v>
      </c>
      <c r="N558" s="61"/>
      <c r="O558" s="61"/>
      <c r="P558" s="61" t="b">
        <f>COUNTIF('Delivered SIR'!A:A, E558) &gt; 0</f>
        <v>1</v>
      </c>
    </row>
    <row r="559">
      <c r="A559" s="102" t="str">
        <f>IFERROR(__xludf.DUMMYFUNCTION("""COMPUTED_VALUE"""),"https://utrucking.com/admin/orders/5947516813500")</f>
        <v>https://utrucking.com/admin/orders/5947516813500</v>
      </c>
      <c r="B559" s="65" t="str">
        <f>IFERROR(__xludf.DUMMYFUNCTION("""COMPUTED_VALUE"""),"#16438")</f>
        <v>#16438</v>
      </c>
      <c r="C559" s="65" t="str">
        <f>IFERROR(__xludf.DUMMYFUNCTION("""COMPUTED_VALUE"""),"hegmelich@icloud.com")</f>
        <v>hegmelich@icloud.com</v>
      </c>
      <c r="D559" s="65">
        <f>IFERROR(__xludf.DUMMYFUNCTION("""COMPUTED_VALUE"""),6.263902905E9)</f>
        <v>6263902905</v>
      </c>
      <c r="E559" s="65" t="str">
        <f>IFERROR(__xludf.DUMMYFUNCTION("""COMPUTED_VALUE"""),"Holly Gmelich")</f>
        <v>Holly Gmelich</v>
      </c>
      <c r="F559" s="65" t="str">
        <f>IFERROR(__xludf.DUMMYFUNCTION("""COMPUTED_VALUE"""),"Holly Gmelich ")</f>
        <v>Holly Gmelich </v>
      </c>
      <c r="G559" s="65" t="str">
        <f>IFERROR(__xludf.DUMMYFUNCTION("""COMPUTED_VALUE"""),"7116 Forsyth Blvd. Unit 2W 63105")</f>
        <v>7116 Forsyth Blvd. Unit 2W 63105</v>
      </c>
      <c r="H559" s="65" t="str">
        <f>IFERROR(__xludf.DUMMYFUNCTION("""COMPUTED_VALUE"""),"Storage Item Return")</f>
        <v>Storage Item Return</v>
      </c>
      <c r="I559" s="65" t="str">
        <f>IFERROR(__xludf.DUMMYFUNCTION("""COMPUTED_VALUE"""),"Non-University Housing ")</f>
        <v>Non-University Housing </v>
      </c>
      <c r="J559" s="108" t="str">
        <f>IFERROR(__xludf.DUMMYFUNCTION("""COMPUTED_VALUE"""),"09:00 AM to 11:00 AM   ")</f>
        <v>09:00 AM to 11:00 AM   </v>
      </c>
      <c r="K559" s="108">
        <f>IFERROR(__xludf.DUMMYFUNCTION("""COMPUTED_VALUE"""),45890.0)</f>
        <v>45890</v>
      </c>
      <c r="L559" s="65"/>
      <c r="M559" s="65"/>
      <c r="N559" s="65" t="str">
        <f>IFERROR(__xludf.DUMMYFUNCTION("""COMPUTED_VALUE"""),"7116 Forsyth Blvd. Unit 2W 63105")</f>
        <v>7116 Forsyth Blvd. Unit 2W 63105</v>
      </c>
      <c r="O559" s="65"/>
      <c r="P559" s="65" t="b">
        <f>COUNTIF('Delivered SIR'!A:A, E559) &gt; 0</f>
        <v>0</v>
      </c>
    </row>
    <row r="560">
      <c r="A560" s="99" t="str">
        <f>IFERROR(__xludf.DUMMYFUNCTION("""COMPUTED_VALUE"""),"https://utrucking.com/admin/orders/5947523334332")</f>
        <v>https://utrucking.com/admin/orders/5947523334332</v>
      </c>
      <c r="B560" s="61" t="str">
        <f>IFERROR(__xludf.DUMMYFUNCTION("""COMPUTED_VALUE"""),"#16439")</f>
        <v>#16439</v>
      </c>
      <c r="C560" s="61" t="str">
        <f>IFERROR(__xludf.DUMMYFUNCTION("""COMPUTED_VALUE"""),"peixinyu0209@gmail.com")</f>
        <v>peixinyu0209@gmail.com</v>
      </c>
      <c r="D560" s="61">
        <f>IFERROR(__xludf.DUMMYFUNCTION("""COMPUTED_VALUE"""),3.148278663E9)</f>
        <v>3148278663</v>
      </c>
      <c r="E560" s="61" t="str">
        <f>IFERROR(__xludf.DUMMYFUNCTION("""COMPUTED_VALUE"""),"JACK YU")</f>
        <v>JACK YU</v>
      </c>
      <c r="F560" s="61" t="str">
        <f>IFERROR(__xludf.DUMMYFUNCTION("""COMPUTED_VALUE"""),"Jack Yu")</f>
        <v>Jack Yu</v>
      </c>
      <c r="G560" s="61"/>
      <c r="H560" s="61" t="str">
        <f>IFERROR(__xludf.DUMMYFUNCTION("""COMPUTED_VALUE"""),"Storage Item Return")</f>
        <v>Storage Item Return</v>
      </c>
      <c r="I560" s="61" t="str">
        <f>IFERROR(__xludf.DUMMYFUNCTION("""COMPUTED_VALUE"""),"University Housing ")</f>
        <v>University Housing </v>
      </c>
      <c r="J560" s="107" t="str">
        <f>IFERROR(__xludf.DUMMYFUNCTION("""COMPUTED_VALUE"""),"12:00 PM to 02:00 PM   ")</f>
        <v>12:00 PM to 02:00 PM   </v>
      </c>
      <c r="K560" s="107">
        <f>IFERROR(__xludf.DUMMYFUNCTION("""COMPUTED_VALUE"""),45890.0)</f>
        <v>45890</v>
      </c>
      <c r="L560" s="61" t="str">
        <f>IFERROR(__xludf.DUMMYFUNCTION("""COMPUTED_VALUE"""),"Zetcher  ")</f>
        <v>Zetcher  </v>
      </c>
      <c r="M560" s="61" t="str">
        <f>IFERROR(__xludf.DUMMYFUNCTION("""COMPUTED_VALUE"""),"3191")</f>
        <v>3191</v>
      </c>
      <c r="N560" s="61"/>
      <c r="O560" s="61"/>
      <c r="P560" s="61" t="b">
        <f>COUNTIF('Delivered SIR'!A:A, E560) &gt; 0</f>
        <v>1</v>
      </c>
    </row>
    <row r="561">
      <c r="A561" s="102" t="str">
        <f>IFERROR(__xludf.DUMMYFUNCTION("""COMPUTED_VALUE"""),"https://utrucking.com/admin/orders/5947531002044")</f>
        <v>https://utrucking.com/admin/orders/5947531002044</v>
      </c>
      <c r="B561" s="65" t="str">
        <f>IFERROR(__xludf.DUMMYFUNCTION("""COMPUTED_VALUE"""),"#16440")</f>
        <v>#16440</v>
      </c>
      <c r="C561" s="65"/>
      <c r="D561" s="65">
        <f>IFERROR(__xludf.DUMMYFUNCTION("""COMPUTED_VALUE"""),9.723633209E9)</f>
        <v>9723633209</v>
      </c>
      <c r="E561" s="65" t="str">
        <f>IFERROR(__xludf.DUMMYFUNCTION("""COMPUTED_VALUE"""),"Erin Amankwaah")</f>
        <v>Erin Amankwaah</v>
      </c>
      <c r="F561" s="65" t="str">
        <f>IFERROR(__xludf.DUMMYFUNCTION("""COMPUTED_VALUE"""),"Erin Amankwaah")</f>
        <v>Erin Amankwaah</v>
      </c>
      <c r="G561" s="65" t="str">
        <f>IFERROR(__xludf.DUMMYFUNCTION("""COMPUTED_VALUE"""),"5510 Pershing Ave
Saint Louis, MO  63112
United States")</f>
        <v>5510 Pershing Ave
Saint Louis, MO  63112
United States</v>
      </c>
      <c r="H561" s="65" t="str">
        <f>IFERROR(__xludf.DUMMYFUNCTION("""COMPUTED_VALUE"""),"Storage Item Return")</f>
        <v>Storage Item Return</v>
      </c>
      <c r="I561" s="65" t="str">
        <f>IFERROR(__xludf.DUMMYFUNCTION("""COMPUTED_VALUE"""),"Non-University Housing ")</f>
        <v>Non-University Housing </v>
      </c>
      <c r="J561" s="108" t="str">
        <f>IFERROR(__xludf.DUMMYFUNCTION("""COMPUTED_VALUE"""),"09:00 AM to 11:00 AM   ")</f>
        <v>09:00 AM to 11:00 AM   </v>
      </c>
      <c r="K561" s="108">
        <f>IFERROR(__xludf.DUMMYFUNCTION("""COMPUTED_VALUE"""),45891.0)</f>
        <v>45891</v>
      </c>
      <c r="L561" s="65"/>
      <c r="M561" s="65"/>
      <c r="N561" s="65" t="str">
        <f>IFERROR(__xludf.DUMMYFUNCTION("""COMPUTED_VALUE"""),"5510 Pershing Ave
Saint Louis, MO  63112
United States")</f>
        <v>5510 Pershing Ave
Saint Louis, MO  63112
United States</v>
      </c>
      <c r="O561" s="65"/>
      <c r="P561" s="65" t="b">
        <f>COUNTIF('Delivered SIR'!A:A, E561) &gt; 0</f>
        <v>0</v>
      </c>
    </row>
    <row r="562">
      <c r="A562" s="99" t="str">
        <f>IFERROR(__xludf.DUMMYFUNCTION("""COMPUTED_VALUE"""),"https://utrucking.com/admin/orders/5947696709820")</f>
        <v>https://utrucking.com/admin/orders/5947696709820</v>
      </c>
      <c r="B562" s="61" t="str">
        <f>IFERROR(__xludf.DUMMYFUNCTION("""COMPUTED_VALUE"""),"#16443")</f>
        <v>#16443</v>
      </c>
      <c r="C562" s="61" t="str">
        <f>IFERROR(__xludf.DUMMYFUNCTION("""COMPUTED_VALUE"""),"tchukudebelu@gmail.com")</f>
        <v>tchukudebelu@gmail.com</v>
      </c>
      <c r="D562" s="61">
        <f>IFERROR(__xludf.DUMMYFUNCTION("""COMPUTED_VALUE"""),4.047490717E9)</f>
        <v>4047490717</v>
      </c>
      <c r="E562" s="61" t="str">
        <f>IFERROR(__xludf.DUMMYFUNCTION("""COMPUTED_VALUE"""),"Tobe Chukudebelu")</f>
        <v>Tobe Chukudebelu</v>
      </c>
      <c r="F562" s="61" t="str">
        <f>IFERROR(__xludf.DUMMYFUNCTION("""COMPUTED_VALUE"""),"Tobe Chukudebelu")</f>
        <v>Tobe Chukudebelu</v>
      </c>
      <c r="G562" s="61"/>
      <c r="H562" s="61" t="str">
        <f>IFERROR(__xludf.DUMMYFUNCTION("""COMPUTED_VALUE"""),"Storage Item Return")</f>
        <v>Storage Item Return</v>
      </c>
      <c r="I562" s="61" t="str">
        <f>IFERROR(__xludf.DUMMYFUNCTION("""COMPUTED_VALUE"""),"University Housing ")</f>
        <v>University Housing </v>
      </c>
      <c r="J562" s="107" t="str">
        <f>IFERROR(__xludf.DUMMYFUNCTION("""COMPUTED_VALUE"""),"11:00 AM to 01:00 PM   ")</f>
        <v>11:00 AM to 01:00 PM   </v>
      </c>
      <c r="K562" s="107">
        <f>IFERROR(__xludf.DUMMYFUNCTION("""COMPUTED_VALUE"""),45890.0)</f>
        <v>45890</v>
      </c>
      <c r="L562" s="61" t="str">
        <f>IFERROR(__xludf.DUMMYFUNCTION("""COMPUTED_VALUE"""),"Liggett  ")</f>
        <v>Liggett  </v>
      </c>
      <c r="M562" s="61" t="str">
        <f>IFERROR(__xludf.DUMMYFUNCTION("""COMPUTED_VALUE"""),"3364")</f>
        <v>3364</v>
      </c>
      <c r="N562" s="61"/>
      <c r="O562" s="61"/>
      <c r="P562" s="61" t="b">
        <f>COUNTIF('Delivered SIR'!A:A, E562) &gt; 0</f>
        <v>1</v>
      </c>
    </row>
    <row r="563">
      <c r="A563" s="102" t="str">
        <f>IFERROR(__xludf.DUMMYFUNCTION("""COMPUTED_VALUE"""),"https://utrucking.com/admin/orders/5947748352188")</f>
        <v>https://utrucking.com/admin/orders/5947748352188</v>
      </c>
      <c r="B563" s="65" t="str">
        <f>IFERROR(__xludf.DUMMYFUNCTION("""COMPUTED_VALUE"""),"#16444")</f>
        <v>#16444</v>
      </c>
      <c r="C563" s="65" t="str">
        <f>IFERROR(__xludf.DUMMYFUNCTION("""COMPUTED_VALUE"""),"jamiesurnamer@gmail.com")</f>
        <v>jamiesurnamer@gmail.com</v>
      </c>
      <c r="D563" s="65">
        <f>IFERROR(__xludf.DUMMYFUNCTION("""COMPUTED_VALUE"""),6.468589769E9)</f>
        <v>6468589769</v>
      </c>
      <c r="E563" s="65" t="str">
        <f>IFERROR(__xludf.DUMMYFUNCTION("""COMPUTED_VALUE"""),"James Surnamer")</f>
        <v>James Surnamer</v>
      </c>
      <c r="F563" s="65" t="str">
        <f>IFERROR(__xludf.DUMMYFUNCTION("""COMPUTED_VALUE"""),"James Surnamer")</f>
        <v>James Surnamer</v>
      </c>
      <c r="G563" s="65" t="str">
        <f>IFERROR(__xludf.DUMMYFUNCTION("""COMPUTED_VALUE"""),"7019 Northmoor Dr, University City, MO 63105")</f>
        <v>7019 Northmoor Dr, University City, MO 63105</v>
      </c>
      <c r="H563" s="65" t="str">
        <f>IFERROR(__xludf.DUMMYFUNCTION("""COMPUTED_VALUE"""),"Storage Item Return")</f>
        <v>Storage Item Return</v>
      </c>
      <c r="I563" s="65" t="str">
        <f>IFERROR(__xludf.DUMMYFUNCTION("""COMPUTED_VALUE"""),"Non-University Housing ")</f>
        <v>Non-University Housing </v>
      </c>
      <c r="J563" s="108" t="str">
        <f>IFERROR(__xludf.DUMMYFUNCTION("""COMPUTED_VALUE"""),"12:00 PM to 02:00 PM   ")</f>
        <v>12:00 PM to 02:00 PM   </v>
      </c>
      <c r="K563" s="108">
        <f>IFERROR(__xludf.DUMMYFUNCTION("""COMPUTED_VALUE"""),45891.0)</f>
        <v>45891</v>
      </c>
      <c r="L563" s="65"/>
      <c r="M563" s="65"/>
      <c r="N563" s="65" t="str">
        <f>IFERROR(__xludf.DUMMYFUNCTION("""COMPUTED_VALUE"""),"7019 Northmoor Dr, University City, MO 63105")</f>
        <v>7019 Northmoor Dr, University City, MO 63105</v>
      </c>
      <c r="O563" s="65"/>
      <c r="P563" s="65" t="b">
        <f>COUNTIF('Delivered SIR'!A:A, E563) &gt; 0</f>
        <v>0</v>
      </c>
    </row>
    <row r="564">
      <c r="A564" s="99" t="str">
        <f>IFERROR(__xludf.DUMMYFUNCTION("""COMPUTED_VALUE"""),"https://utrucking.com/admin/orders/5948039332028")</f>
        <v>https://utrucking.com/admin/orders/5948039332028</v>
      </c>
      <c r="B564" s="61" t="str">
        <f>IFERROR(__xludf.DUMMYFUNCTION("""COMPUTED_VALUE"""),"#16445")</f>
        <v>#16445</v>
      </c>
      <c r="C564" s="61"/>
      <c r="D564" s="61">
        <f>IFERROR(__xludf.DUMMYFUNCTION("""COMPUTED_VALUE"""),9.177575261E9)</f>
        <v>9177575261</v>
      </c>
      <c r="E564" s="61" t="str">
        <f>IFERROR(__xludf.DUMMYFUNCTION("""COMPUTED_VALUE"""),"Jamie Corsair")</f>
        <v>Jamie Corsair</v>
      </c>
      <c r="F564" s="61" t="str">
        <f>IFERROR(__xludf.DUMMYFUNCTION("""COMPUTED_VALUE"""),"Dillon Corsair ")</f>
        <v>Dillon Corsair </v>
      </c>
      <c r="G564" s="61" t="str">
        <f>IFERROR(__xludf.DUMMYFUNCTION("""COMPUTED_VALUE"""),"6127 waterman blvd ")</f>
        <v>6127 waterman blvd </v>
      </c>
      <c r="H564" s="61" t="str">
        <f>IFERROR(__xludf.DUMMYFUNCTION("""COMPUTED_VALUE"""),"Storage Item Return")</f>
        <v>Storage Item Return</v>
      </c>
      <c r="I564" s="61" t="str">
        <f>IFERROR(__xludf.DUMMYFUNCTION("""COMPUTED_VALUE"""),"Non-University Housing ")</f>
        <v>Non-University Housing </v>
      </c>
      <c r="J564" s="107" t="str">
        <f>IFERROR(__xludf.DUMMYFUNCTION("""COMPUTED_VALUE"""),"09:00 AM to 11:00 AM   ")</f>
        <v>09:00 AM to 11:00 AM   </v>
      </c>
      <c r="K564" s="107">
        <f>IFERROR(__xludf.DUMMYFUNCTION("""COMPUTED_VALUE"""),45891.0)</f>
        <v>45891</v>
      </c>
      <c r="L564" s="61"/>
      <c r="M564" s="61"/>
      <c r="N564" s="61" t="str">
        <f>IFERROR(__xludf.DUMMYFUNCTION("""COMPUTED_VALUE"""),"6127 waterman blvd ")</f>
        <v>6127 waterman blvd </v>
      </c>
      <c r="O564" s="61"/>
      <c r="P564" s="61" t="b">
        <f>COUNTIF('Delivered SIR'!A:A, E564) &gt; 0</f>
        <v>0</v>
      </c>
    </row>
    <row r="565">
      <c r="A565" s="102" t="str">
        <f>IFERROR(__xludf.DUMMYFUNCTION("""COMPUTED_VALUE"""),"https://utrucking.com/admin/orders/5948045164732")</f>
        <v>https://utrucking.com/admin/orders/5948045164732</v>
      </c>
      <c r="B565" s="65" t="str">
        <f>IFERROR(__xludf.DUMMYFUNCTION("""COMPUTED_VALUE"""),"#16446")</f>
        <v>#16446</v>
      </c>
      <c r="C565" s="65"/>
      <c r="D565" s="65">
        <f>IFERROR(__xludf.DUMMYFUNCTION("""COMPUTED_VALUE"""),2.482606424E9)</f>
        <v>2482606424</v>
      </c>
      <c r="E565" s="65" t="str">
        <f>IFERROR(__xludf.DUMMYFUNCTION("""COMPUTED_VALUE"""),"Kayla Nafso")</f>
        <v>Kayla Nafso</v>
      </c>
      <c r="F565" s="65" t="str">
        <f>IFERROR(__xludf.DUMMYFUNCTION("""COMPUTED_VALUE"""),"Kayla Nafso")</f>
        <v>Kayla Nafso</v>
      </c>
      <c r="G565" s="65"/>
      <c r="H565" s="65" t="str">
        <f>IFERROR(__xludf.DUMMYFUNCTION("""COMPUTED_VALUE"""),"Storage Item Return")</f>
        <v>Storage Item Return</v>
      </c>
      <c r="I565" s="65" t="str">
        <f>IFERROR(__xludf.DUMMYFUNCTION("""COMPUTED_VALUE"""),"University Housing ")</f>
        <v>University Housing </v>
      </c>
      <c r="J565" s="108" t="str">
        <f>IFERROR(__xludf.DUMMYFUNCTION("""COMPUTED_VALUE"""),"09:00 AM to 11:00 AM   ")</f>
        <v>09:00 AM to 11:00 AM   </v>
      </c>
      <c r="K565" s="108">
        <f>IFERROR(__xludf.DUMMYFUNCTION("""COMPUTED_VALUE"""),45891.0)</f>
        <v>45891</v>
      </c>
      <c r="L565" s="65" t="str">
        <f>IFERROR(__xludf.DUMMYFUNCTION("""COMPUTED_VALUE"""),"Lopata  ")</f>
        <v>Lopata  </v>
      </c>
      <c r="M565" s="65" t="str">
        <f>IFERROR(__xludf.DUMMYFUNCTION("""COMPUTED_VALUE"""),"3124-a")</f>
        <v>3124-a</v>
      </c>
      <c r="N565" s="65"/>
      <c r="O565" s="65"/>
      <c r="P565" s="65" t="b">
        <f>COUNTIF('Delivered SIR'!A:A, E565) &gt; 0</f>
        <v>1</v>
      </c>
    </row>
    <row r="566">
      <c r="A566" s="99" t="str">
        <f>IFERROR(__xludf.DUMMYFUNCTION("""COMPUTED_VALUE"""),"https://utrucking.com/admin/orders/5948082061500")</f>
        <v>https://utrucking.com/admin/orders/5948082061500</v>
      </c>
      <c r="B566" s="61" t="str">
        <f>IFERROR(__xludf.DUMMYFUNCTION("""COMPUTED_VALUE"""),"#16447")</f>
        <v>#16447</v>
      </c>
      <c r="C566" s="61"/>
      <c r="D566" s="61">
        <f>IFERROR(__xludf.DUMMYFUNCTION("""COMPUTED_VALUE"""),5.512408068E9)</f>
        <v>5512408068</v>
      </c>
      <c r="E566" s="61" t="str">
        <f>IFERROR(__xludf.DUMMYFUNCTION("""COMPUTED_VALUE"""),"Gustavo Martinez")</f>
        <v>Gustavo Martinez</v>
      </c>
      <c r="F566" s="61" t="str">
        <f>IFERROR(__xludf.DUMMYFUNCTION("""COMPUTED_VALUE"""),"Gustavo Martinez ")</f>
        <v>Gustavo Martinez </v>
      </c>
      <c r="G566" s="61"/>
      <c r="H566" s="61" t="str">
        <f>IFERROR(__xludf.DUMMYFUNCTION("""COMPUTED_VALUE"""),"Storage Item Return")</f>
        <v>Storage Item Return</v>
      </c>
      <c r="I566" s="61" t="str">
        <f>IFERROR(__xludf.DUMMYFUNCTION("""COMPUTED_VALUE"""),"University Housing ")</f>
        <v>University Housing </v>
      </c>
      <c r="J566" s="107" t="str">
        <f>IFERROR(__xludf.DUMMYFUNCTION("""COMPUTED_VALUE"""),"09:00 AM to 11:00 AM   ")</f>
        <v>09:00 AM to 11:00 AM   </v>
      </c>
      <c r="K566" s="107">
        <f>IFERROR(__xludf.DUMMYFUNCTION("""COMPUTED_VALUE"""),45891.0)</f>
        <v>45891</v>
      </c>
      <c r="L566" s="61" t="str">
        <f>IFERROR(__xludf.DUMMYFUNCTION("""COMPUTED_VALUE"""),"Millbrook Bldg. 2  ")</f>
        <v>Millbrook Bldg. 2  </v>
      </c>
      <c r="M566" s="61" t="str">
        <f>IFERROR(__xludf.DUMMYFUNCTION("""COMPUTED_VALUE"""),"106C - a")</f>
        <v>106C - a</v>
      </c>
      <c r="N566" s="61"/>
      <c r="O566" s="61"/>
      <c r="P566" s="61" t="b">
        <f>COUNTIF('Delivered SIR'!A:A, E566) &gt; 0</f>
        <v>0</v>
      </c>
    </row>
    <row r="567">
      <c r="A567" s="102" t="str">
        <f>IFERROR(__xludf.DUMMYFUNCTION("""COMPUTED_VALUE"""),"https://utrucking.com/admin/orders/5948096184508")</f>
        <v>https://utrucking.com/admin/orders/5948096184508</v>
      </c>
      <c r="B567" s="65" t="str">
        <f>IFERROR(__xludf.DUMMYFUNCTION("""COMPUTED_VALUE"""),"#16448")</f>
        <v>#16448</v>
      </c>
      <c r="C567" s="65" t="str">
        <f>IFERROR(__xludf.DUMMYFUNCTION("""COMPUTED_VALUE"""),"shibani.sain@gmail.com")</f>
        <v>shibani.sain@gmail.com</v>
      </c>
      <c r="D567" s="65">
        <f>IFERROR(__xludf.DUMMYFUNCTION("""COMPUTED_VALUE"""),8.572049908E9)</f>
        <v>8572049908</v>
      </c>
      <c r="E567" s="65" t="str">
        <f>IFERROR(__xludf.DUMMYFUNCTION("""COMPUTED_VALUE"""),"Shibani Sain Rao")</f>
        <v>Shibani Sain Rao</v>
      </c>
      <c r="F567" s="65" t="str">
        <f>IFERROR(__xludf.DUMMYFUNCTION("""COMPUTED_VALUE"""),"Anya rao ")</f>
        <v>Anya rao </v>
      </c>
      <c r="G567" s="65" t="str">
        <f>IFERROR(__xludf.DUMMYFUNCTION("""COMPUTED_VALUE"""),"7116 Forsyth blvd, unit 2W")</f>
        <v>7116 Forsyth blvd, unit 2W</v>
      </c>
      <c r="H567" s="65" t="str">
        <f>IFERROR(__xludf.DUMMYFUNCTION("""COMPUTED_VALUE"""),"Storage Item Return")</f>
        <v>Storage Item Return</v>
      </c>
      <c r="I567" s="65" t="str">
        <f>IFERROR(__xludf.DUMMYFUNCTION("""COMPUTED_VALUE"""),"Non-University Housing ")</f>
        <v>Non-University Housing </v>
      </c>
      <c r="J567" s="108" t="str">
        <f>IFERROR(__xludf.DUMMYFUNCTION("""COMPUTED_VALUE"""),"09:00 AM to 11:00 AM   ")</f>
        <v>09:00 AM to 11:00 AM   </v>
      </c>
      <c r="K567" s="108">
        <f>IFERROR(__xludf.DUMMYFUNCTION("""COMPUTED_VALUE"""),45890.0)</f>
        <v>45890</v>
      </c>
      <c r="L567" s="65"/>
      <c r="M567" s="65"/>
      <c r="N567" s="65" t="str">
        <f>IFERROR(__xludf.DUMMYFUNCTION("""COMPUTED_VALUE"""),"7116 Forsyth blvd, unit 2W")</f>
        <v>7116 Forsyth blvd, unit 2W</v>
      </c>
      <c r="O567" s="65"/>
      <c r="P567" s="65" t="b">
        <f>COUNTIF('Delivered SIR'!A:A, E567) &gt; 0</f>
        <v>0</v>
      </c>
    </row>
    <row r="568">
      <c r="A568" s="99" t="str">
        <f>IFERROR(__xludf.DUMMYFUNCTION("""COMPUTED_VALUE"""),"https://utrucking.com/admin/orders/5948118597820")</f>
        <v>https://utrucking.com/admin/orders/5948118597820</v>
      </c>
      <c r="B568" s="61" t="str">
        <f>IFERROR(__xludf.DUMMYFUNCTION("""COMPUTED_VALUE"""),"#16449")</f>
        <v>#16449</v>
      </c>
      <c r="C568" s="61"/>
      <c r="D568" s="61">
        <f>IFERROR(__xludf.DUMMYFUNCTION("""COMPUTED_VALUE"""),3.149040326E9)</f>
        <v>3149040326</v>
      </c>
      <c r="E568" s="61" t="str">
        <f>IFERROR(__xludf.DUMMYFUNCTION("""COMPUTED_VALUE"""),"Raymond Hsin")</f>
        <v>Raymond Hsin</v>
      </c>
      <c r="F568" s="61" t="str">
        <f>IFERROR(__xludf.DUMMYFUNCTION("""COMPUTED_VALUE"""),"Raymond Hsin")</f>
        <v>Raymond Hsin</v>
      </c>
      <c r="G568" s="61"/>
      <c r="H568" s="61" t="str">
        <f>IFERROR(__xludf.DUMMYFUNCTION("""COMPUTED_VALUE"""),"Storage Item Return")</f>
        <v>Storage Item Return</v>
      </c>
      <c r="I568" s="61" t="str">
        <f>IFERROR(__xludf.DUMMYFUNCTION("""COMPUTED_VALUE"""),"University Housing ")</f>
        <v>University Housing </v>
      </c>
      <c r="J568" s="107" t="str">
        <f>IFERROR(__xludf.DUMMYFUNCTION("""COMPUTED_VALUE"""),"09:00 AM to 11:00 AM   ")</f>
        <v>09:00 AM to 11:00 AM   </v>
      </c>
      <c r="K568" s="107">
        <f>IFERROR(__xludf.DUMMYFUNCTION("""COMPUTED_VALUE"""),45891.0)</f>
        <v>45891</v>
      </c>
      <c r="L568" s="61" t="str">
        <f>IFERROR(__xludf.DUMMYFUNCTION("""COMPUTED_VALUE"""),"6627 University Drive  ")</f>
        <v>6627 University Drive  </v>
      </c>
      <c r="M568" s="61" t="str">
        <f>IFERROR(__xludf.DUMMYFUNCTION("""COMPUTED_VALUE"""),"1E-B - a")</f>
        <v>1E-B - a</v>
      </c>
      <c r="N568" s="61"/>
      <c r="O568" s="61"/>
      <c r="P568" s="61" t="b">
        <f>COUNTIF('Delivered SIR'!A:A, E568) &gt; 0</f>
        <v>1</v>
      </c>
    </row>
    <row r="569">
      <c r="A569" s="102" t="str">
        <f>IFERROR(__xludf.DUMMYFUNCTION("""COMPUTED_VALUE"""),"https://utrucking.com/admin/orders/5948122661052")</f>
        <v>https://utrucking.com/admin/orders/5948122661052</v>
      </c>
      <c r="B569" s="65" t="str">
        <f>IFERROR(__xludf.DUMMYFUNCTION("""COMPUTED_VALUE"""),"#16450")</f>
        <v>#16450</v>
      </c>
      <c r="C569" s="65" t="str">
        <f>IFERROR(__xludf.DUMMYFUNCTION("""COMPUTED_VALUE"""),"davidwkritzer@gmail.com")</f>
        <v>davidwkritzer@gmail.com</v>
      </c>
      <c r="D569" s="65">
        <f>IFERROR(__xludf.DUMMYFUNCTION("""COMPUTED_VALUE"""),5.163805E9)</f>
        <v>5163805000</v>
      </c>
      <c r="E569" s="65" t="str">
        <f>IFERROR(__xludf.DUMMYFUNCTION("""COMPUTED_VALUE"""),"David Kritzer")</f>
        <v>David Kritzer</v>
      </c>
      <c r="F569" s="65" t="str">
        <f>IFERROR(__xludf.DUMMYFUNCTION("""COMPUTED_VALUE"""),"David kritzer ")</f>
        <v>David kritzer </v>
      </c>
      <c r="G569" s="65" t="str">
        <f>IFERROR(__xludf.DUMMYFUNCTION("""COMPUTED_VALUE"""),"7019 Northmoor Dr
Saint Louis, MO  63105
United States")</f>
        <v>7019 Northmoor Dr
Saint Louis, MO  63105
United States</v>
      </c>
      <c r="H569" s="65" t="str">
        <f>IFERROR(__xludf.DUMMYFUNCTION("""COMPUTED_VALUE"""),"Storage Item Return")</f>
        <v>Storage Item Return</v>
      </c>
      <c r="I569" s="65" t="str">
        <f>IFERROR(__xludf.DUMMYFUNCTION("""COMPUTED_VALUE"""),"Non-University Housing ")</f>
        <v>Non-University Housing </v>
      </c>
      <c r="J569" s="108" t="str">
        <f>IFERROR(__xludf.DUMMYFUNCTION("""COMPUTED_VALUE"""),"12:00 PM to 02:00 PM   ")</f>
        <v>12:00 PM to 02:00 PM   </v>
      </c>
      <c r="K569" s="108">
        <f>IFERROR(__xludf.DUMMYFUNCTION("""COMPUTED_VALUE"""),45891.0)</f>
        <v>45891</v>
      </c>
      <c r="L569" s="65"/>
      <c r="M569" s="65"/>
      <c r="N569" s="65" t="str">
        <f>IFERROR(__xludf.DUMMYFUNCTION("""COMPUTED_VALUE"""),"7019 Northmoor Dr
Saint Louis, MO  63105
United States")</f>
        <v>7019 Northmoor Dr
Saint Louis, MO  63105
United States</v>
      </c>
      <c r="O569" s="65"/>
      <c r="P569" s="65" t="b">
        <f>COUNTIF('Delivered SIR'!A:A, E569) &gt; 0</f>
        <v>0</v>
      </c>
    </row>
    <row r="570">
      <c r="A570" s="99" t="str">
        <f>IFERROR(__xludf.DUMMYFUNCTION("""COMPUTED_VALUE"""),"https://utrucking.com/admin/orders/5948124856508")</f>
        <v>https://utrucking.com/admin/orders/5948124856508</v>
      </c>
      <c r="B570" s="61" t="str">
        <f>IFERROR(__xludf.DUMMYFUNCTION("""COMPUTED_VALUE"""),"#16451")</f>
        <v>#16451</v>
      </c>
      <c r="C570" s="61" t="str">
        <f>IFERROR(__xludf.DUMMYFUNCTION("""COMPUTED_VALUE"""),"s.m.schaefer@wustl.edu")</f>
        <v>s.m.schaefer@wustl.edu</v>
      </c>
      <c r="D570" s="61">
        <f>IFERROR(__xludf.DUMMYFUNCTION("""COMPUTED_VALUE"""),2.404057896E9)</f>
        <v>2404057896</v>
      </c>
      <c r="E570" s="61" t="str">
        <f>IFERROR(__xludf.DUMMYFUNCTION("""COMPUTED_VALUE"""),"Christopher Schaefer")</f>
        <v>Christopher Schaefer</v>
      </c>
      <c r="F570" s="61" t="str">
        <f>IFERROR(__xludf.DUMMYFUNCTION("""COMPUTED_VALUE"""),"Sean Schaefer")</f>
        <v>Sean Schaefer</v>
      </c>
      <c r="G570" s="61" t="str">
        <f>IFERROR(__xludf.DUMMYFUNCTION("""COMPUTED_VALUE"""),"611 Westgate ave., #E, St. Louis, MO, 63130")</f>
        <v>611 Westgate ave., #E, St. Louis, MO, 63130</v>
      </c>
      <c r="H570" s="61" t="str">
        <f>IFERROR(__xludf.DUMMYFUNCTION("""COMPUTED_VALUE"""),"Storage Item Return")</f>
        <v>Storage Item Return</v>
      </c>
      <c r="I570" s="61" t="str">
        <f>IFERROR(__xludf.DUMMYFUNCTION("""COMPUTED_VALUE"""),"Non-University Housing ")</f>
        <v>Non-University Housing </v>
      </c>
      <c r="J570" s="107" t="str">
        <f>IFERROR(__xludf.DUMMYFUNCTION("""COMPUTED_VALUE"""),"12:00 PM to 02:00 PM   ")</f>
        <v>12:00 PM to 02:00 PM   </v>
      </c>
      <c r="K570" s="107">
        <f>IFERROR(__xludf.DUMMYFUNCTION("""COMPUTED_VALUE"""),45891.0)</f>
        <v>45891</v>
      </c>
      <c r="L570" s="61"/>
      <c r="M570" s="61"/>
      <c r="N570" s="61" t="str">
        <f>IFERROR(__xludf.DUMMYFUNCTION("""COMPUTED_VALUE"""),"611 Westgate ave., #E, St. Louis, MO, 63130")</f>
        <v>611 Westgate ave., #E, St. Louis, MO, 63130</v>
      </c>
      <c r="O570" s="61"/>
      <c r="P570" s="61" t="b">
        <f>COUNTIF('Delivered SIR'!A:A, E570) &gt; 0</f>
        <v>0</v>
      </c>
    </row>
    <row r="571">
      <c r="A571" s="102" t="str">
        <f>IFERROR(__xludf.DUMMYFUNCTION("""COMPUTED_VALUE"""),"https://utrucking.com/admin/orders/5948208054460")</f>
        <v>https://utrucking.com/admin/orders/5948208054460</v>
      </c>
      <c r="B571" s="65" t="str">
        <f>IFERROR(__xludf.DUMMYFUNCTION("""COMPUTED_VALUE"""),"#16453")</f>
        <v>#16453</v>
      </c>
      <c r="C571" s="65" t="str">
        <f>IFERROR(__xludf.DUMMYFUNCTION("""COMPUTED_VALUE"""),"jin288706@gmail.com")</f>
        <v>jin288706@gmail.com</v>
      </c>
      <c r="D571" s="65">
        <f>IFERROR(__xludf.DUMMYFUNCTION("""COMPUTED_VALUE"""),1.6264658599E10)</f>
        <v>16264658599</v>
      </c>
      <c r="E571" s="65" t="str">
        <f>IFERROR(__xludf.DUMMYFUNCTION("""COMPUTED_VALUE"""),"Jinzhang Song")</f>
        <v>Jinzhang Song</v>
      </c>
      <c r="F571" s="65" t="str">
        <f>IFERROR(__xludf.DUMMYFUNCTION("""COMPUTED_VALUE"""),"Jinzhang Song")</f>
        <v>Jinzhang Song</v>
      </c>
      <c r="G571" s="65"/>
      <c r="H571" s="65" t="str">
        <f>IFERROR(__xludf.DUMMYFUNCTION("""COMPUTED_VALUE"""),"Storage Item Return")</f>
        <v>Storage Item Return</v>
      </c>
      <c r="I571" s="65" t="str">
        <f>IFERROR(__xludf.DUMMYFUNCTION("""COMPUTED_VALUE"""),"University Housing ")</f>
        <v>University Housing </v>
      </c>
      <c r="J571" s="108" t="str">
        <f>IFERROR(__xludf.DUMMYFUNCTION("""COMPUTED_VALUE"""),"12:00 PM to 02:00 PM   ")</f>
        <v>12:00 PM to 02:00 PM   </v>
      </c>
      <c r="K571" s="108">
        <f>IFERROR(__xludf.DUMMYFUNCTION("""COMPUTED_VALUE"""),45892.0)</f>
        <v>45892</v>
      </c>
      <c r="L571" s="65" t="str">
        <f>IFERROR(__xludf.DUMMYFUNCTION("""COMPUTED_VALUE"""),"Lopata  ")</f>
        <v>Lopata  </v>
      </c>
      <c r="M571" s="65" t="str">
        <f>IFERROR(__xludf.DUMMYFUNCTION("""COMPUTED_VALUE"""),"1140 - a")</f>
        <v>1140 - a</v>
      </c>
      <c r="N571" s="65"/>
      <c r="O571" s="65"/>
      <c r="P571" s="65" t="b">
        <f>COUNTIF('Delivered SIR'!A:A, E571) &gt; 0</f>
        <v>1</v>
      </c>
    </row>
    <row r="572">
      <c r="A572" s="99" t="str">
        <f>IFERROR(__xludf.DUMMYFUNCTION("""COMPUTED_VALUE"""),"https://utrucking.com/admin/orders/5948214640828")</f>
        <v>https://utrucking.com/admin/orders/5948214640828</v>
      </c>
      <c r="B572" s="61" t="str">
        <f>IFERROR(__xludf.DUMMYFUNCTION("""COMPUTED_VALUE"""),"#16454")</f>
        <v>#16454</v>
      </c>
      <c r="C572" s="61"/>
      <c r="D572" s="61">
        <f>IFERROR(__xludf.DUMMYFUNCTION("""COMPUTED_VALUE"""),3.143376999E9)</f>
        <v>3143376999</v>
      </c>
      <c r="E572" s="61" t="str">
        <f>IFERROR(__xludf.DUMMYFUNCTION("""COMPUTED_VALUE"""),"Adriana Sanchez")</f>
        <v>Adriana Sanchez</v>
      </c>
      <c r="F572" s="61" t="str">
        <f>IFERROR(__xludf.DUMMYFUNCTION("""COMPUTED_VALUE"""),"Adriana Sanchez")</f>
        <v>Adriana Sanchez</v>
      </c>
      <c r="G572" s="61"/>
      <c r="H572" s="61" t="str">
        <f>IFERROR(__xludf.DUMMYFUNCTION("""COMPUTED_VALUE"""),"Storage Item Return")</f>
        <v>Storage Item Return</v>
      </c>
      <c r="I572" s="61" t="str">
        <f>IFERROR(__xludf.DUMMYFUNCTION("""COMPUTED_VALUE"""),"University Housing ")</f>
        <v>University Housing </v>
      </c>
      <c r="J572" s="107" t="str">
        <f>IFERROR(__xludf.DUMMYFUNCTION("""COMPUTED_VALUE"""),"09:00 AM to 11:00 AM   ")</f>
        <v>09:00 AM to 11:00 AM   </v>
      </c>
      <c r="K572" s="107">
        <f>IFERROR(__xludf.DUMMYFUNCTION("""COMPUTED_VALUE"""),45891.0)</f>
        <v>45891</v>
      </c>
      <c r="L572" s="61" t="str">
        <f>IFERROR(__xludf.DUMMYFUNCTION("""COMPUTED_VALUE"""),"Greenway Apartments  ")</f>
        <v>Greenway Apartments  </v>
      </c>
      <c r="M572" s="61" t="str">
        <f>IFERROR(__xludf.DUMMYFUNCTION("""COMPUTED_VALUE"""),"303-A")</f>
        <v>303-A</v>
      </c>
      <c r="N572" s="61"/>
      <c r="O572" s="61"/>
      <c r="P572" s="61" t="b">
        <f>COUNTIF('Delivered SIR'!A:A, E572) &gt; 0</f>
        <v>1</v>
      </c>
    </row>
    <row r="573">
      <c r="A573" s="102" t="str">
        <f>IFERROR(__xludf.DUMMYFUNCTION("""COMPUTED_VALUE"""),"https://utrucking.com/admin/orders/5948228436156")</f>
        <v>https://utrucking.com/admin/orders/5948228436156</v>
      </c>
      <c r="B573" s="65" t="str">
        <f>IFERROR(__xludf.DUMMYFUNCTION("""COMPUTED_VALUE"""),"#16455")</f>
        <v>#16455</v>
      </c>
      <c r="C573" s="65"/>
      <c r="D573" s="65">
        <f>IFERROR(__xludf.DUMMYFUNCTION("""COMPUTED_VALUE"""),9.01545952E9)</f>
        <v>9015459520</v>
      </c>
      <c r="E573" s="65" t="str">
        <f>IFERROR(__xludf.DUMMYFUNCTION("""COMPUTED_VALUE"""),"Julian Nguyen")</f>
        <v>Julian Nguyen</v>
      </c>
      <c r="F573" s="65" t="str">
        <f>IFERROR(__xludf.DUMMYFUNCTION("""COMPUTED_VALUE"""),"Darlene Nguyen ")</f>
        <v>Darlene Nguyen </v>
      </c>
      <c r="G573" s="65"/>
      <c r="H573" s="65" t="str">
        <f>IFERROR(__xludf.DUMMYFUNCTION("""COMPUTED_VALUE"""),"Storage Item Return")</f>
        <v>Storage Item Return</v>
      </c>
      <c r="I573" s="65" t="str">
        <f>IFERROR(__xludf.DUMMYFUNCTION("""COMPUTED_VALUE"""),"University Housing ")</f>
        <v>University Housing </v>
      </c>
      <c r="J573" s="108" t="str">
        <f>IFERROR(__xludf.DUMMYFUNCTION("""COMPUTED_VALUE"""),"09:00 AM to 11:00 AM   ")</f>
        <v>09:00 AM to 11:00 AM   </v>
      </c>
      <c r="K573" s="108">
        <f>IFERROR(__xludf.DUMMYFUNCTION("""COMPUTED_VALUE"""),45891.0)</f>
        <v>45891</v>
      </c>
      <c r="L573" s="65" t="str">
        <f>IFERROR(__xludf.DUMMYFUNCTION("""COMPUTED_VALUE"""),"Liggett  ")</f>
        <v>Liggett  </v>
      </c>
      <c r="M573" s="65" t="str">
        <f>IFERROR(__xludf.DUMMYFUNCTION("""COMPUTED_VALUE"""),"4464")</f>
        <v>4464</v>
      </c>
      <c r="N573" s="65"/>
      <c r="O573" s="65"/>
      <c r="P573" s="65" t="b">
        <f>COUNTIF('Delivered SIR'!A:A, E573) &gt; 0</f>
        <v>0</v>
      </c>
    </row>
    <row r="574">
      <c r="A574" s="99" t="str">
        <f>IFERROR(__xludf.DUMMYFUNCTION("""COMPUTED_VALUE"""),"https://utrucking.com/admin/orders/5948480880828")</f>
        <v>https://utrucking.com/admin/orders/5948480880828</v>
      </c>
      <c r="B574" s="61" t="str">
        <f>IFERROR(__xludf.DUMMYFUNCTION("""COMPUTED_VALUE"""),"#16458")</f>
        <v>#16458</v>
      </c>
      <c r="C574" s="61" t="str">
        <f>IFERROR(__xludf.DUMMYFUNCTION("""COMPUTED_VALUE"""),"asher.l@wustl.edu")</f>
        <v>asher.l@wustl.edu</v>
      </c>
      <c r="D574" s="61">
        <f>IFERROR(__xludf.DUMMYFUNCTION("""COMPUTED_VALUE"""),2.677083492E9)</f>
        <v>2677083492</v>
      </c>
      <c r="E574" s="61" t="str">
        <f>IFERROR(__xludf.DUMMYFUNCTION("""COMPUTED_VALUE"""),"Juneseo Lee")</f>
        <v>Juneseo Lee</v>
      </c>
      <c r="F574" s="61" t="str">
        <f>IFERROR(__xludf.DUMMYFUNCTION("""COMPUTED_VALUE"""),"Asher Lee")</f>
        <v>Asher Lee</v>
      </c>
      <c r="G574" s="61"/>
      <c r="H574" s="61" t="str">
        <f>IFERROR(__xludf.DUMMYFUNCTION("""COMPUTED_VALUE"""),"Storage Item Return")</f>
        <v>Storage Item Return</v>
      </c>
      <c r="I574" s="61" t="str">
        <f>IFERROR(__xludf.DUMMYFUNCTION("""COMPUTED_VALUE"""),"University Housing ")</f>
        <v>University Housing </v>
      </c>
      <c r="J574" s="107" t="str">
        <f>IFERROR(__xludf.DUMMYFUNCTION("""COMPUTED_VALUE"""),"09:00 AM to 11:00 AM   ")</f>
        <v>09:00 AM to 11:00 AM   </v>
      </c>
      <c r="K574" s="107">
        <f>IFERROR(__xludf.DUMMYFUNCTION("""COMPUTED_VALUE"""),45891.0)</f>
        <v>45891</v>
      </c>
      <c r="L574" s="61" t="str">
        <f>IFERROR(__xludf.DUMMYFUNCTION("""COMPUTED_VALUE"""),"346 Rosedale Ave")</f>
        <v>346 Rosedale Ave</v>
      </c>
      <c r="M574" s="61" t="str">
        <f>IFERROR(__xludf.DUMMYFUNCTION("""COMPUTED_VALUE"""),"Rosedale (346) - 2N-B - a")</f>
        <v>Rosedale (346) - 2N-B - a</v>
      </c>
      <c r="N574" s="61"/>
      <c r="O574" s="61"/>
      <c r="P574" s="61" t="b">
        <f>COUNTIF('Delivered SIR'!A:A, E574) &gt; 0</f>
        <v>0</v>
      </c>
    </row>
    <row r="575">
      <c r="A575" s="102" t="str">
        <f>IFERROR(__xludf.DUMMYFUNCTION("""COMPUTED_VALUE"""),"https://utrucking.com/admin/orders/5948494315708")</f>
        <v>https://utrucking.com/admin/orders/5948494315708</v>
      </c>
      <c r="B575" s="65" t="str">
        <f>IFERROR(__xludf.DUMMYFUNCTION("""COMPUTED_VALUE"""),"#16459")</f>
        <v>#16459</v>
      </c>
      <c r="C575" s="65" t="str">
        <f>IFERROR(__xludf.DUMMYFUNCTION("""COMPUTED_VALUE"""),"caitkyuen@gmail.com")</f>
        <v>caitkyuen@gmail.com</v>
      </c>
      <c r="D575" s="65">
        <f>IFERROR(__xludf.DUMMYFUNCTION("""COMPUTED_VALUE"""),8.084892869E9)</f>
        <v>8084892869</v>
      </c>
      <c r="E575" s="65" t="str">
        <f>IFERROR(__xludf.DUMMYFUNCTION("""COMPUTED_VALUE"""),"Caitlin Yuen")</f>
        <v>Caitlin Yuen</v>
      </c>
      <c r="F575" s="65" t="str">
        <f>IFERROR(__xludf.DUMMYFUNCTION("""COMPUTED_VALUE"""),"Caitlin Yuen")</f>
        <v>Caitlin Yuen</v>
      </c>
      <c r="G575" s="65" t="str">
        <f>IFERROR(__xludf.DUMMYFUNCTION("""COMPUTED_VALUE"""),"665 S Skinker Blvd, Saint Louis, MO 63105
APT 05D")</f>
        <v>665 S Skinker Blvd, Saint Louis, MO 63105
APT 05D</v>
      </c>
      <c r="H575" s="65" t="str">
        <f>IFERROR(__xludf.DUMMYFUNCTION("""COMPUTED_VALUE"""),"Storage Item Return")</f>
        <v>Storage Item Return</v>
      </c>
      <c r="I575" s="65" t="str">
        <f>IFERROR(__xludf.DUMMYFUNCTION("""COMPUTED_VALUE"""),"Non-University Housing ")</f>
        <v>Non-University Housing </v>
      </c>
      <c r="J575" s="108" t="str">
        <f>IFERROR(__xludf.DUMMYFUNCTION("""COMPUTED_VALUE"""),"09:00 AM to 11:00 AM   ")</f>
        <v>09:00 AM to 11:00 AM   </v>
      </c>
      <c r="K575" s="108">
        <f>IFERROR(__xludf.DUMMYFUNCTION("""COMPUTED_VALUE"""),45891.0)</f>
        <v>45891</v>
      </c>
      <c r="L575" s="65"/>
      <c r="M575" s="65"/>
      <c r="N575" s="65" t="str">
        <f>IFERROR(__xludf.DUMMYFUNCTION("""COMPUTED_VALUE"""),"665 S Skinker Blvd, Saint Louis, MO 63105
APT 05D")</f>
        <v>665 S Skinker Blvd, Saint Louis, MO 63105
APT 05D</v>
      </c>
      <c r="O575" s="65"/>
      <c r="P575" s="65" t="b">
        <f>COUNTIF('Delivered SIR'!A:A, E575) &gt; 0</f>
        <v>0</v>
      </c>
    </row>
    <row r="576">
      <c r="A576" s="99" t="str">
        <f>IFERROR(__xludf.DUMMYFUNCTION("""COMPUTED_VALUE"""),"https://utrucking.com/admin/orders/5948521283772")</f>
        <v>https://utrucking.com/admin/orders/5948521283772</v>
      </c>
      <c r="B576" s="61" t="str">
        <f>IFERROR(__xludf.DUMMYFUNCTION("""COMPUTED_VALUE"""),"#16460")</f>
        <v>#16460</v>
      </c>
      <c r="C576" s="61" t="str">
        <f>IFERROR(__xludf.DUMMYFUNCTION("""COMPUTED_VALUE"""),"roxana.4518@gmail.com")</f>
        <v>roxana.4518@gmail.com</v>
      </c>
      <c r="D576" s="61">
        <f>IFERROR(__xludf.DUMMYFUNCTION("""COMPUTED_VALUE"""),6.178609851E9)</f>
        <v>6178609851</v>
      </c>
      <c r="E576" s="61" t="str">
        <f>IFERROR(__xludf.DUMMYFUNCTION("""COMPUTED_VALUE"""),"Roxana Portillo")</f>
        <v>Roxana Portillo</v>
      </c>
      <c r="F576" s="61" t="str">
        <f>IFERROR(__xludf.DUMMYFUNCTION("""COMPUTED_VALUE"""),"Roxana Portillo")</f>
        <v>Roxana Portillo</v>
      </c>
      <c r="G576" s="61"/>
      <c r="H576" s="61" t="str">
        <f>IFERROR(__xludf.DUMMYFUNCTION("""COMPUTED_VALUE"""),"Storage Item Return")</f>
        <v>Storage Item Return</v>
      </c>
      <c r="I576" s="61" t="str">
        <f>IFERROR(__xludf.DUMMYFUNCTION("""COMPUTED_VALUE"""),"University Housing ")</f>
        <v>University Housing </v>
      </c>
      <c r="J576" s="107" t="str">
        <f>IFERROR(__xludf.DUMMYFUNCTION("""COMPUTED_VALUE"""),"09:00 AM to 11:00 AM   ")</f>
        <v>09:00 AM to 11:00 AM   </v>
      </c>
      <c r="K576" s="107">
        <f>IFERROR(__xludf.DUMMYFUNCTION("""COMPUTED_VALUE"""),45891.0)</f>
        <v>45891</v>
      </c>
      <c r="L576" s="61" t="str">
        <f>IFERROR(__xludf.DUMMYFUNCTION("""COMPUTED_VALUE"""),"Greenway Apartments  ")</f>
        <v>Greenway Apartments  </v>
      </c>
      <c r="M576" s="61" t="str">
        <f>IFERROR(__xludf.DUMMYFUNCTION("""COMPUTED_VALUE"""),"303")</f>
        <v>303</v>
      </c>
      <c r="N576" s="61"/>
      <c r="O576" s="61"/>
      <c r="P576" s="61" t="b">
        <f>COUNTIF('Delivered SIR'!A:A, E576) &gt; 0</f>
        <v>1</v>
      </c>
    </row>
    <row r="577">
      <c r="A577" s="102" t="str">
        <f>IFERROR(__xludf.DUMMYFUNCTION("""COMPUTED_VALUE"""),"https://utrucking.com/admin/orders/5948586066108")</f>
        <v>https://utrucking.com/admin/orders/5948586066108</v>
      </c>
      <c r="B577" s="65" t="str">
        <f>IFERROR(__xludf.DUMMYFUNCTION("""COMPUTED_VALUE"""),"#16462")</f>
        <v>#16462</v>
      </c>
      <c r="C577" s="65" t="str">
        <f>IFERROR(__xludf.DUMMYFUNCTION("""COMPUTED_VALUE"""),"m.sabatine@wustl.edu")</f>
        <v>m.sabatine@wustl.edu</v>
      </c>
      <c r="D577" s="65">
        <f>IFERROR(__xludf.DUMMYFUNCTION("""COMPUTED_VALUE"""),6.175646314E9)</f>
        <v>6175646314</v>
      </c>
      <c r="E577" s="65" t="str">
        <f>IFERROR(__xludf.DUMMYFUNCTION("""COMPUTED_VALUE"""),"Matteo Sabatine")</f>
        <v>Matteo Sabatine</v>
      </c>
      <c r="F577" s="65" t="str">
        <f>IFERROR(__xludf.DUMMYFUNCTION("""COMPUTED_VALUE"""),"Matteo Sabatine")</f>
        <v>Matteo Sabatine</v>
      </c>
      <c r="G577" s="65"/>
      <c r="H577" s="65" t="str">
        <f>IFERROR(__xludf.DUMMYFUNCTION("""COMPUTED_VALUE"""),"Storage Item Return")</f>
        <v>Storage Item Return</v>
      </c>
      <c r="I577" s="65" t="str">
        <f>IFERROR(__xludf.DUMMYFUNCTION("""COMPUTED_VALUE"""),"University Housing ")</f>
        <v>University Housing </v>
      </c>
      <c r="J577" s="108" t="str">
        <f>IFERROR(__xludf.DUMMYFUNCTION("""COMPUTED_VALUE"""),"11:00 AM to 01:00 PM   ")</f>
        <v>11:00 AM to 01:00 PM   </v>
      </c>
      <c r="K577" s="108">
        <f>IFERROR(__xludf.DUMMYFUNCTION("""COMPUTED_VALUE"""),45891.0)</f>
        <v>45891</v>
      </c>
      <c r="L577" s="65" t="str">
        <f>IFERROR(__xludf.DUMMYFUNCTION("""COMPUTED_VALUE"""),"Nemerov  ")</f>
        <v>Nemerov  </v>
      </c>
      <c r="M577" s="65" t="str">
        <f>IFERROR(__xludf.DUMMYFUNCTION("""COMPUTED_VALUE"""),"2094")</f>
        <v>2094</v>
      </c>
      <c r="N577" s="65"/>
      <c r="O577" s="65"/>
      <c r="P577" s="65" t="b">
        <f>COUNTIF('Delivered SIR'!A:A, E577) &gt; 0</f>
        <v>0</v>
      </c>
    </row>
    <row r="578">
      <c r="A578" s="99" t="str">
        <f>IFERROR(__xludf.DUMMYFUNCTION("""COMPUTED_VALUE"""),"https://utrucking.com/admin/orders/5948593995964")</f>
        <v>https://utrucking.com/admin/orders/5948593995964</v>
      </c>
      <c r="B578" s="61" t="str">
        <f>IFERROR(__xludf.DUMMYFUNCTION("""COMPUTED_VALUE"""),"#16463")</f>
        <v>#16463</v>
      </c>
      <c r="C578" s="61"/>
      <c r="D578" s="61">
        <f>IFERROR(__xludf.DUMMYFUNCTION("""COMPUTED_VALUE"""),2.158375659E9)</f>
        <v>2158375659</v>
      </c>
      <c r="E578" s="61" t="str">
        <f>IFERROR(__xludf.DUMMYFUNCTION("""COMPUTED_VALUE"""),"Joshua Freeman")</f>
        <v>Joshua Freeman</v>
      </c>
      <c r="F578" s="61" t="str">
        <f>IFERROR(__xludf.DUMMYFUNCTION("""COMPUTED_VALUE"""),"Joshua Freeman")</f>
        <v>Joshua Freeman</v>
      </c>
      <c r="G578" s="61"/>
      <c r="H578" s="61" t="str">
        <f>IFERROR(__xludf.DUMMYFUNCTION("""COMPUTED_VALUE"""),"Storage Item Return")</f>
        <v>Storage Item Return</v>
      </c>
      <c r="I578" s="61" t="str">
        <f>IFERROR(__xludf.DUMMYFUNCTION("""COMPUTED_VALUE"""),"University Housing ")</f>
        <v>University Housing </v>
      </c>
      <c r="J578" s="107" t="str">
        <f>IFERROR(__xludf.DUMMYFUNCTION("""COMPUTED_VALUE"""),"09:00 AM to 11:00 AM   ")</f>
        <v>09:00 AM to 11:00 AM   </v>
      </c>
      <c r="K578" s="107">
        <f>IFERROR(__xludf.DUMMYFUNCTION("""COMPUTED_VALUE"""),45891.0)</f>
        <v>45891</v>
      </c>
      <c r="L578" s="61" t="str">
        <f>IFERROR(__xludf.DUMMYFUNCTION("""COMPUTED_VALUE"""),"Lopata  ")</f>
        <v>Lopata  </v>
      </c>
      <c r="M578" s="61" t="str">
        <f>IFERROR(__xludf.DUMMYFUNCTION("""COMPUTED_VALUE"""),"1041")</f>
        <v>1041</v>
      </c>
      <c r="N578" s="61"/>
      <c r="O578" s="61"/>
      <c r="P578" s="61" t="b">
        <f>COUNTIF('Delivered SIR'!A:A, E578) &gt; 0</f>
        <v>1</v>
      </c>
    </row>
    <row r="579">
      <c r="A579" s="102" t="str">
        <f>IFERROR(__xludf.DUMMYFUNCTION("""COMPUTED_VALUE"""),"https://utrucking.com/admin/orders/5948603334844")</f>
        <v>https://utrucking.com/admin/orders/5948603334844</v>
      </c>
      <c r="B579" s="65" t="str">
        <f>IFERROR(__xludf.DUMMYFUNCTION("""COMPUTED_VALUE"""),"#16464")</f>
        <v>#16464</v>
      </c>
      <c r="C579" s="65" t="str">
        <f>IFERROR(__xludf.DUMMYFUNCTION("""COMPUTED_VALUE"""),"yaelmargolis@outlook.com")</f>
        <v>yaelmargolis@outlook.com</v>
      </c>
      <c r="D579" s="65">
        <f>IFERROR(__xludf.DUMMYFUNCTION("""COMPUTED_VALUE"""),6.177313181E9)</f>
        <v>6177313181</v>
      </c>
      <c r="E579" s="65" t="str">
        <f>IFERROR(__xludf.DUMMYFUNCTION("""COMPUTED_VALUE"""),"Yael Margolis")</f>
        <v>Yael Margolis</v>
      </c>
      <c r="F579" s="65" t="str">
        <f>IFERROR(__xludf.DUMMYFUNCTION("""COMPUTED_VALUE"""),"Yael Margolis")</f>
        <v>Yael Margolis</v>
      </c>
      <c r="G579" s="65"/>
      <c r="H579" s="65" t="str">
        <f>IFERROR(__xludf.DUMMYFUNCTION("""COMPUTED_VALUE"""),"Storage Item Return")</f>
        <v>Storage Item Return</v>
      </c>
      <c r="I579" s="65" t="str">
        <f>IFERROR(__xludf.DUMMYFUNCTION("""COMPUTED_VALUE"""),"University Housing ")</f>
        <v>University Housing </v>
      </c>
      <c r="J579" s="108" t="str">
        <f>IFERROR(__xludf.DUMMYFUNCTION("""COMPUTED_VALUE"""),"09:00 AM to 11:00 AM   ")</f>
        <v>09:00 AM to 11:00 AM   </v>
      </c>
      <c r="K579" s="108">
        <f>IFERROR(__xludf.DUMMYFUNCTION("""COMPUTED_VALUE"""),45891.0)</f>
        <v>45891</v>
      </c>
      <c r="L579" s="65" t="str">
        <f>IFERROR(__xludf.DUMMYFUNCTION("""COMPUTED_VALUE"""),"Village East  ")</f>
        <v>Village East  </v>
      </c>
      <c r="M579" s="65" t="str">
        <f>IFERROR(__xludf.DUMMYFUNCTION("""COMPUTED_VALUE"""),"2111")</f>
        <v>2111</v>
      </c>
      <c r="N579" s="65"/>
      <c r="O579" s="65"/>
      <c r="P579" s="65" t="b">
        <f>COUNTIF('Delivered SIR'!A:A, E579) &gt; 0</f>
        <v>1</v>
      </c>
    </row>
    <row r="580">
      <c r="A580" s="99" t="str">
        <f>IFERROR(__xludf.DUMMYFUNCTION("""COMPUTED_VALUE"""),"https://utrucking.com/admin/orders/5948618080444")</f>
        <v>https://utrucking.com/admin/orders/5948618080444</v>
      </c>
      <c r="B580" s="61" t="str">
        <f>IFERROR(__xludf.DUMMYFUNCTION("""COMPUTED_VALUE"""),"#16465")</f>
        <v>#16465</v>
      </c>
      <c r="C580" s="61" t="str">
        <f>IFERROR(__xludf.DUMMYFUNCTION("""COMPUTED_VALUE"""),"emloma29@gmail.com")</f>
        <v>emloma29@gmail.com</v>
      </c>
      <c r="D580" s="61">
        <f>IFERROR(__xludf.DUMMYFUNCTION("""COMPUTED_VALUE"""),7.737035158E9)</f>
        <v>7737035158</v>
      </c>
      <c r="E580" s="61" t="str">
        <f>IFERROR(__xludf.DUMMYFUNCTION("""COMPUTED_VALUE"""),"Norma Loma")</f>
        <v>Norma Loma</v>
      </c>
      <c r="F580" s="61" t="str">
        <f>IFERROR(__xludf.DUMMYFUNCTION("""COMPUTED_VALUE"""),"Emily Loma")</f>
        <v>Emily Loma</v>
      </c>
      <c r="G580" s="61"/>
      <c r="H580" s="61" t="str">
        <f>IFERROR(__xludf.DUMMYFUNCTION("""COMPUTED_VALUE"""),"Storage Item Return")</f>
        <v>Storage Item Return</v>
      </c>
      <c r="I580" s="61" t="str">
        <f>IFERROR(__xludf.DUMMYFUNCTION("""COMPUTED_VALUE"""),"University Housing ")</f>
        <v>University Housing </v>
      </c>
      <c r="J580" s="107" t="str">
        <f>IFERROR(__xludf.DUMMYFUNCTION("""COMPUTED_VALUE"""),"01:00 PM to 03:00 PM   ")</f>
        <v>01:00 PM to 03:00 PM   </v>
      </c>
      <c r="K580" s="107">
        <f>IFERROR(__xludf.DUMMYFUNCTION("""COMPUTED_VALUE"""),45891.0)</f>
        <v>45891</v>
      </c>
      <c r="L580" s="61" t="str">
        <f>IFERROR(__xludf.DUMMYFUNCTION("""COMPUTED_VALUE"""),"Wheeler  ")</f>
        <v>Wheeler  </v>
      </c>
      <c r="M580" s="61" t="str">
        <f>IFERROR(__xludf.DUMMYFUNCTION("""COMPUTED_VALUE"""),"4111b")</f>
        <v>4111b</v>
      </c>
      <c r="N580" s="61"/>
      <c r="O580" s="61"/>
      <c r="P580" s="61" t="b">
        <f>COUNTIF('Delivered SIR'!A:A, E580) &gt; 0</f>
        <v>0</v>
      </c>
    </row>
    <row r="581">
      <c r="A581" s="102" t="str">
        <f>IFERROR(__xludf.DUMMYFUNCTION("""COMPUTED_VALUE"""),"https://utrucking.com/admin/orders/5949060546748")</f>
        <v>https://utrucking.com/admin/orders/5949060546748</v>
      </c>
      <c r="B581" s="65" t="str">
        <f>IFERROR(__xludf.DUMMYFUNCTION("""COMPUTED_VALUE"""),"#16469")</f>
        <v>#16469</v>
      </c>
      <c r="C581" s="65" t="str">
        <f>IFERROR(__xludf.DUMMYFUNCTION("""COMPUTED_VALUE"""),"chaehyun@wustl.edu")</f>
        <v>chaehyun@wustl.edu</v>
      </c>
      <c r="D581" s="65">
        <f>IFERROR(__xludf.DUMMYFUNCTION("""COMPUTED_VALUE"""),1.052825901E9)</f>
        <v>1052825901</v>
      </c>
      <c r="E581" s="65" t="str">
        <f>IFERROR(__xludf.DUMMYFUNCTION("""COMPUTED_VALUE"""),"Chaehyun Park")</f>
        <v>Chaehyun Park</v>
      </c>
      <c r="F581" s="65" t="str">
        <f>IFERROR(__xludf.DUMMYFUNCTION("""COMPUTED_VALUE"""),"Chaehyun Park")</f>
        <v>Chaehyun Park</v>
      </c>
      <c r="G581" s="65" t="str">
        <f>IFERROR(__xludf.DUMMYFUNCTION("""COMPUTED_VALUE"""),"6105 Delmar Blvd, St. Louis, MO 63112")</f>
        <v>6105 Delmar Blvd, St. Louis, MO 63112</v>
      </c>
      <c r="H581" s="65" t="str">
        <f>IFERROR(__xludf.DUMMYFUNCTION("""COMPUTED_VALUE"""),"Storage Item Return")</f>
        <v>Storage Item Return</v>
      </c>
      <c r="I581" s="65" t="str">
        <f>IFERROR(__xludf.DUMMYFUNCTION("""COMPUTED_VALUE"""),"Non-University Housing ")</f>
        <v>Non-University Housing </v>
      </c>
      <c r="J581" s="108" t="str">
        <f>IFERROR(__xludf.DUMMYFUNCTION("""COMPUTED_VALUE"""),"09:00 AM Sharp (Class at 10 AM)")</f>
        <v>09:00 AM Sharp (Class at 10 AM)</v>
      </c>
      <c r="K581" s="108">
        <f>IFERROR(__xludf.DUMMYFUNCTION("""COMPUTED_VALUE"""),45894.0)</f>
        <v>45894</v>
      </c>
      <c r="L581" s="65"/>
      <c r="M581" s="65"/>
      <c r="N581" s="65" t="str">
        <f>IFERROR(__xludf.DUMMYFUNCTION("""COMPUTED_VALUE"""),"6105 Delmar Blvd, St. Louis, MO 63112")</f>
        <v>6105 Delmar Blvd, St. Louis, MO 63112</v>
      </c>
      <c r="O581" s="65"/>
      <c r="P581" s="65" t="b">
        <f>COUNTIF('Delivered SIR'!A:A, E581) &gt; 0</f>
        <v>0</v>
      </c>
    </row>
    <row r="582">
      <c r="A582" s="99" t="str">
        <f>IFERROR(__xludf.DUMMYFUNCTION("""COMPUTED_VALUE"""),"https://utrucking.com/admin/orders/5949179527356")</f>
        <v>https://utrucking.com/admin/orders/5949179527356</v>
      </c>
      <c r="B582" s="61" t="str">
        <f>IFERROR(__xludf.DUMMYFUNCTION("""COMPUTED_VALUE"""),"#16470")</f>
        <v>#16470</v>
      </c>
      <c r="C582" s="61" t="str">
        <f>IFERROR(__xludf.DUMMYFUNCTION("""COMPUTED_VALUE"""),"valeriyamesquita12@gmail.com")</f>
        <v>valeriyamesquita12@gmail.com</v>
      </c>
      <c r="D582" s="61">
        <f>IFERROR(__xludf.DUMMYFUNCTION("""COMPUTED_VALUE"""),6.179992787E9)</f>
        <v>6179992787</v>
      </c>
      <c r="E582" s="61" t="str">
        <f>IFERROR(__xludf.DUMMYFUNCTION("""COMPUTED_VALUE"""),"Maya Rodriguez-Clark")</f>
        <v>Maya Rodriguez-Clark</v>
      </c>
      <c r="F582" s="61" t="str">
        <f>IFERROR(__xludf.DUMMYFUNCTION("""COMPUTED_VALUE"""),"Valeriya Mesquita")</f>
        <v>Valeriya Mesquita</v>
      </c>
      <c r="G582" s="61" t="str">
        <f>IFERROR(__xludf.DUMMYFUNCTION("""COMPUTED_VALUE"""),"6615 Kingsbury blvd apt 3E, University City MO, 63130")</f>
        <v>6615 Kingsbury blvd apt 3E, University City MO, 63130</v>
      </c>
      <c r="H582" s="61" t="str">
        <f>IFERROR(__xludf.DUMMYFUNCTION("""COMPUTED_VALUE"""),"Storage Item Return")</f>
        <v>Storage Item Return</v>
      </c>
      <c r="I582" s="61" t="str">
        <f>IFERROR(__xludf.DUMMYFUNCTION("""COMPUTED_VALUE"""),"Non-University Housing ")</f>
        <v>Non-University Housing </v>
      </c>
      <c r="J582" s="107" t="str">
        <f>IFERROR(__xludf.DUMMYFUNCTION("""COMPUTED_VALUE"""),"11:00 AM to 01:00 PM   ")</f>
        <v>11:00 AM to 01:00 PM   </v>
      </c>
      <c r="K582" s="107">
        <f>IFERROR(__xludf.DUMMYFUNCTION("""COMPUTED_VALUE"""),45891.0)</f>
        <v>45891</v>
      </c>
      <c r="L582" s="61"/>
      <c r="M582" s="61"/>
      <c r="N582" s="61" t="str">
        <f>IFERROR(__xludf.DUMMYFUNCTION("""COMPUTED_VALUE"""),"6615 Kingsbury blvd apt 3E, University City MO, 63130")</f>
        <v>6615 Kingsbury blvd apt 3E, University City MO, 63130</v>
      </c>
      <c r="O582" s="61" t="str">
        <f>IFERROR(__xludf.DUMMYFUNCTION("""COMPUTED_VALUE"""),"Contact: Allison Loudenback 636-856-7785")</f>
        <v>Contact: Allison Loudenback 636-856-7785</v>
      </c>
      <c r="P582" s="61" t="b">
        <f>COUNTIF('Delivered SIR'!A:A, E582) &gt; 0</f>
        <v>0</v>
      </c>
    </row>
    <row r="583">
      <c r="A583" s="102" t="str">
        <f>IFERROR(__xludf.DUMMYFUNCTION("""COMPUTED_VALUE"""),"https://utrucking.com/admin/orders/5949197811900")</f>
        <v>https://utrucking.com/admin/orders/5949197811900</v>
      </c>
      <c r="B583" s="65" t="str">
        <f>IFERROR(__xludf.DUMMYFUNCTION("""COMPUTED_VALUE"""),"#16471")</f>
        <v>#16471</v>
      </c>
      <c r="C583" s="65"/>
      <c r="D583" s="65">
        <f>IFERROR(__xludf.DUMMYFUNCTION("""COMPUTED_VALUE"""),6.188183004E9)</f>
        <v>6188183004</v>
      </c>
      <c r="E583" s="65" t="str">
        <f>IFERROR(__xludf.DUMMYFUNCTION("""COMPUTED_VALUE"""),"Kaifeng Hu")</f>
        <v>Kaifeng Hu</v>
      </c>
      <c r="F583" s="65" t="str">
        <f>IFERROR(__xludf.DUMMYFUNCTION("""COMPUTED_VALUE"""),"Kaifeng Hu")</f>
        <v>Kaifeng Hu</v>
      </c>
      <c r="G583" s="65"/>
      <c r="H583" s="65" t="str">
        <f>IFERROR(__xludf.DUMMYFUNCTION("""COMPUTED_VALUE"""),"Storage Item Return")</f>
        <v>Storage Item Return</v>
      </c>
      <c r="I583" s="65" t="str">
        <f>IFERROR(__xludf.DUMMYFUNCTION("""COMPUTED_VALUE"""),"University Housing ")</f>
        <v>University Housing </v>
      </c>
      <c r="J583" s="108" t="str">
        <f>IFERROR(__xludf.DUMMYFUNCTION("""COMPUTED_VALUE"""),"09:00 AM to 11:00 AM   ")</f>
        <v>09:00 AM to 11:00 AM   </v>
      </c>
      <c r="K583" s="108">
        <f>IFERROR(__xludf.DUMMYFUNCTION("""COMPUTED_VALUE"""),45892.0)</f>
        <v>45892</v>
      </c>
      <c r="L583" s="65" t="str">
        <f>IFERROR(__xludf.DUMMYFUNCTION("""COMPUTED_VALUE"""),"6607 University Drive  ")</f>
        <v>6607 University Drive  </v>
      </c>
      <c r="M583" s="65" t="str">
        <f>IFERROR(__xludf.DUMMYFUNCTION("""COMPUTED_VALUE"""),"Apartment 2E-A")</f>
        <v>Apartment 2E-A</v>
      </c>
      <c r="N583" s="65"/>
      <c r="O583" s="65"/>
      <c r="P583" s="65" t="b">
        <f>COUNTIF('Delivered SIR'!A:A, E583) &gt; 0</f>
        <v>1</v>
      </c>
    </row>
    <row r="584">
      <c r="A584" s="99" t="str">
        <f>IFERROR(__xludf.DUMMYFUNCTION("""COMPUTED_VALUE"""),"https://utrucking.com/admin/orders/5949254402236")</f>
        <v>https://utrucking.com/admin/orders/5949254402236</v>
      </c>
      <c r="B584" s="61" t="str">
        <f>IFERROR(__xludf.DUMMYFUNCTION("""COMPUTED_VALUE"""),"#16473")</f>
        <v>#16473</v>
      </c>
      <c r="C584" s="61" t="str">
        <f>IFERROR(__xludf.DUMMYFUNCTION("""COMPUTED_VALUE"""),"w.xinyang@wustl.edu")</f>
        <v>w.xinyang@wustl.edu</v>
      </c>
      <c r="D584" s="61">
        <f>IFERROR(__xludf.DUMMYFUNCTION("""COMPUTED_VALUE"""),6.415018333E9)</f>
        <v>6415018333</v>
      </c>
      <c r="E584" s="61" t="str">
        <f>IFERROR(__xludf.DUMMYFUNCTION("""COMPUTED_VALUE"""),"Xinyang Wu")</f>
        <v>Xinyang Wu</v>
      </c>
      <c r="F584" s="61" t="str">
        <f>IFERROR(__xludf.DUMMYFUNCTION("""COMPUTED_VALUE"""),"Xinyang Wu")</f>
        <v>Xinyang Wu</v>
      </c>
      <c r="G584" s="61"/>
      <c r="H584" s="61" t="str">
        <f>IFERROR(__xludf.DUMMYFUNCTION("""COMPUTED_VALUE"""),"Storage Item Return")</f>
        <v>Storage Item Return</v>
      </c>
      <c r="I584" s="61" t="str">
        <f>IFERROR(__xludf.DUMMYFUNCTION("""COMPUTED_VALUE"""),"University Housing ")</f>
        <v>University Housing </v>
      </c>
      <c r="J584" s="107" t="str">
        <f>IFERROR(__xludf.DUMMYFUNCTION("""COMPUTED_VALUE"""),"09:00 AM to 11:00 AM   ")</f>
        <v>09:00 AM to 11:00 AM   </v>
      </c>
      <c r="K584" s="107">
        <f>IFERROR(__xludf.DUMMYFUNCTION("""COMPUTED_VALUE"""),45892.0)</f>
        <v>45892</v>
      </c>
      <c r="L584" s="61" t="str">
        <f>IFERROR(__xludf.DUMMYFUNCTION("""COMPUTED_VALUE"""),"DON'T KNOW YET (put 'XXX' for room #)")</f>
        <v>DON'T KNOW YET (put 'XXX' for room #)</v>
      </c>
      <c r="M584" s="61" t="str">
        <f>IFERROR(__xludf.DUMMYFUNCTION("""COMPUTED_VALUE"""),"Room 1N-A, 340 Rosedale Ave., St. Louis, 63112")</f>
        <v>Room 1N-A, 340 Rosedale Ave., St. Louis, 63112</v>
      </c>
      <c r="N584" s="61"/>
      <c r="O584" s="61"/>
      <c r="P584" s="61" t="b">
        <f>COUNTIF('Delivered SIR'!A:A, E584) &gt; 0</f>
        <v>1</v>
      </c>
    </row>
    <row r="585">
      <c r="A585" s="102" t="str">
        <f>IFERROR(__xludf.DUMMYFUNCTION("""COMPUTED_VALUE"""),"https://utrucking.com/admin/orders/5949408084156")</f>
        <v>https://utrucking.com/admin/orders/5949408084156</v>
      </c>
      <c r="B585" s="65" t="str">
        <f>IFERROR(__xludf.DUMMYFUNCTION("""COMPUTED_VALUE"""),"#16476")</f>
        <v>#16476</v>
      </c>
      <c r="C585" s="65" t="str">
        <f>IFERROR(__xludf.DUMMYFUNCTION("""COMPUTED_VALUE"""),"junyangtan2021@outlook.com")</f>
        <v>junyangtan2021@outlook.com</v>
      </c>
      <c r="D585" s="65">
        <f>IFERROR(__xludf.DUMMYFUNCTION("""COMPUTED_VALUE"""),3.144373166E9)</f>
        <v>3144373166</v>
      </c>
      <c r="E585" s="65" t="str">
        <f>IFERROR(__xludf.DUMMYFUNCTION("""COMPUTED_VALUE"""),"junyang tan")</f>
        <v>junyang tan</v>
      </c>
      <c r="F585" s="65" t="str">
        <f>IFERROR(__xludf.DUMMYFUNCTION("""COMPUTED_VALUE"""),"junyang tan")</f>
        <v>junyang tan</v>
      </c>
      <c r="G585" s="65" t="str">
        <f>IFERROR(__xludf.DUMMYFUNCTION("""COMPUTED_VALUE"""),"6105 delmar blvd")</f>
        <v>6105 delmar blvd</v>
      </c>
      <c r="H585" s="65" t="str">
        <f>IFERROR(__xludf.DUMMYFUNCTION("""COMPUTED_VALUE"""),"Storage Item Return")</f>
        <v>Storage Item Return</v>
      </c>
      <c r="I585" s="65" t="str">
        <f>IFERROR(__xludf.DUMMYFUNCTION("""COMPUTED_VALUE"""),"Non-University Housing ")</f>
        <v>Non-University Housing </v>
      </c>
      <c r="J585" s="108" t="str">
        <f>IFERROR(__xludf.DUMMYFUNCTION("""COMPUTED_VALUE"""),"09:00 AM to 11:00 AM   ")</f>
        <v>09:00 AM to 11:00 AM   </v>
      </c>
      <c r="K585" s="108">
        <f>IFERROR(__xludf.DUMMYFUNCTION("""COMPUTED_VALUE"""),45892.0)</f>
        <v>45892</v>
      </c>
      <c r="L585" s="65"/>
      <c r="M585" s="65"/>
      <c r="N585" s="65" t="str">
        <f>IFERROR(__xludf.DUMMYFUNCTION("""COMPUTED_VALUE"""),"6105 delmar blvd")</f>
        <v>6105 delmar blvd</v>
      </c>
      <c r="O585" s="65"/>
      <c r="P585" s="65" t="b">
        <f>COUNTIF('Delivered SIR'!A:A, E585) &gt; 0</f>
        <v>0</v>
      </c>
    </row>
    <row r="586">
      <c r="A586" s="99" t="str">
        <f>IFERROR(__xludf.DUMMYFUNCTION("""COMPUTED_VALUE"""),"https://utrucking.com/admin/orders/5949423059132")</f>
        <v>https://utrucking.com/admin/orders/5949423059132</v>
      </c>
      <c r="B586" s="61" t="str">
        <f>IFERROR(__xludf.DUMMYFUNCTION("""COMPUTED_VALUE"""),"#16477")</f>
        <v>#16477</v>
      </c>
      <c r="C586" s="61" t="str">
        <f>IFERROR(__xludf.DUMMYFUNCTION("""COMPUTED_VALUE"""),"a.lugosaavedra@wustl.edu")</f>
        <v>a.lugosaavedra@wustl.edu</v>
      </c>
      <c r="D586" s="61">
        <f>IFERROR(__xludf.DUMMYFUNCTION("""COMPUTED_VALUE"""),8.136967037E9)</f>
        <v>8136967037</v>
      </c>
      <c r="E586" s="61" t="str">
        <f>IFERROR(__xludf.DUMMYFUNCTION("""COMPUTED_VALUE"""),"Alejandro Saavedra")</f>
        <v>Alejandro Saavedra</v>
      </c>
      <c r="F586" s="61" t="str">
        <f>IFERROR(__xludf.DUMMYFUNCTION("""COMPUTED_VALUE"""),"Alejandro Lugo Saavedra")</f>
        <v>Alejandro Lugo Saavedra</v>
      </c>
      <c r="G586" s="61"/>
      <c r="H586" s="61" t="str">
        <f>IFERROR(__xludf.DUMMYFUNCTION("""COMPUTED_VALUE"""),"Storage Item Return")</f>
        <v>Storage Item Return</v>
      </c>
      <c r="I586" s="61" t="str">
        <f>IFERROR(__xludf.DUMMYFUNCTION("""COMPUTED_VALUE"""),"University Housing ")</f>
        <v>University Housing </v>
      </c>
      <c r="J586" s="107" t="str">
        <f>IFERROR(__xludf.DUMMYFUNCTION("""COMPUTED_VALUE"""),"12:00 PM to 02:00 PM   ")</f>
        <v>12:00 PM to 02:00 PM   </v>
      </c>
      <c r="K586" s="107">
        <f>IFERROR(__xludf.DUMMYFUNCTION("""COMPUTED_VALUE"""),45892.0)</f>
        <v>45892</v>
      </c>
      <c r="L586" s="61" t="str">
        <f>IFERROR(__xludf.DUMMYFUNCTION("""COMPUTED_VALUE"""),"Greenway Apartments  ")</f>
        <v>Greenway Apartments  </v>
      </c>
      <c r="M586" s="61" t="str">
        <f>IFERROR(__xludf.DUMMYFUNCTION("""COMPUTED_VALUE"""),"Greenway - 311-A - a")</f>
        <v>Greenway - 311-A - a</v>
      </c>
      <c r="N586" s="61"/>
      <c r="O586" s="61"/>
      <c r="P586" s="61" t="b">
        <f>COUNTIF('Delivered SIR'!A:A, E586) &gt; 0</f>
        <v>0</v>
      </c>
    </row>
    <row r="587">
      <c r="A587" s="102" t="str">
        <f>IFERROR(__xludf.DUMMYFUNCTION("""COMPUTED_VALUE"""),"https://utrucking.com/admin/orders/5949928505532")</f>
        <v>https://utrucking.com/admin/orders/5949928505532</v>
      </c>
      <c r="B587" s="65" t="str">
        <f>IFERROR(__xludf.DUMMYFUNCTION("""COMPUTED_VALUE"""),"#16478")</f>
        <v>#16478</v>
      </c>
      <c r="C587" s="65" t="str">
        <f>IFERROR(__xludf.DUMMYFUNCTION("""COMPUTED_VALUE"""),"victorbaek13@gmail.com")</f>
        <v>victorbaek13@gmail.com</v>
      </c>
      <c r="D587" s="65">
        <f>IFERROR(__xludf.DUMMYFUNCTION("""COMPUTED_VALUE"""),6.786979936E9)</f>
        <v>6786979936</v>
      </c>
      <c r="E587" s="65" t="str">
        <f>IFERROR(__xludf.DUMMYFUNCTION("""COMPUTED_VALUE"""),"Victor Baek")</f>
        <v>Victor Baek</v>
      </c>
      <c r="F587" s="65" t="str">
        <f>IFERROR(__xludf.DUMMYFUNCTION("""COMPUTED_VALUE"""),"Victor Baek")</f>
        <v>Victor Baek</v>
      </c>
      <c r="G587" s="65"/>
      <c r="H587" s="65" t="str">
        <f>IFERROR(__xludf.DUMMYFUNCTION("""COMPUTED_VALUE"""),"Storage Item Return")</f>
        <v>Storage Item Return</v>
      </c>
      <c r="I587" s="65" t="str">
        <f>IFERROR(__xludf.DUMMYFUNCTION("""COMPUTED_VALUE"""),"University Housing ")</f>
        <v>University Housing </v>
      </c>
      <c r="J587" s="108" t="str">
        <f>IFERROR(__xludf.DUMMYFUNCTION("""COMPUTED_VALUE"""),"09:00 AM to 11:00 AM   ")</f>
        <v>09:00 AM to 11:00 AM   </v>
      </c>
      <c r="K587" s="108">
        <f>IFERROR(__xludf.DUMMYFUNCTION("""COMPUTED_VALUE"""),45892.0)</f>
        <v>45892</v>
      </c>
      <c r="L587" s="65" t="str">
        <f>IFERROR(__xludf.DUMMYFUNCTION("""COMPUTED_VALUE"""),"Loop Loft 6300  ")</f>
        <v>Loop Loft 6300  </v>
      </c>
      <c r="M587" s="65" t="str">
        <f>IFERROR(__xludf.DUMMYFUNCTION("""COMPUTED_VALUE"""),"202C a")</f>
        <v>202C a</v>
      </c>
      <c r="N587" s="65"/>
      <c r="O587" s="65"/>
      <c r="P587" s="65" t="b">
        <f>COUNTIF('Delivered SIR'!A:A, E587) &gt; 0</f>
        <v>0</v>
      </c>
    </row>
    <row r="588">
      <c r="A588" s="99" t="str">
        <f>IFERROR(__xludf.DUMMYFUNCTION("""COMPUTED_VALUE"""),"https://utrucking.com/admin/orders/5950144774332")</f>
        <v>https://utrucking.com/admin/orders/5950144774332</v>
      </c>
      <c r="B588" s="61" t="str">
        <f>IFERROR(__xludf.DUMMYFUNCTION("""COMPUTED_VALUE"""),"#16480")</f>
        <v>#16480</v>
      </c>
      <c r="C588" s="61" t="str">
        <f>IFERROR(__xludf.DUMMYFUNCTION("""COMPUTED_VALUE"""),"carlson.m.l@wustl.edu")</f>
        <v>carlson.m.l@wustl.edu</v>
      </c>
      <c r="D588" s="61">
        <f>IFERROR(__xludf.DUMMYFUNCTION("""COMPUTED_VALUE"""),9.145887142E9)</f>
        <v>9145887142</v>
      </c>
      <c r="E588" s="61" t="str">
        <f>IFERROR(__xludf.DUMMYFUNCTION("""COMPUTED_VALUE"""),"Madeline Carlson")</f>
        <v>Madeline Carlson</v>
      </c>
      <c r="F588" s="61" t="str">
        <f>IFERROR(__xludf.DUMMYFUNCTION("""COMPUTED_VALUE"""),"Madeline Carlson")</f>
        <v>Madeline Carlson</v>
      </c>
      <c r="G588" s="61" t="str">
        <f>IFERROR(__xludf.DUMMYFUNCTION("""COMPUTED_VALUE"""),"6659 Kingsbury Boulevard
St. Louis MO, ")</f>
        <v>6659 Kingsbury Boulevard
St. Louis MO, </v>
      </c>
      <c r="H588" s="61" t="str">
        <f>IFERROR(__xludf.DUMMYFUNCTION("""COMPUTED_VALUE"""),"Storage Item Return")</f>
        <v>Storage Item Return</v>
      </c>
      <c r="I588" s="61" t="str">
        <f>IFERROR(__xludf.DUMMYFUNCTION("""COMPUTED_VALUE"""),"Non-University Housing ")</f>
        <v>Non-University Housing </v>
      </c>
      <c r="J588" s="107" t="str">
        <f>IFERROR(__xludf.DUMMYFUNCTION("""COMPUTED_VALUE"""),"2-4pm")</f>
        <v>2-4pm</v>
      </c>
      <c r="K588" s="107">
        <f>IFERROR(__xludf.DUMMYFUNCTION("""COMPUTED_VALUE"""),45891.0)</f>
        <v>45891</v>
      </c>
      <c r="L588" s="61"/>
      <c r="M588" s="61"/>
      <c r="N588" s="61" t="str">
        <f>IFERROR(__xludf.DUMMYFUNCTION("""COMPUTED_VALUE"""),"6659 Kingsbury Boulevard
St. Louis MO, ")</f>
        <v>6659 Kingsbury Boulevard
St. Louis MO, </v>
      </c>
      <c r="O588" s="61"/>
      <c r="P588" s="61" t="b">
        <f>COUNTIF('Delivered SIR'!A:A, E588) &gt; 0</f>
        <v>0</v>
      </c>
    </row>
    <row r="589">
      <c r="A589" s="102" t="str">
        <f>IFERROR(__xludf.DUMMYFUNCTION("""COMPUTED_VALUE"""),"https://utrucking.com/admin/orders/5950184227004")</f>
        <v>https://utrucking.com/admin/orders/5950184227004</v>
      </c>
      <c r="B589" s="65" t="str">
        <f>IFERROR(__xludf.DUMMYFUNCTION("""COMPUTED_VALUE"""),"#16481")</f>
        <v>#16481</v>
      </c>
      <c r="C589" s="65"/>
      <c r="D589" s="65">
        <f>IFERROR(__xludf.DUMMYFUNCTION("""COMPUTED_VALUE"""),3.612544279E9)</f>
        <v>3612544279</v>
      </c>
      <c r="E589" s="65" t="str">
        <f>IFERROR(__xludf.DUMMYFUNCTION("""COMPUTED_VALUE"""),"Aavik Wadivkar")</f>
        <v>Aavik Wadivkar</v>
      </c>
      <c r="F589" s="65" t="str">
        <f>IFERROR(__xludf.DUMMYFUNCTION("""COMPUTED_VALUE"""),"Aavik Wadivkar")</f>
        <v>Aavik Wadivkar</v>
      </c>
      <c r="G589" s="65"/>
      <c r="H589" s="65" t="str">
        <f>IFERROR(__xludf.DUMMYFUNCTION("""COMPUTED_VALUE"""),"Storage Item Return")</f>
        <v>Storage Item Return</v>
      </c>
      <c r="I589" s="65" t="str">
        <f>IFERROR(__xludf.DUMMYFUNCTION("""COMPUTED_VALUE"""),"University Housing ")</f>
        <v>University Housing </v>
      </c>
      <c r="J589" s="108" t="str">
        <f>IFERROR(__xludf.DUMMYFUNCTION("""COMPUTED_VALUE"""),"09:00 AM to 11:00 AM   ")</f>
        <v>09:00 AM to 11:00 AM   </v>
      </c>
      <c r="K589" s="108">
        <f>IFERROR(__xludf.DUMMYFUNCTION("""COMPUTED_VALUE"""),45892.0)</f>
        <v>45892</v>
      </c>
      <c r="L589" s="65" t="str">
        <f>IFERROR(__xludf.DUMMYFUNCTION("""COMPUTED_VALUE"""),"Mudd  ")</f>
        <v>Mudd  </v>
      </c>
      <c r="M589" s="65" t="str">
        <f>IFERROR(__xludf.DUMMYFUNCTION("""COMPUTED_VALUE"""),"331")</f>
        <v>331</v>
      </c>
      <c r="N589" s="65"/>
      <c r="O589" s="65"/>
      <c r="P589" s="65" t="b">
        <f>COUNTIF('Delivered SIR'!A:A, E589) &gt; 0</f>
        <v>1</v>
      </c>
    </row>
    <row r="590">
      <c r="A590" s="99" t="str">
        <f>IFERROR(__xludf.DUMMYFUNCTION("""COMPUTED_VALUE"""),"https://utrucking.com/admin/orders/5950185439420")</f>
        <v>https://utrucking.com/admin/orders/5950185439420</v>
      </c>
      <c r="B590" s="61" t="str">
        <f>IFERROR(__xludf.DUMMYFUNCTION("""COMPUTED_VALUE"""),"#16482")</f>
        <v>#16482</v>
      </c>
      <c r="C590" s="61" t="str">
        <f>IFERROR(__xludf.DUMMYFUNCTION("""COMPUTED_VALUE"""),"m.teodor@wustl.edu")</f>
        <v>m.teodor@wustl.edu</v>
      </c>
      <c r="D590" s="61">
        <f>IFERROR(__xludf.DUMMYFUNCTION("""COMPUTED_VALUE"""),3.147605934E9)</f>
        <v>3147605934</v>
      </c>
      <c r="E590" s="61" t="str">
        <f>IFERROR(__xludf.DUMMYFUNCTION("""COMPUTED_VALUE"""),"Teodor Mali")</f>
        <v>Teodor Mali</v>
      </c>
      <c r="F590" s="61" t="str">
        <f>IFERROR(__xludf.DUMMYFUNCTION("""COMPUTED_VALUE"""),"Teodor Mali")</f>
        <v>Teodor Mali</v>
      </c>
      <c r="G590" s="61"/>
      <c r="H590" s="61" t="str">
        <f>IFERROR(__xludf.DUMMYFUNCTION("""COMPUTED_VALUE"""),"Storage Item Return")</f>
        <v>Storage Item Return</v>
      </c>
      <c r="I590" s="61" t="str">
        <f>IFERROR(__xludf.DUMMYFUNCTION("""COMPUTED_VALUE"""),"University Housing ")</f>
        <v>University Housing </v>
      </c>
      <c r="J590" s="107" t="str">
        <f>IFERROR(__xludf.DUMMYFUNCTION("""COMPUTED_VALUE"""),"10:00 AM to 12:00 PM   ")</f>
        <v>10:00 AM to 12:00 PM   </v>
      </c>
      <c r="K590" s="107">
        <f>IFERROR(__xludf.DUMMYFUNCTION("""COMPUTED_VALUE"""),45894.0)</f>
        <v>45894</v>
      </c>
      <c r="L590" s="61" t="str">
        <f>IFERROR(__xludf.DUMMYFUNCTION("""COMPUTED_VALUE"""),"Eliot B  ")</f>
        <v>Eliot B  </v>
      </c>
      <c r="M590" s="61" t="str">
        <f>IFERROR(__xludf.DUMMYFUNCTION("""COMPUTED_VALUE"""),"4002 - a")</f>
        <v>4002 - a</v>
      </c>
      <c r="N590" s="61"/>
      <c r="O590" s="61"/>
      <c r="P590" s="61" t="b">
        <f>COUNTIF('Delivered SIR'!A:A, E590) &gt; 0</f>
        <v>1</v>
      </c>
    </row>
    <row r="591">
      <c r="A591" s="102" t="str">
        <f>IFERROR(__xludf.DUMMYFUNCTION("""COMPUTED_VALUE"""),"https://utrucking.com/admin/orders/5950249926844")</f>
        <v>https://utrucking.com/admin/orders/5950249926844</v>
      </c>
      <c r="B591" s="65" t="str">
        <f>IFERROR(__xludf.DUMMYFUNCTION("""COMPUTED_VALUE"""),"#16484")</f>
        <v>#16484</v>
      </c>
      <c r="C591" s="65"/>
      <c r="D591" s="65">
        <f>IFERROR(__xludf.DUMMYFUNCTION("""COMPUTED_VALUE"""),7.817773187E9)</f>
        <v>7817773187</v>
      </c>
      <c r="E591" s="65" t="str">
        <f>IFERROR(__xludf.DUMMYFUNCTION("""COMPUTED_VALUE"""),"Christopher Chung")</f>
        <v>Christopher Chung</v>
      </c>
      <c r="F591" s="65" t="str">
        <f>IFERROR(__xludf.DUMMYFUNCTION("""COMPUTED_VALUE"""),"Christopher Chung ")</f>
        <v>Christopher Chung </v>
      </c>
      <c r="G591" s="65" t="str">
        <f>IFERROR(__xludf.DUMMYFUNCTION("""COMPUTED_VALUE"""),"6669 Washington Avenue #103")</f>
        <v>6669 Washington Avenue #103</v>
      </c>
      <c r="H591" s="65" t="str">
        <f>IFERROR(__xludf.DUMMYFUNCTION("""COMPUTED_VALUE"""),"Storage Item Return")</f>
        <v>Storage Item Return</v>
      </c>
      <c r="I591" s="65" t="str">
        <f>IFERROR(__xludf.DUMMYFUNCTION("""COMPUTED_VALUE"""),"Non-University Housing ")</f>
        <v>Non-University Housing </v>
      </c>
      <c r="J591" s="108" t="str">
        <f>IFERROR(__xludf.DUMMYFUNCTION("""COMPUTED_VALUE"""),"03:00 PM to 05:00 PM ")</f>
        <v>03:00 PM to 05:00 PM </v>
      </c>
      <c r="K591" s="108">
        <f>IFERROR(__xludf.DUMMYFUNCTION("""COMPUTED_VALUE"""),45894.0)</f>
        <v>45894</v>
      </c>
      <c r="L591" s="65"/>
      <c r="M591" s="65"/>
      <c r="N591" s="65" t="str">
        <f>IFERROR(__xludf.DUMMYFUNCTION("""COMPUTED_VALUE"""),"6669 Washington Avenue #103")</f>
        <v>6669 Washington Avenue #103</v>
      </c>
      <c r="O591" s="65"/>
      <c r="P591" s="65" t="b">
        <f>COUNTIF('Delivered SIR'!A:A, E591) &gt; 0</f>
        <v>0</v>
      </c>
    </row>
    <row r="592">
      <c r="A592" s="99" t="str">
        <f>IFERROR(__xludf.DUMMYFUNCTION("""COMPUTED_VALUE"""),"https://utrucking.com/admin/orders/5950276075708")</f>
        <v>https://utrucking.com/admin/orders/5950276075708</v>
      </c>
      <c r="B592" s="61" t="str">
        <f>IFERROR(__xludf.DUMMYFUNCTION("""COMPUTED_VALUE"""),"#16485")</f>
        <v>#16485</v>
      </c>
      <c r="C592" s="61" t="str">
        <f>IFERROR(__xludf.DUMMYFUNCTION("""COMPUTED_VALUE"""),"yeonsiyaro@gmail.com")</f>
        <v>yeonsiyaro@gmail.com</v>
      </c>
      <c r="D592" s="61">
        <f>IFERROR(__xludf.DUMMYFUNCTION("""COMPUTED_VALUE"""),3.14393624E9)</f>
        <v>3143936240</v>
      </c>
      <c r="E592" s="61" t="str">
        <f>IFERROR(__xludf.DUMMYFUNCTION("""COMPUTED_VALUE"""),"Yeonseo Shin")</f>
        <v>Yeonseo Shin</v>
      </c>
      <c r="F592" s="61" t="str">
        <f>IFERROR(__xludf.DUMMYFUNCTION("""COMPUTED_VALUE"""),"Chloe Shin")</f>
        <v>Chloe Shin</v>
      </c>
      <c r="G592" s="61"/>
      <c r="H592" s="61" t="str">
        <f>IFERROR(__xludf.DUMMYFUNCTION("""COMPUTED_VALUE"""),"Storage Item Return")</f>
        <v>Storage Item Return</v>
      </c>
      <c r="I592" s="61" t="str">
        <f>IFERROR(__xludf.DUMMYFUNCTION("""COMPUTED_VALUE"""),"University Housing ")</f>
        <v>University Housing </v>
      </c>
      <c r="J592" s="107" t="str">
        <f>IFERROR(__xludf.DUMMYFUNCTION("""COMPUTED_VALUE"""),"09:00 AM to 11:00 AM   ")</f>
        <v>09:00 AM to 11:00 AM   </v>
      </c>
      <c r="K592" s="107">
        <f>IFERROR(__xludf.DUMMYFUNCTION("""COMPUTED_VALUE"""),45894.0)</f>
        <v>45894</v>
      </c>
      <c r="L592" s="61" t="str">
        <f>IFERROR(__xludf.DUMMYFUNCTION("""COMPUTED_VALUE"""),"Loop Loft 6300  ")</f>
        <v>Loop Loft 6300  </v>
      </c>
      <c r="M592" s="61" t="str">
        <f>IFERROR(__xludf.DUMMYFUNCTION("""COMPUTED_VALUE"""),"214C-a")</f>
        <v>214C-a</v>
      </c>
      <c r="N592" s="61"/>
      <c r="O592" s="61"/>
      <c r="P592" s="61" t="b">
        <f>COUNTIF('Delivered SIR'!A:A, E592) &gt; 0</f>
        <v>0</v>
      </c>
    </row>
    <row r="593">
      <c r="A593" s="102" t="str">
        <f>IFERROR(__xludf.DUMMYFUNCTION("""COMPUTED_VALUE"""),"https://utrucking.com/admin/orders/5950282924220")</f>
        <v>https://utrucking.com/admin/orders/5950282924220</v>
      </c>
      <c r="B593" s="65" t="str">
        <f>IFERROR(__xludf.DUMMYFUNCTION("""COMPUTED_VALUE"""),"#16486")</f>
        <v>#16486</v>
      </c>
      <c r="C593" s="65" t="str">
        <f>IFERROR(__xludf.DUMMYFUNCTION("""COMPUTED_VALUE"""),"s.zahra@wustl.edu")</f>
        <v>s.zahra@wustl.edu</v>
      </c>
      <c r="D593" s="65">
        <f>IFERROR(__xludf.DUMMYFUNCTION("""COMPUTED_VALUE"""),9.492449028E9)</f>
        <v>9492449028</v>
      </c>
      <c r="E593" s="65" t="str">
        <f>IFERROR(__xludf.DUMMYFUNCTION("""COMPUTED_VALUE"""),"Felicia Sarwono")</f>
        <v>Felicia Sarwono</v>
      </c>
      <c r="F593" s="65" t="str">
        <f>IFERROR(__xludf.DUMMYFUNCTION("""COMPUTED_VALUE"""),"ZAHRA SARWONO")</f>
        <v>ZAHRA SARWONO</v>
      </c>
      <c r="G593" s="65"/>
      <c r="H593" s="65" t="str">
        <f>IFERROR(__xludf.DUMMYFUNCTION("""COMPUTED_VALUE"""),"Storage Item Return")</f>
        <v>Storage Item Return</v>
      </c>
      <c r="I593" s="65" t="str">
        <f>IFERROR(__xludf.DUMMYFUNCTION("""COMPUTED_VALUE"""),"University Housing ")</f>
        <v>University Housing </v>
      </c>
      <c r="J593" s="108" t="str">
        <f>IFERROR(__xludf.DUMMYFUNCTION("""COMPUTED_VALUE"""),"09:00 AM to 11:00 AM   ")</f>
        <v>09:00 AM to 11:00 AM   </v>
      </c>
      <c r="K593" s="108">
        <f>IFERROR(__xludf.DUMMYFUNCTION("""COMPUTED_VALUE"""),45892.0)</f>
        <v>45892</v>
      </c>
      <c r="L593" s="65" t="str">
        <f>IFERROR(__xludf.DUMMYFUNCTION("""COMPUTED_VALUE"""),"Loop Loft 6200  ")</f>
        <v>Loop Loft 6200  </v>
      </c>
      <c r="M593" s="65" t="str">
        <f>IFERROR(__xludf.DUMMYFUNCTION("""COMPUTED_VALUE"""),"307A")</f>
        <v>307A</v>
      </c>
      <c r="N593" s="65"/>
      <c r="O593" s="65"/>
      <c r="P593" s="65" t="b">
        <f>COUNTIF('Delivered SIR'!A:A, E593) &gt; 0</f>
        <v>0</v>
      </c>
    </row>
    <row r="594">
      <c r="A594" s="99" t="str">
        <f>IFERROR(__xludf.DUMMYFUNCTION("""COMPUTED_VALUE"""),"https://utrucking.com/admin/orders/5950289608892")</f>
        <v>https://utrucking.com/admin/orders/5950289608892</v>
      </c>
      <c r="B594" s="61" t="str">
        <f>IFERROR(__xludf.DUMMYFUNCTION("""COMPUTED_VALUE"""),"#16487")</f>
        <v>#16487</v>
      </c>
      <c r="C594" s="61" t="str">
        <f>IFERROR(__xludf.DUMMYFUNCTION("""COMPUTED_VALUE"""),"s.xiaxi@wustl.edu")</f>
        <v>s.xiaxi@wustl.edu</v>
      </c>
      <c r="D594" s="61">
        <f>IFERROR(__xludf.DUMMYFUNCTION("""COMPUTED_VALUE"""),3.148279148E9)</f>
        <v>3148279148</v>
      </c>
      <c r="E594" s="61" t="str">
        <f>IFERROR(__xludf.DUMMYFUNCTION("""COMPUTED_VALUE"""),"Emily Shi")</f>
        <v>Emily Shi</v>
      </c>
      <c r="F594" s="61" t="str">
        <f>IFERROR(__xludf.DUMMYFUNCTION("""COMPUTED_VALUE"""),"Xiaxi Shi/Emily Shi")</f>
        <v>Xiaxi Shi/Emily Shi</v>
      </c>
      <c r="G594" s="61" t="str">
        <f>IFERROR(__xludf.DUMMYFUNCTION("""COMPUTED_VALUE"""),"212 S. Meramec Ave. #710, Clayton, MO 63105")</f>
        <v>212 S. Meramec Ave. #710, Clayton, MO 63105</v>
      </c>
      <c r="H594" s="61" t="str">
        <f>IFERROR(__xludf.DUMMYFUNCTION("""COMPUTED_VALUE"""),"Storage Item Return")</f>
        <v>Storage Item Return</v>
      </c>
      <c r="I594" s="61" t="str">
        <f>IFERROR(__xludf.DUMMYFUNCTION("""COMPUTED_VALUE"""),"Non-University Housing ")</f>
        <v>Non-University Housing </v>
      </c>
      <c r="J594" s="107" t="str">
        <f>IFERROR(__xludf.DUMMYFUNCTION("""COMPUTED_VALUE"""),"09:00 AM to 11:00 AM   ")</f>
        <v>09:00 AM to 11:00 AM   </v>
      </c>
      <c r="K594" s="107">
        <f>IFERROR(__xludf.DUMMYFUNCTION("""COMPUTED_VALUE"""),45894.0)</f>
        <v>45894</v>
      </c>
      <c r="L594" s="61"/>
      <c r="M594" s="61"/>
      <c r="N594" s="61" t="str">
        <f>IFERROR(__xludf.DUMMYFUNCTION("""COMPUTED_VALUE"""),"212 S. Meramec Ave. #710, Clayton, MO 63105")</f>
        <v>212 S. Meramec Ave. #710, Clayton, MO 63105</v>
      </c>
      <c r="O594" s="61"/>
      <c r="P594" s="61" t="b">
        <f>COUNTIF('Delivered SIR'!A:A, E594) &gt; 0</f>
        <v>0</v>
      </c>
    </row>
    <row r="595">
      <c r="A595" s="102" t="str">
        <f>IFERROR(__xludf.DUMMYFUNCTION("""COMPUTED_VALUE"""),"https://utrucking.com/admin/orders/5950299472060")</f>
        <v>https://utrucking.com/admin/orders/5950299472060</v>
      </c>
      <c r="B595" s="65" t="str">
        <f>IFERROR(__xludf.DUMMYFUNCTION("""COMPUTED_VALUE"""),"#16488")</f>
        <v>#16488</v>
      </c>
      <c r="C595" s="65" t="str">
        <f>IFERROR(__xludf.DUMMYFUNCTION("""COMPUTED_VALUE"""),"g.a.zubler@wustl.edu")</f>
        <v>g.a.zubler@wustl.edu</v>
      </c>
      <c r="D595" s="65">
        <f>IFERROR(__xludf.DUMMYFUNCTION("""COMPUTED_VALUE"""),1.5714190463E10)</f>
        <v>15714190463</v>
      </c>
      <c r="E595" s="65" t="str">
        <f>IFERROR(__xludf.DUMMYFUNCTION("""COMPUTED_VALUE"""),"Gregory Zubler")</f>
        <v>Gregory Zubler</v>
      </c>
      <c r="F595" s="65" t="str">
        <f>IFERROR(__xludf.DUMMYFUNCTION("""COMPUTED_VALUE"""),"GREGORY Zubler")</f>
        <v>GREGORY Zubler</v>
      </c>
      <c r="G595" s="65"/>
      <c r="H595" s="65" t="str">
        <f>IFERROR(__xludf.DUMMYFUNCTION("""COMPUTED_VALUE"""),"Storage Item Return")</f>
        <v>Storage Item Return</v>
      </c>
      <c r="I595" s="65" t="str">
        <f>IFERROR(__xludf.DUMMYFUNCTION("""COMPUTED_VALUE"""),"University Housing ")</f>
        <v>University Housing </v>
      </c>
      <c r="J595" s="108" t="str">
        <f>IFERROR(__xludf.DUMMYFUNCTION("""COMPUTED_VALUE"""),"09:00 AM to 11:00 AM   ")</f>
        <v>09:00 AM to 11:00 AM   </v>
      </c>
      <c r="K595" s="108">
        <f>IFERROR(__xludf.DUMMYFUNCTION("""COMPUTED_VALUE"""),45894.0)</f>
        <v>45894</v>
      </c>
      <c r="L595" s="65" t="str">
        <f>IFERROR(__xludf.DUMMYFUNCTION("""COMPUTED_VALUE"""),"House 3 (Alpha Delta Phi)")</f>
        <v>House 3 (Alpha Delta Phi)</v>
      </c>
      <c r="M595" s="65" t="str">
        <f>IFERROR(__xludf.DUMMYFUNCTION("""COMPUTED_VALUE"""),"205b")</f>
        <v>205b</v>
      </c>
      <c r="N595" s="65"/>
      <c r="O595" s="65"/>
      <c r="P595" s="65" t="b">
        <f>COUNTIF('Delivered SIR'!A:A, E595) &gt; 0</f>
        <v>1</v>
      </c>
    </row>
    <row r="596">
      <c r="A596" s="99" t="str">
        <f>IFERROR(__xludf.DUMMYFUNCTION("""COMPUTED_VALUE"""),"https://utrucking.com/admin/orders/5950466359484")</f>
        <v>https://utrucking.com/admin/orders/5950466359484</v>
      </c>
      <c r="B596" s="61" t="str">
        <f>IFERROR(__xludf.DUMMYFUNCTION("""COMPUTED_VALUE"""),"#16489")</f>
        <v>#16489</v>
      </c>
      <c r="C596" s="61"/>
      <c r="D596" s="61">
        <f>IFERROR(__xludf.DUMMYFUNCTION("""COMPUTED_VALUE"""),8.184260756E9)</f>
        <v>8184260756</v>
      </c>
      <c r="E596" s="61" t="str">
        <f>IFERROR(__xludf.DUMMYFUNCTION("""COMPUTED_VALUE"""),"Emerson Stein")</f>
        <v>Emerson Stein</v>
      </c>
      <c r="F596" s="61" t="str">
        <f>IFERROR(__xludf.DUMMYFUNCTION("""COMPUTED_VALUE"""),"Emerson Stein")</f>
        <v>Emerson Stein</v>
      </c>
      <c r="G596" s="61"/>
      <c r="H596" s="61" t="str">
        <f>IFERROR(__xludf.DUMMYFUNCTION("""COMPUTED_VALUE"""),"Storage Item Return")</f>
        <v>Storage Item Return</v>
      </c>
      <c r="I596" s="61" t="str">
        <f>IFERROR(__xludf.DUMMYFUNCTION("""COMPUTED_VALUE"""),"University Housing ")</f>
        <v>University Housing </v>
      </c>
      <c r="J596" s="107" t="str">
        <f>IFERROR(__xludf.DUMMYFUNCTION("""COMPUTED_VALUE"""),"09:00 AM to 11:00 AM   ")</f>
        <v>09:00 AM to 11:00 AM   </v>
      </c>
      <c r="K596" s="107">
        <f>IFERROR(__xludf.DUMMYFUNCTION("""COMPUTED_VALUE"""),45894.0)</f>
        <v>45894</v>
      </c>
      <c r="L596" s="61" t="str">
        <f>IFERROR(__xludf.DUMMYFUNCTION("""COMPUTED_VALUE"""),"Greenway Apartments  ")</f>
        <v>Greenway Apartments  </v>
      </c>
      <c r="M596" s="61" t="str">
        <f>IFERROR(__xludf.DUMMYFUNCTION("""COMPUTED_VALUE"""),"121-A")</f>
        <v>121-A</v>
      </c>
      <c r="N596" s="61"/>
      <c r="O596" s="61"/>
      <c r="P596" s="61" t="b">
        <f>COUNTIF('Delivered SIR'!A:A, E596) &gt; 0</f>
        <v>1</v>
      </c>
    </row>
    <row r="597">
      <c r="A597" s="102" t="str">
        <f>IFERROR(__xludf.DUMMYFUNCTION("""COMPUTED_VALUE"""),"https://utrucking.com/admin/orders/5950803312828")</f>
        <v>https://utrucking.com/admin/orders/5950803312828</v>
      </c>
      <c r="B597" s="65" t="str">
        <f>IFERROR(__xludf.DUMMYFUNCTION("""COMPUTED_VALUE"""),"#16493")</f>
        <v>#16493</v>
      </c>
      <c r="C597" s="65" t="str">
        <f>IFERROR(__xludf.DUMMYFUNCTION("""COMPUTED_VALUE"""),"aswhan66@gmail.com")</f>
        <v>aswhan66@gmail.com</v>
      </c>
      <c r="D597" s="65">
        <f>IFERROR(__xludf.DUMMYFUNCTION("""COMPUTED_VALUE"""),3.107792869E9)</f>
        <v>3107792869</v>
      </c>
      <c r="E597" s="65" t="str">
        <f>IFERROR(__xludf.DUMMYFUNCTION("""COMPUTED_VALUE"""),"Amy Hanning")</f>
        <v>Amy Hanning</v>
      </c>
      <c r="F597" s="65" t="str">
        <f>IFERROR(__xludf.DUMMYFUNCTION("""COMPUTED_VALUE"""),"Evan Hanning")</f>
        <v>Evan Hanning</v>
      </c>
      <c r="G597" s="65" t="str">
        <f>IFERROR(__xludf.DUMMYFUNCTION("""COMPUTED_VALUE"""),"605 Leland Avenue, Apt. #609
University City, MO 63130")</f>
        <v>605 Leland Avenue, Apt. #609
University City, MO 63130</v>
      </c>
      <c r="H597" s="65" t="str">
        <f>IFERROR(__xludf.DUMMYFUNCTION("""COMPUTED_VALUE"""),"Storage Item Return")</f>
        <v>Storage Item Return</v>
      </c>
      <c r="I597" s="65" t="str">
        <f>IFERROR(__xludf.DUMMYFUNCTION("""COMPUTED_VALUE"""),"Non-University Housing ")</f>
        <v>Non-University Housing </v>
      </c>
      <c r="J597" s="108" t="str">
        <f>IFERROR(__xludf.DUMMYFUNCTION("""COMPUTED_VALUE"""),"01:00 PM to 03:00 PM   ")</f>
        <v>01:00 PM to 03:00 PM   </v>
      </c>
      <c r="K597" s="108">
        <f>IFERROR(__xludf.DUMMYFUNCTION("""COMPUTED_VALUE"""),45894.0)</f>
        <v>45894</v>
      </c>
      <c r="L597" s="65"/>
      <c r="M597" s="65"/>
      <c r="N597" s="65" t="str">
        <f>IFERROR(__xludf.DUMMYFUNCTION("""COMPUTED_VALUE"""),"605 Leland Avenue, Apt. #609
University City, MO 63130")</f>
        <v>605 Leland Avenue, Apt. #609
University City, MO 63130</v>
      </c>
      <c r="O597" s="65"/>
      <c r="P597" s="65" t="b">
        <f>COUNTIF('Delivered SIR'!A:A, E597) &gt; 0</f>
        <v>0</v>
      </c>
    </row>
    <row r="598">
      <c r="A598" s="99" t="str">
        <f>IFERROR(__xludf.DUMMYFUNCTION("""COMPUTED_VALUE"""),"https://utrucking.com/admin/orders/5950967939260")</f>
        <v>https://utrucking.com/admin/orders/5950967939260</v>
      </c>
      <c r="B598" s="61" t="str">
        <f>IFERROR(__xludf.DUMMYFUNCTION("""COMPUTED_VALUE"""),"#16494")</f>
        <v>#16494</v>
      </c>
      <c r="C598" s="61"/>
      <c r="D598" s="61">
        <f>IFERROR(__xludf.DUMMYFUNCTION("""COMPUTED_VALUE"""),2.81660986E9)</f>
        <v>2816609860</v>
      </c>
      <c r="E598" s="61" t="str">
        <f>IFERROR(__xludf.DUMMYFUNCTION("""COMPUTED_VALUE"""),"John Link")</f>
        <v>John Link</v>
      </c>
      <c r="F598" s="61" t="str">
        <f>IFERROR(__xludf.DUMMYFUNCTION("""COMPUTED_VALUE"""),"John Link")</f>
        <v>John Link</v>
      </c>
      <c r="G598" s="61"/>
      <c r="H598" s="61" t="str">
        <f>IFERROR(__xludf.DUMMYFUNCTION("""COMPUTED_VALUE"""),"Storage Item Return")</f>
        <v>Storage Item Return</v>
      </c>
      <c r="I598" s="61" t="str">
        <f>IFERROR(__xludf.DUMMYFUNCTION("""COMPUTED_VALUE"""),"University Housing ")</f>
        <v>University Housing </v>
      </c>
      <c r="J598" s="107" t="str">
        <f>IFERROR(__xludf.DUMMYFUNCTION("""COMPUTED_VALUE"""),"09:00 AM to 11:00 AM   ")</f>
        <v>09:00 AM to 11:00 AM   </v>
      </c>
      <c r="K598" s="107">
        <f>IFERROR(__xludf.DUMMYFUNCTION("""COMPUTED_VALUE"""),45894.0)</f>
        <v>45894</v>
      </c>
      <c r="L598" s="61" t="str">
        <f>IFERROR(__xludf.DUMMYFUNCTION("""COMPUTED_VALUE"""),"Village House  ")</f>
        <v>Village House  </v>
      </c>
      <c r="M598" s="61" t="str">
        <f>IFERROR(__xludf.DUMMYFUNCTION("""COMPUTED_VALUE"""),"4141")</f>
        <v>4141</v>
      </c>
      <c r="N598" s="61"/>
      <c r="O598" s="61"/>
      <c r="P598" s="61" t="b">
        <f>COUNTIF('Delivered SIR'!A:A, E598) &gt; 0</f>
        <v>0</v>
      </c>
    </row>
    <row r="599">
      <c r="A599" s="102" t="str">
        <f>IFERROR(__xludf.DUMMYFUNCTION("""COMPUTED_VALUE"""),"https://utrucking.com/admin/orders/5951342411964")</f>
        <v>https://utrucking.com/admin/orders/5951342411964</v>
      </c>
      <c r="B599" s="65" t="str">
        <f>IFERROR(__xludf.DUMMYFUNCTION("""COMPUTED_VALUE"""),"#16499")</f>
        <v>#16499</v>
      </c>
      <c r="C599" s="65" t="str">
        <f>IFERROR(__xludf.DUMMYFUNCTION("""COMPUTED_VALUE"""),"christiancheng333@gmail.com")</f>
        <v>christiancheng333@gmail.com</v>
      </c>
      <c r="D599" s="65">
        <f>IFERROR(__xludf.DUMMYFUNCTION("""COMPUTED_VALUE"""),9.177506658E9)</f>
        <v>9177506658</v>
      </c>
      <c r="E599" s="65" t="str">
        <f>IFERROR(__xludf.DUMMYFUNCTION("""COMPUTED_VALUE"""),"Christian Cheng")</f>
        <v>Christian Cheng</v>
      </c>
      <c r="F599" s="65" t="str">
        <f>IFERROR(__xludf.DUMMYFUNCTION("""COMPUTED_VALUE"""),"Christian Cheng")</f>
        <v>Christian Cheng</v>
      </c>
      <c r="G599" s="65"/>
      <c r="H599" s="65" t="str">
        <f>IFERROR(__xludf.DUMMYFUNCTION("""COMPUTED_VALUE"""),"Storage Item Return")</f>
        <v>Storage Item Return</v>
      </c>
      <c r="I599" s="65" t="str">
        <f>IFERROR(__xludf.DUMMYFUNCTION("""COMPUTED_VALUE"""),"University Housing ")</f>
        <v>University Housing </v>
      </c>
      <c r="J599" s="108" t="str">
        <f>IFERROR(__xludf.DUMMYFUNCTION("""COMPUTED_VALUE"""),"12:00 PM to 02:00 PM   ")</f>
        <v>12:00 PM to 02:00 PM   </v>
      </c>
      <c r="K599" s="108">
        <f>IFERROR(__xludf.DUMMYFUNCTION("""COMPUTED_VALUE"""),45894.0)</f>
        <v>45894</v>
      </c>
      <c r="L599" s="65" t="str">
        <f>IFERROR(__xludf.DUMMYFUNCTION("""COMPUTED_VALUE"""),"Loop Loft 6200  ")</f>
        <v>Loop Loft 6200  </v>
      </c>
      <c r="M599" s="65" t="str">
        <f>IFERROR(__xludf.DUMMYFUNCTION("""COMPUTED_VALUE"""),"217-a")</f>
        <v>217-a</v>
      </c>
      <c r="N599" s="65"/>
      <c r="O599" s="65"/>
      <c r="P599" s="65" t="b">
        <f>COUNTIF('Delivered SIR'!A:A, E599) &gt; 0</f>
        <v>0</v>
      </c>
    </row>
    <row r="600">
      <c r="A600" s="99" t="str">
        <f>IFERROR(__xludf.DUMMYFUNCTION("""COMPUTED_VALUE"""),"https://utrucking.com/admin/orders/5951421710524")</f>
        <v>https://utrucking.com/admin/orders/5951421710524</v>
      </c>
      <c r="B600" s="61" t="str">
        <f>IFERROR(__xludf.DUMMYFUNCTION("""COMPUTED_VALUE"""),"#16503")</f>
        <v>#16503</v>
      </c>
      <c r="C600" s="61" t="str">
        <f>IFERROR(__xludf.DUMMYFUNCTION("""COMPUTED_VALUE"""),"j.t.yu@wustl.edu")</f>
        <v>j.t.yu@wustl.edu</v>
      </c>
      <c r="D600" s="61">
        <f>IFERROR(__xludf.DUMMYFUNCTION("""COMPUTED_VALUE"""),3.105706879E9)</f>
        <v>3105706879</v>
      </c>
      <c r="E600" s="61" t="str">
        <f>IFERROR(__xludf.DUMMYFUNCTION("""COMPUTED_VALUE"""),"Justin Yu")</f>
        <v>Justin Yu</v>
      </c>
      <c r="F600" s="61" t="str">
        <f>IFERROR(__xludf.DUMMYFUNCTION("""COMPUTED_VALUE"""),"Justin Yu")</f>
        <v>Justin Yu</v>
      </c>
      <c r="G600" s="61"/>
      <c r="H600" s="61" t="str">
        <f>IFERROR(__xludf.DUMMYFUNCTION("""COMPUTED_VALUE"""),"Storage Item Return")</f>
        <v>Storage Item Return</v>
      </c>
      <c r="I600" s="61" t="str">
        <f>IFERROR(__xludf.DUMMYFUNCTION("""COMPUTED_VALUE"""),"University Housing ")</f>
        <v>University Housing </v>
      </c>
      <c r="J600" s="107" t="str">
        <f>IFERROR(__xludf.DUMMYFUNCTION("""COMPUTED_VALUE"""),"09:00 AM to 11:00 AM   ")</f>
        <v>09:00 AM to 11:00 AM   </v>
      </c>
      <c r="K600" s="107">
        <f>IFERROR(__xludf.DUMMYFUNCTION("""COMPUTED_VALUE"""),45894.0)</f>
        <v>45894</v>
      </c>
      <c r="L600" s="61" t="str">
        <f>IFERROR(__xludf.DUMMYFUNCTION("""COMPUTED_VALUE"""),"Millbrook Bldg. 2  ")</f>
        <v>Millbrook Bldg. 2  </v>
      </c>
      <c r="M600" s="61" t="str">
        <f>IFERROR(__xludf.DUMMYFUNCTION("""COMPUTED_VALUE"""),"106B")</f>
        <v>106B</v>
      </c>
      <c r="N600" s="61"/>
      <c r="O600" s="61"/>
      <c r="P600" s="61" t="b">
        <f>COUNTIF('Delivered SIR'!A:A, E600) &gt; 0</f>
        <v>0</v>
      </c>
    </row>
    <row r="601">
      <c r="A601" s="102" t="str">
        <f>IFERROR(__xludf.DUMMYFUNCTION("""COMPUTED_VALUE"""),"https://utrucking.com/admin/orders/5951450644668")</f>
        <v>https://utrucking.com/admin/orders/5951450644668</v>
      </c>
      <c r="B601" s="65" t="str">
        <f>IFERROR(__xludf.DUMMYFUNCTION("""COMPUTED_VALUE"""),"#16504")</f>
        <v>#16504</v>
      </c>
      <c r="C601" s="65" t="str">
        <f>IFERROR(__xludf.DUMMYFUNCTION("""COMPUTED_VALUE"""),"o.m.sadik@wustl.edu")</f>
        <v>o.m.sadik@wustl.edu</v>
      </c>
      <c r="D601" s="65">
        <f>IFERROR(__xludf.DUMMYFUNCTION("""COMPUTED_VALUE"""),9.7388529E9)</f>
        <v>9738852900</v>
      </c>
      <c r="E601" s="65" t="str">
        <f>IFERROR(__xludf.DUMMYFUNCTION("""COMPUTED_VALUE"""),"Olaolu Sadik")</f>
        <v>Olaolu Sadik</v>
      </c>
      <c r="F601" s="65" t="str">
        <f>IFERROR(__xludf.DUMMYFUNCTION("""COMPUTED_VALUE"""),"Olaolu M Sadik")</f>
        <v>Olaolu M Sadik</v>
      </c>
      <c r="G601" s="65"/>
      <c r="H601" s="65" t="str">
        <f>IFERROR(__xludf.DUMMYFUNCTION("""COMPUTED_VALUE"""),"Storage Item Return")</f>
        <v>Storage Item Return</v>
      </c>
      <c r="I601" s="65" t="str">
        <f>IFERROR(__xludf.DUMMYFUNCTION("""COMPUTED_VALUE"""),"University Housing ")</f>
        <v>University Housing </v>
      </c>
      <c r="J601" s="108" t="str">
        <f>IFERROR(__xludf.DUMMYFUNCTION("""COMPUTED_VALUE"""),"03:00 PM to 05:00 PM ")</f>
        <v>03:00 PM to 05:00 PM </v>
      </c>
      <c r="K601" s="108">
        <f>IFERROR(__xludf.DUMMYFUNCTION("""COMPUTED_VALUE"""),45894.0)</f>
        <v>45894</v>
      </c>
      <c r="L601" s="65" t="str">
        <f>IFERROR(__xludf.DUMMYFUNCTION("""COMPUTED_VALUE"""),"Village House  ")</f>
        <v>Village House  </v>
      </c>
      <c r="M601" s="65" t="str">
        <f>IFERROR(__xludf.DUMMYFUNCTION("""COMPUTED_VALUE"""),"4142")</f>
        <v>4142</v>
      </c>
      <c r="N601" s="65"/>
      <c r="O601" s="65"/>
      <c r="P601" s="65" t="b">
        <f>COUNTIF('Delivered SIR'!A:A, E601) &gt; 0</f>
        <v>1</v>
      </c>
    </row>
    <row r="602">
      <c r="A602" s="99" t="str">
        <f>IFERROR(__xludf.DUMMYFUNCTION("""COMPUTED_VALUE"""),"https://utrucking.com/admin/orders/5951471485116")</f>
        <v>https://utrucking.com/admin/orders/5951471485116</v>
      </c>
      <c r="B602" s="61" t="str">
        <f>IFERROR(__xludf.DUMMYFUNCTION("""COMPUTED_VALUE"""),"#16505")</f>
        <v>#16505</v>
      </c>
      <c r="C602" s="61" t="str">
        <f>IFERROR(__xludf.DUMMYFUNCTION("""COMPUTED_VALUE"""),"l.taeeun@wustl.edu")</f>
        <v>l.taeeun@wustl.edu</v>
      </c>
      <c r="D602" s="61">
        <f>IFERROR(__xludf.DUMMYFUNCTION("""COMPUTED_VALUE"""),1.086844181E9)</f>
        <v>1086844181</v>
      </c>
      <c r="E602" s="61" t="str">
        <f>IFERROR(__xludf.DUMMYFUNCTION("""COMPUTED_VALUE"""),"Jiyoung Kim")</f>
        <v>Jiyoung Kim</v>
      </c>
      <c r="F602" s="61" t="str">
        <f>IFERROR(__xludf.DUMMYFUNCTION("""COMPUTED_VALUE"""),"Taeeun Lim")</f>
        <v>Taeeun Lim</v>
      </c>
      <c r="G602" s="61"/>
      <c r="H602" s="61" t="str">
        <f>IFERROR(__xludf.DUMMYFUNCTION("""COMPUTED_VALUE"""),"Storage Item Return")</f>
        <v>Storage Item Return</v>
      </c>
      <c r="I602" s="61" t="str">
        <f>IFERROR(__xludf.DUMMYFUNCTION("""COMPUTED_VALUE"""),"University Housing ")</f>
        <v>University Housing </v>
      </c>
      <c r="J602" s="107" t="str">
        <f>IFERROR(__xludf.DUMMYFUNCTION("""COMPUTED_VALUE"""),"09:00 AM to 11:00 AM   ")</f>
        <v>09:00 AM to 11:00 AM   </v>
      </c>
      <c r="K602" s="107">
        <f>IFERROR(__xludf.DUMMYFUNCTION("""COMPUTED_VALUE"""),45894.0)</f>
        <v>45894</v>
      </c>
      <c r="L602" s="61" t="str">
        <f>IFERROR(__xludf.DUMMYFUNCTION("""COMPUTED_VALUE"""),"Loop Loft 6300  ")</f>
        <v>Loop Loft 6300  </v>
      </c>
      <c r="M602" s="61" t="str">
        <f>IFERROR(__xludf.DUMMYFUNCTION("""COMPUTED_VALUE"""),"206B")</f>
        <v>206B</v>
      </c>
      <c r="N602" s="61"/>
      <c r="O602" s="61"/>
      <c r="P602" s="61" t="b">
        <f>COUNTIF('Delivered SIR'!A:A, E602) &gt; 0</f>
        <v>0</v>
      </c>
    </row>
    <row r="603">
      <c r="A603" s="102" t="str">
        <f>IFERROR(__xludf.DUMMYFUNCTION("""COMPUTED_VALUE"""),"https://utrucking.com/admin/orders/5951709642940")</f>
        <v>https://utrucking.com/admin/orders/5951709642940</v>
      </c>
      <c r="B603" s="65" t="str">
        <f>IFERROR(__xludf.DUMMYFUNCTION("""COMPUTED_VALUE"""),"#16506")</f>
        <v>#16506</v>
      </c>
      <c r="C603" s="65" t="str">
        <f>IFERROR(__xludf.DUMMYFUNCTION("""COMPUTED_VALUE"""),"bobby@darin.net")</f>
        <v>bobby@darin.net</v>
      </c>
      <c r="D603" s="65">
        <f>IFERROR(__xludf.DUMMYFUNCTION("""COMPUTED_VALUE"""),1.56128943E10)</f>
        <v>15612894300</v>
      </c>
      <c r="E603" s="65" t="str">
        <f>IFERROR(__xludf.DUMMYFUNCTION("""COMPUTED_VALUE"""),"Bobby Kaplan")</f>
        <v>Bobby Kaplan</v>
      </c>
      <c r="F603" s="65" t="str">
        <f>IFERROR(__xludf.DUMMYFUNCTION("""COMPUTED_VALUE"""),"Robert Kaplan")</f>
        <v>Robert Kaplan</v>
      </c>
      <c r="G603" s="65"/>
      <c r="H603" s="65" t="str">
        <f>IFERROR(__xludf.DUMMYFUNCTION("""COMPUTED_VALUE"""),"Storage Item Return")</f>
        <v>Storage Item Return</v>
      </c>
      <c r="I603" s="65" t="str">
        <f>IFERROR(__xludf.DUMMYFUNCTION("""COMPUTED_VALUE"""),"University Housing ")</f>
        <v>University Housing </v>
      </c>
      <c r="J603" s="108" t="str">
        <f>IFERROR(__xludf.DUMMYFUNCTION("""COMPUTED_VALUE"""),"09:00 AM to 11:00 AM   ")</f>
        <v>09:00 AM to 11:00 AM   </v>
      </c>
      <c r="K603" s="108">
        <f>IFERROR(__xludf.DUMMYFUNCTION("""COMPUTED_VALUE"""),45894.0)</f>
        <v>45894</v>
      </c>
      <c r="L603" s="65" t="str">
        <f>IFERROR(__xludf.DUMMYFUNCTION("""COMPUTED_VALUE"""),"Millbrook Bldg. 1  ")</f>
        <v>Millbrook Bldg. 1  </v>
      </c>
      <c r="M603" s="65" t="str">
        <f>IFERROR(__xludf.DUMMYFUNCTION("""COMPUTED_VALUE"""),"101A")</f>
        <v>101A</v>
      </c>
      <c r="N603" s="65"/>
      <c r="O603" s="65"/>
      <c r="P603" s="65" t="b">
        <f>COUNTIF('Delivered SIR'!A:A, E603) &gt; 0</f>
        <v>0</v>
      </c>
    </row>
    <row r="604">
      <c r="A604" s="99" t="str">
        <f>IFERROR(__xludf.DUMMYFUNCTION("""COMPUTED_VALUE"""),"https://utrucking.com/admin/orders/5951761481916")</f>
        <v>https://utrucking.com/admin/orders/5951761481916</v>
      </c>
      <c r="B604" s="61" t="str">
        <f>IFERROR(__xludf.DUMMYFUNCTION("""COMPUTED_VALUE"""),"#16507")</f>
        <v>#16507</v>
      </c>
      <c r="C604" s="61" t="str">
        <f>IFERROR(__xludf.DUMMYFUNCTION("""COMPUTED_VALUE"""),"en@wustl.edu")</f>
        <v>en@wustl.edu</v>
      </c>
      <c r="D604" s="61">
        <f>IFERROR(__xludf.DUMMYFUNCTION("""COMPUTED_VALUE"""),3.148149677E9)</f>
        <v>3148149677</v>
      </c>
      <c r="E604" s="61" t="str">
        <f>IFERROR(__xludf.DUMMYFUNCTION("""COMPUTED_VALUE"""),"En Wei")</f>
        <v>En Wei</v>
      </c>
      <c r="F604" s="61" t="str">
        <f>IFERROR(__xludf.DUMMYFUNCTION("""COMPUTED_VALUE"""),"En Wei")</f>
        <v>En Wei</v>
      </c>
      <c r="G604" s="61" t="str">
        <f>IFERROR(__xludf.DUMMYFUNCTION("""COMPUTED_VALUE"""),"7256 Pershing Ave")</f>
        <v>7256 Pershing Ave</v>
      </c>
      <c r="H604" s="61" t="str">
        <f>IFERROR(__xludf.DUMMYFUNCTION("""COMPUTED_VALUE"""),"Storage Item Return")</f>
        <v>Storage Item Return</v>
      </c>
      <c r="I604" s="61" t="str">
        <f>IFERROR(__xludf.DUMMYFUNCTION("""COMPUTED_VALUE"""),"Non-University Housing ")</f>
        <v>Non-University Housing </v>
      </c>
      <c r="J604" s="107" t="str">
        <f>IFERROR(__xludf.DUMMYFUNCTION("""COMPUTED_VALUE"""),"09:00 AM to 11:00 AM   ")</f>
        <v>09:00 AM to 11:00 AM   </v>
      </c>
      <c r="K604" s="107">
        <f>IFERROR(__xludf.DUMMYFUNCTION("""COMPUTED_VALUE"""),45894.0)</f>
        <v>45894</v>
      </c>
      <c r="L604" s="61"/>
      <c r="M604" s="61"/>
      <c r="N604" s="61" t="str">
        <f>IFERROR(__xludf.DUMMYFUNCTION("""COMPUTED_VALUE"""),"7256 Pershing Ave")</f>
        <v>7256 Pershing Ave</v>
      </c>
      <c r="O604" s="61"/>
      <c r="P604" s="61" t="b">
        <f>COUNTIF('Delivered SIR'!A:A, E604) &gt; 0</f>
        <v>0</v>
      </c>
    </row>
    <row r="605">
      <c r="A605" s="102" t="str">
        <f>IFERROR(__xludf.DUMMYFUNCTION("""COMPUTED_VALUE"""),"https://utrucking.com/admin/orders/5951779602620")</f>
        <v>https://utrucking.com/admin/orders/5951779602620</v>
      </c>
      <c r="B605" s="65" t="str">
        <f>IFERROR(__xludf.DUMMYFUNCTION("""COMPUTED_VALUE"""),"#16508")</f>
        <v>#16508</v>
      </c>
      <c r="C605" s="65"/>
      <c r="D605" s="65">
        <f>IFERROR(__xludf.DUMMYFUNCTION("""COMPUTED_VALUE"""),9.097614334E9)</f>
        <v>9097614334</v>
      </c>
      <c r="E605" s="65" t="str">
        <f>IFERROR(__xludf.DUMMYFUNCTION("""COMPUTED_VALUE"""),"Daniel Oliva")</f>
        <v>Daniel Oliva</v>
      </c>
      <c r="F605" s="65" t="str">
        <f>IFERROR(__xludf.DUMMYFUNCTION("""COMPUTED_VALUE"""),"Daniel O.")</f>
        <v>Daniel O.</v>
      </c>
      <c r="G605" s="65" t="str">
        <f>IFERROR(__xludf.DUMMYFUNCTION("""COMPUTED_VALUE"""),"738 Interdrive, University City, MO 63130")</f>
        <v>738 Interdrive, University City, MO 63130</v>
      </c>
      <c r="H605" s="65" t="str">
        <f>IFERROR(__xludf.DUMMYFUNCTION("""COMPUTED_VALUE"""),"Storage Item Return")</f>
        <v>Storage Item Return</v>
      </c>
      <c r="I605" s="65" t="str">
        <f>IFERROR(__xludf.DUMMYFUNCTION("""COMPUTED_VALUE"""),"Non-University Housing ")</f>
        <v>Non-University Housing </v>
      </c>
      <c r="J605" s="108" t="str">
        <f>IFERROR(__xludf.DUMMYFUNCTION("""COMPUTED_VALUE"""),"09:00 AM to 11:00 AM   ")</f>
        <v>09:00 AM to 11:00 AM   </v>
      </c>
      <c r="K605" s="108">
        <f>IFERROR(__xludf.DUMMYFUNCTION("""COMPUTED_VALUE"""),45893.0)</f>
        <v>45893</v>
      </c>
      <c r="L605" s="65"/>
      <c r="M605" s="65"/>
      <c r="N605" s="65" t="str">
        <f>IFERROR(__xludf.DUMMYFUNCTION("""COMPUTED_VALUE"""),"738 Interdrive, University City, MO 63130")</f>
        <v>738 Interdrive, University City, MO 63130</v>
      </c>
      <c r="O605" s="65"/>
      <c r="P605" s="65" t="b">
        <f>COUNTIF('Delivered SIR'!A:A, E605) &gt; 0</f>
        <v>0</v>
      </c>
    </row>
    <row r="606">
      <c r="A606" s="99" t="str">
        <f>IFERROR(__xludf.DUMMYFUNCTION("""COMPUTED_VALUE"""),"https://utrucking.com/admin/orders/5951904415932")</f>
        <v>https://utrucking.com/admin/orders/5951904415932</v>
      </c>
      <c r="B606" s="61" t="str">
        <f>IFERROR(__xludf.DUMMYFUNCTION("""COMPUTED_VALUE"""),"#16516")</f>
        <v>#16516</v>
      </c>
      <c r="C606" s="61" t="str">
        <f>IFERROR(__xludf.DUMMYFUNCTION("""COMPUTED_VALUE"""),"kevin.tong@wustl.edu")</f>
        <v>kevin.tong@wustl.edu</v>
      </c>
      <c r="D606" s="61">
        <f>IFERROR(__xludf.DUMMYFUNCTION("""COMPUTED_VALUE"""),7.814757421E9)</f>
        <v>7814757421</v>
      </c>
      <c r="E606" s="61" t="str">
        <f>IFERROR(__xludf.DUMMYFUNCTION("""COMPUTED_VALUE"""),"Kevin Tong")</f>
        <v>Kevin Tong</v>
      </c>
      <c r="F606" s="61" t="str">
        <f>IFERROR(__xludf.DUMMYFUNCTION("""COMPUTED_VALUE"""),"Kevin Tong")</f>
        <v>Kevin Tong</v>
      </c>
      <c r="G606" s="61" t="str">
        <f>IFERROR(__xludf.DUMMYFUNCTION("""COMPUTED_VALUE"""),"8400 Delmar Blvd, St. Louis, MO 63124
Apartment 222")</f>
        <v>8400 Delmar Blvd, St. Louis, MO 63124
Apartment 222</v>
      </c>
      <c r="H606" s="61" t="str">
        <f>IFERROR(__xludf.DUMMYFUNCTION("""COMPUTED_VALUE"""),"Storage Item Return")</f>
        <v>Storage Item Return</v>
      </c>
      <c r="I606" s="61" t="str">
        <f>IFERROR(__xludf.DUMMYFUNCTION("""COMPUTED_VALUE"""),"Non-University Housing ")</f>
        <v>Non-University Housing </v>
      </c>
      <c r="J606" s="107" t="str">
        <f>IFERROR(__xludf.DUMMYFUNCTION("""COMPUTED_VALUE"""),"09:00 AM to 11:00 AM   ")</f>
        <v>09:00 AM to 11:00 AM   </v>
      </c>
      <c r="K606" s="107">
        <f>IFERROR(__xludf.DUMMYFUNCTION("""COMPUTED_VALUE"""),45894.0)</f>
        <v>45894</v>
      </c>
      <c r="L606" s="61"/>
      <c r="M606" s="61"/>
      <c r="N606" s="61" t="str">
        <f>IFERROR(__xludf.DUMMYFUNCTION("""COMPUTED_VALUE"""),"8400 Delmar Blvd, St. Louis, MO 63124
Apartment 222")</f>
        <v>8400 Delmar Blvd, St. Louis, MO 63124
Apartment 222</v>
      </c>
      <c r="O606" s="61"/>
      <c r="P606" s="61" t="b">
        <f>COUNTIF('Delivered SIR'!A:A, E606) &gt; 0</f>
        <v>0</v>
      </c>
    </row>
    <row r="607">
      <c r="A607" s="102" t="str">
        <f>IFERROR(__xludf.DUMMYFUNCTION("""COMPUTED_VALUE"""),"https://utrucking.com/admin/orders/5952293568700")</f>
        <v>https://utrucking.com/admin/orders/5952293568700</v>
      </c>
      <c r="B607" s="65" t="str">
        <f>IFERROR(__xludf.DUMMYFUNCTION("""COMPUTED_VALUE"""),"#16517")</f>
        <v>#16517</v>
      </c>
      <c r="C607" s="65" t="str">
        <f>IFERROR(__xludf.DUMMYFUNCTION("""COMPUTED_VALUE"""),"bueno@wustl.edu")</f>
        <v>bueno@wustl.edu</v>
      </c>
      <c r="D607" s="65">
        <f>IFERROR(__xludf.DUMMYFUNCTION("""COMPUTED_VALUE"""),5.052979003E9)</f>
        <v>5052979003</v>
      </c>
      <c r="E607" s="65" t="str">
        <f>IFERROR(__xludf.DUMMYFUNCTION("""COMPUTED_VALUE"""),"Timothy Bueno")</f>
        <v>Timothy Bueno</v>
      </c>
      <c r="F607" s="65" t="str">
        <f>IFERROR(__xludf.DUMMYFUNCTION("""COMPUTED_VALUE"""),"Timothy Bueno")</f>
        <v>Timothy Bueno</v>
      </c>
      <c r="G607" s="65"/>
      <c r="H607" s="65" t="str">
        <f>IFERROR(__xludf.DUMMYFUNCTION("""COMPUTED_VALUE"""),"Storage Item Return")</f>
        <v>Storage Item Return</v>
      </c>
      <c r="I607" s="65" t="str">
        <f>IFERROR(__xludf.DUMMYFUNCTION("""COMPUTED_VALUE"""),"University Housing ")</f>
        <v>University Housing </v>
      </c>
      <c r="J607" s="108" t="str">
        <f>IFERROR(__xludf.DUMMYFUNCTION("""COMPUTED_VALUE"""),"09:00 AM to 11:00 AM   ")</f>
        <v>09:00 AM to 11:00 AM   </v>
      </c>
      <c r="K607" s="108">
        <f>IFERROR(__xludf.DUMMYFUNCTION("""COMPUTED_VALUE"""),45894.0)</f>
        <v>45894</v>
      </c>
      <c r="L607" s="65" t="str">
        <f>IFERROR(__xludf.DUMMYFUNCTION("""COMPUTED_VALUE"""),"Lopata  ")</f>
        <v>Lopata  </v>
      </c>
      <c r="M607" s="65" t="str">
        <f>IFERROR(__xludf.DUMMYFUNCTION("""COMPUTED_VALUE"""),"2082")</f>
        <v>2082</v>
      </c>
      <c r="N607" s="65"/>
      <c r="O607" s="65"/>
      <c r="P607" s="65" t="b">
        <f>COUNTIF('Delivered SIR'!A:A, E607) &gt; 0</f>
        <v>0</v>
      </c>
    </row>
    <row r="608">
      <c r="A608" s="99" t="str">
        <f>IFERROR(__xludf.DUMMYFUNCTION("""COMPUTED_VALUE"""),"https://utrucking.com/admin/orders/5952309231804")</f>
        <v>https://utrucking.com/admin/orders/5952309231804</v>
      </c>
      <c r="B608" s="61" t="str">
        <f>IFERROR(__xludf.DUMMYFUNCTION("""COMPUTED_VALUE"""),"#16518")</f>
        <v>#16518</v>
      </c>
      <c r="C608" s="61"/>
      <c r="D608" s="61">
        <f>IFERROR(__xludf.DUMMYFUNCTION("""COMPUTED_VALUE"""),3.475867319E9)</f>
        <v>3475867319</v>
      </c>
      <c r="E608" s="61" t="str">
        <f>IFERROR(__xludf.DUMMYFUNCTION("""COMPUTED_VALUE"""),"James West")</f>
        <v>James West</v>
      </c>
      <c r="F608" s="61" t="str">
        <f>IFERROR(__xludf.DUMMYFUNCTION("""COMPUTED_VALUE"""),"James West")</f>
        <v>James West</v>
      </c>
      <c r="G608" s="61"/>
      <c r="H608" s="61" t="str">
        <f>IFERROR(__xludf.DUMMYFUNCTION("""COMPUTED_VALUE"""),"Storage Item Return")</f>
        <v>Storage Item Return</v>
      </c>
      <c r="I608" s="61" t="str">
        <f>IFERROR(__xludf.DUMMYFUNCTION("""COMPUTED_VALUE"""),"University Housing ")</f>
        <v>University Housing </v>
      </c>
      <c r="J608" s="107" t="str">
        <f>IFERROR(__xludf.DUMMYFUNCTION("""COMPUTED_VALUE"""),"09:00 AM to 11:00 AM   ")</f>
        <v>09:00 AM to 11:00 AM   </v>
      </c>
      <c r="K608" s="107">
        <f>IFERROR(__xludf.DUMMYFUNCTION("""COMPUTED_VALUE"""),45894.0)</f>
        <v>45894</v>
      </c>
      <c r="L608" s="61" t="str">
        <f>IFERROR(__xludf.DUMMYFUNCTION("""COMPUTED_VALUE"""),"6649 University Drive  ")</f>
        <v>6649 University Drive  </v>
      </c>
      <c r="M608" s="61" t="str">
        <f>IFERROR(__xludf.DUMMYFUNCTION("""COMPUTED_VALUE"""),"2E-A - a")</f>
        <v>2E-A - a</v>
      </c>
      <c r="N608" s="61"/>
      <c r="O608" s="61"/>
      <c r="P608" s="61" t="b">
        <f>COUNTIF('Delivered SIR'!A:A, E608) &gt; 0</f>
        <v>0</v>
      </c>
    </row>
    <row r="609">
      <c r="A609" s="102" t="str">
        <f>IFERROR(__xludf.DUMMYFUNCTION("""COMPUTED_VALUE"""),"https://utrucking.com/admin/orders/5952490012860")</f>
        <v>https://utrucking.com/admin/orders/5952490012860</v>
      </c>
      <c r="B609" s="65" t="str">
        <f>IFERROR(__xludf.DUMMYFUNCTION("""COMPUTED_VALUE"""),"#16519")</f>
        <v>#16519</v>
      </c>
      <c r="C609" s="65"/>
      <c r="D609" s="65">
        <f>IFERROR(__xludf.DUMMYFUNCTION("""COMPUTED_VALUE"""),1.862428609E10)</f>
        <v>18624286090</v>
      </c>
      <c r="E609" s="65" t="str">
        <f>IFERROR(__xludf.DUMMYFUNCTION("""COMPUTED_VALUE"""),"Shravan Sen")</f>
        <v>Shravan Sen</v>
      </c>
      <c r="F609" s="65" t="str">
        <f>IFERROR(__xludf.DUMMYFUNCTION("""COMPUTED_VALUE"""),"Shravan Sen")</f>
        <v>Shravan Sen</v>
      </c>
      <c r="G609" s="65"/>
      <c r="H609" s="65" t="str">
        <f>IFERROR(__xludf.DUMMYFUNCTION("""COMPUTED_VALUE"""),"Storage Item Return")</f>
        <v>Storage Item Return</v>
      </c>
      <c r="I609" s="65" t="str">
        <f>IFERROR(__xludf.DUMMYFUNCTION("""COMPUTED_VALUE"""),"University Housing ")</f>
        <v>University Housing </v>
      </c>
      <c r="J609" s="108" t="str">
        <f>IFERROR(__xludf.DUMMYFUNCTION("""COMPUTED_VALUE"""),"03:00 PM to 05:00 PM ")</f>
        <v>03:00 PM to 05:00 PM </v>
      </c>
      <c r="K609" s="108">
        <f>IFERROR(__xludf.DUMMYFUNCTION("""COMPUTED_VALUE"""),45895.0)</f>
        <v>45895</v>
      </c>
      <c r="L609" s="65" t="str">
        <f>IFERROR(__xludf.DUMMYFUNCTION("""COMPUTED_VALUE"""),"Greenway Apartments  ")</f>
        <v>Greenway Apartments  </v>
      </c>
      <c r="M609" s="65" t="str">
        <f>IFERROR(__xludf.DUMMYFUNCTION("""COMPUTED_VALUE"""),"115")</f>
        <v>115</v>
      </c>
      <c r="N609" s="65"/>
      <c r="O609" s="65"/>
      <c r="P609" s="65" t="b">
        <f>COUNTIF('Delivered SIR'!A:A, E609) &gt; 0</f>
        <v>1</v>
      </c>
    </row>
    <row r="610">
      <c r="A610" s="99" t="str">
        <f>IFERROR(__xludf.DUMMYFUNCTION("""COMPUTED_VALUE"""),"https://utrucking.com/admin/orders/5953513586876")</f>
        <v>https://utrucking.com/admin/orders/5953513586876</v>
      </c>
      <c r="B610" s="61" t="str">
        <f>IFERROR(__xludf.DUMMYFUNCTION("""COMPUTED_VALUE"""),"#16524")</f>
        <v>#16524</v>
      </c>
      <c r="C610" s="61" t="str">
        <f>IFERROR(__xludf.DUMMYFUNCTION("""COMPUTED_VALUE"""),"a.l.oates@wustl.edu")</f>
        <v>a.l.oates@wustl.edu</v>
      </c>
      <c r="D610" s="61">
        <f>IFERROR(__xludf.DUMMYFUNCTION("""COMPUTED_VALUE"""),6.602005421E9)</f>
        <v>6602005421</v>
      </c>
      <c r="E610" s="61" t="str">
        <f>IFERROR(__xludf.DUMMYFUNCTION("""COMPUTED_VALUE"""),"Alisa Oates")</f>
        <v>Alisa Oates</v>
      </c>
      <c r="F610" s="61" t="str">
        <f>IFERROR(__xludf.DUMMYFUNCTION("""COMPUTED_VALUE"""),"Alisa Oates")</f>
        <v>Alisa Oates</v>
      </c>
      <c r="G610" s="61"/>
      <c r="H610" s="61" t="str">
        <f>IFERROR(__xludf.DUMMYFUNCTION("""COMPUTED_VALUE"""),"Storage Item Return")</f>
        <v>Storage Item Return</v>
      </c>
      <c r="I610" s="61" t="str">
        <f>IFERROR(__xludf.DUMMYFUNCTION("""COMPUTED_VALUE"""),"University Housing ")</f>
        <v>University Housing </v>
      </c>
      <c r="J610" s="107" t="str">
        <f>IFERROR(__xludf.DUMMYFUNCTION("""COMPUTED_VALUE"""),"10:00 AM to 12:00 PM   ")</f>
        <v>10:00 AM to 12:00 PM   </v>
      </c>
      <c r="K610" s="107">
        <f>IFERROR(__xludf.DUMMYFUNCTION("""COMPUTED_VALUE"""),45896.0)</f>
        <v>45896</v>
      </c>
      <c r="L610" s="61" t="str">
        <f>IFERROR(__xludf.DUMMYFUNCTION("""COMPUTED_VALUE"""),"Mudd  ")</f>
        <v>Mudd  </v>
      </c>
      <c r="M610" s="61" t="str">
        <f>IFERROR(__xludf.DUMMYFUNCTION("""COMPUTED_VALUE"""),"492")</f>
        <v>492</v>
      </c>
      <c r="N610" s="61"/>
      <c r="O610" s="61"/>
      <c r="P610" s="61" t="b">
        <f>COUNTIF('Delivered SIR'!A:A, E610) &gt; 0</f>
        <v>0</v>
      </c>
    </row>
    <row r="611">
      <c r="A611" s="102" t="str">
        <f>IFERROR(__xludf.DUMMYFUNCTION("""COMPUTED_VALUE"""),"https://utrucking.com/admin/orders/5954178121916")</f>
        <v>https://utrucking.com/admin/orders/5954178121916</v>
      </c>
      <c r="B611" s="65" t="str">
        <f>IFERROR(__xludf.DUMMYFUNCTION("""COMPUTED_VALUE"""),"#16528")</f>
        <v>#16528</v>
      </c>
      <c r="C611" s="65" t="str">
        <f>IFERROR(__xludf.DUMMYFUNCTION("""COMPUTED_VALUE"""),"haow1@wustl.edu")</f>
        <v>haow1@wustl.edu</v>
      </c>
      <c r="D611" s="65">
        <f>IFERROR(__xludf.DUMMYFUNCTION("""COMPUTED_VALUE"""),6.468539122E9)</f>
        <v>6468539122</v>
      </c>
      <c r="E611" s="65" t="str">
        <f>IFERROR(__xludf.DUMMYFUNCTION("""COMPUTED_VALUE"""),"Hao Wang")</f>
        <v>Hao Wang</v>
      </c>
      <c r="F611" s="65" t="str">
        <f>IFERROR(__xludf.DUMMYFUNCTION("""COMPUTED_VALUE"""),"Hao Wang")</f>
        <v>Hao Wang</v>
      </c>
      <c r="G611" s="65"/>
      <c r="H611" s="65" t="str">
        <f>IFERROR(__xludf.DUMMYFUNCTION("""COMPUTED_VALUE"""),"Storage Item Return")</f>
        <v>Storage Item Return</v>
      </c>
      <c r="I611" s="65" t="str">
        <f>IFERROR(__xludf.DUMMYFUNCTION("""COMPUTED_VALUE"""),"University Housing ")</f>
        <v>University Housing </v>
      </c>
      <c r="J611" s="108" t="str">
        <f>IFERROR(__xludf.DUMMYFUNCTION("""COMPUTED_VALUE"""),"09:00 AM to 11:00 AM   ")</f>
        <v>09:00 AM to 11:00 AM   </v>
      </c>
      <c r="K611" s="108">
        <f>IFERROR(__xludf.DUMMYFUNCTION("""COMPUTED_VALUE"""),45896.0)</f>
        <v>45896</v>
      </c>
      <c r="L611" s="65" t="str">
        <f>IFERROR(__xludf.DUMMYFUNCTION("""COMPUTED_VALUE"""),"House 1")</f>
        <v>House 1</v>
      </c>
      <c r="M611" s="65" t="str">
        <f>IFERROR(__xludf.DUMMYFUNCTION("""COMPUTED_VALUE"""),"117")</f>
        <v>117</v>
      </c>
      <c r="N611" s="65"/>
      <c r="O611" s="65"/>
      <c r="P611" s="65" t="b">
        <f>COUNTIF('Delivered SIR'!A:A, E611) &gt; 0</f>
        <v>0</v>
      </c>
    </row>
    <row r="612">
      <c r="A612" s="99" t="str">
        <f>IFERROR(__xludf.DUMMYFUNCTION("""COMPUTED_VALUE"""),"https://utrucking.com/admin/orders/5955613491388")</f>
        <v>https://utrucking.com/admin/orders/5955613491388</v>
      </c>
      <c r="B612" s="61" t="str">
        <f>IFERROR(__xludf.DUMMYFUNCTION("""COMPUTED_VALUE"""),"#16530")</f>
        <v>#16530</v>
      </c>
      <c r="C612" s="61"/>
      <c r="D612" s="61">
        <f>IFERROR(__xludf.DUMMYFUNCTION("""COMPUTED_VALUE"""),6.107512849E9)</f>
        <v>6107512849</v>
      </c>
      <c r="E612" s="61" t="str">
        <f>IFERROR(__xludf.DUMMYFUNCTION("""COMPUTED_VALUE"""),"Nikki Zheng")</f>
        <v>Nikki Zheng</v>
      </c>
      <c r="F612" s="61" t="str">
        <f>IFERROR(__xludf.DUMMYFUNCTION("""COMPUTED_VALUE"""),"Nikki Zheng")</f>
        <v>Nikki Zheng</v>
      </c>
      <c r="G612" s="61" t="str">
        <f>IFERROR(__xludf.DUMMYFUNCTION("""COMPUTED_VALUE"""),"Unit 5031, 5700 Highland Plaza Dr, Saint Louis, MO 63110")</f>
        <v>Unit 5031, 5700 Highland Plaza Dr, Saint Louis, MO 63110</v>
      </c>
      <c r="H612" s="61" t="str">
        <f>IFERROR(__xludf.DUMMYFUNCTION("""COMPUTED_VALUE"""),"Storage Item Return")</f>
        <v>Storage Item Return</v>
      </c>
      <c r="I612" s="61" t="str">
        <f>IFERROR(__xludf.DUMMYFUNCTION("""COMPUTED_VALUE"""),"Non-University Housing ")</f>
        <v>Non-University Housing </v>
      </c>
      <c r="J612" s="107" t="str">
        <f>IFERROR(__xludf.DUMMYFUNCTION("""COMPUTED_VALUE"""),"09:00 AM to 11:00 AM   ")</f>
        <v>09:00 AM to 11:00 AM   </v>
      </c>
      <c r="K612" s="107">
        <f>IFERROR(__xludf.DUMMYFUNCTION("""COMPUTED_VALUE"""),45897.0)</f>
        <v>45897</v>
      </c>
      <c r="L612" s="61"/>
      <c r="M612" s="61"/>
      <c r="N612" s="61" t="str">
        <f>IFERROR(__xludf.DUMMYFUNCTION("""COMPUTED_VALUE"""),"Unit 5031, 5700 Highland Plaza Dr, Saint Louis, MO 63110")</f>
        <v>Unit 5031, 5700 Highland Plaza Dr, Saint Louis, MO 63110</v>
      </c>
      <c r="O612" s="61"/>
      <c r="P612" s="61" t="b">
        <f>COUNTIF('Delivered SIR'!A:A, E612) &gt; 0</f>
        <v>0</v>
      </c>
    </row>
    <row r="613">
      <c r="A613" s="102" t="str">
        <f>IFERROR(__xludf.DUMMYFUNCTION("""COMPUTED_VALUE"""),"https://utrucking.com/admin/orders/5963718066364")</f>
        <v>https://utrucking.com/admin/orders/5963718066364</v>
      </c>
      <c r="B613" s="65" t="str">
        <f>IFERROR(__xludf.DUMMYFUNCTION("""COMPUTED_VALUE"""),"#16541")</f>
        <v>#16541</v>
      </c>
      <c r="C613" s="65" t="str">
        <f>IFERROR(__xludf.DUMMYFUNCTION("""COMPUTED_VALUE"""),"c.g.junco@wustl.edu")</f>
        <v>c.g.junco@wustl.edu</v>
      </c>
      <c r="D613" s="65">
        <f>IFERROR(__xludf.DUMMYFUNCTION("""COMPUTED_VALUE"""),9.392770567E9)</f>
        <v>9392770567</v>
      </c>
      <c r="E613" s="65" t="str">
        <f>IFERROR(__xludf.DUMMYFUNCTION("""COMPUTED_VALUE"""),"Carlos Junco")</f>
        <v>Carlos Junco</v>
      </c>
      <c r="F613" s="65" t="str">
        <f>IFERROR(__xludf.DUMMYFUNCTION("""COMPUTED_VALUE"""),"Carlos Junco")</f>
        <v>Carlos Junco</v>
      </c>
      <c r="G613" s="65" t="str">
        <f>IFERROR(__xludf.DUMMYFUNCTION("""COMPUTED_VALUE"""),"The Core Apartments, 718 South Euclid Ave, Unit#02-C201, St Louis ")</f>
        <v>The Core Apartments, 718 South Euclid Ave, Unit#02-C201, St Louis </v>
      </c>
      <c r="H613" s="65" t="str">
        <f>IFERROR(__xludf.DUMMYFUNCTION("""COMPUTED_VALUE"""),"Storage Item Return")</f>
        <v>Storage Item Return</v>
      </c>
      <c r="I613" s="65" t="str">
        <f>IFERROR(__xludf.DUMMYFUNCTION("""COMPUTED_VALUE"""),"Non-University Housing ")</f>
        <v>Non-University Housing </v>
      </c>
      <c r="J613" s="108" t="str">
        <f>IFERROR(__xludf.DUMMYFUNCTION("""COMPUTED_VALUE"""),"01:00 PM to 03:00 PM   ")</f>
        <v>01:00 PM to 03:00 PM   </v>
      </c>
      <c r="K613" s="108">
        <f>IFERROR(__xludf.DUMMYFUNCTION("""COMPUTED_VALUE"""),45906.0)</f>
        <v>45906</v>
      </c>
      <c r="L613" s="65"/>
      <c r="M613" s="65"/>
      <c r="N613" s="65" t="str">
        <f>IFERROR(__xludf.DUMMYFUNCTION("""COMPUTED_VALUE"""),"The Core Apartments, 718 South Euclid Ave, Unit#02-C201, St Louis ")</f>
        <v>The Core Apartments, 718 South Euclid Ave, Unit#02-C201, St Louis </v>
      </c>
      <c r="O613" s="65"/>
      <c r="P613" s="65" t="b">
        <f>COUNTIF('Delivered SIR'!A:A, E613) &gt; 0</f>
        <v>0</v>
      </c>
    </row>
    <row r="614">
      <c r="A614" s="99" t="str">
        <f>IFERROR(__xludf.DUMMYFUNCTION("""COMPUTED_VALUE"""),"https://utrucking.com/admin/orders/6033940971708")</f>
        <v>https://utrucking.com/admin/orders/6033940971708</v>
      </c>
      <c r="B614" s="61" t="str">
        <f>IFERROR(__xludf.DUMMYFUNCTION("""COMPUTED_VALUE"""),"#16601")</f>
        <v>#16601</v>
      </c>
      <c r="C614" s="61"/>
      <c r="D614" s="61">
        <f>IFERROR(__xludf.DUMMYFUNCTION("""COMPUTED_VALUE"""),1.6195973626E10)</f>
        <v>16195973626</v>
      </c>
      <c r="E614" s="61" t="str">
        <f>IFERROR(__xludf.DUMMYFUNCTION("""COMPUTED_VALUE"""),"Yasenia Johnson")</f>
        <v>Yasenia Johnson</v>
      </c>
      <c r="F614" s="61" t="str">
        <f>IFERROR(__xludf.DUMMYFUNCTION("""COMPUTED_VALUE"""),"Yasenia Johnson")</f>
        <v>Yasenia Johnson</v>
      </c>
      <c r="G614" s="61" t="str">
        <f>IFERROR(__xludf.DUMMYFUNCTION("""COMPUTED_VALUE"""),"4467 Castleman Ave. 3W, St. louis, MO 63110")</f>
        <v>4467 Castleman Ave. 3W, St. louis, MO 63110</v>
      </c>
      <c r="H614" s="61" t="str">
        <f>IFERROR(__xludf.DUMMYFUNCTION("""COMPUTED_VALUE"""),"Storage Item Return")</f>
        <v>Storage Item Return</v>
      </c>
      <c r="I614" s="61" t="str">
        <f>IFERROR(__xludf.DUMMYFUNCTION("""COMPUTED_VALUE"""),"Non-University Housing ")</f>
        <v>Non-University Housing </v>
      </c>
      <c r="J614" s="107" t="str">
        <f>IFERROR(__xludf.DUMMYFUNCTION("""COMPUTED_VALUE"""),"10:00 AM to 12:00 PM   ")</f>
        <v>10:00 AM to 12:00 PM   </v>
      </c>
      <c r="K614" s="107">
        <f>IFERROR(__xludf.DUMMYFUNCTION("""COMPUTED_VALUE"""),45947.0)</f>
        <v>45947</v>
      </c>
      <c r="L614" s="61"/>
      <c r="M614" s="61"/>
      <c r="N614" s="61" t="str">
        <f>IFERROR(__xludf.DUMMYFUNCTION("""COMPUTED_VALUE"""),"4467 Castleman Ave. 3W, St. louis, MO 63110")</f>
        <v>4467 Castleman Ave. 3W, St. louis, MO 63110</v>
      </c>
      <c r="O614" s="61"/>
      <c r="P614" s="61" t="b">
        <f>COUNTIF('Delivered SIR'!A:A, E614) &gt; 0</f>
        <v>0</v>
      </c>
    </row>
    <row r="615">
      <c r="A615" s="102" t="str">
        <f>IFERROR(__xludf.DUMMYFUNCTION("""COMPUTED_VALUE"""),"https://utrucking.com/admin/orders/6187554046140")</f>
        <v>https://utrucking.com/admin/orders/6187554046140</v>
      </c>
      <c r="B615" s="65" t="str">
        <f>IFERROR(__xludf.DUMMYFUNCTION("""COMPUTED_VALUE"""),"#16706")</f>
        <v>#16706</v>
      </c>
      <c r="C615" s="65"/>
      <c r="D615" s="65">
        <f>IFERROR(__xludf.DUMMYFUNCTION("""COMPUTED_VALUE"""),6.615995133E9)</f>
        <v>6615995133</v>
      </c>
      <c r="E615" s="65" t="str">
        <f>IFERROR(__xludf.DUMMYFUNCTION("""COMPUTED_VALUE"""),"Lalita Rahman")</f>
        <v>Lalita Rahman</v>
      </c>
      <c r="F615" s="65" t="str">
        <f>IFERROR(__xludf.DUMMYFUNCTION("""COMPUTED_VALUE"""),"Faheem Rahman ")</f>
        <v>Faheem Rahman </v>
      </c>
      <c r="G615" s="65"/>
      <c r="H615" s="65" t="str">
        <f>IFERROR(__xludf.DUMMYFUNCTION("""COMPUTED_VALUE"""),"Storage Item Return")</f>
        <v>Storage Item Return</v>
      </c>
      <c r="I615" s="65" t="str">
        <f>IFERROR(__xludf.DUMMYFUNCTION("""COMPUTED_VALUE"""),"University Housing ")</f>
        <v>University Housing </v>
      </c>
      <c r="J615" s="108" t="str">
        <f>IFERROR(__xludf.DUMMYFUNCTION("""COMPUTED_VALUE"""),"09:00 AM to 11:00 AM   ")</f>
        <v>09:00 AM to 11:00 AM   </v>
      </c>
      <c r="K615" s="108">
        <f>IFERROR(__xludf.DUMMYFUNCTION("""COMPUTED_VALUE"""),46031.0)</f>
        <v>46031</v>
      </c>
      <c r="L615" s="65" t="str">
        <f>IFERROR(__xludf.DUMMYFUNCTION("""COMPUTED_VALUE"""),"6639 University Drive  ")</f>
        <v>6639 University Drive  </v>
      </c>
      <c r="M615" s="65" t="str">
        <f>IFERROR(__xludf.DUMMYFUNCTION("""COMPUTED_VALUE"""),"2E-B ")</f>
        <v>2E-B </v>
      </c>
      <c r="N615" s="65"/>
      <c r="O615" s="65"/>
      <c r="P615" s="65" t="b">
        <f>COUNTIF('Delivered SIR'!A:A, E615) &gt; 0</f>
        <v>0</v>
      </c>
    </row>
    <row r="616">
      <c r="A616" s="99" t="str">
        <f>IFERROR(__xludf.DUMMYFUNCTION("""COMPUTED_VALUE"""),"https://utrucking.com/admin/orders/6190100283580")</f>
        <v>https://utrucking.com/admin/orders/6190100283580</v>
      </c>
      <c r="B616" s="61" t="str">
        <f>IFERROR(__xludf.DUMMYFUNCTION("""COMPUTED_VALUE"""),"#16712")</f>
        <v>#16712</v>
      </c>
      <c r="C616" s="61"/>
      <c r="D616" s="61">
        <f>IFERROR(__xludf.DUMMYFUNCTION("""COMPUTED_VALUE"""),5.075129905E9)</f>
        <v>5075129905</v>
      </c>
      <c r="E616" s="61" t="str">
        <f>IFERROR(__xludf.DUMMYFUNCTION("""COMPUTED_VALUE"""),"Maxwell Spinner")</f>
        <v>Maxwell Spinner</v>
      </c>
      <c r="F616" s="61" t="str">
        <f>IFERROR(__xludf.DUMMYFUNCTION("""COMPUTED_VALUE"""),"Maxwell Spinner")</f>
        <v>Maxwell Spinner</v>
      </c>
      <c r="G616" s="61"/>
      <c r="H616" s="61" t="str">
        <f>IFERROR(__xludf.DUMMYFUNCTION("""COMPUTED_VALUE"""),"Storage Item Return")</f>
        <v>Storage Item Return</v>
      </c>
      <c r="I616" s="61" t="str">
        <f>IFERROR(__xludf.DUMMYFUNCTION("""COMPUTED_VALUE"""),"University Housing ")</f>
        <v>University Housing </v>
      </c>
      <c r="J616" s="107" t="str">
        <f>IFERROR(__xludf.DUMMYFUNCTION("""COMPUTED_VALUE"""),"09:00 AM to 11:00 AM   ")</f>
        <v>09:00 AM to 11:00 AM   </v>
      </c>
      <c r="K616" s="107">
        <f>IFERROR(__xludf.DUMMYFUNCTION("""COMPUTED_VALUE"""),46029.0)</f>
        <v>46029</v>
      </c>
      <c r="L616" s="61" t="str">
        <f>IFERROR(__xludf.DUMMYFUNCTION("""COMPUTED_VALUE"""),"Village East  ")</f>
        <v>Village East  </v>
      </c>
      <c r="M616" s="61" t="str">
        <f>IFERROR(__xludf.DUMMYFUNCTION("""COMPUTED_VALUE"""),"1013-a")</f>
        <v>1013-a</v>
      </c>
      <c r="N616" s="61"/>
      <c r="O616" s="61"/>
      <c r="P616" s="61" t="b">
        <f>COUNTIF('Delivered SIR'!A:A, E616) &gt; 0</f>
        <v>0</v>
      </c>
    </row>
    <row r="617">
      <c r="A617" s="102" t="str">
        <f>IFERROR(__xludf.DUMMYFUNCTION("""COMPUTED_VALUE"""),"https://utrucking.com/admin/orders/6191849242812")</f>
        <v>https://utrucking.com/admin/orders/6191849242812</v>
      </c>
      <c r="B617" s="65" t="str">
        <f>IFERROR(__xludf.DUMMYFUNCTION("""COMPUTED_VALUE"""),"#16714")</f>
        <v>#16714</v>
      </c>
      <c r="C617" s="65" t="str">
        <f>IFERROR(__xludf.DUMMYFUNCTION("""COMPUTED_VALUE"""),"l.a.raimondi@wustl.edu")</f>
        <v>l.a.raimondi@wustl.edu</v>
      </c>
      <c r="D617" s="65" t="str">
        <f>IFERROR(__xludf.DUMMYFUNCTION("""COMPUTED_VALUE"""),"(516) 241-7683")</f>
        <v>(516) 241-7683</v>
      </c>
      <c r="E617" s="65" t="str">
        <f>IFERROR(__xludf.DUMMYFUNCTION("""COMPUTED_VALUE"""),"Liora Raimondi")</f>
        <v>Liora Raimondi</v>
      </c>
      <c r="F617" s="65" t="str">
        <f>IFERROR(__xludf.DUMMYFUNCTION("""COMPUTED_VALUE"""),"Liora Raimondi")</f>
        <v>Liora Raimondi</v>
      </c>
      <c r="G617" s="65"/>
      <c r="H617" s="65" t="str">
        <f>IFERROR(__xludf.DUMMYFUNCTION("""COMPUTED_VALUE"""),"Storage Item Return")</f>
        <v>Storage Item Return</v>
      </c>
      <c r="I617" s="65" t="str">
        <f>IFERROR(__xludf.DUMMYFUNCTION("""COMPUTED_VALUE"""),"University Housing ")</f>
        <v>University Housing </v>
      </c>
      <c r="J617" s="108" t="str">
        <f>IFERROR(__xludf.DUMMYFUNCTION("""COMPUTED_VALUE"""),"09:00 AM to 11:00 AM   ")</f>
        <v>09:00 AM to 11:00 AM   </v>
      </c>
      <c r="K617" s="108">
        <f>IFERROR(__xludf.DUMMYFUNCTION("""COMPUTED_VALUE"""),46028.0)</f>
        <v>46028</v>
      </c>
      <c r="L617" s="65" t="str">
        <f>IFERROR(__xludf.DUMMYFUNCTION("""COMPUTED_VALUE"""),"6627 University Drive  ")</f>
        <v>6627 University Drive  </v>
      </c>
      <c r="M617" s="65" t="str">
        <f>IFERROR(__xludf.DUMMYFUNCTION("""COMPUTED_VALUE"""),"2W-B")</f>
        <v>2W-B</v>
      </c>
      <c r="N617" s="65"/>
      <c r="O617" s="65"/>
      <c r="P617" s="65" t="b">
        <f>COUNTIF('Delivered SIR'!A:A, E617) &gt; 0</f>
        <v>0</v>
      </c>
    </row>
    <row r="618">
      <c r="A618" s="99" t="str">
        <f>IFERROR(__xludf.DUMMYFUNCTION("""COMPUTED_VALUE"""),"https://utrucking.com/admin/orders/6200830492860")</f>
        <v>https://utrucking.com/admin/orders/6200830492860</v>
      </c>
      <c r="B618" s="61" t="str">
        <f>IFERROR(__xludf.DUMMYFUNCTION("""COMPUTED_VALUE"""),"#16719")</f>
        <v>#16719</v>
      </c>
      <c r="C618" s="61" t="str">
        <f>IFERROR(__xludf.DUMMYFUNCTION("""COMPUTED_VALUE"""),"j.twolf@wustl.edu")</f>
        <v>j.twolf@wustl.edu</v>
      </c>
      <c r="D618" s="61">
        <f>IFERROR(__xludf.DUMMYFUNCTION("""COMPUTED_VALUE"""),3.478860321E9)</f>
        <v>3478860321</v>
      </c>
      <c r="E618" s="61" t="str">
        <f>IFERROR(__xludf.DUMMYFUNCTION("""COMPUTED_VALUE"""),"Jordan Wolf")</f>
        <v>Jordan Wolf</v>
      </c>
      <c r="F618" s="61" t="str">
        <f>IFERROR(__xludf.DUMMYFUNCTION("""COMPUTED_VALUE"""),"Jordan Wolf")</f>
        <v>Jordan Wolf</v>
      </c>
      <c r="G618" s="61"/>
      <c r="H618" s="61" t="str">
        <f>IFERROR(__xludf.DUMMYFUNCTION("""COMPUTED_VALUE"""),"Storage Item Return")</f>
        <v>Storage Item Return</v>
      </c>
      <c r="I618" s="61" t="str">
        <f>IFERROR(__xludf.DUMMYFUNCTION("""COMPUTED_VALUE"""),"University Housing ")</f>
        <v>University Housing </v>
      </c>
      <c r="J618" s="107" t="str">
        <f>IFERROR(__xludf.DUMMYFUNCTION("""COMPUTED_VALUE"""),"12:00 PM to 02:00 PM   ")</f>
        <v>12:00 PM to 02:00 PM   </v>
      </c>
      <c r="K618" s="107">
        <f>IFERROR(__xludf.DUMMYFUNCTION("""COMPUTED_VALUE"""),46030.0)</f>
        <v>46030</v>
      </c>
      <c r="L618" s="61" t="str">
        <f>IFERROR(__xludf.DUMMYFUNCTION("""COMPUTED_VALUE"""),"Millbrook Bldg. 4  ")</f>
        <v>Millbrook Bldg. 4  </v>
      </c>
      <c r="M618" s="61" t="str">
        <f>IFERROR(__xludf.DUMMYFUNCTION("""COMPUTED_VALUE"""),"302F-A")</f>
        <v>302F-A</v>
      </c>
      <c r="N618" s="61"/>
      <c r="O618" s="61"/>
      <c r="P618" s="61" t="b">
        <f>COUNTIF('Delivered SIR'!A:A, E618) &gt; 0</f>
        <v>0</v>
      </c>
    </row>
    <row r="619">
      <c r="A619" s="102" t="str">
        <f>IFERROR(__xludf.DUMMYFUNCTION("""COMPUTED_VALUE"""),"https://utrucking.com/admin/orders/6203181301948")</f>
        <v>https://utrucking.com/admin/orders/6203181301948</v>
      </c>
      <c r="B619" s="65" t="str">
        <f>IFERROR(__xludf.DUMMYFUNCTION("""COMPUTED_VALUE"""),"#16722")</f>
        <v>#16722</v>
      </c>
      <c r="C619" s="65"/>
      <c r="D619" s="65">
        <f>IFERROR(__xludf.DUMMYFUNCTION("""COMPUTED_VALUE"""),9.175334035E9)</f>
        <v>9175334035</v>
      </c>
      <c r="E619" s="65" t="str">
        <f>IFERROR(__xludf.DUMMYFUNCTION("""COMPUTED_VALUE"""),"Andrea Loigman")</f>
        <v>Andrea Loigman</v>
      </c>
      <c r="F619" s="65" t="str">
        <f>IFERROR(__xludf.DUMMYFUNCTION("""COMPUTED_VALUE"""),"Georgie Loigman")</f>
        <v>Georgie Loigman</v>
      </c>
      <c r="G619" s="65"/>
      <c r="H619" s="65" t="str">
        <f>IFERROR(__xludf.DUMMYFUNCTION("""COMPUTED_VALUE"""),"Storage Item Return")</f>
        <v>Storage Item Return</v>
      </c>
      <c r="I619" s="65" t="str">
        <f>IFERROR(__xludf.DUMMYFUNCTION("""COMPUTED_VALUE"""),"University Housing ")</f>
        <v>University Housing </v>
      </c>
      <c r="J619" s="108" t="str">
        <f>IFERROR(__xludf.DUMMYFUNCTION("""COMPUTED_VALUE"""),"09:00 AM to 11:00 AM   ")</f>
        <v>09:00 AM to 11:00 AM   </v>
      </c>
      <c r="K619" s="108">
        <f>IFERROR(__xludf.DUMMYFUNCTION("""COMPUTED_VALUE"""),46027.0)</f>
        <v>46027</v>
      </c>
      <c r="L619" s="65" t="str">
        <f>IFERROR(__xludf.DUMMYFUNCTION("""COMPUTED_VALUE"""),"Lopata  ")</f>
        <v>Lopata  </v>
      </c>
      <c r="M619" s="65" t="str">
        <f>IFERROR(__xludf.DUMMYFUNCTION("""COMPUTED_VALUE"""),"3031")</f>
        <v>3031</v>
      </c>
      <c r="N619" s="65"/>
      <c r="O619" s="65"/>
      <c r="P619" s="65" t="b">
        <f>COUNTIF('Delivered SIR'!A:A, E619) &gt; 0</f>
        <v>0</v>
      </c>
    </row>
    <row r="620">
      <c r="A620" s="99" t="str">
        <f>IFERROR(__xludf.DUMMYFUNCTION("""COMPUTED_VALUE"""),"https://utrucking.com/admin/orders/6208824672444")</f>
        <v>https://utrucking.com/admin/orders/6208824672444</v>
      </c>
      <c r="B620" s="61" t="str">
        <f>IFERROR(__xludf.DUMMYFUNCTION("""COMPUTED_VALUE"""),"#16754")</f>
        <v>#16754</v>
      </c>
      <c r="C620" s="61" t="str">
        <f>IFERROR(__xludf.DUMMYFUNCTION("""COMPUTED_VALUE"""),"b.t.lee@wustl.edu")</f>
        <v>b.t.lee@wustl.edu</v>
      </c>
      <c r="D620" s="61">
        <f>IFERROR(__xludf.DUMMYFUNCTION("""COMPUTED_VALUE"""),5.105088122E9)</f>
        <v>5105088122</v>
      </c>
      <c r="E620" s="61" t="str">
        <f>IFERROR(__xludf.DUMMYFUNCTION("""COMPUTED_VALUE"""),"Brian Lee")</f>
        <v>Brian Lee</v>
      </c>
      <c r="F620" s="61" t="str">
        <f>IFERROR(__xludf.DUMMYFUNCTION("""COMPUTED_VALUE"""),"Brian Lee")</f>
        <v>Brian Lee</v>
      </c>
      <c r="G620" s="61" t="str">
        <f>IFERROR(__xludf.DUMMYFUNCTION("""COMPUTED_VALUE"""),"905 Eastgate Ave, University City, MO, 63130, 1N")</f>
        <v>905 Eastgate Ave, University City, MO, 63130, 1N</v>
      </c>
      <c r="H620" s="61" t="str">
        <f>IFERROR(__xludf.DUMMYFUNCTION("""COMPUTED_VALUE"""),"Storage Item Return")</f>
        <v>Storage Item Return</v>
      </c>
      <c r="I620" s="61" t="str">
        <f>IFERROR(__xludf.DUMMYFUNCTION("""COMPUTED_VALUE"""),"Non-University Housing ")</f>
        <v>Non-University Housing </v>
      </c>
      <c r="J620" s="107" t="str">
        <f>IFERROR(__xludf.DUMMYFUNCTION("""COMPUTED_VALUE"""),"10:00 AM to 12:00 PM   ")</f>
        <v>10:00 AM to 12:00 PM   </v>
      </c>
      <c r="K620" s="107">
        <f>IFERROR(__xludf.DUMMYFUNCTION("""COMPUTED_VALUE"""),46032.0)</f>
        <v>46032</v>
      </c>
      <c r="L620" s="61"/>
      <c r="M620" s="61"/>
      <c r="N620" s="61" t="str">
        <f>IFERROR(__xludf.DUMMYFUNCTION("""COMPUTED_VALUE"""),"905 Eastgate Ave, University City, MO, 63130, 1N")</f>
        <v>905 Eastgate Ave, University City, MO, 63130, 1N</v>
      </c>
      <c r="O620" s="61"/>
      <c r="P620" s="61" t="b">
        <f>COUNTIF('Delivered SIR'!A:A, E620) &gt; 0</f>
        <v>0</v>
      </c>
    </row>
    <row r="621">
      <c r="A621" s="102" t="str">
        <f>IFERROR(__xludf.DUMMYFUNCTION("""COMPUTED_VALUE"""),"https://utrucking.com/admin/orders/6211627679932")</f>
        <v>https://utrucking.com/admin/orders/6211627679932</v>
      </c>
      <c r="B621" s="65" t="str">
        <f>IFERROR(__xludf.DUMMYFUNCTION("""COMPUTED_VALUE"""),"#16756")</f>
        <v>#16756</v>
      </c>
      <c r="C621" s="65" t="str">
        <f>IFERROR(__xludf.DUMMYFUNCTION("""COMPUTED_VALUE"""),"a.m.nochez@wustl.edu")</f>
        <v>a.m.nochez@wustl.edu</v>
      </c>
      <c r="D621" s="65">
        <f>IFERROR(__xludf.DUMMYFUNCTION("""COMPUTED_VALUE"""),2.403703817E9)</f>
        <v>2403703817</v>
      </c>
      <c r="E621" s="65" t="str">
        <f>IFERROR(__xludf.DUMMYFUNCTION("""COMPUTED_VALUE"""),"Ariel Nochez")</f>
        <v>Ariel Nochez</v>
      </c>
      <c r="F621" s="65" t="str">
        <f>IFERROR(__xludf.DUMMYFUNCTION("""COMPUTED_VALUE"""),"Ariel Nochez")</f>
        <v>Ariel Nochez</v>
      </c>
      <c r="G621" s="65"/>
      <c r="H621" s="65" t="str">
        <f>IFERROR(__xludf.DUMMYFUNCTION("""COMPUTED_VALUE"""),"Storage Item Return")</f>
        <v>Storage Item Return</v>
      </c>
      <c r="I621" s="65" t="str">
        <f>IFERROR(__xludf.DUMMYFUNCTION("""COMPUTED_VALUE"""),"University Housing ")</f>
        <v>University Housing </v>
      </c>
      <c r="J621" s="108" t="str">
        <f>IFERROR(__xludf.DUMMYFUNCTION("""COMPUTED_VALUE"""),"10:00 AM to 12:00 PM   ")</f>
        <v>10:00 AM to 12:00 PM   </v>
      </c>
      <c r="K621" s="108">
        <f>IFERROR(__xludf.DUMMYFUNCTION("""COMPUTED_VALUE"""),46029.0)</f>
        <v>46029</v>
      </c>
      <c r="L621" s="65" t="str">
        <f>IFERROR(__xludf.DUMMYFUNCTION("""COMPUTED_VALUE"""),"Loop Loft 6300  ")</f>
        <v>Loop Loft 6300  </v>
      </c>
      <c r="M621" s="65" t="str">
        <f>IFERROR(__xludf.DUMMYFUNCTION("""COMPUTED_VALUE"""),"302A")</f>
        <v>302A</v>
      </c>
      <c r="N621" s="65"/>
      <c r="O621" s="65"/>
      <c r="P621" s="65" t="b">
        <f>COUNTIF('Delivered SIR'!A:A, E621) &gt; 0</f>
        <v>0</v>
      </c>
    </row>
    <row r="622">
      <c r="A622" s="99" t="str">
        <f>IFERROR(__xludf.DUMMYFUNCTION("""COMPUTED_VALUE"""),"https://utrucking.com/admin/orders/6213459378364")</f>
        <v>https://utrucking.com/admin/orders/6213459378364</v>
      </c>
      <c r="B622" s="61" t="str">
        <f>IFERROR(__xludf.DUMMYFUNCTION("""COMPUTED_VALUE"""),"#16757")</f>
        <v>#16757</v>
      </c>
      <c r="C622" s="61"/>
      <c r="D622" s="61">
        <f>IFERROR(__xludf.DUMMYFUNCTION("""COMPUTED_VALUE"""),4.158028428E9)</f>
        <v>4158028428</v>
      </c>
      <c r="E622" s="61" t="str">
        <f>IFERROR(__xludf.DUMMYFUNCTION("""COMPUTED_VALUE"""),"Joshua Miller")</f>
        <v>Joshua Miller</v>
      </c>
      <c r="F622" s="61" t="str">
        <f>IFERROR(__xludf.DUMMYFUNCTION("""COMPUTED_VALUE"""),"Joshua Miller")</f>
        <v>Joshua Miller</v>
      </c>
      <c r="G622" s="61"/>
      <c r="H622" s="61" t="str">
        <f>IFERROR(__xludf.DUMMYFUNCTION("""COMPUTED_VALUE"""),"Storage Item Return")</f>
        <v>Storage Item Return</v>
      </c>
      <c r="I622" s="61" t="str">
        <f>IFERROR(__xludf.DUMMYFUNCTION("""COMPUTED_VALUE"""),"University Housing ")</f>
        <v>University Housing </v>
      </c>
      <c r="J622" s="107" t="str">
        <f>IFERROR(__xludf.DUMMYFUNCTION("""COMPUTED_VALUE"""),"09:00 AM to 11:00 AM   ")</f>
        <v>09:00 AM to 11:00 AM   </v>
      </c>
      <c r="K622" s="107">
        <f>IFERROR(__xludf.DUMMYFUNCTION("""COMPUTED_VALUE"""),46028.0)</f>
        <v>46028</v>
      </c>
      <c r="L622" s="61" t="str">
        <f>IFERROR(__xludf.DUMMYFUNCTION("""COMPUTED_VALUE"""),"Gregg  ")</f>
        <v>Gregg  </v>
      </c>
      <c r="M622" s="61" t="str">
        <f>IFERROR(__xludf.DUMMYFUNCTION("""COMPUTED_VALUE"""),"1033 - a")</f>
        <v>1033 - a</v>
      </c>
      <c r="N622" s="61"/>
      <c r="O622" s="61"/>
      <c r="P622" s="61" t="b">
        <f>COUNTIF('Delivered SIR'!A:A, E622) &gt; 0</f>
        <v>1</v>
      </c>
    </row>
    <row r="623">
      <c r="A623" s="102" t="str">
        <f>IFERROR(__xludf.DUMMYFUNCTION("""COMPUTED_VALUE"""),"https://utrucking.com/admin/orders/6215750615228")</f>
        <v>https://utrucking.com/admin/orders/6215750615228</v>
      </c>
      <c r="B623" s="65" t="str">
        <f>IFERROR(__xludf.DUMMYFUNCTION("""COMPUTED_VALUE"""),"#16764")</f>
        <v>#16764</v>
      </c>
      <c r="C623" s="65"/>
      <c r="D623" s="65">
        <f>IFERROR(__xludf.DUMMYFUNCTION("""COMPUTED_VALUE"""),1.8201276197E10)</f>
        <v>18201276197</v>
      </c>
      <c r="E623" s="65" t="str">
        <f>IFERROR(__xludf.DUMMYFUNCTION("""COMPUTED_VALUE"""),"Peter Gong")</f>
        <v>Peter Gong</v>
      </c>
      <c r="F623" s="65" t="str">
        <f>IFERROR(__xludf.DUMMYFUNCTION("""COMPUTED_VALUE"""),"Peter Gong")</f>
        <v>Peter Gong</v>
      </c>
      <c r="G623" s="65"/>
      <c r="H623" s="65" t="str">
        <f>IFERROR(__xludf.DUMMYFUNCTION("""COMPUTED_VALUE"""),"Storage Item Return")</f>
        <v>Storage Item Return</v>
      </c>
      <c r="I623" s="65" t="str">
        <f>IFERROR(__xludf.DUMMYFUNCTION("""COMPUTED_VALUE"""),"University Housing ")</f>
        <v>University Housing </v>
      </c>
      <c r="J623" s="108" t="str">
        <f>IFERROR(__xludf.DUMMYFUNCTION("""COMPUTED_VALUE"""),"09:00 AM to 11:00 AM   ")</f>
        <v>09:00 AM to 11:00 AM   </v>
      </c>
      <c r="K623" s="108">
        <f>IFERROR(__xludf.DUMMYFUNCTION("""COMPUTED_VALUE"""),46030.0)</f>
        <v>46030</v>
      </c>
      <c r="L623" s="65" t="str">
        <f>IFERROR(__xludf.DUMMYFUNCTION("""COMPUTED_VALUE"""),"House 1")</f>
        <v>House 1</v>
      </c>
      <c r="M623" s="65" t="str">
        <f>IFERROR(__xludf.DUMMYFUNCTION("""COMPUTED_VALUE"""),"311-a")</f>
        <v>311-a</v>
      </c>
      <c r="N623" s="65"/>
      <c r="O623" s="65"/>
      <c r="P623" s="65" t="b">
        <f>COUNTIF('Delivered SIR'!A:A, E623) &gt; 0</f>
        <v>0</v>
      </c>
    </row>
    <row r="624">
      <c r="A624" s="99" t="str">
        <f>IFERROR(__xludf.DUMMYFUNCTION("""COMPUTED_VALUE"""),"https://utrucking.com/admin/orders/6221120471228")</f>
        <v>https://utrucking.com/admin/orders/6221120471228</v>
      </c>
      <c r="B624" s="61" t="str">
        <f>IFERROR(__xludf.DUMMYFUNCTION("""COMPUTED_VALUE"""),"#16768")</f>
        <v>#16768</v>
      </c>
      <c r="C624" s="61" t="str">
        <f>IFERROR(__xludf.DUMMYFUNCTION("""COMPUTED_VALUE"""),"michaeladamaghi@gmail.com")</f>
        <v>michaeladamaghi@gmail.com</v>
      </c>
      <c r="D624" s="61">
        <f>IFERROR(__xludf.DUMMYFUNCTION("""COMPUTED_VALUE"""),5.166976116E9)</f>
        <v>5166976116</v>
      </c>
      <c r="E624" s="61" t="str">
        <f>IFERROR(__xludf.DUMMYFUNCTION("""COMPUTED_VALUE"""),"Michaela Damaghi")</f>
        <v>Michaela Damaghi</v>
      </c>
      <c r="F624" s="61" t="str">
        <f>IFERROR(__xludf.DUMMYFUNCTION("""COMPUTED_VALUE"""),"Michaela Damaghi")</f>
        <v>Michaela Damaghi</v>
      </c>
      <c r="G624" s="61"/>
      <c r="H624" s="61" t="str">
        <f>IFERROR(__xludf.DUMMYFUNCTION("""COMPUTED_VALUE"""),"Storage Item Return")</f>
        <v>Storage Item Return</v>
      </c>
      <c r="I624" s="61" t="str">
        <f>IFERROR(__xludf.DUMMYFUNCTION("""COMPUTED_VALUE"""),"University Housing ")</f>
        <v>University Housing </v>
      </c>
      <c r="J624" s="107" t="str">
        <f>IFERROR(__xludf.DUMMYFUNCTION("""COMPUTED_VALUE"""),"03:00 PM to 05:00 PM ")</f>
        <v>03:00 PM to 05:00 PM </v>
      </c>
      <c r="K624" s="107">
        <f>IFERROR(__xludf.DUMMYFUNCTION("""COMPUTED_VALUE"""),46031.0)</f>
        <v>46031</v>
      </c>
      <c r="L624" s="61" t="str">
        <f>IFERROR(__xludf.DUMMYFUNCTION("""COMPUTED_VALUE"""),"Village East  ")</f>
        <v>Village East  </v>
      </c>
      <c r="M624" s="61" t="str">
        <f>IFERROR(__xludf.DUMMYFUNCTION("""COMPUTED_VALUE"""),"0044 - a")</f>
        <v>0044 - a</v>
      </c>
      <c r="N624" s="61"/>
      <c r="O624" s="61"/>
      <c r="P624" s="61" t="b">
        <f>COUNTIF('Delivered SIR'!A:A, E624) &gt; 0</f>
        <v>0</v>
      </c>
    </row>
    <row r="625">
      <c r="A625" s="102" t="str">
        <f>IFERROR(__xludf.DUMMYFUNCTION("""COMPUTED_VALUE"""),"https://utrucking.com/admin/orders/6221444546748")</f>
        <v>https://utrucking.com/admin/orders/6221444546748</v>
      </c>
      <c r="B625" s="65" t="str">
        <f>IFERROR(__xludf.DUMMYFUNCTION("""COMPUTED_VALUE"""),"#16769")</f>
        <v>#16769</v>
      </c>
      <c r="C625" s="65"/>
      <c r="D625" s="65">
        <f>IFERROR(__xludf.DUMMYFUNCTION("""COMPUTED_VALUE"""),9.143432526E9)</f>
        <v>9143432526</v>
      </c>
      <c r="E625" s="65" t="str">
        <f>IFERROR(__xludf.DUMMYFUNCTION("""COMPUTED_VALUE"""),"Andrew Shane")</f>
        <v>Andrew Shane</v>
      </c>
      <c r="F625" s="65" t="str">
        <f>IFERROR(__xludf.DUMMYFUNCTION("""COMPUTED_VALUE"""),"Andrew Shane")</f>
        <v>Andrew Shane</v>
      </c>
      <c r="G625" s="65"/>
      <c r="H625" s="65" t="str">
        <f>IFERROR(__xludf.DUMMYFUNCTION("""COMPUTED_VALUE"""),"Storage Item Return")</f>
        <v>Storage Item Return</v>
      </c>
      <c r="I625" s="65" t="str">
        <f>IFERROR(__xludf.DUMMYFUNCTION("""COMPUTED_VALUE"""),"University Housing ")</f>
        <v>University Housing </v>
      </c>
      <c r="J625" s="108" t="str">
        <f>IFERROR(__xludf.DUMMYFUNCTION("""COMPUTED_VALUE"""),"09:00 AM to 11:00 AM   ")</f>
        <v>09:00 AM to 11:00 AM   </v>
      </c>
      <c r="K625" s="108">
        <f>IFERROR(__xludf.DUMMYFUNCTION("""COMPUTED_VALUE"""),46031.0)</f>
        <v>46031</v>
      </c>
      <c r="L625" s="65" t="str">
        <f>IFERROR(__xludf.DUMMYFUNCTION("""COMPUTED_VALUE"""),"Village House  ")</f>
        <v>Village House  </v>
      </c>
      <c r="M625" s="65" t="str">
        <f>IFERROR(__xludf.DUMMYFUNCTION("""COMPUTED_VALUE"""),"3101 a")</f>
        <v>3101 a</v>
      </c>
      <c r="N625" s="65"/>
      <c r="O625" s="65"/>
      <c r="P625" s="65" t="b">
        <f>COUNTIF('Delivered SIR'!A:A, E625) &gt; 0</f>
        <v>1</v>
      </c>
    </row>
    <row r="626">
      <c r="A626" s="99" t="str">
        <f>IFERROR(__xludf.DUMMYFUNCTION("""COMPUTED_VALUE"""),"https://utrucking.com/admin/orders/6223099920572")</f>
        <v>https://utrucking.com/admin/orders/6223099920572</v>
      </c>
      <c r="B626" s="61" t="str">
        <f>IFERROR(__xludf.DUMMYFUNCTION("""COMPUTED_VALUE"""),"#16770")</f>
        <v>#16770</v>
      </c>
      <c r="C626" s="61"/>
      <c r="D626" s="61">
        <f>IFERROR(__xludf.DUMMYFUNCTION("""COMPUTED_VALUE"""),3.392214449E9)</f>
        <v>3392214449</v>
      </c>
      <c r="E626" s="61" t="str">
        <f>IFERROR(__xludf.DUMMYFUNCTION("""COMPUTED_VALUE"""),"Colin Falvey")</f>
        <v>Colin Falvey</v>
      </c>
      <c r="F626" s="61" t="str">
        <f>IFERROR(__xludf.DUMMYFUNCTION("""COMPUTED_VALUE"""),"Colin Falvey ")</f>
        <v>Colin Falvey </v>
      </c>
      <c r="G626" s="61" t="str">
        <f>IFERROR(__xludf.DUMMYFUNCTION("""COMPUTED_VALUE"""),"6105 Delmar Blvd. St. Louis MO 63112 Apartment 710")</f>
        <v>6105 Delmar Blvd. St. Louis MO 63112 Apartment 710</v>
      </c>
      <c r="H626" s="61" t="str">
        <f>IFERROR(__xludf.DUMMYFUNCTION("""COMPUTED_VALUE"""),"Storage Item Return")</f>
        <v>Storage Item Return</v>
      </c>
      <c r="I626" s="61" t="str">
        <f>IFERROR(__xludf.DUMMYFUNCTION("""COMPUTED_VALUE"""),"Non-University Housing ")</f>
        <v>Non-University Housing </v>
      </c>
      <c r="J626" s="107" t="str">
        <f>IFERROR(__xludf.DUMMYFUNCTION("""COMPUTED_VALUE"""),"12:00 PM to 02:00 PM   ")</f>
        <v>12:00 PM to 02:00 PM   </v>
      </c>
      <c r="K626" s="107">
        <f>IFERROR(__xludf.DUMMYFUNCTION("""COMPUTED_VALUE"""),46032.0)</f>
        <v>46032</v>
      </c>
      <c r="L626" s="61"/>
      <c r="M626" s="61"/>
      <c r="N626" s="61" t="str">
        <f>IFERROR(__xludf.DUMMYFUNCTION("""COMPUTED_VALUE"""),"6105 Delmar Blvd. St. Louis MO 63112 Apartment 710")</f>
        <v>6105 Delmar Blvd. St. Louis MO 63112 Apartment 710</v>
      </c>
      <c r="O626" s="61"/>
      <c r="P626" s="61" t="b">
        <f>COUNTIF('Delivered SIR'!A:A, E626) &gt; 0</f>
        <v>0</v>
      </c>
    </row>
    <row r="627">
      <c r="A627" s="102" t="str">
        <f>IFERROR(__xludf.DUMMYFUNCTION("""COMPUTED_VALUE"""),"https://utrucking.com/admin/orders/6226190926012")</f>
        <v>https://utrucking.com/admin/orders/6226190926012</v>
      </c>
      <c r="B627" s="65" t="str">
        <f>IFERROR(__xludf.DUMMYFUNCTION("""COMPUTED_VALUE"""),"#16771")</f>
        <v>#16771</v>
      </c>
      <c r="C627" s="65" t="str">
        <f>IFERROR(__xludf.DUMMYFUNCTION("""COMPUTED_VALUE"""),"vanournyjack@gmail.com")</f>
        <v>vanournyjack@gmail.com</v>
      </c>
      <c r="D627" s="65">
        <f>IFERROR(__xludf.DUMMYFUNCTION("""COMPUTED_VALUE"""),6.177752178E9)</f>
        <v>6177752178</v>
      </c>
      <c r="E627" s="65" t="str">
        <f>IFERROR(__xludf.DUMMYFUNCTION("""COMPUTED_VALUE"""),"Jack Vanourny")</f>
        <v>Jack Vanourny</v>
      </c>
      <c r="F627" s="65" t="str">
        <f>IFERROR(__xludf.DUMMYFUNCTION("""COMPUTED_VALUE"""),"Jack Vanourny")</f>
        <v>Jack Vanourny</v>
      </c>
      <c r="G627" s="65" t="str">
        <f>IFERROR(__xludf.DUMMYFUNCTION("""COMPUTED_VALUE"""),"8025 Bonhomme Ave, Apt #0711, Clayton MO")</f>
        <v>8025 Bonhomme Ave, Apt #0711, Clayton MO</v>
      </c>
      <c r="H627" s="65" t="str">
        <f>IFERROR(__xludf.DUMMYFUNCTION("""COMPUTED_VALUE"""),"Storage Item Return")</f>
        <v>Storage Item Return</v>
      </c>
      <c r="I627" s="65" t="str">
        <f>IFERROR(__xludf.DUMMYFUNCTION("""COMPUTED_VALUE"""),"Non-University Housing ")</f>
        <v>Non-University Housing </v>
      </c>
      <c r="J627" s="108" t="str">
        <f>IFERROR(__xludf.DUMMYFUNCTION("""COMPUTED_VALUE"""),"03:00 PM to 05:00 PM ")</f>
        <v>03:00 PM to 05:00 PM </v>
      </c>
      <c r="K627" s="108">
        <f>IFERROR(__xludf.DUMMYFUNCTION("""COMPUTED_VALUE"""),46034.0)</f>
        <v>46034</v>
      </c>
      <c r="L627" s="65"/>
      <c r="M627" s="65"/>
      <c r="N627" s="65" t="str">
        <f>IFERROR(__xludf.DUMMYFUNCTION("""COMPUTED_VALUE"""),"8025 Bonhomme Ave, Apt #0711, Clayton MO")</f>
        <v>8025 Bonhomme Ave, Apt #0711, Clayton MO</v>
      </c>
      <c r="O627" s="65"/>
      <c r="P627" s="65" t="b">
        <f>COUNTIF('Delivered SIR'!A:A, E627) &gt; 0</f>
        <v>0</v>
      </c>
    </row>
    <row r="628">
      <c r="A628" s="99" t="str">
        <f>IFERROR(__xludf.DUMMYFUNCTION("""COMPUTED_VALUE"""),"https://utrucking.com/admin/orders/6228124401852")</f>
        <v>https://utrucking.com/admin/orders/6228124401852</v>
      </c>
      <c r="B628" s="61" t="str">
        <f>IFERROR(__xludf.DUMMYFUNCTION("""COMPUTED_VALUE"""),"#16775")</f>
        <v>#16775</v>
      </c>
      <c r="C628" s="61" t="str">
        <f>IFERROR(__xludf.DUMMYFUNCTION("""COMPUTED_VALUE"""),"cmaxwellfalvey@gmail.com")</f>
        <v>cmaxwellfalvey@gmail.com</v>
      </c>
      <c r="D628" s="61">
        <f>IFERROR(__xludf.DUMMYFUNCTION("""COMPUTED_VALUE"""),3.392214449E9)</f>
        <v>3392214449</v>
      </c>
      <c r="E628" s="61" t="str">
        <f>IFERROR(__xludf.DUMMYFUNCTION("""COMPUTED_VALUE"""),"Colin Falvey")</f>
        <v>Colin Falvey</v>
      </c>
      <c r="F628" s="61" t="str">
        <f>IFERROR(__xludf.DUMMYFUNCTION("""COMPUTED_VALUE"""),"Colin Falvey")</f>
        <v>Colin Falvey</v>
      </c>
      <c r="G628" s="61" t="str">
        <f>IFERROR(__xludf.DUMMYFUNCTION("""COMPUTED_VALUE"""),"6105 Delmar Blvd. Saint Louis, MO 63112 Apt. 710")</f>
        <v>6105 Delmar Blvd. Saint Louis, MO 63112 Apt. 710</v>
      </c>
      <c r="H628" s="61" t="str">
        <f>IFERROR(__xludf.DUMMYFUNCTION("""COMPUTED_VALUE"""),"Storage Item Return")</f>
        <v>Storage Item Return</v>
      </c>
      <c r="I628" s="61" t="str">
        <f>IFERROR(__xludf.DUMMYFUNCTION("""COMPUTED_VALUE"""),"Non-University Housing ")</f>
        <v>Non-University Housing </v>
      </c>
      <c r="J628" s="107" t="str">
        <f>IFERROR(__xludf.DUMMYFUNCTION("""COMPUTED_VALUE"""),"12:00 PM to 02:00 PM   ")</f>
        <v>12:00 PM to 02:00 PM   </v>
      </c>
      <c r="K628" s="107">
        <f>IFERROR(__xludf.DUMMYFUNCTION("""COMPUTED_VALUE"""),46034.0)</f>
        <v>46034</v>
      </c>
      <c r="L628" s="61"/>
      <c r="M628" s="61"/>
      <c r="N628" s="61" t="str">
        <f>IFERROR(__xludf.DUMMYFUNCTION("""COMPUTED_VALUE"""),"6105 Delmar Blvd. Saint Louis, MO 63112 Apt. 710")</f>
        <v>6105 Delmar Blvd. Saint Louis, MO 63112 Apt. 710</v>
      </c>
      <c r="O628" s="61"/>
      <c r="P628" s="61" t="b">
        <f>COUNTIF('Delivered SIR'!A:A, E628) &gt; 0</f>
        <v>0</v>
      </c>
    </row>
    <row r="629">
      <c r="A629" s="102" t="str">
        <f>IFERROR(__xludf.DUMMYFUNCTION("""COMPUTED_VALUE"""),"https://utrucking.com/admin/orders/6377480782012")</f>
        <v>https://utrucking.com/admin/orders/6377480782012</v>
      </c>
      <c r="B629" s="65" t="str">
        <f>IFERROR(__xludf.DUMMYFUNCTION("""COMPUTED_VALUE"""),"#17171")</f>
        <v>#17171</v>
      </c>
      <c r="C629" s="65"/>
      <c r="D629" s="65">
        <f>IFERROR(__xludf.DUMMYFUNCTION("""COMPUTED_VALUE"""),9.01356683E9)</f>
        <v>9013566830</v>
      </c>
      <c r="E629" s="65" t="str">
        <f>IFERROR(__xludf.DUMMYFUNCTION("""COMPUTED_VALUE"""),"Eleanor Hsueh")</f>
        <v>Eleanor Hsueh</v>
      </c>
      <c r="F629" s="65" t="str">
        <f>IFERROR(__xludf.DUMMYFUNCTION("""COMPUTED_VALUE"""),"Eleanor Hsueh ")</f>
        <v>Eleanor Hsueh </v>
      </c>
      <c r="G629" s="65"/>
      <c r="H629" s="65" t="str">
        <f>IFERROR(__xludf.DUMMYFUNCTION("""COMPUTED_VALUE"""),"Storage Item Return")</f>
        <v>Storage Item Return</v>
      </c>
      <c r="I629" s="65" t="str">
        <f>IFERROR(__xludf.DUMMYFUNCTION("""COMPUTED_VALUE"""),"University Housing ")</f>
        <v>University Housing </v>
      </c>
      <c r="J629" s="108" t="str">
        <f>IFERROR(__xludf.DUMMYFUNCTION("""COMPUTED_VALUE"""),"03:00 PM to 05:00 PM ")</f>
        <v>03:00 PM to 05:00 PM </v>
      </c>
      <c r="K629" s="108">
        <f>IFERROR(__xludf.DUMMYFUNCTION("""COMPUTED_VALUE"""),46263.0)</f>
        <v>46263</v>
      </c>
      <c r="L629" s="65" t="str">
        <f>IFERROR(__xludf.DUMMYFUNCTION("""COMPUTED_VALUE"""),"Greenway Apartments  ")</f>
        <v>Greenway Apartments  </v>
      </c>
      <c r="M629" s="65" t="str">
        <f>IFERROR(__xludf.DUMMYFUNCTION("""COMPUTED_VALUE"""),"142-C")</f>
        <v>142-C</v>
      </c>
      <c r="N629" s="65"/>
      <c r="O629" s="65"/>
      <c r="P629" s="65" t="b">
        <f>COUNTIF('Delivered SIR'!A:A, E629) &gt; 0</f>
        <v>0</v>
      </c>
    </row>
    <row r="630">
      <c r="A630" s="99" t="str">
        <f>IFERROR(__xludf.DUMMYFUNCTION("""COMPUTED_VALUE"""),"https://utrucking.com/admin/orders/6420205437116")</f>
        <v>https://utrucking.com/admin/orders/6420205437116</v>
      </c>
      <c r="B630" s="61" t="str">
        <f>IFERROR(__xludf.DUMMYFUNCTION("""COMPUTED_VALUE"""),"#17489")</f>
        <v>#17489</v>
      </c>
      <c r="C630" s="61" t="str">
        <f>IFERROR(__xludf.DUMMYFUNCTION("""COMPUTED_VALUE"""),"matthew@hayutineducation.com")</f>
        <v>matthew@hayutineducation.com</v>
      </c>
      <c r="D630" s="61">
        <f>IFERROR(__xludf.DUMMYFUNCTION("""COMPUTED_VALUE"""),3.109636636E9)</f>
        <v>3109636636</v>
      </c>
      <c r="E630" s="61" t="str">
        <f>IFERROR(__xludf.DUMMYFUNCTION("""COMPUTED_VALUE"""),"Matthew Hayutin")</f>
        <v>Matthew Hayutin</v>
      </c>
      <c r="F630" s="61" t="str">
        <f>IFERROR(__xludf.DUMMYFUNCTION("""COMPUTED_VALUE"""),"Bianca Hayutin")</f>
        <v>Bianca Hayutin</v>
      </c>
      <c r="G630" s="61"/>
      <c r="H630" s="61" t="str">
        <f>IFERROR(__xludf.DUMMYFUNCTION("""COMPUTED_VALUE"""),"Storage Item Return")</f>
        <v>Storage Item Return</v>
      </c>
      <c r="I630" s="61" t="str">
        <f>IFERROR(__xludf.DUMMYFUNCTION("""COMPUTED_VALUE"""),"University Housing ")</f>
        <v>University Housing </v>
      </c>
      <c r="J630" s="107" t="str">
        <f>IFERROR(__xludf.DUMMYFUNCTION("""COMPUTED_VALUE"""),"09:00 AM to 11:00 AM   ")</f>
        <v>09:00 AM to 11:00 AM   </v>
      </c>
      <c r="K630" s="107">
        <f>IFERROR(__xludf.DUMMYFUNCTION("""COMPUTED_VALUE"""),46254.0)</f>
        <v>46254</v>
      </c>
      <c r="L630" s="61" t="str">
        <f>IFERROR(__xludf.DUMMYFUNCTION("""COMPUTED_VALUE"""),"Lopata  ")</f>
        <v>Lopata  </v>
      </c>
      <c r="M630" s="61" t="str">
        <f>IFERROR(__xludf.DUMMYFUNCTION("""COMPUTED_VALUE"""),"3151 - A")</f>
        <v>3151 - A</v>
      </c>
      <c r="N630" s="61"/>
      <c r="O630" s="61" t="str">
        <f>IFERROR(__xludf.DUMMYFUNCTION("""COMPUTED_VALUE""")," If possible, please deliver the storage kit boxes as early as Monday, 4/27 and no later than 5/1.  The earlier the better, please.  Thank you!")</f>
        <v> If possible, please deliver the storage kit boxes as early as Monday, 4/27 and no later than 5/1.  The earlier the better, please.  Thank you!</v>
      </c>
      <c r="P630" s="61" t="b">
        <f>COUNTIF('Delivered SIR'!A:A, E630) &gt; 0</f>
        <v>0</v>
      </c>
    </row>
    <row r="631">
      <c r="A631" s="102" t="str">
        <f>IFERROR(__xludf.DUMMYFUNCTION("""COMPUTED_VALUE"""),"https://utrucking.com/admin/orders/6420925055164")</f>
        <v>https://utrucking.com/admin/orders/6420925055164</v>
      </c>
      <c r="B631" s="65" t="str">
        <f>IFERROR(__xludf.DUMMYFUNCTION("""COMPUTED_VALUE"""),"#17500")</f>
        <v>#17500</v>
      </c>
      <c r="C631" s="65" t="str">
        <f>IFERROR(__xludf.DUMMYFUNCTION("""COMPUTED_VALUE"""),"maraperry63@gmail.com")</f>
        <v>maraperry63@gmail.com</v>
      </c>
      <c r="D631" s="65">
        <f>IFERROR(__xludf.DUMMYFUNCTION("""COMPUTED_VALUE"""),9.176136594E9)</f>
        <v>9176136594</v>
      </c>
      <c r="E631" s="65" t="str">
        <f>IFERROR(__xludf.DUMMYFUNCTION("""COMPUTED_VALUE"""),"Mara Perry")</f>
        <v>Mara Perry</v>
      </c>
      <c r="F631" s="65" t="str">
        <f>IFERROR(__xludf.DUMMYFUNCTION("""COMPUTED_VALUE"""),"Emily Schechter")</f>
        <v>Emily Schechter</v>
      </c>
      <c r="G631" s="65" t="str">
        <f>IFERROR(__xludf.DUMMYFUNCTION("""COMPUTED_VALUE"""),"5959 McPherson Avenue
Floor G")</f>
        <v>5959 McPherson Avenue
Floor G</v>
      </c>
      <c r="H631" s="65" t="str">
        <f>IFERROR(__xludf.DUMMYFUNCTION("""COMPUTED_VALUE"""),"Storage Item Return")</f>
        <v>Storage Item Return</v>
      </c>
      <c r="I631" s="65" t="str">
        <f>IFERROR(__xludf.DUMMYFUNCTION("""COMPUTED_VALUE"""),"Non-University Housing ")</f>
        <v>Non-University Housing </v>
      </c>
      <c r="J631" s="108" t="str">
        <f>IFERROR(__xludf.DUMMYFUNCTION("""COMPUTED_VALUE"""),"03:00 PM to 05:00 PM ")</f>
        <v>03:00 PM to 05:00 PM </v>
      </c>
      <c r="K631" s="108">
        <f>IFERROR(__xludf.DUMMYFUNCTION("""COMPUTED_VALUE"""),46255.0)</f>
        <v>46255</v>
      </c>
      <c r="L631" s="65"/>
      <c r="M631" s="65"/>
      <c r="N631" s="65" t="str">
        <f>IFERROR(__xludf.DUMMYFUNCTION("""COMPUTED_VALUE"""),"5959 McPherson Avenue
Floor G")</f>
        <v>5959 McPherson Avenue
Floor G</v>
      </c>
      <c r="O631" s="65" t="str">
        <f>IFERROR(__xludf.DUMMYFUNCTION("""COMPUTED_VALUE""")," ")</f>
        <v> </v>
      </c>
      <c r="P631" s="65" t="b">
        <f>COUNTIF('Delivered SIR'!A:A, E631) &gt; 0</f>
        <v>0</v>
      </c>
    </row>
    <row r="632">
      <c r="A632" s="99" t="str">
        <f>IFERROR(__xludf.DUMMYFUNCTION("""COMPUTED_VALUE"""),"https://utrucking.com/admin/orders/6421465071804")</f>
        <v>https://utrucking.com/admin/orders/6421465071804</v>
      </c>
      <c r="B632" s="61" t="str">
        <f>IFERROR(__xludf.DUMMYFUNCTION("""COMPUTED_VALUE"""),"#17505")</f>
        <v>#17505</v>
      </c>
      <c r="C632" s="61" t="str">
        <f>IFERROR(__xludf.DUMMYFUNCTION("""COMPUTED_VALUE"""),"e.d.stulman@wustl.edu")</f>
        <v>e.d.stulman@wustl.edu</v>
      </c>
      <c r="D632" s="61">
        <f>IFERROR(__xludf.DUMMYFUNCTION("""COMPUTED_VALUE"""),6.469464044E9)</f>
        <v>6469464044</v>
      </c>
      <c r="E632" s="61" t="str">
        <f>IFERROR(__xludf.DUMMYFUNCTION("""COMPUTED_VALUE"""),"Eliza Stulman")</f>
        <v>Eliza Stulman</v>
      </c>
      <c r="F632" s="61" t="str">
        <f>IFERROR(__xludf.DUMMYFUNCTION("""COMPUTED_VALUE"""),"Eliza Stulman ")</f>
        <v>Eliza Stulman </v>
      </c>
      <c r="G632" s="61" t="str">
        <f>IFERROR(__xludf.DUMMYFUNCTION("""COMPUTED_VALUE"""),"6108 Waterman Blvd.
first floor
St. Louis, MO 63112")</f>
        <v>6108 Waterman Blvd.
first floor
St. Louis, MO 63112</v>
      </c>
      <c r="H632" s="61" t="str">
        <f>IFERROR(__xludf.DUMMYFUNCTION("""COMPUTED_VALUE"""),"Storage Item Return")</f>
        <v>Storage Item Return</v>
      </c>
      <c r="I632" s="61" t="str">
        <f>IFERROR(__xludf.DUMMYFUNCTION("""COMPUTED_VALUE"""),"Non-University Housing ")</f>
        <v>Non-University Housing </v>
      </c>
      <c r="J632" s="107" t="str">
        <f>IFERROR(__xludf.DUMMYFUNCTION("""COMPUTED_VALUE"""),"03:00 PM to 05:00 PM ")</f>
        <v>03:00 PM to 05:00 PM </v>
      </c>
      <c r="K632" s="107">
        <f>IFERROR(__xludf.DUMMYFUNCTION("""COMPUTED_VALUE"""),46175.0)</f>
        <v>46175</v>
      </c>
      <c r="L632" s="61"/>
      <c r="M632" s="61"/>
      <c r="N632" s="61" t="str">
        <f>IFERROR(__xludf.DUMMYFUNCTION("""COMPUTED_VALUE"""),"6108 Waterman Blvd.
first floor
St. Louis, MO 63112")</f>
        <v>6108 Waterman Blvd.
first floor
St. Louis, MO 63112</v>
      </c>
      <c r="O632" s="61" t="str">
        <f>IFERROR(__xludf.DUMMYFUNCTION("""COMPUTED_VALUE""")," Please deliver it as late in the day as possible so my roommates can provide access to the basement via the back entrance. Thanks so much. ")</f>
        <v> Please deliver it as late in the day as possible so my roommates can provide access to the basement via the back entrance. Thanks so much. </v>
      </c>
      <c r="P632" s="61" t="b">
        <f>COUNTIF('Delivered SIR'!A:A, E632) &gt; 0</f>
        <v>1</v>
      </c>
    </row>
    <row r="633">
      <c r="A633" s="102" t="str">
        <f>IFERROR(__xludf.DUMMYFUNCTION("""COMPUTED_VALUE"""),"https://utrucking.com/admin/orders/6424076878012")</f>
        <v>https://utrucking.com/admin/orders/6424076878012</v>
      </c>
      <c r="B633" s="65" t="str">
        <f>IFERROR(__xludf.DUMMYFUNCTION("""COMPUTED_VALUE"""),"#17549")</f>
        <v>#17549</v>
      </c>
      <c r="C633" s="65" t="str">
        <f>IFERROR(__xludf.DUMMYFUNCTION("""COMPUTED_VALUE"""),"chen.m.b@wustl.edu")</f>
        <v>chen.m.b@wustl.edu</v>
      </c>
      <c r="D633" s="65">
        <f>IFERROR(__xludf.DUMMYFUNCTION("""COMPUTED_VALUE"""),9.193979888E9)</f>
        <v>9193979888</v>
      </c>
      <c r="E633" s="65" t="str">
        <f>IFERROR(__xludf.DUMMYFUNCTION("""COMPUTED_VALUE"""),"Monica Chen")</f>
        <v>Monica Chen</v>
      </c>
      <c r="F633" s="65" t="str">
        <f>IFERROR(__xludf.DUMMYFUNCTION("""COMPUTED_VALUE"""),"Monica Chen")</f>
        <v>Monica Chen</v>
      </c>
      <c r="G633" s="65"/>
      <c r="H633" s="65" t="str">
        <f>IFERROR(__xludf.DUMMYFUNCTION("""COMPUTED_VALUE"""),"Storage Item Return")</f>
        <v>Storage Item Return</v>
      </c>
      <c r="I633" s="65" t="str">
        <f>IFERROR(__xludf.DUMMYFUNCTION("""COMPUTED_VALUE"""),"University Housing ")</f>
        <v>University Housing </v>
      </c>
      <c r="J633" s="108" t="str">
        <f>IFERROR(__xludf.DUMMYFUNCTION("""COMPUTED_VALUE"""),"09:00 AM to 11:00 AM   ")</f>
        <v>09:00 AM to 11:00 AM   </v>
      </c>
      <c r="K633" s="108">
        <f>IFERROR(__xludf.DUMMYFUNCTION("""COMPUTED_VALUE"""),46255.0)</f>
        <v>46255</v>
      </c>
      <c r="L633" s="65" t="str">
        <f>IFERROR(__xludf.DUMMYFUNCTION("""COMPUTED_VALUE"""),"Loop Loft 6200  ")</f>
        <v>Loop Loft 6200  </v>
      </c>
      <c r="M633" s="65" t="str">
        <f>IFERROR(__xludf.DUMMYFUNCTION("""COMPUTED_VALUE"""),"214 a")</f>
        <v>214 a</v>
      </c>
      <c r="N633" s="65"/>
      <c r="O633" s="65" t="str">
        <f>IFERROR(__xludf.DUMMYFUNCTION("""COMPUTED_VALUE""")," ")</f>
        <v> </v>
      </c>
      <c r="P633" s="65" t="b">
        <f>COUNTIF('Delivered SIR'!A:A, E633) &gt; 0</f>
        <v>0</v>
      </c>
    </row>
    <row r="634">
      <c r="A634" s="99" t="str">
        <f>IFERROR(__xludf.DUMMYFUNCTION("""COMPUTED_VALUE"""),"https://utrucking.com/admin/orders/6435523559612")</f>
        <v>https://utrucking.com/admin/orders/6435523559612</v>
      </c>
      <c r="B634" s="61" t="str">
        <f>IFERROR(__xludf.DUMMYFUNCTION("""COMPUTED_VALUE"""),"#17729")</f>
        <v>#17729</v>
      </c>
      <c r="C634" s="61" t="str">
        <f>IFERROR(__xludf.DUMMYFUNCTION("""COMPUTED_VALUE"""),"atrulnick@gmail.com")</f>
        <v>atrulnick@gmail.com</v>
      </c>
      <c r="D634" s="61">
        <f>IFERROR(__xludf.DUMMYFUNCTION("""COMPUTED_VALUE"""),2.409944982E9)</f>
        <v>2409944982</v>
      </c>
      <c r="E634" s="61" t="str">
        <f>IFERROR(__xludf.DUMMYFUNCTION("""COMPUTED_VALUE"""),"ALISA RULNICK")</f>
        <v>ALISA RULNICK</v>
      </c>
      <c r="F634" s="61" t="str">
        <f>IFERROR(__xludf.DUMMYFUNCTION("""COMPUTED_VALUE"""),"LILY RULNICK")</f>
        <v>LILY RULNICK</v>
      </c>
      <c r="G634" s="61"/>
      <c r="H634" s="61" t="str">
        <f>IFERROR(__xludf.DUMMYFUNCTION("""COMPUTED_VALUE"""),"Storage Item Return")</f>
        <v>Storage Item Return</v>
      </c>
      <c r="I634" s="61" t="str">
        <f>IFERROR(__xludf.DUMMYFUNCTION("""COMPUTED_VALUE"""),"University Housing ")</f>
        <v>University Housing </v>
      </c>
      <c r="J634" s="107" t="str">
        <f>IFERROR(__xludf.DUMMYFUNCTION("""COMPUTED_VALUE"""),"01:00 PM to 03:00 PM   ")</f>
        <v>01:00 PM to 03:00 PM   </v>
      </c>
      <c r="K634" s="107">
        <f>IFERROR(__xludf.DUMMYFUNCTION("""COMPUTED_VALUE"""),46255.0)</f>
        <v>46255</v>
      </c>
      <c r="L634" s="61" t="str">
        <f>IFERROR(__xludf.DUMMYFUNCTION("""COMPUTED_VALUE"""),"Mudd  ")</f>
        <v>Mudd  </v>
      </c>
      <c r="M634" s="61" t="str">
        <f>IFERROR(__xludf.DUMMYFUNCTION("""COMPUTED_VALUE"""),"374-A")</f>
        <v>374-A</v>
      </c>
      <c r="N634" s="61"/>
      <c r="O634" s="61" t="str">
        <f>IFERROR(__xludf.DUMMYFUNCTION("""COMPUTED_VALUE""")," ")</f>
        <v> </v>
      </c>
      <c r="P634" s="61" t="b">
        <f>COUNTIF('Delivered SIR'!A:A, E634) &gt; 0</f>
        <v>0</v>
      </c>
    </row>
    <row r="635">
      <c r="A635" s="102" t="str">
        <f>IFERROR(__xludf.DUMMYFUNCTION("""COMPUTED_VALUE"""),"https://utrucking.com/admin/orders/6448232399036")</f>
        <v>https://utrucking.com/admin/orders/6448232399036</v>
      </c>
      <c r="B635" s="65" t="str">
        <f>IFERROR(__xludf.DUMMYFUNCTION("""COMPUTED_VALUE"""),"#18026")</f>
        <v>#18026</v>
      </c>
      <c r="C635" s="65" t="str">
        <f>IFERROR(__xludf.DUMMYFUNCTION("""COMPUTED_VALUE"""),"tom.wang@wustl.edu")</f>
        <v>tom.wang@wustl.edu</v>
      </c>
      <c r="D635" s="65">
        <f>IFERROR(__xludf.DUMMYFUNCTION("""COMPUTED_VALUE"""),3.142241746E9)</f>
        <v>3142241746</v>
      </c>
      <c r="E635" s="65" t="str">
        <f>IFERROR(__xludf.DUMMYFUNCTION("""COMPUTED_VALUE"""),"Tom Wang")</f>
        <v>Tom Wang</v>
      </c>
      <c r="F635" s="65" t="str">
        <f>IFERROR(__xludf.DUMMYFUNCTION("""COMPUTED_VALUE"""),"Tom Wang")</f>
        <v>Tom Wang</v>
      </c>
      <c r="G635" s="65"/>
      <c r="H635" s="65" t="str">
        <f>IFERROR(__xludf.DUMMYFUNCTION("""COMPUTED_VALUE"""),"Storage Item Return")</f>
        <v>Storage Item Return</v>
      </c>
      <c r="I635" s="65" t="str">
        <f>IFERROR(__xludf.DUMMYFUNCTION("""COMPUTED_VALUE"""),"University Housing ")</f>
        <v>University Housing </v>
      </c>
      <c r="J635" s="108" t="str">
        <f>IFERROR(__xludf.DUMMYFUNCTION("""COMPUTED_VALUE"""),"03:00 PM to 05:00 PM ")</f>
        <v>03:00 PM to 05:00 PM </v>
      </c>
      <c r="K635" s="108">
        <f>IFERROR(__xludf.DUMMYFUNCTION("""COMPUTED_VALUE"""),46256.0)</f>
        <v>46256</v>
      </c>
      <c r="L635" s="65" t="str">
        <f>IFERROR(__xludf.DUMMYFUNCTION("""COMPUTED_VALUE"""),"Gregg  ")</f>
        <v>Gregg  </v>
      </c>
      <c r="M635" s="65" t="str">
        <f>IFERROR(__xludf.DUMMYFUNCTION("""COMPUTED_VALUE"""),"2042")</f>
        <v>2042</v>
      </c>
      <c r="N635" s="65"/>
      <c r="O635" s="65" t="str">
        <f>IFERROR(__xludf.DUMMYFUNCTION("""COMPUTED_VALUE""")," ")</f>
        <v> </v>
      </c>
      <c r="P635" s="65" t="b">
        <f>COUNTIF('Delivered SIR'!A:A, E635) &gt; 0</f>
        <v>0</v>
      </c>
    </row>
    <row r="636">
      <c r="A636" s="99" t="str">
        <f>IFERROR(__xludf.DUMMYFUNCTION("""COMPUTED_VALUE"""),"https://utrucking.com/admin/orders/6448850632892")</f>
        <v>https://utrucking.com/admin/orders/6448850632892</v>
      </c>
      <c r="B636" s="61" t="str">
        <f>IFERROR(__xludf.DUMMYFUNCTION("""COMPUTED_VALUE"""),"#18042")</f>
        <v>#18042</v>
      </c>
      <c r="C636" s="61" t="str">
        <f>IFERROR(__xludf.DUMMYFUNCTION("""COMPUTED_VALUE"""),"sissoko@wustl.edu")</f>
        <v>sissoko@wustl.edu</v>
      </c>
      <c r="D636" s="61">
        <f>IFERROR(__xludf.DUMMYFUNCTION("""COMPUTED_VALUE"""),3.045332912E9)</f>
        <v>3045332912</v>
      </c>
      <c r="E636" s="61" t="str">
        <f>IFERROR(__xludf.DUMMYFUNCTION("""COMPUTED_VALUE"""),"Dara Seybold")</f>
        <v>Dara Seybold</v>
      </c>
      <c r="F636" s="61" t="str">
        <f>IFERROR(__xludf.DUMMYFUNCTION("""COMPUTED_VALUE"""),"Khadija Sissoko")</f>
        <v>Khadija Sissoko</v>
      </c>
      <c r="G636" s="61"/>
      <c r="H636" s="61" t="str">
        <f>IFERROR(__xludf.DUMMYFUNCTION("""COMPUTED_VALUE"""),"Storage Item Return")</f>
        <v>Storage Item Return</v>
      </c>
      <c r="I636" s="61" t="str">
        <f>IFERROR(__xludf.DUMMYFUNCTION("""COMPUTED_VALUE"""),"University Housing ")</f>
        <v>University Housing </v>
      </c>
      <c r="J636" s="107" t="str">
        <f>IFERROR(__xludf.DUMMYFUNCTION("""COMPUTED_VALUE"""),"09:00 AM to 11:00 AM   ")</f>
        <v>09:00 AM to 11:00 AM   </v>
      </c>
      <c r="K636" s="107">
        <f>IFERROR(__xludf.DUMMYFUNCTION("""COMPUTED_VALUE"""),46242.0)</f>
        <v>46242</v>
      </c>
      <c r="L636" s="61" t="str">
        <f>IFERROR(__xludf.DUMMYFUNCTION("""COMPUTED_VALUE"""),"Gregg  ")</f>
        <v>Gregg  </v>
      </c>
      <c r="M636" s="61" t="str">
        <f>IFERROR(__xludf.DUMMYFUNCTION("""COMPUTED_VALUE"""),"3032-a")</f>
        <v>3032-a</v>
      </c>
      <c r="N636" s="61"/>
      <c r="O636" s="61" t="str">
        <f>IFERROR(__xludf.DUMMYFUNCTION("""COMPUTED_VALUE""")," The earliest possible time on the 8th would be greatly appreciated, as I will be moving in early for WUSA and need to move in during the morning. Thank you so much; I really appreciate it!")</f>
        <v> The earliest possible time on the 8th would be greatly appreciated, as I will be moving in early for WUSA and need to move in during the morning. Thank you so much; I really appreciate it!</v>
      </c>
      <c r="P636" s="61" t="b">
        <f>COUNTIF('Delivered SIR'!A:A, E636) &gt; 0</f>
        <v>0</v>
      </c>
    </row>
    <row r="637">
      <c r="A637" s="102" t="str">
        <f>IFERROR(__xludf.DUMMYFUNCTION("""COMPUTED_VALUE"""),"https://utrucking.com/admin/orders/6449276879036")</f>
        <v>https://utrucking.com/admin/orders/6449276879036</v>
      </c>
      <c r="B637" s="65" t="str">
        <f>IFERROR(__xludf.DUMMYFUNCTION("""COMPUTED_VALUE"""),"#18069")</f>
        <v>#18069</v>
      </c>
      <c r="C637" s="65" t="str">
        <f>IFERROR(__xludf.DUMMYFUNCTION("""COMPUTED_VALUE"""),"abethany@wustl.edu")</f>
        <v>abethany@wustl.edu</v>
      </c>
      <c r="D637" s="65">
        <f>IFERROR(__xludf.DUMMYFUNCTION("""COMPUTED_VALUE"""),3.522262436E9)</f>
        <v>3522262436</v>
      </c>
      <c r="E637" s="65" t="str">
        <f>IFERROR(__xludf.DUMMYFUNCTION("""COMPUTED_VALUE"""),"Bethany Anderson")</f>
        <v>Bethany Anderson</v>
      </c>
      <c r="F637" s="65" t="str">
        <f>IFERROR(__xludf.DUMMYFUNCTION("""COMPUTED_VALUE"""),"Bethany Anderson")</f>
        <v>Bethany Anderson</v>
      </c>
      <c r="G637" s="65"/>
      <c r="H637" s="65" t="str">
        <f>IFERROR(__xludf.DUMMYFUNCTION("""COMPUTED_VALUE"""),"Storage Item Return")</f>
        <v>Storage Item Return</v>
      </c>
      <c r="I637" s="65" t="str">
        <f>IFERROR(__xludf.DUMMYFUNCTION("""COMPUTED_VALUE"""),"University Housing ")</f>
        <v>University Housing </v>
      </c>
      <c r="J637" s="108" t="str">
        <f>IFERROR(__xludf.DUMMYFUNCTION("""COMPUTED_VALUE"""),"09:00 AM to 11:00 AM   ")</f>
        <v>09:00 AM to 11:00 AM   </v>
      </c>
      <c r="K637" s="108">
        <f>IFERROR(__xludf.DUMMYFUNCTION("""COMPUTED_VALUE"""),46251.0)</f>
        <v>46251</v>
      </c>
      <c r="L637" s="65" t="str">
        <f>IFERROR(__xludf.DUMMYFUNCTION("""COMPUTED_VALUE"""),"Nemerov  ")</f>
        <v>Nemerov  </v>
      </c>
      <c r="M637" s="65" t="str">
        <f>IFERROR(__xludf.DUMMYFUNCTION("""COMPUTED_VALUE"""),"4062 - a")</f>
        <v>4062 - a</v>
      </c>
      <c r="N637" s="65"/>
      <c r="O637" s="65" t="str">
        <f>IFERROR(__xludf.DUMMYFUNCTION("""COMPUTED_VALUE""")," ")</f>
        <v> </v>
      </c>
      <c r="P637" s="65" t="b">
        <f>COUNTIF('Delivered SIR'!A:A, E637) &gt; 0</f>
        <v>0</v>
      </c>
    </row>
    <row r="638">
      <c r="A638" s="99" t="str">
        <f>IFERROR(__xludf.DUMMYFUNCTION("""COMPUTED_VALUE"""),"https://utrucking.com/admin/orders/6450382176444")</f>
        <v>https://utrucking.com/admin/orders/6450382176444</v>
      </c>
      <c r="B638" s="61" t="str">
        <f>IFERROR(__xludf.DUMMYFUNCTION("""COMPUTED_VALUE"""),"#18091")</f>
        <v>#18091</v>
      </c>
      <c r="C638" s="61" t="str">
        <f>IFERROR(__xludf.DUMMYFUNCTION("""COMPUTED_VALUE"""),"elizaschulman@gmail.com")</f>
        <v>elizaschulman@gmail.com</v>
      </c>
      <c r="D638" s="61">
        <f>IFERROR(__xludf.DUMMYFUNCTION("""COMPUTED_VALUE"""),5.16606386E9)</f>
        <v>5166063860</v>
      </c>
      <c r="E638" s="61" t="str">
        <f>IFERROR(__xludf.DUMMYFUNCTION("""COMPUTED_VALUE"""),"Eliza Schulman")</f>
        <v>Eliza Schulman</v>
      </c>
      <c r="F638" s="61" t="str">
        <f>IFERROR(__xludf.DUMMYFUNCTION("""COMPUTED_VALUE"""),"Eliza Schulman")</f>
        <v>Eliza Schulman</v>
      </c>
      <c r="G638" s="61"/>
      <c r="H638" s="61" t="str">
        <f>IFERROR(__xludf.DUMMYFUNCTION("""COMPUTED_VALUE"""),"Storage Item Return")</f>
        <v>Storage Item Return</v>
      </c>
      <c r="I638" s="61" t="str">
        <f>IFERROR(__xludf.DUMMYFUNCTION("""COMPUTED_VALUE"""),"University Housing ")</f>
        <v>University Housing </v>
      </c>
      <c r="J638" s="107" t="str">
        <f>IFERROR(__xludf.DUMMYFUNCTION("""COMPUTED_VALUE"""),"09:00 AM to 11:00 AM   ")</f>
        <v>09:00 AM to 11:00 AM   </v>
      </c>
      <c r="K638" s="107">
        <f>IFERROR(__xludf.DUMMYFUNCTION("""COMPUTED_VALUE"""),46252.0)</f>
        <v>46252</v>
      </c>
      <c r="L638" s="61" t="str">
        <f>IFERROR(__xludf.DUMMYFUNCTION("""COMPUTED_VALUE"""),"Zetcher  ")</f>
        <v>Zetcher  </v>
      </c>
      <c r="M638" s="61" t="str">
        <f>IFERROR(__xludf.DUMMYFUNCTION("""COMPUTED_VALUE"""),"3102")</f>
        <v>3102</v>
      </c>
      <c r="N638" s="61"/>
      <c r="O638" s="61" t="str">
        <f>IFERROR(__xludf.DUMMYFUNCTION("""COMPUTED_VALUE""")," ")</f>
        <v> </v>
      </c>
      <c r="P638" s="61" t="b">
        <f>COUNTIF('Delivered SIR'!A:A, E638) &gt; 0</f>
        <v>0</v>
      </c>
    </row>
    <row r="639">
      <c r="A639" s="102" t="str">
        <f>IFERROR(__xludf.DUMMYFUNCTION("""COMPUTED_VALUE"""),"https://utrucking.com/admin/orders/6456113627324")</f>
        <v>https://utrucking.com/admin/orders/6456113627324</v>
      </c>
      <c r="B639" s="65" t="str">
        <f>IFERROR(__xludf.DUMMYFUNCTION("""COMPUTED_VALUE"""),"#18233")</f>
        <v>#18233</v>
      </c>
      <c r="C639" s="65" t="str">
        <f>IFERROR(__xludf.DUMMYFUNCTION("""COMPUTED_VALUE"""),"jordan.kim@wustl.edu")</f>
        <v>jordan.kim@wustl.edu</v>
      </c>
      <c r="D639" s="65">
        <f>IFERROR(__xludf.DUMMYFUNCTION("""COMPUTED_VALUE"""),8.187513679E9)</f>
        <v>8187513679</v>
      </c>
      <c r="E639" s="65" t="str">
        <f>IFERROR(__xludf.DUMMYFUNCTION("""COMPUTED_VALUE"""),"Jordan Kim")</f>
        <v>Jordan Kim</v>
      </c>
      <c r="F639" s="65" t="str">
        <f>IFERROR(__xludf.DUMMYFUNCTION("""COMPUTED_VALUE"""),"Jordan Kim")</f>
        <v>Jordan Kim</v>
      </c>
      <c r="G639" s="65" t="str">
        <f>IFERROR(__xludf.DUMMYFUNCTION("""COMPUTED_VALUE"""),"5933 Kingsbury Ave, Apt 3E")</f>
        <v>5933 Kingsbury Ave, Apt 3E</v>
      </c>
      <c r="H639" s="65" t="str">
        <f>IFERROR(__xludf.DUMMYFUNCTION("""COMPUTED_VALUE"""),"Storage Item Return")</f>
        <v>Storage Item Return</v>
      </c>
      <c r="I639" s="65" t="str">
        <f>IFERROR(__xludf.DUMMYFUNCTION("""COMPUTED_VALUE"""),"Non-University Housing ")</f>
        <v>Non-University Housing </v>
      </c>
      <c r="J639" s="108" t="str">
        <f>IFERROR(__xludf.DUMMYFUNCTION("""COMPUTED_VALUE"""),"09:00 AM to 11:00 AM   ")</f>
        <v>09:00 AM to 11:00 AM   </v>
      </c>
      <c r="K639" s="108">
        <f>IFERROR(__xludf.DUMMYFUNCTION("""COMPUTED_VALUE"""),46249.0)</f>
        <v>46249</v>
      </c>
      <c r="L639" s="65"/>
      <c r="M639" s="65"/>
      <c r="N639" s="65" t="str">
        <f>IFERROR(__xludf.DUMMYFUNCTION("""COMPUTED_VALUE"""),"5933 Kingsbury Ave, Apt 3E")</f>
        <v>5933 Kingsbury Ave, Apt 3E</v>
      </c>
      <c r="O639" s="65" t="str">
        <f>IFERROR(__xludf.DUMMYFUNCTION("""COMPUTED_VALUE""")," ")</f>
        <v> </v>
      </c>
      <c r="P639" s="65" t="b">
        <f>COUNTIF('Delivered SIR'!A:A, E639) &gt; 0</f>
        <v>0</v>
      </c>
    </row>
    <row r="640">
      <c r="A640" s="99" t="str">
        <f>IFERROR(__xludf.DUMMYFUNCTION("""COMPUTED_VALUE"""),"https://utrucking.com/admin/orders/6457644810428")</f>
        <v>https://utrucking.com/admin/orders/6457644810428</v>
      </c>
      <c r="B640" s="61" t="str">
        <f>IFERROR(__xludf.DUMMYFUNCTION("""COMPUTED_VALUE"""),"#18268")</f>
        <v>#18268</v>
      </c>
      <c r="C640" s="61" t="str">
        <f>IFERROR(__xludf.DUMMYFUNCTION("""COMPUTED_VALUE"""),"mepspinner@aol.com")</f>
        <v>mepspinner@aol.com</v>
      </c>
      <c r="D640" s="61">
        <f>IFERROR(__xludf.DUMMYFUNCTION("""COMPUTED_VALUE"""),4.145874195E9)</f>
        <v>4145874195</v>
      </c>
      <c r="E640" s="61" t="str">
        <f>IFERROR(__xludf.DUMMYFUNCTION("""COMPUTED_VALUE"""),"Sarah Bahr")</f>
        <v>Sarah Bahr</v>
      </c>
      <c r="F640" s="61" t="str">
        <f>IFERROR(__xludf.DUMMYFUNCTION("""COMPUTED_VALUE"""),"Evan Bahr")</f>
        <v>Evan Bahr</v>
      </c>
      <c r="G640" s="61"/>
      <c r="H640" s="61" t="str">
        <f>IFERROR(__xludf.DUMMYFUNCTION("""COMPUTED_VALUE"""),"Storage Item Return")</f>
        <v>Storage Item Return</v>
      </c>
      <c r="I640" s="61" t="str">
        <f>IFERROR(__xludf.DUMMYFUNCTION("""COMPUTED_VALUE"""),"University Housing ")</f>
        <v>University Housing </v>
      </c>
      <c r="J640" s="107" t="str">
        <f>IFERROR(__xludf.DUMMYFUNCTION("""COMPUTED_VALUE"""),"09:00 AM to 11:00 AM   ")</f>
        <v>09:00 AM to 11:00 AM   </v>
      </c>
      <c r="K640" s="107">
        <f>IFERROR(__xludf.DUMMYFUNCTION("""COMPUTED_VALUE"""),46255.0)</f>
        <v>46255</v>
      </c>
      <c r="L640" s="61" t="str">
        <f>IFERROR(__xludf.DUMMYFUNCTION("""COMPUTED_VALUE"""),"Eliot B (Sophomore Dorm)")</f>
        <v>Eliot B (Sophomore Dorm)</v>
      </c>
      <c r="M640" s="61" t="str">
        <f>IFERROR(__xludf.DUMMYFUNCTION("""COMPUTED_VALUE"""),"4073")</f>
        <v>4073</v>
      </c>
      <c r="N640" s="61"/>
      <c r="O640" s="61" t="str">
        <f>IFERROR(__xludf.DUMMYFUNCTION("""COMPUTED_VALUE""")," ")</f>
        <v> </v>
      </c>
      <c r="P640" s="61" t="b">
        <f>COUNTIF('Delivered SIR'!A:A, E640) &gt; 0</f>
        <v>0</v>
      </c>
    </row>
    <row r="641">
      <c r="A641" s="102" t="str">
        <f>IFERROR(__xludf.DUMMYFUNCTION("""COMPUTED_VALUE"""),"https://utrucking.com/admin/orders/6458101235900")</f>
        <v>https://utrucking.com/admin/orders/6458101235900</v>
      </c>
      <c r="B641" s="65" t="str">
        <f>IFERROR(__xludf.DUMMYFUNCTION("""COMPUTED_VALUE"""),"#18286")</f>
        <v>#18286</v>
      </c>
      <c r="C641" s="65" t="str">
        <f>IFERROR(__xludf.DUMMYFUNCTION("""COMPUTED_VALUE"""),"k.m.ziwot@wustl.edu")</f>
        <v>k.m.ziwot@wustl.edu</v>
      </c>
      <c r="D641" s="65">
        <f>IFERROR(__xludf.DUMMYFUNCTION("""COMPUTED_VALUE"""),9.086989314E9)</f>
        <v>9086989314</v>
      </c>
      <c r="E641" s="65" t="str">
        <f>IFERROR(__xludf.DUMMYFUNCTION("""COMPUTED_VALUE"""),"Kat Ziwot")</f>
        <v>Kat Ziwot</v>
      </c>
      <c r="F641" s="65" t="str">
        <f>IFERROR(__xludf.DUMMYFUNCTION("""COMPUTED_VALUE"""),"Kat Ziwot")</f>
        <v>Kat Ziwot</v>
      </c>
      <c r="G641" s="65"/>
      <c r="H641" s="65" t="str">
        <f>IFERROR(__xludf.DUMMYFUNCTION("""COMPUTED_VALUE"""),"Storage Item Return")</f>
        <v>Storage Item Return</v>
      </c>
      <c r="I641" s="65" t="str">
        <f>IFERROR(__xludf.DUMMYFUNCTION("""COMPUTED_VALUE"""),"University Housing ")</f>
        <v>University Housing </v>
      </c>
      <c r="J641" s="108" t="str">
        <f>IFERROR(__xludf.DUMMYFUNCTION("""COMPUTED_VALUE"""),"09:00 AM to 11:00 AM   ")</f>
        <v>09:00 AM to 11:00 AM   </v>
      </c>
      <c r="K641" s="108">
        <f>IFERROR(__xludf.DUMMYFUNCTION("""COMPUTED_VALUE"""),46252.0)</f>
        <v>46252</v>
      </c>
      <c r="L641" s="65" t="str">
        <f>IFERROR(__xludf.DUMMYFUNCTION("""COMPUTED_VALUE"""),"Wheeler  ")</f>
        <v>Wheeler  </v>
      </c>
      <c r="M641" s="65" t="str">
        <f>IFERROR(__xludf.DUMMYFUNCTION("""COMPUTED_VALUE"""),"3093-A")</f>
        <v>3093-A</v>
      </c>
      <c r="N641" s="65"/>
      <c r="O641" s="65" t="str">
        <f>IFERROR(__xludf.DUMMYFUNCTION("""COMPUTED_VALUE""")," Hi there! I’m moving in early (move in on the 19th), I indicated for the move-in date to be the 18th, but just wanted to leave a note as well :)")</f>
        <v> Hi there! I’m moving in early (move in on the 19th), I indicated for the move-in date to be the 18th, but just wanted to leave a note as well :)</v>
      </c>
      <c r="P641" s="65" t="b">
        <f>COUNTIF('Delivered SIR'!A:A, E641) &gt; 0</f>
        <v>0</v>
      </c>
    </row>
    <row r="642">
      <c r="A642" s="99" t="str">
        <f>IFERROR(__xludf.DUMMYFUNCTION("""COMPUTED_VALUE"""),"https://utrucking.com/admin/orders/6458331136188")</f>
        <v>https://utrucking.com/admin/orders/6458331136188</v>
      </c>
      <c r="B642" s="61" t="str">
        <f>IFERROR(__xludf.DUMMYFUNCTION("""COMPUTED_VALUE"""),"#18292")</f>
        <v>#18292</v>
      </c>
      <c r="C642" s="61" t="str">
        <f>IFERROR(__xludf.DUMMYFUNCTION("""COMPUTED_VALUE"""),"lily.comander@gmail.com")</f>
        <v>lily.comander@gmail.com</v>
      </c>
      <c r="D642" s="61">
        <f>IFERROR(__xludf.DUMMYFUNCTION("""COMPUTED_VALUE"""),1.6174547962E10)</f>
        <v>16174547962</v>
      </c>
      <c r="E642" s="61" t="str">
        <f>IFERROR(__xludf.DUMMYFUNCTION("""COMPUTED_VALUE"""),"Lily Comander")</f>
        <v>Lily Comander</v>
      </c>
      <c r="F642" s="61" t="str">
        <f>IFERROR(__xludf.DUMMYFUNCTION("""COMPUTED_VALUE"""),"Lily Comander")</f>
        <v>Lily Comander</v>
      </c>
      <c r="G642" s="61"/>
      <c r="H642" s="61" t="str">
        <f>IFERROR(__xludf.DUMMYFUNCTION("""COMPUTED_VALUE"""),"Storage Item Return")</f>
        <v>Storage Item Return</v>
      </c>
      <c r="I642" s="61" t="str">
        <f>IFERROR(__xludf.DUMMYFUNCTION("""COMPUTED_VALUE"""),"University Housing ")</f>
        <v>University Housing </v>
      </c>
      <c r="J642" s="107" t="str">
        <f>IFERROR(__xludf.DUMMYFUNCTION("""COMPUTED_VALUE"""),"03:00 PM to 05:00 PM ")</f>
        <v>03:00 PM to 05:00 PM </v>
      </c>
      <c r="K642" s="107">
        <f>IFERROR(__xludf.DUMMYFUNCTION("""COMPUTED_VALUE"""),46172.0)</f>
        <v>46172</v>
      </c>
      <c r="L642" s="61" t="str">
        <f>IFERROR(__xludf.DUMMYFUNCTION("""COMPUTED_VALUE"""),"Millbrook Bldg. 3  ")</f>
        <v>Millbrook Bldg. 3  </v>
      </c>
      <c r="M642" s="61" t="str">
        <f>IFERROR(__xludf.DUMMYFUNCTION("""COMPUTED_VALUE"""),"X")</f>
        <v>X</v>
      </c>
      <c r="N642" s="61"/>
      <c r="O642" s="61" t="str">
        <f>IFERROR(__xludf.DUMMYFUNCTION("""COMPUTED_VALUE""")," ")</f>
        <v> </v>
      </c>
      <c r="P642" s="61" t="b">
        <f>COUNTIF('Delivered SIR'!A:A, E642) &gt; 0</f>
        <v>0</v>
      </c>
    </row>
    <row r="643">
      <c r="A643" s="102" t="str">
        <f>IFERROR(__xludf.DUMMYFUNCTION("""COMPUTED_VALUE"""),"https://utrucking.com/admin/orders/6459106820284")</f>
        <v>https://utrucking.com/admin/orders/6459106820284</v>
      </c>
      <c r="B643" s="65" t="str">
        <f>IFERROR(__xludf.DUMMYFUNCTION("""COMPUTED_VALUE"""),"#18312")</f>
        <v>#18312</v>
      </c>
      <c r="C643" s="65" t="str">
        <f>IFERROR(__xludf.DUMMYFUNCTION("""COMPUTED_VALUE"""),"s.g.wollitzer@wustl.edu")</f>
        <v>s.g.wollitzer@wustl.edu</v>
      </c>
      <c r="D643" s="65">
        <f>IFERROR(__xludf.DUMMYFUNCTION("""COMPUTED_VALUE"""),4.806949495E9)</f>
        <v>4806949495</v>
      </c>
      <c r="E643" s="65" t="str">
        <f>IFERROR(__xludf.DUMMYFUNCTION("""COMPUTED_VALUE"""),"Sophie Wollitzer")</f>
        <v>Sophie Wollitzer</v>
      </c>
      <c r="F643" s="65" t="str">
        <f>IFERROR(__xludf.DUMMYFUNCTION("""COMPUTED_VALUE"""),"Sophie Wollitzer")</f>
        <v>Sophie Wollitzer</v>
      </c>
      <c r="G643" s="65"/>
      <c r="H643" s="65" t="str">
        <f>IFERROR(__xludf.DUMMYFUNCTION("""COMPUTED_VALUE"""),"Storage Item Return")</f>
        <v>Storage Item Return</v>
      </c>
      <c r="I643" s="65" t="str">
        <f>IFERROR(__xludf.DUMMYFUNCTION("""COMPUTED_VALUE"""),"University Housing ")</f>
        <v>University Housing </v>
      </c>
      <c r="J643" s="108" t="str">
        <f>IFERROR(__xludf.DUMMYFUNCTION("""COMPUTED_VALUE"""),"09:00 AM to 11:00 AM   ")</f>
        <v>09:00 AM to 11:00 AM   </v>
      </c>
      <c r="K643" s="108">
        <f>IFERROR(__xludf.DUMMYFUNCTION("""COMPUTED_VALUE"""),46254.0)</f>
        <v>46254</v>
      </c>
      <c r="L643" s="65" t="str">
        <f>IFERROR(__xludf.DUMMYFUNCTION("""COMPUTED_VALUE"""),"340 Rosedale Ave")</f>
        <v>340 Rosedale Ave</v>
      </c>
      <c r="M643" s="65" t="str">
        <f>IFERROR(__xludf.DUMMYFUNCTION("""COMPUTED_VALUE"""),"3N-B-a")</f>
        <v>3N-B-a</v>
      </c>
      <c r="N643" s="65"/>
      <c r="O643" s="65" t="str">
        <f>IFERROR(__xludf.DUMMYFUNCTION("""COMPUTED_VALUE""")," ")</f>
        <v> </v>
      </c>
      <c r="P643" s="65" t="b">
        <f>COUNTIF('Delivered SIR'!A:A, E643) &gt; 0</f>
        <v>1</v>
      </c>
    </row>
    <row r="644">
      <c r="A644" s="99" t="str">
        <f>IFERROR(__xludf.DUMMYFUNCTION("""COMPUTED_VALUE"""),"https://utrucking.com/admin/orders/6459109834940")</f>
        <v>https://utrucking.com/admin/orders/6459109834940</v>
      </c>
      <c r="B644" s="61" t="str">
        <f>IFERROR(__xludf.DUMMYFUNCTION("""COMPUTED_VALUE"""),"#18313")</f>
        <v>#18313</v>
      </c>
      <c r="C644" s="61" t="str">
        <f>IFERROR(__xludf.DUMMYFUNCTION("""COMPUTED_VALUE"""),"c.skatrud@wustl.edu")</f>
        <v>c.skatrud@wustl.edu</v>
      </c>
      <c r="D644" s="61">
        <f>IFERROR(__xludf.DUMMYFUNCTION("""COMPUTED_VALUE"""),7.813665926E9)</f>
        <v>7813665926</v>
      </c>
      <c r="E644" s="61" t="str">
        <f>IFERROR(__xludf.DUMMYFUNCTION("""COMPUTED_VALUE"""),"Claire Skatrud")</f>
        <v>Claire Skatrud</v>
      </c>
      <c r="F644" s="61" t="str">
        <f>IFERROR(__xludf.DUMMYFUNCTION("""COMPUTED_VALUE"""),"Claire Skatrud")</f>
        <v>Claire Skatrud</v>
      </c>
      <c r="G644" s="61"/>
      <c r="H644" s="61" t="str">
        <f>IFERROR(__xludf.DUMMYFUNCTION("""COMPUTED_VALUE"""),"Storage Item Return")</f>
        <v>Storage Item Return</v>
      </c>
      <c r="I644" s="61" t="str">
        <f>IFERROR(__xludf.DUMMYFUNCTION("""COMPUTED_VALUE"""),"University Housing ")</f>
        <v>University Housing </v>
      </c>
      <c r="J644" s="107" t="str">
        <f>IFERROR(__xludf.DUMMYFUNCTION("""COMPUTED_VALUE"""),"09:00 AM to 11:00 AM   ")</f>
        <v>09:00 AM to 11:00 AM   </v>
      </c>
      <c r="K644" s="107">
        <f>IFERROR(__xludf.DUMMYFUNCTION("""COMPUTED_VALUE"""),46253.0)</f>
        <v>46253</v>
      </c>
      <c r="L644" s="61" t="str">
        <f>IFERROR(__xludf.DUMMYFUNCTION("""COMPUTED_VALUE"""),"340 Rosedale Ave")</f>
        <v>340 Rosedale Ave</v>
      </c>
      <c r="M644" s="61" t="str">
        <f>IFERROR(__xludf.DUMMYFUNCTION("""COMPUTED_VALUE"""),"3N-A-a")</f>
        <v>3N-A-a</v>
      </c>
      <c r="N644" s="61"/>
      <c r="O644" s="61" t="str">
        <f>IFERROR(__xludf.DUMMYFUNCTION("""COMPUTED_VALUE""")," ")</f>
        <v> </v>
      </c>
      <c r="P644" s="61" t="b">
        <f>COUNTIF('Delivered SIR'!A:A, E644) &gt; 0</f>
        <v>0</v>
      </c>
    </row>
    <row r="645">
      <c r="A645" s="102" t="str">
        <f>IFERROR(__xludf.DUMMYFUNCTION("""COMPUTED_VALUE"""),"https://utrucking.com/admin/orders/6459828502716")</f>
        <v>https://utrucking.com/admin/orders/6459828502716</v>
      </c>
      <c r="B645" s="65" t="str">
        <f>IFERROR(__xludf.DUMMYFUNCTION("""COMPUTED_VALUE"""),"#18334")</f>
        <v>#18334</v>
      </c>
      <c r="C645" s="65" t="str">
        <f>IFERROR(__xludf.DUMMYFUNCTION("""COMPUTED_VALUE"""),"c.minseok@wustl.edu")</f>
        <v>c.minseok@wustl.edu</v>
      </c>
      <c r="D645" s="65">
        <f>IFERROR(__xludf.DUMMYFUNCTION("""COMPUTED_VALUE"""),3.146590578E9)</f>
        <v>3146590578</v>
      </c>
      <c r="E645" s="65" t="str">
        <f>IFERROR(__xludf.DUMMYFUNCTION("""COMPUTED_VALUE"""),"Minseok Choi")</f>
        <v>Minseok Choi</v>
      </c>
      <c r="F645" s="65" t="str">
        <f>IFERROR(__xludf.DUMMYFUNCTION("""COMPUTED_VALUE"""),"Matt Choi")</f>
        <v>Matt Choi</v>
      </c>
      <c r="G645" s="65"/>
      <c r="H645" s="65" t="str">
        <f>IFERROR(__xludf.DUMMYFUNCTION("""COMPUTED_VALUE"""),"Storage Item Return")</f>
        <v>Storage Item Return</v>
      </c>
      <c r="I645" s="65" t="str">
        <f>IFERROR(__xludf.DUMMYFUNCTION("""COMPUTED_VALUE"""),"University Housing ")</f>
        <v>University Housing </v>
      </c>
      <c r="J645" s="108" t="str">
        <f>IFERROR(__xludf.DUMMYFUNCTION("""COMPUTED_VALUE"""),"09:00 AM to 11:00 AM   ")</f>
        <v>09:00 AM to 11:00 AM   </v>
      </c>
      <c r="K645" s="108">
        <f>IFERROR(__xludf.DUMMYFUNCTION("""COMPUTED_VALUE"""),46255.0)</f>
        <v>46255</v>
      </c>
      <c r="L645" s="65" t="str">
        <f>IFERROR(__xludf.DUMMYFUNCTION("""COMPUTED_VALUE"""),"Village East  ")</f>
        <v>Village East  </v>
      </c>
      <c r="M645" s="65" t="str">
        <f>IFERROR(__xludf.DUMMYFUNCTION("""COMPUTED_VALUE"""),"3113")</f>
        <v>3113</v>
      </c>
      <c r="N645" s="65"/>
      <c r="O645" s="65" t="str">
        <f>IFERROR(__xludf.DUMMYFUNCTION("""COMPUTED_VALUE""")," ")</f>
        <v> </v>
      </c>
      <c r="P645" s="65" t="b">
        <f>COUNTIF('Delivered SIR'!A:A, E645) &gt; 0</f>
        <v>0</v>
      </c>
    </row>
    <row r="646">
      <c r="A646" s="99" t="str">
        <f>IFERROR(__xludf.DUMMYFUNCTION("""COMPUTED_VALUE"""),"https://utrucking.com/admin/orders/6460263727292")</f>
        <v>https://utrucking.com/admin/orders/6460263727292</v>
      </c>
      <c r="B646" s="61" t="str">
        <f>IFERROR(__xludf.DUMMYFUNCTION("""COMPUTED_VALUE"""),"#18343")</f>
        <v>#18343</v>
      </c>
      <c r="C646" s="61" t="str">
        <f>IFERROR(__xludf.DUMMYFUNCTION("""COMPUTED_VALUE"""),"i.vainstein@wustl.edu")</f>
        <v>i.vainstein@wustl.edu</v>
      </c>
      <c r="D646" s="61">
        <f>IFERROR(__xludf.DUMMYFUNCTION("""COMPUTED_VALUE"""),2.029576757E9)</f>
        <v>2029576757</v>
      </c>
      <c r="E646" s="61" t="str">
        <f>IFERROR(__xludf.DUMMYFUNCTION("""COMPUTED_VALUE"""),"Ilana Vainstein")</f>
        <v>Ilana Vainstein</v>
      </c>
      <c r="F646" s="61" t="str">
        <f>IFERROR(__xludf.DUMMYFUNCTION("""COMPUTED_VALUE"""),"Ilana Vainstein")</f>
        <v>Ilana Vainstein</v>
      </c>
      <c r="G646" s="61"/>
      <c r="H646" s="61" t="str">
        <f>IFERROR(__xludf.DUMMYFUNCTION("""COMPUTED_VALUE"""),"Storage Item Return")</f>
        <v>Storage Item Return</v>
      </c>
      <c r="I646" s="61" t="str">
        <f>IFERROR(__xludf.DUMMYFUNCTION("""COMPUTED_VALUE"""),"University Housing ")</f>
        <v>University Housing </v>
      </c>
      <c r="J646" s="107" t="str">
        <f>IFERROR(__xludf.DUMMYFUNCTION("""COMPUTED_VALUE"""),"09:00 AM to 11:00 AM   ")</f>
        <v>09:00 AM to 11:00 AM   </v>
      </c>
      <c r="K646" s="107">
        <f>IFERROR(__xludf.DUMMYFUNCTION("""COMPUTED_VALUE"""),46253.0)</f>
        <v>46253</v>
      </c>
      <c r="L646" s="61" t="str">
        <f>IFERROR(__xludf.DUMMYFUNCTION("""COMPUTED_VALUE"""),"Zetcher  ")</f>
        <v>Zetcher  </v>
      </c>
      <c r="M646" s="61" t="str">
        <f>IFERROR(__xludf.DUMMYFUNCTION("""COMPUTED_VALUE"""),"3101")</f>
        <v>3101</v>
      </c>
      <c r="N646" s="61"/>
      <c r="O646" s="61" t="str">
        <f>IFERROR(__xludf.DUMMYFUNCTION("""COMPUTED_VALUE""")," ")</f>
        <v> </v>
      </c>
      <c r="P646" s="61" t="b">
        <f>COUNTIF('Delivered SIR'!A:A, E646) &gt; 0</f>
        <v>0</v>
      </c>
    </row>
    <row r="647">
      <c r="A647" s="102" t="str">
        <f>IFERROR(__xludf.DUMMYFUNCTION("""COMPUTED_VALUE"""),"https://utrucking.com/admin/orders/6461958914236")</f>
        <v>https://utrucking.com/admin/orders/6461958914236</v>
      </c>
      <c r="B647" s="65" t="str">
        <f>IFERROR(__xludf.DUMMYFUNCTION("""COMPUTED_VALUE"""),"#18362")</f>
        <v>#18362</v>
      </c>
      <c r="C647" s="65" t="str">
        <f>IFERROR(__xludf.DUMMYFUNCTION("""COMPUTED_VALUE"""),"amygoebel@yahoo.com")</f>
        <v>amygoebel@yahoo.com</v>
      </c>
      <c r="D647" s="65">
        <f>IFERROR(__xludf.DUMMYFUNCTION("""COMPUTED_VALUE"""),7.819645636E9)</f>
        <v>7819645636</v>
      </c>
      <c r="E647" s="65" t="str">
        <f>IFERROR(__xludf.DUMMYFUNCTION("""COMPUTED_VALUE"""),"Amy Goebel")</f>
        <v>Amy Goebel</v>
      </c>
      <c r="F647" s="65" t="str">
        <f>IFERROR(__xludf.DUMMYFUNCTION("""COMPUTED_VALUE"""),"Caroline Goebel")</f>
        <v>Caroline Goebel</v>
      </c>
      <c r="G647" s="65" t="str">
        <f>IFERROR(__xludf.DUMMYFUNCTION("""COMPUTED_VALUE"""),"6659 Kingsbury Blvd, Apt. 2W, University City, MO")</f>
        <v>6659 Kingsbury Blvd, Apt. 2W, University City, MO</v>
      </c>
      <c r="H647" s="65" t="str">
        <f>IFERROR(__xludf.DUMMYFUNCTION("""COMPUTED_VALUE"""),"Storage Item Return")</f>
        <v>Storage Item Return</v>
      </c>
      <c r="I647" s="65" t="str">
        <f>IFERROR(__xludf.DUMMYFUNCTION("""COMPUTED_VALUE"""),"Non-University Housing ")</f>
        <v>Non-University Housing </v>
      </c>
      <c r="J647" s="108" t="str">
        <f>IFERROR(__xludf.DUMMYFUNCTION("""COMPUTED_VALUE"""),"10:00 AM to 12:00 PM   ")</f>
        <v>10:00 AM to 12:00 PM   </v>
      </c>
      <c r="K647" s="108">
        <f>IFERROR(__xludf.DUMMYFUNCTION("""COMPUTED_VALUE"""),46177.0)</f>
        <v>46177</v>
      </c>
      <c r="L647" s="65"/>
      <c r="M647" s="65"/>
      <c r="N647" s="65" t="str">
        <f>IFERROR(__xludf.DUMMYFUNCTION("""COMPUTED_VALUE"""),"6659 Kingsbury Blvd, Apt. 2W, University City, MO")</f>
        <v>6659 Kingsbury Blvd, Apt. 2W, University City, MO</v>
      </c>
      <c r="O647" s="65" t="str">
        <f>IFERROR(__xludf.DUMMYFUNCTION("""COMPUTED_VALUE""")," ")</f>
        <v> </v>
      </c>
      <c r="P647" s="65" t="b">
        <f>COUNTIF('Delivered SIR'!A:A, E647) &gt; 0</f>
        <v>0</v>
      </c>
    </row>
    <row r="648">
      <c r="A648" s="99" t="str">
        <f>IFERROR(__xludf.DUMMYFUNCTION("""COMPUTED_VALUE"""),"https://utrucking.com/admin/orders/6462854627516")</f>
        <v>https://utrucking.com/admin/orders/6462854627516</v>
      </c>
      <c r="B648" s="61" t="str">
        <f>IFERROR(__xludf.DUMMYFUNCTION("""COMPUTED_VALUE"""),"#18369")</f>
        <v>#18369</v>
      </c>
      <c r="C648" s="61" t="str">
        <f>IFERROR(__xludf.DUMMYFUNCTION("""COMPUTED_VALUE"""),"k.nayeon@wustl.edu")</f>
        <v>k.nayeon@wustl.edu</v>
      </c>
      <c r="D648" s="61">
        <f>IFERROR(__xludf.DUMMYFUNCTION("""COMPUTED_VALUE"""),6.503092445E9)</f>
        <v>6503092445</v>
      </c>
      <c r="E648" s="61" t="str">
        <f>IFERROR(__xludf.DUMMYFUNCTION("""COMPUTED_VALUE"""),"Nayeon Kim")</f>
        <v>Nayeon Kim</v>
      </c>
      <c r="F648" s="61" t="str">
        <f>IFERROR(__xludf.DUMMYFUNCTION("""COMPUTED_VALUE"""),"Nayeon Kim")</f>
        <v>Nayeon Kim</v>
      </c>
      <c r="G648" s="61"/>
      <c r="H648" s="61" t="str">
        <f>IFERROR(__xludf.DUMMYFUNCTION("""COMPUTED_VALUE"""),"Storage Item Return")</f>
        <v>Storage Item Return</v>
      </c>
      <c r="I648" s="61" t="str">
        <f>IFERROR(__xludf.DUMMYFUNCTION("""COMPUTED_VALUE"""),"University Housing ")</f>
        <v>University Housing </v>
      </c>
      <c r="J648" s="107" t="str">
        <f>IFERROR(__xludf.DUMMYFUNCTION("""COMPUTED_VALUE"""),"09:00 AM to 11:00 AM   ")</f>
        <v>09:00 AM to 11:00 AM   </v>
      </c>
      <c r="K648" s="107">
        <f>IFERROR(__xludf.DUMMYFUNCTION("""COMPUTED_VALUE"""),46246.0)</f>
        <v>46246</v>
      </c>
      <c r="L648" s="61" t="str">
        <f>IFERROR(__xludf.DUMMYFUNCTION("""COMPUTED_VALUE"""),"Loop Loft 6200  ")</f>
        <v>Loop Loft 6200  </v>
      </c>
      <c r="M648" s="61" t="str">
        <f>IFERROR(__xludf.DUMMYFUNCTION("""COMPUTED_VALUE"""),"401A")</f>
        <v>401A</v>
      </c>
      <c r="N648" s="61"/>
      <c r="O648" s="61" t="str">
        <f>IFERROR(__xludf.DUMMYFUNCTION("""COMPUTED_VALUE""")," ")</f>
        <v> </v>
      </c>
      <c r="P648" s="61" t="b">
        <f>COUNTIF('Delivered SIR'!A:A, E648) &gt; 0</f>
        <v>1</v>
      </c>
    </row>
    <row r="649">
      <c r="A649" s="102" t="str">
        <f>IFERROR(__xludf.DUMMYFUNCTION("""COMPUTED_VALUE"""),"https://utrucking.com/admin/orders/6464412090556")</f>
        <v>https://utrucking.com/admin/orders/6464412090556</v>
      </c>
      <c r="B649" s="65" t="str">
        <f>IFERROR(__xludf.DUMMYFUNCTION("""COMPUTED_VALUE"""),"#18375")</f>
        <v>#18375</v>
      </c>
      <c r="C649" s="65" t="str">
        <f>IFERROR(__xludf.DUMMYFUNCTION("""COMPUTED_VALUE"""),"kdiemtins218@gmail.com")</f>
        <v>kdiemtins218@gmail.com</v>
      </c>
      <c r="D649" s="65">
        <f>IFERROR(__xludf.DUMMYFUNCTION("""COMPUTED_VALUE"""),8.033715949E9)</f>
        <v>8033715949</v>
      </c>
      <c r="E649" s="65" t="str">
        <f>IFERROR(__xludf.DUMMYFUNCTION("""COMPUTED_VALUE"""),"Kyla Tinsley")</f>
        <v>Kyla Tinsley</v>
      </c>
      <c r="F649" s="65" t="str">
        <f>IFERROR(__xludf.DUMMYFUNCTION("""COMPUTED_VALUE"""),"Kayla Tinsley")</f>
        <v>Kayla Tinsley</v>
      </c>
      <c r="G649" s="65"/>
      <c r="H649" s="65" t="str">
        <f>IFERROR(__xludf.DUMMYFUNCTION("""COMPUTED_VALUE"""),"Storage Item Return")</f>
        <v>Storage Item Return</v>
      </c>
      <c r="I649" s="65" t="str">
        <f>IFERROR(__xludf.DUMMYFUNCTION("""COMPUTED_VALUE"""),"University Housing ")</f>
        <v>University Housing </v>
      </c>
      <c r="J649" s="108" t="str">
        <f>IFERROR(__xludf.DUMMYFUNCTION("""COMPUTED_VALUE"""),"09:00 AM to 11:00 AM   ")</f>
        <v>09:00 AM to 11:00 AM   </v>
      </c>
      <c r="K649" s="108">
        <f>IFERROR(__xludf.DUMMYFUNCTION("""COMPUTED_VALUE"""),46253.0)</f>
        <v>46253</v>
      </c>
      <c r="L649" s="65" t="str">
        <f>IFERROR(__xludf.DUMMYFUNCTION("""COMPUTED_VALUE"""),"Shepley  ")</f>
        <v>Shepley  </v>
      </c>
      <c r="M649" s="65" t="str">
        <f>IFERROR(__xludf.DUMMYFUNCTION("""COMPUTED_VALUE"""),"1003")</f>
        <v>1003</v>
      </c>
      <c r="N649" s="65"/>
      <c r="O649" s="65" t="str">
        <f>IFERROR(__xludf.DUMMYFUNCTION("""COMPUTED_VALUE""")," ")</f>
        <v> </v>
      </c>
      <c r="P649" s="65" t="b">
        <f>COUNTIF('Delivered SIR'!A:A, E649) &gt; 0</f>
        <v>0</v>
      </c>
    </row>
    <row r="650">
      <c r="A650" s="99" t="str">
        <f>IFERROR(__xludf.DUMMYFUNCTION("""COMPUTED_VALUE"""),"https://utrucking.com/admin/orders/6465141899452")</f>
        <v>https://utrucking.com/admin/orders/6465141899452</v>
      </c>
      <c r="B650" s="61" t="str">
        <f>IFERROR(__xludf.DUMMYFUNCTION("""COMPUTED_VALUE"""),"#18379")</f>
        <v>#18379</v>
      </c>
      <c r="C650" s="61" t="str">
        <f>IFERROR(__xludf.DUMMYFUNCTION("""COMPUTED_VALUE"""),"krishnamoorthi@wustl.edu")</f>
        <v>krishnamoorthi@wustl.edu</v>
      </c>
      <c r="D650" s="61">
        <f>IFERROR(__xludf.DUMMYFUNCTION("""COMPUTED_VALUE"""),9.255499908E9)</f>
        <v>9255499908</v>
      </c>
      <c r="E650" s="61" t="str">
        <f>IFERROR(__xludf.DUMMYFUNCTION("""COMPUTED_VALUE"""),"Rohan Krishnamoorthi")</f>
        <v>Rohan Krishnamoorthi</v>
      </c>
      <c r="F650" s="61" t="str">
        <f>IFERROR(__xludf.DUMMYFUNCTION("""COMPUTED_VALUE"""),"Rohan Krishnamoorthi")</f>
        <v>Rohan Krishnamoorthi</v>
      </c>
      <c r="G650" s="61"/>
      <c r="H650" s="61" t="str">
        <f>IFERROR(__xludf.DUMMYFUNCTION("""COMPUTED_VALUE"""),"Storage Item Return")</f>
        <v>Storage Item Return</v>
      </c>
      <c r="I650" s="61" t="str">
        <f>IFERROR(__xludf.DUMMYFUNCTION("""COMPUTED_VALUE"""),"University Housing ")</f>
        <v>University Housing </v>
      </c>
      <c r="J650" s="107" t="str">
        <f>IFERROR(__xludf.DUMMYFUNCTION("""COMPUTED_VALUE"""),"09:00 AM to 11:00 AM   ")</f>
        <v>09:00 AM to 11:00 AM   </v>
      </c>
      <c r="K650" s="107">
        <f>IFERROR(__xludf.DUMMYFUNCTION("""COMPUTED_VALUE"""),46165.0)</f>
        <v>46165</v>
      </c>
      <c r="L650" s="61" t="str">
        <f>IFERROR(__xludf.DUMMYFUNCTION("""COMPUTED_VALUE"""),"Loop Loft 6300  ")</f>
        <v>Loop Loft 6300  </v>
      </c>
      <c r="M650" s="61" t="str">
        <f>IFERROR(__xludf.DUMMYFUNCTION("""COMPUTED_VALUE"""),"302B")</f>
        <v>302B</v>
      </c>
      <c r="N650" s="61"/>
      <c r="O650" s="61" t="str">
        <f>IFERROR(__xludf.DUMMYFUNCTION("""COMPUTED_VALUE""")," ")</f>
        <v> </v>
      </c>
      <c r="P650" s="61" t="b">
        <f>COUNTIF('Delivered SIR'!A:A, E650) &gt; 0</f>
        <v>1</v>
      </c>
    </row>
    <row r="651">
      <c r="A651" s="102" t="str">
        <f>IFERROR(__xludf.DUMMYFUNCTION("""COMPUTED_VALUE"""),"https://utrucking.com/admin/orders/6470502187196")</f>
        <v>https://utrucking.com/admin/orders/6470502187196</v>
      </c>
      <c r="B651" s="65" t="str">
        <f>IFERROR(__xludf.DUMMYFUNCTION("""COMPUTED_VALUE"""),"#18394")</f>
        <v>#18394</v>
      </c>
      <c r="C651" s="65" t="str">
        <f>IFERROR(__xludf.DUMMYFUNCTION("""COMPUTED_VALUE"""),"hera@wustl.edu")</f>
        <v>hera@wustl.edu</v>
      </c>
      <c r="D651" s="65">
        <f>IFERROR(__xludf.DUMMYFUNCTION("""COMPUTED_VALUE"""),7.032232616E9)</f>
        <v>7032232616</v>
      </c>
      <c r="E651" s="65" t="str">
        <f>IFERROR(__xludf.DUMMYFUNCTION("""COMPUTED_VALUE"""),"Hera Kim")</f>
        <v>Hera Kim</v>
      </c>
      <c r="F651" s="65" t="str">
        <f>IFERROR(__xludf.DUMMYFUNCTION("""COMPUTED_VALUE"""),"Hera Kim")</f>
        <v>Hera Kim</v>
      </c>
      <c r="G651" s="65" t="str">
        <f>IFERROR(__xludf.DUMMYFUNCTION("""COMPUTED_VALUE"""),"6027 Kingsbury Ave")</f>
        <v>6027 Kingsbury Ave</v>
      </c>
      <c r="H651" s="65" t="str">
        <f>IFERROR(__xludf.DUMMYFUNCTION("""COMPUTED_VALUE"""),"Storage Item Return")</f>
        <v>Storage Item Return</v>
      </c>
      <c r="I651" s="65" t="str">
        <f>IFERROR(__xludf.DUMMYFUNCTION("""COMPUTED_VALUE"""),"Non-University Housing ")</f>
        <v>Non-University Housing </v>
      </c>
      <c r="J651" s="108" t="str">
        <f>IFERROR(__xludf.DUMMYFUNCTION("""COMPUTED_VALUE"""),"09:00 AM to 11:00 AM   ")</f>
        <v>09:00 AM to 11:00 AM   </v>
      </c>
      <c r="K651" s="108">
        <f>IFERROR(__xludf.DUMMYFUNCTION("""COMPUTED_VALUE"""),46158.0)</f>
        <v>46158</v>
      </c>
      <c r="L651" s="65"/>
      <c r="M651" s="65"/>
      <c r="N651" s="65" t="str">
        <f>IFERROR(__xludf.DUMMYFUNCTION("""COMPUTED_VALUE"""),"6027 Kingsbury Ave")</f>
        <v>6027 Kingsbury Ave</v>
      </c>
      <c r="O651" s="65" t="str">
        <f>IFERROR(__xludf.DUMMYFUNCTION("""COMPUTED_VALUE""")," ")</f>
        <v> </v>
      </c>
      <c r="P651" s="65" t="b">
        <f>COUNTIF('Delivered SIR'!A:A, E651) &gt; 0</f>
        <v>1</v>
      </c>
    </row>
    <row r="652">
      <c r="A652" s="99" t="str">
        <f>IFERROR(__xludf.DUMMYFUNCTION("""COMPUTED_VALUE"""),"https://utrucking.com/admin/orders/6473822306492")</f>
        <v>https://utrucking.com/admin/orders/6473822306492</v>
      </c>
      <c r="B652" s="61" t="str">
        <f>IFERROR(__xludf.DUMMYFUNCTION("""COMPUTED_VALUE"""),"#18401")</f>
        <v>#18401</v>
      </c>
      <c r="C652" s="61" t="str">
        <f>IFERROR(__xludf.DUMMYFUNCTION("""COMPUTED_VALUE"""),"s.taryn@wustl.edu")</f>
        <v>s.taryn@wustl.edu</v>
      </c>
      <c r="D652" s="61">
        <f>IFERROR(__xludf.DUMMYFUNCTION("""COMPUTED_VALUE"""),8.057220816E9)</f>
        <v>8057220816</v>
      </c>
      <c r="E652" s="61" t="str">
        <f>IFERROR(__xludf.DUMMYFUNCTION("""COMPUTED_VALUE"""),"Taryn Sager")</f>
        <v>Taryn Sager</v>
      </c>
      <c r="F652" s="61" t="str">
        <f>IFERROR(__xludf.DUMMYFUNCTION("""COMPUTED_VALUE"""),"Taryn Sager")</f>
        <v>Taryn Sager</v>
      </c>
      <c r="G652" s="61" t="str">
        <f>IFERROR(__xludf.DUMMYFUNCTION("""COMPUTED_VALUE"""),"605 Leland Ave, Apt 503, University City, MO, 63130 ")</f>
        <v>605 Leland Ave, Apt 503, University City, MO, 63130 </v>
      </c>
      <c r="H652" s="61" t="str">
        <f>IFERROR(__xludf.DUMMYFUNCTION("""COMPUTED_VALUE"""),"Storage Item Return")</f>
        <v>Storage Item Return</v>
      </c>
      <c r="I652" s="61" t="str">
        <f>IFERROR(__xludf.DUMMYFUNCTION("""COMPUTED_VALUE"""),"Non-University Housing ")</f>
        <v>Non-University Housing </v>
      </c>
      <c r="J652" s="107" t="str">
        <f>IFERROR(__xludf.DUMMYFUNCTION("""COMPUTED_VALUE"""),"03:00 PM to 05:00 PM ")</f>
        <v>03:00 PM to 05:00 PM </v>
      </c>
      <c r="K652" s="107">
        <f>IFERROR(__xludf.DUMMYFUNCTION("""COMPUTED_VALUE"""),46174.0)</f>
        <v>46174</v>
      </c>
      <c r="L652" s="61"/>
      <c r="M652" s="61"/>
      <c r="N652" s="61" t="str">
        <f>IFERROR(__xludf.DUMMYFUNCTION("""COMPUTED_VALUE"""),"605 Leland Ave, Apt 503, University City, MO, 63130 ")</f>
        <v>605 Leland Ave, Apt 503, University City, MO, 63130 </v>
      </c>
      <c r="O652" s="61" t="str">
        <f>IFERROR(__xludf.DUMMYFUNCTION("""COMPUTED_VALUE""")," Is it possible for you to deliver my items into my room? We will let you into the building if need be.")</f>
        <v> Is it possible for you to deliver my items into my room? We will let you into the building if need be.</v>
      </c>
      <c r="P652" s="61" t="b">
        <f>COUNTIF('Delivered SIR'!A:A, E652) &gt; 0</f>
        <v>1</v>
      </c>
    </row>
    <row r="653">
      <c r="A653" s="65"/>
      <c r="B653" s="65"/>
      <c r="C653" s="65"/>
      <c r="D653" s="65"/>
      <c r="E653" s="65"/>
      <c r="F653" s="65"/>
      <c r="G653" s="65"/>
      <c r="H653" s="65"/>
      <c r="I653" s="65"/>
      <c r="J653" s="108"/>
      <c r="K653" s="108"/>
      <c r="L653" s="65"/>
      <c r="M653" s="65"/>
      <c r="N653" s="65"/>
      <c r="O653" s="65"/>
      <c r="P653" s="65" t="b">
        <f>COUNTIF('Delivered SIR'!A:A, E653) &gt; 0</f>
        <v>0</v>
      </c>
    </row>
    <row r="654">
      <c r="A654" s="61"/>
      <c r="B654" s="61"/>
      <c r="C654" s="61"/>
      <c r="D654" s="61"/>
      <c r="E654" s="61"/>
      <c r="F654" s="61"/>
      <c r="G654" s="61"/>
      <c r="H654" s="61"/>
      <c r="I654" s="61"/>
      <c r="J654" s="107"/>
      <c r="K654" s="107"/>
      <c r="L654" s="61"/>
      <c r="M654" s="61"/>
      <c r="N654" s="61"/>
      <c r="O654" s="61"/>
      <c r="P654" s="61" t="b">
        <f>COUNTIF('Delivered SIR'!A:A, E654) &gt; 0</f>
        <v>0</v>
      </c>
    </row>
    <row r="655">
      <c r="A655" s="65"/>
      <c r="B655" s="65"/>
      <c r="C655" s="65"/>
      <c r="D655" s="65"/>
      <c r="E655" s="65"/>
      <c r="F655" s="65"/>
      <c r="G655" s="65"/>
      <c r="H655" s="65"/>
      <c r="I655" s="65"/>
      <c r="J655" s="108"/>
      <c r="K655" s="108"/>
      <c r="L655" s="65"/>
      <c r="M655" s="65"/>
      <c r="N655" s="65"/>
      <c r="O655" s="65"/>
      <c r="P655" s="65" t="b">
        <f>COUNTIF('Delivered SIR'!A:A, E655) &gt; 0</f>
        <v>0</v>
      </c>
    </row>
    <row r="656">
      <c r="A656" s="61"/>
      <c r="B656" s="61"/>
      <c r="C656" s="61"/>
      <c r="D656" s="61"/>
      <c r="E656" s="61"/>
      <c r="F656" s="61"/>
      <c r="G656" s="61"/>
      <c r="H656" s="61"/>
      <c r="I656" s="61"/>
      <c r="J656" s="107"/>
      <c r="K656" s="107"/>
      <c r="L656" s="61"/>
      <c r="M656" s="61"/>
      <c r="N656" s="61"/>
      <c r="O656" s="61"/>
      <c r="P656" s="61" t="b">
        <f>COUNTIF('Delivered SIR'!A:A, E656) &gt; 0</f>
        <v>0</v>
      </c>
    </row>
    <row r="657">
      <c r="A657" s="65"/>
      <c r="B657" s="65"/>
      <c r="C657" s="65"/>
      <c r="D657" s="65"/>
      <c r="E657" s="65"/>
      <c r="F657" s="65"/>
      <c r="G657" s="65"/>
      <c r="H657" s="65"/>
      <c r="I657" s="65"/>
      <c r="J657" s="108"/>
      <c r="K657" s="108"/>
      <c r="L657" s="65"/>
      <c r="M657" s="65"/>
      <c r="N657" s="65"/>
      <c r="O657" s="65"/>
      <c r="P657" s="65" t="b">
        <f>COUNTIF('Delivered SIR'!A:A, E657) &gt; 0</f>
        <v>0</v>
      </c>
    </row>
    <row r="658">
      <c r="A658" s="61"/>
      <c r="B658" s="61"/>
      <c r="C658" s="61"/>
      <c r="D658" s="61"/>
      <c r="E658" s="61"/>
      <c r="F658" s="61"/>
      <c r="G658" s="61"/>
      <c r="H658" s="61"/>
      <c r="I658" s="61"/>
      <c r="J658" s="107"/>
      <c r="K658" s="107"/>
      <c r="L658" s="61"/>
      <c r="M658" s="61"/>
      <c r="N658" s="61"/>
      <c r="O658" s="61"/>
      <c r="P658" s="61" t="b">
        <f>COUNTIF('Delivered SIR'!A:A, E658) &gt; 0</f>
        <v>0</v>
      </c>
    </row>
    <row r="659">
      <c r="A659" s="65"/>
      <c r="B659" s="65"/>
      <c r="C659" s="65"/>
      <c r="D659" s="65"/>
      <c r="E659" s="65"/>
      <c r="F659" s="65"/>
      <c r="G659" s="65"/>
      <c r="H659" s="65"/>
      <c r="I659" s="65"/>
      <c r="J659" s="108"/>
      <c r="K659" s="108"/>
      <c r="L659" s="65"/>
      <c r="M659" s="65"/>
      <c r="N659" s="65"/>
      <c r="O659" s="65"/>
      <c r="P659" s="65" t="b">
        <f>COUNTIF('Delivered SIR'!A:A, E659) &gt; 0</f>
        <v>0</v>
      </c>
    </row>
    <row r="660">
      <c r="A660" s="61"/>
      <c r="B660" s="61"/>
      <c r="C660" s="61"/>
      <c r="D660" s="61"/>
      <c r="E660" s="61"/>
      <c r="F660" s="61"/>
      <c r="G660" s="61"/>
      <c r="H660" s="61"/>
      <c r="I660" s="61"/>
      <c r="J660" s="107"/>
      <c r="K660" s="107"/>
      <c r="L660" s="61"/>
      <c r="M660" s="61"/>
      <c r="N660" s="61"/>
      <c r="O660" s="61"/>
      <c r="P660" s="61" t="b">
        <f>COUNTIF('Delivered SIR'!A:A, E660) &gt; 0</f>
        <v>0</v>
      </c>
    </row>
    <row r="661">
      <c r="A661" s="65"/>
      <c r="B661" s="65"/>
      <c r="C661" s="65"/>
      <c r="D661" s="65"/>
      <c r="E661" s="65"/>
      <c r="F661" s="65"/>
      <c r="G661" s="65"/>
      <c r="H661" s="65"/>
      <c r="I661" s="65"/>
      <c r="J661" s="108"/>
      <c r="K661" s="108"/>
      <c r="L661" s="65"/>
      <c r="M661" s="65"/>
      <c r="N661" s="65"/>
      <c r="O661" s="65"/>
      <c r="P661" s="65" t="b">
        <f>COUNTIF('Delivered SIR'!A:A, E661) &gt; 0</f>
        <v>0</v>
      </c>
    </row>
    <row r="662">
      <c r="A662" s="61"/>
      <c r="B662" s="61"/>
      <c r="C662" s="61"/>
      <c r="D662" s="61"/>
      <c r="E662" s="61"/>
      <c r="F662" s="61"/>
      <c r="G662" s="61"/>
      <c r="H662" s="61"/>
      <c r="I662" s="61"/>
      <c r="J662" s="107"/>
      <c r="K662" s="107"/>
      <c r="L662" s="61"/>
      <c r="M662" s="61"/>
      <c r="N662" s="61"/>
      <c r="O662" s="61"/>
      <c r="P662" s="61" t="b">
        <f>COUNTIF('Delivered SIR'!A:A, E662) &gt; 0</f>
        <v>0</v>
      </c>
    </row>
    <row r="663">
      <c r="A663" s="65"/>
      <c r="B663" s="65"/>
      <c r="C663" s="65"/>
      <c r="D663" s="65"/>
      <c r="E663" s="65"/>
      <c r="F663" s="65"/>
      <c r="G663" s="65"/>
      <c r="H663" s="65"/>
      <c r="I663" s="65"/>
      <c r="J663" s="108"/>
      <c r="K663" s="108"/>
      <c r="L663" s="65"/>
      <c r="M663" s="65"/>
      <c r="N663" s="65"/>
      <c r="O663" s="65"/>
      <c r="P663" s="65" t="b">
        <f>COUNTIF('Delivered SIR'!A:A, E663) &gt; 0</f>
        <v>0</v>
      </c>
    </row>
    <row r="664">
      <c r="A664" s="61"/>
      <c r="B664" s="61"/>
      <c r="C664" s="61"/>
      <c r="D664" s="61"/>
      <c r="E664" s="61"/>
      <c r="F664" s="61"/>
      <c r="G664" s="61"/>
      <c r="H664" s="61"/>
      <c r="I664" s="61"/>
      <c r="J664" s="107"/>
      <c r="K664" s="107"/>
      <c r="L664" s="61"/>
      <c r="M664" s="61"/>
      <c r="N664" s="61"/>
      <c r="O664" s="61"/>
      <c r="P664" s="61" t="b">
        <f>COUNTIF('Delivered SIR'!A:A, E664) &gt; 0</f>
        <v>0</v>
      </c>
    </row>
    <row r="665">
      <c r="A665" s="65"/>
      <c r="B665" s="65"/>
      <c r="C665" s="65"/>
      <c r="D665" s="65"/>
      <c r="E665" s="65"/>
      <c r="F665" s="65"/>
      <c r="G665" s="65"/>
      <c r="H665" s="65"/>
      <c r="I665" s="65"/>
      <c r="J665" s="108"/>
      <c r="K665" s="108"/>
      <c r="L665" s="65"/>
      <c r="M665" s="65"/>
      <c r="N665" s="65"/>
      <c r="O665" s="65"/>
      <c r="P665" s="65" t="b">
        <f>COUNTIF('Delivered SIR'!A:A, E665) &gt; 0</f>
        <v>0</v>
      </c>
    </row>
    <row r="666">
      <c r="A666" s="61"/>
      <c r="B666" s="61"/>
      <c r="C666" s="61"/>
      <c r="D666" s="61"/>
      <c r="E666" s="61"/>
      <c r="F666" s="61"/>
      <c r="G666" s="61"/>
      <c r="H666" s="61"/>
      <c r="I666" s="61"/>
      <c r="J666" s="107"/>
      <c r="K666" s="107"/>
      <c r="L666" s="61"/>
      <c r="M666" s="61"/>
      <c r="N666" s="61"/>
      <c r="O666" s="61"/>
      <c r="P666" s="61" t="b">
        <f>COUNTIF('Delivered SIR'!A:A, E666) &gt; 0</f>
        <v>0</v>
      </c>
    </row>
    <row r="667">
      <c r="A667" s="65"/>
      <c r="B667" s="65"/>
      <c r="C667" s="65"/>
      <c r="D667" s="65"/>
      <c r="E667" s="65"/>
      <c r="F667" s="65"/>
      <c r="G667" s="65"/>
      <c r="H667" s="65"/>
      <c r="I667" s="65"/>
      <c r="J667" s="108"/>
      <c r="K667" s="108"/>
      <c r="L667" s="65"/>
      <c r="M667" s="65"/>
      <c r="N667" s="65"/>
      <c r="O667" s="65"/>
      <c r="P667" s="65" t="b">
        <f>COUNTIF('Delivered SIR'!A:A, E667) &gt; 0</f>
        <v>0</v>
      </c>
    </row>
    <row r="668">
      <c r="A668" s="61"/>
      <c r="B668" s="61"/>
      <c r="C668" s="61"/>
      <c r="D668" s="61"/>
      <c r="E668" s="61"/>
      <c r="F668" s="61"/>
      <c r="G668" s="61"/>
      <c r="H668" s="61"/>
      <c r="I668" s="61"/>
      <c r="J668" s="107"/>
      <c r="K668" s="107"/>
      <c r="L668" s="61"/>
      <c r="M668" s="61"/>
      <c r="N668" s="61"/>
      <c r="O668" s="61"/>
      <c r="P668" s="61" t="b">
        <f>COUNTIF('Delivered SIR'!A:A, E668) &gt; 0</f>
        <v>0</v>
      </c>
    </row>
    <row r="669">
      <c r="A669" s="65"/>
      <c r="B669" s="65"/>
      <c r="C669" s="65"/>
      <c r="D669" s="65"/>
      <c r="E669" s="65"/>
      <c r="F669" s="65"/>
      <c r="G669" s="65"/>
      <c r="H669" s="65"/>
      <c r="I669" s="65"/>
      <c r="J669" s="108"/>
      <c r="K669" s="108"/>
      <c r="L669" s="65"/>
      <c r="M669" s="65"/>
      <c r="N669" s="65"/>
      <c r="O669" s="65"/>
      <c r="P669" s="65" t="b">
        <f>COUNTIF('Delivered SIR'!A:A, E669) &gt; 0</f>
        <v>0</v>
      </c>
    </row>
    <row r="670">
      <c r="A670" s="61"/>
      <c r="B670" s="61"/>
      <c r="C670" s="61"/>
      <c r="D670" s="61"/>
      <c r="E670" s="61"/>
      <c r="F670" s="61"/>
      <c r="G670" s="61"/>
      <c r="H670" s="61"/>
      <c r="I670" s="61"/>
      <c r="J670" s="107"/>
      <c r="K670" s="107"/>
      <c r="L670" s="61"/>
      <c r="M670" s="61"/>
      <c r="N670" s="61"/>
      <c r="O670" s="61"/>
      <c r="P670" s="61" t="b">
        <f>COUNTIF('Delivered SIR'!A:A, E670) &gt; 0</f>
        <v>0</v>
      </c>
    </row>
    <row r="671">
      <c r="A671" s="65"/>
      <c r="B671" s="65"/>
      <c r="C671" s="65"/>
      <c r="D671" s="65"/>
      <c r="E671" s="65"/>
      <c r="F671" s="65"/>
      <c r="G671" s="65"/>
      <c r="H671" s="65"/>
      <c r="I671" s="65"/>
      <c r="J671" s="108"/>
      <c r="K671" s="108"/>
      <c r="L671" s="65"/>
      <c r="M671" s="65"/>
      <c r="N671" s="65"/>
      <c r="O671" s="65"/>
      <c r="P671" s="65" t="b">
        <f>COUNTIF('Delivered SIR'!A:A, E671) &gt; 0</f>
        <v>0</v>
      </c>
    </row>
    <row r="672">
      <c r="A672" s="61"/>
      <c r="B672" s="61"/>
      <c r="C672" s="61"/>
      <c r="D672" s="61"/>
      <c r="E672" s="61"/>
      <c r="F672" s="61"/>
      <c r="G672" s="61"/>
      <c r="H672" s="61"/>
      <c r="I672" s="61"/>
      <c r="J672" s="107"/>
      <c r="K672" s="107"/>
      <c r="L672" s="61"/>
      <c r="M672" s="61"/>
      <c r="N672" s="61"/>
      <c r="O672" s="61"/>
      <c r="P672" s="61" t="b">
        <f>COUNTIF('Delivered SIR'!A:A, E672) &gt; 0</f>
        <v>0</v>
      </c>
    </row>
    <row r="673">
      <c r="A673" s="65"/>
      <c r="B673" s="65"/>
      <c r="C673" s="65"/>
      <c r="D673" s="65"/>
      <c r="E673" s="65"/>
      <c r="F673" s="65"/>
      <c r="G673" s="65"/>
      <c r="H673" s="65"/>
      <c r="I673" s="65"/>
      <c r="J673" s="108"/>
      <c r="K673" s="108"/>
      <c r="L673" s="65"/>
      <c r="M673" s="65"/>
      <c r="N673" s="65"/>
      <c r="O673" s="65"/>
      <c r="P673" s="65" t="b">
        <f>COUNTIF('Delivered SIR'!A:A, E673) &gt; 0</f>
        <v>0</v>
      </c>
    </row>
    <row r="674">
      <c r="A674" s="61"/>
      <c r="B674" s="61"/>
      <c r="C674" s="61"/>
      <c r="D674" s="61"/>
      <c r="E674" s="61"/>
      <c r="F674" s="61"/>
      <c r="G674" s="61"/>
      <c r="H674" s="61"/>
      <c r="I674" s="61"/>
      <c r="J674" s="107"/>
      <c r="K674" s="107"/>
      <c r="L674" s="61"/>
      <c r="M674" s="61"/>
      <c r="N674" s="61"/>
      <c r="O674" s="61"/>
      <c r="P674" s="61" t="b">
        <f>COUNTIF('Delivered SIR'!A:A, E674) &gt; 0</f>
        <v>0</v>
      </c>
    </row>
    <row r="675">
      <c r="A675" s="65"/>
      <c r="B675" s="65"/>
      <c r="C675" s="65"/>
      <c r="D675" s="65"/>
      <c r="E675" s="65"/>
      <c r="F675" s="65"/>
      <c r="G675" s="65"/>
      <c r="H675" s="65"/>
      <c r="I675" s="65"/>
      <c r="J675" s="108"/>
      <c r="K675" s="108"/>
      <c r="L675" s="65"/>
      <c r="M675" s="65"/>
      <c r="N675" s="65"/>
      <c r="O675" s="65"/>
      <c r="P675" s="65" t="b">
        <f>COUNTIF('Delivered SIR'!A:A, E675) &gt; 0</f>
        <v>0</v>
      </c>
    </row>
    <row r="676">
      <c r="A676" s="61"/>
      <c r="B676" s="61"/>
      <c r="C676" s="61"/>
      <c r="D676" s="61"/>
      <c r="E676" s="61"/>
      <c r="F676" s="61"/>
      <c r="G676" s="61"/>
      <c r="H676" s="61"/>
      <c r="I676" s="61"/>
      <c r="J676" s="107"/>
      <c r="K676" s="107"/>
      <c r="L676" s="61"/>
      <c r="M676" s="61"/>
      <c r="N676" s="61"/>
      <c r="O676" s="61"/>
      <c r="P676" s="61" t="b">
        <f>COUNTIF('Delivered SIR'!A:A, E676) &gt; 0</f>
        <v>0</v>
      </c>
    </row>
    <row r="677">
      <c r="A677" s="65"/>
      <c r="B677" s="65"/>
      <c r="C677" s="65"/>
      <c r="D677" s="65"/>
      <c r="E677" s="65"/>
      <c r="F677" s="65"/>
      <c r="G677" s="65"/>
      <c r="H677" s="65"/>
      <c r="I677" s="65"/>
      <c r="J677" s="108"/>
      <c r="K677" s="108"/>
      <c r="L677" s="65"/>
      <c r="M677" s="65"/>
      <c r="N677" s="65"/>
      <c r="O677" s="65"/>
      <c r="P677" s="65" t="b">
        <f>COUNTIF('Delivered SIR'!A:A, E677) &gt; 0</f>
        <v>0</v>
      </c>
    </row>
    <row r="678">
      <c r="A678" s="61"/>
      <c r="B678" s="61"/>
      <c r="C678" s="61"/>
      <c r="D678" s="61"/>
      <c r="E678" s="61"/>
      <c r="F678" s="61"/>
      <c r="G678" s="61"/>
      <c r="H678" s="61"/>
      <c r="I678" s="61"/>
      <c r="J678" s="107"/>
      <c r="K678" s="107"/>
      <c r="L678" s="61"/>
      <c r="M678" s="61"/>
      <c r="N678" s="61"/>
      <c r="O678" s="61"/>
      <c r="P678" s="61" t="b">
        <f>COUNTIF('Delivered SIR'!A:A, E678) &gt; 0</f>
        <v>0</v>
      </c>
    </row>
    <row r="679">
      <c r="A679" s="65"/>
      <c r="B679" s="65"/>
      <c r="C679" s="65"/>
      <c r="D679" s="65"/>
      <c r="E679" s="65"/>
      <c r="F679" s="65"/>
      <c r="G679" s="65"/>
      <c r="H679" s="65"/>
      <c r="I679" s="65"/>
      <c r="J679" s="108"/>
      <c r="K679" s="108"/>
      <c r="L679" s="65"/>
      <c r="M679" s="65"/>
      <c r="N679" s="65"/>
      <c r="O679" s="65"/>
      <c r="P679" s="65" t="b">
        <f>COUNTIF('Delivered SIR'!A:A, E679) &gt; 0</f>
        <v>0</v>
      </c>
    </row>
    <row r="680">
      <c r="A680" s="61"/>
      <c r="B680" s="61"/>
      <c r="C680" s="61"/>
      <c r="D680" s="61"/>
      <c r="E680" s="61"/>
      <c r="F680" s="61"/>
      <c r="G680" s="61"/>
      <c r="H680" s="61"/>
      <c r="I680" s="61"/>
      <c r="J680" s="107"/>
      <c r="K680" s="107"/>
      <c r="L680" s="61"/>
      <c r="M680" s="61"/>
      <c r="N680" s="61"/>
      <c r="O680" s="61"/>
      <c r="P680" s="61" t="b">
        <f>COUNTIF('Delivered SIR'!A:A, E680) &gt; 0</f>
        <v>0</v>
      </c>
    </row>
    <row r="681">
      <c r="A681" s="65"/>
      <c r="B681" s="65"/>
      <c r="C681" s="65"/>
      <c r="D681" s="65"/>
      <c r="E681" s="65"/>
      <c r="F681" s="65"/>
      <c r="G681" s="65"/>
      <c r="H681" s="65"/>
      <c r="I681" s="65"/>
      <c r="J681" s="108"/>
      <c r="K681" s="108"/>
      <c r="L681" s="65"/>
      <c r="M681" s="65"/>
      <c r="N681" s="65"/>
      <c r="O681" s="65"/>
      <c r="P681" s="65" t="b">
        <f>COUNTIF('Delivered SIR'!A:A, E681) &gt; 0</f>
        <v>0</v>
      </c>
    </row>
    <row r="682">
      <c r="A682" s="61"/>
      <c r="B682" s="61"/>
      <c r="C682" s="61"/>
      <c r="D682" s="61"/>
      <c r="E682" s="61"/>
      <c r="F682" s="61"/>
      <c r="G682" s="61"/>
      <c r="H682" s="61"/>
      <c r="I682" s="61"/>
      <c r="J682" s="107"/>
      <c r="K682" s="107"/>
      <c r="L682" s="61"/>
      <c r="M682" s="61"/>
      <c r="N682" s="61"/>
      <c r="O682" s="61"/>
      <c r="P682" s="61" t="b">
        <f>COUNTIF('Delivered SIR'!A:A, E682) &gt; 0</f>
        <v>0</v>
      </c>
    </row>
    <row r="683">
      <c r="A683" s="65"/>
      <c r="B683" s="65"/>
      <c r="C683" s="65"/>
      <c r="D683" s="65"/>
      <c r="E683" s="65"/>
      <c r="F683" s="65"/>
      <c r="G683" s="65"/>
      <c r="H683" s="65"/>
      <c r="I683" s="65"/>
      <c r="J683" s="108"/>
      <c r="K683" s="108"/>
      <c r="L683" s="65"/>
      <c r="M683" s="65"/>
      <c r="N683" s="65"/>
      <c r="O683" s="65"/>
      <c r="P683" s="65" t="b">
        <f>COUNTIF('Delivered SIR'!A:A, E683) &gt; 0</f>
        <v>0</v>
      </c>
    </row>
    <row r="684">
      <c r="A684" s="61"/>
      <c r="B684" s="61"/>
      <c r="C684" s="61"/>
      <c r="D684" s="61"/>
      <c r="E684" s="61"/>
      <c r="F684" s="61"/>
      <c r="G684" s="61"/>
      <c r="H684" s="61"/>
      <c r="I684" s="61"/>
      <c r="J684" s="107"/>
      <c r="K684" s="107"/>
      <c r="L684" s="61"/>
      <c r="M684" s="61"/>
      <c r="N684" s="61"/>
      <c r="O684" s="61"/>
      <c r="P684" s="61" t="b">
        <f>COUNTIF('Delivered SIR'!A:A, E684) &gt; 0</f>
        <v>0</v>
      </c>
    </row>
    <row r="685">
      <c r="A685" s="65"/>
      <c r="B685" s="65"/>
      <c r="C685" s="65"/>
      <c r="D685" s="65"/>
      <c r="E685" s="65"/>
      <c r="F685" s="65"/>
      <c r="G685" s="65"/>
      <c r="H685" s="65"/>
      <c r="I685" s="65"/>
      <c r="J685" s="108"/>
      <c r="K685" s="108"/>
      <c r="L685" s="65"/>
      <c r="M685" s="65"/>
      <c r="N685" s="65"/>
      <c r="O685" s="65"/>
      <c r="P685" s="65" t="b">
        <f>COUNTIF('Delivered SIR'!A:A, E685) &gt; 0</f>
        <v>0</v>
      </c>
    </row>
    <row r="686">
      <c r="A686" s="61"/>
      <c r="B686" s="61"/>
      <c r="C686" s="61"/>
      <c r="D686" s="61"/>
      <c r="E686" s="61"/>
      <c r="F686" s="61"/>
      <c r="G686" s="61"/>
      <c r="H686" s="61"/>
      <c r="I686" s="61"/>
      <c r="J686" s="107"/>
      <c r="K686" s="107"/>
      <c r="L686" s="61"/>
      <c r="M686" s="61"/>
      <c r="N686" s="61"/>
      <c r="O686" s="61"/>
      <c r="P686" s="61" t="b">
        <f>COUNTIF('Delivered SIR'!A:A, E686) &gt; 0</f>
        <v>0</v>
      </c>
    </row>
    <row r="687">
      <c r="A687" s="65"/>
      <c r="B687" s="65"/>
      <c r="C687" s="65"/>
      <c r="D687" s="65"/>
      <c r="E687" s="65"/>
      <c r="F687" s="65"/>
      <c r="G687" s="65"/>
      <c r="H687" s="65"/>
      <c r="I687" s="65"/>
      <c r="J687" s="108"/>
      <c r="K687" s="108"/>
      <c r="L687" s="65"/>
      <c r="M687" s="65"/>
      <c r="N687" s="65"/>
      <c r="O687" s="65"/>
      <c r="P687" s="65" t="b">
        <f>COUNTIF('Delivered SIR'!A:A, E687) &gt; 0</f>
        <v>0</v>
      </c>
    </row>
    <row r="688">
      <c r="A688" s="61"/>
      <c r="B688" s="61"/>
      <c r="C688" s="61"/>
      <c r="D688" s="61"/>
      <c r="E688" s="61"/>
      <c r="F688" s="61"/>
      <c r="G688" s="61"/>
      <c r="H688" s="61"/>
      <c r="I688" s="61"/>
      <c r="J688" s="107"/>
      <c r="K688" s="107"/>
      <c r="L688" s="61"/>
      <c r="M688" s="61"/>
      <c r="N688" s="61"/>
      <c r="O688" s="61"/>
      <c r="P688" s="61" t="b">
        <f>COUNTIF('Delivered SIR'!A:A, E688) &gt; 0</f>
        <v>0</v>
      </c>
    </row>
    <row r="689">
      <c r="A689" s="65"/>
      <c r="B689" s="65"/>
      <c r="C689" s="65"/>
      <c r="D689" s="65"/>
      <c r="E689" s="65"/>
      <c r="F689" s="65"/>
      <c r="G689" s="65"/>
      <c r="H689" s="65"/>
      <c r="I689" s="65"/>
      <c r="J689" s="108"/>
      <c r="K689" s="108"/>
      <c r="L689" s="65"/>
      <c r="M689" s="65"/>
      <c r="N689" s="65"/>
      <c r="O689" s="65"/>
      <c r="P689" s="65" t="b">
        <f>COUNTIF('Delivered SIR'!A:A, E689) &gt; 0</f>
        <v>0</v>
      </c>
    </row>
    <row r="690">
      <c r="A690" s="61"/>
      <c r="B690" s="61"/>
      <c r="C690" s="61"/>
      <c r="D690" s="61"/>
      <c r="E690" s="61"/>
      <c r="F690" s="61"/>
      <c r="G690" s="61"/>
      <c r="H690" s="61"/>
      <c r="I690" s="61"/>
      <c r="J690" s="107"/>
      <c r="K690" s="107"/>
      <c r="L690" s="61"/>
      <c r="M690" s="61"/>
      <c r="N690" s="61"/>
      <c r="O690" s="61"/>
      <c r="P690" s="61" t="b">
        <f>COUNTIF('Delivered SIR'!A:A, E690) &gt; 0</f>
        <v>0</v>
      </c>
    </row>
    <row r="691">
      <c r="A691" s="65"/>
      <c r="B691" s="65"/>
      <c r="C691" s="65"/>
      <c r="D691" s="65"/>
      <c r="E691" s="65"/>
      <c r="F691" s="65"/>
      <c r="G691" s="65"/>
      <c r="H691" s="65"/>
      <c r="I691" s="65"/>
      <c r="J691" s="108"/>
      <c r="K691" s="108"/>
      <c r="L691" s="65"/>
      <c r="M691" s="65"/>
      <c r="N691" s="65"/>
      <c r="O691" s="65"/>
      <c r="P691" s="65" t="b">
        <f>COUNTIF('Delivered SIR'!A:A, E691) &gt; 0</f>
        <v>0</v>
      </c>
    </row>
    <row r="692">
      <c r="A692" s="61"/>
      <c r="B692" s="61"/>
      <c r="C692" s="61"/>
      <c r="D692" s="61"/>
      <c r="E692" s="61"/>
      <c r="F692" s="61"/>
      <c r="G692" s="61"/>
      <c r="H692" s="61"/>
      <c r="I692" s="61"/>
      <c r="J692" s="107"/>
      <c r="K692" s="107"/>
      <c r="L692" s="61"/>
      <c r="M692" s="61"/>
      <c r="N692" s="61"/>
      <c r="O692" s="61"/>
      <c r="P692" s="61" t="b">
        <f>COUNTIF('Delivered SIR'!A:A, E692) &gt; 0</f>
        <v>0</v>
      </c>
    </row>
    <row r="693">
      <c r="A693" s="65"/>
      <c r="B693" s="65"/>
      <c r="C693" s="65"/>
      <c r="D693" s="65"/>
      <c r="E693" s="65"/>
      <c r="F693" s="65"/>
      <c r="G693" s="65"/>
      <c r="H693" s="65"/>
      <c r="I693" s="65"/>
      <c r="J693" s="108"/>
      <c r="K693" s="108"/>
      <c r="L693" s="65"/>
      <c r="M693" s="65"/>
      <c r="N693" s="65"/>
      <c r="O693" s="65"/>
      <c r="P693" s="65" t="b">
        <f>COUNTIF('Delivered SIR'!A:A, E693) &gt; 0</f>
        <v>0</v>
      </c>
    </row>
    <row r="694">
      <c r="A694" s="61"/>
      <c r="B694" s="61"/>
      <c r="C694" s="61"/>
      <c r="D694" s="61"/>
      <c r="E694" s="61"/>
      <c r="F694" s="61"/>
      <c r="G694" s="61"/>
      <c r="H694" s="61"/>
      <c r="I694" s="61"/>
      <c r="J694" s="107"/>
      <c r="K694" s="107"/>
      <c r="L694" s="61"/>
      <c r="M694" s="61"/>
      <c r="N694" s="61"/>
      <c r="O694" s="61"/>
      <c r="P694" s="61" t="b">
        <f>COUNTIF('Delivered SIR'!A:A, E694) &gt; 0</f>
        <v>0</v>
      </c>
    </row>
    <row r="695">
      <c r="A695" s="65"/>
      <c r="B695" s="65"/>
      <c r="C695" s="65"/>
      <c r="D695" s="65"/>
      <c r="E695" s="65"/>
      <c r="F695" s="65"/>
      <c r="G695" s="65"/>
      <c r="H695" s="65"/>
      <c r="I695" s="65"/>
      <c r="J695" s="108"/>
      <c r="K695" s="108"/>
      <c r="L695" s="65"/>
      <c r="M695" s="65"/>
      <c r="N695" s="65"/>
      <c r="O695" s="65"/>
      <c r="P695" s="65" t="b">
        <f>COUNTIF('Delivered SIR'!A:A, E695) &gt; 0</f>
        <v>0</v>
      </c>
    </row>
    <row r="696">
      <c r="A696" s="61"/>
      <c r="B696" s="61"/>
      <c r="C696" s="61"/>
      <c r="D696" s="61"/>
      <c r="E696" s="61"/>
      <c r="F696" s="61"/>
      <c r="G696" s="61"/>
      <c r="H696" s="61"/>
      <c r="I696" s="61"/>
      <c r="J696" s="107"/>
      <c r="K696" s="107"/>
      <c r="L696" s="61"/>
      <c r="M696" s="61"/>
      <c r="N696" s="61"/>
      <c r="O696" s="61"/>
      <c r="P696" s="61" t="b">
        <f>COUNTIF('Delivered SIR'!A:A, E696) &gt; 0</f>
        <v>0</v>
      </c>
    </row>
    <row r="697">
      <c r="A697" s="65"/>
      <c r="B697" s="65"/>
      <c r="C697" s="65"/>
      <c r="D697" s="65"/>
      <c r="E697" s="65"/>
      <c r="F697" s="65"/>
      <c r="G697" s="65"/>
      <c r="H697" s="65"/>
      <c r="I697" s="65"/>
      <c r="J697" s="108"/>
      <c r="K697" s="108"/>
      <c r="L697" s="65"/>
      <c r="M697" s="65"/>
      <c r="N697" s="65"/>
      <c r="O697" s="65"/>
      <c r="P697" s="65" t="b">
        <f>COUNTIF('Delivered SIR'!A:A, E697) &gt; 0</f>
        <v>0</v>
      </c>
    </row>
    <row r="698">
      <c r="A698" s="61"/>
      <c r="B698" s="61"/>
      <c r="C698" s="61"/>
      <c r="D698" s="61"/>
      <c r="E698" s="61"/>
      <c r="F698" s="61"/>
      <c r="G698" s="61"/>
      <c r="H698" s="61"/>
      <c r="I698" s="61"/>
      <c r="J698" s="107"/>
      <c r="K698" s="107"/>
      <c r="L698" s="61"/>
      <c r="M698" s="61"/>
      <c r="N698" s="61"/>
      <c r="O698" s="61"/>
      <c r="P698" s="61" t="b">
        <f>COUNTIF('Delivered SIR'!A:A, E698) &gt; 0</f>
        <v>0</v>
      </c>
    </row>
    <row r="699">
      <c r="A699" s="65"/>
      <c r="B699" s="65"/>
      <c r="C699" s="65"/>
      <c r="D699" s="65"/>
      <c r="E699" s="65"/>
      <c r="F699" s="65"/>
      <c r="G699" s="65"/>
      <c r="H699" s="65"/>
      <c r="I699" s="65"/>
      <c r="J699" s="108"/>
      <c r="K699" s="108"/>
      <c r="L699" s="65"/>
      <c r="M699" s="65"/>
      <c r="N699" s="65"/>
      <c r="O699" s="65"/>
      <c r="P699" s="65" t="b">
        <f>COUNTIF('Delivered SIR'!A:A, E699) &gt; 0</f>
        <v>0</v>
      </c>
    </row>
    <row r="700">
      <c r="A700" s="61"/>
      <c r="B700" s="61"/>
      <c r="C700" s="61"/>
      <c r="D700" s="61"/>
      <c r="E700" s="61"/>
      <c r="F700" s="61"/>
      <c r="G700" s="61"/>
      <c r="H700" s="61"/>
      <c r="I700" s="61"/>
      <c r="J700" s="107"/>
      <c r="K700" s="107"/>
      <c r="L700" s="61"/>
      <c r="M700" s="61"/>
      <c r="N700" s="61"/>
      <c r="O700" s="61"/>
      <c r="P700" s="61" t="b">
        <f>COUNTIF('Delivered SIR'!A:A, E700) &gt; 0</f>
        <v>0</v>
      </c>
    </row>
    <row r="701">
      <c r="A701" s="65"/>
      <c r="B701" s="65"/>
      <c r="C701" s="65"/>
      <c r="D701" s="65"/>
      <c r="E701" s="65"/>
      <c r="F701" s="65"/>
      <c r="G701" s="65"/>
      <c r="H701" s="65"/>
      <c r="I701" s="65"/>
      <c r="J701" s="108"/>
      <c r="K701" s="108"/>
      <c r="L701" s="65"/>
      <c r="M701" s="65"/>
      <c r="N701" s="65"/>
      <c r="O701" s="65"/>
      <c r="P701" s="65" t="b">
        <f>COUNTIF('Delivered SIR'!A:A, E701) &gt; 0</f>
        <v>0</v>
      </c>
    </row>
    <row r="702">
      <c r="A702" s="61"/>
      <c r="B702" s="61"/>
      <c r="C702" s="61"/>
      <c r="D702" s="61"/>
      <c r="E702" s="61"/>
      <c r="F702" s="61"/>
      <c r="G702" s="61"/>
      <c r="H702" s="61"/>
      <c r="I702" s="61"/>
      <c r="J702" s="107"/>
      <c r="K702" s="107"/>
      <c r="L702" s="61"/>
      <c r="M702" s="61"/>
      <c r="N702" s="61"/>
      <c r="O702" s="61"/>
      <c r="P702" s="61" t="b">
        <f>COUNTIF('Delivered SIR'!A:A, E702) &gt; 0</f>
        <v>0</v>
      </c>
    </row>
    <row r="703">
      <c r="A703" s="65"/>
      <c r="B703" s="65"/>
      <c r="C703" s="65"/>
      <c r="D703" s="65"/>
      <c r="E703" s="65"/>
      <c r="F703" s="65"/>
      <c r="G703" s="65"/>
      <c r="H703" s="65"/>
      <c r="I703" s="65"/>
      <c r="J703" s="108"/>
      <c r="K703" s="108"/>
      <c r="L703" s="65"/>
      <c r="M703" s="65"/>
      <c r="N703" s="65"/>
      <c r="O703" s="65"/>
      <c r="P703" s="65" t="b">
        <f>COUNTIF('Delivered SIR'!A:A, E703) &gt; 0</f>
        <v>0</v>
      </c>
    </row>
    <row r="704">
      <c r="A704" s="61"/>
      <c r="B704" s="61"/>
      <c r="C704" s="61"/>
      <c r="D704" s="61"/>
      <c r="E704" s="61"/>
      <c r="F704" s="61"/>
      <c r="G704" s="61"/>
      <c r="H704" s="61"/>
      <c r="I704" s="61"/>
      <c r="J704" s="107"/>
      <c r="K704" s="107"/>
      <c r="L704" s="61"/>
      <c r="M704" s="61"/>
      <c r="N704" s="61"/>
      <c r="O704" s="61"/>
      <c r="P704" s="61" t="b">
        <f>COUNTIF('Delivered SIR'!A:A, E704) &gt; 0</f>
        <v>0</v>
      </c>
    </row>
    <row r="705">
      <c r="A705" s="65"/>
      <c r="B705" s="65"/>
      <c r="C705" s="65"/>
      <c r="D705" s="65"/>
      <c r="E705" s="65"/>
      <c r="F705" s="65"/>
      <c r="G705" s="65"/>
      <c r="H705" s="65"/>
      <c r="I705" s="65"/>
      <c r="J705" s="108"/>
      <c r="K705" s="108"/>
      <c r="L705" s="65"/>
      <c r="M705" s="65"/>
      <c r="N705" s="65"/>
      <c r="O705" s="65"/>
      <c r="P705" s="65" t="b">
        <f>COUNTIF('Delivered SIR'!A:A, E705) &gt; 0</f>
        <v>0</v>
      </c>
    </row>
    <row r="706">
      <c r="A706" s="61"/>
      <c r="B706" s="61"/>
      <c r="C706" s="61"/>
      <c r="D706" s="61"/>
      <c r="E706" s="61"/>
      <c r="F706" s="61"/>
      <c r="G706" s="61"/>
      <c r="H706" s="61"/>
      <c r="I706" s="61"/>
      <c r="J706" s="107"/>
      <c r="K706" s="107"/>
      <c r="L706" s="61"/>
      <c r="M706" s="61"/>
      <c r="N706" s="61"/>
      <c r="O706" s="61"/>
      <c r="P706" s="61" t="b">
        <f>COUNTIF('Delivered SIR'!A:A, E706) &gt; 0</f>
        <v>0</v>
      </c>
    </row>
    <row r="707">
      <c r="A707" s="65"/>
      <c r="B707" s="65"/>
      <c r="C707" s="65"/>
      <c r="D707" s="65"/>
      <c r="E707" s="65"/>
      <c r="F707" s="65"/>
      <c r="G707" s="65"/>
      <c r="H707" s="65"/>
      <c r="I707" s="65"/>
      <c r="J707" s="108"/>
      <c r="K707" s="108"/>
      <c r="L707" s="65"/>
      <c r="M707" s="65"/>
      <c r="N707" s="65"/>
      <c r="O707" s="65"/>
      <c r="P707" s="65" t="b">
        <f>COUNTIF('Delivered SIR'!A:A, E707) &gt; 0</f>
        <v>0</v>
      </c>
    </row>
    <row r="708">
      <c r="A708" s="61"/>
      <c r="B708" s="61"/>
      <c r="C708" s="61"/>
      <c r="D708" s="61"/>
      <c r="E708" s="61"/>
      <c r="F708" s="61"/>
      <c r="G708" s="61"/>
      <c r="H708" s="61"/>
      <c r="I708" s="61"/>
      <c r="J708" s="107"/>
      <c r="K708" s="107"/>
      <c r="L708" s="61"/>
      <c r="M708" s="61"/>
      <c r="N708" s="61"/>
      <c r="O708" s="61"/>
      <c r="P708" s="61" t="b">
        <f>COUNTIF('Delivered SIR'!A:A, E708) &gt; 0</f>
        <v>0</v>
      </c>
    </row>
    <row r="709">
      <c r="A709" s="65"/>
      <c r="B709" s="65"/>
      <c r="C709" s="65"/>
      <c r="D709" s="65"/>
      <c r="E709" s="65"/>
      <c r="F709" s="65"/>
      <c r="G709" s="65"/>
      <c r="H709" s="65"/>
      <c r="I709" s="65"/>
      <c r="J709" s="108"/>
      <c r="K709" s="108"/>
      <c r="L709" s="65"/>
      <c r="M709" s="65"/>
      <c r="N709" s="65"/>
      <c r="O709" s="65"/>
      <c r="P709" s="65" t="b">
        <f>COUNTIF('Delivered SIR'!A:A, E709) &gt; 0</f>
        <v>0</v>
      </c>
    </row>
    <row r="710">
      <c r="A710" s="61"/>
      <c r="B710" s="61"/>
      <c r="C710" s="61"/>
      <c r="D710" s="61"/>
      <c r="E710" s="61"/>
      <c r="F710" s="61"/>
      <c r="G710" s="61"/>
      <c r="H710" s="61"/>
      <c r="I710" s="61"/>
      <c r="J710" s="107"/>
      <c r="K710" s="107"/>
      <c r="L710" s="61"/>
      <c r="M710" s="61"/>
      <c r="N710" s="61"/>
      <c r="O710" s="61"/>
      <c r="P710" s="61" t="b">
        <f>COUNTIF('Delivered SIR'!A:A, E710) &gt; 0</f>
        <v>0</v>
      </c>
    </row>
    <row r="711">
      <c r="A711" s="65"/>
      <c r="B711" s="65"/>
      <c r="C711" s="65"/>
      <c r="D711" s="65"/>
      <c r="E711" s="65"/>
      <c r="F711" s="65"/>
      <c r="G711" s="65"/>
      <c r="H711" s="65"/>
      <c r="I711" s="65"/>
      <c r="J711" s="108"/>
      <c r="K711" s="108"/>
      <c r="L711" s="65"/>
      <c r="M711" s="65"/>
      <c r="N711" s="65"/>
      <c r="O711" s="65"/>
      <c r="P711" s="65" t="b">
        <f>COUNTIF('Delivered SIR'!A:A, E711) &gt; 0</f>
        <v>0</v>
      </c>
    </row>
    <row r="712">
      <c r="A712" s="61"/>
      <c r="B712" s="61"/>
      <c r="C712" s="61"/>
      <c r="D712" s="61"/>
      <c r="E712" s="61"/>
      <c r="F712" s="61"/>
      <c r="G712" s="61"/>
      <c r="H712" s="61"/>
      <c r="I712" s="61"/>
      <c r="J712" s="107"/>
      <c r="K712" s="107"/>
      <c r="L712" s="61"/>
      <c r="M712" s="61"/>
      <c r="N712" s="61"/>
      <c r="O712" s="61"/>
      <c r="P712" s="61" t="b">
        <f>COUNTIF('Delivered SIR'!A:A, E712) &gt; 0</f>
        <v>0</v>
      </c>
    </row>
    <row r="713">
      <c r="A713" s="65"/>
      <c r="B713" s="65"/>
      <c r="C713" s="65"/>
      <c r="D713" s="65"/>
      <c r="E713" s="65"/>
      <c r="F713" s="65"/>
      <c r="G713" s="65"/>
      <c r="H713" s="65"/>
      <c r="I713" s="65"/>
      <c r="J713" s="108"/>
      <c r="K713" s="108"/>
      <c r="L713" s="65"/>
      <c r="M713" s="65"/>
      <c r="N713" s="65"/>
      <c r="O713" s="65"/>
      <c r="P713" s="65" t="b">
        <f>COUNTIF('Delivered SIR'!A:A, E713) &gt; 0</f>
        <v>0</v>
      </c>
    </row>
    <row r="714">
      <c r="A714" s="61"/>
      <c r="B714" s="61"/>
      <c r="C714" s="61"/>
      <c r="D714" s="61"/>
      <c r="E714" s="61"/>
      <c r="F714" s="61"/>
      <c r="G714" s="61"/>
      <c r="H714" s="61"/>
      <c r="I714" s="61"/>
      <c r="J714" s="107"/>
      <c r="K714" s="107"/>
      <c r="L714" s="61"/>
      <c r="M714" s="61"/>
      <c r="N714" s="61"/>
      <c r="O714" s="61"/>
      <c r="P714" s="61" t="b">
        <f>COUNTIF('Delivered SIR'!A:A, E714) &gt; 0</f>
        <v>0</v>
      </c>
    </row>
    <row r="715">
      <c r="A715" s="65"/>
      <c r="B715" s="65"/>
      <c r="C715" s="65"/>
      <c r="D715" s="65"/>
      <c r="E715" s="65"/>
      <c r="F715" s="65"/>
      <c r="G715" s="65"/>
      <c r="H715" s="65"/>
      <c r="I715" s="65"/>
      <c r="J715" s="108"/>
      <c r="K715" s="108"/>
      <c r="L715" s="65"/>
      <c r="M715" s="65"/>
      <c r="N715" s="65"/>
      <c r="O715" s="65"/>
      <c r="P715" s="65" t="b">
        <f>COUNTIF('Delivered SIR'!A:A, E715) &gt; 0</f>
        <v>0</v>
      </c>
    </row>
    <row r="716">
      <c r="A716" s="61"/>
      <c r="B716" s="61"/>
      <c r="C716" s="61"/>
      <c r="D716" s="61"/>
      <c r="E716" s="61"/>
      <c r="F716" s="61"/>
      <c r="G716" s="61"/>
      <c r="H716" s="61"/>
      <c r="I716" s="61"/>
      <c r="J716" s="107"/>
      <c r="K716" s="107"/>
      <c r="L716" s="61"/>
      <c r="M716" s="61"/>
      <c r="N716" s="61"/>
      <c r="O716" s="61"/>
      <c r="P716" s="61" t="b">
        <f>COUNTIF('Delivered SIR'!A:A, E716) &gt; 0</f>
        <v>0</v>
      </c>
    </row>
    <row r="717">
      <c r="A717" s="65"/>
      <c r="B717" s="65"/>
      <c r="C717" s="65"/>
      <c r="D717" s="65"/>
      <c r="E717" s="65"/>
      <c r="F717" s="65"/>
      <c r="G717" s="65"/>
      <c r="H717" s="65"/>
      <c r="I717" s="65"/>
      <c r="J717" s="108"/>
      <c r="K717" s="108"/>
      <c r="L717" s="65"/>
      <c r="M717" s="65"/>
      <c r="N717" s="65"/>
      <c r="O717" s="65"/>
      <c r="P717" s="65" t="b">
        <f>COUNTIF('Delivered SIR'!A:A, E717) &gt; 0</f>
        <v>0</v>
      </c>
    </row>
    <row r="718">
      <c r="A718" s="61"/>
      <c r="B718" s="61"/>
      <c r="C718" s="61"/>
      <c r="D718" s="61"/>
      <c r="E718" s="61"/>
      <c r="F718" s="61"/>
      <c r="G718" s="61"/>
      <c r="H718" s="61"/>
      <c r="I718" s="61"/>
      <c r="J718" s="107"/>
      <c r="K718" s="107"/>
      <c r="L718" s="61"/>
      <c r="M718" s="61"/>
      <c r="N718" s="61"/>
      <c r="O718" s="61"/>
      <c r="P718" s="61" t="b">
        <f>COUNTIF('Delivered SIR'!A:A, E718) &gt; 0</f>
        <v>0</v>
      </c>
    </row>
    <row r="719">
      <c r="A719" s="65"/>
      <c r="B719" s="65"/>
      <c r="C719" s="65"/>
      <c r="D719" s="65"/>
      <c r="E719" s="65"/>
      <c r="F719" s="65"/>
      <c r="G719" s="65"/>
      <c r="H719" s="65"/>
      <c r="I719" s="65"/>
      <c r="J719" s="108"/>
      <c r="K719" s="108"/>
      <c r="L719" s="65"/>
      <c r="M719" s="65"/>
      <c r="N719" s="65"/>
      <c r="O719" s="65"/>
      <c r="P719" s="65" t="b">
        <f>COUNTIF('Delivered SIR'!A:A, E719) &gt; 0</f>
        <v>0</v>
      </c>
    </row>
    <row r="720">
      <c r="A720" s="61"/>
      <c r="B720" s="61"/>
      <c r="C720" s="61"/>
      <c r="D720" s="61"/>
      <c r="E720" s="61"/>
      <c r="F720" s="61"/>
      <c r="G720" s="61"/>
      <c r="H720" s="61"/>
      <c r="I720" s="61"/>
      <c r="J720" s="107"/>
      <c r="K720" s="107"/>
      <c r="L720" s="61"/>
      <c r="M720" s="61"/>
      <c r="N720" s="61"/>
      <c r="O720" s="61"/>
      <c r="P720" s="61" t="b">
        <f>COUNTIF('Delivered SIR'!A:A, E720) &gt; 0</f>
        <v>0</v>
      </c>
    </row>
    <row r="721">
      <c r="A721" s="65"/>
      <c r="B721" s="65"/>
      <c r="C721" s="65"/>
      <c r="D721" s="65"/>
      <c r="E721" s="65"/>
      <c r="F721" s="65"/>
      <c r="G721" s="65"/>
      <c r="H721" s="65"/>
      <c r="I721" s="65"/>
      <c r="J721" s="108"/>
      <c r="K721" s="108"/>
      <c r="L721" s="65"/>
      <c r="M721" s="65"/>
      <c r="N721" s="65"/>
      <c r="O721" s="65"/>
      <c r="P721" s="65" t="b">
        <f>COUNTIF('Delivered SIR'!A:A, E721) &gt; 0</f>
        <v>0</v>
      </c>
    </row>
    <row r="722">
      <c r="A722" s="61"/>
      <c r="B722" s="61"/>
      <c r="C722" s="61"/>
      <c r="D722" s="61"/>
      <c r="E722" s="61"/>
      <c r="F722" s="61"/>
      <c r="G722" s="61"/>
      <c r="H722" s="61"/>
      <c r="I722" s="61"/>
      <c r="J722" s="107"/>
      <c r="K722" s="107"/>
      <c r="L722" s="61"/>
      <c r="M722" s="61"/>
      <c r="N722" s="61"/>
      <c r="O722" s="61"/>
      <c r="P722" s="61" t="b">
        <f>COUNTIF('Delivered SIR'!A:A, E722) &gt; 0</f>
        <v>0</v>
      </c>
    </row>
    <row r="723">
      <c r="A723" s="65"/>
      <c r="B723" s="65"/>
      <c r="C723" s="65"/>
      <c r="D723" s="65"/>
      <c r="E723" s="65"/>
      <c r="F723" s="65"/>
      <c r="G723" s="65"/>
      <c r="H723" s="65"/>
      <c r="I723" s="65"/>
      <c r="J723" s="108"/>
      <c r="K723" s="108"/>
      <c r="L723" s="65"/>
      <c r="M723" s="65"/>
      <c r="N723" s="65"/>
      <c r="O723" s="65"/>
      <c r="P723" s="65" t="b">
        <f>COUNTIF('Delivered SIR'!A:A, E723) &gt; 0</f>
        <v>0</v>
      </c>
    </row>
    <row r="724">
      <c r="A724" s="61"/>
      <c r="B724" s="61"/>
      <c r="C724" s="61"/>
      <c r="D724" s="61"/>
      <c r="E724" s="61"/>
      <c r="F724" s="61"/>
      <c r="G724" s="61"/>
      <c r="H724" s="61"/>
      <c r="I724" s="61"/>
      <c r="J724" s="107"/>
      <c r="K724" s="107"/>
      <c r="L724" s="61"/>
      <c r="M724" s="61"/>
      <c r="N724" s="61"/>
      <c r="O724" s="61"/>
      <c r="P724" s="61" t="b">
        <f>COUNTIF('Delivered SIR'!A:A, E724) &gt; 0</f>
        <v>0</v>
      </c>
    </row>
    <row r="725">
      <c r="A725" s="65"/>
      <c r="B725" s="65"/>
      <c r="C725" s="65"/>
      <c r="D725" s="65"/>
      <c r="E725" s="65"/>
      <c r="F725" s="65"/>
      <c r="G725" s="65"/>
      <c r="H725" s="65"/>
      <c r="I725" s="65"/>
      <c r="J725" s="108"/>
      <c r="K725" s="108"/>
      <c r="L725" s="65"/>
      <c r="M725" s="65"/>
      <c r="N725" s="65"/>
      <c r="O725" s="65"/>
      <c r="P725" s="65" t="b">
        <f>COUNTIF('Delivered SIR'!A:A, E725) &gt; 0</f>
        <v>0</v>
      </c>
    </row>
    <row r="726">
      <c r="A726" s="61"/>
      <c r="B726" s="61"/>
      <c r="C726" s="61"/>
      <c r="D726" s="61"/>
      <c r="E726" s="61"/>
      <c r="F726" s="61"/>
      <c r="G726" s="61"/>
      <c r="H726" s="61"/>
      <c r="I726" s="61"/>
      <c r="J726" s="107"/>
      <c r="K726" s="107"/>
      <c r="L726" s="61"/>
      <c r="M726" s="61"/>
      <c r="N726" s="61"/>
      <c r="O726" s="61"/>
      <c r="P726" s="61" t="b">
        <f>COUNTIF('Delivered SIR'!A:A, E726) &gt; 0</f>
        <v>0</v>
      </c>
    </row>
    <row r="727">
      <c r="A727" s="65"/>
      <c r="B727" s="65"/>
      <c r="C727" s="65"/>
      <c r="D727" s="65"/>
      <c r="E727" s="65"/>
      <c r="F727" s="65"/>
      <c r="G727" s="65"/>
      <c r="H727" s="65"/>
      <c r="I727" s="65"/>
      <c r="J727" s="108"/>
      <c r="K727" s="108"/>
      <c r="L727" s="65"/>
      <c r="M727" s="65"/>
      <c r="N727" s="65"/>
      <c r="O727" s="65"/>
      <c r="P727" s="65" t="b">
        <f>COUNTIF('Delivered SIR'!A:A, E727) &gt; 0</f>
        <v>0</v>
      </c>
    </row>
    <row r="728">
      <c r="A728" s="61"/>
      <c r="B728" s="61"/>
      <c r="C728" s="61"/>
      <c r="D728" s="61"/>
      <c r="E728" s="61"/>
      <c r="F728" s="61"/>
      <c r="G728" s="61"/>
      <c r="H728" s="61"/>
      <c r="I728" s="61"/>
      <c r="J728" s="107"/>
      <c r="K728" s="107"/>
      <c r="L728" s="61"/>
      <c r="M728" s="61"/>
      <c r="N728" s="61"/>
      <c r="O728" s="61"/>
      <c r="P728" s="61" t="b">
        <f>COUNTIF('Delivered SIR'!A:A, E728) &gt; 0</f>
        <v>0</v>
      </c>
    </row>
    <row r="729">
      <c r="A729" s="65"/>
      <c r="B729" s="65"/>
      <c r="C729" s="65"/>
      <c r="D729" s="65"/>
      <c r="E729" s="65"/>
      <c r="F729" s="65"/>
      <c r="G729" s="65"/>
      <c r="H729" s="65"/>
      <c r="I729" s="65"/>
      <c r="J729" s="108"/>
      <c r="K729" s="108"/>
      <c r="L729" s="65"/>
      <c r="M729" s="65"/>
      <c r="N729" s="65"/>
      <c r="O729" s="65"/>
      <c r="P729" s="65" t="b">
        <f>COUNTIF('Delivered SIR'!A:A, E729) &gt; 0</f>
        <v>0</v>
      </c>
    </row>
    <row r="730">
      <c r="A730" s="61"/>
      <c r="B730" s="61"/>
      <c r="C730" s="61"/>
      <c r="D730" s="61"/>
      <c r="E730" s="61"/>
      <c r="F730" s="61"/>
      <c r="G730" s="61"/>
      <c r="H730" s="61"/>
      <c r="I730" s="61"/>
      <c r="J730" s="107"/>
      <c r="K730" s="107"/>
      <c r="L730" s="61"/>
      <c r="M730" s="61"/>
      <c r="N730" s="61"/>
      <c r="O730" s="61"/>
      <c r="P730" s="61" t="b">
        <f>COUNTIF('Delivered SIR'!A:A, E730) &gt; 0</f>
        <v>0</v>
      </c>
    </row>
    <row r="731">
      <c r="A731" s="65"/>
      <c r="B731" s="65"/>
      <c r="C731" s="65"/>
      <c r="D731" s="65"/>
      <c r="E731" s="65"/>
      <c r="F731" s="65"/>
      <c r="G731" s="65"/>
      <c r="H731" s="65"/>
      <c r="I731" s="65"/>
      <c r="J731" s="108"/>
      <c r="K731" s="108"/>
      <c r="L731" s="65"/>
      <c r="M731" s="65"/>
      <c r="N731" s="65"/>
      <c r="O731" s="65"/>
      <c r="P731" s="65" t="b">
        <f>COUNTIF('Delivered SIR'!A:A, E731) &gt; 0</f>
        <v>0</v>
      </c>
    </row>
    <row r="732">
      <c r="A732" s="61"/>
      <c r="B732" s="61"/>
      <c r="C732" s="61"/>
      <c r="D732" s="61"/>
      <c r="E732" s="61"/>
      <c r="F732" s="61"/>
      <c r="G732" s="61"/>
      <c r="H732" s="61"/>
      <c r="I732" s="61"/>
      <c r="J732" s="107"/>
      <c r="K732" s="107"/>
      <c r="L732" s="61"/>
      <c r="M732" s="61"/>
      <c r="N732" s="61"/>
      <c r="O732" s="61"/>
      <c r="P732" s="61" t="b">
        <f>COUNTIF('Delivered SIR'!A:A, E732) &gt; 0</f>
        <v>0</v>
      </c>
    </row>
    <row r="733">
      <c r="A733" s="65"/>
      <c r="B733" s="65"/>
      <c r="C733" s="65"/>
      <c r="D733" s="65"/>
      <c r="E733" s="65"/>
      <c r="F733" s="65"/>
      <c r="G733" s="65"/>
      <c r="H733" s="65"/>
      <c r="I733" s="65"/>
      <c r="J733" s="108"/>
      <c r="K733" s="108"/>
      <c r="L733" s="65"/>
      <c r="M733" s="65"/>
      <c r="N733" s="65"/>
      <c r="O733" s="65"/>
      <c r="P733" s="65" t="b">
        <f>COUNTIF('Delivered SIR'!A:A, E733) &gt; 0</f>
        <v>0</v>
      </c>
    </row>
    <row r="734">
      <c r="A734" s="61"/>
      <c r="B734" s="61"/>
      <c r="C734" s="61"/>
      <c r="D734" s="61"/>
      <c r="E734" s="61"/>
      <c r="F734" s="61"/>
      <c r="G734" s="61"/>
      <c r="H734" s="61"/>
      <c r="I734" s="61"/>
      <c r="J734" s="107"/>
      <c r="K734" s="107"/>
      <c r="L734" s="61"/>
      <c r="M734" s="61"/>
      <c r="N734" s="61"/>
      <c r="O734" s="61"/>
      <c r="P734" s="61" t="b">
        <f>COUNTIF('Delivered SIR'!A:A, E734) &gt; 0</f>
        <v>0</v>
      </c>
    </row>
    <row r="735">
      <c r="A735" s="65"/>
      <c r="B735" s="65"/>
      <c r="C735" s="65"/>
      <c r="D735" s="65"/>
      <c r="E735" s="65"/>
      <c r="F735" s="65"/>
      <c r="G735" s="65"/>
      <c r="H735" s="65"/>
      <c r="I735" s="65"/>
      <c r="J735" s="108"/>
      <c r="K735" s="108"/>
      <c r="L735" s="65"/>
      <c r="M735" s="65"/>
      <c r="N735" s="65"/>
      <c r="O735" s="65"/>
      <c r="P735" s="65" t="b">
        <f>COUNTIF('Delivered SIR'!A:A, E735) &gt; 0</f>
        <v>0</v>
      </c>
    </row>
    <row r="736">
      <c r="A736" s="61"/>
      <c r="B736" s="61"/>
      <c r="C736" s="61"/>
      <c r="D736" s="61"/>
      <c r="E736" s="61"/>
      <c r="F736" s="61"/>
      <c r="G736" s="61"/>
      <c r="H736" s="61"/>
      <c r="I736" s="61"/>
      <c r="J736" s="107"/>
      <c r="K736" s="107"/>
      <c r="L736" s="61"/>
      <c r="M736" s="61"/>
      <c r="N736" s="61"/>
      <c r="O736" s="61"/>
      <c r="P736" s="61" t="b">
        <f>COUNTIF('Delivered SIR'!A:A, E736) &gt; 0</f>
        <v>0</v>
      </c>
    </row>
    <row r="737">
      <c r="A737" s="65"/>
      <c r="B737" s="65"/>
      <c r="C737" s="65"/>
      <c r="D737" s="65"/>
      <c r="E737" s="65"/>
      <c r="F737" s="65"/>
      <c r="G737" s="65"/>
      <c r="H737" s="65"/>
      <c r="I737" s="65"/>
      <c r="J737" s="108"/>
      <c r="K737" s="108"/>
      <c r="L737" s="65"/>
      <c r="M737" s="65"/>
      <c r="N737" s="65"/>
      <c r="O737" s="65"/>
      <c r="P737" s="65" t="b">
        <f>COUNTIF('Delivered SIR'!A:A, E737) &gt; 0</f>
        <v>0</v>
      </c>
    </row>
    <row r="738">
      <c r="A738" s="61"/>
      <c r="B738" s="61"/>
      <c r="C738" s="61"/>
      <c r="D738" s="61"/>
      <c r="E738" s="61"/>
      <c r="F738" s="61"/>
      <c r="G738" s="61"/>
      <c r="H738" s="61"/>
      <c r="I738" s="61"/>
      <c r="J738" s="107"/>
      <c r="K738" s="107"/>
      <c r="L738" s="61"/>
      <c r="M738" s="61"/>
      <c r="N738" s="61"/>
      <c r="O738" s="61"/>
      <c r="P738" s="61" t="b">
        <f>COUNTIF('Delivered SIR'!A:A, E738) &gt; 0</f>
        <v>0</v>
      </c>
    </row>
    <row r="739">
      <c r="A739" s="65"/>
      <c r="B739" s="65"/>
      <c r="C739" s="65"/>
      <c r="D739" s="65"/>
      <c r="E739" s="65"/>
      <c r="F739" s="65"/>
      <c r="G739" s="65"/>
      <c r="H739" s="65"/>
      <c r="I739" s="65"/>
      <c r="J739" s="108"/>
      <c r="K739" s="108"/>
      <c r="L739" s="65"/>
      <c r="M739" s="65"/>
      <c r="N739" s="65"/>
      <c r="O739" s="65"/>
      <c r="P739" s="65" t="b">
        <f>COUNTIF('Delivered SIR'!A:A, E739) &gt; 0</f>
        <v>0</v>
      </c>
    </row>
    <row r="740">
      <c r="A740" s="61"/>
      <c r="B740" s="61"/>
      <c r="C740" s="61"/>
      <c r="D740" s="61"/>
      <c r="E740" s="61"/>
      <c r="F740" s="61"/>
      <c r="G740" s="61"/>
      <c r="H740" s="61"/>
      <c r="I740" s="61"/>
      <c r="J740" s="107"/>
      <c r="K740" s="107"/>
      <c r="L740" s="61"/>
      <c r="M740" s="61"/>
      <c r="N740" s="61"/>
      <c r="O740" s="61"/>
      <c r="P740" s="61" t="b">
        <f>COUNTIF('Delivered SIR'!A:A, E740) &gt; 0</f>
        <v>0</v>
      </c>
    </row>
    <row r="741">
      <c r="A741" s="65"/>
      <c r="B741" s="65"/>
      <c r="C741" s="65"/>
      <c r="D741" s="65"/>
      <c r="E741" s="65"/>
      <c r="F741" s="65"/>
      <c r="G741" s="65"/>
      <c r="H741" s="65"/>
      <c r="I741" s="65"/>
      <c r="J741" s="108"/>
      <c r="K741" s="108"/>
      <c r="L741" s="65"/>
      <c r="M741" s="65"/>
      <c r="N741" s="65"/>
      <c r="O741" s="65"/>
      <c r="P741" s="65" t="b">
        <f>COUNTIF('Delivered SIR'!A:A, E741) &gt; 0</f>
        <v>0</v>
      </c>
    </row>
    <row r="742">
      <c r="A742" s="61"/>
      <c r="B742" s="61"/>
      <c r="C742" s="61"/>
      <c r="D742" s="61"/>
      <c r="E742" s="61"/>
      <c r="F742" s="61"/>
      <c r="G742" s="61"/>
      <c r="H742" s="61"/>
      <c r="I742" s="61"/>
      <c r="J742" s="107"/>
      <c r="K742" s="107"/>
      <c r="L742" s="61"/>
      <c r="M742" s="61"/>
      <c r="N742" s="61"/>
      <c r="O742" s="61"/>
      <c r="P742" s="61" t="b">
        <f>COUNTIF('Delivered SIR'!A:A, E742) &gt; 0</f>
        <v>0</v>
      </c>
    </row>
    <row r="743">
      <c r="A743" s="65"/>
      <c r="B743" s="65"/>
      <c r="C743" s="65"/>
      <c r="D743" s="65"/>
      <c r="E743" s="65"/>
      <c r="F743" s="65"/>
      <c r="G743" s="65"/>
      <c r="H743" s="65"/>
      <c r="I743" s="65"/>
      <c r="J743" s="108"/>
      <c r="K743" s="108"/>
      <c r="L743" s="65"/>
      <c r="M743" s="65"/>
      <c r="N743" s="65"/>
      <c r="O743" s="65"/>
      <c r="P743" s="65" t="b">
        <f>COUNTIF('Delivered SIR'!A:A, E743) &gt; 0</f>
        <v>0</v>
      </c>
    </row>
    <row r="744">
      <c r="A744" s="61"/>
      <c r="B744" s="61"/>
      <c r="C744" s="61"/>
      <c r="D744" s="61"/>
      <c r="E744" s="61"/>
      <c r="F744" s="61"/>
      <c r="G744" s="61"/>
      <c r="H744" s="61"/>
      <c r="I744" s="61"/>
      <c r="J744" s="107"/>
      <c r="K744" s="107"/>
      <c r="L744" s="61"/>
      <c r="M744" s="61"/>
      <c r="N744" s="61"/>
      <c r="O744" s="61"/>
      <c r="P744" s="61" t="b">
        <f>COUNTIF('Delivered SIR'!A:A, E744) &gt; 0</f>
        <v>0</v>
      </c>
    </row>
    <row r="745">
      <c r="A745" s="65"/>
      <c r="B745" s="65"/>
      <c r="C745" s="65"/>
      <c r="D745" s="65"/>
      <c r="E745" s="65"/>
      <c r="F745" s="65"/>
      <c r="G745" s="65"/>
      <c r="H745" s="65"/>
      <c r="I745" s="65"/>
      <c r="J745" s="108"/>
      <c r="K745" s="108"/>
      <c r="L745" s="65"/>
      <c r="M745" s="65"/>
      <c r="N745" s="65"/>
      <c r="O745" s="65"/>
      <c r="P745" s="65" t="b">
        <f>COUNTIF('Delivered SIR'!A:A, E745) &gt; 0</f>
        <v>0</v>
      </c>
    </row>
    <row r="746">
      <c r="A746" s="61"/>
      <c r="B746" s="61"/>
      <c r="C746" s="61"/>
      <c r="D746" s="61"/>
      <c r="E746" s="61"/>
      <c r="F746" s="61"/>
      <c r="G746" s="61"/>
      <c r="H746" s="61"/>
      <c r="I746" s="61"/>
      <c r="J746" s="107"/>
      <c r="K746" s="107"/>
      <c r="L746" s="61"/>
      <c r="M746" s="61"/>
      <c r="N746" s="61"/>
      <c r="O746" s="61"/>
      <c r="P746" s="61" t="b">
        <f>COUNTIF('Delivered SIR'!A:A, E746) &gt; 0</f>
        <v>0</v>
      </c>
    </row>
    <row r="747">
      <c r="A747" s="65"/>
      <c r="B747" s="65"/>
      <c r="C747" s="65"/>
      <c r="D747" s="65"/>
      <c r="E747" s="65"/>
      <c r="F747" s="65"/>
      <c r="G747" s="65"/>
      <c r="H747" s="65"/>
      <c r="I747" s="65"/>
      <c r="J747" s="108"/>
      <c r="K747" s="108"/>
      <c r="L747" s="65"/>
      <c r="M747" s="65"/>
      <c r="N747" s="65"/>
      <c r="O747" s="65"/>
      <c r="P747" s="65" t="b">
        <f>COUNTIF('Delivered SIR'!A:A, E747) &gt; 0</f>
        <v>0</v>
      </c>
    </row>
    <row r="748">
      <c r="A748" s="61"/>
      <c r="B748" s="61"/>
      <c r="C748" s="61"/>
      <c r="D748" s="61"/>
      <c r="E748" s="61"/>
      <c r="F748" s="61"/>
      <c r="G748" s="61"/>
      <c r="H748" s="61"/>
      <c r="I748" s="61"/>
      <c r="J748" s="107"/>
      <c r="K748" s="107"/>
      <c r="L748" s="61"/>
      <c r="M748" s="61"/>
      <c r="N748" s="61"/>
      <c r="O748" s="61"/>
      <c r="P748" s="61" t="b">
        <f>COUNTIF('Delivered SIR'!A:A, E748) &gt; 0</f>
        <v>0</v>
      </c>
    </row>
    <row r="749">
      <c r="A749" s="65"/>
      <c r="B749" s="65"/>
      <c r="C749" s="65"/>
      <c r="D749" s="65"/>
      <c r="E749" s="65"/>
      <c r="F749" s="65"/>
      <c r="G749" s="65"/>
      <c r="H749" s="65"/>
      <c r="I749" s="65"/>
      <c r="J749" s="108"/>
      <c r="K749" s="108"/>
      <c r="L749" s="65"/>
      <c r="M749" s="65"/>
      <c r="N749" s="65"/>
      <c r="O749" s="65"/>
      <c r="P749" s="65" t="b">
        <f>COUNTIF('Delivered SIR'!A:A, E749) &gt; 0</f>
        <v>0</v>
      </c>
    </row>
    <row r="750">
      <c r="A750" s="61"/>
      <c r="B750" s="61"/>
      <c r="C750" s="61"/>
      <c r="D750" s="61"/>
      <c r="E750" s="61"/>
      <c r="F750" s="61"/>
      <c r="G750" s="61"/>
      <c r="H750" s="61"/>
      <c r="I750" s="61"/>
      <c r="J750" s="107"/>
      <c r="K750" s="107"/>
      <c r="L750" s="61"/>
      <c r="M750" s="61"/>
      <c r="N750" s="61"/>
      <c r="O750" s="61"/>
      <c r="P750" s="61" t="b">
        <f>COUNTIF('Delivered SIR'!A:A, E750) &gt; 0</f>
        <v>0</v>
      </c>
    </row>
    <row r="751">
      <c r="A751" s="65"/>
      <c r="B751" s="65"/>
      <c r="C751" s="65"/>
      <c r="D751" s="65"/>
      <c r="E751" s="65"/>
      <c r="F751" s="65"/>
      <c r="G751" s="65"/>
      <c r="H751" s="65"/>
      <c r="I751" s="65"/>
      <c r="J751" s="108"/>
      <c r="K751" s="108"/>
      <c r="L751" s="65"/>
      <c r="M751" s="65"/>
      <c r="N751" s="65"/>
      <c r="O751" s="65"/>
      <c r="P751" s="65" t="b">
        <f>COUNTIF('Delivered SIR'!A:A, E751) &gt; 0</f>
        <v>0</v>
      </c>
    </row>
    <row r="752">
      <c r="A752" s="61"/>
      <c r="B752" s="61"/>
      <c r="C752" s="61"/>
      <c r="D752" s="61"/>
      <c r="E752" s="61"/>
      <c r="F752" s="61"/>
      <c r="G752" s="61"/>
      <c r="H752" s="61"/>
      <c r="I752" s="61"/>
      <c r="J752" s="107"/>
      <c r="K752" s="107"/>
      <c r="L752" s="61"/>
      <c r="M752" s="61"/>
      <c r="N752" s="61"/>
      <c r="O752" s="61"/>
      <c r="P752" s="61" t="b">
        <f>COUNTIF('Delivered SIR'!A:A, E752) &gt; 0</f>
        <v>0</v>
      </c>
    </row>
    <row r="753">
      <c r="A753" s="65"/>
      <c r="B753" s="65"/>
      <c r="C753" s="65"/>
      <c r="D753" s="65"/>
      <c r="E753" s="65"/>
      <c r="F753" s="65"/>
      <c r="G753" s="65"/>
      <c r="H753" s="65"/>
      <c r="I753" s="65"/>
      <c r="J753" s="108"/>
      <c r="K753" s="108"/>
      <c r="L753" s="65"/>
      <c r="M753" s="65"/>
      <c r="N753" s="65"/>
      <c r="O753" s="65"/>
      <c r="P753" s="65" t="b">
        <f>COUNTIF('Delivered SIR'!A:A, E753) &gt; 0</f>
        <v>0</v>
      </c>
    </row>
    <row r="754">
      <c r="A754" s="61"/>
      <c r="B754" s="61"/>
      <c r="C754" s="61"/>
      <c r="D754" s="61"/>
      <c r="E754" s="61"/>
      <c r="F754" s="61"/>
      <c r="G754" s="61"/>
      <c r="H754" s="61"/>
      <c r="I754" s="61"/>
      <c r="J754" s="107"/>
      <c r="K754" s="107"/>
      <c r="L754" s="61"/>
      <c r="M754" s="61"/>
      <c r="N754" s="61"/>
      <c r="O754" s="61"/>
      <c r="P754" s="61" t="b">
        <f>COUNTIF('Delivered SIR'!A:A, E754) &gt; 0</f>
        <v>0</v>
      </c>
    </row>
    <row r="755">
      <c r="A755" s="65"/>
      <c r="B755" s="65"/>
      <c r="C755" s="65"/>
      <c r="D755" s="65"/>
      <c r="E755" s="65"/>
      <c r="F755" s="65"/>
      <c r="G755" s="65"/>
      <c r="H755" s="65"/>
      <c r="I755" s="65"/>
      <c r="J755" s="108"/>
      <c r="K755" s="108"/>
      <c r="L755" s="65"/>
      <c r="M755" s="65"/>
      <c r="N755" s="65"/>
      <c r="O755" s="65"/>
      <c r="P755" s="65" t="b">
        <f>COUNTIF('Delivered SIR'!A:A, E755) &gt; 0</f>
        <v>0</v>
      </c>
    </row>
    <row r="756">
      <c r="A756" s="61"/>
      <c r="B756" s="61"/>
      <c r="C756" s="61"/>
      <c r="D756" s="61"/>
      <c r="E756" s="61"/>
      <c r="F756" s="61"/>
      <c r="G756" s="61"/>
      <c r="H756" s="61"/>
      <c r="I756" s="61"/>
      <c r="J756" s="107"/>
      <c r="K756" s="107"/>
      <c r="L756" s="61"/>
      <c r="M756" s="61"/>
      <c r="N756" s="61"/>
      <c r="O756" s="61"/>
      <c r="P756" s="61" t="b">
        <f>COUNTIF('Delivered SIR'!A:A, E756) &gt; 0</f>
        <v>0</v>
      </c>
    </row>
    <row r="757">
      <c r="A757" s="65"/>
      <c r="B757" s="65"/>
      <c r="C757" s="65"/>
      <c r="D757" s="65"/>
      <c r="E757" s="65"/>
      <c r="F757" s="65"/>
      <c r="G757" s="65"/>
      <c r="H757" s="65"/>
      <c r="I757" s="65"/>
      <c r="J757" s="108"/>
      <c r="K757" s="108"/>
      <c r="L757" s="65"/>
      <c r="M757" s="65"/>
      <c r="N757" s="65"/>
      <c r="O757" s="65"/>
      <c r="P757" s="65" t="b">
        <f>COUNTIF('Delivered SIR'!A:A, E757) &gt; 0</f>
        <v>0</v>
      </c>
    </row>
    <row r="758">
      <c r="A758" s="61"/>
      <c r="B758" s="61"/>
      <c r="C758" s="61"/>
      <c r="D758" s="61"/>
      <c r="E758" s="61"/>
      <c r="F758" s="61"/>
      <c r="G758" s="61"/>
      <c r="H758" s="61"/>
      <c r="I758" s="61"/>
      <c r="J758" s="107"/>
      <c r="K758" s="107"/>
      <c r="L758" s="61"/>
      <c r="M758" s="61"/>
      <c r="N758" s="61"/>
      <c r="O758" s="61"/>
      <c r="P758" s="61" t="b">
        <f>COUNTIF('Delivered SIR'!A:A, E758) &gt; 0</f>
        <v>0</v>
      </c>
    </row>
    <row r="759">
      <c r="A759" s="65"/>
      <c r="B759" s="65"/>
      <c r="C759" s="65"/>
      <c r="D759" s="65"/>
      <c r="E759" s="65"/>
      <c r="F759" s="65"/>
      <c r="G759" s="65"/>
      <c r="H759" s="65"/>
      <c r="I759" s="65"/>
      <c r="J759" s="108"/>
      <c r="K759" s="108"/>
      <c r="L759" s="65"/>
      <c r="M759" s="65"/>
      <c r="N759" s="65"/>
      <c r="O759" s="65"/>
      <c r="P759" s="65" t="b">
        <f>COUNTIF('Delivered SIR'!A:A, E759) &gt; 0</f>
        <v>0</v>
      </c>
    </row>
    <row r="760">
      <c r="A760" s="61"/>
      <c r="B760" s="61"/>
      <c r="C760" s="61"/>
      <c r="D760" s="61"/>
      <c r="E760" s="61"/>
      <c r="F760" s="61"/>
      <c r="G760" s="61"/>
      <c r="H760" s="61"/>
      <c r="I760" s="61"/>
      <c r="J760" s="107"/>
      <c r="K760" s="107"/>
      <c r="L760" s="61"/>
      <c r="M760" s="61"/>
      <c r="N760" s="61"/>
      <c r="O760" s="61"/>
      <c r="P760" s="61" t="b">
        <f>COUNTIF('Delivered SIR'!A:A, E760) &gt; 0</f>
        <v>0</v>
      </c>
    </row>
    <row r="761">
      <c r="A761" s="65"/>
      <c r="B761" s="65"/>
      <c r="C761" s="65"/>
      <c r="D761" s="65"/>
      <c r="E761" s="65"/>
      <c r="F761" s="65"/>
      <c r="G761" s="65"/>
      <c r="H761" s="65"/>
      <c r="I761" s="65"/>
      <c r="J761" s="108"/>
      <c r="K761" s="108"/>
      <c r="L761" s="65"/>
      <c r="M761" s="65"/>
      <c r="N761" s="65"/>
      <c r="O761" s="65"/>
      <c r="P761" s="65" t="b">
        <f>COUNTIF('Delivered SIR'!A:A, E761) &gt; 0</f>
        <v>0</v>
      </c>
    </row>
    <row r="762">
      <c r="A762" s="61"/>
      <c r="B762" s="61"/>
      <c r="C762" s="61"/>
      <c r="D762" s="61"/>
      <c r="E762" s="61"/>
      <c r="F762" s="61"/>
      <c r="G762" s="61"/>
      <c r="H762" s="61"/>
      <c r="I762" s="61"/>
      <c r="J762" s="107"/>
      <c r="K762" s="107"/>
      <c r="L762" s="61"/>
      <c r="M762" s="61"/>
      <c r="N762" s="61"/>
      <c r="O762" s="61"/>
      <c r="P762" s="61" t="b">
        <f>COUNTIF('Delivered SIR'!A:A, E762) &gt; 0</f>
        <v>0</v>
      </c>
    </row>
    <row r="763">
      <c r="A763" s="65"/>
      <c r="B763" s="65"/>
      <c r="C763" s="65"/>
      <c r="D763" s="65"/>
      <c r="E763" s="65"/>
      <c r="F763" s="65"/>
      <c r="G763" s="65"/>
      <c r="H763" s="65"/>
      <c r="I763" s="65"/>
      <c r="J763" s="108"/>
      <c r="K763" s="108"/>
      <c r="L763" s="65"/>
      <c r="M763" s="65"/>
      <c r="N763" s="65"/>
      <c r="O763" s="65"/>
      <c r="P763" s="65" t="b">
        <f>COUNTIF('Delivered SIR'!A:A, E763) &gt; 0</f>
        <v>0</v>
      </c>
    </row>
    <row r="764">
      <c r="A764" s="61"/>
      <c r="B764" s="61"/>
      <c r="C764" s="61"/>
      <c r="D764" s="61"/>
      <c r="E764" s="61"/>
      <c r="F764" s="61"/>
      <c r="G764" s="61"/>
      <c r="H764" s="61"/>
      <c r="I764" s="61"/>
      <c r="J764" s="107"/>
      <c r="K764" s="107"/>
      <c r="L764" s="61"/>
      <c r="M764" s="61"/>
      <c r="N764" s="61"/>
      <c r="O764" s="61"/>
      <c r="P764" s="61" t="b">
        <f>COUNTIF('Delivered SIR'!A:A, E764) &gt; 0</f>
        <v>0</v>
      </c>
    </row>
    <row r="765">
      <c r="A765" s="65"/>
      <c r="B765" s="65"/>
      <c r="C765" s="65"/>
      <c r="D765" s="65"/>
      <c r="E765" s="65"/>
      <c r="F765" s="65"/>
      <c r="G765" s="65"/>
      <c r="H765" s="65"/>
      <c r="I765" s="65"/>
      <c r="J765" s="108"/>
      <c r="K765" s="108"/>
      <c r="L765" s="65"/>
      <c r="M765" s="65"/>
      <c r="N765" s="65"/>
      <c r="O765" s="65"/>
      <c r="P765" s="65" t="b">
        <f>COUNTIF('Delivered SIR'!A:A, E765) &gt; 0</f>
        <v>0</v>
      </c>
    </row>
    <row r="766">
      <c r="A766" s="61"/>
      <c r="B766" s="61"/>
      <c r="C766" s="61"/>
      <c r="D766" s="61"/>
      <c r="E766" s="61"/>
      <c r="F766" s="61"/>
      <c r="G766" s="61"/>
      <c r="H766" s="61"/>
      <c r="I766" s="61"/>
      <c r="J766" s="107"/>
      <c r="K766" s="107"/>
      <c r="L766" s="61"/>
      <c r="M766" s="61"/>
      <c r="N766" s="61"/>
      <c r="O766" s="61"/>
      <c r="P766" s="61" t="b">
        <f>COUNTIF('Delivered SIR'!A:A, E766) &gt; 0</f>
        <v>0</v>
      </c>
    </row>
    <row r="767">
      <c r="A767" s="65"/>
      <c r="B767" s="65"/>
      <c r="C767" s="65"/>
      <c r="D767" s="65"/>
      <c r="E767" s="65"/>
      <c r="F767" s="65"/>
      <c r="G767" s="65"/>
      <c r="H767" s="65"/>
      <c r="I767" s="65"/>
      <c r="J767" s="108"/>
      <c r="K767" s="108"/>
      <c r="L767" s="65"/>
      <c r="M767" s="65"/>
      <c r="N767" s="65"/>
      <c r="O767" s="65"/>
      <c r="P767" s="65" t="b">
        <f>COUNTIF('Delivered SIR'!A:A, E767) &gt; 0</f>
        <v>0</v>
      </c>
    </row>
    <row r="768">
      <c r="A768" s="61"/>
      <c r="B768" s="61"/>
      <c r="C768" s="61"/>
      <c r="D768" s="61"/>
      <c r="E768" s="61"/>
      <c r="F768" s="61"/>
      <c r="G768" s="61"/>
      <c r="H768" s="61"/>
      <c r="I768" s="61"/>
      <c r="J768" s="107"/>
      <c r="K768" s="107"/>
      <c r="L768" s="61"/>
      <c r="M768" s="61"/>
      <c r="N768" s="61"/>
      <c r="O768" s="61"/>
      <c r="P768" s="61" t="b">
        <f>COUNTIF('Delivered SIR'!A:A, E768) &gt; 0</f>
        <v>0</v>
      </c>
    </row>
    <row r="769">
      <c r="A769" s="65"/>
      <c r="B769" s="65"/>
      <c r="C769" s="65"/>
      <c r="D769" s="65"/>
      <c r="E769" s="65"/>
      <c r="F769" s="65"/>
      <c r="G769" s="65"/>
      <c r="H769" s="65"/>
      <c r="I769" s="65"/>
      <c r="J769" s="108"/>
      <c r="K769" s="108"/>
      <c r="L769" s="65"/>
      <c r="M769" s="65"/>
      <c r="N769" s="65"/>
      <c r="O769" s="65"/>
      <c r="P769" s="65" t="b">
        <f>COUNTIF('Delivered SIR'!A:A, E769) &gt; 0</f>
        <v>0</v>
      </c>
    </row>
    <row r="770">
      <c r="A770" s="61"/>
      <c r="B770" s="61"/>
      <c r="C770" s="61"/>
      <c r="D770" s="61"/>
      <c r="E770" s="61"/>
      <c r="F770" s="61"/>
      <c r="G770" s="61"/>
      <c r="H770" s="61"/>
      <c r="I770" s="61"/>
      <c r="J770" s="107"/>
      <c r="K770" s="107"/>
      <c r="L770" s="61"/>
      <c r="M770" s="61"/>
      <c r="N770" s="61"/>
      <c r="O770" s="61"/>
      <c r="P770" s="61" t="b">
        <f>COUNTIF('Delivered SIR'!A:A, E770) &gt; 0</f>
        <v>0</v>
      </c>
    </row>
    <row r="771">
      <c r="A771" s="65"/>
      <c r="B771" s="65"/>
      <c r="C771" s="65"/>
      <c r="D771" s="65"/>
      <c r="E771" s="65"/>
      <c r="F771" s="65"/>
      <c r="G771" s="65"/>
      <c r="H771" s="65"/>
      <c r="I771" s="65"/>
      <c r="J771" s="108"/>
      <c r="K771" s="108"/>
      <c r="L771" s="65"/>
      <c r="M771" s="65"/>
      <c r="N771" s="65"/>
      <c r="O771" s="65"/>
      <c r="P771" s="65" t="b">
        <f>COUNTIF('Delivered SIR'!A:A, E771) &gt; 0</f>
        <v>0</v>
      </c>
    </row>
    <row r="772">
      <c r="A772" s="61"/>
      <c r="B772" s="61"/>
      <c r="C772" s="61"/>
      <c r="D772" s="61"/>
      <c r="E772" s="61"/>
      <c r="F772" s="61"/>
      <c r="G772" s="61"/>
      <c r="H772" s="61"/>
      <c r="I772" s="61"/>
      <c r="J772" s="107"/>
      <c r="K772" s="107"/>
      <c r="L772" s="61"/>
      <c r="M772" s="61"/>
      <c r="N772" s="61"/>
      <c r="O772" s="61"/>
      <c r="P772" s="61" t="b">
        <f>COUNTIF('Delivered SIR'!A:A, E772) &gt; 0</f>
        <v>0</v>
      </c>
    </row>
    <row r="773">
      <c r="A773" s="65"/>
      <c r="B773" s="65"/>
      <c r="C773" s="65"/>
      <c r="D773" s="65"/>
      <c r="E773" s="65"/>
      <c r="F773" s="65"/>
      <c r="G773" s="65"/>
      <c r="H773" s="65"/>
      <c r="I773" s="65"/>
      <c r="J773" s="108"/>
      <c r="K773" s="108"/>
      <c r="L773" s="65"/>
      <c r="M773" s="65"/>
      <c r="N773" s="65"/>
      <c r="O773" s="65"/>
      <c r="P773" s="65" t="b">
        <f>COUNTIF('Delivered SIR'!A:A, E773) &gt; 0</f>
        <v>0</v>
      </c>
    </row>
    <row r="774">
      <c r="A774" s="61"/>
      <c r="B774" s="61"/>
      <c r="C774" s="61"/>
      <c r="D774" s="61"/>
      <c r="E774" s="61"/>
      <c r="F774" s="61"/>
      <c r="G774" s="61"/>
      <c r="H774" s="61"/>
      <c r="I774" s="61"/>
      <c r="J774" s="107"/>
      <c r="K774" s="107"/>
      <c r="L774" s="61"/>
      <c r="M774" s="61"/>
      <c r="N774" s="61"/>
      <c r="O774" s="61"/>
      <c r="P774" s="61" t="b">
        <f>COUNTIF('Delivered SIR'!A:A, E774) &gt; 0</f>
        <v>0</v>
      </c>
    </row>
    <row r="775">
      <c r="A775" s="65"/>
      <c r="B775" s="65"/>
      <c r="C775" s="65"/>
      <c r="D775" s="65"/>
      <c r="E775" s="65"/>
      <c r="F775" s="65"/>
      <c r="G775" s="65"/>
      <c r="H775" s="65"/>
      <c r="I775" s="65"/>
      <c r="J775" s="108"/>
      <c r="K775" s="108"/>
      <c r="L775" s="65"/>
      <c r="M775" s="65"/>
      <c r="N775" s="65"/>
      <c r="O775" s="65"/>
      <c r="P775" s="65" t="b">
        <f>COUNTIF('Delivered SIR'!A:A, E775) &gt; 0</f>
        <v>0</v>
      </c>
    </row>
    <row r="776">
      <c r="A776" s="61"/>
      <c r="B776" s="61"/>
      <c r="C776" s="61"/>
      <c r="D776" s="61"/>
      <c r="E776" s="61"/>
      <c r="F776" s="61"/>
      <c r="G776" s="61"/>
      <c r="H776" s="61"/>
      <c r="I776" s="61"/>
      <c r="J776" s="107"/>
      <c r="K776" s="107"/>
      <c r="L776" s="61"/>
      <c r="M776" s="61"/>
      <c r="N776" s="61"/>
      <c r="O776" s="61"/>
      <c r="P776" s="61" t="b">
        <f>COUNTIF('Delivered SIR'!A:A, E776) &gt; 0</f>
        <v>0</v>
      </c>
    </row>
    <row r="777">
      <c r="A777" s="65"/>
      <c r="B777" s="65"/>
      <c r="C777" s="65"/>
      <c r="D777" s="65"/>
      <c r="E777" s="65"/>
      <c r="F777" s="65"/>
      <c r="G777" s="65"/>
      <c r="H777" s="65"/>
      <c r="I777" s="65"/>
      <c r="J777" s="108"/>
      <c r="K777" s="108"/>
      <c r="L777" s="65"/>
      <c r="M777" s="65"/>
      <c r="N777" s="65"/>
      <c r="O777" s="65"/>
      <c r="P777" s="65" t="b">
        <f>COUNTIF('Delivered SIR'!A:A, E777) &gt; 0</f>
        <v>0</v>
      </c>
    </row>
    <row r="778">
      <c r="A778" s="61"/>
      <c r="B778" s="61"/>
      <c r="C778" s="61"/>
      <c r="D778" s="61"/>
      <c r="E778" s="61"/>
      <c r="F778" s="61"/>
      <c r="G778" s="61"/>
      <c r="H778" s="61"/>
      <c r="I778" s="61"/>
      <c r="J778" s="107"/>
      <c r="K778" s="107"/>
      <c r="L778" s="61"/>
      <c r="M778" s="61"/>
      <c r="N778" s="61"/>
      <c r="O778" s="61"/>
      <c r="P778" s="61" t="b">
        <f>COUNTIF('Delivered SIR'!A:A, E778) &gt; 0</f>
        <v>0</v>
      </c>
    </row>
    <row r="779">
      <c r="A779" s="65"/>
      <c r="B779" s="65"/>
      <c r="C779" s="65"/>
      <c r="D779" s="65"/>
      <c r="E779" s="65"/>
      <c r="F779" s="65"/>
      <c r="G779" s="65"/>
      <c r="H779" s="65"/>
      <c r="I779" s="65"/>
      <c r="J779" s="108"/>
      <c r="K779" s="108"/>
      <c r="L779" s="65"/>
      <c r="M779" s="65"/>
      <c r="N779" s="65"/>
      <c r="O779" s="65"/>
      <c r="P779" s="65" t="b">
        <f>COUNTIF('Delivered SIR'!A:A, E779) &gt; 0</f>
        <v>0</v>
      </c>
    </row>
    <row r="780">
      <c r="A780" s="61"/>
      <c r="B780" s="61"/>
      <c r="C780" s="61"/>
      <c r="D780" s="61"/>
      <c r="E780" s="61"/>
      <c r="F780" s="61"/>
      <c r="G780" s="61"/>
      <c r="H780" s="61"/>
      <c r="I780" s="61"/>
      <c r="J780" s="107"/>
      <c r="K780" s="107"/>
      <c r="L780" s="61"/>
      <c r="M780" s="61"/>
      <c r="N780" s="61"/>
      <c r="O780" s="61"/>
      <c r="P780" s="61" t="b">
        <f>COUNTIF('Delivered SIR'!A:A, E780) &gt; 0</f>
        <v>0</v>
      </c>
    </row>
    <row r="781">
      <c r="A781" s="65"/>
      <c r="B781" s="65"/>
      <c r="C781" s="65"/>
      <c r="D781" s="65"/>
      <c r="E781" s="65"/>
      <c r="F781" s="65"/>
      <c r="G781" s="65"/>
      <c r="H781" s="65"/>
      <c r="I781" s="65"/>
      <c r="J781" s="108"/>
      <c r="K781" s="108"/>
      <c r="L781" s="65"/>
      <c r="M781" s="65"/>
      <c r="N781" s="65"/>
      <c r="O781" s="65"/>
      <c r="P781" s="65" t="b">
        <f>COUNTIF('Delivered SIR'!A:A, E781) &gt; 0</f>
        <v>0</v>
      </c>
    </row>
    <row r="782">
      <c r="A782" s="61"/>
      <c r="B782" s="61"/>
      <c r="C782" s="61"/>
      <c r="D782" s="61"/>
      <c r="E782" s="61"/>
      <c r="F782" s="61"/>
      <c r="G782" s="61"/>
      <c r="H782" s="61"/>
      <c r="I782" s="61"/>
      <c r="J782" s="107"/>
      <c r="K782" s="107"/>
      <c r="L782" s="61"/>
      <c r="M782" s="61"/>
      <c r="N782" s="61"/>
      <c r="O782" s="61"/>
      <c r="P782" s="61" t="b">
        <f>COUNTIF('Delivered SIR'!A:A, E782) &gt; 0</f>
        <v>0</v>
      </c>
    </row>
    <row r="783">
      <c r="A783" s="65"/>
      <c r="B783" s="65"/>
      <c r="C783" s="65"/>
      <c r="D783" s="65"/>
      <c r="E783" s="65"/>
      <c r="F783" s="65"/>
      <c r="G783" s="65"/>
      <c r="H783" s="65"/>
      <c r="I783" s="65"/>
      <c r="J783" s="108"/>
      <c r="K783" s="108"/>
      <c r="L783" s="65"/>
      <c r="M783" s="65"/>
      <c r="N783" s="65"/>
      <c r="O783" s="65"/>
      <c r="P783" s="65" t="b">
        <f>COUNTIF('Delivered SIR'!A:A, E783) &gt; 0</f>
        <v>0</v>
      </c>
    </row>
    <row r="784">
      <c r="A784" s="61"/>
      <c r="B784" s="61"/>
      <c r="C784" s="61"/>
      <c r="D784" s="61"/>
      <c r="E784" s="61"/>
      <c r="F784" s="61"/>
      <c r="G784" s="61"/>
      <c r="H784" s="61"/>
      <c r="I784" s="61"/>
      <c r="J784" s="107"/>
      <c r="K784" s="107"/>
      <c r="L784" s="61"/>
      <c r="M784" s="61"/>
      <c r="N784" s="61"/>
      <c r="O784" s="61"/>
      <c r="P784" s="61" t="b">
        <f>COUNTIF('Delivered SIR'!A:A, E784) &gt; 0</f>
        <v>0</v>
      </c>
    </row>
    <row r="785">
      <c r="A785" s="65"/>
      <c r="B785" s="65"/>
      <c r="C785" s="65"/>
      <c r="D785" s="65"/>
      <c r="E785" s="65"/>
      <c r="F785" s="65"/>
      <c r="G785" s="65"/>
      <c r="H785" s="65"/>
      <c r="I785" s="65"/>
      <c r="J785" s="108"/>
      <c r="K785" s="108"/>
      <c r="L785" s="65"/>
      <c r="M785" s="65"/>
      <c r="N785" s="65"/>
      <c r="O785" s="65"/>
      <c r="P785" s="65" t="b">
        <f>COUNTIF('Delivered SIR'!A:A, E785) &gt; 0</f>
        <v>0</v>
      </c>
    </row>
    <row r="786">
      <c r="A786" s="61"/>
      <c r="B786" s="61"/>
      <c r="C786" s="61"/>
      <c r="D786" s="61"/>
      <c r="E786" s="61"/>
      <c r="F786" s="61"/>
      <c r="G786" s="61"/>
      <c r="H786" s="61"/>
      <c r="I786" s="61"/>
      <c r="J786" s="107"/>
      <c r="K786" s="107"/>
      <c r="L786" s="61"/>
      <c r="M786" s="61"/>
      <c r="N786" s="61"/>
      <c r="O786" s="61"/>
      <c r="P786" s="61" t="b">
        <f>COUNTIF('Delivered SIR'!A:A, E786) &gt; 0</f>
        <v>0</v>
      </c>
    </row>
    <row r="787">
      <c r="A787" s="65"/>
      <c r="B787" s="65"/>
      <c r="C787" s="65"/>
      <c r="D787" s="65"/>
      <c r="E787" s="65"/>
      <c r="F787" s="65"/>
      <c r="G787" s="65"/>
      <c r="H787" s="65"/>
      <c r="I787" s="65"/>
      <c r="J787" s="108"/>
      <c r="K787" s="108"/>
      <c r="L787" s="65"/>
      <c r="M787" s="65"/>
      <c r="N787" s="65"/>
      <c r="O787" s="65"/>
      <c r="P787" s="65" t="b">
        <f>COUNTIF('Delivered SIR'!A:A, E787) &gt; 0</f>
        <v>0</v>
      </c>
    </row>
    <row r="788">
      <c r="A788" s="61"/>
      <c r="B788" s="61"/>
      <c r="C788" s="61"/>
      <c r="D788" s="61"/>
      <c r="E788" s="61"/>
      <c r="F788" s="61"/>
      <c r="G788" s="61"/>
      <c r="H788" s="61"/>
      <c r="I788" s="61"/>
      <c r="J788" s="107"/>
      <c r="K788" s="107"/>
      <c r="L788" s="61"/>
      <c r="M788" s="61"/>
      <c r="N788" s="61"/>
      <c r="O788" s="61"/>
      <c r="P788" s="61" t="b">
        <f>COUNTIF('Delivered SIR'!A:A, E788) &gt; 0</f>
        <v>0</v>
      </c>
    </row>
    <row r="789">
      <c r="A789" s="65"/>
      <c r="B789" s="65"/>
      <c r="C789" s="65"/>
      <c r="D789" s="65"/>
      <c r="E789" s="65"/>
      <c r="F789" s="65"/>
      <c r="G789" s="65"/>
      <c r="H789" s="65"/>
      <c r="I789" s="65"/>
      <c r="J789" s="108"/>
      <c r="K789" s="108"/>
      <c r="L789" s="65"/>
      <c r="M789" s="65"/>
      <c r="N789" s="65"/>
      <c r="O789" s="65"/>
      <c r="P789" s="65" t="b">
        <f>COUNTIF('Delivered SIR'!A:A, E789) &gt; 0</f>
        <v>0</v>
      </c>
    </row>
    <row r="790">
      <c r="A790" s="61"/>
      <c r="B790" s="61"/>
      <c r="C790" s="61"/>
      <c r="D790" s="61"/>
      <c r="E790" s="61"/>
      <c r="F790" s="61"/>
      <c r="G790" s="61"/>
      <c r="H790" s="61"/>
      <c r="I790" s="61"/>
      <c r="J790" s="107"/>
      <c r="K790" s="107"/>
      <c r="L790" s="61"/>
      <c r="M790" s="61"/>
      <c r="N790" s="61"/>
      <c r="O790" s="61"/>
      <c r="P790" s="61" t="b">
        <f>COUNTIF('Delivered SIR'!A:A, E790) &gt; 0</f>
        <v>0</v>
      </c>
    </row>
    <row r="791">
      <c r="A791" s="65"/>
      <c r="B791" s="65"/>
      <c r="C791" s="65"/>
      <c r="D791" s="65"/>
      <c r="E791" s="65"/>
      <c r="F791" s="65"/>
      <c r="G791" s="65"/>
      <c r="H791" s="65"/>
      <c r="I791" s="65"/>
      <c r="J791" s="108"/>
      <c r="K791" s="108"/>
      <c r="L791" s="65"/>
      <c r="M791" s="65"/>
      <c r="N791" s="65"/>
      <c r="O791" s="65"/>
      <c r="P791" s="65" t="b">
        <f>COUNTIF('Delivered SIR'!A:A, E791) &gt; 0</f>
        <v>0</v>
      </c>
    </row>
    <row r="792">
      <c r="A792" s="61"/>
      <c r="B792" s="61"/>
      <c r="C792" s="61"/>
      <c r="D792" s="61"/>
      <c r="E792" s="61"/>
      <c r="F792" s="61"/>
      <c r="G792" s="61"/>
      <c r="H792" s="61"/>
      <c r="I792" s="61"/>
      <c r="J792" s="107"/>
      <c r="K792" s="107"/>
      <c r="L792" s="61"/>
      <c r="M792" s="61"/>
      <c r="N792" s="61"/>
      <c r="O792" s="61"/>
      <c r="P792" s="61" t="b">
        <f>COUNTIF('Delivered SIR'!A:A, E792) &gt; 0</f>
        <v>0</v>
      </c>
    </row>
    <row r="793">
      <c r="A793" s="65"/>
      <c r="B793" s="65"/>
      <c r="C793" s="65"/>
      <c r="D793" s="65"/>
      <c r="E793" s="65"/>
      <c r="F793" s="65"/>
      <c r="G793" s="65"/>
      <c r="H793" s="65"/>
      <c r="I793" s="65"/>
      <c r="J793" s="108"/>
      <c r="K793" s="108"/>
      <c r="L793" s="65"/>
      <c r="M793" s="65"/>
      <c r="N793" s="65"/>
      <c r="O793" s="65"/>
      <c r="P793" s="65" t="b">
        <f>COUNTIF('Delivered SIR'!A:A, E793) &gt; 0</f>
        <v>0</v>
      </c>
    </row>
    <row r="794">
      <c r="A794" s="61"/>
      <c r="B794" s="61"/>
      <c r="C794" s="61"/>
      <c r="D794" s="61"/>
      <c r="E794" s="61"/>
      <c r="F794" s="61"/>
      <c r="G794" s="61"/>
      <c r="H794" s="61"/>
      <c r="I794" s="61"/>
      <c r="J794" s="107"/>
      <c r="K794" s="107"/>
      <c r="L794" s="61"/>
      <c r="M794" s="61"/>
      <c r="N794" s="61"/>
      <c r="O794" s="61"/>
      <c r="P794" s="61" t="b">
        <f>COUNTIF('Delivered SIR'!A:A, E794) &gt; 0</f>
        <v>0</v>
      </c>
    </row>
    <row r="795">
      <c r="A795" s="65"/>
      <c r="B795" s="65"/>
      <c r="C795" s="65"/>
      <c r="D795" s="65"/>
      <c r="E795" s="65"/>
      <c r="F795" s="65"/>
      <c r="G795" s="65"/>
      <c r="H795" s="65"/>
      <c r="I795" s="65"/>
      <c r="J795" s="108"/>
      <c r="K795" s="108"/>
      <c r="L795" s="65"/>
      <c r="M795" s="65"/>
      <c r="N795" s="65"/>
      <c r="O795" s="65"/>
      <c r="P795" s="65" t="b">
        <f>COUNTIF('Delivered SIR'!A:A, E795) &gt; 0</f>
        <v>0</v>
      </c>
    </row>
    <row r="796">
      <c r="A796" s="61"/>
      <c r="B796" s="61"/>
      <c r="C796" s="61"/>
      <c r="D796" s="61"/>
      <c r="E796" s="61"/>
      <c r="F796" s="61"/>
      <c r="G796" s="61"/>
      <c r="H796" s="61"/>
      <c r="I796" s="61"/>
      <c r="J796" s="107"/>
      <c r="K796" s="107"/>
      <c r="L796" s="61"/>
      <c r="M796" s="61"/>
      <c r="N796" s="61"/>
      <c r="O796" s="61"/>
      <c r="P796" s="61" t="b">
        <f>COUNTIF('Delivered SIR'!A:A, E796) &gt; 0</f>
        <v>0</v>
      </c>
    </row>
    <row r="797">
      <c r="A797" s="65"/>
      <c r="B797" s="65"/>
      <c r="C797" s="65"/>
      <c r="D797" s="65"/>
      <c r="E797" s="65"/>
      <c r="F797" s="65"/>
      <c r="G797" s="65"/>
      <c r="H797" s="65"/>
      <c r="I797" s="65"/>
      <c r="J797" s="108"/>
      <c r="K797" s="108"/>
      <c r="L797" s="65"/>
      <c r="M797" s="65"/>
      <c r="N797" s="65"/>
      <c r="O797" s="65"/>
      <c r="P797" s="65" t="b">
        <f>COUNTIF('Delivered SIR'!A:A, E797) &gt; 0</f>
        <v>0</v>
      </c>
    </row>
    <row r="798">
      <c r="A798" s="61"/>
      <c r="B798" s="61"/>
      <c r="C798" s="61"/>
      <c r="D798" s="61"/>
      <c r="E798" s="61"/>
      <c r="F798" s="61"/>
      <c r="G798" s="61"/>
      <c r="H798" s="61"/>
      <c r="I798" s="61"/>
      <c r="J798" s="107"/>
      <c r="K798" s="107"/>
      <c r="L798" s="61"/>
      <c r="M798" s="61"/>
      <c r="N798" s="61"/>
      <c r="O798" s="61"/>
      <c r="P798" s="61" t="b">
        <f>COUNTIF('Delivered SIR'!A:A, E798) &gt; 0</f>
        <v>0</v>
      </c>
    </row>
    <row r="799">
      <c r="A799" s="65"/>
      <c r="B799" s="65"/>
      <c r="C799" s="65"/>
      <c r="D799" s="65"/>
      <c r="E799" s="65"/>
      <c r="F799" s="65"/>
      <c r="G799" s="65"/>
      <c r="H799" s="65"/>
      <c r="I799" s="65"/>
      <c r="J799" s="108"/>
      <c r="K799" s="108"/>
      <c r="L799" s="65"/>
      <c r="M799" s="65"/>
      <c r="N799" s="65"/>
      <c r="O799" s="65"/>
      <c r="P799" s="65" t="b">
        <f>COUNTIF('Delivered SIR'!A:A, E799) &gt; 0</f>
        <v>0</v>
      </c>
    </row>
    <row r="800">
      <c r="A800" s="61"/>
      <c r="B800" s="61"/>
      <c r="C800" s="61"/>
      <c r="D800" s="61"/>
      <c r="E800" s="61"/>
      <c r="F800" s="61"/>
      <c r="G800" s="61"/>
      <c r="H800" s="61"/>
      <c r="I800" s="61"/>
      <c r="J800" s="107"/>
      <c r="K800" s="107"/>
      <c r="L800" s="61"/>
      <c r="M800" s="61"/>
      <c r="N800" s="61"/>
      <c r="O800" s="61"/>
      <c r="P800" s="61" t="b">
        <f>COUNTIF('Delivered SIR'!A:A, E800) &gt; 0</f>
        <v>0</v>
      </c>
    </row>
    <row r="801">
      <c r="A801" s="65"/>
      <c r="B801" s="65"/>
      <c r="C801" s="65"/>
      <c r="D801" s="65"/>
      <c r="E801" s="65"/>
      <c r="F801" s="65"/>
      <c r="G801" s="65"/>
      <c r="H801" s="65"/>
      <c r="I801" s="65"/>
      <c r="J801" s="108"/>
      <c r="K801" s="108"/>
      <c r="L801" s="65"/>
      <c r="M801" s="65"/>
      <c r="N801" s="65"/>
      <c r="O801" s="65"/>
      <c r="P801" s="65" t="b">
        <f>COUNTIF('Delivered SIR'!A:A, E801) &gt; 0</f>
        <v>0</v>
      </c>
    </row>
    <row r="802">
      <c r="A802" s="61"/>
      <c r="B802" s="61"/>
      <c r="C802" s="61"/>
      <c r="D802" s="61"/>
      <c r="E802" s="61"/>
      <c r="F802" s="61"/>
      <c r="G802" s="61"/>
      <c r="H802" s="61"/>
      <c r="I802" s="61"/>
      <c r="J802" s="107"/>
      <c r="K802" s="107"/>
      <c r="L802" s="61"/>
      <c r="M802" s="61"/>
      <c r="N802" s="61"/>
      <c r="O802" s="61"/>
      <c r="P802" s="61" t="b">
        <f>COUNTIF('Delivered SIR'!A:A, E802) &gt; 0</f>
        <v>0</v>
      </c>
    </row>
    <row r="803">
      <c r="A803" s="65"/>
      <c r="B803" s="65"/>
      <c r="C803" s="65"/>
      <c r="D803" s="65"/>
      <c r="E803" s="65"/>
      <c r="F803" s="65"/>
      <c r="G803" s="65"/>
      <c r="H803" s="65"/>
      <c r="I803" s="65"/>
      <c r="J803" s="108"/>
      <c r="K803" s="108"/>
      <c r="L803" s="65"/>
      <c r="M803" s="65"/>
      <c r="N803" s="65"/>
      <c r="O803" s="65"/>
      <c r="P803" s="65" t="b">
        <f>COUNTIF('Delivered SIR'!A:A, E803) &gt; 0</f>
        <v>0</v>
      </c>
    </row>
    <row r="804">
      <c r="A804" s="61"/>
      <c r="B804" s="61"/>
      <c r="C804" s="61"/>
      <c r="D804" s="61"/>
      <c r="E804" s="61"/>
      <c r="F804" s="61"/>
      <c r="G804" s="61"/>
      <c r="H804" s="61"/>
      <c r="I804" s="61"/>
      <c r="J804" s="107"/>
      <c r="K804" s="107"/>
      <c r="L804" s="61"/>
      <c r="M804" s="61"/>
      <c r="N804" s="61"/>
      <c r="O804" s="61"/>
      <c r="P804" s="61" t="b">
        <f>COUNTIF('Delivered SIR'!A:A, E804) &gt; 0</f>
        <v>0</v>
      </c>
    </row>
    <row r="805">
      <c r="A805" s="65"/>
      <c r="B805" s="65"/>
      <c r="C805" s="65"/>
      <c r="D805" s="65"/>
      <c r="E805" s="65"/>
      <c r="F805" s="65"/>
      <c r="G805" s="65"/>
      <c r="H805" s="65"/>
      <c r="I805" s="65"/>
      <c r="J805" s="108"/>
      <c r="K805" s="108"/>
      <c r="L805" s="65"/>
      <c r="M805" s="65"/>
      <c r="N805" s="65"/>
      <c r="O805" s="65"/>
      <c r="P805" s="65" t="b">
        <f>COUNTIF('Delivered SIR'!A:A, E805) &gt; 0</f>
        <v>0</v>
      </c>
    </row>
    <row r="806">
      <c r="A806" s="61"/>
      <c r="B806" s="61"/>
      <c r="C806" s="61"/>
      <c r="D806" s="61"/>
      <c r="E806" s="61"/>
      <c r="F806" s="61"/>
      <c r="G806" s="61"/>
      <c r="H806" s="61"/>
      <c r="I806" s="61"/>
      <c r="J806" s="107"/>
      <c r="K806" s="107"/>
      <c r="L806" s="61"/>
      <c r="M806" s="61"/>
      <c r="N806" s="61"/>
      <c r="O806" s="61"/>
      <c r="P806" s="61" t="b">
        <f>COUNTIF('Delivered SIR'!A:A, E806) &gt; 0</f>
        <v>0</v>
      </c>
    </row>
    <row r="807">
      <c r="A807" s="65"/>
      <c r="B807" s="65"/>
      <c r="C807" s="65"/>
      <c r="D807" s="65"/>
      <c r="E807" s="65"/>
      <c r="F807" s="65"/>
      <c r="G807" s="65"/>
      <c r="H807" s="65"/>
      <c r="I807" s="65"/>
      <c r="J807" s="108"/>
      <c r="K807" s="108"/>
      <c r="L807" s="65"/>
      <c r="M807" s="65"/>
      <c r="N807" s="65"/>
      <c r="O807" s="65"/>
      <c r="P807" s="65" t="b">
        <f>COUNTIF('Delivered SIR'!A:A, E807) &gt; 0</f>
        <v>0</v>
      </c>
    </row>
    <row r="808">
      <c r="A808" s="61"/>
      <c r="B808" s="61"/>
      <c r="C808" s="61"/>
      <c r="D808" s="61"/>
      <c r="E808" s="61"/>
      <c r="F808" s="61"/>
      <c r="G808" s="61"/>
      <c r="H808" s="61"/>
      <c r="I808" s="61"/>
      <c r="J808" s="107"/>
      <c r="K808" s="107"/>
      <c r="L808" s="61"/>
      <c r="M808" s="61"/>
      <c r="N808" s="61"/>
      <c r="O808" s="61"/>
      <c r="P808" s="61" t="b">
        <f>COUNTIF('Delivered SIR'!A:A, E808) &gt; 0</f>
        <v>0</v>
      </c>
    </row>
    <row r="809">
      <c r="A809" s="65"/>
      <c r="B809" s="65"/>
      <c r="C809" s="65"/>
      <c r="D809" s="65"/>
      <c r="E809" s="65"/>
      <c r="F809" s="65"/>
      <c r="G809" s="65"/>
      <c r="H809" s="65"/>
      <c r="I809" s="65"/>
      <c r="J809" s="108"/>
      <c r="K809" s="108"/>
      <c r="L809" s="65"/>
      <c r="M809" s="65"/>
      <c r="N809" s="65"/>
      <c r="O809" s="65"/>
      <c r="P809" s="65" t="b">
        <f>COUNTIF('Delivered SIR'!A:A, E809) &gt; 0</f>
        <v>0</v>
      </c>
    </row>
    <row r="810">
      <c r="A810" s="61"/>
      <c r="B810" s="61"/>
      <c r="C810" s="61"/>
      <c r="D810" s="61"/>
      <c r="E810" s="61"/>
      <c r="F810" s="61"/>
      <c r="G810" s="61"/>
      <c r="H810" s="61"/>
      <c r="I810" s="61"/>
      <c r="J810" s="107"/>
      <c r="K810" s="107"/>
      <c r="L810" s="61"/>
      <c r="M810" s="61"/>
      <c r="N810" s="61"/>
      <c r="O810" s="61"/>
      <c r="P810" s="61" t="b">
        <f>COUNTIF('Delivered SIR'!A:A, E810) &gt; 0</f>
        <v>0</v>
      </c>
    </row>
    <row r="811">
      <c r="A811" s="65"/>
      <c r="B811" s="65"/>
      <c r="C811" s="65"/>
      <c r="D811" s="65"/>
      <c r="E811" s="65"/>
      <c r="F811" s="65"/>
      <c r="G811" s="65"/>
      <c r="H811" s="65"/>
      <c r="I811" s="65"/>
      <c r="J811" s="108"/>
      <c r="K811" s="108"/>
      <c r="L811" s="65"/>
      <c r="M811" s="65"/>
      <c r="N811" s="65"/>
      <c r="O811" s="65"/>
      <c r="P811" s="65" t="b">
        <f>COUNTIF('Delivered SIR'!A:A, E811) &gt; 0</f>
        <v>0</v>
      </c>
    </row>
    <row r="812">
      <c r="A812" s="61"/>
      <c r="B812" s="61"/>
      <c r="C812" s="61"/>
      <c r="D812" s="61"/>
      <c r="E812" s="61"/>
      <c r="F812" s="61"/>
      <c r="G812" s="61"/>
      <c r="H812" s="61"/>
      <c r="I812" s="61"/>
      <c r="J812" s="107"/>
      <c r="K812" s="107"/>
      <c r="L812" s="61"/>
      <c r="M812" s="61"/>
      <c r="N812" s="61"/>
      <c r="O812" s="61"/>
      <c r="P812" s="61" t="b">
        <f>COUNTIF('Delivered SIR'!A:A, E812) &gt; 0</f>
        <v>0</v>
      </c>
    </row>
    <row r="813">
      <c r="A813" s="65"/>
      <c r="B813" s="65"/>
      <c r="C813" s="65"/>
      <c r="D813" s="65"/>
      <c r="E813" s="65"/>
      <c r="F813" s="65"/>
      <c r="G813" s="65"/>
      <c r="H813" s="65"/>
      <c r="I813" s="65"/>
      <c r="J813" s="108"/>
      <c r="K813" s="108"/>
      <c r="L813" s="65"/>
      <c r="M813" s="65"/>
      <c r="N813" s="65"/>
      <c r="O813" s="65"/>
      <c r="P813" s="65" t="b">
        <f>COUNTIF('Delivered SIR'!A:A, E813) &gt; 0</f>
        <v>0</v>
      </c>
    </row>
    <row r="814">
      <c r="A814" s="61"/>
      <c r="B814" s="61"/>
      <c r="C814" s="61"/>
      <c r="D814" s="61"/>
      <c r="E814" s="61"/>
      <c r="F814" s="61"/>
      <c r="G814" s="61"/>
      <c r="H814" s="61"/>
      <c r="I814" s="61"/>
      <c r="J814" s="107"/>
      <c r="K814" s="107"/>
      <c r="L814" s="61"/>
      <c r="M814" s="61"/>
      <c r="N814" s="61"/>
      <c r="O814" s="61"/>
      <c r="P814" s="61" t="b">
        <f>COUNTIF('Delivered SIR'!A:A, E814) &gt; 0</f>
        <v>0</v>
      </c>
    </row>
    <row r="815">
      <c r="A815" s="65"/>
      <c r="B815" s="65"/>
      <c r="C815" s="65"/>
      <c r="D815" s="65"/>
      <c r="E815" s="65"/>
      <c r="F815" s="65"/>
      <c r="G815" s="65"/>
      <c r="H815" s="65"/>
      <c r="I815" s="65"/>
      <c r="J815" s="108"/>
      <c r="K815" s="108"/>
      <c r="L815" s="65"/>
      <c r="M815" s="65"/>
      <c r="N815" s="65"/>
      <c r="O815" s="65"/>
      <c r="P815" s="65" t="b">
        <f>COUNTIF('Delivered SIR'!A:A, E815) &gt; 0</f>
        <v>0</v>
      </c>
    </row>
    <row r="816">
      <c r="A816" s="61"/>
      <c r="B816" s="61"/>
      <c r="C816" s="61"/>
      <c r="D816" s="61"/>
      <c r="E816" s="61"/>
      <c r="F816" s="61"/>
      <c r="G816" s="61"/>
      <c r="H816" s="61"/>
      <c r="I816" s="61"/>
      <c r="J816" s="107"/>
      <c r="K816" s="107"/>
      <c r="L816" s="61"/>
      <c r="M816" s="61"/>
      <c r="N816" s="61"/>
      <c r="O816" s="61"/>
      <c r="P816" s="61" t="b">
        <f>COUNTIF('Delivered SIR'!A:A, E816) &gt; 0</f>
        <v>0</v>
      </c>
    </row>
    <row r="817">
      <c r="A817" s="65"/>
      <c r="B817" s="65"/>
      <c r="C817" s="65"/>
      <c r="D817" s="65"/>
      <c r="E817" s="65"/>
      <c r="F817" s="65"/>
      <c r="G817" s="65"/>
      <c r="H817" s="65"/>
      <c r="I817" s="65"/>
      <c r="J817" s="108"/>
      <c r="K817" s="108"/>
      <c r="L817" s="65"/>
      <c r="M817" s="65"/>
      <c r="N817" s="65"/>
      <c r="O817" s="65"/>
      <c r="P817" s="65" t="b">
        <f>COUNTIF('Delivered SIR'!A:A, E817) &gt; 0</f>
        <v>0</v>
      </c>
    </row>
    <row r="818">
      <c r="A818" s="61"/>
      <c r="B818" s="61"/>
      <c r="C818" s="61"/>
      <c r="D818" s="61"/>
      <c r="E818" s="61"/>
      <c r="F818" s="61"/>
      <c r="G818" s="61"/>
      <c r="H818" s="61"/>
      <c r="I818" s="61"/>
      <c r="J818" s="107"/>
      <c r="K818" s="107"/>
      <c r="L818" s="61"/>
      <c r="M818" s="61"/>
      <c r="N818" s="61"/>
      <c r="O818" s="61"/>
      <c r="P818" s="61" t="b">
        <f>COUNTIF('Delivered SIR'!A:A, E818) &gt; 0</f>
        <v>0</v>
      </c>
    </row>
    <row r="819">
      <c r="A819" s="65"/>
      <c r="B819" s="65"/>
      <c r="C819" s="65"/>
      <c r="D819" s="65"/>
      <c r="E819" s="65"/>
      <c r="F819" s="65"/>
      <c r="G819" s="65"/>
      <c r="H819" s="65"/>
      <c r="I819" s="65"/>
      <c r="J819" s="108"/>
      <c r="K819" s="108"/>
      <c r="L819" s="65"/>
      <c r="M819" s="65"/>
      <c r="N819" s="65"/>
      <c r="O819" s="65"/>
      <c r="P819" s="65" t="b">
        <f>COUNTIF('Delivered SIR'!A:A, E819) &gt; 0</f>
        <v>0</v>
      </c>
    </row>
    <row r="820">
      <c r="A820" s="61"/>
      <c r="B820" s="61"/>
      <c r="C820" s="61"/>
      <c r="D820" s="61"/>
      <c r="E820" s="61"/>
      <c r="F820" s="61"/>
      <c r="G820" s="61"/>
      <c r="H820" s="61"/>
      <c r="I820" s="61"/>
      <c r="J820" s="107"/>
      <c r="K820" s="107"/>
      <c r="L820" s="61"/>
      <c r="M820" s="61"/>
      <c r="N820" s="61"/>
      <c r="O820" s="61"/>
      <c r="P820" s="61" t="b">
        <f>COUNTIF('Delivered SIR'!A:A, E820) &gt; 0</f>
        <v>0</v>
      </c>
    </row>
    <row r="821">
      <c r="A821" s="65"/>
      <c r="B821" s="65"/>
      <c r="C821" s="65"/>
      <c r="D821" s="65"/>
      <c r="E821" s="65"/>
      <c r="F821" s="65"/>
      <c r="G821" s="65"/>
      <c r="H821" s="65"/>
      <c r="I821" s="65"/>
      <c r="J821" s="108"/>
      <c r="K821" s="108"/>
      <c r="L821" s="65"/>
      <c r="M821" s="65"/>
      <c r="N821" s="65"/>
      <c r="O821" s="65"/>
      <c r="P821" s="65" t="b">
        <f>COUNTIF('Delivered SIR'!A:A, E821) &gt; 0</f>
        <v>0</v>
      </c>
    </row>
    <row r="822">
      <c r="A822" s="61"/>
      <c r="B822" s="61"/>
      <c r="C822" s="61"/>
      <c r="D822" s="61"/>
      <c r="E822" s="61"/>
      <c r="F822" s="61"/>
      <c r="G822" s="61"/>
      <c r="H822" s="61"/>
      <c r="I822" s="61"/>
      <c r="J822" s="107"/>
      <c r="K822" s="107"/>
      <c r="L822" s="61"/>
      <c r="M822" s="61"/>
      <c r="N822" s="61"/>
      <c r="O822" s="61"/>
      <c r="P822" s="61" t="b">
        <f>COUNTIF('Delivered SIR'!A:A, E822) &gt; 0</f>
        <v>0</v>
      </c>
    </row>
    <row r="823">
      <c r="A823" s="65"/>
      <c r="B823" s="65"/>
      <c r="C823" s="65"/>
      <c r="D823" s="65"/>
      <c r="E823" s="65"/>
      <c r="F823" s="65"/>
      <c r="G823" s="65"/>
      <c r="H823" s="65"/>
      <c r="I823" s="65"/>
      <c r="J823" s="108"/>
      <c r="K823" s="108"/>
      <c r="L823" s="65"/>
      <c r="M823" s="65"/>
      <c r="N823" s="65"/>
      <c r="O823" s="65"/>
      <c r="P823" s="65" t="b">
        <f>COUNTIF('Delivered SIR'!A:A, E823) &gt; 0</f>
        <v>0</v>
      </c>
    </row>
    <row r="824">
      <c r="A824" s="61"/>
      <c r="B824" s="61"/>
      <c r="C824" s="61"/>
      <c r="D824" s="61"/>
      <c r="E824" s="61"/>
      <c r="F824" s="61"/>
      <c r="G824" s="61"/>
      <c r="H824" s="61"/>
      <c r="I824" s="61"/>
      <c r="J824" s="107"/>
      <c r="K824" s="107"/>
      <c r="L824" s="61"/>
      <c r="M824" s="61"/>
      <c r="N824" s="61"/>
      <c r="O824" s="61"/>
      <c r="P824" s="61" t="b">
        <f>COUNTIF('Delivered SIR'!A:A, E824) &gt; 0</f>
        <v>0</v>
      </c>
    </row>
    <row r="825">
      <c r="A825" s="65"/>
      <c r="B825" s="65"/>
      <c r="C825" s="65"/>
      <c r="D825" s="65"/>
      <c r="E825" s="65"/>
      <c r="F825" s="65"/>
      <c r="G825" s="65"/>
      <c r="H825" s="65"/>
      <c r="I825" s="65"/>
      <c r="J825" s="108"/>
      <c r="K825" s="108"/>
      <c r="L825" s="65"/>
      <c r="M825" s="65"/>
      <c r="N825" s="65"/>
      <c r="O825" s="65"/>
      <c r="P825" s="65" t="b">
        <f>COUNTIF('Delivered SIR'!A:A, E825) &gt; 0</f>
        <v>0</v>
      </c>
    </row>
    <row r="826">
      <c r="A826" s="61"/>
      <c r="B826" s="61"/>
      <c r="C826" s="61"/>
      <c r="D826" s="61"/>
      <c r="E826" s="61"/>
      <c r="F826" s="61"/>
      <c r="G826" s="61"/>
      <c r="H826" s="61"/>
      <c r="I826" s="61"/>
      <c r="J826" s="107"/>
      <c r="K826" s="107"/>
      <c r="L826" s="61"/>
      <c r="M826" s="61"/>
      <c r="N826" s="61"/>
      <c r="O826" s="61"/>
      <c r="P826" s="61" t="b">
        <f>COUNTIF('Delivered SIR'!A:A, E826) &gt; 0</f>
        <v>0</v>
      </c>
    </row>
    <row r="827">
      <c r="A827" s="65"/>
      <c r="B827" s="65"/>
      <c r="C827" s="65"/>
      <c r="D827" s="65"/>
      <c r="E827" s="65"/>
      <c r="F827" s="65"/>
      <c r="G827" s="65"/>
      <c r="H827" s="65"/>
      <c r="I827" s="65"/>
      <c r="J827" s="108"/>
      <c r="K827" s="108"/>
      <c r="L827" s="65"/>
      <c r="M827" s="65"/>
      <c r="N827" s="65"/>
      <c r="O827" s="65"/>
      <c r="P827" s="65" t="b">
        <f>COUNTIF('Delivered SIR'!A:A, E827) &gt; 0</f>
        <v>0</v>
      </c>
    </row>
    <row r="828">
      <c r="A828" s="61"/>
      <c r="B828" s="61"/>
      <c r="C828" s="61"/>
      <c r="D828" s="61"/>
      <c r="E828" s="61"/>
      <c r="F828" s="61"/>
      <c r="G828" s="61"/>
      <c r="H828" s="61"/>
      <c r="I828" s="61"/>
      <c r="J828" s="107"/>
      <c r="K828" s="107"/>
      <c r="L828" s="61"/>
      <c r="M828" s="61"/>
      <c r="N828" s="61"/>
      <c r="O828" s="61"/>
      <c r="P828" s="61" t="b">
        <f>COUNTIF('Delivered SIR'!A:A, E828) &gt; 0</f>
        <v>0</v>
      </c>
    </row>
    <row r="829">
      <c r="A829" s="65"/>
      <c r="B829" s="65"/>
      <c r="C829" s="65"/>
      <c r="D829" s="65"/>
      <c r="E829" s="65"/>
      <c r="F829" s="65"/>
      <c r="G829" s="65"/>
      <c r="H829" s="65"/>
      <c r="I829" s="65"/>
      <c r="J829" s="108"/>
      <c r="K829" s="108"/>
      <c r="L829" s="65"/>
      <c r="M829" s="65"/>
      <c r="N829" s="65"/>
      <c r="O829" s="65"/>
      <c r="P829" s="65" t="b">
        <f>COUNTIF('Delivered SIR'!A:A, E829) &gt; 0</f>
        <v>0</v>
      </c>
    </row>
    <row r="830">
      <c r="A830" s="61"/>
      <c r="B830" s="61"/>
      <c r="C830" s="61"/>
      <c r="D830" s="61"/>
      <c r="E830" s="61"/>
      <c r="F830" s="61"/>
      <c r="G830" s="61"/>
      <c r="H830" s="61"/>
      <c r="I830" s="61"/>
      <c r="J830" s="107"/>
      <c r="K830" s="107"/>
      <c r="L830" s="61"/>
      <c r="M830" s="61"/>
      <c r="N830" s="61"/>
      <c r="O830" s="61"/>
      <c r="P830" s="61" t="b">
        <f>COUNTIF('Delivered SIR'!A:A, E830) &gt; 0</f>
        <v>0</v>
      </c>
    </row>
    <row r="831">
      <c r="A831" s="65"/>
      <c r="B831" s="65"/>
      <c r="C831" s="65"/>
      <c r="D831" s="65"/>
      <c r="E831" s="65"/>
      <c r="F831" s="65"/>
      <c r="G831" s="65"/>
      <c r="H831" s="65"/>
      <c r="I831" s="65"/>
      <c r="J831" s="108"/>
      <c r="K831" s="108"/>
      <c r="L831" s="65"/>
      <c r="M831" s="65"/>
      <c r="N831" s="65"/>
      <c r="O831" s="65"/>
      <c r="P831" s="65" t="b">
        <f>COUNTIF('Delivered SIR'!A:A, E831) &gt; 0</f>
        <v>0</v>
      </c>
    </row>
    <row r="832">
      <c r="A832" s="61"/>
      <c r="B832" s="61"/>
      <c r="C832" s="61"/>
      <c r="D832" s="61"/>
      <c r="E832" s="61"/>
      <c r="F832" s="61"/>
      <c r="G832" s="61"/>
      <c r="H832" s="61"/>
      <c r="I832" s="61"/>
      <c r="J832" s="107"/>
      <c r="K832" s="107"/>
      <c r="L832" s="61"/>
      <c r="M832" s="61"/>
      <c r="N832" s="61"/>
      <c r="O832" s="61"/>
      <c r="P832" s="61" t="b">
        <f>COUNTIF('Delivered SIR'!A:A, E832) &gt; 0</f>
        <v>0</v>
      </c>
    </row>
    <row r="833">
      <c r="A833" s="65"/>
      <c r="B833" s="65"/>
      <c r="C833" s="65"/>
      <c r="D833" s="65"/>
      <c r="E833" s="65"/>
      <c r="F833" s="65"/>
      <c r="G833" s="65"/>
      <c r="H833" s="65"/>
      <c r="I833" s="65"/>
      <c r="J833" s="108"/>
      <c r="K833" s="108"/>
      <c r="L833" s="65"/>
      <c r="M833" s="65"/>
      <c r="N833" s="65"/>
      <c r="O833" s="65"/>
      <c r="P833" s="65" t="b">
        <f>COUNTIF('Delivered SIR'!A:A, E833) &gt; 0</f>
        <v>0</v>
      </c>
    </row>
    <row r="834">
      <c r="A834" s="61"/>
      <c r="B834" s="61"/>
      <c r="C834" s="61"/>
      <c r="D834" s="61"/>
      <c r="E834" s="61"/>
      <c r="F834" s="61"/>
      <c r="G834" s="61"/>
      <c r="H834" s="61"/>
      <c r="I834" s="61"/>
      <c r="J834" s="107"/>
      <c r="K834" s="107"/>
      <c r="L834" s="61"/>
      <c r="M834" s="61"/>
      <c r="N834" s="61"/>
      <c r="O834" s="61"/>
      <c r="P834" s="61" t="b">
        <f>COUNTIF('Delivered SIR'!A:A, E834) &gt; 0</f>
        <v>0</v>
      </c>
    </row>
    <row r="835">
      <c r="A835" s="65"/>
      <c r="B835" s="65"/>
      <c r="C835" s="65"/>
      <c r="D835" s="65"/>
      <c r="E835" s="65"/>
      <c r="F835" s="65"/>
      <c r="G835" s="65"/>
      <c r="H835" s="65"/>
      <c r="I835" s="65"/>
      <c r="J835" s="108"/>
      <c r="K835" s="108"/>
      <c r="L835" s="65"/>
      <c r="M835" s="65"/>
      <c r="N835" s="65"/>
      <c r="O835" s="65"/>
      <c r="P835" s="65" t="b">
        <f>COUNTIF('Delivered SIR'!A:A, E835) &gt; 0</f>
        <v>0</v>
      </c>
    </row>
    <row r="836">
      <c r="A836" s="61"/>
      <c r="B836" s="61"/>
      <c r="C836" s="61"/>
      <c r="D836" s="61"/>
      <c r="E836" s="61"/>
      <c r="F836" s="61"/>
      <c r="G836" s="61"/>
      <c r="H836" s="61"/>
      <c r="I836" s="61"/>
      <c r="J836" s="107"/>
      <c r="K836" s="107"/>
      <c r="L836" s="61"/>
      <c r="M836" s="61"/>
      <c r="N836" s="61"/>
      <c r="O836" s="61"/>
      <c r="P836" s="61" t="b">
        <f>COUNTIF('Delivered SIR'!A:A, E836) &gt; 0</f>
        <v>0</v>
      </c>
    </row>
    <row r="837">
      <c r="A837" s="65"/>
      <c r="B837" s="65"/>
      <c r="C837" s="65"/>
      <c r="D837" s="65"/>
      <c r="E837" s="65"/>
      <c r="F837" s="65"/>
      <c r="G837" s="65"/>
      <c r="H837" s="65"/>
      <c r="I837" s="65"/>
      <c r="J837" s="108"/>
      <c r="K837" s="108"/>
      <c r="L837" s="65"/>
      <c r="M837" s="65"/>
      <c r="N837" s="65"/>
      <c r="O837" s="65"/>
      <c r="P837" s="65" t="b">
        <f>COUNTIF('Delivered SIR'!A:A, E837) &gt; 0</f>
        <v>0</v>
      </c>
    </row>
    <row r="838">
      <c r="A838" s="61"/>
      <c r="B838" s="61"/>
      <c r="C838" s="61"/>
      <c r="D838" s="61"/>
      <c r="E838" s="61"/>
      <c r="F838" s="61"/>
      <c r="G838" s="61"/>
      <c r="H838" s="61"/>
      <c r="I838" s="61"/>
      <c r="J838" s="107"/>
      <c r="K838" s="107"/>
      <c r="L838" s="61"/>
      <c r="M838" s="61"/>
      <c r="N838" s="61"/>
      <c r="O838" s="61"/>
      <c r="P838" s="61" t="b">
        <f>COUNTIF('Delivered SIR'!A:A, E838) &gt; 0</f>
        <v>0</v>
      </c>
    </row>
    <row r="839">
      <c r="A839" s="65"/>
      <c r="B839" s="65"/>
      <c r="C839" s="65"/>
      <c r="D839" s="65"/>
      <c r="E839" s="65"/>
      <c r="F839" s="65"/>
      <c r="G839" s="65"/>
      <c r="H839" s="65"/>
      <c r="I839" s="65"/>
      <c r="J839" s="108"/>
      <c r="K839" s="108"/>
      <c r="L839" s="65"/>
      <c r="M839" s="65"/>
      <c r="N839" s="65"/>
      <c r="O839" s="65"/>
      <c r="P839" s="65" t="b">
        <f>COUNTIF('Delivered SIR'!A:A, E839) &gt; 0</f>
        <v>0</v>
      </c>
    </row>
    <row r="840">
      <c r="A840" s="61"/>
      <c r="B840" s="61"/>
      <c r="C840" s="61"/>
      <c r="D840" s="61"/>
      <c r="E840" s="61"/>
      <c r="F840" s="61"/>
      <c r="G840" s="61"/>
      <c r="H840" s="61"/>
      <c r="I840" s="61"/>
      <c r="J840" s="107"/>
      <c r="K840" s="107"/>
      <c r="L840" s="61"/>
      <c r="M840" s="61"/>
      <c r="N840" s="61"/>
      <c r="O840" s="61"/>
      <c r="P840" s="61" t="b">
        <f>COUNTIF('Delivered SIR'!A:A, E840) &gt; 0</f>
        <v>0</v>
      </c>
    </row>
    <row r="841">
      <c r="A841" s="65"/>
      <c r="B841" s="65"/>
      <c r="C841" s="65"/>
      <c r="D841" s="65"/>
      <c r="E841" s="65"/>
      <c r="F841" s="65"/>
      <c r="G841" s="65"/>
      <c r="H841" s="65"/>
      <c r="I841" s="65"/>
      <c r="J841" s="108"/>
      <c r="K841" s="108"/>
      <c r="L841" s="65"/>
      <c r="M841" s="65"/>
      <c r="N841" s="65"/>
      <c r="O841" s="65"/>
      <c r="P841" s="65" t="b">
        <f>COUNTIF('Delivered SIR'!A:A, E841) &gt; 0</f>
        <v>0</v>
      </c>
    </row>
    <row r="842">
      <c r="A842" s="61"/>
      <c r="B842" s="61"/>
      <c r="C842" s="61"/>
      <c r="D842" s="61"/>
      <c r="E842" s="61"/>
      <c r="F842" s="61"/>
      <c r="G842" s="61"/>
      <c r="H842" s="61"/>
      <c r="I842" s="61"/>
      <c r="J842" s="107"/>
      <c r="K842" s="107"/>
      <c r="L842" s="61"/>
      <c r="M842" s="61"/>
      <c r="N842" s="61"/>
      <c r="O842" s="61"/>
      <c r="P842" s="61" t="b">
        <f>COUNTIF('Delivered SIR'!A:A, E842) &gt; 0</f>
        <v>0</v>
      </c>
    </row>
    <row r="843">
      <c r="A843" s="65"/>
      <c r="B843" s="65"/>
      <c r="C843" s="65"/>
      <c r="D843" s="65"/>
      <c r="E843" s="65"/>
      <c r="F843" s="65"/>
      <c r="G843" s="65"/>
      <c r="H843" s="65"/>
      <c r="I843" s="65"/>
      <c r="J843" s="108"/>
      <c r="K843" s="108"/>
      <c r="L843" s="65"/>
      <c r="M843" s="65"/>
      <c r="N843" s="65"/>
      <c r="O843" s="65"/>
      <c r="P843" s="65" t="b">
        <f>COUNTIF('Delivered SIR'!A:A, E843) &gt; 0</f>
        <v>0</v>
      </c>
    </row>
    <row r="844">
      <c r="A844" s="61"/>
      <c r="B844" s="61"/>
      <c r="C844" s="61"/>
      <c r="D844" s="61"/>
      <c r="E844" s="61"/>
      <c r="F844" s="61"/>
      <c r="G844" s="61"/>
      <c r="H844" s="61"/>
      <c r="I844" s="61"/>
      <c r="J844" s="107"/>
      <c r="K844" s="107"/>
      <c r="L844" s="61"/>
      <c r="M844" s="61"/>
      <c r="N844" s="61"/>
      <c r="O844" s="61"/>
      <c r="P844" s="61" t="b">
        <f>COUNTIF('Delivered SIR'!A:A, E844) &gt; 0</f>
        <v>0</v>
      </c>
    </row>
    <row r="845">
      <c r="A845" s="65"/>
      <c r="B845" s="65"/>
      <c r="C845" s="65"/>
      <c r="D845" s="65"/>
      <c r="E845" s="65"/>
      <c r="F845" s="65"/>
      <c r="G845" s="65"/>
      <c r="H845" s="65"/>
      <c r="I845" s="65"/>
      <c r="J845" s="108"/>
      <c r="K845" s="108"/>
      <c r="L845" s="65"/>
      <c r="M845" s="65"/>
      <c r="N845" s="65"/>
      <c r="O845" s="65"/>
      <c r="P845" s="65" t="b">
        <f>COUNTIF('Delivered SIR'!A:A, E845) &gt; 0</f>
        <v>0</v>
      </c>
    </row>
    <row r="846">
      <c r="A846" s="61"/>
      <c r="B846" s="61"/>
      <c r="C846" s="61"/>
      <c r="D846" s="61"/>
      <c r="E846" s="61"/>
      <c r="F846" s="61"/>
      <c r="G846" s="61"/>
      <c r="H846" s="61"/>
      <c r="I846" s="61"/>
      <c r="J846" s="107"/>
      <c r="K846" s="107"/>
      <c r="L846" s="61"/>
      <c r="M846" s="61"/>
      <c r="N846" s="61"/>
      <c r="O846" s="61"/>
      <c r="P846" s="61" t="b">
        <f>COUNTIF('Delivered SIR'!A:A, E846) &gt; 0</f>
        <v>0</v>
      </c>
    </row>
    <row r="847">
      <c r="A847" s="65"/>
      <c r="B847" s="65"/>
      <c r="C847" s="65"/>
      <c r="D847" s="65"/>
      <c r="E847" s="65"/>
      <c r="F847" s="65"/>
      <c r="G847" s="65"/>
      <c r="H847" s="65"/>
      <c r="I847" s="65"/>
      <c r="J847" s="108"/>
      <c r="K847" s="108"/>
      <c r="L847" s="65"/>
      <c r="M847" s="65"/>
      <c r="N847" s="65"/>
      <c r="O847" s="65"/>
      <c r="P847" s="65" t="b">
        <f>COUNTIF('Delivered SIR'!A:A, E847) &gt; 0</f>
        <v>0</v>
      </c>
    </row>
    <row r="848">
      <c r="A848" s="61"/>
      <c r="B848" s="61"/>
      <c r="C848" s="61"/>
      <c r="D848" s="61"/>
      <c r="E848" s="61"/>
      <c r="F848" s="61"/>
      <c r="G848" s="61"/>
      <c r="H848" s="61"/>
      <c r="I848" s="61"/>
      <c r="J848" s="107"/>
      <c r="K848" s="107"/>
      <c r="L848" s="61"/>
      <c r="M848" s="61"/>
      <c r="N848" s="61"/>
      <c r="O848" s="61"/>
      <c r="P848" s="61" t="b">
        <f>COUNTIF('Delivered SIR'!A:A, E848) &gt; 0</f>
        <v>0</v>
      </c>
    </row>
    <row r="849">
      <c r="A849" s="65"/>
      <c r="B849" s="65"/>
      <c r="C849" s="65"/>
      <c r="D849" s="65"/>
      <c r="E849" s="65"/>
      <c r="F849" s="65"/>
      <c r="G849" s="65"/>
      <c r="H849" s="65"/>
      <c r="I849" s="65"/>
      <c r="J849" s="108"/>
      <c r="K849" s="108"/>
      <c r="L849" s="65"/>
      <c r="M849" s="65"/>
      <c r="N849" s="65"/>
      <c r="O849" s="65"/>
      <c r="P849" s="65" t="b">
        <f>COUNTIF('Delivered SIR'!A:A, E849) &gt; 0</f>
        <v>0</v>
      </c>
    </row>
    <row r="850">
      <c r="A850" s="61"/>
      <c r="B850" s="61"/>
      <c r="C850" s="61"/>
      <c r="D850" s="61"/>
      <c r="E850" s="61"/>
      <c r="F850" s="61"/>
      <c r="G850" s="61"/>
      <c r="H850" s="61"/>
      <c r="I850" s="61"/>
      <c r="J850" s="107"/>
      <c r="K850" s="107"/>
      <c r="L850" s="61"/>
      <c r="M850" s="61"/>
      <c r="N850" s="61"/>
      <c r="O850" s="61"/>
      <c r="P850" s="61" t="b">
        <f>COUNTIF('Delivered SIR'!A:A, E850) &gt; 0</f>
        <v>0</v>
      </c>
    </row>
    <row r="851">
      <c r="A851" s="65"/>
      <c r="B851" s="65"/>
      <c r="C851" s="65"/>
      <c r="D851" s="65"/>
      <c r="E851" s="65"/>
      <c r="F851" s="65"/>
      <c r="G851" s="65"/>
      <c r="H851" s="65"/>
      <c r="I851" s="65"/>
      <c r="J851" s="108"/>
      <c r="K851" s="108"/>
      <c r="L851" s="65"/>
      <c r="M851" s="65"/>
      <c r="N851" s="65"/>
      <c r="O851" s="65"/>
      <c r="P851" s="65" t="b">
        <f>COUNTIF('Delivered SIR'!A:A, E851) &gt; 0</f>
        <v>0</v>
      </c>
    </row>
    <row r="852">
      <c r="A852" s="61"/>
      <c r="B852" s="61"/>
      <c r="C852" s="61"/>
      <c r="D852" s="61"/>
      <c r="E852" s="61"/>
      <c r="F852" s="61"/>
      <c r="G852" s="61"/>
      <c r="H852" s="61"/>
      <c r="I852" s="61"/>
      <c r="J852" s="107"/>
      <c r="K852" s="107"/>
      <c r="L852" s="61"/>
      <c r="M852" s="61"/>
      <c r="N852" s="61"/>
      <c r="O852" s="61"/>
      <c r="P852" s="61" t="b">
        <f>COUNTIF('Delivered SIR'!A:A, E852) &gt; 0</f>
        <v>0</v>
      </c>
    </row>
    <row r="853">
      <c r="A853" s="65"/>
      <c r="B853" s="65"/>
      <c r="C853" s="65"/>
      <c r="D853" s="65"/>
      <c r="E853" s="65"/>
      <c r="F853" s="65"/>
      <c r="G853" s="65"/>
      <c r="H853" s="65"/>
      <c r="I853" s="65"/>
      <c r="J853" s="108"/>
      <c r="K853" s="108"/>
      <c r="L853" s="65"/>
      <c r="M853" s="65"/>
      <c r="N853" s="65"/>
      <c r="O853" s="65"/>
      <c r="P853" s="65" t="b">
        <f>COUNTIF('Delivered SIR'!A:A, E853) &gt; 0</f>
        <v>0</v>
      </c>
    </row>
    <row r="854">
      <c r="A854" s="61"/>
      <c r="B854" s="61"/>
      <c r="C854" s="61"/>
      <c r="D854" s="61"/>
      <c r="E854" s="61"/>
      <c r="F854" s="61"/>
      <c r="G854" s="61"/>
      <c r="H854" s="61"/>
      <c r="I854" s="61"/>
      <c r="J854" s="107"/>
      <c r="K854" s="107"/>
      <c r="L854" s="61"/>
      <c r="M854" s="61"/>
      <c r="N854" s="61"/>
      <c r="O854" s="61"/>
      <c r="P854" s="61" t="b">
        <f>COUNTIF('Delivered SIR'!A:A, E854) &gt; 0</f>
        <v>0</v>
      </c>
    </row>
    <row r="855">
      <c r="A855" s="65"/>
      <c r="B855" s="65"/>
      <c r="C855" s="65"/>
      <c r="D855" s="65"/>
      <c r="E855" s="65"/>
      <c r="F855" s="65"/>
      <c r="G855" s="65"/>
      <c r="H855" s="65"/>
      <c r="I855" s="65"/>
      <c r="J855" s="108"/>
      <c r="K855" s="108"/>
      <c r="L855" s="65"/>
      <c r="M855" s="65"/>
      <c r="N855" s="65"/>
      <c r="O855" s="65"/>
      <c r="P855" s="65" t="b">
        <f>COUNTIF('Delivered SIR'!A:A, E855) &gt; 0</f>
        <v>0</v>
      </c>
    </row>
    <row r="856">
      <c r="A856" s="61"/>
      <c r="B856" s="61"/>
      <c r="C856" s="61"/>
      <c r="D856" s="61"/>
      <c r="E856" s="61"/>
      <c r="F856" s="61"/>
      <c r="G856" s="61"/>
      <c r="H856" s="61"/>
      <c r="I856" s="61"/>
      <c r="J856" s="107"/>
      <c r="K856" s="107"/>
      <c r="L856" s="61"/>
      <c r="M856" s="61"/>
      <c r="N856" s="61"/>
      <c r="O856" s="61"/>
      <c r="P856" s="61" t="b">
        <f>COUNTIF('Delivered SIR'!A:A, E856) &gt; 0</f>
        <v>0</v>
      </c>
    </row>
    <row r="857">
      <c r="A857" s="65"/>
      <c r="B857" s="65"/>
      <c r="C857" s="65"/>
      <c r="D857" s="65"/>
      <c r="E857" s="65"/>
      <c r="F857" s="65"/>
      <c r="G857" s="65"/>
      <c r="H857" s="65"/>
      <c r="I857" s="65"/>
      <c r="J857" s="108"/>
      <c r="K857" s="108"/>
      <c r="L857" s="65"/>
      <c r="M857" s="65"/>
      <c r="N857" s="65"/>
      <c r="O857" s="65"/>
      <c r="P857" s="65" t="b">
        <f>COUNTIF('Delivered SIR'!A:A, E857) &gt; 0</f>
        <v>0</v>
      </c>
    </row>
    <row r="858">
      <c r="A858" s="61"/>
      <c r="B858" s="61"/>
      <c r="C858" s="61"/>
      <c r="D858" s="61"/>
      <c r="E858" s="61"/>
      <c r="F858" s="61"/>
      <c r="G858" s="61"/>
      <c r="H858" s="61"/>
      <c r="I858" s="61"/>
      <c r="J858" s="107"/>
      <c r="K858" s="107"/>
      <c r="L858" s="61"/>
      <c r="M858" s="61"/>
      <c r="N858" s="61"/>
      <c r="O858" s="61"/>
      <c r="P858" s="61" t="b">
        <f>COUNTIF('Delivered SIR'!A:A, E858) &gt; 0</f>
        <v>0</v>
      </c>
    </row>
    <row r="859">
      <c r="A859" s="65"/>
      <c r="B859" s="65"/>
      <c r="C859" s="65"/>
      <c r="D859" s="65"/>
      <c r="E859" s="65"/>
      <c r="F859" s="65"/>
      <c r="G859" s="65"/>
      <c r="H859" s="65"/>
      <c r="I859" s="65"/>
      <c r="J859" s="108"/>
      <c r="K859" s="108"/>
      <c r="L859" s="65"/>
      <c r="M859" s="65"/>
      <c r="N859" s="65"/>
      <c r="O859" s="65"/>
      <c r="P859" s="65" t="b">
        <f>COUNTIF('Delivered SIR'!A:A, E859) &gt; 0</f>
        <v>0</v>
      </c>
    </row>
    <row r="860">
      <c r="A860" s="61"/>
      <c r="B860" s="61"/>
      <c r="C860" s="61"/>
      <c r="D860" s="61"/>
      <c r="E860" s="61"/>
      <c r="F860" s="61"/>
      <c r="G860" s="61"/>
      <c r="H860" s="61"/>
      <c r="I860" s="61"/>
      <c r="J860" s="107"/>
      <c r="K860" s="107"/>
      <c r="L860" s="61"/>
      <c r="M860" s="61"/>
      <c r="N860" s="61"/>
      <c r="O860" s="61"/>
      <c r="P860" s="61" t="b">
        <f>COUNTIF('Delivered SIR'!A:A, E860) &gt; 0</f>
        <v>0</v>
      </c>
    </row>
    <row r="861">
      <c r="A861" s="65"/>
      <c r="B861" s="65"/>
      <c r="C861" s="65"/>
      <c r="D861" s="65"/>
      <c r="E861" s="65"/>
      <c r="F861" s="65"/>
      <c r="G861" s="65"/>
      <c r="H861" s="65"/>
      <c r="I861" s="65"/>
      <c r="J861" s="108"/>
      <c r="K861" s="108"/>
      <c r="L861" s="65"/>
      <c r="M861" s="65"/>
      <c r="N861" s="65"/>
      <c r="O861" s="65"/>
      <c r="P861" s="65" t="b">
        <f>COUNTIF('Delivered SIR'!A:A, E861) &gt; 0</f>
        <v>0</v>
      </c>
    </row>
    <row r="862">
      <c r="A862" s="61"/>
      <c r="B862" s="61"/>
      <c r="C862" s="61"/>
      <c r="D862" s="61"/>
      <c r="E862" s="61"/>
      <c r="F862" s="61"/>
      <c r="G862" s="61"/>
      <c r="H862" s="61"/>
      <c r="I862" s="61"/>
      <c r="J862" s="107"/>
      <c r="K862" s="107"/>
      <c r="L862" s="61"/>
      <c r="M862" s="61"/>
      <c r="N862" s="61"/>
      <c r="O862" s="61"/>
      <c r="P862" s="61" t="b">
        <f>COUNTIF('Delivered SIR'!A:A, E862) &gt; 0</f>
        <v>0</v>
      </c>
    </row>
    <row r="863">
      <c r="A863" s="65"/>
      <c r="B863" s="65"/>
      <c r="C863" s="65"/>
      <c r="D863" s="65"/>
      <c r="E863" s="65"/>
      <c r="F863" s="65"/>
      <c r="G863" s="65"/>
      <c r="H863" s="65"/>
      <c r="I863" s="65"/>
      <c r="J863" s="108"/>
      <c r="K863" s="108"/>
      <c r="L863" s="65"/>
      <c r="M863" s="65"/>
      <c r="N863" s="65"/>
      <c r="O863" s="65"/>
      <c r="P863" s="65" t="b">
        <f>COUNTIF('Delivered SIR'!A:A, E863) &gt; 0</f>
        <v>0</v>
      </c>
    </row>
    <row r="864">
      <c r="A864" s="61"/>
      <c r="B864" s="61"/>
      <c r="C864" s="61"/>
      <c r="D864" s="61"/>
      <c r="E864" s="61"/>
      <c r="F864" s="61"/>
      <c r="G864" s="61"/>
      <c r="H864" s="61"/>
      <c r="I864" s="61"/>
      <c r="J864" s="107"/>
      <c r="K864" s="107"/>
      <c r="L864" s="61"/>
      <c r="M864" s="61"/>
      <c r="N864" s="61"/>
      <c r="O864" s="61"/>
      <c r="P864" s="61" t="b">
        <f>COUNTIF('Delivered SIR'!A:A, E864) &gt; 0</f>
        <v>0</v>
      </c>
    </row>
    <row r="865">
      <c r="A865" s="65"/>
      <c r="B865" s="65"/>
      <c r="C865" s="65"/>
      <c r="D865" s="65"/>
      <c r="E865" s="65"/>
      <c r="F865" s="65"/>
      <c r="G865" s="65"/>
      <c r="H865" s="65"/>
      <c r="I865" s="65"/>
      <c r="J865" s="108"/>
      <c r="K865" s="108"/>
      <c r="L865" s="65"/>
      <c r="M865" s="65"/>
      <c r="N865" s="65"/>
      <c r="O865" s="65"/>
      <c r="P865" s="65" t="b">
        <f>COUNTIF('Delivered SIR'!A:A, E865) &gt; 0</f>
        <v>0</v>
      </c>
    </row>
    <row r="866">
      <c r="A866" s="61"/>
      <c r="B866" s="61"/>
      <c r="C866" s="61"/>
      <c r="D866" s="61"/>
      <c r="E866" s="61"/>
      <c r="F866" s="61"/>
      <c r="G866" s="61"/>
      <c r="H866" s="61"/>
      <c r="I866" s="61"/>
      <c r="J866" s="107"/>
      <c r="K866" s="107"/>
      <c r="L866" s="61"/>
      <c r="M866" s="61"/>
      <c r="N866" s="61"/>
      <c r="O866" s="61"/>
      <c r="P866" s="61" t="b">
        <f>COUNTIF('Delivered SIR'!A:A, E866) &gt; 0</f>
        <v>0</v>
      </c>
    </row>
    <row r="867">
      <c r="A867" s="65"/>
      <c r="B867" s="65"/>
      <c r="C867" s="65"/>
      <c r="D867" s="65"/>
      <c r="E867" s="65"/>
      <c r="F867" s="65"/>
      <c r="G867" s="65"/>
      <c r="H867" s="65"/>
      <c r="I867" s="65"/>
      <c r="J867" s="108"/>
      <c r="K867" s="108"/>
      <c r="L867" s="65"/>
      <c r="M867" s="65"/>
      <c r="N867" s="65"/>
      <c r="O867" s="65"/>
      <c r="P867" s="65" t="b">
        <f>COUNTIF('Delivered SIR'!A:A, E867) &gt; 0</f>
        <v>0</v>
      </c>
    </row>
    <row r="868">
      <c r="A868" s="61"/>
      <c r="B868" s="61"/>
      <c r="C868" s="61"/>
      <c r="D868" s="61"/>
      <c r="E868" s="61"/>
      <c r="F868" s="61"/>
      <c r="G868" s="61"/>
      <c r="H868" s="61"/>
      <c r="I868" s="61"/>
      <c r="J868" s="107"/>
      <c r="K868" s="107"/>
      <c r="L868" s="61"/>
      <c r="M868" s="61"/>
      <c r="N868" s="61"/>
      <c r="O868" s="61"/>
      <c r="P868" s="61" t="b">
        <f>COUNTIF('Delivered SIR'!A:A, E868) &gt; 0</f>
        <v>0</v>
      </c>
    </row>
    <row r="869">
      <c r="A869" s="65"/>
      <c r="B869" s="65"/>
      <c r="C869" s="65"/>
      <c r="D869" s="65"/>
      <c r="E869" s="65"/>
      <c r="F869" s="65"/>
      <c r="G869" s="65"/>
      <c r="H869" s="65"/>
      <c r="I869" s="65"/>
      <c r="J869" s="108"/>
      <c r="K869" s="108"/>
      <c r="L869" s="65"/>
      <c r="M869" s="65"/>
      <c r="N869" s="65"/>
      <c r="O869" s="65"/>
      <c r="P869" s="65" t="b">
        <f>COUNTIF('Delivered SIR'!A:A, E869) &gt; 0</f>
        <v>0</v>
      </c>
    </row>
    <row r="870">
      <c r="A870" s="61"/>
      <c r="B870" s="61"/>
      <c r="C870" s="61"/>
      <c r="D870" s="61"/>
      <c r="E870" s="61"/>
      <c r="F870" s="61"/>
      <c r="G870" s="61"/>
      <c r="H870" s="61"/>
      <c r="I870" s="61"/>
      <c r="J870" s="107"/>
      <c r="K870" s="107"/>
      <c r="L870" s="61"/>
      <c r="M870" s="61"/>
      <c r="N870" s="61"/>
      <c r="O870" s="61"/>
      <c r="P870" s="61" t="b">
        <f>COUNTIF('Delivered SIR'!A:A, E870) &gt; 0</f>
        <v>0</v>
      </c>
    </row>
    <row r="871">
      <c r="A871" s="65"/>
      <c r="B871" s="65"/>
      <c r="C871" s="65"/>
      <c r="D871" s="65"/>
      <c r="E871" s="65"/>
      <c r="F871" s="65"/>
      <c r="G871" s="65"/>
      <c r="H871" s="65"/>
      <c r="I871" s="65"/>
      <c r="J871" s="108"/>
      <c r="K871" s="108"/>
      <c r="L871" s="65"/>
      <c r="M871" s="65"/>
      <c r="N871" s="65"/>
      <c r="O871" s="65"/>
      <c r="P871" s="65" t="b">
        <f>COUNTIF('Delivered SIR'!A:A, E871) &gt; 0</f>
        <v>0</v>
      </c>
    </row>
    <row r="872">
      <c r="A872" s="61"/>
      <c r="B872" s="61"/>
      <c r="C872" s="61"/>
      <c r="D872" s="61"/>
      <c r="E872" s="61"/>
      <c r="F872" s="61"/>
      <c r="G872" s="61"/>
      <c r="H872" s="61"/>
      <c r="I872" s="61"/>
      <c r="J872" s="107"/>
      <c r="K872" s="107"/>
      <c r="L872" s="61"/>
      <c r="M872" s="61"/>
      <c r="N872" s="61"/>
      <c r="O872" s="61"/>
      <c r="P872" s="61" t="b">
        <f>COUNTIF('Delivered SIR'!A:A, E872) &gt; 0</f>
        <v>0</v>
      </c>
    </row>
    <row r="873">
      <c r="A873" s="65"/>
      <c r="B873" s="65"/>
      <c r="C873" s="65"/>
      <c r="D873" s="65"/>
      <c r="E873" s="65"/>
      <c r="F873" s="65"/>
      <c r="G873" s="65"/>
      <c r="H873" s="65"/>
      <c r="I873" s="65"/>
      <c r="J873" s="108"/>
      <c r="K873" s="108"/>
      <c r="L873" s="65"/>
      <c r="M873" s="65"/>
      <c r="N873" s="65"/>
      <c r="O873" s="65"/>
      <c r="P873" s="65" t="b">
        <f>COUNTIF('Delivered SIR'!A:A, E873) &gt; 0</f>
        <v>0</v>
      </c>
    </row>
    <row r="874">
      <c r="A874" s="61"/>
      <c r="B874" s="61"/>
      <c r="C874" s="61"/>
      <c r="D874" s="61"/>
      <c r="E874" s="61"/>
      <c r="F874" s="61"/>
      <c r="G874" s="61"/>
      <c r="H874" s="61"/>
      <c r="I874" s="61"/>
      <c r="J874" s="107"/>
      <c r="K874" s="107"/>
      <c r="L874" s="61"/>
      <c r="M874" s="61"/>
      <c r="N874" s="61"/>
      <c r="O874" s="61"/>
      <c r="P874" s="61" t="b">
        <f>COUNTIF('Delivered SIR'!A:A, E874) &gt; 0</f>
        <v>0</v>
      </c>
    </row>
    <row r="875">
      <c r="A875" s="65"/>
      <c r="B875" s="65"/>
      <c r="C875" s="65"/>
      <c r="D875" s="65"/>
      <c r="E875" s="65"/>
      <c r="F875" s="65"/>
      <c r="G875" s="65"/>
      <c r="H875" s="65"/>
      <c r="I875" s="65"/>
      <c r="J875" s="108"/>
      <c r="K875" s="108"/>
      <c r="L875" s="65"/>
      <c r="M875" s="65"/>
      <c r="N875" s="65"/>
      <c r="O875" s="65"/>
      <c r="P875" s="65" t="b">
        <f>COUNTIF('Delivered SIR'!A:A, E875) &gt; 0</f>
        <v>0</v>
      </c>
    </row>
    <row r="876">
      <c r="A876" s="61"/>
      <c r="B876" s="61"/>
      <c r="C876" s="61"/>
      <c r="D876" s="61"/>
      <c r="E876" s="61"/>
      <c r="F876" s="61"/>
      <c r="G876" s="61"/>
      <c r="H876" s="61"/>
      <c r="I876" s="61"/>
      <c r="J876" s="107"/>
      <c r="K876" s="107"/>
      <c r="L876" s="61"/>
      <c r="M876" s="61"/>
      <c r="N876" s="61"/>
      <c r="O876" s="61"/>
      <c r="P876" s="61" t="b">
        <f>COUNTIF('Delivered SIR'!A:A, E876) &gt; 0</f>
        <v>0</v>
      </c>
    </row>
    <row r="877">
      <c r="A877" s="65"/>
      <c r="B877" s="65"/>
      <c r="C877" s="65"/>
      <c r="D877" s="65"/>
      <c r="E877" s="65"/>
      <c r="F877" s="65"/>
      <c r="G877" s="65"/>
      <c r="H877" s="65"/>
      <c r="I877" s="65"/>
      <c r="J877" s="108"/>
      <c r="K877" s="108"/>
      <c r="L877" s="65"/>
      <c r="M877" s="65"/>
      <c r="N877" s="65"/>
      <c r="O877" s="65"/>
      <c r="P877" s="65" t="b">
        <f>COUNTIF('Delivered SIR'!A:A, E877) &gt; 0</f>
        <v>0</v>
      </c>
    </row>
    <row r="878">
      <c r="A878" s="61"/>
      <c r="B878" s="61"/>
      <c r="C878" s="61"/>
      <c r="D878" s="61"/>
      <c r="E878" s="61"/>
      <c r="F878" s="61"/>
      <c r="G878" s="61"/>
      <c r="H878" s="61"/>
      <c r="I878" s="61"/>
      <c r="J878" s="107"/>
      <c r="K878" s="107"/>
      <c r="L878" s="61"/>
      <c r="M878" s="61"/>
      <c r="N878" s="61"/>
      <c r="O878" s="61"/>
      <c r="P878" s="61" t="b">
        <f>COUNTIF('Delivered SIR'!A:A, E878) &gt; 0</f>
        <v>0</v>
      </c>
    </row>
    <row r="879">
      <c r="A879" s="65"/>
      <c r="B879" s="65"/>
      <c r="C879" s="65"/>
      <c r="D879" s="65"/>
      <c r="E879" s="65"/>
      <c r="F879" s="65"/>
      <c r="G879" s="65"/>
      <c r="H879" s="65"/>
      <c r="I879" s="65"/>
      <c r="J879" s="108"/>
      <c r="K879" s="108"/>
      <c r="L879" s="65"/>
      <c r="M879" s="65"/>
      <c r="N879" s="65"/>
      <c r="O879" s="65"/>
      <c r="P879" s="65" t="b">
        <f>COUNTIF('Delivered SIR'!A:A, E879) &gt; 0</f>
        <v>0</v>
      </c>
    </row>
    <row r="880">
      <c r="A880" s="61"/>
      <c r="B880" s="61"/>
      <c r="C880" s="61"/>
      <c r="D880" s="61"/>
      <c r="E880" s="61"/>
      <c r="F880" s="61"/>
      <c r="G880" s="61"/>
      <c r="H880" s="61"/>
      <c r="I880" s="61"/>
      <c r="J880" s="107"/>
      <c r="K880" s="107"/>
      <c r="L880" s="61"/>
      <c r="M880" s="61"/>
      <c r="N880" s="61"/>
      <c r="O880" s="61"/>
      <c r="P880" s="61" t="b">
        <f>COUNTIF('Delivered SIR'!A:A, E880) &gt; 0</f>
        <v>0</v>
      </c>
    </row>
    <row r="881">
      <c r="A881" s="65"/>
      <c r="B881" s="65"/>
      <c r="C881" s="65"/>
      <c r="D881" s="65"/>
      <c r="E881" s="65"/>
      <c r="F881" s="65"/>
      <c r="G881" s="65"/>
      <c r="H881" s="65"/>
      <c r="I881" s="65"/>
      <c r="J881" s="108"/>
      <c r="K881" s="108"/>
      <c r="L881" s="65"/>
      <c r="M881" s="65"/>
      <c r="N881" s="65"/>
      <c r="O881" s="65"/>
      <c r="P881" s="65" t="b">
        <f>COUNTIF('Delivered SIR'!A:A, E881) &gt; 0</f>
        <v>0</v>
      </c>
    </row>
    <row r="882">
      <c r="A882" s="61"/>
      <c r="B882" s="61"/>
      <c r="C882" s="61"/>
      <c r="D882" s="61"/>
      <c r="E882" s="61"/>
      <c r="F882" s="61"/>
      <c r="G882" s="61"/>
      <c r="H882" s="61"/>
      <c r="I882" s="61"/>
      <c r="J882" s="107"/>
      <c r="K882" s="107"/>
      <c r="L882" s="61"/>
      <c r="M882" s="61"/>
      <c r="N882" s="61"/>
      <c r="O882" s="61"/>
      <c r="P882" s="61" t="b">
        <f>COUNTIF('Delivered SIR'!A:A, E882) &gt; 0</f>
        <v>0</v>
      </c>
    </row>
    <row r="883">
      <c r="A883" s="65"/>
      <c r="B883" s="65"/>
      <c r="C883" s="65"/>
      <c r="D883" s="65"/>
      <c r="E883" s="65"/>
      <c r="F883" s="65"/>
      <c r="G883" s="65"/>
      <c r="H883" s="65"/>
      <c r="I883" s="65"/>
      <c r="J883" s="108"/>
      <c r="K883" s="108"/>
      <c r="L883" s="65"/>
      <c r="M883" s="65"/>
      <c r="N883" s="65"/>
      <c r="O883" s="65"/>
      <c r="P883" s="65" t="b">
        <f>COUNTIF('Delivered SIR'!A:A, E883) &gt; 0</f>
        <v>0</v>
      </c>
    </row>
    <row r="884">
      <c r="A884" s="61"/>
      <c r="B884" s="61"/>
      <c r="C884" s="61"/>
      <c r="D884" s="61"/>
      <c r="E884" s="61"/>
      <c r="F884" s="61"/>
      <c r="G884" s="61"/>
      <c r="H884" s="61"/>
      <c r="I884" s="61"/>
      <c r="J884" s="107"/>
      <c r="K884" s="107"/>
      <c r="L884" s="61"/>
      <c r="M884" s="61"/>
      <c r="N884" s="61"/>
      <c r="O884" s="61"/>
      <c r="P884" s="61" t="b">
        <f>COUNTIF('Delivered SIR'!A:A, E884) &gt; 0</f>
        <v>0</v>
      </c>
    </row>
    <row r="885">
      <c r="A885" s="65"/>
      <c r="B885" s="65"/>
      <c r="C885" s="65"/>
      <c r="D885" s="65"/>
      <c r="E885" s="65"/>
      <c r="F885" s="65"/>
      <c r="G885" s="65"/>
      <c r="H885" s="65"/>
      <c r="I885" s="65"/>
      <c r="J885" s="108"/>
      <c r="K885" s="108"/>
      <c r="L885" s="65"/>
      <c r="M885" s="65"/>
      <c r="N885" s="65"/>
      <c r="O885" s="65"/>
      <c r="P885" s="65" t="b">
        <f>COUNTIF('Delivered SIR'!A:A, E885) &gt; 0</f>
        <v>0</v>
      </c>
    </row>
    <row r="886">
      <c r="A886" s="61"/>
      <c r="B886" s="61"/>
      <c r="C886" s="61"/>
      <c r="D886" s="61"/>
      <c r="E886" s="61"/>
      <c r="F886" s="61"/>
      <c r="G886" s="61"/>
      <c r="H886" s="61"/>
      <c r="I886" s="61"/>
      <c r="J886" s="107"/>
      <c r="K886" s="107"/>
      <c r="L886" s="61"/>
      <c r="M886" s="61"/>
      <c r="N886" s="61"/>
      <c r="O886" s="61"/>
      <c r="P886" s="61" t="b">
        <f>COUNTIF('Delivered SIR'!A:A, E886) &gt; 0</f>
        <v>0</v>
      </c>
    </row>
    <row r="887">
      <c r="A887" s="65"/>
      <c r="B887" s="65"/>
      <c r="C887" s="65"/>
      <c r="D887" s="65"/>
      <c r="E887" s="65"/>
      <c r="F887" s="65"/>
      <c r="G887" s="65"/>
      <c r="H887" s="65"/>
      <c r="I887" s="65"/>
      <c r="J887" s="108"/>
      <c r="K887" s="108"/>
      <c r="L887" s="65"/>
      <c r="M887" s="65"/>
      <c r="N887" s="65"/>
      <c r="O887" s="65"/>
      <c r="P887" s="65" t="b">
        <f>COUNTIF('Delivered SIR'!A:A, E887) &gt; 0</f>
        <v>0</v>
      </c>
    </row>
    <row r="888">
      <c r="A888" s="61"/>
      <c r="B888" s="61"/>
      <c r="C888" s="61"/>
      <c r="D888" s="61"/>
      <c r="E888" s="61"/>
      <c r="F888" s="61"/>
      <c r="G888" s="61"/>
      <c r="H888" s="61"/>
      <c r="I888" s="61"/>
      <c r="J888" s="107"/>
      <c r="K888" s="107"/>
      <c r="L888" s="61"/>
      <c r="M888" s="61"/>
      <c r="N888" s="61"/>
      <c r="O888" s="61"/>
      <c r="P888" s="61" t="b">
        <f>COUNTIF('Delivered SIR'!A:A, E888) &gt; 0</f>
        <v>0</v>
      </c>
    </row>
    <row r="889">
      <c r="A889" s="65"/>
      <c r="B889" s="65"/>
      <c r="C889" s="65"/>
      <c r="D889" s="65"/>
      <c r="E889" s="65"/>
      <c r="F889" s="65"/>
      <c r="G889" s="65"/>
      <c r="H889" s="65"/>
      <c r="I889" s="65"/>
      <c r="J889" s="108"/>
      <c r="K889" s="108"/>
      <c r="L889" s="65"/>
      <c r="M889" s="65"/>
      <c r="N889" s="65"/>
      <c r="O889" s="65"/>
      <c r="P889" s="65" t="b">
        <f>COUNTIF('Delivered SIR'!A:A, E889) &gt; 0</f>
        <v>0</v>
      </c>
    </row>
    <row r="890">
      <c r="A890" s="61"/>
      <c r="B890" s="61"/>
      <c r="C890" s="61"/>
      <c r="D890" s="61"/>
      <c r="E890" s="61"/>
      <c r="F890" s="61"/>
      <c r="G890" s="61"/>
      <c r="H890" s="61"/>
      <c r="I890" s="61"/>
      <c r="J890" s="107"/>
      <c r="K890" s="107"/>
      <c r="L890" s="61"/>
      <c r="M890" s="61"/>
      <c r="N890" s="61"/>
      <c r="O890" s="61"/>
      <c r="P890" s="61" t="b">
        <f>COUNTIF('Delivered SIR'!A:A, E890) &gt; 0</f>
        <v>0</v>
      </c>
    </row>
    <row r="891">
      <c r="A891" s="65"/>
      <c r="B891" s="65"/>
      <c r="C891" s="65"/>
      <c r="D891" s="65"/>
      <c r="E891" s="65"/>
      <c r="F891" s="65"/>
      <c r="G891" s="65"/>
      <c r="H891" s="65"/>
      <c r="I891" s="65"/>
      <c r="J891" s="108"/>
      <c r="K891" s="108"/>
      <c r="L891" s="65"/>
      <c r="M891" s="65"/>
      <c r="N891" s="65"/>
      <c r="O891" s="65"/>
      <c r="P891" s="65" t="b">
        <f>COUNTIF('Delivered SIR'!A:A, E891) &gt; 0</f>
        <v>0</v>
      </c>
    </row>
    <row r="892">
      <c r="A892" s="61"/>
      <c r="B892" s="61"/>
      <c r="C892" s="61"/>
      <c r="D892" s="61"/>
      <c r="E892" s="61"/>
      <c r="F892" s="61"/>
      <c r="G892" s="61"/>
      <c r="H892" s="61"/>
      <c r="I892" s="61"/>
      <c r="J892" s="107"/>
      <c r="K892" s="107"/>
      <c r="L892" s="61"/>
      <c r="M892" s="61"/>
      <c r="N892" s="61"/>
      <c r="O892" s="61"/>
      <c r="P892" s="61" t="b">
        <f>COUNTIF('Delivered SIR'!A:A, E892) &gt; 0</f>
        <v>0</v>
      </c>
    </row>
    <row r="893">
      <c r="A893" s="65"/>
      <c r="B893" s="65"/>
      <c r="C893" s="65"/>
      <c r="D893" s="65"/>
      <c r="E893" s="65"/>
      <c r="F893" s="65"/>
      <c r="G893" s="65"/>
      <c r="H893" s="65"/>
      <c r="I893" s="65"/>
      <c r="J893" s="108"/>
      <c r="K893" s="108"/>
      <c r="L893" s="65"/>
      <c r="M893" s="65"/>
      <c r="N893" s="65"/>
      <c r="O893" s="65"/>
      <c r="P893" s="65" t="b">
        <f>COUNTIF('Delivered SIR'!A:A, E893) &gt; 0</f>
        <v>0</v>
      </c>
    </row>
    <row r="894">
      <c r="A894" s="61"/>
      <c r="B894" s="61"/>
      <c r="C894" s="61"/>
      <c r="D894" s="61"/>
      <c r="E894" s="61"/>
      <c r="F894" s="61"/>
      <c r="G894" s="61"/>
      <c r="H894" s="61"/>
      <c r="I894" s="61"/>
      <c r="J894" s="107"/>
      <c r="K894" s="107"/>
      <c r="L894" s="61"/>
      <c r="M894" s="61"/>
      <c r="N894" s="61"/>
      <c r="O894" s="61"/>
      <c r="P894" s="61" t="b">
        <f>COUNTIF('Delivered SIR'!A:A, E894) &gt; 0</f>
        <v>0</v>
      </c>
    </row>
    <row r="895">
      <c r="A895" s="65"/>
      <c r="B895" s="65"/>
      <c r="C895" s="65"/>
      <c r="D895" s="65"/>
      <c r="E895" s="65"/>
      <c r="F895" s="65"/>
      <c r="G895" s="65"/>
      <c r="H895" s="65"/>
      <c r="I895" s="65"/>
      <c r="J895" s="108"/>
      <c r="K895" s="108"/>
      <c r="L895" s="65"/>
      <c r="M895" s="65"/>
      <c r="N895" s="65"/>
      <c r="O895" s="65"/>
      <c r="P895" s="65" t="b">
        <f>COUNTIF('Delivered SIR'!A:A, E895) &gt; 0</f>
        <v>0</v>
      </c>
    </row>
    <row r="896">
      <c r="A896" s="61"/>
      <c r="B896" s="61"/>
      <c r="C896" s="61"/>
      <c r="D896" s="61"/>
      <c r="E896" s="61"/>
      <c r="F896" s="61"/>
      <c r="G896" s="61"/>
      <c r="H896" s="61"/>
      <c r="I896" s="61"/>
      <c r="J896" s="107"/>
      <c r="K896" s="107"/>
      <c r="L896" s="61"/>
      <c r="M896" s="61"/>
      <c r="N896" s="61"/>
      <c r="O896" s="61"/>
      <c r="P896" s="61" t="b">
        <f>COUNTIF('Delivered SIR'!A:A, E896) &gt; 0</f>
        <v>0</v>
      </c>
    </row>
    <row r="897">
      <c r="A897" s="65"/>
      <c r="B897" s="65"/>
      <c r="C897" s="65"/>
      <c r="D897" s="65"/>
      <c r="E897" s="65"/>
      <c r="F897" s="65"/>
      <c r="G897" s="65"/>
      <c r="H897" s="65"/>
      <c r="I897" s="65"/>
      <c r="J897" s="108"/>
      <c r="K897" s="108"/>
      <c r="L897" s="65"/>
      <c r="M897" s="65"/>
      <c r="N897" s="65"/>
      <c r="O897" s="65"/>
      <c r="P897" s="65" t="b">
        <f>COUNTIF('Delivered SIR'!A:A, E897) &gt; 0</f>
        <v>0</v>
      </c>
    </row>
    <row r="898">
      <c r="A898" s="61"/>
      <c r="B898" s="61"/>
      <c r="C898" s="61"/>
      <c r="D898" s="61"/>
      <c r="E898" s="61"/>
      <c r="F898" s="61"/>
      <c r="G898" s="61"/>
      <c r="H898" s="61"/>
      <c r="I898" s="61"/>
      <c r="J898" s="107"/>
      <c r="K898" s="107"/>
      <c r="L898" s="61"/>
      <c r="M898" s="61"/>
      <c r="N898" s="61"/>
      <c r="O898" s="61"/>
      <c r="P898" s="61" t="b">
        <f>COUNTIF('Delivered SIR'!A:A, E898) &gt; 0</f>
        <v>0</v>
      </c>
    </row>
    <row r="899">
      <c r="A899" s="65"/>
      <c r="B899" s="65"/>
      <c r="C899" s="65"/>
      <c r="D899" s="65"/>
      <c r="E899" s="65"/>
      <c r="F899" s="65"/>
      <c r="G899" s="65"/>
      <c r="H899" s="65"/>
      <c r="I899" s="65"/>
      <c r="J899" s="108"/>
      <c r="K899" s="108"/>
      <c r="L899" s="65"/>
      <c r="M899" s="65"/>
      <c r="N899" s="65"/>
      <c r="O899" s="65"/>
      <c r="P899" s="65" t="b">
        <f>COUNTIF('Delivered SIR'!A:A, E899) &gt; 0</f>
        <v>0</v>
      </c>
    </row>
    <row r="900">
      <c r="A900" s="61"/>
      <c r="B900" s="61"/>
      <c r="C900" s="61"/>
      <c r="D900" s="61"/>
      <c r="E900" s="61"/>
      <c r="F900" s="61"/>
      <c r="G900" s="61"/>
      <c r="H900" s="61"/>
      <c r="I900" s="61"/>
      <c r="J900" s="107"/>
      <c r="K900" s="107"/>
      <c r="L900" s="61"/>
      <c r="M900" s="61"/>
      <c r="N900" s="61"/>
      <c r="O900" s="61"/>
      <c r="P900" s="61" t="b">
        <f>COUNTIF('Delivered SIR'!A:A, E900) &gt; 0</f>
        <v>0</v>
      </c>
    </row>
    <row r="901">
      <c r="A901" s="65"/>
      <c r="B901" s="65"/>
      <c r="C901" s="65"/>
      <c r="D901" s="65"/>
      <c r="E901" s="65"/>
      <c r="F901" s="65"/>
      <c r="G901" s="65"/>
      <c r="H901" s="65"/>
      <c r="I901" s="65"/>
      <c r="J901" s="108"/>
      <c r="K901" s="108"/>
      <c r="L901" s="65"/>
      <c r="M901" s="65"/>
      <c r="N901" s="65"/>
      <c r="O901" s="65"/>
      <c r="P901" s="65" t="b">
        <f>COUNTIF('Delivered SIR'!A:A, E901) &gt; 0</f>
        <v>0</v>
      </c>
    </row>
    <row r="902">
      <c r="A902" s="61"/>
      <c r="B902" s="61"/>
      <c r="C902" s="61"/>
      <c r="D902" s="61"/>
      <c r="E902" s="61"/>
      <c r="F902" s="61"/>
      <c r="G902" s="61"/>
      <c r="H902" s="61"/>
      <c r="I902" s="61"/>
      <c r="J902" s="107"/>
      <c r="K902" s="107"/>
      <c r="L902" s="61"/>
      <c r="M902" s="61"/>
      <c r="N902" s="61"/>
      <c r="O902" s="61"/>
      <c r="P902" s="61" t="b">
        <f>COUNTIF('Delivered SIR'!A:A, E902) &gt; 0</f>
        <v>0</v>
      </c>
    </row>
    <row r="903">
      <c r="A903" s="65"/>
      <c r="B903" s="65"/>
      <c r="C903" s="65"/>
      <c r="D903" s="65"/>
      <c r="E903" s="65"/>
      <c r="F903" s="65"/>
      <c r="G903" s="65"/>
      <c r="H903" s="65"/>
      <c r="I903" s="65"/>
      <c r="J903" s="108"/>
      <c r="K903" s="108"/>
      <c r="L903" s="65"/>
      <c r="M903" s="65"/>
      <c r="N903" s="65"/>
      <c r="O903" s="65"/>
      <c r="P903" s="65" t="b">
        <f>COUNTIF('Delivered SIR'!A:A, E903) &gt; 0</f>
        <v>0</v>
      </c>
    </row>
    <row r="904">
      <c r="A904" s="61"/>
      <c r="B904" s="61"/>
      <c r="C904" s="61"/>
      <c r="D904" s="61"/>
      <c r="E904" s="61"/>
      <c r="F904" s="61"/>
      <c r="G904" s="61"/>
      <c r="H904" s="61"/>
      <c r="I904" s="61"/>
      <c r="J904" s="107"/>
      <c r="K904" s="107"/>
      <c r="L904" s="61"/>
      <c r="M904" s="61"/>
      <c r="N904" s="61"/>
      <c r="O904" s="61"/>
      <c r="P904" s="61" t="b">
        <f>COUNTIF('Delivered SIR'!A:A, E904) &gt; 0</f>
        <v>0</v>
      </c>
    </row>
    <row r="905">
      <c r="A905" s="65"/>
      <c r="B905" s="65"/>
      <c r="C905" s="65"/>
      <c r="D905" s="65"/>
      <c r="E905" s="65"/>
      <c r="F905" s="65"/>
      <c r="G905" s="65"/>
      <c r="H905" s="65"/>
      <c r="I905" s="65"/>
      <c r="J905" s="108"/>
      <c r="K905" s="108"/>
      <c r="L905" s="65"/>
      <c r="M905" s="65"/>
      <c r="N905" s="65"/>
      <c r="O905" s="65"/>
      <c r="P905" s="65" t="b">
        <f>COUNTIF('Delivered SIR'!A:A, E905) &gt; 0</f>
        <v>0</v>
      </c>
    </row>
    <row r="906">
      <c r="A906" s="61"/>
      <c r="B906" s="61"/>
      <c r="C906" s="61"/>
      <c r="D906" s="61"/>
      <c r="E906" s="61"/>
      <c r="F906" s="61"/>
      <c r="G906" s="61"/>
      <c r="H906" s="61"/>
      <c r="I906" s="61"/>
      <c r="J906" s="107"/>
      <c r="K906" s="107"/>
      <c r="L906" s="61"/>
      <c r="M906" s="61"/>
      <c r="N906" s="61"/>
      <c r="O906" s="61"/>
      <c r="P906" s="61" t="b">
        <f>COUNTIF('Delivered SIR'!A:A, E906) &gt; 0</f>
        <v>0</v>
      </c>
    </row>
    <row r="907">
      <c r="A907" s="65"/>
      <c r="B907" s="65"/>
      <c r="C907" s="65"/>
      <c r="D907" s="65"/>
      <c r="E907" s="65"/>
      <c r="F907" s="65"/>
      <c r="G907" s="65"/>
      <c r="H907" s="65"/>
      <c r="I907" s="65"/>
      <c r="J907" s="108"/>
      <c r="K907" s="108"/>
      <c r="L907" s="65"/>
      <c r="M907" s="65"/>
      <c r="N907" s="65"/>
      <c r="O907" s="65"/>
      <c r="P907" s="65" t="b">
        <f>COUNTIF('Delivered SIR'!A:A, E907) &gt; 0</f>
        <v>0</v>
      </c>
    </row>
    <row r="908">
      <c r="A908" s="61"/>
      <c r="B908" s="61"/>
      <c r="C908" s="61"/>
      <c r="D908" s="61"/>
      <c r="E908" s="61"/>
      <c r="F908" s="61"/>
      <c r="G908" s="61"/>
      <c r="H908" s="61"/>
      <c r="I908" s="61"/>
      <c r="J908" s="107"/>
      <c r="K908" s="107"/>
      <c r="L908" s="61"/>
      <c r="M908" s="61"/>
      <c r="N908" s="61"/>
      <c r="O908" s="61"/>
      <c r="P908" s="61" t="b">
        <f>COUNTIF('Delivered SIR'!A:A, E908) &gt; 0</f>
        <v>0</v>
      </c>
    </row>
    <row r="909">
      <c r="A909" s="65"/>
      <c r="B909" s="65"/>
      <c r="C909" s="65"/>
      <c r="D909" s="65"/>
      <c r="E909" s="65"/>
      <c r="F909" s="65"/>
      <c r="G909" s="65"/>
      <c r="H909" s="65"/>
      <c r="I909" s="65"/>
      <c r="J909" s="108"/>
      <c r="K909" s="108"/>
      <c r="L909" s="65"/>
      <c r="M909" s="65"/>
      <c r="N909" s="65"/>
      <c r="O909" s="65"/>
      <c r="P909" s="65" t="b">
        <f>COUNTIF('Delivered SIR'!A:A, E909) &gt; 0</f>
        <v>0</v>
      </c>
    </row>
    <row r="910">
      <c r="A910" s="61"/>
      <c r="B910" s="61"/>
      <c r="C910" s="61"/>
      <c r="D910" s="61"/>
      <c r="E910" s="61"/>
      <c r="F910" s="61"/>
      <c r="G910" s="61"/>
      <c r="H910" s="61"/>
      <c r="I910" s="61"/>
      <c r="J910" s="107"/>
      <c r="K910" s="107"/>
      <c r="L910" s="61"/>
      <c r="M910" s="61"/>
      <c r="N910" s="61"/>
      <c r="O910" s="61"/>
      <c r="P910" s="61" t="b">
        <f>COUNTIF('Delivered SIR'!A:A, E910) &gt; 0</f>
        <v>0</v>
      </c>
    </row>
    <row r="911">
      <c r="A911" s="65"/>
      <c r="B911" s="65"/>
      <c r="C911" s="65"/>
      <c r="D911" s="65"/>
      <c r="E911" s="65"/>
      <c r="F911" s="65"/>
      <c r="G911" s="65"/>
      <c r="H911" s="65"/>
      <c r="I911" s="65"/>
      <c r="J911" s="108"/>
      <c r="K911" s="108"/>
      <c r="L911" s="65"/>
      <c r="M911" s="65"/>
      <c r="N911" s="65"/>
      <c r="O911" s="65"/>
      <c r="P911" s="65" t="b">
        <f>COUNTIF('Delivered SIR'!A:A, E911) &gt; 0</f>
        <v>0</v>
      </c>
    </row>
    <row r="912">
      <c r="A912" s="61"/>
      <c r="B912" s="61"/>
      <c r="C912" s="61"/>
      <c r="D912" s="61"/>
      <c r="E912" s="61"/>
      <c r="F912" s="61"/>
      <c r="G912" s="61"/>
      <c r="H912" s="61"/>
      <c r="I912" s="61"/>
      <c r="J912" s="107"/>
      <c r="K912" s="107"/>
      <c r="L912" s="61"/>
      <c r="M912" s="61"/>
      <c r="N912" s="61"/>
      <c r="O912" s="61"/>
      <c r="P912" s="61" t="b">
        <f>COUNTIF('Delivered SIR'!A:A, E912) &gt; 0</f>
        <v>0</v>
      </c>
    </row>
    <row r="913">
      <c r="A913" s="65"/>
      <c r="B913" s="65"/>
      <c r="C913" s="65"/>
      <c r="D913" s="65"/>
      <c r="E913" s="65"/>
      <c r="F913" s="65"/>
      <c r="G913" s="65"/>
      <c r="H913" s="65"/>
      <c r="I913" s="65"/>
      <c r="J913" s="108"/>
      <c r="K913" s="108"/>
      <c r="L913" s="65"/>
      <c r="M913" s="65"/>
      <c r="N913" s="65"/>
      <c r="O913" s="65"/>
      <c r="P913" s="65" t="b">
        <f>COUNTIF('Delivered SIR'!A:A, E913) &gt; 0</f>
        <v>0</v>
      </c>
    </row>
    <row r="914">
      <c r="A914" s="61"/>
      <c r="B914" s="61"/>
      <c r="C914" s="61"/>
      <c r="D914" s="61"/>
      <c r="E914" s="61"/>
      <c r="F914" s="61"/>
      <c r="G914" s="61"/>
      <c r="H914" s="61"/>
      <c r="I914" s="61"/>
      <c r="J914" s="107"/>
      <c r="K914" s="107"/>
      <c r="L914" s="61"/>
      <c r="M914" s="61"/>
      <c r="N914" s="61"/>
      <c r="O914" s="61"/>
      <c r="P914" s="61" t="b">
        <f>COUNTIF('Delivered SIR'!A:A, E914) &gt; 0</f>
        <v>0</v>
      </c>
    </row>
    <row r="915">
      <c r="A915" s="65"/>
      <c r="B915" s="65"/>
      <c r="C915" s="65"/>
      <c r="D915" s="65"/>
      <c r="E915" s="65"/>
      <c r="F915" s="65"/>
      <c r="G915" s="65"/>
      <c r="H915" s="65"/>
      <c r="I915" s="65"/>
      <c r="J915" s="108"/>
      <c r="K915" s="108"/>
      <c r="L915" s="65"/>
      <c r="M915" s="65"/>
      <c r="N915" s="65"/>
      <c r="O915" s="65"/>
      <c r="P915" s="65" t="b">
        <f>COUNTIF('Delivered SIR'!A:A, E915) &gt; 0</f>
        <v>0</v>
      </c>
    </row>
    <row r="916">
      <c r="A916" s="61"/>
      <c r="B916" s="61"/>
      <c r="C916" s="61"/>
      <c r="D916" s="61"/>
      <c r="E916" s="61"/>
      <c r="F916" s="61"/>
      <c r="G916" s="61"/>
      <c r="H916" s="61"/>
      <c r="I916" s="61"/>
      <c r="J916" s="107"/>
      <c r="K916" s="107"/>
      <c r="L916" s="61"/>
      <c r="M916" s="61"/>
      <c r="N916" s="61"/>
      <c r="O916" s="61"/>
      <c r="P916" s="61" t="b">
        <f>COUNTIF('Delivered SIR'!A:A, E916) &gt; 0</f>
        <v>0</v>
      </c>
    </row>
    <row r="917">
      <c r="A917" s="65"/>
      <c r="B917" s="65"/>
      <c r="C917" s="65"/>
      <c r="D917" s="65"/>
      <c r="E917" s="65"/>
      <c r="F917" s="65"/>
      <c r="G917" s="65"/>
      <c r="H917" s="65"/>
      <c r="I917" s="65"/>
      <c r="J917" s="108"/>
      <c r="K917" s="108"/>
      <c r="L917" s="65"/>
      <c r="M917" s="65"/>
      <c r="N917" s="65"/>
      <c r="O917" s="65"/>
      <c r="P917" s="65" t="b">
        <f>COUNTIF('Delivered SIR'!A:A, E917) &gt; 0</f>
        <v>0</v>
      </c>
    </row>
    <row r="918">
      <c r="A918" s="61"/>
      <c r="B918" s="61"/>
      <c r="C918" s="61"/>
      <c r="D918" s="61"/>
      <c r="E918" s="61"/>
      <c r="F918" s="61"/>
      <c r="G918" s="61"/>
      <c r="H918" s="61"/>
      <c r="I918" s="61"/>
      <c r="J918" s="107"/>
      <c r="K918" s="107"/>
      <c r="L918" s="61"/>
      <c r="M918" s="61"/>
      <c r="N918" s="61"/>
      <c r="O918" s="61"/>
      <c r="P918" s="61" t="b">
        <f>COUNTIF('Delivered SIR'!A:A, E918) &gt; 0</f>
        <v>0</v>
      </c>
    </row>
    <row r="919">
      <c r="A919" s="65"/>
      <c r="B919" s="65"/>
      <c r="C919" s="65"/>
      <c r="D919" s="65"/>
      <c r="E919" s="65"/>
      <c r="F919" s="65"/>
      <c r="G919" s="65"/>
      <c r="H919" s="65"/>
      <c r="I919" s="65"/>
      <c r="J919" s="108"/>
      <c r="K919" s="108"/>
      <c r="L919" s="65"/>
      <c r="M919" s="65"/>
      <c r="N919" s="65"/>
      <c r="O919" s="65"/>
      <c r="P919" s="65" t="b">
        <f>COUNTIF('Delivered SIR'!A:A, E919) &gt; 0</f>
        <v>0</v>
      </c>
    </row>
    <row r="920">
      <c r="A920" s="61"/>
      <c r="B920" s="61"/>
      <c r="C920" s="61"/>
      <c r="D920" s="61"/>
      <c r="E920" s="61"/>
      <c r="F920" s="61"/>
      <c r="G920" s="61"/>
      <c r="H920" s="61"/>
      <c r="I920" s="61"/>
      <c r="J920" s="107"/>
      <c r="K920" s="107"/>
      <c r="L920" s="61"/>
      <c r="M920" s="61"/>
      <c r="N920" s="61"/>
      <c r="O920" s="61"/>
      <c r="P920" s="61" t="b">
        <f>COUNTIF('Delivered SIR'!A:A, E920) &gt; 0</f>
        <v>0</v>
      </c>
    </row>
    <row r="921">
      <c r="A921" s="65"/>
      <c r="B921" s="65"/>
      <c r="C921" s="65"/>
      <c r="D921" s="65"/>
      <c r="E921" s="65"/>
      <c r="F921" s="65"/>
      <c r="G921" s="65"/>
      <c r="H921" s="65"/>
      <c r="I921" s="65"/>
      <c r="J921" s="108"/>
      <c r="K921" s="108"/>
      <c r="L921" s="65"/>
      <c r="M921" s="65"/>
      <c r="N921" s="65"/>
      <c r="O921" s="65"/>
      <c r="P921" s="65" t="b">
        <f>COUNTIF('Delivered SIR'!A:A, E921) &gt; 0</f>
        <v>0</v>
      </c>
    </row>
    <row r="922">
      <c r="A922" s="61"/>
      <c r="B922" s="61"/>
      <c r="C922" s="61"/>
      <c r="D922" s="61"/>
      <c r="E922" s="61"/>
      <c r="F922" s="61"/>
      <c r="G922" s="61"/>
      <c r="H922" s="61"/>
      <c r="I922" s="61"/>
      <c r="J922" s="107"/>
      <c r="K922" s="107"/>
      <c r="L922" s="61"/>
      <c r="M922" s="61"/>
      <c r="N922" s="61"/>
      <c r="O922" s="61"/>
      <c r="P922" s="61" t="b">
        <f>COUNTIF('Delivered SIR'!A:A, E922) &gt; 0</f>
        <v>0</v>
      </c>
    </row>
    <row r="923">
      <c r="A923" s="65"/>
      <c r="B923" s="65"/>
      <c r="C923" s="65"/>
      <c r="D923" s="65"/>
      <c r="E923" s="65"/>
      <c r="F923" s="65"/>
      <c r="G923" s="65"/>
      <c r="H923" s="65"/>
      <c r="I923" s="65"/>
      <c r="J923" s="108"/>
      <c r="K923" s="108"/>
      <c r="L923" s="65"/>
      <c r="M923" s="65"/>
      <c r="N923" s="65"/>
      <c r="O923" s="65"/>
      <c r="P923" s="65" t="b">
        <f>COUNTIF('Delivered SIR'!A:A, E923) &gt; 0</f>
        <v>0</v>
      </c>
    </row>
    <row r="924">
      <c r="A924" s="61"/>
      <c r="B924" s="61"/>
      <c r="C924" s="61"/>
      <c r="D924" s="61"/>
      <c r="E924" s="61"/>
      <c r="F924" s="61"/>
      <c r="G924" s="61"/>
      <c r="H924" s="61"/>
      <c r="I924" s="61"/>
      <c r="J924" s="107"/>
      <c r="K924" s="107"/>
      <c r="L924" s="61"/>
      <c r="M924" s="61"/>
      <c r="N924" s="61"/>
      <c r="O924" s="61"/>
      <c r="P924" s="61" t="b">
        <f>COUNTIF('Delivered SIR'!A:A, E924) &gt; 0</f>
        <v>0</v>
      </c>
    </row>
    <row r="925">
      <c r="A925" s="65"/>
      <c r="B925" s="65"/>
      <c r="C925" s="65"/>
      <c r="D925" s="65"/>
      <c r="E925" s="65"/>
      <c r="F925" s="65"/>
      <c r="G925" s="65"/>
      <c r="H925" s="65"/>
      <c r="I925" s="65"/>
      <c r="J925" s="108"/>
      <c r="K925" s="108"/>
      <c r="L925" s="65"/>
      <c r="M925" s="65"/>
      <c r="N925" s="65"/>
      <c r="O925" s="65"/>
      <c r="P925" s="65" t="b">
        <f>COUNTIF('Delivered SIR'!A:A, E925) &gt; 0</f>
        <v>0</v>
      </c>
    </row>
    <row r="926">
      <c r="A926" s="61"/>
      <c r="B926" s="61"/>
      <c r="C926" s="61"/>
      <c r="D926" s="61"/>
      <c r="E926" s="61"/>
      <c r="F926" s="61"/>
      <c r="G926" s="61"/>
      <c r="H926" s="61"/>
      <c r="I926" s="61"/>
      <c r="J926" s="107"/>
      <c r="K926" s="107"/>
      <c r="L926" s="61"/>
      <c r="M926" s="61"/>
      <c r="N926" s="61"/>
      <c r="O926" s="61"/>
      <c r="P926" s="61" t="b">
        <f>COUNTIF('Delivered SIR'!A:A, E926) &gt; 0</f>
        <v>0</v>
      </c>
    </row>
    <row r="927">
      <c r="A927" s="65"/>
      <c r="B927" s="65"/>
      <c r="C927" s="65"/>
      <c r="D927" s="65"/>
      <c r="E927" s="65"/>
      <c r="F927" s="65"/>
      <c r="G927" s="65"/>
      <c r="H927" s="65"/>
      <c r="I927" s="65"/>
      <c r="J927" s="108"/>
      <c r="K927" s="108"/>
      <c r="L927" s="65"/>
      <c r="M927" s="65"/>
      <c r="N927" s="65"/>
      <c r="O927" s="65"/>
      <c r="P927" s="65" t="b">
        <f>COUNTIF('Delivered SIR'!A:A, E927) &gt; 0</f>
        <v>0</v>
      </c>
    </row>
    <row r="928">
      <c r="A928" s="61"/>
      <c r="B928" s="61"/>
      <c r="C928" s="61"/>
      <c r="D928" s="61"/>
      <c r="E928" s="61"/>
      <c r="F928" s="61"/>
      <c r="G928" s="61"/>
      <c r="H928" s="61"/>
      <c r="I928" s="61"/>
      <c r="J928" s="107"/>
      <c r="K928" s="107"/>
      <c r="L928" s="61"/>
      <c r="M928" s="61"/>
      <c r="N928" s="61"/>
      <c r="O928" s="61"/>
      <c r="P928" s="61" t="b">
        <f>COUNTIF('Delivered SIR'!A:A, E928) &gt; 0</f>
        <v>0</v>
      </c>
    </row>
    <row r="929">
      <c r="A929" s="65"/>
      <c r="B929" s="65"/>
      <c r="C929" s="65"/>
      <c r="D929" s="65"/>
      <c r="E929" s="65"/>
      <c r="F929" s="65"/>
      <c r="G929" s="65"/>
      <c r="H929" s="65"/>
      <c r="I929" s="65"/>
      <c r="J929" s="108"/>
      <c r="K929" s="108"/>
      <c r="L929" s="65"/>
      <c r="M929" s="65"/>
      <c r="N929" s="65"/>
      <c r="O929" s="65"/>
      <c r="P929" s="65" t="b">
        <f>COUNTIF('Delivered SIR'!A:A, E929) &gt; 0</f>
        <v>0</v>
      </c>
    </row>
    <row r="930">
      <c r="A930" s="61"/>
      <c r="B930" s="61"/>
      <c r="C930" s="61"/>
      <c r="D930" s="61"/>
      <c r="E930" s="61"/>
      <c r="F930" s="61"/>
      <c r="G930" s="61"/>
      <c r="H930" s="61"/>
      <c r="I930" s="61"/>
      <c r="J930" s="107"/>
      <c r="K930" s="107"/>
      <c r="L930" s="61"/>
      <c r="M930" s="61"/>
      <c r="N930" s="61"/>
      <c r="O930" s="61"/>
      <c r="P930" s="61" t="b">
        <f>COUNTIF('Delivered SIR'!A:A, E930) &gt; 0</f>
        <v>0</v>
      </c>
    </row>
    <row r="931">
      <c r="A931" s="65"/>
      <c r="B931" s="65"/>
      <c r="C931" s="65"/>
      <c r="D931" s="65"/>
      <c r="E931" s="65"/>
      <c r="F931" s="65"/>
      <c r="G931" s="65"/>
      <c r="H931" s="65"/>
      <c r="I931" s="65"/>
      <c r="J931" s="108"/>
      <c r="K931" s="108"/>
      <c r="L931" s="65"/>
      <c r="M931" s="65"/>
      <c r="N931" s="65"/>
      <c r="O931" s="65"/>
      <c r="P931" s="65" t="b">
        <f>COUNTIF('Delivered SIR'!A:A, E931) &gt; 0</f>
        <v>0</v>
      </c>
    </row>
    <row r="932">
      <c r="A932" s="61"/>
      <c r="B932" s="61"/>
      <c r="C932" s="61"/>
      <c r="D932" s="61"/>
      <c r="E932" s="61"/>
      <c r="F932" s="61"/>
      <c r="G932" s="61"/>
      <c r="H932" s="61"/>
      <c r="I932" s="61"/>
      <c r="J932" s="107"/>
      <c r="K932" s="107"/>
      <c r="L932" s="61"/>
      <c r="M932" s="61"/>
      <c r="N932" s="61"/>
      <c r="O932" s="61"/>
      <c r="P932" s="61" t="b">
        <f>COUNTIF('Delivered SIR'!A:A, E932) &gt; 0</f>
        <v>0</v>
      </c>
    </row>
    <row r="933">
      <c r="A933" s="65"/>
      <c r="B933" s="65"/>
      <c r="C933" s="65"/>
      <c r="D933" s="65"/>
      <c r="E933" s="65"/>
      <c r="F933" s="65"/>
      <c r="G933" s="65"/>
      <c r="H933" s="65"/>
      <c r="I933" s="65"/>
      <c r="J933" s="108"/>
      <c r="K933" s="108"/>
      <c r="L933" s="65"/>
      <c r="M933" s="65"/>
      <c r="N933" s="65"/>
      <c r="O933" s="65"/>
      <c r="P933" s="65" t="b">
        <f>COUNTIF('Delivered SIR'!A:A, E933) &gt; 0</f>
        <v>0</v>
      </c>
    </row>
    <row r="934">
      <c r="A934" s="61"/>
      <c r="B934" s="61"/>
      <c r="C934" s="61"/>
      <c r="D934" s="61"/>
      <c r="E934" s="61"/>
      <c r="F934" s="61"/>
      <c r="G934" s="61"/>
      <c r="H934" s="61"/>
      <c r="I934" s="61"/>
      <c r="J934" s="107"/>
      <c r="K934" s="107"/>
      <c r="L934" s="61"/>
      <c r="M934" s="61"/>
      <c r="N934" s="61"/>
      <c r="O934" s="61"/>
      <c r="P934" s="61" t="b">
        <f>COUNTIF('Delivered SIR'!A:A, E934) &gt; 0</f>
        <v>0</v>
      </c>
    </row>
    <row r="935">
      <c r="A935" s="65"/>
      <c r="B935" s="65"/>
      <c r="C935" s="65"/>
      <c r="D935" s="65"/>
      <c r="E935" s="65"/>
      <c r="F935" s="65"/>
      <c r="G935" s="65"/>
      <c r="H935" s="65"/>
      <c r="I935" s="65"/>
      <c r="J935" s="108"/>
      <c r="K935" s="108"/>
      <c r="L935" s="65"/>
      <c r="M935" s="65"/>
      <c r="N935" s="65"/>
      <c r="O935" s="65"/>
      <c r="P935" s="65" t="b">
        <f>COUNTIF('Delivered SIR'!A:A, E935) &gt; 0</f>
        <v>0</v>
      </c>
    </row>
    <row r="936">
      <c r="A936" s="61"/>
      <c r="B936" s="61"/>
      <c r="C936" s="61"/>
      <c r="D936" s="61"/>
      <c r="E936" s="61"/>
      <c r="F936" s="61"/>
      <c r="G936" s="61"/>
      <c r="H936" s="61"/>
      <c r="I936" s="61"/>
      <c r="J936" s="107"/>
      <c r="K936" s="107"/>
      <c r="L936" s="61"/>
      <c r="M936" s="61"/>
      <c r="N936" s="61"/>
      <c r="O936" s="61"/>
      <c r="P936" s="61" t="b">
        <f>COUNTIF('Delivered SIR'!A:A, E936) &gt; 0</f>
        <v>0</v>
      </c>
    </row>
    <row r="937">
      <c r="A937" s="65"/>
      <c r="B937" s="65"/>
      <c r="C937" s="65"/>
      <c r="D937" s="65"/>
      <c r="E937" s="65"/>
      <c r="F937" s="65"/>
      <c r="G937" s="65"/>
      <c r="H937" s="65"/>
      <c r="I937" s="65"/>
      <c r="J937" s="108"/>
      <c r="K937" s="108"/>
      <c r="L937" s="65"/>
      <c r="M937" s="65"/>
      <c r="N937" s="65"/>
      <c r="O937" s="65"/>
      <c r="P937" s="65" t="b">
        <f>COUNTIF('Delivered SIR'!A:A, E937) &gt; 0</f>
        <v>0</v>
      </c>
    </row>
    <row r="938">
      <c r="A938" s="61"/>
      <c r="B938" s="61"/>
      <c r="C938" s="61"/>
      <c r="D938" s="61"/>
      <c r="E938" s="61"/>
      <c r="F938" s="61"/>
      <c r="G938" s="61"/>
      <c r="H938" s="61"/>
      <c r="I938" s="61"/>
      <c r="J938" s="107"/>
      <c r="K938" s="107"/>
      <c r="L938" s="61"/>
      <c r="M938" s="61"/>
      <c r="N938" s="61"/>
      <c r="O938" s="61"/>
      <c r="P938" s="61" t="b">
        <f>COUNTIF('Delivered SIR'!A:A, E938) &gt; 0</f>
        <v>0</v>
      </c>
    </row>
    <row r="939">
      <c r="A939" s="65"/>
      <c r="B939" s="65"/>
      <c r="C939" s="65"/>
      <c r="D939" s="65"/>
      <c r="E939" s="65"/>
      <c r="F939" s="65"/>
      <c r="G939" s="65"/>
      <c r="H939" s="65"/>
      <c r="I939" s="65"/>
      <c r="J939" s="108"/>
      <c r="K939" s="108"/>
      <c r="L939" s="65"/>
      <c r="M939" s="65"/>
      <c r="N939" s="65"/>
      <c r="O939" s="65"/>
      <c r="P939" s="65" t="b">
        <f>COUNTIF('Delivered SIR'!A:A, E939) &gt; 0</f>
        <v>0</v>
      </c>
    </row>
    <row r="940">
      <c r="A940" s="61"/>
      <c r="B940" s="61"/>
      <c r="C940" s="61"/>
      <c r="D940" s="61"/>
      <c r="E940" s="61"/>
      <c r="F940" s="61"/>
      <c r="G940" s="61"/>
      <c r="H940" s="61"/>
      <c r="I940" s="61"/>
      <c r="J940" s="107"/>
      <c r="K940" s="107"/>
      <c r="L940" s="61"/>
      <c r="M940" s="61"/>
      <c r="N940" s="61"/>
      <c r="O940" s="61"/>
      <c r="P940" s="61" t="b">
        <f>COUNTIF('Delivered SIR'!A:A, E940) &gt; 0</f>
        <v>0</v>
      </c>
    </row>
    <row r="941">
      <c r="A941" s="65"/>
      <c r="B941" s="65"/>
      <c r="C941" s="65"/>
      <c r="D941" s="65"/>
      <c r="E941" s="65"/>
      <c r="F941" s="65"/>
      <c r="G941" s="65"/>
      <c r="H941" s="65"/>
      <c r="I941" s="65"/>
      <c r="J941" s="108"/>
      <c r="K941" s="108"/>
      <c r="L941" s="65"/>
      <c r="M941" s="65"/>
      <c r="N941" s="65"/>
      <c r="O941" s="65"/>
      <c r="P941" s="65" t="b">
        <f>COUNTIF('Delivered SIR'!A:A, E941) &gt; 0</f>
        <v>0</v>
      </c>
    </row>
    <row r="942">
      <c r="A942" s="61"/>
      <c r="B942" s="61"/>
      <c r="C942" s="61"/>
      <c r="D942" s="61"/>
      <c r="E942" s="61"/>
      <c r="F942" s="61"/>
      <c r="G942" s="61"/>
      <c r="H942" s="61"/>
      <c r="I942" s="61"/>
      <c r="J942" s="107"/>
      <c r="K942" s="107"/>
      <c r="L942" s="61"/>
      <c r="M942" s="61"/>
      <c r="N942" s="61"/>
      <c r="O942" s="61"/>
      <c r="P942" s="61" t="b">
        <f>COUNTIF('Delivered SIR'!A:A, E942) &gt; 0</f>
        <v>0</v>
      </c>
    </row>
    <row r="943">
      <c r="A943" s="65"/>
      <c r="B943" s="65"/>
      <c r="C943" s="65"/>
      <c r="D943" s="65"/>
      <c r="E943" s="65"/>
      <c r="F943" s="65"/>
      <c r="G943" s="65"/>
      <c r="H943" s="65"/>
      <c r="I943" s="65"/>
      <c r="J943" s="108"/>
      <c r="K943" s="108"/>
      <c r="L943" s="65"/>
      <c r="M943" s="65"/>
      <c r="N943" s="65"/>
      <c r="O943" s="65"/>
      <c r="P943" s="65" t="b">
        <f>COUNTIF('Delivered SIR'!A:A, E943) &gt; 0</f>
        <v>0</v>
      </c>
    </row>
    <row r="944">
      <c r="A944" s="61"/>
      <c r="B944" s="61"/>
      <c r="C944" s="61"/>
      <c r="D944" s="61"/>
      <c r="E944" s="61"/>
      <c r="F944" s="61"/>
      <c r="G944" s="61"/>
      <c r="H944" s="61"/>
      <c r="I944" s="61"/>
      <c r="J944" s="107"/>
      <c r="K944" s="107"/>
      <c r="L944" s="61"/>
      <c r="M944" s="61"/>
      <c r="N944" s="61"/>
      <c r="O944" s="61"/>
      <c r="P944" s="61" t="b">
        <f>COUNTIF('Delivered SIR'!A:A, E944) &gt; 0</f>
        <v>0</v>
      </c>
    </row>
    <row r="945">
      <c r="A945" s="65"/>
      <c r="B945" s="65"/>
      <c r="C945" s="65"/>
      <c r="D945" s="65"/>
      <c r="E945" s="65"/>
      <c r="F945" s="65"/>
      <c r="G945" s="65"/>
      <c r="H945" s="65"/>
      <c r="I945" s="65"/>
      <c r="J945" s="108"/>
      <c r="K945" s="108"/>
      <c r="L945" s="65"/>
      <c r="M945" s="65"/>
      <c r="N945" s="65"/>
      <c r="O945" s="65"/>
      <c r="P945" s="65" t="b">
        <f>COUNTIF('Delivered SIR'!A:A, E945) &gt; 0</f>
        <v>0</v>
      </c>
    </row>
    <row r="946">
      <c r="A946" s="61"/>
      <c r="B946" s="61"/>
      <c r="C946" s="61"/>
      <c r="D946" s="61"/>
      <c r="E946" s="61"/>
      <c r="F946" s="61"/>
      <c r="G946" s="61"/>
      <c r="H946" s="61"/>
      <c r="I946" s="61"/>
      <c r="J946" s="107"/>
      <c r="K946" s="107"/>
      <c r="L946" s="61"/>
      <c r="M946" s="61"/>
      <c r="N946" s="61"/>
      <c r="O946" s="61"/>
      <c r="P946" s="61" t="b">
        <f>COUNTIF('Delivered SIR'!A:A, E946) &gt; 0</f>
        <v>0</v>
      </c>
    </row>
    <row r="947">
      <c r="A947" s="65"/>
      <c r="B947" s="65"/>
      <c r="C947" s="65"/>
      <c r="D947" s="65"/>
      <c r="E947" s="65"/>
      <c r="F947" s="65"/>
      <c r="G947" s="65"/>
      <c r="H947" s="65"/>
      <c r="I947" s="65"/>
      <c r="J947" s="108"/>
      <c r="K947" s="108"/>
      <c r="L947" s="65"/>
      <c r="M947" s="65"/>
      <c r="N947" s="65"/>
      <c r="O947" s="65"/>
      <c r="P947" s="65" t="b">
        <f>COUNTIF('Delivered SIR'!A:A, E947) &gt; 0</f>
        <v>0</v>
      </c>
    </row>
    <row r="948">
      <c r="A948" s="61"/>
      <c r="B948" s="61"/>
      <c r="C948" s="61"/>
      <c r="D948" s="61"/>
      <c r="E948" s="61"/>
      <c r="F948" s="61"/>
      <c r="G948" s="61"/>
      <c r="H948" s="61"/>
      <c r="I948" s="61"/>
      <c r="J948" s="107"/>
      <c r="K948" s="107"/>
      <c r="L948" s="61"/>
      <c r="M948" s="61"/>
      <c r="N948" s="61"/>
      <c r="O948" s="61"/>
      <c r="P948" s="61" t="b">
        <f>COUNTIF('Delivered SIR'!A:A, E948) &gt; 0</f>
        <v>0</v>
      </c>
    </row>
    <row r="949">
      <c r="A949" s="65"/>
      <c r="B949" s="65"/>
      <c r="C949" s="65"/>
      <c r="D949" s="65"/>
      <c r="E949" s="65"/>
      <c r="F949" s="65"/>
      <c r="G949" s="65"/>
      <c r="H949" s="65"/>
      <c r="I949" s="65"/>
      <c r="J949" s="108"/>
      <c r="K949" s="108"/>
      <c r="L949" s="65"/>
      <c r="M949" s="65"/>
      <c r="N949" s="65"/>
      <c r="O949" s="65"/>
      <c r="P949" s="65" t="b">
        <f>COUNTIF('Delivered SIR'!A:A, E949) &gt; 0</f>
        <v>0</v>
      </c>
    </row>
    <row r="950">
      <c r="A950" s="61"/>
      <c r="B950" s="61"/>
      <c r="C950" s="61"/>
      <c r="D950" s="61"/>
      <c r="E950" s="61"/>
      <c r="F950" s="61"/>
      <c r="G950" s="61"/>
      <c r="H950" s="61"/>
      <c r="I950" s="61"/>
      <c r="J950" s="107"/>
      <c r="K950" s="107"/>
      <c r="L950" s="61"/>
      <c r="M950" s="61"/>
      <c r="N950" s="61"/>
      <c r="O950" s="61"/>
      <c r="P950" s="61" t="b">
        <f>COUNTIF('Delivered SIR'!A:A, E950) &gt; 0</f>
        <v>0</v>
      </c>
    </row>
    <row r="951">
      <c r="A951" s="65"/>
      <c r="B951" s="65"/>
      <c r="C951" s="65"/>
      <c r="D951" s="65"/>
      <c r="E951" s="65"/>
      <c r="F951" s="65"/>
      <c r="G951" s="65"/>
      <c r="H951" s="65"/>
      <c r="I951" s="65"/>
      <c r="J951" s="108"/>
      <c r="K951" s="108"/>
      <c r="L951" s="65"/>
      <c r="M951" s="65"/>
      <c r="N951" s="65"/>
      <c r="O951" s="65"/>
      <c r="P951" s="65" t="b">
        <f>COUNTIF('Delivered SIR'!A:A, E951) &gt; 0</f>
        <v>0</v>
      </c>
    </row>
    <row r="952">
      <c r="A952" s="61"/>
      <c r="B952" s="61"/>
      <c r="C952" s="61"/>
      <c r="D952" s="61"/>
      <c r="E952" s="61"/>
      <c r="F952" s="61"/>
      <c r="G952" s="61"/>
      <c r="H952" s="61"/>
      <c r="I952" s="61"/>
      <c r="J952" s="107"/>
      <c r="K952" s="107"/>
      <c r="L952" s="61"/>
      <c r="M952" s="61"/>
      <c r="N952" s="61"/>
      <c r="O952" s="61"/>
      <c r="P952" s="61" t="b">
        <f>COUNTIF('Delivered SIR'!A:A, E952) &gt; 0</f>
        <v>0</v>
      </c>
    </row>
    <row r="953">
      <c r="A953" s="65"/>
      <c r="B953" s="65"/>
      <c r="C953" s="65"/>
      <c r="D953" s="65"/>
      <c r="E953" s="65"/>
      <c r="F953" s="65"/>
      <c r="G953" s="65"/>
      <c r="H953" s="65"/>
      <c r="I953" s="65"/>
      <c r="J953" s="108"/>
      <c r="K953" s="108"/>
      <c r="L953" s="65"/>
      <c r="M953" s="65"/>
      <c r="N953" s="65"/>
      <c r="O953" s="65"/>
      <c r="P953" s="65" t="b">
        <f>COUNTIF('Delivered SIR'!A:A, E953) &gt; 0</f>
        <v>0</v>
      </c>
    </row>
    <row r="954">
      <c r="A954" s="61"/>
      <c r="B954" s="61"/>
      <c r="C954" s="61"/>
      <c r="D954" s="61"/>
      <c r="E954" s="61"/>
      <c r="F954" s="61"/>
      <c r="G954" s="61"/>
      <c r="H954" s="61"/>
      <c r="I954" s="61"/>
      <c r="J954" s="107"/>
      <c r="K954" s="107"/>
      <c r="L954" s="61"/>
      <c r="M954" s="61"/>
      <c r="N954" s="61"/>
      <c r="O954" s="61"/>
      <c r="P954" s="61" t="b">
        <f>COUNTIF('Delivered SIR'!A:A, E954) &gt; 0</f>
        <v>0</v>
      </c>
    </row>
    <row r="955">
      <c r="A955" s="65"/>
      <c r="B955" s="65"/>
      <c r="C955" s="65"/>
      <c r="D955" s="65"/>
      <c r="E955" s="65"/>
      <c r="F955" s="65"/>
      <c r="G955" s="65"/>
      <c r="H955" s="65"/>
      <c r="I955" s="65"/>
      <c r="J955" s="108"/>
      <c r="K955" s="108"/>
      <c r="L955" s="65"/>
      <c r="M955" s="65"/>
      <c r="N955" s="65"/>
      <c r="O955" s="65"/>
      <c r="P955" s="65" t="b">
        <f>COUNTIF('Delivered SIR'!A:A, E955) &gt; 0</f>
        <v>0</v>
      </c>
    </row>
    <row r="956">
      <c r="A956" s="61"/>
      <c r="B956" s="61"/>
      <c r="C956" s="61"/>
      <c r="D956" s="61"/>
      <c r="E956" s="61"/>
      <c r="F956" s="61"/>
      <c r="G956" s="61"/>
      <c r="H956" s="61"/>
      <c r="I956" s="61"/>
      <c r="J956" s="107"/>
      <c r="K956" s="107"/>
      <c r="L956" s="61"/>
      <c r="M956" s="61"/>
      <c r="N956" s="61"/>
      <c r="O956" s="61"/>
      <c r="P956" s="61" t="b">
        <f>COUNTIF('Delivered SIR'!A:A, E956) &gt; 0</f>
        <v>0</v>
      </c>
    </row>
    <row r="957">
      <c r="A957" s="65"/>
      <c r="B957" s="65"/>
      <c r="C957" s="65"/>
      <c r="D957" s="65"/>
      <c r="E957" s="65"/>
      <c r="F957" s="65"/>
      <c r="G957" s="65"/>
      <c r="H957" s="65"/>
      <c r="I957" s="65"/>
      <c r="J957" s="108"/>
      <c r="K957" s="108"/>
      <c r="L957" s="65"/>
      <c r="M957" s="65"/>
      <c r="N957" s="65"/>
      <c r="O957" s="65"/>
      <c r="P957" s="65" t="b">
        <f>COUNTIF('Delivered SIR'!A:A, E957) &gt; 0</f>
        <v>0</v>
      </c>
    </row>
    <row r="958">
      <c r="A958" s="61"/>
      <c r="B958" s="61"/>
      <c r="C958" s="61"/>
      <c r="D958" s="61"/>
      <c r="E958" s="61"/>
      <c r="F958" s="61"/>
      <c r="G958" s="61"/>
      <c r="H958" s="61"/>
      <c r="I958" s="61"/>
      <c r="J958" s="107"/>
      <c r="K958" s="107"/>
      <c r="L958" s="61"/>
      <c r="M958" s="61"/>
      <c r="N958" s="61"/>
      <c r="O958" s="61"/>
      <c r="P958" s="61" t="b">
        <f>COUNTIF('Delivered SIR'!A:A, E958) &gt; 0</f>
        <v>0</v>
      </c>
    </row>
    <row r="959">
      <c r="A959" s="65"/>
      <c r="B959" s="65"/>
      <c r="C959" s="65"/>
      <c r="D959" s="65"/>
      <c r="E959" s="65"/>
      <c r="F959" s="65"/>
      <c r="G959" s="65"/>
      <c r="H959" s="65"/>
      <c r="I959" s="65"/>
      <c r="J959" s="108"/>
      <c r="K959" s="108"/>
      <c r="L959" s="65"/>
      <c r="M959" s="65"/>
      <c r="N959" s="65"/>
      <c r="O959" s="65"/>
      <c r="P959" s="65" t="b">
        <f>COUNTIF('Delivered SIR'!A:A, E959) &gt; 0</f>
        <v>0</v>
      </c>
    </row>
    <row r="960">
      <c r="A960" s="61"/>
      <c r="B960" s="61"/>
      <c r="C960" s="61"/>
      <c r="D960" s="61"/>
      <c r="E960" s="61"/>
      <c r="F960" s="61"/>
      <c r="G960" s="61"/>
      <c r="H960" s="61"/>
      <c r="I960" s="61"/>
      <c r="J960" s="107"/>
      <c r="K960" s="107"/>
      <c r="L960" s="61"/>
      <c r="M960" s="61"/>
      <c r="N960" s="61"/>
      <c r="O960" s="61"/>
      <c r="P960" s="61" t="b">
        <f>COUNTIF('Delivered SIR'!A:A, E960) &gt; 0</f>
        <v>0</v>
      </c>
    </row>
    <row r="961">
      <c r="A961" s="65"/>
      <c r="B961" s="65"/>
      <c r="C961" s="65"/>
      <c r="D961" s="65"/>
      <c r="E961" s="65"/>
      <c r="F961" s="65"/>
      <c r="G961" s="65"/>
      <c r="H961" s="65"/>
      <c r="I961" s="65"/>
      <c r="J961" s="108"/>
      <c r="K961" s="108"/>
      <c r="L961" s="65"/>
      <c r="M961" s="65"/>
      <c r="N961" s="65"/>
      <c r="O961" s="65"/>
      <c r="P961" s="65"/>
    </row>
    <row r="962">
      <c r="A962" s="61"/>
      <c r="B962" s="61"/>
      <c r="C962" s="61"/>
      <c r="D962" s="61"/>
      <c r="E962" s="61"/>
      <c r="F962" s="61"/>
      <c r="G962" s="61"/>
      <c r="H962" s="61"/>
      <c r="I962" s="61"/>
      <c r="J962" s="107"/>
      <c r="K962" s="107"/>
      <c r="L962" s="61"/>
      <c r="M962" s="61"/>
      <c r="N962" s="61"/>
      <c r="O962" s="61"/>
      <c r="P962" s="61"/>
    </row>
    <row r="963">
      <c r="A963" s="65"/>
      <c r="B963" s="65"/>
      <c r="C963" s="65"/>
      <c r="D963" s="65"/>
      <c r="E963" s="65"/>
      <c r="F963" s="65"/>
      <c r="G963" s="65"/>
      <c r="H963" s="65"/>
      <c r="I963" s="65"/>
      <c r="J963" s="108"/>
      <c r="K963" s="108"/>
      <c r="L963" s="65"/>
      <c r="M963" s="65"/>
      <c r="N963" s="65"/>
      <c r="O963" s="65"/>
      <c r="P963" s="65"/>
    </row>
    <row r="964">
      <c r="A964" s="61"/>
      <c r="B964" s="61"/>
      <c r="C964" s="61"/>
      <c r="D964" s="61"/>
      <c r="E964" s="61"/>
      <c r="F964" s="61"/>
      <c r="G964" s="61"/>
      <c r="H964" s="61"/>
      <c r="I964" s="61"/>
      <c r="J964" s="107"/>
      <c r="K964" s="107"/>
      <c r="L964" s="61"/>
      <c r="M964" s="61"/>
      <c r="N964" s="61"/>
      <c r="O964" s="61"/>
      <c r="P964" s="61"/>
    </row>
    <row r="965">
      <c r="A965" s="65"/>
      <c r="B965" s="65"/>
      <c r="C965" s="65"/>
      <c r="D965" s="65"/>
      <c r="E965" s="65"/>
      <c r="F965" s="65"/>
      <c r="G965" s="65"/>
      <c r="H965" s="65"/>
      <c r="I965" s="65"/>
      <c r="J965" s="108"/>
      <c r="K965" s="108"/>
      <c r="L965" s="65"/>
      <c r="M965" s="65"/>
      <c r="N965" s="65"/>
      <c r="O965" s="65"/>
      <c r="P965" s="65"/>
    </row>
    <row r="966">
      <c r="A966" s="61"/>
      <c r="B966" s="61"/>
      <c r="C966" s="61"/>
      <c r="D966" s="61"/>
      <c r="E966" s="61"/>
      <c r="F966" s="61"/>
      <c r="G966" s="61"/>
      <c r="H966" s="61"/>
      <c r="I966" s="61"/>
      <c r="J966" s="107"/>
      <c r="K966" s="107"/>
      <c r="L966" s="61"/>
      <c r="M966" s="61"/>
      <c r="N966" s="61"/>
      <c r="O966" s="61"/>
      <c r="P966" s="61"/>
    </row>
    <row r="967">
      <c r="A967" s="65"/>
      <c r="B967" s="65"/>
      <c r="C967" s="65"/>
      <c r="D967" s="65"/>
      <c r="E967" s="65"/>
      <c r="F967" s="65"/>
      <c r="G967" s="65"/>
      <c r="H967" s="65"/>
      <c r="I967" s="65"/>
      <c r="J967" s="108"/>
      <c r="K967" s="108"/>
      <c r="L967" s="65"/>
      <c r="M967" s="65"/>
      <c r="N967" s="65"/>
      <c r="O967" s="65"/>
      <c r="P967" s="65"/>
    </row>
    <row r="968">
      <c r="A968" s="61"/>
      <c r="B968" s="61"/>
      <c r="C968" s="61"/>
      <c r="D968" s="61"/>
      <c r="E968" s="61"/>
      <c r="F968" s="61"/>
      <c r="G968" s="61"/>
      <c r="H968" s="61"/>
      <c r="I968" s="61"/>
      <c r="J968" s="107"/>
      <c r="K968" s="107"/>
      <c r="L968" s="61"/>
      <c r="M968" s="61"/>
      <c r="N968" s="61"/>
      <c r="O968" s="61"/>
      <c r="P968" s="61"/>
    </row>
    <row r="969">
      <c r="A969" s="65"/>
      <c r="B969" s="65"/>
      <c r="C969" s="65"/>
      <c r="D969" s="65"/>
      <c r="E969" s="65"/>
      <c r="F969" s="65"/>
      <c r="G969" s="65"/>
      <c r="H969" s="65"/>
      <c r="I969" s="65"/>
      <c r="J969" s="108"/>
      <c r="K969" s="108"/>
      <c r="L969" s="65"/>
      <c r="M969" s="65"/>
      <c r="N969" s="65"/>
      <c r="O969" s="65"/>
      <c r="P969" s="65"/>
    </row>
    <row r="970">
      <c r="A970" s="61"/>
      <c r="B970" s="61"/>
      <c r="C970" s="61"/>
      <c r="D970" s="61"/>
      <c r="E970" s="61"/>
      <c r="F970" s="61"/>
      <c r="G970" s="61"/>
      <c r="H970" s="61"/>
      <c r="I970" s="61"/>
      <c r="J970" s="107"/>
      <c r="K970" s="107"/>
      <c r="L970" s="61"/>
      <c r="M970" s="61"/>
      <c r="N970" s="61"/>
      <c r="O970" s="61"/>
      <c r="P970" s="61"/>
    </row>
    <row r="971">
      <c r="A971" s="65"/>
      <c r="B971" s="65"/>
      <c r="C971" s="65"/>
      <c r="D971" s="65"/>
      <c r="E971" s="65"/>
      <c r="F971" s="65"/>
      <c r="G971" s="65"/>
      <c r="H971" s="65"/>
      <c r="I971" s="65"/>
      <c r="J971" s="108"/>
      <c r="K971" s="108"/>
      <c r="L971" s="65"/>
      <c r="M971" s="65"/>
      <c r="N971" s="65"/>
      <c r="O971" s="65"/>
      <c r="P971" s="65"/>
    </row>
    <row r="972">
      <c r="A972" s="61"/>
      <c r="B972" s="61"/>
      <c r="C972" s="61"/>
      <c r="D972" s="61"/>
      <c r="E972" s="61"/>
      <c r="F972" s="61"/>
      <c r="G972" s="61"/>
      <c r="H972" s="61"/>
      <c r="I972" s="61"/>
      <c r="J972" s="107"/>
      <c r="K972" s="107"/>
      <c r="L972" s="61"/>
      <c r="M972" s="61"/>
      <c r="N972" s="61"/>
      <c r="O972" s="61"/>
      <c r="P972" s="61"/>
    </row>
    <row r="973">
      <c r="A973" s="65"/>
      <c r="B973" s="65"/>
      <c r="C973" s="65"/>
      <c r="D973" s="65"/>
      <c r="E973" s="65"/>
      <c r="F973" s="65"/>
      <c r="G973" s="65"/>
      <c r="H973" s="65"/>
      <c r="I973" s="65"/>
      <c r="J973" s="108"/>
      <c r="K973" s="108"/>
      <c r="L973" s="65"/>
      <c r="M973" s="65"/>
      <c r="N973" s="65"/>
      <c r="O973" s="65"/>
      <c r="P973" s="65"/>
    </row>
    <row r="974">
      <c r="A974" s="61"/>
      <c r="B974" s="61"/>
      <c r="C974" s="61"/>
      <c r="D974" s="61"/>
      <c r="E974" s="61"/>
      <c r="F974" s="61"/>
      <c r="G974" s="61"/>
      <c r="H974" s="61"/>
      <c r="I974" s="61"/>
      <c r="J974" s="107"/>
      <c r="K974" s="107"/>
      <c r="L974" s="61"/>
      <c r="M974" s="61"/>
      <c r="N974" s="61"/>
      <c r="O974" s="61"/>
      <c r="P974" s="61"/>
    </row>
    <row r="975">
      <c r="A975" s="65"/>
      <c r="B975" s="65"/>
      <c r="C975" s="65"/>
      <c r="D975" s="65"/>
      <c r="E975" s="65"/>
      <c r="F975" s="65"/>
      <c r="G975" s="65"/>
      <c r="H975" s="65"/>
      <c r="I975" s="65"/>
      <c r="J975" s="108"/>
      <c r="K975" s="108"/>
      <c r="L975" s="65"/>
      <c r="M975" s="65"/>
      <c r="N975" s="65"/>
      <c r="O975" s="65"/>
      <c r="P975" s="65"/>
    </row>
    <row r="976">
      <c r="A976" s="61"/>
      <c r="B976" s="61"/>
      <c r="C976" s="61"/>
      <c r="D976" s="61"/>
      <c r="E976" s="61"/>
      <c r="F976" s="61"/>
      <c r="G976" s="61"/>
      <c r="H976" s="61"/>
      <c r="I976" s="61"/>
      <c r="J976" s="107"/>
      <c r="K976" s="107"/>
      <c r="L976" s="61"/>
      <c r="M976" s="61"/>
      <c r="N976" s="61"/>
      <c r="O976" s="61"/>
      <c r="P976" s="61"/>
    </row>
    <row r="977">
      <c r="A977" s="65"/>
      <c r="B977" s="65"/>
      <c r="C977" s="65"/>
      <c r="D977" s="65"/>
      <c r="E977" s="65"/>
      <c r="F977" s="65"/>
      <c r="G977" s="65"/>
      <c r="H977" s="65"/>
      <c r="I977" s="65"/>
      <c r="J977" s="108"/>
      <c r="K977" s="108"/>
      <c r="L977" s="65"/>
      <c r="M977" s="65"/>
      <c r="N977" s="65"/>
      <c r="O977" s="65"/>
      <c r="P977" s="65"/>
    </row>
    <row r="978">
      <c r="A978" s="61"/>
      <c r="B978" s="61"/>
      <c r="C978" s="61"/>
      <c r="D978" s="61"/>
      <c r="E978" s="61"/>
      <c r="F978" s="61"/>
      <c r="G978" s="61"/>
      <c r="H978" s="61"/>
      <c r="I978" s="61"/>
      <c r="J978" s="107"/>
      <c r="K978" s="107"/>
      <c r="L978" s="61"/>
      <c r="M978" s="61"/>
      <c r="N978" s="61"/>
      <c r="O978" s="61"/>
      <c r="P978" s="61"/>
    </row>
    <row r="979">
      <c r="A979" s="65"/>
      <c r="B979" s="65"/>
      <c r="C979" s="65"/>
      <c r="D979" s="65"/>
      <c r="E979" s="65"/>
      <c r="F979" s="65"/>
      <c r="G979" s="65"/>
      <c r="H979" s="65"/>
      <c r="I979" s="65"/>
      <c r="J979" s="108"/>
      <c r="K979" s="108"/>
      <c r="L979" s="65"/>
      <c r="M979" s="65"/>
      <c r="N979" s="65"/>
      <c r="O979" s="65"/>
      <c r="P979" s="65"/>
    </row>
    <row r="980">
      <c r="A980" s="61"/>
      <c r="B980" s="61"/>
      <c r="C980" s="61"/>
      <c r="D980" s="61"/>
      <c r="E980" s="61"/>
      <c r="F980" s="61"/>
      <c r="G980" s="61"/>
      <c r="H980" s="61"/>
      <c r="I980" s="61"/>
      <c r="J980" s="107"/>
      <c r="K980" s="107"/>
      <c r="L980" s="61"/>
      <c r="M980" s="61"/>
      <c r="N980" s="61"/>
      <c r="O980" s="61"/>
      <c r="P980" s="61"/>
    </row>
    <row r="981">
      <c r="A981" s="65"/>
      <c r="B981" s="65"/>
      <c r="C981" s="65"/>
      <c r="D981" s="65"/>
      <c r="E981" s="65"/>
      <c r="F981" s="65"/>
      <c r="G981" s="65"/>
      <c r="H981" s="65"/>
      <c r="I981" s="65"/>
      <c r="J981" s="108"/>
      <c r="K981" s="108"/>
      <c r="L981" s="65"/>
      <c r="M981" s="65"/>
      <c r="N981" s="65"/>
      <c r="O981" s="65"/>
      <c r="P981" s="65"/>
    </row>
    <row r="982">
      <c r="A982" s="61"/>
      <c r="B982" s="61"/>
      <c r="C982" s="61"/>
      <c r="D982" s="61"/>
      <c r="E982" s="61"/>
      <c r="F982" s="61"/>
      <c r="G982" s="61"/>
      <c r="H982" s="61"/>
      <c r="I982" s="61"/>
      <c r="J982" s="107"/>
      <c r="K982" s="107"/>
      <c r="L982" s="61"/>
      <c r="M982" s="61"/>
      <c r="N982" s="61"/>
      <c r="O982" s="61"/>
      <c r="P982" s="61"/>
    </row>
    <row r="983">
      <c r="A983" s="65"/>
      <c r="B983" s="65"/>
      <c r="C983" s="65"/>
      <c r="D983" s="65"/>
      <c r="E983" s="65"/>
      <c r="F983" s="65"/>
      <c r="G983" s="65"/>
      <c r="H983" s="65"/>
      <c r="I983" s="65"/>
      <c r="J983" s="108"/>
      <c r="K983" s="108"/>
      <c r="L983" s="65"/>
      <c r="M983" s="65"/>
      <c r="N983" s="65"/>
      <c r="O983" s="65"/>
      <c r="P983" s="65"/>
    </row>
    <row r="984">
      <c r="A984" s="61"/>
      <c r="B984" s="61"/>
      <c r="C984" s="61"/>
      <c r="D984" s="61"/>
      <c r="E984" s="61"/>
      <c r="F984" s="61"/>
      <c r="G984" s="61"/>
      <c r="H984" s="61"/>
      <c r="I984" s="61"/>
      <c r="J984" s="107"/>
      <c r="K984" s="107"/>
      <c r="L984" s="61"/>
      <c r="M984" s="61"/>
      <c r="N984" s="61"/>
      <c r="O984" s="61"/>
      <c r="P984" s="61"/>
    </row>
    <row r="985">
      <c r="A985" s="65"/>
      <c r="B985" s="65"/>
      <c r="C985" s="65"/>
      <c r="D985" s="65"/>
      <c r="E985" s="65"/>
      <c r="F985" s="65"/>
      <c r="G985" s="65"/>
      <c r="H985" s="65"/>
      <c r="I985" s="65"/>
      <c r="J985" s="108"/>
      <c r="K985" s="108"/>
      <c r="L985" s="65"/>
      <c r="M985" s="65"/>
      <c r="N985" s="65"/>
      <c r="O985" s="65"/>
      <c r="P985" s="65"/>
    </row>
    <row r="986">
      <c r="A986" s="61"/>
      <c r="B986" s="61"/>
      <c r="C986" s="61"/>
      <c r="D986" s="61"/>
      <c r="E986" s="61"/>
      <c r="F986" s="61"/>
      <c r="G986" s="61"/>
      <c r="H986" s="61"/>
      <c r="I986" s="61"/>
      <c r="J986" s="107"/>
      <c r="K986" s="107"/>
      <c r="L986" s="61"/>
      <c r="M986" s="61"/>
      <c r="N986" s="61"/>
      <c r="O986" s="61"/>
      <c r="P986" s="61"/>
    </row>
    <row r="987">
      <c r="A987" s="65"/>
      <c r="B987" s="65"/>
      <c r="C987" s="65"/>
      <c r="D987" s="65"/>
      <c r="E987" s="65"/>
      <c r="F987" s="65"/>
      <c r="G987" s="65"/>
      <c r="H987" s="65"/>
      <c r="I987" s="65"/>
      <c r="J987" s="108"/>
      <c r="K987" s="108"/>
      <c r="L987" s="65"/>
      <c r="M987" s="65"/>
      <c r="N987" s="65"/>
      <c r="O987" s="65"/>
      <c r="P987" s="65"/>
    </row>
    <row r="988">
      <c r="A988" s="61"/>
      <c r="B988" s="61"/>
      <c r="C988" s="61"/>
      <c r="D988" s="61"/>
      <c r="E988" s="61"/>
      <c r="F988" s="61"/>
      <c r="G988" s="61"/>
      <c r="H988" s="61"/>
      <c r="I988" s="61"/>
      <c r="J988" s="107"/>
      <c r="K988" s="107"/>
      <c r="L988" s="61"/>
      <c r="M988" s="61"/>
      <c r="N988" s="61"/>
      <c r="O988" s="61"/>
      <c r="P988" s="61"/>
    </row>
    <row r="989">
      <c r="A989" s="65"/>
      <c r="B989" s="65"/>
      <c r="C989" s="65"/>
      <c r="D989" s="65"/>
      <c r="E989" s="65"/>
      <c r="F989" s="65"/>
      <c r="G989" s="65"/>
      <c r="H989" s="65"/>
      <c r="I989" s="65"/>
      <c r="J989" s="108"/>
      <c r="K989" s="108"/>
      <c r="L989" s="65"/>
      <c r="M989" s="65"/>
      <c r="N989" s="65"/>
      <c r="O989" s="65"/>
      <c r="P989" s="65"/>
    </row>
    <row r="990">
      <c r="A990" s="61"/>
      <c r="B990" s="61"/>
      <c r="C990" s="61"/>
      <c r="D990" s="61"/>
      <c r="E990" s="61"/>
      <c r="F990" s="61"/>
      <c r="G990" s="61"/>
      <c r="H990" s="61"/>
      <c r="I990" s="61"/>
      <c r="J990" s="107"/>
      <c r="K990" s="107"/>
      <c r="L990" s="61"/>
      <c r="M990" s="61"/>
      <c r="N990" s="61"/>
      <c r="O990" s="61"/>
      <c r="P990" s="61"/>
    </row>
    <row r="991">
      <c r="A991" s="65"/>
      <c r="B991" s="65"/>
      <c r="C991" s="65"/>
      <c r="D991" s="65"/>
      <c r="E991" s="65"/>
      <c r="F991" s="65"/>
      <c r="G991" s="65"/>
      <c r="H991" s="65"/>
      <c r="I991" s="65"/>
      <c r="J991" s="108"/>
      <c r="K991" s="108"/>
      <c r="L991" s="65"/>
      <c r="M991" s="65"/>
      <c r="N991" s="65"/>
      <c r="O991" s="65"/>
      <c r="P991" s="65"/>
    </row>
    <row r="992">
      <c r="A992" s="61"/>
      <c r="B992" s="61"/>
      <c r="C992" s="61"/>
      <c r="D992" s="61"/>
      <c r="E992" s="61"/>
      <c r="F992" s="61"/>
      <c r="G992" s="61"/>
      <c r="H992" s="61"/>
      <c r="I992" s="61"/>
      <c r="J992" s="107"/>
      <c r="K992" s="107"/>
      <c r="L992" s="61"/>
      <c r="M992" s="61"/>
      <c r="N992" s="61"/>
      <c r="O992" s="61"/>
      <c r="P992" s="61"/>
    </row>
    <row r="993">
      <c r="A993" s="65"/>
      <c r="B993" s="65"/>
      <c r="C993" s="65"/>
      <c r="D993" s="65"/>
      <c r="E993" s="65"/>
      <c r="F993" s="65"/>
      <c r="G993" s="65"/>
      <c r="H993" s="65"/>
      <c r="I993" s="65"/>
      <c r="J993" s="108"/>
      <c r="K993" s="108"/>
      <c r="L993" s="65"/>
      <c r="M993" s="65"/>
      <c r="N993" s="65"/>
      <c r="O993" s="65"/>
      <c r="P993" s="65"/>
    </row>
    <row r="994">
      <c r="A994" s="61"/>
      <c r="B994" s="61"/>
      <c r="C994" s="61"/>
      <c r="D994" s="61"/>
      <c r="E994" s="61"/>
      <c r="F994" s="61"/>
      <c r="G994" s="61"/>
      <c r="H994" s="61"/>
      <c r="I994" s="61"/>
      <c r="J994" s="107"/>
      <c r="K994" s="107"/>
      <c r="L994" s="61"/>
      <c r="M994" s="61"/>
      <c r="N994" s="61"/>
      <c r="O994" s="61"/>
      <c r="P994" s="61"/>
    </row>
    <row r="995">
      <c r="A995" s="65"/>
      <c r="B995" s="65"/>
      <c r="C995" s="65"/>
      <c r="D995" s="65"/>
      <c r="E995" s="65"/>
      <c r="F995" s="65"/>
      <c r="G995" s="65"/>
      <c r="H995" s="65"/>
      <c r="I995" s="65"/>
      <c r="J995" s="108"/>
      <c r="K995" s="108"/>
      <c r="L995" s="65"/>
      <c r="M995" s="65"/>
      <c r="N995" s="65"/>
      <c r="O995" s="65"/>
      <c r="P995" s="65"/>
    </row>
    <row r="996">
      <c r="A996" s="61"/>
      <c r="B996" s="61"/>
      <c r="C996" s="61"/>
      <c r="D996" s="61"/>
      <c r="E996" s="61"/>
      <c r="F996" s="61"/>
      <c r="G996" s="61"/>
      <c r="H996" s="61"/>
      <c r="I996" s="61"/>
      <c r="J996" s="107"/>
      <c r="K996" s="107"/>
      <c r="L996" s="61"/>
      <c r="M996" s="61"/>
      <c r="N996" s="61"/>
      <c r="O996" s="61"/>
      <c r="P996" s="61"/>
    </row>
    <row r="997">
      <c r="A997" s="65"/>
      <c r="B997" s="65"/>
      <c r="C997" s="65"/>
      <c r="D997" s="65"/>
      <c r="E997" s="65"/>
      <c r="F997" s="65"/>
      <c r="G997" s="65"/>
      <c r="H997" s="65"/>
      <c r="I997" s="65"/>
      <c r="J997" s="108"/>
      <c r="K997" s="108"/>
      <c r="L997" s="65"/>
      <c r="M997" s="65"/>
      <c r="N997" s="65"/>
      <c r="O997" s="65"/>
      <c r="P997" s="65"/>
    </row>
    <row r="998">
      <c r="A998" s="61"/>
      <c r="B998" s="61"/>
      <c r="C998" s="61"/>
      <c r="D998" s="61"/>
      <c r="E998" s="61"/>
      <c r="F998" s="61"/>
      <c r="G998" s="61"/>
      <c r="H998" s="61"/>
      <c r="I998" s="61"/>
      <c r="J998" s="107"/>
      <c r="K998" s="107"/>
      <c r="L998" s="61"/>
      <c r="M998" s="61"/>
      <c r="N998" s="61"/>
      <c r="O998" s="61"/>
      <c r="P998" s="61"/>
    </row>
    <row r="999">
      <c r="A999" s="65"/>
      <c r="B999" s="65"/>
      <c r="C999" s="65"/>
      <c r="D999" s="65"/>
      <c r="E999" s="65"/>
      <c r="F999" s="65"/>
      <c r="G999" s="65"/>
      <c r="H999" s="65"/>
      <c r="I999" s="65"/>
      <c r="J999" s="108"/>
      <c r="K999" s="108"/>
      <c r="L999" s="65"/>
      <c r="M999" s="65"/>
      <c r="N999" s="65"/>
      <c r="O999" s="65"/>
      <c r="P999" s="65"/>
    </row>
  </sheetData>
  <autoFilter ref="$A$1:$N$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s>
  <drawing r:id="rId65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9.88"/>
  </cols>
  <sheetData>
    <row r="1">
      <c r="A1" s="84" t="s">
        <v>14454</v>
      </c>
      <c r="B1" s="84" t="s">
        <v>14218</v>
      </c>
    </row>
    <row r="2">
      <c r="A2" s="84" t="s">
        <v>6995</v>
      </c>
      <c r="B2" s="84" t="s">
        <v>14455</v>
      </c>
    </row>
    <row r="3">
      <c r="A3" s="84" t="s">
        <v>769</v>
      </c>
      <c r="B3" s="84" t="s">
        <v>14456</v>
      </c>
    </row>
    <row r="4">
      <c r="A4" s="84" t="s">
        <v>1853</v>
      </c>
      <c r="B4" s="84" t="s">
        <v>14457</v>
      </c>
    </row>
    <row r="5">
      <c r="A5" s="84" t="s">
        <v>12513</v>
      </c>
      <c r="B5" s="84" t="s">
        <v>14458</v>
      </c>
    </row>
    <row r="6">
      <c r="A6" s="84" t="s">
        <v>5323</v>
      </c>
      <c r="B6" s="84" t="s">
        <v>14459</v>
      </c>
    </row>
    <row r="7">
      <c r="A7" s="84" t="s">
        <v>4799</v>
      </c>
      <c r="B7" s="84" t="s">
        <v>14460</v>
      </c>
    </row>
    <row r="8">
      <c r="A8" s="84" t="s">
        <v>14461</v>
      </c>
      <c r="B8" s="84" t="s">
        <v>14462</v>
      </c>
    </row>
    <row r="9">
      <c r="A9" s="84" t="s">
        <v>14463</v>
      </c>
      <c r="B9" s="84" t="s">
        <v>14455</v>
      </c>
    </row>
    <row r="10">
      <c r="A10" s="84" t="s">
        <v>2818</v>
      </c>
      <c r="B10" s="84" t="s">
        <v>14464</v>
      </c>
    </row>
    <row r="11">
      <c r="A11" s="84" t="s">
        <v>6978</v>
      </c>
      <c r="B11" s="84" t="s">
        <v>14465</v>
      </c>
    </row>
    <row r="12">
      <c r="A12" s="84" t="s">
        <v>4298</v>
      </c>
      <c r="B12" s="84" t="s">
        <v>14466</v>
      </c>
    </row>
    <row r="13">
      <c r="A13" s="84" t="s">
        <v>8764</v>
      </c>
      <c r="B13" s="84" t="s">
        <v>14467</v>
      </c>
    </row>
    <row r="14">
      <c r="A14" s="84" t="s">
        <v>9637</v>
      </c>
      <c r="B14" s="84" t="s">
        <v>14468</v>
      </c>
    </row>
    <row r="15">
      <c r="A15" s="84" t="s">
        <v>2893</v>
      </c>
      <c r="B15" s="84" t="s">
        <v>14469</v>
      </c>
    </row>
    <row r="16">
      <c r="A16" s="84" t="s">
        <v>6207</v>
      </c>
      <c r="B16" s="84" t="s">
        <v>14470</v>
      </c>
    </row>
    <row r="17">
      <c r="A17" s="84" t="s">
        <v>2856</v>
      </c>
      <c r="B17" s="84" t="s">
        <v>14471</v>
      </c>
    </row>
    <row r="18">
      <c r="A18" s="84" t="s">
        <v>5972</v>
      </c>
      <c r="B18" s="84" t="s">
        <v>14472</v>
      </c>
    </row>
    <row r="19">
      <c r="A19" s="84" t="s">
        <v>6163</v>
      </c>
      <c r="B19" s="84" t="s">
        <v>14473</v>
      </c>
    </row>
    <row r="20">
      <c r="A20" s="84" t="s">
        <v>14474</v>
      </c>
      <c r="B20" s="84" t="s">
        <v>14475</v>
      </c>
    </row>
    <row r="21">
      <c r="A21" s="84" t="s">
        <v>7457</v>
      </c>
      <c r="B21" s="84" t="s">
        <v>14476</v>
      </c>
    </row>
    <row r="22">
      <c r="A22" s="84" t="s">
        <v>14477</v>
      </c>
      <c r="B22" s="84" t="s">
        <v>14478</v>
      </c>
    </row>
    <row r="23">
      <c r="A23" s="84" t="s">
        <v>735</v>
      </c>
      <c r="B23" s="84" t="s">
        <v>14479</v>
      </c>
    </row>
    <row r="24">
      <c r="A24" s="84" t="s">
        <v>1715</v>
      </c>
      <c r="B24" s="84" t="s">
        <v>4565</v>
      </c>
    </row>
    <row r="25">
      <c r="A25" s="84" t="s">
        <v>14480</v>
      </c>
      <c r="B25" s="84" t="s">
        <v>14481</v>
      </c>
    </row>
    <row r="26">
      <c r="A26" s="84" t="s">
        <v>12833</v>
      </c>
      <c r="B26" s="84" t="s">
        <v>14482</v>
      </c>
    </row>
    <row r="27">
      <c r="A27" s="84" t="s">
        <v>14483</v>
      </c>
      <c r="B27" s="84" t="s">
        <v>14484</v>
      </c>
    </row>
    <row r="28">
      <c r="A28" s="84" t="s">
        <v>8758</v>
      </c>
      <c r="B28" s="84" t="s">
        <v>14485</v>
      </c>
    </row>
    <row r="29">
      <c r="A29" s="84" t="s">
        <v>3856</v>
      </c>
      <c r="B29" s="84" t="s">
        <v>14486</v>
      </c>
    </row>
    <row r="30">
      <c r="A30" s="84" t="s">
        <v>213</v>
      </c>
      <c r="B30" s="84" t="s">
        <v>14487</v>
      </c>
    </row>
    <row r="31">
      <c r="A31" s="84" t="s">
        <v>14488</v>
      </c>
      <c r="B31" s="84" t="s">
        <v>14489</v>
      </c>
    </row>
    <row r="32">
      <c r="A32" s="84" t="s">
        <v>6580</v>
      </c>
      <c r="B32" s="84" t="s">
        <v>14490</v>
      </c>
    </row>
    <row r="33">
      <c r="A33" s="84" t="s">
        <v>2796</v>
      </c>
      <c r="B33" s="84" t="s">
        <v>14491</v>
      </c>
    </row>
    <row r="34">
      <c r="A34" s="84" t="s">
        <v>14492</v>
      </c>
      <c r="B34" s="84" t="s">
        <v>14487</v>
      </c>
    </row>
    <row r="35">
      <c r="A35" s="84" t="s">
        <v>8643</v>
      </c>
      <c r="B35" s="84" t="s">
        <v>14493</v>
      </c>
    </row>
    <row r="36">
      <c r="A36" s="84" t="s">
        <v>14494</v>
      </c>
      <c r="B36" s="84" t="s">
        <v>14495</v>
      </c>
    </row>
    <row r="37">
      <c r="A37" s="84" t="s">
        <v>6146</v>
      </c>
      <c r="B37" s="84" t="s">
        <v>14496</v>
      </c>
    </row>
    <row r="38">
      <c r="A38" s="84" t="s">
        <v>14497</v>
      </c>
      <c r="B38" s="84" t="s">
        <v>14498</v>
      </c>
    </row>
    <row r="39">
      <c r="A39" s="84" t="s">
        <v>10830</v>
      </c>
      <c r="B39" s="84" t="s">
        <v>14499</v>
      </c>
    </row>
    <row r="40">
      <c r="A40" s="84" t="s">
        <v>3829</v>
      </c>
      <c r="B40" s="84" t="s">
        <v>14500</v>
      </c>
    </row>
    <row r="41">
      <c r="A41" s="84" t="s">
        <v>7649</v>
      </c>
      <c r="B41" s="84" t="s">
        <v>14501</v>
      </c>
    </row>
    <row r="42">
      <c r="A42" s="84" t="s">
        <v>5339</v>
      </c>
      <c r="B42" s="84" t="s">
        <v>14502</v>
      </c>
    </row>
    <row r="43">
      <c r="A43" s="84" t="s">
        <v>669</v>
      </c>
      <c r="B43" s="84" t="s">
        <v>14503</v>
      </c>
    </row>
    <row r="44">
      <c r="A44" s="84" t="s">
        <v>2887</v>
      </c>
      <c r="B44" s="84" t="s">
        <v>14504</v>
      </c>
    </row>
    <row r="45">
      <c r="A45" s="84" t="s">
        <v>4380</v>
      </c>
      <c r="B45" s="84" t="s">
        <v>14505</v>
      </c>
    </row>
    <row r="46">
      <c r="A46" s="84" t="s">
        <v>14506</v>
      </c>
      <c r="B46" s="84" t="s">
        <v>14507</v>
      </c>
    </row>
    <row r="47">
      <c r="A47" s="84" t="s">
        <v>3915</v>
      </c>
      <c r="B47" s="84" t="s">
        <v>14508</v>
      </c>
    </row>
    <row r="48">
      <c r="A48" s="84" t="s">
        <v>5761</v>
      </c>
      <c r="B48" s="84" t="s">
        <v>14509</v>
      </c>
    </row>
    <row r="49">
      <c r="A49" s="84" t="s">
        <v>4356</v>
      </c>
      <c r="B49" s="84" t="s">
        <v>14510</v>
      </c>
    </row>
    <row r="50">
      <c r="A50" s="84" t="s">
        <v>8362</v>
      </c>
      <c r="B50" s="84" t="s">
        <v>14511</v>
      </c>
    </row>
    <row r="51">
      <c r="A51" s="84" t="s">
        <v>11174</v>
      </c>
      <c r="B51" s="84" t="s">
        <v>14512</v>
      </c>
    </row>
    <row r="52">
      <c r="A52" s="84" t="s">
        <v>4620</v>
      </c>
      <c r="B52" s="84" t="s">
        <v>14513</v>
      </c>
    </row>
    <row r="53">
      <c r="A53" s="84" t="s">
        <v>8758</v>
      </c>
      <c r="B53" s="84" t="s">
        <v>14514</v>
      </c>
    </row>
    <row r="54">
      <c r="A54" s="84" t="s">
        <v>14515</v>
      </c>
      <c r="B54" s="84" t="s">
        <v>14516</v>
      </c>
    </row>
    <row r="55">
      <c r="A55" s="84" t="s">
        <v>4223</v>
      </c>
      <c r="B55" s="84" t="s">
        <v>14517</v>
      </c>
    </row>
    <row r="56">
      <c r="A56" s="84" t="s">
        <v>4432</v>
      </c>
      <c r="B56" s="84" t="s">
        <v>14518</v>
      </c>
    </row>
    <row r="57">
      <c r="A57" s="84" t="s">
        <v>8040</v>
      </c>
      <c r="B57" s="84" t="s">
        <v>14519</v>
      </c>
    </row>
    <row r="58">
      <c r="A58" s="84" t="s">
        <v>2427</v>
      </c>
      <c r="B58" s="84" t="s">
        <v>14520</v>
      </c>
    </row>
    <row r="59">
      <c r="A59" s="84" t="s">
        <v>14521</v>
      </c>
      <c r="B59" s="84" t="s">
        <v>14522</v>
      </c>
    </row>
    <row r="60">
      <c r="A60" s="84" t="s">
        <v>9688</v>
      </c>
      <c r="B60" s="84" t="s">
        <v>14523</v>
      </c>
    </row>
    <row r="61">
      <c r="A61" s="84" t="s">
        <v>7345</v>
      </c>
      <c r="B61" s="84" t="s">
        <v>14524</v>
      </c>
    </row>
    <row r="62">
      <c r="A62" s="84" t="s">
        <v>6422</v>
      </c>
      <c r="B62" s="84" t="s">
        <v>14525</v>
      </c>
    </row>
    <row r="63">
      <c r="A63" s="84" t="s">
        <v>6686</v>
      </c>
      <c r="B63" s="84" t="s">
        <v>14526</v>
      </c>
    </row>
    <row r="64">
      <c r="A64" s="84" t="s">
        <v>14527</v>
      </c>
      <c r="B64" s="84" t="s">
        <v>14528</v>
      </c>
    </row>
    <row r="65">
      <c r="A65" s="84" t="s">
        <v>6928</v>
      </c>
      <c r="B65" s="84" t="s">
        <v>14529</v>
      </c>
    </row>
    <row r="66">
      <c r="A66" s="84" t="s">
        <v>7345</v>
      </c>
      <c r="B66" s="84" t="s">
        <v>14530</v>
      </c>
    </row>
    <row r="67">
      <c r="A67" s="84" t="s">
        <v>6723</v>
      </c>
      <c r="B67" s="84" t="s">
        <v>14531</v>
      </c>
    </row>
    <row r="68">
      <c r="A68" s="84" t="s">
        <v>3099</v>
      </c>
      <c r="B68" s="84" t="s">
        <v>14532</v>
      </c>
    </row>
    <row r="69">
      <c r="A69" s="84" t="s">
        <v>14533</v>
      </c>
      <c r="B69" s="84" t="s">
        <v>14534</v>
      </c>
    </row>
    <row r="70">
      <c r="A70" s="84" t="s">
        <v>14535</v>
      </c>
      <c r="B70" s="84" t="s">
        <v>14536</v>
      </c>
    </row>
    <row r="71">
      <c r="A71" s="84" t="s">
        <v>6258</v>
      </c>
      <c r="B71" s="84" t="s">
        <v>14537</v>
      </c>
    </row>
    <row r="72">
      <c r="A72" s="84" t="s">
        <v>9738</v>
      </c>
      <c r="B72" s="84" t="s">
        <v>14538</v>
      </c>
    </row>
    <row r="73">
      <c r="A73" s="84" t="s">
        <v>3292</v>
      </c>
      <c r="B73" s="84" t="s">
        <v>14539</v>
      </c>
    </row>
    <row r="74">
      <c r="A74" s="84" t="s">
        <v>4658</v>
      </c>
      <c r="B74" s="84" t="s">
        <v>14540</v>
      </c>
    </row>
    <row r="75">
      <c r="A75" s="84" t="s">
        <v>14541</v>
      </c>
      <c r="B75" s="84" t="s">
        <v>14542</v>
      </c>
    </row>
    <row r="76">
      <c r="A76" s="84" t="s">
        <v>14543</v>
      </c>
      <c r="B76" s="84" t="s">
        <v>14544</v>
      </c>
    </row>
    <row r="77">
      <c r="A77" s="84" t="s">
        <v>14545</v>
      </c>
      <c r="B77" s="84" t="s">
        <v>14546</v>
      </c>
    </row>
    <row r="78">
      <c r="A78" s="84" t="s">
        <v>14547</v>
      </c>
      <c r="B78" s="84" t="s">
        <v>14548</v>
      </c>
    </row>
    <row r="79">
      <c r="A79" s="84" t="s">
        <v>14549</v>
      </c>
      <c r="B79" s="84" t="s">
        <v>14550</v>
      </c>
    </row>
    <row r="80">
      <c r="A80" s="84" t="s">
        <v>3292</v>
      </c>
      <c r="B80" s="84" t="s">
        <v>14551</v>
      </c>
    </row>
    <row r="81">
      <c r="A81" s="84" t="s">
        <v>4571</v>
      </c>
      <c r="B81" s="84" t="s">
        <v>14552</v>
      </c>
    </row>
    <row r="82">
      <c r="A82" s="84" t="s">
        <v>6126</v>
      </c>
      <c r="B82" s="84" t="s">
        <v>14553</v>
      </c>
    </row>
    <row r="83">
      <c r="A83" s="84" t="s">
        <v>2563</v>
      </c>
      <c r="B83" s="84" t="s">
        <v>14554</v>
      </c>
    </row>
    <row r="84">
      <c r="A84" s="84" t="s">
        <v>2557</v>
      </c>
      <c r="B84" s="84" t="s">
        <v>14555</v>
      </c>
    </row>
    <row r="85">
      <c r="A85" s="84" t="s">
        <v>5372</v>
      </c>
      <c r="B85" s="84" t="s">
        <v>14556</v>
      </c>
    </row>
    <row r="86">
      <c r="A86" s="84" t="s">
        <v>6915</v>
      </c>
      <c r="B86" s="84" t="s">
        <v>14557</v>
      </c>
    </row>
    <row r="87">
      <c r="A87" s="84" t="s">
        <v>6408</v>
      </c>
      <c r="B87" s="84" t="s">
        <v>14558</v>
      </c>
    </row>
    <row r="88">
      <c r="A88" s="84" t="s">
        <v>6796</v>
      </c>
      <c r="B88" s="84" t="s">
        <v>14559</v>
      </c>
    </row>
    <row r="89">
      <c r="A89" s="84" t="s">
        <v>5955</v>
      </c>
      <c r="B89" s="84" t="s">
        <v>14560</v>
      </c>
    </row>
    <row r="90">
      <c r="A90" s="84" t="s">
        <v>2507</v>
      </c>
      <c r="B90" s="84" t="s">
        <v>14561</v>
      </c>
    </row>
    <row r="91">
      <c r="A91" s="84" t="s">
        <v>3693</v>
      </c>
      <c r="B91" s="84" t="s">
        <v>14530</v>
      </c>
    </row>
    <row r="92">
      <c r="A92" s="84" t="s">
        <v>7688</v>
      </c>
      <c r="B92" s="84" t="s">
        <v>14562</v>
      </c>
    </row>
    <row r="93">
      <c r="A93" s="84" t="s">
        <v>6537</v>
      </c>
      <c r="B93" s="84" t="s">
        <v>14563</v>
      </c>
    </row>
    <row r="94">
      <c r="A94" s="84" t="s">
        <v>6039</v>
      </c>
      <c r="B94" s="84" t="s">
        <v>14564</v>
      </c>
    </row>
    <row r="95">
      <c r="A95" s="84" t="s">
        <v>14565</v>
      </c>
      <c r="B95" s="84" t="s">
        <v>14566</v>
      </c>
    </row>
    <row r="96">
      <c r="A96" s="84" t="s">
        <v>7826</v>
      </c>
      <c r="B96" s="84" t="s">
        <v>14567</v>
      </c>
    </row>
    <row r="97">
      <c r="A97" s="84" t="s">
        <v>5774</v>
      </c>
      <c r="B97" s="84" t="s">
        <v>14568</v>
      </c>
    </row>
    <row r="98">
      <c r="A98" s="84" t="s">
        <v>14569</v>
      </c>
      <c r="B98" s="84" t="s">
        <v>14570</v>
      </c>
    </row>
    <row r="99">
      <c r="A99" s="84" t="s">
        <v>14571</v>
      </c>
      <c r="B99" s="84" t="s">
        <v>14572</v>
      </c>
    </row>
    <row r="100">
      <c r="A100" s="84" t="s">
        <v>14573</v>
      </c>
      <c r="B100" s="84" t="s">
        <v>14574</v>
      </c>
    </row>
    <row r="101">
      <c r="A101" s="84" t="s">
        <v>7518</v>
      </c>
      <c r="B101" s="84" t="s">
        <v>14575</v>
      </c>
    </row>
    <row r="102">
      <c r="A102" s="84" t="s">
        <v>4818</v>
      </c>
      <c r="B102" s="84" t="s">
        <v>14576</v>
      </c>
    </row>
    <row r="103">
      <c r="A103" s="84" t="s">
        <v>14577</v>
      </c>
      <c r="B103" s="84" t="s">
        <v>14578</v>
      </c>
    </row>
    <row r="104">
      <c r="A104" s="84" t="s">
        <v>14579</v>
      </c>
      <c r="B104" s="84" t="s">
        <v>14572</v>
      </c>
    </row>
    <row r="105">
      <c r="A105" s="84" t="s">
        <v>7518</v>
      </c>
      <c r="B105" s="84" t="s">
        <v>14580</v>
      </c>
    </row>
    <row r="106">
      <c r="A106" s="84" t="s">
        <v>7243</v>
      </c>
      <c r="B106" s="84" t="s">
        <v>14581</v>
      </c>
    </row>
    <row r="107">
      <c r="A107" s="84" t="s">
        <v>50</v>
      </c>
      <c r="B107" s="84" t="s">
        <v>14582</v>
      </c>
    </row>
    <row r="108">
      <c r="A108" s="84" t="s">
        <v>5466</v>
      </c>
      <c r="B108" s="84" t="s">
        <v>14583</v>
      </c>
    </row>
    <row r="109">
      <c r="A109" s="84" t="s">
        <v>7550</v>
      </c>
      <c r="B109" s="84" t="s">
        <v>14584</v>
      </c>
    </row>
    <row r="110">
      <c r="A110" s="84" t="s">
        <v>684</v>
      </c>
      <c r="B110" s="84" t="s">
        <v>14585</v>
      </c>
    </row>
    <row r="111">
      <c r="A111" s="84" t="s">
        <v>3182</v>
      </c>
      <c r="B111" s="84" t="s">
        <v>14586</v>
      </c>
    </row>
    <row r="112">
      <c r="A112" s="84" t="s">
        <v>12312</v>
      </c>
      <c r="B112" s="84" t="s">
        <v>14587</v>
      </c>
    </row>
    <row r="113">
      <c r="A113" s="84" t="s">
        <v>12428</v>
      </c>
      <c r="B113" s="84" t="s">
        <v>14588</v>
      </c>
    </row>
    <row r="114">
      <c r="A114" s="84" t="s">
        <v>1903</v>
      </c>
      <c r="B114" s="84" t="s">
        <v>14589</v>
      </c>
    </row>
    <row r="115">
      <c r="A115" s="84" t="s">
        <v>7170</v>
      </c>
      <c r="B115" s="84" t="s">
        <v>14590</v>
      </c>
    </row>
    <row r="116">
      <c r="A116" s="84" t="s">
        <v>4780</v>
      </c>
      <c r="B116" s="84" t="s">
        <v>14591</v>
      </c>
    </row>
    <row r="117">
      <c r="A117" s="84" t="s">
        <v>10409</v>
      </c>
      <c r="B117" s="84" t="s">
        <v>14592</v>
      </c>
    </row>
    <row r="118">
      <c r="A118" s="84" t="s">
        <v>10002</v>
      </c>
      <c r="B118" s="84" t="s">
        <v>14593</v>
      </c>
    </row>
    <row r="119">
      <c r="A119" s="84" t="s">
        <v>14594</v>
      </c>
      <c r="B119" s="84" t="s">
        <v>14595</v>
      </c>
    </row>
    <row r="120">
      <c r="A120" s="84" t="s">
        <v>7472</v>
      </c>
      <c r="B120" s="84" t="s">
        <v>14596</v>
      </c>
    </row>
    <row r="121">
      <c r="A121" s="84" t="s">
        <v>14597</v>
      </c>
      <c r="B121" s="84" t="s">
        <v>14598</v>
      </c>
    </row>
    <row r="122">
      <c r="A122" s="84" t="s">
        <v>6337</v>
      </c>
      <c r="B122" s="84" t="s">
        <v>14599</v>
      </c>
    </row>
    <row r="123">
      <c r="A123" s="84" t="s">
        <v>7003</v>
      </c>
      <c r="B123" s="84" t="s">
        <v>14600</v>
      </c>
    </row>
    <row r="124">
      <c r="A124" s="84" t="s">
        <v>7513</v>
      </c>
      <c r="B124" s="84" t="s">
        <v>14601</v>
      </c>
    </row>
    <row r="125">
      <c r="A125" s="84" t="s">
        <v>2844</v>
      </c>
      <c r="B125" s="84" t="s">
        <v>14602</v>
      </c>
    </row>
    <row r="126">
      <c r="A126" s="84" t="s">
        <v>731</v>
      </c>
      <c r="B126" s="84" t="s">
        <v>14603</v>
      </c>
    </row>
    <row r="127">
      <c r="A127" s="84" t="s">
        <v>8133</v>
      </c>
      <c r="B127" s="84" t="s">
        <v>14604</v>
      </c>
    </row>
    <row r="128">
      <c r="A128" s="84" t="s">
        <v>9498</v>
      </c>
      <c r="B128" s="84" t="s">
        <v>4755</v>
      </c>
    </row>
    <row r="129">
      <c r="A129" s="84" t="s">
        <v>5746</v>
      </c>
      <c r="B129" s="84" t="s">
        <v>14605</v>
      </c>
    </row>
    <row r="130">
      <c r="A130" s="84" t="s">
        <v>3911</v>
      </c>
      <c r="B130" s="84" t="s">
        <v>14606</v>
      </c>
    </row>
    <row r="131">
      <c r="A131" s="84" t="s">
        <v>10587</v>
      </c>
      <c r="B131" s="84" t="s">
        <v>14607</v>
      </c>
    </row>
    <row r="132">
      <c r="A132" s="84" t="s">
        <v>10587</v>
      </c>
      <c r="B132" s="84" t="s">
        <v>14607</v>
      </c>
    </row>
    <row r="133">
      <c r="A133" s="84" t="s">
        <v>9779</v>
      </c>
      <c r="B133" s="84" t="s">
        <v>14608</v>
      </c>
    </row>
    <row r="134">
      <c r="A134" s="84" t="s">
        <v>4471</v>
      </c>
      <c r="B134" s="84" t="s">
        <v>14609</v>
      </c>
    </row>
    <row r="135">
      <c r="A135" s="84" t="s">
        <v>712</v>
      </c>
      <c r="B135" s="84" t="s">
        <v>14610</v>
      </c>
    </row>
    <row r="136">
      <c r="A136" s="84" t="s">
        <v>678</v>
      </c>
      <c r="B136" s="84" t="s">
        <v>14611</v>
      </c>
    </row>
    <row r="137">
      <c r="A137" s="84" t="s">
        <v>3520</v>
      </c>
      <c r="B137" s="84" t="s">
        <v>14612</v>
      </c>
    </row>
    <row r="138">
      <c r="A138" s="84" t="s">
        <v>4481</v>
      </c>
      <c r="B138" s="84" t="s">
        <v>14613</v>
      </c>
    </row>
    <row r="139">
      <c r="A139" s="84" t="s">
        <v>6354</v>
      </c>
      <c r="B139" s="84" t="s">
        <v>14614</v>
      </c>
    </row>
    <row r="140">
      <c r="A140" s="84" t="s">
        <v>3515</v>
      </c>
      <c r="B140" s="84" t="s">
        <v>14615</v>
      </c>
    </row>
    <row r="141">
      <c r="A141" s="84" t="s">
        <v>4968</v>
      </c>
      <c r="B141" s="84" t="s">
        <v>14616</v>
      </c>
    </row>
    <row r="142">
      <c r="A142" s="84" t="s">
        <v>2006</v>
      </c>
      <c r="B142" s="84" t="s">
        <v>14617</v>
      </c>
    </row>
    <row r="143">
      <c r="A143" s="84" t="s">
        <v>14618</v>
      </c>
      <c r="B143" s="84" t="s">
        <v>14619</v>
      </c>
    </row>
    <row r="144">
      <c r="A144" s="84" t="s">
        <v>10181</v>
      </c>
      <c r="B144" s="84" t="s">
        <v>14620</v>
      </c>
    </row>
    <row r="145">
      <c r="A145" s="84" t="s">
        <v>3021</v>
      </c>
      <c r="B145" s="84" t="s">
        <v>14621</v>
      </c>
    </row>
    <row r="146">
      <c r="A146" s="84" t="s">
        <v>14622</v>
      </c>
      <c r="B146" s="84" t="s">
        <v>14623</v>
      </c>
    </row>
    <row r="147">
      <c r="A147" s="84" t="s">
        <v>828</v>
      </c>
      <c r="B147" s="84" t="s">
        <v>14624</v>
      </c>
    </row>
    <row r="148">
      <c r="A148" s="84" t="s">
        <v>12651</v>
      </c>
      <c r="B148" s="84" t="s">
        <v>14625</v>
      </c>
    </row>
    <row r="149">
      <c r="A149" s="84" t="s">
        <v>6726</v>
      </c>
      <c r="B149" s="84" t="s">
        <v>14626</v>
      </c>
    </row>
    <row r="150">
      <c r="A150" s="84" t="s">
        <v>9953</v>
      </c>
      <c r="B150" s="84" t="s">
        <v>14627</v>
      </c>
    </row>
    <row r="151">
      <c r="A151" s="84" t="s">
        <v>2317</v>
      </c>
      <c r="B151" s="84" t="s">
        <v>14628</v>
      </c>
    </row>
    <row r="152">
      <c r="A152" s="84" t="s">
        <v>8714</v>
      </c>
      <c r="B152" s="84" t="s">
        <v>14629</v>
      </c>
    </row>
    <row r="153">
      <c r="A153" s="84" t="s">
        <v>4723</v>
      </c>
      <c r="B153" s="84" t="s">
        <v>14630</v>
      </c>
    </row>
    <row r="154">
      <c r="A154" s="84" t="s">
        <v>14631</v>
      </c>
      <c r="B154" s="84" t="s">
        <v>14632</v>
      </c>
    </row>
    <row r="155">
      <c r="A155" s="84" t="s">
        <v>5420</v>
      </c>
      <c r="B155" s="84" t="s">
        <v>14633</v>
      </c>
    </row>
    <row r="156">
      <c r="A156" s="84" t="s">
        <v>14634</v>
      </c>
      <c r="B156" s="84" t="s">
        <v>14635</v>
      </c>
    </row>
    <row r="157">
      <c r="A157" s="84" t="s">
        <v>3031</v>
      </c>
      <c r="B157" s="84" t="s">
        <v>14636</v>
      </c>
    </row>
    <row r="158">
      <c r="A158" s="84" t="s">
        <v>5028</v>
      </c>
      <c r="B158" s="84" t="s">
        <v>14637</v>
      </c>
    </row>
    <row r="159">
      <c r="A159" s="84" t="s">
        <v>7892</v>
      </c>
      <c r="B159" s="84" t="s">
        <v>14638</v>
      </c>
    </row>
    <row r="160">
      <c r="A160" s="84" t="s">
        <v>5614</v>
      </c>
      <c r="B160" s="84" t="s">
        <v>14639</v>
      </c>
    </row>
    <row r="161">
      <c r="A161" s="84" t="s">
        <v>14640</v>
      </c>
      <c r="B161" s="84" t="s">
        <v>14641</v>
      </c>
    </row>
    <row r="162">
      <c r="A162" s="84" t="s">
        <v>14642</v>
      </c>
      <c r="B162" s="84" t="s">
        <v>14643</v>
      </c>
    </row>
    <row r="163">
      <c r="A163" s="84" t="s">
        <v>14644</v>
      </c>
      <c r="B163" s="84" t="s">
        <v>14645</v>
      </c>
    </row>
    <row r="164">
      <c r="A164" s="84" t="s">
        <v>2679</v>
      </c>
      <c r="B164" s="84" t="s">
        <v>14646</v>
      </c>
    </row>
    <row r="165">
      <c r="A165" s="84" t="s">
        <v>8015</v>
      </c>
      <c r="B165" s="84" t="s">
        <v>14647</v>
      </c>
    </row>
    <row r="166">
      <c r="A166" s="84" t="s">
        <v>6178</v>
      </c>
      <c r="B166" s="84" t="s">
        <v>14648</v>
      </c>
    </row>
    <row r="167">
      <c r="A167" s="84" t="s">
        <v>3890</v>
      </c>
      <c r="B167" s="84" t="s">
        <v>14649</v>
      </c>
    </row>
    <row r="168">
      <c r="A168" s="84" t="s">
        <v>3624</v>
      </c>
      <c r="B168" s="84" t="s">
        <v>14650</v>
      </c>
    </row>
    <row r="169">
      <c r="A169" s="84" t="s">
        <v>6182</v>
      </c>
      <c r="B169" s="84" t="s">
        <v>14651</v>
      </c>
    </row>
    <row r="170">
      <c r="A170" s="84" t="s">
        <v>790</v>
      </c>
      <c r="B170" s="84" t="s">
        <v>14652</v>
      </c>
    </row>
    <row r="171">
      <c r="A171" s="84" t="s">
        <v>4365</v>
      </c>
      <c r="B171" s="84" t="s">
        <v>14653</v>
      </c>
    </row>
    <row r="172">
      <c r="A172" s="84" t="s">
        <v>4774</v>
      </c>
      <c r="B172" s="84" t="s">
        <v>14654</v>
      </c>
    </row>
    <row r="173">
      <c r="A173" s="84" t="s">
        <v>14655</v>
      </c>
      <c r="B173" s="84" t="s">
        <v>14656</v>
      </c>
    </row>
    <row r="174">
      <c r="A174" s="84" t="s">
        <v>7311</v>
      </c>
      <c r="B174" s="84" t="s">
        <v>14657</v>
      </c>
    </row>
    <row r="175">
      <c r="A175" s="84" t="s">
        <v>5665</v>
      </c>
      <c r="B175" s="84" t="s">
        <v>14658</v>
      </c>
    </row>
    <row r="176">
      <c r="A176" s="84" t="s">
        <v>2903</v>
      </c>
      <c r="B176" s="84" t="s">
        <v>14659</v>
      </c>
    </row>
    <row r="177">
      <c r="A177" s="84" t="s">
        <v>13243</v>
      </c>
      <c r="B177" s="84" t="s">
        <v>14660</v>
      </c>
    </row>
    <row r="178">
      <c r="A178" s="84" t="s">
        <v>14661</v>
      </c>
      <c r="B178" s="84" t="s">
        <v>14662</v>
      </c>
    </row>
    <row r="179">
      <c r="A179" s="84" t="s">
        <v>3381</v>
      </c>
      <c r="B179" s="84" t="s">
        <v>14663</v>
      </c>
    </row>
    <row r="180">
      <c r="A180" s="84" t="s">
        <v>13160</v>
      </c>
      <c r="B180" s="84" t="s">
        <v>14664</v>
      </c>
    </row>
    <row r="181">
      <c r="A181" s="84" t="s">
        <v>651</v>
      </c>
      <c r="B181" s="84" t="s">
        <v>14665</v>
      </c>
    </row>
    <row r="182">
      <c r="A182" s="84" t="s">
        <v>5107</v>
      </c>
      <c r="B182" s="84" t="s">
        <v>14666</v>
      </c>
    </row>
    <row r="183">
      <c r="A183" s="84" t="s">
        <v>2908</v>
      </c>
      <c r="B183" s="84" t="s">
        <v>14667</v>
      </c>
    </row>
    <row r="184">
      <c r="A184" s="84" t="s">
        <v>3862</v>
      </c>
      <c r="B184" s="84" t="s">
        <v>14668</v>
      </c>
    </row>
    <row r="185">
      <c r="A185" s="84" t="s">
        <v>14669</v>
      </c>
      <c r="B185" s="84" t="s">
        <v>14670</v>
      </c>
    </row>
    <row r="186">
      <c r="A186" s="84" t="s">
        <v>903</v>
      </c>
      <c r="B186" s="84" t="s">
        <v>14671</v>
      </c>
    </row>
    <row r="187">
      <c r="A187" s="84" t="s">
        <v>1460</v>
      </c>
      <c r="B187" s="84" t="s">
        <v>14672</v>
      </c>
    </row>
    <row r="188">
      <c r="A188" s="84" t="s">
        <v>11913</v>
      </c>
      <c r="B188" s="84" t="s">
        <v>14673</v>
      </c>
    </row>
    <row r="189">
      <c r="A189" s="84" t="s">
        <v>7571</v>
      </c>
      <c r="B189" s="84" t="s">
        <v>14674</v>
      </c>
    </row>
    <row r="190">
      <c r="A190" s="84" t="s">
        <v>11078</v>
      </c>
      <c r="B190" s="84" t="s">
        <v>14675</v>
      </c>
    </row>
    <row r="191">
      <c r="A191" s="84" t="s">
        <v>13398</v>
      </c>
      <c r="B191" s="84" t="s">
        <v>14676</v>
      </c>
    </row>
    <row r="192">
      <c r="A192" s="84" t="s">
        <v>1608</v>
      </c>
      <c r="B192" s="84" t="s">
        <v>14677</v>
      </c>
    </row>
    <row r="193">
      <c r="A193" s="84" t="s">
        <v>637</v>
      </c>
      <c r="B193" s="84" t="s">
        <v>14678</v>
      </c>
    </row>
    <row r="194">
      <c r="A194" s="84" t="s">
        <v>14679</v>
      </c>
      <c r="B194" s="84" t="s">
        <v>14680</v>
      </c>
    </row>
    <row r="195">
      <c r="A195" s="84" t="s">
        <v>4390</v>
      </c>
      <c r="B195" s="84" t="s">
        <v>14681</v>
      </c>
    </row>
    <row r="196">
      <c r="A196" s="84" t="s">
        <v>14682</v>
      </c>
      <c r="B196" s="84" t="s">
        <v>14683</v>
      </c>
    </row>
    <row r="197">
      <c r="A197" s="84" t="s">
        <v>8591</v>
      </c>
      <c r="B197" s="84" t="s">
        <v>14684</v>
      </c>
    </row>
    <row r="198">
      <c r="A198" s="84" t="s">
        <v>3109</v>
      </c>
      <c r="B198" s="84" t="s">
        <v>14685</v>
      </c>
    </row>
    <row r="199">
      <c r="A199" s="84" t="s">
        <v>11902</v>
      </c>
      <c r="B199" s="84" t="s">
        <v>14686</v>
      </c>
    </row>
    <row r="200">
      <c r="A200" s="84" t="s">
        <v>6361</v>
      </c>
      <c r="B200" s="84" t="s">
        <v>14687</v>
      </c>
    </row>
    <row r="201">
      <c r="A201" s="84" t="s">
        <v>6192</v>
      </c>
      <c r="B201" s="84" t="s">
        <v>14688</v>
      </c>
    </row>
    <row r="202">
      <c r="A202" s="84" t="s">
        <v>3270</v>
      </c>
      <c r="B202" s="84" t="s">
        <v>14689</v>
      </c>
    </row>
    <row r="203">
      <c r="A203" s="84" t="s">
        <v>4963</v>
      </c>
      <c r="B203" s="84" t="s">
        <v>14690</v>
      </c>
    </row>
    <row r="204">
      <c r="A204" s="84" t="s">
        <v>14691</v>
      </c>
      <c r="B204" s="84" t="s">
        <v>14692</v>
      </c>
    </row>
    <row r="205">
      <c r="A205" s="84" t="s">
        <v>6647</v>
      </c>
      <c r="B205" s="84" t="s">
        <v>14693</v>
      </c>
    </row>
    <row r="206">
      <c r="A206" s="84" t="s">
        <v>719</v>
      </c>
      <c r="B206" s="84" t="s">
        <v>14694</v>
      </c>
    </row>
    <row r="207">
      <c r="A207" s="84" t="s">
        <v>7214</v>
      </c>
      <c r="B207" s="84" t="s">
        <v>14695</v>
      </c>
    </row>
    <row r="208">
      <c r="A208" s="84" t="s">
        <v>5680</v>
      </c>
      <c r="B208" s="84" t="s">
        <v>14696</v>
      </c>
    </row>
    <row r="209">
      <c r="A209" s="84" t="s">
        <v>14697</v>
      </c>
      <c r="B209" s="84" t="s">
        <v>14698</v>
      </c>
    </row>
    <row r="210">
      <c r="A210" s="84" t="s">
        <v>14699</v>
      </c>
      <c r="B210" s="84" t="s">
        <v>14700</v>
      </c>
    </row>
    <row r="211">
      <c r="A211" s="84" t="s">
        <v>2062</v>
      </c>
      <c r="B211" s="84" t="s">
        <v>14701</v>
      </c>
    </row>
    <row r="212">
      <c r="A212" s="84" t="s">
        <v>6561</v>
      </c>
      <c r="B212" s="84" t="s">
        <v>14702</v>
      </c>
    </row>
    <row r="213">
      <c r="A213" s="84" t="s">
        <v>5202</v>
      </c>
      <c r="B213" s="84" t="s">
        <v>14703</v>
      </c>
    </row>
    <row r="214">
      <c r="A214" s="84" t="s">
        <v>6073</v>
      </c>
      <c r="B214" s="84" t="s">
        <v>14704</v>
      </c>
    </row>
    <row r="215">
      <c r="A215" s="84" t="s">
        <v>14705</v>
      </c>
      <c r="B215" s="84" t="s">
        <v>14706</v>
      </c>
    </row>
    <row r="216">
      <c r="A216" s="84" t="s">
        <v>14707</v>
      </c>
      <c r="B216" s="84" t="s">
        <v>14708</v>
      </c>
    </row>
    <row r="217">
      <c r="A217" s="84" t="s">
        <v>4188</v>
      </c>
      <c r="B217" s="84" t="s">
        <v>14709</v>
      </c>
    </row>
    <row r="218">
      <c r="A218" s="84" t="s">
        <v>14710</v>
      </c>
      <c r="B218" s="84" t="s">
        <v>2742</v>
      </c>
    </row>
    <row r="219">
      <c r="A219" s="84" t="s">
        <v>2349</v>
      </c>
      <c r="B219" s="84" t="s">
        <v>14711</v>
      </c>
    </row>
    <row r="220">
      <c r="A220" s="84" t="s">
        <v>14712</v>
      </c>
      <c r="B220" s="84" t="s">
        <v>14713</v>
      </c>
    </row>
    <row r="221">
      <c r="A221" s="84" t="s">
        <v>14714</v>
      </c>
      <c r="B221" s="84" t="s">
        <v>14715</v>
      </c>
    </row>
    <row r="222">
      <c r="A222" s="84" t="s">
        <v>81</v>
      </c>
      <c r="B222" s="84" t="s">
        <v>14716</v>
      </c>
    </row>
    <row r="223">
      <c r="A223" s="84" t="s">
        <v>7217</v>
      </c>
      <c r="B223" s="84" t="s">
        <v>14717</v>
      </c>
    </row>
    <row r="224">
      <c r="A224" s="84" t="s">
        <v>7278</v>
      </c>
      <c r="B224" s="84" t="s">
        <v>14718</v>
      </c>
    </row>
    <row r="225">
      <c r="A225" s="84" t="s">
        <v>14719</v>
      </c>
      <c r="B225" s="84" t="s">
        <v>14720</v>
      </c>
    </row>
    <row r="226">
      <c r="A226" s="84" t="s">
        <v>3249</v>
      </c>
      <c r="B226" s="84" t="s">
        <v>14721</v>
      </c>
    </row>
    <row r="227">
      <c r="A227" s="84" t="s">
        <v>6433</v>
      </c>
      <c r="B227" s="84" t="s">
        <v>14722</v>
      </c>
    </row>
    <row r="228">
      <c r="A228" s="84" t="s">
        <v>3871</v>
      </c>
      <c r="B228" s="84" t="s">
        <v>14723</v>
      </c>
    </row>
    <row r="229">
      <c r="A229" s="84" t="s">
        <v>14724</v>
      </c>
      <c r="B229" s="84" t="s">
        <v>5155</v>
      </c>
    </row>
    <row r="230">
      <c r="A230" s="84" t="s">
        <v>3573</v>
      </c>
      <c r="B230" s="84" t="s">
        <v>14725</v>
      </c>
    </row>
    <row r="231">
      <c r="A231" s="84" t="s">
        <v>840</v>
      </c>
      <c r="B231" s="84" t="s">
        <v>14726</v>
      </c>
    </row>
    <row r="232">
      <c r="A232" s="84" t="s">
        <v>7335</v>
      </c>
      <c r="B232" s="84" t="s">
        <v>14727</v>
      </c>
    </row>
    <row r="233">
      <c r="A233" s="84" t="s">
        <v>4500</v>
      </c>
      <c r="B233" s="84" t="s">
        <v>14728</v>
      </c>
    </row>
    <row r="234">
      <c r="A234" s="84" t="s">
        <v>2608</v>
      </c>
      <c r="B234" s="84" t="s">
        <v>14729</v>
      </c>
    </row>
    <row r="235">
      <c r="A235" s="84" t="s">
        <v>8459</v>
      </c>
      <c r="B235" s="84" t="s">
        <v>14730</v>
      </c>
    </row>
    <row r="236">
      <c r="A236" s="84" t="s">
        <v>8683</v>
      </c>
      <c r="B236" s="84" t="s">
        <v>14731</v>
      </c>
    </row>
    <row r="237">
      <c r="A237" s="84" t="s">
        <v>2519</v>
      </c>
      <c r="B237" s="84" t="s">
        <v>14732</v>
      </c>
    </row>
    <row r="238">
      <c r="A238" s="84" t="s">
        <v>3061</v>
      </c>
      <c r="B238" s="84" t="s">
        <v>14733</v>
      </c>
    </row>
    <row r="239">
      <c r="A239" s="84" t="s">
        <v>6061</v>
      </c>
      <c r="B239" s="84" t="s">
        <v>14734</v>
      </c>
    </row>
    <row r="240">
      <c r="A240" s="84" t="s">
        <v>3402</v>
      </c>
      <c r="B240" s="84" t="s">
        <v>14735</v>
      </c>
    </row>
    <row r="241">
      <c r="A241" s="84" t="s">
        <v>9252</v>
      </c>
      <c r="B241" s="84" t="s">
        <v>14736</v>
      </c>
    </row>
    <row r="242">
      <c r="A242" s="84" t="s">
        <v>14737</v>
      </c>
      <c r="B242" s="84" t="s">
        <v>14738</v>
      </c>
    </row>
    <row r="243">
      <c r="A243" s="84" t="s">
        <v>59</v>
      </c>
      <c r="B243" s="84" t="s">
        <v>14739</v>
      </c>
    </row>
    <row r="244">
      <c r="A244" s="84" t="s">
        <v>14740</v>
      </c>
      <c r="B244" s="84" t="s">
        <v>14741</v>
      </c>
    </row>
    <row r="245">
      <c r="A245" s="84" t="s">
        <v>4437</v>
      </c>
      <c r="B245" s="84" t="s">
        <v>14742</v>
      </c>
    </row>
    <row r="246">
      <c r="A246" s="84" t="s">
        <v>6757</v>
      </c>
      <c r="B246" s="84" t="s">
        <v>14743</v>
      </c>
    </row>
    <row r="247">
      <c r="A247" s="84" t="s">
        <v>8748</v>
      </c>
      <c r="B247" s="84" t="s">
        <v>14744</v>
      </c>
    </row>
    <row r="248">
      <c r="A248" s="84" t="s">
        <v>8954</v>
      </c>
      <c r="B248" s="84" t="s">
        <v>14745</v>
      </c>
    </row>
    <row r="249">
      <c r="A249" s="84" t="s">
        <v>11561</v>
      </c>
      <c r="B249" s="84" t="s">
        <v>14746</v>
      </c>
    </row>
    <row r="250">
      <c r="A250" s="84" t="s">
        <v>8748</v>
      </c>
      <c r="B250" s="84" t="s">
        <v>14747</v>
      </c>
    </row>
    <row r="251">
      <c r="A251" s="84" t="s">
        <v>14748</v>
      </c>
      <c r="B251" s="84" t="s">
        <v>14749</v>
      </c>
    </row>
    <row r="252">
      <c r="A252" s="84" t="s">
        <v>14750</v>
      </c>
      <c r="B252" s="84" t="s">
        <v>14751</v>
      </c>
    </row>
    <row r="253">
      <c r="A253" s="84" t="s">
        <v>11053</v>
      </c>
      <c r="B253" s="84" t="s">
        <v>14752</v>
      </c>
    </row>
    <row r="254">
      <c r="A254" s="84" t="s">
        <v>815</v>
      </c>
      <c r="B254" s="84" t="s">
        <v>14753</v>
      </c>
    </row>
    <row r="255">
      <c r="A255" s="84" t="s">
        <v>14754</v>
      </c>
      <c r="B255" s="84" t="s">
        <v>14755</v>
      </c>
    </row>
    <row r="256">
      <c r="A256" s="84" t="s">
        <v>14756</v>
      </c>
      <c r="B256" s="84" t="s">
        <v>14757</v>
      </c>
    </row>
    <row r="257">
      <c r="A257" s="84" t="s">
        <v>4647</v>
      </c>
      <c r="B257" s="84" t="s">
        <v>14758</v>
      </c>
    </row>
    <row r="258">
      <c r="A258" s="84" t="s">
        <v>5989</v>
      </c>
      <c r="B258" s="84" t="s">
        <v>14759</v>
      </c>
    </row>
    <row r="259">
      <c r="A259" s="84" t="s">
        <v>10152</v>
      </c>
      <c r="B259" s="84" t="s">
        <v>14760</v>
      </c>
    </row>
    <row r="260">
      <c r="A260" s="84" t="s">
        <v>7412</v>
      </c>
      <c r="B260" s="84" t="s">
        <v>14761</v>
      </c>
    </row>
    <row r="261">
      <c r="A261" s="84" t="s">
        <v>10235</v>
      </c>
      <c r="B261" s="84" t="s">
        <v>10234</v>
      </c>
    </row>
    <row r="262">
      <c r="A262" s="84" t="s">
        <v>8707</v>
      </c>
      <c r="B262" s="84" t="s">
        <v>14762</v>
      </c>
    </row>
    <row r="263">
      <c r="A263" s="84" t="s">
        <v>5227</v>
      </c>
      <c r="B263" s="84" t="s">
        <v>14763</v>
      </c>
    </row>
    <row r="264">
      <c r="A264" s="84" t="s">
        <v>6702</v>
      </c>
      <c r="B264" s="84" t="s">
        <v>14764</v>
      </c>
    </row>
    <row r="265">
      <c r="A265" s="84" t="s">
        <v>5900</v>
      </c>
      <c r="B265" s="84" t="s">
        <v>14765</v>
      </c>
    </row>
    <row r="266">
      <c r="A266" s="84" t="s">
        <v>7693</v>
      </c>
      <c r="B266" s="84" t="s">
        <v>14766</v>
      </c>
    </row>
    <row r="267">
      <c r="A267" s="84" t="s">
        <v>14767</v>
      </c>
      <c r="B267" s="84" t="s">
        <v>14768</v>
      </c>
    </row>
    <row r="268">
      <c r="A268" s="84" t="s">
        <v>14769</v>
      </c>
      <c r="B268" s="84" t="s">
        <v>14770</v>
      </c>
    </row>
    <row r="269">
      <c r="A269" s="84" t="s">
        <v>8102</v>
      </c>
      <c r="B269" s="84" t="s">
        <v>14771</v>
      </c>
    </row>
    <row r="270">
      <c r="A270" s="84" t="s">
        <v>12758</v>
      </c>
      <c r="B270" s="84" t="s">
        <v>14772</v>
      </c>
    </row>
    <row r="271">
      <c r="A271" s="84" t="s">
        <v>3709</v>
      </c>
      <c r="B271" s="84" t="s">
        <v>14773</v>
      </c>
    </row>
    <row r="272">
      <c r="A272" s="84" t="s">
        <v>8129</v>
      </c>
      <c r="B272" s="84" t="s">
        <v>14774</v>
      </c>
    </row>
    <row r="273">
      <c r="A273" s="84" t="s">
        <v>9066</v>
      </c>
      <c r="B273" s="84" t="s">
        <v>14775</v>
      </c>
    </row>
    <row r="274">
      <c r="A274" s="84" t="s">
        <v>14776</v>
      </c>
      <c r="B274" s="84" t="s">
        <v>14777</v>
      </c>
    </row>
    <row r="275">
      <c r="A275" s="84" t="s">
        <v>5657</v>
      </c>
      <c r="B275" s="84" t="s">
        <v>14778</v>
      </c>
    </row>
    <row r="276">
      <c r="A276" s="84" t="s">
        <v>14779</v>
      </c>
      <c r="B276" s="84" t="s">
        <v>14780</v>
      </c>
    </row>
    <row r="277">
      <c r="A277" s="84" t="s">
        <v>7554</v>
      </c>
      <c r="B277" s="84" t="s">
        <v>14781</v>
      </c>
    </row>
    <row r="278">
      <c r="A278" s="84" t="s">
        <v>4883</v>
      </c>
      <c r="B278" s="84" t="s">
        <v>14782</v>
      </c>
    </row>
    <row r="279">
      <c r="A279" s="84" t="s">
        <v>7350</v>
      </c>
      <c r="B279" s="84" t="s">
        <v>14783</v>
      </c>
    </row>
    <row r="280">
      <c r="A280" s="84" t="s">
        <v>3118</v>
      </c>
      <c r="B280" s="84" t="s">
        <v>14784</v>
      </c>
    </row>
    <row r="281">
      <c r="A281" s="84" t="s">
        <v>8398</v>
      </c>
      <c r="B281" s="84" t="s">
        <v>14785</v>
      </c>
    </row>
    <row r="282">
      <c r="A282" s="84" t="s">
        <v>2039</v>
      </c>
      <c r="B282" s="84" t="s">
        <v>14786</v>
      </c>
    </row>
    <row r="283">
      <c r="A283" s="84" t="s">
        <v>8893</v>
      </c>
      <c r="B283" s="84" t="s">
        <v>14787</v>
      </c>
    </row>
    <row r="284">
      <c r="A284" s="84" t="s">
        <v>14788</v>
      </c>
      <c r="B284" s="84" t="s">
        <v>14789</v>
      </c>
    </row>
    <row r="285">
      <c r="A285" s="84" t="s">
        <v>2944</v>
      </c>
      <c r="B285" s="84" t="s">
        <v>14790</v>
      </c>
    </row>
    <row r="286">
      <c r="A286" s="84" t="s">
        <v>14791</v>
      </c>
      <c r="B286" s="84" t="s">
        <v>14792</v>
      </c>
    </row>
    <row r="287">
      <c r="A287" s="84" t="s">
        <v>6776</v>
      </c>
      <c r="B287" s="84" t="s">
        <v>14793</v>
      </c>
    </row>
    <row r="288">
      <c r="A288" s="84" t="s">
        <v>7683</v>
      </c>
      <c r="B288" s="84" t="s">
        <v>14794</v>
      </c>
    </row>
    <row r="289">
      <c r="A289" s="84" t="s">
        <v>14795</v>
      </c>
      <c r="B289" s="84" t="s">
        <v>14796</v>
      </c>
    </row>
    <row r="290">
      <c r="A290" s="84" t="s">
        <v>14797</v>
      </c>
      <c r="B290" s="84" t="s">
        <v>14798</v>
      </c>
    </row>
    <row r="291">
      <c r="A291" s="84" t="s">
        <v>3090</v>
      </c>
      <c r="B291" s="84" t="s">
        <v>14799</v>
      </c>
    </row>
    <row r="292">
      <c r="A292" s="84" t="s">
        <v>14800</v>
      </c>
      <c r="B292" s="84" t="s">
        <v>14801</v>
      </c>
    </row>
    <row r="293">
      <c r="A293" s="84" t="s">
        <v>13639</v>
      </c>
      <c r="B293" s="84" t="s">
        <v>14802</v>
      </c>
    </row>
    <row r="294">
      <c r="A294" s="84" t="s">
        <v>1091</v>
      </c>
      <c r="B294" s="84" t="s">
        <v>14803</v>
      </c>
    </row>
    <row r="295">
      <c r="A295" s="84" t="s">
        <v>7397</v>
      </c>
      <c r="B295" s="84" t="s">
        <v>14804</v>
      </c>
    </row>
    <row r="296">
      <c r="A296" s="84" t="s">
        <v>14805</v>
      </c>
      <c r="B296" s="84" t="s">
        <v>14806</v>
      </c>
    </row>
    <row r="297">
      <c r="A297" s="84" t="s">
        <v>10389</v>
      </c>
      <c r="B297" s="84" t="s">
        <v>14807</v>
      </c>
    </row>
    <row r="298">
      <c r="A298" s="84" t="s">
        <v>11451</v>
      </c>
      <c r="B298" s="84" t="s">
        <v>14808</v>
      </c>
    </row>
    <row r="299">
      <c r="A299" s="84" t="s">
        <v>4835</v>
      </c>
      <c r="B299" s="84" t="s">
        <v>14809</v>
      </c>
    </row>
    <row r="300">
      <c r="A300" s="84" t="s">
        <v>7654</v>
      </c>
      <c r="B300" s="84" t="s">
        <v>14810</v>
      </c>
    </row>
    <row r="301">
      <c r="A301" s="84" t="s">
        <v>845</v>
      </c>
      <c r="B301" s="84" t="s">
        <v>14811</v>
      </c>
    </row>
    <row r="302">
      <c r="A302" s="84" t="s">
        <v>14812</v>
      </c>
      <c r="B302" s="84" t="s">
        <v>14813</v>
      </c>
    </row>
    <row r="303">
      <c r="A303" s="84" t="s">
        <v>1412</v>
      </c>
      <c r="B303" s="84" t="s">
        <v>14814</v>
      </c>
    </row>
    <row r="304">
      <c r="A304" s="84" t="s">
        <v>10933</v>
      </c>
      <c r="B304" s="84" t="s">
        <v>14815</v>
      </c>
    </row>
    <row r="305">
      <c r="A305" s="84" t="s">
        <v>6460</v>
      </c>
      <c r="B305" s="84" t="s">
        <v>14816</v>
      </c>
    </row>
    <row r="306">
      <c r="A306" s="84" t="s">
        <v>14817</v>
      </c>
      <c r="B306" s="84" t="s">
        <v>14818</v>
      </c>
    </row>
    <row r="307">
      <c r="A307" s="84" t="s">
        <v>14817</v>
      </c>
      <c r="B307" s="84" t="s">
        <v>14819</v>
      </c>
    </row>
    <row r="308">
      <c r="A308" s="84" t="s">
        <v>14820</v>
      </c>
      <c r="B308" s="84" t="s">
        <v>14821</v>
      </c>
    </row>
    <row r="309">
      <c r="A309" s="84" t="s">
        <v>7803</v>
      </c>
      <c r="B309" s="84" t="s">
        <v>14822</v>
      </c>
    </row>
    <row r="310">
      <c r="A310" s="84" t="s">
        <v>2039</v>
      </c>
      <c r="B310" s="84" t="s">
        <v>14786</v>
      </c>
    </row>
    <row r="311">
      <c r="A311" s="84" t="s">
        <v>14823</v>
      </c>
      <c r="B311" s="84" t="s">
        <v>14824</v>
      </c>
    </row>
    <row r="312">
      <c r="A312" s="84" t="s">
        <v>14825</v>
      </c>
      <c r="B312" s="84" t="s">
        <v>14826</v>
      </c>
    </row>
    <row r="313">
      <c r="A313" s="84" t="s">
        <v>4082</v>
      </c>
      <c r="B313" s="84" t="s">
        <v>14827</v>
      </c>
    </row>
    <row r="314">
      <c r="A314" s="84" t="s">
        <v>12582</v>
      </c>
      <c r="B314" s="84" t="s">
        <v>14828</v>
      </c>
    </row>
    <row r="315">
      <c r="A315" s="84" t="s">
        <v>14829</v>
      </c>
      <c r="B315" s="84" t="s">
        <v>14830</v>
      </c>
    </row>
    <row r="316">
      <c r="A316" s="84" t="s">
        <v>14831</v>
      </c>
      <c r="B316" s="84" t="s">
        <v>14832</v>
      </c>
    </row>
    <row r="317">
      <c r="A317" s="84" t="s">
        <v>14833</v>
      </c>
      <c r="B317" s="84" t="s">
        <v>14834</v>
      </c>
    </row>
    <row r="318">
      <c r="A318" s="84" t="s">
        <v>7271</v>
      </c>
      <c r="B318" s="84" t="s">
        <v>14835</v>
      </c>
    </row>
    <row r="319">
      <c r="A319" s="84" t="s">
        <v>14836</v>
      </c>
      <c r="B319" s="84" t="s">
        <v>14837</v>
      </c>
    </row>
    <row r="320">
      <c r="A320" s="84" t="s">
        <v>14836</v>
      </c>
      <c r="B320" s="84" t="s">
        <v>14838</v>
      </c>
    </row>
    <row r="321">
      <c r="A321" s="84" t="s">
        <v>10399</v>
      </c>
      <c r="B321" s="84" t="s">
        <v>14839</v>
      </c>
    </row>
    <row r="322">
      <c r="A322" s="84" t="s">
        <v>4830</v>
      </c>
      <c r="B322" s="84" t="s">
        <v>14840</v>
      </c>
    </row>
    <row r="323">
      <c r="A323" s="84" t="s">
        <v>3036</v>
      </c>
      <c r="B323" s="84" t="s">
        <v>14841</v>
      </c>
    </row>
    <row r="324">
      <c r="A324" s="84" t="s">
        <v>14836</v>
      </c>
      <c r="B324" s="84" t="s">
        <v>14842</v>
      </c>
    </row>
    <row r="325">
      <c r="A325" s="84" t="s">
        <v>4066</v>
      </c>
      <c r="B325" s="84" t="s">
        <v>14843</v>
      </c>
    </row>
    <row r="326">
      <c r="A326" s="84" t="s">
        <v>13914</v>
      </c>
      <c r="B326" s="84" t="s">
        <v>14844</v>
      </c>
    </row>
    <row r="327">
      <c r="A327" s="84" t="s">
        <v>13990</v>
      </c>
      <c r="B327" s="84" t="s">
        <v>14845</v>
      </c>
    </row>
    <row r="328">
      <c r="A328" s="84" t="s">
        <v>7607</v>
      </c>
      <c r="B328" s="84" t="s">
        <v>14846</v>
      </c>
    </row>
    <row r="329">
      <c r="A329" s="84" t="s">
        <v>937</v>
      </c>
      <c r="B329" s="84" t="s">
        <v>14847</v>
      </c>
    </row>
    <row r="330">
      <c r="A330" s="84" t="s">
        <v>14848</v>
      </c>
      <c r="B330" s="84" t="s">
        <v>14849</v>
      </c>
    </row>
    <row r="331">
      <c r="A331" s="84" t="s">
        <v>14850</v>
      </c>
      <c r="B331" s="84" t="s">
        <v>14851</v>
      </c>
    </row>
    <row r="332">
      <c r="A332" s="84" t="s">
        <v>10857</v>
      </c>
      <c r="B332" s="84" t="s">
        <v>14852</v>
      </c>
    </row>
    <row r="333">
      <c r="A333" s="84" t="s">
        <v>2720</v>
      </c>
      <c r="B333" s="84" t="s">
        <v>14853</v>
      </c>
    </row>
    <row r="334">
      <c r="A334" s="84" t="s">
        <v>14854</v>
      </c>
      <c r="B334" s="84" t="s">
        <v>14855</v>
      </c>
    </row>
    <row r="335">
      <c r="A335" s="84" t="s">
        <v>10160</v>
      </c>
      <c r="B335" s="84" t="s">
        <v>14856</v>
      </c>
    </row>
    <row r="336">
      <c r="A336" s="84" t="s">
        <v>5712</v>
      </c>
      <c r="B336" s="84" t="s">
        <v>14857</v>
      </c>
    </row>
    <row r="337">
      <c r="A337" s="84" t="s">
        <v>9103</v>
      </c>
      <c r="B337" s="84" t="s">
        <v>14858</v>
      </c>
    </row>
    <row r="338">
      <c r="A338" s="84" t="s">
        <v>3815</v>
      </c>
      <c r="B338" s="84" t="s">
        <v>14859</v>
      </c>
    </row>
    <row r="339">
      <c r="A339" s="84" t="s">
        <v>4153</v>
      </c>
      <c r="B339" s="84" t="s">
        <v>14860</v>
      </c>
    </row>
    <row r="340">
      <c r="A340" s="84" t="s">
        <v>9451</v>
      </c>
      <c r="B340" s="84" t="s">
        <v>14861</v>
      </c>
    </row>
    <row r="341">
      <c r="A341" s="84" t="s">
        <v>2458</v>
      </c>
      <c r="B341" s="84" t="s">
        <v>14862</v>
      </c>
    </row>
    <row r="342">
      <c r="A342" s="84" t="s">
        <v>14863</v>
      </c>
      <c r="B342" s="84" t="s">
        <v>14864</v>
      </c>
    </row>
    <row r="343">
      <c r="A343" s="84" t="s">
        <v>14865</v>
      </c>
      <c r="B343" s="84" t="s">
        <v>14866</v>
      </c>
    </row>
    <row r="344">
      <c r="A344" s="84" t="s">
        <v>6078</v>
      </c>
      <c r="B344" s="84" t="s">
        <v>14867</v>
      </c>
    </row>
    <row r="345">
      <c r="A345" s="84" t="s">
        <v>6382</v>
      </c>
      <c r="B345" s="84" t="s">
        <v>14868</v>
      </c>
    </row>
    <row r="346">
      <c r="A346" s="84" t="s">
        <v>9442</v>
      </c>
      <c r="B346" s="84" t="s">
        <v>14869</v>
      </c>
    </row>
    <row r="347">
      <c r="A347" s="84" t="s">
        <v>11193</v>
      </c>
      <c r="B347" s="84" t="s">
        <v>14870</v>
      </c>
    </row>
    <row r="348">
      <c r="A348" s="84" t="s">
        <v>13604</v>
      </c>
      <c r="B348" s="84" t="s">
        <v>14871</v>
      </c>
    </row>
    <row r="349">
      <c r="A349" s="84" t="s">
        <v>4687</v>
      </c>
      <c r="B349" s="84" t="s">
        <v>14872</v>
      </c>
    </row>
    <row r="350">
      <c r="A350" s="84" t="s">
        <v>14873</v>
      </c>
      <c r="B350" s="84" t="s">
        <v>14874</v>
      </c>
    </row>
    <row r="351">
      <c r="A351" s="84" t="s">
        <v>4051</v>
      </c>
      <c r="B351" s="84" t="s">
        <v>14875</v>
      </c>
    </row>
    <row r="352">
      <c r="A352" s="84" t="s">
        <v>1791</v>
      </c>
      <c r="B352" s="84" t="s">
        <v>14876</v>
      </c>
    </row>
    <row r="353">
      <c r="A353" s="84" t="s">
        <v>3438</v>
      </c>
      <c r="B353" s="84" t="s">
        <v>14877</v>
      </c>
    </row>
    <row r="354">
      <c r="A354" s="84" t="s">
        <v>3906</v>
      </c>
      <c r="B354" s="84" t="s">
        <v>14878</v>
      </c>
    </row>
    <row r="355">
      <c r="A355" s="84" t="s">
        <v>10286</v>
      </c>
      <c r="B355" s="84" t="s">
        <v>14879</v>
      </c>
    </row>
    <row r="356">
      <c r="A356" s="84" t="s">
        <v>9817</v>
      </c>
      <c r="B356" s="84" t="s">
        <v>14880</v>
      </c>
    </row>
    <row r="357">
      <c r="A357" s="84" t="s">
        <v>14881</v>
      </c>
      <c r="B357" s="84" t="s">
        <v>14882</v>
      </c>
    </row>
    <row r="358">
      <c r="A358" s="84" t="s">
        <v>9918</v>
      </c>
      <c r="B358" s="84" t="s">
        <v>14883</v>
      </c>
    </row>
    <row r="359">
      <c r="A359" s="84" t="s">
        <v>14884</v>
      </c>
      <c r="B359" s="84" t="s">
        <v>14885</v>
      </c>
    </row>
    <row r="360">
      <c r="A360" s="84" t="s">
        <v>1803</v>
      </c>
      <c r="B360" s="84" t="s">
        <v>14886</v>
      </c>
    </row>
    <row r="361">
      <c r="A361" s="84" t="s">
        <v>3074</v>
      </c>
      <c r="B361" s="84" t="s">
        <v>14887</v>
      </c>
    </row>
    <row r="362">
      <c r="A362" s="84" t="s">
        <v>14888</v>
      </c>
      <c r="B362" s="84" t="s">
        <v>14889</v>
      </c>
    </row>
    <row r="363">
      <c r="A363" s="84" t="s">
        <v>6744</v>
      </c>
      <c r="B363" s="84" t="s">
        <v>14890</v>
      </c>
    </row>
    <row r="364">
      <c r="A364" s="84" t="s">
        <v>3391</v>
      </c>
      <c r="B364" s="84" t="s">
        <v>14891</v>
      </c>
    </row>
    <row r="365">
      <c r="A365" s="84" t="s">
        <v>6606</v>
      </c>
      <c r="B365" s="84" t="s">
        <v>14892</v>
      </c>
    </row>
    <row r="366">
      <c r="A366" s="84" t="s">
        <v>14893</v>
      </c>
      <c r="B366" s="84" t="s">
        <v>14894</v>
      </c>
    </row>
    <row r="367">
      <c r="A367" s="84" t="s">
        <v>14895</v>
      </c>
      <c r="B367" s="84" t="s">
        <v>14896</v>
      </c>
    </row>
    <row r="368">
      <c r="A368" s="84" t="s">
        <v>14897</v>
      </c>
      <c r="B368" s="84" t="s">
        <v>14898</v>
      </c>
    </row>
    <row r="369">
      <c r="A369" s="84" t="s">
        <v>12078</v>
      </c>
      <c r="B369" s="84" t="s">
        <v>14899</v>
      </c>
    </row>
    <row r="370">
      <c r="A370" s="84" t="s">
        <v>9228</v>
      </c>
      <c r="B370" s="84" t="s">
        <v>14900</v>
      </c>
    </row>
    <row r="371">
      <c r="A371" s="84" t="s">
        <v>2396</v>
      </c>
      <c r="B371" s="84" t="s">
        <v>14901</v>
      </c>
    </row>
    <row r="372">
      <c r="A372" s="84" t="s">
        <v>14902</v>
      </c>
      <c r="B372" s="84" t="s">
        <v>14903</v>
      </c>
    </row>
    <row r="373">
      <c r="A373" s="84" t="s">
        <v>6911</v>
      </c>
      <c r="B373" s="84" t="s">
        <v>14904</v>
      </c>
    </row>
    <row r="374">
      <c r="A374" s="84" t="s">
        <v>3281</v>
      </c>
      <c r="B374" s="84" t="s">
        <v>14905</v>
      </c>
    </row>
    <row r="375">
      <c r="A375" s="84" t="s">
        <v>7042</v>
      </c>
      <c r="B375" s="84" t="s">
        <v>14906</v>
      </c>
    </row>
    <row r="376">
      <c r="A376" s="84" t="s">
        <v>3562</v>
      </c>
      <c r="B376" s="84" t="s">
        <v>14907</v>
      </c>
    </row>
    <row r="377">
      <c r="A377" s="84" t="s">
        <v>14908</v>
      </c>
      <c r="B377" s="84" t="s">
        <v>14909</v>
      </c>
    </row>
    <row r="378">
      <c r="A378" s="84" t="s">
        <v>6093</v>
      </c>
      <c r="B378" s="84" t="s">
        <v>14910</v>
      </c>
    </row>
    <row r="379">
      <c r="A379" s="84" t="s">
        <v>14911</v>
      </c>
      <c r="B379" s="84" t="s">
        <v>14912</v>
      </c>
    </row>
    <row r="380">
      <c r="A380" s="84" t="s">
        <v>14913</v>
      </c>
      <c r="B380" s="84" t="s">
        <v>14914</v>
      </c>
    </row>
    <row r="381">
      <c r="A381" s="84" t="s">
        <v>8580</v>
      </c>
      <c r="B381" s="84" t="s">
        <v>14915</v>
      </c>
    </row>
    <row r="382">
      <c r="A382" s="84" t="s">
        <v>4577</v>
      </c>
      <c r="B382" s="84" t="s">
        <v>14916</v>
      </c>
    </row>
    <row r="383">
      <c r="A383" s="84" t="s">
        <v>14917</v>
      </c>
      <c r="B383" s="84" t="s">
        <v>14918</v>
      </c>
    </row>
    <row r="384">
      <c r="A384" s="84" t="s">
        <v>7444</v>
      </c>
      <c r="B384" s="84" t="s">
        <v>14919</v>
      </c>
    </row>
    <row r="385">
      <c r="A385" s="84" t="s">
        <v>1628</v>
      </c>
      <c r="B385" s="84" t="s">
        <v>14920</v>
      </c>
    </row>
    <row r="386">
      <c r="A386" s="84" t="s">
        <v>12102</v>
      </c>
      <c r="B386" s="84" t="s">
        <v>14921</v>
      </c>
    </row>
    <row r="387">
      <c r="A387" s="84" t="s">
        <v>7046</v>
      </c>
      <c r="B387" s="84" t="s">
        <v>14922</v>
      </c>
    </row>
    <row r="388">
      <c r="A388" s="84" t="s">
        <v>14923</v>
      </c>
      <c r="B388" s="84" t="s">
        <v>14924</v>
      </c>
    </row>
    <row r="389">
      <c r="A389" s="84" t="s">
        <v>663</v>
      </c>
      <c r="B389" s="84" t="s">
        <v>14925</v>
      </c>
    </row>
    <row r="390">
      <c r="A390" s="84" t="s">
        <v>5934</v>
      </c>
      <c r="B390" s="84" t="s">
        <v>14926</v>
      </c>
    </row>
    <row r="391">
      <c r="A391" s="84" t="s">
        <v>702</v>
      </c>
      <c r="B391" s="84" t="s">
        <v>14927</v>
      </c>
    </row>
    <row r="392">
      <c r="A392" s="84" t="s">
        <v>4651</v>
      </c>
      <c r="B392" s="84" t="s">
        <v>14928</v>
      </c>
    </row>
    <row r="393">
      <c r="A393" s="84" t="s">
        <v>4031</v>
      </c>
      <c r="B393" s="84" t="s">
        <v>14929</v>
      </c>
    </row>
    <row r="394">
      <c r="A394" s="84" t="s">
        <v>3396</v>
      </c>
      <c r="B394" s="84" t="s">
        <v>14930</v>
      </c>
    </row>
    <row r="395">
      <c r="A395" s="84" t="s">
        <v>2636</v>
      </c>
      <c r="B395" s="84" t="s">
        <v>14931</v>
      </c>
    </row>
    <row r="396">
      <c r="A396" s="84" t="s">
        <v>10229</v>
      </c>
      <c r="B396" s="84" t="s">
        <v>14932</v>
      </c>
    </row>
    <row r="397">
      <c r="A397" s="84" t="s">
        <v>3471</v>
      </c>
      <c r="B397" s="84" t="s">
        <v>14933</v>
      </c>
    </row>
    <row r="398">
      <c r="A398" s="84" t="s">
        <v>1337</v>
      </c>
      <c r="B398" s="84" t="s">
        <v>14934</v>
      </c>
    </row>
    <row r="399">
      <c r="A399" s="84" t="s">
        <v>3234</v>
      </c>
      <c r="B399" s="84" t="s">
        <v>14935</v>
      </c>
    </row>
    <row r="400">
      <c r="A400" s="84" t="s">
        <v>3157</v>
      </c>
      <c r="B400" s="84" t="s">
        <v>14936</v>
      </c>
    </row>
    <row r="401">
      <c r="A401" s="84" t="s">
        <v>14937</v>
      </c>
      <c r="B401" s="84" t="s">
        <v>14938</v>
      </c>
    </row>
    <row r="402">
      <c r="A402" s="84" t="s">
        <v>3728</v>
      </c>
      <c r="B402" s="84" t="s">
        <v>14939</v>
      </c>
    </row>
    <row r="403">
      <c r="A403" s="84" t="s">
        <v>14940</v>
      </c>
      <c r="B403" s="84" t="s">
        <v>14941</v>
      </c>
    </row>
    <row r="404">
      <c r="A404" s="84" t="s">
        <v>5575</v>
      </c>
      <c r="B404" s="84" t="s">
        <v>14942</v>
      </c>
    </row>
    <row r="405">
      <c r="A405" s="84" t="s">
        <v>9150</v>
      </c>
      <c r="B405" s="84" t="s">
        <v>14943</v>
      </c>
    </row>
    <row r="406">
      <c r="A406" s="84" t="s">
        <v>13059</v>
      </c>
      <c r="B406" s="84" t="s">
        <v>14944</v>
      </c>
    </row>
    <row r="407">
      <c r="A407" s="84" t="s">
        <v>3704</v>
      </c>
      <c r="B407" s="84" t="s">
        <v>14945</v>
      </c>
    </row>
    <row r="408">
      <c r="A408" s="84" t="s">
        <v>5910</v>
      </c>
      <c r="B408" s="84" t="s">
        <v>14946</v>
      </c>
    </row>
    <row r="409">
      <c r="A409" s="84" t="s">
        <v>2366</v>
      </c>
      <c r="B409" s="84" t="s">
        <v>14947</v>
      </c>
    </row>
    <row r="410">
      <c r="A410" s="84" t="s">
        <v>6266</v>
      </c>
      <c r="B410" s="84" t="s">
        <v>14948</v>
      </c>
    </row>
    <row r="411">
      <c r="A411" s="84" t="s">
        <v>6293</v>
      </c>
      <c r="B411" s="84" t="s">
        <v>14949</v>
      </c>
    </row>
    <row r="412">
      <c r="A412" s="84" t="s">
        <v>3177</v>
      </c>
      <c r="B412" s="84" t="s">
        <v>14950</v>
      </c>
    </row>
    <row r="413">
      <c r="A413" s="84" t="s">
        <v>6548</v>
      </c>
      <c r="B413" s="84" t="s">
        <v>3178</v>
      </c>
    </row>
    <row r="414">
      <c r="A414" s="84" t="s">
        <v>5580</v>
      </c>
      <c r="B414" s="84" t="s">
        <v>14951</v>
      </c>
    </row>
    <row r="415">
      <c r="A415" s="84" t="s">
        <v>12507</v>
      </c>
      <c r="B415" s="84" t="s">
        <v>14952</v>
      </c>
    </row>
    <row r="416">
      <c r="A416" s="84" t="s">
        <v>14953</v>
      </c>
      <c r="B416" s="84" t="s">
        <v>14954</v>
      </c>
    </row>
    <row r="417">
      <c r="A417" s="84" t="s">
        <v>14955</v>
      </c>
      <c r="B417" s="84" t="s">
        <v>14956</v>
      </c>
    </row>
    <row r="418">
      <c r="A418" s="84" t="s">
        <v>14957</v>
      </c>
      <c r="B418" s="84" t="s">
        <v>14958</v>
      </c>
    </row>
    <row r="419">
      <c r="A419" s="84" t="s">
        <v>14959</v>
      </c>
      <c r="B419" s="84" t="s">
        <v>14960</v>
      </c>
    </row>
    <row r="420">
      <c r="A420" s="84" t="s">
        <v>11828</v>
      </c>
      <c r="B420" s="84" t="s">
        <v>14961</v>
      </c>
    </row>
    <row r="421">
      <c r="A421" s="84" t="s">
        <v>4887</v>
      </c>
      <c r="B421" s="84" t="s">
        <v>14962</v>
      </c>
    </row>
    <row r="422">
      <c r="A422" s="84" t="s">
        <v>14963</v>
      </c>
      <c r="B422" s="84" t="s">
        <v>14964</v>
      </c>
    </row>
    <row r="423">
      <c r="A423" s="84" t="s">
        <v>3902</v>
      </c>
      <c r="B423" s="84" t="s">
        <v>14965</v>
      </c>
    </row>
    <row r="424">
      <c r="A424" s="84" t="s">
        <v>5343</v>
      </c>
      <c r="B424" s="84" t="s">
        <v>14966</v>
      </c>
    </row>
    <row r="425">
      <c r="A425" s="84" t="s">
        <v>11759</v>
      </c>
      <c r="B425" s="84" t="s">
        <v>14967</v>
      </c>
    </row>
    <row r="426">
      <c r="A426" s="84" t="s">
        <v>8395</v>
      </c>
      <c r="B426" s="84" t="s">
        <v>14968</v>
      </c>
    </row>
    <row r="427">
      <c r="A427" s="84" t="s">
        <v>14969</v>
      </c>
      <c r="B427" s="84" t="s">
        <v>14970</v>
      </c>
    </row>
    <row r="428">
      <c r="A428" s="84" t="s">
        <v>14971</v>
      </c>
      <c r="B428" s="84" t="s">
        <v>14972</v>
      </c>
    </row>
    <row r="429">
      <c r="A429" s="84" t="s">
        <v>4309</v>
      </c>
      <c r="B429" s="84" t="s">
        <v>14973</v>
      </c>
    </row>
    <row r="430">
      <c r="A430" s="84" t="s">
        <v>10853</v>
      </c>
      <c r="B430" s="84" t="s">
        <v>14974</v>
      </c>
    </row>
    <row r="431">
      <c r="A431" s="84" t="s">
        <v>14975</v>
      </c>
      <c r="B431" s="84" t="s">
        <v>14976</v>
      </c>
    </row>
    <row r="432">
      <c r="A432" s="84" t="s">
        <v>7367</v>
      </c>
      <c r="B432" s="84" t="s">
        <v>14977</v>
      </c>
    </row>
    <row r="433">
      <c r="A433" s="84" t="s">
        <v>11790</v>
      </c>
      <c r="B433" s="84" t="s">
        <v>14978</v>
      </c>
    </row>
    <row r="434">
      <c r="A434" s="84" t="s">
        <v>14979</v>
      </c>
      <c r="B434" s="84" t="s">
        <v>14980</v>
      </c>
    </row>
    <row r="435">
      <c r="A435" s="84" t="s">
        <v>14981</v>
      </c>
      <c r="B435" s="84" t="s">
        <v>14982</v>
      </c>
    </row>
    <row r="436">
      <c r="A436" s="84" t="s">
        <v>8019</v>
      </c>
      <c r="B436" s="84" t="s">
        <v>14983</v>
      </c>
    </row>
    <row r="437">
      <c r="A437" s="84" t="s">
        <v>3069</v>
      </c>
      <c r="B437" s="84" t="s">
        <v>14984</v>
      </c>
    </row>
    <row r="438">
      <c r="A438" s="84" t="s">
        <v>6493</v>
      </c>
      <c r="B438" s="84" t="s">
        <v>14985</v>
      </c>
    </row>
    <row r="439">
      <c r="A439" s="84" t="s">
        <v>8343</v>
      </c>
      <c r="B439" s="84" t="s">
        <v>14986</v>
      </c>
    </row>
    <row r="440">
      <c r="A440" s="84" t="s">
        <v>4918</v>
      </c>
      <c r="B440" s="84" t="s">
        <v>14987</v>
      </c>
    </row>
    <row r="441">
      <c r="A441" s="84" t="s">
        <v>14988</v>
      </c>
      <c r="B441" s="84" t="s">
        <v>14989</v>
      </c>
    </row>
    <row r="442">
      <c r="A442" s="84" t="s">
        <v>14990</v>
      </c>
      <c r="B442" s="84" t="s">
        <v>14991</v>
      </c>
    </row>
    <row r="443">
      <c r="A443" s="84" t="s">
        <v>3304</v>
      </c>
      <c r="B443" s="84" t="s">
        <v>14992</v>
      </c>
    </row>
    <row r="444">
      <c r="A444" s="84" t="s">
        <v>14993</v>
      </c>
      <c r="B444" s="84" t="s">
        <v>14994</v>
      </c>
    </row>
    <row r="445">
      <c r="A445" s="84" t="s">
        <v>10513</v>
      </c>
      <c r="B445" s="84" t="s">
        <v>14995</v>
      </c>
    </row>
    <row r="446">
      <c r="A446" s="84" t="s">
        <v>2705</v>
      </c>
      <c r="B446" s="84" t="s">
        <v>14996</v>
      </c>
    </row>
    <row r="447">
      <c r="A447" s="84" t="s">
        <v>14997</v>
      </c>
      <c r="B447" s="84" t="s">
        <v>14998</v>
      </c>
    </row>
    <row r="448">
      <c r="A448" s="84" t="s">
        <v>14999</v>
      </c>
      <c r="B448" s="84" t="s">
        <v>15000</v>
      </c>
    </row>
    <row r="449">
      <c r="A449" s="84" t="s">
        <v>1735</v>
      </c>
      <c r="B449" s="84" t="s">
        <v>15001</v>
      </c>
    </row>
    <row r="450">
      <c r="A450" s="84" t="s">
        <v>15002</v>
      </c>
      <c r="B450" s="84" t="s">
        <v>15003</v>
      </c>
    </row>
    <row r="451">
      <c r="A451" s="84" t="s">
        <v>15004</v>
      </c>
      <c r="B451" s="84" t="s">
        <v>15005</v>
      </c>
    </row>
    <row r="452">
      <c r="A452" s="84" t="s">
        <v>9297</v>
      </c>
      <c r="B452" s="84" t="s">
        <v>15006</v>
      </c>
    </row>
    <row r="453">
      <c r="A453" s="84" t="s">
        <v>15007</v>
      </c>
      <c r="B453" s="84" t="s">
        <v>15008</v>
      </c>
    </row>
    <row r="454">
      <c r="A454" s="84" t="s">
        <v>4098</v>
      </c>
      <c r="B454" s="84" t="s">
        <v>15009</v>
      </c>
    </row>
    <row r="455">
      <c r="A455" s="84" t="s">
        <v>7800</v>
      </c>
      <c r="B455" s="84" t="s">
        <v>15010</v>
      </c>
    </row>
    <row r="456">
      <c r="A456" s="84" t="s">
        <v>7645</v>
      </c>
      <c r="B456" s="84" t="s">
        <v>15011</v>
      </c>
    </row>
    <row r="457">
      <c r="A457" s="84" t="s">
        <v>15012</v>
      </c>
      <c r="B457" s="84" t="s">
        <v>15013</v>
      </c>
    </row>
    <row r="458">
      <c r="A458" s="84" t="s">
        <v>13701</v>
      </c>
      <c r="B458" s="84" t="s">
        <v>15014</v>
      </c>
    </row>
    <row r="459">
      <c r="A459" s="84" t="s">
        <v>9992</v>
      </c>
      <c r="B459" s="84" t="s">
        <v>15015</v>
      </c>
    </row>
    <row r="460">
      <c r="A460" s="84" t="s">
        <v>4218</v>
      </c>
      <c r="B460" s="84" t="s">
        <v>15016</v>
      </c>
    </row>
    <row r="461">
      <c r="A461" s="84" t="s">
        <v>4547</v>
      </c>
      <c r="B461" s="84" t="s">
        <v>15017</v>
      </c>
    </row>
    <row r="462">
      <c r="A462" s="84" t="s">
        <v>2384</v>
      </c>
      <c r="B462" s="84" t="s">
        <v>15018</v>
      </c>
    </row>
    <row r="463">
      <c r="A463" s="84" t="s">
        <v>15019</v>
      </c>
      <c r="B463" s="84" t="s">
        <v>15020</v>
      </c>
    </row>
    <row r="464">
      <c r="A464" s="84" t="s">
        <v>2873</v>
      </c>
      <c r="B464" s="84" t="s">
        <v>15021</v>
      </c>
    </row>
    <row r="465">
      <c r="A465" s="84" t="s">
        <v>15022</v>
      </c>
      <c r="B465" s="84" t="s">
        <v>15023</v>
      </c>
    </row>
    <row r="466">
      <c r="A466" s="84" t="s">
        <v>1453</v>
      </c>
      <c r="B466" s="84" t="s">
        <v>15024</v>
      </c>
    </row>
    <row r="467">
      <c r="A467" s="84" t="s">
        <v>2401</v>
      </c>
      <c r="B467" s="84" t="s">
        <v>15025</v>
      </c>
    </row>
    <row r="468">
      <c r="A468" s="84" t="s">
        <v>3495</v>
      </c>
      <c r="B468" s="84" t="s">
        <v>15026</v>
      </c>
    </row>
    <row r="469">
      <c r="A469" s="84" t="s">
        <v>1050</v>
      </c>
      <c r="B469" s="84" t="s">
        <v>15027</v>
      </c>
    </row>
    <row r="470">
      <c r="A470" s="84" t="s">
        <v>1826</v>
      </c>
      <c r="B470" s="84" t="s">
        <v>15028</v>
      </c>
    </row>
    <row r="471">
      <c r="A471" s="84" t="s">
        <v>1919</v>
      </c>
      <c r="B471" s="84" t="s">
        <v>15029</v>
      </c>
    </row>
    <row r="472">
      <c r="A472" s="84" t="s">
        <v>512</v>
      </c>
      <c r="B472" s="84" t="s">
        <v>15030</v>
      </c>
    </row>
    <row r="473">
      <c r="A473" s="84" t="s">
        <v>2938</v>
      </c>
      <c r="B473" s="84" t="s">
        <v>15031</v>
      </c>
    </row>
    <row r="474">
      <c r="A474" s="84" t="s">
        <v>6417</v>
      </c>
      <c r="B474" s="84" t="s">
        <v>15032</v>
      </c>
    </row>
    <row r="475">
      <c r="A475" s="84" t="s">
        <v>6641</v>
      </c>
      <c r="B475" s="84" t="s">
        <v>15033</v>
      </c>
    </row>
    <row r="476">
      <c r="A476" s="84" t="s">
        <v>15034</v>
      </c>
      <c r="B476" s="84" t="s">
        <v>15035</v>
      </c>
    </row>
    <row r="477">
      <c r="A477" s="84" t="s">
        <v>15036</v>
      </c>
      <c r="B477" s="84" t="s">
        <v>15037</v>
      </c>
    </row>
    <row r="478">
      <c r="A478" s="84" t="s">
        <v>1987</v>
      </c>
      <c r="B478" s="84" t="s">
        <v>15038</v>
      </c>
    </row>
    <row r="479">
      <c r="A479" s="84" t="s">
        <v>6818</v>
      </c>
      <c r="B479" s="84" t="s">
        <v>15039</v>
      </c>
    </row>
    <row r="480">
      <c r="A480" s="84" t="s">
        <v>15040</v>
      </c>
      <c r="B480" s="84" t="s">
        <v>15041</v>
      </c>
    </row>
    <row r="481">
      <c r="A481" s="84" t="s">
        <v>15042</v>
      </c>
      <c r="B481" s="84" t="s">
        <v>15043</v>
      </c>
    </row>
    <row r="482">
      <c r="A482" s="84" t="s">
        <v>15044</v>
      </c>
      <c r="B482" s="84" t="s">
        <v>15045</v>
      </c>
    </row>
    <row r="483">
      <c r="A483" s="84" t="s">
        <v>15046</v>
      </c>
      <c r="B483" s="84" t="s">
        <v>15047</v>
      </c>
    </row>
    <row r="484">
      <c r="A484" s="84" t="s">
        <v>10028</v>
      </c>
      <c r="B484" s="84" t="s">
        <v>15048</v>
      </c>
    </row>
    <row r="485">
      <c r="A485" s="84" t="s">
        <v>8044</v>
      </c>
      <c r="B485" s="84" t="s">
        <v>15049</v>
      </c>
    </row>
    <row r="486">
      <c r="A486" s="84" t="s">
        <v>7404</v>
      </c>
      <c r="B486" s="84" t="s">
        <v>15050</v>
      </c>
    </row>
    <row r="487">
      <c r="A487" s="84" t="s">
        <v>15051</v>
      </c>
      <c r="B487" s="84" t="s">
        <v>15052</v>
      </c>
    </row>
    <row r="488">
      <c r="A488" s="84" t="s">
        <v>15053</v>
      </c>
      <c r="B488" s="84" t="s">
        <v>15054</v>
      </c>
    </row>
    <row r="489">
      <c r="A489" s="84" t="s">
        <v>15055</v>
      </c>
      <c r="B489" s="84" t="s">
        <v>15056</v>
      </c>
    </row>
    <row r="490">
      <c r="A490" s="84" t="s">
        <v>15057</v>
      </c>
      <c r="B490" s="84" t="s">
        <v>15058</v>
      </c>
    </row>
    <row r="491">
      <c r="A491" s="84" t="s">
        <v>15059</v>
      </c>
      <c r="B491" s="84" t="s">
        <v>15060</v>
      </c>
    </row>
    <row r="492">
      <c r="A492" s="84" t="s">
        <v>15061</v>
      </c>
      <c r="B492" s="84" t="s">
        <v>15062</v>
      </c>
    </row>
    <row r="493">
      <c r="A493" s="84" t="s">
        <v>666</v>
      </c>
      <c r="B493" s="84" t="s">
        <v>15063</v>
      </c>
    </row>
    <row r="494">
      <c r="A494" s="84" t="s">
        <v>631</v>
      </c>
      <c r="B494" s="84" t="s">
        <v>15064</v>
      </c>
    </row>
    <row r="495">
      <c r="A495" s="84" t="s">
        <v>15065</v>
      </c>
      <c r="B495" s="84" t="s">
        <v>15066</v>
      </c>
    </row>
    <row r="496">
      <c r="A496" s="84" t="s">
        <v>15065</v>
      </c>
      <c r="B496" s="84" t="s">
        <v>15066</v>
      </c>
    </row>
    <row r="497">
      <c r="A497" s="84" t="s">
        <v>10048</v>
      </c>
      <c r="B497" s="84" t="s">
        <v>15067</v>
      </c>
    </row>
    <row r="498">
      <c r="A498" s="84" t="s">
        <v>15068</v>
      </c>
      <c r="B498" s="84" t="s">
        <v>15069</v>
      </c>
    </row>
    <row r="499">
      <c r="A499" s="84" t="s">
        <v>7564</v>
      </c>
      <c r="B499" s="84" t="s">
        <v>15070</v>
      </c>
    </row>
    <row r="500">
      <c r="A500" s="84" t="s">
        <v>3835</v>
      </c>
      <c r="B500" s="84" t="s">
        <v>15071</v>
      </c>
    </row>
    <row r="501">
      <c r="A501" s="84" t="s">
        <v>3131</v>
      </c>
      <c r="B501" s="84" t="s">
        <v>15072</v>
      </c>
    </row>
    <row r="502">
      <c r="A502" s="84" t="s">
        <v>6888</v>
      </c>
      <c r="B502" s="84" t="s">
        <v>15073</v>
      </c>
    </row>
    <row r="503">
      <c r="A503" s="84" t="s">
        <v>8081</v>
      </c>
      <c r="B503" s="84" t="s">
        <v>15074</v>
      </c>
    </row>
    <row r="504">
      <c r="A504" s="84" t="s">
        <v>4596</v>
      </c>
      <c r="B504" s="84" t="s">
        <v>15075</v>
      </c>
    </row>
    <row r="505">
      <c r="A505" s="84" t="s">
        <v>15076</v>
      </c>
      <c r="B505" s="84" t="s">
        <v>15077</v>
      </c>
    </row>
    <row r="506">
      <c r="A506" s="84" t="s">
        <v>2701</v>
      </c>
      <c r="B506" s="84" t="s">
        <v>15078</v>
      </c>
    </row>
    <row r="507">
      <c r="A507" s="84" t="s">
        <v>15079</v>
      </c>
      <c r="B507" s="84" t="s">
        <v>15080</v>
      </c>
    </row>
    <row r="508">
      <c r="A508" s="84" t="s">
        <v>6991</v>
      </c>
      <c r="B508" s="84" t="s">
        <v>15081</v>
      </c>
    </row>
    <row r="509">
      <c r="A509" s="84" t="s">
        <v>6367</v>
      </c>
      <c r="B509" s="84" t="s">
        <v>15082</v>
      </c>
    </row>
    <row r="510">
      <c r="A510" s="84" t="s">
        <v>15083</v>
      </c>
      <c r="B510" s="84" t="s">
        <v>15084</v>
      </c>
    </row>
    <row r="511">
      <c r="A511" s="84" t="s">
        <v>9725</v>
      </c>
      <c r="B511" s="84" t="s">
        <v>15085</v>
      </c>
    </row>
    <row r="512">
      <c r="A512" s="84" t="s">
        <v>15086</v>
      </c>
      <c r="B512" s="84" t="s">
        <v>15087</v>
      </c>
    </row>
    <row r="513">
      <c r="A513" s="84" t="s">
        <v>4625</v>
      </c>
      <c r="B513" s="84" t="s">
        <v>15088</v>
      </c>
    </row>
    <row r="514">
      <c r="A514" s="84" t="s">
        <v>15089</v>
      </c>
      <c r="B514" s="84" t="s">
        <v>15090</v>
      </c>
    </row>
    <row r="515">
      <c r="A515" s="84" t="s">
        <v>15091</v>
      </c>
      <c r="B515" s="84" t="s">
        <v>15092</v>
      </c>
    </row>
    <row r="516">
      <c r="A516" s="84" t="s">
        <v>15093</v>
      </c>
      <c r="B516" s="84" t="s">
        <v>15094</v>
      </c>
    </row>
    <row r="517">
      <c r="A517" s="84" t="s">
        <v>15095</v>
      </c>
      <c r="B517" s="84" t="s">
        <v>15096</v>
      </c>
    </row>
    <row r="518">
      <c r="A518" s="84" t="s">
        <v>15097</v>
      </c>
      <c r="B518" s="84" t="s">
        <v>15098</v>
      </c>
    </row>
    <row r="519">
      <c r="A519" s="84" t="s">
        <v>15099</v>
      </c>
      <c r="B519" s="84" t="s">
        <v>15100</v>
      </c>
    </row>
    <row r="520">
      <c r="A520" s="84" t="s">
        <v>3146</v>
      </c>
      <c r="B520" s="84" t="s">
        <v>15101</v>
      </c>
    </row>
    <row r="521">
      <c r="A521" s="84" t="s">
        <v>5742</v>
      </c>
      <c r="B521" s="84" t="s">
        <v>15102</v>
      </c>
    </row>
    <row r="522">
      <c r="A522" s="84" t="s">
        <v>8194</v>
      </c>
      <c r="B522" s="84" t="s">
        <v>15103</v>
      </c>
    </row>
    <row r="523">
      <c r="A523" s="84" t="s">
        <v>15104</v>
      </c>
      <c r="B523" s="84" t="s">
        <v>15105</v>
      </c>
    </row>
    <row r="524">
      <c r="A524" s="84" t="s">
        <v>3124</v>
      </c>
      <c r="B524" s="84" t="s">
        <v>15106</v>
      </c>
    </row>
    <row r="525">
      <c r="A525" s="84" t="s">
        <v>5930</v>
      </c>
      <c r="B525" s="84" t="s">
        <v>15107</v>
      </c>
    </row>
    <row r="526">
      <c r="A526" s="84" t="s">
        <v>9795</v>
      </c>
      <c r="B526" s="84" t="s">
        <v>15108</v>
      </c>
    </row>
    <row r="527">
      <c r="A527" s="84" t="s">
        <v>15109</v>
      </c>
      <c r="B527" s="84" t="s">
        <v>15110</v>
      </c>
    </row>
    <row r="528">
      <c r="A528" s="84" t="s">
        <v>4351</v>
      </c>
      <c r="B528" s="84" t="s">
        <v>15111</v>
      </c>
    </row>
    <row r="529">
      <c r="A529" s="84" t="s">
        <v>4906</v>
      </c>
      <c r="B529" s="84" t="s">
        <v>15112</v>
      </c>
    </row>
    <row r="530">
      <c r="A530" s="84" t="s">
        <v>15113</v>
      </c>
      <c r="B530" s="84" t="s">
        <v>15114</v>
      </c>
    </row>
    <row r="531">
      <c r="A531" s="84" t="s">
        <v>10754</v>
      </c>
      <c r="B531" s="84" t="s">
        <v>15115</v>
      </c>
    </row>
    <row r="532">
      <c r="A532" s="84" t="s">
        <v>15116</v>
      </c>
      <c r="B532" s="84" t="s">
        <v>15117</v>
      </c>
    </row>
    <row r="533">
      <c r="A533" s="84" t="s">
        <v>15118</v>
      </c>
      <c r="B533" s="84" t="s">
        <v>15119</v>
      </c>
    </row>
    <row r="534">
      <c r="A534" s="84" t="s">
        <v>15120</v>
      </c>
      <c r="B534" s="84" t="s">
        <v>15121</v>
      </c>
    </row>
    <row r="535">
      <c r="A535" s="84" t="s">
        <v>1050</v>
      </c>
      <c r="B535" s="84" t="s">
        <v>15122</v>
      </c>
    </row>
    <row r="536">
      <c r="A536" s="84" t="s">
        <v>15123</v>
      </c>
      <c r="B536" s="84" t="s">
        <v>15124</v>
      </c>
    </row>
    <row r="537">
      <c r="A537" s="84" t="s">
        <v>15125</v>
      </c>
      <c r="B537" s="84" t="s">
        <v>15126</v>
      </c>
    </row>
    <row r="538">
      <c r="A538" s="84" t="s">
        <v>3601</v>
      </c>
      <c r="B538" s="84" t="s">
        <v>15127</v>
      </c>
    </row>
    <row r="539">
      <c r="A539" s="84" t="s">
        <v>12643</v>
      </c>
      <c r="B539" s="84" t="s">
        <v>15128</v>
      </c>
    </row>
    <row r="540">
      <c r="A540" s="84" t="s">
        <v>15129</v>
      </c>
      <c r="B540" s="84" t="s">
        <v>15130</v>
      </c>
    </row>
    <row r="541">
      <c r="A541" s="84" t="s">
        <v>15131</v>
      </c>
      <c r="B541" s="84" t="s">
        <v>15132</v>
      </c>
    </row>
    <row r="542">
      <c r="A542" s="84" t="s">
        <v>15133</v>
      </c>
      <c r="B542" s="84" t="s">
        <v>15134</v>
      </c>
    </row>
    <row r="543">
      <c r="A543" s="84" t="s">
        <v>8152</v>
      </c>
      <c r="B543" s="84" t="s">
        <v>15135</v>
      </c>
    </row>
    <row r="544">
      <c r="A544" s="84" t="s">
        <v>15136</v>
      </c>
      <c r="B544" s="84" t="s">
        <v>15137</v>
      </c>
    </row>
    <row r="545">
      <c r="A545" s="84" t="s">
        <v>6854</v>
      </c>
      <c r="B545" s="84" t="s">
        <v>15138</v>
      </c>
    </row>
    <row r="546">
      <c r="A546" s="84" t="s">
        <v>7252</v>
      </c>
      <c r="B546" s="84" t="s">
        <v>15139</v>
      </c>
    </row>
    <row r="547">
      <c r="A547" s="84" t="s">
        <v>5112</v>
      </c>
      <c r="B547" s="84" t="s">
        <v>15140</v>
      </c>
    </row>
    <row r="548">
      <c r="A548" s="84" t="s">
        <v>15141</v>
      </c>
      <c r="B548" s="84" t="s">
        <v>15142</v>
      </c>
    </row>
    <row r="549">
      <c r="A549" s="84" t="s">
        <v>8230</v>
      </c>
      <c r="B549" s="84" t="s">
        <v>15143</v>
      </c>
    </row>
    <row r="550">
      <c r="A550" s="84" t="s">
        <v>15144</v>
      </c>
      <c r="B550" s="84" t="s">
        <v>15145</v>
      </c>
    </row>
    <row r="551">
      <c r="A551" s="84" t="s">
        <v>3408</v>
      </c>
      <c r="B551" s="84" t="s">
        <v>15146</v>
      </c>
    </row>
    <row r="552">
      <c r="A552" s="84" t="s">
        <v>5302</v>
      </c>
      <c r="B552" s="84" t="s">
        <v>15147</v>
      </c>
    </row>
    <row r="553">
      <c r="A553" s="84" t="s">
        <v>7766</v>
      </c>
      <c r="B553" s="84" t="s">
        <v>15148</v>
      </c>
    </row>
    <row r="554">
      <c r="A554" s="84" t="s">
        <v>7192</v>
      </c>
      <c r="B554" s="84" t="s">
        <v>15149</v>
      </c>
    </row>
    <row r="555">
      <c r="A555" s="84" t="s">
        <v>3976</v>
      </c>
      <c r="B555" s="84" t="s">
        <v>15150</v>
      </c>
    </row>
    <row r="556">
      <c r="A556" s="84" t="s">
        <v>2372</v>
      </c>
      <c r="B556" s="84" t="s">
        <v>15151</v>
      </c>
    </row>
    <row r="557">
      <c r="A557" s="84" t="s">
        <v>15152</v>
      </c>
      <c r="B557" s="84" t="s">
        <v>15153</v>
      </c>
    </row>
    <row r="558">
      <c r="A558" s="84" t="s">
        <v>15154</v>
      </c>
      <c r="B558" s="84" t="s">
        <v>15155</v>
      </c>
    </row>
    <row r="559">
      <c r="A559" s="84" t="s">
        <v>3343</v>
      </c>
      <c r="B559" s="84" t="s">
        <v>15156</v>
      </c>
    </row>
    <row r="560">
      <c r="A560" s="84" t="s">
        <v>3499</v>
      </c>
      <c r="B560" s="84" t="s">
        <v>15157</v>
      </c>
    </row>
    <row r="561">
      <c r="A561" s="84" t="s">
        <v>2658</v>
      </c>
      <c r="B561" s="84" t="s">
        <v>15158</v>
      </c>
    </row>
    <row r="562">
      <c r="A562" s="84" t="s">
        <v>2985</v>
      </c>
      <c r="B562" s="84" t="s">
        <v>15159</v>
      </c>
    </row>
    <row r="563">
      <c r="A563" s="84" t="s">
        <v>3255</v>
      </c>
      <c r="B563" s="84" t="s">
        <v>15160</v>
      </c>
    </row>
    <row r="564">
      <c r="A564" s="84" t="s">
        <v>15161</v>
      </c>
      <c r="B564" s="84" t="s">
        <v>15162</v>
      </c>
    </row>
    <row r="565">
      <c r="A565" s="84" t="s">
        <v>7033</v>
      </c>
      <c r="B565" s="84" t="s">
        <v>15163</v>
      </c>
    </row>
    <row r="566">
      <c r="A566" s="84" t="s">
        <v>3433</v>
      </c>
      <c r="B566" s="84" t="s">
        <v>15164</v>
      </c>
    </row>
    <row r="567">
      <c r="A567" s="84" t="s">
        <v>15165</v>
      </c>
      <c r="B567" s="84" t="s">
        <v>15166</v>
      </c>
    </row>
    <row r="568">
      <c r="A568" s="84" t="s">
        <v>8055</v>
      </c>
      <c r="B568" s="84" t="s">
        <v>15167</v>
      </c>
    </row>
    <row r="569">
      <c r="A569" s="84" t="s">
        <v>15168</v>
      </c>
      <c r="B569" s="84" t="s">
        <v>15169</v>
      </c>
    </row>
    <row r="570">
      <c r="A570" s="84" t="s">
        <v>15170</v>
      </c>
      <c r="B570" s="84" t="s">
        <v>15171</v>
      </c>
    </row>
    <row r="571">
      <c r="A571" s="84" t="s">
        <v>785</v>
      </c>
      <c r="B571" s="84" t="s">
        <v>15172</v>
      </c>
    </row>
    <row r="572">
      <c r="A572" s="84" t="s">
        <v>15173</v>
      </c>
      <c r="B572" s="84" t="s">
        <v>15174</v>
      </c>
    </row>
    <row r="573">
      <c r="A573" s="84" t="s">
        <v>852</v>
      </c>
      <c r="B573" s="84" t="s">
        <v>15175</v>
      </c>
    </row>
    <row r="574">
      <c r="A574" s="84" t="s">
        <v>643</v>
      </c>
      <c r="B574" s="84" t="s">
        <v>15176</v>
      </c>
    </row>
    <row r="575">
      <c r="A575" s="84" t="s">
        <v>1061</v>
      </c>
      <c r="B575" s="84" t="s">
        <v>15177</v>
      </c>
    </row>
    <row r="576">
      <c r="A576" s="84" t="s">
        <v>4980</v>
      </c>
      <c r="B576" s="84" t="s">
        <v>15178</v>
      </c>
    </row>
    <row r="577">
      <c r="A577" s="84" t="s">
        <v>4809</v>
      </c>
      <c r="B577" s="84" t="s">
        <v>15179</v>
      </c>
    </row>
    <row r="578">
      <c r="A578" s="84" t="s">
        <v>6832</v>
      </c>
      <c r="B578" s="84" t="s">
        <v>15180</v>
      </c>
    </row>
    <row r="579">
      <c r="A579" s="84" t="s">
        <v>3789</v>
      </c>
      <c r="B579" s="84" t="s">
        <v>15181</v>
      </c>
    </row>
    <row r="580">
      <c r="A580" s="84" t="s">
        <v>15182</v>
      </c>
      <c r="B580" s="84" t="s">
        <v>15183</v>
      </c>
    </row>
    <row r="581">
      <c r="A581" s="84" t="s">
        <v>5378</v>
      </c>
      <c r="B581" s="84" t="s">
        <v>15184</v>
      </c>
    </row>
    <row r="582">
      <c r="A582" s="84" t="s">
        <v>7206</v>
      </c>
      <c r="B582" s="84" t="s">
        <v>15185</v>
      </c>
    </row>
    <row r="583">
      <c r="A583" s="84" t="s">
        <v>15186</v>
      </c>
      <c r="B583" s="84" t="s">
        <v>15187</v>
      </c>
    </row>
    <row r="584">
      <c r="A584" s="84" t="s">
        <v>15188</v>
      </c>
      <c r="B584" s="84" t="s">
        <v>15189</v>
      </c>
    </row>
    <row r="585">
      <c r="A585" s="84" t="s">
        <v>3930</v>
      </c>
      <c r="B585" s="84" t="s">
        <v>15190</v>
      </c>
    </row>
    <row r="586">
      <c r="A586" s="84" t="s">
        <v>9677</v>
      </c>
      <c r="B586" s="84" t="s">
        <v>15191</v>
      </c>
    </row>
    <row r="587">
      <c r="A587" s="84" t="s">
        <v>7596</v>
      </c>
      <c r="B587" s="84" t="s">
        <v>15192</v>
      </c>
    </row>
    <row r="588">
      <c r="A588" s="84" t="s">
        <v>6599</v>
      </c>
      <c r="B588" s="84" t="s">
        <v>15193</v>
      </c>
    </row>
    <row r="589">
      <c r="A589" s="84" t="s">
        <v>2964</v>
      </c>
      <c r="B589" s="84" t="s">
        <v>2966</v>
      </c>
    </row>
    <row r="590">
      <c r="A590" s="84" t="s">
        <v>6110</v>
      </c>
      <c r="B590" s="84" t="s">
        <v>15194</v>
      </c>
    </row>
    <row r="591">
      <c r="A591" s="84" t="s">
        <v>15195</v>
      </c>
      <c r="B591" s="84" t="s">
        <v>15196</v>
      </c>
    </row>
    <row r="592">
      <c r="A592" s="84" t="s">
        <v>5915</v>
      </c>
      <c r="B592" s="84" t="s">
        <v>15197</v>
      </c>
    </row>
    <row r="593">
      <c r="A593" s="84" t="s">
        <v>4146</v>
      </c>
      <c r="B593" s="84" t="s">
        <v>15198</v>
      </c>
    </row>
    <row r="594">
      <c r="A594" s="84" t="s">
        <v>13937</v>
      </c>
      <c r="B594" s="84" t="s">
        <v>15199</v>
      </c>
    </row>
    <row r="595">
      <c r="A595" s="84" t="s">
        <v>8495</v>
      </c>
      <c r="B595" s="84" t="s">
        <v>15200</v>
      </c>
    </row>
    <row r="596">
      <c r="A596" s="84" t="s">
        <v>13258</v>
      </c>
      <c r="B596" s="84" t="s">
        <v>15201</v>
      </c>
    </row>
    <row r="597">
      <c r="A597" s="84" t="s">
        <v>5298</v>
      </c>
      <c r="B597" s="84" t="s">
        <v>15202</v>
      </c>
    </row>
    <row r="598">
      <c r="A598" s="84" t="s">
        <v>15195</v>
      </c>
      <c r="B598" s="84" t="s">
        <v>15196</v>
      </c>
    </row>
    <row r="599">
      <c r="A599" s="84" t="s">
        <v>15203</v>
      </c>
      <c r="B599" s="84" t="s">
        <v>15204</v>
      </c>
    </row>
    <row r="600">
      <c r="A600" s="84" t="s">
        <v>15205</v>
      </c>
      <c r="B600" s="84" t="s">
        <v>15206</v>
      </c>
    </row>
    <row r="601">
      <c r="A601" s="84" t="s">
        <v>7489</v>
      </c>
      <c r="B601" s="84" t="s">
        <v>15207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3" max="3" width="19.5"/>
    <col customWidth="1" min="5" max="5" width="18.63"/>
    <col customWidth="1" min="6" max="6" width="14.75"/>
    <col customWidth="1" min="8" max="8" width="21.5"/>
    <col customWidth="1" min="9" max="9" width="34.5"/>
    <col customWidth="1" min="10" max="10" width="18.38"/>
    <col customWidth="1" min="11" max="11" width="14.0"/>
    <col customWidth="1" min="12" max="12" width="25.13"/>
    <col customWidth="1" min="13" max="13" width="11.88"/>
    <col customWidth="1" min="14" max="14" width="34.63"/>
    <col customWidth="1" min="15" max="15" width="36.13"/>
  </cols>
  <sheetData>
    <row r="1">
      <c r="A1" s="45" t="s">
        <v>14039</v>
      </c>
      <c r="B1" s="45" t="s">
        <v>14211</v>
      </c>
      <c r="C1" s="45" t="s">
        <v>2</v>
      </c>
      <c r="D1" s="45" t="s">
        <v>3</v>
      </c>
      <c r="E1" s="45" t="s">
        <v>14212</v>
      </c>
      <c r="F1" s="45" t="s">
        <v>35</v>
      </c>
      <c r="G1" s="45" t="s">
        <v>5</v>
      </c>
      <c r="H1" s="45" t="s">
        <v>10</v>
      </c>
      <c r="I1" s="45" t="s">
        <v>18</v>
      </c>
      <c r="J1" s="45" t="s">
        <v>16</v>
      </c>
      <c r="K1" s="45" t="s">
        <v>14214</v>
      </c>
      <c r="L1" s="45" t="s">
        <v>20</v>
      </c>
      <c r="M1" s="109" t="s">
        <v>14</v>
      </c>
      <c r="N1" s="45" t="s">
        <v>15208</v>
      </c>
      <c r="O1" s="45" t="s">
        <v>28</v>
      </c>
      <c r="P1" s="97" t="s">
        <v>34</v>
      </c>
    </row>
    <row r="2">
      <c r="A2" s="99" t="str">
        <f>IFERROR(__xludf.DUMMYFUNCTION("ARRAYFORMULA(
  IFERROR(
    FILTER(
      {
        MAIN!A:A,
        MAIN!B:B,
        MAIN!C:C,
        IF(MAIN!D:D="""", MAIN!AM:AM, MAIN!D:D),
        MAIN!E:E,
        MAIN!AJ:AJ,
        MAIN!F:F,
        MAIN!K:K,
        MAIN!N:N,
        MAIN!Q:"&amp;"Q,
        MAIN!P:P,
        MAIN!U:U,
        MAIN!V:V,
        MAIN!AA:AA,
        MAIN!AC:AC,
        MAIN!AI:AI
      },
      MAIN!K:K=""Nationwide Ship to School""
    )
  )
)"),"https://utrucking.myshopify.com/admin/orders?query=13918")</f>
        <v>https://utrucking.myshopify.com/admin/orders?query=13918</v>
      </c>
      <c r="B2" s="61" t="str">
        <f>IFERROR(__xludf.DUMMYFUNCTION("""COMPUTED_VALUE"""),"#13918")</f>
        <v>#13918</v>
      </c>
      <c r="C2" s="61" t="str">
        <f>IFERROR(__xludf.DUMMYFUNCTION("""COMPUTED_VALUE"""),"garelick@wustl.edu")</f>
        <v>garelick@wustl.edu</v>
      </c>
      <c r="D2" s="61" t="str">
        <f>IFERROR(__xludf.DUMMYFUNCTION("""COMPUTED_VALUE"""),"(201) 400-7616")</f>
        <v>(201) 400-7616</v>
      </c>
      <c r="E2" s="61" t="str">
        <f>IFERROR(__xludf.DUMMYFUNCTION("""COMPUTED_VALUE"""),"Jared Garelick")</f>
        <v>Jared Garelick</v>
      </c>
      <c r="F2" s="61"/>
      <c r="G2" s="61" t="str">
        <f>IFERROR(__xludf.DUMMYFUNCTION("""COMPUTED_VALUE"""),"407 Thornden Street")</f>
        <v>407 Thornden Street</v>
      </c>
      <c r="H2" s="61" t="str">
        <f>IFERROR(__xludf.DUMMYFUNCTION("""COMPUTED_VALUE"""),"Nationwide Ship to School")</f>
        <v>Nationwide Ship to School</v>
      </c>
      <c r="I2" s="61"/>
      <c r="J2" s="107" t="str">
        <f>IFERROR(__xludf.DUMMYFUNCTION("""COMPUTED_VALUE"""),"12:00 PM - 02:00 PM")</f>
        <v>12:00 PM - 02:00 PM</v>
      </c>
      <c r="K2" s="107">
        <f>IFERROR(__xludf.DUMMYFUNCTION("""COMPUTED_VALUE"""),45889.0)</f>
        <v>45889</v>
      </c>
      <c r="L2" s="61"/>
      <c r="M2" s="110"/>
      <c r="N2" s="61"/>
      <c r="O2" s="61"/>
      <c r="P2" s="61"/>
    </row>
    <row r="3">
      <c r="A3" s="102" t="str">
        <f>IFERROR(__xludf.DUMMYFUNCTION("""COMPUTED_VALUE"""),"https://utrucking.myshopify.com/admin/orders?query=14224")</f>
        <v>https://utrucking.myshopify.com/admin/orders?query=14224</v>
      </c>
      <c r="B3" s="65" t="str">
        <f>IFERROR(__xludf.DUMMYFUNCTION("""COMPUTED_VALUE"""),"#14224")</f>
        <v>#14224</v>
      </c>
      <c r="C3" s="65" t="str">
        <f>IFERROR(__xludf.DUMMYFUNCTION("""COMPUTED_VALUE"""),"m.bell@wustl.edu")</f>
        <v>m.bell@wustl.edu</v>
      </c>
      <c r="D3" s="65" t="str">
        <f>IFERROR(__xludf.DUMMYFUNCTION("""COMPUTED_VALUE"""),"(312) 344-0050")</f>
        <v>(312) 344-0050</v>
      </c>
      <c r="E3" s="65" t="str">
        <f>IFERROR(__xludf.DUMMYFUNCTION("""COMPUTED_VALUE"""),"Chanel Bell")</f>
        <v>Chanel Bell</v>
      </c>
      <c r="F3" s="65"/>
      <c r="G3" s="65" t="str">
        <f>IFERROR(__xludf.DUMMYFUNCTION("""COMPUTED_VALUE"""),"705 McCardle Drive")</f>
        <v>705 McCardle Drive</v>
      </c>
      <c r="H3" s="65" t="str">
        <f>IFERROR(__xludf.DUMMYFUNCTION("""COMPUTED_VALUE"""),"Nationwide Ship to School")</f>
        <v>Nationwide Ship to School</v>
      </c>
      <c r="I3" s="65" t="str">
        <f>IFERROR(__xludf.DUMMYFUNCTION("""COMPUTED_VALUE"""),"University Housing")</f>
        <v>University Housing</v>
      </c>
      <c r="J3" s="108" t="str">
        <f>IFERROR(__xludf.DUMMYFUNCTION("""COMPUTED_VALUE"""),"09:00 AM - 11:00 AM")</f>
        <v>09:00 AM - 11:00 AM</v>
      </c>
      <c r="K3" s="108">
        <f>IFERROR(__xludf.DUMMYFUNCTION("""COMPUTED_VALUE"""),45870.0)</f>
        <v>45870</v>
      </c>
      <c r="L3" s="65" t="str">
        <f>IFERROR(__xludf.DUMMYFUNCTION("""COMPUTED_VALUE"""),"DON'T KNOW YET (put 'XXX' for room #)")</f>
        <v>DON'T KNOW YET (put 'XXX' for room #)</v>
      </c>
      <c r="M3" s="111" t="str">
        <f>IFERROR(__xludf.DUMMYFUNCTION("""COMPUTED_VALUE"""),"XXX")</f>
        <v>XXX</v>
      </c>
      <c r="N3" s="65"/>
      <c r="O3" s="65"/>
      <c r="P3" s="65"/>
    </row>
    <row r="4">
      <c r="A4" s="99" t="str">
        <f>IFERROR(__xludf.DUMMYFUNCTION("""COMPUTED_VALUE"""),"https://utrucking.myshopify.com/admin/orders?query=14409")</f>
        <v>https://utrucking.myshopify.com/admin/orders?query=14409</v>
      </c>
      <c r="B4" s="61" t="str">
        <f>IFERROR(__xludf.DUMMYFUNCTION("""COMPUTED_VALUE"""),"#14409")</f>
        <v>#14409</v>
      </c>
      <c r="C4" s="61" t="str">
        <f>IFERROR(__xludf.DUMMYFUNCTION("""COMPUTED_VALUE"""),"m.b.szwartz@wustl.edu")</f>
        <v>m.b.szwartz@wustl.edu</v>
      </c>
      <c r="D4" s="61" t="str">
        <f>IFERROR(__xludf.DUMMYFUNCTION("""COMPUTED_VALUE"""),"(1215) 432-7954")</f>
        <v>(1215) 432-7954</v>
      </c>
      <c r="E4" s="61" t="str">
        <f>IFERROR(__xludf.DUMMYFUNCTION("""COMPUTED_VALUE"""),"Lynda Szwartz")</f>
        <v>Lynda Szwartz</v>
      </c>
      <c r="F4" s="61"/>
      <c r="G4" s="61" t="str">
        <f>IFERROR(__xludf.DUMMYFUNCTION("""COMPUTED_VALUE"""),"605 Zollinger Way")</f>
        <v>605 Zollinger Way</v>
      </c>
      <c r="H4" s="61" t="str">
        <f>IFERROR(__xludf.DUMMYFUNCTION("""COMPUTED_VALUE"""),"Nationwide Ship to School")</f>
        <v>Nationwide Ship to School</v>
      </c>
      <c r="I4" s="61" t="str">
        <f>IFERROR(__xludf.DUMMYFUNCTION("""COMPUTED_VALUE"""),"University Housing")</f>
        <v>University Housing</v>
      </c>
      <c r="J4" s="107" t="str">
        <f>IFERROR(__xludf.DUMMYFUNCTION("""COMPUTED_VALUE"""),"09:00 AM to 11:00 AM")</f>
        <v>09:00 AM to 11:00 AM</v>
      </c>
      <c r="K4" s="107">
        <f>IFERROR(__xludf.DUMMYFUNCTION("""COMPUTED_VALUE"""),45884.0)</f>
        <v>45884</v>
      </c>
      <c r="L4" s="61" t="str">
        <f>IFERROR(__xludf.DUMMYFUNCTION("""COMPUTED_VALUE"""),"Umrath")</f>
        <v>Umrath</v>
      </c>
      <c r="M4" s="110" t="str">
        <f>IFERROR(__xludf.DUMMYFUNCTION("""COMPUTED_VALUE"""),"3301")</f>
        <v>3301</v>
      </c>
      <c r="N4" s="61"/>
      <c r="O4" s="61"/>
      <c r="P4" s="61"/>
    </row>
    <row r="5">
      <c r="A5" s="102" t="str">
        <f>IFERROR(__xludf.DUMMYFUNCTION("""COMPUTED_VALUE"""),"https://utrucking.myshopify.com/admin/orders?query=14473")</f>
        <v>https://utrucking.myshopify.com/admin/orders?query=14473</v>
      </c>
      <c r="B5" s="65" t="str">
        <f>IFERROR(__xludf.DUMMYFUNCTION("""COMPUTED_VALUE"""),"#14473")</f>
        <v>#14473</v>
      </c>
      <c r="C5" s="65" t="str">
        <f>IFERROR(__xludf.DUMMYFUNCTION("""COMPUTED_VALUE"""),"j.jaffe@wustl.edu")</f>
        <v>j.jaffe@wustl.edu</v>
      </c>
      <c r="D5" s="65" t="str">
        <f>IFERROR(__xludf.DUMMYFUNCTION("""COMPUTED_VALUE"""),"(315) 382-7241")</f>
        <v>(315) 382-7241</v>
      </c>
      <c r="E5" s="65" t="str">
        <f>IFERROR(__xludf.DUMMYFUNCTION("""COMPUTED_VALUE"""),"Jonah Jaffe")</f>
        <v>Jonah Jaffe</v>
      </c>
      <c r="F5" s="65"/>
      <c r="G5" s="65" t="str">
        <f>IFERROR(__xludf.DUMMYFUNCTION("""COMPUTED_VALUE"""),"4852 Carey Drive")</f>
        <v>4852 Carey Drive</v>
      </c>
      <c r="H5" s="65" t="str">
        <f>IFERROR(__xludf.DUMMYFUNCTION("""COMPUTED_VALUE"""),"Nationwide Ship to School")</f>
        <v>Nationwide Ship to School</v>
      </c>
      <c r="I5" s="65" t="str">
        <f>IFERROR(__xludf.DUMMYFUNCTION("""COMPUTED_VALUE"""),"University Housing")</f>
        <v>University Housing</v>
      </c>
      <c r="J5" s="108" t="str">
        <f>IFERROR(__xludf.DUMMYFUNCTION("""COMPUTED_VALUE"""),"10:00 AM - 12:00 PM")</f>
        <v>10:00 AM - 12:00 PM</v>
      </c>
      <c r="K5" s="108">
        <f>IFERROR(__xludf.DUMMYFUNCTION("""COMPUTED_VALUE"""),45883.0)</f>
        <v>45883</v>
      </c>
      <c r="L5" s="65" t="str">
        <f>IFERROR(__xludf.DUMMYFUNCTION("""COMPUTED_VALUE"""),"Koenig")</f>
        <v>Koenig</v>
      </c>
      <c r="M5" s="111" t="str">
        <f>IFERROR(__xludf.DUMMYFUNCTION("""COMPUTED_VALUE"""),"2212")</f>
        <v>2212</v>
      </c>
      <c r="N5" s="65"/>
      <c r="O5" s="65"/>
      <c r="P5" s="65"/>
    </row>
    <row r="6">
      <c r="A6" s="99" t="str">
        <f>IFERROR(__xludf.DUMMYFUNCTION("""COMPUTED_VALUE"""),"https://utrucking.myshopify.com/admin/orders?query=14528")</f>
        <v>https://utrucking.myshopify.com/admin/orders?query=14528</v>
      </c>
      <c r="B6" s="61" t="str">
        <f>IFERROR(__xludf.DUMMYFUNCTION("""COMPUTED_VALUE"""),"#14528")</f>
        <v>#14528</v>
      </c>
      <c r="C6" s="61" t="str">
        <f>IFERROR(__xludf.DUMMYFUNCTION("""COMPUTED_VALUE"""),"qiumin@wustl.edu")</f>
        <v>qiumin@wustl.edu</v>
      </c>
      <c r="D6" s="61" t="str">
        <f>IFERROR(__xludf.DUMMYFUNCTION("""COMPUTED_VALUE"""),"(571) 275-5119")</f>
        <v>(571) 275-5119</v>
      </c>
      <c r="E6" s="61" t="str">
        <f>IFERROR(__xludf.DUMMYFUNCTION("""COMPUTED_VALUE"""),"Michelle Zhang")</f>
        <v>Michelle Zhang</v>
      </c>
      <c r="F6" s="61"/>
      <c r="G6" s="61" t="str">
        <f>IFERROR(__xludf.DUMMYFUNCTION("""COMPUTED_VALUE"""),"1200 N Quaker Ln")</f>
        <v>1200 N Quaker Ln</v>
      </c>
      <c r="H6" s="61" t="str">
        <f>IFERROR(__xludf.DUMMYFUNCTION("""COMPUTED_VALUE"""),"Nationwide Ship to School")</f>
        <v>Nationwide Ship to School</v>
      </c>
      <c r="I6" s="61" t="str">
        <f>IFERROR(__xludf.DUMMYFUNCTION("""COMPUTED_VALUE"""),"University Housing")</f>
        <v>University Housing</v>
      </c>
      <c r="J6" s="107" t="str">
        <f>IFERROR(__xludf.DUMMYFUNCTION("""COMPUTED_VALUE"""),"03:00 PM - 05:00 PM")</f>
        <v>03:00 PM - 05:00 PM</v>
      </c>
      <c r="K6" s="107">
        <f>IFERROR(__xludf.DUMMYFUNCTION("""COMPUTED_VALUE"""),45883.0)</f>
        <v>45883</v>
      </c>
      <c r="L6" s="61" t="str">
        <f>IFERROR(__xludf.DUMMYFUNCTION("""COMPUTED_VALUE"""),"Lee")</f>
        <v>Lee</v>
      </c>
      <c r="M6" s="110" t="str">
        <f>IFERROR(__xludf.DUMMYFUNCTION("""COMPUTED_VALUE"""),"313")</f>
        <v>313</v>
      </c>
      <c r="N6" s="61"/>
      <c r="O6" s="61"/>
      <c r="P6" s="61"/>
    </row>
    <row r="7">
      <c r="A7" s="102" t="str">
        <f>IFERROR(__xludf.DUMMYFUNCTION("""COMPUTED_VALUE"""),"https://utrucking.myshopify.com/admin/orders?query=14587")</f>
        <v>https://utrucking.myshopify.com/admin/orders?query=14587</v>
      </c>
      <c r="B7" s="65" t="str">
        <f>IFERROR(__xludf.DUMMYFUNCTION("""COMPUTED_VALUE"""),"#14587")</f>
        <v>#14587</v>
      </c>
      <c r="C7" s="65" t="str">
        <f>IFERROR(__xludf.DUMMYFUNCTION("""COMPUTED_VALUE"""),"allen.r.g@wustl.edu")</f>
        <v>allen.r.g@wustl.edu</v>
      </c>
      <c r="D7" s="65" t="str">
        <f>IFERROR(__xludf.DUMMYFUNCTION("""COMPUTED_VALUE"""),"(713) 898-3521")</f>
        <v>(713) 898-3521</v>
      </c>
      <c r="E7" s="65" t="str">
        <f>IFERROR(__xludf.DUMMYFUNCTION("""COMPUTED_VALUE"""),"Ryan Allen")</f>
        <v>Ryan Allen</v>
      </c>
      <c r="F7" s="65"/>
      <c r="G7" s="65" t="str">
        <f>IFERROR(__xludf.DUMMYFUNCTION("""COMPUTED_VALUE"""),"3614 Durness Way")</f>
        <v>3614 Durness Way</v>
      </c>
      <c r="H7" s="65" t="str">
        <f>IFERROR(__xludf.DUMMYFUNCTION("""COMPUTED_VALUE"""),"Nationwide Ship to School")</f>
        <v>Nationwide Ship to School</v>
      </c>
      <c r="I7" s="65" t="str">
        <f>IFERROR(__xludf.DUMMYFUNCTION("""COMPUTED_VALUE"""),"University Housing")</f>
        <v>University Housing</v>
      </c>
      <c r="J7" s="108" t="str">
        <f>IFERROR(__xludf.DUMMYFUNCTION("""COMPUTED_VALUE"""),"02:00 PM - 04:00 PM")</f>
        <v>02:00 PM - 04:00 PM</v>
      </c>
      <c r="K7" s="108">
        <f>IFERROR(__xludf.DUMMYFUNCTION("""COMPUTED_VALUE"""),45784.0)</f>
        <v>45784</v>
      </c>
      <c r="L7" s="65" t="str">
        <f>IFERROR(__xludf.DUMMYFUNCTION("""COMPUTED_VALUE"""),"Umrath")</f>
        <v>Umrath</v>
      </c>
      <c r="M7" s="111" t="str">
        <f>IFERROR(__xludf.DUMMYFUNCTION("""COMPUTED_VALUE"""),"2237")</f>
        <v>2237</v>
      </c>
      <c r="N7" s="65"/>
      <c r="O7" s="65"/>
      <c r="P7" s="65"/>
    </row>
    <row r="8">
      <c r="A8" s="99" t="str">
        <f>IFERROR(__xludf.DUMMYFUNCTION("""COMPUTED_VALUE"""),"https://utrucking.myshopify.com/admin/orders?query=14755")</f>
        <v>https://utrucking.myshopify.com/admin/orders?query=14755</v>
      </c>
      <c r="B8" s="61" t="str">
        <f>IFERROR(__xludf.DUMMYFUNCTION("""COMPUTED_VALUE"""),"#14755")</f>
        <v>#14755</v>
      </c>
      <c r="C8" s="61" t="str">
        <f>IFERROR(__xludf.DUMMYFUNCTION("""COMPUTED_VALUE"""),"c.a.warren@wustl.edu")</f>
        <v>c.a.warren@wustl.edu</v>
      </c>
      <c r="D8" s="61" t="str">
        <f>IFERROR(__xludf.DUMMYFUNCTION("""COMPUTED_VALUE"""),"(713) 206-1500")</f>
        <v>(713) 206-1500</v>
      </c>
      <c r="E8" s="61" t="str">
        <f>IFERROR(__xludf.DUMMYFUNCTION("""COMPUTED_VALUE"""),"Morgan Warren")</f>
        <v>Morgan Warren</v>
      </c>
      <c r="F8" s="61"/>
      <c r="G8" s="61" t="str">
        <f>IFERROR(__xludf.DUMMYFUNCTION("""COMPUTED_VALUE"""),"6711 Stella Link Road")</f>
        <v>6711 Stella Link Road</v>
      </c>
      <c r="H8" s="61" t="str">
        <f>IFERROR(__xludf.DUMMYFUNCTION("""COMPUTED_VALUE"""),"Nationwide Ship to School")</f>
        <v>Nationwide Ship to School</v>
      </c>
      <c r="I8" s="61" t="str">
        <f>IFERROR(__xludf.DUMMYFUNCTION("""COMPUTED_VALUE"""),"University Housing")</f>
        <v>University Housing</v>
      </c>
      <c r="J8" s="107" t="str">
        <f>IFERROR(__xludf.DUMMYFUNCTION("""COMPUTED_VALUE"""),"9:00 AM - 11:00 AM")</f>
        <v>9:00 AM - 11:00 AM</v>
      </c>
      <c r="K8" s="107">
        <f>IFERROR(__xludf.DUMMYFUNCTION("""COMPUTED_VALUE"""),45883.0)</f>
        <v>45883</v>
      </c>
      <c r="L8" s="61" t="str">
        <f>IFERROR(__xludf.DUMMYFUNCTION("""COMPUTED_VALUE"""),"Dauten")</f>
        <v>Dauten</v>
      </c>
      <c r="M8" s="110" t="str">
        <f>IFERROR(__xludf.DUMMYFUNCTION("""COMPUTED_VALUE"""),"432")</f>
        <v>432</v>
      </c>
      <c r="N8" s="61"/>
      <c r="O8" s="61"/>
      <c r="P8" s="61"/>
    </row>
    <row r="9">
      <c r="A9" s="102" t="str">
        <f>IFERROR(__xludf.DUMMYFUNCTION("""COMPUTED_VALUE"""),"https://utrucking.myshopify.com/admin/orders?query=14825")</f>
        <v>https://utrucking.myshopify.com/admin/orders?query=14825</v>
      </c>
      <c r="B9" s="65" t="str">
        <f>IFERROR(__xludf.DUMMYFUNCTION("""COMPUTED_VALUE"""),"#14825")</f>
        <v>#14825</v>
      </c>
      <c r="C9" s="65" t="str">
        <f>IFERROR(__xludf.DUMMYFUNCTION("""COMPUTED_VALUE"""),"b.welford@wustl.edu")</f>
        <v>b.welford@wustl.edu</v>
      </c>
      <c r="D9" s="65" t="str">
        <f>IFERROR(__xludf.DUMMYFUNCTION("""COMPUTED_VALUE"""),"(1949) 500-1022")</f>
        <v>(1949) 500-1022</v>
      </c>
      <c r="E9" s="65" t="str">
        <f>IFERROR(__xludf.DUMMYFUNCTION("""COMPUTED_VALUE"""),"Benjamin Welford")</f>
        <v>Benjamin Welford</v>
      </c>
      <c r="F9" s="65"/>
      <c r="G9" s="65" t="str">
        <f>IFERROR(__xludf.DUMMYFUNCTION("""COMPUTED_VALUE"""),"39 Blue Heron")</f>
        <v>39 Blue Heron</v>
      </c>
      <c r="H9" s="65" t="str">
        <f>IFERROR(__xludf.DUMMYFUNCTION("""COMPUTED_VALUE"""),"Nationwide Ship to School")</f>
        <v>Nationwide Ship to School</v>
      </c>
      <c r="I9" s="65" t="str">
        <f>IFERROR(__xludf.DUMMYFUNCTION("""COMPUTED_VALUE"""),"University Housing")</f>
        <v>University Housing</v>
      </c>
      <c r="J9" s="108" t="str">
        <f>IFERROR(__xludf.DUMMYFUNCTION("""COMPUTED_VALUE"""),"09:00 AM - 11:00 AM")</f>
        <v>09:00 AM - 11:00 AM</v>
      </c>
      <c r="K9" s="108">
        <f>IFERROR(__xludf.DUMMYFUNCTION("""COMPUTED_VALUE"""),45883.0)</f>
        <v>45883</v>
      </c>
      <c r="L9" s="65" t="str">
        <f>IFERROR(__xludf.DUMMYFUNCTION("""COMPUTED_VALUE"""),"Park")</f>
        <v>Park</v>
      </c>
      <c r="M9" s="111" t="str">
        <f>IFERROR(__xludf.DUMMYFUNCTION("""COMPUTED_VALUE"""),"280")</f>
        <v>280</v>
      </c>
      <c r="N9" s="65"/>
      <c r="O9" s="65"/>
      <c r="P9" s="65"/>
    </row>
    <row r="10">
      <c r="A10" s="99" t="str">
        <f>IFERROR(__xludf.DUMMYFUNCTION("""COMPUTED_VALUE"""),"https://utrucking.myshopify.com/admin/orders?query=14979")</f>
        <v>https://utrucking.myshopify.com/admin/orders?query=14979</v>
      </c>
      <c r="B10" s="61" t="str">
        <f>IFERROR(__xludf.DUMMYFUNCTION("""COMPUTED_VALUE"""),"#14979")</f>
        <v>#14979</v>
      </c>
      <c r="C10" s="61" t="str">
        <f>IFERROR(__xludf.DUMMYFUNCTION("""COMPUTED_VALUE"""),"joyce.zhao@wustl.edu")</f>
        <v>joyce.zhao@wustl.edu</v>
      </c>
      <c r="D10" s="61" t="str">
        <f>IFERROR(__xludf.DUMMYFUNCTION("""COMPUTED_VALUE"""),"(840) 205-6469")</f>
        <v>(840) 205-6469</v>
      </c>
      <c r="E10" s="61" t="str">
        <f>IFERROR(__xludf.DUMMYFUNCTION("""COMPUTED_VALUE"""),"Joyce Zhao")</f>
        <v>Joyce Zhao</v>
      </c>
      <c r="F10" s="61"/>
      <c r="G10" s="61" t="str">
        <f>IFERROR(__xludf.DUMMYFUNCTION("""COMPUTED_VALUE"""),"1175 W Baseline Rd")</f>
        <v>1175 W Baseline Rd</v>
      </c>
      <c r="H10" s="61" t="str">
        <f>IFERROR(__xludf.DUMMYFUNCTION("""COMPUTED_VALUE"""),"Nationwide Ship to School")</f>
        <v>Nationwide Ship to School</v>
      </c>
      <c r="I10" s="61" t="str">
        <f>IFERROR(__xludf.DUMMYFUNCTION("""COMPUTED_VALUE"""),"University Housing")</f>
        <v>University Housing</v>
      </c>
      <c r="J10" s="107" t="str">
        <f>IFERROR(__xludf.DUMMYFUNCTION("""COMPUTED_VALUE"""),"11:00 AM - 01:00 PM")</f>
        <v>11:00 AM - 01:00 PM</v>
      </c>
      <c r="K10" s="107">
        <f>IFERROR(__xludf.DUMMYFUNCTION("""COMPUTED_VALUE"""),45883.0)</f>
        <v>45883</v>
      </c>
      <c r="L10" s="61" t="str">
        <f>IFERROR(__xludf.DUMMYFUNCTION("""COMPUTED_VALUE"""),"Shanedling")</f>
        <v>Shanedling</v>
      </c>
      <c r="M10" s="110" t="str">
        <f>IFERROR(__xludf.DUMMYFUNCTION("""COMPUTED_VALUE"""),"333")</f>
        <v>333</v>
      </c>
      <c r="N10" s="61"/>
      <c r="O10" s="61"/>
      <c r="P10" s="61"/>
    </row>
    <row r="11">
      <c r="A11" s="102" t="str">
        <f>IFERROR(__xludf.DUMMYFUNCTION("""COMPUTED_VALUE"""),"https://utrucking.myshopify.com/admin/orders?query=14984")</f>
        <v>https://utrucking.myshopify.com/admin/orders?query=14984</v>
      </c>
      <c r="B11" s="65" t="str">
        <f>IFERROR(__xludf.DUMMYFUNCTION("""COMPUTED_VALUE"""),"#14984")</f>
        <v>#14984</v>
      </c>
      <c r="C11" s="65" t="str">
        <f>IFERROR(__xludf.DUMMYFUNCTION("""COMPUTED_VALUE"""),"samanthar@wustl.edu")</f>
        <v>samanthar@wustl.edu</v>
      </c>
      <c r="D11" s="65" t="str">
        <f>IFERROR(__xludf.DUMMYFUNCTION("""COMPUTED_VALUE"""),"(312) 351-0710")</f>
        <v>(312) 351-0710</v>
      </c>
      <c r="E11" s="65" t="str">
        <f>IFERROR(__xludf.DUMMYFUNCTION("""COMPUTED_VALUE"""),"Samantha Rosenberg")</f>
        <v>Samantha Rosenberg</v>
      </c>
      <c r="F11" s="65"/>
      <c r="G11" s="65" t="str">
        <f>IFERROR(__xludf.DUMMYFUNCTION("""COMPUTED_VALUE"""),"256 Moraine Road")</f>
        <v>256 Moraine Road</v>
      </c>
      <c r="H11" s="65" t="str">
        <f>IFERROR(__xludf.DUMMYFUNCTION("""COMPUTED_VALUE"""),"Nationwide Ship to School")</f>
        <v>Nationwide Ship to School</v>
      </c>
      <c r="I11" s="65" t="str">
        <f>IFERROR(__xludf.DUMMYFUNCTION("""COMPUTED_VALUE"""),"University Housing")</f>
        <v>University Housing</v>
      </c>
      <c r="J11" s="108" t="str">
        <f>IFERROR(__xludf.DUMMYFUNCTION("""COMPUTED_VALUE"""),"09:00 AM - 11:00 AM")</f>
        <v>09:00 AM - 11:00 AM</v>
      </c>
      <c r="K11" s="108">
        <f>IFERROR(__xludf.DUMMYFUNCTION("""COMPUTED_VALUE"""),45883.0)</f>
        <v>45883</v>
      </c>
      <c r="L11" s="65" t="str">
        <f>IFERROR(__xludf.DUMMYFUNCTION("""COMPUTED_VALUE"""),"Danforth")</f>
        <v>Danforth</v>
      </c>
      <c r="M11" s="111" t="str">
        <f>IFERROR(__xludf.DUMMYFUNCTION("""COMPUTED_VALUE"""),"3321")</f>
        <v>3321</v>
      </c>
      <c r="N11" s="65"/>
      <c r="O11" s="65"/>
      <c r="P11" s="65"/>
    </row>
    <row r="12">
      <c r="A12" s="99" t="str">
        <f>IFERROR(__xludf.DUMMYFUNCTION("""COMPUTED_VALUE"""),"https://utrucking.myshopify.com/admin/orders?query=14988")</f>
        <v>https://utrucking.myshopify.com/admin/orders?query=14988</v>
      </c>
      <c r="B12" s="61" t="str">
        <f>IFERROR(__xludf.DUMMYFUNCTION("""COMPUTED_VALUE"""),"#14988")</f>
        <v>#14988</v>
      </c>
      <c r="C12" s="61" t="str">
        <f>IFERROR(__xludf.DUMMYFUNCTION("""COMPUTED_VALUE"""),"eruth@wustl.edu")</f>
        <v>eruth@wustl.edu</v>
      </c>
      <c r="D12" s="61" t="str">
        <f>IFERROR(__xludf.DUMMYFUNCTION("""COMPUTED_VALUE"""),"(917) 767-3188")</f>
        <v>(917) 767-3188</v>
      </c>
      <c r="E12" s="61" t="str">
        <f>IFERROR(__xludf.DUMMYFUNCTION("""COMPUTED_VALUE"""),"Lexie Ruth")</f>
        <v>Lexie Ruth</v>
      </c>
      <c r="F12" s="61"/>
      <c r="G12" s="61" t="str">
        <f>IFERROR(__xludf.DUMMYFUNCTION("""COMPUTED_VALUE"""),"3212 Gulfstream Road")</f>
        <v>3212 Gulfstream Road</v>
      </c>
      <c r="H12" s="61" t="str">
        <f>IFERROR(__xludf.DUMMYFUNCTION("""COMPUTED_VALUE"""),"Nationwide Ship to School")</f>
        <v>Nationwide Ship to School</v>
      </c>
      <c r="I12" s="61" t="str">
        <f>IFERROR(__xludf.DUMMYFUNCTION("""COMPUTED_VALUE"""),"University Housing")</f>
        <v>University Housing</v>
      </c>
      <c r="J12" s="107" t="str">
        <f>IFERROR(__xludf.DUMMYFUNCTION("""COMPUTED_VALUE"""),"09:00 AM - 11:00 AM")</f>
        <v>09:00 AM - 11:00 AM</v>
      </c>
      <c r="K12" s="107">
        <f>IFERROR(__xludf.DUMMYFUNCTION("""COMPUTED_VALUE"""),45881.0)</f>
        <v>45881</v>
      </c>
      <c r="L12" s="61" t="str">
        <f>IFERROR(__xludf.DUMMYFUNCTION("""COMPUTED_VALUE"""),"Lien")</f>
        <v>Lien</v>
      </c>
      <c r="M12" s="110" t="str">
        <f>IFERROR(__xludf.DUMMYFUNCTION("""COMPUTED_VALUE"""),"1117")</f>
        <v>1117</v>
      </c>
      <c r="N12" s="112"/>
      <c r="O12" s="112"/>
      <c r="P12" s="112"/>
    </row>
    <row r="13">
      <c r="A13" s="102" t="str">
        <f>IFERROR(__xludf.DUMMYFUNCTION("""COMPUTED_VALUE"""),"https://utrucking.myshopify.com/admin/orders?query=14989")</f>
        <v>https://utrucking.myshopify.com/admin/orders?query=14989</v>
      </c>
      <c r="B13" s="65" t="str">
        <f>IFERROR(__xludf.DUMMYFUNCTION("""COMPUTED_VALUE"""),"#14989")</f>
        <v>#14989</v>
      </c>
      <c r="C13" s="65" t="str">
        <f>IFERROR(__xludf.DUMMYFUNCTION("""COMPUTED_VALUE"""),"h.thun@wustl.edu")</f>
        <v>h.thun@wustl.edu</v>
      </c>
      <c r="D13" s="65"/>
      <c r="E13" s="65" t="str">
        <f>IFERROR(__xludf.DUMMYFUNCTION("""COMPUTED_VALUE"""),"Jola Thun")</f>
        <v>Jola Thun</v>
      </c>
      <c r="F13" s="65"/>
      <c r="G13" s="65" t="str">
        <f>IFERROR(__xludf.DUMMYFUNCTION("""COMPUTED_VALUE"""),"500 El Medio Avenue")</f>
        <v>500 El Medio Avenue</v>
      </c>
      <c r="H13" s="65" t="str">
        <f>IFERROR(__xludf.DUMMYFUNCTION("""COMPUTED_VALUE"""),"Nationwide Ship to School")</f>
        <v>Nationwide Ship to School</v>
      </c>
      <c r="I13" s="65" t="str">
        <f>IFERROR(__xludf.DUMMYFUNCTION("""COMPUTED_VALUE"""),"University Housing")</f>
        <v>University Housing</v>
      </c>
      <c r="J13" s="108" t="str">
        <f>IFERROR(__xludf.DUMMYFUNCTION("""COMPUTED_VALUE"""),"09:00 AM - 11:00 AM")</f>
        <v>09:00 AM - 11:00 AM</v>
      </c>
      <c r="K13" s="108">
        <f>IFERROR(__xludf.DUMMYFUNCTION("""COMPUTED_VALUE"""),45805.0)</f>
        <v>45805</v>
      </c>
      <c r="L13" s="65" t="str">
        <f>IFERROR(__xludf.DUMMYFUNCTION("""COMPUTED_VALUE"""),"Mudd")</f>
        <v>Mudd</v>
      </c>
      <c r="M13" s="111" t="str">
        <f>IFERROR(__xludf.DUMMYFUNCTION("""COMPUTED_VALUE"""),"271")</f>
        <v>271</v>
      </c>
      <c r="N13" s="65"/>
      <c r="O13" s="65"/>
      <c r="P13" s="65"/>
    </row>
    <row r="14">
      <c r="A14" s="99" t="str">
        <f>IFERROR(__xludf.DUMMYFUNCTION("""COMPUTED_VALUE"""),"https://utrucking.myshopify.com/admin/orders?query=14994")</f>
        <v>https://utrucking.myshopify.com/admin/orders?query=14994</v>
      </c>
      <c r="B14" s="61" t="str">
        <f>IFERROR(__xludf.DUMMYFUNCTION("""COMPUTED_VALUE"""),"#14994")</f>
        <v>#14994</v>
      </c>
      <c r="C14" s="61" t="str">
        <f>IFERROR(__xludf.DUMMYFUNCTION("""COMPUTED_VALUE"""),"b.k.wagner@wustl.edu")</f>
        <v>b.k.wagner@wustl.edu</v>
      </c>
      <c r="D14" s="61" t="str">
        <f>IFERROR(__xludf.DUMMYFUNCTION("""COMPUTED_VALUE"""),"(678) 830-6322")</f>
        <v>(678) 830-6322</v>
      </c>
      <c r="E14" s="61" t="str">
        <f>IFERROR(__xludf.DUMMYFUNCTION("""COMPUTED_VALUE"""),"Blair (Student) Wagner")</f>
        <v>Blair (Student) Wagner</v>
      </c>
      <c r="F14" s="61"/>
      <c r="G14" s="61" t="str">
        <f>IFERROR(__xludf.DUMMYFUNCTION("""COMPUTED_VALUE"""),"7242 Sweetwater Valley")</f>
        <v>7242 Sweetwater Valley</v>
      </c>
      <c r="H14" s="61" t="str">
        <f>IFERROR(__xludf.DUMMYFUNCTION("""COMPUTED_VALUE"""),"Nationwide Ship to School")</f>
        <v>Nationwide Ship to School</v>
      </c>
      <c r="I14" s="61" t="str">
        <f>IFERROR(__xludf.DUMMYFUNCTION("""COMPUTED_VALUE"""),"University Housing")</f>
        <v>University Housing</v>
      </c>
      <c r="J14" s="107" t="str">
        <f>IFERROR(__xludf.DUMMYFUNCTION("""COMPUTED_VALUE"""),"09:00 AM - 11:00 AM")</f>
        <v>09:00 AM - 11:00 AM</v>
      </c>
      <c r="K14" s="107">
        <f>IFERROR(__xludf.DUMMYFUNCTION("""COMPUTED_VALUE"""),45870.0)</f>
        <v>45870</v>
      </c>
      <c r="L14" s="61" t="str">
        <f>IFERROR(__xludf.DUMMYFUNCTION("""COMPUTED_VALUE"""),"Dardick")</f>
        <v>Dardick</v>
      </c>
      <c r="M14" s="110" t="str">
        <f>IFERROR(__xludf.DUMMYFUNCTION("""COMPUTED_VALUE"""),"1109-a")</f>
        <v>1109-a</v>
      </c>
      <c r="N14" s="61"/>
      <c r="O14" s="61"/>
      <c r="P14" s="61"/>
    </row>
    <row r="15">
      <c r="A15" s="102" t="str">
        <f>IFERROR(__xludf.DUMMYFUNCTION("""COMPUTED_VALUE"""),"https://utrucking.myshopify.com/admin/orders?query=15020")</f>
        <v>https://utrucking.myshopify.com/admin/orders?query=15020</v>
      </c>
      <c r="B15" s="65" t="str">
        <f>IFERROR(__xludf.DUMMYFUNCTION("""COMPUTED_VALUE"""),"#15020")</f>
        <v>#15020</v>
      </c>
      <c r="C15" s="65" t="str">
        <f>IFERROR(__xludf.DUMMYFUNCTION("""COMPUTED_VALUE"""),"m.k.tan@wustl.edu")</f>
        <v>m.k.tan@wustl.edu</v>
      </c>
      <c r="D15" s="65" t="str">
        <f>IFERROR(__xludf.DUMMYFUNCTION("""COMPUTED_VALUE"""),"(310) 808-3281")</f>
        <v>(310) 808-3281</v>
      </c>
      <c r="E15" s="65" t="str">
        <f>IFERROR(__xludf.DUMMYFUNCTION("""COMPUTED_VALUE"""),"Marisa Tan")</f>
        <v>Marisa Tan</v>
      </c>
      <c r="F15" s="65"/>
      <c r="G15" s="65" t="str">
        <f>IFERROR(__xludf.DUMMYFUNCTION("""COMPUTED_VALUE"""),"18 Misty Acres Rd")</f>
        <v>18 Misty Acres Rd</v>
      </c>
      <c r="H15" s="65" t="str">
        <f>IFERROR(__xludf.DUMMYFUNCTION("""COMPUTED_VALUE"""),"Nationwide Ship to School")</f>
        <v>Nationwide Ship to School</v>
      </c>
      <c r="I15" s="65" t="str">
        <f>IFERROR(__xludf.DUMMYFUNCTION("""COMPUTED_VALUE"""),"University Housing")</f>
        <v>University Housing</v>
      </c>
      <c r="J15" s="108" t="str">
        <f>IFERROR(__xludf.DUMMYFUNCTION("""COMPUTED_VALUE"""),"09:00 AM to 11:00 AM")</f>
        <v>09:00 AM to 11:00 AM</v>
      </c>
      <c r="K15" s="108">
        <f>IFERROR(__xludf.DUMMYFUNCTION("""COMPUTED_VALUE"""),45883.0)</f>
        <v>45883</v>
      </c>
      <c r="L15" s="65" t="str">
        <f>IFERROR(__xludf.DUMMYFUNCTION("""COMPUTED_VALUE"""),"Dardick")</f>
        <v>Dardick</v>
      </c>
      <c r="M15" s="111" t="str">
        <f>IFERROR(__xludf.DUMMYFUNCTION("""COMPUTED_VALUE"""),"2208")</f>
        <v>2208</v>
      </c>
      <c r="N15" s="65"/>
      <c r="O15" s="65"/>
      <c r="P15" s="65"/>
    </row>
    <row r="16">
      <c r="A16" s="99" t="str">
        <f>IFERROR(__xludf.DUMMYFUNCTION("""COMPUTED_VALUE"""),"https://utrucking.myshopify.com/admin/orders?query=15032")</f>
        <v>https://utrucking.myshopify.com/admin/orders?query=15032</v>
      </c>
      <c r="B16" s="61" t="str">
        <f>IFERROR(__xludf.DUMMYFUNCTION("""COMPUTED_VALUE"""),"#15032")</f>
        <v>#15032</v>
      </c>
      <c r="C16" s="61" t="str">
        <f>IFERROR(__xludf.DUMMYFUNCTION("""COMPUTED_VALUE"""),"j.t.lee@wustl.edu")</f>
        <v>j.t.lee@wustl.edu</v>
      </c>
      <c r="D16" s="61" t="str">
        <f>IFERROR(__xludf.DUMMYFUNCTION("""COMPUTED_VALUE"""),"(415) 770-3664")</f>
        <v>(415) 770-3664</v>
      </c>
      <c r="E16" s="61" t="str">
        <f>IFERROR(__xludf.DUMMYFUNCTION("""COMPUTED_VALUE"""),"Jacob Lee")</f>
        <v>Jacob Lee</v>
      </c>
      <c r="F16" s="61"/>
      <c r="G16" s="61" t="str">
        <f>IFERROR(__xludf.DUMMYFUNCTION("""COMPUTED_VALUE"""),"630 11th Avenue")</f>
        <v>630 11th Avenue</v>
      </c>
      <c r="H16" s="61" t="str">
        <f>IFERROR(__xludf.DUMMYFUNCTION("""COMPUTED_VALUE"""),"Nationwide Ship to School")</f>
        <v>Nationwide Ship to School</v>
      </c>
      <c r="I16" s="61" t="str">
        <f>IFERROR(__xludf.DUMMYFUNCTION("""COMPUTED_VALUE"""),"University Housing")</f>
        <v>University Housing</v>
      </c>
      <c r="J16" s="107" t="str">
        <f>IFERROR(__xludf.DUMMYFUNCTION("""COMPUTED_VALUE"""),"09:00 AM - 11:00 AM")</f>
        <v>09:00 AM - 11:00 AM</v>
      </c>
      <c r="K16" s="107">
        <f>IFERROR(__xludf.DUMMYFUNCTION("""COMPUTED_VALUE"""),45883.0)</f>
        <v>45883</v>
      </c>
      <c r="L16" s="61" t="str">
        <f>IFERROR(__xludf.DUMMYFUNCTION("""COMPUTED_VALUE"""),"Koenig")</f>
        <v>Koenig</v>
      </c>
      <c r="M16" s="110" t="str">
        <f>IFERROR(__xludf.DUMMYFUNCTION("""COMPUTED_VALUE"""),"4407")</f>
        <v>4407</v>
      </c>
      <c r="N16" s="61"/>
      <c r="O16" s="61"/>
      <c r="P16" s="61"/>
    </row>
    <row r="17">
      <c r="A17" s="102" t="str">
        <f>IFERROR(__xludf.DUMMYFUNCTION("""COMPUTED_VALUE"""),"https://utrucking.myshopify.com/admin/orders?query=15036")</f>
        <v>https://utrucking.myshopify.com/admin/orders?query=15036</v>
      </c>
      <c r="B17" s="65" t="str">
        <f>IFERROR(__xludf.DUMMYFUNCTION("""COMPUTED_VALUE"""),"#15036")</f>
        <v>#15036</v>
      </c>
      <c r="C17" s="65" t="str">
        <f>IFERROR(__xludf.DUMMYFUNCTION("""COMPUTED_VALUE"""),"a.covello@wustl.edu")</f>
        <v>a.covello@wustl.edu</v>
      </c>
      <c r="D17" s="65" t="str">
        <f>IFERROR(__xludf.DUMMYFUNCTION("""COMPUTED_VALUE"""),"(973) 440-7049")</f>
        <v>(973) 440-7049</v>
      </c>
      <c r="E17" s="65" t="str">
        <f>IFERROR(__xludf.DUMMYFUNCTION("""COMPUTED_VALUE"""),"Andrew Covello")</f>
        <v>Andrew Covello</v>
      </c>
      <c r="F17" s="65"/>
      <c r="G17" s="65" t="str">
        <f>IFERROR(__xludf.DUMMYFUNCTION("""COMPUTED_VALUE"""),"7 Loantaka Lane N")</f>
        <v>7 Loantaka Lane N</v>
      </c>
      <c r="H17" s="65" t="str">
        <f>IFERROR(__xludf.DUMMYFUNCTION("""COMPUTED_VALUE"""),"Nationwide Ship to School")</f>
        <v>Nationwide Ship to School</v>
      </c>
      <c r="I17" s="65" t="str">
        <f>IFERROR(__xludf.DUMMYFUNCTION("""COMPUTED_VALUE"""),"University Housing")</f>
        <v>University Housing</v>
      </c>
      <c r="J17" s="108" t="str">
        <f>IFERROR(__xludf.DUMMYFUNCTION("""COMPUTED_VALUE"""),"09:00 AM - 11:00 AM")</f>
        <v>09:00 AM - 11:00 AM</v>
      </c>
      <c r="K17" s="108">
        <f>IFERROR(__xludf.DUMMYFUNCTION("""COMPUTED_VALUE"""),45881.0)</f>
        <v>45881</v>
      </c>
      <c r="L17" s="65" t="str">
        <f>IFERROR(__xludf.DUMMYFUNCTION("""COMPUTED_VALUE"""),"DON'T KNOW YET (put 'XXX' for room #)")</f>
        <v>DON'T KNOW YET (put 'XXX' for room #)</v>
      </c>
      <c r="M17" s="111" t="str">
        <f>IFERROR(__xludf.DUMMYFUNCTION("""COMPUTED_VALUE"""),"XXX")</f>
        <v>XXX</v>
      </c>
      <c r="N17" s="65"/>
      <c r="O17" s="65"/>
      <c r="P17" s="65"/>
    </row>
    <row r="18">
      <c r="A18" s="99" t="str">
        <f>IFERROR(__xludf.DUMMYFUNCTION("""COMPUTED_VALUE"""),"https://utrucking.myshopify.com/admin/orders?query=15039")</f>
        <v>https://utrucking.myshopify.com/admin/orders?query=15039</v>
      </c>
      <c r="B18" s="61" t="str">
        <f>IFERROR(__xludf.DUMMYFUNCTION("""COMPUTED_VALUE"""),"#15039")</f>
        <v>#15039</v>
      </c>
      <c r="C18" s="61" t="str">
        <f>IFERROR(__xludf.DUMMYFUNCTION("""COMPUTED_VALUE"""),"a.plaxe@wustl.edu")</f>
        <v>a.plaxe@wustl.edu</v>
      </c>
      <c r="D18" s="61" t="str">
        <f>IFERROR(__xludf.DUMMYFUNCTION("""COMPUTED_VALUE"""),"(917) 455-1134")</f>
        <v>(917) 455-1134</v>
      </c>
      <c r="E18" s="61" t="str">
        <f>IFERROR(__xludf.DUMMYFUNCTION("""COMPUTED_VALUE"""),"Amanda Plaxe")</f>
        <v>Amanda Plaxe</v>
      </c>
      <c r="F18" s="61"/>
      <c r="G18" s="61" t="str">
        <f>IFERROR(__xludf.DUMMYFUNCTION("""COMPUTED_VALUE"""),"214 West 85th St")</f>
        <v>214 West 85th St</v>
      </c>
      <c r="H18" s="61" t="str">
        <f>IFERROR(__xludf.DUMMYFUNCTION("""COMPUTED_VALUE"""),"Nationwide Ship to School")</f>
        <v>Nationwide Ship to School</v>
      </c>
      <c r="I18" s="61" t="str">
        <f>IFERROR(__xludf.DUMMYFUNCTION("""COMPUTED_VALUE"""),"University Housing")</f>
        <v>University Housing</v>
      </c>
      <c r="J18" s="107" t="str">
        <f>IFERROR(__xludf.DUMMYFUNCTION("""COMPUTED_VALUE"""),"09:00 AM - 11:00 AM")</f>
        <v>09:00 AM - 11:00 AM</v>
      </c>
      <c r="K18" s="107">
        <f>IFERROR(__xludf.DUMMYFUNCTION("""COMPUTED_VALUE"""),45889.0)</f>
        <v>45889</v>
      </c>
      <c r="L18" s="61" t="str">
        <f>IFERROR(__xludf.DUMMYFUNCTION("""COMPUTED_VALUE"""),"Eliot B")</f>
        <v>Eliot B</v>
      </c>
      <c r="M18" s="110" t="str">
        <f>IFERROR(__xludf.DUMMYFUNCTION("""COMPUTED_VALUE"""),"2103")</f>
        <v>2103</v>
      </c>
      <c r="N18" s="61"/>
      <c r="O18" s="61"/>
      <c r="P18" s="61"/>
    </row>
    <row r="19">
      <c r="A19" s="102" t="str">
        <f>IFERROR(__xludf.DUMMYFUNCTION("""COMPUTED_VALUE"""),"https://utrucking.myshopify.com/admin/orders?query=15055")</f>
        <v>https://utrucking.myshopify.com/admin/orders?query=15055</v>
      </c>
      <c r="B19" s="65" t="str">
        <f>IFERROR(__xludf.DUMMYFUNCTION("""COMPUTED_VALUE"""),"#15055")</f>
        <v>#15055</v>
      </c>
      <c r="C19" s="65" t="str">
        <f>IFERROR(__xludf.DUMMYFUNCTION("""COMPUTED_VALUE"""),"anna.j.schwartz@wustl.edu")</f>
        <v>anna.j.schwartz@wustl.edu</v>
      </c>
      <c r="D19" s="65" t="str">
        <f>IFERROR(__xludf.DUMMYFUNCTION("""COMPUTED_VALUE"""),"(404) 345-7378")</f>
        <v>(404) 345-7378</v>
      </c>
      <c r="E19" s="65" t="str">
        <f>IFERROR(__xludf.DUMMYFUNCTION("""COMPUTED_VALUE"""),"Anna Schwartz")</f>
        <v>Anna Schwartz</v>
      </c>
      <c r="F19" s="65"/>
      <c r="G19" s="65" t="str">
        <f>IFERROR(__xludf.DUMMYFUNCTION("""COMPUTED_VALUE"""),"4416 Saint Andrews Drive Northwest")</f>
        <v>4416 Saint Andrews Drive Northwest</v>
      </c>
      <c r="H19" s="65" t="str">
        <f>IFERROR(__xludf.DUMMYFUNCTION("""COMPUTED_VALUE"""),"Nationwide Ship to School")</f>
        <v>Nationwide Ship to School</v>
      </c>
      <c r="I19" s="65" t="str">
        <f>IFERROR(__xludf.DUMMYFUNCTION("""COMPUTED_VALUE"""),"University Housing")</f>
        <v>University Housing</v>
      </c>
      <c r="J19" s="108" t="str">
        <f>IFERROR(__xludf.DUMMYFUNCTION("""COMPUTED_VALUE"""),"09:00 AM to 11:00 AM")</f>
        <v>09:00 AM to 11:00 AM</v>
      </c>
      <c r="K19" s="108">
        <f>IFERROR(__xludf.DUMMYFUNCTION("""COMPUTED_VALUE"""),45878.0)</f>
        <v>45878</v>
      </c>
      <c r="L19" s="65" t="str">
        <f>IFERROR(__xludf.DUMMYFUNCTION("""COMPUTED_VALUE"""),"Village House")</f>
        <v>Village House</v>
      </c>
      <c r="M19" s="111" t="str">
        <f>IFERROR(__xludf.DUMMYFUNCTION("""COMPUTED_VALUE"""),"4071-a")</f>
        <v>4071-a</v>
      </c>
      <c r="N19" s="65"/>
      <c r="O19" s="65"/>
      <c r="P19" s="65"/>
    </row>
    <row r="20">
      <c r="A20" s="99" t="str">
        <f>IFERROR(__xludf.DUMMYFUNCTION("""COMPUTED_VALUE"""),"https://utrucking.myshopify.com/admin/orders?query=15080")</f>
        <v>https://utrucking.myshopify.com/admin/orders?query=15080</v>
      </c>
      <c r="B20" s="61" t="str">
        <f>IFERROR(__xludf.DUMMYFUNCTION("""COMPUTED_VALUE"""),"#15080")</f>
        <v>#15080</v>
      </c>
      <c r="C20" s="61" t="str">
        <f>IFERROR(__xludf.DUMMYFUNCTION("""COMPUTED_VALUE"""),"megcheung2016@gmail.com")</f>
        <v>megcheung2016@gmail.com</v>
      </c>
      <c r="D20" s="61" t="str">
        <f>IFERROR(__xludf.DUMMYFUNCTION("""COMPUTED_VALUE"""),"(914) 255-7538")</f>
        <v>(914) 255-7538</v>
      </c>
      <c r="E20" s="61" t="str">
        <f>IFERROR(__xludf.DUMMYFUNCTION("""COMPUTED_VALUE"""),"Sohta Cheung-Naito")</f>
        <v>Sohta Cheung-Naito</v>
      </c>
      <c r="F20" s="61"/>
      <c r="G20" s="61" t="str">
        <f>IFERROR(__xludf.DUMMYFUNCTION("""COMPUTED_VALUE"""),"175 Underhill Rd")</f>
        <v>175 Underhill Rd</v>
      </c>
      <c r="H20" s="61" t="str">
        <f>IFERROR(__xludf.DUMMYFUNCTION("""COMPUTED_VALUE"""),"Nationwide Ship to School")</f>
        <v>Nationwide Ship to School</v>
      </c>
      <c r="I20" s="61" t="str">
        <f>IFERROR(__xludf.DUMMYFUNCTION("""COMPUTED_VALUE"""),"University Housing")</f>
        <v>University Housing</v>
      </c>
      <c r="J20" s="107" t="str">
        <f>IFERROR(__xludf.DUMMYFUNCTION("""COMPUTED_VALUE"""),"10:00 AM - 12:00 PM")</f>
        <v>10:00 AM - 12:00 PM</v>
      </c>
      <c r="K20" s="107">
        <f>IFERROR(__xludf.DUMMYFUNCTION("""COMPUTED_VALUE"""),45883.0)</f>
        <v>45883</v>
      </c>
      <c r="L20" s="61" t="str">
        <f>IFERROR(__xludf.DUMMYFUNCTION("""COMPUTED_VALUE"""),"Koenig")</f>
        <v>Koenig</v>
      </c>
      <c r="M20" s="110" t="str">
        <f>IFERROR(__xludf.DUMMYFUNCTION("""COMPUTED_VALUE"""),"1117")</f>
        <v>1117</v>
      </c>
      <c r="N20" s="61"/>
      <c r="O20" s="61"/>
      <c r="P20" s="61"/>
    </row>
    <row r="21">
      <c r="A21" s="102" t="str">
        <f>IFERROR(__xludf.DUMMYFUNCTION("""COMPUTED_VALUE"""),"https://utrucking.myshopify.com/admin/orders?query=15081")</f>
        <v>https://utrucking.myshopify.com/admin/orders?query=15081</v>
      </c>
      <c r="B21" s="65" t="str">
        <f>IFERROR(__xludf.DUMMYFUNCTION("""COMPUTED_VALUE"""),"#15081")</f>
        <v>#15081</v>
      </c>
      <c r="C21" s="65">
        <f>IFERROR(__xludf.DUMMYFUNCTION("""COMPUTED_VALUE"""),0.0)</f>
        <v>0</v>
      </c>
      <c r="D21" s="65" t="str">
        <f>IFERROR(__xludf.DUMMYFUNCTION("""COMPUTED_VALUE"""),"(1214) 336-9342")</f>
        <v>(1214) 336-9342</v>
      </c>
      <c r="E21" s="65" t="str">
        <f>IFERROR(__xludf.DUMMYFUNCTION("""COMPUTED_VALUE"""),"julie liberman")</f>
        <v>julie liberman</v>
      </c>
      <c r="F21" s="65"/>
      <c r="G21" s="65" t="str">
        <f>IFERROR(__xludf.DUMMYFUNCTION("""COMPUTED_VALUE"""),"2404 WING POINT LN")</f>
        <v>2404 WING POINT LN</v>
      </c>
      <c r="H21" s="65" t="str">
        <f>IFERROR(__xludf.DUMMYFUNCTION("""COMPUTED_VALUE"""),"Nationwide Ship to School")</f>
        <v>Nationwide Ship to School</v>
      </c>
      <c r="I21" s="65" t="str">
        <f>IFERROR(__xludf.DUMMYFUNCTION("""COMPUTED_VALUE"""),"University Housing")</f>
        <v>University Housing</v>
      </c>
      <c r="J21" s="108" t="str">
        <f>IFERROR(__xludf.DUMMYFUNCTION("""COMPUTED_VALUE"""),"09:00 AM - 11:00 AM")</f>
        <v>09:00 AM - 11:00 AM</v>
      </c>
      <c r="K21" s="108">
        <f>IFERROR(__xludf.DUMMYFUNCTION("""COMPUTED_VALUE"""),45883.0)</f>
        <v>45883</v>
      </c>
      <c r="L21" s="65" t="str">
        <f>IFERROR(__xludf.DUMMYFUNCTION("""COMPUTED_VALUE"""),"Umrath")</f>
        <v>Umrath</v>
      </c>
      <c r="M21" s="111" t="str">
        <f>IFERROR(__xludf.DUMMYFUNCTION("""COMPUTED_VALUE"""),"3322")</f>
        <v>3322</v>
      </c>
      <c r="N21" s="65"/>
      <c r="O21" s="65"/>
      <c r="P21" s="65"/>
    </row>
    <row r="22">
      <c r="A22" s="99" t="str">
        <f>IFERROR(__xludf.DUMMYFUNCTION("""COMPUTED_VALUE"""),"https://utrucking.myshopify.com/admin/orders?query=15082")</f>
        <v>https://utrucking.myshopify.com/admin/orders?query=15082</v>
      </c>
      <c r="B22" s="61" t="str">
        <f>IFERROR(__xludf.DUMMYFUNCTION("""COMPUTED_VALUE"""),"#15082")</f>
        <v>#15082</v>
      </c>
      <c r="C22" s="61" t="str">
        <f>IFERROR(__xludf.DUMMYFUNCTION("""COMPUTED_VALUE"""),"edwardcartonz@gmail.com")</f>
        <v>edwardcartonz@gmail.com</v>
      </c>
      <c r="D22" s="61" t="str">
        <f>IFERROR(__xludf.DUMMYFUNCTION("""COMPUTED_VALUE"""),"(805) 637-5739")</f>
        <v>(805) 637-5739</v>
      </c>
      <c r="E22" s="61" t="str">
        <f>IFERROR(__xludf.DUMMYFUNCTION("""COMPUTED_VALUE"""),"Maohua Zhang")</f>
        <v>Maohua Zhang</v>
      </c>
      <c r="F22" s="61"/>
      <c r="G22" s="61" t="str">
        <f>IFERROR(__xludf.DUMMYFUNCTION("""COMPUTED_VALUE"""),"775 Camino Del Sur")</f>
        <v>775 Camino Del Sur</v>
      </c>
      <c r="H22" s="61" t="str">
        <f>IFERROR(__xludf.DUMMYFUNCTION("""COMPUTED_VALUE"""),"Nationwide Ship to School")</f>
        <v>Nationwide Ship to School</v>
      </c>
      <c r="I22" s="61" t="str">
        <f>IFERROR(__xludf.DUMMYFUNCTION("""COMPUTED_VALUE"""),"Non-University Housing")</f>
        <v>Non-University Housing</v>
      </c>
      <c r="J22" s="107" t="str">
        <f>IFERROR(__xludf.DUMMYFUNCTION("""COMPUTED_VALUE"""),"01:00 PM - 03:00 PM")</f>
        <v>01:00 PM - 03:00 PM</v>
      </c>
      <c r="K22" s="107">
        <f>IFERROR(__xludf.DUMMYFUNCTION("""COMPUTED_VALUE"""),45822.0)</f>
        <v>45822</v>
      </c>
      <c r="L22" s="61"/>
      <c r="M22" s="110"/>
      <c r="N22" s="61"/>
      <c r="O22" s="61"/>
      <c r="P22" s="61"/>
    </row>
    <row r="23">
      <c r="A23" s="102" t="str">
        <f>IFERROR(__xludf.DUMMYFUNCTION("""COMPUTED_VALUE"""),"https://utrucking.myshopify.com/admin/orders?query=15103")</f>
        <v>https://utrucking.myshopify.com/admin/orders?query=15103</v>
      </c>
      <c r="B23" s="65" t="str">
        <f>IFERROR(__xludf.DUMMYFUNCTION("""COMPUTED_VALUE"""),"#15103")</f>
        <v>#15103</v>
      </c>
      <c r="C23" s="65" t="str">
        <f>IFERROR(__xludf.DUMMYFUNCTION("""COMPUTED_VALUE"""),"faier@wustl.edu")</f>
        <v>faier@wustl.edu</v>
      </c>
      <c r="D23" s="65" t="str">
        <f>IFERROR(__xludf.DUMMYFUNCTION("""COMPUTED_VALUE"""),"(224) 578-2645")</f>
        <v>(224) 578-2645</v>
      </c>
      <c r="E23" s="65" t="str">
        <f>IFERROR(__xludf.DUMMYFUNCTION("""COMPUTED_VALUE"""),"Sharon Faier")</f>
        <v>Sharon Faier</v>
      </c>
      <c r="F23" s="65"/>
      <c r="G23" s="65" t="str">
        <f>IFERROR(__xludf.DUMMYFUNCTION("""COMPUTED_VALUE"""),"8182 South Saint Paul Way")</f>
        <v>8182 South Saint Paul Way</v>
      </c>
      <c r="H23" s="65" t="str">
        <f>IFERROR(__xludf.DUMMYFUNCTION("""COMPUTED_VALUE"""),"Nationwide Ship to School")</f>
        <v>Nationwide Ship to School</v>
      </c>
      <c r="I23" s="65" t="str">
        <f>IFERROR(__xludf.DUMMYFUNCTION("""COMPUTED_VALUE"""),"University Housing")</f>
        <v>University Housing</v>
      </c>
      <c r="J23" s="108" t="str">
        <f>IFERROR(__xludf.DUMMYFUNCTION("""COMPUTED_VALUE"""),"09:00 AM - 11:00 AM")</f>
        <v>09:00 AM - 11:00 AM</v>
      </c>
      <c r="K23" s="108">
        <f>IFERROR(__xludf.DUMMYFUNCTION("""COMPUTED_VALUE"""),45883.0)</f>
        <v>45883</v>
      </c>
      <c r="L23" s="65" t="str">
        <f>IFERROR(__xludf.DUMMYFUNCTION("""COMPUTED_VALUE"""),"Myers")</f>
        <v>Myers</v>
      </c>
      <c r="M23" s="111" t="str">
        <f>IFERROR(__xludf.DUMMYFUNCTION("""COMPUTED_VALUE"""),"413")</f>
        <v>413</v>
      </c>
      <c r="N23" s="65"/>
      <c r="O23" s="65"/>
      <c r="P23" s="65"/>
    </row>
    <row r="24">
      <c r="A24" s="99" t="str">
        <f>IFERROR(__xludf.DUMMYFUNCTION("""COMPUTED_VALUE"""),"https://utrucking.myshopify.com/admin/orders?query=15104")</f>
        <v>https://utrucking.myshopify.com/admin/orders?query=15104</v>
      </c>
      <c r="B24" s="61" t="str">
        <f>IFERROR(__xludf.DUMMYFUNCTION("""COMPUTED_VALUE"""),"#15104")</f>
        <v>#15104</v>
      </c>
      <c r="C24" s="61" t="str">
        <f>IFERROR(__xludf.DUMMYFUNCTION("""COMPUTED_VALUE"""),"l.d.young@wustl.edu")</f>
        <v>l.d.young@wustl.edu</v>
      </c>
      <c r="D24" s="61" t="str">
        <f>IFERROR(__xludf.DUMMYFUNCTION("""COMPUTED_VALUE"""),"(949) 254-8160")</f>
        <v>(949) 254-8160</v>
      </c>
      <c r="E24" s="61" t="str">
        <f>IFERROR(__xludf.DUMMYFUNCTION("""COMPUTED_VALUE"""),"Sandra Young")</f>
        <v>Sandra Young</v>
      </c>
      <c r="F24" s="61"/>
      <c r="G24" s="61" t="str">
        <f>IFERROR(__xludf.DUMMYFUNCTION("""COMPUTED_VALUE"""),"72 Cunningham")</f>
        <v>72 Cunningham</v>
      </c>
      <c r="H24" s="61" t="str">
        <f>IFERROR(__xludf.DUMMYFUNCTION("""COMPUTED_VALUE"""),"Nationwide Ship to School")</f>
        <v>Nationwide Ship to School</v>
      </c>
      <c r="I24" s="61" t="str">
        <f>IFERROR(__xludf.DUMMYFUNCTION("""COMPUTED_VALUE"""),"University Housing")</f>
        <v>University Housing</v>
      </c>
      <c r="J24" s="107" t="str">
        <f>IFERROR(__xludf.DUMMYFUNCTION("""COMPUTED_VALUE"""),"09:00 AM - 11:00 AM")</f>
        <v>09:00 AM - 11:00 AM</v>
      </c>
      <c r="K24" s="107">
        <f>IFERROR(__xludf.DUMMYFUNCTION("""COMPUTED_VALUE"""),45883.0)</f>
        <v>45883</v>
      </c>
      <c r="L24" s="61" t="str">
        <f>IFERROR(__xludf.DUMMYFUNCTION("""COMPUTED_VALUE"""),"Koenig")</f>
        <v>Koenig</v>
      </c>
      <c r="M24" s="110" t="str">
        <f>IFERROR(__xludf.DUMMYFUNCTION("""COMPUTED_VALUE"""),"I don't know yet")</f>
        <v>I don't know yet</v>
      </c>
      <c r="N24" s="61"/>
      <c r="O24" s="61"/>
      <c r="P24" s="61"/>
    </row>
    <row r="25">
      <c r="A25" s="102" t="str">
        <f>IFERROR(__xludf.DUMMYFUNCTION("""COMPUTED_VALUE"""),"https://utrucking.myshopify.com/admin/orders?query=15128")</f>
        <v>https://utrucking.myshopify.com/admin/orders?query=15128</v>
      </c>
      <c r="B25" s="65" t="str">
        <f>IFERROR(__xludf.DUMMYFUNCTION("""COMPUTED_VALUE"""),"#15128")</f>
        <v>#15128</v>
      </c>
      <c r="C25" s="65" t="str">
        <f>IFERROR(__xludf.DUMMYFUNCTION("""COMPUTED_VALUE"""),"bosques@wustl.edu")</f>
        <v>bosques@wustl.edu</v>
      </c>
      <c r="D25" s="65" t="str">
        <f>IFERROR(__xludf.DUMMYFUNCTION("""COMPUTED_VALUE"""),"(617) 999-8561")</f>
        <v>(617) 999-8561</v>
      </c>
      <c r="E25" s="65" t="str">
        <f>IFERROR(__xludf.DUMMYFUNCTION("""COMPUTED_VALUE"""),"Gustavo Bosques")</f>
        <v>Gustavo Bosques</v>
      </c>
      <c r="F25" s="65"/>
      <c r="G25" s="65" t="str">
        <f>IFERROR(__xludf.DUMMYFUNCTION("""COMPUTED_VALUE"""),"198 Overlook Rd")</f>
        <v>198 Overlook Rd</v>
      </c>
      <c r="H25" s="65" t="str">
        <f>IFERROR(__xludf.DUMMYFUNCTION("""COMPUTED_VALUE"""),"Nationwide Ship to School")</f>
        <v>Nationwide Ship to School</v>
      </c>
      <c r="I25" s="65" t="str">
        <f>IFERROR(__xludf.DUMMYFUNCTION("""COMPUTED_VALUE"""),"University Housing")</f>
        <v>University Housing</v>
      </c>
      <c r="J25" s="108" t="str">
        <f>IFERROR(__xludf.DUMMYFUNCTION("""COMPUTED_VALUE"""),"03:00 PM - 05:00 PM")</f>
        <v>03:00 PM - 05:00 PM</v>
      </c>
      <c r="K25" s="108">
        <f>IFERROR(__xludf.DUMMYFUNCTION("""COMPUTED_VALUE"""),45882.0)</f>
        <v>45882</v>
      </c>
      <c r="L25" s="65" t="str">
        <f>IFERROR(__xludf.DUMMYFUNCTION("""COMPUTED_VALUE"""),"DON'T KNOW YET (put 'XXX' for room #)")</f>
        <v>DON'T KNOW YET (put 'XXX' for room #)</v>
      </c>
      <c r="M25" s="111" t="str">
        <f>IFERROR(__xludf.DUMMYFUNCTION("""COMPUTED_VALUE"""),"xxx")</f>
        <v>xxx</v>
      </c>
      <c r="N25" s="65"/>
      <c r="O25" s="65"/>
      <c r="P25" s="65"/>
    </row>
    <row r="26">
      <c r="A26" s="99" t="str">
        <f>IFERROR(__xludf.DUMMYFUNCTION("""COMPUTED_VALUE"""),"https://utrucking.myshopify.com/admin/orders?query=15129")</f>
        <v>https://utrucking.myshopify.com/admin/orders?query=15129</v>
      </c>
      <c r="B26" s="61" t="str">
        <f>IFERROR(__xludf.DUMMYFUNCTION("""COMPUTED_VALUE"""),"#15129")</f>
        <v>#15129</v>
      </c>
      <c r="C26" s="61" t="str">
        <f>IFERROR(__xludf.DUMMYFUNCTION("""COMPUTED_VALUE"""),"dina.bean@verizon.net")</f>
        <v>dina.bean@verizon.net</v>
      </c>
      <c r="D26" s="61" t="str">
        <f>IFERROR(__xludf.DUMMYFUNCTION("""COMPUTED_VALUE"""),"(1917) 821-5981")</f>
        <v>(1917) 821-5981</v>
      </c>
      <c r="E26" s="61" t="str">
        <f>IFERROR(__xludf.DUMMYFUNCTION("""COMPUTED_VALUE"""),"Dina Bean")</f>
        <v>Dina Bean</v>
      </c>
      <c r="F26" s="61"/>
      <c r="G26" s="61" t="str">
        <f>IFERROR(__xludf.DUMMYFUNCTION("""COMPUTED_VALUE"""),"8 East 83rd Street")</f>
        <v>8 East 83rd Street</v>
      </c>
      <c r="H26" s="61" t="str">
        <f>IFERROR(__xludf.DUMMYFUNCTION("""COMPUTED_VALUE"""),"Nationwide Ship to School")</f>
        <v>Nationwide Ship to School</v>
      </c>
      <c r="I26" s="61" t="str">
        <f>IFERROR(__xludf.DUMMYFUNCTION("""COMPUTED_VALUE"""),"University Housing")</f>
        <v>University Housing</v>
      </c>
      <c r="J26" s="107" t="str">
        <f>IFERROR(__xludf.DUMMYFUNCTION("""COMPUTED_VALUE"""),"10:00 AM - 12:00 PM")</f>
        <v>10:00 AM - 12:00 PM</v>
      </c>
      <c r="K26" s="107">
        <f>IFERROR(__xludf.DUMMYFUNCTION("""COMPUTED_VALUE"""),45882.0)</f>
        <v>45882</v>
      </c>
      <c r="L26" s="61" t="str">
        <f>IFERROR(__xludf.DUMMYFUNCTION("""COMPUTED_VALUE"""),"Dardick")</f>
        <v>Dardick</v>
      </c>
      <c r="M26" s="110" t="str">
        <f>IFERROR(__xludf.DUMMYFUNCTION("""COMPUTED_VALUE"""),"2210")</f>
        <v>2210</v>
      </c>
      <c r="N26" s="61"/>
      <c r="O26" s="61"/>
      <c r="P26" s="61"/>
    </row>
    <row r="27">
      <c r="A27" s="102" t="str">
        <f>IFERROR(__xludf.DUMMYFUNCTION("""COMPUTED_VALUE"""),"https://utrucking.myshopify.com/admin/orders?query=15134")</f>
        <v>https://utrucking.myshopify.com/admin/orders?query=15134</v>
      </c>
      <c r="B27" s="65" t="str">
        <f>IFERROR(__xludf.DUMMYFUNCTION("""COMPUTED_VALUE"""),"#15134")</f>
        <v>#15134</v>
      </c>
      <c r="C27" s="65" t="str">
        <f>IFERROR(__xludf.DUMMYFUNCTION("""COMPUTED_VALUE"""),"r.l.shames@wustl.edu")</f>
        <v>r.l.shames@wustl.edu</v>
      </c>
      <c r="D27" s="65" t="str">
        <f>IFERROR(__xludf.DUMMYFUNCTION("""COMPUTED_VALUE"""),"(1917) 603-4125")</f>
        <v>(1917) 603-4125</v>
      </c>
      <c r="E27" s="65" t="str">
        <f>IFERROR(__xludf.DUMMYFUNCTION("""COMPUTED_VALUE"""),"Rachel Shames")</f>
        <v>Rachel Shames</v>
      </c>
      <c r="F27" s="65"/>
      <c r="G27" s="65" t="str">
        <f>IFERROR(__xludf.DUMMYFUNCTION("""COMPUTED_VALUE"""),"500 W End Ave")</f>
        <v>500 W End Ave</v>
      </c>
      <c r="H27" s="65" t="str">
        <f>IFERROR(__xludf.DUMMYFUNCTION("""COMPUTED_VALUE"""),"Nationwide Ship to School")</f>
        <v>Nationwide Ship to School</v>
      </c>
      <c r="I27" s="65" t="str">
        <f>IFERROR(__xludf.DUMMYFUNCTION("""COMPUTED_VALUE"""),"University Housing")</f>
        <v>University Housing</v>
      </c>
      <c r="J27" s="108" t="str">
        <f>IFERROR(__xludf.DUMMYFUNCTION("""COMPUTED_VALUE"""),"11:00 AM - 01:00 PM")</f>
        <v>11:00 AM - 01:00 PM</v>
      </c>
      <c r="K27" s="108">
        <f>IFERROR(__xludf.DUMMYFUNCTION("""COMPUTED_VALUE"""),45882.0)</f>
        <v>45882</v>
      </c>
      <c r="L27" s="65" t="str">
        <f>IFERROR(__xludf.DUMMYFUNCTION("""COMPUTED_VALUE"""),"Dardick")</f>
        <v>Dardick</v>
      </c>
      <c r="M27" s="111" t="str">
        <f>IFERROR(__xludf.DUMMYFUNCTION("""COMPUTED_VALUE"""),"4402")</f>
        <v>4402</v>
      </c>
      <c r="N27" s="65"/>
      <c r="O27" s="65"/>
      <c r="P27" s="65"/>
    </row>
    <row r="28">
      <c r="A28" s="99" t="str">
        <f>IFERROR(__xludf.DUMMYFUNCTION("""COMPUTED_VALUE"""),"https://utrucking.myshopify.com/admin/orders?query=15137")</f>
        <v>https://utrucking.myshopify.com/admin/orders?query=15137</v>
      </c>
      <c r="B28" s="61" t="str">
        <f>IFERROR(__xludf.DUMMYFUNCTION("""COMPUTED_VALUE"""),"#15137")</f>
        <v>#15137</v>
      </c>
      <c r="C28" s="61" t="str">
        <f>IFERROR(__xludf.DUMMYFUNCTION("""COMPUTED_VALUE"""),"b.cayden@wustl.edu")</f>
        <v>b.cayden@wustl.edu</v>
      </c>
      <c r="D28" s="61" t="str">
        <f>IFERROR(__xludf.DUMMYFUNCTION("""COMPUTED_VALUE"""),"(973) 715-4139")</f>
        <v>(973) 715-4139</v>
      </c>
      <c r="E28" s="61" t="str">
        <f>IFERROR(__xludf.DUMMYFUNCTION("""COMPUTED_VALUE"""),"Sondra Barrison")</f>
        <v>Sondra Barrison</v>
      </c>
      <c r="F28" s="61"/>
      <c r="G28" s="61" t="str">
        <f>IFERROR(__xludf.DUMMYFUNCTION("""COMPUTED_VALUE"""),"115 Scott Drive")</f>
        <v>115 Scott Drive</v>
      </c>
      <c r="H28" s="61" t="str">
        <f>IFERROR(__xludf.DUMMYFUNCTION("""COMPUTED_VALUE"""),"Nationwide Ship to School")</f>
        <v>Nationwide Ship to School</v>
      </c>
      <c r="I28" s="61" t="str">
        <f>IFERROR(__xludf.DUMMYFUNCTION("""COMPUTED_VALUE"""),"University Housing")</f>
        <v>University Housing</v>
      </c>
      <c r="J28" s="107" t="str">
        <f>IFERROR(__xludf.DUMMYFUNCTION("""COMPUTED_VALUE"""),"12:00 PM - 02:00 PM")</f>
        <v>12:00 PM - 02:00 PM</v>
      </c>
      <c r="K28" s="107">
        <f>IFERROR(__xludf.DUMMYFUNCTION("""COMPUTED_VALUE"""),45889.0)</f>
        <v>45889</v>
      </c>
      <c r="L28" s="61" t="str">
        <f>IFERROR(__xludf.DUMMYFUNCTION("""COMPUTED_VALUE"""),"6645 University Drive")</f>
        <v>6645 University Drive</v>
      </c>
      <c r="M28" s="110" t="str">
        <f>IFERROR(__xludf.DUMMYFUNCTION("""COMPUTED_VALUE"""),"1E-A")</f>
        <v>1E-A</v>
      </c>
      <c r="N28" s="61"/>
      <c r="O28" s="61"/>
      <c r="P28" s="61"/>
    </row>
    <row r="29">
      <c r="A29" s="102" t="str">
        <f>IFERROR(__xludf.DUMMYFUNCTION("""COMPUTED_VALUE"""),"https://utrucking.myshopify.com/admin/orders?query=15144")</f>
        <v>https://utrucking.myshopify.com/admin/orders?query=15144</v>
      </c>
      <c r="B29" s="65" t="str">
        <f>IFERROR(__xludf.DUMMYFUNCTION("""COMPUTED_VALUE"""),"#15144")</f>
        <v>#15144</v>
      </c>
      <c r="C29" s="65" t="str">
        <f>IFERROR(__xludf.DUMMYFUNCTION("""COMPUTED_VALUE"""),"Maryraue@gmail.com")</f>
        <v>Maryraue@gmail.com</v>
      </c>
      <c r="D29" s="65" t="str">
        <f>IFERROR(__xludf.DUMMYFUNCTION("""COMPUTED_VALUE"""),"(1703) 307-8619")</f>
        <v>(1703) 307-8619</v>
      </c>
      <c r="E29" s="65" t="str">
        <f>IFERROR(__xludf.DUMMYFUNCTION("""COMPUTED_VALUE"""),"Mary Raue")</f>
        <v>Mary Raue</v>
      </c>
      <c r="F29" s="65"/>
      <c r="G29" s="65" t="str">
        <f>IFERROR(__xludf.DUMMYFUNCTION("""COMPUTED_VALUE"""),"5810 Beech Ave")</f>
        <v>5810 Beech Ave</v>
      </c>
      <c r="H29" s="65" t="str">
        <f>IFERROR(__xludf.DUMMYFUNCTION("""COMPUTED_VALUE"""),"Nationwide Ship to School")</f>
        <v>Nationwide Ship to School</v>
      </c>
      <c r="I29" s="65" t="str">
        <f>IFERROR(__xludf.DUMMYFUNCTION("""COMPUTED_VALUE"""),"University Housing")</f>
        <v>University Housing</v>
      </c>
      <c r="J29" s="108" t="str">
        <f>IFERROR(__xludf.DUMMYFUNCTION("""COMPUTED_VALUE"""),"09:00 AM - 11:00 AM")</f>
        <v>09:00 AM - 11:00 AM</v>
      </c>
      <c r="K29" s="108">
        <f>IFERROR(__xludf.DUMMYFUNCTION("""COMPUTED_VALUE"""),45881.0)</f>
        <v>45881</v>
      </c>
      <c r="L29" s="65" t="str">
        <f>IFERROR(__xludf.DUMMYFUNCTION("""COMPUTED_VALUE"""),"DON'T KNOW YET (put 'XXX' for room #)")</f>
        <v>DON'T KNOW YET (put 'XXX' for room #)</v>
      </c>
      <c r="M29" s="111" t="str">
        <f>IFERROR(__xludf.DUMMYFUNCTION("""COMPUTED_VALUE"""),"XXX")</f>
        <v>XXX</v>
      </c>
      <c r="N29" s="65"/>
      <c r="O29" s="65"/>
      <c r="P29" s="65"/>
    </row>
    <row r="30">
      <c r="A30" s="99" t="str">
        <f>IFERROR(__xludf.DUMMYFUNCTION("""COMPUTED_VALUE"""),"https://utrucking.myshopify.com/admin/orders?query=15148")</f>
        <v>https://utrucking.myshopify.com/admin/orders?query=15148</v>
      </c>
      <c r="B30" s="61" t="str">
        <f>IFERROR(__xludf.DUMMYFUNCTION("""COMPUTED_VALUE"""),"#15148")</f>
        <v>#15148</v>
      </c>
      <c r="C30" s="61">
        <f>IFERROR(__xludf.DUMMYFUNCTION("""COMPUTED_VALUE"""),0.0)</f>
        <v>0</v>
      </c>
      <c r="D30" s="61" t="str">
        <f>IFERROR(__xludf.DUMMYFUNCTION("""COMPUTED_VALUE"""),"(1202) 494-5966")</f>
        <v>(1202) 494-5966</v>
      </c>
      <c r="E30" s="61" t="str">
        <f>IFERROR(__xludf.DUMMYFUNCTION("""COMPUTED_VALUE"""),"Hillary Davidson")</f>
        <v>Hillary Davidson</v>
      </c>
      <c r="F30" s="61"/>
      <c r="G30" s="61" t="str">
        <f>IFERROR(__xludf.DUMMYFUNCTION("""COMPUTED_VALUE"""),"9513 Brooke Dr")</f>
        <v>9513 Brooke Dr</v>
      </c>
      <c r="H30" s="61" t="str">
        <f>IFERROR(__xludf.DUMMYFUNCTION("""COMPUTED_VALUE"""),"Nationwide Ship to School")</f>
        <v>Nationwide Ship to School</v>
      </c>
      <c r="I30" s="61" t="str">
        <f>IFERROR(__xludf.DUMMYFUNCTION("""COMPUTED_VALUE"""),"University Housing")</f>
        <v>University Housing</v>
      </c>
      <c r="J30" s="107" t="str">
        <f>IFERROR(__xludf.DUMMYFUNCTION("""COMPUTED_VALUE"""),"11:00 AM - 01:00 PM")</f>
        <v>11:00 AM - 01:00 PM</v>
      </c>
      <c r="K30" s="107">
        <f>IFERROR(__xludf.DUMMYFUNCTION("""COMPUTED_VALUE"""),45882.0)</f>
        <v>45882</v>
      </c>
      <c r="L30" s="61" t="str">
        <f>IFERROR(__xludf.DUMMYFUNCTION("""COMPUTED_VALUE"""),"Umrath")</f>
        <v>Umrath</v>
      </c>
      <c r="M30" s="110" t="str">
        <f>IFERROR(__xludf.DUMMYFUNCTION("""COMPUTED_VALUE"""),"3323")</f>
        <v>3323</v>
      </c>
      <c r="N30" s="61"/>
      <c r="O30" s="61"/>
      <c r="P30" s="61"/>
    </row>
    <row r="31">
      <c r="A31" s="102" t="str">
        <f>IFERROR(__xludf.DUMMYFUNCTION("""COMPUTED_VALUE"""),"https://utrucking.myshopify.com/admin/orders?query=15150")</f>
        <v>https://utrucking.myshopify.com/admin/orders?query=15150</v>
      </c>
      <c r="B31" s="65" t="str">
        <f>IFERROR(__xludf.DUMMYFUNCTION("""COMPUTED_VALUE"""),"#15150")</f>
        <v>#15150</v>
      </c>
      <c r="C31" s="65" t="str">
        <f>IFERROR(__xludf.DUMMYFUNCTION("""COMPUTED_VALUE"""),"taliawest7@gmail.com")</f>
        <v>taliawest7@gmail.com</v>
      </c>
      <c r="D31" s="65" t="str">
        <f>IFERROR(__xludf.DUMMYFUNCTION("""COMPUTED_VALUE"""),"(458) 256-5639")</f>
        <v>(458) 256-5639</v>
      </c>
      <c r="E31" s="65" t="str">
        <f>IFERROR(__xludf.DUMMYFUNCTION("""COMPUTED_VALUE"""),"Talia West")</f>
        <v>Talia West</v>
      </c>
      <c r="F31" s="65"/>
      <c r="G31" s="65" t="str">
        <f>IFERROR(__xludf.DUMMYFUNCTION("""COMPUTED_VALUE"""),"4020 94th Ave NE")</f>
        <v>4020 94th Ave NE</v>
      </c>
      <c r="H31" s="65" t="str">
        <f>IFERROR(__xludf.DUMMYFUNCTION("""COMPUTED_VALUE"""),"Nationwide Ship to School")</f>
        <v>Nationwide Ship to School</v>
      </c>
      <c r="I31" s="65" t="str">
        <f>IFERROR(__xludf.DUMMYFUNCTION("""COMPUTED_VALUE"""),"University Housing")</f>
        <v>University Housing</v>
      </c>
      <c r="J31" s="108" t="str">
        <f>IFERROR(__xludf.DUMMYFUNCTION("""COMPUTED_VALUE"""),"09:00 AM - 11:00 AM")</f>
        <v>09:00 AM - 11:00 AM</v>
      </c>
      <c r="K31" s="108">
        <f>IFERROR(__xludf.DUMMYFUNCTION("""COMPUTED_VALUE"""),45880.0)</f>
        <v>45880</v>
      </c>
      <c r="L31" s="65" t="str">
        <f>IFERROR(__xludf.DUMMYFUNCTION("""COMPUTED_VALUE"""),"Danforth")</f>
        <v>Danforth</v>
      </c>
      <c r="M31" s="111" t="str">
        <f>IFERROR(__xludf.DUMMYFUNCTION("""COMPUTED_VALUE"""),"4428")</f>
        <v>4428</v>
      </c>
      <c r="N31" s="65"/>
      <c r="O31" s="65"/>
      <c r="P31" s="65"/>
    </row>
    <row r="32">
      <c r="A32" s="99" t="str">
        <f>IFERROR(__xludf.DUMMYFUNCTION("""COMPUTED_VALUE"""),"https://utrucking.myshopify.com/admin/orders?query=15151")</f>
        <v>https://utrucking.myshopify.com/admin/orders?query=15151</v>
      </c>
      <c r="B32" s="61" t="str">
        <f>IFERROR(__xludf.DUMMYFUNCTION("""COMPUTED_VALUE"""),"#15151")</f>
        <v>#15151</v>
      </c>
      <c r="C32" s="61" t="str">
        <f>IFERROR(__xludf.DUMMYFUNCTION("""COMPUTED_VALUE"""),"biancah@wustl.edu")</f>
        <v>biancah@wustl.edu</v>
      </c>
      <c r="D32" s="61" t="str">
        <f>IFERROR(__xludf.DUMMYFUNCTION("""COMPUTED_VALUE"""),"(310) 963-6636")</f>
        <v>(310) 963-6636</v>
      </c>
      <c r="E32" s="61" t="str">
        <f>IFERROR(__xludf.DUMMYFUNCTION("""COMPUTED_VALUE"""),"Bianca Hayutin")</f>
        <v>Bianca Hayutin</v>
      </c>
      <c r="F32" s="61"/>
      <c r="G32" s="61" t="str">
        <f>IFERROR(__xludf.DUMMYFUNCTION("""COMPUTED_VALUE"""),"2212 Ashland Avenue")</f>
        <v>2212 Ashland Avenue</v>
      </c>
      <c r="H32" s="61" t="str">
        <f>IFERROR(__xludf.DUMMYFUNCTION("""COMPUTED_VALUE"""),"Nationwide Ship to School")</f>
        <v>Nationwide Ship to School</v>
      </c>
      <c r="I32" s="61" t="str">
        <f>IFERROR(__xludf.DUMMYFUNCTION("""COMPUTED_VALUE"""),"University Housing")</f>
        <v>University Housing</v>
      </c>
      <c r="J32" s="107" t="str">
        <f>IFERROR(__xludf.DUMMYFUNCTION("""COMPUTED_VALUE"""),"09:00 AM - 11:00 AM")</f>
        <v>09:00 AM - 11:00 AM</v>
      </c>
      <c r="K32" s="107">
        <f>IFERROR(__xludf.DUMMYFUNCTION("""COMPUTED_VALUE"""),45882.0)</f>
        <v>45882</v>
      </c>
      <c r="L32" s="61" t="str">
        <f>IFERROR(__xludf.DUMMYFUNCTION("""COMPUTED_VALUE"""),"Rutledge")</f>
        <v>Rutledge</v>
      </c>
      <c r="M32" s="110" t="str">
        <f>IFERROR(__xludf.DUMMYFUNCTION("""COMPUTED_VALUE"""),"432-B")</f>
        <v>432-B</v>
      </c>
      <c r="N32" s="61"/>
      <c r="O32" s="61"/>
      <c r="P32" s="61"/>
    </row>
    <row r="33">
      <c r="A33" s="102" t="str">
        <f>IFERROR(__xludf.DUMMYFUNCTION("""COMPUTED_VALUE"""),"https://utrucking.myshopify.com/admin/orders?query=15158")</f>
        <v>https://utrucking.myshopify.com/admin/orders?query=15158</v>
      </c>
      <c r="B33" s="65" t="str">
        <f>IFERROR(__xludf.DUMMYFUNCTION("""COMPUTED_VALUE"""),"#15158")</f>
        <v>#15158</v>
      </c>
      <c r="C33" s="65" t="str">
        <f>IFERROR(__xludf.DUMMYFUNCTION("""COMPUTED_VALUE"""),"jadon.s@wustl.edu")</f>
        <v>jadon.s@wustl.edu</v>
      </c>
      <c r="D33" s="65" t="str">
        <f>IFERROR(__xludf.DUMMYFUNCTION("""COMPUTED_VALUE"""),"(1917) 612-7037")</f>
        <v>(1917) 612-7037</v>
      </c>
      <c r="E33" s="65" t="str">
        <f>IFERROR(__xludf.DUMMYFUNCTION("""COMPUTED_VALUE"""),"Jadon Schwartz")</f>
        <v>Jadon Schwartz</v>
      </c>
      <c r="F33" s="65"/>
      <c r="G33" s="65" t="str">
        <f>IFERROR(__xludf.DUMMYFUNCTION("""COMPUTED_VALUE"""),"10 Pecan Valley Drive")</f>
        <v>10 Pecan Valley Drive</v>
      </c>
      <c r="H33" s="65" t="str">
        <f>IFERROR(__xludf.DUMMYFUNCTION("""COMPUTED_VALUE"""),"Nationwide Ship to School")</f>
        <v>Nationwide Ship to School</v>
      </c>
      <c r="I33" s="65" t="str">
        <f>IFERROR(__xludf.DUMMYFUNCTION("""COMPUTED_VALUE"""),"University Housing")</f>
        <v>University Housing</v>
      </c>
      <c r="J33" s="108" t="str">
        <f>IFERROR(__xludf.DUMMYFUNCTION("""COMPUTED_VALUE"""),"01:00 PM - 03:00 PM")</f>
        <v>01:00 PM - 03:00 PM</v>
      </c>
      <c r="K33" s="108">
        <f>IFERROR(__xludf.DUMMYFUNCTION("""COMPUTED_VALUE"""),45882.0)</f>
        <v>45882</v>
      </c>
      <c r="L33" s="65" t="str">
        <f>IFERROR(__xludf.DUMMYFUNCTION("""COMPUTED_VALUE"""),"DON'T KNOW YET (put 'XXX' for room #)")</f>
        <v>DON'T KNOW YET (put 'XXX' for room #)</v>
      </c>
      <c r="M33" s="111" t="str">
        <f>IFERROR(__xludf.DUMMYFUNCTION("""COMPUTED_VALUE"""),"XXX")</f>
        <v>XXX</v>
      </c>
      <c r="N33" s="65"/>
      <c r="O33" s="65"/>
      <c r="P33" s="65"/>
    </row>
    <row r="34">
      <c r="A34" s="99" t="str">
        <f>IFERROR(__xludf.DUMMYFUNCTION("""COMPUTED_VALUE"""),"https://utrucking.myshopify.com/admin/orders?query=15163")</f>
        <v>https://utrucking.myshopify.com/admin/orders?query=15163</v>
      </c>
      <c r="B34" s="61" t="str">
        <f>IFERROR(__xludf.DUMMYFUNCTION("""COMPUTED_VALUE"""),"#15163")</f>
        <v>#15163</v>
      </c>
      <c r="C34" s="61" t="str">
        <f>IFERROR(__xludf.DUMMYFUNCTION("""COMPUTED_VALUE"""),"rebeccaburack@gmail.com")</f>
        <v>rebeccaburack@gmail.com</v>
      </c>
      <c r="D34" s="61" t="str">
        <f>IFERROR(__xludf.DUMMYFUNCTION("""COMPUTED_VALUE"""),"(617) 899-6835")</f>
        <v>(617) 899-6835</v>
      </c>
      <c r="E34" s="61" t="str">
        <f>IFERROR(__xludf.DUMMYFUNCTION("""COMPUTED_VALUE"""),"Ethan Burack")</f>
        <v>Ethan Burack</v>
      </c>
      <c r="F34" s="61"/>
      <c r="G34" s="61" t="str">
        <f>IFERROR(__xludf.DUMMYFUNCTION("""COMPUTED_VALUE"""),"76 Bellevue Street")</f>
        <v>76 Bellevue Street</v>
      </c>
      <c r="H34" s="61" t="str">
        <f>IFERROR(__xludf.DUMMYFUNCTION("""COMPUTED_VALUE"""),"Nationwide Ship to School")</f>
        <v>Nationwide Ship to School</v>
      </c>
      <c r="I34" s="61" t="str">
        <f>IFERROR(__xludf.DUMMYFUNCTION("""COMPUTED_VALUE"""),"University Housing")</f>
        <v>University Housing</v>
      </c>
      <c r="J34" s="107" t="str">
        <f>IFERROR(__xludf.DUMMYFUNCTION("""COMPUTED_VALUE"""),"11:00 AM - 01:00 PM")</f>
        <v>11:00 AM - 01:00 PM</v>
      </c>
      <c r="K34" s="107">
        <f>IFERROR(__xludf.DUMMYFUNCTION("""COMPUTED_VALUE"""),45882.0)</f>
        <v>45882</v>
      </c>
      <c r="L34" s="61" t="str">
        <f>IFERROR(__xludf.DUMMYFUNCTION("""COMPUTED_VALUE"""),"Dardick")</f>
        <v>Dardick</v>
      </c>
      <c r="M34" s="110" t="str">
        <f>IFERROR(__xludf.DUMMYFUNCTION("""COMPUTED_VALUE"""),"4408")</f>
        <v>4408</v>
      </c>
      <c r="N34" s="61"/>
      <c r="O34" s="61"/>
      <c r="P34" s="61"/>
    </row>
    <row r="35">
      <c r="A35" s="102" t="str">
        <f>IFERROR(__xludf.DUMMYFUNCTION("""COMPUTED_VALUE"""),"https://utrucking.myshopify.com/admin/orders?query=15167")</f>
        <v>https://utrucking.myshopify.com/admin/orders?query=15167</v>
      </c>
      <c r="B35" s="65" t="str">
        <f>IFERROR(__xludf.DUMMYFUNCTION("""COMPUTED_VALUE"""),"#15167")</f>
        <v>#15167</v>
      </c>
      <c r="C35" s="65" t="str">
        <f>IFERROR(__xludf.DUMMYFUNCTION("""COMPUTED_VALUE"""),"shahlasi@yahoo.com")</f>
        <v>shahlasi@yahoo.com</v>
      </c>
      <c r="D35" s="65" t="str">
        <f>IFERROR(__xludf.DUMMYFUNCTION("""COMPUTED_VALUE"""),"(781) 742-4837")</f>
        <v>(781) 742-4837</v>
      </c>
      <c r="E35" s="65" t="str">
        <f>IFERROR(__xludf.DUMMYFUNCTION("""COMPUTED_VALUE"""),"Altan Marvi")</f>
        <v>Altan Marvi</v>
      </c>
      <c r="F35" s="65"/>
      <c r="G35" s="65" t="str">
        <f>IFERROR(__xludf.DUMMYFUNCTION("""COMPUTED_VALUE"""),"200 Stoney Lea Rd")</f>
        <v>200 Stoney Lea Rd</v>
      </c>
      <c r="H35" s="65" t="str">
        <f>IFERROR(__xludf.DUMMYFUNCTION("""COMPUTED_VALUE"""),"Nationwide Ship to School")</f>
        <v>Nationwide Ship to School</v>
      </c>
      <c r="I35" s="65" t="str">
        <f>IFERROR(__xludf.DUMMYFUNCTION("""COMPUTED_VALUE"""),"University Housing")</f>
        <v>University Housing</v>
      </c>
      <c r="J35" s="108" t="str">
        <f>IFERROR(__xludf.DUMMYFUNCTION("""COMPUTED_VALUE"""),"10:00 AM - 12:00 PM")</f>
        <v>10:00 AM - 12:00 PM</v>
      </c>
      <c r="K35" s="108">
        <f>IFERROR(__xludf.DUMMYFUNCTION("""COMPUTED_VALUE"""),45883.0)</f>
        <v>45883</v>
      </c>
      <c r="L35" s="65" t="str">
        <f>IFERROR(__xludf.DUMMYFUNCTION("""COMPUTED_VALUE"""),"Park")</f>
        <v>Park</v>
      </c>
      <c r="M35" s="111" t="str">
        <f>IFERROR(__xludf.DUMMYFUNCTION("""COMPUTED_VALUE"""),"440")</f>
        <v>440</v>
      </c>
      <c r="N35" s="65"/>
      <c r="O35" s="65"/>
      <c r="P35" s="65"/>
    </row>
    <row r="36">
      <c r="A36" s="99" t="str">
        <f>IFERROR(__xludf.DUMMYFUNCTION("""COMPUTED_VALUE"""),"https://utrucking.myshopify.com/admin/orders?query=15168")</f>
        <v>https://utrucking.myshopify.com/admin/orders?query=15168</v>
      </c>
      <c r="B36" s="61" t="str">
        <f>IFERROR(__xludf.DUMMYFUNCTION("""COMPUTED_VALUE"""),"#15168")</f>
        <v>#15168</v>
      </c>
      <c r="C36" s="61" t="str">
        <f>IFERROR(__xludf.DUMMYFUNCTION("""COMPUTED_VALUE"""),"lily.comander@gmail.com")</f>
        <v>lily.comander@gmail.com</v>
      </c>
      <c r="D36" s="61" t="str">
        <f>IFERROR(__xludf.DUMMYFUNCTION("""COMPUTED_VALUE"""),"(1617) 454-7962")</f>
        <v>(1617) 454-7962</v>
      </c>
      <c r="E36" s="61" t="str">
        <f>IFERROR(__xludf.DUMMYFUNCTION("""COMPUTED_VALUE"""),"Lily Comander")</f>
        <v>Lily Comander</v>
      </c>
      <c r="F36" s="61"/>
      <c r="G36" s="61" t="str">
        <f>IFERROR(__xludf.DUMMYFUNCTION("""COMPUTED_VALUE"""),"11 Hollywood Dr")</f>
        <v>11 Hollywood Dr</v>
      </c>
      <c r="H36" s="61" t="str">
        <f>IFERROR(__xludf.DUMMYFUNCTION("""COMPUTED_VALUE"""),"Nationwide Ship to School")</f>
        <v>Nationwide Ship to School</v>
      </c>
      <c r="I36" s="61" t="str">
        <f>IFERROR(__xludf.DUMMYFUNCTION("""COMPUTED_VALUE"""),"University Housing")</f>
        <v>University Housing</v>
      </c>
      <c r="J36" s="107" t="str">
        <f>IFERROR(__xludf.DUMMYFUNCTION("""COMPUTED_VALUE"""),"09:00 AM to 11:00 AM")</f>
        <v>09:00 AM to 11:00 AM</v>
      </c>
      <c r="K36" s="107">
        <f>IFERROR(__xludf.DUMMYFUNCTION("""COMPUTED_VALUE"""),45883.0)</f>
        <v>45883</v>
      </c>
      <c r="L36" s="61" t="str">
        <f>IFERROR(__xludf.DUMMYFUNCTION("""COMPUTED_VALUE"""),"Dardick")</f>
        <v>Dardick</v>
      </c>
      <c r="M36" s="110" t="str">
        <f>IFERROR(__xludf.DUMMYFUNCTION("""COMPUTED_VALUE"""),"3305")</f>
        <v>3305</v>
      </c>
      <c r="N36" s="61"/>
      <c r="O36" s="61"/>
      <c r="P36" s="61"/>
    </row>
    <row r="37">
      <c r="A37" s="102" t="str">
        <f>IFERROR(__xludf.DUMMYFUNCTION("""COMPUTED_VALUE"""),"https://utrucking.myshopify.com/admin/orders?query=15169")</f>
        <v>https://utrucking.myshopify.com/admin/orders?query=15169</v>
      </c>
      <c r="B37" s="65" t="str">
        <f>IFERROR(__xludf.DUMMYFUNCTION("""COMPUTED_VALUE"""),"#15169")</f>
        <v>#15169</v>
      </c>
      <c r="C37" s="65" t="str">
        <f>IFERROR(__xludf.DUMMYFUNCTION("""COMPUTED_VALUE"""),"chung.j.d@wustl.edu")</f>
        <v>chung.j.d@wustl.edu</v>
      </c>
      <c r="D37" s="65" t="str">
        <f>IFERROR(__xludf.DUMMYFUNCTION("""COMPUTED_VALUE"""),"(1781) 777-3568")</f>
        <v>(1781) 777-3568</v>
      </c>
      <c r="E37" s="65" t="str">
        <f>IFERROR(__xludf.DUMMYFUNCTION("""COMPUTED_VALUE"""),"Joshua chung")</f>
        <v>Joshua chung</v>
      </c>
      <c r="F37" s="65"/>
      <c r="G37" s="65" t="str">
        <f>IFERROR(__xludf.DUMMYFUNCTION("""COMPUTED_VALUE"""),"10 Burroughs Rd.")</f>
        <v>10 Burroughs Rd.</v>
      </c>
      <c r="H37" s="65" t="str">
        <f>IFERROR(__xludf.DUMMYFUNCTION("""COMPUTED_VALUE"""),"Nationwide Ship to School")</f>
        <v>Nationwide Ship to School</v>
      </c>
      <c r="I37" s="65" t="str">
        <f>IFERROR(__xludf.DUMMYFUNCTION("""COMPUTED_VALUE"""),"University Housing")</f>
        <v>University Housing</v>
      </c>
      <c r="J37" s="108" t="str">
        <f>IFERROR(__xludf.DUMMYFUNCTION("""COMPUTED_VALUE"""),"11:00 AM to 01:00 PM")</f>
        <v>11:00 AM to 01:00 PM</v>
      </c>
      <c r="K37" s="108">
        <f>IFERROR(__xludf.DUMMYFUNCTION("""COMPUTED_VALUE"""),45882.0)</f>
        <v>45882</v>
      </c>
      <c r="L37" s="65" t="str">
        <f>IFERROR(__xludf.DUMMYFUNCTION("""COMPUTED_VALUE"""),"Dardick")</f>
        <v>Dardick</v>
      </c>
      <c r="M37" s="111" t="str">
        <f>IFERROR(__xludf.DUMMYFUNCTION("""COMPUTED_VALUE"""),"3319-b")</f>
        <v>3319-b</v>
      </c>
      <c r="N37" s="65"/>
      <c r="O37" s="65"/>
      <c r="P37" s="65"/>
    </row>
    <row r="38">
      <c r="A38" s="99" t="str">
        <f>IFERROR(__xludf.DUMMYFUNCTION("""COMPUTED_VALUE"""),"https://utrucking.myshopify.com/admin/orders?query=15170")</f>
        <v>https://utrucking.myshopify.com/admin/orders?query=15170</v>
      </c>
      <c r="B38" s="61" t="str">
        <f>IFERROR(__xludf.DUMMYFUNCTION("""COMPUTED_VALUE"""),"#15170")</f>
        <v>#15170</v>
      </c>
      <c r="C38" s="61" t="str">
        <f>IFERROR(__xludf.DUMMYFUNCTION("""COMPUTED_VALUE"""),"awmogul@gmail.com")</f>
        <v>awmogul@gmail.com</v>
      </c>
      <c r="D38" s="61" t="str">
        <f>IFERROR(__xludf.DUMMYFUNCTION("""COMPUTED_VALUE"""),"(415) 794-6556")</f>
        <v>(415) 794-6556</v>
      </c>
      <c r="E38" s="61" t="str">
        <f>IFERROR(__xludf.DUMMYFUNCTION("""COMPUTED_VALUE"""),"Alexis Mogul")</f>
        <v>Alexis Mogul</v>
      </c>
      <c r="F38" s="61"/>
      <c r="G38" s="61" t="str">
        <f>IFERROR(__xludf.DUMMYFUNCTION("""COMPUTED_VALUE"""),"1719 Park Avenue")</f>
        <v>1719 Park Avenue</v>
      </c>
      <c r="H38" s="61" t="str">
        <f>IFERROR(__xludf.DUMMYFUNCTION("""COMPUTED_VALUE"""),"Nationwide Ship to School")</f>
        <v>Nationwide Ship to School</v>
      </c>
      <c r="I38" s="61" t="str">
        <f>IFERROR(__xludf.DUMMYFUNCTION("""COMPUTED_VALUE"""),"University Housing")</f>
        <v>University Housing</v>
      </c>
      <c r="J38" s="107" t="str">
        <f>IFERROR(__xludf.DUMMYFUNCTION("""COMPUTED_VALUE"""),"09:00 AM - 11:00 AM")</f>
        <v>09:00 AM - 11:00 AM</v>
      </c>
      <c r="K38" s="107">
        <f>IFERROR(__xludf.DUMMYFUNCTION("""COMPUTED_VALUE"""),45882.0)</f>
        <v>45882</v>
      </c>
      <c r="L38" s="61" t="str">
        <f>IFERROR(__xludf.DUMMYFUNCTION("""COMPUTED_VALUE"""),"Eliot A")</f>
        <v>Eliot A</v>
      </c>
      <c r="M38" s="110" t="str">
        <f>IFERROR(__xludf.DUMMYFUNCTION("""COMPUTED_VALUE"""),"3072A")</f>
        <v>3072A</v>
      </c>
      <c r="N38" s="61"/>
      <c r="O38" s="61"/>
      <c r="P38" s="61"/>
    </row>
    <row r="39">
      <c r="A39" s="102" t="str">
        <f>IFERROR(__xludf.DUMMYFUNCTION("""COMPUTED_VALUE"""),"https://utrucking.myshopify.com/admin/orders?query=15173")</f>
        <v>https://utrucking.myshopify.com/admin/orders?query=15173</v>
      </c>
      <c r="B39" s="65" t="str">
        <f>IFERROR(__xludf.DUMMYFUNCTION("""COMPUTED_VALUE"""),"#15173")</f>
        <v>#15173</v>
      </c>
      <c r="C39" s="65" t="str">
        <f>IFERROR(__xludf.DUMMYFUNCTION("""COMPUTED_VALUE"""),"auster@wustl.edu")</f>
        <v>auster@wustl.edu</v>
      </c>
      <c r="D39" s="65" t="str">
        <f>IFERROR(__xludf.DUMMYFUNCTION("""COMPUTED_VALUE"""),"(954) 702-9230")</f>
        <v>(954) 702-9230</v>
      </c>
      <c r="E39" s="65" t="str">
        <f>IFERROR(__xludf.DUMMYFUNCTION("""COMPUTED_VALUE"""),"Samuel Auster")</f>
        <v>Samuel Auster</v>
      </c>
      <c r="F39" s="65"/>
      <c r="G39" s="65" t="str">
        <f>IFERROR(__xludf.DUMMYFUNCTION("""COMPUTED_VALUE"""),"6820 Yellowstone Lane")</f>
        <v>6820 Yellowstone Lane</v>
      </c>
      <c r="H39" s="65" t="str">
        <f>IFERROR(__xludf.DUMMYFUNCTION("""COMPUTED_VALUE"""),"Nationwide Ship to School")</f>
        <v>Nationwide Ship to School</v>
      </c>
      <c r="I39" s="65" t="str">
        <f>IFERROR(__xludf.DUMMYFUNCTION("""COMPUTED_VALUE"""),"University Housing")</f>
        <v>University Housing</v>
      </c>
      <c r="J39" s="108" t="str">
        <f>IFERROR(__xludf.DUMMYFUNCTION("""COMPUTED_VALUE"""),"12:00 PM - 02:00 PM")</f>
        <v>12:00 PM - 02:00 PM</v>
      </c>
      <c r="K39" s="108">
        <f>IFERROR(__xludf.DUMMYFUNCTION("""COMPUTED_VALUE"""),45882.0)</f>
        <v>45882</v>
      </c>
      <c r="L39" s="65" t="str">
        <f>IFERROR(__xludf.DUMMYFUNCTION("""COMPUTED_VALUE"""),"DON'T KNOW YET (put 'XXX' for room #)")</f>
        <v>DON'T KNOW YET (put 'XXX' for room #)</v>
      </c>
      <c r="M39" s="111" t="str">
        <f>IFERROR(__xludf.DUMMYFUNCTION("""COMPUTED_VALUE"""),"xxx")</f>
        <v>xxx</v>
      </c>
      <c r="N39" s="65"/>
      <c r="O39" s="65"/>
      <c r="P39" s="65"/>
    </row>
    <row r="40">
      <c r="A40" s="99" t="str">
        <f>IFERROR(__xludf.DUMMYFUNCTION("""COMPUTED_VALUE"""),"https://utrucking.myshopify.com/admin/orders?query=15179")</f>
        <v>https://utrucking.myshopify.com/admin/orders?query=15179</v>
      </c>
      <c r="B40" s="61" t="str">
        <f>IFERROR(__xludf.DUMMYFUNCTION("""COMPUTED_VALUE"""),"#15179")</f>
        <v>#15179</v>
      </c>
      <c r="C40" s="61" t="str">
        <f>IFERROR(__xludf.DUMMYFUNCTION("""COMPUTED_VALUE"""),"dianagaffin@gmail.com")</f>
        <v>dianagaffin@gmail.com</v>
      </c>
      <c r="D40" s="61" t="str">
        <f>IFERROR(__xludf.DUMMYFUNCTION("""COMPUTED_VALUE"""),"(617) 285-5518")</f>
        <v>(617) 285-5518</v>
      </c>
      <c r="E40" s="61" t="str">
        <f>IFERROR(__xludf.DUMMYFUNCTION("""COMPUTED_VALUE"""),"Eli Gaffin")</f>
        <v>Eli Gaffin</v>
      </c>
      <c r="F40" s="61"/>
      <c r="G40" s="61" t="str">
        <f>IFERROR(__xludf.DUMMYFUNCTION("""COMPUTED_VALUE"""),"51 Aldridge Rd")</f>
        <v>51 Aldridge Rd</v>
      </c>
      <c r="H40" s="61" t="str">
        <f>IFERROR(__xludf.DUMMYFUNCTION("""COMPUTED_VALUE"""),"Nationwide Ship to School")</f>
        <v>Nationwide Ship to School</v>
      </c>
      <c r="I40" s="61" t="str">
        <f>IFERROR(__xludf.DUMMYFUNCTION("""COMPUTED_VALUE"""),"University Housing")</f>
        <v>University Housing</v>
      </c>
      <c r="J40" s="107" t="str">
        <f>IFERROR(__xludf.DUMMYFUNCTION("""COMPUTED_VALUE"""),"12:00 PM - 02:00 PM")</f>
        <v>12:00 PM - 02:00 PM</v>
      </c>
      <c r="K40" s="107">
        <f>IFERROR(__xludf.DUMMYFUNCTION("""COMPUTED_VALUE"""),45882.0)</f>
        <v>45882</v>
      </c>
      <c r="L40" s="61" t="str">
        <f>IFERROR(__xludf.DUMMYFUNCTION("""COMPUTED_VALUE"""),"Dardick")</f>
        <v>Dardick</v>
      </c>
      <c r="M40" s="110" t="str">
        <f>IFERROR(__xludf.DUMMYFUNCTION("""COMPUTED_VALUE"""),"1105-b")</f>
        <v>1105-b</v>
      </c>
      <c r="N40" s="61"/>
      <c r="O40" s="61"/>
      <c r="P40" s="61"/>
    </row>
    <row r="41">
      <c r="A41" s="102" t="str">
        <f>IFERROR(__xludf.DUMMYFUNCTION("""COMPUTED_VALUE"""),"https://utrucking.myshopify.com/admin/orders?query=15180")</f>
        <v>https://utrucking.myshopify.com/admin/orders?query=15180</v>
      </c>
      <c r="B41" s="65" t="str">
        <f>IFERROR(__xludf.DUMMYFUNCTION("""COMPUTED_VALUE"""),"#15180")</f>
        <v>#15180</v>
      </c>
      <c r="C41" s="65" t="str">
        <f>IFERROR(__xludf.DUMMYFUNCTION("""COMPUTED_VALUE"""),"j.b.tajkef@wustl.edu")</f>
        <v>j.b.tajkef@wustl.edu</v>
      </c>
      <c r="D41" s="65" t="str">
        <f>IFERROR(__xludf.DUMMYFUNCTION("""COMPUTED_VALUE"""),"(1818) 314-0867")</f>
        <v>(1818) 314-0867</v>
      </c>
      <c r="E41" s="65" t="str">
        <f>IFERROR(__xludf.DUMMYFUNCTION("""COMPUTED_VALUE"""),"Jack Tajkef")</f>
        <v>Jack Tajkef</v>
      </c>
      <c r="F41" s="65"/>
      <c r="G41" s="65" t="str">
        <f>IFERROR(__xludf.DUMMYFUNCTION("""COMPUTED_VALUE"""),"4434 Woodley Ave")</f>
        <v>4434 Woodley Ave</v>
      </c>
      <c r="H41" s="65" t="str">
        <f>IFERROR(__xludf.DUMMYFUNCTION("""COMPUTED_VALUE"""),"Nationwide Ship to School")</f>
        <v>Nationwide Ship to School</v>
      </c>
      <c r="I41" s="65" t="str">
        <f>IFERROR(__xludf.DUMMYFUNCTION("""COMPUTED_VALUE"""),"University Housing")</f>
        <v>University Housing</v>
      </c>
      <c r="J41" s="108" t="str">
        <f>IFERROR(__xludf.DUMMYFUNCTION("""COMPUTED_VALUE"""),"12:00 PM - 02:00 PM")</f>
        <v>12:00 PM - 02:00 PM</v>
      </c>
      <c r="K41" s="108">
        <f>IFERROR(__xludf.DUMMYFUNCTION("""COMPUTED_VALUE"""),45882.0)</f>
        <v>45882</v>
      </c>
      <c r="L41" s="65" t="str">
        <f>IFERROR(__xludf.DUMMYFUNCTION("""COMPUTED_VALUE"""),"Dardick")</f>
        <v>Dardick</v>
      </c>
      <c r="M41" s="111" t="str">
        <f>IFERROR(__xludf.DUMMYFUNCTION("""COMPUTED_VALUE"""),"2222")</f>
        <v>2222</v>
      </c>
      <c r="N41" s="65"/>
      <c r="O41" s="65"/>
      <c r="P41" s="65"/>
    </row>
    <row r="42">
      <c r="A42" s="99" t="str">
        <f>IFERROR(__xludf.DUMMYFUNCTION("""COMPUTED_VALUE"""),"https://utrucking.myshopify.com/admin/orders?query=15183")</f>
        <v>https://utrucking.myshopify.com/admin/orders?query=15183</v>
      </c>
      <c r="B42" s="61" t="str">
        <f>IFERROR(__xludf.DUMMYFUNCTION("""COMPUTED_VALUE"""),"#15183")</f>
        <v>#15183</v>
      </c>
      <c r="C42" s="61" t="str">
        <f>IFERROR(__xludf.DUMMYFUNCTION("""COMPUTED_VALUE"""),"catherinegluckstein@gmail.com")</f>
        <v>catherinegluckstein@gmail.com</v>
      </c>
      <c r="D42" s="61" t="str">
        <f>IFERROR(__xludf.DUMMYFUNCTION("""COMPUTED_VALUE"""),"(206) 335-4627")</f>
        <v>(206) 335-4627</v>
      </c>
      <c r="E42" s="61" t="str">
        <f>IFERROR(__xludf.DUMMYFUNCTION("""COMPUTED_VALUE"""),"Catherine Edwards")</f>
        <v>Catherine Edwards</v>
      </c>
      <c r="F42" s="61"/>
      <c r="G42" s="61" t="str">
        <f>IFERROR(__xludf.DUMMYFUNCTION("""COMPUTED_VALUE"""),"3221 E Morley Way")</f>
        <v>3221 E Morley Way</v>
      </c>
      <c r="H42" s="61" t="str">
        <f>IFERROR(__xludf.DUMMYFUNCTION("""COMPUTED_VALUE"""),"Nationwide Ship to School")</f>
        <v>Nationwide Ship to School</v>
      </c>
      <c r="I42" s="61" t="str">
        <f>IFERROR(__xludf.DUMMYFUNCTION("""COMPUTED_VALUE"""),"University Housing")</f>
        <v>University Housing</v>
      </c>
      <c r="J42" s="107" t="str">
        <f>IFERROR(__xludf.DUMMYFUNCTION("""COMPUTED_VALUE"""),"10:00 AM - 12:00 PM")</f>
        <v>10:00 AM - 12:00 PM</v>
      </c>
      <c r="K42" s="107">
        <f>IFERROR(__xludf.DUMMYFUNCTION("""COMPUTED_VALUE"""),45869.0)</f>
        <v>45869</v>
      </c>
      <c r="L42" s="61" t="str">
        <f>IFERROR(__xludf.DUMMYFUNCTION("""COMPUTED_VALUE"""),"Dauten")</f>
        <v>Dauten</v>
      </c>
      <c r="M42" s="110" t="str">
        <f>IFERROR(__xludf.DUMMYFUNCTION("""COMPUTED_VALUE"""),"234A")</f>
        <v>234A</v>
      </c>
      <c r="N42" s="61"/>
      <c r="O42" s="61"/>
      <c r="P42" s="61"/>
    </row>
    <row r="43">
      <c r="A43" s="102" t="str">
        <f>IFERROR(__xludf.DUMMYFUNCTION("""COMPUTED_VALUE"""),"https://utrucking.myshopify.com/admin/orders?query=15185")</f>
        <v>https://utrucking.myshopify.com/admin/orders?query=15185</v>
      </c>
      <c r="B43" s="65" t="str">
        <f>IFERROR(__xludf.DUMMYFUNCTION("""COMPUTED_VALUE"""),"#15185")</f>
        <v>#15185</v>
      </c>
      <c r="C43" s="65" t="str">
        <f>IFERROR(__xludf.DUMMYFUNCTION("""COMPUTED_VALUE"""),"e.e.may@wustl.edu")</f>
        <v>e.e.may@wustl.edu</v>
      </c>
      <c r="D43" s="65" t="str">
        <f>IFERROR(__xludf.DUMMYFUNCTION("""COMPUTED_VALUE"""),"(602) 690-2075")</f>
        <v>(602) 690-2075</v>
      </c>
      <c r="E43" s="65" t="str">
        <f>IFERROR(__xludf.DUMMYFUNCTION("""COMPUTED_VALUE"""),"Mary May")</f>
        <v>Mary May</v>
      </c>
      <c r="F43" s="65"/>
      <c r="G43" s="65" t="str">
        <f>IFERROR(__xludf.DUMMYFUNCTION("""COMPUTED_VALUE"""),"317 Oak Pointe Lane")</f>
        <v>317 Oak Pointe Lane</v>
      </c>
      <c r="H43" s="65" t="str">
        <f>IFERROR(__xludf.DUMMYFUNCTION("""COMPUTED_VALUE"""),"Nationwide Ship to School")</f>
        <v>Nationwide Ship to School</v>
      </c>
      <c r="I43" s="65" t="str">
        <f>IFERROR(__xludf.DUMMYFUNCTION("""COMPUTED_VALUE"""),"University Housing")</f>
        <v>University Housing</v>
      </c>
      <c r="J43" s="108" t="str">
        <f>IFERROR(__xludf.DUMMYFUNCTION("""COMPUTED_VALUE"""),"09:00 AM - 11:00 AM")</f>
        <v>09:00 AM - 11:00 AM</v>
      </c>
      <c r="K43" s="108">
        <f>IFERROR(__xludf.DUMMYFUNCTION("""COMPUTED_VALUE"""),45882.0)</f>
        <v>45882</v>
      </c>
      <c r="L43" s="65" t="str">
        <f>IFERROR(__xludf.DUMMYFUNCTION("""COMPUTED_VALUE"""),"Koenig")</f>
        <v>Koenig</v>
      </c>
      <c r="M43" s="111" t="str">
        <f>IFERROR(__xludf.DUMMYFUNCTION("""COMPUTED_VALUE"""),"3316")</f>
        <v>3316</v>
      </c>
      <c r="N43" s="65"/>
      <c r="O43" s="65"/>
      <c r="P43" s="65"/>
    </row>
    <row r="44">
      <c r="A44" s="99" t="str">
        <f>IFERROR(__xludf.DUMMYFUNCTION("""COMPUTED_VALUE"""),"https://utrucking.myshopify.com/admin/orders?query=15187")</f>
        <v>https://utrucking.myshopify.com/admin/orders?query=15187</v>
      </c>
      <c r="B44" s="61" t="str">
        <f>IFERROR(__xludf.DUMMYFUNCTION("""COMPUTED_VALUE"""),"#15187")</f>
        <v>#15187</v>
      </c>
      <c r="C44" s="61" t="str">
        <f>IFERROR(__xludf.DUMMYFUNCTION("""COMPUTED_VALUE"""),"CCHAZDAY@GMAIL.COM")</f>
        <v>CCHAZDAY@GMAIL.COM</v>
      </c>
      <c r="D44" s="61" t="str">
        <f>IFERROR(__xludf.DUMMYFUNCTION("""COMPUTED_VALUE"""),"(973) 734-1536")</f>
        <v>(973) 734-1536</v>
      </c>
      <c r="E44" s="61" t="str">
        <f>IFERROR(__xludf.DUMMYFUNCTION("""COMPUTED_VALUE"""),"Cooper Hazday")</f>
        <v>Cooper Hazday</v>
      </c>
      <c r="F44" s="61"/>
      <c r="G44" s="61" t="str">
        <f>IFERROR(__xludf.DUMMYFUNCTION("""COMPUTED_VALUE"""),"932 Pine Tree Lane")</f>
        <v>932 Pine Tree Lane</v>
      </c>
      <c r="H44" s="61" t="str">
        <f>IFERROR(__xludf.DUMMYFUNCTION("""COMPUTED_VALUE"""),"Nationwide Ship to School")</f>
        <v>Nationwide Ship to School</v>
      </c>
      <c r="I44" s="61" t="str">
        <f>IFERROR(__xludf.DUMMYFUNCTION("""COMPUTED_VALUE"""),"University Housing")</f>
        <v>University Housing</v>
      </c>
      <c r="J44" s="107" t="str">
        <f>IFERROR(__xludf.DUMMYFUNCTION("""COMPUTED_VALUE"""),"11:00 AM - 01:00 PM")</f>
        <v>11:00 AM - 01:00 PM</v>
      </c>
      <c r="K44" s="107">
        <f>IFERROR(__xludf.DUMMYFUNCTION("""COMPUTED_VALUE"""),45881.0)</f>
        <v>45881</v>
      </c>
      <c r="L44" s="61" t="str">
        <f>IFERROR(__xludf.DUMMYFUNCTION("""COMPUTED_VALUE"""),"Myers")</f>
        <v>Myers</v>
      </c>
      <c r="M44" s="110" t="str">
        <f>IFERROR(__xludf.DUMMYFUNCTION("""COMPUTED_VALUE"""),"423-A")</f>
        <v>423-A</v>
      </c>
      <c r="N44" s="61"/>
      <c r="O44" s="61"/>
      <c r="P44" s="61"/>
    </row>
    <row r="45">
      <c r="A45" s="102" t="str">
        <f>IFERROR(__xludf.DUMMYFUNCTION("""COMPUTED_VALUE"""),"https://utrucking.myshopify.com/admin/orders?query=15188")</f>
        <v>https://utrucking.myshopify.com/admin/orders?query=15188</v>
      </c>
      <c r="B45" s="65" t="str">
        <f>IFERROR(__xludf.DUMMYFUNCTION("""COMPUTED_VALUE"""),"#15188")</f>
        <v>#15188</v>
      </c>
      <c r="C45" s="65" t="str">
        <f>IFERROR(__xludf.DUMMYFUNCTION("""COMPUTED_VALUE"""),"a.merlain-moffatt@wustl.edu")</f>
        <v>a.merlain-moffatt@wustl.edu</v>
      </c>
      <c r="D45" s="65" t="str">
        <f>IFERROR(__xludf.DUMMYFUNCTION("""COMPUTED_VALUE"""),"(772) 224-9328")</f>
        <v>(772) 224-9328</v>
      </c>
      <c r="E45" s="65" t="str">
        <f>IFERROR(__xludf.DUMMYFUNCTION("""COMPUTED_VALUE"""),"Nethanya Merlain-Moffatt")</f>
        <v>Nethanya Merlain-Moffatt</v>
      </c>
      <c r="F45" s="65"/>
      <c r="G45" s="65" t="str">
        <f>IFERROR(__xludf.DUMMYFUNCTION("""COMPUTED_VALUE"""),"15548 Orchard Drive")</f>
        <v>15548 Orchard Drive</v>
      </c>
      <c r="H45" s="65" t="str">
        <f>IFERROR(__xludf.DUMMYFUNCTION("""COMPUTED_VALUE"""),"Nationwide Ship to School")</f>
        <v>Nationwide Ship to School</v>
      </c>
      <c r="I45" s="65" t="str">
        <f>IFERROR(__xludf.DUMMYFUNCTION("""COMPUTED_VALUE"""),"University Housing")</f>
        <v>University Housing</v>
      </c>
      <c r="J45" s="108" t="str">
        <f>IFERROR(__xludf.DUMMYFUNCTION("""COMPUTED_VALUE"""),"09:00 AM - 11:00 AM")</f>
        <v>09:00 AM - 11:00 AM</v>
      </c>
      <c r="K45" s="108">
        <f>IFERROR(__xludf.DUMMYFUNCTION("""COMPUTED_VALUE"""),45889.0)</f>
        <v>45889</v>
      </c>
      <c r="L45" s="65" t="str">
        <f>IFERROR(__xludf.DUMMYFUNCTION("""COMPUTED_VALUE"""),"Loop Loft 6200")</f>
        <v>Loop Loft 6200</v>
      </c>
      <c r="M45" s="111" t="str">
        <f>IFERROR(__xludf.DUMMYFUNCTION("""COMPUTED_VALUE"""),"214")</f>
        <v>214</v>
      </c>
      <c r="N45" s="65"/>
      <c r="O45" s="65"/>
      <c r="P45" s="65"/>
    </row>
    <row r="46">
      <c r="A46" s="99" t="str">
        <f>IFERROR(__xludf.DUMMYFUNCTION("""COMPUTED_VALUE"""),"https://utrucking.myshopify.com/admin/orders?query=15193")</f>
        <v>https://utrucking.myshopify.com/admin/orders?query=15193</v>
      </c>
      <c r="B46" s="61" t="str">
        <f>IFERROR(__xludf.DUMMYFUNCTION("""COMPUTED_VALUE"""),"#15193")</f>
        <v>#15193</v>
      </c>
      <c r="C46" s="61" t="str">
        <f>IFERROR(__xludf.DUMMYFUNCTION("""COMPUTED_VALUE"""),"b.maryashley@wustl.edu")</f>
        <v>b.maryashley@wustl.edu</v>
      </c>
      <c r="D46" s="61" t="str">
        <f>IFERROR(__xludf.DUMMYFUNCTION("""COMPUTED_VALUE"""),"(512) 565-7558")</f>
        <v>(512) 565-7558</v>
      </c>
      <c r="E46" s="61" t="str">
        <f>IFERROR(__xludf.DUMMYFUNCTION("""COMPUTED_VALUE"""),"Mary Ashley Barredo")</f>
        <v>Mary Ashley Barredo</v>
      </c>
      <c r="F46" s="61"/>
      <c r="G46" s="61" t="str">
        <f>IFERROR(__xludf.DUMMYFUNCTION("""COMPUTED_VALUE"""),"486 Martha Drive")</f>
        <v>486 Martha Drive</v>
      </c>
      <c r="H46" s="61" t="str">
        <f>IFERROR(__xludf.DUMMYFUNCTION("""COMPUTED_VALUE"""),"Nationwide Ship to School")</f>
        <v>Nationwide Ship to School</v>
      </c>
      <c r="I46" s="61" t="str">
        <f>IFERROR(__xludf.DUMMYFUNCTION("""COMPUTED_VALUE"""),"University Housing")</f>
        <v>University Housing</v>
      </c>
      <c r="J46" s="107" t="str">
        <f>IFERROR(__xludf.DUMMYFUNCTION("""COMPUTED_VALUE"""),"09:00 AM - 11:00 AM")</f>
        <v>09:00 AM - 11:00 AM</v>
      </c>
      <c r="K46" s="107">
        <f>IFERROR(__xludf.DUMMYFUNCTION("""COMPUTED_VALUE"""),45882.0)</f>
        <v>45882</v>
      </c>
      <c r="L46" s="61" t="str">
        <f>IFERROR(__xludf.DUMMYFUNCTION("""COMPUTED_VALUE"""),"Umrath")</f>
        <v>Umrath</v>
      </c>
      <c r="M46" s="110" t="str">
        <f>IFERROR(__xludf.DUMMYFUNCTION("""COMPUTED_VALUE"""),"2224")</f>
        <v>2224</v>
      </c>
      <c r="N46" s="61"/>
      <c r="O46" s="61"/>
      <c r="P46" s="61"/>
    </row>
    <row r="47">
      <c r="A47" s="102" t="str">
        <f>IFERROR(__xludf.DUMMYFUNCTION("""COMPUTED_VALUE"""),"https://utrucking.myshopify.com/admin/orders?query=15195")</f>
        <v>https://utrucking.myshopify.com/admin/orders?query=15195</v>
      </c>
      <c r="B47" s="65" t="str">
        <f>IFERROR(__xludf.DUMMYFUNCTION("""COMPUTED_VALUE"""),"#15195")</f>
        <v>#15195</v>
      </c>
      <c r="C47" s="65" t="str">
        <f>IFERROR(__xludf.DUMMYFUNCTION("""COMPUTED_VALUE"""),"25nikhilc@gmail.com")</f>
        <v>25nikhilc@gmail.com</v>
      </c>
      <c r="D47" s="65" t="str">
        <f>IFERROR(__xludf.DUMMYFUNCTION("""COMPUTED_VALUE"""),"(1628) 219-8206")</f>
        <v>(1628) 219-8206</v>
      </c>
      <c r="E47" s="65" t="str">
        <f>IFERROR(__xludf.DUMMYFUNCTION("""COMPUTED_VALUE"""),"Nikhil Chadha")</f>
        <v>Nikhil Chadha</v>
      </c>
      <c r="F47" s="65"/>
      <c r="G47" s="65" t="str">
        <f>IFERROR(__xludf.DUMMYFUNCTION("""COMPUTED_VALUE"""),"19995 Douglass Lane")</f>
        <v>19995 Douglass Lane</v>
      </c>
      <c r="H47" s="65" t="str">
        <f>IFERROR(__xludf.DUMMYFUNCTION("""COMPUTED_VALUE"""),"Nationwide Ship to School")</f>
        <v>Nationwide Ship to School</v>
      </c>
      <c r="I47" s="65" t="str">
        <f>IFERROR(__xludf.DUMMYFUNCTION("""COMPUTED_VALUE"""),"University Housing")</f>
        <v>University Housing</v>
      </c>
      <c r="J47" s="108" t="str">
        <f>IFERROR(__xludf.DUMMYFUNCTION("""COMPUTED_VALUE"""),"11:00 AM - 01:00 PM")</f>
        <v>11:00 AM - 01:00 PM</v>
      </c>
      <c r="K47" s="108">
        <f>IFERROR(__xludf.DUMMYFUNCTION("""COMPUTED_VALUE"""),45883.0)</f>
        <v>45883</v>
      </c>
      <c r="L47" s="65" t="str">
        <f>IFERROR(__xludf.DUMMYFUNCTION("""COMPUTED_VALUE"""),"Eliot A")</f>
        <v>Eliot A</v>
      </c>
      <c r="M47" s="111" t="str">
        <f>IFERROR(__xludf.DUMMYFUNCTION("""COMPUTED_VALUE"""),"3121-a")</f>
        <v>3121-a</v>
      </c>
      <c r="N47" s="65"/>
      <c r="O47" s="65"/>
      <c r="P47" s="65"/>
    </row>
    <row r="48">
      <c r="A48" s="99" t="str">
        <f>IFERROR(__xludf.DUMMYFUNCTION("""COMPUTED_VALUE"""),"https://utrucking.myshopify.com/admin/orders?query=15206")</f>
        <v>https://utrucking.myshopify.com/admin/orders?query=15206</v>
      </c>
      <c r="B48" s="61" t="str">
        <f>IFERROR(__xludf.DUMMYFUNCTION("""COMPUTED_VALUE"""),"#15206")</f>
        <v>#15206</v>
      </c>
      <c r="C48" s="61" t="str">
        <f>IFERROR(__xludf.DUMMYFUNCTION("""COMPUTED_VALUE"""),"rogers.z@wustl.edu")</f>
        <v>rogers.z@wustl.edu</v>
      </c>
      <c r="D48" s="61" t="str">
        <f>IFERROR(__xludf.DUMMYFUNCTION("""COMPUTED_VALUE"""),"(410) 484-1841")</f>
        <v>(410) 484-1841</v>
      </c>
      <c r="E48" s="61" t="str">
        <f>IFERROR(__xludf.DUMMYFUNCTION("""COMPUTED_VALUE"""),"Zachary Rogers")</f>
        <v>Zachary Rogers</v>
      </c>
      <c r="F48" s="61"/>
      <c r="G48" s="61" t="str">
        <f>IFERROR(__xludf.DUMMYFUNCTION("""COMPUTED_VALUE"""),"3524 Barton Oaks Road")</f>
        <v>3524 Barton Oaks Road</v>
      </c>
      <c r="H48" s="61" t="str">
        <f>IFERROR(__xludf.DUMMYFUNCTION("""COMPUTED_VALUE"""),"Nationwide Ship to School")</f>
        <v>Nationwide Ship to School</v>
      </c>
      <c r="I48" s="61" t="str">
        <f>IFERROR(__xludf.DUMMYFUNCTION("""COMPUTED_VALUE"""),"University Housing")</f>
        <v>University Housing</v>
      </c>
      <c r="J48" s="107" t="str">
        <f>IFERROR(__xludf.DUMMYFUNCTION("""COMPUTED_VALUE"""),"12:00 PM - 02:00 PM")</f>
        <v>12:00 PM - 02:00 PM</v>
      </c>
      <c r="K48" s="107">
        <f>IFERROR(__xludf.DUMMYFUNCTION("""COMPUTED_VALUE"""),45882.0)</f>
        <v>45882</v>
      </c>
      <c r="L48" s="61" t="str">
        <f>IFERROR(__xludf.DUMMYFUNCTION("""COMPUTED_VALUE"""),"Lee")</f>
        <v>Lee</v>
      </c>
      <c r="M48" s="110" t="str">
        <f>IFERROR(__xludf.DUMMYFUNCTION("""COMPUTED_VALUE"""),"301 - b")</f>
        <v>301 - b</v>
      </c>
      <c r="N48" s="61"/>
      <c r="O48" s="61"/>
      <c r="P48" s="61"/>
    </row>
    <row r="49">
      <c r="A49" s="102" t="str">
        <f>IFERROR(__xludf.DUMMYFUNCTION("""COMPUTED_VALUE"""),"https://utrucking.myshopify.com/admin/orders?query=15207")</f>
        <v>https://utrucking.myshopify.com/admin/orders?query=15207</v>
      </c>
      <c r="B49" s="65" t="str">
        <f>IFERROR(__xludf.DUMMYFUNCTION("""COMPUTED_VALUE"""),"#15207")</f>
        <v>#15207</v>
      </c>
      <c r="C49" s="65" t="str">
        <f>IFERROR(__xludf.DUMMYFUNCTION("""COMPUTED_VALUE"""),"pmstobaugh@gmail.com")</f>
        <v>pmstobaugh@gmail.com</v>
      </c>
      <c r="D49" s="65" t="str">
        <f>IFERROR(__xludf.DUMMYFUNCTION("""COMPUTED_VALUE"""),"(1812) 449-0494")</f>
        <v>(1812) 449-0494</v>
      </c>
      <c r="E49" s="65" t="str">
        <f>IFERROR(__xludf.DUMMYFUNCTION("""COMPUTED_VALUE"""),"Jenna Stobaugh")</f>
        <v>Jenna Stobaugh</v>
      </c>
      <c r="F49" s="65"/>
      <c r="G49" s="65" t="str">
        <f>IFERROR(__xludf.DUMMYFUNCTION("""COMPUTED_VALUE"""),"4333 Wynbrooke Dr")</f>
        <v>4333 Wynbrooke Dr</v>
      </c>
      <c r="H49" s="65" t="str">
        <f>IFERROR(__xludf.DUMMYFUNCTION("""COMPUTED_VALUE"""),"Nationwide Ship to School")</f>
        <v>Nationwide Ship to School</v>
      </c>
      <c r="I49" s="65"/>
      <c r="J49" s="108" t="str">
        <f>IFERROR(__xludf.DUMMYFUNCTION("""COMPUTED_VALUE"""),"09:00 AM - 11:00 AM")</f>
        <v>09:00 AM - 11:00 AM</v>
      </c>
      <c r="K49" s="108">
        <f>IFERROR(__xludf.DUMMYFUNCTION("""COMPUTED_VALUE"""),45882.0)</f>
        <v>45882</v>
      </c>
      <c r="L49" s="65"/>
      <c r="M49" s="111"/>
      <c r="N49" s="65"/>
      <c r="O49" s="65"/>
      <c r="P49" s="65"/>
    </row>
    <row r="50">
      <c r="A50" s="99" t="str">
        <f>IFERROR(__xludf.DUMMYFUNCTION("""COMPUTED_VALUE"""),"https://utrucking.myshopify.com/admin/orders?query=15214")</f>
        <v>https://utrucking.myshopify.com/admin/orders?query=15214</v>
      </c>
      <c r="B50" s="61" t="str">
        <f>IFERROR(__xludf.DUMMYFUNCTION("""COMPUTED_VALUE"""),"#15214")</f>
        <v>#15214</v>
      </c>
      <c r="C50" s="61" t="str">
        <f>IFERROR(__xludf.DUMMYFUNCTION("""COMPUTED_VALUE"""),"sobaqueen@hotmail.com")</f>
        <v>sobaqueen@hotmail.com</v>
      </c>
      <c r="D50" s="61" t="str">
        <f>IFERROR(__xludf.DUMMYFUNCTION("""COMPUTED_VALUE"""),"(1502) 708-0350")</f>
        <v>(1502) 708-0350</v>
      </c>
      <c r="E50" s="61" t="str">
        <f>IFERROR(__xludf.DUMMYFUNCTION("""COMPUTED_VALUE"""),"Shannon Pankonin")</f>
        <v>Shannon Pankonin</v>
      </c>
      <c r="F50" s="61"/>
      <c r="G50" s="61" t="str">
        <f>IFERROR(__xludf.DUMMYFUNCTION("""COMPUTED_VALUE"""),"6413 Regency Ln")</f>
        <v>6413 Regency Ln</v>
      </c>
      <c r="H50" s="61" t="str">
        <f>IFERROR(__xludf.DUMMYFUNCTION("""COMPUTED_VALUE"""),"Nationwide Ship to School")</f>
        <v>Nationwide Ship to School</v>
      </c>
      <c r="I50" s="61" t="str">
        <f>IFERROR(__xludf.DUMMYFUNCTION("""COMPUTED_VALUE"""),"University Housing")</f>
        <v>University Housing</v>
      </c>
      <c r="J50" s="107" t="str">
        <f>IFERROR(__xludf.DUMMYFUNCTION("""COMPUTED_VALUE"""),"09:00 AM - 11:00 AM")</f>
        <v>09:00 AM - 11:00 AM</v>
      </c>
      <c r="K50" s="107">
        <f>IFERROR(__xludf.DUMMYFUNCTION("""COMPUTED_VALUE"""),45877.0)</f>
        <v>45877</v>
      </c>
      <c r="L50" s="61" t="str">
        <f>IFERROR(__xludf.DUMMYFUNCTION("""COMPUTED_VALUE"""),"Lee")</f>
        <v>Lee</v>
      </c>
      <c r="M50" s="110" t="str">
        <f>IFERROR(__xludf.DUMMYFUNCTION("""COMPUTED_VALUE"""),"116")</f>
        <v>116</v>
      </c>
      <c r="N50" s="61"/>
      <c r="O50" s="61"/>
      <c r="P50" s="61"/>
    </row>
    <row r="51">
      <c r="A51" s="102" t="str">
        <f>IFERROR(__xludf.DUMMYFUNCTION("""COMPUTED_VALUE"""),"https://admin.shopify.com/store/utrucking/orders/5897860251836?link_source=search")</f>
        <v>https://admin.shopify.com/store/utrucking/orders/5897860251836?link_source=search</v>
      </c>
      <c r="B51" s="65" t="str">
        <f>IFERROR(__xludf.DUMMYFUNCTION("""COMPUTED_VALUE"""),"#15220")</f>
        <v>#15220</v>
      </c>
      <c r="C51" s="65" t="str">
        <f>IFERROR(__xludf.DUMMYFUNCTION("""COMPUTED_VALUE"""),"baerwald.d@wustl.edu")</f>
        <v>baerwald.d@wustl.edu</v>
      </c>
      <c r="D51" s="65" t="str">
        <f>IFERROR(__xludf.DUMMYFUNCTION("""COMPUTED_VALUE"""),"206-850-3099")</f>
        <v>206-850-3099</v>
      </c>
      <c r="E51" s="65" t="str">
        <f>IFERROR(__xludf.DUMMYFUNCTION("""COMPUTED_VALUE"""),"Jeannette Baerwald")</f>
        <v>Jeannette Baerwald</v>
      </c>
      <c r="F51" s="65"/>
      <c r="G51" s="65" t="str">
        <f>IFERROR(__xludf.DUMMYFUNCTION("""COMPUTED_VALUE"""),"8928 NE 176th St")</f>
        <v>8928 NE 176th St</v>
      </c>
      <c r="H51" s="65" t="str">
        <f>IFERROR(__xludf.DUMMYFUNCTION("""COMPUTED_VALUE"""),"Nationwide Ship to School")</f>
        <v>Nationwide Ship to School</v>
      </c>
      <c r="I51" s="65" t="str">
        <f>IFERROR(__xludf.DUMMYFUNCTION("""COMPUTED_VALUE"""),"University Housing")</f>
        <v>University Housing</v>
      </c>
      <c r="J51" s="108" t="str">
        <f>IFERROR(__xludf.DUMMYFUNCTION("""COMPUTED_VALUE"""),"09:00 AM - 11:00 AM")</f>
        <v>09:00 AM - 11:00 AM</v>
      </c>
      <c r="K51" s="108">
        <f>IFERROR(__xludf.DUMMYFUNCTION("""COMPUTED_VALUE"""),45877.0)</f>
        <v>45877</v>
      </c>
      <c r="L51" s="65" t="str">
        <f>IFERROR(__xludf.DUMMYFUNCTION("""COMPUTED_VALUE"""),"Park  ")</f>
        <v>Park  </v>
      </c>
      <c r="M51" s="111" t="str">
        <f>IFERROR(__xludf.DUMMYFUNCTION("""COMPUTED_VALUE"""),"140")</f>
        <v>140</v>
      </c>
      <c r="N51" s="65"/>
      <c r="O51" s="65"/>
      <c r="P51" s="65"/>
    </row>
    <row r="52">
      <c r="A52" s="99" t="str">
        <f>IFERROR(__xludf.DUMMYFUNCTION("""COMPUTED_VALUE"""),"https://utrucking.com/admin/orders/5897863135420")</f>
        <v>https://utrucking.com/admin/orders/5897863135420</v>
      </c>
      <c r="B52" s="61" t="str">
        <f>IFERROR(__xludf.DUMMYFUNCTION("""COMPUTED_VALUE"""),"#15221")</f>
        <v>#15221</v>
      </c>
      <c r="C52" s="61" t="str">
        <f>IFERROR(__xludf.DUMMYFUNCTION("""COMPUTED_VALUE"""),"aiaccino29@yahoo.com")</f>
        <v>aiaccino29@yahoo.com</v>
      </c>
      <c r="D52" s="61"/>
      <c r="E52" s="61" t="str">
        <f>IFERROR(__xludf.DUMMYFUNCTION("""COMPUTED_VALUE"""),"Lauren Iaccino")</f>
        <v>Lauren Iaccino</v>
      </c>
      <c r="F52" s="61"/>
      <c r="G52" s="61" t="str">
        <f>IFERROR(__xludf.DUMMYFUNCTION("""COMPUTED_VALUE"""),"6252 Penfield Avenue Woodland Hills United States")</f>
        <v>6252 Penfield Avenue Woodland Hills United States</v>
      </c>
      <c r="H52" s="61" t="str">
        <f>IFERROR(__xludf.DUMMYFUNCTION("""COMPUTED_VALUE"""),"Nationwide Ship to School")</f>
        <v>Nationwide Ship to School</v>
      </c>
      <c r="I52" s="61"/>
      <c r="J52" s="107"/>
      <c r="K52" s="107">
        <f>IFERROR(__xludf.DUMMYFUNCTION("""COMPUTED_VALUE"""),45877.0)</f>
        <v>45877</v>
      </c>
      <c r="L52" s="61" t="str">
        <f>IFERROR(__xludf.DUMMYFUNCTION("""COMPUTED_VALUE"""),"Park  ")</f>
        <v>Park  </v>
      </c>
      <c r="M52" s="110" t="str">
        <f>IFERROR(__xludf.DUMMYFUNCTION("""COMPUTED_VALUE"""),"312-a")</f>
        <v>312-a</v>
      </c>
      <c r="N52" s="61"/>
      <c r="O52" s="61"/>
      <c r="P52" s="61"/>
    </row>
    <row r="53">
      <c r="A53" s="102" t="str">
        <f>IFERROR(__xludf.DUMMYFUNCTION("""COMPUTED_VALUE"""),"https://utrucking.com/admin/orders/5898324410556")</f>
        <v>https://utrucking.com/admin/orders/5898324410556</v>
      </c>
      <c r="B53" s="65" t="str">
        <f>IFERROR(__xludf.DUMMYFUNCTION("""COMPUTED_VALUE"""),"#15226")</f>
        <v>#15226</v>
      </c>
      <c r="C53" s="65" t="str">
        <f>IFERROR(__xludf.DUMMYFUNCTION("""COMPUTED_VALUE"""),"g.r.garcia@wustl.edu")</f>
        <v>g.r.garcia@wustl.edu</v>
      </c>
      <c r="D53" s="65"/>
      <c r="E53" s="65" t="str">
        <f>IFERROR(__xludf.DUMMYFUNCTION("""COMPUTED_VALUE"""),"Gabriella Garcia")</f>
        <v>Gabriella Garcia</v>
      </c>
      <c r="F53" s="65"/>
      <c r="G53" s="65" t="str">
        <f>IFERROR(__xludf.DUMMYFUNCTION("""COMPUTED_VALUE"""),"1426 Canyon Rim Dr NE Albuquerque United States")</f>
        <v>1426 Canyon Rim Dr NE Albuquerque United States</v>
      </c>
      <c r="H53" s="65" t="str">
        <f>IFERROR(__xludf.DUMMYFUNCTION("""COMPUTED_VALUE"""),"Nationwide Ship to School")</f>
        <v>Nationwide Ship to School</v>
      </c>
      <c r="I53" s="65" t="str">
        <f>IFERROR(__xludf.DUMMYFUNCTION("""COMPUTED_VALUE"""),"University Housing")</f>
        <v>University Housing</v>
      </c>
      <c r="J53" s="108" t="str">
        <f>IFERROR(__xludf.DUMMYFUNCTION("""COMPUTED_VALUE"""),"09:00 AM to 11:00 AM  ")</f>
        <v>09:00 AM to 11:00 AM  </v>
      </c>
      <c r="K53" s="108">
        <f>IFERROR(__xludf.DUMMYFUNCTION("""COMPUTED_VALUE"""),45883.0)</f>
        <v>45883</v>
      </c>
      <c r="L53" s="65" t="str">
        <f>IFERROR(__xludf.DUMMYFUNCTION("""COMPUTED_VALUE"""),"Eliot A  ")</f>
        <v>Eliot A  </v>
      </c>
      <c r="M53" s="111" t="str">
        <f>IFERROR(__xludf.DUMMYFUNCTION("""COMPUTED_VALUE"""),"203")</f>
        <v>203</v>
      </c>
      <c r="N53" s="65"/>
      <c r="O53" s="65"/>
      <c r="P53" s="65"/>
    </row>
    <row r="54">
      <c r="A54" s="99" t="str">
        <f>IFERROR(__xludf.DUMMYFUNCTION("""COMPUTED_VALUE"""),"https://utrucking.com/admin/orders/5898432577724")</f>
        <v>https://utrucking.com/admin/orders/5898432577724</v>
      </c>
      <c r="B54" s="61" t="str">
        <f>IFERROR(__xludf.DUMMYFUNCTION("""COMPUTED_VALUE"""),"#15227")</f>
        <v>#15227</v>
      </c>
      <c r="C54" s="61" t="str">
        <f>IFERROR(__xludf.DUMMYFUNCTION("""COMPUTED_VALUE"""),"ecarrott@hotmail.com")</f>
        <v>ecarrott@hotmail.com</v>
      </c>
      <c r="D54" s="61"/>
      <c r="E54" s="61" t="str">
        <f>IFERROR(__xludf.DUMMYFUNCTION("""COMPUTED_VALUE"""),"Elizabeth Minnigh")</f>
        <v>Elizabeth Minnigh</v>
      </c>
      <c r="F54" s="61"/>
      <c r="G54" s="61" t="str">
        <f>IFERROR(__xludf.DUMMYFUNCTION("""COMPUTED_VALUE"""),"3854 N Upland St Arlington United States")</f>
        <v>3854 N Upland St Arlington United States</v>
      </c>
      <c r="H54" s="61" t="str">
        <f>IFERROR(__xludf.DUMMYFUNCTION("""COMPUTED_VALUE"""),"Nationwide Ship to School")</f>
        <v>Nationwide Ship to School</v>
      </c>
      <c r="I54" s="61" t="str">
        <f>IFERROR(__xludf.DUMMYFUNCTION("""COMPUTED_VALUE"""),"University Housing")</f>
        <v>University Housing</v>
      </c>
      <c r="J54" s="107" t="str">
        <f>IFERROR(__xludf.DUMMYFUNCTION("""COMPUTED_VALUE"""),"09:00 AM to 11:00 AM  ")</f>
        <v>09:00 AM to 11:00 AM  </v>
      </c>
      <c r="K54" s="107">
        <f>IFERROR(__xludf.DUMMYFUNCTION("""COMPUTED_VALUE"""),45883.0)</f>
        <v>45883</v>
      </c>
      <c r="L54" s="61" t="str">
        <f>IFERROR(__xludf.DUMMYFUNCTION("""COMPUTED_VALUE"""),"Danforth  ")</f>
        <v>Danforth  </v>
      </c>
      <c r="M54" s="110" t="str">
        <f>IFERROR(__xludf.DUMMYFUNCTION("""COMPUTED_VALUE"""),"4402")</f>
        <v>4402</v>
      </c>
      <c r="N54" s="61"/>
      <c r="O54" s="61"/>
      <c r="P54" s="61"/>
    </row>
    <row r="55">
      <c r="A55" s="102" t="str">
        <f>IFERROR(__xludf.DUMMYFUNCTION("""COMPUTED_VALUE"""),"https://utrucking.com/admin/orders/5898465345724")</f>
        <v>https://utrucking.com/admin/orders/5898465345724</v>
      </c>
      <c r="B55" s="65" t="str">
        <f>IFERROR(__xludf.DUMMYFUNCTION("""COMPUTED_VALUE"""),"#15228")</f>
        <v>#15228</v>
      </c>
      <c r="C55" s="65" t="str">
        <f>IFERROR(__xludf.DUMMYFUNCTION("""COMPUTED_VALUE"""),"cyung@wustl.edu")</f>
        <v>cyung@wustl.edu</v>
      </c>
      <c r="D55" s="65"/>
      <c r="E55" s="65" t="str">
        <f>IFERROR(__xludf.DUMMYFUNCTION("""COMPUTED_VALUE"""),"Casey Yung")</f>
        <v>Casey Yung</v>
      </c>
      <c r="F55" s="65"/>
      <c r="G55" s="65" t="str">
        <f>IFERROR(__xludf.DUMMYFUNCTION("""COMPUTED_VALUE"""),"18 Warford Terrace Orinda United States")</f>
        <v>18 Warford Terrace Orinda United States</v>
      </c>
      <c r="H55" s="65" t="str">
        <f>IFERROR(__xludf.DUMMYFUNCTION("""COMPUTED_VALUE"""),"Nationwide Ship to School")</f>
        <v>Nationwide Ship to School</v>
      </c>
      <c r="I55" s="65" t="str">
        <f>IFERROR(__xludf.DUMMYFUNCTION("""COMPUTED_VALUE"""),"University Housing")</f>
        <v>University Housing</v>
      </c>
      <c r="J55" s="108" t="str">
        <f>IFERROR(__xludf.DUMMYFUNCTION("""COMPUTED_VALUE"""),"09:00 AM to 11:00 AM  ")</f>
        <v>09:00 AM to 11:00 AM  </v>
      </c>
      <c r="K55" s="108">
        <f>IFERROR(__xludf.DUMMYFUNCTION("""COMPUTED_VALUE"""),45883.0)</f>
        <v>45883</v>
      </c>
      <c r="L55" s="65" t="str">
        <f>IFERROR(__xludf.DUMMYFUNCTION("""COMPUTED_VALUE"""),"Park  ")</f>
        <v>Park  </v>
      </c>
      <c r="M55" s="111" t="str">
        <f>IFERROR(__xludf.DUMMYFUNCTION("""COMPUTED_VALUE"""),"441")</f>
        <v>441</v>
      </c>
      <c r="N55" s="65"/>
      <c r="O55" s="65"/>
      <c r="P55" s="65"/>
    </row>
    <row r="56">
      <c r="A56" s="99" t="str">
        <f>IFERROR(__xludf.DUMMYFUNCTION("""COMPUTED_VALUE"""),"https://utrucking.com/admin/orders/5898488905916")</f>
        <v>https://utrucking.com/admin/orders/5898488905916</v>
      </c>
      <c r="B56" s="61" t="str">
        <f>IFERROR(__xludf.DUMMYFUNCTION("""COMPUTED_VALUE"""),"#15229")</f>
        <v>#15229</v>
      </c>
      <c r="C56" s="61" t="str">
        <f>IFERROR(__xludf.DUMMYFUNCTION("""COMPUTED_VALUE"""),"acaitlin@wustl.edu")</f>
        <v>acaitlin@wustl.edu</v>
      </c>
      <c r="D56" s="61"/>
      <c r="E56" s="61" t="str">
        <f>IFERROR(__xludf.DUMMYFUNCTION("""COMPUTED_VALUE"""),"Caitlin Alfaro")</f>
        <v>Caitlin Alfaro</v>
      </c>
      <c r="F56" s="61"/>
      <c r="G56" s="61" t="str">
        <f>IFERROR(__xludf.DUMMYFUNCTION("""COMPUTED_VALUE"""),"28 Black Pine Lane Lumberton United States")</f>
        <v>28 Black Pine Lane Lumberton United States</v>
      </c>
      <c r="H56" s="61" t="str">
        <f>IFERROR(__xludf.DUMMYFUNCTION("""COMPUTED_VALUE"""),"Nationwide Ship to School")</f>
        <v>Nationwide Ship to School</v>
      </c>
      <c r="I56" s="61" t="str">
        <f>IFERROR(__xludf.DUMMYFUNCTION("""COMPUTED_VALUE"""),"University Housing")</f>
        <v>University Housing</v>
      </c>
      <c r="J56" s="107" t="str">
        <f>IFERROR(__xludf.DUMMYFUNCTION("""COMPUTED_VALUE"""),"09:00 AM to 11:00 AM  ")</f>
        <v>09:00 AM to 11:00 AM  </v>
      </c>
      <c r="K56" s="107">
        <f>IFERROR(__xludf.DUMMYFUNCTION("""COMPUTED_VALUE"""),45883.0)</f>
        <v>45883</v>
      </c>
      <c r="L56" s="61" t="str">
        <f>IFERROR(__xludf.DUMMYFUNCTION("""COMPUTED_VALUE"""),"Millbrook Bldg. 2  ")</f>
        <v>Millbrook Bldg. 2  </v>
      </c>
      <c r="M56" s="110" t="str">
        <f>IFERROR(__xludf.DUMMYFUNCTION("""COMPUTED_VALUE"""),"104C-b")</f>
        <v>104C-b</v>
      </c>
      <c r="N56" s="61"/>
      <c r="O56" s="61"/>
      <c r="P56" s="61"/>
    </row>
    <row r="57">
      <c r="A57" s="102" t="str">
        <f>IFERROR(__xludf.DUMMYFUNCTION("""COMPUTED_VALUE"""),"https://utrucking.com/admin/orders/5899279007932")</f>
        <v>https://utrucking.com/admin/orders/5899279007932</v>
      </c>
      <c r="B57" s="65" t="str">
        <f>IFERROR(__xludf.DUMMYFUNCTION("""COMPUTED_VALUE"""),"#15243")</f>
        <v>#15243</v>
      </c>
      <c r="C57" s="65" t="str">
        <f>IFERROR(__xludf.DUMMYFUNCTION("""COMPUTED_VALUE"""),"washko@wustl.edu")</f>
        <v>washko@wustl.edu</v>
      </c>
      <c r="D57" s="65">
        <f>IFERROR(__xludf.DUMMYFUNCTION("""COMPUTED_VALUE"""),8.573600811E9)</f>
        <v>8573600811</v>
      </c>
      <c r="E57" s="65" t="str">
        <f>IFERROR(__xludf.DUMMYFUNCTION("""COMPUTED_VALUE"""),"William  Washko ")</f>
        <v>William  Washko </v>
      </c>
      <c r="F57" s="65"/>
      <c r="G57" s="65"/>
      <c r="H57" s="65" t="str">
        <f>IFERROR(__xludf.DUMMYFUNCTION("""COMPUTED_VALUE"""),"Nationwide Ship to School")</f>
        <v>Nationwide Ship to School</v>
      </c>
      <c r="I57" s="65" t="str">
        <f>IFERROR(__xludf.DUMMYFUNCTION("""COMPUTED_VALUE"""),"University Housing")</f>
        <v>University Housing</v>
      </c>
      <c r="J57" s="108" t="str">
        <f>IFERROR(__xludf.DUMMYFUNCTION("""COMPUTED_VALUE"""),"09:00 AM to 11:00 AM  ")</f>
        <v>09:00 AM to 11:00 AM  </v>
      </c>
      <c r="K57" s="108">
        <f>IFERROR(__xludf.DUMMYFUNCTION("""COMPUTED_VALUE"""),45883.0)</f>
        <v>45883</v>
      </c>
      <c r="L57" s="65" t="str">
        <f>IFERROR(__xludf.DUMMYFUNCTION("""COMPUTED_VALUE"""),"Eliot A  ")</f>
        <v>Eliot A  </v>
      </c>
      <c r="M57" s="111" t="str">
        <f>IFERROR(__xludf.DUMMYFUNCTION("""COMPUTED_VALUE"""),"1084 - a")</f>
        <v>1084 - a</v>
      </c>
      <c r="N57" s="65"/>
      <c r="O57" s="65"/>
      <c r="P57" s="65"/>
    </row>
    <row r="58">
      <c r="A58" s="99" t="str">
        <f>IFERROR(__xludf.DUMMYFUNCTION("""COMPUTED_VALUE"""),"https://utrucking.com/admin/orders/5899539480764")</f>
        <v>https://utrucking.com/admin/orders/5899539480764</v>
      </c>
      <c r="B58" s="61" t="str">
        <f>IFERROR(__xludf.DUMMYFUNCTION("""COMPUTED_VALUE"""),"#15248")</f>
        <v>#15248</v>
      </c>
      <c r="C58" s="61" t="str">
        <f>IFERROR(__xludf.DUMMYFUNCTION("""COMPUTED_VALUE"""),"marci_sherman@hotmail.com")</f>
        <v>marci_sherman@hotmail.com</v>
      </c>
      <c r="D58" s="61" t="str">
        <f>IFERROR(__xludf.DUMMYFUNCTION("""COMPUTED_VALUE""")," ")</f>
        <v> </v>
      </c>
      <c r="E58" s="61" t="str">
        <f>IFERROR(__xludf.DUMMYFUNCTION("""COMPUTED_VALUE"""),"Marci  Rosenblatt ")</f>
        <v>Marci  Rosenblatt </v>
      </c>
      <c r="F58" s="61"/>
      <c r="G58" s="61"/>
      <c r="H58" s="61" t="str">
        <f>IFERROR(__xludf.DUMMYFUNCTION("""COMPUTED_VALUE"""),"Nationwide Ship to School")</f>
        <v>Nationwide Ship to School</v>
      </c>
      <c r="I58" s="61" t="str">
        <f>IFERROR(__xludf.DUMMYFUNCTION("""COMPUTED_VALUE"""),"University Housing")</f>
        <v>University Housing</v>
      </c>
      <c r="J58" s="107" t="str">
        <f>IFERROR(__xludf.DUMMYFUNCTION("""COMPUTED_VALUE"""),"09:00 AM to 11:00 AM  ")</f>
        <v>09:00 AM to 11:00 AM  </v>
      </c>
      <c r="K58" s="107">
        <f>IFERROR(__xludf.DUMMYFUNCTION("""COMPUTED_VALUE"""),45883.0)</f>
        <v>45883</v>
      </c>
      <c r="L58" s="61" t="str">
        <f>IFERROR(__xludf.DUMMYFUNCTION("""COMPUTED_VALUE"""),"Park  ")</f>
        <v>Park  </v>
      </c>
      <c r="M58" s="110" t="str">
        <f>IFERROR(__xludf.DUMMYFUNCTION("""COMPUTED_VALUE"""),"441b")</f>
        <v>441b</v>
      </c>
      <c r="N58" s="61"/>
      <c r="O58" s="61"/>
      <c r="P58" s="61"/>
    </row>
    <row r="59">
      <c r="A59" s="102" t="str">
        <f>IFERROR(__xludf.DUMMYFUNCTION("""COMPUTED_VALUE"""),"https://utrucking.com/admin/orders/5900080283836")</f>
        <v>https://utrucking.com/admin/orders/5900080283836</v>
      </c>
      <c r="B59" s="65" t="str">
        <f>IFERROR(__xludf.DUMMYFUNCTION("""COMPUTED_VALUE"""),"#15255")</f>
        <v>#15255</v>
      </c>
      <c r="C59" s="65" t="str">
        <f>IFERROR(__xludf.DUMMYFUNCTION("""COMPUTED_VALUE"""),"lorieclassner@gmail.com")</f>
        <v>lorieclassner@gmail.com</v>
      </c>
      <c r="D59" s="65">
        <f>IFERROR(__xludf.DUMMYFUNCTION("""COMPUTED_VALUE"""),3.107019782E9)</f>
        <v>3107019782</v>
      </c>
      <c r="E59" s="65" t="str">
        <f>IFERROR(__xludf.DUMMYFUNCTION("""COMPUTED_VALUE"""),"Ethan  Lassner ")</f>
        <v>Ethan  Lassner </v>
      </c>
      <c r="F59" s="65"/>
      <c r="G59" s="65" t="str">
        <f>IFERROR(__xludf.DUMMYFUNCTION("""COMPUTED_VALUE"""),"13548 Valley Vista Boulevard")</f>
        <v>13548 Valley Vista Boulevard</v>
      </c>
      <c r="H59" s="65" t="str">
        <f>IFERROR(__xludf.DUMMYFUNCTION("""COMPUTED_VALUE"""),"Nationwide Ship to School")</f>
        <v>Nationwide Ship to School</v>
      </c>
      <c r="I59" s="65" t="str">
        <f>IFERROR(__xludf.DUMMYFUNCTION("""COMPUTED_VALUE"""),"University Housing")</f>
        <v>University Housing</v>
      </c>
      <c r="J59" s="108" t="str">
        <f>IFERROR(__xludf.DUMMYFUNCTION("""COMPUTED_VALUE"""),"09:00 AM to 11:00 AM  ")</f>
        <v>09:00 AM to 11:00 AM  </v>
      </c>
      <c r="K59" s="108">
        <f>IFERROR(__xludf.DUMMYFUNCTION("""COMPUTED_VALUE"""),45883.0)</f>
        <v>45883</v>
      </c>
      <c r="L59" s="65" t="str">
        <f>IFERROR(__xludf.DUMMYFUNCTION("""COMPUTED_VALUE"""),"Eliot A  ")</f>
        <v>Eliot A  </v>
      </c>
      <c r="M59" s="111" t="str">
        <f>IFERROR(__xludf.DUMMYFUNCTION("""COMPUTED_VALUE"""),"1082-a")</f>
        <v>1082-a</v>
      </c>
      <c r="N59" s="65"/>
      <c r="O59" s="65" t="str">
        <f>IFERROR(__xludf.DUMMYFUNCTION("""COMPUTED_VALUE"""),"13548 Valley Vista Blvd. Sherman Oaks, CA 91423")</f>
        <v>13548 Valley Vista Blvd. Sherman Oaks, CA 91423</v>
      </c>
      <c r="P59" s="65"/>
    </row>
    <row r="60">
      <c r="A60" s="99" t="str">
        <f>IFERROR(__xludf.DUMMYFUNCTION("""COMPUTED_VALUE"""),"https://utrucking.com/admin/orders/5900123701436")</f>
        <v>https://utrucking.com/admin/orders/5900123701436</v>
      </c>
      <c r="B60" s="61" t="str">
        <f>IFERROR(__xludf.DUMMYFUNCTION("""COMPUTED_VALUE"""),"#15259")</f>
        <v>#15259</v>
      </c>
      <c r="C60" s="61" t="str">
        <f>IFERROR(__xludf.DUMMYFUNCTION("""COMPUTED_VALUE"""),"katiemeggers@gmail.com")</f>
        <v>katiemeggers@gmail.com</v>
      </c>
      <c r="D60" s="61">
        <f>IFERROR(__xludf.DUMMYFUNCTION("""COMPUTED_VALUE"""),1.714884899E10)</f>
        <v>17148848990</v>
      </c>
      <c r="E60" s="61" t="str">
        <f>IFERROR(__xludf.DUMMYFUNCTION("""COMPUTED_VALUE"""),"Julie  Meggers ")</f>
        <v>Julie  Meggers </v>
      </c>
      <c r="F60" s="61"/>
      <c r="G60" s="61" t="str">
        <f>IFERROR(__xludf.DUMMYFUNCTION("""COMPUTED_VALUE"""),"1815 Port Ashley Place")</f>
        <v>1815 Port Ashley Place</v>
      </c>
      <c r="H60" s="61" t="str">
        <f>IFERROR(__xludf.DUMMYFUNCTION("""COMPUTED_VALUE"""),"Nationwide Ship to School")</f>
        <v>Nationwide Ship to School</v>
      </c>
      <c r="I60" s="61" t="str">
        <f>IFERROR(__xludf.DUMMYFUNCTION("""COMPUTED_VALUE"""),"University Housing")</f>
        <v>University Housing</v>
      </c>
      <c r="J60" s="107" t="str">
        <f>IFERROR(__xludf.DUMMYFUNCTION("""COMPUTED_VALUE"""),"09:00 AM to 11:00 AM  ")</f>
        <v>09:00 AM to 11:00 AM  </v>
      </c>
      <c r="K60" s="107">
        <f>IFERROR(__xludf.DUMMYFUNCTION("""COMPUTED_VALUE"""),45883.0)</f>
        <v>45883</v>
      </c>
      <c r="L60" s="61" t="str">
        <f>IFERROR(__xludf.DUMMYFUNCTION("""COMPUTED_VALUE"""),"Umrath  ")</f>
        <v>Umrath  </v>
      </c>
      <c r="M60" s="110" t="str">
        <f>IFERROR(__xludf.DUMMYFUNCTION("""COMPUTED_VALUE"""),"L230-a")</f>
        <v>L230-a</v>
      </c>
      <c r="N60" s="61"/>
      <c r="O60" s="61" t="str">
        <f>IFERROR(__xludf.DUMMYFUNCTION("""COMPUTED_VALUE"""),"1815 Port Ashley Place, 92660 Newport Beach, CA")</f>
        <v>1815 Port Ashley Place, 92660 Newport Beach, CA</v>
      </c>
      <c r="P60" s="61"/>
    </row>
    <row r="61">
      <c r="A61" s="102" t="str">
        <f>IFERROR(__xludf.DUMMYFUNCTION("""COMPUTED_VALUE"""),"https://admin.shopify.com/store/utrucking/orders/5900177113276?link_source=search")</f>
        <v>https://admin.shopify.com/store/utrucking/orders/5900177113276?link_source=search</v>
      </c>
      <c r="B61" s="65" t="str">
        <f>IFERROR(__xludf.DUMMYFUNCTION("""COMPUTED_VALUE"""),"#15262")</f>
        <v>#15262</v>
      </c>
      <c r="C61" s="65" t="str">
        <f>IFERROR(__xludf.DUMMYFUNCTION("""COMPUTED_VALUE"""),"ngoldstone130@yahoo.com")</f>
        <v>ngoldstone130@yahoo.com</v>
      </c>
      <c r="D61" s="65" t="str">
        <f>IFERROR(__xludf.DUMMYFUNCTION("""COMPUTED_VALUE"""),"508-314-5411")</f>
        <v>508-314-5411</v>
      </c>
      <c r="E61" s="65" t="str">
        <f>IFERROR(__xludf.DUMMYFUNCTION("""COMPUTED_VALUE"""),"Nancy Goldstone")</f>
        <v>Nancy Goldstone</v>
      </c>
      <c r="F61" s="65"/>
      <c r="G61" s="65" t="str">
        <f>IFERROR(__xludf.DUMMYFUNCTION("""COMPUTED_VALUE"""),"13 Pinewood Drive")</f>
        <v>13 Pinewood Drive</v>
      </c>
      <c r="H61" s="65" t="str">
        <f>IFERROR(__xludf.DUMMYFUNCTION("""COMPUTED_VALUE"""),"Nationwide Ship to School")</f>
        <v>Nationwide Ship to School</v>
      </c>
      <c r="I61" s="65" t="str">
        <f>IFERROR(__xludf.DUMMYFUNCTION("""COMPUTED_VALUE"""),"University Housing")</f>
        <v>University Housing</v>
      </c>
      <c r="J61" s="108"/>
      <c r="K61" s="108">
        <f>IFERROR(__xludf.DUMMYFUNCTION("""COMPUTED_VALUE"""),45882.0)</f>
        <v>45882</v>
      </c>
      <c r="L61" s="65" t="str">
        <f>IFERROR(__xludf.DUMMYFUNCTION("""COMPUTED_VALUE"""),"Lien  ")</f>
        <v>Lien  </v>
      </c>
      <c r="M61" s="111" t="str">
        <f>IFERROR(__xludf.DUMMYFUNCTION("""COMPUTED_VALUE"""),"2224")</f>
        <v>2224</v>
      </c>
      <c r="N61" s="65"/>
      <c r="O61" s="65"/>
      <c r="P61" s="65"/>
    </row>
    <row r="62">
      <c r="A62" s="99" t="str">
        <f>IFERROR(__xludf.DUMMYFUNCTION("""COMPUTED_VALUE"""),"https://utrucking.com/admin/orders/5900252807356")</f>
        <v>https://utrucking.com/admin/orders/5900252807356</v>
      </c>
      <c r="B62" s="61" t="str">
        <f>IFERROR(__xludf.DUMMYFUNCTION("""COMPUTED_VALUE"""),"#15265")</f>
        <v>#15265</v>
      </c>
      <c r="C62" s="61" t="str">
        <f>IFERROR(__xludf.DUMMYFUNCTION("""COMPUTED_VALUE"""),"walkerfamilycinco@yahoo.com")</f>
        <v>walkerfamilycinco@yahoo.com</v>
      </c>
      <c r="D62" s="61">
        <f>IFERROR(__xludf.DUMMYFUNCTION("""COMPUTED_VALUE"""),9.193338112E9)</f>
        <v>9193338112</v>
      </c>
      <c r="E62" s="61" t="str">
        <f>IFERROR(__xludf.DUMMYFUNCTION("""COMPUTED_VALUE"""),"Layla  Walker ")</f>
        <v>Layla  Walker </v>
      </c>
      <c r="F62" s="61"/>
      <c r="G62" s="61" t="str">
        <f>IFERROR(__xludf.DUMMYFUNCTION("""COMPUTED_VALUE"""),"1900 Fieldstone Way")</f>
        <v>1900 Fieldstone Way</v>
      </c>
      <c r="H62" s="61" t="str">
        <f>IFERROR(__xludf.DUMMYFUNCTION("""COMPUTED_VALUE"""),"Nationwide Ship to School")</f>
        <v>Nationwide Ship to School</v>
      </c>
      <c r="I62" s="61" t="str">
        <f>IFERROR(__xludf.DUMMYFUNCTION("""COMPUTED_VALUE"""),"University Housing")</f>
        <v>University Housing</v>
      </c>
      <c r="J62" s="107" t="str">
        <f>IFERROR(__xludf.DUMMYFUNCTION("""COMPUTED_VALUE"""),"09:00 AM to 11:00 AM  ")</f>
        <v>09:00 AM to 11:00 AM  </v>
      </c>
      <c r="K62" s="107">
        <f>IFERROR(__xludf.DUMMYFUNCTION("""COMPUTED_VALUE"""),45883.0)</f>
        <v>45883</v>
      </c>
      <c r="L62" s="61" t="str">
        <f>IFERROR(__xludf.DUMMYFUNCTION("""COMPUTED_VALUE"""),"Park  ")</f>
        <v>Park  </v>
      </c>
      <c r="M62" s="110" t="str">
        <f>IFERROR(__xludf.DUMMYFUNCTION("""COMPUTED_VALUE"""),"491A")</f>
        <v>491A</v>
      </c>
      <c r="N62" s="61"/>
      <c r="O62" s="61" t="str">
        <f>IFERROR(__xludf.DUMMYFUNCTION("""COMPUTED_VALUE"""),"1900 Fieldstone Way, Frederick, MD 21702")</f>
        <v>1900 Fieldstone Way, Frederick, MD 21702</v>
      </c>
      <c r="P62" s="61"/>
    </row>
    <row r="63">
      <c r="A63" s="102" t="str">
        <f>IFERROR(__xludf.DUMMYFUNCTION("""COMPUTED_VALUE"""),"https://utrucking.com/admin/orders/5900610175164")</f>
        <v>https://utrucking.com/admin/orders/5900610175164</v>
      </c>
      <c r="B63" s="65" t="str">
        <f>IFERROR(__xludf.DUMMYFUNCTION("""COMPUTED_VALUE"""),"#15269")</f>
        <v>#15269</v>
      </c>
      <c r="C63" s="65" t="str">
        <f>IFERROR(__xludf.DUMMYFUNCTION("""COMPUTED_VALUE"""),"sophia.hasan@icloud.com")</f>
        <v>sophia.hasan@icloud.com</v>
      </c>
      <c r="D63" s="65">
        <f>IFERROR(__xludf.DUMMYFUNCTION("""COMPUTED_VALUE"""),7.0825057E9)</f>
        <v>7082505700</v>
      </c>
      <c r="E63" s="65" t="str">
        <f>IFERROR(__xludf.DUMMYFUNCTION("""COMPUTED_VALUE"""),"Sophia  Hasan ")</f>
        <v>Sophia  Hasan </v>
      </c>
      <c r="F63" s="65"/>
      <c r="G63" s="65" t="str">
        <f>IFERROR(__xludf.DUMMYFUNCTION("""COMPUTED_VALUE"""),"111 Singletree Road")</f>
        <v>111 Singletree Road</v>
      </c>
      <c r="H63" s="65" t="str">
        <f>IFERROR(__xludf.DUMMYFUNCTION("""COMPUTED_VALUE"""),"Nationwide Ship to School")</f>
        <v>Nationwide Ship to School</v>
      </c>
      <c r="I63" s="65" t="str">
        <f>IFERROR(__xludf.DUMMYFUNCTION("""COMPUTED_VALUE"""),"University Housing")</f>
        <v>University Housing</v>
      </c>
      <c r="J63" s="108" t="str">
        <f>IFERROR(__xludf.DUMMYFUNCTION("""COMPUTED_VALUE"""),"09:00 AM to 11:00 AM  ")</f>
        <v>09:00 AM to 11:00 AM  </v>
      </c>
      <c r="K63" s="108">
        <f>IFERROR(__xludf.DUMMYFUNCTION("""COMPUTED_VALUE"""),45883.0)</f>
        <v>45883</v>
      </c>
      <c r="L63" s="65" t="str">
        <f>IFERROR(__xludf.DUMMYFUNCTION("""COMPUTED_VALUE"""),"Lee  ")</f>
        <v>Lee  </v>
      </c>
      <c r="M63" s="111" t="str">
        <f>IFERROR(__xludf.DUMMYFUNCTION("""COMPUTED_VALUE"""),"309")</f>
        <v>309</v>
      </c>
      <c r="N63" s="65"/>
      <c r="O63" s="65" t="str">
        <f>IFERROR(__xludf.DUMMYFUNCTION("""COMPUTED_VALUE"""),"111 Singletree Road, Orland Park, Illinois, 60467")</f>
        <v>111 Singletree Road, Orland Park, Illinois, 60467</v>
      </c>
      <c r="P63" s="65"/>
    </row>
    <row r="64">
      <c r="A64" s="99" t="str">
        <f>IFERROR(__xludf.DUMMYFUNCTION("""COMPUTED_VALUE"""),"https://utrucking.com/admin/orders/5900679708860")</f>
        <v>https://utrucking.com/admin/orders/5900679708860</v>
      </c>
      <c r="B64" s="61" t="str">
        <f>IFERROR(__xludf.DUMMYFUNCTION("""COMPUTED_VALUE"""),"#15271")</f>
        <v>#15271</v>
      </c>
      <c r="C64" s="61"/>
      <c r="D64" s="61">
        <f>IFERROR(__xludf.DUMMYFUNCTION("""COMPUTED_VALUE"""),1.9179005487E10)</f>
        <v>19179005487</v>
      </c>
      <c r="E64" s="61" t="str">
        <f>IFERROR(__xludf.DUMMYFUNCTION("""COMPUTED_VALUE"""),"Jara  Shapiro ")</f>
        <v>Jara  Shapiro </v>
      </c>
      <c r="F64" s="61"/>
      <c r="G64" s="61" t="str">
        <f>IFERROR(__xludf.DUMMYFUNCTION("""COMPUTED_VALUE"""),"6322 Alcott Road")</f>
        <v>6322 Alcott Road</v>
      </c>
      <c r="H64" s="61" t="str">
        <f>IFERROR(__xludf.DUMMYFUNCTION("""COMPUTED_VALUE"""),"Nationwide Ship to School")</f>
        <v>Nationwide Ship to School</v>
      </c>
      <c r="I64" s="61" t="str">
        <f>IFERROR(__xludf.DUMMYFUNCTION("""COMPUTED_VALUE"""),"Non-University Housing")</f>
        <v>Non-University Housing</v>
      </c>
      <c r="J64" s="107" t="str">
        <f>IFERROR(__xludf.DUMMYFUNCTION("""COMPUTED_VALUE"""),"09:00 AM to 11:00 AM  ")</f>
        <v>09:00 AM to 11:00 AM  </v>
      </c>
      <c r="K64" s="107">
        <f>IFERROR(__xludf.DUMMYFUNCTION("""COMPUTED_VALUE"""),45876.0)</f>
        <v>45876</v>
      </c>
      <c r="L64" s="61"/>
      <c r="M64" s="110"/>
      <c r="N64" s="61" t="str">
        <f>IFERROR(__xludf.DUMMYFUNCTION("""COMPUTED_VALUE"""),"7024 Forsyth Blvd, Apt 1E- Back room")</f>
        <v>7024 Forsyth Blvd, Apt 1E- Back room</v>
      </c>
      <c r="O64" s="61" t="str">
        <f>IFERROR(__xludf.DUMMYFUNCTION("""COMPUTED_VALUE"""),"6322 Alcott Road, Bethesda, MD 20817")</f>
        <v>6322 Alcott Road, Bethesda, MD 20817</v>
      </c>
      <c r="P64" s="61"/>
    </row>
    <row r="65">
      <c r="A65" s="102" t="str">
        <f>IFERROR(__xludf.DUMMYFUNCTION("""COMPUTED_VALUE"""),"https://utrucking.com/admin/orders/5900873597116")</f>
        <v>https://utrucking.com/admin/orders/5900873597116</v>
      </c>
      <c r="B65" s="65" t="str">
        <f>IFERROR(__xludf.DUMMYFUNCTION("""COMPUTED_VALUE"""),"#15279")</f>
        <v>#15279</v>
      </c>
      <c r="C65" s="65"/>
      <c r="D65" s="65">
        <f>IFERROR(__xludf.DUMMYFUNCTION("""COMPUTED_VALUE"""),3.476344188E9)</f>
        <v>3476344188</v>
      </c>
      <c r="E65" s="65" t="str">
        <f>IFERROR(__xludf.DUMMYFUNCTION("""COMPUTED_VALUE"""),"Lindsay Fauntleroy")</f>
        <v>Lindsay Fauntleroy</v>
      </c>
      <c r="F65" s="65"/>
      <c r="G65" s="65" t="str">
        <f>IFERROR(__xludf.DUMMYFUNCTION("""COMPUTED_VALUE"""),"423 River Mews Ln")</f>
        <v>423 River Mews Ln</v>
      </c>
      <c r="H65" s="65" t="str">
        <f>IFERROR(__xludf.DUMMYFUNCTION("""COMPUTED_VALUE"""),"Nationwide Ship to School")</f>
        <v>Nationwide Ship to School</v>
      </c>
      <c r="I65" s="65" t="str">
        <f>IFERROR(__xludf.DUMMYFUNCTION("""COMPUTED_VALUE"""),"﻿﻿ University Housing")</f>
        <v>﻿﻿ University Housing</v>
      </c>
      <c r="J65" s="108" t="str">
        <f>IFERROR(__xludf.DUMMYFUNCTION("""COMPUTED_VALUE"""),"09:00 AM to 11:00 AM  ")</f>
        <v>09:00 AM to 11:00 AM  </v>
      </c>
      <c r="K65" s="108">
        <f>IFERROR(__xludf.DUMMYFUNCTION("""COMPUTED_VALUE"""),45883.0)</f>
        <v>45883</v>
      </c>
      <c r="L65" s="65" t="str">
        <f>IFERROR(__xludf.DUMMYFUNCTION("""COMPUTED_VALUE"""),"Lee  ")</f>
        <v>Lee  </v>
      </c>
      <c r="M65" s="111" t="str">
        <f>IFERROR(__xludf.DUMMYFUNCTION("""COMPUTED_VALUE"""),"306")</f>
        <v>306</v>
      </c>
      <c r="N65" s="65"/>
      <c r="O65" s="65" t="str">
        <f>IFERROR(__xludf.DUMMYFUNCTION("""COMPUTED_VALUE"""),"423 river mews lane
Edgewater, NJ 07020")</f>
        <v>423 river mews lane
Edgewater, NJ 07020</v>
      </c>
      <c r="P65" s="65"/>
    </row>
    <row r="66">
      <c r="A66" s="99" t="str">
        <f>IFERROR(__xludf.DUMMYFUNCTION("""COMPUTED_VALUE"""),"https://utrucking.com/admin/orders/5900932972732")</f>
        <v>https://utrucking.com/admin/orders/5900932972732</v>
      </c>
      <c r="B66" s="61" t="str">
        <f>IFERROR(__xludf.DUMMYFUNCTION("""COMPUTED_VALUE"""),"#15281")</f>
        <v>#15281</v>
      </c>
      <c r="C66" s="61"/>
      <c r="D66" s="61">
        <f>IFERROR(__xludf.DUMMYFUNCTION("""COMPUTED_VALUE"""),7.817086694E9)</f>
        <v>7817086694</v>
      </c>
      <c r="E66" s="61" t="str">
        <f>IFERROR(__xludf.DUMMYFUNCTION("""COMPUTED_VALUE"""),"Abigail Carlo")</f>
        <v>Abigail Carlo</v>
      </c>
      <c r="F66" s="61"/>
      <c r="G66" s="61" t="str">
        <f>IFERROR(__xludf.DUMMYFUNCTION("""COMPUTED_VALUE"""),"27 Salisbury Drive")</f>
        <v>27 Salisbury Drive</v>
      </c>
      <c r="H66" s="61" t="str">
        <f>IFERROR(__xludf.DUMMYFUNCTION("""COMPUTED_VALUE"""),"Nationwide Ship to School")</f>
        <v>Nationwide Ship to School</v>
      </c>
      <c r="I66" s="61" t="str">
        <f>IFERROR(__xludf.DUMMYFUNCTION("""COMPUTED_VALUE"""),"﻿﻿ University Housing")</f>
        <v>﻿﻿ University Housing</v>
      </c>
      <c r="J66" s="107" t="str">
        <f>IFERROR(__xludf.DUMMYFUNCTION("""COMPUTED_VALUE"""),"09:00 AM to 11:00 AM  ")</f>
        <v>09:00 AM to 11:00 AM  </v>
      </c>
      <c r="K66" s="107">
        <f>IFERROR(__xludf.DUMMYFUNCTION("""COMPUTED_VALUE"""),45883.0)</f>
        <v>45883</v>
      </c>
      <c r="L66" s="61" t="str">
        <f>IFERROR(__xludf.DUMMYFUNCTION("""COMPUTED_VALUE"""),"Hurd  ")</f>
        <v>Hurd  </v>
      </c>
      <c r="M66" s="110" t="str">
        <f>IFERROR(__xludf.DUMMYFUNCTION("""COMPUTED_VALUE"""),"424B")</f>
        <v>424B</v>
      </c>
      <c r="N66" s="61"/>
      <c r="O66" s="61" t="str">
        <f>IFERROR(__xludf.DUMMYFUNCTION("""COMPUTED_VALUE"""),"Abigail Carlo, 27 Salisbury Drive, Westwood, MA 02090")</f>
        <v>Abigail Carlo, 27 Salisbury Drive, Westwood, MA 02090</v>
      </c>
      <c r="P66" s="61"/>
    </row>
    <row r="67">
      <c r="A67" s="102" t="str">
        <f>IFERROR(__xludf.DUMMYFUNCTION("""COMPUTED_VALUE"""),"https://utrucking.com/admin/orders/5902266269884")</f>
        <v>https://utrucking.com/admin/orders/5902266269884</v>
      </c>
      <c r="B67" s="65" t="str">
        <f>IFERROR(__xludf.DUMMYFUNCTION("""COMPUTED_VALUE"""),"#15299")</f>
        <v>#15299</v>
      </c>
      <c r="C67" s="65"/>
      <c r="D67" s="65">
        <f>IFERROR(__xludf.DUMMYFUNCTION("""COMPUTED_VALUE"""),1.6787360144E10)</f>
        <v>16787360144</v>
      </c>
      <c r="E67" s="65" t="str">
        <f>IFERROR(__xludf.DUMMYFUNCTION("""COMPUTED_VALUE"""),"Michael Menis")</f>
        <v>Michael Menis</v>
      </c>
      <c r="F67" s="65"/>
      <c r="G67" s="65"/>
      <c r="H67" s="65" t="str">
        <f>IFERROR(__xludf.DUMMYFUNCTION("""COMPUTED_VALUE"""),"Nationwide Ship to School")</f>
        <v>Nationwide Ship to School</v>
      </c>
      <c r="I67" s="65" t="str">
        <f>IFERROR(__xludf.DUMMYFUNCTION("""COMPUTED_VALUE"""),"University Housing")</f>
        <v>University Housing</v>
      </c>
      <c r="J67" s="108" t="str">
        <f>IFERROR(__xludf.DUMMYFUNCTION("""COMPUTED_VALUE"""),"11:00 AM to 01:00 PM  ")</f>
        <v>11:00 AM to 01:00 PM  </v>
      </c>
      <c r="K67" s="108">
        <f>IFERROR(__xludf.DUMMYFUNCTION("""COMPUTED_VALUE"""),45883.0)</f>
        <v>45883</v>
      </c>
      <c r="L67" s="65" t="str">
        <f>IFERROR(__xludf.DUMMYFUNCTION("""COMPUTED_VALUE"""),"Dardick  ")</f>
        <v>Dardick  </v>
      </c>
      <c r="M67" s="111" t="str">
        <f>IFERROR(__xludf.DUMMYFUNCTION("""COMPUTED_VALUE"""),"2204")</f>
        <v>2204</v>
      </c>
      <c r="N67" s="65"/>
      <c r="O67" s="65" t="str">
        <f>IFERROR(__xludf.DUMMYFUNCTION("""COMPUTED_VALUE"""),"5267 Lakesprings Dr
Dunwoody GA, 30338")</f>
        <v>5267 Lakesprings Dr
Dunwoody GA, 30338</v>
      </c>
      <c r="P67" s="65"/>
    </row>
    <row r="68">
      <c r="A68" s="99" t="str">
        <f>IFERROR(__xludf.DUMMYFUNCTION("""COMPUTED_VALUE"""),"https://utrucking.com/admin/orders/5902403600572")</f>
        <v>https://utrucking.com/admin/orders/5902403600572</v>
      </c>
      <c r="B68" s="61" t="str">
        <f>IFERROR(__xludf.DUMMYFUNCTION("""COMPUTED_VALUE"""),"#15302")</f>
        <v>#15302</v>
      </c>
      <c r="C68" s="61" t="str">
        <f>IFERROR(__xludf.DUMMYFUNCTION("""COMPUTED_VALUE"""),"jenrussellpdx@gmail.com")</f>
        <v>jenrussellpdx@gmail.com</v>
      </c>
      <c r="D68" s="61">
        <f>IFERROR(__xludf.DUMMYFUNCTION("""COMPUTED_VALUE"""),1.5033604485E10)</f>
        <v>15033604485</v>
      </c>
      <c r="E68" s="61" t="str">
        <f>IFERROR(__xludf.DUMMYFUNCTION("""COMPUTED_VALUE"""),"Jen Russell")</f>
        <v>Jen Russell</v>
      </c>
      <c r="F68" s="61"/>
      <c r="G68" s="61" t="str">
        <f>IFERROR(__xludf.DUMMYFUNCTION("""COMPUTED_VALUE"""),"4239 NW Twilight Terrace")</f>
        <v>4239 NW Twilight Terrace</v>
      </c>
      <c r="H68" s="61" t="str">
        <f>IFERROR(__xludf.DUMMYFUNCTION("""COMPUTED_VALUE"""),"Nationwide Ship to School")</f>
        <v>Nationwide Ship to School</v>
      </c>
      <c r="I68" s="61" t="str">
        <f>IFERROR(__xludf.DUMMYFUNCTION("""COMPUTED_VALUE"""),"University Housing")</f>
        <v>University Housing</v>
      </c>
      <c r="J68" s="107" t="str">
        <f>IFERROR(__xludf.DUMMYFUNCTION("""COMPUTED_VALUE"""),"09:00 AM to 11:00 AM  ")</f>
        <v>09:00 AM to 11:00 AM  </v>
      </c>
      <c r="K68" s="107">
        <f>IFERROR(__xludf.DUMMYFUNCTION("""COMPUTED_VALUE"""),45883.0)</f>
        <v>45883</v>
      </c>
      <c r="L68" s="61" t="str">
        <f>IFERROR(__xludf.DUMMYFUNCTION("""COMPUTED_VALUE"""),"DON'T KNOW YET (put 'XXX' for room #)")</f>
        <v>DON'T KNOW YET (put 'XXX' for room #)</v>
      </c>
      <c r="M68" s="110" t="str">
        <f>IFERROR(__xludf.DUMMYFUNCTION("""COMPUTED_VALUE"""),"xxx")</f>
        <v>xxx</v>
      </c>
      <c r="N68" s="61"/>
      <c r="O68" s="61" t="str">
        <f>IFERROR(__xludf.DUMMYFUNCTION("""COMPUTED_VALUE"""),"4239 NW Twilight Terrace 
Portland OR 97229")</f>
        <v>4239 NW Twilight Terrace 
Portland OR 97229</v>
      </c>
      <c r="P68" s="61"/>
    </row>
    <row r="69">
      <c r="A69" s="102" t="str">
        <f>IFERROR(__xludf.DUMMYFUNCTION("""COMPUTED_VALUE"""),"https://utrucking.com/admin/orders/5902522712252")</f>
        <v>https://utrucking.com/admin/orders/5902522712252</v>
      </c>
      <c r="B69" s="65" t="str">
        <f>IFERROR(__xludf.DUMMYFUNCTION("""COMPUTED_VALUE"""),"#15304")</f>
        <v>#15304</v>
      </c>
      <c r="C69" s="65" t="str">
        <f>IFERROR(__xludf.DUMMYFUNCTION("""COMPUTED_VALUE"""),"brigidomatt@gmail.com")</f>
        <v>brigidomatt@gmail.com</v>
      </c>
      <c r="D69" s="65">
        <f>IFERROR(__xludf.DUMMYFUNCTION("""COMPUTED_VALUE"""),4.087698958E9)</f>
        <v>4087698958</v>
      </c>
      <c r="E69" s="65" t="str">
        <f>IFERROR(__xludf.DUMMYFUNCTION("""COMPUTED_VALUE"""),"Matthew Brigido")</f>
        <v>Matthew Brigido</v>
      </c>
      <c r="F69" s="65"/>
      <c r="G69" s="65" t="str">
        <f>IFERROR(__xludf.DUMMYFUNCTION("""COMPUTED_VALUE"""),"1059 Reed Avenue")</f>
        <v>1059 Reed Avenue</v>
      </c>
      <c r="H69" s="65" t="str">
        <f>IFERROR(__xludf.DUMMYFUNCTION("""COMPUTED_VALUE"""),"Nationwide Ship to School")</f>
        <v>Nationwide Ship to School</v>
      </c>
      <c r="I69" s="65" t="str">
        <f>IFERROR(__xludf.DUMMYFUNCTION("""COMPUTED_VALUE"""),"University Housing")</f>
        <v>University Housing</v>
      </c>
      <c r="J69" s="108" t="str">
        <f>IFERROR(__xludf.DUMMYFUNCTION("""COMPUTED_VALUE"""),"09:00 AM to 11:00 AM  ")</f>
        <v>09:00 AM to 11:00 AM  </v>
      </c>
      <c r="K69" s="108">
        <f>IFERROR(__xludf.DUMMYFUNCTION("""COMPUTED_VALUE"""),45883.0)</f>
        <v>45883</v>
      </c>
      <c r="L69" s="65" t="str">
        <f>IFERROR(__xludf.DUMMYFUNCTION("""COMPUTED_VALUE"""),"Loop Loft 6263  ")</f>
        <v>Loop Loft 6263  </v>
      </c>
      <c r="M69" s="111" t="str">
        <f>IFERROR(__xludf.DUMMYFUNCTION("""COMPUTED_VALUE"""),"306C ")</f>
        <v>306C </v>
      </c>
      <c r="N69" s="65"/>
      <c r="O69" s="65" t="str">
        <f>IFERROR(__xludf.DUMMYFUNCTION("""COMPUTED_VALUE"""),"1059 Reed Ave. Apt. 18, Sunnyvale, CA, 94086")</f>
        <v>1059 Reed Ave. Apt. 18, Sunnyvale, CA, 94086</v>
      </c>
      <c r="P69" s="65"/>
    </row>
    <row r="70">
      <c r="A70" s="99" t="str">
        <f>IFERROR(__xludf.DUMMYFUNCTION("""COMPUTED_VALUE"""),"https://utrucking.com/admin/orders/5902760837308")</f>
        <v>https://utrucking.com/admin/orders/5902760837308</v>
      </c>
      <c r="B70" s="61" t="str">
        <f>IFERROR(__xludf.DUMMYFUNCTION("""COMPUTED_VALUE"""),"#15310")</f>
        <v>#15310</v>
      </c>
      <c r="C70" s="61" t="str">
        <f>IFERROR(__xludf.DUMMYFUNCTION("""COMPUTED_VALUE"""),"savannahmck06@gmail.com")</f>
        <v>savannahmck06@gmail.com</v>
      </c>
      <c r="D70" s="61">
        <f>IFERROR(__xludf.DUMMYFUNCTION("""COMPUTED_VALUE"""),1.7013502434E10)</f>
        <v>17013502434</v>
      </c>
      <c r="E70" s="61" t="str">
        <f>IFERROR(__xludf.DUMMYFUNCTION("""COMPUTED_VALUE"""),"savannah mckay")</f>
        <v>savannah mckay</v>
      </c>
      <c r="F70" s="61"/>
      <c r="G70" s="61"/>
      <c r="H70" s="61" t="str">
        <f>IFERROR(__xludf.DUMMYFUNCTION("""COMPUTED_VALUE"""),"Nationwide Ship to School")</f>
        <v>Nationwide Ship to School</v>
      </c>
      <c r="I70" s="61" t="str">
        <f>IFERROR(__xludf.DUMMYFUNCTION("""COMPUTED_VALUE"""),"University Housing")</f>
        <v>University Housing</v>
      </c>
      <c r="J70" s="107" t="str">
        <f>IFERROR(__xludf.DUMMYFUNCTION("""COMPUTED_VALUE"""),"09:00 AM to 11:00 AM  ")</f>
        <v>09:00 AM to 11:00 AM  </v>
      </c>
      <c r="K70" s="107">
        <f>IFERROR(__xludf.DUMMYFUNCTION("""COMPUTED_VALUE"""),45883.0)</f>
        <v>45883</v>
      </c>
      <c r="L70" s="61" t="str">
        <f>IFERROR(__xludf.DUMMYFUNCTION("""COMPUTED_VALUE"""),"Umrath  ")</f>
        <v>Umrath  </v>
      </c>
      <c r="M70" s="110" t="str">
        <f>IFERROR(__xludf.DUMMYFUNCTION("""COMPUTED_VALUE"""),"1238a")</f>
        <v>1238a</v>
      </c>
      <c r="N70" s="61"/>
      <c r="O70" s="61" t="str">
        <f>IFERROR(__xludf.DUMMYFUNCTION("""COMPUTED_VALUE"""),"407 Walford Avenue
Devils Lake ND 58301")</f>
        <v>407 Walford Avenue
Devils Lake ND 58301</v>
      </c>
      <c r="P70" s="61"/>
    </row>
    <row r="71">
      <c r="A71" s="102" t="str">
        <f>IFERROR(__xludf.DUMMYFUNCTION("""COMPUTED_VALUE"""),"https://utrucking.com/admin/orders/5902876213436")</f>
        <v>https://utrucking.com/admin/orders/5902876213436</v>
      </c>
      <c r="B71" s="65" t="str">
        <f>IFERROR(__xludf.DUMMYFUNCTION("""COMPUTED_VALUE"""),"#15312")</f>
        <v>#15312</v>
      </c>
      <c r="C71" s="65" t="str">
        <f>IFERROR(__xludf.DUMMYFUNCTION("""COMPUTED_VALUE"""),"ricardo_balazs@hotmail.com")</f>
        <v>ricardo_balazs@hotmail.com</v>
      </c>
      <c r="D71" s="65">
        <f>IFERROR(__xludf.DUMMYFUNCTION("""COMPUTED_VALUE"""),4.155399004E9)</f>
        <v>4155399004</v>
      </c>
      <c r="E71" s="65" t="str">
        <f>IFERROR(__xludf.DUMMYFUNCTION("""COMPUTED_VALUE"""),"Zak Balazs")</f>
        <v>Zak Balazs</v>
      </c>
      <c r="F71" s="65"/>
      <c r="G71" s="65"/>
      <c r="H71" s="65" t="str">
        <f>IFERROR(__xludf.DUMMYFUNCTION("""COMPUTED_VALUE"""),"Nationwide Ship to School")</f>
        <v>Nationwide Ship to School</v>
      </c>
      <c r="I71" s="65" t="str">
        <f>IFERROR(__xludf.DUMMYFUNCTION("""COMPUTED_VALUE"""),"University Housing")</f>
        <v>University Housing</v>
      </c>
      <c r="J71" s="108" t="str">
        <f>IFERROR(__xludf.DUMMYFUNCTION("""COMPUTED_VALUE"""),"09:00 AM to 11:00 AM  ")</f>
        <v>09:00 AM to 11:00 AM  </v>
      </c>
      <c r="K71" s="108">
        <f>IFERROR(__xludf.DUMMYFUNCTION("""COMPUTED_VALUE"""),45883.0)</f>
        <v>45883</v>
      </c>
      <c r="L71" s="65" t="str">
        <f>IFERROR(__xludf.DUMMYFUNCTION("""COMPUTED_VALUE"""),"Danforth  ")</f>
        <v>Danforth  </v>
      </c>
      <c r="M71" s="111" t="str">
        <f>IFERROR(__xludf.DUMMYFUNCTION("""COMPUTED_VALUE"""),"3304-A")</f>
        <v>3304-A</v>
      </c>
      <c r="N71" s="65"/>
      <c r="O71" s="65" t="str">
        <f>IFERROR(__xludf.DUMMYFUNCTION("""COMPUTED_VALUE"""),"4660 19th Street
San Francisco, CA 94114")</f>
        <v>4660 19th Street
San Francisco, CA 94114</v>
      </c>
      <c r="P71" s="65"/>
    </row>
    <row r="72">
      <c r="A72" s="99" t="str">
        <f>IFERROR(__xludf.DUMMYFUNCTION("""COMPUTED_VALUE"""),"https://utrucking.com/admin/orders/5903142879420")</f>
        <v>https://utrucking.com/admin/orders/5903142879420</v>
      </c>
      <c r="B72" s="61" t="str">
        <f>IFERROR(__xludf.DUMMYFUNCTION("""COMPUTED_VALUE"""),"#15313")</f>
        <v>#15313</v>
      </c>
      <c r="C72" s="61" t="str">
        <f>IFERROR(__xludf.DUMMYFUNCTION("""COMPUTED_VALUE"""),"a.gittleman@icloud.com")</f>
        <v>a.gittleman@icloud.com</v>
      </c>
      <c r="D72" s="61">
        <f>IFERROR(__xludf.DUMMYFUNCTION("""COMPUTED_VALUE"""),2.15435203E9)</f>
        <v>2154352030</v>
      </c>
      <c r="E72" s="61" t="str">
        <f>IFERROR(__xludf.DUMMYFUNCTION("""COMPUTED_VALUE"""),"Reese Gittleman")</f>
        <v>Reese Gittleman</v>
      </c>
      <c r="F72" s="61"/>
      <c r="G72" s="61"/>
      <c r="H72" s="61" t="str">
        <f>IFERROR(__xludf.DUMMYFUNCTION("""COMPUTED_VALUE"""),"Nationwide Ship to School")</f>
        <v>Nationwide Ship to School</v>
      </c>
      <c r="I72" s="61" t="str">
        <f>IFERROR(__xludf.DUMMYFUNCTION("""COMPUTED_VALUE"""),"University Housing")</f>
        <v>University Housing</v>
      </c>
      <c r="J72" s="107" t="str">
        <f>IFERROR(__xludf.DUMMYFUNCTION("""COMPUTED_VALUE"""),"09:00 AM to 11:00 AM  ")</f>
        <v>09:00 AM to 11:00 AM  </v>
      </c>
      <c r="K72" s="107">
        <f>IFERROR(__xludf.DUMMYFUNCTION("""COMPUTED_VALUE"""),45883.0)</f>
        <v>45883</v>
      </c>
      <c r="L72" s="61" t="str">
        <f>IFERROR(__xludf.DUMMYFUNCTION("""COMPUTED_VALUE"""),"Hitzeman  ")</f>
        <v>Hitzeman  </v>
      </c>
      <c r="M72" s="110" t="str">
        <f>IFERROR(__xludf.DUMMYFUNCTION("""COMPUTED_VALUE"""),"112-b")</f>
        <v>112-b</v>
      </c>
      <c r="N72" s="61"/>
      <c r="O72" s="61" t="str">
        <f>IFERROR(__xludf.DUMMYFUNCTION("""COMPUTED_VALUE"""),"682 Cherrydale Drive, Lafayette Hill, PA 19444")</f>
        <v>682 Cherrydale Drive, Lafayette Hill, PA 19444</v>
      </c>
      <c r="P72" s="61"/>
    </row>
    <row r="73">
      <c r="A73" s="102" t="str">
        <f>IFERROR(__xludf.DUMMYFUNCTION("""COMPUTED_VALUE"""),"https://utrucking.com/admin/orders/5903311896764")</f>
        <v>https://utrucking.com/admin/orders/5903311896764</v>
      </c>
      <c r="B73" s="65" t="str">
        <f>IFERROR(__xludf.DUMMYFUNCTION("""COMPUTED_VALUE"""),"#15315")</f>
        <v>#15315</v>
      </c>
      <c r="C73" s="65" t="str">
        <f>IFERROR(__xludf.DUMMYFUNCTION("""COMPUTED_VALUE"""),"shan.knisely@gmail.com")</f>
        <v>shan.knisely@gmail.com</v>
      </c>
      <c r="D73" s="65">
        <f>IFERROR(__xludf.DUMMYFUNCTION("""COMPUTED_VALUE"""),1.5126995645E10)</f>
        <v>15126995645</v>
      </c>
      <c r="E73" s="65" t="str">
        <f>IFERROR(__xludf.DUMMYFUNCTION("""COMPUTED_VALUE"""),"Ashton Knisely")</f>
        <v>Ashton Knisely</v>
      </c>
      <c r="F73" s="65"/>
      <c r="G73" s="65"/>
      <c r="H73" s="65" t="str">
        <f>IFERROR(__xludf.DUMMYFUNCTION("""COMPUTED_VALUE"""),"Nationwide Ship to School")</f>
        <v>Nationwide Ship to School</v>
      </c>
      <c r="I73" s="65" t="str">
        <f>IFERROR(__xludf.DUMMYFUNCTION("""COMPUTED_VALUE"""),"University Housing")</f>
        <v>University Housing</v>
      </c>
      <c r="J73" s="108" t="str">
        <f>IFERROR(__xludf.DUMMYFUNCTION("""COMPUTED_VALUE"""),"09:00 AM to 11:00 AM  ")</f>
        <v>09:00 AM to 11:00 AM  </v>
      </c>
      <c r="K73" s="108">
        <f>IFERROR(__xludf.DUMMYFUNCTION("""COMPUTED_VALUE"""),45883.0)</f>
        <v>45883</v>
      </c>
      <c r="L73" s="65" t="str">
        <f>IFERROR(__xludf.DUMMYFUNCTION("""COMPUTED_VALUE"""),"Rutledge  ")</f>
        <v>Rutledge  </v>
      </c>
      <c r="M73" s="111" t="str">
        <f>IFERROR(__xludf.DUMMYFUNCTION("""COMPUTED_VALUE"""),"314 -B")</f>
        <v>314 -B</v>
      </c>
      <c r="N73" s="65"/>
      <c r="O73" s="65" t="str">
        <f>IFERROR(__xludf.DUMMYFUNCTION("""COMPUTED_VALUE"""),"7801 Heathercrest Circle
Austin, Tx. 78731")</f>
        <v>7801 Heathercrest Circle
Austin, Tx. 78731</v>
      </c>
      <c r="P73" s="65"/>
    </row>
    <row r="74">
      <c r="A74" s="99" t="str">
        <f>IFERROR(__xludf.DUMMYFUNCTION("""COMPUTED_VALUE"""),"https://utrucking.com/admin/orders/5903455486140")</f>
        <v>https://utrucking.com/admin/orders/5903455486140</v>
      </c>
      <c r="B74" s="61" t="str">
        <f>IFERROR(__xludf.DUMMYFUNCTION("""COMPUTED_VALUE"""),"#15316")</f>
        <v>#15316</v>
      </c>
      <c r="C74" s="61" t="str">
        <f>IFERROR(__xludf.DUMMYFUNCTION("""COMPUTED_VALUE"""),"Jksand2025@gmail.com")</f>
        <v>Jksand2025@gmail.com</v>
      </c>
      <c r="D74" s="61">
        <f>IFERROR(__xludf.DUMMYFUNCTION("""COMPUTED_VALUE"""),9.192687045E9)</f>
        <v>9192687045</v>
      </c>
      <c r="E74" s="61" t="str">
        <f>IFERROR(__xludf.DUMMYFUNCTION("""COMPUTED_VALUE"""),"Jaden Sanders")</f>
        <v>Jaden Sanders</v>
      </c>
      <c r="F74" s="61"/>
      <c r="G74" s="61"/>
      <c r="H74" s="61" t="str">
        <f>IFERROR(__xludf.DUMMYFUNCTION("""COMPUTED_VALUE"""),"Nationwide Ship to School")</f>
        <v>Nationwide Ship to School</v>
      </c>
      <c r="I74" s="61" t="str">
        <f>IFERROR(__xludf.DUMMYFUNCTION("""COMPUTED_VALUE"""),"University Housing")</f>
        <v>University Housing</v>
      </c>
      <c r="J74" s="107" t="str">
        <f>IFERROR(__xludf.DUMMYFUNCTION("""COMPUTED_VALUE"""),"09:00 AM to 11:00 AM  ")</f>
        <v>09:00 AM to 11:00 AM  </v>
      </c>
      <c r="K74" s="107">
        <f>IFERROR(__xludf.DUMMYFUNCTION("""COMPUTED_VALUE"""),45883.0)</f>
        <v>45883</v>
      </c>
      <c r="L74" s="61" t="str">
        <f>IFERROR(__xludf.DUMMYFUNCTION("""COMPUTED_VALUE"""),"Dardick  ")</f>
        <v>Dardick  </v>
      </c>
      <c r="M74" s="110" t="str">
        <f>IFERROR(__xludf.DUMMYFUNCTION("""COMPUTED_VALUE"""),"4423 - a")</f>
        <v>4423 - a</v>
      </c>
      <c r="N74" s="61"/>
      <c r="O74" s="61" t="str">
        <f>IFERROR(__xludf.DUMMYFUNCTION("""COMPUTED_VALUE"""),"1737 Iron Mill Dr.
Wendell, NC 27591")</f>
        <v>1737 Iron Mill Dr.
Wendell, NC 27591</v>
      </c>
      <c r="P74" s="61"/>
    </row>
    <row r="75">
      <c r="A75" s="102" t="str">
        <f>IFERROR(__xludf.DUMMYFUNCTION("""COMPUTED_VALUE"""),"https://utrucking.com/admin/orders/5903479177404")</f>
        <v>https://utrucking.com/admin/orders/5903479177404</v>
      </c>
      <c r="B75" s="65" t="str">
        <f>IFERROR(__xludf.DUMMYFUNCTION("""COMPUTED_VALUE"""),"#15317")</f>
        <v>#15317</v>
      </c>
      <c r="C75" s="65" t="str">
        <f>IFERROR(__xludf.DUMMYFUNCTION("""COMPUTED_VALUE"""),"rpallera@comcast.net")</f>
        <v>rpallera@comcast.net</v>
      </c>
      <c r="D75" s="65">
        <f>IFERROR(__xludf.DUMMYFUNCTION("""COMPUTED_VALUE"""),1.9014977219E10)</f>
        <v>19014977219</v>
      </c>
      <c r="E75" s="65" t="str">
        <f>IFERROR(__xludf.DUMMYFUNCTION("""COMPUTED_VALUE"""),"Robyn Pallera")</f>
        <v>Robyn Pallera</v>
      </c>
      <c r="F75" s="65"/>
      <c r="G75" s="65"/>
      <c r="H75" s="65" t="str">
        <f>IFERROR(__xludf.DUMMYFUNCTION("""COMPUTED_VALUE"""),"Nationwide Ship to School")</f>
        <v>Nationwide Ship to School</v>
      </c>
      <c r="I75" s="65" t="str">
        <f>IFERROR(__xludf.DUMMYFUNCTION("""COMPUTED_VALUE"""),"University Housing")</f>
        <v>University Housing</v>
      </c>
      <c r="J75" s="108" t="str">
        <f>IFERROR(__xludf.DUMMYFUNCTION("""COMPUTED_VALUE"""),"09:00 AM to 11:00 AM  ")</f>
        <v>09:00 AM to 11:00 AM  </v>
      </c>
      <c r="K75" s="108">
        <f>IFERROR(__xludf.DUMMYFUNCTION("""COMPUTED_VALUE"""),45883.0)</f>
        <v>45883</v>
      </c>
      <c r="L75" s="65" t="str">
        <f>IFERROR(__xludf.DUMMYFUNCTION("""COMPUTED_VALUE"""),"Myers  ")</f>
        <v>Myers  </v>
      </c>
      <c r="M75" s="111" t="str">
        <f>IFERROR(__xludf.DUMMYFUNCTION("""COMPUTED_VALUE"""),"413-B")</f>
        <v>413-B</v>
      </c>
      <c r="N75" s="65"/>
      <c r="O75" s="65" t="str">
        <f>IFERROR(__xludf.DUMMYFUNCTION("""COMPUTED_VALUE"""),"Campbell Pallera 
140 JAMERSON FARM RD
Collierville, TN 38017")</f>
        <v>Campbell Pallera 
140 JAMERSON FARM RD
Collierville, TN 38017</v>
      </c>
      <c r="P75" s="65"/>
    </row>
    <row r="76">
      <c r="A76" s="99" t="str">
        <f>IFERROR(__xludf.DUMMYFUNCTION("""COMPUTED_VALUE"""),"https://utrucking.com/admin/orders/5903766323388")</f>
        <v>https://utrucking.com/admin/orders/5903766323388</v>
      </c>
      <c r="B76" s="61" t="str">
        <f>IFERROR(__xludf.DUMMYFUNCTION("""COMPUTED_VALUE"""),"#15321")</f>
        <v>#15321</v>
      </c>
      <c r="C76" s="61"/>
      <c r="D76" s="61">
        <f>IFERROR(__xludf.DUMMYFUNCTION("""COMPUTED_VALUE"""),1.3016029939E10)</f>
        <v>13016029939</v>
      </c>
      <c r="E76" s="61" t="str">
        <f>IFERROR(__xludf.DUMMYFUNCTION("""COMPUTED_VALUE"""),"MANIKA BATRA")</f>
        <v>MANIKA BATRA</v>
      </c>
      <c r="F76" s="61"/>
      <c r="G76" s="61"/>
      <c r="H76" s="61" t="str">
        <f>IFERROR(__xludf.DUMMYFUNCTION("""COMPUTED_VALUE"""),"Nationwide Ship to School")</f>
        <v>Nationwide Ship to School</v>
      </c>
      <c r="I76" s="61" t="str">
        <f>IFERROR(__xludf.DUMMYFUNCTION("""COMPUTED_VALUE"""),"University Housing")</f>
        <v>University Housing</v>
      </c>
      <c r="J76" s="107" t="str">
        <f>IFERROR(__xludf.DUMMYFUNCTION("""COMPUTED_VALUE"""),"09:00 AM to 11:00 AM  ")</f>
        <v>09:00 AM to 11:00 AM  </v>
      </c>
      <c r="K76" s="107">
        <f>IFERROR(__xludf.DUMMYFUNCTION("""COMPUTED_VALUE"""),45883.0)</f>
        <v>45883</v>
      </c>
      <c r="L76" s="61" t="str">
        <f>IFERROR(__xludf.DUMMYFUNCTION("""COMPUTED_VALUE"""),"Dauten  ")</f>
        <v>Dauten  </v>
      </c>
      <c r="M76" s="110" t="str">
        <f>IFERROR(__xludf.DUMMYFUNCTION("""COMPUTED_VALUE"""),"431-a")</f>
        <v>431-a</v>
      </c>
      <c r="N76" s="61"/>
      <c r="O76" s="61" t="str">
        <f>IFERROR(__xludf.DUMMYFUNCTION("""COMPUTED_VALUE"""),"4001 Thistlebridge Way
Rockville, MD 20853")</f>
        <v>4001 Thistlebridge Way
Rockville, MD 20853</v>
      </c>
      <c r="P76" s="61"/>
    </row>
    <row r="77">
      <c r="A77" s="102" t="str">
        <f>IFERROR(__xludf.DUMMYFUNCTION("""COMPUTED_VALUE"""),"https://utrucking.com/admin/orders/5903995863228")</f>
        <v>https://utrucking.com/admin/orders/5903995863228</v>
      </c>
      <c r="B77" s="65" t="str">
        <f>IFERROR(__xludf.DUMMYFUNCTION("""COMPUTED_VALUE"""),"#15326")</f>
        <v>#15326</v>
      </c>
      <c r="C77" s="65" t="str">
        <f>IFERROR(__xludf.DUMMYFUNCTION("""COMPUTED_VALUE"""),"f.lucy@wustl.edu")</f>
        <v>f.lucy@wustl.edu</v>
      </c>
      <c r="D77" s="65">
        <f>IFERROR(__xludf.DUMMYFUNCTION("""COMPUTED_VALUE"""),7.743620993E9)</f>
        <v>7743620993</v>
      </c>
      <c r="E77" s="65" t="str">
        <f>IFERROR(__xludf.DUMMYFUNCTION("""COMPUTED_VALUE"""),"Lucy Forman")</f>
        <v>Lucy Forman</v>
      </c>
      <c r="F77" s="65"/>
      <c r="G77" s="65"/>
      <c r="H77" s="65" t="str">
        <f>IFERROR(__xludf.DUMMYFUNCTION("""COMPUTED_VALUE"""),"Nationwide Ship to School")</f>
        <v>Nationwide Ship to School</v>
      </c>
      <c r="I77" s="65" t="str">
        <f>IFERROR(__xludf.DUMMYFUNCTION("""COMPUTED_VALUE"""),"University Housing")</f>
        <v>University Housing</v>
      </c>
      <c r="J77" s="108" t="str">
        <f>IFERROR(__xludf.DUMMYFUNCTION("""COMPUTED_VALUE"""),"09:00 AM to 11:00 AM  ")</f>
        <v>09:00 AM to 11:00 AM  </v>
      </c>
      <c r="K77" s="108">
        <f>IFERROR(__xludf.DUMMYFUNCTION("""COMPUTED_VALUE"""),45883.0)</f>
        <v>45883</v>
      </c>
      <c r="L77" s="65" t="str">
        <f>IFERROR(__xludf.DUMMYFUNCTION("""COMPUTED_VALUE"""),"Lien  ")</f>
        <v>Lien  </v>
      </c>
      <c r="M77" s="111" t="str">
        <f>IFERROR(__xludf.DUMMYFUNCTION("""COMPUTED_VALUE"""),"3328")</f>
        <v>3328</v>
      </c>
      <c r="N77" s="65"/>
      <c r="O77" s="65" t="str">
        <f>IFERROR(__xludf.DUMMYFUNCTION("""COMPUTED_VALUE"""),"16 Starlight Dr
Walpole, MA 02081")</f>
        <v>16 Starlight Dr
Walpole, MA 02081</v>
      </c>
      <c r="P77" s="65"/>
    </row>
    <row r="78">
      <c r="A78" s="99" t="str">
        <f>IFERROR(__xludf.DUMMYFUNCTION("""COMPUTED_VALUE"""),"https://utrucking.com/admin/orders/5904128082108")</f>
        <v>https://utrucking.com/admin/orders/5904128082108</v>
      </c>
      <c r="B78" s="61" t="str">
        <f>IFERROR(__xludf.DUMMYFUNCTION("""COMPUTED_VALUE"""),"#15328")</f>
        <v>#15328</v>
      </c>
      <c r="C78" s="61" t="str">
        <f>IFERROR(__xludf.DUMMYFUNCTION("""COMPUTED_VALUE"""),"jrlassman@yahoo.com")</f>
        <v>jrlassman@yahoo.com</v>
      </c>
      <c r="D78" s="61">
        <f>IFERROR(__xludf.DUMMYFUNCTION("""COMPUTED_VALUE"""),1.9177347179E10)</f>
        <v>19177347179</v>
      </c>
      <c r="E78" s="61" t="str">
        <f>IFERROR(__xludf.DUMMYFUNCTION("""COMPUTED_VALUE"""),"Jessica Lassman")</f>
        <v>Jessica Lassman</v>
      </c>
      <c r="F78" s="61"/>
      <c r="G78" s="61"/>
      <c r="H78" s="61" t="str">
        <f>IFERROR(__xludf.DUMMYFUNCTION("""COMPUTED_VALUE"""),"Nationwide Ship to School")</f>
        <v>Nationwide Ship to School</v>
      </c>
      <c r="I78" s="61" t="str">
        <f>IFERROR(__xludf.DUMMYFUNCTION("""COMPUTED_VALUE"""),"University Housing")</f>
        <v>University Housing</v>
      </c>
      <c r="J78" s="107" t="str">
        <f>IFERROR(__xludf.DUMMYFUNCTION("""COMPUTED_VALUE"""),"09:00 AM to 11:00 AM  ")</f>
        <v>09:00 AM to 11:00 AM  </v>
      </c>
      <c r="K78" s="107">
        <f>IFERROR(__xludf.DUMMYFUNCTION("""COMPUTED_VALUE"""),45883.0)</f>
        <v>45883</v>
      </c>
      <c r="L78" s="61" t="str">
        <f>IFERROR(__xludf.DUMMYFUNCTION("""COMPUTED_VALUE"""),"Lien  ")</f>
        <v>Lien  </v>
      </c>
      <c r="M78" s="110" t="str">
        <f>IFERROR(__xludf.DUMMYFUNCTION("""COMPUTED_VALUE"""),"1116")</f>
        <v>1116</v>
      </c>
      <c r="N78" s="61"/>
      <c r="O78" s="61" t="str">
        <f>IFERROR(__xludf.DUMMYFUNCTION("""COMPUTED_VALUE"""),"3 Addee Circle
Larchmont, New York 10538")</f>
        <v>3 Addee Circle
Larchmont, New York 10538</v>
      </c>
      <c r="P78" s="61"/>
    </row>
    <row r="79">
      <c r="A79" s="102" t="str">
        <f>IFERROR(__xludf.DUMMYFUNCTION("""COMPUTED_VALUE"""),"https://utrucking.com/admin/orders/5904426336444")</f>
        <v>https://utrucking.com/admin/orders/5904426336444</v>
      </c>
      <c r="B79" s="65" t="str">
        <f>IFERROR(__xludf.DUMMYFUNCTION("""COMPUTED_VALUE"""),"#15336")</f>
        <v>#15336</v>
      </c>
      <c r="C79" s="65" t="str">
        <f>IFERROR(__xludf.DUMMYFUNCTION("""COMPUTED_VALUE"""),"maygolss@sbcglobal.net")</f>
        <v>maygolss@sbcglobal.net</v>
      </c>
      <c r="D79" s="65">
        <f>IFERROR(__xludf.DUMMYFUNCTION("""COMPUTED_VALUE"""),3.1036543E9)</f>
        <v>3103654300</v>
      </c>
      <c r="E79" s="65" t="str">
        <f>IFERROR(__xludf.DUMMYFUNCTION("""COMPUTED_VALUE"""),"Madeleine Sapra")</f>
        <v>Madeleine Sapra</v>
      </c>
      <c r="F79" s="65"/>
      <c r="G79" s="65"/>
      <c r="H79" s="65" t="str">
        <f>IFERROR(__xludf.DUMMYFUNCTION("""COMPUTED_VALUE"""),"Nationwide Ship to School")</f>
        <v>Nationwide Ship to School</v>
      </c>
      <c r="I79" s="65" t="str">
        <f>IFERROR(__xludf.DUMMYFUNCTION("""COMPUTED_VALUE"""),"University Housing")</f>
        <v>University Housing</v>
      </c>
      <c r="J79" s="108" t="str">
        <f>IFERROR(__xludf.DUMMYFUNCTION("""COMPUTED_VALUE"""),"09:00 AM to 11:00 AM  ")</f>
        <v>09:00 AM to 11:00 AM  </v>
      </c>
      <c r="K79" s="108">
        <f>IFERROR(__xludf.DUMMYFUNCTION("""COMPUTED_VALUE"""),45883.0)</f>
        <v>45883</v>
      </c>
      <c r="L79" s="65" t="str">
        <f>IFERROR(__xludf.DUMMYFUNCTION("""COMPUTED_VALUE"""),"Village East  ")</f>
        <v>Village East  </v>
      </c>
      <c r="M79" s="111" t="str">
        <f>IFERROR(__xludf.DUMMYFUNCTION("""COMPUTED_VALUE"""),"2012")</f>
        <v>2012</v>
      </c>
      <c r="N79" s="65"/>
      <c r="O79" s="65" t="str">
        <f>IFERROR(__xludf.DUMMYFUNCTION("""COMPUTED_VALUE"""),"150 Monarch Bay Drive
Dana Point, CA 92629")</f>
        <v>150 Monarch Bay Drive
Dana Point, CA 92629</v>
      </c>
      <c r="P79" s="65"/>
    </row>
    <row r="80">
      <c r="A80" s="99" t="str">
        <f>IFERROR(__xludf.DUMMYFUNCTION("""COMPUTED_VALUE"""),"https://utrucking.com/admin/orders/5904467624124")</f>
        <v>https://utrucking.com/admin/orders/5904467624124</v>
      </c>
      <c r="B80" s="61" t="str">
        <f>IFERROR(__xludf.DUMMYFUNCTION("""COMPUTED_VALUE"""),"#15337")</f>
        <v>#15337</v>
      </c>
      <c r="C80" s="61" t="str">
        <f>IFERROR(__xludf.DUMMYFUNCTION("""COMPUTED_VALUE"""),"c.l.rodriguez@wustl.edu")</f>
        <v>c.l.rodriguez@wustl.edu</v>
      </c>
      <c r="D80" s="61">
        <f>IFERROR(__xludf.DUMMYFUNCTION("""COMPUTED_VALUE"""),9.293024005E9)</f>
        <v>9293024005</v>
      </c>
      <c r="E80" s="61" t="str">
        <f>IFERROR(__xludf.DUMMYFUNCTION("""COMPUTED_VALUE"""),"Cooper Rodriguez")</f>
        <v>Cooper Rodriguez</v>
      </c>
      <c r="F80" s="61"/>
      <c r="G80" s="61"/>
      <c r="H80" s="61" t="str">
        <f>IFERROR(__xludf.DUMMYFUNCTION("""COMPUTED_VALUE"""),"Nationwide Ship to School")</f>
        <v>Nationwide Ship to School</v>
      </c>
      <c r="I80" s="61" t="str">
        <f>IFERROR(__xludf.DUMMYFUNCTION("""COMPUTED_VALUE"""),"University Housing")</f>
        <v>University Housing</v>
      </c>
      <c r="J80" s="107" t="str">
        <f>IFERROR(__xludf.DUMMYFUNCTION("""COMPUTED_VALUE"""),"09:00 AM to 11:00 AM  ")</f>
        <v>09:00 AM to 11:00 AM  </v>
      </c>
      <c r="K80" s="107">
        <f>IFERROR(__xludf.DUMMYFUNCTION("""COMPUTED_VALUE"""),45883.0)</f>
        <v>45883</v>
      </c>
      <c r="L80" s="61" t="str">
        <f>IFERROR(__xludf.DUMMYFUNCTION("""COMPUTED_VALUE"""),"Eliot B  ")</f>
        <v>Eliot B  </v>
      </c>
      <c r="M80" s="110" t="str">
        <f>IFERROR(__xludf.DUMMYFUNCTION("""COMPUTED_VALUE"""),"1104")</f>
        <v>1104</v>
      </c>
      <c r="N80" s="61"/>
      <c r="O80" s="61" t="str">
        <f>IFERROR(__xludf.DUMMYFUNCTION("""COMPUTED_VALUE"""),"321 River Mews Ln
Edgewater, NJ 07020")</f>
        <v>321 River Mews Ln
Edgewater, NJ 07020</v>
      </c>
      <c r="P80" s="61"/>
    </row>
    <row r="81">
      <c r="A81" s="102" t="str">
        <f>IFERROR(__xludf.DUMMYFUNCTION("""COMPUTED_VALUE"""),"https://utrucking.com/admin/orders/5904831086780")</f>
        <v>https://utrucking.com/admin/orders/5904831086780</v>
      </c>
      <c r="B81" s="65" t="str">
        <f>IFERROR(__xludf.DUMMYFUNCTION("""COMPUTED_VALUE"""),"#15342")</f>
        <v>#15342</v>
      </c>
      <c r="C81" s="65" t="str">
        <f>IFERROR(__xludf.DUMMYFUNCTION("""COMPUTED_VALUE"""),"uslan@wustl.edu")</f>
        <v>uslan@wustl.edu</v>
      </c>
      <c r="D81" s="65">
        <f>IFERROR(__xludf.DUMMYFUNCTION("""COMPUTED_VALUE"""),3.109623501E9)</f>
        <v>3109623501</v>
      </c>
      <c r="E81" s="65" t="str">
        <f>IFERROR(__xludf.DUMMYFUNCTION("""COMPUTED_VALUE"""),"Jessica Uslan")</f>
        <v>Jessica Uslan</v>
      </c>
      <c r="F81" s="65"/>
      <c r="G81" s="65"/>
      <c r="H81" s="65" t="str">
        <f>IFERROR(__xludf.DUMMYFUNCTION("""COMPUTED_VALUE"""),"Nationwide Ship to School")</f>
        <v>Nationwide Ship to School</v>
      </c>
      <c r="I81" s="65" t="str">
        <f>IFERROR(__xludf.DUMMYFUNCTION("""COMPUTED_VALUE"""),"University Housing")</f>
        <v>University Housing</v>
      </c>
      <c r="J81" s="108" t="str">
        <f>IFERROR(__xludf.DUMMYFUNCTION("""COMPUTED_VALUE"""),"09:00 AM to 11:00 AM  ")</f>
        <v>09:00 AM to 11:00 AM  </v>
      </c>
      <c r="K81" s="108">
        <f>IFERROR(__xludf.DUMMYFUNCTION("""COMPUTED_VALUE"""),45883.0)</f>
        <v>45883</v>
      </c>
      <c r="L81" s="65" t="str">
        <f>IFERROR(__xludf.DUMMYFUNCTION("""COMPUTED_VALUE"""),"Dardick  ")</f>
        <v>Dardick  </v>
      </c>
      <c r="M81" s="111" t="str">
        <f>IFERROR(__xludf.DUMMYFUNCTION("""COMPUTED_VALUE"""),"2211")</f>
        <v>2211</v>
      </c>
      <c r="N81" s="65"/>
      <c r="O81" s="65" t="str">
        <f>IFERROR(__xludf.DUMMYFUNCTION("""COMPUTED_VALUE"""),"9832 Vicar St
Los Angeles, CA 90034")</f>
        <v>9832 Vicar St
Los Angeles, CA 90034</v>
      </c>
      <c r="P81" s="65"/>
    </row>
    <row r="82">
      <c r="A82" s="99" t="str">
        <f>IFERROR(__xludf.DUMMYFUNCTION("""COMPUTED_VALUE"""),"https://utrucking.com/admin/orders/5905014063292")</f>
        <v>https://utrucking.com/admin/orders/5905014063292</v>
      </c>
      <c r="B82" s="61" t="str">
        <f>IFERROR(__xludf.DUMMYFUNCTION("""COMPUTED_VALUE"""),"#15348")</f>
        <v>#15348</v>
      </c>
      <c r="C82" s="61" t="str">
        <f>IFERROR(__xludf.DUMMYFUNCTION("""COMPUTED_VALUE"""),"sc.college2029@gmail.com")</f>
        <v>sc.college2029@gmail.com</v>
      </c>
      <c r="D82" s="61">
        <f>IFERROR(__xludf.DUMMYFUNCTION("""COMPUTED_VALUE"""),8.32718682E9)</f>
        <v>8327186820</v>
      </c>
      <c r="E82" s="61" t="str">
        <f>IFERROR(__xludf.DUMMYFUNCTION("""COMPUTED_VALUE"""),"Sheelsie Cazares")</f>
        <v>Sheelsie Cazares</v>
      </c>
      <c r="F82" s="61"/>
      <c r="G82" s="61"/>
      <c r="H82" s="61" t="str">
        <f>IFERROR(__xludf.DUMMYFUNCTION("""COMPUTED_VALUE"""),"Nationwide Ship to School")</f>
        <v>Nationwide Ship to School</v>
      </c>
      <c r="I82" s="61" t="str">
        <f>IFERROR(__xludf.DUMMYFUNCTION("""COMPUTED_VALUE"""),"University Housing")</f>
        <v>University Housing</v>
      </c>
      <c r="J82" s="107" t="str">
        <f>IFERROR(__xludf.DUMMYFUNCTION("""COMPUTED_VALUE"""),"09:00 AM to 11:00 AM  ")</f>
        <v>09:00 AM to 11:00 AM  </v>
      </c>
      <c r="K82" s="107">
        <f>IFERROR(__xludf.DUMMYFUNCTION("""COMPUTED_VALUE"""),45883.0)</f>
        <v>45883</v>
      </c>
      <c r="L82" s="61" t="str">
        <f>IFERROR(__xludf.DUMMYFUNCTION("""COMPUTED_VALUE"""),"Shanedling  ")</f>
        <v>Shanedling  </v>
      </c>
      <c r="M82" s="110" t="str">
        <f>IFERROR(__xludf.DUMMYFUNCTION("""COMPUTED_VALUE"""),"313-A (Sheelsie Cazares)")</f>
        <v>313-A (Sheelsie Cazares)</v>
      </c>
      <c r="N82" s="61"/>
      <c r="O82" s="61" t="str">
        <f>IFERROR(__xludf.DUMMYFUNCTION("""COMPUTED_VALUE"""),"9514 Homeland Dr. Houston TX 77083")</f>
        <v>9514 Homeland Dr. Houston TX 77083</v>
      </c>
      <c r="P82" s="61"/>
    </row>
    <row r="83">
      <c r="A83" s="102" t="str">
        <f>IFERROR(__xludf.DUMMYFUNCTION("""COMPUTED_VALUE"""),"https://utrucking.com/admin/orders/5905059741884")</f>
        <v>https://utrucking.com/admin/orders/5905059741884</v>
      </c>
      <c r="B83" s="65" t="str">
        <f>IFERROR(__xludf.DUMMYFUNCTION("""COMPUTED_VALUE"""),"#15350")</f>
        <v>#15350</v>
      </c>
      <c r="C83" s="65" t="str">
        <f>IFERROR(__xludf.DUMMYFUNCTION("""COMPUTED_VALUE"""),"krpjosephson@hotmail.com")</f>
        <v>krpjosephson@hotmail.com</v>
      </c>
      <c r="D83" s="65">
        <f>IFERROR(__xludf.DUMMYFUNCTION("""COMPUTED_VALUE"""),1.8472871066E10)</f>
        <v>18472871066</v>
      </c>
      <c r="E83" s="65" t="str">
        <f>IFERROR(__xludf.DUMMYFUNCTION("""COMPUTED_VALUE"""),"Kathy Josephson")</f>
        <v>Kathy Josephson</v>
      </c>
      <c r="F83" s="65"/>
      <c r="G83" s="65"/>
      <c r="H83" s="65" t="str">
        <f>IFERROR(__xludf.DUMMYFUNCTION("""COMPUTED_VALUE"""),"Nationwide Ship to School")</f>
        <v>Nationwide Ship to School</v>
      </c>
      <c r="I83" s="65" t="str">
        <f>IFERROR(__xludf.DUMMYFUNCTION("""COMPUTED_VALUE"""),"University Housing")</f>
        <v>University Housing</v>
      </c>
      <c r="J83" s="108" t="str">
        <f>IFERROR(__xludf.DUMMYFUNCTION("""COMPUTED_VALUE"""),"09:00 AM to 11:00 AM  ")</f>
        <v>09:00 AM to 11:00 AM  </v>
      </c>
      <c r="K83" s="108">
        <f>IFERROR(__xludf.DUMMYFUNCTION("""COMPUTED_VALUE"""),45883.0)</f>
        <v>45883</v>
      </c>
      <c r="L83" s="65" t="str">
        <f>IFERROR(__xludf.DUMMYFUNCTION("""COMPUTED_VALUE"""),"Danforth  ")</f>
        <v>Danforth  </v>
      </c>
      <c r="M83" s="111" t="str">
        <f>IFERROR(__xludf.DUMMYFUNCTION("""COMPUTED_VALUE"""),"3321")</f>
        <v>3321</v>
      </c>
      <c r="N83" s="65"/>
      <c r="O83" s="65" t="str">
        <f>IFERROR(__xludf.DUMMYFUNCTION("""COMPUTED_VALUE"""),"1330 West Newport Avenue
CHICAGO, IL 60657")</f>
        <v>1330 West Newport Avenue
CHICAGO, IL 60657</v>
      </c>
      <c r="P83" s="65"/>
    </row>
    <row r="84">
      <c r="A84" s="99" t="str">
        <f>IFERROR(__xludf.DUMMYFUNCTION("""COMPUTED_VALUE"""),"https://utrucking.com/admin/orders/5905513021628")</f>
        <v>https://utrucking.com/admin/orders/5905513021628</v>
      </c>
      <c r="B84" s="61" t="str">
        <f>IFERROR(__xludf.DUMMYFUNCTION("""COMPUTED_VALUE"""),"#15363")</f>
        <v>#15363</v>
      </c>
      <c r="C84" s="61"/>
      <c r="D84" s="61">
        <f>IFERROR(__xludf.DUMMYFUNCTION("""COMPUTED_VALUE"""),8.478815595E9)</f>
        <v>8478815595</v>
      </c>
      <c r="E84" s="61" t="str">
        <f>IFERROR(__xludf.DUMMYFUNCTION("""COMPUTED_VALUE"""),"Colby Smith")</f>
        <v>Colby Smith</v>
      </c>
      <c r="F84" s="61"/>
      <c r="G84" s="61"/>
      <c r="H84" s="61" t="str">
        <f>IFERROR(__xludf.DUMMYFUNCTION("""COMPUTED_VALUE"""),"Nationwide Ship to School")</f>
        <v>Nationwide Ship to School</v>
      </c>
      <c r="I84" s="61" t="str">
        <f>IFERROR(__xludf.DUMMYFUNCTION("""COMPUTED_VALUE"""),"University Housing")</f>
        <v>University Housing</v>
      </c>
      <c r="J84" s="107"/>
      <c r="K84" s="107">
        <f>IFERROR(__xludf.DUMMYFUNCTION("""COMPUTED_VALUE"""),45883.0)</f>
        <v>45883</v>
      </c>
      <c r="L84" s="61" t="str">
        <f>IFERROR(__xludf.DUMMYFUNCTION("""COMPUTED_VALUE"""),"Umrath  ")</f>
        <v>Umrath  </v>
      </c>
      <c r="M84" s="110" t="str">
        <f>IFERROR(__xludf.DUMMYFUNCTION("""COMPUTED_VALUE"""),"2238")</f>
        <v>2238</v>
      </c>
      <c r="N84" s="61"/>
      <c r="O84" s="61"/>
      <c r="P84" s="61"/>
    </row>
    <row r="85">
      <c r="A85" s="102" t="str">
        <f>IFERROR(__xludf.DUMMYFUNCTION("""COMPUTED_VALUE"""),"https://utrucking.com/admin/orders/5905908891836")</f>
        <v>https://utrucking.com/admin/orders/5905908891836</v>
      </c>
      <c r="B85" s="65" t="str">
        <f>IFERROR(__xludf.DUMMYFUNCTION("""COMPUTED_VALUE"""),"#15367")</f>
        <v>#15367</v>
      </c>
      <c r="C85" s="65"/>
      <c r="D85" s="65">
        <f>IFERROR(__xludf.DUMMYFUNCTION("""COMPUTED_VALUE"""),5.12608888E9)</f>
        <v>5126088880</v>
      </c>
      <c r="E85" s="65" t="str">
        <f>IFERROR(__xludf.DUMMYFUNCTION("""COMPUTED_VALUE"""),"Betsy Slover")</f>
        <v>Betsy Slover</v>
      </c>
      <c r="F85" s="65"/>
      <c r="G85" s="65"/>
      <c r="H85" s="65" t="str">
        <f>IFERROR(__xludf.DUMMYFUNCTION("""COMPUTED_VALUE"""),"Nationwide Ship to School")</f>
        <v>Nationwide Ship to School</v>
      </c>
      <c r="I85" s="65" t="str">
        <f>IFERROR(__xludf.DUMMYFUNCTION("""COMPUTED_VALUE"""),"University Housing")</f>
        <v>University Housing</v>
      </c>
      <c r="J85" s="108" t="str">
        <f>IFERROR(__xludf.DUMMYFUNCTION("""COMPUTED_VALUE"""),"09:00 AM to 11:00 AM  ")</f>
        <v>09:00 AM to 11:00 AM  </v>
      </c>
      <c r="K85" s="108">
        <f>IFERROR(__xludf.DUMMYFUNCTION("""COMPUTED_VALUE"""),45883.0)</f>
        <v>45883</v>
      </c>
      <c r="L85" s="65" t="str">
        <f>IFERROR(__xludf.DUMMYFUNCTION("""COMPUTED_VALUE"""),"Danforth  ")</f>
        <v>Danforth  </v>
      </c>
      <c r="M85" s="111" t="str">
        <f>IFERROR(__xludf.DUMMYFUNCTION("""COMPUTED_VALUE"""),"2222")</f>
        <v>2222</v>
      </c>
      <c r="N85" s="65"/>
      <c r="O85" s="65" t="str">
        <f>IFERROR(__xludf.DUMMYFUNCTION("""COMPUTED_VALUE"""),"4814 City Park Road
Austin, Texas 78730")</f>
        <v>4814 City Park Road
Austin, Texas 78730</v>
      </c>
      <c r="P85" s="65"/>
    </row>
    <row r="86">
      <c r="A86" s="99" t="str">
        <f>IFERROR(__xludf.DUMMYFUNCTION("""COMPUTED_VALUE"""),"https://utrucking.com/admin/orders/5905948704956")</f>
        <v>https://utrucking.com/admin/orders/5905948704956</v>
      </c>
      <c r="B86" s="61" t="str">
        <f>IFERROR(__xludf.DUMMYFUNCTION("""COMPUTED_VALUE"""),"#15370")</f>
        <v>#15370</v>
      </c>
      <c r="C86" s="61"/>
      <c r="D86" s="61">
        <f>IFERROR(__xludf.DUMMYFUNCTION("""COMPUTED_VALUE"""),9.70939074E9)</f>
        <v>9709390740</v>
      </c>
      <c r="E86" s="61" t="str">
        <f>IFERROR(__xludf.DUMMYFUNCTION("""COMPUTED_VALUE"""),"Chandler Davey")</f>
        <v>Chandler Davey</v>
      </c>
      <c r="F86" s="61"/>
      <c r="G86" s="61"/>
      <c r="H86" s="61" t="str">
        <f>IFERROR(__xludf.DUMMYFUNCTION("""COMPUTED_VALUE"""),"Nationwide Ship to School")</f>
        <v>Nationwide Ship to School</v>
      </c>
      <c r="I86" s="61" t="str">
        <f>IFERROR(__xludf.DUMMYFUNCTION("""COMPUTED_VALUE"""),"University Housing")</f>
        <v>University Housing</v>
      </c>
      <c r="J86" s="107" t="str">
        <f>IFERROR(__xludf.DUMMYFUNCTION("""COMPUTED_VALUE"""),"09:00 AM to 11:00 AM  ")</f>
        <v>09:00 AM to 11:00 AM  </v>
      </c>
      <c r="K86" s="107">
        <f>IFERROR(__xludf.DUMMYFUNCTION("""COMPUTED_VALUE"""),45883.0)</f>
        <v>45883</v>
      </c>
      <c r="L86" s="61" t="str">
        <f>IFERROR(__xludf.DUMMYFUNCTION("""COMPUTED_VALUE"""),"Koenig  ")</f>
        <v>Koenig  </v>
      </c>
      <c r="M86" s="110" t="str">
        <f>IFERROR(__xludf.DUMMYFUNCTION("""COMPUTED_VALUE"""),"2204")</f>
        <v>2204</v>
      </c>
      <c r="N86" s="61"/>
      <c r="O86" s="61" t="str">
        <f>IFERROR(__xludf.DUMMYFUNCTION("""COMPUTED_VALUE"""),"14319 Fillmore Street
Thornton, CO
80602")</f>
        <v>14319 Fillmore Street
Thornton, CO
80602</v>
      </c>
      <c r="P86" s="61"/>
    </row>
    <row r="87">
      <c r="A87" s="102" t="str">
        <f>IFERROR(__xludf.DUMMYFUNCTION("""COMPUTED_VALUE"""),"https://utrucking.com/admin/orders/5906066178236")</f>
        <v>https://utrucking.com/admin/orders/5906066178236</v>
      </c>
      <c r="B87" s="65" t="str">
        <f>IFERROR(__xludf.DUMMYFUNCTION("""COMPUTED_VALUE"""),"#15373")</f>
        <v>#15373</v>
      </c>
      <c r="C87" s="65" t="str">
        <f>IFERROR(__xludf.DUMMYFUNCTION("""COMPUTED_VALUE"""),"Jenn.e.caplan@gmail.com")</f>
        <v>Jenn.e.caplan@gmail.com</v>
      </c>
      <c r="D87" s="65">
        <f>IFERROR(__xludf.DUMMYFUNCTION("""COMPUTED_VALUE"""),9.199714693E9)</f>
        <v>9199714693</v>
      </c>
      <c r="E87" s="65" t="str">
        <f>IFERROR(__xludf.DUMMYFUNCTION("""COMPUTED_VALUE"""),"Jennifer Caplan")</f>
        <v>Jennifer Caplan</v>
      </c>
      <c r="F87" s="65"/>
      <c r="G87" s="65"/>
      <c r="H87" s="65" t="str">
        <f>IFERROR(__xludf.DUMMYFUNCTION("""COMPUTED_VALUE"""),"Nationwide Ship to School")</f>
        <v>Nationwide Ship to School</v>
      </c>
      <c r="I87" s="65" t="str">
        <f>IFERROR(__xludf.DUMMYFUNCTION("""COMPUTED_VALUE"""),"University Housing")</f>
        <v>University Housing</v>
      </c>
      <c r="J87" s="108" t="str">
        <f>IFERROR(__xludf.DUMMYFUNCTION("""COMPUTED_VALUE"""),"09:00 AM to 11:00 AM  ")</f>
        <v>09:00 AM to 11:00 AM  </v>
      </c>
      <c r="K87" s="108">
        <f>IFERROR(__xludf.DUMMYFUNCTION("""COMPUTED_VALUE"""),45883.0)</f>
        <v>45883</v>
      </c>
      <c r="L87" s="65" t="str">
        <f>IFERROR(__xludf.DUMMYFUNCTION("""COMPUTED_VALUE"""),"Park  ")</f>
        <v>Park  </v>
      </c>
      <c r="M87" s="111" t="str">
        <f>IFERROR(__xludf.DUMMYFUNCTION("""COMPUTED_VALUE"""),"370")</f>
        <v>370</v>
      </c>
      <c r="N87" s="65"/>
      <c r="O87" s="65" t="str">
        <f>IFERROR(__xludf.DUMMYFUNCTION("""COMPUTED_VALUE"""),"5320 Indigo Moon Way
Raleigh, NC 27613")</f>
        <v>5320 Indigo Moon Way
Raleigh, NC 27613</v>
      </c>
      <c r="P87" s="65"/>
    </row>
    <row r="88">
      <c r="A88" s="99" t="str">
        <f>IFERROR(__xludf.DUMMYFUNCTION("""COMPUTED_VALUE"""),"https://utrucking.com/admin/orders/5907835093180")</f>
        <v>https://utrucking.com/admin/orders/5907835093180</v>
      </c>
      <c r="B88" s="61" t="str">
        <f>IFERROR(__xludf.DUMMYFUNCTION("""COMPUTED_VALUE"""),"#15382")</f>
        <v>#15382</v>
      </c>
      <c r="C88" s="61" t="str">
        <f>IFERROR(__xludf.DUMMYFUNCTION("""COMPUTED_VALUE"""),"shamalieg@gmail.com")</f>
        <v>shamalieg@gmail.com</v>
      </c>
      <c r="D88" s="61">
        <f>IFERROR(__xludf.DUMMYFUNCTION("""COMPUTED_VALUE"""),1.818319301E10)</f>
        <v>18183193010</v>
      </c>
      <c r="E88" s="61" t="str">
        <f>IFERROR(__xludf.DUMMYFUNCTION("""COMPUTED_VALUE"""),"Shamalie Goonewardene")</f>
        <v>Shamalie Goonewardene</v>
      </c>
      <c r="F88" s="61"/>
      <c r="G88" s="61"/>
      <c r="H88" s="61" t="str">
        <f>IFERROR(__xludf.DUMMYFUNCTION("""COMPUTED_VALUE"""),"Nationwide Ship to School")</f>
        <v>Nationwide Ship to School</v>
      </c>
      <c r="I88" s="61" t="str">
        <f>IFERROR(__xludf.DUMMYFUNCTION("""COMPUTED_VALUE"""),"University Housing")</f>
        <v>University Housing</v>
      </c>
      <c r="J88" s="107" t="str">
        <f>IFERROR(__xludf.DUMMYFUNCTION("""COMPUTED_VALUE"""),"03:00 PM to 05:00 PM")</f>
        <v>03:00 PM to 05:00 PM</v>
      </c>
      <c r="K88" s="107">
        <f>IFERROR(__xludf.DUMMYFUNCTION("""COMPUTED_VALUE"""),45883.0)</f>
        <v>45883</v>
      </c>
      <c r="L88" s="61" t="str">
        <f>IFERROR(__xludf.DUMMYFUNCTION("""COMPUTED_VALUE"""),"Dardick  ")</f>
        <v>Dardick  </v>
      </c>
      <c r="M88" s="110" t="str">
        <f>IFERROR(__xludf.DUMMYFUNCTION("""COMPUTED_VALUE"""),"2214-b")</f>
        <v>2214-b</v>
      </c>
      <c r="N88" s="61"/>
      <c r="O88" s="61" t="str">
        <f>IFERROR(__xludf.DUMMYFUNCTION("""COMPUTED_VALUE"""),"5221 Crown Avenue, La Canada, CA 91011  ")</f>
        <v>5221 Crown Avenue, La Canada, CA 91011  </v>
      </c>
      <c r="P88" s="61"/>
    </row>
    <row r="89">
      <c r="A89" s="102" t="str">
        <f>IFERROR(__xludf.DUMMYFUNCTION("""COMPUTED_VALUE"""),"https://utrucking.com/admin/orders/5908286275772")</f>
        <v>https://utrucking.com/admin/orders/5908286275772</v>
      </c>
      <c r="B89" s="65" t="str">
        <f>IFERROR(__xludf.DUMMYFUNCTION("""COMPUTED_VALUE"""),"#15386")</f>
        <v>#15386</v>
      </c>
      <c r="C89" s="65"/>
      <c r="D89" s="65">
        <f>IFERROR(__xludf.DUMMYFUNCTION("""COMPUTED_VALUE"""),2.017856794E9)</f>
        <v>2017856794</v>
      </c>
      <c r="E89" s="65" t="str">
        <f>IFERROR(__xludf.DUMMYFUNCTION("""COMPUTED_VALUE"""),"Lynette Hopkinson")</f>
        <v>Lynette Hopkinson</v>
      </c>
      <c r="F89" s="65"/>
      <c r="G89" s="65"/>
      <c r="H89" s="65" t="str">
        <f>IFERROR(__xludf.DUMMYFUNCTION("""COMPUTED_VALUE"""),"Nationwide Ship to School")</f>
        <v>Nationwide Ship to School</v>
      </c>
      <c r="I89" s="65" t="str">
        <f>IFERROR(__xludf.DUMMYFUNCTION("""COMPUTED_VALUE"""),"University Housing")</f>
        <v>University Housing</v>
      </c>
      <c r="J89" s="108" t="str">
        <f>IFERROR(__xludf.DUMMYFUNCTION("""COMPUTED_VALUE"""),"09:00 AM to 11:00 AM  ")</f>
        <v>09:00 AM to 11:00 AM  </v>
      </c>
      <c r="K89" s="108">
        <f>IFERROR(__xludf.DUMMYFUNCTION("""COMPUTED_VALUE"""),45883.0)</f>
        <v>45883</v>
      </c>
      <c r="L89" s="65" t="str">
        <f>IFERROR(__xludf.DUMMYFUNCTION("""COMPUTED_VALUE"""),"Koenig  ")</f>
        <v>Koenig  </v>
      </c>
      <c r="M89" s="111" t="str">
        <f>IFERROR(__xludf.DUMMYFUNCTION("""COMPUTED_VALUE"""),"4401A")</f>
        <v>4401A</v>
      </c>
      <c r="N89" s="65"/>
      <c r="O89" s="65" t="str">
        <f>IFERROR(__xludf.DUMMYFUNCTION("""COMPUTED_VALUE"""),"8 Aristotle Drive Winchester MA 01890  ")</f>
        <v>8 Aristotle Drive Winchester MA 01890  </v>
      </c>
      <c r="P89" s="65"/>
    </row>
    <row r="90">
      <c r="A90" s="99" t="str">
        <f>IFERROR(__xludf.DUMMYFUNCTION("""COMPUTED_VALUE"""),"https://utrucking.com/admin/orders/5908287520956")</f>
        <v>https://utrucking.com/admin/orders/5908287520956</v>
      </c>
      <c r="B90" s="61" t="str">
        <f>IFERROR(__xludf.DUMMYFUNCTION("""COMPUTED_VALUE"""),"#15387")</f>
        <v>#15387</v>
      </c>
      <c r="C90" s="61" t="str">
        <f>IFERROR(__xludf.DUMMYFUNCTION("""COMPUTED_VALUE"""),"sonireneis@gmail.com")</f>
        <v>sonireneis@gmail.com</v>
      </c>
      <c r="D90" s="61">
        <f>IFERROR(__xludf.DUMMYFUNCTION("""COMPUTED_VALUE"""),9.499109206E9)</f>
        <v>9499109206</v>
      </c>
      <c r="E90" s="61" t="str">
        <f>IFERROR(__xludf.DUMMYFUNCTION("""COMPUTED_VALUE"""),"Irene Son")</f>
        <v>Irene Son</v>
      </c>
      <c r="F90" s="61"/>
      <c r="G90" s="61"/>
      <c r="H90" s="61" t="str">
        <f>IFERROR(__xludf.DUMMYFUNCTION("""COMPUTED_VALUE"""),"Nationwide Ship to School")</f>
        <v>Nationwide Ship to School</v>
      </c>
      <c r="I90" s="61" t="str">
        <f>IFERROR(__xludf.DUMMYFUNCTION("""COMPUTED_VALUE"""),"University Housing")</f>
        <v>University Housing</v>
      </c>
      <c r="J90" s="107" t="str">
        <f>IFERROR(__xludf.DUMMYFUNCTION("""COMPUTED_VALUE"""),"11:00 AM to 01:00 PM  ")</f>
        <v>11:00 AM to 01:00 PM  </v>
      </c>
      <c r="K90" s="107">
        <f>IFERROR(__xludf.DUMMYFUNCTION("""COMPUTED_VALUE"""),45883.0)</f>
        <v>45883</v>
      </c>
      <c r="L90" s="61" t="str">
        <f>IFERROR(__xludf.DUMMYFUNCTION("""COMPUTED_VALUE"""),"Hurd  ")</f>
        <v>Hurd  </v>
      </c>
      <c r="M90" s="110" t="str">
        <f>IFERROR(__xludf.DUMMYFUNCTION("""COMPUTED_VALUE"""),"142")</f>
        <v>142</v>
      </c>
      <c r="N90" s="61"/>
      <c r="O90" s="61" t="str">
        <f>IFERROR(__xludf.DUMMYFUNCTION("""COMPUTED_VALUE"""),"133 Okra, Irvine, CA, 92618  ")</f>
        <v>133 Okra, Irvine, CA, 92618  </v>
      </c>
      <c r="P90" s="61"/>
    </row>
    <row r="91">
      <c r="A91" s="102" t="str">
        <f>IFERROR(__xludf.DUMMYFUNCTION("""COMPUTED_VALUE"""),"https://utrucking.com/admin/orders/5908610252988")</f>
        <v>https://utrucking.com/admin/orders/5908610252988</v>
      </c>
      <c r="B91" s="65" t="str">
        <f>IFERROR(__xludf.DUMMYFUNCTION("""COMPUTED_VALUE"""),"#15394")</f>
        <v>#15394</v>
      </c>
      <c r="C91" s="65" t="str">
        <f>IFERROR(__xludf.DUMMYFUNCTION("""COMPUTED_VALUE"""),"andres_lozada@yahoo.com")</f>
        <v>andres_lozada@yahoo.com</v>
      </c>
      <c r="D91" s="65">
        <f>IFERROR(__xludf.DUMMYFUNCTION("""COMPUTED_VALUE"""),1.3467635474E10)</f>
        <v>13467635474</v>
      </c>
      <c r="E91" s="65" t="str">
        <f>IFERROR(__xludf.DUMMYFUNCTION("""COMPUTED_VALUE"""),"JUAN LOZADA")</f>
        <v>JUAN LOZADA</v>
      </c>
      <c r="F91" s="65"/>
      <c r="G91" s="65"/>
      <c r="H91" s="65" t="str">
        <f>IFERROR(__xludf.DUMMYFUNCTION("""COMPUTED_VALUE"""),"Nationwide Ship to School")</f>
        <v>Nationwide Ship to School</v>
      </c>
      <c r="I91" s="65" t="str">
        <f>IFERROR(__xludf.DUMMYFUNCTION("""COMPUTED_VALUE"""),"University Housing")</f>
        <v>University Housing</v>
      </c>
      <c r="J91" s="108" t="str">
        <f>IFERROR(__xludf.DUMMYFUNCTION("""COMPUTED_VALUE"""),"11:00 AM to 01:00 PM  ")</f>
        <v>11:00 AM to 01:00 PM  </v>
      </c>
      <c r="K91" s="108">
        <f>IFERROR(__xludf.DUMMYFUNCTION("""COMPUTED_VALUE"""),45880.0)</f>
        <v>45880</v>
      </c>
      <c r="L91" s="65" t="str">
        <f>IFERROR(__xludf.DUMMYFUNCTION("""COMPUTED_VALUE"""),"Koenig  ")</f>
        <v>Koenig  </v>
      </c>
      <c r="M91" s="111" t="str">
        <f>IFERROR(__xludf.DUMMYFUNCTION("""COMPUTED_VALUE"""),"1102")</f>
        <v>1102</v>
      </c>
      <c r="N91" s="65"/>
      <c r="O91" s="65" t="str">
        <f>IFERROR(__xludf.DUMMYFUNCTION("""COMPUTED_VALUE"""),"9923 Friesian Estates Dr
Klein, TX 77379  ")</f>
        <v>9923 Friesian Estates Dr
Klein, TX 77379  </v>
      </c>
      <c r="P91" s="65"/>
    </row>
    <row r="92">
      <c r="A92" s="99" t="str">
        <f>IFERROR(__xludf.DUMMYFUNCTION("""COMPUTED_VALUE"""),"https://utrucking.com/admin/orders/5908672839868")</f>
        <v>https://utrucking.com/admin/orders/5908672839868</v>
      </c>
      <c r="B92" s="61" t="str">
        <f>IFERROR(__xludf.DUMMYFUNCTION("""COMPUTED_VALUE"""),"#15395")</f>
        <v>#15395</v>
      </c>
      <c r="C92" s="61" t="str">
        <f>IFERROR(__xludf.DUMMYFUNCTION("""COMPUTED_VALUE"""),"washko@wustl.edu")</f>
        <v>washko@wustl.edu</v>
      </c>
      <c r="D92" s="61">
        <f>IFERROR(__xludf.DUMMYFUNCTION("""COMPUTED_VALUE"""),1.8573600811E10)</f>
        <v>18573600811</v>
      </c>
      <c r="E92" s="61" t="str">
        <f>IFERROR(__xludf.DUMMYFUNCTION("""COMPUTED_VALUE"""),"William Washko")</f>
        <v>William Washko</v>
      </c>
      <c r="F92" s="61"/>
      <c r="G92" s="61"/>
      <c r="H92" s="61" t="str">
        <f>IFERROR(__xludf.DUMMYFUNCTION("""COMPUTED_VALUE"""),"Nationwide Ship to School")</f>
        <v>Nationwide Ship to School</v>
      </c>
      <c r="I92" s="61" t="str">
        <f>IFERROR(__xludf.DUMMYFUNCTION("""COMPUTED_VALUE"""),"University Housing")</f>
        <v>University Housing</v>
      </c>
      <c r="J92" s="107" t="str">
        <f>IFERROR(__xludf.DUMMYFUNCTION("""COMPUTED_VALUE"""),"09:00 AM to 11:00 AM  ")</f>
        <v>09:00 AM to 11:00 AM  </v>
      </c>
      <c r="K92" s="107">
        <f>IFERROR(__xludf.DUMMYFUNCTION("""COMPUTED_VALUE"""),45883.0)</f>
        <v>45883</v>
      </c>
      <c r="L92" s="61" t="str">
        <f>IFERROR(__xludf.DUMMYFUNCTION("""COMPUTED_VALUE"""),"Eliot A  ")</f>
        <v>Eliot A  </v>
      </c>
      <c r="M92" s="110" t="str">
        <f>IFERROR(__xludf.DUMMYFUNCTION("""COMPUTED_VALUE"""),"1084 - a")</f>
        <v>1084 - a</v>
      </c>
      <c r="N92" s="61"/>
      <c r="O92" s="61" t="str">
        <f>IFERROR(__xludf.DUMMYFUNCTION("""COMPUTED_VALUE"""),"324 Park Street
West Roxbury, MA 02132  ")</f>
        <v>324 Park Street
West Roxbury, MA 02132  </v>
      </c>
      <c r="P92" s="61"/>
    </row>
    <row r="93">
      <c r="A93" s="102" t="str">
        <f>IFERROR(__xludf.DUMMYFUNCTION("""COMPUTED_VALUE"""),"https://utrucking.com/admin/orders/5908794409148")</f>
        <v>https://utrucking.com/admin/orders/5908794409148</v>
      </c>
      <c r="B93" s="65" t="str">
        <f>IFERROR(__xludf.DUMMYFUNCTION("""COMPUTED_VALUE"""),"#15396")</f>
        <v>#15396</v>
      </c>
      <c r="C93" s="65" t="str">
        <f>IFERROR(__xludf.DUMMYFUNCTION("""COMPUTED_VALUE"""),"j.e.lari@wustl.edu")</f>
        <v>j.e.lari@wustl.edu</v>
      </c>
      <c r="D93" s="65">
        <f>IFERROR(__xludf.DUMMYFUNCTION("""COMPUTED_VALUE"""),1.3108934482E10)</f>
        <v>13108934482</v>
      </c>
      <c r="E93" s="65" t="str">
        <f>IFERROR(__xludf.DUMMYFUNCTION("""COMPUTED_VALUE"""),"Jordan Lari")</f>
        <v>Jordan Lari</v>
      </c>
      <c r="F93" s="65"/>
      <c r="G93" s="65"/>
      <c r="H93" s="65" t="str">
        <f>IFERROR(__xludf.DUMMYFUNCTION("""COMPUTED_VALUE"""),"Nationwide Ship to School")</f>
        <v>Nationwide Ship to School</v>
      </c>
      <c r="I93" s="65" t="str">
        <f>IFERROR(__xludf.DUMMYFUNCTION("""COMPUTED_VALUE"""),"University Housing")</f>
        <v>University Housing</v>
      </c>
      <c r="J93" s="108" t="str">
        <f>IFERROR(__xludf.DUMMYFUNCTION("""COMPUTED_VALUE"""),"09:00 AM to 11:00 AM  ")</f>
        <v>09:00 AM to 11:00 AM  </v>
      </c>
      <c r="K93" s="108">
        <f>IFERROR(__xludf.DUMMYFUNCTION("""COMPUTED_VALUE"""),45883.0)</f>
        <v>45883</v>
      </c>
      <c r="L93" s="65" t="str">
        <f>IFERROR(__xludf.DUMMYFUNCTION("""COMPUTED_VALUE"""),"Zetcher  ")</f>
        <v>Zetcher  </v>
      </c>
      <c r="M93" s="111" t="str">
        <f>IFERROR(__xludf.DUMMYFUNCTION("""COMPUTED_VALUE""")," 4101 - a")</f>
        <v> 4101 - a</v>
      </c>
      <c r="N93" s="65"/>
      <c r="O93" s="65" t="str">
        <f>IFERROR(__xludf.DUMMYFUNCTION("""COMPUTED_VALUE"""),"10635 Taranto Way
Los Angeles, California 90077-1920  ")</f>
        <v>10635 Taranto Way
Los Angeles, California 90077-1920  </v>
      </c>
      <c r="P93" s="65"/>
    </row>
    <row r="94">
      <c r="A94" s="99" t="str">
        <f>IFERROR(__xludf.DUMMYFUNCTION("""COMPUTED_VALUE"""),"https://utrucking.com/admin/orders/5909034172604")</f>
        <v>https://utrucking.com/admin/orders/5909034172604</v>
      </c>
      <c r="B94" s="61" t="str">
        <f>IFERROR(__xludf.DUMMYFUNCTION("""COMPUTED_VALUE"""),"#15401")</f>
        <v>#15401</v>
      </c>
      <c r="C94" s="61" t="str">
        <f>IFERROR(__xludf.DUMMYFUNCTION("""COMPUTED_VALUE"""),"blucelee1975@gmail.com")</f>
        <v>blucelee1975@gmail.com</v>
      </c>
      <c r="D94" s="61">
        <f>IFERROR(__xludf.DUMMYFUNCTION("""COMPUTED_VALUE"""),9.495733262E9)</f>
        <v>9495733262</v>
      </c>
      <c r="E94" s="61" t="str">
        <f>IFERROR(__xludf.DUMMYFUNCTION("""COMPUTED_VALUE"""),"Jerry Li")</f>
        <v>Jerry Li</v>
      </c>
      <c r="F94" s="61"/>
      <c r="G94" s="61"/>
      <c r="H94" s="61" t="str">
        <f>IFERROR(__xludf.DUMMYFUNCTION("""COMPUTED_VALUE"""),"Nationwide Ship to School")</f>
        <v>Nationwide Ship to School</v>
      </c>
      <c r="I94" s="61" t="str">
        <f>IFERROR(__xludf.DUMMYFUNCTION("""COMPUTED_VALUE"""),"University Housing")</f>
        <v>University Housing</v>
      </c>
      <c r="J94" s="107" t="str">
        <f>IFERROR(__xludf.DUMMYFUNCTION("""COMPUTED_VALUE"""),"09:00 AM to 11:00 AM  ")</f>
        <v>09:00 AM to 11:00 AM  </v>
      </c>
      <c r="K94" s="107">
        <f>IFERROR(__xludf.DUMMYFUNCTION("""COMPUTED_VALUE"""),45883.0)</f>
        <v>45883</v>
      </c>
      <c r="L94" s="61" t="str">
        <f>IFERROR(__xludf.DUMMYFUNCTION("""COMPUTED_VALUE"""),"Lien  ")</f>
        <v>Lien  </v>
      </c>
      <c r="M94" s="110" t="str">
        <f>IFERROR(__xludf.DUMMYFUNCTION("""COMPUTED_VALUE"""),"3313-a")</f>
        <v>3313-a</v>
      </c>
      <c r="N94" s="61"/>
      <c r="O94" s="61" t="str">
        <f>IFERROR(__xludf.DUMMYFUNCTION("""COMPUTED_VALUE"""),"136 Cedar St，Lexington MA 02421  ")</f>
        <v>136 Cedar St，Lexington MA 02421  </v>
      </c>
      <c r="P94" s="61"/>
    </row>
    <row r="95">
      <c r="A95" s="102" t="str">
        <f>IFERROR(__xludf.DUMMYFUNCTION("""COMPUTED_VALUE"""),"https://utrucking.com/admin/orders/5909126480060")</f>
        <v>https://utrucking.com/admin/orders/5909126480060</v>
      </c>
      <c r="B95" s="65" t="str">
        <f>IFERROR(__xludf.DUMMYFUNCTION("""COMPUTED_VALUE"""),"#15405")</f>
        <v>#15405</v>
      </c>
      <c r="C95" s="65" t="str">
        <f>IFERROR(__xludf.DUMMYFUNCTION("""COMPUTED_VALUE"""),"peter.jay.chen@gmail.com")</f>
        <v>peter.jay.chen@gmail.com</v>
      </c>
      <c r="D95" s="65">
        <f>IFERROR(__xludf.DUMMYFUNCTION("""COMPUTED_VALUE"""),4.085134608E9)</f>
        <v>4085134608</v>
      </c>
      <c r="E95" s="65" t="str">
        <f>IFERROR(__xludf.DUMMYFUNCTION("""COMPUTED_VALUE"""),"Peter Chen")</f>
        <v>Peter Chen</v>
      </c>
      <c r="F95" s="65"/>
      <c r="G95" s="65"/>
      <c r="H95" s="65" t="str">
        <f>IFERROR(__xludf.DUMMYFUNCTION("""COMPUTED_VALUE"""),"Nationwide Ship to School")</f>
        <v>Nationwide Ship to School</v>
      </c>
      <c r="I95" s="65" t="str">
        <f>IFERROR(__xludf.DUMMYFUNCTION("""COMPUTED_VALUE"""),"University Housing")</f>
        <v>University Housing</v>
      </c>
      <c r="J95" s="108" t="str">
        <f>IFERROR(__xludf.DUMMYFUNCTION("""COMPUTED_VALUE"""),"09:00 AM to 11:00 AM  ")</f>
        <v>09:00 AM to 11:00 AM  </v>
      </c>
      <c r="K95" s="108">
        <f>IFERROR(__xludf.DUMMYFUNCTION("""COMPUTED_VALUE"""),45883.0)</f>
        <v>45883</v>
      </c>
      <c r="L95" s="65" t="str">
        <f>IFERROR(__xludf.DUMMYFUNCTION("""COMPUTED_VALUE"""),"Rutledge  ")</f>
        <v>Rutledge  </v>
      </c>
      <c r="M95" s="111" t="str">
        <f>IFERROR(__xludf.DUMMYFUNCTION("""COMPUTED_VALUE"""),"112 A")</f>
        <v>112 A</v>
      </c>
      <c r="N95" s="65"/>
      <c r="O95" s="65" t="str">
        <f>IFERROR(__xludf.DUMMYFUNCTION("""COMPUTED_VALUE"""),"1119 Hollyhead Lane  ")</f>
        <v>1119 Hollyhead Lane  </v>
      </c>
      <c r="P95" s="65"/>
    </row>
    <row r="96">
      <c r="A96" s="99" t="str">
        <f>IFERROR(__xludf.DUMMYFUNCTION("""COMPUTED_VALUE"""),"https://utrucking.com/admin/orders/5909518745788")</f>
        <v>https://utrucking.com/admin/orders/5909518745788</v>
      </c>
      <c r="B96" s="61" t="str">
        <f>IFERROR(__xludf.DUMMYFUNCTION("""COMPUTED_VALUE"""),"#15408")</f>
        <v>#15408</v>
      </c>
      <c r="C96" s="61" t="str">
        <f>IFERROR(__xludf.DUMMYFUNCTION("""COMPUTED_VALUE"""),"lfdibble@gmail.com")</f>
        <v>lfdibble@gmail.com</v>
      </c>
      <c r="D96" s="61">
        <f>IFERROR(__xludf.DUMMYFUNCTION("""COMPUTED_VALUE"""),2.675685157E9)</f>
        <v>2675685157</v>
      </c>
      <c r="E96" s="61" t="str">
        <f>IFERROR(__xludf.DUMMYFUNCTION("""COMPUTED_VALUE"""),"Laura Dibble")</f>
        <v>Laura Dibble</v>
      </c>
      <c r="F96" s="61"/>
      <c r="G96" s="61" t="str">
        <f>IFERROR(__xludf.DUMMYFUNCTION("""COMPUTED_VALUE"""),"Montclair Apts - Unit 10N
18 S Kingshighway Blvd
St Louis MO 
63108")</f>
        <v>Montclair Apts - Unit 10N
18 S Kingshighway Blvd
St Louis MO 
63108</v>
      </c>
      <c r="H96" s="61" t="str">
        <f>IFERROR(__xludf.DUMMYFUNCTION("""COMPUTED_VALUE"""),"Nationwide Ship to School")</f>
        <v>Nationwide Ship to School</v>
      </c>
      <c r="I96" s="61" t="str">
        <f>IFERROR(__xludf.DUMMYFUNCTION("""COMPUTED_VALUE"""),"Non-University Housing")</f>
        <v>Non-University Housing</v>
      </c>
      <c r="J96" s="107" t="str">
        <f>IFERROR(__xludf.DUMMYFUNCTION("""COMPUTED_VALUE"""),"09:00 AM to 11:00 AM  ")</f>
        <v>09:00 AM to 11:00 AM  </v>
      </c>
      <c r="K96" s="107">
        <f>IFERROR(__xludf.DUMMYFUNCTION("""COMPUTED_VALUE"""),45874.0)</f>
        <v>45874</v>
      </c>
      <c r="L96" s="61"/>
      <c r="M96" s="110"/>
      <c r="N96" s="61" t="str">
        <f>IFERROR(__xludf.DUMMYFUNCTION("""COMPUTED_VALUE"""),"Montclair Apts - Unit 10N
18 S Kingshighway Blvd
St Louis MO 
63108")</f>
        <v>Montclair Apts - Unit 10N
18 S Kingshighway Blvd
St Louis MO 
63108</v>
      </c>
      <c r="O96" s="61" t="str">
        <f>IFERROR(__xludf.DUMMYFUNCTION("""COMPUTED_VALUE"""),"Laura Dibble (267-568-5157)
260 Mather Road
Jenkintown, PA
19046  ")</f>
        <v>Laura Dibble (267-568-5157)
260 Mather Road
Jenkintown, PA
19046  </v>
      </c>
      <c r="P96" s="61"/>
    </row>
    <row r="97">
      <c r="A97" s="102" t="str">
        <f>IFERROR(__xludf.DUMMYFUNCTION("""COMPUTED_VALUE"""),"https://utrucking.com/admin/orders/5909561475260")</f>
        <v>https://utrucking.com/admin/orders/5909561475260</v>
      </c>
      <c r="B97" s="65" t="str">
        <f>IFERROR(__xludf.DUMMYFUNCTION("""COMPUTED_VALUE"""),"#15410")</f>
        <v>#15410</v>
      </c>
      <c r="C97" s="65"/>
      <c r="D97" s="65">
        <f>IFERROR(__xludf.DUMMYFUNCTION("""COMPUTED_VALUE"""),3.054394279E9)</f>
        <v>3054394279</v>
      </c>
      <c r="E97" s="65" t="str">
        <f>IFERROR(__xludf.DUMMYFUNCTION("""COMPUTED_VALUE"""),"Laura Alfonso")</f>
        <v>Laura Alfonso</v>
      </c>
      <c r="F97" s="65"/>
      <c r="G97" s="65"/>
      <c r="H97" s="65" t="str">
        <f>IFERROR(__xludf.DUMMYFUNCTION("""COMPUTED_VALUE"""),"Nationwide Ship to School")</f>
        <v>Nationwide Ship to School</v>
      </c>
      <c r="I97" s="65" t="str">
        <f>IFERROR(__xludf.DUMMYFUNCTION("""COMPUTED_VALUE"""),"University Housing")</f>
        <v>University Housing</v>
      </c>
      <c r="J97" s="108" t="str">
        <f>IFERROR(__xludf.DUMMYFUNCTION("""COMPUTED_VALUE"""),"09:00 AM to 11:00 AM  ")</f>
        <v>09:00 AM to 11:00 AM  </v>
      </c>
      <c r="K97" s="108">
        <f>IFERROR(__xludf.DUMMYFUNCTION("""COMPUTED_VALUE"""),45883.0)</f>
        <v>45883</v>
      </c>
      <c r="L97" s="65" t="str">
        <f>IFERROR(__xludf.DUMMYFUNCTION("""COMPUTED_VALUE"""),"Eliot A  ")</f>
        <v>Eliot A  </v>
      </c>
      <c r="M97" s="111" t="str">
        <f>IFERROR(__xludf.DUMMYFUNCTION("""COMPUTED_VALUE"""),"2063 A")</f>
        <v>2063 A</v>
      </c>
      <c r="N97" s="65"/>
      <c r="O97" s="65" t="str">
        <f>IFERROR(__xludf.DUMMYFUNCTION("""COMPUTED_VALUE"""),"6301 SW 110 Street Miami, FL 33156  ")</f>
        <v>6301 SW 110 Street Miami, FL 33156  </v>
      </c>
      <c r="P97" s="65"/>
    </row>
    <row r="98">
      <c r="A98" s="99" t="str">
        <f>IFERROR(__xludf.DUMMYFUNCTION("""COMPUTED_VALUE"""),"https://utrucking.com/admin/orders/5909566521532")</f>
        <v>https://utrucking.com/admin/orders/5909566521532</v>
      </c>
      <c r="B98" s="61" t="str">
        <f>IFERROR(__xludf.DUMMYFUNCTION("""COMPUTED_VALUE"""),"#15412")</f>
        <v>#15412</v>
      </c>
      <c r="C98" s="61"/>
      <c r="D98" s="61">
        <f>IFERROR(__xludf.DUMMYFUNCTION("""COMPUTED_VALUE"""),3.054394279E9)</f>
        <v>3054394279</v>
      </c>
      <c r="E98" s="61" t="str">
        <f>IFERROR(__xludf.DUMMYFUNCTION("""COMPUTED_VALUE"""),"Annabella Miki")</f>
        <v>Annabella Miki</v>
      </c>
      <c r="F98" s="61"/>
      <c r="G98" s="61"/>
      <c r="H98" s="61" t="str">
        <f>IFERROR(__xludf.DUMMYFUNCTION("""COMPUTED_VALUE"""),"Nationwide Ship to School")</f>
        <v>Nationwide Ship to School</v>
      </c>
      <c r="I98" s="61" t="str">
        <f>IFERROR(__xludf.DUMMYFUNCTION("""COMPUTED_VALUE"""),"University Housing")</f>
        <v>University Housing</v>
      </c>
      <c r="J98" s="107" t="str">
        <f>IFERROR(__xludf.DUMMYFUNCTION("""COMPUTED_VALUE"""),"09:00 AM to 11:00 AM  ")</f>
        <v>09:00 AM to 11:00 AM  </v>
      </c>
      <c r="K98" s="107">
        <f>IFERROR(__xludf.DUMMYFUNCTION("""COMPUTED_VALUE"""),45883.0)</f>
        <v>45883</v>
      </c>
      <c r="L98" s="61" t="str">
        <f>IFERROR(__xludf.DUMMYFUNCTION("""COMPUTED_VALUE"""),"Eliot A  ")</f>
        <v>Eliot A  </v>
      </c>
      <c r="M98" s="110" t="str">
        <f>IFERROR(__xludf.DUMMYFUNCTION("""COMPUTED_VALUE"""),"2063 A")</f>
        <v>2063 A</v>
      </c>
      <c r="N98" s="61"/>
      <c r="O98" s="61" t="str">
        <f>IFERROR(__xludf.DUMMYFUNCTION("""COMPUTED_VALUE"""),"6301 SW 110 Street, Miami, FL 33156  ")</f>
        <v>6301 SW 110 Street, Miami, FL 33156  </v>
      </c>
      <c r="P98" s="61"/>
    </row>
    <row r="99">
      <c r="A99" s="102" t="str">
        <f>IFERROR(__xludf.DUMMYFUNCTION("""COMPUTED_VALUE"""),"https://utrucking.com/admin/orders/5910653239484")</f>
        <v>https://utrucking.com/admin/orders/5910653239484</v>
      </c>
      <c r="B99" s="65" t="str">
        <f>IFERROR(__xludf.DUMMYFUNCTION("""COMPUTED_VALUE"""),"#15427")</f>
        <v>#15427</v>
      </c>
      <c r="C99" s="65"/>
      <c r="D99" s="65"/>
      <c r="E99" s="65" t="str">
        <f>IFERROR(__xludf.DUMMYFUNCTION("""COMPUTED_VALUE"""),"Jola Thun")</f>
        <v>Jola Thun</v>
      </c>
      <c r="F99" s="65"/>
      <c r="G99" s="65"/>
      <c r="H99" s="65" t="str">
        <f>IFERROR(__xludf.DUMMYFUNCTION("""COMPUTED_VALUE"""),"Nationwide Ship to School")</f>
        <v>Nationwide Ship to School</v>
      </c>
      <c r="I99" s="65" t="str">
        <f>IFERROR(__xludf.DUMMYFUNCTION("""COMPUTED_VALUE"""),"University Housing")</f>
        <v>University Housing</v>
      </c>
      <c r="J99" s="108" t="str">
        <f>IFERROR(__xludf.DUMMYFUNCTION("""COMPUTED_VALUE"""),"09:00 AM to 11:00 AM  ")</f>
        <v>09:00 AM to 11:00 AM  </v>
      </c>
      <c r="K99" s="108">
        <f>IFERROR(__xludf.DUMMYFUNCTION("""COMPUTED_VALUE"""),45861.0)</f>
        <v>45861</v>
      </c>
      <c r="L99" s="65" t="str">
        <f>IFERROR(__xludf.DUMMYFUNCTION("""COMPUTED_VALUE"""),"DON'T KNOW YET (put 'XXX' for room #)")</f>
        <v>DON'T KNOW YET (put 'XXX' for room #)</v>
      </c>
      <c r="M99" s="111" t="str">
        <f>IFERROR(__xludf.DUMMYFUNCTION("""COMPUTED_VALUE"""),"XXX")</f>
        <v>XXX</v>
      </c>
      <c r="N99" s="65"/>
      <c r="O99" s="65" t="str">
        <f>IFERROR(__xludf.DUMMYFUNCTION("""COMPUTED_VALUE"""),"3152 Curts Ave
Los Angeles, CA 90034  ")</f>
        <v>3152 Curts Ave
Los Angeles, CA 90034  </v>
      </c>
      <c r="P99" s="65"/>
    </row>
    <row r="100">
      <c r="A100" s="99" t="str">
        <f>IFERROR(__xludf.DUMMYFUNCTION("""COMPUTED_VALUE"""),"https://utrucking.com/admin/orders/5910630498492")</f>
        <v>https://utrucking.com/admin/orders/5910630498492</v>
      </c>
      <c r="B100" s="61" t="str">
        <f>IFERROR(__xludf.DUMMYFUNCTION("""COMPUTED_VALUE"""),"#15428")</f>
        <v>#15428</v>
      </c>
      <c r="C100" s="61"/>
      <c r="D100" s="61">
        <f>IFERROR(__xludf.DUMMYFUNCTION("""COMPUTED_VALUE"""),3.108030065E9)</f>
        <v>3108030065</v>
      </c>
      <c r="E100" s="61" t="str">
        <f>IFERROR(__xludf.DUMMYFUNCTION("""COMPUTED_VALUE"""),"Sonia Gaur")</f>
        <v>Sonia Gaur</v>
      </c>
      <c r="F100" s="61"/>
      <c r="G100" s="61"/>
      <c r="H100" s="61" t="str">
        <f>IFERROR(__xludf.DUMMYFUNCTION("""COMPUTED_VALUE"""),"Nationwide Ship to School")</f>
        <v>Nationwide Ship to School</v>
      </c>
      <c r="I100" s="61" t="str">
        <f>IFERROR(__xludf.DUMMYFUNCTION("""COMPUTED_VALUE"""),"University Housing")</f>
        <v>University Housing</v>
      </c>
      <c r="J100" s="107" t="str">
        <f>IFERROR(__xludf.DUMMYFUNCTION("""COMPUTED_VALUE"""),"09:00 AM to 11:00 AM  ")</f>
        <v>09:00 AM to 11:00 AM  </v>
      </c>
      <c r="K100" s="107">
        <f>IFERROR(__xludf.DUMMYFUNCTION("""COMPUTED_VALUE"""),45883.0)</f>
        <v>45883</v>
      </c>
      <c r="L100" s="61" t="str">
        <f>IFERROR(__xludf.DUMMYFUNCTION("""COMPUTED_VALUE"""),"Koenig  ")</f>
        <v>Koenig  </v>
      </c>
      <c r="M100" s="110" t="str">
        <f>IFERROR(__xludf.DUMMYFUNCTION("""COMPUTED_VALUE"""),"3318")</f>
        <v>3318</v>
      </c>
      <c r="N100" s="61"/>
      <c r="O100" s="61" t="str">
        <f>IFERROR(__xludf.DUMMYFUNCTION("""COMPUTED_VALUE"""),"12169 Hilltop drive, Los Altos hills CA 94024  ")</f>
        <v>12169 Hilltop drive, Los Altos hills CA 94024  </v>
      </c>
      <c r="P100" s="61"/>
    </row>
    <row r="101">
      <c r="A101" s="102" t="str">
        <f>IFERROR(__xludf.DUMMYFUNCTION("""COMPUTED_VALUE"""),"https://utrucking.com/admin/orders/5910763307196")</f>
        <v>https://utrucking.com/admin/orders/5910763307196</v>
      </c>
      <c r="B101" s="65" t="str">
        <f>IFERROR(__xludf.DUMMYFUNCTION("""COMPUTED_VALUE"""),"#15431")</f>
        <v>#15431</v>
      </c>
      <c r="C101" s="65" t="str">
        <f>IFERROR(__xludf.DUMMYFUNCTION("""COMPUTED_VALUE"""),"murphyis@aol.com")</f>
        <v>murphyis@aol.com</v>
      </c>
      <c r="D101" s="65">
        <f>IFERROR(__xludf.DUMMYFUNCTION("""COMPUTED_VALUE"""),2.026416927E9)</f>
        <v>2026416927</v>
      </c>
      <c r="E101" s="65" t="str">
        <f>IFERROR(__xludf.DUMMYFUNCTION("""COMPUTED_VALUE"""),"Margaret Murphy")</f>
        <v>Margaret Murphy</v>
      </c>
      <c r="F101" s="65"/>
      <c r="G101" s="65"/>
      <c r="H101" s="65" t="str">
        <f>IFERROR(__xludf.DUMMYFUNCTION("""COMPUTED_VALUE"""),"Nationwide Ship to School")</f>
        <v>Nationwide Ship to School</v>
      </c>
      <c r="I101" s="65" t="str">
        <f>IFERROR(__xludf.DUMMYFUNCTION("""COMPUTED_VALUE"""),"University Housing")</f>
        <v>University Housing</v>
      </c>
      <c r="J101" s="108" t="str">
        <f>IFERROR(__xludf.DUMMYFUNCTION("""COMPUTED_VALUE"""),"09:00 AM to 11:00 AM  ")</f>
        <v>09:00 AM to 11:00 AM  </v>
      </c>
      <c r="K101" s="108">
        <f>IFERROR(__xludf.DUMMYFUNCTION("""COMPUTED_VALUE"""),45883.0)</f>
        <v>45883</v>
      </c>
      <c r="L101" s="65" t="str">
        <f>IFERROR(__xludf.DUMMYFUNCTION("""COMPUTED_VALUE"""),"Danforth  ")</f>
        <v>Danforth  </v>
      </c>
      <c r="M101" s="111" t="str">
        <f>IFERROR(__xludf.DUMMYFUNCTION("""COMPUTED_VALUE"""),"4415-B")</f>
        <v>4415-B</v>
      </c>
      <c r="N101" s="65"/>
      <c r="O101" s="65" t="str">
        <f>IFERROR(__xludf.DUMMYFUNCTION("""COMPUTED_VALUE"""),"8635 Montgomery Ave 
Glenside PA 19038  ")</f>
        <v>8635 Montgomery Ave 
Glenside PA 19038  </v>
      </c>
      <c r="P101" s="65"/>
    </row>
    <row r="102">
      <c r="A102" s="99" t="str">
        <f>IFERROR(__xludf.DUMMYFUNCTION("""COMPUTED_VALUE"""),"https://utrucking.com/admin/orders/5910789816508")</f>
        <v>https://utrucking.com/admin/orders/5910789816508</v>
      </c>
      <c r="B102" s="61" t="str">
        <f>IFERROR(__xludf.DUMMYFUNCTION("""COMPUTED_VALUE"""),"#15432")</f>
        <v>#15432</v>
      </c>
      <c r="C102" s="61" t="str">
        <f>IFERROR(__xludf.DUMMYFUNCTION("""COMPUTED_VALUE"""),"zeller@writeme.com")</f>
        <v>zeller@writeme.com</v>
      </c>
      <c r="D102" s="61">
        <f>IFERROR(__xludf.DUMMYFUNCTION("""COMPUTED_VALUE"""),6.50241876E9)</f>
        <v>6502418760</v>
      </c>
      <c r="E102" s="61" t="str">
        <f>IFERROR(__xludf.DUMMYFUNCTION("""COMPUTED_VALUE"""),"Matthias Zeller")</f>
        <v>Matthias Zeller</v>
      </c>
      <c r="F102" s="61"/>
      <c r="G102" s="61"/>
      <c r="H102" s="61" t="str">
        <f>IFERROR(__xludf.DUMMYFUNCTION("""COMPUTED_VALUE"""),"Nationwide Ship to School")</f>
        <v>Nationwide Ship to School</v>
      </c>
      <c r="I102" s="61" t="str">
        <f>IFERROR(__xludf.DUMMYFUNCTION("""COMPUTED_VALUE"""),"University Housing")</f>
        <v>University Housing</v>
      </c>
      <c r="J102" s="107" t="str">
        <f>IFERROR(__xludf.DUMMYFUNCTION("""COMPUTED_VALUE"""),"09:00 AM to 11:00 AM  ")</f>
        <v>09:00 AM to 11:00 AM  </v>
      </c>
      <c r="K102" s="107">
        <f>IFERROR(__xludf.DUMMYFUNCTION("""COMPUTED_VALUE"""),45883.0)</f>
        <v>45883</v>
      </c>
      <c r="L102" s="61" t="str">
        <f>IFERROR(__xludf.DUMMYFUNCTION("""COMPUTED_VALUE"""),"Myers  ")</f>
        <v>Myers  </v>
      </c>
      <c r="M102" s="110" t="str">
        <f>IFERROR(__xludf.DUMMYFUNCTION("""COMPUTED_VALUE"""),"343-A")</f>
        <v>343-A</v>
      </c>
      <c r="N102" s="61"/>
      <c r="O102" s="61" t="str">
        <f>IFERROR(__xludf.DUMMYFUNCTION("""COMPUTED_VALUE"""),"4137 Donald Dr
Palo Alto, CA 94306  ")</f>
        <v>4137 Donald Dr
Palo Alto, CA 94306  </v>
      </c>
      <c r="P102" s="61"/>
    </row>
    <row r="103">
      <c r="A103" s="102" t="str">
        <f>IFERROR(__xludf.DUMMYFUNCTION("""COMPUTED_VALUE"""),"https://utrucking.com/admin/orders/5912136777916")</f>
        <v>https://utrucking.com/admin/orders/5912136777916</v>
      </c>
      <c r="B103" s="65" t="str">
        <f>IFERROR(__xludf.DUMMYFUNCTION("""COMPUTED_VALUE"""),"#15444")</f>
        <v>#15444</v>
      </c>
      <c r="C103" s="65" t="str">
        <f>IFERROR(__xludf.DUMMYFUNCTION("""COMPUTED_VALUE"""),"ecarrott@hotmail.com")</f>
        <v>ecarrott@hotmail.com</v>
      </c>
      <c r="D103" s="65">
        <f>IFERROR(__xludf.DUMMYFUNCTION("""COMPUTED_VALUE"""),2.023022986E9)</f>
        <v>2023022986</v>
      </c>
      <c r="E103" s="65" t="str">
        <f>IFERROR(__xludf.DUMMYFUNCTION("""COMPUTED_VALUE"""),"Elizabeth Minnigh")</f>
        <v>Elizabeth Minnigh</v>
      </c>
      <c r="F103" s="65"/>
      <c r="G103" s="65"/>
      <c r="H103" s="65" t="str">
        <f>IFERROR(__xludf.DUMMYFUNCTION("""COMPUTED_VALUE"""),"Nationwide Ship to School")</f>
        <v>Nationwide Ship to School</v>
      </c>
      <c r="I103" s="65" t="str">
        <f>IFERROR(__xludf.DUMMYFUNCTION("""COMPUTED_VALUE"""),"University Housing")</f>
        <v>University Housing</v>
      </c>
      <c r="J103" s="108" t="str">
        <f>IFERROR(__xludf.DUMMYFUNCTION("""COMPUTED_VALUE"""),"09:00 AM to 11:00 AM  ")</f>
        <v>09:00 AM to 11:00 AM  </v>
      </c>
      <c r="K103" s="108">
        <f>IFERROR(__xludf.DUMMYFUNCTION("""COMPUTED_VALUE"""),45883.0)</f>
        <v>45883</v>
      </c>
      <c r="L103" s="65" t="str">
        <f>IFERROR(__xludf.DUMMYFUNCTION("""COMPUTED_VALUE"""),"Danforth  ")</f>
        <v>Danforth  </v>
      </c>
      <c r="M103" s="111" t="str">
        <f>IFERROR(__xludf.DUMMYFUNCTION("""COMPUTED_VALUE"""),"4402")</f>
        <v>4402</v>
      </c>
      <c r="N103" s="65"/>
      <c r="O103" s="65" t="str">
        <f>IFERROR(__xludf.DUMMYFUNCTION("""COMPUTED_VALUE"""),"3854 N Upland St
Arlington VA 22207  ")</f>
        <v>3854 N Upland St
Arlington VA 22207  </v>
      </c>
      <c r="P103" s="65"/>
    </row>
    <row r="104">
      <c r="A104" s="99" t="str">
        <f>IFERROR(__xludf.DUMMYFUNCTION("""COMPUTED_VALUE"""),"https://utrucking.com/admin/orders/5912162304188")</f>
        <v>https://utrucking.com/admin/orders/5912162304188</v>
      </c>
      <c r="B104" s="61" t="str">
        <f>IFERROR(__xludf.DUMMYFUNCTION("""COMPUTED_VALUE"""),"#15446")</f>
        <v>#15446</v>
      </c>
      <c r="C104" s="61" t="str">
        <f>IFERROR(__xludf.DUMMYFUNCTION("""COMPUTED_VALUE"""),"angeliehuynh20065@gmail.com")</f>
        <v>angeliehuynh20065@gmail.com</v>
      </c>
      <c r="D104" s="61">
        <f>IFERROR(__xludf.DUMMYFUNCTION("""COMPUTED_VALUE"""),6.024102189E9)</f>
        <v>6024102189</v>
      </c>
      <c r="E104" s="61" t="str">
        <f>IFERROR(__xludf.DUMMYFUNCTION("""COMPUTED_VALUE"""),"Angelie Huynh")</f>
        <v>Angelie Huynh</v>
      </c>
      <c r="F104" s="61"/>
      <c r="G104" s="61"/>
      <c r="H104" s="61" t="str">
        <f>IFERROR(__xludf.DUMMYFUNCTION("""COMPUTED_VALUE"""),"Nationwide Ship to School")</f>
        <v>Nationwide Ship to School</v>
      </c>
      <c r="I104" s="61" t="str">
        <f>IFERROR(__xludf.DUMMYFUNCTION("""COMPUTED_VALUE"""),"University Housing")</f>
        <v>University Housing</v>
      </c>
      <c r="J104" s="107" t="str">
        <f>IFERROR(__xludf.DUMMYFUNCTION("""COMPUTED_VALUE"""),"09:00 AM to 11:00 AM  ")</f>
        <v>09:00 AM to 11:00 AM  </v>
      </c>
      <c r="K104" s="107">
        <f>IFERROR(__xludf.DUMMYFUNCTION("""COMPUTED_VALUE"""),45883.0)</f>
        <v>45883</v>
      </c>
      <c r="L104" s="61" t="str">
        <f>IFERROR(__xludf.DUMMYFUNCTION("""COMPUTED_VALUE"""),"Danforth  ")</f>
        <v>Danforth  </v>
      </c>
      <c r="M104" s="110" t="str">
        <f>IFERROR(__xludf.DUMMYFUNCTION("""COMPUTED_VALUE"""),"3322")</f>
        <v>3322</v>
      </c>
      <c r="N104" s="61"/>
      <c r="O104" s="61" t="str">
        <f>IFERROR(__xludf.DUMMYFUNCTION("""COMPUTED_VALUE"""),"12734 W Ash Street, El Mirage, AZ 85335  ")</f>
        <v>12734 W Ash Street, El Mirage, AZ 85335  </v>
      </c>
      <c r="P104" s="61"/>
    </row>
    <row r="105">
      <c r="A105" s="102" t="str">
        <f>IFERROR(__xludf.DUMMYFUNCTION("""COMPUTED_VALUE"""),"https://utrucking.com/admin/orders/5912196874428")</f>
        <v>https://utrucking.com/admin/orders/5912196874428</v>
      </c>
      <c r="B105" s="65" t="str">
        <f>IFERROR(__xludf.DUMMYFUNCTION("""COMPUTED_VALUE"""),"#15447")</f>
        <v>#15447</v>
      </c>
      <c r="C105" s="65" t="str">
        <f>IFERROR(__xludf.DUMMYFUNCTION("""COMPUTED_VALUE"""),"barbosa@wustl.edu")</f>
        <v>barbosa@wustl.edu</v>
      </c>
      <c r="D105" s="65">
        <f>IFERROR(__xludf.DUMMYFUNCTION("""COMPUTED_VALUE"""),2.034601088E9)</f>
        <v>2034601088</v>
      </c>
      <c r="E105" s="65" t="str">
        <f>IFERROR(__xludf.DUMMYFUNCTION("""COMPUTED_VALUE"""),"David Barbosa")</f>
        <v>David Barbosa</v>
      </c>
      <c r="F105" s="65"/>
      <c r="G105" s="65"/>
      <c r="H105" s="65" t="str">
        <f>IFERROR(__xludf.DUMMYFUNCTION("""COMPUTED_VALUE"""),"Nationwide Ship to School")</f>
        <v>Nationwide Ship to School</v>
      </c>
      <c r="I105" s="65" t="str">
        <f>IFERROR(__xludf.DUMMYFUNCTION("""COMPUTED_VALUE"""),"University Housing")</f>
        <v>University Housing</v>
      </c>
      <c r="J105" s="108" t="str">
        <f>IFERROR(__xludf.DUMMYFUNCTION("""COMPUTED_VALUE"""),"09:00 AM to 11:00 AM  ")</f>
        <v>09:00 AM to 11:00 AM  </v>
      </c>
      <c r="K105" s="108">
        <f>IFERROR(__xludf.DUMMYFUNCTION("""COMPUTED_VALUE"""),45883.0)</f>
        <v>45883</v>
      </c>
      <c r="L105" s="65" t="str">
        <f>IFERROR(__xludf.DUMMYFUNCTION("""COMPUTED_VALUE"""),"Shanedling  ")</f>
        <v>Shanedling  </v>
      </c>
      <c r="M105" s="111" t="str">
        <f>IFERROR(__xludf.DUMMYFUNCTION("""COMPUTED_VALUE"""),"431-a")</f>
        <v>431-a</v>
      </c>
      <c r="N105" s="65"/>
      <c r="O105" s="65" t="str">
        <f>IFERROR(__xludf.DUMMYFUNCTION("""COMPUTED_VALUE"""),"16 Elm St Apt 6. Lowell, MA  ")</f>
        <v>16 Elm St Apt 6. Lowell, MA  </v>
      </c>
      <c r="P105" s="65"/>
    </row>
    <row r="106">
      <c r="A106" s="99" t="str">
        <f>IFERROR(__xludf.DUMMYFUNCTION("""COMPUTED_VALUE"""),"https://utrucking.com/admin/orders/5912204935356")</f>
        <v>https://utrucking.com/admin/orders/5912204935356</v>
      </c>
      <c r="B106" s="61" t="str">
        <f>IFERROR(__xludf.DUMMYFUNCTION("""COMPUTED_VALUE"""),"#15450")</f>
        <v>#15450</v>
      </c>
      <c r="C106" s="61"/>
      <c r="D106" s="61"/>
      <c r="E106" s="61" t="str">
        <f>IFERROR(__xludf.DUMMYFUNCTION("""COMPUTED_VALUE"""),"Nathan Blum")</f>
        <v>Nathan Blum</v>
      </c>
      <c r="F106" s="61"/>
      <c r="G106" s="61"/>
      <c r="H106" s="61" t="str">
        <f>IFERROR(__xludf.DUMMYFUNCTION("""COMPUTED_VALUE"""),"Nationwide Ship to School")</f>
        <v>Nationwide Ship to School</v>
      </c>
      <c r="I106" s="61" t="str">
        <f>IFERROR(__xludf.DUMMYFUNCTION("""COMPUTED_VALUE"""),"University Housing")</f>
        <v>University Housing</v>
      </c>
      <c r="J106" s="107" t="str">
        <f>IFERROR(__xludf.DUMMYFUNCTION("""COMPUTED_VALUE"""),"09:00 AM to 11:00 AM  ")</f>
        <v>09:00 AM to 11:00 AM  </v>
      </c>
      <c r="K106" s="107">
        <f>IFERROR(__xludf.DUMMYFUNCTION("""COMPUTED_VALUE"""),45883.0)</f>
        <v>45883</v>
      </c>
      <c r="L106" s="61" t="str">
        <f>IFERROR(__xludf.DUMMYFUNCTION("""COMPUTED_VALUE"""),"Millbrook Bldg. 3  ")</f>
        <v>Millbrook Bldg. 3  </v>
      </c>
      <c r="M106" s="110" t="str">
        <f>IFERROR(__xludf.DUMMYFUNCTION("""COMPUTED_VALUE"""),"B-2F")</f>
        <v>B-2F</v>
      </c>
      <c r="N106" s="61"/>
      <c r="O106" s="61" t="str">
        <f>IFERROR(__xludf.DUMMYFUNCTION("""COMPUTED_VALUE"""),"3353 12th Ave
Brooklyn, NY 11218  ")</f>
        <v>3353 12th Ave
Brooklyn, NY 11218  </v>
      </c>
      <c r="P106" s="61"/>
    </row>
    <row r="107">
      <c r="A107" s="102" t="str">
        <f>IFERROR(__xludf.DUMMYFUNCTION("""COMPUTED_VALUE"""),"https://utrucking.com/admin/orders/5912404099260")</f>
        <v>https://utrucking.com/admin/orders/5912404099260</v>
      </c>
      <c r="B107" s="65" t="str">
        <f>IFERROR(__xludf.DUMMYFUNCTION("""COMPUTED_VALUE"""),"#15454")</f>
        <v>#15454</v>
      </c>
      <c r="C107" s="65" t="str">
        <f>IFERROR(__xludf.DUMMYFUNCTION("""COMPUTED_VALUE"""),"navelisingh123@gmail.com")</f>
        <v>navelisingh123@gmail.com</v>
      </c>
      <c r="D107" s="65">
        <f>IFERROR(__xludf.DUMMYFUNCTION("""COMPUTED_VALUE"""),6.504005711E9)</f>
        <v>6504005711</v>
      </c>
      <c r="E107" s="65" t="str">
        <f>IFERROR(__xludf.DUMMYFUNCTION("""COMPUTED_VALUE"""),"Naveli Singh")</f>
        <v>Naveli Singh</v>
      </c>
      <c r="F107" s="65"/>
      <c r="G107" s="65"/>
      <c r="H107" s="65" t="str">
        <f>IFERROR(__xludf.DUMMYFUNCTION("""COMPUTED_VALUE"""),"Nationwide Ship to School")</f>
        <v>Nationwide Ship to School</v>
      </c>
      <c r="I107" s="65" t="str">
        <f>IFERROR(__xludf.DUMMYFUNCTION("""COMPUTED_VALUE"""),"University Housing")</f>
        <v>University Housing</v>
      </c>
      <c r="J107" s="108" t="str">
        <f>IFERROR(__xludf.DUMMYFUNCTION("""COMPUTED_VALUE"""),"09:00 AM to 11:00 AM  ")</f>
        <v>09:00 AM to 11:00 AM  </v>
      </c>
      <c r="K107" s="108">
        <f>IFERROR(__xludf.DUMMYFUNCTION("""COMPUTED_VALUE"""),45883.0)</f>
        <v>45883</v>
      </c>
      <c r="L107" s="65" t="str">
        <f>IFERROR(__xludf.DUMMYFUNCTION("""COMPUTED_VALUE"""),"Park  ")</f>
        <v>Park  </v>
      </c>
      <c r="M107" s="111" t="str">
        <f>IFERROR(__xludf.DUMMYFUNCTION("""COMPUTED_VALUE"""),"481")</f>
        <v>481</v>
      </c>
      <c r="N107" s="65"/>
      <c r="O107" s="65" t="str">
        <f>IFERROR(__xludf.DUMMYFUNCTION("""COMPUTED_VALUE"""),"11653 Dawson Drive, Los Altos Hills, CA, 94024  ")</f>
        <v>11653 Dawson Drive, Los Altos Hills, CA, 94024  </v>
      </c>
      <c r="P107" s="65"/>
    </row>
    <row r="108">
      <c r="A108" s="99" t="str">
        <f>IFERROR(__xludf.DUMMYFUNCTION("""COMPUTED_VALUE"""),"https://utrucking.com/admin/orders/5912420647100")</f>
        <v>https://utrucking.com/admin/orders/5912420647100</v>
      </c>
      <c r="B108" s="61" t="str">
        <f>IFERROR(__xludf.DUMMYFUNCTION("""COMPUTED_VALUE"""),"#15455")</f>
        <v>#15455</v>
      </c>
      <c r="C108" s="61" t="str">
        <f>IFERROR(__xludf.DUMMYFUNCTION("""COMPUTED_VALUE"""),"k.o.smith@wustl.edu")</f>
        <v>k.o.smith@wustl.edu</v>
      </c>
      <c r="D108" s="61">
        <f>IFERROR(__xludf.DUMMYFUNCTION("""COMPUTED_VALUE"""),4.176124295E9)</f>
        <v>4176124295</v>
      </c>
      <c r="E108" s="61" t="str">
        <f>IFERROR(__xludf.DUMMYFUNCTION("""COMPUTED_VALUE"""),"Kyle Smith")</f>
        <v>Kyle Smith</v>
      </c>
      <c r="F108" s="61"/>
      <c r="G108" s="61"/>
      <c r="H108" s="61" t="str">
        <f>IFERROR(__xludf.DUMMYFUNCTION("""COMPUTED_VALUE"""),"Nationwide Ship to School")</f>
        <v>Nationwide Ship to School</v>
      </c>
      <c r="I108" s="61" t="str">
        <f>IFERROR(__xludf.DUMMYFUNCTION("""COMPUTED_VALUE"""),"University Housing")</f>
        <v>University Housing</v>
      </c>
      <c r="J108" s="107" t="str">
        <f>IFERROR(__xludf.DUMMYFUNCTION("""COMPUTED_VALUE"""),"09:00 AM to 11:00 AM  ")</f>
        <v>09:00 AM to 11:00 AM  </v>
      </c>
      <c r="K108" s="107">
        <f>IFERROR(__xludf.DUMMYFUNCTION("""COMPUTED_VALUE"""),45883.0)</f>
        <v>45883</v>
      </c>
      <c r="L108" s="61" t="str">
        <f>IFERROR(__xludf.DUMMYFUNCTION("""COMPUTED_VALUE"""),"Koenig  ")</f>
        <v>Koenig  </v>
      </c>
      <c r="M108" s="110" t="str">
        <f>IFERROR(__xludf.DUMMYFUNCTION("""COMPUTED_VALUE"""),"3308b")</f>
        <v>3308b</v>
      </c>
      <c r="N108" s="61"/>
      <c r="O108" s="61" t="str">
        <f>IFERROR(__xludf.DUMMYFUNCTION("""COMPUTED_VALUE"""),"602B S College Ave, Marionville, MO 65705  ")</f>
        <v>602B S College Ave, Marionville, MO 65705  </v>
      </c>
      <c r="P108" s="61"/>
    </row>
    <row r="109">
      <c r="A109" s="102" t="str">
        <f>IFERROR(__xludf.DUMMYFUNCTION("""COMPUTED_VALUE"""),"https://utrucking.com/admin/orders/5912642551996")</f>
        <v>https://utrucking.com/admin/orders/5912642551996</v>
      </c>
      <c r="B109" s="65" t="str">
        <f>IFERROR(__xludf.DUMMYFUNCTION("""COMPUTED_VALUE"""),"#15462")</f>
        <v>#15462</v>
      </c>
      <c r="C109" s="65" t="str">
        <f>IFERROR(__xludf.DUMMYFUNCTION("""COMPUTED_VALUE"""),"alpatriceitoka@gmail.com")</f>
        <v>alpatriceitoka@gmail.com</v>
      </c>
      <c r="D109" s="65"/>
      <c r="E109" s="65" t="str">
        <f>IFERROR(__xludf.DUMMYFUNCTION("""COMPUTED_VALUE"""),"Alpatrice Itoka")</f>
        <v>Alpatrice Itoka</v>
      </c>
      <c r="F109" s="65"/>
      <c r="G109" s="65"/>
      <c r="H109" s="65" t="str">
        <f>IFERROR(__xludf.DUMMYFUNCTION("""COMPUTED_VALUE"""),"Nationwide Ship to School")</f>
        <v>Nationwide Ship to School</v>
      </c>
      <c r="I109" s="65" t="str">
        <f>IFERROR(__xludf.DUMMYFUNCTION("""COMPUTED_VALUE"""),"University Housing")</f>
        <v>University Housing</v>
      </c>
      <c r="J109" s="108" t="str">
        <f>IFERROR(__xludf.DUMMYFUNCTION("""COMPUTED_VALUE"""),"09:00 AM to 11:00 AM  ")</f>
        <v>09:00 AM to 11:00 AM  </v>
      </c>
      <c r="K109" s="108">
        <f>IFERROR(__xludf.DUMMYFUNCTION("""COMPUTED_VALUE"""),45883.0)</f>
        <v>45883</v>
      </c>
      <c r="L109" s="65" t="str">
        <f>IFERROR(__xludf.DUMMYFUNCTION("""COMPUTED_VALUE"""),"Lee  ")</f>
        <v>Lee  </v>
      </c>
      <c r="M109" s="111" t="str">
        <f>IFERROR(__xludf.DUMMYFUNCTION("""COMPUTED_VALUE"""),"120")</f>
        <v>120</v>
      </c>
      <c r="N109" s="65"/>
      <c r="O109" s="65" t="str">
        <f>IFERROR(__xludf.DUMMYFUNCTION("""COMPUTED_VALUE"""),"1000 Parkcrest Dr St. Charles Mo, 63301  ")</f>
        <v>1000 Parkcrest Dr St. Charles Mo, 63301  </v>
      </c>
      <c r="P109" s="65"/>
    </row>
    <row r="110">
      <c r="A110" s="99" t="str">
        <f>IFERROR(__xludf.DUMMYFUNCTION("""COMPUTED_VALUE"""),"https://utrucking.com/admin/orders/5912697471164")</f>
        <v>https://utrucking.com/admin/orders/5912697471164</v>
      </c>
      <c r="B110" s="61" t="str">
        <f>IFERROR(__xludf.DUMMYFUNCTION("""COMPUTED_VALUE"""),"#15467")</f>
        <v>#15467</v>
      </c>
      <c r="C110" s="61" t="str">
        <f>IFERROR(__xludf.DUMMYFUNCTION("""COMPUTED_VALUE"""),"sasideva@gmail.com")</f>
        <v>sasideva@gmail.com</v>
      </c>
      <c r="D110" s="61">
        <f>IFERROR(__xludf.DUMMYFUNCTION("""COMPUTED_VALUE"""),1.7194680886E10)</f>
        <v>17194680886</v>
      </c>
      <c r="E110" s="61" t="str">
        <f>IFERROR(__xludf.DUMMYFUNCTION("""COMPUTED_VALUE"""),"Kathir Sasikumar")</f>
        <v>Kathir Sasikumar</v>
      </c>
      <c r="F110" s="61"/>
      <c r="G110" s="61"/>
      <c r="H110" s="61" t="str">
        <f>IFERROR(__xludf.DUMMYFUNCTION("""COMPUTED_VALUE"""),"Nationwide Ship to School")</f>
        <v>Nationwide Ship to School</v>
      </c>
      <c r="I110" s="61" t="str">
        <f>IFERROR(__xludf.DUMMYFUNCTION("""COMPUTED_VALUE"""),"University Housing")</f>
        <v>University Housing</v>
      </c>
      <c r="J110" s="107" t="str">
        <f>IFERROR(__xludf.DUMMYFUNCTION("""COMPUTED_VALUE"""),"09:00 AM to 11:00 AM  ")</f>
        <v>09:00 AM to 11:00 AM  </v>
      </c>
      <c r="K110" s="107">
        <f>IFERROR(__xludf.DUMMYFUNCTION("""COMPUTED_VALUE"""),45883.0)</f>
        <v>45883</v>
      </c>
      <c r="L110" s="61" t="str">
        <f>IFERROR(__xludf.DUMMYFUNCTION("""COMPUTED_VALUE"""),"Danforth  ")</f>
        <v>Danforth  </v>
      </c>
      <c r="M110" s="110" t="str">
        <f>IFERROR(__xludf.DUMMYFUNCTION("""COMPUTED_VALUE"""),"Myers - 311 - a")</f>
        <v>Myers - 311 - a</v>
      </c>
      <c r="N110" s="61"/>
      <c r="O110" s="61" t="str">
        <f>IFERROR(__xludf.DUMMYFUNCTION("""COMPUTED_VALUE"""),"Kathir Sasikumar
MSC 96269
6515 Wydown Blvd.
St. Louis, MO 63105  ")</f>
        <v>Kathir Sasikumar
MSC 96269
6515 Wydown Blvd.
St. Louis, MO 63105  </v>
      </c>
      <c r="P110" s="61"/>
    </row>
    <row r="111">
      <c r="A111" s="102" t="str">
        <f>IFERROR(__xludf.DUMMYFUNCTION("""COMPUTED_VALUE"""),"https://utrucking.com/admin/orders/5912785354940")</f>
        <v>https://utrucking.com/admin/orders/5912785354940</v>
      </c>
      <c r="B111" s="65" t="str">
        <f>IFERROR(__xludf.DUMMYFUNCTION("""COMPUTED_VALUE"""),"#15475")</f>
        <v>#15475</v>
      </c>
      <c r="C111" s="65" t="str">
        <f>IFERROR(__xludf.DUMMYFUNCTION("""COMPUTED_VALUE"""),"mdourney@me.com")</f>
        <v>mdourney@me.com</v>
      </c>
      <c r="D111" s="65">
        <f>IFERROR(__xludf.DUMMYFUNCTION("""COMPUTED_VALUE"""),8.138177991E9)</f>
        <v>8138177991</v>
      </c>
      <c r="E111" s="65" t="str">
        <f>IFERROR(__xludf.DUMMYFUNCTION("""COMPUTED_VALUE"""),"Michael Dourney")</f>
        <v>Michael Dourney</v>
      </c>
      <c r="F111" s="65"/>
      <c r="G111" s="65"/>
      <c r="H111" s="65" t="str">
        <f>IFERROR(__xludf.DUMMYFUNCTION("""COMPUTED_VALUE"""),"Nationwide Ship to School")</f>
        <v>Nationwide Ship to School</v>
      </c>
      <c r="I111" s="65" t="str">
        <f>IFERROR(__xludf.DUMMYFUNCTION("""COMPUTED_VALUE"""),"University Housing")</f>
        <v>University Housing</v>
      </c>
      <c r="J111" s="108" t="str">
        <f>IFERROR(__xludf.DUMMYFUNCTION("""COMPUTED_VALUE"""),"09:00 AM to 11:00 AM  ")</f>
        <v>09:00 AM to 11:00 AM  </v>
      </c>
      <c r="K111" s="108">
        <f>IFERROR(__xludf.DUMMYFUNCTION("""COMPUTED_VALUE"""),45883.0)</f>
        <v>45883</v>
      </c>
      <c r="L111" s="65" t="str">
        <f>IFERROR(__xludf.DUMMYFUNCTION("""COMPUTED_VALUE"""),"Dauten  ")</f>
        <v>Dauten  </v>
      </c>
      <c r="M111" s="111" t="str">
        <f>IFERROR(__xludf.DUMMYFUNCTION("""COMPUTED_VALUE"""),"222-B")</f>
        <v>222-B</v>
      </c>
      <c r="N111" s="65"/>
      <c r="O111" s="65" t="str">
        <f>IFERROR(__xludf.DUMMYFUNCTION("""COMPUTED_VALUE"""),"Lillian Dourney
11947 Royce Waterford Cir
Tampa, FL 33626  ")</f>
        <v>Lillian Dourney
11947 Royce Waterford Cir
Tampa, FL 33626  </v>
      </c>
      <c r="P111" s="65"/>
    </row>
    <row r="112">
      <c r="A112" s="99" t="str">
        <f>IFERROR(__xludf.DUMMYFUNCTION("""COMPUTED_VALUE"""),"https://utrucking.com/admin/orders/5913070108860")</f>
        <v>https://utrucking.com/admin/orders/5913070108860</v>
      </c>
      <c r="B112" s="61" t="str">
        <f>IFERROR(__xludf.DUMMYFUNCTION("""COMPUTED_VALUE"""),"#15495")</f>
        <v>#15495</v>
      </c>
      <c r="C112" s="61" t="str">
        <f>IFERROR(__xludf.DUMMYFUNCTION("""COMPUTED_VALUE"""),"lhgvmd@msn.com")</f>
        <v>lhgvmd@msn.com</v>
      </c>
      <c r="D112" s="61">
        <f>IFERROR(__xludf.DUMMYFUNCTION("""COMPUTED_VALUE"""),1.9088725977E10)</f>
        <v>19088725977</v>
      </c>
      <c r="E112" s="61" t="str">
        <f>IFERROR(__xludf.DUMMYFUNCTION("""COMPUTED_VALUE"""),"Lisa Goldman")</f>
        <v>Lisa Goldman</v>
      </c>
      <c r="F112" s="61"/>
      <c r="G112" s="61"/>
      <c r="H112" s="61" t="str">
        <f>IFERROR(__xludf.DUMMYFUNCTION("""COMPUTED_VALUE"""),"Nationwide Ship to School")</f>
        <v>Nationwide Ship to School</v>
      </c>
      <c r="I112" s="61" t="str">
        <f>IFERROR(__xludf.DUMMYFUNCTION("""COMPUTED_VALUE"""),"University Housing ")</f>
        <v>University Housing </v>
      </c>
      <c r="J112" s="107" t="str">
        <f>IFERROR(__xludf.DUMMYFUNCTION("""COMPUTED_VALUE"""),"09:00 AM to 11:00 AM   ")</f>
        <v>09:00 AM to 11:00 AM   </v>
      </c>
      <c r="K112" s="107">
        <f>IFERROR(__xludf.DUMMYFUNCTION("""COMPUTED_VALUE"""),45883.0)</f>
        <v>45883</v>
      </c>
      <c r="L112" s="61" t="str">
        <f>IFERROR(__xludf.DUMMYFUNCTION("""COMPUTED_VALUE"""),"Park  ")</f>
        <v>Park  </v>
      </c>
      <c r="M112" s="110" t="str">
        <f>IFERROR(__xludf.DUMMYFUNCTION("""COMPUTED_VALUE"""),"340a")</f>
        <v>340a</v>
      </c>
      <c r="N112" s="61"/>
      <c r="O112" s="61" t="str">
        <f>IFERROR(__xludf.DUMMYFUNCTION("""COMPUTED_VALUE"""),"6 Checkerberry Circle, Sudbury Ma 01776
SUDBURY, MA 01776  ")</f>
        <v>6 Checkerberry Circle, Sudbury Ma 01776
SUDBURY, MA 01776  </v>
      </c>
      <c r="P112" s="61"/>
    </row>
    <row r="113">
      <c r="A113" s="102" t="str">
        <f>IFERROR(__xludf.DUMMYFUNCTION("""COMPUTED_VALUE"""),"https://utrucking.com/admin/orders/5913136726204")</f>
        <v>https://utrucking.com/admin/orders/5913136726204</v>
      </c>
      <c r="B113" s="65" t="str">
        <f>IFERROR(__xludf.DUMMYFUNCTION("""COMPUTED_VALUE"""),"#15500")</f>
        <v>#15500</v>
      </c>
      <c r="C113" s="65" t="str">
        <f>IFERROR(__xludf.DUMMYFUNCTION("""COMPUTED_VALUE"""),"dianagaffin@gmail.com")</f>
        <v>dianagaffin@gmail.com</v>
      </c>
      <c r="D113" s="65">
        <f>IFERROR(__xludf.DUMMYFUNCTION("""COMPUTED_VALUE"""),1.6172855518E10)</f>
        <v>16172855518</v>
      </c>
      <c r="E113" s="65" t="str">
        <f>IFERROR(__xludf.DUMMYFUNCTION("""COMPUTED_VALUE"""),"Eli Gaffin")</f>
        <v>Eli Gaffin</v>
      </c>
      <c r="F113" s="65"/>
      <c r="G113" s="65"/>
      <c r="H113" s="65" t="str">
        <f>IFERROR(__xludf.DUMMYFUNCTION("""COMPUTED_VALUE"""),"Nationwide Ship to School")</f>
        <v>Nationwide Ship to School</v>
      </c>
      <c r="I113" s="65" t="str">
        <f>IFERROR(__xludf.DUMMYFUNCTION("""COMPUTED_VALUE"""),"University Housing ")</f>
        <v>University Housing </v>
      </c>
      <c r="J113" s="108" t="str">
        <f>IFERROR(__xludf.DUMMYFUNCTION("""COMPUTED_VALUE"""),"09:00 AM to 11:00 AM   ")</f>
        <v>09:00 AM to 11:00 AM   </v>
      </c>
      <c r="K113" s="108">
        <f>IFERROR(__xludf.DUMMYFUNCTION("""COMPUTED_VALUE"""),45883.0)</f>
        <v>45883</v>
      </c>
      <c r="L113" s="65" t="str">
        <f>IFERROR(__xludf.DUMMYFUNCTION("""COMPUTED_VALUE"""),"Dardick  ")</f>
        <v>Dardick  </v>
      </c>
      <c r="M113" s="111" t="str">
        <f>IFERROR(__xludf.DUMMYFUNCTION("""COMPUTED_VALUE"""),"1105-b")</f>
        <v>1105-b</v>
      </c>
      <c r="N113" s="65"/>
      <c r="O113" s="65" t="str">
        <f>IFERROR(__xludf.DUMMYFUNCTION("""COMPUTED_VALUE"""),"51 Aldridge Rd.
Needham, MA 02492  ")</f>
        <v>51 Aldridge Rd.
Needham, MA 02492  </v>
      </c>
      <c r="P113" s="65"/>
    </row>
    <row r="114">
      <c r="A114" s="99" t="str">
        <f>IFERROR(__xludf.DUMMYFUNCTION("""COMPUTED_VALUE"""),"https://utrucking.com/admin/orders/5913136890044")</f>
        <v>https://utrucking.com/admin/orders/5913136890044</v>
      </c>
      <c r="B114" s="61" t="str">
        <f>IFERROR(__xludf.DUMMYFUNCTION("""COMPUTED_VALUE"""),"#15501")</f>
        <v>#15501</v>
      </c>
      <c r="C114" s="61"/>
      <c r="D114" s="61">
        <f>IFERROR(__xludf.DUMMYFUNCTION("""COMPUTED_VALUE"""),1.3468038604E10)</f>
        <v>13468038604</v>
      </c>
      <c r="E114" s="61" t="str">
        <f>IFERROR(__xludf.DUMMYFUNCTION("""COMPUTED_VALUE"""),"Atinuke Ademola")</f>
        <v>Atinuke Ademola</v>
      </c>
      <c r="F114" s="61"/>
      <c r="G114" s="61"/>
      <c r="H114" s="61" t="str">
        <f>IFERROR(__xludf.DUMMYFUNCTION("""COMPUTED_VALUE"""),"Nationwide Ship to School")</f>
        <v>Nationwide Ship to School</v>
      </c>
      <c r="I114" s="61" t="str">
        <f>IFERROR(__xludf.DUMMYFUNCTION("""COMPUTED_VALUE"""),"University Housing ")</f>
        <v>University Housing </v>
      </c>
      <c r="J114" s="107" t="str">
        <f>IFERROR(__xludf.DUMMYFUNCTION("""COMPUTED_VALUE"""),"09:00 AM to 11:00 AM   ")</f>
        <v>09:00 AM to 11:00 AM   </v>
      </c>
      <c r="K114" s="107">
        <f>IFERROR(__xludf.DUMMYFUNCTION("""COMPUTED_VALUE"""),45883.0)</f>
        <v>45883</v>
      </c>
      <c r="L114" s="61" t="str">
        <f>IFERROR(__xludf.DUMMYFUNCTION("""COMPUTED_VALUE"""),"Umrath  ")</f>
        <v>Umrath  </v>
      </c>
      <c r="M114" s="110" t="str">
        <f>IFERROR(__xludf.DUMMYFUNCTION("""COMPUTED_VALUE"""),"1230")</f>
        <v>1230</v>
      </c>
      <c r="N114" s="61"/>
      <c r="O114" s="61" t="str">
        <f>IFERROR(__xludf.DUMMYFUNCTION("""COMPUTED_VALUE"""),"19902 Candle Point Lane Richmond, Texas 77407  ")</f>
        <v>19902 Candle Point Lane Richmond, Texas 77407  </v>
      </c>
      <c r="P114" s="61"/>
    </row>
    <row r="115">
      <c r="A115" s="102" t="str">
        <f>IFERROR(__xludf.DUMMYFUNCTION("""COMPUTED_VALUE"""),"https://utrucking.com/admin/orders/5913196331196")</f>
        <v>https://utrucking.com/admin/orders/5913196331196</v>
      </c>
      <c r="B115" s="65" t="str">
        <f>IFERROR(__xludf.DUMMYFUNCTION("""COMPUTED_VALUE"""),"#15504")</f>
        <v>#15504</v>
      </c>
      <c r="C115" s="65" t="str">
        <f>IFERROR(__xludf.DUMMYFUNCTION("""COMPUTED_VALUE"""),"seschoen@me.com")</f>
        <v>seschoen@me.com</v>
      </c>
      <c r="D115" s="65">
        <f>IFERROR(__xludf.DUMMYFUNCTION("""COMPUTED_VALUE"""),6.463822953E9)</f>
        <v>6463822953</v>
      </c>
      <c r="E115" s="65" t="str">
        <f>IFERROR(__xludf.DUMMYFUNCTION("""COMPUTED_VALUE"""),"Sarah Schoen")</f>
        <v>Sarah Schoen</v>
      </c>
      <c r="F115" s="65"/>
      <c r="G115" s="65"/>
      <c r="H115" s="65" t="str">
        <f>IFERROR(__xludf.DUMMYFUNCTION("""COMPUTED_VALUE"""),"Nationwide Ship to School")</f>
        <v>Nationwide Ship to School</v>
      </c>
      <c r="I115" s="65" t="str">
        <f>IFERROR(__xludf.DUMMYFUNCTION("""COMPUTED_VALUE"""),"University Housing ")</f>
        <v>University Housing </v>
      </c>
      <c r="J115" s="108" t="str">
        <f>IFERROR(__xludf.DUMMYFUNCTION("""COMPUTED_VALUE"""),"09:00 AM to 11:00 AM   ")</f>
        <v>09:00 AM to 11:00 AM   </v>
      </c>
      <c r="K115" s="108">
        <f>IFERROR(__xludf.DUMMYFUNCTION("""COMPUTED_VALUE"""),45883.0)</f>
        <v>45883</v>
      </c>
      <c r="L115" s="65" t="str">
        <f>IFERROR(__xludf.DUMMYFUNCTION("""COMPUTED_VALUE"""),"Lien  ")</f>
        <v>Lien  </v>
      </c>
      <c r="M115" s="111" t="str">
        <f>IFERROR(__xludf.DUMMYFUNCTION("""COMPUTED_VALUE"""),"1104B")</f>
        <v>1104B</v>
      </c>
      <c r="N115" s="65"/>
      <c r="O115" s="65" t="str">
        <f>IFERROR(__xludf.DUMMYFUNCTION("""COMPUTED_VALUE"""),"366 12th St Apt 1
Brooklyn, NY 11215  ")</f>
        <v>366 12th St Apt 1
Brooklyn, NY 11215  </v>
      </c>
      <c r="P115" s="65"/>
    </row>
    <row r="116">
      <c r="A116" s="99" t="str">
        <f>IFERROR(__xludf.DUMMYFUNCTION("""COMPUTED_VALUE"""),"https://utrucking.com/admin/orders/5913290670268")</f>
        <v>https://utrucking.com/admin/orders/5913290670268</v>
      </c>
      <c r="B116" s="61" t="str">
        <f>IFERROR(__xludf.DUMMYFUNCTION("""COMPUTED_VALUE"""),"#15511")</f>
        <v>#15511</v>
      </c>
      <c r="C116" s="61" t="str">
        <f>IFERROR(__xludf.DUMMYFUNCTION("""COMPUTED_VALUE"""),"gkaleb@wustl.edu")</f>
        <v>gkaleb@wustl.edu</v>
      </c>
      <c r="D116" s="61">
        <f>IFERROR(__xludf.DUMMYFUNCTION("""COMPUTED_VALUE"""),6.025731123E9)</f>
        <v>6025731123</v>
      </c>
      <c r="E116" s="61" t="str">
        <f>IFERROR(__xludf.DUMMYFUNCTION("""COMPUTED_VALUE"""),"Kaleb Gebresillasie")</f>
        <v>Kaleb Gebresillasie</v>
      </c>
      <c r="F116" s="61"/>
      <c r="G116" s="61"/>
      <c r="H116" s="61" t="str">
        <f>IFERROR(__xludf.DUMMYFUNCTION("""COMPUTED_VALUE"""),"Nationwide Ship to School")</f>
        <v>Nationwide Ship to School</v>
      </c>
      <c r="I116" s="61" t="str">
        <f>IFERROR(__xludf.DUMMYFUNCTION("""COMPUTED_VALUE"""),"University Housing ")</f>
        <v>University Housing </v>
      </c>
      <c r="J116" s="107" t="str">
        <f>IFERROR(__xludf.DUMMYFUNCTION("""COMPUTED_VALUE"""),"09:00 AM to 11:00 AM   ")</f>
        <v>09:00 AM to 11:00 AM   </v>
      </c>
      <c r="K116" s="107">
        <f>IFERROR(__xludf.DUMMYFUNCTION("""COMPUTED_VALUE"""),45883.0)</f>
        <v>45883</v>
      </c>
      <c r="L116" s="61" t="str">
        <f>IFERROR(__xludf.DUMMYFUNCTION("""COMPUTED_VALUE"""),"Umrath  ")</f>
        <v>Umrath  </v>
      </c>
      <c r="M116" s="110" t="str">
        <f>IFERROR(__xludf.DUMMYFUNCTION("""COMPUTED_VALUE"""),"4408 - a")</f>
        <v>4408 - a</v>
      </c>
      <c r="N116" s="61"/>
      <c r="O116" s="61" t="str">
        <f>IFERROR(__xludf.DUMMYFUNCTION("""COMPUTED_VALUE"""),"4127 E Indian School Rd Apt 39, Phoenix, AZ 85018  ")</f>
        <v>4127 E Indian School Rd Apt 39, Phoenix, AZ 85018  </v>
      </c>
      <c r="P116" s="61"/>
    </row>
    <row r="117">
      <c r="A117" s="102" t="str">
        <f>IFERROR(__xludf.DUMMYFUNCTION("""COMPUTED_VALUE"""),"https://utrucking.com/admin/orders/5913519849660")</f>
        <v>https://utrucking.com/admin/orders/5913519849660</v>
      </c>
      <c r="B117" s="65" t="str">
        <f>IFERROR(__xludf.DUMMYFUNCTION("""COMPUTED_VALUE"""),"#15523")</f>
        <v>#15523</v>
      </c>
      <c r="C117" s="65" t="str">
        <f>IFERROR(__xludf.DUMMYFUNCTION("""COMPUTED_VALUE"""),"long.m.o@wustl.edu")</f>
        <v>long.m.o@wustl.edu</v>
      </c>
      <c r="D117" s="65">
        <f>IFERROR(__xludf.DUMMYFUNCTION("""COMPUTED_VALUE"""),4.107079917E9)</f>
        <v>4107079917</v>
      </c>
      <c r="E117" s="65" t="str">
        <f>IFERROR(__xludf.DUMMYFUNCTION("""COMPUTED_VALUE"""),"Martin Long")</f>
        <v>Martin Long</v>
      </c>
      <c r="F117" s="65"/>
      <c r="G117" s="65"/>
      <c r="H117" s="65" t="str">
        <f>IFERROR(__xludf.DUMMYFUNCTION("""COMPUTED_VALUE"""),"Nationwide Ship to School")</f>
        <v>Nationwide Ship to School</v>
      </c>
      <c r="I117" s="65" t="str">
        <f>IFERROR(__xludf.DUMMYFUNCTION("""COMPUTED_VALUE"""),"University Housing ")</f>
        <v>University Housing </v>
      </c>
      <c r="J117" s="108" t="str">
        <f>IFERROR(__xludf.DUMMYFUNCTION("""COMPUTED_VALUE"""),"09:00 AM to 11:00 AM   ")</f>
        <v>09:00 AM to 11:00 AM   </v>
      </c>
      <c r="K117" s="108">
        <f>IFERROR(__xludf.DUMMYFUNCTION("""COMPUTED_VALUE"""),45883.0)</f>
        <v>45883</v>
      </c>
      <c r="L117" s="65" t="str">
        <f>IFERROR(__xludf.DUMMYFUNCTION("""COMPUTED_VALUE"""),"Umrath  ")</f>
        <v>Umrath  </v>
      </c>
      <c r="M117" s="111" t="str">
        <f>IFERROR(__xludf.DUMMYFUNCTION("""COMPUTED_VALUE"""),"xxx")</f>
        <v>xxx</v>
      </c>
      <c r="N117" s="65"/>
      <c r="O117" s="65" t="str">
        <f>IFERROR(__xludf.DUMMYFUNCTION("""COMPUTED_VALUE"""),"311 Davage Lane
Towson, MD
21044  ")</f>
        <v>311 Davage Lane
Towson, MD
21044  </v>
      </c>
      <c r="P117" s="65"/>
    </row>
    <row r="118">
      <c r="A118" s="99" t="str">
        <f>IFERROR(__xludf.DUMMYFUNCTION("""COMPUTED_VALUE"""),"https://utrucking.com/admin/orders/5913559400636")</f>
        <v>https://utrucking.com/admin/orders/5913559400636</v>
      </c>
      <c r="B118" s="61" t="str">
        <f>IFERROR(__xludf.DUMMYFUNCTION("""COMPUTED_VALUE"""),"#15528")</f>
        <v>#15528</v>
      </c>
      <c r="C118" s="61" t="str">
        <f>IFERROR(__xludf.DUMMYFUNCTION("""COMPUTED_VALUE"""),"anniechenchen948@gmail.com")</f>
        <v>anniechenchen948@gmail.com</v>
      </c>
      <c r="D118" s="61">
        <f>IFERROR(__xludf.DUMMYFUNCTION("""COMPUTED_VALUE"""),1.8432065331E10)</f>
        <v>18432065331</v>
      </c>
      <c r="E118" s="61" t="str">
        <f>IFERROR(__xludf.DUMMYFUNCTION("""COMPUTED_VALUE"""),"Annie Chen")</f>
        <v>Annie Chen</v>
      </c>
      <c r="F118" s="61"/>
      <c r="G118" s="61"/>
      <c r="H118" s="61" t="str">
        <f>IFERROR(__xludf.DUMMYFUNCTION("""COMPUTED_VALUE"""),"Nationwide Ship to School")</f>
        <v>Nationwide Ship to School</v>
      </c>
      <c r="I118" s="61" t="str">
        <f>IFERROR(__xludf.DUMMYFUNCTION("""COMPUTED_VALUE"""),"University Housing ")</f>
        <v>University Housing </v>
      </c>
      <c r="J118" s="107" t="str">
        <f>IFERROR(__xludf.DUMMYFUNCTION("""COMPUTED_VALUE"""),"09:00 AM to 11:00 AM   ")</f>
        <v>09:00 AM to 11:00 AM   </v>
      </c>
      <c r="K118" s="107">
        <f>IFERROR(__xludf.DUMMYFUNCTION("""COMPUTED_VALUE"""),45883.0)</f>
        <v>45883</v>
      </c>
      <c r="L118" s="61" t="str">
        <f>IFERROR(__xludf.DUMMYFUNCTION("""COMPUTED_VALUE"""),"Umrath  ")</f>
        <v>Umrath  </v>
      </c>
      <c r="M118" s="110" t="str">
        <f>IFERROR(__xludf.DUMMYFUNCTION("""COMPUTED_VALUE"""),"3319")</f>
        <v>3319</v>
      </c>
      <c r="N118" s="61"/>
      <c r="O118" s="61" t="str">
        <f>IFERROR(__xludf.DUMMYFUNCTION("""COMPUTED_VALUE"""),"753 Aster Drive
Florence, SC 29501  ")</f>
        <v>753 Aster Drive
Florence, SC 29501  </v>
      </c>
      <c r="P118" s="61"/>
    </row>
    <row r="119">
      <c r="A119" s="102" t="str">
        <f>IFERROR(__xludf.DUMMYFUNCTION("""COMPUTED_VALUE"""),"https://utrucking.com/admin/orders/5913568346300")</f>
        <v>https://utrucking.com/admin/orders/5913568346300</v>
      </c>
      <c r="B119" s="65" t="str">
        <f>IFERROR(__xludf.DUMMYFUNCTION("""COMPUTED_VALUE"""),"#15529")</f>
        <v>#15529</v>
      </c>
      <c r="C119" s="65" t="str">
        <f>IFERROR(__xludf.DUMMYFUNCTION("""COMPUTED_VALUE"""),"olaganiu@hotmail.com")</f>
        <v>olaganiu@hotmail.com</v>
      </c>
      <c r="D119" s="65">
        <f>IFERROR(__xludf.DUMMYFUNCTION("""COMPUTED_VALUE"""),7.547074642E9)</f>
        <v>7547074642</v>
      </c>
      <c r="E119" s="65" t="str">
        <f>IFERROR(__xludf.DUMMYFUNCTION("""COMPUTED_VALUE"""),"AYISAT AYISAT")</f>
        <v>AYISAT AYISAT</v>
      </c>
      <c r="F119" s="65"/>
      <c r="G119" s="65"/>
      <c r="H119" s="65" t="str">
        <f>IFERROR(__xludf.DUMMYFUNCTION("""COMPUTED_VALUE"""),"Nationwide Ship to School")</f>
        <v>Nationwide Ship to School</v>
      </c>
      <c r="I119" s="65" t="str">
        <f>IFERROR(__xludf.DUMMYFUNCTION("""COMPUTED_VALUE"""),"University Housing ")</f>
        <v>University Housing </v>
      </c>
      <c r="J119" s="108" t="str">
        <f>IFERROR(__xludf.DUMMYFUNCTION("""COMPUTED_VALUE"""),"09:00 AM to 11:00 AM   ")</f>
        <v>09:00 AM to 11:00 AM   </v>
      </c>
      <c r="K119" s="108">
        <f>IFERROR(__xludf.DUMMYFUNCTION("""COMPUTED_VALUE"""),45883.0)</f>
        <v>45883</v>
      </c>
      <c r="L119" s="65" t="str">
        <f>IFERROR(__xludf.DUMMYFUNCTION("""COMPUTED_VALUE"""),"Umrath  ")</f>
        <v>Umrath  </v>
      </c>
      <c r="M119" s="111" t="str">
        <f>IFERROR(__xludf.DUMMYFUNCTION("""COMPUTED_VALUE"""),"4402")</f>
        <v>4402</v>
      </c>
      <c r="N119" s="65"/>
      <c r="O119" s="65" t="str">
        <f>IFERROR(__xludf.DUMMYFUNCTION("""COMPUTED_VALUE"""),"13841 sw 52nd st   ")</f>
        <v>13841 sw 52nd st   </v>
      </c>
      <c r="P119" s="65"/>
    </row>
    <row r="120">
      <c r="A120" s="99" t="str">
        <f>IFERROR(__xludf.DUMMYFUNCTION("""COMPUTED_VALUE"""),"https://utrucking.com/admin/orders/5913676447932")</f>
        <v>https://utrucking.com/admin/orders/5913676447932</v>
      </c>
      <c r="B120" s="61" t="str">
        <f>IFERROR(__xludf.DUMMYFUNCTION("""COMPUTED_VALUE"""),"#15536")</f>
        <v>#15536</v>
      </c>
      <c r="C120" s="61" t="str">
        <f>IFERROR(__xludf.DUMMYFUNCTION("""COMPUTED_VALUE"""),"jnewmanny@gmail.com")</f>
        <v>jnewmanny@gmail.com</v>
      </c>
      <c r="D120" s="61">
        <f>IFERROR(__xludf.DUMMYFUNCTION("""COMPUTED_VALUE"""),9.175879462E9)</f>
        <v>9175879462</v>
      </c>
      <c r="E120" s="61" t="str">
        <f>IFERROR(__xludf.DUMMYFUNCTION("""COMPUTED_VALUE"""),"Jennifer Newman")</f>
        <v>Jennifer Newman</v>
      </c>
      <c r="F120" s="61"/>
      <c r="G120" s="61"/>
      <c r="H120" s="61" t="str">
        <f>IFERROR(__xludf.DUMMYFUNCTION("""COMPUTED_VALUE"""),"Nationwide Ship to School")</f>
        <v>Nationwide Ship to School</v>
      </c>
      <c r="I120" s="61" t="str">
        <f>IFERROR(__xludf.DUMMYFUNCTION("""COMPUTED_VALUE"""),"University Housing ")</f>
        <v>University Housing </v>
      </c>
      <c r="J120" s="107" t="str">
        <f>IFERROR(__xludf.DUMMYFUNCTION("""COMPUTED_VALUE"""),"09:00 AM to 11:00 AM   ")</f>
        <v>09:00 AM to 11:00 AM   </v>
      </c>
      <c r="K120" s="107">
        <f>IFERROR(__xludf.DUMMYFUNCTION("""COMPUTED_VALUE"""),45882.0)</f>
        <v>45882</v>
      </c>
      <c r="L120" s="61" t="str">
        <f>IFERROR(__xludf.DUMMYFUNCTION("""COMPUTED_VALUE"""),"Lien  ")</f>
        <v>Lien  </v>
      </c>
      <c r="M120" s="110" t="str">
        <f>IFERROR(__xludf.DUMMYFUNCTION("""COMPUTED_VALUE"""),"N/A")</f>
        <v>N/A</v>
      </c>
      <c r="N120" s="61"/>
      <c r="O120" s="61" t="str">
        <f>IFERROR(__xludf.DUMMYFUNCTION("""COMPUTED_VALUE"""),"165 Griffen Avenue
Scarsdale, NY 10583  ")</f>
        <v>165 Griffen Avenue
Scarsdale, NY 10583  </v>
      </c>
      <c r="P120" s="61"/>
    </row>
    <row r="121">
      <c r="A121" s="102" t="str">
        <f>IFERROR(__xludf.DUMMYFUNCTION("""COMPUTED_VALUE"""),"https://utrucking.com/admin/orders/5913856016572")</f>
        <v>https://utrucking.com/admin/orders/5913856016572</v>
      </c>
      <c r="B121" s="65" t="str">
        <f>IFERROR(__xludf.DUMMYFUNCTION("""COMPUTED_VALUE"""),"#15559")</f>
        <v>#15559</v>
      </c>
      <c r="C121" s="65" t="str">
        <f>IFERROR(__xludf.DUMMYFUNCTION("""COMPUTED_VALUE"""),"ssheena@aol.com")</f>
        <v>ssheena@aol.com</v>
      </c>
      <c r="D121" s="65">
        <f>IFERROR(__xludf.DUMMYFUNCTION("""COMPUTED_VALUE"""),2.813527497E9)</f>
        <v>2813527497</v>
      </c>
      <c r="E121" s="65" t="str">
        <f>IFERROR(__xludf.DUMMYFUNCTION("""COMPUTED_VALUE"""),"Shannon Sheena")</f>
        <v>Shannon Sheena</v>
      </c>
      <c r="F121" s="65"/>
      <c r="G121" s="65"/>
      <c r="H121" s="65" t="str">
        <f>IFERROR(__xludf.DUMMYFUNCTION("""COMPUTED_VALUE"""),"Nationwide Ship to School")</f>
        <v>Nationwide Ship to School</v>
      </c>
      <c r="I121" s="65" t="str">
        <f>IFERROR(__xludf.DUMMYFUNCTION("""COMPUTED_VALUE"""),"University Housing ")</f>
        <v>University Housing </v>
      </c>
      <c r="J121" s="108" t="str">
        <f>IFERROR(__xludf.DUMMYFUNCTION("""COMPUTED_VALUE"""),"09:00 AM to 11:00 AM   ")</f>
        <v>09:00 AM to 11:00 AM   </v>
      </c>
      <c r="K121" s="108">
        <f>IFERROR(__xludf.DUMMYFUNCTION("""COMPUTED_VALUE"""),45883.0)</f>
        <v>45883</v>
      </c>
      <c r="L121" s="65" t="str">
        <f>IFERROR(__xludf.DUMMYFUNCTION("""COMPUTED_VALUE"""),"Umrath  ")</f>
        <v>Umrath  </v>
      </c>
      <c r="M121" s="111" t="str">
        <f>IFERROR(__xludf.DUMMYFUNCTION("""COMPUTED_VALUE"""),"1236-a")</f>
        <v>1236-a</v>
      </c>
      <c r="N121" s="65"/>
      <c r="O121" s="65" t="str">
        <f>IFERROR(__xludf.DUMMYFUNCTION("""COMPUTED_VALUE"""),"4612 Oleander Street 
Bellaire TX 77401  ")</f>
        <v>4612 Oleander Street 
Bellaire TX 77401  </v>
      </c>
      <c r="P121" s="65"/>
    </row>
    <row r="122">
      <c r="A122" s="99" t="str">
        <f>IFERROR(__xludf.DUMMYFUNCTION("""COMPUTED_VALUE"""),"https://utrucking.com/admin/orders/5913963430076")</f>
        <v>https://utrucking.com/admin/orders/5913963430076</v>
      </c>
      <c r="B122" s="61" t="str">
        <f>IFERROR(__xludf.DUMMYFUNCTION("""COMPUTED_VALUE"""),"#15580")</f>
        <v>#15580</v>
      </c>
      <c r="C122" s="61"/>
      <c r="D122" s="61">
        <f>IFERROR(__xludf.DUMMYFUNCTION("""COMPUTED_VALUE"""),1.6785581035E10)</f>
        <v>16785581035</v>
      </c>
      <c r="E122" s="61" t="str">
        <f>IFERROR(__xludf.DUMMYFUNCTION("""COMPUTED_VALUE"""),"Makayli Anochie")</f>
        <v>Makayli Anochie</v>
      </c>
      <c r="F122" s="61"/>
      <c r="G122" s="61"/>
      <c r="H122" s="61" t="str">
        <f>IFERROR(__xludf.DUMMYFUNCTION("""COMPUTED_VALUE"""),"Nationwide Ship to School")</f>
        <v>Nationwide Ship to School</v>
      </c>
      <c r="I122" s="61" t="str">
        <f>IFERROR(__xludf.DUMMYFUNCTION("""COMPUTED_VALUE"""),"University Housing ")</f>
        <v>University Housing </v>
      </c>
      <c r="J122" s="107" t="str">
        <f>IFERROR(__xludf.DUMMYFUNCTION("""COMPUTED_VALUE"""),"09:00 AM to 11:00 AM   ")</f>
        <v>09:00 AM to 11:00 AM   </v>
      </c>
      <c r="K122" s="107">
        <f>IFERROR(__xludf.DUMMYFUNCTION("""COMPUTED_VALUE"""),45891.0)</f>
        <v>45891</v>
      </c>
      <c r="L122" s="61" t="str">
        <f>IFERROR(__xludf.DUMMYFUNCTION("""COMPUTED_VALUE"""),"Zetcher  ")</f>
        <v>Zetcher  </v>
      </c>
      <c r="M122" s="110" t="str">
        <f>IFERROR(__xludf.DUMMYFUNCTION("""COMPUTED_VALUE"""),"2043-a")</f>
        <v>2043-a</v>
      </c>
      <c r="N122" s="61"/>
      <c r="O122" s="61" t="str">
        <f>IFERROR(__xludf.DUMMYFUNCTION("""COMPUTED_VALUE"""),"545 BELADA BLVD
ATLANTA, GA 30342  ")</f>
        <v>545 BELADA BLVD
ATLANTA, GA 30342  </v>
      </c>
      <c r="P122" s="61"/>
    </row>
    <row r="123">
      <c r="A123" s="102" t="str">
        <f>IFERROR(__xludf.DUMMYFUNCTION("""COMPUTED_VALUE"""),"https://utrucking.com/admin/orders/5914057769148")</f>
        <v>https://utrucking.com/admin/orders/5914057769148</v>
      </c>
      <c r="B123" s="65" t="str">
        <f>IFERROR(__xludf.DUMMYFUNCTION("""COMPUTED_VALUE"""),"#15595")</f>
        <v>#15595</v>
      </c>
      <c r="C123" s="65" t="str">
        <f>IFERROR(__xludf.DUMMYFUNCTION("""COMPUTED_VALUE"""),"weilfamily3@gmail.com")</f>
        <v>weilfamily3@gmail.com</v>
      </c>
      <c r="D123" s="65">
        <f>IFERROR(__xludf.DUMMYFUNCTION("""COMPUTED_VALUE"""),4.156091971E9)</f>
        <v>4156091971</v>
      </c>
      <c r="E123" s="65" t="str">
        <f>IFERROR(__xludf.DUMMYFUNCTION("""COMPUTED_VALUE"""),"Joseph Weil")</f>
        <v>Joseph Weil</v>
      </c>
      <c r="F123" s="65"/>
      <c r="G123" s="65"/>
      <c r="H123" s="65" t="str">
        <f>IFERROR(__xludf.DUMMYFUNCTION("""COMPUTED_VALUE"""),"Nationwide Ship to School")</f>
        <v>Nationwide Ship to School</v>
      </c>
      <c r="I123" s="65" t="str">
        <f>IFERROR(__xludf.DUMMYFUNCTION("""COMPUTED_VALUE"""),"University Housing ")</f>
        <v>University Housing </v>
      </c>
      <c r="J123" s="108" t="str">
        <f>IFERROR(__xludf.DUMMYFUNCTION("""COMPUTED_VALUE"""),"09:00 AM to 11:00 AM   ")</f>
        <v>09:00 AM to 11:00 AM   </v>
      </c>
      <c r="K123" s="108">
        <f>IFERROR(__xludf.DUMMYFUNCTION("""COMPUTED_VALUE"""),45883.0)</f>
        <v>45883</v>
      </c>
      <c r="L123" s="65" t="str">
        <f>IFERROR(__xludf.DUMMYFUNCTION("""COMPUTED_VALUE"""),"Millbrook Bldg. 4  ")</f>
        <v>Millbrook Bldg. 4  </v>
      </c>
      <c r="M123" s="111" t="str">
        <f>IFERROR(__xludf.DUMMYFUNCTION("""COMPUTED_VALUE"""),"304 E A")</f>
        <v>304 E A</v>
      </c>
      <c r="N123" s="65"/>
      <c r="O123" s="65" t="str">
        <f>IFERROR(__xludf.DUMMYFUNCTION("""COMPUTED_VALUE"""),"100 buena vista terrace, San francisco, ca 94117  ")</f>
        <v>100 buena vista terrace, San francisco, ca 94117  </v>
      </c>
      <c r="P123" s="65"/>
    </row>
    <row r="124">
      <c r="A124" s="99" t="str">
        <f>IFERROR(__xludf.DUMMYFUNCTION("""COMPUTED_VALUE"""),"https://utrucking.com/admin/orders/5914063438012")</f>
        <v>https://utrucking.com/admin/orders/5914063438012</v>
      </c>
      <c r="B124" s="61" t="str">
        <f>IFERROR(__xludf.DUMMYFUNCTION("""COMPUTED_VALUE"""),"#15597")</f>
        <v>#15597</v>
      </c>
      <c r="C124" s="61" t="str">
        <f>IFERROR(__xludf.DUMMYFUNCTION("""COMPUTED_VALUE"""),"efbroad@gmail.com")</f>
        <v>efbroad@gmail.com</v>
      </c>
      <c r="D124" s="61">
        <f>IFERROR(__xludf.DUMMYFUNCTION("""COMPUTED_VALUE"""),3.056079629E9)</f>
        <v>3056079629</v>
      </c>
      <c r="E124" s="61" t="str">
        <f>IFERROR(__xludf.DUMMYFUNCTION("""COMPUTED_VALUE"""),"Elaine Broad")</f>
        <v>Elaine Broad</v>
      </c>
      <c r="F124" s="61"/>
      <c r="G124" s="61"/>
      <c r="H124" s="61" t="str">
        <f>IFERROR(__xludf.DUMMYFUNCTION("""COMPUTED_VALUE"""),"Nationwide Ship to School")</f>
        <v>Nationwide Ship to School</v>
      </c>
      <c r="I124" s="61" t="str">
        <f>IFERROR(__xludf.DUMMYFUNCTION("""COMPUTED_VALUE"""),"University Housing ")</f>
        <v>University Housing </v>
      </c>
      <c r="J124" s="107" t="str">
        <f>IFERROR(__xludf.DUMMYFUNCTION("""COMPUTED_VALUE"""),"09:00 AM to 11:00 AM   ")</f>
        <v>09:00 AM to 11:00 AM   </v>
      </c>
      <c r="K124" s="107">
        <f>IFERROR(__xludf.DUMMYFUNCTION("""COMPUTED_VALUE"""),45883.0)</f>
        <v>45883</v>
      </c>
      <c r="L124" s="61" t="str">
        <f>IFERROR(__xludf.DUMMYFUNCTION("""COMPUTED_VALUE"""),"Lien  ")</f>
        <v>Lien  </v>
      </c>
      <c r="M124" s="110" t="str">
        <f>IFERROR(__xludf.DUMMYFUNCTION("""COMPUTED_VALUE"""),"3330")</f>
        <v>3330</v>
      </c>
      <c r="N124" s="61"/>
      <c r="O124" s="61" t="str">
        <f>IFERROR(__xludf.DUMMYFUNCTION("""COMPUTED_VALUE"""),"2330 Lincoln ave  ")</f>
        <v>2330 Lincoln ave  </v>
      </c>
      <c r="P124" s="61"/>
    </row>
    <row r="125">
      <c r="A125" s="102" t="str">
        <f>IFERROR(__xludf.DUMMYFUNCTION("""COMPUTED_VALUE"""),"https://utrucking.com/admin/orders/5914173800636")</f>
        <v>https://utrucking.com/admin/orders/5914173800636</v>
      </c>
      <c r="B125" s="65" t="str">
        <f>IFERROR(__xludf.DUMMYFUNCTION("""COMPUTED_VALUE"""),"#15604")</f>
        <v>#15604</v>
      </c>
      <c r="C125" s="65" t="str">
        <f>IFERROR(__xludf.DUMMYFUNCTION("""COMPUTED_VALUE"""),"sp.g672@gmail.com")</f>
        <v>sp.g672@gmail.com</v>
      </c>
      <c r="D125" s="65">
        <f>IFERROR(__xludf.DUMMYFUNCTION("""COMPUTED_VALUE"""),7.812344526E9)</f>
        <v>7812344526</v>
      </c>
      <c r="E125" s="65" t="str">
        <f>IFERROR(__xludf.DUMMYFUNCTION("""COMPUTED_VALUE"""),"Spencer Gary")</f>
        <v>Spencer Gary</v>
      </c>
      <c r="F125" s="65"/>
      <c r="G125" s="65"/>
      <c r="H125" s="65" t="str">
        <f>IFERROR(__xludf.DUMMYFUNCTION("""COMPUTED_VALUE"""),"Nationwide Ship to School")</f>
        <v>Nationwide Ship to School</v>
      </c>
      <c r="I125" s="65" t="str">
        <f>IFERROR(__xludf.DUMMYFUNCTION("""COMPUTED_VALUE"""),"University Housing ")</f>
        <v>University Housing </v>
      </c>
      <c r="J125" s="108" t="str">
        <f>IFERROR(__xludf.DUMMYFUNCTION("""COMPUTED_VALUE"""),"09:00 AM to 11:00 AM   ")</f>
        <v>09:00 AM to 11:00 AM   </v>
      </c>
      <c r="K125" s="108">
        <f>IFERROR(__xludf.DUMMYFUNCTION("""COMPUTED_VALUE"""),45883.0)</f>
        <v>45883</v>
      </c>
      <c r="L125" s="65" t="str">
        <f>IFERROR(__xludf.DUMMYFUNCTION("""COMPUTED_VALUE"""),"Dauten  ")</f>
        <v>Dauten  </v>
      </c>
      <c r="M125" s="111" t="str">
        <f>IFERROR(__xludf.DUMMYFUNCTION("""COMPUTED_VALUE"""),"433 - a")</f>
        <v>433 - a</v>
      </c>
      <c r="N125" s="65"/>
      <c r="O125" s="65" t="str">
        <f>IFERROR(__xludf.DUMMYFUNCTION("""COMPUTED_VALUE"""),"81 Old Orchard Road, Chestnut Hill, MA 02467  ")</f>
        <v>81 Old Orchard Road, Chestnut Hill, MA 02467  </v>
      </c>
      <c r="P125" s="65"/>
    </row>
    <row r="126">
      <c r="A126" s="99" t="str">
        <f>IFERROR(__xludf.DUMMYFUNCTION("""COMPUTED_VALUE"""),"https://utrucking.com/admin/orders/5914194510012")</f>
        <v>https://utrucking.com/admin/orders/5914194510012</v>
      </c>
      <c r="B126" s="61" t="str">
        <f>IFERROR(__xludf.DUMMYFUNCTION("""COMPUTED_VALUE"""),"#15608")</f>
        <v>#15608</v>
      </c>
      <c r="C126" s="61" t="str">
        <f>IFERROR(__xludf.DUMMYFUNCTION("""COMPUTED_VALUE"""),"harperhorn@icloud.com")</f>
        <v>harperhorn@icloud.com</v>
      </c>
      <c r="D126" s="61">
        <f>IFERROR(__xludf.DUMMYFUNCTION("""COMPUTED_VALUE"""),7.73263614E9)</f>
        <v>7732636140</v>
      </c>
      <c r="E126" s="61" t="str">
        <f>IFERROR(__xludf.DUMMYFUNCTION("""COMPUTED_VALUE"""),"Keren Horn")</f>
        <v>Keren Horn</v>
      </c>
      <c r="F126" s="61"/>
      <c r="G126" s="61"/>
      <c r="H126" s="61" t="str">
        <f>IFERROR(__xludf.DUMMYFUNCTION("""COMPUTED_VALUE"""),"Nationwide Ship to School")</f>
        <v>Nationwide Ship to School</v>
      </c>
      <c r="I126" s="61" t="str">
        <f>IFERROR(__xludf.DUMMYFUNCTION("""COMPUTED_VALUE"""),"University Housing ")</f>
        <v>University Housing </v>
      </c>
      <c r="J126" s="107" t="str">
        <f>IFERROR(__xludf.DUMMYFUNCTION("""COMPUTED_VALUE"""),"09:00 AM to 11:00 AM   ")</f>
        <v>09:00 AM to 11:00 AM   </v>
      </c>
      <c r="K126" s="107">
        <f>IFERROR(__xludf.DUMMYFUNCTION("""COMPUTED_VALUE"""),45883.0)</f>
        <v>45883</v>
      </c>
      <c r="L126" s="61" t="str">
        <f>IFERROR(__xludf.DUMMYFUNCTION("""COMPUTED_VALUE"""),"DON'T KNOW YET (put 'XXX' for room #)")</f>
        <v>DON'T KNOW YET (put 'XXX' for room #)</v>
      </c>
      <c r="M126" s="110" t="str">
        <f>IFERROR(__xludf.DUMMYFUNCTION("""COMPUTED_VALUE"""),"xxx")</f>
        <v>xxx</v>
      </c>
      <c r="N126" s="61"/>
      <c r="O126" s="61" t="str">
        <f>IFERROR(__xludf.DUMMYFUNCTION("""COMPUTED_VALUE"""),"1641 W Wabansia Ave, Chicago, IL, 60622  ")</f>
        <v>1641 W Wabansia Ave, Chicago, IL, 60622  </v>
      </c>
      <c r="P126" s="61"/>
    </row>
    <row r="127">
      <c r="A127" s="102" t="str">
        <f>IFERROR(__xludf.DUMMYFUNCTION("""COMPUTED_VALUE"""),"https://utrucking.com/admin/orders/5914197295292")</f>
        <v>https://utrucking.com/admin/orders/5914197295292</v>
      </c>
      <c r="B127" s="65" t="str">
        <f>IFERROR(__xludf.DUMMYFUNCTION("""COMPUTED_VALUE"""),"#15609")</f>
        <v>#15609</v>
      </c>
      <c r="C127" s="65" t="str">
        <f>IFERROR(__xludf.DUMMYFUNCTION("""COMPUTED_VALUE"""),"mellissa.ym.liu@gmail.com")</f>
        <v>mellissa.ym.liu@gmail.com</v>
      </c>
      <c r="D127" s="65">
        <f>IFERROR(__xludf.DUMMYFUNCTION("""COMPUTED_VALUE"""),1.9493789409E10)</f>
        <v>19493789409</v>
      </c>
      <c r="E127" s="65" t="str">
        <f>IFERROR(__xludf.DUMMYFUNCTION("""COMPUTED_VALUE"""),"Melly liu")</f>
        <v>Melly liu</v>
      </c>
      <c r="F127" s="65"/>
      <c r="G127" s="65"/>
      <c r="H127" s="65" t="str">
        <f>IFERROR(__xludf.DUMMYFUNCTION("""COMPUTED_VALUE"""),"Nationwide Ship to School")</f>
        <v>Nationwide Ship to School</v>
      </c>
      <c r="I127" s="65" t="str">
        <f>IFERROR(__xludf.DUMMYFUNCTION("""COMPUTED_VALUE"""),"University Housing ")</f>
        <v>University Housing </v>
      </c>
      <c r="J127" s="108" t="str">
        <f>IFERROR(__xludf.DUMMYFUNCTION("""COMPUTED_VALUE"""),"09:00 AM to 11:00 AM   ")</f>
        <v>09:00 AM to 11:00 AM   </v>
      </c>
      <c r="K127" s="108">
        <f>IFERROR(__xludf.DUMMYFUNCTION("""COMPUTED_VALUE"""),45883.0)</f>
        <v>45883</v>
      </c>
      <c r="L127" s="65" t="str">
        <f>IFERROR(__xludf.DUMMYFUNCTION("""COMPUTED_VALUE"""),"Umrath  ")</f>
        <v>Umrath  </v>
      </c>
      <c r="M127" s="111" t="str">
        <f>IFERROR(__xludf.DUMMYFUNCTION("""COMPUTED_VALUE"""),"0230")</f>
        <v>0230</v>
      </c>
      <c r="N127" s="65"/>
      <c r="O127" s="65" t="str">
        <f>IFERROR(__xludf.DUMMYFUNCTION("""COMPUTED_VALUE"""),"1815 Port Ashley Place
Newport Beach, CA 92660  ")</f>
        <v>1815 Port Ashley Place
Newport Beach, CA 92660  </v>
      </c>
      <c r="P127" s="65"/>
    </row>
    <row r="128">
      <c r="A128" s="99" t="str">
        <f>IFERROR(__xludf.DUMMYFUNCTION("""COMPUTED_VALUE"""),"https://utrucking.com/admin/orders/5914454687932")</f>
        <v>https://utrucking.com/admin/orders/5914454687932</v>
      </c>
      <c r="B128" s="61" t="str">
        <f>IFERROR(__xludf.DUMMYFUNCTION("""COMPUTED_VALUE"""),"#15617")</f>
        <v>#15617</v>
      </c>
      <c r="C128" s="61"/>
      <c r="D128" s="61">
        <f>IFERROR(__xludf.DUMMYFUNCTION("""COMPUTED_VALUE"""),9.178644154E9)</f>
        <v>9178644154</v>
      </c>
      <c r="E128" s="61" t="str">
        <f>IFERROR(__xludf.DUMMYFUNCTION("""COMPUTED_VALUE"""),"Sienna Mora")</f>
        <v>Sienna Mora</v>
      </c>
      <c r="F128" s="61"/>
      <c r="G128" s="61"/>
      <c r="H128" s="61" t="str">
        <f>IFERROR(__xludf.DUMMYFUNCTION("""COMPUTED_VALUE"""),"Nationwide Ship to School")</f>
        <v>Nationwide Ship to School</v>
      </c>
      <c r="I128" s="61" t="str">
        <f>IFERROR(__xludf.DUMMYFUNCTION("""COMPUTED_VALUE"""),"University Housing ")</f>
        <v>University Housing </v>
      </c>
      <c r="J128" s="107" t="str">
        <f>IFERROR(__xludf.DUMMYFUNCTION("""COMPUTED_VALUE"""),"09:00 AM to 11:00 AM   ")</f>
        <v>09:00 AM to 11:00 AM   </v>
      </c>
      <c r="K128" s="107">
        <f>IFERROR(__xludf.DUMMYFUNCTION("""COMPUTED_VALUE"""),45883.0)</f>
        <v>45883</v>
      </c>
      <c r="L128" s="61" t="str">
        <f>IFERROR(__xludf.DUMMYFUNCTION("""COMPUTED_VALUE"""),"Dauten  ")</f>
        <v>Dauten  </v>
      </c>
      <c r="M128" s="110" t="str">
        <f>IFERROR(__xludf.DUMMYFUNCTION("""COMPUTED_VALUE"""),"234 B")</f>
        <v>234 B</v>
      </c>
      <c r="N128" s="61"/>
      <c r="O128" s="61" t="str">
        <f>IFERROR(__xludf.DUMMYFUNCTION("""COMPUTED_VALUE"""),"30 Long Beach Boulevard
Loveladies, NJ 08008  ")</f>
        <v>30 Long Beach Boulevard
Loveladies, NJ 08008  </v>
      </c>
      <c r="P128" s="61"/>
    </row>
    <row r="129">
      <c r="A129" s="102" t="str">
        <f>IFERROR(__xludf.DUMMYFUNCTION("""COMPUTED_VALUE"""),"https://utrucking.com/admin/orders/5914749599932")</f>
        <v>https://utrucking.com/admin/orders/5914749599932</v>
      </c>
      <c r="B129" s="65" t="str">
        <f>IFERROR(__xludf.DUMMYFUNCTION("""COMPUTED_VALUE"""),"#15632")</f>
        <v>#15632</v>
      </c>
      <c r="C129" s="65"/>
      <c r="D129" s="65">
        <f>IFERROR(__xludf.DUMMYFUNCTION("""COMPUTED_VALUE"""),4.802827475E9)</f>
        <v>4802827475</v>
      </c>
      <c r="E129" s="65" t="str">
        <f>IFERROR(__xludf.DUMMYFUNCTION("""COMPUTED_VALUE"""),"Stella Mekhanik")</f>
        <v>Stella Mekhanik</v>
      </c>
      <c r="F129" s="65"/>
      <c r="G129" s="65"/>
      <c r="H129" s="65" t="str">
        <f>IFERROR(__xludf.DUMMYFUNCTION("""COMPUTED_VALUE"""),"Nationwide Ship to School")</f>
        <v>Nationwide Ship to School</v>
      </c>
      <c r="I129" s="65" t="str">
        <f>IFERROR(__xludf.DUMMYFUNCTION("""COMPUTED_VALUE"""),"University Housing ")</f>
        <v>University Housing </v>
      </c>
      <c r="J129" s="108" t="str">
        <f>IFERROR(__xludf.DUMMYFUNCTION("""COMPUTED_VALUE"""),"09:00 AM to 11:00 AM   ")</f>
        <v>09:00 AM to 11:00 AM   </v>
      </c>
      <c r="K129" s="108">
        <f>IFERROR(__xludf.DUMMYFUNCTION("""COMPUTED_VALUE"""),45883.0)</f>
        <v>45883</v>
      </c>
      <c r="L129" s="65" t="str">
        <f>IFERROR(__xludf.DUMMYFUNCTION("""COMPUTED_VALUE"""),"Shanedling  ")</f>
        <v>Shanedling  </v>
      </c>
      <c r="M129" s="111" t="str">
        <f>IFERROR(__xludf.DUMMYFUNCTION("""COMPUTED_VALUE"""),"113")</f>
        <v>113</v>
      </c>
      <c r="N129" s="65"/>
      <c r="O129" s="65" t="str">
        <f>IFERROR(__xludf.DUMMYFUNCTION("""COMPUTED_VALUE"""),"7480 S Loback Ct Queen Creek AZ 85142  ")</f>
        <v>7480 S Loback Ct Queen Creek AZ 85142  </v>
      </c>
      <c r="P129" s="65"/>
    </row>
    <row r="130">
      <c r="A130" s="99" t="str">
        <f>IFERROR(__xludf.DUMMYFUNCTION("""COMPUTED_VALUE"""),"https://utrucking.com/admin/orders/5914808189116")</f>
        <v>https://utrucking.com/admin/orders/5914808189116</v>
      </c>
      <c r="B130" s="61" t="str">
        <f>IFERROR(__xludf.DUMMYFUNCTION("""COMPUTED_VALUE"""),"#15633")</f>
        <v>#15633</v>
      </c>
      <c r="C130" s="61" t="str">
        <f>IFERROR(__xludf.DUMMYFUNCTION("""COMPUTED_VALUE"""),"alliromano@gmail.com")</f>
        <v>alliromano@gmail.com</v>
      </c>
      <c r="D130" s="61">
        <f>IFERROR(__xludf.DUMMYFUNCTION("""COMPUTED_VALUE"""),9.17359761E9)</f>
        <v>9173597610</v>
      </c>
      <c r="E130" s="61" t="str">
        <f>IFERROR(__xludf.DUMMYFUNCTION("""COMPUTED_VALUE"""),"Alli Romano")</f>
        <v>Alli Romano</v>
      </c>
      <c r="F130" s="61"/>
      <c r="G130" s="61"/>
      <c r="H130" s="61" t="str">
        <f>IFERROR(__xludf.DUMMYFUNCTION("""COMPUTED_VALUE"""),"Nationwide Ship to School")</f>
        <v>Nationwide Ship to School</v>
      </c>
      <c r="I130" s="61" t="str">
        <f>IFERROR(__xludf.DUMMYFUNCTION("""COMPUTED_VALUE"""),"University Housing ")</f>
        <v>University Housing </v>
      </c>
      <c r="J130" s="107" t="str">
        <f>IFERROR(__xludf.DUMMYFUNCTION("""COMPUTED_VALUE"""),"09:00 AM to 11:00 AM   ")</f>
        <v>09:00 AM to 11:00 AM   </v>
      </c>
      <c r="K130" s="107">
        <f>IFERROR(__xludf.DUMMYFUNCTION("""COMPUTED_VALUE"""),45883.0)</f>
        <v>45883</v>
      </c>
      <c r="L130" s="61" t="str">
        <f>IFERROR(__xludf.DUMMYFUNCTION("""COMPUTED_VALUE"""),"Lien  ")</f>
        <v>Lien  </v>
      </c>
      <c r="M130" s="110" t="str">
        <f>IFERROR(__xludf.DUMMYFUNCTION("""COMPUTED_VALUE"""),"2224")</f>
        <v>2224</v>
      </c>
      <c r="N130" s="61"/>
      <c r="O130" s="61" t="str">
        <f>IFERROR(__xludf.DUMMYFUNCTION("""COMPUTED_VALUE"""),"1916 Fairfax St
Denver, CO 80220  ")</f>
        <v>1916 Fairfax St
Denver, CO 80220  </v>
      </c>
      <c r="P130" s="61"/>
    </row>
    <row r="131">
      <c r="A131" s="102" t="str">
        <f>IFERROR(__xludf.DUMMYFUNCTION("""COMPUTED_VALUE"""),"https://utrucking.com/admin/orders/5914907672764")</f>
        <v>https://utrucking.com/admin/orders/5914907672764</v>
      </c>
      <c r="B131" s="65" t="str">
        <f>IFERROR(__xludf.DUMMYFUNCTION("""COMPUTED_VALUE"""),"#15639")</f>
        <v>#15639</v>
      </c>
      <c r="C131" s="65" t="str">
        <f>IFERROR(__xludf.DUMMYFUNCTION("""COMPUTED_VALUE"""),"k.lindsay@wustl.edu")</f>
        <v>k.lindsay@wustl.edu</v>
      </c>
      <c r="D131" s="65">
        <f>IFERROR(__xludf.DUMMYFUNCTION("""COMPUTED_VALUE"""),5.166597079E9)</f>
        <v>5166597079</v>
      </c>
      <c r="E131" s="65" t="str">
        <f>IFERROR(__xludf.DUMMYFUNCTION("""COMPUTED_VALUE"""),"Lindsay Kweit")</f>
        <v>Lindsay Kweit</v>
      </c>
      <c r="F131" s="65"/>
      <c r="G131" s="65"/>
      <c r="H131" s="65" t="str">
        <f>IFERROR(__xludf.DUMMYFUNCTION("""COMPUTED_VALUE"""),"Nationwide Ship to School")</f>
        <v>Nationwide Ship to School</v>
      </c>
      <c r="I131" s="65" t="str">
        <f>IFERROR(__xludf.DUMMYFUNCTION("""COMPUTED_VALUE"""),"University Housing ")</f>
        <v>University Housing </v>
      </c>
      <c r="J131" s="108" t="str">
        <f>IFERROR(__xludf.DUMMYFUNCTION("""COMPUTED_VALUE"""),"09:00 AM to 11:00 AM   ")</f>
        <v>09:00 AM to 11:00 AM   </v>
      </c>
      <c r="K131" s="108">
        <f>IFERROR(__xludf.DUMMYFUNCTION("""COMPUTED_VALUE"""),45883.0)</f>
        <v>45883</v>
      </c>
      <c r="L131" s="65" t="str">
        <f>IFERROR(__xludf.DUMMYFUNCTION("""COMPUTED_VALUE"""),"Lopata  ")</f>
        <v>Lopata  </v>
      </c>
      <c r="M131" s="111" t="str">
        <f>IFERROR(__xludf.DUMMYFUNCTION("""COMPUTED_VALUE"""),"3073")</f>
        <v>3073</v>
      </c>
      <c r="N131" s="65"/>
      <c r="O131" s="65" t="str">
        <f>IFERROR(__xludf.DUMMYFUNCTION("""COMPUTED_VALUE"""),"4 Niagara Drive Jericho NY 11753  ")</f>
        <v>4 Niagara Drive Jericho NY 11753  </v>
      </c>
      <c r="P131" s="65"/>
    </row>
    <row r="132">
      <c r="A132" s="99" t="str">
        <f>IFERROR(__xludf.DUMMYFUNCTION("""COMPUTED_VALUE"""),"https://utrucking.com/admin/orders/5915367145660")</f>
        <v>https://utrucking.com/admin/orders/5915367145660</v>
      </c>
      <c r="B132" s="61" t="str">
        <f>IFERROR(__xludf.DUMMYFUNCTION("""COMPUTED_VALUE"""),"#15653")</f>
        <v>#15653</v>
      </c>
      <c r="C132" s="61" t="str">
        <f>IFERROR(__xludf.DUMMYFUNCTION("""COMPUTED_VALUE"""),"kharris21@iCloud.com")</f>
        <v>kharris21@iCloud.com</v>
      </c>
      <c r="D132" s="61">
        <f>IFERROR(__xludf.DUMMYFUNCTION("""COMPUTED_VALUE"""),2.127698855E9)</f>
        <v>2127698855</v>
      </c>
      <c r="E132" s="61" t="str">
        <f>IFERROR(__xludf.DUMMYFUNCTION("""COMPUTED_VALUE"""),"Kristy Harris")</f>
        <v>Kristy Harris</v>
      </c>
      <c r="F132" s="61"/>
      <c r="G132" s="61"/>
      <c r="H132" s="61" t="str">
        <f>IFERROR(__xludf.DUMMYFUNCTION("""COMPUTED_VALUE"""),"Nationwide Ship to School")</f>
        <v>Nationwide Ship to School</v>
      </c>
      <c r="I132" s="61" t="str">
        <f>IFERROR(__xludf.DUMMYFUNCTION("""COMPUTED_VALUE"""),"University Housing ")</f>
        <v>University Housing </v>
      </c>
      <c r="J132" s="107" t="str">
        <f>IFERROR(__xludf.DUMMYFUNCTION("""COMPUTED_VALUE"""),"09:00 AM to 11:00 AM   ")</f>
        <v>09:00 AM to 11:00 AM   </v>
      </c>
      <c r="K132" s="107">
        <f>IFERROR(__xludf.DUMMYFUNCTION("""COMPUTED_VALUE"""),45883.0)</f>
        <v>45883</v>
      </c>
      <c r="L132" s="61" t="str">
        <f>IFERROR(__xludf.DUMMYFUNCTION("""COMPUTED_VALUE"""),"Shanedling  ")</f>
        <v>Shanedling  </v>
      </c>
      <c r="M132" s="110" t="str">
        <f>IFERROR(__xludf.DUMMYFUNCTION("""COMPUTED_VALUE"""),"422")</f>
        <v>422</v>
      </c>
      <c r="N132" s="61"/>
      <c r="O132" s="61" t="str">
        <f>IFERROR(__xludf.DUMMYFUNCTION("""COMPUTED_VALUE"""),"320 West 76th Street 
Apartment 9G
New York, NY 10023  ")</f>
        <v>320 West 76th Street 
Apartment 9G
New York, NY 10023  </v>
      </c>
      <c r="P132" s="61"/>
    </row>
    <row r="133">
      <c r="A133" s="102" t="str">
        <f>IFERROR(__xludf.DUMMYFUNCTION("""COMPUTED_VALUE"""),"https://utrucking.com/admin/orders/5915436875964")</f>
        <v>https://utrucking.com/admin/orders/5915436875964</v>
      </c>
      <c r="B133" s="65" t="str">
        <f>IFERROR(__xludf.DUMMYFUNCTION("""COMPUTED_VALUE"""),"#15658")</f>
        <v>#15658</v>
      </c>
      <c r="C133" s="65"/>
      <c r="D133" s="65">
        <f>IFERROR(__xludf.DUMMYFUNCTION("""COMPUTED_VALUE"""),9.143648E9)</f>
        <v>9143648000</v>
      </c>
      <c r="E133" s="65" t="str">
        <f>IFERROR(__xludf.DUMMYFUNCTION("""COMPUTED_VALUE"""),"Ava Feldman")</f>
        <v>Ava Feldman</v>
      </c>
      <c r="F133" s="65"/>
      <c r="G133" s="65"/>
      <c r="H133" s="65" t="str">
        <f>IFERROR(__xludf.DUMMYFUNCTION("""COMPUTED_VALUE"""),"Nationwide Ship to School")</f>
        <v>Nationwide Ship to School</v>
      </c>
      <c r="I133" s="65" t="str">
        <f>IFERROR(__xludf.DUMMYFUNCTION("""COMPUTED_VALUE"""),"University Housing ")</f>
        <v>University Housing </v>
      </c>
      <c r="J133" s="108" t="str">
        <f>IFERROR(__xludf.DUMMYFUNCTION("""COMPUTED_VALUE"""),"09:00 AM to 11:00 AM   ")</f>
        <v>09:00 AM to 11:00 AM   </v>
      </c>
      <c r="K133" s="108">
        <f>IFERROR(__xludf.DUMMYFUNCTION("""COMPUTED_VALUE"""),45883.0)</f>
        <v>45883</v>
      </c>
      <c r="L133" s="65" t="str">
        <f>IFERROR(__xludf.DUMMYFUNCTION("""COMPUTED_VALUE"""),"Dauten  ")</f>
        <v>Dauten  </v>
      </c>
      <c r="M133" s="111" t="str">
        <f>IFERROR(__xludf.DUMMYFUNCTION("""COMPUTED_VALUE"""),"232-B")</f>
        <v>232-B</v>
      </c>
      <c r="N133" s="65"/>
      <c r="O133" s="65" t="str">
        <f>IFERROR(__xludf.DUMMYFUNCTION("""COMPUTED_VALUE"""),"276 Fox Meadow Rd, Scarsdale, NY 10583  ")</f>
        <v>276 Fox Meadow Rd, Scarsdale, NY 10583  </v>
      </c>
      <c r="P133" s="65"/>
    </row>
    <row r="134">
      <c r="A134" s="99" t="str">
        <f>IFERROR(__xludf.DUMMYFUNCTION("""COMPUTED_VALUE"""),"https://utrucking.com/admin/orders/5915491205308")</f>
        <v>https://utrucking.com/admin/orders/5915491205308</v>
      </c>
      <c r="B134" s="61" t="str">
        <f>IFERROR(__xludf.DUMMYFUNCTION("""COMPUTED_VALUE"""),"#15663")</f>
        <v>#15663</v>
      </c>
      <c r="C134" s="61" t="str">
        <f>IFERROR(__xludf.DUMMYFUNCTION("""COMPUTED_VALUE"""),"christabodin@yahoo.com")</f>
        <v>christabodin@yahoo.com</v>
      </c>
      <c r="D134" s="61">
        <f>IFERROR(__xludf.DUMMYFUNCTION("""COMPUTED_VALUE"""),9.179150686E9)</f>
        <v>9179150686</v>
      </c>
      <c r="E134" s="61" t="str">
        <f>IFERROR(__xludf.DUMMYFUNCTION("""COMPUTED_VALUE"""),"Tristan Frey")</f>
        <v>Tristan Frey</v>
      </c>
      <c r="F134" s="61"/>
      <c r="G134" s="61"/>
      <c r="H134" s="61" t="str">
        <f>IFERROR(__xludf.DUMMYFUNCTION("""COMPUTED_VALUE"""),"Nationwide Ship to School")</f>
        <v>Nationwide Ship to School</v>
      </c>
      <c r="I134" s="61" t="str">
        <f>IFERROR(__xludf.DUMMYFUNCTION("""COMPUTED_VALUE"""),"University Housing ")</f>
        <v>University Housing </v>
      </c>
      <c r="J134" s="107" t="str">
        <f>IFERROR(__xludf.DUMMYFUNCTION("""COMPUTED_VALUE"""),"09:00 AM to 11:00 AM   ")</f>
        <v>09:00 AM to 11:00 AM   </v>
      </c>
      <c r="K134" s="107">
        <f>IFERROR(__xludf.DUMMYFUNCTION("""COMPUTED_VALUE"""),45883.0)</f>
        <v>45883</v>
      </c>
      <c r="L134" s="61" t="str">
        <f>IFERROR(__xludf.DUMMYFUNCTION("""COMPUTED_VALUE"""),"Koenig  ")</f>
        <v>Koenig  </v>
      </c>
      <c r="M134" s="110" t="str">
        <f>IFERROR(__xludf.DUMMYFUNCTION("""COMPUTED_VALUE"""),"1117")</f>
        <v>1117</v>
      </c>
      <c r="N134" s="61"/>
      <c r="O134" s="61" t="str">
        <f>IFERROR(__xludf.DUMMYFUNCTION("""COMPUTED_VALUE"""),"Tristan Frey
415 Washington Street #4C
New York, NY 10013  ")</f>
        <v>Tristan Frey
415 Washington Street #4C
New York, NY 10013  </v>
      </c>
      <c r="P134" s="61"/>
    </row>
    <row r="135">
      <c r="A135" s="102" t="str">
        <f>IFERROR(__xludf.DUMMYFUNCTION("""COMPUTED_VALUE"""),"https://utrucking.com/admin/orders/5915629420732")</f>
        <v>https://utrucking.com/admin/orders/5915629420732</v>
      </c>
      <c r="B135" s="65" t="str">
        <f>IFERROR(__xludf.DUMMYFUNCTION("""COMPUTED_VALUE"""),"#15667")</f>
        <v>#15667</v>
      </c>
      <c r="C135" s="65" t="str">
        <f>IFERROR(__xludf.DUMMYFUNCTION("""COMPUTED_VALUE"""),"bethany_klynn@yahoo.com")</f>
        <v>bethany_klynn@yahoo.com</v>
      </c>
      <c r="D135" s="65">
        <f>IFERROR(__xludf.DUMMYFUNCTION("""COMPUTED_VALUE"""),6.145075668E9)</f>
        <v>6145075668</v>
      </c>
      <c r="E135" s="65" t="str">
        <f>IFERROR(__xludf.DUMMYFUNCTION("""COMPUTED_VALUE"""),"Bethany Klynn")</f>
        <v>Bethany Klynn</v>
      </c>
      <c r="F135" s="65"/>
      <c r="G135" s="65"/>
      <c r="H135" s="65" t="str">
        <f>IFERROR(__xludf.DUMMYFUNCTION("""COMPUTED_VALUE"""),"Nationwide Ship to School")</f>
        <v>Nationwide Ship to School</v>
      </c>
      <c r="I135" s="65" t="str">
        <f>IFERROR(__xludf.DUMMYFUNCTION("""COMPUTED_VALUE"""),"University Housing ")</f>
        <v>University Housing </v>
      </c>
      <c r="J135" s="108" t="str">
        <f>IFERROR(__xludf.DUMMYFUNCTION("""COMPUTED_VALUE"""),"09:00 AM to 11:00 AM   ")</f>
        <v>09:00 AM to 11:00 AM   </v>
      </c>
      <c r="K135" s="108">
        <f>IFERROR(__xludf.DUMMYFUNCTION("""COMPUTED_VALUE"""),45883.0)</f>
        <v>45883</v>
      </c>
      <c r="L135" s="65" t="str">
        <f>IFERROR(__xludf.DUMMYFUNCTION("""COMPUTED_VALUE"""),"Park  ")</f>
        <v>Park  </v>
      </c>
      <c r="M135" s="111" t="str">
        <f>IFERROR(__xludf.DUMMYFUNCTION("""COMPUTED_VALUE"""),"231")</f>
        <v>231</v>
      </c>
      <c r="N135" s="65"/>
      <c r="O135" s="65" t="str">
        <f>IFERROR(__xludf.DUMMYFUNCTION("""COMPUTED_VALUE"""),"4123 Sudbrook Sq E
New Albany, OH 43054  ")</f>
        <v>4123 Sudbrook Sq E
New Albany, OH 43054  </v>
      </c>
      <c r="P135" s="65"/>
    </row>
    <row r="136">
      <c r="A136" s="99" t="str">
        <f>IFERROR(__xludf.DUMMYFUNCTION("""COMPUTED_VALUE"""),"https://utrucking.com/admin/orders/5915668775100")</f>
        <v>https://utrucking.com/admin/orders/5915668775100</v>
      </c>
      <c r="B136" s="61" t="str">
        <f>IFERROR(__xludf.DUMMYFUNCTION("""COMPUTED_VALUE"""),"#15668")</f>
        <v>#15668</v>
      </c>
      <c r="C136" s="61" t="str">
        <f>IFERROR(__xludf.DUMMYFUNCTION("""COMPUTED_VALUE"""),"allison_meltz@me.com")</f>
        <v>allison_meltz@me.com</v>
      </c>
      <c r="D136" s="61">
        <f>IFERROR(__xludf.DUMMYFUNCTION("""COMPUTED_VALUE"""),9.175796873E9)</f>
        <v>9175796873</v>
      </c>
      <c r="E136" s="61" t="str">
        <f>IFERROR(__xludf.DUMMYFUNCTION("""COMPUTED_VALUE"""),"Riley Meltz")</f>
        <v>Riley Meltz</v>
      </c>
      <c r="F136" s="61"/>
      <c r="G136" s="61"/>
      <c r="H136" s="61" t="str">
        <f>IFERROR(__xludf.DUMMYFUNCTION("""COMPUTED_VALUE"""),"Nationwide Ship to School")</f>
        <v>Nationwide Ship to School</v>
      </c>
      <c r="I136" s="61" t="str">
        <f>IFERROR(__xludf.DUMMYFUNCTION("""COMPUTED_VALUE"""),"University Housing ")</f>
        <v>University Housing </v>
      </c>
      <c r="J136" s="107" t="str">
        <f>IFERROR(__xludf.DUMMYFUNCTION("""COMPUTED_VALUE"""),"10:00 AM to 12:00 PM   ")</f>
        <v>10:00 AM to 12:00 PM   </v>
      </c>
      <c r="K136" s="107">
        <f>IFERROR(__xludf.DUMMYFUNCTION("""COMPUTED_VALUE"""),45890.0)</f>
        <v>45890</v>
      </c>
      <c r="L136" s="61" t="str">
        <f>IFERROR(__xludf.DUMMYFUNCTION("""COMPUTED_VALUE"""),"Lopata  ")</f>
        <v>Lopata  </v>
      </c>
      <c r="M136" s="110" t="str">
        <f>IFERROR(__xludf.DUMMYFUNCTION("""COMPUTED_VALUE"""),"3030")</f>
        <v>3030</v>
      </c>
      <c r="N136" s="61"/>
      <c r="O136" s="61" t="str">
        <f>IFERROR(__xludf.DUMMYFUNCTION("""COMPUTED_VALUE"""),"2 Mohican Trail, Scarsdale, NY, 10583  ")</f>
        <v>2 Mohican Trail, Scarsdale, NY, 10583  </v>
      </c>
      <c r="P136" s="61"/>
    </row>
    <row r="137">
      <c r="A137" s="102" t="str">
        <f>IFERROR(__xludf.DUMMYFUNCTION("""COMPUTED_VALUE"""),"https://utrucking.com/admin/orders/5915720319164")</f>
        <v>https://utrucking.com/admin/orders/5915720319164</v>
      </c>
      <c r="B137" s="65" t="str">
        <f>IFERROR(__xludf.DUMMYFUNCTION("""COMPUTED_VALUE"""),"#15669")</f>
        <v>#15669</v>
      </c>
      <c r="C137" s="65" t="str">
        <f>IFERROR(__xludf.DUMMYFUNCTION("""COMPUTED_VALUE"""),"gmb.baker@gmail.com")</f>
        <v>gmb.baker@gmail.com</v>
      </c>
      <c r="D137" s="65">
        <f>IFERROR(__xludf.DUMMYFUNCTION("""COMPUTED_VALUE"""),9.1799147E9)</f>
        <v>9179914700</v>
      </c>
      <c r="E137" s="65" t="str">
        <f>IFERROR(__xludf.DUMMYFUNCTION("""COMPUTED_VALUE"""),"Sydney Baker")</f>
        <v>Sydney Baker</v>
      </c>
      <c r="F137" s="65"/>
      <c r="G137" s="65"/>
      <c r="H137" s="65" t="str">
        <f>IFERROR(__xludf.DUMMYFUNCTION("""COMPUTED_VALUE"""),"Nationwide Ship to School")</f>
        <v>Nationwide Ship to School</v>
      </c>
      <c r="I137" s="65" t="str">
        <f>IFERROR(__xludf.DUMMYFUNCTION("""COMPUTED_VALUE"""),"University Housing ")</f>
        <v>University Housing </v>
      </c>
      <c r="J137" s="108" t="str">
        <f>IFERROR(__xludf.DUMMYFUNCTION("""COMPUTED_VALUE"""),"09:00 AM to 11:00 AM   ")</f>
        <v>09:00 AM to 11:00 AM   </v>
      </c>
      <c r="K137" s="108">
        <f>IFERROR(__xludf.DUMMYFUNCTION("""COMPUTED_VALUE"""),45883.0)</f>
        <v>45883</v>
      </c>
      <c r="L137" s="65" t="str">
        <f>IFERROR(__xludf.DUMMYFUNCTION("""COMPUTED_VALUE"""),"Lopata  ")</f>
        <v>Lopata  </v>
      </c>
      <c r="M137" s="111" t="str">
        <f>IFERROR(__xludf.DUMMYFUNCTION("""COMPUTED_VALUE"""),"3030")</f>
        <v>3030</v>
      </c>
      <c r="N137" s="65"/>
      <c r="O137" s="65" t="str">
        <f>IFERROR(__xludf.DUMMYFUNCTION("""COMPUTED_VALUE"""),"24 Wenwood Drive
Brookville, NY 11545  ")</f>
        <v>24 Wenwood Drive
Brookville, NY 11545  </v>
      </c>
      <c r="P137" s="65"/>
    </row>
    <row r="138">
      <c r="A138" s="99" t="str">
        <f>IFERROR(__xludf.DUMMYFUNCTION("""COMPUTED_VALUE"""),"https://utrucking.com/admin/orders/5915764818108")</f>
        <v>https://utrucking.com/admin/orders/5915764818108</v>
      </c>
      <c r="B138" s="61" t="str">
        <f>IFERROR(__xludf.DUMMYFUNCTION("""COMPUTED_VALUE"""),"#15670")</f>
        <v>#15670</v>
      </c>
      <c r="C138" s="61" t="str">
        <f>IFERROR(__xludf.DUMMYFUNCTION("""COMPUTED_VALUE"""),"wakefield@wustl.edu")</f>
        <v>wakefield@wustl.edu</v>
      </c>
      <c r="D138" s="61">
        <f>IFERROR(__xludf.DUMMYFUNCTION("""COMPUTED_VALUE"""),4.109917025E9)</f>
        <v>4109917025</v>
      </c>
      <c r="E138" s="61" t="str">
        <f>IFERROR(__xludf.DUMMYFUNCTION("""COMPUTED_VALUE"""),"James Wakefield")</f>
        <v>James Wakefield</v>
      </c>
      <c r="F138" s="61"/>
      <c r="G138" s="61" t="str">
        <f>IFERROR(__xludf.DUMMYFUNCTION("""COMPUTED_VALUE"""),"740 Westgate Ave, University City, MO 63130")</f>
        <v>740 Westgate Ave, University City, MO 63130</v>
      </c>
      <c r="H138" s="61" t="str">
        <f>IFERROR(__xludf.DUMMYFUNCTION("""COMPUTED_VALUE"""),"Nationwide Ship to School")</f>
        <v>Nationwide Ship to School</v>
      </c>
      <c r="I138" s="61" t="str">
        <f>IFERROR(__xludf.DUMMYFUNCTION("""COMPUTED_VALUE"""),"Non-University Housing ")</f>
        <v>Non-University Housing </v>
      </c>
      <c r="J138" s="107" t="str">
        <f>IFERROR(__xludf.DUMMYFUNCTION("""COMPUTED_VALUE"""),"01:00 PM to 03:00 PM   ")</f>
        <v>01:00 PM to 03:00 PM   </v>
      </c>
      <c r="K138" s="107">
        <f>IFERROR(__xludf.DUMMYFUNCTION("""COMPUTED_VALUE"""),45889.0)</f>
        <v>45889</v>
      </c>
      <c r="L138" s="61"/>
      <c r="M138" s="110"/>
      <c r="N138" s="61" t="str">
        <f>IFERROR(__xludf.DUMMYFUNCTION("""COMPUTED_VALUE"""),"740 Westgate Ave #3N, University City, MO 63130")</f>
        <v>740 Westgate Ave #3N, University City, MO 63130</v>
      </c>
      <c r="O138" s="61" t="str">
        <f>IFERROR(__xludf.DUMMYFUNCTION("""COMPUTED_VALUE"""),"416 Timber Ln, Grasonville, MD 21638  ")</f>
        <v>416 Timber Ln, Grasonville, MD 21638  </v>
      </c>
      <c r="P138" s="61"/>
    </row>
    <row r="139">
      <c r="A139" s="102" t="str">
        <f>IFERROR(__xludf.DUMMYFUNCTION("""COMPUTED_VALUE"""),"https://utrucking.com/admin/orders/5915898904764")</f>
        <v>https://utrucking.com/admin/orders/5915898904764</v>
      </c>
      <c r="B139" s="65" t="str">
        <f>IFERROR(__xludf.DUMMYFUNCTION("""COMPUTED_VALUE"""),"#15675")</f>
        <v>#15675</v>
      </c>
      <c r="C139" s="65" t="str">
        <f>IFERROR(__xludf.DUMMYFUNCTION("""COMPUTED_VALUE"""),"ray.bodnar@tprest.com")</f>
        <v>ray.bodnar@tprest.com</v>
      </c>
      <c r="D139" s="65">
        <f>IFERROR(__xludf.DUMMYFUNCTION("""COMPUTED_VALUE"""),1.2145634258E10)</f>
        <v>12145634258</v>
      </c>
      <c r="E139" s="65" t="str">
        <f>IFERROR(__xludf.DUMMYFUNCTION("""COMPUTED_VALUE"""),"Ray Bodnar")</f>
        <v>Ray Bodnar</v>
      </c>
      <c r="F139" s="65"/>
      <c r="G139" s="65"/>
      <c r="H139" s="65" t="str">
        <f>IFERROR(__xludf.DUMMYFUNCTION("""COMPUTED_VALUE"""),"Nationwide Ship to School")</f>
        <v>Nationwide Ship to School</v>
      </c>
      <c r="I139" s="65" t="str">
        <f>IFERROR(__xludf.DUMMYFUNCTION("""COMPUTED_VALUE"""),"University Housing ")</f>
        <v>University Housing </v>
      </c>
      <c r="J139" s="108" t="str">
        <f>IFERROR(__xludf.DUMMYFUNCTION("""COMPUTED_VALUE"""),"09:00 AM to 11:00 AM   ")</f>
        <v>09:00 AM to 11:00 AM   </v>
      </c>
      <c r="K139" s="108">
        <f>IFERROR(__xludf.DUMMYFUNCTION("""COMPUTED_VALUE"""),45880.0)</f>
        <v>45880</v>
      </c>
      <c r="L139" s="65" t="str">
        <f>IFERROR(__xludf.DUMMYFUNCTION("""COMPUTED_VALUE"""),"Danforth  ")</f>
        <v>Danforth  </v>
      </c>
      <c r="M139" s="111" t="str">
        <f>IFERROR(__xludf.DUMMYFUNCTION("""COMPUTED_VALUE"""),"2205 - b")</f>
        <v>2205 - b</v>
      </c>
      <c r="N139" s="65"/>
      <c r="O139" s="65" t="str">
        <f>IFERROR(__xludf.DUMMYFUNCTION("""COMPUTED_VALUE"""),"4060 Spring Valley Road #202
Farmers Branch, TX 75244  ")</f>
        <v>4060 Spring Valley Road #202
Farmers Branch, TX 75244  </v>
      </c>
      <c r="P139" s="65"/>
    </row>
    <row r="140">
      <c r="A140" s="99" t="str">
        <f>IFERROR(__xludf.DUMMYFUNCTION("""COMPUTED_VALUE"""),"https://utrucking.com/admin/orders/5915941929148")</f>
        <v>https://utrucking.com/admin/orders/5915941929148</v>
      </c>
      <c r="B140" s="61" t="str">
        <f>IFERROR(__xludf.DUMMYFUNCTION("""COMPUTED_VALUE"""),"#15677")</f>
        <v>#15677</v>
      </c>
      <c r="C140" s="61"/>
      <c r="D140" s="61">
        <f>IFERROR(__xludf.DUMMYFUNCTION("""COMPUTED_VALUE"""),1.5127882282E10)</f>
        <v>15127882282</v>
      </c>
      <c r="E140" s="61" t="str">
        <f>IFERROR(__xludf.DUMMYFUNCTION("""COMPUTED_VALUE"""),"Julia Tyler")</f>
        <v>Julia Tyler</v>
      </c>
      <c r="F140" s="61"/>
      <c r="G140" s="61"/>
      <c r="H140" s="61" t="str">
        <f>IFERROR(__xludf.DUMMYFUNCTION("""COMPUTED_VALUE"""),"Nationwide Ship to School")</f>
        <v>Nationwide Ship to School</v>
      </c>
      <c r="I140" s="61" t="str">
        <f>IFERROR(__xludf.DUMMYFUNCTION("""COMPUTED_VALUE"""),"University Housing ")</f>
        <v>University Housing </v>
      </c>
      <c r="J140" s="107" t="str">
        <f>IFERROR(__xludf.DUMMYFUNCTION("""COMPUTED_VALUE"""),"09:00 AM to 11:00 AM   ")</f>
        <v>09:00 AM to 11:00 AM   </v>
      </c>
      <c r="K140" s="107">
        <f>IFERROR(__xludf.DUMMYFUNCTION("""COMPUTED_VALUE"""),45883.0)</f>
        <v>45883</v>
      </c>
      <c r="L140" s="61" t="str">
        <f>IFERROR(__xludf.DUMMYFUNCTION("""COMPUTED_VALUE"""),"Park  ")</f>
        <v>Park  </v>
      </c>
      <c r="M140" s="110" t="str">
        <f>IFERROR(__xludf.DUMMYFUNCTION("""COMPUTED_VALUE"""),"112")</f>
        <v>112</v>
      </c>
      <c r="N140" s="61"/>
      <c r="O140" s="61" t="str">
        <f>IFERROR(__xludf.DUMMYFUNCTION("""COMPUTED_VALUE"""),"9285 Scenic Bluff Drive
Austin, Texas 78733  ")</f>
        <v>9285 Scenic Bluff Drive
Austin, Texas 78733  </v>
      </c>
      <c r="P140" s="61"/>
    </row>
    <row r="141">
      <c r="A141" s="102" t="str">
        <f>IFERROR(__xludf.DUMMYFUNCTION("""COMPUTED_VALUE"""),"https://utrucking.com/admin/orders/5916061761724")</f>
        <v>https://utrucking.com/admin/orders/5916061761724</v>
      </c>
      <c r="B141" s="65" t="str">
        <f>IFERROR(__xludf.DUMMYFUNCTION("""COMPUTED_VALUE"""),"#15685")</f>
        <v>#15685</v>
      </c>
      <c r="C141" s="65" t="str">
        <f>IFERROR(__xludf.DUMMYFUNCTION("""COMPUTED_VALUE"""),"skboudi@gmail.com")</f>
        <v>skboudi@gmail.com</v>
      </c>
      <c r="D141" s="65">
        <f>IFERROR(__xludf.DUMMYFUNCTION("""COMPUTED_VALUE"""),2.102413113E9)</f>
        <v>2102413113</v>
      </c>
      <c r="E141" s="65" t="str">
        <f>IFERROR(__xludf.DUMMYFUNCTION("""COMPUTED_VALUE"""),"Simone Kboudi")</f>
        <v>Simone Kboudi</v>
      </c>
      <c r="F141" s="65"/>
      <c r="G141" s="65"/>
      <c r="H141" s="65" t="str">
        <f>IFERROR(__xludf.DUMMYFUNCTION("""COMPUTED_VALUE"""),"Nationwide Ship to School")</f>
        <v>Nationwide Ship to School</v>
      </c>
      <c r="I141" s="65" t="str">
        <f>IFERROR(__xludf.DUMMYFUNCTION("""COMPUTED_VALUE"""),"University Housing ")</f>
        <v>University Housing </v>
      </c>
      <c r="J141" s="108" t="str">
        <f>IFERROR(__xludf.DUMMYFUNCTION("""COMPUTED_VALUE"""),"09:00 AM to 11:00 AM   ")</f>
        <v>09:00 AM to 11:00 AM   </v>
      </c>
      <c r="K141" s="108">
        <f>IFERROR(__xludf.DUMMYFUNCTION("""COMPUTED_VALUE"""),45883.0)</f>
        <v>45883</v>
      </c>
      <c r="L141" s="65" t="str">
        <f>IFERROR(__xludf.DUMMYFUNCTION("""COMPUTED_VALUE"""),"Danforth  ")</f>
        <v>Danforth  </v>
      </c>
      <c r="M141" s="111" t="str">
        <f>IFERROR(__xludf.DUMMYFUNCTION("""COMPUTED_VALUE"""),"4412")</f>
        <v>4412</v>
      </c>
      <c r="N141" s="65"/>
      <c r="O141" s="65" t="str">
        <f>IFERROR(__xludf.DUMMYFUNCTION("""COMPUTED_VALUE"""),"1445 Edris Drive, Los Angeles, CA 90035  ")</f>
        <v>1445 Edris Drive, Los Angeles, CA 90035  </v>
      </c>
      <c r="P141" s="65"/>
    </row>
    <row r="142">
      <c r="A142" s="99" t="str">
        <f>IFERROR(__xludf.DUMMYFUNCTION("""COMPUTED_VALUE"""),"https://utrucking.com/admin/orders/5916074311868")</f>
        <v>https://utrucking.com/admin/orders/5916074311868</v>
      </c>
      <c r="B142" s="61" t="str">
        <f>IFERROR(__xludf.DUMMYFUNCTION("""COMPUTED_VALUE"""),"#15686")</f>
        <v>#15686</v>
      </c>
      <c r="C142" s="61"/>
      <c r="D142" s="61">
        <f>IFERROR(__xludf.DUMMYFUNCTION("""COMPUTED_VALUE"""),1.5056772421E10)</f>
        <v>15056772421</v>
      </c>
      <c r="E142" s="61" t="str">
        <f>IFERROR(__xludf.DUMMYFUNCTION("""COMPUTED_VALUE"""),"Charley Farr")</f>
        <v>Charley Farr</v>
      </c>
      <c r="F142" s="61"/>
      <c r="G142" s="61"/>
      <c r="H142" s="61" t="str">
        <f>IFERROR(__xludf.DUMMYFUNCTION("""COMPUTED_VALUE"""),"Nationwide Ship to School")</f>
        <v>Nationwide Ship to School</v>
      </c>
      <c r="I142" s="61" t="str">
        <f>IFERROR(__xludf.DUMMYFUNCTION("""COMPUTED_VALUE"""),"University Housing ")</f>
        <v>University Housing </v>
      </c>
      <c r="J142" s="107" t="str">
        <f>IFERROR(__xludf.DUMMYFUNCTION("""COMPUTED_VALUE"""),"10:00 AM to 12:00 PM   ")</f>
        <v>10:00 AM to 12:00 PM   </v>
      </c>
      <c r="K142" s="107">
        <f>IFERROR(__xludf.DUMMYFUNCTION("""COMPUTED_VALUE"""),45883.0)</f>
        <v>45883</v>
      </c>
      <c r="L142" s="61" t="str">
        <f>IFERROR(__xludf.DUMMYFUNCTION("""COMPUTED_VALUE"""),"Hurd  ")</f>
        <v>Hurd  </v>
      </c>
      <c r="M142" s="110" t="str">
        <f>IFERROR(__xludf.DUMMYFUNCTION("""COMPUTED_VALUE"""),"423-a")</f>
        <v>423-a</v>
      </c>
      <c r="N142" s="61"/>
      <c r="O142" s="61" t="str">
        <f>IFERROR(__xludf.DUMMYFUNCTION("""COMPUTED_VALUE"""),"12408 Scarlet Gem Ct NE
Albuquerque, New Mexico 87122-4326  ")</f>
        <v>12408 Scarlet Gem Ct NE
Albuquerque, New Mexico 87122-4326  </v>
      </c>
      <c r="P142" s="61"/>
    </row>
    <row r="143">
      <c r="A143" s="102" t="str">
        <f>IFERROR(__xludf.DUMMYFUNCTION("""COMPUTED_VALUE"""),"https://utrucking.com/admin/orders/5916144337084")</f>
        <v>https://utrucking.com/admin/orders/5916144337084</v>
      </c>
      <c r="B143" s="65" t="str">
        <f>IFERROR(__xludf.DUMMYFUNCTION("""COMPUTED_VALUE"""),"#15688")</f>
        <v>#15688</v>
      </c>
      <c r="C143" s="65" t="str">
        <f>IFERROR(__xludf.DUMMYFUNCTION("""COMPUTED_VALUE"""),"lisapetlak@hotmail.com")</f>
        <v>lisapetlak@hotmail.com</v>
      </c>
      <c r="D143" s="65">
        <f>IFERROR(__xludf.DUMMYFUNCTION("""COMPUTED_VALUE"""),1.3103673106E10)</f>
        <v>13103673106</v>
      </c>
      <c r="E143" s="65" t="str">
        <f>IFERROR(__xludf.DUMMYFUNCTION("""COMPUTED_VALUE"""),"Lisa Petlak")</f>
        <v>Lisa Petlak</v>
      </c>
      <c r="F143" s="65"/>
      <c r="G143" s="65"/>
      <c r="H143" s="65" t="str">
        <f>IFERROR(__xludf.DUMMYFUNCTION("""COMPUTED_VALUE"""),"Nationwide Ship to School")</f>
        <v>Nationwide Ship to School</v>
      </c>
      <c r="I143" s="65" t="str">
        <f>IFERROR(__xludf.DUMMYFUNCTION("""COMPUTED_VALUE"""),"University Housing ")</f>
        <v>University Housing </v>
      </c>
      <c r="J143" s="108" t="str">
        <f>IFERROR(__xludf.DUMMYFUNCTION("""COMPUTED_VALUE"""),"09:00 AM to 11:00 AM   ")</f>
        <v>09:00 AM to 11:00 AM   </v>
      </c>
      <c r="K143" s="108">
        <f>IFERROR(__xludf.DUMMYFUNCTION("""COMPUTED_VALUE"""),45883.0)</f>
        <v>45883</v>
      </c>
      <c r="L143" s="65" t="str">
        <f>IFERROR(__xludf.DUMMYFUNCTION("""COMPUTED_VALUE"""),"Dardick  ")</f>
        <v>Dardick  </v>
      </c>
      <c r="M143" s="111" t="str">
        <f>IFERROR(__xludf.DUMMYFUNCTION("""COMPUTED_VALUE"""),"3305")</f>
        <v>3305</v>
      </c>
      <c r="N143" s="65"/>
      <c r="O143" s="65" t="str">
        <f>IFERROR(__xludf.DUMMYFUNCTION("""COMPUTED_VALUE"""),"1508 S. Canfield Ave.
Los Angeles, CA 90035  ")</f>
        <v>1508 S. Canfield Ave.
Los Angeles, CA 90035  </v>
      </c>
      <c r="P143" s="65"/>
    </row>
    <row r="144">
      <c r="A144" s="99" t="str">
        <f>IFERROR(__xludf.DUMMYFUNCTION("""COMPUTED_VALUE"""),"https://utrucking.com/admin/orders/5916229828796")</f>
        <v>https://utrucking.com/admin/orders/5916229828796</v>
      </c>
      <c r="B144" s="61" t="str">
        <f>IFERROR(__xludf.DUMMYFUNCTION("""COMPUTED_VALUE"""),"#15690")</f>
        <v>#15690</v>
      </c>
      <c r="C144" s="61" t="str">
        <f>IFERROR(__xludf.DUMMYFUNCTION("""COMPUTED_VALUE"""),"charliedoehring@icloud.com")</f>
        <v>charliedoehring@icloud.com</v>
      </c>
      <c r="D144" s="61">
        <f>IFERROR(__xludf.DUMMYFUNCTION("""COMPUTED_VALUE"""),1.3312389291E10)</f>
        <v>13312389291</v>
      </c>
      <c r="E144" s="61" t="str">
        <f>IFERROR(__xludf.DUMMYFUNCTION("""COMPUTED_VALUE"""),"Charlie Doehring")</f>
        <v>Charlie Doehring</v>
      </c>
      <c r="F144" s="61"/>
      <c r="G144" s="61"/>
      <c r="H144" s="61" t="str">
        <f>IFERROR(__xludf.DUMMYFUNCTION("""COMPUTED_VALUE"""),"Nationwide Ship to School")</f>
        <v>Nationwide Ship to School</v>
      </c>
      <c r="I144" s="61" t="str">
        <f>IFERROR(__xludf.DUMMYFUNCTION("""COMPUTED_VALUE"""),"University Housing ")</f>
        <v>University Housing </v>
      </c>
      <c r="J144" s="107" t="str">
        <f>IFERROR(__xludf.DUMMYFUNCTION("""COMPUTED_VALUE"""),"03:00 PM to 05:00 PM ")</f>
        <v>03:00 PM to 05:00 PM </v>
      </c>
      <c r="K144" s="107">
        <f>IFERROR(__xludf.DUMMYFUNCTION("""COMPUTED_VALUE"""),45883.0)</f>
        <v>45883</v>
      </c>
      <c r="L144" s="61" t="str">
        <f>IFERROR(__xludf.DUMMYFUNCTION("""COMPUTED_VALUE"""),"Eliot A")</f>
        <v>Eliot A</v>
      </c>
      <c r="M144" s="110" t="str">
        <f>IFERROR(__xludf.DUMMYFUNCTION("""COMPUTED_VALUE"""),"2102")</f>
        <v>2102</v>
      </c>
      <c r="N144" s="61"/>
      <c r="O144" s="61" t="str">
        <f>IFERROR(__xludf.DUMMYFUNCTION("""COMPUTED_VALUE"""),"3725 Madison Street Oak Brook, IL  ")</f>
        <v>3725 Madison Street Oak Brook, IL  </v>
      </c>
      <c r="P144" s="61"/>
    </row>
    <row r="145">
      <c r="A145" s="102" t="str">
        <f>IFERROR(__xludf.DUMMYFUNCTION("""COMPUTED_VALUE"""),"https://utrucking.com/admin/orders/5916316729532")</f>
        <v>https://utrucking.com/admin/orders/5916316729532</v>
      </c>
      <c r="B145" s="65" t="str">
        <f>IFERROR(__xludf.DUMMYFUNCTION("""COMPUTED_VALUE"""),"#15693")</f>
        <v>#15693</v>
      </c>
      <c r="C145" s="65"/>
      <c r="D145" s="65">
        <f>IFERROR(__xludf.DUMMYFUNCTION("""COMPUTED_VALUE"""),5.08265991E9)</f>
        <v>5082659910</v>
      </c>
      <c r="E145" s="65" t="str">
        <f>IFERROR(__xludf.DUMMYFUNCTION("""COMPUTED_VALUE"""),"Stephen Baecker")</f>
        <v>Stephen Baecker</v>
      </c>
      <c r="F145" s="65"/>
      <c r="G145" s="65"/>
      <c r="H145" s="65" t="str">
        <f>IFERROR(__xludf.DUMMYFUNCTION("""COMPUTED_VALUE"""),"Nationwide Ship to School")</f>
        <v>Nationwide Ship to School</v>
      </c>
      <c r="I145" s="65" t="str">
        <f>IFERROR(__xludf.DUMMYFUNCTION("""COMPUTED_VALUE"""),"University Housing ")</f>
        <v>University Housing </v>
      </c>
      <c r="J145" s="108" t="str">
        <f>IFERROR(__xludf.DUMMYFUNCTION("""COMPUTED_VALUE"""),"09:00 AM to 11:00 AM   ")</f>
        <v>09:00 AM to 11:00 AM   </v>
      </c>
      <c r="K145" s="108">
        <f>IFERROR(__xludf.DUMMYFUNCTION("""COMPUTED_VALUE"""),45883.0)</f>
        <v>45883</v>
      </c>
      <c r="L145" s="65" t="str">
        <f>IFERROR(__xludf.DUMMYFUNCTION("""COMPUTED_VALUE"""),"Koenig  ")</f>
        <v>Koenig  </v>
      </c>
      <c r="M145" s="111" t="str">
        <f>IFERROR(__xludf.DUMMYFUNCTION("""COMPUTED_VALUE"""),"1118")</f>
        <v>1118</v>
      </c>
      <c r="N145" s="65"/>
      <c r="O145" s="65" t="str">
        <f>IFERROR(__xludf.DUMMYFUNCTION("""COMPUTED_VALUE"""),"2 Atwood Stroll
East Sandwich, MA 02537  ")</f>
        <v>2 Atwood Stroll
East Sandwich, MA 02537  </v>
      </c>
      <c r="P145" s="65"/>
    </row>
    <row r="146">
      <c r="A146" s="99" t="str">
        <f>IFERROR(__xludf.DUMMYFUNCTION("""COMPUTED_VALUE"""),"https://utrucking.com/admin/orders/5916444885180")</f>
        <v>https://utrucking.com/admin/orders/5916444885180</v>
      </c>
      <c r="B146" s="61" t="str">
        <f>IFERROR(__xludf.DUMMYFUNCTION("""COMPUTED_VALUE"""),"#15697")</f>
        <v>#15697</v>
      </c>
      <c r="C146" s="61" t="str">
        <f>IFERROR(__xludf.DUMMYFUNCTION("""COMPUTED_VALUE"""),"f.adam@wustl.edu")</f>
        <v>f.adam@wustl.edu</v>
      </c>
      <c r="D146" s="61">
        <f>IFERROR(__xludf.DUMMYFUNCTION("""COMPUTED_VALUE"""),2.0354085E9)</f>
        <v>2035408500</v>
      </c>
      <c r="E146" s="61" t="str">
        <f>IFERROR(__xludf.DUMMYFUNCTION("""COMPUTED_VALUE"""),"Adam Fleischman")</f>
        <v>Adam Fleischman</v>
      </c>
      <c r="F146" s="61"/>
      <c r="G146" s="61"/>
      <c r="H146" s="61" t="str">
        <f>IFERROR(__xludf.DUMMYFUNCTION("""COMPUTED_VALUE"""),"Nationwide Ship to School")</f>
        <v>Nationwide Ship to School</v>
      </c>
      <c r="I146" s="61" t="str">
        <f>IFERROR(__xludf.DUMMYFUNCTION("""COMPUTED_VALUE"""),"University Housing ")</f>
        <v>University Housing </v>
      </c>
      <c r="J146" s="107" t="str">
        <f>IFERROR(__xludf.DUMMYFUNCTION("""COMPUTED_VALUE"""),"09:00 AM to 11:00 AM   ")</f>
        <v>09:00 AM to 11:00 AM   </v>
      </c>
      <c r="K146" s="107">
        <f>IFERROR(__xludf.DUMMYFUNCTION("""COMPUTED_VALUE"""),45883.0)</f>
        <v>45883</v>
      </c>
      <c r="L146" s="61" t="str">
        <f>IFERROR(__xludf.DUMMYFUNCTION("""COMPUTED_VALUE"""),"Umrath  ")</f>
        <v>Umrath  </v>
      </c>
      <c r="M146" s="110" t="str">
        <f>IFERROR(__xludf.DUMMYFUNCTION("""COMPUTED_VALUE"""),"4422b")</f>
        <v>4422b</v>
      </c>
      <c r="N146" s="61"/>
      <c r="O146" s="61" t="str">
        <f>IFERROR(__xludf.DUMMYFUNCTION("""COMPUTED_VALUE"""),"20 Fairwood Ave, Milford CT 06460  ")</f>
        <v>20 Fairwood Ave, Milford CT 06460  </v>
      </c>
      <c r="P146" s="61"/>
    </row>
    <row r="147">
      <c r="A147" s="102" t="str">
        <f>IFERROR(__xludf.DUMMYFUNCTION("""COMPUTED_VALUE"""),"https://utrucking.com/admin/orders/5916625076412")</f>
        <v>https://utrucking.com/admin/orders/5916625076412</v>
      </c>
      <c r="B147" s="65" t="str">
        <f>IFERROR(__xludf.DUMMYFUNCTION("""COMPUTED_VALUE"""),"#15712")</f>
        <v>#15712</v>
      </c>
      <c r="C147" s="65" t="str">
        <f>IFERROR(__xludf.DUMMYFUNCTION("""COMPUTED_VALUE"""),"siennayazdi@gmail.com")</f>
        <v>siennayazdi@gmail.com</v>
      </c>
      <c r="D147" s="65">
        <f>IFERROR(__xludf.DUMMYFUNCTION("""COMPUTED_VALUE"""),3.145849883E9)</f>
        <v>3145849883</v>
      </c>
      <c r="E147" s="65" t="str">
        <f>IFERROR(__xludf.DUMMYFUNCTION("""COMPUTED_VALUE"""),"Sienna Yazdi")</f>
        <v>Sienna Yazdi</v>
      </c>
      <c r="F147" s="65"/>
      <c r="G147" s="65"/>
      <c r="H147" s="65" t="str">
        <f>IFERROR(__xludf.DUMMYFUNCTION("""COMPUTED_VALUE"""),"Nationwide Ship to School")</f>
        <v>Nationwide Ship to School</v>
      </c>
      <c r="I147" s="65" t="str">
        <f>IFERROR(__xludf.DUMMYFUNCTION("""COMPUTED_VALUE"""),"University Housing ")</f>
        <v>University Housing </v>
      </c>
      <c r="J147" s="108" t="str">
        <f>IFERROR(__xludf.DUMMYFUNCTION("""COMPUTED_VALUE"""),"09:00 AM to 11:00 AM   ")</f>
        <v>09:00 AM to 11:00 AM   </v>
      </c>
      <c r="K147" s="108">
        <f>IFERROR(__xludf.DUMMYFUNCTION("""COMPUTED_VALUE"""),45883.0)</f>
        <v>45883</v>
      </c>
      <c r="L147" s="65" t="str">
        <f>IFERROR(__xludf.DUMMYFUNCTION("""COMPUTED_VALUE"""),"Danforth  ")</f>
        <v>Danforth  </v>
      </c>
      <c r="M147" s="111" t="str">
        <f>IFERROR(__xludf.DUMMYFUNCTION("""COMPUTED_VALUE"""),"4412 - a")</f>
        <v>4412 - a</v>
      </c>
      <c r="N147" s="65"/>
      <c r="O147" s="65" t="str">
        <f>IFERROR(__xludf.DUMMYFUNCTION("""COMPUTED_VALUE"""),"7916 Stanford Avenue, St. Louis, MO 63130  ")</f>
        <v>7916 Stanford Avenue, St. Louis, MO 63130  </v>
      </c>
      <c r="P147" s="65"/>
    </row>
    <row r="148">
      <c r="A148" s="99" t="str">
        <f>IFERROR(__xludf.DUMMYFUNCTION("""COMPUTED_VALUE"""),"https://utrucking.com/admin/orders/5916718334140")</f>
        <v>https://utrucking.com/admin/orders/5916718334140</v>
      </c>
      <c r="B148" s="61" t="str">
        <f>IFERROR(__xludf.DUMMYFUNCTION("""COMPUTED_VALUE"""),"#15722")</f>
        <v>#15722</v>
      </c>
      <c r="C148" s="61" t="str">
        <f>IFERROR(__xludf.DUMMYFUNCTION("""COMPUTED_VALUE"""),"c.verman@wustl.edu")</f>
        <v>c.verman@wustl.edu</v>
      </c>
      <c r="D148" s="61">
        <f>IFERROR(__xludf.DUMMYFUNCTION("""COMPUTED_VALUE"""),9.296259512E9)</f>
        <v>9296259512</v>
      </c>
      <c r="E148" s="61" t="str">
        <f>IFERROR(__xludf.DUMMYFUNCTION("""COMPUTED_VALUE"""),"Verman Cuello")</f>
        <v>Verman Cuello</v>
      </c>
      <c r="F148" s="61"/>
      <c r="G148" s="61"/>
      <c r="H148" s="61" t="str">
        <f>IFERROR(__xludf.DUMMYFUNCTION("""COMPUTED_VALUE"""),"Nationwide Ship to School")</f>
        <v>Nationwide Ship to School</v>
      </c>
      <c r="I148" s="61" t="str">
        <f>IFERROR(__xludf.DUMMYFUNCTION("""COMPUTED_VALUE"""),"University Housing ")</f>
        <v>University Housing </v>
      </c>
      <c r="J148" s="107" t="str">
        <f>IFERROR(__xludf.DUMMYFUNCTION("""COMPUTED_VALUE"""),"09:00 AM to 11:00 AM   ")</f>
        <v>09:00 AM to 11:00 AM   </v>
      </c>
      <c r="K148" s="107">
        <f>IFERROR(__xludf.DUMMYFUNCTION("""COMPUTED_VALUE"""),45883.0)</f>
        <v>45883</v>
      </c>
      <c r="L148" s="61" t="str">
        <f>IFERROR(__xludf.DUMMYFUNCTION("""COMPUTED_VALUE"""),"Danforth  ")</f>
        <v>Danforth  </v>
      </c>
      <c r="M148" s="110" t="str">
        <f>IFERROR(__xludf.DUMMYFUNCTION("""COMPUTED_VALUE"""),"4404")</f>
        <v>4404</v>
      </c>
      <c r="N148" s="61"/>
      <c r="O148" s="61" t="str">
        <f>IFERROR(__xludf.DUMMYFUNCTION("""COMPUTED_VALUE"""),"946 Anderson Ave Apt 5C  ")</f>
        <v>946 Anderson Ave Apt 5C  </v>
      </c>
      <c r="P148" s="61"/>
    </row>
    <row r="149">
      <c r="A149" s="102" t="str">
        <f>IFERROR(__xludf.DUMMYFUNCTION("""COMPUTED_VALUE"""),"https://utrucking.com/admin/orders/5916781838524")</f>
        <v>https://utrucking.com/admin/orders/5916781838524</v>
      </c>
      <c r="B149" s="65" t="str">
        <f>IFERROR(__xludf.DUMMYFUNCTION("""COMPUTED_VALUE"""),"#15723")</f>
        <v>#15723</v>
      </c>
      <c r="C149" s="65"/>
      <c r="D149" s="65">
        <f>IFERROR(__xludf.DUMMYFUNCTION("""COMPUTED_VALUE"""),1.6464186635E10)</f>
        <v>16464186635</v>
      </c>
      <c r="E149" s="65" t="str">
        <f>IFERROR(__xludf.DUMMYFUNCTION("""COMPUTED_VALUE"""),"Leslie Benjamin")</f>
        <v>Leslie Benjamin</v>
      </c>
      <c r="F149" s="65"/>
      <c r="G149" s="65"/>
      <c r="H149" s="65" t="str">
        <f>IFERROR(__xludf.DUMMYFUNCTION("""COMPUTED_VALUE"""),"Nationwide Ship to School")</f>
        <v>Nationwide Ship to School</v>
      </c>
      <c r="I149" s="65" t="str">
        <f>IFERROR(__xludf.DUMMYFUNCTION("""COMPUTED_VALUE"""),"University Housing ")</f>
        <v>University Housing </v>
      </c>
      <c r="J149" s="108" t="str">
        <f>IFERROR(__xludf.DUMMYFUNCTION("""COMPUTED_VALUE"""),"09:00 AM to 11:00 AM   ")</f>
        <v>09:00 AM to 11:00 AM   </v>
      </c>
      <c r="K149" s="108">
        <f>IFERROR(__xludf.DUMMYFUNCTION("""COMPUTED_VALUE"""),45883.0)</f>
        <v>45883</v>
      </c>
      <c r="L149" s="65" t="str">
        <f>IFERROR(__xludf.DUMMYFUNCTION("""COMPUTED_VALUE"""),"Rutledge  ")</f>
        <v>Rutledge  </v>
      </c>
      <c r="M149" s="111" t="str">
        <f>IFERROR(__xludf.DUMMYFUNCTION("""COMPUTED_VALUE"""),"414-a ")</f>
        <v>414-a </v>
      </c>
      <c r="N149" s="65"/>
      <c r="O149" s="65" t="str">
        <f>IFERROR(__xludf.DUMMYFUNCTION("""COMPUTED_VALUE"""),"20 Canterbury Road Apt 3G
Great Neck, NY 11021  ")</f>
        <v>20 Canterbury Road Apt 3G
Great Neck, NY 11021  </v>
      </c>
      <c r="P149" s="65"/>
    </row>
    <row r="150">
      <c r="A150" s="99" t="str">
        <f>IFERROR(__xludf.DUMMYFUNCTION("""COMPUTED_VALUE"""),"https://utrucking.com/admin/orders/5916822667452")</f>
        <v>https://utrucking.com/admin/orders/5916822667452</v>
      </c>
      <c r="B150" s="61" t="str">
        <f>IFERROR(__xludf.DUMMYFUNCTION("""COMPUTED_VALUE"""),"#15724")</f>
        <v>#15724</v>
      </c>
      <c r="C150" s="61" t="str">
        <f>IFERROR(__xludf.DUMMYFUNCTION("""COMPUTED_VALUE"""),"connie.okeefe@yahoo.com")</f>
        <v>connie.okeefe@yahoo.com</v>
      </c>
      <c r="D150" s="61">
        <f>IFERROR(__xludf.DUMMYFUNCTION("""COMPUTED_VALUE"""),9.082957704E9)</f>
        <v>9082957704</v>
      </c>
      <c r="E150" s="61" t="str">
        <f>IFERROR(__xludf.DUMMYFUNCTION("""COMPUTED_VALUE"""),"Connie OKeefe")</f>
        <v>Connie OKeefe</v>
      </c>
      <c r="F150" s="61"/>
      <c r="G150" s="61"/>
      <c r="H150" s="61" t="str">
        <f>IFERROR(__xludf.DUMMYFUNCTION("""COMPUTED_VALUE"""),"Nationwide Ship to School")</f>
        <v>Nationwide Ship to School</v>
      </c>
      <c r="I150" s="61" t="str">
        <f>IFERROR(__xludf.DUMMYFUNCTION("""COMPUTED_VALUE"""),"University Housing ")</f>
        <v>University Housing </v>
      </c>
      <c r="J150" s="107" t="str">
        <f>IFERROR(__xludf.DUMMYFUNCTION("""COMPUTED_VALUE"""),"03:00 PM to 05:00 PM ")</f>
        <v>03:00 PM to 05:00 PM </v>
      </c>
      <c r="K150" s="107">
        <f>IFERROR(__xludf.DUMMYFUNCTION("""COMPUTED_VALUE"""),45883.0)</f>
        <v>45883</v>
      </c>
      <c r="L150" s="61" t="str">
        <f>IFERROR(__xludf.DUMMYFUNCTION("""COMPUTED_VALUE"""),"Shepley  ")</f>
        <v>Shepley  </v>
      </c>
      <c r="M150" s="110" t="str">
        <f>IFERROR(__xludf.DUMMYFUNCTION("""COMPUTED_VALUE"""),"4084-a")</f>
        <v>4084-a</v>
      </c>
      <c r="N150" s="61"/>
      <c r="O150" s="61" t="str">
        <f>IFERROR(__xludf.DUMMYFUNCTION("""COMPUTED_VALUE"""),"196 Park Street, montclair NJ 07042  ")</f>
        <v>196 Park Street, montclair NJ 07042  </v>
      </c>
      <c r="P150" s="61"/>
    </row>
    <row r="151">
      <c r="A151" s="102" t="str">
        <f>IFERROR(__xludf.DUMMYFUNCTION("""COMPUTED_VALUE"""),"https://utrucking.com/admin/orders/5916882927804")</f>
        <v>https://utrucking.com/admin/orders/5916882927804</v>
      </c>
      <c r="B151" s="65" t="str">
        <f>IFERROR(__xludf.DUMMYFUNCTION("""COMPUTED_VALUE"""),"#15728")</f>
        <v>#15728</v>
      </c>
      <c r="C151" s="65" t="str">
        <f>IFERROR(__xludf.DUMMYFUNCTION("""COMPUTED_VALUE"""),"keirar@wustl.edu")</f>
        <v>keirar@wustl.edu</v>
      </c>
      <c r="D151" s="65">
        <f>IFERROR(__xludf.DUMMYFUNCTION("""COMPUTED_VALUE"""),9.173014252E9)</f>
        <v>9173014252</v>
      </c>
      <c r="E151" s="65" t="str">
        <f>IFERROR(__xludf.DUMMYFUNCTION("""COMPUTED_VALUE"""),"Keira Reddington")</f>
        <v>Keira Reddington</v>
      </c>
      <c r="F151" s="65"/>
      <c r="G151" s="65"/>
      <c r="H151" s="65" t="str">
        <f>IFERROR(__xludf.DUMMYFUNCTION("""COMPUTED_VALUE"""),"Nationwide Ship to School")</f>
        <v>Nationwide Ship to School</v>
      </c>
      <c r="I151" s="65" t="str">
        <f>IFERROR(__xludf.DUMMYFUNCTION("""COMPUTED_VALUE"""),"University Housing ")</f>
        <v>University Housing </v>
      </c>
      <c r="J151" s="108" t="str">
        <f>IFERROR(__xludf.DUMMYFUNCTION("""COMPUTED_VALUE"""),"09:00 AM to 11:00 AM   ")</f>
        <v>09:00 AM to 11:00 AM   </v>
      </c>
      <c r="K151" s="108">
        <f>IFERROR(__xludf.DUMMYFUNCTION("""COMPUTED_VALUE"""),45883.0)</f>
        <v>45883</v>
      </c>
      <c r="L151" s="65" t="str">
        <f>IFERROR(__xludf.DUMMYFUNCTION("""COMPUTED_VALUE"""),"Hitzeman  ")</f>
        <v>Hitzeman  </v>
      </c>
      <c r="M151" s="111" t="str">
        <f>IFERROR(__xludf.DUMMYFUNCTION("""COMPUTED_VALUE"""),"222")</f>
        <v>222</v>
      </c>
      <c r="N151" s="65"/>
      <c r="O151" s="65" t="str">
        <f>IFERROR(__xludf.DUMMYFUNCTION("""COMPUTED_VALUE"""),"583 West 215th Street New York, NY 10034 Apt C5  ")</f>
        <v>583 West 215th Street New York, NY 10034 Apt C5  </v>
      </c>
      <c r="P151" s="65"/>
    </row>
    <row r="152">
      <c r="A152" s="99" t="str">
        <f>IFERROR(__xludf.DUMMYFUNCTION("""COMPUTED_VALUE"""),"https://utrucking.com/admin/orders/5916939747516")</f>
        <v>https://utrucking.com/admin/orders/5916939747516</v>
      </c>
      <c r="B152" s="61" t="str">
        <f>IFERROR(__xludf.DUMMYFUNCTION("""COMPUTED_VALUE"""),"#15732")</f>
        <v>#15732</v>
      </c>
      <c r="C152" s="61"/>
      <c r="D152" s="61">
        <f>IFERROR(__xludf.DUMMYFUNCTION("""COMPUTED_VALUE"""),2.539886808E9)</f>
        <v>2539886808</v>
      </c>
      <c r="E152" s="61" t="str">
        <f>IFERROR(__xludf.DUMMYFUNCTION("""COMPUTED_VALUE"""),"Charles Donner")</f>
        <v>Charles Donner</v>
      </c>
      <c r="F152" s="61"/>
      <c r="G152" s="61"/>
      <c r="H152" s="61" t="str">
        <f>IFERROR(__xludf.DUMMYFUNCTION("""COMPUTED_VALUE"""),"Nationwide Ship to School")</f>
        <v>Nationwide Ship to School</v>
      </c>
      <c r="I152" s="61" t="str">
        <f>IFERROR(__xludf.DUMMYFUNCTION("""COMPUTED_VALUE"""),"University Housing ")</f>
        <v>University Housing </v>
      </c>
      <c r="J152" s="107" t="str">
        <f>IFERROR(__xludf.DUMMYFUNCTION("""COMPUTED_VALUE"""),"09:00 AM to 11:00 AM   ")</f>
        <v>09:00 AM to 11:00 AM   </v>
      </c>
      <c r="K152" s="107">
        <f>IFERROR(__xludf.DUMMYFUNCTION("""COMPUTED_VALUE"""),45864.0)</f>
        <v>45864</v>
      </c>
      <c r="L152" s="61" t="str">
        <f>IFERROR(__xludf.DUMMYFUNCTION("""COMPUTED_VALUE"""),"DON'T KNOW YET (put 'XXX' for room #)")</f>
        <v>DON'T KNOW YET (put 'XXX' for room #)</v>
      </c>
      <c r="M152" s="110" t="str">
        <f>IFERROR(__xludf.DUMMYFUNCTION("""COMPUTED_VALUE"""),"XXX")</f>
        <v>XXX</v>
      </c>
      <c r="N152" s="61"/>
      <c r="O152" s="61" t="str">
        <f>IFERROR(__xludf.DUMMYFUNCTION("""COMPUTED_VALUE"""),"8922 Warren Dr NW
Gig Harbor, Wa 98335  ")</f>
        <v>8922 Warren Dr NW
Gig Harbor, Wa 98335  </v>
      </c>
      <c r="P152" s="61"/>
    </row>
    <row r="153">
      <c r="A153" s="102" t="str">
        <f>IFERROR(__xludf.DUMMYFUNCTION("""COMPUTED_VALUE"""),"https://utrucking.com/admin/orders/5917268050108")</f>
        <v>https://utrucking.com/admin/orders/5917268050108</v>
      </c>
      <c r="B153" s="65" t="str">
        <f>IFERROR(__xludf.DUMMYFUNCTION("""COMPUTED_VALUE"""),"#15747")</f>
        <v>#15747</v>
      </c>
      <c r="C153" s="65"/>
      <c r="D153" s="65">
        <f>IFERROR(__xludf.DUMMYFUNCTION("""COMPUTED_VALUE"""),1.9172885477E10)</f>
        <v>19172885477</v>
      </c>
      <c r="E153" s="65" t="str">
        <f>IFERROR(__xludf.DUMMYFUNCTION("""COMPUTED_VALUE"""),"Ella Rodriguez")</f>
        <v>Ella Rodriguez</v>
      </c>
      <c r="F153" s="65"/>
      <c r="G153" s="65" t="str">
        <f>IFERROR(__xludf.DUMMYFUNCTION("""COMPUTED_VALUE"""),"6643 Kingsbury Boulevard
Unit 3E
University City, MO 63130")</f>
        <v>6643 Kingsbury Boulevard
Unit 3E
University City, MO 63130</v>
      </c>
      <c r="H153" s="65" t="str">
        <f>IFERROR(__xludf.DUMMYFUNCTION("""COMPUTED_VALUE"""),"Nationwide Ship to School")</f>
        <v>Nationwide Ship to School</v>
      </c>
      <c r="I153" s="65" t="str">
        <f>IFERROR(__xludf.DUMMYFUNCTION("""COMPUTED_VALUE"""),"Non-University Housing ")</f>
        <v>Non-University Housing </v>
      </c>
      <c r="J153" s="108" t="str">
        <f>IFERROR(__xludf.DUMMYFUNCTION("""COMPUTED_VALUE"""),"11:00 AM to 01:00 PM   ")</f>
        <v>11:00 AM to 01:00 PM   </v>
      </c>
      <c r="K153" s="108">
        <f>IFERROR(__xludf.DUMMYFUNCTION("""COMPUTED_VALUE"""),45888.0)</f>
        <v>45888</v>
      </c>
      <c r="L153" s="65"/>
      <c r="M153" s="111"/>
      <c r="N153" s="65" t="str">
        <f>IFERROR(__xludf.DUMMYFUNCTION("""COMPUTED_VALUE"""),"6643 Kingsbury Boulevard
Unit 3E
University City, MO 63130")</f>
        <v>6643 Kingsbury Boulevard
Unit 3E
University City, MO 63130</v>
      </c>
      <c r="O153" s="65" t="str">
        <f>IFERROR(__xludf.DUMMYFUNCTION("""COMPUTED_VALUE"""),"14 Soundview Avenue #57
White Plains, NY 10606  ")</f>
        <v>14 Soundview Avenue #57
White Plains, NY 10606  </v>
      </c>
      <c r="P153" s="65"/>
    </row>
    <row r="154">
      <c r="A154" s="99" t="str">
        <f>IFERROR(__xludf.DUMMYFUNCTION("""COMPUTED_VALUE"""),"https://utrucking.com/admin/orders/5917544874172")</f>
        <v>https://utrucking.com/admin/orders/5917544874172</v>
      </c>
      <c r="B154" s="61" t="str">
        <f>IFERROR(__xludf.DUMMYFUNCTION("""COMPUTED_VALUE"""),"#15760")</f>
        <v>#15760</v>
      </c>
      <c r="C154" s="61"/>
      <c r="D154" s="61">
        <f>IFERROR(__xludf.DUMMYFUNCTION("""COMPUTED_VALUE"""),5.034496889E9)</f>
        <v>5034496889</v>
      </c>
      <c r="E154" s="61" t="str">
        <f>IFERROR(__xludf.DUMMYFUNCTION("""COMPUTED_VALUE"""),"Matt Bacinski")</f>
        <v>Matt Bacinski</v>
      </c>
      <c r="F154" s="61"/>
      <c r="G154" s="61"/>
      <c r="H154" s="61" t="str">
        <f>IFERROR(__xludf.DUMMYFUNCTION("""COMPUTED_VALUE"""),"Nationwide Ship to School")</f>
        <v>Nationwide Ship to School</v>
      </c>
      <c r="I154" s="61" t="str">
        <f>IFERROR(__xludf.DUMMYFUNCTION("""COMPUTED_VALUE"""),"University Housing ")</f>
        <v>University Housing </v>
      </c>
      <c r="J154" s="107" t="str">
        <f>IFERROR(__xludf.DUMMYFUNCTION("""COMPUTED_VALUE"""),"09:00 AM to 11:00 AM   ")</f>
        <v>09:00 AM to 11:00 AM   </v>
      </c>
      <c r="K154" s="107">
        <f>IFERROR(__xludf.DUMMYFUNCTION("""COMPUTED_VALUE"""),45883.0)</f>
        <v>45883</v>
      </c>
      <c r="L154" s="61" t="str">
        <f>IFERROR(__xludf.DUMMYFUNCTION("""COMPUTED_VALUE"""),"Hurd")</f>
        <v>Hurd</v>
      </c>
      <c r="M154" s="110" t="str">
        <f>IFERROR(__xludf.DUMMYFUNCTION("""COMPUTED_VALUE"""),"322-A")</f>
        <v>322-A</v>
      </c>
      <c r="N154" s="61"/>
      <c r="O154" s="61" t="str">
        <f>IFERROR(__xludf.DUMMYFUNCTION("""COMPUTED_VALUE"""),"7 Sheppard Dr, Flemington, NJ 08822  ")</f>
        <v>7 Sheppard Dr, Flemington, NJ 08822  </v>
      </c>
      <c r="P154" s="61"/>
    </row>
    <row r="155">
      <c r="A155" s="102" t="str">
        <f>IFERROR(__xludf.DUMMYFUNCTION("""COMPUTED_VALUE"""),"https://utrucking.com/admin/orders/5917576167612")</f>
        <v>https://utrucking.com/admin/orders/5917576167612</v>
      </c>
      <c r="B155" s="65" t="str">
        <f>IFERROR(__xludf.DUMMYFUNCTION("""COMPUTED_VALUE"""),"#15762")</f>
        <v>#15762</v>
      </c>
      <c r="C155" s="65"/>
      <c r="D155" s="65">
        <f>IFERROR(__xludf.DUMMYFUNCTION("""COMPUTED_VALUE"""),1.202577583E10)</f>
        <v>12025775830</v>
      </c>
      <c r="E155" s="65" t="str">
        <f>IFERROR(__xludf.DUMMYFUNCTION("""COMPUTED_VALUE"""),"Charlie Knowles")</f>
        <v>Charlie Knowles</v>
      </c>
      <c r="F155" s="65"/>
      <c r="G155" s="65" t="str">
        <f>IFERROR(__xludf.DUMMYFUNCTION("""COMPUTED_VALUE"""),"6186 Waterman Blvd Apt 2
St Louis, MO 63112")</f>
        <v>6186 Waterman Blvd Apt 2
St Louis, MO 63112</v>
      </c>
      <c r="H155" s="65" t="str">
        <f>IFERROR(__xludf.DUMMYFUNCTION("""COMPUTED_VALUE"""),"Nationwide Ship to School")</f>
        <v>Nationwide Ship to School</v>
      </c>
      <c r="I155" s="65" t="str">
        <f>IFERROR(__xludf.DUMMYFUNCTION("""COMPUTED_VALUE"""),"Non-University Housing ")</f>
        <v>Non-University Housing </v>
      </c>
      <c r="J155" s="108" t="str">
        <f>IFERROR(__xludf.DUMMYFUNCTION("""COMPUTED_VALUE"""),"03:00 PM to 05:00 PM ")</f>
        <v>03:00 PM to 05:00 PM </v>
      </c>
      <c r="K155" s="108">
        <f>IFERROR(__xludf.DUMMYFUNCTION("""COMPUTED_VALUE"""),45889.0)</f>
        <v>45889</v>
      </c>
      <c r="L155" s="65"/>
      <c r="M155" s="111"/>
      <c r="N155" s="65" t="str">
        <f>IFERROR(__xludf.DUMMYFUNCTION("""COMPUTED_VALUE"""),"6186 Waterman Blvd Apt 2
St Louis, MO 63112")</f>
        <v>6186 Waterman Blvd Apt 2
St Louis, MO 63112</v>
      </c>
      <c r="O155" s="65" t="str">
        <f>IFERROR(__xludf.DUMMYFUNCTION("""COMPUTED_VALUE"""),"6304 Avalon Drive
Bethesda, MD 20816  ")</f>
        <v>6304 Avalon Drive
Bethesda, MD 20816  </v>
      </c>
      <c r="P155" s="65"/>
    </row>
    <row r="156">
      <c r="A156" s="99" t="str">
        <f>IFERROR(__xludf.DUMMYFUNCTION("""COMPUTED_VALUE"""),"https://utrucking.com/admin/orders/5917598613692")</f>
        <v>https://utrucking.com/admin/orders/5917598613692</v>
      </c>
      <c r="B156" s="61" t="str">
        <f>IFERROR(__xludf.DUMMYFUNCTION("""COMPUTED_VALUE"""),"#15763")</f>
        <v>#15763</v>
      </c>
      <c r="C156" s="61"/>
      <c r="D156" s="61">
        <f>IFERROR(__xludf.DUMMYFUNCTION("""COMPUTED_VALUE"""),9.738688807E9)</f>
        <v>9738688807</v>
      </c>
      <c r="E156" s="61" t="str">
        <f>IFERROR(__xludf.DUMMYFUNCTION("""COMPUTED_VALUE"""),"Kendall Bell")</f>
        <v>Kendall Bell</v>
      </c>
      <c r="F156" s="61"/>
      <c r="G156" s="61"/>
      <c r="H156" s="61" t="str">
        <f>IFERROR(__xludf.DUMMYFUNCTION("""COMPUTED_VALUE"""),"Nationwide Ship to School")</f>
        <v>Nationwide Ship to School</v>
      </c>
      <c r="I156" s="61" t="str">
        <f>IFERROR(__xludf.DUMMYFUNCTION("""COMPUTED_VALUE"""),"University Housing ")</f>
        <v>University Housing </v>
      </c>
      <c r="J156" s="107" t="str">
        <f>IFERROR(__xludf.DUMMYFUNCTION("""COMPUTED_VALUE"""),"09:00 AM to 11:00 AM   ")</f>
        <v>09:00 AM to 11:00 AM   </v>
      </c>
      <c r="K156" s="107">
        <f>IFERROR(__xludf.DUMMYFUNCTION("""COMPUTED_VALUE"""),45883.0)</f>
        <v>45883</v>
      </c>
      <c r="L156" s="61" t="str">
        <f>IFERROR(__xludf.DUMMYFUNCTION("""COMPUTED_VALUE"""),"Umrath  ")</f>
        <v>Umrath  </v>
      </c>
      <c r="M156" s="110" t="str">
        <f>IFERROR(__xludf.DUMMYFUNCTION("""COMPUTED_VALUE"""),"4423")</f>
        <v>4423</v>
      </c>
      <c r="N156" s="61"/>
      <c r="O156" s="61" t="str">
        <f>IFERROR(__xludf.DUMMYFUNCTION("""COMPUTED_VALUE"""),"20 Kern Drive
Flanders, NJ  ")</f>
        <v>20 Kern Drive
Flanders, NJ  </v>
      </c>
      <c r="P156" s="61"/>
    </row>
    <row r="157">
      <c r="A157" s="102" t="str">
        <f>IFERROR(__xludf.DUMMYFUNCTION("""COMPUTED_VALUE"""),"https://utrucking.com/admin/orders/5917658054844")</f>
        <v>https://utrucking.com/admin/orders/5917658054844</v>
      </c>
      <c r="B157" s="65" t="str">
        <f>IFERROR(__xludf.DUMMYFUNCTION("""COMPUTED_VALUE"""),"#15764")</f>
        <v>#15764</v>
      </c>
      <c r="C157" s="65"/>
      <c r="D157" s="65">
        <f>IFERROR(__xludf.DUMMYFUNCTION("""COMPUTED_VALUE"""),5.093395186E9)</f>
        <v>5093395186</v>
      </c>
      <c r="E157" s="65" t="str">
        <f>IFERROR(__xludf.DUMMYFUNCTION("""COMPUTED_VALUE"""),"Christopher Munson")</f>
        <v>Christopher Munson</v>
      </c>
      <c r="F157" s="65"/>
      <c r="G157" s="65"/>
      <c r="H157" s="65" t="str">
        <f>IFERROR(__xludf.DUMMYFUNCTION("""COMPUTED_VALUE"""),"Nationwide Ship to School")</f>
        <v>Nationwide Ship to School</v>
      </c>
      <c r="I157" s="65" t="str">
        <f>IFERROR(__xludf.DUMMYFUNCTION("""COMPUTED_VALUE"""),"University Housing ")</f>
        <v>University Housing </v>
      </c>
      <c r="J157" s="108" t="str">
        <f>IFERROR(__xludf.DUMMYFUNCTION("""COMPUTED_VALUE"""),"09:00 AM to 11:00 AM   ")</f>
        <v>09:00 AM to 11:00 AM   </v>
      </c>
      <c r="K157" s="108">
        <f>IFERROR(__xludf.DUMMYFUNCTION("""COMPUTED_VALUE"""),45883.0)</f>
        <v>45883</v>
      </c>
      <c r="L157" s="65" t="str">
        <f>IFERROR(__xludf.DUMMYFUNCTION("""COMPUTED_VALUE"""),"DON'T KNOW YET (put 'XXX' for room #)")</f>
        <v>DON'T KNOW YET (put 'XXX' for room #)</v>
      </c>
      <c r="M157" s="111" t="str">
        <f>IFERROR(__xludf.DUMMYFUNCTION("""COMPUTED_VALUE"""),"XXX")</f>
        <v>XXX</v>
      </c>
      <c r="N157" s="65"/>
      <c r="O157" s="65" t="str">
        <f>IFERROR(__xludf.DUMMYFUNCTION("""COMPUTED_VALUE"""),"1825 SW Casey Ct.
Pullman, WA 99163  ")</f>
        <v>1825 SW Casey Ct.
Pullman, WA 99163  </v>
      </c>
      <c r="P157" s="65"/>
    </row>
    <row r="158">
      <c r="A158" s="99" t="str">
        <f>IFERROR(__xludf.DUMMYFUNCTION("""COMPUTED_VALUE"""),"https://utrucking.com/admin/orders/5917806035132")</f>
        <v>https://utrucking.com/admin/orders/5917806035132</v>
      </c>
      <c r="B158" s="61" t="str">
        <f>IFERROR(__xludf.DUMMYFUNCTION("""COMPUTED_VALUE"""),"#15768")</f>
        <v>#15768</v>
      </c>
      <c r="C158" s="61"/>
      <c r="D158" s="61">
        <f>IFERROR(__xludf.DUMMYFUNCTION("""COMPUTED_VALUE"""),1.4258007251E10)</f>
        <v>14258007251</v>
      </c>
      <c r="E158" s="61" t="str">
        <f>IFERROR(__xludf.DUMMYFUNCTION("""COMPUTED_VALUE"""),"Abby Wang")</f>
        <v>Abby Wang</v>
      </c>
      <c r="F158" s="61"/>
      <c r="G158" s="61"/>
      <c r="H158" s="61" t="str">
        <f>IFERROR(__xludf.DUMMYFUNCTION("""COMPUTED_VALUE"""),"Nationwide Ship to School")</f>
        <v>Nationwide Ship to School</v>
      </c>
      <c r="I158" s="61" t="str">
        <f>IFERROR(__xludf.DUMMYFUNCTION("""COMPUTED_VALUE"""),"University Housing ")</f>
        <v>University Housing </v>
      </c>
      <c r="J158" s="107" t="str">
        <f>IFERROR(__xludf.DUMMYFUNCTION("""COMPUTED_VALUE"""),"09:00 AM to 11:00 AM   ")</f>
        <v>09:00 AM to 11:00 AM   </v>
      </c>
      <c r="K158" s="107">
        <f>IFERROR(__xludf.DUMMYFUNCTION("""COMPUTED_VALUE"""),45883.0)</f>
        <v>45883</v>
      </c>
      <c r="L158" s="61" t="str">
        <f>IFERROR(__xludf.DUMMYFUNCTION("""COMPUTED_VALUE"""),"Dauten  ")</f>
        <v>Dauten  </v>
      </c>
      <c r="M158" s="110" t="str">
        <f>IFERROR(__xludf.DUMMYFUNCTION("""COMPUTED_VALUE"""),"423-a")</f>
        <v>423-a</v>
      </c>
      <c r="N158" s="61"/>
      <c r="O158" s="61" t="str">
        <f>IFERROR(__xludf.DUMMYFUNCTION("""COMPUTED_VALUE"""),"3462 92nd Ave NE Yarrow Point 98004 WA  ")</f>
        <v>3462 92nd Ave NE Yarrow Point 98004 WA  </v>
      </c>
      <c r="P158" s="61"/>
    </row>
    <row r="159">
      <c r="A159" s="102" t="str">
        <f>IFERROR(__xludf.DUMMYFUNCTION("""COMPUTED_VALUE"""),"https://utrucking.com/admin/orders/5917847158972")</f>
        <v>https://utrucking.com/admin/orders/5917847158972</v>
      </c>
      <c r="B159" s="65" t="str">
        <f>IFERROR(__xludf.DUMMYFUNCTION("""COMPUTED_VALUE"""),"#15769")</f>
        <v>#15769</v>
      </c>
      <c r="C159" s="65" t="str">
        <f>IFERROR(__xludf.DUMMYFUNCTION("""COMPUTED_VALUE"""),"jennrb01@gmail.com")</f>
        <v>jennrb01@gmail.com</v>
      </c>
      <c r="D159" s="65">
        <f>IFERROR(__xludf.DUMMYFUNCTION("""COMPUTED_VALUE"""),1.2039162049E10)</f>
        <v>12039162049</v>
      </c>
      <c r="E159" s="65" t="str">
        <f>IFERROR(__xludf.DUMMYFUNCTION("""COMPUTED_VALUE"""),"Jenna Bartlett")</f>
        <v>Jenna Bartlett</v>
      </c>
      <c r="F159" s="65"/>
      <c r="G159" s="65"/>
      <c r="H159" s="65" t="str">
        <f>IFERROR(__xludf.DUMMYFUNCTION("""COMPUTED_VALUE"""),"Nationwide Ship to School")</f>
        <v>Nationwide Ship to School</v>
      </c>
      <c r="I159" s="65" t="str">
        <f>IFERROR(__xludf.DUMMYFUNCTION("""COMPUTED_VALUE"""),"University Housing ")</f>
        <v>University Housing </v>
      </c>
      <c r="J159" s="108" t="str">
        <f>IFERROR(__xludf.DUMMYFUNCTION("""COMPUTED_VALUE"""),"09:00 AM to 11:00 AM   ")</f>
        <v>09:00 AM to 11:00 AM   </v>
      </c>
      <c r="K159" s="108">
        <f>IFERROR(__xludf.DUMMYFUNCTION("""COMPUTED_VALUE"""),45891.0)</f>
        <v>45891</v>
      </c>
      <c r="L159" s="65" t="str">
        <f>IFERROR(__xludf.DUMMYFUNCTION("""COMPUTED_VALUE"""),"Gregg  ")</f>
        <v>Gregg  </v>
      </c>
      <c r="M159" s="111" t="str">
        <f>IFERROR(__xludf.DUMMYFUNCTION("""COMPUTED_VALUE"""),"3132-a")</f>
        <v>3132-a</v>
      </c>
      <c r="N159" s="65"/>
      <c r="O159" s="65" t="str">
        <f>IFERROR(__xludf.DUMMYFUNCTION("""COMPUTED_VALUE"""),"66 White Birch Rd
Weston, CT, CT 06883-3025  ")</f>
        <v>66 White Birch Rd
Weston, CT, CT 06883-3025  </v>
      </c>
      <c r="P159" s="65"/>
    </row>
    <row r="160">
      <c r="A160" s="99" t="str">
        <f>IFERROR(__xludf.DUMMYFUNCTION("""COMPUTED_VALUE"""),"https://utrucking.com/admin/orders/5918009131196")</f>
        <v>https://utrucking.com/admin/orders/5918009131196</v>
      </c>
      <c r="B160" s="61" t="str">
        <f>IFERROR(__xludf.DUMMYFUNCTION("""COMPUTED_VALUE"""),"#15774")</f>
        <v>#15774</v>
      </c>
      <c r="C160" s="61"/>
      <c r="D160" s="61">
        <f>IFERROR(__xludf.DUMMYFUNCTION("""COMPUTED_VALUE"""),5.083539772E9)</f>
        <v>5083539772</v>
      </c>
      <c r="E160" s="61" t="str">
        <f>IFERROR(__xludf.DUMMYFUNCTION("""COMPUTED_VALUE"""),"Lynette Kangaru")</f>
        <v>Lynette Kangaru</v>
      </c>
      <c r="F160" s="61"/>
      <c r="G160" s="61"/>
      <c r="H160" s="61" t="str">
        <f>IFERROR(__xludf.DUMMYFUNCTION("""COMPUTED_VALUE"""),"Nationwide Ship to School")</f>
        <v>Nationwide Ship to School</v>
      </c>
      <c r="I160" s="61" t="str">
        <f>IFERROR(__xludf.DUMMYFUNCTION("""COMPUTED_VALUE"""),"University Housing ")</f>
        <v>University Housing </v>
      </c>
      <c r="J160" s="107" t="str">
        <f>IFERROR(__xludf.DUMMYFUNCTION("""COMPUTED_VALUE"""),"09:00 AM to 11:00 AM   ")</f>
        <v>09:00 AM to 11:00 AM   </v>
      </c>
      <c r="K160" s="107">
        <f>IFERROR(__xludf.DUMMYFUNCTION("""COMPUTED_VALUE"""),45883.0)</f>
        <v>45883</v>
      </c>
      <c r="L160" s="61" t="str">
        <f>IFERROR(__xludf.DUMMYFUNCTION("""COMPUTED_VALUE"""),"Lee  ")</f>
        <v>Lee  </v>
      </c>
      <c r="M160" s="110" t="str">
        <f>IFERROR(__xludf.DUMMYFUNCTION("""COMPUTED_VALUE"""),"315")</f>
        <v>315</v>
      </c>
      <c r="N160" s="61"/>
      <c r="O160" s="61" t="str">
        <f>IFERROR(__xludf.DUMMYFUNCTION("""COMPUTED_VALUE"""),"7 Jonathan Circle, Worcester, Massachusetts, 01604  ")</f>
        <v>7 Jonathan Circle, Worcester, Massachusetts, 01604  </v>
      </c>
      <c r="P160" s="61"/>
    </row>
    <row r="161">
      <c r="A161" s="102" t="str">
        <f>IFERROR(__xludf.DUMMYFUNCTION("""COMPUTED_VALUE"""),"https://utrucking.com/admin/orders/5918506254524")</f>
        <v>https://utrucking.com/admin/orders/5918506254524</v>
      </c>
      <c r="B161" s="65" t="str">
        <f>IFERROR(__xludf.DUMMYFUNCTION("""COMPUTED_VALUE"""),"#15777")</f>
        <v>#15777</v>
      </c>
      <c r="C161" s="65" t="str">
        <f>IFERROR(__xludf.DUMMYFUNCTION("""COMPUTED_VALUE"""),"lizsglaser@aol.com")</f>
        <v>lizsglaser@aol.com</v>
      </c>
      <c r="D161" s="65">
        <f>IFERROR(__xludf.DUMMYFUNCTION("""COMPUTED_VALUE"""),6.176335474E9)</f>
        <v>6176335474</v>
      </c>
      <c r="E161" s="65" t="str">
        <f>IFERROR(__xludf.DUMMYFUNCTION("""COMPUTED_VALUE"""),"Liz Glaser")</f>
        <v>Liz Glaser</v>
      </c>
      <c r="F161" s="65"/>
      <c r="G161" s="65"/>
      <c r="H161" s="65" t="str">
        <f>IFERROR(__xludf.DUMMYFUNCTION("""COMPUTED_VALUE"""),"Nationwide Ship to School")</f>
        <v>Nationwide Ship to School</v>
      </c>
      <c r="I161" s="65" t="str">
        <f>IFERROR(__xludf.DUMMYFUNCTION("""COMPUTED_VALUE"""),"University Housing ")</f>
        <v>University Housing </v>
      </c>
      <c r="J161" s="108" t="str">
        <f>IFERROR(__xludf.DUMMYFUNCTION("""COMPUTED_VALUE"""),"10:00 AM to 12:00 PM   ")</f>
        <v>10:00 AM to 12:00 PM   </v>
      </c>
      <c r="K161" s="108">
        <f>IFERROR(__xludf.DUMMYFUNCTION("""COMPUTED_VALUE"""),45891.0)</f>
        <v>45891</v>
      </c>
      <c r="L161" s="65" t="str">
        <f>IFERROR(__xludf.DUMMYFUNCTION("""COMPUTED_VALUE"""),"Village House  ")</f>
        <v>Village House  </v>
      </c>
      <c r="M161" s="111" t="str">
        <f>IFERROR(__xludf.DUMMYFUNCTION("""COMPUTED_VALUE"""),"3021-A")</f>
        <v>3021-A</v>
      </c>
      <c r="N161" s="65"/>
      <c r="O161" s="65" t="str">
        <f>IFERROR(__xludf.DUMMYFUNCTION("""COMPUTED_VALUE"""),"6 Inca trail
Sharon, MA 02067  ")</f>
        <v>6 Inca trail
Sharon, MA 02067  </v>
      </c>
      <c r="P161" s="65"/>
    </row>
    <row r="162">
      <c r="A162" s="99" t="str">
        <f>IFERROR(__xludf.DUMMYFUNCTION("""COMPUTED_VALUE"""),"https://utrucking.com/admin/orders/5918726389948")</f>
        <v>https://utrucking.com/admin/orders/5918726389948</v>
      </c>
      <c r="B162" s="61" t="str">
        <f>IFERROR(__xludf.DUMMYFUNCTION("""COMPUTED_VALUE"""),"#15783")</f>
        <v>#15783</v>
      </c>
      <c r="C162" s="61"/>
      <c r="D162" s="61">
        <f>IFERROR(__xludf.DUMMYFUNCTION("""COMPUTED_VALUE"""),1.6265506233E10)</f>
        <v>16265506233</v>
      </c>
      <c r="E162" s="61" t="str">
        <f>IFERROR(__xludf.DUMMYFUNCTION("""COMPUTED_VALUE"""),"Evan Guyer")</f>
        <v>Evan Guyer</v>
      </c>
      <c r="F162" s="61"/>
      <c r="G162" s="61"/>
      <c r="H162" s="61" t="str">
        <f>IFERROR(__xludf.DUMMYFUNCTION("""COMPUTED_VALUE"""),"Nationwide Ship to School")</f>
        <v>Nationwide Ship to School</v>
      </c>
      <c r="I162" s="61" t="str">
        <f>IFERROR(__xludf.DUMMYFUNCTION("""COMPUTED_VALUE"""),"University Housing ")</f>
        <v>University Housing </v>
      </c>
      <c r="J162" s="107" t="str">
        <f>IFERROR(__xludf.DUMMYFUNCTION("""COMPUTED_VALUE"""),"09:00 AM to 11:00 AM   ")</f>
        <v>09:00 AM to 11:00 AM   </v>
      </c>
      <c r="K162" s="107">
        <f>IFERROR(__xludf.DUMMYFUNCTION("""COMPUTED_VALUE"""),45883.0)</f>
        <v>45883</v>
      </c>
      <c r="L162" s="61" t="str">
        <f>IFERROR(__xludf.DUMMYFUNCTION("""COMPUTED_VALUE"""),"Shepley  ")</f>
        <v>Shepley  </v>
      </c>
      <c r="M162" s="110" t="str">
        <f>IFERROR(__xludf.DUMMYFUNCTION("""COMPUTED_VALUE"""),"2041-a")</f>
        <v>2041-a</v>
      </c>
      <c r="N162" s="61"/>
      <c r="O162" s="61" t="str">
        <f>IFERROR(__xludf.DUMMYFUNCTION("""COMPUTED_VALUE"""),"1633 Las Lunas St. Pasadena, CA  ")</f>
        <v>1633 Las Lunas St. Pasadena, CA  </v>
      </c>
      <c r="P162" s="61"/>
    </row>
    <row r="163">
      <c r="A163" s="102" t="str">
        <f>IFERROR(__xludf.DUMMYFUNCTION("""COMPUTED_VALUE"""),"https://utrucking.com/admin/orders/5918746542268")</f>
        <v>https://utrucking.com/admin/orders/5918746542268</v>
      </c>
      <c r="B163" s="65" t="str">
        <f>IFERROR(__xludf.DUMMYFUNCTION("""COMPUTED_VALUE"""),"#15784")</f>
        <v>#15784</v>
      </c>
      <c r="C163" s="65" t="str">
        <f>IFERROR(__xludf.DUMMYFUNCTION("""COMPUTED_VALUE"""),"jay.lyon@comcast.net")</f>
        <v>jay.lyon@comcast.net</v>
      </c>
      <c r="D163" s="65">
        <f>IFERROR(__xludf.DUMMYFUNCTION("""COMPUTED_VALUE"""),8.02734999E9)</f>
        <v>8027349990</v>
      </c>
      <c r="E163" s="65" t="str">
        <f>IFERROR(__xludf.DUMMYFUNCTION("""COMPUTED_VALUE"""),"Natalie Lyon")</f>
        <v>Natalie Lyon</v>
      </c>
      <c r="F163" s="65"/>
      <c r="G163" s="65"/>
      <c r="H163" s="65" t="str">
        <f>IFERROR(__xludf.DUMMYFUNCTION("""COMPUTED_VALUE"""),"Nationwide Ship to School")</f>
        <v>Nationwide Ship to School</v>
      </c>
      <c r="I163" s="65" t="str">
        <f>IFERROR(__xludf.DUMMYFUNCTION("""COMPUTED_VALUE"""),"University Housing ")</f>
        <v>University Housing </v>
      </c>
      <c r="J163" s="108" t="str">
        <f>IFERROR(__xludf.DUMMYFUNCTION("""COMPUTED_VALUE"""),"09:00 AM to 11:00 AM   ")</f>
        <v>09:00 AM to 11:00 AM   </v>
      </c>
      <c r="K163" s="108">
        <f>IFERROR(__xludf.DUMMYFUNCTION("""COMPUTED_VALUE"""),45883.0)</f>
        <v>45883</v>
      </c>
      <c r="L163" s="65" t="str">
        <f>IFERROR(__xludf.DUMMYFUNCTION("""COMPUTED_VALUE"""),"Dardick  ")</f>
        <v>Dardick  </v>
      </c>
      <c r="M163" s="111" t="str">
        <f>IFERROR(__xludf.DUMMYFUNCTION("""COMPUTED_VALUE"""),"4425")</f>
        <v>4425</v>
      </c>
      <c r="N163" s="65"/>
      <c r="O163" s="65" t="str">
        <f>IFERROR(__xludf.DUMMYFUNCTION("""COMPUTED_VALUE"""),"8 Pheasant Way
South Burlington, VT 05403  ")</f>
        <v>8 Pheasant Way
South Burlington, VT 05403  </v>
      </c>
      <c r="P163" s="65"/>
    </row>
    <row r="164">
      <c r="A164" s="99" t="str">
        <f>IFERROR(__xludf.DUMMYFUNCTION("""COMPUTED_VALUE"""),"https://utrucking.com/admin/orders/5919373918396")</f>
        <v>https://utrucking.com/admin/orders/5919373918396</v>
      </c>
      <c r="B164" s="61" t="str">
        <f>IFERROR(__xludf.DUMMYFUNCTION("""COMPUTED_VALUE"""),"#15797")</f>
        <v>#15797</v>
      </c>
      <c r="C164" s="61" t="str">
        <f>IFERROR(__xludf.DUMMYFUNCTION("""COMPUTED_VALUE"""),"shikhasundaram@gmail.com")</f>
        <v>shikhasundaram@gmail.com</v>
      </c>
      <c r="D164" s="61">
        <f>IFERROR(__xludf.DUMMYFUNCTION("""COMPUTED_VALUE"""),1.303921278E10)</f>
        <v>13039212780</v>
      </c>
      <c r="E164" s="61" t="str">
        <f>IFERROR(__xludf.DUMMYFUNCTION("""COMPUTED_VALUE"""),"Shikha Sundaram")</f>
        <v>Shikha Sundaram</v>
      </c>
      <c r="F164" s="61"/>
      <c r="G164" s="61"/>
      <c r="H164" s="61" t="str">
        <f>IFERROR(__xludf.DUMMYFUNCTION("""COMPUTED_VALUE"""),"Nationwide Ship to School")</f>
        <v>Nationwide Ship to School</v>
      </c>
      <c r="I164" s="61" t="str">
        <f>IFERROR(__xludf.DUMMYFUNCTION("""COMPUTED_VALUE"""),"University Housing ")</f>
        <v>University Housing </v>
      </c>
      <c r="J164" s="107" t="str">
        <f>IFERROR(__xludf.DUMMYFUNCTION("""COMPUTED_VALUE"""),"09:00 AM to 11:00 AM   ")</f>
        <v>09:00 AM to 11:00 AM   </v>
      </c>
      <c r="K164" s="107">
        <f>IFERROR(__xludf.DUMMYFUNCTION("""COMPUTED_VALUE"""),45883.0)</f>
        <v>45883</v>
      </c>
      <c r="L164" s="61" t="str">
        <f>IFERROR(__xludf.DUMMYFUNCTION("""COMPUTED_VALUE"""),"DON'T KNOW YET (put 'XXX' for room #)")</f>
        <v>DON'T KNOW YET (put 'XXX' for room #)</v>
      </c>
      <c r="M164" s="110" t="str">
        <f>IFERROR(__xludf.DUMMYFUNCTION("""COMPUTED_VALUE"""),"XXX")</f>
        <v>XXX</v>
      </c>
      <c r="N164" s="61"/>
      <c r="O164" s="61" t="str">
        <f>IFERROR(__xludf.DUMMYFUNCTION("""COMPUTED_VALUE"""),"6113 S Moline Way
Englewood, CO 80111  ")</f>
        <v>6113 S Moline Way
Englewood, CO 80111  </v>
      </c>
      <c r="P164" s="61"/>
    </row>
    <row r="165">
      <c r="A165" s="102" t="str">
        <f>IFERROR(__xludf.DUMMYFUNCTION("""COMPUTED_VALUE"""),"https://utrucking.com/admin/orders/5919659983036")</f>
        <v>https://utrucking.com/admin/orders/5919659983036</v>
      </c>
      <c r="B165" s="65" t="str">
        <f>IFERROR(__xludf.DUMMYFUNCTION("""COMPUTED_VALUE"""),"#15804")</f>
        <v>#15804</v>
      </c>
      <c r="C165" s="65" t="str">
        <f>IFERROR(__xludf.DUMMYFUNCTION("""COMPUTED_VALUE"""),"gmadeleine@wustl.edu")</f>
        <v>gmadeleine@wustl.edu</v>
      </c>
      <c r="D165" s="65">
        <f>IFERROR(__xludf.DUMMYFUNCTION("""COMPUTED_VALUE"""),9.782886233E9)</f>
        <v>9782886233</v>
      </c>
      <c r="E165" s="65" t="str">
        <f>IFERROR(__xludf.DUMMYFUNCTION("""COMPUTED_VALUE"""),"Madeleine Godfrey")</f>
        <v>Madeleine Godfrey</v>
      </c>
      <c r="F165" s="65"/>
      <c r="G165" s="65"/>
      <c r="H165" s="65" t="str">
        <f>IFERROR(__xludf.DUMMYFUNCTION("""COMPUTED_VALUE"""),"Nationwide Ship to School")</f>
        <v>Nationwide Ship to School</v>
      </c>
      <c r="I165" s="65" t="str">
        <f>IFERROR(__xludf.DUMMYFUNCTION("""COMPUTED_VALUE"""),"University Housing ")</f>
        <v>University Housing </v>
      </c>
      <c r="J165" s="108" t="str">
        <f>IFERROR(__xludf.DUMMYFUNCTION("""COMPUTED_VALUE"""),"11:00 AM to 01:00 PM   ")</f>
        <v>11:00 AM to 01:00 PM   </v>
      </c>
      <c r="K165" s="108">
        <f>IFERROR(__xludf.DUMMYFUNCTION("""COMPUTED_VALUE"""),45878.0)</f>
        <v>45878</v>
      </c>
      <c r="L165" s="65" t="str">
        <f>IFERROR(__xludf.DUMMYFUNCTION("""COMPUTED_VALUE"""),"Zetcher  ")</f>
        <v>Zetcher  </v>
      </c>
      <c r="M165" s="111" t="str">
        <f>IFERROR(__xludf.DUMMYFUNCTION("""COMPUTED_VALUE"""),"4211-a")</f>
        <v>4211-a</v>
      </c>
      <c r="N165" s="65"/>
      <c r="O165" s="65" t="str">
        <f>IFERROR(__xludf.DUMMYFUNCTION("""COMPUTED_VALUE"""),"6 Abbot View Ln
Marblehead, MA 01945  ")</f>
        <v>6 Abbot View Ln
Marblehead, MA 01945  </v>
      </c>
      <c r="P165" s="65"/>
    </row>
    <row r="166">
      <c r="A166" s="99" t="str">
        <f>IFERROR(__xludf.DUMMYFUNCTION("""COMPUTED_VALUE"""),"https://utrucking.com/admin/orders/5919689801916")</f>
        <v>https://utrucking.com/admin/orders/5919689801916</v>
      </c>
      <c r="B166" s="61" t="str">
        <f>IFERROR(__xludf.DUMMYFUNCTION("""COMPUTED_VALUE"""),"#15808")</f>
        <v>#15808</v>
      </c>
      <c r="C166" s="61" t="str">
        <f>IFERROR(__xludf.DUMMYFUNCTION("""COMPUTED_VALUE"""),"pnesterovsky@gmail.com")</f>
        <v>pnesterovsky@gmail.com</v>
      </c>
      <c r="D166" s="61">
        <f>IFERROR(__xludf.DUMMYFUNCTION("""COMPUTED_VALUE"""),1.4109633683E10)</f>
        <v>14109633683</v>
      </c>
      <c r="E166" s="61" t="str">
        <f>IFERROR(__xludf.DUMMYFUNCTION("""COMPUTED_VALUE"""),"Paul Nesterovsky")</f>
        <v>Paul Nesterovsky</v>
      </c>
      <c r="F166" s="61"/>
      <c r="G166" s="61"/>
      <c r="H166" s="61" t="str">
        <f>IFERROR(__xludf.DUMMYFUNCTION("""COMPUTED_VALUE"""),"Nationwide Ship to School")</f>
        <v>Nationwide Ship to School</v>
      </c>
      <c r="I166" s="61" t="str">
        <f>IFERROR(__xludf.DUMMYFUNCTION("""COMPUTED_VALUE"""),"University Housing ")</f>
        <v>University Housing </v>
      </c>
      <c r="J166" s="107" t="str">
        <f>IFERROR(__xludf.DUMMYFUNCTION("""COMPUTED_VALUE"""),"09:00 AM to 11:00 AM   ")</f>
        <v>09:00 AM to 11:00 AM   </v>
      </c>
      <c r="K166" s="107">
        <f>IFERROR(__xludf.DUMMYFUNCTION("""COMPUTED_VALUE"""),45883.0)</f>
        <v>45883</v>
      </c>
      <c r="L166" s="61" t="str">
        <f>IFERROR(__xludf.DUMMYFUNCTION("""COMPUTED_VALUE"""),"Koenig  ")</f>
        <v>Koenig  </v>
      </c>
      <c r="M166" s="110" t="str">
        <f>IFERROR(__xludf.DUMMYFUNCTION("""COMPUTED_VALUE"""),"2216-a")</f>
        <v>2216-a</v>
      </c>
      <c r="N166" s="61"/>
      <c r="O166" s="61" t="str">
        <f>IFERROR(__xludf.DUMMYFUNCTION("""COMPUTED_VALUE"""),"2613 Chestnut Woods Ct
Reisterstown, Maryland 21136  ")</f>
        <v>2613 Chestnut Woods Ct
Reisterstown, Maryland 21136  </v>
      </c>
      <c r="P166" s="61"/>
    </row>
    <row r="167">
      <c r="A167" s="102" t="str">
        <f>IFERROR(__xludf.DUMMYFUNCTION("""COMPUTED_VALUE"""),"https://utrucking.com/admin/orders/5919823036604")</f>
        <v>https://utrucking.com/admin/orders/5919823036604</v>
      </c>
      <c r="B167" s="65" t="str">
        <f>IFERROR(__xludf.DUMMYFUNCTION("""COMPUTED_VALUE"""),"#15813")</f>
        <v>#15813</v>
      </c>
      <c r="C167" s="65" t="str">
        <f>IFERROR(__xludf.DUMMYFUNCTION("""COMPUTED_VALUE"""),"carlpayne15@hotmail.com")</f>
        <v>carlpayne15@hotmail.com</v>
      </c>
      <c r="D167" s="65">
        <f>IFERROR(__xludf.DUMMYFUNCTION("""COMPUTED_VALUE"""),7.323098678E9)</f>
        <v>7323098678</v>
      </c>
      <c r="E167" s="65" t="str">
        <f>IFERROR(__xludf.DUMMYFUNCTION("""COMPUTED_VALUE"""),"Carl Payne")</f>
        <v>Carl Payne</v>
      </c>
      <c r="F167" s="65"/>
      <c r="G167" s="65"/>
      <c r="H167" s="65" t="str">
        <f>IFERROR(__xludf.DUMMYFUNCTION("""COMPUTED_VALUE"""),"Nationwide Ship to School")</f>
        <v>Nationwide Ship to School</v>
      </c>
      <c r="I167" s="65" t="str">
        <f>IFERROR(__xludf.DUMMYFUNCTION("""COMPUTED_VALUE"""),"University Housing ")</f>
        <v>University Housing </v>
      </c>
      <c r="J167" s="108" t="str">
        <f>IFERROR(__xludf.DUMMYFUNCTION("""COMPUTED_VALUE"""),"09:00 AM to 11:00 AM   ")</f>
        <v>09:00 AM to 11:00 AM   </v>
      </c>
      <c r="K167" s="108">
        <f>IFERROR(__xludf.DUMMYFUNCTION("""COMPUTED_VALUE"""),45883.0)</f>
        <v>45883</v>
      </c>
      <c r="L167" s="65" t="str">
        <f>IFERROR(__xludf.DUMMYFUNCTION("""COMPUTED_VALUE"""),"Lee  ")</f>
        <v>Lee  </v>
      </c>
      <c r="M167" s="111" t="str">
        <f>IFERROR(__xludf.DUMMYFUNCTION("""COMPUTED_VALUE"""),"205")</f>
        <v>205</v>
      </c>
      <c r="N167" s="65"/>
      <c r="O167" s="65" t="str">
        <f>IFERROR(__xludf.DUMMYFUNCTION("""COMPUTED_VALUE"""),"28 Derby Lane
Waldwick, NJ 07463  ")</f>
        <v>28 Derby Lane
Waldwick, NJ 07463  </v>
      </c>
      <c r="P167" s="65"/>
    </row>
    <row r="168">
      <c r="A168" s="99" t="str">
        <f>IFERROR(__xludf.DUMMYFUNCTION("""COMPUTED_VALUE"""),"https://utrucking.com/admin/orders/5920110543036")</f>
        <v>https://utrucking.com/admin/orders/5920110543036</v>
      </c>
      <c r="B168" s="61" t="str">
        <f>IFERROR(__xludf.DUMMYFUNCTION("""COMPUTED_VALUE"""),"#15822")</f>
        <v>#15822</v>
      </c>
      <c r="C168" s="61" t="str">
        <f>IFERROR(__xludf.DUMMYFUNCTION("""COMPUTED_VALUE"""),"a.k.schuster@wustl.edu")</f>
        <v>a.k.schuster@wustl.edu</v>
      </c>
      <c r="D168" s="61">
        <f>IFERROR(__xludf.DUMMYFUNCTION("""COMPUTED_VALUE"""),1.9174842728E10)</f>
        <v>19174842728</v>
      </c>
      <c r="E168" s="61" t="str">
        <f>IFERROR(__xludf.DUMMYFUNCTION("""COMPUTED_VALUE"""),"Annalise Schuster")</f>
        <v>Annalise Schuster</v>
      </c>
      <c r="F168" s="61"/>
      <c r="G168" s="61"/>
      <c r="H168" s="61" t="str">
        <f>IFERROR(__xludf.DUMMYFUNCTION("""COMPUTED_VALUE"""),"Nationwide Ship to School")</f>
        <v>Nationwide Ship to School</v>
      </c>
      <c r="I168" s="61" t="str">
        <f>IFERROR(__xludf.DUMMYFUNCTION("""COMPUTED_VALUE"""),"University Housing ")</f>
        <v>University Housing </v>
      </c>
      <c r="J168" s="107" t="str">
        <f>IFERROR(__xludf.DUMMYFUNCTION("""COMPUTED_VALUE"""),"09:00 AM to 11:00 AM   ")</f>
        <v>09:00 AM to 11:00 AM   </v>
      </c>
      <c r="K168" s="107">
        <f>IFERROR(__xludf.DUMMYFUNCTION("""COMPUTED_VALUE"""),45883.0)</f>
        <v>45883</v>
      </c>
      <c r="L168" s="61" t="str">
        <f>IFERROR(__xludf.DUMMYFUNCTION("""COMPUTED_VALUE"""),"Millbrook Bldg. 4  ")</f>
        <v>Millbrook Bldg. 4  </v>
      </c>
      <c r="M168" s="110" t="str">
        <f>IFERROR(__xludf.DUMMYFUNCTION("""COMPUTED_VALUE"""),"302F - room a")</f>
        <v>302F - room a</v>
      </c>
      <c r="N168" s="61"/>
      <c r="O168" s="61" t="str">
        <f>IFERROR(__xludf.DUMMYFUNCTION("""COMPUTED_VALUE"""),"180 Riverside Drive, apt 6D
New York, NY
10024  ")</f>
        <v>180 Riverside Drive, apt 6D
New York, NY
10024  </v>
      </c>
      <c r="P168" s="61"/>
    </row>
    <row r="169">
      <c r="A169" s="102" t="str">
        <f>IFERROR(__xludf.DUMMYFUNCTION("""COMPUTED_VALUE"""),"https://utrucking.com/admin/orders/5920399720636")</f>
        <v>https://utrucking.com/admin/orders/5920399720636</v>
      </c>
      <c r="B169" s="65" t="str">
        <f>IFERROR(__xludf.DUMMYFUNCTION("""COMPUTED_VALUE"""),"#15839")</f>
        <v>#15839</v>
      </c>
      <c r="C169" s="65"/>
      <c r="D169" s="65">
        <f>IFERROR(__xludf.DUMMYFUNCTION("""COMPUTED_VALUE"""),6.103577127E9)</f>
        <v>6103577127</v>
      </c>
      <c r="E169" s="65" t="str">
        <f>IFERROR(__xludf.DUMMYFUNCTION("""COMPUTED_VALUE"""),"Melissa Pashigian")</f>
        <v>Melissa Pashigian</v>
      </c>
      <c r="F169" s="65"/>
      <c r="G169" s="65"/>
      <c r="H169" s="65" t="str">
        <f>IFERROR(__xludf.DUMMYFUNCTION("""COMPUTED_VALUE"""),"Nationwide Ship to School")</f>
        <v>Nationwide Ship to School</v>
      </c>
      <c r="I169" s="65" t="str">
        <f>IFERROR(__xludf.DUMMYFUNCTION("""COMPUTED_VALUE"""),"University Housing ")</f>
        <v>University Housing </v>
      </c>
      <c r="J169" s="108" t="str">
        <f>IFERROR(__xludf.DUMMYFUNCTION("""COMPUTED_VALUE"""),"09:00 AM to 11:00 AM   ")</f>
        <v>09:00 AM to 11:00 AM   </v>
      </c>
      <c r="K169" s="108">
        <f>IFERROR(__xludf.DUMMYFUNCTION("""COMPUTED_VALUE"""),45883.0)</f>
        <v>45883</v>
      </c>
      <c r="L169" s="65" t="str">
        <f>IFERROR(__xludf.DUMMYFUNCTION("""COMPUTED_VALUE"""),"Eliot A  ")</f>
        <v>Eliot A  </v>
      </c>
      <c r="M169" s="111" t="str">
        <f>IFERROR(__xludf.DUMMYFUNCTION("""COMPUTED_VALUE"""),"1042-a")</f>
        <v>1042-a</v>
      </c>
      <c r="N169" s="65"/>
      <c r="O169" s="65" t="str">
        <f>IFERROR(__xludf.DUMMYFUNCTION("""COMPUTED_VALUE"""),"277 N Bowman Ave
Merion Station, PA 19066  ")</f>
        <v>277 N Bowman Ave
Merion Station, PA 19066  </v>
      </c>
      <c r="P169" s="65"/>
    </row>
    <row r="170">
      <c r="A170" s="99" t="str">
        <f>IFERROR(__xludf.DUMMYFUNCTION("""COMPUTED_VALUE"""),"https://utrucking.com/admin/orders/5920702791868")</f>
        <v>https://utrucking.com/admin/orders/5920702791868</v>
      </c>
      <c r="B170" s="61" t="str">
        <f>IFERROR(__xludf.DUMMYFUNCTION("""COMPUTED_VALUE"""),"#15858")</f>
        <v>#15858</v>
      </c>
      <c r="C170" s="61" t="str">
        <f>IFERROR(__xludf.DUMMYFUNCTION("""COMPUTED_VALUE"""),"jennifersrice@me.com")</f>
        <v>jennifersrice@me.com</v>
      </c>
      <c r="D170" s="61">
        <f>IFERROR(__xludf.DUMMYFUNCTION("""COMPUTED_VALUE"""),2.15901152E9)</f>
        <v>2159011520</v>
      </c>
      <c r="E170" s="61" t="str">
        <f>IFERROR(__xludf.DUMMYFUNCTION("""COMPUTED_VALUE"""),"Jennifer Rice")</f>
        <v>Jennifer Rice</v>
      </c>
      <c r="F170" s="61"/>
      <c r="G170" s="61"/>
      <c r="H170" s="61" t="str">
        <f>IFERROR(__xludf.DUMMYFUNCTION("""COMPUTED_VALUE"""),"Nationwide Ship to School")</f>
        <v>Nationwide Ship to School</v>
      </c>
      <c r="I170" s="61" t="str">
        <f>IFERROR(__xludf.DUMMYFUNCTION("""COMPUTED_VALUE"""),"University Housing ")</f>
        <v>University Housing </v>
      </c>
      <c r="J170" s="107" t="str">
        <f>IFERROR(__xludf.DUMMYFUNCTION("""COMPUTED_VALUE"""),"03:00 PM to 05:00 PM ")</f>
        <v>03:00 PM to 05:00 PM </v>
      </c>
      <c r="K170" s="107">
        <f>IFERROR(__xludf.DUMMYFUNCTION("""COMPUTED_VALUE"""),45890.0)</f>
        <v>45890</v>
      </c>
      <c r="L170" s="61" t="str">
        <f>IFERROR(__xludf.DUMMYFUNCTION("""COMPUTED_VALUE"""),"Village East  ")</f>
        <v>Village East  </v>
      </c>
      <c r="M170" s="110" t="str">
        <f>IFERROR(__xludf.DUMMYFUNCTION("""COMPUTED_VALUE"""),"2104 A")</f>
        <v>2104 A</v>
      </c>
      <c r="N170" s="61"/>
      <c r="O170" s="61" t="str">
        <f>IFERROR(__xludf.DUMMYFUNCTION("""COMPUTED_VALUE"""),"2531 S 18th St.
Philadelphia, PA 19145  ")</f>
        <v>2531 S 18th St.
Philadelphia, PA 19145  </v>
      </c>
      <c r="P170" s="61"/>
    </row>
    <row r="171">
      <c r="A171" s="102" t="str">
        <f>IFERROR(__xludf.DUMMYFUNCTION("""COMPUTED_VALUE"""),"https://utrucking.com/admin/orders/5920746143932")</f>
        <v>https://utrucking.com/admin/orders/5920746143932</v>
      </c>
      <c r="B171" s="65" t="str">
        <f>IFERROR(__xludf.DUMMYFUNCTION("""COMPUTED_VALUE"""),"#15862")</f>
        <v>#15862</v>
      </c>
      <c r="C171" s="65" t="str">
        <f>IFERROR(__xludf.DUMMYFUNCTION("""COMPUTED_VALUE"""),"abigailsmiles321@gmail.com")</f>
        <v>abigailsmiles321@gmail.com</v>
      </c>
      <c r="D171" s="65">
        <f>IFERROR(__xludf.DUMMYFUNCTION("""COMPUTED_VALUE"""),9.255425528E9)</f>
        <v>9255425528</v>
      </c>
      <c r="E171" s="65" t="str">
        <f>IFERROR(__xludf.DUMMYFUNCTION("""COMPUTED_VALUE"""),"Abby Krause")</f>
        <v>Abby Krause</v>
      </c>
      <c r="F171" s="65"/>
      <c r="G171" s="65"/>
      <c r="H171" s="65" t="str">
        <f>IFERROR(__xludf.DUMMYFUNCTION("""COMPUTED_VALUE"""),"Nationwide Ship to School")</f>
        <v>Nationwide Ship to School</v>
      </c>
      <c r="I171" s="65" t="str">
        <f>IFERROR(__xludf.DUMMYFUNCTION("""COMPUTED_VALUE"""),"University Housing ")</f>
        <v>University Housing </v>
      </c>
      <c r="J171" s="108" t="str">
        <f>IFERROR(__xludf.DUMMYFUNCTION("""COMPUTED_VALUE"""),"09:00 AM to 11:00 AM   ")</f>
        <v>09:00 AM to 11:00 AM   </v>
      </c>
      <c r="K171" s="108">
        <f>IFERROR(__xludf.DUMMYFUNCTION("""COMPUTED_VALUE"""),45883.0)</f>
        <v>45883</v>
      </c>
      <c r="L171" s="65" t="str">
        <f>IFERROR(__xludf.DUMMYFUNCTION("""COMPUTED_VALUE"""),"Koenig  ")</f>
        <v>Koenig  </v>
      </c>
      <c r="M171" s="111" t="str">
        <f>IFERROR(__xludf.DUMMYFUNCTION("""COMPUTED_VALUE"""),"2204")</f>
        <v>2204</v>
      </c>
      <c r="N171" s="65"/>
      <c r="O171" s="65" t="str">
        <f>IFERROR(__xludf.DUMMYFUNCTION("""COMPUTED_VALUE"""),"294 Barrington Lane  ")</f>
        <v>294 Barrington Lane  </v>
      </c>
      <c r="P171" s="65"/>
    </row>
    <row r="172">
      <c r="A172" s="99" t="str">
        <f>IFERROR(__xludf.DUMMYFUNCTION("""COMPUTED_VALUE"""),"https://utrucking.com/admin/orders/5921109868732")</f>
        <v>https://utrucking.com/admin/orders/5921109868732</v>
      </c>
      <c r="B172" s="61" t="str">
        <f>IFERROR(__xludf.DUMMYFUNCTION("""COMPUTED_VALUE"""),"#15876")</f>
        <v>#15876</v>
      </c>
      <c r="C172" s="61" t="str">
        <f>IFERROR(__xludf.DUMMYFUNCTION("""COMPUTED_VALUE"""),"juliebf@gmail.com")</f>
        <v>juliebf@gmail.com</v>
      </c>
      <c r="D172" s="61">
        <f>IFERROR(__xludf.DUMMYFUNCTION("""COMPUTED_VALUE"""),1.9176931389E10)</f>
        <v>19176931389</v>
      </c>
      <c r="E172" s="61" t="str">
        <f>IFERROR(__xludf.DUMMYFUNCTION("""COMPUTED_VALUE"""),"Julie Fajgenbaum")</f>
        <v>Julie Fajgenbaum</v>
      </c>
      <c r="F172" s="61"/>
      <c r="G172" s="61"/>
      <c r="H172" s="61" t="str">
        <f>IFERROR(__xludf.DUMMYFUNCTION("""COMPUTED_VALUE"""),"Nationwide Ship to School")</f>
        <v>Nationwide Ship to School</v>
      </c>
      <c r="I172" s="61" t="str">
        <f>IFERROR(__xludf.DUMMYFUNCTION("""COMPUTED_VALUE"""),"University Housing ")</f>
        <v>University Housing </v>
      </c>
      <c r="J172" s="107" t="str">
        <f>IFERROR(__xludf.DUMMYFUNCTION("""COMPUTED_VALUE"""),"09:00 AM to 11:00 AM   ")</f>
        <v>09:00 AM to 11:00 AM   </v>
      </c>
      <c r="K172" s="107">
        <f>IFERROR(__xludf.DUMMYFUNCTION("""COMPUTED_VALUE"""),45883.0)</f>
        <v>45883</v>
      </c>
      <c r="L172" s="61" t="str">
        <f>IFERROR(__xludf.DUMMYFUNCTION("""COMPUTED_VALUE"""),"Park  ")</f>
        <v>Park  </v>
      </c>
      <c r="M172" s="110" t="str">
        <f>IFERROR(__xludf.DUMMYFUNCTION("""COMPUTED_VALUE"""),"442-B")</f>
        <v>442-B</v>
      </c>
      <c r="N172" s="61"/>
      <c r="O172" s="61" t="str">
        <f>IFERROR(__xludf.DUMMYFUNCTION("""COMPUTED_VALUE"""),"124 W 16th Street 
NEW YORK, NY 10011  ")</f>
        <v>124 W 16th Street 
NEW YORK, NY 10011  </v>
      </c>
      <c r="P172" s="61"/>
    </row>
    <row r="173">
      <c r="A173" s="102" t="str">
        <f>IFERROR(__xludf.DUMMYFUNCTION("""COMPUTED_VALUE"""),"https://utrucking.com/admin/orders/5921377026236")</f>
        <v>https://utrucking.com/admin/orders/5921377026236</v>
      </c>
      <c r="B173" s="65" t="str">
        <f>IFERROR(__xludf.DUMMYFUNCTION("""COMPUTED_VALUE"""),"#15885")</f>
        <v>#15885</v>
      </c>
      <c r="C173" s="65"/>
      <c r="D173" s="65">
        <f>IFERROR(__xludf.DUMMYFUNCTION("""COMPUTED_VALUE"""),6.506448954E9)</f>
        <v>6506448954</v>
      </c>
      <c r="E173" s="65" t="str">
        <f>IFERROR(__xludf.DUMMYFUNCTION("""COMPUTED_VALUE"""),"Kerry Frey")</f>
        <v>Kerry Frey</v>
      </c>
      <c r="F173" s="65"/>
      <c r="G173" s="65"/>
      <c r="H173" s="65" t="str">
        <f>IFERROR(__xludf.DUMMYFUNCTION("""COMPUTED_VALUE"""),"Nationwide Ship to School")</f>
        <v>Nationwide Ship to School</v>
      </c>
      <c r="I173" s="65" t="str">
        <f>IFERROR(__xludf.DUMMYFUNCTION("""COMPUTED_VALUE"""),"University Housing ")</f>
        <v>University Housing </v>
      </c>
      <c r="J173" s="108" t="str">
        <f>IFERROR(__xludf.DUMMYFUNCTION("""COMPUTED_VALUE"""),"03:00 PM to 05:00 PM ")</f>
        <v>03:00 PM to 05:00 PM </v>
      </c>
      <c r="K173" s="108">
        <f>IFERROR(__xludf.DUMMYFUNCTION("""COMPUTED_VALUE"""),45883.0)</f>
        <v>45883</v>
      </c>
      <c r="L173" s="65" t="str">
        <f>IFERROR(__xludf.DUMMYFUNCTION("""COMPUTED_VALUE"""),"Danforth  ")</f>
        <v>Danforth  </v>
      </c>
      <c r="M173" s="111" t="str">
        <f>IFERROR(__xludf.DUMMYFUNCTION("""COMPUTED_VALUE"""),"4411")</f>
        <v>4411</v>
      </c>
      <c r="N173" s="65"/>
      <c r="O173" s="65" t="str">
        <f>IFERROR(__xludf.DUMMYFUNCTION("""COMPUTED_VALUE"""),"79 Buckminster Rd
Brookline
MA 02445  ")</f>
        <v>79 Buckminster Rd
Brookline
MA 02445  </v>
      </c>
      <c r="P173" s="65"/>
    </row>
    <row r="174">
      <c r="A174" s="99" t="str">
        <f>IFERROR(__xludf.DUMMYFUNCTION("""COMPUTED_VALUE"""),"https://utrucking.com/admin/orders/5921420542140")</f>
        <v>https://utrucking.com/admin/orders/5921420542140</v>
      </c>
      <c r="B174" s="61" t="str">
        <f>IFERROR(__xludf.DUMMYFUNCTION("""COMPUTED_VALUE"""),"#15887")</f>
        <v>#15887</v>
      </c>
      <c r="C174" s="61" t="str">
        <f>IFERROR(__xludf.DUMMYFUNCTION("""COMPUTED_VALUE"""),"liam.elliott.457@gmail.com")</f>
        <v>liam.elliott.457@gmail.com</v>
      </c>
      <c r="D174" s="61">
        <f>IFERROR(__xludf.DUMMYFUNCTION("""COMPUTED_VALUE"""),1.2035352237E10)</f>
        <v>12035352237</v>
      </c>
      <c r="E174" s="61" t="str">
        <f>IFERROR(__xludf.DUMMYFUNCTION("""COMPUTED_VALUE"""),"Liam Elliott")</f>
        <v>Liam Elliott</v>
      </c>
      <c r="F174" s="61"/>
      <c r="G174" s="61"/>
      <c r="H174" s="61" t="str">
        <f>IFERROR(__xludf.DUMMYFUNCTION("""COMPUTED_VALUE"""),"Nationwide Ship to School")</f>
        <v>Nationwide Ship to School</v>
      </c>
      <c r="I174" s="61" t="str">
        <f>IFERROR(__xludf.DUMMYFUNCTION("""COMPUTED_VALUE"""),"University Housing ")</f>
        <v>University Housing </v>
      </c>
      <c r="J174" s="107" t="str">
        <f>IFERROR(__xludf.DUMMYFUNCTION("""COMPUTED_VALUE"""),"09:00 AM to 11:00 AM   ")</f>
        <v>09:00 AM to 11:00 AM   </v>
      </c>
      <c r="K174" s="107">
        <f>IFERROR(__xludf.DUMMYFUNCTION("""COMPUTED_VALUE"""),45883.0)</f>
        <v>45883</v>
      </c>
      <c r="L174" s="61" t="str">
        <f>IFERROR(__xludf.DUMMYFUNCTION("""COMPUTED_VALUE"""),"Zetcher  ")</f>
        <v>Zetcher  </v>
      </c>
      <c r="M174" s="110" t="str">
        <f>IFERROR(__xludf.DUMMYFUNCTION("""COMPUTED_VALUE"""),"4133")</f>
        <v>4133</v>
      </c>
      <c r="N174" s="61"/>
      <c r="O174" s="61" t="str">
        <f>IFERROR(__xludf.DUMMYFUNCTION("""COMPUTED_VALUE"""),"50 Beechwood Drive
Madison, CT 06443  ")</f>
        <v>50 Beechwood Drive
Madison, CT 06443  </v>
      </c>
      <c r="P174" s="61"/>
    </row>
    <row r="175">
      <c r="A175" s="102" t="str">
        <f>IFERROR(__xludf.DUMMYFUNCTION("""COMPUTED_VALUE"""),"https://utrucking.com/admin/orders/5921487814844")</f>
        <v>https://utrucking.com/admin/orders/5921487814844</v>
      </c>
      <c r="B175" s="65" t="str">
        <f>IFERROR(__xludf.DUMMYFUNCTION("""COMPUTED_VALUE"""),"#15890")</f>
        <v>#15890</v>
      </c>
      <c r="C175" s="65" t="str">
        <f>IFERROR(__xludf.DUMMYFUNCTION("""COMPUTED_VALUE"""),"mayajones954@gmail.com")</f>
        <v>mayajones954@gmail.com</v>
      </c>
      <c r="D175" s="65"/>
      <c r="E175" s="65" t="str">
        <f>IFERROR(__xludf.DUMMYFUNCTION("""COMPUTED_VALUE"""),"Maya Jones")</f>
        <v>Maya Jones</v>
      </c>
      <c r="F175" s="65"/>
      <c r="G175" s="65"/>
      <c r="H175" s="65" t="str">
        <f>IFERROR(__xludf.DUMMYFUNCTION("""COMPUTED_VALUE"""),"Nationwide Ship to School")</f>
        <v>Nationwide Ship to School</v>
      </c>
      <c r="I175" s="65" t="str">
        <f>IFERROR(__xludf.DUMMYFUNCTION("""COMPUTED_VALUE"""),"University Housing ")</f>
        <v>University Housing </v>
      </c>
      <c r="J175" s="108" t="str">
        <f>IFERROR(__xludf.DUMMYFUNCTION("""COMPUTED_VALUE"""),"09:00 AM to 11:00 AM   ")</f>
        <v>09:00 AM to 11:00 AM   </v>
      </c>
      <c r="K175" s="108">
        <f>IFERROR(__xludf.DUMMYFUNCTION("""COMPUTED_VALUE"""),45883.0)</f>
        <v>45883</v>
      </c>
      <c r="L175" s="65" t="str">
        <f>IFERROR(__xludf.DUMMYFUNCTION("""COMPUTED_VALUE"""),"Danforth  ")</f>
        <v>Danforth  </v>
      </c>
      <c r="M175" s="111" t="str">
        <f>IFERROR(__xludf.DUMMYFUNCTION("""COMPUTED_VALUE"""),"3332-a")</f>
        <v>3332-a</v>
      </c>
      <c r="N175" s="65"/>
      <c r="O175" s="65" t="str">
        <f>IFERROR(__xludf.DUMMYFUNCTION("""COMPUTED_VALUE"""),"3809 Montrose Drive, Chevy Chase MD 20815  ")</f>
        <v>3809 Montrose Drive, Chevy Chase MD 20815  </v>
      </c>
      <c r="P175" s="65"/>
    </row>
    <row r="176">
      <c r="A176" s="99" t="str">
        <f>IFERROR(__xludf.DUMMYFUNCTION("""COMPUTED_VALUE"""),"https://utrucking.com/admin/orders/5921536868540")</f>
        <v>https://utrucking.com/admin/orders/5921536868540</v>
      </c>
      <c r="B176" s="61" t="str">
        <f>IFERROR(__xludf.DUMMYFUNCTION("""COMPUTED_VALUE"""),"#15892")</f>
        <v>#15892</v>
      </c>
      <c r="C176" s="61" t="str">
        <f>IFERROR(__xludf.DUMMYFUNCTION("""COMPUTED_VALUE"""),"costanza.cocilovo@inova.org")</f>
        <v>costanza.cocilovo@inova.org</v>
      </c>
      <c r="D176" s="61">
        <f>IFERROR(__xludf.DUMMYFUNCTION("""COMPUTED_VALUE"""),1.9173186663E10)</f>
        <v>19173186663</v>
      </c>
      <c r="E176" s="61" t="str">
        <f>IFERROR(__xludf.DUMMYFUNCTION("""COMPUTED_VALUE"""),"costanza cocilovo")</f>
        <v>costanza cocilovo</v>
      </c>
      <c r="F176" s="61"/>
      <c r="G176" s="61"/>
      <c r="H176" s="61" t="str">
        <f>IFERROR(__xludf.DUMMYFUNCTION("""COMPUTED_VALUE"""),"Nationwide Ship to School")</f>
        <v>Nationwide Ship to School</v>
      </c>
      <c r="I176" s="61" t="str">
        <f>IFERROR(__xludf.DUMMYFUNCTION("""COMPUTED_VALUE"""),"University Housing ")</f>
        <v>University Housing </v>
      </c>
      <c r="J176" s="107" t="str">
        <f>IFERROR(__xludf.DUMMYFUNCTION("""COMPUTED_VALUE"""),"09:00 AM to 11:00 AM   ")</f>
        <v>09:00 AM to 11:00 AM   </v>
      </c>
      <c r="K176" s="107">
        <f>IFERROR(__xludf.DUMMYFUNCTION("""COMPUTED_VALUE"""),45883.0)</f>
        <v>45883</v>
      </c>
      <c r="L176" s="61" t="str">
        <f>IFERROR(__xludf.DUMMYFUNCTION("""COMPUTED_VALUE"""),"Danforth  ")</f>
        <v>Danforth  </v>
      </c>
      <c r="M176" s="110" t="str">
        <f>IFERROR(__xludf.DUMMYFUNCTION("""COMPUTED_VALUE"""),"3314-a")</f>
        <v>3314-a</v>
      </c>
      <c r="N176" s="61"/>
      <c r="O176" s="61" t="str">
        <f>IFERROR(__xludf.DUMMYFUNCTION("""COMPUTED_VALUE"""),"6101 31st street north 
Arlington, VA 22207  ")</f>
        <v>6101 31st street north 
Arlington, VA 22207  </v>
      </c>
      <c r="P176" s="61"/>
    </row>
    <row r="177">
      <c r="A177" s="102" t="str">
        <f>IFERROR(__xludf.DUMMYFUNCTION("""COMPUTED_VALUE"""),"https://utrucking.com/admin/orders/5921707589820")</f>
        <v>https://utrucking.com/admin/orders/5921707589820</v>
      </c>
      <c r="B177" s="65" t="str">
        <f>IFERROR(__xludf.DUMMYFUNCTION("""COMPUTED_VALUE"""),"#15899")</f>
        <v>#15899</v>
      </c>
      <c r="C177" s="65"/>
      <c r="D177" s="65">
        <f>IFERROR(__xludf.DUMMYFUNCTION("""COMPUTED_VALUE"""),1.8622060481E10)</f>
        <v>18622060481</v>
      </c>
      <c r="E177" s="65" t="str">
        <f>IFERROR(__xludf.DUMMYFUNCTION("""COMPUTED_VALUE"""),"Selena Bahl")</f>
        <v>Selena Bahl</v>
      </c>
      <c r="F177" s="65"/>
      <c r="G177" s="65"/>
      <c r="H177" s="65" t="str">
        <f>IFERROR(__xludf.DUMMYFUNCTION("""COMPUTED_VALUE"""),"Nationwide Ship to School")</f>
        <v>Nationwide Ship to School</v>
      </c>
      <c r="I177" s="65" t="str">
        <f>IFERROR(__xludf.DUMMYFUNCTION("""COMPUTED_VALUE"""),"University Housing ")</f>
        <v>University Housing </v>
      </c>
      <c r="J177" s="108" t="str">
        <f>IFERROR(__xludf.DUMMYFUNCTION("""COMPUTED_VALUE"""),"09:00 AM to 11:00 AM   ")</f>
        <v>09:00 AM to 11:00 AM   </v>
      </c>
      <c r="K177" s="108">
        <f>IFERROR(__xludf.DUMMYFUNCTION("""COMPUTED_VALUE"""),45883.0)</f>
        <v>45883</v>
      </c>
      <c r="L177" s="65" t="str">
        <f>IFERROR(__xludf.DUMMYFUNCTION("""COMPUTED_VALUE"""),"Liggett  ")</f>
        <v>Liggett  </v>
      </c>
      <c r="M177" s="111" t="str">
        <f>IFERROR(__xludf.DUMMYFUNCTION("""COMPUTED_VALUE"""),"3412-A")</f>
        <v>3412-A</v>
      </c>
      <c r="N177" s="65"/>
      <c r="O177" s="65" t="str">
        <f>IFERROR(__xludf.DUMMYFUNCTION("""COMPUTED_VALUE"""),"9 Crestwood Drive
Chatham, New Jersey 07928  ")</f>
        <v>9 Crestwood Drive
Chatham, New Jersey 07928  </v>
      </c>
      <c r="P177" s="65"/>
    </row>
    <row r="178">
      <c r="A178" s="99" t="str">
        <f>IFERROR(__xludf.DUMMYFUNCTION("""COMPUTED_VALUE"""),"https://utrucking.com/admin/orders/5921863958716")</f>
        <v>https://utrucking.com/admin/orders/5921863958716</v>
      </c>
      <c r="B178" s="61" t="str">
        <f>IFERROR(__xludf.DUMMYFUNCTION("""COMPUTED_VALUE"""),"#15903")</f>
        <v>#15903</v>
      </c>
      <c r="C178" s="61" t="str">
        <f>IFERROR(__xludf.DUMMYFUNCTION("""COMPUTED_VALUE"""),"erichan4191@gmail.com")</f>
        <v>erichan4191@gmail.com</v>
      </c>
      <c r="D178" s="61">
        <f>IFERROR(__xludf.DUMMYFUNCTION("""COMPUTED_VALUE"""),1.6508809E10)</f>
        <v>16508809000</v>
      </c>
      <c r="E178" s="61" t="str">
        <f>IFERROR(__xludf.DUMMYFUNCTION("""COMPUTED_VALUE"""),"Eric Han")</f>
        <v>Eric Han</v>
      </c>
      <c r="F178" s="61"/>
      <c r="G178" s="61"/>
      <c r="H178" s="61" t="str">
        <f>IFERROR(__xludf.DUMMYFUNCTION("""COMPUTED_VALUE"""),"Nationwide Ship to School")</f>
        <v>Nationwide Ship to School</v>
      </c>
      <c r="I178" s="61" t="str">
        <f>IFERROR(__xludf.DUMMYFUNCTION("""COMPUTED_VALUE"""),"University Housing ")</f>
        <v>University Housing </v>
      </c>
      <c r="J178" s="107" t="str">
        <f>IFERROR(__xludf.DUMMYFUNCTION("""COMPUTED_VALUE"""),"09:00 AM to 11:00 AM   ")</f>
        <v>09:00 AM to 11:00 AM   </v>
      </c>
      <c r="K178" s="107">
        <f>IFERROR(__xludf.DUMMYFUNCTION("""COMPUTED_VALUE"""),45883.0)</f>
        <v>45883</v>
      </c>
      <c r="L178" s="61" t="str">
        <f>IFERROR(__xludf.DUMMYFUNCTION("""COMPUTED_VALUE"""),"Danforth  ")</f>
        <v>Danforth  </v>
      </c>
      <c r="M178" s="110" t="str">
        <f>IFERROR(__xludf.DUMMYFUNCTION("""COMPUTED_VALUE"""),"4429")</f>
        <v>4429</v>
      </c>
      <c r="N178" s="61"/>
      <c r="O178" s="61" t="str">
        <f>IFERROR(__xludf.DUMMYFUNCTION("""COMPUTED_VALUE"""),"4247 Ogden Drive
Fremont, CA 94538  ")</f>
        <v>4247 Ogden Drive
Fremont, CA 94538  </v>
      </c>
      <c r="P178" s="61"/>
    </row>
    <row r="179">
      <c r="A179" s="102" t="str">
        <f>IFERROR(__xludf.DUMMYFUNCTION("""COMPUTED_VALUE"""),"https://utrucking.com/admin/orders/5923050455228")</f>
        <v>https://utrucking.com/admin/orders/5923050455228</v>
      </c>
      <c r="B179" s="65" t="str">
        <f>IFERROR(__xludf.DUMMYFUNCTION("""COMPUTED_VALUE"""),"#15914")</f>
        <v>#15914</v>
      </c>
      <c r="C179" s="65" t="str">
        <f>IFERROR(__xludf.DUMMYFUNCTION("""COMPUTED_VALUE"""),"rbaum7@gmail.com")</f>
        <v>rbaum7@gmail.com</v>
      </c>
      <c r="D179" s="65">
        <f>IFERROR(__xludf.DUMMYFUNCTION("""COMPUTED_VALUE"""),9.173741988E9)</f>
        <v>9173741988</v>
      </c>
      <c r="E179" s="65" t="str">
        <f>IFERROR(__xludf.DUMMYFUNCTION("""COMPUTED_VALUE"""),"Rebecca Baum")</f>
        <v>Rebecca Baum</v>
      </c>
      <c r="F179" s="65"/>
      <c r="G179" s="65" t="str">
        <f>IFERROR(__xludf.DUMMYFUNCTION("""COMPUTED_VALUE"""),"Trinity 1st Floor
510 Trinity St. Louis,
MO 63130")</f>
        <v>Trinity 1st Floor
510 Trinity St. Louis,
MO 63130</v>
      </c>
      <c r="H179" s="65" t="str">
        <f>IFERROR(__xludf.DUMMYFUNCTION("""COMPUTED_VALUE"""),"Nationwide Ship to School")</f>
        <v>Nationwide Ship to School</v>
      </c>
      <c r="I179" s="65" t="str">
        <f>IFERROR(__xludf.DUMMYFUNCTION("""COMPUTED_VALUE"""),"Non-University Housing ")</f>
        <v>Non-University Housing </v>
      </c>
      <c r="J179" s="108" t="str">
        <f>IFERROR(__xludf.DUMMYFUNCTION("""COMPUTED_VALUE"""),"09:00 AM to 11:00 AM   ")</f>
        <v>09:00 AM to 11:00 AM   </v>
      </c>
      <c r="K179" s="108">
        <f>IFERROR(__xludf.DUMMYFUNCTION("""COMPUTED_VALUE"""),45882.0)</f>
        <v>45882</v>
      </c>
      <c r="L179" s="65"/>
      <c r="M179" s="111"/>
      <c r="N179" s="65" t="str">
        <f>IFERROR(__xludf.DUMMYFUNCTION("""COMPUTED_VALUE"""),"Trinity 1st Floor
510 Trinity St. Louis,
MO 63130")</f>
        <v>Trinity 1st Floor
510 Trinity St. Louis,
MO 63130</v>
      </c>
      <c r="O179" s="65" t="str">
        <f>IFERROR(__xludf.DUMMYFUNCTION("""COMPUTED_VALUE"""),"50 east 89th Street
Apt 12AG
NYC, any 10128  ")</f>
        <v>50 east 89th Street
Apt 12AG
NYC, any 10128  </v>
      </c>
      <c r="P179" s="65"/>
    </row>
    <row r="180">
      <c r="A180" s="99" t="str">
        <f>IFERROR(__xludf.DUMMYFUNCTION("""COMPUTED_VALUE"""),"https://utrucking.com/admin/orders/5923400777916")</f>
        <v>https://utrucking.com/admin/orders/5923400777916</v>
      </c>
      <c r="B180" s="61" t="str">
        <f>IFERROR(__xludf.DUMMYFUNCTION("""COMPUTED_VALUE"""),"#15920")</f>
        <v>#15920</v>
      </c>
      <c r="C180" s="61"/>
      <c r="D180" s="61">
        <f>IFERROR(__xludf.DUMMYFUNCTION("""COMPUTED_VALUE"""),9.175798799E9)</f>
        <v>9175798799</v>
      </c>
      <c r="E180" s="61" t="str">
        <f>IFERROR(__xludf.DUMMYFUNCTION("""COMPUTED_VALUE"""),"Pamela Weinberg")</f>
        <v>Pamela Weinberg</v>
      </c>
      <c r="F180" s="61"/>
      <c r="G180" s="61"/>
      <c r="H180" s="61" t="str">
        <f>IFERROR(__xludf.DUMMYFUNCTION("""COMPUTED_VALUE"""),"Nationwide Ship to School")</f>
        <v>Nationwide Ship to School</v>
      </c>
      <c r="I180" s="61" t="str">
        <f>IFERROR(__xludf.DUMMYFUNCTION("""COMPUTED_VALUE"""),"University Housing ")</f>
        <v>University Housing </v>
      </c>
      <c r="J180" s="107" t="str">
        <f>IFERROR(__xludf.DUMMYFUNCTION("""COMPUTED_VALUE"""),"09:00 AM to 11:00 AM   ")</f>
        <v>09:00 AM to 11:00 AM   </v>
      </c>
      <c r="K180" s="107">
        <f>IFERROR(__xludf.DUMMYFUNCTION("""COMPUTED_VALUE"""),45883.0)</f>
        <v>45883</v>
      </c>
      <c r="L180" s="61" t="str">
        <f>IFERROR(__xludf.DUMMYFUNCTION("""COMPUTED_VALUE"""),"Gregg  ")</f>
        <v>Gregg  </v>
      </c>
      <c r="M180" s="110" t="str">
        <f>IFERROR(__xludf.DUMMYFUNCTION("""COMPUTED_VALUE"""),"2074-A")</f>
        <v>2074-A</v>
      </c>
      <c r="N180" s="61"/>
      <c r="O180" s="61" t="str">
        <f>IFERROR(__xludf.DUMMYFUNCTION("""COMPUTED_VALUE"""),"11 Blanche Ave, Unit A, Demarest, NJ 07627  ")</f>
        <v>11 Blanche Ave, Unit A, Demarest, NJ 07627  </v>
      </c>
      <c r="P180" s="61"/>
    </row>
    <row r="181">
      <c r="A181" s="102" t="str">
        <f>IFERROR(__xludf.DUMMYFUNCTION("""COMPUTED_VALUE"""),"https://utrucking.com/admin/orders/5923484860604")</f>
        <v>https://utrucking.com/admin/orders/5923484860604</v>
      </c>
      <c r="B181" s="65" t="str">
        <f>IFERROR(__xludf.DUMMYFUNCTION("""COMPUTED_VALUE"""),"#15923")</f>
        <v>#15923</v>
      </c>
      <c r="C181" s="65" t="str">
        <f>IFERROR(__xludf.DUMMYFUNCTION("""COMPUTED_VALUE"""),"kuwama@optonline.net")</f>
        <v>kuwama@optonline.net</v>
      </c>
      <c r="D181" s="65">
        <f>IFERROR(__xludf.DUMMYFUNCTION("""COMPUTED_VALUE"""),2.014468781E9)</f>
        <v>2014468781</v>
      </c>
      <c r="E181" s="65" t="str">
        <f>IFERROR(__xludf.DUMMYFUNCTION("""COMPUTED_VALUE"""),"Chika Kuwama")</f>
        <v>Chika Kuwama</v>
      </c>
      <c r="F181" s="65"/>
      <c r="G181" s="65"/>
      <c r="H181" s="65" t="str">
        <f>IFERROR(__xludf.DUMMYFUNCTION("""COMPUTED_VALUE"""),"Nationwide Ship to School")</f>
        <v>Nationwide Ship to School</v>
      </c>
      <c r="I181" s="65" t="str">
        <f>IFERROR(__xludf.DUMMYFUNCTION("""COMPUTED_VALUE"""),"University Housing ")</f>
        <v>University Housing </v>
      </c>
      <c r="J181" s="108" t="str">
        <f>IFERROR(__xludf.DUMMYFUNCTION("""COMPUTED_VALUE"""),"09:00 AM to 11:00 AM   ")</f>
        <v>09:00 AM to 11:00 AM   </v>
      </c>
      <c r="K181" s="108">
        <f>IFERROR(__xludf.DUMMYFUNCTION("""COMPUTED_VALUE"""),45883.0)</f>
        <v>45883</v>
      </c>
      <c r="L181" s="65" t="str">
        <f>IFERROR(__xludf.DUMMYFUNCTION("""COMPUTED_VALUE"""),"Eliot B  ")</f>
        <v>Eliot B  </v>
      </c>
      <c r="M181" s="111" t="str">
        <f>IFERROR(__xludf.DUMMYFUNCTION("""COMPUTED_VALUE"""),"2121-B")</f>
        <v>2121-B</v>
      </c>
      <c r="N181" s="65"/>
      <c r="O181" s="65" t="str">
        <f>IFERROR(__xludf.DUMMYFUNCTION("""COMPUTED_VALUE"""),"45 Devon Road
Tenafly, NJ 07670  ")</f>
        <v>45 Devon Road
Tenafly, NJ 07670  </v>
      </c>
      <c r="P181" s="65"/>
    </row>
    <row r="182">
      <c r="A182" s="99" t="str">
        <f>IFERROR(__xludf.DUMMYFUNCTION("""COMPUTED_VALUE"""),"https://utrucking.com/admin/orders/5924426580156")</f>
        <v>https://utrucking.com/admin/orders/5924426580156</v>
      </c>
      <c r="B182" s="61" t="str">
        <f>IFERROR(__xludf.DUMMYFUNCTION("""COMPUTED_VALUE"""),"#15940")</f>
        <v>#15940</v>
      </c>
      <c r="C182" s="61"/>
      <c r="D182" s="61">
        <f>IFERROR(__xludf.DUMMYFUNCTION("""COMPUTED_VALUE"""),5.12608888E9)</f>
        <v>5126088880</v>
      </c>
      <c r="E182" s="61" t="str">
        <f>IFERROR(__xludf.DUMMYFUNCTION("""COMPUTED_VALUE"""),"Elizabeth Slover")</f>
        <v>Elizabeth Slover</v>
      </c>
      <c r="F182" s="61"/>
      <c r="G182" s="61"/>
      <c r="H182" s="61" t="str">
        <f>IFERROR(__xludf.DUMMYFUNCTION("""COMPUTED_VALUE"""),"Nationwide Ship to School")</f>
        <v>Nationwide Ship to School</v>
      </c>
      <c r="I182" s="61" t="str">
        <f>IFERROR(__xludf.DUMMYFUNCTION("""COMPUTED_VALUE"""),"University Housing ")</f>
        <v>University Housing </v>
      </c>
      <c r="J182" s="107" t="str">
        <f>IFERROR(__xludf.DUMMYFUNCTION("""COMPUTED_VALUE"""),"09:00 AM to 11:00 AM   ")</f>
        <v>09:00 AM to 11:00 AM   </v>
      </c>
      <c r="K182" s="107">
        <f>IFERROR(__xludf.DUMMYFUNCTION("""COMPUTED_VALUE"""),45883.0)</f>
        <v>45883</v>
      </c>
      <c r="L182" s="61" t="str">
        <f>IFERROR(__xludf.DUMMYFUNCTION("""COMPUTED_VALUE"""),"Danforth  ")</f>
        <v>Danforth  </v>
      </c>
      <c r="M182" s="110" t="str">
        <f>IFERROR(__xludf.DUMMYFUNCTION("""COMPUTED_VALUE"""),"2222")</f>
        <v>2222</v>
      </c>
      <c r="N182" s="61"/>
      <c r="O182" s="61" t="str">
        <f>IFERROR(__xludf.DUMMYFUNCTION("""COMPUTED_VALUE"""),"4814 City Park Road 
Austin, Texas 78730  ")</f>
        <v>4814 City Park Road 
Austin, Texas 78730  </v>
      </c>
      <c r="P182" s="61"/>
    </row>
    <row r="183">
      <c r="A183" s="102" t="str">
        <f>IFERROR(__xludf.DUMMYFUNCTION("""COMPUTED_VALUE"""),"https://utrucking.com/admin/orders/5924522262716")</f>
        <v>https://utrucking.com/admin/orders/5924522262716</v>
      </c>
      <c r="B183" s="65" t="str">
        <f>IFERROR(__xludf.DUMMYFUNCTION("""COMPUTED_VALUE"""),"#15942")</f>
        <v>#15942</v>
      </c>
      <c r="C183" s="65" t="str">
        <f>IFERROR(__xludf.DUMMYFUNCTION("""COMPUTED_VALUE"""),"cristakim8@gmail.com")</f>
        <v>cristakim8@gmail.com</v>
      </c>
      <c r="D183" s="65">
        <f>IFERROR(__xludf.DUMMYFUNCTION("""COMPUTED_VALUE"""),6.26864493E9)</f>
        <v>6268644930</v>
      </c>
      <c r="E183" s="65" t="str">
        <f>IFERROR(__xludf.DUMMYFUNCTION("""COMPUTED_VALUE"""),"crista kim")</f>
        <v>crista kim</v>
      </c>
      <c r="F183" s="65"/>
      <c r="G183" s="65"/>
      <c r="H183" s="65" t="str">
        <f>IFERROR(__xludf.DUMMYFUNCTION("""COMPUTED_VALUE"""),"Nationwide Ship to School")</f>
        <v>Nationwide Ship to School</v>
      </c>
      <c r="I183" s="65" t="str">
        <f>IFERROR(__xludf.DUMMYFUNCTION("""COMPUTED_VALUE"""),"University Housing ")</f>
        <v>University Housing </v>
      </c>
      <c r="J183" s="108" t="str">
        <f>IFERROR(__xludf.DUMMYFUNCTION("""COMPUTED_VALUE"""),"09:00 AM to 11:00 AM   ")</f>
        <v>09:00 AM to 11:00 AM   </v>
      </c>
      <c r="K183" s="108">
        <f>IFERROR(__xludf.DUMMYFUNCTION("""COMPUTED_VALUE"""),45883.0)</f>
        <v>45883</v>
      </c>
      <c r="L183" s="65" t="str">
        <f>IFERROR(__xludf.DUMMYFUNCTION("""COMPUTED_VALUE"""),"Lien  ")</f>
        <v>Lien  </v>
      </c>
      <c r="M183" s="111" t="str">
        <f>IFERROR(__xludf.DUMMYFUNCTION("""COMPUTED_VALUE"""),"1103")</f>
        <v>1103</v>
      </c>
      <c r="N183" s="65"/>
      <c r="O183" s="65" t="str">
        <f>IFERROR(__xludf.DUMMYFUNCTION("""COMPUTED_VALUE"""),"702 S Serrano Ave #505  ")</f>
        <v>702 S Serrano Ave #505  </v>
      </c>
      <c r="P183" s="65"/>
    </row>
    <row r="184">
      <c r="A184" s="99" t="str">
        <f>IFERROR(__xludf.DUMMYFUNCTION("""COMPUTED_VALUE"""),"https://utrucking.com/admin/orders/5924627382460")</f>
        <v>https://utrucking.com/admin/orders/5924627382460</v>
      </c>
      <c r="B184" s="61" t="str">
        <f>IFERROR(__xludf.DUMMYFUNCTION("""COMPUTED_VALUE"""),"#15943")</f>
        <v>#15943</v>
      </c>
      <c r="C184" s="61" t="str">
        <f>IFERROR(__xludf.DUMMYFUNCTION("""COMPUTED_VALUE"""),"beth.kamp@gmail.com")</f>
        <v>beth.kamp@gmail.com</v>
      </c>
      <c r="D184" s="61">
        <f>IFERROR(__xludf.DUMMYFUNCTION("""COMPUTED_VALUE"""),2.673031086E9)</f>
        <v>2673031086</v>
      </c>
      <c r="E184" s="61" t="str">
        <f>IFERROR(__xludf.DUMMYFUNCTION("""COMPUTED_VALUE"""),"Beth Kamp")</f>
        <v>Beth Kamp</v>
      </c>
      <c r="F184" s="61"/>
      <c r="G184" s="61"/>
      <c r="H184" s="61" t="str">
        <f>IFERROR(__xludf.DUMMYFUNCTION("""COMPUTED_VALUE"""),"Nationwide Ship to School")</f>
        <v>Nationwide Ship to School</v>
      </c>
      <c r="I184" s="61" t="str">
        <f>IFERROR(__xludf.DUMMYFUNCTION("""COMPUTED_VALUE"""),"University Housing ")</f>
        <v>University Housing </v>
      </c>
      <c r="J184" s="107" t="str">
        <f>IFERROR(__xludf.DUMMYFUNCTION("""COMPUTED_VALUE"""),"09:00 AM to 11:00 AM   ")</f>
        <v>09:00 AM to 11:00 AM   </v>
      </c>
      <c r="K184" s="107">
        <f>IFERROR(__xludf.DUMMYFUNCTION("""COMPUTED_VALUE"""),45883.0)</f>
        <v>45883</v>
      </c>
      <c r="L184" s="61" t="str">
        <f>IFERROR(__xludf.DUMMYFUNCTION("""COMPUTED_VALUE"""),"Umrath  ")</f>
        <v>Umrath  </v>
      </c>
      <c r="M184" s="110" t="str">
        <f>IFERROR(__xludf.DUMMYFUNCTION("""COMPUTED_VALUE"""),"4414-a")</f>
        <v>4414-a</v>
      </c>
      <c r="N184" s="61"/>
      <c r="O184" s="61" t="str">
        <f>IFERROR(__xludf.DUMMYFUNCTION("""COMPUTED_VALUE"""),"109 Jericho Valley Drive Newtown, PA 18940  ")</f>
        <v>109 Jericho Valley Drive Newtown, PA 18940  </v>
      </c>
      <c r="P184" s="61"/>
    </row>
    <row r="185">
      <c r="A185" s="102" t="str">
        <f>IFERROR(__xludf.DUMMYFUNCTION("""COMPUTED_VALUE"""),"https://utrucking.com/admin/orders/5924641571004")</f>
        <v>https://utrucking.com/admin/orders/5924641571004</v>
      </c>
      <c r="B185" s="65" t="str">
        <f>IFERROR(__xludf.DUMMYFUNCTION("""COMPUTED_VALUE"""),"#15944")</f>
        <v>#15944</v>
      </c>
      <c r="C185" s="65" t="str">
        <f>IFERROR(__xludf.DUMMYFUNCTION("""COMPUTED_VALUE"""),"tgmendel@hotmail.com")</f>
        <v>tgmendel@hotmail.com</v>
      </c>
      <c r="D185" s="65">
        <f>IFERROR(__xludf.DUMMYFUNCTION("""COMPUTED_VALUE"""),9.175722613E9)</f>
        <v>9175722613</v>
      </c>
      <c r="E185" s="65" t="str">
        <f>IFERROR(__xludf.DUMMYFUNCTION("""COMPUTED_VALUE"""),"sacha mendelson")</f>
        <v>sacha mendelson</v>
      </c>
      <c r="F185" s="65"/>
      <c r="G185" s="65"/>
      <c r="H185" s="65" t="str">
        <f>IFERROR(__xludf.DUMMYFUNCTION("""COMPUTED_VALUE"""),"Nationwide Ship to School")</f>
        <v>Nationwide Ship to School</v>
      </c>
      <c r="I185" s="65" t="str">
        <f>IFERROR(__xludf.DUMMYFUNCTION("""COMPUTED_VALUE"""),"University Housing ")</f>
        <v>University Housing </v>
      </c>
      <c r="J185" s="108" t="str">
        <f>IFERROR(__xludf.DUMMYFUNCTION("""COMPUTED_VALUE"""),"09:00 AM to 11:00 AM   ")</f>
        <v>09:00 AM to 11:00 AM   </v>
      </c>
      <c r="K185" s="108">
        <f>IFERROR(__xludf.DUMMYFUNCTION("""COMPUTED_VALUE"""),45883.0)</f>
        <v>45883</v>
      </c>
      <c r="L185" s="65" t="str">
        <f>IFERROR(__xludf.DUMMYFUNCTION("""COMPUTED_VALUE"""),"Rutledge  ")</f>
        <v>Rutledge  </v>
      </c>
      <c r="M185" s="111" t="str">
        <f>IFERROR(__xludf.DUMMYFUNCTION("""COMPUTED_VALUE"""),"344")</f>
        <v>344</v>
      </c>
      <c r="N185" s="65"/>
      <c r="O185" s="65" t="str">
        <f>IFERROR(__xludf.DUMMYFUNCTION("""COMPUTED_VALUE"""),"501 east 79 street
apartment 4b
NYc, NY 10075  ")</f>
        <v>501 east 79 street
apartment 4b
NYc, NY 10075  </v>
      </c>
      <c r="P185" s="65"/>
    </row>
    <row r="186">
      <c r="A186" s="99" t="str">
        <f>IFERROR(__xludf.DUMMYFUNCTION("""COMPUTED_VALUE"""),"https://utrucking.com/admin/orders/5924671979708")</f>
        <v>https://utrucking.com/admin/orders/5924671979708</v>
      </c>
      <c r="B186" s="61" t="str">
        <f>IFERROR(__xludf.DUMMYFUNCTION("""COMPUTED_VALUE"""),"#15951")</f>
        <v>#15951</v>
      </c>
      <c r="C186" s="61" t="str">
        <f>IFERROR(__xludf.DUMMYFUNCTION("""COMPUTED_VALUE"""),"alisonflamenbaum@gmail.com")</f>
        <v>alisonflamenbaum@gmail.com</v>
      </c>
      <c r="D186" s="61">
        <f>IFERROR(__xludf.DUMMYFUNCTION("""COMPUTED_VALUE"""),9.145259746E9)</f>
        <v>9145259746</v>
      </c>
      <c r="E186" s="61" t="str">
        <f>IFERROR(__xludf.DUMMYFUNCTION("""COMPUTED_VALUE"""),"Paisley Flamenbaum")</f>
        <v>Paisley Flamenbaum</v>
      </c>
      <c r="F186" s="61"/>
      <c r="G186" s="61"/>
      <c r="H186" s="61" t="str">
        <f>IFERROR(__xludf.DUMMYFUNCTION("""COMPUTED_VALUE"""),"Nationwide Ship to School")</f>
        <v>Nationwide Ship to School</v>
      </c>
      <c r="I186" s="61" t="str">
        <f>IFERROR(__xludf.DUMMYFUNCTION("""COMPUTED_VALUE"""),"University Housing ")</f>
        <v>University Housing </v>
      </c>
      <c r="J186" s="107" t="str">
        <f>IFERROR(__xludf.DUMMYFUNCTION("""COMPUTED_VALUE"""),"09:00 AM to 11:00 AM   ")</f>
        <v>09:00 AM to 11:00 AM   </v>
      </c>
      <c r="K186" s="107">
        <f>IFERROR(__xludf.DUMMYFUNCTION("""COMPUTED_VALUE"""),45877.0)</f>
        <v>45877</v>
      </c>
      <c r="L186" s="61" t="str">
        <f>IFERROR(__xludf.DUMMYFUNCTION("""COMPUTED_VALUE"""),"Lopata  ")</f>
        <v>Lopata  </v>
      </c>
      <c r="M186" s="110" t="str">
        <f>IFERROR(__xludf.DUMMYFUNCTION("""COMPUTED_VALUE"""),"3051A")</f>
        <v>3051A</v>
      </c>
      <c r="N186" s="61"/>
      <c r="O186" s="61" t="str">
        <f>IFERROR(__xludf.DUMMYFUNCTION("""COMPUTED_VALUE"""),"Paisley Flamenbaum
30 Kilmer Rd
Larchmont NY 10538  ")</f>
        <v>Paisley Flamenbaum
30 Kilmer Rd
Larchmont NY 10538  </v>
      </c>
      <c r="P186" s="61"/>
    </row>
    <row r="187">
      <c r="A187" s="102" t="str">
        <f>IFERROR(__xludf.DUMMYFUNCTION("""COMPUTED_VALUE"""),"https://utrucking.com/admin/orders/5924685316284")</f>
        <v>https://utrucking.com/admin/orders/5924685316284</v>
      </c>
      <c r="B187" s="65" t="str">
        <f>IFERROR(__xludf.DUMMYFUNCTION("""COMPUTED_VALUE"""),"#15952")</f>
        <v>#15952</v>
      </c>
      <c r="C187" s="65" t="str">
        <f>IFERROR(__xludf.DUMMYFUNCTION("""COMPUTED_VALUE"""),"acharlotte@wustl.edu")</f>
        <v>acharlotte@wustl.edu</v>
      </c>
      <c r="D187" s="65">
        <f>IFERROR(__xludf.DUMMYFUNCTION("""COMPUTED_VALUE"""),7.18715543E9)</f>
        <v>7187155430</v>
      </c>
      <c r="E187" s="65" t="str">
        <f>IFERROR(__xludf.DUMMYFUNCTION("""COMPUTED_VALUE"""),"charlotte allinson")</f>
        <v>charlotte allinson</v>
      </c>
      <c r="F187" s="65"/>
      <c r="G187" s="65"/>
      <c r="H187" s="65" t="str">
        <f>IFERROR(__xludf.DUMMYFUNCTION("""COMPUTED_VALUE"""),"Nationwide Ship to School")</f>
        <v>Nationwide Ship to School</v>
      </c>
      <c r="I187" s="65" t="str">
        <f>IFERROR(__xludf.DUMMYFUNCTION("""COMPUTED_VALUE"""),"University Housing ")</f>
        <v>University Housing </v>
      </c>
      <c r="J187" s="108" t="str">
        <f>IFERROR(__xludf.DUMMYFUNCTION("""COMPUTED_VALUE"""),"09:00 AM to 11:00 AM   ")</f>
        <v>09:00 AM to 11:00 AM   </v>
      </c>
      <c r="K187" s="108">
        <f>IFERROR(__xludf.DUMMYFUNCTION("""COMPUTED_VALUE"""),45883.0)</f>
        <v>45883</v>
      </c>
      <c r="L187" s="65" t="str">
        <f>IFERROR(__xludf.DUMMYFUNCTION("""COMPUTED_VALUE"""),"Lopata  ")</f>
        <v>Lopata  </v>
      </c>
      <c r="M187" s="111" t="str">
        <f>IFERROR(__xludf.DUMMYFUNCTION("""COMPUTED_VALUE"""),"3024")</f>
        <v>3024</v>
      </c>
      <c r="N187" s="65"/>
      <c r="O187" s="65" t="str">
        <f>IFERROR(__xludf.DUMMYFUNCTION("""COMPUTED_VALUE"""),"322 Central Park West Apt. 5A  ")</f>
        <v>322 Central Park West Apt. 5A  </v>
      </c>
      <c r="P187" s="65"/>
    </row>
    <row r="188">
      <c r="A188" s="99" t="str">
        <f>IFERROR(__xludf.DUMMYFUNCTION("""COMPUTED_VALUE"""),"https://utrucking.com/admin/orders/5924695441596")</f>
        <v>https://utrucking.com/admin/orders/5924695441596</v>
      </c>
      <c r="B188" s="61" t="str">
        <f>IFERROR(__xludf.DUMMYFUNCTION("""COMPUTED_VALUE"""),"#15954")</f>
        <v>#15954</v>
      </c>
      <c r="C188" s="61"/>
      <c r="D188" s="61"/>
      <c r="E188" s="61" t="str">
        <f>IFERROR(__xludf.DUMMYFUNCTION("""COMPUTED_VALUE"""),"Gary Evans")</f>
        <v>Gary Evans</v>
      </c>
      <c r="F188" s="61"/>
      <c r="G188" s="61"/>
      <c r="H188" s="61" t="str">
        <f>IFERROR(__xludf.DUMMYFUNCTION("""COMPUTED_VALUE"""),"Nationwide Ship to School")</f>
        <v>Nationwide Ship to School</v>
      </c>
      <c r="I188" s="61" t="str">
        <f>IFERROR(__xludf.DUMMYFUNCTION("""COMPUTED_VALUE"""),"University Housing ")</f>
        <v>University Housing </v>
      </c>
      <c r="J188" s="107" t="str">
        <f>IFERROR(__xludf.DUMMYFUNCTION("""COMPUTED_VALUE"""),"09:00 AM to 11:00 AM   ")</f>
        <v>09:00 AM to 11:00 AM   </v>
      </c>
      <c r="K188" s="107">
        <f>IFERROR(__xludf.DUMMYFUNCTION("""COMPUTED_VALUE"""),45883.0)</f>
        <v>45883</v>
      </c>
      <c r="L188" s="61" t="str">
        <f>IFERROR(__xludf.DUMMYFUNCTION("""COMPUTED_VALUE"""),"Hurd  ")</f>
        <v>Hurd  </v>
      </c>
      <c r="M188" s="110" t="str">
        <f>IFERROR(__xludf.DUMMYFUNCTION("""COMPUTED_VALUE"""),"421")</f>
        <v>421</v>
      </c>
      <c r="N188" s="61"/>
      <c r="O188" s="61" t="str">
        <f>IFERROR(__xludf.DUMMYFUNCTION("""COMPUTED_VALUE"""),"4413 W University Blvd  ")</f>
        <v>4413 W University Blvd  </v>
      </c>
      <c r="P188" s="61"/>
    </row>
    <row r="189">
      <c r="A189" s="102" t="str">
        <f>IFERROR(__xludf.DUMMYFUNCTION("""COMPUTED_VALUE"""),"https://utrucking.com/admin/orders/5924815110332")</f>
        <v>https://utrucking.com/admin/orders/5924815110332</v>
      </c>
      <c r="B189" s="65" t="str">
        <f>IFERROR(__xludf.DUMMYFUNCTION("""COMPUTED_VALUE"""),"#15959")</f>
        <v>#15959</v>
      </c>
      <c r="C189" s="65" t="str">
        <f>IFERROR(__xludf.DUMMYFUNCTION("""COMPUTED_VALUE"""),"mssjd2002@gmail.com")</f>
        <v>mssjd2002@gmail.com</v>
      </c>
      <c r="D189" s="65">
        <f>IFERROR(__xludf.DUMMYFUNCTION("""COMPUTED_VALUE"""),6.092130326E9)</f>
        <v>6092130326</v>
      </c>
      <c r="E189" s="65" t="str">
        <f>IFERROR(__xludf.DUMMYFUNCTION("""COMPUTED_VALUE"""),"Michelle Silverman Dultz")</f>
        <v>Michelle Silverman Dultz</v>
      </c>
      <c r="F189" s="65"/>
      <c r="G189" s="65"/>
      <c r="H189" s="65" t="str">
        <f>IFERROR(__xludf.DUMMYFUNCTION("""COMPUTED_VALUE"""),"Nationwide Ship to School")</f>
        <v>Nationwide Ship to School</v>
      </c>
      <c r="I189" s="65" t="str">
        <f>IFERROR(__xludf.DUMMYFUNCTION("""COMPUTED_VALUE"""),"University Housing ")</f>
        <v>University Housing </v>
      </c>
      <c r="J189" s="108" t="str">
        <f>IFERROR(__xludf.DUMMYFUNCTION("""COMPUTED_VALUE"""),"09:00 AM to 11:00 AM   ")</f>
        <v>09:00 AM to 11:00 AM   </v>
      </c>
      <c r="K189" s="108">
        <f>IFERROR(__xludf.DUMMYFUNCTION("""COMPUTED_VALUE"""),45883.0)</f>
        <v>45883</v>
      </c>
      <c r="L189" s="65" t="str">
        <f>IFERROR(__xludf.DUMMYFUNCTION("""COMPUTED_VALUE"""),"Gregg  ")</f>
        <v>Gregg  </v>
      </c>
      <c r="M189" s="111" t="str">
        <f>IFERROR(__xludf.DUMMYFUNCTION("""COMPUTED_VALUE"""),"Unknown")</f>
        <v>Unknown</v>
      </c>
      <c r="N189" s="65"/>
      <c r="O189" s="65" t="str">
        <f>IFERROR(__xludf.DUMMYFUNCTION("""COMPUTED_VALUE"""),"243 Russell Road
Princeton NJ 08540   ")</f>
        <v>243 Russell Road
Princeton NJ 08540   </v>
      </c>
      <c r="P189" s="65"/>
    </row>
    <row r="190">
      <c r="A190" s="99" t="str">
        <f>IFERROR(__xludf.DUMMYFUNCTION("""COMPUTED_VALUE"""),"https://utrucking.com/admin/orders/5924830019772")</f>
        <v>https://utrucking.com/admin/orders/5924830019772</v>
      </c>
      <c r="B190" s="61" t="str">
        <f>IFERROR(__xludf.DUMMYFUNCTION("""COMPUTED_VALUE"""),"#15960")</f>
        <v>#15960</v>
      </c>
      <c r="C190" s="61"/>
      <c r="D190" s="61">
        <f>IFERROR(__xludf.DUMMYFUNCTION("""COMPUTED_VALUE"""),8.596844148E9)</f>
        <v>8596844148</v>
      </c>
      <c r="E190" s="61" t="str">
        <f>IFERROR(__xludf.DUMMYFUNCTION("""COMPUTED_VALUE"""),"shanelle cameus")</f>
        <v>shanelle cameus</v>
      </c>
      <c r="F190" s="61"/>
      <c r="G190" s="61"/>
      <c r="H190" s="61" t="str">
        <f>IFERROR(__xludf.DUMMYFUNCTION("""COMPUTED_VALUE"""),"Nationwide Ship to School")</f>
        <v>Nationwide Ship to School</v>
      </c>
      <c r="I190" s="61" t="str">
        <f>IFERROR(__xludf.DUMMYFUNCTION("""COMPUTED_VALUE"""),"University Housing ")</f>
        <v>University Housing </v>
      </c>
      <c r="J190" s="107" t="str">
        <f>IFERROR(__xludf.DUMMYFUNCTION("""COMPUTED_VALUE"""),"09:00 AM to 11:00 AM   ")</f>
        <v>09:00 AM to 11:00 AM   </v>
      </c>
      <c r="K190" s="107">
        <f>IFERROR(__xludf.DUMMYFUNCTION("""COMPUTED_VALUE"""),45883.0)</f>
        <v>45883</v>
      </c>
      <c r="L190" s="61" t="str">
        <f>IFERROR(__xludf.DUMMYFUNCTION("""COMPUTED_VALUE"""),"Dardick  ")</f>
        <v>Dardick  </v>
      </c>
      <c r="M190" s="110" t="str">
        <f>IFERROR(__xludf.DUMMYFUNCTION("""COMPUTED_VALUE"""),"2224")</f>
        <v>2224</v>
      </c>
      <c r="N190" s="61"/>
      <c r="O190" s="61" t="str">
        <f>IFERROR(__xludf.DUMMYFUNCTION("""COMPUTED_VALUE"""),"2824 mount mckinley way  ")</f>
        <v>2824 mount mckinley way  </v>
      </c>
      <c r="P190" s="61"/>
    </row>
    <row r="191">
      <c r="A191" s="102" t="str">
        <f>IFERROR(__xludf.DUMMYFUNCTION("""COMPUTED_VALUE"""),"https://utrucking.com/admin/orders/5924836573372")</f>
        <v>https://utrucking.com/admin/orders/5924836573372</v>
      </c>
      <c r="B191" s="65" t="str">
        <f>IFERROR(__xludf.DUMMYFUNCTION("""COMPUTED_VALUE"""),"#15962")</f>
        <v>#15962</v>
      </c>
      <c r="C191" s="65"/>
      <c r="D191" s="65">
        <f>IFERROR(__xludf.DUMMYFUNCTION("""COMPUTED_VALUE"""),6.462507591E9)</f>
        <v>6462507591</v>
      </c>
      <c r="E191" s="65" t="str">
        <f>IFERROR(__xludf.DUMMYFUNCTION("""COMPUTED_VALUE"""),"Lexi Lawsky")</f>
        <v>Lexi Lawsky</v>
      </c>
      <c r="F191" s="65"/>
      <c r="G191" s="65"/>
      <c r="H191" s="65" t="str">
        <f>IFERROR(__xludf.DUMMYFUNCTION("""COMPUTED_VALUE"""),"Nationwide Ship to School")</f>
        <v>Nationwide Ship to School</v>
      </c>
      <c r="I191" s="65" t="str">
        <f>IFERROR(__xludf.DUMMYFUNCTION("""COMPUTED_VALUE"""),"University Housing ")</f>
        <v>University Housing </v>
      </c>
      <c r="J191" s="108" t="str">
        <f>IFERROR(__xludf.DUMMYFUNCTION("""COMPUTED_VALUE"""),"09:00 AM to 11:00 AM   ")</f>
        <v>09:00 AM to 11:00 AM   </v>
      </c>
      <c r="K191" s="108">
        <f>IFERROR(__xludf.DUMMYFUNCTION("""COMPUTED_VALUE"""),45883.0)</f>
        <v>45883</v>
      </c>
      <c r="L191" s="65" t="str">
        <f>IFERROR(__xludf.DUMMYFUNCTION("""COMPUTED_VALUE"""),"Danforth  ")</f>
        <v>Danforth  </v>
      </c>
      <c r="M191" s="111" t="str">
        <f>IFERROR(__xludf.DUMMYFUNCTION("""COMPUTED_VALUE"""),"4426")</f>
        <v>4426</v>
      </c>
      <c r="N191" s="65"/>
      <c r="O191" s="65" t="str">
        <f>IFERROR(__xludf.DUMMYFUNCTION("""COMPUTED_VALUE"""),"45 West 10 Street Apt. 2F
New York, NY 10011  ")</f>
        <v>45 West 10 Street Apt. 2F
New York, NY 10011  </v>
      </c>
      <c r="P191" s="65"/>
    </row>
    <row r="192">
      <c r="A192" s="99" t="str">
        <f>IFERROR(__xludf.DUMMYFUNCTION("""COMPUTED_VALUE"""),"https://utrucking.com/admin/orders/5924876058812")</f>
        <v>https://utrucking.com/admin/orders/5924876058812</v>
      </c>
      <c r="B192" s="61" t="str">
        <f>IFERROR(__xludf.DUMMYFUNCTION("""COMPUTED_VALUE"""),"#15966")</f>
        <v>#15966</v>
      </c>
      <c r="C192" s="61"/>
      <c r="D192" s="61">
        <f>IFERROR(__xludf.DUMMYFUNCTION("""COMPUTED_VALUE"""),1.9176600385E10)</f>
        <v>19176600385</v>
      </c>
      <c r="E192" s="61" t="str">
        <f>IFERROR(__xludf.DUMMYFUNCTION("""COMPUTED_VALUE"""),"Lylah Ross")</f>
        <v>Lylah Ross</v>
      </c>
      <c r="F192" s="61"/>
      <c r="G192" s="61"/>
      <c r="H192" s="61" t="str">
        <f>IFERROR(__xludf.DUMMYFUNCTION("""COMPUTED_VALUE"""),"Nationwide Ship to School")</f>
        <v>Nationwide Ship to School</v>
      </c>
      <c r="I192" s="61" t="str">
        <f>IFERROR(__xludf.DUMMYFUNCTION("""COMPUTED_VALUE"""),"University Housing ")</f>
        <v>University Housing </v>
      </c>
      <c r="J192" s="107" t="str">
        <f>IFERROR(__xludf.DUMMYFUNCTION("""COMPUTED_VALUE"""),"03:00 PM to 05:00 PM ")</f>
        <v>03:00 PM to 05:00 PM </v>
      </c>
      <c r="K192" s="107">
        <f>IFERROR(__xludf.DUMMYFUNCTION("""COMPUTED_VALUE"""),45883.0)</f>
        <v>45883</v>
      </c>
      <c r="L192" s="61" t="str">
        <f>IFERROR(__xludf.DUMMYFUNCTION("""COMPUTED_VALUE"""),"Rutledge  ")</f>
        <v>Rutledge  </v>
      </c>
      <c r="M192" s="110" t="str">
        <f>IFERROR(__xludf.DUMMYFUNCTION("""COMPUTED_VALUE"""),"324 - a")</f>
        <v>324 - a</v>
      </c>
      <c r="N192" s="61"/>
      <c r="O192" s="61" t="str">
        <f>IFERROR(__xludf.DUMMYFUNCTION("""COMPUTED_VALUE"""),"101 Rutland Street
Watertown, MA 02472  ")</f>
        <v>101 Rutland Street
Watertown, MA 02472  </v>
      </c>
      <c r="P192" s="61"/>
    </row>
    <row r="193">
      <c r="A193" s="102" t="str">
        <f>IFERROR(__xludf.DUMMYFUNCTION("""COMPUTED_VALUE"""),"https://utrucking.com/admin/orders/5924892475580")</f>
        <v>https://utrucking.com/admin/orders/5924892475580</v>
      </c>
      <c r="B193" s="65" t="str">
        <f>IFERROR(__xludf.DUMMYFUNCTION("""COMPUTED_VALUE"""),"#15967")</f>
        <v>#15967</v>
      </c>
      <c r="C193" s="65"/>
      <c r="D193" s="65">
        <f>IFERROR(__xludf.DUMMYFUNCTION("""COMPUTED_VALUE"""),3.104182714E9)</f>
        <v>3104182714</v>
      </c>
      <c r="E193" s="65" t="str">
        <f>IFERROR(__xludf.DUMMYFUNCTION("""COMPUTED_VALUE"""),"Noa Levy")</f>
        <v>Noa Levy</v>
      </c>
      <c r="F193" s="65"/>
      <c r="G193" s="65"/>
      <c r="H193" s="65" t="str">
        <f>IFERROR(__xludf.DUMMYFUNCTION("""COMPUTED_VALUE"""),"Nationwide Ship to School")</f>
        <v>Nationwide Ship to School</v>
      </c>
      <c r="I193" s="65" t="str">
        <f>IFERROR(__xludf.DUMMYFUNCTION("""COMPUTED_VALUE"""),"University Housing ")</f>
        <v>University Housing </v>
      </c>
      <c r="J193" s="108" t="str">
        <f>IFERROR(__xludf.DUMMYFUNCTION("""COMPUTED_VALUE"""),"09:00 AM to 11:00 AM   ")</f>
        <v>09:00 AM to 11:00 AM   </v>
      </c>
      <c r="K193" s="108">
        <f>IFERROR(__xludf.DUMMYFUNCTION("""COMPUTED_VALUE"""),45883.0)</f>
        <v>45883</v>
      </c>
      <c r="L193" s="65" t="str">
        <f>IFERROR(__xludf.DUMMYFUNCTION("""COMPUTED_VALUE"""),"Dardick  ")</f>
        <v>Dardick  </v>
      </c>
      <c r="M193" s="111" t="str">
        <f>IFERROR(__xludf.DUMMYFUNCTION("""COMPUTED_VALUE"""),"4421")</f>
        <v>4421</v>
      </c>
      <c r="N193" s="65"/>
      <c r="O193" s="65" t="str">
        <f>IFERROR(__xludf.DUMMYFUNCTION("""COMPUTED_VALUE"""),"15709 Milbank St Encino CA 91436  ")</f>
        <v>15709 Milbank St Encino CA 91436  </v>
      </c>
      <c r="P193" s="65"/>
    </row>
    <row r="194">
      <c r="A194" s="99" t="str">
        <f>IFERROR(__xludf.DUMMYFUNCTION("""COMPUTED_VALUE"""),"https://utrucking.com/admin/orders/5924992647356")</f>
        <v>https://utrucking.com/admin/orders/5924992647356</v>
      </c>
      <c r="B194" s="61" t="str">
        <f>IFERROR(__xludf.DUMMYFUNCTION("""COMPUTED_VALUE"""),"#15970")</f>
        <v>#15970</v>
      </c>
      <c r="C194" s="61" t="str">
        <f>IFERROR(__xludf.DUMMYFUNCTION("""COMPUTED_VALUE"""),"dawmnlwin@gmail.com")</f>
        <v>dawmnlwin@gmail.com</v>
      </c>
      <c r="D194" s="61">
        <f>IFERROR(__xludf.DUMMYFUNCTION("""COMPUTED_VALUE"""),9.145649674E9)</f>
        <v>9145649674</v>
      </c>
      <c r="E194" s="61" t="str">
        <f>IFERROR(__xludf.DUMMYFUNCTION("""COMPUTED_VALUE"""),"Daw Lwin")</f>
        <v>Daw Lwin</v>
      </c>
      <c r="F194" s="61"/>
      <c r="G194" s="61"/>
      <c r="H194" s="61" t="str">
        <f>IFERROR(__xludf.DUMMYFUNCTION("""COMPUTED_VALUE"""),"Nationwide Ship to School")</f>
        <v>Nationwide Ship to School</v>
      </c>
      <c r="I194" s="61" t="str">
        <f>IFERROR(__xludf.DUMMYFUNCTION("""COMPUTED_VALUE"""),"University Housing ")</f>
        <v>University Housing </v>
      </c>
      <c r="J194" s="107" t="str">
        <f>IFERROR(__xludf.DUMMYFUNCTION("""COMPUTED_VALUE"""),"09:00 AM to 11:00 AM   ")</f>
        <v>09:00 AM to 11:00 AM   </v>
      </c>
      <c r="K194" s="107">
        <f>IFERROR(__xludf.DUMMYFUNCTION("""COMPUTED_VALUE"""),45883.0)</f>
        <v>45883</v>
      </c>
      <c r="L194" s="61" t="str">
        <f>IFERROR(__xludf.DUMMYFUNCTION("""COMPUTED_VALUE"""),"Lien  ")</f>
        <v>Lien  </v>
      </c>
      <c r="M194" s="110" t="str">
        <f>IFERROR(__xludf.DUMMYFUNCTION("""COMPUTED_VALUE"""),"1115-b")</f>
        <v>1115-b</v>
      </c>
      <c r="N194" s="61"/>
      <c r="O194" s="61" t="str">
        <f>IFERROR(__xludf.DUMMYFUNCTION("""COMPUTED_VALUE"""),"10 Cherry Ln, Scarsdale, NY 10583  ")</f>
        <v>10 Cherry Ln, Scarsdale, NY 10583  </v>
      </c>
      <c r="P194" s="61"/>
    </row>
    <row r="195">
      <c r="A195" s="102" t="str">
        <f>IFERROR(__xludf.DUMMYFUNCTION("""COMPUTED_VALUE"""),"https://utrucking.com/admin/orders/5925051433148")</f>
        <v>https://utrucking.com/admin/orders/5925051433148</v>
      </c>
      <c r="B195" s="65" t="str">
        <f>IFERROR(__xludf.DUMMYFUNCTION("""COMPUTED_VALUE"""),"#15973")</f>
        <v>#15973</v>
      </c>
      <c r="C195" s="65" t="str">
        <f>IFERROR(__xludf.DUMMYFUNCTION("""COMPUTED_VALUE"""),"ayam102ayam@gmail.com")</f>
        <v>ayam102ayam@gmail.com</v>
      </c>
      <c r="D195" s="65">
        <f>IFERROR(__xludf.DUMMYFUNCTION("""COMPUTED_VALUE"""),9.54661224E9)</f>
        <v>9546612240</v>
      </c>
      <c r="E195" s="65" t="str">
        <f>IFERROR(__xludf.DUMMYFUNCTION("""COMPUTED_VALUE"""),"Maya Miller")</f>
        <v>Maya Miller</v>
      </c>
      <c r="F195" s="65"/>
      <c r="G195" s="65"/>
      <c r="H195" s="65" t="str">
        <f>IFERROR(__xludf.DUMMYFUNCTION("""COMPUTED_VALUE"""),"Nationwide Ship to School")</f>
        <v>Nationwide Ship to School</v>
      </c>
      <c r="I195" s="65" t="str">
        <f>IFERROR(__xludf.DUMMYFUNCTION("""COMPUTED_VALUE"""),"University Housing ")</f>
        <v>University Housing </v>
      </c>
      <c r="J195" s="108" t="str">
        <f>IFERROR(__xludf.DUMMYFUNCTION("""COMPUTED_VALUE"""),"09:00 AM to 11:00 AM   ")</f>
        <v>09:00 AM to 11:00 AM   </v>
      </c>
      <c r="K195" s="108">
        <f>IFERROR(__xludf.DUMMYFUNCTION("""COMPUTED_VALUE"""),45883.0)</f>
        <v>45883</v>
      </c>
      <c r="L195" s="65" t="str">
        <f>IFERROR(__xludf.DUMMYFUNCTION("""COMPUTED_VALUE"""),"Eliot A  ")</f>
        <v>Eliot A  </v>
      </c>
      <c r="M195" s="111" t="str">
        <f>IFERROR(__xludf.DUMMYFUNCTION("""COMPUTED_VALUE"""),"1072")</f>
        <v>1072</v>
      </c>
      <c r="N195" s="65"/>
      <c r="O195" s="65" t="str">
        <f>IFERROR(__xludf.DUMMYFUNCTION("""COMPUTED_VALUE"""),"3348 SW 49th Street, Fort Lauderdale, Florida, 33312  ")</f>
        <v>3348 SW 49th Street, Fort Lauderdale, Florida, 33312  </v>
      </c>
      <c r="P195" s="65"/>
    </row>
    <row r="196">
      <c r="A196" s="99" t="str">
        <f>IFERROR(__xludf.DUMMYFUNCTION("""COMPUTED_VALUE"""),"https://utrucking.com/admin/orders/5925054742716")</f>
        <v>https://utrucking.com/admin/orders/5925054742716</v>
      </c>
      <c r="B196" s="61" t="str">
        <f>IFERROR(__xludf.DUMMYFUNCTION("""COMPUTED_VALUE"""),"#15974")</f>
        <v>#15974</v>
      </c>
      <c r="C196" s="61" t="str">
        <f>IFERROR(__xludf.DUMMYFUNCTION("""COMPUTED_VALUE"""),"aedanvirgulto@gmail.com")</f>
        <v>aedanvirgulto@gmail.com</v>
      </c>
      <c r="D196" s="61">
        <f>IFERROR(__xludf.DUMMYFUNCTION("""COMPUTED_VALUE"""),1.2036877978E10)</f>
        <v>12036877978</v>
      </c>
      <c r="E196" s="61" t="str">
        <f>IFERROR(__xludf.DUMMYFUNCTION("""COMPUTED_VALUE"""),"Aedan Virgulto")</f>
        <v>Aedan Virgulto</v>
      </c>
      <c r="F196" s="61"/>
      <c r="G196" s="61"/>
      <c r="H196" s="61" t="str">
        <f>IFERROR(__xludf.DUMMYFUNCTION("""COMPUTED_VALUE"""),"Nationwide Ship to School")</f>
        <v>Nationwide Ship to School</v>
      </c>
      <c r="I196" s="61" t="str">
        <f>IFERROR(__xludf.DUMMYFUNCTION("""COMPUTED_VALUE"""),"University Housing ")</f>
        <v>University Housing </v>
      </c>
      <c r="J196" s="107" t="str">
        <f>IFERROR(__xludf.DUMMYFUNCTION("""COMPUTED_VALUE"""),"09:00 AM to 11:00 AM   ")</f>
        <v>09:00 AM to 11:00 AM   </v>
      </c>
      <c r="K196" s="107">
        <f>IFERROR(__xludf.DUMMYFUNCTION("""COMPUTED_VALUE"""),45883.0)</f>
        <v>45883</v>
      </c>
      <c r="L196" s="61" t="str">
        <f>IFERROR(__xludf.DUMMYFUNCTION("""COMPUTED_VALUE"""),"Dauten  ")</f>
        <v>Dauten  </v>
      </c>
      <c r="M196" s="110" t="str">
        <f>IFERROR(__xludf.DUMMYFUNCTION("""COMPUTED_VALUE"""),"244")</f>
        <v>244</v>
      </c>
      <c r="N196" s="61"/>
      <c r="O196" s="61" t="str">
        <f>IFERROR(__xludf.DUMMYFUNCTION("""COMPUTED_VALUE"""),"30 Pond View Lane
Madison, CT 06443  ")</f>
        <v>30 Pond View Lane
Madison, CT 06443  </v>
      </c>
      <c r="P196" s="61"/>
    </row>
    <row r="197">
      <c r="A197" s="102" t="str">
        <f>IFERROR(__xludf.DUMMYFUNCTION("""COMPUTED_VALUE"""),"https://utrucking.com/admin/orders/5925068570812")</f>
        <v>https://utrucking.com/admin/orders/5925068570812</v>
      </c>
      <c r="B197" s="65" t="str">
        <f>IFERROR(__xludf.DUMMYFUNCTION("""COMPUTED_VALUE"""),"#15975")</f>
        <v>#15975</v>
      </c>
      <c r="C197" s="65" t="str">
        <f>IFERROR(__xludf.DUMMYFUNCTION("""COMPUTED_VALUE"""),"jeanlopezuzho@gmail.com")</f>
        <v>jeanlopezuzho@gmail.com</v>
      </c>
      <c r="D197" s="65">
        <f>IFERROR(__xludf.DUMMYFUNCTION("""COMPUTED_VALUE"""),9.293539947E9)</f>
        <v>9293539947</v>
      </c>
      <c r="E197" s="65" t="str">
        <f>IFERROR(__xludf.DUMMYFUNCTION("""COMPUTED_VALUE"""),"Jean Lopez")</f>
        <v>Jean Lopez</v>
      </c>
      <c r="F197" s="65"/>
      <c r="G197" s="65"/>
      <c r="H197" s="65" t="str">
        <f>IFERROR(__xludf.DUMMYFUNCTION("""COMPUTED_VALUE"""),"Nationwide Ship to School")</f>
        <v>Nationwide Ship to School</v>
      </c>
      <c r="I197" s="65" t="str">
        <f>IFERROR(__xludf.DUMMYFUNCTION("""COMPUTED_VALUE"""),"University Housing ")</f>
        <v>University Housing </v>
      </c>
      <c r="J197" s="108" t="str">
        <f>IFERROR(__xludf.DUMMYFUNCTION("""COMPUTED_VALUE"""),"10:00 AM to 12:00 PM   ")</f>
        <v>10:00 AM to 12:00 PM   </v>
      </c>
      <c r="K197" s="108">
        <f>IFERROR(__xludf.DUMMYFUNCTION("""COMPUTED_VALUE"""),45883.0)</f>
        <v>45883</v>
      </c>
      <c r="L197" s="65" t="str">
        <f>IFERROR(__xludf.DUMMYFUNCTION("""COMPUTED_VALUE"""),"Rutledge  ")</f>
        <v>Rutledge  </v>
      </c>
      <c r="M197" s="111" t="str">
        <f>IFERROR(__xludf.DUMMYFUNCTION("""COMPUTED_VALUE"""),"224")</f>
        <v>224</v>
      </c>
      <c r="N197" s="65"/>
      <c r="O197" s="65" t="str">
        <f>IFERROR(__xludf.DUMMYFUNCTION("""COMPUTED_VALUE"""),"9045 144th Place
Jamaica, NY 11435  ")</f>
        <v>9045 144th Place
Jamaica, NY 11435  </v>
      </c>
      <c r="P197" s="65"/>
    </row>
    <row r="198">
      <c r="A198" s="99" t="str">
        <f>IFERROR(__xludf.DUMMYFUNCTION("""COMPUTED_VALUE"""),"https://utrucking.com/admin/orders/5925124243644")</f>
        <v>https://utrucking.com/admin/orders/5925124243644</v>
      </c>
      <c r="B198" s="61" t="str">
        <f>IFERROR(__xludf.DUMMYFUNCTION("""COMPUTED_VALUE"""),"#15978")</f>
        <v>#15978</v>
      </c>
      <c r="C198" s="61" t="str">
        <f>IFERROR(__xludf.DUMMYFUNCTION("""COMPUTED_VALUE"""),"l.lumi@wustl.edu")</f>
        <v>l.lumi@wustl.edu</v>
      </c>
      <c r="D198" s="61">
        <f>IFERROR(__xludf.DUMMYFUNCTION("""COMPUTED_VALUE"""),2.133082438E9)</f>
        <v>2133082438</v>
      </c>
      <c r="E198" s="61" t="str">
        <f>IFERROR(__xludf.DUMMYFUNCTION("""COMPUTED_VALUE"""),"Lumi Lee")</f>
        <v>Lumi Lee</v>
      </c>
      <c r="F198" s="61"/>
      <c r="G198" s="61"/>
      <c r="H198" s="61" t="str">
        <f>IFERROR(__xludf.DUMMYFUNCTION("""COMPUTED_VALUE"""),"Nationwide Ship to School")</f>
        <v>Nationwide Ship to School</v>
      </c>
      <c r="I198" s="61" t="str">
        <f>IFERROR(__xludf.DUMMYFUNCTION("""COMPUTED_VALUE"""),"University Housing ")</f>
        <v>University Housing </v>
      </c>
      <c r="J198" s="107" t="str">
        <f>IFERROR(__xludf.DUMMYFUNCTION("""COMPUTED_VALUE"""),"09:00 AM to 11:00 AM   ")</f>
        <v>09:00 AM to 11:00 AM   </v>
      </c>
      <c r="K198" s="107">
        <f>IFERROR(__xludf.DUMMYFUNCTION("""COMPUTED_VALUE"""),45883.0)</f>
        <v>45883</v>
      </c>
      <c r="L198" s="61" t="str">
        <f>IFERROR(__xludf.DUMMYFUNCTION("""COMPUTED_VALUE"""),"Wheeler  ")</f>
        <v>Wheeler  </v>
      </c>
      <c r="M198" s="110" t="str">
        <f>IFERROR(__xludf.DUMMYFUNCTION("""COMPUTED_VALUE"""),"1011")</f>
        <v>1011</v>
      </c>
      <c r="N198" s="61"/>
      <c r="O198" s="61" t="str">
        <f>IFERROR(__xludf.DUMMYFUNCTION("""COMPUTED_VALUE"""),"4460 Wilshire Blvd apt 701 Los Angeles CA 90010  ")</f>
        <v>4460 Wilshire Blvd apt 701 Los Angeles CA 90010  </v>
      </c>
      <c r="P198" s="61"/>
    </row>
    <row r="199">
      <c r="A199" s="102" t="str">
        <f>IFERROR(__xludf.DUMMYFUNCTION("""COMPUTED_VALUE"""),"https://utrucking.com/admin/orders/5925165138108")</f>
        <v>https://utrucking.com/admin/orders/5925165138108</v>
      </c>
      <c r="B199" s="65" t="str">
        <f>IFERROR(__xludf.DUMMYFUNCTION("""COMPUTED_VALUE"""),"#15979")</f>
        <v>#15979</v>
      </c>
      <c r="C199" s="65" t="str">
        <f>IFERROR(__xludf.DUMMYFUNCTION("""COMPUTED_VALUE"""),"jamie4169@icloud.com")</f>
        <v>jamie4169@icloud.com</v>
      </c>
      <c r="D199" s="65"/>
      <c r="E199" s="65" t="str">
        <f>IFERROR(__xludf.DUMMYFUNCTION("""COMPUTED_VALUE"""),"Jamie Greenberg")</f>
        <v>Jamie Greenberg</v>
      </c>
      <c r="F199" s="65"/>
      <c r="G199" s="65"/>
      <c r="H199" s="65" t="str">
        <f>IFERROR(__xludf.DUMMYFUNCTION("""COMPUTED_VALUE"""),"Nationwide Ship to School")</f>
        <v>Nationwide Ship to School</v>
      </c>
      <c r="I199" s="65" t="str">
        <f>IFERROR(__xludf.DUMMYFUNCTION("""COMPUTED_VALUE"""),"University Housing ")</f>
        <v>University Housing </v>
      </c>
      <c r="J199" s="108" t="str">
        <f>IFERROR(__xludf.DUMMYFUNCTION("""COMPUTED_VALUE"""),"10:00 AM to 12:00 PM   ")</f>
        <v>10:00 AM to 12:00 PM   </v>
      </c>
      <c r="K199" s="108">
        <f>IFERROR(__xludf.DUMMYFUNCTION("""COMPUTED_VALUE"""),45891.0)</f>
        <v>45891</v>
      </c>
      <c r="L199" s="65" t="str">
        <f>IFERROR(__xludf.DUMMYFUNCTION("""COMPUTED_VALUE"""),"Loop Loft 6300  ")</f>
        <v>Loop Loft 6300  </v>
      </c>
      <c r="M199" s="111" t="str">
        <f>IFERROR(__xludf.DUMMYFUNCTION("""COMPUTED_VALUE"""),"404c")</f>
        <v>404c</v>
      </c>
      <c r="N199" s="65"/>
      <c r="O199" s="65" t="str">
        <f>IFERROR(__xludf.DUMMYFUNCTION("""COMPUTED_VALUE"""),"24520 Wingfield Rd  ")</f>
        <v>24520 Wingfield Rd  </v>
      </c>
      <c r="P199" s="65"/>
    </row>
    <row r="200">
      <c r="A200" s="99" t="str">
        <f>IFERROR(__xludf.DUMMYFUNCTION("""COMPUTED_VALUE"""),"https://utrucking.com/admin/orders/5925328519356")</f>
        <v>https://utrucking.com/admin/orders/5925328519356</v>
      </c>
      <c r="B200" s="61" t="str">
        <f>IFERROR(__xludf.DUMMYFUNCTION("""COMPUTED_VALUE"""),"#15980")</f>
        <v>#15980</v>
      </c>
      <c r="C200" s="61" t="str">
        <f>IFERROR(__xludf.DUMMYFUNCTION("""COMPUTED_VALUE"""),"kennsha06@gmail.com")</f>
        <v>kennsha06@gmail.com</v>
      </c>
      <c r="D200" s="61">
        <f>IFERROR(__xludf.DUMMYFUNCTION("""COMPUTED_VALUE"""),2.167604743E9)</f>
        <v>2167604743</v>
      </c>
      <c r="E200" s="61" t="str">
        <f>IFERROR(__xludf.DUMMYFUNCTION("""COMPUTED_VALUE"""),"Kenn’Sha Ward")</f>
        <v>Kenn’Sha Ward</v>
      </c>
      <c r="F200" s="61"/>
      <c r="G200" s="61"/>
      <c r="H200" s="61" t="str">
        <f>IFERROR(__xludf.DUMMYFUNCTION("""COMPUTED_VALUE"""),"Nationwide Ship to School")</f>
        <v>Nationwide Ship to School</v>
      </c>
      <c r="I200" s="61" t="str">
        <f>IFERROR(__xludf.DUMMYFUNCTION("""COMPUTED_VALUE"""),"University Housing ")</f>
        <v>University Housing </v>
      </c>
      <c r="J200" s="107" t="str">
        <f>IFERROR(__xludf.DUMMYFUNCTION("""COMPUTED_VALUE"""),"09:00 AM to 11:00 AM   ")</f>
        <v>09:00 AM to 11:00 AM   </v>
      </c>
      <c r="K200" s="107">
        <f>IFERROR(__xludf.DUMMYFUNCTION("""COMPUTED_VALUE"""),45883.0)</f>
        <v>45883</v>
      </c>
      <c r="L200" s="61" t="str">
        <f>IFERROR(__xludf.DUMMYFUNCTION("""COMPUTED_VALUE"""),"DON'T KNOW YET (put 'XXX' for room #)")</f>
        <v>DON'T KNOW YET (put 'XXX' for room #)</v>
      </c>
      <c r="M200" s="110" t="str">
        <f>IFERROR(__xludf.DUMMYFUNCTION("""COMPUTED_VALUE"""),"xxx")</f>
        <v>xxx</v>
      </c>
      <c r="N200" s="61"/>
      <c r="O200" s="61" t="str">
        <f>IFERROR(__xludf.DUMMYFUNCTION("""COMPUTED_VALUE"""),"7022 Kinsman Road 44104 Cleveland Ohio  ")</f>
        <v>7022 Kinsman Road 44104 Cleveland Ohio  </v>
      </c>
      <c r="P200" s="61"/>
    </row>
    <row r="201">
      <c r="A201" s="102" t="str">
        <f>IFERROR(__xludf.DUMMYFUNCTION("""COMPUTED_VALUE"""),"https://utrucking.com/admin/orders/5925454807228")</f>
        <v>https://utrucking.com/admin/orders/5925454807228</v>
      </c>
      <c r="B201" s="65" t="str">
        <f>IFERROR(__xludf.DUMMYFUNCTION("""COMPUTED_VALUE"""),"#15983")</f>
        <v>#15983</v>
      </c>
      <c r="C201" s="65" t="str">
        <f>IFERROR(__xludf.DUMMYFUNCTION("""COMPUTED_VALUE"""),"lisabutler4267@gmail.com")</f>
        <v>lisabutler4267@gmail.com</v>
      </c>
      <c r="D201" s="65">
        <f>IFERROR(__xludf.DUMMYFUNCTION("""COMPUTED_VALUE"""),1.9083770194E10)</f>
        <v>19083770194</v>
      </c>
      <c r="E201" s="65" t="str">
        <f>IFERROR(__xludf.DUMMYFUNCTION("""COMPUTED_VALUE"""),"Lisa Butler")</f>
        <v>Lisa Butler</v>
      </c>
      <c r="F201" s="65"/>
      <c r="G201" s="65"/>
      <c r="H201" s="65" t="str">
        <f>IFERROR(__xludf.DUMMYFUNCTION("""COMPUTED_VALUE"""),"Nationwide Ship to School")</f>
        <v>Nationwide Ship to School</v>
      </c>
      <c r="I201" s="65" t="str">
        <f>IFERROR(__xludf.DUMMYFUNCTION("""COMPUTED_VALUE"""),"University Housing ")</f>
        <v>University Housing </v>
      </c>
      <c r="J201" s="108" t="str">
        <f>IFERROR(__xludf.DUMMYFUNCTION("""COMPUTED_VALUE"""),"11:00 AM to 01:00 PM   ")</f>
        <v>11:00 AM to 01:00 PM   </v>
      </c>
      <c r="K201" s="108">
        <f>IFERROR(__xludf.DUMMYFUNCTION("""COMPUTED_VALUE"""),45891.0)</f>
        <v>45891</v>
      </c>
      <c r="L201" s="65" t="str">
        <f>IFERROR(__xludf.DUMMYFUNCTION("""COMPUTED_VALUE"""),"House 21 (Alpha Epsilon Pi)  ")</f>
        <v>House 21 (Alpha Epsilon Pi)  </v>
      </c>
      <c r="M201" s="111" t="str">
        <f>IFERROR(__xludf.DUMMYFUNCTION("""COMPUTED_VALUE"""),"2061")</f>
        <v>2061</v>
      </c>
      <c r="N201" s="65"/>
      <c r="O201" s="65" t="str">
        <f>IFERROR(__xludf.DUMMYFUNCTION("""COMPUTED_VALUE"""),"50 Parmley Place 101
Summit, NJ 07901  ")</f>
        <v>50 Parmley Place 101
Summit, NJ 07901  </v>
      </c>
      <c r="P201" s="65"/>
    </row>
    <row r="202">
      <c r="A202" s="99" t="str">
        <f>IFERROR(__xludf.DUMMYFUNCTION("""COMPUTED_VALUE"""),"https://utrucking.com/products/storage-item-return")</f>
        <v>https://utrucking.com/products/storage-item-return</v>
      </c>
      <c r="B202" s="61" t="str">
        <f>IFERROR(__xludf.DUMMYFUNCTION("""COMPUTED_VALUE"""),"#15984")</f>
        <v>#15984</v>
      </c>
      <c r="C202" s="61" t="str">
        <f>IFERROR(__xludf.DUMMYFUNCTION("""COMPUTED_VALUE"""),"jennifermaxell@gmail.com")</f>
        <v>jennifermaxell@gmail.com</v>
      </c>
      <c r="D202" s="61"/>
      <c r="E202" s="61" t="str">
        <f>IFERROR(__xludf.DUMMYFUNCTION("""COMPUTED_VALUE"""),"Jennifer Maxell")</f>
        <v>Jennifer Maxell</v>
      </c>
      <c r="F202" s="61"/>
      <c r="G202" s="61"/>
      <c r="H202" s="61" t="str">
        <f>IFERROR(__xludf.DUMMYFUNCTION("""COMPUTED_VALUE"""),"Nationwide Ship to School")</f>
        <v>Nationwide Ship to School</v>
      </c>
      <c r="I202" s="61" t="str">
        <f>IFERROR(__xludf.DUMMYFUNCTION("""COMPUTED_VALUE"""),"University Housing ")</f>
        <v>University Housing </v>
      </c>
      <c r="J202" s="107" t="str">
        <f>IFERROR(__xludf.DUMMYFUNCTION("""COMPUTED_VALUE"""),"09:00 AM to 11:00 AM   ")</f>
        <v>09:00 AM to 11:00 AM   </v>
      </c>
      <c r="K202" s="107">
        <f>IFERROR(__xludf.DUMMYFUNCTION("""COMPUTED_VALUE"""),45881.0)</f>
        <v>45881</v>
      </c>
      <c r="L202" s="61" t="str">
        <f>IFERROR(__xludf.DUMMYFUNCTION("""COMPUTED_VALUE"""),"DON'T KNOW YET (put 'XXX' for room #)")</f>
        <v>DON'T KNOW YET (put 'XXX' for room #)</v>
      </c>
      <c r="M202" s="110" t="str">
        <f>IFERROR(__xludf.DUMMYFUNCTION("""COMPUTED_VALUE"""),"XXX")</f>
        <v>XXX</v>
      </c>
      <c r="N202" s="61"/>
      <c r="O202" s="61" t="str">
        <f>IFERROR(__xludf.DUMMYFUNCTION("""COMPUTED_VALUE"""),"5025 Duxford Drive, Smyrna, GA 30082  ")</f>
        <v>5025 Duxford Drive, Smyrna, GA 30082  </v>
      </c>
      <c r="P202" s="61"/>
    </row>
    <row r="203">
      <c r="A203" s="102" t="str">
        <f>IFERROR(__xludf.DUMMYFUNCTION("""COMPUTED_VALUE"""),"https://utrucking.com/admin/orders/5925521850556")</f>
        <v>https://utrucking.com/admin/orders/5925521850556</v>
      </c>
      <c r="B203" s="65" t="str">
        <f>IFERROR(__xludf.DUMMYFUNCTION("""COMPUTED_VALUE"""),"#15986")</f>
        <v>#15986</v>
      </c>
      <c r="C203" s="65" t="str">
        <f>IFERROR(__xludf.DUMMYFUNCTION("""COMPUTED_VALUE"""),"iserlohn802@gmail.com")</f>
        <v>iserlohn802@gmail.com</v>
      </c>
      <c r="D203" s="65">
        <f>IFERROR(__xludf.DUMMYFUNCTION("""COMPUTED_VALUE"""),5.572150038E9)</f>
        <v>5572150038</v>
      </c>
      <c r="E203" s="65" t="str">
        <f>IFERROR(__xludf.DUMMYFUNCTION("""COMPUTED_VALUE"""),"yuehan hu")</f>
        <v>yuehan hu</v>
      </c>
      <c r="F203" s="65"/>
      <c r="G203" s="65"/>
      <c r="H203" s="65" t="str">
        <f>IFERROR(__xludf.DUMMYFUNCTION("""COMPUTED_VALUE"""),"Nationwide Ship to School")</f>
        <v>Nationwide Ship to School</v>
      </c>
      <c r="I203" s="65" t="str">
        <f>IFERROR(__xludf.DUMMYFUNCTION("""COMPUTED_VALUE"""),"University Housing ")</f>
        <v>University Housing </v>
      </c>
      <c r="J203" s="108" t="str">
        <f>IFERROR(__xludf.DUMMYFUNCTION("""COMPUTED_VALUE"""),"11:00 AM to 01:00 PM   ")</f>
        <v>11:00 AM to 01:00 PM   </v>
      </c>
      <c r="K203" s="108">
        <f>IFERROR(__xludf.DUMMYFUNCTION("""COMPUTED_VALUE"""),45892.0)</f>
        <v>45892</v>
      </c>
      <c r="L203" s="65" t="str">
        <f>IFERROR(__xludf.DUMMYFUNCTION("""COMPUTED_VALUE"""),"Nemerov  ")</f>
        <v>Nemerov  </v>
      </c>
      <c r="M203" s="111" t="str">
        <f>IFERROR(__xludf.DUMMYFUNCTION("""COMPUTED_VALUE"""),"Nemerov - 3061 - a")</f>
        <v>Nemerov - 3061 - a</v>
      </c>
      <c r="N203" s="65"/>
      <c r="O203" s="65" t="str">
        <f>IFERROR(__xludf.DUMMYFUNCTION("""COMPUTED_VALUE"""),"John Hu
MSC 85191
6515 Wydown Blvd.
St. Louis, MO 63105  ")</f>
        <v>John Hu
MSC 85191
6515 Wydown Blvd.
St. Louis, MO 63105  </v>
      </c>
      <c r="P203" s="65"/>
    </row>
    <row r="204">
      <c r="A204" s="99" t="str">
        <f>IFERROR(__xludf.DUMMYFUNCTION("""COMPUTED_VALUE"""),"https://utrucking.com/admin/orders/5925604294844")</f>
        <v>https://utrucking.com/admin/orders/5925604294844</v>
      </c>
      <c r="B204" s="61" t="str">
        <f>IFERROR(__xludf.DUMMYFUNCTION("""COMPUTED_VALUE"""),"#15988")</f>
        <v>#15988</v>
      </c>
      <c r="C204" s="61" t="str">
        <f>IFERROR(__xludf.DUMMYFUNCTION("""COMPUTED_VALUE"""),"asatyr1@comcast.net")</f>
        <v>asatyr1@comcast.net</v>
      </c>
      <c r="D204" s="61">
        <f>IFERROR(__xludf.DUMMYFUNCTION("""COMPUTED_VALUE"""),3.123392715E9)</f>
        <v>3123392715</v>
      </c>
      <c r="E204" s="61" t="str">
        <f>IFERROR(__xludf.DUMMYFUNCTION("""COMPUTED_VALUE"""),"Allison Satyr")</f>
        <v>Allison Satyr</v>
      </c>
      <c r="F204" s="61"/>
      <c r="G204" s="61"/>
      <c r="H204" s="61" t="str">
        <f>IFERROR(__xludf.DUMMYFUNCTION("""COMPUTED_VALUE"""),"Nationwide Ship to School")</f>
        <v>Nationwide Ship to School</v>
      </c>
      <c r="I204" s="61" t="str">
        <f>IFERROR(__xludf.DUMMYFUNCTION("""COMPUTED_VALUE"""),"University Housing ")</f>
        <v>University Housing </v>
      </c>
      <c r="J204" s="107" t="str">
        <f>IFERROR(__xludf.DUMMYFUNCTION("""COMPUTED_VALUE"""),"09:00 AM to 11:00 AM   ")</f>
        <v>09:00 AM to 11:00 AM   </v>
      </c>
      <c r="K204" s="107">
        <f>IFERROR(__xludf.DUMMYFUNCTION("""COMPUTED_VALUE"""),45883.0)</f>
        <v>45883</v>
      </c>
      <c r="L204" s="61" t="str">
        <f>IFERROR(__xludf.DUMMYFUNCTION("""COMPUTED_VALUE"""),"Lopata  ")</f>
        <v>Lopata  </v>
      </c>
      <c r="M204" s="110" t="str">
        <f>IFERROR(__xludf.DUMMYFUNCTION("""COMPUTED_VALUE"""),"3093a")</f>
        <v>3093a</v>
      </c>
      <c r="N204" s="61"/>
      <c r="O204" s="61" t="str">
        <f>IFERROR(__xludf.DUMMYFUNCTION("""COMPUTED_VALUE"""),"665 Brierhill Road
Deerfield, IL  60015  ")</f>
        <v>665 Brierhill Road
Deerfield, IL  60015  </v>
      </c>
      <c r="P204" s="61" t="str">
        <f>IFERROR(__xludf.DUMMYFUNCTION("""COMPUTED_VALUE"""),"Cara Satyr - sophomore")</f>
        <v>Cara Satyr - sophomore</v>
      </c>
    </row>
    <row r="205">
      <c r="A205" s="102" t="str">
        <f>IFERROR(__xludf.DUMMYFUNCTION("""COMPUTED_VALUE"""),"https://utrucking.com/admin/orders/5925619433660")</f>
        <v>https://utrucking.com/admin/orders/5925619433660</v>
      </c>
      <c r="B205" s="65" t="str">
        <f>IFERROR(__xludf.DUMMYFUNCTION("""COMPUTED_VALUE"""),"#15989")</f>
        <v>#15989</v>
      </c>
      <c r="C205" s="65" t="str">
        <f>IFERROR(__xludf.DUMMYFUNCTION("""COMPUTED_VALUE"""),"asatyr1@comcast.net")</f>
        <v>asatyr1@comcast.net</v>
      </c>
      <c r="D205" s="65">
        <f>IFERROR(__xludf.DUMMYFUNCTION("""COMPUTED_VALUE"""),3.123392715E9)</f>
        <v>3123392715</v>
      </c>
      <c r="E205" s="65" t="str">
        <f>IFERROR(__xludf.DUMMYFUNCTION("""COMPUTED_VALUE"""),"Allison Satyr")</f>
        <v>Allison Satyr</v>
      </c>
      <c r="F205" s="65"/>
      <c r="G205" s="65" t="str">
        <f>IFERROR(__xludf.DUMMYFUNCTION("""COMPUTED_VALUE"""),"6148 Pershing Avenue
St. Louis, MO  63112")</f>
        <v>6148 Pershing Avenue
St. Louis, MO  63112</v>
      </c>
      <c r="H205" s="65" t="str">
        <f>IFERROR(__xludf.DUMMYFUNCTION("""COMPUTED_VALUE"""),"Nationwide Ship to School")</f>
        <v>Nationwide Ship to School</v>
      </c>
      <c r="I205" s="65" t="str">
        <f>IFERROR(__xludf.DUMMYFUNCTION("""COMPUTED_VALUE"""),"Non-University Housing ")</f>
        <v>Non-University Housing </v>
      </c>
      <c r="J205" s="108" t="str">
        <f>IFERROR(__xludf.DUMMYFUNCTION("""COMPUTED_VALUE"""),"01:00 PM to 03:00 PM   ")</f>
        <v>01:00 PM to 03:00 PM   </v>
      </c>
      <c r="K205" s="108">
        <f>IFERROR(__xludf.DUMMYFUNCTION("""COMPUTED_VALUE"""),45890.0)</f>
        <v>45890</v>
      </c>
      <c r="L205" s="65"/>
      <c r="M205" s="111"/>
      <c r="N205" s="65" t="str">
        <f>IFERROR(__xludf.DUMMYFUNCTION("""COMPUTED_VALUE"""),"6148 Pershing Avenue
St. Louis, MO  63112")</f>
        <v>6148 Pershing Avenue
St. Louis, MO  63112</v>
      </c>
      <c r="O205" s="65" t="str">
        <f>IFERROR(__xludf.DUMMYFUNCTION("""COMPUTED_VALUE"""),"665 Brierhill Road
Deerfield, IL  60015  ")</f>
        <v>665 Brierhill Road
Deerfield, IL  60015  </v>
      </c>
      <c r="P205" s="65" t="str">
        <f>IFERROR(__xludf.DUMMYFUNCTION("""COMPUTED_VALUE"""),"Jonah Satyr - senior")</f>
        <v>Jonah Satyr - senior</v>
      </c>
    </row>
    <row r="206">
      <c r="A206" s="99" t="str">
        <f>IFERROR(__xludf.DUMMYFUNCTION("""COMPUTED_VALUE"""),"https://admin.shopify.com/store/utrucking/orders/5926471401660?link_source=search")</f>
        <v>https://admin.shopify.com/store/utrucking/orders/5926471401660?link_source=search</v>
      </c>
      <c r="B206" s="61" t="str">
        <f>IFERROR(__xludf.DUMMYFUNCTION("""COMPUTED_VALUE"""),"#16012")</f>
        <v>#16012</v>
      </c>
      <c r="C206" s="61" t="str">
        <f>IFERROR(__xludf.DUMMYFUNCTION("""COMPUTED_VALUE"""),"juliebf@gmail.com")</f>
        <v>juliebf@gmail.com</v>
      </c>
      <c r="D206" s="61" t="str">
        <f>IFERROR(__xludf.DUMMYFUNCTION("""COMPUTED_VALUE"""),"917-693-1389")</f>
        <v>917-693-1389</v>
      </c>
      <c r="E206" s="61" t="str">
        <f>IFERROR(__xludf.DUMMYFUNCTION("""COMPUTED_VALUE"""),"Julie Fajgenbaum")</f>
        <v>Julie Fajgenbaum</v>
      </c>
      <c r="F206" s="61"/>
      <c r="G206" s="61"/>
      <c r="H206" s="61" t="str">
        <f>IFERROR(__xludf.DUMMYFUNCTION("""COMPUTED_VALUE"""),"Nationwide Ship to School")</f>
        <v>Nationwide Ship to School</v>
      </c>
      <c r="I206" s="61" t="str">
        <f>IFERROR(__xludf.DUMMYFUNCTION("""COMPUTED_VALUE"""),"University Housing ")</f>
        <v>University Housing </v>
      </c>
      <c r="J206" s="107"/>
      <c r="K206" s="107">
        <f>IFERROR(__xludf.DUMMYFUNCTION("""COMPUTED_VALUE"""),45883.0)</f>
        <v>45883</v>
      </c>
      <c r="L206" s="61" t="str">
        <f>IFERROR(__xludf.DUMMYFUNCTION("""COMPUTED_VALUE"""),"Park")</f>
        <v>Park</v>
      </c>
      <c r="M206" s="110" t="str">
        <f>IFERROR(__xludf.DUMMYFUNCTION("""COMPUTED_VALUE"""),"442b")</f>
        <v>442b</v>
      </c>
      <c r="N206" s="61"/>
      <c r="O206" s="61" t="str">
        <f>IFERROR(__xludf.DUMMYFUNCTION("""COMPUTED_VALUE"""),"124 West 16th St, 9
New York NY 10011")</f>
        <v>124 West 16th St, 9
New York NY 10011</v>
      </c>
      <c r="P206" s="61"/>
    </row>
    <row r="207">
      <c r="A207" s="102" t="str">
        <f>IFERROR(__xludf.DUMMYFUNCTION("""COMPUTED_VALUE"""),"https://utrucking.com/admin/orders/5926800982204")</f>
        <v>https://utrucking.com/admin/orders/5926800982204</v>
      </c>
      <c r="B207" s="65" t="str">
        <f>IFERROR(__xludf.DUMMYFUNCTION("""COMPUTED_VALUE"""),"#16019")</f>
        <v>#16019</v>
      </c>
      <c r="C207" s="65" t="str">
        <f>IFERROR(__xludf.DUMMYFUNCTION("""COMPUTED_VALUE"""),"amy_b_ross@hotmail.com")</f>
        <v>amy_b_ross@hotmail.com</v>
      </c>
      <c r="D207" s="65">
        <f>IFERROR(__xludf.DUMMYFUNCTION("""COMPUTED_VALUE"""),5.083410848E9)</f>
        <v>5083410848</v>
      </c>
      <c r="E207" s="65" t="str">
        <f>IFERROR(__xludf.DUMMYFUNCTION("""COMPUTED_VALUE"""),"Amy Ross")</f>
        <v>Amy Ross</v>
      </c>
      <c r="F207" s="65"/>
      <c r="G207" s="65"/>
      <c r="H207" s="65" t="str">
        <f>IFERROR(__xludf.DUMMYFUNCTION("""COMPUTED_VALUE"""),"Nationwide Ship to School")</f>
        <v>Nationwide Ship to School</v>
      </c>
      <c r="I207" s="65" t="str">
        <f>IFERROR(__xludf.DUMMYFUNCTION("""COMPUTED_VALUE"""),"University Housing ")</f>
        <v>University Housing </v>
      </c>
      <c r="J207" s="108" t="str">
        <f>IFERROR(__xludf.DUMMYFUNCTION("""COMPUTED_VALUE"""),"09:00 AM to 11:00 AM   ")</f>
        <v>09:00 AM to 11:00 AM   </v>
      </c>
      <c r="K207" s="108">
        <f>IFERROR(__xludf.DUMMYFUNCTION("""COMPUTED_VALUE"""),45888.0)</f>
        <v>45888</v>
      </c>
      <c r="L207" s="65" t="str">
        <f>IFERROR(__xludf.DUMMYFUNCTION("""COMPUTED_VALUE"""),"House 4 (Theta Xi)  ")</f>
        <v>House 4 (Theta Xi)  </v>
      </c>
      <c r="M207" s="111" t="str">
        <f>IFERROR(__xludf.DUMMYFUNCTION("""COMPUTED_VALUE"""),"306")</f>
        <v>306</v>
      </c>
      <c r="N207" s="65"/>
      <c r="O207" s="65" t="str">
        <f>IFERROR(__xludf.DUMMYFUNCTION("""COMPUTED_VALUE"""),"41 Stewart Road
Needham, MA 02492  ")</f>
        <v>41 Stewart Road
Needham, MA 02492  </v>
      </c>
      <c r="P207" s="65"/>
    </row>
    <row r="208">
      <c r="A208" s="99" t="str">
        <f>IFERROR(__xludf.DUMMYFUNCTION("""COMPUTED_VALUE"""),"https://utrucking.com/admin/orders/5927269367996")</f>
        <v>https://utrucking.com/admin/orders/5927269367996</v>
      </c>
      <c r="B208" s="61" t="str">
        <f>IFERROR(__xludf.DUMMYFUNCTION("""COMPUTED_VALUE"""),"#16036")</f>
        <v>#16036</v>
      </c>
      <c r="C208" s="61" t="str">
        <f>IFERROR(__xludf.DUMMYFUNCTION("""COMPUTED_VALUE"""),"b.j.rubel@wustl.edu")</f>
        <v>b.j.rubel@wustl.edu</v>
      </c>
      <c r="D208" s="61">
        <f>IFERROR(__xludf.DUMMYFUNCTION("""COMPUTED_VALUE"""),7.816262725E9)</f>
        <v>7816262725</v>
      </c>
      <c r="E208" s="61" t="str">
        <f>IFERROR(__xludf.DUMMYFUNCTION("""COMPUTED_VALUE"""),"Sarah Rubel")</f>
        <v>Sarah Rubel</v>
      </c>
      <c r="F208" s="61"/>
      <c r="G208" s="61"/>
      <c r="H208" s="61" t="str">
        <f>IFERROR(__xludf.DUMMYFUNCTION("""COMPUTED_VALUE"""),"Nationwide Ship to School")</f>
        <v>Nationwide Ship to School</v>
      </c>
      <c r="I208" s="61" t="str">
        <f>IFERROR(__xludf.DUMMYFUNCTION("""COMPUTED_VALUE"""),"University Housing ")</f>
        <v>University Housing </v>
      </c>
      <c r="J208" s="107" t="str">
        <f>IFERROR(__xludf.DUMMYFUNCTION("""COMPUTED_VALUE"""),"09:00 AM to 11:00 AM   ")</f>
        <v>09:00 AM to 11:00 AM   </v>
      </c>
      <c r="K208" s="107">
        <f>IFERROR(__xludf.DUMMYFUNCTION("""COMPUTED_VALUE"""),45883.0)</f>
        <v>45883</v>
      </c>
      <c r="L208" s="61" t="str">
        <f>IFERROR(__xludf.DUMMYFUNCTION("""COMPUTED_VALUE"""),"6639 University Drive  ")</f>
        <v>6639 University Drive  </v>
      </c>
      <c r="M208" s="110" t="str">
        <f>IFERROR(__xludf.DUMMYFUNCTION("""COMPUTED_VALUE"""),"2W-B")</f>
        <v>2W-B</v>
      </c>
      <c r="N208" s="61"/>
      <c r="O208" s="61" t="str">
        <f>IFERROR(__xludf.DUMMYFUNCTION("""COMPUTED_VALUE"""),"138 Sunset Rd.
Arlington, MA 02474  ")</f>
        <v>138 Sunset Rd.
Arlington, MA 02474  </v>
      </c>
      <c r="P208" s="61"/>
    </row>
    <row r="209">
      <c r="A209" s="102" t="str">
        <f>IFERROR(__xludf.DUMMYFUNCTION("""COMPUTED_VALUE"""),"https://utrucking.com/admin/orders/5928086175932")</f>
        <v>https://utrucking.com/admin/orders/5928086175932</v>
      </c>
      <c r="B209" s="65" t="str">
        <f>IFERROR(__xludf.DUMMYFUNCTION("""COMPUTED_VALUE"""),"#16058")</f>
        <v>#16058</v>
      </c>
      <c r="C209" s="65"/>
      <c r="D209" s="65">
        <f>IFERROR(__xludf.DUMMYFUNCTION("""COMPUTED_VALUE"""),3.108498258E9)</f>
        <v>3108498258</v>
      </c>
      <c r="E209" s="65" t="str">
        <f>IFERROR(__xludf.DUMMYFUNCTION("""COMPUTED_VALUE"""),"Olivia Lynas")</f>
        <v>Olivia Lynas</v>
      </c>
      <c r="F209" s="65"/>
      <c r="G209" s="65"/>
      <c r="H209" s="65" t="str">
        <f>IFERROR(__xludf.DUMMYFUNCTION("""COMPUTED_VALUE"""),"Nationwide Ship to School")</f>
        <v>Nationwide Ship to School</v>
      </c>
      <c r="I209" s="65" t="str">
        <f>IFERROR(__xludf.DUMMYFUNCTION("""COMPUTED_VALUE"""),"University Housing ")</f>
        <v>University Housing </v>
      </c>
      <c r="J209" s="108" t="str">
        <f>IFERROR(__xludf.DUMMYFUNCTION("""COMPUTED_VALUE"""),"09:00 AM to 11:00 AM   ")</f>
        <v>09:00 AM to 11:00 AM   </v>
      </c>
      <c r="K209" s="108">
        <f>IFERROR(__xludf.DUMMYFUNCTION("""COMPUTED_VALUE"""),45883.0)</f>
        <v>45883</v>
      </c>
      <c r="L209" s="65" t="str">
        <f>IFERROR(__xludf.DUMMYFUNCTION("""COMPUTED_VALUE"""),"Koenig  ")</f>
        <v>Koenig  </v>
      </c>
      <c r="M209" s="111" t="str">
        <f>IFERROR(__xludf.DUMMYFUNCTION("""COMPUTED_VALUE"""),"1107")</f>
        <v>1107</v>
      </c>
      <c r="N209" s="65"/>
      <c r="O209" s="65" t="str">
        <f>IFERROR(__xludf.DUMMYFUNCTION("""COMPUTED_VALUE"""),"3064 Manning Avenue, Los Angeles CA 90064  ")</f>
        <v>3064 Manning Avenue, Los Angeles CA 90064  </v>
      </c>
      <c r="P209" s="65"/>
    </row>
    <row r="210">
      <c r="A210" s="99" t="str">
        <f>IFERROR(__xludf.DUMMYFUNCTION("""COMPUTED_VALUE"""),"https://utrucking.com/admin/orders/5928523301052")</f>
        <v>https://utrucking.com/admin/orders/5928523301052</v>
      </c>
      <c r="B210" s="61" t="str">
        <f>IFERROR(__xludf.DUMMYFUNCTION("""COMPUTED_VALUE"""),"#16065")</f>
        <v>#16065</v>
      </c>
      <c r="C210" s="61" t="str">
        <f>IFERROR(__xludf.DUMMYFUNCTION("""COMPUTED_VALUE"""),"vivianrobles2019@gmail.com")</f>
        <v>vivianrobles2019@gmail.com</v>
      </c>
      <c r="D210" s="61">
        <f>IFERROR(__xludf.DUMMYFUNCTION("""COMPUTED_VALUE"""),1.9739819603E10)</f>
        <v>19739819603</v>
      </c>
      <c r="E210" s="61" t="str">
        <f>IFERROR(__xludf.DUMMYFUNCTION("""COMPUTED_VALUE"""),"Vivian robles pinos")</f>
        <v>Vivian robles pinos</v>
      </c>
      <c r="F210" s="61"/>
      <c r="G210" s="61"/>
      <c r="H210" s="61" t="str">
        <f>IFERROR(__xludf.DUMMYFUNCTION("""COMPUTED_VALUE"""),"Nationwide Ship to School")</f>
        <v>Nationwide Ship to School</v>
      </c>
      <c r="I210" s="61" t="str">
        <f>IFERROR(__xludf.DUMMYFUNCTION("""COMPUTED_VALUE"""),"University Housing ")</f>
        <v>University Housing </v>
      </c>
      <c r="J210" s="107" t="str">
        <f>IFERROR(__xludf.DUMMYFUNCTION("""COMPUTED_VALUE"""),"09:00 AM to 11:00 AM   ")</f>
        <v>09:00 AM to 11:00 AM   </v>
      </c>
      <c r="K210" s="107">
        <f>IFERROR(__xludf.DUMMYFUNCTION("""COMPUTED_VALUE"""),45883.0)</f>
        <v>45883</v>
      </c>
      <c r="L210" s="61" t="str">
        <f>IFERROR(__xludf.DUMMYFUNCTION("""COMPUTED_VALUE"""),"Lopata  ")</f>
        <v>Lopata  </v>
      </c>
      <c r="M210" s="110" t="str">
        <f>IFERROR(__xludf.DUMMYFUNCTION("""COMPUTED_VALUE"""),"2161a")</f>
        <v>2161a</v>
      </c>
      <c r="N210" s="61"/>
      <c r="O210" s="61" t="str">
        <f>IFERROR(__xludf.DUMMYFUNCTION("""COMPUTED_VALUE"""),"111 Lincoln Ave Apt 4C
Newark, NJ 07104  ")</f>
        <v>111 Lincoln Ave Apt 4C
Newark, NJ 07104  </v>
      </c>
      <c r="P210" s="61"/>
    </row>
    <row r="211">
      <c r="A211" s="102" t="str">
        <f>IFERROR(__xludf.DUMMYFUNCTION("""COMPUTED_VALUE"""),"https://utrucking.com/admin/orders/5928678195388")</f>
        <v>https://utrucking.com/admin/orders/5928678195388</v>
      </c>
      <c r="B211" s="65" t="str">
        <f>IFERROR(__xludf.DUMMYFUNCTION("""COMPUTED_VALUE"""),"#16075")</f>
        <v>#16075</v>
      </c>
      <c r="C211" s="65" t="str">
        <f>IFERROR(__xludf.DUMMYFUNCTION("""COMPUTED_VALUE"""),"revhamenon@gmail.com")</f>
        <v>revhamenon@gmail.com</v>
      </c>
      <c r="D211" s="65">
        <f>IFERROR(__xludf.DUMMYFUNCTION("""COMPUTED_VALUE"""),9.147582157E9)</f>
        <v>9147582157</v>
      </c>
      <c r="E211" s="65" t="str">
        <f>IFERROR(__xludf.DUMMYFUNCTION("""COMPUTED_VALUE"""),"Revha Menon")</f>
        <v>Revha Menon</v>
      </c>
      <c r="F211" s="65"/>
      <c r="G211" s="65"/>
      <c r="H211" s="65" t="str">
        <f>IFERROR(__xludf.DUMMYFUNCTION("""COMPUTED_VALUE"""),"Nationwide Ship to School")</f>
        <v>Nationwide Ship to School</v>
      </c>
      <c r="I211" s="65" t="str">
        <f>IFERROR(__xludf.DUMMYFUNCTION("""COMPUTED_VALUE"""),"University Housing ")</f>
        <v>University Housing </v>
      </c>
      <c r="J211" s="108" t="str">
        <f>IFERROR(__xludf.DUMMYFUNCTION("""COMPUTED_VALUE"""),"09:00 AM to 11:00 AM   ")</f>
        <v>09:00 AM to 11:00 AM   </v>
      </c>
      <c r="K211" s="108">
        <f>IFERROR(__xludf.DUMMYFUNCTION("""COMPUTED_VALUE"""),45883.0)</f>
        <v>45883</v>
      </c>
      <c r="L211" s="65" t="str">
        <f>IFERROR(__xludf.DUMMYFUNCTION("""COMPUTED_VALUE"""),"Beaumont  ")</f>
        <v>Beaumont  </v>
      </c>
      <c r="M211" s="111" t="str">
        <f>IFERROR(__xludf.DUMMYFUNCTION("""COMPUTED_VALUE"""),"208 a")</f>
        <v>208 a</v>
      </c>
      <c r="N211" s="65"/>
      <c r="O211" s="65" t="str">
        <f>IFERROR(__xludf.DUMMYFUNCTION("""COMPUTED_VALUE"""),"not necessary  ")</f>
        <v>not necessary  </v>
      </c>
      <c r="P211" s="65"/>
    </row>
    <row r="212">
      <c r="A212" s="99" t="str">
        <f>IFERROR(__xludf.DUMMYFUNCTION("""COMPUTED_VALUE"""),"https://utrucking.com/admin/orders/5928853864636")</f>
        <v>https://utrucking.com/admin/orders/5928853864636</v>
      </c>
      <c r="B212" s="61" t="str">
        <f>IFERROR(__xludf.DUMMYFUNCTION("""COMPUTED_VALUE"""),"#16078")</f>
        <v>#16078</v>
      </c>
      <c r="C212" s="61" t="str">
        <f>IFERROR(__xludf.DUMMYFUNCTION("""COMPUTED_VALUE"""),"kaminemehta@yahoo.com")</f>
        <v>kaminemehta@yahoo.com</v>
      </c>
      <c r="D212" s="61">
        <f>IFERROR(__xludf.DUMMYFUNCTION("""COMPUTED_VALUE"""),6.463519518E9)</f>
        <v>6463519518</v>
      </c>
      <c r="E212" s="61" t="str">
        <f>IFERROR(__xludf.DUMMYFUNCTION("""COMPUTED_VALUE"""),"Kamine Mehta")</f>
        <v>Kamine Mehta</v>
      </c>
      <c r="F212" s="61"/>
      <c r="G212" s="61"/>
      <c r="H212" s="61" t="str">
        <f>IFERROR(__xludf.DUMMYFUNCTION("""COMPUTED_VALUE"""),"Nationwide Ship to School")</f>
        <v>Nationwide Ship to School</v>
      </c>
      <c r="I212" s="61" t="str">
        <f>IFERROR(__xludf.DUMMYFUNCTION("""COMPUTED_VALUE"""),"University Housing ")</f>
        <v>University Housing </v>
      </c>
      <c r="J212" s="107" t="str">
        <f>IFERROR(__xludf.DUMMYFUNCTION("""COMPUTED_VALUE"""),"09:00 AM to 11:00 AM   ")</f>
        <v>09:00 AM to 11:00 AM   </v>
      </c>
      <c r="K212" s="107">
        <f>IFERROR(__xludf.DUMMYFUNCTION("""COMPUTED_VALUE"""),45880.0)</f>
        <v>45880</v>
      </c>
      <c r="L212" s="61" t="str">
        <f>IFERROR(__xludf.DUMMYFUNCTION("""COMPUTED_VALUE"""),"Gregg  ")</f>
        <v>Gregg  </v>
      </c>
      <c r="M212" s="110" t="str">
        <f>IFERROR(__xludf.DUMMYFUNCTION("""COMPUTED_VALUE"""),"3010")</f>
        <v>3010</v>
      </c>
      <c r="N212" s="61"/>
      <c r="O212" s="61" t="str">
        <f>IFERROR(__xludf.DUMMYFUNCTION("""COMPUTED_VALUE"""),"58 Old Connecticut Path
Wayland, MA 01778  ")</f>
        <v>58 Old Connecticut Path
Wayland, MA 01778  </v>
      </c>
      <c r="P212" s="61"/>
    </row>
    <row r="213">
      <c r="A213" s="102" t="str">
        <f>IFERROR(__xludf.DUMMYFUNCTION("""COMPUTED_VALUE"""),"https://utrucking.com/admin/orders/5928909177020")</f>
        <v>https://utrucking.com/admin/orders/5928909177020</v>
      </c>
      <c r="B213" s="65" t="str">
        <f>IFERROR(__xludf.DUMMYFUNCTION("""COMPUTED_VALUE"""),"#16080")</f>
        <v>#16080</v>
      </c>
      <c r="C213" s="65" t="str">
        <f>IFERROR(__xludf.DUMMYFUNCTION("""COMPUTED_VALUE"""),"efgabbay@gmail.com")</f>
        <v>efgabbay@gmail.com</v>
      </c>
      <c r="D213" s="65">
        <f>IFERROR(__xludf.DUMMYFUNCTION("""COMPUTED_VALUE"""),4.243531521E9)</f>
        <v>4243531521</v>
      </c>
      <c r="E213" s="65" t="str">
        <f>IFERROR(__xludf.DUMMYFUNCTION("""COMPUTED_VALUE"""),"Felix Otto")</f>
        <v>Felix Otto</v>
      </c>
      <c r="F213" s="65"/>
      <c r="G213" s="65"/>
      <c r="H213" s="65" t="str">
        <f>IFERROR(__xludf.DUMMYFUNCTION("""COMPUTED_VALUE"""),"Nationwide Ship to School")</f>
        <v>Nationwide Ship to School</v>
      </c>
      <c r="I213" s="65" t="str">
        <f>IFERROR(__xludf.DUMMYFUNCTION("""COMPUTED_VALUE"""),"University Housing ")</f>
        <v>University Housing </v>
      </c>
      <c r="J213" s="108" t="str">
        <f>IFERROR(__xludf.DUMMYFUNCTION("""COMPUTED_VALUE"""),"10:00 AM to 12:00 PM   ")</f>
        <v>10:00 AM to 12:00 PM   </v>
      </c>
      <c r="K213" s="108">
        <f>IFERROR(__xludf.DUMMYFUNCTION("""COMPUTED_VALUE"""),45883.0)</f>
        <v>45883</v>
      </c>
      <c r="L213" s="65" t="str">
        <f>IFERROR(__xludf.DUMMYFUNCTION("""COMPUTED_VALUE"""),"Hurd  ")</f>
        <v>Hurd  </v>
      </c>
      <c r="M213" s="111" t="str">
        <f>IFERROR(__xludf.DUMMYFUNCTION("""COMPUTED_VALUE"""),"334B")</f>
        <v>334B</v>
      </c>
      <c r="N213" s="65"/>
      <c r="O213" s="65" t="str">
        <f>IFERROR(__xludf.DUMMYFUNCTION("""COMPUTED_VALUE"""),"3720 Mountain View Ave.
LA, CA 90066  ")</f>
        <v>3720 Mountain View Ave.
LA, CA 90066  </v>
      </c>
      <c r="P213" s="65"/>
    </row>
    <row r="214">
      <c r="A214" s="99" t="str">
        <f>IFERROR(__xludf.DUMMYFUNCTION("""COMPUTED_VALUE"""),"https://utrucking.com/admin/orders/5929128624316")</f>
        <v>https://utrucking.com/admin/orders/5929128624316</v>
      </c>
      <c r="B214" s="61" t="str">
        <f>IFERROR(__xludf.DUMMYFUNCTION("""COMPUTED_VALUE"""),"#16085")</f>
        <v>#16085</v>
      </c>
      <c r="C214" s="61" t="str">
        <f>IFERROR(__xludf.DUMMYFUNCTION("""COMPUTED_VALUE"""),"August.y.moon@gmail.com")</f>
        <v>August.y.moon@gmail.com</v>
      </c>
      <c r="D214" s="61">
        <f>IFERROR(__xludf.DUMMYFUNCTION("""COMPUTED_VALUE"""),7.039807764E9)</f>
        <v>7039807764</v>
      </c>
      <c r="E214" s="61" t="str">
        <f>IFERROR(__xludf.DUMMYFUNCTION("""COMPUTED_VALUE"""),"August Moon")</f>
        <v>August Moon</v>
      </c>
      <c r="F214" s="61"/>
      <c r="G214" s="61"/>
      <c r="H214" s="61" t="str">
        <f>IFERROR(__xludf.DUMMYFUNCTION("""COMPUTED_VALUE"""),"Nationwide Ship to School")</f>
        <v>Nationwide Ship to School</v>
      </c>
      <c r="I214" s="61" t="str">
        <f>IFERROR(__xludf.DUMMYFUNCTION("""COMPUTED_VALUE"""),"University Housing ")</f>
        <v>University Housing </v>
      </c>
      <c r="J214" s="107" t="str">
        <f>IFERROR(__xludf.DUMMYFUNCTION("""COMPUTED_VALUE"""),"11:00 AM to 01:00 PM   ")</f>
        <v>11:00 AM to 01:00 PM   </v>
      </c>
      <c r="K214" s="107">
        <f>IFERROR(__xludf.DUMMYFUNCTION("""COMPUTED_VALUE"""),45892.0)</f>
        <v>45892</v>
      </c>
      <c r="L214" s="61" t="str">
        <f>IFERROR(__xludf.DUMMYFUNCTION("""COMPUTED_VALUE"""),"Gregg  ")</f>
        <v>Gregg  </v>
      </c>
      <c r="M214" s="110" t="str">
        <f>IFERROR(__xludf.DUMMYFUNCTION("""COMPUTED_VALUE"""),"3052")</f>
        <v>3052</v>
      </c>
      <c r="N214" s="61"/>
      <c r="O214" s="61" t="str">
        <f>IFERROR(__xludf.DUMMYFUNCTION("""COMPUTED_VALUE"""),"806 St Stephens Rd, Alexandria, VA 22304  ")</f>
        <v>806 St Stephens Rd, Alexandria, VA 22304  </v>
      </c>
      <c r="P214" s="61"/>
    </row>
    <row r="215">
      <c r="A215" s="102" t="str">
        <f>IFERROR(__xludf.DUMMYFUNCTION("""COMPUTED_VALUE"""),"https://utrucking.com/admin/orders/5929152905404")</f>
        <v>https://utrucking.com/admin/orders/5929152905404</v>
      </c>
      <c r="B215" s="65" t="str">
        <f>IFERROR(__xludf.DUMMYFUNCTION("""COMPUTED_VALUE"""),"#16087")</f>
        <v>#16087</v>
      </c>
      <c r="C215" s="65" t="str">
        <f>IFERROR(__xludf.DUMMYFUNCTION("""COMPUTED_VALUE"""),"gdogarcia14@gmail.com")</f>
        <v>gdogarcia14@gmail.com</v>
      </c>
      <c r="D215" s="65">
        <f>IFERROR(__xludf.DUMMYFUNCTION("""COMPUTED_VALUE"""),1.6107319348E10)</f>
        <v>16107319348</v>
      </c>
      <c r="E215" s="65" t="str">
        <f>IFERROR(__xludf.DUMMYFUNCTION("""COMPUTED_VALUE"""),"Gerardo Garcia Rodriguez")</f>
        <v>Gerardo Garcia Rodriguez</v>
      </c>
      <c r="F215" s="65"/>
      <c r="G215" s="65" t="str">
        <f>IFERROR(__xludf.DUMMYFUNCTION("""COMPUTED_VALUE"""),"805 Westgate Ave, Saint Louis, MO 63130")</f>
        <v>805 Westgate Ave, Saint Louis, MO 63130</v>
      </c>
      <c r="H215" s="65" t="str">
        <f>IFERROR(__xludf.DUMMYFUNCTION("""COMPUTED_VALUE"""),"Nationwide Ship to School")</f>
        <v>Nationwide Ship to School</v>
      </c>
      <c r="I215" s="65" t="str">
        <f>IFERROR(__xludf.DUMMYFUNCTION("""COMPUTED_VALUE"""),"Non-University Housing ")</f>
        <v>Non-University Housing </v>
      </c>
      <c r="J215" s="108" t="str">
        <f>IFERROR(__xludf.DUMMYFUNCTION("""COMPUTED_VALUE"""),"10:00 AM to 12:00 PM   ")</f>
        <v>10:00 AM to 12:00 PM   </v>
      </c>
      <c r="K215" s="108">
        <f>IFERROR(__xludf.DUMMYFUNCTION("""COMPUTED_VALUE"""),45891.0)</f>
        <v>45891</v>
      </c>
      <c r="L215" s="65"/>
      <c r="M215" s="111"/>
      <c r="N215" s="65" t="str">
        <f>IFERROR(__xludf.DUMMYFUNCTION("""COMPUTED_VALUE"""),"805 Westgate Ave, Saint Louis, MO 63130")</f>
        <v>805 Westgate Ave, Saint Louis, MO 63130</v>
      </c>
      <c r="O215" s="65" t="str">
        <f>IFERROR(__xludf.DUMMYFUNCTION("""COMPUTED_VALUE"""),"498 Polo Run
West Chester, PA 19380  ")</f>
        <v>498 Polo Run
West Chester, PA 19380  </v>
      </c>
      <c r="P215" s="65"/>
    </row>
    <row r="216">
      <c r="A216" s="99" t="str">
        <f>IFERROR(__xludf.DUMMYFUNCTION("""COMPUTED_VALUE"""),"https://utrucking.com/admin/orders/5929312321724")</f>
        <v>https://utrucking.com/admin/orders/5929312321724</v>
      </c>
      <c r="B216" s="61" t="str">
        <f>IFERROR(__xludf.DUMMYFUNCTION("""COMPUTED_VALUE"""),"#16091")</f>
        <v>#16091</v>
      </c>
      <c r="C216" s="61" t="str">
        <f>IFERROR(__xludf.DUMMYFUNCTION("""COMPUTED_VALUE"""),"o.m.sadik@wustl.edu")</f>
        <v>o.m.sadik@wustl.edu</v>
      </c>
      <c r="D216" s="61">
        <f>IFERROR(__xludf.DUMMYFUNCTION("""COMPUTED_VALUE"""),9.7388529E9)</f>
        <v>9738852900</v>
      </c>
      <c r="E216" s="61" t="str">
        <f>IFERROR(__xludf.DUMMYFUNCTION("""COMPUTED_VALUE"""),"Olaolu Sadik")</f>
        <v>Olaolu Sadik</v>
      </c>
      <c r="F216" s="61"/>
      <c r="G216" s="61"/>
      <c r="H216" s="61" t="str">
        <f>IFERROR(__xludf.DUMMYFUNCTION("""COMPUTED_VALUE"""),"Nationwide Ship to School")</f>
        <v>Nationwide Ship to School</v>
      </c>
      <c r="I216" s="61" t="str">
        <f>IFERROR(__xludf.DUMMYFUNCTION("""COMPUTED_VALUE"""),"University Housing ")</f>
        <v>University Housing </v>
      </c>
      <c r="J216" s="107" t="str">
        <f>IFERROR(__xludf.DUMMYFUNCTION("""COMPUTED_VALUE"""),"09:00 AM to 11:00 AM   ")</f>
        <v>09:00 AM to 11:00 AM   </v>
      </c>
      <c r="K216" s="107">
        <f>IFERROR(__xludf.DUMMYFUNCTION("""COMPUTED_VALUE"""),45883.0)</f>
        <v>45883</v>
      </c>
      <c r="L216" s="61" t="str">
        <f>IFERROR(__xludf.DUMMYFUNCTION("""COMPUTED_VALUE"""),"Village House  ")</f>
        <v>Village House  </v>
      </c>
      <c r="M216" s="110" t="str">
        <f>IFERROR(__xludf.DUMMYFUNCTION("""COMPUTED_VALUE"""),"4142")</f>
        <v>4142</v>
      </c>
      <c r="N216" s="61"/>
      <c r="O216" s="61" t="str">
        <f>IFERROR(__xludf.DUMMYFUNCTION("""COMPUTED_VALUE"""),"201 N Garland Ct., Unit 1605, Chicago, IL 60601  ")</f>
        <v>201 N Garland Ct., Unit 1605, Chicago, IL 60601  </v>
      </c>
      <c r="P216" s="61"/>
    </row>
    <row r="217">
      <c r="A217" s="102" t="str">
        <f>IFERROR(__xludf.DUMMYFUNCTION("""COMPUTED_VALUE"""),"https://utrucking.com/admin/orders/5929714090172")</f>
        <v>https://utrucking.com/admin/orders/5929714090172</v>
      </c>
      <c r="B217" s="65" t="str">
        <f>IFERROR(__xludf.DUMMYFUNCTION("""COMPUTED_VALUE"""),"#16095")</f>
        <v>#16095</v>
      </c>
      <c r="C217" s="65" t="str">
        <f>IFERROR(__xludf.DUMMYFUNCTION("""COMPUTED_VALUE"""),"jennyharris26@gmail.com")</f>
        <v>jennyharris26@gmail.com</v>
      </c>
      <c r="D217" s="65"/>
      <c r="E217" s="65" t="str">
        <f>IFERROR(__xludf.DUMMYFUNCTION("""COMPUTED_VALUE"""),"jenny Harris")</f>
        <v>jenny Harris</v>
      </c>
      <c r="F217" s="65"/>
      <c r="G217" s="65"/>
      <c r="H217" s="65" t="str">
        <f>IFERROR(__xludf.DUMMYFUNCTION("""COMPUTED_VALUE"""),"Nationwide Ship to School")</f>
        <v>Nationwide Ship to School</v>
      </c>
      <c r="I217" s="65" t="str">
        <f>IFERROR(__xludf.DUMMYFUNCTION("""COMPUTED_VALUE"""),"University Housing ")</f>
        <v>University Housing </v>
      </c>
      <c r="J217" s="108" t="str">
        <f>IFERROR(__xludf.DUMMYFUNCTION("""COMPUTED_VALUE"""),"02:00 PM to 04:00 PM ")</f>
        <v>02:00 PM to 04:00 PM </v>
      </c>
      <c r="K217" s="108">
        <f>IFERROR(__xludf.DUMMYFUNCTION("""COMPUTED_VALUE"""),45891.0)</f>
        <v>45891</v>
      </c>
      <c r="L217" s="65" t="str">
        <f>IFERROR(__xludf.DUMMYFUNCTION("""COMPUTED_VALUE"""),"Millbrook Bldg. 4  ")</f>
        <v>Millbrook Bldg. 4  </v>
      </c>
      <c r="M217" s="111" t="str">
        <f>IFERROR(__xludf.DUMMYFUNCTION("""COMPUTED_VALUE"""),"103B")</f>
        <v>103B</v>
      </c>
      <c r="N217" s="65"/>
      <c r="O217" s="65" t="str">
        <f>IFERROR(__xludf.DUMMYFUNCTION("""COMPUTED_VALUE"""),"161 West 86th street
NYC NY 10024  ")</f>
        <v>161 West 86th street
NYC NY 10024  </v>
      </c>
      <c r="P217" s="65"/>
    </row>
    <row r="218">
      <c r="A218" s="99" t="str">
        <f>IFERROR(__xludf.DUMMYFUNCTION("""COMPUTED_VALUE"""),"https://utrucking.com/admin/orders/5931594875068")</f>
        <v>https://utrucking.com/admin/orders/5931594875068</v>
      </c>
      <c r="B218" s="61" t="str">
        <f>IFERROR(__xludf.DUMMYFUNCTION("""COMPUTED_VALUE"""),"#16122")</f>
        <v>#16122</v>
      </c>
      <c r="C218" s="61" t="str">
        <f>IFERROR(__xludf.DUMMYFUNCTION("""COMPUTED_VALUE"""),"ahp924@gmail.com")</f>
        <v>ahp924@gmail.com</v>
      </c>
      <c r="D218" s="61">
        <f>IFERROR(__xludf.DUMMYFUNCTION("""COMPUTED_VALUE"""),1.9733495659E10)</f>
        <v>19733495659</v>
      </c>
      <c r="E218" s="61" t="str">
        <f>IFERROR(__xludf.DUMMYFUNCTION("""COMPUTED_VALUE"""),"Andrew Press")</f>
        <v>Andrew Press</v>
      </c>
      <c r="F218" s="61" t="str">
        <f>IFERROR(__xludf.DUMMYFUNCTION("""COMPUTED_VALUE"""),"Andrew Press")</f>
        <v>Andrew Press</v>
      </c>
      <c r="G218" s="61"/>
      <c r="H218" s="61" t="str">
        <f>IFERROR(__xludf.DUMMYFUNCTION("""COMPUTED_VALUE"""),"Nationwide Ship to School")</f>
        <v>Nationwide Ship to School</v>
      </c>
      <c r="I218" s="61" t="str">
        <f>IFERROR(__xludf.DUMMYFUNCTION("""COMPUTED_VALUE"""),"University Housing ")</f>
        <v>University Housing </v>
      </c>
      <c r="J218" s="107" t="str">
        <f>IFERROR(__xludf.DUMMYFUNCTION("""COMPUTED_VALUE"""),"09:00 AM to 11:00 AM  ")</f>
        <v>09:00 AM to 11:00 AM  </v>
      </c>
      <c r="K218" s="107">
        <f>IFERROR(__xludf.DUMMYFUNCTION("""COMPUTED_VALUE"""),45891.0)</f>
        <v>45891</v>
      </c>
      <c r="L218" s="61" t="str">
        <f>IFERROR(__xludf.DUMMYFUNCTION("""COMPUTED_VALUE"""),"Liggett  ")</f>
        <v>Liggett  </v>
      </c>
      <c r="M218" s="110" t="str">
        <f>IFERROR(__xludf.DUMMYFUNCTION("""COMPUTED_VALUE"""),"3362")</f>
        <v>3362</v>
      </c>
      <c r="N218" s="61"/>
      <c r="O218" s="61" t="str">
        <f>IFERROR(__xludf.DUMMYFUNCTION("""COMPUTED_VALUE"""),"82 Edgemont Road
Montclair NJ
07043  ")</f>
        <v>82 Edgemont Road
Montclair NJ
07043  </v>
      </c>
      <c r="P218" s="61"/>
    </row>
    <row r="219">
      <c r="A219" s="102" t="str">
        <f>IFERROR(__xludf.DUMMYFUNCTION("""COMPUTED_VALUE"""),"https://utrucking.com/admin/orders/5934104281276")</f>
        <v>https://utrucking.com/admin/orders/5934104281276</v>
      </c>
      <c r="B219" s="65" t="str">
        <f>IFERROR(__xludf.DUMMYFUNCTION("""COMPUTED_VALUE"""),"#16175")</f>
        <v>#16175</v>
      </c>
      <c r="C219" s="65" t="str">
        <f>IFERROR(__xludf.DUMMYFUNCTION("""COMPUTED_VALUE"""),"Sweetlougq@gmail.com")</f>
        <v>Sweetlougq@gmail.com</v>
      </c>
      <c r="D219" s="65" t="str">
        <f>IFERROR(__xludf.DUMMYFUNCTION("""COMPUTED_VALUE"""),"1 201-600-9548")</f>
        <v>1 201-600-9548</v>
      </c>
      <c r="E219" s="65" t="str">
        <f>IFERROR(__xludf.DUMMYFUNCTION("""COMPUTED_VALUE"""),"Louis Quartararo")</f>
        <v>Louis Quartararo</v>
      </c>
      <c r="F219" s="65" t="str">
        <f>IFERROR(__xludf.DUMMYFUNCTION("""COMPUTED_VALUE"""),"Louis Quartararo")</f>
        <v>Louis Quartararo</v>
      </c>
      <c r="G219" s="65"/>
      <c r="H219" s="65" t="str">
        <f>IFERROR(__xludf.DUMMYFUNCTION("""COMPUTED_VALUE"""),"Nationwide Ship to School")</f>
        <v>Nationwide Ship to School</v>
      </c>
      <c r="I219" s="65" t="str">
        <f>IFERROR(__xludf.DUMMYFUNCTION("""COMPUTED_VALUE"""),"University Housing ")</f>
        <v>University Housing </v>
      </c>
      <c r="J219" s="108" t="str">
        <f>IFERROR(__xludf.DUMMYFUNCTION("""COMPUTED_VALUE"""),"09:00 AM to 11:00 AM  ")</f>
        <v>09:00 AM to 11:00 AM  </v>
      </c>
      <c r="K219" s="108">
        <f>IFERROR(__xludf.DUMMYFUNCTION("""COMPUTED_VALUE"""),45892.0)</f>
        <v>45892</v>
      </c>
      <c r="L219" s="65" t="str">
        <f>IFERROR(__xludf.DUMMYFUNCTION("""COMPUTED_VALUE"""),"Mudd  ")</f>
        <v>Mudd  </v>
      </c>
      <c r="M219" s="111" t="str">
        <f>IFERROR(__xludf.DUMMYFUNCTION("""COMPUTED_VALUE"""),"124a")</f>
        <v>124a</v>
      </c>
      <c r="N219" s="65"/>
      <c r="O219" s="65" t="str">
        <f>IFERROR(__xludf.DUMMYFUNCTION("""COMPUTED_VALUE"""),"513 Clinton Ave, Wyckoff NJ 07481  ")</f>
        <v>513 Clinton Ave, Wyckoff NJ 07481  </v>
      </c>
      <c r="P219" s="65"/>
    </row>
    <row r="220">
      <c r="A220" s="99" t="str">
        <f>IFERROR(__xludf.DUMMYFUNCTION("""COMPUTED_VALUE"""),"https://utrucking.com/admin/orders/5936860954812")</f>
        <v>https://utrucking.com/admin/orders/5936860954812</v>
      </c>
      <c r="B220" s="61" t="str">
        <f>IFERROR(__xludf.DUMMYFUNCTION("""COMPUTED_VALUE"""),"#16249")</f>
        <v>#16249</v>
      </c>
      <c r="C220" s="61" t="str">
        <f>IFERROR(__xludf.DUMMYFUNCTION("""COMPUTED_VALUE"""),"marasilverstein@gmail.com")</f>
        <v>marasilverstein@gmail.com</v>
      </c>
      <c r="D220" s="61">
        <f>IFERROR(__xludf.DUMMYFUNCTION("""COMPUTED_VALUE"""),5.165241033E9)</f>
        <v>5165241033</v>
      </c>
      <c r="E220" s="61" t="str">
        <f>IFERROR(__xludf.DUMMYFUNCTION("""COMPUTED_VALUE"""),"Mara Silverstein")</f>
        <v>Mara Silverstein</v>
      </c>
      <c r="F220" s="61"/>
      <c r="G220" s="61" t="str">
        <f>IFERROR(__xludf.DUMMYFUNCTION("""COMPUTED_VALUE"""),"5942 McPherson Ave")</f>
        <v>5942 McPherson Ave</v>
      </c>
      <c r="H220" s="61" t="str">
        <f>IFERROR(__xludf.DUMMYFUNCTION("""COMPUTED_VALUE"""),"Nationwide Ship to School")</f>
        <v>Nationwide Ship to School</v>
      </c>
      <c r="I220" s="61" t="str">
        <f>IFERROR(__xludf.DUMMYFUNCTION("""COMPUTED_VALUE"""),"Non-University Housing ")</f>
        <v>Non-University Housing </v>
      </c>
      <c r="J220" s="107" t="str">
        <f>IFERROR(__xludf.DUMMYFUNCTION("""COMPUTED_VALUE"""),"09:00 AM to 11:00 AM  ")</f>
        <v>09:00 AM to 11:00 AM  </v>
      </c>
      <c r="K220" s="107">
        <f>IFERROR(__xludf.DUMMYFUNCTION("""COMPUTED_VALUE"""),45891.0)</f>
        <v>45891</v>
      </c>
      <c r="L220" s="61"/>
      <c r="M220" s="110"/>
      <c r="N220" s="61" t="str">
        <f>IFERROR(__xludf.DUMMYFUNCTION("""COMPUTED_VALUE"""),"5942 McPherson Ave")</f>
        <v>5942 McPherson Ave</v>
      </c>
      <c r="O220" s="61" t="str">
        <f>IFERROR(__xludf.DUMMYFUNCTION("""COMPUTED_VALUE"""),"32 Forest Drive, 
Port Washington, NY 11050  ")</f>
        <v>32 Forest Drive, 
Port Washington, NY 11050  </v>
      </c>
      <c r="P220" s="61"/>
    </row>
    <row r="221">
      <c r="A221" s="102" t="str">
        <f>IFERROR(__xludf.DUMMYFUNCTION("""COMPUTED_VALUE"""),"https://utrucking.com/admin/orders/5937274355900")</f>
        <v>https://utrucking.com/admin/orders/5937274355900</v>
      </c>
      <c r="B221" s="65" t="str">
        <f>IFERROR(__xludf.DUMMYFUNCTION("""COMPUTED_VALUE"""),"#16265")</f>
        <v>#16265</v>
      </c>
      <c r="C221" s="65"/>
      <c r="D221" s="65">
        <f>IFERROR(__xludf.DUMMYFUNCTION("""COMPUTED_VALUE"""),8.583619963E9)</f>
        <v>8583619963</v>
      </c>
      <c r="E221" s="65" t="str">
        <f>IFERROR(__xludf.DUMMYFUNCTION("""COMPUTED_VALUE"""),"Raj Sugavanam")</f>
        <v>Raj Sugavanam</v>
      </c>
      <c r="F221" s="65" t="str">
        <f>IFERROR(__xludf.DUMMYFUNCTION("""COMPUTED_VALUE"""),"Raj Sugavanam")</f>
        <v>Raj Sugavanam</v>
      </c>
      <c r="G221" s="65"/>
      <c r="H221" s="65" t="str">
        <f>IFERROR(__xludf.DUMMYFUNCTION("""COMPUTED_VALUE"""),"Nationwide Ship to School")</f>
        <v>Nationwide Ship to School</v>
      </c>
      <c r="I221" s="65" t="str">
        <f>IFERROR(__xludf.DUMMYFUNCTION("""COMPUTED_VALUE"""),"University Housing ")</f>
        <v>University Housing </v>
      </c>
      <c r="J221" s="108" t="str">
        <f>IFERROR(__xludf.DUMMYFUNCTION("""COMPUTED_VALUE"""),"11:00 AM to 01:00 PM  ")</f>
        <v>11:00 AM to 01:00 PM  </v>
      </c>
      <c r="K221" s="108">
        <f>IFERROR(__xludf.DUMMYFUNCTION("""COMPUTED_VALUE"""),45891.0)</f>
        <v>45891</v>
      </c>
      <c r="L221" s="65" t="str">
        <f>IFERROR(__xludf.DUMMYFUNCTION("""COMPUTED_VALUE"""),"House 1")</f>
        <v>House 1</v>
      </c>
      <c r="M221" s="111" t="str">
        <f>IFERROR(__xludf.DUMMYFUNCTION("""COMPUTED_VALUE"""),"114")</f>
        <v>114</v>
      </c>
      <c r="N221" s="65"/>
      <c r="O221" s="65" t="str">
        <f>IFERROR(__xludf.DUMMYFUNCTION("""COMPUTED_VALUE"""),"7777 Starlight Drive
La Jolla, CA, 92037  ")</f>
        <v>7777 Starlight Drive
La Jolla, CA, 92037  </v>
      </c>
      <c r="P221" s="65"/>
    </row>
    <row r="222">
      <c r="A222" s="99" t="str">
        <f>IFERROR(__xludf.DUMMYFUNCTION("""COMPUTED_VALUE"""),"https://utrucking.com/admin/orders/5939245416636")</f>
        <v>https://utrucking.com/admin/orders/5939245416636</v>
      </c>
      <c r="B222" s="61" t="str">
        <f>IFERROR(__xludf.DUMMYFUNCTION("""COMPUTED_VALUE"""),"#16299")</f>
        <v>#16299</v>
      </c>
      <c r="C222" s="61" t="str">
        <f>IFERROR(__xludf.DUMMYFUNCTION("""COMPUTED_VALUE"""),"a.blen@wustl.edu")</f>
        <v>a.blen@wustl.edu</v>
      </c>
      <c r="D222" s="61">
        <f>IFERROR(__xludf.DUMMYFUNCTION("""COMPUTED_VALUE"""),1.8327096082E10)</f>
        <v>18327096082</v>
      </c>
      <c r="E222" s="61" t="str">
        <f>IFERROR(__xludf.DUMMYFUNCTION("""COMPUTED_VALUE"""),"Blen Abebe")</f>
        <v>Blen Abebe</v>
      </c>
      <c r="F222" s="61" t="str">
        <f>IFERROR(__xludf.DUMMYFUNCTION("""COMPUTED_VALUE"""),"Blen Abebe")</f>
        <v>Blen Abebe</v>
      </c>
      <c r="G222" s="61"/>
      <c r="H222" s="61" t="str">
        <f>IFERROR(__xludf.DUMMYFUNCTION("""COMPUTED_VALUE"""),"Nationwide Ship to School")</f>
        <v>Nationwide Ship to School</v>
      </c>
      <c r="I222" s="61" t="str">
        <f>IFERROR(__xludf.DUMMYFUNCTION("""COMPUTED_VALUE"""),"University Housing ")</f>
        <v>University Housing </v>
      </c>
      <c r="J222" s="107" t="str">
        <f>IFERROR(__xludf.DUMMYFUNCTION("""COMPUTED_VALUE"""),"10:00 AM to 12:00 PM  ")</f>
        <v>10:00 AM to 12:00 PM  </v>
      </c>
      <c r="K222" s="107">
        <f>IFERROR(__xludf.DUMMYFUNCTION("""COMPUTED_VALUE"""),45892.0)</f>
        <v>45892</v>
      </c>
      <c r="L222" s="61" t="str">
        <f>IFERROR(__xludf.DUMMYFUNCTION("""COMPUTED_VALUE"""),"Mudd  ")</f>
        <v>Mudd  </v>
      </c>
      <c r="M222" s="110" t="str">
        <f>IFERROR(__xludf.DUMMYFUNCTION("""COMPUTED_VALUE"""),"221 - a")</f>
        <v>221 - a</v>
      </c>
      <c r="N222" s="61"/>
      <c r="O222" s="61" t="str">
        <f>IFERROR(__xludf.DUMMYFUNCTION("""COMPUTED_VALUE"""),"6310 Dumfries Drive Apt 241, Houston Texas, 77096  ")</f>
        <v>6310 Dumfries Drive Apt 241, Houston Texas, 77096  </v>
      </c>
      <c r="P222" s="61"/>
    </row>
    <row r="223">
      <c r="A223" s="102" t="str">
        <f>IFERROR(__xludf.DUMMYFUNCTION("""COMPUTED_VALUE"""),"https://utrucking.com/admin/orders/5941364195516")</f>
        <v>https://utrucking.com/admin/orders/5941364195516</v>
      </c>
      <c r="B223" s="65" t="str">
        <f>IFERROR(__xludf.DUMMYFUNCTION("""COMPUTED_VALUE"""),"#16333")</f>
        <v>#16333</v>
      </c>
      <c r="C223" s="65" t="str">
        <f>IFERROR(__xludf.DUMMYFUNCTION("""COMPUTED_VALUE"""),"smallingwilliam3@gmail.com")</f>
        <v>smallingwilliam3@gmail.com</v>
      </c>
      <c r="D223" s="65">
        <f>IFERROR(__xludf.DUMMYFUNCTION("""COMPUTED_VALUE"""),7.542642584E9)</f>
        <v>7542642584</v>
      </c>
      <c r="E223" s="65" t="str">
        <f>IFERROR(__xludf.DUMMYFUNCTION("""COMPUTED_VALUE"""),"William Smalling")</f>
        <v>William Smalling</v>
      </c>
      <c r="F223" s="65" t="str">
        <f>IFERROR(__xludf.DUMMYFUNCTION("""COMPUTED_VALUE"""),"Chelsea Smalling")</f>
        <v>Chelsea Smalling</v>
      </c>
      <c r="G223" s="65"/>
      <c r="H223" s="65" t="str">
        <f>IFERROR(__xludf.DUMMYFUNCTION("""COMPUTED_VALUE"""),"Nationwide Ship to School")</f>
        <v>Nationwide Ship to School</v>
      </c>
      <c r="I223" s="65" t="str">
        <f>IFERROR(__xludf.DUMMYFUNCTION("""COMPUTED_VALUE"""),"University Housing ")</f>
        <v>University Housing </v>
      </c>
      <c r="J223" s="108" t="str">
        <f>IFERROR(__xludf.DUMMYFUNCTION("""COMPUTED_VALUE"""),"12:00 PM to 02:00 PM  ")</f>
        <v>12:00 PM to 02:00 PM  </v>
      </c>
      <c r="K223" s="108">
        <f>IFERROR(__xludf.DUMMYFUNCTION("""COMPUTED_VALUE"""),45892.0)</f>
        <v>45892</v>
      </c>
      <c r="L223" s="65" t="str">
        <f>IFERROR(__xludf.DUMMYFUNCTION("""COMPUTED_VALUE"""),"Loop Loft 6200  ")</f>
        <v>Loop Loft 6200  </v>
      </c>
      <c r="M223" s="111" t="str">
        <f>IFERROR(__xludf.DUMMYFUNCTION("""COMPUTED_VALUE"""),"111 B")</f>
        <v>111 B</v>
      </c>
      <c r="N223" s="65"/>
      <c r="O223" s="65" t="str">
        <f>IFERROR(__xludf.DUMMYFUNCTION("""COMPUTED_VALUE"""),"118 Levison Way
Lafayette, LA 70508  ")</f>
        <v>118 Levison Way
Lafayette, LA 70508  </v>
      </c>
      <c r="P223" s="65"/>
    </row>
    <row r="224">
      <c r="A224" s="99" t="str">
        <f>IFERROR(__xludf.DUMMYFUNCTION("""COMPUTED_VALUE"""),"https://utrucking.com/admin/orders/5946293944508")</f>
        <v>https://utrucking.com/admin/orders/5946293944508</v>
      </c>
      <c r="B224" s="61" t="str">
        <f>IFERROR(__xludf.DUMMYFUNCTION("""COMPUTED_VALUE"""),"#16419")</f>
        <v>#16419</v>
      </c>
      <c r="C224" s="61"/>
      <c r="D224" s="61"/>
      <c r="E224" s="61" t="str">
        <f>IFERROR(__xludf.DUMMYFUNCTION("""COMPUTED_VALUE"""),"Steven Kamp")</f>
        <v>Steven Kamp</v>
      </c>
      <c r="F224" s="61" t="str">
        <f>IFERROR(__xludf.DUMMYFUNCTION("""COMPUTED_VALUE"""),"Jamie Kamp")</f>
        <v>Jamie Kamp</v>
      </c>
      <c r="G224" s="61"/>
      <c r="H224" s="61" t="str">
        <f>IFERROR(__xludf.DUMMYFUNCTION("""COMPUTED_VALUE"""),"Nationwide Ship to School")</f>
        <v>Nationwide Ship to School</v>
      </c>
      <c r="I224" s="61" t="str">
        <f>IFERROR(__xludf.DUMMYFUNCTION("""COMPUTED_VALUE"""),"University Housing ")</f>
        <v>University Housing </v>
      </c>
      <c r="J224" s="107" t="str">
        <f>IFERROR(__xludf.DUMMYFUNCTION("""COMPUTED_VALUE"""),"03:00 PM to 05:00 PM ")</f>
        <v>03:00 PM to 05:00 PM </v>
      </c>
      <c r="K224" s="107">
        <f>IFERROR(__xludf.DUMMYFUNCTION("""COMPUTED_VALUE"""),45892.0)</f>
        <v>45892</v>
      </c>
      <c r="L224" s="61" t="str">
        <f>IFERROR(__xludf.DUMMYFUNCTION("""COMPUTED_VALUE"""),"Greenway Apartments  ")</f>
        <v>Greenway Apartments  </v>
      </c>
      <c r="M224" s="110" t="str">
        <f>IFERROR(__xludf.DUMMYFUNCTION("""COMPUTED_VALUE"""),"116-C")</f>
        <v>116-C</v>
      </c>
      <c r="N224" s="61"/>
      <c r="O224" s="61" t="str">
        <f>IFERROR(__xludf.DUMMYFUNCTION("""COMPUTED_VALUE"""),"15319 Bent Twig Way
Cypress, TX 77433  ")</f>
        <v>15319 Bent Twig Way
Cypress, TX 77433  </v>
      </c>
      <c r="P224" s="61"/>
    </row>
    <row r="225">
      <c r="A225" s="102" t="str">
        <f>IFERROR(__xludf.DUMMYFUNCTION("""COMPUTED_VALUE"""),"https://utrucking.com/admin/orders/5956746772668")</f>
        <v>https://utrucking.com/admin/orders/5956746772668</v>
      </c>
      <c r="B225" s="65" t="str">
        <f>IFERROR(__xludf.DUMMYFUNCTION("""COMPUTED_VALUE"""),"#16536")</f>
        <v>#16536</v>
      </c>
      <c r="C225" s="65" t="str">
        <f>IFERROR(__xludf.DUMMYFUNCTION("""COMPUTED_VALUE"""),"annabel.l@wustl.edu")</f>
        <v>annabel.l@wustl.edu</v>
      </c>
      <c r="D225" s="65"/>
      <c r="E225" s="65" t="str">
        <f>IFERROR(__xludf.DUMMYFUNCTION("""COMPUTED_VALUE"""),"Annabel Lee")</f>
        <v>Annabel Lee</v>
      </c>
      <c r="F225" s="65" t="str">
        <f>IFERROR(__xludf.DUMMYFUNCTION("""COMPUTED_VALUE"""),"Annabel Lee")</f>
        <v>Annabel Lee</v>
      </c>
      <c r="G225" s="65"/>
      <c r="H225" s="65" t="str">
        <f>IFERROR(__xludf.DUMMYFUNCTION("""COMPUTED_VALUE"""),"Nationwide Ship to School")</f>
        <v>Nationwide Ship to School</v>
      </c>
      <c r="I225" s="65" t="str">
        <f>IFERROR(__xludf.DUMMYFUNCTION("""COMPUTED_VALUE"""),"University Housing ")</f>
        <v>University Housing </v>
      </c>
      <c r="J225" s="108" t="str">
        <f>IFERROR(__xludf.DUMMYFUNCTION("""COMPUTED_VALUE"""),"09:00 AM to 11:00 AM   ")</f>
        <v>09:00 AM to 11:00 AM   </v>
      </c>
      <c r="K225" s="108">
        <f>IFERROR(__xludf.DUMMYFUNCTION("""COMPUTED_VALUE"""),45898.0)</f>
        <v>45898</v>
      </c>
      <c r="L225" s="65" t="str">
        <f>IFERROR(__xludf.DUMMYFUNCTION("""COMPUTED_VALUE"""),"Millbrook Bldg. 3  ")</f>
        <v>Millbrook Bldg. 3  </v>
      </c>
      <c r="M225" s="111" t="str">
        <f>IFERROR(__xludf.DUMMYFUNCTION("""COMPUTED_VALUE"""),"104B")</f>
        <v>104B</v>
      </c>
      <c r="N225" s="65"/>
      <c r="O225" s="65" t="str">
        <f>IFERROR(__xludf.DUMMYFUNCTION("""COMPUTED_VALUE"""),"1015 Westbriar Dr NE
Vienna, VA 22180  ")</f>
        <v>1015 Westbriar Dr NE
Vienna, VA 22180  </v>
      </c>
      <c r="P225" s="65"/>
    </row>
    <row r="226">
      <c r="A226" s="99" t="str">
        <f>IFERROR(__xludf.DUMMYFUNCTION("""COMPUTED_VALUE"""),"https://utrucking.com/admin/orders/5960894939324")</f>
        <v>https://utrucking.com/admin/orders/5960894939324</v>
      </c>
      <c r="B226" s="61" t="str">
        <f>IFERROR(__xludf.DUMMYFUNCTION("""COMPUTED_VALUE"""),"#16539")</f>
        <v>#16539</v>
      </c>
      <c r="C226" s="61" t="str">
        <f>IFERROR(__xludf.DUMMYFUNCTION("""COMPUTED_VALUE"""),"familyfaison@gmail.com")</f>
        <v>familyfaison@gmail.com</v>
      </c>
      <c r="D226" s="61">
        <f>IFERROR(__xludf.DUMMYFUNCTION("""COMPUTED_VALUE"""),1.8603186665E10)</f>
        <v>18603186665</v>
      </c>
      <c r="E226" s="61" t="str">
        <f>IFERROR(__xludf.DUMMYFUNCTION("""COMPUTED_VALUE"""),"Brooke Faison")</f>
        <v>Brooke Faison</v>
      </c>
      <c r="F226" s="61" t="str">
        <f>IFERROR(__xludf.DUMMYFUNCTION("""COMPUTED_VALUE"""),"Kip Faison")</f>
        <v>Kip Faison</v>
      </c>
      <c r="G226" s="61"/>
      <c r="H226" s="61" t="str">
        <f>IFERROR(__xludf.DUMMYFUNCTION("""COMPUTED_VALUE"""),"Nationwide Ship to School")</f>
        <v>Nationwide Ship to School</v>
      </c>
      <c r="I226" s="61" t="str">
        <f>IFERROR(__xludf.DUMMYFUNCTION("""COMPUTED_VALUE"""),"University Housing ")</f>
        <v>University Housing </v>
      </c>
      <c r="J226" s="107" t="str">
        <f>IFERROR(__xludf.DUMMYFUNCTION("""COMPUTED_VALUE"""),"09:00 AM to 11:00 AM   ")</f>
        <v>09:00 AM to 11:00 AM   </v>
      </c>
      <c r="K226" s="107">
        <f>IFERROR(__xludf.DUMMYFUNCTION("""COMPUTED_VALUE"""),45901.0)</f>
        <v>45901</v>
      </c>
      <c r="L226" s="61" t="str">
        <f>IFERROR(__xludf.DUMMYFUNCTION("""COMPUTED_VALUE"""),"Millbrook Bldg. 3  ")</f>
        <v>Millbrook Bldg. 3  </v>
      </c>
      <c r="M226" s="110" t="str">
        <f>IFERROR(__xludf.DUMMYFUNCTION("""COMPUTED_VALUE"""),"B-2")</f>
        <v>B-2</v>
      </c>
      <c r="N226" s="61"/>
      <c r="O226" s="61" t="str">
        <f>IFERROR(__xludf.DUMMYFUNCTION("""COMPUTED_VALUE"""),"32 Revere Road, Washington CT 06793  ")</f>
        <v>32 Revere Road, Washington CT 06793  </v>
      </c>
      <c r="P226" s="61"/>
    </row>
    <row r="227">
      <c r="A227" s="102" t="str">
        <f>IFERROR(__xludf.DUMMYFUNCTION("""COMPUTED_VALUE"""),"https://utrucking.com/admin/orders/6208359563452")</f>
        <v>https://utrucking.com/admin/orders/6208359563452</v>
      </c>
      <c r="B227" s="65" t="str">
        <f>IFERROR(__xludf.DUMMYFUNCTION("""COMPUTED_VALUE"""),"#16747")</f>
        <v>#16747</v>
      </c>
      <c r="C227" s="65" t="str">
        <f>IFERROR(__xludf.DUMMYFUNCTION("""COMPUTED_VALUE"""),"lucaminnich@gmail.com")</f>
        <v>lucaminnich@gmail.com</v>
      </c>
      <c r="D227" s="65">
        <f>IFERROR(__xludf.DUMMYFUNCTION("""COMPUTED_VALUE"""),9.178281862E9)</f>
        <v>9178281862</v>
      </c>
      <c r="E227" s="65" t="str">
        <f>IFERROR(__xludf.DUMMYFUNCTION("""COMPUTED_VALUE"""),"Luca Minnich")</f>
        <v>Luca Minnich</v>
      </c>
      <c r="F227" s="65" t="str">
        <f>IFERROR(__xludf.DUMMYFUNCTION("""COMPUTED_VALUE"""),"Luca Minnich")</f>
        <v>Luca Minnich</v>
      </c>
      <c r="G227" s="65"/>
      <c r="H227" s="65" t="str">
        <f>IFERROR(__xludf.DUMMYFUNCTION("""COMPUTED_VALUE"""),"Nationwide Ship to School")</f>
        <v>Nationwide Ship to School</v>
      </c>
      <c r="I227" s="65" t="str">
        <f>IFERROR(__xludf.DUMMYFUNCTION("""COMPUTED_VALUE"""),"University Housing ")</f>
        <v>University Housing </v>
      </c>
      <c r="J227" s="108" t="str">
        <f>IFERROR(__xludf.DUMMYFUNCTION("""COMPUTED_VALUE"""),"01:00 PM to 03:00 PM   ")</f>
        <v>01:00 PM to 03:00 PM   </v>
      </c>
      <c r="K227" s="108">
        <f>IFERROR(__xludf.DUMMYFUNCTION("""COMPUTED_VALUE"""),46034.0)</f>
        <v>46034</v>
      </c>
      <c r="L227" s="65" t="str">
        <f>IFERROR(__xludf.DUMMYFUNCTION("""COMPUTED_VALUE"""),"Lien  ")</f>
        <v>Lien  </v>
      </c>
      <c r="M227" s="111" t="str">
        <f>IFERROR(__xludf.DUMMYFUNCTION("""COMPUTED_VALUE"""),"3312")</f>
        <v>3312</v>
      </c>
      <c r="N227" s="65"/>
      <c r="O227" s="65" t="str">
        <f>IFERROR(__xludf.DUMMYFUNCTION("""COMPUTED_VALUE"""),"19 Brookridge Dr, Greenwich, CT  ")</f>
        <v>19 Brookridge Dr, Greenwich, CT  </v>
      </c>
      <c r="P227" s="65"/>
    </row>
    <row r="228">
      <c r="A228" s="99" t="str">
        <f>IFERROR(__xludf.DUMMYFUNCTION("""COMPUTED_VALUE"""),"https://utrucking.com/admin/orders/6389835235516")</f>
        <v>https://utrucking.com/admin/orders/6389835235516</v>
      </c>
      <c r="B228" s="61" t="str">
        <f>IFERROR(__xludf.DUMMYFUNCTION("""COMPUTED_VALUE"""),"#17213")</f>
        <v>#17213</v>
      </c>
      <c r="C228" s="61" t="str">
        <f>IFERROR(__xludf.DUMMYFUNCTION("""COMPUTED_VALUE"""),"tsl0925@aol.com")</f>
        <v>tsl0925@aol.com</v>
      </c>
      <c r="D228" s="61">
        <f>IFERROR(__xludf.DUMMYFUNCTION("""COMPUTED_VALUE"""),5.617891135E9)</f>
        <v>5617891135</v>
      </c>
      <c r="E228" s="61" t="str">
        <f>IFERROR(__xludf.DUMMYFUNCTION("""COMPUTED_VALUE"""),"Tammy Szerencsy")</f>
        <v>Tammy Szerencsy</v>
      </c>
      <c r="F228" s="61" t="str">
        <f>IFERROR(__xludf.DUMMYFUNCTION("""COMPUTED_VALUE"""),"zachary szerencsy ")</f>
        <v>zachary szerencsy </v>
      </c>
      <c r="G228" s="61"/>
      <c r="H228" s="61" t="str">
        <f>IFERROR(__xludf.DUMMYFUNCTION("""COMPUTED_VALUE"""),"Nationwide Ship to School")</f>
        <v>Nationwide Ship to School</v>
      </c>
      <c r="I228" s="61" t="str">
        <f>IFERROR(__xludf.DUMMYFUNCTION("""COMPUTED_VALUE"""),"University Housing ")</f>
        <v>University Housing </v>
      </c>
      <c r="J228" s="107" t="str">
        <f>IFERROR(__xludf.DUMMYFUNCTION("""COMPUTED_VALUE"""),"09:00 AM to 11:00 AM   ")</f>
        <v>09:00 AM to 11:00 AM   </v>
      </c>
      <c r="K228" s="107">
        <f>IFERROR(__xludf.DUMMYFUNCTION("""COMPUTED_VALUE"""),46248.0)</f>
        <v>46248</v>
      </c>
      <c r="L228" s="61" t="str">
        <f>IFERROR(__xludf.DUMMYFUNCTION("""COMPUTED_VALUE"""),"DON'T KNOW YET (put 'XXX' for room #)")</f>
        <v>DON'T KNOW YET (put 'XXX' for room #)</v>
      </c>
      <c r="M228" s="110" t="str">
        <f>IFERROR(__xludf.DUMMYFUNCTION("""COMPUTED_VALUE"""),"XXX")</f>
        <v>XXX</v>
      </c>
      <c r="N228" s="61"/>
      <c r="O228" s="61" t="str">
        <f>IFERROR(__xludf.DUMMYFUNCTION("""COMPUTED_VALUE"""),"29 Beechwood Road , Roslyn NY 11576  ")</f>
        <v>29 Beechwood Road , Roslyn NY 11576  </v>
      </c>
      <c r="P228" s="61"/>
    </row>
    <row r="229">
      <c r="A229" s="102" t="str">
        <f>IFERROR(__xludf.DUMMYFUNCTION("""COMPUTED_VALUE"""),"https://utrucking.com/admin/orders/6422565159100")</f>
        <v>https://utrucking.com/admin/orders/6422565159100</v>
      </c>
      <c r="B229" s="65" t="str">
        <f>IFERROR(__xludf.DUMMYFUNCTION("""COMPUTED_VALUE"""),"#17518")</f>
        <v>#17518</v>
      </c>
      <c r="C229" s="65" t="str">
        <f>IFERROR(__xludf.DUMMYFUNCTION("""COMPUTED_VALUE"""),"allisonlea@gmail.com")</f>
        <v>allisonlea@gmail.com</v>
      </c>
      <c r="D229" s="65">
        <f>IFERROR(__xludf.DUMMYFUNCTION("""COMPUTED_VALUE"""),4.407490966E9)</f>
        <v>4407490966</v>
      </c>
      <c r="E229" s="65" t="str">
        <f>IFERROR(__xludf.DUMMYFUNCTION("""COMPUTED_VALUE"""),"Allison Wuliger")</f>
        <v>Allison Wuliger</v>
      </c>
      <c r="F229" s="65" t="str">
        <f>IFERROR(__xludf.DUMMYFUNCTION("""COMPUTED_VALUE"""),"Naomi Wuliger")</f>
        <v>Naomi Wuliger</v>
      </c>
      <c r="G229" s="65"/>
      <c r="H229" s="65" t="str">
        <f>IFERROR(__xludf.DUMMYFUNCTION("""COMPUTED_VALUE"""),"Nationwide Ship to School")</f>
        <v>Nationwide Ship to School</v>
      </c>
      <c r="I229" s="65" t="str">
        <f>IFERROR(__xludf.DUMMYFUNCTION("""COMPUTED_VALUE"""),"University Housing ")</f>
        <v>University Housing </v>
      </c>
      <c r="J229" s="108" t="str">
        <f>IFERROR(__xludf.DUMMYFUNCTION("""COMPUTED_VALUE"""),"09:00 AM to 11:00 AM   ")</f>
        <v>09:00 AM to 11:00 AM   </v>
      </c>
      <c r="K229" s="108">
        <f>IFERROR(__xludf.DUMMYFUNCTION("""COMPUTED_VALUE"""),46249.0)</f>
        <v>46249</v>
      </c>
      <c r="L229" s="65" t="str">
        <f>IFERROR(__xludf.DUMMYFUNCTION("""COMPUTED_VALUE"""),"DON'T KNOW YET (put 'XXX' for room #)")</f>
        <v>DON'T KNOW YET (put 'XXX' for room #)</v>
      </c>
      <c r="M229" s="111" t="str">
        <f>IFERROR(__xludf.DUMMYFUNCTION("""COMPUTED_VALUE"""),"XXX")</f>
        <v>XXX</v>
      </c>
      <c r="N229" s="65"/>
      <c r="O229" s="65" t="str">
        <f>IFERROR(__xludf.DUMMYFUNCTION("""COMPUTED_VALUE"""),"38075 Fairmount Blvd, Hunting Valley, OH 44022  ")</f>
        <v>38075 Fairmount Blvd, Hunting Valley, OH 44022  </v>
      </c>
      <c r="P229" s="65" t="str">
        <f>IFERROR(__xludf.DUMMYFUNCTION("""COMPUTED_VALUE""")," She will be a freshman so not sure if she is moving in 8/15 or 8/16. ")</f>
        <v> She will be a freshman so not sure if she is moving in 8/15 or 8/16. </v>
      </c>
    </row>
    <row r="230">
      <c r="A230" s="99" t="str">
        <f>IFERROR(__xludf.DUMMYFUNCTION("""COMPUTED_VALUE"""),"https://utrucking.com/admin/orders/6429382574268")</f>
        <v>https://utrucking.com/admin/orders/6429382574268</v>
      </c>
      <c r="B230" s="61" t="str">
        <f>IFERROR(__xludf.DUMMYFUNCTION("""COMPUTED_VALUE"""),"#17627")</f>
        <v>#17627</v>
      </c>
      <c r="C230" s="61" t="str">
        <f>IFERROR(__xludf.DUMMYFUNCTION("""COMPUTED_VALUE"""),"lebh23@juniata.edu")</f>
        <v>lebh23@juniata.edu</v>
      </c>
      <c r="D230" s="61">
        <f>IFERROR(__xludf.DUMMYFUNCTION("""COMPUTED_VALUE"""),8.14293636E9)</f>
        <v>8142936360</v>
      </c>
      <c r="E230" s="61" t="str">
        <f>IFERROR(__xludf.DUMMYFUNCTION("""COMPUTED_VALUE"""),"Bach Le")</f>
        <v>Bach Le</v>
      </c>
      <c r="F230" s="61" t="str">
        <f>IFERROR(__xludf.DUMMYFUNCTION("""COMPUTED_VALUE"""),"Bach Le")</f>
        <v>Bach Le</v>
      </c>
      <c r="G230" s="61"/>
      <c r="H230" s="61" t="str">
        <f>IFERROR(__xludf.DUMMYFUNCTION("""COMPUTED_VALUE"""),"Nationwide Ship to School")</f>
        <v>Nationwide Ship to School</v>
      </c>
      <c r="I230" s="61" t="str">
        <f>IFERROR(__xludf.DUMMYFUNCTION("""COMPUTED_VALUE"""),"University Housing ")</f>
        <v>University Housing </v>
      </c>
      <c r="J230" s="107" t="str">
        <f>IFERROR(__xludf.DUMMYFUNCTION("""COMPUTED_VALUE"""),"11:00 AM to 01:00 PM   ")</f>
        <v>11:00 AM to 01:00 PM   </v>
      </c>
      <c r="K230" s="107">
        <f>IFERROR(__xludf.DUMMYFUNCTION("""COMPUTED_VALUE"""),46256.0)</f>
        <v>46256</v>
      </c>
      <c r="L230" s="61" t="str">
        <f>IFERROR(__xludf.DUMMYFUNCTION("""COMPUTED_VALUE"""),"DON'T KNOW YET (put 'XXX' for room #)")</f>
        <v>DON'T KNOW YET (put 'XXX' for room #)</v>
      </c>
      <c r="M230" s="110" t="str">
        <f>IFERROR(__xludf.DUMMYFUNCTION("""COMPUTED_VALUE"""),"XXX")</f>
        <v>XXX</v>
      </c>
      <c r="N230" s="61"/>
      <c r="O230" s="61" t="str">
        <f>IFERROR(__xludf.DUMMYFUNCTION("""COMPUTED_VALUE"""),"Juniata College, 1700 Moore St, Huntingdob, PA 16652  ")</f>
        <v>Juniata College, 1700 Moore St, Huntingdob, PA 16652  </v>
      </c>
      <c r="P230" s="61" t="str">
        <f>IFERROR(__xludf.DUMMYFUNCTION("""COMPUTED_VALUE""")," I am dual degree student who gonna ")</f>
        <v> I am dual degree student who gonna </v>
      </c>
    </row>
    <row r="231">
      <c r="A231" s="102" t="str">
        <f>IFERROR(__xludf.DUMMYFUNCTION("""COMPUTED_VALUE"""),"https://utrucking.com/admin/orders/6433302216892")</f>
        <v>https://utrucking.com/admin/orders/6433302216892</v>
      </c>
      <c r="B231" s="65" t="str">
        <f>IFERROR(__xludf.DUMMYFUNCTION("""COMPUTED_VALUE"""),"#17682")</f>
        <v>#17682</v>
      </c>
      <c r="C231" s="65" t="str">
        <f>IFERROR(__xludf.DUMMYFUNCTION("""COMPUTED_VALUE"""),"jaraslade@gmail.com")</f>
        <v>jaraslade@gmail.com</v>
      </c>
      <c r="D231" s="65">
        <f>IFERROR(__xludf.DUMMYFUNCTION("""COMPUTED_VALUE"""),9.172828056E9)</f>
        <v>9172828056</v>
      </c>
      <c r="E231" s="65" t="str">
        <f>IFERROR(__xludf.DUMMYFUNCTION("""COMPUTED_VALUE"""),"Jara Shapiro")</f>
        <v>Jara Shapiro</v>
      </c>
      <c r="F231" s="65" t="str">
        <f>IFERROR(__xludf.DUMMYFUNCTION("""COMPUTED_VALUE"""),"Will")</f>
        <v>Will</v>
      </c>
      <c r="G231" s="65"/>
      <c r="H231" s="65" t="str">
        <f>IFERROR(__xludf.DUMMYFUNCTION("""COMPUTED_VALUE"""),"Nationwide Ship to School")</f>
        <v>Nationwide Ship to School</v>
      </c>
      <c r="I231" s="65" t="str">
        <f>IFERROR(__xludf.DUMMYFUNCTION("""COMPUTED_VALUE"""),"University Housing ")</f>
        <v>University Housing </v>
      </c>
      <c r="J231" s="108" t="str">
        <f>IFERROR(__xludf.DUMMYFUNCTION("""COMPUTED_VALUE"""),"09:00 AM to 11:00 AM   ")</f>
        <v>09:00 AM to 11:00 AM   </v>
      </c>
      <c r="K231" s="108">
        <f>IFERROR(__xludf.DUMMYFUNCTION("""COMPUTED_VALUE"""),46247.0)</f>
        <v>46247</v>
      </c>
      <c r="L231" s="65" t="str">
        <f>IFERROR(__xludf.DUMMYFUNCTION("""COMPUTED_VALUE"""),"DON'T KNOW YET (put 'XXX' for room #)")</f>
        <v>DON'T KNOW YET (put 'XXX' for room #)</v>
      </c>
      <c r="M231" s="111" t="str">
        <f>IFERROR(__xludf.DUMMYFUNCTION("""COMPUTED_VALUE"""),"XXX")</f>
        <v>XXX</v>
      </c>
      <c r="N231" s="65"/>
      <c r="O231" s="65" t="str">
        <f>IFERROR(__xludf.DUMMYFUNCTION("""COMPUTED_VALUE"""),"6322 Alcott Road , Bethesda, MD 20817  ")</f>
        <v>6322 Alcott Road , Bethesda, MD 20817  </v>
      </c>
      <c r="P231" s="65" t="str">
        <f>IFERROR(__xludf.DUMMYFUNCTION("""COMPUTED_VALUE""")," ")</f>
        <v> </v>
      </c>
    </row>
    <row r="232">
      <c r="A232" s="99" t="str">
        <f>IFERROR(__xludf.DUMMYFUNCTION("""COMPUTED_VALUE"""),"https://utrucking.com/admin/orders/6433303724220")</f>
        <v>https://utrucking.com/admin/orders/6433303724220</v>
      </c>
      <c r="B232" s="61" t="str">
        <f>IFERROR(__xludf.DUMMYFUNCTION("""COMPUTED_VALUE"""),"#17683")</f>
        <v>#17683</v>
      </c>
      <c r="C232" s="61" t="str">
        <f>IFERROR(__xludf.DUMMYFUNCTION("""COMPUTED_VALUE"""),"jaraslade@gmail.com")</f>
        <v>jaraslade@gmail.com</v>
      </c>
      <c r="D232" s="61">
        <f>IFERROR(__xludf.DUMMYFUNCTION("""COMPUTED_VALUE"""),1.9172828056E10)</f>
        <v>19172828056</v>
      </c>
      <c r="E232" s="61" t="str">
        <f>IFERROR(__xludf.DUMMYFUNCTION("""COMPUTED_VALUE"""),"Jara Shapiro")</f>
        <v>Jara Shapiro</v>
      </c>
      <c r="F232" s="61" t="str">
        <f>IFERROR(__xludf.DUMMYFUNCTION("""COMPUTED_VALUE"""),"Will Shapiro ")</f>
        <v>Will Shapiro </v>
      </c>
      <c r="G232" s="61"/>
      <c r="H232" s="61" t="str">
        <f>IFERROR(__xludf.DUMMYFUNCTION("""COMPUTED_VALUE"""),"Nationwide Ship to School")</f>
        <v>Nationwide Ship to School</v>
      </c>
      <c r="I232" s="61" t="str">
        <f>IFERROR(__xludf.DUMMYFUNCTION("""COMPUTED_VALUE"""),"University Housing ")</f>
        <v>University Housing </v>
      </c>
      <c r="J232" s="107" t="str">
        <f>IFERROR(__xludf.DUMMYFUNCTION("""COMPUTED_VALUE"""),"09:00 AM to 11:00 AM   ")</f>
        <v>09:00 AM to 11:00 AM   </v>
      </c>
      <c r="K232" s="107">
        <f>IFERROR(__xludf.DUMMYFUNCTION("""COMPUTED_VALUE"""),46247.0)</f>
        <v>46247</v>
      </c>
      <c r="L232" s="61" t="str">
        <f>IFERROR(__xludf.DUMMYFUNCTION("""COMPUTED_VALUE"""),"DON'T KNOW YET (put 'XXX' for room #)")</f>
        <v>DON'T KNOW YET (put 'XXX' for room #)</v>
      </c>
      <c r="M232" s="110" t="str">
        <f>IFERROR(__xludf.DUMMYFUNCTION("""COMPUTED_VALUE"""),"XXX")</f>
        <v>XXX</v>
      </c>
      <c r="N232" s="61"/>
      <c r="O232" s="61" t="str">
        <f>IFERROR(__xludf.DUMMYFUNCTION("""COMPUTED_VALUE"""),"6322 Alcott Road Bethesda, MD 20817  ")</f>
        <v>6322 Alcott Road Bethesda, MD 20817  </v>
      </c>
      <c r="P232" s="61" t="str">
        <f>IFERROR(__xludf.DUMMYFUNCTION("""COMPUTED_VALUE""")," ")</f>
        <v> </v>
      </c>
    </row>
    <row r="233">
      <c r="A233" s="102" t="str">
        <f>IFERROR(__xludf.DUMMYFUNCTION("""COMPUTED_VALUE"""),"https://utrucking.com/admin/orders/6435152265404")</f>
        <v>https://utrucking.com/admin/orders/6435152265404</v>
      </c>
      <c r="B233" s="65" t="str">
        <f>IFERROR(__xludf.DUMMYFUNCTION("""COMPUTED_VALUE"""),"#17718")</f>
        <v>#17718</v>
      </c>
      <c r="C233" s="65" t="str">
        <f>IFERROR(__xludf.DUMMYFUNCTION("""COMPUTED_VALUE"""),"michele.gershwin@gmail.com")</f>
        <v>michele.gershwin@gmail.com</v>
      </c>
      <c r="D233" s="65">
        <f>IFERROR(__xludf.DUMMYFUNCTION("""COMPUTED_VALUE"""),9.17628184E9)</f>
        <v>9176281840</v>
      </c>
      <c r="E233" s="65" t="str">
        <f>IFERROR(__xludf.DUMMYFUNCTION("""COMPUTED_VALUE"""),"Todd Gershwin")</f>
        <v>Todd Gershwin</v>
      </c>
      <c r="F233" s="65" t="str">
        <f>IFERROR(__xludf.DUMMYFUNCTION("""COMPUTED_VALUE"""),"Elana Gershwin")</f>
        <v>Elana Gershwin</v>
      </c>
      <c r="G233" s="65"/>
      <c r="H233" s="65" t="str">
        <f>IFERROR(__xludf.DUMMYFUNCTION("""COMPUTED_VALUE"""),"Nationwide Ship to School")</f>
        <v>Nationwide Ship to School</v>
      </c>
      <c r="I233" s="65" t="str">
        <f>IFERROR(__xludf.DUMMYFUNCTION("""COMPUTED_VALUE"""),"University Housing ")</f>
        <v>University Housing </v>
      </c>
      <c r="J233" s="108" t="str">
        <f>IFERROR(__xludf.DUMMYFUNCTION("""COMPUTED_VALUE"""),"09:00 AM to 11:00 AM   ")</f>
        <v>09:00 AM to 11:00 AM   </v>
      </c>
      <c r="K233" s="108">
        <f>IFERROR(__xludf.DUMMYFUNCTION("""COMPUTED_VALUE"""),46248.0)</f>
        <v>46248</v>
      </c>
      <c r="L233" s="65" t="str">
        <f>IFERROR(__xludf.DUMMYFUNCTION("""COMPUTED_VALUE"""),"DON'T KNOW YET (put 'XXX' for room #)")</f>
        <v>DON'T KNOW YET (put 'XXX' for room #)</v>
      </c>
      <c r="M233" s="111" t="str">
        <f>IFERROR(__xludf.DUMMYFUNCTION("""COMPUTED_VALUE"""),"x")</f>
        <v>x</v>
      </c>
      <c r="N233" s="65"/>
      <c r="O233" s="65" t="str">
        <f>IFERROR(__xludf.DUMMYFUNCTION("""COMPUTED_VALUE"""),"4 Keane Court
Rye, NY 10580  ")</f>
        <v>4 Keane Court
Rye, NY 10580  </v>
      </c>
      <c r="P233" s="65" t="str">
        <f>IFERROR(__xludf.DUMMYFUNCTION("""COMPUTED_VALUE""")," ")</f>
        <v> </v>
      </c>
    </row>
    <row r="234">
      <c r="A234" s="99" t="str">
        <f>IFERROR(__xludf.DUMMYFUNCTION("""COMPUTED_VALUE"""),"https://utrucking.com/admin/orders/6470985875644")</f>
        <v>https://utrucking.com/admin/orders/6470985875644</v>
      </c>
      <c r="B234" s="61" t="str">
        <f>IFERROR(__xludf.DUMMYFUNCTION("""COMPUTED_VALUE"""),"#18396")</f>
        <v>#18396</v>
      </c>
      <c r="C234" s="61" t="str">
        <f>IFERROR(__xludf.DUMMYFUNCTION("""COMPUTED_VALUE"""),"zhihong.ding1008@gmail.com")</f>
        <v>zhihong.ding1008@gmail.com</v>
      </c>
      <c r="D234" s="61">
        <f>IFERROR(__xludf.DUMMYFUNCTION("""COMPUTED_VALUE"""),6.077615382E9)</f>
        <v>6077615382</v>
      </c>
      <c r="E234" s="61" t="str">
        <f>IFERROR(__xludf.DUMMYFUNCTION("""COMPUTED_VALUE"""),"zhihong ding")</f>
        <v>zhihong ding</v>
      </c>
      <c r="F234" s="61" t="str">
        <f>IFERROR(__xludf.DUMMYFUNCTION("""COMPUTED_VALUE"""),"zhihong ding")</f>
        <v>zhihong ding</v>
      </c>
      <c r="G234" s="61" t="str">
        <f>IFERROR(__xludf.DUMMYFUNCTION("""COMPUTED_VALUE"""),"two twelve Clayton")</f>
        <v>two twelve Clayton</v>
      </c>
      <c r="H234" s="61" t="str">
        <f>IFERROR(__xludf.DUMMYFUNCTION("""COMPUTED_VALUE"""),"Nationwide Ship to School")</f>
        <v>Nationwide Ship to School</v>
      </c>
      <c r="I234" s="61" t="str">
        <f>IFERROR(__xludf.DUMMYFUNCTION("""COMPUTED_VALUE"""),"Non-University Housing ")</f>
        <v>Non-University Housing </v>
      </c>
      <c r="J234" s="107" t="str">
        <f>IFERROR(__xludf.DUMMYFUNCTION("""COMPUTED_VALUE"""),"09:00 AM to 11:00 AM   ")</f>
        <v>09:00 AM to 11:00 AM   </v>
      </c>
      <c r="K234" s="107">
        <f>IFERROR(__xludf.DUMMYFUNCTION("""COMPUTED_VALUE"""),46246.0)</f>
        <v>46246</v>
      </c>
      <c r="L234" s="61"/>
      <c r="M234" s="110"/>
      <c r="N234" s="61" t="str">
        <f>IFERROR(__xludf.DUMMYFUNCTION("""COMPUTED_VALUE"""),"two twelve Clayton")</f>
        <v>two twelve Clayton</v>
      </c>
      <c r="O234" s="61" t="str">
        <f>IFERROR(__xludf.DUMMYFUNCTION("""COMPUTED_VALUE"""),"45washington street  ")</f>
        <v>45washington street  </v>
      </c>
      <c r="P234" s="61" t="str">
        <f>IFERROR(__xludf.DUMMYFUNCTION("""COMPUTED_VALUE""")," ")</f>
        <v> </v>
      </c>
    </row>
    <row r="235">
      <c r="A235" s="102" t="str">
        <f>IFERROR(__xludf.DUMMYFUNCTION("""COMPUTED_VALUE"""),"https://utrucking.com/admin/orders/6471112261820")</f>
        <v>https://utrucking.com/admin/orders/6471112261820</v>
      </c>
      <c r="B235" s="65" t="str">
        <f>IFERROR(__xludf.DUMMYFUNCTION("""COMPUTED_VALUE"""),"#18397")</f>
        <v>#18397</v>
      </c>
      <c r="C235" s="65" t="str">
        <f>IFERROR(__xludf.DUMMYFUNCTION("""COMPUTED_VALUE"""),"jason@herringpanzer.com")</f>
        <v>jason@herringpanzer.com</v>
      </c>
      <c r="D235" s="65">
        <f>IFERROR(__xludf.DUMMYFUNCTION("""COMPUTED_VALUE"""),5.126803067E9)</f>
        <v>5126803067</v>
      </c>
      <c r="E235" s="65" t="str">
        <f>IFERROR(__xludf.DUMMYFUNCTION("""COMPUTED_VALUE"""),"Megan Panzer")</f>
        <v>Megan Panzer</v>
      </c>
      <c r="F235" s="65" t="str">
        <f>IFERROR(__xludf.DUMMYFUNCTION("""COMPUTED_VALUE"""),"Megan Panzer")</f>
        <v>Megan Panzer</v>
      </c>
      <c r="G235" s="65"/>
      <c r="H235" s="65" t="str">
        <f>IFERROR(__xludf.DUMMYFUNCTION("""COMPUTED_VALUE"""),"Nationwide Ship to School")</f>
        <v>Nationwide Ship to School</v>
      </c>
      <c r="I235" s="65" t="str">
        <f>IFERROR(__xludf.DUMMYFUNCTION("""COMPUTED_VALUE"""),"University Housing ")</f>
        <v>University Housing </v>
      </c>
      <c r="J235" s="108" t="str">
        <f>IFERROR(__xludf.DUMMYFUNCTION("""COMPUTED_VALUE"""),"09:00 AM to 11:00 AM   ")</f>
        <v>09:00 AM to 11:00 AM   </v>
      </c>
      <c r="K235" s="108">
        <f>IFERROR(__xludf.DUMMYFUNCTION("""COMPUTED_VALUE"""),46248.0)</f>
        <v>46248</v>
      </c>
      <c r="L235" s="65" t="str">
        <f>IFERROR(__xludf.DUMMYFUNCTION("""COMPUTED_VALUE"""),"DON'T KNOW YET (put 'XXX' for room #)")</f>
        <v>DON'T KNOW YET (put 'XXX' for room #)</v>
      </c>
      <c r="M235" s="111" t="str">
        <f>IFERROR(__xludf.DUMMYFUNCTION("""COMPUTED_VALUE"""),"xxx")</f>
        <v>xxx</v>
      </c>
      <c r="N235" s="65"/>
      <c r="O235" s="65" t="str">
        <f>IFERROR(__xludf.DUMMYFUNCTION("""COMPUTED_VALUE"""),"4206 Tallowood Dr., Austin, TX 78731  ")</f>
        <v>4206 Tallowood Dr., Austin, TX 78731  </v>
      </c>
      <c r="P235" s="65" t="str">
        <f>IFERROR(__xludf.DUMMYFUNCTION("""COMPUTED_VALUE""")," ")</f>
        <v> </v>
      </c>
    </row>
    <row r="236">
      <c r="A236" s="61"/>
      <c r="B236" s="61"/>
      <c r="C236" s="61"/>
      <c r="D236" s="61"/>
      <c r="E236" s="61"/>
      <c r="F236" s="61"/>
      <c r="G236" s="61"/>
      <c r="H236" s="61"/>
      <c r="I236" s="61"/>
      <c r="J236" s="107"/>
      <c r="K236" s="107"/>
      <c r="L236" s="61"/>
      <c r="M236" s="110"/>
      <c r="N236" s="61"/>
      <c r="O236" s="61"/>
      <c r="P236" s="61"/>
    </row>
    <row r="237">
      <c r="A237" s="65"/>
      <c r="B237" s="65"/>
      <c r="C237" s="65"/>
      <c r="D237" s="65"/>
      <c r="E237" s="65"/>
      <c r="F237" s="65"/>
      <c r="G237" s="65"/>
      <c r="H237" s="65"/>
      <c r="I237" s="65"/>
      <c r="J237" s="108"/>
      <c r="K237" s="108"/>
      <c r="L237" s="65"/>
      <c r="M237" s="111"/>
      <c r="N237" s="65"/>
      <c r="O237" s="65"/>
      <c r="P237" s="65"/>
    </row>
    <row r="238">
      <c r="A238" s="61"/>
      <c r="B238" s="61"/>
      <c r="C238" s="61"/>
      <c r="D238" s="61"/>
      <c r="E238" s="61"/>
      <c r="F238" s="61"/>
      <c r="G238" s="61"/>
      <c r="H238" s="61"/>
      <c r="I238" s="61"/>
      <c r="J238" s="107"/>
      <c r="K238" s="107"/>
      <c r="L238" s="61"/>
      <c r="M238" s="110"/>
      <c r="N238" s="61"/>
      <c r="O238" s="61"/>
      <c r="P238" s="61"/>
    </row>
    <row r="239">
      <c r="A239" s="65"/>
      <c r="B239" s="65"/>
      <c r="C239" s="65"/>
      <c r="D239" s="65"/>
      <c r="E239" s="65"/>
      <c r="F239" s="65"/>
      <c r="G239" s="65"/>
      <c r="H239" s="65"/>
      <c r="I239" s="65"/>
      <c r="J239" s="108"/>
      <c r="K239" s="108"/>
      <c r="L239" s="65"/>
      <c r="M239" s="111"/>
      <c r="N239" s="65"/>
      <c r="O239" s="65"/>
      <c r="P239" s="65"/>
    </row>
    <row r="240">
      <c r="A240" s="61"/>
      <c r="B240" s="61"/>
      <c r="C240" s="61"/>
      <c r="D240" s="61"/>
      <c r="E240" s="61"/>
      <c r="F240" s="61"/>
      <c r="G240" s="61"/>
      <c r="H240" s="61"/>
      <c r="I240" s="61"/>
      <c r="J240" s="107"/>
      <c r="K240" s="107"/>
      <c r="L240" s="61"/>
      <c r="M240" s="110"/>
      <c r="N240" s="61"/>
      <c r="O240" s="61"/>
      <c r="P240" s="61"/>
    </row>
    <row r="241">
      <c r="A241" s="65"/>
      <c r="B241" s="65"/>
      <c r="C241" s="65"/>
      <c r="D241" s="65"/>
      <c r="E241" s="65"/>
      <c r="F241" s="65"/>
      <c r="G241" s="65"/>
      <c r="H241" s="65"/>
      <c r="I241" s="65"/>
      <c r="J241" s="108"/>
      <c r="K241" s="108"/>
      <c r="L241" s="65"/>
      <c r="M241" s="111"/>
      <c r="N241" s="65"/>
      <c r="O241" s="65"/>
      <c r="P241" s="65"/>
    </row>
    <row r="242">
      <c r="A242" s="61"/>
      <c r="B242" s="61"/>
      <c r="C242" s="61"/>
      <c r="D242" s="61"/>
      <c r="E242" s="61"/>
      <c r="F242" s="61"/>
      <c r="G242" s="61"/>
      <c r="H242" s="61"/>
      <c r="I242" s="61"/>
      <c r="J242" s="107"/>
      <c r="K242" s="107"/>
      <c r="L242" s="61"/>
      <c r="M242" s="110"/>
      <c r="N242" s="61"/>
      <c r="O242" s="61"/>
      <c r="P242" s="61"/>
    </row>
    <row r="243">
      <c r="A243" s="65"/>
      <c r="B243" s="65"/>
      <c r="C243" s="65"/>
      <c r="D243" s="65"/>
      <c r="E243" s="65"/>
      <c r="F243" s="65"/>
      <c r="G243" s="65"/>
      <c r="H243" s="65"/>
      <c r="I243" s="65"/>
      <c r="J243" s="108"/>
      <c r="K243" s="108"/>
      <c r="L243" s="65"/>
      <c r="M243" s="111"/>
      <c r="N243" s="65"/>
      <c r="O243" s="65"/>
      <c r="P243" s="65"/>
    </row>
    <row r="244">
      <c r="A244" s="61"/>
      <c r="B244" s="61"/>
      <c r="C244" s="61"/>
      <c r="D244" s="61"/>
      <c r="E244" s="61"/>
      <c r="F244" s="61"/>
      <c r="G244" s="61"/>
      <c r="H244" s="61"/>
      <c r="I244" s="61"/>
      <c r="J244" s="107"/>
      <c r="K244" s="107"/>
      <c r="L244" s="61"/>
      <c r="M244" s="110"/>
      <c r="N244" s="61"/>
      <c r="O244" s="61"/>
      <c r="P244" s="61"/>
    </row>
    <row r="245">
      <c r="A245" s="65"/>
      <c r="B245" s="65"/>
      <c r="C245" s="65"/>
      <c r="D245" s="65"/>
      <c r="E245" s="65"/>
      <c r="F245" s="65"/>
      <c r="G245" s="65"/>
      <c r="H245" s="65"/>
      <c r="I245" s="65"/>
      <c r="J245" s="108"/>
      <c r="K245" s="108"/>
      <c r="L245" s="65"/>
      <c r="M245" s="111"/>
      <c r="N245" s="65"/>
      <c r="O245" s="65"/>
      <c r="P245" s="65"/>
    </row>
    <row r="246">
      <c r="A246" s="61"/>
      <c r="B246" s="61"/>
      <c r="C246" s="61"/>
      <c r="D246" s="61"/>
      <c r="E246" s="61"/>
      <c r="F246" s="61"/>
      <c r="G246" s="61"/>
      <c r="H246" s="61"/>
      <c r="I246" s="61"/>
      <c r="J246" s="107"/>
      <c r="K246" s="107"/>
      <c r="L246" s="61"/>
      <c r="M246" s="110"/>
      <c r="N246" s="61"/>
      <c r="O246" s="61"/>
      <c r="P246" s="61"/>
    </row>
    <row r="247">
      <c r="A247" s="65"/>
      <c r="B247" s="65"/>
      <c r="C247" s="65"/>
      <c r="D247" s="65"/>
      <c r="E247" s="65"/>
      <c r="F247" s="65"/>
      <c r="G247" s="65"/>
      <c r="H247" s="65"/>
      <c r="I247" s="65"/>
      <c r="J247" s="108"/>
      <c r="K247" s="108"/>
      <c r="L247" s="65"/>
      <c r="M247" s="111"/>
      <c r="N247" s="65"/>
      <c r="O247" s="65"/>
      <c r="P247" s="65"/>
    </row>
    <row r="248">
      <c r="A248" s="61"/>
      <c r="B248" s="61"/>
      <c r="C248" s="61"/>
      <c r="D248" s="61"/>
      <c r="E248" s="61"/>
      <c r="F248" s="61"/>
      <c r="G248" s="61"/>
      <c r="H248" s="61"/>
      <c r="I248" s="61"/>
      <c r="J248" s="107"/>
      <c r="K248" s="107"/>
      <c r="L248" s="61"/>
      <c r="M248" s="110"/>
      <c r="N248" s="61"/>
      <c r="O248" s="61"/>
      <c r="P248" s="61"/>
    </row>
    <row r="249">
      <c r="A249" s="65"/>
      <c r="B249" s="65"/>
      <c r="C249" s="65"/>
      <c r="D249" s="65"/>
      <c r="E249" s="65"/>
      <c r="F249" s="65"/>
      <c r="G249" s="65"/>
      <c r="H249" s="65"/>
      <c r="I249" s="65"/>
      <c r="J249" s="108"/>
      <c r="K249" s="108"/>
      <c r="L249" s="65"/>
      <c r="M249" s="111"/>
      <c r="N249" s="65"/>
      <c r="O249" s="65"/>
      <c r="P249" s="65"/>
    </row>
    <row r="250">
      <c r="A250" s="61"/>
      <c r="B250" s="61"/>
      <c r="C250" s="61"/>
      <c r="D250" s="61"/>
      <c r="E250" s="61"/>
      <c r="F250" s="61"/>
      <c r="G250" s="61"/>
      <c r="H250" s="61"/>
      <c r="I250" s="61"/>
      <c r="J250" s="107"/>
      <c r="K250" s="107"/>
      <c r="L250" s="61"/>
      <c r="M250" s="110"/>
      <c r="N250" s="61"/>
      <c r="O250" s="61"/>
      <c r="P250" s="61"/>
    </row>
    <row r="251">
      <c r="A251" s="65"/>
      <c r="B251" s="65"/>
      <c r="C251" s="65"/>
      <c r="D251" s="65"/>
      <c r="E251" s="65"/>
      <c r="F251" s="65"/>
      <c r="G251" s="65"/>
      <c r="H251" s="65"/>
      <c r="I251" s="65"/>
      <c r="J251" s="108"/>
      <c r="K251" s="108"/>
      <c r="L251" s="65"/>
      <c r="M251" s="111"/>
      <c r="N251" s="65"/>
      <c r="O251" s="65"/>
      <c r="P251" s="65"/>
    </row>
    <row r="252">
      <c r="A252" s="61"/>
      <c r="B252" s="61"/>
      <c r="C252" s="61"/>
      <c r="D252" s="61"/>
      <c r="E252" s="61"/>
      <c r="F252" s="61"/>
      <c r="G252" s="61"/>
      <c r="H252" s="61"/>
      <c r="I252" s="61"/>
      <c r="J252" s="107"/>
      <c r="K252" s="107"/>
      <c r="L252" s="61"/>
      <c r="M252" s="110"/>
      <c r="N252" s="61"/>
      <c r="O252" s="61"/>
      <c r="P252" s="61"/>
    </row>
    <row r="253">
      <c r="A253" s="65"/>
      <c r="B253" s="65"/>
      <c r="C253" s="65"/>
      <c r="D253" s="65"/>
      <c r="E253" s="65"/>
      <c r="F253" s="65"/>
      <c r="G253" s="65"/>
      <c r="H253" s="65"/>
      <c r="I253" s="65"/>
      <c r="J253" s="108"/>
      <c r="K253" s="108"/>
      <c r="L253" s="65"/>
      <c r="M253" s="111"/>
      <c r="N253" s="65"/>
      <c r="O253" s="65"/>
      <c r="P253" s="65"/>
    </row>
    <row r="254">
      <c r="A254" s="61"/>
      <c r="B254" s="61"/>
      <c r="C254" s="61"/>
      <c r="D254" s="61"/>
      <c r="E254" s="61"/>
      <c r="F254" s="61"/>
      <c r="G254" s="61"/>
      <c r="H254" s="61"/>
      <c r="I254" s="61"/>
      <c r="J254" s="107"/>
      <c r="K254" s="107"/>
      <c r="L254" s="61"/>
      <c r="M254" s="110"/>
      <c r="N254" s="61"/>
      <c r="O254" s="61"/>
      <c r="P254" s="61"/>
    </row>
    <row r="255">
      <c r="A255" s="65"/>
      <c r="B255" s="65"/>
      <c r="C255" s="65"/>
      <c r="D255" s="65"/>
      <c r="E255" s="65"/>
      <c r="F255" s="65"/>
      <c r="G255" s="65"/>
      <c r="H255" s="65"/>
      <c r="I255" s="65"/>
      <c r="J255" s="108"/>
      <c r="K255" s="108"/>
      <c r="L255" s="65"/>
      <c r="M255" s="111"/>
      <c r="N255" s="65"/>
      <c r="O255" s="65"/>
      <c r="P255" s="65"/>
    </row>
    <row r="256">
      <c r="A256" s="61"/>
      <c r="B256" s="61"/>
      <c r="C256" s="61"/>
      <c r="D256" s="61"/>
      <c r="E256" s="61"/>
      <c r="F256" s="61"/>
      <c r="G256" s="61"/>
      <c r="H256" s="61"/>
      <c r="I256" s="61"/>
      <c r="J256" s="107"/>
      <c r="K256" s="107"/>
      <c r="L256" s="61"/>
      <c r="M256" s="110"/>
      <c r="N256" s="61"/>
      <c r="O256" s="61"/>
      <c r="P256" s="61"/>
    </row>
    <row r="257">
      <c r="A257" s="65"/>
      <c r="B257" s="65"/>
      <c r="C257" s="65"/>
      <c r="D257" s="65"/>
      <c r="E257" s="65"/>
      <c r="F257" s="65"/>
      <c r="G257" s="65"/>
      <c r="H257" s="65"/>
      <c r="I257" s="65"/>
      <c r="J257" s="108"/>
      <c r="K257" s="108"/>
      <c r="L257" s="65"/>
      <c r="M257" s="111"/>
      <c r="N257" s="65"/>
      <c r="O257" s="65"/>
      <c r="P257" s="65"/>
    </row>
    <row r="258">
      <c r="A258" s="61"/>
      <c r="B258" s="61"/>
      <c r="C258" s="61"/>
      <c r="D258" s="61"/>
      <c r="E258" s="61"/>
      <c r="F258" s="61"/>
      <c r="G258" s="61"/>
      <c r="H258" s="61"/>
      <c r="I258" s="61"/>
      <c r="J258" s="107"/>
      <c r="K258" s="107"/>
      <c r="L258" s="61"/>
      <c r="M258" s="110"/>
      <c r="N258" s="61"/>
      <c r="O258" s="61"/>
      <c r="P258" s="61"/>
    </row>
    <row r="259">
      <c r="A259" s="65"/>
      <c r="B259" s="65"/>
      <c r="C259" s="65"/>
      <c r="D259" s="65"/>
      <c r="E259" s="65"/>
      <c r="F259" s="65"/>
      <c r="G259" s="65"/>
      <c r="H259" s="65"/>
      <c r="I259" s="65"/>
      <c r="J259" s="108"/>
      <c r="K259" s="108"/>
      <c r="L259" s="65"/>
      <c r="M259" s="111"/>
      <c r="N259" s="65"/>
      <c r="O259" s="65"/>
      <c r="P259" s="65"/>
    </row>
    <row r="260">
      <c r="A260" s="61"/>
      <c r="B260" s="61"/>
      <c r="C260" s="61"/>
      <c r="D260" s="61"/>
      <c r="E260" s="61"/>
      <c r="F260" s="61"/>
      <c r="G260" s="61"/>
      <c r="H260" s="61"/>
      <c r="I260" s="61"/>
      <c r="J260" s="107"/>
      <c r="K260" s="107"/>
      <c r="L260" s="61"/>
      <c r="M260" s="110"/>
      <c r="N260" s="61"/>
      <c r="O260" s="61"/>
      <c r="P260" s="61"/>
    </row>
    <row r="261">
      <c r="A261" s="65"/>
      <c r="B261" s="65"/>
      <c r="C261" s="65"/>
      <c r="D261" s="65"/>
      <c r="E261" s="65"/>
      <c r="F261" s="65"/>
      <c r="G261" s="65"/>
      <c r="H261" s="65"/>
      <c r="I261" s="65"/>
      <c r="J261" s="108"/>
      <c r="K261" s="108"/>
      <c r="L261" s="65"/>
      <c r="M261" s="111"/>
      <c r="N261" s="65"/>
      <c r="O261" s="65"/>
      <c r="P261" s="65"/>
    </row>
    <row r="262">
      <c r="A262" s="61"/>
      <c r="B262" s="61"/>
      <c r="C262" s="61"/>
      <c r="D262" s="61"/>
      <c r="E262" s="61"/>
      <c r="F262" s="61"/>
      <c r="G262" s="61"/>
      <c r="H262" s="61"/>
      <c r="I262" s="61"/>
      <c r="J262" s="107"/>
      <c r="K262" s="107"/>
      <c r="L262" s="61"/>
      <c r="M262" s="110"/>
      <c r="N262" s="61"/>
      <c r="O262" s="61"/>
      <c r="P262" s="61"/>
    </row>
    <row r="263">
      <c r="A263" s="65"/>
      <c r="B263" s="65"/>
      <c r="C263" s="65"/>
      <c r="D263" s="65"/>
      <c r="E263" s="65"/>
      <c r="F263" s="65"/>
      <c r="G263" s="65"/>
      <c r="H263" s="65"/>
      <c r="I263" s="65"/>
      <c r="J263" s="108"/>
      <c r="K263" s="108"/>
      <c r="L263" s="65"/>
      <c r="M263" s="111"/>
      <c r="N263" s="65"/>
      <c r="O263" s="65"/>
      <c r="P263" s="65"/>
    </row>
    <row r="264">
      <c r="A264" s="61"/>
      <c r="B264" s="61"/>
      <c r="C264" s="61"/>
      <c r="D264" s="61"/>
      <c r="E264" s="61"/>
      <c r="F264" s="61"/>
      <c r="G264" s="61"/>
      <c r="H264" s="61"/>
      <c r="I264" s="61"/>
      <c r="J264" s="107"/>
      <c r="K264" s="107"/>
      <c r="L264" s="61"/>
      <c r="M264" s="110"/>
      <c r="N264" s="61"/>
      <c r="O264" s="61"/>
      <c r="P264" s="61"/>
    </row>
    <row r="265">
      <c r="A265" s="65"/>
      <c r="B265" s="65"/>
      <c r="C265" s="65"/>
      <c r="D265" s="65"/>
      <c r="E265" s="65"/>
      <c r="F265" s="65"/>
      <c r="G265" s="65"/>
      <c r="H265" s="65"/>
      <c r="I265" s="65"/>
      <c r="J265" s="108"/>
      <c r="K265" s="108"/>
      <c r="L265" s="65"/>
      <c r="M265" s="111"/>
      <c r="N265" s="65"/>
      <c r="O265" s="65"/>
      <c r="P265" s="65"/>
    </row>
    <row r="266">
      <c r="A266" s="61"/>
      <c r="B266" s="61"/>
      <c r="C266" s="61"/>
      <c r="D266" s="61"/>
      <c r="E266" s="61"/>
      <c r="F266" s="61"/>
      <c r="G266" s="61"/>
      <c r="H266" s="61"/>
      <c r="I266" s="61"/>
      <c r="J266" s="107"/>
      <c r="K266" s="107"/>
      <c r="L266" s="61"/>
      <c r="M266" s="110"/>
      <c r="N266" s="61"/>
      <c r="O266" s="61"/>
      <c r="P266" s="61"/>
    </row>
    <row r="267">
      <c r="A267" s="65"/>
      <c r="B267" s="65"/>
      <c r="C267" s="65"/>
      <c r="D267" s="65"/>
      <c r="E267" s="65"/>
      <c r="F267" s="65"/>
      <c r="G267" s="65"/>
      <c r="H267" s="65"/>
      <c r="I267" s="65"/>
      <c r="J267" s="108"/>
      <c r="K267" s="108"/>
      <c r="L267" s="65"/>
      <c r="M267" s="111"/>
      <c r="N267" s="65"/>
      <c r="O267" s="65"/>
      <c r="P267" s="65"/>
    </row>
    <row r="268">
      <c r="A268" s="61"/>
      <c r="B268" s="61"/>
      <c r="C268" s="61"/>
      <c r="D268" s="61"/>
      <c r="E268" s="61"/>
      <c r="F268" s="61"/>
      <c r="G268" s="61"/>
      <c r="H268" s="61"/>
      <c r="I268" s="61"/>
      <c r="J268" s="107"/>
      <c r="K268" s="107"/>
      <c r="L268" s="61"/>
      <c r="M268" s="110"/>
      <c r="N268" s="61"/>
      <c r="O268" s="61"/>
      <c r="P268" s="61"/>
    </row>
    <row r="269">
      <c r="A269" s="65"/>
      <c r="B269" s="65"/>
      <c r="C269" s="65"/>
      <c r="D269" s="65"/>
      <c r="E269" s="65"/>
      <c r="F269" s="65"/>
      <c r="G269" s="65"/>
      <c r="H269" s="65"/>
      <c r="I269" s="65"/>
      <c r="J269" s="108"/>
      <c r="K269" s="108"/>
      <c r="L269" s="65"/>
      <c r="M269" s="111"/>
      <c r="N269" s="65"/>
      <c r="O269" s="65"/>
      <c r="P269" s="65"/>
    </row>
    <row r="270">
      <c r="A270" s="61"/>
      <c r="B270" s="61"/>
      <c r="C270" s="61"/>
      <c r="D270" s="61"/>
      <c r="E270" s="61"/>
      <c r="F270" s="61"/>
      <c r="G270" s="61"/>
      <c r="H270" s="61"/>
      <c r="I270" s="61"/>
      <c r="J270" s="107"/>
      <c r="K270" s="107"/>
      <c r="L270" s="61"/>
      <c r="M270" s="110"/>
      <c r="N270" s="61"/>
      <c r="O270" s="61"/>
      <c r="P270" s="61"/>
    </row>
    <row r="271">
      <c r="A271" s="65"/>
      <c r="B271" s="65"/>
      <c r="C271" s="65"/>
      <c r="D271" s="65"/>
      <c r="E271" s="65"/>
      <c r="F271" s="65"/>
      <c r="G271" s="65"/>
      <c r="H271" s="65"/>
      <c r="I271" s="65"/>
      <c r="J271" s="108"/>
      <c r="K271" s="108"/>
      <c r="L271" s="65"/>
      <c r="M271" s="111"/>
      <c r="N271" s="65"/>
      <c r="O271" s="65"/>
      <c r="P271" s="65"/>
    </row>
    <row r="272">
      <c r="A272" s="61"/>
      <c r="B272" s="61"/>
      <c r="C272" s="61"/>
      <c r="D272" s="61"/>
      <c r="E272" s="61"/>
      <c r="F272" s="61"/>
      <c r="G272" s="61"/>
      <c r="H272" s="61"/>
      <c r="I272" s="61"/>
      <c r="J272" s="107"/>
      <c r="K272" s="107"/>
      <c r="L272" s="61"/>
      <c r="M272" s="110"/>
      <c r="N272" s="61"/>
      <c r="O272" s="61"/>
      <c r="P272" s="61"/>
    </row>
    <row r="273">
      <c r="A273" s="65"/>
      <c r="B273" s="65"/>
      <c r="C273" s="65"/>
      <c r="D273" s="65"/>
      <c r="E273" s="65"/>
      <c r="F273" s="65"/>
      <c r="G273" s="65"/>
      <c r="H273" s="65"/>
      <c r="I273" s="65"/>
      <c r="J273" s="108"/>
      <c r="K273" s="108"/>
      <c r="L273" s="65"/>
      <c r="M273" s="111"/>
      <c r="N273" s="65"/>
      <c r="O273" s="65"/>
      <c r="P273" s="65"/>
    </row>
    <row r="274">
      <c r="A274" s="61"/>
      <c r="B274" s="61"/>
      <c r="C274" s="61"/>
      <c r="D274" s="61"/>
      <c r="E274" s="61"/>
      <c r="F274" s="61"/>
      <c r="G274" s="61"/>
      <c r="H274" s="61"/>
      <c r="I274" s="61"/>
      <c r="J274" s="107"/>
      <c r="K274" s="107"/>
      <c r="L274" s="61"/>
      <c r="M274" s="110"/>
      <c r="N274" s="61"/>
      <c r="O274" s="61"/>
      <c r="P274" s="61"/>
    </row>
    <row r="275">
      <c r="A275" s="65"/>
      <c r="B275" s="65"/>
      <c r="C275" s="65"/>
      <c r="D275" s="65"/>
      <c r="E275" s="65"/>
      <c r="F275" s="65"/>
      <c r="G275" s="65"/>
      <c r="H275" s="65"/>
      <c r="I275" s="65"/>
      <c r="J275" s="108"/>
      <c r="K275" s="108"/>
      <c r="L275" s="65"/>
      <c r="M275" s="111"/>
      <c r="N275" s="65"/>
      <c r="O275" s="65"/>
      <c r="P275" s="65"/>
    </row>
    <row r="276">
      <c r="A276" s="61"/>
      <c r="B276" s="61"/>
      <c r="C276" s="61"/>
      <c r="D276" s="61"/>
      <c r="E276" s="61"/>
      <c r="F276" s="61"/>
      <c r="G276" s="61"/>
      <c r="H276" s="61"/>
      <c r="I276" s="61"/>
      <c r="J276" s="107"/>
      <c r="K276" s="107"/>
      <c r="L276" s="61"/>
      <c r="M276" s="110"/>
      <c r="N276" s="61"/>
      <c r="O276" s="61"/>
      <c r="P276" s="61"/>
    </row>
    <row r="277">
      <c r="A277" s="65"/>
      <c r="B277" s="65"/>
      <c r="C277" s="65"/>
      <c r="D277" s="65"/>
      <c r="E277" s="65"/>
      <c r="F277" s="65"/>
      <c r="G277" s="65"/>
      <c r="H277" s="65"/>
      <c r="I277" s="65"/>
      <c r="J277" s="108"/>
      <c r="K277" s="108"/>
      <c r="L277" s="65"/>
      <c r="M277" s="111"/>
      <c r="N277" s="65"/>
      <c r="O277" s="65"/>
      <c r="P277" s="65"/>
    </row>
    <row r="278">
      <c r="A278" s="61"/>
      <c r="B278" s="61"/>
      <c r="C278" s="61"/>
      <c r="D278" s="61"/>
      <c r="E278" s="61"/>
      <c r="F278" s="61"/>
      <c r="G278" s="61"/>
      <c r="H278" s="61"/>
      <c r="I278" s="61"/>
      <c r="J278" s="107"/>
      <c r="K278" s="107"/>
      <c r="L278" s="61"/>
      <c r="M278" s="110"/>
      <c r="N278" s="61"/>
      <c r="O278" s="61"/>
      <c r="P278" s="61"/>
    </row>
    <row r="279">
      <c r="A279" s="65"/>
      <c r="B279" s="65"/>
      <c r="C279" s="65"/>
      <c r="D279" s="65"/>
      <c r="E279" s="65"/>
      <c r="F279" s="65"/>
      <c r="G279" s="65"/>
      <c r="H279" s="65"/>
      <c r="I279" s="65"/>
      <c r="J279" s="108"/>
      <c r="K279" s="108"/>
      <c r="L279" s="65"/>
      <c r="M279" s="111"/>
      <c r="N279" s="65"/>
      <c r="O279" s="65"/>
      <c r="P279" s="65"/>
    </row>
    <row r="280">
      <c r="A280" s="61"/>
      <c r="B280" s="61"/>
      <c r="C280" s="61"/>
      <c r="D280" s="61"/>
      <c r="E280" s="61"/>
      <c r="F280" s="61"/>
      <c r="G280" s="61"/>
      <c r="H280" s="61"/>
      <c r="I280" s="61"/>
      <c r="J280" s="107"/>
      <c r="K280" s="107"/>
      <c r="L280" s="61"/>
      <c r="M280" s="110"/>
      <c r="N280" s="61"/>
      <c r="O280" s="61"/>
      <c r="P280" s="61"/>
    </row>
    <row r="281">
      <c r="A281" s="65"/>
      <c r="B281" s="65"/>
      <c r="C281" s="65"/>
      <c r="D281" s="65"/>
      <c r="E281" s="65"/>
      <c r="F281" s="65"/>
      <c r="G281" s="65"/>
      <c r="H281" s="65"/>
      <c r="I281" s="65"/>
      <c r="J281" s="108"/>
      <c r="K281" s="108"/>
      <c r="L281" s="65"/>
      <c r="M281" s="111"/>
      <c r="N281" s="65"/>
      <c r="O281" s="65"/>
      <c r="P281" s="65"/>
    </row>
    <row r="282">
      <c r="A282" s="61"/>
      <c r="B282" s="61"/>
      <c r="C282" s="61"/>
      <c r="D282" s="61"/>
      <c r="E282" s="61"/>
      <c r="F282" s="61"/>
      <c r="G282" s="61"/>
      <c r="H282" s="61"/>
      <c r="I282" s="61"/>
      <c r="J282" s="107"/>
      <c r="K282" s="107"/>
      <c r="L282" s="61"/>
      <c r="M282" s="110"/>
      <c r="N282" s="61"/>
      <c r="O282" s="61"/>
      <c r="P282" s="61"/>
    </row>
    <row r="283">
      <c r="A283" s="65"/>
      <c r="B283" s="65"/>
      <c r="C283" s="65"/>
      <c r="D283" s="65"/>
      <c r="E283" s="65"/>
      <c r="F283" s="65"/>
      <c r="G283" s="65"/>
      <c r="H283" s="65"/>
      <c r="I283" s="65"/>
      <c r="J283" s="108"/>
      <c r="K283" s="108"/>
      <c r="L283" s="65"/>
      <c r="M283" s="111"/>
      <c r="N283" s="65"/>
      <c r="O283" s="65"/>
      <c r="P283" s="65"/>
    </row>
    <row r="284">
      <c r="A284" s="61"/>
      <c r="B284" s="61"/>
      <c r="C284" s="61"/>
      <c r="D284" s="61"/>
      <c r="E284" s="61"/>
      <c r="F284" s="61"/>
      <c r="G284" s="61"/>
      <c r="H284" s="61"/>
      <c r="I284" s="61"/>
      <c r="J284" s="107"/>
      <c r="K284" s="107"/>
      <c r="L284" s="61"/>
      <c r="M284" s="110"/>
      <c r="N284" s="61"/>
      <c r="O284" s="61"/>
      <c r="P284" s="61"/>
    </row>
    <row r="285">
      <c r="A285" s="65"/>
      <c r="B285" s="65"/>
      <c r="C285" s="65"/>
      <c r="D285" s="65"/>
      <c r="E285" s="65"/>
      <c r="F285" s="65"/>
      <c r="G285" s="65"/>
      <c r="H285" s="65"/>
      <c r="I285" s="65"/>
      <c r="J285" s="108"/>
      <c r="K285" s="108"/>
      <c r="L285" s="65"/>
      <c r="M285" s="111"/>
      <c r="N285" s="65"/>
      <c r="O285" s="65"/>
      <c r="P285" s="65"/>
    </row>
    <row r="286">
      <c r="A286" s="61"/>
      <c r="B286" s="61"/>
      <c r="C286" s="61"/>
      <c r="D286" s="61"/>
      <c r="E286" s="61"/>
      <c r="F286" s="61"/>
      <c r="G286" s="61"/>
      <c r="H286" s="61"/>
      <c r="I286" s="61"/>
      <c r="J286" s="107"/>
      <c r="K286" s="107"/>
      <c r="L286" s="61"/>
      <c r="M286" s="110"/>
      <c r="N286" s="61"/>
      <c r="O286" s="61"/>
      <c r="P286" s="61"/>
    </row>
    <row r="287">
      <c r="A287" s="65"/>
      <c r="B287" s="65"/>
      <c r="C287" s="65"/>
      <c r="D287" s="65"/>
      <c r="E287" s="65"/>
      <c r="F287" s="65"/>
      <c r="G287" s="65"/>
      <c r="H287" s="65"/>
      <c r="I287" s="65"/>
      <c r="J287" s="108"/>
      <c r="K287" s="108"/>
      <c r="L287" s="65"/>
      <c r="M287" s="111"/>
      <c r="N287" s="65"/>
      <c r="O287" s="65"/>
      <c r="P287" s="65"/>
    </row>
    <row r="288">
      <c r="A288" s="61"/>
      <c r="B288" s="61"/>
      <c r="C288" s="61"/>
      <c r="D288" s="61"/>
      <c r="E288" s="61"/>
      <c r="F288" s="61"/>
      <c r="G288" s="61"/>
      <c r="H288" s="61"/>
      <c r="I288" s="61"/>
      <c r="J288" s="107"/>
      <c r="K288" s="107"/>
      <c r="L288" s="61"/>
      <c r="M288" s="110"/>
      <c r="N288" s="61"/>
      <c r="O288" s="61"/>
      <c r="P288" s="61"/>
    </row>
    <row r="289">
      <c r="A289" s="65"/>
      <c r="B289" s="65"/>
      <c r="C289" s="65"/>
      <c r="D289" s="65"/>
      <c r="E289" s="65"/>
      <c r="F289" s="65"/>
      <c r="G289" s="65"/>
      <c r="H289" s="65"/>
      <c r="I289" s="65"/>
      <c r="J289" s="108"/>
      <c r="K289" s="108"/>
      <c r="L289" s="65"/>
      <c r="M289" s="111"/>
      <c r="N289" s="65"/>
      <c r="O289" s="65"/>
      <c r="P289" s="65"/>
    </row>
    <row r="290">
      <c r="A290" s="61"/>
      <c r="B290" s="61"/>
      <c r="C290" s="61"/>
      <c r="D290" s="61"/>
      <c r="E290" s="61"/>
      <c r="F290" s="61"/>
      <c r="G290" s="61"/>
      <c r="H290" s="61"/>
      <c r="I290" s="61"/>
      <c r="J290" s="107"/>
      <c r="K290" s="107"/>
      <c r="L290" s="61"/>
      <c r="M290" s="110"/>
      <c r="N290" s="61"/>
      <c r="O290" s="61"/>
      <c r="P290" s="61"/>
    </row>
    <row r="291">
      <c r="A291" s="65"/>
      <c r="B291" s="65"/>
      <c r="C291" s="65"/>
      <c r="D291" s="65"/>
      <c r="E291" s="65"/>
      <c r="F291" s="65"/>
      <c r="G291" s="65"/>
      <c r="H291" s="65"/>
      <c r="I291" s="65"/>
      <c r="J291" s="108"/>
      <c r="K291" s="108"/>
      <c r="L291" s="65"/>
      <c r="M291" s="111"/>
      <c r="N291" s="65"/>
      <c r="O291" s="65"/>
      <c r="P291" s="65"/>
    </row>
    <row r="292">
      <c r="A292" s="61"/>
      <c r="B292" s="61"/>
      <c r="C292" s="61"/>
      <c r="D292" s="61"/>
      <c r="E292" s="61"/>
      <c r="F292" s="61"/>
      <c r="G292" s="61"/>
      <c r="H292" s="61"/>
      <c r="I292" s="61"/>
      <c r="J292" s="107"/>
      <c r="K292" s="107"/>
      <c r="L292" s="61"/>
      <c r="M292" s="110"/>
      <c r="N292" s="61"/>
      <c r="O292" s="61"/>
      <c r="P292" s="61"/>
    </row>
    <row r="293">
      <c r="A293" s="65"/>
      <c r="B293" s="65"/>
      <c r="C293" s="65"/>
      <c r="D293" s="65"/>
      <c r="E293" s="65"/>
      <c r="F293" s="65"/>
      <c r="G293" s="65"/>
      <c r="H293" s="65"/>
      <c r="I293" s="65"/>
      <c r="J293" s="108"/>
      <c r="K293" s="108"/>
      <c r="L293" s="65"/>
      <c r="M293" s="111"/>
      <c r="N293" s="65"/>
      <c r="O293" s="65"/>
      <c r="P293" s="65"/>
    </row>
    <row r="294">
      <c r="A294" s="61"/>
      <c r="B294" s="61"/>
      <c r="C294" s="61"/>
      <c r="D294" s="61"/>
      <c r="E294" s="61"/>
      <c r="F294" s="61"/>
      <c r="G294" s="61"/>
      <c r="H294" s="61"/>
      <c r="I294" s="61"/>
      <c r="J294" s="107"/>
      <c r="K294" s="107"/>
      <c r="L294" s="61"/>
      <c r="M294" s="110"/>
      <c r="N294" s="61"/>
      <c r="O294" s="61"/>
      <c r="P294" s="61"/>
    </row>
    <row r="295">
      <c r="A295" s="65"/>
      <c r="B295" s="65"/>
      <c r="C295" s="65"/>
      <c r="D295" s="65"/>
      <c r="E295" s="65"/>
      <c r="F295" s="65"/>
      <c r="G295" s="65"/>
      <c r="H295" s="65"/>
      <c r="I295" s="65"/>
      <c r="J295" s="108"/>
      <c r="K295" s="108"/>
      <c r="L295" s="65"/>
      <c r="M295" s="111"/>
      <c r="N295" s="65"/>
      <c r="O295" s="65"/>
      <c r="P295" s="65"/>
    </row>
    <row r="296">
      <c r="A296" s="61"/>
      <c r="B296" s="61"/>
      <c r="C296" s="61"/>
      <c r="D296" s="61"/>
      <c r="E296" s="61"/>
      <c r="F296" s="61"/>
      <c r="G296" s="61"/>
      <c r="H296" s="61"/>
      <c r="I296" s="61"/>
      <c r="J296" s="107"/>
      <c r="K296" s="107"/>
      <c r="L296" s="61"/>
      <c r="M296" s="110"/>
      <c r="N296" s="61"/>
      <c r="O296" s="61"/>
      <c r="P296" s="61"/>
    </row>
    <row r="297">
      <c r="A297" s="65"/>
      <c r="B297" s="65"/>
      <c r="C297" s="65"/>
      <c r="D297" s="65"/>
      <c r="E297" s="65"/>
      <c r="F297" s="65"/>
      <c r="G297" s="65"/>
      <c r="H297" s="65"/>
      <c r="I297" s="65"/>
      <c r="J297" s="108"/>
      <c r="K297" s="108"/>
      <c r="L297" s="65"/>
      <c r="M297" s="111"/>
      <c r="N297" s="65"/>
      <c r="O297" s="65"/>
      <c r="P297" s="65"/>
    </row>
    <row r="298">
      <c r="A298" s="61"/>
      <c r="B298" s="61"/>
      <c r="C298" s="61"/>
      <c r="D298" s="61"/>
      <c r="E298" s="61"/>
      <c r="F298" s="61"/>
      <c r="G298" s="61"/>
      <c r="H298" s="61"/>
      <c r="I298" s="61"/>
      <c r="J298" s="107"/>
      <c r="K298" s="107"/>
      <c r="L298" s="61"/>
      <c r="M298" s="110"/>
      <c r="N298" s="61"/>
      <c r="O298" s="61"/>
      <c r="P298" s="61"/>
    </row>
    <row r="299">
      <c r="A299" s="65"/>
      <c r="B299" s="65"/>
      <c r="C299" s="65"/>
      <c r="D299" s="65"/>
      <c r="E299" s="65"/>
      <c r="F299" s="65"/>
      <c r="G299" s="65"/>
      <c r="H299" s="65"/>
      <c r="I299" s="65"/>
      <c r="J299" s="108"/>
      <c r="K299" s="108"/>
      <c r="L299" s="65"/>
      <c r="M299" s="111"/>
      <c r="N299" s="65"/>
      <c r="O299" s="65"/>
      <c r="P299" s="65"/>
    </row>
    <row r="300">
      <c r="A300" s="61"/>
      <c r="B300" s="61"/>
      <c r="C300" s="61"/>
      <c r="D300" s="61"/>
      <c r="E300" s="61"/>
      <c r="F300" s="61"/>
      <c r="G300" s="61"/>
      <c r="H300" s="61"/>
      <c r="I300" s="61"/>
      <c r="J300" s="107"/>
      <c r="K300" s="107"/>
      <c r="L300" s="61"/>
      <c r="M300" s="110"/>
      <c r="N300" s="61"/>
      <c r="O300" s="61"/>
      <c r="P300" s="61"/>
    </row>
    <row r="301">
      <c r="A301" s="65"/>
      <c r="B301" s="65"/>
      <c r="C301" s="65"/>
      <c r="D301" s="65"/>
      <c r="E301" s="65"/>
      <c r="F301" s="65"/>
      <c r="G301" s="65"/>
      <c r="H301" s="65"/>
      <c r="I301" s="65"/>
      <c r="J301" s="108"/>
      <c r="K301" s="108"/>
      <c r="L301" s="65"/>
      <c r="M301" s="111"/>
      <c r="N301" s="65"/>
      <c r="O301" s="65"/>
      <c r="P301" s="65"/>
    </row>
    <row r="302">
      <c r="A302" s="61"/>
      <c r="B302" s="61"/>
      <c r="C302" s="61"/>
      <c r="D302" s="61"/>
      <c r="E302" s="61"/>
      <c r="F302" s="61"/>
      <c r="G302" s="61"/>
      <c r="H302" s="61"/>
      <c r="I302" s="61"/>
      <c r="J302" s="107"/>
      <c r="K302" s="107"/>
      <c r="L302" s="61"/>
      <c r="M302" s="110"/>
      <c r="N302" s="61"/>
      <c r="O302" s="61"/>
      <c r="P302" s="61"/>
    </row>
    <row r="303">
      <c r="A303" s="65"/>
      <c r="B303" s="65"/>
      <c r="C303" s="65"/>
      <c r="D303" s="65"/>
      <c r="E303" s="65"/>
      <c r="F303" s="65"/>
      <c r="G303" s="65"/>
      <c r="H303" s="65"/>
      <c r="I303" s="65"/>
      <c r="J303" s="108"/>
      <c r="K303" s="108"/>
      <c r="L303" s="65"/>
      <c r="M303" s="111"/>
      <c r="N303" s="65"/>
      <c r="O303" s="65"/>
      <c r="P303" s="65"/>
    </row>
    <row r="304">
      <c r="A304" s="61"/>
      <c r="B304" s="61"/>
      <c r="C304" s="61"/>
      <c r="D304" s="61"/>
      <c r="E304" s="61"/>
      <c r="F304" s="61"/>
      <c r="G304" s="61"/>
      <c r="H304" s="61"/>
      <c r="I304" s="61"/>
      <c r="J304" s="107"/>
      <c r="K304" s="107"/>
      <c r="L304" s="61"/>
      <c r="M304" s="110"/>
      <c r="N304" s="61"/>
      <c r="O304" s="61"/>
      <c r="P304" s="61"/>
    </row>
    <row r="305">
      <c r="A305" s="65"/>
      <c r="B305" s="65"/>
      <c r="C305" s="65"/>
      <c r="D305" s="65"/>
      <c r="E305" s="65"/>
      <c r="F305" s="65"/>
      <c r="G305" s="65"/>
      <c r="H305" s="65"/>
      <c r="I305" s="65"/>
      <c r="J305" s="108"/>
      <c r="K305" s="108"/>
      <c r="L305" s="65"/>
      <c r="M305" s="111"/>
      <c r="N305" s="65"/>
      <c r="O305" s="65"/>
      <c r="P305" s="65"/>
    </row>
    <row r="306">
      <c r="A306" s="61"/>
      <c r="B306" s="61"/>
      <c r="C306" s="61"/>
      <c r="D306" s="61"/>
      <c r="E306" s="61"/>
      <c r="F306" s="61"/>
      <c r="G306" s="61"/>
      <c r="H306" s="61"/>
      <c r="I306" s="61"/>
      <c r="J306" s="107"/>
      <c r="K306" s="107"/>
      <c r="L306" s="61"/>
      <c r="M306" s="110"/>
      <c r="N306" s="61"/>
      <c r="O306" s="61"/>
      <c r="P306" s="61"/>
    </row>
    <row r="307">
      <c r="A307" s="65"/>
      <c r="B307" s="65"/>
      <c r="C307" s="65"/>
      <c r="D307" s="65"/>
      <c r="E307" s="65"/>
      <c r="F307" s="65"/>
      <c r="G307" s="65"/>
      <c r="H307" s="65"/>
      <c r="I307" s="65"/>
      <c r="J307" s="108"/>
      <c r="K307" s="108"/>
      <c r="L307" s="65"/>
      <c r="M307" s="111"/>
      <c r="N307" s="65"/>
      <c r="O307" s="65"/>
      <c r="P307" s="65"/>
    </row>
    <row r="308">
      <c r="A308" s="61"/>
      <c r="B308" s="61"/>
      <c r="C308" s="61"/>
      <c r="D308" s="61"/>
      <c r="E308" s="61"/>
      <c r="F308" s="61"/>
      <c r="G308" s="61"/>
      <c r="H308" s="61"/>
      <c r="I308" s="61"/>
      <c r="J308" s="107"/>
      <c r="K308" s="107"/>
      <c r="L308" s="61"/>
      <c r="M308" s="110"/>
      <c r="N308" s="61"/>
      <c r="O308" s="61"/>
      <c r="P308" s="61"/>
    </row>
    <row r="309">
      <c r="A309" s="65"/>
      <c r="B309" s="65"/>
      <c r="C309" s="65"/>
      <c r="D309" s="65"/>
      <c r="E309" s="65"/>
      <c r="F309" s="65"/>
      <c r="G309" s="65"/>
      <c r="H309" s="65"/>
      <c r="I309" s="65"/>
      <c r="J309" s="108"/>
      <c r="K309" s="108"/>
      <c r="L309" s="65"/>
      <c r="M309" s="111"/>
      <c r="N309" s="65"/>
      <c r="O309" s="65"/>
      <c r="P309" s="65"/>
    </row>
    <row r="310">
      <c r="A310" s="61"/>
      <c r="B310" s="61"/>
      <c r="C310" s="61"/>
      <c r="D310" s="61"/>
      <c r="E310" s="61"/>
      <c r="F310" s="61"/>
      <c r="G310" s="61"/>
      <c r="H310" s="61"/>
      <c r="I310" s="61"/>
      <c r="J310" s="107"/>
      <c r="K310" s="107"/>
      <c r="L310" s="61"/>
      <c r="M310" s="110"/>
      <c r="N310" s="61"/>
      <c r="O310" s="61"/>
      <c r="P310" s="61"/>
    </row>
    <row r="311">
      <c r="A311" s="65"/>
      <c r="B311" s="65"/>
      <c r="C311" s="65"/>
      <c r="D311" s="65"/>
      <c r="E311" s="65"/>
      <c r="F311" s="65"/>
      <c r="G311" s="65"/>
      <c r="H311" s="65"/>
      <c r="I311" s="65"/>
      <c r="J311" s="108"/>
      <c r="K311" s="108"/>
      <c r="L311" s="65"/>
      <c r="M311" s="111"/>
      <c r="N311" s="65"/>
      <c r="O311" s="65"/>
      <c r="P311" s="65"/>
    </row>
    <row r="312">
      <c r="A312" s="61"/>
      <c r="B312" s="61"/>
      <c r="C312" s="61"/>
      <c r="D312" s="61"/>
      <c r="E312" s="61"/>
      <c r="F312" s="61"/>
      <c r="G312" s="61"/>
      <c r="H312" s="61"/>
      <c r="I312" s="61"/>
      <c r="J312" s="107"/>
      <c r="K312" s="107"/>
      <c r="L312" s="61"/>
      <c r="M312" s="110"/>
      <c r="N312" s="61"/>
      <c r="O312" s="61"/>
      <c r="P312" s="61"/>
    </row>
    <row r="313">
      <c r="A313" s="65"/>
      <c r="B313" s="65"/>
      <c r="C313" s="65"/>
      <c r="D313" s="65"/>
      <c r="E313" s="65"/>
      <c r="F313" s="65"/>
      <c r="G313" s="65"/>
      <c r="H313" s="65"/>
      <c r="I313" s="65"/>
      <c r="J313" s="108"/>
      <c r="K313" s="108"/>
      <c r="L313" s="65"/>
      <c r="M313" s="111"/>
      <c r="N313" s="65"/>
      <c r="O313" s="65"/>
      <c r="P313" s="65"/>
    </row>
    <row r="314">
      <c r="A314" s="61"/>
      <c r="B314" s="61"/>
      <c r="C314" s="61"/>
      <c r="D314" s="61"/>
      <c r="E314" s="61"/>
      <c r="F314" s="61"/>
      <c r="G314" s="61"/>
      <c r="H314" s="61"/>
      <c r="I314" s="61"/>
      <c r="J314" s="107"/>
      <c r="K314" s="107"/>
      <c r="L314" s="61"/>
      <c r="M314" s="110"/>
      <c r="N314" s="61"/>
      <c r="O314" s="61"/>
      <c r="P314" s="61"/>
    </row>
    <row r="315">
      <c r="A315" s="65"/>
      <c r="B315" s="65"/>
      <c r="C315" s="65"/>
      <c r="D315" s="65"/>
      <c r="E315" s="65"/>
      <c r="F315" s="65"/>
      <c r="G315" s="65"/>
      <c r="H315" s="65"/>
      <c r="I315" s="65"/>
      <c r="J315" s="108"/>
      <c r="K315" s="108"/>
      <c r="L315" s="65"/>
      <c r="M315" s="111"/>
      <c r="N315" s="65"/>
      <c r="O315" s="65"/>
      <c r="P315" s="65"/>
    </row>
    <row r="316">
      <c r="A316" s="61"/>
      <c r="B316" s="61"/>
      <c r="C316" s="61"/>
      <c r="D316" s="61"/>
      <c r="E316" s="61"/>
      <c r="F316" s="61"/>
      <c r="G316" s="61"/>
      <c r="H316" s="61"/>
      <c r="I316" s="61"/>
      <c r="J316" s="107"/>
      <c r="K316" s="107"/>
      <c r="L316" s="61"/>
      <c r="M316" s="110"/>
      <c r="N316" s="61"/>
      <c r="O316" s="61"/>
      <c r="P316" s="61"/>
    </row>
    <row r="317">
      <c r="A317" s="65"/>
      <c r="B317" s="65"/>
      <c r="C317" s="65"/>
      <c r="D317" s="65"/>
      <c r="E317" s="65"/>
      <c r="F317" s="65"/>
      <c r="G317" s="65"/>
      <c r="H317" s="65"/>
      <c r="I317" s="65"/>
      <c r="J317" s="108"/>
      <c r="K317" s="108"/>
      <c r="L317" s="65"/>
      <c r="M317" s="111"/>
      <c r="N317" s="65"/>
      <c r="O317" s="65"/>
      <c r="P317" s="65"/>
    </row>
    <row r="318">
      <c r="A318" s="61"/>
      <c r="B318" s="61"/>
      <c r="C318" s="61"/>
      <c r="D318" s="61"/>
      <c r="E318" s="61"/>
      <c r="F318" s="61"/>
      <c r="G318" s="61"/>
      <c r="H318" s="61"/>
      <c r="I318" s="61"/>
      <c r="J318" s="107"/>
      <c r="K318" s="107"/>
      <c r="L318" s="61"/>
      <c r="M318" s="110"/>
      <c r="N318" s="61"/>
      <c r="O318" s="61"/>
      <c r="P318" s="61"/>
    </row>
    <row r="319">
      <c r="A319" s="65"/>
      <c r="B319" s="65"/>
      <c r="C319" s="65"/>
      <c r="D319" s="65"/>
      <c r="E319" s="65"/>
      <c r="F319" s="65"/>
      <c r="G319" s="65"/>
      <c r="H319" s="65"/>
      <c r="I319" s="65"/>
      <c r="J319" s="108"/>
      <c r="K319" s="108"/>
      <c r="L319" s="65"/>
      <c r="M319" s="111"/>
      <c r="N319" s="65"/>
      <c r="O319" s="65"/>
      <c r="P319" s="65"/>
    </row>
    <row r="320">
      <c r="A320" s="61"/>
      <c r="B320" s="61"/>
      <c r="C320" s="61"/>
      <c r="D320" s="61"/>
      <c r="E320" s="61"/>
      <c r="F320" s="61"/>
      <c r="G320" s="61"/>
      <c r="H320" s="61"/>
      <c r="I320" s="61"/>
      <c r="J320" s="107"/>
      <c r="K320" s="107"/>
      <c r="L320" s="61"/>
      <c r="M320" s="110"/>
      <c r="N320" s="61"/>
      <c r="O320" s="61"/>
      <c r="P320" s="61"/>
    </row>
    <row r="321">
      <c r="A321" s="65"/>
      <c r="B321" s="65"/>
      <c r="C321" s="65"/>
      <c r="D321" s="65"/>
      <c r="E321" s="65"/>
      <c r="F321" s="65"/>
      <c r="G321" s="65"/>
      <c r="H321" s="65"/>
      <c r="I321" s="65"/>
      <c r="J321" s="108"/>
      <c r="K321" s="108"/>
      <c r="L321" s="65"/>
      <c r="M321" s="111"/>
      <c r="N321" s="65"/>
      <c r="O321" s="65"/>
      <c r="P321" s="65"/>
    </row>
    <row r="322">
      <c r="A322" s="61"/>
      <c r="B322" s="61"/>
      <c r="C322" s="61"/>
      <c r="D322" s="61"/>
      <c r="E322" s="61"/>
      <c r="F322" s="61"/>
      <c r="G322" s="61"/>
      <c r="H322" s="61"/>
      <c r="I322" s="61"/>
      <c r="J322" s="107"/>
      <c r="K322" s="107"/>
      <c r="L322" s="61"/>
      <c r="M322" s="110"/>
      <c r="N322" s="61"/>
      <c r="O322" s="61"/>
      <c r="P322" s="61"/>
    </row>
    <row r="323">
      <c r="A323" s="65"/>
      <c r="B323" s="65"/>
      <c r="C323" s="65"/>
      <c r="D323" s="65"/>
      <c r="E323" s="65"/>
      <c r="F323" s="65"/>
      <c r="G323" s="65"/>
      <c r="H323" s="65"/>
      <c r="I323" s="65"/>
      <c r="J323" s="108"/>
      <c r="K323" s="108"/>
      <c r="L323" s="65"/>
      <c r="M323" s="111"/>
      <c r="N323" s="65"/>
      <c r="O323" s="65"/>
      <c r="P323" s="65"/>
    </row>
    <row r="324">
      <c r="A324" s="61"/>
      <c r="B324" s="61"/>
      <c r="C324" s="61"/>
      <c r="D324" s="61"/>
      <c r="E324" s="61"/>
      <c r="F324" s="61"/>
      <c r="G324" s="61"/>
      <c r="H324" s="61"/>
      <c r="I324" s="61"/>
      <c r="J324" s="107"/>
      <c r="K324" s="107"/>
      <c r="L324" s="61"/>
      <c r="M324" s="110"/>
      <c r="N324" s="61"/>
      <c r="O324" s="61"/>
      <c r="P324" s="61"/>
    </row>
    <row r="325">
      <c r="A325" s="65"/>
      <c r="B325" s="65"/>
      <c r="C325" s="65"/>
      <c r="D325" s="65"/>
      <c r="E325" s="65"/>
      <c r="F325" s="65"/>
      <c r="G325" s="65"/>
      <c r="H325" s="65"/>
      <c r="I325" s="65"/>
      <c r="J325" s="108"/>
      <c r="K325" s="108"/>
      <c r="L325" s="65"/>
      <c r="M325" s="111"/>
      <c r="N325" s="65"/>
      <c r="O325" s="65"/>
      <c r="P325" s="65"/>
    </row>
    <row r="326">
      <c r="A326" s="61"/>
      <c r="B326" s="61"/>
      <c r="C326" s="61"/>
      <c r="D326" s="61"/>
      <c r="E326" s="61"/>
      <c r="F326" s="61"/>
      <c r="G326" s="61"/>
      <c r="H326" s="61"/>
      <c r="I326" s="61"/>
      <c r="J326" s="107"/>
      <c r="K326" s="107"/>
      <c r="L326" s="61"/>
      <c r="M326" s="110"/>
      <c r="N326" s="61"/>
      <c r="O326" s="61"/>
      <c r="P326" s="61"/>
    </row>
    <row r="327">
      <c r="A327" s="65"/>
      <c r="B327" s="65"/>
      <c r="C327" s="65"/>
      <c r="D327" s="65"/>
      <c r="E327" s="65"/>
      <c r="F327" s="65"/>
      <c r="G327" s="65"/>
      <c r="H327" s="65"/>
      <c r="I327" s="65"/>
      <c r="J327" s="108"/>
      <c r="K327" s="108"/>
      <c r="L327" s="65"/>
      <c r="M327" s="111"/>
      <c r="N327" s="65"/>
      <c r="O327" s="65"/>
      <c r="P327" s="65"/>
    </row>
    <row r="328">
      <c r="A328" s="61"/>
      <c r="B328" s="61"/>
      <c r="C328" s="61"/>
      <c r="D328" s="61"/>
      <c r="E328" s="61"/>
      <c r="F328" s="61"/>
      <c r="G328" s="61"/>
      <c r="H328" s="61"/>
      <c r="I328" s="61"/>
      <c r="J328" s="107"/>
      <c r="K328" s="107"/>
      <c r="L328" s="61"/>
      <c r="M328" s="110"/>
      <c r="N328" s="61"/>
      <c r="O328" s="61"/>
      <c r="P328" s="61"/>
    </row>
    <row r="329">
      <c r="A329" s="65"/>
      <c r="B329" s="65"/>
      <c r="C329" s="65"/>
      <c r="D329" s="65"/>
      <c r="E329" s="65"/>
      <c r="F329" s="65"/>
      <c r="G329" s="65"/>
      <c r="H329" s="65"/>
      <c r="I329" s="65"/>
      <c r="J329" s="108"/>
      <c r="K329" s="108"/>
      <c r="L329" s="65"/>
      <c r="M329" s="111"/>
      <c r="N329" s="65"/>
      <c r="O329" s="65"/>
      <c r="P329" s="65"/>
    </row>
    <row r="330">
      <c r="A330" s="61"/>
      <c r="B330" s="61"/>
      <c r="C330" s="61"/>
      <c r="D330" s="61"/>
      <c r="E330" s="61"/>
      <c r="F330" s="61"/>
      <c r="G330" s="61"/>
      <c r="H330" s="61"/>
      <c r="I330" s="61"/>
      <c r="J330" s="107"/>
      <c r="K330" s="107"/>
      <c r="L330" s="61"/>
      <c r="M330" s="110"/>
      <c r="N330" s="61"/>
      <c r="O330" s="61"/>
      <c r="P330" s="61"/>
    </row>
    <row r="331">
      <c r="A331" s="65"/>
      <c r="B331" s="65"/>
      <c r="C331" s="65"/>
      <c r="D331" s="65"/>
      <c r="E331" s="65"/>
      <c r="F331" s="65"/>
      <c r="G331" s="65"/>
      <c r="H331" s="65"/>
      <c r="I331" s="65"/>
      <c r="J331" s="108"/>
      <c r="K331" s="108"/>
      <c r="L331" s="65"/>
      <c r="M331" s="111"/>
      <c r="N331" s="65"/>
      <c r="O331" s="65"/>
      <c r="P331" s="65"/>
    </row>
    <row r="332">
      <c r="A332" s="61"/>
      <c r="B332" s="61"/>
      <c r="C332" s="61"/>
      <c r="D332" s="61"/>
      <c r="E332" s="61"/>
      <c r="F332" s="61"/>
      <c r="G332" s="61"/>
      <c r="H332" s="61"/>
      <c r="I332" s="61"/>
      <c r="J332" s="107"/>
      <c r="K332" s="107"/>
      <c r="L332" s="61"/>
      <c r="M332" s="110"/>
      <c r="N332" s="61"/>
      <c r="O332" s="61"/>
      <c r="P332" s="61"/>
    </row>
    <row r="333">
      <c r="A333" s="65"/>
      <c r="B333" s="65"/>
      <c r="C333" s="65"/>
      <c r="D333" s="65"/>
      <c r="E333" s="65"/>
      <c r="F333" s="65"/>
      <c r="G333" s="65"/>
      <c r="H333" s="65"/>
      <c r="I333" s="65"/>
      <c r="J333" s="108"/>
      <c r="K333" s="108"/>
      <c r="L333" s="65"/>
      <c r="M333" s="111"/>
      <c r="N333" s="65"/>
      <c r="O333" s="65"/>
      <c r="P333" s="65"/>
    </row>
    <row r="334">
      <c r="A334" s="61"/>
      <c r="B334" s="61"/>
      <c r="C334" s="61"/>
      <c r="D334" s="61"/>
      <c r="E334" s="61"/>
      <c r="F334" s="61"/>
      <c r="G334" s="61"/>
      <c r="H334" s="61"/>
      <c r="I334" s="61"/>
      <c r="J334" s="107"/>
      <c r="K334" s="107"/>
      <c r="L334" s="61"/>
      <c r="M334" s="110"/>
      <c r="N334" s="61"/>
      <c r="O334" s="61"/>
      <c r="P334" s="61"/>
    </row>
    <row r="335">
      <c r="A335" s="65"/>
      <c r="B335" s="65"/>
      <c r="C335" s="65"/>
      <c r="D335" s="65"/>
      <c r="E335" s="65"/>
      <c r="F335" s="65"/>
      <c r="G335" s="65"/>
      <c r="H335" s="65"/>
      <c r="I335" s="65"/>
      <c r="J335" s="108"/>
      <c r="K335" s="108"/>
      <c r="L335" s="65"/>
      <c r="M335" s="111"/>
      <c r="N335" s="65"/>
      <c r="O335" s="65"/>
      <c r="P335" s="65"/>
    </row>
    <row r="336">
      <c r="A336" s="61"/>
      <c r="B336" s="61"/>
      <c r="C336" s="61"/>
      <c r="D336" s="61"/>
      <c r="E336" s="61"/>
      <c r="F336" s="61"/>
      <c r="G336" s="61"/>
      <c r="H336" s="61"/>
      <c r="I336" s="61"/>
      <c r="J336" s="107"/>
      <c r="K336" s="107"/>
      <c r="L336" s="61"/>
      <c r="M336" s="110"/>
      <c r="N336" s="61"/>
      <c r="O336" s="61"/>
      <c r="P336" s="61"/>
    </row>
    <row r="337">
      <c r="A337" s="65"/>
      <c r="B337" s="65"/>
      <c r="C337" s="65"/>
      <c r="D337" s="65"/>
      <c r="E337" s="65"/>
      <c r="F337" s="65"/>
      <c r="G337" s="65"/>
      <c r="H337" s="65"/>
      <c r="I337" s="65"/>
      <c r="J337" s="108"/>
      <c r="K337" s="108"/>
      <c r="L337" s="65"/>
      <c r="M337" s="111"/>
      <c r="N337" s="65"/>
      <c r="O337" s="65"/>
      <c r="P337" s="65"/>
    </row>
    <row r="338">
      <c r="A338" s="61"/>
      <c r="B338" s="61"/>
      <c r="C338" s="61"/>
      <c r="D338" s="61"/>
      <c r="E338" s="61"/>
      <c r="F338" s="61"/>
      <c r="G338" s="61"/>
      <c r="H338" s="61"/>
      <c r="I338" s="61"/>
      <c r="J338" s="107"/>
      <c r="K338" s="107"/>
      <c r="L338" s="61"/>
      <c r="M338" s="110"/>
      <c r="N338" s="61"/>
      <c r="O338" s="61"/>
      <c r="P338" s="61"/>
    </row>
    <row r="339">
      <c r="A339" s="65"/>
      <c r="B339" s="65"/>
      <c r="C339" s="65"/>
      <c r="D339" s="65"/>
      <c r="E339" s="65"/>
      <c r="F339" s="65"/>
      <c r="G339" s="65"/>
      <c r="H339" s="65"/>
      <c r="I339" s="65"/>
      <c r="J339" s="108"/>
      <c r="K339" s="108"/>
      <c r="L339" s="65"/>
      <c r="M339" s="111"/>
      <c r="N339" s="65"/>
      <c r="O339" s="65"/>
      <c r="P339" s="65"/>
    </row>
    <row r="340">
      <c r="A340" s="61"/>
      <c r="B340" s="61"/>
      <c r="C340" s="61"/>
      <c r="D340" s="61"/>
      <c r="E340" s="61"/>
      <c r="F340" s="61"/>
      <c r="G340" s="61"/>
      <c r="H340" s="61"/>
      <c r="I340" s="61"/>
      <c r="J340" s="107"/>
      <c r="K340" s="107"/>
      <c r="L340" s="61"/>
      <c r="M340" s="110"/>
      <c r="N340" s="61"/>
      <c r="O340" s="61"/>
      <c r="P340" s="61"/>
    </row>
    <row r="341">
      <c r="A341" s="65"/>
      <c r="B341" s="65"/>
      <c r="C341" s="65"/>
      <c r="D341" s="65"/>
      <c r="E341" s="65"/>
      <c r="F341" s="65"/>
      <c r="G341" s="65"/>
      <c r="H341" s="65"/>
      <c r="I341" s="65"/>
      <c r="J341" s="108"/>
      <c r="K341" s="108"/>
      <c r="L341" s="65"/>
      <c r="M341" s="111"/>
      <c r="N341" s="65"/>
      <c r="O341" s="65"/>
      <c r="P341" s="65"/>
    </row>
    <row r="342">
      <c r="A342" s="61"/>
      <c r="B342" s="61"/>
      <c r="C342" s="61"/>
      <c r="D342" s="61"/>
      <c r="E342" s="61"/>
      <c r="F342" s="61"/>
      <c r="G342" s="61"/>
      <c r="H342" s="61"/>
      <c r="I342" s="61"/>
      <c r="J342" s="107"/>
      <c r="K342" s="107"/>
      <c r="L342" s="61"/>
      <c r="M342" s="110"/>
      <c r="N342" s="61"/>
      <c r="O342" s="61"/>
      <c r="P342" s="61"/>
    </row>
    <row r="343">
      <c r="A343" s="65"/>
      <c r="B343" s="65"/>
      <c r="C343" s="65"/>
      <c r="D343" s="65"/>
      <c r="E343" s="65"/>
      <c r="F343" s="65"/>
      <c r="G343" s="65"/>
      <c r="H343" s="65"/>
      <c r="I343" s="65"/>
      <c r="J343" s="108"/>
      <c r="K343" s="108"/>
      <c r="L343" s="65"/>
      <c r="M343" s="111"/>
      <c r="N343" s="65"/>
      <c r="O343" s="65"/>
      <c r="P343" s="65"/>
    </row>
    <row r="344">
      <c r="A344" s="61"/>
      <c r="B344" s="61"/>
      <c r="C344" s="61"/>
      <c r="D344" s="61"/>
      <c r="E344" s="61"/>
      <c r="F344" s="61"/>
      <c r="G344" s="61"/>
      <c r="H344" s="61"/>
      <c r="I344" s="61"/>
      <c r="J344" s="107"/>
      <c r="K344" s="107"/>
      <c r="L344" s="61"/>
      <c r="M344" s="110"/>
      <c r="N344" s="61"/>
      <c r="O344" s="61"/>
      <c r="P344" s="61"/>
    </row>
    <row r="345">
      <c r="A345" s="65"/>
      <c r="B345" s="65"/>
      <c r="C345" s="65"/>
      <c r="D345" s="65"/>
      <c r="E345" s="65"/>
      <c r="F345" s="65"/>
      <c r="G345" s="65"/>
      <c r="H345" s="65"/>
      <c r="I345" s="65"/>
      <c r="J345" s="108"/>
      <c r="K345" s="108"/>
      <c r="L345" s="65"/>
      <c r="M345" s="111"/>
      <c r="N345" s="65"/>
      <c r="O345" s="65"/>
      <c r="P345" s="65"/>
    </row>
    <row r="346">
      <c r="A346" s="61"/>
      <c r="B346" s="61"/>
      <c r="C346" s="61"/>
      <c r="D346" s="61"/>
      <c r="E346" s="61"/>
      <c r="F346" s="61"/>
      <c r="G346" s="61"/>
      <c r="H346" s="61"/>
      <c r="I346" s="61"/>
      <c r="J346" s="107"/>
      <c r="K346" s="107"/>
      <c r="L346" s="61"/>
      <c r="M346" s="110"/>
      <c r="N346" s="61"/>
      <c r="O346" s="61"/>
      <c r="P346" s="61"/>
    </row>
    <row r="347">
      <c r="A347" s="65"/>
      <c r="B347" s="65"/>
      <c r="C347" s="65"/>
      <c r="D347" s="65"/>
      <c r="E347" s="65"/>
      <c r="F347" s="65"/>
      <c r="G347" s="65"/>
      <c r="H347" s="65"/>
      <c r="I347" s="65"/>
      <c r="J347" s="108"/>
      <c r="K347" s="108"/>
      <c r="L347" s="65"/>
      <c r="M347" s="111"/>
      <c r="N347" s="65"/>
      <c r="O347" s="65"/>
      <c r="P347" s="65"/>
    </row>
    <row r="348">
      <c r="A348" s="61"/>
      <c r="B348" s="61"/>
      <c r="C348" s="61"/>
      <c r="D348" s="61"/>
      <c r="E348" s="61"/>
      <c r="F348" s="61"/>
      <c r="G348" s="61"/>
      <c r="H348" s="61"/>
      <c r="I348" s="61"/>
      <c r="J348" s="107"/>
      <c r="K348" s="107"/>
      <c r="L348" s="61"/>
      <c r="M348" s="110"/>
      <c r="N348" s="61"/>
      <c r="O348" s="61"/>
      <c r="P348" s="61"/>
    </row>
    <row r="349">
      <c r="A349" s="65"/>
      <c r="B349" s="65"/>
      <c r="C349" s="65"/>
      <c r="D349" s="65"/>
      <c r="E349" s="65"/>
      <c r="F349" s="65"/>
      <c r="G349" s="65"/>
      <c r="H349" s="65"/>
      <c r="I349" s="65"/>
      <c r="J349" s="108"/>
      <c r="K349" s="108"/>
      <c r="L349" s="65"/>
      <c r="M349" s="111"/>
      <c r="N349" s="65"/>
      <c r="O349" s="65"/>
      <c r="P349" s="65"/>
    </row>
    <row r="350">
      <c r="A350" s="61"/>
      <c r="B350" s="61"/>
      <c r="C350" s="61"/>
      <c r="D350" s="61"/>
      <c r="E350" s="61"/>
      <c r="F350" s="61"/>
      <c r="G350" s="61"/>
      <c r="H350" s="61"/>
      <c r="I350" s="61"/>
      <c r="J350" s="107"/>
      <c r="K350" s="107"/>
      <c r="L350" s="61"/>
      <c r="M350" s="110"/>
      <c r="N350" s="61"/>
      <c r="O350" s="61"/>
      <c r="P350" s="61"/>
    </row>
    <row r="351">
      <c r="A351" s="65"/>
      <c r="B351" s="65"/>
      <c r="C351" s="65"/>
      <c r="D351" s="65"/>
      <c r="E351" s="65"/>
      <c r="F351" s="65"/>
      <c r="G351" s="65"/>
      <c r="H351" s="65"/>
      <c r="I351" s="65"/>
      <c r="J351" s="108"/>
      <c r="K351" s="108"/>
      <c r="L351" s="65"/>
      <c r="M351" s="111"/>
      <c r="N351" s="65"/>
      <c r="O351" s="65"/>
      <c r="P351" s="65"/>
    </row>
    <row r="352">
      <c r="A352" s="61"/>
      <c r="B352" s="61"/>
      <c r="C352" s="61"/>
      <c r="D352" s="61"/>
      <c r="E352" s="61"/>
      <c r="F352" s="61"/>
      <c r="G352" s="61"/>
      <c r="H352" s="61"/>
      <c r="I352" s="61"/>
      <c r="J352" s="107"/>
      <c r="K352" s="107"/>
      <c r="L352" s="61"/>
      <c r="M352" s="110"/>
      <c r="N352" s="61"/>
      <c r="O352" s="61"/>
      <c r="P352" s="61"/>
    </row>
    <row r="353">
      <c r="A353" s="65"/>
      <c r="B353" s="65"/>
      <c r="C353" s="65"/>
      <c r="D353" s="65"/>
      <c r="E353" s="65"/>
      <c r="F353" s="65"/>
      <c r="G353" s="65"/>
      <c r="H353" s="65"/>
      <c r="I353" s="65"/>
      <c r="J353" s="108"/>
      <c r="K353" s="108"/>
      <c r="L353" s="65"/>
      <c r="M353" s="111"/>
      <c r="N353" s="65"/>
      <c r="O353" s="65"/>
      <c r="P353" s="65"/>
    </row>
    <row r="354">
      <c r="A354" s="61"/>
      <c r="B354" s="61"/>
      <c r="C354" s="61"/>
      <c r="D354" s="61"/>
      <c r="E354" s="61"/>
      <c r="F354" s="61"/>
      <c r="G354" s="61"/>
      <c r="H354" s="61"/>
      <c r="I354" s="61"/>
      <c r="J354" s="107"/>
      <c r="K354" s="107"/>
      <c r="L354" s="61"/>
      <c r="M354" s="110"/>
      <c r="N354" s="61"/>
      <c r="O354" s="61"/>
      <c r="P354" s="61"/>
    </row>
    <row r="355">
      <c r="A355" s="65"/>
      <c r="B355" s="65"/>
      <c r="C355" s="65"/>
      <c r="D355" s="65"/>
      <c r="E355" s="65"/>
      <c r="F355" s="65"/>
      <c r="G355" s="65"/>
      <c r="H355" s="65"/>
      <c r="I355" s="65"/>
      <c r="J355" s="108"/>
      <c r="K355" s="108"/>
      <c r="L355" s="65"/>
      <c r="M355" s="111"/>
      <c r="N355" s="65"/>
      <c r="O355" s="65"/>
      <c r="P355" s="65"/>
    </row>
    <row r="356">
      <c r="A356" s="61"/>
      <c r="B356" s="61"/>
      <c r="C356" s="61"/>
      <c r="D356" s="61"/>
      <c r="E356" s="61"/>
      <c r="F356" s="61"/>
      <c r="G356" s="61"/>
      <c r="H356" s="61"/>
      <c r="I356" s="61"/>
      <c r="J356" s="107"/>
      <c r="K356" s="107"/>
      <c r="L356" s="61"/>
      <c r="M356" s="110"/>
      <c r="N356" s="61"/>
      <c r="O356" s="61"/>
      <c r="P356" s="61"/>
    </row>
    <row r="357">
      <c r="A357" s="65"/>
      <c r="B357" s="65"/>
      <c r="C357" s="65"/>
      <c r="D357" s="65"/>
      <c r="E357" s="65"/>
      <c r="F357" s="65"/>
      <c r="G357" s="65"/>
      <c r="H357" s="65"/>
      <c r="I357" s="65"/>
      <c r="J357" s="108"/>
      <c r="K357" s="108"/>
      <c r="L357" s="65"/>
      <c r="M357" s="111"/>
      <c r="N357" s="65"/>
      <c r="O357" s="65"/>
      <c r="P357" s="65"/>
    </row>
    <row r="358">
      <c r="A358" s="61"/>
      <c r="B358" s="61"/>
      <c r="C358" s="61"/>
      <c r="D358" s="61"/>
      <c r="E358" s="61"/>
      <c r="F358" s="61"/>
      <c r="G358" s="61"/>
      <c r="H358" s="61"/>
      <c r="I358" s="61"/>
      <c r="J358" s="107"/>
      <c r="K358" s="107"/>
      <c r="L358" s="61"/>
      <c r="M358" s="110"/>
      <c r="N358" s="61"/>
      <c r="O358" s="61"/>
      <c r="P358" s="61"/>
    </row>
    <row r="359">
      <c r="A359" s="65"/>
      <c r="B359" s="65"/>
      <c r="C359" s="65"/>
      <c r="D359" s="65"/>
      <c r="E359" s="65"/>
      <c r="F359" s="65"/>
      <c r="G359" s="65"/>
      <c r="H359" s="65"/>
      <c r="I359" s="65"/>
      <c r="J359" s="108"/>
      <c r="K359" s="108"/>
      <c r="L359" s="65"/>
      <c r="M359" s="111"/>
      <c r="N359" s="65"/>
      <c r="O359" s="65"/>
      <c r="P359" s="65"/>
    </row>
    <row r="360">
      <c r="A360" s="61"/>
      <c r="B360" s="61"/>
      <c r="C360" s="61"/>
      <c r="D360" s="61"/>
      <c r="E360" s="61"/>
      <c r="F360" s="61"/>
      <c r="G360" s="61"/>
      <c r="H360" s="61"/>
      <c r="I360" s="61"/>
      <c r="J360" s="107"/>
      <c r="K360" s="107"/>
      <c r="L360" s="61"/>
      <c r="M360" s="110"/>
      <c r="N360" s="61"/>
      <c r="O360" s="61"/>
      <c r="P360" s="61"/>
    </row>
    <row r="361">
      <c r="A361" s="65"/>
      <c r="B361" s="65"/>
      <c r="C361" s="65"/>
      <c r="D361" s="65"/>
      <c r="E361" s="65"/>
      <c r="F361" s="65"/>
      <c r="G361" s="65"/>
      <c r="H361" s="65"/>
      <c r="I361" s="65"/>
      <c r="J361" s="108"/>
      <c r="K361" s="108"/>
      <c r="L361" s="65"/>
      <c r="M361" s="111"/>
      <c r="N361" s="65"/>
      <c r="O361" s="65"/>
      <c r="P361" s="65"/>
    </row>
    <row r="362">
      <c r="A362" s="61"/>
      <c r="B362" s="61"/>
      <c r="C362" s="61"/>
      <c r="D362" s="61"/>
      <c r="E362" s="61"/>
      <c r="F362" s="61"/>
      <c r="G362" s="61"/>
      <c r="H362" s="61"/>
      <c r="I362" s="61"/>
      <c r="J362" s="107"/>
      <c r="K362" s="107"/>
      <c r="L362" s="61"/>
      <c r="M362" s="110"/>
      <c r="N362" s="61"/>
      <c r="O362" s="61"/>
      <c r="P362" s="61"/>
    </row>
    <row r="363">
      <c r="A363" s="65"/>
      <c r="B363" s="65"/>
      <c r="C363" s="65"/>
      <c r="D363" s="65"/>
      <c r="E363" s="65"/>
      <c r="F363" s="65"/>
      <c r="G363" s="65"/>
      <c r="H363" s="65"/>
      <c r="I363" s="65"/>
      <c r="J363" s="108"/>
      <c r="K363" s="108"/>
      <c r="L363" s="65"/>
      <c r="M363" s="111"/>
      <c r="N363" s="65"/>
      <c r="O363" s="65"/>
      <c r="P363" s="65"/>
    </row>
    <row r="364">
      <c r="A364" s="61"/>
      <c r="B364" s="61"/>
      <c r="C364" s="61"/>
      <c r="D364" s="61"/>
      <c r="E364" s="61"/>
      <c r="F364" s="61"/>
      <c r="G364" s="61"/>
      <c r="H364" s="61"/>
      <c r="I364" s="61"/>
      <c r="J364" s="107"/>
      <c r="K364" s="107"/>
      <c r="L364" s="61"/>
      <c r="M364" s="110"/>
      <c r="N364" s="61"/>
      <c r="O364" s="61"/>
      <c r="P364" s="61"/>
    </row>
    <row r="365">
      <c r="A365" s="65"/>
      <c r="B365" s="65"/>
      <c r="C365" s="65"/>
      <c r="D365" s="65"/>
      <c r="E365" s="65"/>
      <c r="F365" s="65"/>
      <c r="G365" s="65"/>
      <c r="H365" s="65"/>
      <c r="I365" s="65"/>
      <c r="J365" s="108"/>
      <c r="K365" s="108"/>
      <c r="L365" s="65"/>
      <c r="M365" s="111"/>
      <c r="N365" s="65"/>
      <c r="O365" s="65"/>
      <c r="P365" s="65"/>
    </row>
    <row r="366">
      <c r="A366" s="61"/>
      <c r="B366" s="61"/>
      <c r="C366" s="61"/>
      <c r="D366" s="61"/>
      <c r="E366" s="61"/>
      <c r="F366" s="61"/>
      <c r="G366" s="61"/>
      <c r="H366" s="61"/>
      <c r="I366" s="61"/>
      <c r="J366" s="107"/>
      <c r="K366" s="107"/>
      <c r="L366" s="61"/>
      <c r="M366" s="110"/>
      <c r="N366" s="61"/>
      <c r="O366" s="61"/>
      <c r="P366" s="61"/>
    </row>
    <row r="367">
      <c r="A367" s="65"/>
      <c r="B367" s="65"/>
      <c r="C367" s="65"/>
      <c r="D367" s="65"/>
      <c r="E367" s="65"/>
      <c r="F367" s="65"/>
      <c r="G367" s="65"/>
      <c r="H367" s="65"/>
      <c r="I367" s="65"/>
      <c r="J367" s="108"/>
      <c r="K367" s="108"/>
      <c r="L367" s="65"/>
      <c r="M367" s="111"/>
      <c r="N367" s="65"/>
      <c r="O367" s="65"/>
      <c r="P367" s="65"/>
    </row>
    <row r="368">
      <c r="A368" s="61"/>
      <c r="B368" s="61"/>
      <c r="C368" s="61"/>
      <c r="D368" s="61"/>
      <c r="E368" s="61"/>
      <c r="F368" s="61"/>
      <c r="G368" s="61"/>
      <c r="H368" s="61"/>
      <c r="I368" s="61"/>
      <c r="J368" s="107"/>
      <c r="K368" s="107"/>
      <c r="L368" s="61"/>
      <c r="M368" s="110"/>
      <c r="N368" s="61"/>
      <c r="O368" s="61"/>
      <c r="P368" s="61"/>
    </row>
    <row r="369">
      <c r="A369" s="65"/>
      <c r="B369" s="65"/>
      <c r="C369" s="65"/>
      <c r="D369" s="65"/>
      <c r="E369" s="65"/>
      <c r="F369" s="65"/>
      <c r="G369" s="65"/>
      <c r="H369" s="65"/>
      <c r="I369" s="65"/>
      <c r="J369" s="108"/>
      <c r="K369" s="108"/>
      <c r="L369" s="65"/>
      <c r="M369" s="111"/>
      <c r="N369" s="65"/>
      <c r="O369" s="65"/>
      <c r="P369" s="65"/>
    </row>
    <row r="370">
      <c r="A370" s="61"/>
      <c r="B370" s="61"/>
      <c r="C370" s="61"/>
      <c r="D370" s="61"/>
      <c r="E370" s="61"/>
      <c r="F370" s="61"/>
      <c r="G370" s="61"/>
      <c r="H370" s="61"/>
      <c r="I370" s="61"/>
      <c r="J370" s="107"/>
      <c r="K370" s="107"/>
      <c r="L370" s="61"/>
      <c r="M370" s="110"/>
      <c r="N370" s="61"/>
      <c r="O370" s="61"/>
      <c r="P370" s="61"/>
    </row>
    <row r="371">
      <c r="A371" s="65"/>
      <c r="B371" s="65"/>
      <c r="C371" s="65"/>
      <c r="D371" s="65"/>
      <c r="E371" s="65"/>
      <c r="F371" s="65"/>
      <c r="G371" s="65"/>
      <c r="H371" s="65"/>
      <c r="I371" s="65"/>
      <c r="J371" s="108"/>
      <c r="K371" s="108"/>
      <c r="L371" s="65"/>
      <c r="M371" s="111"/>
      <c r="N371" s="65"/>
      <c r="O371" s="65"/>
      <c r="P371" s="65"/>
    </row>
    <row r="372">
      <c r="A372" s="61"/>
      <c r="B372" s="61"/>
      <c r="C372" s="61"/>
      <c r="D372" s="61"/>
      <c r="E372" s="61"/>
      <c r="F372" s="61"/>
      <c r="G372" s="61"/>
      <c r="H372" s="61"/>
      <c r="I372" s="61"/>
      <c r="J372" s="107"/>
      <c r="K372" s="107"/>
      <c r="L372" s="61"/>
      <c r="M372" s="110"/>
      <c r="N372" s="61"/>
      <c r="O372" s="61"/>
      <c r="P372" s="61"/>
    </row>
    <row r="373">
      <c r="A373" s="65"/>
      <c r="B373" s="65"/>
      <c r="C373" s="65"/>
      <c r="D373" s="65"/>
      <c r="E373" s="65"/>
      <c r="F373" s="65"/>
      <c r="G373" s="65"/>
      <c r="H373" s="65"/>
      <c r="I373" s="65"/>
      <c r="J373" s="108"/>
      <c r="K373" s="108"/>
      <c r="L373" s="65"/>
      <c r="M373" s="111"/>
      <c r="N373" s="65"/>
      <c r="O373" s="65"/>
      <c r="P373" s="65"/>
    </row>
    <row r="374">
      <c r="A374" s="61"/>
      <c r="B374" s="61"/>
      <c r="C374" s="61"/>
      <c r="D374" s="61"/>
      <c r="E374" s="61"/>
      <c r="F374" s="61"/>
      <c r="G374" s="61"/>
      <c r="H374" s="61"/>
      <c r="I374" s="61"/>
      <c r="J374" s="107"/>
      <c r="K374" s="107"/>
      <c r="L374" s="61"/>
      <c r="M374" s="110"/>
      <c r="N374" s="61"/>
      <c r="O374" s="61"/>
      <c r="P374" s="61"/>
    </row>
    <row r="375">
      <c r="A375" s="65"/>
      <c r="B375" s="65"/>
      <c r="C375" s="65"/>
      <c r="D375" s="65"/>
      <c r="E375" s="65"/>
      <c r="F375" s="65"/>
      <c r="G375" s="65"/>
      <c r="H375" s="65"/>
      <c r="I375" s="65"/>
      <c r="J375" s="108"/>
      <c r="K375" s="108"/>
      <c r="L375" s="65"/>
      <c r="M375" s="111"/>
      <c r="N375" s="65"/>
      <c r="O375" s="65"/>
      <c r="P375" s="65"/>
    </row>
    <row r="376">
      <c r="A376" s="61"/>
      <c r="B376" s="61"/>
      <c r="C376" s="61"/>
      <c r="D376" s="61"/>
      <c r="E376" s="61"/>
      <c r="F376" s="61"/>
      <c r="G376" s="61"/>
      <c r="H376" s="61"/>
      <c r="I376" s="61"/>
      <c r="J376" s="107"/>
      <c r="K376" s="107"/>
      <c r="L376" s="61"/>
      <c r="M376" s="110"/>
      <c r="N376" s="61"/>
      <c r="O376" s="61"/>
      <c r="P376" s="61"/>
    </row>
    <row r="377">
      <c r="A377" s="65"/>
      <c r="B377" s="65"/>
      <c r="C377" s="65"/>
      <c r="D377" s="65"/>
      <c r="E377" s="65"/>
      <c r="F377" s="65"/>
      <c r="G377" s="65"/>
      <c r="H377" s="65"/>
      <c r="I377" s="65"/>
      <c r="J377" s="108"/>
      <c r="K377" s="108"/>
      <c r="L377" s="65"/>
      <c r="M377" s="111"/>
      <c r="N377" s="65"/>
      <c r="O377" s="65"/>
      <c r="P377" s="65"/>
    </row>
    <row r="378">
      <c r="A378" s="61"/>
      <c r="B378" s="61"/>
      <c r="C378" s="61"/>
      <c r="D378" s="61"/>
      <c r="E378" s="61"/>
      <c r="F378" s="61"/>
      <c r="G378" s="61"/>
      <c r="H378" s="61"/>
      <c r="I378" s="61"/>
      <c r="J378" s="107"/>
      <c r="K378" s="107"/>
      <c r="L378" s="61"/>
      <c r="M378" s="110"/>
      <c r="N378" s="61"/>
      <c r="O378" s="61"/>
      <c r="P378" s="61"/>
    </row>
    <row r="379">
      <c r="A379" s="65"/>
      <c r="B379" s="65"/>
      <c r="C379" s="65"/>
      <c r="D379" s="65"/>
      <c r="E379" s="65"/>
      <c r="F379" s="65"/>
      <c r="G379" s="65"/>
      <c r="H379" s="65"/>
      <c r="I379" s="65"/>
      <c r="J379" s="108"/>
      <c r="K379" s="108"/>
      <c r="L379" s="65"/>
      <c r="M379" s="111"/>
      <c r="N379" s="65"/>
      <c r="O379" s="65"/>
      <c r="P379" s="65"/>
    </row>
    <row r="380">
      <c r="A380" s="61"/>
      <c r="B380" s="61"/>
      <c r="C380" s="61"/>
      <c r="D380" s="61"/>
      <c r="E380" s="61"/>
      <c r="F380" s="61"/>
      <c r="G380" s="61"/>
      <c r="H380" s="61"/>
      <c r="I380" s="61"/>
      <c r="J380" s="107"/>
      <c r="K380" s="107"/>
      <c r="L380" s="61"/>
      <c r="M380" s="110"/>
      <c r="N380" s="61"/>
      <c r="O380" s="61"/>
      <c r="P380" s="61"/>
    </row>
    <row r="381">
      <c r="A381" s="65"/>
      <c r="B381" s="65"/>
      <c r="C381" s="65"/>
      <c r="D381" s="65"/>
      <c r="E381" s="65"/>
      <c r="F381" s="65"/>
      <c r="G381" s="65"/>
      <c r="H381" s="65"/>
      <c r="I381" s="65"/>
      <c r="J381" s="108"/>
      <c r="K381" s="108"/>
      <c r="L381" s="65"/>
      <c r="M381" s="111"/>
      <c r="N381" s="65"/>
      <c r="O381" s="65"/>
      <c r="P381" s="65"/>
    </row>
    <row r="382">
      <c r="A382" s="61"/>
      <c r="B382" s="61"/>
      <c r="C382" s="61"/>
      <c r="D382" s="61"/>
      <c r="E382" s="61"/>
      <c r="F382" s="61"/>
      <c r="G382" s="61"/>
      <c r="H382" s="61"/>
      <c r="I382" s="61"/>
      <c r="J382" s="107"/>
      <c r="K382" s="107"/>
      <c r="L382" s="61"/>
      <c r="M382" s="110"/>
      <c r="N382" s="61"/>
      <c r="O382" s="61"/>
      <c r="P382" s="61"/>
    </row>
    <row r="383">
      <c r="A383" s="65"/>
      <c r="B383" s="65"/>
      <c r="C383" s="65"/>
      <c r="D383" s="65"/>
      <c r="E383" s="65"/>
      <c r="F383" s="65"/>
      <c r="G383" s="65"/>
      <c r="H383" s="65"/>
      <c r="I383" s="65"/>
      <c r="J383" s="108"/>
      <c r="K383" s="108"/>
      <c r="L383" s="65"/>
      <c r="M383" s="111"/>
      <c r="N383" s="65"/>
      <c r="O383" s="65"/>
      <c r="P383" s="65"/>
    </row>
    <row r="384">
      <c r="A384" s="61"/>
      <c r="B384" s="61"/>
      <c r="C384" s="61"/>
      <c r="D384" s="61"/>
      <c r="E384" s="61"/>
      <c r="F384" s="61"/>
      <c r="G384" s="61"/>
      <c r="H384" s="61"/>
      <c r="I384" s="61"/>
      <c r="J384" s="107"/>
      <c r="K384" s="107"/>
      <c r="L384" s="61"/>
      <c r="M384" s="110"/>
      <c r="N384" s="61"/>
      <c r="O384" s="61"/>
      <c r="P384" s="61"/>
    </row>
    <row r="385">
      <c r="A385" s="65"/>
      <c r="B385" s="65"/>
      <c r="C385" s="65"/>
      <c r="D385" s="65"/>
      <c r="E385" s="65"/>
      <c r="F385" s="65"/>
      <c r="G385" s="65"/>
      <c r="H385" s="65"/>
      <c r="I385" s="65"/>
      <c r="J385" s="108"/>
      <c r="K385" s="108"/>
      <c r="L385" s="65"/>
      <c r="M385" s="111"/>
      <c r="N385" s="65"/>
      <c r="O385" s="65"/>
      <c r="P385" s="65"/>
    </row>
    <row r="386">
      <c r="A386" s="61"/>
      <c r="B386" s="61"/>
      <c r="C386" s="61"/>
      <c r="D386" s="61"/>
      <c r="E386" s="61"/>
      <c r="F386" s="61"/>
      <c r="G386" s="61"/>
      <c r="H386" s="61"/>
      <c r="I386" s="61"/>
      <c r="J386" s="107"/>
      <c r="K386" s="107"/>
      <c r="L386" s="61"/>
      <c r="M386" s="110"/>
      <c r="N386" s="61"/>
      <c r="O386" s="61"/>
      <c r="P386" s="61"/>
    </row>
    <row r="387">
      <c r="A387" s="65"/>
      <c r="B387" s="65"/>
      <c r="C387" s="65"/>
      <c r="D387" s="65"/>
      <c r="E387" s="65"/>
      <c r="F387" s="65"/>
      <c r="G387" s="65"/>
      <c r="H387" s="65"/>
      <c r="I387" s="65"/>
      <c r="J387" s="108"/>
      <c r="K387" s="108"/>
      <c r="L387" s="65"/>
      <c r="M387" s="111"/>
      <c r="N387" s="65"/>
      <c r="O387" s="65"/>
      <c r="P387" s="65"/>
    </row>
    <row r="388">
      <c r="A388" s="61"/>
      <c r="B388" s="61"/>
      <c r="C388" s="61"/>
      <c r="D388" s="61"/>
      <c r="E388" s="61"/>
      <c r="F388" s="61"/>
      <c r="G388" s="61"/>
      <c r="H388" s="61"/>
      <c r="I388" s="61"/>
      <c r="J388" s="107"/>
      <c r="K388" s="107"/>
      <c r="L388" s="61"/>
      <c r="M388" s="110"/>
      <c r="N388" s="61"/>
      <c r="O388" s="61"/>
      <c r="P388" s="61"/>
    </row>
    <row r="389">
      <c r="A389" s="65"/>
      <c r="B389" s="65"/>
      <c r="C389" s="65"/>
      <c r="D389" s="65"/>
      <c r="E389" s="65"/>
      <c r="F389" s="65"/>
      <c r="G389" s="65"/>
      <c r="H389" s="65"/>
      <c r="I389" s="65"/>
      <c r="J389" s="108"/>
      <c r="K389" s="108"/>
      <c r="L389" s="65"/>
      <c r="M389" s="111"/>
      <c r="N389" s="65"/>
      <c r="O389" s="65"/>
      <c r="P389" s="65"/>
    </row>
    <row r="390">
      <c r="A390" s="61"/>
      <c r="B390" s="61"/>
      <c r="C390" s="61"/>
      <c r="D390" s="61"/>
      <c r="E390" s="61"/>
      <c r="F390" s="61"/>
      <c r="G390" s="61"/>
      <c r="H390" s="61"/>
      <c r="I390" s="61"/>
      <c r="J390" s="107"/>
      <c r="K390" s="107"/>
      <c r="L390" s="61"/>
      <c r="M390" s="110"/>
      <c r="N390" s="61"/>
      <c r="O390" s="61"/>
      <c r="P390" s="61"/>
    </row>
    <row r="391">
      <c r="A391" s="65"/>
      <c r="B391" s="65"/>
      <c r="C391" s="65"/>
      <c r="D391" s="65"/>
      <c r="E391" s="65"/>
      <c r="F391" s="65"/>
      <c r="G391" s="65"/>
      <c r="H391" s="65"/>
      <c r="I391" s="65"/>
      <c r="J391" s="108"/>
      <c r="K391" s="108"/>
      <c r="L391" s="65"/>
      <c r="M391" s="111"/>
      <c r="N391" s="65"/>
      <c r="O391" s="65"/>
      <c r="P391" s="65"/>
    </row>
    <row r="392">
      <c r="A392" s="61"/>
      <c r="B392" s="61"/>
      <c r="C392" s="61"/>
      <c r="D392" s="61"/>
      <c r="E392" s="61"/>
      <c r="F392" s="61"/>
      <c r="G392" s="61"/>
      <c r="H392" s="61"/>
      <c r="I392" s="61"/>
      <c r="J392" s="107"/>
      <c r="K392" s="107"/>
      <c r="L392" s="61"/>
      <c r="M392" s="110"/>
      <c r="N392" s="61"/>
      <c r="O392" s="61"/>
      <c r="P392" s="61"/>
    </row>
    <row r="393">
      <c r="A393" s="65"/>
      <c r="B393" s="65"/>
      <c r="C393" s="65"/>
      <c r="D393" s="65"/>
      <c r="E393" s="65"/>
      <c r="F393" s="65"/>
      <c r="G393" s="65"/>
      <c r="H393" s="65"/>
      <c r="I393" s="65"/>
      <c r="J393" s="108"/>
      <c r="K393" s="108"/>
      <c r="L393" s="65"/>
      <c r="M393" s="111"/>
      <c r="N393" s="65"/>
      <c r="O393" s="65"/>
      <c r="P393" s="65"/>
    </row>
    <row r="394">
      <c r="A394" s="61"/>
      <c r="B394" s="61"/>
      <c r="C394" s="61"/>
      <c r="D394" s="61"/>
      <c r="E394" s="61"/>
      <c r="F394" s="61"/>
      <c r="G394" s="61"/>
      <c r="H394" s="61"/>
      <c r="I394" s="61"/>
      <c r="J394" s="107"/>
      <c r="K394" s="107"/>
      <c r="L394" s="61"/>
      <c r="M394" s="110"/>
      <c r="N394" s="61"/>
      <c r="O394" s="61"/>
      <c r="P394" s="61"/>
    </row>
    <row r="395">
      <c r="A395" s="65"/>
      <c r="B395" s="65"/>
      <c r="C395" s="65"/>
      <c r="D395" s="65"/>
      <c r="E395" s="65"/>
      <c r="F395" s="65"/>
      <c r="G395" s="65"/>
      <c r="H395" s="65"/>
      <c r="I395" s="65"/>
      <c r="J395" s="108"/>
      <c r="K395" s="108"/>
      <c r="L395" s="65"/>
      <c r="M395" s="111"/>
      <c r="N395" s="65"/>
      <c r="O395" s="65"/>
      <c r="P395" s="65"/>
    </row>
    <row r="396">
      <c r="A396" s="61"/>
      <c r="B396" s="61"/>
      <c r="C396" s="61"/>
      <c r="D396" s="61"/>
      <c r="E396" s="61"/>
      <c r="F396" s="61"/>
      <c r="G396" s="61"/>
      <c r="H396" s="61"/>
      <c r="I396" s="61"/>
      <c r="J396" s="107"/>
      <c r="K396" s="107"/>
      <c r="L396" s="61"/>
      <c r="M396" s="110"/>
      <c r="N396" s="61"/>
      <c r="O396" s="61"/>
      <c r="P396" s="61"/>
    </row>
    <row r="397">
      <c r="A397" s="65"/>
      <c r="B397" s="65"/>
      <c r="C397" s="65"/>
      <c r="D397" s="65"/>
      <c r="E397" s="65"/>
      <c r="F397" s="65"/>
      <c r="G397" s="65"/>
      <c r="H397" s="65"/>
      <c r="I397" s="65"/>
      <c r="J397" s="108"/>
      <c r="K397" s="108"/>
      <c r="L397" s="65"/>
      <c r="M397" s="111"/>
      <c r="N397" s="65"/>
      <c r="O397" s="65"/>
      <c r="P397" s="65"/>
    </row>
    <row r="398">
      <c r="A398" s="61"/>
      <c r="B398" s="61"/>
      <c r="C398" s="61"/>
      <c r="D398" s="61"/>
      <c r="E398" s="61"/>
      <c r="F398" s="61"/>
      <c r="G398" s="61"/>
      <c r="H398" s="61"/>
      <c r="I398" s="61"/>
      <c r="J398" s="107"/>
      <c r="K398" s="107"/>
      <c r="L398" s="61"/>
      <c r="M398" s="110"/>
      <c r="N398" s="61"/>
      <c r="O398" s="61"/>
      <c r="P398" s="61"/>
    </row>
    <row r="399">
      <c r="A399" s="65"/>
      <c r="B399" s="65"/>
      <c r="C399" s="65"/>
      <c r="D399" s="65"/>
      <c r="E399" s="65"/>
      <c r="F399" s="65"/>
      <c r="G399" s="65"/>
      <c r="H399" s="65"/>
      <c r="I399" s="65"/>
      <c r="J399" s="108"/>
      <c r="K399" s="108"/>
      <c r="L399" s="65"/>
      <c r="M399" s="111"/>
      <c r="N399" s="65"/>
      <c r="O399" s="65"/>
      <c r="P399" s="65"/>
    </row>
    <row r="400">
      <c r="A400" s="61"/>
      <c r="B400" s="61"/>
      <c r="C400" s="61"/>
      <c r="D400" s="61"/>
      <c r="E400" s="61"/>
      <c r="F400" s="61"/>
      <c r="G400" s="61"/>
      <c r="H400" s="61"/>
      <c r="I400" s="61"/>
      <c r="J400" s="107"/>
      <c r="K400" s="107"/>
      <c r="L400" s="61"/>
      <c r="M400" s="110"/>
      <c r="N400" s="61"/>
      <c r="O400" s="61"/>
      <c r="P400" s="61"/>
    </row>
    <row r="401">
      <c r="A401" s="65"/>
      <c r="B401" s="65"/>
      <c r="C401" s="65"/>
      <c r="D401" s="65"/>
      <c r="E401" s="65"/>
      <c r="F401" s="65"/>
      <c r="G401" s="65"/>
      <c r="H401" s="65"/>
      <c r="I401" s="65"/>
      <c r="J401" s="108"/>
      <c r="K401" s="108"/>
      <c r="L401" s="65"/>
      <c r="M401" s="111"/>
      <c r="N401" s="65"/>
      <c r="O401" s="65"/>
      <c r="P401" s="65"/>
    </row>
    <row r="402">
      <c r="A402" s="61"/>
      <c r="B402" s="61"/>
      <c r="C402" s="61"/>
      <c r="D402" s="61"/>
      <c r="E402" s="61"/>
      <c r="F402" s="61"/>
      <c r="G402" s="61"/>
      <c r="H402" s="61"/>
      <c r="I402" s="61"/>
      <c r="J402" s="107"/>
      <c r="K402" s="107"/>
      <c r="L402" s="61"/>
      <c r="M402" s="110"/>
      <c r="N402" s="61"/>
      <c r="O402" s="61"/>
      <c r="P402" s="61"/>
    </row>
    <row r="403">
      <c r="A403" s="65"/>
      <c r="B403" s="65"/>
      <c r="C403" s="65"/>
      <c r="D403" s="65"/>
      <c r="E403" s="65"/>
      <c r="F403" s="65"/>
      <c r="G403" s="65"/>
      <c r="H403" s="65"/>
      <c r="I403" s="65"/>
      <c r="J403" s="108"/>
      <c r="K403" s="108"/>
      <c r="L403" s="65"/>
      <c r="M403" s="111"/>
      <c r="N403" s="65"/>
      <c r="O403" s="65"/>
      <c r="P403" s="65"/>
    </row>
    <row r="404">
      <c r="A404" s="61"/>
      <c r="B404" s="61"/>
      <c r="C404" s="61"/>
      <c r="D404" s="61"/>
      <c r="E404" s="61"/>
      <c r="F404" s="61"/>
      <c r="G404" s="61"/>
      <c r="H404" s="61"/>
      <c r="I404" s="61"/>
      <c r="J404" s="107"/>
      <c r="K404" s="107"/>
      <c r="L404" s="61"/>
      <c r="M404" s="110"/>
      <c r="N404" s="61"/>
      <c r="O404" s="61"/>
      <c r="P404" s="61"/>
    </row>
    <row r="405">
      <c r="A405" s="65"/>
      <c r="B405" s="65"/>
      <c r="C405" s="65"/>
      <c r="D405" s="65"/>
      <c r="E405" s="65"/>
      <c r="F405" s="65"/>
      <c r="G405" s="65"/>
      <c r="H405" s="65"/>
      <c r="I405" s="65"/>
      <c r="J405" s="108"/>
      <c r="K405" s="108"/>
      <c r="L405" s="65"/>
      <c r="M405" s="111"/>
      <c r="N405" s="65"/>
      <c r="O405" s="65"/>
      <c r="P405" s="65"/>
    </row>
    <row r="406">
      <c r="A406" s="61"/>
      <c r="B406" s="61"/>
      <c r="C406" s="61"/>
      <c r="D406" s="61"/>
      <c r="E406" s="61"/>
      <c r="F406" s="61"/>
      <c r="G406" s="61"/>
      <c r="H406" s="61"/>
      <c r="I406" s="61"/>
      <c r="J406" s="107"/>
      <c r="K406" s="107"/>
      <c r="L406" s="61"/>
      <c r="M406" s="110"/>
      <c r="N406" s="61"/>
      <c r="O406" s="61"/>
      <c r="P406" s="61"/>
    </row>
    <row r="407">
      <c r="A407" s="65"/>
      <c r="B407" s="65"/>
      <c r="C407" s="65"/>
      <c r="D407" s="65"/>
      <c r="E407" s="65"/>
      <c r="F407" s="65"/>
      <c r="G407" s="65"/>
      <c r="H407" s="65"/>
      <c r="I407" s="65"/>
      <c r="J407" s="108"/>
      <c r="K407" s="108"/>
      <c r="L407" s="65"/>
      <c r="M407" s="111"/>
      <c r="N407" s="65"/>
      <c r="O407" s="65"/>
      <c r="P407" s="65"/>
    </row>
    <row r="408">
      <c r="A408" s="61"/>
      <c r="B408" s="61"/>
      <c r="C408" s="61"/>
      <c r="D408" s="61"/>
      <c r="E408" s="61"/>
      <c r="F408" s="61"/>
      <c r="G408" s="61"/>
      <c r="H408" s="61"/>
      <c r="I408" s="61"/>
      <c r="J408" s="107"/>
      <c r="K408" s="107"/>
      <c r="L408" s="61"/>
      <c r="M408" s="110"/>
      <c r="N408" s="61"/>
      <c r="O408" s="61"/>
      <c r="P408" s="61"/>
    </row>
    <row r="409">
      <c r="A409" s="65"/>
      <c r="B409" s="65"/>
      <c r="C409" s="65"/>
      <c r="D409" s="65"/>
      <c r="E409" s="65"/>
      <c r="F409" s="65"/>
      <c r="G409" s="65"/>
      <c r="H409" s="65"/>
      <c r="I409" s="65"/>
      <c r="J409" s="108"/>
      <c r="K409" s="108"/>
      <c r="L409" s="65"/>
      <c r="M409" s="111"/>
      <c r="N409" s="65"/>
      <c r="O409" s="65"/>
      <c r="P409" s="65"/>
    </row>
    <row r="410">
      <c r="A410" s="61"/>
      <c r="B410" s="61"/>
      <c r="C410" s="61"/>
      <c r="D410" s="61"/>
      <c r="E410" s="61"/>
      <c r="F410" s="61"/>
      <c r="G410" s="61"/>
      <c r="H410" s="61"/>
      <c r="I410" s="61"/>
      <c r="J410" s="107"/>
      <c r="K410" s="107"/>
      <c r="L410" s="61"/>
      <c r="M410" s="110"/>
      <c r="N410" s="61"/>
      <c r="O410" s="61"/>
      <c r="P410" s="61"/>
    </row>
    <row r="411">
      <c r="A411" s="65"/>
      <c r="B411" s="65"/>
      <c r="C411" s="65"/>
      <c r="D411" s="65"/>
      <c r="E411" s="65"/>
      <c r="F411" s="65"/>
      <c r="G411" s="65"/>
      <c r="H411" s="65"/>
      <c r="I411" s="65"/>
      <c r="J411" s="108"/>
      <c r="K411" s="108"/>
      <c r="L411" s="65"/>
      <c r="M411" s="111"/>
      <c r="N411" s="65"/>
      <c r="O411" s="65"/>
      <c r="P411" s="65"/>
    </row>
    <row r="412">
      <c r="A412" s="61"/>
      <c r="B412" s="61"/>
      <c r="C412" s="61"/>
      <c r="D412" s="61"/>
      <c r="E412" s="61"/>
      <c r="F412" s="61"/>
      <c r="G412" s="61"/>
      <c r="H412" s="61"/>
      <c r="I412" s="61"/>
      <c r="J412" s="107"/>
      <c r="K412" s="107"/>
      <c r="L412" s="61"/>
      <c r="M412" s="110"/>
      <c r="N412" s="61"/>
      <c r="O412" s="61"/>
      <c r="P412" s="61"/>
    </row>
    <row r="413">
      <c r="A413" s="65"/>
      <c r="B413" s="65"/>
      <c r="C413" s="65"/>
      <c r="D413" s="65"/>
      <c r="E413" s="65"/>
      <c r="F413" s="65"/>
      <c r="G413" s="65"/>
      <c r="H413" s="65"/>
      <c r="I413" s="65"/>
      <c r="J413" s="108"/>
      <c r="K413" s="108"/>
      <c r="L413" s="65"/>
      <c r="M413" s="111"/>
      <c r="N413" s="65"/>
      <c r="O413" s="65"/>
      <c r="P413" s="65"/>
    </row>
    <row r="414">
      <c r="A414" s="61"/>
      <c r="B414" s="61"/>
      <c r="C414" s="61"/>
      <c r="D414" s="61"/>
      <c r="E414" s="61"/>
      <c r="F414" s="61"/>
      <c r="G414" s="61"/>
      <c r="H414" s="61"/>
      <c r="I414" s="61"/>
      <c r="J414" s="107"/>
      <c r="K414" s="107"/>
      <c r="L414" s="61"/>
      <c r="M414" s="110"/>
      <c r="N414" s="61"/>
      <c r="O414" s="61"/>
      <c r="P414" s="61"/>
    </row>
    <row r="415">
      <c r="A415" s="65"/>
      <c r="B415" s="65"/>
      <c r="C415" s="65"/>
      <c r="D415" s="65"/>
      <c r="E415" s="65"/>
      <c r="F415" s="65"/>
      <c r="G415" s="65"/>
      <c r="H415" s="65"/>
      <c r="I415" s="65"/>
      <c r="J415" s="108"/>
      <c r="K415" s="108"/>
      <c r="L415" s="65"/>
      <c r="M415" s="111"/>
      <c r="N415" s="65"/>
      <c r="O415" s="65"/>
      <c r="P415" s="65"/>
    </row>
    <row r="416">
      <c r="A416" s="61"/>
      <c r="B416" s="61"/>
      <c r="C416" s="61"/>
      <c r="D416" s="61"/>
      <c r="E416" s="61"/>
      <c r="F416" s="61"/>
      <c r="G416" s="61"/>
      <c r="H416" s="61"/>
      <c r="I416" s="61"/>
      <c r="J416" s="107"/>
      <c r="K416" s="107"/>
      <c r="L416" s="61"/>
      <c r="M416" s="110"/>
      <c r="N416" s="61"/>
      <c r="O416" s="61"/>
      <c r="P416" s="61"/>
    </row>
    <row r="417">
      <c r="A417" s="65"/>
      <c r="B417" s="65"/>
      <c r="C417" s="65"/>
      <c r="D417" s="65"/>
      <c r="E417" s="65"/>
      <c r="F417" s="65"/>
      <c r="G417" s="65"/>
      <c r="H417" s="65"/>
      <c r="I417" s="65"/>
      <c r="J417" s="108"/>
      <c r="K417" s="108"/>
      <c r="L417" s="65"/>
      <c r="M417" s="111"/>
      <c r="N417" s="65"/>
      <c r="O417" s="65"/>
      <c r="P417" s="65"/>
    </row>
    <row r="418">
      <c r="A418" s="61"/>
      <c r="B418" s="61"/>
      <c r="C418" s="61"/>
      <c r="D418" s="61"/>
      <c r="E418" s="61"/>
      <c r="F418" s="61"/>
      <c r="G418" s="61"/>
      <c r="H418" s="61"/>
      <c r="I418" s="61"/>
      <c r="J418" s="107"/>
      <c r="K418" s="107"/>
      <c r="L418" s="61"/>
      <c r="M418" s="110"/>
      <c r="N418" s="61"/>
      <c r="O418" s="61"/>
      <c r="P418" s="61"/>
    </row>
    <row r="419">
      <c r="A419" s="65"/>
      <c r="B419" s="65"/>
      <c r="C419" s="65"/>
      <c r="D419" s="65"/>
      <c r="E419" s="65"/>
      <c r="F419" s="65"/>
      <c r="G419" s="65"/>
      <c r="H419" s="65"/>
      <c r="I419" s="65"/>
      <c r="J419" s="108"/>
      <c r="K419" s="108"/>
      <c r="L419" s="65"/>
      <c r="M419" s="111"/>
      <c r="N419" s="65"/>
      <c r="O419" s="65"/>
      <c r="P419" s="65"/>
    </row>
    <row r="420">
      <c r="A420" s="61"/>
      <c r="B420" s="61"/>
      <c r="C420" s="61"/>
      <c r="D420" s="61"/>
      <c r="E420" s="61"/>
      <c r="F420" s="61"/>
      <c r="G420" s="61"/>
      <c r="H420" s="61"/>
      <c r="I420" s="61"/>
      <c r="J420" s="107"/>
      <c r="K420" s="107"/>
      <c r="L420" s="61"/>
      <c r="M420" s="110"/>
      <c r="N420" s="61"/>
      <c r="O420" s="61"/>
      <c r="P420" s="61"/>
    </row>
    <row r="421">
      <c r="A421" s="65"/>
      <c r="B421" s="65"/>
      <c r="C421" s="65"/>
      <c r="D421" s="65"/>
      <c r="E421" s="65"/>
      <c r="F421" s="65"/>
      <c r="G421" s="65"/>
      <c r="H421" s="65"/>
      <c r="I421" s="65"/>
      <c r="J421" s="108"/>
      <c r="K421" s="108"/>
      <c r="L421" s="65"/>
      <c r="M421" s="111"/>
      <c r="N421" s="65"/>
      <c r="O421" s="65"/>
      <c r="P421" s="65"/>
    </row>
    <row r="422">
      <c r="A422" s="61"/>
      <c r="B422" s="61"/>
      <c r="C422" s="61"/>
      <c r="D422" s="61"/>
      <c r="E422" s="61"/>
      <c r="F422" s="61"/>
      <c r="G422" s="61"/>
      <c r="H422" s="61"/>
      <c r="I422" s="61"/>
      <c r="J422" s="107"/>
      <c r="K422" s="107"/>
      <c r="L422" s="61"/>
      <c r="M422" s="110"/>
      <c r="N422" s="61"/>
      <c r="O422" s="61"/>
      <c r="P422" s="61"/>
    </row>
    <row r="423">
      <c r="A423" s="65"/>
      <c r="B423" s="65"/>
      <c r="C423" s="65"/>
      <c r="D423" s="65"/>
      <c r="E423" s="65"/>
      <c r="F423" s="65"/>
      <c r="G423" s="65"/>
      <c r="H423" s="65"/>
      <c r="I423" s="65"/>
      <c r="J423" s="108"/>
      <c r="K423" s="108"/>
      <c r="L423" s="65"/>
      <c r="M423" s="111"/>
      <c r="N423" s="65"/>
      <c r="O423" s="65"/>
      <c r="P423" s="65"/>
    </row>
    <row r="424">
      <c r="A424" s="61"/>
      <c r="B424" s="61"/>
      <c r="C424" s="61"/>
      <c r="D424" s="61"/>
      <c r="E424" s="61"/>
      <c r="F424" s="61"/>
      <c r="G424" s="61"/>
      <c r="H424" s="61"/>
      <c r="I424" s="61"/>
      <c r="J424" s="107"/>
      <c r="K424" s="107"/>
      <c r="L424" s="61"/>
      <c r="M424" s="110"/>
      <c r="N424" s="61"/>
      <c r="O424" s="61"/>
      <c r="P424" s="61"/>
    </row>
    <row r="425">
      <c r="A425" s="65"/>
      <c r="B425" s="65"/>
      <c r="C425" s="65"/>
      <c r="D425" s="65"/>
      <c r="E425" s="65"/>
      <c r="F425" s="65"/>
      <c r="G425" s="65"/>
      <c r="H425" s="65"/>
      <c r="I425" s="65"/>
      <c r="J425" s="108"/>
      <c r="K425" s="108"/>
      <c r="L425" s="65"/>
      <c r="M425" s="111"/>
      <c r="N425" s="65"/>
      <c r="O425" s="65"/>
      <c r="P425" s="65"/>
    </row>
    <row r="426">
      <c r="A426" s="61"/>
      <c r="B426" s="61"/>
      <c r="C426" s="61"/>
      <c r="D426" s="61"/>
      <c r="E426" s="61"/>
      <c r="F426" s="61"/>
      <c r="G426" s="61"/>
      <c r="H426" s="61"/>
      <c r="I426" s="61"/>
      <c r="J426" s="107"/>
      <c r="K426" s="107"/>
      <c r="L426" s="61"/>
      <c r="M426" s="110"/>
      <c r="N426" s="61"/>
      <c r="O426" s="61"/>
      <c r="P426" s="61"/>
    </row>
    <row r="427">
      <c r="A427" s="65"/>
      <c r="B427" s="65"/>
      <c r="C427" s="65"/>
      <c r="D427" s="65"/>
      <c r="E427" s="65"/>
      <c r="F427" s="65"/>
      <c r="G427" s="65"/>
      <c r="H427" s="65"/>
      <c r="I427" s="65"/>
      <c r="J427" s="108"/>
      <c r="K427" s="108"/>
      <c r="L427" s="65"/>
      <c r="M427" s="111"/>
      <c r="N427" s="65"/>
      <c r="O427" s="65"/>
      <c r="P427" s="65"/>
    </row>
    <row r="428">
      <c r="A428" s="61"/>
      <c r="B428" s="61"/>
      <c r="C428" s="61"/>
      <c r="D428" s="61"/>
      <c r="E428" s="61"/>
      <c r="F428" s="61"/>
      <c r="G428" s="61"/>
      <c r="H428" s="61"/>
      <c r="I428" s="61"/>
      <c r="J428" s="107"/>
      <c r="K428" s="107"/>
      <c r="L428" s="61"/>
      <c r="M428" s="110"/>
      <c r="N428" s="61"/>
      <c r="O428" s="61"/>
      <c r="P428" s="61"/>
    </row>
    <row r="429">
      <c r="A429" s="65"/>
      <c r="B429" s="65"/>
      <c r="C429" s="65"/>
      <c r="D429" s="65"/>
      <c r="E429" s="65"/>
      <c r="F429" s="65"/>
      <c r="G429" s="65"/>
      <c r="H429" s="65"/>
      <c r="I429" s="65"/>
      <c r="J429" s="108"/>
      <c r="K429" s="108"/>
      <c r="L429" s="65"/>
      <c r="M429" s="111"/>
      <c r="N429" s="65"/>
      <c r="O429" s="65"/>
      <c r="P429" s="65"/>
    </row>
    <row r="430">
      <c r="A430" s="61"/>
      <c r="B430" s="61"/>
      <c r="C430" s="61"/>
      <c r="D430" s="61"/>
      <c r="E430" s="61"/>
      <c r="F430" s="61"/>
      <c r="G430" s="61"/>
      <c r="H430" s="61"/>
      <c r="I430" s="61"/>
      <c r="J430" s="107"/>
      <c r="K430" s="107"/>
      <c r="L430" s="61"/>
      <c r="M430" s="110"/>
      <c r="N430" s="61"/>
      <c r="O430" s="61"/>
      <c r="P430" s="61"/>
    </row>
    <row r="431">
      <c r="A431" s="65"/>
      <c r="B431" s="65"/>
      <c r="C431" s="65"/>
      <c r="D431" s="65"/>
      <c r="E431" s="65"/>
      <c r="F431" s="65"/>
      <c r="G431" s="65"/>
      <c r="H431" s="65"/>
      <c r="I431" s="65"/>
      <c r="J431" s="108"/>
      <c r="K431" s="108"/>
      <c r="L431" s="65"/>
      <c r="M431" s="111"/>
      <c r="N431" s="65"/>
      <c r="O431" s="65"/>
      <c r="P431" s="65"/>
    </row>
    <row r="432">
      <c r="A432" s="61"/>
      <c r="B432" s="61"/>
      <c r="C432" s="61"/>
      <c r="D432" s="61"/>
      <c r="E432" s="61"/>
      <c r="F432" s="61"/>
      <c r="G432" s="61"/>
      <c r="H432" s="61"/>
      <c r="I432" s="61"/>
      <c r="J432" s="107"/>
      <c r="K432" s="107"/>
      <c r="L432" s="61"/>
      <c r="M432" s="110"/>
      <c r="N432" s="61"/>
      <c r="O432" s="61"/>
      <c r="P432" s="61"/>
    </row>
    <row r="433">
      <c r="A433" s="65"/>
      <c r="B433" s="65"/>
      <c r="C433" s="65"/>
      <c r="D433" s="65"/>
      <c r="E433" s="65"/>
      <c r="F433" s="65"/>
      <c r="G433" s="65"/>
      <c r="H433" s="65"/>
      <c r="I433" s="65"/>
      <c r="J433" s="108"/>
      <c r="K433" s="108"/>
      <c r="L433" s="65"/>
      <c r="M433" s="111"/>
      <c r="N433" s="65"/>
      <c r="O433" s="65"/>
      <c r="P433" s="65"/>
    </row>
    <row r="434">
      <c r="A434" s="61"/>
      <c r="B434" s="61"/>
      <c r="C434" s="61"/>
      <c r="D434" s="61"/>
      <c r="E434" s="61"/>
      <c r="F434" s="61"/>
      <c r="G434" s="61"/>
      <c r="H434" s="61"/>
      <c r="I434" s="61"/>
      <c r="J434" s="107"/>
      <c r="K434" s="107"/>
      <c r="L434" s="61"/>
      <c r="M434" s="110"/>
      <c r="N434" s="61"/>
      <c r="O434" s="61"/>
      <c r="P434" s="61"/>
    </row>
    <row r="435">
      <c r="A435" s="65"/>
      <c r="B435" s="65"/>
      <c r="C435" s="65"/>
      <c r="D435" s="65"/>
      <c r="E435" s="65"/>
      <c r="F435" s="65"/>
      <c r="G435" s="65"/>
      <c r="H435" s="65"/>
      <c r="I435" s="65"/>
      <c r="J435" s="108"/>
      <c r="K435" s="108"/>
      <c r="L435" s="65"/>
      <c r="M435" s="111"/>
      <c r="N435" s="65"/>
      <c r="O435" s="65"/>
      <c r="P435" s="65"/>
    </row>
    <row r="436">
      <c r="A436" s="61"/>
      <c r="B436" s="61"/>
      <c r="C436" s="61"/>
      <c r="D436" s="61"/>
      <c r="E436" s="61"/>
      <c r="F436" s="61"/>
      <c r="G436" s="61"/>
      <c r="H436" s="61"/>
      <c r="I436" s="61"/>
      <c r="J436" s="107"/>
      <c r="K436" s="107"/>
      <c r="L436" s="61"/>
      <c r="M436" s="110"/>
      <c r="N436" s="61"/>
      <c r="O436" s="61"/>
      <c r="P436" s="61"/>
    </row>
    <row r="437">
      <c r="A437" s="65"/>
      <c r="B437" s="65"/>
      <c r="C437" s="65"/>
      <c r="D437" s="65"/>
      <c r="E437" s="65"/>
      <c r="F437" s="65"/>
      <c r="G437" s="65"/>
      <c r="H437" s="65"/>
      <c r="I437" s="65"/>
      <c r="J437" s="108"/>
      <c r="K437" s="108"/>
      <c r="L437" s="65"/>
      <c r="M437" s="111"/>
      <c r="N437" s="65"/>
      <c r="O437" s="65"/>
      <c r="P437" s="65"/>
    </row>
    <row r="438">
      <c r="A438" s="61"/>
      <c r="B438" s="61"/>
      <c r="C438" s="61"/>
      <c r="D438" s="61"/>
      <c r="E438" s="61"/>
      <c r="F438" s="61"/>
      <c r="G438" s="61"/>
      <c r="H438" s="61"/>
      <c r="I438" s="61"/>
      <c r="J438" s="107"/>
      <c r="K438" s="107"/>
      <c r="L438" s="61"/>
      <c r="M438" s="110"/>
      <c r="N438" s="61"/>
      <c r="O438" s="61"/>
      <c r="P438" s="61"/>
    </row>
    <row r="439">
      <c r="A439" s="65"/>
      <c r="B439" s="65"/>
      <c r="C439" s="65"/>
      <c r="D439" s="65"/>
      <c r="E439" s="65"/>
      <c r="F439" s="65"/>
      <c r="G439" s="65"/>
      <c r="H439" s="65"/>
      <c r="I439" s="65"/>
      <c r="J439" s="108"/>
      <c r="K439" s="108"/>
      <c r="L439" s="65"/>
      <c r="M439" s="111"/>
      <c r="N439" s="65"/>
      <c r="O439" s="65"/>
      <c r="P439" s="65"/>
    </row>
    <row r="440">
      <c r="A440" s="61"/>
      <c r="B440" s="61"/>
      <c r="C440" s="61"/>
      <c r="D440" s="61"/>
      <c r="E440" s="61"/>
      <c r="F440" s="61"/>
      <c r="G440" s="61"/>
      <c r="H440" s="61"/>
      <c r="I440" s="61"/>
      <c r="J440" s="107"/>
      <c r="K440" s="107"/>
      <c r="L440" s="61"/>
      <c r="M440" s="110"/>
      <c r="N440" s="61"/>
      <c r="O440" s="61"/>
      <c r="P440" s="61"/>
    </row>
    <row r="441">
      <c r="A441" s="65"/>
      <c r="B441" s="65"/>
      <c r="C441" s="65"/>
      <c r="D441" s="65"/>
      <c r="E441" s="65"/>
      <c r="F441" s="65"/>
      <c r="G441" s="65"/>
      <c r="H441" s="65"/>
      <c r="I441" s="65"/>
      <c r="J441" s="108"/>
      <c r="K441" s="108"/>
      <c r="L441" s="65"/>
      <c r="M441" s="111"/>
      <c r="N441" s="65"/>
      <c r="O441" s="65"/>
      <c r="P441" s="65"/>
    </row>
    <row r="442">
      <c r="A442" s="61"/>
      <c r="B442" s="61"/>
      <c r="C442" s="61"/>
      <c r="D442" s="61"/>
      <c r="E442" s="61"/>
      <c r="F442" s="61"/>
      <c r="G442" s="61"/>
      <c r="H442" s="61"/>
      <c r="I442" s="61"/>
      <c r="J442" s="107"/>
      <c r="K442" s="107"/>
      <c r="L442" s="61"/>
      <c r="M442" s="110"/>
      <c r="N442" s="61"/>
      <c r="O442" s="61"/>
      <c r="P442" s="61"/>
    </row>
    <row r="443">
      <c r="A443" s="65"/>
      <c r="B443" s="65"/>
      <c r="C443" s="65"/>
      <c r="D443" s="65"/>
      <c r="E443" s="65"/>
      <c r="F443" s="65"/>
      <c r="G443" s="65"/>
      <c r="H443" s="65"/>
      <c r="I443" s="65"/>
      <c r="J443" s="108"/>
      <c r="K443" s="108"/>
      <c r="L443" s="65"/>
      <c r="M443" s="111"/>
      <c r="N443" s="65"/>
      <c r="O443" s="65"/>
      <c r="P443" s="65"/>
    </row>
    <row r="444">
      <c r="A444" s="61"/>
      <c r="B444" s="61"/>
      <c r="C444" s="61"/>
      <c r="D444" s="61"/>
      <c r="E444" s="61"/>
      <c r="F444" s="61"/>
      <c r="G444" s="61"/>
      <c r="H444" s="61"/>
      <c r="I444" s="61"/>
      <c r="J444" s="107"/>
      <c r="K444" s="107"/>
      <c r="L444" s="61"/>
      <c r="M444" s="110"/>
      <c r="N444" s="61"/>
      <c r="O444" s="61"/>
      <c r="P444" s="61"/>
    </row>
    <row r="445">
      <c r="A445" s="65"/>
      <c r="B445" s="65"/>
      <c r="C445" s="65"/>
      <c r="D445" s="65"/>
      <c r="E445" s="65"/>
      <c r="F445" s="65"/>
      <c r="G445" s="65"/>
      <c r="H445" s="65"/>
      <c r="I445" s="65"/>
      <c r="J445" s="108"/>
      <c r="K445" s="108"/>
      <c r="L445" s="65"/>
      <c r="M445" s="111"/>
      <c r="N445" s="65"/>
      <c r="O445" s="65"/>
      <c r="P445" s="65"/>
    </row>
    <row r="446">
      <c r="A446" s="61"/>
      <c r="B446" s="61"/>
      <c r="C446" s="61"/>
      <c r="D446" s="61"/>
      <c r="E446" s="61"/>
      <c r="F446" s="61"/>
      <c r="G446" s="61"/>
      <c r="H446" s="61"/>
      <c r="I446" s="61"/>
      <c r="J446" s="107"/>
      <c r="K446" s="107"/>
      <c r="L446" s="61"/>
      <c r="M446" s="110"/>
      <c r="N446" s="61"/>
      <c r="O446" s="61"/>
      <c r="P446" s="61"/>
    </row>
    <row r="447">
      <c r="A447" s="65"/>
      <c r="B447" s="65"/>
      <c r="C447" s="65"/>
      <c r="D447" s="65"/>
      <c r="E447" s="65"/>
      <c r="F447" s="65"/>
      <c r="G447" s="65"/>
      <c r="H447" s="65"/>
      <c r="I447" s="65"/>
      <c r="J447" s="108"/>
      <c r="K447" s="108"/>
      <c r="L447" s="65"/>
      <c r="M447" s="111"/>
      <c r="N447" s="65"/>
      <c r="O447" s="65"/>
      <c r="P447" s="65"/>
    </row>
    <row r="448">
      <c r="A448" s="61"/>
      <c r="B448" s="61"/>
      <c r="C448" s="61"/>
      <c r="D448" s="61"/>
      <c r="E448" s="61"/>
      <c r="F448" s="61"/>
      <c r="G448" s="61"/>
      <c r="H448" s="61"/>
      <c r="I448" s="61"/>
      <c r="J448" s="107"/>
      <c r="K448" s="107"/>
      <c r="L448" s="61"/>
      <c r="M448" s="110"/>
      <c r="N448" s="61"/>
      <c r="O448" s="61"/>
      <c r="P448" s="61"/>
    </row>
    <row r="449">
      <c r="A449" s="65"/>
      <c r="B449" s="65"/>
      <c r="C449" s="65"/>
      <c r="D449" s="65"/>
      <c r="E449" s="65"/>
      <c r="F449" s="65"/>
      <c r="G449" s="65"/>
      <c r="H449" s="65"/>
      <c r="I449" s="65"/>
      <c r="J449" s="108"/>
      <c r="K449" s="108"/>
      <c r="L449" s="65"/>
      <c r="M449" s="111"/>
      <c r="N449" s="65"/>
      <c r="O449" s="65"/>
      <c r="P449" s="65"/>
    </row>
    <row r="450">
      <c r="A450" s="61"/>
      <c r="B450" s="61"/>
      <c r="C450" s="61"/>
      <c r="D450" s="61"/>
      <c r="E450" s="61"/>
      <c r="F450" s="61"/>
      <c r="G450" s="61"/>
      <c r="H450" s="61"/>
      <c r="I450" s="61"/>
      <c r="J450" s="107"/>
      <c r="K450" s="107"/>
      <c r="L450" s="61"/>
      <c r="M450" s="110"/>
      <c r="N450" s="61"/>
      <c r="O450" s="61"/>
      <c r="P450" s="61"/>
    </row>
    <row r="451">
      <c r="A451" s="65"/>
      <c r="B451" s="65"/>
      <c r="C451" s="65"/>
      <c r="D451" s="65"/>
      <c r="E451" s="65"/>
      <c r="F451" s="65"/>
      <c r="G451" s="65"/>
      <c r="H451" s="65"/>
      <c r="I451" s="65"/>
      <c r="J451" s="108"/>
      <c r="K451" s="108"/>
      <c r="L451" s="65"/>
      <c r="M451" s="111"/>
      <c r="N451" s="65"/>
      <c r="O451" s="65"/>
      <c r="P451" s="65"/>
    </row>
    <row r="452">
      <c r="A452" s="61"/>
      <c r="B452" s="61"/>
      <c r="C452" s="61"/>
      <c r="D452" s="61"/>
      <c r="E452" s="61"/>
      <c r="F452" s="61"/>
      <c r="G452" s="61"/>
      <c r="H452" s="61"/>
      <c r="I452" s="61"/>
      <c r="J452" s="107"/>
      <c r="K452" s="107"/>
      <c r="L452" s="61"/>
      <c r="M452" s="110"/>
      <c r="N452" s="61"/>
      <c r="O452" s="61"/>
      <c r="P452" s="61"/>
    </row>
    <row r="453">
      <c r="A453" s="65"/>
      <c r="B453" s="65"/>
      <c r="C453" s="65"/>
      <c r="D453" s="65"/>
      <c r="E453" s="65"/>
      <c r="F453" s="65"/>
      <c r="G453" s="65"/>
      <c r="H453" s="65"/>
      <c r="I453" s="65"/>
      <c r="J453" s="108"/>
      <c r="K453" s="108"/>
      <c r="L453" s="65"/>
      <c r="M453" s="111"/>
      <c r="N453" s="65"/>
      <c r="O453" s="65"/>
      <c r="P453" s="65"/>
    </row>
    <row r="454">
      <c r="A454" s="61"/>
      <c r="B454" s="61"/>
      <c r="C454" s="61"/>
      <c r="D454" s="61"/>
      <c r="E454" s="61"/>
      <c r="F454" s="61"/>
      <c r="G454" s="61"/>
      <c r="H454" s="61"/>
      <c r="I454" s="61"/>
      <c r="J454" s="107"/>
      <c r="K454" s="107"/>
      <c r="L454" s="61"/>
      <c r="M454" s="110"/>
      <c r="N454" s="61"/>
      <c r="O454" s="61"/>
      <c r="P454" s="61"/>
    </row>
    <row r="455">
      <c r="A455" s="65"/>
      <c r="B455" s="65"/>
      <c r="C455" s="65"/>
      <c r="D455" s="65"/>
      <c r="E455" s="65"/>
      <c r="F455" s="65"/>
      <c r="G455" s="65"/>
      <c r="H455" s="65"/>
      <c r="I455" s="65"/>
      <c r="J455" s="108"/>
      <c r="K455" s="108"/>
      <c r="L455" s="65"/>
      <c r="M455" s="111"/>
      <c r="N455" s="65"/>
      <c r="O455" s="65"/>
      <c r="P455" s="65"/>
    </row>
    <row r="456">
      <c r="A456" s="61"/>
      <c r="B456" s="61"/>
      <c r="C456" s="61"/>
      <c r="D456" s="61"/>
      <c r="E456" s="61"/>
      <c r="F456" s="61"/>
      <c r="G456" s="61"/>
      <c r="H456" s="61"/>
      <c r="I456" s="61"/>
      <c r="J456" s="107"/>
      <c r="K456" s="107"/>
      <c r="L456" s="61"/>
      <c r="M456" s="110"/>
      <c r="N456" s="61"/>
      <c r="O456" s="61"/>
      <c r="P456" s="61"/>
    </row>
    <row r="457">
      <c r="A457" s="65"/>
      <c r="B457" s="65"/>
      <c r="C457" s="65"/>
      <c r="D457" s="65"/>
      <c r="E457" s="65"/>
      <c r="F457" s="65"/>
      <c r="G457" s="65"/>
      <c r="H457" s="65"/>
      <c r="I457" s="65"/>
      <c r="J457" s="108"/>
      <c r="K457" s="108"/>
      <c r="L457" s="65"/>
      <c r="M457" s="111"/>
      <c r="N457" s="65"/>
      <c r="O457" s="65"/>
      <c r="P457" s="65"/>
    </row>
    <row r="458">
      <c r="A458" s="61"/>
      <c r="B458" s="61"/>
      <c r="C458" s="61"/>
      <c r="D458" s="61"/>
      <c r="E458" s="61"/>
      <c r="F458" s="61"/>
      <c r="G458" s="61"/>
      <c r="H458" s="61"/>
      <c r="I458" s="61"/>
      <c r="J458" s="107"/>
      <c r="K458" s="107"/>
      <c r="L458" s="61"/>
      <c r="M458" s="110"/>
      <c r="N458" s="61"/>
      <c r="O458" s="61"/>
      <c r="P458" s="61"/>
    </row>
    <row r="459">
      <c r="A459" s="65"/>
      <c r="B459" s="65"/>
      <c r="C459" s="65"/>
      <c r="D459" s="65"/>
      <c r="E459" s="65"/>
      <c r="F459" s="65"/>
      <c r="G459" s="65"/>
      <c r="H459" s="65"/>
      <c r="I459" s="65"/>
      <c r="J459" s="108"/>
      <c r="K459" s="108"/>
      <c r="L459" s="65"/>
      <c r="M459" s="111"/>
      <c r="N459" s="65"/>
      <c r="O459" s="65"/>
      <c r="P459" s="65"/>
    </row>
    <row r="460">
      <c r="A460" s="61"/>
      <c r="B460" s="61"/>
      <c r="C460" s="61"/>
      <c r="D460" s="61"/>
      <c r="E460" s="61"/>
      <c r="F460" s="61"/>
      <c r="G460" s="61"/>
      <c r="H460" s="61"/>
      <c r="I460" s="61"/>
      <c r="J460" s="107"/>
      <c r="K460" s="107"/>
      <c r="L460" s="61"/>
      <c r="M460" s="110"/>
      <c r="N460" s="61"/>
      <c r="O460" s="61"/>
      <c r="P460" s="61"/>
    </row>
    <row r="461">
      <c r="A461" s="65"/>
      <c r="B461" s="65"/>
      <c r="C461" s="65"/>
      <c r="D461" s="65"/>
      <c r="E461" s="65"/>
      <c r="F461" s="65"/>
      <c r="G461" s="65"/>
      <c r="H461" s="65"/>
      <c r="I461" s="65"/>
      <c r="J461" s="108"/>
      <c r="K461" s="108"/>
      <c r="L461" s="65"/>
      <c r="M461" s="111"/>
      <c r="N461" s="65"/>
      <c r="O461" s="65"/>
      <c r="P461" s="65"/>
    </row>
    <row r="462">
      <c r="A462" s="61"/>
      <c r="B462" s="61"/>
      <c r="C462" s="61"/>
      <c r="D462" s="61"/>
      <c r="E462" s="61"/>
      <c r="F462" s="61"/>
      <c r="G462" s="61"/>
      <c r="H462" s="61"/>
      <c r="I462" s="61"/>
      <c r="J462" s="107"/>
      <c r="K462" s="107"/>
      <c r="L462" s="61"/>
      <c r="M462" s="110"/>
      <c r="N462" s="61"/>
      <c r="O462" s="61"/>
      <c r="P462" s="61"/>
    </row>
    <row r="463">
      <c r="A463" s="65"/>
      <c r="B463" s="65"/>
      <c r="C463" s="65"/>
      <c r="D463" s="65"/>
      <c r="E463" s="65"/>
      <c r="F463" s="65"/>
      <c r="G463" s="65"/>
      <c r="H463" s="65"/>
      <c r="I463" s="65"/>
      <c r="J463" s="108"/>
      <c r="K463" s="108"/>
      <c r="L463" s="65"/>
      <c r="M463" s="111"/>
      <c r="N463" s="65"/>
      <c r="O463" s="65"/>
      <c r="P463" s="65"/>
    </row>
    <row r="464">
      <c r="A464" s="61"/>
      <c r="B464" s="61"/>
      <c r="C464" s="61"/>
      <c r="D464" s="61"/>
      <c r="E464" s="61"/>
      <c r="F464" s="61"/>
      <c r="G464" s="61"/>
      <c r="H464" s="61"/>
      <c r="I464" s="61"/>
      <c r="J464" s="107"/>
      <c r="K464" s="107"/>
      <c r="L464" s="61"/>
      <c r="M464" s="110"/>
      <c r="N464" s="61"/>
      <c r="O464" s="61"/>
      <c r="P464" s="61"/>
    </row>
    <row r="465">
      <c r="A465" s="65"/>
      <c r="B465" s="65"/>
      <c r="C465" s="65"/>
      <c r="D465" s="65"/>
      <c r="E465" s="65"/>
      <c r="F465" s="65"/>
      <c r="G465" s="65"/>
      <c r="H465" s="65"/>
      <c r="I465" s="65"/>
      <c r="J465" s="108"/>
      <c r="K465" s="108"/>
      <c r="L465" s="65"/>
      <c r="M465" s="111"/>
      <c r="N465" s="65"/>
      <c r="O465" s="65"/>
      <c r="P465" s="65"/>
    </row>
    <row r="466">
      <c r="A466" s="61"/>
      <c r="B466" s="61"/>
      <c r="C466" s="61"/>
      <c r="D466" s="61"/>
      <c r="E466" s="61"/>
      <c r="F466" s="61"/>
      <c r="G466" s="61"/>
      <c r="H466" s="61"/>
      <c r="I466" s="61"/>
      <c r="J466" s="107"/>
      <c r="K466" s="107"/>
      <c r="L466" s="61"/>
      <c r="M466" s="110"/>
      <c r="N466" s="61"/>
      <c r="O466" s="61"/>
      <c r="P466" s="61"/>
    </row>
    <row r="467">
      <c r="A467" s="65"/>
      <c r="B467" s="65"/>
      <c r="C467" s="65"/>
      <c r="D467" s="65"/>
      <c r="E467" s="65"/>
      <c r="F467" s="65"/>
      <c r="G467" s="65"/>
      <c r="H467" s="65"/>
      <c r="I467" s="65"/>
      <c r="J467" s="108"/>
      <c r="K467" s="108"/>
      <c r="L467" s="65"/>
      <c r="M467" s="111"/>
      <c r="N467" s="65"/>
      <c r="O467" s="65"/>
      <c r="P467" s="65"/>
    </row>
    <row r="468">
      <c r="A468" s="61"/>
      <c r="B468" s="61"/>
      <c r="C468" s="61"/>
      <c r="D468" s="61"/>
      <c r="E468" s="61"/>
      <c r="F468" s="61"/>
      <c r="G468" s="61"/>
      <c r="H468" s="61"/>
      <c r="I468" s="61"/>
      <c r="J468" s="107"/>
      <c r="K468" s="107"/>
      <c r="L468" s="61"/>
      <c r="M468" s="110"/>
      <c r="N468" s="61"/>
      <c r="O468" s="61"/>
      <c r="P468" s="61"/>
    </row>
    <row r="469">
      <c r="A469" s="65"/>
      <c r="B469" s="65"/>
      <c r="C469" s="65"/>
      <c r="D469" s="65"/>
      <c r="E469" s="65"/>
      <c r="F469" s="65"/>
      <c r="G469" s="65"/>
      <c r="H469" s="65"/>
      <c r="I469" s="65"/>
      <c r="J469" s="108"/>
      <c r="K469" s="108"/>
      <c r="L469" s="65"/>
      <c r="M469" s="111"/>
      <c r="N469" s="65"/>
      <c r="O469" s="65"/>
      <c r="P469" s="65"/>
    </row>
    <row r="470">
      <c r="A470" s="61"/>
      <c r="B470" s="61"/>
      <c r="C470" s="61"/>
      <c r="D470" s="61"/>
      <c r="E470" s="61"/>
      <c r="F470" s="61"/>
      <c r="G470" s="61"/>
      <c r="H470" s="61"/>
      <c r="I470" s="61"/>
      <c r="J470" s="107"/>
      <c r="K470" s="107"/>
      <c r="L470" s="61"/>
      <c r="M470" s="110"/>
      <c r="N470" s="61"/>
      <c r="O470" s="61"/>
      <c r="P470" s="61"/>
    </row>
    <row r="471">
      <c r="A471" s="65"/>
      <c r="B471" s="65"/>
      <c r="C471" s="65"/>
      <c r="D471" s="65"/>
      <c r="E471" s="65"/>
      <c r="F471" s="65"/>
      <c r="G471" s="65"/>
      <c r="H471" s="65"/>
      <c r="I471" s="65"/>
      <c r="J471" s="108"/>
      <c r="K471" s="108"/>
      <c r="L471" s="65"/>
      <c r="M471" s="111"/>
      <c r="N471" s="65"/>
      <c r="O471" s="65"/>
      <c r="P471" s="65"/>
    </row>
    <row r="472">
      <c r="A472" s="61"/>
      <c r="B472" s="61"/>
      <c r="C472" s="61"/>
      <c r="D472" s="61"/>
      <c r="E472" s="61"/>
      <c r="F472" s="61"/>
      <c r="G472" s="61"/>
      <c r="H472" s="61"/>
      <c r="I472" s="61"/>
      <c r="J472" s="107"/>
      <c r="K472" s="107"/>
      <c r="L472" s="61"/>
      <c r="M472" s="110"/>
      <c r="N472" s="61"/>
      <c r="O472" s="61"/>
      <c r="P472" s="61"/>
    </row>
    <row r="473">
      <c r="A473" s="65"/>
      <c r="B473" s="65"/>
      <c r="C473" s="65"/>
      <c r="D473" s="65"/>
      <c r="E473" s="65"/>
      <c r="F473" s="65"/>
      <c r="G473" s="65"/>
      <c r="H473" s="65"/>
      <c r="I473" s="65"/>
      <c r="J473" s="108"/>
      <c r="K473" s="108"/>
      <c r="L473" s="65"/>
      <c r="M473" s="111"/>
      <c r="N473" s="65"/>
      <c r="O473" s="65"/>
      <c r="P473" s="65"/>
    </row>
    <row r="474">
      <c r="A474" s="61"/>
      <c r="B474" s="61"/>
      <c r="C474" s="61"/>
      <c r="D474" s="61"/>
      <c r="E474" s="61"/>
      <c r="F474" s="61"/>
      <c r="G474" s="61"/>
      <c r="H474" s="61"/>
      <c r="I474" s="61"/>
      <c r="J474" s="107"/>
      <c r="K474" s="107"/>
      <c r="L474" s="61"/>
      <c r="M474" s="110"/>
      <c r="N474" s="61"/>
      <c r="O474" s="61"/>
      <c r="P474" s="61"/>
    </row>
    <row r="475">
      <c r="A475" s="65"/>
      <c r="B475" s="65"/>
      <c r="C475" s="65"/>
      <c r="D475" s="65"/>
      <c r="E475" s="65"/>
      <c r="F475" s="65"/>
      <c r="G475" s="65"/>
      <c r="H475" s="65"/>
      <c r="I475" s="65"/>
      <c r="J475" s="108"/>
      <c r="K475" s="108"/>
      <c r="L475" s="65"/>
      <c r="M475" s="111"/>
      <c r="N475" s="65"/>
      <c r="O475" s="65"/>
      <c r="P475" s="65"/>
    </row>
    <row r="476">
      <c r="A476" s="61"/>
      <c r="B476" s="61"/>
      <c r="C476" s="61"/>
      <c r="D476" s="61"/>
      <c r="E476" s="61"/>
      <c r="F476" s="61"/>
      <c r="G476" s="61"/>
      <c r="H476" s="61"/>
      <c r="I476" s="61"/>
      <c r="J476" s="107"/>
      <c r="K476" s="107"/>
      <c r="L476" s="61"/>
      <c r="M476" s="110"/>
      <c r="N476" s="61"/>
      <c r="O476" s="61"/>
      <c r="P476" s="61"/>
    </row>
    <row r="477">
      <c r="A477" s="65"/>
      <c r="B477" s="65"/>
      <c r="C477" s="65"/>
      <c r="D477" s="65"/>
      <c r="E477" s="65"/>
      <c r="F477" s="65"/>
      <c r="G477" s="65"/>
      <c r="H477" s="65"/>
      <c r="I477" s="65"/>
      <c r="J477" s="108"/>
      <c r="K477" s="108"/>
      <c r="L477" s="65"/>
      <c r="M477" s="111"/>
      <c r="N477" s="65"/>
      <c r="O477" s="65"/>
      <c r="P477" s="65"/>
    </row>
    <row r="478">
      <c r="A478" s="61"/>
      <c r="B478" s="61"/>
      <c r="C478" s="61"/>
      <c r="D478" s="61"/>
      <c r="E478" s="61"/>
      <c r="F478" s="61"/>
      <c r="G478" s="61"/>
      <c r="H478" s="61"/>
      <c r="I478" s="61"/>
      <c r="J478" s="107"/>
      <c r="K478" s="107"/>
      <c r="L478" s="61"/>
      <c r="M478" s="110"/>
      <c r="N478" s="61"/>
      <c r="O478" s="61"/>
      <c r="P478" s="61"/>
    </row>
    <row r="479">
      <c r="A479" s="65"/>
      <c r="B479" s="65"/>
      <c r="C479" s="65"/>
      <c r="D479" s="65"/>
      <c r="E479" s="65"/>
      <c r="F479" s="65"/>
      <c r="G479" s="65"/>
      <c r="H479" s="65"/>
      <c r="I479" s="65"/>
      <c r="J479" s="108"/>
      <c r="K479" s="108"/>
      <c r="L479" s="65"/>
      <c r="M479" s="111"/>
      <c r="N479" s="65"/>
      <c r="O479" s="65"/>
      <c r="P479" s="65"/>
    </row>
    <row r="480">
      <c r="A480" s="61"/>
      <c r="B480" s="61"/>
      <c r="C480" s="61"/>
      <c r="D480" s="61"/>
      <c r="E480" s="61"/>
      <c r="F480" s="61"/>
      <c r="G480" s="61"/>
      <c r="H480" s="61"/>
      <c r="I480" s="61"/>
      <c r="J480" s="107"/>
      <c r="K480" s="107"/>
      <c r="L480" s="61"/>
      <c r="M480" s="110"/>
      <c r="N480" s="61"/>
      <c r="O480" s="61"/>
      <c r="P480" s="61"/>
    </row>
    <row r="481">
      <c r="A481" s="65"/>
      <c r="B481" s="65"/>
      <c r="C481" s="65"/>
      <c r="D481" s="65"/>
      <c r="E481" s="65"/>
      <c r="F481" s="65"/>
      <c r="G481" s="65"/>
      <c r="H481" s="65"/>
      <c r="I481" s="65"/>
      <c r="J481" s="108"/>
      <c r="K481" s="108"/>
      <c r="L481" s="65"/>
      <c r="M481" s="111"/>
      <c r="N481" s="65"/>
      <c r="O481" s="65"/>
      <c r="P481" s="65"/>
    </row>
    <row r="482">
      <c r="A482" s="61"/>
      <c r="B482" s="61"/>
      <c r="C482" s="61"/>
      <c r="D482" s="61"/>
      <c r="E482" s="61"/>
      <c r="F482" s="61"/>
      <c r="G482" s="61"/>
      <c r="H482" s="61"/>
      <c r="I482" s="61"/>
      <c r="J482" s="107"/>
      <c r="K482" s="107"/>
      <c r="L482" s="61"/>
      <c r="M482" s="110"/>
      <c r="N482" s="61"/>
      <c r="O482" s="61"/>
      <c r="P482" s="61"/>
    </row>
    <row r="483">
      <c r="A483" s="65"/>
      <c r="B483" s="65"/>
      <c r="C483" s="65"/>
      <c r="D483" s="65"/>
      <c r="E483" s="65"/>
      <c r="F483" s="65"/>
      <c r="G483" s="65"/>
      <c r="H483" s="65"/>
      <c r="I483" s="65"/>
      <c r="J483" s="108"/>
      <c r="K483" s="108"/>
      <c r="L483" s="65"/>
      <c r="M483" s="111"/>
      <c r="N483" s="65"/>
      <c r="O483" s="65"/>
      <c r="P483" s="65"/>
    </row>
    <row r="484">
      <c r="A484" s="61"/>
      <c r="B484" s="61"/>
      <c r="C484" s="61"/>
      <c r="D484" s="61"/>
      <c r="E484" s="61"/>
      <c r="F484" s="61"/>
      <c r="G484" s="61"/>
      <c r="H484" s="61"/>
      <c r="I484" s="61"/>
      <c r="J484" s="107"/>
      <c r="K484" s="107"/>
      <c r="L484" s="61"/>
      <c r="M484" s="110"/>
      <c r="N484" s="61"/>
      <c r="O484" s="61"/>
      <c r="P484" s="61"/>
    </row>
    <row r="485">
      <c r="A485" s="65"/>
      <c r="B485" s="65"/>
      <c r="C485" s="65"/>
      <c r="D485" s="65"/>
      <c r="E485" s="65"/>
      <c r="F485" s="65"/>
      <c r="G485" s="65"/>
      <c r="H485" s="65"/>
      <c r="I485" s="65"/>
      <c r="J485" s="108"/>
      <c r="K485" s="108"/>
      <c r="L485" s="65"/>
      <c r="M485" s="111"/>
      <c r="N485" s="65"/>
      <c r="O485" s="65"/>
      <c r="P485" s="65"/>
    </row>
    <row r="486">
      <c r="A486" s="61"/>
      <c r="B486" s="61"/>
      <c r="C486" s="61"/>
      <c r="D486" s="61"/>
      <c r="E486" s="61"/>
      <c r="F486" s="61"/>
      <c r="G486" s="61"/>
      <c r="H486" s="61"/>
      <c r="I486" s="61"/>
      <c r="J486" s="107"/>
      <c r="K486" s="107"/>
      <c r="L486" s="61"/>
      <c r="M486" s="110"/>
      <c r="N486" s="61"/>
      <c r="O486" s="61"/>
      <c r="P486" s="61"/>
    </row>
    <row r="487">
      <c r="A487" s="65"/>
      <c r="B487" s="65"/>
      <c r="C487" s="65"/>
      <c r="D487" s="65"/>
      <c r="E487" s="65"/>
      <c r="F487" s="65"/>
      <c r="G487" s="65"/>
      <c r="H487" s="65"/>
      <c r="I487" s="65"/>
      <c r="J487" s="108"/>
      <c r="K487" s="108"/>
      <c r="L487" s="65"/>
      <c r="M487" s="111"/>
      <c r="N487" s="65"/>
      <c r="O487" s="65"/>
      <c r="P487" s="65"/>
    </row>
    <row r="488">
      <c r="A488" s="61"/>
      <c r="B488" s="61"/>
      <c r="C488" s="61"/>
      <c r="D488" s="61"/>
      <c r="E488" s="61"/>
      <c r="F488" s="61"/>
      <c r="G488" s="61"/>
      <c r="H488" s="61"/>
      <c r="I488" s="61"/>
      <c r="J488" s="107"/>
      <c r="K488" s="107"/>
      <c r="L488" s="61"/>
      <c r="M488" s="110"/>
      <c r="N488" s="61"/>
      <c r="O488" s="61"/>
      <c r="P488" s="61"/>
    </row>
    <row r="489">
      <c r="A489" s="65"/>
      <c r="B489" s="65"/>
      <c r="C489" s="65"/>
      <c r="D489" s="65"/>
      <c r="E489" s="65"/>
      <c r="F489" s="65"/>
      <c r="G489" s="65"/>
      <c r="H489" s="65"/>
      <c r="I489" s="65"/>
      <c r="J489" s="108"/>
      <c r="K489" s="108"/>
      <c r="L489" s="65"/>
      <c r="M489" s="111"/>
      <c r="N489" s="65"/>
      <c r="O489" s="65"/>
      <c r="P489" s="65"/>
    </row>
    <row r="490">
      <c r="A490" s="61"/>
      <c r="B490" s="61"/>
      <c r="C490" s="61"/>
      <c r="D490" s="61"/>
      <c r="E490" s="61"/>
      <c r="F490" s="61"/>
      <c r="G490" s="61"/>
      <c r="H490" s="61"/>
      <c r="I490" s="61"/>
      <c r="J490" s="107"/>
      <c r="K490" s="107"/>
      <c r="L490" s="61"/>
      <c r="M490" s="110"/>
      <c r="N490" s="61"/>
      <c r="O490" s="61"/>
      <c r="P490" s="61"/>
    </row>
    <row r="491">
      <c r="A491" s="65"/>
      <c r="B491" s="65"/>
      <c r="C491" s="65"/>
      <c r="D491" s="65"/>
      <c r="E491" s="65"/>
      <c r="F491" s="65"/>
      <c r="G491" s="65"/>
      <c r="H491" s="65"/>
      <c r="I491" s="65"/>
      <c r="J491" s="108"/>
      <c r="K491" s="108"/>
      <c r="L491" s="65"/>
      <c r="M491" s="111"/>
      <c r="N491" s="65"/>
      <c r="O491" s="65"/>
      <c r="P491" s="65"/>
    </row>
    <row r="492">
      <c r="A492" s="61"/>
      <c r="B492" s="61"/>
      <c r="C492" s="61"/>
      <c r="D492" s="61"/>
      <c r="E492" s="61"/>
      <c r="F492" s="61"/>
      <c r="G492" s="61"/>
      <c r="H492" s="61"/>
      <c r="I492" s="61"/>
      <c r="J492" s="107"/>
      <c r="K492" s="107"/>
      <c r="L492" s="61"/>
      <c r="M492" s="110"/>
      <c r="N492" s="61"/>
      <c r="O492" s="61"/>
      <c r="P492" s="61"/>
    </row>
    <row r="493">
      <c r="A493" s="65"/>
      <c r="B493" s="65"/>
      <c r="C493" s="65"/>
      <c r="D493" s="65"/>
      <c r="E493" s="65"/>
      <c r="F493" s="65"/>
      <c r="G493" s="65"/>
      <c r="H493" s="65"/>
      <c r="I493" s="65"/>
      <c r="J493" s="108"/>
      <c r="K493" s="108"/>
      <c r="L493" s="65"/>
      <c r="M493" s="111"/>
      <c r="N493" s="65"/>
      <c r="O493" s="65"/>
      <c r="P493" s="65"/>
    </row>
    <row r="494">
      <c r="A494" s="61"/>
      <c r="B494" s="61"/>
      <c r="C494" s="61"/>
      <c r="D494" s="61"/>
      <c r="E494" s="61"/>
      <c r="F494" s="61"/>
      <c r="G494" s="61"/>
      <c r="H494" s="61"/>
      <c r="I494" s="61"/>
      <c r="J494" s="107"/>
      <c r="K494" s="107"/>
      <c r="L494" s="61"/>
      <c r="M494" s="110"/>
      <c r="N494" s="61"/>
      <c r="O494" s="61"/>
      <c r="P494" s="61"/>
    </row>
    <row r="495">
      <c r="A495" s="65"/>
      <c r="B495" s="65"/>
      <c r="C495" s="65"/>
      <c r="D495" s="65"/>
      <c r="E495" s="65"/>
      <c r="F495" s="65"/>
      <c r="G495" s="65"/>
      <c r="H495" s="65"/>
      <c r="I495" s="65"/>
      <c r="J495" s="108"/>
      <c r="K495" s="108"/>
      <c r="L495" s="65"/>
      <c r="M495" s="111"/>
      <c r="N495" s="65"/>
      <c r="O495" s="65"/>
      <c r="P495" s="65"/>
    </row>
    <row r="496">
      <c r="A496" s="61"/>
      <c r="B496" s="61"/>
      <c r="C496" s="61"/>
      <c r="D496" s="61"/>
      <c r="E496" s="61"/>
      <c r="F496" s="61"/>
      <c r="G496" s="61"/>
      <c r="H496" s="61"/>
      <c r="I496" s="61"/>
      <c r="J496" s="107"/>
      <c r="K496" s="107"/>
      <c r="L496" s="61"/>
      <c r="M496" s="110"/>
      <c r="N496" s="61"/>
      <c r="O496" s="61"/>
      <c r="P496" s="61"/>
    </row>
    <row r="497">
      <c r="A497" s="65"/>
      <c r="B497" s="65"/>
      <c r="C497" s="65"/>
      <c r="D497" s="65"/>
      <c r="E497" s="65"/>
      <c r="F497" s="65"/>
      <c r="G497" s="65"/>
      <c r="H497" s="65"/>
      <c r="I497" s="65"/>
      <c r="J497" s="108"/>
      <c r="K497" s="108"/>
      <c r="L497" s="65"/>
      <c r="M497" s="111"/>
      <c r="N497" s="65"/>
      <c r="O497" s="65"/>
      <c r="P497" s="65"/>
    </row>
    <row r="498">
      <c r="A498" s="61"/>
      <c r="B498" s="61"/>
      <c r="C498" s="61"/>
      <c r="D498" s="61"/>
      <c r="E498" s="61"/>
      <c r="F498" s="61"/>
      <c r="G498" s="61"/>
      <c r="H498" s="61"/>
      <c r="I498" s="61"/>
      <c r="J498" s="107"/>
      <c r="K498" s="107"/>
      <c r="L498" s="61"/>
      <c r="M498" s="110"/>
      <c r="N498" s="61"/>
      <c r="O498" s="61"/>
      <c r="P498" s="61"/>
    </row>
    <row r="499">
      <c r="A499" s="65"/>
      <c r="B499" s="65"/>
      <c r="C499" s="65"/>
      <c r="D499" s="65"/>
      <c r="E499" s="65"/>
      <c r="F499" s="65"/>
      <c r="G499" s="65"/>
      <c r="H499" s="65"/>
      <c r="I499" s="65"/>
      <c r="J499" s="108"/>
      <c r="K499" s="108"/>
      <c r="L499" s="65"/>
      <c r="M499" s="111"/>
      <c r="N499" s="65"/>
      <c r="O499" s="65"/>
      <c r="P499" s="65"/>
    </row>
    <row r="500">
      <c r="A500" s="61"/>
      <c r="B500" s="61"/>
      <c r="C500" s="61"/>
      <c r="D500" s="61"/>
      <c r="E500" s="61"/>
      <c r="F500" s="61"/>
      <c r="G500" s="61"/>
      <c r="H500" s="61"/>
      <c r="I500" s="61"/>
      <c r="J500" s="107"/>
      <c r="K500" s="107"/>
      <c r="L500" s="61"/>
      <c r="M500" s="110"/>
      <c r="N500" s="61"/>
      <c r="O500" s="61"/>
      <c r="P500" s="61"/>
    </row>
    <row r="501">
      <c r="A501" s="65"/>
      <c r="B501" s="65"/>
      <c r="C501" s="65"/>
      <c r="D501" s="65"/>
      <c r="E501" s="65"/>
      <c r="F501" s="65"/>
      <c r="G501" s="65"/>
      <c r="H501" s="65"/>
      <c r="I501" s="65"/>
      <c r="J501" s="108"/>
      <c r="K501" s="108"/>
      <c r="L501" s="65"/>
      <c r="M501" s="111"/>
      <c r="N501" s="65"/>
      <c r="O501" s="65"/>
      <c r="P501" s="65"/>
    </row>
    <row r="502">
      <c r="A502" s="61"/>
      <c r="B502" s="61"/>
      <c r="C502" s="61"/>
      <c r="D502" s="61"/>
      <c r="E502" s="61"/>
      <c r="F502" s="61"/>
      <c r="G502" s="61"/>
      <c r="H502" s="61"/>
      <c r="I502" s="61"/>
      <c r="J502" s="107"/>
      <c r="K502" s="107"/>
      <c r="L502" s="61"/>
      <c r="M502" s="110"/>
      <c r="N502" s="61"/>
      <c r="O502" s="61"/>
      <c r="P502" s="61"/>
    </row>
    <row r="503">
      <c r="A503" s="65"/>
      <c r="B503" s="65"/>
      <c r="C503" s="65"/>
      <c r="D503" s="65"/>
      <c r="E503" s="65"/>
      <c r="F503" s="65"/>
      <c r="G503" s="65"/>
      <c r="H503" s="65"/>
      <c r="I503" s="65"/>
      <c r="J503" s="108"/>
      <c r="K503" s="108"/>
      <c r="L503" s="65"/>
      <c r="M503" s="111"/>
      <c r="N503" s="65"/>
      <c r="O503" s="65"/>
      <c r="P503" s="65"/>
    </row>
    <row r="504">
      <c r="A504" s="61"/>
      <c r="B504" s="61"/>
      <c r="C504" s="61"/>
      <c r="D504" s="61"/>
      <c r="E504" s="61"/>
      <c r="F504" s="61"/>
      <c r="G504" s="61"/>
      <c r="H504" s="61"/>
      <c r="I504" s="61"/>
      <c r="J504" s="107"/>
      <c r="K504" s="107"/>
      <c r="L504" s="61"/>
      <c r="M504" s="110"/>
      <c r="N504" s="61"/>
      <c r="O504" s="61"/>
      <c r="P504" s="61"/>
    </row>
    <row r="505">
      <c r="A505" s="65"/>
      <c r="B505" s="65"/>
      <c r="C505" s="65"/>
      <c r="D505" s="65"/>
      <c r="E505" s="65"/>
      <c r="F505" s="65"/>
      <c r="G505" s="65"/>
      <c r="H505" s="65"/>
      <c r="I505" s="65"/>
      <c r="J505" s="108"/>
      <c r="K505" s="108"/>
      <c r="L505" s="65"/>
      <c r="M505" s="111"/>
      <c r="N505" s="65"/>
      <c r="O505" s="65"/>
      <c r="P505" s="65"/>
    </row>
    <row r="506">
      <c r="A506" s="61"/>
      <c r="B506" s="61"/>
      <c r="C506" s="61"/>
      <c r="D506" s="61"/>
      <c r="E506" s="61"/>
      <c r="F506" s="61"/>
      <c r="G506" s="61"/>
      <c r="H506" s="61"/>
      <c r="I506" s="61"/>
      <c r="J506" s="107"/>
      <c r="K506" s="107"/>
      <c r="L506" s="61"/>
      <c r="M506" s="110"/>
      <c r="N506" s="61"/>
      <c r="O506" s="61"/>
      <c r="P506" s="61"/>
    </row>
    <row r="507">
      <c r="A507" s="65"/>
      <c r="B507" s="65"/>
      <c r="C507" s="65"/>
      <c r="D507" s="65"/>
      <c r="E507" s="65"/>
      <c r="F507" s="65"/>
      <c r="G507" s="65"/>
      <c r="H507" s="65"/>
      <c r="I507" s="65"/>
      <c r="J507" s="108"/>
      <c r="K507" s="108"/>
      <c r="L507" s="65"/>
      <c r="M507" s="111"/>
      <c r="N507" s="65"/>
      <c r="O507" s="65"/>
      <c r="P507" s="65"/>
    </row>
    <row r="508">
      <c r="A508" s="61"/>
      <c r="B508" s="61"/>
      <c r="C508" s="61"/>
      <c r="D508" s="61"/>
      <c r="E508" s="61"/>
      <c r="F508" s="61"/>
      <c r="G508" s="61"/>
      <c r="H508" s="61"/>
      <c r="I508" s="61"/>
      <c r="J508" s="107"/>
      <c r="K508" s="107"/>
      <c r="L508" s="61"/>
      <c r="M508" s="110"/>
      <c r="N508" s="61"/>
      <c r="O508" s="61"/>
      <c r="P508" s="61"/>
    </row>
    <row r="509">
      <c r="A509" s="65"/>
      <c r="B509" s="65"/>
      <c r="C509" s="65"/>
      <c r="D509" s="65"/>
      <c r="E509" s="65"/>
      <c r="F509" s="65"/>
      <c r="G509" s="65"/>
      <c r="H509" s="65"/>
      <c r="I509" s="65"/>
      <c r="J509" s="108"/>
      <c r="K509" s="108"/>
      <c r="L509" s="65"/>
      <c r="M509" s="111"/>
      <c r="N509" s="65"/>
      <c r="O509" s="65"/>
      <c r="P509" s="65"/>
    </row>
    <row r="510">
      <c r="A510" s="61"/>
      <c r="B510" s="61"/>
      <c r="C510" s="61"/>
      <c r="D510" s="61"/>
      <c r="E510" s="61"/>
      <c r="F510" s="61"/>
      <c r="G510" s="61"/>
      <c r="H510" s="61"/>
      <c r="I510" s="61"/>
      <c r="J510" s="107"/>
      <c r="K510" s="107"/>
      <c r="L510" s="61"/>
      <c r="M510" s="110"/>
      <c r="N510" s="61"/>
      <c r="O510" s="61"/>
      <c r="P510" s="61"/>
    </row>
    <row r="511">
      <c r="A511" s="65"/>
      <c r="B511" s="65"/>
      <c r="C511" s="65"/>
      <c r="D511" s="65"/>
      <c r="E511" s="65"/>
      <c r="F511" s="65"/>
      <c r="G511" s="65"/>
      <c r="H511" s="65"/>
      <c r="I511" s="65"/>
      <c r="J511" s="108"/>
      <c r="K511" s="108"/>
      <c r="L511" s="65"/>
      <c r="M511" s="111"/>
      <c r="N511" s="65"/>
      <c r="O511" s="65"/>
      <c r="P511" s="65"/>
    </row>
    <row r="512">
      <c r="A512" s="61"/>
      <c r="B512" s="61"/>
      <c r="C512" s="61"/>
      <c r="D512" s="61"/>
      <c r="E512" s="61"/>
      <c r="F512" s="61"/>
      <c r="G512" s="61"/>
      <c r="H512" s="61"/>
      <c r="I512" s="61"/>
      <c r="J512" s="107"/>
      <c r="K512" s="107"/>
      <c r="L512" s="61"/>
      <c r="M512" s="110"/>
      <c r="N512" s="61"/>
      <c r="O512" s="61"/>
      <c r="P512" s="61"/>
    </row>
    <row r="513">
      <c r="A513" s="65"/>
      <c r="B513" s="65"/>
      <c r="C513" s="65"/>
      <c r="D513" s="65"/>
      <c r="E513" s="65"/>
      <c r="F513" s="65"/>
      <c r="G513" s="65"/>
      <c r="H513" s="65"/>
      <c r="I513" s="65"/>
      <c r="J513" s="108"/>
      <c r="K513" s="108"/>
      <c r="L513" s="65"/>
      <c r="M513" s="111"/>
      <c r="N513" s="65"/>
      <c r="O513" s="65"/>
      <c r="P513" s="65"/>
    </row>
    <row r="514">
      <c r="A514" s="61"/>
      <c r="B514" s="61"/>
      <c r="C514" s="61"/>
      <c r="D514" s="61"/>
      <c r="E514" s="61"/>
      <c r="F514" s="61"/>
      <c r="G514" s="61"/>
      <c r="H514" s="61"/>
      <c r="I514" s="61"/>
      <c r="J514" s="107"/>
      <c r="K514" s="107"/>
      <c r="L514" s="61"/>
      <c r="M514" s="110"/>
      <c r="N514" s="61"/>
      <c r="O514" s="61"/>
      <c r="P514" s="61"/>
    </row>
    <row r="515">
      <c r="A515" s="65"/>
      <c r="B515" s="65"/>
      <c r="C515" s="65"/>
      <c r="D515" s="65"/>
      <c r="E515" s="65"/>
      <c r="F515" s="65"/>
      <c r="G515" s="65"/>
      <c r="H515" s="65"/>
      <c r="I515" s="65"/>
      <c r="J515" s="108"/>
      <c r="K515" s="108"/>
      <c r="L515" s="65"/>
      <c r="M515" s="111"/>
      <c r="N515" s="65"/>
      <c r="O515" s="65"/>
      <c r="P515" s="65"/>
    </row>
    <row r="516">
      <c r="A516" s="61"/>
      <c r="B516" s="61"/>
      <c r="C516" s="61"/>
      <c r="D516" s="61"/>
      <c r="E516" s="61"/>
      <c r="F516" s="61"/>
      <c r="G516" s="61"/>
      <c r="H516" s="61"/>
      <c r="I516" s="61"/>
      <c r="J516" s="107"/>
      <c r="K516" s="107"/>
      <c r="L516" s="61"/>
      <c r="M516" s="110"/>
      <c r="N516" s="61"/>
      <c r="O516" s="61"/>
      <c r="P516" s="61"/>
    </row>
    <row r="517">
      <c r="A517" s="65"/>
      <c r="B517" s="65"/>
      <c r="C517" s="65"/>
      <c r="D517" s="65"/>
      <c r="E517" s="65"/>
      <c r="F517" s="65"/>
      <c r="G517" s="65"/>
      <c r="H517" s="65"/>
      <c r="I517" s="65"/>
      <c r="J517" s="108"/>
      <c r="K517" s="108"/>
      <c r="L517" s="65"/>
      <c r="M517" s="111"/>
      <c r="N517" s="65"/>
      <c r="O517" s="65"/>
      <c r="P517" s="65"/>
    </row>
    <row r="518">
      <c r="A518" s="61"/>
      <c r="B518" s="61"/>
      <c r="C518" s="61"/>
      <c r="D518" s="61"/>
      <c r="E518" s="61"/>
      <c r="F518" s="61"/>
      <c r="G518" s="61"/>
      <c r="H518" s="61"/>
      <c r="I518" s="61"/>
      <c r="J518" s="107"/>
      <c r="K518" s="107"/>
      <c r="L518" s="61"/>
      <c r="M518" s="110"/>
      <c r="N518" s="61"/>
      <c r="O518" s="61"/>
      <c r="P518" s="61"/>
    </row>
    <row r="519">
      <c r="A519" s="65"/>
      <c r="B519" s="65"/>
      <c r="C519" s="65"/>
      <c r="D519" s="65"/>
      <c r="E519" s="65"/>
      <c r="F519" s="65"/>
      <c r="G519" s="65"/>
      <c r="H519" s="65"/>
      <c r="I519" s="65"/>
      <c r="J519" s="108"/>
      <c r="K519" s="108"/>
      <c r="L519" s="65"/>
      <c r="M519" s="111"/>
      <c r="N519" s="65"/>
      <c r="O519" s="65"/>
      <c r="P519" s="65"/>
    </row>
    <row r="520">
      <c r="A520" s="61"/>
      <c r="B520" s="61"/>
      <c r="C520" s="61"/>
      <c r="D520" s="61"/>
      <c r="E520" s="61"/>
      <c r="F520" s="61"/>
      <c r="G520" s="61"/>
      <c r="H520" s="61"/>
      <c r="I520" s="61"/>
      <c r="J520" s="107"/>
      <c r="K520" s="107"/>
      <c r="L520" s="61"/>
      <c r="M520" s="110"/>
      <c r="N520" s="61"/>
      <c r="O520" s="61"/>
      <c r="P520" s="61"/>
    </row>
    <row r="521">
      <c r="A521" s="65"/>
      <c r="B521" s="65"/>
      <c r="C521" s="65"/>
      <c r="D521" s="65"/>
      <c r="E521" s="65"/>
      <c r="F521" s="65"/>
      <c r="G521" s="65"/>
      <c r="H521" s="65"/>
      <c r="I521" s="65"/>
      <c r="J521" s="108"/>
      <c r="K521" s="108"/>
      <c r="L521" s="65"/>
      <c r="M521" s="111"/>
      <c r="N521" s="65"/>
      <c r="O521" s="65"/>
      <c r="P521" s="65"/>
    </row>
    <row r="522">
      <c r="A522" s="61"/>
      <c r="B522" s="61"/>
      <c r="C522" s="61"/>
      <c r="D522" s="61"/>
      <c r="E522" s="61"/>
      <c r="F522" s="61"/>
      <c r="G522" s="61"/>
      <c r="H522" s="61"/>
      <c r="I522" s="61"/>
      <c r="J522" s="107"/>
      <c r="K522" s="107"/>
      <c r="L522" s="61"/>
      <c r="M522" s="110"/>
      <c r="N522" s="61"/>
      <c r="O522" s="61"/>
      <c r="P522" s="61"/>
    </row>
    <row r="523">
      <c r="A523" s="65"/>
      <c r="B523" s="65"/>
      <c r="C523" s="65"/>
      <c r="D523" s="65"/>
      <c r="E523" s="65"/>
      <c r="F523" s="65"/>
      <c r="G523" s="65"/>
      <c r="H523" s="65"/>
      <c r="I523" s="65"/>
      <c r="J523" s="108"/>
      <c r="K523" s="108"/>
      <c r="L523" s="65"/>
      <c r="M523" s="111"/>
      <c r="N523" s="65"/>
      <c r="O523" s="65"/>
      <c r="P523" s="65"/>
    </row>
    <row r="524">
      <c r="A524" s="61"/>
      <c r="B524" s="61"/>
      <c r="C524" s="61"/>
      <c r="D524" s="61"/>
      <c r="E524" s="61"/>
      <c r="F524" s="61"/>
      <c r="G524" s="61"/>
      <c r="H524" s="61"/>
      <c r="I524" s="61"/>
      <c r="J524" s="107"/>
      <c r="K524" s="107"/>
      <c r="L524" s="61"/>
      <c r="M524" s="110"/>
      <c r="N524" s="61"/>
      <c r="O524" s="61"/>
      <c r="P524" s="61"/>
    </row>
    <row r="525">
      <c r="A525" s="65"/>
      <c r="B525" s="65"/>
      <c r="C525" s="65"/>
      <c r="D525" s="65"/>
      <c r="E525" s="65"/>
      <c r="F525" s="65"/>
      <c r="G525" s="65"/>
      <c r="H525" s="65"/>
      <c r="I525" s="65"/>
      <c r="J525" s="108"/>
      <c r="K525" s="108"/>
      <c r="L525" s="65"/>
      <c r="M525" s="111"/>
      <c r="N525" s="65"/>
      <c r="O525" s="65"/>
      <c r="P525" s="65"/>
    </row>
    <row r="526">
      <c r="A526" s="61"/>
      <c r="B526" s="61"/>
      <c r="C526" s="61"/>
      <c r="D526" s="61"/>
      <c r="E526" s="61"/>
      <c r="F526" s="61"/>
      <c r="G526" s="61"/>
      <c r="H526" s="61"/>
      <c r="I526" s="61"/>
      <c r="J526" s="107"/>
      <c r="K526" s="107"/>
      <c r="L526" s="61"/>
      <c r="M526" s="110"/>
      <c r="N526" s="61"/>
      <c r="O526" s="61"/>
      <c r="P526" s="61"/>
    </row>
    <row r="527">
      <c r="A527" s="65"/>
      <c r="B527" s="65"/>
      <c r="C527" s="65"/>
      <c r="D527" s="65"/>
      <c r="E527" s="65"/>
      <c r="F527" s="65"/>
      <c r="G527" s="65"/>
      <c r="H527" s="65"/>
      <c r="I527" s="65"/>
      <c r="J527" s="108"/>
      <c r="K527" s="108"/>
      <c r="L527" s="65"/>
      <c r="M527" s="111"/>
      <c r="N527" s="65"/>
      <c r="O527" s="65"/>
      <c r="P527" s="65"/>
    </row>
    <row r="528">
      <c r="A528" s="61"/>
      <c r="B528" s="61"/>
      <c r="C528" s="61"/>
      <c r="D528" s="61"/>
      <c r="E528" s="61"/>
      <c r="F528" s="61"/>
      <c r="G528" s="61"/>
      <c r="H528" s="61"/>
      <c r="I528" s="61"/>
      <c r="J528" s="107"/>
      <c r="K528" s="107"/>
      <c r="L528" s="61"/>
      <c r="M528" s="110"/>
      <c r="N528" s="61"/>
      <c r="O528" s="61"/>
      <c r="P528" s="61"/>
    </row>
    <row r="529">
      <c r="A529" s="65"/>
      <c r="B529" s="65"/>
      <c r="C529" s="65"/>
      <c r="D529" s="65"/>
      <c r="E529" s="65"/>
      <c r="F529" s="65"/>
      <c r="G529" s="65"/>
      <c r="H529" s="65"/>
      <c r="I529" s="65"/>
      <c r="J529" s="108"/>
      <c r="K529" s="108"/>
      <c r="L529" s="65"/>
      <c r="M529" s="111"/>
      <c r="N529" s="65"/>
      <c r="O529" s="65"/>
      <c r="P529" s="65"/>
    </row>
    <row r="530">
      <c r="A530" s="61"/>
      <c r="B530" s="61"/>
      <c r="C530" s="61"/>
      <c r="D530" s="61"/>
      <c r="E530" s="61"/>
      <c r="F530" s="61"/>
      <c r="G530" s="61"/>
      <c r="H530" s="61"/>
      <c r="I530" s="61"/>
      <c r="J530" s="107"/>
      <c r="K530" s="107"/>
      <c r="L530" s="61"/>
      <c r="M530" s="110"/>
      <c r="N530" s="61"/>
      <c r="O530" s="61"/>
      <c r="P530" s="61"/>
    </row>
    <row r="531">
      <c r="A531" s="65"/>
      <c r="B531" s="65"/>
      <c r="C531" s="65"/>
      <c r="D531" s="65"/>
      <c r="E531" s="65"/>
      <c r="F531" s="65"/>
      <c r="G531" s="65"/>
      <c r="H531" s="65"/>
      <c r="I531" s="65"/>
      <c r="J531" s="108"/>
      <c r="K531" s="108"/>
      <c r="L531" s="65"/>
      <c r="M531" s="111"/>
      <c r="N531" s="65"/>
      <c r="O531" s="65"/>
      <c r="P531" s="65"/>
    </row>
    <row r="532">
      <c r="A532" s="61"/>
      <c r="B532" s="61"/>
      <c r="C532" s="61"/>
      <c r="D532" s="61"/>
      <c r="E532" s="61"/>
      <c r="F532" s="61"/>
      <c r="G532" s="61"/>
      <c r="H532" s="61"/>
      <c r="I532" s="61"/>
      <c r="J532" s="107"/>
      <c r="K532" s="107"/>
      <c r="L532" s="61"/>
      <c r="M532" s="110"/>
      <c r="N532" s="61"/>
      <c r="O532" s="61"/>
      <c r="P532" s="61"/>
    </row>
    <row r="533">
      <c r="A533" s="65"/>
      <c r="B533" s="65"/>
      <c r="C533" s="65"/>
      <c r="D533" s="65"/>
      <c r="E533" s="65"/>
      <c r="F533" s="65"/>
      <c r="G533" s="65"/>
      <c r="H533" s="65"/>
      <c r="I533" s="65"/>
      <c r="J533" s="108"/>
      <c r="K533" s="108"/>
      <c r="L533" s="65"/>
      <c r="M533" s="111"/>
      <c r="N533" s="65"/>
      <c r="O533" s="65"/>
      <c r="P533" s="65"/>
    </row>
    <row r="534">
      <c r="A534" s="61"/>
      <c r="B534" s="61"/>
      <c r="C534" s="61"/>
      <c r="D534" s="61"/>
      <c r="E534" s="61"/>
      <c r="F534" s="61"/>
      <c r="G534" s="61"/>
      <c r="H534" s="61"/>
      <c r="I534" s="61"/>
      <c r="J534" s="107"/>
      <c r="K534" s="107"/>
      <c r="L534" s="61"/>
      <c r="M534" s="110"/>
      <c r="N534" s="61"/>
      <c r="O534" s="61"/>
      <c r="P534" s="61"/>
    </row>
    <row r="535">
      <c r="A535" s="65"/>
      <c r="B535" s="65"/>
      <c r="C535" s="65"/>
      <c r="D535" s="65"/>
      <c r="E535" s="65"/>
      <c r="F535" s="65"/>
      <c r="G535" s="65"/>
      <c r="H535" s="65"/>
      <c r="I535" s="65"/>
      <c r="J535" s="108"/>
      <c r="K535" s="108"/>
      <c r="L535" s="65"/>
      <c r="M535" s="111"/>
      <c r="N535" s="65"/>
      <c r="O535" s="65"/>
      <c r="P535" s="65"/>
    </row>
    <row r="536">
      <c r="A536" s="61"/>
      <c r="B536" s="61"/>
      <c r="C536" s="61"/>
      <c r="D536" s="61"/>
      <c r="E536" s="61"/>
      <c r="F536" s="61"/>
      <c r="G536" s="61"/>
      <c r="H536" s="61"/>
      <c r="I536" s="61"/>
      <c r="J536" s="107"/>
      <c r="K536" s="107"/>
      <c r="L536" s="61"/>
      <c r="M536" s="110"/>
      <c r="N536" s="61"/>
      <c r="O536" s="61"/>
      <c r="P536" s="61"/>
    </row>
    <row r="537">
      <c r="A537" s="65"/>
      <c r="B537" s="65"/>
      <c r="C537" s="65"/>
      <c r="D537" s="65"/>
      <c r="E537" s="65"/>
      <c r="F537" s="65"/>
      <c r="G537" s="65"/>
      <c r="H537" s="65"/>
      <c r="I537" s="65"/>
      <c r="J537" s="108"/>
      <c r="K537" s="108"/>
      <c r="L537" s="65"/>
      <c r="M537" s="111"/>
      <c r="N537" s="65"/>
      <c r="O537" s="65"/>
      <c r="P537" s="65"/>
    </row>
    <row r="538">
      <c r="A538" s="61"/>
      <c r="B538" s="61"/>
      <c r="C538" s="61"/>
      <c r="D538" s="61"/>
      <c r="E538" s="61"/>
      <c r="F538" s="61"/>
      <c r="G538" s="61"/>
      <c r="H538" s="61"/>
      <c r="I538" s="61"/>
      <c r="J538" s="107"/>
      <c r="K538" s="107"/>
      <c r="L538" s="61"/>
      <c r="M538" s="110"/>
      <c r="N538" s="61"/>
      <c r="O538" s="61"/>
      <c r="P538" s="61"/>
    </row>
    <row r="539">
      <c r="A539" s="65"/>
      <c r="B539" s="65"/>
      <c r="C539" s="65"/>
      <c r="D539" s="65"/>
      <c r="E539" s="65"/>
      <c r="F539" s="65"/>
      <c r="G539" s="65"/>
      <c r="H539" s="65"/>
      <c r="I539" s="65"/>
      <c r="J539" s="108"/>
      <c r="K539" s="108"/>
      <c r="L539" s="65"/>
      <c r="M539" s="111"/>
      <c r="N539" s="65"/>
      <c r="O539" s="65"/>
      <c r="P539" s="65"/>
    </row>
    <row r="540">
      <c r="A540" s="61"/>
      <c r="B540" s="61"/>
      <c r="C540" s="61"/>
      <c r="D540" s="61"/>
      <c r="E540" s="61"/>
      <c r="F540" s="61"/>
      <c r="G540" s="61"/>
      <c r="H540" s="61"/>
      <c r="I540" s="61"/>
      <c r="J540" s="107"/>
      <c r="K540" s="107"/>
      <c r="L540" s="61"/>
      <c r="M540" s="110"/>
      <c r="N540" s="61"/>
      <c r="O540" s="61"/>
      <c r="P540" s="61"/>
    </row>
    <row r="541">
      <c r="A541" s="65"/>
      <c r="B541" s="65"/>
      <c r="C541" s="65"/>
      <c r="D541" s="65"/>
      <c r="E541" s="65"/>
      <c r="F541" s="65"/>
      <c r="G541" s="65"/>
      <c r="H541" s="65"/>
      <c r="I541" s="65"/>
      <c r="J541" s="108"/>
      <c r="K541" s="108"/>
      <c r="L541" s="65"/>
      <c r="M541" s="111"/>
      <c r="N541" s="65"/>
      <c r="O541" s="65"/>
      <c r="P541" s="65"/>
    </row>
    <row r="542">
      <c r="A542" s="61"/>
      <c r="B542" s="61"/>
      <c r="C542" s="61"/>
      <c r="D542" s="61"/>
      <c r="E542" s="61"/>
      <c r="F542" s="61"/>
      <c r="G542" s="61"/>
      <c r="H542" s="61"/>
      <c r="I542" s="61"/>
      <c r="J542" s="107"/>
      <c r="K542" s="107"/>
      <c r="L542" s="61"/>
      <c r="M542" s="110"/>
      <c r="N542" s="61"/>
      <c r="O542" s="61"/>
      <c r="P542" s="61"/>
    </row>
    <row r="543">
      <c r="A543" s="65"/>
      <c r="B543" s="65"/>
      <c r="C543" s="65"/>
      <c r="D543" s="65"/>
      <c r="E543" s="65"/>
      <c r="F543" s="65"/>
      <c r="G543" s="65"/>
      <c r="H543" s="65"/>
      <c r="I543" s="65"/>
      <c r="J543" s="108"/>
      <c r="K543" s="108"/>
      <c r="L543" s="65"/>
      <c r="M543" s="111"/>
      <c r="N543" s="65"/>
      <c r="O543" s="65"/>
      <c r="P543" s="65"/>
    </row>
    <row r="544">
      <c r="A544" s="61"/>
      <c r="B544" s="61"/>
      <c r="C544" s="61"/>
      <c r="D544" s="61"/>
      <c r="E544" s="61"/>
      <c r="F544" s="61"/>
      <c r="G544" s="61"/>
      <c r="H544" s="61"/>
      <c r="I544" s="61"/>
      <c r="J544" s="107"/>
      <c r="K544" s="107"/>
      <c r="L544" s="61"/>
      <c r="M544" s="110"/>
      <c r="N544" s="61"/>
      <c r="O544" s="61"/>
      <c r="P544" s="61"/>
    </row>
    <row r="545">
      <c r="A545" s="65"/>
      <c r="B545" s="65"/>
      <c r="C545" s="65"/>
      <c r="D545" s="65"/>
      <c r="E545" s="65"/>
      <c r="F545" s="65"/>
      <c r="G545" s="65"/>
      <c r="H545" s="65"/>
      <c r="I545" s="65"/>
      <c r="J545" s="108"/>
      <c r="K545" s="108"/>
      <c r="L545" s="65"/>
      <c r="M545" s="111"/>
      <c r="N545" s="65"/>
      <c r="O545" s="65"/>
      <c r="P545" s="65"/>
    </row>
    <row r="546">
      <c r="A546" s="61"/>
      <c r="B546" s="61"/>
      <c r="C546" s="61"/>
      <c r="D546" s="61"/>
      <c r="E546" s="61"/>
      <c r="F546" s="61"/>
      <c r="G546" s="61"/>
      <c r="H546" s="61"/>
      <c r="I546" s="61"/>
      <c r="J546" s="107"/>
      <c r="K546" s="107"/>
      <c r="L546" s="61"/>
      <c r="M546" s="110"/>
      <c r="N546" s="61"/>
      <c r="O546" s="61"/>
      <c r="P546" s="61"/>
    </row>
    <row r="547">
      <c r="A547" s="65"/>
      <c r="B547" s="65"/>
      <c r="C547" s="65"/>
      <c r="D547" s="65"/>
      <c r="E547" s="65"/>
      <c r="F547" s="65"/>
      <c r="G547" s="65"/>
      <c r="H547" s="65"/>
      <c r="I547" s="65"/>
      <c r="J547" s="108"/>
      <c r="K547" s="108"/>
      <c r="L547" s="65"/>
      <c r="M547" s="111"/>
      <c r="N547" s="65"/>
      <c r="O547" s="65"/>
      <c r="P547" s="65"/>
    </row>
    <row r="548">
      <c r="A548" s="61"/>
      <c r="B548" s="61"/>
      <c r="C548" s="61"/>
      <c r="D548" s="61"/>
      <c r="E548" s="61"/>
      <c r="F548" s="61"/>
      <c r="G548" s="61"/>
      <c r="H548" s="61"/>
      <c r="I548" s="61"/>
      <c r="J548" s="107"/>
      <c r="K548" s="107"/>
      <c r="L548" s="61"/>
      <c r="M548" s="110"/>
      <c r="N548" s="61"/>
      <c r="O548" s="61"/>
      <c r="P548" s="61"/>
    </row>
    <row r="549">
      <c r="A549" s="65"/>
      <c r="B549" s="65"/>
      <c r="C549" s="65"/>
      <c r="D549" s="65"/>
      <c r="E549" s="65"/>
      <c r="F549" s="65"/>
      <c r="G549" s="65"/>
      <c r="H549" s="65"/>
      <c r="I549" s="65"/>
      <c r="J549" s="108"/>
      <c r="K549" s="108"/>
      <c r="L549" s="65"/>
      <c r="M549" s="111"/>
      <c r="N549" s="65"/>
      <c r="O549" s="65"/>
      <c r="P549" s="65"/>
    </row>
    <row r="550">
      <c r="A550" s="61"/>
      <c r="B550" s="61"/>
      <c r="C550" s="61"/>
      <c r="D550" s="61"/>
      <c r="E550" s="61"/>
      <c r="F550" s="61"/>
      <c r="G550" s="61"/>
      <c r="H550" s="61"/>
      <c r="I550" s="61"/>
      <c r="J550" s="107"/>
      <c r="K550" s="107"/>
      <c r="L550" s="61"/>
      <c r="M550" s="110"/>
      <c r="N550" s="61"/>
      <c r="O550" s="61"/>
      <c r="P550" s="61"/>
    </row>
    <row r="551">
      <c r="A551" s="65"/>
      <c r="B551" s="65"/>
      <c r="C551" s="65"/>
      <c r="D551" s="65"/>
      <c r="E551" s="65"/>
      <c r="F551" s="65"/>
      <c r="G551" s="65"/>
      <c r="H551" s="65"/>
      <c r="I551" s="65"/>
      <c r="J551" s="108"/>
      <c r="K551" s="108"/>
      <c r="L551" s="65"/>
      <c r="M551" s="111"/>
      <c r="N551" s="65"/>
      <c r="O551" s="65"/>
      <c r="P551" s="65"/>
    </row>
    <row r="552">
      <c r="A552" s="61"/>
      <c r="B552" s="61"/>
      <c r="C552" s="61"/>
      <c r="D552" s="61"/>
      <c r="E552" s="61"/>
      <c r="F552" s="61"/>
      <c r="G552" s="61"/>
      <c r="H552" s="61"/>
      <c r="I552" s="61"/>
      <c r="J552" s="107"/>
      <c r="K552" s="107"/>
      <c r="L552" s="61"/>
      <c r="M552" s="110"/>
      <c r="N552" s="61"/>
      <c r="O552" s="61"/>
      <c r="P552" s="61"/>
    </row>
    <row r="553">
      <c r="A553" s="65"/>
      <c r="B553" s="65"/>
      <c r="C553" s="65"/>
      <c r="D553" s="65"/>
      <c r="E553" s="65"/>
      <c r="F553" s="65"/>
      <c r="G553" s="65"/>
      <c r="H553" s="65"/>
      <c r="I553" s="65"/>
      <c r="J553" s="108"/>
      <c r="K553" s="108"/>
      <c r="L553" s="65"/>
      <c r="M553" s="111"/>
      <c r="N553" s="65"/>
      <c r="O553" s="65"/>
      <c r="P553" s="65"/>
    </row>
    <row r="554">
      <c r="A554" s="61"/>
      <c r="B554" s="61"/>
      <c r="C554" s="61"/>
      <c r="D554" s="61"/>
      <c r="E554" s="61"/>
      <c r="F554" s="61"/>
      <c r="G554" s="61"/>
      <c r="H554" s="61"/>
      <c r="I554" s="61"/>
      <c r="J554" s="107"/>
      <c r="K554" s="107"/>
      <c r="L554" s="61"/>
      <c r="M554" s="110"/>
      <c r="N554" s="61"/>
      <c r="O554" s="61"/>
      <c r="P554" s="61"/>
    </row>
    <row r="555">
      <c r="A555" s="65"/>
      <c r="B555" s="65"/>
      <c r="C555" s="65"/>
      <c r="D555" s="65"/>
      <c r="E555" s="65"/>
      <c r="F555" s="65"/>
      <c r="G555" s="65"/>
      <c r="H555" s="65"/>
      <c r="I555" s="65"/>
      <c r="J555" s="108"/>
      <c r="K555" s="108"/>
      <c r="L555" s="65"/>
      <c r="M555" s="111"/>
      <c r="N555" s="65"/>
      <c r="O555" s="65"/>
      <c r="P555" s="65"/>
    </row>
    <row r="556">
      <c r="A556" s="61"/>
      <c r="B556" s="61"/>
      <c r="C556" s="61"/>
      <c r="D556" s="61"/>
      <c r="E556" s="61"/>
      <c r="F556" s="61"/>
      <c r="G556" s="61"/>
      <c r="H556" s="61"/>
      <c r="I556" s="61"/>
      <c r="J556" s="107"/>
      <c r="K556" s="107"/>
      <c r="L556" s="61"/>
      <c r="M556" s="110"/>
      <c r="N556" s="61"/>
      <c r="O556" s="61"/>
      <c r="P556" s="61"/>
    </row>
    <row r="557">
      <c r="A557" s="65"/>
      <c r="B557" s="65"/>
      <c r="C557" s="65"/>
      <c r="D557" s="65"/>
      <c r="E557" s="65"/>
      <c r="F557" s="65"/>
      <c r="G557" s="65"/>
      <c r="H557" s="65"/>
      <c r="I557" s="65"/>
      <c r="J557" s="108"/>
      <c r="K557" s="108"/>
      <c r="L557" s="65"/>
      <c r="M557" s="111"/>
      <c r="N557" s="65"/>
      <c r="O557" s="65"/>
      <c r="P557" s="65"/>
    </row>
    <row r="558">
      <c r="A558" s="61"/>
      <c r="B558" s="61"/>
      <c r="C558" s="61"/>
      <c r="D558" s="61"/>
      <c r="E558" s="61"/>
      <c r="F558" s="61"/>
      <c r="G558" s="61"/>
      <c r="H558" s="61"/>
      <c r="I558" s="61"/>
      <c r="J558" s="107"/>
      <c r="K558" s="107"/>
      <c r="L558" s="61"/>
      <c r="M558" s="110"/>
      <c r="N558" s="61"/>
      <c r="O558" s="61"/>
      <c r="P558" s="61"/>
    </row>
    <row r="559">
      <c r="A559" s="65"/>
      <c r="B559" s="65"/>
      <c r="C559" s="65"/>
      <c r="D559" s="65"/>
      <c r="E559" s="65"/>
      <c r="F559" s="65"/>
      <c r="G559" s="65"/>
      <c r="H559" s="65"/>
      <c r="I559" s="65"/>
      <c r="J559" s="108"/>
      <c r="K559" s="108"/>
      <c r="L559" s="65"/>
      <c r="M559" s="111"/>
      <c r="N559" s="65"/>
      <c r="O559" s="65"/>
      <c r="P559" s="65"/>
    </row>
    <row r="560">
      <c r="A560" s="61"/>
      <c r="B560" s="61"/>
      <c r="C560" s="61"/>
      <c r="D560" s="61"/>
      <c r="E560" s="61"/>
      <c r="F560" s="61"/>
      <c r="G560" s="61"/>
      <c r="H560" s="61"/>
      <c r="I560" s="61"/>
      <c r="J560" s="107"/>
      <c r="K560" s="107"/>
      <c r="L560" s="61"/>
      <c r="M560" s="110"/>
      <c r="N560" s="61"/>
      <c r="O560" s="61"/>
      <c r="P560" s="61"/>
    </row>
    <row r="561">
      <c r="A561" s="65"/>
      <c r="B561" s="65"/>
      <c r="C561" s="65"/>
      <c r="D561" s="65"/>
      <c r="E561" s="65"/>
      <c r="F561" s="65"/>
      <c r="G561" s="65"/>
      <c r="H561" s="65"/>
      <c r="I561" s="65"/>
      <c r="J561" s="108"/>
      <c r="K561" s="108"/>
      <c r="L561" s="65"/>
      <c r="M561" s="111"/>
      <c r="N561" s="65"/>
      <c r="O561" s="65"/>
      <c r="P561" s="65"/>
    </row>
    <row r="562">
      <c r="A562" s="61"/>
      <c r="B562" s="61"/>
      <c r="C562" s="61"/>
      <c r="D562" s="61"/>
      <c r="E562" s="61"/>
      <c r="F562" s="61"/>
      <c r="G562" s="61"/>
      <c r="H562" s="61"/>
      <c r="I562" s="61"/>
      <c r="J562" s="107"/>
      <c r="K562" s="107"/>
      <c r="L562" s="61"/>
      <c r="M562" s="110"/>
      <c r="N562" s="61"/>
      <c r="O562" s="61"/>
      <c r="P562" s="61"/>
    </row>
    <row r="563">
      <c r="A563" s="65"/>
      <c r="B563" s="65"/>
      <c r="C563" s="65"/>
      <c r="D563" s="65"/>
      <c r="E563" s="65"/>
      <c r="F563" s="65"/>
      <c r="G563" s="65"/>
      <c r="H563" s="65"/>
      <c r="I563" s="65"/>
      <c r="J563" s="108"/>
      <c r="K563" s="108"/>
      <c r="L563" s="65"/>
      <c r="M563" s="111"/>
      <c r="N563" s="65"/>
      <c r="O563" s="65"/>
      <c r="P563" s="65"/>
    </row>
    <row r="564">
      <c r="A564" s="61"/>
      <c r="B564" s="61"/>
      <c r="C564" s="61"/>
      <c r="D564" s="61"/>
      <c r="E564" s="61"/>
      <c r="F564" s="61"/>
      <c r="G564" s="61"/>
      <c r="H564" s="61"/>
      <c r="I564" s="61"/>
      <c r="J564" s="107"/>
      <c r="K564" s="107"/>
      <c r="L564" s="61"/>
      <c r="M564" s="110"/>
      <c r="N564" s="61"/>
      <c r="O564" s="61"/>
      <c r="P564" s="61"/>
    </row>
    <row r="565">
      <c r="A565" s="65"/>
      <c r="B565" s="65"/>
      <c r="C565" s="65"/>
      <c r="D565" s="65"/>
      <c r="E565" s="65"/>
      <c r="F565" s="65"/>
      <c r="G565" s="65"/>
      <c r="H565" s="65"/>
      <c r="I565" s="65"/>
      <c r="J565" s="108"/>
      <c r="K565" s="108"/>
      <c r="L565" s="65"/>
      <c r="M565" s="111"/>
      <c r="N565" s="65"/>
      <c r="O565" s="65"/>
      <c r="P565" s="65"/>
    </row>
    <row r="566">
      <c r="A566" s="61"/>
      <c r="B566" s="61"/>
      <c r="C566" s="61"/>
      <c r="D566" s="61"/>
      <c r="E566" s="61"/>
      <c r="F566" s="61"/>
      <c r="G566" s="61"/>
      <c r="H566" s="61"/>
      <c r="I566" s="61"/>
      <c r="J566" s="107"/>
      <c r="K566" s="107"/>
      <c r="L566" s="61"/>
      <c r="M566" s="110"/>
      <c r="N566" s="61"/>
      <c r="O566" s="61"/>
      <c r="P566" s="61"/>
    </row>
    <row r="567">
      <c r="A567" s="65"/>
      <c r="B567" s="65"/>
      <c r="C567" s="65"/>
      <c r="D567" s="65"/>
      <c r="E567" s="65"/>
      <c r="F567" s="65"/>
      <c r="G567" s="65"/>
      <c r="H567" s="65"/>
      <c r="I567" s="65"/>
      <c r="J567" s="108"/>
      <c r="K567" s="108"/>
      <c r="L567" s="65"/>
      <c r="M567" s="111"/>
      <c r="N567" s="65"/>
      <c r="O567" s="65"/>
      <c r="P567" s="65"/>
    </row>
    <row r="568">
      <c r="A568" s="61"/>
      <c r="B568" s="61"/>
      <c r="C568" s="61"/>
      <c r="D568" s="61"/>
      <c r="E568" s="61"/>
      <c r="F568" s="61"/>
      <c r="G568" s="61"/>
      <c r="H568" s="61"/>
      <c r="I568" s="61"/>
      <c r="J568" s="107"/>
      <c r="K568" s="107"/>
      <c r="L568" s="61"/>
      <c r="M568" s="110"/>
      <c r="N568" s="61"/>
      <c r="O568" s="61"/>
      <c r="P568" s="61"/>
    </row>
    <row r="569">
      <c r="A569" s="65"/>
      <c r="B569" s="65"/>
      <c r="C569" s="65"/>
      <c r="D569" s="65"/>
      <c r="E569" s="65"/>
      <c r="F569" s="65"/>
      <c r="G569" s="65"/>
      <c r="H569" s="65"/>
      <c r="I569" s="65"/>
      <c r="J569" s="108"/>
      <c r="K569" s="108"/>
      <c r="L569" s="65"/>
      <c r="M569" s="111"/>
      <c r="N569" s="65"/>
      <c r="O569" s="65"/>
      <c r="P569" s="65"/>
    </row>
    <row r="570">
      <c r="A570" s="61"/>
      <c r="B570" s="61"/>
      <c r="C570" s="61"/>
      <c r="D570" s="61"/>
      <c r="E570" s="61"/>
      <c r="F570" s="61"/>
      <c r="G570" s="61"/>
      <c r="H570" s="61"/>
      <c r="I570" s="61"/>
      <c r="J570" s="107"/>
      <c r="K570" s="107"/>
      <c r="L570" s="61"/>
      <c r="M570" s="110"/>
      <c r="N570" s="61"/>
      <c r="O570" s="61"/>
      <c r="P570" s="61"/>
    </row>
    <row r="571">
      <c r="A571" s="65"/>
      <c r="B571" s="65"/>
      <c r="C571" s="65"/>
      <c r="D571" s="65"/>
      <c r="E571" s="65"/>
      <c r="F571" s="65"/>
      <c r="G571" s="65"/>
      <c r="H571" s="65"/>
      <c r="I571" s="65"/>
      <c r="J571" s="108"/>
      <c r="K571" s="108"/>
      <c r="L571" s="65"/>
      <c r="M571" s="111"/>
      <c r="N571" s="65"/>
      <c r="O571" s="65"/>
      <c r="P571" s="65"/>
    </row>
    <row r="572">
      <c r="A572" s="61"/>
      <c r="B572" s="61"/>
      <c r="C572" s="61"/>
      <c r="D572" s="61"/>
      <c r="E572" s="61"/>
      <c r="F572" s="61"/>
      <c r="G572" s="61"/>
      <c r="H572" s="61"/>
      <c r="I572" s="61"/>
      <c r="J572" s="107"/>
      <c r="K572" s="107"/>
      <c r="L572" s="61"/>
      <c r="M572" s="110"/>
      <c r="N572" s="61"/>
      <c r="O572" s="61"/>
      <c r="P572" s="61"/>
    </row>
    <row r="573">
      <c r="A573" s="65"/>
      <c r="B573" s="65"/>
      <c r="C573" s="65"/>
      <c r="D573" s="65"/>
      <c r="E573" s="65"/>
      <c r="F573" s="65"/>
      <c r="G573" s="65"/>
      <c r="H573" s="65"/>
      <c r="I573" s="65"/>
      <c r="J573" s="108"/>
      <c r="K573" s="108"/>
      <c r="L573" s="65"/>
      <c r="M573" s="111"/>
      <c r="N573" s="65"/>
      <c r="O573" s="65"/>
      <c r="P573" s="65"/>
    </row>
    <row r="574">
      <c r="A574" s="61"/>
      <c r="B574" s="61"/>
      <c r="C574" s="61"/>
      <c r="D574" s="61"/>
      <c r="E574" s="61"/>
      <c r="F574" s="61"/>
      <c r="G574" s="61"/>
      <c r="H574" s="61"/>
      <c r="I574" s="61"/>
      <c r="J574" s="107"/>
      <c r="K574" s="107"/>
      <c r="L574" s="61"/>
      <c r="M574" s="110"/>
      <c r="N574" s="61"/>
      <c r="O574" s="61"/>
      <c r="P574" s="61"/>
    </row>
    <row r="575">
      <c r="A575" s="65"/>
      <c r="B575" s="65"/>
      <c r="C575" s="65"/>
      <c r="D575" s="65"/>
      <c r="E575" s="65"/>
      <c r="F575" s="65"/>
      <c r="G575" s="65"/>
      <c r="H575" s="65"/>
      <c r="I575" s="65"/>
      <c r="J575" s="108"/>
      <c r="K575" s="108"/>
      <c r="L575" s="65"/>
      <c r="M575" s="111"/>
      <c r="N575" s="65"/>
      <c r="O575" s="65"/>
      <c r="P575" s="65"/>
    </row>
    <row r="576">
      <c r="A576" s="61"/>
      <c r="B576" s="61"/>
      <c r="C576" s="61"/>
      <c r="D576" s="61"/>
      <c r="E576" s="61"/>
      <c r="F576" s="61"/>
      <c r="G576" s="61"/>
      <c r="H576" s="61"/>
      <c r="I576" s="61"/>
      <c r="J576" s="107"/>
      <c r="K576" s="107"/>
      <c r="L576" s="61"/>
      <c r="M576" s="110"/>
      <c r="N576" s="61"/>
      <c r="O576" s="61"/>
      <c r="P576" s="61"/>
    </row>
    <row r="577">
      <c r="A577" s="65"/>
      <c r="B577" s="65"/>
      <c r="C577" s="65"/>
      <c r="D577" s="65"/>
      <c r="E577" s="65"/>
      <c r="F577" s="65"/>
      <c r="G577" s="65"/>
      <c r="H577" s="65"/>
      <c r="I577" s="65"/>
      <c r="J577" s="108"/>
      <c r="K577" s="108"/>
      <c r="L577" s="65"/>
      <c r="M577" s="111"/>
      <c r="N577" s="65"/>
      <c r="O577" s="65"/>
      <c r="P577" s="65"/>
    </row>
    <row r="578">
      <c r="A578" s="61"/>
      <c r="B578" s="61"/>
      <c r="C578" s="61"/>
      <c r="D578" s="61"/>
      <c r="E578" s="61"/>
      <c r="F578" s="61"/>
      <c r="G578" s="61"/>
      <c r="H578" s="61"/>
      <c r="I578" s="61"/>
      <c r="J578" s="107"/>
      <c r="K578" s="107"/>
      <c r="L578" s="61"/>
      <c r="M578" s="110"/>
      <c r="N578" s="61"/>
      <c r="O578" s="61"/>
      <c r="P578" s="61"/>
    </row>
    <row r="579">
      <c r="A579" s="65"/>
      <c r="B579" s="65"/>
      <c r="C579" s="65"/>
      <c r="D579" s="65"/>
      <c r="E579" s="65"/>
      <c r="F579" s="65"/>
      <c r="G579" s="65"/>
      <c r="H579" s="65"/>
      <c r="I579" s="65"/>
      <c r="J579" s="108"/>
      <c r="K579" s="108"/>
      <c r="L579" s="65"/>
      <c r="M579" s="111"/>
      <c r="N579" s="65"/>
      <c r="O579" s="65"/>
      <c r="P579" s="65"/>
    </row>
    <row r="580">
      <c r="A580" s="61"/>
      <c r="B580" s="61"/>
      <c r="C580" s="61"/>
      <c r="D580" s="61"/>
      <c r="E580" s="61"/>
      <c r="F580" s="61"/>
      <c r="G580" s="61"/>
      <c r="H580" s="61"/>
      <c r="I580" s="61"/>
      <c r="J580" s="107"/>
      <c r="K580" s="107"/>
      <c r="L580" s="61"/>
      <c r="M580" s="110"/>
      <c r="N580" s="61"/>
      <c r="O580" s="61"/>
      <c r="P580" s="61"/>
    </row>
    <row r="581">
      <c r="A581" s="65"/>
      <c r="B581" s="65"/>
      <c r="C581" s="65"/>
      <c r="D581" s="65"/>
      <c r="E581" s="65"/>
      <c r="F581" s="65"/>
      <c r="G581" s="65"/>
      <c r="H581" s="65"/>
      <c r="I581" s="65"/>
      <c r="J581" s="108"/>
      <c r="K581" s="108"/>
      <c r="L581" s="65"/>
      <c r="M581" s="111"/>
      <c r="N581" s="65"/>
      <c r="O581" s="65"/>
      <c r="P581" s="65"/>
    </row>
    <row r="582">
      <c r="A582" s="61"/>
      <c r="B582" s="61"/>
      <c r="C582" s="61"/>
      <c r="D582" s="61"/>
      <c r="E582" s="61"/>
      <c r="F582" s="61"/>
      <c r="G582" s="61"/>
      <c r="H582" s="61"/>
      <c r="I582" s="61"/>
      <c r="J582" s="107"/>
      <c r="K582" s="107"/>
      <c r="L582" s="61"/>
      <c r="M582" s="110"/>
      <c r="N582" s="61"/>
      <c r="O582" s="61"/>
      <c r="P582" s="61"/>
    </row>
    <row r="583">
      <c r="A583" s="65"/>
      <c r="B583" s="65"/>
      <c r="C583" s="65"/>
      <c r="D583" s="65"/>
      <c r="E583" s="65"/>
      <c r="F583" s="65"/>
      <c r="G583" s="65"/>
      <c r="H583" s="65"/>
      <c r="I583" s="65"/>
      <c r="J583" s="108"/>
      <c r="K583" s="108"/>
      <c r="L583" s="65"/>
      <c r="M583" s="111"/>
      <c r="N583" s="65"/>
      <c r="O583" s="65"/>
      <c r="P583" s="65"/>
    </row>
    <row r="584">
      <c r="A584" s="61"/>
      <c r="B584" s="61"/>
      <c r="C584" s="61"/>
      <c r="D584" s="61"/>
      <c r="E584" s="61"/>
      <c r="F584" s="61"/>
      <c r="G584" s="61"/>
      <c r="H584" s="61"/>
      <c r="I584" s="61"/>
      <c r="J584" s="107"/>
      <c r="K584" s="107"/>
      <c r="L584" s="61"/>
      <c r="M584" s="110"/>
      <c r="N584" s="61"/>
      <c r="O584" s="61"/>
      <c r="P584" s="61"/>
    </row>
    <row r="585">
      <c r="A585" s="65"/>
      <c r="B585" s="65"/>
      <c r="C585" s="65"/>
      <c r="D585" s="65"/>
      <c r="E585" s="65"/>
      <c r="F585" s="65"/>
      <c r="G585" s="65"/>
      <c r="H585" s="65"/>
      <c r="I585" s="65"/>
      <c r="J585" s="108"/>
      <c r="K585" s="108"/>
      <c r="L585" s="65"/>
      <c r="M585" s="111"/>
      <c r="N585" s="65"/>
      <c r="O585" s="65"/>
      <c r="P585" s="65"/>
    </row>
    <row r="586">
      <c r="A586" s="61"/>
      <c r="B586" s="61"/>
      <c r="C586" s="61"/>
      <c r="D586" s="61"/>
      <c r="E586" s="61"/>
      <c r="F586" s="61"/>
      <c r="G586" s="61"/>
      <c r="H586" s="61"/>
      <c r="I586" s="61"/>
      <c r="J586" s="107"/>
      <c r="K586" s="107"/>
      <c r="L586" s="61"/>
      <c r="M586" s="110"/>
      <c r="N586" s="61"/>
      <c r="O586" s="61"/>
      <c r="P586" s="61"/>
    </row>
    <row r="587">
      <c r="A587" s="65"/>
      <c r="B587" s="65"/>
      <c r="C587" s="65"/>
      <c r="D587" s="65"/>
      <c r="E587" s="65"/>
      <c r="F587" s="65"/>
      <c r="G587" s="65"/>
      <c r="H587" s="65"/>
      <c r="I587" s="65"/>
      <c r="J587" s="108"/>
      <c r="K587" s="108"/>
      <c r="L587" s="65"/>
      <c r="M587" s="111"/>
      <c r="N587" s="65"/>
      <c r="O587" s="65"/>
      <c r="P587" s="65"/>
    </row>
    <row r="588">
      <c r="A588" s="61"/>
      <c r="B588" s="61"/>
      <c r="C588" s="61"/>
      <c r="D588" s="61"/>
      <c r="E588" s="61"/>
      <c r="F588" s="61"/>
      <c r="G588" s="61"/>
      <c r="H588" s="61"/>
      <c r="I588" s="61"/>
      <c r="J588" s="107"/>
      <c r="K588" s="107"/>
      <c r="L588" s="61"/>
      <c r="M588" s="110"/>
      <c r="N588" s="61"/>
      <c r="O588" s="61"/>
      <c r="P588" s="61"/>
    </row>
    <row r="589">
      <c r="A589" s="65"/>
      <c r="B589" s="65"/>
      <c r="C589" s="65"/>
      <c r="D589" s="65"/>
      <c r="E589" s="65"/>
      <c r="F589" s="65"/>
      <c r="G589" s="65"/>
      <c r="H589" s="65"/>
      <c r="I589" s="65"/>
      <c r="J589" s="108"/>
      <c r="K589" s="108"/>
      <c r="L589" s="65"/>
      <c r="M589" s="111"/>
      <c r="N589" s="65"/>
      <c r="O589" s="65"/>
      <c r="P589" s="65"/>
    </row>
    <row r="590">
      <c r="A590" s="61"/>
      <c r="B590" s="61"/>
      <c r="C590" s="61"/>
      <c r="D590" s="61"/>
      <c r="E590" s="61"/>
      <c r="F590" s="61"/>
      <c r="G590" s="61"/>
      <c r="H590" s="61"/>
      <c r="I590" s="61"/>
      <c r="J590" s="107"/>
      <c r="K590" s="107"/>
      <c r="L590" s="61"/>
      <c r="M590" s="110"/>
      <c r="N590" s="61"/>
      <c r="O590" s="61"/>
      <c r="P590" s="61"/>
    </row>
    <row r="591">
      <c r="A591" s="65"/>
      <c r="B591" s="65"/>
      <c r="C591" s="65"/>
      <c r="D591" s="65"/>
      <c r="E591" s="65"/>
      <c r="F591" s="65"/>
      <c r="G591" s="65"/>
      <c r="H591" s="65"/>
      <c r="I591" s="65"/>
      <c r="J591" s="108"/>
      <c r="K591" s="108"/>
      <c r="L591" s="65"/>
      <c r="M591" s="111"/>
      <c r="N591" s="65"/>
      <c r="O591" s="65"/>
      <c r="P591" s="65"/>
    </row>
    <row r="592">
      <c r="A592" s="61"/>
      <c r="B592" s="61"/>
      <c r="C592" s="61"/>
      <c r="D592" s="61"/>
      <c r="E592" s="61"/>
      <c r="F592" s="61"/>
      <c r="G592" s="61"/>
      <c r="H592" s="61"/>
      <c r="I592" s="61"/>
      <c r="J592" s="107"/>
      <c r="K592" s="107"/>
      <c r="L592" s="61"/>
      <c r="M592" s="110"/>
      <c r="N592" s="61"/>
      <c r="O592" s="61"/>
      <c r="P592" s="61"/>
    </row>
    <row r="593">
      <c r="A593" s="65"/>
      <c r="B593" s="65"/>
      <c r="C593" s="65"/>
      <c r="D593" s="65"/>
      <c r="E593" s="65"/>
      <c r="F593" s="65"/>
      <c r="G593" s="65"/>
      <c r="H593" s="65"/>
      <c r="I593" s="65"/>
      <c r="J593" s="108"/>
      <c r="K593" s="108"/>
      <c r="L593" s="65"/>
      <c r="M593" s="111"/>
      <c r="N593" s="65"/>
      <c r="O593" s="65"/>
      <c r="P593" s="65"/>
    </row>
    <row r="594">
      <c r="A594" s="61"/>
      <c r="B594" s="61"/>
      <c r="C594" s="61"/>
      <c r="D594" s="61"/>
      <c r="E594" s="61"/>
      <c r="F594" s="61"/>
      <c r="G594" s="61"/>
      <c r="H594" s="61"/>
      <c r="I594" s="61"/>
      <c r="J594" s="107"/>
      <c r="K594" s="107"/>
      <c r="L594" s="61"/>
      <c r="M594" s="110"/>
      <c r="N594" s="61"/>
      <c r="O594" s="61"/>
      <c r="P594" s="61"/>
    </row>
    <row r="595">
      <c r="A595" s="65"/>
      <c r="B595" s="65"/>
      <c r="C595" s="65"/>
      <c r="D595" s="65"/>
      <c r="E595" s="65"/>
      <c r="F595" s="65"/>
      <c r="G595" s="65"/>
      <c r="H595" s="65"/>
      <c r="I595" s="65"/>
      <c r="J595" s="108"/>
      <c r="K595" s="108"/>
      <c r="L595" s="65"/>
      <c r="M595" s="111"/>
      <c r="N595" s="65"/>
      <c r="O595" s="65"/>
      <c r="P595" s="65"/>
    </row>
    <row r="596">
      <c r="A596" s="61"/>
      <c r="B596" s="61"/>
      <c r="C596" s="61"/>
      <c r="D596" s="61"/>
      <c r="E596" s="61"/>
      <c r="F596" s="61"/>
      <c r="G596" s="61"/>
      <c r="H596" s="61"/>
      <c r="I596" s="61"/>
      <c r="J596" s="107"/>
      <c r="K596" s="107"/>
      <c r="L596" s="61"/>
      <c r="M596" s="110"/>
      <c r="N596" s="61"/>
      <c r="O596" s="61"/>
      <c r="P596" s="61"/>
    </row>
    <row r="597">
      <c r="A597" s="65"/>
      <c r="B597" s="65"/>
      <c r="C597" s="65"/>
      <c r="D597" s="65"/>
      <c r="E597" s="65"/>
      <c r="F597" s="65"/>
      <c r="G597" s="65"/>
      <c r="H597" s="65"/>
      <c r="I597" s="65"/>
      <c r="J597" s="108"/>
      <c r="K597" s="108"/>
      <c r="L597" s="65"/>
      <c r="M597" s="111"/>
      <c r="N597" s="65"/>
      <c r="O597" s="65"/>
      <c r="P597" s="65"/>
    </row>
    <row r="598">
      <c r="A598" s="61"/>
      <c r="B598" s="61"/>
      <c r="C598" s="61"/>
      <c r="D598" s="61"/>
      <c r="E598" s="61"/>
      <c r="F598" s="61"/>
      <c r="G598" s="61"/>
      <c r="H598" s="61"/>
      <c r="I598" s="61"/>
      <c r="J598" s="107"/>
      <c r="K598" s="107"/>
      <c r="L598" s="61"/>
      <c r="M598" s="110"/>
      <c r="N598" s="61"/>
      <c r="O598" s="61"/>
      <c r="P598" s="61"/>
    </row>
    <row r="599">
      <c r="A599" s="65"/>
      <c r="B599" s="65"/>
      <c r="C599" s="65"/>
      <c r="D599" s="65"/>
      <c r="E599" s="65"/>
      <c r="F599" s="65"/>
      <c r="G599" s="65"/>
      <c r="H599" s="65"/>
      <c r="I599" s="65"/>
      <c r="J599" s="108"/>
      <c r="K599" s="108"/>
      <c r="L599" s="65"/>
      <c r="M599" s="111"/>
      <c r="N599" s="65"/>
      <c r="O599" s="65"/>
      <c r="P599" s="65"/>
    </row>
    <row r="600">
      <c r="A600" s="61"/>
      <c r="B600" s="61"/>
      <c r="C600" s="61"/>
      <c r="D600" s="61"/>
      <c r="E600" s="61"/>
      <c r="F600" s="61"/>
      <c r="G600" s="61"/>
      <c r="H600" s="61"/>
      <c r="I600" s="61"/>
      <c r="J600" s="107"/>
      <c r="K600" s="107"/>
      <c r="L600" s="61"/>
      <c r="M600" s="110"/>
      <c r="N600" s="61"/>
      <c r="O600" s="61"/>
      <c r="P600" s="61"/>
    </row>
    <row r="601">
      <c r="A601" s="65"/>
      <c r="B601" s="65"/>
      <c r="C601" s="65"/>
      <c r="D601" s="65"/>
      <c r="E601" s="65"/>
      <c r="F601" s="65"/>
      <c r="G601" s="65"/>
      <c r="H601" s="65"/>
      <c r="I601" s="65"/>
      <c r="J601" s="108"/>
      <c r="K601" s="108"/>
      <c r="L601" s="65"/>
      <c r="M601" s="111"/>
      <c r="N601" s="65"/>
      <c r="O601" s="65"/>
      <c r="P601" s="65"/>
    </row>
    <row r="602">
      <c r="A602" s="61"/>
      <c r="B602" s="61"/>
      <c r="C602" s="61"/>
      <c r="D602" s="61"/>
      <c r="E602" s="61"/>
      <c r="F602" s="61"/>
      <c r="G602" s="61"/>
      <c r="H602" s="61"/>
      <c r="I602" s="61"/>
      <c r="J602" s="107"/>
      <c r="K602" s="107"/>
      <c r="L602" s="61"/>
      <c r="M602" s="110"/>
      <c r="N602" s="61"/>
      <c r="O602" s="61"/>
      <c r="P602" s="61"/>
    </row>
    <row r="603">
      <c r="A603" s="65"/>
      <c r="B603" s="65"/>
      <c r="C603" s="65"/>
      <c r="D603" s="65"/>
      <c r="E603" s="65"/>
      <c r="F603" s="65"/>
      <c r="G603" s="65"/>
      <c r="H603" s="65"/>
      <c r="I603" s="65"/>
      <c r="J603" s="108"/>
      <c r="K603" s="108"/>
      <c r="L603" s="65"/>
      <c r="M603" s="111"/>
      <c r="N603" s="65"/>
      <c r="O603" s="65"/>
      <c r="P603" s="65"/>
    </row>
    <row r="604">
      <c r="A604" s="61"/>
      <c r="B604" s="61"/>
      <c r="C604" s="61"/>
      <c r="D604" s="61"/>
      <c r="E604" s="61"/>
      <c r="F604" s="61"/>
      <c r="G604" s="61"/>
      <c r="H604" s="61"/>
      <c r="I604" s="61"/>
      <c r="J604" s="107"/>
      <c r="K604" s="107"/>
      <c r="L604" s="61"/>
      <c r="M604" s="110"/>
      <c r="N604" s="61"/>
      <c r="O604" s="61"/>
      <c r="P604" s="61"/>
    </row>
    <row r="605">
      <c r="A605" s="65"/>
      <c r="B605" s="65"/>
      <c r="C605" s="65"/>
      <c r="D605" s="65"/>
      <c r="E605" s="65"/>
      <c r="F605" s="65"/>
      <c r="G605" s="65"/>
      <c r="H605" s="65"/>
      <c r="I605" s="65"/>
      <c r="J605" s="108"/>
      <c r="K605" s="108"/>
      <c r="L605" s="65"/>
      <c r="M605" s="111"/>
      <c r="N605" s="65"/>
      <c r="O605" s="65"/>
      <c r="P605" s="65"/>
    </row>
    <row r="606">
      <c r="A606" s="61"/>
      <c r="B606" s="61"/>
      <c r="C606" s="61"/>
      <c r="D606" s="61"/>
      <c r="E606" s="61"/>
      <c r="F606" s="61"/>
      <c r="G606" s="61"/>
      <c r="H606" s="61"/>
      <c r="I606" s="61"/>
      <c r="J606" s="107"/>
      <c r="K606" s="107"/>
      <c r="L606" s="61"/>
      <c r="M606" s="110"/>
      <c r="N606" s="61"/>
      <c r="O606" s="61"/>
      <c r="P606" s="61"/>
    </row>
    <row r="607">
      <c r="A607" s="65"/>
      <c r="B607" s="65"/>
      <c r="C607" s="65"/>
      <c r="D607" s="65"/>
      <c r="E607" s="65"/>
      <c r="F607" s="65"/>
      <c r="G607" s="65"/>
      <c r="H607" s="65"/>
      <c r="I607" s="65"/>
      <c r="J607" s="108"/>
      <c r="K607" s="108"/>
      <c r="L607" s="65"/>
      <c r="M607" s="111"/>
      <c r="N607" s="65"/>
      <c r="O607" s="65"/>
      <c r="P607" s="65"/>
    </row>
    <row r="608">
      <c r="A608" s="61"/>
      <c r="B608" s="61"/>
      <c r="C608" s="61"/>
      <c r="D608" s="61"/>
      <c r="E608" s="61"/>
      <c r="F608" s="61"/>
      <c r="G608" s="61"/>
      <c r="H608" s="61"/>
      <c r="I608" s="61"/>
      <c r="J608" s="107"/>
      <c r="K608" s="107"/>
      <c r="L608" s="61"/>
      <c r="M608" s="110"/>
      <c r="N608" s="61"/>
      <c r="O608" s="61"/>
      <c r="P608" s="61"/>
    </row>
    <row r="609">
      <c r="A609" s="65"/>
      <c r="B609" s="65"/>
      <c r="C609" s="65"/>
      <c r="D609" s="65"/>
      <c r="E609" s="65"/>
      <c r="F609" s="65"/>
      <c r="G609" s="65"/>
      <c r="H609" s="65"/>
      <c r="I609" s="65"/>
      <c r="J609" s="108"/>
      <c r="K609" s="108"/>
      <c r="L609" s="65"/>
      <c r="M609" s="111"/>
      <c r="N609" s="65"/>
      <c r="O609" s="65"/>
      <c r="P609" s="65"/>
    </row>
    <row r="610">
      <c r="A610" s="61"/>
      <c r="B610" s="61"/>
      <c r="C610" s="61"/>
      <c r="D610" s="61"/>
      <c r="E610" s="61"/>
      <c r="F610" s="61"/>
      <c r="G610" s="61"/>
      <c r="H610" s="61"/>
      <c r="I610" s="61"/>
      <c r="J610" s="107"/>
      <c r="K610" s="107"/>
      <c r="L610" s="61"/>
      <c r="M610" s="110"/>
      <c r="N610" s="61"/>
      <c r="O610" s="61"/>
      <c r="P610" s="61"/>
    </row>
    <row r="611">
      <c r="A611" s="65"/>
      <c r="B611" s="65"/>
      <c r="C611" s="65"/>
      <c r="D611" s="65"/>
      <c r="E611" s="65"/>
      <c r="F611" s="65"/>
      <c r="G611" s="65"/>
      <c r="H611" s="65"/>
      <c r="I611" s="65"/>
      <c r="J611" s="108"/>
      <c r="K611" s="108"/>
      <c r="L611" s="65"/>
      <c r="M611" s="111"/>
      <c r="N611" s="65"/>
      <c r="O611" s="65"/>
      <c r="P611" s="65"/>
    </row>
    <row r="612">
      <c r="A612" s="61"/>
      <c r="B612" s="61"/>
      <c r="C612" s="61"/>
      <c r="D612" s="61"/>
      <c r="E612" s="61"/>
      <c r="F612" s="61"/>
      <c r="G612" s="61"/>
      <c r="H612" s="61"/>
      <c r="I612" s="61"/>
      <c r="J612" s="107"/>
      <c r="K612" s="107"/>
      <c r="L612" s="61"/>
      <c r="M612" s="110"/>
      <c r="N612" s="61"/>
      <c r="O612" s="61"/>
      <c r="P612" s="61"/>
    </row>
    <row r="613">
      <c r="A613" s="65"/>
      <c r="B613" s="65"/>
      <c r="C613" s="65"/>
      <c r="D613" s="65"/>
      <c r="E613" s="65"/>
      <c r="F613" s="65"/>
      <c r="G613" s="65"/>
      <c r="H613" s="65"/>
      <c r="I613" s="65"/>
      <c r="J613" s="108"/>
      <c r="K613" s="108"/>
      <c r="L613" s="65"/>
      <c r="M613" s="111"/>
      <c r="N613" s="65"/>
      <c r="O613" s="65"/>
      <c r="P613" s="65"/>
    </row>
    <row r="614">
      <c r="A614" s="61"/>
      <c r="B614" s="61"/>
      <c r="C614" s="61"/>
      <c r="D614" s="61"/>
      <c r="E614" s="61"/>
      <c r="F614" s="61"/>
      <c r="G614" s="61"/>
      <c r="H614" s="61"/>
      <c r="I614" s="61"/>
      <c r="J614" s="107"/>
      <c r="K614" s="107"/>
      <c r="L614" s="61"/>
      <c r="M614" s="110"/>
      <c r="N614" s="61"/>
      <c r="O614" s="61"/>
      <c r="P614" s="61"/>
    </row>
    <row r="615">
      <c r="A615" s="65"/>
      <c r="B615" s="65"/>
      <c r="C615" s="65"/>
      <c r="D615" s="65"/>
      <c r="E615" s="65"/>
      <c r="F615" s="65"/>
      <c r="G615" s="65"/>
      <c r="H615" s="65"/>
      <c r="I615" s="65"/>
      <c r="J615" s="108"/>
      <c r="K615" s="108"/>
      <c r="L615" s="65"/>
      <c r="M615" s="111"/>
      <c r="N615" s="65"/>
      <c r="O615" s="65"/>
      <c r="P615" s="65"/>
    </row>
    <row r="616">
      <c r="A616" s="61"/>
      <c r="B616" s="61"/>
      <c r="C616" s="61"/>
      <c r="D616" s="61"/>
      <c r="E616" s="61"/>
      <c r="F616" s="61"/>
      <c r="G616" s="61"/>
      <c r="H616" s="61"/>
      <c r="I616" s="61"/>
      <c r="J616" s="107"/>
      <c r="K616" s="107"/>
      <c r="L616" s="61"/>
      <c r="M616" s="110"/>
      <c r="N616" s="61"/>
      <c r="O616" s="61"/>
      <c r="P616" s="61"/>
    </row>
    <row r="617">
      <c r="A617" s="65"/>
      <c r="B617" s="65"/>
      <c r="C617" s="65"/>
      <c r="D617" s="65"/>
      <c r="E617" s="65"/>
      <c r="F617" s="65"/>
      <c r="G617" s="65"/>
      <c r="H617" s="65"/>
      <c r="I617" s="65"/>
      <c r="J617" s="108"/>
      <c r="K617" s="108"/>
      <c r="L617" s="65"/>
      <c r="M617" s="111"/>
      <c r="N617" s="65"/>
      <c r="O617" s="65"/>
      <c r="P617" s="65"/>
    </row>
    <row r="618">
      <c r="A618" s="61"/>
      <c r="B618" s="61"/>
      <c r="C618" s="61"/>
      <c r="D618" s="61"/>
      <c r="E618" s="61"/>
      <c r="F618" s="61"/>
      <c r="G618" s="61"/>
      <c r="H618" s="61"/>
      <c r="I618" s="61"/>
      <c r="J618" s="107"/>
      <c r="K618" s="107"/>
      <c r="L618" s="61"/>
      <c r="M618" s="110"/>
      <c r="N618" s="61"/>
      <c r="O618" s="61"/>
      <c r="P618" s="61"/>
    </row>
    <row r="619">
      <c r="A619" s="65"/>
      <c r="B619" s="65"/>
      <c r="C619" s="65"/>
      <c r="D619" s="65"/>
      <c r="E619" s="65"/>
      <c r="F619" s="65"/>
      <c r="G619" s="65"/>
      <c r="H619" s="65"/>
      <c r="I619" s="65"/>
      <c r="J619" s="108"/>
      <c r="K619" s="108"/>
      <c r="L619" s="65"/>
      <c r="M619" s="111"/>
      <c r="N619" s="65"/>
      <c r="O619" s="65"/>
      <c r="P619" s="65"/>
    </row>
    <row r="620">
      <c r="A620" s="61"/>
      <c r="B620" s="61"/>
      <c r="C620" s="61"/>
      <c r="D620" s="61"/>
      <c r="E620" s="61"/>
      <c r="F620" s="61"/>
      <c r="G620" s="61"/>
      <c r="H620" s="61"/>
      <c r="I620" s="61"/>
      <c r="J620" s="107"/>
      <c r="K620" s="107"/>
      <c r="L620" s="61"/>
      <c r="M620" s="110"/>
      <c r="N620" s="61"/>
      <c r="O620" s="61"/>
      <c r="P620" s="61"/>
    </row>
    <row r="621">
      <c r="A621" s="65"/>
      <c r="B621" s="65"/>
      <c r="C621" s="65"/>
      <c r="D621" s="65"/>
      <c r="E621" s="65"/>
      <c r="F621" s="65"/>
      <c r="G621" s="65"/>
      <c r="H621" s="65"/>
      <c r="I621" s="65"/>
      <c r="J621" s="108"/>
      <c r="K621" s="108"/>
      <c r="L621" s="65"/>
      <c r="M621" s="111"/>
      <c r="N621" s="65"/>
      <c r="O621" s="65"/>
      <c r="P621" s="65"/>
    </row>
    <row r="622">
      <c r="A622" s="61"/>
      <c r="B622" s="61"/>
      <c r="C622" s="61"/>
      <c r="D622" s="61"/>
      <c r="E622" s="61"/>
      <c r="F622" s="61"/>
      <c r="G622" s="61"/>
      <c r="H622" s="61"/>
      <c r="I622" s="61"/>
      <c r="J622" s="107"/>
      <c r="K622" s="107"/>
      <c r="L622" s="61"/>
      <c r="M622" s="110"/>
      <c r="N622" s="61"/>
      <c r="O622" s="61"/>
      <c r="P622" s="61"/>
    </row>
    <row r="623">
      <c r="A623" s="65"/>
      <c r="B623" s="65"/>
      <c r="C623" s="65"/>
      <c r="D623" s="65"/>
      <c r="E623" s="65"/>
      <c r="F623" s="65"/>
      <c r="G623" s="65"/>
      <c r="H623" s="65"/>
      <c r="I623" s="65"/>
      <c r="J623" s="108"/>
      <c r="K623" s="108"/>
      <c r="L623" s="65"/>
      <c r="M623" s="111"/>
      <c r="N623" s="65"/>
      <c r="O623" s="65"/>
      <c r="P623" s="65"/>
    </row>
    <row r="624">
      <c r="A624" s="61"/>
      <c r="B624" s="61"/>
      <c r="C624" s="61"/>
      <c r="D624" s="61"/>
      <c r="E624" s="61"/>
      <c r="F624" s="61"/>
      <c r="G624" s="61"/>
      <c r="H624" s="61"/>
      <c r="I624" s="61"/>
      <c r="J624" s="107"/>
      <c r="K624" s="107"/>
      <c r="L624" s="61"/>
      <c r="M624" s="110"/>
      <c r="N624" s="61"/>
      <c r="O624" s="61"/>
      <c r="P624" s="61"/>
    </row>
    <row r="625">
      <c r="A625" s="65"/>
      <c r="B625" s="65"/>
      <c r="C625" s="65"/>
      <c r="D625" s="65"/>
      <c r="E625" s="65"/>
      <c r="F625" s="65"/>
      <c r="G625" s="65"/>
      <c r="H625" s="65"/>
      <c r="I625" s="65"/>
      <c r="J625" s="108"/>
      <c r="K625" s="108"/>
      <c r="L625" s="65"/>
      <c r="M625" s="111"/>
      <c r="N625" s="65"/>
      <c r="O625" s="65"/>
      <c r="P625" s="65"/>
    </row>
    <row r="626">
      <c r="A626" s="61"/>
      <c r="B626" s="61"/>
      <c r="C626" s="61"/>
      <c r="D626" s="61"/>
      <c r="E626" s="61"/>
      <c r="F626" s="61"/>
      <c r="G626" s="61"/>
      <c r="H626" s="61"/>
      <c r="I626" s="61"/>
      <c r="J626" s="107"/>
      <c r="K626" s="107"/>
      <c r="L626" s="61"/>
      <c r="M626" s="110"/>
      <c r="N626" s="61"/>
      <c r="O626" s="61"/>
      <c r="P626" s="61"/>
    </row>
    <row r="627">
      <c r="A627" s="65"/>
      <c r="B627" s="65"/>
      <c r="C627" s="65"/>
      <c r="D627" s="65"/>
      <c r="E627" s="65"/>
      <c r="F627" s="65"/>
      <c r="G627" s="65"/>
      <c r="H627" s="65"/>
      <c r="I627" s="65"/>
      <c r="J627" s="108"/>
      <c r="K627" s="108"/>
      <c r="L627" s="65"/>
      <c r="M627" s="111"/>
      <c r="N627" s="65"/>
      <c r="O627" s="65"/>
      <c r="P627" s="65"/>
    </row>
    <row r="628">
      <c r="A628" s="61"/>
      <c r="B628" s="61"/>
      <c r="C628" s="61"/>
      <c r="D628" s="61"/>
      <c r="E628" s="61"/>
      <c r="F628" s="61"/>
      <c r="G628" s="61"/>
      <c r="H628" s="61"/>
      <c r="I628" s="61"/>
      <c r="J628" s="107"/>
      <c r="K628" s="107"/>
      <c r="L628" s="61"/>
      <c r="M628" s="110"/>
      <c r="N628" s="61"/>
      <c r="O628" s="61"/>
      <c r="P628" s="61"/>
    </row>
    <row r="629">
      <c r="A629" s="65"/>
      <c r="B629" s="65"/>
      <c r="C629" s="65"/>
      <c r="D629" s="65"/>
      <c r="E629" s="65"/>
      <c r="F629" s="65"/>
      <c r="G629" s="65"/>
      <c r="H629" s="65"/>
      <c r="I629" s="65"/>
      <c r="J629" s="108"/>
      <c r="K629" s="108"/>
      <c r="L629" s="65"/>
      <c r="M629" s="111"/>
      <c r="N629" s="65"/>
      <c r="O629" s="65"/>
      <c r="P629" s="65"/>
    </row>
    <row r="630">
      <c r="A630" s="61"/>
      <c r="B630" s="61"/>
      <c r="C630" s="61"/>
      <c r="D630" s="61"/>
      <c r="E630" s="61"/>
      <c r="F630" s="61"/>
      <c r="G630" s="61"/>
      <c r="H630" s="61"/>
      <c r="I630" s="61"/>
      <c r="J630" s="107"/>
      <c r="K630" s="107"/>
      <c r="L630" s="61"/>
      <c r="M630" s="110"/>
      <c r="N630" s="61"/>
      <c r="O630" s="61"/>
      <c r="P630" s="61"/>
    </row>
    <row r="631">
      <c r="A631" s="65"/>
      <c r="B631" s="65"/>
      <c r="C631" s="65"/>
      <c r="D631" s="65"/>
      <c r="E631" s="65"/>
      <c r="F631" s="65"/>
      <c r="G631" s="65"/>
      <c r="H631" s="65"/>
      <c r="I631" s="65"/>
      <c r="J631" s="108"/>
      <c r="K631" s="108"/>
      <c r="L631" s="65"/>
      <c r="M631" s="111"/>
      <c r="N631" s="65"/>
      <c r="O631" s="65"/>
      <c r="P631" s="65"/>
    </row>
    <row r="632">
      <c r="A632" s="61"/>
      <c r="B632" s="61"/>
      <c r="C632" s="61"/>
      <c r="D632" s="61"/>
      <c r="E632" s="61"/>
      <c r="F632" s="61"/>
      <c r="G632" s="61"/>
      <c r="H632" s="61"/>
      <c r="I632" s="61"/>
      <c r="J632" s="107"/>
      <c r="K632" s="107"/>
      <c r="L632" s="61"/>
      <c r="M632" s="110"/>
      <c r="N632" s="61"/>
      <c r="O632" s="61"/>
      <c r="P632" s="61"/>
    </row>
    <row r="633">
      <c r="A633" s="65"/>
      <c r="B633" s="65"/>
      <c r="C633" s="65"/>
      <c r="D633" s="65"/>
      <c r="E633" s="65"/>
      <c r="F633" s="65"/>
      <c r="G633" s="65"/>
      <c r="H633" s="65"/>
      <c r="I633" s="65"/>
      <c r="J633" s="108"/>
      <c r="K633" s="108"/>
      <c r="L633" s="65"/>
      <c r="M633" s="111"/>
      <c r="N633" s="65"/>
      <c r="O633" s="65"/>
      <c r="P633" s="65"/>
    </row>
    <row r="634">
      <c r="A634" s="61"/>
      <c r="B634" s="61"/>
      <c r="C634" s="61"/>
      <c r="D634" s="61"/>
      <c r="E634" s="61"/>
      <c r="F634" s="61"/>
      <c r="G634" s="61"/>
      <c r="H634" s="61"/>
      <c r="I634" s="61"/>
      <c r="J634" s="107"/>
      <c r="K634" s="107"/>
      <c r="L634" s="61"/>
      <c r="M634" s="110"/>
      <c r="N634" s="61"/>
      <c r="O634" s="61"/>
      <c r="P634" s="61"/>
    </row>
    <row r="635">
      <c r="A635" s="65"/>
      <c r="B635" s="65"/>
      <c r="C635" s="65"/>
      <c r="D635" s="65"/>
      <c r="E635" s="65"/>
      <c r="F635" s="65"/>
      <c r="G635" s="65"/>
      <c r="H635" s="65"/>
      <c r="I635" s="65"/>
      <c r="J635" s="108"/>
      <c r="K635" s="108"/>
      <c r="L635" s="65"/>
      <c r="M635" s="111"/>
      <c r="N635" s="65"/>
      <c r="O635" s="65"/>
      <c r="P635" s="65"/>
    </row>
    <row r="636">
      <c r="A636" s="61"/>
      <c r="B636" s="61"/>
      <c r="C636" s="61"/>
      <c r="D636" s="61"/>
      <c r="E636" s="61"/>
      <c r="F636" s="61"/>
      <c r="G636" s="61"/>
      <c r="H636" s="61"/>
      <c r="I636" s="61"/>
      <c r="J636" s="107"/>
      <c r="K636" s="107"/>
      <c r="L636" s="61"/>
      <c r="M636" s="110"/>
      <c r="N636" s="61"/>
      <c r="O636" s="61"/>
      <c r="P636" s="61"/>
    </row>
    <row r="637">
      <c r="A637" s="65"/>
      <c r="B637" s="65"/>
      <c r="C637" s="65"/>
      <c r="D637" s="65"/>
      <c r="E637" s="65"/>
      <c r="F637" s="65"/>
      <c r="G637" s="65"/>
      <c r="H637" s="65"/>
      <c r="I637" s="65"/>
      <c r="J637" s="108"/>
      <c r="K637" s="108"/>
      <c r="L637" s="65"/>
      <c r="M637" s="111"/>
      <c r="N637" s="65"/>
      <c r="O637" s="65"/>
      <c r="P637" s="65"/>
    </row>
    <row r="638">
      <c r="A638" s="61"/>
      <c r="B638" s="61"/>
      <c r="C638" s="61"/>
      <c r="D638" s="61"/>
      <c r="E638" s="61"/>
      <c r="F638" s="61"/>
      <c r="G638" s="61"/>
      <c r="H638" s="61"/>
      <c r="I638" s="61"/>
      <c r="J638" s="107"/>
      <c r="K638" s="107"/>
      <c r="L638" s="61"/>
      <c r="M638" s="110"/>
      <c r="N638" s="61"/>
      <c r="O638" s="61"/>
      <c r="P638" s="61"/>
    </row>
    <row r="639">
      <c r="A639" s="65"/>
      <c r="B639" s="65"/>
      <c r="C639" s="65"/>
      <c r="D639" s="65"/>
      <c r="E639" s="65"/>
      <c r="F639" s="65"/>
      <c r="G639" s="65"/>
      <c r="H639" s="65"/>
      <c r="I639" s="65"/>
      <c r="J639" s="108"/>
      <c r="K639" s="108"/>
      <c r="L639" s="65"/>
      <c r="M639" s="111"/>
      <c r="N639" s="65"/>
      <c r="O639" s="65"/>
      <c r="P639" s="65"/>
    </row>
    <row r="640">
      <c r="A640" s="61"/>
      <c r="B640" s="61"/>
      <c r="C640" s="61"/>
      <c r="D640" s="61"/>
      <c r="E640" s="61"/>
      <c r="F640" s="61"/>
      <c r="G640" s="61"/>
      <c r="H640" s="61"/>
      <c r="I640" s="61"/>
      <c r="J640" s="107"/>
      <c r="K640" s="107"/>
      <c r="L640" s="61"/>
      <c r="M640" s="110"/>
      <c r="N640" s="61"/>
      <c r="O640" s="61"/>
      <c r="P640" s="61"/>
    </row>
    <row r="641">
      <c r="A641" s="65"/>
      <c r="B641" s="65"/>
      <c r="C641" s="65"/>
      <c r="D641" s="65"/>
      <c r="E641" s="65"/>
      <c r="F641" s="65"/>
      <c r="G641" s="65"/>
      <c r="H641" s="65"/>
      <c r="I641" s="65"/>
      <c r="J641" s="108"/>
      <c r="K641" s="108"/>
      <c r="L641" s="65"/>
      <c r="M641" s="111"/>
      <c r="N641" s="65"/>
      <c r="O641" s="65"/>
      <c r="P641" s="65"/>
    </row>
    <row r="642">
      <c r="A642" s="61"/>
      <c r="B642" s="61"/>
      <c r="C642" s="61"/>
      <c r="D642" s="61"/>
      <c r="E642" s="61"/>
      <c r="F642" s="61"/>
      <c r="G642" s="61"/>
      <c r="H642" s="61"/>
      <c r="I642" s="61"/>
      <c r="J642" s="107"/>
      <c r="K642" s="107"/>
      <c r="L642" s="61"/>
      <c r="M642" s="110"/>
      <c r="N642" s="61"/>
      <c r="O642" s="61"/>
      <c r="P642" s="61"/>
    </row>
    <row r="643">
      <c r="A643" s="65"/>
      <c r="B643" s="65"/>
      <c r="C643" s="65"/>
      <c r="D643" s="65"/>
      <c r="E643" s="65"/>
      <c r="F643" s="65"/>
      <c r="G643" s="65"/>
      <c r="H643" s="65"/>
      <c r="I643" s="65"/>
      <c r="J643" s="108"/>
      <c r="K643" s="108"/>
      <c r="L643" s="65"/>
      <c r="M643" s="111"/>
      <c r="N643" s="65"/>
      <c r="O643" s="65"/>
      <c r="P643" s="65"/>
    </row>
    <row r="644">
      <c r="A644" s="61"/>
      <c r="B644" s="61"/>
      <c r="C644" s="61"/>
      <c r="D644" s="61"/>
      <c r="E644" s="61"/>
      <c r="F644" s="61"/>
      <c r="G644" s="61"/>
      <c r="H644" s="61"/>
      <c r="I644" s="61"/>
      <c r="J644" s="107"/>
      <c r="K644" s="107"/>
      <c r="L644" s="61"/>
      <c r="M644" s="110"/>
      <c r="N644" s="61"/>
      <c r="O644" s="61"/>
      <c r="P644" s="61"/>
    </row>
    <row r="645">
      <c r="A645" s="65"/>
      <c r="B645" s="65"/>
      <c r="C645" s="65"/>
      <c r="D645" s="65"/>
      <c r="E645" s="65"/>
      <c r="F645" s="65"/>
      <c r="G645" s="65"/>
      <c r="H645" s="65"/>
      <c r="I645" s="65"/>
      <c r="J645" s="108"/>
      <c r="K645" s="108"/>
      <c r="L645" s="65"/>
      <c r="M645" s="111"/>
      <c r="N645" s="65"/>
      <c r="O645" s="65"/>
      <c r="P645" s="65"/>
    </row>
    <row r="646">
      <c r="A646" s="61"/>
      <c r="B646" s="61"/>
      <c r="C646" s="61"/>
      <c r="D646" s="61"/>
      <c r="E646" s="61"/>
      <c r="F646" s="61"/>
      <c r="G646" s="61"/>
      <c r="H646" s="61"/>
      <c r="I646" s="61"/>
      <c r="J646" s="107"/>
      <c r="K646" s="107"/>
      <c r="L646" s="61"/>
      <c r="M646" s="110"/>
      <c r="N646" s="61"/>
      <c r="O646" s="61"/>
      <c r="P646" s="61"/>
    </row>
    <row r="647">
      <c r="A647" s="65"/>
      <c r="B647" s="65"/>
      <c r="C647" s="65"/>
      <c r="D647" s="65"/>
      <c r="E647" s="65"/>
      <c r="F647" s="65"/>
      <c r="G647" s="65"/>
      <c r="H647" s="65"/>
      <c r="I647" s="65"/>
      <c r="J647" s="108"/>
      <c r="K647" s="108"/>
      <c r="L647" s="65"/>
      <c r="M647" s="111"/>
      <c r="N647" s="65"/>
      <c r="O647" s="65"/>
      <c r="P647" s="65"/>
    </row>
    <row r="648">
      <c r="A648" s="61"/>
      <c r="B648" s="61"/>
      <c r="C648" s="61"/>
      <c r="D648" s="61"/>
      <c r="E648" s="61"/>
      <c r="F648" s="61"/>
      <c r="G648" s="61"/>
      <c r="H648" s="61"/>
      <c r="I648" s="61"/>
      <c r="J648" s="107"/>
      <c r="K648" s="107"/>
      <c r="L648" s="61"/>
      <c r="M648" s="110"/>
      <c r="N648" s="61"/>
      <c r="O648" s="61"/>
      <c r="P648" s="61"/>
    </row>
    <row r="649">
      <c r="A649" s="65"/>
      <c r="B649" s="65"/>
      <c r="C649" s="65"/>
      <c r="D649" s="65"/>
      <c r="E649" s="65"/>
      <c r="F649" s="65"/>
      <c r="G649" s="65"/>
      <c r="H649" s="65"/>
      <c r="I649" s="65"/>
      <c r="J649" s="108"/>
      <c r="K649" s="108"/>
      <c r="L649" s="65"/>
      <c r="M649" s="111"/>
      <c r="N649" s="65"/>
      <c r="O649" s="65"/>
      <c r="P649" s="65"/>
    </row>
    <row r="650">
      <c r="A650" s="61"/>
      <c r="B650" s="61"/>
      <c r="C650" s="61"/>
      <c r="D650" s="61"/>
      <c r="E650" s="61"/>
      <c r="F650" s="61"/>
      <c r="G650" s="61"/>
      <c r="H650" s="61"/>
      <c r="I650" s="61"/>
      <c r="J650" s="107"/>
      <c r="K650" s="107"/>
      <c r="L650" s="61"/>
      <c r="M650" s="110"/>
      <c r="N650" s="61"/>
      <c r="O650" s="61"/>
      <c r="P650" s="61"/>
    </row>
    <row r="651">
      <c r="A651" s="65"/>
      <c r="B651" s="65"/>
      <c r="C651" s="65"/>
      <c r="D651" s="65"/>
      <c r="E651" s="65"/>
      <c r="F651" s="65"/>
      <c r="G651" s="65"/>
      <c r="H651" s="65"/>
      <c r="I651" s="65"/>
      <c r="J651" s="108"/>
      <c r="K651" s="108"/>
      <c r="L651" s="65"/>
      <c r="M651" s="111"/>
      <c r="N651" s="65"/>
      <c r="O651" s="65"/>
      <c r="P651" s="65"/>
    </row>
    <row r="652">
      <c r="A652" s="61"/>
      <c r="B652" s="61"/>
      <c r="C652" s="61"/>
      <c r="D652" s="61"/>
      <c r="E652" s="61"/>
      <c r="F652" s="61"/>
      <c r="G652" s="61"/>
      <c r="H652" s="61"/>
      <c r="I652" s="61"/>
      <c r="J652" s="107"/>
      <c r="K652" s="107"/>
      <c r="L652" s="61"/>
      <c r="M652" s="110"/>
      <c r="N652" s="61"/>
      <c r="O652" s="61"/>
      <c r="P652" s="61"/>
    </row>
    <row r="653">
      <c r="A653" s="65"/>
      <c r="B653" s="65"/>
      <c r="C653" s="65"/>
      <c r="D653" s="65"/>
      <c r="E653" s="65"/>
      <c r="F653" s="65"/>
      <c r="G653" s="65"/>
      <c r="H653" s="65"/>
      <c r="I653" s="65"/>
      <c r="J653" s="108"/>
      <c r="K653" s="108"/>
      <c r="L653" s="65"/>
      <c r="M653" s="111"/>
      <c r="N653" s="65"/>
      <c r="O653" s="65"/>
      <c r="P653" s="65"/>
    </row>
    <row r="654">
      <c r="A654" s="61"/>
      <c r="B654" s="61"/>
      <c r="C654" s="61"/>
      <c r="D654" s="61"/>
      <c r="E654" s="61"/>
      <c r="F654" s="61"/>
      <c r="G654" s="61"/>
      <c r="H654" s="61"/>
      <c r="I654" s="61"/>
      <c r="J654" s="107"/>
      <c r="K654" s="107"/>
      <c r="L654" s="61"/>
      <c r="M654" s="110"/>
      <c r="N654" s="61"/>
      <c r="O654" s="61"/>
      <c r="P654" s="61"/>
    </row>
    <row r="655">
      <c r="A655" s="65"/>
      <c r="B655" s="65"/>
      <c r="C655" s="65"/>
      <c r="D655" s="65"/>
      <c r="E655" s="65"/>
      <c r="F655" s="65"/>
      <c r="G655" s="65"/>
      <c r="H655" s="65"/>
      <c r="I655" s="65"/>
      <c r="J655" s="108"/>
      <c r="K655" s="108"/>
      <c r="L655" s="65"/>
      <c r="M655" s="111"/>
      <c r="N655" s="65"/>
      <c r="O655" s="65"/>
      <c r="P655" s="65"/>
    </row>
    <row r="656">
      <c r="A656" s="61"/>
      <c r="B656" s="61"/>
      <c r="C656" s="61"/>
      <c r="D656" s="61"/>
      <c r="E656" s="61"/>
      <c r="F656" s="61"/>
      <c r="G656" s="61"/>
      <c r="H656" s="61"/>
      <c r="I656" s="61"/>
      <c r="J656" s="107"/>
      <c r="K656" s="107"/>
      <c r="L656" s="61"/>
      <c r="M656" s="110"/>
      <c r="N656" s="61"/>
      <c r="O656" s="61"/>
      <c r="P656" s="61"/>
    </row>
    <row r="657">
      <c r="A657" s="65"/>
      <c r="B657" s="65"/>
      <c r="C657" s="65"/>
      <c r="D657" s="65"/>
      <c r="E657" s="65"/>
      <c r="F657" s="65"/>
      <c r="G657" s="65"/>
      <c r="H657" s="65"/>
      <c r="I657" s="65"/>
      <c r="J657" s="108"/>
      <c r="K657" s="108"/>
      <c r="L657" s="65"/>
      <c r="M657" s="111"/>
      <c r="N657" s="65"/>
      <c r="O657" s="65"/>
      <c r="P657" s="65"/>
    </row>
    <row r="658">
      <c r="A658" s="61"/>
      <c r="B658" s="61"/>
      <c r="C658" s="61"/>
      <c r="D658" s="61"/>
      <c r="E658" s="61"/>
      <c r="F658" s="61"/>
      <c r="G658" s="61"/>
      <c r="H658" s="61"/>
      <c r="I658" s="61"/>
      <c r="J658" s="107"/>
      <c r="K658" s="107"/>
      <c r="L658" s="61"/>
      <c r="M658" s="110"/>
      <c r="N658" s="61"/>
      <c r="O658" s="61"/>
      <c r="P658" s="61"/>
    </row>
    <row r="659">
      <c r="A659" s="65"/>
      <c r="B659" s="65"/>
      <c r="C659" s="65"/>
      <c r="D659" s="65"/>
      <c r="E659" s="65"/>
      <c r="F659" s="65"/>
      <c r="G659" s="65"/>
      <c r="H659" s="65"/>
      <c r="I659" s="65"/>
      <c r="J659" s="108"/>
      <c r="K659" s="108"/>
      <c r="L659" s="65"/>
      <c r="M659" s="111"/>
      <c r="N659" s="65"/>
      <c r="O659" s="65"/>
      <c r="P659" s="65"/>
    </row>
    <row r="660">
      <c r="A660" s="61"/>
      <c r="B660" s="61"/>
      <c r="C660" s="61"/>
      <c r="D660" s="61"/>
      <c r="E660" s="61"/>
      <c r="F660" s="61"/>
      <c r="G660" s="61"/>
      <c r="H660" s="61"/>
      <c r="I660" s="61"/>
      <c r="J660" s="107"/>
      <c r="K660" s="107"/>
      <c r="L660" s="61"/>
      <c r="M660" s="110"/>
      <c r="N660" s="61"/>
      <c r="O660" s="61"/>
      <c r="P660" s="61"/>
    </row>
    <row r="661">
      <c r="A661" s="65"/>
      <c r="B661" s="65"/>
      <c r="C661" s="65"/>
      <c r="D661" s="65"/>
      <c r="E661" s="65"/>
      <c r="F661" s="65"/>
      <c r="G661" s="65"/>
      <c r="H661" s="65"/>
      <c r="I661" s="65"/>
      <c r="J661" s="108"/>
      <c r="K661" s="108"/>
      <c r="L661" s="65"/>
      <c r="M661" s="111"/>
      <c r="N661" s="65"/>
      <c r="O661" s="65"/>
      <c r="P661" s="65"/>
    </row>
    <row r="662">
      <c r="A662" s="61"/>
      <c r="B662" s="61"/>
      <c r="C662" s="61"/>
      <c r="D662" s="61"/>
      <c r="E662" s="61"/>
      <c r="F662" s="61"/>
      <c r="G662" s="61"/>
      <c r="H662" s="61"/>
      <c r="I662" s="61"/>
      <c r="J662" s="107"/>
      <c r="K662" s="107"/>
      <c r="L662" s="61"/>
      <c r="M662" s="110"/>
      <c r="N662" s="61"/>
      <c r="O662" s="61"/>
      <c r="P662" s="61"/>
    </row>
    <row r="663">
      <c r="A663" s="65"/>
      <c r="B663" s="65"/>
      <c r="C663" s="65"/>
      <c r="D663" s="65"/>
      <c r="E663" s="65"/>
      <c r="F663" s="65"/>
      <c r="G663" s="65"/>
      <c r="H663" s="65"/>
      <c r="I663" s="65"/>
      <c r="J663" s="108"/>
      <c r="K663" s="108"/>
      <c r="L663" s="65"/>
      <c r="M663" s="111"/>
      <c r="N663" s="65"/>
      <c r="O663" s="65"/>
      <c r="P663" s="65"/>
    </row>
    <row r="664">
      <c r="A664" s="61"/>
      <c r="B664" s="61"/>
      <c r="C664" s="61"/>
      <c r="D664" s="61"/>
      <c r="E664" s="61"/>
      <c r="F664" s="61"/>
      <c r="G664" s="61"/>
      <c r="H664" s="61"/>
      <c r="I664" s="61"/>
      <c r="J664" s="107"/>
      <c r="K664" s="107"/>
      <c r="L664" s="61"/>
      <c r="M664" s="110"/>
      <c r="N664" s="61"/>
      <c r="O664" s="61"/>
      <c r="P664" s="61"/>
    </row>
    <row r="665">
      <c r="A665" s="65"/>
      <c r="B665" s="65"/>
      <c r="C665" s="65"/>
      <c r="D665" s="65"/>
      <c r="E665" s="65"/>
      <c r="F665" s="65"/>
      <c r="G665" s="65"/>
      <c r="H665" s="65"/>
      <c r="I665" s="65"/>
      <c r="J665" s="108"/>
      <c r="K665" s="108"/>
      <c r="L665" s="65"/>
      <c r="M665" s="111"/>
      <c r="N665" s="65"/>
      <c r="O665" s="65"/>
      <c r="P665" s="65"/>
    </row>
    <row r="666">
      <c r="A666" s="61"/>
      <c r="B666" s="61"/>
      <c r="C666" s="61"/>
      <c r="D666" s="61"/>
      <c r="E666" s="61"/>
      <c r="F666" s="61"/>
      <c r="G666" s="61"/>
      <c r="H666" s="61"/>
      <c r="I666" s="61"/>
      <c r="J666" s="107"/>
      <c r="K666" s="107"/>
      <c r="L666" s="61"/>
      <c r="M666" s="110"/>
      <c r="N666" s="61"/>
      <c r="O666" s="61"/>
      <c r="P666" s="61"/>
    </row>
    <row r="667">
      <c r="A667" s="65"/>
      <c r="B667" s="65"/>
      <c r="C667" s="65"/>
      <c r="D667" s="65"/>
      <c r="E667" s="65"/>
      <c r="F667" s="65"/>
      <c r="G667" s="65"/>
      <c r="H667" s="65"/>
      <c r="I667" s="65"/>
      <c r="J667" s="108"/>
      <c r="K667" s="108"/>
      <c r="L667" s="65"/>
      <c r="M667" s="111"/>
      <c r="N667" s="65"/>
      <c r="O667" s="65"/>
      <c r="P667" s="65"/>
    </row>
    <row r="668">
      <c r="A668" s="61"/>
      <c r="B668" s="61"/>
      <c r="C668" s="61"/>
      <c r="D668" s="61"/>
      <c r="E668" s="61"/>
      <c r="F668" s="61"/>
      <c r="G668" s="61"/>
      <c r="H668" s="61"/>
      <c r="I668" s="61"/>
      <c r="J668" s="107"/>
      <c r="K668" s="107"/>
      <c r="L668" s="61"/>
      <c r="M668" s="110"/>
      <c r="N668" s="61"/>
      <c r="O668" s="61"/>
      <c r="P668" s="61"/>
    </row>
    <row r="669">
      <c r="A669" s="65"/>
      <c r="B669" s="65"/>
      <c r="C669" s="65"/>
      <c r="D669" s="65"/>
      <c r="E669" s="65"/>
      <c r="F669" s="65"/>
      <c r="G669" s="65"/>
      <c r="H669" s="65"/>
      <c r="I669" s="65"/>
      <c r="J669" s="108"/>
      <c r="K669" s="108"/>
      <c r="L669" s="65"/>
      <c r="M669" s="111"/>
      <c r="N669" s="65"/>
      <c r="O669" s="65"/>
      <c r="P669" s="65"/>
    </row>
    <row r="670">
      <c r="A670" s="61"/>
      <c r="B670" s="61"/>
      <c r="C670" s="61"/>
      <c r="D670" s="61"/>
      <c r="E670" s="61"/>
      <c r="F670" s="61"/>
      <c r="G670" s="61"/>
      <c r="H670" s="61"/>
      <c r="I670" s="61"/>
      <c r="J670" s="107"/>
      <c r="K670" s="107"/>
      <c r="L670" s="61"/>
      <c r="M670" s="110"/>
      <c r="N670" s="61"/>
      <c r="O670" s="61"/>
      <c r="P670" s="61"/>
    </row>
    <row r="671">
      <c r="A671" s="65"/>
      <c r="B671" s="65"/>
      <c r="C671" s="65"/>
      <c r="D671" s="65"/>
      <c r="E671" s="65"/>
      <c r="F671" s="65"/>
      <c r="G671" s="65"/>
      <c r="H671" s="65"/>
      <c r="I671" s="65"/>
      <c r="J671" s="108"/>
      <c r="K671" s="108"/>
      <c r="L671" s="65"/>
      <c r="M671" s="111"/>
      <c r="N671" s="65"/>
      <c r="O671" s="65"/>
      <c r="P671" s="65"/>
    </row>
    <row r="672">
      <c r="A672" s="61"/>
      <c r="B672" s="61"/>
      <c r="C672" s="61"/>
      <c r="D672" s="61"/>
      <c r="E672" s="61"/>
      <c r="F672" s="61"/>
      <c r="G672" s="61"/>
      <c r="H672" s="61"/>
      <c r="I672" s="61"/>
      <c r="J672" s="107"/>
      <c r="K672" s="107"/>
      <c r="L672" s="61"/>
      <c r="M672" s="110"/>
      <c r="N672" s="61"/>
      <c r="O672" s="61"/>
      <c r="P672" s="61"/>
    </row>
    <row r="673">
      <c r="A673" s="65"/>
      <c r="B673" s="65"/>
      <c r="C673" s="65"/>
      <c r="D673" s="65"/>
      <c r="E673" s="65"/>
      <c r="F673" s="65"/>
      <c r="G673" s="65"/>
      <c r="H673" s="65"/>
      <c r="I673" s="65"/>
      <c r="J673" s="108"/>
      <c r="K673" s="108"/>
      <c r="L673" s="65"/>
      <c r="M673" s="111"/>
      <c r="N673" s="65"/>
      <c r="O673" s="65"/>
      <c r="P673" s="65"/>
    </row>
    <row r="674">
      <c r="A674" s="61"/>
      <c r="B674" s="61"/>
      <c r="C674" s="61"/>
      <c r="D674" s="61"/>
      <c r="E674" s="61"/>
      <c r="F674" s="61"/>
      <c r="G674" s="61"/>
      <c r="H674" s="61"/>
      <c r="I674" s="61"/>
      <c r="J674" s="107"/>
      <c r="K674" s="107"/>
      <c r="L674" s="61"/>
      <c r="M674" s="110"/>
      <c r="N674" s="61"/>
      <c r="O674" s="61"/>
      <c r="P674" s="61"/>
    </row>
    <row r="675">
      <c r="A675" s="65"/>
      <c r="B675" s="65"/>
      <c r="C675" s="65"/>
      <c r="D675" s="65"/>
      <c r="E675" s="65"/>
      <c r="F675" s="65"/>
      <c r="G675" s="65"/>
      <c r="H675" s="65"/>
      <c r="I675" s="65"/>
      <c r="J675" s="108"/>
      <c r="K675" s="108"/>
      <c r="L675" s="65"/>
      <c r="M675" s="111"/>
      <c r="N675" s="65"/>
      <c r="O675" s="65"/>
      <c r="P675" s="65"/>
    </row>
    <row r="676">
      <c r="A676" s="61"/>
      <c r="B676" s="61"/>
      <c r="C676" s="61"/>
      <c r="D676" s="61"/>
      <c r="E676" s="61"/>
      <c r="F676" s="61"/>
      <c r="G676" s="61"/>
      <c r="H676" s="61"/>
      <c r="I676" s="61"/>
      <c r="J676" s="107"/>
      <c r="K676" s="107"/>
      <c r="L676" s="61"/>
      <c r="M676" s="110"/>
      <c r="N676" s="61"/>
      <c r="O676" s="61"/>
      <c r="P676" s="61"/>
    </row>
    <row r="677">
      <c r="A677" s="65"/>
      <c r="B677" s="65"/>
      <c r="C677" s="65"/>
      <c r="D677" s="65"/>
      <c r="E677" s="65"/>
      <c r="F677" s="65"/>
      <c r="G677" s="65"/>
      <c r="H677" s="65"/>
      <c r="I677" s="65"/>
      <c r="J677" s="108"/>
      <c r="K677" s="108"/>
      <c r="L677" s="65"/>
      <c r="M677" s="111"/>
      <c r="N677" s="65"/>
      <c r="O677" s="65"/>
      <c r="P677" s="65"/>
    </row>
    <row r="678">
      <c r="A678" s="61"/>
      <c r="B678" s="61"/>
      <c r="C678" s="61"/>
      <c r="D678" s="61"/>
      <c r="E678" s="61"/>
      <c r="F678" s="61"/>
      <c r="G678" s="61"/>
      <c r="H678" s="61"/>
      <c r="I678" s="61"/>
      <c r="J678" s="107"/>
      <c r="K678" s="107"/>
      <c r="L678" s="61"/>
      <c r="M678" s="110"/>
      <c r="N678" s="61"/>
      <c r="O678" s="61"/>
      <c r="P678" s="61"/>
    </row>
    <row r="679">
      <c r="A679" s="65"/>
      <c r="B679" s="65"/>
      <c r="C679" s="65"/>
      <c r="D679" s="65"/>
      <c r="E679" s="65"/>
      <c r="F679" s="65"/>
      <c r="G679" s="65"/>
      <c r="H679" s="65"/>
      <c r="I679" s="65"/>
      <c r="J679" s="108"/>
      <c r="K679" s="108"/>
      <c r="L679" s="65"/>
      <c r="M679" s="111"/>
      <c r="N679" s="65"/>
      <c r="O679" s="65"/>
      <c r="P679" s="65"/>
    </row>
    <row r="680">
      <c r="A680" s="61"/>
      <c r="B680" s="61"/>
      <c r="C680" s="61"/>
      <c r="D680" s="61"/>
      <c r="E680" s="61"/>
      <c r="F680" s="61"/>
      <c r="G680" s="61"/>
      <c r="H680" s="61"/>
      <c r="I680" s="61"/>
      <c r="J680" s="107"/>
      <c r="K680" s="107"/>
      <c r="L680" s="61"/>
      <c r="M680" s="110"/>
      <c r="N680" s="61"/>
      <c r="O680" s="61"/>
      <c r="P680" s="61"/>
    </row>
    <row r="681">
      <c r="A681" s="65"/>
      <c r="B681" s="65"/>
      <c r="C681" s="65"/>
      <c r="D681" s="65"/>
      <c r="E681" s="65"/>
      <c r="F681" s="65"/>
      <c r="G681" s="65"/>
      <c r="H681" s="65"/>
      <c r="I681" s="65"/>
      <c r="J681" s="108"/>
      <c r="K681" s="108"/>
      <c r="L681" s="65"/>
      <c r="M681" s="111"/>
      <c r="N681" s="65"/>
      <c r="O681" s="65"/>
      <c r="P681" s="65"/>
    </row>
    <row r="682">
      <c r="A682" s="61"/>
      <c r="B682" s="61"/>
      <c r="C682" s="61"/>
      <c r="D682" s="61"/>
      <c r="E682" s="61"/>
      <c r="F682" s="61"/>
      <c r="G682" s="61"/>
      <c r="H682" s="61"/>
      <c r="I682" s="61"/>
      <c r="J682" s="107"/>
      <c r="K682" s="107"/>
      <c r="L682" s="61"/>
      <c r="M682" s="110"/>
      <c r="N682" s="61"/>
      <c r="O682" s="61"/>
      <c r="P682" s="61"/>
    </row>
    <row r="683">
      <c r="A683" s="65"/>
      <c r="B683" s="65"/>
      <c r="C683" s="65"/>
      <c r="D683" s="65"/>
      <c r="E683" s="65"/>
      <c r="F683" s="65"/>
      <c r="G683" s="65"/>
      <c r="H683" s="65"/>
      <c r="I683" s="65"/>
      <c r="J683" s="108"/>
      <c r="K683" s="108"/>
      <c r="L683" s="65"/>
      <c r="M683" s="111"/>
      <c r="N683" s="65"/>
      <c r="O683" s="65"/>
      <c r="P683" s="65"/>
    </row>
    <row r="684">
      <c r="A684" s="61"/>
      <c r="B684" s="61"/>
      <c r="C684" s="61"/>
      <c r="D684" s="61"/>
      <c r="E684" s="61"/>
      <c r="F684" s="61"/>
      <c r="G684" s="61"/>
      <c r="H684" s="61"/>
      <c r="I684" s="61"/>
      <c r="J684" s="107"/>
      <c r="K684" s="107"/>
      <c r="L684" s="61"/>
      <c r="M684" s="110"/>
      <c r="N684" s="61"/>
      <c r="O684" s="61"/>
      <c r="P684" s="61"/>
    </row>
    <row r="685">
      <c r="A685" s="65"/>
      <c r="B685" s="65"/>
      <c r="C685" s="65"/>
      <c r="D685" s="65"/>
      <c r="E685" s="65"/>
      <c r="F685" s="65"/>
      <c r="G685" s="65"/>
      <c r="H685" s="65"/>
      <c r="I685" s="65"/>
      <c r="J685" s="108"/>
      <c r="K685" s="108"/>
      <c r="L685" s="65"/>
      <c r="M685" s="111"/>
      <c r="N685" s="65"/>
      <c r="O685" s="65"/>
      <c r="P685" s="65"/>
    </row>
    <row r="686">
      <c r="A686" s="61"/>
      <c r="B686" s="61"/>
      <c r="C686" s="61"/>
      <c r="D686" s="61"/>
      <c r="E686" s="61"/>
      <c r="F686" s="61"/>
      <c r="G686" s="61"/>
      <c r="H686" s="61"/>
      <c r="I686" s="61"/>
      <c r="J686" s="107"/>
      <c r="K686" s="107"/>
      <c r="L686" s="61"/>
      <c r="M686" s="110"/>
      <c r="N686" s="61"/>
      <c r="O686" s="61"/>
      <c r="P686" s="61"/>
    </row>
    <row r="687">
      <c r="A687" s="65"/>
      <c r="B687" s="65"/>
      <c r="C687" s="65"/>
      <c r="D687" s="65"/>
      <c r="E687" s="65"/>
      <c r="F687" s="65"/>
      <c r="G687" s="65"/>
      <c r="H687" s="65"/>
      <c r="I687" s="65"/>
      <c r="J687" s="108"/>
      <c r="K687" s="108"/>
      <c r="L687" s="65"/>
      <c r="M687" s="111"/>
      <c r="N687" s="65"/>
      <c r="O687" s="65"/>
      <c r="P687" s="65"/>
    </row>
    <row r="688">
      <c r="A688" s="61"/>
      <c r="B688" s="61"/>
      <c r="C688" s="61"/>
      <c r="D688" s="61"/>
      <c r="E688" s="61"/>
      <c r="F688" s="61"/>
      <c r="G688" s="61"/>
      <c r="H688" s="61"/>
      <c r="I688" s="61"/>
      <c r="J688" s="107"/>
      <c r="K688" s="107"/>
      <c r="L688" s="61"/>
      <c r="M688" s="110"/>
      <c r="N688" s="61"/>
      <c r="O688" s="61"/>
      <c r="P688" s="61"/>
    </row>
    <row r="689">
      <c r="A689" s="65"/>
      <c r="B689" s="65"/>
      <c r="C689" s="65"/>
      <c r="D689" s="65"/>
      <c r="E689" s="65"/>
      <c r="F689" s="65"/>
      <c r="G689" s="65"/>
      <c r="H689" s="65"/>
      <c r="I689" s="65"/>
      <c r="J689" s="108"/>
      <c r="K689" s="108"/>
      <c r="L689" s="65"/>
      <c r="M689" s="111"/>
      <c r="N689" s="65"/>
      <c r="O689" s="65"/>
      <c r="P689" s="65"/>
    </row>
    <row r="690">
      <c r="A690" s="61"/>
      <c r="B690" s="61"/>
      <c r="C690" s="61"/>
      <c r="D690" s="61"/>
      <c r="E690" s="61"/>
      <c r="F690" s="61"/>
      <c r="G690" s="61"/>
      <c r="H690" s="61"/>
      <c r="I690" s="61"/>
      <c r="J690" s="107"/>
      <c r="K690" s="107"/>
      <c r="L690" s="61"/>
      <c r="M690" s="110"/>
      <c r="N690" s="61"/>
      <c r="O690" s="61"/>
      <c r="P690" s="61"/>
    </row>
    <row r="691">
      <c r="A691" s="65"/>
      <c r="B691" s="65"/>
      <c r="C691" s="65"/>
      <c r="D691" s="65"/>
      <c r="E691" s="65"/>
      <c r="F691" s="65"/>
      <c r="G691" s="65"/>
      <c r="H691" s="65"/>
      <c r="I691" s="65"/>
      <c r="J691" s="108"/>
      <c r="K691" s="108"/>
      <c r="L691" s="65"/>
      <c r="M691" s="111"/>
      <c r="N691" s="65"/>
      <c r="O691" s="65"/>
      <c r="P691" s="65"/>
    </row>
    <row r="692">
      <c r="A692" s="61"/>
      <c r="B692" s="61"/>
      <c r="C692" s="61"/>
      <c r="D692" s="61"/>
      <c r="E692" s="61"/>
      <c r="F692" s="61"/>
      <c r="G692" s="61"/>
      <c r="H692" s="61"/>
      <c r="I692" s="61"/>
      <c r="J692" s="107"/>
      <c r="K692" s="107"/>
      <c r="L692" s="61"/>
      <c r="M692" s="110"/>
      <c r="N692" s="61"/>
      <c r="O692" s="61"/>
      <c r="P692" s="61"/>
    </row>
    <row r="693">
      <c r="A693" s="65"/>
      <c r="B693" s="65"/>
      <c r="C693" s="65"/>
      <c r="D693" s="65"/>
      <c r="E693" s="65"/>
      <c r="F693" s="65"/>
      <c r="G693" s="65"/>
      <c r="H693" s="65"/>
      <c r="I693" s="65"/>
      <c r="J693" s="108"/>
      <c r="K693" s="108"/>
      <c r="L693" s="65"/>
      <c r="M693" s="111"/>
      <c r="N693" s="65"/>
      <c r="O693" s="65"/>
      <c r="P693" s="65"/>
    </row>
    <row r="694">
      <c r="A694" s="61"/>
      <c r="B694" s="61"/>
      <c r="C694" s="61"/>
      <c r="D694" s="61"/>
      <c r="E694" s="61"/>
      <c r="F694" s="61"/>
      <c r="G694" s="61"/>
      <c r="H694" s="61"/>
      <c r="I694" s="61"/>
      <c r="J694" s="107"/>
      <c r="K694" s="107"/>
      <c r="L694" s="61"/>
      <c r="M694" s="110"/>
      <c r="N694" s="61"/>
      <c r="O694" s="61"/>
      <c r="P694" s="61"/>
    </row>
    <row r="695">
      <c r="A695" s="65"/>
      <c r="B695" s="65"/>
      <c r="C695" s="65"/>
      <c r="D695" s="65"/>
      <c r="E695" s="65"/>
      <c r="F695" s="65"/>
      <c r="G695" s="65"/>
      <c r="H695" s="65"/>
      <c r="I695" s="65"/>
      <c r="J695" s="108"/>
      <c r="K695" s="108"/>
      <c r="L695" s="65"/>
      <c r="M695" s="111"/>
      <c r="N695" s="65"/>
      <c r="O695" s="65"/>
      <c r="P695" s="65"/>
    </row>
    <row r="696">
      <c r="A696" s="61"/>
      <c r="B696" s="61"/>
      <c r="C696" s="61"/>
      <c r="D696" s="61"/>
      <c r="E696" s="61"/>
      <c r="F696" s="61"/>
      <c r="G696" s="61"/>
      <c r="H696" s="61"/>
      <c r="I696" s="61"/>
      <c r="J696" s="107"/>
      <c r="K696" s="107"/>
      <c r="L696" s="61"/>
      <c r="M696" s="110"/>
      <c r="N696" s="61"/>
      <c r="O696" s="61"/>
      <c r="P696" s="61"/>
    </row>
    <row r="697">
      <c r="A697" s="65"/>
      <c r="B697" s="65"/>
      <c r="C697" s="65"/>
      <c r="D697" s="65"/>
      <c r="E697" s="65"/>
      <c r="F697" s="65"/>
      <c r="G697" s="65"/>
      <c r="H697" s="65"/>
      <c r="I697" s="65"/>
      <c r="J697" s="108"/>
      <c r="K697" s="108"/>
      <c r="L697" s="65"/>
      <c r="M697" s="111"/>
      <c r="N697" s="65"/>
      <c r="O697" s="65"/>
      <c r="P697" s="65"/>
    </row>
    <row r="698">
      <c r="A698" s="61"/>
      <c r="B698" s="61"/>
      <c r="C698" s="61"/>
      <c r="D698" s="61"/>
      <c r="E698" s="61"/>
      <c r="F698" s="61"/>
      <c r="G698" s="61"/>
      <c r="H698" s="61"/>
      <c r="I698" s="61"/>
      <c r="J698" s="107"/>
      <c r="K698" s="107"/>
      <c r="L698" s="61"/>
      <c r="M698" s="110"/>
      <c r="N698" s="61"/>
      <c r="O698" s="61"/>
      <c r="P698" s="61"/>
    </row>
    <row r="699">
      <c r="A699" s="65"/>
      <c r="B699" s="65"/>
      <c r="C699" s="65"/>
      <c r="D699" s="65"/>
      <c r="E699" s="65"/>
      <c r="F699" s="65"/>
      <c r="G699" s="65"/>
      <c r="H699" s="65"/>
      <c r="I699" s="65"/>
      <c r="J699" s="108"/>
      <c r="K699" s="108"/>
      <c r="L699" s="65"/>
      <c r="M699" s="111"/>
      <c r="N699" s="65"/>
      <c r="O699" s="65"/>
      <c r="P699" s="65"/>
    </row>
    <row r="700">
      <c r="A700" s="61"/>
      <c r="B700" s="61"/>
      <c r="C700" s="61"/>
      <c r="D700" s="61"/>
      <c r="E700" s="61"/>
      <c r="F700" s="61"/>
      <c r="G700" s="61"/>
      <c r="H700" s="61"/>
      <c r="I700" s="61"/>
      <c r="J700" s="107"/>
      <c r="K700" s="107"/>
      <c r="L700" s="61"/>
      <c r="M700" s="110"/>
      <c r="N700" s="61"/>
      <c r="O700" s="61"/>
      <c r="P700" s="61"/>
    </row>
    <row r="701">
      <c r="A701" s="65"/>
      <c r="B701" s="65"/>
      <c r="C701" s="65"/>
      <c r="D701" s="65"/>
      <c r="E701" s="65"/>
      <c r="F701" s="65"/>
      <c r="G701" s="65"/>
      <c r="H701" s="65"/>
      <c r="I701" s="65"/>
      <c r="J701" s="108"/>
      <c r="K701" s="108"/>
      <c r="L701" s="65"/>
      <c r="M701" s="111"/>
      <c r="N701" s="65"/>
      <c r="O701" s="65"/>
      <c r="P701" s="65"/>
    </row>
    <row r="702">
      <c r="A702" s="61"/>
      <c r="B702" s="61"/>
      <c r="C702" s="61"/>
      <c r="D702" s="61"/>
      <c r="E702" s="61"/>
      <c r="F702" s="61"/>
      <c r="G702" s="61"/>
      <c r="H702" s="61"/>
      <c r="I702" s="61"/>
      <c r="J702" s="107"/>
      <c r="K702" s="107"/>
      <c r="L702" s="61"/>
      <c r="M702" s="110"/>
      <c r="N702" s="61"/>
      <c r="O702" s="61"/>
      <c r="P702" s="61"/>
    </row>
    <row r="703">
      <c r="A703" s="65"/>
      <c r="B703" s="65"/>
      <c r="C703" s="65"/>
      <c r="D703" s="65"/>
      <c r="E703" s="65"/>
      <c r="F703" s="65"/>
      <c r="G703" s="65"/>
      <c r="H703" s="65"/>
      <c r="I703" s="65"/>
      <c r="J703" s="108"/>
      <c r="K703" s="108"/>
      <c r="L703" s="65"/>
      <c r="M703" s="111"/>
      <c r="N703" s="65"/>
      <c r="O703" s="65"/>
      <c r="P703" s="65"/>
    </row>
    <row r="704">
      <c r="A704" s="61"/>
      <c r="B704" s="61"/>
      <c r="C704" s="61"/>
      <c r="D704" s="61"/>
      <c r="E704" s="61"/>
      <c r="F704" s="61"/>
      <c r="G704" s="61"/>
      <c r="H704" s="61"/>
      <c r="I704" s="61"/>
      <c r="J704" s="107"/>
      <c r="K704" s="107"/>
      <c r="L704" s="61"/>
      <c r="M704" s="110"/>
      <c r="N704" s="61"/>
      <c r="O704" s="61"/>
      <c r="P704" s="61"/>
    </row>
    <row r="705">
      <c r="A705" s="65"/>
      <c r="B705" s="65"/>
      <c r="C705" s="65"/>
      <c r="D705" s="65"/>
      <c r="E705" s="65"/>
      <c r="F705" s="65"/>
      <c r="G705" s="65"/>
      <c r="H705" s="65"/>
      <c r="I705" s="65"/>
      <c r="J705" s="108"/>
      <c r="K705" s="108"/>
      <c r="L705" s="65"/>
      <c r="M705" s="111"/>
      <c r="N705" s="65"/>
      <c r="O705" s="65"/>
      <c r="P705" s="65"/>
    </row>
    <row r="706">
      <c r="A706" s="61"/>
      <c r="B706" s="61"/>
      <c r="C706" s="61"/>
      <c r="D706" s="61"/>
      <c r="E706" s="61"/>
      <c r="F706" s="61"/>
      <c r="G706" s="61"/>
      <c r="H706" s="61"/>
      <c r="I706" s="61"/>
      <c r="J706" s="107"/>
      <c r="K706" s="107"/>
      <c r="L706" s="61"/>
      <c r="M706" s="110"/>
      <c r="N706" s="61"/>
      <c r="O706" s="61"/>
      <c r="P706" s="61"/>
    </row>
    <row r="707">
      <c r="A707" s="65"/>
      <c r="B707" s="65"/>
      <c r="C707" s="65"/>
      <c r="D707" s="65"/>
      <c r="E707" s="65"/>
      <c r="F707" s="65"/>
      <c r="G707" s="65"/>
      <c r="H707" s="65"/>
      <c r="I707" s="65"/>
      <c r="J707" s="108"/>
      <c r="K707" s="108"/>
      <c r="L707" s="65"/>
      <c r="M707" s="111"/>
      <c r="N707" s="65"/>
      <c r="O707" s="65"/>
      <c r="P707" s="65"/>
    </row>
    <row r="708">
      <c r="A708" s="61"/>
      <c r="B708" s="61"/>
      <c r="C708" s="61"/>
      <c r="D708" s="61"/>
      <c r="E708" s="61"/>
      <c r="F708" s="61"/>
      <c r="G708" s="61"/>
      <c r="H708" s="61"/>
      <c r="I708" s="61"/>
      <c r="J708" s="107"/>
      <c r="K708" s="107"/>
      <c r="L708" s="61"/>
      <c r="M708" s="110"/>
      <c r="N708" s="61"/>
      <c r="O708" s="61"/>
      <c r="P708" s="61"/>
    </row>
    <row r="709">
      <c r="A709" s="65"/>
      <c r="B709" s="65"/>
      <c r="C709" s="65"/>
      <c r="D709" s="65"/>
      <c r="E709" s="65"/>
      <c r="F709" s="65"/>
      <c r="G709" s="65"/>
      <c r="H709" s="65"/>
      <c r="I709" s="65"/>
      <c r="J709" s="108"/>
      <c r="K709" s="108"/>
      <c r="L709" s="65"/>
      <c r="M709" s="111"/>
      <c r="N709" s="65"/>
      <c r="O709" s="65"/>
      <c r="P709" s="65"/>
    </row>
    <row r="710">
      <c r="A710" s="61"/>
      <c r="B710" s="61"/>
      <c r="C710" s="61"/>
      <c r="D710" s="61"/>
      <c r="E710" s="61"/>
      <c r="F710" s="61"/>
      <c r="G710" s="61"/>
      <c r="H710" s="61"/>
      <c r="I710" s="61"/>
      <c r="J710" s="107"/>
      <c r="K710" s="107"/>
      <c r="L710" s="61"/>
      <c r="M710" s="110"/>
      <c r="N710" s="61"/>
      <c r="O710" s="61"/>
      <c r="P710" s="61"/>
    </row>
    <row r="711">
      <c r="A711" s="65"/>
      <c r="B711" s="65"/>
      <c r="C711" s="65"/>
      <c r="D711" s="65"/>
      <c r="E711" s="65"/>
      <c r="F711" s="65"/>
      <c r="G711" s="65"/>
      <c r="H711" s="65"/>
      <c r="I711" s="65"/>
      <c r="J711" s="108"/>
      <c r="K711" s="108"/>
      <c r="L711" s="65"/>
      <c r="M711" s="111"/>
      <c r="N711" s="65"/>
      <c r="O711" s="65"/>
      <c r="P711" s="65"/>
    </row>
    <row r="712">
      <c r="A712" s="61"/>
      <c r="B712" s="61"/>
      <c r="C712" s="61"/>
      <c r="D712" s="61"/>
      <c r="E712" s="61"/>
      <c r="F712" s="61"/>
      <c r="G712" s="61"/>
      <c r="H712" s="61"/>
      <c r="I712" s="61"/>
      <c r="J712" s="107"/>
      <c r="K712" s="107"/>
      <c r="L712" s="61"/>
      <c r="M712" s="110"/>
      <c r="N712" s="61"/>
      <c r="O712" s="61"/>
      <c r="P712" s="61"/>
    </row>
    <row r="713">
      <c r="A713" s="65"/>
      <c r="B713" s="65"/>
      <c r="C713" s="65"/>
      <c r="D713" s="65"/>
      <c r="E713" s="65"/>
      <c r="F713" s="65"/>
      <c r="G713" s="65"/>
      <c r="H713" s="65"/>
      <c r="I713" s="65"/>
      <c r="J713" s="108"/>
      <c r="K713" s="108"/>
      <c r="L713" s="65"/>
      <c r="M713" s="111"/>
      <c r="N713" s="65"/>
      <c r="O713" s="65"/>
      <c r="P713" s="65"/>
    </row>
    <row r="714">
      <c r="A714" s="61"/>
      <c r="B714" s="61"/>
      <c r="C714" s="61"/>
      <c r="D714" s="61"/>
      <c r="E714" s="61"/>
      <c r="F714" s="61"/>
      <c r="G714" s="61"/>
      <c r="H714" s="61"/>
      <c r="I714" s="61"/>
      <c r="J714" s="107"/>
      <c r="K714" s="107"/>
      <c r="L714" s="61"/>
      <c r="M714" s="110"/>
      <c r="N714" s="61"/>
      <c r="O714" s="61"/>
      <c r="P714" s="61"/>
    </row>
    <row r="715">
      <c r="A715" s="65"/>
      <c r="B715" s="65"/>
      <c r="C715" s="65"/>
      <c r="D715" s="65"/>
      <c r="E715" s="65"/>
      <c r="F715" s="65"/>
      <c r="G715" s="65"/>
      <c r="H715" s="65"/>
      <c r="I715" s="65"/>
      <c r="J715" s="108"/>
      <c r="K715" s="108"/>
      <c r="L715" s="65"/>
      <c r="M715" s="111"/>
      <c r="N715" s="65"/>
      <c r="O715" s="65"/>
      <c r="P715" s="65"/>
    </row>
    <row r="716">
      <c r="A716" s="61"/>
      <c r="B716" s="61"/>
      <c r="C716" s="61"/>
      <c r="D716" s="61"/>
      <c r="E716" s="61"/>
      <c r="F716" s="61"/>
      <c r="G716" s="61"/>
      <c r="H716" s="61"/>
      <c r="I716" s="61"/>
      <c r="J716" s="107"/>
      <c r="K716" s="107"/>
      <c r="L716" s="61"/>
      <c r="M716" s="110"/>
      <c r="N716" s="61"/>
      <c r="O716" s="61"/>
      <c r="P716" s="61"/>
    </row>
    <row r="717">
      <c r="A717" s="65"/>
      <c r="B717" s="65"/>
      <c r="C717" s="65"/>
      <c r="D717" s="65"/>
      <c r="E717" s="65"/>
      <c r="F717" s="65"/>
      <c r="G717" s="65"/>
      <c r="H717" s="65"/>
      <c r="I717" s="65"/>
      <c r="J717" s="108"/>
      <c r="K717" s="108"/>
      <c r="L717" s="65"/>
      <c r="M717" s="111"/>
      <c r="N717" s="65"/>
      <c r="O717" s="65"/>
      <c r="P717" s="65"/>
    </row>
    <row r="718">
      <c r="A718" s="61"/>
      <c r="B718" s="61"/>
      <c r="C718" s="61"/>
      <c r="D718" s="61"/>
      <c r="E718" s="61"/>
      <c r="F718" s="61"/>
      <c r="G718" s="61"/>
      <c r="H718" s="61"/>
      <c r="I718" s="61"/>
      <c r="J718" s="107"/>
      <c r="K718" s="107"/>
      <c r="L718" s="61"/>
      <c r="M718" s="110"/>
      <c r="N718" s="61"/>
      <c r="O718" s="61"/>
      <c r="P718" s="61"/>
    </row>
    <row r="719">
      <c r="A719" s="65"/>
      <c r="B719" s="65"/>
      <c r="C719" s="65"/>
      <c r="D719" s="65"/>
      <c r="E719" s="65"/>
      <c r="F719" s="65"/>
      <c r="G719" s="65"/>
      <c r="H719" s="65"/>
      <c r="I719" s="65"/>
      <c r="J719" s="108"/>
      <c r="K719" s="108"/>
      <c r="L719" s="65"/>
      <c r="M719" s="111"/>
      <c r="N719" s="65"/>
      <c r="O719" s="65"/>
      <c r="P719" s="65"/>
    </row>
    <row r="720">
      <c r="A720" s="61"/>
      <c r="B720" s="61"/>
      <c r="C720" s="61"/>
      <c r="D720" s="61"/>
      <c r="E720" s="61"/>
      <c r="F720" s="61"/>
      <c r="G720" s="61"/>
      <c r="H720" s="61"/>
      <c r="I720" s="61"/>
      <c r="J720" s="107"/>
      <c r="K720" s="107"/>
      <c r="L720" s="61"/>
      <c r="M720" s="110"/>
      <c r="N720" s="61"/>
      <c r="O720" s="61"/>
      <c r="P720" s="61"/>
    </row>
    <row r="721">
      <c r="A721" s="65"/>
      <c r="B721" s="65"/>
      <c r="C721" s="65"/>
      <c r="D721" s="65"/>
      <c r="E721" s="65"/>
      <c r="F721" s="65"/>
      <c r="G721" s="65"/>
      <c r="H721" s="65"/>
      <c r="I721" s="65"/>
      <c r="J721" s="108"/>
      <c r="K721" s="108"/>
      <c r="L721" s="65"/>
      <c r="M721" s="111"/>
      <c r="N721" s="65"/>
      <c r="O721" s="65"/>
      <c r="P721" s="65"/>
    </row>
    <row r="722">
      <c r="A722" s="61"/>
      <c r="B722" s="61"/>
      <c r="C722" s="61"/>
      <c r="D722" s="61"/>
      <c r="E722" s="61"/>
      <c r="F722" s="61"/>
      <c r="G722" s="61"/>
      <c r="H722" s="61"/>
      <c r="I722" s="61"/>
      <c r="J722" s="107"/>
      <c r="K722" s="107"/>
      <c r="L722" s="61"/>
      <c r="M722" s="110"/>
      <c r="N722" s="61"/>
      <c r="O722" s="61"/>
      <c r="P722" s="61"/>
    </row>
    <row r="723">
      <c r="A723" s="65"/>
      <c r="B723" s="65"/>
      <c r="C723" s="65"/>
      <c r="D723" s="65"/>
      <c r="E723" s="65"/>
      <c r="F723" s="65"/>
      <c r="G723" s="65"/>
      <c r="H723" s="65"/>
      <c r="I723" s="65"/>
      <c r="J723" s="108"/>
      <c r="K723" s="108"/>
      <c r="L723" s="65"/>
      <c r="M723" s="111"/>
      <c r="N723" s="65"/>
      <c r="O723" s="65"/>
      <c r="P723" s="65"/>
    </row>
    <row r="724">
      <c r="A724" s="61"/>
      <c r="B724" s="61"/>
      <c r="C724" s="61"/>
      <c r="D724" s="61"/>
      <c r="E724" s="61"/>
      <c r="F724" s="61"/>
      <c r="G724" s="61"/>
      <c r="H724" s="61"/>
      <c r="I724" s="61"/>
      <c r="J724" s="107"/>
      <c r="K724" s="107"/>
      <c r="L724" s="61"/>
      <c r="M724" s="110"/>
      <c r="N724" s="61"/>
      <c r="O724" s="61"/>
      <c r="P724" s="61"/>
    </row>
    <row r="725">
      <c r="A725" s="65"/>
      <c r="B725" s="65"/>
      <c r="C725" s="65"/>
      <c r="D725" s="65"/>
      <c r="E725" s="65"/>
      <c r="F725" s="65"/>
      <c r="G725" s="65"/>
      <c r="H725" s="65"/>
      <c r="I725" s="65"/>
      <c r="J725" s="108"/>
      <c r="K725" s="108"/>
      <c r="L725" s="65"/>
      <c r="M725" s="111"/>
      <c r="N725" s="65"/>
      <c r="O725" s="65"/>
      <c r="P725" s="65"/>
    </row>
    <row r="726">
      <c r="A726" s="61"/>
      <c r="B726" s="61"/>
      <c r="C726" s="61"/>
      <c r="D726" s="61"/>
      <c r="E726" s="61"/>
      <c r="F726" s="61"/>
      <c r="G726" s="61"/>
      <c r="H726" s="61"/>
      <c r="I726" s="61"/>
      <c r="J726" s="107"/>
      <c r="K726" s="107"/>
      <c r="L726" s="61"/>
      <c r="M726" s="110"/>
      <c r="N726" s="61"/>
      <c r="O726" s="61"/>
      <c r="P726" s="61"/>
    </row>
    <row r="727">
      <c r="A727" s="65"/>
      <c r="B727" s="65"/>
      <c r="C727" s="65"/>
      <c r="D727" s="65"/>
      <c r="E727" s="65"/>
      <c r="F727" s="65"/>
      <c r="G727" s="65"/>
      <c r="H727" s="65"/>
      <c r="I727" s="65"/>
      <c r="J727" s="108"/>
      <c r="K727" s="108"/>
      <c r="L727" s="65"/>
      <c r="M727" s="111"/>
      <c r="N727" s="65"/>
      <c r="O727" s="65"/>
      <c r="P727" s="65"/>
    </row>
    <row r="728">
      <c r="A728" s="61"/>
      <c r="B728" s="61"/>
      <c r="C728" s="61"/>
      <c r="D728" s="61"/>
      <c r="E728" s="61"/>
      <c r="F728" s="61"/>
      <c r="G728" s="61"/>
      <c r="H728" s="61"/>
      <c r="I728" s="61"/>
      <c r="J728" s="107"/>
      <c r="K728" s="107"/>
      <c r="L728" s="61"/>
      <c r="M728" s="110"/>
      <c r="N728" s="61"/>
      <c r="O728" s="61"/>
      <c r="P728" s="61"/>
    </row>
    <row r="729">
      <c r="A729" s="65"/>
      <c r="B729" s="65"/>
      <c r="C729" s="65"/>
      <c r="D729" s="65"/>
      <c r="E729" s="65"/>
      <c r="F729" s="65"/>
      <c r="G729" s="65"/>
      <c r="H729" s="65"/>
      <c r="I729" s="65"/>
      <c r="J729" s="108"/>
      <c r="K729" s="108"/>
      <c r="L729" s="65"/>
      <c r="M729" s="111"/>
      <c r="N729" s="65"/>
      <c r="O729" s="65"/>
      <c r="P729" s="65"/>
    </row>
    <row r="730">
      <c r="A730" s="61"/>
      <c r="B730" s="61"/>
      <c r="C730" s="61"/>
      <c r="D730" s="61"/>
      <c r="E730" s="61"/>
      <c r="F730" s="61"/>
      <c r="G730" s="61"/>
      <c r="H730" s="61"/>
      <c r="I730" s="61"/>
      <c r="J730" s="107"/>
      <c r="K730" s="107"/>
      <c r="L730" s="61"/>
      <c r="M730" s="110"/>
      <c r="N730" s="61"/>
      <c r="O730" s="61"/>
      <c r="P730" s="61"/>
    </row>
    <row r="731">
      <c r="A731" s="65"/>
      <c r="B731" s="65"/>
      <c r="C731" s="65"/>
      <c r="D731" s="65"/>
      <c r="E731" s="65"/>
      <c r="F731" s="65"/>
      <c r="G731" s="65"/>
      <c r="H731" s="65"/>
      <c r="I731" s="65"/>
      <c r="J731" s="108"/>
      <c r="K731" s="108"/>
      <c r="L731" s="65"/>
      <c r="M731" s="111"/>
      <c r="N731" s="65"/>
      <c r="O731" s="65"/>
      <c r="P731" s="65"/>
    </row>
    <row r="732">
      <c r="A732" s="61"/>
      <c r="B732" s="61"/>
      <c r="C732" s="61"/>
      <c r="D732" s="61"/>
      <c r="E732" s="61"/>
      <c r="F732" s="61"/>
      <c r="G732" s="61"/>
      <c r="H732" s="61"/>
      <c r="I732" s="61"/>
      <c r="J732" s="107"/>
      <c r="K732" s="107"/>
      <c r="L732" s="61"/>
      <c r="M732" s="110"/>
      <c r="N732" s="61"/>
      <c r="O732" s="61"/>
      <c r="P732" s="61"/>
    </row>
    <row r="733">
      <c r="A733" s="65"/>
      <c r="B733" s="65"/>
      <c r="C733" s="65"/>
      <c r="D733" s="65"/>
      <c r="E733" s="65"/>
      <c r="F733" s="65"/>
      <c r="G733" s="65"/>
      <c r="H733" s="65"/>
      <c r="I733" s="65"/>
      <c r="J733" s="108"/>
      <c r="K733" s="108"/>
      <c r="L733" s="65"/>
      <c r="M733" s="111"/>
      <c r="N733" s="65"/>
      <c r="O733" s="65"/>
      <c r="P733" s="65"/>
    </row>
    <row r="734">
      <c r="A734" s="61"/>
      <c r="B734" s="61"/>
      <c r="C734" s="61"/>
      <c r="D734" s="61"/>
      <c r="E734" s="61"/>
      <c r="F734" s="61"/>
      <c r="G734" s="61"/>
      <c r="H734" s="61"/>
      <c r="I734" s="61"/>
      <c r="J734" s="107"/>
      <c r="K734" s="107"/>
      <c r="L734" s="61"/>
      <c r="M734" s="110"/>
      <c r="N734" s="61"/>
      <c r="O734" s="61"/>
      <c r="P734" s="61"/>
    </row>
    <row r="735">
      <c r="A735" s="65"/>
      <c r="B735" s="65"/>
      <c r="C735" s="65"/>
      <c r="D735" s="65"/>
      <c r="E735" s="65"/>
      <c r="F735" s="65"/>
      <c r="G735" s="65"/>
      <c r="H735" s="65"/>
      <c r="I735" s="65"/>
      <c r="J735" s="108"/>
      <c r="K735" s="108"/>
      <c r="L735" s="65"/>
      <c r="M735" s="111"/>
      <c r="N735" s="65"/>
      <c r="O735" s="65"/>
      <c r="P735" s="65"/>
    </row>
    <row r="736">
      <c r="A736" s="61"/>
      <c r="B736" s="61"/>
      <c r="C736" s="61"/>
      <c r="D736" s="61"/>
      <c r="E736" s="61"/>
      <c r="F736" s="61"/>
      <c r="G736" s="61"/>
      <c r="H736" s="61"/>
      <c r="I736" s="61"/>
      <c r="J736" s="107"/>
      <c r="K736" s="107"/>
      <c r="L736" s="61"/>
      <c r="M736" s="110"/>
      <c r="N736" s="61"/>
      <c r="O736" s="61"/>
      <c r="P736" s="61"/>
    </row>
    <row r="737">
      <c r="A737" s="65"/>
      <c r="B737" s="65"/>
      <c r="C737" s="65"/>
      <c r="D737" s="65"/>
      <c r="E737" s="65"/>
      <c r="F737" s="65"/>
      <c r="G737" s="65"/>
      <c r="H737" s="65"/>
      <c r="I737" s="65"/>
      <c r="J737" s="108"/>
      <c r="K737" s="108"/>
      <c r="L737" s="65"/>
      <c r="M737" s="111"/>
      <c r="N737" s="65"/>
      <c r="O737" s="65"/>
      <c r="P737" s="65"/>
    </row>
    <row r="738">
      <c r="A738" s="61"/>
      <c r="B738" s="61"/>
      <c r="C738" s="61"/>
      <c r="D738" s="61"/>
      <c r="E738" s="61"/>
      <c r="F738" s="61"/>
      <c r="G738" s="61"/>
      <c r="H738" s="61"/>
      <c r="I738" s="61"/>
      <c r="J738" s="107"/>
      <c r="K738" s="107"/>
      <c r="L738" s="61"/>
      <c r="M738" s="110"/>
      <c r="N738" s="61"/>
      <c r="O738" s="61"/>
      <c r="P738" s="61"/>
    </row>
    <row r="739">
      <c r="A739" s="65"/>
      <c r="B739" s="65"/>
      <c r="C739" s="65"/>
      <c r="D739" s="65"/>
      <c r="E739" s="65"/>
      <c r="F739" s="65"/>
      <c r="G739" s="65"/>
      <c r="H739" s="65"/>
      <c r="I739" s="65"/>
      <c r="J739" s="108"/>
      <c r="K739" s="108"/>
      <c r="L739" s="65"/>
      <c r="M739" s="111"/>
      <c r="N739" s="65"/>
      <c r="O739" s="65"/>
      <c r="P739" s="65"/>
    </row>
    <row r="740">
      <c r="A740" s="61"/>
      <c r="B740" s="61"/>
      <c r="C740" s="61"/>
      <c r="D740" s="61"/>
      <c r="E740" s="61"/>
      <c r="F740" s="61"/>
      <c r="G740" s="61"/>
      <c r="H740" s="61"/>
      <c r="I740" s="61"/>
      <c r="J740" s="107"/>
      <c r="K740" s="107"/>
      <c r="L740" s="61"/>
      <c r="M740" s="110"/>
      <c r="N740" s="61"/>
      <c r="O740" s="61"/>
      <c r="P740" s="61"/>
    </row>
    <row r="741">
      <c r="A741" s="65"/>
      <c r="B741" s="65"/>
      <c r="C741" s="65"/>
      <c r="D741" s="65"/>
      <c r="E741" s="65"/>
      <c r="F741" s="65"/>
      <c r="G741" s="65"/>
      <c r="H741" s="65"/>
      <c r="I741" s="65"/>
      <c r="J741" s="108"/>
      <c r="K741" s="108"/>
      <c r="L741" s="65"/>
      <c r="M741" s="111"/>
      <c r="N741" s="65"/>
      <c r="O741" s="65"/>
      <c r="P741" s="65"/>
    </row>
    <row r="742">
      <c r="A742" s="61"/>
      <c r="B742" s="61"/>
      <c r="C742" s="61"/>
      <c r="D742" s="61"/>
      <c r="E742" s="61"/>
      <c r="F742" s="61"/>
      <c r="G742" s="61"/>
      <c r="H742" s="61"/>
      <c r="I742" s="61"/>
      <c r="J742" s="107"/>
      <c r="K742" s="107"/>
      <c r="L742" s="61"/>
      <c r="M742" s="110"/>
      <c r="N742" s="61"/>
      <c r="O742" s="61"/>
      <c r="P742" s="61"/>
    </row>
    <row r="743">
      <c r="A743" s="65"/>
      <c r="B743" s="65"/>
      <c r="C743" s="65"/>
      <c r="D743" s="65"/>
      <c r="E743" s="65"/>
      <c r="F743" s="65"/>
      <c r="G743" s="65"/>
      <c r="H743" s="65"/>
      <c r="I743" s="65"/>
      <c r="J743" s="108"/>
      <c r="K743" s="108"/>
      <c r="L743" s="65"/>
      <c r="M743" s="111"/>
      <c r="N743" s="65"/>
      <c r="O743" s="65"/>
      <c r="P743" s="65"/>
    </row>
    <row r="744">
      <c r="A744" s="61"/>
      <c r="B744" s="61"/>
      <c r="C744" s="61"/>
      <c r="D744" s="61"/>
      <c r="E744" s="61"/>
      <c r="F744" s="61"/>
      <c r="G744" s="61"/>
      <c r="H744" s="61"/>
      <c r="I744" s="61"/>
      <c r="J744" s="107"/>
      <c r="K744" s="107"/>
      <c r="L744" s="61"/>
      <c r="M744" s="110"/>
      <c r="N744" s="61"/>
      <c r="O744" s="61"/>
      <c r="P744" s="61"/>
    </row>
    <row r="745">
      <c r="A745" s="65"/>
      <c r="B745" s="65"/>
      <c r="C745" s="65"/>
      <c r="D745" s="65"/>
      <c r="E745" s="65"/>
      <c r="F745" s="65"/>
      <c r="G745" s="65"/>
      <c r="H745" s="65"/>
      <c r="I745" s="65"/>
      <c r="J745" s="108"/>
      <c r="K745" s="108"/>
      <c r="L745" s="65"/>
      <c r="M745" s="111"/>
      <c r="N745" s="65"/>
      <c r="O745" s="65"/>
      <c r="P745" s="65"/>
    </row>
    <row r="746">
      <c r="A746" s="61"/>
      <c r="B746" s="61"/>
      <c r="C746" s="61"/>
      <c r="D746" s="61"/>
      <c r="E746" s="61"/>
      <c r="F746" s="61"/>
      <c r="G746" s="61"/>
      <c r="H746" s="61"/>
      <c r="I746" s="61"/>
      <c r="J746" s="107"/>
      <c r="K746" s="107"/>
      <c r="L746" s="61"/>
      <c r="M746" s="110"/>
      <c r="N746" s="61"/>
      <c r="O746" s="61"/>
      <c r="P746" s="61"/>
    </row>
    <row r="747">
      <c r="A747" s="65"/>
      <c r="B747" s="65"/>
      <c r="C747" s="65"/>
      <c r="D747" s="65"/>
      <c r="E747" s="65"/>
      <c r="F747" s="65"/>
      <c r="G747" s="65"/>
      <c r="H747" s="65"/>
      <c r="I747" s="65"/>
      <c r="J747" s="108"/>
      <c r="K747" s="108"/>
      <c r="L747" s="65"/>
      <c r="M747" s="111"/>
      <c r="N747" s="65"/>
      <c r="O747" s="65"/>
      <c r="P747" s="65"/>
    </row>
    <row r="748">
      <c r="A748" s="61"/>
      <c r="B748" s="61"/>
      <c r="C748" s="61"/>
      <c r="D748" s="61"/>
      <c r="E748" s="61"/>
      <c r="F748" s="61"/>
      <c r="G748" s="61"/>
      <c r="H748" s="61"/>
      <c r="I748" s="61"/>
      <c r="J748" s="107"/>
      <c r="K748" s="107"/>
      <c r="L748" s="61"/>
      <c r="M748" s="110"/>
      <c r="N748" s="61"/>
      <c r="O748" s="61"/>
      <c r="P748" s="61"/>
    </row>
    <row r="749">
      <c r="A749" s="65"/>
      <c r="B749" s="65"/>
      <c r="C749" s="65"/>
      <c r="D749" s="65"/>
      <c r="E749" s="65"/>
      <c r="F749" s="65"/>
      <c r="G749" s="65"/>
      <c r="H749" s="65"/>
      <c r="I749" s="65"/>
      <c r="J749" s="108"/>
      <c r="K749" s="108"/>
      <c r="L749" s="65"/>
      <c r="M749" s="111"/>
      <c r="N749" s="65"/>
      <c r="O749" s="65"/>
      <c r="P749" s="65"/>
    </row>
    <row r="750">
      <c r="A750" s="61"/>
      <c r="B750" s="61"/>
      <c r="C750" s="61"/>
      <c r="D750" s="61"/>
      <c r="E750" s="61"/>
      <c r="F750" s="61"/>
      <c r="G750" s="61"/>
      <c r="H750" s="61"/>
      <c r="I750" s="61"/>
      <c r="J750" s="107"/>
      <c r="K750" s="107"/>
      <c r="L750" s="61"/>
      <c r="M750" s="110"/>
      <c r="N750" s="61"/>
      <c r="O750" s="61"/>
      <c r="P750" s="61"/>
    </row>
    <row r="751">
      <c r="A751" s="65"/>
      <c r="B751" s="65"/>
      <c r="C751" s="65"/>
      <c r="D751" s="65"/>
      <c r="E751" s="65"/>
      <c r="F751" s="65"/>
      <c r="G751" s="65"/>
      <c r="H751" s="65"/>
      <c r="I751" s="65"/>
      <c r="J751" s="108"/>
      <c r="K751" s="108"/>
      <c r="L751" s="65"/>
      <c r="M751" s="111"/>
      <c r="N751" s="65"/>
      <c r="O751" s="65"/>
      <c r="P751" s="65"/>
    </row>
    <row r="752">
      <c r="A752" s="61"/>
      <c r="B752" s="61"/>
      <c r="C752" s="61"/>
      <c r="D752" s="61"/>
      <c r="E752" s="61"/>
      <c r="F752" s="61"/>
      <c r="G752" s="61"/>
      <c r="H752" s="61"/>
      <c r="I752" s="61"/>
      <c r="J752" s="107"/>
      <c r="K752" s="107"/>
      <c r="L752" s="61"/>
      <c r="M752" s="110"/>
      <c r="N752" s="61"/>
      <c r="O752" s="61"/>
      <c r="P752" s="61"/>
    </row>
    <row r="753">
      <c r="A753" s="65"/>
      <c r="B753" s="65"/>
      <c r="C753" s="65"/>
      <c r="D753" s="65"/>
      <c r="E753" s="65"/>
      <c r="F753" s="65"/>
      <c r="G753" s="65"/>
      <c r="H753" s="65"/>
      <c r="I753" s="65"/>
      <c r="J753" s="108"/>
      <c r="K753" s="108"/>
      <c r="L753" s="65"/>
      <c r="M753" s="111"/>
      <c r="N753" s="65"/>
      <c r="O753" s="65"/>
      <c r="P753" s="65"/>
    </row>
    <row r="754">
      <c r="A754" s="61"/>
      <c r="B754" s="61"/>
      <c r="C754" s="61"/>
      <c r="D754" s="61"/>
      <c r="E754" s="61"/>
      <c r="F754" s="61"/>
      <c r="G754" s="61"/>
      <c r="H754" s="61"/>
      <c r="I754" s="61"/>
      <c r="J754" s="107"/>
      <c r="K754" s="107"/>
      <c r="L754" s="61"/>
      <c r="M754" s="110"/>
      <c r="N754" s="61"/>
      <c r="O754" s="61"/>
      <c r="P754" s="61"/>
    </row>
    <row r="755">
      <c r="A755" s="65"/>
      <c r="B755" s="65"/>
      <c r="C755" s="65"/>
      <c r="D755" s="65"/>
      <c r="E755" s="65"/>
      <c r="F755" s="65"/>
      <c r="G755" s="65"/>
      <c r="H755" s="65"/>
      <c r="I755" s="65"/>
      <c r="J755" s="108"/>
      <c r="K755" s="108"/>
      <c r="L755" s="65"/>
      <c r="M755" s="111"/>
      <c r="N755" s="65"/>
      <c r="O755" s="65"/>
      <c r="P755" s="65"/>
    </row>
    <row r="756">
      <c r="A756" s="61"/>
      <c r="B756" s="61"/>
      <c r="C756" s="61"/>
      <c r="D756" s="61"/>
      <c r="E756" s="61"/>
      <c r="F756" s="61"/>
      <c r="G756" s="61"/>
      <c r="H756" s="61"/>
      <c r="I756" s="61"/>
      <c r="J756" s="107"/>
      <c r="K756" s="107"/>
      <c r="L756" s="61"/>
      <c r="M756" s="110"/>
      <c r="N756" s="61"/>
      <c r="O756" s="61"/>
      <c r="P756" s="61"/>
    </row>
    <row r="757">
      <c r="A757" s="65"/>
      <c r="B757" s="65"/>
      <c r="C757" s="65"/>
      <c r="D757" s="65"/>
      <c r="E757" s="65"/>
      <c r="F757" s="65"/>
      <c r="G757" s="65"/>
      <c r="H757" s="65"/>
      <c r="I757" s="65"/>
      <c r="J757" s="108"/>
      <c r="K757" s="108"/>
      <c r="L757" s="65"/>
      <c r="M757" s="111"/>
      <c r="N757" s="65"/>
      <c r="O757" s="65"/>
      <c r="P757" s="65"/>
    </row>
    <row r="758">
      <c r="A758" s="61"/>
      <c r="B758" s="61"/>
      <c r="C758" s="61"/>
      <c r="D758" s="61"/>
      <c r="E758" s="61"/>
      <c r="F758" s="61"/>
      <c r="G758" s="61"/>
      <c r="H758" s="61"/>
      <c r="I758" s="61"/>
      <c r="J758" s="107"/>
      <c r="K758" s="107"/>
      <c r="L758" s="61"/>
      <c r="M758" s="110"/>
      <c r="N758" s="61"/>
      <c r="O758" s="61"/>
      <c r="P758" s="61"/>
    </row>
    <row r="759">
      <c r="A759" s="65"/>
      <c r="B759" s="65"/>
      <c r="C759" s="65"/>
      <c r="D759" s="65"/>
      <c r="E759" s="65"/>
      <c r="F759" s="65"/>
      <c r="G759" s="65"/>
      <c r="H759" s="65"/>
      <c r="I759" s="65"/>
      <c r="J759" s="108"/>
      <c r="K759" s="108"/>
      <c r="L759" s="65"/>
      <c r="M759" s="111"/>
      <c r="N759" s="65"/>
      <c r="O759" s="65"/>
      <c r="P759" s="65"/>
    </row>
    <row r="760">
      <c r="A760" s="61"/>
      <c r="B760" s="61"/>
      <c r="C760" s="61"/>
      <c r="D760" s="61"/>
      <c r="E760" s="61"/>
      <c r="F760" s="61"/>
      <c r="G760" s="61"/>
      <c r="H760" s="61"/>
      <c r="I760" s="61"/>
      <c r="J760" s="107"/>
      <c r="K760" s="107"/>
      <c r="L760" s="61"/>
      <c r="M760" s="110"/>
      <c r="N760" s="61"/>
      <c r="O760" s="61"/>
      <c r="P760" s="61"/>
    </row>
    <row r="761">
      <c r="A761" s="65"/>
      <c r="B761" s="65"/>
      <c r="C761" s="65"/>
      <c r="D761" s="65"/>
      <c r="E761" s="65"/>
      <c r="F761" s="65"/>
      <c r="G761" s="65"/>
      <c r="H761" s="65"/>
      <c r="I761" s="65"/>
      <c r="J761" s="108"/>
      <c r="K761" s="108"/>
      <c r="L761" s="65"/>
      <c r="M761" s="111"/>
      <c r="N761" s="65"/>
      <c r="O761" s="65"/>
      <c r="P761" s="65"/>
    </row>
    <row r="762">
      <c r="A762" s="61"/>
      <c r="B762" s="61"/>
      <c r="C762" s="61"/>
      <c r="D762" s="61"/>
      <c r="E762" s="61"/>
      <c r="F762" s="61"/>
      <c r="G762" s="61"/>
      <c r="H762" s="61"/>
      <c r="I762" s="61"/>
      <c r="J762" s="107"/>
      <c r="K762" s="107"/>
      <c r="L762" s="61"/>
      <c r="M762" s="110"/>
      <c r="N762" s="61"/>
      <c r="O762" s="61"/>
      <c r="P762" s="61"/>
    </row>
    <row r="763">
      <c r="A763" s="65"/>
      <c r="B763" s="65"/>
      <c r="C763" s="65"/>
      <c r="D763" s="65"/>
      <c r="E763" s="65"/>
      <c r="F763" s="65"/>
      <c r="G763" s="65"/>
      <c r="H763" s="65"/>
      <c r="I763" s="65"/>
      <c r="J763" s="108"/>
      <c r="K763" s="108"/>
      <c r="L763" s="65"/>
      <c r="M763" s="111"/>
      <c r="N763" s="65"/>
      <c r="O763" s="65"/>
      <c r="P763" s="65"/>
    </row>
    <row r="764">
      <c r="A764" s="61"/>
      <c r="B764" s="61"/>
      <c r="C764" s="61"/>
      <c r="D764" s="61"/>
      <c r="E764" s="61"/>
      <c r="F764" s="61"/>
      <c r="G764" s="61"/>
      <c r="H764" s="61"/>
      <c r="I764" s="61"/>
      <c r="J764" s="107"/>
      <c r="K764" s="107"/>
      <c r="L764" s="61"/>
      <c r="M764" s="110"/>
      <c r="N764" s="61"/>
      <c r="O764" s="61"/>
      <c r="P764" s="61"/>
    </row>
    <row r="765">
      <c r="A765" s="65"/>
      <c r="B765" s="65"/>
      <c r="C765" s="65"/>
      <c r="D765" s="65"/>
      <c r="E765" s="65"/>
      <c r="F765" s="65"/>
      <c r="G765" s="65"/>
      <c r="H765" s="65"/>
      <c r="I765" s="65"/>
      <c r="J765" s="108"/>
      <c r="K765" s="108"/>
      <c r="L765" s="65"/>
      <c r="M765" s="111"/>
      <c r="N765" s="65"/>
      <c r="O765" s="65"/>
      <c r="P765" s="65"/>
    </row>
    <row r="766">
      <c r="A766" s="61"/>
      <c r="B766" s="61"/>
      <c r="C766" s="61"/>
      <c r="D766" s="61"/>
      <c r="E766" s="61"/>
      <c r="F766" s="61"/>
      <c r="G766" s="61"/>
      <c r="H766" s="61"/>
      <c r="I766" s="61"/>
      <c r="J766" s="107"/>
      <c r="K766" s="107"/>
      <c r="L766" s="61"/>
      <c r="M766" s="110"/>
      <c r="N766" s="61"/>
      <c r="O766" s="61"/>
      <c r="P766" s="61"/>
    </row>
    <row r="767">
      <c r="A767" s="65"/>
      <c r="B767" s="65"/>
      <c r="C767" s="65"/>
      <c r="D767" s="65"/>
      <c r="E767" s="65"/>
      <c r="F767" s="65"/>
      <c r="G767" s="65"/>
      <c r="H767" s="65"/>
      <c r="I767" s="65"/>
      <c r="J767" s="108"/>
      <c r="K767" s="108"/>
      <c r="L767" s="65"/>
      <c r="M767" s="111"/>
      <c r="N767" s="65"/>
      <c r="O767" s="65"/>
      <c r="P767" s="65"/>
    </row>
    <row r="768">
      <c r="A768" s="61"/>
      <c r="B768" s="61"/>
      <c r="C768" s="61"/>
      <c r="D768" s="61"/>
      <c r="E768" s="61"/>
      <c r="F768" s="61"/>
      <c r="G768" s="61"/>
      <c r="H768" s="61"/>
      <c r="I768" s="61"/>
      <c r="J768" s="107"/>
      <c r="K768" s="107"/>
      <c r="L768" s="61"/>
      <c r="M768" s="110"/>
      <c r="N768" s="61"/>
      <c r="O768" s="61"/>
      <c r="P768" s="61"/>
    </row>
    <row r="769">
      <c r="A769" s="65"/>
      <c r="B769" s="65"/>
      <c r="C769" s="65"/>
      <c r="D769" s="65"/>
      <c r="E769" s="65"/>
      <c r="F769" s="65"/>
      <c r="G769" s="65"/>
      <c r="H769" s="65"/>
      <c r="I769" s="65"/>
      <c r="J769" s="108"/>
      <c r="K769" s="108"/>
      <c r="L769" s="65"/>
      <c r="M769" s="111"/>
      <c r="N769" s="65"/>
      <c r="O769" s="65"/>
      <c r="P769" s="65"/>
    </row>
    <row r="770">
      <c r="A770" s="61"/>
      <c r="B770" s="61"/>
      <c r="C770" s="61"/>
      <c r="D770" s="61"/>
      <c r="E770" s="61"/>
      <c r="F770" s="61"/>
      <c r="G770" s="61"/>
      <c r="H770" s="61"/>
      <c r="I770" s="61"/>
      <c r="J770" s="107"/>
      <c r="K770" s="107"/>
      <c r="L770" s="61"/>
      <c r="M770" s="110"/>
      <c r="N770" s="61"/>
      <c r="O770" s="61"/>
      <c r="P770" s="61"/>
    </row>
    <row r="771">
      <c r="A771" s="65"/>
      <c r="B771" s="65"/>
      <c r="C771" s="65"/>
      <c r="D771" s="65"/>
      <c r="E771" s="65"/>
      <c r="F771" s="65"/>
      <c r="G771" s="65"/>
      <c r="H771" s="65"/>
      <c r="I771" s="65"/>
      <c r="J771" s="108"/>
      <c r="K771" s="108"/>
      <c r="L771" s="65"/>
      <c r="M771" s="111"/>
      <c r="N771" s="65"/>
      <c r="O771" s="65"/>
      <c r="P771" s="65"/>
    </row>
    <row r="772">
      <c r="A772" s="61"/>
      <c r="B772" s="61"/>
      <c r="C772" s="61"/>
      <c r="D772" s="61"/>
      <c r="E772" s="61"/>
      <c r="F772" s="61"/>
      <c r="G772" s="61"/>
      <c r="H772" s="61"/>
      <c r="I772" s="61"/>
      <c r="J772" s="107"/>
      <c r="K772" s="107"/>
      <c r="L772" s="61"/>
      <c r="M772" s="110"/>
      <c r="N772" s="61"/>
      <c r="O772" s="61"/>
      <c r="P772" s="61"/>
    </row>
    <row r="773">
      <c r="A773" s="65"/>
      <c r="B773" s="65"/>
      <c r="C773" s="65"/>
      <c r="D773" s="65"/>
      <c r="E773" s="65"/>
      <c r="F773" s="65"/>
      <c r="G773" s="65"/>
      <c r="H773" s="65"/>
      <c r="I773" s="65"/>
      <c r="J773" s="108"/>
      <c r="K773" s="108"/>
      <c r="L773" s="65"/>
      <c r="M773" s="111"/>
      <c r="N773" s="65"/>
      <c r="O773" s="65"/>
      <c r="P773" s="65"/>
    </row>
    <row r="774">
      <c r="A774" s="61"/>
      <c r="B774" s="61"/>
      <c r="C774" s="61"/>
      <c r="D774" s="61"/>
      <c r="E774" s="61"/>
      <c r="F774" s="61"/>
      <c r="G774" s="61"/>
      <c r="H774" s="61"/>
      <c r="I774" s="61"/>
      <c r="J774" s="107"/>
      <c r="K774" s="107"/>
      <c r="L774" s="61"/>
      <c r="M774" s="110"/>
      <c r="N774" s="61"/>
      <c r="O774" s="61"/>
      <c r="P774" s="61"/>
    </row>
    <row r="775">
      <c r="A775" s="65"/>
      <c r="B775" s="65"/>
      <c r="C775" s="65"/>
      <c r="D775" s="65"/>
      <c r="E775" s="65"/>
      <c r="F775" s="65"/>
      <c r="G775" s="65"/>
      <c r="H775" s="65"/>
      <c r="I775" s="65"/>
      <c r="J775" s="108"/>
      <c r="K775" s="108"/>
      <c r="L775" s="65"/>
      <c r="M775" s="111"/>
      <c r="N775" s="65"/>
      <c r="O775" s="65"/>
      <c r="P775" s="65"/>
    </row>
    <row r="776">
      <c r="A776" s="61"/>
      <c r="B776" s="61"/>
      <c r="C776" s="61"/>
      <c r="D776" s="61"/>
      <c r="E776" s="61"/>
      <c r="F776" s="61"/>
      <c r="G776" s="61"/>
      <c r="H776" s="61"/>
      <c r="I776" s="61"/>
      <c r="J776" s="107"/>
      <c r="K776" s="107"/>
      <c r="L776" s="61"/>
      <c r="M776" s="110"/>
      <c r="N776" s="61"/>
      <c r="O776" s="61"/>
      <c r="P776" s="61"/>
    </row>
    <row r="777">
      <c r="A777" s="65"/>
      <c r="B777" s="65"/>
      <c r="C777" s="65"/>
      <c r="D777" s="65"/>
      <c r="E777" s="65"/>
      <c r="F777" s="65"/>
      <c r="G777" s="65"/>
      <c r="H777" s="65"/>
      <c r="I777" s="65"/>
      <c r="J777" s="108"/>
      <c r="K777" s="108"/>
      <c r="L777" s="65"/>
      <c r="M777" s="111"/>
      <c r="N777" s="65"/>
      <c r="O777" s="65"/>
      <c r="P777" s="65"/>
    </row>
    <row r="778">
      <c r="A778" s="61"/>
      <c r="B778" s="61"/>
      <c r="C778" s="61"/>
      <c r="D778" s="61"/>
      <c r="E778" s="61"/>
      <c r="F778" s="61"/>
      <c r="G778" s="61"/>
      <c r="H778" s="61"/>
      <c r="I778" s="61"/>
      <c r="J778" s="107"/>
      <c r="K778" s="107"/>
      <c r="L778" s="61"/>
      <c r="M778" s="110"/>
      <c r="N778" s="61"/>
      <c r="O778" s="61"/>
      <c r="P778" s="61"/>
    </row>
    <row r="779">
      <c r="A779" s="65"/>
      <c r="B779" s="65"/>
      <c r="C779" s="65"/>
      <c r="D779" s="65"/>
      <c r="E779" s="65"/>
      <c r="F779" s="65"/>
      <c r="G779" s="65"/>
      <c r="H779" s="65"/>
      <c r="I779" s="65"/>
      <c r="J779" s="108"/>
      <c r="K779" s="108"/>
      <c r="L779" s="65"/>
      <c r="M779" s="111"/>
      <c r="N779" s="65"/>
      <c r="O779" s="65"/>
      <c r="P779" s="65"/>
    </row>
    <row r="780">
      <c r="A780" s="61"/>
      <c r="B780" s="61"/>
      <c r="C780" s="61"/>
      <c r="D780" s="61"/>
      <c r="E780" s="61"/>
      <c r="F780" s="61"/>
      <c r="G780" s="61"/>
      <c r="H780" s="61"/>
      <c r="I780" s="61"/>
      <c r="J780" s="107"/>
      <c r="K780" s="107"/>
      <c r="L780" s="61"/>
      <c r="M780" s="110"/>
      <c r="N780" s="61"/>
      <c r="O780" s="61"/>
      <c r="P780" s="61"/>
    </row>
    <row r="781">
      <c r="A781" s="65"/>
      <c r="B781" s="65"/>
      <c r="C781" s="65"/>
      <c r="D781" s="65"/>
      <c r="E781" s="65"/>
      <c r="F781" s="65"/>
      <c r="G781" s="65"/>
      <c r="H781" s="65"/>
      <c r="I781" s="65"/>
      <c r="J781" s="108"/>
      <c r="K781" s="108"/>
      <c r="L781" s="65"/>
      <c r="M781" s="111"/>
      <c r="N781" s="65"/>
      <c r="O781" s="65"/>
      <c r="P781" s="65"/>
    </row>
    <row r="782">
      <c r="A782" s="61"/>
      <c r="B782" s="61"/>
      <c r="C782" s="61"/>
      <c r="D782" s="61"/>
      <c r="E782" s="61"/>
      <c r="F782" s="61"/>
      <c r="G782" s="61"/>
      <c r="H782" s="61"/>
      <c r="I782" s="61"/>
      <c r="J782" s="107"/>
      <c r="K782" s="107"/>
      <c r="L782" s="61"/>
      <c r="M782" s="110"/>
      <c r="N782" s="61"/>
      <c r="O782" s="61"/>
      <c r="P782" s="61"/>
    </row>
    <row r="783">
      <c r="A783" s="65"/>
      <c r="B783" s="65"/>
      <c r="C783" s="65"/>
      <c r="D783" s="65"/>
      <c r="E783" s="65"/>
      <c r="F783" s="65"/>
      <c r="G783" s="65"/>
      <c r="H783" s="65"/>
      <c r="I783" s="65"/>
      <c r="J783" s="108"/>
      <c r="K783" s="108"/>
      <c r="L783" s="65"/>
      <c r="M783" s="111"/>
      <c r="N783" s="65"/>
      <c r="O783" s="65"/>
      <c r="P783" s="65"/>
    </row>
    <row r="784">
      <c r="A784" s="61"/>
      <c r="B784" s="61"/>
      <c r="C784" s="61"/>
      <c r="D784" s="61"/>
      <c r="E784" s="61"/>
      <c r="F784" s="61"/>
      <c r="G784" s="61"/>
      <c r="H784" s="61"/>
      <c r="I784" s="61"/>
      <c r="J784" s="107"/>
      <c r="K784" s="107"/>
      <c r="L784" s="61"/>
      <c r="M784" s="110"/>
      <c r="N784" s="61"/>
      <c r="O784" s="61"/>
      <c r="P784" s="61"/>
    </row>
    <row r="785">
      <c r="A785" s="65"/>
      <c r="B785" s="65"/>
      <c r="C785" s="65"/>
      <c r="D785" s="65"/>
      <c r="E785" s="65"/>
      <c r="F785" s="65"/>
      <c r="G785" s="65"/>
      <c r="H785" s="65"/>
      <c r="I785" s="65"/>
      <c r="J785" s="108"/>
      <c r="K785" s="108"/>
      <c r="L785" s="65"/>
      <c r="M785" s="111"/>
      <c r="N785" s="65"/>
      <c r="O785" s="65"/>
      <c r="P785" s="65"/>
    </row>
    <row r="786">
      <c r="A786" s="61"/>
      <c r="B786" s="61"/>
      <c r="C786" s="61"/>
      <c r="D786" s="61"/>
      <c r="E786" s="61"/>
      <c r="F786" s="61"/>
      <c r="G786" s="61"/>
      <c r="H786" s="61"/>
      <c r="I786" s="61"/>
      <c r="J786" s="107"/>
      <c r="K786" s="107"/>
      <c r="L786" s="61"/>
      <c r="M786" s="110"/>
      <c r="N786" s="61"/>
      <c r="O786" s="61"/>
      <c r="P786" s="61"/>
    </row>
    <row r="787">
      <c r="A787" s="65"/>
      <c r="B787" s="65"/>
      <c r="C787" s="65"/>
      <c r="D787" s="65"/>
      <c r="E787" s="65"/>
      <c r="F787" s="65"/>
      <c r="G787" s="65"/>
      <c r="H787" s="65"/>
      <c r="I787" s="65"/>
      <c r="J787" s="108"/>
      <c r="K787" s="108"/>
      <c r="L787" s="65"/>
      <c r="M787" s="111"/>
      <c r="N787" s="65"/>
      <c r="O787" s="65"/>
      <c r="P787" s="65"/>
    </row>
    <row r="788">
      <c r="A788" s="61"/>
      <c r="B788" s="61"/>
      <c r="C788" s="61"/>
      <c r="D788" s="61"/>
      <c r="E788" s="61"/>
      <c r="F788" s="61"/>
      <c r="G788" s="61"/>
      <c r="H788" s="61"/>
      <c r="I788" s="61"/>
      <c r="J788" s="107"/>
      <c r="K788" s="107"/>
      <c r="L788" s="61"/>
      <c r="M788" s="110"/>
      <c r="N788" s="61"/>
      <c r="O788" s="61"/>
      <c r="P788" s="61"/>
    </row>
    <row r="789">
      <c r="A789" s="65"/>
      <c r="B789" s="65"/>
      <c r="C789" s="65"/>
      <c r="D789" s="65"/>
      <c r="E789" s="65"/>
      <c r="F789" s="65"/>
      <c r="G789" s="65"/>
      <c r="H789" s="65"/>
      <c r="I789" s="65"/>
      <c r="J789" s="108"/>
      <c r="K789" s="108"/>
      <c r="L789" s="65"/>
      <c r="M789" s="111"/>
      <c r="N789" s="65"/>
      <c r="O789" s="65"/>
      <c r="P789" s="65"/>
    </row>
    <row r="790">
      <c r="A790" s="61"/>
      <c r="B790" s="61"/>
      <c r="C790" s="61"/>
      <c r="D790" s="61"/>
      <c r="E790" s="61"/>
      <c r="F790" s="61"/>
      <c r="G790" s="61"/>
      <c r="H790" s="61"/>
      <c r="I790" s="61"/>
      <c r="J790" s="107"/>
      <c r="K790" s="107"/>
      <c r="L790" s="61"/>
      <c r="M790" s="110"/>
      <c r="N790" s="61"/>
      <c r="O790" s="61"/>
      <c r="P790" s="61"/>
    </row>
    <row r="791">
      <c r="A791" s="65"/>
      <c r="B791" s="65"/>
      <c r="C791" s="65"/>
      <c r="D791" s="65"/>
      <c r="E791" s="65"/>
      <c r="F791" s="65"/>
      <c r="G791" s="65"/>
      <c r="H791" s="65"/>
      <c r="I791" s="65"/>
      <c r="J791" s="108"/>
      <c r="K791" s="108"/>
      <c r="L791" s="65"/>
      <c r="M791" s="111"/>
      <c r="N791" s="65"/>
      <c r="O791" s="65"/>
      <c r="P791" s="65"/>
    </row>
    <row r="792">
      <c r="A792" s="61"/>
      <c r="B792" s="61"/>
      <c r="C792" s="61"/>
      <c r="D792" s="61"/>
      <c r="E792" s="61"/>
      <c r="F792" s="61"/>
      <c r="G792" s="61"/>
      <c r="H792" s="61"/>
      <c r="I792" s="61"/>
      <c r="J792" s="107"/>
      <c r="K792" s="107"/>
      <c r="L792" s="61"/>
      <c r="M792" s="110"/>
      <c r="N792" s="61"/>
      <c r="O792" s="61"/>
      <c r="P792" s="61"/>
    </row>
    <row r="793">
      <c r="A793" s="65"/>
      <c r="B793" s="65"/>
      <c r="C793" s="65"/>
      <c r="D793" s="65"/>
      <c r="E793" s="65"/>
      <c r="F793" s="65"/>
      <c r="G793" s="65"/>
      <c r="H793" s="65"/>
      <c r="I793" s="65"/>
      <c r="J793" s="108"/>
      <c r="K793" s="108"/>
      <c r="L793" s="65"/>
      <c r="M793" s="111"/>
      <c r="N793" s="65"/>
      <c r="O793" s="65"/>
      <c r="P793" s="65"/>
    </row>
    <row r="794">
      <c r="A794" s="61"/>
      <c r="B794" s="61"/>
      <c r="C794" s="61"/>
      <c r="D794" s="61"/>
      <c r="E794" s="61"/>
      <c r="F794" s="61"/>
      <c r="G794" s="61"/>
      <c r="H794" s="61"/>
      <c r="I794" s="61"/>
      <c r="J794" s="107"/>
      <c r="K794" s="107"/>
      <c r="L794" s="61"/>
      <c r="M794" s="110"/>
      <c r="N794" s="61"/>
      <c r="O794" s="61"/>
      <c r="P794" s="61"/>
    </row>
    <row r="795">
      <c r="A795" s="65"/>
      <c r="B795" s="65"/>
      <c r="C795" s="65"/>
      <c r="D795" s="65"/>
      <c r="E795" s="65"/>
      <c r="F795" s="65"/>
      <c r="G795" s="65"/>
      <c r="H795" s="65"/>
      <c r="I795" s="65"/>
      <c r="J795" s="108"/>
      <c r="K795" s="108"/>
      <c r="L795" s="65"/>
      <c r="M795" s="111"/>
      <c r="N795" s="65"/>
      <c r="O795" s="65"/>
      <c r="P795" s="65"/>
    </row>
    <row r="796">
      <c r="A796" s="61"/>
      <c r="B796" s="61"/>
      <c r="C796" s="61"/>
      <c r="D796" s="61"/>
      <c r="E796" s="61"/>
      <c r="F796" s="61"/>
      <c r="G796" s="61"/>
      <c r="H796" s="61"/>
      <c r="I796" s="61"/>
      <c r="J796" s="107"/>
      <c r="K796" s="107"/>
      <c r="L796" s="61"/>
      <c r="M796" s="110"/>
      <c r="N796" s="61"/>
      <c r="O796" s="61"/>
      <c r="P796" s="61"/>
    </row>
    <row r="797">
      <c r="A797" s="65"/>
      <c r="B797" s="65"/>
      <c r="C797" s="65"/>
      <c r="D797" s="65"/>
      <c r="E797" s="65"/>
      <c r="F797" s="65"/>
      <c r="G797" s="65"/>
      <c r="H797" s="65"/>
      <c r="I797" s="65"/>
      <c r="J797" s="108"/>
      <c r="K797" s="108"/>
      <c r="L797" s="65"/>
      <c r="M797" s="111"/>
      <c r="N797" s="65"/>
      <c r="O797" s="65"/>
      <c r="P797" s="65"/>
    </row>
    <row r="798">
      <c r="A798" s="61"/>
      <c r="B798" s="61"/>
      <c r="C798" s="61"/>
      <c r="D798" s="61"/>
      <c r="E798" s="61"/>
      <c r="F798" s="61"/>
      <c r="G798" s="61"/>
      <c r="H798" s="61"/>
      <c r="I798" s="61"/>
      <c r="J798" s="107"/>
      <c r="K798" s="107"/>
      <c r="L798" s="61"/>
      <c r="M798" s="110"/>
      <c r="N798" s="61"/>
      <c r="O798" s="61"/>
      <c r="P798" s="61"/>
    </row>
    <row r="799">
      <c r="A799" s="65"/>
      <c r="B799" s="65"/>
      <c r="C799" s="65"/>
      <c r="D799" s="65"/>
      <c r="E799" s="65"/>
      <c r="F799" s="65"/>
      <c r="G799" s="65"/>
      <c r="H799" s="65"/>
      <c r="I799" s="65"/>
      <c r="J799" s="108"/>
      <c r="K799" s="108"/>
      <c r="L799" s="65"/>
      <c r="M799" s="111"/>
      <c r="N799" s="65"/>
      <c r="O799" s="65"/>
      <c r="P799" s="65"/>
    </row>
    <row r="800">
      <c r="A800" s="61"/>
      <c r="B800" s="61"/>
      <c r="C800" s="61"/>
      <c r="D800" s="61"/>
      <c r="E800" s="61"/>
      <c r="F800" s="61"/>
      <c r="G800" s="61"/>
      <c r="H800" s="61"/>
      <c r="I800" s="61"/>
      <c r="J800" s="107"/>
      <c r="K800" s="107"/>
      <c r="L800" s="61"/>
      <c r="M800" s="110"/>
      <c r="N800" s="61"/>
      <c r="O800" s="61"/>
      <c r="P800" s="61"/>
    </row>
    <row r="801">
      <c r="A801" s="65"/>
      <c r="B801" s="65"/>
      <c r="C801" s="65"/>
      <c r="D801" s="65"/>
      <c r="E801" s="65"/>
      <c r="F801" s="65"/>
      <c r="G801" s="65"/>
      <c r="H801" s="65"/>
      <c r="I801" s="65"/>
      <c r="J801" s="108"/>
      <c r="K801" s="108"/>
      <c r="L801" s="65"/>
      <c r="M801" s="111"/>
      <c r="N801" s="65"/>
      <c r="O801" s="65"/>
      <c r="P801" s="65"/>
    </row>
    <row r="802">
      <c r="A802" s="61"/>
      <c r="B802" s="61"/>
      <c r="C802" s="61"/>
      <c r="D802" s="61"/>
      <c r="E802" s="61"/>
      <c r="F802" s="61"/>
      <c r="G802" s="61"/>
      <c r="H802" s="61"/>
      <c r="I802" s="61"/>
      <c r="J802" s="107"/>
      <c r="K802" s="107"/>
      <c r="L802" s="61"/>
      <c r="M802" s="110"/>
      <c r="N802" s="61"/>
      <c r="O802" s="61"/>
      <c r="P802" s="61"/>
    </row>
    <row r="803">
      <c r="A803" s="65"/>
      <c r="B803" s="65"/>
      <c r="C803" s="65"/>
      <c r="D803" s="65"/>
      <c r="E803" s="65"/>
      <c r="F803" s="65"/>
      <c r="G803" s="65"/>
      <c r="H803" s="65"/>
      <c r="I803" s="65"/>
      <c r="J803" s="108"/>
      <c r="K803" s="108"/>
      <c r="L803" s="65"/>
      <c r="M803" s="111"/>
      <c r="N803" s="65"/>
      <c r="O803" s="65"/>
      <c r="P803" s="65"/>
    </row>
    <row r="804">
      <c r="A804" s="61"/>
      <c r="B804" s="61"/>
      <c r="C804" s="61"/>
      <c r="D804" s="61"/>
      <c r="E804" s="61"/>
      <c r="F804" s="61"/>
      <c r="G804" s="61"/>
      <c r="H804" s="61"/>
      <c r="I804" s="61"/>
      <c r="J804" s="107"/>
      <c r="K804" s="107"/>
      <c r="L804" s="61"/>
      <c r="M804" s="110"/>
      <c r="N804" s="61"/>
      <c r="O804" s="61"/>
      <c r="P804" s="61"/>
    </row>
    <row r="805">
      <c r="A805" s="65"/>
      <c r="B805" s="65"/>
      <c r="C805" s="65"/>
      <c r="D805" s="65"/>
      <c r="E805" s="65"/>
      <c r="F805" s="65"/>
      <c r="G805" s="65"/>
      <c r="H805" s="65"/>
      <c r="I805" s="65"/>
      <c r="J805" s="108"/>
      <c r="K805" s="108"/>
      <c r="L805" s="65"/>
      <c r="M805" s="111"/>
      <c r="N805" s="65"/>
      <c r="O805" s="65"/>
      <c r="P805" s="65"/>
    </row>
    <row r="806">
      <c r="A806" s="61"/>
      <c r="B806" s="61"/>
      <c r="C806" s="61"/>
      <c r="D806" s="61"/>
      <c r="E806" s="61"/>
      <c r="F806" s="61"/>
      <c r="G806" s="61"/>
      <c r="H806" s="61"/>
      <c r="I806" s="61"/>
      <c r="J806" s="107"/>
      <c r="K806" s="107"/>
      <c r="L806" s="61"/>
      <c r="M806" s="110"/>
      <c r="N806" s="61"/>
      <c r="O806" s="61"/>
      <c r="P806" s="61"/>
    </row>
    <row r="807">
      <c r="A807" s="65"/>
      <c r="B807" s="65"/>
      <c r="C807" s="65"/>
      <c r="D807" s="65"/>
      <c r="E807" s="65"/>
      <c r="F807" s="65"/>
      <c r="G807" s="65"/>
      <c r="H807" s="65"/>
      <c r="I807" s="65"/>
      <c r="J807" s="108"/>
      <c r="K807" s="108"/>
      <c r="L807" s="65"/>
      <c r="M807" s="111"/>
      <c r="N807" s="65"/>
      <c r="O807" s="65"/>
      <c r="P807" s="65"/>
    </row>
    <row r="808">
      <c r="A808" s="61"/>
      <c r="B808" s="61"/>
      <c r="C808" s="61"/>
      <c r="D808" s="61"/>
      <c r="E808" s="61"/>
      <c r="F808" s="61"/>
      <c r="G808" s="61"/>
      <c r="H808" s="61"/>
      <c r="I808" s="61"/>
      <c r="J808" s="107"/>
      <c r="K808" s="107"/>
      <c r="L808" s="61"/>
      <c r="M808" s="110"/>
      <c r="N808" s="61"/>
      <c r="O808" s="61"/>
      <c r="P808" s="61"/>
    </row>
    <row r="809">
      <c r="A809" s="65"/>
      <c r="B809" s="65"/>
      <c r="C809" s="65"/>
      <c r="D809" s="65"/>
      <c r="E809" s="65"/>
      <c r="F809" s="65"/>
      <c r="G809" s="65"/>
      <c r="H809" s="65"/>
      <c r="I809" s="65"/>
      <c r="J809" s="108"/>
      <c r="K809" s="108"/>
      <c r="L809" s="65"/>
      <c r="M809" s="111"/>
      <c r="N809" s="65"/>
      <c r="O809" s="65"/>
      <c r="P809" s="65"/>
    </row>
    <row r="810">
      <c r="A810" s="61"/>
      <c r="B810" s="61"/>
      <c r="C810" s="61"/>
      <c r="D810" s="61"/>
      <c r="E810" s="61"/>
      <c r="F810" s="61"/>
      <c r="G810" s="61"/>
      <c r="H810" s="61"/>
      <c r="I810" s="61"/>
      <c r="J810" s="107"/>
      <c r="K810" s="107"/>
      <c r="L810" s="61"/>
      <c r="M810" s="110"/>
      <c r="N810" s="61"/>
      <c r="O810" s="61"/>
      <c r="P810" s="61"/>
    </row>
    <row r="811">
      <c r="A811" s="65"/>
      <c r="B811" s="65"/>
      <c r="C811" s="65"/>
      <c r="D811" s="65"/>
      <c r="E811" s="65"/>
      <c r="F811" s="65"/>
      <c r="G811" s="65"/>
      <c r="H811" s="65"/>
      <c r="I811" s="65"/>
      <c r="J811" s="108"/>
      <c r="K811" s="108"/>
      <c r="L811" s="65"/>
      <c r="M811" s="111"/>
      <c r="N811" s="65"/>
      <c r="O811" s="65"/>
      <c r="P811" s="65"/>
    </row>
    <row r="812">
      <c r="A812" s="61"/>
      <c r="B812" s="61"/>
      <c r="C812" s="61"/>
      <c r="D812" s="61"/>
      <c r="E812" s="61"/>
      <c r="F812" s="61"/>
      <c r="G812" s="61"/>
      <c r="H812" s="61"/>
      <c r="I812" s="61"/>
      <c r="J812" s="107"/>
      <c r="K812" s="107"/>
      <c r="L812" s="61"/>
      <c r="M812" s="110"/>
      <c r="N812" s="61"/>
      <c r="O812" s="61"/>
      <c r="P812" s="61"/>
    </row>
    <row r="813">
      <c r="A813" s="65"/>
      <c r="B813" s="65"/>
      <c r="C813" s="65"/>
      <c r="D813" s="65"/>
      <c r="E813" s="65"/>
      <c r="F813" s="65"/>
      <c r="G813" s="65"/>
      <c r="H813" s="65"/>
      <c r="I813" s="65"/>
      <c r="J813" s="108"/>
      <c r="K813" s="108"/>
      <c r="L813" s="65"/>
      <c r="M813" s="111"/>
      <c r="N813" s="65"/>
      <c r="O813" s="65"/>
      <c r="P813" s="65"/>
    </row>
    <row r="814">
      <c r="A814" s="61"/>
      <c r="B814" s="61"/>
      <c r="C814" s="61"/>
      <c r="D814" s="61"/>
      <c r="E814" s="61"/>
      <c r="F814" s="61"/>
      <c r="G814" s="61"/>
      <c r="H814" s="61"/>
      <c r="I814" s="61"/>
      <c r="J814" s="107"/>
      <c r="K814" s="107"/>
      <c r="L814" s="61"/>
      <c r="M814" s="110"/>
      <c r="N814" s="61"/>
      <c r="O814" s="61"/>
      <c r="P814" s="61"/>
    </row>
    <row r="815">
      <c r="A815" s="65"/>
      <c r="B815" s="65"/>
      <c r="C815" s="65"/>
      <c r="D815" s="65"/>
      <c r="E815" s="65"/>
      <c r="F815" s="65"/>
      <c r="G815" s="65"/>
      <c r="H815" s="65"/>
      <c r="I815" s="65"/>
      <c r="J815" s="108"/>
      <c r="K815" s="108"/>
      <c r="L815" s="65"/>
      <c r="M815" s="111"/>
      <c r="N815" s="65"/>
      <c r="O815" s="65"/>
      <c r="P815" s="65"/>
    </row>
    <row r="816">
      <c r="A816" s="61"/>
      <c r="B816" s="61"/>
      <c r="C816" s="61"/>
      <c r="D816" s="61"/>
      <c r="E816" s="61"/>
      <c r="F816" s="61"/>
      <c r="G816" s="61"/>
      <c r="H816" s="61"/>
      <c r="I816" s="61"/>
      <c r="J816" s="107"/>
      <c r="K816" s="107"/>
      <c r="L816" s="61"/>
      <c r="M816" s="110"/>
      <c r="N816" s="61"/>
      <c r="O816" s="61"/>
      <c r="P816" s="61"/>
    </row>
    <row r="817">
      <c r="A817" s="65"/>
      <c r="B817" s="65"/>
      <c r="C817" s="65"/>
      <c r="D817" s="65"/>
      <c r="E817" s="65"/>
      <c r="F817" s="65"/>
      <c r="G817" s="65"/>
      <c r="H817" s="65"/>
      <c r="I817" s="65"/>
      <c r="J817" s="108"/>
      <c r="K817" s="108"/>
      <c r="L817" s="65"/>
      <c r="M817" s="111"/>
      <c r="N817" s="65"/>
      <c r="O817" s="65"/>
      <c r="P817" s="65"/>
    </row>
    <row r="818">
      <c r="A818" s="61"/>
      <c r="B818" s="61"/>
      <c r="C818" s="61"/>
      <c r="D818" s="61"/>
      <c r="E818" s="61"/>
      <c r="F818" s="61"/>
      <c r="G818" s="61"/>
      <c r="H818" s="61"/>
      <c r="I818" s="61"/>
      <c r="J818" s="107"/>
      <c r="K818" s="107"/>
      <c r="L818" s="61"/>
      <c r="M818" s="110"/>
      <c r="N818" s="61"/>
      <c r="O818" s="61"/>
      <c r="P818" s="61"/>
    </row>
    <row r="819">
      <c r="A819" s="65"/>
      <c r="B819" s="65"/>
      <c r="C819" s="65"/>
      <c r="D819" s="65"/>
      <c r="E819" s="65"/>
      <c r="F819" s="65"/>
      <c r="G819" s="65"/>
      <c r="H819" s="65"/>
      <c r="I819" s="65"/>
      <c r="J819" s="108"/>
      <c r="K819" s="108"/>
      <c r="L819" s="65"/>
      <c r="M819" s="111"/>
      <c r="N819" s="65"/>
      <c r="O819" s="65"/>
      <c r="P819" s="65"/>
    </row>
    <row r="820">
      <c r="A820" s="61"/>
      <c r="B820" s="61"/>
      <c r="C820" s="61"/>
      <c r="D820" s="61"/>
      <c r="E820" s="61"/>
      <c r="F820" s="61"/>
      <c r="G820" s="61"/>
      <c r="H820" s="61"/>
      <c r="I820" s="61"/>
      <c r="J820" s="107"/>
      <c r="K820" s="107"/>
      <c r="L820" s="61"/>
      <c r="M820" s="110"/>
      <c r="N820" s="61"/>
      <c r="O820" s="61"/>
      <c r="P820" s="61"/>
    </row>
    <row r="821">
      <c r="A821" s="65"/>
      <c r="B821" s="65"/>
      <c r="C821" s="65"/>
      <c r="D821" s="65"/>
      <c r="E821" s="65"/>
      <c r="F821" s="65"/>
      <c r="G821" s="65"/>
      <c r="H821" s="65"/>
      <c r="I821" s="65"/>
      <c r="J821" s="108"/>
      <c r="K821" s="108"/>
      <c r="L821" s="65"/>
      <c r="M821" s="111"/>
      <c r="N821" s="65"/>
      <c r="O821" s="65"/>
      <c r="P821" s="65"/>
    </row>
    <row r="822">
      <c r="A822" s="61"/>
      <c r="B822" s="61"/>
      <c r="C822" s="61"/>
      <c r="D822" s="61"/>
      <c r="E822" s="61"/>
      <c r="F822" s="61"/>
      <c r="G822" s="61"/>
      <c r="H822" s="61"/>
      <c r="I822" s="61"/>
      <c r="J822" s="107"/>
      <c r="K822" s="107"/>
      <c r="L822" s="61"/>
      <c r="M822" s="110"/>
      <c r="N822" s="61"/>
      <c r="O822" s="61"/>
      <c r="P822" s="61"/>
    </row>
    <row r="823">
      <c r="A823" s="65"/>
      <c r="B823" s="65"/>
      <c r="C823" s="65"/>
      <c r="D823" s="65"/>
      <c r="E823" s="65"/>
      <c r="F823" s="65"/>
      <c r="G823" s="65"/>
      <c r="H823" s="65"/>
      <c r="I823" s="65"/>
      <c r="J823" s="108"/>
      <c r="K823" s="108"/>
      <c r="L823" s="65"/>
      <c r="M823" s="111"/>
      <c r="N823" s="65"/>
      <c r="O823" s="65"/>
      <c r="P823" s="65"/>
    </row>
    <row r="824">
      <c r="A824" s="61"/>
      <c r="B824" s="61"/>
      <c r="C824" s="61"/>
      <c r="D824" s="61"/>
      <c r="E824" s="61"/>
      <c r="F824" s="61"/>
      <c r="G824" s="61"/>
      <c r="H824" s="61"/>
      <c r="I824" s="61"/>
      <c r="J824" s="107"/>
      <c r="K824" s="107"/>
      <c r="L824" s="61"/>
      <c r="M824" s="110"/>
      <c r="N824" s="61"/>
      <c r="O824" s="61"/>
      <c r="P824" s="61"/>
    </row>
    <row r="825">
      <c r="A825" s="65"/>
      <c r="B825" s="65"/>
      <c r="C825" s="65"/>
      <c r="D825" s="65"/>
      <c r="E825" s="65"/>
      <c r="F825" s="65"/>
      <c r="G825" s="65"/>
      <c r="H825" s="65"/>
      <c r="I825" s="65"/>
      <c r="J825" s="108"/>
      <c r="K825" s="108"/>
      <c r="L825" s="65"/>
      <c r="M825" s="111"/>
      <c r="N825" s="65"/>
      <c r="O825" s="65"/>
      <c r="P825" s="65"/>
    </row>
    <row r="826">
      <c r="A826" s="61"/>
      <c r="B826" s="61"/>
      <c r="C826" s="61"/>
      <c r="D826" s="61"/>
      <c r="E826" s="61"/>
      <c r="F826" s="61"/>
      <c r="G826" s="61"/>
      <c r="H826" s="61"/>
      <c r="I826" s="61"/>
      <c r="J826" s="107"/>
      <c r="K826" s="107"/>
      <c r="L826" s="61"/>
      <c r="M826" s="110"/>
      <c r="N826" s="61"/>
      <c r="O826" s="61"/>
      <c r="P826" s="61"/>
    </row>
    <row r="827">
      <c r="A827" s="65"/>
      <c r="B827" s="65"/>
      <c r="C827" s="65"/>
      <c r="D827" s="65"/>
      <c r="E827" s="65"/>
      <c r="F827" s="65"/>
      <c r="G827" s="65"/>
      <c r="H827" s="65"/>
      <c r="I827" s="65"/>
      <c r="J827" s="108"/>
      <c r="K827" s="108"/>
      <c r="L827" s="65"/>
      <c r="M827" s="111"/>
      <c r="N827" s="65"/>
      <c r="O827" s="65"/>
      <c r="P827" s="65"/>
    </row>
    <row r="828">
      <c r="A828" s="61"/>
      <c r="B828" s="61"/>
      <c r="C828" s="61"/>
      <c r="D828" s="61"/>
      <c r="E828" s="61"/>
      <c r="F828" s="61"/>
      <c r="G828" s="61"/>
      <c r="H828" s="61"/>
      <c r="I828" s="61"/>
      <c r="J828" s="107"/>
      <c r="K828" s="107"/>
      <c r="L828" s="61"/>
      <c r="M828" s="110"/>
      <c r="N828" s="61"/>
      <c r="O828" s="61"/>
      <c r="P828" s="61"/>
    </row>
    <row r="829">
      <c r="A829" s="65"/>
      <c r="B829" s="65"/>
      <c r="C829" s="65"/>
      <c r="D829" s="65"/>
      <c r="E829" s="65"/>
      <c r="F829" s="65"/>
      <c r="G829" s="65"/>
      <c r="H829" s="65"/>
      <c r="I829" s="65"/>
      <c r="J829" s="108"/>
      <c r="K829" s="108"/>
      <c r="L829" s="65"/>
      <c r="M829" s="111"/>
      <c r="N829" s="65"/>
      <c r="O829" s="65"/>
      <c r="P829" s="65"/>
    </row>
    <row r="830">
      <c r="A830" s="61"/>
      <c r="B830" s="61"/>
      <c r="C830" s="61"/>
      <c r="D830" s="61"/>
      <c r="E830" s="61"/>
      <c r="F830" s="61"/>
      <c r="G830" s="61"/>
      <c r="H830" s="61"/>
      <c r="I830" s="61"/>
      <c r="J830" s="107"/>
      <c r="K830" s="107"/>
      <c r="L830" s="61"/>
      <c r="M830" s="110"/>
      <c r="N830" s="61"/>
      <c r="O830" s="61"/>
      <c r="P830" s="61"/>
    </row>
    <row r="831">
      <c r="A831" s="65"/>
      <c r="B831" s="65"/>
      <c r="C831" s="65"/>
      <c r="D831" s="65"/>
      <c r="E831" s="65"/>
      <c r="F831" s="65"/>
      <c r="G831" s="65"/>
      <c r="H831" s="65"/>
      <c r="I831" s="65"/>
      <c r="J831" s="108"/>
      <c r="K831" s="108"/>
      <c r="L831" s="65"/>
      <c r="M831" s="111"/>
      <c r="N831" s="65"/>
      <c r="O831" s="65"/>
      <c r="P831" s="65"/>
    </row>
    <row r="832">
      <c r="A832" s="61"/>
      <c r="B832" s="61"/>
      <c r="C832" s="61"/>
      <c r="D832" s="61"/>
      <c r="E832" s="61"/>
      <c r="F832" s="61"/>
      <c r="G832" s="61"/>
      <c r="H832" s="61"/>
      <c r="I832" s="61"/>
      <c r="J832" s="107"/>
      <c r="K832" s="107"/>
      <c r="L832" s="61"/>
      <c r="M832" s="110"/>
      <c r="N832" s="61"/>
      <c r="O832" s="61"/>
      <c r="P832" s="61"/>
    </row>
    <row r="833">
      <c r="A833" s="65"/>
      <c r="B833" s="65"/>
      <c r="C833" s="65"/>
      <c r="D833" s="65"/>
      <c r="E833" s="65"/>
      <c r="F833" s="65"/>
      <c r="G833" s="65"/>
      <c r="H833" s="65"/>
      <c r="I833" s="65"/>
      <c r="J833" s="108"/>
      <c r="K833" s="108"/>
      <c r="L833" s="65"/>
      <c r="M833" s="111"/>
      <c r="N833" s="65"/>
      <c r="O833" s="65"/>
      <c r="P833" s="65"/>
    </row>
    <row r="834">
      <c r="A834" s="61"/>
      <c r="B834" s="61"/>
      <c r="C834" s="61"/>
      <c r="D834" s="61"/>
      <c r="E834" s="61"/>
      <c r="F834" s="61"/>
      <c r="G834" s="61"/>
      <c r="H834" s="61"/>
      <c r="I834" s="61"/>
      <c r="J834" s="107"/>
      <c r="K834" s="107"/>
      <c r="L834" s="61"/>
      <c r="M834" s="110"/>
      <c r="N834" s="61"/>
      <c r="O834" s="61"/>
      <c r="P834" s="61"/>
    </row>
    <row r="835">
      <c r="A835" s="65"/>
      <c r="B835" s="65"/>
      <c r="C835" s="65"/>
      <c r="D835" s="65"/>
      <c r="E835" s="65"/>
      <c r="F835" s="65"/>
      <c r="G835" s="65"/>
      <c r="H835" s="65"/>
      <c r="I835" s="65"/>
      <c r="J835" s="108"/>
      <c r="K835" s="108"/>
      <c r="L835" s="65"/>
      <c r="M835" s="111"/>
      <c r="N835" s="65"/>
      <c r="O835" s="65"/>
      <c r="P835" s="65"/>
    </row>
    <row r="836">
      <c r="A836" s="61"/>
      <c r="B836" s="61"/>
      <c r="C836" s="61"/>
      <c r="D836" s="61"/>
      <c r="E836" s="61"/>
      <c r="F836" s="61"/>
      <c r="G836" s="61"/>
      <c r="H836" s="61"/>
      <c r="I836" s="61"/>
      <c r="J836" s="107"/>
      <c r="K836" s="107"/>
      <c r="L836" s="61"/>
      <c r="M836" s="110"/>
      <c r="N836" s="61"/>
      <c r="O836" s="61"/>
      <c r="P836" s="61"/>
    </row>
    <row r="837">
      <c r="A837" s="65"/>
      <c r="B837" s="65"/>
      <c r="C837" s="65"/>
      <c r="D837" s="65"/>
      <c r="E837" s="65"/>
      <c r="F837" s="65"/>
      <c r="G837" s="65"/>
      <c r="H837" s="65"/>
      <c r="I837" s="65"/>
      <c r="J837" s="108"/>
      <c r="K837" s="108"/>
      <c r="L837" s="65"/>
      <c r="M837" s="111"/>
      <c r="N837" s="65"/>
      <c r="O837" s="65"/>
      <c r="P837" s="65"/>
    </row>
    <row r="838">
      <c r="A838" s="61"/>
      <c r="B838" s="61"/>
      <c r="C838" s="61"/>
      <c r="D838" s="61"/>
      <c r="E838" s="61"/>
      <c r="F838" s="61"/>
      <c r="G838" s="61"/>
      <c r="H838" s="61"/>
      <c r="I838" s="61"/>
      <c r="J838" s="107"/>
      <c r="K838" s="107"/>
      <c r="L838" s="61"/>
      <c r="M838" s="110"/>
      <c r="N838" s="61"/>
      <c r="O838" s="61"/>
      <c r="P838" s="61"/>
    </row>
    <row r="839">
      <c r="A839" s="65"/>
      <c r="B839" s="65"/>
      <c r="C839" s="65"/>
      <c r="D839" s="65"/>
      <c r="E839" s="65"/>
      <c r="F839" s="65"/>
      <c r="G839" s="65"/>
      <c r="H839" s="65"/>
      <c r="I839" s="65"/>
      <c r="J839" s="108"/>
      <c r="K839" s="108"/>
      <c r="L839" s="65"/>
      <c r="M839" s="111"/>
      <c r="N839" s="65"/>
      <c r="O839" s="65"/>
      <c r="P839" s="65"/>
    </row>
    <row r="840">
      <c r="A840" s="61"/>
      <c r="B840" s="61"/>
      <c r="C840" s="61"/>
      <c r="D840" s="61"/>
      <c r="E840" s="61"/>
      <c r="F840" s="61"/>
      <c r="G840" s="61"/>
      <c r="H840" s="61"/>
      <c r="I840" s="61"/>
      <c r="J840" s="107"/>
      <c r="K840" s="107"/>
      <c r="L840" s="61"/>
      <c r="M840" s="110"/>
      <c r="N840" s="61"/>
      <c r="O840" s="61"/>
      <c r="P840" s="61"/>
    </row>
    <row r="841">
      <c r="A841" s="65"/>
      <c r="B841" s="65"/>
      <c r="C841" s="65"/>
      <c r="D841" s="65"/>
      <c r="E841" s="65"/>
      <c r="F841" s="65"/>
      <c r="G841" s="65"/>
      <c r="H841" s="65"/>
      <c r="I841" s="65"/>
      <c r="J841" s="108"/>
      <c r="K841" s="108"/>
      <c r="L841" s="65"/>
      <c r="M841" s="111"/>
      <c r="N841" s="65"/>
      <c r="O841" s="65"/>
      <c r="P841" s="65"/>
    </row>
    <row r="842">
      <c r="A842" s="61"/>
      <c r="B842" s="61"/>
      <c r="C842" s="61"/>
      <c r="D842" s="61"/>
      <c r="E842" s="61"/>
      <c r="F842" s="61"/>
      <c r="G842" s="61"/>
      <c r="H842" s="61"/>
      <c r="I842" s="61"/>
      <c r="J842" s="107"/>
      <c r="K842" s="107"/>
      <c r="L842" s="61"/>
      <c r="M842" s="110"/>
      <c r="N842" s="61"/>
      <c r="O842" s="61"/>
      <c r="P842" s="61"/>
    </row>
    <row r="843">
      <c r="A843" s="65"/>
      <c r="B843" s="65"/>
      <c r="C843" s="65"/>
      <c r="D843" s="65"/>
      <c r="E843" s="65"/>
      <c r="F843" s="65"/>
      <c r="G843" s="65"/>
      <c r="H843" s="65"/>
      <c r="I843" s="65"/>
      <c r="J843" s="108"/>
      <c r="K843" s="108"/>
      <c r="L843" s="65"/>
      <c r="M843" s="111"/>
      <c r="N843" s="65"/>
      <c r="O843" s="65"/>
      <c r="P843" s="65"/>
    </row>
    <row r="844">
      <c r="A844" s="61"/>
      <c r="B844" s="61"/>
      <c r="C844" s="61"/>
      <c r="D844" s="61"/>
      <c r="E844" s="61"/>
      <c r="F844" s="61"/>
      <c r="G844" s="61"/>
      <c r="H844" s="61"/>
      <c r="I844" s="61"/>
      <c r="J844" s="107"/>
      <c r="K844" s="107"/>
      <c r="L844" s="61"/>
      <c r="M844" s="110"/>
      <c r="N844" s="61"/>
      <c r="O844" s="61"/>
      <c r="P844" s="61"/>
    </row>
    <row r="845">
      <c r="A845" s="65"/>
      <c r="B845" s="65"/>
      <c r="C845" s="65"/>
      <c r="D845" s="65"/>
      <c r="E845" s="65"/>
      <c r="F845" s="65"/>
      <c r="G845" s="65"/>
      <c r="H845" s="65"/>
      <c r="I845" s="65"/>
      <c r="J845" s="108"/>
      <c r="K845" s="108"/>
      <c r="L845" s="65"/>
      <c r="M845" s="111"/>
      <c r="N845" s="65"/>
      <c r="O845" s="65"/>
      <c r="P845" s="65"/>
    </row>
    <row r="846">
      <c r="A846" s="61"/>
      <c r="B846" s="61"/>
      <c r="C846" s="61"/>
      <c r="D846" s="61"/>
      <c r="E846" s="61"/>
      <c r="F846" s="61"/>
      <c r="G846" s="61"/>
      <c r="H846" s="61"/>
      <c r="I846" s="61"/>
      <c r="J846" s="107"/>
      <c r="K846" s="107"/>
      <c r="L846" s="61"/>
      <c r="M846" s="110"/>
      <c r="N846" s="61"/>
      <c r="O846" s="61"/>
      <c r="P846" s="61"/>
    </row>
    <row r="847">
      <c r="A847" s="65"/>
      <c r="B847" s="65"/>
      <c r="C847" s="65"/>
      <c r="D847" s="65"/>
      <c r="E847" s="65"/>
      <c r="F847" s="65"/>
      <c r="G847" s="65"/>
      <c r="H847" s="65"/>
      <c r="I847" s="65"/>
      <c r="J847" s="108"/>
      <c r="K847" s="108"/>
      <c r="L847" s="65"/>
      <c r="M847" s="111"/>
      <c r="N847" s="65"/>
      <c r="O847" s="65"/>
      <c r="P847" s="65"/>
    </row>
    <row r="848">
      <c r="A848" s="61"/>
      <c r="B848" s="61"/>
      <c r="C848" s="61"/>
      <c r="D848" s="61"/>
      <c r="E848" s="61"/>
      <c r="F848" s="61"/>
      <c r="G848" s="61"/>
      <c r="H848" s="61"/>
      <c r="I848" s="61"/>
      <c r="J848" s="107"/>
      <c r="K848" s="107"/>
      <c r="L848" s="61"/>
      <c r="M848" s="110"/>
      <c r="N848" s="61"/>
      <c r="O848" s="61"/>
      <c r="P848" s="61"/>
    </row>
    <row r="849">
      <c r="A849" s="65"/>
      <c r="B849" s="65"/>
      <c r="C849" s="65"/>
      <c r="D849" s="65"/>
      <c r="E849" s="65"/>
      <c r="F849" s="65"/>
      <c r="G849" s="65"/>
      <c r="H849" s="65"/>
      <c r="I849" s="65"/>
      <c r="J849" s="108"/>
      <c r="K849" s="108"/>
      <c r="L849" s="65"/>
      <c r="M849" s="111"/>
      <c r="N849" s="65"/>
      <c r="O849" s="65"/>
      <c r="P849" s="65"/>
    </row>
    <row r="850">
      <c r="A850" s="61"/>
      <c r="B850" s="61"/>
      <c r="C850" s="61"/>
      <c r="D850" s="61"/>
      <c r="E850" s="61"/>
      <c r="F850" s="61"/>
      <c r="G850" s="61"/>
      <c r="H850" s="61"/>
      <c r="I850" s="61"/>
      <c r="J850" s="107"/>
      <c r="K850" s="107"/>
      <c r="L850" s="61"/>
      <c r="M850" s="110"/>
      <c r="N850" s="61"/>
      <c r="O850" s="61"/>
      <c r="P850" s="61"/>
    </row>
    <row r="851">
      <c r="A851" s="65"/>
      <c r="B851" s="65"/>
      <c r="C851" s="65"/>
      <c r="D851" s="65"/>
      <c r="E851" s="65"/>
      <c r="F851" s="65"/>
      <c r="G851" s="65"/>
      <c r="H851" s="65"/>
      <c r="I851" s="65"/>
      <c r="J851" s="108"/>
      <c r="K851" s="108"/>
      <c r="L851" s="65"/>
      <c r="M851" s="111"/>
      <c r="N851" s="65"/>
      <c r="O851" s="65"/>
      <c r="P851" s="65"/>
    </row>
    <row r="852">
      <c r="A852" s="61"/>
      <c r="B852" s="61"/>
      <c r="C852" s="61"/>
      <c r="D852" s="61"/>
      <c r="E852" s="61"/>
      <c r="F852" s="61"/>
      <c r="G852" s="61"/>
      <c r="H852" s="61"/>
      <c r="I852" s="61"/>
      <c r="J852" s="107"/>
      <c r="K852" s="107"/>
      <c r="L852" s="61"/>
      <c r="M852" s="110"/>
      <c r="N852" s="61"/>
      <c r="O852" s="61"/>
      <c r="P852" s="61"/>
    </row>
    <row r="853">
      <c r="A853" s="65"/>
      <c r="B853" s="65"/>
      <c r="C853" s="65"/>
      <c r="D853" s="65"/>
      <c r="E853" s="65"/>
      <c r="F853" s="65"/>
      <c r="G853" s="65"/>
      <c r="H853" s="65"/>
      <c r="I853" s="65"/>
      <c r="J853" s="108"/>
      <c r="K853" s="108"/>
      <c r="L853" s="65"/>
      <c r="M853" s="111"/>
      <c r="N853" s="65"/>
      <c r="O853" s="65"/>
      <c r="P853" s="65"/>
    </row>
    <row r="854">
      <c r="A854" s="61"/>
      <c r="B854" s="61"/>
      <c r="C854" s="61"/>
      <c r="D854" s="61"/>
      <c r="E854" s="61"/>
      <c r="F854" s="61"/>
      <c r="G854" s="61"/>
      <c r="H854" s="61"/>
      <c r="I854" s="61"/>
      <c r="J854" s="107"/>
      <c r="K854" s="107"/>
      <c r="L854" s="61"/>
      <c r="M854" s="110"/>
      <c r="N854" s="61"/>
      <c r="O854" s="61"/>
      <c r="P854" s="61"/>
    </row>
    <row r="855">
      <c r="A855" s="65"/>
      <c r="B855" s="65"/>
      <c r="C855" s="65"/>
      <c r="D855" s="65"/>
      <c r="E855" s="65"/>
      <c r="F855" s="65"/>
      <c r="G855" s="65"/>
      <c r="H855" s="65"/>
      <c r="I855" s="65"/>
      <c r="J855" s="108"/>
      <c r="K855" s="108"/>
      <c r="L855" s="65"/>
      <c r="M855" s="111"/>
      <c r="N855" s="65"/>
      <c r="O855" s="65"/>
      <c r="P855" s="65"/>
    </row>
    <row r="856">
      <c r="A856" s="61"/>
      <c r="B856" s="61"/>
      <c r="C856" s="61"/>
      <c r="D856" s="61"/>
      <c r="E856" s="61"/>
      <c r="F856" s="61"/>
      <c r="G856" s="61"/>
      <c r="H856" s="61"/>
      <c r="I856" s="61"/>
      <c r="J856" s="107"/>
      <c r="K856" s="107"/>
      <c r="L856" s="61"/>
      <c r="M856" s="110"/>
      <c r="N856" s="61"/>
      <c r="O856" s="61"/>
      <c r="P856" s="61"/>
    </row>
    <row r="857">
      <c r="A857" s="65"/>
      <c r="B857" s="65"/>
      <c r="C857" s="65"/>
      <c r="D857" s="65"/>
      <c r="E857" s="65"/>
      <c r="F857" s="65"/>
      <c r="G857" s="65"/>
      <c r="H857" s="65"/>
      <c r="I857" s="65"/>
      <c r="J857" s="108"/>
      <c r="K857" s="108"/>
      <c r="L857" s="65"/>
      <c r="M857" s="111"/>
      <c r="N857" s="65"/>
      <c r="O857" s="65"/>
      <c r="P857" s="65"/>
    </row>
    <row r="858">
      <c r="A858" s="61"/>
      <c r="B858" s="61"/>
      <c r="C858" s="61"/>
      <c r="D858" s="61"/>
      <c r="E858" s="61"/>
      <c r="F858" s="61"/>
      <c r="G858" s="61"/>
      <c r="H858" s="61"/>
      <c r="I858" s="61"/>
      <c r="J858" s="107"/>
      <c r="K858" s="107"/>
      <c r="L858" s="61"/>
      <c r="M858" s="110"/>
      <c r="N858" s="61"/>
      <c r="O858" s="61"/>
      <c r="P858" s="61"/>
    </row>
    <row r="859">
      <c r="A859" s="65"/>
      <c r="B859" s="65"/>
      <c r="C859" s="65"/>
      <c r="D859" s="65"/>
      <c r="E859" s="65"/>
      <c r="F859" s="65"/>
      <c r="G859" s="65"/>
      <c r="H859" s="65"/>
      <c r="I859" s="65"/>
      <c r="J859" s="108"/>
      <c r="K859" s="108"/>
      <c r="L859" s="65"/>
      <c r="M859" s="111"/>
      <c r="N859" s="65"/>
      <c r="O859" s="65"/>
      <c r="P859" s="65"/>
    </row>
    <row r="860">
      <c r="A860" s="61"/>
      <c r="B860" s="61"/>
      <c r="C860" s="61"/>
      <c r="D860" s="61"/>
      <c r="E860" s="61"/>
      <c r="F860" s="61"/>
      <c r="G860" s="61"/>
      <c r="H860" s="61"/>
      <c r="I860" s="61"/>
      <c r="J860" s="107"/>
      <c r="K860" s="107"/>
      <c r="L860" s="61"/>
      <c r="M860" s="110"/>
      <c r="N860" s="61"/>
      <c r="O860" s="61"/>
      <c r="P860" s="61"/>
    </row>
    <row r="861">
      <c r="A861" s="65"/>
      <c r="B861" s="65"/>
      <c r="C861" s="65"/>
      <c r="D861" s="65"/>
      <c r="E861" s="65"/>
      <c r="F861" s="65"/>
      <c r="G861" s="65"/>
      <c r="H861" s="65"/>
      <c r="I861" s="65"/>
      <c r="J861" s="108"/>
      <c r="K861" s="108"/>
      <c r="L861" s="65"/>
      <c r="M861" s="111"/>
      <c r="N861" s="65"/>
      <c r="O861" s="65"/>
      <c r="P861" s="65"/>
    </row>
    <row r="862">
      <c r="A862" s="61"/>
      <c r="B862" s="61"/>
      <c r="C862" s="61"/>
      <c r="D862" s="61"/>
      <c r="E862" s="61"/>
      <c r="F862" s="61"/>
      <c r="G862" s="61"/>
      <c r="H862" s="61"/>
      <c r="I862" s="61"/>
      <c r="J862" s="107"/>
      <c r="K862" s="107"/>
      <c r="L862" s="61"/>
      <c r="M862" s="110"/>
      <c r="N862" s="61"/>
      <c r="O862" s="61"/>
      <c r="P862" s="61"/>
    </row>
    <row r="863">
      <c r="A863" s="65"/>
      <c r="B863" s="65"/>
      <c r="C863" s="65"/>
      <c r="D863" s="65"/>
      <c r="E863" s="65"/>
      <c r="F863" s="65"/>
      <c r="G863" s="65"/>
      <c r="H863" s="65"/>
      <c r="I863" s="65"/>
      <c r="J863" s="108"/>
      <c r="K863" s="108"/>
      <c r="L863" s="65"/>
      <c r="M863" s="111"/>
      <c r="N863" s="65"/>
      <c r="O863" s="65"/>
      <c r="P863" s="65"/>
    </row>
    <row r="864">
      <c r="A864" s="61"/>
      <c r="B864" s="61"/>
      <c r="C864" s="61"/>
      <c r="D864" s="61"/>
      <c r="E864" s="61"/>
      <c r="F864" s="61"/>
      <c r="G864" s="61"/>
      <c r="H864" s="61"/>
      <c r="I864" s="61"/>
      <c r="J864" s="107"/>
      <c r="K864" s="107"/>
      <c r="L864" s="61"/>
      <c r="M864" s="110"/>
      <c r="N864" s="61"/>
      <c r="O864" s="61"/>
      <c r="P864" s="61"/>
    </row>
    <row r="865">
      <c r="A865" s="65"/>
      <c r="B865" s="65"/>
      <c r="C865" s="65"/>
      <c r="D865" s="65"/>
      <c r="E865" s="65"/>
      <c r="F865" s="65"/>
      <c r="G865" s="65"/>
      <c r="H865" s="65"/>
      <c r="I865" s="65"/>
      <c r="J865" s="108"/>
      <c r="K865" s="108"/>
      <c r="L865" s="65"/>
      <c r="M865" s="111"/>
      <c r="N865" s="65"/>
      <c r="O865" s="65"/>
      <c r="P865" s="65"/>
    </row>
    <row r="866">
      <c r="A866" s="61"/>
      <c r="B866" s="61"/>
      <c r="C866" s="61"/>
      <c r="D866" s="61"/>
      <c r="E866" s="61"/>
      <c r="F866" s="61"/>
      <c r="G866" s="61"/>
      <c r="H866" s="61"/>
      <c r="I866" s="61"/>
      <c r="J866" s="107"/>
      <c r="K866" s="107"/>
      <c r="L866" s="61"/>
      <c r="M866" s="110"/>
      <c r="N866" s="61"/>
      <c r="O866" s="61"/>
      <c r="P866" s="61"/>
    </row>
    <row r="867">
      <c r="A867" s="65"/>
      <c r="B867" s="65"/>
      <c r="C867" s="65"/>
      <c r="D867" s="65"/>
      <c r="E867" s="65"/>
      <c r="F867" s="65"/>
      <c r="G867" s="65"/>
      <c r="H867" s="65"/>
      <c r="I867" s="65"/>
      <c r="J867" s="108"/>
      <c r="K867" s="108"/>
      <c r="L867" s="65"/>
      <c r="M867" s="111"/>
      <c r="N867" s="65"/>
      <c r="O867" s="65"/>
      <c r="P867" s="65"/>
    </row>
    <row r="868">
      <c r="A868" s="61"/>
      <c r="B868" s="61"/>
      <c r="C868" s="61"/>
      <c r="D868" s="61"/>
      <c r="E868" s="61"/>
      <c r="F868" s="61"/>
      <c r="G868" s="61"/>
      <c r="H868" s="61"/>
      <c r="I868" s="61"/>
      <c r="J868" s="107"/>
      <c r="K868" s="107"/>
      <c r="L868" s="61"/>
      <c r="M868" s="110"/>
      <c r="N868" s="61"/>
      <c r="O868" s="61"/>
      <c r="P868" s="61"/>
    </row>
    <row r="869">
      <c r="A869" s="65"/>
      <c r="B869" s="65"/>
      <c r="C869" s="65"/>
      <c r="D869" s="65"/>
      <c r="E869" s="65"/>
      <c r="F869" s="65"/>
      <c r="G869" s="65"/>
      <c r="H869" s="65"/>
      <c r="I869" s="65"/>
      <c r="J869" s="108"/>
      <c r="K869" s="108"/>
      <c r="L869" s="65"/>
      <c r="M869" s="111"/>
      <c r="N869" s="65"/>
      <c r="O869" s="65"/>
      <c r="P869" s="65"/>
    </row>
    <row r="870">
      <c r="A870" s="61"/>
      <c r="B870" s="61"/>
      <c r="C870" s="61"/>
      <c r="D870" s="61"/>
      <c r="E870" s="61"/>
      <c r="F870" s="61"/>
      <c r="G870" s="61"/>
      <c r="H870" s="61"/>
      <c r="I870" s="61"/>
      <c r="J870" s="107"/>
      <c r="K870" s="107"/>
      <c r="L870" s="61"/>
      <c r="M870" s="110"/>
      <c r="N870" s="61"/>
      <c r="O870" s="61"/>
      <c r="P870" s="61"/>
    </row>
    <row r="871">
      <c r="A871" s="65"/>
      <c r="B871" s="65"/>
      <c r="C871" s="65"/>
      <c r="D871" s="65"/>
      <c r="E871" s="65"/>
      <c r="F871" s="65"/>
      <c r="G871" s="65"/>
      <c r="H871" s="65"/>
      <c r="I871" s="65"/>
      <c r="J871" s="108"/>
      <c r="K871" s="108"/>
      <c r="L871" s="65"/>
      <c r="M871" s="111"/>
      <c r="N871" s="65"/>
      <c r="O871" s="65"/>
      <c r="P871" s="65"/>
    </row>
    <row r="872">
      <c r="A872" s="61"/>
      <c r="B872" s="61"/>
      <c r="C872" s="61"/>
      <c r="D872" s="61"/>
      <c r="E872" s="61"/>
      <c r="F872" s="61"/>
      <c r="G872" s="61"/>
      <c r="H872" s="61"/>
      <c r="I872" s="61"/>
      <c r="J872" s="107"/>
      <c r="K872" s="107"/>
      <c r="L872" s="61"/>
      <c r="M872" s="110"/>
      <c r="N872" s="61"/>
      <c r="O872" s="61"/>
      <c r="P872" s="61"/>
    </row>
    <row r="873">
      <c r="A873" s="65"/>
      <c r="B873" s="65"/>
      <c r="C873" s="65"/>
      <c r="D873" s="65"/>
      <c r="E873" s="65"/>
      <c r="F873" s="65"/>
      <c r="G873" s="65"/>
      <c r="H873" s="65"/>
      <c r="I873" s="65"/>
      <c r="J873" s="108"/>
      <c r="K873" s="108"/>
      <c r="L873" s="65"/>
      <c r="M873" s="111"/>
      <c r="N873" s="65"/>
      <c r="O873" s="65"/>
      <c r="P873" s="65"/>
    </row>
    <row r="874">
      <c r="A874" s="61"/>
      <c r="B874" s="61"/>
      <c r="C874" s="61"/>
      <c r="D874" s="61"/>
      <c r="E874" s="61"/>
      <c r="F874" s="61"/>
      <c r="G874" s="61"/>
      <c r="H874" s="61"/>
      <c r="I874" s="61"/>
      <c r="J874" s="107"/>
      <c r="K874" s="107"/>
      <c r="L874" s="61"/>
      <c r="M874" s="110"/>
      <c r="N874" s="61"/>
      <c r="O874" s="61"/>
      <c r="P874" s="61"/>
    </row>
    <row r="875">
      <c r="A875" s="65"/>
      <c r="B875" s="65"/>
      <c r="C875" s="65"/>
      <c r="D875" s="65"/>
      <c r="E875" s="65"/>
      <c r="F875" s="65"/>
      <c r="G875" s="65"/>
      <c r="H875" s="65"/>
      <c r="I875" s="65"/>
      <c r="J875" s="108"/>
      <c r="K875" s="108"/>
      <c r="L875" s="65"/>
      <c r="M875" s="111"/>
      <c r="N875" s="65"/>
      <c r="O875" s="65"/>
      <c r="P875" s="65"/>
    </row>
    <row r="876">
      <c r="A876" s="61"/>
      <c r="B876" s="61"/>
      <c r="C876" s="61"/>
      <c r="D876" s="61"/>
      <c r="E876" s="61"/>
      <c r="F876" s="61"/>
      <c r="G876" s="61"/>
      <c r="H876" s="61"/>
      <c r="I876" s="61"/>
      <c r="J876" s="107"/>
      <c r="K876" s="107"/>
      <c r="L876" s="61"/>
      <c r="M876" s="110"/>
      <c r="N876" s="61"/>
      <c r="O876" s="61"/>
      <c r="P876" s="61"/>
    </row>
    <row r="877">
      <c r="A877" s="65"/>
      <c r="B877" s="65"/>
      <c r="C877" s="65"/>
      <c r="D877" s="65"/>
      <c r="E877" s="65"/>
      <c r="F877" s="65"/>
      <c r="G877" s="65"/>
      <c r="H877" s="65"/>
      <c r="I877" s="65"/>
      <c r="J877" s="108"/>
      <c r="K877" s="108"/>
      <c r="L877" s="65"/>
      <c r="M877" s="111"/>
      <c r="N877" s="65"/>
      <c r="O877" s="65"/>
      <c r="P877" s="65"/>
    </row>
    <row r="878">
      <c r="A878" s="61"/>
      <c r="B878" s="61"/>
      <c r="C878" s="61"/>
      <c r="D878" s="61"/>
      <c r="E878" s="61"/>
      <c r="F878" s="61"/>
      <c r="G878" s="61"/>
      <c r="H878" s="61"/>
      <c r="I878" s="61"/>
      <c r="J878" s="107"/>
      <c r="K878" s="107"/>
      <c r="L878" s="61"/>
      <c r="M878" s="110"/>
      <c r="N878" s="61"/>
      <c r="O878" s="61"/>
      <c r="P878" s="61"/>
    </row>
    <row r="879">
      <c r="A879" s="65"/>
      <c r="B879" s="65"/>
      <c r="C879" s="65"/>
      <c r="D879" s="65"/>
      <c r="E879" s="65"/>
      <c r="F879" s="65"/>
      <c r="G879" s="65"/>
      <c r="H879" s="65"/>
      <c r="I879" s="65"/>
      <c r="J879" s="108"/>
      <c r="K879" s="108"/>
      <c r="L879" s="65"/>
      <c r="M879" s="111"/>
      <c r="N879" s="65"/>
      <c r="O879" s="65"/>
      <c r="P879" s="65"/>
    </row>
    <row r="880">
      <c r="A880" s="61"/>
      <c r="B880" s="61"/>
      <c r="C880" s="61"/>
      <c r="D880" s="61"/>
      <c r="E880" s="61"/>
      <c r="F880" s="61"/>
      <c r="G880" s="61"/>
      <c r="H880" s="61"/>
      <c r="I880" s="61"/>
      <c r="J880" s="107"/>
      <c r="K880" s="107"/>
      <c r="L880" s="61"/>
      <c r="M880" s="110"/>
      <c r="N880" s="61"/>
      <c r="O880" s="61"/>
      <c r="P880" s="61"/>
    </row>
    <row r="881">
      <c r="A881" s="65"/>
      <c r="B881" s="65"/>
      <c r="C881" s="65"/>
      <c r="D881" s="65"/>
      <c r="E881" s="65"/>
      <c r="F881" s="65"/>
      <c r="G881" s="65"/>
      <c r="H881" s="65"/>
      <c r="I881" s="65"/>
      <c r="J881" s="108"/>
      <c r="K881" s="108"/>
      <c r="L881" s="65"/>
      <c r="M881" s="111"/>
      <c r="N881" s="65"/>
      <c r="O881" s="65"/>
      <c r="P881" s="65"/>
    </row>
    <row r="882">
      <c r="A882" s="61"/>
      <c r="B882" s="61"/>
      <c r="C882" s="61"/>
      <c r="D882" s="61"/>
      <c r="E882" s="61"/>
      <c r="F882" s="61"/>
      <c r="G882" s="61"/>
      <c r="H882" s="61"/>
      <c r="I882" s="61"/>
      <c r="J882" s="107"/>
      <c r="K882" s="107"/>
      <c r="L882" s="61"/>
      <c r="M882" s="110"/>
      <c r="N882" s="61"/>
      <c r="O882" s="61"/>
      <c r="P882" s="61"/>
    </row>
    <row r="883">
      <c r="A883" s="65"/>
      <c r="B883" s="65"/>
      <c r="C883" s="65"/>
      <c r="D883" s="65"/>
      <c r="E883" s="65"/>
      <c r="F883" s="65"/>
      <c r="G883" s="65"/>
      <c r="H883" s="65"/>
      <c r="I883" s="65"/>
      <c r="J883" s="108"/>
      <c r="K883" s="108"/>
      <c r="L883" s="65"/>
      <c r="M883" s="111"/>
      <c r="N883" s="65"/>
      <c r="O883" s="65"/>
      <c r="P883" s="65"/>
    </row>
    <row r="884">
      <c r="A884" s="61"/>
      <c r="B884" s="61"/>
      <c r="C884" s="61"/>
      <c r="D884" s="61"/>
      <c r="E884" s="61"/>
      <c r="F884" s="61"/>
      <c r="G884" s="61"/>
      <c r="H884" s="61"/>
      <c r="I884" s="61"/>
      <c r="J884" s="107"/>
      <c r="K884" s="107"/>
      <c r="L884" s="61"/>
      <c r="M884" s="110"/>
      <c r="N884" s="61"/>
      <c r="O884" s="61"/>
      <c r="P884" s="61"/>
    </row>
    <row r="885">
      <c r="A885" s="65"/>
      <c r="B885" s="65"/>
      <c r="C885" s="65"/>
      <c r="D885" s="65"/>
      <c r="E885" s="65"/>
      <c r="F885" s="65"/>
      <c r="G885" s="65"/>
      <c r="H885" s="65"/>
      <c r="I885" s="65"/>
      <c r="J885" s="108"/>
      <c r="K885" s="108"/>
      <c r="L885" s="65"/>
      <c r="M885" s="111"/>
      <c r="N885" s="65"/>
      <c r="O885" s="65"/>
      <c r="P885" s="65"/>
    </row>
    <row r="886">
      <c r="A886" s="61"/>
      <c r="B886" s="61"/>
      <c r="C886" s="61"/>
      <c r="D886" s="61"/>
      <c r="E886" s="61"/>
      <c r="F886" s="61"/>
      <c r="G886" s="61"/>
      <c r="H886" s="61"/>
      <c r="I886" s="61"/>
      <c r="J886" s="107"/>
      <c r="K886" s="107"/>
      <c r="L886" s="61"/>
      <c r="M886" s="110"/>
      <c r="N886" s="61"/>
      <c r="O886" s="61"/>
      <c r="P886" s="61"/>
    </row>
    <row r="887">
      <c r="A887" s="65"/>
      <c r="B887" s="65"/>
      <c r="C887" s="65"/>
      <c r="D887" s="65"/>
      <c r="E887" s="65"/>
      <c r="F887" s="65"/>
      <c r="G887" s="65"/>
      <c r="H887" s="65"/>
      <c r="I887" s="65"/>
      <c r="J887" s="108"/>
      <c r="K887" s="108"/>
      <c r="L887" s="65"/>
      <c r="M887" s="111"/>
      <c r="N887" s="65"/>
      <c r="O887" s="65"/>
      <c r="P887" s="65"/>
    </row>
    <row r="888">
      <c r="A888" s="61"/>
      <c r="B888" s="61"/>
      <c r="C888" s="61"/>
      <c r="D888" s="61"/>
      <c r="E888" s="61"/>
      <c r="F888" s="61"/>
      <c r="G888" s="61"/>
      <c r="H888" s="61"/>
      <c r="I888" s="61"/>
      <c r="J888" s="107"/>
      <c r="K888" s="107"/>
      <c r="L888" s="61"/>
      <c r="M888" s="110"/>
      <c r="N888" s="61"/>
      <c r="O888" s="61"/>
      <c r="P888" s="61"/>
    </row>
    <row r="889">
      <c r="A889" s="65"/>
      <c r="B889" s="65"/>
      <c r="C889" s="65"/>
      <c r="D889" s="65"/>
      <c r="E889" s="65"/>
      <c r="F889" s="65"/>
      <c r="G889" s="65"/>
      <c r="H889" s="65"/>
      <c r="I889" s="65"/>
      <c r="J889" s="108"/>
      <c r="K889" s="108"/>
      <c r="L889" s="65"/>
      <c r="M889" s="111"/>
      <c r="N889" s="65"/>
      <c r="O889" s="65"/>
      <c r="P889" s="65"/>
    </row>
    <row r="890">
      <c r="A890" s="61"/>
      <c r="B890" s="61"/>
      <c r="C890" s="61"/>
      <c r="D890" s="61"/>
      <c r="E890" s="61"/>
      <c r="F890" s="61"/>
      <c r="G890" s="61"/>
      <c r="H890" s="61"/>
      <c r="I890" s="61"/>
      <c r="J890" s="107"/>
      <c r="K890" s="107"/>
      <c r="L890" s="61"/>
      <c r="M890" s="110"/>
      <c r="N890" s="61"/>
      <c r="O890" s="61"/>
      <c r="P890" s="61"/>
    </row>
    <row r="891">
      <c r="A891" s="65"/>
      <c r="B891" s="65"/>
      <c r="C891" s="65"/>
      <c r="D891" s="65"/>
      <c r="E891" s="65"/>
      <c r="F891" s="65"/>
      <c r="G891" s="65"/>
      <c r="H891" s="65"/>
      <c r="I891" s="65"/>
      <c r="J891" s="108"/>
      <c r="K891" s="108"/>
      <c r="L891" s="65"/>
      <c r="M891" s="111"/>
      <c r="N891" s="65"/>
      <c r="O891" s="65"/>
      <c r="P891" s="65"/>
    </row>
    <row r="892">
      <c r="A892" s="61"/>
      <c r="B892" s="61"/>
      <c r="C892" s="61"/>
      <c r="D892" s="61"/>
      <c r="E892" s="61"/>
      <c r="F892" s="61"/>
      <c r="G892" s="61"/>
      <c r="H892" s="61"/>
      <c r="I892" s="61"/>
      <c r="J892" s="107"/>
      <c r="K892" s="107"/>
      <c r="L892" s="61"/>
      <c r="M892" s="110"/>
      <c r="N892" s="61"/>
      <c r="O892" s="61"/>
      <c r="P892" s="61"/>
    </row>
    <row r="893">
      <c r="A893" s="65"/>
      <c r="B893" s="65"/>
      <c r="C893" s="65"/>
      <c r="D893" s="65"/>
      <c r="E893" s="65"/>
      <c r="F893" s="65"/>
      <c r="G893" s="65"/>
      <c r="H893" s="65"/>
      <c r="I893" s="65"/>
      <c r="J893" s="108"/>
      <c r="K893" s="108"/>
      <c r="L893" s="65"/>
      <c r="M893" s="111"/>
      <c r="N893" s="65"/>
      <c r="O893" s="65"/>
      <c r="P893" s="65"/>
    </row>
    <row r="894">
      <c r="A894" s="61"/>
      <c r="B894" s="61"/>
      <c r="C894" s="61"/>
      <c r="D894" s="61"/>
      <c r="E894" s="61"/>
      <c r="F894" s="61"/>
      <c r="G894" s="61"/>
      <c r="H894" s="61"/>
      <c r="I894" s="61"/>
      <c r="J894" s="107"/>
      <c r="K894" s="107"/>
      <c r="L894" s="61"/>
      <c r="M894" s="110"/>
      <c r="N894" s="61"/>
      <c r="O894" s="61"/>
      <c r="P894" s="61"/>
    </row>
    <row r="895">
      <c r="A895" s="65"/>
      <c r="B895" s="65"/>
      <c r="C895" s="65"/>
      <c r="D895" s="65"/>
      <c r="E895" s="65"/>
      <c r="F895" s="65"/>
      <c r="G895" s="65"/>
      <c r="H895" s="65"/>
      <c r="I895" s="65"/>
      <c r="J895" s="108"/>
      <c r="K895" s="108"/>
      <c r="L895" s="65"/>
      <c r="M895" s="111"/>
      <c r="N895" s="65"/>
      <c r="O895" s="65"/>
      <c r="P895" s="65"/>
    </row>
    <row r="896">
      <c r="A896" s="61"/>
      <c r="B896" s="61"/>
      <c r="C896" s="61"/>
      <c r="D896" s="61"/>
      <c r="E896" s="61"/>
      <c r="F896" s="61"/>
      <c r="G896" s="61"/>
      <c r="H896" s="61"/>
      <c r="I896" s="61"/>
      <c r="J896" s="107"/>
      <c r="K896" s="107"/>
      <c r="L896" s="61"/>
      <c r="M896" s="110"/>
      <c r="N896" s="61"/>
      <c r="O896" s="61"/>
      <c r="P896" s="61"/>
    </row>
    <row r="897">
      <c r="A897" s="65"/>
      <c r="B897" s="65"/>
      <c r="C897" s="65"/>
      <c r="D897" s="65"/>
      <c r="E897" s="65"/>
      <c r="F897" s="65"/>
      <c r="G897" s="65"/>
      <c r="H897" s="65"/>
      <c r="I897" s="65"/>
      <c r="J897" s="108"/>
      <c r="K897" s="108"/>
      <c r="L897" s="65"/>
      <c r="M897" s="111"/>
      <c r="N897" s="65"/>
      <c r="O897" s="65"/>
      <c r="P897" s="65"/>
    </row>
    <row r="898">
      <c r="A898" s="61"/>
      <c r="B898" s="61"/>
      <c r="C898" s="61"/>
      <c r="D898" s="61"/>
      <c r="E898" s="61"/>
      <c r="F898" s="61"/>
      <c r="G898" s="61"/>
      <c r="H898" s="61"/>
      <c r="I898" s="61"/>
      <c r="J898" s="107"/>
      <c r="K898" s="107"/>
      <c r="L898" s="61"/>
      <c r="M898" s="110"/>
      <c r="N898" s="61"/>
      <c r="O898" s="61"/>
      <c r="P898" s="61"/>
    </row>
    <row r="899">
      <c r="A899" s="65"/>
      <c r="B899" s="65"/>
      <c r="C899" s="65"/>
      <c r="D899" s="65"/>
      <c r="E899" s="65"/>
      <c r="F899" s="65"/>
      <c r="G899" s="65"/>
      <c r="H899" s="65"/>
      <c r="I899" s="65"/>
      <c r="J899" s="108"/>
      <c r="K899" s="108"/>
      <c r="L899" s="65"/>
      <c r="M899" s="111"/>
      <c r="N899" s="65"/>
      <c r="O899" s="65"/>
      <c r="P899" s="65"/>
    </row>
    <row r="900">
      <c r="A900" s="61"/>
      <c r="B900" s="61"/>
      <c r="C900" s="61"/>
      <c r="D900" s="61"/>
      <c r="E900" s="61"/>
      <c r="F900" s="61"/>
      <c r="G900" s="61"/>
      <c r="H900" s="61"/>
      <c r="I900" s="61"/>
      <c r="J900" s="107"/>
      <c r="K900" s="107"/>
      <c r="L900" s="61"/>
      <c r="M900" s="110"/>
      <c r="N900" s="61"/>
      <c r="O900" s="61"/>
      <c r="P900" s="61"/>
    </row>
    <row r="901">
      <c r="A901" s="65"/>
      <c r="B901" s="65"/>
      <c r="C901" s="65"/>
      <c r="D901" s="65"/>
      <c r="E901" s="65"/>
      <c r="F901" s="65"/>
      <c r="G901" s="65"/>
      <c r="H901" s="65"/>
      <c r="I901" s="65"/>
      <c r="J901" s="108"/>
      <c r="K901" s="108"/>
      <c r="L901" s="65"/>
      <c r="M901" s="111"/>
      <c r="N901" s="65"/>
      <c r="O901" s="65"/>
      <c r="P901" s="65"/>
    </row>
    <row r="902">
      <c r="A902" s="61"/>
      <c r="B902" s="61"/>
      <c r="C902" s="61"/>
      <c r="D902" s="61"/>
      <c r="E902" s="61"/>
      <c r="F902" s="61"/>
      <c r="G902" s="61"/>
      <c r="H902" s="61"/>
      <c r="I902" s="61"/>
      <c r="J902" s="107"/>
      <c r="K902" s="107"/>
      <c r="L902" s="61"/>
      <c r="M902" s="110"/>
      <c r="N902" s="61"/>
      <c r="O902" s="61"/>
      <c r="P902" s="61"/>
    </row>
    <row r="903">
      <c r="A903" s="65"/>
      <c r="B903" s="65"/>
      <c r="C903" s="65"/>
      <c r="D903" s="65"/>
      <c r="E903" s="65"/>
      <c r="F903" s="65"/>
      <c r="G903" s="65"/>
      <c r="H903" s="65"/>
      <c r="I903" s="65"/>
      <c r="J903" s="108"/>
      <c r="K903" s="108"/>
      <c r="L903" s="65"/>
      <c r="M903" s="111"/>
      <c r="N903" s="65"/>
      <c r="O903" s="65"/>
      <c r="P903" s="65"/>
    </row>
    <row r="904">
      <c r="A904" s="61"/>
      <c r="B904" s="61"/>
      <c r="C904" s="61"/>
      <c r="D904" s="61"/>
      <c r="E904" s="61"/>
      <c r="F904" s="61"/>
      <c r="G904" s="61"/>
      <c r="H904" s="61"/>
      <c r="I904" s="61"/>
      <c r="J904" s="107"/>
      <c r="K904" s="107"/>
      <c r="L904" s="61"/>
      <c r="M904" s="110"/>
      <c r="N904" s="61"/>
      <c r="O904" s="61"/>
      <c r="P904" s="61"/>
    </row>
    <row r="905">
      <c r="A905" s="65"/>
      <c r="B905" s="65"/>
      <c r="C905" s="65"/>
      <c r="D905" s="65"/>
      <c r="E905" s="65"/>
      <c r="F905" s="65"/>
      <c r="G905" s="65"/>
      <c r="H905" s="65"/>
      <c r="I905" s="65"/>
      <c r="J905" s="108"/>
      <c r="K905" s="108"/>
      <c r="L905" s="65"/>
      <c r="M905" s="111"/>
      <c r="N905" s="65"/>
      <c r="O905" s="65"/>
      <c r="P905" s="65"/>
    </row>
    <row r="906">
      <c r="A906" s="61"/>
      <c r="B906" s="61"/>
      <c r="C906" s="61"/>
      <c r="D906" s="61"/>
      <c r="E906" s="61"/>
      <c r="F906" s="61"/>
      <c r="G906" s="61"/>
      <c r="H906" s="61"/>
      <c r="I906" s="61"/>
      <c r="J906" s="107"/>
      <c r="K906" s="107"/>
      <c r="L906" s="61"/>
      <c r="M906" s="110"/>
      <c r="N906" s="61"/>
      <c r="O906" s="61"/>
      <c r="P906" s="61"/>
    </row>
    <row r="907">
      <c r="A907" s="65"/>
      <c r="B907" s="65"/>
      <c r="C907" s="65"/>
      <c r="D907" s="65"/>
      <c r="E907" s="65"/>
      <c r="F907" s="65"/>
      <c r="G907" s="65"/>
      <c r="H907" s="65"/>
      <c r="I907" s="65"/>
      <c r="J907" s="108"/>
      <c r="K907" s="108"/>
      <c r="L907" s="65"/>
      <c r="M907" s="111"/>
      <c r="N907" s="65"/>
      <c r="O907" s="65"/>
      <c r="P907" s="65"/>
    </row>
    <row r="908">
      <c r="A908" s="61"/>
      <c r="B908" s="61"/>
      <c r="C908" s="61"/>
      <c r="D908" s="61"/>
      <c r="E908" s="61"/>
      <c r="F908" s="61"/>
      <c r="G908" s="61"/>
      <c r="H908" s="61"/>
      <c r="I908" s="61"/>
      <c r="J908" s="107"/>
      <c r="K908" s="107"/>
      <c r="L908" s="61"/>
      <c r="M908" s="110"/>
      <c r="N908" s="61"/>
      <c r="O908" s="61"/>
      <c r="P908" s="61"/>
    </row>
    <row r="909">
      <c r="A909" s="65"/>
      <c r="B909" s="65"/>
      <c r="C909" s="65"/>
      <c r="D909" s="65"/>
      <c r="E909" s="65"/>
      <c r="F909" s="65"/>
      <c r="G909" s="65"/>
      <c r="H909" s="65"/>
      <c r="I909" s="65"/>
      <c r="J909" s="108"/>
      <c r="K909" s="108"/>
      <c r="L909" s="65"/>
      <c r="M909" s="111"/>
      <c r="N909" s="65"/>
      <c r="O909" s="65"/>
      <c r="P909" s="65"/>
    </row>
    <row r="910">
      <c r="A910" s="61"/>
      <c r="B910" s="61"/>
      <c r="C910" s="61"/>
      <c r="D910" s="61"/>
      <c r="E910" s="61"/>
      <c r="F910" s="61"/>
      <c r="G910" s="61"/>
      <c r="H910" s="61"/>
      <c r="I910" s="61"/>
      <c r="J910" s="107"/>
      <c r="K910" s="107"/>
      <c r="L910" s="61"/>
      <c r="M910" s="110"/>
      <c r="N910" s="61"/>
      <c r="O910" s="61"/>
      <c r="P910" s="61"/>
    </row>
    <row r="911">
      <c r="A911" s="65"/>
      <c r="B911" s="65"/>
      <c r="C911" s="65"/>
      <c r="D911" s="65"/>
      <c r="E911" s="65"/>
      <c r="F911" s="65"/>
      <c r="G911" s="65"/>
      <c r="H911" s="65"/>
      <c r="I911" s="65"/>
      <c r="J911" s="108"/>
      <c r="K911" s="108"/>
      <c r="L911" s="65"/>
      <c r="M911" s="111"/>
      <c r="N911" s="65"/>
      <c r="O911" s="65"/>
      <c r="P911" s="65"/>
    </row>
    <row r="912">
      <c r="A912" s="61"/>
      <c r="B912" s="61"/>
      <c r="C912" s="61"/>
      <c r="D912" s="61"/>
      <c r="E912" s="61"/>
      <c r="F912" s="61"/>
      <c r="G912" s="61"/>
      <c r="H912" s="61"/>
      <c r="I912" s="61"/>
      <c r="J912" s="107"/>
      <c r="K912" s="107"/>
      <c r="L912" s="61"/>
      <c r="M912" s="110"/>
      <c r="N912" s="61"/>
      <c r="O912" s="61"/>
      <c r="P912" s="61"/>
    </row>
    <row r="913">
      <c r="A913" s="65"/>
      <c r="B913" s="65"/>
      <c r="C913" s="65"/>
      <c r="D913" s="65"/>
      <c r="E913" s="65"/>
      <c r="F913" s="65"/>
      <c r="G913" s="65"/>
      <c r="H913" s="65"/>
      <c r="I913" s="65"/>
      <c r="J913" s="108"/>
      <c r="K913" s="108"/>
      <c r="L913" s="65"/>
      <c r="M913" s="111"/>
      <c r="N913" s="65"/>
      <c r="O913" s="65"/>
      <c r="P913" s="65"/>
    </row>
    <row r="914">
      <c r="A914" s="61"/>
      <c r="B914" s="61"/>
      <c r="C914" s="61"/>
      <c r="D914" s="61"/>
      <c r="E914" s="61"/>
      <c r="F914" s="61"/>
      <c r="G914" s="61"/>
      <c r="H914" s="61"/>
      <c r="I914" s="61"/>
      <c r="J914" s="107"/>
      <c r="K914" s="107"/>
      <c r="L914" s="61"/>
      <c r="M914" s="110"/>
      <c r="N914" s="61"/>
      <c r="O914" s="61"/>
      <c r="P914" s="61"/>
    </row>
    <row r="915">
      <c r="A915" s="65"/>
      <c r="B915" s="65"/>
      <c r="C915" s="65"/>
      <c r="D915" s="65"/>
      <c r="E915" s="65"/>
      <c r="F915" s="65"/>
      <c r="G915" s="65"/>
      <c r="H915" s="65"/>
      <c r="I915" s="65"/>
      <c r="J915" s="108"/>
      <c r="K915" s="108"/>
      <c r="L915" s="65"/>
      <c r="M915" s="111"/>
      <c r="N915" s="65"/>
      <c r="O915" s="65"/>
      <c r="P915" s="65"/>
    </row>
    <row r="916">
      <c r="A916" s="61"/>
      <c r="B916" s="61"/>
      <c r="C916" s="61"/>
      <c r="D916" s="61"/>
      <c r="E916" s="61"/>
      <c r="F916" s="61"/>
      <c r="G916" s="61"/>
      <c r="H916" s="61"/>
      <c r="I916" s="61"/>
      <c r="J916" s="107"/>
      <c r="K916" s="107"/>
      <c r="L916" s="61"/>
      <c r="M916" s="110"/>
      <c r="N916" s="61"/>
      <c r="O916" s="61"/>
      <c r="P916" s="61"/>
    </row>
    <row r="917">
      <c r="A917" s="65"/>
      <c r="B917" s="65"/>
      <c r="C917" s="65"/>
      <c r="D917" s="65"/>
      <c r="E917" s="65"/>
      <c r="F917" s="65"/>
      <c r="G917" s="65"/>
      <c r="H917" s="65"/>
      <c r="I917" s="65"/>
      <c r="J917" s="108"/>
      <c r="K917" s="108"/>
      <c r="L917" s="65"/>
      <c r="M917" s="111"/>
      <c r="N917" s="65"/>
      <c r="O917" s="65"/>
      <c r="P917" s="65"/>
    </row>
    <row r="918">
      <c r="A918" s="61"/>
      <c r="B918" s="61"/>
      <c r="C918" s="61"/>
      <c r="D918" s="61"/>
      <c r="E918" s="61"/>
      <c r="F918" s="61"/>
      <c r="G918" s="61"/>
      <c r="H918" s="61"/>
      <c r="I918" s="61"/>
      <c r="J918" s="107"/>
      <c r="K918" s="107"/>
      <c r="L918" s="61"/>
      <c r="M918" s="110"/>
      <c r="N918" s="61"/>
      <c r="O918" s="61"/>
      <c r="P918" s="61"/>
    </row>
    <row r="919">
      <c r="A919" s="65"/>
      <c r="B919" s="65"/>
      <c r="C919" s="65"/>
      <c r="D919" s="65"/>
      <c r="E919" s="65"/>
      <c r="F919" s="65"/>
      <c r="G919" s="65"/>
      <c r="H919" s="65"/>
      <c r="I919" s="65"/>
      <c r="J919" s="108"/>
      <c r="K919" s="108"/>
      <c r="L919" s="65"/>
      <c r="M919" s="111"/>
      <c r="N919" s="65"/>
      <c r="O919" s="65"/>
      <c r="P919" s="65"/>
    </row>
    <row r="920">
      <c r="A920" s="61"/>
      <c r="B920" s="61"/>
      <c r="C920" s="61"/>
      <c r="D920" s="61"/>
      <c r="E920" s="61"/>
      <c r="F920" s="61"/>
      <c r="G920" s="61"/>
      <c r="H920" s="61"/>
      <c r="I920" s="61"/>
      <c r="J920" s="107"/>
      <c r="K920" s="107"/>
      <c r="L920" s="61"/>
      <c r="M920" s="110"/>
      <c r="N920" s="61"/>
      <c r="O920" s="61"/>
      <c r="P920" s="61"/>
    </row>
    <row r="921">
      <c r="A921" s="65"/>
      <c r="B921" s="65"/>
      <c r="C921" s="65"/>
      <c r="D921" s="65"/>
      <c r="E921" s="65"/>
      <c r="F921" s="65"/>
      <c r="G921" s="65"/>
      <c r="H921" s="65"/>
      <c r="I921" s="65"/>
      <c r="J921" s="108"/>
      <c r="K921" s="108"/>
      <c r="L921" s="65"/>
      <c r="M921" s="111"/>
      <c r="N921" s="65"/>
      <c r="O921" s="65"/>
      <c r="P921" s="65"/>
    </row>
    <row r="922">
      <c r="A922" s="61"/>
      <c r="B922" s="61"/>
      <c r="C922" s="61"/>
      <c r="D922" s="61"/>
      <c r="E922" s="61"/>
      <c r="F922" s="61"/>
      <c r="G922" s="61"/>
      <c r="H922" s="61"/>
      <c r="I922" s="61"/>
      <c r="J922" s="107"/>
      <c r="K922" s="107"/>
      <c r="L922" s="61"/>
      <c r="M922" s="110"/>
      <c r="N922" s="61"/>
      <c r="O922" s="61"/>
      <c r="P922" s="61"/>
    </row>
    <row r="923">
      <c r="A923" s="65"/>
      <c r="B923" s="65"/>
      <c r="C923" s="65"/>
      <c r="D923" s="65"/>
      <c r="E923" s="65"/>
      <c r="F923" s="65"/>
      <c r="G923" s="65"/>
      <c r="H923" s="65"/>
      <c r="I923" s="65"/>
      <c r="J923" s="108"/>
      <c r="K923" s="108"/>
      <c r="L923" s="65"/>
      <c r="M923" s="111"/>
      <c r="N923" s="65"/>
      <c r="O923" s="65"/>
      <c r="P923" s="65"/>
    </row>
    <row r="924">
      <c r="A924" s="61"/>
      <c r="B924" s="61"/>
      <c r="C924" s="61"/>
      <c r="D924" s="61"/>
      <c r="E924" s="61"/>
      <c r="F924" s="61"/>
      <c r="G924" s="61"/>
      <c r="H924" s="61"/>
      <c r="I924" s="61"/>
      <c r="J924" s="107"/>
      <c r="K924" s="107"/>
      <c r="L924" s="61"/>
      <c r="M924" s="110"/>
      <c r="N924" s="61"/>
      <c r="O924" s="61"/>
      <c r="P924" s="61"/>
    </row>
    <row r="925">
      <c r="A925" s="65"/>
      <c r="B925" s="65"/>
      <c r="C925" s="65"/>
      <c r="D925" s="65"/>
      <c r="E925" s="65"/>
      <c r="F925" s="65"/>
      <c r="G925" s="65"/>
      <c r="H925" s="65"/>
      <c r="I925" s="65"/>
      <c r="J925" s="108"/>
      <c r="K925" s="108"/>
      <c r="L925" s="65"/>
      <c r="M925" s="111"/>
      <c r="N925" s="65"/>
      <c r="O925" s="65"/>
      <c r="P925" s="65"/>
    </row>
    <row r="926">
      <c r="A926" s="61"/>
      <c r="B926" s="61"/>
      <c r="C926" s="61"/>
      <c r="D926" s="61"/>
      <c r="E926" s="61"/>
      <c r="F926" s="61"/>
      <c r="G926" s="61"/>
      <c r="H926" s="61"/>
      <c r="I926" s="61"/>
      <c r="J926" s="107"/>
      <c r="K926" s="107"/>
      <c r="L926" s="61"/>
      <c r="M926" s="110"/>
      <c r="N926" s="61"/>
      <c r="O926" s="61"/>
      <c r="P926" s="61"/>
    </row>
    <row r="927">
      <c r="A927" s="65"/>
      <c r="B927" s="65"/>
      <c r="C927" s="65"/>
      <c r="D927" s="65"/>
      <c r="E927" s="65"/>
      <c r="F927" s="65"/>
      <c r="G927" s="65"/>
      <c r="H927" s="65"/>
      <c r="I927" s="65"/>
      <c r="J927" s="108"/>
      <c r="K927" s="108"/>
      <c r="L927" s="65"/>
      <c r="M927" s="111"/>
      <c r="N927" s="65"/>
      <c r="O927" s="65"/>
      <c r="P927" s="65"/>
    </row>
    <row r="928">
      <c r="A928" s="61"/>
      <c r="B928" s="61"/>
      <c r="C928" s="61"/>
      <c r="D928" s="61"/>
      <c r="E928" s="61"/>
      <c r="F928" s="61"/>
      <c r="G928" s="61"/>
      <c r="H928" s="61"/>
      <c r="I928" s="61"/>
      <c r="J928" s="107"/>
      <c r="K928" s="107"/>
      <c r="L928" s="61"/>
      <c r="M928" s="110"/>
      <c r="N928" s="61"/>
      <c r="O928" s="61"/>
      <c r="P928" s="61"/>
    </row>
    <row r="929">
      <c r="A929" s="65"/>
      <c r="B929" s="65"/>
      <c r="C929" s="65"/>
      <c r="D929" s="65"/>
      <c r="E929" s="65"/>
      <c r="F929" s="65"/>
      <c r="G929" s="65"/>
      <c r="H929" s="65"/>
      <c r="I929" s="65"/>
      <c r="J929" s="108"/>
      <c r="K929" s="108"/>
      <c r="L929" s="65"/>
      <c r="M929" s="111"/>
      <c r="N929" s="65"/>
      <c r="O929" s="65"/>
      <c r="P929" s="65"/>
    </row>
    <row r="930">
      <c r="A930" s="61"/>
      <c r="B930" s="61"/>
      <c r="C930" s="61"/>
      <c r="D930" s="61"/>
      <c r="E930" s="61"/>
      <c r="F930" s="61"/>
      <c r="G930" s="61"/>
      <c r="H930" s="61"/>
      <c r="I930" s="61"/>
      <c r="J930" s="107"/>
      <c r="K930" s="107"/>
      <c r="L930" s="61"/>
      <c r="M930" s="110"/>
      <c r="N930" s="61"/>
      <c r="O930" s="61"/>
      <c r="P930" s="61"/>
    </row>
    <row r="931">
      <c r="A931" s="65"/>
      <c r="B931" s="65"/>
      <c r="C931" s="65"/>
      <c r="D931" s="65"/>
      <c r="E931" s="65"/>
      <c r="F931" s="65"/>
      <c r="G931" s="65"/>
      <c r="H931" s="65"/>
      <c r="I931" s="65"/>
      <c r="J931" s="108"/>
      <c r="K931" s="108"/>
      <c r="L931" s="65"/>
      <c r="M931" s="111"/>
      <c r="N931" s="65"/>
      <c r="O931" s="65"/>
      <c r="P931" s="65"/>
    </row>
    <row r="932">
      <c r="A932" s="61"/>
      <c r="B932" s="61"/>
      <c r="C932" s="61"/>
      <c r="D932" s="61"/>
      <c r="E932" s="61"/>
      <c r="F932" s="61"/>
      <c r="G932" s="61"/>
      <c r="H932" s="61"/>
      <c r="I932" s="61"/>
      <c r="J932" s="107"/>
      <c r="K932" s="107"/>
      <c r="L932" s="61"/>
      <c r="M932" s="110"/>
      <c r="N932" s="61"/>
      <c r="O932" s="61"/>
      <c r="P932" s="61"/>
    </row>
    <row r="933">
      <c r="A933" s="65"/>
      <c r="B933" s="65"/>
      <c r="C933" s="65"/>
      <c r="D933" s="65"/>
      <c r="E933" s="65"/>
      <c r="F933" s="65"/>
      <c r="G933" s="65"/>
      <c r="H933" s="65"/>
      <c r="I933" s="65"/>
      <c r="J933" s="108"/>
      <c r="K933" s="108"/>
      <c r="L933" s="65"/>
      <c r="M933" s="111"/>
      <c r="N933" s="65"/>
      <c r="O933" s="65"/>
      <c r="P933" s="65"/>
    </row>
    <row r="934">
      <c r="A934" s="61"/>
      <c r="B934" s="61"/>
      <c r="C934" s="61"/>
      <c r="D934" s="61"/>
      <c r="E934" s="61"/>
      <c r="F934" s="61"/>
      <c r="G934" s="61"/>
      <c r="H934" s="61"/>
      <c r="I934" s="61"/>
      <c r="J934" s="107"/>
      <c r="K934" s="107"/>
      <c r="L934" s="61"/>
      <c r="M934" s="110"/>
      <c r="N934" s="61"/>
      <c r="O934" s="61"/>
      <c r="P934" s="61"/>
    </row>
    <row r="935">
      <c r="A935" s="65"/>
      <c r="B935" s="65"/>
      <c r="C935" s="65"/>
      <c r="D935" s="65"/>
      <c r="E935" s="65"/>
      <c r="F935" s="65"/>
      <c r="G935" s="65"/>
      <c r="H935" s="65"/>
      <c r="I935" s="65"/>
      <c r="J935" s="108"/>
      <c r="K935" s="108"/>
      <c r="L935" s="65"/>
      <c r="M935" s="111"/>
      <c r="N935" s="65"/>
      <c r="O935" s="65"/>
      <c r="P935" s="65"/>
    </row>
    <row r="936">
      <c r="A936" s="61"/>
      <c r="B936" s="61"/>
      <c r="C936" s="61"/>
      <c r="D936" s="61"/>
      <c r="E936" s="61"/>
      <c r="F936" s="61"/>
      <c r="G936" s="61"/>
      <c r="H936" s="61"/>
      <c r="I936" s="61"/>
      <c r="J936" s="107"/>
      <c r="K936" s="107"/>
      <c r="L936" s="61"/>
      <c r="M936" s="110"/>
      <c r="N936" s="61"/>
      <c r="O936" s="61"/>
      <c r="P936" s="61"/>
    </row>
    <row r="937">
      <c r="A937" s="65"/>
      <c r="B937" s="65"/>
      <c r="C937" s="65"/>
      <c r="D937" s="65"/>
      <c r="E937" s="65"/>
      <c r="F937" s="65"/>
      <c r="G937" s="65"/>
      <c r="H937" s="65"/>
      <c r="I937" s="65"/>
      <c r="J937" s="108"/>
      <c r="K937" s="108"/>
      <c r="L937" s="65"/>
      <c r="M937" s="111"/>
      <c r="N937" s="65"/>
      <c r="O937" s="65"/>
      <c r="P937" s="65"/>
    </row>
    <row r="938">
      <c r="A938" s="61"/>
      <c r="B938" s="61"/>
      <c r="C938" s="61"/>
      <c r="D938" s="61"/>
      <c r="E938" s="61"/>
      <c r="F938" s="61"/>
      <c r="G938" s="61"/>
      <c r="H938" s="61"/>
      <c r="I938" s="61"/>
      <c r="J938" s="107"/>
      <c r="K938" s="107"/>
      <c r="L938" s="61"/>
      <c r="M938" s="110"/>
      <c r="N938" s="61"/>
      <c r="O938" s="61"/>
      <c r="P938" s="61"/>
    </row>
    <row r="939">
      <c r="A939" s="65"/>
      <c r="B939" s="65"/>
      <c r="C939" s="65"/>
      <c r="D939" s="65"/>
      <c r="E939" s="65"/>
      <c r="F939" s="65"/>
      <c r="G939" s="65"/>
      <c r="H939" s="65"/>
      <c r="I939" s="65"/>
      <c r="J939" s="108"/>
      <c r="K939" s="108"/>
      <c r="L939" s="65"/>
      <c r="M939" s="111"/>
      <c r="N939" s="65"/>
      <c r="O939" s="65"/>
      <c r="P939" s="65"/>
    </row>
    <row r="940">
      <c r="A940" s="61"/>
      <c r="B940" s="61"/>
      <c r="C940" s="61"/>
      <c r="D940" s="61"/>
      <c r="E940" s="61"/>
      <c r="F940" s="61"/>
      <c r="G940" s="61"/>
      <c r="H940" s="61"/>
      <c r="I940" s="61"/>
      <c r="J940" s="107"/>
      <c r="K940" s="107"/>
      <c r="L940" s="61"/>
      <c r="M940" s="110"/>
      <c r="N940" s="61"/>
      <c r="O940" s="61"/>
      <c r="P940" s="61"/>
    </row>
    <row r="941">
      <c r="A941" s="65"/>
      <c r="B941" s="65"/>
      <c r="C941" s="65"/>
      <c r="D941" s="65"/>
      <c r="E941" s="65"/>
      <c r="F941" s="65"/>
      <c r="G941" s="65"/>
      <c r="H941" s="65"/>
      <c r="I941" s="65"/>
      <c r="J941" s="108"/>
      <c r="K941" s="108"/>
      <c r="L941" s="65"/>
      <c r="M941" s="111"/>
      <c r="N941" s="65"/>
      <c r="O941" s="65"/>
      <c r="P941" s="65"/>
    </row>
    <row r="942">
      <c r="A942" s="61"/>
      <c r="B942" s="61"/>
      <c r="C942" s="61"/>
      <c r="D942" s="61"/>
      <c r="E942" s="61"/>
      <c r="F942" s="61"/>
      <c r="G942" s="61"/>
      <c r="H942" s="61"/>
      <c r="I942" s="61"/>
      <c r="J942" s="107"/>
      <c r="K942" s="107"/>
      <c r="L942" s="61"/>
      <c r="M942" s="110"/>
      <c r="N942" s="61"/>
      <c r="O942" s="61"/>
      <c r="P942" s="61"/>
    </row>
    <row r="943">
      <c r="A943" s="65"/>
      <c r="B943" s="65"/>
      <c r="C943" s="65"/>
      <c r="D943" s="65"/>
      <c r="E943" s="65"/>
      <c r="F943" s="65"/>
      <c r="G943" s="65"/>
      <c r="H943" s="65"/>
      <c r="I943" s="65"/>
      <c r="J943" s="108"/>
      <c r="K943" s="108"/>
      <c r="L943" s="65"/>
      <c r="M943" s="111"/>
      <c r="N943" s="65"/>
      <c r="O943" s="65"/>
      <c r="P943" s="65"/>
    </row>
    <row r="944">
      <c r="A944" s="61"/>
      <c r="B944" s="61"/>
      <c r="C944" s="61"/>
      <c r="D944" s="61"/>
      <c r="E944" s="61"/>
      <c r="F944" s="61"/>
      <c r="G944" s="61"/>
      <c r="H944" s="61"/>
      <c r="I944" s="61"/>
      <c r="J944" s="107"/>
      <c r="K944" s="107"/>
      <c r="L944" s="61"/>
      <c r="M944" s="110"/>
      <c r="N944" s="61"/>
      <c r="O944" s="61"/>
      <c r="P944" s="61"/>
    </row>
    <row r="945">
      <c r="A945" s="65"/>
      <c r="B945" s="65"/>
      <c r="C945" s="65"/>
      <c r="D945" s="65"/>
      <c r="E945" s="65"/>
      <c r="F945" s="65"/>
      <c r="G945" s="65"/>
      <c r="H945" s="65"/>
      <c r="I945" s="65"/>
      <c r="J945" s="108"/>
      <c r="K945" s="108"/>
      <c r="L945" s="65"/>
      <c r="M945" s="111"/>
      <c r="N945" s="65"/>
      <c r="O945" s="65"/>
      <c r="P945" s="65"/>
    </row>
    <row r="946">
      <c r="A946" s="61"/>
      <c r="B946" s="61"/>
      <c r="C946" s="61"/>
      <c r="D946" s="61"/>
      <c r="E946" s="61"/>
      <c r="F946" s="61"/>
      <c r="G946" s="61"/>
      <c r="H946" s="61"/>
      <c r="I946" s="61"/>
      <c r="J946" s="107"/>
      <c r="K946" s="107"/>
      <c r="L946" s="61"/>
      <c r="M946" s="110"/>
      <c r="N946" s="61"/>
      <c r="O946" s="61"/>
      <c r="P946" s="61"/>
    </row>
    <row r="947">
      <c r="A947" s="65"/>
      <c r="B947" s="65"/>
      <c r="C947" s="65"/>
      <c r="D947" s="65"/>
      <c r="E947" s="65"/>
      <c r="F947" s="65"/>
      <c r="G947" s="65"/>
      <c r="H947" s="65"/>
      <c r="I947" s="65"/>
      <c r="J947" s="108"/>
      <c r="K947" s="108"/>
      <c r="L947" s="65"/>
      <c r="M947" s="111"/>
      <c r="N947" s="65"/>
      <c r="O947" s="65"/>
      <c r="P947" s="65"/>
    </row>
    <row r="948">
      <c r="A948" s="61"/>
      <c r="B948" s="61"/>
      <c r="C948" s="61"/>
      <c r="D948" s="61"/>
      <c r="E948" s="61"/>
      <c r="F948" s="61"/>
      <c r="G948" s="61"/>
      <c r="H948" s="61"/>
      <c r="I948" s="61"/>
      <c r="J948" s="107"/>
      <c r="K948" s="107"/>
      <c r="L948" s="61"/>
      <c r="M948" s="110"/>
      <c r="N948" s="61"/>
      <c r="O948" s="61"/>
      <c r="P948" s="61"/>
    </row>
    <row r="949">
      <c r="A949" s="65"/>
      <c r="B949" s="65"/>
      <c r="C949" s="65"/>
      <c r="D949" s="65"/>
      <c r="E949" s="65"/>
      <c r="F949" s="65"/>
      <c r="G949" s="65"/>
      <c r="H949" s="65"/>
      <c r="I949" s="65"/>
      <c r="J949" s="108"/>
      <c r="K949" s="108"/>
      <c r="L949" s="65"/>
      <c r="M949" s="111"/>
      <c r="N949" s="65"/>
      <c r="O949" s="65"/>
      <c r="P949" s="65"/>
    </row>
    <row r="950">
      <c r="A950" s="61"/>
      <c r="B950" s="61"/>
      <c r="C950" s="61"/>
      <c r="D950" s="61"/>
      <c r="E950" s="61"/>
      <c r="F950" s="61"/>
      <c r="G950" s="61"/>
      <c r="H950" s="61"/>
      <c r="I950" s="61"/>
      <c r="J950" s="107"/>
      <c r="K950" s="107"/>
      <c r="L950" s="61"/>
      <c r="M950" s="110"/>
      <c r="N950" s="61"/>
      <c r="O950" s="61"/>
      <c r="P950" s="61"/>
    </row>
    <row r="951">
      <c r="A951" s="65"/>
      <c r="B951" s="65"/>
      <c r="C951" s="65"/>
      <c r="D951" s="65"/>
      <c r="E951" s="65"/>
      <c r="F951" s="65"/>
      <c r="G951" s="65"/>
      <c r="H951" s="65"/>
      <c r="I951" s="65"/>
      <c r="J951" s="108"/>
      <c r="K951" s="108"/>
      <c r="L951" s="65"/>
      <c r="M951" s="111"/>
      <c r="N951" s="65"/>
      <c r="O951" s="65"/>
      <c r="P951" s="65"/>
    </row>
    <row r="952">
      <c r="A952" s="61"/>
      <c r="B952" s="61"/>
      <c r="C952" s="61"/>
      <c r="D952" s="61"/>
      <c r="E952" s="61"/>
      <c r="F952" s="61"/>
      <c r="G952" s="61"/>
      <c r="H952" s="61"/>
      <c r="I952" s="61"/>
      <c r="J952" s="107"/>
      <c r="K952" s="107"/>
      <c r="L952" s="61"/>
      <c r="M952" s="110"/>
      <c r="N952" s="61"/>
      <c r="O952" s="61"/>
      <c r="P952" s="61"/>
    </row>
    <row r="953">
      <c r="A953" s="65"/>
      <c r="B953" s="65"/>
      <c r="C953" s="65"/>
      <c r="D953" s="65"/>
      <c r="E953" s="65"/>
      <c r="F953" s="65"/>
      <c r="G953" s="65"/>
      <c r="H953" s="65"/>
      <c r="I953" s="65"/>
      <c r="J953" s="108"/>
      <c r="K953" s="108"/>
      <c r="L953" s="65"/>
      <c r="M953" s="111"/>
      <c r="N953" s="65"/>
      <c r="O953" s="65"/>
      <c r="P953" s="65"/>
    </row>
    <row r="954">
      <c r="A954" s="61"/>
      <c r="B954" s="61"/>
      <c r="C954" s="61"/>
      <c r="D954" s="61"/>
      <c r="E954" s="61"/>
      <c r="F954" s="61"/>
      <c r="G954" s="61"/>
      <c r="H954" s="61"/>
      <c r="I954" s="61"/>
      <c r="J954" s="107"/>
      <c r="K954" s="107"/>
      <c r="L954" s="61"/>
      <c r="M954" s="110"/>
      <c r="N954" s="61"/>
      <c r="O954" s="61"/>
      <c r="P954" s="61"/>
    </row>
    <row r="955">
      <c r="A955" s="65"/>
      <c r="B955" s="65"/>
      <c r="C955" s="65"/>
      <c r="D955" s="65"/>
      <c r="E955" s="65"/>
      <c r="F955" s="65"/>
      <c r="G955" s="65"/>
      <c r="H955" s="65"/>
      <c r="I955" s="65"/>
      <c r="J955" s="108"/>
      <c r="K955" s="108"/>
      <c r="L955" s="65"/>
      <c r="M955" s="111"/>
      <c r="N955" s="65"/>
      <c r="O955" s="65"/>
      <c r="P955" s="65"/>
    </row>
    <row r="956">
      <c r="A956" s="61"/>
      <c r="B956" s="61"/>
      <c r="C956" s="61"/>
      <c r="D956" s="61"/>
      <c r="E956" s="61"/>
      <c r="F956" s="61"/>
      <c r="G956" s="61"/>
      <c r="H956" s="61"/>
      <c r="I956" s="61"/>
      <c r="J956" s="107"/>
      <c r="K956" s="107"/>
      <c r="L956" s="61"/>
      <c r="M956" s="110"/>
      <c r="N956" s="61"/>
      <c r="O956" s="61"/>
      <c r="P956" s="61"/>
    </row>
    <row r="957">
      <c r="A957" s="65"/>
      <c r="B957" s="65"/>
      <c r="C957" s="65"/>
      <c r="D957" s="65"/>
      <c r="E957" s="65"/>
      <c r="F957" s="65"/>
      <c r="G957" s="65"/>
      <c r="H957" s="65"/>
      <c r="I957" s="65"/>
      <c r="J957" s="108"/>
      <c r="K957" s="108"/>
      <c r="L957" s="65"/>
      <c r="M957" s="111"/>
      <c r="N957" s="65"/>
      <c r="O957" s="65"/>
      <c r="P957" s="65"/>
    </row>
    <row r="958">
      <c r="A958" s="61"/>
      <c r="B958" s="61"/>
      <c r="C958" s="61"/>
      <c r="D958" s="61"/>
      <c r="E958" s="61"/>
      <c r="F958" s="61"/>
      <c r="G958" s="61"/>
      <c r="H958" s="61"/>
      <c r="I958" s="61"/>
      <c r="J958" s="107"/>
      <c r="K958" s="107"/>
      <c r="L958" s="61"/>
      <c r="M958" s="110"/>
      <c r="N958" s="61"/>
      <c r="O958" s="61"/>
      <c r="P958" s="61"/>
    </row>
    <row r="959">
      <c r="A959" s="65"/>
      <c r="B959" s="65"/>
      <c r="C959" s="65"/>
      <c r="D959" s="65"/>
      <c r="E959" s="65"/>
      <c r="F959" s="65"/>
      <c r="G959" s="65"/>
      <c r="H959" s="65"/>
      <c r="I959" s="65"/>
      <c r="J959" s="108"/>
      <c r="K959" s="108"/>
      <c r="L959" s="65"/>
      <c r="M959" s="111"/>
      <c r="N959" s="65"/>
      <c r="O959" s="65"/>
      <c r="P959" s="65"/>
    </row>
    <row r="960">
      <c r="A960" s="61"/>
      <c r="B960" s="61"/>
      <c r="C960" s="61"/>
      <c r="D960" s="61"/>
      <c r="E960" s="61"/>
      <c r="F960" s="61"/>
      <c r="G960" s="61"/>
      <c r="H960" s="61"/>
      <c r="I960" s="61"/>
      <c r="J960" s="107"/>
      <c r="K960" s="107"/>
      <c r="L960" s="61"/>
      <c r="M960" s="110"/>
      <c r="N960" s="61"/>
      <c r="O960" s="61"/>
      <c r="P960" s="61"/>
    </row>
    <row r="961">
      <c r="A961" s="65"/>
      <c r="B961" s="65"/>
      <c r="C961" s="65"/>
      <c r="D961" s="65"/>
      <c r="E961" s="65"/>
      <c r="F961" s="65"/>
      <c r="G961" s="65"/>
      <c r="H961" s="65"/>
      <c r="I961" s="65"/>
      <c r="J961" s="108"/>
      <c r="K961" s="108"/>
      <c r="L961" s="65"/>
      <c r="M961" s="111"/>
      <c r="N961" s="65"/>
      <c r="O961" s="65"/>
      <c r="P961" s="65"/>
    </row>
    <row r="962">
      <c r="A962" s="61"/>
      <c r="B962" s="61"/>
      <c r="C962" s="61"/>
      <c r="D962" s="61"/>
      <c r="E962" s="61"/>
      <c r="F962" s="61"/>
      <c r="G962" s="61"/>
      <c r="H962" s="61"/>
      <c r="I962" s="61"/>
      <c r="J962" s="107"/>
      <c r="K962" s="107"/>
      <c r="L962" s="61"/>
      <c r="M962" s="110"/>
      <c r="N962" s="61"/>
      <c r="O962" s="61"/>
      <c r="P962" s="61"/>
    </row>
    <row r="963">
      <c r="A963" s="65"/>
      <c r="B963" s="65"/>
      <c r="C963" s="65"/>
      <c r="D963" s="65"/>
      <c r="E963" s="65"/>
      <c r="F963" s="65"/>
      <c r="G963" s="65"/>
      <c r="H963" s="65"/>
      <c r="I963" s="65"/>
      <c r="J963" s="108"/>
      <c r="K963" s="108"/>
      <c r="L963" s="65"/>
      <c r="M963" s="111"/>
      <c r="N963" s="65"/>
      <c r="O963" s="65"/>
      <c r="P963" s="65"/>
    </row>
    <row r="964">
      <c r="A964" s="61"/>
      <c r="B964" s="61"/>
      <c r="C964" s="61"/>
      <c r="D964" s="61"/>
      <c r="E964" s="61"/>
      <c r="F964" s="61"/>
      <c r="G964" s="61"/>
      <c r="H964" s="61"/>
      <c r="I964" s="61"/>
      <c r="J964" s="107"/>
      <c r="K964" s="107"/>
      <c r="L964" s="61"/>
      <c r="M964" s="110"/>
      <c r="N964" s="61"/>
      <c r="O964" s="61"/>
      <c r="P964" s="61"/>
    </row>
    <row r="965">
      <c r="A965" s="65"/>
      <c r="B965" s="65"/>
      <c r="C965" s="65"/>
      <c r="D965" s="65"/>
      <c r="E965" s="65"/>
      <c r="F965" s="65"/>
      <c r="G965" s="65"/>
      <c r="H965" s="65"/>
      <c r="I965" s="65"/>
      <c r="J965" s="108"/>
      <c r="K965" s="108"/>
      <c r="L965" s="65"/>
      <c r="M965" s="111"/>
      <c r="N965" s="65"/>
      <c r="O965" s="65"/>
      <c r="P965" s="65"/>
    </row>
    <row r="966">
      <c r="A966" s="61"/>
      <c r="B966" s="61"/>
      <c r="C966" s="61"/>
      <c r="D966" s="61"/>
      <c r="E966" s="61"/>
      <c r="F966" s="61"/>
      <c r="G966" s="61"/>
      <c r="H966" s="61"/>
      <c r="I966" s="61"/>
      <c r="J966" s="107"/>
      <c r="K966" s="107"/>
      <c r="L966" s="61"/>
      <c r="M966" s="110"/>
      <c r="N966" s="61"/>
      <c r="O966" s="61"/>
      <c r="P966" s="61"/>
    </row>
    <row r="967">
      <c r="A967" s="65"/>
      <c r="B967" s="65"/>
      <c r="C967" s="65"/>
      <c r="D967" s="65"/>
      <c r="E967" s="65"/>
      <c r="F967" s="65"/>
      <c r="G967" s="65"/>
      <c r="H967" s="65"/>
      <c r="I967" s="65"/>
      <c r="J967" s="108"/>
      <c r="K967" s="108"/>
      <c r="L967" s="65"/>
      <c r="M967" s="111"/>
      <c r="N967" s="65"/>
      <c r="O967" s="65"/>
      <c r="P967" s="65"/>
    </row>
    <row r="968">
      <c r="A968" s="61"/>
      <c r="B968" s="61"/>
      <c r="C968" s="61"/>
      <c r="D968" s="61"/>
      <c r="E968" s="61"/>
      <c r="F968" s="61"/>
      <c r="G968" s="61"/>
      <c r="H968" s="61"/>
      <c r="I968" s="61"/>
      <c r="J968" s="107"/>
      <c r="K968" s="107"/>
      <c r="L968" s="61"/>
      <c r="M968" s="110"/>
      <c r="N968" s="61"/>
      <c r="O968" s="61"/>
      <c r="P968" s="61"/>
    </row>
    <row r="969">
      <c r="A969" s="65"/>
      <c r="B969" s="65"/>
      <c r="C969" s="65"/>
      <c r="D969" s="65"/>
      <c r="E969" s="65"/>
      <c r="F969" s="65"/>
      <c r="G969" s="65"/>
      <c r="H969" s="65"/>
      <c r="I969" s="65"/>
      <c r="J969" s="108"/>
      <c r="K969" s="108"/>
      <c r="L969" s="65"/>
      <c r="M969" s="111"/>
      <c r="N969" s="65"/>
      <c r="O969" s="65"/>
      <c r="P969" s="65"/>
    </row>
    <row r="970">
      <c r="A970" s="61"/>
      <c r="B970" s="61"/>
      <c r="C970" s="61"/>
      <c r="D970" s="61"/>
      <c r="E970" s="61"/>
      <c r="F970" s="61"/>
      <c r="G970" s="61"/>
      <c r="H970" s="61"/>
      <c r="I970" s="61"/>
      <c r="J970" s="107"/>
      <c r="K970" s="107"/>
      <c r="L970" s="61"/>
      <c r="M970" s="110"/>
      <c r="N970" s="61"/>
      <c r="O970" s="61"/>
      <c r="P970" s="61"/>
    </row>
    <row r="971">
      <c r="A971" s="65"/>
      <c r="B971" s="65"/>
      <c r="C971" s="65"/>
      <c r="D971" s="65"/>
      <c r="E971" s="65"/>
      <c r="F971" s="65"/>
      <c r="G971" s="65"/>
      <c r="H971" s="65"/>
      <c r="I971" s="65"/>
      <c r="J971" s="108"/>
      <c r="K971" s="108"/>
      <c r="L971" s="65"/>
      <c r="M971" s="111"/>
      <c r="N971" s="65"/>
      <c r="O971" s="65"/>
      <c r="P971" s="65"/>
    </row>
    <row r="972">
      <c r="A972" s="61"/>
      <c r="B972" s="61"/>
      <c r="C972" s="61"/>
      <c r="D972" s="61"/>
      <c r="E972" s="61"/>
      <c r="F972" s="61"/>
      <c r="G972" s="61"/>
      <c r="H972" s="61"/>
      <c r="I972" s="61"/>
      <c r="J972" s="107"/>
      <c r="K972" s="107"/>
      <c r="L972" s="61"/>
      <c r="M972" s="110"/>
      <c r="N972" s="61"/>
      <c r="O972" s="61"/>
      <c r="P972" s="61"/>
    </row>
    <row r="973">
      <c r="A973" s="65"/>
      <c r="B973" s="65"/>
      <c r="C973" s="65"/>
      <c r="D973" s="65"/>
      <c r="E973" s="65"/>
      <c r="F973" s="65"/>
      <c r="G973" s="65"/>
      <c r="H973" s="65"/>
      <c r="I973" s="65"/>
      <c r="J973" s="108"/>
      <c r="K973" s="108"/>
      <c r="L973" s="65"/>
      <c r="M973" s="111"/>
      <c r="N973" s="65"/>
      <c r="O973" s="65"/>
      <c r="P973" s="65"/>
    </row>
    <row r="974">
      <c r="A974" s="61"/>
      <c r="B974" s="61"/>
      <c r="C974" s="61"/>
      <c r="D974" s="61"/>
      <c r="E974" s="61"/>
      <c r="F974" s="61"/>
      <c r="G974" s="61"/>
      <c r="H974" s="61"/>
      <c r="I974" s="61"/>
      <c r="J974" s="107"/>
      <c r="K974" s="107"/>
      <c r="L974" s="61"/>
      <c r="M974" s="110"/>
      <c r="N974" s="61"/>
      <c r="O974" s="61"/>
      <c r="P974" s="61"/>
    </row>
    <row r="975">
      <c r="A975" s="65"/>
      <c r="B975" s="65"/>
      <c r="C975" s="65"/>
      <c r="D975" s="65"/>
      <c r="E975" s="65"/>
      <c r="F975" s="65"/>
      <c r="G975" s="65"/>
      <c r="H975" s="65"/>
      <c r="I975" s="65"/>
      <c r="J975" s="108"/>
      <c r="K975" s="108"/>
      <c r="L975" s="65"/>
      <c r="M975" s="111"/>
      <c r="N975" s="65"/>
      <c r="O975" s="65"/>
      <c r="P975" s="65"/>
    </row>
    <row r="976">
      <c r="A976" s="61"/>
      <c r="B976" s="61"/>
      <c r="C976" s="61"/>
      <c r="D976" s="61"/>
      <c r="E976" s="61"/>
      <c r="F976" s="61"/>
      <c r="G976" s="61"/>
      <c r="H976" s="61"/>
      <c r="I976" s="61"/>
      <c r="J976" s="107"/>
      <c r="K976" s="107"/>
      <c r="L976" s="61"/>
      <c r="M976" s="110"/>
      <c r="N976" s="61"/>
      <c r="O976" s="61"/>
      <c r="P976" s="61"/>
    </row>
    <row r="977">
      <c r="A977" s="65"/>
      <c r="B977" s="65"/>
      <c r="C977" s="65"/>
      <c r="D977" s="65"/>
      <c r="E977" s="65"/>
      <c r="F977" s="65"/>
      <c r="G977" s="65"/>
      <c r="H977" s="65"/>
      <c r="I977" s="65"/>
      <c r="J977" s="108"/>
      <c r="K977" s="108"/>
      <c r="L977" s="65"/>
      <c r="M977" s="111"/>
      <c r="N977" s="65"/>
      <c r="O977" s="65"/>
      <c r="P977" s="65"/>
    </row>
    <row r="978">
      <c r="A978" s="61"/>
      <c r="B978" s="61"/>
      <c r="C978" s="61"/>
      <c r="D978" s="61"/>
      <c r="E978" s="61"/>
      <c r="F978" s="61"/>
      <c r="G978" s="61"/>
      <c r="H978" s="61"/>
      <c r="I978" s="61"/>
      <c r="J978" s="107"/>
      <c r="K978" s="107"/>
      <c r="L978" s="61"/>
      <c r="M978" s="110"/>
      <c r="N978" s="61"/>
      <c r="O978" s="61"/>
      <c r="P978" s="61"/>
    </row>
    <row r="979">
      <c r="A979" s="65"/>
      <c r="B979" s="65"/>
      <c r="C979" s="65"/>
      <c r="D979" s="65"/>
      <c r="E979" s="65"/>
      <c r="F979" s="65"/>
      <c r="G979" s="65"/>
      <c r="H979" s="65"/>
      <c r="I979" s="65"/>
      <c r="J979" s="108"/>
      <c r="K979" s="108"/>
      <c r="L979" s="65"/>
      <c r="M979" s="111"/>
      <c r="N979" s="65"/>
      <c r="O979" s="65"/>
      <c r="P979" s="65"/>
    </row>
    <row r="980">
      <c r="A980" s="61"/>
      <c r="B980" s="61"/>
      <c r="C980" s="61"/>
      <c r="D980" s="61"/>
      <c r="E980" s="61"/>
      <c r="F980" s="61"/>
      <c r="G980" s="61"/>
      <c r="H980" s="61"/>
      <c r="I980" s="61"/>
      <c r="J980" s="107"/>
      <c r="K980" s="107"/>
      <c r="L980" s="61"/>
      <c r="M980" s="110"/>
      <c r="N980" s="61"/>
      <c r="O980" s="61"/>
      <c r="P980" s="61"/>
    </row>
    <row r="981">
      <c r="A981" s="65"/>
      <c r="B981" s="65"/>
      <c r="C981" s="65"/>
      <c r="D981" s="65"/>
      <c r="E981" s="65"/>
      <c r="F981" s="65"/>
      <c r="G981" s="65"/>
      <c r="H981" s="65"/>
      <c r="I981" s="65"/>
      <c r="J981" s="108"/>
      <c r="K981" s="108"/>
      <c r="L981" s="65"/>
      <c r="M981" s="111"/>
      <c r="N981" s="65"/>
      <c r="O981" s="65"/>
      <c r="P981" s="65"/>
    </row>
    <row r="982">
      <c r="A982" s="61"/>
      <c r="B982" s="61"/>
      <c r="C982" s="61"/>
      <c r="D982" s="61"/>
      <c r="E982" s="61"/>
      <c r="F982" s="61"/>
      <c r="G982" s="61"/>
      <c r="H982" s="61"/>
      <c r="I982" s="61"/>
      <c r="J982" s="107"/>
      <c r="K982" s="107"/>
      <c r="L982" s="61"/>
      <c r="M982" s="110"/>
      <c r="N982" s="61"/>
      <c r="O982" s="61"/>
      <c r="P982" s="61"/>
    </row>
    <row r="983">
      <c r="A983" s="65"/>
      <c r="B983" s="65"/>
      <c r="C983" s="65"/>
      <c r="D983" s="65"/>
      <c r="E983" s="65"/>
      <c r="F983" s="65"/>
      <c r="G983" s="65"/>
      <c r="H983" s="65"/>
      <c r="I983" s="65"/>
      <c r="J983" s="108"/>
      <c r="K983" s="108"/>
      <c r="L983" s="65"/>
      <c r="M983" s="111"/>
      <c r="N983" s="65"/>
      <c r="O983" s="65"/>
      <c r="P983" s="65"/>
    </row>
    <row r="984">
      <c r="A984" s="61"/>
      <c r="B984" s="61"/>
      <c r="C984" s="61"/>
      <c r="D984" s="61"/>
      <c r="E984" s="61"/>
      <c r="F984" s="61"/>
      <c r="G984" s="61"/>
      <c r="H984" s="61"/>
      <c r="I984" s="61"/>
      <c r="J984" s="107"/>
      <c r="K984" s="107"/>
      <c r="L984" s="61"/>
      <c r="M984" s="110"/>
      <c r="N984" s="61"/>
      <c r="O984" s="61"/>
      <c r="P984" s="61"/>
    </row>
    <row r="985">
      <c r="A985" s="65"/>
      <c r="B985" s="65"/>
      <c r="C985" s="65"/>
      <c r="D985" s="65"/>
      <c r="E985" s="65"/>
      <c r="F985" s="65"/>
      <c r="G985" s="65"/>
      <c r="H985" s="65"/>
      <c r="I985" s="65"/>
      <c r="J985" s="108"/>
      <c r="K985" s="108"/>
      <c r="L985" s="65"/>
      <c r="M985" s="111"/>
      <c r="N985" s="65"/>
      <c r="O985" s="65"/>
      <c r="P985" s="65"/>
    </row>
    <row r="986">
      <c r="A986" s="61"/>
      <c r="B986" s="61"/>
      <c r="C986" s="61"/>
      <c r="D986" s="61"/>
      <c r="E986" s="61"/>
      <c r="F986" s="61"/>
      <c r="G986" s="61"/>
      <c r="H986" s="61"/>
      <c r="I986" s="61"/>
      <c r="J986" s="107"/>
      <c r="K986" s="107"/>
      <c r="L986" s="61"/>
      <c r="M986" s="110"/>
      <c r="N986" s="61"/>
      <c r="O986" s="61"/>
      <c r="P986" s="61"/>
    </row>
    <row r="987">
      <c r="A987" s="65"/>
      <c r="B987" s="65"/>
      <c r="C987" s="65"/>
      <c r="D987" s="65"/>
      <c r="E987" s="65"/>
      <c r="F987" s="65"/>
      <c r="G987" s="65"/>
      <c r="H987" s="65"/>
      <c r="I987" s="65"/>
      <c r="J987" s="108"/>
      <c r="K987" s="108"/>
      <c r="L987" s="65"/>
      <c r="M987" s="111"/>
      <c r="N987" s="65"/>
      <c r="O987" s="65"/>
      <c r="P987" s="65"/>
    </row>
    <row r="988">
      <c r="A988" s="61"/>
      <c r="B988" s="61"/>
      <c r="C988" s="61"/>
      <c r="D988" s="61"/>
      <c r="E988" s="61"/>
      <c r="F988" s="61"/>
      <c r="G988" s="61"/>
      <c r="H988" s="61"/>
      <c r="I988" s="61"/>
      <c r="J988" s="107"/>
      <c r="K988" s="107"/>
      <c r="L988" s="61"/>
      <c r="M988" s="110"/>
      <c r="N988" s="61"/>
      <c r="O988" s="61"/>
      <c r="P988" s="61"/>
    </row>
    <row r="989">
      <c r="A989" s="65"/>
      <c r="B989" s="65"/>
      <c r="C989" s="65"/>
      <c r="D989" s="65"/>
      <c r="E989" s="65"/>
      <c r="F989" s="65"/>
      <c r="G989" s="65"/>
      <c r="H989" s="65"/>
      <c r="I989" s="65"/>
      <c r="J989" s="108"/>
      <c r="K989" s="108"/>
      <c r="L989" s="65"/>
      <c r="M989" s="111"/>
      <c r="N989" s="65"/>
      <c r="O989" s="65"/>
      <c r="P989" s="65"/>
    </row>
    <row r="990">
      <c r="A990" s="61"/>
      <c r="B990" s="61"/>
      <c r="C990" s="61"/>
      <c r="D990" s="61"/>
      <c r="E990" s="61"/>
      <c r="F990" s="61"/>
      <c r="G990" s="61"/>
      <c r="H990" s="61"/>
      <c r="I990" s="61"/>
      <c r="J990" s="107"/>
      <c r="K990" s="107"/>
      <c r="L990" s="61"/>
      <c r="M990" s="110"/>
      <c r="N990" s="61"/>
      <c r="O990" s="61"/>
      <c r="P990" s="61"/>
    </row>
    <row r="991">
      <c r="A991" s="65"/>
      <c r="B991" s="65"/>
      <c r="C991" s="65"/>
      <c r="D991" s="65"/>
      <c r="E991" s="65"/>
      <c r="F991" s="65"/>
      <c r="G991" s="65"/>
      <c r="H991" s="65"/>
      <c r="I991" s="65"/>
      <c r="J991" s="108"/>
      <c r="K991" s="108"/>
      <c r="L991" s="65"/>
      <c r="M991" s="111"/>
      <c r="N991" s="65"/>
      <c r="O991" s="65"/>
      <c r="P991" s="65"/>
    </row>
    <row r="992">
      <c r="A992" s="61"/>
      <c r="B992" s="61"/>
      <c r="C992" s="61"/>
      <c r="D992" s="61"/>
      <c r="E992" s="61"/>
      <c r="F992" s="61"/>
      <c r="G992" s="61"/>
      <c r="H992" s="61"/>
      <c r="I992" s="61"/>
      <c r="J992" s="107"/>
      <c r="K992" s="107"/>
      <c r="L992" s="61"/>
      <c r="M992" s="110"/>
      <c r="N992" s="61"/>
      <c r="O992" s="61"/>
      <c r="P992" s="61"/>
    </row>
    <row r="993">
      <c r="A993" s="65"/>
      <c r="B993" s="65"/>
      <c r="C993" s="65"/>
      <c r="D993" s="65"/>
      <c r="E993" s="65"/>
      <c r="F993" s="65"/>
      <c r="G993" s="65"/>
      <c r="H993" s="65"/>
      <c r="I993" s="65"/>
      <c r="J993" s="108"/>
      <c r="K993" s="108"/>
      <c r="L993" s="65"/>
      <c r="M993" s="111"/>
      <c r="N993" s="65"/>
      <c r="O993" s="65"/>
      <c r="P993" s="65"/>
    </row>
    <row r="994">
      <c r="A994" s="61"/>
      <c r="B994" s="61"/>
      <c r="C994" s="61"/>
      <c r="D994" s="61"/>
      <c r="E994" s="61"/>
      <c r="F994" s="61"/>
      <c r="G994" s="61"/>
      <c r="H994" s="61"/>
      <c r="I994" s="61"/>
      <c r="J994" s="107"/>
      <c r="K994" s="107"/>
      <c r="L994" s="61"/>
      <c r="M994" s="110"/>
      <c r="N994" s="61"/>
      <c r="O994" s="61"/>
      <c r="P994" s="61"/>
    </row>
    <row r="995">
      <c r="A995" s="65"/>
      <c r="B995" s="65"/>
      <c r="C995" s="65"/>
      <c r="D995" s="65"/>
      <c r="E995" s="65"/>
      <c r="F995" s="65"/>
      <c r="G995" s="65"/>
      <c r="H995" s="65"/>
      <c r="I995" s="65"/>
      <c r="J995" s="108"/>
      <c r="K995" s="108"/>
      <c r="L995" s="65"/>
      <c r="M995" s="111"/>
      <c r="N995" s="65"/>
      <c r="O995" s="65"/>
      <c r="P995" s="65"/>
    </row>
    <row r="996">
      <c r="A996" s="61"/>
      <c r="B996" s="61"/>
      <c r="C996" s="61"/>
      <c r="D996" s="61"/>
      <c r="E996" s="61"/>
      <c r="F996" s="61"/>
      <c r="G996" s="61"/>
      <c r="H996" s="61"/>
      <c r="I996" s="61"/>
      <c r="J996" s="107"/>
      <c r="K996" s="107"/>
      <c r="L996" s="61"/>
      <c r="M996" s="110"/>
      <c r="N996" s="61"/>
      <c r="O996" s="61"/>
      <c r="P996" s="61"/>
    </row>
    <row r="997">
      <c r="A997" s="65"/>
      <c r="B997" s="65"/>
      <c r="C997" s="65"/>
      <c r="D997" s="65"/>
      <c r="E997" s="65"/>
      <c r="F997" s="65"/>
      <c r="G997" s="65"/>
      <c r="H997" s="65"/>
      <c r="I997" s="65"/>
      <c r="J997" s="108"/>
      <c r="K997" s="108"/>
      <c r="L997" s="65"/>
      <c r="M997" s="111"/>
      <c r="N997" s="65"/>
      <c r="O997" s="65"/>
      <c r="P997" s="65"/>
    </row>
    <row r="998">
      <c r="A998" s="61"/>
      <c r="B998" s="61"/>
      <c r="C998" s="61"/>
      <c r="D998" s="61"/>
      <c r="E998" s="61"/>
      <c r="F998" s="61"/>
      <c r="G998" s="61"/>
      <c r="H998" s="61"/>
      <c r="I998" s="61"/>
      <c r="J998" s="107"/>
      <c r="K998" s="107"/>
      <c r="L998" s="61"/>
      <c r="M998" s="110"/>
      <c r="N998" s="61"/>
      <c r="O998" s="61"/>
      <c r="P998" s="61"/>
    </row>
    <row r="999">
      <c r="A999" s="65"/>
      <c r="B999" s="65"/>
      <c r="C999" s="65"/>
      <c r="D999" s="65"/>
      <c r="E999" s="65"/>
      <c r="F999" s="65"/>
      <c r="G999" s="65"/>
      <c r="H999" s="65"/>
      <c r="I999" s="65"/>
      <c r="J999" s="108"/>
      <c r="K999" s="108"/>
      <c r="L999" s="65"/>
      <c r="M999" s="111"/>
      <c r="N999" s="65"/>
      <c r="O999" s="65"/>
      <c r="P999" s="65"/>
    </row>
  </sheetData>
  <autoFilter ref="$A$1:$O$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s>
  <drawing r:id="rId23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3" max="3" width="19.5"/>
    <col customWidth="1" min="5" max="5" width="18.63"/>
    <col customWidth="1" min="6" max="6" width="14.75"/>
    <col customWidth="1" min="7" max="7" width="38.63"/>
    <col customWidth="1" min="8" max="8" width="22.5"/>
    <col customWidth="1" min="9" max="9" width="34.5"/>
    <col customWidth="1" min="11" max="11" width="18.5"/>
    <col customWidth="1" min="12" max="12" width="25.13"/>
    <col customWidth="1" min="13" max="13" width="11.88"/>
    <col customWidth="1" min="14" max="14" width="34.63"/>
    <col customWidth="1" min="15" max="15" width="19.75"/>
    <col customWidth="1" min="16" max="16" width="40.0"/>
  </cols>
  <sheetData>
    <row r="1">
      <c r="A1" s="45" t="s">
        <v>14039</v>
      </c>
      <c r="B1" s="45" t="s">
        <v>14211</v>
      </c>
      <c r="C1" s="45" t="s">
        <v>2</v>
      </c>
      <c r="D1" s="45" t="s">
        <v>3</v>
      </c>
      <c r="E1" s="45" t="s">
        <v>14212</v>
      </c>
      <c r="F1" s="45" t="s">
        <v>35</v>
      </c>
      <c r="G1" s="45" t="s">
        <v>5</v>
      </c>
      <c r="H1" s="45" t="s">
        <v>10</v>
      </c>
      <c r="I1" s="45" t="s">
        <v>25</v>
      </c>
      <c r="J1" s="45" t="s">
        <v>18</v>
      </c>
      <c r="K1" s="45" t="s">
        <v>16</v>
      </c>
      <c r="L1" s="45" t="s">
        <v>14214</v>
      </c>
      <c r="M1" s="45" t="s">
        <v>20</v>
      </c>
      <c r="N1" s="109" t="s">
        <v>14</v>
      </c>
      <c r="O1" s="45" t="s">
        <v>15208</v>
      </c>
      <c r="P1" s="45" t="s">
        <v>15209</v>
      </c>
      <c r="Q1" s="45" t="s">
        <v>29</v>
      </c>
      <c r="R1" s="97" t="s">
        <v>34</v>
      </c>
    </row>
    <row r="2">
      <c r="A2" s="99" t="str">
        <f>IFERROR(__xludf.DUMMYFUNCTION("ARRAYFORMULA(
  IFERROR(
    FILTER(
      {
        MAIN!A:A,
        MAIN!B:B,
        MAIN!C:C,
        IF(MAIN!D:D="""", MAIN!AM:AM, MAIN!D:D),
        MAIN!E:E,
        MAIN!AJ:AJ,
        MAIN!F:F,
        MAIN!K:K,
        MAIN!L:L,
        MAIN!N:"&amp;"N,
        MAIN!Q:Q,
        MAIN!P:P,
        MAIN!U:U,
        MAIN!V:V,
        MAIN!AA:AA,
        MAIN!Z:Z,
        MAIN!AD:AD,
        MAIN!AI:AI
      },
      MAIN!K:K=""Tri-State Area Home Pickups""
    )
  )
)"),"https://admin.shopify.com/store/utrucking/orders/5794999468220?link_source=search")</f>
        <v>https://admin.shopify.com/store/utrucking/orders/5794999468220?link_source=search</v>
      </c>
      <c r="B2" s="61" t="str">
        <f>IFERROR(__xludf.DUMMYFUNCTION("""COMPUTED_VALUE"""),"#14171")</f>
        <v>#14171</v>
      </c>
      <c r="C2" s="61" t="str">
        <f>IFERROR(__xludf.DUMMYFUNCTION("""COMPUTED_VALUE"""),"Marlowe@wustl.edu")</f>
        <v>Marlowe@wustl.edu</v>
      </c>
      <c r="D2" s="61" t="str">
        <f>IFERROR(__xludf.DUMMYFUNCTION("""COMPUTED_VALUE"""),"914-646-4187")</f>
        <v>914-646-4187</v>
      </c>
      <c r="E2" s="61" t="str">
        <f>IFERROR(__xludf.DUMMYFUNCTION("""COMPUTED_VALUE"""),"Taylor Marlowe")</f>
        <v>Taylor Marlowe</v>
      </c>
      <c r="F2" s="61"/>
      <c r="G2" s="61"/>
      <c r="H2" s="61" t="str">
        <f>IFERROR(__xludf.DUMMYFUNCTION("""COMPUTED_VALUE"""),"Tri-State Area Home Pickups")</f>
        <v>Tri-State Area Home Pickups</v>
      </c>
      <c r="I2" s="61" t="str">
        <f>IFERROR(__xludf.DUMMYFUNCTION("""COMPUTED_VALUE"""),"$100 per item [Included]")</f>
        <v>$100 per item [Included]</v>
      </c>
      <c r="J2" s="107" t="str">
        <f>IFERROR(__xludf.DUMMYFUNCTION("""COMPUTED_VALUE"""),"University Housing")</f>
        <v>University Housing</v>
      </c>
      <c r="K2" s="107" t="str">
        <f>IFERROR(__xludf.DUMMYFUNCTION("""COMPUTED_VALUE"""),"09:00 AM - 11:00 AM")</f>
        <v>09:00 AM - 11:00 AM</v>
      </c>
      <c r="L2" s="100">
        <f>IFERROR(__xludf.DUMMYFUNCTION("""COMPUTED_VALUE"""),45877.0)</f>
        <v>45877</v>
      </c>
      <c r="M2" s="110" t="str">
        <f>IFERROR(__xludf.DUMMYFUNCTION("""COMPUTED_VALUE"""),"Lien")</f>
        <v>Lien</v>
      </c>
      <c r="N2" s="61" t="str">
        <f>IFERROR(__xludf.DUMMYFUNCTION("""COMPUTED_VALUE"""),"3331")</f>
        <v>3331</v>
      </c>
      <c r="O2" s="61"/>
      <c r="P2" s="61"/>
      <c r="Q2" s="61"/>
      <c r="R2" s="61"/>
    </row>
    <row r="3">
      <c r="A3" s="102" t="str">
        <f>IFERROR(__xludf.DUMMYFUNCTION("""COMPUTED_VALUE"""),"https://utrucking.myshopify.com/admin/orders?query=14711")</f>
        <v>https://utrucking.myshopify.com/admin/orders?query=14711</v>
      </c>
      <c r="B3" s="65" t="str">
        <f>IFERROR(__xludf.DUMMYFUNCTION("""COMPUTED_VALUE"""),"#14711")</f>
        <v>#14711</v>
      </c>
      <c r="C3" s="65" t="str">
        <f>IFERROR(__xludf.DUMMYFUNCTION("""COMPUTED_VALUE"""),"shrier@wustl.edu")</f>
        <v>shrier@wustl.edu</v>
      </c>
      <c r="D3" s="65" t="str">
        <f>IFERROR(__xludf.DUMMYFUNCTION("""COMPUTED_VALUE"""),"(917) 558-3799")</f>
        <v>(917) 558-3799</v>
      </c>
      <c r="E3" s="65" t="str">
        <f>IFERROR(__xludf.DUMMYFUNCTION("""COMPUTED_VALUE"""),"Sienna Shrier")</f>
        <v>Sienna Shrier</v>
      </c>
      <c r="F3" s="65"/>
      <c r="G3" s="65" t="str">
        <f>IFERROR(__xludf.DUMMYFUNCTION("""COMPUTED_VALUE"""),"42 Danebury Downs")</f>
        <v>42 Danebury Downs</v>
      </c>
      <c r="H3" s="65" t="str">
        <f>IFERROR(__xludf.DUMMYFUNCTION("""COMPUTED_VALUE"""),"Tri-State Area Home Pickups")</f>
        <v>Tri-State Area Home Pickups</v>
      </c>
      <c r="I3" s="65"/>
      <c r="J3" s="108" t="str">
        <f>IFERROR(__xludf.DUMMYFUNCTION("""COMPUTED_VALUE"""),"University Housing")</f>
        <v>University Housing</v>
      </c>
      <c r="K3" s="108" t="str">
        <f>IFERROR(__xludf.DUMMYFUNCTION("""COMPUTED_VALUE"""),"03:00 PM - 05:00 PM")</f>
        <v>03:00 PM - 05:00 PM</v>
      </c>
      <c r="L3" s="103">
        <f>IFERROR(__xludf.DUMMYFUNCTION("""COMPUTED_VALUE"""),45878.0)</f>
        <v>45878</v>
      </c>
      <c r="M3" s="111" t="str">
        <f>IFERROR(__xludf.DUMMYFUNCTION("""COMPUTED_VALUE"""),"DON'T KNOW YET (put 'XXX' for room #)")</f>
        <v>DON'T KNOW YET (put 'XXX' for room #)</v>
      </c>
      <c r="N3" s="65" t="str">
        <f>IFERROR(__xludf.DUMMYFUNCTION("""COMPUTED_VALUE"""),"XXX")</f>
        <v>XXX</v>
      </c>
      <c r="O3" s="65"/>
      <c r="P3" s="65"/>
      <c r="Q3" s="65"/>
      <c r="R3" s="65"/>
    </row>
    <row r="4">
      <c r="A4" s="99" t="str">
        <f>IFERROR(__xludf.DUMMYFUNCTION("""COMPUTED_VALUE"""),"https://utrucking.myshopify.com/admin/orders?query=14341")</f>
        <v>https://utrucking.myshopify.com/admin/orders?query=14341</v>
      </c>
      <c r="B4" s="61" t="str">
        <f>IFERROR(__xludf.DUMMYFUNCTION("""COMPUTED_VALUE"""),"#14341")</f>
        <v>#14341</v>
      </c>
      <c r="C4" s="61" t="str">
        <f>IFERROR(__xludf.DUMMYFUNCTION("""COMPUTED_VALUE"""),"a.rome@wustl.edu")</f>
        <v>a.rome@wustl.edu</v>
      </c>
      <c r="D4" s="61" t="str">
        <f>IFERROR(__xludf.DUMMYFUNCTION("""COMPUTED_VALUE"""),"(1917) 828-0684")</f>
        <v>(1917) 828-0684</v>
      </c>
      <c r="E4" s="61" t="str">
        <f>IFERROR(__xludf.DUMMYFUNCTION("""COMPUTED_VALUE"""),"Isabella AVA Rome")</f>
        <v>Isabella AVA Rome</v>
      </c>
      <c r="F4" s="61"/>
      <c r="G4" s="61" t="str">
        <f>IFERROR(__xludf.DUMMYFUNCTION("""COMPUTED_VALUE"""),"63 Lilline Lane")</f>
        <v>63 Lilline Lane</v>
      </c>
      <c r="H4" s="61" t="str">
        <f>IFERROR(__xludf.DUMMYFUNCTION("""COMPUTED_VALUE"""),"Tri-State Area Home Pickups")</f>
        <v>Tri-State Area Home Pickups</v>
      </c>
      <c r="I4" s="61"/>
      <c r="J4" s="107" t="str">
        <f>IFERROR(__xludf.DUMMYFUNCTION("""COMPUTED_VALUE"""),"University Housing")</f>
        <v>University Housing</v>
      </c>
      <c r="K4" s="107" t="str">
        <f>IFERROR(__xludf.DUMMYFUNCTION("""COMPUTED_VALUE"""),"09:00 AM - 11:00 AM")</f>
        <v>09:00 AM - 11:00 AM</v>
      </c>
      <c r="L4" s="100">
        <f>IFERROR(__xludf.DUMMYFUNCTION("""COMPUTED_VALUE"""),45878.0)</f>
        <v>45878</v>
      </c>
      <c r="M4" s="110" t="str">
        <f>IFERROR(__xludf.DUMMYFUNCTION("""COMPUTED_VALUE"""),"Umrath")</f>
        <v>Umrath</v>
      </c>
      <c r="N4" s="61" t="str">
        <f>IFERROR(__xludf.DUMMYFUNCTION("""COMPUTED_VALUE"""),"3302")</f>
        <v>3302</v>
      </c>
      <c r="O4" s="61"/>
      <c r="P4" s="61"/>
      <c r="Q4" s="61"/>
      <c r="R4" s="61"/>
    </row>
    <row r="5">
      <c r="A5" s="102" t="str">
        <f>IFERROR(__xludf.DUMMYFUNCTION("""COMPUTED_VALUE"""),"https://utrucking.myshopify.com/admin/orders?query=14098")</f>
        <v>https://utrucking.myshopify.com/admin/orders?query=14098</v>
      </c>
      <c r="B5" s="65" t="str">
        <f>IFERROR(__xludf.DUMMYFUNCTION("""COMPUTED_VALUE"""),"#14098")</f>
        <v>#14098</v>
      </c>
      <c r="C5" s="65" t="str">
        <f>IFERROR(__xludf.DUMMYFUNCTION("""COMPUTED_VALUE"""),"benschwed9876@wustl.edu")</f>
        <v>benschwed9876@wustl.edu</v>
      </c>
      <c r="D5" s="65" t="str">
        <f>IFERROR(__xludf.DUMMYFUNCTION("""COMPUTED_VALUE"""),"(1516) 998-5553")</f>
        <v>(1516) 998-5553</v>
      </c>
      <c r="E5" s="65" t="str">
        <f>IFERROR(__xludf.DUMMYFUNCTION("""COMPUTED_VALUE"""),"Benjamin Schwed")</f>
        <v>Benjamin Schwed</v>
      </c>
      <c r="F5" s="65"/>
      <c r="G5" s="65" t="str">
        <f>IFERROR(__xludf.DUMMYFUNCTION("""COMPUTED_VALUE"""),"2806 Harbor Rd")</f>
        <v>2806 Harbor Rd</v>
      </c>
      <c r="H5" s="65" t="str">
        <f>IFERROR(__xludf.DUMMYFUNCTION("""COMPUTED_VALUE"""),"Tri-State Area Home Pickups")</f>
        <v>Tri-State Area Home Pickups</v>
      </c>
      <c r="I5" s="65"/>
      <c r="J5" s="108" t="str">
        <f>IFERROR(__xludf.DUMMYFUNCTION("""COMPUTED_VALUE"""),"University Housing")</f>
        <v>University Housing</v>
      </c>
      <c r="K5" s="108" t="str">
        <f>IFERROR(__xludf.DUMMYFUNCTION("""COMPUTED_VALUE"""),"09:00 AM - 11:00 AM")</f>
        <v>09:00 AM - 11:00 AM</v>
      </c>
      <c r="L5" s="103">
        <f>IFERROR(__xludf.DUMMYFUNCTION("""COMPUTED_VALUE"""),45883.0)</f>
        <v>45883</v>
      </c>
      <c r="M5" s="111" t="str">
        <f>IFERROR(__xludf.DUMMYFUNCTION("""COMPUTED_VALUE"""),"Danforth")</f>
        <v>Danforth</v>
      </c>
      <c r="N5" s="65" t="str">
        <f>IFERROR(__xludf.DUMMYFUNCTION("""COMPUTED_VALUE"""),"3304")</f>
        <v>3304</v>
      </c>
      <c r="O5" s="65"/>
      <c r="P5" s="65"/>
      <c r="Q5" s="65"/>
      <c r="R5" s="65"/>
    </row>
    <row r="6">
      <c r="A6" s="99" t="str">
        <f>IFERROR(__xludf.DUMMYFUNCTION("""COMPUTED_VALUE"""),"https://utrucking.myshopify.com/admin/orders?query=14346")</f>
        <v>https://utrucking.myshopify.com/admin/orders?query=14346</v>
      </c>
      <c r="B6" s="61" t="str">
        <f>IFERROR(__xludf.DUMMYFUNCTION("""COMPUTED_VALUE"""),"#14346")</f>
        <v>#14346</v>
      </c>
      <c r="C6" s="61" t="str">
        <f>IFERROR(__xludf.DUMMYFUNCTION("""COMPUTED_VALUE"""),"prenner.s@wustl.edu")</f>
        <v>prenner.s@wustl.edu</v>
      </c>
      <c r="D6" s="61" t="str">
        <f>IFERROR(__xludf.DUMMYFUNCTION("""COMPUTED_VALUE"""),"(609) 240-6425")</f>
        <v>(609) 240-6425</v>
      </c>
      <c r="E6" s="61" t="str">
        <f>IFERROR(__xludf.DUMMYFUNCTION("""COMPUTED_VALUE"""),"Rebecca Baumgold")</f>
        <v>Rebecca Baumgold</v>
      </c>
      <c r="F6" s="61"/>
      <c r="G6" s="61" t="str">
        <f>IFERROR(__xludf.DUMMYFUNCTION("""COMPUTED_VALUE"""),"61 Littlebrook Rd")</f>
        <v>61 Littlebrook Rd</v>
      </c>
      <c r="H6" s="61" t="str">
        <f>IFERROR(__xludf.DUMMYFUNCTION("""COMPUTED_VALUE"""),"Tri-State Area Home Pickups")</f>
        <v>Tri-State Area Home Pickups</v>
      </c>
      <c r="I6" s="61"/>
      <c r="J6" s="107" t="str">
        <f>IFERROR(__xludf.DUMMYFUNCTION("""COMPUTED_VALUE"""),"Non-University Housing")</f>
        <v>Non-University Housing</v>
      </c>
      <c r="K6" s="107" t="str">
        <f>IFERROR(__xludf.DUMMYFUNCTION("""COMPUTED_VALUE"""),"09:00 AM - 11:00 AM")</f>
        <v>09:00 AM - 11:00 AM</v>
      </c>
      <c r="L6" s="100">
        <f>IFERROR(__xludf.DUMMYFUNCTION("""COMPUTED_VALUE"""),45892.0)</f>
        <v>45892</v>
      </c>
      <c r="M6" s="110"/>
      <c r="N6" s="61"/>
      <c r="O6" s="61" t="str">
        <f>IFERROR(__xludf.DUMMYFUNCTION("""COMPUTED_VALUE"""),"6115 Waterman Street, St. Louis, MO")</f>
        <v>6115 Waterman Street, St. Louis, MO</v>
      </c>
      <c r="P6" s="61"/>
      <c r="Q6" s="61"/>
      <c r="R6" s="61"/>
    </row>
    <row r="7">
      <c r="A7" s="102" t="str">
        <f>IFERROR(__xludf.DUMMYFUNCTION("""COMPUTED_VALUE"""),"https://utrucking.myshopify.com/admin/orders?query=14567")</f>
        <v>https://utrucking.myshopify.com/admin/orders?query=14567</v>
      </c>
      <c r="B7" s="65" t="str">
        <f>IFERROR(__xludf.DUMMYFUNCTION("""COMPUTED_VALUE"""),"#14567")</f>
        <v>#14567</v>
      </c>
      <c r="C7" s="65" t="str">
        <f>IFERROR(__xludf.DUMMYFUNCTION("""COMPUTED_VALUE"""),"e.r.schulman@wustl.edu")</f>
        <v>e.r.schulman@wustl.edu</v>
      </c>
      <c r="D7" s="65" t="str">
        <f>IFERROR(__xludf.DUMMYFUNCTION("""COMPUTED_VALUE"""),"(516) 606-3860")</f>
        <v>(516) 606-3860</v>
      </c>
      <c r="E7" s="65" t="str">
        <f>IFERROR(__xludf.DUMMYFUNCTION("""COMPUTED_VALUE"""),"Eliza Schulman")</f>
        <v>Eliza Schulman</v>
      </c>
      <c r="F7" s="65"/>
      <c r="G7" s="65" t="str">
        <f>IFERROR(__xludf.DUMMYFUNCTION("""COMPUTED_VALUE"""),"4 Stonehenge Road")</f>
        <v>4 Stonehenge Road</v>
      </c>
      <c r="H7" s="65" t="str">
        <f>IFERROR(__xludf.DUMMYFUNCTION("""COMPUTED_VALUE"""),"Tri-State Area Home Pickups")</f>
        <v>Tri-State Area Home Pickups</v>
      </c>
      <c r="I7" s="65"/>
      <c r="J7" s="108" t="str">
        <f>IFERROR(__xludf.DUMMYFUNCTION("""COMPUTED_VALUE"""),"University Housing")</f>
        <v>University Housing</v>
      </c>
      <c r="K7" s="108" t="str">
        <f>IFERROR(__xludf.DUMMYFUNCTION("""COMPUTED_VALUE"""),"03:00 PM - 05:00 PM")</f>
        <v>03:00 PM - 05:00 PM</v>
      </c>
      <c r="L7" s="103">
        <f>IFERROR(__xludf.DUMMYFUNCTION("""COMPUTED_VALUE"""),45883.0)</f>
        <v>45883</v>
      </c>
      <c r="M7" s="111" t="str">
        <f>IFERROR(__xludf.DUMMYFUNCTION("""COMPUTED_VALUE"""),"Rutledge")</f>
        <v>Rutledge</v>
      </c>
      <c r="N7" s="65" t="str">
        <f>IFERROR(__xludf.DUMMYFUNCTION("""COMPUTED_VALUE"""),"121")</f>
        <v>121</v>
      </c>
      <c r="O7" s="65"/>
      <c r="P7" s="65"/>
      <c r="Q7" s="65"/>
      <c r="R7" s="65"/>
    </row>
    <row r="8">
      <c r="A8" s="99" t="str">
        <f>IFERROR(__xludf.DUMMYFUNCTION("""COMPUTED_VALUE"""),"https://utrucking.myshopify.com/admin/orders?query=14593")</f>
        <v>https://utrucking.myshopify.com/admin/orders?query=14593</v>
      </c>
      <c r="B8" s="61" t="str">
        <f>IFERROR(__xludf.DUMMYFUNCTION("""COMPUTED_VALUE"""),"#14593")</f>
        <v>#14593</v>
      </c>
      <c r="C8" s="61" t="str">
        <f>IFERROR(__xludf.DUMMYFUNCTION("""COMPUTED_VALUE"""),"blanco.j@wustl.edu")</f>
        <v>blanco.j@wustl.edu</v>
      </c>
      <c r="D8" s="61" t="str">
        <f>IFERROR(__xludf.DUMMYFUNCTION("""COMPUTED_VALUE"""),"(917) 806-7198")</f>
        <v>(917) 806-7198</v>
      </c>
      <c r="E8" s="61" t="str">
        <f>IFERROR(__xludf.DUMMYFUNCTION("""COMPUTED_VALUE"""),"James Blanco")</f>
        <v>James Blanco</v>
      </c>
      <c r="F8" s="61"/>
      <c r="G8" s="61" t="str">
        <f>IFERROR(__xludf.DUMMYFUNCTION("""COMPUTED_VALUE"""),"22 St. Johns Place")</f>
        <v>22 St. Johns Place</v>
      </c>
      <c r="H8" s="61" t="str">
        <f>IFERROR(__xludf.DUMMYFUNCTION("""COMPUTED_VALUE"""),"Tri-State Area Home Pickups")</f>
        <v>Tri-State Area Home Pickups</v>
      </c>
      <c r="I8" s="61"/>
      <c r="J8" s="107" t="str">
        <f>IFERROR(__xludf.DUMMYFUNCTION("""COMPUTED_VALUE"""),"University Housing")</f>
        <v>University Housing</v>
      </c>
      <c r="K8" s="107" t="str">
        <f>IFERROR(__xludf.DUMMYFUNCTION("""COMPUTED_VALUE"""),"09:00 AM to 11:00 AM")</f>
        <v>09:00 AM to 11:00 AM</v>
      </c>
      <c r="L8" s="100">
        <f>IFERROR(__xludf.DUMMYFUNCTION("""COMPUTED_VALUE"""),45877.0)</f>
        <v>45877</v>
      </c>
      <c r="M8" s="110" t="str">
        <f>IFERROR(__xludf.DUMMYFUNCTION("""COMPUTED_VALUE"""),"Umrath")</f>
        <v>Umrath</v>
      </c>
      <c r="N8" s="61" t="str">
        <f>IFERROR(__xludf.DUMMYFUNCTION("""COMPUTED_VALUE"""),"2215")</f>
        <v>2215</v>
      </c>
      <c r="O8" s="61"/>
      <c r="P8" s="61"/>
      <c r="Q8" s="61"/>
      <c r="R8" s="61"/>
    </row>
    <row r="9">
      <c r="A9" s="102" t="str">
        <f>IFERROR(__xludf.DUMMYFUNCTION("""COMPUTED_VALUE"""),"https://utrucking.myshopify.com/admin/orders?query=14853")</f>
        <v>https://utrucking.myshopify.com/admin/orders?query=14853</v>
      </c>
      <c r="B9" s="65" t="str">
        <f>IFERROR(__xludf.DUMMYFUNCTION("""COMPUTED_VALUE"""),"#14853")</f>
        <v>#14853</v>
      </c>
      <c r="C9" s="65" t="str">
        <f>IFERROR(__xludf.DUMMYFUNCTION("""COMPUTED_VALUE"""),"g.juliette@wustl.edu")</f>
        <v>g.juliette@wustl.edu</v>
      </c>
      <c r="D9" s="65" t="str">
        <f>IFERROR(__xludf.DUMMYFUNCTION("""COMPUTED_VALUE"""),"(1917) 685-6265")</f>
        <v>(1917) 685-6265</v>
      </c>
      <c r="E9" s="65" t="str">
        <f>IFERROR(__xludf.DUMMYFUNCTION("""COMPUTED_VALUE"""),"Juliette Goodstein")</f>
        <v>Juliette Goodstein</v>
      </c>
      <c r="F9" s="65"/>
      <c r="G9" s="65" t="str">
        <f>IFERROR(__xludf.DUMMYFUNCTION("""COMPUTED_VALUE"""),"160 E 65th St")</f>
        <v>160 E 65th St</v>
      </c>
      <c r="H9" s="65" t="str">
        <f>IFERROR(__xludf.DUMMYFUNCTION("""COMPUTED_VALUE"""),"Tri-State Area Home Pickups")</f>
        <v>Tri-State Area Home Pickups</v>
      </c>
      <c r="I9" s="65"/>
      <c r="J9" s="108" t="str">
        <f>IFERROR(__xludf.DUMMYFUNCTION("""COMPUTED_VALUE"""),"University Housing")</f>
        <v>University Housing</v>
      </c>
      <c r="K9" s="108" t="str">
        <f>IFERROR(__xludf.DUMMYFUNCTION("""COMPUTED_VALUE"""),"12:00 PM - 02:00 PM")</f>
        <v>12:00 PM - 02:00 PM</v>
      </c>
      <c r="L9" s="103">
        <f>IFERROR(__xludf.DUMMYFUNCTION("""COMPUTED_VALUE"""),45878.0)</f>
        <v>45878</v>
      </c>
      <c r="M9" s="111" t="str">
        <f>IFERROR(__xludf.DUMMYFUNCTION("""COMPUTED_VALUE"""),"Park")</f>
        <v>Park</v>
      </c>
      <c r="N9" s="65" t="str">
        <f>IFERROR(__xludf.DUMMYFUNCTION("""COMPUTED_VALUE"""),"372")</f>
        <v>372</v>
      </c>
      <c r="O9" s="65"/>
      <c r="P9" s="65"/>
      <c r="Q9" s="65"/>
      <c r="R9" s="65"/>
    </row>
    <row r="10">
      <c r="A10" s="99" t="str">
        <f>IFERROR(__xludf.DUMMYFUNCTION("""COMPUTED_VALUE"""),"https://utrucking.myshopify.com/admin/orders?query=15002")</f>
        <v>https://utrucking.myshopify.com/admin/orders?query=15002</v>
      </c>
      <c r="B10" s="61" t="str">
        <f>IFERROR(__xludf.DUMMYFUNCTION("""COMPUTED_VALUE"""),"#15002")</f>
        <v>#15002</v>
      </c>
      <c r="C10" s="61" t="str">
        <f>IFERROR(__xludf.DUMMYFUNCTION("""COMPUTED_VALUE"""),"ljansveld9876@wustl.edu")</f>
        <v>ljansveld9876@wustl.edu</v>
      </c>
      <c r="D10" s="61" t="str">
        <f>IFERROR(__xludf.DUMMYFUNCTION("""COMPUTED_VALUE"""),"(1908) 502-1523")</f>
        <v>(1908) 502-1523</v>
      </c>
      <c r="E10" s="61" t="str">
        <f>IFERROR(__xludf.DUMMYFUNCTION("""COMPUTED_VALUE"""),"Luka Jansveld")</f>
        <v>Luka Jansveld</v>
      </c>
      <c r="F10" s="61"/>
      <c r="G10" s="61" t="str">
        <f>IFERROR(__xludf.DUMMYFUNCTION("""COMPUTED_VALUE"""),"411 Harrison Avenue")</f>
        <v>411 Harrison Avenue</v>
      </c>
      <c r="H10" s="61" t="str">
        <f>IFERROR(__xludf.DUMMYFUNCTION("""COMPUTED_VALUE"""),"Tri-State Area Home Pickups")</f>
        <v>Tri-State Area Home Pickups</v>
      </c>
      <c r="I10" s="61"/>
      <c r="J10" s="107" t="str">
        <f>IFERROR(__xludf.DUMMYFUNCTION("""COMPUTED_VALUE"""),"University Housing")</f>
        <v>University Housing</v>
      </c>
      <c r="K10" s="107" t="str">
        <f>IFERROR(__xludf.DUMMYFUNCTION("""COMPUTED_VALUE"""),"11:00 AM - 01:00 PM")</f>
        <v>11:00 AM - 01:00 PM</v>
      </c>
      <c r="L10" s="100">
        <f>IFERROR(__xludf.DUMMYFUNCTION("""COMPUTED_VALUE"""),45878.0)</f>
        <v>45878</v>
      </c>
      <c r="M10" s="110" t="str">
        <f>IFERROR(__xludf.DUMMYFUNCTION("""COMPUTED_VALUE"""),"DON'T KNOW YET (put 'XXX' for room #)")</f>
        <v>DON'T KNOW YET (put 'XXX' for room #)</v>
      </c>
      <c r="N10" s="61" t="str">
        <f>IFERROR(__xludf.DUMMYFUNCTION("""COMPUTED_VALUE"""),"Xxx")</f>
        <v>Xxx</v>
      </c>
      <c r="O10" s="61"/>
      <c r="P10" s="61"/>
      <c r="Q10" s="61"/>
      <c r="R10" s="61"/>
    </row>
    <row r="11">
      <c r="A11" s="102" t="str">
        <f>IFERROR(__xludf.DUMMYFUNCTION("""COMPUTED_VALUE"""),"https://utrucking.myshopify.com/admin/orders?query=15005")</f>
        <v>https://utrucking.myshopify.com/admin/orders?query=15005</v>
      </c>
      <c r="B11" s="65" t="str">
        <f>IFERROR(__xludf.DUMMYFUNCTION("""COMPUTED_VALUE"""),"#15005")</f>
        <v>#15005</v>
      </c>
      <c r="C11" s="65" t="str">
        <f>IFERROR(__xludf.DUMMYFUNCTION("""COMPUTED_VALUE"""),"h.shaye@email.wustl.edu")</f>
        <v>h.shaye@email.wustl.edu</v>
      </c>
      <c r="D11" s="65" t="str">
        <f>IFERROR(__xludf.DUMMYFUNCTION("""COMPUTED_VALUE"""),"(201) 264-8488")</f>
        <v>(201) 264-8488</v>
      </c>
      <c r="E11" s="65" t="str">
        <f>IFERROR(__xludf.DUMMYFUNCTION("""COMPUTED_VALUE"""),"Lauri Herman")</f>
        <v>Lauri Herman</v>
      </c>
      <c r="F11" s="65"/>
      <c r="G11" s="65" t="str">
        <f>IFERROR(__xludf.DUMMYFUNCTION("""COMPUTED_VALUE"""),"72 Essex Street")</f>
        <v>72 Essex Street</v>
      </c>
      <c r="H11" s="65" t="str">
        <f>IFERROR(__xludf.DUMMYFUNCTION("""COMPUTED_VALUE"""),"Tri-State Area Home Pickups")</f>
        <v>Tri-State Area Home Pickups</v>
      </c>
      <c r="I11" s="65"/>
      <c r="J11" s="108" t="str">
        <f>IFERROR(__xludf.DUMMYFUNCTION("""COMPUTED_VALUE"""),"University Housing")</f>
        <v>University Housing</v>
      </c>
      <c r="K11" s="108" t="str">
        <f>IFERROR(__xludf.DUMMYFUNCTION("""COMPUTED_VALUE"""),"09:00 AM - 11:00 AM")</f>
        <v>09:00 AM - 11:00 AM</v>
      </c>
      <c r="L11" s="103">
        <f>IFERROR(__xludf.DUMMYFUNCTION("""COMPUTED_VALUE"""),45878.0)</f>
        <v>45878</v>
      </c>
      <c r="M11" s="111" t="str">
        <f>IFERROR(__xludf.DUMMYFUNCTION("""COMPUTED_VALUE"""),"Millbrook Bldg. 4")</f>
        <v>Millbrook Bldg. 4</v>
      </c>
      <c r="N11" s="65" t="str">
        <f>IFERROR(__xludf.DUMMYFUNCTION("""COMPUTED_VALUE"""),"B-3C-A")</f>
        <v>B-3C-A</v>
      </c>
      <c r="O11" s="65"/>
      <c r="P11" s="65"/>
      <c r="Q11" s="65"/>
      <c r="R11" s="65"/>
    </row>
    <row r="12">
      <c r="A12" s="99" t="str">
        <f>IFERROR(__xludf.DUMMYFUNCTION("""COMPUTED_VALUE"""),"https://utrucking.myshopify.com/admin/orders?query=15011")</f>
        <v>https://utrucking.myshopify.com/admin/orders?query=15011</v>
      </c>
      <c r="B12" s="61" t="str">
        <f>IFERROR(__xludf.DUMMYFUNCTION("""COMPUTED_VALUE"""),"#15011")</f>
        <v>#15011</v>
      </c>
      <c r="C12" s="61" t="str">
        <f>IFERROR(__xludf.DUMMYFUNCTION("""COMPUTED_VALUE"""),"hametz@wustl.edu")</f>
        <v>hametz@wustl.edu</v>
      </c>
      <c r="D12" s="61" t="str">
        <f>IFERROR(__xludf.DUMMYFUNCTION("""COMPUTED_VALUE"""),"(914) 849-8141")</f>
        <v>(914) 849-8141</v>
      </c>
      <c r="E12" s="61" t="str">
        <f>IFERROR(__xludf.DUMMYFUNCTION("""COMPUTED_VALUE"""),"Emily Hametz")</f>
        <v>Emily Hametz</v>
      </c>
      <c r="F12" s="61"/>
      <c r="G12" s="61" t="str">
        <f>IFERROR(__xludf.DUMMYFUNCTION("""COMPUTED_VALUE"""),"41 Indian Hill Road")</f>
        <v>41 Indian Hill Road</v>
      </c>
      <c r="H12" s="61" t="str">
        <f>IFERROR(__xludf.DUMMYFUNCTION("""COMPUTED_VALUE"""),"Tri-State Area Home Pickups")</f>
        <v>Tri-State Area Home Pickups</v>
      </c>
      <c r="I12" s="61"/>
      <c r="J12" s="107" t="str">
        <f>IFERROR(__xludf.DUMMYFUNCTION("""COMPUTED_VALUE"""),"University Housing")</f>
        <v>University Housing</v>
      </c>
      <c r="K12" s="107" t="str">
        <f>IFERROR(__xludf.DUMMYFUNCTION("""COMPUTED_VALUE"""),"11:00 AM - 01:00 PM")</f>
        <v>11:00 AM - 01:00 PM</v>
      </c>
      <c r="L12" s="100">
        <f>IFERROR(__xludf.DUMMYFUNCTION("""COMPUTED_VALUE"""),45877.0)</f>
        <v>45877</v>
      </c>
      <c r="M12" s="110" t="str">
        <f>IFERROR(__xludf.DUMMYFUNCTION("""COMPUTED_VALUE"""),"DON'T KNOW YET (put 'XXX' for room #)")</f>
        <v>DON'T KNOW YET (put 'XXX' for room #)</v>
      </c>
      <c r="N12" s="112" t="str">
        <f>IFERROR(__xludf.DUMMYFUNCTION("""COMPUTED_VALUE"""),"XXX")</f>
        <v>XXX</v>
      </c>
      <c r="O12" s="112"/>
      <c r="P12" s="112"/>
      <c r="Q12" s="112"/>
      <c r="R12" s="112"/>
    </row>
    <row r="13">
      <c r="A13" s="102" t="str">
        <f>IFERROR(__xludf.DUMMYFUNCTION("""COMPUTED_VALUE"""),"https://utrucking.myshopify.com/admin/orders?query=15028")</f>
        <v>https://utrucking.myshopify.com/admin/orders?query=15028</v>
      </c>
      <c r="B13" s="65" t="str">
        <f>IFERROR(__xludf.DUMMYFUNCTION("""COMPUTED_VALUE"""),"#15028")</f>
        <v>#15028</v>
      </c>
      <c r="C13" s="65" t="str">
        <f>IFERROR(__xludf.DUMMYFUNCTION("""COMPUTED_VALUE"""),"k.m.ziwot@wustl.edu")</f>
        <v>k.m.ziwot@wustl.edu</v>
      </c>
      <c r="D13" s="65" t="str">
        <f>IFERROR(__xludf.DUMMYFUNCTION("""COMPUTED_VALUE"""),"(908) 698-9314")</f>
        <v>(908) 698-9314</v>
      </c>
      <c r="E13" s="65" t="str">
        <f>IFERROR(__xludf.DUMMYFUNCTION("""COMPUTED_VALUE"""),"Katherine Ziwot")</f>
        <v>Katherine Ziwot</v>
      </c>
      <c r="F13" s="65"/>
      <c r="G13" s="65" t="str">
        <f>IFERROR(__xludf.DUMMYFUNCTION("""COMPUTED_VALUE"""),"21 Pickle Brook Road")</f>
        <v>21 Pickle Brook Road</v>
      </c>
      <c r="H13" s="65" t="str">
        <f>IFERROR(__xludf.DUMMYFUNCTION("""COMPUTED_VALUE"""),"Tri-State Area Home Pickups")</f>
        <v>Tri-State Area Home Pickups</v>
      </c>
      <c r="I13" s="65"/>
      <c r="J13" s="108" t="str">
        <f>IFERROR(__xludf.DUMMYFUNCTION("""COMPUTED_VALUE"""),"University Housing")</f>
        <v>University Housing</v>
      </c>
      <c r="K13" s="108" t="str">
        <f>IFERROR(__xludf.DUMMYFUNCTION("""COMPUTED_VALUE"""),"12:00 PM - 02:00 PM")</f>
        <v>12:00 PM - 02:00 PM</v>
      </c>
      <c r="L13" s="103">
        <f>IFERROR(__xludf.DUMMYFUNCTION("""COMPUTED_VALUE"""),45877.0)</f>
        <v>45877</v>
      </c>
      <c r="M13" s="111" t="str">
        <f>IFERROR(__xludf.DUMMYFUNCTION("""COMPUTED_VALUE"""),"Danforth")</f>
        <v>Danforth</v>
      </c>
      <c r="N13" s="65" t="str">
        <f>IFERROR(__xludf.DUMMYFUNCTION("""COMPUTED_VALUE"""),"2212")</f>
        <v>2212</v>
      </c>
      <c r="O13" s="65"/>
      <c r="P13" s="65"/>
      <c r="Q13" s="65"/>
      <c r="R13" s="65"/>
    </row>
    <row r="14">
      <c r="A14" s="99" t="str">
        <f>IFERROR(__xludf.DUMMYFUNCTION("""COMPUTED_VALUE"""),"https://utrucking.myshopify.com/admin/orders?query=15029")</f>
        <v>https://utrucking.myshopify.com/admin/orders?query=15029</v>
      </c>
      <c r="B14" s="61" t="str">
        <f>IFERROR(__xludf.DUMMYFUNCTION("""COMPUTED_VALUE"""),"#15029")</f>
        <v>#15029</v>
      </c>
      <c r="C14" s="61" t="str">
        <f>IFERROR(__xludf.DUMMYFUNCTION("""COMPUTED_VALUE"""),"k.i.rodriguez@wustl.edu")</f>
        <v>k.i.rodriguez@wustl.edu</v>
      </c>
      <c r="D14" s="61" t="str">
        <f>IFERROR(__xludf.DUMMYFUNCTION("""COMPUTED_VALUE"""),"(203) 571-8398")</f>
        <v>(203) 571-8398</v>
      </c>
      <c r="E14" s="61" t="str">
        <f>IFERROR(__xludf.DUMMYFUNCTION("""COMPUTED_VALUE"""),"Kate Rodriguez")</f>
        <v>Kate Rodriguez</v>
      </c>
      <c r="F14" s="61"/>
      <c r="G14" s="61" t="str">
        <f>IFERROR(__xludf.DUMMYFUNCTION("""COMPUTED_VALUE"""),"4 Concord Lane")</f>
        <v>4 Concord Lane</v>
      </c>
      <c r="H14" s="61" t="str">
        <f>IFERROR(__xludf.DUMMYFUNCTION("""COMPUTED_VALUE"""),"Tri-State Area Home Pickups")</f>
        <v>Tri-State Area Home Pickups</v>
      </c>
      <c r="I14" s="61"/>
      <c r="J14" s="107" t="str">
        <f>IFERROR(__xludf.DUMMYFUNCTION("""COMPUTED_VALUE"""),"University Housing")</f>
        <v>University Housing</v>
      </c>
      <c r="K14" s="107" t="str">
        <f>IFERROR(__xludf.DUMMYFUNCTION("""COMPUTED_VALUE"""),"09:00 AM to 11:00 AM")</f>
        <v>09:00 AM to 11:00 AM</v>
      </c>
      <c r="L14" s="100">
        <f>IFERROR(__xludf.DUMMYFUNCTION("""COMPUTED_VALUE"""),45877.0)</f>
        <v>45877</v>
      </c>
      <c r="M14" s="110" t="str">
        <f>IFERROR(__xludf.DUMMYFUNCTION("""COMPUTED_VALUE"""),"Koenig")</f>
        <v>Koenig</v>
      </c>
      <c r="N14" s="61" t="str">
        <f>IFERROR(__xludf.DUMMYFUNCTION("""COMPUTED_VALUE"""),"4410")</f>
        <v>4410</v>
      </c>
      <c r="O14" s="61"/>
      <c r="P14" s="61"/>
      <c r="Q14" s="61"/>
      <c r="R14" s="61"/>
    </row>
    <row r="15">
      <c r="A15" s="102" t="str">
        <f>IFERROR(__xludf.DUMMYFUNCTION("""COMPUTED_VALUE"""),"https://utrucking.myshopify.com/admin/orders?query=15040")</f>
        <v>https://utrucking.myshopify.com/admin/orders?query=15040</v>
      </c>
      <c r="B15" s="65" t="str">
        <f>IFERROR(__xludf.DUMMYFUNCTION("""COMPUTED_VALUE"""),"#15040")</f>
        <v>#15040</v>
      </c>
      <c r="C15" s="65" t="str">
        <f>IFERROR(__xludf.DUMMYFUNCTION("""COMPUTED_VALUE"""),"modlinger.z@email.wustl.edu")</f>
        <v>modlinger.z@email.wustl.edu</v>
      </c>
      <c r="D15" s="65" t="str">
        <f>IFERROR(__xludf.DUMMYFUNCTION("""COMPUTED_VALUE"""),"(917) 612-3196")</f>
        <v>(917) 612-3196</v>
      </c>
      <c r="E15" s="65" t="str">
        <f>IFERROR(__xludf.DUMMYFUNCTION("""COMPUTED_VALUE"""),"Zachary Modlinger")</f>
        <v>Zachary Modlinger</v>
      </c>
      <c r="F15" s="65"/>
      <c r="G15" s="65" t="str">
        <f>IFERROR(__xludf.DUMMYFUNCTION("""COMPUTED_VALUE"""),"1263 Sussex Road")</f>
        <v>1263 Sussex Road</v>
      </c>
      <c r="H15" s="65" t="str">
        <f>IFERROR(__xludf.DUMMYFUNCTION("""COMPUTED_VALUE"""),"Tri-State Area Home Pickups")</f>
        <v>Tri-State Area Home Pickups</v>
      </c>
      <c r="I15" s="65"/>
      <c r="J15" s="108" t="str">
        <f>IFERROR(__xludf.DUMMYFUNCTION("""COMPUTED_VALUE"""),"University Housing")</f>
        <v>University Housing</v>
      </c>
      <c r="K15" s="108" t="str">
        <f>IFERROR(__xludf.DUMMYFUNCTION("""COMPUTED_VALUE"""),"10:00 AM - 12:00 PM")</f>
        <v>10:00 AM - 12:00 PM</v>
      </c>
      <c r="L15" s="103">
        <f>IFERROR(__xludf.DUMMYFUNCTION("""COMPUTED_VALUE"""),45883.0)</f>
        <v>45883</v>
      </c>
      <c r="M15" s="111" t="str">
        <f>IFERROR(__xludf.DUMMYFUNCTION("""COMPUTED_VALUE"""),"Koenig")</f>
        <v>Koenig</v>
      </c>
      <c r="N15" s="65" t="str">
        <f>IFERROR(__xludf.DUMMYFUNCTION("""COMPUTED_VALUE"""),"3304")</f>
        <v>3304</v>
      </c>
      <c r="O15" s="65"/>
      <c r="P15" s="65"/>
      <c r="Q15" s="65"/>
      <c r="R15" s="65"/>
    </row>
    <row r="16">
      <c r="A16" s="99" t="str">
        <f>IFERROR(__xludf.DUMMYFUNCTION("""COMPUTED_VALUE"""),"https://utrucking.myshopify.com/admin/orders?query=15073")</f>
        <v>https://utrucking.myshopify.com/admin/orders?query=15073</v>
      </c>
      <c r="B16" s="61" t="str">
        <f>IFERROR(__xludf.DUMMYFUNCTION("""COMPUTED_VALUE"""),"#15073")</f>
        <v>#15073</v>
      </c>
      <c r="C16" s="61" t="str">
        <f>IFERROR(__xludf.DUMMYFUNCTION("""COMPUTED_VALUE"""),"amiller@milbank.com")</f>
        <v>amiller@milbank.com</v>
      </c>
      <c r="D16" s="61" t="str">
        <f>IFERROR(__xludf.DUMMYFUNCTION("""COMPUTED_VALUE"""),"(1646) 334-9279")</f>
        <v>(1646) 334-9279</v>
      </c>
      <c r="E16" s="61" t="str">
        <f>IFERROR(__xludf.DUMMYFUNCTION("""COMPUTED_VALUE"""),"Atara miller")</f>
        <v>Atara miller</v>
      </c>
      <c r="F16" s="61"/>
      <c r="G16" s="61" t="str">
        <f>IFERROR(__xludf.DUMMYFUNCTION("""COMPUTED_VALUE"""),"45 Longvue Avenue")</f>
        <v>45 Longvue Avenue</v>
      </c>
      <c r="H16" s="61" t="str">
        <f>IFERROR(__xludf.DUMMYFUNCTION("""COMPUTED_VALUE"""),"Tri-State Area Home Pickups")</f>
        <v>Tri-State Area Home Pickups</v>
      </c>
      <c r="I16" s="61"/>
      <c r="J16" s="107" t="str">
        <f>IFERROR(__xludf.DUMMYFUNCTION("""COMPUTED_VALUE"""),"Non-University Housing")</f>
        <v>Non-University Housing</v>
      </c>
      <c r="K16" s="107" t="str">
        <f>IFERROR(__xludf.DUMMYFUNCTION("""COMPUTED_VALUE"""),"03:00 PM - 05:00 PM")</f>
        <v>03:00 PM - 05:00 PM</v>
      </c>
      <c r="L16" s="100">
        <f>IFERROR(__xludf.DUMMYFUNCTION("""COMPUTED_VALUE"""),45877.0)</f>
        <v>45877</v>
      </c>
      <c r="M16" s="110"/>
      <c r="N16" s="61"/>
      <c r="O16" s="61" t="str">
        <f>IFERROR(__xludf.DUMMYFUNCTION("""COMPUTED_VALUE"""),"45 Longvue Ave, New Rochelle, NY 10804")</f>
        <v>45 Longvue Ave, New Rochelle, NY 10804</v>
      </c>
      <c r="P16" s="61"/>
      <c r="Q16" s="61"/>
      <c r="R16" s="61"/>
    </row>
    <row r="17">
      <c r="A17" s="102" t="str">
        <f>IFERROR(__xludf.DUMMYFUNCTION("""COMPUTED_VALUE"""),"https://utrucking.myshopify.com/admin/orders?query=15074")</f>
        <v>https://utrucking.myshopify.com/admin/orders?query=15074</v>
      </c>
      <c r="B17" s="65" t="str">
        <f>IFERROR(__xludf.DUMMYFUNCTION("""COMPUTED_VALUE"""),"#15074")</f>
        <v>#15074</v>
      </c>
      <c r="C17" s="65" t="str">
        <f>IFERROR(__xludf.DUMMYFUNCTION("""COMPUTED_VALUE"""),"n.samson@wustl.edu")</f>
        <v>n.samson@wustl.edu</v>
      </c>
      <c r="D17" s="65" t="str">
        <f>IFERROR(__xludf.DUMMYFUNCTION("""COMPUTED_VALUE"""),"(917) 605-2406")</f>
        <v>(917) 605-2406</v>
      </c>
      <c r="E17" s="65" t="str">
        <f>IFERROR(__xludf.DUMMYFUNCTION("""COMPUTED_VALUE"""),"Samson Nwobi")</f>
        <v>Samson Nwobi</v>
      </c>
      <c r="F17" s="65"/>
      <c r="G17" s="65" t="str">
        <f>IFERROR(__xludf.DUMMYFUNCTION("""COMPUTED_VALUE"""),"347 Hawthorne Avenue")</f>
        <v>347 Hawthorne Avenue</v>
      </c>
      <c r="H17" s="65" t="str">
        <f>IFERROR(__xludf.DUMMYFUNCTION("""COMPUTED_VALUE"""),"Tri-State Area Home Pickups")</f>
        <v>Tri-State Area Home Pickups</v>
      </c>
      <c r="I17" s="65"/>
      <c r="J17" s="108" t="str">
        <f>IFERROR(__xludf.DUMMYFUNCTION("""COMPUTED_VALUE"""),"University Housing")</f>
        <v>University Housing</v>
      </c>
      <c r="K17" s="108" t="str">
        <f>IFERROR(__xludf.DUMMYFUNCTION("""COMPUTED_VALUE"""),"11:00 AM to 01:00 PM")</f>
        <v>11:00 AM to 01:00 PM</v>
      </c>
      <c r="L17" s="103">
        <f>IFERROR(__xludf.DUMMYFUNCTION("""COMPUTED_VALUE"""),45874.0)</f>
        <v>45874</v>
      </c>
      <c r="M17" s="111" t="str">
        <f>IFERROR(__xludf.DUMMYFUNCTION("""COMPUTED_VALUE"""),"DON'T KNOW YET (put 'XXX' for room #)")</f>
        <v>DON'T KNOW YET (put 'XXX' for room #)</v>
      </c>
      <c r="N17" s="65" t="str">
        <f>IFERROR(__xludf.DUMMYFUNCTION("""COMPUTED_VALUE"""),"XXX")</f>
        <v>XXX</v>
      </c>
      <c r="O17" s="65"/>
      <c r="P17" s="65"/>
      <c r="Q17" s="65"/>
      <c r="R17" s="65"/>
    </row>
    <row r="18">
      <c r="A18" s="99" t="str">
        <f>IFERROR(__xludf.DUMMYFUNCTION("""COMPUTED_VALUE"""),"https://utrucking.myshopify.com/admin/orders?query=15079")</f>
        <v>https://utrucking.myshopify.com/admin/orders?query=15079</v>
      </c>
      <c r="B18" s="61" t="str">
        <f>IFERROR(__xludf.DUMMYFUNCTION("""COMPUTED_VALUE"""),"#15079")</f>
        <v>#15079</v>
      </c>
      <c r="C18" s="61" t="str">
        <f>IFERROR(__xludf.DUMMYFUNCTION("""COMPUTED_VALUE"""),"marnie0609@yahoo.com")</f>
        <v>marnie0609@yahoo.com</v>
      </c>
      <c r="D18" s="61" t="str">
        <f>IFERROR(__xludf.DUMMYFUNCTION("""COMPUTED_VALUE"""),"(1917) 612-9737")</f>
        <v>(1917) 612-9737</v>
      </c>
      <c r="E18" s="61" t="str">
        <f>IFERROR(__xludf.DUMMYFUNCTION("""COMPUTED_VALUE"""),"Marnie Rukin")</f>
        <v>Marnie Rukin</v>
      </c>
      <c r="F18" s="61"/>
      <c r="G18" s="61" t="str">
        <f>IFERROR(__xludf.DUMMYFUNCTION("""COMPUTED_VALUE"""),"10 Rockledge Rd")</f>
        <v>10 Rockledge Rd</v>
      </c>
      <c r="H18" s="61" t="str">
        <f>IFERROR(__xludf.DUMMYFUNCTION("""COMPUTED_VALUE"""),"Tri-State Area Home Pickups")</f>
        <v>Tri-State Area Home Pickups</v>
      </c>
      <c r="I18" s="61"/>
      <c r="J18" s="107" t="str">
        <f>IFERROR(__xludf.DUMMYFUNCTION("""COMPUTED_VALUE"""),"University Housing")</f>
        <v>University Housing</v>
      </c>
      <c r="K18" s="107" t="str">
        <f>IFERROR(__xludf.DUMMYFUNCTION("""COMPUTED_VALUE"""),"11:00 AM - 01:00 PM")</f>
        <v>11:00 AM - 01:00 PM</v>
      </c>
      <c r="L18" s="100">
        <f>IFERROR(__xludf.DUMMYFUNCTION("""COMPUTED_VALUE"""),45877.0)</f>
        <v>45877</v>
      </c>
      <c r="M18" s="110" t="str">
        <f>IFERROR(__xludf.DUMMYFUNCTION("""COMPUTED_VALUE"""),"Umrath")</f>
        <v>Umrath</v>
      </c>
      <c r="N18" s="61" t="str">
        <f>IFERROR(__xludf.DUMMYFUNCTION("""COMPUTED_VALUE"""),"2240")</f>
        <v>2240</v>
      </c>
      <c r="O18" s="61"/>
      <c r="P18" s="61"/>
      <c r="Q18" s="61"/>
      <c r="R18" s="61"/>
    </row>
    <row r="19">
      <c r="A19" s="102" t="str">
        <f>IFERROR(__xludf.DUMMYFUNCTION("""COMPUTED_VALUE"""),"https://utrucking.myshopify.com/admin/orders?query=15094")</f>
        <v>https://utrucking.myshopify.com/admin/orders?query=15094</v>
      </c>
      <c r="B19" s="65" t="str">
        <f>IFERROR(__xludf.DUMMYFUNCTION("""COMPUTED_VALUE"""),"#15094")</f>
        <v>#15094</v>
      </c>
      <c r="C19" s="65" t="str">
        <f>IFERROR(__xludf.DUMMYFUNCTION("""COMPUTED_VALUE"""),"l.maddy@wustl.edu")</f>
        <v>l.maddy@wustl.edu</v>
      </c>
      <c r="D19" s="65" t="str">
        <f>IFERROR(__xludf.DUMMYFUNCTION("""COMPUTED_VALUE"""),"(203) 554-1142")</f>
        <v>(203) 554-1142</v>
      </c>
      <c r="E19" s="65" t="str">
        <f>IFERROR(__xludf.DUMMYFUNCTION("""COMPUTED_VALUE"""),"Maddy Lee")</f>
        <v>Maddy Lee</v>
      </c>
      <c r="F19" s="65"/>
      <c r="G19" s="65" t="str">
        <f>IFERROR(__xludf.DUMMYFUNCTION("""COMPUTED_VALUE"""),"36 Andrews Farm Road")</f>
        <v>36 Andrews Farm Road</v>
      </c>
      <c r="H19" s="65" t="str">
        <f>IFERROR(__xludf.DUMMYFUNCTION("""COMPUTED_VALUE"""),"Tri-State Area Home Pickups")</f>
        <v>Tri-State Area Home Pickups</v>
      </c>
      <c r="I19" s="65"/>
      <c r="J19" s="108" t="str">
        <f>IFERROR(__xludf.DUMMYFUNCTION("""COMPUTED_VALUE"""),"University Housing")</f>
        <v>University Housing</v>
      </c>
      <c r="K19" s="108" t="str">
        <f>IFERROR(__xludf.DUMMYFUNCTION("""COMPUTED_VALUE"""),"11:00 AM - 01:00 PM")</f>
        <v>11:00 AM - 01:00 PM</v>
      </c>
      <c r="L19" s="103">
        <f>IFERROR(__xludf.DUMMYFUNCTION("""COMPUTED_VALUE"""),45877.0)</f>
        <v>45877</v>
      </c>
      <c r="M19" s="111" t="str">
        <f>IFERROR(__xludf.DUMMYFUNCTION("""COMPUTED_VALUE"""),"Nemerov")</f>
        <v>Nemerov</v>
      </c>
      <c r="N19" s="65" t="str">
        <f>IFERROR(__xludf.DUMMYFUNCTION("""COMPUTED_VALUE"""),"4060")</f>
        <v>4060</v>
      </c>
      <c r="O19" s="65"/>
      <c r="P19" s="65"/>
      <c r="Q19" s="65"/>
      <c r="R19" s="65"/>
    </row>
    <row r="20">
      <c r="A20" s="99" t="str">
        <f>IFERROR(__xludf.DUMMYFUNCTION("""COMPUTED_VALUE"""),"https://utrucking.myshopify.com/admin/orders?query=15097")</f>
        <v>https://utrucking.myshopify.com/admin/orders?query=15097</v>
      </c>
      <c r="B20" s="61" t="str">
        <f>IFERROR(__xludf.DUMMYFUNCTION("""COMPUTED_VALUE"""),"#15097")</f>
        <v>#15097</v>
      </c>
      <c r="C20" s="61" t="str">
        <f>IFERROR(__xludf.DUMMYFUNCTION("""COMPUTED_VALUE"""),"blumi@wustl.edu")</f>
        <v>blumi@wustl.edu</v>
      </c>
      <c r="D20" s="61" t="str">
        <f>IFERROR(__xludf.DUMMYFUNCTION("""COMPUTED_VALUE"""),"(516) 376-8942")</f>
        <v>(516) 376-8942</v>
      </c>
      <c r="E20" s="61" t="str">
        <f>IFERROR(__xludf.DUMMYFUNCTION("""COMPUTED_VALUE"""),"Benjamin Lumi")</f>
        <v>Benjamin Lumi</v>
      </c>
      <c r="F20" s="61"/>
      <c r="G20" s="61" t="str">
        <f>IFERROR(__xludf.DUMMYFUNCTION("""COMPUTED_VALUE"""),"48 Edgewood Road")</f>
        <v>48 Edgewood Road</v>
      </c>
      <c r="H20" s="61" t="str">
        <f>IFERROR(__xludf.DUMMYFUNCTION("""COMPUTED_VALUE"""),"Tri-State Area Home Pickups")</f>
        <v>Tri-State Area Home Pickups</v>
      </c>
      <c r="I20" s="61"/>
      <c r="J20" s="107" t="str">
        <f>IFERROR(__xludf.DUMMYFUNCTION("""COMPUTED_VALUE"""),"University Housing")</f>
        <v>University Housing</v>
      </c>
      <c r="K20" s="107" t="str">
        <f>IFERROR(__xludf.DUMMYFUNCTION("""COMPUTED_VALUE"""),"09:00 AM - 11:00 AM")</f>
        <v>09:00 AM - 11:00 AM</v>
      </c>
      <c r="L20" s="100">
        <f>IFERROR(__xludf.DUMMYFUNCTION("""COMPUTED_VALUE"""),45878.0)</f>
        <v>45878</v>
      </c>
      <c r="M20" s="110" t="str">
        <f>IFERROR(__xludf.DUMMYFUNCTION("""COMPUTED_VALUE"""),"DON'T KNOW YET (put 'XXX' for room #)")</f>
        <v>DON'T KNOW YET (put 'XXX' for room #)</v>
      </c>
      <c r="N20" s="61" t="str">
        <f>IFERROR(__xludf.DUMMYFUNCTION("""COMPUTED_VALUE"""),"XXX")</f>
        <v>XXX</v>
      </c>
      <c r="O20" s="61"/>
      <c r="P20" s="61"/>
      <c r="Q20" s="61"/>
      <c r="R20" s="61"/>
    </row>
    <row r="21">
      <c r="A21" s="102" t="str">
        <f>IFERROR(__xludf.DUMMYFUNCTION("""COMPUTED_VALUE"""),"https://utrucking.myshopify.com/admin/orders?query=15098")</f>
        <v>https://utrucking.myshopify.com/admin/orders?query=15098</v>
      </c>
      <c r="B21" s="65" t="str">
        <f>IFERROR(__xludf.DUMMYFUNCTION("""COMPUTED_VALUE"""),"#15098")</f>
        <v>#15098</v>
      </c>
      <c r="C21" s="65" t="str">
        <f>IFERROR(__xludf.DUMMYFUNCTION("""COMPUTED_VALUE"""),"k.sammy@wustl.edu")</f>
        <v>k.sammy@wustl.edu</v>
      </c>
      <c r="D21" s="65" t="str">
        <f>IFERROR(__xludf.DUMMYFUNCTION("""COMPUTED_VALUE"""),"(973) 985-5672")</f>
        <v>(973) 985-5672</v>
      </c>
      <c r="E21" s="65" t="str">
        <f>IFERROR(__xludf.DUMMYFUNCTION("""COMPUTED_VALUE"""),"Karin Kelner")</f>
        <v>Karin Kelner</v>
      </c>
      <c r="F21" s="65"/>
      <c r="G21" s="65" t="str">
        <f>IFERROR(__xludf.DUMMYFUNCTION("""COMPUTED_VALUE"""),"9 Sailers Way")</f>
        <v>9 Sailers Way</v>
      </c>
      <c r="H21" s="65" t="str">
        <f>IFERROR(__xludf.DUMMYFUNCTION("""COMPUTED_VALUE"""),"Tri-State Area Home Pickups")</f>
        <v>Tri-State Area Home Pickups</v>
      </c>
      <c r="I21" s="65"/>
      <c r="J21" s="108" t="str">
        <f>IFERROR(__xludf.DUMMYFUNCTION("""COMPUTED_VALUE"""),"University Housing")</f>
        <v>University Housing</v>
      </c>
      <c r="K21" s="108" t="str">
        <f>IFERROR(__xludf.DUMMYFUNCTION("""COMPUTED_VALUE"""),"09:00 AM - 11:00 AM")</f>
        <v>09:00 AM - 11:00 AM</v>
      </c>
      <c r="L21" s="103">
        <f>IFERROR(__xludf.DUMMYFUNCTION("""COMPUTED_VALUE"""),45878.0)</f>
        <v>45878</v>
      </c>
      <c r="M21" s="111" t="str">
        <f>IFERROR(__xludf.DUMMYFUNCTION("""COMPUTED_VALUE"""),"Loop Loft 6255")</f>
        <v>Loop Loft 6255</v>
      </c>
      <c r="N21" s="65" t="str">
        <f>IFERROR(__xludf.DUMMYFUNCTION("""COMPUTED_VALUE"""),"Apartment 411C")</f>
        <v>Apartment 411C</v>
      </c>
      <c r="O21" s="65"/>
      <c r="P21" s="65"/>
      <c r="Q21" s="65"/>
      <c r="R21" s="65"/>
    </row>
    <row r="22">
      <c r="A22" s="99" t="str">
        <f>IFERROR(__xludf.DUMMYFUNCTION("""COMPUTED_VALUE"""),"https://utrucking.myshopify.com/admin/orders?query=14588")</f>
        <v>https://utrucking.myshopify.com/admin/orders?query=14588</v>
      </c>
      <c r="B22" s="61" t="str">
        <f>IFERROR(__xludf.DUMMYFUNCTION("""COMPUTED_VALUE"""),"#14588")</f>
        <v>#14588</v>
      </c>
      <c r="C22" s="61" t="str">
        <f>IFERROR(__xludf.DUMMYFUNCTION("""COMPUTED_VALUE"""),"j.rangaraj@wustl.edu")</f>
        <v>j.rangaraj@wustl.edu</v>
      </c>
      <c r="D22" s="61" t="str">
        <f>IFERROR(__xludf.DUMMYFUNCTION("""COMPUTED_VALUE"""),"(914) 400-5464")</f>
        <v>(914) 400-5464</v>
      </c>
      <c r="E22" s="61" t="str">
        <f>IFERROR(__xludf.DUMMYFUNCTION("""COMPUTED_VALUE"""),"Jayant Rangaraj")</f>
        <v>Jayant Rangaraj</v>
      </c>
      <c r="F22" s="61"/>
      <c r="G22" s="61" t="str">
        <f>IFERROR(__xludf.DUMMYFUNCTION("""COMPUTED_VALUE"""),"I don't know")</f>
        <v>I don't know</v>
      </c>
      <c r="H22" s="61" t="str">
        <f>IFERROR(__xludf.DUMMYFUNCTION("""COMPUTED_VALUE"""),"Tri-State Area Home Pickups")</f>
        <v>Tri-State Area Home Pickups</v>
      </c>
      <c r="I22" s="61"/>
      <c r="J22" s="107" t="str">
        <f>IFERROR(__xludf.DUMMYFUNCTION("""COMPUTED_VALUE"""),"Non-University Housing")</f>
        <v>Non-University Housing</v>
      </c>
      <c r="K22" s="107" t="str">
        <f>IFERROR(__xludf.DUMMYFUNCTION("""COMPUTED_VALUE"""),"09:00 AM - 11:00 AM")</f>
        <v>09:00 AM - 11:00 AM</v>
      </c>
      <c r="L22" s="100">
        <f>IFERROR(__xludf.DUMMYFUNCTION("""COMPUTED_VALUE"""),45877.0)</f>
        <v>45877</v>
      </c>
      <c r="M22" s="110" t="str">
        <f>IFERROR(__xludf.DUMMYFUNCTION("""COMPUTED_VALUE"""),"Danforth")</f>
        <v>Danforth</v>
      </c>
      <c r="N22" s="61" t="str">
        <f>IFERROR(__xludf.DUMMYFUNCTION("""COMPUTED_VALUE"""),"4419")</f>
        <v>4419</v>
      </c>
      <c r="O22" s="61" t="str">
        <f>IFERROR(__xludf.DUMMYFUNCTION("""COMPUTED_VALUE"""),"14 Ridgecrest E, Scarsdale, NY 10583")</f>
        <v>14 Ridgecrest E, Scarsdale, NY 10583</v>
      </c>
      <c r="P22" s="61"/>
      <c r="Q22" s="61"/>
      <c r="R22" s="61"/>
    </row>
    <row r="23">
      <c r="A23" s="102" t="str">
        <f>IFERROR(__xludf.DUMMYFUNCTION("""COMPUTED_VALUE"""),"https://utrucking.myshopify.com/admin/orders?query=14849")</f>
        <v>https://utrucking.myshopify.com/admin/orders?query=14849</v>
      </c>
      <c r="B23" s="65" t="str">
        <f>IFERROR(__xludf.DUMMYFUNCTION("""COMPUTED_VALUE"""),"#14849")</f>
        <v>#14849</v>
      </c>
      <c r="C23" s="65" t="str">
        <f>IFERROR(__xludf.DUMMYFUNCTION("""COMPUTED_VALUE"""),"c.a.mallah@wustl.edu")</f>
        <v>c.a.mallah@wustl.edu</v>
      </c>
      <c r="D23" s="65" t="str">
        <f>IFERROR(__xludf.DUMMYFUNCTION("""COMPUTED_VALUE"""),"(917) 921-7228")</f>
        <v>(917) 921-7228</v>
      </c>
      <c r="E23" s="65" t="str">
        <f>IFERROR(__xludf.DUMMYFUNCTION("""COMPUTED_VALUE"""),"Lloyd Mallah")</f>
        <v>Lloyd Mallah</v>
      </c>
      <c r="F23" s="65"/>
      <c r="G23" s="65" t="str">
        <f>IFERROR(__xludf.DUMMYFUNCTION("""COMPUTED_VALUE"""),"17 Birch Lane")</f>
        <v>17 Birch Lane</v>
      </c>
      <c r="H23" s="65" t="str">
        <f>IFERROR(__xludf.DUMMYFUNCTION("""COMPUTED_VALUE"""),"Tri-State Area Home Pickups")</f>
        <v>Tri-State Area Home Pickups</v>
      </c>
      <c r="I23" s="65"/>
      <c r="J23" s="108" t="str">
        <f>IFERROR(__xludf.DUMMYFUNCTION("""COMPUTED_VALUE"""),"Non-University Housing")</f>
        <v>Non-University Housing</v>
      </c>
      <c r="K23" s="108" t="str">
        <f>IFERROR(__xludf.DUMMYFUNCTION("""COMPUTED_VALUE"""),"3:00 PM - 5:00 PM")</f>
        <v>3:00 PM - 5:00 PM</v>
      </c>
      <c r="L23" s="103">
        <f>IFERROR(__xludf.DUMMYFUNCTION("""COMPUTED_VALUE"""),45888.0)</f>
        <v>45888</v>
      </c>
      <c r="M23" s="111"/>
      <c r="N23" s="65"/>
      <c r="O23" s="65" t="str">
        <f>IFERROR(__xludf.DUMMYFUNCTION("""COMPUTED_VALUE"""),"6843 Kingsbury Blvd, University City, MO 63130 Apartment 1E")</f>
        <v>6843 Kingsbury Blvd, University City, MO 63130 Apartment 1E</v>
      </c>
      <c r="P23" s="65"/>
      <c r="Q23" s="65"/>
      <c r="R23" s="65"/>
    </row>
    <row r="24">
      <c r="A24" s="99" t="str">
        <f>IFERROR(__xludf.DUMMYFUNCTION("""COMPUTED_VALUE"""),"https://utrucking.myshopify.com/admin/orders?query=15111")</f>
        <v>https://utrucking.myshopify.com/admin/orders?query=15111</v>
      </c>
      <c r="B24" s="61" t="str">
        <f>IFERROR(__xludf.DUMMYFUNCTION("""COMPUTED_VALUE"""),"#15111")</f>
        <v>#15111</v>
      </c>
      <c r="C24" s="61" t="str">
        <f>IFERROR(__xludf.DUMMYFUNCTION("""COMPUTED_VALUE"""),"alexsaltzman@hotmail.com")</f>
        <v>alexsaltzman@hotmail.com</v>
      </c>
      <c r="D24" s="61" t="str">
        <f>IFERROR(__xludf.DUMMYFUNCTION("""COMPUTED_VALUE"""),"(646) 245-8563")</f>
        <v>(646) 245-8563</v>
      </c>
      <c r="E24" s="61" t="str">
        <f>IFERROR(__xludf.DUMMYFUNCTION("""COMPUTED_VALUE"""),"Sophie Saltzman")</f>
        <v>Sophie Saltzman</v>
      </c>
      <c r="F24" s="61"/>
      <c r="G24" s="61" t="str">
        <f>IFERROR(__xludf.DUMMYFUNCTION("""COMPUTED_VALUE"""),"212 Legend Drive")</f>
        <v>212 Legend Drive</v>
      </c>
      <c r="H24" s="61" t="str">
        <f>IFERROR(__xludf.DUMMYFUNCTION("""COMPUTED_VALUE"""),"Tri-State Area Home Pickups")</f>
        <v>Tri-State Area Home Pickups</v>
      </c>
      <c r="I24" s="61"/>
      <c r="J24" s="107" t="str">
        <f>IFERROR(__xludf.DUMMYFUNCTION("""COMPUTED_VALUE"""),"University Housing")</f>
        <v>University Housing</v>
      </c>
      <c r="K24" s="107" t="str">
        <f>IFERROR(__xludf.DUMMYFUNCTION("""COMPUTED_VALUE"""),"09:00 AM - 11:00 AM")</f>
        <v>09:00 AM - 11:00 AM</v>
      </c>
      <c r="L24" s="100">
        <f>IFERROR(__xludf.DUMMYFUNCTION("""COMPUTED_VALUE"""),45877.0)</f>
        <v>45877</v>
      </c>
      <c r="M24" s="110" t="str">
        <f>IFERROR(__xludf.DUMMYFUNCTION("""COMPUTED_VALUE"""),"Umrath")</f>
        <v>Umrath</v>
      </c>
      <c r="N24" s="61" t="str">
        <f>IFERROR(__xludf.DUMMYFUNCTION("""COMPUTED_VALUE"""),"XXX")</f>
        <v>XXX</v>
      </c>
      <c r="O24" s="61"/>
      <c r="P24" s="61"/>
      <c r="Q24" s="61"/>
      <c r="R24" s="61"/>
    </row>
    <row r="25">
      <c r="A25" s="102" t="str">
        <f>IFERROR(__xludf.DUMMYFUNCTION("""COMPUTED_VALUE"""),"https://utrucking.myshopify.com/admin/orders?query=15114")</f>
        <v>https://utrucking.myshopify.com/admin/orders?query=15114</v>
      </c>
      <c r="B25" s="65" t="str">
        <f>IFERROR(__xludf.DUMMYFUNCTION("""COMPUTED_VALUE"""),"#15114")</f>
        <v>#15114</v>
      </c>
      <c r="C25" s="65" t="str">
        <f>IFERROR(__xludf.DUMMYFUNCTION("""COMPUTED_VALUE"""),"glassj@washu.edu")</f>
        <v>glassj@washu.edu</v>
      </c>
      <c r="D25" s="65" t="str">
        <f>IFERROR(__xludf.DUMMYFUNCTION("""COMPUTED_VALUE"""),"(914) 432-6482")</f>
        <v>(914) 432-6482</v>
      </c>
      <c r="E25" s="65" t="str">
        <f>IFERROR(__xludf.DUMMYFUNCTION("""COMPUTED_VALUE"""),"Jonah Glass")</f>
        <v>Jonah Glass</v>
      </c>
      <c r="F25" s="65"/>
      <c r="G25" s="65" t="str">
        <f>IFERROR(__xludf.DUMMYFUNCTION("""COMPUTED_VALUE"""),"29 Guion Street")</f>
        <v>29 Guion Street</v>
      </c>
      <c r="H25" s="65" t="str">
        <f>IFERROR(__xludf.DUMMYFUNCTION("""COMPUTED_VALUE"""),"Tri-State Area Home Pickups")</f>
        <v>Tri-State Area Home Pickups</v>
      </c>
      <c r="I25" s="65"/>
      <c r="J25" s="108" t="str">
        <f>IFERROR(__xludf.DUMMYFUNCTION("""COMPUTED_VALUE"""),"University Housing")</f>
        <v>University Housing</v>
      </c>
      <c r="K25" s="108" t="str">
        <f>IFERROR(__xludf.DUMMYFUNCTION("""COMPUTED_VALUE"""),"12:00 PM - 02:00 PM")</f>
        <v>12:00 PM - 02:00 PM</v>
      </c>
      <c r="L25" s="103">
        <f>IFERROR(__xludf.DUMMYFUNCTION("""COMPUTED_VALUE"""),45882.0)</f>
        <v>45882</v>
      </c>
      <c r="M25" s="111" t="str">
        <f>IFERROR(__xludf.DUMMYFUNCTION("""COMPUTED_VALUE"""),"Dauten")</f>
        <v>Dauten</v>
      </c>
      <c r="N25" s="65" t="str">
        <f>IFERROR(__xludf.DUMMYFUNCTION("""COMPUTED_VALUE"""),"242-b")</f>
        <v>242-b</v>
      </c>
      <c r="O25" s="65"/>
      <c r="P25" s="65"/>
      <c r="Q25" s="65"/>
      <c r="R25" s="65"/>
    </row>
    <row r="26">
      <c r="A26" s="99" t="str">
        <f>IFERROR(__xludf.DUMMYFUNCTION("""COMPUTED_VALUE"""),"https://utrucking.myshopify.com/admin/orders?query=15116")</f>
        <v>https://utrucking.myshopify.com/admin/orders?query=15116</v>
      </c>
      <c r="B26" s="61" t="str">
        <f>IFERROR(__xludf.DUMMYFUNCTION("""COMPUTED_VALUE"""),"#15116")</f>
        <v>#15116</v>
      </c>
      <c r="C26" s="61" t="str">
        <f>IFERROR(__xludf.DUMMYFUNCTION("""COMPUTED_VALUE"""),"amiyahl@wustl.edu")</f>
        <v>amiyahl@wustl.edu</v>
      </c>
      <c r="D26" s="61" t="str">
        <f>IFERROR(__xludf.DUMMYFUNCTION("""COMPUTED_VALUE"""),"(1347) 557-6359")</f>
        <v>(1347) 557-6359</v>
      </c>
      <c r="E26" s="61" t="str">
        <f>IFERROR(__xludf.DUMMYFUNCTION("""COMPUTED_VALUE"""),"Claudia Louis")</f>
        <v>Claudia Louis</v>
      </c>
      <c r="F26" s="61"/>
      <c r="G26" s="61" t="str">
        <f>IFERROR(__xludf.DUMMYFUNCTION("""COMPUTED_VALUE"""),"1325 Jerome Ave")</f>
        <v>1325 Jerome Ave</v>
      </c>
      <c r="H26" s="61" t="str">
        <f>IFERROR(__xludf.DUMMYFUNCTION("""COMPUTED_VALUE"""),"Tri-State Area Home Pickups")</f>
        <v>Tri-State Area Home Pickups</v>
      </c>
      <c r="I26" s="61"/>
      <c r="J26" s="107" t="str">
        <f>IFERROR(__xludf.DUMMYFUNCTION("""COMPUTED_VALUE"""),"University Housing")</f>
        <v>University Housing</v>
      </c>
      <c r="K26" s="107" t="str">
        <f>IFERROR(__xludf.DUMMYFUNCTION("""COMPUTED_VALUE"""),"09:00 AM - 11:00 AM")</f>
        <v>09:00 AM - 11:00 AM</v>
      </c>
      <c r="L26" s="100">
        <f>IFERROR(__xludf.DUMMYFUNCTION("""COMPUTED_VALUE"""),45882.0)</f>
        <v>45882</v>
      </c>
      <c r="M26" s="110" t="str">
        <f>IFERROR(__xludf.DUMMYFUNCTION("""COMPUTED_VALUE"""),"Koenig")</f>
        <v>Koenig</v>
      </c>
      <c r="N26" s="61" t="str">
        <f>IFERROR(__xludf.DUMMYFUNCTION("""COMPUTED_VALUE"""),"4402")</f>
        <v>4402</v>
      </c>
      <c r="O26" s="61"/>
      <c r="P26" s="61"/>
      <c r="Q26" s="61"/>
      <c r="R26" s="61"/>
    </row>
    <row r="27">
      <c r="A27" s="102" t="str">
        <f>IFERROR(__xludf.DUMMYFUNCTION("""COMPUTED_VALUE"""),"https://utrucking.myshopify.com/admin/orders?query=15118")</f>
        <v>https://utrucking.myshopify.com/admin/orders?query=15118</v>
      </c>
      <c r="B27" s="65" t="str">
        <f>IFERROR(__xludf.DUMMYFUNCTION("""COMPUTED_VALUE"""),"#15118")</f>
        <v>#15118</v>
      </c>
      <c r="C27" s="65" t="str">
        <f>IFERROR(__xludf.DUMMYFUNCTION("""COMPUTED_VALUE"""),"kelly.s.g@wustl.edu")</f>
        <v>kelly.s.g@wustl.edu</v>
      </c>
      <c r="D27" s="65" t="str">
        <f>IFERROR(__xludf.DUMMYFUNCTION("""COMPUTED_VALUE"""),"(908) 514-9191")</f>
        <v>(908) 514-9191</v>
      </c>
      <c r="E27" s="65" t="str">
        <f>IFERROR(__xludf.DUMMYFUNCTION("""COMPUTED_VALUE"""),"Sarah Kelly")</f>
        <v>Sarah Kelly</v>
      </c>
      <c r="F27" s="65"/>
      <c r="G27" s="65" t="str">
        <f>IFERROR(__xludf.DUMMYFUNCTION("""COMPUTED_VALUE"""),"19 Rotary Lane")</f>
        <v>19 Rotary Lane</v>
      </c>
      <c r="H27" s="65" t="str">
        <f>IFERROR(__xludf.DUMMYFUNCTION("""COMPUTED_VALUE"""),"Tri-State Area Home Pickups")</f>
        <v>Tri-State Area Home Pickups</v>
      </c>
      <c r="I27" s="65"/>
      <c r="J27" s="108" t="str">
        <f>IFERROR(__xludf.DUMMYFUNCTION("""COMPUTED_VALUE"""),"University Housing")</f>
        <v>University Housing</v>
      </c>
      <c r="K27" s="108" t="str">
        <f>IFERROR(__xludf.DUMMYFUNCTION("""COMPUTED_VALUE"""),"09:00 AM - 11:00 AM")</f>
        <v>09:00 AM - 11:00 AM</v>
      </c>
      <c r="L27" s="103">
        <f>IFERROR(__xludf.DUMMYFUNCTION("""COMPUTED_VALUE"""),45890.0)</f>
        <v>45890</v>
      </c>
      <c r="M27" s="111" t="str">
        <f>IFERROR(__xludf.DUMMYFUNCTION("""COMPUTED_VALUE"""),"Zetcher")</f>
        <v>Zetcher</v>
      </c>
      <c r="N27" s="65" t="str">
        <f>IFERROR(__xludf.DUMMYFUNCTION("""COMPUTED_VALUE"""),"2214-a")</f>
        <v>2214-a</v>
      </c>
      <c r="O27" s="65"/>
      <c r="P27" s="65"/>
      <c r="Q27" s="65"/>
      <c r="R27" s="65"/>
    </row>
    <row r="28">
      <c r="A28" s="99" t="str">
        <f>IFERROR(__xludf.DUMMYFUNCTION("""COMPUTED_VALUE"""),"https://utrucking.myshopify.com/admin/orders?query=15124")</f>
        <v>https://utrucking.myshopify.com/admin/orders?query=15124</v>
      </c>
      <c r="B28" s="61" t="str">
        <f>IFERROR(__xludf.DUMMYFUNCTION("""COMPUTED_VALUE"""),"#15124")</f>
        <v>#15124</v>
      </c>
      <c r="C28" s="61" t="str">
        <f>IFERROR(__xludf.DUMMYFUNCTION("""COMPUTED_VALUE"""),"j.g.kershner@wustl.edu")</f>
        <v>j.g.kershner@wustl.edu</v>
      </c>
      <c r="D28" s="61" t="str">
        <f>IFERROR(__xludf.DUMMYFUNCTION("""COMPUTED_VALUE"""),"(917) 566-0907")</f>
        <v>(917) 566-0907</v>
      </c>
      <c r="E28" s="61" t="str">
        <f>IFERROR(__xludf.DUMMYFUNCTION("""COMPUTED_VALUE"""),"Jackie Kershner")</f>
        <v>Jackie Kershner</v>
      </c>
      <c r="F28" s="61"/>
      <c r="G28" s="61" t="str">
        <f>IFERROR(__xludf.DUMMYFUNCTION("""COMPUTED_VALUE"""),"12 Elm Road")</f>
        <v>12 Elm Road</v>
      </c>
      <c r="H28" s="61" t="str">
        <f>IFERROR(__xludf.DUMMYFUNCTION("""COMPUTED_VALUE"""),"Tri-State Area Home Pickups")</f>
        <v>Tri-State Area Home Pickups</v>
      </c>
      <c r="I28" s="61"/>
      <c r="J28" s="107" t="str">
        <f>IFERROR(__xludf.DUMMYFUNCTION("""COMPUTED_VALUE"""),"University Housing")</f>
        <v>University Housing</v>
      </c>
      <c r="K28" s="107" t="str">
        <f>IFERROR(__xludf.DUMMYFUNCTION("""COMPUTED_VALUE"""),"09:00 AM - 11:00 AM")</f>
        <v>09:00 AM - 11:00 AM</v>
      </c>
      <c r="L28" s="100">
        <f>IFERROR(__xludf.DUMMYFUNCTION("""COMPUTED_VALUE"""),45882.0)</f>
        <v>45882</v>
      </c>
      <c r="M28" s="110" t="str">
        <f>IFERROR(__xludf.DUMMYFUNCTION("""COMPUTED_VALUE"""),"Dardick")</f>
        <v>Dardick</v>
      </c>
      <c r="N28" s="61" t="str">
        <f>IFERROR(__xludf.DUMMYFUNCTION("""COMPUTED_VALUE"""),"4402")</f>
        <v>4402</v>
      </c>
      <c r="O28" s="61"/>
      <c r="P28" s="61"/>
      <c r="Q28" s="61"/>
      <c r="R28" s="61"/>
    </row>
    <row r="29">
      <c r="A29" s="102" t="str">
        <f>IFERROR(__xludf.DUMMYFUNCTION("""COMPUTED_VALUE"""),"https://utrucking.myshopify.com/admin/orders?query=15139")</f>
        <v>https://utrucking.myshopify.com/admin/orders?query=15139</v>
      </c>
      <c r="B29" s="65" t="str">
        <f>IFERROR(__xludf.DUMMYFUNCTION("""COMPUTED_VALUE"""),"#15139")</f>
        <v>#15139</v>
      </c>
      <c r="C29" s="65" t="str">
        <f>IFERROR(__xludf.DUMMYFUNCTION("""COMPUTED_VALUE"""),"slovinlauren@gmail.com")</f>
        <v>slovinlauren@gmail.com</v>
      </c>
      <c r="D29" s="65" t="str">
        <f>IFERROR(__xludf.DUMMYFUNCTION("""COMPUTED_VALUE"""),"(1203) 913-6275")</f>
        <v>(1203) 913-6275</v>
      </c>
      <c r="E29" s="65" t="str">
        <f>IFERROR(__xludf.DUMMYFUNCTION("""COMPUTED_VALUE"""),"Lauren Slovin")</f>
        <v>Lauren Slovin</v>
      </c>
      <c r="F29" s="65"/>
      <c r="G29" s="65" t="str">
        <f>IFERROR(__xludf.DUMMYFUNCTION("""COMPUTED_VALUE"""),"21 Midwood Dr")</f>
        <v>21 Midwood Dr</v>
      </c>
      <c r="H29" s="65" t="str">
        <f>IFERROR(__xludf.DUMMYFUNCTION("""COMPUTED_VALUE"""),"Tri-State Area Home Pickups")</f>
        <v>Tri-State Area Home Pickups</v>
      </c>
      <c r="I29" s="65"/>
      <c r="J29" s="108" t="str">
        <f>IFERROR(__xludf.DUMMYFUNCTION("""COMPUTED_VALUE"""),"University Housing")</f>
        <v>University Housing</v>
      </c>
      <c r="K29" s="108" t="str">
        <f>IFERROR(__xludf.DUMMYFUNCTION("""COMPUTED_VALUE"""),"09:00 AM - 11:00 AM")</f>
        <v>09:00 AM - 11:00 AM</v>
      </c>
      <c r="L29" s="103">
        <f>IFERROR(__xludf.DUMMYFUNCTION("""COMPUTED_VALUE"""),45882.0)</f>
        <v>45882</v>
      </c>
      <c r="M29" s="111" t="str">
        <f>IFERROR(__xludf.DUMMYFUNCTION("""COMPUTED_VALUE"""),"Lien")</f>
        <v>Lien</v>
      </c>
      <c r="N29" s="65" t="str">
        <f>IFERROR(__xludf.DUMMYFUNCTION("""COMPUTED_VALUE"""),"3310")</f>
        <v>3310</v>
      </c>
      <c r="O29" s="65"/>
      <c r="P29" s="65"/>
      <c r="Q29" s="65"/>
      <c r="R29" s="65"/>
    </row>
    <row r="30">
      <c r="A30" s="99" t="str">
        <f>IFERROR(__xludf.DUMMYFUNCTION("""COMPUTED_VALUE"""),"https://utrucking.myshopify.com/admin/orders?query=15141")</f>
        <v>https://utrucking.myshopify.com/admin/orders?query=15141</v>
      </c>
      <c r="B30" s="61" t="str">
        <f>IFERROR(__xludf.DUMMYFUNCTION("""COMPUTED_VALUE"""),"#15141")</f>
        <v>#15141</v>
      </c>
      <c r="C30" s="61" t="str">
        <f>IFERROR(__xludf.DUMMYFUNCTION("""COMPUTED_VALUE"""),"hplattus@gmail.com")</f>
        <v>hplattus@gmail.com</v>
      </c>
      <c r="D30" s="61" t="str">
        <f>IFERROR(__xludf.DUMMYFUNCTION("""COMPUTED_VALUE"""),"(917) 664-5613")</f>
        <v>(917) 664-5613</v>
      </c>
      <c r="E30" s="61" t="str">
        <f>IFERROR(__xludf.DUMMYFUNCTION("""COMPUTED_VALUE"""),"Hilary Plattus")</f>
        <v>Hilary Plattus</v>
      </c>
      <c r="F30" s="61"/>
      <c r="G30" s="61" t="str">
        <f>IFERROR(__xludf.DUMMYFUNCTION("""COMPUTED_VALUE"""),"111 Inverness Rd")</f>
        <v>111 Inverness Rd</v>
      </c>
      <c r="H30" s="61" t="str">
        <f>IFERROR(__xludf.DUMMYFUNCTION("""COMPUTED_VALUE"""),"Tri-State Area Home Pickups")</f>
        <v>Tri-State Area Home Pickups</v>
      </c>
      <c r="I30" s="61"/>
      <c r="J30" s="107" t="str">
        <f>IFERROR(__xludf.DUMMYFUNCTION("""COMPUTED_VALUE"""),"University Housing")</f>
        <v>University Housing</v>
      </c>
      <c r="K30" s="107" t="str">
        <f>IFERROR(__xludf.DUMMYFUNCTION("""COMPUTED_VALUE"""),"03:00 PM - 05:00 PM")</f>
        <v>03:00 PM - 05:00 PM</v>
      </c>
      <c r="L30" s="100">
        <f>IFERROR(__xludf.DUMMYFUNCTION("""COMPUTED_VALUE"""),45877.0)</f>
        <v>45877</v>
      </c>
      <c r="M30" s="110" t="str">
        <f>IFERROR(__xludf.DUMMYFUNCTION("""COMPUTED_VALUE"""),"House 4 (Theta Xi)")</f>
        <v>House 4 (Theta Xi)</v>
      </c>
      <c r="N30" s="61" t="str">
        <f>IFERROR(__xludf.DUMMYFUNCTION("""COMPUTED_VALUE"""),"Second floor")</f>
        <v>Second floor</v>
      </c>
      <c r="O30" s="61"/>
      <c r="P30" s="61"/>
      <c r="Q30" s="61"/>
      <c r="R30" s="61"/>
    </row>
    <row r="31">
      <c r="A31" s="102" t="str">
        <f>IFERROR(__xludf.DUMMYFUNCTION("""COMPUTED_VALUE"""),"https://utrucking.myshopify.com/admin/orders?query=15161")</f>
        <v>https://utrucking.myshopify.com/admin/orders?query=15161</v>
      </c>
      <c r="B31" s="65" t="str">
        <f>IFERROR(__xludf.DUMMYFUNCTION("""COMPUTED_VALUE"""),"#15161")</f>
        <v>#15161</v>
      </c>
      <c r="C31" s="65" t="str">
        <f>IFERROR(__xludf.DUMMYFUNCTION("""COMPUTED_VALUE"""),"h.linsky@wustl.edu")</f>
        <v>h.linsky@wustl.edu</v>
      </c>
      <c r="D31" s="65" t="str">
        <f>IFERROR(__xludf.DUMMYFUNCTION("""COMPUTED_VALUE"""),"(917) 214-1935")</f>
        <v>(917) 214-1935</v>
      </c>
      <c r="E31" s="65" t="str">
        <f>IFERROR(__xludf.DUMMYFUNCTION("""COMPUTED_VALUE"""),"Hayden Linsky")</f>
        <v>Hayden Linsky</v>
      </c>
      <c r="F31" s="65"/>
      <c r="G31" s="65" t="str">
        <f>IFERROR(__xludf.DUMMYFUNCTION("""COMPUTED_VALUE"""),"68 Severn Street")</f>
        <v>68 Severn Street</v>
      </c>
      <c r="H31" s="65" t="str">
        <f>IFERROR(__xludf.DUMMYFUNCTION("""COMPUTED_VALUE"""),"Tri-State Area Home Pickups")</f>
        <v>Tri-State Area Home Pickups</v>
      </c>
      <c r="I31" s="65"/>
      <c r="J31" s="108" t="str">
        <f>IFERROR(__xludf.DUMMYFUNCTION("""COMPUTED_VALUE"""),"University Housing")</f>
        <v>University Housing</v>
      </c>
      <c r="K31" s="108" t="str">
        <f>IFERROR(__xludf.DUMMYFUNCTION("""COMPUTED_VALUE"""),"09:00 AM - 11:00 AM")</f>
        <v>09:00 AM - 11:00 AM</v>
      </c>
      <c r="L31" s="103">
        <f>IFERROR(__xludf.DUMMYFUNCTION("""COMPUTED_VALUE"""),45882.0)</f>
        <v>45882</v>
      </c>
      <c r="M31" s="111" t="str">
        <f>IFERROR(__xludf.DUMMYFUNCTION("""COMPUTED_VALUE"""),"Danforth")</f>
        <v>Danforth</v>
      </c>
      <c r="N31" s="65" t="str">
        <f>IFERROR(__xludf.DUMMYFUNCTION("""COMPUTED_VALUE"""),"3320")</f>
        <v>3320</v>
      </c>
      <c r="O31" s="65"/>
      <c r="P31" s="65"/>
      <c r="Q31" s="65"/>
      <c r="R31" s="65"/>
    </row>
    <row r="32">
      <c r="A32" s="99" t="str">
        <f>IFERROR(__xludf.DUMMYFUNCTION("""COMPUTED_VALUE"""),"https://utrucking.myshopify.com/admin/orders?query=15162")</f>
        <v>https://utrucking.myshopify.com/admin/orders?query=15162</v>
      </c>
      <c r="B32" s="61" t="str">
        <f>IFERROR(__xludf.DUMMYFUNCTION("""COMPUTED_VALUE"""),"#15162")</f>
        <v>#15162</v>
      </c>
      <c r="C32" s="61" t="str">
        <f>IFERROR(__xludf.DUMMYFUNCTION("""COMPUTED_VALUE"""),"i.linsky@wustl.edu")</f>
        <v>i.linsky@wustl.edu</v>
      </c>
      <c r="D32" s="61" t="str">
        <f>IFERROR(__xludf.DUMMYFUNCTION("""COMPUTED_VALUE"""),"(917) 214-1935")</f>
        <v>(917) 214-1935</v>
      </c>
      <c r="E32" s="61" t="str">
        <f>IFERROR(__xludf.DUMMYFUNCTION("""COMPUTED_VALUE"""),"hilary linsky")</f>
        <v>hilary linsky</v>
      </c>
      <c r="F32" s="61"/>
      <c r="G32" s="61" t="str">
        <f>IFERROR(__xludf.DUMMYFUNCTION("""COMPUTED_VALUE"""),"6 kenwood drive")</f>
        <v>6 kenwood drive</v>
      </c>
      <c r="H32" s="61" t="str">
        <f>IFERROR(__xludf.DUMMYFUNCTION("""COMPUTED_VALUE"""),"Tri-State Area Home Pickups")</f>
        <v>Tri-State Area Home Pickups</v>
      </c>
      <c r="I32" s="61"/>
      <c r="J32" s="107" t="str">
        <f>IFERROR(__xludf.DUMMYFUNCTION("""COMPUTED_VALUE"""),"University Housing")</f>
        <v>University Housing</v>
      </c>
      <c r="K32" s="107" t="str">
        <f>IFERROR(__xludf.DUMMYFUNCTION("""COMPUTED_VALUE"""),"09:00 AM - 11:00 AM")</f>
        <v>09:00 AM - 11:00 AM</v>
      </c>
      <c r="L32" s="100">
        <f>IFERROR(__xludf.DUMMYFUNCTION("""COMPUTED_VALUE"""),45882.0)</f>
        <v>45882</v>
      </c>
      <c r="M32" s="110" t="str">
        <f>IFERROR(__xludf.DUMMYFUNCTION("""COMPUTED_VALUE"""),"Danforth")</f>
        <v>Danforth</v>
      </c>
      <c r="N32" s="61" t="str">
        <f>IFERROR(__xludf.DUMMYFUNCTION("""COMPUTED_VALUE"""),"3320")</f>
        <v>3320</v>
      </c>
      <c r="O32" s="61"/>
      <c r="P32" s="61"/>
      <c r="Q32" s="61"/>
      <c r="R32" s="61"/>
    </row>
    <row r="33">
      <c r="A33" s="102" t="str">
        <f>IFERROR(__xludf.DUMMYFUNCTION("""COMPUTED_VALUE"""),"https://utrucking.myshopify.com/admin/orders?query=15165")</f>
        <v>https://utrucking.myshopify.com/admin/orders?query=15165</v>
      </c>
      <c r="B33" s="65" t="str">
        <f>IFERROR(__xludf.DUMMYFUNCTION("""COMPUTED_VALUE"""),"#15165")</f>
        <v>#15165</v>
      </c>
      <c r="C33" s="65" t="str">
        <f>IFERROR(__xludf.DUMMYFUNCTION("""COMPUTED_VALUE"""),"lisamichelekern@gmail.com")</f>
        <v>lisamichelekern@gmail.com</v>
      </c>
      <c r="D33" s="65" t="str">
        <f>IFERROR(__xludf.DUMMYFUNCTION("""COMPUTED_VALUE"""),"(917) 696-8178")</f>
        <v>(917) 696-8178</v>
      </c>
      <c r="E33" s="65" t="str">
        <f>IFERROR(__xludf.DUMMYFUNCTION("""COMPUTED_VALUE"""),"Lisa Kern")</f>
        <v>Lisa Kern</v>
      </c>
      <c r="F33" s="65"/>
      <c r="G33" s="65" t="str">
        <f>IFERROR(__xludf.DUMMYFUNCTION("""COMPUTED_VALUE"""),"11 Country Club Drive")</f>
        <v>11 Country Club Drive</v>
      </c>
      <c r="H33" s="65" t="str">
        <f>IFERROR(__xludf.DUMMYFUNCTION("""COMPUTED_VALUE"""),"Tri-State Area Home Pickups")</f>
        <v>Tri-State Area Home Pickups</v>
      </c>
      <c r="I33" s="65"/>
      <c r="J33" s="108" t="str">
        <f>IFERROR(__xludf.DUMMYFUNCTION("""COMPUTED_VALUE"""),"University Housing")</f>
        <v>University Housing</v>
      </c>
      <c r="K33" s="108" t="str">
        <f>IFERROR(__xludf.DUMMYFUNCTION("""COMPUTED_VALUE"""),"09:00 AM - 11:00 AM")</f>
        <v>09:00 AM - 11:00 AM</v>
      </c>
      <c r="L33" s="103">
        <f>IFERROR(__xludf.DUMMYFUNCTION("""COMPUTED_VALUE"""),45882.0)</f>
        <v>45882</v>
      </c>
      <c r="M33" s="111" t="str">
        <f>IFERROR(__xludf.DUMMYFUNCTION("""COMPUTED_VALUE"""),"DON'T KNOW YET (put 'XXX' for room #)")</f>
        <v>DON'T KNOW YET (put 'XXX' for room #)</v>
      </c>
      <c r="N33" s="65" t="str">
        <f>IFERROR(__xludf.DUMMYFUNCTION("""COMPUTED_VALUE"""),"XXX")</f>
        <v>XXX</v>
      </c>
      <c r="O33" s="65"/>
      <c r="P33" s="65"/>
      <c r="Q33" s="65"/>
      <c r="R33" s="65"/>
    </row>
    <row r="34">
      <c r="A34" s="99" t="str">
        <f>IFERROR(__xludf.DUMMYFUNCTION("""COMPUTED_VALUE"""),"https://utrucking.myshopify.com/admin/orders?query=15138")</f>
        <v>https://utrucking.myshopify.com/admin/orders?query=15138</v>
      </c>
      <c r="B34" s="61" t="str">
        <f>IFERROR(__xludf.DUMMYFUNCTION("""COMPUTED_VALUE"""),"#15138")</f>
        <v>#15138</v>
      </c>
      <c r="C34" s="61" t="str">
        <f>IFERROR(__xludf.DUMMYFUNCTION("""COMPUTED_VALUE"""),"elianasalzberg@gmail.com")</f>
        <v>elianasalzberg@gmail.com</v>
      </c>
      <c r="D34" s="61" t="str">
        <f>IFERROR(__xludf.DUMMYFUNCTION("""COMPUTED_VALUE"""),"(917) 733-0027")</f>
        <v>(917) 733-0027</v>
      </c>
      <c r="E34" s="61" t="str">
        <f>IFERROR(__xludf.DUMMYFUNCTION("""COMPUTED_VALUE"""),"Ellie Salzberg")</f>
        <v>Ellie Salzberg</v>
      </c>
      <c r="F34" s="61"/>
      <c r="G34" s="61" t="str">
        <f>IFERROR(__xludf.DUMMYFUNCTION("""COMPUTED_VALUE"""),"University Housing(TBD)")</f>
        <v>University Housing(TBD)</v>
      </c>
      <c r="H34" s="61" t="str">
        <f>IFERROR(__xludf.DUMMYFUNCTION("""COMPUTED_VALUE"""),"Tri-State Area Home Pickups")</f>
        <v>Tri-State Area Home Pickups</v>
      </c>
      <c r="I34" s="61"/>
      <c r="J34" s="107" t="str">
        <f>IFERROR(__xludf.DUMMYFUNCTION("""COMPUTED_VALUE"""),"University Housing")</f>
        <v>University Housing</v>
      </c>
      <c r="K34" s="107" t="str">
        <f>IFERROR(__xludf.DUMMYFUNCTION("""COMPUTED_VALUE"""),"09:00 AM - 11:00 AM")</f>
        <v>09:00 AM - 11:00 AM</v>
      </c>
      <c r="L34" s="100">
        <f>IFERROR(__xludf.DUMMYFUNCTION("""COMPUTED_VALUE"""),45882.0)</f>
        <v>45882</v>
      </c>
      <c r="M34" s="110" t="str">
        <f>IFERROR(__xludf.DUMMYFUNCTION("""COMPUTED_VALUE"""),"Dauten")</f>
        <v>Dauten</v>
      </c>
      <c r="N34" s="61" t="str">
        <f>IFERROR(__xludf.DUMMYFUNCTION("""COMPUTED_VALUE"""),"422")</f>
        <v>422</v>
      </c>
      <c r="O34" s="61"/>
      <c r="P34" s="61"/>
      <c r="Q34" s="61"/>
      <c r="R34" s="61"/>
    </row>
    <row r="35">
      <c r="A35" s="102" t="str">
        <f>IFERROR(__xludf.DUMMYFUNCTION("""COMPUTED_VALUE"""),"https://utrucking.myshopify.com/admin/orders?query=15181")</f>
        <v>https://utrucking.myshopify.com/admin/orders?query=15181</v>
      </c>
      <c r="B35" s="65" t="str">
        <f>IFERROR(__xludf.DUMMYFUNCTION("""COMPUTED_VALUE"""),"#15181")</f>
        <v>#15181</v>
      </c>
      <c r="C35" s="65" t="str">
        <f>IFERROR(__xludf.DUMMYFUNCTION("""COMPUTED_VALUE"""),"ladden@wustl.edu")</f>
        <v>ladden@wustl.edu</v>
      </c>
      <c r="D35" s="65" t="str">
        <f>IFERROR(__xludf.DUMMYFUNCTION("""COMPUTED_VALUE"""),"(917) 273-2413")</f>
        <v>(917) 273-2413</v>
      </c>
      <c r="E35" s="65" t="str">
        <f>IFERROR(__xludf.DUMMYFUNCTION("""COMPUTED_VALUE"""),"Matthew Ladden")</f>
        <v>Matthew Ladden</v>
      </c>
      <c r="F35" s="65"/>
      <c r="G35" s="65" t="str">
        <f>IFERROR(__xludf.DUMMYFUNCTION("""COMPUTED_VALUE"""),"6515 Wydown Boulevard")</f>
        <v>6515 Wydown Boulevard</v>
      </c>
      <c r="H35" s="65" t="str">
        <f>IFERROR(__xludf.DUMMYFUNCTION("""COMPUTED_VALUE"""),"Tri-State Area Home Pickups")</f>
        <v>Tri-State Area Home Pickups</v>
      </c>
      <c r="I35" s="65"/>
      <c r="J35" s="108" t="str">
        <f>IFERROR(__xludf.DUMMYFUNCTION("""COMPUTED_VALUE"""),"University Housing")</f>
        <v>University Housing</v>
      </c>
      <c r="K35" s="108" t="str">
        <f>IFERROR(__xludf.DUMMYFUNCTION("""COMPUTED_VALUE"""),"12:00 PM - 02:00 PM")</f>
        <v>12:00 PM - 02:00 PM</v>
      </c>
      <c r="L35" s="103">
        <f>IFERROR(__xludf.DUMMYFUNCTION("""COMPUTED_VALUE"""),45882.0)</f>
        <v>45882</v>
      </c>
      <c r="M35" s="111" t="str">
        <f>IFERROR(__xludf.DUMMYFUNCTION("""COMPUTED_VALUE"""),"Eliot A")</f>
        <v>Eliot A</v>
      </c>
      <c r="N35" s="65" t="str">
        <f>IFERROR(__xludf.DUMMYFUNCTION("""COMPUTED_VALUE"""),"1033")</f>
        <v>1033</v>
      </c>
      <c r="O35" s="65"/>
      <c r="P35" s="65"/>
      <c r="Q35" s="65"/>
      <c r="R35" s="65"/>
    </row>
    <row r="36">
      <c r="A36" s="99" t="str">
        <f>IFERROR(__xludf.DUMMYFUNCTION("""COMPUTED_VALUE"""),"https://utrucking.myshopify.com/admin/orders?query=15191")</f>
        <v>https://utrucking.myshopify.com/admin/orders?query=15191</v>
      </c>
      <c r="B36" s="61" t="str">
        <f>IFERROR(__xludf.DUMMYFUNCTION("""COMPUTED_VALUE"""),"#15191")</f>
        <v>#15191</v>
      </c>
      <c r="C36" s="61" t="str">
        <f>IFERROR(__xludf.DUMMYFUNCTION("""COMPUTED_VALUE"""),"cynthiamillinger@gmail.com")</f>
        <v>cynthiamillinger@gmail.com</v>
      </c>
      <c r="D36" s="61" t="str">
        <f>IFERROR(__xludf.DUMMYFUNCTION("""COMPUTED_VALUE"""),"(609) 647-3833")</f>
        <v>(609) 647-3833</v>
      </c>
      <c r="E36" s="61" t="str">
        <f>IFERROR(__xludf.DUMMYFUNCTION("""COMPUTED_VALUE"""),"Cynthia Millinger")</f>
        <v>Cynthia Millinger</v>
      </c>
      <c r="F36" s="61"/>
      <c r="G36" s="61" t="str">
        <f>IFERROR(__xludf.DUMMYFUNCTION("""COMPUTED_VALUE"""),"11 Wilson Way S")</f>
        <v>11 Wilson Way S</v>
      </c>
      <c r="H36" s="61" t="str">
        <f>IFERROR(__xludf.DUMMYFUNCTION("""COMPUTED_VALUE"""),"Tri-State Area Home Pickups")</f>
        <v>Tri-State Area Home Pickups</v>
      </c>
      <c r="I36" s="61"/>
      <c r="J36" s="107" t="str">
        <f>IFERROR(__xludf.DUMMYFUNCTION("""COMPUTED_VALUE"""),"University Housing")</f>
        <v>University Housing</v>
      </c>
      <c r="K36" s="107" t="str">
        <f>IFERROR(__xludf.DUMMYFUNCTION("""COMPUTED_VALUE"""),"11:00 AM - 01:00 PM")</f>
        <v>11:00 AM - 01:00 PM</v>
      </c>
      <c r="L36" s="100">
        <f>IFERROR(__xludf.DUMMYFUNCTION("""COMPUTED_VALUE"""),45883.0)</f>
        <v>45883</v>
      </c>
      <c r="M36" s="110" t="str">
        <f>IFERROR(__xludf.DUMMYFUNCTION("""COMPUTED_VALUE"""),"House 5 (Hamsini)")</f>
        <v>House 5 (Hamsini)</v>
      </c>
      <c r="N36" s="61" t="str">
        <f>IFERROR(__xludf.DUMMYFUNCTION("""COMPUTED_VALUE"""),"302-a")</f>
        <v>302-a</v>
      </c>
      <c r="O36" s="61"/>
      <c r="P36" s="61"/>
      <c r="Q36" s="61"/>
      <c r="R36" s="61"/>
    </row>
    <row r="37">
      <c r="A37" s="102" t="str">
        <f>IFERROR(__xludf.DUMMYFUNCTION("""COMPUTED_VALUE"""),"https://utrucking.myshopify.com/admin/orders?query=15192")</f>
        <v>https://utrucking.myshopify.com/admin/orders?query=15192</v>
      </c>
      <c r="B37" s="65" t="str">
        <f>IFERROR(__xludf.DUMMYFUNCTION("""COMPUTED_VALUE"""),"#15192")</f>
        <v>#15192</v>
      </c>
      <c r="C37" s="65" t="str">
        <f>IFERROR(__xludf.DUMMYFUNCTION("""COMPUTED_VALUE"""),"q.sam@wustl.edu")</f>
        <v>q.sam@wustl.edu</v>
      </c>
      <c r="D37" s="65"/>
      <c r="E37" s="65" t="str">
        <f>IFERROR(__xludf.DUMMYFUNCTION("""COMPUTED_VALUE"""),"Sandy Quentzel")</f>
        <v>Sandy Quentzel</v>
      </c>
      <c r="F37" s="65"/>
      <c r="G37" s="65" t="str">
        <f>IFERROR(__xludf.DUMMYFUNCTION("""COMPUTED_VALUE"""),"379 Throop Avenue")</f>
        <v>379 Throop Avenue</v>
      </c>
      <c r="H37" s="65" t="str">
        <f>IFERROR(__xludf.DUMMYFUNCTION("""COMPUTED_VALUE"""),"Tri-State Area Home Pickups")</f>
        <v>Tri-State Area Home Pickups</v>
      </c>
      <c r="I37" s="65"/>
      <c r="J37" s="108" t="str">
        <f>IFERROR(__xludf.DUMMYFUNCTION("""COMPUTED_VALUE"""),"University Housing")</f>
        <v>University Housing</v>
      </c>
      <c r="K37" s="108" t="str">
        <f>IFERROR(__xludf.DUMMYFUNCTION("""COMPUTED_VALUE"""),"10:00 AM - 12:00 PM")</f>
        <v>10:00 AM - 12:00 PM</v>
      </c>
      <c r="L37" s="103">
        <f>IFERROR(__xludf.DUMMYFUNCTION("""COMPUTED_VALUE"""),45882.0)</f>
        <v>45882</v>
      </c>
      <c r="M37" s="111" t="str">
        <f>IFERROR(__xludf.DUMMYFUNCTION("""COMPUTED_VALUE"""),"Dardick")</f>
        <v>Dardick</v>
      </c>
      <c r="N37" s="65" t="str">
        <f>IFERROR(__xludf.DUMMYFUNCTION("""COMPUTED_VALUE"""),"2218")</f>
        <v>2218</v>
      </c>
      <c r="O37" s="65"/>
      <c r="P37" s="65"/>
      <c r="Q37" s="65"/>
      <c r="R37" s="65"/>
    </row>
    <row r="38">
      <c r="A38" s="99" t="str">
        <f>IFERROR(__xludf.DUMMYFUNCTION("""COMPUTED_VALUE"""),"https://utrucking.myshopify.com/admin/orders?query=15198")</f>
        <v>https://utrucking.myshopify.com/admin/orders?query=15198</v>
      </c>
      <c r="B38" s="61" t="str">
        <f>IFERROR(__xludf.DUMMYFUNCTION("""COMPUTED_VALUE"""),"#15198")</f>
        <v>#15198</v>
      </c>
      <c r="C38" s="61" t="str">
        <f>IFERROR(__xludf.DUMMYFUNCTION("""COMPUTED_VALUE"""),"r.mia@wustl.edu")</f>
        <v>r.mia@wustl.edu</v>
      </c>
      <c r="D38" s="61" t="str">
        <f>IFERROR(__xludf.DUMMYFUNCTION("""COMPUTED_VALUE"""),"(914) 610-8725")</f>
        <v>(914) 610-8725</v>
      </c>
      <c r="E38" s="61" t="str">
        <f>IFERROR(__xludf.DUMMYFUNCTION("""COMPUTED_VALUE"""),"Mia Reisman")</f>
        <v>Mia Reisman</v>
      </c>
      <c r="F38" s="61"/>
      <c r="G38" s="61" t="str">
        <f>IFERROR(__xludf.DUMMYFUNCTION("""COMPUTED_VALUE"""),"329 Stanley Avenue")</f>
        <v>329 Stanley Avenue</v>
      </c>
      <c r="H38" s="61" t="str">
        <f>IFERROR(__xludf.DUMMYFUNCTION("""COMPUTED_VALUE"""),"Tri-State Area Home Pickups")</f>
        <v>Tri-State Area Home Pickups</v>
      </c>
      <c r="I38" s="61"/>
      <c r="J38" s="107" t="str">
        <f>IFERROR(__xludf.DUMMYFUNCTION("""COMPUTED_VALUE"""),"University Housing")</f>
        <v>University Housing</v>
      </c>
      <c r="K38" s="107" t="str">
        <f>IFERROR(__xludf.DUMMYFUNCTION("""COMPUTED_VALUE"""),"09:00 AM - 11:00 AM")</f>
        <v>09:00 AM - 11:00 AM</v>
      </c>
      <c r="L38" s="100">
        <f>IFERROR(__xludf.DUMMYFUNCTION("""COMPUTED_VALUE"""),45882.0)</f>
        <v>45882</v>
      </c>
      <c r="M38" s="110" t="str">
        <f>IFERROR(__xludf.DUMMYFUNCTION("""COMPUTED_VALUE"""),"Danforth")</f>
        <v>Danforth</v>
      </c>
      <c r="N38" s="61" t="str">
        <f>IFERROR(__xludf.DUMMYFUNCTION("""COMPUTED_VALUE"""),"4422 - b")</f>
        <v>4422 - b</v>
      </c>
      <c r="O38" s="61"/>
      <c r="P38" s="61"/>
      <c r="Q38" s="61"/>
      <c r="R38" s="61"/>
    </row>
    <row r="39">
      <c r="A39" s="102" t="str">
        <f>IFERROR(__xludf.DUMMYFUNCTION("""COMPUTED_VALUE"""),"https://utrucking.myshopify.com/admin/orders?query=15200")</f>
        <v>https://utrucking.myshopify.com/admin/orders?query=15200</v>
      </c>
      <c r="B39" s="65" t="str">
        <f>IFERROR(__xludf.DUMMYFUNCTION("""COMPUTED_VALUE"""),"#15200")</f>
        <v>#15200</v>
      </c>
      <c r="C39" s="65" t="str">
        <f>IFERROR(__xludf.DUMMYFUNCTION("""COMPUTED_VALUE"""),"j.g.sebag@wustl.edu")</f>
        <v>j.g.sebag@wustl.edu</v>
      </c>
      <c r="D39" s="65" t="str">
        <f>IFERROR(__xludf.DUMMYFUNCTION("""COMPUTED_VALUE"""),"(1917) 373-1714")</f>
        <v>(1917) 373-1714</v>
      </c>
      <c r="E39" s="65" t="str">
        <f>IFERROR(__xludf.DUMMYFUNCTION("""COMPUTED_VALUE"""),"jordan sebag")</f>
        <v>jordan sebag</v>
      </c>
      <c r="F39" s="65"/>
      <c r="G39" s="65" t="str">
        <f>IFERROR(__xludf.DUMMYFUNCTION("""COMPUTED_VALUE"""),"1700 Bay Boulevard")</f>
        <v>1700 Bay Boulevard</v>
      </c>
      <c r="H39" s="65" t="str">
        <f>IFERROR(__xludf.DUMMYFUNCTION("""COMPUTED_VALUE"""),"Tri-State Area Home Pickups")</f>
        <v>Tri-State Area Home Pickups</v>
      </c>
      <c r="I39" s="65"/>
      <c r="J39" s="108" t="str">
        <f>IFERROR(__xludf.DUMMYFUNCTION("""COMPUTED_VALUE"""),"University Housing")</f>
        <v>University Housing</v>
      </c>
      <c r="K39" s="108" t="str">
        <f>IFERROR(__xludf.DUMMYFUNCTION("""COMPUTED_VALUE"""),"09:00 AM - 11:00 AM")</f>
        <v>09:00 AM - 11:00 AM</v>
      </c>
      <c r="L39" s="103">
        <f>IFERROR(__xludf.DUMMYFUNCTION("""COMPUTED_VALUE"""),45889.0)</f>
        <v>45889</v>
      </c>
      <c r="M39" s="111" t="str">
        <f>IFERROR(__xludf.DUMMYFUNCTION("""COMPUTED_VALUE"""),"Village East")</f>
        <v>Village East</v>
      </c>
      <c r="N39" s="65" t="str">
        <f>IFERROR(__xludf.DUMMYFUNCTION("""COMPUTED_VALUE"""),"1111")</f>
        <v>1111</v>
      </c>
      <c r="O39" s="65"/>
      <c r="P39" s="65"/>
      <c r="Q39" s="65"/>
      <c r="R39" s="65"/>
    </row>
    <row r="40">
      <c r="A40" s="99" t="str">
        <f>IFERROR(__xludf.DUMMYFUNCTION("""COMPUTED_VALUE"""),"https://utrucking.myshopify.com/admin/orders?query=15212")</f>
        <v>https://utrucking.myshopify.com/admin/orders?query=15212</v>
      </c>
      <c r="B40" s="61" t="str">
        <f>IFERROR(__xludf.DUMMYFUNCTION("""COMPUTED_VALUE"""),"#15212")</f>
        <v>#15212</v>
      </c>
      <c r="C40" s="61" t="str">
        <f>IFERROR(__xludf.DUMMYFUNCTION("""COMPUTED_VALUE"""),"leia.karczmer@gmail.com")</f>
        <v>leia.karczmer@gmail.com</v>
      </c>
      <c r="D40" s="61" t="str">
        <f>IFERROR(__xludf.DUMMYFUNCTION("""COMPUTED_VALUE"""),"(646) 745-6120")</f>
        <v>(646) 745-6120</v>
      </c>
      <c r="E40" s="61" t="str">
        <f>IFERROR(__xludf.DUMMYFUNCTION("""COMPUTED_VALUE"""),"Leia Karczmer")</f>
        <v>Leia Karczmer</v>
      </c>
      <c r="F40" s="61"/>
      <c r="G40" s="61" t="str">
        <f>IFERROR(__xludf.DUMMYFUNCTION("""COMPUTED_VALUE"""),"200 East End Ave, Apt 15J")</f>
        <v>200 East End Ave, Apt 15J</v>
      </c>
      <c r="H40" s="61" t="str">
        <f>IFERROR(__xludf.DUMMYFUNCTION("""COMPUTED_VALUE"""),"Tri-State Area Home Pickups")</f>
        <v>Tri-State Area Home Pickups</v>
      </c>
      <c r="I40" s="61"/>
      <c r="J40" s="107" t="str">
        <f>IFERROR(__xludf.DUMMYFUNCTION("""COMPUTED_VALUE"""),"University Housing")</f>
        <v>University Housing</v>
      </c>
      <c r="K40" s="107" t="str">
        <f>IFERROR(__xludf.DUMMYFUNCTION("""COMPUTED_VALUE"""),"09:00 AM - 11:00 AM")</f>
        <v>09:00 AM - 11:00 AM</v>
      </c>
      <c r="L40" s="100">
        <f>IFERROR(__xludf.DUMMYFUNCTION("""COMPUTED_VALUE"""),45882.0)</f>
        <v>45882</v>
      </c>
      <c r="M40" s="110" t="str">
        <f>IFERROR(__xludf.DUMMYFUNCTION("""COMPUTED_VALUE"""),"Danforth")</f>
        <v>Danforth</v>
      </c>
      <c r="N40" s="61" t="str">
        <f>IFERROR(__xludf.DUMMYFUNCTION("""COMPUTED_VALUE"""),"2221")</f>
        <v>2221</v>
      </c>
      <c r="O40" s="61"/>
      <c r="P40" s="61"/>
      <c r="Q40" s="61"/>
      <c r="R40" s="61"/>
    </row>
    <row r="41">
      <c r="A41" s="102" t="str">
        <f>IFERROR(__xludf.DUMMYFUNCTION("""COMPUTED_VALUE"""),"https://utrucking.myshopify.com/admin/orders?query=15213")</f>
        <v>https://utrucking.myshopify.com/admin/orders?query=15213</v>
      </c>
      <c r="B41" s="65" t="str">
        <f>IFERROR(__xludf.DUMMYFUNCTION("""COMPUTED_VALUE"""),"#15213")</f>
        <v>#15213</v>
      </c>
      <c r="C41" s="65" t="str">
        <f>IFERROR(__xludf.DUMMYFUNCTION("""COMPUTED_VALUE"""),"addison.j.steinberg@wustl.edu")</f>
        <v>addison.j.steinberg@wustl.edu</v>
      </c>
      <c r="D41" s="65" t="str">
        <f>IFERROR(__xludf.DUMMYFUNCTION("""COMPUTED_VALUE"""),"(1917) 828-0780")</f>
        <v>(1917) 828-0780</v>
      </c>
      <c r="E41" s="65" t="str">
        <f>IFERROR(__xludf.DUMMYFUNCTION("""COMPUTED_VALUE"""),"Addison Steinberg")</f>
        <v>Addison Steinberg</v>
      </c>
      <c r="F41" s="65"/>
      <c r="G41" s="65" t="str">
        <f>IFERROR(__xludf.DUMMYFUNCTION("""COMPUTED_VALUE"""),"1045 Park Avenue")</f>
        <v>1045 Park Avenue</v>
      </c>
      <c r="H41" s="65" t="str">
        <f>IFERROR(__xludf.DUMMYFUNCTION("""COMPUTED_VALUE"""),"Tri-State Area Home Pickups")</f>
        <v>Tri-State Area Home Pickups</v>
      </c>
      <c r="I41" s="65"/>
      <c r="J41" s="108" t="str">
        <f>IFERROR(__xludf.DUMMYFUNCTION("""COMPUTED_VALUE"""),"University Housing")</f>
        <v>University Housing</v>
      </c>
      <c r="K41" s="108" t="str">
        <f>IFERROR(__xludf.DUMMYFUNCTION("""COMPUTED_VALUE"""),"01:00 PM - 03:00 PM")</f>
        <v>01:00 PM - 03:00 PM</v>
      </c>
      <c r="L41" s="103">
        <f>IFERROR(__xludf.DUMMYFUNCTION("""COMPUTED_VALUE"""),45883.0)</f>
        <v>45883</v>
      </c>
      <c r="M41" s="111" t="str">
        <f>IFERROR(__xludf.DUMMYFUNCTION("""COMPUTED_VALUE"""),"Millbrook Bldg. 3")</f>
        <v>Millbrook Bldg. 3</v>
      </c>
      <c r="N41" s="65" t="str">
        <f>IFERROR(__xludf.DUMMYFUNCTION("""COMPUTED_VALUE"""),"303A-a")</f>
        <v>303A-a</v>
      </c>
      <c r="O41" s="65"/>
      <c r="P41" s="65"/>
      <c r="Q41" s="65"/>
      <c r="R41" s="65"/>
    </row>
    <row r="42">
      <c r="A42" s="99" t="str">
        <f>IFERROR(__xludf.DUMMYFUNCTION("""COMPUTED_VALUE"""),"https://admin.shopify.com/store/utrucking/orders/5835948851388?link_source=search")</f>
        <v>https://admin.shopify.com/store/utrucking/orders/5835948851388?link_source=search</v>
      </c>
      <c r="B42" s="61" t="str">
        <f>IFERROR(__xludf.DUMMYFUNCTION("""COMPUTED_VALUE"""),"#14983")</f>
        <v>#14983</v>
      </c>
      <c r="C42" s="61" t="str">
        <f>IFERROR(__xludf.DUMMYFUNCTION("""COMPUTED_VALUE"""),"dbialick9876@wustl.edu")</f>
        <v>dbialick9876@wustl.edu</v>
      </c>
      <c r="D42" s="61" t="str">
        <f>IFERROR(__xludf.DUMMYFUNCTION("""COMPUTED_VALUE"""),"201-274-4645")</f>
        <v>201-274-4645</v>
      </c>
      <c r="E42" s="61" t="str">
        <f>IFERROR(__xludf.DUMMYFUNCTION("""COMPUTED_VALUE"""),"Darcy Bialick")</f>
        <v>Darcy Bialick</v>
      </c>
      <c r="F42" s="61"/>
      <c r="G42" s="61"/>
      <c r="H42" s="61" t="str">
        <f>IFERROR(__xludf.DUMMYFUNCTION("""COMPUTED_VALUE"""),"Tri-State Area Home Pickups")</f>
        <v>Tri-State Area Home Pickups</v>
      </c>
      <c r="I42" s="61" t="str">
        <f>IFERROR(__xludf.DUMMYFUNCTION("""COMPUTED_VALUE"""),"$100 per item [Included]")</f>
        <v>$100 per item [Included]</v>
      </c>
      <c r="J42" s="107" t="str">
        <f>IFERROR(__xludf.DUMMYFUNCTION("""COMPUTED_VALUE"""),"University Housing")</f>
        <v>University Housing</v>
      </c>
      <c r="K42" s="107" t="str">
        <f>IFERROR(__xludf.DUMMYFUNCTION("""COMPUTED_VALUE"""),"09:00 AM - 11:00 AM")</f>
        <v>09:00 AM - 11:00 AM</v>
      </c>
      <c r="L42" s="100">
        <f>IFERROR(__xludf.DUMMYFUNCTION("""COMPUTED_VALUE"""),45883.0)</f>
        <v>45883</v>
      </c>
      <c r="M42" s="110" t="str">
        <f>IFERROR(__xludf.DUMMYFUNCTION("""COMPUTED_VALUE"""),"Danforth")</f>
        <v>Danforth</v>
      </c>
      <c r="N42" s="61" t="str">
        <f>IFERROR(__xludf.DUMMYFUNCTION("""COMPUTED_VALUE"""),"4427")</f>
        <v>4427</v>
      </c>
      <c r="O42" s="61"/>
      <c r="P42" s="61"/>
      <c r="Q42" s="61"/>
      <c r="R42" s="61"/>
    </row>
    <row r="43">
      <c r="A43" s="102" t="str">
        <f>IFERROR(__xludf.DUMMYFUNCTION("""COMPUTED_VALUE"""),"https://admin.shopify.com/store/utrucking/orders/5867662409916?link_source=search")</f>
        <v>https://admin.shopify.com/store/utrucking/orders/5867662409916?link_source=search</v>
      </c>
      <c r="B43" s="65" t="str">
        <f>IFERROR(__xludf.DUMMYFUNCTION("""COMPUTED_VALUE"""),"#15071")</f>
        <v>#15071</v>
      </c>
      <c r="C43" s="65" t="str">
        <f>IFERROR(__xludf.DUMMYFUNCTION("""COMPUTED_VALUE"""),"c.winfrey@wustl.edu")</f>
        <v>c.winfrey@wustl.edu</v>
      </c>
      <c r="D43" s="65" t="str">
        <f>IFERROR(__xludf.DUMMYFUNCTION("""COMPUTED_VALUE"""),"813-451-6644")</f>
        <v>813-451-6644</v>
      </c>
      <c r="E43" s="65" t="str">
        <f>IFERROR(__xludf.DUMMYFUNCTION("""COMPUTED_VALUE"""),"Camila Winfrey")</f>
        <v>Camila Winfrey</v>
      </c>
      <c r="F43" s="65"/>
      <c r="G43" s="65" t="str">
        <f>IFERROR(__xludf.DUMMYFUNCTION("""COMPUTED_VALUE"""),"12 Brittany Close")</f>
        <v>12 Brittany Close</v>
      </c>
      <c r="H43" s="65" t="str">
        <f>IFERROR(__xludf.DUMMYFUNCTION("""COMPUTED_VALUE"""),"Tri-State Area Home Pickups")</f>
        <v>Tri-State Area Home Pickups</v>
      </c>
      <c r="I43" s="65" t="str">
        <f>IFERROR(__xludf.DUMMYFUNCTION("""COMPUTED_VALUE"""),"$100 per item [Included]")</f>
        <v>$100 per item [Included]</v>
      </c>
      <c r="J43" s="108" t="str">
        <f>IFERROR(__xludf.DUMMYFUNCTION("""COMPUTED_VALUE"""),"University Housing")</f>
        <v>University Housing</v>
      </c>
      <c r="K43" s="108" t="str">
        <f>IFERROR(__xludf.DUMMYFUNCTION("""COMPUTED_VALUE"""),"09:00 AM to 11:00 AM")</f>
        <v>09:00 AM to 11:00 AM</v>
      </c>
      <c r="L43" s="103">
        <f>IFERROR(__xludf.DUMMYFUNCTION("""COMPUTED_VALUE"""),45870.0)</f>
        <v>45870</v>
      </c>
      <c r="M43" s="111" t="str">
        <f>IFERROR(__xludf.DUMMYFUNCTION("""COMPUTED_VALUE"""),"Umrath")</f>
        <v>Umrath</v>
      </c>
      <c r="N43" s="65" t="str">
        <f>IFERROR(__xludf.DUMMYFUNCTION("""COMPUTED_VALUE"""),"3309")</f>
        <v>3309</v>
      </c>
      <c r="O43" s="65"/>
      <c r="P43" s="65"/>
      <c r="Q43" s="65"/>
      <c r="R43" s="65"/>
    </row>
    <row r="44">
      <c r="A44" s="99" t="str">
        <f>IFERROR(__xludf.DUMMYFUNCTION("""COMPUTED_VALUE"""),"https://utrucking.myshopify.com/admin/orders?query=15123")</f>
        <v>https://utrucking.myshopify.com/admin/orders?query=15123</v>
      </c>
      <c r="B44" s="61" t="str">
        <f>IFERROR(__xludf.DUMMYFUNCTION("""COMPUTED_VALUE"""),"#15123")</f>
        <v>#15123</v>
      </c>
      <c r="C44" s="61" t="str">
        <f>IFERROR(__xludf.DUMMYFUNCTION("""COMPUTED_VALUE"""),"jojones320@gmail.com")</f>
        <v>jojones320@gmail.com</v>
      </c>
      <c r="D44" s="61">
        <f>IFERROR(__xludf.DUMMYFUNCTION("""COMPUTED_VALUE"""),1.9176867838E10)</f>
        <v>19176867838</v>
      </c>
      <c r="E44" s="61" t="str">
        <f>IFERROR(__xludf.DUMMYFUNCTION("""COMPUTED_VALUE"""),"Joanna Jones")</f>
        <v>Joanna Jones</v>
      </c>
      <c r="F44" s="61"/>
      <c r="G44" s="61"/>
      <c r="H44" s="61" t="str">
        <f>IFERROR(__xludf.DUMMYFUNCTION("""COMPUTED_VALUE"""),"Tri-State Area Home Pickups")</f>
        <v>Tri-State Area Home Pickups</v>
      </c>
      <c r="I44" s="61" t="str">
        <f>IFERROR(__xludf.DUMMYFUNCTION("""COMPUTED_VALUE"""),"$100 per item [Included]  ")</f>
        <v>$100 per item [Included]  </v>
      </c>
      <c r="J44" s="107" t="str">
        <f>IFERROR(__xludf.DUMMYFUNCTION("""COMPUTED_VALUE"""),"University Housing")</f>
        <v>University Housing</v>
      </c>
      <c r="K44" s="107" t="str">
        <f>IFERROR(__xludf.DUMMYFUNCTION("""COMPUTED_VALUE"""),"12:00 PM - 02:00 PM")</f>
        <v>12:00 PM - 02:00 PM</v>
      </c>
      <c r="L44" s="100">
        <f>IFERROR(__xludf.DUMMYFUNCTION("""COMPUTED_VALUE"""),45883.0)</f>
        <v>45883</v>
      </c>
      <c r="M44" s="110" t="str">
        <f>IFERROR(__xludf.DUMMYFUNCTION("""COMPUTED_VALUE"""),"Rutledge")</f>
        <v>Rutledge</v>
      </c>
      <c r="N44" s="61" t="str">
        <f>IFERROR(__xludf.DUMMYFUNCTION("""COMPUTED_VALUE"""),"244")</f>
        <v>244</v>
      </c>
      <c r="O44" s="61"/>
      <c r="P44" s="61"/>
      <c r="Q44" s="61"/>
      <c r="R44" s="61" t="str">
        <f>IFERROR(__xludf.DUMMYFUNCTION("""COMPUTED_VALUE"""),"FOR ZACHARY BECKETT JONES.")</f>
        <v>FOR ZACHARY BECKETT JONES.</v>
      </c>
    </row>
    <row r="45">
      <c r="A45" s="102" t="str">
        <f>IFERROR(__xludf.DUMMYFUNCTION("""COMPUTED_VALUE"""),"https://utrucking.myshopify.com/admin/orders?query=15197")</f>
        <v>https://utrucking.myshopify.com/admin/orders?query=15197</v>
      </c>
      <c r="B45" s="65" t="str">
        <f>IFERROR(__xludf.DUMMYFUNCTION("""COMPUTED_VALUE"""),"#15197")</f>
        <v>#15197</v>
      </c>
      <c r="C45" s="65" t="str">
        <f>IFERROR(__xludf.DUMMYFUNCTION("""COMPUTED_VALUE"""),"jsobel@wustl.edu")</f>
        <v>jsobel@wustl.edu</v>
      </c>
      <c r="D45" s="65">
        <f>IFERROR(__xludf.DUMMYFUNCTION("""COMPUTED_VALUE"""),9.14374685E9)</f>
        <v>9143746850</v>
      </c>
      <c r="E45" s="65" t="str">
        <f>IFERROR(__xludf.DUMMYFUNCTION("""COMPUTED_VALUE"""),"Julia Sobel")</f>
        <v>Julia Sobel</v>
      </c>
      <c r="F45" s="65"/>
      <c r="G45" s="65"/>
      <c r="H45" s="65" t="str">
        <f>IFERROR(__xludf.DUMMYFUNCTION("""COMPUTED_VALUE"""),"Tri-State Area Home Pickups")</f>
        <v>Tri-State Area Home Pickups</v>
      </c>
      <c r="I45" s="65"/>
      <c r="J45" s="108" t="str">
        <f>IFERROR(__xludf.DUMMYFUNCTION("""COMPUTED_VALUE"""),"University Housing")</f>
        <v>University Housing</v>
      </c>
      <c r="K45" s="108" t="str">
        <f>IFERROR(__xludf.DUMMYFUNCTION("""COMPUTED_VALUE"""),"09:00 AM - 11:00 AM")</f>
        <v>09:00 AM - 11:00 AM</v>
      </c>
      <c r="L45" s="103">
        <f>IFERROR(__xludf.DUMMYFUNCTION("""COMPUTED_VALUE"""),45873.0)</f>
        <v>45873</v>
      </c>
      <c r="M45" s="111" t="str">
        <f>IFERROR(__xludf.DUMMYFUNCTION("""COMPUTED_VALUE"""),"Koenig")</f>
        <v>Koenig</v>
      </c>
      <c r="N45" s="65" t="str">
        <f>IFERROR(__xludf.DUMMYFUNCTION("""COMPUTED_VALUE"""),"2206-b")</f>
        <v>2206-b</v>
      </c>
      <c r="O45" s="65"/>
      <c r="P45" s="65"/>
      <c r="Q45" s="65"/>
      <c r="R45" s="65" t="str">
        <f>IFERROR(__xludf.DUMMYFUNCTION("""COMPUTED_VALUE"""),"switched to home pickup")</f>
        <v>switched to home pickup</v>
      </c>
    </row>
    <row r="46">
      <c r="A46" s="99" t="str">
        <f>IFERROR(__xludf.DUMMYFUNCTION("""COMPUTED_VALUE"""),"https://utrucking.myshopify.com/admin/orders?query=15205")</f>
        <v>https://utrucking.myshopify.com/admin/orders?query=15205</v>
      </c>
      <c r="B46" s="61" t="str">
        <f>IFERROR(__xludf.DUMMYFUNCTION("""COMPUTED_VALUE"""),"#15205")</f>
        <v>#15205</v>
      </c>
      <c r="C46" s="61" t="str">
        <f>IFERROR(__xludf.DUMMYFUNCTION("""COMPUTED_VALUE"""),"bjosephine@wustl.edu")</f>
        <v>bjosephine@wustl.edu</v>
      </c>
      <c r="D46" s="61">
        <f>IFERROR(__xludf.DUMMYFUNCTION("""COMPUTED_VALUE"""),9.142919464E9)</f>
        <v>9142919464</v>
      </c>
      <c r="E46" s="61" t="str">
        <f>IFERROR(__xludf.DUMMYFUNCTION("""COMPUTED_VALUE"""),"Josephine Bruno")</f>
        <v>Josephine Bruno</v>
      </c>
      <c r="F46" s="61"/>
      <c r="G46" s="61"/>
      <c r="H46" s="61" t="str">
        <f>IFERROR(__xludf.DUMMYFUNCTION("""COMPUTED_VALUE"""),"Tri-State Area Home Pickups")</f>
        <v>Tri-State Area Home Pickups</v>
      </c>
      <c r="I46" s="61"/>
      <c r="J46" s="107" t="str">
        <f>IFERROR(__xludf.DUMMYFUNCTION("""COMPUTED_VALUE"""),"University Housing")</f>
        <v>University Housing</v>
      </c>
      <c r="K46" s="107" t="str">
        <f>IFERROR(__xludf.DUMMYFUNCTION("""COMPUTED_VALUE"""),"09:00 AM - 11:00 AM")</f>
        <v>09:00 AM - 11:00 AM</v>
      </c>
      <c r="L46" s="100">
        <f>IFERROR(__xludf.DUMMYFUNCTION("""COMPUTED_VALUE"""),45883.0)</f>
        <v>45883</v>
      </c>
      <c r="M46" s="110" t="str">
        <f>IFERROR(__xludf.DUMMYFUNCTION("""COMPUTED_VALUE"""),"Danforth")</f>
        <v>Danforth</v>
      </c>
      <c r="N46" s="61">
        <f>IFERROR(__xludf.DUMMYFUNCTION("""COMPUTED_VALUE"""),2231.0)</f>
        <v>2231</v>
      </c>
      <c r="O46" s="61"/>
      <c r="P46" s="61"/>
      <c r="Q46" s="61"/>
      <c r="R46" s="61"/>
    </row>
    <row r="47">
      <c r="A47" s="102" t="str">
        <f>IFERROR(__xludf.DUMMYFUNCTION("""COMPUTED_VALUE"""),"https://utrucking.com/admin/orders/5897705062588")</f>
        <v>https://utrucking.com/admin/orders/5897705062588</v>
      </c>
      <c r="B47" s="65" t="str">
        <f>IFERROR(__xludf.DUMMYFUNCTION("""COMPUTED_VALUE"""),"#15217")</f>
        <v>#15217</v>
      </c>
      <c r="C47" s="65" t="str">
        <f>IFERROR(__xludf.DUMMYFUNCTION("""COMPUTED_VALUE"""),"a.hermann@wustl.edu")</f>
        <v>a.hermann@wustl.edu</v>
      </c>
      <c r="D47" s="65"/>
      <c r="E47" s="65" t="str">
        <f>IFERROR(__xludf.DUMMYFUNCTION("""COMPUTED_VALUE"""),"Andrew Hermann")</f>
        <v>Andrew Hermann</v>
      </c>
      <c r="F47" s="65"/>
      <c r="G47" s="65" t="str">
        <f>IFERROR(__xludf.DUMMYFUNCTION("""COMPUTED_VALUE"""),"1070 Park Avenue Apt. 4B New York United States")</f>
        <v>1070 Park Avenue Apt. 4B New York United States</v>
      </c>
      <c r="H47" s="65" t="str">
        <f>IFERROR(__xludf.DUMMYFUNCTION("""COMPUTED_VALUE"""),"Tri-State Area Home Pickups")</f>
        <v>Tri-State Area Home Pickups</v>
      </c>
      <c r="I47" s="65" t="str">
        <f>IFERROR(__xludf.DUMMYFUNCTION("""COMPUTED_VALUE"""),"$100 per item [Included]  ")</f>
        <v>$100 per item [Included]  </v>
      </c>
      <c r="J47" s="108"/>
      <c r="K47" s="108"/>
      <c r="L47" s="103">
        <f>IFERROR(__xludf.DUMMYFUNCTION("""COMPUTED_VALUE"""),45877.0)</f>
        <v>45877</v>
      </c>
      <c r="M47" s="111" t="str">
        <f>IFERROR(__xludf.DUMMYFUNCTION("""COMPUTED_VALUE"""),"Dardick  ")</f>
        <v>Dardick  </v>
      </c>
      <c r="N47" s="65" t="str">
        <f>IFERROR(__xludf.DUMMYFUNCTION("""COMPUTED_VALUE"""),"2210-A")</f>
        <v>2210-A</v>
      </c>
      <c r="O47" s="65"/>
      <c r="P47" s="65" t="str">
        <f>IFERROR(__xludf.DUMMYFUNCTION("""COMPUTED_VALUE"""),"$100 per item [Included]  ")</f>
        <v>$100 per item [Included]  </v>
      </c>
      <c r="Q47" s="65"/>
      <c r="R47" s="65"/>
    </row>
    <row r="48">
      <c r="A48" s="99" t="str">
        <f>IFERROR(__xludf.DUMMYFUNCTION("""COMPUTED_VALUE"""),"https://admin.shopify.com/store/utrucking/orders/5897753166012?link_source=search")</f>
        <v>https://admin.shopify.com/store/utrucking/orders/5897753166012?link_source=search</v>
      </c>
      <c r="B48" s="61" t="str">
        <f>IFERROR(__xludf.DUMMYFUNCTION("""COMPUTED_VALUE"""),"#15219")</f>
        <v>#15219</v>
      </c>
      <c r="C48" s="61" t="str">
        <f>IFERROR(__xludf.DUMMYFUNCTION("""COMPUTED_VALUE"""),"danailyse@gmail.com")</f>
        <v>danailyse@gmail.com</v>
      </c>
      <c r="D48" s="61" t="str">
        <f>IFERROR(__xludf.DUMMYFUNCTION("""COMPUTED_VALUE"""),"917-847-8276")</f>
        <v>917-847-8276</v>
      </c>
      <c r="E48" s="61" t="str">
        <f>IFERROR(__xludf.DUMMYFUNCTION("""COMPUTED_VALUE"""),"Dana Rochester")</f>
        <v>Dana Rochester</v>
      </c>
      <c r="F48" s="61"/>
      <c r="G48" s="61" t="str">
        <f>IFERROR(__xludf.DUMMYFUNCTION("""COMPUTED_VALUE"""),"10 Monfort Road")</f>
        <v>10 Monfort Road</v>
      </c>
      <c r="H48" s="61" t="str">
        <f>IFERROR(__xludf.DUMMYFUNCTION("""COMPUTED_VALUE"""),"Tri-State Area Home Pickups")</f>
        <v>Tri-State Area Home Pickups</v>
      </c>
      <c r="I48" s="61" t="str">
        <f>IFERROR(__xludf.DUMMYFUNCTION("""COMPUTED_VALUE"""),"$100 per item [Included]  ")</f>
        <v>$100 per item [Included]  </v>
      </c>
      <c r="J48" s="107" t="str">
        <f>IFERROR(__xludf.DUMMYFUNCTION("""COMPUTED_VALUE"""),"University Housing")</f>
        <v>University Housing</v>
      </c>
      <c r="K48" s="107" t="str">
        <f>IFERROR(__xludf.DUMMYFUNCTION("""COMPUTED_VALUE"""),"09:00 AM - 11:00 AM")</f>
        <v>09:00 AM - 11:00 AM</v>
      </c>
      <c r="L48" s="100">
        <f>IFERROR(__xludf.DUMMYFUNCTION("""COMPUTED_VALUE"""),45877.0)</f>
        <v>45877</v>
      </c>
      <c r="M48" s="110" t="str">
        <f>IFERROR(__xludf.DUMMYFUNCTION("""COMPUTED_VALUE"""),"Lien")</f>
        <v>Lien</v>
      </c>
      <c r="N48" s="61" t="str">
        <f>IFERROR(__xludf.DUMMYFUNCTION("""COMPUTED_VALUE"""),"3330")</f>
        <v>3330</v>
      </c>
      <c r="O48" s="61"/>
      <c r="P48" s="61"/>
      <c r="Q48" s="61"/>
      <c r="R48" s="61"/>
    </row>
    <row r="49">
      <c r="A49" s="102" t="str">
        <f>IFERROR(__xludf.DUMMYFUNCTION("""COMPUTED_VALUE"""),"https://utrucking.com/admin/orders/5900123734204")</f>
        <v>https://utrucking.com/admin/orders/5900123734204</v>
      </c>
      <c r="B49" s="65" t="str">
        <f>IFERROR(__xludf.DUMMYFUNCTION("""COMPUTED_VALUE"""),"#15260")</f>
        <v>#15260</v>
      </c>
      <c r="C49" s="65" t="str">
        <f>IFERROR(__xludf.DUMMYFUNCTION("""COMPUTED_VALUE"""),"j.todfield118@gmail.com")</f>
        <v>j.todfield118@gmail.com</v>
      </c>
      <c r="D49" s="65">
        <f>IFERROR(__xludf.DUMMYFUNCTION("""COMPUTED_VALUE"""),1.9178821115E10)</f>
        <v>19178821115</v>
      </c>
      <c r="E49" s="65" t="str">
        <f>IFERROR(__xludf.DUMMYFUNCTION("""COMPUTED_VALUE"""),"Jamie  pastrano ")</f>
        <v>Jamie  pastrano </v>
      </c>
      <c r="F49" s="65"/>
      <c r="G49" s="65" t="str">
        <f>IFERROR(__xludf.DUMMYFUNCTION("""COMPUTED_VALUE"""),"70 Little West StApt 24F")</f>
        <v>70 Little West StApt 24F</v>
      </c>
      <c r="H49" s="65" t="str">
        <f>IFERROR(__xludf.DUMMYFUNCTION("""COMPUTED_VALUE"""),"Tri-State Area Home Pickups")</f>
        <v>Tri-State Area Home Pickups</v>
      </c>
      <c r="I49" s="65" t="str">
        <f>IFERROR(__xludf.DUMMYFUNCTION("""COMPUTED_VALUE"""),"$100 per item [Included]  ")</f>
        <v>$100 per item [Included]  </v>
      </c>
      <c r="J49" s="108" t="str">
        <f>IFERROR(__xludf.DUMMYFUNCTION("""COMPUTED_VALUE"""),"University Housing")</f>
        <v>University Housing</v>
      </c>
      <c r="K49" s="108"/>
      <c r="L49" s="103">
        <f>IFERROR(__xludf.DUMMYFUNCTION("""COMPUTED_VALUE"""),45883.0)</f>
        <v>45883</v>
      </c>
      <c r="M49" s="111" t="str">
        <f>IFERROR(__xludf.DUMMYFUNCTION("""COMPUTED_VALUE"""),"Dardick  ")</f>
        <v>Dardick  </v>
      </c>
      <c r="N49" s="65" t="str">
        <f>IFERROR(__xludf.DUMMYFUNCTION("""COMPUTED_VALUE"""),"3309-a")</f>
        <v>3309-a</v>
      </c>
      <c r="O49" s="65"/>
      <c r="P49" s="65" t="str">
        <f>IFERROR(__xludf.DUMMYFUNCTION("""COMPUTED_VALUE"""),"$100 per item [Included]  ")</f>
        <v>$100 per item [Included]  </v>
      </c>
      <c r="Q49" s="65" t="str">
        <f>IFERROR(__xludf.DUMMYFUNCTION("""COMPUTED_VALUE"""),"70 little west street, Apt 24 f
New York ,NY 10004")</f>
        <v>70 little west street, Apt 24 f
New York ,NY 10004</v>
      </c>
      <c r="R49" s="65"/>
    </row>
    <row r="50">
      <c r="A50" s="99" t="str">
        <f>IFERROR(__xludf.DUMMYFUNCTION("""COMPUTED_VALUE"""),"https://utrucking.com/admin/orders/5900706185404")</f>
        <v>https://utrucking.com/admin/orders/5900706185404</v>
      </c>
      <c r="B50" s="61" t="str">
        <f>IFERROR(__xludf.DUMMYFUNCTION("""COMPUTED_VALUE"""),"#15273")</f>
        <v>#15273</v>
      </c>
      <c r="C50" s="61"/>
      <c r="D50" s="61">
        <f>IFERROR(__xludf.DUMMYFUNCTION("""COMPUTED_VALUE"""),3.475702616E9)</f>
        <v>3475702616</v>
      </c>
      <c r="E50" s="61" t="str">
        <f>IFERROR(__xludf.DUMMYFUNCTION("""COMPUTED_VALUE"""),"Natalie  Glassie ")</f>
        <v>Natalie  Glassie </v>
      </c>
      <c r="F50" s="61"/>
      <c r="G50" s="61" t="str">
        <f>IFERROR(__xludf.DUMMYFUNCTION("""COMPUTED_VALUE"""),"6235 Southwood Avenue")</f>
        <v>6235 Southwood Avenue</v>
      </c>
      <c r="H50" s="61" t="str">
        <f>IFERROR(__xludf.DUMMYFUNCTION("""COMPUTED_VALUE"""),"Tri-State Area Home Pickups")</f>
        <v>Tri-State Area Home Pickups</v>
      </c>
      <c r="I50" s="61" t="str">
        <f>IFERROR(__xludf.DUMMYFUNCTION("""COMPUTED_VALUE"""),"$100 per item [Included]  ")</f>
        <v>$100 per item [Included]  </v>
      </c>
      <c r="J50" s="107" t="str">
        <f>IFERROR(__xludf.DUMMYFUNCTION("""COMPUTED_VALUE"""),"Non-University Housing")</f>
        <v>Non-University Housing</v>
      </c>
      <c r="K50" s="107" t="str">
        <f>IFERROR(__xludf.DUMMYFUNCTION("""COMPUTED_VALUE"""),"09:00 AM to 11:00 AM  ")</f>
        <v>09:00 AM to 11:00 AM  </v>
      </c>
      <c r="L50" s="100">
        <f>IFERROR(__xludf.DUMMYFUNCTION("""COMPUTED_VALUE"""),45879.0)</f>
        <v>45879</v>
      </c>
      <c r="M50" s="110"/>
      <c r="N50" s="61"/>
      <c r="O50" s="61"/>
      <c r="P50" s="61" t="str">
        <f>IFERROR(__xludf.DUMMYFUNCTION("""COMPUTED_VALUE"""),"$100 per item [Included]  ")</f>
        <v>$100 per item [Included]  </v>
      </c>
      <c r="Q50" s="61" t="str">
        <f>IFERROR(__xludf.DUMMYFUNCTION("""COMPUTED_VALUE"""),"316 West 104 Street; 4A
New York, NY 10025")</f>
        <v>316 West 104 Street; 4A
New York, NY 10025</v>
      </c>
      <c r="R50" s="61"/>
    </row>
    <row r="51">
      <c r="A51" s="102" t="str">
        <f>IFERROR(__xludf.DUMMYFUNCTION("""COMPUTED_VALUE"""),"https://utrucking.com/admin/orders/5900738887868")</f>
        <v>https://utrucking.com/admin/orders/5900738887868</v>
      </c>
      <c r="B51" s="65" t="str">
        <f>IFERROR(__xludf.DUMMYFUNCTION("""COMPUTED_VALUE"""),"#15274")</f>
        <v>#15274</v>
      </c>
      <c r="C51" s="65"/>
      <c r="D51" s="65">
        <f>IFERROR(__xludf.DUMMYFUNCTION("""COMPUTED_VALUE"""),1.9175922703E10)</f>
        <v>19175922703</v>
      </c>
      <c r="E51" s="65" t="str">
        <f>IFERROR(__xludf.DUMMYFUNCTION("""COMPUTED_VALUE"""),"Samantha  Jacknis ")</f>
        <v>Samantha  Jacknis </v>
      </c>
      <c r="F51" s="65"/>
      <c r="G51" s="65" t="str">
        <f>IFERROR(__xludf.DUMMYFUNCTION("""COMPUTED_VALUE"""),"79 High Street")</f>
        <v>79 High Street</v>
      </c>
      <c r="H51" s="65" t="str">
        <f>IFERROR(__xludf.DUMMYFUNCTION("""COMPUTED_VALUE"""),"Tri-State Area Home Pickups")</f>
        <v>Tri-State Area Home Pickups</v>
      </c>
      <c r="I51" s="65" t="str">
        <f>IFERROR(__xludf.DUMMYFUNCTION("""COMPUTED_VALUE"""),"$100 per item [Included]  ")</f>
        <v>$100 per item [Included]  </v>
      </c>
      <c r="J51" s="108" t="str">
        <f>IFERROR(__xludf.DUMMYFUNCTION("""COMPUTED_VALUE"""),"University Housing")</f>
        <v>University Housing</v>
      </c>
      <c r="K51" s="108"/>
      <c r="L51" s="103">
        <f>IFERROR(__xludf.DUMMYFUNCTION("""COMPUTED_VALUE"""),45883.0)</f>
        <v>45883</v>
      </c>
      <c r="M51" s="111" t="str">
        <f>IFERROR(__xludf.DUMMYFUNCTION("""COMPUTED_VALUE"""),"Hitzeman  ")</f>
        <v>Hitzeman  </v>
      </c>
      <c r="N51" s="65" t="str">
        <f>IFERROR(__xludf.DUMMYFUNCTION("""COMPUTED_VALUE"""),"232A")</f>
        <v>232A</v>
      </c>
      <c r="O51" s="65"/>
      <c r="P51" s="65" t="str">
        <f>IFERROR(__xludf.DUMMYFUNCTION("""COMPUTED_VALUE"""),"$100 per item [Included]  ")</f>
        <v>$100 per item [Included]  </v>
      </c>
      <c r="Q51" s="65" t="str">
        <f>IFERROR(__xludf.DUMMYFUNCTION("""COMPUTED_VALUE"""),"79 High Street
East Williston, NY 11596")</f>
        <v>79 High Street
East Williston, NY 11596</v>
      </c>
      <c r="R51" s="65"/>
    </row>
    <row r="52">
      <c r="A52" s="99" t="str">
        <f>IFERROR(__xludf.DUMMYFUNCTION("""COMPUTED_VALUE"""),"https://utrucking.com/admin/orders/5900916162748")</f>
        <v>https://utrucking.com/admin/orders/5900916162748</v>
      </c>
      <c r="B52" s="61" t="str">
        <f>IFERROR(__xludf.DUMMYFUNCTION("""COMPUTED_VALUE"""),"#15280")</f>
        <v>#15280</v>
      </c>
      <c r="C52" s="61"/>
      <c r="D52" s="61">
        <f>IFERROR(__xludf.DUMMYFUNCTION("""COMPUTED_VALUE"""),1.9175848891E10)</f>
        <v>19175848891</v>
      </c>
      <c r="E52" s="61" t="str">
        <f>IFERROR(__xludf.DUMMYFUNCTION("""COMPUTED_VALUE"""),"Daria Reznikova")</f>
        <v>Daria Reznikova</v>
      </c>
      <c r="F52" s="61"/>
      <c r="G52" s="61" t="str">
        <f>IFERROR(__xludf.DUMMYFUNCTION("""COMPUTED_VALUE"""),"35 West 71st Street")</f>
        <v>35 West 71st Street</v>
      </c>
      <c r="H52" s="61" t="str">
        <f>IFERROR(__xludf.DUMMYFUNCTION("""COMPUTED_VALUE"""),"Tri-State Area Home Pickups")</f>
        <v>Tri-State Area Home Pickups</v>
      </c>
      <c r="I52" s="61" t="str">
        <f>IFERROR(__xludf.DUMMYFUNCTION("""COMPUTED_VALUE"""),"$100 per item [Included]  ")</f>
        <v>$100 per item [Included]  </v>
      </c>
      <c r="J52" s="107" t="str">
        <f>IFERROR(__xludf.DUMMYFUNCTION("""COMPUTED_VALUE"""),"﻿﻿ University Housing")</f>
        <v>﻿﻿ University Housing</v>
      </c>
      <c r="K52" s="107"/>
      <c r="L52" s="100">
        <f>IFERROR(__xludf.DUMMYFUNCTION("""COMPUTED_VALUE"""),45883.0)</f>
        <v>45883</v>
      </c>
      <c r="M52" s="110" t="str">
        <f>IFERROR(__xludf.DUMMYFUNCTION("""COMPUTED_VALUE"""),"Hitzeman  ")</f>
        <v>Hitzeman  </v>
      </c>
      <c r="N52" s="61" t="str">
        <f>IFERROR(__xludf.DUMMYFUNCTION("""COMPUTED_VALUE"""),"222A")</f>
        <v>222A</v>
      </c>
      <c r="O52" s="61"/>
      <c r="P52" s="61" t="str">
        <f>IFERROR(__xludf.DUMMYFUNCTION("""COMPUTED_VALUE"""),"$100 per item [Included]  ")</f>
        <v>$100 per item [Included]  </v>
      </c>
      <c r="Q52" s="61" t="str">
        <f>IFERROR(__xludf.DUMMYFUNCTION("""COMPUTED_VALUE"""),"35 W 71st, apt 2, New York NY 10023")</f>
        <v>35 W 71st, apt 2, New York NY 10023</v>
      </c>
      <c r="R52" s="61"/>
    </row>
    <row r="53">
      <c r="A53" s="102" t="str">
        <f>IFERROR(__xludf.DUMMYFUNCTION("""COMPUTED_VALUE"""),"https://utrucking.com/admin/orders/5900954435772")</f>
        <v>https://utrucking.com/admin/orders/5900954435772</v>
      </c>
      <c r="B53" s="65" t="str">
        <f>IFERROR(__xludf.DUMMYFUNCTION("""COMPUTED_VALUE"""),"#15282")</f>
        <v>#15282</v>
      </c>
      <c r="C53" s="65"/>
      <c r="D53" s="65">
        <f>IFERROR(__xludf.DUMMYFUNCTION("""COMPUTED_VALUE"""),6.46734868E9)</f>
        <v>6467348680</v>
      </c>
      <c r="E53" s="65" t="str">
        <f>IFERROR(__xludf.DUMMYFUNCTION("""COMPUTED_VALUE"""),"Leah Shandler")</f>
        <v>Leah Shandler</v>
      </c>
      <c r="F53" s="65"/>
      <c r="G53" s="65" t="str">
        <f>IFERROR(__xludf.DUMMYFUNCTION("""COMPUTED_VALUE"""),"271 Fox Meadow Rd")</f>
        <v>271 Fox Meadow Rd</v>
      </c>
      <c r="H53" s="65" t="str">
        <f>IFERROR(__xludf.DUMMYFUNCTION("""COMPUTED_VALUE"""),"Tri-State Area Home Pickups")</f>
        <v>Tri-State Area Home Pickups</v>
      </c>
      <c r="I53" s="65" t="str">
        <f>IFERROR(__xludf.DUMMYFUNCTION("""COMPUTED_VALUE"""),"$100 per item [Included]  ")</f>
        <v>$100 per item [Included]  </v>
      </c>
      <c r="J53" s="108" t="str">
        <f>IFERROR(__xludf.DUMMYFUNCTION("""COMPUTED_VALUE"""),"﻿﻿ University Housing")</f>
        <v>﻿﻿ University Housing</v>
      </c>
      <c r="K53" s="108"/>
      <c r="L53" s="103">
        <f>IFERROR(__xludf.DUMMYFUNCTION("""COMPUTED_VALUE"""),45883.0)</f>
        <v>45883</v>
      </c>
      <c r="M53" s="111" t="str">
        <f>IFERROR(__xludf.DUMMYFUNCTION("""COMPUTED_VALUE"""),"Hitzeman  ")</f>
        <v>Hitzeman  </v>
      </c>
      <c r="N53" s="65" t="str">
        <f>IFERROR(__xludf.DUMMYFUNCTION("""COMPUTED_VALUE"""),"232-b")</f>
        <v>232-b</v>
      </c>
      <c r="O53" s="65"/>
      <c r="P53" s="65" t="str">
        <f>IFERROR(__xludf.DUMMYFUNCTION("""COMPUTED_VALUE"""),"$100 per item [Included]  ")</f>
        <v>$100 per item [Included]  </v>
      </c>
      <c r="Q53" s="65" t="str">
        <f>IFERROR(__xludf.DUMMYFUNCTION("""COMPUTED_VALUE"""),"271 Fox Meadow Road, Scarsdale, New York 10583")</f>
        <v>271 Fox Meadow Road, Scarsdale, New York 10583</v>
      </c>
      <c r="R53" s="65"/>
    </row>
    <row r="54">
      <c r="A54" s="99" t="str">
        <f>IFERROR(__xludf.DUMMYFUNCTION("""COMPUTED_VALUE"""),"https://utrucking.com/admin/orders/5901019447484")</f>
        <v>https://utrucking.com/admin/orders/5901019447484</v>
      </c>
      <c r="B54" s="61" t="str">
        <f>IFERROR(__xludf.DUMMYFUNCTION("""COMPUTED_VALUE"""),"#15285")</f>
        <v>#15285</v>
      </c>
      <c r="C54" s="61" t="str">
        <f>IFERROR(__xludf.DUMMYFUNCTION("""COMPUTED_VALUE"""),"phweinberg@yahoo.com")</f>
        <v>phweinberg@yahoo.com</v>
      </c>
      <c r="D54" s="61">
        <f>IFERROR(__xludf.DUMMYFUNCTION("""COMPUTED_VALUE"""),1.9173480983E10)</f>
        <v>19173480983</v>
      </c>
      <c r="E54" s="61" t="str">
        <f>IFERROR(__xludf.DUMMYFUNCTION("""COMPUTED_VALUE"""),"Philip Weinberg")</f>
        <v>Philip Weinberg</v>
      </c>
      <c r="F54" s="61"/>
      <c r="G54" s="61" t="str">
        <f>IFERROR(__xludf.DUMMYFUNCTION("""COMPUTED_VALUE"""),"12 Annette Way Jericho, NY")</f>
        <v>12 Annette Way Jericho, NY</v>
      </c>
      <c r="H54" s="61" t="str">
        <f>IFERROR(__xludf.DUMMYFUNCTION("""COMPUTED_VALUE"""),"Tri-State Area Home Pickups")</f>
        <v>Tri-State Area Home Pickups</v>
      </c>
      <c r="I54" s="61" t="str">
        <f>IFERROR(__xludf.DUMMYFUNCTION("""COMPUTED_VALUE"""),"$100 per item [Included]  ")</f>
        <v>$100 per item [Included]  </v>
      </c>
      <c r="J54" s="107" t="str">
        <f>IFERROR(__xludf.DUMMYFUNCTION("""COMPUTED_VALUE"""),"﻿﻿ University Housing")</f>
        <v>﻿﻿ University Housing</v>
      </c>
      <c r="K54" s="107"/>
      <c r="L54" s="100">
        <f>IFERROR(__xludf.DUMMYFUNCTION("""COMPUTED_VALUE"""),45887.0)</f>
        <v>45887</v>
      </c>
      <c r="M54" s="110" t="str">
        <f>IFERROR(__xludf.DUMMYFUNCTION("""COMPUTED_VALUE"""),"Zetcher  ")</f>
        <v>Zetcher  </v>
      </c>
      <c r="N54" s="61" t="str">
        <f>IFERROR(__xludf.DUMMYFUNCTION("""COMPUTED_VALUE"""),"3160 A")</f>
        <v>3160 A</v>
      </c>
      <c r="O54" s="61"/>
      <c r="P54" s="61" t="str">
        <f>IFERROR(__xludf.DUMMYFUNCTION("""COMPUTED_VALUE"""),"$100 per item [Included]  ")</f>
        <v>$100 per item [Included]  </v>
      </c>
      <c r="Q54" s="61" t="str">
        <f>IFERROR(__xludf.DUMMYFUNCTION("""COMPUTED_VALUE"""),"12 Annette Way
Jericho, NY 11753")</f>
        <v>12 Annette Way
Jericho, NY 11753</v>
      </c>
      <c r="R54" s="61"/>
    </row>
    <row r="55">
      <c r="A55" s="102" t="str">
        <f>IFERROR(__xludf.DUMMYFUNCTION("""COMPUTED_VALUE"""),"https://utrucking.com/admin/orders/5901819445436")</f>
        <v>https://utrucking.com/admin/orders/5901819445436</v>
      </c>
      <c r="B55" s="65" t="str">
        <f>IFERROR(__xludf.DUMMYFUNCTION("""COMPUTED_VALUE"""),"#15294")</f>
        <v>#15294</v>
      </c>
      <c r="C55" s="65" t="str">
        <f>IFERROR(__xludf.DUMMYFUNCTION("""COMPUTED_VALUE"""),"jamesopollack@gmail.com")</f>
        <v>jamesopollack@gmail.com</v>
      </c>
      <c r="D55" s="65">
        <f>IFERROR(__xludf.DUMMYFUNCTION("""COMPUTED_VALUE"""),1.9176897822E10)</f>
        <v>19176897822</v>
      </c>
      <c r="E55" s="65" t="str">
        <f>IFERROR(__xludf.DUMMYFUNCTION("""COMPUTED_VALUE"""),"James Pollack")</f>
        <v>James Pollack</v>
      </c>
      <c r="F55" s="65"/>
      <c r="G55" s="65"/>
      <c r="H55" s="65" t="str">
        <f>IFERROR(__xludf.DUMMYFUNCTION("""COMPUTED_VALUE"""),"Tri-State Area Home Pickups")</f>
        <v>Tri-State Area Home Pickups</v>
      </c>
      <c r="I55" s="65" t="str">
        <f>IFERROR(__xludf.DUMMYFUNCTION("""COMPUTED_VALUE"""),"$100 per item [Included]  ")</f>
        <v>$100 per item [Included]  </v>
      </c>
      <c r="J55" s="108" t="str">
        <f>IFERROR(__xludf.DUMMYFUNCTION("""COMPUTED_VALUE"""),"University Housing")</f>
        <v>University Housing</v>
      </c>
      <c r="K55" s="108"/>
      <c r="L55" s="103">
        <f>IFERROR(__xludf.DUMMYFUNCTION("""COMPUTED_VALUE"""),45883.0)</f>
        <v>45883</v>
      </c>
      <c r="M55" s="111" t="str">
        <f>IFERROR(__xludf.DUMMYFUNCTION("""COMPUTED_VALUE"""),"Wheeler  ")</f>
        <v>Wheeler  </v>
      </c>
      <c r="N55" s="65" t="str">
        <f>IFERROR(__xludf.DUMMYFUNCTION("""COMPUTED_VALUE"""),"3104")</f>
        <v>3104</v>
      </c>
      <c r="O55" s="65"/>
      <c r="P55" s="65" t="str">
        <f>IFERROR(__xludf.DUMMYFUNCTION("""COMPUTED_VALUE"""),"$100 per item [Included]  ")</f>
        <v>$100 per item [Included]  </v>
      </c>
      <c r="Q55" s="65" t="str">
        <f>IFERROR(__xludf.DUMMYFUNCTION("""COMPUTED_VALUE"""),"210 W. 101st Street, Apt. 15L
New York, NY 10025")</f>
        <v>210 W. 101st Street, Apt. 15L
New York, NY 10025</v>
      </c>
      <c r="R55" s="65"/>
    </row>
    <row r="56">
      <c r="A56" s="99" t="str">
        <f>IFERROR(__xludf.DUMMYFUNCTION("""COMPUTED_VALUE"""),"https://utrucking.com/admin/orders/5901823344828")</f>
        <v>https://utrucking.com/admin/orders/5901823344828</v>
      </c>
      <c r="B56" s="61" t="str">
        <f>IFERROR(__xludf.DUMMYFUNCTION("""COMPUTED_VALUE"""),"#15295")</f>
        <v>#15295</v>
      </c>
      <c r="C56" s="61" t="str">
        <f>IFERROR(__xludf.DUMMYFUNCTION("""COMPUTED_VALUE"""),"abergel@wustl.edu")</f>
        <v>abergel@wustl.edu</v>
      </c>
      <c r="D56" s="61">
        <f>IFERROR(__xludf.DUMMYFUNCTION("""COMPUTED_VALUE"""),8.622122755E9)</f>
        <v>8622122755</v>
      </c>
      <c r="E56" s="61" t="str">
        <f>IFERROR(__xludf.DUMMYFUNCTION("""COMPUTED_VALUE"""),"Noa Abergel")</f>
        <v>Noa Abergel</v>
      </c>
      <c r="F56" s="61"/>
      <c r="G56" s="61"/>
      <c r="H56" s="61" t="str">
        <f>IFERROR(__xludf.DUMMYFUNCTION("""COMPUTED_VALUE"""),"Tri-State Area Home Pickups")</f>
        <v>Tri-State Area Home Pickups</v>
      </c>
      <c r="I56" s="61" t="str">
        <f>IFERROR(__xludf.DUMMYFUNCTION("""COMPUTED_VALUE"""),"$100 per item [Included]  ")</f>
        <v>$100 per item [Included]  </v>
      </c>
      <c r="J56" s="107" t="str">
        <f>IFERROR(__xludf.DUMMYFUNCTION("""COMPUTED_VALUE"""),"University Housing")</f>
        <v>University Housing</v>
      </c>
      <c r="K56" s="107"/>
      <c r="L56" s="100">
        <f>IFERROR(__xludf.DUMMYFUNCTION("""COMPUTED_VALUE"""),45883.0)</f>
        <v>45883</v>
      </c>
      <c r="M56" s="110" t="str">
        <f>IFERROR(__xludf.DUMMYFUNCTION("""COMPUTED_VALUE"""),"Danforth  ")</f>
        <v>Danforth  </v>
      </c>
      <c r="N56" s="61" t="str">
        <f>IFERROR(__xludf.DUMMYFUNCTION("""COMPUTED_VALUE"""),"4427-b")</f>
        <v>4427-b</v>
      </c>
      <c r="O56" s="61"/>
      <c r="P56" s="61" t="str">
        <f>IFERROR(__xludf.DUMMYFUNCTION("""COMPUTED_VALUE"""),"$100 per item [Included]  ")</f>
        <v>$100 per item [Included]  </v>
      </c>
      <c r="Q56" s="61" t="str">
        <f>IFERROR(__xludf.DUMMYFUNCTION("""COMPUTED_VALUE"""),"8 Grasmere Court, Livingston, NJ, 07039")</f>
        <v>8 Grasmere Court, Livingston, NJ, 07039</v>
      </c>
      <c r="R56" s="61"/>
    </row>
    <row r="57">
      <c r="A57" s="102" t="str">
        <f>IFERROR(__xludf.DUMMYFUNCTION("""COMPUTED_VALUE"""),"https://utrucking.com/admin/orders/5902234190012")</f>
        <v>https://utrucking.com/admin/orders/5902234190012</v>
      </c>
      <c r="B57" s="65" t="str">
        <f>IFERROR(__xludf.DUMMYFUNCTION("""COMPUTED_VALUE"""),"#15297")</f>
        <v>#15297</v>
      </c>
      <c r="C57" s="65" t="str">
        <f>IFERROR(__xludf.DUMMYFUNCTION("""COMPUTED_VALUE"""),"ethannus07@gmail.com")</f>
        <v>ethannus07@gmail.com</v>
      </c>
      <c r="D57" s="65">
        <f>IFERROR(__xludf.DUMMYFUNCTION("""COMPUTED_VALUE"""),9.176131752E9)</f>
        <v>9176131752</v>
      </c>
      <c r="E57" s="65" t="str">
        <f>IFERROR(__xludf.DUMMYFUNCTION("""COMPUTED_VALUE"""),"Ethan Nus")</f>
        <v>Ethan Nus</v>
      </c>
      <c r="F57" s="65"/>
      <c r="G57" s="65"/>
      <c r="H57" s="65" t="str">
        <f>IFERROR(__xludf.DUMMYFUNCTION("""COMPUTED_VALUE"""),"Tri-State Area Home Pickups")</f>
        <v>Tri-State Area Home Pickups</v>
      </c>
      <c r="I57" s="65" t="str">
        <f>IFERROR(__xludf.DUMMYFUNCTION("""COMPUTED_VALUE"""),"$100 per item [Included]  ")</f>
        <v>$100 per item [Included]  </v>
      </c>
      <c r="J57" s="108" t="str">
        <f>IFERROR(__xludf.DUMMYFUNCTION("""COMPUTED_VALUE"""),"University Housing")</f>
        <v>University Housing</v>
      </c>
      <c r="K57" s="108"/>
      <c r="L57" s="103">
        <f>IFERROR(__xludf.DUMMYFUNCTION("""COMPUTED_VALUE"""),45883.0)</f>
        <v>45883</v>
      </c>
      <c r="M57" s="111" t="str">
        <f>IFERROR(__xludf.DUMMYFUNCTION("""COMPUTED_VALUE"""),"Umrath  ")</f>
        <v>Umrath  </v>
      </c>
      <c r="N57" s="65" t="str">
        <f>IFERROR(__xludf.DUMMYFUNCTION("""COMPUTED_VALUE"""),"4428")</f>
        <v>4428</v>
      </c>
      <c r="O57" s="65"/>
      <c r="P57" s="65" t="str">
        <f>IFERROR(__xludf.DUMMYFUNCTION("""COMPUTED_VALUE"""),"$100 per item [Included]  ")</f>
        <v>$100 per item [Included]  </v>
      </c>
      <c r="Q57" s="65" t="str">
        <f>IFERROR(__xludf.DUMMYFUNCTION("""COMPUTED_VALUE"""),"9 Dune rd
Hewlett, NY 11557")</f>
        <v>9 Dune rd
Hewlett, NY 11557</v>
      </c>
      <c r="R57" s="65"/>
    </row>
    <row r="58">
      <c r="A58" s="99" t="str">
        <f>IFERROR(__xludf.DUMMYFUNCTION("""COMPUTED_VALUE"""),"https://utrucking.com/admin/orders/5902261616828")</f>
        <v>https://utrucking.com/admin/orders/5902261616828</v>
      </c>
      <c r="B58" s="61" t="str">
        <f>IFERROR(__xludf.DUMMYFUNCTION("""COMPUTED_VALUE"""),"#15298")</f>
        <v>#15298</v>
      </c>
      <c r="C58" s="61"/>
      <c r="D58" s="61">
        <f>IFERROR(__xludf.DUMMYFUNCTION("""COMPUTED_VALUE"""),9.143296359E9)</f>
        <v>9143296359</v>
      </c>
      <c r="E58" s="61" t="str">
        <f>IFERROR(__xludf.DUMMYFUNCTION("""COMPUTED_VALUE"""),"Sydney Starkey")</f>
        <v>Sydney Starkey</v>
      </c>
      <c r="F58" s="61"/>
      <c r="G58" s="61"/>
      <c r="H58" s="61" t="str">
        <f>IFERROR(__xludf.DUMMYFUNCTION("""COMPUTED_VALUE"""),"Tri-State Area Home Pickups")</f>
        <v>Tri-State Area Home Pickups</v>
      </c>
      <c r="I58" s="61" t="str">
        <f>IFERROR(__xludf.DUMMYFUNCTION("""COMPUTED_VALUE"""),"$100 per item [Included]  ")</f>
        <v>$100 per item [Included]  </v>
      </c>
      <c r="J58" s="107" t="str">
        <f>IFERROR(__xludf.DUMMYFUNCTION("""COMPUTED_VALUE"""),"University Housing")</f>
        <v>University Housing</v>
      </c>
      <c r="K58" s="107"/>
      <c r="L58" s="100">
        <f>IFERROR(__xludf.DUMMYFUNCTION("""COMPUTED_VALUE"""),45883.0)</f>
        <v>45883</v>
      </c>
      <c r="M58" s="110" t="str">
        <f>IFERROR(__xludf.DUMMYFUNCTION("""COMPUTED_VALUE"""),"Rutledge  ")</f>
        <v>Rutledge  </v>
      </c>
      <c r="N58" s="61" t="str">
        <f>IFERROR(__xludf.DUMMYFUNCTION("""COMPUTED_VALUE"""),"124 B")</f>
        <v>124 B</v>
      </c>
      <c r="O58" s="61"/>
      <c r="P58" s="61" t="str">
        <f>IFERROR(__xludf.DUMMYFUNCTION("""COMPUTED_VALUE"""),"$100 per item [Included]  ")</f>
        <v>$100 per item [Included]  </v>
      </c>
      <c r="Q58" s="61" t="str">
        <f>IFERROR(__xludf.DUMMYFUNCTION("""COMPUTED_VALUE"""),"199 Webber Avenue
Sleepy Hollow, NY 10591")</f>
        <v>199 Webber Avenue
Sleepy Hollow, NY 10591</v>
      </c>
      <c r="R58" s="61"/>
    </row>
    <row r="59">
      <c r="A59" s="102" t="str">
        <f>IFERROR(__xludf.DUMMYFUNCTION("""COMPUTED_VALUE"""),"https://utrucking.com/admin/orders/5902278230204")</f>
        <v>https://utrucking.com/admin/orders/5902278230204</v>
      </c>
      <c r="B59" s="65" t="str">
        <f>IFERROR(__xludf.DUMMYFUNCTION("""COMPUTED_VALUE"""),"#15300")</f>
        <v>#15300</v>
      </c>
      <c r="C59" s="65" t="str">
        <f>IFERROR(__xludf.DUMMYFUNCTION("""COMPUTED_VALUE"""),"tylero87@icloud.com")</f>
        <v>tylero87@icloud.com</v>
      </c>
      <c r="D59" s="65">
        <f>IFERROR(__xludf.DUMMYFUNCTION("""COMPUTED_VALUE"""),5.169455306E9)</f>
        <v>5169455306</v>
      </c>
      <c r="E59" s="65" t="str">
        <f>IFERROR(__xludf.DUMMYFUNCTION("""COMPUTED_VALUE"""),"Tyler Osit")</f>
        <v>Tyler Osit</v>
      </c>
      <c r="F59" s="65"/>
      <c r="G59" s="65"/>
      <c r="H59" s="65" t="str">
        <f>IFERROR(__xludf.DUMMYFUNCTION("""COMPUTED_VALUE"""),"Tri-State Area Home Pickups")</f>
        <v>Tri-State Area Home Pickups</v>
      </c>
      <c r="I59" s="65" t="str">
        <f>IFERROR(__xludf.DUMMYFUNCTION("""COMPUTED_VALUE"""),"$100 per item [Included]  ")</f>
        <v>$100 per item [Included]  </v>
      </c>
      <c r="J59" s="108" t="str">
        <f>IFERROR(__xludf.DUMMYFUNCTION("""COMPUTED_VALUE"""),"University Housing")</f>
        <v>University Housing</v>
      </c>
      <c r="K59" s="108"/>
      <c r="L59" s="103">
        <f>IFERROR(__xludf.DUMMYFUNCTION("""COMPUTED_VALUE"""),45883.0)</f>
        <v>45883</v>
      </c>
      <c r="M59" s="111" t="str">
        <f>IFERROR(__xludf.DUMMYFUNCTION("""COMPUTED_VALUE"""),"Rutledge  ")</f>
        <v>Rutledge  </v>
      </c>
      <c r="N59" s="65" t="str">
        <f>IFERROR(__xludf.DUMMYFUNCTION("""COMPUTED_VALUE"""),"241 a")</f>
        <v>241 a</v>
      </c>
      <c r="O59" s="65"/>
      <c r="P59" s="65" t="str">
        <f>IFERROR(__xludf.DUMMYFUNCTION("""COMPUTED_VALUE"""),"$100 per item [Included]  ")</f>
        <v>$100 per item [Included]  </v>
      </c>
      <c r="Q59" s="65" t="str">
        <f>IFERROR(__xludf.DUMMYFUNCTION("""COMPUTED_VALUE"""),"46 Flamingo Road Roslyn New York")</f>
        <v>46 Flamingo Road Roslyn New York</v>
      </c>
      <c r="R59" s="65"/>
    </row>
    <row r="60">
      <c r="A60" s="99" t="str">
        <f>IFERROR(__xludf.DUMMYFUNCTION("""COMPUTED_VALUE"""),"https://utrucking.com/admin/orders/5902510555324")</f>
        <v>https://utrucking.com/admin/orders/5902510555324</v>
      </c>
      <c r="B60" s="61" t="str">
        <f>IFERROR(__xludf.DUMMYFUNCTION("""COMPUTED_VALUE"""),"#15303")</f>
        <v>#15303</v>
      </c>
      <c r="C60" s="61" t="str">
        <f>IFERROR(__xludf.DUMMYFUNCTION("""COMPUTED_VALUE"""),"jshurslep@gmail.com")</f>
        <v>jshurslep@gmail.com</v>
      </c>
      <c r="D60" s="61">
        <f>IFERROR(__xludf.DUMMYFUNCTION("""COMPUTED_VALUE"""),6.504683885E9)</f>
        <v>6504683885</v>
      </c>
      <c r="E60" s="61" t="str">
        <f>IFERROR(__xludf.DUMMYFUNCTION("""COMPUTED_VALUE"""),"jackie Shurslep")</f>
        <v>jackie Shurslep</v>
      </c>
      <c r="F60" s="61"/>
      <c r="G60" s="61" t="str">
        <f>IFERROR(__xludf.DUMMYFUNCTION("""COMPUTED_VALUE"""),"34 Beach Ave")</f>
        <v>34 Beach Ave</v>
      </c>
      <c r="H60" s="61" t="str">
        <f>IFERROR(__xludf.DUMMYFUNCTION("""COMPUTED_VALUE"""),"Tri-State Area Home Pickups")</f>
        <v>Tri-State Area Home Pickups</v>
      </c>
      <c r="I60" s="61" t="str">
        <f>IFERROR(__xludf.DUMMYFUNCTION("""COMPUTED_VALUE"""),"$100 per item [Included]  ")</f>
        <v>$100 per item [Included]  </v>
      </c>
      <c r="J60" s="107" t="str">
        <f>IFERROR(__xludf.DUMMYFUNCTION("""COMPUTED_VALUE"""),"University Housing")</f>
        <v>University Housing</v>
      </c>
      <c r="K60" s="107"/>
      <c r="L60" s="100">
        <f>IFERROR(__xludf.DUMMYFUNCTION("""COMPUTED_VALUE"""),45883.0)</f>
        <v>45883</v>
      </c>
      <c r="M60" s="110" t="str">
        <f>IFERROR(__xludf.DUMMYFUNCTION("""COMPUTED_VALUE"""),"Lien  ")</f>
        <v>Lien  </v>
      </c>
      <c r="N60" s="61" t="str">
        <f>IFERROR(__xludf.DUMMYFUNCTION("""COMPUTED_VALUE"""),"1116")</f>
        <v>1116</v>
      </c>
      <c r="O60" s="61"/>
      <c r="P60" s="61" t="str">
        <f>IFERROR(__xludf.DUMMYFUNCTION("""COMPUTED_VALUE"""),"$100 per item [Included]  ")</f>
        <v>$100 per item [Included]  </v>
      </c>
      <c r="Q60" s="61" t="str">
        <f>IFERROR(__xludf.DUMMYFUNCTION("""COMPUTED_VALUE"""),"34 beach avenue 
larchmont, ny 10538")</f>
        <v>34 beach avenue 
larchmont, ny 10538</v>
      </c>
      <c r="R60" s="61"/>
    </row>
    <row r="61">
      <c r="A61" s="102" t="str">
        <f>IFERROR(__xludf.DUMMYFUNCTION("""COMPUTED_VALUE"""),"https://utrucking.com/admin/orders/5902640742588")</f>
        <v>https://utrucking.com/admin/orders/5902640742588</v>
      </c>
      <c r="B61" s="65" t="str">
        <f>IFERROR(__xludf.DUMMYFUNCTION("""COMPUTED_VALUE"""),"#15307")</f>
        <v>#15307</v>
      </c>
      <c r="C61" s="65" t="str">
        <f>IFERROR(__xludf.DUMMYFUNCTION("""COMPUTED_VALUE"""),"rubinshulie@gmail.com")</f>
        <v>rubinshulie@gmail.com</v>
      </c>
      <c r="D61" s="65">
        <f>IFERROR(__xludf.DUMMYFUNCTION("""COMPUTED_VALUE"""),9.176737555E9)</f>
        <v>9176737555</v>
      </c>
      <c r="E61" s="65" t="str">
        <f>IFERROR(__xludf.DUMMYFUNCTION("""COMPUTED_VALUE"""),"Shulie Hochstadt")</f>
        <v>Shulie Hochstadt</v>
      </c>
      <c r="F61" s="65"/>
      <c r="G61" s="65"/>
      <c r="H61" s="65" t="str">
        <f>IFERROR(__xludf.DUMMYFUNCTION("""COMPUTED_VALUE"""),"Tri-State Area Home Pickups")</f>
        <v>Tri-State Area Home Pickups</v>
      </c>
      <c r="I61" s="65" t="str">
        <f>IFERROR(__xludf.DUMMYFUNCTION("""COMPUTED_VALUE"""),"$100 per item [Included]  ")</f>
        <v>$100 per item [Included]  </v>
      </c>
      <c r="J61" s="108" t="str">
        <f>IFERROR(__xludf.DUMMYFUNCTION("""COMPUTED_VALUE"""),"University Housing")</f>
        <v>University Housing</v>
      </c>
      <c r="K61" s="108"/>
      <c r="L61" s="103">
        <f>IFERROR(__xludf.DUMMYFUNCTION("""COMPUTED_VALUE"""),45883.0)</f>
        <v>45883</v>
      </c>
      <c r="M61" s="111" t="str">
        <f>IFERROR(__xludf.DUMMYFUNCTION("""COMPUTED_VALUE"""),"Dardick  ")</f>
        <v>Dardick  </v>
      </c>
      <c r="N61" s="65" t="str">
        <f>IFERROR(__xludf.DUMMYFUNCTION("""COMPUTED_VALUE"""),"2222")</f>
        <v>2222</v>
      </c>
      <c r="O61" s="65"/>
      <c r="P61" s="65" t="str">
        <f>IFERROR(__xludf.DUMMYFUNCTION("""COMPUTED_VALUE"""),"$100 per item [Included]  ")</f>
        <v>$100 per item [Included]  </v>
      </c>
      <c r="Q61" s="65" t="str">
        <f>IFERROR(__xludf.DUMMYFUNCTION("""COMPUTED_VALUE"""),"127 Walnut Street Englewood NJ 07631")</f>
        <v>127 Walnut Street Englewood NJ 07631</v>
      </c>
      <c r="R61" s="65"/>
    </row>
    <row r="62">
      <c r="A62" s="99" t="str">
        <f>IFERROR(__xludf.DUMMYFUNCTION("""COMPUTED_VALUE"""),"https://utrucking.com/admin/orders/5903255830716")</f>
        <v>https://utrucking.com/admin/orders/5903255830716</v>
      </c>
      <c r="B62" s="61" t="str">
        <f>IFERROR(__xludf.DUMMYFUNCTION("""COMPUTED_VALUE"""),"#15314")</f>
        <v>#15314</v>
      </c>
      <c r="C62" s="61" t="str">
        <f>IFERROR(__xludf.DUMMYFUNCTION("""COMPUTED_VALUE"""),"suri@kasirer.nyc")</f>
        <v>suri@kasirer.nyc</v>
      </c>
      <c r="D62" s="61">
        <f>IFERROR(__xludf.DUMMYFUNCTION("""COMPUTED_VALUE"""),9.178484128E9)</f>
        <v>9178484128</v>
      </c>
      <c r="E62" s="61" t="str">
        <f>IFERROR(__xludf.DUMMYFUNCTION("""COMPUTED_VALUE"""),"Suri Kasirer")</f>
        <v>Suri Kasirer</v>
      </c>
      <c r="F62" s="61"/>
      <c r="G62" s="61"/>
      <c r="H62" s="61" t="str">
        <f>IFERROR(__xludf.DUMMYFUNCTION("""COMPUTED_VALUE"""),"Tri-State Area Home Pickups")</f>
        <v>Tri-State Area Home Pickups</v>
      </c>
      <c r="I62" s="61" t="str">
        <f>IFERROR(__xludf.DUMMYFUNCTION("""COMPUTED_VALUE"""),"$100 per item [Included]  ")</f>
        <v>$100 per item [Included]  </v>
      </c>
      <c r="J62" s="107" t="str">
        <f>IFERROR(__xludf.DUMMYFUNCTION("""COMPUTED_VALUE"""),"University Housing")</f>
        <v>University Housing</v>
      </c>
      <c r="K62" s="107"/>
      <c r="L62" s="100">
        <f>IFERROR(__xludf.DUMMYFUNCTION("""COMPUTED_VALUE"""),45852.0)</f>
        <v>45852</v>
      </c>
      <c r="M62" s="110" t="str">
        <f>IFERROR(__xludf.DUMMYFUNCTION("""COMPUTED_VALUE"""),"Lee  ")</f>
        <v>Lee  </v>
      </c>
      <c r="N62" s="61" t="str">
        <f>IFERROR(__xludf.DUMMYFUNCTION("""COMPUTED_VALUE"""),"Lee-212-b")</f>
        <v>Lee-212-b</v>
      </c>
      <c r="O62" s="61"/>
      <c r="P62" s="61" t="str">
        <f>IFERROR(__xludf.DUMMYFUNCTION("""COMPUTED_VALUE"""),"$100 per item [Included]  ")</f>
        <v>$100 per item [Included]  </v>
      </c>
      <c r="Q62" s="61" t="str">
        <f>IFERROR(__xludf.DUMMYFUNCTION("""COMPUTED_VALUE"""),"150 Columbus Ave, NY, NY 10023")</f>
        <v>150 Columbus Ave, NY, NY 10023</v>
      </c>
      <c r="R62" s="61"/>
    </row>
    <row r="63">
      <c r="A63" s="102" t="str">
        <f>IFERROR(__xludf.DUMMYFUNCTION("""COMPUTED_VALUE"""),"https://utrucking.com/admin/orders/5903737815228")</f>
        <v>https://utrucking.com/admin/orders/5903737815228</v>
      </c>
      <c r="B63" s="65" t="str">
        <f>IFERROR(__xludf.DUMMYFUNCTION("""COMPUTED_VALUE"""),"#15320")</f>
        <v>#15320</v>
      </c>
      <c r="C63" s="65" t="str">
        <f>IFERROR(__xludf.DUMMYFUNCTION("""COMPUTED_VALUE"""),"embrownlawprof@gmail.com")</f>
        <v>embrownlawprof@gmail.com</v>
      </c>
      <c r="D63" s="65">
        <f>IFERROR(__xludf.DUMMYFUNCTION("""COMPUTED_VALUE"""),7.862013823E9)</f>
        <v>7862013823</v>
      </c>
      <c r="E63" s="65" t="str">
        <f>IFERROR(__xludf.DUMMYFUNCTION("""COMPUTED_VALUE"""),"Eleanor Browm")</f>
        <v>Eleanor Browm</v>
      </c>
      <c r="F63" s="65"/>
      <c r="G63" s="65"/>
      <c r="H63" s="65" t="str">
        <f>IFERROR(__xludf.DUMMYFUNCTION("""COMPUTED_VALUE"""),"Tri-State Area Home Pickups")</f>
        <v>Tri-State Area Home Pickups</v>
      </c>
      <c r="I63" s="65" t="str">
        <f>IFERROR(__xludf.DUMMYFUNCTION("""COMPUTED_VALUE"""),"$100 per item [Included]  ")</f>
        <v>$100 per item [Included]  </v>
      </c>
      <c r="J63" s="108" t="str">
        <f>IFERROR(__xludf.DUMMYFUNCTION("""COMPUTED_VALUE"""),"University Housing")</f>
        <v>University Housing</v>
      </c>
      <c r="K63" s="108"/>
      <c r="L63" s="103">
        <f>IFERROR(__xludf.DUMMYFUNCTION("""COMPUTED_VALUE"""),45882.0)</f>
        <v>45882</v>
      </c>
      <c r="M63" s="111" t="str">
        <f>IFERROR(__xludf.DUMMYFUNCTION("""COMPUTED_VALUE"""),"DON'T KNOW YET (put 'XXX' for room #)")</f>
        <v>DON'T KNOW YET (put 'XXX' for room #)</v>
      </c>
      <c r="N63" s="65" t="str">
        <f>IFERROR(__xludf.DUMMYFUNCTION("""COMPUTED_VALUE"""),"xxx")</f>
        <v>xxx</v>
      </c>
      <c r="O63" s="65"/>
      <c r="P63" s="65" t="str">
        <f>IFERROR(__xludf.DUMMYFUNCTION("""COMPUTED_VALUE"""),"$100 per item [Included]  ")</f>
        <v>$100 per item [Included]  </v>
      </c>
      <c r="Q63" s="65" t="str">
        <f>IFERROR(__xludf.DUMMYFUNCTION("""COMPUTED_VALUE"""),"72 Barlow Street
Canaan CT 06018")</f>
        <v>72 Barlow Street
Canaan CT 06018</v>
      </c>
      <c r="R63" s="65"/>
    </row>
    <row r="64">
      <c r="A64" s="99" t="str">
        <f>IFERROR(__xludf.DUMMYFUNCTION("""COMPUTED_VALUE"""),"https://utrucking.com/admin/orders/5904080044220")</f>
        <v>https://utrucking.com/admin/orders/5904080044220</v>
      </c>
      <c r="B64" s="61" t="str">
        <f>IFERROR(__xludf.DUMMYFUNCTION("""COMPUTED_VALUE"""),"#15327")</f>
        <v>#15327</v>
      </c>
      <c r="C64" s="61"/>
      <c r="D64" s="61">
        <f>IFERROR(__xludf.DUMMYFUNCTION("""COMPUTED_VALUE"""),1.9148865868E10)</f>
        <v>19148865868</v>
      </c>
      <c r="E64" s="61" t="str">
        <f>IFERROR(__xludf.DUMMYFUNCTION("""COMPUTED_VALUE"""),"Emma Lichtman")</f>
        <v>Emma Lichtman</v>
      </c>
      <c r="F64" s="61"/>
      <c r="G64" s="61" t="str">
        <f>IFERROR(__xludf.DUMMYFUNCTION("""COMPUTED_VALUE"""),"6643 Kingsbury Blvd
University City, MO
63130 
Apt. 3E")</f>
        <v>6643 Kingsbury Blvd
University City, MO
63130 
Apt. 3E</v>
      </c>
      <c r="H64" s="61" t="str">
        <f>IFERROR(__xludf.DUMMYFUNCTION("""COMPUTED_VALUE"""),"Tri-State Area Home Pickups")</f>
        <v>Tri-State Area Home Pickups</v>
      </c>
      <c r="I64" s="61" t="str">
        <f>IFERROR(__xludf.DUMMYFUNCTION("""COMPUTED_VALUE"""),"$100 per item [Included]  ")</f>
        <v>$100 per item [Included]  </v>
      </c>
      <c r="J64" s="107" t="str">
        <f>IFERROR(__xludf.DUMMYFUNCTION("""COMPUTED_VALUE"""),"Non-University Housing")</f>
        <v>Non-University Housing</v>
      </c>
      <c r="K64" s="107" t="str">
        <f>IFERROR(__xludf.DUMMYFUNCTION("""COMPUTED_VALUE"""),"09:00 AM to 11:00 AM  ")</f>
        <v>09:00 AM to 11:00 AM  </v>
      </c>
      <c r="L64" s="100">
        <f>IFERROR(__xludf.DUMMYFUNCTION("""COMPUTED_VALUE"""),45888.0)</f>
        <v>45888</v>
      </c>
      <c r="M64" s="110"/>
      <c r="N64" s="61"/>
      <c r="O64" s="61" t="str">
        <f>IFERROR(__xludf.DUMMYFUNCTION("""COMPUTED_VALUE"""),"6643 Kingsbury Blvd
University City, MO
63130 
Apt. 3E")</f>
        <v>6643 Kingsbury Blvd
University City, MO
63130 
Apt. 3E</v>
      </c>
      <c r="P64" s="61" t="str">
        <f>IFERROR(__xludf.DUMMYFUNCTION("""COMPUTED_VALUE"""),"$100 per item [Included]  ")</f>
        <v>$100 per item [Included]  </v>
      </c>
      <c r="Q64" s="61" t="str">
        <f>IFERROR(__xludf.DUMMYFUNCTION("""COMPUTED_VALUE"""),"80 Pryer Terrace
New Rochelle, NY
10804")</f>
        <v>80 Pryer Terrace
New Rochelle, NY
10804</v>
      </c>
      <c r="R64" s="61"/>
    </row>
    <row r="65">
      <c r="A65" s="102" t="str">
        <f>IFERROR(__xludf.DUMMYFUNCTION("""COMPUTED_VALUE"""),"https://utrucking.com/admin/orders/5904395010236")</f>
        <v>https://utrucking.com/admin/orders/5904395010236</v>
      </c>
      <c r="B65" s="65" t="str">
        <f>IFERROR(__xludf.DUMMYFUNCTION("""COMPUTED_VALUE"""),"#15332")</f>
        <v>#15332</v>
      </c>
      <c r="C65" s="65"/>
      <c r="D65" s="65">
        <f>IFERROR(__xludf.DUMMYFUNCTION("""COMPUTED_VALUE"""),9.176694027E9)</f>
        <v>9176694027</v>
      </c>
      <c r="E65" s="65" t="str">
        <f>IFERROR(__xludf.DUMMYFUNCTION("""COMPUTED_VALUE"""),"Ava Malick")</f>
        <v>Ava Malick</v>
      </c>
      <c r="F65" s="65"/>
      <c r="G65" s="65"/>
      <c r="H65" s="65" t="str">
        <f>IFERROR(__xludf.DUMMYFUNCTION("""COMPUTED_VALUE"""),"Tri-State Area Home Pickups")</f>
        <v>Tri-State Area Home Pickups</v>
      </c>
      <c r="I65" s="65" t="str">
        <f>IFERROR(__xludf.DUMMYFUNCTION("""COMPUTED_VALUE"""),"$100 per item [Included]  ")</f>
        <v>$100 per item [Included]  </v>
      </c>
      <c r="J65" s="108" t="str">
        <f>IFERROR(__xludf.DUMMYFUNCTION("""COMPUTED_VALUE"""),"University Housing")</f>
        <v>University Housing</v>
      </c>
      <c r="K65" s="108"/>
      <c r="L65" s="103">
        <f>IFERROR(__xludf.DUMMYFUNCTION("""COMPUTED_VALUE"""),45883.0)</f>
        <v>45883</v>
      </c>
      <c r="M65" s="111" t="str">
        <f>IFERROR(__xludf.DUMMYFUNCTION("""COMPUTED_VALUE"""),"Umrath  ")</f>
        <v>Umrath  </v>
      </c>
      <c r="N65" s="65" t="str">
        <f>IFERROR(__xludf.DUMMYFUNCTION("""COMPUTED_VALUE"""),"2235")</f>
        <v>2235</v>
      </c>
      <c r="O65" s="65"/>
      <c r="P65" s="65" t="str">
        <f>IFERROR(__xludf.DUMMYFUNCTION("""COMPUTED_VALUE"""),"$100 per item [Included]  ")</f>
        <v>$100 per item [Included]  </v>
      </c>
      <c r="Q65" s="65" t="str">
        <f>IFERROR(__xludf.DUMMYFUNCTION("""COMPUTED_VALUE"""),"289 Clermont Ave, Brooklyn, NY 11205")</f>
        <v>289 Clermont Ave, Brooklyn, NY 11205</v>
      </c>
      <c r="R65" s="65"/>
    </row>
    <row r="66">
      <c r="A66" s="99" t="str">
        <f>IFERROR(__xludf.DUMMYFUNCTION("""COMPUTED_VALUE"""),"https://utrucking.com/admin/orders/5904534667452")</f>
        <v>https://utrucking.com/admin/orders/5904534667452</v>
      </c>
      <c r="B66" s="61" t="str">
        <f>IFERROR(__xludf.DUMMYFUNCTION("""COMPUTED_VALUE"""),"#15338")</f>
        <v>#15338</v>
      </c>
      <c r="C66" s="61"/>
      <c r="D66" s="61">
        <f>IFERROR(__xludf.DUMMYFUNCTION("""COMPUTED_VALUE"""),9.177155789E9)</f>
        <v>9177155789</v>
      </c>
      <c r="E66" s="61" t="str">
        <f>IFERROR(__xludf.DUMMYFUNCTION("""COMPUTED_VALUE"""),"Cori Galpern")</f>
        <v>Cori Galpern</v>
      </c>
      <c r="F66" s="61"/>
      <c r="G66" s="61"/>
      <c r="H66" s="61" t="str">
        <f>IFERROR(__xludf.DUMMYFUNCTION("""COMPUTED_VALUE"""),"Tri-State Area Home Pickups")</f>
        <v>Tri-State Area Home Pickups</v>
      </c>
      <c r="I66" s="61"/>
      <c r="J66" s="107" t="str">
        <f>IFERROR(__xludf.DUMMYFUNCTION("""COMPUTED_VALUE"""),"University Housing")</f>
        <v>University Housing</v>
      </c>
      <c r="K66" s="107" t="str">
        <f>IFERROR(__xludf.DUMMYFUNCTION("""COMPUTED_VALUE"""),"09:00 AM to 11:00 AM  ")</f>
        <v>09:00 AM to 11:00 AM  </v>
      </c>
      <c r="L66" s="100">
        <f>IFERROR(__xludf.DUMMYFUNCTION("""COMPUTED_VALUE"""),45883.0)</f>
        <v>45883</v>
      </c>
      <c r="M66" s="110" t="str">
        <f>IFERROR(__xludf.DUMMYFUNCTION("""COMPUTED_VALUE"""),"Umrath  ")</f>
        <v>Umrath  </v>
      </c>
      <c r="N66" s="61" t="str">
        <f>IFERROR(__xludf.DUMMYFUNCTION("""COMPUTED_VALUE"""),"L239-c")</f>
        <v>L239-c</v>
      </c>
      <c r="O66" s="61"/>
      <c r="P66" s="61"/>
      <c r="Q66" s="61"/>
      <c r="R66" s="61"/>
    </row>
    <row r="67">
      <c r="A67" s="102" t="str">
        <f>IFERROR(__xludf.DUMMYFUNCTION("""COMPUTED_VALUE"""),"https://utrucking.com/admin/orders/5904984113340")</f>
        <v>https://utrucking.com/admin/orders/5904984113340</v>
      </c>
      <c r="B67" s="65" t="str">
        <f>IFERROR(__xludf.DUMMYFUNCTION("""COMPUTED_VALUE"""),"#15343")</f>
        <v>#15343</v>
      </c>
      <c r="C67" s="65" t="str">
        <f>IFERROR(__xludf.DUMMYFUNCTION("""COMPUTED_VALUE"""),"adttheceo@gmail.com")</f>
        <v>adttheceo@gmail.com</v>
      </c>
      <c r="D67" s="65">
        <f>IFERROR(__xludf.DUMMYFUNCTION("""COMPUTED_VALUE"""),2.016697605E9)</f>
        <v>2016697605</v>
      </c>
      <c r="E67" s="65" t="str">
        <f>IFERROR(__xludf.DUMMYFUNCTION("""COMPUTED_VALUE"""),"Andersen Thompson")</f>
        <v>Andersen Thompson</v>
      </c>
      <c r="F67" s="65"/>
      <c r="G67" s="65"/>
      <c r="H67" s="65" t="str">
        <f>IFERROR(__xludf.DUMMYFUNCTION("""COMPUTED_VALUE"""),"Tri-State Area Home Pickups")</f>
        <v>Tri-State Area Home Pickups</v>
      </c>
      <c r="I67" s="65" t="str">
        <f>IFERROR(__xludf.DUMMYFUNCTION("""COMPUTED_VALUE"""),"$100 per item [Included]  ")</f>
        <v>$100 per item [Included]  </v>
      </c>
      <c r="J67" s="108" t="str">
        <f>IFERROR(__xludf.DUMMYFUNCTION("""COMPUTED_VALUE"""),"University Housing")</f>
        <v>University Housing</v>
      </c>
      <c r="K67" s="108"/>
      <c r="L67" s="103">
        <f>IFERROR(__xludf.DUMMYFUNCTION("""COMPUTED_VALUE"""),45883.0)</f>
        <v>45883</v>
      </c>
      <c r="M67" s="111" t="str">
        <f>IFERROR(__xludf.DUMMYFUNCTION("""COMPUTED_VALUE"""),"Shanedling  ")</f>
        <v>Shanedling  </v>
      </c>
      <c r="N67" s="65" t="str">
        <f>IFERROR(__xludf.DUMMYFUNCTION("""COMPUTED_VALUE"""),"321-a")</f>
        <v>321-a</v>
      </c>
      <c r="O67" s="65"/>
      <c r="P67" s="65" t="str">
        <f>IFERROR(__xludf.DUMMYFUNCTION("""COMPUTED_VALUE"""),"$100 per item [Included]  ")</f>
        <v>$100 per item [Included]  </v>
      </c>
      <c r="Q67" s="65" t="str">
        <f>IFERROR(__xludf.DUMMYFUNCTION("""COMPUTED_VALUE"""),"108 Wyandotte Avenue, Dumont NJ 07628")</f>
        <v>108 Wyandotte Avenue, Dumont NJ 07628</v>
      </c>
      <c r="R67" s="65"/>
    </row>
    <row r="68">
      <c r="A68" s="99" t="str">
        <f>IFERROR(__xludf.DUMMYFUNCTION("""COMPUTED_VALUE"""),"https://utrucking.com/admin/orders/5905003708604")</f>
        <v>https://utrucking.com/admin/orders/5905003708604</v>
      </c>
      <c r="B68" s="61" t="str">
        <f>IFERROR(__xludf.DUMMYFUNCTION("""COMPUTED_VALUE"""),"#15346")</f>
        <v>#15346</v>
      </c>
      <c r="C68" s="61" t="str">
        <f>IFERROR(__xludf.DUMMYFUNCTION("""COMPUTED_VALUE"""),"mtettamanzi@gmail.com")</f>
        <v>mtettamanzi@gmail.com</v>
      </c>
      <c r="D68" s="61">
        <f>IFERROR(__xludf.DUMMYFUNCTION("""COMPUTED_VALUE"""),1.9176502759E10)</f>
        <v>19176502759</v>
      </c>
      <c r="E68" s="61" t="str">
        <f>IFERROR(__xludf.DUMMYFUNCTION("""COMPUTED_VALUE"""),"Monica Tettamanzi")</f>
        <v>Monica Tettamanzi</v>
      </c>
      <c r="F68" s="61"/>
      <c r="G68" s="61"/>
      <c r="H68" s="61" t="str">
        <f>IFERROR(__xludf.DUMMYFUNCTION("""COMPUTED_VALUE"""),"Tri-State Area Home Pickups")</f>
        <v>Tri-State Area Home Pickups</v>
      </c>
      <c r="I68" s="61" t="str">
        <f>IFERROR(__xludf.DUMMYFUNCTION("""COMPUTED_VALUE"""),"$100 per item [Included]  ")</f>
        <v>$100 per item [Included]  </v>
      </c>
      <c r="J68" s="107" t="str">
        <f>IFERROR(__xludf.DUMMYFUNCTION("""COMPUTED_VALUE"""),"University Housing")</f>
        <v>University Housing</v>
      </c>
      <c r="K68" s="107"/>
      <c r="L68" s="100">
        <f>IFERROR(__xludf.DUMMYFUNCTION("""COMPUTED_VALUE"""),45883.0)</f>
        <v>45883</v>
      </c>
      <c r="M68" s="110" t="str">
        <f>IFERROR(__xludf.DUMMYFUNCTION("""COMPUTED_VALUE"""),"Lien  ")</f>
        <v>Lien  </v>
      </c>
      <c r="N68" s="61" t="str">
        <f>IFERROR(__xludf.DUMMYFUNCTION("""COMPUTED_VALUE"""),"3312")</f>
        <v>3312</v>
      </c>
      <c r="O68" s="61"/>
      <c r="P68" s="61" t="str">
        <f>IFERROR(__xludf.DUMMYFUNCTION("""COMPUTED_VALUE"""),"$100 per item [Included]  ")</f>
        <v>$100 per item [Included]  </v>
      </c>
      <c r="Q68" s="61" t="str">
        <f>IFERROR(__xludf.DUMMYFUNCTION("""COMPUTED_VALUE"""),"19 Brookridge Drive
Greenwich, CT 06830")</f>
        <v>19 Brookridge Drive
Greenwich, CT 06830</v>
      </c>
      <c r="R68" s="61"/>
    </row>
    <row r="69">
      <c r="A69" s="102" t="str">
        <f>IFERROR(__xludf.DUMMYFUNCTION("""COMPUTED_VALUE"""),"https://utrucking.com/admin/orders/5905348264124")</f>
        <v>https://utrucking.com/admin/orders/5905348264124</v>
      </c>
      <c r="B69" s="65" t="str">
        <f>IFERROR(__xludf.DUMMYFUNCTION("""COMPUTED_VALUE"""),"#15358")</f>
        <v>#15358</v>
      </c>
      <c r="C69" s="65"/>
      <c r="D69" s="65">
        <f>IFERROR(__xludf.DUMMYFUNCTION("""COMPUTED_VALUE"""),2.032581107E9)</f>
        <v>2032581107</v>
      </c>
      <c r="E69" s="65" t="str">
        <f>IFERROR(__xludf.DUMMYFUNCTION("""COMPUTED_VALUE"""),"Jared Buckman")</f>
        <v>Jared Buckman</v>
      </c>
      <c r="F69" s="65"/>
      <c r="G69" s="65"/>
      <c r="H69" s="65" t="str">
        <f>IFERROR(__xludf.DUMMYFUNCTION("""COMPUTED_VALUE"""),"Tri-State Area Home Pickups")</f>
        <v>Tri-State Area Home Pickups</v>
      </c>
      <c r="I69" s="65" t="str">
        <f>IFERROR(__xludf.DUMMYFUNCTION("""COMPUTED_VALUE"""),"$100 per item [Included]  ")</f>
        <v>$100 per item [Included]  </v>
      </c>
      <c r="J69" s="108" t="str">
        <f>IFERROR(__xludf.DUMMYFUNCTION("""COMPUTED_VALUE"""),"University Housing")</f>
        <v>University Housing</v>
      </c>
      <c r="K69" s="108"/>
      <c r="L69" s="103">
        <f>IFERROR(__xludf.DUMMYFUNCTION("""COMPUTED_VALUE"""),45883.0)</f>
        <v>45883</v>
      </c>
      <c r="M69" s="111" t="str">
        <f>IFERROR(__xludf.DUMMYFUNCTION("""COMPUTED_VALUE"""),"Danforth  ")</f>
        <v>Danforth  </v>
      </c>
      <c r="N69" s="65" t="str">
        <f>IFERROR(__xludf.DUMMYFUNCTION("""COMPUTED_VALUE"""),"3311")</f>
        <v>3311</v>
      </c>
      <c r="O69" s="65"/>
      <c r="P69" s="65" t="str">
        <f>IFERROR(__xludf.DUMMYFUNCTION("""COMPUTED_VALUE"""),"$100 per item [Included]  ")</f>
        <v>$100 per item [Included]  </v>
      </c>
      <c r="Q69" s="65" t="str">
        <f>IFERROR(__xludf.DUMMYFUNCTION("""COMPUTED_VALUE"""),"12 Bermuda Road
Westport, CT 06880")</f>
        <v>12 Bermuda Road
Westport, CT 06880</v>
      </c>
      <c r="R69" s="65"/>
    </row>
    <row r="70">
      <c r="A70" s="99" t="str">
        <f>IFERROR(__xludf.DUMMYFUNCTION("""COMPUTED_VALUE"""),"https://utrucking.com/admin/orders/5905513906364")</f>
        <v>https://utrucking.com/admin/orders/5905513906364</v>
      </c>
      <c r="B70" s="61" t="str">
        <f>IFERROR(__xludf.DUMMYFUNCTION("""COMPUTED_VALUE"""),"#15364")</f>
        <v>#15364</v>
      </c>
      <c r="C70" s="61" t="str">
        <f>IFERROR(__xludf.DUMMYFUNCTION("""COMPUTED_VALUE"""),"e.i.solomon@wustl.edu")</f>
        <v>e.i.solomon@wustl.edu</v>
      </c>
      <c r="D70" s="61">
        <f>IFERROR(__xludf.DUMMYFUNCTION("""COMPUTED_VALUE"""),1.6462718626E10)</f>
        <v>16462718626</v>
      </c>
      <c r="E70" s="61" t="str">
        <f>IFERROR(__xludf.DUMMYFUNCTION("""COMPUTED_VALUE"""),"Ellie Solomon")</f>
        <v>Ellie Solomon</v>
      </c>
      <c r="F70" s="61"/>
      <c r="G70" s="61"/>
      <c r="H70" s="61" t="str">
        <f>IFERROR(__xludf.DUMMYFUNCTION("""COMPUTED_VALUE"""),"Tri-State Area Home Pickups")</f>
        <v>Tri-State Area Home Pickups</v>
      </c>
      <c r="I70" s="61" t="str">
        <f>IFERROR(__xludf.DUMMYFUNCTION("""COMPUTED_VALUE"""),"$100 per item [Included]  ")</f>
        <v>$100 per item [Included]  </v>
      </c>
      <c r="J70" s="107" t="str">
        <f>IFERROR(__xludf.DUMMYFUNCTION("""COMPUTED_VALUE"""),"University Housing")</f>
        <v>University Housing</v>
      </c>
      <c r="K70" s="107"/>
      <c r="L70" s="100">
        <f>IFERROR(__xludf.DUMMYFUNCTION("""COMPUTED_VALUE"""),45883.0)</f>
        <v>45883</v>
      </c>
      <c r="M70" s="110" t="str">
        <f>IFERROR(__xludf.DUMMYFUNCTION("""COMPUTED_VALUE"""),"Lien  ")</f>
        <v>Lien  </v>
      </c>
      <c r="N70" s="61" t="str">
        <f>IFERROR(__xludf.DUMMYFUNCTION("""COMPUTED_VALUE""")," 3329 - a")</f>
        <v> 3329 - a</v>
      </c>
      <c r="O70" s="61"/>
      <c r="P70" s="61" t="str">
        <f>IFERROR(__xludf.DUMMYFUNCTION("""COMPUTED_VALUE"""),"$100 per item [Included]  ")</f>
        <v>$100 per item [Included]  </v>
      </c>
      <c r="Q70" s="61" t="str">
        <f>IFERROR(__xludf.DUMMYFUNCTION("""COMPUTED_VALUE"""),"26 Keats Road
Short Hills, NJ 07078")</f>
        <v>26 Keats Road
Short Hills, NJ 07078</v>
      </c>
      <c r="R70" s="61"/>
    </row>
    <row r="71">
      <c r="A71" s="102" t="str">
        <f>IFERROR(__xludf.DUMMYFUNCTION("""COMPUTED_VALUE"""),"https://utrucking.com/admin/orders/5905936351420")</f>
        <v>https://utrucking.com/admin/orders/5905936351420</v>
      </c>
      <c r="B71" s="65" t="str">
        <f>IFERROR(__xludf.DUMMYFUNCTION("""COMPUTED_VALUE"""),"#15368")</f>
        <v>#15368</v>
      </c>
      <c r="C71" s="65"/>
      <c r="D71" s="65">
        <f>IFERROR(__xludf.DUMMYFUNCTION("""COMPUTED_VALUE"""),9.292131708E9)</f>
        <v>9292131708</v>
      </c>
      <c r="E71" s="65" t="str">
        <f>IFERROR(__xludf.DUMMYFUNCTION("""COMPUTED_VALUE"""),"Gideon Grinberg")</f>
        <v>Gideon Grinberg</v>
      </c>
      <c r="F71" s="65"/>
      <c r="G71" s="65"/>
      <c r="H71" s="65" t="str">
        <f>IFERROR(__xludf.DUMMYFUNCTION("""COMPUTED_VALUE"""),"Tri-State Area Home Pickups")</f>
        <v>Tri-State Area Home Pickups</v>
      </c>
      <c r="I71" s="65" t="str">
        <f>IFERROR(__xludf.DUMMYFUNCTION("""COMPUTED_VALUE"""),"$100 per item [Included]  ")</f>
        <v>$100 per item [Included]  </v>
      </c>
      <c r="J71" s="108" t="str">
        <f>IFERROR(__xludf.DUMMYFUNCTION("""COMPUTED_VALUE"""),"University Housing")</f>
        <v>University Housing</v>
      </c>
      <c r="K71" s="108"/>
      <c r="L71" s="103">
        <f>IFERROR(__xludf.DUMMYFUNCTION("""COMPUTED_VALUE"""),45883.0)</f>
        <v>45883</v>
      </c>
      <c r="M71" s="111" t="str">
        <f>IFERROR(__xludf.DUMMYFUNCTION("""COMPUTED_VALUE"""),"Myers  ")</f>
        <v>Myers  </v>
      </c>
      <c r="N71" s="65" t="str">
        <f>IFERROR(__xludf.DUMMYFUNCTION("""COMPUTED_VALUE"""),"423")</f>
        <v>423</v>
      </c>
      <c r="O71" s="65"/>
      <c r="P71" s="65" t="str">
        <f>IFERROR(__xludf.DUMMYFUNCTION("""COMPUTED_VALUE"""),"$100 per item [Included]  ")</f>
        <v>$100 per item [Included]  </v>
      </c>
      <c r="Q71" s="65" t="str">
        <f>IFERROR(__xludf.DUMMYFUNCTION("""COMPUTED_VALUE"""),"1165 Park Avenue, New York, NY 10128")</f>
        <v>1165 Park Avenue, New York, NY 10128</v>
      </c>
      <c r="R71" s="65"/>
    </row>
    <row r="72">
      <c r="A72" s="99" t="str">
        <f>IFERROR(__xludf.DUMMYFUNCTION("""COMPUTED_VALUE"""),"https://utrucking.com/admin/orders/5905989796028")</f>
        <v>https://utrucking.com/admin/orders/5905989796028</v>
      </c>
      <c r="B72" s="61" t="str">
        <f>IFERROR(__xludf.DUMMYFUNCTION("""COMPUTED_VALUE"""),"#15371")</f>
        <v>#15371</v>
      </c>
      <c r="C72" s="61" t="str">
        <f>IFERROR(__xludf.DUMMYFUNCTION("""COMPUTED_VALUE"""),"douglil@aol.com")</f>
        <v>douglil@aol.com</v>
      </c>
      <c r="D72" s="61">
        <f>IFERROR(__xludf.DUMMYFUNCTION("""COMPUTED_VALUE"""),2.038879903E9)</f>
        <v>2038879903</v>
      </c>
      <c r="E72" s="61" t="str">
        <f>IFERROR(__xludf.DUMMYFUNCTION("""COMPUTED_VALUE"""),"Douglas Lilly")</f>
        <v>Douglas Lilly</v>
      </c>
      <c r="F72" s="61"/>
      <c r="G72" s="61"/>
      <c r="H72" s="61" t="str">
        <f>IFERROR(__xludf.DUMMYFUNCTION("""COMPUTED_VALUE"""),"Tri-State Area Home Pickups")</f>
        <v>Tri-State Area Home Pickups</v>
      </c>
      <c r="I72" s="61" t="str">
        <f>IFERROR(__xludf.DUMMYFUNCTION("""COMPUTED_VALUE"""),"$100 per item [Included]  ")</f>
        <v>$100 per item [Included]  </v>
      </c>
      <c r="J72" s="107" t="str">
        <f>IFERROR(__xludf.DUMMYFUNCTION("""COMPUTED_VALUE"""),"University Housing")</f>
        <v>University Housing</v>
      </c>
      <c r="K72" s="107"/>
      <c r="L72" s="100">
        <f>IFERROR(__xludf.DUMMYFUNCTION("""COMPUTED_VALUE"""),45883.0)</f>
        <v>45883</v>
      </c>
      <c r="M72" s="110" t="str">
        <f>IFERROR(__xludf.DUMMYFUNCTION("""COMPUTED_VALUE"""),"Umrath  ")</f>
        <v>Umrath  </v>
      </c>
      <c r="N72" s="61" t="str">
        <f>IFERROR(__xludf.DUMMYFUNCTION("""COMPUTED_VALUE"""),"2221B")</f>
        <v>2221B</v>
      </c>
      <c r="O72" s="61"/>
      <c r="P72" s="61" t="str">
        <f>IFERROR(__xludf.DUMMYFUNCTION("""COMPUTED_VALUE"""),"$100 per item [Included]  ")</f>
        <v>$100 per item [Included]  </v>
      </c>
      <c r="Q72" s="61" t="str">
        <f>IFERROR(__xludf.DUMMYFUNCTION("""COMPUTED_VALUE"""),"125 Hitchcock Court, Cheshire, CT 06410")</f>
        <v>125 Hitchcock Court, Cheshire, CT 06410</v>
      </c>
      <c r="R72" s="61"/>
    </row>
    <row r="73">
      <c r="A73" s="102" t="str">
        <f>IFERROR(__xludf.DUMMYFUNCTION("""COMPUTED_VALUE"""),"https://utrucking.com/admin/orders/5908329562300")</f>
        <v>https://utrucking.com/admin/orders/5908329562300</v>
      </c>
      <c r="B73" s="65" t="str">
        <f>IFERROR(__xludf.DUMMYFUNCTION("""COMPUTED_VALUE"""),"#15388")</f>
        <v>#15388</v>
      </c>
      <c r="C73" s="65"/>
      <c r="D73" s="65">
        <f>IFERROR(__xludf.DUMMYFUNCTION("""COMPUTED_VALUE"""),5.164743388E9)</f>
        <v>5164743388</v>
      </c>
      <c r="E73" s="65" t="str">
        <f>IFERROR(__xludf.DUMMYFUNCTION("""COMPUTED_VALUE"""),"Kasey Schwartz")</f>
        <v>Kasey Schwartz</v>
      </c>
      <c r="F73" s="65"/>
      <c r="G73" s="65"/>
      <c r="H73" s="65" t="str">
        <f>IFERROR(__xludf.DUMMYFUNCTION("""COMPUTED_VALUE"""),"Tri-State Area Home Pickups")</f>
        <v>Tri-State Area Home Pickups</v>
      </c>
      <c r="I73" s="65" t="str">
        <f>IFERROR(__xludf.DUMMYFUNCTION("""COMPUTED_VALUE"""),"$100 per item [Included]  ")</f>
        <v>$100 per item [Included]  </v>
      </c>
      <c r="J73" s="108" t="str">
        <f>IFERROR(__xludf.DUMMYFUNCTION("""COMPUTED_VALUE"""),"University Housing")</f>
        <v>University Housing</v>
      </c>
      <c r="K73" s="108"/>
      <c r="L73" s="103">
        <f>IFERROR(__xludf.DUMMYFUNCTION("""COMPUTED_VALUE"""),45883.0)</f>
        <v>45883</v>
      </c>
      <c r="M73" s="111" t="str">
        <f>IFERROR(__xludf.DUMMYFUNCTION("""COMPUTED_VALUE"""),"Lee  ")</f>
        <v>Lee  </v>
      </c>
      <c r="N73" s="65" t="str">
        <f>IFERROR(__xludf.DUMMYFUNCTION("""COMPUTED_VALUE"""),"111-a")</f>
        <v>111-a</v>
      </c>
      <c r="O73" s="65"/>
      <c r="P73" s="65" t="str">
        <f>IFERROR(__xludf.DUMMYFUNCTION("""COMPUTED_VALUE"""),"$100 per item [Included]  ")</f>
        <v>$100 per item [Included]  </v>
      </c>
      <c r="Q73" s="65" t="str">
        <f>IFERROR(__xludf.DUMMYFUNCTION("""COMPUTED_VALUE"""),"6 Paddock Ln, Great Neck NY, 11020")</f>
        <v>6 Paddock Ln, Great Neck NY, 11020</v>
      </c>
      <c r="R73" s="65"/>
    </row>
    <row r="74">
      <c r="A74" s="99" t="str">
        <f>IFERROR(__xludf.DUMMYFUNCTION("""COMPUTED_VALUE"""),"https://utrucking.com/admin/orders/5908458406076")</f>
        <v>https://utrucking.com/admin/orders/5908458406076</v>
      </c>
      <c r="B74" s="61" t="str">
        <f>IFERROR(__xludf.DUMMYFUNCTION("""COMPUTED_VALUE"""),"#15390")</f>
        <v>#15390</v>
      </c>
      <c r="C74" s="61" t="str">
        <f>IFERROR(__xludf.DUMMYFUNCTION("""COMPUTED_VALUE"""),"ellazhu1223@gmail.com")</f>
        <v>ellazhu1223@gmail.com</v>
      </c>
      <c r="D74" s="61">
        <f>IFERROR(__xludf.DUMMYFUNCTION("""COMPUTED_VALUE"""),2.038181729E9)</f>
        <v>2038181729</v>
      </c>
      <c r="E74" s="61" t="str">
        <f>IFERROR(__xludf.DUMMYFUNCTION("""COMPUTED_VALUE"""),"Ella Zhu")</f>
        <v>Ella Zhu</v>
      </c>
      <c r="F74" s="61"/>
      <c r="G74" s="61"/>
      <c r="H74" s="61" t="str">
        <f>IFERROR(__xludf.DUMMYFUNCTION("""COMPUTED_VALUE"""),"Tri-State Area Home Pickups")</f>
        <v>Tri-State Area Home Pickups</v>
      </c>
      <c r="I74" s="61" t="str">
        <f>IFERROR(__xludf.DUMMYFUNCTION("""COMPUTED_VALUE"""),"$100 per item [Included]  ")</f>
        <v>$100 per item [Included]  </v>
      </c>
      <c r="J74" s="107" t="str">
        <f>IFERROR(__xludf.DUMMYFUNCTION("""COMPUTED_VALUE"""),"University Housing")</f>
        <v>University Housing</v>
      </c>
      <c r="K74" s="107"/>
      <c r="L74" s="100">
        <f>IFERROR(__xludf.DUMMYFUNCTION("""COMPUTED_VALUE"""),45883.0)</f>
        <v>45883</v>
      </c>
      <c r="M74" s="110" t="str">
        <f>IFERROR(__xludf.DUMMYFUNCTION("""COMPUTED_VALUE"""),"Lien  ")</f>
        <v>Lien  </v>
      </c>
      <c r="N74" s="61" t="str">
        <f>IFERROR(__xludf.DUMMYFUNCTION("""COMPUTED_VALUE"""),"1117")</f>
        <v>1117</v>
      </c>
      <c r="O74" s="61"/>
      <c r="P74" s="61" t="str">
        <f>IFERROR(__xludf.DUMMYFUNCTION("""COMPUTED_VALUE"""),"$100 per item [Included]  ")</f>
        <v>$100 per item [Included]  </v>
      </c>
      <c r="Q74" s="61" t="str">
        <f>IFERROR(__xludf.DUMMYFUNCTION("""COMPUTED_VALUE"""),"45 Westfair Drive, Westport, CT 06880")</f>
        <v>45 Westfair Drive, Westport, CT 06880</v>
      </c>
      <c r="R74" s="61"/>
    </row>
    <row r="75">
      <c r="A75" s="102" t="str">
        <f>IFERROR(__xludf.DUMMYFUNCTION("""COMPUTED_VALUE"""),"https://utrucking.com/admin/orders/5908998258876")</f>
        <v>https://utrucking.com/admin/orders/5908998258876</v>
      </c>
      <c r="B75" s="65" t="str">
        <f>IFERROR(__xludf.DUMMYFUNCTION("""COMPUTED_VALUE"""),"#15400")</f>
        <v>#15400</v>
      </c>
      <c r="C75" s="65" t="str">
        <f>IFERROR(__xludf.DUMMYFUNCTION("""COMPUTED_VALUE"""),"parul_gandhi@hotmail.com")</f>
        <v>parul_gandhi@hotmail.com</v>
      </c>
      <c r="D75" s="65">
        <f>IFERROR(__xludf.DUMMYFUNCTION("""COMPUTED_VALUE"""),9.17520823E9)</f>
        <v>9175208230</v>
      </c>
      <c r="E75" s="65" t="str">
        <f>IFERROR(__xludf.DUMMYFUNCTION("""COMPUTED_VALUE"""),"Parul Kalbag")</f>
        <v>Parul Kalbag</v>
      </c>
      <c r="F75" s="65"/>
      <c r="G75" s="65"/>
      <c r="H75" s="65" t="str">
        <f>IFERROR(__xludf.DUMMYFUNCTION("""COMPUTED_VALUE"""),"Tri-State Area Home Pickups")</f>
        <v>Tri-State Area Home Pickups</v>
      </c>
      <c r="I75" s="65" t="str">
        <f>IFERROR(__xludf.DUMMYFUNCTION("""COMPUTED_VALUE"""),"$100 per item [Included]  ")</f>
        <v>$100 per item [Included]  </v>
      </c>
      <c r="J75" s="108" t="str">
        <f>IFERROR(__xludf.DUMMYFUNCTION("""COMPUTED_VALUE"""),"University Housing")</f>
        <v>University Housing</v>
      </c>
      <c r="K75" s="108"/>
      <c r="L75" s="103">
        <f>IFERROR(__xludf.DUMMYFUNCTION("""COMPUTED_VALUE"""),45883.0)</f>
        <v>45883</v>
      </c>
      <c r="M75" s="111" t="str">
        <f>IFERROR(__xludf.DUMMYFUNCTION("""COMPUTED_VALUE"""),"Umrath  ")</f>
        <v>Umrath  </v>
      </c>
      <c r="N75" s="65" t="str">
        <f>IFERROR(__xludf.DUMMYFUNCTION("""COMPUTED_VALUE"""),"3341")</f>
        <v>3341</v>
      </c>
      <c r="O75" s="65"/>
      <c r="P75" s="65" t="str">
        <f>IFERROR(__xludf.DUMMYFUNCTION("""COMPUTED_VALUE"""),"$100 per item [Included]  ")</f>
        <v>$100 per item [Included]  </v>
      </c>
      <c r="Q75" s="65" t="str">
        <f>IFERROR(__xludf.DUMMYFUNCTION("""COMPUTED_VALUE"""),"152 East 87th Street, #14C
New York, NY 10128")</f>
        <v>152 East 87th Street, #14C
New York, NY 10128</v>
      </c>
      <c r="R75" s="65"/>
    </row>
    <row r="76">
      <c r="A76" s="99" t="str">
        <f>IFERROR(__xludf.DUMMYFUNCTION("""COMPUTED_VALUE"""),"https://utrucking.com/admin/orders/5909378695356")</f>
        <v>https://utrucking.com/admin/orders/5909378695356</v>
      </c>
      <c r="B76" s="61" t="str">
        <f>IFERROR(__xludf.DUMMYFUNCTION("""COMPUTED_VALUE"""),"#15406")</f>
        <v>#15406</v>
      </c>
      <c r="C76" s="61" t="str">
        <f>IFERROR(__xludf.DUMMYFUNCTION("""COMPUTED_VALUE"""),"alefkowitz1@gmail.com")</f>
        <v>alefkowitz1@gmail.com</v>
      </c>
      <c r="D76" s="61">
        <f>IFERROR(__xludf.DUMMYFUNCTION("""COMPUTED_VALUE"""),9.177161807E9)</f>
        <v>9177161807</v>
      </c>
      <c r="E76" s="61" t="str">
        <f>IFERROR(__xludf.DUMMYFUNCTION("""COMPUTED_VALUE"""),"Tamar Lefkowitz")</f>
        <v>Tamar Lefkowitz</v>
      </c>
      <c r="F76" s="61"/>
      <c r="G76" s="61"/>
      <c r="H76" s="61" t="str">
        <f>IFERROR(__xludf.DUMMYFUNCTION("""COMPUTED_VALUE"""),"Tri-State Area Home Pickups")</f>
        <v>Tri-State Area Home Pickups</v>
      </c>
      <c r="I76" s="61" t="str">
        <f>IFERROR(__xludf.DUMMYFUNCTION("""COMPUTED_VALUE"""),"$100 per item [Included]  ")</f>
        <v>$100 per item [Included]  </v>
      </c>
      <c r="J76" s="107" t="str">
        <f>IFERROR(__xludf.DUMMYFUNCTION("""COMPUTED_VALUE"""),"University Housing")</f>
        <v>University Housing</v>
      </c>
      <c r="K76" s="107"/>
      <c r="L76" s="100">
        <f>IFERROR(__xludf.DUMMYFUNCTION("""COMPUTED_VALUE"""),45883.0)</f>
        <v>45883</v>
      </c>
      <c r="M76" s="110" t="str">
        <f>IFERROR(__xludf.DUMMYFUNCTION("""COMPUTED_VALUE"""),"Koenig  ")</f>
        <v>Koenig  </v>
      </c>
      <c r="N76" s="61" t="str">
        <f>IFERROR(__xludf.DUMMYFUNCTION("""COMPUTED_VALUE"""),"2207-b")</f>
        <v>2207-b</v>
      </c>
      <c r="O76" s="61"/>
      <c r="P76" s="61" t="str">
        <f>IFERROR(__xludf.DUMMYFUNCTION("""COMPUTED_VALUE"""),"$100 per item [Included]  ")</f>
        <v>$100 per item [Included]  </v>
      </c>
      <c r="Q76" s="61" t="str">
        <f>IFERROR(__xludf.DUMMYFUNCTION("""COMPUTED_VALUE"""),"17 Brewster Terrace
New Rochelle, NY 10804")</f>
        <v>17 Brewster Terrace
New Rochelle, NY 10804</v>
      </c>
      <c r="R76" s="61"/>
    </row>
    <row r="77">
      <c r="A77" s="102" t="str">
        <f>IFERROR(__xludf.DUMMYFUNCTION("""COMPUTED_VALUE"""),"https://utrucking.com/admin/orders/5909475197116")</f>
        <v>https://utrucking.com/admin/orders/5909475197116</v>
      </c>
      <c r="B77" s="65" t="str">
        <f>IFERROR(__xludf.DUMMYFUNCTION("""COMPUTED_VALUE"""),"#15407")</f>
        <v>#15407</v>
      </c>
      <c r="C77" s="65" t="str">
        <f>IFERROR(__xludf.DUMMYFUNCTION("""COMPUTED_VALUE"""),"beckyaustin@gmail.com")</f>
        <v>beckyaustin@gmail.com</v>
      </c>
      <c r="D77" s="65">
        <f>IFERROR(__xludf.DUMMYFUNCTION("""COMPUTED_VALUE"""),6.468723479E9)</f>
        <v>6468723479</v>
      </c>
      <c r="E77" s="65" t="str">
        <f>IFERROR(__xludf.DUMMYFUNCTION("""COMPUTED_VALUE"""),"Beatrix Austin")</f>
        <v>Beatrix Austin</v>
      </c>
      <c r="F77" s="65"/>
      <c r="G77" s="65"/>
      <c r="H77" s="65" t="str">
        <f>IFERROR(__xludf.DUMMYFUNCTION("""COMPUTED_VALUE"""),"Tri-State Area Home Pickups")</f>
        <v>Tri-State Area Home Pickups</v>
      </c>
      <c r="I77" s="65" t="str">
        <f>IFERROR(__xludf.DUMMYFUNCTION("""COMPUTED_VALUE"""),"$100 per item [Included]  ")</f>
        <v>$100 per item [Included]  </v>
      </c>
      <c r="J77" s="108" t="str">
        <f>IFERROR(__xludf.DUMMYFUNCTION("""COMPUTED_VALUE"""),"University Housing")</f>
        <v>University Housing</v>
      </c>
      <c r="K77" s="108"/>
      <c r="L77" s="103">
        <f>IFERROR(__xludf.DUMMYFUNCTION("""COMPUTED_VALUE"""),45883.0)</f>
        <v>45883</v>
      </c>
      <c r="M77" s="111" t="str">
        <f>IFERROR(__xludf.DUMMYFUNCTION("""COMPUTED_VALUE"""),"Rutledge  ")</f>
        <v>Rutledge  </v>
      </c>
      <c r="N77" s="65" t="str">
        <f>IFERROR(__xludf.DUMMYFUNCTION("""COMPUTED_VALUE"""),"342")</f>
        <v>342</v>
      </c>
      <c r="O77" s="65"/>
      <c r="P77" s="65" t="str">
        <f>IFERROR(__xludf.DUMMYFUNCTION("""COMPUTED_VALUE"""),"$100 per item [Included]  ")</f>
        <v>$100 per item [Included]  </v>
      </c>
      <c r="Q77" s="65" t="str">
        <f>IFERROR(__xludf.DUMMYFUNCTION("""COMPUTED_VALUE"""),"29 Karge Street
Bay Head, NJ. 08742")</f>
        <v>29 Karge Street
Bay Head, NJ. 08742</v>
      </c>
      <c r="R77" s="65"/>
    </row>
    <row r="78">
      <c r="A78" s="99" t="str">
        <f>IFERROR(__xludf.DUMMYFUNCTION("""COMPUTED_VALUE"""),"https://utrucking.com/admin/orders/5910052044988")</f>
        <v>https://utrucking.com/admin/orders/5910052044988</v>
      </c>
      <c r="B78" s="61" t="str">
        <f>IFERROR(__xludf.DUMMYFUNCTION("""COMPUTED_VALUE"""),"#15420")</f>
        <v>#15420</v>
      </c>
      <c r="C78" s="61" t="str">
        <f>IFERROR(__xludf.DUMMYFUNCTION("""COMPUTED_VALUE"""),"randilward@gmail.com")</f>
        <v>randilward@gmail.com</v>
      </c>
      <c r="D78" s="61">
        <f>IFERROR(__xludf.DUMMYFUNCTION("""COMPUTED_VALUE"""),9.175724417E9)</f>
        <v>9175724417</v>
      </c>
      <c r="E78" s="61" t="str">
        <f>IFERROR(__xludf.DUMMYFUNCTION("""COMPUTED_VALUE"""),"Emma Ward")</f>
        <v>Emma Ward</v>
      </c>
      <c r="F78" s="61"/>
      <c r="G78" s="61" t="str">
        <f>IFERROR(__xludf.DUMMYFUNCTION("""COMPUTED_VALUE"""),"6605 Kingsbury Blvd. 
Apt. 2E
St. Louis, MO 63130")</f>
        <v>6605 Kingsbury Blvd. 
Apt. 2E
St. Louis, MO 63130</v>
      </c>
      <c r="H78" s="61" t="str">
        <f>IFERROR(__xludf.DUMMYFUNCTION("""COMPUTED_VALUE"""),"Tri-State Area Home Pickups")</f>
        <v>Tri-State Area Home Pickups</v>
      </c>
      <c r="I78" s="61" t="str">
        <f>IFERROR(__xludf.DUMMYFUNCTION("""COMPUTED_VALUE""")," $500 of Additional Coverage")</f>
        <v> $500 of Additional Coverage</v>
      </c>
      <c r="J78" s="107" t="str">
        <f>IFERROR(__xludf.DUMMYFUNCTION("""COMPUTED_VALUE"""),"Non-University Housing")</f>
        <v>Non-University Housing</v>
      </c>
      <c r="K78" s="107" t="str">
        <f>IFERROR(__xludf.DUMMYFUNCTION("""COMPUTED_VALUE"""),"12:00 PM to 02:00 PM  ")</f>
        <v>12:00 PM to 02:00 PM  </v>
      </c>
      <c r="L78" s="100">
        <f>IFERROR(__xludf.DUMMYFUNCTION("""COMPUTED_VALUE"""),45887.0)</f>
        <v>45887</v>
      </c>
      <c r="M78" s="110"/>
      <c r="N78" s="61"/>
      <c r="O78" s="61" t="str">
        <f>IFERROR(__xludf.DUMMYFUNCTION("""COMPUTED_VALUE"""),"6605 Kingsbury Blvd. 
Apt. 2E
St. Louis, MO 63130")</f>
        <v>6605 Kingsbury Blvd. 
Apt. 2E
St. Louis, MO 63130</v>
      </c>
      <c r="P78" s="61"/>
      <c r="Q78" s="61" t="str">
        <f>IFERROR(__xludf.DUMMYFUNCTION("""COMPUTED_VALUE"""),"64 Judith Court
East Rockaway, NY 11518")</f>
        <v>64 Judith Court
East Rockaway, NY 11518</v>
      </c>
      <c r="R78" s="61"/>
    </row>
    <row r="79">
      <c r="A79" s="102" t="str">
        <f>IFERROR(__xludf.DUMMYFUNCTION("""COMPUTED_VALUE"""),"https://utrucking.com/admin/orders/5910966698172")</f>
        <v>https://utrucking.com/admin/orders/5910966698172</v>
      </c>
      <c r="B79" s="65" t="str">
        <f>IFERROR(__xludf.DUMMYFUNCTION("""COMPUTED_VALUE"""),"#15437")</f>
        <v>#15437</v>
      </c>
      <c r="C79" s="65" t="str">
        <f>IFERROR(__xludf.DUMMYFUNCTION("""COMPUTED_VALUE"""),"bart@sokols.net")</f>
        <v>bart@sokols.net</v>
      </c>
      <c r="D79" s="65">
        <f>IFERROR(__xludf.DUMMYFUNCTION("""COMPUTED_VALUE"""),9.142073828E9)</f>
        <v>9142073828</v>
      </c>
      <c r="E79" s="65" t="str">
        <f>IFERROR(__xludf.DUMMYFUNCTION("""COMPUTED_VALUE"""),"Noah Sokol")</f>
        <v>Noah Sokol</v>
      </c>
      <c r="F79" s="65"/>
      <c r="G79" s="65"/>
      <c r="H79" s="65" t="str">
        <f>IFERROR(__xludf.DUMMYFUNCTION("""COMPUTED_VALUE"""),"Tri-State Area Home Pickups")</f>
        <v>Tri-State Area Home Pickups</v>
      </c>
      <c r="I79" s="65" t="str">
        <f>IFERROR(__xludf.DUMMYFUNCTION("""COMPUTED_VALUE""")," Included Insurance ")</f>
        <v> Included Insurance </v>
      </c>
      <c r="J79" s="108" t="str">
        <f>IFERROR(__xludf.DUMMYFUNCTION("""COMPUTED_VALUE"""),"University Housing")</f>
        <v>University Housing</v>
      </c>
      <c r="K79" s="108"/>
      <c r="L79" s="103">
        <f>IFERROR(__xludf.DUMMYFUNCTION("""COMPUTED_VALUE"""),45883.0)</f>
        <v>45883</v>
      </c>
      <c r="M79" s="111" t="str">
        <f>IFERROR(__xludf.DUMMYFUNCTION("""COMPUTED_VALUE"""),"Danforth  ")</f>
        <v>Danforth  </v>
      </c>
      <c r="N79" s="65" t="str">
        <f>IFERROR(__xludf.DUMMYFUNCTION("""COMPUTED_VALUE"""),"3311 A")</f>
        <v>3311 A</v>
      </c>
      <c r="O79" s="65"/>
      <c r="P79" s="65"/>
      <c r="Q79" s="65" t="str">
        <f>IFERROR(__xludf.DUMMYFUNCTION("""COMPUTED_VALUE"""),"6 Windmill Place
Armonk, NY 10504")</f>
        <v>6 Windmill Place
Armonk, NY 10504</v>
      </c>
      <c r="R79" s="65"/>
    </row>
    <row r="80">
      <c r="A80" s="99" t="str">
        <f>IFERROR(__xludf.DUMMYFUNCTION("""COMPUTED_VALUE"""),"https://utrucking.com/admin/orders/5912128585916")</f>
        <v>https://utrucking.com/admin/orders/5912128585916</v>
      </c>
      <c r="B80" s="61" t="str">
        <f>IFERROR(__xludf.DUMMYFUNCTION("""COMPUTED_VALUE"""),"#15442")</f>
        <v>#15442</v>
      </c>
      <c r="C80" s="61" t="str">
        <f>IFERROR(__xludf.DUMMYFUNCTION("""COMPUTED_VALUE"""),"somya.dave@icloud.com")</f>
        <v>somya.dave@icloud.com</v>
      </c>
      <c r="D80" s="61">
        <f>IFERROR(__xludf.DUMMYFUNCTION("""COMPUTED_VALUE"""),9.736654223E9)</f>
        <v>9736654223</v>
      </c>
      <c r="E80" s="61" t="str">
        <f>IFERROR(__xludf.DUMMYFUNCTION("""COMPUTED_VALUE"""),"Somya Dave")</f>
        <v>Somya Dave</v>
      </c>
      <c r="F80" s="61"/>
      <c r="G80" s="61"/>
      <c r="H80" s="61" t="str">
        <f>IFERROR(__xludf.DUMMYFUNCTION("""COMPUTED_VALUE"""),"Tri-State Area Home Pickups")</f>
        <v>Tri-State Area Home Pickups</v>
      </c>
      <c r="I80" s="61" t="str">
        <f>IFERROR(__xludf.DUMMYFUNCTION("""COMPUTED_VALUE""")," Included Insurance ")</f>
        <v> Included Insurance </v>
      </c>
      <c r="J80" s="107" t="str">
        <f>IFERROR(__xludf.DUMMYFUNCTION("""COMPUTED_VALUE"""),"University Housing")</f>
        <v>University Housing</v>
      </c>
      <c r="K80" s="107"/>
      <c r="L80" s="100">
        <f>IFERROR(__xludf.DUMMYFUNCTION("""COMPUTED_VALUE"""),45883.0)</f>
        <v>45883</v>
      </c>
      <c r="M80" s="110" t="str">
        <f>IFERROR(__xludf.DUMMYFUNCTION("""COMPUTED_VALUE"""),"Eliot A  ")</f>
        <v>Eliot A  </v>
      </c>
      <c r="N80" s="61" t="str">
        <f>IFERROR(__xludf.DUMMYFUNCTION("""COMPUTED_VALUE"""),"1001")</f>
        <v>1001</v>
      </c>
      <c r="O80" s="61"/>
      <c r="P80" s="61"/>
      <c r="Q80" s="61" t="str">
        <f>IFERROR(__xludf.DUMMYFUNCTION("""COMPUTED_VALUE"""),"5 Forest Dr, Short Hills, NJ 07078")</f>
        <v>5 Forest Dr, Short Hills, NJ 07078</v>
      </c>
      <c r="R80" s="61"/>
    </row>
    <row r="81">
      <c r="A81" s="102" t="str">
        <f>IFERROR(__xludf.DUMMYFUNCTION("""COMPUTED_VALUE"""),"https://utrucking.com/admin/orders/5912857051324")</f>
        <v>https://utrucking.com/admin/orders/5912857051324</v>
      </c>
      <c r="B81" s="65" t="str">
        <f>IFERROR(__xludf.DUMMYFUNCTION("""COMPUTED_VALUE"""),"#15478")</f>
        <v>#15478</v>
      </c>
      <c r="C81" s="65" t="str">
        <f>IFERROR(__xludf.DUMMYFUNCTION("""COMPUTED_VALUE"""),"adammdowney@gmail.com")</f>
        <v>adammdowney@gmail.com</v>
      </c>
      <c r="D81" s="65">
        <f>IFERROR(__xludf.DUMMYFUNCTION("""COMPUTED_VALUE"""),6.466259442E9)</f>
        <v>6466259442</v>
      </c>
      <c r="E81" s="65" t="str">
        <f>IFERROR(__xludf.DUMMYFUNCTION("""COMPUTED_VALUE"""),"Adam Downey")</f>
        <v>Adam Downey</v>
      </c>
      <c r="F81" s="65"/>
      <c r="G81" s="65"/>
      <c r="H81" s="65" t="str">
        <f>IFERROR(__xludf.DUMMYFUNCTION("""COMPUTED_VALUE"""),"Tri-State Area Home Pickups")</f>
        <v>Tri-State Area Home Pickups</v>
      </c>
      <c r="I81" s="65" t="str">
        <f>IFERROR(__xludf.DUMMYFUNCTION("""COMPUTED_VALUE""")," Included Insurance   ")</f>
        <v> Included Insurance   </v>
      </c>
      <c r="J81" s="108" t="str">
        <f>IFERROR(__xludf.DUMMYFUNCTION("""COMPUTED_VALUE"""),"University Housing ")</f>
        <v>University Housing </v>
      </c>
      <c r="K81" s="108" t="str">
        <f>IFERROR(__xludf.DUMMYFUNCTION("""COMPUTED_VALUE""")," ")</f>
        <v> </v>
      </c>
      <c r="L81" s="103">
        <f>IFERROR(__xludf.DUMMYFUNCTION("""COMPUTED_VALUE"""),45883.0)</f>
        <v>45883</v>
      </c>
      <c r="M81" s="111" t="str">
        <f>IFERROR(__xludf.DUMMYFUNCTION("""COMPUTED_VALUE"""),"DON'T KNOW YET (put 'XXX' for room #)")</f>
        <v>DON'T KNOW YET (put 'XXX' for room #)</v>
      </c>
      <c r="N81" s="65" t="str">
        <f>IFERROR(__xludf.DUMMYFUNCTION("""COMPUTED_VALUE"""),"Don’t know yet")</f>
        <v>Don’t know yet</v>
      </c>
      <c r="O81" s="65"/>
      <c r="P81" s="65"/>
      <c r="Q81" s="65" t="str">
        <f>IFERROR(__xludf.DUMMYFUNCTION("""COMPUTED_VALUE"""),"200 East 57th Street Apt 10B
New York NY 10022")</f>
        <v>200 East 57th Street Apt 10B
New York NY 10022</v>
      </c>
      <c r="R81" s="65"/>
    </row>
    <row r="82">
      <c r="A82" s="99" t="str">
        <f>IFERROR(__xludf.DUMMYFUNCTION("""COMPUTED_VALUE"""),"https://utrucking.com/admin/orders/5913699188924")</f>
        <v>https://utrucking.com/admin/orders/5913699188924</v>
      </c>
      <c r="B82" s="61" t="str">
        <f>IFERROR(__xludf.DUMMYFUNCTION("""COMPUTED_VALUE"""),"#15539")</f>
        <v>#15539</v>
      </c>
      <c r="C82" s="61"/>
      <c r="D82" s="61"/>
      <c r="E82" s="61" t="str">
        <f>IFERROR(__xludf.DUMMYFUNCTION("""COMPUTED_VALUE"""),"Ariella Kleinhaus")</f>
        <v>Ariella Kleinhaus</v>
      </c>
      <c r="F82" s="61"/>
      <c r="G82" s="61"/>
      <c r="H82" s="61" t="str">
        <f>IFERROR(__xludf.DUMMYFUNCTION("""COMPUTED_VALUE"""),"Tri-State Area Home Pickups")</f>
        <v>Tri-State Area Home Pickups</v>
      </c>
      <c r="I82" s="61" t="str">
        <f>IFERROR(__xludf.DUMMYFUNCTION("""COMPUTED_VALUE""")," Included Insurance   ")</f>
        <v> Included Insurance   </v>
      </c>
      <c r="J82" s="107" t="str">
        <f>IFERROR(__xludf.DUMMYFUNCTION("""COMPUTED_VALUE"""),"University Housing ")</f>
        <v>University Housing </v>
      </c>
      <c r="K82" s="107" t="str">
        <f>IFERROR(__xludf.DUMMYFUNCTION("""COMPUTED_VALUE""")," ")</f>
        <v> </v>
      </c>
      <c r="L82" s="100">
        <f>IFERROR(__xludf.DUMMYFUNCTION("""COMPUTED_VALUE"""),45883.0)</f>
        <v>45883</v>
      </c>
      <c r="M82" s="110" t="str">
        <f>IFERROR(__xludf.DUMMYFUNCTION("""COMPUTED_VALUE"""),"Danforth")</f>
        <v>Danforth</v>
      </c>
      <c r="N82" s="61" t="str">
        <f>IFERROR(__xludf.DUMMYFUNCTION("""COMPUTED_VALUE"""),"3319")</f>
        <v>3319</v>
      </c>
      <c r="O82" s="61"/>
      <c r="P82" s="61"/>
      <c r="Q82" s="61" t="str">
        <f>IFERROR(__xludf.DUMMYFUNCTION("""COMPUTED_VALUE"""),"201 Dorchester Road
Scarsdale, NY 10583")</f>
        <v>201 Dorchester Road
Scarsdale, NY 10583</v>
      </c>
      <c r="R82" s="61"/>
    </row>
    <row r="83">
      <c r="A83" s="102" t="str">
        <f>IFERROR(__xludf.DUMMYFUNCTION("""COMPUTED_VALUE"""),"https://utrucking.com/admin/orders/5916577005756")</f>
        <v>https://utrucking.com/admin/orders/5916577005756</v>
      </c>
      <c r="B83" s="65" t="str">
        <f>IFERROR(__xludf.DUMMYFUNCTION("""COMPUTED_VALUE"""),"#15704")</f>
        <v>#15704</v>
      </c>
      <c r="C83" s="65" t="str">
        <f>IFERROR(__xludf.DUMMYFUNCTION("""COMPUTED_VALUE"""),"mharry174@gmail.com")</f>
        <v>mharry174@gmail.com</v>
      </c>
      <c r="D83" s="65">
        <f>IFERROR(__xludf.DUMMYFUNCTION("""COMPUTED_VALUE"""),1.2033490132E10)</f>
        <v>12033490132</v>
      </c>
      <c r="E83" s="65" t="str">
        <f>IFERROR(__xludf.DUMMYFUNCTION("""COMPUTED_VALUE"""),"Harrison Arons")</f>
        <v>Harrison Arons</v>
      </c>
      <c r="F83" s="65"/>
      <c r="G83" s="65" t="str">
        <f>IFERROR(__xludf.DUMMYFUNCTION("""COMPUTED_VALUE"""),"742 Kingsland Ave #3
Saint Louis, MO 63130")</f>
        <v>742 Kingsland Ave #3
Saint Louis, MO 63130</v>
      </c>
      <c r="H83" s="65" t="str">
        <f>IFERROR(__xludf.DUMMYFUNCTION("""COMPUTED_VALUE"""),"Tri-State Area Home Pickups")</f>
        <v>Tri-State Area Home Pickups</v>
      </c>
      <c r="I83" s="65" t="str">
        <f>IFERROR(__xludf.DUMMYFUNCTION("""COMPUTED_VALUE"""),"Nationwide Ship to School    -  - ")</f>
        <v>Nationwide Ship to School    -  - </v>
      </c>
      <c r="J83" s="108" t="str">
        <f>IFERROR(__xludf.DUMMYFUNCTION("""COMPUTED_VALUE"""),"Non-University Housing ")</f>
        <v>Non-University Housing </v>
      </c>
      <c r="K83" s="108" t="str">
        <f>IFERROR(__xludf.DUMMYFUNCTION("""COMPUTED_VALUE"""),"11:00 AM to 01:00 PM   ")</f>
        <v>11:00 AM to 01:00 PM   </v>
      </c>
      <c r="L83" s="103">
        <f>IFERROR(__xludf.DUMMYFUNCTION("""COMPUTED_VALUE"""),45891.0)</f>
        <v>45891</v>
      </c>
      <c r="M83" s="111"/>
      <c r="N83" s="65"/>
      <c r="O83" s="65" t="str">
        <f>IFERROR(__xludf.DUMMYFUNCTION("""COMPUTED_VALUE"""),"742 Kingsland Ave #3
Saint Louis, MO 63130")</f>
        <v>742 Kingsland Ave #3
Saint Louis, MO 63130</v>
      </c>
      <c r="P83" s="65"/>
      <c r="Q83" s="65"/>
      <c r="R83" s="65"/>
    </row>
    <row r="84">
      <c r="A84" s="99" t="str">
        <f>IFERROR(__xludf.DUMMYFUNCTION("""COMPUTED_VALUE"""),"https://utrucking.com/admin/orders/6348828803260")</f>
        <v>https://utrucking.com/admin/orders/6348828803260</v>
      </c>
      <c r="B84" s="61" t="str">
        <f>IFERROR(__xludf.DUMMYFUNCTION("""COMPUTED_VALUE"""),"#17088")</f>
        <v>#17088</v>
      </c>
      <c r="C84" s="61" t="str">
        <f>IFERROR(__xludf.DUMMYFUNCTION("""COMPUTED_VALUE"""),"danielle_rosenberg@yahoo.com")</f>
        <v>danielle_rosenberg@yahoo.com</v>
      </c>
      <c r="D84" s="61">
        <f>IFERROR(__xludf.DUMMYFUNCTION("""COMPUTED_VALUE"""),9.179213448E9)</f>
        <v>9179213448</v>
      </c>
      <c r="E84" s="61" t="str">
        <f>IFERROR(__xludf.DUMMYFUNCTION("""COMPUTED_VALUE"""),"Danielle Rosenberg")</f>
        <v>Danielle Rosenberg</v>
      </c>
      <c r="F84" s="61" t="str">
        <f>IFERROR(__xludf.DUMMYFUNCTION("""COMPUTED_VALUE"""),"Lucas Rosenberg")</f>
        <v>Lucas Rosenberg</v>
      </c>
      <c r="G84" s="61"/>
      <c r="H84" s="61" t="str">
        <f>IFERROR(__xludf.DUMMYFUNCTION("""COMPUTED_VALUE"""),"Tri-State Area Home Pickups")</f>
        <v>Tri-State Area Home Pickups</v>
      </c>
      <c r="I84" s="61" t="str">
        <f>IFERROR(__xludf.DUMMYFUNCTION("""COMPUTED_VALUE""")," Included Insurance   - ")</f>
        <v> Included Insurance   - </v>
      </c>
      <c r="J84" s="107" t="str">
        <f>IFERROR(__xludf.DUMMYFUNCTION("""COMPUTED_VALUE"""),"University Housing ")</f>
        <v>University Housing </v>
      </c>
      <c r="K84" s="107" t="str">
        <f>IFERROR(__xludf.DUMMYFUNCTION("""COMPUTED_VALUE""")," ")</f>
        <v> </v>
      </c>
      <c r="L84" s="100">
        <f>IFERROR(__xludf.DUMMYFUNCTION("""COMPUTED_VALUE"""),46248.0)</f>
        <v>46248</v>
      </c>
      <c r="M84" s="110" t="str">
        <f>IFERROR(__xludf.DUMMYFUNCTION("""COMPUTED_VALUE"""),"DON'T KNOW YET (put 'XXX' for room #)")</f>
        <v>DON'T KNOW YET (put 'XXX' for room #)</v>
      </c>
      <c r="N84" s="61" t="str">
        <f>IFERROR(__xludf.DUMMYFUNCTION("""COMPUTED_VALUE"""),"xxx")</f>
        <v>xxx</v>
      </c>
      <c r="O84" s="61"/>
      <c r="P84" s="61"/>
      <c r="Q84" s="61" t="str">
        <f>IFERROR(__xludf.DUMMYFUNCTION("""COMPUTED_VALUE"""),"966 Lily Pond Lane
Franklin Lakes, NJ  07417")</f>
        <v>966 Lily Pond Lane
Franklin Lakes, NJ  07417</v>
      </c>
      <c r="R84" s="61"/>
    </row>
    <row r="85">
      <c r="A85" s="102" t="str">
        <f>IFERROR(__xludf.DUMMYFUNCTION("""COMPUTED_VALUE"""),"https://utrucking.com/admin/orders/6350201389244")</f>
        <v>https://utrucking.com/admin/orders/6350201389244</v>
      </c>
      <c r="B85" s="65" t="str">
        <f>IFERROR(__xludf.DUMMYFUNCTION("""COMPUTED_VALUE"""),"#17092")</f>
        <v>#17092</v>
      </c>
      <c r="C85" s="65"/>
      <c r="D85" s="65">
        <f>IFERROR(__xludf.DUMMYFUNCTION("""COMPUTED_VALUE"""),2.019789863E9)</f>
        <v>2019789863</v>
      </c>
      <c r="E85" s="65" t="str">
        <f>IFERROR(__xludf.DUMMYFUNCTION("""COMPUTED_VALUE"""),"Rebecca Levy")</f>
        <v>Rebecca Levy</v>
      </c>
      <c r="F85" s="65" t="str">
        <f>IFERROR(__xludf.DUMMYFUNCTION("""COMPUTED_VALUE"""),"Shane Levy")</f>
        <v>Shane Levy</v>
      </c>
      <c r="G85" s="65"/>
      <c r="H85" s="65" t="str">
        <f>IFERROR(__xludf.DUMMYFUNCTION("""COMPUTED_VALUE"""),"Tri-State Area Home Pickups")</f>
        <v>Tri-State Area Home Pickups</v>
      </c>
      <c r="I85" s="65" t="str">
        <f>IFERROR(__xludf.DUMMYFUNCTION("""COMPUTED_VALUE""")," Included Insurance   - ")</f>
        <v> Included Insurance   - </v>
      </c>
      <c r="J85" s="108" t="str">
        <f>IFERROR(__xludf.DUMMYFUNCTION("""COMPUTED_VALUE"""),"University Housing ")</f>
        <v>University Housing </v>
      </c>
      <c r="K85" s="108" t="str">
        <f>IFERROR(__xludf.DUMMYFUNCTION("""COMPUTED_VALUE""")," ")</f>
        <v> </v>
      </c>
      <c r="L85" s="103">
        <f>IFERROR(__xludf.DUMMYFUNCTION("""COMPUTED_VALUE"""),46248.0)</f>
        <v>46248</v>
      </c>
      <c r="M85" s="111" t="str">
        <f>IFERROR(__xludf.DUMMYFUNCTION("""COMPUTED_VALUE"""),"DON'T KNOW YET (put 'XXX' for room #)")</f>
        <v>DON'T KNOW YET (put 'XXX' for room #)</v>
      </c>
      <c r="N85" s="65" t="str">
        <f>IFERROR(__xludf.DUMMYFUNCTION("""COMPUTED_VALUE"""),"Xxx")</f>
        <v>Xxx</v>
      </c>
      <c r="O85" s="65"/>
      <c r="P85" s="65"/>
      <c r="Q85" s="65" t="str">
        <f>IFERROR(__xludf.DUMMYFUNCTION("""COMPUTED_VALUE"""),"57 Old Farms Road, Woodcliff Lake, NJ 07677")</f>
        <v>57 Old Farms Road, Woodcliff Lake, NJ 07677</v>
      </c>
      <c r="R85" s="65"/>
    </row>
    <row r="86">
      <c r="A86" s="99" t="str">
        <f>IFERROR(__xludf.DUMMYFUNCTION("""COMPUTED_VALUE"""),"https://utrucking.com/admin/orders/6386766708924")</f>
        <v>https://utrucking.com/admin/orders/6386766708924</v>
      </c>
      <c r="B86" s="61" t="str">
        <f>IFERROR(__xludf.DUMMYFUNCTION("""COMPUTED_VALUE"""),"#17197")</f>
        <v>#17197</v>
      </c>
      <c r="C86" s="61" t="str">
        <f>IFERROR(__xludf.DUMMYFUNCTION("""COMPUTED_VALUE"""),"bethsabramowitz@gmail.com")</f>
        <v>bethsabramowitz@gmail.com</v>
      </c>
      <c r="D86" s="61">
        <f>IFERROR(__xludf.DUMMYFUNCTION("""COMPUTED_VALUE"""),9.179742642E9)</f>
        <v>9179742642</v>
      </c>
      <c r="E86" s="61" t="str">
        <f>IFERROR(__xludf.DUMMYFUNCTION("""COMPUTED_VALUE"""),"Beth Abramowitz")</f>
        <v>Beth Abramowitz</v>
      </c>
      <c r="F86" s="61" t="str">
        <f>IFERROR(__xludf.DUMMYFUNCTION("""COMPUTED_VALUE"""),"Olivia Abramowitz")</f>
        <v>Olivia Abramowitz</v>
      </c>
      <c r="G86" s="61"/>
      <c r="H86" s="61" t="str">
        <f>IFERROR(__xludf.DUMMYFUNCTION("""COMPUTED_VALUE"""),"Tri-State Area Home Pickups")</f>
        <v>Tri-State Area Home Pickups</v>
      </c>
      <c r="I86" s="61" t="str">
        <f>IFERROR(__xludf.DUMMYFUNCTION("""COMPUTED_VALUE""")," Included Insurance   - ")</f>
        <v> Included Insurance   - </v>
      </c>
      <c r="J86" s="107" t="str">
        <f>IFERROR(__xludf.DUMMYFUNCTION("""COMPUTED_VALUE"""),"University Housing ")</f>
        <v>University Housing </v>
      </c>
      <c r="K86" s="107" t="str">
        <f>IFERROR(__xludf.DUMMYFUNCTION("""COMPUTED_VALUE""")," ")</f>
        <v> </v>
      </c>
      <c r="L86" s="100">
        <f>IFERROR(__xludf.DUMMYFUNCTION("""COMPUTED_VALUE"""),46247.0)</f>
        <v>46247</v>
      </c>
      <c r="M86" s="110" t="str">
        <f>IFERROR(__xludf.DUMMYFUNCTION("""COMPUTED_VALUE"""),"DON'T KNOW YET (put 'XXX' for room #)")</f>
        <v>DON'T KNOW YET (put 'XXX' for room #)</v>
      </c>
      <c r="N86" s="61" t="str">
        <f>IFERROR(__xludf.DUMMYFUNCTION("""COMPUTED_VALUE"""),"xxx")</f>
        <v>xxx</v>
      </c>
      <c r="O86" s="61"/>
      <c r="P86" s="61"/>
      <c r="Q86" s="61" t="str">
        <f>IFERROR(__xludf.DUMMYFUNCTION("""COMPUTED_VALUE"""),"2 Chedworth Road, Scarsdale NY 10583")</f>
        <v>2 Chedworth Road, Scarsdale NY 10583</v>
      </c>
      <c r="R86" s="61"/>
    </row>
    <row r="87">
      <c r="A87" s="102" t="str">
        <f>IFERROR(__xludf.DUMMYFUNCTION("""COMPUTED_VALUE"""),"https://utrucking.com/admin/orders/6388901118140")</f>
        <v>https://utrucking.com/admin/orders/6388901118140</v>
      </c>
      <c r="B87" s="65" t="str">
        <f>IFERROR(__xludf.DUMMYFUNCTION("""COMPUTED_VALUE"""),"#17209")</f>
        <v>#17209</v>
      </c>
      <c r="C87" s="65"/>
      <c r="D87" s="65">
        <f>IFERROR(__xludf.DUMMYFUNCTION("""COMPUTED_VALUE"""),5.16296899E9)</f>
        <v>5162968990</v>
      </c>
      <c r="E87" s="65" t="str">
        <f>IFERROR(__xludf.DUMMYFUNCTION("""COMPUTED_VALUE"""),"Alex Domb")</f>
        <v>Alex Domb</v>
      </c>
      <c r="F87" s="65" t="str">
        <f>IFERROR(__xludf.DUMMYFUNCTION("""COMPUTED_VALUE"""),"Alex Domb")</f>
        <v>Alex Domb</v>
      </c>
      <c r="G87" s="65"/>
      <c r="H87" s="65" t="str">
        <f>IFERROR(__xludf.DUMMYFUNCTION("""COMPUTED_VALUE"""),"Tri-State Area Home Pickups")</f>
        <v>Tri-State Area Home Pickups</v>
      </c>
      <c r="I87" s="65" t="str">
        <f>IFERROR(__xludf.DUMMYFUNCTION("""COMPUTED_VALUE""")," Included Insurance   - ")</f>
        <v> Included Insurance   - </v>
      </c>
      <c r="J87" s="108" t="str">
        <f>IFERROR(__xludf.DUMMYFUNCTION("""COMPUTED_VALUE"""),"University Housing ")</f>
        <v>University Housing </v>
      </c>
      <c r="K87" s="108" t="str">
        <f>IFERROR(__xludf.DUMMYFUNCTION("""COMPUTED_VALUE""")," ")</f>
        <v> </v>
      </c>
      <c r="L87" s="103">
        <f>IFERROR(__xludf.DUMMYFUNCTION("""COMPUTED_VALUE"""),46248.0)</f>
        <v>46248</v>
      </c>
      <c r="M87" s="111" t="str">
        <f>IFERROR(__xludf.DUMMYFUNCTION("""COMPUTED_VALUE"""),"DON'T KNOW YET (put 'XXX' for room #)")</f>
        <v>DON'T KNOW YET (put 'XXX' for room #)</v>
      </c>
      <c r="N87" s="65" t="str">
        <f>IFERROR(__xludf.DUMMYFUNCTION("""COMPUTED_VALUE"""),"XXX")</f>
        <v>XXX</v>
      </c>
      <c r="O87" s="65"/>
      <c r="P87" s="65"/>
      <c r="Q87" s="65" t="str">
        <f>IFERROR(__xludf.DUMMYFUNCTION("""COMPUTED_VALUE"""),"1930 Lowell Ln, Merrick NY 11566")</f>
        <v>1930 Lowell Ln, Merrick NY 11566</v>
      </c>
      <c r="R87" s="65"/>
    </row>
    <row r="88">
      <c r="A88" s="99" t="str">
        <f>IFERROR(__xludf.DUMMYFUNCTION("""COMPUTED_VALUE"""),"https://utrucking.com/admin/orders/6403733749948")</f>
        <v>https://utrucking.com/admin/orders/6403733749948</v>
      </c>
      <c r="B88" s="61" t="str">
        <f>IFERROR(__xludf.DUMMYFUNCTION("""COMPUTED_VALUE"""),"#17304")</f>
        <v>#17304</v>
      </c>
      <c r="C88" s="61"/>
      <c r="D88" s="61">
        <f>IFERROR(__xludf.DUMMYFUNCTION("""COMPUTED_VALUE"""),9.174068542E9)</f>
        <v>9174068542</v>
      </c>
      <c r="E88" s="61" t="str">
        <f>IFERROR(__xludf.DUMMYFUNCTION("""COMPUTED_VALUE"""),"Uma Sharma")</f>
        <v>Uma Sharma</v>
      </c>
      <c r="F88" s="61" t="str">
        <f>IFERROR(__xludf.DUMMYFUNCTION("""COMPUTED_VALUE"""),"Uma Sharma")</f>
        <v>Uma Sharma</v>
      </c>
      <c r="G88" s="61"/>
      <c r="H88" s="61" t="str">
        <f>IFERROR(__xludf.DUMMYFUNCTION("""COMPUTED_VALUE"""),"Tri-State Area Home Pickups")</f>
        <v>Tri-State Area Home Pickups</v>
      </c>
      <c r="I88" s="61" t="str">
        <f>IFERROR(__xludf.DUMMYFUNCTION("""COMPUTED_VALUE""")," Included Insurance   - ")</f>
        <v> Included Insurance   - </v>
      </c>
      <c r="J88" s="107" t="str">
        <f>IFERROR(__xludf.DUMMYFUNCTION("""COMPUTED_VALUE"""),"University Housing ")</f>
        <v>University Housing </v>
      </c>
      <c r="K88" s="107" t="str">
        <f>IFERROR(__xludf.DUMMYFUNCTION("""COMPUTED_VALUE""")," ")</f>
        <v> </v>
      </c>
      <c r="L88" s="100">
        <f>IFERROR(__xludf.DUMMYFUNCTION("""COMPUTED_VALUE"""),46248.0)</f>
        <v>46248</v>
      </c>
      <c r="M88" s="110" t="str">
        <f>IFERROR(__xludf.DUMMYFUNCTION("""COMPUTED_VALUE"""),"DON'T KNOW YET (put 'XXX' for room #)")</f>
        <v>DON'T KNOW YET (put 'XXX' for room #)</v>
      </c>
      <c r="N88" s="61" t="str">
        <f>IFERROR(__xludf.DUMMYFUNCTION("""COMPUTED_VALUE"""),"XXX")</f>
        <v>XXX</v>
      </c>
      <c r="O88" s="61"/>
      <c r="P88" s="61"/>
      <c r="Q88" s="61" t="str">
        <f>IFERROR(__xludf.DUMMYFUNCTION("""COMPUTED_VALUE"""),"49 Taylor Road, Mount Kisco NY 10549")</f>
        <v>49 Taylor Road, Mount Kisco NY 10549</v>
      </c>
      <c r="R88" s="61"/>
    </row>
    <row r="89">
      <c r="A89" s="102" t="str">
        <f>IFERROR(__xludf.DUMMYFUNCTION("""COMPUTED_VALUE"""),"https://utrucking.com/admin/orders/6404392190140")</f>
        <v>https://utrucking.com/admin/orders/6404392190140</v>
      </c>
      <c r="B89" s="65" t="str">
        <f>IFERROR(__xludf.DUMMYFUNCTION("""COMPUTED_VALUE"""),"#17310")</f>
        <v>#17310</v>
      </c>
      <c r="C89" s="65"/>
      <c r="D89" s="65">
        <f>IFERROR(__xludf.DUMMYFUNCTION("""COMPUTED_VALUE"""),9.174402109E9)</f>
        <v>9174402109</v>
      </c>
      <c r="E89" s="65" t="str">
        <f>IFERROR(__xludf.DUMMYFUNCTION("""COMPUTED_VALUE"""),"Jaye Weisbrod")</f>
        <v>Jaye Weisbrod</v>
      </c>
      <c r="F89" s="65" t="str">
        <f>IFERROR(__xludf.DUMMYFUNCTION("""COMPUTED_VALUE"""),"Sophie Weisbrod")</f>
        <v>Sophie Weisbrod</v>
      </c>
      <c r="G89" s="65"/>
      <c r="H89" s="65" t="str">
        <f>IFERROR(__xludf.DUMMYFUNCTION("""COMPUTED_VALUE"""),"Tri-State Area Home Pickups")</f>
        <v>Tri-State Area Home Pickups</v>
      </c>
      <c r="I89" s="65" t="str">
        <f>IFERROR(__xludf.DUMMYFUNCTION("""COMPUTED_VALUE""")," Included Insurance   - ")</f>
        <v> Included Insurance   - </v>
      </c>
      <c r="J89" s="108" t="str">
        <f>IFERROR(__xludf.DUMMYFUNCTION("""COMPUTED_VALUE"""),"University Housing ")</f>
        <v>University Housing </v>
      </c>
      <c r="K89" s="108" t="str">
        <f>IFERROR(__xludf.DUMMYFUNCTION("""COMPUTED_VALUE""")," ")</f>
        <v> </v>
      </c>
      <c r="L89" s="103">
        <f>IFERROR(__xludf.DUMMYFUNCTION("""COMPUTED_VALUE"""),46248.0)</f>
        <v>46248</v>
      </c>
      <c r="M89" s="111" t="str">
        <f>IFERROR(__xludf.DUMMYFUNCTION("""COMPUTED_VALUE"""),"DON'T KNOW YET (put 'XXX' for room #)")</f>
        <v>DON'T KNOW YET (put 'XXX' for room #)</v>
      </c>
      <c r="N89" s="65" t="str">
        <f>IFERROR(__xludf.DUMMYFUNCTION("""COMPUTED_VALUE"""),"Xxx")</f>
        <v>Xxx</v>
      </c>
      <c r="O89" s="65"/>
      <c r="P89" s="65"/>
      <c r="Q89" s="65" t="str">
        <f>IFERROR(__xludf.DUMMYFUNCTION("""COMPUTED_VALUE"""),"3 White Birch Lane Scarsdale NY 10583")</f>
        <v>3 White Birch Lane Scarsdale NY 10583</v>
      </c>
      <c r="R89" s="65"/>
    </row>
    <row r="90">
      <c r="A90" s="99" t="str">
        <f>IFERROR(__xludf.DUMMYFUNCTION("""COMPUTED_VALUE"""),"https://utrucking.com/admin/orders/6416991322300")</f>
        <v>https://utrucking.com/admin/orders/6416991322300</v>
      </c>
      <c r="B90" s="61" t="str">
        <f>IFERROR(__xludf.DUMMYFUNCTION("""COMPUTED_VALUE"""),"#17425")</f>
        <v>#17425</v>
      </c>
      <c r="C90" s="61"/>
      <c r="D90" s="61">
        <f>IFERROR(__xludf.DUMMYFUNCTION("""COMPUTED_VALUE"""),9.732161992E9)</f>
        <v>9732161992</v>
      </c>
      <c r="E90" s="61" t="str">
        <f>IFERROR(__xludf.DUMMYFUNCTION("""COMPUTED_VALUE"""),"Grace Sacks")</f>
        <v>Grace Sacks</v>
      </c>
      <c r="F90" s="61" t="str">
        <f>IFERROR(__xludf.DUMMYFUNCTION("""COMPUTED_VALUE"""),"Grace Sacks")</f>
        <v>Grace Sacks</v>
      </c>
      <c r="G90" s="61"/>
      <c r="H90" s="61" t="str">
        <f>IFERROR(__xludf.DUMMYFUNCTION("""COMPUTED_VALUE"""),"Tri-State Area Home Pickups")</f>
        <v>Tri-State Area Home Pickups</v>
      </c>
      <c r="I90" s="61" t="str">
        <f>IFERROR(__xludf.DUMMYFUNCTION("""COMPUTED_VALUE""")," Included Insurance   - ")</f>
        <v> Included Insurance   - </v>
      </c>
      <c r="J90" s="107" t="str">
        <f>IFERROR(__xludf.DUMMYFUNCTION("""COMPUTED_VALUE"""),"University Housing ")</f>
        <v>University Housing </v>
      </c>
      <c r="K90" s="107" t="str">
        <f>IFERROR(__xludf.DUMMYFUNCTION("""COMPUTED_VALUE""")," ")</f>
        <v> </v>
      </c>
      <c r="L90" s="100">
        <f>IFERROR(__xludf.DUMMYFUNCTION("""COMPUTED_VALUE"""),46247.0)</f>
        <v>46247</v>
      </c>
      <c r="M90" s="110" t="str">
        <f>IFERROR(__xludf.DUMMYFUNCTION("""COMPUTED_VALUE"""),"DON'T KNOW YET (put 'XXX' for room #)")</f>
        <v>DON'T KNOW YET (put 'XXX' for room #)</v>
      </c>
      <c r="N90" s="61" t="str">
        <f>IFERROR(__xludf.DUMMYFUNCTION("""COMPUTED_VALUE"""),"XXX")</f>
        <v>XXX</v>
      </c>
      <c r="O90" s="61"/>
      <c r="P90" s="61"/>
      <c r="Q90" s="61" t="str">
        <f>IFERROR(__xludf.DUMMYFUNCTION("""COMPUTED_VALUE"""),"43 Overlook Rd, Livingston, NJ 07039")</f>
        <v>43 Overlook Rd, Livingston, NJ 07039</v>
      </c>
      <c r="R90" s="61" t="str">
        <f>IFERROR(__xludf.DUMMYFUNCTION("""COMPUTED_VALUE""")," ")</f>
        <v> </v>
      </c>
    </row>
    <row r="91">
      <c r="A91" s="102" t="str">
        <f>IFERROR(__xludf.DUMMYFUNCTION("""COMPUTED_VALUE"""),"https://utrucking.com/admin/orders/6446218346684")</f>
        <v>https://utrucking.com/admin/orders/6446218346684</v>
      </c>
      <c r="B91" s="65" t="str">
        <f>IFERROR(__xludf.DUMMYFUNCTION("""COMPUTED_VALUE"""),"#17851")</f>
        <v>#17851</v>
      </c>
      <c r="C91" s="65" t="str">
        <f>IFERROR(__xludf.DUMMYFUNCTION("""COMPUTED_VALUE"""),"sarahjrosen@hotmail.com")</f>
        <v>sarahjrosen@hotmail.com</v>
      </c>
      <c r="D91" s="65">
        <f>IFERROR(__xludf.DUMMYFUNCTION("""COMPUTED_VALUE"""),8.566694627E9)</f>
        <v>8566694627</v>
      </c>
      <c r="E91" s="65" t="str">
        <f>IFERROR(__xludf.DUMMYFUNCTION("""COMPUTED_VALUE"""),"Sarah Kukafka")</f>
        <v>Sarah Kukafka</v>
      </c>
      <c r="F91" s="65" t="str">
        <f>IFERROR(__xludf.DUMMYFUNCTION("""COMPUTED_VALUE"""),"Max Kukafka")</f>
        <v>Max Kukafka</v>
      </c>
      <c r="G91" s="65"/>
      <c r="H91" s="65" t="str">
        <f>IFERROR(__xludf.DUMMYFUNCTION("""COMPUTED_VALUE"""),"Tri-State Area Home Pickups")</f>
        <v>Tri-State Area Home Pickups</v>
      </c>
      <c r="I91" s="65" t="str">
        <f>IFERROR(__xludf.DUMMYFUNCTION("""COMPUTED_VALUE""")," $500 of Additional Coverage   - ")</f>
        <v> $500 of Additional Coverage   - </v>
      </c>
      <c r="J91" s="108" t="str">
        <f>IFERROR(__xludf.DUMMYFUNCTION("""COMPUTED_VALUE"""),"University Housing ")</f>
        <v>University Housing </v>
      </c>
      <c r="K91" s="108" t="str">
        <f>IFERROR(__xludf.DUMMYFUNCTION("""COMPUTED_VALUE""")," ")</f>
        <v> </v>
      </c>
      <c r="L91" s="103">
        <f>IFERROR(__xludf.DUMMYFUNCTION("""COMPUTED_VALUE"""),46248.0)</f>
        <v>46248</v>
      </c>
      <c r="M91" s="111" t="str">
        <f>IFERROR(__xludf.DUMMYFUNCTION("""COMPUTED_VALUE"""),"DON'T KNOW YET (put 'XXX' for room #)")</f>
        <v>DON'T KNOW YET (put 'XXX' for room #)</v>
      </c>
      <c r="N91" s="65" t="str">
        <f>IFERROR(__xludf.DUMMYFUNCTION("""COMPUTED_VALUE"""),"XXX")</f>
        <v>XXX</v>
      </c>
      <c r="O91" s="65"/>
      <c r="P91" s="65"/>
      <c r="Q91" s="65" t="str">
        <f>IFERROR(__xludf.DUMMYFUNCTION("""COMPUTED_VALUE"""),"10 Carrington Court
Woodcliff Lake, NJ 07677")</f>
        <v>10 Carrington Court
Woodcliff Lake, NJ 07677</v>
      </c>
      <c r="R91" s="65" t="str">
        <f>IFERROR(__xludf.DUMMYFUNCTION("""COMPUTED_VALUE""")," Please mail U Trucking kit (the boxes etc) to the following address, not the pick-up address:
8 Thoreau Court
Cherry Hill, NJ 08003
Thanks!  ")</f>
        <v> Please mail U Trucking kit (the boxes etc) to the following address, not the pick-up address:
8 Thoreau Court
Cherry Hill, NJ 08003
Thanks!  </v>
      </c>
    </row>
    <row r="92">
      <c r="A92" s="99" t="str">
        <f>IFERROR(__xludf.DUMMYFUNCTION("""COMPUTED_VALUE"""),"https://utrucking.com/admin/orders/6447442297020")</f>
        <v>https://utrucking.com/admin/orders/6447442297020</v>
      </c>
      <c r="B92" s="61" t="str">
        <f>IFERROR(__xludf.DUMMYFUNCTION("""COMPUTED_VALUE"""),"#17966")</f>
        <v>#17966</v>
      </c>
      <c r="C92" s="61" t="str">
        <f>IFERROR(__xludf.DUMMYFUNCTION("""COMPUTED_VALUE"""),"tsl0925@aol.com")</f>
        <v>tsl0925@aol.com</v>
      </c>
      <c r="D92" s="61">
        <f>IFERROR(__xludf.DUMMYFUNCTION("""COMPUTED_VALUE"""),1.5617891135E10)</f>
        <v>15617891135</v>
      </c>
      <c r="E92" s="61" t="str">
        <f>IFERROR(__xludf.DUMMYFUNCTION("""COMPUTED_VALUE"""),"Tammy Szerencsy")</f>
        <v>Tammy Szerencsy</v>
      </c>
      <c r="F92" s="61" t="str">
        <f>IFERROR(__xludf.DUMMYFUNCTION("""COMPUTED_VALUE"""),"Zachary Szerencsy ")</f>
        <v>Zachary Szerencsy </v>
      </c>
      <c r="G92" s="61"/>
      <c r="H92" s="61" t="str">
        <f>IFERROR(__xludf.DUMMYFUNCTION("""COMPUTED_VALUE"""),"Tri-State Area Home Pickups")</f>
        <v>Tri-State Area Home Pickups</v>
      </c>
      <c r="I92" s="61" t="str">
        <f>IFERROR(__xludf.DUMMYFUNCTION("""COMPUTED_VALUE""")," Included Insurance   - ")</f>
        <v> Included Insurance   - </v>
      </c>
      <c r="J92" s="107" t="str">
        <f>IFERROR(__xludf.DUMMYFUNCTION("""COMPUTED_VALUE"""),"University Housing ")</f>
        <v>University Housing </v>
      </c>
      <c r="K92" s="107" t="str">
        <f>IFERROR(__xludf.DUMMYFUNCTION("""COMPUTED_VALUE""")," ")</f>
        <v> </v>
      </c>
      <c r="L92" s="100">
        <f>IFERROR(__xludf.DUMMYFUNCTION("""COMPUTED_VALUE"""),46248.0)</f>
        <v>46248</v>
      </c>
      <c r="M92" s="110" t="str">
        <f>IFERROR(__xludf.DUMMYFUNCTION("""COMPUTED_VALUE"""),"DON'T KNOW YET (put 'XXX' for room #)")</f>
        <v>DON'T KNOW YET (put 'XXX' for room #)</v>
      </c>
      <c r="N92" s="61" t="str">
        <f>IFERROR(__xludf.DUMMYFUNCTION("""COMPUTED_VALUE"""),"XXX ")</f>
        <v>XXX </v>
      </c>
      <c r="O92" s="61"/>
      <c r="P92" s="61"/>
      <c r="Q92" s="61" t="str">
        <f>IFERROR(__xludf.DUMMYFUNCTION("""COMPUTED_VALUE"""),"29 Beechwood Rd., Roslyn NY 11576")</f>
        <v>29 Beechwood Rd., Roslyn NY 11576</v>
      </c>
      <c r="R92" s="61" t="str">
        <f>IFERROR(__xludf.DUMMYFUNCTION("""COMPUTED_VALUE""")," ")</f>
        <v> </v>
      </c>
    </row>
    <row r="93">
      <c r="A93" s="102" t="str">
        <f>IFERROR(__xludf.DUMMYFUNCTION("""COMPUTED_VALUE"""),"https://utrucking.com/admin/orders/6455406330044")</f>
        <v>https://utrucking.com/admin/orders/6455406330044</v>
      </c>
      <c r="B93" s="65" t="str">
        <f>IFERROR(__xludf.DUMMYFUNCTION("""COMPUTED_VALUE"""),"#18214")</f>
        <v>#18214</v>
      </c>
      <c r="C93" s="65" t="str">
        <f>IFERROR(__xludf.DUMMYFUNCTION("""COMPUTED_VALUE"""),"anashannon@gmail.com")</f>
        <v>anashannon@gmail.com</v>
      </c>
      <c r="D93" s="65">
        <f>IFERROR(__xludf.DUMMYFUNCTION("""COMPUTED_VALUE"""),7.327639147E9)</f>
        <v>7327639147</v>
      </c>
      <c r="E93" s="65" t="str">
        <f>IFERROR(__xludf.DUMMYFUNCTION("""COMPUTED_VALUE"""),"Ana Shannon")</f>
        <v>Ana Shannon</v>
      </c>
      <c r="F93" s="65" t="str">
        <f>IFERROR(__xludf.DUMMYFUNCTION("""COMPUTED_VALUE"""),"Emma Shannon")</f>
        <v>Emma Shannon</v>
      </c>
      <c r="G93" s="65"/>
      <c r="H93" s="65" t="str">
        <f>IFERROR(__xludf.DUMMYFUNCTION("""COMPUTED_VALUE"""),"Tri-State Area Home Pickups")</f>
        <v>Tri-State Area Home Pickups</v>
      </c>
      <c r="I93" s="65" t="str">
        <f>IFERROR(__xludf.DUMMYFUNCTION("""COMPUTED_VALUE""")," Included Insurance   - ")</f>
        <v> Included Insurance   - </v>
      </c>
      <c r="J93" s="108" t="str">
        <f>IFERROR(__xludf.DUMMYFUNCTION("""COMPUTED_VALUE"""),"University Housing ")</f>
        <v>University Housing </v>
      </c>
      <c r="K93" s="108" t="str">
        <f>IFERROR(__xludf.DUMMYFUNCTION("""COMPUTED_VALUE""")," ")</f>
        <v> </v>
      </c>
      <c r="L93" s="103">
        <f>IFERROR(__xludf.DUMMYFUNCTION("""COMPUTED_VALUE"""),46248.0)</f>
        <v>46248</v>
      </c>
      <c r="M93" s="111" t="str">
        <f>IFERROR(__xludf.DUMMYFUNCTION("""COMPUTED_VALUE"""),"DON'T KNOW YET (put 'XXX' for room #)")</f>
        <v>DON'T KNOW YET (put 'XXX' for room #)</v>
      </c>
      <c r="N93" s="65" t="str">
        <f>IFERROR(__xludf.DUMMYFUNCTION("""COMPUTED_VALUE"""),"XXX")</f>
        <v>XXX</v>
      </c>
      <c r="O93" s="65"/>
      <c r="P93" s="65"/>
      <c r="Q93" s="65" t="str">
        <f>IFERROR(__xludf.DUMMYFUNCTION("""COMPUTED_VALUE"""),"419 Donaldson Street
Highland Park, NJ  08904")</f>
        <v>419 Donaldson Street
Highland Park, NJ  08904</v>
      </c>
      <c r="R93" s="65" t="str">
        <f>IFERROR(__xludf.DUMMYFUNCTION("""COMPUTED_VALUE""")," ")</f>
        <v> </v>
      </c>
    </row>
    <row r="94">
      <c r="A94" s="99" t="str">
        <f>IFERROR(__xludf.DUMMYFUNCTION("""COMPUTED_VALUE"""),"https://utrucking.com/admin/orders/6459054293180")</f>
        <v>https://utrucking.com/admin/orders/6459054293180</v>
      </c>
      <c r="B94" s="61" t="str">
        <f>IFERROR(__xludf.DUMMYFUNCTION("""COMPUTED_VALUE"""),"#18308")</f>
        <v>#18308</v>
      </c>
      <c r="C94" s="61" t="str">
        <f>IFERROR(__xludf.DUMMYFUNCTION("""COMPUTED_VALUE"""),"denozachary@gmail.com")</f>
        <v>denozachary@gmail.com</v>
      </c>
      <c r="D94" s="61">
        <f>IFERROR(__xludf.DUMMYFUNCTION("""COMPUTED_VALUE"""),9.173315789E9)</f>
        <v>9173315789</v>
      </c>
      <c r="E94" s="61" t="str">
        <f>IFERROR(__xludf.DUMMYFUNCTION("""COMPUTED_VALUE"""),"Deno Zachary")</f>
        <v>Deno Zachary</v>
      </c>
      <c r="F94" s="61" t="str">
        <f>IFERROR(__xludf.DUMMYFUNCTION("""COMPUTED_VALUE"""),"Kay Zachary")</f>
        <v>Kay Zachary</v>
      </c>
      <c r="G94" s="61"/>
      <c r="H94" s="61" t="str">
        <f>IFERROR(__xludf.DUMMYFUNCTION("""COMPUTED_VALUE"""),"Tri-State Area Home Pickups")</f>
        <v>Tri-State Area Home Pickups</v>
      </c>
      <c r="I94" s="61" t="str">
        <f>IFERROR(__xludf.DUMMYFUNCTION("""COMPUTED_VALUE""")," Included Insurance   - ")</f>
        <v> Included Insurance   - </v>
      </c>
      <c r="J94" s="107" t="str">
        <f>IFERROR(__xludf.DUMMYFUNCTION("""COMPUTED_VALUE"""),"University Housing ")</f>
        <v>University Housing </v>
      </c>
      <c r="K94" s="107" t="str">
        <f>IFERROR(__xludf.DUMMYFUNCTION("""COMPUTED_VALUE""")," ")</f>
        <v> </v>
      </c>
      <c r="L94" s="100">
        <f>IFERROR(__xludf.DUMMYFUNCTION("""COMPUTED_VALUE"""),46248.0)</f>
        <v>46248</v>
      </c>
      <c r="M94" s="110" t="str">
        <f>IFERROR(__xludf.DUMMYFUNCTION("""COMPUTED_VALUE"""),"Gregg  ")</f>
        <v>Gregg  </v>
      </c>
      <c r="N94" s="61" t="str">
        <f>IFERROR(__xludf.DUMMYFUNCTION("""COMPUTED_VALUE"""),"1022")</f>
        <v>1022</v>
      </c>
      <c r="O94" s="61"/>
      <c r="P94" s="61"/>
      <c r="Q94" s="61" t="str">
        <f>IFERROR(__xludf.DUMMYFUNCTION("""COMPUTED_VALUE"""),"201 E 69th St, Apt. 5o, New York, NY")</f>
        <v>201 E 69th St, Apt. 5o, New York, NY</v>
      </c>
      <c r="R94" s="61" t="str">
        <f>IFERROR(__xludf.DUMMYFUNCTION("""COMPUTED_VALUE""")," ")</f>
        <v> </v>
      </c>
    </row>
    <row r="95">
      <c r="A95" s="102" t="str">
        <f>IFERROR(__xludf.DUMMYFUNCTION("""COMPUTED_VALUE"""),"https://utrucking.com/admin/orders/6460561817788")</f>
        <v>https://utrucking.com/admin/orders/6460561817788</v>
      </c>
      <c r="B95" s="65" t="str">
        <f>IFERROR(__xludf.DUMMYFUNCTION("""COMPUTED_VALUE"""),"#18348")</f>
        <v>#18348</v>
      </c>
      <c r="C95" s="65" t="str">
        <f>IFERROR(__xludf.DUMMYFUNCTION("""COMPUTED_VALUE"""),"tina@industryfilms.com")</f>
        <v>tina@industryfilms.com</v>
      </c>
      <c r="D95" s="65">
        <f>IFERROR(__xludf.DUMMYFUNCTION("""COMPUTED_VALUE"""),7.18915217E9)</f>
        <v>7189152170</v>
      </c>
      <c r="E95" s="65" t="str">
        <f>IFERROR(__xludf.DUMMYFUNCTION("""COMPUTED_VALUE"""),"Tina Petridis-Gerling")</f>
        <v>Tina Petridis-Gerling</v>
      </c>
      <c r="F95" s="65" t="str">
        <f>IFERROR(__xludf.DUMMYFUNCTION("""COMPUTED_VALUE"""),"Alexandra Gerling")</f>
        <v>Alexandra Gerling</v>
      </c>
      <c r="G95" s="65"/>
      <c r="H95" s="65" t="str">
        <f>IFERROR(__xludf.DUMMYFUNCTION("""COMPUTED_VALUE"""),"Tri-State Area Home Pickups")</f>
        <v>Tri-State Area Home Pickups</v>
      </c>
      <c r="I95" s="65" t="str">
        <f>IFERROR(__xludf.DUMMYFUNCTION("""COMPUTED_VALUE""")," Included Insurance   - ")</f>
        <v> Included Insurance   - </v>
      </c>
      <c r="J95" s="108" t="str">
        <f>IFERROR(__xludf.DUMMYFUNCTION("""COMPUTED_VALUE"""),"University Housing ")</f>
        <v>University Housing </v>
      </c>
      <c r="K95" s="108" t="str">
        <f>IFERROR(__xludf.DUMMYFUNCTION("""COMPUTED_VALUE""")," ")</f>
        <v> </v>
      </c>
      <c r="L95" s="103">
        <f>IFERROR(__xludf.DUMMYFUNCTION("""COMPUTED_VALUE"""),46248.0)</f>
        <v>46248</v>
      </c>
      <c r="M95" s="111" t="str">
        <f>IFERROR(__xludf.DUMMYFUNCTION("""COMPUTED_VALUE"""),"DON'T KNOW YET (put 'XXX' for room #)")</f>
        <v>DON'T KNOW YET (put 'XXX' for room #)</v>
      </c>
      <c r="N95" s="65" t="str">
        <f>IFERROR(__xludf.DUMMYFUNCTION("""COMPUTED_VALUE"""),"XXX")</f>
        <v>XXX</v>
      </c>
      <c r="O95" s="65"/>
      <c r="P95" s="65"/>
      <c r="Q95" s="65" t="str">
        <f>IFERROR(__xludf.DUMMYFUNCTION("""COMPUTED_VALUE"""),"50 BRIDGE PARK DRIVE PH2A, BROOKLYN, NY 11201")</f>
        <v>50 BRIDGE PARK DRIVE PH2A, BROOKLYN, NY 11201</v>
      </c>
      <c r="R95" s="65" t="str">
        <f>IFERROR(__xludf.DUMMYFUNCTION("""COMPUTED_VALUE""")," ")</f>
        <v> </v>
      </c>
    </row>
    <row r="96">
      <c r="A96" s="99" t="str">
        <f>IFERROR(__xludf.DUMMYFUNCTION("""COMPUTED_VALUE"""),"https://utrucking.com/admin/orders/6464345309372")</f>
        <v>https://utrucking.com/admin/orders/6464345309372</v>
      </c>
      <c r="B96" s="61" t="str">
        <f>IFERROR(__xludf.DUMMYFUNCTION("""COMPUTED_VALUE"""),"#18374")</f>
        <v>#18374</v>
      </c>
      <c r="C96" s="61" t="str">
        <f>IFERROR(__xludf.DUMMYFUNCTION("""COMPUTED_VALUE"""),"jenn.nosenchuk@gmail.com")</f>
        <v>jenn.nosenchuk@gmail.com</v>
      </c>
      <c r="D96" s="61">
        <f>IFERROR(__xludf.DUMMYFUNCTION("""COMPUTED_VALUE"""),9.178466025E9)</f>
        <v>9178466025</v>
      </c>
      <c r="E96" s="61" t="str">
        <f>IFERROR(__xludf.DUMMYFUNCTION("""COMPUTED_VALUE"""),"Jennifer Nosenchuk")</f>
        <v>Jennifer Nosenchuk</v>
      </c>
      <c r="F96" s="61" t="str">
        <f>IFERROR(__xludf.DUMMYFUNCTION("""COMPUTED_VALUE"""),"Charlotte Nosenchuk")</f>
        <v>Charlotte Nosenchuk</v>
      </c>
      <c r="G96" s="61"/>
      <c r="H96" s="61" t="str">
        <f>IFERROR(__xludf.DUMMYFUNCTION("""COMPUTED_VALUE"""),"Tri-State Area Home Pickups")</f>
        <v>Tri-State Area Home Pickups</v>
      </c>
      <c r="I96" s="61" t="str">
        <f>IFERROR(__xludf.DUMMYFUNCTION("""COMPUTED_VALUE""")," $1000 of Additional Coverage   - ")</f>
        <v> $1000 of Additional Coverage   - </v>
      </c>
      <c r="J96" s="107" t="str">
        <f>IFERROR(__xludf.DUMMYFUNCTION("""COMPUTED_VALUE"""),"University Housing ")</f>
        <v>University Housing </v>
      </c>
      <c r="K96" s="107" t="str">
        <f>IFERROR(__xludf.DUMMYFUNCTION("""COMPUTED_VALUE""")," ")</f>
        <v> </v>
      </c>
      <c r="L96" s="100">
        <f>IFERROR(__xludf.DUMMYFUNCTION("""COMPUTED_VALUE"""),46248.0)</f>
        <v>46248</v>
      </c>
      <c r="M96" s="110" t="str">
        <f>IFERROR(__xludf.DUMMYFUNCTION("""COMPUTED_VALUE"""),"DON'T KNOW YET (put 'XXX' for room #)")</f>
        <v>DON'T KNOW YET (put 'XXX' for room #)</v>
      </c>
      <c r="N96" s="61" t="str">
        <f>IFERROR(__xludf.DUMMYFUNCTION("""COMPUTED_VALUE"""),"XXX")</f>
        <v>XXX</v>
      </c>
      <c r="O96" s="61"/>
      <c r="P96" s="61"/>
      <c r="Q96" s="61" t="str">
        <f>IFERROR(__xludf.DUMMYFUNCTION("""COMPUTED_VALUE"""),"15 West 72nd Street #28A
New York, NY 10023")</f>
        <v>15 West 72nd Street #28A
New York, NY 10023</v>
      </c>
      <c r="R96" s="61" t="str">
        <f>IFERROR(__xludf.DUMMYFUNCTION("""COMPUTED_VALUE""")," ")</f>
        <v> </v>
      </c>
    </row>
    <row r="97">
      <c r="A97" s="65"/>
      <c r="B97" s="65"/>
      <c r="C97" s="65"/>
      <c r="D97" s="65"/>
      <c r="E97" s="65"/>
      <c r="F97" s="65"/>
      <c r="G97" s="65"/>
      <c r="H97" s="65"/>
      <c r="I97" s="65"/>
      <c r="J97" s="108"/>
      <c r="K97" s="108"/>
      <c r="L97" s="103"/>
      <c r="M97" s="111"/>
      <c r="N97" s="65"/>
      <c r="O97" s="65"/>
      <c r="P97" s="65"/>
      <c r="Q97" s="65"/>
      <c r="R97" s="65"/>
    </row>
    <row r="98">
      <c r="A98" s="61"/>
      <c r="B98" s="61"/>
      <c r="C98" s="61"/>
      <c r="D98" s="61"/>
      <c r="E98" s="61"/>
      <c r="F98" s="61"/>
      <c r="G98" s="61"/>
      <c r="H98" s="61"/>
      <c r="I98" s="61"/>
      <c r="J98" s="107"/>
      <c r="K98" s="107"/>
      <c r="L98" s="100"/>
      <c r="M98" s="110"/>
      <c r="N98" s="61"/>
      <c r="O98" s="61"/>
      <c r="P98" s="61"/>
      <c r="Q98" s="61"/>
      <c r="R98" s="61"/>
    </row>
    <row r="99">
      <c r="A99" s="65"/>
      <c r="B99" s="65"/>
      <c r="C99" s="65"/>
      <c r="D99" s="65"/>
      <c r="E99" s="65"/>
      <c r="F99" s="65"/>
      <c r="G99" s="65"/>
      <c r="H99" s="65"/>
      <c r="I99" s="65"/>
      <c r="J99" s="108"/>
      <c r="K99" s="108"/>
      <c r="L99" s="103"/>
      <c r="M99" s="111"/>
      <c r="N99" s="65"/>
      <c r="O99" s="65"/>
      <c r="P99" s="65"/>
      <c r="Q99" s="65"/>
      <c r="R99" s="65"/>
    </row>
    <row r="100">
      <c r="A100" s="61"/>
      <c r="B100" s="61"/>
      <c r="C100" s="61"/>
      <c r="D100" s="61"/>
      <c r="E100" s="61"/>
      <c r="F100" s="61"/>
      <c r="G100" s="61"/>
      <c r="H100" s="61"/>
      <c r="I100" s="61"/>
      <c r="J100" s="107"/>
      <c r="K100" s="107"/>
      <c r="L100" s="100"/>
      <c r="M100" s="110"/>
      <c r="N100" s="61"/>
      <c r="O100" s="61"/>
      <c r="P100" s="61"/>
      <c r="Q100" s="61"/>
      <c r="R100" s="61"/>
    </row>
    <row r="101">
      <c r="A101" s="65"/>
      <c r="B101" s="65"/>
      <c r="C101" s="65"/>
      <c r="D101" s="65"/>
      <c r="E101" s="65"/>
      <c r="F101" s="65"/>
      <c r="G101" s="65"/>
      <c r="H101" s="65"/>
      <c r="I101" s="65"/>
      <c r="J101" s="108"/>
      <c r="K101" s="108"/>
      <c r="L101" s="103"/>
      <c r="M101" s="111"/>
      <c r="N101" s="65"/>
      <c r="O101" s="65"/>
      <c r="P101" s="65"/>
      <c r="Q101" s="65"/>
      <c r="R101" s="65"/>
    </row>
    <row r="102">
      <c r="A102" s="61"/>
      <c r="B102" s="61"/>
      <c r="C102" s="61"/>
      <c r="D102" s="61"/>
      <c r="E102" s="61"/>
      <c r="F102" s="61"/>
      <c r="G102" s="61"/>
      <c r="H102" s="61"/>
      <c r="I102" s="61"/>
      <c r="J102" s="107"/>
      <c r="K102" s="107"/>
      <c r="L102" s="100"/>
      <c r="M102" s="110"/>
      <c r="N102" s="61"/>
      <c r="O102" s="61"/>
      <c r="P102" s="61"/>
      <c r="Q102" s="61"/>
      <c r="R102" s="61"/>
    </row>
    <row r="103">
      <c r="A103" s="65"/>
      <c r="B103" s="65"/>
      <c r="C103" s="65"/>
      <c r="D103" s="65"/>
      <c r="E103" s="65"/>
      <c r="F103" s="65"/>
      <c r="G103" s="65"/>
      <c r="H103" s="65"/>
      <c r="I103" s="65"/>
      <c r="J103" s="108"/>
      <c r="K103" s="108"/>
      <c r="L103" s="103"/>
      <c r="M103" s="111"/>
      <c r="N103" s="65"/>
      <c r="O103" s="65"/>
      <c r="P103" s="65"/>
      <c r="Q103" s="65"/>
      <c r="R103" s="65"/>
    </row>
    <row r="104">
      <c r="A104" s="61"/>
      <c r="B104" s="61"/>
      <c r="C104" s="61"/>
      <c r="D104" s="61"/>
      <c r="E104" s="61"/>
      <c r="F104" s="61"/>
      <c r="G104" s="61"/>
      <c r="H104" s="61"/>
      <c r="I104" s="61"/>
      <c r="J104" s="107"/>
      <c r="K104" s="107"/>
      <c r="L104" s="100"/>
      <c r="M104" s="110"/>
      <c r="N104" s="61"/>
      <c r="O104" s="61"/>
      <c r="P104" s="61"/>
      <c r="Q104" s="61"/>
      <c r="R104" s="61"/>
    </row>
    <row r="105">
      <c r="A105" s="65"/>
      <c r="B105" s="65"/>
      <c r="C105" s="65"/>
      <c r="D105" s="65"/>
      <c r="E105" s="65"/>
      <c r="F105" s="65"/>
      <c r="G105" s="65"/>
      <c r="H105" s="65"/>
      <c r="I105" s="65"/>
      <c r="J105" s="108"/>
      <c r="K105" s="108"/>
      <c r="L105" s="103"/>
      <c r="M105" s="111"/>
      <c r="N105" s="65"/>
      <c r="O105" s="65"/>
      <c r="P105" s="65"/>
      <c r="Q105" s="65"/>
      <c r="R105" s="65"/>
    </row>
    <row r="106">
      <c r="A106" s="61"/>
      <c r="B106" s="61"/>
      <c r="C106" s="61"/>
      <c r="D106" s="61"/>
      <c r="E106" s="61"/>
      <c r="F106" s="61"/>
      <c r="G106" s="61"/>
      <c r="H106" s="61"/>
      <c r="I106" s="61"/>
      <c r="J106" s="107"/>
      <c r="K106" s="107"/>
      <c r="L106" s="100"/>
      <c r="M106" s="110"/>
      <c r="N106" s="61"/>
      <c r="O106" s="61"/>
      <c r="P106" s="61"/>
      <c r="Q106" s="61"/>
      <c r="R106" s="61"/>
    </row>
    <row r="107">
      <c r="A107" s="65"/>
      <c r="B107" s="65"/>
      <c r="C107" s="65"/>
      <c r="D107" s="65"/>
      <c r="E107" s="65"/>
      <c r="F107" s="65"/>
      <c r="G107" s="65"/>
      <c r="H107" s="65"/>
      <c r="I107" s="65"/>
      <c r="J107" s="108"/>
      <c r="K107" s="108"/>
      <c r="L107" s="103"/>
      <c r="M107" s="111"/>
      <c r="N107" s="65"/>
      <c r="O107" s="65"/>
      <c r="P107" s="65"/>
      <c r="Q107" s="65"/>
      <c r="R107" s="65"/>
    </row>
    <row r="108">
      <c r="A108" s="61"/>
      <c r="B108" s="61"/>
      <c r="C108" s="61"/>
      <c r="D108" s="61"/>
      <c r="E108" s="61"/>
      <c r="F108" s="61"/>
      <c r="G108" s="61"/>
      <c r="H108" s="61"/>
      <c r="I108" s="61"/>
      <c r="J108" s="107"/>
      <c r="K108" s="107"/>
      <c r="L108" s="100"/>
      <c r="M108" s="110"/>
      <c r="N108" s="61"/>
      <c r="O108" s="61"/>
      <c r="P108" s="61"/>
      <c r="Q108" s="61"/>
      <c r="R108" s="61"/>
    </row>
    <row r="109">
      <c r="A109" s="65"/>
      <c r="B109" s="65"/>
      <c r="C109" s="65"/>
      <c r="D109" s="65"/>
      <c r="E109" s="65"/>
      <c r="F109" s="65"/>
      <c r="G109" s="65"/>
      <c r="H109" s="65"/>
      <c r="I109" s="65"/>
      <c r="J109" s="108"/>
      <c r="K109" s="108"/>
      <c r="L109" s="103"/>
      <c r="M109" s="111"/>
      <c r="N109" s="65"/>
      <c r="O109" s="65"/>
      <c r="P109" s="65"/>
      <c r="Q109" s="65"/>
      <c r="R109" s="65"/>
    </row>
    <row r="110">
      <c r="A110" s="61"/>
      <c r="B110" s="61"/>
      <c r="C110" s="61"/>
      <c r="D110" s="61"/>
      <c r="E110" s="61"/>
      <c r="F110" s="61"/>
      <c r="G110" s="61"/>
      <c r="H110" s="61"/>
      <c r="I110" s="61"/>
      <c r="J110" s="107"/>
      <c r="K110" s="107"/>
      <c r="L110" s="100"/>
      <c r="M110" s="110"/>
      <c r="N110" s="61"/>
      <c r="O110" s="61"/>
      <c r="P110" s="61"/>
      <c r="Q110" s="61"/>
      <c r="R110" s="61"/>
    </row>
    <row r="111">
      <c r="A111" s="65"/>
      <c r="B111" s="65"/>
      <c r="C111" s="65"/>
      <c r="D111" s="65"/>
      <c r="E111" s="65"/>
      <c r="F111" s="65"/>
      <c r="G111" s="65"/>
      <c r="H111" s="65"/>
      <c r="I111" s="65"/>
      <c r="J111" s="108"/>
      <c r="K111" s="108"/>
      <c r="L111" s="103"/>
      <c r="M111" s="111"/>
      <c r="N111" s="65"/>
      <c r="O111" s="65"/>
      <c r="P111" s="65"/>
      <c r="Q111" s="65"/>
      <c r="R111" s="65"/>
    </row>
    <row r="112">
      <c r="A112" s="61"/>
      <c r="B112" s="61"/>
      <c r="C112" s="61"/>
      <c r="D112" s="61"/>
      <c r="E112" s="61"/>
      <c r="F112" s="61"/>
      <c r="G112" s="61"/>
      <c r="H112" s="61"/>
      <c r="I112" s="61"/>
      <c r="J112" s="107"/>
      <c r="K112" s="107"/>
      <c r="L112" s="100"/>
      <c r="M112" s="110"/>
      <c r="N112" s="61"/>
      <c r="O112" s="61"/>
      <c r="P112" s="61"/>
      <c r="Q112" s="61"/>
      <c r="R112" s="61"/>
    </row>
    <row r="113">
      <c r="A113" s="65"/>
      <c r="B113" s="65"/>
      <c r="C113" s="65"/>
      <c r="D113" s="65"/>
      <c r="E113" s="65"/>
      <c r="F113" s="65"/>
      <c r="G113" s="65"/>
      <c r="H113" s="65"/>
      <c r="I113" s="65"/>
      <c r="J113" s="108"/>
      <c r="K113" s="108"/>
      <c r="L113" s="103"/>
      <c r="M113" s="111"/>
      <c r="N113" s="65"/>
      <c r="O113" s="65"/>
      <c r="P113" s="65"/>
      <c r="Q113" s="65"/>
      <c r="R113" s="65"/>
    </row>
    <row r="114">
      <c r="A114" s="61"/>
      <c r="B114" s="61"/>
      <c r="C114" s="61"/>
      <c r="D114" s="61"/>
      <c r="E114" s="61"/>
      <c r="F114" s="61"/>
      <c r="G114" s="61"/>
      <c r="H114" s="61"/>
      <c r="I114" s="61"/>
      <c r="J114" s="107"/>
      <c r="K114" s="107"/>
      <c r="L114" s="100"/>
      <c r="M114" s="110"/>
      <c r="N114" s="61"/>
      <c r="O114" s="61"/>
      <c r="P114" s="61"/>
      <c r="Q114" s="61"/>
      <c r="R114" s="61"/>
    </row>
    <row r="115">
      <c r="A115" s="65"/>
      <c r="B115" s="65"/>
      <c r="C115" s="65"/>
      <c r="D115" s="65"/>
      <c r="E115" s="65"/>
      <c r="F115" s="65"/>
      <c r="G115" s="65"/>
      <c r="H115" s="65"/>
      <c r="I115" s="65"/>
      <c r="J115" s="108"/>
      <c r="K115" s="108"/>
      <c r="L115" s="103"/>
      <c r="M115" s="111"/>
      <c r="N115" s="65"/>
      <c r="O115" s="65"/>
      <c r="P115" s="65"/>
      <c r="Q115" s="65"/>
      <c r="R115" s="65"/>
    </row>
    <row r="116">
      <c r="A116" s="61"/>
      <c r="B116" s="61"/>
      <c r="C116" s="61"/>
      <c r="D116" s="61"/>
      <c r="E116" s="61"/>
      <c r="F116" s="61"/>
      <c r="G116" s="61"/>
      <c r="H116" s="61"/>
      <c r="I116" s="61"/>
      <c r="J116" s="107"/>
      <c r="K116" s="107"/>
      <c r="L116" s="100"/>
      <c r="M116" s="110"/>
      <c r="N116" s="61"/>
      <c r="O116" s="61"/>
      <c r="P116" s="61"/>
      <c r="Q116" s="61"/>
      <c r="R116" s="61"/>
    </row>
    <row r="117">
      <c r="A117" s="65"/>
      <c r="B117" s="65"/>
      <c r="C117" s="65"/>
      <c r="D117" s="65"/>
      <c r="E117" s="65"/>
      <c r="F117" s="65"/>
      <c r="G117" s="65"/>
      <c r="H117" s="65"/>
      <c r="I117" s="65"/>
      <c r="J117" s="108"/>
      <c r="K117" s="108"/>
      <c r="L117" s="103"/>
      <c r="M117" s="111"/>
      <c r="N117" s="65"/>
      <c r="O117" s="65"/>
      <c r="P117" s="65"/>
      <c r="Q117" s="65"/>
      <c r="R117" s="65"/>
    </row>
    <row r="118">
      <c r="A118" s="61"/>
      <c r="B118" s="61"/>
      <c r="C118" s="61"/>
      <c r="D118" s="61"/>
      <c r="E118" s="61"/>
      <c r="F118" s="61"/>
      <c r="G118" s="61"/>
      <c r="H118" s="61"/>
      <c r="I118" s="61"/>
      <c r="J118" s="107"/>
      <c r="K118" s="107"/>
      <c r="L118" s="100"/>
      <c r="M118" s="110"/>
      <c r="N118" s="61"/>
      <c r="O118" s="61"/>
      <c r="P118" s="61"/>
      <c r="Q118" s="61"/>
      <c r="R118" s="61"/>
    </row>
    <row r="119">
      <c r="A119" s="65"/>
      <c r="B119" s="65"/>
      <c r="C119" s="65"/>
      <c r="D119" s="65"/>
      <c r="E119" s="65"/>
      <c r="F119" s="65"/>
      <c r="G119" s="65"/>
      <c r="H119" s="65"/>
      <c r="I119" s="65"/>
      <c r="J119" s="108"/>
      <c r="K119" s="108"/>
      <c r="L119" s="103"/>
      <c r="M119" s="111"/>
      <c r="N119" s="65"/>
      <c r="O119" s="65"/>
      <c r="P119" s="65"/>
      <c r="Q119" s="65"/>
      <c r="R119" s="65"/>
    </row>
    <row r="120">
      <c r="A120" s="61"/>
      <c r="B120" s="61"/>
      <c r="C120" s="61"/>
      <c r="D120" s="61"/>
      <c r="E120" s="61"/>
      <c r="F120" s="61"/>
      <c r="G120" s="61"/>
      <c r="H120" s="61"/>
      <c r="I120" s="61"/>
      <c r="J120" s="107"/>
      <c r="K120" s="107"/>
      <c r="L120" s="100"/>
      <c r="M120" s="110"/>
      <c r="N120" s="61"/>
      <c r="O120" s="61"/>
      <c r="P120" s="61"/>
      <c r="Q120" s="61"/>
      <c r="R120" s="61"/>
    </row>
    <row r="121">
      <c r="A121" s="65"/>
      <c r="B121" s="65"/>
      <c r="C121" s="65"/>
      <c r="D121" s="65"/>
      <c r="E121" s="65"/>
      <c r="F121" s="65"/>
      <c r="G121" s="65"/>
      <c r="H121" s="65"/>
      <c r="I121" s="65"/>
      <c r="J121" s="108"/>
      <c r="K121" s="108"/>
      <c r="L121" s="103"/>
      <c r="M121" s="111"/>
      <c r="N121" s="65"/>
      <c r="O121" s="65"/>
      <c r="P121" s="65"/>
      <c r="Q121" s="65"/>
      <c r="R121" s="65"/>
    </row>
    <row r="122">
      <c r="A122" s="61"/>
      <c r="B122" s="61"/>
      <c r="C122" s="61"/>
      <c r="D122" s="61"/>
      <c r="E122" s="61"/>
      <c r="F122" s="61"/>
      <c r="G122" s="61"/>
      <c r="H122" s="61"/>
      <c r="I122" s="61"/>
      <c r="J122" s="107"/>
      <c r="K122" s="107"/>
      <c r="L122" s="100"/>
      <c r="M122" s="110"/>
      <c r="N122" s="61"/>
      <c r="O122" s="61"/>
      <c r="P122" s="61"/>
      <c r="Q122" s="61"/>
      <c r="R122" s="61"/>
    </row>
    <row r="123">
      <c r="A123" s="65"/>
      <c r="B123" s="65"/>
      <c r="C123" s="65"/>
      <c r="D123" s="65"/>
      <c r="E123" s="65"/>
      <c r="F123" s="65"/>
      <c r="G123" s="65"/>
      <c r="H123" s="65"/>
      <c r="I123" s="65"/>
      <c r="J123" s="108"/>
      <c r="K123" s="108"/>
      <c r="L123" s="103"/>
      <c r="M123" s="111"/>
      <c r="N123" s="65"/>
      <c r="O123" s="65"/>
      <c r="P123" s="65"/>
      <c r="Q123" s="65"/>
      <c r="R123" s="65"/>
    </row>
    <row r="124">
      <c r="A124" s="61"/>
      <c r="B124" s="61"/>
      <c r="C124" s="61"/>
      <c r="D124" s="61"/>
      <c r="E124" s="61"/>
      <c r="F124" s="61"/>
      <c r="G124" s="61"/>
      <c r="H124" s="61"/>
      <c r="I124" s="61"/>
      <c r="J124" s="107"/>
      <c r="K124" s="107"/>
      <c r="L124" s="100"/>
      <c r="M124" s="110"/>
      <c r="N124" s="61"/>
      <c r="O124" s="61"/>
      <c r="P124" s="61"/>
      <c r="Q124" s="61"/>
      <c r="R124" s="61"/>
    </row>
    <row r="125">
      <c r="A125" s="65"/>
      <c r="B125" s="65"/>
      <c r="C125" s="65"/>
      <c r="D125" s="65"/>
      <c r="E125" s="65"/>
      <c r="F125" s="65"/>
      <c r="G125" s="65"/>
      <c r="H125" s="65"/>
      <c r="I125" s="65"/>
      <c r="J125" s="108"/>
      <c r="K125" s="108"/>
      <c r="L125" s="103"/>
      <c r="M125" s="111"/>
      <c r="N125" s="65"/>
      <c r="O125" s="65"/>
      <c r="P125" s="65"/>
      <c r="Q125" s="65"/>
      <c r="R125" s="65"/>
    </row>
    <row r="126">
      <c r="A126" s="61"/>
      <c r="B126" s="61"/>
      <c r="C126" s="61"/>
      <c r="D126" s="61"/>
      <c r="E126" s="61"/>
      <c r="F126" s="61"/>
      <c r="G126" s="61"/>
      <c r="H126" s="61"/>
      <c r="I126" s="61"/>
      <c r="J126" s="107"/>
      <c r="K126" s="107"/>
      <c r="L126" s="100"/>
      <c r="M126" s="110"/>
      <c r="N126" s="61"/>
      <c r="O126" s="61"/>
      <c r="P126" s="61"/>
      <c r="Q126" s="61"/>
      <c r="R126" s="61"/>
    </row>
    <row r="127">
      <c r="A127" s="65"/>
      <c r="B127" s="65"/>
      <c r="C127" s="65"/>
      <c r="D127" s="65"/>
      <c r="E127" s="65"/>
      <c r="F127" s="65"/>
      <c r="G127" s="65"/>
      <c r="H127" s="65"/>
      <c r="I127" s="65"/>
      <c r="J127" s="108"/>
      <c r="K127" s="108"/>
      <c r="L127" s="103"/>
      <c r="M127" s="111"/>
      <c r="N127" s="65"/>
      <c r="O127" s="65"/>
      <c r="P127" s="65"/>
      <c r="Q127" s="65"/>
      <c r="R127" s="65"/>
    </row>
    <row r="128">
      <c r="A128" s="61"/>
      <c r="B128" s="61"/>
      <c r="C128" s="61"/>
      <c r="D128" s="61"/>
      <c r="E128" s="61"/>
      <c r="F128" s="61"/>
      <c r="G128" s="61"/>
      <c r="H128" s="61"/>
      <c r="I128" s="61"/>
      <c r="J128" s="107"/>
      <c r="K128" s="107"/>
      <c r="L128" s="100"/>
      <c r="M128" s="110"/>
      <c r="N128" s="61"/>
      <c r="O128" s="61"/>
      <c r="P128" s="61"/>
      <c r="Q128" s="61"/>
      <c r="R128" s="61"/>
    </row>
    <row r="129">
      <c r="A129" s="65"/>
      <c r="B129" s="65"/>
      <c r="C129" s="65"/>
      <c r="D129" s="65"/>
      <c r="E129" s="65"/>
      <c r="F129" s="65"/>
      <c r="G129" s="65"/>
      <c r="H129" s="65"/>
      <c r="I129" s="65"/>
      <c r="J129" s="108"/>
      <c r="K129" s="108"/>
      <c r="L129" s="103"/>
      <c r="M129" s="111"/>
      <c r="N129" s="65"/>
      <c r="O129" s="65"/>
      <c r="P129" s="65"/>
      <c r="Q129" s="65"/>
      <c r="R129" s="65"/>
    </row>
    <row r="130">
      <c r="A130" s="61"/>
      <c r="B130" s="61"/>
      <c r="C130" s="61"/>
      <c r="D130" s="61"/>
      <c r="E130" s="61"/>
      <c r="F130" s="61"/>
      <c r="G130" s="61"/>
      <c r="H130" s="61"/>
      <c r="I130" s="61"/>
      <c r="J130" s="107"/>
      <c r="K130" s="107"/>
      <c r="L130" s="100"/>
      <c r="M130" s="110"/>
      <c r="N130" s="61"/>
      <c r="O130" s="61"/>
      <c r="P130" s="61"/>
      <c r="Q130" s="61"/>
      <c r="R130" s="61"/>
    </row>
    <row r="131">
      <c r="A131" s="65"/>
      <c r="B131" s="65"/>
      <c r="C131" s="65"/>
      <c r="D131" s="65"/>
      <c r="E131" s="65"/>
      <c r="F131" s="65"/>
      <c r="G131" s="65"/>
      <c r="H131" s="65"/>
      <c r="I131" s="65"/>
      <c r="J131" s="108"/>
      <c r="K131" s="108"/>
      <c r="L131" s="103"/>
      <c r="M131" s="111"/>
      <c r="N131" s="65"/>
      <c r="O131" s="65"/>
      <c r="P131" s="65"/>
      <c r="Q131" s="65"/>
      <c r="R131" s="65"/>
    </row>
    <row r="132">
      <c r="A132" s="61"/>
      <c r="B132" s="61"/>
      <c r="C132" s="61"/>
      <c r="D132" s="61"/>
      <c r="E132" s="61"/>
      <c r="F132" s="61"/>
      <c r="G132" s="61"/>
      <c r="H132" s="61"/>
      <c r="I132" s="61"/>
      <c r="J132" s="107"/>
      <c r="K132" s="107"/>
      <c r="L132" s="100"/>
      <c r="M132" s="110"/>
      <c r="N132" s="61"/>
      <c r="O132" s="61"/>
      <c r="P132" s="61"/>
      <c r="Q132" s="61"/>
      <c r="R132" s="61"/>
    </row>
    <row r="133">
      <c r="A133" s="65"/>
      <c r="B133" s="65"/>
      <c r="C133" s="65"/>
      <c r="D133" s="65"/>
      <c r="E133" s="65"/>
      <c r="F133" s="65"/>
      <c r="G133" s="65"/>
      <c r="H133" s="65"/>
      <c r="I133" s="65"/>
      <c r="J133" s="108"/>
      <c r="K133" s="108"/>
      <c r="L133" s="103"/>
      <c r="M133" s="111"/>
      <c r="N133" s="65"/>
      <c r="O133" s="65"/>
      <c r="P133" s="65"/>
      <c r="Q133" s="65"/>
      <c r="R133" s="65"/>
    </row>
    <row r="134">
      <c r="A134" s="61"/>
      <c r="B134" s="61"/>
      <c r="C134" s="61"/>
      <c r="D134" s="61"/>
      <c r="E134" s="61"/>
      <c r="F134" s="61"/>
      <c r="G134" s="61"/>
      <c r="H134" s="61"/>
      <c r="I134" s="61"/>
      <c r="J134" s="107"/>
      <c r="K134" s="107"/>
      <c r="L134" s="100"/>
      <c r="M134" s="110"/>
      <c r="N134" s="61"/>
      <c r="O134" s="61"/>
      <c r="P134" s="61"/>
      <c r="Q134" s="61"/>
      <c r="R134" s="61"/>
    </row>
    <row r="135">
      <c r="A135" s="65"/>
      <c r="B135" s="65"/>
      <c r="C135" s="65"/>
      <c r="D135" s="65"/>
      <c r="E135" s="65"/>
      <c r="F135" s="65"/>
      <c r="G135" s="65"/>
      <c r="H135" s="65"/>
      <c r="I135" s="65"/>
      <c r="J135" s="108"/>
      <c r="K135" s="108"/>
      <c r="L135" s="103"/>
      <c r="M135" s="111"/>
      <c r="N135" s="65"/>
      <c r="O135" s="65"/>
      <c r="P135" s="65"/>
      <c r="Q135" s="65"/>
      <c r="R135" s="65"/>
    </row>
    <row r="136">
      <c r="A136" s="61"/>
      <c r="B136" s="61"/>
      <c r="C136" s="61"/>
      <c r="D136" s="61"/>
      <c r="E136" s="61"/>
      <c r="F136" s="61"/>
      <c r="G136" s="61"/>
      <c r="H136" s="61"/>
      <c r="I136" s="61"/>
      <c r="J136" s="107"/>
      <c r="K136" s="107"/>
      <c r="L136" s="100"/>
      <c r="M136" s="110"/>
      <c r="N136" s="61"/>
      <c r="O136" s="61"/>
      <c r="P136" s="61"/>
      <c r="Q136" s="61"/>
      <c r="R136" s="61"/>
    </row>
    <row r="137">
      <c r="A137" s="65"/>
      <c r="B137" s="65"/>
      <c r="C137" s="65"/>
      <c r="D137" s="65"/>
      <c r="E137" s="65"/>
      <c r="F137" s="65"/>
      <c r="G137" s="65"/>
      <c r="H137" s="65"/>
      <c r="I137" s="65"/>
      <c r="J137" s="108"/>
      <c r="K137" s="108"/>
      <c r="L137" s="103"/>
      <c r="M137" s="111"/>
      <c r="N137" s="65"/>
      <c r="O137" s="65"/>
      <c r="P137" s="65"/>
      <c r="Q137" s="65"/>
      <c r="R137" s="65"/>
    </row>
    <row r="138">
      <c r="A138" s="61"/>
      <c r="B138" s="61"/>
      <c r="C138" s="61"/>
      <c r="D138" s="61"/>
      <c r="E138" s="61"/>
      <c r="F138" s="61"/>
      <c r="G138" s="61"/>
      <c r="H138" s="61"/>
      <c r="I138" s="61"/>
      <c r="J138" s="107"/>
      <c r="K138" s="107"/>
      <c r="L138" s="100"/>
      <c r="M138" s="110"/>
      <c r="N138" s="61"/>
      <c r="O138" s="61"/>
      <c r="P138" s="61"/>
      <c r="Q138" s="61"/>
      <c r="R138" s="61"/>
    </row>
    <row r="139">
      <c r="A139" s="65"/>
      <c r="B139" s="65"/>
      <c r="C139" s="65"/>
      <c r="D139" s="65"/>
      <c r="E139" s="65"/>
      <c r="F139" s="65"/>
      <c r="G139" s="65"/>
      <c r="H139" s="65"/>
      <c r="I139" s="65"/>
      <c r="J139" s="108"/>
      <c r="K139" s="108"/>
      <c r="L139" s="103"/>
      <c r="M139" s="111"/>
      <c r="N139" s="65"/>
      <c r="O139" s="65"/>
      <c r="P139" s="65"/>
      <c r="Q139" s="65"/>
      <c r="R139" s="65"/>
    </row>
    <row r="140">
      <c r="A140" s="61"/>
      <c r="B140" s="61"/>
      <c r="C140" s="61"/>
      <c r="D140" s="61"/>
      <c r="E140" s="61"/>
      <c r="F140" s="61"/>
      <c r="G140" s="61"/>
      <c r="H140" s="61"/>
      <c r="I140" s="61"/>
      <c r="J140" s="107"/>
      <c r="K140" s="107"/>
      <c r="L140" s="100"/>
      <c r="M140" s="110"/>
      <c r="N140" s="61"/>
      <c r="O140" s="61"/>
      <c r="P140" s="61"/>
      <c r="Q140" s="61"/>
      <c r="R140" s="61"/>
    </row>
    <row r="141">
      <c r="A141" s="65"/>
      <c r="B141" s="65"/>
      <c r="C141" s="65"/>
      <c r="D141" s="65"/>
      <c r="E141" s="65"/>
      <c r="F141" s="65"/>
      <c r="G141" s="65"/>
      <c r="H141" s="65"/>
      <c r="I141" s="65"/>
      <c r="J141" s="108"/>
      <c r="K141" s="108"/>
      <c r="L141" s="103"/>
      <c r="M141" s="111"/>
      <c r="N141" s="65"/>
      <c r="O141" s="65"/>
      <c r="P141" s="65"/>
      <c r="Q141" s="65"/>
      <c r="R141" s="65"/>
    </row>
    <row r="142">
      <c r="A142" s="61"/>
      <c r="B142" s="61"/>
      <c r="C142" s="61"/>
      <c r="D142" s="61"/>
      <c r="E142" s="61"/>
      <c r="F142" s="61"/>
      <c r="G142" s="61"/>
      <c r="H142" s="61"/>
      <c r="I142" s="61"/>
      <c r="J142" s="107"/>
      <c r="K142" s="107"/>
      <c r="L142" s="100"/>
      <c r="M142" s="110"/>
      <c r="N142" s="61"/>
      <c r="O142" s="61"/>
      <c r="P142" s="61"/>
      <c r="Q142" s="61"/>
      <c r="R142" s="61"/>
    </row>
    <row r="143">
      <c r="A143" s="65"/>
      <c r="B143" s="65"/>
      <c r="C143" s="65"/>
      <c r="D143" s="65"/>
      <c r="E143" s="65"/>
      <c r="F143" s="65"/>
      <c r="G143" s="65"/>
      <c r="H143" s="65"/>
      <c r="I143" s="65"/>
      <c r="J143" s="108"/>
      <c r="K143" s="108"/>
      <c r="L143" s="103"/>
      <c r="M143" s="111"/>
      <c r="N143" s="65"/>
      <c r="O143" s="65"/>
      <c r="P143" s="65"/>
      <c r="Q143" s="65"/>
      <c r="R143" s="65"/>
    </row>
    <row r="144">
      <c r="A144" s="61"/>
      <c r="B144" s="61"/>
      <c r="C144" s="61"/>
      <c r="D144" s="61"/>
      <c r="E144" s="61"/>
      <c r="F144" s="61"/>
      <c r="G144" s="61"/>
      <c r="H144" s="61"/>
      <c r="I144" s="61"/>
      <c r="J144" s="107"/>
      <c r="K144" s="107"/>
      <c r="L144" s="100"/>
      <c r="M144" s="110"/>
      <c r="N144" s="61"/>
      <c r="O144" s="61"/>
      <c r="P144" s="61"/>
      <c r="Q144" s="61"/>
      <c r="R144" s="61"/>
    </row>
    <row r="145">
      <c r="A145" s="65"/>
      <c r="B145" s="65"/>
      <c r="C145" s="65"/>
      <c r="D145" s="65"/>
      <c r="E145" s="65"/>
      <c r="F145" s="65"/>
      <c r="G145" s="65"/>
      <c r="H145" s="65"/>
      <c r="I145" s="65"/>
      <c r="J145" s="108"/>
      <c r="K145" s="108"/>
      <c r="L145" s="103"/>
      <c r="M145" s="111"/>
      <c r="N145" s="65"/>
      <c r="O145" s="65"/>
      <c r="P145" s="65"/>
      <c r="Q145" s="65"/>
      <c r="R145" s="65"/>
    </row>
    <row r="146">
      <c r="A146" s="61"/>
      <c r="B146" s="61"/>
      <c r="C146" s="61"/>
      <c r="D146" s="61"/>
      <c r="E146" s="61"/>
      <c r="F146" s="61"/>
      <c r="G146" s="61"/>
      <c r="H146" s="61"/>
      <c r="I146" s="61"/>
      <c r="J146" s="107"/>
      <c r="K146" s="107"/>
      <c r="L146" s="100"/>
      <c r="M146" s="110"/>
      <c r="N146" s="61"/>
      <c r="O146" s="61"/>
      <c r="P146" s="61"/>
      <c r="Q146" s="61"/>
      <c r="R146" s="61"/>
    </row>
    <row r="147">
      <c r="A147" s="65"/>
      <c r="B147" s="65"/>
      <c r="C147" s="65"/>
      <c r="D147" s="65"/>
      <c r="E147" s="65"/>
      <c r="F147" s="65"/>
      <c r="G147" s="65"/>
      <c r="H147" s="65"/>
      <c r="I147" s="65"/>
      <c r="J147" s="108"/>
      <c r="K147" s="108"/>
      <c r="L147" s="103"/>
      <c r="M147" s="111"/>
      <c r="N147" s="65"/>
      <c r="O147" s="65"/>
      <c r="P147" s="65"/>
      <c r="Q147" s="65"/>
      <c r="R147" s="65"/>
    </row>
    <row r="148">
      <c r="A148" s="61"/>
      <c r="B148" s="61"/>
      <c r="C148" s="61"/>
      <c r="D148" s="61"/>
      <c r="E148" s="61"/>
      <c r="F148" s="61"/>
      <c r="G148" s="61"/>
      <c r="H148" s="61"/>
      <c r="I148" s="61"/>
      <c r="J148" s="107"/>
      <c r="K148" s="107"/>
      <c r="L148" s="100"/>
      <c r="M148" s="110"/>
      <c r="N148" s="61"/>
      <c r="O148" s="61"/>
      <c r="P148" s="61"/>
      <c r="Q148" s="61"/>
      <c r="R148" s="61"/>
    </row>
    <row r="149">
      <c r="A149" s="65"/>
      <c r="B149" s="65"/>
      <c r="C149" s="65"/>
      <c r="D149" s="65"/>
      <c r="E149" s="65"/>
      <c r="F149" s="65"/>
      <c r="G149" s="65"/>
      <c r="H149" s="65"/>
      <c r="I149" s="65"/>
      <c r="J149" s="108"/>
      <c r="K149" s="108"/>
      <c r="L149" s="103"/>
      <c r="M149" s="111"/>
      <c r="N149" s="65"/>
      <c r="O149" s="65"/>
      <c r="P149" s="65"/>
      <c r="Q149" s="65"/>
      <c r="R149" s="65"/>
    </row>
    <row r="150">
      <c r="A150" s="61"/>
      <c r="B150" s="61"/>
      <c r="C150" s="61"/>
      <c r="D150" s="61"/>
      <c r="E150" s="61"/>
      <c r="F150" s="61"/>
      <c r="G150" s="61"/>
      <c r="H150" s="61"/>
      <c r="I150" s="61"/>
      <c r="J150" s="107"/>
      <c r="K150" s="107"/>
      <c r="L150" s="100"/>
      <c r="M150" s="110"/>
      <c r="N150" s="61"/>
      <c r="O150" s="61"/>
      <c r="P150" s="61"/>
      <c r="Q150" s="61"/>
      <c r="R150" s="61"/>
    </row>
    <row r="151">
      <c r="A151" s="65"/>
      <c r="B151" s="65"/>
      <c r="C151" s="65"/>
      <c r="D151" s="65"/>
      <c r="E151" s="65"/>
      <c r="F151" s="65"/>
      <c r="G151" s="65"/>
      <c r="H151" s="65"/>
      <c r="I151" s="65"/>
      <c r="J151" s="108"/>
      <c r="K151" s="108"/>
      <c r="L151" s="103"/>
      <c r="M151" s="111"/>
      <c r="N151" s="65"/>
      <c r="O151" s="65"/>
      <c r="P151" s="65"/>
      <c r="Q151" s="65"/>
      <c r="R151" s="65"/>
    </row>
    <row r="152">
      <c r="A152" s="61"/>
      <c r="B152" s="61"/>
      <c r="C152" s="61"/>
      <c r="D152" s="61"/>
      <c r="E152" s="61"/>
      <c r="F152" s="61"/>
      <c r="G152" s="61"/>
      <c r="H152" s="61"/>
      <c r="I152" s="61"/>
      <c r="J152" s="107"/>
      <c r="K152" s="107"/>
      <c r="L152" s="100"/>
      <c r="M152" s="110"/>
      <c r="N152" s="61"/>
      <c r="O152" s="61"/>
      <c r="P152" s="61"/>
      <c r="Q152" s="61"/>
      <c r="R152" s="61"/>
    </row>
    <row r="153">
      <c r="A153" s="65"/>
      <c r="B153" s="65"/>
      <c r="C153" s="65"/>
      <c r="D153" s="65"/>
      <c r="E153" s="65"/>
      <c r="F153" s="65"/>
      <c r="G153" s="65"/>
      <c r="H153" s="65"/>
      <c r="I153" s="65"/>
      <c r="J153" s="108"/>
      <c r="K153" s="108"/>
      <c r="L153" s="103"/>
      <c r="M153" s="111"/>
      <c r="N153" s="65"/>
      <c r="O153" s="65"/>
      <c r="P153" s="65"/>
      <c r="Q153" s="65"/>
      <c r="R153" s="65"/>
    </row>
    <row r="154">
      <c r="A154" s="61"/>
      <c r="B154" s="61"/>
      <c r="C154" s="61"/>
      <c r="D154" s="61"/>
      <c r="E154" s="61"/>
      <c r="F154" s="61"/>
      <c r="G154" s="61"/>
      <c r="H154" s="61"/>
      <c r="I154" s="61"/>
      <c r="J154" s="107"/>
      <c r="K154" s="107"/>
      <c r="L154" s="100"/>
      <c r="M154" s="110"/>
      <c r="N154" s="61"/>
      <c r="O154" s="61"/>
      <c r="P154" s="61"/>
      <c r="Q154" s="61"/>
      <c r="R154" s="61"/>
    </row>
    <row r="155">
      <c r="A155" s="65"/>
      <c r="B155" s="65"/>
      <c r="C155" s="65"/>
      <c r="D155" s="65"/>
      <c r="E155" s="65"/>
      <c r="F155" s="65"/>
      <c r="G155" s="65"/>
      <c r="H155" s="65"/>
      <c r="I155" s="65"/>
      <c r="J155" s="108"/>
      <c r="K155" s="108"/>
      <c r="L155" s="103"/>
      <c r="M155" s="111"/>
      <c r="N155" s="65"/>
      <c r="O155" s="65"/>
      <c r="P155" s="65"/>
      <c r="Q155" s="65"/>
      <c r="R155" s="65"/>
    </row>
    <row r="156">
      <c r="A156" s="61"/>
      <c r="B156" s="61"/>
      <c r="C156" s="61"/>
      <c r="D156" s="61"/>
      <c r="E156" s="61"/>
      <c r="F156" s="61"/>
      <c r="G156" s="61"/>
      <c r="H156" s="61"/>
      <c r="I156" s="61"/>
      <c r="J156" s="107"/>
      <c r="K156" s="107"/>
      <c r="L156" s="100"/>
      <c r="M156" s="110"/>
      <c r="N156" s="61"/>
      <c r="O156" s="61"/>
      <c r="P156" s="61"/>
      <c r="Q156" s="61"/>
      <c r="R156" s="61"/>
    </row>
    <row r="157">
      <c r="A157" s="65"/>
      <c r="B157" s="65"/>
      <c r="C157" s="65"/>
      <c r="D157" s="65"/>
      <c r="E157" s="65"/>
      <c r="F157" s="65"/>
      <c r="G157" s="65"/>
      <c r="H157" s="65"/>
      <c r="I157" s="65"/>
      <c r="J157" s="108"/>
      <c r="K157" s="108"/>
      <c r="L157" s="103"/>
      <c r="M157" s="111"/>
      <c r="N157" s="65"/>
      <c r="O157" s="65"/>
      <c r="P157" s="65"/>
      <c r="Q157" s="65"/>
      <c r="R157" s="65"/>
    </row>
    <row r="158">
      <c r="A158" s="61"/>
      <c r="B158" s="61"/>
      <c r="C158" s="61"/>
      <c r="D158" s="61"/>
      <c r="E158" s="61"/>
      <c r="F158" s="61"/>
      <c r="G158" s="61"/>
      <c r="H158" s="61"/>
      <c r="I158" s="61"/>
      <c r="J158" s="107"/>
      <c r="K158" s="107"/>
      <c r="L158" s="100"/>
      <c r="M158" s="110"/>
      <c r="N158" s="61"/>
      <c r="O158" s="61"/>
      <c r="P158" s="61"/>
      <c r="Q158" s="61"/>
      <c r="R158" s="61"/>
    </row>
    <row r="159">
      <c r="A159" s="65"/>
      <c r="B159" s="65"/>
      <c r="C159" s="65"/>
      <c r="D159" s="65"/>
      <c r="E159" s="65"/>
      <c r="F159" s="65"/>
      <c r="G159" s="65"/>
      <c r="H159" s="65"/>
      <c r="I159" s="65"/>
      <c r="J159" s="108"/>
      <c r="K159" s="108"/>
      <c r="L159" s="103"/>
      <c r="M159" s="111"/>
      <c r="N159" s="65"/>
      <c r="O159" s="65"/>
      <c r="P159" s="65"/>
      <c r="Q159" s="65"/>
      <c r="R159" s="65"/>
    </row>
    <row r="160">
      <c r="A160" s="61"/>
      <c r="B160" s="61"/>
      <c r="C160" s="61"/>
      <c r="D160" s="61"/>
      <c r="E160" s="61"/>
      <c r="F160" s="61"/>
      <c r="G160" s="61"/>
      <c r="H160" s="61"/>
      <c r="I160" s="61"/>
      <c r="J160" s="107"/>
      <c r="K160" s="107"/>
      <c r="L160" s="100"/>
      <c r="M160" s="110"/>
      <c r="N160" s="61"/>
      <c r="O160" s="61"/>
      <c r="P160" s="61"/>
      <c r="Q160" s="61"/>
      <c r="R160" s="61"/>
    </row>
    <row r="161">
      <c r="A161" s="65"/>
      <c r="B161" s="65"/>
      <c r="C161" s="65"/>
      <c r="D161" s="65"/>
      <c r="E161" s="65"/>
      <c r="F161" s="65"/>
      <c r="G161" s="65"/>
      <c r="H161" s="65"/>
      <c r="I161" s="65"/>
      <c r="J161" s="108"/>
      <c r="K161" s="108"/>
      <c r="L161" s="103"/>
      <c r="M161" s="111"/>
      <c r="N161" s="65"/>
      <c r="O161" s="65"/>
      <c r="P161" s="65"/>
      <c r="Q161" s="65"/>
      <c r="R161" s="65"/>
    </row>
    <row r="162">
      <c r="A162" s="61"/>
      <c r="B162" s="61"/>
      <c r="C162" s="61"/>
      <c r="D162" s="61"/>
      <c r="E162" s="61"/>
      <c r="F162" s="61"/>
      <c r="G162" s="61"/>
      <c r="H162" s="61"/>
      <c r="I162" s="61"/>
      <c r="J162" s="107"/>
      <c r="K162" s="107"/>
      <c r="L162" s="100"/>
      <c r="M162" s="110"/>
      <c r="N162" s="61"/>
      <c r="O162" s="61"/>
      <c r="P162" s="61"/>
      <c r="Q162" s="61"/>
      <c r="R162" s="61"/>
    </row>
    <row r="163">
      <c r="A163" s="65"/>
      <c r="B163" s="65"/>
      <c r="C163" s="65"/>
      <c r="D163" s="65"/>
      <c r="E163" s="65"/>
      <c r="F163" s="65"/>
      <c r="G163" s="65"/>
      <c r="H163" s="65"/>
      <c r="I163" s="65"/>
      <c r="J163" s="108"/>
      <c r="K163" s="108"/>
      <c r="L163" s="103"/>
      <c r="M163" s="111"/>
      <c r="N163" s="65"/>
      <c r="O163" s="65"/>
      <c r="P163" s="65"/>
      <c r="Q163" s="65"/>
      <c r="R163" s="65"/>
    </row>
    <row r="164">
      <c r="A164" s="61"/>
      <c r="B164" s="61"/>
      <c r="C164" s="61"/>
      <c r="D164" s="61"/>
      <c r="E164" s="61"/>
      <c r="F164" s="61"/>
      <c r="G164" s="61"/>
      <c r="H164" s="61"/>
      <c r="I164" s="61"/>
      <c r="J164" s="107"/>
      <c r="K164" s="107"/>
      <c r="L164" s="100"/>
      <c r="M164" s="110"/>
      <c r="N164" s="61"/>
      <c r="O164" s="61"/>
      <c r="P164" s="61"/>
      <c r="Q164" s="61"/>
      <c r="R164" s="61"/>
    </row>
    <row r="165">
      <c r="A165" s="65"/>
      <c r="B165" s="65"/>
      <c r="C165" s="65"/>
      <c r="D165" s="65"/>
      <c r="E165" s="65"/>
      <c r="F165" s="65"/>
      <c r="G165" s="65"/>
      <c r="H165" s="65"/>
      <c r="I165" s="65"/>
      <c r="J165" s="108"/>
      <c r="K165" s="108"/>
      <c r="L165" s="103"/>
      <c r="M165" s="111"/>
      <c r="N165" s="65"/>
      <c r="O165" s="65"/>
      <c r="P165" s="65"/>
      <c r="Q165" s="65"/>
      <c r="R165" s="65"/>
    </row>
    <row r="166">
      <c r="A166" s="61"/>
      <c r="B166" s="61"/>
      <c r="C166" s="61"/>
      <c r="D166" s="61"/>
      <c r="E166" s="61"/>
      <c r="F166" s="61"/>
      <c r="G166" s="61"/>
      <c r="H166" s="61"/>
      <c r="I166" s="61"/>
      <c r="J166" s="107"/>
      <c r="K166" s="107"/>
      <c r="L166" s="100"/>
      <c r="M166" s="110"/>
      <c r="N166" s="61"/>
      <c r="O166" s="61"/>
      <c r="P166" s="61"/>
      <c r="Q166" s="61"/>
      <c r="R166" s="61"/>
    </row>
    <row r="167">
      <c r="A167" s="65"/>
      <c r="B167" s="65"/>
      <c r="C167" s="65"/>
      <c r="D167" s="65"/>
      <c r="E167" s="65"/>
      <c r="F167" s="65"/>
      <c r="G167" s="65"/>
      <c r="H167" s="65"/>
      <c r="I167" s="65"/>
      <c r="J167" s="108"/>
      <c r="K167" s="108"/>
      <c r="L167" s="103"/>
      <c r="M167" s="111"/>
      <c r="N167" s="65"/>
      <c r="O167" s="65"/>
      <c r="P167" s="65"/>
      <c r="Q167" s="65"/>
      <c r="R167" s="65"/>
    </row>
    <row r="168">
      <c r="A168" s="61"/>
      <c r="B168" s="61"/>
      <c r="C168" s="61"/>
      <c r="D168" s="61"/>
      <c r="E168" s="61"/>
      <c r="F168" s="61"/>
      <c r="G168" s="61"/>
      <c r="H168" s="61"/>
      <c r="I168" s="61"/>
      <c r="J168" s="107"/>
      <c r="K168" s="107"/>
      <c r="L168" s="100"/>
      <c r="M168" s="110"/>
      <c r="N168" s="61"/>
      <c r="O168" s="61"/>
      <c r="P168" s="61"/>
      <c r="Q168" s="61"/>
      <c r="R168" s="61"/>
    </row>
    <row r="169">
      <c r="A169" s="65"/>
      <c r="B169" s="65"/>
      <c r="C169" s="65"/>
      <c r="D169" s="65"/>
      <c r="E169" s="65"/>
      <c r="F169" s="65"/>
      <c r="G169" s="65"/>
      <c r="H169" s="65"/>
      <c r="I169" s="65"/>
      <c r="J169" s="108"/>
      <c r="K169" s="108"/>
      <c r="L169" s="103"/>
      <c r="M169" s="111"/>
      <c r="N169" s="65"/>
      <c r="O169" s="65"/>
      <c r="P169" s="65"/>
      <c r="Q169" s="65"/>
      <c r="R169" s="65"/>
    </row>
    <row r="170">
      <c r="A170" s="61"/>
      <c r="B170" s="61"/>
      <c r="C170" s="61"/>
      <c r="D170" s="61"/>
      <c r="E170" s="61"/>
      <c r="F170" s="61"/>
      <c r="G170" s="61"/>
      <c r="H170" s="61"/>
      <c r="I170" s="61"/>
      <c r="J170" s="107"/>
      <c r="K170" s="107"/>
      <c r="L170" s="100"/>
      <c r="M170" s="110"/>
      <c r="N170" s="61"/>
      <c r="O170" s="61"/>
      <c r="P170" s="61"/>
      <c r="Q170" s="61"/>
      <c r="R170" s="61"/>
    </row>
    <row r="171">
      <c r="A171" s="65"/>
      <c r="B171" s="65"/>
      <c r="C171" s="65"/>
      <c r="D171" s="65"/>
      <c r="E171" s="65"/>
      <c r="F171" s="65"/>
      <c r="G171" s="65"/>
      <c r="H171" s="65"/>
      <c r="I171" s="65"/>
      <c r="J171" s="108"/>
      <c r="K171" s="108"/>
      <c r="L171" s="103"/>
      <c r="M171" s="111"/>
      <c r="N171" s="65"/>
      <c r="O171" s="65"/>
      <c r="P171" s="65"/>
      <c r="Q171" s="65"/>
      <c r="R171" s="65"/>
    </row>
    <row r="172">
      <c r="A172" s="61"/>
      <c r="B172" s="61"/>
      <c r="C172" s="61"/>
      <c r="D172" s="61"/>
      <c r="E172" s="61"/>
      <c r="F172" s="61"/>
      <c r="G172" s="61"/>
      <c r="H172" s="61"/>
      <c r="I172" s="61"/>
      <c r="J172" s="107"/>
      <c r="K172" s="107"/>
      <c r="L172" s="100"/>
      <c r="M172" s="110"/>
      <c r="N172" s="61"/>
      <c r="O172" s="61"/>
      <c r="P172" s="61"/>
      <c r="Q172" s="61"/>
      <c r="R172" s="61"/>
    </row>
    <row r="173">
      <c r="A173" s="65"/>
      <c r="B173" s="65"/>
      <c r="C173" s="65"/>
      <c r="D173" s="65"/>
      <c r="E173" s="65"/>
      <c r="F173" s="65"/>
      <c r="G173" s="65"/>
      <c r="H173" s="65"/>
      <c r="I173" s="65"/>
      <c r="J173" s="108"/>
      <c r="K173" s="108"/>
      <c r="L173" s="103"/>
      <c r="M173" s="111"/>
      <c r="N173" s="65"/>
      <c r="O173" s="65"/>
      <c r="P173" s="65"/>
      <c r="Q173" s="65"/>
      <c r="R173" s="65"/>
    </row>
    <row r="174">
      <c r="A174" s="61"/>
      <c r="B174" s="61"/>
      <c r="C174" s="61"/>
      <c r="D174" s="61"/>
      <c r="E174" s="61"/>
      <c r="F174" s="61"/>
      <c r="G174" s="61"/>
      <c r="H174" s="61"/>
      <c r="I174" s="61"/>
      <c r="J174" s="107"/>
      <c r="K174" s="107"/>
      <c r="L174" s="100"/>
      <c r="M174" s="110"/>
      <c r="N174" s="61"/>
      <c r="O174" s="61"/>
      <c r="P174" s="61"/>
      <c r="Q174" s="61"/>
      <c r="R174" s="61"/>
    </row>
    <row r="175">
      <c r="A175" s="65"/>
      <c r="B175" s="65"/>
      <c r="C175" s="65"/>
      <c r="D175" s="65"/>
      <c r="E175" s="65"/>
      <c r="F175" s="65"/>
      <c r="G175" s="65"/>
      <c r="H175" s="65"/>
      <c r="I175" s="65"/>
      <c r="J175" s="108"/>
      <c r="K175" s="108"/>
      <c r="L175" s="103"/>
      <c r="M175" s="111"/>
      <c r="N175" s="65"/>
      <c r="O175" s="65"/>
      <c r="P175" s="65"/>
      <c r="Q175" s="65"/>
      <c r="R175" s="65"/>
    </row>
    <row r="176">
      <c r="A176" s="61"/>
      <c r="B176" s="61"/>
      <c r="C176" s="61"/>
      <c r="D176" s="61"/>
      <c r="E176" s="61"/>
      <c r="F176" s="61"/>
      <c r="G176" s="61"/>
      <c r="H176" s="61"/>
      <c r="I176" s="61"/>
      <c r="J176" s="107"/>
      <c r="K176" s="107"/>
      <c r="L176" s="100"/>
      <c r="M176" s="110"/>
      <c r="N176" s="61"/>
      <c r="O176" s="61"/>
      <c r="P176" s="61"/>
      <c r="Q176" s="61"/>
      <c r="R176" s="61"/>
    </row>
    <row r="177">
      <c r="A177" s="65"/>
      <c r="B177" s="65"/>
      <c r="C177" s="65"/>
      <c r="D177" s="65"/>
      <c r="E177" s="65"/>
      <c r="F177" s="65"/>
      <c r="G177" s="65"/>
      <c r="H177" s="65"/>
      <c r="I177" s="65"/>
      <c r="J177" s="108"/>
      <c r="K177" s="108"/>
      <c r="L177" s="103"/>
      <c r="M177" s="111"/>
      <c r="N177" s="65"/>
      <c r="O177" s="65"/>
      <c r="P177" s="65"/>
      <c r="Q177" s="65"/>
      <c r="R177" s="65"/>
    </row>
    <row r="178">
      <c r="A178" s="61"/>
      <c r="B178" s="61"/>
      <c r="C178" s="61"/>
      <c r="D178" s="61"/>
      <c r="E178" s="61"/>
      <c r="F178" s="61"/>
      <c r="G178" s="61"/>
      <c r="H178" s="61"/>
      <c r="I178" s="61"/>
      <c r="J178" s="107"/>
      <c r="K178" s="107"/>
      <c r="L178" s="100"/>
      <c r="M178" s="110"/>
      <c r="N178" s="61"/>
      <c r="O178" s="61"/>
      <c r="P178" s="61"/>
      <c r="Q178" s="61"/>
      <c r="R178" s="61"/>
    </row>
    <row r="179">
      <c r="A179" s="65"/>
      <c r="B179" s="65"/>
      <c r="C179" s="65"/>
      <c r="D179" s="65"/>
      <c r="E179" s="65"/>
      <c r="F179" s="65"/>
      <c r="G179" s="65"/>
      <c r="H179" s="65"/>
      <c r="I179" s="65"/>
      <c r="J179" s="108"/>
      <c r="K179" s="108"/>
      <c r="L179" s="103"/>
      <c r="M179" s="111"/>
      <c r="N179" s="65"/>
      <c r="O179" s="65"/>
      <c r="P179" s="65"/>
      <c r="Q179" s="65"/>
      <c r="R179" s="65"/>
    </row>
    <row r="180">
      <c r="A180" s="61"/>
      <c r="B180" s="61"/>
      <c r="C180" s="61"/>
      <c r="D180" s="61"/>
      <c r="E180" s="61"/>
      <c r="F180" s="61"/>
      <c r="G180" s="61"/>
      <c r="H180" s="61"/>
      <c r="I180" s="61"/>
      <c r="J180" s="107"/>
      <c r="K180" s="107"/>
      <c r="L180" s="100"/>
      <c r="M180" s="110"/>
      <c r="N180" s="61"/>
      <c r="O180" s="61"/>
      <c r="P180" s="61"/>
      <c r="Q180" s="61"/>
      <c r="R180" s="61"/>
    </row>
    <row r="181">
      <c r="A181" s="65"/>
      <c r="B181" s="65"/>
      <c r="C181" s="65"/>
      <c r="D181" s="65"/>
      <c r="E181" s="65"/>
      <c r="F181" s="65"/>
      <c r="G181" s="65"/>
      <c r="H181" s="65"/>
      <c r="I181" s="65"/>
      <c r="J181" s="108"/>
      <c r="K181" s="108"/>
      <c r="L181" s="103"/>
      <c r="M181" s="111"/>
      <c r="N181" s="65"/>
      <c r="O181" s="65"/>
      <c r="P181" s="65"/>
      <c r="Q181" s="65"/>
      <c r="R181" s="65"/>
    </row>
    <row r="182">
      <c r="A182" s="61"/>
      <c r="B182" s="61"/>
      <c r="C182" s="61"/>
      <c r="D182" s="61"/>
      <c r="E182" s="61"/>
      <c r="F182" s="61"/>
      <c r="G182" s="61"/>
      <c r="H182" s="61"/>
      <c r="I182" s="61"/>
      <c r="J182" s="107"/>
      <c r="K182" s="107"/>
      <c r="L182" s="100"/>
      <c r="M182" s="110"/>
      <c r="N182" s="61"/>
      <c r="O182" s="61"/>
      <c r="P182" s="61"/>
      <c r="Q182" s="61"/>
      <c r="R182" s="61"/>
    </row>
    <row r="183">
      <c r="A183" s="65"/>
      <c r="B183" s="65"/>
      <c r="C183" s="65"/>
      <c r="D183" s="65"/>
      <c r="E183" s="65"/>
      <c r="F183" s="65"/>
      <c r="G183" s="65"/>
      <c r="H183" s="65"/>
      <c r="I183" s="65"/>
      <c r="J183" s="108"/>
      <c r="K183" s="108"/>
      <c r="L183" s="103"/>
      <c r="M183" s="111"/>
      <c r="N183" s="65"/>
      <c r="O183" s="65"/>
      <c r="P183" s="65"/>
      <c r="Q183" s="65"/>
      <c r="R183" s="65"/>
    </row>
    <row r="184">
      <c r="A184" s="61"/>
      <c r="B184" s="61"/>
      <c r="C184" s="61"/>
      <c r="D184" s="61"/>
      <c r="E184" s="61"/>
      <c r="F184" s="61"/>
      <c r="G184" s="61"/>
      <c r="H184" s="61"/>
      <c r="I184" s="61"/>
      <c r="J184" s="107"/>
      <c r="K184" s="107"/>
      <c r="L184" s="100"/>
      <c r="M184" s="110"/>
      <c r="N184" s="61"/>
      <c r="O184" s="61"/>
      <c r="P184" s="61"/>
      <c r="Q184" s="61"/>
      <c r="R184" s="61"/>
    </row>
    <row r="185">
      <c r="A185" s="65"/>
      <c r="B185" s="65"/>
      <c r="C185" s="65"/>
      <c r="D185" s="65"/>
      <c r="E185" s="65"/>
      <c r="F185" s="65"/>
      <c r="G185" s="65"/>
      <c r="H185" s="65"/>
      <c r="I185" s="65"/>
      <c r="J185" s="108"/>
      <c r="K185" s="108"/>
      <c r="L185" s="103"/>
      <c r="M185" s="111"/>
      <c r="N185" s="65"/>
      <c r="O185" s="65"/>
      <c r="P185" s="65"/>
      <c r="Q185" s="65"/>
      <c r="R185" s="65"/>
    </row>
    <row r="186">
      <c r="A186" s="61"/>
      <c r="B186" s="61"/>
      <c r="C186" s="61"/>
      <c r="D186" s="61"/>
      <c r="E186" s="61"/>
      <c r="F186" s="61"/>
      <c r="G186" s="61"/>
      <c r="H186" s="61"/>
      <c r="I186" s="61"/>
      <c r="J186" s="107"/>
      <c r="K186" s="107"/>
      <c r="L186" s="100"/>
      <c r="M186" s="110"/>
      <c r="N186" s="61"/>
      <c r="O186" s="61"/>
      <c r="P186" s="61"/>
      <c r="Q186" s="61"/>
      <c r="R186" s="61"/>
    </row>
    <row r="187">
      <c r="A187" s="65"/>
      <c r="B187" s="65"/>
      <c r="C187" s="65"/>
      <c r="D187" s="65"/>
      <c r="E187" s="65"/>
      <c r="F187" s="65"/>
      <c r="G187" s="65"/>
      <c r="H187" s="65"/>
      <c r="I187" s="65"/>
      <c r="J187" s="108"/>
      <c r="K187" s="108"/>
      <c r="L187" s="103"/>
      <c r="M187" s="111"/>
      <c r="N187" s="65"/>
      <c r="O187" s="65"/>
      <c r="P187" s="65"/>
      <c r="Q187" s="65"/>
      <c r="R187" s="65"/>
    </row>
    <row r="188">
      <c r="A188" s="61"/>
      <c r="B188" s="61"/>
      <c r="C188" s="61"/>
      <c r="D188" s="61"/>
      <c r="E188" s="61"/>
      <c r="F188" s="61"/>
      <c r="G188" s="61"/>
      <c r="H188" s="61"/>
      <c r="I188" s="61"/>
      <c r="J188" s="107"/>
      <c r="K188" s="107"/>
      <c r="L188" s="100"/>
      <c r="M188" s="110"/>
      <c r="N188" s="61"/>
      <c r="O188" s="61"/>
      <c r="P188" s="61"/>
      <c r="Q188" s="61"/>
      <c r="R188" s="61"/>
    </row>
    <row r="189">
      <c r="A189" s="65"/>
      <c r="B189" s="65"/>
      <c r="C189" s="65"/>
      <c r="D189" s="65"/>
      <c r="E189" s="65"/>
      <c r="F189" s="65"/>
      <c r="G189" s="65"/>
      <c r="H189" s="65"/>
      <c r="I189" s="65"/>
      <c r="J189" s="108"/>
      <c r="K189" s="108"/>
      <c r="L189" s="103"/>
      <c r="M189" s="111"/>
      <c r="N189" s="65"/>
      <c r="O189" s="65"/>
      <c r="P189" s="65"/>
      <c r="Q189" s="65"/>
      <c r="R189" s="65"/>
    </row>
    <row r="190">
      <c r="A190" s="61"/>
      <c r="B190" s="61"/>
      <c r="C190" s="61"/>
      <c r="D190" s="61"/>
      <c r="E190" s="61"/>
      <c r="F190" s="61"/>
      <c r="G190" s="61"/>
      <c r="H190" s="61"/>
      <c r="I190" s="61"/>
      <c r="J190" s="107"/>
      <c r="K190" s="107"/>
      <c r="L190" s="100"/>
      <c r="M190" s="110"/>
      <c r="N190" s="61"/>
      <c r="O190" s="61"/>
      <c r="P190" s="61"/>
      <c r="Q190" s="61"/>
      <c r="R190" s="61"/>
    </row>
    <row r="191">
      <c r="A191" s="65"/>
      <c r="B191" s="65"/>
      <c r="C191" s="65"/>
      <c r="D191" s="65"/>
      <c r="E191" s="65"/>
      <c r="F191" s="65"/>
      <c r="G191" s="65"/>
      <c r="H191" s="65"/>
      <c r="I191" s="65"/>
      <c r="J191" s="108"/>
      <c r="K191" s="108"/>
      <c r="L191" s="103"/>
      <c r="M191" s="111"/>
      <c r="N191" s="65"/>
      <c r="O191" s="65"/>
      <c r="P191" s="65"/>
      <c r="Q191" s="65"/>
      <c r="R191" s="65"/>
    </row>
    <row r="192">
      <c r="A192" s="61"/>
      <c r="B192" s="61"/>
      <c r="C192" s="61"/>
      <c r="D192" s="61"/>
      <c r="E192" s="61"/>
      <c r="F192" s="61"/>
      <c r="G192" s="61"/>
      <c r="H192" s="61"/>
      <c r="I192" s="61"/>
      <c r="J192" s="107"/>
      <c r="K192" s="107"/>
      <c r="L192" s="100"/>
      <c r="M192" s="110"/>
      <c r="N192" s="61"/>
      <c r="O192" s="61"/>
      <c r="P192" s="61"/>
      <c r="Q192" s="61"/>
      <c r="R192" s="61"/>
    </row>
    <row r="193">
      <c r="A193" s="65"/>
      <c r="B193" s="65"/>
      <c r="C193" s="65"/>
      <c r="D193" s="65"/>
      <c r="E193" s="65"/>
      <c r="F193" s="65"/>
      <c r="G193" s="65"/>
      <c r="H193" s="65"/>
      <c r="I193" s="65"/>
      <c r="J193" s="108"/>
      <c r="K193" s="108"/>
      <c r="L193" s="103"/>
      <c r="M193" s="111"/>
      <c r="N193" s="65"/>
      <c r="O193" s="65"/>
      <c r="P193" s="65"/>
      <c r="Q193" s="65"/>
      <c r="R193" s="65"/>
    </row>
    <row r="194">
      <c r="A194" s="61"/>
      <c r="B194" s="61"/>
      <c r="C194" s="61"/>
      <c r="D194" s="61"/>
      <c r="E194" s="61"/>
      <c r="F194" s="61"/>
      <c r="G194" s="61"/>
      <c r="H194" s="61"/>
      <c r="I194" s="61"/>
      <c r="J194" s="107"/>
      <c r="K194" s="107"/>
      <c r="L194" s="100"/>
      <c r="M194" s="110"/>
      <c r="N194" s="61"/>
      <c r="O194" s="61"/>
      <c r="P194" s="61"/>
      <c r="Q194" s="61"/>
      <c r="R194" s="61"/>
    </row>
    <row r="195">
      <c r="A195" s="65"/>
      <c r="B195" s="65"/>
      <c r="C195" s="65"/>
      <c r="D195" s="65"/>
      <c r="E195" s="65"/>
      <c r="F195" s="65"/>
      <c r="G195" s="65"/>
      <c r="H195" s="65"/>
      <c r="I195" s="65"/>
      <c r="J195" s="108"/>
      <c r="K195" s="108"/>
      <c r="L195" s="103"/>
      <c r="M195" s="111"/>
      <c r="N195" s="65"/>
      <c r="O195" s="65"/>
      <c r="P195" s="65"/>
      <c r="Q195" s="65"/>
      <c r="R195" s="65"/>
    </row>
    <row r="196">
      <c r="A196" s="61"/>
      <c r="B196" s="61"/>
      <c r="C196" s="61"/>
      <c r="D196" s="61"/>
      <c r="E196" s="61"/>
      <c r="F196" s="61"/>
      <c r="G196" s="61"/>
      <c r="H196" s="61"/>
      <c r="I196" s="61"/>
      <c r="J196" s="107"/>
      <c r="K196" s="107"/>
      <c r="L196" s="100"/>
      <c r="M196" s="110"/>
      <c r="N196" s="61"/>
      <c r="O196" s="61"/>
      <c r="P196" s="61"/>
      <c r="Q196" s="61"/>
      <c r="R196" s="61"/>
    </row>
    <row r="197">
      <c r="A197" s="65"/>
      <c r="B197" s="65"/>
      <c r="C197" s="65"/>
      <c r="D197" s="65"/>
      <c r="E197" s="65"/>
      <c r="F197" s="65"/>
      <c r="G197" s="65"/>
      <c r="H197" s="65"/>
      <c r="I197" s="65"/>
      <c r="J197" s="108"/>
      <c r="K197" s="108"/>
      <c r="L197" s="103"/>
      <c r="M197" s="111"/>
      <c r="N197" s="65"/>
      <c r="O197" s="65"/>
      <c r="P197" s="65"/>
      <c r="Q197" s="65"/>
      <c r="R197" s="65"/>
    </row>
    <row r="198">
      <c r="A198" s="61"/>
      <c r="B198" s="61"/>
      <c r="C198" s="61"/>
      <c r="D198" s="61"/>
      <c r="E198" s="61"/>
      <c r="F198" s="61"/>
      <c r="G198" s="61"/>
      <c r="H198" s="61"/>
      <c r="I198" s="61"/>
      <c r="J198" s="107"/>
      <c r="K198" s="107"/>
      <c r="L198" s="100"/>
      <c r="M198" s="110"/>
      <c r="N198" s="61"/>
      <c r="O198" s="61"/>
      <c r="P198" s="61"/>
      <c r="Q198" s="61"/>
      <c r="R198" s="61"/>
    </row>
    <row r="199">
      <c r="A199" s="65"/>
      <c r="B199" s="65"/>
      <c r="C199" s="65"/>
      <c r="D199" s="65"/>
      <c r="E199" s="65"/>
      <c r="F199" s="65"/>
      <c r="G199" s="65"/>
      <c r="H199" s="65"/>
      <c r="I199" s="65"/>
      <c r="J199" s="108"/>
      <c r="K199" s="108"/>
      <c r="L199" s="103"/>
      <c r="M199" s="111"/>
      <c r="N199" s="65"/>
      <c r="O199" s="65"/>
      <c r="P199" s="65"/>
      <c r="Q199" s="65"/>
      <c r="R199" s="65"/>
    </row>
    <row r="200">
      <c r="A200" s="61"/>
      <c r="B200" s="61"/>
      <c r="C200" s="61"/>
      <c r="D200" s="61"/>
      <c r="E200" s="61"/>
      <c r="F200" s="61"/>
      <c r="G200" s="61"/>
      <c r="H200" s="61"/>
      <c r="I200" s="61"/>
      <c r="J200" s="107"/>
      <c r="K200" s="107"/>
      <c r="L200" s="100"/>
      <c r="M200" s="110"/>
      <c r="N200" s="61"/>
      <c r="O200" s="61"/>
      <c r="P200" s="61"/>
      <c r="Q200" s="61"/>
      <c r="R200" s="61"/>
    </row>
    <row r="201">
      <c r="A201" s="65"/>
      <c r="B201" s="65"/>
      <c r="C201" s="65"/>
      <c r="D201" s="65"/>
      <c r="E201" s="65"/>
      <c r="F201" s="65"/>
      <c r="G201" s="65"/>
      <c r="H201" s="65"/>
      <c r="I201" s="65"/>
      <c r="J201" s="108"/>
      <c r="K201" s="108"/>
      <c r="L201" s="103"/>
      <c r="M201" s="111"/>
      <c r="N201" s="65"/>
      <c r="O201" s="65"/>
      <c r="P201" s="65"/>
      <c r="Q201" s="65"/>
      <c r="R201" s="65"/>
    </row>
    <row r="202">
      <c r="A202" s="61"/>
      <c r="B202" s="61"/>
      <c r="C202" s="61"/>
      <c r="D202" s="61"/>
      <c r="E202" s="61"/>
      <c r="F202" s="61"/>
      <c r="G202" s="61"/>
      <c r="H202" s="61"/>
      <c r="I202" s="61"/>
      <c r="J202" s="107"/>
      <c r="K202" s="107"/>
      <c r="L202" s="100"/>
      <c r="M202" s="110"/>
      <c r="N202" s="61"/>
      <c r="O202" s="61"/>
      <c r="P202" s="61"/>
      <c r="Q202" s="61"/>
      <c r="R202" s="61"/>
    </row>
    <row r="203">
      <c r="A203" s="65"/>
      <c r="B203" s="65"/>
      <c r="C203" s="65"/>
      <c r="D203" s="65"/>
      <c r="E203" s="65"/>
      <c r="F203" s="65"/>
      <c r="G203" s="65"/>
      <c r="H203" s="65"/>
      <c r="I203" s="65"/>
      <c r="J203" s="108"/>
      <c r="K203" s="108"/>
      <c r="L203" s="103"/>
      <c r="M203" s="111"/>
      <c r="N203" s="65"/>
      <c r="O203" s="65"/>
      <c r="P203" s="65"/>
      <c r="Q203" s="65"/>
      <c r="R203" s="65"/>
    </row>
    <row r="204">
      <c r="A204" s="61"/>
      <c r="B204" s="61"/>
      <c r="C204" s="61"/>
      <c r="D204" s="61"/>
      <c r="E204" s="61"/>
      <c r="F204" s="61"/>
      <c r="G204" s="61"/>
      <c r="H204" s="61"/>
      <c r="I204" s="61"/>
      <c r="J204" s="107"/>
      <c r="K204" s="107"/>
      <c r="L204" s="100"/>
      <c r="M204" s="110"/>
      <c r="N204" s="61"/>
      <c r="O204" s="61"/>
      <c r="P204" s="61"/>
      <c r="Q204" s="61"/>
      <c r="R204" s="61"/>
    </row>
    <row r="205">
      <c r="A205" s="65"/>
      <c r="B205" s="65"/>
      <c r="C205" s="65"/>
      <c r="D205" s="65"/>
      <c r="E205" s="65"/>
      <c r="F205" s="65"/>
      <c r="G205" s="65"/>
      <c r="H205" s="65"/>
      <c r="I205" s="65"/>
      <c r="J205" s="108"/>
      <c r="K205" s="108"/>
      <c r="L205" s="103"/>
      <c r="M205" s="111"/>
      <c r="N205" s="65"/>
      <c r="O205" s="65"/>
      <c r="P205" s="65"/>
      <c r="Q205" s="65"/>
      <c r="R205" s="65"/>
    </row>
    <row r="206">
      <c r="A206" s="61"/>
      <c r="B206" s="61"/>
      <c r="C206" s="61"/>
      <c r="D206" s="61"/>
      <c r="E206" s="61"/>
      <c r="F206" s="61"/>
      <c r="G206" s="61"/>
      <c r="H206" s="61"/>
      <c r="I206" s="61"/>
      <c r="J206" s="107"/>
      <c r="K206" s="107"/>
      <c r="L206" s="100"/>
      <c r="M206" s="110"/>
      <c r="N206" s="61"/>
      <c r="O206" s="61"/>
      <c r="P206" s="61"/>
      <c r="Q206" s="61"/>
      <c r="R206" s="61"/>
    </row>
    <row r="207">
      <c r="A207" s="65"/>
      <c r="B207" s="65"/>
      <c r="C207" s="65"/>
      <c r="D207" s="65"/>
      <c r="E207" s="65"/>
      <c r="F207" s="65"/>
      <c r="G207" s="65"/>
      <c r="H207" s="65"/>
      <c r="I207" s="65"/>
      <c r="J207" s="108"/>
      <c r="K207" s="108"/>
      <c r="L207" s="103"/>
      <c r="M207" s="111"/>
      <c r="N207" s="65"/>
      <c r="O207" s="65"/>
      <c r="P207" s="65"/>
      <c r="Q207" s="65"/>
      <c r="R207" s="65"/>
    </row>
    <row r="208">
      <c r="A208" s="61"/>
      <c r="B208" s="61"/>
      <c r="C208" s="61"/>
      <c r="D208" s="61"/>
      <c r="E208" s="61"/>
      <c r="F208" s="61"/>
      <c r="G208" s="61"/>
      <c r="H208" s="61"/>
      <c r="I208" s="61"/>
      <c r="J208" s="107"/>
      <c r="K208" s="107"/>
      <c r="L208" s="100"/>
      <c r="M208" s="110"/>
      <c r="N208" s="61"/>
      <c r="O208" s="61"/>
      <c r="P208" s="61"/>
      <c r="Q208" s="61"/>
      <c r="R208" s="61"/>
    </row>
    <row r="209">
      <c r="A209" s="65"/>
      <c r="B209" s="65"/>
      <c r="C209" s="65"/>
      <c r="D209" s="65"/>
      <c r="E209" s="65"/>
      <c r="F209" s="65"/>
      <c r="G209" s="65"/>
      <c r="H209" s="65"/>
      <c r="I209" s="65"/>
      <c r="J209" s="108"/>
      <c r="K209" s="108"/>
      <c r="L209" s="103"/>
      <c r="M209" s="111"/>
      <c r="N209" s="65"/>
      <c r="O209" s="65"/>
      <c r="P209" s="65"/>
      <c r="Q209" s="65"/>
      <c r="R209" s="65"/>
    </row>
    <row r="210">
      <c r="A210" s="61"/>
      <c r="B210" s="61"/>
      <c r="C210" s="61"/>
      <c r="D210" s="61"/>
      <c r="E210" s="61"/>
      <c r="F210" s="61"/>
      <c r="G210" s="61"/>
      <c r="H210" s="61"/>
      <c r="I210" s="61"/>
      <c r="J210" s="107"/>
      <c r="K210" s="107"/>
      <c r="L210" s="100"/>
      <c r="M210" s="110"/>
      <c r="N210" s="61"/>
      <c r="O210" s="61"/>
      <c r="P210" s="61"/>
      <c r="Q210" s="61"/>
      <c r="R210" s="61"/>
    </row>
    <row r="211">
      <c r="A211" s="65"/>
      <c r="B211" s="65"/>
      <c r="C211" s="65"/>
      <c r="D211" s="65"/>
      <c r="E211" s="65"/>
      <c r="F211" s="65"/>
      <c r="G211" s="65"/>
      <c r="H211" s="65"/>
      <c r="I211" s="65"/>
      <c r="J211" s="108"/>
      <c r="K211" s="108"/>
      <c r="L211" s="103"/>
      <c r="M211" s="111"/>
      <c r="N211" s="65"/>
      <c r="O211" s="65"/>
      <c r="P211" s="65"/>
      <c r="Q211" s="65"/>
      <c r="R211" s="65"/>
    </row>
    <row r="212">
      <c r="A212" s="61"/>
      <c r="B212" s="61"/>
      <c r="C212" s="61"/>
      <c r="D212" s="61"/>
      <c r="E212" s="61"/>
      <c r="F212" s="61"/>
      <c r="G212" s="61"/>
      <c r="H212" s="61"/>
      <c r="I212" s="61"/>
      <c r="J212" s="107"/>
      <c r="K212" s="107"/>
      <c r="L212" s="100"/>
      <c r="M212" s="110"/>
      <c r="N212" s="61"/>
      <c r="O212" s="61"/>
      <c r="P212" s="61"/>
      <c r="Q212" s="61"/>
      <c r="R212" s="61"/>
    </row>
    <row r="213">
      <c r="A213" s="65"/>
      <c r="B213" s="65"/>
      <c r="C213" s="65"/>
      <c r="D213" s="65"/>
      <c r="E213" s="65"/>
      <c r="F213" s="65"/>
      <c r="G213" s="65"/>
      <c r="H213" s="65"/>
      <c r="I213" s="65"/>
      <c r="J213" s="108"/>
      <c r="K213" s="108"/>
      <c r="L213" s="103"/>
      <c r="M213" s="111"/>
      <c r="N213" s="65"/>
      <c r="O213" s="65"/>
      <c r="P213" s="65"/>
      <c r="Q213" s="65"/>
      <c r="R213" s="65"/>
    </row>
    <row r="214">
      <c r="A214" s="61"/>
      <c r="B214" s="61"/>
      <c r="C214" s="61"/>
      <c r="D214" s="61"/>
      <c r="E214" s="61"/>
      <c r="F214" s="61"/>
      <c r="G214" s="61"/>
      <c r="H214" s="61"/>
      <c r="I214" s="61"/>
      <c r="J214" s="107"/>
      <c r="K214" s="107"/>
      <c r="L214" s="100"/>
      <c r="M214" s="110"/>
      <c r="N214" s="61"/>
      <c r="O214" s="61"/>
      <c r="P214" s="61"/>
      <c r="Q214" s="61"/>
      <c r="R214" s="61"/>
    </row>
    <row r="215">
      <c r="A215" s="65"/>
      <c r="B215" s="65"/>
      <c r="C215" s="65"/>
      <c r="D215" s="65"/>
      <c r="E215" s="65"/>
      <c r="F215" s="65"/>
      <c r="G215" s="65"/>
      <c r="H215" s="65"/>
      <c r="I215" s="65"/>
      <c r="J215" s="108"/>
      <c r="K215" s="108"/>
      <c r="L215" s="103"/>
      <c r="M215" s="111"/>
      <c r="N215" s="65"/>
      <c r="O215" s="65"/>
      <c r="P215" s="65"/>
      <c r="Q215" s="65"/>
      <c r="R215" s="65"/>
    </row>
    <row r="216">
      <c r="A216" s="61"/>
      <c r="B216" s="61"/>
      <c r="C216" s="61"/>
      <c r="D216" s="61"/>
      <c r="E216" s="61"/>
      <c r="F216" s="61"/>
      <c r="G216" s="61"/>
      <c r="H216" s="61"/>
      <c r="I216" s="61"/>
      <c r="J216" s="107"/>
      <c r="K216" s="107"/>
      <c r="L216" s="100"/>
      <c r="M216" s="110"/>
      <c r="N216" s="61"/>
      <c r="O216" s="61"/>
      <c r="P216" s="61"/>
      <c r="Q216" s="61"/>
      <c r="R216" s="61"/>
    </row>
    <row r="217">
      <c r="A217" s="65"/>
      <c r="B217" s="65"/>
      <c r="C217" s="65"/>
      <c r="D217" s="65"/>
      <c r="E217" s="65"/>
      <c r="F217" s="65"/>
      <c r="G217" s="65"/>
      <c r="H217" s="65"/>
      <c r="I217" s="65"/>
      <c r="J217" s="108"/>
      <c r="K217" s="108"/>
      <c r="L217" s="103"/>
      <c r="M217" s="111"/>
      <c r="N217" s="65"/>
      <c r="O217" s="65"/>
      <c r="P217" s="65"/>
      <c r="Q217" s="65"/>
      <c r="R217" s="65"/>
    </row>
    <row r="218">
      <c r="A218" s="61"/>
      <c r="B218" s="61"/>
      <c r="C218" s="61"/>
      <c r="D218" s="61"/>
      <c r="E218" s="61"/>
      <c r="F218" s="61"/>
      <c r="G218" s="61"/>
      <c r="H218" s="61"/>
      <c r="I218" s="61"/>
      <c r="J218" s="107"/>
      <c r="K218" s="107"/>
      <c r="L218" s="100"/>
      <c r="M218" s="110"/>
      <c r="N218" s="61"/>
      <c r="O218" s="61"/>
      <c r="P218" s="61"/>
      <c r="Q218" s="61"/>
      <c r="R218" s="61"/>
    </row>
    <row r="219">
      <c r="A219" s="65"/>
      <c r="B219" s="65"/>
      <c r="C219" s="65"/>
      <c r="D219" s="65"/>
      <c r="E219" s="65"/>
      <c r="F219" s="65"/>
      <c r="G219" s="65"/>
      <c r="H219" s="65"/>
      <c r="I219" s="65"/>
      <c r="J219" s="108"/>
      <c r="K219" s="108"/>
      <c r="L219" s="103"/>
      <c r="M219" s="111"/>
      <c r="N219" s="65"/>
      <c r="O219" s="65"/>
      <c r="P219" s="65"/>
      <c r="Q219" s="65"/>
      <c r="R219" s="65"/>
    </row>
    <row r="220">
      <c r="A220" s="61"/>
      <c r="B220" s="61"/>
      <c r="C220" s="61"/>
      <c r="D220" s="61"/>
      <c r="E220" s="61"/>
      <c r="F220" s="61"/>
      <c r="G220" s="61"/>
      <c r="H220" s="61"/>
      <c r="I220" s="61"/>
      <c r="J220" s="107"/>
      <c r="K220" s="107"/>
      <c r="L220" s="100"/>
      <c r="M220" s="110"/>
      <c r="N220" s="61"/>
      <c r="O220" s="61"/>
      <c r="P220" s="61"/>
      <c r="Q220" s="61"/>
      <c r="R220" s="61"/>
    </row>
    <row r="221">
      <c r="A221" s="65"/>
      <c r="B221" s="65"/>
      <c r="C221" s="65"/>
      <c r="D221" s="65"/>
      <c r="E221" s="65"/>
      <c r="F221" s="65"/>
      <c r="G221" s="65"/>
      <c r="H221" s="65"/>
      <c r="I221" s="65"/>
      <c r="J221" s="108"/>
      <c r="K221" s="108"/>
      <c r="L221" s="103"/>
      <c r="M221" s="111"/>
      <c r="N221" s="65"/>
      <c r="O221" s="65"/>
      <c r="P221" s="65"/>
      <c r="Q221" s="65"/>
      <c r="R221" s="65"/>
    </row>
    <row r="222">
      <c r="A222" s="61"/>
      <c r="B222" s="61"/>
      <c r="C222" s="61"/>
      <c r="D222" s="61"/>
      <c r="E222" s="61"/>
      <c r="F222" s="61"/>
      <c r="G222" s="61"/>
      <c r="H222" s="61"/>
      <c r="I222" s="61"/>
      <c r="J222" s="107"/>
      <c r="K222" s="107"/>
      <c r="L222" s="100"/>
      <c r="M222" s="110"/>
      <c r="N222" s="61"/>
      <c r="O222" s="61"/>
      <c r="P222" s="61"/>
      <c r="Q222" s="61"/>
      <c r="R222" s="61"/>
    </row>
    <row r="223">
      <c r="A223" s="65"/>
      <c r="B223" s="65"/>
      <c r="C223" s="65"/>
      <c r="D223" s="65"/>
      <c r="E223" s="65"/>
      <c r="F223" s="65"/>
      <c r="G223" s="65"/>
      <c r="H223" s="65"/>
      <c r="I223" s="65"/>
      <c r="J223" s="108"/>
      <c r="K223" s="108"/>
      <c r="L223" s="103"/>
      <c r="M223" s="111"/>
      <c r="N223" s="65"/>
      <c r="O223" s="65"/>
      <c r="P223" s="65"/>
      <c r="Q223" s="65"/>
      <c r="R223" s="65"/>
    </row>
    <row r="224">
      <c r="A224" s="61"/>
      <c r="B224" s="61"/>
      <c r="C224" s="61"/>
      <c r="D224" s="61"/>
      <c r="E224" s="61"/>
      <c r="F224" s="61"/>
      <c r="G224" s="61"/>
      <c r="H224" s="61"/>
      <c r="I224" s="61"/>
      <c r="J224" s="107"/>
      <c r="K224" s="107"/>
      <c r="L224" s="100"/>
      <c r="M224" s="110"/>
      <c r="N224" s="61"/>
      <c r="O224" s="61"/>
      <c r="P224" s="61"/>
      <c r="Q224" s="61"/>
      <c r="R224" s="61"/>
    </row>
    <row r="225">
      <c r="A225" s="65"/>
      <c r="B225" s="65"/>
      <c r="C225" s="65"/>
      <c r="D225" s="65"/>
      <c r="E225" s="65"/>
      <c r="F225" s="65"/>
      <c r="G225" s="65"/>
      <c r="H225" s="65"/>
      <c r="I225" s="65"/>
      <c r="J225" s="108"/>
      <c r="K225" s="108"/>
      <c r="L225" s="103"/>
      <c r="M225" s="111"/>
      <c r="N225" s="65"/>
      <c r="O225" s="65"/>
      <c r="P225" s="65"/>
      <c r="Q225" s="65"/>
      <c r="R225" s="65"/>
    </row>
    <row r="226">
      <c r="A226" s="61"/>
      <c r="B226" s="61"/>
      <c r="C226" s="61"/>
      <c r="D226" s="61"/>
      <c r="E226" s="61"/>
      <c r="F226" s="61"/>
      <c r="G226" s="61"/>
      <c r="H226" s="61"/>
      <c r="I226" s="61"/>
      <c r="J226" s="107"/>
      <c r="K226" s="107"/>
      <c r="L226" s="100"/>
      <c r="M226" s="110"/>
      <c r="N226" s="61"/>
      <c r="O226" s="61"/>
      <c r="P226" s="61"/>
      <c r="Q226" s="61"/>
      <c r="R226" s="61"/>
    </row>
    <row r="227">
      <c r="A227" s="65"/>
      <c r="B227" s="65"/>
      <c r="C227" s="65"/>
      <c r="D227" s="65"/>
      <c r="E227" s="65"/>
      <c r="F227" s="65"/>
      <c r="G227" s="65"/>
      <c r="H227" s="65"/>
      <c r="I227" s="65"/>
      <c r="J227" s="108"/>
      <c r="K227" s="108"/>
      <c r="L227" s="103"/>
      <c r="M227" s="111"/>
      <c r="N227" s="65"/>
      <c r="O227" s="65"/>
      <c r="P227" s="65"/>
      <c r="Q227" s="65"/>
      <c r="R227" s="65"/>
    </row>
    <row r="228">
      <c r="A228" s="61"/>
      <c r="B228" s="61"/>
      <c r="C228" s="61"/>
      <c r="D228" s="61"/>
      <c r="E228" s="61"/>
      <c r="F228" s="61"/>
      <c r="G228" s="61"/>
      <c r="H228" s="61"/>
      <c r="I228" s="61"/>
      <c r="J228" s="107"/>
      <c r="K228" s="107"/>
      <c r="L228" s="100"/>
      <c r="M228" s="110"/>
      <c r="N228" s="61"/>
      <c r="O228" s="61"/>
      <c r="P228" s="61"/>
      <c r="Q228" s="61"/>
      <c r="R228" s="61"/>
    </row>
    <row r="229">
      <c r="A229" s="65"/>
      <c r="B229" s="65"/>
      <c r="C229" s="65"/>
      <c r="D229" s="65"/>
      <c r="E229" s="65"/>
      <c r="F229" s="65"/>
      <c r="G229" s="65"/>
      <c r="H229" s="65"/>
      <c r="I229" s="65"/>
      <c r="J229" s="108"/>
      <c r="K229" s="108"/>
      <c r="L229" s="103"/>
      <c r="M229" s="111"/>
      <c r="N229" s="65"/>
      <c r="O229" s="65"/>
      <c r="P229" s="65"/>
      <c r="Q229" s="65"/>
      <c r="R229" s="65"/>
    </row>
    <row r="230">
      <c r="A230" s="61"/>
      <c r="B230" s="61"/>
      <c r="C230" s="61"/>
      <c r="D230" s="61"/>
      <c r="E230" s="61"/>
      <c r="F230" s="61"/>
      <c r="G230" s="61"/>
      <c r="H230" s="61"/>
      <c r="I230" s="61"/>
      <c r="J230" s="107"/>
      <c r="K230" s="107"/>
      <c r="L230" s="100"/>
      <c r="M230" s="110"/>
      <c r="N230" s="61"/>
      <c r="O230" s="61"/>
      <c r="P230" s="61"/>
      <c r="Q230" s="61"/>
      <c r="R230" s="61"/>
    </row>
    <row r="231">
      <c r="A231" s="65"/>
      <c r="B231" s="65"/>
      <c r="C231" s="65"/>
      <c r="D231" s="65"/>
      <c r="E231" s="65"/>
      <c r="F231" s="65"/>
      <c r="G231" s="65"/>
      <c r="H231" s="65"/>
      <c r="I231" s="65"/>
      <c r="J231" s="108"/>
      <c r="K231" s="108"/>
      <c r="L231" s="103"/>
      <c r="M231" s="111"/>
      <c r="N231" s="65"/>
      <c r="O231" s="65"/>
      <c r="P231" s="65"/>
      <c r="Q231" s="65"/>
      <c r="R231" s="65"/>
    </row>
    <row r="232">
      <c r="A232" s="61"/>
      <c r="B232" s="61"/>
      <c r="C232" s="61"/>
      <c r="D232" s="61"/>
      <c r="E232" s="61"/>
      <c r="F232" s="61"/>
      <c r="G232" s="61"/>
      <c r="H232" s="61"/>
      <c r="I232" s="61"/>
      <c r="J232" s="107"/>
      <c r="K232" s="107"/>
      <c r="L232" s="100"/>
      <c r="M232" s="110"/>
      <c r="N232" s="61"/>
      <c r="O232" s="61"/>
      <c r="P232" s="61"/>
      <c r="Q232" s="61"/>
      <c r="R232" s="61"/>
    </row>
    <row r="233">
      <c r="A233" s="65"/>
      <c r="B233" s="65"/>
      <c r="C233" s="65"/>
      <c r="D233" s="65"/>
      <c r="E233" s="65"/>
      <c r="F233" s="65"/>
      <c r="G233" s="65"/>
      <c r="H233" s="65"/>
      <c r="I233" s="65"/>
      <c r="J233" s="108"/>
      <c r="K233" s="108"/>
      <c r="L233" s="103"/>
      <c r="M233" s="111"/>
      <c r="N233" s="65"/>
      <c r="O233" s="65"/>
      <c r="P233" s="65"/>
      <c r="Q233" s="65"/>
      <c r="R233" s="65"/>
    </row>
    <row r="234">
      <c r="A234" s="61"/>
      <c r="B234" s="61"/>
      <c r="C234" s="61"/>
      <c r="D234" s="61"/>
      <c r="E234" s="61"/>
      <c r="F234" s="61"/>
      <c r="G234" s="61"/>
      <c r="H234" s="61"/>
      <c r="I234" s="61"/>
      <c r="J234" s="107"/>
      <c r="K234" s="107"/>
      <c r="L234" s="100"/>
      <c r="M234" s="110"/>
      <c r="N234" s="61"/>
      <c r="O234" s="61"/>
      <c r="P234" s="61"/>
      <c r="Q234" s="61"/>
      <c r="R234" s="61"/>
    </row>
    <row r="235">
      <c r="A235" s="65"/>
      <c r="B235" s="65"/>
      <c r="C235" s="65"/>
      <c r="D235" s="65"/>
      <c r="E235" s="65"/>
      <c r="F235" s="65"/>
      <c r="G235" s="65"/>
      <c r="H235" s="65"/>
      <c r="I235" s="65"/>
      <c r="J235" s="108"/>
      <c r="K235" s="108"/>
      <c r="L235" s="103"/>
      <c r="M235" s="111"/>
      <c r="N235" s="65"/>
      <c r="O235" s="65"/>
      <c r="P235" s="65"/>
      <c r="Q235" s="65"/>
      <c r="R235" s="65"/>
    </row>
    <row r="236">
      <c r="A236" s="61"/>
      <c r="B236" s="61"/>
      <c r="C236" s="61"/>
      <c r="D236" s="61"/>
      <c r="E236" s="61"/>
      <c r="F236" s="61"/>
      <c r="G236" s="61"/>
      <c r="H236" s="61"/>
      <c r="I236" s="61"/>
      <c r="J236" s="107"/>
      <c r="K236" s="107"/>
      <c r="L236" s="100"/>
      <c r="M236" s="110"/>
      <c r="N236" s="61"/>
      <c r="O236" s="61"/>
      <c r="P236" s="61"/>
      <c r="Q236" s="61"/>
      <c r="R236" s="61"/>
    </row>
    <row r="237">
      <c r="A237" s="65"/>
      <c r="B237" s="65"/>
      <c r="C237" s="65"/>
      <c r="D237" s="65"/>
      <c r="E237" s="65"/>
      <c r="F237" s="65"/>
      <c r="G237" s="65"/>
      <c r="H237" s="65"/>
      <c r="I237" s="65"/>
      <c r="J237" s="108"/>
      <c r="K237" s="108"/>
      <c r="L237" s="103"/>
      <c r="M237" s="111"/>
      <c r="N237" s="65"/>
      <c r="O237" s="65"/>
      <c r="P237" s="65"/>
      <c r="Q237" s="65"/>
      <c r="R237" s="65"/>
    </row>
    <row r="238">
      <c r="A238" s="61"/>
      <c r="B238" s="61"/>
      <c r="C238" s="61"/>
      <c r="D238" s="61"/>
      <c r="E238" s="61"/>
      <c r="F238" s="61"/>
      <c r="G238" s="61"/>
      <c r="H238" s="61"/>
      <c r="I238" s="61"/>
      <c r="J238" s="107"/>
      <c r="K238" s="107"/>
      <c r="L238" s="100"/>
      <c r="M238" s="110"/>
      <c r="N238" s="61"/>
      <c r="O238" s="61"/>
      <c r="P238" s="61"/>
      <c r="Q238" s="61"/>
      <c r="R238" s="61"/>
    </row>
    <row r="239">
      <c r="A239" s="65"/>
      <c r="B239" s="65"/>
      <c r="C239" s="65"/>
      <c r="D239" s="65"/>
      <c r="E239" s="65"/>
      <c r="F239" s="65"/>
      <c r="G239" s="65"/>
      <c r="H239" s="65"/>
      <c r="I239" s="65"/>
      <c r="J239" s="108"/>
      <c r="K239" s="108"/>
      <c r="L239" s="103"/>
      <c r="M239" s="111"/>
      <c r="N239" s="65"/>
      <c r="O239" s="65"/>
      <c r="P239" s="65"/>
      <c r="Q239" s="65"/>
      <c r="R239" s="65"/>
    </row>
    <row r="240">
      <c r="A240" s="61"/>
      <c r="B240" s="61"/>
      <c r="C240" s="61"/>
      <c r="D240" s="61"/>
      <c r="E240" s="61"/>
      <c r="F240" s="61"/>
      <c r="G240" s="61"/>
      <c r="H240" s="61"/>
      <c r="I240" s="61"/>
      <c r="J240" s="107"/>
      <c r="K240" s="107"/>
      <c r="L240" s="100"/>
      <c r="M240" s="110"/>
      <c r="N240" s="61"/>
      <c r="O240" s="61"/>
      <c r="P240" s="61"/>
      <c r="Q240" s="61"/>
      <c r="R240" s="61"/>
    </row>
    <row r="241">
      <c r="A241" s="65"/>
      <c r="B241" s="65"/>
      <c r="C241" s="65"/>
      <c r="D241" s="65"/>
      <c r="E241" s="65"/>
      <c r="F241" s="65"/>
      <c r="G241" s="65"/>
      <c r="H241" s="65"/>
      <c r="I241" s="65"/>
      <c r="J241" s="108"/>
      <c r="K241" s="108"/>
      <c r="L241" s="103"/>
      <c r="M241" s="111"/>
      <c r="N241" s="65"/>
      <c r="O241" s="65"/>
      <c r="P241" s="65"/>
      <c r="Q241" s="65"/>
      <c r="R241" s="65"/>
    </row>
    <row r="242">
      <c r="A242" s="61"/>
      <c r="B242" s="61"/>
      <c r="C242" s="61"/>
      <c r="D242" s="61"/>
      <c r="E242" s="61"/>
      <c r="F242" s="61"/>
      <c r="G242" s="61"/>
      <c r="H242" s="61"/>
      <c r="I242" s="61"/>
      <c r="J242" s="107"/>
      <c r="K242" s="107"/>
      <c r="L242" s="100"/>
      <c r="M242" s="110"/>
      <c r="N242" s="61"/>
      <c r="O242" s="61"/>
      <c r="P242" s="61"/>
      <c r="Q242" s="61"/>
      <c r="R242" s="61"/>
    </row>
    <row r="243">
      <c r="A243" s="65"/>
      <c r="B243" s="65"/>
      <c r="C243" s="65"/>
      <c r="D243" s="65"/>
      <c r="E243" s="65"/>
      <c r="F243" s="65"/>
      <c r="G243" s="65"/>
      <c r="H243" s="65"/>
      <c r="I243" s="65"/>
      <c r="J243" s="108"/>
      <c r="K243" s="108"/>
      <c r="L243" s="103"/>
      <c r="M243" s="111"/>
      <c r="N243" s="65"/>
      <c r="O243" s="65"/>
      <c r="P243" s="65"/>
      <c r="Q243" s="65"/>
      <c r="R243" s="65"/>
    </row>
    <row r="244">
      <c r="A244" s="61"/>
      <c r="B244" s="61"/>
      <c r="C244" s="61"/>
      <c r="D244" s="61"/>
      <c r="E244" s="61"/>
      <c r="F244" s="61"/>
      <c r="G244" s="61"/>
      <c r="H244" s="61"/>
      <c r="I244" s="61"/>
      <c r="J244" s="107"/>
      <c r="K244" s="107"/>
      <c r="L244" s="100"/>
      <c r="M244" s="110"/>
      <c r="N244" s="61"/>
      <c r="O244" s="61"/>
      <c r="P244" s="61"/>
      <c r="Q244" s="61"/>
      <c r="R244" s="61"/>
    </row>
    <row r="245">
      <c r="A245" s="65"/>
      <c r="B245" s="65"/>
      <c r="C245" s="65"/>
      <c r="D245" s="65"/>
      <c r="E245" s="65"/>
      <c r="F245" s="65"/>
      <c r="G245" s="65"/>
      <c r="H245" s="65"/>
      <c r="I245" s="65"/>
      <c r="J245" s="108"/>
      <c r="K245" s="108"/>
      <c r="L245" s="103"/>
      <c r="M245" s="111"/>
      <c r="N245" s="65"/>
      <c r="O245" s="65"/>
      <c r="P245" s="65"/>
      <c r="Q245" s="65"/>
      <c r="R245" s="65"/>
    </row>
    <row r="246">
      <c r="A246" s="61"/>
      <c r="B246" s="61"/>
      <c r="C246" s="61"/>
      <c r="D246" s="61"/>
      <c r="E246" s="61"/>
      <c r="F246" s="61"/>
      <c r="G246" s="61"/>
      <c r="H246" s="61"/>
      <c r="I246" s="61"/>
      <c r="J246" s="107"/>
      <c r="K246" s="107"/>
      <c r="L246" s="100"/>
      <c r="M246" s="110"/>
      <c r="N246" s="61"/>
      <c r="O246" s="61"/>
      <c r="P246" s="61"/>
      <c r="Q246" s="61"/>
      <c r="R246" s="61"/>
    </row>
    <row r="247">
      <c r="A247" s="65"/>
      <c r="B247" s="65"/>
      <c r="C247" s="65"/>
      <c r="D247" s="65"/>
      <c r="E247" s="65"/>
      <c r="F247" s="65"/>
      <c r="G247" s="65"/>
      <c r="H247" s="65"/>
      <c r="I247" s="65"/>
      <c r="J247" s="108"/>
      <c r="K247" s="108"/>
      <c r="L247" s="103"/>
      <c r="M247" s="111"/>
      <c r="N247" s="65"/>
      <c r="O247" s="65"/>
      <c r="P247" s="65"/>
      <c r="Q247" s="65"/>
      <c r="R247" s="65"/>
    </row>
    <row r="248">
      <c r="A248" s="61"/>
      <c r="B248" s="61"/>
      <c r="C248" s="61"/>
      <c r="D248" s="61"/>
      <c r="E248" s="61"/>
      <c r="F248" s="61"/>
      <c r="G248" s="61"/>
      <c r="H248" s="61"/>
      <c r="I248" s="61"/>
      <c r="J248" s="107"/>
      <c r="K248" s="107"/>
      <c r="L248" s="100"/>
      <c r="M248" s="110"/>
      <c r="N248" s="61"/>
      <c r="O248" s="61"/>
      <c r="P248" s="61"/>
      <c r="Q248" s="61"/>
      <c r="R248" s="61"/>
    </row>
    <row r="249">
      <c r="A249" s="65"/>
      <c r="B249" s="65"/>
      <c r="C249" s="65"/>
      <c r="D249" s="65"/>
      <c r="E249" s="65"/>
      <c r="F249" s="65"/>
      <c r="G249" s="65"/>
      <c r="H249" s="65"/>
      <c r="I249" s="65"/>
      <c r="J249" s="108"/>
      <c r="K249" s="108"/>
      <c r="L249" s="103"/>
      <c r="M249" s="111"/>
      <c r="N249" s="65"/>
      <c r="O249" s="65"/>
      <c r="P249" s="65"/>
      <c r="Q249" s="65"/>
      <c r="R249" s="65"/>
    </row>
    <row r="250">
      <c r="A250" s="61"/>
      <c r="B250" s="61"/>
      <c r="C250" s="61"/>
      <c r="D250" s="61"/>
      <c r="E250" s="61"/>
      <c r="F250" s="61"/>
      <c r="G250" s="61"/>
      <c r="H250" s="61"/>
      <c r="I250" s="61"/>
      <c r="J250" s="107"/>
      <c r="K250" s="107"/>
      <c r="L250" s="100"/>
      <c r="M250" s="110"/>
      <c r="N250" s="61"/>
      <c r="O250" s="61"/>
      <c r="P250" s="61"/>
      <c r="Q250" s="61"/>
      <c r="R250" s="61"/>
    </row>
    <row r="251">
      <c r="A251" s="65"/>
      <c r="B251" s="65"/>
      <c r="C251" s="65"/>
      <c r="D251" s="65"/>
      <c r="E251" s="65"/>
      <c r="F251" s="65"/>
      <c r="G251" s="65"/>
      <c r="H251" s="65"/>
      <c r="I251" s="65"/>
      <c r="J251" s="108"/>
      <c r="K251" s="108"/>
      <c r="L251" s="103"/>
      <c r="M251" s="111"/>
      <c r="N251" s="65"/>
      <c r="O251" s="65"/>
      <c r="P251" s="65"/>
      <c r="Q251" s="65"/>
      <c r="R251" s="65"/>
    </row>
    <row r="252">
      <c r="A252" s="61"/>
      <c r="B252" s="61"/>
      <c r="C252" s="61"/>
      <c r="D252" s="61"/>
      <c r="E252" s="61"/>
      <c r="F252" s="61"/>
      <c r="G252" s="61"/>
      <c r="H252" s="61"/>
      <c r="I252" s="61"/>
      <c r="J252" s="107"/>
      <c r="K252" s="107"/>
      <c r="L252" s="100"/>
      <c r="M252" s="110"/>
      <c r="N252" s="61"/>
      <c r="O252" s="61"/>
      <c r="P252" s="61"/>
      <c r="Q252" s="61"/>
      <c r="R252" s="61"/>
    </row>
    <row r="253">
      <c r="A253" s="65"/>
      <c r="B253" s="65"/>
      <c r="C253" s="65"/>
      <c r="D253" s="65"/>
      <c r="E253" s="65"/>
      <c r="F253" s="65"/>
      <c r="G253" s="65"/>
      <c r="H253" s="65"/>
      <c r="I253" s="65"/>
      <c r="J253" s="108"/>
      <c r="K253" s="108"/>
      <c r="L253" s="103"/>
      <c r="M253" s="111"/>
      <c r="N253" s="65"/>
      <c r="O253" s="65"/>
      <c r="P253" s="65"/>
      <c r="Q253" s="65"/>
      <c r="R253" s="65"/>
    </row>
    <row r="254">
      <c r="A254" s="61"/>
      <c r="B254" s="61"/>
      <c r="C254" s="61"/>
      <c r="D254" s="61"/>
      <c r="E254" s="61"/>
      <c r="F254" s="61"/>
      <c r="G254" s="61"/>
      <c r="H254" s="61"/>
      <c r="I254" s="61"/>
      <c r="J254" s="107"/>
      <c r="K254" s="107"/>
      <c r="L254" s="100"/>
      <c r="M254" s="110"/>
      <c r="N254" s="61"/>
      <c r="O254" s="61"/>
      <c r="P254" s="61"/>
      <c r="Q254" s="61"/>
      <c r="R254" s="61"/>
    </row>
    <row r="255">
      <c r="A255" s="65"/>
      <c r="B255" s="65"/>
      <c r="C255" s="65"/>
      <c r="D255" s="65"/>
      <c r="E255" s="65"/>
      <c r="F255" s="65"/>
      <c r="G255" s="65"/>
      <c r="H255" s="65"/>
      <c r="I255" s="65"/>
      <c r="J255" s="108"/>
      <c r="K255" s="108"/>
      <c r="L255" s="103"/>
      <c r="M255" s="111"/>
      <c r="N255" s="65"/>
      <c r="O255" s="65"/>
      <c r="P255" s="65"/>
      <c r="Q255" s="65"/>
      <c r="R255" s="65"/>
    </row>
    <row r="256">
      <c r="A256" s="61"/>
      <c r="B256" s="61"/>
      <c r="C256" s="61"/>
      <c r="D256" s="61"/>
      <c r="E256" s="61"/>
      <c r="F256" s="61"/>
      <c r="G256" s="61"/>
      <c r="H256" s="61"/>
      <c r="I256" s="61"/>
      <c r="J256" s="107"/>
      <c r="K256" s="107"/>
      <c r="L256" s="100"/>
      <c r="M256" s="110"/>
      <c r="N256" s="61"/>
      <c r="O256" s="61"/>
      <c r="P256" s="61"/>
      <c r="Q256" s="61"/>
      <c r="R256" s="61"/>
    </row>
    <row r="257">
      <c r="A257" s="65"/>
      <c r="B257" s="65"/>
      <c r="C257" s="65"/>
      <c r="D257" s="65"/>
      <c r="E257" s="65"/>
      <c r="F257" s="65"/>
      <c r="G257" s="65"/>
      <c r="H257" s="65"/>
      <c r="I257" s="65"/>
      <c r="J257" s="108"/>
      <c r="K257" s="108"/>
      <c r="L257" s="103"/>
      <c r="M257" s="111"/>
      <c r="N257" s="65"/>
      <c r="O257" s="65"/>
      <c r="P257" s="65"/>
      <c r="Q257" s="65"/>
      <c r="R257" s="65"/>
    </row>
    <row r="258">
      <c r="A258" s="61"/>
      <c r="B258" s="61"/>
      <c r="C258" s="61"/>
      <c r="D258" s="61"/>
      <c r="E258" s="61"/>
      <c r="F258" s="61"/>
      <c r="G258" s="61"/>
      <c r="H258" s="61"/>
      <c r="I258" s="61"/>
      <c r="J258" s="107"/>
      <c r="K258" s="107"/>
      <c r="L258" s="100"/>
      <c r="M258" s="110"/>
      <c r="N258" s="61"/>
      <c r="O258" s="61"/>
      <c r="P258" s="61"/>
      <c r="Q258" s="61"/>
      <c r="R258" s="61"/>
    </row>
    <row r="259">
      <c r="A259" s="65"/>
      <c r="B259" s="65"/>
      <c r="C259" s="65"/>
      <c r="D259" s="65"/>
      <c r="E259" s="65"/>
      <c r="F259" s="65"/>
      <c r="G259" s="65"/>
      <c r="H259" s="65"/>
      <c r="I259" s="65"/>
      <c r="J259" s="108"/>
      <c r="K259" s="108"/>
      <c r="L259" s="103"/>
      <c r="M259" s="111"/>
      <c r="N259" s="65"/>
      <c r="O259" s="65"/>
      <c r="P259" s="65"/>
      <c r="Q259" s="65"/>
      <c r="R259" s="65"/>
    </row>
    <row r="260">
      <c r="A260" s="61"/>
      <c r="B260" s="61"/>
      <c r="C260" s="61"/>
      <c r="D260" s="61"/>
      <c r="E260" s="61"/>
      <c r="F260" s="61"/>
      <c r="G260" s="61"/>
      <c r="H260" s="61"/>
      <c r="I260" s="61"/>
      <c r="J260" s="107"/>
      <c r="K260" s="107"/>
      <c r="L260" s="100"/>
      <c r="M260" s="110"/>
      <c r="N260" s="61"/>
      <c r="O260" s="61"/>
      <c r="P260" s="61"/>
      <c r="Q260" s="61"/>
      <c r="R260" s="61"/>
    </row>
    <row r="261">
      <c r="A261" s="65"/>
      <c r="B261" s="65"/>
      <c r="C261" s="65"/>
      <c r="D261" s="65"/>
      <c r="E261" s="65"/>
      <c r="F261" s="65"/>
      <c r="G261" s="65"/>
      <c r="H261" s="65"/>
      <c r="I261" s="65"/>
      <c r="J261" s="108"/>
      <c r="K261" s="108"/>
      <c r="L261" s="103"/>
      <c r="M261" s="111"/>
      <c r="N261" s="65"/>
      <c r="O261" s="65"/>
      <c r="P261" s="65"/>
      <c r="Q261" s="65"/>
      <c r="R261" s="65"/>
    </row>
    <row r="262">
      <c r="A262" s="61"/>
      <c r="B262" s="61"/>
      <c r="C262" s="61"/>
      <c r="D262" s="61"/>
      <c r="E262" s="61"/>
      <c r="F262" s="61"/>
      <c r="G262" s="61"/>
      <c r="H262" s="61"/>
      <c r="I262" s="61"/>
      <c r="J262" s="107"/>
      <c r="K262" s="107"/>
      <c r="L262" s="100"/>
      <c r="M262" s="110"/>
      <c r="N262" s="61"/>
      <c r="O262" s="61"/>
      <c r="P262" s="61"/>
      <c r="Q262" s="61"/>
      <c r="R262" s="61"/>
    </row>
    <row r="263">
      <c r="A263" s="65"/>
      <c r="B263" s="65"/>
      <c r="C263" s="65"/>
      <c r="D263" s="65"/>
      <c r="E263" s="65"/>
      <c r="F263" s="65"/>
      <c r="G263" s="65"/>
      <c r="H263" s="65"/>
      <c r="I263" s="65"/>
      <c r="J263" s="108"/>
      <c r="K263" s="108"/>
      <c r="L263" s="103"/>
      <c r="M263" s="111"/>
      <c r="N263" s="65"/>
      <c r="O263" s="65"/>
      <c r="P263" s="65"/>
      <c r="Q263" s="65"/>
      <c r="R263" s="65"/>
    </row>
    <row r="264">
      <c r="A264" s="61"/>
      <c r="B264" s="61"/>
      <c r="C264" s="61"/>
      <c r="D264" s="61"/>
      <c r="E264" s="61"/>
      <c r="F264" s="61"/>
      <c r="G264" s="61"/>
      <c r="H264" s="61"/>
      <c r="I264" s="61"/>
      <c r="J264" s="107"/>
      <c r="K264" s="107"/>
      <c r="L264" s="100"/>
      <c r="M264" s="110"/>
      <c r="N264" s="61"/>
      <c r="O264" s="61"/>
      <c r="P264" s="61"/>
      <c r="Q264" s="61"/>
      <c r="R264" s="61"/>
    </row>
    <row r="265">
      <c r="A265" s="65"/>
      <c r="B265" s="65"/>
      <c r="C265" s="65"/>
      <c r="D265" s="65"/>
      <c r="E265" s="65"/>
      <c r="F265" s="65"/>
      <c r="G265" s="65"/>
      <c r="H265" s="65"/>
      <c r="I265" s="65"/>
      <c r="J265" s="108"/>
      <c r="K265" s="108"/>
      <c r="L265" s="103"/>
      <c r="M265" s="111"/>
      <c r="N265" s="65"/>
      <c r="O265" s="65"/>
      <c r="P265" s="65"/>
      <c r="Q265" s="65"/>
      <c r="R265" s="65"/>
    </row>
    <row r="266">
      <c r="A266" s="61"/>
      <c r="B266" s="61"/>
      <c r="C266" s="61"/>
      <c r="D266" s="61"/>
      <c r="E266" s="61"/>
      <c r="F266" s="61"/>
      <c r="G266" s="61"/>
      <c r="H266" s="61"/>
      <c r="I266" s="61"/>
      <c r="J266" s="107"/>
      <c r="K266" s="107"/>
      <c r="L266" s="100"/>
      <c r="M266" s="110"/>
      <c r="N266" s="61"/>
      <c r="O266" s="61"/>
      <c r="P266" s="61"/>
      <c r="Q266" s="61"/>
      <c r="R266" s="61"/>
    </row>
    <row r="267">
      <c r="A267" s="65"/>
      <c r="B267" s="65"/>
      <c r="C267" s="65"/>
      <c r="D267" s="65"/>
      <c r="E267" s="65"/>
      <c r="F267" s="65"/>
      <c r="G267" s="65"/>
      <c r="H267" s="65"/>
      <c r="I267" s="65"/>
      <c r="J267" s="108"/>
      <c r="K267" s="108"/>
      <c r="L267" s="103"/>
      <c r="M267" s="111"/>
      <c r="N267" s="65"/>
      <c r="O267" s="65"/>
      <c r="P267" s="65"/>
      <c r="Q267" s="65"/>
      <c r="R267" s="65"/>
    </row>
    <row r="268">
      <c r="A268" s="61"/>
      <c r="B268" s="61"/>
      <c r="C268" s="61"/>
      <c r="D268" s="61"/>
      <c r="E268" s="61"/>
      <c r="F268" s="61"/>
      <c r="G268" s="61"/>
      <c r="H268" s="61"/>
      <c r="I268" s="61"/>
      <c r="J268" s="107"/>
      <c r="K268" s="107"/>
      <c r="L268" s="100"/>
      <c r="M268" s="110"/>
      <c r="N268" s="61"/>
      <c r="O268" s="61"/>
      <c r="P268" s="61"/>
      <c r="Q268" s="61"/>
      <c r="R268" s="61"/>
    </row>
    <row r="269">
      <c r="A269" s="65"/>
      <c r="B269" s="65"/>
      <c r="C269" s="65"/>
      <c r="D269" s="65"/>
      <c r="E269" s="65"/>
      <c r="F269" s="65"/>
      <c r="G269" s="65"/>
      <c r="H269" s="65"/>
      <c r="I269" s="65"/>
      <c r="J269" s="108"/>
      <c r="K269" s="108"/>
      <c r="L269" s="103"/>
      <c r="M269" s="111"/>
      <c r="N269" s="65"/>
      <c r="O269" s="65"/>
      <c r="P269" s="65"/>
      <c r="Q269" s="65"/>
      <c r="R269" s="65"/>
    </row>
    <row r="270">
      <c r="A270" s="61"/>
      <c r="B270" s="61"/>
      <c r="C270" s="61"/>
      <c r="D270" s="61"/>
      <c r="E270" s="61"/>
      <c r="F270" s="61"/>
      <c r="G270" s="61"/>
      <c r="H270" s="61"/>
      <c r="I270" s="61"/>
      <c r="J270" s="107"/>
      <c r="K270" s="107"/>
      <c r="L270" s="100"/>
      <c r="M270" s="110"/>
      <c r="N270" s="61"/>
      <c r="O270" s="61"/>
      <c r="P270" s="61"/>
      <c r="Q270" s="61"/>
      <c r="R270" s="61"/>
    </row>
    <row r="271">
      <c r="A271" s="65"/>
      <c r="B271" s="65"/>
      <c r="C271" s="65"/>
      <c r="D271" s="65"/>
      <c r="E271" s="65"/>
      <c r="F271" s="65"/>
      <c r="G271" s="65"/>
      <c r="H271" s="65"/>
      <c r="I271" s="65"/>
      <c r="J271" s="108"/>
      <c r="K271" s="108"/>
      <c r="L271" s="103"/>
      <c r="M271" s="111"/>
      <c r="N271" s="65"/>
      <c r="O271" s="65"/>
      <c r="P271" s="65"/>
      <c r="Q271" s="65"/>
      <c r="R271" s="65"/>
    </row>
    <row r="272">
      <c r="A272" s="61"/>
      <c r="B272" s="61"/>
      <c r="C272" s="61"/>
      <c r="D272" s="61"/>
      <c r="E272" s="61"/>
      <c r="F272" s="61"/>
      <c r="G272" s="61"/>
      <c r="H272" s="61"/>
      <c r="I272" s="61"/>
      <c r="J272" s="107"/>
      <c r="K272" s="107"/>
      <c r="L272" s="100"/>
      <c r="M272" s="110"/>
      <c r="N272" s="61"/>
      <c r="O272" s="61"/>
      <c r="P272" s="61"/>
      <c r="Q272" s="61"/>
      <c r="R272" s="61"/>
    </row>
    <row r="273">
      <c r="A273" s="65"/>
      <c r="B273" s="65"/>
      <c r="C273" s="65"/>
      <c r="D273" s="65"/>
      <c r="E273" s="65"/>
      <c r="F273" s="65"/>
      <c r="G273" s="65"/>
      <c r="H273" s="65"/>
      <c r="I273" s="65"/>
      <c r="J273" s="108"/>
      <c r="K273" s="108"/>
      <c r="L273" s="103"/>
      <c r="M273" s="111"/>
      <c r="N273" s="65"/>
      <c r="O273" s="65"/>
      <c r="P273" s="65"/>
      <c r="Q273" s="65"/>
      <c r="R273" s="65"/>
    </row>
    <row r="274">
      <c r="A274" s="61"/>
      <c r="B274" s="61"/>
      <c r="C274" s="61"/>
      <c r="D274" s="61"/>
      <c r="E274" s="61"/>
      <c r="F274" s="61"/>
      <c r="G274" s="61"/>
      <c r="H274" s="61"/>
      <c r="I274" s="61"/>
      <c r="J274" s="107"/>
      <c r="K274" s="107"/>
      <c r="L274" s="100"/>
      <c r="M274" s="110"/>
      <c r="N274" s="61"/>
      <c r="O274" s="61"/>
      <c r="P274" s="61"/>
      <c r="Q274" s="61"/>
      <c r="R274" s="61"/>
    </row>
    <row r="275">
      <c r="A275" s="65"/>
      <c r="B275" s="65"/>
      <c r="C275" s="65"/>
      <c r="D275" s="65"/>
      <c r="E275" s="65"/>
      <c r="F275" s="65"/>
      <c r="G275" s="65"/>
      <c r="H275" s="65"/>
      <c r="I275" s="65"/>
      <c r="J275" s="108"/>
      <c r="K275" s="108"/>
      <c r="L275" s="103"/>
      <c r="M275" s="111"/>
      <c r="N275" s="65"/>
      <c r="O275" s="65"/>
      <c r="P275" s="65"/>
      <c r="Q275" s="65"/>
      <c r="R275" s="65"/>
    </row>
    <row r="276">
      <c r="A276" s="61"/>
      <c r="B276" s="61"/>
      <c r="C276" s="61"/>
      <c r="D276" s="61"/>
      <c r="E276" s="61"/>
      <c r="F276" s="61"/>
      <c r="G276" s="61"/>
      <c r="H276" s="61"/>
      <c r="I276" s="61"/>
      <c r="J276" s="107"/>
      <c r="K276" s="107"/>
      <c r="L276" s="100"/>
      <c r="M276" s="110"/>
      <c r="N276" s="61"/>
      <c r="O276" s="61"/>
      <c r="P276" s="61"/>
      <c r="Q276" s="61"/>
      <c r="R276" s="61"/>
    </row>
    <row r="277">
      <c r="A277" s="65"/>
      <c r="B277" s="65"/>
      <c r="C277" s="65"/>
      <c r="D277" s="65"/>
      <c r="E277" s="65"/>
      <c r="F277" s="65"/>
      <c r="G277" s="65"/>
      <c r="H277" s="65"/>
      <c r="I277" s="65"/>
      <c r="J277" s="108"/>
      <c r="K277" s="108"/>
      <c r="L277" s="103"/>
      <c r="M277" s="111"/>
      <c r="N277" s="65"/>
      <c r="O277" s="65"/>
      <c r="P277" s="65"/>
      <c r="Q277" s="65"/>
      <c r="R277" s="65"/>
    </row>
    <row r="278">
      <c r="A278" s="61"/>
      <c r="B278" s="61"/>
      <c r="C278" s="61"/>
      <c r="D278" s="61"/>
      <c r="E278" s="61"/>
      <c r="F278" s="61"/>
      <c r="G278" s="61"/>
      <c r="H278" s="61"/>
      <c r="I278" s="61"/>
      <c r="J278" s="107"/>
      <c r="K278" s="107"/>
      <c r="L278" s="100"/>
      <c r="M278" s="110"/>
      <c r="N278" s="61"/>
      <c r="O278" s="61"/>
      <c r="P278" s="61"/>
      <c r="Q278" s="61"/>
      <c r="R278" s="61"/>
    </row>
    <row r="279">
      <c r="A279" s="65"/>
      <c r="B279" s="65"/>
      <c r="C279" s="65"/>
      <c r="D279" s="65"/>
      <c r="E279" s="65"/>
      <c r="F279" s="65"/>
      <c r="G279" s="65"/>
      <c r="H279" s="65"/>
      <c r="I279" s="65"/>
      <c r="J279" s="108"/>
      <c r="K279" s="108"/>
      <c r="L279" s="103"/>
      <c r="M279" s="111"/>
      <c r="N279" s="65"/>
      <c r="O279" s="65"/>
      <c r="P279" s="65"/>
      <c r="Q279" s="65"/>
      <c r="R279" s="65"/>
    </row>
    <row r="280">
      <c r="A280" s="61"/>
      <c r="B280" s="61"/>
      <c r="C280" s="61"/>
      <c r="D280" s="61"/>
      <c r="E280" s="61"/>
      <c r="F280" s="61"/>
      <c r="G280" s="61"/>
      <c r="H280" s="61"/>
      <c r="I280" s="61"/>
      <c r="J280" s="107"/>
      <c r="K280" s="107"/>
      <c r="L280" s="100"/>
      <c r="M280" s="110"/>
      <c r="N280" s="61"/>
      <c r="O280" s="61"/>
      <c r="P280" s="61"/>
      <c r="Q280" s="61"/>
      <c r="R280" s="61"/>
    </row>
    <row r="281">
      <c r="A281" s="65"/>
      <c r="B281" s="65"/>
      <c r="C281" s="65"/>
      <c r="D281" s="65"/>
      <c r="E281" s="65"/>
      <c r="F281" s="65"/>
      <c r="G281" s="65"/>
      <c r="H281" s="65"/>
      <c r="I281" s="65"/>
      <c r="J281" s="108"/>
      <c r="K281" s="108"/>
      <c r="L281" s="103"/>
      <c r="M281" s="111"/>
      <c r="N281" s="65"/>
      <c r="O281" s="65"/>
      <c r="P281" s="65"/>
      <c r="Q281" s="65"/>
      <c r="R281" s="65"/>
    </row>
    <row r="282">
      <c r="A282" s="61"/>
      <c r="B282" s="61"/>
      <c r="C282" s="61"/>
      <c r="D282" s="61"/>
      <c r="E282" s="61"/>
      <c r="F282" s="61"/>
      <c r="G282" s="61"/>
      <c r="H282" s="61"/>
      <c r="I282" s="61"/>
      <c r="J282" s="107"/>
      <c r="K282" s="107"/>
      <c r="L282" s="100"/>
      <c r="M282" s="110"/>
      <c r="N282" s="61"/>
      <c r="O282" s="61"/>
      <c r="P282" s="61"/>
      <c r="Q282" s="61"/>
      <c r="R282" s="61"/>
    </row>
    <row r="283">
      <c r="A283" s="65"/>
      <c r="B283" s="65"/>
      <c r="C283" s="65"/>
      <c r="D283" s="65"/>
      <c r="E283" s="65"/>
      <c r="F283" s="65"/>
      <c r="G283" s="65"/>
      <c r="H283" s="65"/>
      <c r="I283" s="65"/>
      <c r="J283" s="108"/>
      <c r="K283" s="108"/>
      <c r="L283" s="103"/>
      <c r="M283" s="111"/>
      <c r="N283" s="65"/>
      <c r="O283" s="65"/>
      <c r="P283" s="65"/>
      <c r="Q283" s="65"/>
      <c r="R283" s="65"/>
    </row>
    <row r="284">
      <c r="A284" s="61"/>
      <c r="B284" s="61"/>
      <c r="C284" s="61"/>
      <c r="D284" s="61"/>
      <c r="E284" s="61"/>
      <c r="F284" s="61"/>
      <c r="G284" s="61"/>
      <c r="H284" s="61"/>
      <c r="I284" s="61"/>
      <c r="J284" s="107"/>
      <c r="K284" s="107"/>
      <c r="L284" s="100"/>
      <c r="M284" s="110"/>
      <c r="N284" s="61"/>
      <c r="O284" s="61"/>
      <c r="P284" s="61"/>
      <c r="Q284" s="61"/>
      <c r="R284" s="61"/>
    </row>
    <row r="285">
      <c r="A285" s="65"/>
      <c r="B285" s="65"/>
      <c r="C285" s="65"/>
      <c r="D285" s="65"/>
      <c r="E285" s="65"/>
      <c r="F285" s="65"/>
      <c r="G285" s="65"/>
      <c r="H285" s="65"/>
      <c r="I285" s="65"/>
      <c r="J285" s="108"/>
      <c r="K285" s="108"/>
      <c r="L285" s="103"/>
      <c r="M285" s="111"/>
      <c r="N285" s="65"/>
      <c r="O285" s="65"/>
      <c r="P285" s="65"/>
      <c r="Q285" s="65"/>
      <c r="R285" s="65"/>
    </row>
    <row r="286">
      <c r="A286" s="61"/>
      <c r="B286" s="61"/>
      <c r="C286" s="61"/>
      <c r="D286" s="61"/>
      <c r="E286" s="61"/>
      <c r="F286" s="61"/>
      <c r="G286" s="61"/>
      <c r="H286" s="61"/>
      <c r="I286" s="61"/>
      <c r="J286" s="107"/>
      <c r="K286" s="107"/>
      <c r="L286" s="100"/>
      <c r="M286" s="110"/>
      <c r="N286" s="61"/>
      <c r="O286" s="61"/>
      <c r="P286" s="61"/>
      <c r="Q286" s="61"/>
      <c r="R286" s="61"/>
    </row>
    <row r="287">
      <c r="A287" s="65"/>
      <c r="B287" s="65"/>
      <c r="C287" s="65"/>
      <c r="D287" s="65"/>
      <c r="E287" s="65"/>
      <c r="F287" s="65"/>
      <c r="G287" s="65"/>
      <c r="H287" s="65"/>
      <c r="I287" s="65"/>
      <c r="J287" s="108"/>
      <c r="K287" s="108"/>
      <c r="L287" s="103"/>
      <c r="M287" s="111"/>
      <c r="N287" s="65"/>
      <c r="O287" s="65"/>
      <c r="P287" s="65"/>
      <c r="Q287" s="65"/>
      <c r="R287" s="65"/>
    </row>
    <row r="288">
      <c r="A288" s="61"/>
      <c r="B288" s="61"/>
      <c r="C288" s="61"/>
      <c r="D288" s="61"/>
      <c r="E288" s="61"/>
      <c r="F288" s="61"/>
      <c r="G288" s="61"/>
      <c r="H288" s="61"/>
      <c r="I288" s="61"/>
      <c r="J288" s="107"/>
      <c r="K288" s="107"/>
      <c r="L288" s="100"/>
      <c r="M288" s="110"/>
      <c r="N288" s="61"/>
      <c r="O288" s="61"/>
      <c r="P288" s="61"/>
      <c r="Q288" s="61"/>
      <c r="R288" s="61"/>
    </row>
    <row r="289">
      <c r="A289" s="65"/>
      <c r="B289" s="65"/>
      <c r="C289" s="65"/>
      <c r="D289" s="65"/>
      <c r="E289" s="65"/>
      <c r="F289" s="65"/>
      <c r="G289" s="65"/>
      <c r="H289" s="65"/>
      <c r="I289" s="65"/>
      <c r="J289" s="108"/>
      <c r="K289" s="108"/>
      <c r="L289" s="103"/>
      <c r="M289" s="111"/>
      <c r="N289" s="65"/>
      <c r="O289" s="65"/>
      <c r="P289" s="65"/>
      <c r="Q289" s="65"/>
      <c r="R289" s="65"/>
    </row>
    <row r="290">
      <c r="A290" s="61"/>
      <c r="B290" s="61"/>
      <c r="C290" s="61"/>
      <c r="D290" s="61"/>
      <c r="E290" s="61"/>
      <c r="F290" s="61"/>
      <c r="G290" s="61"/>
      <c r="H290" s="61"/>
      <c r="I290" s="61"/>
      <c r="J290" s="107"/>
      <c r="K290" s="107"/>
      <c r="L290" s="100"/>
      <c r="M290" s="110"/>
      <c r="N290" s="61"/>
      <c r="O290" s="61"/>
      <c r="P290" s="61"/>
      <c r="Q290" s="61"/>
      <c r="R290" s="61"/>
    </row>
    <row r="291">
      <c r="A291" s="65"/>
      <c r="B291" s="65"/>
      <c r="C291" s="65"/>
      <c r="D291" s="65"/>
      <c r="E291" s="65"/>
      <c r="F291" s="65"/>
      <c r="G291" s="65"/>
      <c r="H291" s="65"/>
      <c r="I291" s="65"/>
      <c r="J291" s="108"/>
      <c r="K291" s="108"/>
      <c r="L291" s="103"/>
      <c r="M291" s="111"/>
      <c r="N291" s="65"/>
      <c r="O291" s="65"/>
      <c r="P291" s="65"/>
      <c r="Q291" s="65"/>
      <c r="R291" s="65"/>
    </row>
    <row r="292">
      <c r="A292" s="61"/>
      <c r="B292" s="61"/>
      <c r="C292" s="61"/>
      <c r="D292" s="61"/>
      <c r="E292" s="61"/>
      <c r="F292" s="61"/>
      <c r="G292" s="61"/>
      <c r="H292" s="61"/>
      <c r="I292" s="61"/>
      <c r="J292" s="107"/>
      <c r="K292" s="107"/>
      <c r="L292" s="100"/>
      <c r="M292" s="110"/>
      <c r="N292" s="61"/>
      <c r="O292" s="61"/>
      <c r="P292" s="61"/>
      <c r="Q292" s="61"/>
      <c r="R292" s="61"/>
    </row>
    <row r="293">
      <c r="A293" s="65"/>
      <c r="B293" s="65"/>
      <c r="C293" s="65"/>
      <c r="D293" s="65"/>
      <c r="E293" s="65"/>
      <c r="F293" s="65"/>
      <c r="G293" s="65"/>
      <c r="H293" s="65"/>
      <c r="I293" s="65"/>
      <c r="J293" s="108"/>
      <c r="K293" s="108"/>
      <c r="L293" s="103"/>
      <c r="M293" s="111"/>
      <c r="N293" s="65"/>
      <c r="O293" s="65"/>
      <c r="P293" s="65"/>
      <c r="Q293" s="65"/>
      <c r="R293" s="65"/>
    </row>
    <row r="294">
      <c r="A294" s="61"/>
      <c r="B294" s="61"/>
      <c r="C294" s="61"/>
      <c r="D294" s="61"/>
      <c r="E294" s="61"/>
      <c r="F294" s="61"/>
      <c r="G294" s="61"/>
      <c r="H294" s="61"/>
      <c r="I294" s="61"/>
      <c r="J294" s="107"/>
      <c r="K294" s="107"/>
      <c r="L294" s="100"/>
      <c r="M294" s="110"/>
      <c r="N294" s="61"/>
      <c r="O294" s="61"/>
      <c r="P294" s="61"/>
      <c r="Q294" s="61"/>
      <c r="R294" s="61"/>
    </row>
    <row r="295">
      <c r="A295" s="65"/>
      <c r="B295" s="65"/>
      <c r="C295" s="65"/>
      <c r="D295" s="65"/>
      <c r="E295" s="65"/>
      <c r="F295" s="65"/>
      <c r="G295" s="65"/>
      <c r="H295" s="65"/>
      <c r="I295" s="65"/>
      <c r="J295" s="108"/>
      <c r="K295" s="108"/>
      <c r="L295" s="103"/>
      <c r="M295" s="111"/>
      <c r="N295" s="65"/>
      <c r="O295" s="65"/>
      <c r="P295" s="65"/>
      <c r="Q295" s="65"/>
      <c r="R295" s="65"/>
    </row>
    <row r="296">
      <c r="A296" s="61"/>
      <c r="B296" s="61"/>
      <c r="C296" s="61"/>
      <c r="D296" s="61"/>
      <c r="E296" s="61"/>
      <c r="F296" s="61"/>
      <c r="G296" s="61"/>
      <c r="H296" s="61"/>
      <c r="I296" s="61"/>
      <c r="J296" s="107"/>
      <c r="K296" s="107"/>
      <c r="L296" s="100"/>
      <c r="M296" s="110"/>
      <c r="N296" s="61"/>
      <c r="O296" s="61"/>
      <c r="P296" s="61"/>
      <c r="Q296" s="61"/>
      <c r="R296" s="61"/>
    </row>
    <row r="297">
      <c r="A297" s="65"/>
      <c r="B297" s="65"/>
      <c r="C297" s="65"/>
      <c r="D297" s="65"/>
      <c r="E297" s="65"/>
      <c r="F297" s="65"/>
      <c r="G297" s="65"/>
      <c r="H297" s="65"/>
      <c r="I297" s="65"/>
      <c r="J297" s="108"/>
      <c r="K297" s="108"/>
      <c r="L297" s="103"/>
      <c r="M297" s="111"/>
      <c r="N297" s="65"/>
      <c r="O297" s="65"/>
      <c r="P297" s="65"/>
      <c r="Q297" s="65"/>
      <c r="R297" s="65"/>
    </row>
    <row r="298">
      <c r="A298" s="61"/>
      <c r="B298" s="61"/>
      <c r="C298" s="61"/>
      <c r="D298" s="61"/>
      <c r="E298" s="61"/>
      <c r="F298" s="61"/>
      <c r="G298" s="61"/>
      <c r="H298" s="61"/>
      <c r="I298" s="61"/>
      <c r="J298" s="107"/>
      <c r="K298" s="107"/>
      <c r="L298" s="100"/>
      <c r="M298" s="110"/>
      <c r="N298" s="61"/>
      <c r="O298" s="61"/>
      <c r="P298" s="61"/>
      <c r="Q298" s="61"/>
      <c r="R298" s="61"/>
    </row>
    <row r="299">
      <c r="A299" s="65"/>
      <c r="B299" s="65"/>
      <c r="C299" s="65"/>
      <c r="D299" s="65"/>
      <c r="E299" s="65"/>
      <c r="F299" s="65"/>
      <c r="G299" s="65"/>
      <c r="H299" s="65"/>
      <c r="I299" s="65"/>
      <c r="J299" s="108"/>
      <c r="K299" s="108"/>
      <c r="L299" s="103"/>
      <c r="M299" s="111"/>
      <c r="N299" s="65"/>
      <c r="O299" s="65"/>
      <c r="P299" s="65"/>
      <c r="Q299" s="65"/>
      <c r="R299" s="65"/>
    </row>
    <row r="300">
      <c r="A300" s="61"/>
      <c r="B300" s="61"/>
      <c r="C300" s="61"/>
      <c r="D300" s="61"/>
      <c r="E300" s="61"/>
      <c r="F300" s="61"/>
      <c r="G300" s="61"/>
      <c r="H300" s="61"/>
      <c r="I300" s="61"/>
      <c r="J300" s="107"/>
      <c r="K300" s="107"/>
      <c r="L300" s="100"/>
      <c r="M300" s="110"/>
      <c r="N300" s="61"/>
      <c r="O300" s="61"/>
      <c r="P300" s="61"/>
      <c r="Q300" s="61"/>
      <c r="R300" s="61"/>
    </row>
    <row r="301">
      <c r="A301" s="65"/>
      <c r="B301" s="65"/>
      <c r="C301" s="65"/>
      <c r="D301" s="65"/>
      <c r="E301" s="65"/>
      <c r="F301" s="65"/>
      <c r="G301" s="65"/>
      <c r="H301" s="65"/>
      <c r="I301" s="65"/>
      <c r="J301" s="108"/>
      <c r="K301" s="108"/>
      <c r="L301" s="103"/>
      <c r="M301" s="111"/>
      <c r="N301" s="65"/>
      <c r="O301" s="65"/>
      <c r="P301" s="65"/>
      <c r="Q301" s="65"/>
      <c r="R301" s="65"/>
    </row>
    <row r="302">
      <c r="A302" s="61"/>
      <c r="B302" s="61"/>
      <c r="C302" s="61"/>
      <c r="D302" s="61"/>
      <c r="E302" s="61"/>
      <c r="F302" s="61"/>
      <c r="G302" s="61"/>
      <c r="H302" s="61"/>
      <c r="I302" s="61"/>
      <c r="J302" s="107"/>
      <c r="K302" s="107"/>
      <c r="L302" s="100"/>
      <c r="M302" s="110"/>
      <c r="N302" s="61"/>
      <c r="O302" s="61"/>
      <c r="P302" s="61"/>
      <c r="Q302" s="61"/>
      <c r="R302" s="61"/>
    </row>
    <row r="303">
      <c r="A303" s="65"/>
      <c r="B303" s="65"/>
      <c r="C303" s="65"/>
      <c r="D303" s="65"/>
      <c r="E303" s="65"/>
      <c r="F303" s="65"/>
      <c r="G303" s="65"/>
      <c r="H303" s="65"/>
      <c r="I303" s="65"/>
      <c r="J303" s="108"/>
      <c r="K303" s="108"/>
      <c r="L303" s="103"/>
      <c r="M303" s="111"/>
      <c r="N303" s="65"/>
      <c r="O303" s="65"/>
      <c r="P303" s="65"/>
      <c r="Q303" s="65"/>
      <c r="R303" s="65"/>
    </row>
    <row r="304">
      <c r="A304" s="61"/>
      <c r="B304" s="61"/>
      <c r="C304" s="61"/>
      <c r="D304" s="61"/>
      <c r="E304" s="61"/>
      <c r="F304" s="61"/>
      <c r="G304" s="61"/>
      <c r="H304" s="61"/>
      <c r="I304" s="61"/>
      <c r="J304" s="107"/>
      <c r="K304" s="107"/>
      <c r="L304" s="100"/>
      <c r="M304" s="110"/>
      <c r="N304" s="61"/>
      <c r="O304" s="61"/>
      <c r="P304" s="61"/>
      <c r="Q304" s="61"/>
      <c r="R304" s="61"/>
    </row>
    <row r="305">
      <c r="A305" s="65"/>
      <c r="B305" s="65"/>
      <c r="C305" s="65"/>
      <c r="D305" s="65"/>
      <c r="E305" s="65"/>
      <c r="F305" s="65"/>
      <c r="G305" s="65"/>
      <c r="H305" s="65"/>
      <c r="I305" s="65"/>
      <c r="J305" s="108"/>
      <c r="K305" s="108"/>
      <c r="L305" s="103"/>
      <c r="M305" s="111"/>
      <c r="N305" s="65"/>
      <c r="O305" s="65"/>
      <c r="P305" s="65"/>
      <c r="Q305" s="65"/>
      <c r="R305" s="65"/>
    </row>
    <row r="306">
      <c r="A306" s="61"/>
      <c r="B306" s="61"/>
      <c r="C306" s="61"/>
      <c r="D306" s="61"/>
      <c r="E306" s="61"/>
      <c r="F306" s="61"/>
      <c r="G306" s="61"/>
      <c r="H306" s="61"/>
      <c r="I306" s="61"/>
      <c r="J306" s="107"/>
      <c r="K306" s="107"/>
      <c r="L306" s="100"/>
      <c r="M306" s="110"/>
      <c r="N306" s="61"/>
      <c r="O306" s="61"/>
      <c r="P306" s="61"/>
      <c r="Q306" s="61"/>
      <c r="R306" s="61"/>
    </row>
    <row r="307">
      <c r="A307" s="65"/>
      <c r="B307" s="65"/>
      <c r="C307" s="65"/>
      <c r="D307" s="65"/>
      <c r="E307" s="65"/>
      <c r="F307" s="65"/>
      <c r="G307" s="65"/>
      <c r="H307" s="65"/>
      <c r="I307" s="65"/>
      <c r="J307" s="108"/>
      <c r="K307" s="108"/>
      <c r="L307" s="103"/>
      <c r="M307" s="111"/>
      <c r="N307" s="65"/>
      <c r="O307" s="65"/>
      <c r="P307" s="65"/>
      <c r="Q307" s="65"/>
      <c r="R307" s="65"/>
    </row>
    <row r="308">
      <c r="A308" s="61"/>
      <c r="B308" s="61"/>
      <c r="C308" s="61"/>
      <c r="D308" s="61"/>
      <c r="E308" s="61"/>
      <c r="F308" s="61"/>
      <c r="G308" s="61"/>
      <c r="H308" s="61"/>
      <c r="I308" s="61"/>
      <c r="J308" s="107"/>
      <c r="K308" s="107"/>
      <c r="L308" s="100"/>
      <c r="M308" s="110"/>
      <c r="N308" s="61"/>
      <c r="O308" s="61"/>
      <c r="P308" s="61"/>
      <c r="Q308" s="61"/>
      <c r="R308" s="61"/>
    </row>
    <row r="309">
      <c r="A309" s="65"/>
      <c r="B309" s="65"/>
      <c r="C309" s="65"/>
      <c r="D309" s="65"/>
      <c r="E309" s="65"/>
      <c r="F309" s="65"/>
      <c r="G309" s="65"/>
      <c r="H309" s="65"/>
      <c r="I309" s="65"/>
      <c r="J309" s="108"/>
      <c r="K309" s="108"/>
      <c r="L309" s="103"/>
      <c r="M309" s="111"/>
      <c r="N309" s="65"/>
      <c r="O309" s="65"/>
      <c r="P309" s="65"/>
      <c r="Q309" s="65"/>
      <c r="R309" s="65"/>
    </row>
    <row r="310">
      <c r="A310" s="61"/>
      <c r="B310" s="61"/>
      <c r="C310" s="61"/>
      <c r="D310" s="61"/>
      <c r="E310" s="61"/>
      <c r="F310" s="61"/>
      <c r="G310" s="61"/>
      <c r="H310" s="61"/>
      <c r="I310" s="61"/>
      <c r="J310" s="107"/>
      <c r="K310" s="107"/>
      <c r="L310" s="100"/>
      <c r="M310" s="110"/>
      <c r="N310" s="61"/>
      <c r="O310" s="61"/>
      <c r="P310" s="61"/>
      <c r="Q310" s="61"/>
      <c r="R310" s="61"/>
    </row>
    <row r="311">
      <c r="A311" s="65"/>
      <c r="B311" s="65"/>
      <c r="C311" s="65"/>
      <c r="D311" s="65"/>
      <c r="E311" s="65"/>
      <c r="F311" s="65"/>
      <c r="G311" s="65"/>
      <c r="H311" s="65"/>
      <c r="I311" s="65"/>
      <c r="J311" s="108"/>
      <c r="K311" s="108"/>
      <c r="L311" s="103"/>
      <c r="M311" s="111"/>
      <c r="N311" s="65"/>
      <c r="O311" s="65"/>
      <c r="P311" s="65"/>
      <c r="Q311" s="65"/>
      <c r="R311" s="65"/>
    </row>
    <row r="312">
      <c r="A312" s="61"/>
      <c r="B312" s="61"/>
      <c r="C312" s="61"/>
      <c r="D312" s="61"/>
      <c r="E312" s="61"/>
      <c r="F312" s="61"/>
      <c r="G312" s="61"/>
      <c r="H312" s="61"/>
      <c r="I312" s="61"/>
      <c r="J312" s="107"/>
      <c r="K312" s="107"/>
      <c r="L312" s="100"/>
      <c r="M312" s="110"/>
      <c r="N312" s="61"/>
      <c r="O312" s="61"/>
      <c r="P312" s="61"/>
      <c r="Q312" s="61"/>
      <c r="R312" s="61"/>
    </row>
    <row r="313">
      <c r="A313" s="65"/>
      <c r="B313" s="65"/>
      <c r="C313" s="65"/>
      <c r="D313" s="65"/>
      <c r="E313" s="65"/>
      <c r="F313" s="65"/>
      <c r="G313" s="65"/>
      <c r="H313" s="65"/>
      <c r="I313" s="65"/>
      <c r="J313" s="108"/>
      <c r="K313" s="108"/>
      <c r="L313" s="103"/>
      <c r="M313" s="111"/>
      <c r="N313" s="65"/>
      <c r="O313" s="65"/>
      <c r="P313" s="65"/>
      <c r="Q313" s="65"/>
      <c r="R313" s="65"/>
    </row>
    <row r="314">
      <c r="A314" s="61"/>
      <c r="B314" s="61"/>
      <c r="C314" s="61"/>
      <c r="D314" s="61"/>
      <c r="E314" s="61"/>
      <c r="F314" s="61"/>
      <c r="G314" s="61"/>
      <c r="H314" s="61"/>
      <c r="I314" s="61"/>
      <c r="J314" s="107"/>
      <c r="K314" s="107"/>
      <c r="L314" s="100"/>
      <c r="M314" s="110"/>
      <c r="N314" s="61"/>
      <c r="O314" s="61"/>
      <c r="P314" s="61"/>
      <c r="Q314" s="61"/>
      <c r="R314" s="61"/>
    </row>
    <row r="315">
      <c r="A315" s="65"/>
      <c r="B315" s="65"/>
      <c r="C315" s="65"/>
      <c r="D315" s="65"/>
      <c r="E315" s="65"/>
      <c r="F315" s="65"/>
      <c r="G315" s="65"/>
      <c r="H315" s="65"/>
      <c r="I315" s="65"/>
      <c r="J315" s="108"/>
      <c r="K315" s="108"/>
      <c r="L315" s="103"/>
      <c r="M315" s="111"/>
      <c r="N315" s="65"/>
      <c r="O315" s="65"/>
      <c r="P315" s="65"/>
      <c r="Q315" s="65"/>
      <c r="R315" s="65"/>
    </row>
    <row r="316">
      <c r="A316" s="61"/>
      <c r="B316" s="61"/>
      <c r="C316" s="61"/>
      <c r="D316" s="61"/>
      <c r="E316" s="61"/>
      <c r="F316" s="61"/>
      <c r="G316" s="61"/>
      <c r="H316" s="61"/>
      <c r="I316" s="61"/>
      <c r="J316" s="107"/>
      <c r="K316" s="107"/>
      <c r="L316" s="100"/>
      <c r="M316" s="110"/>
      <c r="N316" s="61"/>
      <c r="O316" s="61"/>
      <c r="P316" s="61"/>
      <c r="Q316" s="61"/>
      <c r="R316" s="61"/>
    </row>
    <row r="317">
      <c r="A317" s="65"/>
      <c r="B317" s="65"/>
      <c r="C317" s="65"/>
      <c r="D317" s="65"/>
      <c r="E317" s="65"/>
      <c r="F317" s="65"/>
      <c r="G317" s="65"/>
      <c r="H317" s="65"/>
      <c r="I317" s="65"/>
      <c r="J317" s="108"/>
      <c r="K317" s="108"/>
      <c r="L317" s="103"/>
      <c r="M317" s="111"/>
      <c r="N317" s="65"/>
      <c r="O317" s="65"/>
      <c r="P317" s="65"/>
      <c r="Q317" s="65"/>
      <c r="R317" s="65"/>
    </row>
    <row r="318">
      <c r="A318" s="61"/>
      <c r="B318" s="61"/>
      <c r="C318" s="61"/>
      <c r="D318" s="61"/>
      <c r="E318" s="61"/>
      <c r="F318" s="61"/>
      <c r="G318" s="61"/>
      <c r="H318" s="61"/>
      <c r="I318" s="61"/>
      <c r="J318" s="107"/>
      <c r="K318" s="107"/>
      <c r="L318" s="100"/>
      <c r="M318" s="110"/>
      <c r="N318" s="61"/>
      <c r="O318" s="61"/>
      <c r="P318" s="61"/>
      <c r="Q318" s="61"/>
      <c r="R318" s="61"/>
    </row>
    <row r="319">
      <c r="A319" s="65"/>
      <c r="B319" s="65"/>
      <c r="C319" s="65"/>
      <c r="D319" s="65"/>
      <c r="E319" s="65"/>
      <c r="F319" s="65"/>
      <c r="G319" s="65"/>
      <c r="H319" s="65"/>
      <c r="I319" s="65"/>
      <c r="J319" s="108"/>
      <c r="K319" s="108"/>
      <c r="L319" s="103"/>
      <c r="M319" s="111"/>
      <c r="N319" s="65"/>
      <c r="O319" s="65"/>
      <c r="P319" s="65"/>
      <c r="Q319" s="65"/>
      <c r="R319" s="65"/>
    </row>
    <row r="320">
      <c r="A320" s="61"/>
      <c r="B320" s="61"/>
      <c r="C320" s="61"/>
      <c r="D320" s="61"/>
      <c r="E320" s="61"/>
      <c r="F320" s="61"/>
      <c r="G320" s="61"/>
      <c r="H320" s="61"/>
      <c r="I320" s="61"/>
      <c r="J320" s="107"/>
      <c r="K320" s="107"/>
      <c r="L320" s="100"/>
      <c r="M320" s="110"/>
      <c r="N320" s="61"/>
      <c r="O320" s="61"/>
      <c r="P320" s="61"/>
      <c r="Q320" s="61"/>
      <c r="R320" s="61"/>
    </row>
    <row r="321">
      <c r="A321" s="65"/>
      <c r="B321" s="65"/>
      <c r="C321" s="65"/>
      <c r="D321" s="65"/>
      <c r="E321" s="65"/>
      <c r="F321" s="65"/>
      <c r="G321" s="65"/>
      <c r="H321" s="65"/>
      <c r="I321" s="65"/>
      <c r="J321" s="108"/>
      <c r="K321" s="108"/>
      <c r="L321" s="103"/>
      <c r="M321" s="111"/>
      <c r="N321" s="65"/>
      <c r="O321" s="65"/>
      <c r="P321" s="65"/>
      <c r="Q321" s="65"/>
      <c r="R321" s="65"/>
    </row>
    <row r="322">
      <c r="A322" s="61"/>
      <c r="B322" s="61"/>
      <c r="C322" s="61"/>
      <c r="D322" s="61"/>
      <c r="E322" s="61"/>
      <c r="F322" s="61"/>
      <c r="G322" s="61"/>
      <c r="H322" s="61"/>
      <c r="I322" s="61"/>
      <c r="J322" s="107"/>
      <c r="K322" s="107"/>
      <c r="L322" s="100"/>
      <c r="M322" s="110"/>
      <c r="N322" s="61"/>
      <c r="O322" s="61"/>
      <c r="P322" s="61"/>
      <c r="Q322" s="61"/>
      <c r="R322" s="61"/>
    </row>
    <row r="323">
      <c r="A323" s="65"/>
      <c r="B323" s="65"/>
      <c r="C323" s="65"/>
      <c r="D323" s="65"/>
      <c r="E323" s="65"/>
      <c r="F323" s="65"/>
      <c r="G323" s="65"/>
      <c r="H323" s="65"/>
      <c r="I323" s="65"/>
      <c r="J323" s="108"/>
      <c r="K323" s="108"/>
      <c r="L323" s="103"/>
      <c r="M323" s="111"/>
      <c r="N323" s="65"/>
      <c r="O323" s="65"/>
      <c r="P323" s="65"/>
      <c r="Q323" s="65"/>
      <c r="R323" s="65"/>
    </row>
    <row r="324">
      <c r="A324" s="61"/>
      <c r="B324" s="61"/>
      <c r="C324" s="61"/>
      <c r="D324" s="61"/>
      <c r="E324" s="61"/>
      <c r="F324" s="61"/>
      <c r="G324" s="61"/>
      <c r="H324" s="61"/>
      <c r="I324" s="61"/>
      <c r="J324" s="107"/>
      <c r="K324" s="107"/>
      <c r="L324" s="100"/>
      <c r="M324" s="110"/>
      <c r="N324" s="61"/>
      <c r="O324" s="61"/>
      <c r="P324" s="61"/>
      <c r="Q324" s="61"/>
      <c r="R324" s="61"/>
    </row>
    <row r="325">
      <c r="A325" s="65"/>
      <c r="B325" s="65"/>
      <c r="C325" s="65"/>
      <c r="D325" s="65"/>
      <c r="E325" s="65"/>
      <c r="F325" s="65"/>
      <c r="G325" s="65"/>
      <c r="H325" s="65"/>
      <c r="I325" s="65"/>
      <c r="J325" s="108"/>
      <c r="K325" s="108"/>
      <c r="L325" s="103"/>
      <c r="M325" s="111"/>
      <c r="N325" s="65"/>
      <c r="O325" s="65"/>
      <c r="P325" s="65"/>
      <c r="Q325" s="65"/>
      <c r="R325" s="65"/>
    </row>
    <row r="326">
      <c r="A326" s="61"/>
      <c r="B326" s="61"/>
      <c r="C326" s="61"/>
      <c r="D326" s="61"/>
      <c r="E326" s="61"/>
      <c r="F326" s="61"/>
      <c r="G326" s="61"/>
      <c r="H326" s="61"/>
      <c r="I326" s="61"/>
      <c r="J326" s="107"/>
      <c r="K326" s="107"/>
      <c r="L326" s="100"/>
      <c r="M326" s="110"/>
      <c r="N326" s="61"/>
      <c r="O326" s="61"/>
      <c r="P326" s="61"/>
      <c r="Q326" s="61"/>
      <c r="R326" s="61"/>
    </row>
    <row r="327">
      <c r="A327" s="65"/>
      <c r="B327" s="65"/>
      <c r="C327" s="65"/>
      <c r="D327" s="65"/>
      <c r="E327" s="65"/>
      <c r="F327" s="65"/>
      <c r="G327" s="65"/>
      <c r="H327" s="65"/>
      <c r="I327" s="65"/>
      <c r="J327" s="108"/>
      <c r="K327" s="108"/>
      <c r="L327" s="103"/>
      <c r="M327" s="111"/>
      <c r="N327" s="65"/>
      <c r="O327" s="65"/>
      <c r="P327" s="65"/>
      <c r="Q327" s="65"/>
      <c r="R327" s="65"/>
    </row>
    <row r="328">
      <c r="A328" s="61"/>
      <c r="B328" s="61"/>
      <c r="C328" s="61"/>
      <c r="D328" s="61"/>
      <c r="E328" s="61"/>
      <c r="F328" s="61"/>
      <c r="G328" s="61"/>
      <c r="H328" s="61"/>
      <c r="I328" s="61"/>
      <c r="J328" s="107"/>
      <c r="K328" s="107"/>
      <c r="L328" s="100"/>
      <c r="M328" s="110"/>
      <c r="N328" s="61"/>
      <c r="O328" s="61"/>
      <c r="P328" s="61"/>
      <c r="Q328" s="61"/>
      <c r="R328" s="61"/>
    </row>
    <row r="329">
      <c r="A329" s="65"/>
      <c r="B329" s="65"/>
      <c r="C329" s="65"/>
      <c r="D329" s="65"/>
      <c r="E329" s="65"/>
      <c r="F329" s="65"/>
      <c r="G329" s="65"/>
      <c r="H329" s="65"/>
      <c r="I329" s="65"/>
      <c r="J329" s="108"/>
      <c r="K329" s="108"/>
      <c r="L329" s="103"/>
      <c r="M329" s="111"/>
      <c r="N329" s="65"/>
      <c r="O329" s="65"/>
      <c r="P329" s="65"/>
      <c r="Q329" s="65"/>
      <c r="R329" s="65"/>
    </row>
    <row r="330">
      <c r="A330" s="61"/>
      <c r="B330" s="61"/>
      <c r="C330" s="61"/>
      <c r="D330" s="61"/>
      <c r="E330" s="61"/>
      <c r="F330" s="61"/>
      <c r="G330" s="61"/>
      <c r="H330" s="61"/>
      <c r="I330" s="61"/>
      <c r="J330" s="107"/>
      <c r="K330" s="107"/>
      <c r="L330" s="100"/>
      <c r="M330" s="110"/>
      <c r="N330" s="61"/>
      <c r="O330" s="61"/>
      <c r="P330" s="61"/>
      <c r="Q330" s="61"/>
      <c r="R330" s="61"/>
    </row>
    <row r="331">
      <c r="A331" s="65"/>
      <c r="B331" s="65"/>
      <c r="C331" s="65"/>
      <c r="D331" s="65"/>
      <c r="E331" s="65"/>
      <c r="F331" s="65"/>
      <c r="G331" s="65"/>
      <c r="H331" s="65"/>
      <c r="I331" s="65"/>
      <c r="J331" s="108"/>
      <c r="K331" s="108"/>
      <c r="L331" s="103"/>
      <c r="M331" s="111"/>
      <c r="N331" s="65"/>
      <c r="O331" s="65"/>
      <c r="P331" s="65"/>
      <c r="Q331" s="65"/>
      <c r="R331" s="65"/>
    </row>
    <row r="332">
      <c r="A332" s="61"/>
      <c r="B332" s="61"/>
      <c r="C332" s="61"/>
      <c r="D332" s="61"/>
      <c r="E332" s="61"/>
      <c r="F332" s="61"/>
      <c r="G332" s="61"/>
      <c r="H332" s="61"/>
      <c r="I332" s="61"/>
      <c r="J332" s="107"/>
      <c r="K332" s="107"/>
      <c r="L332" s="100"/>
      <c r="M332" s="110"/>
      <c r="N332" s="61"/>
      <c r="O332" s="61"/>
      <c r="P332" s="61"/>
      <c r="Q332" s="61"/>
      <c r="R332" s="61"/>
    </row>
    <row r="333">
      <c r="A333" s="65"/>
      <c r="B333" s="65"/>
      <c r="C333" s="65"/>
      <c r="D333" s="65"/>
      <c r="E333" s="65"/>
      <c r="F333" s="65"/>
      <c r="G333" s="65"/>
      <c r="H333" s="65"/>
      <c r="I333" s="65"/>
      <c r="J333" s="108"/>
      <c r="K333" s="108"/>
      <c r="L333" s="103"/>
      <c r="M333" s="111"/>
      <c r="N333" s="65"/>
      <c r="O333" s="65"/>
      <c r="P333" s="65"/>
      <c r="Q333" s="65"/>
      <c r="R333" s="65"/>
    </row>
    <row r="334">
      <c r="A334" s="61"/>
      <c r="B334" s="61"/>
      <c r="C334" s="61"/>
      <c r="D334" s="61"/>
      <c r="E334" s="61"/>
      <c r="F334" s="61"/>
      <c r="G334" s="61"/>
      <c r="H334" s="61"/>
      <c r="I334" s="61"/>
      <c r="J334" s="107"/>
      <c r="K334" s="107"/>
      <c r="L334" s="100"/>
      <c r="M334" s="110"/>
      <c r="N334" s="61"/>
      <c r="O334" s="61"/>
      <c r="P334" s="61"/>
      <c r="Q334" s="61"/>
      <c r="R334" s="61"/>
    </row>
    <row r="335">
      <c r="A335" s="65"/>
      <c r="B335" s="65"/>
      <c r="C335" s="65"/>
      <c r="D335" s="65"/>
      <c r="E335" s="65"/>
      <c r="F335" s="65"/>
      <c r="G335" s="65"/>
      <c r="H335" s="65"/>
      <c r="I335" s="65"/>
      <c r="J335" s="108"/>
      <c r="K335" s="108"/>
      <c r="L335" s="103"/>
      <c r="M335" s="111"/>
      <c r="N335" s="65"/>
      <c r="O335" s="65"/>
      <c r="P335" s="65"/>
      <c r="Q335" s="65"/>
      <c r="R335" s="65"/>
    </row>
    <row r="336">
      <c r="A336" s="61"/>
      <c r="B336" s="61"/>
      <c r="C336" s="61"/>
      <c r="D336" s="61"/>
      <c r="E336" s="61"/>
      <c r="F336" s="61"/>
      <c r="G336" s="61"/>
      <c r="H336" s="61"/>
      <c r="I336" s="61"/>
      <c r="J336" s="107"/>
      <c r="K336" s="107"/>
      <c r="L336" s="100"/>
      <c r="M336" s="110"/>
      <c r="N336" s="61"/>
      <c r="O336" s="61"/>
      <c r="P336" s="61"/>
      <c r="Q336" s="61"/>
      <c r="R336" s="61"/>
    </row>
    <row r="337">
      <c r="A337" s="65"/>
      <c r="B337" s="65"/>
      <c r="C337" s="65"/>
      <c r="D337" s="65"/>
      <c r="E337" s="65"/>
      <c r="F337" s="65"/>
      <c r="G337" s="65"/>
      <c r="H337" s="65"/>
      <c r="I337" s="65"/>
      <c r="J337" s="108"/>
      <c r="K337" s="108"/>
      <c r="L337" s="103"/>
      <c r="M337" s="111"/>
      <c r="N337" s="65"/>
      <c r="O337" s="65"/>
      <c r="P337" s="65"/>
      <c r="Q337" s="65"/>
      <c r="R337" s="65"/>
    </row>
    <row r="338">
      <c r="A338" s="61"/>
      <c r="B338" s="61"/>
      <c r="C338" s="61"/>
      <c r="D338" s="61"/>
      <c r="E338" s="61"/>
      <c r="F338" s="61"/>
      <c r="G338" s="61"/>
      <c r="H338" s="61"/>
      <c r="I338" s="61"/>
      <c r="J338" s="107"/>
      <c r="K338" s="107"/>
      <c r="L338" s="100"/>
      <c r="M338" s="110"/>
      <c r="N338" s="61"/>
      <c r="O338" s="61"/>
      <c r="P338" s="61"/>
      <c r="Q338" s="61"/>
      <c r="R338" s="61"/>
    </row>
    <row r="339">
      <c r="A339" s="65"/>
      <c r="B339" s="65"/>
      <c r="C339" s="65"/>
      <c r="D339" s="65"/>
      <c r="E339" s="65"/>
      <c r="F339" s="65"/>
      <c r="G339" s="65"/>
      <c r="H339" s="65"/>
      <c r="I339" s="65"/>
      <c r="J339" s="108"/>
      <c r="K339" s="108"/>
      <c r="L339" s="103"/>
      <c r="M339" s="111"/>
      <c r="N339" s="65"/>
      <c r="O339" s="65"/>
      <c r="P339" s="65"/>
      <c r="Q339" s="65"/>
      <c r="R339" s="65"/>
    </row>
    <row r="340">
      <c r="A340" s="61"/>
      <c r="B340" s="61"/>
      <c r="C340" s="61"/>
      <c r="D340" s="61"/>
      <c r="E340" s="61"/>
      <c r="F340" s="61"/>
      <c r="G340" s="61"/>
      <c r="H340" s="61"/>
      <c r="I340" s="61"/>
      <c r="J340" s="107"/>
      <c r="K340" s="107"/>
      <c r="L340" s="100"/>
      <c r="M340" s="110"/>
      <c r="N340" s="61"/>
      <c r="O340" s="61"/>
      <c r="P340" s="61"/>
      <c r="Q340" s="61"/>
      <c r="R340" s="61"/>
    </row>
    <row r="341">
      <c r="A341" s="65"/>
      <c r="B341" s="65"/>
      <c r="C341" s="65"/>
      <c r="D341" s="65"/>
      <c r="E341" s="65"/>
      <c r="F341" s="65"/>
      <c r="G341" s="65"/>
      <c r="H341" s="65"/>
      <c r="I341" s="65"/>
      <c r="J341" s="108"/>
      <c r="K341" s="108"/>
      <c r="L341" s="103"/>
      <c r="M341" s="111"/>
      <c r="N341" s="65"/>
      <c r="O341" s="65"/>
      <c r="P341" s="65"/>
      <c r="Q341" s="65"/>
      <c r="R341" s="65"/>
    </row>
    <row r="342">
      <c r="A342" s="61"/>
      <c r="B342" s="61"/>
      <c r="C342" s="61"/>
      <c r="D342" s="61"/>
      <c r="E342" s="61"/>
      <c r="F342" s="61"/>
      <c r="G342" s="61"/>
      <c r="H342" s="61"/>
      <c r="I342" s="61"/>
      <c r="J342" s="107"/>
      <c r="K342" s="107"/>
      <c r="L342" s="100"/>
      <c r="M342" s="110"/>
      <c r="N342" s="61"/>
      <c r="O342" s="61"/>
      <c r="P342" s="61"/>
      <c r="Q342" s="61"/>
      <c r="R342" s="61"/>
    </row>
    <row r="343">
      <c r="A343" s="65"/>
      <c r="B343" s="65"/>
      <c r="C343" s="65"/>
      <c r="D343" s="65"/>
      <c r="E343" s="65"/>
      <c r="F343" s="65"/>
      <c r="G343" s="65"/>
      <c r="H343" s="65"/>
      <c r="I343" s="65"/>
      <c r="J343" s="108"/>
      <c r="K343" s="108"/>
      <c r="L343" s="103"/>
      <c r="M343" s="111"/>
      <c r="N343" s="65"/>
      <c r="O343" s="65"/>
      <c r="P343" s="65"/>
      <c r="Q343" s="65"/>
      <c r="R343" s="65"/>
    </row>
    <row r="344">
      <c r="A344" s="61"/>
      <c r="B344" s="61"/>
      <c r="C344" s="61"/>
      <c r="D344" s="61"/>
      <c r="E344" s="61"/>
      <c r="F344" s="61"/>
      <c r="G344" s="61"/>
      <c r="H344" s="61"/>
      <c r="I344" s="61"/>
      <c r="J344" s="107"/>
      <c r="K344" s="107"/>
      <c r="L344" s="100"/>
      <c r="M344" s="110"/>
      <c r="N344" s="61"/>
      <c r="O344" s="61"/>
      <c r="P344" s="61"/>
      <c r="Q344" s="61"/>
      <c r="R344" s="61"/>
    </row>
    <row r="345">
      <c r="A345" s="65"/>
      <c r="B345" s="65"/>
      <c r="C345" s="65"/>
      <c r="D345" s="65"/>
      <c r="E345" s="65"/>
      <c r="F345" s="65"/>
      <c r="G345" s="65"/>
      <c r="H345" s="65"/>
      <c r="I345" s="65"/>
      <c r="J345" s="108"/>
      <c r="K345" s="108"/>
      <c r="L345" s="103"/>
      <c r="M345" s="111"/>
      <c r="N345" s="65"/>
      <c r="O345" s="65"/>
      <c r="P345" s="65"/>
      <c r="Q345" s="65"/>
      <c r="R345" s="65"/>
    </row>
    <row r="346">
      <c r="A346" s="61"/>
      <c r="B346" s="61"/>
      <c r="C346" s="61"/>
      <c r="D346" s="61"/>
      <c r="E346" s="61"/>
      <c r="F346" s="61"/>
      <c r="G346" s="61"/>
      <c r="H346" s="61"/>
      <c r="I346" s="61"/>
      <c r="J346" s="107"/>
      <c r="K346" s="107"/>
      <c r="L346" s="100"/>
      <c r="M346" s="110"/>
      <c r="N346" s="61"/>
      <c r="O346" s="61"/>
      <c r="P346" s="61"/>
      <c r="Q346" s="61"/>
      <c r="R346" s="61"/>
    </row>
    <row r="347">
      <c r="A347" s="65"/>
      <c r="B347" s="65"/>
      <c r="C347" s="65"/>
      <c r="D347" s="65"/>
      <c r="E347" s="65"/>
      <c r="F347" s="65"/>
      <c r="G347" s="65"/>
      <c r="H347" s="65"/>
      <c r="I347" s="65"/>
      <c r="J347" s="108"/>
      <c r="K347" s="108"/>
      <c r="L347" s="103"/>
      <c r="M347" s="111"/>
      <c r="N347" s="65"/>
      <c r="O347" s="65"/>
      <c r="P347" s="65"/>
      <c r="Q347" s="65"/>
      <c r="R347" s="65"/>
    </row>
    <row r="348">
      <c r="A348" s="61"/>
      <c r="B348" s="61"/>
      <c r="C348" s="61"/>
      <c r="D348" s="61"/>
      <c r="E348" s="61"/>
      <c r="F348" s="61"/>
      <c r="G348" s="61"/>
      <c r="H348" s="61"/>
      <c r="I348" s="61"/>
      <c r="J348" s="107"/>
      <c r="K348" s="107"/>
      <c r="L348" s="100"/>
      <c r="M348" s="110"/>
      <c r="N348" s="61"/>
      <c r="O348" s="61"/>
      <c r="P348" s="61"/>
      <c r="Q348" s="61"/>
      <c r="R348" s="61"/>
    </row>
    <row r="349">
      <c r="A349" s="65"/>
      <c r="B349" s="65"/>
      <c r="C349" s="65"/>
      <c r="D349" s="65"/>
      <c r="E349" s="65"/>
      <c r="F349" s="65"/>
      <c r="G349" s="65"/>
      <c r="H349" s="65"/>
      <c r="I349" s="65"/>
      <c r="J349" s="108"/>
      <c r="K349" s="108"/>
      <c r="L349" s="103"/>
      <c r="M349" s="111"/>
      <c r="N349" s="65"/>
      <c r="O349" s="65"/>
      <c r="P349" s="65"/>
      <c r="Q349" s="65"/>
      <c r="R349" s="65"/>
    </row>
    <row r="350">
      <c r="A350" s="61"/>
      <c r="B350" s="61"/>
      <c r="C350" s="61"/>
      <c r="D350" s="61"/>
      <c r="E350" s="61"/>
      <c r="F350" s="61"/>
      <c r="G350" s="61"/>
      <c r="H350" s="61"/>
      <c r="I350" s="61"/>
      <c r="J350" s="107"/>
      <c r="K350" s="107"/>
      <c r="L350" s="100"/>
      <c r="M350" s="110"/>
      <c r="N350" s="61"/>
      <c r="O350" s="61"/>
      <c r="P350" s="61"/>
      <c r="Q350" s="61"/>
      <c r="R350" s="61"/>
    </row>
    <row r="351">
      <c r="A351" s="65"/>
      <c r="B351" s="65"/>
      <c r="C351" s="65"/>
      <c r="D351" s="65"/>
      <c r="E351" s="65"/>
      <c r="F351" s="65"/>
      <c r="G351" s="65"/>
      <c r="H351" s="65"/>
      <c r="I351" s="65"/>
      <c r="J351" s="108"/>
      <c r="K351" s="108"/>
      <c r="L351" s="103"/>
      <c r="M351" s="111"/>
      <c r="N351" s="65"/>
      <c r="O351" s="65"/>
      <c r="P351" s="65"/>
      <c r="Q351" s="65"/>
      <c r="R351" s="65"/>
    </row>
    <row r="352">
      <c r="A352" s="61"/>
      <c r="B352" s="61"/>
      <c r="C352" s="61"/>
      <c r="D352" s="61"/>
      <c r="E352" s="61"/>
      <c r="F352" s="61"/>
      <c r="G352" s="61"/>
      <c r="H352" s="61"/>
      <c r="I352" s="61"/>
      <c r="J352" s="107"/>
      <c r="K352" s="107"/>
      <c r="L352" s="100"/>
      <c r="M352" s="110"/>
      <c r="N352" s="61"/>
      <c r="O352" s="61"/>
      <c r="P352" s="61"/>
      <c r="Q352" s="61"/>
      <c r="R352" s="61"/>
    </row>
    <row r="353">
      <c r="A353" s="65"/>
      <c r="B353" s="65"/>
      <c r="C353" s="65"/>
      <c r="D353" s="65"/>
      <c r="E353" s="65"/>
      <c r="F353" s="65"/>
      <c r="G353" s="65"/>
      <c r="H353" s="65"/>
      <c r="I353" s="65"/>
      <c r="J353" s="108"/>
      <c r="K353" s="108"/>
      <c r="L353" s="103"/>
      <c r="M353" s="111"/>
      <c r="N353" s="65"/>
      <c r="O353" s="65"/>
      <c r="P353" s="65"/>
      <c r="Q353" s="65"/>
      <c r="R353" s="65"/>
    </row>
    <row r="354">
      <c r="A354" s="61"/>
      <c r="B354" s="61"/>
      <c r="C354" s="61"/>
      <c r="D354" s="61"/>
      <c r="E354" s="61"/>
      <c r="F354" s="61"/>
      <c r="G354" s="61"/>
      <c r="H354" s="61"/>
      <c r="I354" s="61"/>
      <c r="J354" s="107"/>
      <c r="K354" s="107"/>
      <c r="L354" s="100"/>
      <c r="M354" s="110"/>
      <c r="N354" s="61"/>
      <c r="O354" s="61"/>
      <c r="P354" s="61"/>
      <c r="Q354" s="61"/>
      <c r="R354" s="61"/>
    </row>
    <row r="355">
      <c r="A355" s="65"/>
      <c r="B355" s="65"/>
      <c r="C355" s="65"/>
      <c r="D355" s="65"/>
      <c r="E355" s="65"/>
      <c r="F355" s="65"/>
      <c r="G355" s="65"/>
      <c r="H355" s="65"/>
      <c r="I355" s="65"/>
      <c r="J355" s="108"/>
      <c r="K355" s="108"/>
      <c r="L355" s="103"/>
      <c r="M355" s="111"/>
      <c r="N355" s="65"/>
      <c r="O355" s="65"/>
      <c r="P355" s="65"/>
      <c r="Q355" s="65"/>
      <c r="R355" s="65"/>
    </row>
    <row r="356">
      <c r="A356" s="61"/>
      <c r="B356" s="61"/>
      <c r="C356" s="61"/>
      <c r="D356" s="61"/>
      <c r="E356" s="61"/>
      <c r="F356" s="61"/>
      <c r="G356" s="61"/>
      <c r="H356" s="61"/>
      <c r="I356" s="61"/>
      <c r="J356" s="107"/>
      <c r="K356" s="107"/>
      <c r="L356" s="100"/>
      <c r="M356" s="110"/>
      <c r="N356" s="61"/>
      <c r="O356" s="61"/>
      <c r="P356" s="61"/>
      <c r="Q356" s="61"/>
      <c r="R356" s="61"/>
    </row>
    <row r="357">
      <c r="A357" s="65"/>
      <c r="B357" s="65"/>
      <c r="C357" s="65"/>
      <c r="D357" s="65"/>
      <c r="E357" s="65"/>
      <c r="F357" s="65"/>
      <c r="G357" s="65"/>
      <c r="H357" s="65"/>
      <c r="I357" s="65"/>
      <c r="J357" s="108"/>
      <c r="K357" s="108"/>
      <c r="L357" s="103"/>
      <c r="M357" s="111"/>
      <c r="N357" s="65"/>
      <c r="O357" s="65"/>
      <c r="P357" s="65"/>
      <c r="Q357" s="65"/>
      <c r="R357" s="65"/>
    </row>
    <row r="358">
      <c r="A358" s="61"/>
      <c r="B358" s="61"/>
      <c r="C358" s="61"/>
      <c r="D358" s="61"/>
      <c r="E358" s="61"/>
      <c r="F358" s="61"/>
      <c r="G358" s="61"/>
      <c r="H358" s="61"/>
      <c r="I358" s="61"/>
      <c r="J358" s="107"/>
      <c r="K358" s="107"/>
      <c r="L358" s="100"/>
      <c r="M358" s="110"/>
      <c r="N358" s="61"/>
      <c r="O358" s="61"/>
      <c r="P358" s="61"/>
      <c r="Q358" s="61"/>
      <c r="R358" s="61"/>
    </row>
    <row r="359">
      <c r="A359" s="65"/>
      <c r="B359" s="65"/>
      <c r="C359" s="65"/>
      <c r="D359" s="65"/>
      <c r="E359" s="65"/>
      <c r="F359" s="65"/>
      <c r="G359" s="65"/>
      <c r="H359" s="65"/>
      <c r="I359" s="65"/>
      <c r="J359" s="108"/>
      <c r="K359" s="108"/>
      <c r="L359" s="103"/>
      <c r="M359" s="111"/>
      <c r="N359" s="65"/>
      <c r="O359" s="65"/>
      <c r="P359" s="65"/>
      <c r="Q359" s="65"/>
      <c r="R359" s="65"/>
    </row>
    <row r="360">
      <c r="A360" s="61"/>
      <c r="B360" s="61"/>
      <c r="C360" s="61"/>
      <c r="D360" s="61"/>
      <c r="E360" s="61"/>
      <c r="F360" s="61"/>
      <c r="G360" s="61"/>
      <c r="H360" s="61"/>
      <c r="I360" s="61"/>
      <c r="J360" s="107"/>
      <c r="K360" s="107"/>
      <c r="L360" s="100"/>
      <c r="M360" s="110"/>
      <c r="N360" s="61"/>
      <c r="O360" s="61"/>
      <c r="P360" s="61"/>
      <c r="Q360" s="61"/>
      <c r="R360" s="61"/>
    </row>
    <row r="361">
      <c r="A361" s="65"/>
      <c r="B361" s="65"/>
      <c r="C361" s="65"/>
      <c r="D361" s="65"/>
      <c r="E361" s="65"/>
      <c r="F361" s="65"/>
      <c r="G361" s="65"/>
      <c r="H361" s="65"/>
      <c r="I361" s="65"/>
      <c r="J361" s="108"/>
      <c r="K361" s="108"/>
      <c r="L361" s="103"/>
      <c r="M361" s="111"/>
      <c r="N361" s="65"/>
      <c r="O361" s="65"/>
      <c r="P361" s="65"/>
      <c r="Q361" s="65"/>
      <c r="R361" s="65"/>
    </row>
    <row r="362">
      <c r="A362" s="61"/>
      <c r="B362" s="61"/>
      <c r="C362" s="61"/>
      <c r="D362" s="61"/>
      <c r="E362" s="61"/>
      <c r="F362" s="61"/>
      <c r="G362" s="61"/>
      <c r="H362" s="61"/>
      <c r="I362" s="61"/>
      <c r="J362" s="107"/>
      <c r="K362" s="107"/>
      <c r="L362" s="100"/>
      <c r="M362" s="110"/>
      <c r="N362" s="61"/>
      <c r="O362" s="61"/>
      <c r="P362" s="61"/>
      <c r="Q362" s="61"/>
      <c r="R362" s="61"/>
    </row>
    <row r="363">
      <c r="A363" s="65"/>
      <c r="B363" s="65"/>
      <c r="C363" s="65"/>
      <c r="D363" s="65"/>
      <c r="E363" s="65"/>
      <c r="F363" s="65"/>
      <c r="G363" s="65"/>
      <c r="H363" s="65"/>
      <c r="I363" s="65"/>
      <c r="J363" s="108"/>
      <c r="K363" s="108"/>
      <c r="L363" s="103"/>
      <c r="M363" s="111"/>
      <c r="N363" s="65"/>
      <c r="O363" s="65"/>
      <c r="P363" s="65"/>
      <c r="Q363" s="65"/>
      <c r="R363" s="65"/>
    </row>
    <row r="364">
      <c r="A364" s="61"/>
      <c r="B364" s="61"/>
      <c r="C364" s="61"/>
      <c r="D364" s="61"/>
      <c r="E364" s="61"/>
      <c r="F364" s="61"/>
      <c r="G364" s="61"/>
      <c r="H364" s="61"/>
      <c r="I364" s="61"/>
      <c r="J364" s="107"/>
      <c r="K364" s="107"/>
      <c r="L364" s="100"/>
      <c r="M364" s="110"/>
      <c r="N364" s="61"/>
      <c r="O364" s="61"/>
      <c r="P364" s="61"/>
      <c r="Q364" s="61"/>
      <c r="R364" s="61"/>
    </row>
    <row r="365">
      <c r="A365" s="65"/>
      <c r="B365" s="65"/>
      <c r="C365" s="65"/>
      <c r="D365" s="65"/>
      <c r="E365" s="65"/>
      <c r="F365" s="65"/>
      <c r="G365" s="65"/>
      <c r="H365" s="65"/>
      <c r="I365" s="65"/>
      <c r="J365" s="108"/>
      <c r="K365" s="108"/>
      <c r="L365" s="103"/>
      <c r="M365" s="111"/>
      <c r="N365" s="65"/>
      <c r="O365" s="65"/>
      <c r="P365" s="65"/>
      <c r="Q365" s="65"/>
      <c r="R365" s="65"/>
    </row>
    <row r="366">
      <c r="A366" s="61"/>
      <c r="B366" s="61"/>
      <c r="C366" s="61"/>
      <c r="D366" s="61"/>
      <c r="E366" s="61"/>
      <c r="F366" s="61"/>
      <c r="G366" s="61"/>
      <c r="H366" s="61"/>
      <c r="I366" s="61"/>
      <c r="J366" s="107"/>
      <c r="K366" s="107"/>
      <c r="L366" s="100"/>
      <c r="M366" s="110"/>
      <c r="N366" s="61"/>
      <c r="O366" s="61"/>
      <c r="P366" s="61"/>
      <c r="Q366" s="61"/>
      <c r="R366" s="61"/>
    </row>
    <row r="367">
      <c r="A367" s="65"/>
      <c r="B367" s="65"/>
      <c r="C367" s="65"/>
      <c r="D367" s="65"/>
      <c r="E367" s="65"/>
      <c r="F367" s="65"/>
      <c r="G367" s="65"/>
      <c r="H367" s="65"/>
      <c r="I367" s="65"/>
      <c r="J367" s="108"/>
      <c r="K367" s="108"/>
      <c r="L367" s="103"/>
      <c r="M367" s="111"/>
      <c r="N367" s="65"/>
      <c r="O367" s="65"/>
      <c r="P367" s="65"/>
      <c r="Q367" s="65"/>
      <c r="R367" s="65"/>
    </row>
    <row r="368">
      <c r="A368" s="61"/>
      <c r="B368" s="61"/>
      <c r="C368" s="61"/>
      <c r="D368" s="61"/>
      <c r="E368" s="61"/>
      <c r="F368" s="61"/>
      <c r="G368" s="61"/>
      <c r="H368" s="61"/>
      <c r="I368" s="61"/>
      <c r="J368" s="107"/>
      <c r="K368" s="107"/>
      <c r="L368" s="100"/>
      <c r="M368" s="110"/>
      <c r="N368" s="61"/>
      <c r="O368" s="61"/>
      <c r="P368" s="61"/>
      <c r="Q368" s="61"/>
      <c r="R368" s="61"/>
    </row>
    <row r="369">
      <c r="A369" s="65"/>
      <c r="B369" s="65"/>
      <c r="C369" s="65"/>
      <c r="D369" s="65"/>
      <c r="E369" s="65"/>
      <c r="F369" s="65"/>
      <c r="G369" s="65"/>
      <c r="H369" s="65"/>
      <c r="I369" s="65"/>
      <c r="J369" s="108"/>
      <c r="K369" s="108"/>
      <c r="L369" s="103"/>
      <c r="M369" s="111"/>
      <c r="N369" s="65"/>
      <c r="O369" s="65"/>
      <c r="P369" s="65"/>
      <c r="Q369" s="65"/>
      <c r="R369" s="65"/>
    </row>
    <row r="370">
      <c r="A370" s="61"/>
      <c r="B370" s="61"/>
      <c r="C370" s="61"/>
      <c r="D370" s="61"/>
      <c r="E370" s="61"/>
      <c r="F370" s="61"/>
      <c r="G370" s="61"/>
      <c r="H370" s="61"/>
      <c r="I370" s="61"/>
      <c r="J370" s="107"/>
      <c r="K370" s="107"/>
      <c r="L370" s="100"/>
      <c r="M370" s="110"/>
      <c r="N370" s="61"/>
      <c r="O370" s="61"/>
      <c r="P370" s="61"/>
      <c r="Q370" s="61"/>
      <c r="R370" s="61"/>
    </row>
    <row r="371">
      <c r="A371" s="65"/>
      <c r="B371" s="65"/>
      <c r="C371" s="65"/>
      <c r="D371" s="65"/>
      <c r="E371" s="65"/>
      <c r="F371" s="65"/>
      <c r="G371" s="65"/>
      <c r="H371" s="65"/>
      <c r="I371" s="65"/>
      <c r="J371" s="108"/>
      <c r="K371" s="108"/>
      <c r="L371" s="103"/>
      <c r="M371" s="111"/>
      <c r="N371" s="65"/>
      <c r="O371" s="65"/>
      <c r="P371" s="65"/>
      <c r="Q371" s="65"/>
      <c r="R371" s="65"/>
    </row>
    <row r="372">
      <c r="A372" s="61"/>
      <c r="B372" s="61"/>
      <c r="C372" s="61"/>
      <c r="D372" s="61"/>
      <c r="E372" s="61"/>
      <c r="F372" s="61"/>
      <c r="G372" s="61"/>
      <c r="H372" s="61"/>
      <c r="I372" s="61"/>
      <c r="J372" s="107"/>
      <c r="K372" s="107"/>
      <c r="L372" s="100"/>
      <c r="M372" s="110"/>
      <c r="N372" s="61"/>
      <c r="O372" s="61"/>
      <c r="P372" s="61"/>
      <c r="Q372" s="61"/>
      <c r="R372" s="61"/>
    </row>
    <row r="373">
      <c r="A373" s="65"/>
      <c r="B373" s="65"/>
      <c r="C373" s="65"/>
      <c r="D373" s="65"/>
      <c r="E373" s="65"/>
      <c r="F373" s="65"/>
      <c r="G373" s="65"/>
      <c r="H373" s="65"/>
      <c r="I373" s="65"/>
      <c r="J373" s="108"/>
      <c r="K373" s="108"/>
      <c r="L373" s="103"/>
      <c r="M373" s="111"/>
      <c r="N373" s="65"/>
      <c r="O373" s="65"/>
      <c r="P373" s="65"/>
      <c r="Q373" s="65"/>
      <c r="R373" s="65"/>
    </row>
    <row r="374">
      <c r="A374" s="61"/>
      <c r="B374" s="61"/>
      <c r="C374" s="61"/>
      <c r="D374" s="61"/>
      <c r="E374" s="61"/>
      <c r="F374" s="61"/>
      <c r="G374" s="61"/>
      <c r="H374" s="61"/>
      <c r="I374" s="61"/>
      <c r="J374" s="107"/>
      <c r="K374" s="107"/>
      <c r="L374" s="100"/>
      <c r="M374" s="110"/>
      <c r="N374" s="61"/>
      <c r="O374" s="61"/>
      <c r="P374" s="61"/>
      <c r="Q374" s="61"/>
      <c r="R374" s="61"/>
    </row>
    <row r="375">
      <c r="A375" s="65"/>
      <c r="B375" s="65"/>
      <c r="C375" s="65"/>
      <c r="D375" s="65"/>
      <c r="E375" s="65"/>
      <c r="F375" s="65"/>
      <c r="G375" s="65"/>
      <c r="H375" s="65"/>
      <c r="I375" s="65"/>
      <c r="J375" s="108"/>
      <c r="K375" s="108"/>
      <c r="L375" s="103"/>
      <c r="M375" s="111"/>
      <c r="N375" s="65"/>
      <c r="O375" s="65"/>
      <c r="P375" s="65"/>
      <c r="Q375" s="65"/>
      <c r="R375" s="65"/>
    </row>
    <row r="376">
      <c r="A376" s="61"/>
      <c r="B376" s="61"/>
      <c r="C376" s="61"/>
      <c r="D376" s="61"/>
      <c r="E376" s="61"/>
      <c r="F376" s="61"/>
      <c r="G376" s="61"/>
      <c r="H376" s="61"/>
      <c r="I376" s="61"/>
      <c r="J376" s="107"/>
      <c r="K376" s="107"/>
      <c r="L376" s="100"/>
      <c r="M376" s="110"/>
      <c r="N376" s="61"/>
      <c r="O376" s="61"/>
      <c r="P376" s="61"/>
      <c r="Q376" s="61"/>
      <c r="R376" s="61"/>
    </row>
    <row r="377">
      <c r="A377" s="65"/>
      <c r="B377" s="65"/>
      <c r="C377" s="65"/>
      <c r="D377" s="65"/>
      <c r="E377" s="65"/>
      <c r="F377" s="65"/>
      <c r="G377" s="65"/>
      <c r="H377" s="65"/>
      <c r="I377" s="65"/>
      <c r="J377" s="108"/>
      <c r="K377" s="108"/>
      <c r="L377" s="103"/>
      <c r="M377" s="111"/>
      <c r="N377" s="65"/>
      <c r="O377" s="65"/>
      <c r="P377" s="65"/>
      <c r="Q377" s="65"/>
      <c r="R377" s="65"/>
    </row>
    <row r="378">
      <c r="A378" s="61"/>
      <c r="B378" s="61"/>
      <c r="C378" s="61"/>
      <c r="D378" s="61"/>
      <c r="E378" s="61"/>
      <c r="F378" s="61"/>
      <c r="G378" s="61"/>
      <c r="H378" s="61"/>
      <c r="I378" s="61"/>
      <c r="J378" s="107"/>
      <c r="K378" s="107"/>
      <c r="L378" s="100"/>
      <c r="M378" s="110"/>
      <c r="N378" s="61"/>
      <c r="O378" s="61"/>
      <c r="P378" s="61"/>
      <c r="Q378" s="61"/>
      <c r="R378" s="61"/>
    </row>
    <row r="379">
      <c r="A379" s="65"/>
      <c r="B379" s="65"/>
      <c r="C379" s="65"/>
      <c r="D379" s="65"/>
      <c r="E379" s="65"/>
      <c r="F379" s="65"/>
      <c r="G379" s="65"/>
      <c r="H379" s="65"/>
      <c r="I379" s="65"/>
      <c r="J379" s="108"/>
      <c r="K379" s="108"/>
      <c r="L379" s="103"/>
      <c r="M379" s="111"/>
      <c r="N379" s="65"/>
      <c r="O379" s="65"/>
      <c r="P379" s="65"/>
      <c r="Q379" s="65"/>
      <c r="R379" s="65"/>
    </row>
    <row r="380">
      <c r="A380" s="61"/>
      <c r="B380" s="61"/>
      <c r="C380" s="61"/>
      <c r="D380" s="61"/>
      <c r="E380" s="61"/>
      <c r="F380" s="61"/>
      <c r="G380" s="61"/>
      <c r="H380" s="61"/>
      <c r="I380" s="61"/>
      <c r="J380" s="107"/>
      <c r="K380" s="107"/>
      <c r="L380" s="100"/>
      <c r="M380" s="110"/>
      <c r="N380" s="61"/>
      <c r="O380" s="61"/>
      <c r="P380" s="61"/>
      <c r="Q380" s="61"/>
      <c r="R380" s="61"/>
    </row>
    <row r="381">
      <c r="A381" s="65"/>
      <c r="B381" s="65"/>
      <c r="C381" s="65"/>
      <c r="D381" s="65"/>
      <c r="E381" s="65"/>
      <c r="F381" s="65"/>
      <c r="G381" s="65"/>
      <c r="H381" s="65"/>
      <c r="I381" s="65"/>
      <c r="J381" s="108"/>
      <c r="K381" s="108"/>
      <c r="L381" s="103"/>
      <c r="M381" s="111"/>
      <c r="N381" s="65"/>
      <c r="O381" s="65"/>
      <c r="P381" s="65"/>
      <c r="Q381" s="65"/>
      <c r="R381" s="65"/>
    </row>
    <row r="382">
      <c r="A382" s="61"/>
      <c r="B382" s="61"/>
      <c r="C382" s="61"/>
      <c r="D382" s="61"/>
      <c r="E382" s="61"/>
      <c r="F382" s="61"/>
      <c r="G382" s="61"/>
      <c r="H382" s="61"/>
      <c r="I382" s="61"/>
      <c r="J382" s="107"/>
      <c r="K382" s="107"/>
      <c r="L382" s="100"/>
      <c r="M382" s="110"/>
      <c r="N382" s="61"/>
      <c r="O382" s="61"/>
      <c r="P382" s="61"/>
      <c r="Q382" s="61"/>
      <c r="R382" s="61"/>
    </row>
    <row r="383">
      <c r="A383" s="65"/>
      <c r="B383" s="65"/>
      <c r="C383" s="65"/>
      <c r="D383" s="65"/>
      <c r="E383" s="65"/>
      <c r="F383" s="65"/>
      <c r="G383" s="65"/>
      <c r="H383" s="65"/>
      <c r="I383" s="65"/>
      <c r="J383" s="108"/>
      <c r="K383" s="108"/>
      <c r="L383" s="103"/>
      <c r="M383" s="111"/>
      <c r="N383" s="65"/>
      <c r="O383" s="65"/>
      <c r="P383" s="65"/>
      <c r="Q383" s="65"/>
      <c r="R383" s="65"/>
    </row>
    <row r="384">
      <c r="A384" s="61"/>
      <c r="B384" s="61"/>
      <c r="C384" s="61"/>
      <c r="D384" s="61"/>
      <c r="E384" s="61"/>
      <c r="F384" s="61"/>
      <c r="G384" s="61"/>
      <c r="H384" s="61"/>
      <c r="I384" s="61"/>
      <c r="J384" s="107"/>
      <c r="K384" s="107"/>
      <c r="L384" s="100"/>
      <c r="M384" s="110"/>
      <c r="N384" s="61"/>
      <c r="O384" s="61"/>
      <c r="P384" s="61"/>
      <c r="Q384" s="61"/>
      <c r="R384" s="61"/>
    </row>
    <row r="385">
      <c r="A385" s="65"/>
      <c r="B385" s="65"/>
      <c r="C385" s="65"/>
      <c r="D385" s="65"/>
      <c r="E385" s="65"/>
      <c r="F385" s="65"/>
      <c r="G385" s="65"/>
      <c r="H385" s="65"/>
      <c r="I385" s="65"/>
      <c r="J385" s="108"/>
      <c r="K385" s="108"/>
      <c r="L385" s="103"/>
      <c r="M385" s="111"/>
      <c r="N385" s="65"/>
      <c r="O385" s="65"/>
      <c r="P385" s="65"/>
      <c r="Q385" s="65"/>
      <c r="R385" s="65"/>
    </row>
    <row r="386">
      <c r="A386" s="61"/>
      <c r="B386" s="61"/>
      <c r="C386" s="61"/>
      <c r="D386" s="61"/>
      <c r="E386" s="61"/>
      <c r="F386" s="61"/>
      <c r="G386" s="61"/>
      <c r="H386" s="61"/>
      <c r="I386" s="61"/>
      <c r="J386" s="107"/>
      <c r="K386" s="107"/>
      <c r="L386" s="100"/>
      <c r="M386" s="110"/>
      <c r="N386" s="61"/>
      <c r="O386" s="61"/>
      <c r="P386" s="61"/>
      <c r="Q386" s="61"/>
      <c r="R386" s="61"/>
    </row>
    <row r="387">
      <c r="A387" s="65"/>
      <c r="B387" s="65"/>
      <c r="C387" s="65"/>
      <c r="D387" s="65"/>
      <c r="E387" s="65"/>
      <c r="F387" s="65"/>
      <c r="G387" s="65"/>
      <c r="H387" s="65"/>
      <c r="I387" s="65"/>
      <c r="J387" s="108"/>
      <c r="K387" s="108"/>
      <c r="L387" s="103"/>
      <c r="M387" s="111"/>
      <c r="N387" s="65"/>
      <c r="O387" s="65"/>
      <c r="P387" s="65"/>
      <c r="Q387" s="65"/>
      <c r="R387" s="65"/>
    </row>
    <row r="388">
      <c r="A388" s="61"/>
      <c r="B388" s="61"/>
      <c r="C388" s="61"/>
      <c r="D388" s="61"/>
      <c r="E388" s="61"/>
      <c r="F388" s="61"/>
      <c r="G388" s="61"/>
      <c r="H388" s="61"/>
      <c r="I388" s="61"/>
      <c r="J388" s="107"/>
      <c r="K388" s="107"/>
      <c r="L388" s="100"/>
      <c r="M388" s="110"/>
      <c r="N388" s="61"/>
      <c r="O388" s="61"/>
      <c r="P388" s="61"/>
      <c r="Q388" s="61"/>
      <c r="R388" s="61"/>
    </row>
    <row r="389">
      <c r="A389" s="65"/>
      <c r="B389" s="65"/>
      <c r="C389" s="65"/>
      <c r="D389" s="65"/>
      <c r="E389" s="65"/>
      <c r="F389" s="65"/>
      <c r="G389" s="65"/>
      <c r="H389" s="65"/>
      <c r="I389" s="65"/>
      <c r="J389" s="108"/>
      <c r="K389" s="108"/>
      <c r="L389" s="103"/>
      <c r="M389" s="111"/>
      <c r="N389" s="65"/>
      <c r="O389" s="65"/>
      <c r="P389" s="65"/>
      <c r="Q389" s="65"/>
      <c r="R389" s="65"/>
    </row>
    <row r="390">
      <c r="A390" s="61"/>
      <c r="B390" s="61"/>
      <c r="C390" s="61"/>
      <c r="D390" s="61"/>
      <c r="E390" s="61"/>
      <c r="F390" s="61"/>
      <c r="G390" s="61"/>
      <c r="H390" s="61"/>
      <c r="I390" s="61"/>
      <c r="J390" s="107"/>
      <c r="K390" s="107"/>
      <c r="L390" s="100"/>
      <c r="M390" s="110"/>
      <c r="N390" s="61"/>
      <c r="O390" s="61"/>
      <c r="P390" s="61"/>
      <c r="Q390" s="61"/>
      <c r="R390" s="61"/>
    </row>
    <row r="391">
      <c r="A391" s="65"/>
      <c r="B391" s="65"/>
      <c r="C391" s="65"/>
      <c r="D391" s="65"/>
      <c r="E391" s="65"/>
      <c r="F391" s="65"/>
      <c r="G391" s="65"/>
      <c r="H391" s="65"/>
      <c r="I391" s="65"/>
      <c r="J391" s="108"/>
      <c r="K391" s="108"/>
      <c r="L391" s="103"/>
      <c r="M391" s="111"/>
      <c r="N391" s="65"/>
      <c r="O391" s="65"/>
      <c r="P391" s="65"/>
      <c r="Q391" s="65"/>
      <c r="R391" s="65"/>
    </row>
    <row r="392">
      <c r="A392" s="61"/>
      <c r="B392" s="61"/>
      <c r="C392" s="61"/>
      <c r="D392" s="61"/>
      <c r="E392" s="61"/>
      <c r="F392" s="61"/>
      <c r="G392" s="61"/>
      <c r="H392" s="61"/>
      <c r="I392" s="61"/>
      <c r="J392" s="107"/>
      <c r="K392" s="107"/>
      <c r="L392" s="100"/>
      <c r="M392" s="110"/>
      <c r="N392" s="61"/>
      <c r="O392" s="61"/>
      <c r="P392" s="61"/>
      <c r="Q392" s="61"/>
      <c r="R392" s="61"/>
    </row>
    <row r="393">
      <c r="A393" s="65"/>
      <c r="B393" s="65"/>
      <c r="C393" s="65"/>
      <c r="D393" s="65"/>
      <c r="E393" s="65"/>
      <c r="F393" s="65"/>
      <c r="G393" s="65"/>
      <c r="H393" s="65"/>
      <c r="I393" s="65"/>
      <c r="J393" s="108"/>
      <c r="K393" s="108"/>
      <c r="L393" s="103"/>
      <c r="M393" s="111"/>
      <c r="N393" s="65"/>
      <c r="O393" s="65"/>
      <c r="P393" s="65"/>
      <c r="Q393" s="65"/>
      <c r="R393" s="65"/>
    </row>
    <row r="394">
      <c r="A394" s="61"/>
      <c r="B394" s="61"/>
      <c r="C394" s="61"/>
      <c r="D394" s="61"/>
      <c r="E394" s="61"/>
      <c r="F394" s="61"/>
      <c r="G394" s="61"/>
      <c r="H394" s="61"/>
      <c r="I394" s="61"/>
      <c r="J394" s="107"/>
      <c r="K394" s="107"/>
      <c r="L394" s="100"/>
      <c r="M394" s="110"/>
      <c r="N394" s="61"/>
      <c r="O394" s="61"/>
      <c r="P394" s="61"/>
      <c r="Q394" s="61"/>
      <c r="R394" s="61"/>
    </row>
    <row r="395">
      <c r="A395" s="65"/>
      <c r="B395" s="65"/>
      <c r="C395" s="65"/>
      <c r="D395" s="65"/>
      <c r="E395" s="65"/>
      <c r="F395" s="65"/>
      <c r="G395" s="65"/>
      <c r="H395" s="65"/>
      <c r="I395" s="65"/>
      <c r="J395" s="108"/>
      <c r="K395" s="108"/>
      <c r="L395" s="103"/>
      <c r="M395" s="111"/>
      <c r="N395" s="65"/>
      <c r="O395" s="65"/>
      <c r="P395" s="65"/>
      <c r="Q395" s="65"/>
      <c r="R395" s="65"/>
    </row>
    <row r="396">
      <c r="A396" s="61"/>
      <c r="B396" s="61"/>
      <c r="C396" s="61"/>
      <c r="D396" s="61"/>
      <c r="E396" s="61"/>
      <c r="F396" s="61"/>
      <c r="G396" s="61"/>
      <c r="H396" s="61"/>
      <c r="I396" s="61"/>
      <c r="J396" s="107"/>
      <c r="K396" s="107"/>
      <c r="L396" s="100"/>
      <c r="M396" s="110"/>
      <c r="N396" s="61"/>
      <c r="O396" s="61"/>
      <c r="P396" s="61"/>
      <c r="Q396" s="61"/>
      <c r="R396" s="61"/>
    </row>
    <row r="397">
      <c r="A397" s="65"/>
      <c r="B397" s="65"/>
      <c r="C397" s="65"/>
      <c r="D397" s="65"/>
      <c r="E397" s="65"/>
      <c r="F397" s="65"/>
      <c r="G397" s="65"/>
      <c r="H397" s="65"/>
      <c r="I397" s="65"/>
      <c r="J397" s="108"/>
      <c r="K397" s="108"/>
      <c r="L397" s="103"/>
      <c r="M397" s="111"/>
      <c r="N397" s="65"/>
      <c r="O397" s="65"/>
      <c r="P397" s="65"/>
      <c r="Q397" s="65"/>
      <c r="R397" s="65"/>
    </row>
    <row r="398">
      <c r="A398" s="61"/>
      <c r="B398" s="61"/>
      <c r="C398" s="61"/>
      <c r="D398" s="61"/>
      <c r="E398" s="61"/>
      <c r="F398" s="61"/>
      <c r="G398" s="61"/>
      <c r="H398" s="61"/>
      <c r="I398" s="61"/>
      <c r="J398" s="107"/>
      <c r="K398" s="107"/>
      <c r="L398" s="100"/>
      <c r="M398" s="110"/>
      <c r="N398" s="61"/>
      <c r="O398" s="61"/>
      <c r="P398" s="61"/>
      <c r="Q398" s="61"/>
      <c r="R398" s="61"/>
    </row>
    <row r="399">
      <c r="A399" s="65"/>
      <c r="B399" s="65"/>
      <c r="C399" s="65"/>
      <c r="D399" s="65"/>
      <c r="E399" s="65"/>
      <c r="F399" s="65"/>
      <c r="G399" s="65"/>
      <c r="H399" s="65"/>
      <c r="I399" s="65"/>
      <c r="J399" s="108"/>
      <c r="K399" s="108"/>
      <c r="L399" s="103"/>
      <c r="M399" s="111"/>
      <c r="N399" s="65"/>
      <c r="O399" s="65"/>
      <c r="P399" s="65"/>
      <c r="Q399" s="65"/>
      <c r="R399" s="65"/>
    </row>
    <row r="400">
      <c r="A400" s="61"/>
      <c r="B400" s="61"/>
      <c r="C400" s="61"/>
      <c r="D400" s="61"/>
      <c r="E400" s="61"/>
      <c r="F400" s="61"/>
      <c r="G400" s="61"/>
      <c r="H400" s="61"/>
      <c r="I400" s="61"/>
      <c r="J400" s="107"/>
      <c r="K400" s="107"/>
      <c r="L400" s="100"/>
      <c r="M400" s="110"/>
      <c r="N400" s="61"/>
      <c r="O400" s="61"/>
      <c r="P400" s="61"/>
      <c r="Q400" s="61"/>
      <c r="R400" s="61"/>
    </row>
    <row r="401">
      <c r="A401" s="65"/>
      <c r="B401" s="65"/>
      <c r="C401" s="65"/>
      <c r="D401" s="65"/>
      <c r="E401" s="65"/>
      <c r="F401" s="65"/>
      <c r="G401" s="65"/>
      <c r="H401" s="65"/>
      <c r="I401" s="65"/>
      <c r="J401" s="108"/>
      <c r="K401" s="108"/>
      <c r="L401" s="103"/>
      <c r="M401" s="111"/>
      <c r="N401" s="65"/>
      <c r="O401" s="65"/>
      <c r="P401" s="65"/>
      <c r="Q401" s="65"/>
      <c r="R401" s="65"/>
    </row>
    <row r="402">
      <c r="A402" s="61"/>
      <c r="B402" s="61"/>
      <c r="C402" s="61"/>
      <c r="D402" s="61"/>
      <c r="E402" s="61"/>
      <c r="F402" s="61"/>
      <c r="G402" s="61"/>
      <c r="H402" s="61"/>
      <c r="I402" s="61"/>
      <c r="J402" s="107"/>
      <c r="K402" s="107"/>
      <c r="L402" s="100"/>
      <c r="M402" s="110"/>
      <c r="N402" s="61"/>
      <c r="O402" s="61"/>
      <c r="P402" s="61"/>
      <c r="Q402" s="61"/>
      <c r="R402" s="61"/>
    </row>
    <row r="403">
      <c r="A403" s="65"/>
      <c r="B403" s="65"/>
      <c r="C403" s="65"/>
      <c r="D403" s="65"/>
      <c r="E403" s="65"/>
      <c r="F403" s="65"/>
      <c r="G403" s="65"/>
      <c r="H403" s="65"/>
      <c r="I403" s="65"/>
      <c r="J403" s="108"/>
      <c r="K403" s="108"/>
      <c r="L403" s="103"/>
      <c r="M403" s="111"/>
      <c r="N403" s="65"/>
      <c r="O403" s="65"/>
      <c r="P403" s="65"/>
      <c r="Q403" s="65"/>
      <c r="R403" s="65"/>
    </row>
    <row r="404">
      <c r="A404" s="61"/>
      <c r="B404" s="61"/>
      <c r="C404" s="61"/>
      <c r="D404" s="61"/>
      <c r="E404" s="61"/>
      <c r="F404" s="61"/>
      <c r="G404" s="61"/>
      <c r="H404" s="61"/>
      <c r="I404" s="61"/>
      <c r="J404" s="107"/>
      <c r="K404" s="107"/>
      <c r="L404" s="100"/>
      <c r="M404" s="110"/>
      <c r="N404" s="61"/>
      <c r="O404" s="61"/>
      <c r="P404" s="61"/>
      <c r="Q404" s="61"/>
      <c r="R404" s="61"/>
    </row>
    <row r="405">
      <c r="A405" s="65"/>
      <c r="B405" s="65"/>
      <c r="C405" s="65"/>
      <c r="D405" s="65"/>
      <c r="E405" s="65"/>
      <c r="F405" s="65"/>
      <c r="G405" s="65"/>
      <c r="H405" s="65"/>
      <c r="I405" s="65"/>
      <c r="J405" s="108"/>
      <c r="K405" s="108"/>
      <c r="L405" s="103"/>
      <c r="M405" s="111"/>
      <c r="N405" s="65"/>
      <c r="O405" s="65"/>
      <c r="P405" s="65"/>
      <c r="Q405" s="65"/>
      <c r="R405" s="65"/>
    </row>
    <row r="406">
      <c r="A406" s="61"/>
      <c r="B406" s="61"/>
      <c r="C406" s="61"/>
      <c r="D406" s="61"/>
      <c r="E406" s="61"/>
      <c r="F406" s="61"/>
      <c r="G406" s="61"/>
      <c r="H406" s="61"/>
      <c r="I406" s="61"/>
      <c r="J406" s="107"/>
      <c r="K406" s="107"/>
      <c r="L406" s="100"/>
      <c r="M406" s="110"/>
      <c r="N406" s="61"/>
      <c r="O406" s="61"/>
      <c r="P406" s="61"/>
      <c r="Q406" s="61"/>
      <c r="R406" s="61"/>
    </row>
    <row r="407">
      <c r="A407" s="65"/>
      <c r="B407" s="65"/>
      <c r="C407" s="65"/>
      <c r="D407" s="65"/>
      <c r="E407" s="65"/>
      <c r="F407" s="65"/>
      <c r="G407" s="65"/>
      <c r="H407" s="65"/>
      <c r="I407" s="65"/>
      <c r="J407" s="108"/>
      <c r="K407" s="108"/>
      <c r="L407" s="103"/>
      <c r="M407" s="111"/>
      <c r="N407" s="65"/>
      <c r="O407" s="65"/>
      <c r="P407" s="65"/>
      <c r="Q407" s="65"/>
      <c r="R407" s="65"/>
    </row>
    <row r="408">
      <c r="A408" s="61"/>
      <c r="B408" s="61"/>
      <c r="C408" s="61"/>
      <c r="D408" s="61"/>
      <c r="E408" s="61"/>
      <c r="F408" s="61"/>
      <c r="G408" s="61"/>
      <c r="H408" s="61"/>
      <c r="I408" s="61"/>
      <c r="J408" s="107"/>
      <c r="K408" s="107"/>
      <c r="L408" s="100"/>
      <c r="M408" s="110"/>
      <c r="N408" s="61"/>
      <c r="O408" s="61"/>
      <c r="P408" s="61"/>
      <c r="Q408" s="61"/>
      <c r="R408" s="61"/>
    </row>
    <row r="409">
      <c r="A409" s="65"/>
      <c r="B409" s="65"/>
      <c r="C409" s="65"/>
      <c r="D409" s="65"/>
      <c r="E409" s="65"/>
      <c r="F409" s="65"/>
      <c r="G409" s="65"/>
      <c r="H409" s="65"/>
      <c r="I409" s="65"/>
      <c r="J409" s="108"/>
      <c r="K409" s="108"/>
      <c r="L409" s="103"/>
      <c r="M409" s="111"/>
      <c r="N409" s="65"/>
      <c r="O409" s="65"/>
      <c r="P409" s="65"/>
      <c r="Q409" s="65"/>
      <c r="R409" s="65"/>
    </row>
    <row r="410">
      <c r="A410" s="61"/>
      <c r="B410" s="61"/>
      <c r="C410" s="61"/>
      <c r="D410" s="61"/>
      <c r="E410" s="61"/>
      <c r="F410" s="61"/>
      <c r="G410" s="61"/>
      <c r="H410" s="61"/>
      <c r="I410" s="61"/>
      <c r="J410" s="107"/>
      <c r="K410" s="107"/>
      <c r="L410" s="100"/>
      <c r="M410" s="110"/>
      <c r="N410" s="61"/>
      <c r="O410" s="61"/>
      <c r="P410" s="61"/>
      <c r="Q410" s="61"/>
      <c r="R410" s="61"/>
    </row>
    <row r="411">
      <c r="A411" s="65"/>
      <c r="B411" s="65"/>
      <c r="C411" s="65"/>
      <c r="D411" s="65"/>
      <c r="E411" s="65"/>
      <c r="F411" s="65"/>
      <c r="G411" s="65"/>
      <c r="H411" s="65"/>
      <c r="I411" s="65"/>
      <c r="J411" s="108"/>
      <c r="K411" s="108"/>
      <c r="L411" s="103"/>
      <c r="M411" s="111"/>
      <c r="N411" s="65"/>
      <c r="O411" s="65"/>
      <c r="P411" s="65"/>
      <c r="Q411" s="65"/>
      <c r="R411" s="65"/>
    </row>
    <row r="412">
      <c r="A412" s="61"/>
      <c r="B412" s="61"/>
      <c r="C412" s="61"/>
      <c r="D412" s="61"/>
      <c r="E412" s="61"/>
      <c r="F412" s="61"/>
      <c r="G412" s="61"/>
      <c r="H412" s="61"/>
      <c r="I412" s="61"/>
      <c r="J412" s="107"/>
      <c r="K412" s="107"/>
      <c r="L412" s="100"/>
      <c r="M412" s="110"/>
      <c r="N412" s="61"/>
      <c r="O412" s="61"/>
      <c r="P412" s="61"/>
      <c r="Q412" s="61"/>
      <c r="R412" s="61"/>
    </row>
    <row r="413">
      <c r="A413" s="65"/>
      <c r="B413" s="65"/>
      <c r="C413" s="65"/>
      <c r="D413" s="65"/>
      <c r="E413" s="65"/>
      <c r="F413" s="65"/>
      <c r="G413" s="65"/>
      <c r="H413" s="65"/>
      <c r="I413" s="65"/>
      <c r="J413" s="108"/>
      <c r="K413" s="108"/>
      <c r="L413" s="103"/>
      <c r="M413" s="111"/>
      <c r="N413" s="65"/>
      <c r="O413" s="65"/>
      <c r="P413" s="65"/>
      <c r="Q413" s="65"/>
      <c r="R413" s="65"/>
    </row>
    <row r="414">
      <c r="A414" s="61"/>
      <c r="B414" s="61"/>
      <c r="C414" s="61"/>
      <c r="D414" s="61"/>
      <c r="E414" s="61"/>
      <c r="F414" s="61"/>
      <c r="G414" s="61"/>
      <c r="H414" s="61"/>
      <c r="I414" s="61"/>
      <c r="J414" s="107"/>
      <c r="K414" s="107"/>
      <c r="L414" s="100"/>
      <c r="M414" s="110"/>
      <c r="N414" s="61"/>
      <c r="O414" s="61"/>
      <c r="P414" s="61"/>
      <c r="Q414" s="61"/>
      <c r="R414" s="61"/>
    </row>
    <row r="415">
      <c r="A415" s="65"/>
      <c r="B415" s="65"/>
      <c r="C415" s="65"/>
      <c r="D415" s="65"/>
      <c r="E415" s="65"/>
      <c r="F415" s="65"/>
      <c r="G415" s="65"/>
      <c r="H415" s="65"/>
      <c r="I415" s="65"/>
      <c r="J415" s="108"/>
      <c r="K415" s="108"/>
      <c r="L415" s="103"/>
      <c r="M415" s="111"/>
      <c r="N415" s="65"/>
      <c r="O415" s="65"/>
      <c r="P415" s="65"/>
      <c r="Q415" s="65"/>
      <c r="R415" s="65"/>
    </row>
    <row r="416">
      <c r="A416" s="61"/>
      <c r="B416" s="61"/>
      <c r="C416" s="61"/>
      <c r="D416" s="61"/>
      <c r="E416" s="61"/>
      <c r="F416" s="61"/>
      <c r="G416" s="61"/>
      <c r="H416" s="61"/>
      <c r="I416" s="61"/>
      <c r="J416" s="107"/>
      <c r="K416" s="107"/>
      <c r="L416" s="100"/>
      <c r="M416" s="110"/>
      <c r="N416" s="61"/>
      <c r="O416" s="61"/>
      <c r="P416" s="61"/>
      <c r="Q416" s="61"/>
      <c r="R416" s="61"/>
    </row>
    <row r="417">
      <c r="A417" s="65"/>
      <c r="B417" s="65"/>
      <c r="C417" s="65"/>
      <c r="D417" s="65"/>
      <c r="E417" s="65"/>
      <c r="F417" s="65"/>
      <c r="G417" s="65"/>
      <c r="H417" s="65"/>
      <c r="I417" s="65"/>
      <c r="J417" s="108"/>
      <c r="K417" s="108"/>
      <c r="L417" s="103"/>
      <c r="M417" s="111"/>
      <c r="N417" s="65"/>
      <c r="O417" s="65"/>
      <c r="P417" s="65"/>
      <c r="Q417" s="65"/>
      <c r="R417" s="65"/>
    </row>
    <row r="418">
      <c r="A418" s="61"/>
      <c r="B418" s="61"/>
      <c r="C418" s="61"/>
      <c r="D418" s="61"/>
      <c r="E418" s="61"/>
      <c r="F418" s="61"/>
      <c r="G418" s="61"/>
      <c r="H418" s="61"/>
      <c r="I418" s="61"/>
      <c r="J418" s="107"/>
      <c r="K418" s="107"/>
      <c r="L418" s="100"/>
      <c r="M418" s="110"/>
      <c r="N418" s="61"/>
      <c r="O418" s="61"/>
      <c r="P418" s="61"/>
      <c r="Q418" s="61"/>
      <c r="R418" s="61"/>
    </row>
    <row r="419">
      <c r="A419" s="65"/>
      <c r="B419" s="65"/>
      <c r="C419" s="65"/>
      <c r="D419" s="65"/>
      <c r="E419" s="65"/>
      <c r="F419" s="65"/>
      <c r="G419" s="65"/>
      <c r="H419" s="65"/>
      <c r="I419" s="65"/>
      <c r="J419" s="108"/>
      <c r="K419" s="108"/>
      <c r="L419" s="103"/>
      <c r="M419" s="111"/>
      <c r="N419" s="65"/>
      <c r="O419" s="65"/>
      <c r="P419" s="65"/>
      <c r="Q419" s="65"/>
      <c r="R419" s="65"/>
    </row>
    <row r="420">
      <c r="A420" s="61"/>
      <c r="B420" s="61"/>
      <c r="C420" s="61"/>
      <c r="D420" s="61"/>
      <c r="E420" s="61"/>
      <c r="F420" s="61"/>
      <c r="G420" s="61"/>
      <c r="H420" s="61"/>
      <c r="I420" s="61"/>
      <c r="J420" s="107"/>
      <c r="K420" s="107"/>
      <c r="L420" s="100"/>
      <c r="M420" s="110"/>
      <c r="N420" s="61"/>
      <c r="O420" s="61"/>
      <c r="P420" s="61"/>
      <c r="Q420" s="61"/>
      <c r="R420" s="61"/>
    </row>
    <row r="421">
      <c r="A421" s="65"/>
      <c r="B421" s="65"/>
      <c r="C421" s="65"/>
      <c r="D421" s="65"/>
      <c r="E421" s="65"/>
      <c r="F421" s="65"/>
      <c r="G421" s="65"/>
      <c r="H421" s="65"/>
      <c r="I421" s="65"/>
      <c r="J421" s="108"/>
      <c r="K421" s="108"/>
      <c r="L421" s="103"/>
      <c r="M421" s="111"/>
      <c r="N421" s="65"/>
      <c r="O421" s="65"/>
      <c r="P421" s="65"/>
      <c r="Q421" s="65"/>
      <c r="R421" s="65"/>
    </row>
    <row r="422">
      <c r="A422" s="61"/>
      <c r="B422" s="61"/>
      <c r="C422" s="61"/>
      <c r="D422" s="61"/>
      <c r="E422" s="61"/>
      <c r="F422" s="61"/>
      <c r="G422" s="61"/>
      <c r="H422" s="61"/>
      <c r="I422" s="61"/>
      <c r="J422" s="107"/>
      <c r="K422" s="107"/>
      <c r="L422" s="100"/>
      <c r="M422" s="110"/>
      <c r="N422" s="61"/>
      <c r="O422" s="61"/>
      <c r="P422" s="61"/>
      <c r="Q422" s="61"/>
      <c r="R422" s="61"/>
    </row>
    <row r="423">
      <c r="A423" s="65"/>
      <c r="B423" s="65"/>
      <c r="C423" s="65"/>
      <c r="D423" s="65"/>
      <c r="E423" s="65"/>
      <c r="F423" s="65"/>
      <c r="G423" s="65"/>
      <c r="H423" s="65"/>
      <c r="I423" s="65"/>
      <c r="J423" s="108"/>
      <c r="K423" s="108"/>
      <c r="L423" s="103"/>
      <c r="M423" s="111"/>
      <c r="N423" s="65"/>
      <c r="O423" s="65"/>
      <c r="P423" s="65"/>
      <c r="Q423" s="65"/>
      <c r="R423" s="65"/>
    </row>
    <row r="424">
      <c r="A424" s="61"/>
      <c r="B424" s="61"/>
      <c r="C424" s="61"/>
      <c r="D424" s="61"/>
      <c r="E424" s="61"/>
      <c r="F424" s="61"/>
      <c r="G424" s="61"/>
      <c r="H424" s="61"/>
      <c r="I424" s="61"/>
      <c r="J424" s="107"/>
      <c r="K424" s="107"/>
      <c r="L424" s="100"/>
      <c r="M424" s="110"/>
      <c r="N424" s="61"/>
      <c r="O424" s="61"/>
      <c r="P424" s="61"/>
      <c r="Q424" s="61"/>
      <c r="R424" s="61"/>
    </row>
    <row r="425">
      <c r="A425" s="65"/>
      <c r="B425" s="65"/>
      <c r="C425" s="65"/>
      <c r="D425" s="65"/>
      <c r="E425" s="65"/>
      <c r="F425" s="65"/>
      <c r="G425" s="65"/>
      <c r="H425" s="65"/>
      <c r="I425" s="65"/>
      <c r="J425" s="108"/>
      <c r="K425" s="108"/>
      <c r="L425" s="103"/>
      <c r="M425" s="111"/>
      <c r="N425" s="65"/>
      <c r="O425" s="65"/>
      <c r="P425" s="65"/>
      <c r="Q425" s="65"/>
      <c r="R425" s="65"/>
    </row>
    <row r="426">
      <c r="A426" s="61"/>
      <c r="B426" s="61"/>
      <c r="C426" s="61"/>
      <c r="D426" s="61"/>
      <c r="E426" s="61"/>
      <c r="F426" s="61"/>
      <c r="G426" s="61"/>
      <c r="H426" s="61"/>
      <c r="I426" s="61"/>
      <c r="J426" s="107"/>
      <c r="K426" s="107"/>
      <c r="L426" s="100"/>
      <c r="M426" s="110"/>
      <c r="N426" s="61"/>
      <c r="O426" s="61"/>
      <c r="P426" s="61"/>
      <c r="Q426" s="61"/>
      <c r="R426" s="61"/>
    </row>
    <row r="427">
      <c r="A427" s="65"/>
      <c r="B427" s="65"/>
      <c r="C427" s="65"/>
      <c r="D427" s="65"/>
      <c r="E427" s="65"/>
      <c r="F427" s="65"/>
      <c r="G427" s="65"/>
      <c r="H427" s="65"/>
      <c r="I427" s="65"/>
      <c r="J427" s="108"/>
      <c r="K427" s="108"/>
      <c r="L427" s="103"/>
      <c r="M427" s="111"/>
      <c r="N427" s="65"/>
      <c r="O427" s="65"/>
      <c r="P427" s="65"/>
      <c r="Q427" s="65"/>
      <c r="R427" s="65"/>
    </row>
    <row r="428">
      <c r="A428" s="61"/>
      <c r="B428" s="61"/>
      <c r="C428" s="61"/>
      <c r="D428" s="61"/>
      <c r="E428" s="61"/>
      <c r="F428" s="61"/>
      <c r="G428" s="61"/>
      <c r="H428" s="61"/>
      <c r="I428" s="61"/>
      <c r="J428" s="107"/>
      <c r="K428" s="107"/>
      <c r="L428" s="100"/>
      <c r="M428" s="110"/>
      <c r="N428" s="61"/>
      <c r="O428" s="61"/>
      <c r="P428" s="61"/>
      <c r="Q428" s="61"/>
      <c r="R428" s="61"/>
    </row>
    <row r="429">
      <c r="A429" s="65"/>
      <c r="B429" s="65"/>
      <c r="C429" s="65"/>
      <c r="D429" s="65"/>
      <c r="E429" s="65"/>
      <c r="F429" s="65"/>
      <c r="G429" s="65"/>
      <c r="H429" s="65"/>
      <c r="I429" s="65"/>
      <c r="J429" s="108"/>
      <c r="K429" s="108"/>
      <c r="L429" s="103"/>
      <c r="M429" s="111"/>
      <c r="N429" s="65"/>
      <c r="O429" s="65"/>
      <c r="P429" s="65"/>
      <c r="Q429" s="65"/>
      <c r="R429" s="65"/>
    </row>
    <row r="430">
      <c r="A430" s="61"/>
      <c r="B430" s="61"/>
      <c r="C430" s="61"/>
      <c r="D430" s="61"/>
      <c r="E430" s="61"/>
      <c r="F430" s="61"/>
      <c r="G430" s="61"/>
      <c r="H430" s="61"/>
      <c r="I430" s="61"/>
      <c r="J430" s="107"/>
      <c r="K430" s="107"/>
      <c r="L430" s="100"/>
      <c r="M430" s="110"/>
      <c r="N430" s="61"/>
      <c r="O430" s="61"/>
      <c r="P430" s="61"/>
      <c r="Q430" s="61"/>
      <c r="R430" s="61"/>
    </row>
    <row r="431">
      <c r="A431" s="65"/>
      <c r="B431" s="65"/>
      <c r="C431" s="65"/>
      <c r="D431" s="65"/>
      <c r="E431" s="65"/>
      <c r="F431" s="65"/>
      <c r="G431" s="65"/>
      <c r="H431" s="65"/>
      <c r="I431" s="65"/>
      <c r="J431" s="108"/>
      <c r="K431" s="108"/>
      <c r="L431" s="103"/>
      <c r="M431" s="111"/>
      <c r="N431" s="65"/>
      <c r="O431" s="65"/>
      <c r="P431" s="65"/>
      <c r="Q431" s="65"/>
      <c r="R431" s="65"/>
    </row>
    <row r="432">
      <c r="A432" s="61"/>
      <c r="B432" s="61"/>
      <c r="C432" s="61"/>
      <c r="D432" s="61"/>
      <c r="E432" s="61"/>
      <c r="F432" s="61"/>
      <c r="G432" s="61"/>
      <c r="H432" s="61"/>
      <c r="I432" s="61"/>
      <c r="J432" s="107"/>
      <c r="K432" s="107"/>
      <c r="L432" s="100"/>
      <c r="M432" s="110"/>
      <c r="N432" s="61"/>
      <c r="O432" s="61"/>
      <c r="P432" s="61"/>
      <c r="Q432" s="61"/>
      <c r="R432" s="61"/>
    </row>
    <row r="433">
      <c r="A433" s="65"/>
      <c r="B433" s="65"/>
      <c r="C433" s="65"/>
      <c r="D433" s="65"/>
      <c r="E433" s="65"/>
      <c r="F433" s="65"/>
      <c r="G433" s="65"/>
      <c r="H433" s="65"/>
      <c r="I433" s="65"/>
      <c r="J433" s="108"/>
      <c r="K433" s="108"/>
      <c r="L433" s="103"/>
      <c r="M433" s="111"/>
      <c r="N433" s="65"/>
      <c r="O433" s="65"/>
      <c r="P433" s="65"/>
      <c r="Q433" s="65"/>
      <c r="R433" s="65"/>
    </row>
    <row r="434">
      <c r="A434" s="61"/>
      <c r="B434" s="61"/>
      <c r="C434" s="61"/>
      <c r="D434" s="61"/>
      <c r="E434" s="61"/>
      <c r="F434" s="61"/>
      <c r="G434" s="61"/>
      <c r="H434" s="61"/>
      <c r="I434" s="61"/>
      <c r="J434" s="107"/>
      <c r="K434" s="107"/>
      <c r="L434" s="100"/>
      <c r="M434" s="110"/>
      <c r="N434" s="61"/>
      <c r="O434" s="61"/>
      <c r="P434" s="61"/>
      <c r="Q434" s="61"/>
      <c r="R434" s="61"/>
    </row>
    <row r="435">
      <c r="A435" s="65"/>
      <c r="B435" s="65"/>
      <c r="C435" s="65"/>
      <c r="D435" s="65"/>
      <c r="E435" s="65"/>
      <c r="F435" s="65"/>
      <c r="G435" s="65"/>
      <c r="H435" s="65"/>
      <c r="I435" s="65"/>
      <c r="J435" s="108"/>
      <c r="K435" s="108"/>
      <c r="L435" s="103"/>
      <c r="M435" s="111"/>
      <c r="N435" s="65"/>
      <c r="O435" s="65"/>
      <c r="P435" s="65"/>
      <c r="Q435" s="65"/>
      <c r="R435" s="65"/>
    </row>
    <row r="436">
      <c r="A436" s="61"/>
      <c r="B436" s="61"/>
      <c r="C436" s="61"/>
      <c r="D436" s="61"/>
      <c r="E436" s="61"/>
      <c r="F436" s="61"/>
      <c r="G436" s="61"/>
      <c r="H436" s="61"/>
      <c r="I436" s="61"/>
      <c r="J436" s="107"/>
      <c r="K436" s="107"/>
      <c r="L436" s="100"/>
      <c r="M436" s="110"/>
      <c r="N436" s="61"/>
      <c r="O436" s="61"/>
      <c r="P436" s="61"/>
      <c r="Q436" s="61"/>
      <c r="R436" s="61"/>
    </row>
    <row r="437">
      <c r="A437" s="65"/>
      <c r="B437" s="65"/>
      <c r="C437" s="65"/>
      <c r="D437" s="65"/>
      <c r="E437" s="65"/>
      <c r="F437" s="65"/>
      <c r="G437" s="65"/>
      <c r="H437" s="65"/>
      <c r="I437" s="65"/>
      <c r="J437" s="108"/>
      <c r="K437" s="108"/>
      <c r="L437" s="103"/>
      <c r="M437" s="111"/>
      <c r="N437" s="65"/>
      <c r="O437" s="65"/>
      <c r="P437" s="65"/>
      <c r="Q437" s="65"/>
      <c r="R437" s="65"/>
    </row>
    <row r="438">
      <c r="A438" s="61"/>
      <c r="B438" s="61"/>
      <c r="C438" s="61"/>
      <c r="D438" s="61"/>
      <c r="E438" s="61"/>
      <c r="F438" s="61"/>
      <c r="G438" s="61"/>
      <c r="H438" s="61"/>
      <c r="I438" s="61"/>
      <c r="J438" s="107"/>
      <c r="K438" s="107"/>
      <c r="L438" s="100"/>
      <c r="M438" s="110"/>
      <c r="N438" s="61"/>
      <c r="O438" s="61"/>
      <c r="P438" s="61"/>
      <c r="Q438" s="61"/>
      <c r="R438" s="61"/>
    </row>
    <row r="439">
      <c r="A439" s="65"/>
      <c r="B439" s="65"/>
      <c r="C439" s="65"/>
      <c r="D439" s="65"/>
      <c r="E439" s="65"/>
      <c r="F439" s="65"/>
      <c r="G439" s="65"/>
      <c r="H439" s="65"/>
      <c r="I439" s="65"/>
      <c r="J439" s="108"/>
      <c r="K439" s="108"/>
      <c r="L439" s="103"/>
      <c r="M439" s="111"/>
      <c r="N439" s="65"/>
      <c r="O439" s="65"/>
      <c r="P439" s="65"/>
      <c r="Q439" s="65"/>
      <c r="R439" s="65"/>
    </row>
    <row r="440">
      <c r="A440" s="61"/>
      <c r="B440" s="61"/>
      <c r="C440" s="61"/>
      <c r="D440" s="61"/>
      <c r="E440" s="61"/>
      <c r="F440" s="61"/>
      <c r="G440" s="61"/>
      <c r="H440" s="61"/>
      <c r="I440" s="61"/>
      <c r="J440" s="107"/>
      <c r="K440" s="107"/>
      <c r="L440" s="100"/>
      <c r="M440" s="110"/>
      <c r="N440" s="61"/>
      <c r="O440" s="61"/>
      <c r="P440" s="61"/>
      <c r="Q440" s="61"/>
      <c r="R440" s="61"/>
    </row>
    <row r="441">
      <c r="A441" s="65"/>
      <c r="B441" s="65"/>
      <c r="C441" s="65"/>
      <c r="D441" s="65"/>
      <c r="E441" s="65"/>
      <c r="F441" s="65"/>
      <c r="G441" s="65"/>
      <c r="H441" s="65"/>
      <c r="I441" s="65"/>
      <c r="J441" s="108"/>
      <c r="K441" s="108"/>
      <c r="L441" s="103"/>
      <c r="M441" s="111"/>
      <c r="N441" s="65"/>
      <c r="O441" s="65"/>
      <c r="P441" s="65"/>
      <c r="Q441" s="65"/>
      <c r="R441" s="65"/>
    </row>
    <row r="442">
      <c r="A442" s="61"/>
      <c r="B442" s="61"/>
      <c r="C442" s="61"/>
      <c r="D442" s="61"/>
      <c r="E442" s="61"/>
      <c r="F442" s="61"/>
      <c r="G442" s="61"/>
      <c r="H442" s="61"/>
      <c r="I442" s="61"/>
      <c r="J442" s="107"/>
      <c r="K442" s="107"/>
      <c r="L442" s="100"/>
      <c r="M442" s="110"/>
      <c r="N442" s="61"/>
      <c r="O442" s="61"/>
      <c r="P442" s="61"/>
      <c r="Q442" s="61"/>
      <c r="R442" s="61"/>
    </row>
    <row r="443">
      <c r="A443" s="65"/>
      <c r="B443" s="65"/>
      <c r="C443" s="65"/>
      <c r="D443" s="65"/>
      <c r="E443" s="65"/>
      <c r="F443" s="65"/>
      <c r="G443" s="65"/>
      <c r="H443" s="65"/>
      <c r="I443" s="65"/>
      <c r="J443" s="108"/>
      <c r="K443" s="108"/>
      <c r="L443" s="103"/>
      <c r="M443" s="111"/>
      <c r="N443" s="65"/>
      <c r="O443" s="65"/>
      <c r="P443" s="65"/>
      <c r="Q443" s="65"/>
      <c r="R443" s="65"/>
    </row>
    <row r="444">
      <c r="A444" s="61"/>
      <c r="B444" s="61"/>
      <c r="C444" s="61"/>
      <c r="D444" s="61"/>
      <c r="E444" s="61"/>
      <c r="F444" s="61"/>
      <c r="G444" s="61"/>
      <c r="H444" s="61"/>
      <c r="I444" s="61"/>
      <c r="J444" s="107"/>
      <c r="K444" s="107"/>
      <c r="L444" s="100"/>
      <c r="M444" s="110"/>
      <c r="N444" s="61"/>
      <c r="O444" s="61"/>
      <c r="P444" s="61"/>
      <c r="Q444" s="61"/>
      <c r="R444" s="61"/>
    </row>
    <row r="445">
      <c r="A445" s="65"/>
      <c r="B445" s="65"/>
      <c r="C445" s="65"/>
      <c r="D445" s="65"/>
      <c r="E445" s="65"/>
      <c r="F445" s="65"/>
      <c r="G445" s="65"/>
      <c r="H445" s="65"/>
      <c r="I445" s="65"/>
      <c r="J445" s="108"/>
      <c r="K445" s="108"/>
      <c r="L445" s="103"/>
      <c r="M445" s="111"/>
      <c r="N445" s="65"/>
      <c r="O445" s="65"/>
      <c r="P445" s="65"/>
      <c r="Q445" s="65"/>
      <c r="R445" s="65"/>
    </row>
    <row r="446">
      <c r="A446" s="61"/>
      <c r="B446" s="61"/>
      <c r="C446" s="61"/>
      <c r="D446" s="61"/>
      <c r="E446" s="61"/>
      <c r="F446" s="61"/>
      <c r="G446" s="61"/>
      <c r="H446" s="61"/>
      <c r="I446" s="61"/>
      <c r="J446" s="107"/>
      <c r="K446" s="107"/>
      <c r="L446" s="100"/>
      <c r="M446" s="110"/>
      <c r="N446" s="61"/>
      <c r="O446" s="61"/>
      <c r="P446" s="61"/>
      <c r="Q446" s="61"/>
      <c r="R446" s="61"/>
    </row>
    <row r="447">
      <c r="A447" s="65"/>
      <c r="B447" s="65"/>
      <c r="C447" s="65"/>
      <c r="D447" s="65"/>
      <c r="E447" s="65"/>
      <c r="F447" s="65"/>
      <c r="G447" s="65"/>
      <c r="H447" s="65"/>
      <c r="I447" s="65"/>
      <c r="J447" s="108"/>
      <c r="K447" s="108"/>
      <c r="L447" s="103"/>
      <c r="M447" s="111"/>
      <c r="N447" s="65"/>
      <c r="O447" s="65"/>
      <c r="P447" s="65"/>
      <c r="Q447" s="65"/>
      <c r="R447" s="65"/>
    </row>
    <row r="448">
      <c r="A448" s="61"/>
      <c r="B448" s="61"/>
      <c r="C448" s="61"/>
      <c r="D448" s="61"/>
      <c r="E448" s="61"/>
      <c r="F448" s="61"/>
      <c r="G448" s="61"/>
      <c r="H448" s="61"/>
      <c r="I448" s="61"/>
      <c r="J448" s="107"/>
      <c r="K448" s="107"/>
      <c r="L448" s="100"/>
      <c r="M448" s="110"/>
      <c r="N448" s="61"/>
      <c r="O448" s="61"/>
      <c r="P448" s="61"/>
      <c r="Q448" s="61"/>
      <c r="R448" s="61"/>
    </row>
    <row r="449">
      <c r="A449" s="65"/>
      <c r="B449" s="65"/>
      <c r="C449" s="65"/>
      <c r="D449" s="65"/>
      <c r="E449" s="65"/>
      <c r="F449" s="65"/>
      <c r="G449" s="65"/>
      <c r="H449" s="65"/>
      <c r="I449" s="65"/>
      <c r="J449" s="108"/>
      <c r="K449" s="108"/>
      <c r="L449" s="103"/>
      <c r="M449" s="111"/>
      <c r="N449" s="65"/>
      <c r="O449" s="65"/>
      <c r="P449" s="65"/>
      <c r="Q449" s="65"/>
      <c r="R449" s="65"/>
    </row>
    <row r="450">
      <c r="A450" s="61"/>
      <c r="B450" s="61"/>
      <c r="C450" s="61"/>
      <c r="D450" s="61"/>
      <c r="E450" s="61"/>
      <c r="F450" s="61"/>
      <c r="G450" s="61"/>
      <c r="H450" s="61"/>
      <c r="I450" s="61"/>
      <c r="J450" s="107"/>
      <c r="K450" s="107"/>
      <c r="L450" s="100"/>
      <c r="M450" s="110"/>
      <c r="N450" s="61"/>
      <c r="O450" s="61"/>
      <c r="P450" s="61"/>
      <c r="Q450" s="61"/>
      <c r="R450" s="61"/>
    </row>
    <row r="451">
      <c r="A451" s="65"/>
      <c r="B451" s="65"/>
      <c r="C451" s="65"/>
      <c r="D451" s="65"/>
      <c r="E451" s="65"/>
      <c r="F451" s="65"/>
      <c r="G451" s="65"/>
      <c r="H451" s="65"/>
      <c r="I451" s="65"/>
      <c r="J451" s="108"/>
      <c r="K451" s="108"/>
      <c r="L451" s="103"/>
      <c r="M451" s="111"/>
      <c r="N451" s="65"/>
      <c r="O451" s="65"/>
      <c r="P451" s="65"/>
      <c r="Q451" s="65"/>
      <c r="R451" s="65"/>
    </row>
    <row r="452">
      <c r="A452" s="61"/>
      <c r="B452" s="61"/>
      <c r="C452" s="61"/>
      <c r="D452" s="61"/>
      <c r="E452" s="61"/>
      <c r="F452" s="61"/>
      <c r="G452" s="61"/>
      <c r="H452" s="61"/>
      <c r="I452" s="61"/>
      <c r="J452" s="107"/>
      <c r="K452" s="107"/>
      <c r="L452" s="100"/>
      <c r="M452" s="110"/>
      <c r="N452" s="61"/>
      <c r="O452" s="61"/>
      <c r="P452" s="61"/>
      <c r="Q452" s="61"/>
      <c r="R452" s="61"/>
    </row>
    <row r="453">
      <c r="A453" s="65"/>
      <c r="B453" s="65"/>
      <c r="C453" s="65"/>
      <c r="D453" s="65"/>
      <c r="E453" s="65"/>
      <c r="F453" s="65"/>
      <c r="G453" s="65"/>
      <c r="H453" s="65"/>
      <c r="I453" s="65"/>
      <c r="J453" s="108"/>
      <c r="K453" s="108"/>
      <c r="L453" s="103"/>
      <c r="M453" s="111"/>
      <c r="N453" s="65"/>
      <c r="O453" s="65"/>
      <c r="P453" s="65"/>
      <c r="Q453" s="65"/>
      <c r="R453" s="65"/>
    </row>
    <row r="454">
      <c r="A454" s="61"/>
      <c r="B454" s="61"/>
      <c r="C454" s="61"/>
      <c r="D454" s="61"/>
      <c r="E454" s="61"/>
      <c r="F454" s="61"/>
      <c r="G454" s="61"/>
      <c r="H454" s="61"/>
      <c r="I454" s="61"/>
      <c r="J454" s="107"/>
      <c r="K454" s="107"/>
      <c r="L454" s="100"/>
      <c r="M454" s="110"/>
      <c r="N454" s="61"/>
      <c r="O454" s="61"/>
      <c r="P454" s="61"/>
      <c r="Q454" s="61"/>
      <c r="R454" s="61"/>
    </row>
    <row r="455">
      <c r="A455" s="65"/>
      <c r="B455" s="65"/>
      <c r="C455" s="65"/>
      <c r="D455" s="65"/>
      <c r="E455" s="65"/>
      <c r="F455" s="65"/>
      <c r="G455" s="65"/>
      <c r="H455" s="65"/>
      <c r="I455" s="65"/>
      <c r="J455" s="108"/>
      <c r="K455" s="108"/>
      <c r="L455" s="103"/>
      <c r="M455" s="111"/>
      <c r="N455" s="65"/>
      <c r="O455" s="65"/>
      <c r="P455" s="65"/>
      <c r="Q455" s="65"/>
      <c r="R455" s="65"/>
    </row>
    <row r="456">
      <c r="A456" s="61"/>
      <c r="B456" s="61"/>
      <c r="C456" s="61"/>
      <c r="D456" s="61"/>
      <c r="E456" s="61"/>
      <c r="F456" s="61"/>
      <c r="G456" s="61"/>
      <c r="H456" s="61"/>
      <c r="I456" s="61"/>
      <c r="J456" s="107"/>
      <c r="K456" s="107"/>
      <c r="L456" s="100"/>
      <c r="M456" s="110"/>
      <c r="N456" s="61"/>
      <c r="O456" s="61"/>
      <c r="P456" s="61"/>
      <c r="Q456" s="61"/>
      <c r="R456" s="61"/>
    </row>
    <row r="457">
      <c r="A457" s="65"/>
      <c r="B457" s="65"/>
      <c r="C457" s="65"/>
      <c r="D457" s="65"/>
      <c r="E457" s="65"/>
      <c r="F457" s="65"/>
      <c r="G457" s="65"/>
      <c r="H457" s="65"/>
      <c r="I457" s="65"/>
      <c r="J457" s="108"/>
      <c r="K457" s="108"/>
      <c r="L457" s="103"/>
      <c r="M457" s="111"/>
      <c r="N457" s="65"/>
      <c r="O457" s="65"/>
      <c r="P457" s="65"/>
      <c r="Q457" s="65"/>
      <c r="R457" s="65"/>
    </row>
    <row r="458">
      <c r="A458" s="61"/>
      <c r="B458" s="61"/>
      <c r="C458" s="61"/>
      <c r="D458" s="61"/>
      <c r="E458" s="61"/>
      <c r="F458" s="61"/>
      <c r="G458" s="61"/>
      <c r="H458" s="61"/>
      <c r="I458" s="61"/>
      <c r="J458" s="107"/>
      <c r="K458" s="107"/>
      <c r="L458" s="100"/>
      <c r="M458" s="110"/>
      <c r="N458" s="61"/>
      <c r="O458" s="61"/>
      <c r="P458" s="61"/>
      <c r="Q458" s="61"/>
      <c r="R458" s="61"/>
    </row>
    <row r="459">
      <c r="A459" s="65"/>
      <c r="B459" s="65"/>
      <c r="C459" s="65"/>
      <c r="D459" s="65"/>
      <c r="E459" s="65"/>
      <c r="F459" s="65"/>
      <c r="G459" s="65"/>
      <c r="H459" s="65"/>
      <c r="I459" s="65"/>
      <c r="J459" s="108"/>
      <c r="K459" s="108"/>
      <c r="L459" s="103"/>
      <c r="M459" s="111"/>
      <c r="N459" s="65"/>
      <c r="O459" s="65"/>
      <c r="P459" s="65"/>
      <c r="Q459" s="65"/>
      <c r="R459" s="65"/>
    </row>
    <row r="460">
      <c r="A460" s="61"/>
      <c r="B460" s="61"/>
      <c r="C460" s="61"/>
      <c r="D460" s="61"/>
      <c r="E460" s="61"/>
      <c r="F460" s="61"/>
      <c r="G460" s="61"/>
      <c r="H460" s="61"/>
      <c r="I460" s="61"/>
      <c r="J460" s="107"/>
      <c r="K460" s="107"/>
      <c r="L460" s="100"/>
      <c r="M460" s="110"/>
      <c r="N460" s="61"/>
      <c r="O460" s="61"/>
      <c r="P460" s="61"/>
      <c r="Q460" s="61"/>
      <c r="R460" s="61"/>
    </row>
    <row r="461">
      <c r="A461" s="65"/>
      <c r="B461" s="65"/>
      <c r="C461" s="65"/>
      <c r="D461" s="65"/>
      <c r="E461" s="65"/>
      <c r="F461" s="65"/>
      <c r="G461" s="65"/>
      <c r="H461" s="65"/>
      <c r="I461" s="65"/>
      <c r="J461" s="108"/>
      <c r="K461" s="108"/>
      <c r="L461" s="103"/>
      <c r="M461" s="111"/>
      <c r="N461" s="65"/>
      <c r="O461" s="65"/>
      <c r="P461" s="65"/>
      <c r="Q461" s="65"/>
      <c r="R461" s="65"/>
    </row>
    <row r="462">
      <c r="A462" s="61"/>
      <c r="B462" s="61"/>
      <c r="C462" s="61"/>
      <c r="D462" s="61"/>
      <c r="E462" s="61"/>
      <c r="F462" s="61"/>
      <c r="G462" s="61"/>
      <c r="H462" s="61"/>
      <c r="I462" s="61"/>
      <c r="J462" s="107"/>
      <c r="K462" s="107"/>
      <c r="L462" s="100"/>
      <c r="M462" s="110"/>
      <c r="N462" s="61"/>
      <c r="O462" s="61"/>
      <c r="P462" s="61"/>
      <c r="Q462" s="61"/>
      <c r="R462" s="61"/>
    </row>
    <row r="463">
      <c r="A463" s="65"/>
      <c r="B463" s="65"/>
      <c r="C463" s="65"/>
      <c r="D463" s="65"/>
      <c r="E463" s="65"/>
      <c r="F463" s="65"/>
      <c r="G463" s="65"/>
      <c r="H463" s="65"/>
      <c r="I463" s="65"/>
      <c r="J463" s="108"/>
      <c r="K463" s="108"/>
      <c r="L463" s="103"/>
      <c r="M463" s="111"/>
      <c r="N463" s="65"/>
      <c r="O463" s="65"/>
      <c r="P463" s="65"/>
      <c r="Q463" s="65"/>
      <c r="R463" s="65"/>
    </row>
    <row r="464">
      <c r="A464" s="61"/>
      <c r="B464" s="61"/>
      <c r="C464" s="61"/>
      <c r="D464" s="61"/>
      <c r="E464" s="61"/>
      <c r="F464" s="61"/>
      <c r="G464" s="61"/>
      <c r="H464" s="61"/>
      <c r="I464" s="61"/>
      <c r="J464" s="107"/>
      <c r="K464" s="107"/>
      <c r="L464" s="100"/>
      <c r="M464" s="110"/>
      <c r="N464" s="61"/>
      <c r="O464" s="61"/>
      <c r="P464" s="61"/>
      <c r="Q464" s="61"/>
      <c r="R464" s="61"/>
    </row>
    <row r="465">
      <c r="A465" s="65"/>
      <c r="B465" s="65"/>
      <c r="C465" s="65"/>
      <c r="D465" s="65"/>
      <c r="E465" s="65"/>
      <c r="F465" s="65"/>
      <c r="G465" s="65"/>
      <c r="H465" s="65"/>
      <c r="I465" s="65"/>
      <c r="J465" s="108"/>
      <c r="K465" s="108"/>
      <c r="L465" s="103"/>
      <c r="M465" s="111"/>
      <c r="N465" s="65"/>
      <c r="O465" s="65"/>
      <c r="P465" s="65"/>
      <c r="Q465" s="65"/>
      <c r="R465" s="65"/>
    </row>
    <row r="466">
      <c r="A466" s="61"/>
      <c r="B466" s="61"/>
      <c r="C466" s="61"/>
      <c r="D466" s="61"/>
      <c r="E466" s="61"/>
      <c r="F466" s="61"/>
      <c r="G466" s="61"/>
      <c r="H466" s="61"/>
      <c r="I466" s="61"/>
      <c r="J466" s="107"/>
      <c r="K466" s="107"/>
      <c r="L466" s="100"/>
      <c r="M466" s="110"/>
      <c r="N466" s="61"/>
      <c r="O466" s="61"/>
      <c r="P466" s="61"/>
      <c r="Q466" s="61"/>
      <c r="R466" s="61"/>
    </row>
    <row r="467">
      <c r="A467" s="65"/>
      <c r="B467" s="65"/>
      <c r="C467" s="65"/>
      <c r="D467" s="65"/>
      <c r="E467" s="65"/>
      <c r="F467" s="65"/>
      <c r="G467" s="65"/>
      <c r="H467" s="65"/>
      <c r="I467" s="65"/>
      <c r="J467" s="108"/>
      <c r="K467" s="108"/>
      <c r="L467" s="103"/>
      <c r="M467" s="111"/>
      <c r="N467" s="65"/>
      <c r="O467" s="65"/>
      <c r="P467" s="65"/>
      <c r="Q467" s="65"/>
      <c r="R467" s="65"/>
    </row>
    <row r="468">
      <c r="A468" s="61"/>
      <c r="B468" s="61"/>
      <c r="C468" s="61"/>
      <c r="D468" s="61"/>
      <c r="E468" s="61"/>
      <c r="F468" s="61"/>
      <c r="G468" s="61"/>
      <c r="H468" s="61"/>
      <c r="I468" s="61"/>
      <c r="J468" s="107"/>
      <c r="K468" s="107"/>
      <c r="L468" s="100"/>
      <c r="M468" s="110"/>
      <c r="N468" s="61"/>
      <c r="O468" s="61"/>
      <c r="P468" s="61"/>
      <c r="Q468" s="61"/>
      <c r="R468" s="61"/>
    </row>
    <row r="469">
      <c r="A469" s="65"/>
      <c r="B469" s="65"/>
      <c r="C469" s="65"/>
      <c r="D469" s="65"/>
      <c r="E469" s="65"/>
      <c r="F469" s="65"/>
      <c r="G469" s="65"/>
      <c r="H469" s="65"/>
      <c r="I469" s="65"/>
      <c r="J469" s="108"/>
      <c r="K469" s="108"/>
      <c r="L469" s="103"/>
      <c r="M469" s="111"/>
      <c r="N469" s="65"/>
      <c r="O469" s="65"/>
      <c r="P469" s="65"/>
      <c r="Q469" s="65"/>
      <c r="R469" s="65"/>
    </row>
    <row r="470">
      <c r="A470" s="61"/>
      <c r="B470" s="61"/>
      <c r="C470" s="61"/>
      <c r="D470" s="61"/>
      <c r="E470" s="61"/>
      <c r="F470" s="61"/>
      <c r="G470" s="61"/>
      <c r="H470" s="61"/>
      <c r="I470" s="61"/>
      <c r="J470" s="107"/>
      <c r="K470" s="107"/>
      <c r="L470" s="100"/>
      <c r="M470" s="110"/>
      <c r="N470" s="61"/>
      <c r="O470" s="61"/>
      <c r="P470" s="61"/>
      <c r="Q470" s="61"/>
      <c r="R470" s="61"/>
    </row>
    <row r="471">
      <c r="A471" s="65"/>
      <c r="B471" s="65"/>
      <c r="C471" s="65"/>
      <c r="D471" s="65"/>
      <c r="E471" s="65"/>
      <c r="F471" s="65"/>
      <c r="G471" s="65"/>
      <c r="H471" s="65"/>
      <c r="I471" s="65"/>
      <c r="J471" s="108"/>
      <c r="K471" s="108"/>
      <c r="L471" s="103"/>
      <c r="M471" s="111"/>
      <c r="N471" s="65"/>
      <c r="O471" s="65"/>
      <c r="P471" s="65"/>
      <c r="Q471" s="65"/>
      <c r="R471" s="65"/>
    </row>
    <row r="472">
      <c r="A472" s="61"/>
      <c r="B472" s="61"/>
      <c r="C472" s="61"/>
      <c r="D472" s="61"/>
      <c r="E472" s="61"/>
      <c r="F472" s="61"/>
      <c r="G472" s="61"/>
      <c r="H472" s="61"/>
      <c r="I472" s="61"/>
      <c r="J472" s="107"/>
      <c r="K472" s="107"/>
      <c r="L472" s="100"/>
      <c r="M472" s="110"/>
      <c r="N472" s="61"/>
      <c r="O472" s="61"/>
      <c r="P472" s="61"/>
      <c r="Q472" s="61"/>
      <c r="R472" s="61"/>
    </row>
    <row r="473">
      <c r="A473" s="65"/>
      <c r="B473" s="65"/>
      <c r="C473" s="65"/>
      <c r="D473" s="65"/>
      <c r="E473" s="65"/>
      <c r="F473" s="65"/>
      <c r="G473" s="65"/>
      <c r="H473" s="65"/>
      <c r="I473" s="65"/>
      <c r="J473" s="108"/>
      <c r="K473" s="108"/>
      <c r="L473" s="103"/>
      <c r="M473" s="111"/>
      <c r="N473" s="65"/>
      <c r="O473" s="65"/>
      <c r="P473" s="65"/>
      <c r="Q473" s="65"/>
      <c r="R473" s="65"/>
    </row>
    <row r="474">
      <c r="A474" s="61"/>
      <c r="B474" s="61"/>
      <c r="C474" s="61"/>
      <c r="D474" s="61"/>
      <c r="E474" s="61"/>
      <c r="F474" s="61"/>
      <c r="G474" s="61"/>
      <c r="H474" s="61"/>
      <c r="I474" s="61"/>
      <c r="J474" s="107"/>
      <c r="K474" s="107"/>
      <c r="L474" s="100"/>
      <c r="M474" s="110"/>
      <c r="N474" s="61"/>
      <c r="O474" s="61"/>
      <c r="P474" s="61"/>
      <c r="Q474" s="61"/>
      <c r="R474" s="61"/>
    </row>
    <row r="475">
      <c r="A475" s="65"/>
      <c r="B475" s="65"/>
      <c r="C475" s="65"/>
      <c r="D475" s="65"/>
      <c r="E475" s="65"/>
      <c r="F475" s="65"/>
      <c r="G475" s="65"/>
      <c r="H475" s="65"/>
      <c r="I475" s="65"/>
      <c r="J475" s="108"/>
      <c r="K475" s="108"/>
      <c r="L475" s="103"/>
      <c r="M475" s="111"/>
      <c r="N475" s="65"/>
      <c r="O475" s="65"/>
      <c r="P475" s="65"/>
      <c r="Q475" s="65"/>
      <c r="R475" s="65"/>
    </row>
    <row r="476">
      <c r="A476" s="61"/>
      <c r="B476" s="61"/>
      <c r="C476" s="61"/>
      <c r="D476" s="61"/>
      <c r="E476" s="61"/>
      <c r="F476" s="61"/>
      <c r="G476" s="61"/>
      <c r="H476" s="61"/>
      <c r="I476" s="61"/>
      <c r="J476" s="107"/>
      <c r="K476" s="107"/>
      <c r="L476" s="100"/>
      <c r="M476" s="110"/>
      <c r="N476" s="61"/>
      <c r="O476" s="61"/>
      <c r="P476" s="61"/>
      <c r="Q476" s="61"/>
      <c r="R476" s="61"/>
    </row>
    <row r="477">
      <c r="A477" s="65"/>
      <c r="B477" s="65"/>
      <c r="C477" s="65"/>
      <c r="D477" s="65"/>
      <c r="E477" s="65"/>
      <c r="F477" s="65"/>
      <c r="G477" s="65"/>
      <c r="H477" s="65"/>
      <c r="I477" s="65"/>
      <c r="J477" s="108"/>
      <c r="K477" s="108"/>
      <c r="L477" s="103"/>
      <c r="M477" s="111"/>
      <c r="N477" s="65"/>
      <c r="O477" s="65"/>
      <c r="P477" s="65"/>
      <c r="Q477" s="65"/>
      <c r="R477" s="65"/>
    </row>
    <row r="478">
      <c r="A478" s="61"/>
      <c r="B478" s="61"/>
      <c r="C478" s="61"/>
      <c r="D478" s="61"/>
      <c r="E478" s="61"/>
      <c r="F478" s="61"/>
      <c r="G478" s="61"/>
      <c r="H478" s="61"/>
      <c r="I478" s="61"/>
      <c r="J478" s="107"/>
      <c r="K478" s="107"/>
      <c r="L478" s="100"/>
      <c r="M478" s="110"/>
      <c r="N478" s="61"/>
      <c r="O478" s="61"/>
      <c r="P478" s="61"/>
      <c r="Q478" s="61"/>
      <c r="R478" s="61"/>
    </row>
    <row r="479">
      <c r="A479" s="65"/>
      <c r="B479" s="65"/>
      <c r="C479" s="65"/>
      <c r="D479" s="65"/>
      <c r="E479" s="65"/>
      <c r="F479" s="65"/>
      <c r="G479" s="65"/>
      <c r="H479" s="65"/>
      <c r="I479" s="65"/>
      <c r="J479" s="108"/>
      <c r="K479" s="108"/>
      <c r="L479" s="103"/>
      <c r="M479" s="111"/>
      <c r="N479" s="65"/>
      <c r="O479" s="65"/>
      <c r="P479" s="65"/>
      <c r="Q479" s="65"/>
      <c r="R479" s="65"/>
    </row>
    <row r="480">
      <c r="A480" s="61"/>
      <c r="B480" s="61"/>
      <c r="C480" s="61"/>
      <c r="D480" s="61"/>
      <c r="E480" s="61"/>
      <c r="F480" s="61"/>
      <c r="G480" s="61"/>
      <c r="H480" s="61"/>
      <c r="I480" s="61"/>
      <c r="J480" s="107"/>
      <c r="K480" s="107"/>
      <c r="L480" s="100"/>
      <c r="M480" s="110"/>
      <c r="N480" s="61"/>
      <c r="O480" s="61"/>
      <c r="P480" s="61"/>
      <c r="Q480" s="61"/>
      <c r="R480" s="61"/>
    </row>
    <row r="481">
      <c r="A481" s="65"/>
      <c r="B481" s="65"/>
      <c r="C481" s="65"/>
      <c r="D481" s="65"/>
      <c r="E481" s="65"/>
      <c r="F481" s="65"/>
      <c r="G481" s="65"/>
      <c r="H481" s="65"/>
      <c r="I481" s="65"/>
      <c r="J481" s="108"/>
      <c r="K481" s="108"/>
      <c r="L481" s="103"/>
      <c r="M481" s="111"/>
      <c r="N481" s="65"/>
      <c r="O481" s="65"/>
      <c r="P481" s="65"/>
      <c r="Q481" s="65"/>
      <c r="R481" s="65"/>
    </row>
    <row r="482">
      <c r="A482" s="61"/>
      <c r="B482" s="61"/>
      <c r="C482" s="61"/>
      <c r="D482" s="61"/>
      <c r="E482" s="61"/>
      <c r="F482" s="61"/>
      <c r="G482" s="61"/>
      <c r="H482" s="61"/>
      <c r="I482" s="61"/>
      <c r="J482" s="107"/>
      <c r="K482" s="107"/>
      <c r="L482" s="100"/>
      <c r="M482" s="110"/>
      <c r="N482" s="61"/>
      <c r="O482" s="61"/>
      <c r="P482" s="61"/>
      <c r="Q482" s="61"/>
      <c r="R482" s="61"/>
    </row>
    <row r="483">
      <c r="A483" s="65"/>
      <c r="B483" s="65"/>
      <c r="C483" s="65"/>
      <c r="D483" s="65"/>
      <c r="E483" s="65"/>
      <c r="F483" s="65"/>
      <c r="G483" s="65"/>
      <c r="H483" s="65"/>
      <c r="I483" s="65"/>
      <c r="J483" s="108"/>
      <c r="K483" s="108"/>
      <c r="L483" s="103"/>
      <c r="M483" s="111"/>
      <c r="N483" s="65"/>
      <c r="O483" s="65"/>
      <c r="P483" s="65"/>
      <c r="Q483" s="65"/>
      <c r="R483" s="65"/>
    </row>
    <row r="484">
      <c r="A484" s="61"/>
      <c r="B484" s="61"/>
      <c r="C484" s="61"/>
      <c r="D484" s="61"/>
      <c r="E484" s="61"/>
      <c r="F484" s="61"/>
      <c r="G484" s="61"/>
      <c r="H484" s="61"/>
      <c r="I484" s="61"/>
      <c r="J484" s="107"/>
      <c r="K484" s="107"/>
      <c r="L484" s="100"/>
      <c r="M484" s="110"/>
      <c r="N484" s="61"/>
      <c r="O484" s="61"/>
      <c r="P484" s="61"/>
      <c r="Q484" s="61"/>
      <c r="R484" s="61"/>
    </row>
    <row r="485">
      <c r="A485" s="65"/>
      <c r="B485" s="65"/>
      <c r="C485" s="65"/>
      <c r="D485" s="65"/>
      <c r="E485" s="65"/>
      <c r="F485" s="65"/>
      <c r="G485" s="65"/>
      <c r="H485" s="65"/>
      <c r="I485" s="65"/>
      <c r="J485" s="108"/>
      <c r="K485" s="108"/>
      <c r="L485" s="103"/>
      <c r="M485" s="111"/>
      <c r="N485" s="65"/>
      <c r="O485" s="65"/>
      <c r="P485" s="65"/>
      <c r="Q485" s="65"/>
      <c r="R485" s="65"/>
    </row>
    <row r="486">
      <c r="A486" s="61"/>
      <c r="B486" s="61"/>
      <c r="C486" s="61"/>
      <c r="D486" s="61"/>
      <c r="E486" s="61"/>
      <c r="F486" s="61"/>
      <c r="G486" s="61"/>
      <c r="H486" s="61"/>
      <c r="I486" s="61"/>
      <c r="J486" s="107"/>
      <c r="K486" s="107"/>
      <c r="L486" s="100"/>
      <c r="M486" s="110"/>
      <c r="N486" s="61"/>
      <c r="O486" s="61"/>
      <c r="P486" s="61"/>
      <c r="Q486" s="61"/>
      <c r="R486" s="61"/>
    </row>
    <row r="487">
      <c r="A487" s="65"/>
      <c r="B487" s="65"/>
      <c r="C487" s="65"/>
      <c r="D487" s="65"/>
      <c r="E487" s="65"/>
      <c r="F487" s="65"/>
      <c r="G487" s="65"/>
      <c r="H487" s="65"/>
      <c r="I487" s="65"/>
      <c r="J487" s="108"/>
      <c r="K487" s="108"/>
      <c r="L487" s="103"/>
      <c r="M487" s="111"/>
      <c r="N487" s="65"/>
      <c r="O487" s="65"/>
      <c r="P487" s="65"/>
      <c r="Q487" s="65"/>
      <c r="R487" s="65"/>
    </row>
    <row r="488">
      <c r="A488" s="61"/>
      <c r="B488" s="61"/>
      <c r="C488" s="61"/>
      <c r="D488" s="61"/>
      <c r="E488" s="61"/>
      <c r="F488" s="61"/>
      <c r="G488" s="61"/>
      <c r="H488" s="61"/>
      <c r="I488" s="61"/>
      <c r="J488" s="107"/>
      <c r="K488" s="107"/>
      <c r="L488" s="100"/>
      <c r="M488" s="110"/>
      <c r="N488" s="61"/>
      <c r="O488" s="61"/>
      <c r="P488" s="61"/>
      <c r="Q488" s="61"/>
      <c r="R488" s="61"/>
    </row>
    <row r="489">
      <c r="A489" s="65"/>
      <c r="B489" s="65"/>
      <c r="C489" s="65"/>
      <c r="D489" s="65"/>
      <c r="E489" s="65"/>
      <c r="F489" s="65"/>
      <c r="G489" s="65"/>
      <c r="H489" s="65"/>
      <c r="I489" s="65"/>
      <c r="J489" s="108"/>
      <c r="K489" s="108"/>
      <c r="L489" s="103"/>
      <c r="M489" s="111"/>
      <c r="N489" s="65"/>
      <c r="O489" s="65"/>
      <c r="P489" s="65"/>
      <c r="Q489" s="65"/>
      <c r="R489" s="65"/>
    </row>
    <row r="490">
      <c r="A490" s="61"/>
      <c r="B490" s="61"/>
      <c r="C490" s="61"/>
      <c r="D490" s="61"/>
      <c r="E490" s="61"/>
      <c r="F490" s="61"/>
      <c r="G490" s="61"/>
      <c r="H490" s="61"/>
      <c r="I490" s="61"/>
      <c r="J490" s="107"/>
      <c r="K490" s="107"/>
      <c r="L490" s="100"/>
      <c r="M490" s="110"/>
      <c r="N490" s="61"/>
      <c r="O490" s="61"/>
      <c r="P490" s="61"/>
      <c r="Q490" s="61"/>
      <c r="R490" s="61"/>
    </row>
    <row r="491">
      <c r="A491" s="65"/>
      <c r="B491" s="65"/>
      <c r="C491" s="65"/>
      <c r="D491" s="65"/>
      <c r="E491" s="65"/>
      <c r="F491" s="65"/>
      <c r="G491" s="65"/>
      <c r="H491" s="65"/>
      <c r="I491" s="65"/>
      <c r="J491" s="108"/>
      <c r="K491" s="108"/>
      <c r="L491" s="103"/>
      <c r="M491" s="111"/>
      <c r="N491" s="65"/>
      <c r="O491" s="65"/>
      <c r="P491" s="65"/>
      <c r="Q491" s="65"/>
      <c r="R491" s="65"/>
    </row>
    <row r="492">
      <c r="A492" s="61"/>
      <c r="B492" s="61"/>
      <c r="C492" s="61"/>
      <c r="D492" s="61"/>
      <c r="E492" s="61"/>
      <c r="F492" s="61"/>
      <c r="G492" s="61"/>
      <c r="H492" s="61"/>
      <c r="I492" s="61"/>
      <c r="J492" s="107"/>
      <c r="K492" s="107"/>
      <c r="L492" s="100"/>
      <c r="M492" s="110"/>
      <c r="N492" s="61"/>
      <c r="O492" s="61"/>
      <c r="P492" s="61"/>
      <c r="Q492" s="61"/>
      <c r="R492" s="61"/>
    </row>
    <row r="493">
      <c r="A493" s="65"/>
      <c r="B493" s="65"/>
      <c r="C493" s="65"/>
      <c r="D493" s="65"/>
      <c r="E493" s="65"/>
      <c r="F493" s="65"/>
      <c r="G493" s="65"/>
      <c r="H493" s="65"/>
      <c r="I493" s="65"/>
      <c r="J493" s="108"/>
      <c r="K493" s="108"/>
      <c r="L493" s="103"/>
      <c r="M493" s="111"/>
      <c r="N493" s="65"/>
      <c r="O493" s="65"/>
      <c r="P493" s="65"/>
      <c r="Q493" s="65"/>
      <c r="R493" s="65"/>
    </row>
    <row r="494">
      <c r="A494" s="61"/>
      <c r="B494" s="61"/>
      <c r="C494" s="61"/>
      <c r="D494" s="61"/>
      <c r="E494" s="61"/>
      <c r="F494" s="61"/>
      <c r="G494" s="61"/>
      <c r="H494" s="61"/>
      <c r="I494" s="61"/>
      <c r="J494" s="107"/>
      <c r="K494" s="107"/>
      <c r="L494" s="100"/>
      <c r="M494" s="110"/>
      <c r="N494" s="61"/>
      <c r="O494" s="61"/>
      <c r="P494" s="61"/>
      <c r="Q494" s="61"/>
      <c r="R494" s="61"/>
    </row>
    <row r="495">
      <c r="A495" s="65"/>
      <c r="B495" s="65"/>
      <c r="C495" s="65"/>
      <c r="D495" s="65"/>
      <c r="E495" s="65"/>
      <c r="F495" s="65"/>
      <c r="G495" s="65"/>
      <c r="H495" s="65"/>
      <c r="I495" s="65"/>
      <c r="J495" s="108"/>
      <c r="K495" s="108"/>
      <c r="L495" s="103"/>
      <c r="M495" s="111"/>
      <c r="N495" s="65"/>
      <c r="O495" s="65"/>
      <c r="P495" s="65"/>
      <c r="Q495" s="65"/>
      <c r="R495" s="65"/>
    </row>
    <row r="496">
      <c r="A496" s="61"/>
      <c r="B496" s="61"/>
      <c r="C496" s="61"/>
      <c r="D496" s="61"/>
      <c r="E496" s="61"/>
      <c r="F496" s="61"/>
      <c r="G496" s="61"/>
      <c r="H496" s="61"/>
      <c r="I496" s="61"/>
      <c r="J496" s="107"/>
      <c r="K496" s="107"/>
      <c r="L496" s="100"/>
      <c r="M496" s="110"/>
      <c r="N496" s="61"/>
      <c r="O496" s="61"/>
      <c r="P496" s="61"/>
      <c r="Q496" s="61"/>
      <c r="R496" s="61"/>
    </row>
    <row r="497">
      <c r="A497" s="65"/>
      <c r="B497" s="65"/>
      <c r="C497" s="65"/>
      <c r="D497" s="65"/>
      <c r="E497" s="65"/>
      <c r="F497" s="65"/>
      <c r="G497" s="65"/>
      <c r="H497" s="65"/>
      <c r="I497" s="65"/>
      <c r="J497" s="108"/>
      <c r="K497" s="108"/>
      <c r="L497" s="103"/>
      <c r="M497" s="111"/>
      <c r="N497" s="65"/>
      <c r="O497" s="65"/>
      <c r="P497" s="65"/>
      <c r="Q497" s="65"/>
      <c r="R497" s="65"/>
    </row>
    <row r="498">
      <c r="A498" s="61"/>
      <c r="B498" s="61"/>
      <c r="C498" s="61"/>
      <c r="D498" s="61"/>
      <c r="E498" s="61"/>
      <c r="F498" s="61"/>
      <c r="G498" s="61"/>
      <c r="H498" s="61"/>
      <c r="I498" s="61"/>
      <c r="J498" s="107"/>
      <c r="K498" s="107"/>
      <c r="L498" s="100"/>
      <c r="M498" s="110"/>
      <c r="N498" s="61"/>
      <c r="O498" s="61"/>
      <c r="P498" s="61"/>
      <c r="Q498" s="61"/>
      <c r="R498" s="61"/>
    </row>
    <row r="499">
      <c r="A499" s="65"/>
      <c r="B499" s="65"/>
      <c r="C499" s="65"/>
      <c r="D499" s="65"/>
      <c r="E499" s="65"/>
      <c r="F499" s="65"/>
      <c r="G499" s="65"/>
      <c r="H499" s="65"/>
      <c r="I499" s="65"/>
      <c r="J499" s="108"/>
      <c r="K499" s="108"/>
      <c r="L499" s="103"/>
      <c r="M499" s="111"/>
      <c r="N499" s="65"/>
      <c r="O499" s="65"/>
      <c r="P499" s="65"/>
      <c r="Q499" s="65"/>
      <c r="R499" s="65"/>
    </row>
    <row r="500">
      <c r="A500" s="61"/>
      <c r="B500" s="61"/>
      <c r="C500" s="61"/>
      <c r="D500" s="61"/>
      <c r="E500" s="61"/>
      <c r="F500" s="61"/>
      <c r="G500" s="61"/>
      <c r="H500" s="61"/>
      <c r="I500" s="61"/>
      <c r="J500" s="107"/>
      <c r="K500" s="107"/>
      <c r="L500" s="100"/>
      <c r="M500" s="110"/>
      <c r="N500" s="61"/>
      <c r="O500" s="61"/>
      <c r="P500" s="61"/>
      <c r="Q500" s="61"/>
      <c r="R500" s="61"/>
    </row>
    <row r="501">
      <c r="A501" s="65"/>
      <c r="B501" s="65"/>
      <c r="C501" s="65"/>
      <c r="D501" s="65"/>
      <c r="E501" s="65"/>
      <c r="F501" s="65"/>
      <c r="G501" s="65"/>
      <c r="H501" s="65"/>
      <c r="I501" s="65"/>
      <c r="J501" s="108"/>
      <c r="K501" s="108"/>
      <c r="L501" s="103"/>
      <c r="M501" s="111"/>
      <c r="N501" s="65"/>
      <c r="O501" s="65"/>
      <c r="P501" s="65"/>
      <c r="Q501" s="65"/>
      <c r="R501" s="65"/>
    </row>
    <row r="502">
      <c r="A502" s="61"/>
      <c r="B502" s="61"/>
      <c r="C502" s="61"/>
      <c r="D502" s="61"/>
      <c r="E502" s="61"/>
      <c r="F502" s="61"/>
      <c r="G502" s="61"/>
      <c r="H502" s="61"/>
      <c r="I502" s="61"/>
      <c r="J502" s="107"/>
      <c r="K502" s="107"/>
      <c r="L502" s="100"/>
      <c r="M502" s="110"/>
      <c r="N502" s="61"/>
      <c r="O502" s="61"/>
      <c r="P502" s="61"/>
      <c r="Q502" s="61"/>
      <c r="R502" s="61"/>
    </row>
    <row r="503">
      <c r="A503" s="65"/>
      <c r="B503" s="65"/>
      <c r="C503" s="65"/>
      <c r="D503" s="65"/>
      <c r="E503" s="65"/>
      <c r="F503" s="65"/>
      <c r="G503" s="65"/>
      <c r="H503" s="65"/>
      <c r="I503" s="65"/>
      <c r="J503" s="108"/>
      <c r="K503" s="108"/>
      <c r="L503" s="103"/>
      <c r="M503" s="111"/>
      <c r="N503" s="65"/>
      <c r="O503" s="65"/>
      <c r="P503" s="65"/>
      <c r="Q503" s="65"/>
      <c r="R503" s="65"/>
    </row>
    <row r="504">
      <c r="A504" s="61"/>
      <c r="B504" s="61"/>
      <c r="C504" s="61"/>
      <c r="D504" s="61"/>
      <c r="E504" s="61"/>
      <c r="F504" s="61"/>
      <c r="G504" s="61"/>
      <c r="H504" s="61"/>
      <c r="I504" s="61"/>
      <c r="J504" s="107"/>
      <c r="K504" s="107"/>
      <c r="L504" s="100"/>
      <c r="M504" s="110"/>
      <c r="N504" s="61"/>
      <c r="O504" s="61"/>
      <c r="P504" s="61"/>
      <c r="Q504" s="61"/>
      <c r="R504" s="61"/>
    </row>
    <row r="505">
      <c r="A505" s="65"/>
      <c r="B505" s="65"/>
      <c r="C505" s="65"/>
      <c r="D505" s="65"/>
      <c r="E505" s="65"/>
      <c r="F505" s="65"/>
      <c r="G505" s="65"/>
      <c r="H505" s="65"/>
      <c r="I505" s="65"/>
      <c r="J505" s="108"/>
      <c r="K505" s="108"/>
      <c r="L505" s="103"/>
      <c r="M505" s="111"/>
      <c r="N505" s="65"/>
      <c r="O505" s="65"/>
      <c r="P505" s="65"/>
      <c r="Q505" s="65"/>
      <c r="R505" s="65"/>
    </row>
    <row r="506">
      <c r="A506" s="61"/>
      <c r="B506" s="61"/>
      <c r="C506" s="61"/>
      <c r="D506" s="61"/>
      <c r="E506" s="61"/>
      <c r="F506" s="61"/>
      <c r="G506" s="61"/>
      <c r="H506" s="61"/>
      <c r="I506" s="61"/>
      <c r="J506" s="107"/>
      <c r="K506" s="107"/>
      <c r="L506" s="100"/>
      <c r="M506" s="110"/>
      <c r="N506" s="61"/>
      <c r="O506" s="61"/>
      <c r="P506" s="61"/>
      <c r="Q506" s="61"/>
      <c r="R506" s="61"/>
    </row>
    <row r="507">
      <c r="A507" s="65"/>
      <c r="B507" s="65"/>
      <c r="C507" s="65"/>
      <c r="D507" s="65"/>
      <c r="E507" s="65"/>
      <c r="F507" s="65"/>
      <c r="G507" s="65"/>
      <c r="H507" s="65"/>
      <c r="I507" s="65"/>
      <c r="J507" s="108"/>
      <c r="K507" s="108"/>
      <c r="L507" s="103"/>
      <c r="M507" s="111"/>
      <c r="N507" s="65"/>
      <c r="O507" s="65"/>
      <c r="P507" s="65"/>
      <c r="Q507" s="65"/>
      <c r="R507" s="65"/>
    </row>
    <row r="508">
      <c r="A508" s="61"/>
      <c r="B508" s="61"/>
      <c r="C508" s="61"/>
      <c r="D508" s="61"/>
      <c r="E508" s="61"/>
      <c r="F508" s="61"/>
      <c r="G508" s="61"/>
      <c r="H508" s="61"/>
      <c r="I508" s="61"/>
      <c r="J508" s="107"/>
      <c r="K508" s="107"/>
      <c r="L508" s="100"/>
      <c r="M508" s="110"/>
      <c r="N508" s="61"/>
      <c r="O508" s="61"/>
      <c r="P508" s="61"/>
      <c r="Q508" s="61"/>
      <c r="R508" s="61"/>
    </row>
    <row r="509">
      <c r="A509" s="65"/>
      <c r="B509" s="65"/>
      <c r="C509" s="65"/>
      <c r="D509" s="65"/>
      <c r="E509" s="65"/>
      <c r="F509" s="65"/>
      <c r="G509" s="65"/>
      <c r="H509" s="65"/>
      <c r="I509" s="65"/>
      <c r="J509" s="108"/>
      <c r="K509" s="108"/>
      <c r="L509" s="103"/>
      <c r="M509" s="111"/>
      <c r="N509" s="65"/>
      <c r="O509" s="65"/>
      <c r="P509" s="65"/>
      <c r="Q509" s="65"/>
      <c r="R509" s="65"/>
    </row>
    <row r="510">
      <c r="A510" s="61"/>
      <c r="B510" s="61"/>
      <c r="C510" s="61"/>
      <c r="D510" s="61"/>
      <c r="E510" s="61"/>
      <c r="F510" s="61"/>
      <c r="G510" s="61"/>
      <c r="H510" s="61"/>
      <c r="I510" s="61"/>
      <c r="J510" s="107"/>
      <c r="K510" s="107"/>
      <c r="L510" s="100"/>
      <c r="M510" s="110"/>
      <c r="N510" s="61"/>
      <c r="O510" s="61"/>
      <c r="P510" s="61"/>
      <c r="Q510" s="61"/>
      <c r="R510" s="61"/>
    </row>
    <row r="511">
      <c r="A511" s="65"/>
      <c r="B511" s="65"/>
      <c r="C511" s="65"/>
      <c r="D511" s="65"/>
      <c r="E511" s="65"/>
      <c r="F511" s="65"/>
      <c r="G511" s="65"/>
      <c r="H511" s="65"/>
      <c r="I511" s="65"/>
      <c r="J511" s="108"/>
      <c r="K511" s="108"/>
      <c r="L511" s="103"/>
      <c r="M511" s="111"/>
      <c r="N511" s="65"/>
      <c r="O511" s="65"/>
      <c r="P511" s="65"/>
      <c r="Q511" s="65"/>
      <c r="R511" s="65"/>
    </row>
    <row r="512">
      <c r="A512" s="61"/>
      <c r="B512" s="61"/>
      <c r="C512" s="61"/>
      <c r="D512" s="61"/>
      <c r="E512" s="61"/>
      <c r="F512" s="61"/>
      <c r="G512" s="61"/>
      <c r="H512" s="61"/>
      <c r="I512" s="61"/>
      <c r="J512" s="107"/>
      <c r="K512" s="107"/>
      <c r="L512" s="100"/>
      <c r="M512" s="110"/>
      <c r="N512" s="61"/>
      <c r="O512" s="61"/>
      <c r="P512" s="61"/>
      <c r="Q512" s="61"/>
      <c r="R512" s="61"/>
    </row>
    <row r="513">
      <c r="A513" s="65"/>
      <c r="B513" s="65"/>
      <c r="C513" s="65"/>
      <c r="D513" s="65"/>
      <c r="E513" s="65"/>
      <c r="F513" s="65"/>
      <c r="G513" s="65"/>
      <c r="H513" s="65"/>
      <c r="I513" s="65"/>
      <c r="J513" s="108"/>
      <c r="K513" s="108"/>
      <c r="L513" s="103"/>
      <c r="M513" s="111"/>
      <c r="N513" s="65"/>
      <c r="O513" s="65"/>
      <c r="P513" s="65"/>
      <c r="Q513" s="65"/>
      <c r="R513" s="65"/>
    </row>
    <row r="514">
      <c r="A514" s="61"/>
      <c r="B514" s="61"/>
      <c r="C514" s="61"/>
      <c r="D514" s="61"/>
      <c r="E514" s="61"/>
      <c r="F514" s="61"/>
      <c r="G514" s="61"/>
      <c r="H514" s="61"/>
      <c r="I514" s="61"/>
      <c r="J514" s="107"/>
      <c r="K514" s="107"/>
      <c r="L514" s="100"/>
      <c r="M514" s="110"/>
      <c r="N514" s="61"/>
      <c r="O514" s="61"/>
      <c r="P514" s="61"/>
      <c r="Q514" s="61"/>
      <c r="R514" s="61"/>
    </row>
    <row r="515">
      <c r="A515" s="65"/>
      <c r="B515" s="65"/>
      <c r="C515" s="65"/>
      <c r="D515" s="65"/>
      <c r="E515" s="65"/>
      <c r="F515" s="65"/>
      <c r="G515" s="65"/>
      <c r="H515" s="65"/>
      <c r="I515" s="65"/>
      <c r="J515" s="108"/>
      <c r="K515" s="108"/>
      <c r="L515" s="103"/>
      <c r="M515" s="111"/>
      <c r="N515" s="65"/>
      <c r="O515" s="65"/>
      <c r="P515" s="65"/>
      <c r="Q515" s="65"/>
      <c r="R515" s="65"/>
    </row>
    <row r="516">
      <c r="A516" s="61"/>
      <c r="B516" s="61"/>
      <c r="C516" s="61"/>
      <c r="D516" s="61"/>
      <c r="E516" s="61"/>
      <c r="F516" s="61"/>
      <c r="G516" s="61"/>
      <c r="H516" s="61"/>
      <c r="I516" s="61"/>
      <c r="J516" s="107"/>
      <c r="K516" s="107"/>
      <c r="L516" s="100"/>
      <c r="M516" s="110"/>
      <c r="N516" s="61"/>
      <c r="O516" s="61"/>
      <c r="P516" s="61"/>
      <c r="Q516" s="61"/>
      <c r="R516" s="61"/>
    </row>
    <row r="517">
      <c r="A517" s="65"/>
      <c r="B517" s="65"/>
      <c r="C517" s="65"/>
      <c r="D517" s="65"/>
      <c r="E517" s="65"/>
      <c r="F517" s="65"/>
      <c r="G517" s="65"/>
      <c r="H517" s="65"/>
      <c r="I517" s="65"/>
      <c r="J517" s="108"/>
      <c r="K517" s="108"/>
      <c r="L517" s="103"/>
      <c r="M517" s="111"/>
      <c r="N517" s="65"/>
      <c r="O517" s="65"/>
      <c r="P517" s="65"/>
      <c r="Q517" s="65"/>
      <c r="R517" s="65"/>
    </row>
    <row r="518">
      <c r="A518" s="61"/>
      <c r="B518" s="61"/>
      <c r="C518" s="61"/>
      <c r="D518" s="61"/>
      <c r="E518" s="61"/>
      <c r="F518" s="61"/>
      <c r="G518" s="61"/>
      <c r="H518" s="61"/>
      <c r="I518" s="61"/>
      <c r="J518" s="107"/>
      <c r="K518" s="107"/>
      <c r="L518" s="100"/>
      <c r="M518" s="110"/>
      <c r="N518" s="61"/>
      <c r="O518" s="61"/>
      <c r="P518" s="61"/>
      <c r="Q518" s="61"/>
      <c r="R518" s="61"/>
    </row>
    <row r="519">
      <c r="A519" s="65"/>
      <c r="B519" s="65"/>
      <c r="C519" s="65"/>
      <c r="D519" s="65"/>
      <c r="E519" s="65"/>
      <c r="F519" s="65"/>
      <c r="G519" s="65"/>
      <c r="H519" s="65"/>
      <c r="I519" s="65"/>
      <c r="J519" s="108"/>
      <c r="K519" s="108"/>
      <c r="L519" s="103"/>
      <c r="M519" s="111"/>
      <c r="N519" s="65"/>
      <c r="O519" s="65"/>
      <c r="P519" s="65"/>
      <c r="Q519" s="65"/>
      <c r="R519" s="65"/>
    </row>
    <row r="520">
      <c r="A520" s="61"/>
      <c r="B520" s="61"/>
      <c r="C520" s="61"/>
      <c r="D520" s="61"/>
      <c r="E520" s="61"/>
      <c r="F520" s="61"/>
      <c r="G520" s="61"/>
      <c r="H520" s="61"/>
      <c r="I520" s="61"/>
      <c r="J520" s="107"/>
      <c r="K520" s="107"/>
      <c r="L520" s="100"/>
      <c r="M520" s="110"/>
      <c r="N520" s="61"/>
      <c r="O520" s="61"/>
      <c r="P520" s="61"/>
      <c r="Q520" s="61"/>
      <c r="R520" s="61"/>
    </row>
    <row r="521">
      <c r="A521" s="65"/>
      <c r="B521" s="65"/>
      <c r="C521" s="65"/>
      <c r="D521" s="65"/>
      <c r="E521" s="65"/>
      <c r="F521" s="65"/>
      <c r="G521" s="65"/>
      <c r="H521" s="65"/>
      <c r="I521" s="65"/>
      <c r="J521" s="108"/>
      <c r="K521" s="108"/>
      <c r="L521" s="103"/>
      <c r="M521" s="111"/>
      <c r="N521" s="65"/>
      <c r="O521" s="65"/>
      <c r="P521" s="65"/>
      <c r="Q521" s="65"/>
      <c r="R521" s="65"/>
    </row>
    <row r="522">
      <c r="A522" s="61"/>
      <c r="B522" s="61"/>
      <c r="C522" s="61"/>
      <c r="D522" s="61"/>
      <c r="E522" s="61"/>
      <c r="F522" s="61"/>
      <c r="G522" s="61"/>
      <c r="H522" s="61"/>
      <c r="I522" s="61"/>
      <c r="J522" s="107"/>
      <c r="K522" s="107"/>
      <c r="L522" s="100"/>
      <c r="M522" s="110"/>
      <c r="N522" s="61"/>
      <c r="O522" s="61"/>
      <c r="P522" s="61"/>
      <c r="Q522" s="61"/>
      <c r="R522" s="61"/>
    </row>
    <row r="523">
      <c r="A523" s="65"/>
      <c r="B523" s="65"/>
      <c r="C523" s="65"/>
      <c r="D523" s="65"/>
      <c r="E523" s="65"/>
      <c r="F523" s="65"/>
      <c r="G523" s="65"/>
      <c r="H523" s="65"/>
      <c r="I523" s="65"/>
      <c r="J523" s="108"/>
      <c r="K523" s="108"/>
      <c r="L523" s="103"/>
      <c r="M523" s="111"/>
      <c r="N523" s="65"/>
      <c r="O523" s="65"/>
      <c r="P523" s="65"/>
      <c r="Q523" s="65"/>
      <c r="R523" s="65"/>
    </row>
    <row r="524">
      <c r="A524" s="61"/>
      <c r="B524" s="61"/>
      <c r="C524" s="61"/>
      <c r="D524" s="61"/>
      <c r="E524" s="61"/>
      <c r="F524" s="61"/>
      <c r="G524" s="61"/>
      <c r="H524" s="61"/>
      <c r="I524" s="61"/>
      <c r="J524" s="107"/>
      <c r="K524" s="107"/>
      <c r="L524" s="100"/>
      <c r="M524" s="110"/>
      <c r="N524" s="61"/>
      <c r="O524" s="61"/>
      <c r="P524" s="61"/>
      <c r="Q524" s="61"/>
      <c r="R524" s="61"/>
    </row>
    <row r="525">
      <c r="A525" s="65"/>
      <c r="B525" s="65"/>
      <c r="C525" s="65"/>
      <c r="D525" s="65"/>
      <c r="E525" s="65"/>
      <c r="F525" s="65"/>
      <c r="G525" s="65"/>
      <c r="H525" s="65"/>
      <c r="I525" s="65"/>
      <c r="J525" s="108"/>
      <c r="K525" s="108"/>
      <c r="L525" s="103"/>
      <c r="M525" s="111"/>
      <c r="N525" s="65"/>
      <c r="O525" s="65"/>
      <c r="P525" s="65"/>
      <c r="Q525" s="65"/>
      <c r="R525" s="65"/>
    </row>
    <row r="526">
      <c r="A526" s="61"/>
      <c r="B526" s="61"/>
      <c r="C526" s="61"/>
      <c r="D526" s="61"/>
      <c r="E526" s="61"/>
      <c r="F526" s="61"/>
      <c r="G526" s="61"/>
      <c r="H526" s="61"/>
      <c r="I526" s="61"/>
      <c r="J526" s="107"/>
      <c r="K526" s="107"/>
      <c r="L526" s="100"/>
      <c r="M526" s="110"/>
      <c r="N526" s="61"/>
      <c r="O526" s="61"/>
      <c r="P526" s="61"/>
      <c r="Q526" s="61"/>
      <c r="R526" s="61"/>
    </row>
    <row r="527">
      <c r="A527" s="65"/>
      <c r="B527" s="65"/>
      <c r="C527" s="65"/>
      <c r="D527" s="65"/>
      <c r="E527" s="65"/>
      <c r="F527" s="65"/>
      <c r="G527" s="65"/>
      <c r="H527" s="65"/>
      <c r="I527" s="65"/>
      <c r="J527" s="108"/>
      <c r="K527" s="108"/>
      <c r="L527" s="103"/>
      <c r="M527" s="111"/>
      <c r="N527" s="65"/>
      <c r="O527" s="65"/>
      <c r="P527" s="65"/>
      <c r="Q527" s="65"/>
      <c r="R527" s="65"/>
    </row>
    <row r="528">
      <c r="A528" s="61"/>
      <c r="B528" s="61"/>
      <c r="C528" s="61"/>
      <c r="D528" s="61"/>
      <c r="E528" s="61"/>
      <c r="F528" s="61"/>
      <c r="G528" s="61"/>
      <c r="H528" s="61"/>
      <c r="I528" s="61"/>
      <c r="J528" s="107"/>
      <c r="K528" s="107"/>
      <c r="L528" s="100"/>
      <c r="M528" s="110"/>
      <c r="N528" s="61"/>
      <c r="O528" s="61"/>
      <c r="P528" s="61"/>
      <c r="Q528" s="61"/>
      <c r="R528" s="61"/>
    </row>
    <row r="529">
      <c r="A529" s="65"/>
      <c r="B529" s="65"/>
      <c r="C529" s="65"/>
      <c r="D529" s="65"/>
      <c r="E529" s="65"/>
      <c r="F529" s="65"/>
      <c r="G529" s="65"/>
      <c r="H529" s="65"/>
      <c r="I529" s="65"/>
      <c r="J529" s="108"/>
      <c r="K529" s="108"/>
      <c r="L529" s="103"/>
      <c r="M529" s="111"/>
      <c r="N529" s="65"/>
      <c r="O529" s="65"/>
      <c r="P529" s="65"/>
      <c r="Q529" s="65"/>
      <c r="R529" s="65"/>
    </row>
    <row r="530">
      <c r="A530" s="61"/>
      <c r="B530" s="61"/>
      <c r="C530" s="61"/>
      <c r="D530" s="61"/>
      <c r="E530" s="61"/>
      <c r="F530" s="61"/>
      <c r="G530" s="61"/>
      <c r="H530" s="61"/>
      <c r="I530" s="61"/>
      <c r="J530" s="107"/>
      <c r="K530" s="107"/>
      <c r="L530" s="100"/>
      <c r="M530" s="110"/>
      <c r="N530" s="61"/>
      <c r="O530" s="61"/>
      <c r="P530" s="61"/>
      <c r="Q530" s="61"/>
      <c r="R530" s="61"/>
    </row>
    <row r="531">
      <c r="A531" s="65"/>
      <c r="B531" s="65"/>
      <c r="C531" s="65"/>
      <c r="D531" s="65"/>
      <c r="E531" s="65"/>
      <c r="F531" s="65"/>
      <c r="G531" s="65"/>
      <c r="H531" s="65"/>
      <c r="I531" s="65"/>
      <c r="J531" s="108"/>
      <c r="K531" s="108"/>
      <c r="L531" s="103"/>
      <c r="M531" s="111"/>
      <c r="N531" s="65"/>
      <c r="O531" s="65"/>
      <c r="P531" s="65"/>
      <c r="Q531" s="65"/>
      <c r="R531" s="65"/>
    </row>
    <row r="532">
      <c r="A532" s="61"/>
      <c r="B532" s="61"/>
      <c r="C532" s="61"/>
      <c r="D532" s="61"/>
      <c r="E532" s="61"/>
      <c r="F532" s="61"/>
      <c r="G532" s="61"/>
      <c r="H532" s="61"/>
      <c r="I532" s="61"/>
      <c r="J532" s="107"/>
      <c r="K532" s="107"/>
      <c r="L532" s="100"/>
      <c r="M532" s="110"/>
      <c r="N532" s="61"/>
      <c r="O532" s="61"/>
      <c r="P532" s="61"/>
      <c r="Q532" s="61"/>
      <c r="R532" s="61"/>
    </row>
    <row r="533">
      <c r="A533" s="65"/>
      <c r="B533" s="65"/>
      <c r="C533" s="65"/>
      <c r="D533" s="65"/>
      <c r="E533" s="65"/>
      <c r="F533" s="65"/>
      <c r="G533" s="65"/>
      <c r="H533" s="65"/>
      <c r="I533" s="65"/>
      <c r="J533" s="108"/>
      <c r="K533" s="108"/>
      <c r="L533" s="103"/>
      <c r="M533" s="111"/>
      <c r="N533" s="65"/>
      <c r="O533" s="65"/>
      <c r="P533" s="65"/>
      <c r="Q533" s="65"/>
      <c r="R533" s="65"/>
    </row>
    <row r="534">
      <c r="A534" s="61"/>
      <c r="B534" s="61"/>
      <c r="C534" s="61"/>
      <c r="D534" s="61"/>
      <c r="E534" s="61"/>
      <c r="F534" s="61"/>
      <c r="G534" s="61"/>
      <c r="H534" s="61"/>
      <c r="I534" s="61"/>
      <c r="J534" s="107"/>
      <c r="K534" s="107"/>
      <c r="L534" s="100"/>
      <c r="M534" s="110"/>
      <c r="N534" s="61"/>
      <c r="O534" s="61"/>
      <c r="P534" s="61"/>
      <c r="Q534" s="61"/>
      <c r="R534" s="61"/>
    </row>
    <row r="535">
      <c r="A535" s="65"/>
      <c r="B535" s="65"/>
      <c r="C535" s="65"/>
      <c r="D535" s="65"/>
      <c r="E535" s="65"/>
      <c r="F535" s="65"/>
      <c r="G535" s="65"/>
      <c r="H535" s="65"/>
      <c r="I535" s="65"/>
      <c r="J535" s="108"/>
      <c r="K535" s="108"/>
      <c r="L535" s="103"/>
      <c r="M535" s="111"/>
      <c r="N535" s="65"/>
      <c r="O535" s="65"/>
      <c r="P535" s="65"/>
      <c r="Q535" s="65"/>
      <c r="R535" s="65"/>
    </row>
    <row r="536">
      <c r="A536" s="61"/>
      <c r="B536" s="61"/>
      <c r="C536" s="61"/>
      <c r="D536" s="61"/>
      <c r="E536" s="61"/>
      <c r="F536" s="61"/>
      <c r="G536" s="61"/>
      <c r="H536" s="61"/>
      <c r="I536" s="61"/>
      <c r="J536" s="107"/>
      <c r="K536" s="107"/>
      <c r="L536" s="100"/>
      <c r="M536" s="110"/>
      <c r="N536" s="61"/>
      <c r="O536" s="61"/>
      <c r="P536" s="61"/>
      <c r="Q536" s="61"/>
      <c r="R536" s="61"/>
    </row>
    <row r="537">
      <c r="A537" s="65"/>
      <c r="B537" s="65"/>
      <c r="C537" s="65"/>
      <c r="D537" s="65"/>
      <c r="E537" s="65"/>
      <c r="F537" s="65"/>
      <c r="G537" s="65"/>
      <c r="H537" s="65"/>
      <c r="I537" s="65"/>
      <c r="J537" s="108"/>
      <c r="K537" s="108"/>
      <c r="L537" s="103"/>
      <c r="M537" s="111"/>
      <c r="N537" s="65"/>
      <c r="O537" s="65"/>
      <c r="P537" s="65"/>
      <c r="Q537" s="65"/>
      <c r="R537" s="65"/>
    </row>
    <row r="538">
      <c r="A538" s="61"/>
      <c r="B538" s="61"/>
      <c r="C538" s="61"/>
      <c r="D538" s="61"/>
      <c r="E538" s="61"/>
      <c r="F538" s="61"/>
      <c r="G538" s="61"/>
      <c r="H538" s="61"/>
      <c r="I538" s="61"/>
      <c r="J538" s="107"/>
      <c r="K538" s="107"/>
      <c r="L538" s="100"/>
      <c r="M538" s="110"/>
      <c r="N538" s="61"/>
      <c r="O538" s="61"/>
      <c r="P538" s="61"/>
      <c r="Q538" s="61"/>
      <c r="R538" s="61"/>
    </row>
    <row r="539">
      <c r="A539" s="65"/>
      <c r="B539" s="65"/>
      <c r="C539" s="65"/>
      <c r="D539" s="65"/>
      <c r="E539" s="65"/>
      <c r="F539" s="65"/>
      <c r="G539" s="65"/>
      <c r="H539" s="65"/>
      <c r="I539" s="65"/>
      <c r="J539" s="108"/>
      <c r="K539" s="108"/>
      <c r="L539" s="103"/>
      <c r="M539" s="111"/>
      <c r="N539" s="65"/>
      <c r="O539" s="65"/>
      <c r="P539" s="65"/>
      <c r="Q539" s="65"/>
      <c r="R539" s="65"/>
    </row>
    <row r="540">
      <c r="A540" s="61"/>
      <c r="B540" s="61"/>
      <c r="C540" s="61"/>
      <c r="D540" s="61"/>
      <c r="E540" s="61"/>
      <c r="F540" s="61"/>
      <c r="G540" s="61"/>
      <c r="H540" s="61"/>
      <c r="I540" s="61"/>
      <c r="J540" s="107"/>
      <c r="K540" s="107"/>
      <c r="L540" s="100"/>
      <c r="M540" s="110"/>
      <c r="N540" s="61"/>
      <c r="O540" s="61"/>
      <c r="P540" s="61"/>
      <c r="Q540" s="61"/>
      <c r="R540" s="61"/>
    </row>
    <row r="541">
      <c r="A541" s="65"/>
      <c r="B541" s="65"/>
      <c r="C541" s="65"/>
      <c r="D541" s="65"/>
      <c r="E541" s="65"/>
      <c r="F541" s="65"/>
      <c r="G541" s="65"/>
      <c r="H541" s="65"/>
      <c r="I541" s="65"/>
      <c r="J541" s="108"/>
      <c r="K541" s="108"/>
      <c r="L541" s="103"/>
      <c r="M541" s="111"/>
      <c r="N541" s="65"/>
      <c r="O541" s="65"/>
      <c r="P541" s="65"/>
      <c r="Q541" s="65"/>
      <c r="R541" s="65"/>
    </row>
    <row r="542">
      <c r="A542" s="61"/>
      <c r="B542" s="61"/>
      <c r="C542" s="61"/>
      <c r="D542" s="61"/>
      <c r="E542" s="61"/>
      <c r="F542" s="61"/>
      <c r="G542" s="61"/>
      <c r="H542" s="61"/>
      <c r="I542" s="61"/>
      <c r="J542" s="107"/>
      <c r="K542" s="107"/>
      <c r="L542" s="100"/>
      <c r="M542" s="110"/>
      <c r="N542" s="61"/>
      <c r="O542" s="61"/>
      <c r="P542" s="61"/>
      <c r="Q542" s="61"/>
      <c r="R542" s="61"/>
    </row>
    <row r="543">
      <c r="A543" s="65"/>
      <c r="B543" s="65"/>
      <c r="C543" s="65"/>
      <c r="D543" s="65"/>
      <c r="E543" s="65"/>
      <c r="F543" s="65"/>
      <c r="G543" s="65"/>
      <c r="H543" s="65"/>
      <c r="I543" s="65"/>
      <c r="J543" s="108"/>
      <c r="K543" s="108"/>
      <c r="L543" s="103"/>
      <c r="M543" s="111"/>
      <c r="N543" s="65"/>
      <c r="O543" s="65"/>
      <c r="P543" s="65"/>
      <c r="Q543" s="65"/>
      <c r="R543" s="65"/>
    </row>
    <row r="544">
      <c r="A544" s="61"/>
      <c r="B544" s="61"/>
      <c r="C544" s="61"/>
      <c r="D544" s="61"/>
      <c r="E544" s="61"/>
      <c r="F544" s="61"/>
      <c r="G544" s="61"/>
      <c r="H544" s="61"/>
      <c r="I544" s="61"/>
      <c r="J544" s="107"/>
      <c r="K544" s="107"/>
      <c r="L544" s="100"/>
      <c r="M544" s="110"/>
      <c r="N544" s="61"/>
      <c r="O544" s="61"/>
      <c r="P544" s="61"/>
      <c r="Q544" s="61"/>
      <c r="R544" s="61"/>
    </row>
    <row r="545">
      <c r="A545" s="65"/>
      <c r="B545" s="65"/>
      <c r="C545" s="65"/>
      <c r="D545" s="65"/>
      <c r="E545" s="65"/>
      <c r="F545" s="65"/>
      <c r="G545" s="65"/>
      <c r="H545" s="65"/>
      <c r="I545" s="65"/>
      <c r="J545" s="108"/>
      <c r="K545" s="108"/>
      <c r="L545" s="103"/>
      <c r="M545" s="111"/>
      <c r="N545" s="65"/>
      <c r="O545" s="65"/>
      <c r="P545" s="65"/>
      <c r="Q545" s="65"/>
      <c r="R545" s="65"/>
    </row>
    <row r="546">
      <c r="A546" s="61"/>
      <c r="B546" s="61"/>
      <c r="C546" s="61"/>
      <c r="D546" s="61"/>
      <c r="E546" s="61"/>
      <c r="F546" s="61"/>
      <c r="G546" s="61"/>
      <c r="H546" s="61"/>
      <c r="I546" s="61"/>
      <c r="J546" s="107"/>
      <c r="K546" s="107"/>
      <c r="L546" s="100"/>
      <c r="M546" s="110"/>
      <c r="N546" s="61"/>
      <c r="O546" s="61"/>
      <c r="P546" s="61"/>
      <c r="Q546" s="61"/>
      <c r="R546" s="61"/>
    </row>
    <row r="547">
      <c r="A547" s="65"/>
      <c r="B547" s="65"/>
      <c r="C547" s="65"/>
      <c r="D547" s="65"/>
      <c r="E547" s="65"/>
      <c r="F547" s="65"/>
      <c r="G547" s="65"/>
      <c r="H547" s="65"/>
      <c r="I547" s="65"/>
      <c r="J547" s="108"/>
      <c r="K547" s="108"/>
      <c r="L547" s="103"/>
      <c r="M547" s="111"/>
      <c r="N547" s="65"/>
      <c r="O547" s="65"/>
      <c r="P547" s="65"/>
      <c r="Q547" s="65"/>
      <c r="R547" s="65"/>
    </row>
    <row r="548">
      <c r="A548" s="61"/>
      <c r="B548" s="61"/>
      <c r="C548" s="61"/>
      <c r="D548" s="61"/>
      <c r="E548" s="61"/>
      <c r="F548" s="61"/>
      <c r="G548" s="61"/>
      <c r="H548" s="61"/>
      <c r="I548" s="61"/>
      <c r="J548" s="107"/>
      <c r="K548" s="107"/>
      <c r="L548" s="100"/>
      <c r="M548" s="110"/>
      <c r="N548" s="61"/>
      <c r="O548" s="61"/>
      <c r="P548" s="61"/>
      <c r="Q548" s="61"/>
      <c r="R548" s="61"/>
    </row>
    <row r="549">
      <c r="A549" s="65"/>
      <c r="B549" s="65"/>
      <c r="C549" s="65"/>
      <c r="D549" s="65"/>
      <c r="E549" s="65"/>
      <c r="F549" s="65"/>
      <c r="G549" s="65"/>
      <c r="H549" s="65"/>
      <c r="I549" s="65"/>
      <c r="J549" s="108"/>
      <c r="K549" s="108"/>
      <c r="L549" s="103"/>
      <c r="M549" s="111"/>
      <c r="N549" s="65"/>
      <c r="O549" s="65"/>
      <c r="P549" s="65"/>
      <c r="Q549" s="65"/>
      <c r="R549" s="65"/>
    </row>
    <row r="550">
      <c r="A550" s="61"/>
      <c r="B550" s="61"/>
      <c r="C550" s="61"/>
      <c r="D550" s="61"/>
      <c r="E550" s="61"/>
      <c r="F550" s="61"/>
      <c r="G550" s="61"/>
      <c r="H550" s="61"/>
      <c r="I550" s="61"/>
      <c r="J550" s="107"/>
      <c r="K550" s="107"/>
      <c r="L550" s="100"/>
      <c r="M550" s="110"/>
      <c r="N550" s="61"/>
      <c r="O550" s="61"/>
      <c r="P550" s="61"/>
      <c r="Q550" s="61"/>
      <c r="R550" s="61"/>
    </row>
    <row r="551">
      <c r="A551" s="65"/>
      <c r="B551" s="65"/>
      <c r="C551" s="65"/>
      <c r="D551" s="65"/>
      <c r="E551" s="65"/>
      <c r="F551" s="65"/>
      <c r="G551" s="65"/>
      <c r="H551" s="65"/>
      <c r="I551" s="65"/>
      <c r="J551" s="108"/>
      <c r="K551" s="108"/>
      <c r="L551" s="103"/>
      <c r="M551" s="111"/>
      <c r="N551" s="65"/>
      <c r="O551" s="65"/>
      <c r="P551" s="65"/>
      <c r="Q551" s="65"/>
      <c r="R551" s="65"/>
    </row>
    <row r="552">
      <c r="A552" s="61"/>
      <c r="B552" s="61"/>
      <c r="C552" s="61"/>
      <c r="D552" s="61"/>
      <c r="E552" s="61"/>
      <c r="F552" s="61"/>
      <c r="G552" s="61"/>
      <c r="H552" s="61"/>
      <c r="I552" s="61"/>
      <c r="J552" s="107"/>
      <c r="K552" s="107"/>
      <c r="L552" s="100"/>
      <c r="M552" s="110"/>
      <c r="N552" s="61"/>
      <c r="O552" s="61"/>
      <c r="P552" s="61"/>
      <c r="Q552" s="61"/>
      <c r="R552" s="61"/>
    </row>
    <row r="553">
      <c r="A553" s="65"/>
      <c r="B553" s="65"/>
      <c r="C553" s="65"/>
      <c r="D553" s="65"/>
      <c r="E553" s="65"/>
      <c r="F553" s="65"/>
      <c r="G553" s="65"/>
      <c r="H553" s="65"/>
      <c r="I553" s="65"/>
      <c r="J553" s="108"/>
      <c r="K553" s="108"/>
      <c r="L553" s="103"/>
      <c r="M553" s="111"/>
      <c r="N553" s="65"/>
      <c r="O553" s="65"/>
      <c r="P553" s="65"/>
      <c r="Q553" s="65"/>
      <c r="R553" s="65"/>
    </row>
    <row r="554">
      <c r="A554" s="61"/>
      <c r="B554" s="61"/>
      <c r="C554" s="61"/>
      <c r="D554" s="61"/>
      <c r="E554" s="61"/>
      <c r="F554" s="61"/>
      <c r="G554" s="61"/>
      <c r="H554" s="61"/>
      <c r="I554" s="61"/>
      <c r="J554" s="107"/>
      <c r="K554" s="107"/>
      <c r="L554" s="100"/>
      <c r="M554" s="110"/>
      <c r="N554" s="61"/>
      <c r="O554" s="61"/>
      <c r="P554" s="61"/>
      <c r="Q554" s="61"/>
      <c r="R554" s="61"/>
    </row>
    <row r="555">
      <c r="A555" s="65"/>
      <c r="B555" s="65"/>
      <c r="C555" s="65"/>
      <c r="D555" s="65"/>
      <c r="E555" s="65"/>
      <c r="F555" s="65"/>
      <c r="G555" s="65"/>
      <c r="H555" s="65"/>
      <c r="I555" s="65"/>
      <c r="J555" s="108"/>
      <c r="K555" s="108"/>
      <c r="L555" s="103"/>
      <c r="M555" s="111"/>
      <c r="N555" s="65"/>
      <c r="O555" s="65"/>
      <c r="P555" s="65"/>
      <c r="Q555" s="65"/>
      <c r="R555" s="65"/>
    </row>
    <row r="556">
      <c r="A556" s="61"/>
      <c r="B556" s="61"/>
      <c r="C556" s="61"/>
      <c r="D556" s="61"/>
      <c r="E556" s="61"/>
      <c r="F556" s="61"/>
      <c r="G556" s="61"/>
      <c r="H556" s="61"/>
      <c r="I556" s="61"/>
      <c r="J556" s="107"/>
      <c r="K556" s="107"/>
      <c r="L556" s="100"/>
      <c r="M556" s="110"/>
      <c r="N556" s="61"/>
      <c r="O556" s="61"/>
      <c r="P556" s="61"/>
      <c r="Q556" s="61"/>
      <c r="R556" s="61"/>
    </row>
    <row r="557">
      <c r="A557" s="65"/>
      <c r="B557" s="65"/>
      <c r="C557" s="65"/>
      <c r="D557" s="65"/>
      <c r="E557" s="65"/>
      <c r="F557" s="65"/>
      <c r="G557" s="65"/>
      <c r="H557" s="65"/>
      <c r="I557" s="65"/>
      <c r="J557" s="108"/>
      <c r="K557" s="108"/>
      <c r="L557" s="103"/>
      <c r="M557" s="111"/>
      <c r="N557" s="65"/>
      <c r="O557" s="65"/>
      <c r="P557" s="65"/>
      <c r="Q557" s="65"/>
      <c r="R557" s="65"/>
    </row>
    <row r="558">
      <c r="A558" s="61"/>
      <c r="B558" s="61"/>
      <c r="C558" s="61"/>
      <c r="D558" s="61"/>
      <c r="E558" s="61"/>
      <c r="F558" s="61"/>
      <c r="G558" s="61"/>
      <c r="H558" s="61"/>
      <c r="I558" s="61"/>
      <c r="J558" s="107"/>
      <c r="K558" s="107"/>
      <c r="L558" s="100"/>
      <c r="M558" s="110"/>
      <c r="N558" s="61"/>
      <c r="O558" s="61"/>
      <c r="P558" s="61"/>
      <c r="Q558" s="61"/>
      <c r="R558" s="61"/>
    </row>
    <row r="559">
      <c r="A559" s="65"/>
      <c r="B559" s="65"/>
      <c r="C559" s="65"/>
      <c r="D559" s="65"/>
      <c r="E559" s="65"/>
      <c r="F559" s="65"/>
      <c r="G559" s="65"/>
      <c r="H559" s="65"/>
      <c r="I559" s="65"/>
      <c r="J559" s="108"/>
      <c r="K559" s="108"/>
      <c r="L559" s="103"/>
      <c r="M559" s="111"/>
      <c r="N559" s="65"/>
      <c r="O559" s="65"/>
      <c r="P559" s="65"/>
      <c r="Q559" s="65"/>
      <c r="R559" s="65"/>
    </row>
    <row r="560">
      <c r="A560" s="61"/>
      <c r="B560" s="61"/>
      <c r="C560" s="61"/>
      <c r="D560" s="61"/>
      <c r="E560" s="61"/>
      <c r="F560" s="61"/>
      <c r="G560" s="61"/>
      <c r="H560" s="61"/>
      <c r="I560" s="61"/>
      <c r="J560" s="107"/>
      <c r="K560" s="107"/>
      <c r="L560" s="100"/>
      <c r="M560" s="110"/>
      <c r="N560" s="61"/>
      <c r="O560" s="61"/>
      <c r="P560" s="61"/>
      <c r="Q560" s="61"/>
      <c r="R560" s="61"/>
    </row>
    <row r="561">
      <c r="A561" s="65"/>
      <c r="B561" s="65"/>
      <c r="C561" s="65"/>
      <c r="D561" s="65"/>
      <c r="E561" s="65"/>
      <c r="F561" s="65"/>
      <c r="G561" s="65"/>
      <c r="H561" s="65"/>
      <c r="I561" s="65"/>
      <c r="J561" s="108"/>
      <c r="K561" s="108"/>
      <c r="L561" s="103"/>
      <c r="M561" s="111"/>
      <c r="N561" s="65"/>
      <c r="O561" s="65"/>
      <c r="P561" s="65"/>
      <c r="Q561" s="65"/>
      <c r="R561" s="65"/>
    </row>
    <row r="562">
      <c r="A562" s="61"/>
      <c r="B562" s="61"/>
      <c r="C562" s="61"/>
      <c r="D562" s="61"/>
      <c r="E562" s="61"/>
      <c r="F562" s="61"/>
      <c r="G562" s="61"/>
      <c r="H562" s="61"/>
      <c r="I562" s="61"/>
      <c r="J562" s="107"/>
      <c r="K562" s="107"/>
      <c r="L562" s="100"/>
      <c r="M562" s="110"/>
      <c r="N562" s="61"/>
      <c r="O562" s="61"/>
      <c r="P562" s="61"/>
      <c r="Q562" s="61"/>
      <c r="R562" s="61"/>
    </row>
    <row r="563">
      <c r="A563" s="65"/>
      <c r="B563" s="65"/>
      <c r="C563" s="65"/>
      <c r="D563" s="65"/>
      <c r="E563" s="65"/>
      <c r="F563" s="65"/>
      <c r="G563" s="65"/>
      <c r="H563" s="65"/>
      <c r="I563" s="65"/>
      <c r="J563" s="108"/>
      <c r="K563" s="108"/>
      <c r="L563" s="103"/>
      <c r="M563" s="111"/>
      <c r="N563" s="65"/>
      <c r="O563" s="65"/>
      <c r="P563" s="65"/>
      <c r="Q563" s="65"/>
      <c r="R563" s="65"/>
    </row>
    <row r="564">
      <c r="A564" s="61"/>
      <c r="B564" s="61"/>
      <c r="C564" s="61"/>
      <c r="D564" s="61"/>
      <c r="E564" s="61"/>
      <c r="F564" s="61"/>
      <c r="G564" s="61"/>
      <c r="H564" s="61"/>
      <c r="I564" s="61"/>
      <c r="J564" s="107"/>
      <c r="K564" s="107"/>
      <c r="L564" s="100"/>
      <c r="M564" s="110"/>
      <c r="N564" s="61"/>
      <c r="O564" s="61"/>
      <c r="P564" s="61"/>
      <c r="Q564" s="61"/>
      <c r="R564" s="61"/>
    </row>
    <row r="565">
      <c r="A565" s="65"/>
      <c r="B565" s="65"/>
      <c r="C565" s="65"/>
      <c r="D565" s="65"/>
      <c r="E565" s="65"/>
      <c r="F565" s="65"/>
      <c r="G565" s="65"/>
      <c r="H565" s="65"/>
      <c r="I565" s="65"/>
      <c r="J565" s="108"/>
      <c r="K565" s="108"/>
      <c r="L565" s="103"/>
      <c r="M565" s="111"/>
      <c r="N565" s="65"/>
      <c r="O565" s="65"/>
      <c r="P565" s="65"/>
      <c r="Q565" s="65"/>
      <c r="R565" s="65"/>
    </row>
    <row r="566">
      <c r="A566" s="61"/>
      <c r="B566" s="61"/>
      <c r="C566" s="61"/>
      <c r="D566" s="61"/>
      <c r="E566" s="61"/>
      <c r="F566" s="61"/>
      <c r="G566" s="61"/>
      <c r="H566" s="61"/>
      <c r="I566" s="61"/>
      <c r="J566" s="107"/>
      <c r="K566" s="107"/>
      <c r="L566" s="100"/>
      <c r="M566" s="110"/>
      <c r="N566" s="61"/>
      <c r="O566" s="61"/>
      <c r="P566" s="61"/>
      <c r="Q566" s="61"/>
      <c r="R566" s="61"/>
    </row>
    <row r="567">
      <c r="A567" s="65"/>
      <c r="B567" s="65"/>
      <c r="C567" s="65"/>
      <c r="D567" s="65"/>
      <c r="E567" s="65"/>
      <c r="F567" s="65"/>
      <c r="G567" s="65"/>
      <c r="H567" s="65"/>
      <c r="I567" s="65"/>
      <c r="J567" s="108"/>
      <c r="K567" s="108"/>
      <c r="L567" s="103"/>
      <c r="M567" s="111"/>
      <c r="N567" s="65"/>
      <c r="O567" s="65"/>
      <c r="P567" s="65"/>
      <c r="Q567" s="65"/>
      <c r="R567" s="65"/>
    </row>
    <row r="568">
      <c r="A568" s="61"/>
      <c r="B568" s="61"/>
      <c r="C568" s="61"/>
      <c r="D568" s="61"/>
      <c r="E568" s="61"/>
      <c r="F568" s="61"/>
      <c r="G568" s="61"/>
      <c r="H568" s="61"/>
      <c r="I568" s="61"/>
      <c r="J568" s="107"/>
      <c r="K568" s="107"/>
      <c r="L568" s="100"/>
      <c r="M568" s="110"/>
      <c r="N568" s="61"/>
      <c r="O568" s="61"/>
      <c r="P568" s="61"/>
      <c r="Q568" s="61"/>
      <c r="R568" s="61"/>
    </row>
    <row r="569">
      <c r="A569" s="65"/>
      <c r="B569" s="65"/>
      <c r="C569" s="65"/>
      <c r="D569" s="65"/>
      <c r="E569" s="65"/>
      <c r="F569" s="65"/>
      <c r="G569" s="65"/>
      <c r="H569" s="65"/>
      <c r="I569" s="65"/>
      <c r="J569" s="108"/>
      <c r="K569" s="108"/>
      <c r="L569" s="103"/>
      <c r="M569" s="111"/>
      <c r="N569" s="65"/>
      <c r="O569" s="65"/>
      <c r="P569" s="65"/>
      <c r="Q569" s="65"/>
      <c r="R569" s="65"/>
    </row>
    <row r="570">
      <c r="A570" s="61"/>
      <c r="B570" s="61"/>
      <c r="C570" s="61"/>
      <c r="D570" s="61"/>
      <c r="E570" s="61"/>
      <c r="F570" s="61"/>
      <c r="G570" s="61"/>
      <c r="H570" s="61"/>
      <c r="I570" s="61"/>
      <c r="J570" s="107"/>
      <c r="K570" s="107"/>
      <c r="L570" s="100"/>
      <c r="M570" s="110"/>
      <c r="N570" s="61"/>
      <c r="O570" s="61"/>
      <c r="P570" s="61"/>
      <c r="Q570" s="61"/>
      <c r="R570" s="61"/>
    </row>
    <row r="571">
      <c r="A571" s="65"/>
      <c r="B571" s="65"/>
      <c r="C571" s="65"/>
      <c r="D571" s="65"/>
      <c r="E571" s="65"/>
      <c r="F571" s="65"/>
      <c r="G571" s="65"/>
      <c r="H571" s="65"/>
      <c r="I571" s="65"/>
      <c r="J571" s="108"/>
      <c r="K571" s="108"/>
      <c r="L571" s="103"/>
      <c r="M571" s="111"/>
      <c r="N571" s="65"/>
      <c r="O571" s="65"/>
      <c r="P571" s="65"/>
      <c r="Q571" s="65"/>
      <c r="R571" s="65"/>
    </row>
    <row r="572">
      <c r="A572" s="61"/>
      <c r="B572" s="61"/>
      <c r="C572" s="61"/>
      <c r="D572" s="61"/>
      <c r="E572" s="61"/>
      <c r="F572" s="61"/>
      <c r="G572" s="61"/>
      <c r="H572" s="61"/>
      <c r="I572" s="61"/>
      <c r="J572" s="107"/>
      <c r="K572" s="107"/>
      <c r="L572" s="100"/>
      <c r="M572" s="110"/>
      <c r="N572" s="61"/>
      <c r="O572" s="61"/>
      <c r="P572" s="61"/>
      <c r="Q572" s="61"/>
      <c r="R572" s="61"/>
    </row>
    <row r="573">
      <c r="A573" s="65"/>
      <c r="B573" s="65"/>
      <c r="C573" s="65"/>
      <c r="D573" s="65"/>
      <c r="E573" s="65"/>
      <c r="F573" s="65"/>
      <c r="G573" s="65"/>
      <c r="H573" s="65"/>
      <c r="I573" s="65"/>
      <c r="J573" s="108"/>
      <c r="K573" s="108"/>
      <c r="L573" s="103"/>
      <c r="M573" s="111"/>
      <c r="N573" s="65"/>
      <c r="O573" s="65"/>
      <c r="P573" s="65"/>
      <c r="Q573" s="65"/>
      <c r="R573" s="65"/>
    </row>
    <row r="574">
      <c r="A574" s="61"/>
      <c r="B574" s="61"/>
      <c r="C574" s="61"/>
      <c r="D574" s="61"/>
      <c r="E574" s="61"/>
      <c r="F574" s="61"/>
      <c r="G574" s="61"/>
      <c r="H574" s="61"/>
      <c r="I574" s="61"/>
      <c r="J574" s="107"/>
      <c r="K574" s="107"/>
      <c r="L574" s="100"/>
      <c r="M574" s="110"/>
      <c r="N574" s="61"/>
      <c r="O574" s="61"/>
      <c r="P574" s="61"/>
      <c r="Q574" s="61"/>
      <c r="R574" s="61"/>
    </row>
    <row r="575">
      <c r="A575" s="65"/>
      <c r="B575" s="65"/>
      <c r="C575" s="65"/>
      <c r="D575" s="65"/>
      <c r="E575" s="65"/>
      <c r="F575" s="65"/>
      <c r="G575" s="65"/>
      <c r="H575" s="65"/>
      <c r="I575" s="65"/>
      <c r="J575" s="108"/>
      <c r="K575" s="108"/>
      <c r="L575" s="103"/>
      <c r="M575" s="111"/>
      <c r="N575" s="65"/>
      <c r="O575" s="65"/>
      <c r="P575" s="65"/>
      <c r="Q575" s="65"/>
      <c r="R575" s="65"/>
    </row>
    <row r="576">
      <c r="A576" s="61"/>
      <c r="B576" s="61"/>
      <c r="C576" s="61"/>
      <c r="D576" s="61"/>
      <c r="E576" s="61"/>
      <c r="F576" s="61"/>
      <c r="G576" s="61"/>
      <c r="H576" s="61"/>
      <c r="I576" s="61"/>
      <c r="J576" s="107"/>
      <c r="K576" s="107"/>
      <c r="L576" s="100"/>
      <c r="M576" s="110"/>
      <c r="N576" s="61"/>
      <c r="O576" s="61"/>
      <c r="P576" s="61"/>
      <c r="Q576" s="61"/>
      <c r="R576" s="61"/>
    </row>
    <row r="577">
      <c r="A577" s="65"/>
      <c r="B577" s="65"/>
      <c r="C577" s="65"/>
      <c r="D577" s="65"/>
      <c r="E577" s="65"/>
      <c r="F577" s="65"/>
      <c r="G577" s="65"/>
      <c r="H577" s="65"/>
      <c r="I577" s="65"/>
      <c r="J577" s="108"/>
      <c r="K577" s="108"/>
      <c r="L577" s="103"/>
      <c r="M577" s="111"/>
      <c r="N577" s="65"/>
      <c r="O577" s="65"/>
      <c r="P577" s="65"/>
      <c r="Q577" s="65"/>
      <c r="R577" s="65"/>
    </row>
    <row r="578">
      <c r="A578" s="61"/>
      <c r="B578" s="61"/>
      <c r="C578" s="61"/>
      <c r="D578" s="61"/>
      <c r="E578" s="61"/>
      <c r="F578" s="61"/>
      <c r="G578" s="61"/>
      <c r="H578" s="61"/>
      <c r="I578" s="61"/>
      <c r="J578" s="107"/>
      <c r="K578" s="107"/>
      <c r="L578" s="100"/>
      <c r="M578" s="110"/>
      <c r="N578" s="61"/>
      <c r="O578" s="61"/>
      <c r="P578" s="61"/>
      <c r="Q578" s="61"/>
      <c r="R578" s="61"/>
    </row>
    <row r="579">
      <c r="A579" s="65"/>
      <c r="B579" s="65"/>
      <c r="C579" s="65"/>
      <c r="D579" s="65"/>
      <c r="E579" s="65"/>
      <c r="F579" s="65"/>
      <c r="G579" s="65"/>
      <c r="H579" s="65"/>
      <c r="I579" s="65"/>
      <c r="J579" s="108"/>
      <c r="K579" s="108"/>
      <c r="L579" s="103"/>
      <c r="M579" s="111"/>
      <c r="N579" s="65"/>
      <c r="O579" s="65"/>
      <c r="P579" s="65"/>
      <c r="Q579" s="65"/>
      <c r="R579" s="65"/>
    </row>
    <row r="580">
      <c r="A580" s="61"/>
      <c r="B580" s="61"/>
      <c r="C580" s="61"/>
      <c r="D580" s="61"/>
      <c r="E580" s="61"/>
      <c r="F580" s="61"/>
      <c r="G580" s="61"/>
      <c r="H580" s="61"/>
      <c r="I580" s="61"/>
      <c r="J580" s="107"/>
      <c r="K580" s="107"/>
      <c r="L580" s="100"/>
      <c r="M580" s="110"/>
      <c r="N580" s="61"/>
      <c r="O580" s="61"/>
      <c r="P580" s="61"/>
      <c r="Q580" s="61"/>
      <c r="R580" s="61"/>
    </row>
    <row r="581">
      <c r="A581" s="65"/>
      <c r="B581" s="65"/>
      <c r="C581" s="65"/>
      <c r="D581" s="65"/>
      <c r="E581" s="65"/>
      <c r="F581" s="65"/>
      <c r="G581" s="65"/>
      <c r="H581" s="65"/>
      <c r="I581" s="65"/>
      <c r="J581" s="108"/>
      <c r="K581" s="108"/>
      <c r="L581" s="103"/>
      <c r="M581" s="111"/>
      <c r="N581" s="65"/>
      <c r="O581" s="65"/>
      <c r="P581" s="65"/>
      <c r="Q581" s="65"/>
      <c r="R581" s="65"/>
    </row>
    <row r="582">
      <c r="A582" s="61"/>
      <c r="B582" s="61"/>
      <c r="C582" s="61"/>
      <c r="D582" s="61"/>
      <c r="E582" s="61"/>
      <c r="F582" s="61"/>
      <c r="G582" s="61"/>
      <c r="H582" s="61"/>
      <c r="I582" s="61"/>
      <c r="J582" s="107"/>
      <c r="K582" s="107"/>
      <c r="L582" s="100"/>
      <c r="M582" s="110"/>
      <c r="N582" s="61"/>
      <c r="O582" s="61"/>
      <c r="P582" s="61"/>
      <c r="Q582" s="61"/>
      <c r="R582" s="61"/>
    </row>
    <row r="583">
      <c r="A583" s="65"/>
      <c r="B583" s="65"/>
      <c r="C583" s="65"/>
      <c r="D583" s="65"/>
      <c r="E583" s="65"/>
      <c r="F583" s="65"/>
      <c r="G583" s="65"/>
      <c r="H583" s="65"/>
      <c r="I583" s="65"/>
      <c r="J583" s="108"/>
      <c r="K583" s="108"/>
      <c r="L583" s="103"/>
      <c r="M583" s="111"/>
      <c r="N583" s="65"/>
      <c r="O583" s="65"/>
      <c r="P583" s="65"/>
      <c r="Q583" s="65"/>
      <c r="R583" s="65"/>
    </row>
    <row r="584">
      <c r="A584" s="61"/>
      <c r="B584" s="61"/>
      <c r="C584" s="61"/>
      <c r="D584" s="61"/>
      <c r="E584" s="61"/>
      <c r="F584" s="61"/>
      <c r="G584" s="61"/>
      <c r="H584" s="61"/>
      <c r="I584" s="61"/>
      <c r="J584" s="107"/>
      <c r="K584" s="107"/>
      <c r="L584" s="100"/>
      <c r="M584" s="110"/>
      <c r="N584" s="61"/>
      <c r="O584" s="61"/>
      <c r="P584" s="61"/>
      <c r="Q584" s="61"/>
      <c r="R584" s="61"/>
    </row>
    <row r="585">
      <c r="A585" s="65"/>
      <c r="B585" s="65"/>
      <c r="C585" s="65"/>
      <c r="D585" s="65"/>
      <c r="E585" s="65"/>
      <c r="F585" s="65"/>
      <c r="G585" s="65"/>
      <c r="H585" s="65"/>
      <c r="I585" s="65"/>
      <c r="J585" s="108"/>
      <c r="K585" s="108"/>
      <c r="L585" s="103"/>
      <c r="M585" s="111"/>
      <c r="N585" s="65"/>
      <c r="O585" s="65"/>
      <c r="P585" s="65"/>
      <c r="Q585" s="65"/>
      <c r="R585" s="65"/>
    </row>
    <row r="586">
      <c r="A586" s="61"/>
      <c r="B586" s="61"/>
      <c r="C586" s="61"/>
      <c r="D586" s="61"/>
      <c r="E586" s="61"/>
      <c r="F586" s="61"/>
      <c r="G586" s="61"/>
      <c r="H586" s="61"/>
      <c r="I586" s="61"/>
      <c r="J586" s="107"/>
      <c r="K586" s="107"/>
      <c r="L586" s="100"/>
      <c r="M586" s="110"/>
      <c r="N586" s="61"/>
      <c r="O586" s="61"/>
      <c r="P586" s="61"/>
      <c r="Q586" s="61"/>
      <c r="R586" s="61"/>
    </row>
    <row r="587">
      <c r="A587" s="65"/>
      <c r="B587" s="65"/>
      <c r="C587" s="65"/>
      <c r="D587" s="65"/>
      <c r="E587" s="65"/>
      <c r="F587" s="65"/>
      <c r="G587" s="65"/>
      <c r="H587" s="65"/>
      <c r="I587" s="65"/>
      <c r="J587" s="108"/>
      <c r="K587" s="108"/>
      <c r="L587" s="103"/>
      <c r="M587" s="111"/>
      <c r="N587" s="65"/>
      <c r="O587" s="65"/>
      <c r="P587" s="65"/>
      <c r="Q587" s="65"/>
      <c r="R587" s="65"/>
    </row>
    <row r="588">
      <c r="A588" s="61"/>
      <c r="B588" s="61"/>
      <c r="C588" s="61"/>
      <c r="D588" s="61"/>
      <c r="E588" s="61"/>
      <c r="F588" s="61"/>
      <c r="G588" s="61"/>
      <c r="H588" s="61"/>
      <c r="I588" s="61"/>
      <c r="J588" s="107"/>
      <c r="K588" s="107"/>
      <c r="L588" s="100"/>
      <c r="M588" s="110"/>
      <c r="N588" s="61"/>
      <c r="O588" s="61"/>
      <c r="P588" s="61"/>
      <c r="Q588" s="61"/>
      <c r="R588" s="61"/>
    </row>
    <row r="589">
      <c r="A589" s="65"/>
      <c r="B589" s="65"/>
      <c r="C589" s="65"/>
      <c r="D589" s="65"/>
      <c r="E589" s="65"/>
      <c r="F589" s="65"/>
      <c r="G589" s="65"/>
      <c r="H589" s="65"/>
      <c r="I589" s="65"/>
      <c r="J589" s="108"/>
      <c r="K589" s="108"/>
      <c r="L589" s="103"/>
      <c r="M589" s="111"/>
      <c r="N589" s="65"/>
      <c r="O589" s="65"/>
      <c r="P589" s="65"/>
      <c r="Q589" s="65"/>
      <c r="R589" s="65"/>
    </row>
    <row r="590">
      <c r="A590" s="61"/>
      <c r="B590" s="61"/>
      <c r="C590" s="61"/>
      <c r="D590" s="61"/>
      <c r="E590" s="61"/>
      <c r="F590" s="61"/>
      <c r="G590" s="61"/>
      <c r="H590" s="61"/>
      <c r="I590" s="61"/>
      <c r="J590" s="107"/>
      <c r="K590" s="107"/>
      <c r="L590" s="100"/>
      <c r="M590" s="110"/>
      <c r="N590" s="61"/>
      <c r="O590" s="61"/>
      <c r="P590" s="61"/>
      <c r="Q590" s="61"/>
      <c r="R590" s="61"/>
    </row>
    <row r="591">
      <c r="A591" s="65"/>
      <c r="B591" s="65"/>
      <c r="C591" s="65"/>
      <c r="D591" s="65"/>
      <c r="E591" s="65"/>
      <c r="F591" s="65"/>
      <c r="G591" s="65"/>
      <c r="H591" s="65"/>
      <c r="I591" s="65"/>
      <c r="J591" s="108"/>
      <c r="K591" s="108"/>
      <c r="L591" s="103"/>
      <c r="M591" s="111"/>
      <c r="N591" s="65"/>
      <c r="O591" s="65"/>
      <c r="P591" s="65"/>
      <c r="Q591" s="65"/>
      <c r="R591" s="65"/>
    </row>
    <row r="592">
      <c r="A592" s="61"/>
      <c r="B592" s="61"/>
      <c r="C592" s="61"/>
      <c r="D592" s="61"/>
      <c r="E592" s="61"/>
      <c r="F592" s="61"/>
      <c r="G592" s="61"/>
      <c r="H592" s="61"/>
      <c r="I592" s="61"/>
      <c r="J592" s="107"/>
      <c r="K592" s="107"/>
      <c r="L592" s="100"/>
      <c r="M592" s="110"/>
      <c r="N592" s="61"/>
      <c r="O592" s="61"/>
      <c r="P592" s="61"/>
      <c r="Q592" s="61"/>
      <c r="R592" s="61"/>
    </row>
    <row r="593">
      <c r="A593" s="65"/>
      <c r="B593" s="65"/>
      <c r="C593" s="65"/>
      <c r="D593" s="65"/>
      <c r="E593" s="65"/>
      <c r="F593" s="65"/>
      <c r="G593" s="65"/>
      <c r="H593" s="65"/>
      <c r="I593" s="65"/>
      <c r="J593" s="108"/>
      <c r="K593" s="108"/>
      <c r="L593" s="103"/>
      <c r="M593" s="111"/>
      <c r="N593" s="65"/>
      <c r="O593" s="65"/>
      <c r="P593" s="65"/>
      <c r="Q593" s="65"/>
      <c r="R593" s="65"/>
    </row>
    <row r="594">
      <c r="A594" s="61"/>
      <c r="B594" s="61"/>
      <c r="C594" s="61"/>
      <c r="D594" s="61"/>
      <c r="E594" s="61"/>
      <c r="F594" s="61"/>
      <c r="G594" s="61"/>
      <c r="H594" s="61"/>
      <c r="I594" s="61"/>
      <c r="J594" s="107"/>
      <c r="K594" s="107"/>
      <c r="L594" s="100"/>
      <c r="M594" s="110"/>
      <c r="N594" s="61"/>
      <c r="O594" s="61"/>
      <c r="P594" s="61"/>
      <c r="Q594" s="61"/>
      <c r="R594" s="61"/>
    </row>
    <row r="595">
      <c r="A595" s="65"/>
      <c r="B595" s="65"/>
      <c r="C595" s="65"/>
      <c r="D595" s="65"/>
      <c r="E595" s="65"/>
      <c r="F595" s="65"/>
      <c r="G595" s="65"/>
      <c r="H595" s="65"/>
      <c r="I595" s="65"/>
      <c r="J595" s="108"/>
      <c r="K595" s="108"/>
      <c r="L595" s="103"/>
      <c r="M595" s="111"/>
      <c r="N595" s="65"/>
      <c r="O595" s="65"/>
      <c r="P595" s="65"/>
      <c r="Q595" s="65"/>
      <c r="R595" s="65"/>
    </row>
    <row r="596">
      <c r="A596" s="61"/>
      <c r="B596" s="61"/>
      <c r="C596" s="61"/>
      <c r="D596" s="61"/>
      <c r="E596" s="61"/>
      <c r="F596" s="61"/>
      <c r="G596" s="61"/>
      <c r="H596" s="61"/>
      <c r="I596" s="61"/>
      <c r="J596" s="107"/>
      <c r="K596" s="107"/>
      <c r="L596" s="100"/>
      <c r="M596" s="110"/>
      <c r="N596" s="61"/>
      <c r="O596" s="61"/>
      <c r="P596" s="61"/>
      <c r="Q596" s="61"/>
      <c r="R596" s="61"/>
    </row>
    <row r="597">
      <c r="A597" s="65"/>
      <c r="B597" s="65"/>
      <c r="C597" s="65"/>
      <c r="D597" s="65"/>
      <c r="E597" s="65"/>
      <c r="F597" s="65"/>
      <c r="G597" s="65"/>
      <c r="H597" s="65"/>
      <c r="I597" s="65"/>
      <c r="J597" s="108"/>
      <c r="K597" s="108"/>
      <c r="L597" s="103"/>
      <c r="M597" s="111"/>
      <c r="N597" s="65"/>
      <c r="O597" s="65"/>
      <c r="P597" s="65"/>
      <c r="Q597" s="65"/>
      <c r="R597" s="65"/>
    </row>
    <row r="598">
      <c r="A598" s="61"/>
      <c r="B598" s="61"/>
      <c r="C598" s="61"/>
      <c r="D598" s="61"/>
      <c r="E598" s="61"/>
      <c r="F598" s="61"/>
      <c r="G598" s="61"/>
      <c r="H598" s="61"/>
      <c r="I598" s="61"/>
      <c r="J598" s="107"/>
      <c r="K598" s="107"/>
      <c r="L598" s="100"/>
      <c r="M598" s="110"/>
      <c r="N598" s="61"/>
      <c r="O598" s="61"/>
      <c r="P598" s="61"/>
      <c r="Q598" s="61"/>
      <c r="R598" s="61"/>
    </row>
    <row r="599">
      <c r="A599" s="65"/>
      <c r="B599" s="65"/>
      <c r="C599" s="65"/>
      <c r="D599" s="65"/>
      <c r="E599" s="65"/>
      <c r="F599" s="65"/>
      <c r="G599" s="65"/>
      <c r="H599" s="65"/>
      <c r="I599" s="65"/>
      <c r="J599" s="108"/>
      <c r="K599" s="108"/>
      <c r="L599" s="103"/>
      <c r="M599" s="111"/>
      <c r="N599" s="65"/>
      <c r="O599" s="65"/>
      <c r="P599" s="65"/>
      <c r="Q599" s="65"/>
      <c r="R599" s="65"/>
    </row>
    <row r="600">
      <c r="A600" s="61"/>
      <c r="B600" s="61"/>
      <c r="C600" s="61"/>
      <c r="D600" s="61"/>
      <c r="E600" s="61"/>
      <c r="F600" s="61"/>
      <c r="G600" s="61"/>
      <c r="H600" s="61"/>
      <c r="I600" s="61"/>
      <c r="J600" s="107"/>
      <c r="K600" s="107"/>
      <c r="L600" s="100"/>
      <c r="M600" s="110"/>
      <c r="N600" s="61"/>
      <c r="O600" s="61"/>
      <c r="P600" s="61"/>
      <c r="Q600" s="61"/>
      <c r="R600" s="61"/>
    </row>
    <row r="601">
      <c r="A601" s="65"/>
      <c r="B601" s="65"/>
      <c r="C601" s="65"/>
      <c r="D601" s="65"/>
      <c r="E601" s="65"/>
      <c r="F601" s="65"/>
      <c r="G601" s="65"/>
      <c r="H601" s="65"/>
      <c r="I601" s="65"/>
      <c r="J601" s="108"/>
      <c r="K601" s="108"/>
      <c r="L601" s="103"/>
      <c r="M601" s="111"/>
      <c r="N601" s="65"/>
      <c r="O601" s="65"/>
      <c r="P601" s="65"/>
      <c r="Q601" s="65"/>
      <c r="R601" s="65"/>
    </row>
    <row r="602">
      <c r="A602" s="61"/>
      <c r="B602" s="61"/>
      <c r="C602" s="61"/>
      <c r="D602" s="61"/>
      <c r="E602" s="61"/>
      <c r="F602" s="61"/>
      <c r="G602" s="61"/>
      <c r="H602" s="61"/>
      <c r="I602" s="61"/>
      <c r="J602" s="107"/>
      <c r="K602" s="107"/>
      <c r="L602" s="100"/>
      <c r="M602" s="110"/>
      <c r="N602" s="61"/>
      <c r="O602" s="61"/>
      <c r="P602" s="61"/>
      <c r="Q602" s="61"/>
      <c r="R602" s="61"/>
    </row>
    <row r="603">
      <c r="A603" s="65"/>
      <c r="B603" s="65"/>
      <c r="C603" s="65"/>
      <c r="D603" s="65"/>
      <c r="E603" s="65"/>
      <c r="F603" s="65"/>
      <c r="G603" s="65"/>
      <c r="H603" s="65"/>
      <c r="I603" s="65"/>
      <c r="J603" s="108"/>
      <c r="K603" s="108"/>
      <c r="L603" s="103"/>
      <c r="M603" s="111"/>
      <c r="N603" s="65"/>
      <c r="O603" s="65"/>
      <c r="P603" s="65"/>
      <c r="Q603" s="65"/>
      <c r="R603" s="65"/>
    </row>
    <row r="604">
      <c r="A604" s="61"/>
      <c r="B604" s="61"/>
      <c r="C604" s="61"/>
      <c r="D604" s="61"/>
      <c r="E604" s="61"/>
      <c r="F604" s="61"/>
      <c r="G604" s="61"/>
      <c r="H604" s="61"/>
      <c r="I604" s="61"/>
      <c r="J604" s="107"/>
      <c r="K604" s="107"/>
      <c r="L604" s="100"/>
      <c r="M604" s="110"/>
      <c r="N604" s="61"/>
      <c r="O604" s="61"/>
      <c r="P604" s="61"/>
      <c r="Q604" s="61"/>
      <c r="R604" s="61"/>
    </row>
    <row r="605">
      <c r="A605" s="65"/>
      <c r="B605" s="65"/>
      <c r="C605" s="65"/>
      <c r="D605" s="65"/>
      <c r="E605" s="65"/>
      <c r="F605" s="65"/>
      <c r="G605" s="65"/>
      <c r="H605" s="65"/>
      <c r="I605" s="65"/>
      <c r="J605" s="108"/>
      <c r="K605" s="108"/>
      <c r="L605" s="103"/>
      <c r="M605" s="111"/>
      <c r="N605" s="65"/>
      <c r="O605" s="65"/>
      <c r="P605" s="65"/>
      <c r="Q605" s="65"/>
      <c r="R605" s="65"/>
    </row>
    <row r="606">
      <c r="A606" s="61"/>
      <c r="B606" s="61"/>
      <c r="C606" s="61"/>
      <c r="D606" s="61"/>
      <c r="E606" s="61"/>
      <c r="F606" s="61"/>
      <c r="G606" s="61"/>
      <c r="H606" s="61"/>
      <c r="I606" s="61"/>
      <c r="J606" s="107"/>
      <c r="K606" s="107"/>
      <c r="L606" s="100"/>
      <c r="M606" s="110"/>
      <c r="N606" s="61"/>
      <c r="O606" s="61"/>
      <c r="P606" s="61"/>
      <c r="Q606" s="61"/>
      <c r="R606" s="61"/>
    </row>
    <row r="607">
      <c r="A607" s="65"/>
      <c r="B607" s="65"/>
      <c r="C607" s="65"/>
      <c r="D607" s="65"/>
      <c r="E607" s="65"/>
      <c r="F607" s="65"/>
      <c r="G607" s="65"/>
      <c r="H607" s="65"/>
      <c r="I607" s="65"/>
      <c r="J607" s="108"/>
      <c r="K607" s="108"/>
      <c r="L607" s="103"/>
      <c r="M607" s="111"/>
      <c r="N607" s="65"/>
      <c r="O607" s="65"/>
      <c r="P607" s="65"/>
      <c r="Q607" s="65"/>
      <c r="R607" s="65"/>
    </row>
    <row r="608">
      <c r="A608" s="61"/>
      <c r="B608" s="61"/>
      <c r="C608" s="61"/>
      <c r="D608" s="61"/>
      <c r="E608" s="61"/>
      <c r="F608" s="61"/>
      <c r="G608" s="61"/>
      <c r="H608" s="61"/>
      <c r="I608" s="61"/>
      <c r="J608" s="107"/>
      <c r="K608" s="107"/>
      <c r="L608" s="100"/>
      <c r="M608" s="110"/>
      <c r="N608" s="61"/>
      <c r="O608" s="61"/>
      <c r="P608" s="61"/>
      <c r="Q608" s="61"/>
      <c r="R608" s="61"/>
    </row>
    <row r="609">
      <c r="A609" s="65"/>
      <c r="B609" s="65"/>
      <c r="C609" s="65"/>
      <c r="D609" s="65"/>
      <c r="E609" s="65"/>
      <c r="F609" s="65"/>
      <c r="G609" s="65"/>
      <c r="H609" s="65"/>
      <c r="I609" s="65"/>
      <c r="J609" s="108"/>
      <c r="K609" s="108"/>
      <c r="L609" s="103"/>
      <c r="M609" s="111"/>
      <c r="N609" s="65"/>
      <c r="O609" s="65"/>
      <c r="P609" s="65"/>
      <c r="Q609" s="65"/>
      <c r="R609" s="65"/>
    </row>
    <row r="610">
      <c r="A610" s="61"/>
      <c r="B610" s="61"/>
      <c r="C610" s="61"/>
      <c r="D610" s="61"/>
      <c r="E610" s="61"/>
      <c r="F610" s="61"/>
      <c r="G610" s="61"/>
      <c r="H610" s="61"/>
      <c r="I610" s="61"/>
      <c r="J610" s="107"/>
      <c r="K610" s="107"/>
      <c r="L610" s="100"/>
      <c r="M610" s="110"/>
      <c r="N610" s="61"/>
      <c r="O610" s="61"/>
      <c r="P610" s="61"/>
      <c r="Q610" s="61"/>
      <c r="R610" s="61"/>
    </row>
    <row r="611">
      <c r="A611" s="65"/>
      <c r="B611" s="65"/>
      <c r="C611" s="65"/>
      <c r="D611" s="65"/>
      <c r="E611" s="65"/>
      <c r="F611" s="65"/>
      <c r="G611" s="65"/>
      <c r="H611" s="65"/>
      <c r="I611" s="65"/>
      <c r="J611" s="108"/>
      <c r="K611" s="108"/>
      <c r="L611" s="103"/>
      <c r="M611" s="111"/>
      <c r="N611" s="65"/>
      <c r="O611" s="65"/>
      <c r="P611" s="65"/>
      <c r="Q611" s="65"/>
      <c r="R611" s="65"/>
    </row>
    <row r="612">
      <c r="A612" s="61"/>
      <c r="B612" s="61"/>
      <c r="C612" s="61"/>
      <c r="D612" s="61"/>
      <c r="E612" s="61"/>
      <c r="F612" s="61"/>
      <c r="G612" s="61"/>
      <c r="H612" s="61"/>
      <c r="I612" s="61"/>
      <c r="J612" s="107"/>
      <c r="K612" s="107"/>
      <c r="L612" s="100"/>
      <c r="M612" s="110"/>
      <c r="N612" s="61"/>
      <c r="O612" s="61"/>
      <c r="P612" s="61"/>
      <c r="Q612" s="61"/>
      <c r="R612" s="61"/>
    </row>
    <row r="613">
      <c r="A613" s="65"/>
      <c r="B613" s="65"/>
      <c r="C613" s="65"/>
      <c r="D613" s="65"/>
      <c r="E613" s="65"/>
      <c r="F613" s="65"/>
      <c r="G613" s="65"/>
      <c r="H613" s="65"/>
      <c r="I613" s="65"/>
      <c r="J613" s="108"/>
      <c r="K613" s="108"/>
      <c r="L613" s="103"/>
      <c r="M613" s="111"/>
      <c r="N613" s="65"/>
      <c r="O613" s="65"/>
      <c r="P613" s="65"/>
      <c r="Q613" s="65"/>
      <c r="R613" s="65"/>
    </row>
    <row r="614">
      <c r="A614" s="61"/>
      <c r="B614" s="61"/>
      <c r="C614" s="61"/>
      <c r="D614" s="61"/>
      <c r="E614" s="61"/>
      <c r="F614" s="61"/>
      <c r="G614" s="61"/>
      <c r="H614" s="61"/>
      <c r="I614" s="61"/>
      <c r="J614" s="107"/>
      <c r="K614" s="107"/>
      <c r="L614" s="100"/>
      <c r="M614" s="110"/>
      <c r="N614" s="61"/>
      <c r="O614" s="61"/>
      <c r="P614" s="61"/>
      <c r="Q614" s="61"/>
      <c r="R614" s="61"/>
    </row>
    <row r="615">
      <c r="A615" s="65"/>
      <c r="B615" s="65"/>
      <c r="C615" s="65"/>
      <c r="D615" s="65"/>
      <c r="E615" s="65"/>
      <c r="F615" s="65"/>
      <c r="G615" s="65"/>
      <c r="H615" s="65"/>
      <c r="I615" s="65"/>
      <c r="J615" s="108"/>
      <c r="K615" s="108"/>
      <c r="L615" s="103"/>
      <c r="M615" s="111"/>
      <c r="N615" s="65"/>
      <c r="O615" s="65"/>
      <c r="P615" s="65"/>
      <c r="Q615" s="65"/>
      <c r="R615" s="65"/>
    </row>
    <row r="616">
      <c r="A616" s="61"/>
      <c r="B616" s="61"/>
      <c r="C616" s="61"/>
      <c r="D616" s="61"/>
      <c r="E616" s="61"/>
      <c r="F616" s="61"/>
      <c r="G616" s="61"/>
      <c r="H616" s="61"/>
      <c r="I616" s="61"/>
      <c r="J616" s="107"/>
      <c r="K616" s="107"/>
      <c r="L616" s="100"/>
      <c r="M616" s="110"/>
      <c r="N616" s="61"/>
      <c r="O616" s="61"/>
      <c r="P616" s="61"/>
      <c r="Q616" s="61"/>
      <c r="R616" s="61"/>
    </row>
    <row r="617">
      <c r="A617" s="65"/>
      <c r="B617" s="65"/>
      <c r="C617" s="65"/>
      <c r="D617" s="65"/>
      <c r="E617" s="65"/>
      <c r="F617" s="65"/>
      <c r="G617" s="65"/>
      <c r="H617" s="65"/>
      <c r="I617" s="65"/>
      <c r="J617" s="108"/>
      <c r="K617" s="108"/>
      <c r="L617" s="103"/>
      <c r="M617" s="111"/>
      <c r="N617" s="65"/>
      <c r="O617" s="65"/>
      <c r="P617" s="65"/>
      <c r="Q617" s="65"/>
      <c r="R617" s="65"/>
    </row>
    <row r="618">
      <c r="A618" s="61"/>
      <c r="B618" s="61"/>
      <c r="C618" s="61"/>
      <c r="D618" s="61"/>
      <c r="E618" s="61"/>
      <c r="F618" s="61"/>
      <c r="G618" s="61"/>
      <c r="H618" s="61"/>
      <c r="I618" s="61"/>
      <c r="J618" s="107"/>
      <c r="K618" s="107"/>
      <c r="L618" s="100"/>
      <c r="M618" s="110"/>
      <c r="N618" s="61"/>
      <c r="O618" s="61"/>
      <c r="P618" s="61"/>
      <c r="Q618" s="61"/>
      <c r="R618" s="61"/>
    </row>
    <row r="619">
      <c r="A619" s="65"/>
      <c r="B619" s="65"/>
      <c r="C619" s="65"/>
      <c r="D619" s="65"/>
      <c r="E619" s="65"/>
      <c r="F619" s="65"/>
      <c r="G619" s="65"/>
      <c r="H619" s="65"/>
      <c r="I619" s="65"/>
      <c r="J619" s="108"/>
      <c r="K619" s="108"/>
      <c r="L619" s="103"/>
      <c r="M619" s="111"/>
      <c r="N619" s="65"/>
      <c r="O619" s="65"/>
      <c r="P619" s="65"/>
      <c r="Q619" s="65"/>
      <c r="R619" s="65"/>
    </row>
    <row r="620">
      <c r="A620" s="61"/>
      <c r="B620" s="61"/>
      <c r="C620" s="61"/>
      <c r="D620" s="61"/>
      <c r="E620" s="61"/>
      <c r="F620" s="61"/>
      <c r="G620" s="61"/>
      <c r="H620" s="61"/>
      <c r="I620" s="61"/>
      <c r="J620" s="107"/>
      <c r="K620" s="107"/>
      <c r="L620" s="100"/>
      <c r="M620" s="110"/>
      <c r="N620" s="61"/>
      <c r="O620" s="61"/>
      <c r="P620" s="61"/>
      <c r="Q620" s="61"/>
      <c r="R620" s="61"/>
    </row>
    <row r="621">
      <c r="A621" s="65"/>
      <c r="B621" s="65"/>
      <c r="C621" s="65"/>
      <c r="D621" s="65"/>
      <c r="E621" s="65"/>
      <c r="F621" s="65"/>
      <c r="G621" s="65"/>
      <c r="H621" s="65"/>
      <c r="I621" s="65"/>
      <c r="J621" s="108"/>
      <c r="K621" s="108"/>
      <c r="L621" s="103"/>
      <c r="M621" s="111"/>
      <c r="N621" s="65"/>
      <c r="O621" s="65"/>
      <c r="P621" s="65"/>
      <c r="Q621" s="65"/>
      <c r="R621" s="65"/>
    </row>
    <row r="622">
      <c r="A622" s="61"/>
      <c r="B622" s="61"/>
      <c r="C622" s="61"/>
      <c r="D622" s="61"/>
      <c r="E622" s="61"/>
      <c r="F622" s="61"/>
      <c r="G622" s="61"/>
      <c r="H622" s="61"/>
      <c r="I622" s="61"/>
      <c r="J622" s="107"/>
      <c r="K622" s="107"/>
      <c r="L622" s="100"/>
      <c r="M622" s="110"/>
      <c r="N622" s="61"/>
      <c r="O622" s="61"/>
      <c r="P622" s="61"/>
      <c r="Q622" s="61"/>
      <c r="R622" s="61"/>
    </row>
    <row r="623">
      <c r="A623" s="65"/>
      <c r="B623" s="65"/>
      <c r="C623" s="65"/>
      <c r="D623" s="65"/>
      <c r="E623" s="65"/>
      <c r="F623" s="65"/>
      <c r="G623" s="65"/>
      <c r="H623" s="65"/>
      <c r="I623" s="65"/>
      <c r="J623" s="108"/>
      <c r="K623" s="108"/>
      <c r="L623" s="103"/>
      <c r="M623" s="111"/>
      <c r="N623" s="65"/>
      <c r="O623" s="65"/>
      <c r="P623" s="65"/>
      <c r="Q623" s="65"/>
      <c r="R623" s="65"/>
    </row>
    <row r="624">
      <c r="A624" s="61"/>
      <c r="B624" s="61"/>
      <c r="C624" s="61"/>
      <c r="D624" s="61"/>
      <c r="E624" s="61"/>
      <c r="F624" s="61"/>
      <c r="G624" s="61"/>
      <c r="H624" s="61"/>
      <c r="I624" s="61"/>
      <c r="J624" s="107"/>
      <c r="K624" s="107"/>
      <c r="L624" s="100"/>
      <c r="M624" s="110"/>
      <c r="N624" s="61"/>
      <c r="O624" s="61"/>
      <c r="P624" s="61"/>
      <c r="Q624" s="61"/>
      <c r="R624" s="61"/>
    </row>
    <row r="625">
      <c r="A625" s="65"/>
      <c r="B625" s="65"/>
      <c r="C625" s="65"/>
      <c r="D625" s="65"/>
      <c r="E625" s="65"/>
      <c r="F625" s="65"/>
      <c r="G625" s="65"/>
      <c r="H625" s="65"/>
      <c r="I625" s="65"/>
      <c r="J625" s="108"/>
      <c r="K625" s="108"/>
      <c r="L625" s="103"/>
      <c r="M625" s="111"/>
      <c r="N625" s="65"/>
      <c r="O625" s="65"/>
      <c r="P625" s="65"/>
      <c r="Q625" s="65"/>
      <c r="R625" s="65"/>
    </row>
    <row r="626">
      <c r="A626" s="61"/>
      <c r="B626" s="61"/>
      <c r="C626" s="61"/>
      <c r="D626" s="61"/>
      <c r="E626" s="61"/>
      <c r="F626" s="61"/>
      <c r="G626" s="61"/>
      <c r="H626" s="61"/>
      <c r="I626" s="61"/>
      <c r="J626" s="107"/>
      <c r="K626" s="107"/>
      <c r="L626" s="100"/>
      <c r="M626" s="110"/>
      <c r="N626" s="61"/>
      <c r="O626" s="61"/>
      <c r="P626" s="61"/>
      <c r="Q626" s="61"/>
      <c r="R626" s="61"/>
    </row>
    <row r="627">
      <c r="A627" s="65"/>
      <c r="B627" s="65"/>
      <c r="C627" s="65"/>
      <c r="D627" s="65"/>
      <c r="E627" s="65"/>
      <c r="F627" s="65"/>
      <c r="G627" s="65"/>
      <c r="H627" s="65"/>
      <c r="I627" s="65"/>
      <c r="J627" s="108"/>
      <c r="K627" s="108"/>
      <c r="L627" s="103"/>
      <c r="M627" s="111"/>
      <c r="N627" s="65"/>
      <c r="O627" s="65"/>
      <c r="P627" s="65"/>
      <c r="Q627" s="65"/>
      <c r="R627" s="65"/>
    </row>
    <row r="628">
      <c r="A628" s="61"/>
      <c r="B628" s="61"/>
      <c r="C628" s="61"/>
      <c r="D628" s="61"/>
      <c r="E628" s="61"/>
      <c r="F628" s="61"/>
      <c r="G628" s="61"/>
      <c r="H628" s="61"/>
      <c r="I628" s="61"/>
      <c r="J628" s="107"/>
      <c r="K628" s="107"/>
      <c r="L628" s="100"/>
      <c r="M628" s="110"/>
      <c r="N628" s="61"/>
      <c r="O628" s="61"/>
      <c r="P628" s="61"/>
      <c r="Q628" s="61"/>
      <c r="R628" s="61"/>
    </row>
    <row r="629">
      <c r="A629" s="65"/>
      <c r="B629" s="65"/>
      <c r="C629" s="65"/>
      <c r="D629" s="65"/>
      <c r="E629" s="65"/>
      <c r="F629" s="65"/>
      <c r="G629" s="65"/>
      <c r="H629" s="65"/>
      <c r="I629" s="65"/>
      <c r="J629" s="108"/>
      <c r="K629" s="108"/>
      <c r="L629" s="103"/>
      <c r="M629" s="111"/>
      <c r="N629" s="65"/>
      <c r="O629" s="65"/>
      <c r="P629" s="65"/>
      <c r="Q629" s="65"/>
      <c r="R629" s="65"/>
    </row>
    <row r="630">
      <c r="A630" s="61"/>
      <c r="B630" s="61"/>
      <c r="C630" s="61"/>
      <c r="D630" s="61"/>
      <c r="E630" s="61"/>
      <c r="F630" s="61"/>
      <c r="G630" s="61"/>
      <c r="H630" s="61"/>
      <c r="I630" s="61"/>
      <c r="J630" s="107"/>
      <c r="K630" s="107"/>
      <c r="L630" s="100"/>
      <c r="M630" s="110"/>
      <c r="N630" s="61"/>
      <c r="O630" s="61"/>
      <c r="P630" s="61"/>
      <c r="Q630" s="61"/>
      <c r="R630" s="61"/>
    </row>
    <row r="631">
      <c r="A631" s="65"/>
      <c r="B631" s="65"/>
      <c r="C631" s="65"/>
      <c r="D631" s="65"/>
      <c r="E631" s="65"/>
      <c r="F631" s="65"/>
      <c r="G631" s="65"/>
      <c r="H631" s="65"/>
      <c r="I631" s="65"/>
      <c r="J631" s="108"/>
      <c r="K631" s="108"/>
      <c r="L631" s="103"/>
      <c r="M631" s="111"/>
      <c r="N631" s="65"/>
      <c r="O631" s="65"/>
      <c r="P631" s="65"/>
      <c r="Q631" s="65"/>
      <c r="R631" s="65"/>
    </row>
    <row r="632">
      <c r="A632" s="61"/>
      <c r="B632" s="61"/>
      <c r="C632" s="61"/>
      <c r="D632" s="61"/>
      <c r="E632" s="61"/>
      <c r="F632" s="61"/>
      <c r="G632" s="61"/>
      <c r="H632" s="61"/>
      <c r="I632" s="61"/>
      <c r="J632" s="107"/>
      <c r="K632" s="107"/>
      <c r="L632" s="100"/>
      <c r="M632" s="110"/>
      <c r="N632" s="61"/>
      <c r="O632" s="61"/>
      <c r="P632" s="61"/>
      <c r="Q632" s="61"/>
      <c r="R632" s="61"/>
    </row>
    <row r="633">
      <c r="A633" s="65"/>
      <c r="B633" s="65"/>
      <c r="C633" s="65"/>
      <c r="D633" s="65"/>
      <c r="E633" s="65"/>
      <c r="F633" s="65"/>
      <c r="G633" s="65"/>
      <c r="H633" s="65"/>
      <c r="I633" s="65"/>
      <c r="J633" s="108"/>
      <c r="K633" s="108"/>
      <c r="L633" s="103"/>
      <c r="M633" s="111"/>
      <c r="N633" s="65"/>
      <c r="O633" s="65"/>
      <c r="P633" s="65"/>
      <c r="Q633" s="65"/>
      <c r="R633" s="65"/>
    </row>
    <row r="634">
      <c r="A634" s="61"/>
      <c r="B634" s="61"/>
      <c r="C634" s="61"/>
      <c r="D634" s="61"/>
      <c r="E634" s="61"/>
      <c r="F634" s="61"/>
      <c r="G634" s="61"/>
      <c r="H634" s="61"/>
      <c r="I634" s="61"/>
      <c r="J634" s="107"/>
      <c r="K634" s="107"/>
      <c r="L634" s="100"/>
      <c r="M634" s="110"/>
      <c r="N634" s="61"/>
      <c r="O634" s="61"/>
      <c r="P634" s="61"/>
      <c r="Q634" s="61"/>
      <c r="R634" s="61"/>
    </row>
    <row r="635">
      <c r="A635" s="65"/>
      <c r="B635" s="65"/>
      <c r="C635" s="65"/>
      <c r="D635" s="65"/>
      <c r="E635" s="65"/>
      <c r="F635" s="65"/>
      <c r="G635" s="65"/>
      <c r="H635" s="65"/>
      <c r="I635" s="65"/>
      <c r="J635" s="108"/>
      <c r="K635" s="108"/>
      <c r="L635" s="103"/>
      <c r="M635" s="111"/>
      <c r="N635" s="65"/>
      <c r="O635" s="65"/>
      <c r="P635" s="65"/>
      <c r="Q635" s="65"/>
      <c r="R635" s="65"/>
    </row>
    <row r="636">
      <c r="A636" s="61"/>
      <c r="B636" s="61"/>
      <c r="C636" s="61"/>
      <c r="D636" s="61"/>
      <c r="E636" s="61"/>
      <c r="F636" s="61"/>
      <c r="G636" s="61"/>
      <c r="H636" s="61"/>
      <c r="I636" s="61"/>
      <c r="J636" s="107"/>
      <c r="K636" s="107"/>
      <c r="L636" s="100"/>
      <c r="M636" s="110"/>
      <c r="N636" s="61"/>
      <c r="O636" s="61"/>
      <c r="P636" s="61"/>
      <c r="Q636" s="61"/>
      <c r="R636" s="61"/>
    </row>
    <row r="637">
      <c r="A637" s="65"/>
      <c r="B637" s="65"/>
      <c r="C637" s="65"/>
      <c r="D637" s="65"/>
      <c r="E637" s="65"/>
      <c r="F637" s="65"/>
      <c r="G637" s="65"/>
      <c r="H637" s="65"/>
      <c r="I637" s="65"/>
      <c r="J637" s="108"/>
      <c r="K637" s="108"/>
      <c r="L637" s="103"/>
      <c r="M637" s="111"/>
      <c r="N637" s="65"/>
      <c r="O637" s="65"/>
      <c r="P637" s="65"/>
      <c r="Q637" s="65"/>
      <c r="R637" s="65"/>
    </row>
    <row r="638">
      <c r="A638" s="61"/>
      <c r="B638" s="61"/>
      <c r="C638" s="61"/>
      <c r="D638" s="61"/>
      <c r="E638" s="61"/>
      <c r="F638" s="61"/>
      <c r="G638" s="61"/>
      <c r="H638" s="61"/>
      <c r="I638" s="61"/>
      <c r="J638" s="107"/>
      <c r="K638" s="107"/>
      <c r="L638" s="100"/>
      <c r="M638" s="110"/>
      <c r="N638" s="61"/>
      <c r="O638" s="61"/>
      <c r="P638" s="61"/>
      <c r="Q638" s="61"/>
      <c r="R638" s="61"/>
    </row>
    <row r="639">
      <c r="A639" s="65"/>
      <c r="B639" s="65"/>
      <c r="C639" s="65"/>
      <c r="D639" s="65"/>
      <c r="E639" s="65"/>
      <c r="F639" s="65"/>
      <c r="G639" s="65"/>
      <c r="H639" s="65"/>
      <c r="I639" s="65"/>
      <c r="J639" s="108"/>
      <c r="K639" s="108"/>
      <c r="L639" s="103"/>
      <c r="M639" s="111"/>
      <c r="N639" s="65"/>
      <c r="O639" s="65"/>
      <c r="P639" s="65"/>
      <c r="Q639" s="65"/>
      <c r="R639" s="65"/>
    </row>
    <row r="640">
      <c r="A640" s="61"/>
      <c r="B640" s="61"/>
      <c r="C640" s="61"/>
      <c r="D640" s="61"/>
      <c r="E640" s="61"/>
      <c r="F640" s="61"/>
      <c r="G640" s="61"/>
      <c r="H640" s="61"/>
      <c r="I640" s="61"/>
      <c r="J640" s="107"/>
      <c r="K640" s="107"/>
      <c r="L640" s="100"/>
      <c r="M640" s="110"/>
      <c r="N640" s="61"/>
      <c r="O640" s="61"/>
      <c r="P640" s="61"/>
      <c r="Q640" s="61"/>
      <c r="R640" s="61"/>
    </row>
    <row r="641">
      <c r="A641" s="65"/>
      <c r="B641" s="65"/>
      <c r="C641" s="65"/>
      <c r="D641" s="65"/>
      <c r="E641" s="65"/>
      <c r="F641" s="65"/>
      <c r="G641" s="65"/>
      <c r="H641" s="65"/>
      <c r="I641" s="65"/>
      <c r="J641" s="108"/>
      <c r="K641" s="108"/>
      <c r="L641" s="103"/>
      <c r="M641" s="111"/>
      <c r="N641" s="65"/>
      <c r="O641" s="65"/>
      <c r="P641" s="65"/>
      <c r="Q641" s="65"/>
      <c r="R641" s="65"/>
    </row>
    <row r="642">
      <c r="A642" s="61"/>
      <c r="B642" s="61"/>
      <c r="C642" s="61"/>
      <c r="D642" s="61"/>
      <c r="E642" s="61"/>
      <c r="F642" s="61"/>
      <c r="G642" s="61"/>
      <c r="H642" s="61"/>
      <c r="I642" s="61"/>
      <c r="J642" s="107"/>
      <c r="K642" s="107"/>
      <c r="L642" s="100"/>
      <c r="M642" s="110"/>
      <c r="N642" s="61"/>
      <c r="O642" s="61"/>
      <c r="P642" s="61"/>
      <c r="Q642" s="61"/>
      <c r="R642" s="61"/>
    </row>
    <row r="643">
      <c r="A643" s="65"/>
      <c r="B643" s="65"/>
      <c r="C643" s="65"/>
      <c r="D643" s="65"/>
      <c r="E643" s="65"/>
      <c r="F643" s="65"/>
      <c r="G643" s="65"/>
      <c r="H643" s="65"/>
      <c r="I643" s="65"/>
      <c r="J643" s="108"/>
      <c r="K643" s="108"/>
      <c r="L643" s="103"/>
      <c r="M643" s="111"/>
      <c r="N643" s="65"/>
      <c r="O643" s="65"/>
      <c r="P643" s="65"/>
      <c r="Q643" s="65"/>
      <c r="R643" s="65"/>
    </row>
    <row r="644">
      <c r="A644" s="61"/>
      <c r="B644" s="61"/>
      <c r="C644" s="61"/>
      <c r="D644" s="61"/>
      <c r="E644" s="61"/>
      <c r="F644" s="61"/>
      <c r="G644" s="61"/>
      <c r="H644" s="61"/>
      <c r="I644" s="61"/>
      <c r="J644" s="107"/>
      <c r="K644" s="107"/>
      <c r="L644" s="100"/>
      <c r="M644" s="110"/>
      <c r="N644" s="61"/>
      <c r="O644" s="61"/>
      <c r="P644" s="61"/>
      <c r="Q644" s="61"/>
      <c r="R644" s="61"/>
    </row>
    <row r="645">
      <c r="A645" s="65"/>
      <c r="B645" s="65"/>
      <c r="C645" s="65"/>
      <c r="D645" s="65"/>
      <c r="E645" s="65"/>
      <c r="F645" s="65"/>
      <c r="G645" s="65"/>
      <c r="H645" s="65"/>
      <c r="I645" s="65"/>
      <c r="J645" s="108"/>
      <c r="K645" s="108"/>
      <c r="L645" s="103"/>
      <c r="M645" s="111"/>
      <c r="N645" s="65"/>
      <c r="O645" s="65"/>
      <c r="P645" s="65"/>
      <c r="Q645" s="65"/>
      <c r="R645" s="65"/>
    </row>
    <row r="646">
      <c r="A646" s="61"/>
      <c r="B646" s="61"/>
      <c r="C646" s="61"/>
      <c r="D646" s="61"/>
      <c r="E646" s="61"/>
      <c r="F646" s="61"/>
      <c r="G646" s="61"/>
      <c r="H646" s="61"/>
      <c r="I646" s="61"/>
      <c r="J646" s="107"/>
      <c r="K646" s="107"/>
      <c r="L646" s="100"/>
      <c r="M646" s="110"/>
      <c r="N646" s="61"/>
      <c r="O646" s="61"/>
      <c r="P646" s="61"/>
      <c r="Q646" s="61"/>
      <c r="R646" s="61"/>
    </row>
    <row r="647">
      <c r="A647" s="65"/>
      <c r="B647" s="65"/>
      <c r="C647" s="65"/>
      <c r="D647" s="65"/>
      <c r="E647" s="65"/>
      <c r="F647" s="65"/>
      <c r="G647" s="65"/>
      <c r="H647" s="65"/>
      <c r="I647" s="65"/>
      <c r="J647" s="108"/>
      <c r="K647" s="108"/>
      <c r="L647" s="103"/>
      <c r="M647" s="111"/>
      <c r="N647" s="65"/>
      <c r="O647" s="65"/>
      <c r="P647" s="65"/>
      <c r="Q647" s="65"/>
      <c r="R647" s="65"/>
    </row>
    <row r="648">
      <c r="A648" s="61"/>
      <c r="B648" s="61"/>
      <c r="C648" s="61"/>
      <c r="D648" s="61"/>
      <c r="E648" s="61"/>
      <c r="F648" s="61"/>
      <c r="G648" s="61"/>
      <c r="H648" s="61"/>
      <c r="I648" s="61"/>
      <c r="J648" s="107"/>
      <c r="K648" s="107"/>
      <c r="L648" s="100"/>
      <c r="M648" s="110"/>
      <c r="N648" s="61"/>
      <c r="O648" s="61"/>
      <c r="P648" s="61"/>
      <c r="Q648" s="61"/>
      <c r="R648" s="61"/>
    </row>
    <row r="649">
      <c r="A649" s="65"/>
      <c r="B649" s="65"/>
      <c r="C649" s="65"/>
      <c r="D649" s="65"/>
      <c r="E649" s="65"/>
      <c r="F649" s="65"/>
      <c r="G649" s="65"/>
      <c r="H649" s="65"/>
      <c r="I649" s="65"/>
      <c r="J649" s="108"/>
      <c r="K649" s="108"/>
      <c r="L649" s="103"/>
      <c r="M649" s="111"/>
      <c r="N649" s="65"/>
      <c r="O649" s="65"/>
      <c r="P649" s="65"/>
      <c r="Q649" s="65"/>
      <c r="R649" s="65"/>
    </row>
    <row r="650">
      <c r="A650" s="61"/>
      <c r="B650" s="61"/>
      <c r="C650" s="61"/>
      <c r="D650" s="61"/>
      <c r="E650" s="61"/>
      <c r="F650" s="61"/>
      <c r="G650" s="61"/>
      <c r="H650" s="61"/>
      <c r="I650" s="61"/>
      <c r="J650" s="107"/>
      <c r="K650" s="107"/>
      <c r="L650" s="100"/>
      <c r="M650" s="110"/>
      <c r="N650" s="61"/>
      <c r="O650" s="61"/>
      <c r="P650" s="61"/>
      <c r="Q650" s="61"/>
      <c r="R650" s="61"/>
    </row>
    <row r="651">
      <c r="A651" s="65"/>
      <c r="B651" s="65"/>
      <c r="C651" s="65"/>
      <c r="D651" s="65"/>
      <c r="E651" s="65"/>
      <c r="F651" s="65"/>
      <c r="G651" s="65"/>
      <c r="H651" s="65"/>
      <c r="I651" s="65"/>
      <c r="J651" s="108"/>
      <c r="K651" s="108"/>
      <c r="L651" s="103"/>
      <c r="M651" s="111"/>
      <c r="N651" s="65"/>
      <c r="O651" s="65"/>
      <c r="P651" s="65"/>
      <c r="Q651" s="65"/>
      <c r="R651" s="65"/>
    </row>
    <row r="652">
      <c r="A652" s="61"/>
      <c r="B652" s="61"/>
      <c r="C652" s="61"/>
      <c r="D652" s="61"/>
      <c r="E652" s="61"/>
      <c r="F652" s="61"/>
      <c r="G652" s="61"/>
      <c r="H652" s="61"/>
      <c r="I652" s="61"/>
      <c r="J652" s="107"/>
      <c r="K652" s="107"/>
      <c r="L652" s="100"/>
      <c r="M652" s="110"/>
      <c r="N652" s="61"/>
      <c r="O652" s="61"/>
      <c r="P652" s="61"/>
      <c r="Q652" s="61"/>
      <c r="R652" s="61"/>
    </row>
    <row r="653">
      <c r="A653" s="65"/>
      <c r="B653" s="65"/>
      <c r="C653" s="65"/>
      <c r="D653" s="65"/>
      <c r="E653" s="65"/>
      <c r="F653" s="65"/>
      <c r="G653" s="65"/>
      <c r="H653" s="65"/>
      <c r="I653" s="65"/>
      <c r="J653" s="108"/>
      <c r="K653" s="108"/>
      <c r="L653" s="103"/>
      <c r="M653" s="111"/>
      <c r="N653" s="65"/>
      <c r="O653" s="65"/>
      <c r="P653" s="65"/>
      <c r="Q653" s="65"/>
      <c r="R653" s="65"/>
    </row>
    <row r="654">
      <c r="A654" s="61"/>
      <c r="B654" s="61"/>
      <c r="C654" s="61"/>
      <c r="D654" s="61"/>
      <c r="E654" s="61"/>
      <c r="F654" s="61"/>
      <c r="G654" s="61"/>
      <c r="H654" s="61"/>
      <c r="I654" s="61"/>
      <c r="J654" s="107"/>
      <c r="K654" s="107"/>
      <c r="L654" s="100"/>
      <c r="M654" s="110"/>
      <c r="N654" s="61"/>
      <c r="O654" s="61"/>
      <c r="P654" s="61"/>
      <c r="Q654" s="61"/>
      <c r="R654" s="61"/>
    </row>
    <row r="655">
      <c r="A655" s="65"/>
      <c r="B655" s="65"/>
      <c r="C655" s="65"/>
      <c r="D655" s="65"/>
      <c r="E655" s="65"/>
      <c r="F655" s="65"/>
      <c r="G655" s="65"/>
      <c r="H655" s="65"/>
      <c r="I655" s="65"/>
      <c r="J655" s="108"/>
      <c r="K655" s="108"/>
      <c r="L655" s="103"/>
      <c r="M655" s="111"/>
      <c r="N655" s="65"/>
      <c r="O655" s="65"/>
      <c r="P655" s="65"/>
      <c r="Q655" s="65"/>
      <c r="R655" s="65"/>
    </row>
    <row r="656">
      <c r="A656" s="61"/>
      <c r="B656" s="61"/>
      <c r="C656" s="61"/>
      <c r="D656" s="61"/>
      <c r="E656" s="61"/>
      <c r="F656" s="61"/>
      <c r="G656" s="61"/>
      <c r="H656" s="61"/>
      <c r="I656" s="61"/>
      <c r="J656" s="107"/>
      <c r="K656" s="107"/>
      <c r="L656" s="100"/>
      <c r="M656" s="110"/>
      <c r="N656" s="61"/>
      <c r="O656" s="61"/>
      <c r="P656" s="61"/>
      <c r="Q656" s="61"/>
      <c r="R656" s="61"/>
    </row>
    <row r="657">
      <c r="A657" s="65"/>
      <c r="B657" s="65"/>
      <c r="C657" s="65"/>
      <c r="D657" s="65"/>
      <c r="E657" s="65"/>
      <c r="F657" s="65"/>
      <c r="G657" s="65"/>
      <c r="H657" s="65"/>
      <c r="I657" s="65"/>
      <c r="J657" s="108"/>
      <c r="K657" s="108"/>
      <c r="L657" s="103"/>
      <c r="M657" s="111"/>
      <c r="N657" s="65"/>
      <c r="O657" s="65"/>
      <c r="P657" s="65"/>
      <c r="Q657" s="65"/>
      <c r="R657" s="65"/>
    </row>
    <row r="658">
      <c r="A658" s="61"/>
      <c r="B658" s="61"/>
      <c r="C658" s="61"/>
      <c r="D658" s="61"/>
      <c r="E658" s="61"/>
      <c r="F658" s="61"/>
      <c r="G658" s="61"/>
      <c r="H658" s="61"/>
      <c r="I658" s="61"/>
      <c r="J658" s="107"/>
      <c r="K658" s="107"/>
      <c r="L658" s="100"/>
      <c r="M658" s="110"/>
      <c r="N658" s="61"/>
      <c r="O658" s="61"/>
      <c r="P658" s="61"/>
      <c r="Q658" s="61"/>
      <c r="R658" s="61"/>
    </row>
    <row r="659">
      <c r="A659" s="65"/>
      <c r="B659" s="65"/>
      <c r="C659" s="65"/>
      <c r="D659" s="65"/>
      <c r="E659" s="65"/>
      <c r="F659" s="65"/>
      <c r="G659" s="65"/>
      <c r="H659" s="65"/>
      <c r="I659" s="65"/>
      <c r="J659" s="108"/>
      <c r="K659" s="108"/>
      <c r="L659" s="103"/>
      <c r="M659" s="111"/>
      <c r="N659" s="65"/>
      <c r="O659" s="65"/>
      <c r="P659" s="65"/>
      <c r="Q659" s="65"/>
      <c r="R659" s="65"/>
    </row>
    <row r="660">
      <c r="A660" s="61"/>
      <c r="B660" s="61"/>
      <c r="C660" s="61"/>
      <c r="D660" s="61"/>
      <c r="E660" s="61"/>
      <c r="F660" s="61"/>
      <c r="G660" s="61"/>
      <c r="H660" s="61"/>
      <c r="I660" s="61"/>
      <c r="J660" s="107"/>
      <c r="K660" s="107"/>
      <c r="L660" s="100"/>
      <c r="M660" s="110"/>
      <c r="N660" s="61"/>
      <c r="O660" s="61"/>
      <c r="P660" s="61"/>
      <c r="Q660" s="61"/>
      <c r="R660" s="61"/>
    </row>
    <row r="661">
      <c r="A661" s="65"/>
      <c r="B661" s="65"/>
      <c r="C661" s="65"/>
      <c r="D661" s="65"/>
      <c r="E661" s="65"/>
      <c r="F661" s="65"/>
      <c r="G661" s="65"/>
      <c r="H661" s="65"/>
      <c r="I661" s="65"/>
      <c r="J661" s="108"/>
      <c r="K661" s="108"/>
      <c r="L661" s="103"/>
      <c r="M661" s="111"/>
      <c r="N661" s="65"/>
      <c r="O661" s="65"/>
      <c r="P661" s="65"/>
      <c r="Q661" s="65"/>
      <c r="R661" s="65"/>
    </row>
    <row r="662">
      <c r="A662" s="61"/>
      <c r="B662" s="61"/>
      <c r="C662" s="61"/>
      <c r="D662" s="61"/>
      <c r="E662" s="61"/>
      <c r="F662" s="61"/>
      <c r="G662" s="61"/>
      <c r="H662" s="61"/>
      <c r="I662" s="61"/>
      <c r="J662" s="107"/>
      <c r="K662" s="107"/>
      <c r="L662" s="100"/>
      <c r="M662" s="110"/>
      <c r="N662" s="61"/>
      <c r="O662" s="61"/>
      <c r="P662" s="61"/>
      <c r="Q662" s="61"/>
      <c r="R662" s="61"/>
    </row>
    <row r="663">
      <c r="A663" s="65"/>
      <c r="B663" s="65"/>
      <c r="C663" s="65"/>
      <c r="D663" s="65"/>
      <c r="E663" s="65"/>
      <c r="F663" s="65"/>
      <c r="G663" s="65"/>
      <c r="H663" s="65"/>
      <c r="I663" s="65"/>
      <c r="J663" s="108"/>
      <c r="K663" s="108"/>
      <c r="L663" s="103"/>
      <c r="M663" s="111"/>
      <c r="N663" s="65"/>
      <c r="O663" s="65"/>
      <c r="P663" s="65"/>
      <c r="Q663" s="65"/>
      <c r="R663" s="65"/>
    </row>
    <row r="664">
      <c r="A664" s="61"/>
      <c r="B664" s="61"/>
      <c r="C664" s="61"/>
      <c r="D664" s="61"/>
      <c r="E664" s="61"/>
      <c r="F664" s="61"/>
      <c r="G664" s="61"/>
      <c r="H664" s="61"/>
      <c r="I664" s="61"/>
      <c r="J664" s="107"/>
      <c r="K664" s="107"/>
      <c r="L664" s="100"/>
      <c r="M664" s="110"/>
      <c r="N664" s="61"/>
      <c r="O664" s="61"/>
      <c r="P664" s="61"/>
      <c r="Q664" s="61"/>
      <c r="R664" s="61"/>
    </row>
    <row r="665">
      <c r="A665" s="65"/>
      <c r="B665" s="65"/>
      <c r="C665" s="65"/>
      <c r="D665" s="65"/>
      <c r="E665" s="65"/>
      <c r="F665" s="65"/>
      <c r="G665" s="65"/>
      <c r="H665" s="65"/>
      <c r="I665" s="65"/>
      <c r="J665" s="108"/>
      <c r="K665" s="108"/>
      <c r="L665" s="103"/>
      <c r="M665" s="111"/>
      <c r="N665" s="65"/>
      <c r="O665" s="65"/>
      <c r="P665" s="65"/>
      <c r="Q665" s="65"/>
      <c r="R665" s="65"/>
    </row>
    <row r="666">
      <c r="A666" s="61"/>
      <c r="B666" s="61"/>
      <c r="C666" s="61"/>
      <c r="D666" s="61"/>
      <c r="E666" s="61"/>
      <c r="F666" s="61"/>
      <c r="G666" s="61"/>
      <c r="H666" s="61"/>
      <c r="I666" s="61"/>
      <c r="J666" s="107"/>
      <c r="K666" s="107"/>
      <c r="L666" s="100"/>
      <c r="M666" s="110"/>
      <c r="N666" s="61"/>
      <c r="O666" s="61"/>
      <c r="P666" s="61"/>
      <c r="Q666" s="61"/>
      <c r="R666" s="61"/>
    </row>
    <row r="667">
      <c r="A667" s="65"/>
      <c r="B667" s="65"/>
      <c r="C667" s="65"/>
      <c r="D667" s="65"/>
      <c r="E667" s="65"/>
      <c r="F667" s="65"/>
      <c r="G667" s="65"/>
      <c r="H667" s="65"/>
      <c r="I667" s="65"/>
      <c r="J667" s="108"/>
      <c r="K667" s="108"/>
      <c r="L667" s="103"/>
      <c r="M667" s="111"/>
      <c r="N667" s="65"/>
      <c r="O667" s="65"/>
      <c r="P667" s="65"/>
      <c r="Q667" s="65"/>
      <c r="R667" s="65"/>
    </row>
    <row r="668">
      <c r="A668" s="61"/>
      <c r="B668" s="61"/>
      <c r="C668" s="61"/>
      <c r="D668" s="61"/>
      <c r="E668" s="61"/>
      <c r="F668" s="61"/>
      <c r="G668" s="61"/>
      <c r="H668" s="61"/>
      <c r="I668" s="61"/>
      <c r="J668" s="107"/>
      <c r="K668" s="107"/>
      <c r="L668" s="100"/>
      <c r="M668" s="110"/>
      <c r="N668" s="61"/>
      <c r="O668" s="61"/>
      <c r="P668" s="61"/>
      <c r="Q668" s="61"/>
      <c r="R668" s="61"/>
    </row>
    <row r="669">
      <c r="A669" s="65"/>
      <c r="B669" s="65"/>
      <c r="C669" s="65"/>
      <c r="D669" s="65"/>
      <c r="E669" s="65"/>
      <c r="F669" s="65"/>
      <c r="G669" s="65"/>
      <c r="H669" s="65"/>
      <c r="I669" s="65"/>
      <c r="J669" s="108"/>
      <c r="K669" s="108"/>
      <c r="L669" s="103"/>
      <c r="M669" s="111"/>
      <c r="N669" s="65"/>
      <c r="O669" s="65"/>
      <c r="P669" s="65"/>
      <c r="Q669" s="65"/>
      <c r="R669" s="65"/>
    </row>
    <row r="670">
      <c r="A670" s="61"/>
      <c r="B670" s="61"/>
      <c r="C670" s="61"/>
      <c r="D670" s="61"/>
      <c r="E670" s="61"/>
      <c r="F670" s="61"/>
      <c r="G670" s="61"/>
      <c r="H670" s="61"/>
      <c r="I670" s="61"/>
      <c r="J670" s="107"/>
      <c r="K670" s="107"/>
      <c r="L670" s="100"/>
      <c r="M670" s="110"/>
      <c r="N670" s="61"/>
      <c r="O670" s="61"/>
      <c r="P670" s="61"/>
      <c r="Q670" s="61"/>
      <c r="R670" s="61"/>
    </row>
    <row r="671">
      <c r="A671" s="65"/>
      <c r="B671" s="65"/>
      <c r="C671" s="65"/>
      <c r="D671" s="65"/>
      <c r="E671" s="65"/>
      <c r="F671" s="65"/>
      <c r="G671" s="65"/>
      <c r="H671" s="65"/>
      <c r="I671" s="65"/>
      <c r="J671" s="108"/>
      <c r="K671" s="108"/>
      <c r="L671" s="103"/>
      <c r="M671" s="111"/>
      <c r="N671" s="65"/>
      <c r="O671" s="65"/>
      <c r="P671" s="65"/>
      <c r="Q671" s="65"/>
      <c r="R671" s="65"/>
    </row>
    <row r="672">
      <c r="A672" s="61"/>
      <c r="B672" s="61"/>
      <c r="C672" s="61"/>
      <c r="D672" s="61"/>
      <c r="E672" s="61"/>
      <c r="F672" s="61"/>
      <c r="G672" s="61"/>
      <c r="H672" s="61"/>
      <c r="I672" s="61"/>
      <c r="J672" s="107"/>
      <c r="K672" s="107"/>
      <c r="L672" s="100"/>
      <c r="M672" s="110"/>
      <c r="N672" s="61"/>
      <c r="O672" s="61"/>
      <c r="P672" s="61"/>
      <c r="Q672" s="61"/>
      <c r="R672" s="61"/>
    </row>
    <row r="673">
      <c r="A673" s="65"/>
      <c r="B673" s="65"/>
      <c r="C673" s="65"/>
      <c r="D673" s="65"/>
      <c r="E673" s="65"/>
      <c r="F673" s="65"/>
      <c r="G673" s="65"/>
      <c r="H673" s="65"/>
      <c r="I673" s="65"/>
      <c r="J673" s="108"/>
      <c r="K673" s="108"/>
      <c r="L673" s="103"/>
      <c r="M673" s="111"/>
      <c r="N673" s="65"/>
      <c r="O673" s="65"/>
      <c r="P673" s="65"/>
      <c r="Q673" s="65"/>
      <c r="R673" s="65"/>
    </row>
    <row r="674">
      <c r="A674" s="61"/>
      <c r="B674" s="61"/>
      <c r="C674" s="61"/>
      <c r="D674" s="61"/>
      <c r="E674" s="61"/>
      <c r="F674" s="61"/>
      <c r="G674" s="61"/>
      <c r="H674" s="61"/>
      <c r="I674" s="61"/>
      <c r="J674" s="107"/>
      <c r="K674" s="107"/>
      <c r="L674" s="100"/>
      <c r="M674" s="110"/>
      <c r="N674" s="61"/>
      <c r="O674" s="61"/>
      <c r="P674" s="61"/>
      <c r="Q674" s="61"/>
      <c r="R674" s="61"/>
    </row>
    <row r="675">
      <c r="A675" s="65"/>
      <c r="B675" s="65"/>
      <c r="C675" s="65"/>
      <c r="D675" s="65"/>
      <c r="E675" s="65"/>
      <c r="F675" s="65"/>
      <c r="G675" s="65"/>
      <c r="H675" s="65"/>
      <c r="I675" s="65"/>
      <c r="J675" s="108"/>
      <c r="K675" s="108"/>
      <c r="L675" s="103"/>
      <c r="M675" s="111"/>
      <c r="N675" s="65"/>
      <c r="O675" s="65"/>
      <c r="P675" s="65"/>
      <c r="Q675" s="65"/>
      <c r="R675" s="65"/>
    </row>
    <row r="676">
      <c r="A676" s="61"/>
      <c r="B676" s="61"/>
      <c r="C676" s="61"/>
      <c r="D676" s="61"/>
      <c r="E676" s="61"/>
      <c r="F676" s="61"/>
      <c r="G676" s="61"/>
      <c r="H676" s="61"/>
      <c r="I676" s="61"/>
      <c r="J676" s="107"/>
      <c r="K676" s="107"/>
      <c r="L676" s="100"/>
      <c r="M676" s="110"/>
      <c r="N676" s="61"/>
      <c r="O676" s="61"/>
      <c r="P676" s="61"/>
      <c r="Q676" s="61"/>
      <c r="R676" s="61"/>
    </row>
    <row r="677">
      <c r="A677" s="65"/>
      <c r="B677" s="65"/>
      <c r="C677" s="65"/>
      <c r="D677" s="65"/>
      <c r="E677" s="65"/>
      <c r="F677" s="65"/>
      <c r="G677" s="65"/>
      <c r="H677" s="65"/>
      <c r="I677" s="65"/>
      <c r="J677" s="108"/>
      <c r="K677" s="108"/>
      <c r="L677" s="103"/>
      <c r="M677" s="111"/>
      <c r="N677" s="65"/>
      <c r="O677" s="65"/>
      <c r="P677" s="65"/>
      <c r="Q677" s="65"/>
      <c r="R677" s="65"/>
    </row>
    <row r="678">
      <c r="A678" s="61"/>
      <c r="B678" s="61"/>
      <c r="C678" s="61"/>
      <c r="D678" s="61"/>
      <c r="E678" s="61"/>
      <c r="F678" s="61"/>
      <c r="G678" s="61"/>
      <c r="H678" s="61"/>
      <c r="I678" s="61"/>
      <c r="J678" s="107"/>
      <c r="K678" s="107"/>
      <c r="L678" s="100"/>
      <c r="M678" s="110"/>
      <c r="N678" s="61"/>
      <c r="O678" s="61"/>
      <c r="P678" s="61"/>
      <c r="Q678" s="61"/>
      <c r="R678" s="61"/>
    </row>
    <row r="679">
      <c r="A679" s="65"/>
      <c r="B679" s="65"/>
      <c r="C679" s="65"/>
      <c r="D679" s="65"/>
      <c r="E679" s="65"/>
      <c r="F679" s="65"/>
      <c r="G679" s="65"/>
      <c r="H679" s="65"/>
      <c r="I679" s="65"/>
      <c r="J679" s="108"/>
      <c r="K679" s="108"/>
      <c r="L679" s="103"/>
      <c r="M679" s="111"/>
      <c r="N679" s="65"/>
      <c r="O679" s="65"/>
      <c r="P679" s="65"/>
      <c r="Q679" s="65"/>
      <c r="R679" s="65"/>
    </row>
    <row r="680">
      <c r="A680" s="61"/>
      <c r="B680" s="61"/>
      <c r="C680" s="61"/>
      <c r="D680" s="61"/>
      <c r="E680" s="61"/>
      <c r="F680" s="61"/>
      <c r="G680" s="61"/>
      <c r="H680" s="61"/>
      <c r="I680" s="61"/>
      <c r="J680" s="107"/>
      <c r="K680" s="107"/>
      <c r="L680" s="100"/>
      <c r="M680" s="110"/>
      <c r="N680" s="61"/>
      <c r="O680" s="61"/>
      <c r="P680" s="61"/>
      <c r="Q680" s="61"/>
      <c r="R680" s="61"/>
    </row>
    <row r="681">
      <c r="A681" s="65"/>
      <c r="B681" s="65"/>
      <c r="C681" s="65"/>
      <c r="D681" s="65"/>
      <c r="E681" s="65"/>
      <c r="F681" s="65"/>
      <c r="G681" s="65"/>
      <c r="H681" s="65"/>
      <c r="I681" s="65"/>
      <c r="J681" s="108"/>
      <c r="K681" s="108"/>
      <c r="L681" s="103"/>
      <c r="M681" s="111"/>
      <c r="N681" s="65"/>
      <c r="O681" s="65"/>
      <c r="P681" s="65"/>
      <c r="Q681" s="65"/>
      <c r="R681" s="65"/>
    </row>
    <row r="682">
      <c r="A682" s="61"/>
      <c r="B682" s="61"/>
      <c r="C682" s="61"/>
      <c r="D682" s="61"/>
      <c r="E682" s="61"/>
      <c r="F682" s="61"/>
      <c r="G682" s="61"/>
      <c r="H682" s="61"/>
      <c r="I682" s="61"/>
      <c r="J682" s="107"/>
      <c r="K682" s="107"/>
      <c r="L682" s="100"/>
      <c r="M682" s="110"/>
      <c r="N682" s="61"/>
      <c r="O682" s="61"/>
      <c r="P682" s="61"/>
      <c r="Q682" s="61"/>
      <c r="R682" s="61"/>
    </row>
    <row r="683">
      <c r="A683" s="65"/>
      <c r="B683" s="65"/>
      <c r="C683" s="65"/>
      <c r="D683" s="65"/>
      <c r="E683" s="65"/>
      <c r="F683" s="65"/>
      <c r="G683" s="65"/>
      <c r="H683" s="65"/>
      <c r="I683" s="65"/>
      <c r="J683" s="108"/>
      <c r="K683" s="108"/>
      <c r="L683" s="103"/>
      <c r="M683" s="111"/>
      <c r="N683" s="65"/>
      <c r="O683" s="65"/>
      <c r="P683" s="65"/>
      <c r="Q683" s="65"/>
      <c r="R683" s="65"/>
    </row>
    <row r="684">
      <c r="A684" s="61"/>
      <c r="B684" s="61"/>
      <c r="C684" s="61"/>
      <c r="D684" s="61"/>
      <c r="E684" s="61"/>
      <c r="F684" s="61"/>
      <c r="G684" s="61"/>
      <c r="H684" s="61"/>
      <c r="I684" s="61"/>
      <c r="J684" s="107"/>
      <c r="K684" s="107"/>
      <c r="L684" s="100"/>
      <c r="M684" s="110"/>
      <c r="N684" s="61"/>
      <c r="O684" s="61"/>
      <c r="P684" s="61"/>
      <c r="Q684" s="61"/>
      <c r="R684" s="61"/>
    </row>
    <row r="685">
      <c r="A685" s="65"/>
      <c r="B685" s="65"/>
      <c r="C685" s="65"/>
      <c r="D685" s="65"/>
      <c r="E685" s="65"/>
      <c r="F685" s="65"/>
      <c r="G685" s="65"/>
      <c r="H685" s="65"/>
      <c r="I685" s="65"/>
      <c r="J685" s="108"/>
      <c r="K685" s="108"/>
      <c r="L685" s="103"/>
      <c r="M685" s="111"/>
      <c r="N685" s="65"/>
      <c r="O685" s="65"/>
      <c r="P685" s="65"/>
      <c r="Q685" s="65"/>
      <c r="R685" s="65"/>
    </row>
    <row r="686">
      <c r="A686" s="61"/>
      <c r="B686" s="61"/>
      <c r="C686" s="61"/>
      <c r="D686" s="61"/>
      <c r="E686" s="61"/>
      <c r="F686" s="61"/>
      <c r="G686" s="61"/>
      <c r="H686" s="61"/>
      <c r="I686" s="61"/>
      <c r="J686" s="107"/>
      <c r="K686" s="107"/>
      <c r="L686" s="100"/>
      <c r="M686" s="110"/>
      <c r="N686" s="61"/>
      <c r="O686" s="61"/>
      <c r="P686" s="61"/>
      <c r="Q686" s="61"/>
      <c r="R686" s="61"/>
    </row>
    <row r="687">
      <c r="A687" s="65"/>
      <c r="B687" s="65"/>
      <c r="C687" s="65"/>
      <c r="D687" s="65"/>
      <c r="E687" s="65"/>
      <c r="F687" s="65"/>
      <c r="G687" s="65"/>
      <c r="H687" s="65"/>
      <c r="I687" s="65"/>
      <c r="J687" s="108"/>
      <c r="K687" s="108"/>
      <c r="L687" s="103"/>
      <c r="M687" s="111"/>
      <c r="N687" s="65"/>
      <c r="O687" s="65"/>
      <c r="P687" s="65"/>
      <c r="Q687" s="65"/>
      <c r="R687" s="65"/>
    </row>
    <row r="688">
      <c r="A688" s="61"/>
      <c r="B688" s="61"/>
      <c r="C688" s="61"/>
      <c r="D688" s="61"/>
      <c r="E688" s="61"/>
      <c r="F688" s="61"/>
      <c r="G688" s="61"/>
      <c r="H688" s="61"/>
      <c r="I688" s="61"/>
      <c r="J688" s="107"/>
      <c r="K688" s="107"/>
      <c r="L688" s="100"/>
      <c r="M688" s="110"/>
      <c r="N688" s="61"/>
      <c r="O688" s="61"/>
      <c r="P688" s="61"/>
      <c r="Q688" s="61"/>
      <c r="R688" s="61"/>
    </row>
    <row r="689">
      <c r="A689" s="65"/>
      <c r="B689" s="65"/>
      <c r="C689" s="65"/>
      <c r="D689" s="65"/>
      <c r="E689" s="65"/>
      <c r="F689" s="65"/>
      <c r="G689" s="65"/>
      <c r="H689" s="65"/>
      <c r="I689" s="65"/>
      <c r="J689" s="108"/>
      <c r="K689" s="108"/>
      <c r="L689" s="103"/>
      <c r="M689" s="111"/>
      <c r="N689" s="65"/>
      <c r="O689" s="65"/>
      <c r="P689" s="65"/>
      <c r="Q689" s="65"/>
      <c r="R689" s="65"/>
    </row>
    <row r="690">
      <c r="A690" s="61"/>
      <c r="B690" s="61"/>
      <c r="C690" s="61"/>
      <c r="D690" s="61"/>
      <c r="E690" s="61"/>
      <c r="F690" s="61"/>
      <c r="G690" s="61"/>
      <c r="H690" s="61"/>
      <c r="I690" s="61"/>
      <c r="J690" s="107"/>
      <c r="K690" s="107"/>
      <c r="L690" s="100"/>
      <c r="M690" s="110"/>
      <c r="N690" s="61"/>
      <c r="O690" s="61"/>
      <c r="P690" s="61"/>
      <c r="Q690" s="61"/>
      <c r="R690" s="61"/>
    </row>
    <row r="691">
      <c r="A691" s="65"/>
      <c r="B691" s="65"/>
      <c r="C691" s="65"/>
      <c r="D691" s="65"/>
      <c r="E691" s="65"/>
      <c r="F691" s="65"/>
      <c r="G691" s="65"/>
      <c r="H691" s="65"/>
      <c r="I691" s="65"/>
      <c r="J691" s="108"/>
      <c r="K691" s="108"/>
      <c r="L691" s="103"/>
      <c r="M691" s="111"/>
      <c r="N691" s="65"/>
      <c r="O691" s="65"/>
      <c r="P691" s="65"/>
      <c r="Q691" s="65"/>
      <c r="R691" s="65"/>
    </row>
    <row r="692">
      <c r="A692" s="61"/>
      <c r="B692" s="61"/>
      <c r="C692" s="61"/>
      <c r="D692" s="61"/>
      <c r="E692" s="61"/>
      <c r="F692" s="61"/>
      <c r="G692" s="61"/>
      <c r="H692" s="61"/>
      <c r="I692" s="61"/>
      <c r="J692" s="107"/>
      <c r="K692" s="107"/>
      <c r="L692" s="100"/>
      <c r="M692" s="110"/>
      <c r="N692" s="61"/>
      <c r="O692" s="61"/>
      <c r="P692" s="61"/>
      <c r="Q692" s="61"/>
      <c r="R692" s="61"/>
    </row>
    <row r="693">
      <c r="A693" s="65"/>
      <c r="B693" s="65"/>
      <c r="C693" s="65"/>
      <c r="D693" s="65"/>
      <c r="E693" s="65"/>
      <c r="F693" s="65"/>
      <c r="G693" s="65"/>
      <c r="H693" s="65"/>
      <c r="I693" s="65"/>
      <c r="J693" s="108"/>
      <c r="K693" s="108"/>
      <c r="L693" s="103"/>
      <c r="M693" s="111"/>
      <c r="N693" s="65"/>
      <c r="O693" s="65"/>
      <c r="P693" s="65"/>
      <c r="Q693" s="65"/>
      <c r="R693" s="65"/>
    </row>
    <row r="694">
      <c r="A694" s="61"/>
      <c r="B694" s="61"/>
      <c r="C694" s="61"/>
      <c r="D694" s="61"/>
      <c r="E694" s="61"/>
      <c r="F694" s="61"/>
      <c r="G694" s="61"/>
      <c r="H694" s="61"/>
      <c r="I694" s="61"/>
      <c r="J694" s="107"/>
      <c r="K694" s="107"/>
      <c r="L694" s="100"/>
      <c r="M694" s="110"/>
      <c r="N694" s="61"/>
      <c r="O694" s="61"/>
      <c r="P694" s="61"/>
      <c r="Q694" s="61"/>
      <c r="R694" s="61"/>
    </row>
    <row r="695">
      <c r="A695" s="65"/>
      <c r="B695" s="65"/>
      <c r="C695" s="65"/>
      <c r="D695" s="65"/>
      <c r="E695" s="65"/>
      <c r="F695" s="65"/>
      <c r="G695" s="65"/>
      <c r="H695" s="65"/>
      <c r="I695" s="65"/>
      <c r="J695" s="108"/>
      <c r="K695" s="108"/>
      <c r="L695" s="103"/>
      <c r="M695" s="111"/>
      <c r="N695" s="65"/>
      <c r="O695" s="65"/>
      <c r="P695" s="65"/>
      <c r="Q695" s="65"/>
      <c r="R695" s="65"/>
    </row>
    <row r="696">
      <c r="A696" s="61"/>
      <c r="B696" s="61"/>
      <c r="C696" s="61"/>
      <c r="D696" s="61"/>
      <c r="E696" s="61"/>
      <c r="F696" s="61"/>
      <c r="G696" s="61"/>
      <c r="H696" s="61"/>
      <c r="I696" s="61"/>
      <c r="J696" s="107"/>
      <c r="K696" s="107"/>
      <c r="L696" s="100"/>
      <c r="M696" s="110"/>
      <c r="N696" s="61"/>
      <c r="O696" s="61"/>
      <c r="P696" s="61"/>
      <c r="Q696" s="61"/>
      <c r="R696" s="61"/>
    </row>
    <row r="697">
      <c r="A697" s="65"/>
      <c r="B697" s="65"/>
      <c r="C697" s="65"/>
      <c r="D697" s="65"/>
      <c r="E697" s="65"/>
      <c r="F697" s="65"/>
      <c r="G697" s="65"/>
      <c r="H697" s="65"/>
      <c r="I697" s="65"/>
      <c r="J697" s="108"/>
      <c r="K697" s="108"/>
      <c r="L697" s="103"/>
      <c r="M697" s="111"/>
      <c r="N697" s="65"/>
      <c r="O697" s="65"/>
      <c r="P697" s="65"/>
      <c r="Q697" s="65"/>
      <c r="R697" s="65"/>
    </row>
    <row r="698">
      <c r="A698" s="61"/>
      <c r="B698" s="61"/>
      <c r="C698" s="61"/>
      <c r="D698" s="61"/>
      <c r="E698" s="61"/>
      <c r="F698" s="61"/>
      <c r="G698" s="61"/>
      <c r="H698" s="61"/>
      <c r="I698" s="61"/>
      <c r="J698" s="107"/>
      <c r="K698" s="107"/>
      <c r="L698" s="100"/>
      <c r="M698" s="110"/>
      <c r="N698" s="61"/>
      <c r="O698" s="61"/>
      <c r="P698" s="61"/>
      <c r="Q698" s="61"/>
      <c r="R698" s="61"/>
    </row>
    <row r="699">
      <c r="A699" s="65"/>
      <c r="B699" s="65"/>
      <c r="C699" s="65"/>
      <c r="D699" s="65"/>
      <c r="E699" s="65"/>
      <c r="F699" s="65"/>
      <c r="G699" s="65"/>
      <c r="H699" s="65"/>
      <c r="I699" s="65"/>
      <c r="J699" s="108"/>
      <c r="K699" s="108"/>
      <c r="L699" s="103"/>
      <c r="M699" s="111"/>
      <c r="N699" s="65"/>
      <c r="O699" s="65"/>
      <c r="P699" s="65"/>
      <c r="Q699" s="65"/>
      <c r="R699" s="65"/>
    </row>
    <row r="700">
      <c r="A700" s="61"/>
      <c r="B700" s="61"/>
      <c r="C700" s="61"/>
      <c r="D700" s="61"/>
      <c r="E700" s="61"/>
      <c r="F700" s="61"/>
      <c r="G700" s="61"/>
      <c r="H700" s="61"/>
      <c r="I700" s="61"/>
      <c r="J700" s="107"/>
      <c r="K700" s="107"/>
      <c r="L700" s="100"/>
      <c r="M700" s="110"/>
      <c r="N700" s="61"/>
      <c r="O700" s="61"/>
      <c r="P700" s="61"/>
      <c r="Q700" s="61"/>
      <c r="R700" s="61"/>
    </row>
    <row r="701">
      <c r="A701" s="65"/>
      <c r="B701" s="65"/>
      <c r="C701" s="65"/>
      <c r="D701" s="65"/>
      <c r="E701" s="65"/>
      <c r="F701" s="65"/>
      <c r="G701" s="65"/>
      <c r="H701" s="65"/>
      <c r="I701" s="65"/>
      <c r="J701" s="108"/>
      <c r="K701" s="108"/>
      <c r="L701" s="103"/>
      <c r="M701" s="111"/>
      <c r="N701" s="65"/>
      <c r="O701" s="65"/>
      <c r="P701" s="65"/>
      <c r="Q701" s="65"/>
      <c r="R701" s="65"/>
    </row>
    <row r="702">
      <c r="A702" s="61"/>
      <c r="B702" s="61"/>
      <c r="C702" s="61"/>
      <c r="D702" s="61"/>
      <c r="E702" s="61"/>
      <c r="F702" s="61"/>
      <c r="G702" s="61"/>
      <c r="H702" s="61"/>
      <c r="I702" s="61"/>
      <c r="J702" s="107"/>
      <c r="K702" s="107"/>
      <c r="L702" s="100"/>
      <c r="M702" s="110"/>
      <c r="N702" s="61"/>
      <c r="O702" s="61"/>
      <c r="P702" s="61"/>
      <c r="Q702" s="61"/>
      <c r="R702" s="61"/>
    </row>
    <row r="703">
      <c r="A703" s="65"/>
      <c r="B703" s="65"/>
      <c r="C703" s="65"/>
      <c r="D703" s="65"/>
      <c r="E703" s="65"/>
      <c r="F703" s="65"/>
      <c r="G703" s="65"/>
      <c r="H703" s="65"/>
      <c r="I703" s="65"/>
      <c r="J703" s="108"/>
      <c r="K703" s="108"/>
      <c r="L703" s="103"/>
      <c r="M703" s="111"/>
      <c r="N703" s="65"/>
      <c r="O703" s="65"/>
      <c r="P703" s="65"/>
      <c r="Q703" s="65"/>
      <c r="R703" s="65"/>
    </row>
    <row r="704">
      <c r="A704" s="61"/>
      <c r="B704" s="61"/>
      <c r="C704" s="61"/>
      <c r="D704" s="61"/>
      <c r="E704" s="61"/>
      <c r="F704" s="61"/>
      <c r="G704" s="61"/>
      <c r="H704" s="61"/>
      <c r="I704" s="61"/>
      <c r="J704" s="107"/>
      <c r="K704" s="107"/>
      <c r="L704" s="100"/>
      <c r="M704" s="110"/>
      <c r="N704" s="61"/>
      <c r="O704" s="61"/>
      <c r="P704" s="61"/>
      <c r="Q704" s="61"/>
      <c r="R704" s="61"/>
    </row>
    <row r="705">
      <c r="A705" s="65"/>
      <c r="B705" s="65"/>
      <c r="C705" s="65"/>
      <c r="D705" s="65"/>
      <c r="E705" s="65"/>
      <c r="F705" s="65"/>
      <c r="G705" s="65"/>
      <c r="H705" s="65"/>
      <c r="I705" s="65"/>
      <c r="J705" s="108"/>
      <c r="K705" s="108"/>
      <c r="L705" s="103"/>
      <c r="M705" s="111"/>
      <c r="N705" s="65"/>
      <c r="O705" s="65"/>
      <c r="P705" s="65"/>
      <c r="Q705" s="65"/>
      <c r="R705" s="65"/>
    </row>
    <row r="706">
      <c r="A706" s="61"/>
      <c r="B706" s="61"/>
      <c r="C706" s="61"/>
      <c r="D706" s="61"/>
      <c r="E706" s="61"/>
      <c r="F706" s="61"/>
      <c r="G706" s="61"/>
      <c r="H706" s="61"/>
      <c r="I706" s="61"/>
      <c r="J706" s="107"/>
      <c r="K706" s="107"/>
      <c r="L706" s="100"/>
      <c r="M706" s="110"/>
      <c r="N706" s="61"/>
      <c r="O706" s="61"/>
      <c r="P706" s="61"/>
      <c r="Q706" s="61"/>
      <c r="R706" s="61"/>
    </row>
    <row r="707">
      <c r="A707" s="65"/>
      <c r="B707" s="65"/>
      <c r="C707" s="65"/>
      <c r="D707" s="65"/>
      <c r="E707" s="65"/>
      <c r="F707" s="65"/>
      <c r="G707" s="65"/>
      <c r="H707" s="65"/>
      <c r="I707" s="65"/>
      <c r="J707" s="108"/>
      <c r="K707" s="108"/>
      <c r="L707" s="103"/>
      <c r="M707" s="111"/>
      <c r="N707" s="65"/>
      <c r="O707" s="65"/>
      <c r="P707" s="65"/>
      <c r="Q707" s="65"/>
      <c r="R707" s="65"/>
    </row>
    <row r="708">
      <c r="A708" s="61"/>
      <c r="B708" s="61"/>
      <c r="C708" s="61"/>
      <c r="D708" s="61"/>
      <c r="E708" s="61"/>
      <c r="F708" s="61"/>
      <c r="G708" s="61"/>
      <c r="H708" s="61"/>
      <c r="I708" s="61"/>
      <c r="J708" s="107"/>
      <c r="K708" s="107"/>
      <c r="L708" s="100"/>
      <c r="M708" s="110"/>
      <c r="N708" s="61"/>
      <c r="O708" s="61"/>
      <c r="P708" s="61"/>
      <c r="Q708" s="61"/>
      <c r="R708" s="61"/>
    </row>
    <row r="709">
      <c r="A709" s="65"/>
      <c r="B709" s="65"/>
      <c r="C709" s="65"/>
      <c r="D709" s="65"/>
      <c r="E709" s="65"/>
      <c r="F709" s="65"/>
      <c r="G709" s="65"/>
      <c r="H709" s="65"/>
      <c r="I709" s="65"/>
      <c r="J709" s="108"/>
      <c r="K709" s="108"/>
      <c r="L709" s="103"/>
      <c r="M709" s="111"/>
      <c r="N709" s="65"/>
      <c r="O709" s="65"/>
      <c r="P709" s="65"/>
      <c r="Q709" s="65"/>
      <c r="R709" s="65"/>
    </row>
    <row r="710">
      <c r="A710" s="61"/>
      <c r="B710" s="61"/>
      <c r="C710" s="61"/>
      <c r="D710" s="61"/>
      <c r="E710" s="61"/>
      <c r="F710" s="61"/>
      <c r="G710" s="61"/>
      <c r="H710" s="61"/>
      <c r="I710" s="61"/>
      <c r="J710" s="107"/>
      <c r="K710" s="107"/>
      <c r="L710" s="100"/>
      <c r="M710" s="110"/>
      <c r="N710" s="61"/>
      <c r="O710" s="61"/>
      <c r="P710" s="61"/>
      <c r="Q710" s="61"/>
      <c r="R710" s="61"/>
    </row>
    <row r="711">
      <c r="A711" s="65"/>
      <c r="B711" s="65"/>
      <c r="C711" s="65"/>
      <c r="D711" s="65"/>
      <c r="E711" s="65"/>
      <c r="F711" s="65"/>
      <c r="G711" s="65"/>
      <c r="H711" s="65"/>
      <c r="I711" s="65"/>
      <c r="J711" s="108"/>
      <c r="K711" s="108"/>
      <c r="L711" s="103"/>
      <c r="M711" s="111"/>
      <c r="N711" s="65"/>
      <c r="O711" s="65"/>
      <c r="P711" s="65"/>
      <c r="Q711" s="65"/>
      <c r="R711" s="65"/>
    </row>
    <row r="712">
      <c r="A712" s="61"/>
      <c r="B712" s="61"/>
      <c r="C712" s="61"/>
      <c r="D712" s="61"/>
      <c r="E712" s="61"/>
      <c r="F712" s="61"/>
      <c r="G712" s="61"/>
      <c r="H712" s="61"/>
      <c r="I712" s="61"/>
      <c r="J712" s="107"/>
      <c r="K712" s="107"/>
      <c r="L712" s="100"/>
      <c r="M712" s="110"/>
      <c r="N712" s="61"/>
      <c r="O712" s="61"/>
      <c r="P712" s="61"/>
      <c r="Q712" s="61"/>
      <c r="R712" s="61"/>
    </row>
    <row r="713">
      <c r="A713" s="65"/>
      <c r="B713" s="65"/>
      <c r="C713" s="65"/>
      <c r="D713" s="65"/>
      <c r="E713" s="65"/>
      <c r="F713" s="65"/>
      <c r="G713" s="65"/>
      <c r="H713" s="65"/>
      <c r="I713" s="65"/>
      <c r="J713" s="108"/>
      <c r="K713" s="108"/>
      <c r="L713" s="103"/>
      <c r="M713" s="111"/>
      <c r="N713" s="65"/>
      <c r="O713" s="65"/>
      <c r="P713" s="65"/>
      <c r="Q713" s="65"/>
      <c r="R713" s="65"/>
    </row>
    <row r="714">
      <c r="A714" s="61"/>
      <c r="B714" s="61"/>
      <c r="C714" s="61"/>
      <c r="D714" s="61"/>
      <c r="E714" s="61"/>
      <c r="F714" s="61"/>
      <c r="G714" s="61"/>
      <c r="H714" s="61"/>
      <c r="I714" s="61"/>
      <c r="J714" s="107"/>
      <c r="K714" s="107"/>
      <c r="L714" s="100"/>
      <c r="M714" s="110"/>
      <c r="N714" s="61"/>
      <c r="O714" s="61"/>
      <c r="P714" s="61"/>
      <c r="Q714" s="61"/>
      <c r="R714" s="61"/>
    </row>
    <row r="715">
      <c r="A715" s="65"/>
      <c r="B715" s="65"/>
      <c r="C715" s="65"/>
      <c r="D715" s="65"/>
      <c r="E715" s="65"/>
      <c r="F715" s="65"/>
      <c r="G715" s="65"/>
      <c r="H715" s="65"/>
      <c r="I715" s="65"/>
      <c r="J715" s="108"/>
      <c r="K715" s="108"/>
      <c r="L715" s="103"/>
      <c r="M715" s="111"/>
      <c r="N715" s="65"/>
      <c r="O715" s="65"/>
      <c r="P715" s="65"/>
      <c r="Q715" s="65"/>
      <c r="R715" s="65"/>
    </row>
    <row r="716">
      <c r="A716" s="61"/>
      <c r="B716" s="61"/>
      <c r="C716" s="61"/>
      <c r="D716" s="61"/>
      <c r="E716" s="61"/>
      <c r="F716" s="61"/>
      <c r="G716" s="61"/>
      <c r="H716" s="61"/>
      <c r="I716" s="61"/>
      <c r="J716" s="107"/>
      <c r="K716" s="107"/>
      <c r="L716" s="100"/>
      <c r="M716" s="110"/>
      <c r="N716" s="61"/>
      <c r="O716" s="61"/>
      <c r="P716" s="61"/>
      <c r="Q716" s="61"/>
      <c r="R716" s="61"/>
    </row>
    <row r="717">
      <c r="A717" s="65"/>
      <c r="B717" s="65"/>
      <c r="C717" s="65"/>
      <c r="D717" s="65"/>
      <c r="E717" s="65"/>
      <c r="F717" s="65"/>
      <c r="G717" s="65"/>
      <c r="H717" s="65"/>
      <c r="I717" s="65"/>
      <c r="J717" s="108"/>
      <c r="K717" s="108"/>
      <c r="L717" s="103"/>
      <c r="M717" s="111"/>
      <c r="N717" s="65"/>
      <c r="O717" s="65"/>
      <c r="P717" s="65"/>
      <c r="Q717" s="65"/>
      <c r="R717" s="65"/>
    </row>
    <row r="718">
      <c r="A718" s="61"/>
      <c r="B718" s="61"/>
      <c r="C718" s="61"/>
      <c r="D718" s="61"/>
      <c r="E718" s="61"/>
      <c r="F718" s="61"/>
      <c r="G718" s="61"/>
      <c r="H718" s="61"/>
      <c r="I718" s="61"/>
      <c r="J718" s="107"/>
      <c r="K718" s="107"/>
      <c r="L718" s="100"/>
      <c r="M718" s="110"/>
      <c r="N718" s="61"/>
      <c r="O718" s="61"/>
      <c r="P718" s="61"/>
      <c r="Q718" s="61"/>
      <c r="R718" s="61"/>
    </row>
    <row r="719">
      <c r="A719" s="65"/>
      <c r="B719" s="65"/>
      <c r="C719" s="65"/>
      <c r="D719" s="65"/>
      <c r="E719" s="65"/>
      <c r="F719" s="65"/>
      <c r="G719" s="65"/>
      <c r="H719" s="65"/>
      <c r="I719" s="65"/>
      <c r="J719" s="108"/>
      <c r="K719" s="108"/>
      <c r="L719" s="103"/>
      <c r="M719" s="111"/>
      <c r="N719" s="65"/>
      <c r="O719" s="65"/>
      <c r="P719" s="65"/>
      <c r="Q719" s="65"/>
      <c r="R719" s="65"/>
    </row>
    <row r="720">
      <c r="A720" s="61"/>
      <c r="B720" s="61"/>
      <c r="C720" s="61"/>
      <c r="D720" s="61"/>
      <c r="E720" s="61"/>
      <c r="F720" s="61"/>
      <c r="G720" s="61"/>
      <c r="H720" s="61"/>
      <c r="I720" s="61"/>
      <c r="J720" s="107"/>
      <c r="K720" s="107"/>
      <c r="L720" s="100"/>
      <c r="M720" s="110"/>
      <c r="N720" s="61"/>
      <c r="O720" s="61"/>
      <c r="P720" s="61"/>
      <c r="Q720" s="61"/>
      <c r="R720" s="61"/>
    </row>
    <row r="721">
      <c r="A721" s="65"/>
      <c r="B721" s="65"/>
      <c r="C721" s="65"/>
      <c r="D721" s="65"/>
      <c r="E721" s="65"/>
      <c r="F721" s="65"/>
      <c r="G721" s="65"/>
      <c r="H721" s="65"/>
      <c r="I721" s="65"/>
      <c r="J721" s="108"/>
      <c r="K721" s="108"/>
      <c r="L721" s="103"/>
      <c r="M721" s="111"/>
      <c r="N721" s="65"/>
      <c r="O721" s="65"/>
      <c r="P721" s="65"/>
      <c r="Q721" s="65"/>
      <c r="R721" s="65"/>
    </row>
    <row r="722">
      <c r="A722" s="61"/>
      <c r="B722" s="61"/>
      <c r="C722" s="61"/>
      <c r="D722" s="61"/>
      <c r="E722" s="61"/>
      <c r="F722" s="61"/>
      <c r="G722" s="61"/>
      <c r="H722" s="61"/>
      <c r="I722" s="61"/>
      <c r="J722" s="107"/>
      <c r="K722" s="107"/>
      <c r="L722" s="100"/>
      <c r="M722" s="110"/>
      <c r="N722" s="61"/>
      <c r="O722" s="61"/>
      <c r="P722" s="61"/>
      <c r="Q722" s="61"/>
      <c r="R722" s="61"/>
    </row>
    <row r="723">
      <c r="A723" s="65"/>
      <c r="B723" s="65"/>
      <c r="C723" s="65"/>
      <c r="D723" s="65"/>
      <c r="E723" s="65"/>
      <c r="F723" s="65"/>
      <c r="G723" s="65"/>
      <c r="H723" s="65"/>
      <c r="I723" s="65"/>
      <c r="J723" s="108"/>
      <c r="K723" s="108"/>
      <c r="L723" s="103"/>
      <c r="M723" s="111"/>
      <c r="N723" s="65"/>
      <c r="O723" s="65"/>
      <c r="P723" s="65"/>
      <c r="Q723" s="65"/>
      <c r="R723" s="65"/>
    </row>
    <row r="724">
      <c r="A724" s="61"/>
      <c r="B724" s="61"/>
      <c r="C724" s="61"/>
      <c r="D724" s="61"/>
      <c r="E724" s="61"/>
      <c r="F724" s="61"/>
      <c r="G724" s="61"/>
      <c r="H724" s="61"/>
      <c r="I724" s="61"/>
      <c r="J724" s="107"/>
      <c r="K724" s="107"/>
      <c r="L724" s="100"/>
      <c r="M724" s="110"/>
      <c r="N724" s="61"/>
      <c r="O724" s="61"/>
      <c r="P724" s="61"/>
      <c r="Q724" s="61"/>
      <c r="R724" s="61"/>
    </row>
    <row r="725">
      <c r="A725" s="65"/>
      <c r="B725" s="65"/>
      <c r="C725" s="65"/>
      <c r="D725" s="65"/>
      <c r="E725" s="65"/>
      <c r="F725" s="65"/>
      <c r="G725" s="65"/>
      <c r="H725" s="65"/>
      <c r="I725" s="65"/>
      <c r="J725" s="108"/>
      <c r="K725" s="108"/>
      <c r="L725" s="103"/>
      <c r="M725" s="111"/>
      <c r="N725" s="65"/>
      <c r="O725" s="65"/>
      <c r="P725" s="65"/>
      <c r="Q725" s="65"/>
      <c r="R725" s="65"/>
    </row>
    <row r="726">
      <c r="A726" s="61"/>
      <c r="B726" s="61"/>
      <c r="C726" s="61"/>
      <c r="D726" s="61"/>
      <c r="E726" s="61"/>
      <c r="F726" s="61"/>
      <c r="G726" s="61"/>
      <c r="H726" s="61"/>
      <c r="I726" s="61"/>
      <c r="J726" s="107"/>
      <c r="K726" s="107"/>
      <c r="L726" s="100"/>
      <c r="M726" s="110"/>
      <c r="N726" s="61"/>
      <c r="O726" s="61"/>
      <c r="P726" s="61"/>
      <c r="Q726" s="61"/>
      <c r="R726" s="61"/>
    </row>
    <row r="727">
      <c r="A727" s="65"/>
      <c r="B727" s="65"/>
      <c r="C727" s="65"/>
      <c r="D727" s="65"/>
      <c r="E727" s="65"/>
      <c r="F727" s="65"/>
      <c r="G727" s="65"/>
      <c r="H727" s="65"/>
      <c r="I727" s="65"/>
      <c r="J727" s="108"/>
      <c r="K727" s="108"/>
      <c r="L727" s="103"/>
      <c r="M727" s="111"/>
      <c r="N727" s="65"/>
      <c r="O727" s="65"/>
      <c r="P727" s="65"/>
      <c r="Q727" s="65"/>
      <c r="R727" s="65"/>
    </row>
    <row r="728">
      <c r="A728" s="61"/>
      <c r="B728" s="61"/>
      <c r="C728" s="61"/>
      <c r="D728" s="61"/>
      <c r="E728" s="61"/>
      <c r="F728" s="61"/>
      <c r="G728" s="61"/>
      <c r="H728" s="61"/>
      <c r="I728" s="61"/>
      <c r="J728" s="107"/>
      <c r="K728" s="107"/>
      <c r="L728" s="100"/>
      <c r="M728" s="110"/>
      <c r="N728" s="61"/>
      <c r="O728" s="61"/>
      <c r="P728" s="61"/>
      <c r="Q728" s="61"/>
      <c r="R728" s="61"/>
    </row>
    <row r="729">
      <c r="A729" s="65"/>
      <c r="B729" s="65"/>
      <c r="C729" s="65"/>
      <c r="D729" s="65"/>
      <c r="E729" s="65"/>
      <c r="F729" s="65"/>
      <c r="G729" s="65"/>
      <c r="H729" s="65"/>
      <c r="I729" s="65"/>
      <c r="J729" s="108"/>
      <c r="K729" s="108"/>
      <c r="L729" s="103"/>
      <c r="M729" s="111"/>
      <c r="N729" s="65"/>
      <c r="O729" s="65"/>
      <c r="P729" s="65"/>
      <c r="Q729" s="65"/>
      <c r="R729" s="65"/>
    </row>
    <row r="730">
      <c r="A730" s="61"/>
      <c r="B730" s="61"/>
      <c r="C730" s="61"/>
      <c r="D730" s="61"/>
      <c r="E730" s="61"/>
      <c r="F730" s="61"/>
      <c r="G730" s="61"/>
      <c r="H730" s="61"/>
      <c r="I730" s="61"/>
      <c r="J730" s="107"/>
      <c r="K730" s="107"/>
      <c r="L730" s="100"/>
      <c r="M730" s="110"/>
      <c r="N730" s="61"/>
      <c r="O730" s="61"/>
      <c r="P730" s="61"/>
      <c r="Q730" s="61"/>
      <c r="R730" s="61"/>
    </row>
    <row r="731">
      <c r="A731" s="65"/>
      <c r="B731" s="65"/>
      <c r="C731" s="65"/>
      <c r="D731" s="65"/>
      <c r="E731" s="65"/>
      <c r="F731" s="65"/>
      <c r="G731" s="65"/>
      <c r="H731" s="65"/>
      <c r="I731" s="65"/>
      <c r="J731" s="108"/>
      <c r="K731" s="108"/>
      <c r="L731" s="103"/>
      <c r="M731" s="111"/>
      <c r="N731" s="65"/>
      <c r="O731" s="65"/>
      <c r="P731" s="65"/>
      <c r="Q731" s="65"/>
      <c r="R731" s="65"/>
    </row>
    <row r="732">
      <c r="A732" s="61"/>
      <c r="B732" s="61"/>
      <c r="C732" s="61"/>
      <c r="D732" s="61"/>
      <c r="E732" s="61"/>
      <c r="F732" s="61"/>
      <c r="G732" s="61"/>
      <c r="H732" s="61"/>
      <c r="I732" s="61"/>
      <c r="J732" s="107"/>
      <c r="K732" s="107"/>
      <c r="L732" s="100"/>
      <c r="M732" s="110"/>
      <c r="N732" s="61"/>
      <c r="O732" s="61"/>
      <c r="P732" s="61"/>
      <c r="Q732" s="61"/>
      <c r="R732" s="61"/>
    </row>
    <row r="733">
      <c r="A733" s="65"/>
      <c r="B733" s="65"/>
      <c r="C733" s="65"/>
      <c r="D733" s="65"/>
      <c r="E733" s="65"/>
      <c r="F733" s="65"/>
      <c r="G733" s="65"/>
      <c r="H733" s="65"/>
      <c r="I733" s="65"/>
      <c r="J733" s="108"/>
      <c r="K733" s="108"/>
      <c r="L733" s="103"/>
      <c r="M733" s="111"/>
      <c r="N733" s="65"/>
      <c r="O733" s="65"/>
      <c r="P733" s="65"/>
      <c r="Q733" s="65"/>
      <c r="R733" s="65"/>
    </row>
    <row r="734">
      <c r="A734" s="61"/>
      <c r="B734" s="61"/>
      <c r="C734" s="61"/>
      <c r="D734" s="61"/>
      <c r="E734" s="61"/>
      <c r="F734" s="61"/>
      <c r="G734" s="61"/>
      <c r="H734" s="61"/>
      <c r="I734" s="61"/>
      <c r="J734" s="107"/>
      <c r="K734" s="107"/>
      <c r="L734" s="100"/>
      <c r="M734" s="110"/>
      <c r="N734" s="61"/>
      <c r="O734" s="61"/>
      <c r="P734" s="61"/>
      <c r="Q734" s="61"/>
      <c r="R734" s="61"/>
    </row>
    <row r="735">
      <c r="A735" s="65"/>
      <c r="B735" s="65"/>
      <c r="C735" s="65"/>
      <c r="D735" s="65"/>
      <c r="E735" s="65"/>
      <c r="F735" s="65"/>
      <c r="G735" s="65"/>
      <c r="H735" s="65"/>
      <c r="I735" s="65"/>
      <c r="J735" s="108"/>
      <c r="K735" s="108"/>
      <c r="L735" s="103"/>
      <c r="M735" s="111"/>
      <c r="N735" s="65"/>
      <c r="O735" s="65"/>
      <c r="P735" s="65"/>
      <c r="Q735" s="65"/>
      <c r="R735" s="65"/>
    </row>
    <row r="736">
      <c r="A736" s="61"/>
      <c r="B736" s="61"/>
      <c r="C736" s="61"/>
      <c r="D736" s="61"/>
      <c r="E736" s="61"/>
      <c r="F736" s="61"/>
      <c r="G736" s="61"/>
      <c r="H736" s="61"/>
      <c r="I736" s="61"/>
      <c r="J736" s="107"/>
      <c r="K736" s="107"/>
      <c r="L736" s="100"/>
      <c r="M736" s="110"/>
      <c r="N736" s="61"/>
      <c r="O736" s="61"/>
      <c r="P736" s="61"/>
      <c r="Q736" s="61"/>
      <c r="R736" s="61"/>
    </row>
    <row r="737">
      <c r="A737" s="65"/>
      <c r="B737" s="65"/>
      <c r="C737" s="65"/>
      <c r="D737" s="65"/>
      <c r="E737" s="65"/>
      <c r="F737" s="65"/>
      <c r="G737" s="65"/>
      <c r="H737" s="65"/>
      <c r="I737" s="65"/>
      <c r="J737" s="108"/>
      <c r="K737" s="108"/>
      <c r="L737" s="103"/>
      <c r="M737" s="111"/>
      <c r="N737" s="65"/>
      <c r="O737" s="65"/>
      <c r="P737" s="65"/>
      <c r="Q737" s="65"/>
      <c r="R737" s="65"/>
    </row>
    <row r="738">
      <c r="A738" s="61"/>
      <c r="B738" s="61"/>
      <c r="C738" s="61"/>
      <c r="D738" s="61"/>
      <c r="E738" s="61"/>
      <c r="F738" s="61"/>
      <c r="G738" s="61"/>
      <c r="H738" s="61"/>
      <c r="I738" s="61"/>
      <c r="J738" s="107"/>
      <c r="K738" s="107"/>
      <c r="L738" s="100"/>
      <c r="M738" s="110"/>
      <c r="N738" s="61"/>
      <c r="O738" s="61"/>
      <c r="P738" s="61"/>
      <c r="Q738" s="61"/>
      <c r="R738" s="61"/>
    </row>
    <row r="739">
      <c r="A739" s="65"/>
      <c r="B739" s="65"/>
      <c r="C739" s="65"/>
      <c r="D739" s="65"/>
      <c r="E739" s="65"/>
      <c r="F739" s="65"/>
      <c r="G739" s="65"/>
      <c r="H739" s="65"/>
      <c r="I739" s="65"/>
      <c r="J739" s="108"/>
      <c r="K739" s="108"/>
      <c r="L739" s="103"/>
      <c r="M739" s="111"/>
      <c r="N739" s="65"/>
      <c r="O739" s="65"/>
      <c r="P739" s="65"/>
      <c r="Q739" s="65"/>
      <c r="R739" s="65"/>
    </row>
    <row r="740">
      <c r="A740" s="61"/>
      <c r="B740" s="61"/>
      <c r="C740" s="61"/>
      <c r="D740" s="61"/>
      <c r="E740" s="61"/>
      <c r="F740" s="61"/>
      <c r="G740" s="61"/>
      <c r="H740" s="61"/>
      <c r="I740" s="61"/>
      <c r="J740" s="107"/>
      <c r="K740" s="107"/>
      <c r="L740" s="100"/>
      <c r="M740" s="110"/>
      <c r="N740" s="61"/>
      <c r="O740" s="61"/>
      <c r="P740" s="61"/>
      <c r="Q740" s="61"/>
      <c r="R740" s="61"/>
    </row>
    <row r="741">
      <c r="A741" s="65"/>
      <c r="B741" s="65"/>
      <c r="C741" s="65"/>
      <c r="D741" s="65"/>
      <c r="E741" s="65"/>
      <c r="F741" s="65"/>
      <c r="G741" s="65"/>
      <c r="H741" s="65"/>
      <c r="I741" s="65"/>
      <c r="J741" s="108"/>
      <c r="K741" s="108"/>
      <c r="L741" s="103"/>
      <c r="M741" s="111"/>
      <c r="N741" s="65"/>
      <c r="O741" s="65"/>
      <c r="P741" s="65"/>
      <c r="Q741" s="65"/>
      <c r="R741" s="65"/>
    </row>
    <row r="742">
      <c r="A742" s="61"/>
      <c r="B742" s="61"/>
      <c r="C742" s="61"/>
      <c r="D742" s="61"/>
      <c r="E742" s="61"/>
      <c r="F742" s="61"/>
      <c r="G742" s="61"/>
      <c r="H742" s="61"/>
      <c r="I742" s="61"/>
      <c r="J742" s="107"/>
      <c r="K742" s="107"/>
      <c r="L742" s="100"/>
      <c r="M742" s="110"/>
      <c r="N742" s="61"/>
      <c r="O742" s="61"/>
      <c r="P742" s="61"/>
      <c r="Q742" s="61"/>
      <c r="R742" s="61"/>
    </row>
    <row r="743">
      <c r="A743" s="65"/>
      <c r="B743" s="65"/>
      <c r="C743" s="65"/>
      <c r="D743" s="65"/>
      <c r="E743" s="65"/>
      <c r="F743" s="65"/>
      <c r="G743" s="65"/>
      <c r="H743" s="65"/>
      <c r="I743" s="65"/>
      <c r="J743" s="108"/>
      <c r="K743" s="108"/>
      <c r="L743" s="103"/>
      <c r="M743" s="111"/>
      <c r="N743" s="65"/>
      <c r="O743" s="65"/>
      <c r="P743" s="65"/>
      <c r="Q743" s="65"/>
      <c r="R743" s="65"/>
    </row>
    <row r="744">
      <c r="A744" s="61"/>
      <c r="B744" s="61"/>
      <c r="C744" s="61"/>
      <c r="D744" s="61"/>
      <c r="E744" s="61"/>
      <c r="F744" s="61"/>
      <c r="G744" s="61"/>
      <c r="H744" s="61"/>
      <c r="I744" s="61"/>
      <c r="J744" s="107"/>
      <c r="K744" s="107"/>
      <c r="L744" s="100"/>
      <c r="M744" s="110"/>
      <c r="N744" s="61"/>
      <c r="O744" s="61"/>
      <c r="P744" s="61"/>
      <c r="Q744" s="61"/>
      <c r="R744" s="61"/>
    </row>
    <row r="745">
      <c r="A745" s="65"/>
      <c r="B745" s="65"/>
      <c r="C745" s="65"/>
      <c r="D745" s="65"/>
      <c r="E745" s="65"/>
      <c r="F745" s="65"/>
      <c r="G745" s="65"/>
      <c r="H745" s="65"/>
      <c r="I745" s="65"/>
      <c r="J745" s="108"/>
      <c r="K745" s="108"/>
      <c r="L745" s="103"/>
      <c r="M745" s="111"/>
      <c r="N745" s="65"/>
      <c r="O745" s="65"/>
      <c r="P745" s="65"/>
      <c r="Q745" s="65"/>
      <c r="R745" s="65"/>
    </row>
    <row r="746">
      <c r="A746" s="61"/>
      <c r="B746" s="61"/>
      <c r="C746" s="61"/>
      <c r="D746" s="61"/>
      <c r="E746" s="61"/>
      <c r="F746" s="61"/>
      <c r="G746" s="61"/>
      <c r="H746" s="61"/>
      <c r="I746" s="61"/>
      <c r="J746" s="107"/>
      <c r="K746" s="107"/>
      <c r="L746" s="100"/>
      <c r="M746" s="110"/>
      <c r="N746" s="61"/>
      <c r="O746" s="61"/>
      <c r="P746" s="61"/>
      <c r="Q746" s="61"/>
      <c r="R746" s="61"/>
    </row>
    <row r="747">
      <c r="A747" s="65"/>
      <c r="B747" s="65"/>
      <c r="C747" s="65"/>
      <c r="D747" s="65"/>
      <c r="E747" s="65"/>
      <c r="F747" s="65"/>
      <c r="G747" s="65"/>
      <c r="H747" s="65"/>
      <c r="I747" s="65"/>
      <c r="J747" s="108"/>
      <c r="K747" s="108"/>
      <c r="L747" s="103"/>
      <c r="M747" s="111"/>
      <c r="N747" s="65"/>
      <c r="O747" s="65"/>
      <c r="P747" s="65"/>
      <c r="Q747" s="65"/>
      <c r="R747" s="65"/>
    </row>
    <row r="748">
      <c r="A748" s="61"/>
      <c r="B748" s="61"/>
      <c r="C748" s="61"/>
      <c r="D748" s="61"/>
      <c r="E748" s="61"/>
      <c r="F748" s="61"/>
      <c r="G748" s="61"/>
      <c r="H748" s="61"/>
      <c r="I748" s="61"/>
      <c r="J748" s="107"/>
      <c r="K748" s="107"/>
      <c r="L748" s="100"/>
      <c r="M748" s="110"/>
      <c r="N748" s="61"/>
      <c r="O748" s="61"/>
      <c r="P748" s="61"/>
      <c r="Q748" s="61"/>
      <c r="R748" s="61"/>
    </row>
    <row r="749">
      <c r="A749" s="65"/>
      <c r="B749" s="65"/>
      <c r="C749" s="65"/>
      <c r="D749" s="65"/>
      <c r="E749" s="65"/>
      <c r="F749" s="65"/>
      <c r="G749" s="65"/>
      <c r="H749" s="65"/>
      <c r="I749" s="65"/>
      <c r="J749" s="108"/>
      <c r="K749" s="108"/>
      <c r="L749" s="103"/>
      <c r="M749" s="111"/>
      <c r="N749" s="65"/>
      <c r="O749" s="65"/>
      <c r="P749" s="65"/>
      <c r="Q749" s="65"/>
      <c r="R749" s="65"/>
    </row>
    <row r="750">
      <c r="A750" s="61"/>
      <c r="B750" s="61"/>
      <c r="C750" s="61"/>
      <c r="D750" s="61"/>
      <c r="E750" s="61"/>
      <c r="F750" s="61"/>
      <c r="G750" s="61"/>
      <c r="H750" s="61"/>
      <c r="I750" s="61"/>
      <c r="J750" s="107"/>
      <c r="K750" s="107"/>
      <c r="L750" s="100"/>
      <c r="M750" s="110"/>
      <c r="N750" s="61"/>
      <c r="O750" s="61"/>
      <c r="P750" s="61"/>
      <c r="Q750" s="61"/>
      <c r="R750" s="61"/>
    </row>
    <row r="751">
      <c r="A751" s="65"/>
      <c r="B751" s="65"/>
      <c r="C751" s="65"/>
      <c r="D751" s="65"/>
      <c r="E751" s="65"/>
      <c r="F751" s="65"/>
      <c r="G751" s="65"/>
      <c r="H751" s="65"/>
      <c r="I751" s="65"/>
      <c r="J751" s="108"/>
      <c r="K751" s="108"/>
      <c r="L751" s="103"/>
      <c r="M751" s="111"/>
      <c r="N751" s="65"/>
      <c r="O751" s="65"/>
      <c r="P751" s="65"/>
      <c r="Q751" s="65"/>
      <c r="R751" s="65"/>
    </row>
    <row r="752">
      <c r="A752" s="61"/>
      <c r="B752" s="61"/>
      <c r="C752" s="61"/>
      <c r="D752" s="61"/>
      <c r="E752" s="61"/>
      <c r="F752" s="61"/>
      <c r="G752" s="61"/>
      <c r="H752" s="61"/>
      <c r="I752" s="61"/>
      <c r="J752" s="107"/>
      <c r="K752" s="107"/>
      <c r="L752" s="100"/>
      <c r="M752" s="110"/>
      <c r="N752" s="61"/>
      <c r="O752" s="61"/>
      <c r="P752" s="61"/>
      <c r="Q752" s="61"/>
      <c r="R752" s="61"/>
    </row>
    <row r="753">
      <c r="A753" s="65"/>
      <c r="B753" s="65"/>
      <c r="C753" s="65"/>
      <c r="D753" s="65"/>
      <c r="E753" s="65"/>
      <c r="F753" s="65"/>
      <c r="G753" s="65"/>
      <c r="H753" s="65"/>
      <c r="I753" s="65"/>
      <c r="J753" s="108"/>
      <c r="K753" s="108"/>
      <c r="L753" s="103"/>
      <c r="M753" s="111"/>
      <c r="N753" s="65"/>
      <c r="O753" s="65"/>
      <c r="P753" s="65"/>
      <c r="Q753" s="65"/>
      <c r="R753" s="65"/>
    </row>
    <row r="754">
      <c r="A754" s="61"/>
      <c r="B754" s="61"/>
      <c r="C754" s="61"/>
      <c r="D754" s="61"/>
      <c r="E754" s="61"/>
      <c r="F754" s="61"/>
      <c r="G754" s="61"/>
      <c r="H754" s="61"/>
      <c r="I754" s="61"/>
      <c r="J754" s="107"/>
      <c r="K754" s="107"/>
      <c r="L754" s="100"/>
      <c r="M754" s="110"/>
      <c r="N754" s="61"/>
      <c r="O754" s="61"/>
      <c r="P754" s="61"/>
      <c r="Q754" s="61"/>
      <c r="R754" s="61"/>
    </row>
    <row r="755">
      <c r="A755" s="65"/>
      <c r="B755" s="65"/>
      <c r="C755" s="65"/>
      <c r="D755" s="65"/>
      <c r="E755" s="65"/>
      <c r="F755" s="65"/>
      <c r="G755" s="65"/>
      <c r="H755" s="65"/>
      <c r="I755" s="65"/>
      <c r="J755" s="108"/>
      <c r="K755" s="108"/>
      <c r="L755" s="103"/>
      <c r="M755" s="111"/>
      <c r="N755" s="65"/>
      <c r="O755" s="65"/>
      <c r="P755" s="65"/>
      <c r="Q755" s="65"/>
      <c r="R755" s="65"/>
    </row>
    <row r="756">
      <c r="A756" s="61"/>
      <c r="B756" s="61"/>
      <c r="C756" s="61"/>
      <c r="D756" s="61"/>
      <c r="E756" s="61"/>
      <c r="F756" s="61"/>
      <c r="G756" s="61"/>
      <c r="H756" s="61"/>
      <c r="I756" s="61"/>
      <c r="J756" s="107"/>
      <c r="K756" s="107"/>
      <c r="L756" s="100"/>
      <c r="M756" s="110"/>
      <c r="N756" s="61"/>
      <c r="O756" s="61"/>
      <c r="P756" s="61"/>
      <c r="Q756" s="61"/>
      <c r="R756" s="61"/>
    </row>
    <row r="757">
      <c r="A757" s="65"/>
      <c r="B757" s="65"/>
      <c r="C757" s="65"/>
      <c r="D757" s="65"/>
      <c r="E757" s="65"/>
      <c r="F757" s="65"/>
      <c r="G757" s="65"/>
      <c r="H757" s="65"/>
      <c r="I757" s="65"/>
      <c r="J757" s="108"/>
      <c r="K757" s="108"/>
      <c r="L757" s="103"/>
      <c r="M757" s="111"/>
      <c r="N757" s="65"/>
      <c r="O757" s="65"/>
      <c r="P757" s="65"/>
      <c r="Q757" s="65"/>
      <c r="R757" s="65"/>
    </row>
    <row r="758">
      <c r="A758" s="61"/>
      <c r="B758" s="61"/>
      <c r="C758" s="61"/>
      <c r="D758" s="61"/>
      <c r="E758" s="61"/>
      <c r="F758" s="61"/>
      <c r="G758" s="61"/>
      <c r="H758" s="61"/>
      <c r="I758" s="61"/>
      <c r="J758" s="107"/>
      <c r="K758" s="107"/>
      <c r="L758" s="100"/>
      <c r="M758" s="110"/>
      <c r="N758" s="61"/>
      <c r="O758" s="61"/>
      <c r="P758" s="61"/>
      <c r="Q758" s="61"/>
      <c r="R758" s="61"/>
    </row>
    <row r="759">
      <c r="A759" s="65"/>
      <c r="B759" s="65"/>
      <c r="C759" s="65"/>
      <c r="D759" s="65"/>
      <c r="E759" s="65"/>
      <c r="F759" s="65"/>
      <c r="G759" s="65"/>
      <c r="H759" s="65"/>
      <c r="I759" s="65"/>
      <c r="J759" s="108"/>
      <c r="K759" s="108"/>
      <c r="L759" s="103"/>
      <c r="M759" s="111"/>
      <c r="N759" s="65"/>
      <c r="O759" s="65"/>
      <c r="P759" s="65"/>
      <c r="Q759" s="65"/>
      <c r="R759" s="65"/>
    </row>
    <row r="760">
      <c r="A760" s="61"/>
      <c r="B760" s="61"/>
      <c r="C760" s="61"/>
      <c r="D760" s="61"/>
      <c r="E760" s="61"/>
      <c r="F760" s="61"/>
      <c r="G760" s="61"/>
      <c r="H760" s="61"/>
      <c r="I760" s="61"/>
      <c r="J760" s="107"/>
      <c r="K760" s="107"/>
      <c r="L760" s="100"/>
      <c r="M760" s="110"/>
      <c r="N760" s="61"/>
      <c r="O760" s="61"/>
      <c r="P760" s="61"/>
      <c r="Q760" s="61"/>
      <c r="R760" s="61"/>
    </row>
    <row r="761">
      <c r="A761" s="65"/>
      <c r="B761" s="65"/>
      <c r="C761" s="65"/>
      <c r="D761" s="65"/>
      <c r="E761" s="65"/>
      <c r="F761" s="65"/>
      <c r="G761" s="65"/>
      <c r="H761" s="65"/>
      <c r="I761" s="65"/>
      <c r="J761" s="108"/>
      <c r="K761" s="108"/>
      <c r="L761" s="103"/>
      <c r="M761" s="111"/>
      <c r="N761" s="65"/>
      <c r="O761" s="65"/>
      <c r="P761" s="65"/>
      <c r="Q761" s="65"/>
      <c r="R761" s="65"/>
    </row>
    <row r="762">
      <c r="A762" s="61"/>
      <c r="B762" s="61"/>
      <c r="C762" s="61"/>
      <c r="D762" s="61"/>
      <c r="E762" s="61"/>
      <c r="F762" s="61"/>
      <c r="G762" s="61"/>
      <c r="H762" s="61"/>
      <c r="I762" s="61"/>
      <c r="J762" s="107"/>
      <c r="K762" s="107"/>
      <c r="L762" s="100"/>
      <c r="M762" s="110"/>
      <c r="N762" s="61"/>
      <c r="O762" s="61"/>
      <c r="P762" s="61"/>
      <c r="Q762" s="61"/>
      <c r="R762" s="61"/>
    </row>
    <row r="763">
      <c r="A763" s="65"/>
      <c r="B763" s="65"/>
      <c r="C763" s="65"/>
      <c r="D763" s="65"/>
      <c r="E763" s="65"/>
      <c r="F763" s="65"/>
      <c r="G763" s="65"/>
      <c r="H763" s="65"/>
      <c r="I763" s="65"/>
      <c r="J763" s="108"/>
      <c r="K763" s="108"/>
      <c r="L763" s="103"/>
      <c r="M763" s="111"/>
      <c r="N763" s="65"/>
      <c r="O763" s="65"/>
      <c r="P763" s="65"/>
      <c r="Q763" s="65"/>
      <c r="R763" s="65"/>
    </row>
    <row r="764">
      <c r="A764" s="61"/>
      <c r="B764" s="61"/>
      <c r="C764" s="61"/>
      <c r="D764" s="61"/>
      <c r="E764" s="61"/>
      <c r="F764" s="61"/>
      <c r="G764" s="61"/>
      <c r="H764" s="61"/>
      <c r="I764" s="61"/>
      <c r="J764" s="107"/>
      <c r="K764" s="107"/>
      <c r="L764" s="100"/>
      <c r="M764" s="110"/>
      <c r="N764" s="61"/>
      <c r="O764" s="61"/>
      <c r="P764" s="61"/>
      <c r="Q764" s="61"/>
      <c r="R764" s="61"/>
    </row>
    <row r="765">
      <c r="A765" s="65"/>
      <c r="B765" s="65"/>
      <c r="C765" s="65"/>
      <c r="D765" s="65"/>
      <c r="E765" s="65"/>
      <c r="F765" s="65"/>
      <c r="G765" s="65"/>
      <c r="H765" s="65"/>
      <c r="I765" s="65"/>
      <c r="J765" s="108"/>
      <c r="K765" s="108"/>
      <c r="L765" s="103"/>
      <c r="M765" s="111"/>
      <c r="N765" s="65"/>
      <c r="O765" s="65"/>
      <c r="P765" s="65"/>
      <c r="Q765" s="65"/>
      <c r="R765" s="65"/>
    </row>
    <row r="766">
      <c r="A766" s="61"/>
      <c r="B766" s="61"/>
      <c r="C766" s="61"/>
      <c r="D766" s="61"/>
      <c r="E766" s="61"/>
      <c r="F766" s="61"/>
      <c r="G766" s="61"/>
      <c r="H766" s="61"/>
      <c r="I766" s="61"/>
      <c r="J766" s="107"/>
      <c r="K766" s="107"/>
      <c r="L766" s="100"/>
      <c r="M766" s="110"/>
      <c r="N766" s="61"/>
      <c r="O766" s="61"/>
      <c r="P766" s="61"/>
      <c r="Q766" s="61"/>
      <c r="R766" s="61"/>
    </row>
    <row r="767">
      <c r="A767" s="65"/>
      <c r="B767" s="65"/>
      <c r="C767" s="65"/>
      <c r="D767" s="65"/>
      <c r="E767" s="65"/>
      <c r="F767" s="65"/>
      <c r="G767" s="65"/>
      <c r="H767" s="65"/>
      <c r="I767" s="65"/>
      <c r="J767" s="108"/>
      <c r="K767" s="108"/>
      <c r="L767" s="103"/>
      <c r="M767" s="111"/>
      <c r="N767" s="65"/>
      <c r="O767" s="65"/>
      <c r="P767" s="65"/>
      <c r="Q767" s="65"/>
      <c r="R767" s="65"/>
    </row>
    <row r="768">
      <c r="A768" s="61"/>
      <c r="B768" s="61"/>
      <c r="C768" s="61"/>
      <c r="D768" s="61"/>
      <c r="E768" s="61"/>
      <c r="F768" s="61"/>
      <c r="G768" s="61"/>
      <c r="H768" s="61"/>
      <c r="I768" s="61"/>
      <c r="J768" s="107"/>
      <c r="K768" s="107"/>
      <c r="L768" s="100"/>
      <c r="M768" s="110"/>
      <c r="N768" s="61"/>
      <c r="O768" s="61"/>
      <c r="P768" s="61"/>
      <c r="Q768" s="61"/>
      <c r="R768" s="61"/>
    </row>
    <row r="769">
      <c r="A769" s="65"/>
      <c r="B769" s="65"/>
      <c r="C769" s="65"/>
      <c r="D769" s="65"/>
      <c r="E769" s="65"/>
      <c r="F769" s="65"/>
      <c r="G769" s="65"/>
      <c r="H769" s="65"/>
      <c r="I769" s="65"/>
      <c r="J769" s="108"/>
      <c r="K769" s="108"/>
      <c r="L769" s="103"/>
      <c r="M769" s="111"/>
      <c r="N769" s="65"/>
      <c r="O769" s="65"/>
      <c r="P769" s="65"/>
      <c r="Q769" s="65"/>
      <c r="R769" s="65"/>
    </row>
    <row r="770">
      <c r="A770" s="61"/>
      <c r="B770" s="61"/>
      <c r="C770" s="61"/>
      <c r="D770" s="61"/>
      <c r="E770" s="61"/>
      <c r="F770" s="61"/>
      <c r="G770" s="61"/>
      <c r="H770" s="61"/>
      <c r="I770" s="61"/>
      <c r="J770" s="107"/>
      <c r="K770" s="107"/>
      <c r="L770" s="100"/>
      <c r="M770" s="110"/>
      <c r="N770" s="61"/>
      <c r="O770" s="61"/>
      <c r="P770" s="61"/>
      <c r="Q770" s="61"/>
      <c r="R770" s="61"/>
    </row>
    <row r="771">
      <c r="A771" s="65"/>
      <c r="B771" s="65"/>
      <c r="C771" s="65"/>
      <c r="D771" s="65"/>
      <c r="E771" s="65"/>
      <c r="F771" s="65"/>
      <c r="G771" s="65"/>
      <c r="H771" s="65"/>
      <c r="I771" s="65"/>
      <c r="J771" s="108"/>
      <c r="K771" s="108"/>
      <c r="L771" s="103"/>
      <c r="M771" s="111"/>
      <c r="N771" s="65"/>
      <c r="O771" s="65"/>
      <c r="P771" s="65"/>
      <c r="Q771" s="65"/>
      <c r="R771" s="65"/>
    </row>
    <row r="772">
      <c r="A772" s="61"/>
      <c r="B772" s="61"/>
      <c r="C772" s="61"/>
      <c r="D772" s="61"/>
      <c r="E772" s="61"/>
      <c r="F772" s="61"/>
      <c r="G772" s="61"/>
      <c r="H772" s="61"/>
      <c r="I772" s="61"/>
      <c r="J772" s="107"/>
      <c r="K772" s="107"/>
      <c r="L772" s="100"/>
      <c r="M772" s="110"/>
      <c r="N772" s="61"/>
      <c r="O772" s="61"/>
      <c r="P772" s="61"/>
      <c r="Q772" s="61"/>
      <c r="R772" s="61"/>
    </row>
    <row r="773">
      <c r="A773" s="65"/>
      <c r="B773" s="65"/>
      <c r="C773" s="65"/>
      <c r="D773" s="65"/>
      <c r="E773" s="65"/>
      <c r="F773" s="65"/>
      <c r="G773" s="65"/>
      <c r="H773" s="65"/>
      <c r="I773" s="65"/>
      <c r="J773" s="108"/>
      <c r="K773" s="108"/>
      <c r="L773" s="103"/>
      <c r="M773" s="111"/>
      <c r="N773" s="65"/>
      <c r="O773" s="65"/>
      <c r="P773" s="65"/>
      <c r="Q773" s="65"/>
      <c r="R773" s="65"/>
    </row>
    <row r="774">
      <c r="A774" s="61"/>
      <c r="B774" s="61"/>
      <c r="C774" s="61"/>
      <c r="D774" s="61"/>
      <c r="E774" s="61"/>
      <c r="F774" s="61"/>
      <c r="G774" s="61"/>
      <c r="H774" s="61"/>
      <c r="I774" s="61"/>
      <c r="J774" s="107"/>
      <c r="K774" s="107"/>
      <c r="L774" s="100"/>
      <c r="M774" s="110"/>
      <c r="N774" s="61"/>
      <c r="O774" s="61"/>
      <c r="P774" s="61"/>
      <c r="Q774" s="61"/>
      <c r="R774" s="61"/>
    </row>
    <row r="775">
      <c r="A775" s="65"/>
      <c r="B775" s="65"/>
      <c r="C775" s="65"/>
      <c r="D775" s="65"/>
      <c r="E775" s="65"/>
      <c r="F775" s="65"/>
      <c r="G775" s="65"/>
      <c r="H775" s="65"/>
      <c r="I775" s="65"/>
      <c r="J775" s="108"/>
      <c r="K775" s="108"/>
      <c r="L775" s="103"/>
      <c r="M775" s="111"/>
      <c r="N775" s="65"/>
      <c r="O775" s="65"/>
      <c r="P775" s="65"/>
      <c r="Q775" s="65"/>
      <c r="R775" s="65"/>
    </row>
    <row r="776">
      <c r="A776" s="61"/>
      <c r="B776" s="61"/>
      <c r="C776" s="61"/>
      <c r="D776" s="61"/>
      <c r="E776" s="61"/>
      <c r="F776" s="61"/>
      <c r="G776" s="61"/>
      <c r="H776" s="61"/>
      <c r="I776" s="61"/>
      <c r="J776" s="107"/>
      <c r="K776" s="107"/>
      <c r="L776" s="100"/>
      <c r="M776" s="110"/>
      <c r="N776" s="61"/>
      <c r="O776" s="61"/>
      <c r="P776" s="61"/>
      <c r="Q776" s="61"/>
      <c r="R776" s="61"/>
    </row>
    <row r="777">
      <c r="A777" s="65"/>
      <c r="B777" s="65"/>
      <c r="C777" s="65"/>
      <c r="D777" s="65"/>
      <c r="E777" s="65"/>
      <c r="F777" s="65"/>
      <c r="G777" s="65"/>
      <c r="H777" s="65"/>
      <c r="I777" s="65"/>
      <c r="J777" s="108"/>
      <c r="K777" s="108"/>
      <c r="L777" s="103"/>
      <c r="M777" s="111"/>
      <c r="N777" s="65"/>
      <c r="O777" s="65"/>
      <c r="P777" s="65"/>
      <c r="Q777" s="65"/>
      <c r="R777" s="65"/>
    </row>
    <row r="778">
      <c r="A778" s="61"/>
      <c r="B778" s="61"/>
      <c r="C778" s="61"/>
      <c r="D778" s="61"/>
      <c r="E778" s="61"/>
      <c r="F778" s="61"/>
      <c r="G778" s="61"/>
      <c r="H778" s="61"/>
      <c r="I778" s="61"/>
      <c r="J778" s="107"/>
      <c r="K778" s="107"/>
      <c r="L778" s="100"/>
      <c r="M778" s="110"/>
      <c r="N778" s="61"/>
      <c r="O778" s="61"/>
      <c r="P778" s="61"/>
      <c r="Q778" s="61"/>
      <c r="R778" s="61"/>
    </row>
    <row r="779">
      <c r="A779" s="65"/>
      <c r="B779" s="65"/>
      <c r="C779" s="65"/>
      <c r="D779" s="65"/>
      <c r="E779" s="65"/>
      <c r="F779" s="65"/>
      <c r="G779" s="65"/>
      <c r="H779" s="65"/>
      <c r="I779" s="65"/>
      <c r="J779" s="108"/>
      <c r="K779" s="108"/>
      <c r="L779" s="103"/>
      <c r="M779" s="111"/>
      <c r="N779" s="65"/>
      <c r="O779" s="65"/>
      <c r="P779" s="65"/>
      <c r="Q779" s="65"/>
      <c r="R779" s="65"/>
    </row>
    <row r="780">
      <c r="A780" s="61"/>
      <c r="B780" s="61"/>
      <c r="C780" s="61"/>
      <c r="D780" s="61"/>
      <c r="E780" s="61"/>
      <c r="F780" s="61"/>
      <c r="G780" s="61"/>
      <c r="H780" s="61"/>
      <c r="I780" s="61"/>
      <c r="J780" s="107"/>
      <c r="K780" s="107"/>
      <c r="L780" s="100"/>
      <c r="M780" s="110"/>
      <c r="N780" s="61"/>
      <c r="O780" s="61"/>
      <c r="P780" s="61"/>
      <c r="Q780" s="61"/>
      <c r="R780" s="61"/>
    </row>
    <row r="781">
      <c r="A781" s="65"/>
      <c r="B781" s="65"/>
      <c r="C781" s="65"/>
      <c r="D781" s="65"/>
      <c r="E781" s="65"/>
      <c r="F781" s="65"/>
      <c r="G781" s="65"/>
      <c r="H781" s="65"/>
      <c r="I781" s="65"/>
      <c r="J781" s="108"/>
      <c r="K781" s="108"/>
      <c r="L781" s="103"/>
      <c r="M781" s="111"/>
      <c r="N781" s="65"/>
      <c r="O781" s="65"/>
      <c r="P781" s="65"/>
      <c r="Q781" s="65"/>
      <c r="R781" s="65"/>
    </row>
    <row r="782">
      <c r="A782" s="61"/>
      <c r="B782" s="61"/>
      <c r="C782" s="61"/>
      <c r="D782" s="61"/>
      <c r="E782" s="61"/>
      <c r="F782" s="61"/>
      <c r="G782" s="61"/>
      <c r="H782" s="61"/>
      <c r="I782" s="61"/>
      <c r="J782" s="107"/>
      <c r="K782" s="107"/>
      <c r="L782" s="100"/>
      <c r="M782" s="110"/>
      <c r="N782" s="61"/>
      <c r="O782" s="61"/>
      <c r="P782" s="61"/>
      <c r="Q782" s="61"/>
      <c r="R782" s="61"/>
    </row>
    <row r="783">
      <c r="A783" s="65"/>
      <c r="B783" s="65"/>
      <c r="C783" s="65"/>
      <c r="D783" s="65"/>
      <c r="E783" s="65"/>
      <c r="F783" s="65"/>
      <c r="G783" s="65"/>
      <c r="H783" s="65"/>
      <c r="I783" s="65"/>
      <c r="J783" s="108"/>
      <c r="K783" s="108"/>
      <c r="L783" s="103"/>
      <c r="M783" s="111"/>
      <c r="N783" s="65"/>
      <c r="O783" s="65"/>
      <c r="P783" s="65"/>
      <c r="Q783" s="65"/>
      <c r="R783" s="65"/>
    </row>
    <row r="784">
      <c r="A784" s="61"/>
      <c r="B784" s="61"/>
      <c r="C784" s="61"/>
      <c r="D784" s="61"/>
      <c r="E784" s="61"/>
      <c r="F784" s="61"/>
      <c r="G784" s="61"/>
      <c r="H784" s="61"/>
      <c r="I784" s="61"/>
      <c r="J784" s="107"/>
      <c r="K784" s="107"/>
      <c r="L784" s="100"/>
      <c r="M784" s="110"/>
      <c r="N784" s="61"/>
      <c r="O784" s="61"/>
      <c r="P784" s="61"/>
      <c r="Q784" s="61"/>
      <c r="R784" s="61"/>
    </row>
    <row r="785">
      <c r="A785" s="65"/>
      <c r="B785" s="65"/>
      <c r="C785" s="65"/>
      <c r="D785" s="65"/>
      <c r="E785" s="65"/>
      <c r="F785" s="65"/>
      <c r="G785" s="65"/>
      <c r="H785" s="65"/>
      <c r="I785" s="65"/>
      <c r="J785" s="108"/>
      <c r="K785" s="108"/>
      <c r="L785" s="103"/>
      <c r="M785" s="111"/>
      <c r="N785" s="65"/>
      <c r="O785" s="65"/>
      <c r="P785" s="65"/>
      <c r="Q785" s="65"/>
      <c r="R785" s="65"/>
    </row>
    <row r="786">
      <c r="A786" s="61"/>
      <c r="B786" s="61"/>
      <c r="C786" s="61"/>
      <c r="D786" s="61"/>
      <c r="E786" s="61"/>
      <c r="F786" s="61"/>
      <c r="G786" s="61"/>
      <c r="H786" s="61"/>
      <c r="I786" s="61"/>
      <c r="J786" s="107"/>
      <c r="K786" s="107"/>
      <c r="L786" s="100"/>
      <c r="M786" s="110"/>
      <c r="N786" s="61"/>
      <c r="O786" s="61"/>
      <c r="P786" s="61"/>
      <c r="Q786" s="61"/>
      <c r="R786" s="61"/>
    </row>
    <row r="787">
      <c r="A787" s="65"/>
      <c r="B787" s="65"/>
      <c r="C787" s="65"/>
      <c r="D787" s="65"/>
      <c r="E787" s="65"/>
      <c r="F787" s="65"/>
      <c r="G787" s="65"/>
      <c r="H787" s="65"/>
      <c r="I787" s="65"/>
      <c r="J787" s="108"/>
      <c r="K787" s="108"/>
      <c r="L787" s="103"/>
      <c r="M787" s="111"/>
      <c r="N787" s="65"/>
      <c r="O787" s="65"/>
      <c r="P787" s="65"/>
      <c r="Q787" s="65"/>
      <c r="R787" s="65"/>
    </row>
    <row r="788">
      <c r="A788" s="61"/>
      <c r="B788" s="61"/>
      <c r="C788" s="61"/>
      <c r="D788" s="61"/>
      <c r="E788" s="61"/>
      <c r="F788" s="61"/>
      <c r="G788" s="61"/>
      <c r="H788" s="61"/>
      <c r="I788" s="61"/>
      <c r="J788" s="107"/>
      <c r="K788" s="107"/>
      <c r="L788" s="100"/>
      <c r="M788" s="110"/>
      <c r="N788" s="61"/>
      <c r="O788" s="61"/>
      <c r="P788" s="61"/>
      <c r="Q788" s="61"/>
      <c r="R788" s="61"/>
    </row>
    <row r="789">
      <c r="A789" s="65"/>
      <c r="B789" s="65"/>
      <c r="C789" s="65"/>
      <c r="D789" s="65"/>
      <c r="E789" s="65"/>
      <c r="F789" s="65"/>
      <c r="G789" s="65"/>
      <c r="H789" s="65"/>
      <c r="I789" s="65"/>
      <c r="J789" s="108"/>
      <c r="K789" s="108"/>
      <c r="L789" s="103"/>
      <c r="M789" s="111"/>
      <c r="N789" s="65"/>
      <c r="O789" s="65"/>
      <c r="P789" s="65"/>
      <c r="Q789" s="65"/>
      <c r="R789" s="65"/>
    </row>
    <row r="790">
      <c r="A790" s="61"/>
      <c r="B790" s="61"/>
      <c r="C790" s="61"/>
      <c r="D790" s="61"/>
      <c r="E790" s="61"/>
      <c r="F790" s="61"/>
      <c r="G790" s="61"/>
      <c r="H790" s="61"/>
      <c r="I790" s="61"/>
      <c r="J790" s="107"/>
      <c r="K790" s="107"/>
      <c r="L790" s="100"/>
      <c r="M790" s="110"/>
      <c r="N790" s="61"/>
      <c r="O790" s="61"/>
      <c r="P790" s="61"/>
      <c r="Q790" s="61"/>
      <c r="R790" s="61"/>
    </row>
    <row r="791">
      <c r="A791" s="65"/>
      <c r="B791" s="65"/>
      <c r="C791" s="65"/>
      <c r="D791" s="65"/>
      <c r="E791" s="65"/>
      <c r="F791" s="65"/>
      <c r="G791" s="65"/>
      <c r="H791" s="65"/>
      <c r="I791" s="65"/>
      <c r="J791" s="108"/>
      <c r="K791" s="108"/>
      <c r="L791" s="103"/>
      <c r="M791" s="111"/>
      <c r="N791" s="65"/>
      <c r="O791" s="65"/>
      <c r="P791" s="65"/>
      <c r="Q791" s="65"/>
      <c r="R791" s="65"/>
    </row>
    <row r="792">
      <c r="A792" s="61"/>
      <c r="B792" s="61"/>
      <c r="C792" s="61"/>
      <c r="D792" s="61"/>
      <c r="E792" s="61"/>
      <c r="F792" s="61"/>
      <c r="G792" s="61"/>
      <c r="H792" s="61"/>
      <c r="I792" s="61"/>
      <c r="J792" s="107"/>
      <c r="K792" s="107"/>
      <c r="L792" s="100"/>
      <c r="M792" s="110"/>
      <c r="N792" s="61"/>
      <c r="O792" s="61"/>
      <c r="P792" s="61"/>
      <c r="Q792" s="61"/>
      <c r="R792" s="61"/>
    </row>
    <row r="793">
      <c r="A793" s="65"/>
      <c r="B793" s="65"/>
      <c r="C793" s="65"/>
      <c r="D793" s="65"/>
      <c r="E793" s="65"/>
      <c r="F793" s="65"/>
      <c r="G793" s="65"/>
      <c r="H793" s="65"/>
      <c r="I793" s="65"/>
      <c r="J793" s="108"/>
      <c r="K793" s="108"/>
      <c r="L793" s="103"/>
      <c r="M793" s="111"/>
      <c r="N793" s="65"/>
      <c r="O793" s="65"/>
      <c r="P793" s="65"/>
      <c r="Q793" s="65"/>
      <c r="R793" s="65"/>
    </row>
    <row r="794">
      <c r="A794" s="61"/>
      <c r="B794" s="61"/>
      <c r="C794" s="61"/>
      <c r="D794" s="61"/>
      <c r="E794" s="61"/>
      <c r="F794" s="61"/>
      <c r="G794" s="61"/>
      <c r="H794" s="61"/>
      <c r="I794" s="61"/>
      <c r="J794" s="107"/>
      <c r="K794" s="107"/>
      <c r="L794" s="100"/>
      <c r="M794" s="110"/>
      <c r="N794" s="61"/>
      <c r="O794" s="61"/>
      <c r="P794" s="61"/>
      <c r="Q794" s="61"/>
      <c r="R794" s="61"/>
    </row>
    <row r="795">
      <c r="A795" s="65"/>
      <c r="B795" s="65"/>
      <c r="C795" s="65"/>
      <c r="D795" s="65"/>
      <c r="E795" s="65"/>
      <c r="F795" s="65"/>
      <c r="G795" s="65"/>
      <c r="H795" s="65"/>
      <c r="I795" s="65"/>
      <c r="J795" s="108"/>
      <c r="K795" s="108"/>
      <c r="L795" s="103"/>
      <c r="M795" s="111"/>
      <c r="N795" s="65"/>
      <c r="O795" s="65"/>
      <c r="P795" s="65"/>
      <c r="Q795" s="65"/>
      <c r="R795" s="65"/>
    </row>
    <row r="796">
      <c r="A796" s="61"/>
      <c r="B796" s="61"/>
      <c r="C796" s="61"/>
      <c r="D796" s="61"/>
      <c r="E796" s="61"/>
      <c r="F796" s="61"/>
      <c r="G796" s="61"/>
      <c r="H796" s="61"/>
      <c r="I796" s="61"/>
      <c r="J796" s="107"/>
      <c r="K796" s="107"/>
      <c r="L796" s="100"/>
      <c r="M796" s="110"/>
      <c r="N796" s="61"/>
      <c r="O796" s="61"/>
      <c r="P796" s="61"/>
      <c r="Q796" s="61"/>
      <c r="R796" s="61"/>
    </row>
    <row r="797">
      <c r="A797" s="65"/>
      <c r="B797" s="65"/>
      <c r="C797" s="65"/>
      <c r="D797" s="65"/>
      <c r="E797" s="65"/>
      <c r="F797" s="65"/>
      <c r="G797" s="65"/>
      <c r="H797" s="65"/>
      <c r="I797" s="65"/>
      <c r="J797" s="108"/>
      <c r="K797" s="108"/>
      <c r="L797" s="103"/>
      <c r="M797" s="111"/>
      <c r="N797" s="65"/>
      <c r="O797" s="65"/>
      <c r="P797" s="65"/>
      <c r="Q797" s="65"/>
      <c r="R797" s="65"/>
    </row>
    <row r="798">
      <c r="A798" s="61"/>
      <c r="B798" s="61"/>
      <c r="C798" s="61"/>
      <c r="D798" s="61"/>
      <c r="E798" s="61"/>
      <c r="F798" s="61"/>
      <c r="G798" s="61"/>
      <c r="H798" s="61"/>
      <c r="I798" s="61"/>
      <c r="J798" s="107"/>
      <c r="K798" s="107"/>
      <c r="L798" s="100"/>
      <c r="M798" s="110"/>
      <c r="N798" s="61"/>
      <c r="O798" s="61"/>
      <c r="P798" s="61"/>
      <c r="Q798" s="61"/>
      <c r="R798" s="61"/>
    </row>
    <row r="799">
      <c r="A799" s="65"/>
      <c r="B799" s="65"/>
      <c r="C799" s="65"/>
      <c r="D799" s="65"/>
      <c r="E799" s="65"/>
      <c r="F799" s="65"/>
      <c r="G799" s="65"/>
      <c r="H799" s="65"/>
      <c r="I799" s="65"/>
      <c r="J799" s="108"/>
      <c r="K799" s="108"/>
      <c r="L799" s="103"/>
      <c r="M799" s="111"/>
      <c r="N799" s="65"/>
      <c r="O799" s="65"/>
      <c r="P799" s="65"/>
      <c r="Q799" s="65"/>
      <c r="R799" s="65"/>
    </row>
    <row r="800">
      <c r="A800" s="61"/>
      <c r="B800" s="61"/>
      <c r="C800" s="61"/>
      <c r="D800" s="61"/>
      <c r="E800" s="61"/>
      <c r="F800" s="61"/>
      <c r="G800" s="61"/>
      <c r="H800" s="61"/>
      <c r="I800" s="61"/>
      <c r="J800" s="107"/>
      <c r="K800" s="107"/>
      <c r="L800" s="100"/>
      <c r="M800" s="110"/>
      <c r="N800" s="61"/>
      <c r="O800" s="61"/>
      <c r="P800" s="61"/>
      <c r="Q800" s="61"/>
      <c r="R800" s="61"/>
    </row>
    <row r="801">
      <c r="A801" s="65"/>
      <c r="B801" s="65"/>
      <c r="C801" s="65"/>
      <c r="D801" s="65"/>
      <c r="E801" s="65"/>
      <c r="F801" s="65"/>
      <c r="G801" s="65"/>
      <c r="H801" s="65"/>
      <c r="I801" s="65"/>
      <c r="J801" s="108"/>
      <c r="K801" s="108"/>
      <c r="L801" s="103"/>
      <c r="M801" s="111"/>
      <c r="N801" s="65"/>
      <c r="O801" s="65"/>
      <c r="P801" s="65"/>
      <c r="Q801" s="65"/>
      <c r="R801" s="65"/>
    </row>
    <row r="802">
      <c r="A802" s="61"/>
      <c r="B802" s="61"/>
      <c r="C802" s="61"/>
      <c r="D802" s="61"/>
      <c r="E802" s="61"/>
      <c r="F802" s="61"/>
      <c r="G802" s="61"/>
      <c r="H802" s="61"/>
      <c r="I802" s="61"/>
      <c r="J802" s="107"/>
      <c r="K802" s="107"/>
      <c r="L802" s="100"/>
      <c r="M802" s="110"/>
      <c r="N802" s="61"/>
      <c r="O802" s="61"/>
      <c r="P802" s="61"/>
      <c r="Q802" s="61"/>
      <c r="R802" s="61"/>
    </row>
    <row r="803">
      <c r="A803" s="65"/>
      <c r="B803" s="65"/>
      <c r="C803" s="65"/>
      <c r="D803" s="65"/>
      <c r="E803" s="65"/>
      <c r="F803" s="65"/>
      <c r="G803" s="65"/>
      <c r="H803" s="65"/>
      <c r="I803" s="65"/>
      <c r="J803" s="108"/>
      <c r="K803" s="108"/>
      <c r="L803" s="103"/>
      <c r="M803" s="111"/>
      <c r="N803" s="65"/>
      <c r="O803" s="65"/>
      <c r="P803" s="65"/>
      <c r="Q803" s="65"/>
      <c r="R803" s="65"/>
    </row>
    <row r="804">
      <c r="A804" s="61"/>
      <c r="B804" s="61"/>
      <c r="C804" s="61"/>
      <c r="D804" s="61"/>
      <c r="E804" s="61"/>
      <c r="F804" s="61"/>
      <c r="G804" s="61"/>
      <c r="H804" s="61"/>
      <c r="I804" s="61"/>
      <c r="J804" s="107"/>
      <c r="K804" s="107"/>
      <c r="L804" s="100"/>
      <c r="M804" s="110"/>
      <c r="N804" s="61"/>
      <c r="O804" s="61"/>
      <c r="P804" s="61"/>
      <c r="Q804" s="61"/>
      <c r="R804" s="61"/>
    </row>
    <row r="805">
      <c r="A805" s="65"/>
      <c r="B805" s="65"/>
      <c r="C805" s="65"/>
      <c r="D805" s="65"/>
      <c r="E805" s="65"/>
      <c r="F805" s="65"/>
      <c r="G805" s="65"/>
      <c r="H805" s="65"/>
      <c r="I805" s="65"/>
      <c r="J805" s="108"/>
      <c r="K805" s="108"/>
      <c r="L805" s="103"/>
      <c r="M805" s="111"/>
      <c r="N805" s="65"/>
      <c r="O805" s="65"/>
      <c r="P805" s="65"/>
      <c r="Q805" s="65"/>
      <c r="R805" s="65"/>
    </row>
    <row r="806">
      <c r="A806" s="61"/>
      <c r="B806" s="61"/>
      <c r="C806" s="61"/>
      <c r="D806" s="61"/>
      <c r="E806" s="61"/>
      <c r="F806" s="61"/>
      <c r="G806" s="61"/>
      <c r="H806" s="61"/>
      <c r="I806" s="61"/>
      <c r="J806" s="107"/>
      <c r="K806" s="107"/>
      <c r="L806" s="100"/>
      <c r="M806" s="110"/>
      <c r="N806" s="61"/>
      <c r="O806" s="61"/>
      <c r="P806" s="61"/>
      <c r="Q806" s="61"/>
      <c r="R806" s="61"/>
    </row>
    <row r="807">
      <c r="A807" s="65"/>
      <c r="B807" s="65"/>
      <c r="C807" s="65"/>
      <c r="D807" s="65"/>
      <c r="E807" s="65"/>
      <c r="F807" s="65"/>
      <c r="G807" s="65"/>
      <c r="H807" s="65"/>
      <c r="I807" s="65"/>
      <c r="J807" s="108"/>
      <c r="K807" s="108"/>
      <c r="L807" s="103"/>
      <c r="M807" s="111"/>
      <c r="N807" s="65"/>
      <c r="O807" s="65"/>
      <c r="P807" s="65"/>
      <c r="Q807" s="65"/>
      <c r="R807" s="65"/>
    </row>
    <row r="808">
      <c r="A808" s="61"/>
      <c r="B808" s="61"/>
      <c r="C808" s="61"/>
      <c r="D808" s="61"/>
      <c r="E808" s="61"/>
      <c r="F808" s="61"/>
      <c r="G808" s="61"/>
      <c r="H808" s="61"/>
      <c r="I808" s="61"/>
      <c r="J808" s="107"/>
      <c r="K808" s="107"/>
      <c r="L808" s="100"/>
      <c r="M808" s="110"/>
      <c r="N808" s="61"/>
      <c r="O808" s="61"/>
      <c r="P808" s="61"/>
      <c r="Q808" s="61"/>
      <c r="R808" s="61"/>
    </row>
    <row r="809">
      <c r="A809" s="65"/>
      <c r="B809" s="65"/>
      <c r="C809" s="65"/>
      <c r="D809" s="65"/>
      <c r="E809" s="65"/>
      <c r="F809" s="65"/>
      <c r="G809" s="65"/>
      <c r="H809" s="65"/>
      <c r="I809" s="65"/>
      <c r="J809" s="108"/>
      <c r="K809" s="108"/>
      <c r="L809" s="103"/>
      <c r="M809" s="111"/>
      <c r="N809" s="65"/>
      <c r="O809" s="65"/>
      <c r="P809" s="65"/>
      <c r="Q809" s="65"/>
      <c r="R809" s="65"/>
    </row>
    <row r="810">
      <c r="A810" s="61"/>
      <c r="B810" s="61"/>
      <c r="C810" s="61"/>
      <c r="D810" s="61"/>
      <c r="E810" s="61"/>
      <c r="F810" s="61"/>
      <c r="G810" s="61"/>
      <c r="H810" s="61"/>
      <c r="I810" s="61"/>
      <c r="J810" s="107"/>
      <c r="K810" s="107"/>
      <c r="L810" s="100"/>
      <c r="M810" s="110"/>
      <c r="N810" s="61"/>
      <c r="O810" s="61"/>
      <c r="P810" s="61"/>
      <c r="Q810" s="61"/>
      <c r="R810" s="61"/>
    </row>
    <row r="811">
      <c r="A811" s="65"/>
      <c r="B811" s="65"/>
      <c r="C811" s="65"/>
      <c r="D811" s="65"/>
      <c r="E811" s="65"/>
      <c r="F811" s="65"/>
      <c r="G811" s="65"/>
      <c r="H811" s="65"/>
      <c r="I811" s="65"/>
      <c r="J811" s="108"/>
      <c r="K811" s="108"/>
      <c r="L811" s="103"/>
      <c r="M811" s="111"/>
      <c r="N811" s="65"/>
      <c r="O811" s="65"/>
      <c r="P811" s="65"/>
      <c r="Q811" s="65"/>
      <c r="R811" s="65"/>
    </row>
    <row r="812">
      <c r="A812" s="61"/>
      <c r="B812" s="61"/>
      <c r="C812" s="61"/>
      <c r="D812" s="61"/>
      <c r="E812" s="61"/>
      <c r="F812" s="61"/>
      <c r="G812" s="61"/>
      <c r="H812" s="61"/>
      <c r="I812" s="61"/>
      <c r="J812" s="107"/>
      <c r="K812" s="107"/>
      <c r="L812" s="100"/>
      <c r="M812" s="110"/>
      <c r="N812" s="61"/>
      <c r="O812" s="61"/>
      <c r="P812" s="61"/>
      <c r="Q812" s="61"/>
      <c r="R812" s="61"/>
    </row>
    <row r="813">
      <c r="A813" s="65"/>
      <c r="B813" s="65"/>
      <c r="C813" s="65"/>
      <c r="D813" s="65"/>
      <c r="E813" s="65"/>
      <c r="F813" s="65"/>
      <c r="G813" s="65"/>
      <c r="H813" s="65"/>
      <c r="I813" s="65"/>
      <c r="J813" s="108"/>
      <c r="K813" s="108"/>
      <c r="L813" s="103"/>
      <c r="M813" s="111"/>
      <c r="N813" s="65"/>
      <c r="O813" s="65"/>
      <c r="P813" s="65"/>
      <c r="Q813" s="65"/>
      <c r="R813" s="65"/>
    </row>
    <row r="814">
      <c r="A814" s="61"/>
      <c r="B814" s="61"/>
      <c r="C814" s="61"/>
      <c r="D814" s="61"/>
      <c r="E814" s="61"/>
      <c r="F814" s="61"/>
      <c r="G814" s="61"/>
      <c r="H814" s="61"/>
      <c r="I814" s="61"/>
      <c r="J814" s="107"/>
      <c r="K814" s="107"/>
      <c r="L814" s="100"/>
      <c r="M814" s="110"/>
      <c r="N814" s="61"/>
      <c r="O814" s="61"/>
      <c r="P814" s="61"/>
      <c r="Q814" s="61"/>
      <c r="R814" s="61"/>
    </row>
    <row r="815">
      <c r="A815" s="65"/>
      <c r="B815" s="65"/>
      <c r="C815" s="65"/>
      <c r="D815" s="65"/>
      <c r="E815" s="65"/>
      <c r="F815" s="65"/>
      <c r="G815" s="65"/>
      <c r="H815" s="65"/>
      <c r="I815" s="65"/>
      <c r="J815" s="108"/>
      <c r="K815" s="108"/>
      <c r="L815" s="103"/>
      <c r="M815" s="111"/>
      <c r="N815" s="65"/>
      <c r="O815" s="65"/>
      <c r="P815" s="65"/>
      <c r="Q815" s="65"/>
      <c r="R815" s="65"/>
    </row>
    <row r="816">
      <c r="A816" s="61"/>
      <c r="B816" s="61"/>
      <c r="C816" s="61"/>
      <c r="D816" s="61"/>
      <c r="E816" s="61"/>
      <c r="F816" s="61"/>
      <c r="G816" s="61"/>
      <c r="H816" s="61"/>
      <c r="I816" s="61"/>
      <c r="J816" s="107"/>
      <c r="K816" s="107"/>
      <c r="L816" s="100"/>
      <c r="M816" s="110"/>
      <c r="N816" s="61"/>
      <c r="O816" s="61"/>
      <c r="P816" s="61"/>
      <c r="Q816" s="61"/>
      <c r="R816" s="61"/>
    </row>
    <row r="817">
      <c r="A817" s="65"/>
      <c r="B817" s="65"/>
      <c r="C817" s="65"/>
      <c r="D817" s="65"/>
      <c r="E817" s="65"/>
      <c r="F817" s="65"/>
      <c r="G817" s="65"/>
      <c r="H817" s="65"/>
      <c r="I817" s="65"/>
      <c r="J817" s="108"/>
      <c r="K817" s="108"/>
      <c r="L817" s="103"/>
      <c r="M817" s="111"/>
      <c r="N817" s="65"/>
      <c r="O817" s="65"/>
      <c r="P817" s="65"/>
      <c r="Q817" s="65"/>
      <c r="R817" s="65"/>
    </row>
    <row r="818">
      <c r="A818" s="61"/>
      <c r="B818" s="61"/>
      <c r="C818" s="61"/>
      <c r="D818" s="61"/>
      <c r="E818" s="61"/>
      <c r="F818" s="61"/>
      <c r="G818" s="61"/>
      <c r="H818" s="61"/>
      <c r="I818" s="61"/>
      <c r="J818" s="107"/>
      <c r="K818" s="107"/>
      <c r="L818" s="100"/>
      <c r="M818" s="110"/>
      <c r="N818" s="61"/>
      <c r="O818" s="61"/>
      <c r="P818" s="61"/>
      <c r="Q818" s="61"/>
      <c r="R818" s="61"/>
    </row>
    <row r="819">
      <c r="A819" s="65"/>
      <c r="B819" s="65"/>
      <c r="C819" s="65"/>
      <c r="D819" s="65"/>
      <c r="E819" s="65"/>
      <c r="F819" s="65"/>
      <c r="G819" s="65"/>
      <c r="H819" s="65"/>
      <c r="I819" s="65"/>
      <c r="J819" s="108"/>
      <c r="K819" s="108"/>
      <c r="L819" s="103"/>
      <c r="M819" s="111"/>
      <c r="N819" s="65"/>
      <c r="O819" s="65"/>
      <c r="P819" s="65"/>
      <c r="Q819" s="65"/>
      <c r="R819" s="65"/>
    </row>
    <row r="820">
      <c r="A820" s="61"/>
      <c r="B820" s="61"/>
      <c r="C820" s="61"/>
      <c r="D820" s="61"/>
      <c r="E820" s="61"/>
      <c r="F820" s="61"/>
      <c r="G820" s="61"/>
      <c r="H820" s="61"/>
      <c r="I820" s="61"/>
      <c r="J820" s="107"/>
      <c r="K820" s="107"/>
      <c r="L820" s="100"/>
      <c r="M820" s="110"/>
      <c r="N820" s="61"/>
      <c r="O820" s="61"/>
      <c r="P820" s="61"/>
      <c r="Q820" s="61"/>
      <c r="R820" s="61"/>
    </row>
    <row r="821">
      <c r="A821" s="65"/>
      <c r="B821" s="65"/>
      <c r="C821" s="65"/>
      <c r="D821" s="65"/>
      <c r="E821" s="65"/>
      <c r="F821" s="65"/>
      <c r="G821" s="65"/>
      <c r="H821" s="65"/>
      <c r="I821" s="65"/>
      <c r="J821" s="108"/>
      <c r="K821" s="108"/>
      <c r="L821" s="103"/>
      <c r="M821" s="111"/>
      <c r="N821" s="65"/>
      <c r="O821" s="65"/>
      <c r="P821" s="65"/>
      <c r="Q821" s="65"/>
      <c r="R821" s="65"/>
    </row>
    <row r="822">
      <c r="A822" s="61"/>
      <c r="B822" s="61"/>
      <c r="C822" s="61"/>
      <c r="D822" s="61"/>
      <c r="E822" s="61"/>
      <c r="F822" s="61"/>
      <c r="G822" s="61"/>
      <c r="H822" s="61"/>
      <c r="I822" s="61"/>
      <c r="J822" s="107"/>
      <c r="K822" s="107"/>
      <c r="L822" s="100"/>
      <c r="M822" s="110"/>
      <c r="N822" s="61"/>
      <c r="O822" s="61"/>
      <c r="P822" s="61"/>
      <c r="Q822" s="61"/>
      <c r="R822" s="61"/>
    </row>
    <row r="823">
      <c r="A823" s="65"/>
      <c r="B823" s="65"/>
      <c r="C823" s="65"/>
      <c r="D823" s="65"/>
      <c r="E823" s="65"/>
      <c r="F823" s="65"/>
      <c r="G823" s="65"/>
      <c r="H823" s="65"/>
      <c r="I823" s="65"/>
      <c r="J823" s="108"/>
      <c r="K823" s="108"/>
      <c r="L823" s="103"/>
      <c r="M823" s="111"/>
      <c r="N823" s="65"/>
      <c r="O823" s="65"/>
      <c r="P823" s="65"/>
      <c r="Q823" s="65"/>
      <c r="R823" s="65"/>
    </row>
    <row r="824">
      <c r="A824" s="61"/>
      <c r="B824" s="61"/>
      <c r="C824" s="61"/>
      <c r="D824" s="61"/>
      <c r="E824" s="61"/>
      <c r="F824" s="61"/>
      <c r="G824" s="61"/>
      <c r="H824" s="61"/>
      <c r="I824" s="61"/>
      <c r="J824" s="107"/>
      <c r="K824" s="107"/>
      <c r="L824" s="100"/>
      <c r="M824" s="110"/>
      <c r="N824" s="61"/>
      <c r="O824" s="61"/>
      <c r="P824" s="61"/>
      <c r="Q824" s="61"/>
      <c r="R824" s="61"/>
    </row>
    <row r="825">
      <c r="A825" s="65"/>
      <c r="B825" s="65"/>
      <c r="C825" s="65"/>
      <c r="D825" s="65"/>
      <c r="E825" s="65"/>
      <c r="F825" s="65"/>
      <c r="G825" s="65"/>
      <c r="H825" s="65"/>
      <c r="I825" s="65"/>
      <c r="J825" s="108"/>
      <c r="K825" s="108"/>
      <c r="L825" s="103"/>
      <c r="M825" s="111"/>
      <c r="N825" s="65"/>
      <c r="O825" s="65"/>
      <c r="P825" s="65"/>
      <c r="Q825" s="65"/>
      <c r="R825" s="65"/>
    </row>
    <row r="826">
      <c r="A826" s="61"/>
      <c r="B826" s="61"/>
      <c r="C826" s="61"/>
      <c r="D826" s="61"/>
      <c r="E826" s="61"/>
      <c r="F826" s="61"/>
      <c r="G826" s="61"/>
      <c r="H826" s="61"/>
      <c r="I826" s="61"/>
      <c r="J826" s="107"/>
      <c r="K826" s="107"/>
      <c r="L826" s="100"/>
      <c r="M826" s="110"/>
      <c r="N826" s="61"/>
      <c r="O826" s="61"/>
      <c r="P826" s="61"/>
      <c r="Q826" s="61"/>
      <c r="R826" s="61"/>
    </row>
    <row r="827">
      <c r="A827" s="65"/>
      <c r="B827" s="65"/>
      <c r="C827" s="65"/>
      <c r="D827" s="65"/>
      <c r="E827" s="65"/>
      <c r="F827" s="65"/>
      <c r="G827" s="65"/>
      <c r="H827" s="65"/>
      <c r="I827" s="65"/>
      <c r="J827" s="108"/>
      <c r="K827" s="108"/>
      <c r="L827" s="103"/>
      <c r="M827" s="111"/>
      <c r="N827" s="65"/>
      <c r="O827" s="65"/>
      <c r="P827" s="65"/>
      <c r="Q827" s="65"/>
      <c r="R827" s="65"/>
    </row>
    <row r="828">
      <c r="A828" s="61"/>
      <c r="B828" s="61"/>
      <c r="C828" s="61"/>
      <c r="D828" s="61"/>
      <c r="E828" s="61"/>
      <c r="F828" s="61"/>
      <c r="G828" s="61"/>
      <c r="H828" s="61"/>
      <c r="I828" s="61"/>
      <c r="J828" s="107"/>
      <c r="K828" s="107"/>
      <c r="L828" s="100"/>
      <c r="M828" s="110"/>
      <c r="N828" s="61"/>
      <c r="O828" s="61"/>
      <c r="P828" s="61"/>
      <c r="Q828" s="61"/>
      <c r="R828" s="61"/>
    </row>
    <row r="829">
      <c r="A829" s="65"/>
      <c r="B829" s="65"/>
      <c r="C829" s="65"/>
      <c r="D829" s="65"/>
      <c r="E829" s="65"/>
      <c r="F829" s="65"/>
      <c r="G829" s="65"/>
      <c r="H829" s="65"/>
      <c r="I829" s="65"/>
      <c r="J829" s="108"/>
      <c r="K829" s="108"/>
      <c r="L829" s="103"/>
      <c r="M829" s="111"/>
      <c r="N829" s="65"/>
      <c r="O829" s="65"/>
      <c r="P829" s="65"/>
      <c r="Q829" s="65"/>
      <c r="R829" s="65"/>
    </row>
    <row r="830">
      <c r="A830" s="61"/>
      <c r="B830" s="61"/>
      <c r="C830" s="61"/>
      <c r="D830" s="61"/>
      <c r="E830" s="61"/>
      <c r="F830" s="61"/>
      <c r="G830" s="61"/>
      <c r="H830" s="61"/>
      <c r="I830" s="61"/>
      <c r="J830" s="107"/>
      <c r="K830" s="107"/>
      <c r="L830" s="100"/>
      <c r="M830" s="110"/>
      <c r="N830" s="61"/>
      <c r="O830" s="61"/>
      <c r="P830" s="61"/>
      <c r="Q830" s="61"/>
      <c r="R830" s="61"/>
    </row>
    <row r="831">
      <c r="A831" s="65"/>
      <c r="B831" s="65"/>
      <c r="C831" s="65"/>
      <c r="D831" s="65"/>
      <c r="E831" s="65"/>
      <c r="F831" s="65"/>
      <c r="G831" s="65"/>
      <c r="H831" s="65"/>
      <c r="I831" s="65"/>
      <c r="J831" s="108"/>
      <c r="K831" s="108"/>
      <c r="L831" s="103"/>
      <c r="M831" s="111"/>
      <c r="N831" s="65"/>
      <c r="O831" s="65"/>
      <c r="P831" s="65"/>
      <c r="Q831" s="65"/>
      <c r="R831" s="65"/>
    </row>
    <row r="832">
      <c r="A832" s="61"/>
      <c r="B832" s="61"/>
      <c r="C832" s="61"/>
      <c r="D832" s="61"/>
      <c r="E832" s="61"/>
      <c r="F832" s="61"/>
      <c r="G832" s="61"/>
      <c r="H832" s="61"/>
      <c r="I832" s="61"/>
      <c r="J832" s="107"/>
      <c r="K832" s="107"/>
      <c r="L832" s="100"/>
      <c r="M832" s="110"/>
      <c r="N832" s="61"/>
      <c r="O832" s="61"/>
      <c r="P832" s="61"/>
      <c r="Q832" s="61"/>
      <c r="R832" s="61"/>
    </row>
    <row r="833">
      <c r="A833" s="65"/>
      <c r="B833" s="65"/>
      <c r="C833" s="65"/>
      <c r="D833" s="65"/>
      <c r="E833" s="65"/>
      <c r="F833" s="65"/>
      <c r="G833" s="65"/>
      <c r="H833" s="65"/>
      <c r="I833" s="65"/>
      <c r="J833" s="108"/>
      <c r="K833" s="108"/>
      <c r="L833" s="103"/>
      <c r="M833" s="111"/>
      <c r="N833" s="65"/>
      <c r="O833" s="65"/>
      <c r="P833" s="65"/>
      <c r="Q833" s="65"/>
      <c r="R833" s="65"/>
    </row>
    <row r="834">
      <c r="A834" s="61"/>
      <c r="B834" s="61"/>
      <c r="C834" s="61"/>
      <c r="D834" s="61"/>
      <c r="E834" s="61"/>
      <c r="F834" s="61"/>
      <c r="G834" s="61"/>
      <c r="H834" s="61"/>
      <c r="I834" s="61"/>
      <c r="J834" s="107"/>
      <c r="K834" s="107"/>
      <c r="L834" s="100"/>
      <c r="M834" s="110"/>
      <c r="N834" s="61"/>
      <c r="O834" s="61"/>
      <c r="P834" s="61"/>
      <c r="Q834" s="61"/>
      <c r="R834" s="61"/>
    </row>
    <row r="835">
      <c r="A835" s="65"/>
      <c r="B835" s="65"/>
      <c r="C835" s="65"/>
      <c r="D835" s="65"/>
      <c r="E835" s="65"/>
      <c r="F835" s="65"/>
      <c r="G835" s="65"/>
      <c r="H835" s="65"/>
      <c r="I835" s="65"/>
      <c r="J835" s="108"/>
      <c r="K835" s="108"/>
      <c r="L835" s="103"/>
      <c r="M835" s="111"/>
      <c r="N835" s="65"/>
      <c r="O835" s="65"/>
      <c r="P835" s="65"/>
      <c r="Q835" s="65"/>
      <c r="R835" s="65"/>
    </row>
    <row r="836">
      <c r="A836" s="61"/>
      <c r="B836" s="61"/>
      <c r="C836" s="61"/>
      <c r="D836" s="61"/>
      <c r="E836" s="61"/>
      <c r="F836" s="61"/>
      <c r="G836" s="61"/>
      <c r="H836" s="61"/>
      <c r="I836" s="61"/>
      <c r="J836" s="107"/>
      <c r="K836" s="107"/>
      <c r="L836" s="100"/>
      <c r="M836" s="110"/>
      <c r="N836" s="61"/>
      <c r="O836" s="61"/>
      <c r="P836" s="61"/>
      <c r="Q836" s="61"/>
      <c r="R836" s="61"/>
    </row>
    <row r="837">
      <c r="A837" s="65"/>
      <c r="B837" s="65"/>
      <c r="C837" s="65"/>
      <c r="D837" s="65"/>
      <c r="E837" s="65"/>
      <c r="F837" s="65"/>
      <c r="G837" s="65"/>
      <c r="H837" s="65"/>
      <c r="I837" s="65"/>
      <c r="J837" s="108"/>
      <c r="K837" s="108"/>
      <c r="L837" s="103"/>
      <c r="M837" s="111"/>
      <c r="N837" s="65"/>
      <c r="O837" s="65"/>
      <c r="P837" s="65"/>
      <c r="Q837" s="65"/>
      <c r="R837" s="65"/>
    </row>
    <row r="838">
      <c r="A838" s="61"/>
      <c r="B838" s="61"/>
      <c r="C838" s="61"/>
      <c r="D838" s="61"/>
      <c r="E838" s="61"/>
      <c r="F838" s="61"/>
      <c r="G838" s="61"/>
      <c r="H838" s="61"/>
      <c r="I838" s="61"/>
      <c r="J838" s="107"/>
      <c r="K838" s="107"/>
      <c r="L838" s="100"/>
      <c r="M838" s="110"/>
      <c r="N838" s="61"/>
      <c r="O838" s="61"/>
      <c r="P838" s="61"/>
      <c r="Q838" s="61"/>
      <c r="R838" s="61"/>
    </row>
    <row r="839">
      <c r="A839" s="65"/>
      <c r="B839" s="65"/>
      <c r="C839" s="65"/>
      <c r="D839" s="65"/>
      <c r="E839" s="65"/>
      <c r="F839" s="65"/>
      <c r="G839" s="65"/>
      <c r="H839" s="65"/>
      <c r="I839" s="65"/>
      <c r="J839" s="108"/>
      <c r="K839" s="108"/>
      <c r="L839" s="103"/>
      <c r="M839" s="111"/>
      <c r="N839" s="65"/>
      <c r="O839" s="65"/>
      <c r="P839" s="65"/>
      <c r="Q839" s="65"/>
      <c r="R839" s="65"/>
    </row>
    <row r="840">
      <c r="A840" s="61"/>
      <c r="B840" s="61"/>
      <c r="C840" s="61"/>
      <c r="D840" s="61"/>
      <c r="E840" s="61"/>
      <c r="F840" s="61"/>
      <c r="G840" s="61"/>
      <c r="H840" s="61"/>
      <c r="I840" s="61"/>
      <c r="J840" s="107"/>
      <c r="K840" s="107"/>
      <c r="L840" s="100"/>
      <c r="M840" s="110"/>
      <c r="N840" s="61"/>
      <c r="O840" s="61"/>
      <c r="P840" s="61"/>
      <c r="Q840" s="61"/>
      <c r="R840" s="61"/>
    </row>
    <row r="841">
      <c r="A841" s="65"/>
      <c r="B841" s="65"/>
      <c r="C841" s="65"/>
      <c r="D841" s="65"/>
      <c r="E841" s="65"/>
      <c r="F841" s="65"/>
      <c r="G841" s="65"/>
      <c r="H841" s="65"/>
      <c r="I841" s="65"/>
      <c r="J841" s="108"/>
      <c r="K841" s="108"/>
      <c r="L841" s="103"/>
      <c r="M841" s="111"/>
      <c r="N841" s="65"/>
      <c r="O841" s="65"/>
      <c r="P841" s="65"/>
      <c r="Q841" s="65"/>
      <c r="R841" s="65"/>
    </row>
    <row r="842">
      <c r="A842" s="61"/>
      <c r="B842" s="61"/>
      <c r="C842" s="61"/>
      <c r="D842" s="61"/>
      <c r="E842" s="61"/>
      <c r="F842" s="61"/>
      <c r="G842" s="61"/>
      <c r="H842" s="61"/>
      <c r="I842" s="61"/>
      <c r="J842" s="107"/>
      <c r="K842" s="107"/>
      <c r="L842" s="100"/>
      <c r="M842" s="110"/>
      <c r="N842" s="61"/>
      <c r="O842" s="61"/>
      <c r="P842" s="61"/>
      <c r="Q842" s="61"/>
      <c r="R842" s="61"/>
    </row>
    <row r="843">
      <c r="A843" s="65"/>
      <c r="B843" s="65"/>
      <c r="C843" s="65"/>
      <c r="D843" s="65"/>
      <c r="E843" s="65"/>
      <c r="F843" s="65"/>
      <c r="G843" s="65"/>
      <c r="H843" s="65"/>
      <c r="I843" s="65"/>
      <c r="J843" s="108"/>
      <c r="K843" s="108"/>
      <c r="L843" s="103"/>
      <c r="M843" s="111"/>
      <c r="N843" s="65"/>
      <c r="O843" s="65"/>
      <c r="P843" s="65"/>
      <c r="Q843" s="65"/>
      <c r="R843" s="65"/>
    </row>
    <row r="844">
      <c r="A844" s="61"/>
      <c r="B844" s="61"/>
      <c r="C844" s="61"/>
      <c r="D844" s="61"/>
      <c r="E844" s="61"/>
      <c r="F844" s="61"/>
      <c r="G844" s="61"/>
      <c r="H844" s="61"/>
      <c r="I844" s="61"/>
      <c r="J844" s="107"/>
      <c r="K844" s="107"/>
      <c r="L844" s="100"/>
      <c r="M844" s="110"/>
      <c r="N844" s="61"/>
      <c r="O844" s="61"/>
      <c r="P844" s="61"/>
      <c r="Q844" s="61"/>
      <c r="R844" s="61"/>
    </row>
    <row r="845">
      <c r="A845" s="65"/>
      <c r="B845" s="65"/>
      <c r="C845" s="65"/>
      <c r="D845" s="65"/>
      <c r="E845" s="65"/>
      <c r="F845" s="65"/>
      <c r="G845" s="65"/>
      <c r="H845" s="65"/>
      <c r="I845" s="65"/>
      <c r="J845" s="108"/>
      <c r="K845" s="108"/>
      <c r="L845" s="103"/>
      <c r="M845" s="111"/>
      <c r="N845" s="65"/>
      <c r="O845" s="65"/>
      <c r="P845" s="65"/>
      <c r="Q845" s="65"/>
      <c r="R845" s="65"/>
    </row>
    <row r="846">
      <c r="A846" s="61"/>
      <c r="B846" s="61"/>
      <c r="C846" s="61"/>
      <c r="D846" s="61"/>
      <c r="E846" s="61"/>
      <c r="F846" s="61"/>
      <c r="G846" s="61"/>
      <c r="H846" s="61"/>
      <c r="I846" s="61"/>
      <c r="J846" s="107"/>
      <c r="K846" s="107"/>
      <c r="L846" s="100"/>
      <c r="M846" s="110"/>
      <c r="N846" s="61"/>
      <c r="O846" s="61"/>
      <c r="P846" s="61"/>
      <c r="Q846" s="61"/>
      <c r="R846" s="61"/>
    </row>
    <row r="847">
      <c r="A847" s="65"/>
      <c r="B847" s="65"/>
      <c r="C847" s="65"/>
      <c r="D847" s="65"/>
      <c r="E847" s="65"/>
      <c r="F847" s="65"/>
      <c r="G847" s="65"/>
      <c r="H847" s="65"/>
      <c r="I847" s="65"/>
      <c r="J847" s="108"/>
      <c r="K847" s="108"/>
      <c r="L847" s="103"/>
      <c r="M847" s="111"/>
      <c r="N847" s="65"/>
      <c r="O847" s="65"/>
      <c r="P847" s="65"/>
      <c r="Q847" s="65"/>
      <c r="R847" s="65"/>
    </row>
    <row r="848">
      <c r="A848" s="61"/>
      <c r="B848" s="61"/>
      <c r="C848" s="61"/>
      <c r="D848" s="61"/>
      <c r="E848" s="61"/>
      <c r="F848" s="61"/>
      <c r="G848" s="61"/>
      <c r="H848" s="61"/>
      <c r="I848" s="61"/>
      <c r="J848" s="107"/>
      <c r="K848" s="107"/>
      <c r="L848" s="100"/>
      <c r="M848" s="110"/>
      <c r="N848" s="61"/>
      <c r="O848" s="61"/>
      <c r="P848" s="61"/>
      <c r="Q848" s="61"/>
      <c r="R848" s="61"/>
    </row>
    <row r="849">
      <c r="A849" s="65"/>
      <c r="B849" s="65"/>
      <c r="C849" s="65"/>
      <c r="D849" s="65"/>
      <c r="E849" s="65"/>
      <c r="F849" s="65"/>
      <c r="G849" s="65"/>
      <c r="H849" s="65"/>
      <c r="I849" s="65"/>
      <c r="J849" s="108"/>
      <c r="K849" s="108"/>
      <c r="L849" s="103"/>
      <c r="M849" s="111"/>
      <c r="N849" s="65"/>
      <c r="O849" s="65"/>
      <c r="P849" s="65"/>
      <c r="Q849" s="65"/>
      <c r="R849" s="65"/>
    </row>
    <row r="850">
      <c r="A850" s="61"/>
      <c r="B850" s="61"/>
      <c r="C850" s="61"/>
      <c r="D850" s="61"/>
      <c r="E850" s="61"/>
      <c r="F850" s="61"/>
      <c r="G850" s="61"/>
      <c r="H850" s="61"/>
      <c r="I850" s="61"/>
      <c r="J850" s="107"/>
      <c r="K850" s="107"/>
      <c r="L850" s="100"/>
      <c r="M850" s="110"/>
      <c r="N850" s="61"/>
      <c r="O850" s="61"/>
      <c r="P850" s="61"/>
      <c r="Q850" s="61"/>
      <c r="R850" s="61"/>
    </row>
    <row r="851">
      <c r="A851" s="65"/>
      <c r="B851" s="65"/>
      <c r="C851" s="65"/>
      <c r="D851" s="65"/>
      <c r="E851" s="65"/>
      <c r="F851" s="65"/>
      <c r="G851" s="65"/>
      <c r="H851" s="65"/>
      <c r="I851" s="65"/>
      <c r="J851" s="108"/>
      <c r="K851" s="108"/>
      <c r="L851" s="103"/>
      <c r="M851" s="111"/>
      <c r="N851" s="65"/>
      <c r="O851" s="65"/>
      <c r="P851" s="65"/>
      <c r="Q851" s="65"/>
      <c r="R851" s="65"/>
    </row>
    <row r="852">
      <c r="A852" s="61"/>
      <c r="B852" s="61"/>
      <c r="C852" s="61"/>
      <c r="D852" s="61"/>
      <c r="E852" s="61"/>
      <c r="F852" s="61"/>
      <c r="G852" s="61"/>
      <c r="H852" s="61"/>
      <c r="I852" s="61"/>
      <c r="J852" s="107"/>
      <c r="K852" s="107"/>
      <c r="L852" s="100"/>
      <c r="M852" s="110"/>
      <c r="N852" s="61"/>
      <c r="O852" s="61"/>
      <c r="P852" s="61"/>
      <c r="Q852" s="61"/>
      <c r="R852" s="61"/>
    </row>
    <row r="853">
      <c r="A853" s="65"/>
      <c r="B853" s="65"/>
      <c r="C853" s="65"/>
      <c r="D853" s="65"/>
      <c r="E853" s="65"/>
      <c r="F853" s="65"/>
      <c r="G853" s="65"/>
      <c r="H853" s="65"/>
      <c r="I853" s="65"/>
      <c r="J853" s="108"/>
      <c r="K853" s="108"/>
      <c r="L853" s="103"/>
      <c r="M853" s="111"/>
      <c r="N853" s="65"/>
      <c r="O853" s="65"/>
      <c r="P853" s="65"/>
      <c r="Q853" s="65"/>
      <c r="R853" s="65"/>
    </row>
    <row r="854">
      <c r="A854" s="61"/>
      <c r="B854" s="61"/>
      <c r="C854" s="61"/>
      <c r="D854" s="61"/>
      <c r="E854" s="61"/>
      <c r="F854" s="61"/>
      <c r="G854" s="61"/>
      <c r="H854" s="61"/>
      <c r="I854" s="61"/>
      <c r="J854" s="107"/>
      <c r="K854" s="107"/>
      <c r="L854" s="100"/>
      <c r="M854" s="110"/>
      <c r="N854" s="61"/>
      <c r="O854" s="61"/>
      <c r="P854" s="61"/>
      <c r="Q854" s="61"/>
      <c r="R854" s="61"/>
    </row>
    <row r="855">
      <c r="A855" s="65"/>
      <c r="B855" s="65"/>
      <c r="C855" s="65"/>
      <c r="D855" s="65"/>
      <c r="E855" s="65"/>
      <c r="F855" s="65"/>
      <c r="G855" s="65"/>
      <c r="H855" s="65"/>
      <c r="I855" s="65"/>
      <c r="J855" s="108"/>
      <c r="K855" s="108"/>
      <c r="L855" s="103"/>
      <c r="M855" s="111"/>
      <c r="N855" s="65"/>
      <c r="O855" s="65"/>
      <c r="P855" s="65"/>
      <c r="Q855" s="65"/>
      <c r="R855" s="65"/>
    </row>
    <row r="856">
      <c r="A856" s="61"/>
      <c r="B856" s="61"/>
      <c r="C856" s="61"/>
      <c r="D856" s="61"/>
      <c r="E856" s="61"/>
      <c r="F856" s="61"/>
      <c r="G856" s="61"/>
      <c r="H856" s="61"/>
      <c r="I856" s="61"/>
      <c r="J856" s="107"/>
      <c r="K856" s="107"/>
      <c r="L856" s="100"/>
      <c r="M856" s="110"/>
      <c r="N856" s="61"/>
      <c r="O856" s="61"/>
      <c r="P856" s="61"/>
      <c r="Q856" s="61"/>
      <c r="R856" s="61"/>
    </row>
    <row r="857">
      <c r="A857" s="65"/>
      <c r="B857" s="65"/>
      <c r="C857" s="65"/>
      <c r="D857" s="65"/>
      <c r="E857" s="65"/>
      <c r="F857" s="65"/>
      <c r="G857" s="65"/>
      <c r="H857" s="65"/>
      <c r="I857" s="65"/>
      <c r="J857" s="108"/>
      <c r="K857" s="108"/>
      <c r="L857" s="103"/>
      <c r="M857" s="111"/>
      <c r="N857" s="65"/>
      <c r="O857" s="65"/>
      <c r="P857" s="65"/>
      <c r="Q857" s="65"/>
      <c r="R857" s="65"/>
    </row>
    <row r="858">
      <c r="A858" s="61"/>
      <c r="B858" s="61"/>
      <c r="C858" s="61"/>
      <c r="D858" s="61"/>
      <c r="E858" s="61"/>
      <c r="F858" s="61"/>
      <c r="G858" s="61"/>
      <c r="H858" s="61"/>
      <c r="I858" s="61"/>
      <c r="J858" s="107"/>
      <c r="K858" s="107"/>
      <c r="L858" s="100"/>
      <c r="M858" s="110"/>
      <c r="N858" s="61"/>
      <c r="O858" s="61"/>
      <c r="P858" s="61"/>
      <c r="Q858" s="61"/>
      <c r="R858" s="61"/>
    </row>
    <row r="859">
      <c r="A859" s="65"/>
      <c r="B859" s="65"/>
      <c r="C859" s="65"/>
      <c r="D859" s="65"/>
      <c r="E859" s="65"/>
      <c r="F859" s="65"/>
      <c r="G859" s="65"/>
      <c r="H859" s="65"/>
      <c r="I859" s="65"/>
      <c r="J859" s="108"/>
      <c r="K859" s="108"/>
      <c r="L859" s="103"/>
      <c r="M859" s="111"/>
      <c r="N859" s="65"/>
      <c r="O859" s="65"/>
      <c r="P859" s="65"/>
      <c r="Q859" s="65"/>
      <c r="R859" s="65"/>
    </row>
    <row r="860">
      <c r="A860" s="61"/>
      <c r="B860" s="61"/>
      <c r="C860" s="61"/>
      <c r="D860" s="61"/>
      <c r="E860" s="61"/>
      <c r="F860" s="61"/>
      <c r="G860" s="61"/>
      <c r="H860" s="61"/>
      <c r="I860" s="61"/>
      <c r="J860" s="107"/>
      <c r="K860" s="107"/>
      <c r="L860" s="100"/>
      <c r="M860" s="110"/>
      <c r="N860" s="61"/>
      <c r="O860" s="61"/>
      <c r="P860" s="61"/>
      <c r="Q860" s="61"/>
      <c r="R860" s="61"/>
    </row>
    <row r="861">
      <c r="A861" s="65"/>
      <c r="B861" s="65"/>
      <c r="C861" s="65"/>
      <c r="D861" s="65"/>
      <c r="E861" s="65"/>
      <c r="F861" s="65"/>
      <c r="G861" s="65"/>
      <c r="H861" s="65"/>
      <c r="I861" s="65"/>
      <c r="J861" s="108"/>
      <c r="K861" s="108"/>
      <c r="L861" s="103"/>
      <c r="M861" s="111"/>
      <c r="N861" s="65"/>
      <c r="O861" s="65"/>
      <c r="P861" s="65"/>
      <c r="Q861" s="65"/>
      <c r="R861" s="65"/>
    </row>
    <row r="862">
      <c r="A862" s="61"/>
      <c r="B862" s="61"/>
      <c r="C862" s="61"/>
      <c r="D862" s="61"/>
      <c r="E862" s="61"/>
      <c r="F862" s="61"/>
      <c r="G862" s="61"/>
      <c r="H862" s="61"/>
      <c r="I862" s="61"/>
      <c r="J862" s="107"/>
      <c r="K862" s="107"/>
      <c r="L862" s="100"/>
      <c r="M862" s="110"/>
      <c r="N862" s="61"/>
      <c r="O862" s="61"/>
      <c r="P862" s="61"/>
      <c r="Q862" s="61"/>
      <c r="R862" s="61"/>
    </row>
    <row r="863">
      <c r="A863" s="65"/>
      <c r="B863" s="65"/>
      <c r="C863" s="65"/>
      <c r="D863" s="65"/>
      <c r="E863" s="65"/>
      <c r="F863" s="65"/>
      <c r="G863" s="65"/>
      <c r="H863" s="65"/>
      <c r="I863" s="65"/>
      <c r="J863" s="108"/>
      <c r="K863" s="108"/>
      <c r="L863" s="103"/>
      <c r="M863" s="111"/>
      <c r="N863" s="65"/>
      <c r="O863" s="65"/>
      <c r="P863" s="65"/>
      <c r="Q863" s="65"/>
      <c r="R863" s="65"/>
    </row>
    <row r="864">
      <c r="A864" s="61"/>
      <c r="B864" s="61"/>
      <c r="C864" s="61"/>
      <c r="D864" s="61"/>
      <c r="E864" s="61"/>
      <c r="F864" s="61"/>
      <c r="G864" s="61"/>
      <c r="H864" s="61"/>
      <c r="I864" s="61"/>
      <c r="J864" s="107"/>
      <c r="K864" s="107"/>
      <c r="L864" s="100"/>
      <c r="M864" s="110"/>
      <c r="N864" s="61"/>
      <c r="O864" s="61"/>
      <c r="P864" s="61"/>
      <c r="Q864" s="61"/>
      <c r="R864" s="61"/>
    </row>
    <row r="865">
      <c r="A865" s="65"/>
      <c r="B865" s="65"/>
      <c r="C865" s="65"/>
      <c r="D865" s="65"/>
      <c r="E865" s="65"/>
      <c r="F865" s="65"/>
      <c r="G865" s="65"/>
      <c r="H865" s="65"/>
      <c r="I865" s="65"/>
      <c r="J865" s="108"/>
      <c r="K865" s="108"/>
      <c r="L865" s="103"/>
      <c r="M865" s="111"/>
      <c r="N865" s="65"/>
      <c r="O865" s="65"/>
      <c r="P865" s="65"/>
      <c r="Q865" s="65"/>
      <c r="R865" s="65"/>
    </row>
    <row r="866">
      <c r="A866" s="61"/>
      <c r="B866" s="61"/>
      <c r="C866" s="61"/>
      <c r="D866" s="61"/>
      <c r="E866" s="61"/>
      <c r="F866" s="61"/>
      <c r="G866" s="61"/>
      <c r="H866" s="61"/>
      <c r="I866" s="61"/>
      <c r="J866" s="107"/>
      <c r="K866" s="107"/>
      <c r="L866" s="100"/>
      <c r="M866" s="110"/>
      <c r="N866" s="61"/>
      <c r="O866" s="61"/>
      <c r="P866" s="61"/>
      <c r="Q866" s="61"/>
      <c r="R866" s="61"/>
    </row>
    <row r="867">
      <c r="A867" s="65"/>
      <c r="B867" s="65"/>
      <c r="C867" s="65"/>
      <c r="D867" s="65"/>
      <c r="E867" s="65"/>
      <c r="F867" s="65"/>
      <c r="G867" s="65"/>
      <c r="H867" s="65"/>
      <c r="I867" s="65"/>
      <c r="J867" s="108"/>
      <c r="K867" s="108"/>
      <c r="L867" s="103"/>
      <c r="M867" s="111"/>
      <c r="N867" s="65"/>
      <c r="O867" s="65"/>
      <c r="P867" s="65"/>
      <c r="Q867" s="65"/>
      <c r="R867" s="65"/>
    </row>
    <row r="868">
      <c r="A868" s="61"/>
      <c r="B868" s="61"/>
      <c r="C868" s="61"/>
      <c r="D868" s="61"/>
      <c r="E868" s="61"/>
      <c r="F868" s="61"/>
      <c r="G868" s="61"/>
      <c r="H868" s="61"/>
      <c r="I868" s="61"/>
      <c r="J868" s="107"/>
      <c r="K868" s="107"/>
      <c r="L868" s="100"/>
      <c r="M868" s="110"/>
      <c r="N868" s="61"/>
      <c r="O868" s="61"/>
      <c r="P868" s="61"/>
      <c r="Q868" s="61"/>
      <c r="R868" s="61"/>
    </row>
    <row r="869">
      <c r="A869" s="65"/>
      <c r="B869" s="65"/>
      <c r="C869" s="65"/>
      <c r="D869" s="65"/>
      <c r="E869" s="65"/>
      <c r="F869" s="65"/>
      <c r="G869" s="65"/>
      <c r="H869" s="65"/>
      <c r="I869" s="65"/>
      <c r="J869" s="108"/>
      <c r="K869" s="108"/>
      <c r="L869" s="103"/>
      <c r="M869" s="111"/>
      <c r="N869" s="65"/>
      <c r="O869" s="65"/>
      <c r="P869" s="65"/>
      <c r="Q869" s="65"/>
      <c r="R869" s="65"/>
    </row>
    <row r="870">
      <c r="A870" s="61"/>
      <c r="B870" s="61"/>
      <c r="C870" s="61"/>
      <c r="D870" s="61"/>
      <c r="E870" s="61"/>
      <c r="F870" s="61"/>
      <c r="G870" s="61"/>
      <c r="H870" s="61"/>
      <c r="I870" s="61"/>
      <c r="J870" s="107"/>
      <c r="K870" s="107"/>
      <c r="L870" s="100"/>
      <c r="M870" s="110"/>
      <c r="N870" s="61"/>
      <c r="O870" s="61"/>
      <c r="P870" s="61"/>
      <c r="Q870" s="61"/>
      <c r="R870" s="61"/>
    </row>
    <row r="871">
      <c r="A871" s="65"/>
      <c r="B871" s="65"/>
      <c r="C871" s="65"/>
      <c r="D871" s="65"/>
      <c r="E871" s="65"/>
      <c r="F871" s="65"/>
      <c r="G871" s="65"/>
      <c r="H871" s="65"/>
      <c r="I871" s="65"/>
      <c r="J871" s="108"/>
      <c r="K871" s="108"/>
      <c r="L871" s="103"/>
      <c r="M871" s="111"/>
      <c r="N871" s="65"/>
      <c r="O871" s="65"/>
      <c r="P871" s="65"/>
      <c r="Q871" s="65"/>
      <c r="R871" s="65"/>
    </row>
    <row r="872">
      <c r="A872" s="61"/>
      <c r="B872" s="61"/>
      <c r="C872" s="61"/>
      <c r="D872" s="61"/>
      <c r="E872" s="61"/>
      <c r="F872" s="61"/>
      <c r="G872" s="61"/>
      <c r="H872" s="61"/>
      <c r="I872" s="61"/>
      <c r="J872" s="107"/>
      <c r="K872" s="107"/>
      <c r="L872" s="100"/>
      <c r="M872" s="110"/>
      <c r="N872" s="61"/>
      <c r="O872" s="61"/>
      <c r="P872" s="61"/>
      <c r="Q872" s="61"/>
      <c r="R872" s="61"/>
    </row>
    <row r="873">
      <c r="A873" s="65"/>
      <c r="B873" s="65"/>
      <c r="C873" s="65"/>
      <c r="D873" s="65"/>
      <c r="E873" s="65"/>
      <c r="F873" s="65"/>
      <c r="G873" s="65"/>
      <c r="H873" s="65"/>
      <c r="I873" s="65"/>
      <c r="J873" s="108"/>
      <c r="K873" s="108"/>
      <c r="L873" s="103"/>
      <c r="M873" s="111"/>
      <c r="N873" s="65"/>
      <c r="O873" s="65"/>
      <c r="P873" s="65"/>
      <c r="Q873" s="65"/>
      <c r="R873" s="65"/>
    </row>
    <row r="874">
      <c r="A874" s="61"/>
      <c r="B874" s="61"/>
      <c r="C874" s="61"/>
      <c r="D874" s="61"/>
      <c r="E874" s="61"/>
      <c r="F874" s="61"/>
      <c r="G874" s="61"/>
      <c r="H874" s="61"/>
      <c r="I874" s="61"/>
      <c r="J874" s="107"/>
      <c r="K874" s="107"/>
      <c r="L874" s="100"/>
      <c r="M874" s="110"/>
      <c r="N874" s="61"/>
      <c r="O874" s="61"/>
      <c r="P874" s="61"/>
      <c r="Q874" s="61"/>
      <c r="R874" s="61"/>
    </row>
    <row r="875">
      <c r="A875" s="65"/>
      <c r="B875" s="65"/>
      <c r="C875" s="65"/>
      <c r="D875" s="65"/>
      <c r="E875" s="65"/>
      <c r="F875" s="65"/>
      <c r="G875" s="65"/>
      <c r="H875" s="65"/>
      <c r="I875" s="65"/>
      <c r="J875" s="108"/>
      <c r="K875" s="108"/>
      <c r="L875" s="103"/>
      <c r="M875" s="111"/>
      <c r="N875" s="65"/>
      <c r="O875" s="65"/>
      <c r="P875" s="65"/>
      <c r="Q875" s="65"/>
      <c r="R875" s="65"/>
    </row>
    <row r="876">
      <c r="A876" s="61"/>
      <c r="B876" s="61"/>
      <c r="C876" s="61"/>
      <c r="D876" s="61"/>
      <c r="E876" s="61"/>
      <c r="F876" s="61"/>
      <c r="G876" s="61"/>
      <c r="H876" s="61"/>
      <c r="I876" s="61"/>
      <c r="J876" s="107"/>
      <c r="K876" s="107"/>
      <c r="L876" s="100"/>
      <c r="M876" s="110"/>
      <c r="N876" s="61"/>
      <c r="O876" s="61"/>
      <c r="P876" s="61"/>
      <c r="Q876" s="61"/>
      <c r="R876" s="61"/>
    </row>
    <row r="877">
      <c r="A877" s="65"/>
      <c r="B877" s="65"/>
      <c r="C877" s="65"/>
      <c r="D877" s="65"/>
      <c r="E877" s="65"/>
      <c r="F877" s="65"/>
      <c r="G877" s="65"/>
      <c r="H877" s="65"/>
      <c r="I877" s="65"/>
      <c r="J877" s="108"/>
      <c r="K877" s="108"/>
      <c r="L877" s="103"/>
      <c r="M877" s="111"/>
      <c r="N877" s="65"/>
      <c r="O877" s="65"/>
      <c r="P877" s="65"/>
      <c r="Q877" s="65"/>
      <c r="R877" s="65"/>
    </row>
    <row r="878">
      <c r="A878" s="61"/>
      <c r="B878" s="61"/>
      <c r="C878" s="61"/>
      <c r="D878" s="61"/>
      <c r="E878" s="61"/>
      <c r="F878" s="61"/>
      <c r="G878" s="61"/>
      <c r="H878" s="61"/>
      <c r="I878" s="61"/>
      <c r="J878" s="107"/>
      <c r="K878" s="107"/>
      <c r="L878" s="100"/>
      <c r="M878" s="110"/>
      <c r="N878" s="61"/>
      <c r="O878" s="61"/>
      <c r="P878" s="61"/>
      <c r="Q878" s="61"/>
      <c r="R878" s="61"/>
    </row>
    <row r="879">
      <c r="A879" s="65"/>
      <c r="B879" s="65"/>
      <c r="C879" s="65"/>
      <c r="D879" s="65"/>
      <c r="E879" s="65"/>
      <c r="F879" s="65"/>
      <c r="G879" s="65"/>
      <c r="H879" s="65"/>
      <c r="I879" s="65"/>
      <c r="J879" s="108"/>
      <c r="K879" s="108"/>
      <c r="L879" s="103"/>
      <c r="M879" s="111"/>
      <c r="N879" s="65"/>
      <c r="O879" s="65"/>
      <c r="P879" s="65"/>
      <c r="Q879" s="65"/>
      <c r="R879" s="65"/>
    </row>
    <row r="880">
      <c r="A880" s="61"/>
      <c r="B880" s="61"/>
      <c r="C880" s="61"/>
      <c r="D880" s="61"/>
      <c r="E880" s="61"/>
      <c r="F880" s="61"/>
      <c r="G880" s="61"/>
      <c r="H880" s="61"/>
      <c r="I880" s="61"/>
      <c r="J880" s="107"/>
      <c r="K880" s="107"/>
      <c r="L880" s="100"/>
      <c r="M880" s="110"/>
      <c r="N880" s="61"/>
      <c r="O880" s="61"/>
      <c r="P880" s="61"/>
      <c r="Q880" s="61"/>
      <c r="R880" s="61"/>
    </row>
    <row r="881">
      <c r="A881" s="65"/>
      <c r="B881" s="65"/>
      <c r="C881" s="65"/>
      <c r="D881" s="65"/>
      <c r="E881" s="65"/>
      <c r="F881" s="65"/>
      <c r="G881" s="65"/>
      <c r="H881" s="65"/>
      <c r="I881" s="65"/>
      <c r="J881" s="108"/>
      <c r="K881" s="108"/>
      <c r="L881" s="103"/>
      <c r="M881" s="111"/>
      <c r="N881" s="65"/>
      <c r="O881" s="65"/>
      <c r="P881" s="65"/>
      <c r="Q881" s="65"/>
      <c r="R881" s="65"/>
    </row>
    <row r="882">
      <c r="A882" s="61"/>
      <c r="B882" s="61"/>
      <c r="C882" s="61"/>
      <c r="D882" s="61"/>
      <c r="E882" s="61"/>
      <c r="F882" s="61"/>
      <c r="G882" s="61"/>
      <c r="H882" s="61"/>
      <c r="I882" s="61"/>
      <c r="J882" s="107"/>
      <c r="K882" s="107"/>
      <c r="L882" s="100"/>
      <c r="M882" s="110"/>
      <c r="N882" s="61"/>
      <c r="O882" s="61"/>
      <c r="P882" s="61"/>
      <c r="Q882" s="61"/>
      <c r="R882" s="61"/>
    </row>
    <row r="883">
      <c r="A883" s="65"/>
      <c r="B883" s="65"/>
      <c r="C883" s="65"/>
      <c r="D883" s="65"/>
      <c r="E883" s="65"/>
      <c r="F883" s="65"/>
      <c r="G883" s="65"/>
      <c r="H883" s="65"/>
      <c r="I883" s="65"/>
      <c r="J883" s="108"/>
      <c r="K883" s="108"/>
      <c r="L883" s="103"/>
      <c r="M883" s="111"/>
      <c r="N883" s="65"/>
      <c r="O883" s="65"/>
      <c r="P883" s="65"/>
      <c r="Q883" s="65"/>
      <c r="R883" s="65"/>
    </row>
    <row r="884">
      <c r="A884" s="61"/>
      <c r="B884" s="61"/>
      <c r="C884" s="61"/>
      <c r="D884" s="61"/>
      <c r="E884" s="61"/>
      <c r="F884" s="61"/>
      <c r="G884" s="61"/>
      <c r="H884" s="61"/>
      <c r="I884" s="61"/>
      <c r="J884" s="107"/>
      <c r="K884" s="107"/>
      <c r="L884" s="100"/>
      <c r="M884" s="110"/>
      <c r="N884" s="61"/>
      <c r="O884" s="61"/>
      <c r="P884" s="61"/>
      <c r="Q884" s="61"/>
      <c r="R884" s="61"/>
    </row>
    <row r="885">
      <c r="A885" s="65"/>
      <c r="B885" s="65"/>
      <c r="C885" s="65"/>
      <c r="D885" s="65"/>
      <c r="E885" s="65"/>
      <c r="F885" s="65"/>
      <c r="G885" s="65"/>
      <c r="H885" s="65"/>
      <c r="I885" s="65"/>
      <c r="J885" s="108"/>
      <c r="K885" s="108"/>
      <c r="L885" s="103"/>
      <c r="M885" s="111"/>
      <c r="N885" s="65"/>
      <c r="O885" s="65"/>
      <c r="P885" s="65"/>
      <c r="Q885" s="65"/>
      <c r="R885" s="65"/>
    </row>
    <row r="886">
      <c r="A886" s="61"/>
      <c r="B886" s="61"/>
      <c r="C886" s="61"/>
      <c r="D886" s="61"/>
      <c r="E886" s="61"/>
      <c r="F886" s="61"/>
      <c r="G886" s="61"/>
      <c r="H886" s="61"/>
      <c r="I886" s="61"/>
      <c r="J886" s="107"/>
      <c r="K886" s="107"/>
      <c r="L886" s="100"/>
      <c r="M886" s="110"/>
      <c r="N886" s="61"/>
      <c r="O886" s="61"/>
      <c r="P886" s="61"/>
      <c r="Q886" s="61"/>
      <c r="R886" s="61"/>
    </row>
    <row r="887">
      <c r="A887" s="65"/>
      <c r="B887" s="65"/>
      <c r="C887" s="65"/>
      <c r="D887" s="65"/>
      <c r="E887" s="65"/>
      <c r="F887" s="65"/>
      <c r="G887" s="65"/>
      <c r="H887" s="65"/>
      <c r="I887" s="65"/>
      <c r="J887" s="108"/>
      <c r="K887" s="108"/>
      <c r="L887" s="103"/>
      <c r="M887" s="111"/>
      <c r="N887" s="65"/>
      <c r="O887" s="65"/>
      <c r="P887" s="65"/>
      <c r="Q887" s="65"/>
      <c r="R887" s="65"/>
    </row>
    <row r="888">
      <c r="A888" s="61"/>
      <c r="B888" s="61"/>
      <c r="C888" s="61"/>
      <c r="D888" s="61"/>
      <c r="E888" s="61"/>
      <c r="F888" s="61"/>
      <c r="G888" s="61"/>
      <c r="H888" s="61"/>
      <c r="I888" s="61"/>
      <c r="J888" s="107"/>
      <c r="K888" s="107"/>
      <c r="L888" s="100"/>
      <c r="M888" s="110"/>
      <c r="N888" s="61"/>
      <c r="O888" s="61"/>
      <c r="P888" s="61"/>
      <c r="Q888" s="61"/>
      <c r="R888" s="61"/>
    </row>
    <row r="889">
      <c r="A889" s="65"/>
      <c r="B889" s="65"/>
      <c r="C889" s="65"/>
      <c r="D889" s="65"/>
      <c r="E889" s="65"/>
      <c r="F889" s="65"/>
      <c r="G889" s="65"/>
      <c r="H889" s="65"/>
      <c r="I889" s="65"/>
      <c r="J889" s="108"/>
      <c r="K889" s="108"/>
      <c r="L889" s="103"/>
      <c r="M889" s="111"/>
      <c r="N889" s="65"/>
      <c r="O889" s="65"/>
      <c r="P889" s="65"/>
      <c r="Q889" s="65"/>
      <c r="R889" s="65"/>
    </row>
    <row r="890">
      <c r="A890" s="61"/>
      <c r="B890" s="61"/>
      <c r="C890" s="61"/>
      <c r="D890" s="61"/>
      <c r="E890" s="61"/>
      <c r="F890" s="61"/>
      <c r="G890" s="61"/>
      <c r="H890" s="61"/>
      <c r="I890" s="61"/>
      <c r="J890" s="107"/>
      <c r="K890" s="107"/>
      <c r="L890" s="100"/>
      <c r="M890" s="110"/>
      <c r="N890" s="61"/>
      <c r="O890" s="61"/>
      <c r="P890" s="61"/>
      <c r="Q890" s="61"/>
      <c r="R890" s="61"/>
    </row>
    <row r="891">
      <c r="A891" s="65"/>
      <c r="B891" s="65"/>
      <c r="C891" s="65"/>
      <c r="D891" s="65"/>
      <c r="E891" s="65"/>
      <c r="F891" s="65"/>
      <c r="G891" s="65"/>
      <c r="H891" s="65"/>
      <c r="I891" s="65"/>
      <c r="J891" s="108"/>
      <c r="K891" s="108"/>
      <c r="L891" s="103"/>
      <c r="M891" s="111"/>
      <c r="N891" s="65"/>
      <c r="O891" s="65"/>
      <c r="P891" s="65"/>
      <c r="Q891" s="65"/>
      <c r="R891" s="65"/>
    </row>
    <row r="892">
      <c r="A892" s="61"/>
      <c r="B892" s="61"/>
      <c r="C892" s="61"/>
      <c r="D892" s="61"/>
      <c r="E892" s="61"/>
      <c r="F892" s="61"/>
      <c r="G892" s="61"/>
      <c r="H892" s="61"/>
      <c r="I892" s="61"/>
      <c r="J892" s="107"/>
      <c r="K892" s="107"/>
      <c r="L892" s="100"/>
      <c r="M892" s="110"/>
      <c r="N892" s="61"/>
      <c r="O892" s="61"/>
      <c r="P892" s="61"/>
      <c r="Q892" s="61"/>
      <c r="R892" s="61"/>
    </row>
    <row r="893">
      <c r="A893" s="65"/>
      <c r="B893" s="65"/>
      <c r="C893" s="65"/>
      <c r="D893" s="65"/>
      <c r="E893" s="65"/>
      <c r="F893" s="65"/>
      <c r="G893" s="65"/>
      <c r="H893" s="65"/>
      <c r="I893" s="65"/>
      <c r="J893" s="108"/>
      <c r="K893" s="108"/>
      <c r="L893" s="103"/>
      <c r="M893" s="111"/>
      <c r="N893" s="65"/>
      <c r="O893" s="65"/>
      <c r="P893" s="65"/>
      <c r="Q893" s="65"/>
      <c r="R893" s="65"/>
    </row>
    <row r="894">
      <c r="A894" s="61"/>
      <c r="B894" s="61"/>
      <c r="C894" s="61"/>
      <c r="D894" s="61"/>
      <c r="E894" s="61"/>
      <c r="F894" s="61"/>
      <c r="G894" s="61"/>
      <c r="H894" s="61"/>
      <c r="I894" s="61"/>
      <c r="J894" s="107"/>
      <c r="K894" s="107"/>
      <c r="L894" s="100"/>
      <c r="M894" s="110"/>
      <c r="N894" s="61"/>
      <c r="O894" s="61"/>
      <c r="P894" s="61"/>
      <c r="Q894" s="61"/>
      <c r="R894" s="61"/>
    </row>
    <row r="895">
      <c r="A895" s="65"/>
      <c r="B895" s="65"/>
      <c r="C895" s="65"/>
      <c r="D895" s="65"/>
      <c r="E895" s="65"/>
      <c r="F895" s="65"/>
      <c r="G895" s="65"/>
      <c r="H895" s="65"/>
      <c r="I895" s="65"/>
      <c r="J895" s="108"/>
      <c r="K895" s="108"/>
      <c r="L895" s="103"/>
      <c r="M895" s="111"/>
      <c r="N895" s="65"/>
      <c r="O895" s="65"/>
      <c r="P895" s="65"/>
      <c r="Q895" s="65"/>
      <c r="R895" s="65"/>
    </row>
    <row r="896">
      <c r="A896" s="61"/>
      <c r="B896" s="61"/>
      <c r="C896" s="61"/>
      <c r="D896" s="61"/>
      <c r="E896" s="61"/>
      <c r="F896" s="61"/>
      <c r="G896" s="61"/>
      <c r="H896" s="61"/>
      <c r="I896" s="61"/>
      <c r="J896" s="107"/>
      <c r="K896" s="107"/>
      <c r="L896" s="100"/>
      <c r="M896" s="110"/>
      <c r="N896" s="61"/>
      <c r="O896" s="61"/>
      <c r="P896" s="61"/>
      <c r="Q896" s="61"/>
      <c r="R896" s="61"/>
    </row>
    <row r="897">
      <c r="A897" s="65"/>
      <c r="B897" s="65"/>
      <c r="C897" s="65"/>
      <c r="D897" s="65"/>
      <c r="E897" s="65"/>
      <c r="F897" s="65"/>
      <c r="G897" s="65"/>
      <c r="H897" s="65"/>
      <c r="I897" s="65"/>
      <c r="J897" s="108"/>
      <c r="K897" s="108"/>
      <c r="L897" s="103"/>
      <c r="M897" s="111"/>
      <c r="N897" s="65"/>
      <c r="O897" s="65"/>
      <c r="P897" s="65"/>
      <c r="Q897" s="65"/>
      <c r="R897" s="65"/>
    </row>
    <row r="898">
      <c r="A898" s="61"/>
      <c r="B898" s="61"/>
      <c r="C898" s="61"/>
      <c r="D898" s="61"/>
      <c r="E898" s="61"/>
      <c r="F898" s="61"/>
      <c r="G898" s="61"/>
      <c r="H898" s="61"/>
      <c r="I898" s="61"/>
      <c r="J898" s="107"/>
      <c r="K898" s="107"/>
      <c r="L898" s="100"/>
      <c r="M898" s="110"/>
      <c r="N898" s="61"/>
      <c r="O898" s="61"/>
      <c r="P898" s="61"/>
      <c r="Q898" s="61"/>
      <c r="R898" s="61"/>
    </row>
    <row r="899">
      <c r="A899" s="65"/>
      <c r="B899" s="65"/>
      <c r="C899" s="65"/>
      <c r="D899" s="65"/>
      <c r="E899" s="65"/>
      <c r="F899" s="65"/>
      <c r="G899" s="65"/>
      <c r="H899" s="65"/>
      <c r="I899" s="65"/>
      <c r="J899" s="108"/>
      <c r="K899" s="108"/>
      <c r="L899" s="103"/>
      <c r="M899" s="111"/>
      <c r="N899" s="65"/>
      <c r="O899" s="65"/>
      <c r="P899" s="65"/>
      <c r="Q899" s="65"/>
      <c r="R899" s="65"/>
    </row>
    <row r="900">
      <c r="A900" s="61"/>
      <c r="B900" s="61"/>
      <c r="C900" s="61"/>
      <c r="D900" s="61"/>
      <c r="E900" s="61"/>
      <c r="F900" s="61"/>
      <c r="G900" s="61"/>
      <c r="H900" s="61"/>
      <c r="I900" s="61"/>
      <c r="J900" s="107"/>
      <c r="K900" s="107"/>
      <c r="L900" s="100"/>
      <c r="M900" s="110"/>
      <c r="N900" s="61"/>
      <c r="O900" s="61"/>
      <c r="P900" s="61"/>
      <c r="Q900" s="61"/>
      <c r="R900" s="61"/>
    </row>
    <row r="901">
      <c r="A901" s="65"/>
      <c r="B901" s="65"/>
      <c r="C901" s="65"/>
      <c r="D901" s="65"/>
      <c r="E901" s="65"/>
      <c r="F901" s="65"/>
      <c r="G901" s="65"/>
      <c r="H901" s="65"/>
      <c r="I901" s="65"/>
      <c r="J901" s="108"/>
      <c r="K901" s="108"/>
      <c r="L901" s="103"/>
      <c r="M901" s="111"/>
      <c r="N901" s="65"/>
      <c r="O901" s="65"/>
      <c r="P901" s="65"/>
      <c r="Q901" s="65"/>
      <c r="R901" s="65"/>
    </row>
    <row r="902">
      <c r="A902" s="61"/>
      <c r="B902" s="61"/>
      <c r="C902" s="61"/>
      <c r="D902" s="61"/>
      <c r="E902" s="61"/>
      <c r="F902" s="61"/>
      <c r="G902" s="61"/>
      <c r="H902" s="61"/>
      <c r="I902" s="61"/>
      <c r="J902" s="107"/>
      <c r="K902" s="107"/>
      <c r="L902" s="100"/>
      <c r="M902" s="110"/>
      <c r="N902" s="61"/>
      <c r="O902" s="61"/>
      <c r="P902" s="61"/>
      <c r="Q902" s="61"/>
      <c r="R902" s="61"/>
    </row>
    <row r="903">
      <c r="A903" s="65"/>
      <c r="B903" s="65"/>
      <c r="C903" s="65"/>
      <c r="D903" s="65"/>
      <c r="E903" s="65"/>
      <c r="F903" s="65"/>
      <c r="G903" s="65"/>
      <c r="H903" s="65"/>
      <c r="I903" s="65"/>
      <c r="J903" s="108"/>
      <c r="K903" s="108"/>
      <c r="L903" s="103"/>
      <c r="M903" s="111"/>
      <c r="N903" s="65"/>
      <c r="O903" s="65"/>
      <c r="P903" s="65"/>
      <c r="Q903" s="65"/>
      <c r="R903" s="65"/>
    </row>
    <row r="904">
      <c r="A904" s="61"/>
      <c r="B904" s="61"/>
      <c r="C904" s="61"/>
      <c r="D904" s="61"/>
      <c r="E904" s="61"/>
      <c r="F904" s="61"/>
      <c r="G904" s="61"/>
      <c r="H904" s="61"/>
      <c r="I904" s="61"/>
      <c r="J904" s="107"/>
      <c r="K904" s="107"/>
      <c r="L904" s="100"/>
      <c r="M904" s="110"/>
      <c r="N904" s="61"/>
      <c r="O904" s="61"/>
      <c r="P904" s="61"/>
      <c r="Q904" s="61"/>
      <c r="R904" s="61"/>
    </row>
    <row r="905">
      <c r="A905" s="65"/>
      <c r="B905" s="65"/>
      <c r="C905" s="65"/>
      <c r="D905" s="65"/>
      <c r="E905" s="65"/>
      <c r="F905" s="65"/>
      <c r="G905" s="65"/>
      <c r="H905" s="65"/>
      <c r="I905" s="65"/>
      <c r="J905" s="108"/>
      <c r="K905" s="108"/>
      <c r="L905" s="103"/>
      <c r="M905" s="111"/>
      <c r="N905" s="65"/>
      <c r="O905" s="65"/>
      <c r="P905" s="65"/>
      <c r="Q905" s="65"/>
      <c r="R905" s="65"/>
    </row>
    <row r="906">
      <c r="A906" s="61"/>
      <c r="B906" s="61"/>
      <c r="C906" s="61"/>
      <c r="D906" s="61"/>
      <c r="E906" s="61"/>
      <c r="F906" s="61"/>
      <c r="G906" s="61"/>
      <c r="H906" s="61"/>
      <c r="I906" s="61"/>
      <c r="J906" s="107"/>
      <c r="K906" s="107"/>
      <c r="L906" s="100"/>
      <c r="M906" s="110"/>
      <c r="N906" s="61"/>
      <c r="O906" s="61"/>
      <c r="P906" s="61"/>
      <c r="Q906" s="61"/>
      <c r="R906" s="61"/>
    </row>
    <row r="907">
      <c r="A907" s="65"/>
      <c r="B907" s="65"/>
      <c r="C907" s="65"/>
      <c r="D907" s="65"/>
      <c r="E907" s="65"/>
      <c r="F907" s="65"/>
      <c r="G907" s="65"/>
      <c r="H907" s="65"/>
      <c r="I907" s="65"/>
      <c r="J907" s="108"/>
      <c r="K907" s="108"/>
      <c r="L907" s="103"/>
      <c r="M907" s="111"/>
      <c r="N907" s="65"/>
      <c r="O907" s="65"/>
      <c r="P907" s="65"/>
      <c r="Q907" s="65"/>
      <c r="R907" s="65"/>
    </row>
    <row r="908">
      <c r="A908" s="61"/>
      <c r="B908" s="61"/>
      <c r="C908" s="61"/>
      <c r="D908" s="61"/>
      <c r="E908" s="61"/>
      <c r="F908" s="61"/>
      <c r="G908" s="61"/>
      <c r="H908" s="61"/>
      <c r="I908" s="61"/>
      <c r="J908" s="107"/>
      <c r="K908" s="107"/>
      <c r="L908" s="100"/>
      <c r="M908" s="110"/>
      <c r="N908" s="61"/>
      <c r="O908" s="61"/>
      <c r="P908" s="61"/>
      <c r="Q908" s="61"/>
      <c r="R908" s="61"/>
    </row>
    <row r="909">
      <c r="A909" s="65"/>
      <c r="B909" s="65"/>
      <c r="C909" s="65"/>
      <c r="D909" s="65"/>
      <c r="E909" s="65"/>
      <c r="F909" s="65"/>
      <c r="G909" s="65"/>
      <c r="H909" s="65"/>
      <c r="I909" s="65"/>
      <c r="J909" s="108"/>
      <c r="K909" s="108"/>
      <c r="L909" s="103"/>
      <c r="M909" s="111"/>
      <c r="N909" s="65"/>
      <c r="O909" s="65"/>
      <c r="P909" s="65"/>
      <c r="Q909" s="65"/>
      <c r="R909" s="65"/>
    </row>
    <row r="910">
      <c r="A910" s="61"/>
      <c r="B910" s="61"/>
      <c r="C910" s="61"/>
      <c r="D910" s="61"/>
      <c r="E910" s="61"/>
      <c r="F910" s="61"/>
      <c r="G910" s="61"/>
      <c r="H910" s="61"/>
      <c r="I910" s="61"/>
      <c r="J910" s="107"/>
      <c r="K910" s="107"/>
      <c r="L910" s="100"/>
      <c r="M910" s="110"/>
      <c r="N910" s="61"/>
      <c r="O910" s="61"/>
      <c r="P910" s="61"/>
      <c r="Q910" s="61"/>
      <c r="R910" s="61"/>
    </row>
    <row r="911">
      <c r="A911" s="65"/>
      <c r="B911" s="65"/>
      <c r="C911" s="65"/>
      <c r="D911" s="65"/>
      <c r="E911" s="65"/>
      <c r="F911" s="65"/>
      <c r="G911" s="65"/>
      <c r="H911" s="65"/>
      <c r="I911" s="65"/>
      <c r="J911" s="108"/>
      <c r="K911" s="108"/>
      <c r="L911" s="103"/>
      <c r="M911" s="111"/>
      <c r="N911" s="65"/>
      <c r="O911" s="65"/>
      <c r="P911" s="65"/>
      <c r="Q911" s="65"/>
      <c r="R911" s="65"/>
    </row>
    <row r="912">
      <c r="A912" s="61"/>
      <c r="B912" s="61"/>
      <c r="C912" s="61"/>
      <c r="D912" s="61"/>
      <c r="E912" s="61"/>
      <c r="F912" s="61"/>
      <c r="G912" s="61"/>
      <c r="H912" s="61"/>
      <c r="I912" s="61"/>
      <c r="J912" s="107"/>
      <c r="K912" s="107"/>
      <c r="L912" s="100"/>
      <c r="M912" s="110"/>
      <c r="N912" s="61"/>
      <c r="O912" s="61"/>
      <c r="P912" s="61"/>
      <c r="Q912" s="61"/>
      <c r="R912" s="61"/>
    </row>
    <row r="913">
      <c r="A913" s="65"/>
      <c r="B913" s="65"/>
      <c r="C913" s="65"/>
      <c r="D913" s="65"/>
      <c r="E913" s="65"/>
      <c r="F913" s="65"/>
      <c r="G913" s="65"/>
      <c r="H913" s="65"/>
      <c r="I913" s="65"/>
      <c r="J913" s="108"/>
      <c r="K913" s="108"/>
      <c r="L913" s="103"/>
      <c r="M913" s="111"/>
      <c r="N913" s="65"/>
      <c r="O913" s="65"/>
      <c r="P913" s="65"/>
      <c r="Q913" s="65"/>
      <c r="R913" s="65"/>
    </row>
    <row r="914">
      <c r="A914" s="61"/>
      <c r="B914" s="61"/>
      <c r="C914" s="61"/>
      <c r="D914" s="61"/>
      <c r="E914" s="61"/>
      <c r="F914" s="61"/>
      <c r="G914" s="61"/>
      <c r="H914" s="61"/>
      <c r="I914" s="61"/>
      <c r="J914" s="107"/>
      <c r="K914" s="107"/>
      <c r="L914" s="100"/>
      <c r="M914" s="110"/>
      <c r="N914" s="61"/>
      <c r="O914" s="61"/>
      <c r="P914" s="61"/>
      <c r="Q914" s="61"/>
      <c r="R914" s="61"/>
    </row>
    <row r="915">
      <c r="A915" s="65"/>
      <c r="B915" s="65"/>
      <c r="C915" s="65"/>
      <c r="D915" s="65"/>
      <c r="E915" s="65"/>
      <c r="F915" s="65"/>
      <c r="G915" s="65"/>
      <c r="H915" s="65"/>
      <c r="I915" s="65"/>
      <c r="J915" s="108"/>
      <c r="K915" s="108"/>
      <c r="L915" s="103"/>
      <c r="M915" s="111"/>
      <c r="N915" s="65"/>
      <c r="O915" s="65"/>
      <c r="P915" s="65"/>
      <c r="Q915" s="65"/>
      <c r="R915" s="65"/>
    </row>
    <row r="916">
      <c r="A916" s="61"/>
      <c r="B916" s="61"/>
      <c r="C916" s="61"/>
      <c r="D916" s="61"/>
      <c r="E916" s="61"/>
      <c r="F916" s="61"/>
      <c r="G916" s="61"/>
      <c r="H916" s="61"/>
      <c r="I916" s="61"/>
      <c r="J916" s="107"/>
      <c r="K916" s="107"/>
      <c r="L916" s="100"/>
      <c r="M916" s="110"/>
      <c r="N916" s="61"/>
      <c r="O916" s="61"/>
      <c r="P916" s="61"/>
      <c r="Q916" s="61"/>
      <c r="R916" s="61"/>
    </row>
    <row r="917">
      <c r="A917" s="65"/>
      <c r="B917" s="65"/>
      <c r="C917" s="65"/>
      <c r="D917" s="65"/>
      <c r="E917" s="65"/>
      <c r="F917" s="65"/>
      <c r="G917" s="65"/>
      <c r="H917" s="65"/>
      <c r="I917" s="65"/>
      <c r="J917" s="108"/>
      <c r="K917" s="108"/>
      <c r="L917" s="103"/>
      <c r="M917" s="111"/>
      <c r="N917" s="65"/>
      <c r="O917" s="65"/>
      <c r="P917" s="65"/>
      <c r="Q917" s="65"/>
      <c r="R917" s="65"/>
    </row>
    <row r="918">
      <c r="A918" s="61"/>
      <c r="B918" s="61"/>
      <c r="C918" s="61"/>
      <c r="D918" s="61"/>
      <c r="E918" s="61"/>
      <c r="F918" s="61"/>
      <c r="G918" s="61"/>
      <c r="H918" s="61"/>
      <c r="I918" s="61"/>
      <c r="J918" s="107"/>
      <c r="K918" s="107"/>
      <c r="L918" s="100"/>
      <c r="M918" s="110"/>
      <c r="N918" s="61"/>
      <c r="O918" s="61"/>
      <c r="P918" s="61"/>
      <c r="Q918" s="61"/>
      <c r="R918" s="61"/>
    </row>
    <row r="919">
      <c r="A919" s="65"/>
      <c r="B919" s="65"/>
      <c r="C919" s="65"/>
      <c r="D919" s="65"/>
      <c r="E919" s="65"/>
      <c r="F919" s="65"/>
      <c r="G919" s="65"/>
      <c r="H919" s="65"/>
      <c r="I919" s="65"/>
      <c r="J919" s="108"/>
      <c r="K919" s="108"/>
      <c r="L919" s="103"/>
      <c r="M919" s="111"/>
      <c r="N919" s="65"/>
      <c r="O919" s="65"/>
      <c r="P919" s="65"/>
      <c r="Q919" s="65"/>
      <c r="R919" s="65"/>
    </row>
    <row r="920">
      <c r="A920" s="61"/>
      <c r="B920" s="61"/>
      <c r="C920" s="61"/>
      <c r="D920" s="61"/>
      <c r="E920" s="61"/>
      <c r="F920" s="61"/>
      <c r="G920" s="61"/>
      <c r="H920" s="61"/>
      <c r="I920" s="61"/>
      <c r="J920" s="107"/>
      <c r="K920" s="107"/>
      <c r="L920" s="100"/>
      <c r="M920" s="110"/>
      <c r="N920" s="61"/>
      <c r="O920" s="61"/>
      <c r="P920" s="61"/>
      <c r="Q920" s="61"/>
      <c r="R920" s="61"/>
    </row>
    <row r="921">
      <c r="A921" s="65"/>
      <c r="B921" s="65"/>
      <c r="C921" s="65"/>
      <c r="D921" s="65"/>
      <c r="E921" s="65"/>
      <c r="F921" s="65"/>
      <c r="G921" s="65"/>
      <c r="H921" s="65"/>
      <c r="I921" s="65"/>
      <c r="J921" s="108"/>
      <c r="K921" s="108"/>
      <c r="L921" s="103"/>
      <c r="M921" s="111"/>
      <c r="N921" s="65"/>
      <c r="O921" s="65"/>
      <c r="P921" s="65"/>
      <c r="Q921" s="65"/>
      <c r="R921" s="65"/>
    </row>
    <row r="922">
      <c r="A922" s="61"/>
      <c r="B922" s="61"/>
      <c r="C922" s="61"/>
      <c r="D922" s="61"/>
      <c r="E922" s="61"/>
      <c r="F922" s="61"/>
      <c r="G922" s="61"/>
      <c r="H922" s="61"/>
      <c r="I922" s="61"/>
      <c r="J922" s="107"/>
      <c r="K922" s="107"/>
      <c r="L922" s="100"/>
      <c r="M922" s="110"/>
      <c r="N922" s="61"/>
      <c r="O922" s="61"/>
      <c r="P922" s="61"/>
      <c r="Q922" s="61"/>
      <c r="R922" s="61"/>
    </row>
    <row r="923">
      <c r="A923" s="65"/>
      <c r="B923" s="65"/>
      <c r="C923" s="65"/>
      <c r="D923" s="65"/>
      <c r="E923" s="65"/>
      <c r="F923" s="65"/>
      <c r="G923" s="65"/>
      <c r="H923" s="65"/>
      <c r="I923" s="65"/>
      <c r="J923" s="108"/>
      <c r="K923" s="108"/>
      <c r="L923" s="103"/>
      <c r="M923" s="111"/>
      <c r="N923" s="65"/>
      <c r="O923" s="65"/>
      <c r="P923" s="65"/>
      <c r="Q923" s="65"/>
      <c r="R923" s="65"/>
    </row>
    <row r="924">
      <c r="A924" s="61"/>
      <c r="B924" s="61"/>
      <c r="C924" s="61"/>
      <c r="D924" s="61"/>
      <c r="E924" s="61"/>
      <c r="F924" s="61"/>
      <c r="G924" s="61"/>
      <c r="H924" s="61"/>
      <c r="I924" s="61"/>
      <c r="J924" s="107"/>
      <c r="K924" s="107"/>
      <c r="L924" s="100"/>
      <c r="M924" s="110"/>
      <c r="N924" s="61"/>
      <c r="O924" s="61"/>
      <c r="P924" s="61"/>
      <c r="Q924" s="61"/>
      <c r="R924" s="61"/>
    </row>
    <row r="925">
      <c r="A925" s="65"/>
      <c r="B925" s="65"/>
      <c r="C925" s="65"/>
      <c r="D925" s="65"/>
      <c r="E925" s="65"/>
      <c r="F925" s="65"/>
      <c r="G925" s="65"/>
      <c r="H925" s="65"/>
      <c r="I925" s="65"/>
      <c r="J925" s="108"/>
      <c r="K925" s="108"/>
      <c r="L925" s="103"/>
      <c r="M925" s="111"/>
      <c r="N925" s="65"/>
      <c r="O925" s="65"/>
      <c r="P925" s="65"/>
      <c r="Q925" s="65"/>
      <c r="R925" s="65"/>
    </row>
    <row r="926">
      <c r="A926" s="61"/>
      <c r="B926" s="61"/>
      <c r="C926" s="61"/>
      <c r="D926" s="61"/>
      <c r="E926" s="61"/>
      <c r="F926" s="61"/>
      <c r="G926" s="61"/>
      <c r="H926" s="61"/>
      <c r="I926" s="61"/>
      <c r="J926" s="107"/>
      <c r="K926" s="107"/>
      <c r="L926" s="100"/>
      <c r="M926" s="110"/>
      <c r="N926" s="61"/>
      <c r="O926" s="61"/>
      <c r="P926" s="61"/>
      <c r="Q926" s="61"/>
      <c r="R926" s="61"/>
    </row>
    <row r="927">
      <c r="A927" s="65"/>
      <c r="B927" s="65"/>
      <c r="C927" s="65"/>
      <c r="D927" s="65"/>
      <c r="E927" s="65"/>
      <c r="F927" s="65"/>
      <c r="G927" s="65"/>
      <c r="H927" s="65"/>
      <c r="I927" s="65"/>
      <c r="J927" s="108"/>
      <c r="K927" s="108"/>
      <c r="L927" s="103"/>
      <c r="M927" s="111"/>
      <c r="N927" s="65"/>
      <c r="O927" s="65"/>
      <c r="P927" s="65"/>
      <c r="Q927" s="65"/>
      <c r="R927" s="65"/>
    </row>
    <row r="928">
      <c r="A928" s="61"/>
      <c r="B928" s="61"/>
      <c r="C928" s="61"/>
      <c r="D928" s="61"/>
      <c r="E928" s="61"/>
      <c r="F928" s="61"/>
      <c r="G928" s="61"/>
      <c r="H928" s="61"/>
      <c r="I928" s="61"/>
      <c r="J928" s="107"/>
      <c r="K928" s="107"/>
      <c r="L928" s="100"/>
      <c r="M928" s="110"/>
      <c r="N928" s="61"/>
      <c r="O928" s="61"/>
      <c r="P928" s="61"/>
      <c r="Q928" s="61"/>
      <c r="R928" s="61"/>
    </row>
    <row r="929">
      <c r="A929" s="65"/>
      <c r="B929" s="65"/>
      <c r="C929" s="65"/>
      <c r="D929" s="65"/>
      <c r="E929" s="65"/>
      <c r="F929" s="65"/>
      <c r="G929" s="65"/>
      <c r="H929" s="65"/>
      <c r="I929" s="65"/>
      <c r="J929" s="108"/>
      <c r="K929" s="108"/>
      <c r="L929" s="103"/>
      <c r="M929" s="111"/>
      <c r="N929" s="65"/>
      <c r="O929" s="65"/>
      <c r="P929" s="65"/>
      <c r="Q929" s="65"/>
      <c r="R929" s="65"/>
    </row>
    <row r="930">
      <c r="A930" s="61"/>
      <c r="B930" s="61"/>
      <c r="C930" s="61"/>
      <c r="D930" s="61"/>
      <c r="E930" s="61"/>
      <c r="F930" s="61"/>
      <c r="G930" s="61"/>
      <c r="H930" s="61"/>
      <c r="I930" s="61"/>
      <c r="J930" s="107"/>
      <c r="K930" s="107"/>
      <c r="L930" s="100"/>
      <c r="M930" s="110"/>
      <c r="N930" s="61"/>
      <c r="O930" s="61"/>
      <c r="P930" s="61"/>
      <c r="Q930" s="61"/>
      <c r="R930" s="61"/>
    </row>
    <row r="931">
      <c r="A931" s="65"/>
      <c r="B931" s="65"/>
      <c r="C931" s="65"/>
      <c r="D931" s="65"/>
      <c r="E931" s="65"/>
      <c r="F931" s="65"/>
      <c r="G931" s="65"/>
      <c r="H931" s="65"/>
      <c r="I931" s="65"/>
      <c r="J931" s="108"/>
      <c r="K931" s="108"/>
      <c r="L931" s="103"/>
      <c r="M931" s="111"/>
      <c r="N931" s="65"/>
      <c r="O931" s="65"/>
      <c r="P931" s="65"/>
      <c r="Q931" s="65"/>
      <c r="R931" s="65"/>
    </row>
    <row r="932">
      <c r="A932" s="61"/>
      <c r="B932" s="61"/>
      <c r="C932" s="61"/>
      <c r="D932" s="61"/>
      <c r="E932" s="61"/>
      <c r="F932" s="61"/>
      <c r="G932" s="61"/>
      <c r="H932" s="61"/>
      <c r="I932" s="61"/>
      <c r="J932" s="107"/>
      <c r="K932" s="107"/>
      <c r="L932" s="100"/>
      <c r="M932" s="110"/>
      <c r="N932" s="61"/>
      <c r="O932" s="61"/>
      <c r="P932" s="61"/>
      <c r="Q932" s="61"/>
      <c r="R932" s="61"/>
    </row>
    <row r="933">
      <c r="A933" s="65"/>
      <c r="B933" s="65"/>
      <c r="C933" s="65"/>
      <c r="D933" s="65"/>
      <c r="E933" s="65"/>
      <c r="F933" s="65"/>
      <c r="G933" s="65"/>
      <c r="H933" s="65"/>
      <c r="I933" s="65"/>
      <c r="J933" s="108"/>
      <c r="K933" s="108"/>
      <c r="L933" s="103"/>
      <c r="M933" s="111"/>
      <c r="N933" s="65"/>
      <c r="O933" s="65"/>
      <c r="P933" s="65"/>
      <c r="Q933" s="65"/>
      <c r="R933" s="65"/>
    </row>
    <row r="934">
      <c r="A934" s="61"/>
      <c r="B934" s="61"/>
      <c r="C934" s="61"/>
      <c r="D934" s="61"/>
      <c r="E934" s="61"/>
      <c r="F934" s="61"/>
      <c r="G934" s="61"/>
      <c r="H934" s="61"/>
      <c r="I934" s="61"/>
      <c r="J934" s="107"/>
      <c r="K934" s="107"/>
      <c r="L934" s="100"/>
      <c r="M934" s="110"/>
      <c r="N934" s="61"/>
      <c r="O934" s="61"/>
      <c r="P934" s="61"/>
      <c r="Q934" s="61"/>
      <c r="R934" s="61"/>
    </row>
    <row r="935">
      <c r="A935" s="65"/>
      <c r="B935" s="65"/>
      <c r="C935" s="65"/>
      <c r="D935" s="65"/>
      <c r="E935" s="65"/>
      <c r="F935" s="65"/>
      <c r="G935" s="65"/>
      <c r="H935" s="65"/>
      <c r="I935" s="65"/>
      <c r="J935" s="108"/>
      <c r="K935" s="108"/>
      <c r="L935" s="103"/>
      <c r="M935" s="111"/>
      <c r="N935" s="65"/>
      <c r="O935" s="65"/>
      <c r="P935" s="65"/>
      <c r="Q935" s="65"/>
      <c r="R935" s="65"/>
    </row>
    <row r="936">
      <c r="A936" s="61"/>
      <c r="B936" s="61"/>
      <c r="C936" s="61"/>
      <c r="D936" s="61"/>
      <c r="E936" s="61"/>
      <c r="F936" s="61"/>
      <c r="G936" s="61"/>
      <c r="H936" s="61"/>
      <c r="I936" s="61"/>
      <c r="J936" s="107"/>
      <c r="K936" s="107"/>
      <c r="L936" s="100"/>
      <c r="M936" s="110"/>
      <c r="N936" s="61"/>
      <c r="O936" s="61"/>
      <c r="P936" s="61"/>
      <c r="Q936" s="61"/>
      <c r="R936" s="61"/>
    </row>
    <row r="937">
      <c r="A937" s="65"/>
      <c r="B937" s="65"/>
      <c r="C937" s="65"/>
      <c r="D937" s="65"/>
      <c r="E937" s="65"/>
      <c r="F937" s="65"/>
      <c r="G937" s="65"/>
      <c r="H937" s="65"/>
      <c r="I937" s="65"/>
      <c r="J937" s="108"/>
      <c r="K937" s="108"/>
      <c r="L937" s="103"/>
      <c r="M937" s="111"/>
      <c r="N937" s="65"/>
      <c r="O937" s="65"/>
      <c r="P937" s="65"/>
      <c r="Q937" s="65"/>
      <c r="R937" s="65"/>
    </row>
    <row r="938">
      <c r="A938" s="61"/>
      <c r="B938" s="61"/>
      <c r="C938" s="61"/>
      <c r="D938" s="61"/>
      <c r="E938" s="61"/>
      <c r="F938" s="61"/>
      <c r="G938" s="61"/>
      <c r="H938" s="61"/>
      <c r="I938" s="61"/>
      <c r="J938" s="107"/>
      <c r="K938" s="107"/>
      <c r="L938" s="100"/>
      <c r="M938" s="110"/>
      <c r="N938" s="61"/>
      <c r="O938" s="61"/>
      <c r="P938" s="61"/>
      <c r="Q938" s="61"/>
      <c r="R938" s="61"/>
    </row>
    <row r="939">
      <c r="A939" s="65"/>
      <c r="B939" s="65"/>
      <c r="C939" s="65"/>
      <c r="D939" s="65"/>
      <c r="E939" s="65"/>
      <c r="F939" s="65"/>
      <c r="G939" s="65"/>
      <c r="H939" s="65"/>
      <c r="I939" s="65"/>
      <c r="J939" s="108"/>
      <c r="K939" s="108"/>
      <c r="L939" s="103"/>
      <c r="M939" s="111"/>
      <c r="N939" s="65"/>
      <c r="O939" s="65"/>
      <c r="P939" s="65"/>
      <c r="Q939" s="65"/>
      <c r="R939" s="65"/>
    </row>
    <row r="940">
      <c r="A940" s="61"/>
      <c r="B940" s="61"/>
      <c r="C940" s="61"/>
      <c r="D940" s="61"/>
      <c r="E940" s="61"/>
      <c r="F940" s="61"/>
      <c r="G940" s="61"/>
      <c r="H940" s="61"/>
      <c r="I940" s="61"/>
      <c r="J940" s="107"/>
      <c r="K940" s="107"/>
      <c r="L940" s="100"/>
      <c r="M940" s="110"/>
      <c r="N940" s="61"/>
      <c r="O940" s="61"/>
      <c r="P940" s="61"/>
      <c r="Q940" s="61"/>
      <c r="R940" s="61"/>
    </row>
    <row r="941">
      <c r="A941" s="65"/>
      <c r="B941" s="65"/>
      <c r="C941" s="65"/>
      <c r="D941" s="65"/>
      <c r="E941" s="65"/>
      <c r="F941" s="65"/>
      <c r="G941" s="65"/>
      <c r="H941" s="65"/>
      <c r="I941" s="65"/>
      <c r="J941" s="108"/>
      <c r="K941" s="108"/>
      <c r="L941" s="103"/>
      <c r="M941" s="111"/>
      <c r="N941" s="65"/>
      <c r="O941" s="65"/>
      <c r="P941" s="65"/>
      <c r="Q941" s="65"/>
      <c r="R941" s="65"/>
    </row>
    <row r="942">
      <c r="A942" s="61"/>
      <c r="B942" s="61"/>
      <c r="C942" s="61"/>
      <c r="D942" s="61"/>
      <c r="E942" s="61"/>
      <c r="F942" s="61"/>
      <c r="G942" s="61"/>
      <c r="H942" s="61"/>
      <c r="I942" s="61"/>
      <c r="J942" s="107"/>
      <c r="K942" s="107"/>
      <c r="L942" s="100"/>
      <c r="M942" s="110"/>
      <c r="N942" s="61"/>
      <c r="O942" s="61"/>
      <c r="P942" s="61"/>
      <c r="Q942" s="61"/>
      <c r="R942" s="61"/>
    </row>
    <row r="943">
      <c r="A943" s="65"/>
      <c r="B943" s="65"/>
      <c r="C943" s="65"/>
      <c r="D943" s="65"/>
      <c r="E943" s="65"/>
      <c r="F943" s="65"/>
      <c r="G943" s="65"/>
      <c r="H943" s="65"/>
      <c r="I943" s="65"/>
      <c r="J943" s="108"/>
      <c r="K943" s="108"/>
      <c r="L943" s="103"/>
      <c r="M943" s="111"/>
      <c r="N943" s="65"/>
      <c r="O943" s="65"/>
      <c r="P943" s="65"/>
      <c r="Q943" s="65"/>
      <c r="R943" s="65"/>
    </row>
    <row r="944">
      <c r="A944" s="61"/>
      <c r="B944" s="61"/>
      <c r="C944" s="61"/>
      <c r="D944" s="61"/>
      <c r="E944" s="61"/>
      <c r="F944" s="61"/>
      <c r="G944" s="61"/>
      <c r="H944" s="61"/>
      <c r="I944" s="61"/>
      <c r="J944" s="107"/>
      <c r="K944" s="107"/>
      <c r="L944" s="100"/>
      <c r="M944" s="110"/>
      <c r="N944" s="61"/>
      <c r="O944" s="61"/>
      <c r="P944" s="61"/>
      <c r="Q944" s="61"/>
      <c r="R944" s="61"/>
    </row>
    <row r="945">
      <c r="A945" s="65"/>
      <c r="B945" s="65"/>
      <c r="C945" s="65"/>
      <c r="D945" s="65"/>
      <c r="E945" s="65"/>
      <c r="F945" s="65"/>
      <c r="G945" s="65"/>
      <c r="H945" s="65"/>
      <c r="I945" s="65"/>
      <c r="J945" s="108"/>
      <c r="K945" s="108"/>
      <c r="L945" s="103"/>
      <c r="M945" s="111"/>
      <c r="N945" s="65"/>
      <c r="O945" s="65"/>
      <c r="P945" s="65"/>
      <c r="Q945" s="65"/>
      <c r="R945" s="65"/>
    </row>
    <row r="946">
      <c r="A946" s="61"/>
      <c r="B946" s="61"/>
      <c r="C946" s="61"/>
      <c r="D946" s="61"/>
      <c r="E946" s="61"/>
      <c r="F946" s="61"/>
      <c r="G946" s="61"/>
      <c r="H946" s="61"/>
      <c r="I946" s="61"/>
      <c r="J946" s="107"/>
      <c r="K946" s="107"/>
      <c r="L946" s="100"/>
      <c r="M946" s="110"/>
      <c r="N946" s="61"/>
      <c r="O946" s="61"/>
      <c r="P946" s="61"/>
      <c r="Q946" s="61"/>
      <c r="R946" s="61"/>
    </row>
    <row r="947">
      <c r="A947" s="65"/>
      <c r="B947" s="65"/>
      <c r="C947" s="65"/>
      <c r="D947" s="65"/>
      <c r="E947" s="65"/>
      <c r="F947" s="65"/>
      <c r="G947" s="65"/>
      <c r="H947" s="65"/>
      <c r="I947" s="65"/>
      <c r="J947" s="108"/>
      <c r="K947" s="108"/>
      <c r="L947" s="103"/>
      <c r="M947" s="111"/>
      <c r="N947" s="65"/>
      <c r="O947" s="65"/>
      <c r="P947" s="65"/>
      <c r="Q947" s="65"/>
      <c r="R947" s="65"/>
    </row>
    <row r="948">
      <c r="A948" s="61"/>
      <c r="B948" s="61"/>
      <c r="C948" s="61"/>
      <c r="D948" s="61"/>
      <c r="E948" s="61"/>
      <c r="F948" s="61"/>
      <c r="G948" s="61"/>
      <c r="H948" s="61"/>
      <c r="I948" s="61"/>
      <c r="J948" s="107"/>
      <c r="K948" s="107"/>
      <c r="L948" s="100"/>
      <c r="M948" s="110"/>
      <c r="N948" s="61"/>
      <c r="O948" s="61"/>
      <c r="P948" s="61"/>
      <c r="Q948" s="61"/>
      <c r="R948" s="61"/>
    </row>
    <row r="949">
      <c r="A949" s="65"/>
      <c r="B949" s="65"/>
      <c r="C949" s="65"/>
      <c r="D949" s="65"/>
      <c r="E949" s="65"/>
      <c r="F949" s="65"/>
      <c r="G949" s="65"/>
      <c r="H949" s="65"/>
      <c r="I949" s="65"/>
      <c r="J949" s="108"/>
      <c r="K949" s="108"/>
      <c r="L949" s="103"/>
      <c r="M949" s="111"/>
      <c r="N949" s="65"/>
      <c r="O949" s="65"/>
      <c r="P949" s="65"/>
      <c r="Q949" s="65"/>
      <c r="R949" s="65"/>
    </row>
    <row r="950">
      <c r="A950" s="61"/>
      <c r="B950" s="61"/>
      <c r="C950" s="61"/>
      <c r="D950" s="61"/>
      <c r="E950" s="61"/>
      <c r="F950" s="61"/>
      <c r="G950" s="61"/>
      <c r="H950" s="61"/>
      <c r="I950" s="61"/>
      <c r="J950" s="107"/>
      <c r="K950" s="107"/>
      <c r="L950" s="100"/>
      <c r="M950" s="110"/>
      <c r="N950" s="61"/>
      <c r="O950" s="61"/>
      <c r="P950" s="61"/>
      <c r="Q950" s="61"/>
      <c r="R950" s="61"/>
    </row>
    <row r="951">
      <c r="A951" s="65"/>
      <c r="B951" s="65"/>
      <c r="C951" s="65"/>
      <c r="D951" s="65"/>
      <c r="E951" s="65"/>
      <c r="F951" s="65"/>
      <c r="G951" s="65"/>
      <c r="H951" s="65"/>
      <c r="I951" s="65"/>
      <c r="J951" s="108"/>
      <c r="K951" s="108"/>
      <c r="L951" s="103"/>
      <c r="M951" s="111"/>
      <c r="N951" s="65"/>
      <c r="O951" s="65"/>
      <c r="P951" s="65"/>
      <c r="Q951" s="65"/>
      <c r="R951" s="65"/>
    </row>
    <row r="952">
      <c r="A952" s="61"/>
      <c r="B952" s="61"/>
      <c r="C952" s="61"/>
      <c r="D952" s="61"/>
      <c r="E952" s="61"/>
      <c r="F952" s="61"/>
      <c r="G952" s="61"/>
      <c r="H952" s="61"/>
      <c r="I952" s="61"/>
      <c r="J952" s="107"/>
      <c r="K952" s="107"/>
      <c r="L952" s="100"/>
      <c r="M952" s="110"/>
      <c r="N952" s="61"/>
      <c r="O952" s="61"/>
      <c r="P952" s="61"/>
      <c r="Q952" s="61"/>
      <c r="R952" s="61"/>
    </row>
    <row r="953">
      <c r="A953" s="65"/>
      <c r="B953" s="65"/>
      <c r="C953" s="65"/>
      <c r="D953" s="65"/>
      <c r="E953" s="65"/>
      <c r="F953" s="65"/>
      <c r="G953" s="65"/>
      <c r="H953" s="65"/>
      <c r="I953" s="65"/>
      <c r="J953" s="108"/>
      <c r="K953" s="108"/>
      <c r="L953" s="103"/>
      <c r="M953" s="111"/>
      <c r="N953" s="65"/>
      <c r="O953" s="65"/>
      <c r="P953" s="65"/>
      <c r="Q953" s="65"/>
      <c r="R953" s="65"/>
    </row>
    <row r="954">
      <c r="A954" s="61"/>
      <c r="B954" s="61"/>
      <c r="C954" s="61"/>
      <c r="D954" s="61"/>
      <c r="E954" s="61"/>
      <c r="F954" s="61"/>
      <c r="G954" s="61"/>
      <c r="H954" s="61"/>
      <c r="I954" s="61"/>
      <c r="J954" s="107"/>
      <c r="K954" s="107"/>
      <c r="L954" s="100"/>
      <c r="M954" s="110"/>
      <c r="N954" s="61"/>
      <c r="O954" s="61"/>
      <c r="P954" s="61"/>
      <c r="Q954" s="61"/>
      <c r="R954" s="61"/>
    </row>
    <row r="955">
      <c r="A955" s="65"/>
      <c r="B955" s="65"/>
      <c r="C955" s="65"/>
      <c r="D955" s="65"/>
      <c r="E955" s="65"/>
      <c r="F955" s="65"/>
      <c r="G955" s="65"/>
      <c r="H955" s="65"/>
      <c r="I955" s="65"/>
      <c r="J955" s="108"/>
      <c r="K955" s="108"/>
      <c r="L955" s="103"/>
      <c r="M955" s="111"/>
      <c r="N955" s="65"/>
      <c r="O955" s="65"/>
      <c r="P955" s="65"/>
      <c r="Q955" s="65"/>
      <c r="R955" s="65"/>
    </row>
    <row r="956">
      <c r="A956" s="61"/>
      <c r="B956" s="61"/>
      <c r="C956" s="61"/>
      <c r="D956" s="61"/>
      <c r="E956" s="61"/>
      <c r="F956" s="61"/>
      <c r="G956" s="61"/>
      <c r="H956" s="61"/>
      <c r="I956" s="61"/>
      <c r="J956" s="107"/>
      <c r="K956" s="107"/>
      <c r="L956" s="100"/>
      <c r="M956" s="110"/>
      <c r="N956" s="61"/>
      <c r="O956" s="61"/>
      <c r="P956" s="61"/>
      <c r="Q956" s="61"/>
      <c r="R956" s="61"/>
    </row>
    <row r="957">
      <c r="A957" s="65"/>
      <c r="B957" s="65"/>
      <c r="C957" s="65"/>
      <c r="D957" s="65"/>
      <c r="E957" s="65"/>
      <c r="F957" s="65"/>
      <c r="G957" s="65"/>
      <c r="H957" s="65"/>
      <c r="I957" s="65"/>
      <c r="J957" s="108"/>
      <c r="K957" s="108"/>
      <c r="L957" s="103"/>
      <c r="M957" s="111"/>
      <c r="N957" s="65"/>
      <c r="O957" s="65"/>
      <c r="P957" s="65"/>
      <c r="Q957" s="65"/>
      <c r="R957" s="65"/>
    </row>
    <row r="958">
      <c r="A958" s="61"/>
      <c r="B958" s="61"/>
      <c r="C958" s="61"/>
      <c r="D958" s="61"/>
      <c r="E958" s="61"/>
      <c r="F958" s="61"/>
      <c r="G958" s="61"/>
      <c r="H958" s="61"/>
      <c r="I958" s="61"/>
      <c r="J958" s="107"/>
      <c r="K958" s="107"/>
      <c r="L958" s="100"/>
      <c r="M958" s="110"/>
      <c r="N958" s="61"/>
      <c r="O958" s="61"/>
      <c r="P958" s="61"/>
      <c r="Q958" s="61"/>
      <c r="R958" s="61"/>
    </row>
    <row r="959">
      <c r="A959" s="65"/>
      <c r="B959" s="65"/>
      <c r="C959" s="65"/>
      <c r="D959" s="65"/>
      <c r="E959" s="65"/>
      <c r="F959" s="65"/>
      <c r="G959" s="65"/>
      <c r="H959" s="65"/>
      <c r="I959" s="65"/>
      <c r="J959" s="108"/>
      <c r="K959" s="108"/>
      <c r="L959" s="103"/>
      <c r="M959" s="111"/>
      <c r="N959" s="65"/>
      <c r="O959" s="65"/>
      <c r="P959" s="65"/>
      <c r="Q959" s="65"/>
      <c r="R959" s="65"/>
    </row>
    <row r="960">
      <c r="A960" s="61"/>
      <c r="B960" s="61"/>
      <c r="C960" s="61"/>
      <c r="D960" s="61"/>
      <c r="E960" s="61"/>
      <c r="F960" s="61"/>
      <c r="G960" s="61"/>
      <c r="H960" s="61"/>
      <c r="I960" s="61"/>
      <c r="J960" s="107"/>
      <c r="K960" s="107"/>
      <c r="L960" s="100"/>
      <c r="M960" s="110"/>
      <c r="N960" s="61"/>
      <c r="O960" s="61"/>
      <c r="P960" s="61"/>
      <c r="Q960" s="61"/>
      <c r="R960" s="61"/>
    </row>
    <row r="961">
      <c r="A961" s="65"/>
      <c r="B961" s="65"/>
      <c r="C961" s="65"/>
      <c r="D961" s="65"/>
      <c r="E961" s="65"/>
      <c r="F961" s="65"/>
      <c r="G961" s="65"/>
      <c r="H961" s="65"/>
      <c r="I961" s="65"/>
      <c r="J961" s="108"/>
      <c r="K961" s="108"/>
      <c r="L961" s="103"/>
      <c r="M961" s="111"/>
      <c r="N961" s="65"/>
      <c r="O961" s="65"/>
      <c r="P961" s="65"/>
      <c r="Q961" s="65"/>
      <c r="R961" s="65"/>
    </row>
    <row r="962">
      <c r="A962" s="61"/>
      <c r="B962" s="61"/>
      <c r="C962" s="61"/>
      <c r="D962" s="61"/>
      <c r="E962" s="61"/>
      <c r="F962" s="61"/>
      <c r="G962" s="61"/>
      <c r="H962" s="61"/>
      <c r="I962" s="61"/>
      <c r="J962" s="107"/>
      <c r="K962" s="107"/>
      <c r="L962" s="100"/>
      <c r="M962" s="110"/>
      <c r="N962" s="61"/>
      <c r="O962" s="61"/>
      <c r="P962" s="61"/>
      <c r="Q962" s="61"/>
      <c r="R962" s="61"/>
    </row>
    <row r="963">
      <c r="A963" s="65"/>
      <c r="B963" s="65"/>
      <c r="C963" s="65"/>
      <c r="D963" s="65"/>
      <c r="E963" s="65"/>
      <c r="F963" s="65"/>
      <c r="G963" s="65"/>
      <c r="H963" s="65"/>
      <c r="I963" s="65"/>
      <c r="J963" s="108"/>
      <c r="K963" s="108"/>
      <c r="L963" s="103"/>
      <c r="M963" s="111"/>
      <c r="N963" s="65"/>
      <c r="O963" s="65"/>
      <c r="P963" s="65"/>
      <c r="Q963" s="65"/>
      <c r="R963" s="65"/>
    </row>
    <row r="964">
      <c r="A964" s="61"/>
      <c r="B964" s="61"/>
      <c r="C964" s="61"/>
      <c r="D964" s="61"/>
      <c r="E964" s="61"/>
      <c r="F964" s="61"/>
      <c r="G964" s="61"/>
      <c r="H964" s="61"/>
      <c r="I964" s="61"/>
      <c r="J964" s="107"/>
      <c r="K964" s="107"/>
      <c r="L964" s="100"/>
      <c r="M964" s="110"/>
      <c r="N964" s="61"/>
      <c r="O964" s="61"/>
      <c r="P964" s="61"/>
      <c r="Q964" s="61"/>
      <c r="R964" s="61"/>
    </row>
    <row r="965">
      <c r="A965" s="65"/>
      <c r="B965" s="65"/>
      <c r="C965" s="65"/>
      <c r="D965" s="65"/>
      <c r="E965" s="65"/>
      <c r="F965" s="65"/>
      <c r="G965" s="65"/>
      <c r="H965" s="65"/>
      <c r="I965" s="65"/>
      <c r="J965" s="108"/>
      <c r="K965" s="108"/>
      <c r="L965" s="103"/>
      <c r="M965" s="111"/>
      <c r="N965" s="65"/>
      <c r="O965" s="65"/>
      <c r="P965" s="65"/>
      <c r="Q965" s="65"/>
      <c r="R965" s="65"/>
    </row>
    <row r="966">
      <c r="A966" s="61"/>
      <c r="B966" s="61"/>
      <c r="C966" s="61"/>
      <c r="D966" s="61"/>
      <c r="E966" s="61"/>
      <c r="F966" s="61"/>
      <c r="G966" s="61"/>
      <c r="H966" s="61"/>
      <c r="I966" s="61"/>
      <c r="J966" s="107"/>
      <c r="K966" s="107"/>
      <c r="L966" s="100"/>
      <c r="M966" s="110"/>
      <c r="N966" s="61"/>
      <c r="O966" s="61"/>
      <c r="P966" s="61"/>
      <c r="Q966" s="61"/>
      <c r="R966" s="61"/>
    </row>
    <row r="967">
      <c r="A967" s="65"/>
      <c r="B967" s="65"/>
      <c r="C967" s="65"/>
      <c r="D967" s="65"/>
      <c r="E967" s="65"/>
      <c r="F967" s="65"/>
      <c r="G967" s="65"/>
      <c r="H967" s="65"/>
      <c r="I967" s="65"/>
      <c r="J967" s="108"/>
      <c r="K967" s="108"/>
      <c r="L967" s="103"/>
      <c r="M967" s="111"/>
      <c r="N967" s="65"/>
      <c r="O967" s="65"/>
      <c r="P967" s="65"/>
      <c r="Q967" s="65"/>
      <c r="R967" s="65"/>
    </row>
    <row r="968">
      <c r="A968" s="61"/>
      <c r="B968" s="61"/>
      <c r="C968" s="61"/>
      <c r="D968" s="61"/>
      <c r="E968" s="61"/>
      <c r="F968" s="61"/>
      <c r="G968" s="61"/>
      <c r="H968" s="61"/>
      <c r="I968" s="61"/>
      <c r="J968" s="107"/>
      <c r="K968" s="107"/>
      <c r="L968" s="100"/>
      <c r="M968" s="110"/>
      <c r="N968" s="61"/>
      <c r="O968" s="61"/>
      <c r="P968" s="61"/>
      <c r="Q968" s="61"/>
      <c r="R968" s="61"/>
    </row>
    <row r="969">
      <c r="A969" s="65"/>
      <c r="B969" s="65"/>
      <c r="C969" s="65"/>
      <c r="D969" s="65"/>
      <c r="E969" s="65"/>
      <c r="F969" s="65"/>
      <c r="G969" s="65"/>
      <c r="H969" s="65"/>
      <c r="I969" s="65"/>
      <c r="J969" s="108"/>
      <c r="K969" s="108"/>
      <c r="L969" s="103"/>
      <c r="M969" s="111"/>
      <c r="N969" s="65"/>
      <c r="O969" s="65"/>
      <c r="P969" s="65"/>
      <c r="Q969" s="65"/>
      <c r="R969" s="65"/>
    </row>
    <row r="970">
      <c r="A970" s="61"/>
      <c r="B970" s="61"/>
      <c r="C970" s="61"/>
      <c r="D970" s="61"/>
      <c r="E970" s="61"/>
      <c r="F970" s="61"/>
      <c r="G970" s="61"/>
      <c r="H970" s="61"/>
      <c r="I970" s="61"/>
      <c r="J970" s="107"/>
      <c r="K970" s="107"/>
      <c r="L970" s="100"/>
      <c r="M970" s="110"/>
      <c r="N970" s="61"/>
      <c r="O970" s="61"/>
      <c r="P970" s="61"/>
      <c r="Q970" s="61"/>
      <c r="R970" s="61"/>
    </row>
    <row r="971">
      <c r="A971" s="65"/>
      <c r="B971" s="65"/>
      <c r="C971" s="65"/>
      <c r="D971" s="65"/>
      <c r="E971" s="65"/>
      <c r="F971" s="65"/>
      <c r="G971" s="65"/>
      <c r="H971" s="65"/>
      <c r="I971" s="65"/>
      <c r="J971" s="108"/>
      <c r="K971" s="108"/>
      <c r="L971" s="103"/>
      <c r="M971" s="111"/>
      <c r="N971" s="65"/>
      <c r="O971" s="65"/>
      <c r="P971" s="65"/>
      <c r="Q971" s="65"/>
      <c r="R971" s="65"/>
    </row>
    <row r="972">
      <c r="A972" s="61"/>
      <c r="B972" s="61"/>
      <c r="C972" s="61"/>
      <c r="D972" s="61"/>
      <c r="E972" s="61"/>
      <c r="F972" s="61"/>
      <c r="G972" s="61"/>
      <c r="H972" s="61"/>
      <c r="I972" s="61"/>
      <c r="J972" s="107"/>
      <c r="K972" s="107"/>
      <c r="L972" s="100"/>
      <c r="M972" s="110"/>
      <c r="N972" s="61"/>
      <c r="O972" s="61"/>
      <c r="P972" s="61"/>
      <c r="Q972" s="61"/>
      <c r="R972" s="61"/>
    </row>
    <row r="973">
      <c r="A973" s="65"/>
      <c r="B973" s="65"/>
      <c r="C973" s="65"/>
      <c r="D973" s="65"/>
      <c r="E973" s="65"/>
      <c r="F973" s="65"/>
      <c r="G973" s="65"/>
      <c r="H973" s="65"/>
      <c r="I973" s="65"/>
      <c r="J973" s="108"/>
      <c r="K973" s="108"/>
      <c r="L973" s="103"/>
      <c r="M973" s="111"/>
      <c r="N973" s="65"/>
      <c r="O973" s="65"/>
      <c r="P973" s="65"/>
      <c r="Q973" s="65"/>
      <c r="R973" s="65"/>
    </row>
    <row r="974">
      <c r="A974" s="61"/>
      <c r="B974" s="61"/>
      <c r="C974" s="61"/>
      <c r="D974" s="61"/>
      <c r="E974" s="61"/>
      <c r="F974" s="61"/>
      <c r="G974" s="61"/>
      <c r="H974" s="61"/>
      <c r="I974" s="61"/>
      <c r="J974" s="107"/>
      <c r="K974" s="107"/>
      <c r="L974" s="100"/>
      <c r="M974" s="110"/>
      <c r="N974" s="61"/>
      <c r="O974" s="61"/>
      <c r="P974" s="61"/>
      <c r="Q974" s="61"/>
      <c r="R974" s="61"/>
    </row>
    <row r="975">
      <c r="A975" s="65"/>
      <c r="B975" s="65"/>
      <c r="C975" s="65"/>
      <c r="D975" s="65"/>
      <c r="E975" s="65"/>
      <c r="F975" s="65"/>
      <c r="G975" s="65"/>
      <c r="H975" s="65"/>
      <c r="I975" s="65"/>
      <c r="J975" s="108"/>
      <c r="K975" s="108"/>
      <c r="L975" s="103"/>
      <c r="M975" s="111"/>
      <c r="N975" s="65"/>
      <c r="O975" s="65"/>
      <c r="P975" s="65"/>
      <c r="Q975" s="65"/>
      <c r="R975" s="65"/>
    </row>
    <row r="976">
      <c r="A976" s="61"/>
      <c r="B976" s="61"/>
      <c r="C976" s="61"/>
      <c r="D976" s="61"/>
      <c r="E976" s="61"/>
      <c r="F976" s="61"/>
      <c r="G976" s="61"/>
      <c r="H976" s="61"/>
      <c r="I976" s="61"/>
      <c r="J976" s="107"/>
      <c r="K976" s="107"/>
      <c r="L976" s="100"/>
      <c r="M976" s="110"/>
      <c r="N976" s="61"/>
      <c r="O976" s="61"/>
      <c r="P976" s="61"/>
      <c r="Q976" s="61"/>
      <c r="R976" s="61"/>
    </row>
    <row r="977">
      <c r="A977" s="65"/>
      <c r="B977" s="65"/>
      <c r="C977" s="65"/>
      <c r="D977" s="65"/>
      <c r="E977" s="65"/>
      <c r="F977" s="65"/>
      <c r="G977" s="65"/>
      <c r="H977" s="65"/>
      <c r="I977" s="65"/>
      <c r="J977" s="108"/>
      <c r="K977" s="108"/>
      <c r="L977" s="103"/>
      <c r="M977" s="111"/>
      <c r="N977" s="65"/>
      <c r="O977" s="65"/>
      <c r="P977" s="65"/>
      <c r="Q977" s="65"/>
      <c r="R977" s="65"/>
    </row>
    <row r="978">
      <c r="A978" s="61"/>
      <c r="B978" s="61"/>
      <c r="C978" s="61"/>
      <c r="D978" s="61"/>
      <c r="E978" s="61"/>
      <c r="F978" s="61"/>
      <c r="G978" s="61"/>
      <c r="H978" s="61"/>
      <c r="I978" s="61"/>
      <c r="J978" s="107"/>
      <c r="K978" s="107"/>
      <c r="L978" s="100"/>
      <c r="M978" s="110"/>
      <c r="N978" s="61"/>
      <c r="O978" s="61"/>
      <c r="P978" s="61"/>
      <c r="Q978" s="61"/>
      <c r="R978" s="61"/>
    </row>
    <row r="979">
      <c r="A979" s="65"/>
      <c r="B979" s="65"/>
      <c r="C979" s="65"/>
      <c r="D979" s="65"/>
      <c r="E979" s="65"/>
      <c r="F979" s="65"/>
      <c r="G979" s="65"/>
      <c r="H979" s="65"/>
      <c r="I979" s="65"/>
      <c r="J979" s="108"/>
      <c r="K979" s="108"/>
      <c r="L979" s="103"/>
      <c r="M979" s="111"/>
      <c r="N979" s="65"/>
      <c r="O979" s="65"/>
      <c r="P979" s="65"/>
      <c r="Q979" s="65"/>
      <c r="R979" s="65"/>
    </row>
    <row r="980">
      <c r="A980" s="61"/>
      <c r="B980" s="61"/>
      <c r="C980" s="61"/>
      <c r="D980" s="61"/>
      <c r="E980" s="61"/>
      <c r="F980" s="61"/>
      <c r="G980" s="61"/>
      <c r="H980" s="61"/>
      <c r="I980" s="61"/>
      <c r="J980" s="107"/>
      <c r="K980" s="107"/>
      <c r="L980" s="100"/>
      <c r="M980" s="110"/>
      <c r="N980" s="61"/>
      <c r="O980" s="61"/>
      <c r="P980" s="61"/>
      <c r="Q980" s="61"/>
      <c r="R980" s="61"/>
    </row>
    <row r="981">
      <c r="A981" s="65"/>
      <c r="B981" s="65"/>
      <c r="C981" s="65"/>
      <c r="D981" s="65"/>
      <c r="E981" s="65"/>
      <c r="F981" s="65"/>
      <c r="G981" s="65"/>
      <c r="H981" s="65"/>
      <c r="I981" s="65"/>
      <c r="J981" s="108"/>
      <c r="K981" s="108"/>
      <c r="L981" s="103"/>
      <c r="M981" s="111"/>
      <c r="N981" s="65"/>
      <c r="O981" s="65"/>
      <c r="P981" s="65"/>
      <c r="Q981" s="65"/>
      <c r="R981" s="65"/>
    </row>
    <row r="982">
      <c r="A982" s="61"/>
      <c r="B982" s="61"/>
      <c r="C982" s="61"/>
      <c r="D982" s="61"/>
      <c r="E982" s="61"/>
      <c r="F982" s="61"/>
      <c r="G982" s="61"/>
      <c r="H982" s="61"/>
      <c r="I982" s="61"/>
      <c r="J982" s="107"/>
      <c r="K982" s="107"/>
      <c r="L982" s="100"/>
      <c r="M982" s="110"/>
      <c r="N982" s="61"/>
      <c r="O982" s="61"/>
      <c r="P982" s="61"/>
      <c r="Q982" s="61"/>
      <c r="R982" s="61"/>
    </row>
    <row r="983">
      <c r="A983" s="65"/>
      <c r="B983" s="65"/>
      <c r="C983" s="65"/>
      <c r="D983" s="65"/>
      <c r="E983" s="65"/>
      <c r="F983" s="65"/>
      <c r="G983" s="65"/>
      <c r="H983" s="65"/>
      <c r="I983" s="65"/>
      <c r="J983" s="108"/>
      <c r="K983" s="108"/>
      <c r="L983" s="103"/>
      <c r="M983" s="111"/>
      <c r="N983" s="65"/>
      <c r="O983" s="65"/>
      <c r="P983" s="65"/>
      <c r="Q983" s="65"/>
      <c r="R983" s="65"/>
    </row>
    <row r="984">
      <c r="A984" s="61"/>
      <c r="B984" s="61"/>
      <c r="C984" s="61"/>
      <c r="D984" s="61"/>
      <c r="E984" s="61"/>
      <c r="F984" s="61"/>
      <c r="G984" s="61"/>
      <c r="H984" s="61"/>
      <c r="I984" s="61"/>
      <c r="J984" s="107"/>
      <c r="K984" s="107"/>
      <c r="L984" s="100"/>
      <c r="M984" s="110"/>
      <c r="N984" s="61"/>
      <c r="O984" s="61"/>
      <c r="P984" s="61"/>
      <c r="Q984" s="61"/>
      <c r="R984" s="61"/>
    </row>
    <row r="985">
      <c r="A985" s="65"/>
      <c r="B985" s="65"/>
      <c r="C985" s="65"/>
      <c r="D985" s="65"/>
      <c r="E985" s="65"/>
      <c r="F985" s="65"/>
      <c r="G985" s="65"/>
      <c r="H985" s="65"/>
      <c r="I985" s="65"/>
      <c r="J985" s="108"/>
      <c r="K985" s="108"/>
      <c r="L985" s="103"/>
      <c r="M985" s="111"/>
      <c r="N985" s="65"/>
      <c r="O985" s="65"/>
      <c r="P985" s="65"/>
      <c r="Q985" s="65"/>
      <c r="R985" s="65"/>
    </row>
    <row r="986">
      <c r="A986" s="61"/>
      <c r="B986" s="61"/>
      <c r="C986" s="61"/>
      <c r="D986" s="61"/>
      <c r="E986" s="61"/>
      <c r="F986" s="61"/>
      <c r="G986" s="61"/>
      <c r="H986" s="61"/>
      <c r="I986" s="61"/>
      <c r="J986" s="107"/>
      <c r="K986" s="107"/>
      <c r="L986" s="100"/>
      <c r="M986" s="110"/>
      <c r="N986" s="61"/>
      <c r="O986" s="61"/>
      <c r="P986" s="61"/>
      <c r="Q986" s="61"/>
      <c r="R986" s="61"/>
    </row>
    <row r="987">
      <c r="A987" s="65"/>
      <c r="B987" s="65"/>
      <c r="C987" s="65"/>
      <c r="D987" s="65"/>
      <c r="E987" s="65"/>
      <c r="F987" s="65"/>
      <c r="G987" s="65"/>
      <c r="H987" s="65"/>
      <c r="I987" s="65"/>
      <c r="J987" s="108"/>
      <c r="K987" s="108"/>
      <c r="L987" s="103"/>
      <c r="M987" s="111"/>
      <c r="N987" s="65"/>
      <c r="O987" s="65"/>
      <c r="P987" s="65"/>
      <c r="Q987" s="65"/>
      <c r="R987" s="65"/>
    </row>
    <row r="988">
      <c r="A988" s="61"/>
      <c r="B988" s="61"/>
      <c r="C988" s="61"/>
      <c r="D988" s="61"/>
      <c r="E988" s="61"/>
      <c r="F988" s="61"/>
      <c r="G988" s="61"/>
      <c r="H988" s="61"/>
      <c r="I988" s="61"/>
      <c r="J988" s="107"/>
      <c r="K988" s="107"/>
      <c r="L988" s="100"/>
      <c r="M988" s="110"/>
      <c r="N988" s="61"/>
      <c r="O988" s="61"/>
      <c r="P988" s="61"/>
      <c r="Q988" s="61"/>
      <c r="R988" s="61"/>
    </row>
    <row r="989">
      <c r="A989" s="65"/>
      <c r="B989" s="65"/>
      <c r="C989" s="65"/>
      <c r="D989" s="65"/>
      <c r="E989" s="65"/>
      <c r="F989" s="65"/>
      <c r="G989" s="65"/>
      <c r="H989" s="65"/>
      <c r="I989" s="65"/>
      <c r="J989" s="108"/>
      <c r="K989" s="108"/>
      <c r="L989" s="103"/>
      <c r="M989" s="111"/>
      <c r="N989" s="65"/>
      <c r="O989" s="65"/>
      <c r="P989" s="65"/>
      <c r="Q989" s="65"/>
      <c r="R989" s="65"/>
    </row>
    <row r="990">
      <c r="A990" s="61"/>
      <c r="B990" s="61"/>
      <c r="C990" s="61"/>
      <c r="D990" s="61"/>
      <c r="E990" s="61"/>
      <c r="F990" s="61"/>
      <c r="G990" s="61"/>
      <c r="H990" s="61"/>
      <c r="I990" s="61"/>
      <c r="J990" s="107"/>
      <c r="K990" s="107"/>
      <c r="L990" s="100"/>
      <c r="M990" s="110"/>
      <c r="N990" s="61"/>
      <c r="O990" s="61"/>
      <c r="P990" s="61"/>
      <c r="Q990" s="61"/>
      <c r="R990" s="61"/>
    </row>
    <row r="991">
      <c r="A991" s="65"/>
      <c r="B991" s="65"/>
      <c r="C991" s="65"/>
      <c r="D991" s="65"/>
      <c r="E991" s="65"/>
      <c r="F991" s="65"/>
      <c r="G991" s="65"/>
      <c r="H991" s="65"/>
      <c r="I991" s="65"/>
      <c r="J991" s="108"/>
      <c r="K991" s="108"/>
      <c r="L991" s="103"/>
      <c r="M991" s="111"/>
      <c r="N991" s="65"/>
      <c r="O991" s="65"/>
      <c r="P991" s="65"/>
      <c r="Q991" s="65"/>
      <c r="R991" s="65"/>
    </row>
    <row r="992">
      <c r="A992" s="61"/>
      <c r="B992" s="61"/>
      <c r="C992" s="61"/>
      <c r="D992" s="61"/>
      <c r="E992" s="61"/>
      <c r="F992" s="61"/>
      <c r="G992" s="61"/>
      <c r="H992" s="61"/>
      <c r="I992" s="61"/>
      <c r="J992" s="107"/>
      <c r="K992" s="107"/>
      <c r="L992" s="100"/>
      <c r="M992" s="110"/>
      <c r="N992" s="61"/>
      <c r="O992" s="61"/>
      <c r="P992" s="61"/>
      <c r="Q992" s="61"/>
      <c r="R992" s="61"/>
    </row>
    <row r="993">
      <c r="A993" s="65"/>
      <c r="B993" s="65"/>
      <c r="C993" s="65"/>
      <c r="D993" s="65"/>
      <c r="E993" s="65"/>
      <c r="F993" s="65"/>
      <c r="G993" s="65"/>
      <c r="H993" s="65"/>
      <c r="I993" s="65"/>
      <c r="J993" s="108"/>
      <c r="K993" s="108"/>
      <c r="L993" s="103"/>
      <c r="M993" s="111"/>
      <c r="N993" s="65"/>
      <c r="O993" s="65"/>
      <c r="P993" s="65"/>
      <c r="Q993" s="65"/>
      <c r="R993" s="65"/>
    </row>
    <row r="994">
      <c r="A994" s="61"/>
      <c r="B994" s="61"/>
      <c r="C994" s="61"/>
      <c r="D994" s="61"/>
      <c r="E994" s="61"/>
      <c r="F994" s="61"/>
      <c r="G994" s="61"/>
      <c r="H994" s="61"/>
      <c r="I994" s="61"/>
      <c r="J994" s="107"/>
      <c r="K994" s="107"/>
      <c r="L994" s="100"/>
      <c r="M994" s="110"/>
      <c r="N994" s="61"/>
      <c r="O994" s="61"/>
      <c r="P994" s="61"/>
      <c r="Q994" s="61"/>
      <c r="R994" s="61"/>
    </row>
    <row r="995">
      <c r="A995" s="65"/>
      <c r="B995" s="65"/>
      <c r="C995" s="65"/>
      <c r="D995" s="65"/>
      <c r="E995" s="65"/>
      <c r="F995" s="65"/>
      <c r="G995" s="65"/>
      <c r="H995" s="65"/>
      <c r="I995" s="65"/>
      <c r="J995" s="108"/>
      <c r="K995" s="108"/>
      <c r="L995" s="103"/>
      <c r="M995" s="111"/>
      <c r="N995" s="65"/>
      <c r="O995" s="65"/>
      <c r="P995" s="65"/>
      <c r="Q995" s="65"/>
      <c r="R995" s="65"/>
    </row>
    <row r="996">
      <c r="A996" s="61"/>
      <c r="B996" s="61"/>
      <c r="C996" s="61"/>
      <c r="D996" s="61"/>
      <c r="E996" s="61"/>
      <c r="F996" s="61"/>
      <c r="G996" s="61"/>
      <c r="H996" s="61"/>
      <c r="I996" s="61"/>
      <c r="J996" s="107"/>
      <c r="K996" s="107"/>
      <c r="L996" s="100"/>
      <c r="M996" s="110"/>
      <c r="N996" s="61"/>
      <c r="O996" s="61"/>
      <c r="P996" s="61"/>
      <c r="Q996" s="61"/>
      <c r="R996" s="61"/>
    </row>
    <row r="997">
      <c r="A997" s="65"/>
      <c r="B997" s="65"/>
      <c r="C997" s="65"/>
      <c r="D997" s="65"/>
      <c r="E997" s="65"/>
      <c r="F997" s="65"/>
      <c r="G997" s="65"/>
      <c r="H997" s="65"/>
      <c r="I997" s="65"/>
      <c r="J997" s="108"/>
      <c r="K997" s="108"/>
      <c r="L997" s="103"/>
      <c r="M997" s="111"/>
      <c r="N997" s="65"/>
      <c r="O997" s="65"/>
      <c r="P997" s="65"/>
      <c r="Q997" s="65"/>
      <c r="R997" s="65"/>
    </row>
    <row r="998">
      <c r="A998" s="61"/>
      <c r="B998" s="61"/>
      <c r="C998" s="61"/>
      <c r="D998" s="61"/>
      <c r="E998" s="61"/>
      <c r="F998" s="61"/>
      <c r="G998" s="61"/>
      <c r="H998" s="61"/>
      <c r="I998" s="61"/>
      <c r="J998" s="107"/>
      <c r="K998" s="107"/>
      <c r="L998" s="100"/>
      <c r="M998" s="110"/>
      <c r="N998" s="61"/>
      <c r="O998" s="61"/>
      <c r="P998" s="61"/>
      <c r="Q998" s="61"/>
      <c r="R998" s="61"/>
    </row>
    <row r="999">
      <c r="A999" s="65"/>
      <c r="B999" s="65"/>
      <c r="C999" s="65"/>
      <c r="D999" s="65"/>
      <c r="E999" s="65"/>
      <c r="F999" s="65"/>
      <c r="G999" s="65"/>
      <c r="H999" s="65"/>
      <c r="I999" s="65"/>
      <c r="J999" s="108"/>
      <c r="K999" s="108"/>
      <c r="L999" s="103"/>
      <c r="M999" s="111"/>
      <c r="N999" s="65"/>
      <c r="O999" s="65"/>
      <c r="P999" s="65"/>
      <c r="Q999" s="65"/>
      <c r="R999" s="65"/>
    </row>
  </sheetData>
  <autoFilter ref="$A$1:$P$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s>
  <drawing r:id="rId9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7" width="19.5"/>
    <col customWidth="1" min="8" max="8" width="19.0"/>
    <col customWidth="1" min="9" max="9" width="29.5"/>
    <col customWidth="1" min="10" max="10" width="19.5"/>
    <col customWidth="1" min="11" max="11" width="12.63"/>
    <col customWidth="1" min="12" max="12" width="11.88"/>
  </cols>
  <sheetData>
    <row r="1">
      <c r="A1" s="45" t="s">
        <v>14039</v>
      </c>
      <c r="B1" s="45" t="s">
        <v>14211</v>
      </c>
      <c r="C1" s="45" t="s">
        <v>2</v>
      </c>
      <c r="D1" s="45" t="s">
        <v>3</v>
      </c>
      <c r="E1" s="45" t="s">
        <v>14212</v>
      </c>
      <c r="F1" s="45" t="s">
        <v>35</v>
      </c>
      <c r="G1" s="45" t="s">
        <v>5</v>
      </c>
      <c r="H1" s="45" t="s">
        <v>10</v>
      </c>
      <c r="I1" s="45" t="s">
        <v>14213</v>
      </c>
      <c r="J1" s="45" t="s">
        <v>20</v>
      </c>
      <c r="K1" s="45" t="s">
        <v>14214</v>
      </c>
      <c r="L1" s="45" t="s">
        <v>14</v>
      </c>
      <c r="M1" s="97" t="s">
        <v>34</v>
      </c>
    </row>
    <row r="2">
      <c r="A2" s="99" t="str">
        <f>IFERROR(__xludf.DUMMYFUNCTION("ARRAYFORMULA(
  IFERROR(
    FILTER(
      {
        MAIN!A:A,
        MAIN!B:B,
        MAIN!C:C,
        IF(MAIN!D:D="""", MAIN!AM:AM, MAIN!D:D),
        MAIN!E:E,
        MAIN!AJ:AJ,
        MAIN!F:F,
        MAIN!K:K,
        MAIN!L:L,
        MAIN!U:"&amp;"U,
        MAIN!AE:AE,
        MAIN!V:V,
        MAIN!AI:AI
      },
      MAIN!K:K=""Appliance Rental Return""
    )
  )
)"),"https://utrucking.com/admin/orders/5909580415164")</f>
        <v>https://utrucking.com/admin/orders/5909580415164</v>
      </c>
      <c r="B2" s="61" t="str">
        <f>IFERROR(__xludf.DUMMYFUNCTION("""COMPUTED_VALUE"""),"#15415")</f>
        <v>#15415</v>
      </c>
      <c r="C2" s="61"/>
      <c r="D2" s="61">
        <f>IFERROR(__xludf.DUMMYFUNCTION("""COMPUTED_VALUE"""),5.402078205E9)</f>
        <v>5402078205</v>
      </c>
      <c r="E2" s="61" t="str">
        <f>IFERROR(__xludf.DUMMYFUNCTION("""COMPUTED_VALUE"""),"Dalen Ainsworth")</f>
        <v>Dalen Ainsworth</v>
      </c>
      <c r="F2" s="61"/>
      <c r="G2" s="61"/>
      <c r="H2" s="61" t="str">
        <f>IFERROR(__xludf.DUMMYFUNCTION("""COMPUTED_VALUE"""),"Appliance Rental Return")</f>
        <v>Appliance Rental Return</v>
      </c>
      <c r="I2" s="61" t="str">
        <f>IFERROR(__xludf.DUMMYFUNCTION("""COMPUTED_VALUE""")," Standard Mini Fridge")</f>
        <v> Standard Mini Fridge</v>
      </c>
      <c r="J2" s="107" t="str">
        <f>IFERROR(__xludf.DUMMYFUNCTION("""COMPUTED_VALUE"""),"Gregg  ")</f>
        <v>Gregg  </v>
      </c>
      <c r="K2" s="100">
        <f>IFERROR(__xludf.DUMMYFUNCTION("""COMPUTED_VALUE"""),45878.0)</f>
        <v>45878</v>
      </c>
      <c r="L2" s="61" t="str">
        <f>IFERROR(__xludf.DUMMYFUNCTION("""COMPUTED_VALUE"""),"3061")</f>
        <v>3061</v>
      </c>
      <c r="M2" s="61"/>
    </row>
    <row r="3">
      <c r="A3" s="102" t="str">
        <f>IFERROR(__xludf.DUMMYFUNCTION("""COMPUTED_VALUE"""),"https://utrucking.com/admin/orders/5912099455164")</f>
        <v>https://utrucking.com/admin/orders/5912099455164</v>
      </c>
      <c r="B3" s="65" t="str">
        <f>IFERROR(__xludf.DUMMYFUNCTION("""COMPUTED_VALUE"""),"#15440")</f>
        <v>#15440</v>
      </c>
      <c r="C3" s="65"/>
      <c r="D3" s="65">
        <f>IFERROR(__xludf.DUMMYFUNCTION("""COMPUTED_VALUE"""),8.589995331E9)</f>
        <v>8589995331</v>
      </c>
      <c r="E3" s="65" t="str">
        <f>IFERROR(__xludf.DUMMYFUNCTION("""COMPUTED_VALUE"""),"Adam Mofid")</f>
        <v>Adam Mofid</v>
      </c>
      <c r="F3" s="65"/>
      <c r="G3" s="65"/>
      <c r="H3" s="65" t="str">
        <f>IFERROR(__xludf.DUMMYFUNCTION("""COMPUTED_VALUE"""),"Appliance Rental Return")</f>
        <v>Appliance Rental Return</v>
      </c>
      <c r="I3" s="65" t="str">
        <f>IFERROR(__xludf.DUMMYFUNCTION("""COMPUTED_VALUE""")," Double-Door Mini Fridge + Microwave ")</f>
        <v> Double-Door Mini Fridge + Microwave </v>
      </c>
      <c r="J3" s="108" t="str">
        <f>IFERROR(__xludf.DUMMYFUNCTION("""COMPUTED_VALUE"""),"Beaumont  ")</f>
        <v>Beaumont  </v>
      </c>
      <c r="K3" s="103">
        <f>IFERROR(__xludf.DUMMYFUNCTION("""COMPUTED_VALUE"""),45859.0)</f>
        <v>45859</v>
      </c>
      <c r="L3" s="65" t="str">
        <f>IFERROR(__xludf.DUMMYFUNCTION("""COMPUTED_VALUE"""),"444")</f>
        <v>444</v>
      </c>
      <c r="M3" s="65"/>
    </row>
    <row r="4">
      <c r="A4" s="99" t="str">
        <f>IFERROR(__xludf.DUMMYFUNCTION("""COMPUTED_VALUE"""),"https://utrucking.com/admin/orders/5929774907580")</f>
        <v>https://utrucking.com/admin/orders/5929774907580</v>
      </c>
      <c r="B4" s="61" t="str">
        <f>IFERROR(__xludf.DUMMYFUNCTION("""COMPUTED_VALUE"""),"#16099")</f>
        <v>#16099</v>
      </c>
      <c r="C4" s="61" t="str">
        <f>IFERROR(__xludf.DUMMYFUNCTION("""COMPUTED_VALUE"""),"jolathun@gmail.com")</f>
        <v>jolathun@gmail.com</v>
      </c>
      <c r="D4" s="61">
        <f>IFERROR(__xludf.DUMMYFUNCTION("""COMPUTED_VALUE"""),3.10295778E9)</f>
        <v>3102957780</v>
      </c>
      <c r="E4" s="61" t="str">
        <f>IFERROR(__xludf.DUMMYFUNCTION("""COMPUTED_VALUE"""),"Jola Thun")</f>
        <v>Jola Thun</v>
      </c>
      <c r="F4" s="61"/>
      <c r="G4" s="61"/>
      <c r="H4" s="61" t="str">
        <f>IFERROR(__xludf.DUMMYFUNCTION("""COMPUTED_VALUE"""),"Appliance Rental Return")</f>
        <v>Appliance Rental Return</v>
      </c>
      <c r="I4" s="61" t="str">
        <f>IFERROR(__xludf.DUMMYFUNCTION("""COMPUTED_VALUE""")," Double-Door Mini Fridge + Microwave   -  - ")</f>
        <v> Double-Door Mini Fridge + Microwave   -  - </v>
      </c>
      <c r="J4" s="107" t="str">
        <f>IFERROR(__xludf.DUMMYFUNCTION("""COMPUTED_VALUE"""),"Mudd  ")</f>
        <v>Mudd  </v>
      </c>
      <c r="K4" s="100">
        <f>IFERROR(__xludf.DUMMYFUNCTION("""COMPUTED_VALUE"""),45876.0)</f>
        <v>45876</v>
      </c>
      <c r="L4" s="61" t="str">
        <f>IFERROR(__xludf.DUMMYFUNCTION("""COMPUTED_VALUE"""),"271")</f>
        <v>271</v>
      </c>
      <c r="M4" s="61"/>
    </row>
    <row r="5">
      <c r="A5" s="102" t="str">
        <f>IFERROR(__xludf.DUMMYFUNCTION("""COMPUTED_VALUE"""),"https://utrucking.com/admin/orders/6026654580924")</f>
        <v>https://utrucking.com/admin/orders/6026654580924</v>
      </c>
      <c r="B5" s="65" t="str">
        <f>IFERROR(__xludf.DUMMYFUNCTION("""COMPUTED_VALUE"""),"#16573")</f>
        <v>#16573</v>
      </c>
      <c r="C5" s="65"/>
      <c r="D5" s="65">
        <f>IFERROR(__xludf.DUMMYFUNCTION("""COMPUTED_VALUE"""),1.8589995331E10)</f>
        <v>18589995331</v>
      </c>
      <c r="E5" s="65" t="str">
        <f>IFERROR(__xludf.DUMMYFUNCTION("""COMPUTED_VALUE"""),"Adam Mofid")</f>
        <v>Adam Mofid</v>
      </c>
      <c r="F5" s="65" t="str">
        <f>IFERROR(__xludf.DUMMYFUNCTION("""COMPUTED_VALUE"""),"Test")</f>
        <v>Test</v>
      </c>
      <c r="G5" s="65"/>
      <c r="H5" s="65" t="str">
        <f>IFERROR(__xludf.DUMMYFUNCTION("""COMPUTED_VALUE"""),"Appliance Rental Return")</f>
        <v>Appliance Rental Return</v>
      </c>
      <c r="I5" s="65" t="str">
        <f>IFERROR(__xludf.DUMMYFUNCTION("""COMPUTED_VALUE""")," Double-Door Mini Fridge + Microwave   - ")</f>
        <v> Double-Door Mini Fridge + Microwave   - </v>
      </c>
      <c r="J5" s="108" t="str">
        <f>IFERROR(__xludf.DUMMYFUNCTION("""COMPUTED_VALUE"""),"Beaumont  ")</f>
        <v>Beaumont  </v>
      </c>
      <c r="K5" s="103">
        <f>IFERROR(__xludf.DUMMYFUNCTION("""COMPUTED_VALUE"""),45940.0)</f>
        <v>45940</v>
      </c>
      <c r="L5" s="65" t="str">
        <f>IFERROR(__xludf.DUMMYFUNCTION("""COMPUTED_VALUE"""),"xxxx")</f>
        <v>xxxx</v>
      </c>
      <c r="M5" s="65"/>
    </row>
    <row r="6">
      <c r="A6" s="99" t="str">
        <f>IFERROR(__xludf.DUMMYFUNCTION("""COMPUTED_VALUE"""),"https://utrucking.com/admin/orders/6108968911036")</f>
        <v>https://utrucking.com/admin/orders/6108968911036</v>
      </c>
      <c r="B6" s="61" t="str">
        <f>IFERROR(__xludf.DUMMYFUNCTION("""COMPUTED_VALUE"""),"#16635")</f>
        <v>#16635</v>
      </c>
      <c r="C6" s="61" t="str">
        <f>IFERROR(__xludf.DUMMYFUNCTION("""COMPUTED_VALUE"""),"j.p.weil@wustl.edu")</f>
        <v>j.p.weil@wustl.edu</v>
      </c>
      <c r="D6" s="61">
        <f>IFERROR(__xludf.DUMMYFUNCTION("""COMPUTED_VALUE"""),4.156291757E9)</f>
        <v>4156291757</v>
      </c>
      <c r="E6" s="61" t="str">
        <f>IFERROR(__xludf.DUMMYFUNCTION("""COMPUTED_VALUE"""),"Joseph Weil")</f>
        <v>Joseph Weil</v>
      </c>
      <c r="F6" s="61" t="str">
        <f>IFERROR(__xludf.DUMMYFUNCTION("""COMPUTED_VALUE"""),"Joseph Weil")</f>
        <v>Joseph Weil</v>
      </c>
      <c r="G6" s="61"/>
      <c r="H6" s="61" t="str">
        <f>IFERROR(__xludf.DUMMYFUNCTION("""COMPUTED_VALUE"""),"Appliance Rental Return")</f>
        <v>Appliance Rental Return</v>
      </c>
      <c r="I6" s="61" t="str">
        <f>IFERROR(__xludf.DUMMYFUNCTION("""COMPUTED_VALUE""")," Double-Door Mini Fridge   - ")</f>
        <v> Double-Door Mini Fridge   - </v>
      </c>
      <c r="J6" s="107" t="str">
        <f>IFERROR(__xludf.DUMMYFUNCTION("""COMPUTED_VALUE"""),"Millbrook Bldg. 4  ")</f>
        <v>Millbrook Bldg. 4  </v>
      </c>
      <c r="K6" s="100">
        <f>IFERROR(__xludf.DUMMYFUNCTION("""COMPUTED_VALUE"""),46006.0)</f>
        <v>46006</v>
      </c>
      <c r="L6" s="61" t="str">
        <f>IFERROR(__xludf.DUMMYFUNCTION("""COMPUTED_VALUE"""),"304-E")</f>
        <v>304-E</v>
      </c>
      <c r="M6" s="61"/>
    </row>
    <row r="7">
      <c r="A7" s="102" t="str">
        <f>IFERROR(__xludf.DUMMYFUNCTION("""COMPUTED_VALUE"""),"https://utrucking.com/admin/orders/6160228352188")</f>
        <v>https://utrucking.com/admin/orders/6160228352188</v>
      </c>
      <c r="B7" s="65" t="str">
        <f>IFERROR(__xludf.DUMMYFUNCTION("""COMPUTED_VALUE"""),"#16652")</f>
        <v>#16652</v>
      </c>
      <c r="C7" s="65" t="str">
        <f>IFERROR(__xludf.DUMMYFUNCTION("""COMPUTED_VALUE"""),"mbreth@larryharmonpictures.com")</f>
        <v>mbreth@larryharmonpictures.com</v>
      </c>
      <c r="D7" s="65">
        <f>IFERROR(__xludf.DUMMYFUNCTION("""COMPUTED_VALUE"""),3.106145209E9)</f>
        <v>3106145209</v>
      </c>
      <c r="E7" s="65" t="str">
        <f>IFERROR(__xludf.DUMMYFUNCTION("""COMPUTED_VALUE"""),"Marci Carabet")</f>
        <v>Marci Carabet</v>
      </c>
      <c r="F7" s="65" t="str">
        <f>IFERROR(__xludf.DUMMYFUNCTION("""COMPUTED_VALUE"""),"Griffen Carabet")</f>
        <v>Griffen Carabet</v>
      </c>
      <c r="G7" s="65"/>
      <c r="H7" s="65" t="str">
        <f>IFERROR(__xludf.DUMMYFUNCTION("""COMPUTED_VALUE"""),"Appliance Rental Return")</f>
        <v>Appliance Rental Return</v>
      </c>
      <c r="I7" s="65" t="str">
        <f>IFERROR(__xludf.DUMMYFUNCTION("""COMPUTED_VALUE""")," Double-Door Mini Fridge   - ")</f>
        <v> Double-Door Mini Fridge   - </v>
      </c>
      <c r="J7" s="108" t="str">
        <f>IFERROR(__xludf.DUMMYFUNCTION("""COMPUTED_VALUE"""),"House 22 (Beta Theta Pi)")</f>
        <v>House 22 (Beta Theta Pi)</v>
      </c>
      <c r="K7" s="103">
        <f>IFERROR(__xludf.DUMMYFUNCTION("""COMPUTED_VALUE"""),46010.0)</f>
        <v>46010</v>
      </c>
      <c r="L7" s="65" t="str">
        <f>IFERROR(__xludf.DUMMYFUNCTION("""COMPUTED_VALUE"""),"3043")</f>
        <v>3043</v>
      </c>
      <c r="M7" s="65"/>
    </row>
    <row r="8">
      <c r="A8" s="99" t="str">
        <f>IFERROR(__xludf.DUMMYFUNCTION("""COMPUTED_VALUE"""),"https://utrucking.com/admin/orders/6180214669500")</f>
        <v>https://utrucking.com/admin/orders/6180214669500</v>
      </c>
      <c r="B8" s="61" t="str">
        <f>IFERROR(__xludf.DUMMYFUNCTION("""COMPUTED_VALUE"""),"#16696")</f>
        <v>#16696</v>
      </c>
      <c r="C8" s="61" t="str">
        <f>IFERROR(__xludf.DUMMYFUNCTION("""COMPUTED_VALUE"""),"stellawal44@gmail.com")</f>
        <v>stellawal44@gmail.com</v>
      </c>
      <c r="D8" s="61">
        <f>IFERROR(__xludf.DUMMYFUNCTION("""COMPUTED_VALUE"""),9.178428585E9)</f>
        <v>9178428585</v>
      </c>
      <c r="E8" s="61" t="str">
        <f>IFERROR(__xludf.DUMMYFUNCTION("""COMPUTED_VALUE"""),"Stella Walden")</f>
        <v>Stella Walden</v>
      </c>
      <c r="F8" s="61" t="str">
        <f>IFERROR(__xludf.DUMMYFUNCTION("""COMPUTED_VALUE"""),"Stella Walden")</f>
        <v>Stella Walden</v>
      </c>
      <c r="G8" s="61"/>
      <c r="H8" s="61" t="str">
        <f>IFERROR(__xludf.DUMMYFUNCTION("""COMPUTED_VALUE"""),"Appliance Rental Return")</f>
        <v>Appliance Rental Return</v>
      </c>
      <c r="I8" s="61" t="str">
        <f>IFERROR(__xludf.DUMMYFUNCTION("""COMPUTED_VALUE""")," Standard Mini Fridge   - ")</f>
        <v> Standard Mini Fridge   - </v>
      </c>
      <c r="J8" s="107" t="str">
        <f>IFERROR(__xludf.DUMMYFUNCTION("""COMPUTED_VALUE"""),"Millbrook Bldg. 4  ")</f>
        <v>Millbrook Bldg. 4  </v>
      </c>
      <c r="K8" s="100">
        <f>IFERROR(__xludf.DUMMYFUNCTION("""COMPUTED_VALUE"""),46002.0)</f>
        <v>46002</v>
      </c>
      <c r="L8" s="61" t="str">
        <f>IFERROR(__xludf.DUMMYFUNCTION("""COMPUTED_VALUE"""),"102F")</f>
        <v>102F</v>
      </c>
      <c r="M8" s="61"/>
    </row>
    <row r="9">
      <c r="A9" s="102" t="str">
        <f>IFERROR(__xludf.DUMMYFUNCTION("""COMPUTED_VALUE"""),"https://utrucking.com/admin/orders/6182799900860")</f>
        <v>https://utrucking.com/admin/orders/6182799900860</v>
      </c>
      <c r="B9" s="65" t="str">
        <f>IFERROR(__xludf.DUMMYFUNCTION("""COMPUTED_VALUE"""),"#16699")</f>
        <v>#16699</v>
      </c>
      <c r="C9" s="65" t="str">
        <f>IFERROR(__xludf.DUMMYFUNCTION("""COMPUTED_VALUE"""),"m.h.ryu@wustl.edu")</f>
        <v>m.h.ryu@wustl.edu</v>
      </c>
      <c r="D9" s="65">
        <f>IFERROR(__xludf.DUMMYFUNCTION("""COMPUTED_VALUE"""),2.025782256E9)</f>
        <v>2025782256</v>
      </c>
      <c r="E9" s="65" t="str">
        <f>IFERROR(__xludf.DUMMYFUNCTION("""COMPUTED_VALUE"""),"Maya Ryu")</f>
        <v>Maya Ryu</v>
      </c>
      <c r="F9" s="65" t="str">
        <f>IFERROR(__xludf.DUMMYFUNCTION("""COMPUTED_VALUE"""),"Maya Ryu")</f>
        <v>Maya Ryu</v>
      </c>
      <c r="G9" s="65"/>
      <c r="H9" s="65" t="str">
        <f>IFERROR(__xludf.DUMMYFUNCTION("""COMPUTED_VALUE"""),"Appliance Rental Return")</f>
        <v>Appliance Rental Return</v>
      </c>
      <c r="I9" s="65" t="str">
        <f>IFERROR(__xludf.DUMMYFUNCTION("""COMPUTED_VALUE""")," Double-Door Mini Fridge   - ")</f>
        <v> Double-Door Mini Fridge   - </v>
      </c>
      <c r="J9" s="108" t="str">
        <f>IFERROR(__xludf.DUMMYFUNCTION("""COMPUTED_VALUE"""),"Millbrook Bldg. 3  ")</f>
        <v>Millbrook Bldg. 3  </v>
      </c>
      <c r="K9" s="103">
        <f>IFERROR(__xludf.DUMMYFUNCTION("""COMPUTED_VALUE"""),46004.0)</f>
        <v>46004</v>
      </c>
      <c r="L9" s="65" t="str">
        <f>IFERROR(__xludf.DUMMYFUNCTION("""COMPUTED_VALUE"""),"201a")</f>
        <v>201a</v>
      </c>
      <c r="M9" s="65"/>
    </row>
    <row r="10">
      <c r="A10" s="99" t="str">
        <f>IFERROR(__xludf.DUMMYFUNCTION("""COMPUTED_VALUE"""),"https://utrucking.com/admin/orders/6182911115452")</f>
        <v>https://utrucking.com/admin/orders/6182911115452</v>
      </c>
      <c r="B10" s="61" t="str">
        <f>IFERROR(__xludf.DUMMYFUNCTION("""COMPUTED_VALUE"""),"#16701")</f>
        <v>#16701</v>
      </c>
      <c r="C10" s="61" t="str">
        <f>IFERROR(__xludf.DUMMYFUNCTION("""COMPUTED_VALUE"""),"violetholah@gmail.com")</f>
        <v>violetholah@gmail.com</v>
      </c>
      <c r="D10" s="61">
        <f>IFERROR(__xludf.DUMMYFUNCTION("""COMPUTED_VALUE"""),5.034845278E9)</f>
        <v>5034845278</v>
      </c>
      <c r="E10" s="61" t="str">
        <f>IFERROR(__xludf.DUMMYFUNCTION("""COMPUTED_VALUE"""),"Elizabeth Holah")</f>
        <v>Elizabeth Holah</v>
      </c>
      <c r="F10" s="61" t="str">
        <f>IFERROR(__xludf.DUMMYFUNCTION("""COMPUTED_VALUE"""),"Violet Holah")</f>
        <v>Violet Holah</v>
      </c>
      <c r="G10" s="61"/>
      <c r="H10" s="61" t="str">
        <f>IFERROR(__xludf.DUMMYFUNCTION("""COMPUTED_VALUE"""),"Appliance Rental Return")</f>
        <v>Appliance Rental Return</v>
      </c>
      <c r="I10" s="61" t="str">
        <f>IFERROR(__xludf.DUMMYFUNCTION("""COMPUTED_VALUE""")," Double-Door Mini Fridge   - ")</f>
        <v> Double-Door Mini Fridge   - </v>
      </c>
      <c r="J10" s="107" t="str">
        <f>IFERROR(__xludf.DUMMYFUNCTION("""COMPUTED_VALUE"""),"Millbrook Bldg. 3  ")</f>
        <v>Millbrook Bldg. 3  </v>
      </c>
      <c r="K10" s="100">
        <f>IFERROR(__xludf.DUMMYFUNCTION("""COMPUTED_VALUE"""),46006.0)</f>
        <v>46006</v>
      </c>
      <c r="L10" s="61" t="str">
        <f>IFERROR(__xludf.DUMMYFUNCTION("""COMPUTED_VALUE"""),"201G")</f>
        <v>201G</v>
      </c>
      <c r="M10" s="61"/>
    </row>
    <row r="11">
      <c r="A11" s="102" t="str">
        <f>IFERROR(__xludf.DUMMYFUNCTION("""COMPUTED_VALUE"""),"https://utrucking.com/admin/orders/6190139998396")</f>
        <v>https://utrucking.com/admin/orders/6190139998396</v>
      </c>
      <c r="B11" s="65" t="str">
        <f>IFERROR(__xludf.DUMMYFUNCTION("""COMPUTED_VALUE"""),"#16713")</f>
        <v>#16713</v>
      </c>
      <c r="C11" s="65" t="str">
        <f>IFERROR(__xludf.DUMMYFUNCTION("""COMPUTED_VALUE"""),"p.taya@wustl.edu")</f>
        <v>p.taya@wustl.edu</v>
      </c>
      <c r="D11" s="65">
        <f>IFERROR(__xludf.DUMMYFUNCTION("""COMPUTED_VALUE"""),9.142239682E9)</f>
        <v>9142239682</v>
      </c>
      <c r="E11" s="65" t="str">
        <f>IFERROR(__xludf.DUMMYFUNCTION("""COMPUTED_VALUE"""),"Taya Puner")</f>
        <v>Taya Puner</v>
      </c>
      <c r="F11" s="65" t="str">
        <f>IFERROR(__xludf.DUMMYFUNCTION("""COMPUTED_VALUE"""),"Taya Puner")</f>
        <v>Taya Puner</v>
      </c>
      <c r="G11" s="65"/>
      <c r="H11" s="65" t="str">
        <f>IFERROR(__xludf.DUMMYFUNCTION("""COMPUTED_VALUE"""),"Appliance Rental Return")</f>
        <v>Appliance Rental Return</v>
      </c>
      <c r="I11" s="65" t="str">
        <f>IFERROR(__xludf.DUMMYFUNCTION("""COMPUTED_VALUE""")," Microwave Only   - ")</f>
        <v> Microwave Only   - </v>
      </c>
      <c r="J11" s="108" t="str">
        <f>IFERROR(__xludf.DUMMYFUNCTION("""COMPUTED_VALUE"""),"Gregg  ")</f>
        <v>Gregg  </v>
      </c>
      <c r="K11" s="103">
        <f>IFERROR(__xludf.DUMMYFUNCTION("""COMPUTED_VALUE"""),46008.0)</f>
        <v>46008</v>
      </c>
      <c r="L11" s="65" t="str">
        <f>IFERROR(__xludf.DUMMYFUNCTION("""COMPUTED_VALUE"""),"3010")</f>
        <v>3010</v>
      </c>
      <c r="M11" s="65"/>
    </row>
    <row r="12">
      <c r="A12" s="99" t="str">
        <f>IFERROR(__xludf.DUMMYFUNCTION("""COMPUTED_VALUE"""),"https://utrucking.com/admin/orders/6192321396924")</f>
        <v>https://utrucking.com/admin/orders/6192321396924</v>
      </c>
      <c r="B12" s="61" t="str">
        <f>IFERROR(__xludf.DUMMYFUNCTION("""COMPUTED_VALUE"""),"#16715")</f>
        <v>#16715</v>
      </c>
      <c r="C12" s="61" t="str">
        <f>IFERROR(__xludf.DUMMYFUNCTION("""COMPUTED_VALUE"""),"a.m.raboy@wustl.edu")</f>
        <v>a.m.raboy@wustl.edu</v>
      </c>
      <c r="D12" s="61">
        <f>IFERROR(__xludf.DUMMYFUNCTION("""COMPUTED_VALUE"""),7.183085618E9)</f>
        <v>7183085618</v>
      </c>
      <c r="E12" s="61" t="str">
        <f>IFERROR(__xludf.DUMMYFUNCTION("""COMPUTED_VALUE"""),"Douglas Raboy")</f>
        <v>Douglas Raboy</v>
      </c>
      <c r="F12" s="61" t="str">
        <f>IFERROR(__xludf.DUMMYFUNCTION("""COMPUTED_VALUE"""),"Asher Raboy")</f>
        <v>Asher Raboy</v>
      </c>
      <c r="G12" s="61"/>
      <c r="H12" s="61" t="str">
        <f>IFERROR(__xludf.DUMMYFUNCTION("""COMPUTED_VALUE"""),"Appliance Rental Return")</f>
        <v>Appliance Rental Return</v>
      </c>
      <c r="I12" s="61" t="str">
        <f>IFERROR(__xludf.DUMMYFUNCTION("""COMPUTED_VALUE""")," Double-Door Mini Fridge   - ")</f>
        <v> Double-Door Mini Fridge   - </v>
      </c>
      <c r="J12" s="107" t="str">
        <f>IFERROR(__xludf.DUMMYFUNCTION("""COMPUTED_VALUE"""),"House 22 (Beta Theta Pi)")</f>
        <v>House 22 (Beta Theta Pi)</v>
      </c>
      <c r="K12" s="100">
        <f>IFERROR(__xludf.DUMMYFUNCTION("""COMPUTED_VALUE"""),46009.0)</f>
        <v>46009</v>
      </c>
      <c r="L12" s="61" t="str">
        <f>IFERROR(__xludf.DUMMYFUNCTION("""COMPUTED_VALUE"""),"2001")</f>
        <v>2001</v>
      </c>
      <c r="M12" s="61"/>
    </row>
    <row r="13">
      <c r="A13" s="102" t="str">
        <f>IFERROR(__xludf.DUMMYFUNCTION("""COMPUTED_VALUE"""),"https://utrucking.com/admin/orders/6193754505404")</f>
        <v>https://utrucking.com/admin/orders/6193754505404</v>
      </c>
      <c r="B13" s="65" t="str">
        <f>IFERROR(__xludf.DUMMYFUNCTION("""COMPUTED_VALUE"""),"#16717")</f>
        <v>#16717</v>
      </c>
      <c r="C13" s="65"/>
      <c r="D13" s="65">
        <f>IFERROR(__xludf.DUMMYFUNCTION("""COMPUTED_VALUE"""),5.617044339E9)</f>
        <v>5617044339</v>
      </c>
      <c r="E13" s="65" t="str">
        <f>IFERROR(__xludf.DUMMYFUNCTION("""COMPUTED_VALUE"""),"Sherry Edelstein")</f>
        <v>Sherry Edelstein</v>
      </c>
      <c r="F13" s="65" t="str">
        <f>IFERROR(__xludf.DUMMYFUNCTION("""COMPUTED_VALUE"""),"Jack Edelstein")</f>
        <v>Jack Edelstein</v>
      </c>
      <c r="G13" s="65"/>
      <c r="H13" s="65" t="str">
        <f>IFERROR(__xludf.DUMMYFUNCTION("""COMPUTED_VALUE"""),"Appliance Rental Return")</f>
        <v>Appliance Rental Return</v>
      </c>
      <c r="I13" s="65" t="str">
        <f>IFERROR(__xludf.DUMMYFUNCTION("""COMPUTED_VALUE""")," Double-Door Mini Fridge + Microwave   - ")</f>
        <v> Double-Door Mini Fridge + Microwave   - </v>
      </c>
      <c r="J13" s="108" t="str">
        <f>IFERROR(__xludf.DUMMYFUNCTION("""COMPUTED_VALUE"""),"House 22 (Beta Theta Pi)")</f>
        <v>House 22 (Beta Theta Pi)</v>
      </c>
      <c r="K13" s="103">
        <f>IFERROR(__xludf.DUMMYFUNCTION("""COMPUTED_VALUE"""),46010.0)</f>
        <v>46010</v>
      </c>
      <c r="L13" s="65" t="str">
        <f>IFERROR(__xludf.DUMMYFUNCTION("""COMPUTED_VALUE"""),"1021")</f>
        <v>1021</v>
      </c>
      <c r="M13" s="65"/>
    </row>
    <row r="14">
      <c r="A14" s="99" t="str">
        <f>IFERROR(__xludf.DUMMYFUNCTION("""COMPUTED_VALUE"""),"https://utrucking.com/admin/orders/6228069417148")</f>
        <v>https://utrucking.com/admin/orders/6228069417148</v>
      </c>
      <c r="B14" s="61" t="str">
        <f>IFERROR(__xludf.DUMMYFUNCTION("""COMPUTED_VALUE"""),"#16774")</f>
        <v>#16774</v>
      </c>
      <c r="C14" s="61"/>
      <c r="D14" s="61">
        <f>IFERROR(__xludf.DUMMYFUNCTION("""COMPUTED_VALUE"""),6.46254271E9)</f>
        <v>6462542710</v>
      </c>
      <c r="E14" s="61" t="str">
        <f>IFERROR(__xludf.DUMMYFUNCTION("""COMPUTED_VALUE"""),"Lauren Enoch")</f>
        <v>Lauren Enoch</v>
      </c>
      <c r="F14" s="61" t="str">
        <f>IFERROR(__xludf.DUMMYFUNCTION("""COMPUTED_VALUE"""),"Lauren Enoch")</f>
        <v>Lauren Enoch</v>
      </c>
      <c r="G14" s="61"/>
      <c r="H14" s="61" t="str">
        <f>IFERROR(__xludf.DUMMYFUNCTION("""COMPUTED_VALUE"""),"Appliance Rental Return")</f>
        <v>Appliance Rental Return</v>
      </c>
      <c r="I14" s="61" t="str">
        <f>IFERROR(__xludf.DUMMYFUNCTION("""COMPUTED_VALUE""")," Double-Door Mini Fridge   - ")</f>
        <v> Double-Door Mini Fridge   - </v>
      </c>
      <c r="J14" s="107" t="str">
        <f>IFERROR(__xludf.DUMMYFUNCTION("""COMPUTED_VALUE"""),"Millbrook Bldg. 1  ")</f>
        <v>Millbrook Bldg. 1  </v>
      </c>
      <c r="K14" s="100">
        <f>IFERROR(__xludf.DUMMYFUNCTION("""COMPUTED_VALUE"""),46034.0)</f>
        <v>46034</v>
      </c>
      <c r="L14" s="61" t="str">
        <f>IFERROR(__xludf.DUMMYFUNCTION("""COMPUTED_VALUE"""),"205A")</f>
        <v>205A</v>
      </c>
      <c r="M14" s="61"/>
    </row>
    <row r="15">
      <c r="A15" s="102" t="str">
        <f>IFERROR(__xludf.DUMMYFUNCTION("""COMPUTED_VALUE"""),"https://utrucking.com/admin/orders/6235116306620")</f>
        <v>https://utrucking.com/admin/orders/6235116306620</v>
      </c>
      <c r="B15" s="65" t="str">
        <f>IFERROR(__xludf.DUMMYFUNCTION("""COMPUTED_VALUE"""),"#16779")</f>
        <v>#16779</v>
      </c>
      <c r="C15" s="65" t="str">
        <f>IFERROR(__xludf.DUMMYFUNCTION("""COMPUTED_VALUE"""),"ashah22@wustl.edu")</f>
        <v>ashah22@wustl.edu</v>
      </c>
      <c r="D15" s="65">
        <f>IFERROR(__xludf.DUMMYFUNCTION("""COMPUTED_VALUE"""),9.522200874E9)</f>
        <v>9522200874</v>
      </c>
      <c r="E15" s="65" t="str">
        <f>IFERROR(__xludf.DUMMYFUNCTION("""COMPUTED_VALUE"""),"Ayaan Shah")</f>
        <v>Ayaan Shah</v>
      </c>
      <c r="F15" s="65" t="str">
        <f>IFERROR(__xludf.DUMMYFUNCTION("""COMPUTED_VALUE"""),"Ayaan Shah")</f>
        <v>Ayaan Shah</v>
      </c>
      <c r="G15" s="65"/>
      <c r="H15" s="65" t="str">
        <f>IFERROR(__xludf.DUMMYFUNCTION("""COMPUTED_VALUE"""),"Appliance Rental Return")</f>
        <v>Appliance Rental Return</v>
      </c>
      <c r="I15" s="65" t="str">
        <f>IFERROR(__xludf.DUMMYFUNCTION("""COMPUTED_VALUE""")," Standard Mini Fridge + Microwave   - ")</f>
        <v> Standard Mini Fridge + Microwave   - </v>
      </c>
      <c r="J15" s="108" t="str">
        <f>IFERROR(__xludf.DUMMYFUNCTION("""COMPUTED_VALUE"""),"Mudd  ")</f>
        <v>Mudd  </v>
      </c>
      <c r="K15" s="103">
        <f>IFERROR(__xludf.DUMMYFUNCTION("""COMPUTED_VALUE"""),46035.0)</f>
        <v>46035</v>
      </c>
      <c r="L15" s="65" t="str">
        <f>IFERROR(__xludf.DUMMYFUNCTION("""COMPUTED_VALUE"""),"362")</f>
        <v>362</v>
      </c>
      <c r="M15" s="65"/>
    </row>
    <row r="16">
      <c r="A16" s="99" t="str">
        <f>IFERROR(__xludf.DUMMYFUNCTION("""COMPUTED_VALUE"""),"https://utrucking.com/admin/orders/6274244214972")</f>
        <v>https://utrucking.com/admin/orders/6274244214972</v>
      </c>
      <c r="B16" s="61" t="str">
        <f>IFERROR(__xludf.DUMMYFUNCTION("""COMPUTED_VALUE"""),"#16782")</f>
        <v>#16782</v>
      </c>
      <c r="C16" s="61" t="str">
        <f>IFERROR(__xludf.DUMMYFUNCTION("""COMPUTED_VALUE"""),"h.serene@wustl.edu")</f>
        <v>h.serene@wustl.edu</v>
      </c>
      <c r="D16" s="61">
        <f>IFERROR(__xludf.DUMMYFUNCTION("""COMPUTED_VALUE"""),6.788768713E9)</f>
        <v>6788768713</v>
      </c>
      <c r="E16" s="61" t="str">
        <f>IFERROR(__xludf.DUMMYFUNCTION("""COMPUTED_VALUE"""),"Serene Harris")</f>
        <v>Serene Harris</v>
      </c>
      <c r="F16" s="61" t="str">
        <f>IFERROR(__xludf.DUMMYFUNCTION("""COMPUTED_VALUE"""),"Serene Harris")</f>
        <v>Serene Harris</v>
      </c>
      <c r="G16" s="61"/>
      <c r="H16" s="61" t="str">
        <f>IFERROR(__xludf.DUMMYFUNCTION("""COMPUTED_VALUE"""),"Appliance Rental Return")</f>
        <v>Appliance Rental Return</v>
      </c>
      <c r="I16" s="61" t="str">
        <f>IFERROR(__xludf.DUMMYFUNCTION("""COMPUTED_VALUE""")," Double-Door Mini Fridge   - ")</f>
        <v> Double-Door Mini Fridge   - </v>
      </c>
      <c r="J16" s="107" t="str">
        <f>IFERROR(__xludf.DUMMYFUNCTION("""COMPUTED_VALUE"""),"House 1")</f>
        <v>House 1</v>
      </c>
      <c r="K16" s="100">
        <f>IFERROR(__xludf.DUMMYFUNCTION("""COMPUTED_VALUE"""),46037.0)</f>
        <v>46037</v>
      </c>
      <c r="L16" s="61" t="str">
        <f>IFERROR(__xludf.DUMMYFUNCTION("""COMPUTED_VALUE"""),"210")</f>
        <v>210</v>
      </c>
      <c r="M16" s="61"/>
    </row>
    <row r="17">
      <c r="A17" s="102" t="str">
        <f>IFERROR(__xludf.DUMMYFUNCTION("""COMPUTED_VALUE"""),"https://utrucking.com/admin/orders/6280053817532")</f>
        <v>https://utrucking.com/admin/orders/6280053817532</v>
      </c>
      <c r="B17" s="65" t="str">
        <f>IFERROR(__xludf.DUMMYFUNCTION("""COMPUTED_VALUE"""),"#16785")</f>
        <v>#16785</v>
      </c>
      <c r="C17" s="65" t="str">
        <f>IFERROR(__xludf.DUMMYFUNCTION("""COMPUTED_VALUE"""),"elizaschulman@gmail.com")</f>
        <v>elizaschulman@gmail.com</v>
      </c>
      <c r="D17" s="65">
        <f>IFERROR(__xludf.DUMMYFUNCTION("""COMPUTED_VALUE"""),5.16606386E9)</f>
        <v>5166063860</v>
      </c>
      <c r="E17" s="65" t="str">
        <f>IFERROR(__xludf.DUMMYFUNCTION("""COMPUTED_VALUE"""),"Eliza Schulman")</f>
        <v>Eliza Schulman</v>
      </c>
      <c r="F17" s="65" t="str">
        <f>IFERROR(__xludf.DUMMYFUNCTION("""COMPUTED_VALUE"""),"Eliza Schulman")</f>
        <v>Eliza Schulman</v>
      </c>
      <c r="G17" s="65"/>
      <c r="H17" s="65" t="str">
        <f>IFERROR(__xludf.DUMMYFUNCTION("""COMPUTED_VALUE"""),"Appliance Rental Return")</f>
        <v>Appliance Rental Return</v>
      </c>
      <c r="I17" s="65" t="str">
        <f>IFERROR(__xludf.DUMMYFUNCTION("""COMPUTED_VALUE""")," Standard Mini Fridge   - ")</f>
        <v> Standard Mini Fridge   - </v>
      </c>
      <c r="J17" s="108" t="str">
        <f>IFERROR(__xludf.DUMMYFUNCTION("""COMPUTED_VALUE"""),"Rutledge  ")</f>
        <v>Rutledge  </v>
      </c>
      <c r="K17" s="103">
        <f>IFERROR(__xludf.DUMMYFUNCTION("""COMPUTED_VALUE"""),46148.0)</f>
        <v>46148</v>
      </c>
      <c r="L17" s="65" t="str">
        <f>IFERROR(__xludf.DUMMYFUNCTION("""COMPUTED_VALUE"""),"121")</f>
        <v>121</v>
      </c>
      <c r="M17" s="65"/>
    </row>
    <row r="18">
      <c r="A18" s="99" t="str">
        <f>IFERROR(__xludf.DUMMYFUNCTION("""COMPUTED_VALUE"""),"https://utrucking.com/admin/orders/6294642622652")</f>
        <v>https://utrucking.com/admin/orders/6294642622652</v>
      </c>
      <c r="B18" s="61" t="str">
        <f>IFERROR(__xludf.DUMMYFUNCTION("""COMPUTED_VALUE"""),"#16811")</f>
        <v>#16811</v>
      </c>
      <c r="C18" s="61" t="str">
        <f>IFERROR(__xludf.DUMMYFUNCTION("""COMPUTED_VALUE"""),"jolathun@gmail.com")</f>
        <v>jolathun@gmail.com</v>
      </c>
      <c r="D18" s="61">
        <f>IFERROR(__xludf.DUMMYFUNCTION("""COMPUTED_VALUE"""),3.10295778E9)</f>
        <v>3102957780</v>
      </c>
      <c r="E18" s="61" t="str">
        <f>IFERROR(__xludf.DUMMYFUNCTION("""COMPUTED_VALUE"""),"Jola Thun")</f>
        <v>Jola Thun</v>
      </c>
      <c r="F18" s="61" t="str">
        <f>IFERROR(__xludf.DUMMYFUNCTION("""COMPUTED_VALUE"""),"Hampton Thun")</f>
        <v>Hampton Thun</v>
      </c>
      <c r="G18" s="61"/>
      <c r="H18" s="61" t="str">
        <f>IFERROR(__xludf.DUMMYFUNCTION("""COMPUTED_VALUE"""),"Appliance Rental Return")</f>
        <v>Appliance Rental Return</v>
      </c>
      <c r="I18" s="61" t="str">
        <f>IFERROR(__xludf.DUMMYFUNCTION("""COMPUTED_VALUE""")," Double-Door Mini Fridge + Microwave   - ")</f>
        <v> Double-Door Mini Fridge + Microwave   - </v>
      </c>
      <c r="J18" s="107" t="str">
        <f>IFERROR(__xludf.DUMMYFUNCTION("""COMPUTED_VALUE"""),"House 8 (Tau Kappa Epsilon)  ")</f>
        <v>House 8 (Tau Kappa Epsilon)  </v>
      </c>
      <c r="K18" s="100">
        <f>IFERROR(__xludf.DUMMYFUNCTION("""COMPUTED_VALUE"""),46050.0)</f>
        <v>46050</v>
      </c>
      <c r="L18" s="61" t="str">
        <f>IFERROR(__xludf.DUMMYFUNCTION("""COMPUTED_VALUE"""),"3052")</f>
        <v>3052</v>
      </c>
      <c r="M18" s="61"/>
    </row>
    <row r="19">
      <c r="A19" s="102" t="str">
        <f>IFERROR(__xludf.DUMMYFUNCTION("""COMPUTED_VALUE"""),"https://utrucking.com/admin/orders/6300483223740")</f>
        <v>https://utrucking.com/admin/orders/6300483223740</v>
      </c>
      <c r="B19" s="65" t="str">
        <f>IFERROR(__xludf.DUMMYFUNCTION("""COMPUTED_VALUE"""),"#16812")</f>
        <v>#16812</v>
      </c>
      <c r="C19" s="65" t="str">
        <f>IFERROR(__xludf.DUMMYFUNCTION("""COMPUTED_VALUE"""),"s.f.syed@wustl.edu")</f>
        <v>s.f.syed@wustl.edu</v>
      </c>
      <c r="D19" s="65">
        <f>IFERROR(__xludf.DUMMYFUNCTION("""COMPUTED_VALUE"""),2.173693983E9)</f>
        <v>2173693983</v>
      </c>
      <c r="E19" s="65" t="str">
        <f>IFERROR(__xludf.DUMMYFUNCTION("""COMPUTED_VALUE"""),"Shawn Syed")</f>
        <v>Shawn Syed</v>
      </c>
      <c r="F19" s="65" t="str">
        <f>IFERROR(__xludf.DUMMYFUNCTION("""COMPUTED_VALUE"""),"Shawn Syed")</f>
        <v>Shawn Syed</v>
      </c>
      <c r="G19" s="65"/>
      <c r="H19" s="65" t="str">
        <f>IFERROR(__xludf.DUMMYFUNCTION("""COMPUTED_VALUE"""),"Appliance Rental Return")</f>
        <v>Appliance Rental Return</v>
      </c>
      <c r="I19" s="65" t="str">
        <f>IFERROR(__xludf.DUMMYFUNCTION("""COMPUTED_VALUE""")," Double-Door Mini Fridge   - ")</f>
        <v> Double-Door Mini Fridge   - </v>
      </c>
      <c r="J19" s="108" t="str">
        <f>IFERROR(__xludf.DUMMYFUNCTION("""COMPUTED_VALUE"""),"Nemerov  ")</f>
        <v>Nemerov  </v>
      </c>
      <c r="K19" s="103">
        <f>IFERROR(__xludf.DUMMYFUNCTION("""COMPUTED_VALUE"""),46055.0)</f>
        <v>46055</v>
      </c>
      <c r="L19" s="65" t="str">
        <f>IFERROR(__xludf.DUMMYFUNCTION("""COMPUTED_VALUE"""),"3064")</f>
        <v>3064</v>
      </c>
      <c r="M19" s="65"/>
    </row>
    <row r="20">
      <c r="A20" s="99" t="str">
        <f>IFERROR(__xludf.DUMMYFUNCTION("""COMPUTED_VALUE"""),"https://utrucking.com/admin/orders/6352104915132")</f>
        <v>https://utrucking.com/admin/orders/6352104915132</v>
      </c>
      <c r="B20" s="61" t="str">
        <f>IFERROR(__xludf.DUMMYFUNCTION("""COMPUTED_VALUE"""),"#17095")</f>
        <v>#17095</v>
      </c>
      <c r="C20" s="61" t="str">
        <f>IFERROR(__xludf.DUMMYFUNCTION("""COMPUTED_VALUE"""),"p.tamia@wustl.edu")</f>
        <v>p.tamia@wustl.edu</v>
      </c>
      <c r="D20" s="61">
        <f>IFERROR(__xludf.DUMMYFUNCTION("""COMPUTED_VALUE"""),8.439062372E9)</f>
        <v>8439062372</v>
      </c>
      <c r="E20" s="61" t="str">
        <f>IFERROR(__xludf.DUMMYFUNCTION("""COMPUTED_VALUE"""),"Tremain Prioleau")</f>
        <v>Tremain Prioleau</v>
      </c>
      <c r="F20" s="61" t="str">
        <f>IFERROR(__xludf.DUMMYFUNCTION("""COMPUTED_VALUE"""),"Tamia Prioleau ")</f>
        <v>Tamia Prioleau </v>
      </c>
      <c r="G20" s="61"/>
      <c r="H20" s="61" t="str">
        <f>IFERROR(__xludf.DUMMYFUNCTION("""COMPUTED_VALUE"""),"Appliance Rental Return")</f>
        <v>Appliance Rental Return</v>
      </c>
      <c r="I20" s="61" t="str">
        <f>IFERROR(__xludf.DUMMYFUNCTION("""COMPUTED_VALUE""")," Double-Door Mini Fridge + Microwave   - ")</f>
        <v> Double-Door Mini Fridge + Microwave   - </v>
      </c>
      <c r="J20" s="107" t="str">
        <f>IFERROR(__xludf.DUMMYFUNCTION("""COMPUTED_VALUE"""),"Liggett  ")</f>
        <v>Liggett  </v>
      </c>
      <c r="K20" s="100">
        <f>IFERROR(__xludf.DUMMYFUNCTION("""COMPUTED_VALUE"""),46143.0)</f>
        <v>46143</v>
      </c>
      <c r="L20" s="61" t="str">
        <f>IFERROR(__xludf.DUMMYFUNCTION("""COMPUTED_VALUE"""),"3422")</f>
        <v>3422</v>
      </c>
      <c r="M20" s="61"/>
    </row>
    <row r="21">
      <c r="A21" s="102" t="str">
        <f>IFERROR(__xludf.DUMMYFUNCTION("""COMPUTED_VALUE"""),"https://utrucking.com/admin/orders/6357131460796")</f>
        <v>https://utrucking.com/admin/orders/6357131460796</v>
      </c>
      <c r="B21" s="65" t="str">
        <f>IFERROR(__xludf.DUMMYFUNCTION("""COMPUTED_VALUE"""),"#17102")</f>
        <v>#17102</v>
      </c>
      <c r="C21" s="65" t="str">
        <f>IFERROR(__xludf.DUMMYFUNCTION("""COMPUTED_VALUE"""),"kmohindra@ifc.org")</f>
        <v>kmohindra@ifc.org</v>
      </c>
      <c r="D21" s="65">
        <f>IFERROR(__xludf.DUMMYFUNCTION("""COMPUTED_VALUE"""),1.2027662257E10)</f>
        <v>12027662257</v>
      </c>
      <c r="E21" s="65" t="str">
        <f>IFERROR(__xludf.DUMMYFUNCTION("""COMPUTED_VALUE"""),"Komal Mohindra")</f>
        <v>Komal Mohindra</v>
      </c>
      <c r="F21" s="65" t="str">
        <f>IFERROR(__xludf.DUMMYFUNCTION("""COMPUTED_VALUE"""),"MARISA UTTAMCHANDANI")</f>
        <v>MARISA UTTAMCHANDANI</v>
      </c>
      <c r="G21" s="65"/>
      <c r="H21" s="65" t="str">
        <f>IFERROR(__xludf.DUMMYFUNCTION("""COMPUTED_VALUE"""),"Appliance Rental Return")</f>
        <v>Appliance Rental Return</v>
      </c>
      <c r="I21" s="65" t="str">
        <f>IFERROR(__xludf.DUMMYFUNCTION("""COMPUTED_VALUE""")," Double-Door Mini Fridge + Microwave   - ")</f>
        <v> Double-Door Mini Fridge + Microwave   - </v>
      </c>
      <c r="J21" s="108" t="str">
        <f>IFERROR(__xludf.DUMMYFUNCTION("""COMPUTED_VALUE"""),"Dardick  ")</f>
        <v>Dardick  </v>
      </c>
      <c r="K21" s="103">
        <f>IFERROR(__xludf.DUMMYFUNCTION("""COMPUTED_VALUE"""),46148.0)</f>
        <v>46148</v>
      </c>
      <c r="L21" s="65" t="str">
        <f>IFERROR(__xludf.DUMMYFUNCTION("""COMPUTED_VALUE"""),"4421")</f>
        <v>4421</v>
      </c>
      <c r="M21" s="65"/>
    </row>
    <row r="22">
      <c r="A22" s="99" t="str">
        <f>IFERROR(__xludf.DUMMYFUNCTION("""COMPUTED_VALUE"""),"https://utrucking.com/admin/orders/6358311534780")</f>
        <v>https://utrucking.com/admin/orders/6358311534780</v>
      </c>
      <c r="B22" s="61" t="str">
        <f>IFERROR(__xludf.DUMMYFUNCTION("""COMPUTED_VALUE"""),"#17106")</f>
        <v>#17106</v>
      </c>
      <c r="C22" s="61"/>
      <c r="D22" s="61">
        <f>IFERROR(__xludf.DUMMYFUNCTION("""COMPUTED_VALUE"""),9.737052053E9)</f>
        <v>9737052053</v>
      </c>
      <c r="E22" s="61" t="str">
        <f>IFERROR(__xludf.DUMMYFUNCTION("""COMPUTED_VALUE"""),"Arthur Nwobi")</f>
        <v>Arthur Nwobi</v>
      </c>
      <c r="F22" s="61" t="str">
        <f>IFERROR(__xludf.DUMMYFUNCTION("""COMPUTED_VALUE"""),"Samson Nwobi")</f>
        <v>Samson Nwobi</v>
      </c>
      <c r="G22" s="61"/>
      <c r="H22" s="61" t="str">
        <f>IFERROR(__xludf.DUMMYFUNCTION("""COMPUTED_VALUE"""),"Appliance Rental Return")</f>
        <v>Appliance Rental Return</v>
      </c>
      <c r="I22" s="61" t="str">
        <f>IFERROR(__xludf.DUMMYFUNCTION("""COMPUTED_VALUE""")," Standard Mini Fridge   - ")</f>
        <v> Standard Mini Fridge   - </v>
      </c>
      <c r="J22" s="107" t="str">
        <f>IFERROR(__xludf.DUMMYFUNCTION("""COMPUTED_VALUE"""),"Hurd  ")</f>
        <v>Hurd  </v>
      </c>
      <c r="K22" s="100">
        <f>IFERROR(__xludf.DUMMYFUNCTION("""COMPUTED_VALUE"""),46146.0)</f>
        <v>46146</v>
      </c>
      <c r="L22" s="61" t="str">
        <f>IFERROR(__xludf.DUMMYFUNCTION("""COMPUTED_VALUE"""),"111")</f>
        <v>111</v>
      </c>
      <c r="M22" s="61"/>
    </row>
    <row r="23">
      <c r="A23" s="102" t="str">
        <f>IFERROR(__xludf.DUMMYFUNCTION("""COMPUTED_VALUE"""),"https://utrucking.com/admin/orders/6371260104892")</f>
        <v>https://utrucking.com/admin/orders/6371260104892</v>
      </c>
      <c r="B23" s="65" t="str">
        <f>IFERROR(__xludf.DUMMYFUNCTION("""COMPUTED_VALUE"""),"#17131")</f>
        <v>#17131</v>
      </c>
      <c r="C23" s="65" t="str">
        <f>IFERROR(__xludf.DUMMYFUNCTION("""COMPUTED_VALUE"""),"melpollack@yahoo.com")</f>
        <v>melpollack@yahoo.com</v>
      </c>
      <c r="D23" s="65">
        <f>IFERROR(__xludf.DUMMYFUNCTION("""COMPUTED_VALUE"""),9.176897822E9)</f>
        <v>9176897822</v>
      </c>
      <c r="E23" s="65" t="str">
        <f>IFERROR(__xludf.DUMMYFUNCTION("""COMPUTED_VALUE"""),"Melissa Pollack")</f>
        <v>Melissa Pollack</v>
      </c>
      <c r="F23" s="65" t="str">
        <f>IFERROR(__xludf.DUMMYFUNCTION("""COMPUTED_VALUE"""),"James Pollack")</f>
        <v>James Pollack</v>
      </c>
      <c r="G23" s="65"/>
      <c r="H23" s="65" t="str">
        <f>IFERROR(__xludf.DUMMYFUNCTION("""COMPUTED_VALUE"""),"Appliance Rental Return")</f>
        <v>Appliance Rental Return</v>
      </c>
      <c r="I23" s="65" t="str">
        <f>IFERROR(__xludf.DUMMYFUNCTION("""COMPUTED_VALUE""")," Double-Door Mini Fridge + Microwave   - ")</f>
        <v> Double-Door Mini Fridge + Microwave   - </v>
      </c>
      <c r="J23" s="108" t="str">
        <f>IFERROR(__xludf.DUMMYFUNCTION("""COMPUTED_VALUE"""),"Wheeler  ")</f>
        <v>Wheeler  </v>
      </c>
      <c r="K23" s="103">
        <f>IFERROR(__xludf.DUMMYFUNCTION("""COMPUTED_VALUE"""),46146.0)</f>
        <v>46146</v>
      </c>
      <c r="L23" s="65" t="str">
        <f>IFERROR(__xludf.DUMMYFUNCTION("""COMPUTED_VALUE"""),"3100")</f>
        <v>3100</v>
      </c>
      <c r="M23" s="65"/>
    </row>
    <row r="24">
      <c r="A24" s="99" t="str">
        <f>IFERROR(__xludf.DUMMYFUNCTION("""COMPUTED_VALUE"""),"https://utrucking.com/admin/orders/6374964232380")</f>
        <v>https://utrucking.com/admin/orders/6374964232380</v>
      </c>
      <c r="B24" s="61" t="str">
        <f>IFERROR(__xludf.DUMMYFUNCTION("""COMPUTED_VALUE"""),"#17157")</f>
        <v>#17157</v>
      </c>
      <c r="C24" s="61" t="str">
        <f>IFERROR(__xludf.DUMMYFUNCTION("""COMPUTED_VALUE"""),"jacktajkef@outlook.com")</f>
        <v>jacktajkef@outlook.com</v>
      </c>
      <c r="D24" s="61">
        <f>IFERROR(__xludf.DUMMYFUNCTION("""COMPUTED_VALUE"""),1.8183140867E10)</f>
        <v>18183140867</v>
      </c>
      <c r="E24" s="61" t="str">
        <f>IFERROR(__xludf.DUMMYFUNCTION("""COMPUTED_VALUE"""),"Jack Tajkef")</f>
        <v>Jack Tajkef</v>
      </c>
      <c r="F24" s="61" t="str">
        <f>IFERROR(__xludf.DUMMYFUNCTION("""COMPUTED_VALUE"""),"Jack Tajkef")</f>
        <v>Jack Tajkef</v>
      </c>
      <c r="G24" s="61"/>
      <c r="H24" s="61" t="str">
        <f>IFERROR(__xludf.DUMMYFUNCTION("""COMPUTED_VALUE"""),"Appliance Rental Return")</f>
        <v>Appliance Rental Return</v>
      </c>
      <c r="I24" s="61" t="str">
        <f>IFERROR(__xludf.DUMMYFUNCTION("""COMPUTED_VALUE""")," Double-Door Mini Fridge + Microwave   - ")</f>
        <v> Double-Door Mini Fridge + Microwave   - </v>
      </c>
      <c r="J24" s="107" t="str">
        <f>IFERROR(__xludf.DUMMYFUNCTION("""COMPUTED_VALUE"""),"Dardick  ")</f>
        <v>Dardick  </v>
      </c>
      <c r="K24" s="100">
        <f>IFERROR(__xludf.DUMMYFUNCTION("""COMPUTED_VALUE"""),46143.0)</f>
        <v>46143</v>
      </c>
      <c r="L24" s="61" t="str">
        <f>IFERROR(__xludf.DUMMYFUNCTION("""COMPUTED_VALUE"""),"2222")</f>
        <v>2222</v>
      </c>
      <c r="M24" s="61"/>
    </row>
    <row r="25">
      <c r="A25" s="102" t="str">
        <f>IFERROR(__xludf.DUMMYFUNCTION("""COMPUTED_VALUE"""),"https://utrucking.com/admin/orders/6386395381948")</f>
        <v>https://utrucking.com/admin/orders/6386395381948</v>
      </c>
      <c r="B25" s="65" t="str">
        <f>IFERROR(__xludf.DUMMYFUNCTION("""COMPUTED_VALUE"""),"#17192")</f>
        <v>#17192</v>
      </c>
      <c r="C25" s="65"/>
      <c r="D25" s="65">
        <f>IFERROR(__xludf.DUMMYFUNCTION("""COMPUTED_VALUE"""),2.816368843E9)</f>
        <v>2816368843</v>
      </c>
      <c r="E25" s="65" t="str">
        <f>IFERROR(__xludf.DUMMYFUNCTION("""COMPUTED_VALUE"""),"Abhijit Gangopadhyay")</f>
        <v>Abhijit Gangopadhyay</v>
      </c>
      <c r="F25" s="65" t="str">
        <f>IFERROR(__xludf.DUMMYFUNCTION("""COMPUTED_VALUE"""),"Sana Gangopadhyay")</f>
        <v>Sana Gangopadhyay</v>
      </c>
      <c r="G25" s="65"/>
      <c r="H25" s="65" t="str">
        <f>IFERROR(__xludf.DUMMYFUNCTION("""COMPUTED_VALUE"""),"Appliance Rental Return")</f>
        <v>Appliance Rental Return</v>
      </c>
      <c r="I25" s="65" t="str">
        <f>IFERROR(__xludf.DUMMYFUNCTION("""COMPUTED_VALUE""")," Double-Door Mini Fridge + Microwave   - ")</f>
        <v> Double-Door Mini Fridge + Microwave   - </v>
      </c>
      <c r="J25" s="108" t="str">
        <f>IFERROR(__xludf.DUMMYFUNCTION("""COMPUTED_VALUE"""),"Dardick  ")</f>
        <v>Dardick  </v>
      </c>
      <c r="K25" s="103">
        <f>IFERROR(__xludf.DUMMYFUNCTION("""COMPUTED_VALUE"""),46148.0)</f>
        <v>46148</v>
      </c>
      <c r="L25" s="65" t="str">
        <f>IFERROR(__xludf.DUMMYFUNCTION("""COMPUTED_VALUE"""),"3302")</f>
        <v>3302</v>
      </c>
      <c r="M25" s="65"/>
    </row>
    <row r="26">
      <c r="A26" s="99" t="str">
        <f>IFERROR(__xludf.DUMMYFUNCTION("""COMPUTED_VALUE"""),"https://utrucking.com/admin/orders/6386879955132")</f>
        <v>https://utrucking.com/admin/orders/6386879955132</v>
      </c>
      <c r="B26" s="61" t="str">
        <f>IFERROR(__xludf.DUMMYFUNCTION("""COMPUTED_VALUE"""),"#17199")</f>
        <v>#17199</v>
      </c>
      <c r="C26" s="61" t="str">
        <f>IFERROR(__xludf.DUMMYFUNCTION("""COMPUTED_VALUE"""),"susanschober@comcast.net")</f>
        <v>susanschober@comcast.net</v>
      </c>
      <c r="D26" s="61">
        <f>IFERROR(__xludf.DUMMYFUNCTION("""COMPUTED_VALUE"""),3.128041544E9)</f>
        <v>3128041544</v>
      </c>
      <c r="E26" s="61" t="str">
        <f>IFERROR(__xludf.DUMMYFUNCTION("""COMPUTED_VALUE"""),"Susan Schober")</f>
        <v>Susan Schober</v>
      </c>
      <c r="F26" s="61" t="str">
        <f>IFERROR(__xludf.DUMMYFUNCTION("""COMPUTED_VALUE"""),"Katie Schober")</f>
        <v>Katie Schober</v>
      </c>
      <c r="G26" s="61"/>
      <c r="H26" s="61" t="str">
        <f>IFERROR(__xludf.DUMMYFUNCTION("""COMPUTED_VALUE"""),"Appliance Rental Return")</f>
        <v>Appliance Rental Return</v>
      </c>
      <c r="I26" s="61" t="str">
        <f>IFERROR(__xludf.DUMMYFUNCTION("""COMPUTED_VALUE""")," Double-Door Mini Fridge + Microwave   - ")</f>
        <v> Double-Door Mini Fridge + Microwave   - </v>
      </c>
      <c r="J26" s="107" t="str">
        <f>IFERROR(__xludf.DUMMYFUNCTION("""COMPUTED_VALUE"""),"Umrath  ")</f>
        <v>Umrath  </v>
      </c>
      <c r="K26" s="100">
        <f>IFERROR(__xludf.DUMMYFUNCTION("""COMPUTED_VALUE"""),46149.0)</f>
        <v>46149</v>
      </c>
      <c r="L26" s="61" t="str">
        <f>IFERROR(__xludf.DUMMYFUNCTION("""COMPUTED_VALUE"""),"2234")</f>
        <v>2234</v>
      </c>
      <c r="M26" s="61"/>
    </row>
    <row r="27">
      <c r="A27" s="102" t="str">
        <f>IFERROR(__xludf.DUMMYFUNCTION("""COMPUTED_VALUE"""),"https://utrucking.com/admin/orders/6388005765308")</f>
        <v>https://utrucking.com/admin/orders/6388005765308</v>
      </c>
      <c r="B27" s="65" t="str">
        <f>IFERROR(__xludf.DUMMYFUNCTION("""COMPUTED_VALUE"""),"#17202")</f>
        <v>#17202</v>
      </c>
      <c r="C27" s="65" t="str">
        <f>IFERROR(__xludf.DUMMYFUNCTION("""COMPUTED_VALUE"""),"cchazday@gmail.com")</f>
        <v>cchazday@gmail.com</v>
      </c>
      <c r="D27" s="65">
        <f>IFERROR(__xludf.DUMMYFUNCTION("""COMPUTED_VALUE"""),9.173750383E9)</f>
        <v>9173750383</v>
      </c>
      <c r="E27" s="65" t="str">
        <f>IFERROR(__xludf.DUMMYFUNCTION("""COMPUTED_VALUE"""),"Cristina Hazday")</f>
        <v>Cristina Hazday</v>
      </c>
      <c r="F27" s="65" t="str">
        <f>IFERROR(__xludf.DUMMYFUNCTION("""COMPUTED_VALUE"""),"Cooper Hazday")</f>
        <v>Cooper Hazday</v>
      </c>
      <c r="G27" s="65"/>
      <c r="H27" s="65" t="str">
        <f>IFERROR(__xludf.DUMMYFUNCTION("""COMPUTED_VALUE"""),"Appliance Rental Return")</f>
        <v>Appliance Rental Return</v>
      </c>
      <c r="I27" s="65" t="str">
        <f>IFERROR(__xludf.DUMMYFUNCTION("""COMPUTED_VALUE""")," Double-Door Mini Fridge + Microwave   - ")</f>
        <v> Double-Door Mini Fridge + Microwave   - </v>
      </c>
      <c r="J27" s="108" t="str">
        <f>IFERROR(__xludf.DUMMYFUNCTION("""COMPUTED_VALUE"""),"Myers  ")</f>
        <v>Myers  </v>
      </c>
      <c r="K27" s="103">
        <f>IFERROR(__xludf.DUMMYFUNCTION("""COMPUTED_VALUE"""),46144.0)</f>
        <v>46144</v>
      </c>
      <c r="L27" s="65" t="str">
        <f>IFERROR(__xludf.DUMMYFUNCTION("""COMPUTED_VALUE"""),"423 ")</f>
        <v>423 </v>
      </c>
      <c r="M27" s="65"/>
    </row>
    <row r="28">
      <c r="A28" s="99" t="str">
        <f>IFERROR(__xludf.DUMMYFUNCTION("""COMPUTED_VALUE"""),"https://utrucking.com/admin/orders/6390232613052")</f>
        <v>https://utrucking.com/admin/orders/6390232613052</v>
      </c>
      <c r="B28" s="61" t="str">
        <f>IFERROR(__xludf.DUMMYFUNCTION("""COMPUTED_VALUE"""),"#17219")</f>
        <v>#17219</v>
      </c>
      <c r="C28" s="61" t="str">
        <f>IFERROR(__xludf.DUMMYFUNCTION("""COMPUTED_VALUE"""),"h.c.mcallister@wustl.edu")</f>
        <v>h.c.mcallister@wustl.edu</v>
      </c>
      <c r="D28" s="61"/>
      <c r="E28" s="61" t="str">
        <f>IFERROR(__xludf.DUMMYFUNCTION("""COMPUTED_VALUE"""),"Hayden McAllister")</f>
        <v>Hayden McAllister</v>
      </c>
      <c r="F28" s="61" t="str">
        <f>IFERROR(__xludf.DUMMYFUNCTION("""COMPUTED_VALUE"""),"Hayden McAllister")</f>
        <v>Hayden McAllister</v>
      </c>
      <c r="G28" s="61"/>
      <c r="H28" s="61" t="str">
        <f>IFERROR(__xludf.DUMMYFUNCTION("""COMPUTED_VALUE"""),"Appliance Rental Return")</f>
        <v>Appliance Rental Return</v>
      </c>
      <c r="I28" s="61" t="str">
        <f>IFERROR(__xludf.DUMMYFUNCTION("""COMPUTED_VALUE""")," Double-Door Mini Fridge + Microwave   - ")</f>
        <v> Double-Door Mini Fridge + Microwave   - </v>
      </c>
      <c r="J28" s="107" t="str">
        <f>IFERROR(__xludf.DUMMYFUNCTION("""COMPUTED_VALUE"""),"Millbrook Bldg. 1  ")</f>
        <v>Millbrook Bldg. 1  </v>
      </c>
      <c r="K28" s="100">
        <f>IFERROR(__xludf.DUMMYFUNCTION("""COMPUTED_VALUE"""),46116.0)</f>
        <v>46116</v>
      </c>
      <c r="L28" s="61" t="str">
        <f>IFERROR(__xludf.DUMMYFUNCTION("""COMPUTED_VALUE"""),"203D")</f>
        <v>203D</v>
      </c>
      <c r="M28" s="61"/>
    </row>
    <row r="29">
      <c r="A29" s="102" t="str">
        <f>IFERROR(__xludf.DUMMYFUNCTION("""COMPUTED_VALUE"""),"https://utrucking.com/admin/orders/6390865068220")</f>
        <v>https://utrucking.com/admin/orders/6390865068220</v>
      </c>
      <c r="B29" s="65" t="str">
        <f>IFERROR(__xludf.DUMMYFUNCTION("""COMPUTED_VALUE"""),"#17225")</f>
        <v>#17225</v>
      </c>
      <c r="C29" s="65" t="str">
        <f>IFERROR(__xludf.DUMMYFUNCTION("""COMPUTED_VALUE"""),"rothstein@wustl.edu")</f>
        <v>rothstein@wustl.edu</v>
      </c>
      <c r="D29" s="65">
        <f>IFERROR(__xludf.DUMMYFUNCTION("""COMPUTED_VALUE"""),3.104150928E9)</f>
        <v>3104150928</v>
      </c>
      <c r="E29" s="65" t="str">
        <f>IFERROR(__xludf.DUMMYFUNCTION("""COMPUTED_VALUE"""),"Alain Rothstein")</f>
        <v>Alain Rothstein</v>
      </c>
      <c r="F29" s="65" t="str">
        <f>IFERROR(__xludf.DUMMYFUNCTION("""COMPUTED_VALUE"""),"William Rothstein")</f>
        <v>William Rothstein</v>
      </c>
      <c r="G29" s="65"/>
      <c r="H29" s="65" t="str">
        <f>IFERROR(__xludf.DUMMYFUNCTION("""COMPUTED_VALUE"""),"Appliance Rental Return")</f>
        <v>Appliance Rental Return</v>
      </c>
      <c r="I29" s="65" t="str">
        <f>IFERROR(__xludf.DUMMYFUNCTION("""COMPUTED_VALUE""")," Double-Door Mini Fridge + Microwave   - ")</f>
        <v> Double-Door Mini Fridge + Microwave   - </v>
      </c>
      <c r="J29" s="108" t="str">
        <f>IFERROR(__xludf.DUMMYFUNCTION("""COMPUTED_VALUE"""),"Danforth  ")</f>
        <v>Danforth  </v>
      </c>
      <c r="K29" s="103">
        <f>IFERROR(__xludf.DUMMYFUNCTION("""COMPUTED_VALUE"""),46148.0)</f>
        <v>46148</v>
      </c>
      <c r="L29" s="65" t="str">
        <f>IFERROR(__xludf.DUMMYFUNCTION("""COMPUTED_VALUE"""),"3302")</f>
        <v>3302</v>
      </c>
      <c r="M29" s="65"/>
    </row>
    <row r="30">
      <c r="A30" s="99" t="str">
        <f>IFERROR(__xludf.DUMMYFUNCTION("""COMPUTED_VALUE"""),"https://utrucking.com/admin/orders/6392770199740")</f>
        <v>https://utrucking.com/admin/orders/6392770199740</v>
      </c>
      <c r="B30" s="61" t="str">
        <f>IFERROR(__xludf.DUMMYFUNCTION("""COMPUTED_VALUE"""),"#17230")</f>
        <v>#17230</v>
      </c>
      <c r="C30" s="61" t="str">
        <f>IFERROR(__xludf.DUMMYFUNCTION("""COMPUTED_VALUE"""),"svpandit6@gmail.com")</f>
        <v>svpandit6@gmail.com</v>
      </c>
      <c r="D30" s="61"/>
      <c r="E30" s="61" t="str">
        <f>IFERROR(__xludf.DUMMYFUNCTION("""COMPUTED_VALUE"""),"Rahul Pandit")</f>
        <v>Rahul Pandit</v>
      </c>
      <c r="F30" s="61" t="str">
        <f>IFERROR(__xludf.DUMMYFUNCTION("""COMPUTED_VALUE"""),"Sanjna Pandit")</f>
        <v>Sanjna Pandit</v>
      </c>
      <c r="G30" s="61"/>
      <c r="H30" s="61" t="str">
        <f>IFERROR(__xludf.DUMMYFUNCTION("""COMPUTED_VALUE"""),"Appliance Rental Return")</f>
        <v>Appliance Rental Return</v>
      </c>
      <c r="I30" s="61" t="str">
        <f>IFERROR(__xludf.DUMMYFUNCTION("""COMPUTED_VALUE""")," Double-Door Mini Fridge + Microwave   - ")</f>
        <v> Double-Door Mini Fridge + Microwave   - </v>
      </c>
      <c r="J30" s="107" t="str">
        <f>IFERROR(__xludf.DUMMYFUNCTION("""COMPUTED_VALUE"""),"Mudd  ")</f>
        <v>Mudd  </v>
      </c>
      <c r="K30" s="100">
        <f>IFERROR(__xludf.DUMMYFUNCTION("""COMPUTED_VALUE"""),46149.0)</f>
        <v>46149</v>
      </c>
      <c r="L30" s="61" t="str">
        <f>IFERROR(__xludf.DUMMYFUNCTION("""COMPUTED_VALUE"""),"214")</f>
        <v>214</v>
      </c>
      <c r="M30" s="61"/>
    </row>
    <row r="31">
      <c r="A31" s="102" t="str">
        <f>IFERROR(__xludf.DUMMYFUNCTION("""COMPUTED_VALUE"""),"https://utrucking.com/admin/orders/6393041289404")</f>
        <v>https://utrucking.com/admin/orders/6393041289404</v>
      </c>
      <c r="B31" s="65" t="str">
        <f>IFERROR(__xludf.DUMMYFUNCTION("""COMPUTED_VALUE"""),"#17234")</f>
        <v>#17234</v>
      </c>
      <c r="C31" s="65" t="str">
        <f>IFERROR(__xludf.DUMMYFUNCTION("""COMPUTED_VALUE"""),"faier@wustl.edu")</f>
        <v>faier@wustl.edu</v>
      </c>
      <c r="D31" s="65">
        <f>IFERROR(__xludf.DUMMYFUNCTION("""COMPUTED_VALUE"""),8.473056032E9)</f>
        <v>8473056032</v>
      </c>
      <c r="E31" s="65" t="str">
        <f>IFERROR(__xludf.DUMMYFUNCTION("""COMPUTED_VALUE"""),"Maya Faier")</f>
        <v>Maya Faier</v>
      </c>
      <c r="F31" s="65" t="str">
        <f>IFERROR(__xludf.DUMMYFUNCTION("""COMPUTED_VALUE"""),"Maya Faier")</f>
        <v>Maya Faier</v>
      </c>
      <c r="G31" s="65"/>
      <c r="H31" s="65" t="str">
        <f>IFERROR(__xludf.DUMMYFUNCTION("""COMPUTED_VALUE"""),"Appliance Rental Return")</f>
        <v>Appliance Rental Return</v>
      </c>
      <c r="I31" s="65" t="str">
        <f>IFERROR(__xludf.DUMMYFUNCTION("""COMPUTED_VALUE""")," Microwave Only   - ")</f>
        <v> Microwave Only   - </v>
      </c>
      <c r="J31" s="108" t="str">
        <f>IFERROR(__xludf.DUMMYFUNCTION("""COMPUTED_VALUE"""),"Myers  ")</f>
        <v>Myers  </v>
      </c>
      <c r="K31" s="103">
        <f>IFERROR(__xludf.DUMMYFUNCTION("""COMPUTED_VALUE"""),46149.0)</f>
        <v>46149</v>
      </c>
      <c r="L31" s="65" t="str">
        <f>IFERROR(__xludf.DUMMYFUNCTION("""COMPUTED_VALUE"""),"413")</f>
        <v>413</v>
      </c>
      <c r="M31" s="65"/>
    </row>
    <row r="32">
      <c r="A32" s="99" t="str">
        <f>IFERROR(__xludf.DUMMYFUNCTION("""COMPUTED_VALUE"""),"https://utrucking.com/admin/orders/6394218152124")</f>
        <v>https://utrucking.com/admin/orders/6394218152124</v>
      </c>
      <c r="B32" s="61" t="str">
        <f>IFERROR(__xludf.DUMMYFUNCTION("""COMPUTED_VALUE"""),"#17241")</f>
        <v>#17241</v>
      </c>
      <c r="C32" s="61" t="str">
        <f>IFERROR(__xludf.DUMMYFUNCTION("""COMPUTED_VALUE"""),"sandy_lee715@yahoo.com")</f>
        <v>sandy_lee715@yahoo.com</v>
      </c>
      <c r="D32" s="61">
        <f>IFERROR(__xludf.DUMMYFUNCTION("""COMPUTED_VALUE"""),9.49254816E9)</f>
        <v>9492548160</v>
      </c>
      <c r="E32" s="61" t="str">
        <f>IFERROR(__xludf.DUMMYFUNCTION("""COMPUTED_VALUE"""),"Sandra Young")</f>
        <v>Sandra Young</v>
      </c>
      <c r="F32" s="61" t="str">
        <f>IFERROR(__xludf.DUMMYFUNCTION("""COMPUTED_VALUE"""),"Lance Young")</f>
        <v>Lance Young</v>
      </c>
      <c r="G32" s="61"/>
      <c r="H32" s="61" t="str">
        <f>IFERROR(__xludf.DUMMYFUNCTION("""COMPUTED_VALUE"""),"Appliance Rental Return")</f>
        <v>Appliance Rental Return</v>
      </c>
      <c r="I32" s="61" t="str">
        <f>IFERROR(__xludf.DUMMYFUNCTION("""COMPUTED_VALUE""")," Double-Door Mini Fridge + Microwave   - ")</f>
        <v> Double-Door Mini Fridge + Microwave   - </v>
      </c>
      <c r="J32" s="107" t="str">
        <f>IFERROR(__xludf.DUMMYFUNCTION("""COMPUTED_VALUE"""),"Koenig  ")</f>
        <v>Koenig  </v>
      </c>
      <c r="K32" s="100">
        <f>IFERROR(__xludf.DUMMYFUNCTION("""COMPUTED_VALUE"""),46160.0)</f>
        <v>46160</v>
      </c>
      <c r="L32" s="61" t="str">
        <f>IFERROR(__xludf.DUMMYFUNCTION("""COMPUTED_VALUE"""),"4407")</f>
        <v>4407</v>
      </c>
      <c r="M32" s="61"/>
    </row>
    <row r="33">
      <c r="A33" s="102" t="str">
        <f>IFERROR(__xludf.DUMMYFUNCTION("""COMPUTED_VALUE"""),"https://utrucking.com/admin/orders/6398258512060")</f>
        <v>https://utrucking.com/admin/orders/6398258512060</v>
      </c>
      <c r="B33" s="65" t="str">
        <f>IFERROR(__xludf.DUMMYFUNCTION("""COMPUTED_VALUE"""),"#17255")</f>
        <v>#17255</v>
      </c>
      <c r="C33" s="65" t="str">
        <f>IFERROR(__xludf.DUMMYFUNCTION("""COMPUTED_VALUE"""),"dehn@wustl.edu")</f>
        <v>dehn@wustl.edu</v>
      </c>
      <c r="D33" s="65">
        <f>IFERROR(__xludf.DUMMYFUNCTION("""COMPUTED_VALUE"""),7.032232446E9)</f>
        <v>7032232446</v>
      </c>
      <c r="E33" s="65" t="str">
        <f>IFERROR(__xludf.DUMMYFUNCTION("""COMPUTED_VALUE"""),"James Dehn")</f>
        <v>James Dehn</v>
      </c>
      <c r="F33" s="65" t="str">
        <f>IFERROR(__xludf.DUMMYFUNCTION("""COMPUTED_VALUE"""),"Chloe Dehn")</f>
        <v>Chloe Dehn</v>
      </c>
      <c r="G33" s="65"/>
      <c r="H33" s="65" t="str">
        <f>IFERROR(__xludf.DUMMYFUNCTION("""COMPUTED_VALUE"""),"Appliance Rental Return")</f>
        <v>Appliance Rental Return</v>
      </c>
      <c r="I33" s="65" t="str">
        <f>IFERROR(__xludf.DUMMYFUNCTION("""COMPUTED_VALUE""")," Double-Door Mini Fridge + Microwave   - ")</f>
        <v> Double-Door Mini Fridge + Microwave   - </v>
      </c>
      <c r="J33" s="108" t="str">
        <f>IFERROR(__xludf.DUMMYFUNCTION("""COMPUTED_VALUE"""),"Umrath  ")</f>
        <v>Umrath  </v>
      </c>
      <c r="K33" s="103">
        <f>IFERROR(__xludf.DUMMYFUNCTION("""COMPUTED_VALUE"""),46146.0)</f>
        <v>46146</v>
      </c>
      <c r="L33" s="65" t="str">
        <f>IFERROR(__xludf.DUMMYFUNCTION("""COMPUTED_VALUE"""),"3326")</f>
        <v>3326</v>
      </c>
      <c r="M33" s="65"/>
    </row>
    <row r="34">
      <c r="A34" s="99" t="str">
        <f>IFERROR(__xludf.DUMMYFUNCTION("""COMPUTED_VALUE"""),"https://utrucking.com/admin/orders/6404380164284")</f>
        <v>https://utrucking.com/admin/orders/6404380164284</v>
      </c>
      <c r="B34" s="61" t="str">
        <f>IFERROR(__xludf.DUMMYFUNCTION("""COMPUTED_VALUE"""),"#17309")</f>
        <v>#17309</v>
      </c>
      <c r="C34" s="61" t="str">
        <f>IFERROR(__xludf.DUMMYFUNCTION("""COMPUTED_VALUE"""),"amanda.k.lee@wustl.edu")</f>
        <v>amanda.k.lee@wustl.edu</v>
      </c>
      <c r="D34" s="61">
        <f>IFERROR(__xludf.DUMMYFUNCTION("""COMPUTED_VALUE"""),8.478340792E9)</f>
        <v>8478340792</v>
      </c>
      <c r="E34" s="61" t="str">
        <f>IFERROR(__xludf.DUMMYFUNCTION("""COMPUTED_VALUE"""),"Audrey Lee")</f>
        <v>Audrey Lee</v>
      </c>
      <c r="F34" s="61" t="str">
        <f>IFERROR(__xludf.DUMMYFUNCTION("""COMPUTED_VALUE"""),"Amanda Lee")</f>
        <v>Amanda Lee</v>
      </c>
      <c r="G34" s="61"/>
      <c r="H34" s="61" t="str">
        <f>IFERROR(__xludf.DUMMYFUNCTION("""COMPUTED_VALUE"""),"Appliance Rental Return")</f>
        <v>Appliance Rental Return</v>
      </c>
      <c r="I34" s="61" t="str">
        <f>IFERROR(__xludf.DUMMYFUNCTION("""COMPUTED_VALUE""")," Double-Door Mini Fridge   - ")</f>
        <v> Double-Door Mini Fridge   - </v>
      </c>
      <c r="J34" s="107" t="str">
        <f>IFERROR(__xludf.DUMMYFUNCTION("""COMPUTED_VALUE"""),"Zetcher  ")</f>
        <v>Zetcher  </v>
      </c>
      <c r="K34" s="100">
        <f>IFERROR(__xludf.DUMMYFUNCTION("""COMPUTED_VALUE"""),46149.0)</f>
        <v>46149</v>
      </c>
      <c r="L34" s="61" t="str">
        <f>IFERROR(__xludf.DUMMYFUNCTION("""COMPUTED_VALUE"""),"3141")</f>
        <v>3141</v>
      </c>
      <c r="M34" s="61" t="str">
        <f>IFERROR(__xludf.DUMMYFUNCTION("""COMPUTED_VALUE"""),"The mini fridge will be located in the common area, outside of room 3141-a")</f>
        <v>The mini fridge will be located in the common area, outside of room 3141-a</v>
      </c>
    </row>
    <row r="35">
      <c r="A35" s="102" t="str">
        <f>IFERROR(__xludf.DUMMYFUNCTION("""COMPUTED_VALUE"""),"https://utrucking.com/admin/orders/6404424466620")</f>
        <v>https://utrucking.com/admin/orders/6404424466620</v>
      </c>
      <c r="B35" s="65" t="str">
        <f>IFERROR(__xludf.DUMMYFUNCTION("""COMPUTED_VALUE"""),"#17311")</f>
        <v>#17311</v>
      </c>
      <c r="C35" s="65" t="str">
        <f>IFERROR(__xludf.DUMMYFUNCTION("""COMPUTED_VALUE"""),"b.j.trankler@wustl.edu")</f>
        <v>b.j.trankler@wustl.edu</v>
      </c>
      <c r="D35" s="65">
        <f>IFERROR(__xludf.DUMMYFUNCTION("""COMPUTED_VALUE"""),3.145707369E9)</f>
        <v>3145707369</v>
      </c>
      <c r="E35" s="65" t="str">
        <f>IFERROR(__xludf.DUMMYFUNCTION("""COMPUTED_VALUE"""),"Isabella Trankler")</f>
        <v>Isabella Trankler</v>
      </c>
      <c r="F35" s="65" t="str">
        <f>IFERROR(__xludf.DUMMYFUNCTION("""COMPUTED_VALUE"""),"Isabella Trankler")</f>
        <v>Isabella Trankler</v>
      </c>
      <c r="G35" s="65"/>
      <c r="H35" s="65" t="str">
        <f>IFERROR(__xludf.DUMMYFUNCTION("""COMPUTED_VALUE"""),"Appliance Rental Return")</f>
        <v>Appliance Rental Return</v>
      </c>
      <c r="I35" s="65" t="str">
        <f>IFERROR(__xludf.DUMMYFUNCTION("""COMPUTED_VALUE""")," Double-Door Mini Fridge + Microwave   - ")</f>
        <v> Double-Door Mini Fridge + Microwave   - </v>
      </c>
      <c r="J35" s="108" t="str">
        <f>IFERROR(__xludf.DUMMYFUNCTION("""COMPUTED_VALUE"""),"Eliot A (Thomas Eliot)")</f>
        <v>Eliot A (Thomas Eliot)</v>
      </c>
      <c r="K35" s="103">
        <f>IFERROR(__xludf.DUMMYFUNCTION("""COMPUTED_VALUE"""),46148.0)</f>
        <v>46148</v>
      </c>
      <c r="L35" s="65" t="str">
        <f>IFERROR(__xludf.DUMMYFUNCTION("""COMPUTED_VALUE"""),"3092")</f>
        <v>3092</v>
      </c>
      <c r="M35" s="65"/>
    </row>
    <row r="36">
      <c r="A36" s="99" t="str">
        <f>IFERROR(__xludf.DUMMYFUNCTION("""COMPUTED_VALUE"""),"https://utrucking.com/admin/orders/6407057539260")</f>
        <v>https://utrucking.com/admin/orders/6407057539260</v>
      </c>
      <c r="B36" s="61" t="str">
        <f>IFERROR(__xludf.DUMMYFUNCTION("""COMPUTED_VALUE"""),"#17334")</f>
        <v>#17334</v>
      </c>
      <c r="C36" s="61" t="str">
        <f>IFERROR(__xludf.DUMMYFUNCTION("""COMPUTED_VALUE"""),"l.seoyeong@wustl.edu")</f>
        <v>l.seoyeong@wustl.edu</v>
      </c>
      <c r="D36" s="61">
        <f>IFERROR(__xludf.DUMMYFUNCTION("""COMPUTED_VALUE"""),6.503097068E9)</f>
        <v>6503097068</v>
      </c>
      <c r="E36" s="61" t="str">
        <f>IFERROR(__xludf.DUMMYFUNCTION("""COMPUTED_VALUE"""),"Seoyeong Lee")</f>
        <v>Seoyeong Lee</v>
      </c>
      <c r="F36" s="61" t="str">
        <f>IFERROR(__xludf.DUMMYFUNCTION("""COMPUTED_VALUE"""),"Seoyeong Lee")</f>
        <v>Seoyeong Lee</v>
      </c>
      <c r="G36" s="61"/>
      <c r="H36" s="61" t="str">
        <f>IFERROR(__xludf.DUMMYFUNCTION("""COMPUTED_VALUE"""),"Appliance Rental Return")</f>
        <v>Appliance Rental Return</v>
      </c>
      <c r="I36" s="61" t="str">
        <f>IFERROR(__xludf.DUMMYFUNCTION("""COMPUTED_VALUE""")," Standard Mini Fridge   - ")</f>
        <v> Standard Mini Fridge   - </v>
      </c>
      <c r="J36" s="107" t="str">
        <f>IFERROR(__xludf.DUMMYFUNCTION("""COMPUTED_VALUE"""),"Lee  ")</f>
        <v>Lee  </v>
      </c>
      <c r="K36" s="100">
        <f>IFERROR(__xludf.DUMMYFUNCTION("""COMPUTED_VALUE"""),46144.0)</f>
        <v>46144</v>
      </c>
      <c r="L36" s="61" t="str">
        <f>IFERROR(__xludf.DUMMYFUNCTION("""COMPUTED_VALUE"""),"311")</f>
        <v>311</v>
      </c>
      <c r="M36" s="61"/>
    </row>
    <row r="37">
      <c r="A37" s="102" t="str">
        <f>IFERROR(__xludf.DUMMYFUNCTION("""COMPUTED_VALUE"""),"https://utrucking.com/admin/orders/6407339540668")</f>
        <v>https://utrucking.com/admin/orders/6407339540668</v>
      </c>
      <c r="B37" s="65" t="str">
        <f>IFERROR(__xludf.DUMMYFUNCTION("""COMPUTED_VALUE"""),"#17343")</f>
        <v>#17343</v>
      </c>
      <c r="C37" s="65"/>
      <c r="D37" s="65">
        <f>IFERROR(__xludf.DUMMYFUNCTION("""COMPUTED_VALUE"""),3.142020471E9)</f>
        <v>3142020471</v>
      </c>
      <c r="E37" s="65" t="str">
        <f>IFERROR(__xludf.DUMMYFUNCTION("""COMPUTED_VALUE"""),"Arushi Goyal")</f>
        <v>Arushi Goyal</v>
      </c>
      <c r="F37" s="65" t="str">
        <f>IFERROR(__xludf.DUMMYFUNCTION("""COMPUTED_VALUE"""),"Arushi")</f>
        <v>Arushi</v>
      </c>
      <c r="G37" s="65"/>
      <c r="H37" s="65" t="str">
        <f>IFERROR(__xludf.DUMMYFUNCTION("""COMPUTED_VALUE"""),"Appliance Rental Return")</f>
        <v>Appliance Rental Return</v>
      </c>
      <c r="I37" s="65" t="str">
        <f>IFERROR(__xludf.DUMMYFUNCTION("""COMPUTED_VALUE""")," Double-Door Mini Fridge + Microwave   - ")</f>
        <v> Double-Door Mini Fridge + Microwave   - </v>
      </c>
      <c r="J37" s="108" t="str">
        <f>IFERROR(__xludf.DUMMYFUNCTION("""COMPUTED_VALUE"""),"Park  ")</f>
        <v>Park  </v>
      </c>
      <c r="K37" s="103">
        <f>IFERROR(__xludf.DUMMYFUNCTION("""COMPUTED_VALUE"""),46148.0)</f>
        <v>46148</v>
      </c>
      <c r="L37" s="65" t="str">
        <f>IFERROR(__xludf.DUMMYFUNCTION("""COMPUTED_VALUE"""),"171")</f>
        <v>171</v>
      </c>
      <c r="M37" s="65"/>
    </row>
    <row r="38">
      <c r="A38" s="99" t="str">
        <f>IFERROR(__xludf.DUMMYFUNCTION("""COMPUTED_VALUE"""),"https://utrucking.com/admin/orders/6407361233084")</f>
        <v>https://utrucking.com/admin/orders/6407361233084</v>
      </c>
      <c r="B38" s="61" t="str">
        <f>IFERROR(__xludf.DUMMYFUNCTION("""COMPUTED_VALUE"""),"#17344")</f>
        <v>#17344</v>
      </c>
      <c r="C38" s="61" t="str">
        <f>IFERROR(__xludf.DUMMYFUNCTION("""COMPUTED_VALUE"""),"baerwald.d@wustl.edu")</f>
        <v>baerwald.d@wustl.edu</v>
      </c>
      <c r="D38" s="61">
        <f>IFERROR(__xludf.DUMMYFUNCTION("""COMPUTED_VALUE"""),2.068503099E9)</f>
        <v>2068503099</v>
      </c>
      <c r="E38" s="61" t="str">
        <f>IFERROR(__xludf.DUMMYFUNCTION("""COMPUTED_VALUE"""),"Jeannette Baerwald")</f>
        <v>Jeannette Baerwald</v>
      </c>
      <c r="F38" s="61" t="str">
        <f>IFERROR(__xludf.DUMMYFUNCTION("""COMPUTED_VALUE"""),"Dan Baerwald")</f>
        <v>Dan Baerwald</v>
      </c>
      <c r="G38" s="61"/>
      <c r="H38" s="61" t="str">
        <f>IFERROR(__xludf.DUMMYFUNCTION("""COMPUTED_VALUE"""),"Appliance Rental Return")</f>
        <v>Appliance Rental Return</v>
      </c>
      <c r="I38" s="61" t="str">
        <f>IFERROR(__xludf.DUMMYFUNCTION("""COMPUTED_VALUE""")," Double-Door Mini Fridge   - ")</f>
        <v> Double-Door Mini Fridge   - </v>
      </c>
      <c r="J38" s="107" t="str">
        <f>IFERROR(__xludf.DUMMYFUNCTION("""COMPUTED_VALUE"""),"Park  ")</f>
        <v>Park  </v>
      </c>
      <c r="K38" s="100">
        <f>IFERROR(__xludf.DUMMYFUNCTION("""COMPUTED_VALUE"""),46149.0)</f>
        <v>46149</v>
      </c>
      <c r="L38" s="61" t="str">
        <f>IFERROR(__xludf.DUMMYFUNCTION("""COMPUTED_VALUE"""),"140")</f>
        <v>140</v>
      </c>
      <c r="M38" s="61"/>
    </row>
    <row r="39">
      <c r="A39" s="102" t="str">
        <f>IFERROR(__xludf.DUMMYFUNCTION("""COMPUTED_VALUE"""),"https://utrucking.com/admin/orders/6408395587772")</f>
        <v>https://utrucking.com/admin/orders/6408395587772</v>
      </c>
      <c r="B39" s="65" t="str">
        <f>IFERROR(__xludf.DUMMYFUNCTION("""COMPUTED_VALUE"""),"#17361")</f>
        <v>#17361</v>
      </c>
      <c r="C39" s="65"/>
      <c r="D39" s="65">
        <f>IFERROR(__xludf.DUMMYFUNCTION("""COMPUTED_VALUE"""),5.169455306E9)</f>
        <v>5169455306</v>
      </c>
      <c r="E39" s="65" t="str">
        <f>IFERROR(__xludf.DUMMYFUNCTION("""COMPUTED_VALUE"""),"Pamela Potter-Osit")</f>
        <v>Pamela Potter-Osit</v>
      </c>
      <c r="F39" s="65" t="str">
        <f>IFERROR(__xludf.DUMMYFUNCTION("""COMPUTED_VALUE"""),"Tyler Osit")</f>
        <v>Tyler Osit</v>
      </c>
      <c r="G39" s="65"/>
      <c r="H39" s="65" t="str">
        <f>IFERROR(__xludf.DUMMYFUNCTION("""COMPUTED_VALUE"""),"Appliance Rental Return")</f>
        <v>Appliance Rental Return</v>
      </c>
      <c r="I39" s="65" t="str">
        <f>IFERROR(__xludf.DUMMYFUNCTION("""COMPUTED_VALUE""")," Double-Door Mini Fridge + Microwave   - ")</f>
        <v> Double-Door Mini Fridge + Microwave   - </v>
      </c>
      <c r="J39" s="108" t="str">
        <f>IFERROR(__xludf.DUMMYFUNCTION("""COMPUTED_VALUE"""),"Rutledge  ")</f>
        <v>Rutledge  </v>
      </c>
      <c r="K39" s="103">
        <f>IFERROR(__xludf.DUMMYFUNCTION("""COMPUTED_VALUE"""),46147.0)</f>
        <v>46147</v>
      </c>
      <c r="L39" s="65" t="str">
        <f>IFERROR(__xludf.DUMMYFUNCTION("""COMPUTED_VALUE"""),"241")</f>
        <v>241</v>
      </c>
      <c r="M39" s="65"/>
    </row>
    <row r="40">
      <c r="A40" s="99" t="str">
        <f>IFERROR(__xludf.DUMMYFUNCTION("""COMPUTED_VALUE"""),"https://utrucking.com/admin/orders/6408869576892")</f>
        <v>https://utrucking.com/admin/orders/6408869576892</v>
      </c>
      <c r="B40" s="61" t="str">
        <f>IFERROR(__xludf.DUMMYFUNCTION("""COMPUTED_VALUE"""),"#17368")</f>
        <v>#17368</v>
      </c>
      <c r="C40" s="61" t="str">
        <f>IFERROR(__xludf.DUMMYFUNCTION("""COMPUTED_VALUE"""),"a.makayli@wustl.edu")</f>
        <v>a.makayli@wustl.edu</v>
      </c>
      <c r="D40" s="61">
        <f>IFERROR(__xludf.DUMMYFUNCTION("""COMPUTED_VALUE"""),6.785581035E9)</f>
        <v>6785581035</v>
      </c>
      <c r="E40" s="61" t="str">
        <f>IFERROR(__xludf.DUMMYFUNCTION("""COMPUTED_VALUE"""),"Makayli Anochie")</f>
        <v>Makayli Anochie</v>
      </c>
      <c r="F40" s="61" t="str">
        <f>IFERROR(__xludf.DUMMYFUNCTION("""COMPUTED_VALUE"""),"Makayli Anochie")</f>
        <v>Makayli Anochie</v>
      </c>
      <c r="G40" s="61"/>
      <c r="H40" s="61" t="str">
        <f>IFERROR(__xludf.DUMMYFUNCTION("""COMPUTED_VALUE"""),"Appliance Rental Return")</f>
        <v>Appliance Rental Return</v>
      </c>
      <c r="I40" s="61" t="str">
        <f>IFERROR(__xludf.DUMMYFUNCTION("""COMPUTED_VALUE""")," Double-Door Mini Fridge + Microwave   - ")</f>
        <v> Double-Door Mini Fridge + Microwave   - </v>
      </c>
      <c r="J40" s="107" t="str">
        <f>IFERROR(__xludf.DUMMYFUNCTION("""COMPUTED_VALUE"""),"Zetcher  ")</f>
        <v>Zetcher  </v>
      </c>
      <c r="K40" s="100">
        <f>IFERROR(__xludf.DUMMYFUNCTION("""COMPUTED_VALUE"""),46149.0)</f>
        <v>46149</v>
      </c>
      <c r="L40" s="61" t="str">
        <f>IFERROR(__xludf.DUMMYFUNCTION("""COMPUTED_VALUE"""),"2043-a")</f>
        <v>2043-a</v>
      </c>
      <c r="M40" s="61"/>
    </row>
    <row r="41">
      <c r="A41" s="102" t="str">
        <f>IFERROR(__xludf.DUMMYFUNCTION("""COMPUTED_VALUE"""),"https://utrucking.com/admin/orders/6409466970300")</f>
        <v>https://utrucking.com/admin/orders/6409466970300</v>
      </c>
      <c r="B41" s="65" t="str">
        <f>IFERROR(__xludf.DUMMYFUNCTION("""COMPUTED_VALUE"""),"#17378")</f>
        <v>#17378</v>
      </c>
      <c r="C41" s="65" t="str">
        <f>IFERROR(__xludf.DUMMYFUNCTION("""COMPUTED_VALUE"""),"williamatticks@gmail.com")</f>
        <v>williamatticks@gmail.com</v>
      </c>
      <c r="D41" s="65">
        <f>IFERROR(__xludf.DUMMYFUNCTION("""COMPUTED_VALUE"""),4.439155111E9)</f>
        <v>4439155111</v>
      </c>
      <c r="E41" s="65" t="str">
        <f>IFERROR(__xludf.DUMMYFUNCTION("""COMPUTED_VALUE"""),"William Atticks")</f>
        <v>William Atticks</v>
      </c>
      <c r="F41" s="65" t="str">
        <f>IFERROR(__xludf.DUMMYFUNCTION("""COMPUTED_VALUE"""),"William Atticks")</f>
        <v>William Atticks</v>
      </c>
      <c r="G41" s="65"/>
      <c r="H41" s="65" t="str">
        <f>IFERROR(__xludf.DUMMYFUNCTION("""COMPUTED_VALUE"""),"Appliance Rental Return")</f>
        <v>Appliance Rental Return</v>
      </c>
      <c r="I41" s="65" t="str">
        <f>IFERROR(__xludf.DUMMYFUNCTION("""COMPUTED_VALUE""")," Double-Door Mini Fridge + Microwave   - ")</f>
        <v> Double-Door Mini Fridge + Microwave   - </v>
      </c>
      <c r="J41" s="108" t="str">
        <f>IFERROR(__xludf.DUMMYFUNCTION("""COMPUTED_VALUE"""),"Koenig  ")</f>
        <v>Koenig  </v>
      </c>
      <c r="K41" s="103">
        <f>IFERROR(__xludf.DUMMYFUNCTION("""COMPUTED_VALUE"""),46144.0)</f>
        <v>46144</v>
      </c>
      <c r="L41" s="65" t="str">
        <f>IFERROR(__xludf.DUMMYFUNCTION("""COMPUTED_VALUE"""),"1112")</f>
        <v>1112</v>
      </c>
      <c r="M41" s="65"/>
    </row>
    <row r="42">
      <c r="A42" s="99" t="str">
        <f>IFERROR(__xludf.DUMMYFUNCTION("""COMPUTED_VALUE"""),"https://utrucking.com/admin/orders/6410102079676")</f>
        <v>https://utrucking.com/admin/orders/6410102079676</v>
      </c>
      <c r="B42" s="61" t="str">
        <f>IFERROR(__xludf.DUMMYFUNCTION("""COMPUTED_VALUE"""),"#17381")</f>
        <v>#17381</v>
      </c>
      <c r="C42" s="61"/>
      <c r="D42" s="61">
        <f>IFERROR(__xludf.DUMMYFUNCTION("""COMPUTED_VALUE"""),4.156524942E9)</f>
        <v>4156524942</v>
      </c>
      <c r="E42" s="61" t="str">
        <f>IFERROR(__xludf.DUMMYFUNCTION("""COMPUTED_VALUE"""),"Lucinda Laughlin")</f>
        <v>Lucinda Laughlin</v>
      </c>
      <c r="F42" s="61" t="str">
        <f>IFERROR(__xludf.DUMMYFUNCTION("""COMPUTED_VALUE"""),"Lucinda Laughlin")</f>
        <v>Lucinda Laughlin</v>
      </c>
      <c r="G42" s="61"/>
      <c r="H42" s="61" t="str">
        <f>IFERROR(__xludf.DUMMYFUNCTION("""COMPUTED_VALUE"""),"Appliance Rental Return")</f>
        <v>Appliance Rental Return</v>
      </c>
      <c r="I42" s="61" t="str">
        <f>IFERROR(__xludf.DUMMYFUNCTION("""COMPUTED_VALUE""")," Double-Door Mini Fridge   - ")</f>
        <v> Double-Door Mini Fridge   - </v>
      </c>
      <c r="J42" s="107" t="str">
        <f>IFERROR(__xludf.DUMMYFUNCTION("""COMPUTED_VALUE"""),"Gregg  ")</f>
        <v>Gregg  </v>
      </c>
      <c r="K42" s="100">
        <f>IFERROR(__xludf.DUMMYFUNCTION("""COMPUTED_VALUE"""),46161.0)</f>
        <v>46161</v>
      </c>
      <c r="L42" s="61" t="str">
        <f>IFERROR(__xludf.DUMMYFUNCTION("""COMPUTED_VALUE"""),"2010")</f>
        <v>2010</v>
      </c>
      <c r="M42" s="61"/>
    </row>
    <row r="43">
      <c r="A43" s="102" t="str">
        <f>IFERROR(__xludf.DUMMYFUNCTION("""COMPUTED_VALUE"""),"https://utrucking.com/admin/orders/6410116595900")</f>
        <v>https://utrucking.com/admin/orders/6410116595900</v>
      </c>
      <c r="B43" s="65" t="str">
        <f>IFERROR(__xludf.DUMMYFUNCTION("""COMPUTED_VALUE"""),"#17383")</f>
        <v>#17383</v>
      </c>
      <c r="C43" s="65" t="str">
        <f>IFERROR(__xludf.DUMMYFUNCTION("""COMPUTED_VALUE"""),"alisonflamenbaum@gmail.com")</f>
        <v>alisonflamenbaum@gmail.com</v>
      </c>
      <c r="D43" s="65">
        <f>IFERROR(__xludf.DUMMYFUNCTION("""COMPUTED_VALUE"""),9.145259746E9)</f>
        <v>9145259746</v>
      </c>
      <c r="E43" s="65" t="str">
        <f>IFERROR(__xludf.DUMMYFUNCTION("""COMPUTED_VALUE"""),"Alison Flamenbaum")</f>
        <v>Alison Flamenbaum</v>
      </c>
      <c r="F43" s="65" t="str">
        <f>IFERROR(__xludf.DUMMYFUNCTION("""COMPUTED_VALUE"""),"Paisley Flamenbaum")</f>
        <v>Paisley Flamenbaum</v>
      </c>
      <c r="G43" s="65"/>
      <c r="H43" s="65" t="str">
        <f>IFERROR(__xludf.DUMMYFUNCTION("""COMPUTED_VALUE"""),"Appliance Rental Return")</f>
        <v>Appliance Rental Return</v>
      </c>
      <c r="I43" s="65" t="str">
        <f>IFERROR(__xludf.DUMMYFUNCTION("""COMPUTED_VALUE""")," Standard Mini Fridge   - ")</f>
        <v> Standard Mini Fridge   - </v>
      </c>
      <c r="J43" s="108" t="str">
        <f>IFERROR(__xludf.DUMMYFUNCTION("""COMPUTED_VALUE"""),"Lopata  ")</f>
        <v>Lopata  </v>
      </c>
      <c r="K43" s="103">
        <f>IFERROR(__xludf.DUMMYFUNCTION("""COMPUTED_VALUE"""),46141.0)</f>
        <v>46141</v>
      </c>
      <c r="L43" s="65" t="str">
        <f>IFERROR(__xludf.DUMMYFUNCTION("""COMPUTED_VALUE"""),"Suite3050RoomA")</f>
        <v>Suite3050RoomA</v>
      </c>
      <c r="M43" s="65"/>
    </row>
    <row r="44">
      <c r="A44" s="99" t="str">
        <f>IFERROR(__xludf.DUMMYFUNCTION("""COMPUTED_VALUE"""),"https://utrucking.com/admin/orders/6410917314748")</f>
        <v>https://utrucking.com/admin/orders/6410917314748</v>
      </c>
      <c r="B44" s="61" t="str">
        <f>IFERROR(__xludf.DUMMYFUNCTION("""COMPUTED_VALUE"""),"#17388")</f>
        <v>#17388</v>
      </c>
      <c r="C44" s="61" t="str">
        <f>IFERROR(__xludf.DUMMYFUNCTION("""COMPUTED_VALUE"""),"doyoonnkim00@gmail.com")</f>
        <v>doyoonnkim00@gmail.com</v>
      </c>
      <c r="D44" s="61">
        <f>IFERROR(__xludf.DUMMYFUNCTION("""COMPUTED_VALUE"""),3.143911462E9)</f>
        <v>3143911462</v>
      </c>
      <c r="E44" s="61" t="str">
        <f>IFERROR(__xludf.DUMMYFUNCTION("""COMPUTED_VALUE"""),"Doyoon Kim")</f>
        <v>Doyoon Kim</v>
      </c>
      <c r="F44" s="61" t="str">
        <f>IFERROR(__xludf.DUMMYFUNCTION("""COMPUTED_VALUE"""),"Doyoon Kim")</f>
        <v>Doyoon Kim</v>
      </c>
      <c r="G44" s="61"/>
      <c r="H44" s="61" t="str">
        <f>IFERROR(__xludf.DUMMYFUNCTION("""COMPUTED_VALUE"""),"Appliance Rental Return")</f>
        <v>Appliance Rental Return</v>
      </c>
      <c r="I44" s="61" t="str">
        <f>IFERROR(__xludf.DUMMYFUNCTION("""COMPUTED_VALUE""")," Double-Door Mini Fridge   - ")</f>
        <v> Double-Door Mini Fridge   - </v>
      </c>
      <c r="J44" s="107" t="str">
        <f>IFERROR(__xludf.DUMMYFUNCTION("""COMPUTED_VALUE"""),"Lien  ")</f>
        <v>Lien  </v>
      </c>
      <c r="K44" s="100">
        <f>IFERROR(__xludf.DUMMYFUNCTION("""COMPUTED_VALUE"""),46148.0)</f>
        <v>46148</v>
      </c>
      <c r="L44" s="61" t="str">
        <f>IFERROR(__xludf.DUMMYFUNCTION("""COMPUTED_VALUE"""),"2201")</f>
        <v>2201</v>
      </c>
      <c r="M44" s="61"/>
    </row>
    <row r="45">
      <c r="A45" s="102" t="str">
        <f>IFERROR(__xludf.DUMMYFUNCTION("""COMPUTED_VALUE"""),"https://utrucking.com/admin/orders/6419947356348")</f>
        <v>https://utrucking.com/admin/orders/6419947356348</v>
      </c>
      <c r="B45" s="65" t="str">
        <f>IFERROR(__xludf.DUMMYFUNCTION("""COMPUTED_VALUE"""),"#17482")</f>
        <v>#17482</v>
      </c>
      <c r="C45" s="65" t="str">
        <f>IFERROR(__xludf.DUMMYFUNCTION("""COMPUTED_VALUE"""),"r.sean@wustl.edu")</f>
        <v>r.sean@wustl.edu</v>
      </c>
      <c r="D45" s="65">
        <f>IFERROR(__xludf.DUMMYFUNCTION("""COMPUTED_VALUE"""),6.185090791E9)</f>
        <v>6185090791</v>
      </c>
      <c r="E45" s="65" t="str">
        <f>IFERROR(__xludf.DUMMYFUNCTION("""COMPUTED_VALUE"""),"Sean Rule")</f>
        <v>Sean Rule</v>
      </c>
      <c r="F45" s="65" t="str">
        <f>IFERROR(__xludf.DUMMYFUNCTION("""COMPUTED_VALUE"""),"Sean Rule")</f>
        <v>Sean Rule</v>
      </c>
      <c r="G45" s="65"/>
      <c r="H45" s="65" t="str">
        <f>IFERROR(__xludf.DUMMYFUNCTION("""COMPUTED_VALUE"""),"Appliance Rental Return")</f>
        <v>Appliance Rental Return</v>
      </c>
      <c r="I45" s="65" t="str">
        <f>IFERROR(__xludf.DUMMYFUNCTION("""COMPUTED_VALUE""")," Double-Door Mini Fridge   - ")</f>
        <v> Double-Door Mini Fridge   - </v>
      </c>
      <c r="J45" s="108" t="str">
        <f>IFERROR(__xludf.DUMMYFUNCTION("""COMPUTED_VALUE"""),"Dardick  ")</f>
        <v>Dardick  </v>
      </c>
      <c r="K45" s="103">
        <f>IFERROR(__xludf.DUMMYFUNCTION("""COMPUTED_VALUE"""),46149.0)</f>
        <v>46149</v>
      </c>
      <c r="L45" s="65" t="str">
        <f>IFERROR(__xludf.DUMMYFUNCTION("""COMPUTED_VALUE"""),"2206")</f>
        <v>2206</v>
      </c>
      <c r="M45" s="65" t="str">
        <f>IFERROR(__xludf.DUMMYFUNCTION("""COMPUTED_VALUE""")," ")</f>
        <v> </v>
      </c>
    </row>
    <row r="46">
      <c r="A46" s="99" t="str">
        <f>IFERROR(__xludf.DUMMYFUNCTION("""COMPUTED_VALUE"""),"https://utrucking.com/admin/orders/6422479012028")</f>
        <v>https://utrucking.com/admin/orders/6422479012028</v>
      </c>
      <c r="B46" s="61" t="str">
        <f>IFERROR(__xludf.DUMMYFUNCTION("""COMPUTED_VALUE"""),"#17516")</f>
        <v>#17516</v>
      </c>
      <c r="C46" s="61" t="str">
        <f>IFERROR(__xludf.DUMMYFUNCTION("""COMPUTED_VALUE"""),"j.jaffe@wustl.edu")</f>
        <v>j.jaffe@wustl.edu</v>
      </c>
      <c r="D46" s="61">
        <f>IFERROR(__xludf.DUMMYFUNCTION("""COMPUTED_VALUE"""),3.158028983E9)</f>
        <v>3158028983</v>
      </c>
      <c r="E46" s="61" t="str">
        <f>IFERROR(__xludf.DUMMYFUNCTION("""COMPUTED_VALUE"""),"Jonah Jaffe")</f>
        <v>Jonah Jaffe</v>
      </c>
      <c r="F46" s="61" t="str">
        <f>IFERROR(__xludf.DUMMYFUNCTION("""COMPUTED_VALUE"""),"Jonah Jaffe")</f>
        <v>Jonah Jaffe</v>
      </c>
      <c r="G46" s="61"/>
      <c r="H46" s="61" t="str">
        <f>IFERROR(__xludf.DUMMYFUNCTION("""COMPUTED_VALUE"""),"Appliance Rental Return")</f>
        <v>Appliance Rental Return</v>
      </c>
      <c r="I46" s="61" t="str">
        <f>IFERROR(__xludf.DUMMYFUNCTION("""COMPUTED_VALUE""")," Double-Door Mini Fridge + Microwave   - ")</f>
        <v> Double-Door Mini Fridge + Microwave   - </v>
      </c>
      <c r="J46" s="107" t="str">
        <f>IFERROR(__xludf.DUMMYFUNCTION("""COMPUTED_VALUE"""),"Koenig  ")</f>
        <v>Koenig  </v>
      </c>
      <c r="K46" s="100">
        <f>IFERROR(__xludf.DUMMYFUNCTION("""COMPUTED_VALUE"""),46148.0)</f>
        <v>46148</v>
      </c>
      <c r="L46" s="61" t="str">
        <f>IFERROR(__xludf.DUMMYFUNCTION("""COMPUTED_VALUE"""),"2212")</f>
        <v>2212</v>
      </c>
      <c r="M46" s="61" t="str">
        <f>IFERROR(__xludf.DUMMYFUNCTION("""COMPUTED_VALUE""")," ")</f>
        <v> </v>
      </c>
    </row>
    <row r="47">
      <c r="A47" s="102" t="str">
        <f>IFERROR(__xludf.DUMMYFUNCTION("""COMPUTED_VALUE"""),"https://utrucking.com/admin/orders/6422663790780")</f>
        <v>https://utrucking.com/admin/orders/6422663790780</v>
      </c>
      <c r="B47" s="65" t="str">
        <f>IFERROR(__xludf.DUMMYFUNCTION("""COMPUTED_VALUE"""),"#17520")</f>
        <v>#17520</v>
      </c>
      <c r="C47" s="65" t="str">
        <f>IFERROR(__xludf.DUMMYFUNCTION("""COMPUTED_VALUE"""),"b.raine@wustl.edu")</f>
        <v>b.raine@wustl.edu</v>
      </c>
      <c r="D47" s="65">
        <f>IFERROR(__xludf.DUMMYFUNCTION("""COMPUTED_VALUE"""),9.079031835E9)</f>
        <v>9079031835</v>
      </c>
      <c r="E47" s="65" t="str">
        <f>IFERROR(__xludf.DUMMYFUNCTION("""COMPUTED_VALUE"""),"Michael Borys")</f>
        <v>Michael Borys</v>
      </c>
      <c r="F47" s="65" t="str">
        <f>IFERROR(__xludf.DUMMYFUNCTION("""COMPUTED_VALUE"""),"Raine Borys")</f>
        <v>Raine Borys</v>
      </c>
      <c r="G47" s="65"/>
      <c r="H47" s="65" t="str">
        <f>IFERROR(__xludf.DUMMYFUNCTION("""COMPUTED_VALUE"""),"Appliance Rental Return")</f>
        <v>Appliance Rental Return</v>
      </c>
      <c r="I47" s="65" t="str">
        <f>IFERROR(__xludf.DUMMYFUNCTION("""COMPUTED_VALUE""")," Double-Door Mini Fridge   - ")</f>
        <v> Double-Door Mini Fridge   - </v>
      </c>
      <c r="J47" s="108" t="str">
        <f>IFERROR(__xludf.DUMMYFUNCTION("""COMPUTED_VALUE"""),"Umrath  ")</f>
        <v>Umrath  </v>
      </c>
      <c r="K47" s="103">
        <f>IFERROR(__xludf.DUMMYFUNCTION("""COMPUTED_VALUE"""),46148.0)</f>
        <v>46148</v>
      </c>
      <c r="L47" s="65" t="str">
        <f>IFERROR(__xludf.DUMMYFUNCTION("""COMPUTED_VALUE"""),"2233-A")</f>
        <v>2233-A</v>
      </c>
      <c r="M47" s="65" t="str">
        <f>IFERROR(__xludf.DUMMYFUNCTION("""COMPUTED_VALUE""")," Will be moving back to oncampus housing in late May")</f>
        <v> Will be moving back to oncampus housing in late May</v>
      </c>
    </row>
    <row r="48">
      <c r="A48" s="99" t="str">
        <f>IFERROR(__xludf.DUMMYFUNCTION("""COMPUTED_VALUE"""),"https://utrucking.com/admin/orders/6422694265020")</f>
        <v>https://utrucking.com/admin/orders/6422694265020</v>
      </c>
      <c r="B48" s="61" t="str">
        <f>IFERROR(__xludf.DUMMYFUNCTION("""COMPUTED_VALUE"""),"#17523")</f>
        <v>#17523</v>
      </c>
      <c r="C48" s="61" t="str">
        <f>IFERROR(__xludf.DUMMYFUNCTION("""COMPUTED_VALUE"""),"zj24119@gmail.com")</f>
        <v>zj24119@gmail.com</v>
      </c>
      <c r="D48" s="61">
        <f>IFERROR(__xludf.DUMMYFUNCTION("""COMPUTED_VALUE"""),8.402056469E9)</f>
        <v>8402056469</v>
      </c>
      <c r="E48" s="61" t="str">
        <f>IFERROR(__xludf.DUMMYFUNCTION("""COMPUTED_VALUE"""),"Joyce Zhao")</f>
        <v>Joyce Zhao</v>
      </c>
      <c r="F48" s="61" t="str">
        <f>IFERROR(__xludf.DUMMYFUNCTION("""COMPUTED_VALUE"""),"Joyce Zhao")</f>
        <v>Joyce Zhao</v>
      </c>
      <c r="G48" s="61"/>
      <c r="H48" s="61" t="str">
        <f>IFERROR(__xludf.DUMMYFUNCTION("""COMPUTED_VALUE"""),"Appliance Rental Return")</f>
        <v>Appliance Rental Return</v>
      </c>
      <c r="I48" s="61" t="str">
        <f>IFERROR(__xludf.DUMMYFUNCTION("""COMPUTED_VALUE""")," Standard Mini Fridge + Microwave   - ")</f>
        <v> Standard Mini Fridge + Microwave   - </v>
      </c>
      <c r="J48" s="107" t="str">
        <f>IFERROR(__xludf.DUMMYFUNCTION("""COMPUTED_VALUE"""),"Shanedling  ")</f>
        <v>Shanedling  </v>
      </c>
      <c r="K48" s="100">
        <f>IFERROR(__xludf.DUMMYFUNCTION("""COMPUTED_VALUE"""),46142.0)</f>
        <v>46142</v>
      </c>
      <c r="L48" s="61" t="str">
        <f>IFERROR(__xludf.DUMMYFUNCTION("""COMPUTED_VALUE"""),"333")</f>
        <v>333</v>
      </c>
      <c r="M48" s="61" t="str">
        <f>IFERROR(__xludf.DUMMYFUNCTION("""COMPUTED_VALUE""")," ")</f>
        <v> </v>
      </c>
    </row>
    <row r="49">
      <c r="A49" s="102" t="str">
        <f>IFERROR(__xludf.DUMMYFUNCTION("""COMPUTED_VALUE"""),"https://utrucking.com/admin/orders/6423221829820")</f>
        <v>https://utrucking.com/admin/orders/6423221829820</v>
      </c>
      <c r="B49" s="65" t="str">
        <f>IFERROR(__xludf.DUMMYFUNCTION("""COMPUTED_VALUE"""),"#17537")</f>
        <v>#17537</v>
      </c>
      <c r="C49" s="65" t="str">
        <f>IFERROR(__xludf.DUMMYFUNCTION("""COMPUTED_VALUE"""),"ella.eckerle@yahoo.com")</f>
        <v>ella.eckerle@yahoo.com</v>
      </c>
      <c r="D49" s="65">
        <f>IFERROR(__xludf.DUMMYFUNCTION("""COMPUTED_VALUE"""),3.177499742E9)</f>
        <v>3177499742</v>
      </c>
      <c r="E49" s="65" t="str">
        <f>IFERROR(__xludf.DUMMYFUNCTION("""COMPUTED_VALUE"""),"Ella Eckerle")</f>
        <v>Ella Eckerle</v>
      </c>
      <c r="F49" s="65" t="str">
        <f>IFERROR(__xludf.DUMMYFUNCTION("""COMPUTED_VALUE"""),"Josie Skemp")</f>
        <v>Josie Skemp</v>
      </c>
      <c r="G49" s="65"/>
      <c r="H49" s="65" t="str">
        <f>IFERROR(__xludf.DUMMYFUNCTION("""COMPUTED_VALUE"""),"Appliance Rental Return")</f>
        <v>Appliance Rental Return</v>
      </c>
      <c r="I49" s="65" t="str">
        <f>IFERROR(__xludf.DUMMYFUNCTION("""COMPUTED_VALUE""")," Double-Door Mini Fridge + Microwave   - ")</f>
        <v> Double-Door Mini Fridge + Microwave   - </v>
      </c>
      <c r="J49" s="108" t="str">
        <f>IFERROR(__xludf.DUMMYFUNCTION("""COMPUTED_VALUE"""),"Eliot A (Thomas Eliot)")</f>
        <v>Eliot A (Thomas Eliot)</v>
      </c>
      <c r="K49" s="103">
        <f>IFERROR(__xludf.DUMMYFUNCTION("""COMPUTED_VALUE"""),46148.0)</f>
        <v>46148</v>
      </c>
      <c r="L49" s="65" t="str">
        <f>IFERROR(__xludf.DUMMYFUNCTION("""COMPUTED_VALUE"""),"2111")</f>
        <v>2111</v>
      </c>
      <c r="M49" s="65" t="str">
        <f>IFERROR(__xludf.DUMMYFUNCTION("""COMPUTED_VALUE""")," ")</f>
        <v> </v>
      </c>
    </row>
    <row r="50">
      <c r="A50" s="99" t="str">
        <f>IFERROR(__xludf.DUMMYFUNCTION("""COMPUTED_VALUE"""),"https://utrucking.com/admin/orders/6426171277500")</f>
        <v>https://utrucking.com/admin/orders/6426171277500</v>
      </c>
      <c r="B50" s="61" t="str">
        <f>IFERROR(__xludf.DUMMYFUNCTION("""COMPUTED_VALUE"""),"#17578")</f>
        <v>#17578</v>
      </c>
      <c r="C50" s="61" t="str">
        <f>IFERROR(__xludf.DUMMYFUNCTION("""COMPUTED_VALUE"""),"zou_selena01@yahoo.com")</f>
        <v>zou_selena01@yahoo.com</v>
      </c>
      <c r="D50" s="61">
        <f>IFERROR(__xludf.DUMMYFUNCTION("""COMPUTED_VALUE"""),6.035571581E9)</f>
        <v>6035571581</v>
      </c>
      <c r="E50" s="61" t="str">
        <f>IFERROR(__xludf.DUMMYFUNCTION("""COMPUTED_VALUE"""),"Selena Zou")</f>
        <v>Selena Zou</v>
      </c>
      <c r="F50" s="61" t="str">
        <f>IFERROR(__xludf.DUMMYFUNCTION("""COMPUTED_VALUE"""),"Selena Zou")</f>
        <v>Selena Zou</v>
      </c>
      <c r="G50" s="61"/>
      <c r="H50" s="61" t="str">
        <f>IFERROR(__xludf.DUMMYFUNCTION("""COMPUTED_VALUE"""),"Appliance Rental Return")</f>
        <v>Appliance Rental Return</v>
      </c>
      <c r="I50" s="61" t="str">
        <f>IFERROR(__xludf.DUMMYFUNCTION("""COMPUTED_VALUE""")," Double-Door Mini Fridge + Microwave   - ")</f>
        <v> Double-Door Mini Fridge + Microwave   - </v>
      </c>
      <c r="J50" s="107" t="str">
        <f>IFERROR(__xludf.DUMMYFUNCTION("""COMPUTED_VALUE"""),"Dardick  ")</f>
        <v>Dardick  </v>
      </c>
      <c r="K50" s="100">
        <f>IFERROR(__xludf.DUMMYFUNCTION("""COMPUTED_VALUE"""),46149.0)</f>
        <v>46149</v>
      </c>
      <c r="L50" s="61" t="str">
        <f>IFERROR(__xludf.DUMMYFUNCTION("""COMPUTED_VALUE"""),"2215")</f>
        <v>2215</v>
      </c>
      <c r="M50" s="61" t="str">
        <f>IFERROR(__xludf.DUMMYFUNCTION("""COMPUTED_VALUE""")," ")</f>
        <v> </v>
      </c>
    </row>
    <row r="51">
      <c r="A51" s="102" t="str">
        <f>IFERROR(__xludf.DUMMYFUNCTION("""COMPUTED_VALUE"""),"https://utrucking.com/admin/orders/6427103166652")</f>
        <v>https://utrucking.com/admin/orders/6427103166652</v>
      </c>
      <c r="B51" s="65" t="str">
        <f>IFERROR(__xludf.DUMMYFUNCTION("""COMPUTED_VALUE"""),"#17584")</f>
        <v>#17584</v>
      </c>
      <c r="C51" s="65" t="str">
        <f>IFERROR(__xludf.DUMMYFUNCTION("""COMPUTED_VALUE"""),"joshuachung0906@gmail.com")</f>
        <v>joshuachung0906@gmail.com</v>
      </c>
      <c r="D51" s="65">
        <f>IFERROR(__xludf.DUMMYFUNCTION("""COMPUTED_VALUE"""),7.817773568E9)</f>
        <v>7817773568</v>
      </c>
      <c r="E51" s="65" t="str">
        <f>IFERROR(__xludf.DUMMYFUNCTION("""COMPUTED_VALUE"""),"Joshua Chung")</f>
        <v>Joshua Chung</v>
      </c>
      <c r="F51" s="65" t="str">
        <f>IFERROR(__xludf.DUMMYFUNCTION("""COMPUTED_VALUE"""),"Joshua Chung")</f>
        <v>Joshua Chung</v>
      </c>
      <c r="G51" s="65"/>
      <c r="H51" s="65" t="str">
        <f>IFERROR(__xludf.DUMMYFUNCTION("""COMPUTED_VALUE"""),"Appliance Rental Return")</f>
        <v>Appliance Rental Return</v>
      </c>
      <c r="I51" s="65" t="str">
        <f>IFERROR(__xludf.DUMMYFUNCTION("""COMPUTED_VALUE""")," Double-Door Mini Fridge + Microwave   - ")</f>
        <v> Double-Door Mini Fridge + Microwave   - </v>
      </c>
      <c r="J51" s="108" t="str">
        <f>IFERROR(__xludf.DUMMYFUNCTION("""COMPUTED_VALUE"""),"Dardick  ")</f>
        <v>Dardick  </v>
      </c>
      <c r="K51" s="103">
        <f>IFERROR(__xludf.DUMMYFUNCTION("""COMPUTED_VALUE"""),46147.0)</f>
        <v>46147</v>
      </c>
      <c r="L51" s="65" t="str">
        <f>IFERROR(__xludf.DUMMYFUNCTION("""COMPUTED_VALUE"""),"3319")</f>
        <v>3319</v>
      </c>
      <c r="M51" s="65" t="str">
        <f>IFERROR(__xludf.DUMMYFUNCTION("""COMPUTED_VALUE""")," ")</f>
        <v> </v>
      </c>
    </row>
    <row r="52">
      <c r="A52" s="99" t="str">
        <f>IFERROR(__xludf.DUMMYFUNCTION("""COMPUTED_VALUE"""),"https://utrucking.com/admin/orders/6427188232380")</f>
        <v>https://utrucking.com/admin/orders/6427188232380</v>
      </c>
      <c r="B52" s="61" t="str">
        <f>IFERROR(__xludf.DUMMYFUNCTION("""COMPUTED_VALUE"""),"#17585")</f>
        <v>#17585</v>
      </c>
      <c r="C52" s="61" t="str">
        <f>IFERROR(__xludf.DUMMYFUNCTION("""COMPUTED_VALUE"""),"doq@wustl.edu")</f>
        <v>doq@wustl.edu</v>
      </c>
      <c r="D52" s="61">
        <f>IFERROR(__xludf.DUMMYFUNCTION("""COMPUTED_VALUE"""),6.304801301E9)</f>
        <v>6304801301</v>
      </c>
      <c r="E52" s="61" t="str">
        <f>IFERROR(__xludf.DUMMYFUNCTION("""COMPUTED_VALUE"""),"Quan Do")</f>
        <v>Quan Do</v>
      </c>
      <c r="F52" s="61" t="str">
        <f>IFERROR(__xludf.DUMMYFUNCTION("""COMPUTED_VALUE"""),"Quan Do")</f>
        <v>Quan Do</v>
      </c>
      <c r="G52" s="61"/>
      <c r="H52" s="61" t="str">
        <f>IFERROR(__xludf.DUMMYFUNCTION("""COMPUTED_VALUE"""),"Appliance Rental Return")</f>
        <v>Appliance Rental Return</v>
      </c>
      <c r="I52" s="61" t="str">
        <f>IFERROR(__xludf.DUMMYFUNCTION("""COMPUTED_VALUE""")," Microwave Only   - ")</f>
        <v> Microwave Only   - </v>
      </c>
      <c r="J52" s="107" t="str">
        <f>IFERROR(__xludf.DUMMYFUNCTION("""COMPUTED_VALUE"""),"Dardick  ")</f>
        <v>Dardick  </v>
      </c>
      <c r="K52" s="100">
        <f>IFERROR(__xludf.DUMMYFUNCTION("""COMPUTED_VALUE"""),46149.0)</f>
        <v>46149</v>
      </c>
      <c r="L52" s="61" t="str">
        <f>IFERROR(__xludf.DUMMYFUNCTION("""COMPUTED_VALUE"""),"2206")</f>
        <v>2206</v>
      </c>
      <c r="M52" s="61" t="str">
        <f>IFERROR(__xludf.DUMMYFUNCTION("""COMPUTED_VALUE""")," ")</f>
        <v> </v>
      </c>
    </row>
    <row r="53">
      <c r="A53" s="102" t="str">
        <f>IFERROR(__xludf.DUMMYFUNCTION("""COMPUTED_VALUE"""),"https://utrucking.com/admin/orders/6427688173756")</f>
        <v>https://utrucking.com/admin/orders/6427688173756</v>
      </c>
      <c r="B53" s="65" t="str">
        <f>IFERROR(__xludf.DUMMYFUNCTION("""COMPUTED_VALUE"""),"#17592")</f>
        <v>#17592</v>
      </c>
      <c r="C53" s="65" t="str">
        <f>IFERROR(__xludf.DUMMYFUNCTION("""COMPUTED_VALUE"""),"s.venkat@wustl.edu")</f>
        <v>s.venkat@wustl.edu</v>
      </c>
      <c r="D53" s="65">
        <f>IFERROR(__xludf.DUMMYFUNCTION("""COMPUTED_VALUE"""),5.106760531E9)</f>
        <v>5106760531</v>
      </c>
      <c r="E53" s="65" t="str">
        <f>IFERROR(__xludf.DUMMYFUNCTION("""COMPUTED_VALUE"""),"Sripriya Srinivasan")</f>
        <v>Sripriya Srinivasan</v>
      </c>
      <c r="F53" s="65" t="str">
        <f>IFERROR(__xludf.DUMMYFUNCTION("""COMPUTED_VALUE"""),"Sairisheeth Venkat")</f>
        <v>Sairisheeth Venkat</v>
      </c>
      <c r="G53" s="65"/>
      <c r="H53" s="65" t="str">
        <f>IFERROR(__xludf.DUMMYFUNCTION("""COMPUTED_VALUE"""),"Appliance Rental Return")</f>
        <v>Appliance Rental Return</v>
      </c>
      <c r="I53" s="65" t="str">
        <f>IFERROR(__xludf.DUMMYFUNCTION("""COMPUTED_VALUE""")," Double-Door Mini Fridge + Microwave   - ")</f>
        <v> Double-Door Mini Fridge + Microwave   - </v>
      </c>
      <c r="J53" s="108" t="str">
        <f>IFERROR(__xludf.DUMMYFUNCTION("""COMPUTED_VALUE"""),"Shepley  ")</f>
        <v>Shepley  </v>
      </c>
      <c r="K53" s="103">
        <f>IFERROR(__xludf.DUMMYFUNCTION("""COMPUTED_VALUE"""),46150.0)</f>
        <v>46150</v>
      </c>
      <c r="L53" s="65" t="str">
        <f>IFERROR(__xludf.DUMMYFUNCTION("""COMPUTED_VALUE"""),"2021 - a")</f>
        <v>2021 - a</v>
      </c>
      <c r="M53" s="65" t="str">
        <f>IFERROR(__xludf.DUMMYFUNCTION("""COMPUTED_VALUE""")," ")</f>
        <v> </v>
      </c>
    </row>
    <row r="54">
      <c r="A54" s="99" t="str">
        <f>IFERROR(__xludf.DUMMYFUNCTION("""COMPUTED_VALUE"""),"https://utrucking.com/admin/orders/6428445507772")</f>
        <v>https://utrucking.com/admin/orders/6428445507772</v>
      </c>
      <c r="B54" s="61" t="str">
        <f>IFERROR(__xludf.DUMMYFUNCTION("""COMPUTED_VALUE"""),"#17605")</f>
        <v>#17605</v>
      </c>
      <c r="C54" s="61" t="str">
        <f>IFERROR(__xludf.DUMMYFUNCTION("""COMPUTED_VALUE"""),"ellazhu1223@gmail.com")</f>
        <v>ellazhu1223@gmail.com</v>
      </c>
      <c r="D54" s="61">
        <f>IFERROR(__xludf.DUMMYFUNCTION("""COMPUTED_VALUE"""),2.038181729E9)</f>
        <v>2038181729</v>
      </c>
      <c r="E54" s="61" t="str">
        <f>IFERROR(__xludf.DUMMYFUNCTION("""COMPUTED_VALUE"""),"Ella Zhu")</f>
        <v>Ella Zhu</v>
      </c>
      <c r="F54" s="61" t="str">
        <f>IFERROR(__xludf.DUMMYFUNCTION("""COMPUTED_VALUE"""),"Ella Zhu")</f>
        <v>Ella Zhu</v>
      </c>
      <c r="G54" s="61"/>
      <c r="H54" s="61" t="str">
        <f>IFERROR(__xludf.DUMMYFUNCTION("""COMPUTED_VALUE"""),"Appliance Rental Return")</f>
        <v>Appliance Rental Return</v>
      </c>
      <c r="I54" s="61" t="str">
        <f>IFERROR(__xludf.DUMMYFUNCTION("""COMPUTED_VALUE""")," Standard Mini Fridge   - ")</f>
        <v> Standard Mini Fridge   - </v>
      </c>
      <c r="J54" s="107" t="str">
        <f>IFERROR(__xludf.DUMMYFUNCTION("""COMPUTED_VALUE"""),"Lien  ")</f>
        <v>Lien  </v>
      </c>
      <c r="K54" s="100">
        <f>IFERROR(__xludf.DUMMYFUNCTION("""COMPUTED_VALUE"""),46141.0)</f>
        <v>46141</v>
      </c>
      <c r="L54" s="61" t="str">
        <f>IFERROR(__xludf.DUMMYFUNCTION("""COMPUTED_VALUE"""),"1117")</f>
        <v>1117</v>
      </c>
      <c r="M54" s="61" t="str">
        <f>IFERROR(__xludf.DUMMYFUNCTION("""COMPUTED_VALUE""")," ")</f>
        <v> </v>
      </c>
    </row>
    <row r="55">
      <c r="A55" s="102" t="str">
        <f>IFERROR(__xludf.DUMMYFUNCTION("""COMPUTED_VALUE"""),"https://utrucking.com/admin/orders/6428834169020")</f>
        <v>https://utrucking.com/admin/orders/6428834169020</v>
      </c>
      <c r="B55" s="65" t="str">
        <f>IFERROR(__xludf.DUMMYFUNCTION("""COMPUTED_VALUE"""),"#17618")</f>
        <v>#17618</v>
      </c>
      <c r="C55" s="65" t="str">
        <f>IFERROR(__xludf.DUMMYFUNCTION("""COMPUTED_VALUE"""),"jacktajkef@outlook.com")</f>
        <v>jacktajkef@outlook.com</v>
      </c>
      <c r="D55" s="65">
        <f>IFERROR(__xludf.DUMMYFUNCTION("""COMPUTED_VALUE"""),8.183140867E9)</f>
        <v>8183140867</v>
      </c>
      <c r="E55" s="65" t="str">
        <f>IFERROR(__xludf.DUMMYFUNCTION("""COMPUTED_VALUE"""),"Jack Tajkef")</f>
        <v>Jack Tajkef</v>
      </c>
      <c r="F55" s="65" t="str">
        <f>IFERROR(__xludf.DUMMYFUNCTION("""COMPUTED_VALUE"""),"Jack Tajkef")</f>
        <v>Jack Tajkef</v>
      </c>
      <c r="G55" s="65"/>
      <c r="H55" s="65" t="str">
        <f>IFERROR(__xludf.DUMMYFUNCTION("""COMPUTED_VALUE"""),"Appliance Rental Return")</f>
        <v>Appliance Rental Return</v>
      </c>
      <c r="I55" s="65" t="str">
        <f>IFERROR(__xludf.DUMMYFUNCTION("""COMPUTED_VALUE""")," Double-Door Mini Fridge + Microwave   - ")</f>
        <v> Double-Door Mini Fridge + Microwave   - </v>
      </c>
      <c r="J55" s="108" t="str">
        <f>IFERROR(__xludf.DUMMYFUNCTION("""COMPUTED_VALUE"""),"Dardick  ")</f>
        <v>Dardick  </v>
      </c>
      <c r="K55" s="103">
        <f>IFERROR(__xludf.DUMMYFUNCTION("""COMPUTED_VALUE"""),46143.0)</f>
        <v>46143</v>
      </c>
      <c r="L55" s="65" t="str">
        <f>IFERROR(__xludf.DUMMYFUNCTION("""COMPUTED_VALUE"""),"2222")</f>
        <v>2222</v>
      </c>
      <c r="M55" s="65" t="str">
        <f>IFERROR(__xludf.DUMMYFUNCTION("""COMPUTED_VALUE""")," ")</f>
        <v> </v>
      </c>
    </row>
    <row r="56">
      <c r="A56" s="99" t="str">
        <f>IFERROR(__xludf.DUMMYFUNCTION("""COMPUTED_VALUE"""),"https://utrucking.com/admin/orders/6429647765692")</f>
        <v>https://utrucking.com/admin/orders/6429647765692</v>
      </c>
      <c r="B56" s="61" t="str">
        <f>IFERROR(__xludf.DUMMYFUNCTION("""COMPUTED_VALUE"""),"#17638")</f>
        <v>#17638</v>
      </c>
      <c r="C56" s="61" t="str">
        <f>IFERROR(__xludf.DUMMYFUNCTION("""COMPUTED_VALUE"""),"lyndongt@aol.com")</f>
        <v>lyndongt@aol.com</v>
      </c>
      <c r="D56" s="61">
        <f>IFERROR(__xludf.DUMMYFUNCTION("""COMPUTED_VALUE"""),5.126942421E9)</f>
        <v>5126942421</v>
      </c>
      <c r="E56" s="61" t="str">
        <f>IFERROR(__xludf.DUMMYFUNCTION("""COMPUTED_VALUE"""),"G. Tilson")</f>
        <v>G. Tilson</v>
      </c>
      <c r="F56" s="61" t="str">
        <f>IFERROR(__xludf.DUMMYFUNCTION("""COMPUTED_VALUE"""),"Sawyer Tilson")</f>
        <v>Sawyer Tilson</v>
      </c>
      <c r="G56" s="61"/>
      <c r="H56" s="61" t="str">
        <f>IFERROR(__xludf.DUMMYFUNCTION("""COMPUTED_VALUE"""),"Appliance Rental Return")</f>
        <v>Appliance Rental Return</v>
      </c>
      <c r="I56" s="61" t="str">
        <f>IFERROR(__xludf.DUMMYFUNCTION("""COMPUTED_VALUE""")," Double-Door Mini Fridge   - ")</f>
        <v> Double-Door Mini Fridge   - </v>
      </c>
      <c r="J56" s="107" t="str">
        <f>IFERROR(__xludf.DUMMYFUNCTION("""COMPUTED_VALUE"""),"Millbrook Bldg. 4  ")</f>
        <v>Millbrook Bldg. 4  </v>
      </c>
      <c r="K56" s="100">
        <f>IFERROR(__xludf.DUMMYFUNCTION("""COMPUTED_VALUE"""),46137.0)</f>
        <v>46137</v>
      </c>
      <c r="L56" s="61" t="str">
        <f>IFERROR(__xludf.DUMMYFUNCTION("""COMPUTED_VALUE"""),"B1")</f>
        <v>B1</v>
      </c>
      <c r="M56" s="61" t="str">
        <f>IFERROR(__xludf.DUMMYFUNCTION("""COMPUTED_VALUE""")," ")</f>
        <v> </v>
      </c>
    </row>
    <row r="57">
      <c r="A57" s="102" t="str">
        <f>IFERROR(__xludf.DUMMYFUNCTION("""COMPUTED_VALUE"""),"https://utrucking.com/admin/orders/6430090559676")</f>
        <v>https://utrucking.com/admin/orders/6430090559676</v>
      </c>
      <c r="B57" s="65" t="str">
        <f>IFERROR(__xludf.DUMMYFUNCTION("""COMPUTED_VALUE"""),"#17652")</f>
        <v>#17652</v>
      </c>
      <c r="C57" s="65" t="str">
        <f>IFERROR(__xludf.DUMMYFUNCTION("""COMPUTED_VALUE"""),"tong.s@wustl.edu")</f>
        <v>tong.s@wustl.edu</v>
      </c>
      <c r="D57" s="65">
        <f>IFERROR(__xludf.DUMMYFUNCTION("""COMPUTED_VALUE"""),6.097214127E9)</f>
        <v>6097214127</v>
      </c>
      <c r="E57" s="65" t="str">
        <f>IFERROR(__xludf.DUMMYFUNCTION("""COMPUTED_VALUE"""),"Sarah Tong")</f>
        <v>Sarah Tong</v>
      </c>
      <c r="F57" s="65" t="str">
        <f>IFERROR(__xludf.DUMMYFUNCTION("""COMPUTED_VALUE"""),"Sarah Tong")</f>
        <v>Sarah Tong</v>
      </c>
      <c r="G57" s="65"/>
      <c r="H57" s="65" t="str">
        <f>IFERROR(__xludf.DUMMYFUNCTION("""COMPUTED_VALUE"""),"Appliance Rental Return")</f>
        <v>Appliance Rental Return</v>
      </c>
      <c r="I57" s="65" t="str">
        <f>IFERROR(__xludf.DUMMYFUNCTION("""COMPUTED_VALUE""")," Double-Door Mini Fridge + Microwave   - ")</f>
        <v> Double-Door Mini Fridge + Microwave   - </v>
      </c>
      <c r="J57" s="108" t="str">
        <f>IFERROR(__xludf.DUMMYFUNCTION("""COMPUTED_VALUE"""),"Koenig  ")</f>
        <v>Koenig  </v>
      </c>
      <c r="K57" s="103">
        <f>IFERROR(__xludf.DUMMYFUNCTION("""COMPUTED_VALUE"""),46149.0)</f>
        <v>46149</v>
      </c>
      <c r="L57" s="65" t="str">
        <f>IFERROR(__xludf.DUMMYFUNCTION("""COMPUTED_VALUE"""),"3320")</f>
        <v>3320</v>
      </c>
      <c r="M57" s="65" t="str">
        <f>IFERROR(__xludf.DUMMYFUNCTION("""COMPUTED_VALUE""")," ")</f>
        <v> </v>
      </c>
    </row>
    <row r="58">
      <c r="A58" s="99" t="str">
        <f>IFERROR(__xludf.DUMMYFUNCTION("""COMPUTED_VALUE"""),"https://utrucking.com/admin/orders/6433755889852")</f>
        <v>https://utrucking.com/admin/orders/6433755889852</v>
      </c>
      <c r="B58" s="61" t="str">
        <f>IFERROR(__xludf.DUMMYFUNCTION("""COMPUTED_VALUE"""),"#17694")</f>
        <v>#17694</v>
      </c>
      <c r="C58" s="61" t="str">
        <f>IFERROR(__xludf.DUMMYFUNCTION("""COMPUTED_VALUE"""),"thehermanns@gmail.com")</f>
        <v>thehermanns@gmail.com</v>
      </c>
      <c r="D58" s="61">
        <f>IFERROR(__xludf.DUMMYFUNCTION("""COMPUTED_VALUE"""),9.739512137E9)</f>
        <v>9739512137</v>
      </c>
      <c r="E58" s="61" t="str">
        <f>IFERROR(__xludf.DUMMYFUNCTION("""COMPUTED_VALUE"""),"Erica Hermann")</f>
        <v>Erica Hermann</v>
      </c>
      <c r="F58" s="61" t="str">
        <f>IFERROR(__xludf.DUMMYFUNCTION("""COMPUTED_VALUE"""),"Andrew Hermann")</f>
        <v>Andrew Hermann</v>
      </c>
      <c r="G58" s="61"/>
      <c r="H58" s="61" t="str">
        <f>IFERROR(__xludf.DUMMYFUNCTION("""COMPUTED_VALUE"""),"Appliance Rental Return")</f>
        <v>Appliance Rental Return</v>
      </c>
      <c r="I58" s="61" t="str">
        <f>IFERROR(__xludf.DUMMYFUNCTION("""COMPUTED_VALUE""")," Double-Door Mini Fridge + Microwave   - ")</f>
        <v> Double-Door Mini Fridge + Microwave   - </v>
      </c>
      <c r="J58" s="107" t="str">
        <f>IFERROR(__xludf.DUMMYFUNCTION("""COMPUTED_VALUE"""),"Dardick  ")</f>
        <v>Dardick  </v>
      </c>
      <c r="K58" s="100">
        <f>IFERROR(__xludf.DUMMYFUNCTION("""COMPUTED_VALUE"""),46142.0)</f>
        <v>46142</v>
      </c>
      <c r="L58" s="61" t="str">
        <f>IFERROR(__xludf.DUMMYFUNCTION("""COMPUTED_VALUE"""),"2210")</f>
        <v>2210</v>
      </c>
      <c r="M58" s="61" t="str">
        <f>IFERROR(__xludf.DUMMYFUNCTION("""COMPUTED_VALUE""")," ")</f>
        <v> </v>
      </c>
    </row>
    <row r="59">
      <c r="A59" s="102" t="str">
        <f>IFERROR(__xludf.DUMMYFUNCTION("""COMPUTED_VALUE"""),"https://utrucking.com/admin/orders/6434109194428")</f>
        <v>https://utrucking.com/admin/orders/6434109194428</v>
      </c>
      <c r="B59" s="65" t="str">
        <f>IFERROR(__xludf.DUMMYFUNCTION("""COMPUTED_VALUE"""),"#17704")</f>
        <v>#17704</v>
      </c>
      <c r="C59" s="65" t="str">
        <f>IFERROR(__xludf.DUMMYFUNCTION("""COMPUTED_VALUE"""),"kaplan.m.j@wustl.edu")</f>
        <v>kaplan.m.j@wustl.edu</v>
      </c>
      <c r="D59" s="65">
        <f>IFERROR(__xludf.DUMMYFUNCTION("""COMPUTED_VALUE"""),2.014077942E9)</f>
        <v>2014077942</v>
      </c>
      <c r="E59" s="65" t="str">
        <f>IFERROR(__xludf.DUMMYFUNCTION("""COMPUTED_VALUE"""),"Taly Kaplan")</f>
        <v>Taly Kaplan</v>
      </c>
      <c r="F59" s="65" t="str">
        <f>IFERROR(__xludf.DUMMYFUNCTION("""COMPUTED_VALUE"""),"Myles Kaplan")</f>
        <v>Myles Kaplan</v>
      </c>
      <c r="G59" s="65"/>
      <c r="H59" s="65" t="str">
        <f>IFERROR(__xludf.DUMMYFUNCTION("""COMPUTED_VALUE"""),"Appliance Rental Return")</f>
        <v>Appliance Rental Return</v>
      </c>
      <c r="I59" s="65" t="str">
        <f>IFERROR(__xludf.DUMMYFUNCTION("""COMPUTED_VALUE""")," Double-Door Mini Fridge + Microwave   - ")</f>
        <v> Double-Door Mini Fridge + Microwave   - </v>
      </c>
      <c r="J59" s="108" t="str">
        <f>IFERROR(__xludf.DUMMYFUNCTION("""COMPUTED_VALUE"""),"House 21 (Alpha Epsilon Pi)  ")</f>
        <v>House 21 (Alpha Epsilon Pi)  </v>
      </c>
      <c r="K59" s="103">
        <f>IFERROR(__xludf.DUMMYFUNCTION("""COMPUTED_VALUE"""),46148.0)</f>
        <v>46148</v>
      </c>
      <c r="L59" s="65" t="str">
        <f>IFERROR(__xludf.DUMMYFUNCTION("""COMPUTED_VALUE"""),"3081")</f>
        <v>3081</v>
      </c>
      <c r="M59" s="65" t="str">
        <f>IFERROR(__xludf.DUMMYFUNCTION("""COMPUTED_VALUE""")," ")</f>
        <v> </v>
      </c>
    </row>
    <row r="60">
      <c r="A60" s="99" t="str">
        <f>IFERROR(__xludf.DUMMYFUNCTION("""COMPUTED_VALUE"""),"https://utrucking.com/admin/orders/6434980921532")</f>
        <v>https://utrucking.com/admin/orders/6434980921532</v>
      </c>
      <c r="B60" s="61" t="str">
        <f>IFERROR(__xludf.DUMMYFUNCTION("""COMPUTED_VALUE"""),"#17717")</f>
        <v>#17717</v>
      </c>
      <c r="C60" s="61" t="str">
        <f>IFERROR(__xludf.DUMMYFUNCTION("""COMPUTED_VALUE"""),"blucelee1975@gmail.com")</f>
        <v>blucelee1975@gmail.com</v>
      </c>
      <c r="D60" s="61">
        <f>IFERROR(__xludf.DUMMYFUNCTION("""COMPUTED_VALUE"""),9.495733262E9)</f>
        <v>9495733262</v>
      </c>
      <c r="E60" s="61" t="str">
        <f>IFERROR(__xludf.DUMMYFUNCTION("""COMPUTED_VALUE"""),"YE LI")</f>
        <v>YE LI</v>
      </c>
      <c r="F60" s="61" t="str">
        <f>IFERROR(__xludf.DUMMYFUNCTION("""COMPUTED_VALUE"""),"Jerry Li")</f>
        <v>Jerry Li</v>
      </c>
      <c r="G60" s="61"/>
      <c r="H60" s="61" t="str">
        <f>IFERROR(__xludf.DUMMYFUNCTION("""COMPUTED_VALUE"""),"Appliance Rental Return")</f>
        <v>Appliance Rental Return</v>
      </c>
      <c r="I60" s="61" t="str">
        <f>IFERROR(__xludf.DUMMYFUNCTION("""COMPUTED_VALUE""")," Double-Door Mini Fridge   - ")</f>
        <v> Double-Door Mini Fridge   - </v>
      </c>
      <c r="J60" s="107" t="str">
        <f>IFERROR(__xludf.DUMMYFUNCTION("""COMPUTED_VALUE"""),"Lien  ")</f>
        <v>Lien  </v>
      </c>
      <c r="K60" s="100">
        <f>IFERROR(__xludf.DUMMYFUNCTION("""COMPUTED_VALUE"""),46149.0)</f>
        <v>46149</v>
      </c>
      <c r="L60" s="61" t="str">
        <f>IFERROR(__xludf.DUMMYFUNCTION("""COMPUTED_VALUE"""),"3313-a")</f>
        <v>3313-a</v>
      </c>
      <c r="M60" s="61" t="str">
        <f>IFERROR(__xludf.DUMMYFUNCTION("""COMPUTED_VALUE""")," ")</f>
        <v> </v>
      </c>
    </row>
    <row r="61">
      <c r="A61" s="102" t="str">
        <f>IFERROR(__xludf.DUMMYFUNCTION("""COMPUTED_VALUE"""),"https://utrucking.com/admin/orders/6436189569212")</f>
        <v>https://utrucking.com/admin/orders/6436189569212</v>
      </c>
      <c r="B61" s="65" t="str">
        <f>IFERROR(__xludf.DUMMYFUNCTION("""COMPUTED_VALUE"""),"#17733")</f>
        <v>#17733</v>
      </c>
      <c r="C61" s="65" t="str">
        <f>IFERROR(__xludf.DUMMYFUNCTION("""COMPUTED_VALUE"""),"skasey@wustl.edu")</f>
        <v>skasey@wustl.edu</v>
      </c>
      <c r="D61" s="65">
        <f>IFERROR(__xludf.DUMMYFUNCTION("""COMPUTED_VALUE"""),5.164743388E9)</f>
        <v>5164743388</v>
      </c>
      <c r="E61" s="65" t="str">
        <f>IFERROR(__xludf.DUMMYFUNCTION("""COMPUTED_VALUE"""),"kasey Schwartz")</f>
        <v>kasey Schwartz</v>
      </c>
      <c r="F61" s="65" t="str">
        <f>IFERROR(__xludf.DUMMYFUNCTION("""COMPUTED_VALUE"""),"Kasey Schwartz ")</f>
        <v>Kasey Schwartz </v>
      </c>
      <c r="G61" s="65"/>
      <c r="H61" s="65" t="str">
        <f>IFERROR(__xludf.DUMMYFUNCTION("""COMPUTED_VALUE"""),"Appliance Rental Return")</f>
        <v>Appliance Rental Return</v>
      </c>
      <c r="I61" s="65" t="str">
        <f>IFERROR(__xludf.DUMMYFUNCTION("""COMPUTED_VALUE""")," Double-Door Mini Fridge + Microwave   - ")</f>
        <v> Double-Door Mini Fridge + Microwave   - </v>
      </c>
      <c r="J61" s="108" t="str">
        <f>IFERROR(__xludf.DUMMYFUNCTION("""COMPUTED_VALUE"""),"Lee  ")</f>
        <v>Lee  </v>
      </c>
      <c r="K61" s="103">
        <f>IFERROR(__xludf.DUMMYFUNCTION("""COMPUTED_VALUE"""),46149.0)</f>
        <v>46149</v>
      </c>
      <c r="L61" s="65" t="str">
        <f>IFERROR(__xludf.DUMMYFUNCTION("""COMPUTED_VALUE"""),"111")</f>
        <v>111</v>
      </c>
      <c r="M61" s="65" t="str">
        <f>IFERROR(__xludf.DUMMYFUNCTION("""COMPUTED_VALUE""")," ")</f>
        <v> </v>
      </c>
    </row>
    <row r="62">
      <c r="A62" s="99" t="str">
        <f>IFERROR(__xludf.DUMMYFUNCTION("""COMPUTED_VALUE"""),"https://utrucking.com/admin/orders/6440849604796")</f>
        <v>https://utrucking.com/admin/orders/6440849604796</v>
      </c>
      <c r="B62" s="61" t="str">
        <f>IFERROR(__xludf.DUMMYFUNCTION("""COMPUTED_VALUE"""),"#17746")</f>
        <v>#17746</v>
      </c>
      <c r="C62" s="61" t="str">
        <f>IFERROR(__xludf.DUMMYFUNCTION("""COMPUTED_VALUE"""),"benjaminb@wustl.edu")</f>
        <v>benjaminb@wustl.edu</v>
      </c>
      <c r="D62" s="61">
        <f>IFERROR(__xludf.DUMMYFUNCTION("""COMPUTED_VALUE"""),5.027026505E9)</f>
        <v>5027026505</v>
      </c>
      <c r="E62" s="61" t="str">
        <f>IFERROR(__xludf.DUMMYFUNCTION("""COMPUTED_VALUE"""),"Benjamin Blackford")</f>
        <v>Benjamin Blackford</v>
      </c>
      <c r="F62" s="61" t="str">
        <f>IFERROR(__xludf.DUMMYFUNCTION("""COMPUTED_VALUE"""),"Ben Blackford")</f>
        <v>Ben Blackford</v>
      </c>
      <c r="G62" s="61"/>
      <c r="H62" s="61" t="str">
        <f>IFERROR(__xludf.DUMMYFUNCTION("""COMPUTED_VALUE"""),"Appliance Rental Return")</f>
        <v>Appliance Rental Return</v>
      </c>
      <c r="I62" s="61" t="str">
        <f>IFERROR(__xludf.DUMMYFUNCTION("""COMPUTED_VALUE""")," Standard Mini Fridge   - ")</f>
        <v> Standard Mini Fridge   - </v>
      </c>
      <c r="J62" s="107" t="str">
        <f>IFERROR(__xludf.DUMMYFUNCTION("""COMPUTED_VALUE"""),"Myers  ")</f>
        <v>Myers  </v>
      </c>
      <c r="K62" s="100">
        <f>IFERROR(__xludf.DUMMYFUNCTION("""COMPUTED_VALUE"""),46147.0)</f>
        <v>46147</v>
      </c>
      <c r="L62" s="61" t="str">
        <f>IFERROR(__xludf.DUMMYFUNCTION("""COMPUTED_VALUE"""),"341")</f>
        <v>341</v>
      </c>
      <c r="M62" s="61" t="str">
        <f>IFERROR(__xludf.DUMMYFUNCTION("""COMPUTED_VALUE""")," ")</f>
        <v> </v>
      </c>
    </row>
    <row r="63">
      <c r="A63" s="102" t="str">
        <f>IFERROR(__xludf.DUMMYFUNCTION("""COMPUTED_VALUE"""),"https://utrucking.com/admin/orders/6443363205308")</f>
        <v>https://utrucking.com/admin/orders/6443363205308</v>
      </c>
      <c r="B63" s="65" t="str">
        <f>IFERROR(__xludf.DUMMYFUNCTION("""COMPUTED_VALUE"""),"#17758")</f>
        <v>#17758</v>
      </c>
      <c r="C63" s="65" t="str">
        <f>IFERROR(__xludf.DUMMYFUNCTION("""COMPUTED_VALUE"""),"schulted@mac.com")</f>
        <v>schulted@mac.com</v>
      </c>
      <c r="D63" s="65">
        <f>IFERROR(__xludf.DUMMYFUNCTION("""COMPUTED_VALUE"""),9.177764582E9)</f>
        <v>9177764582</v>
      </c>
      <c r="E63" s="65" t="str">
        <f>IFERROR(__xludf.DUMMYFUNCTION("""COMPUTED_VALUE"""),"Dominique Schulte")</f>
        <v>Dominique Schulte</v>
      </c>
      <c r="F63" s="65" t="str">
        <f>IFERROR(__xludf.DUMMYFUNCTION("""COMPUTED_VALUE"""),"Katherine Seirer")</f>
        <v>Katherine Seirer</v>
      </c>
      <c r="G63" s="65"/>
      <c r="H63" s="65" t="str">
        <f>IFERROR(__xludf.DUMMYFUNCTION("""COMPUTED_VALUE"""),"Appliance Rental Return")</f>
        <v>Appliance Rental Return</v>
      </c>
      <c r="I63" s="65" t="str">
        <f>IFERROR(__xludf.DUMMYFUNCTION("""COMPUTED_VALUE""")," Double-Door Mini Fridge + Microwave   - ")</f>
        <v> Double-Door Mini Fridge + Microwave   - </v>
      </c>
      <c r="J63" s="108" t="str">
        <f>IFERROR(__xludf.DUMMYFUNCTION("""COMPUTED_VALUE"""),"Hitzeman  ")</f>
        <v>Hitzeman  </v>
      </c>
      <c r="K63" s="103">
        <f>IFERROR(__xludf.DUMMYFUNCTION("""COMPUTED_VALUE"""),46144.0)</f>
        <v>46144</v>
      </c>
      <c r="L63" s="65" t="str">
        <f>IFERROR(__xludf.DUMMYFUNCTION("""COMPUTED_VALUE"""),"434")</f>
        <v>434</v>
      </c>
      <c r="M63" s="65" t="str">
        <f>IFERROR(__xludf.DUMMYFUNCTION("""COMPUTED_VALUE""")," ")</f>
        <v> </v>
      </c>
    </row>
    <row r="64">
      <c r="A64" s="99" t="str">
        <f>IFERROR(__xludf.DUMMYFUNCTION("""COMPUTED_VALUE"""),"https://utrucking.com/admin/orders/6444639748284")</f>
        <v>https://utrucking.com/admin/orders/6444639748284</v>
      </c>
      <c r="B64" s="61" t="str">
        <f>IFERROR(__xludf.DUMMYFUNCTION("""COMPUTED_VALUE"""),"#17775")</f>
        <v>#17775</v>
      </c>
      <c r="C64" s="61" t="str">
        <f>IFERROR(__xludf.DUMMYFUNCTION("""COMPUTED_VALUE"""),"a.f.adams@wustl.edu")</f>
        <v>a.f.adams@wustl.edu</v>
      </c>
      <c r="D64" s="61">
        <f>IFERROR(__xludf.DUMMYFUNCTION("""COMPUTED_VALUE"""),8.573485115E9)</f>
        <v>8573485115</v>
      </c>
      <c r="E64" s="61" t="str">
        <f>IFERROR(__xludf.DUMMYFUNCTION("""COMPUTED_VALUE"""),"Alexandra Adams")</f>
        <v>Alexandra Adams</v>
      </c>
      <c r="F64" s="61" t="str">
        <f>IFERROR(__xludf.DUMMYFUNCTION("""COMPUTED_VALUE"""),"Alexandra (Alex) Adams")</f>
        <v>Alexandra (Alex) Adams</v>
      </c>
      <c r="G64" s="61"/>
      <c r="H64" s="61" t="str">
        <f>IFERROR(__xludf.DUMMYFUNCTION("""COMPUTED_VALUE"""),"Appliance Rental Return")</f>
        <v>Appliance Rental Return</v>
      </c>
      <c r="I64" s="61" t="str">
        <f>IFERROR(__xludf.DUMMYFUNCTION("""COMPUTED_VALUE""")," Double-Door Mini Fridge   - ")</f>
        <v> Double-Door Mini Fridge   - </v>
      </c>
      <c r="J64" s="107" t="str">
        <f>IFERROR(__xludf.DUMMYFUNCTION("""COMPUTED_VALUE"""),"Nemerov  ")</f>
        <v>Nemerov  </v>
      </c>
      <c r="K64" s="100">
        <f>IFERROR(__xludf.DUMMYFUNCTION("""COMPUTED_VALUE"""),46150.0)</f>
        <v>46150</v>
      </c>
      <c r="L64" s="61" t="str">
        <f>IFERROR(__xludf.DUMMYFUNCTION("""COMPUTED_VALUE"""),"3050")</f>
        <v>3050</v>
      </c>
      <c r="M64" s="61" t="str">
        <f>IFERROR(__xludf.DUMMYFUNCTION("""COMPUTED_VALUE""")," ")</f>
        <v> </v>
      </c>
    </row>
    <row r="65">
      <c r="A65" s="102" t="str">
        <f>IFERROR(__xludf.DUMMYFUNCTION("""COMPUTED_VALUE"""),"https://utrucking.com/admin/orders/6444839895228")</f>
        <v>https://utrucking.com/admin/orders/6444839895228</v>
      </c>
      <c r="B65" s="65" t="str">
        <f>IFERROR(__xludf.DUMMYFUNCTION("""COMPUTED_VALUE"""),"#17781")</f>
        <v>#17781</v>
      </c>
      <c r="C65" s="65" t="str">
        <f>IFERROR(__xludf.DUMMYFUNCTION("""COMPUTED_VALUE"""),"navelisingh123@gmail.com")</f>
        <v>navelisingh123@gmail.com</v>
      </c>
      <c r="D65" s="65">
        <f>IFERROR(__xludf.DUMMYFUNCTION("""COMPUTED_VALUE"""),6.504005711E9)</f>
        <v>6504005711</v>
      </c>
      <c r="E65" s="65" t="str">
        <f>IFERROR(__xludf.DUMMYFUNCTION("""COMPUTED_VALUE"""),"Naveli Singh")</f>
        <v>Naveli Singh</v>
      </c>
      <c r="F65" s="65" t="str">
        <f>IFERROR(__xludf.DUMMYFUNCTION("""COMPUTED_VALUE"""),"Naveli Sigh")</f>
        <v>Naveli Sigh</v>
      </c>
      <c r="G65" s="65"/>
      <c r="H65" s="65" t="str">
        <f>IFERROR(__xludf.DUMMYFUNCTION("""COMPUTED_VALUE"""),"Appliance Rental Return")</f>
        <v>Appliance Rental Return</v>
      </c>
      <c r="I65" s="65" t="str">
        <f>IFERROR(__xludf.DUMMYFUNCTION("""COMPUTED_VALUE""")," Double-Door Mini Fridge + Microwave   - ")</f>
        <v> Double-Door Mini Fridge + Microwave   - </v>
      </c>
      <c r="J65" s="108" t="str">
        <f>IFERROR(__xludf.DUMMYFUNCTION("""COMPUTED_VALUE"""),"Park  ")</f>
        <v>Park  </v>
      </c>
      <c r="K65" s="103">
        <f>IFERROR(__xludf.DUMMYFUNCTION("""COMPUTED_VALUE"""),46140.0)</f>
        <v>46140</v>
      </c>
      <c r="L65" s="65" t="str">
        <f>IFERROR(__xludf.DUMMYFUNCTION("""COMPUTED_VALUE"""),"481")</f>
        <v>481</v>
      </c>
      <c r="M65" s="65" t="str">
        <f>IFERROR(__xludf.DUMMYFUNCTION("""COMPUTED_VALUE""")," ")</f>
        <v> </v>
      </c>
    </row>
    <row r="66">
      <c r="A66" s="99" t="str">
        <f>IFERROR(__xludf.DUMMYFUNCTION("""COMPUTED_VALUE"""),"https://utrucking.com/admin/orders/6444914573500")</f>
        <v>https://utrucking.com/admin/orders/6444914573500</v>
      </c>
      <c r="B66" s="61" t="str">
        <f>IFERROR(__xludf.DUMMYFUNCTION("""COMPUTED_VALUE"""),"#17785")</f>
        <v>#17785</v>
      </c>
      <c r="C66" s="61" t="str">
        <f>IFERROR(__xludf.DUMMYFUNCTION("""COMPUTED_VALUE"""),"e.a.pease@wustl.edu")</f>
        <v>e.a.pease@wustl.edu</v>
      </c>
      <c r="D66" s="61">
        <f>IFERROR(__xludf.DUMMYFUNCTION("""COMPUTED_VALUE"""),7.472673064E9)</f>
        <v>7472673064</v>
      </c>
      <c r="E66" s="61" t="str">
        <f>IFERROR(__xludf.DUMMYFUNCTION("""COMPUTED_VALUE"""),"Scott Pease")</f>
        <v>Scott Pease</v>
      </c>
      <c r="F66" s="61" t="str">
        <f>IFERROR(__xludf.DUMMYFUNCTION("""COMPUTED_VALUE"""),"Elisabeth Pease")</f>
        <v>Elisabeth Pease</v>
      </c>
      <c r="G66" s="61"/>
      <c r="H66" s="61" t="str">
        <f>IFERROR(__xludf.DUMMYFUNCTION("""COMPUTED_VALUE"""),"Appliance Rental Return")</f>
        <v>Appliance Rental Return</v>
      </c>
      <c r="I66" s="61" t="str">
        <f>IFERROR(__xludf.DUMMYFUNCTION("""COMPUTED_VALUE""")," Double-Door Mini Fridge + Microwave   - ")</f>
        <v> Double-Door Mini Fridge + Microwave   - </v>
      </c>
      <c r="J66" s="107" t="str">
        <f>IFERROR(__xludf.DUMMYFUNCTION("""COMPUTED_VALUE"""),"Nemerov  ")</f>
        <v>Nemerov  </v>
      </c>
      <c r="K66" s="100">
        <f>IFERROR(__xludf.DUMMYFUNCTION("""COMPUTED_VALUE"""),46148.0)</f>
        <v>46148</v>
      </c>
      <c r="L66" s="61" t="str">
        <f>IFERROR(__xludf.DUMMYFUNCTION("""COMPUTED_VALUE"""),"2023")</f>
        <v>2023</v>
      </c>
      <c r="M66" s="61" t="str">
        <f>IFERROR(__xludf.DUMMYFUNCTION("""COMPUTED_VALUE""")," ")</f>
        <v> </v>
      </c>
    </row>
    <row r="67">
      <c r="A67" s="102" t="str">
        <f>IFERROR(__xludf.DUMMYFUNCTION("""COMPUTED_VALUE"""),"https://utrucking.com/admin/orders/6445803700412")</f>
        <v>https://utrucking.com/admin/orders/6445803700412</v>
      </c>
      <c r="B67" s="65" t="str">
        <f>IFERROR(__xludf.DUMMYFUNCTION("""COMPUTED_VALUE"""),"#17801")</f>
        <v>#17801</v>
      </c>
      <c r="C67" s="65" t="str">
        <f>IFERROR(__xludf.DUMMYFUNCTION("""COMPUTED_VALUE"""),"g.kogan@wustl.edu")</f>
        <v>g.kogan@wustl.edu</v>
      </c>
      <c r="D67" s="65">
        <f>IFERROR(__xludf.DUMMYFUNCTION("""COMPUTED_VALUE"""),9.14602624E9)</f>
        <v>9146026240</v>
      </c>
      <c r="E67" s="65" t="str">
        <f>IFERROR(__xludf.DUMMYFUNCTION("""COMPUTED_VALUE"""),"Gabrielle Kogan")</f>
        <v>Gabrielle Kogan</v>
      </c>
      <c r="F67" s="65" t="str">
        <f>IFERROR(__xludf.DUMMYFUNCTION("""COMPUTED_VALUE"""),"Gabrielle Kogan")</f>
        <v>Gabrielle Kogan</v>
      </c>
      <c r="G67" s="65"/>
      <c r="H67" s="65" t="str">
        <f>IFERROR(__xludf.DUMMYFUNCTION("""COMPUTED_VALUE"""),"Appliance Rental Return")</f>
        <v>Appliance Rental Return</v>
      </c>
      <c r="I67" s="65" t="str">
        <f>IFERROR(__xludf.DUMMYFUNCTION("""COMPUTED_VALUE""")," Double-Door Mini Fridge + Microwave   - ")</f>
        <v> Double-Door Mini Fridge + Microwave   - </v>
      </c>
      <c r="J67" s="108" t="str">
        <f>IFERROR(__xludf.DUMMYFUNCTION("""COMPUTED_VALUE"""),"Beaumont  ")</f>
        <v>Beaumont  </v>
      </c>
      <c r="K67" s="103">
        <f>IFERROR(__xludf.DUMMYFUNCTION("""COMPUTED_VALUE"""),46149.0)</f>
        <v>46149</v>
      </c>
      <c r="L67" s="65" t="str">
        <f>IFERROR(__xludf.DUMMYFUNCTION("""COMPUTED_VALUE"""),"321")</f>
        <v>321</v>
      </c>
      <c r="M67" s="65" t="str">
        <f>IFERROR(__xludf.DUMMYFUNCTION("""COMPUTED_VALUE""")," ")</f>
        <v> </v>
      </c>
    </row>
    <row r="68">
      <c r="A68" s="99" t="str">
        <f>IFERROR(__xludf.DUMMYFUNCTION("""COMPUTED_VALUE"""),"https://utrucking.com/admin/orders/6445814481084")</f>
        <v>https://utrucking.com/admin/orders/6445814481084</v>
      </c>
      <c r="B68" s="61" t="str">
        <f>IFERROR(__xludf.DUMMYFUNCTION("""COMPUTED_VALUE"""),"#17802")</f>
        <v>#17802</v>
      </c>
      <c r="C68" s="61" t="str">
        <f>IFERROR(__xludf.DUMMYFUNCTION("""COMPUTED_VALUE"""),"h.linsky@wustl.edu")</f>
        <v>h.linsky@wustl.edu</v>
      </c>
      <c r="D68" s="61">
        <f>IFERROR(__xludf.DUMMYFUNCTION("""COMPUTED_VALUE"""),9.172141935E9)</f>
        <v>9172141935</v>
      </c>
      <c r="E68" s="61" t="str">
        <f>IFERROR(__xludf.DUMMYFUNCTION("""COMPUTED_VALUE"""),"Hilary Linsky")</f>
        <v>Hilary Linsky</v>
      </c>
      <c r="F68" s="61" t="str">
        <f>IFERROR(__xludf.DUMMYFUNCTION("""COMPUTED_VALUE"""),"Hayden and Izzy Linsky ")</f>
        <v>Hayden and Izzy Linsky </v>
      </c>
      <c r="G68" s="61"/>
      <c r="H68" s="61" t="str">
        <f>IFERROR(__xludf.DUMMYFUNCTION("""COMPUTED_VALUE"""),"Appliance Rental Return")</f>
        <v>Appliance Rental Return</v>
      </c>
      <c r="I68" s="61" t="str">
        <f>IFERROR(__xludf.DUMMYFUNCTION("""COMPUTED_VALUE""")," Double-Door Mini Fridge + Microwave   - ")</f>
        <v> Double-Door Mini Fridge + Microwave   - </v>
      </c>
      <c r="J68" s="107" t="str">
        <f>IFERROR(__xludf.DUMMYFUNCTION("""COMPUTED_VALUE"""),"Danforth  ")</f>
        <v>Danforth  </v>
      </c>
      <c r="K68" s="100">
        <f>IFERROR(__xludf.DUMMYFUNCTION("""COMPUTED_VALUE"""),46149.0)</f>
        <v>46149</v>
      </c>
      <c r="L68" s="61" t="str">
        <f>IFERROR(__xludf.DUMMYFUNCTION("""COMPUTED_VALUE"""),"3320")</f>
        <v>3320</v>
      </c>
      <c r="M68" s="61" t="str">
        <f>IFERROR(__xludf.DUMMYFUNCTION("""COMPUTED_VALUE""")," ")</f>
        <v> </v>
      </c>
    </row>
    <row r="69">
      <c r="A69" s="102" t="str">
        <f>IFERROR(__xludf.DUMMYFUNCTION("""COMPUTED_VALUE"""),"https://utrucking.com/admin/orders/6445826638012")</f>
        <v>https://utrucking.com/admin/orders/6445826638012</v>
      </c>
      <c r="B69" s="65" t="str">
        <f>IFERROR(__xludf.DUMMYFUNCTION("""COMPUTED_VALUE"""),"#17803")</f>
        <v>#17803</v>
      </c>
      <c r="C69" s="65" t="str">
        <f>IFERROR(__xludf.DUMMYFUNCTION("""COMPUTED_VALUE"""),"jason.ye@wustl.edu")</f>
        <v>jason.ye@wustl.edu</v>
      </c>
      <c r="D69" s="65">
        <f>IFERROR(__xludf.DUMMYFUNCTION("""COMPUTED_VALUE"""),3.147605274E9)</f>
        <v>3147605274</v>
      </c>
      <c r="E69" s="65" t="str">
        <f>IFERROR(__xludf.DUMMYFUNCTION("""COMPUTED_VALUE"""),"Jason Ye")</f>
        <v>Jason Ye</v>
      </c>
      <c r="F69" s="65" t="str">
        <f>IFERROR(__xludf.DUMMYFUNCTION("""COMPUTED_VALUE"""),"Jason Ye")</f>
        <v>Jason Ye</v>
      </c>
      <c r="G69" s="65"/>
      <c r="H69" s="65" t="str">
        <f>IFERROR(__xludf.DUMMYFUNCTION("""COMPUTED_VALUE"""),"Appliance Rental Return")</f>
        <v>Appliance Rental Return</v>
      </c>
      <c r="I69" s="65" t="str">
        <f>IFERROR(__xludf.DUMMYFUNCTION("""COMPUTED_VALUE""")," Standard Mini Fridge   - ")</f>
        <v> Standard Mini Fridge   - </v>
      </c>
      <c r="J69" s="108" t="str">
        <f>IFERROR(__xludf.DUMMYFUNCTION("""COMPUTED_VALUE"""),"Eliot B (Sophomore Dorm)")</f>
        <v>Eliot B (Sophomore Dorm)</v>
      </c>
      <c r="K69" s="103">
        <f>IFERROR(__xludf.DUMMYFUNCTION("""COMPUTED_VALUE"""),46151.0)</f>
        <v>46151</v>
      </c>
      <c r="L69" s="65" t="str">
        <f>IFERROR(__xludf.DUMMYFUNCTION("""COMPUTED_VALUE"""),"4071")</f>
        <v>4071</v>
      </c>
      <c r="M69" s="65" t="str">
        <f>IFERROR(__xludf.DUMMYFUNCTION("""COMPUTED_VALUE""")," ")</f>
        <v> </v>
      </c>
    </row>
    <row r="70">
      <c r="A70" s="99" t="str">
        <f>IFERROR(__xludf.DUMMYFUNCTION("""COMPUTED_VALUE"""),"https://utrucking.com/admin/orders/6445837975740")</f>
        <v>https://utrucking.com/admin/orders/6445837975740</v>
      </c>
      <c r="B70" s="61" t="str">
        <f>IFERROR(__xludf.DUMMYFUNCTION("""COMPUTED_VALUE"""),"#17804")</f>
        <v>#17804</v>
      </c>
      <c r="C70" s="61" t="str">
        <f>IFERROR(__xludf.DUMMYFUNCTION("""COMPUTED_VALUE"""),"l.e.rand@wustl.edu")</f>
        <v>l.e.rand@wustl.edu</v>
      </c>
      <c r="D70" s="61">
        <f>IFERROR(__xludf.DUMMYFUNCTION("""COMPUTED_VALUE"""),2.055049381E9)</f>
        <v>2055049381</v>
      </c>
      <c r="E70" s="61" t="str">
        <f>IFERROR(__xludf.DUMMYFUNCTION("""COMPUTED_VALUE"""),"Lewis Rand")</f>
        <v>Lewis Rand</v>
      </c>
      <c r="F70" s="61" t="str">
        <f>IFERROR(__xludf.DUMMYFUNCTION("""COMPUTED_VALUE"""),"Lewis Rand")</f>
        <v>Lewis Rand</v>
      </c>
      <c r="G70" s="61"/>
      <c r="H70" s="61" t="str">
        <f>IFERROR(__xludf.DUMMYFUNCTION("""COMPUTED_VALUE"""),"Appliance Rental Return")</f>
        <v>Appliance Rental Return</v>
      </c>
      <c r="I70" s="61" t="str">
        <f>IFERROR(__xludf.DUMMYFUNCTION("""COMPUTED_VALUE""")," Double-Door Mini Fridge   - ")</f>
        <v> Double-Door Mini Fridge   - </v>
      </c>
      <c r="J70" s="107" t="str">
        <f>IFERROR(__xludf.DUMMYFUNCTION("""COMPUTED_VALUE"""),"House 3 (Alpha Delta Phi)  ")</f>
        <v>House 3 (Alpha Delta Phi)  </v>
      </c>
      <c r="K70" s="100">
        <f>IFERROR(__xludf.DUMMYFUNCTION("""COMPUTED_VALUE"""),46150.0)</f>
        <v>46150</v>
      </c>
      <c r="L70" s="61" t="str">
        <f>IFERROR(__xludf.DUMMYFUNCTION("""COMPUTED_VALUE"""),"306")</f>
        <v>306</v>
      </c>
      <c r="M70" s="61" t="str">
        <f>IFERROR(__xludf.DUMMYFUNCTION("""COMPUTED_VALUE""")," ")</f>
        <v> </v>
      </c>
    </row>
    <row r="71">
      <c r="A71" s="102" t="str">
        <f>IFERROR(__xludf.DUMMYFUNCTION("""COMPUTED_VALUE"""),"https://utrucking.com/admin/orders/6445838074044")</f>
        <v>https://utrucking.com/admin/orders/6445838074044</v>
      </c>
      <c r="B71" s="65" t="str">
        <f>IFERROR(__xludf.DUMMYFUNCTION("""COMPUTED_VALUE"""),"#17805")</f>
        <v>#17805</v>
      </c>
      <c r="C71" s="65" t="str">
        <f>IFERROR(__xludf.DUMMYFUNCTION("""COMPUTED_VALUE"""),"elfrantz12@gmail.com")</f>
        <v>elfrantz12@gmail.com</v>
      </c>
      <c r="D71" s="65">
        <f>IFERROR(__xludf.DUMMYFUNCTION("""COMPUTED_VALUE"""),9.042545126E9)</f>
        <v>9042545126</v>
      </c>
      <c r="E71" s="65" t="str">
        <f>IFERROR(__xludf.DUMMYFUNCTION("""COMPUTED_VALUE"""),"Ella Frantz")</f>
        <v>Ella Frantz</v>
      </c>
      <c r="F71" s="65" t="str">
        <f>IFERROR(__xludf.DUMMYFUNCTION("""COMPUTED_VALUE"""),"Ella Frantz")</f>
        <v>Ella Frantz</v>
      </c>
      <c r="G71" s="65"/>
      <c r="H71" s="65" t="str">
        <f>IFERROR(__xludf.DUMMYFUNCTION("""COMPUTED_VALUE"""),"Appliance Rental Return")</f>
        <v>Appliance Rental Return</v>
      </c>
      <c r="I71" s="65" t="str">
        <f>IFERROR(__xludf.DUMMYFUNCTION("""COMPUTED_VALUE""")," Microwave Only   - ")</f>
        <v> Microwave Only   - </v>
      </c>
      <c r="J71" s="108" t="str">
        <f>IFERROR(__xludf.DUMMYFUNCTION("""COMPUTED_VALUE"""),"Nemerov  ")</f>
        <v>Nemerov  </v>
      </c>
      <c r="K71" s="103">
        <f>IFERROR(__xludf.DUMMYFUNCTION("""COMPUTED_VALUE"""),46143.0)</f>
        <v>46143</v>
      </c>
      <c r="L71" s="65" t="str">
        <f>IFERROR(__xludf.DUMMYFUNCTION("""COMPUTED_VALUE"""),"4040")</f>
        <v>4040</v>
      </c>
      <c r="M71" s="65" t="str">
        <f>IFERROR(__xludf.DUMMYFUNCTION("""COMPUTED_VALUE""")," ")</f>
        <v> </v>
      </c>
    </row>
    <row r="72">
      <c r="A72" s="99" t="str">
        <f>IFERROR(__xludf.DUMMYFUNCTION("""COMPUTED_VALUE"""),"https://utrucking.com/admin/orders/6445838991548")</f>
        <v>https://utrucking.com/admin/orders/6445838991548</v>
      </c>
      <c r="B72" s="61" t="str">
        <f>IFERROR(__xludf.DUMMYFUNCTION("""COMPUTED_VALUE"""),"#17806")</f>
        <v>#17806</v>
      </c>
      <c r="C72" s="61" t="str">
        <f>IFERROR(__xludf.DUMMYFUNCTION("""COMPUTED_VALUE"""),"parschmikell@gmail.com")</f>
        <v>parschmikell@gmail.com</v>
      </c>
      <c r="D72" s="61">
        <f>IFERROR(__xludf.DUMMYFUNCTION("""COMPUTED_VALUE"""),4.042108393E9)</f>
        <v>4042108393</v>
      </c>
      <c r="E72" s="61" t="str">
        <f>IFERROR(__xludf.DUMMYFUNCTION("""COMPUTED_VALUE"""),"Mikell Rigg Parsch")</f>
        <v>Mikell Rigg Parsch</v>
      </c>
      <c r="F72" s="61" t="str">
        <f>IFERROR(__xludf.DUMMYFUNCTION("""COMPUTED_VALUE"""),"Thomas Parsch")</f>
        <v>Thomas Parsch</v>
      </c>
      <c r="G72" s="61"/>
      <c r="H72" s="61" t="str">
        <f>IFERROR(__xludf.DUMMYFUNCTION("""COMPUTED_VALUE"""),"Appliance Rental Return")</f>
        <v>Appliance Rental Return</v>
      </c>
      <c r="I72" s="61" t="str">
        <f>IFERROR(__xludf.DUMMYFUNCTION("""COMPUTED_VALUE""")," Double-Door Mini Fridge + Microwave   - ")</f>
        <v> Double-Door Mini Fridge + Microwave   - </v>
      </c>
      <c r="J72" s="107" t="str">
        <f>IFERROR(__xludf.DUMMYFUNCTION("""COMPUTED_VALUE"""),"Myers  ")</f>
        <v>Myers  </v>
      </c>
      <c r="K72" s="100">
        <f>IFERROR(__xludf.DUMMYFUNCTION("""COMPUTED_VALUE"""),46147.0)</f>
        <v>46147</v>
      </c>
      <c r="L72" s="61" t="str">
        <f>IFERROR(__xludf.DUMMYFUNCTION("""COMPUTED_VALUE"""),"344A")</f>
        <v>344A</v>
      </c>
      <c r="M72" s="61" t="str">
        <f>IFERROR(__xludf.DUMMYFUNCTION("""COMPUTED_VALUE""")," ")</f>
        <v> </v>
      </c>
    </row>
    <row r="73">
      <c r="A73" s="102" t="str">
        <f>IFERROR(__xludf.DUMMYFUNCTION("""COMPUTED_VALUE"""),"https://utrucking.com/admin/orders/6445840957628")</f>
        <v>https://utrucking.com/admin/orders/6445840957628</v>
      </c>
      <c r="B73" s="65" t="str">
        <f>IFERROR(__xludf.DUMMYFUNCTION("""COMPUTED_VALUE"""),"#17808")</f>
        <v>#17808</v>
      </c>
      <c r="C73" s="65" t="str">
        <f>IFERROR(__xludf.DUMMYFUNCTION("""COMPUTED_VALUE"""),"a.g.swietlikowski@wustl.edu")</f>
        <v>a.g.swietlikowski@wustl.edu</v>
      </c>
      <c r="D73" s="65">
        <f>IFERROR(__xludf.DUMMYFUNCTION("""COMPUTED_VALUE"""),7.146255442E9)</f>
        <v>7146255442</v>
      </c>
      <c r="E73" s="65" t="str">
        <f>IFERROR(__xludf.DUMMYFUNCTION("""COMPUTED_VALUE"""),"Ava Swietlikowski")</f>
        <v>Ava Swietlikowski</v>
      </c>
      <c r="F73" s="65" t="str">
        <f>IFERROR(__xludf.DUMMYFUNCTION("""COMPUTED_VALUE"""),"Ava Swietlikowski")</f>
        <v>Ava Swietlikowski</v>
      </c>
      <c r="G73" s="65"/>
      <c r="H73" s="65" t="str">
        <f>IFERROR(__xludf.DUMMYFUNCTION("""COMPUTED_VALUE"""),"Appliance Rental Return")</f>
        <v>Appliance Rental Return</v>
      </c>
      <c r="I73" s="65" t="str">
        <f>IFERROR(__xludf.DUMMYFUNCTION("""COMPUTED_VALUE""")," Standard Mini Fridge   - ")</f>
        <v> Standard Mini Fridge   - </v>
      </c>
      <c r="J73" s="108" t="str">
        <f>IFERROR(__xludf.DUMMYFUNCTION("""COMPUTED_VALUE"""),"Koenig  ")</f>
        <v>Koenig  </v>
      </c>
      <c r="K73" s="103">
        <f>IFERROR(__xludf.DUMMYFUNCTION("""COMPUTED_VALUE"""),46148.0)</f>
        <v>46148</v>
      </c>
      <c r="L73" s="65" t="str">
        <f>IFERROR(__xludf.DUMMYFUNCTION("""COMPUTED_VALUE"""),"2203")</f>
        <v>2203</v>
      </c>
      <c r="M73" s="65" t="str">
        <f>IFERROR(__xludf.DUMMYFUNCTION("""COMPUTED_VALUE""")," ")</f>
        <v> </v>
      </c>
    </row>
    <row r="74">
      <c r="A74" s="99" t="str">
        <f>IFERROR(__xludf.DUMMYFUNCTION("""COMPUTED_VALUE"""),"https://utrucking.com/admin/orders/6445841875132")</f>
        <v>https://utrucking.com/admin/orders/6445841875132</v>
      </c>
      <c r="B74" s="61" t="str">
        <f>IFERROR(__xludf.DUMMYFUNCTION("""COMPUTED_VALUE"""),"#17809")</f>
        <v>#17809</v>
      </c>
      <c r="C74" s="61" t="str">
        <f>IFERROR(__xludf.DUMMYFUNCTION("""COMPUTED_VALUE"""),"bgeneva@wustl.edu")</f>
        <v>bgeneva@wustl.edu</v>
      </c>
      <c r="D74" s="61">
        <f>IFERROR(__xludf.DUMMYFUNCTION("""COMPUTED_VALUE"""),6.178627945E9)</f>
        <v>6178627945</v>
      </c>
      <c r="E74" s="61" t="str">
        <f>IFERROR(__xludf.DUMMYFUNCTION("""COMPUTED_VALUE"""),"Gretchen McCarey")</f>
        <v>Gretchen McCarey</v>
      </c>
      <c r="F74" s="61" t="str">
        <f>IFERROR(__xludf.DUMMYFUNCTION("""COMPUTED_VALUE"""),"Geneva Burkitt")</f>
        <v>Geneva Burkitt</v>
      </c>
      <c r="G74" s="61"/>
      <c r="H74" s="61" t="str">
        <f>IFERROR(__xludf.DUMMYFUNCTION("""COMPUTED_VALUE"""),"Appliance Rental Return")</f>
        <v>Appliance Rental Return</v>
      </c>
      <c r="I74" s="61" t="str">
        <f>IFERROR(__xludf.DUMMYFUNCTION("""COMPUTED_VALUE""")," Double-Door Mini Fridge + Microwave   - ")</f>
        <v> Double-Door Mini Fridge + Microwave   - </v>
      </c>
      <c r="J74" s="107" t="str">
        <f>IFERROR(__xludf.DUMMYFUNCTION("""COMPUTED_VALUE"""),"Zetcher  ")</f>
        <v>Zetcher  </v>
      </c>
      <c r="K74" s="100">
        <f>IFERROR(__xludf.DUMMYFUNCTION("""COMPUTED_VALUE"""),46149.0)</f>
        <v>46149</v>
      </c>
      <c r="L74" s="61" t="str">
        <f>IFERROR(__xludf.DUMMYFUNCTION("""COMPUTED_VALUE"""),"3153")</f>
        <v>3153</v>
      </c>
      <c r="M74" s="61" t="str">
        <f>IFERROR(__xludf.DUMMYFUNCTION("""COMPUTED_VALUE""")," ")</f>
        <v> </v>
      </c>
    </row>
    <row r="75">
      <c r="A75" s="102" t="str">
        <f>IFERROR(__xludf.DUMMYFUNCTION("""COMPUTED_VALUE"""),"https://utrucking.com/admin/orders/6445844562108")</f>
        <v>https://utrucking.com/admin/orders/6445844562108</v>
      </c>
      <c r="B75" s="65" t="str">
        <f>IFERROR(__xludf.DUMMYFUNCTION("""COMPUTED_VALUE"""),"#17810")</f>
        <v>#17810</v>
      </c>
      <c r="C75" s="65" t="str">
        <f>IFERROR(__xludf.DUMMYFUNCTION("""COMPUTED_VALUE"""),"jackie.kershner@icloud.com")</f>
        <v>jackie.kershner@icloud.com</v>
      </c>
      <c r="D75" s="65">
        <f>IFERROR(__xludf.DUMMYFUNCTION("""COMPUTED_VALUE"""),9.175660907E9)</f>
        <v>9175660907</v>
      </c>
      <c r="E75" s="65" t="str">
        <f>IFERROR(__xludf.DUMMYFUNCTION("""COMPUTED_VALUE"""),"Jacqueline Kershner")</f>
        <v>Jacqueline Kershner</v>
      </c>
      <c r="F75" s="65" t="str">
        <f>IFERROR(__xludf.DUMMYFUNCTION("""COMPUTED_VALUE"""),"Jackie Kershner")</f>
        <v>Jackie Kershner</v>
      </c>
      <c r="G75" s="65"/>
      <c r="H75" s="65" t="str">
        <f>IFERROR(__xludf.DUMMYFUNCTION("""COMPUTED_VALUE"""),"Appliance Rental Return")</f>
        <v>Appliance Rental Return</v>
      </c>
      <c r="I75" s="65" t="str">
        <f>IFERROR(__xludf.DUMMYFUNCTION("""COMPUTED_VALUE""")," Double-Door Mini Fridge + Microwave   - ")</f>
        <v> Double-Door Mini Fridge + Microwave   - </v>
      </c>
      <c r="J75" s="108" t="str">
        <f>IFERROR(__xludf.DUMMYFUNCTION("""COMPUTED_VALUE"""),"Dardick  ")</f>
        <v>Dardick  </v>
      </c>
      <c r="K75" s="103">
        <f>IFERROR(__xludf.DUMMYFUNCTION("""COMPUTED_VALUE"""),46147.0)</f>
        <v>46147</v>
      </c>
      <c r="L75" s="65" t="str">
        <f>IFERROR(__xludf.DUMMYFUNCTION("""COMPUTED_VALUE"""),"4402")</f>
        <v>4402</v>
      </c>
      <c r="M75" s="65" t="str">
        <f>IFERROR(__xludf.DUMMYFUNCTION("""COMPUTED_VALUE""")," ")</f>
        <v> </v>
      </c>
    </row>
    <row r="76">
      <c r="A76" s="99" t="str">
        <f>IFERROR(__xludf.DUMMYFUNCTION("""COMPUTED_VALUE"""),"https://utrucking.com/admin/orders/6445847806140")</f>
        <v>https://utrucking.com/admin/orders/6445847806140</v>
      </c>
      <c r="B76" s="61" t="str">
        <f>IFERROR(__xludf.DUMMYFUNCTION("""COMPUTED_VALUE"""),"#17811")</f>
        <v>#17811</v>
      </c>
      <c r="C76" s="61" t="str">
        <f>IFERROR(__xludf.DUMMYFUNCTION("""COMPUTED_VALUE"""),"k.lindsay@wustl.edu")</f>
        <v>k.lindsay@wustl.edu</v>
      </c>
      <c r="D76" s="61">
        <f>IFERROR(__xludf.DUMMYFUNCTION("""COMPUTED_VALUE"""),5.166597079E9)</f>
        <v>5166597079</v>
      </c>
      <c r="E76" s="61" t="str">
        <f>IFERROR(__xludf.DUMMYFUNCTION("""COMPUTED_VALUE"""),"Lindsay Kweit")</f>
        <v>Lindsay Kweit</v>
      </c>
      <c r="F76" s="61" t="str">
        <f>IFERROR(__xludf.DUMMYFUNCTION("""COMPUTED_VALUE"""),"Lindsay Kweit")</f>
        <v>Lindsay Kweit</v>
      </c>
      <c r="G76" s="61"/>
      <c r="H76" s="61" t="str">
        <f>IFERROR(__xludf.DUMMYFUNCTION("""COMPUTED_VALUE"""),"Appliance Rental Return")</f>
        <v>Appliance Rental Return</v>
      </c>
      <c r="I76" s="61" t="str">
        <f>IFERROR(__xludf.DUMMYFUNCTION("""COMPUTED_VALUE""")," Standard Mini Fridge   - ")</f>
        <v> Standard Mini Fridge   - </v>
      </c>
      <c r="J76" s="107" t="str">
        <f>IFERROR(__xludf.DUMMYFUNCTION("""COMPUTED_VALUE"""),"Lopata  ")</f>
        <v>Lopata  </v>
      </c>
      <c r="K76" s="100">
        <f>IFERROR(__xludf.DUMMYFUNCTION("""COMPUTED_VALUE"""),46146.0)</f>
        <v>46146</v>
      </c>
      <c r="L76" s="61" t="str">
        <f>IFERROR(__xludf.DUMMYFUNCTION("""COMPUTED_VALUE"""),"3073")</f>
        <v>3073</v>
      </c>
      <c r="M76" s="61" t="str">
        <f>IFERROR(__xludf.DUMMYFUNCTION("""COMPUTED_VALUE""")," ")</f>
        <v> </v>
      </c>
    </row>
    <row r="77">
      <c r="A77" s="102" t="str">
        <f>IFERROR(__xludf.DUMMYFUNCTION("""COMPUTED_VALUE"""),"https://utrucking.com/admin/orders/6445855342780")</f>
        <v>https://utrucking.com/admin/orders/6445855342780</v>
      </c>
      <c r="B77" s="65" t="str">
        <f>IFERROR(__xludf.DUMMYFUNCTION("""COMPUTED_VALUE"""),"#17812")</f>
        <v>#17812</v>
      </c>
      <c r="C77" s="65" t="str">
        <f>IFERROR(__xludf.DUMMYFUNCTION("""COMPUTED_VALUE"""),"glassj@wustl.edu")</f>
        <v>glassj@wustl.edu</v>
      </c>
      <c r="D77" s="65">
        <f>IFERROR(__xludf.DUMMYFUNCTION("""COMPUTED_VALUE"""),9.144326482E9)</f>
        <v>9144326482</v>
      </c>
      <c r="E77" s="65" t="str">
        <f>IFERROR(__xludf.DUMMYFUNCTION("""COMPUTED_VALUE"""),"Elissa Germaine")</f>
        <v>Elissa Germaine</v>
      </c>
      <c r="F77" s="65" t="str">
        <f>IFERROR(__xludf.DUMMYFUNCTION("""COMPUTED_VALUE"""),"Jonah Glass")</f>
        <v>Jonah Glass</v>
      </c>
      <c r="G77" s="65"/>
      <c r="H77" s="65" t="str">
        <f>IFERROR(__xludf.DUMMYFUNCTION("""COMPUTED_VALUE"""),"Appliance Rental Return")</f>
        <v>Appliance Rental Return</v>
      </c>
      <c r="I77" s="65" t="str">
        <f>IFERROR(__xludf.DUMMYFUNCTION("""COMPUTED_VALUE""")," Double-Door Mini Fridge   - ")</f>
        <v> Double-Door Mini Fridge   - </v>
      </c>
      <c r="J77" s="108" t="str">
        <f>IFERROR(__xludf.DUMMYFUNCTION("""COMPUTED_VALUE"""),"Dauten  ")</f>
        <v>Dauten  </v>
      </c>
      <c r="K77" s="103">
        <f>IFERROR(__xludf.DUMMYFUNCTION("""COMPUTED_VALUE"""),46148.0)</f>
        <v>46148</v>
      </c>
      <c r="L77" s="65" t="str">
        <f>IFERROR(__xludf.DUMMYFUNCTION("""COMPUTED_VALUE"""),"242-b")</f>
        <v>242-b</v>
      </c>
      <c r="M77" s="65" t="str">
        <f>IFERROR(__xludf.DUMMYFUNCTION("""COMPUTED_VALUE""")," ")</f>
        <v> </v>
      </c>
    </row>
    <row r="78">
      <c r="A78" s="99" t="str">
        <f>IFERROR(__xludf.DUMMYFUNCTION("""COMPUTED_VALUE"""),"https://utrucking.com/admin/orders/6445855768764")</f>
        <v>https://utrucking.com/admin/orders/6445855768764</v>
      </c>
      <c r="B78" s="61" t="str">
        <f>IFERROR(__xludf.DUMMYFUNCTION("""COMPUTED_VALUE"""),"#17813")</f>
        <v>#17813</v>
      </c>
      <c r="C78" s="61" t="str">
        <f>IFERROR(__xludf.DUMMYFUNCTION("""COMPUTED_VALUE"""),"e.podvalny@wustl.edu")</f>
        <v>e.podvalny@wustl.edu</v>
      </c>
      <c r="D78" s="61">
        <f>IFERROR(__xludf.DUMMYFUNCTION("""COMPUTED_VALUE"""),9.149878705E9)</f>
        <v>9149878705</v>
      </c>
      <c r="E78" s="61" t="str">
        <f>IFERROR(__xludf.DUMMYFUNCTION("""COMPUTED_VALUE"""),"Eliza Podvalny")</f>
        <v>Eliza Podvalny</v>
      </c>
      <c r="F78" s="61" t="str">
        <f>IFERROR(__xludf.DUMMYFUNCTION("""COMPUTED_VALUE"""),"Eliza Podvalny")</f>
        <v>Eliza Podvalny</v>
      </c>
      <c r="G78" s="61"/>
      <c r="H78" s="61" t="str">
        <f>IFERROR(__xludf.DUMMYFUNCTION("""COMPUTED_VALUE"""),"Appliance Rental Return")</f>
        <v>Appliance Rental Return</v>
      </c>
      <c r="I78" s="61" t="str">
        <f>IFERROR(__xludf.DUMMYFUNCTION("""COMPUTED_VALUE""")," Double-Door Mini Fridge + Microwave   - ")</f>
        <v> Double-Door Mini Fridge + Microwave   - </v>
      </c>
      <c r="J78" s="107" t="str">
        <f>IFERROR(__xludf.DUMMYFUNCTION("""COMPUTED_VALUE"""),"Zetcher  ")</f>
        <v>Zetcher  </v>
      </c>
      <c r="K78" s="100">
        <f>IFERROR(__xludf.DUMMYFUNCTION("""COMPUTED_VALUE"""),46149.0)</f>
        <v>46149</v>
      </c>
      <c r="L78" s="61" t="str">
        <f>IFERROR(__xludf.DUMMYFUNCTION("""COMPUTED_VALUE"""),"4120 Suite (Room 4123)")</f>
        <v>4120 Suite (Room 4123)</v>
      </c>
      <c r="M78" s="61" t="str">
        <f>IFERROR(__xludf.DUMMYFUNCTION("""COMPUTED_VALUE""")," ")</f>
        <v> </v>
      </c>
    </row>
    <row r="79">
      <c r="A79" s="102" t="str">
        <f>IFERROR(__xludf.DUMMYFUNCTION("""COMPUTED_VALUE"""),"https://utrucking.com/admin/orders/6445860487356")</f>
        <v>https://utrucking.com/admin/orders/6445860487356</v>
      </c>
      <c r="B79" s="65" t="str">
        <f>IFERROR(__xludf.DUMMYFUNCTION("""COMPUTED_VALUE"""),"#17814")</f>
        <v>#17814</v>
      </c>
      <c r="C79" s="65" t="str">
        <f>IFERROR(__xludf.DUMMYFUNCTION("""COMPUTED_VALUE"""),"bess.h@wustl.edu")</f>
        <v>bess.h@wustl.edu</v>
      </c>
      <c r="D79" s="65">
        <f>IFERROR(__xludf.DUMMYFUNCTION("""COMPUTED_VALUE"""),9.176937391E9)</f>
        <v>9176937391</v>
      </c>
      <c r="E79" s="65" t="str">
        <f>IFERROR(__xludf.DUMMYFUNCTION("""COMPUTED_VALUE"""),"Hannah Bess")</f>
        <v>Hannah Bess</v>
      </c>
      <c r="F79" s="65" t="str">
        <f>IFERROR(__xludf.DUMMYFUNCTION("""COMPUTED_VALUE"""),"Hannah Bess")</f>
        <v>Hannah Bess</v>
      </c>
      <c r="G79" s="65"/>
      <c r="H79" s="65" t="str">
        <f>IFERROR(__xludf.DUMMYFUNCTION("""COMPUTED_VALUE"""),"Appliance Rental Return")</f>
        <v>Appliance Rental Return</v>
      </c>
      <c r="I79" s="65" t="str">
        <f>IFERROR(__xludf.DUMMYFUNCTION("""COMPUTED_VALUE""")," Double-Door Mini Fridge + Microwave   - ")</f>
        <v> Double-Door Mini Fridge + Microwave   - </v>
      </c>
      <c r="J79" s="108" t="str">
        <f>IFERROR(__xludf.DUMMYFUNCTION("""COMPUTED_VALUE"""),"Lopata  ")</f>
        <v>Lopata  </v>
      </c>
      <c r="K79" s="103">
        <f>IFERROR(__xludf.DUMMYFUNCTION("""COMPUTED_VALUE"""),46146.0)</f>
        <v>46146</v>
      </c>
      <c r="L79" s="65" t="str">
        <f>IFERROR(__xludf.DUMMYFUNCTION("""COMPUTED_VALUE"""),"1111")</f>
        <v>1111</v>
      </c>
      <c r="M79" s="65" t="str">
        <f>IFERROR(__xludf.DUMMYFUNCTION("""COMPUTED_VALUE""")," ")</f>
        <v> </v>
      </c>
    </row>
    <row r="80">
      <c r="A80" s="99" t="str">
        <f>IFERROR(__xludf.DUMMYFUNCTION("""COMPUTED_VALUE"""),"https://utrucking.com/admin/orders/6445863108796")</f>
        <v>https://utrucking.com/admin/orders/6445863108796</v>
      </c>
      <c r="B80" s="61" t="str">
        <f>IFERROR(__xludf.DUMMYFUNCTION("""COMPUTED_VALUE"""),"#17815")</f>
        <v>#17815</v>
      </c>
      <c r="C80" s="61" t="str">
        <f>IFERROR(__xludf.DUMMYFUNCTION("""COMPUTED_VALUE"""),"farah.j@wustl.edu")</f>
        <v>farah.j@wustl.edu</v>
      </c>
      <c r="D80" s="61">
        <f>IFERROR(__xludf.DUMMYFUNCTION("""COMPUTED_VALUE"""),6.032935082E9)</f>
        <v>6032935082</v>
      </c>
      <c r="E80" s="61" t="str">
        <f>IFERROR(__xludf.DUMMYFUNCTION("""COMPUTED_VALUE"""),"Jack Farah")</f>
        <v>Jack Farah</v>
      </c>
      <c r="F80" s="61" t="str">
        <f>IFERROR(__xludf.DUMMYFUNCTION("""COMPUTED_VALUE"""),"Jack Farah")</f>
        <v>Jack Farah</v>
      </c>
      <c r="G80" s="61"/>
      <c r="H80" s="61" t="str">
        <f>IFERROR(__xludf.DUMMYFUNCTION("""COMPUTED_VALUE"""),"Appliance Rental Return")</f>
        <v>Appliance Rental Return</v>
      </c>
      <c r="I80" s="61" t="str">
        <f>IFERROR(__xludf.DUMMYFUNCTION("""COMPUTED_VALUE""")," Standard Mini Fridge   - ")</f>
        <v> Standard Mini Fridge   - </v>
      </c>
      <c r="J80" s="107" t="str">
        <f>IFERROR(__xludf.DUMMYFUNCTION("""COMPUTED_VALUE"""),"Liggett  ")</f>
        <v>Liggett  </v>
      </c>
      <c r="K80" s="100">
        <f>IFERROR(__xludf.DUMMYFUNCTION("""COMPUTED_VALUE"""),46149.0)</f>
        <v>46149</v>
      </c>
      <c r="L80" s="61" t="str">
        <f>IFERROR(__xludf.DUMMYFUNCTION("""COMPUTED_VALUE"""),"4522")</f>
        <v>4522</v>
      </c>
      <c r="M80" s="61" t="str">
        <f>IFERROR(__xludf.DUMMYFUNCTION("""COMPUTED_VALUE""")," ")</f>
        <v> </v>
      </c>
    </row>
    <row r="81">
      <c r="A81" s="102" t="str">
        <f>IFERROR(__xludf.DUMMYFUNCTION("""COMPUTED_VALUE"""),"https://utrucking.com/admin/orders/6445865631932")</f>
        <v>https://utrucking.com/admin/orders/6445865631932</v>
      </c>
      <c r="B81" s="65" t="str">
        <f>IFERROR(__xludf.DUMMYFUNCTION("""COMPUTED_VALUE"""),"#17816")</f>
        <v>#17816</v>
      </c>
      <c r="C81" s="65" t="str">
        <f>IFERROR(__xludf.DUMMYFUNCTION("""COMPUTED_VALUE"""),"astanley@bassberry.com")</f>
        <v>astanley@bassberry.com</v>
      </c>
      <c r="D81" s="65">
        <f>IFERROR(__xludf.DUMMYFUNCTION("""COMPUTED_VALUE"""),6.154188077E9)</f>
        <v>6154188077</v>
      </c>
      <c r="E81" s="65" t="str">
        <f>IFERROR(__xludf.DUMMYFUNCTION("""COMPUTED_VALUE"""),"Amanda Stanley")</f>
        <v>Amanda Stanley</v>
      </c>
      <c r="F81" s="65" t="str">
        <f>IFERROR(__xludf.DUMMYFUNCTION("""COMPUTED_VALUE"""),"Jack Stanley")</f>
        <v>Jack Stanley</v>
      </c>
      <c r="G81" s="65"/>
      <c r="H81" s="65" t="str">
        <f>IFERROR(__xludf.DUMMYFUNCTION("""COMPUTED_VALUE"""),"Appliance Rental Return")</f>
        <v>Appliance Rental Return</v>
      </c>
      <c r="I81" s="65" t="str">
        <f>IFERROR(__xludf.DUMMYFUNCTION("""COMPUTED_VALUE""")," Double-Door Mini Fridge + Microwave   - ")</f>
        <v> Double-Door Mini Fridge + Microwave   - </v>
      </c>
      <c r="J81" s="108" t="str">
        <f>IFERROR(__xludf.DUMMYFUNCTION("""COMPUTED_VALUE"""),"Umrath  ")</f>
        <v>Umrath  </v>
      </c>
      <c r="K81" s="103">
        <f>IFERROR(__xludf.DUMMYFUNCTION("""COMPUTED_VALUE"""),46149.0)</f>
        <v>46149</v>
      </c>
      <c r="L81" s="65" t="str">
        <f>IFERROR(__xludf.DUMMYFUNCTION("""COMPUTED_VALUE"""),"2225")</f>
        <v>2225</v>
      </c>
      <c r="M81" s="65" t="str">
        <f>IFERROR(__xludf.DUMMYFUNCTION("""COMPUTED_VALUE""")," ")</f>
        <v> </v>
      </c>
    </row>
    <row r="82">
      <c r="A82" s="99" t="str">
        <f>IFERROR(__xludf.DUMMYFUNCTION("""COMPUTED_VALUE"""),"https://utrucking.com/admin/orders/6445866975420")</f>
        <v>https://utrucking.com/admin/orders/6445866975420</v>
      </c>
      <c r="B82" s="61" t="str">
        <f>IFERROR(__xludf.DUMMYFUNCTION("""COMPUTED_VALUE"""),"#17817")</f>
        <v>#17817</v>
      </c>
      <c r="C82" s="61" t="str">
        <f>IFERROR(__xludf.DUMMYFUNCTION("""COMPUTED_VALUE"""),"shunny06@naver.com")</f>
        <v>shunny06@naver.com</v>
      </c>
      <c r="D82" s="61">
        <f>IFERROR(__xludf.DUMMYFUNCTION("""COMPUTED_VALUE"""),1.047021643E9)</f>
        <v>1047021643</v>
      </c>
      <c r="E82" s="61" t="str">
        <f>IFERROR(__xludf.DUMMYFUNCTION("""COMPUTED_VALUE"""),"Seunghan Lee")</f>
        <v>Seunghan Lee</v>
      </c>
      <c r="F82" s="61" t="str">
        <f>IFERROR(__xludf.DUMMYFUNCTION("""COMPUTED_VALUE"""),"Eunho Lee")</f>
        <v>Eunho Lee</v>
      </c>
      <c r="G82" s="61"/>
      <c r="H82" s="61" t="str">
        <f>IFERROR(__xludf.DUMMYFUNCTION("""COMPUTED_VALUE"""),"Appliance Rental Return")</f>
        <v>Appliance Rental Return</v>
      </c>
      <c r="I82" s="61" t="str">
        <f>IFERROR(__xludf.DUMMYFUNCTION("""COMPUTED_VALUE""")," Double-Door Mini Fridge + Microwave   - ")</f>
        <v> Double-Door Mini Fridge + Microwave   - </v>
      </c>
      <c r="J82" s="107" t="str">
        <f>IFERROR(__xludf.DUMMYFUNCTION("""COMPUTED_VALUE"""),"Park  ")</f>
        <v>Park  </v>
      </c>
      <c r="K82" s="100">
        <f>IFERROR(__xludf.DUMMYFUNCTION("""COMPUTED_VALUE"""),46149.0)</f>
        <v>46149</v>
      </c>
      <c r="L82" s="61" t="str">
        <f>IFERROR(__xludf.DUMMYFUNCTION("""COMPUTED_VALUE"""),"311")</f>
        <v>311</v>
      </c>
      <c r="M82" s="61" t="str">
        <f>IFERROR(__xludf.DUMMYFUNCTION("""COMPUTED_VALUE""")," ")</f>
        <v> </v>
      </c>
    </row>
    <row r="83">
      <c r="A83" s="102" t="str">
        <f>IFERROR(__xludf.DUMMYFUNCTION("""COMPUTED_VALUE"""),"https://utrucking.com/admin/orders/6445872709820")</f>
        <v>https://utrucking.com/admin/orders/6445872709820</v>
      </c>
      <c r="B83" s="65" t="str">
        <f>IFERROR(__xludf.DUMMYFUNCTION("""COMPUTED_VALUE"""),"#17818")</f>
        <v>#17818</v>
      </c>
      <c r="C83" s="65" t="str">
        <f>IFERROR(__xludf.DUMMYFUNCTION("""COMPUTED_VALUE"""),"e.medvedsek@wustl.edu")</f>
        <v>e.medvedsek@wustl.edu</v>
      </c>
      <c r="D83" s="65">
        <f>IFERROR(__xludf.DUMMYFUNCTION("""COMPUTED_VALUE"""),9.179579903E9)</f>
        <v>9179579903</v>
      </c>
      <c r="E83" s="65" t="str">
        <f>IFERROR(__xludf.DUMMYFUNCTION("""COMPUTED_VALUE"""),"Emma Medvedsek")</f>
        <v>Emma Medvedsek</v>
      </c>
      <c r="F83" s="65" t="str">
        <f>IFERROR(__xludf.DUMMYFUNCTION("""COMPUTED_VALUE"""),"Emma Medvedsek")</f>
        <v>Emma Medvedsek</v>
      </c>
      <c r="G83" s="65"/>
      <c r="H83" s="65" t="str">
        <f>IFERROR(__xludf.DUMMYFUNCTION("""COMPUTED_VALUE"""),"Appliance Rental Return")</f>
        <v>Appliance Rental Return</v>
      </c>
      <c r="I83" s="65" t="str">
        <f>IFERROR(__xludf.DUMMYFUNCTION("""COMPUTED_VALUE""")," Double-Door Mini Fridge + Microwave   - ")</f>
        <v> Double-Door Mini Fridge + Microwave   - </v>
      </c>
      <c r="J83" s="108" t="str">
        <f>IFERROR(__xludf.DUMMYFUNCTION("""COMPUTED_VALUE"""),"Beaumont  ")</f>
        <v>Beaumont  </v>
      </c>
      <c r="K83" s="103">
        <f>IFERROR(__xludf.DUMMYFUNCTION("""COMPUTED_VALUE"""),46149.0)</f>
        <v>46149</v>
      </c>
      <c r="L83" s="65" t="str">
        <f>IFERROR(__xludf.DUMMYFUNCTION("""COMPUTED_VALUE"""),"322")</f>
        <v>322</v>
      </c>
      <c r="M83" s="65" t="str">
        <f>IFERROR(__xludf.DUMMYFUNCTION("""COMPUTED_VALUE""")," ")</f>
        <v> </v>
      </c>
    </row>
    <row r="84">
      <c r="A84" s="99" t="str">
        <f>IFERROR(__xludf.DUMMYFUNCTION("""COMPUTED_VALUE"""),"https://utrucking.com/admin/orders/6445873823932")</f>
        <v>https://utrucking.com/admin/orders/6445873823932</v>
      </c>
      <c r="B84" s="61" t="str">
        <f>IFERROR(__xludf.DUMMYFUNCTION("""COMPUTED_VALUE"""),"#17819")</f>
        <v>#17819</v>
      </c>
      <c r="C84" s="61" t="str">
        <f>IFERROR(__xludf.DUMMYFUNCTION("""COMPUTED_VALUE"""),"jsobel@wustl.edu")</f>
        <v>jsobel@wustl.edu</v>
      </c>
      <c r="D84" s="61">
        <f>IFERROR(__xludf.DUMMYFUNCTION("""COMPUTED_VALUE"""),9.14374685E9)</f>
        <v>9143746850</v>
      </c>
      <c r="E84" s="61" t="str">
        <f>IFERROR(__xludf.DUMMYFUNCTION("""COMPUTED_VALUE"""),"Julia Sobel")</f>
        <v>Julia Sobel</v>
      </c>
      <c r="F84" s="61" t="str">
        <f>IFERROR(__xludf.DUMMYFUNCTION("""COMPUTED_VALUE"""),"Julia Sobel")</f>
        <v>Julia Sobel</v>
      </c>
      <c r="G84" s="61"/>
      <c r="H84" s="61" t="str">
        <f>IFERROR(__xludf.DUMMYFUNCTION("""COMPUTED_VALUE"""),"Appliance Rental Return")</f>
        <v>Appliance Rental Return</v>
      </c>
      <c r="I84" s="61" t="str">
        <f>IFERROR(__xludf.DUMMYFUNCTION("""COMPUTED_VALUE""")," Double-Door Mini Fridge + Microwave   - ")</f>
        <v> Double-Door Mini Fridge + Microwave   - </v>
      </c>
      <c r="J84" s="107" t="str">
        <f>IFERROR(__xludf.DUMMYFUNCTION("""COMPUTED_VALUE"""),"Koenig  ")</f>
        <v>Koenig  </v>
      </c>
      <c r="K84" s="100">
        <f>IFERROR(__xludf.DUMMYFUNCTION("""COMPUTED_VALUE"""),46144.0)</f>
        <v>46144</v>
      </c>
      <c r="L84" s="61" t="str">
        <f>IFERROR(__xludf.DUMMYFUNCTION("""COMPUTED_VALUE"""),"2206")</f>
        <v>2206</v>
      </c>
      <c r="M84" s="61" t="str">
        <f>IFERROR(__xludf.DUMMYFUNCTION("""COMPUTED_VALUE""")," ")</f>
        <v> </v>
      </c>
    </row>
    <row r="85">
      <c r="A85" s="102" t="str">
        <f>IFERROR(__xludf.DUMMYFUNCTION("""COMPUTED_VALUE"""),"https://utrucking.com/admin/orders/6445877264572")</f>
        <v>https://utrucking.com/admin/orders/6445877264572</v>
      </c>
      <c r="B85" s="65" t="str">
        <f>IFERROR(__xludf.DUMMYFUNCTION("""COMPUTED_VALUE"""),"#17821")</f>
        <v>#17821</v>
      </c>
      <c r="C85" s="65" t="str">
        <f>IFERROR(__xludf.DUMMYFUNCTION("""COMPUTED_VALUE"""),"ciela@wustl.edu")</f>
        <v>ciela@wustl.edu</v>
      </c>
      <c r="D85" s="65">
        <f>IFERROR(__xludf.DUMMYFUNCTION("""COMPUTED_VALUE"""),5.055701162E9)</f>
        <v>5055701162</v>
      </c>
      <c r="E85" s="65" t="str">
        <f>IFERROR(__xludf.DUMMYFUNCTION("""COMPUTED_VALUE"""),"Ciela Stillings")</f>
        <v>Ciela Stillings</v>
      </c>
      <c r="F85" s="65" t="str">
        <f>IFERROR(__xludf.DUMMYFUNCTION("""COMPUTED_VALUE"""),"Ciela Stillings ")</f>
        <v>Ciela Stillings </v>
      </c>
      <c r="G85" s="65"/>
      <c r="H85" s="65" t="str">
        <f>IFERROR(__xludf.DUMMYFUNCTION("""COMPUTED_VALUE"""),"Appliance Rental Return")</f>
        <v>Appliance Rental Return</v>
      </c>
      <c r="I85" s="65" t="str">
        <f>IFERROR(__xludf.DUMMYFUNCTION("""COMPUTED_VALUE""")," Double-Door Mini Fridge + Microwave   - ")</f>
        <v> Double-Door Mini Fridge + Microwave   - </v>
      </c>
      <c r="J85" s="108" t="str">
        <f>IFERROR(__xludf.DUMMYFUNCTION("""COMPUTED_VALUE"""),"Umrath  ")</f>
        <v>Umrath  </v>
      </c>
      <c r="K85" s="103">
        <f>IFERROR(__xludf.DUMMYFUNCTION("""COMPUTED_VALUE"""),46149.0)</f>
        <v>46149</v>
      </c>
      <c r="L85" s="65" t="str">
        <f>IFERROR(__xludf.DUMMYFUNCTION("""COMPUTED_VALUE"""),"2219")</f>
        <v>2219</v>
      </c>
      <c r="M85" s="65" t="str">
        <f>IFERROR(__xludf.DUMMYFUNCTION("""COMPUTED_VALUE""")," ")</f>
        <v> </v>
      </c>
    </row>
    <row r="86">
      <c r="A86" s="99" t="str">
        <f>IFERROR(__xludf.DUMMYFUNCTION("""COMPUTED_VALUE"""),"https://utrucking.com/admin/orders/6445879034044")</f>
        <v>https://utrucking.com/admin/orders/6445879034044</v>
      </c>
      <c r="B86" s="61" t="str">
        <f>IFERROR(__xludf.DUMMYFUNCTION("""COMPUTED_VALUE"""),"#17822")</f>
        <v>#17822</v>
      </c>
      <c r="C86" s="61" t="str">
        <f>IFERROR(__xludf.DUMMYFUNCTION("""COMPUTED_VALUE"""),"chanel7557@yahoo.com")</f>
        <v>chanel7557@yahoo.com</v>
      </c>
      <c r="D86" s="61">
        <f>IFERROR(__xludf.DUMMYFUNCTION("""COMPUTED_VALUE"""),3.12344005E9)</f>
        <v>3123440050</v>
      </c>
      <c r="E86" s="61" t="str">
        <f>IFERROR(__xludf.DUMMYFUNCTION("""COMPUTED_VALUE"""),"Chanel Bell")</f>
        <v>Chanel Bell</v>
      </c>
      <c r="F86" s="61" t="str">
        <f>IFERROR(__xludf.DUMMYFUNCTION("""COMPUTED_VALUE"""),"Mia Bell")</f>
        <v>Mia Bell</v>
      </c>
      <c r="G86" s="61"/>
      <c r="H86" s="61" t="str">
        <f>IFERROR(__xludf.DUMMYFUNCTION("""COMPUTED_VALUE"""),"Appliance Rental Return")</f>
        <v>Appliance Rental Return</v>
      </c>
      <c r="I86" s="61" t="str">
        <f>IFERROR(__xludf.DUMMYFUNCTION("""COMPUTED_VALUE""")," Microwave Only   - ")</f>
        <v> Microwave Only   - </v>
      </c>
      <c r="J86" s="107" t="str">
        <f>IFERROR(__xludf.DUMMYFUNCTION("""COMPUTED_VALUE"""),"Lien  ")</f>
        <v>Lien  </v>
      </c>
      <c r="K86" s="100">
        <f>IFERROR(__xludf.DUMMYFUNCTION("""COMPUTED_VALUE"""),46146.0)</f>
        <v>46146</v>
      </c>
      <c r="L86" s="61" t="str">
        <f>IFERROR(__xludf.DUMMYFUNCTION("""COMPUTED_VALUE"""),"2220")</f>
        <v>2220</v>
      </c>
      <c r="M86" s="61" t="str">
        <f>IFERROR(__xludf.DUMMYFUNCTION("""COMPUTED_VALUE""")," ")</f>
        <v> </v>
      </c>
    </row>
    <row r="87">
      <c r="A87" s="102" t="str">
        <f>IFERROR(__xludf.DUMMYFUNCTION("""COMPUTED_VALUE"""),"https://utrucking.com/admin/orders/6445885948092")</f>
        <v>https://utrucking.com/admin/orders/6445885948092</v>
      </c>
      <c r="B87" s="65" t="str">
        <f>IFERROR(__xludf.DUMMYFUNCTION("""COMPUTED_VALUE"""),"#17823")</f>
        <v>#17823</v>
      </c>
      <c r="C87" s="65" t="str">
        <f>IFERROR(__xludf.DUMMYFUNCTION("""COMPUTED_VALUE"""),"jacquelinec@wustl.edu")</f>
        <v>jacquelinec@wustl.edu</v>
      </c>
      <c r="D87" s="65">
        <f>IFERROR(__xludf.DUMMYFUNCTION("""COMPUTED_VALUE"""),9.788502258E9)</f>
        <v>9788502258</v>
      </c>
      <c r="E87" s="65" t="str">
        <f>IFERROR(__xludf.DUMMYFUNCTION("""COMPUTED_VALUE"""),"Jacqueline Clay")</f>
        <v>Jacqueline Clay</v>
      </c>
      <c r="F87" s="65" t="str">
        <f>IFERROR(__xludf.DUMMYFUNCTION("""COMPUTED_VALUE"""),"Jackie Clay")</f>
        <v>Jackie Clay</v>
      </c>
      <c r="G87" s="65"/>
      <c r="H87" s="65" t="str">
        <f>IFERROR(__xludf.DUMMYFUNCTION("""COMPUTED_VALUE"""),"Appliance Rental Return")</f>
        <v>Appliance Rental Return</v>
      </c>
      <c r="I87" s="65" t="str">
        <f>IFERROR(__xludf.DUMMYFUNCTION("""COMPUTED_VALUE""")," Double-Door Mini Fridge + Microwave   - ")</f>
        <v> Double-Door Mini Fridge + Microwave   - </v>
      </c>
      <c r="J87" s="108" t="str">
        <f>IFERROR(__xludf.DUMMYFUNCTION("""COMPUTED_VALUE"""),"Shanedling  ")</f>
        <v>Shanedling  </v>
      </c>
      <c r="K87" s="103">
        <f>IFERROR(__xludf.DUMMYFUNCTION("""COMPUTED_VALUE"""),46147.0)</f>
        <v>46147</v>
      </c>
      <c r="L87" s="65" t="str">
        <f>IFERROR(__xludf.DUMMYFUNCTION("""COMPUTED_VALUE"""),"334")</f>
        <v>334</v>
      </c>
      <c r="M87" s="65" t="str">
        <f>IFERROR(__xludf.DUMMYFUNCTION("""COMPUTED_VALUE""")," ")</f>
        <v> </v>
      </c>
    </row>
    <row r="88">
      <c r="A88" s="99" t="str">
        <f>IFERROR(__xludf.DUMMYFUNCTION("""COMPUTED_VALUE"""),"https://utrucking.com/admin/orders/6445888438460")</f>
        <v>https://utrucking.com/admin/orders/6445888438460</v>
      </c>
      <c r="B88" s="61" t="str">
        <f>IFERROR(__xludf.DUMMYFUNCTION("""COMPUTED_VALUE"""),"#17824")</f>
        <v>#17824</v>
      </c>
      <c r="C88" s="61" t="str">
        <f>IFERROR(__xludf.DUMMYFUNCTION("""COMPUTED_VALUE"""),"a.kleinhaus@wustl.edu")</f>
        <v>a.kleinhaus@wustl.edu</v>
      </c>
      <c r="D88" s="61">
        <f>IFERROR(__xludf.DUMMYFUNCTION("""COMPUTED_VALUE"""),9.174801265E9)</f>
        <v>9174801265</v>
      </c>
      <c r="E88" s="61" t="str">
        <f>IFERROR(__xludf.DUMMYFUNCTION("""COMPUTED_VALUE"""),"Aviva Kleinhaus")</f>
        <v>Aviva Kleinhaus</v>
      </c>
      <c r="F88" s="61" t="str">
        <f>IFERROR(__xludf.DUMMYFUNCTION("""COMPUTED_VALUE"""),"Aviva Kleinhaus")</f>
        <v>Aviva Kleinhaus</v>
      </c>
      <c r="G88" s="61"/>
      <c r="H88" s="61" t="str">
        <f>IFERROR(__xludf.DUMMYFUNCTION("""COMPUTED_VALUE"""),"Appliance Rental Return")</f>
        <v>Appliance Rental Return</v>
      </c>
      <c r="I88" s="61" t="str">
        <f>IFERROR(__xludf.DUMMYFUNCTION("""COMPUTED_VALUE""")," Double-Door Mini Fridge + Microwave   - ")</f>
        <v> Double-Door Mini Fridge + Microwave   - </v>
      </c>
      <c r="J88" s="107" t="str">
        <f>IFERROR(__xludf.DUMMYFUNCTION("""COMPUTED_VALUE"""),"Danforth  ")</f>
        <v>Danforth  </v>
      </c>
      <c r="K88" s="100">
        <f>IFERROR(__xludf.DUMMYFUNCTION("""COMPUTED_VALUE"""),46149.0)</f>
        <v>46149</v>
      </c>
      <c r="L88" s="61" t="str">
        <f>IFERROR(__xludf.DUMMYFUNCTION("""COMPUTED_VALUE"""),"3319")</f>
        <v>3319</v>
      </c>
      <c r="M88" s="61" t="str">
        <f>IFERROR(__xludf.DUMMYFUNCTION("""COMPUTED_VALUE""")," ")</f>
        <v> </v>
      </c>
    </row>
    <row r="89">
      <c r="A89" s="102" t="str">
        <f>IFERROR(__xludf.DUMMYFUNCTION("""COMPUTED_VALUE"""),"https://utrucking.com/admin/orders/6445890928828")</f>
        <v>https://utrucking.com/admin/orders/6445890928828</v>
      </c>
      <c r="B89" s="65" t="str">
        <f>IFERROR(__xludf.DUMMYFUNCTION("""COMPUTED_VALUE"""),"#17825")</f>
        <v>#17825</v>
      </c>
      <c r="C89" s="65" t="str">
        <f>IFERROR(__xludf.DUMMYFUNCTION("""COMPUTED_VALUE"""),"f.sylvia@wustl.edu")</f>
        <v>f.sylvia@wustl.edu</v>
      </c>
      <c r="D89" s="65">
        <f>IFERROR(__xludf.DUMMYFUNCTION("""COMPUTED_VALUE"""),3.128341503E9)</f>
        <v>3128341503</v>
      </c>
      <c r="E89" s="65" t="str">
        <f>IFERROR(__xludf.DUMMYFUNCTION("""COMPUTED_VALUE"""),"Sylvia Foster-Rice")</f>
        <v>Sylvia Foster-Rice</v>
      </c>
      <c r="F89" s="65" t="str">
        <f>IFERROR(__xludf.DUMMYFUNCTION("""COMPUTED_VALUE"""),"Sylvia Foster-Rice")</f>
        <v>Sylvia Foster-Rice</v>
      </c>
      <c r="G89" s="65"/>
      <c r="H89" s="65" t="str">
        <f>IFERROR(__xludf.DUMMYFUNCTION("""COMPUTED_VALUE"""),"Appliance Rental Return")</f>
        <v>Appliance Rental Return</v>
      </c>
      <c r="I89" s="65" t="str">
        <f>IFERROR(__xludf.DUMMYFUNCTION("""COMPUTED_VALUE""")," Microwave Only   - ")</f>
        <v> Microwave Only   - </v>
      </c>
      <c r="J89" s="108" t="str">
        <f>IFERROR(__xludf.DUMMYFUNCTION("""COMPUTED_VALUE"""),"Mudd  ")</f>
        <v>Mudd  </v>
      </c>
      <c r="K89" s="103">
        <f>IFERROR(__xludf.DUMMYFUNCTION("""COMPUTED_VALUE"""),46150.0)</f>
        <v>46150</v>
      </c>
      <c r="L89" s="65" t="str">
        <f>IFERROR(__xludf.DUMMYFUNCTION("""COMPUTED_VALUE"""),"Suite 220 ")</f>
        <v>Suite 220 </v>
      </c>
      <c r="M89" s="65" t="str">
        <f>IFERROR(__xludf.DUMMYFUNCTION("""COMPUTED_VALUE""")," ")</f>
        <v> </v>
      </c>
    </row>
    <row r="90">
      <c r="A90" s="99" t="str">
        <f>IFERROR(__xludf.DUMMYFUNCTION("""COMPUTED_VALUE"""),"https://utrucking.com/admin/orders/6445898727612")</f>
        <v>https://utrucking.com/admin/orders/6445898727612</v>
      </c>
      <c r="B90" s="61" t="str">
        <f>IFERROR(__xludf.DUMMYFUNCTION("""COMPUTED_VALUE"""),"#17826")</f>
        <v>#17826</v>
      </c>
      <c r="C90" s="61" t="str">
        <f>IFERROR(__xludf.DUMMYFUNCTION("""COMPUTED_VALUE"""),"maulichawla.08@gmail.com")</f>
        <v>maulichawla.08@gmail.com</v>
      </c>
      <c r="D90" s="61">
        <f>IFERROR(__xludf.DUMMYFUNCTION("""COMPUTED_VALUE"""),1.3464203568E10)</f>
        <v>13464203568</v>
      </c>
      <c r="E90" s="61" t="str">
        <f>IFERROR(__xludf.DUMMYFUNCTION("""COMPUTED_VALUE"""),"Mauli Chawla")</f>
        <v>Mauli Chawla</v>
      </c>
      <c r="F90" s="61" t="str">
        <f>IFERROR(__xludf.DUMMYFUNCTION("""COMPUTED_VALUE"""),"Mauli Chawla")</f>
        <v>Mauli Chawla</v>
      </c>
      <c r="G90" s="61"/>
      <c r="H90" s="61" t="str">
        <f>IFERROR(__xludf.DUMMYFUNCTION("""COMPUTED_VALUE"""),"Appliance Rental Return")</f>
        <v>Appliance Rental Return</v>
      </c>
      <c r="I90" s="61" t="str">
        <f>IFERROR(__xludf.DUMMYFUNCTION("""COMPUTED_VALUE""")," Microwave Only   - ")</f>
        <v> Microwave Only   - </v>
      </c>
      <c r="J90" s="107" t="str">
        <f>IFERROR(__xludf.DUMMYFUNCTION("""COMPUTED_VALUE"""),"Dardick  ")</f>
        <v>Dardick  </v>
      </c>
      <c r="K90" s="100">
        <f>IFERROR(__xludf.DUMMYFUNCTION("""COMPUTED_VALUE"""),46148.0)</f>
        <v>46148</v>
      </c>
      <c r="L90" s="61" t="str">
        <f>IFERROR(__xludf.DUMMYFUNCTION("""COMPUTED_VALUE"""),"2223")</f>
        <v>2223</v>
      </c>
      <c r="M90" s="61" t="str">
        <f>IFERROR(__xludf.DUMMYFUNCTION("""COMPUTED_VALUE""")," ")</f>
        <v> </v>
      </c>
    </row>
    <row r="91">
      <c r="A91" s="102" t="str">
        <f>IFERROR(__xludf.DUMMYFUNCTION("""COMPUTED_VALUE"""),"https://utrucking.com/admin/orders/6445912228028")</f>
        <v>https://utrucking.com/admin/orders/6445912228028</v>
      </c>
      <c r="B91" s="65" t="str">
        <f>IFERROR(__xludf.DUMMYFUNCTION("""COMPUTED_VALUE"""),"#17827")</f>
        <v>#17827</v>
      </c>
      <c r="C91" s="65" t="str">
        <f>IFERROR(__xludf.DUMMYFUNCTION("""COMPUTED_VALUE"""),"anastasia.k.jones01@gmail.com")</f>
        <v>anastasia.k.jones01@gmail.com</v>
      </c>
      <c r="D91" s="65">
        <f>IFERROR(__xludf.DUMMYFUNCTION("""COMPUTED_VALUE"""),4.172966047E9)</f>
        <v>4172966047</v>
      </c>
      <c r="E91" s="65" t="str">
        <f>IFERROR(__xludf.DUMMYFUNCTION("""COMPUTED_VALUE"""),"Anastasia Jones")</f>
        <v>Anastasia Jones</v>
      </c>
      <c r="F91" s="65" t="str">
        <f>IFERROR(__xludf.DUMMYFUNCTION("""COMPUTED_VALUE"""),"Anastasia Jones")</f>
        <v>Anastasia Jones</v>
      </c>
      <c r="G91" s="65"/>
      <c r="H91" s="65" t="str">
        <f>IFERROR(__xludf.DUMMYFUNCTION("""COMPUTED_VALUE"""),"Appliance Rental Return")</f>
        <v>Appliance Rental Return</v>
      </c>
      <c r="I91" s="65" t="str">
        <f>IFERROR(__xludf.DUMMYFUNCTION("""COMPUTED_VALUE""")," Double-Door Mini Fridge   - ")</f>
        <v> Double-Door Mini Fridge   - </v>
      </c>
      <c r="J91" s="108" t="str">
        <f>IFERROR(__xludf.DUMMYFUNCTION("""COMPUTED_VALUE"""),"Danforth  ")</f>
        <v>Danforth  </v>
      </c>
      <c r="K91" s="103">
        <f>IFERROR(__xludf.DUMMYFUNCTION("""COMPUTED_VALUE"""),46148.0)</f>
        <v>46148</v>
      </c>
      <c r="L91" s="65" t="str">
        <f>IFERROR(__xludf.DUMMYFUNCTION("""COMPUTED_VALUE"""),"2224")</f>
        <v>2224</v>
      </c>
      <c r="M91" s="65" t="str">
        <f>IFERROR(__xludf.DUMMYFUNCTION("""COMPUTED_VALUE""")," ")</f>
        <v> </v>
      </c>
    </row>
    <row r="92">
      <c r="A92" s="99" t="str">
        <f>IFERROR(__xludf.DUMMYFUNCTION("""COMPUTED_VALUE"""),"https://utrucking.com/admin/orders/6445919469756")</f>
        <v>https://utrucking.com/admin/orders/6445919469756</v>
      </c>
      <c r="B92" s="61" t="str">
        <f>IFERROR(__xludf.DUMMYFUNCTION("""COMPUTED_VALUE"""),"#17828")</f>
        <v>#17828</v>
      </c>
      <c r="C92" s="61" t="str">
        <f>IFERROR(__xludf.DUMMYFUNCTION("""COMPUTED_VALUE"""),"cohn.d@wustl.edu")</f>
        <v>cohn.d@wustl.edu</v>
      </c>
      <c r="D92" s="61">
        <f>IFERROR(__xludf.DUMMYFUNCTION("""COMPUTED_VALUE"""),4.044338465E9)</f>
        <v>4044338465</v>
      </c>
      <c r="E92" s="61" t="str">
        <f>IFERROR(__xludf.DUMMYFUNCTION("""COMPUTED_VALUE"""),"Dana Cohn")</f>
        <v>Dana Cohn</v>
      </c>
      <c r="F92" s="61" t="str">
        <f>IFERROR(__xludf.DUMMYFUNCTION("""COMPUTED_VALUE"""),"Dana Cohn")</f>
        <v>Dana Cohn</v>
      </c>
      <c r="G92" s="61"/>
      <c r="H92" s="61" t="str">
        <f>IFERROR(__xludf.DUMMYFUNCTION("""COMPUTED_VALUE"""),"Appliance Rental Return")</f>
        <v>Appliance Rental Return</v>
      </c>
      <c r="I92" s="61" t="str">
        <f>IFERROR(__xludf.DUMMYFUNCTION("""COMPUTED_VALUE""")," Double-Door Mini Fridge   - ")</f>
        <v> Double-Door Mini Fridge   - </v>
      </c>
      <c r="J92" s="107" t="str">
        <f>IFERROR(__xludf.DUMMYFUNCTION("""COMPUTED_VALUE"""),"Lopata  ")</f>
        <v>Lopata  </v>
      </c>
      <c r="K92" s="100">
        <f>IFERROR(__xludf.DUMMYFUNCTION("""COMPUTED_VALUE"""),46149.0)</f>
        <v>46149</v>
      </c>
      <c r="L92" s="61" t="str">
        <f>IFERROR(__xludf.DUMMYFUNCTION("""COMPUTED_VALUE"""),"3021")</f>
        <v>3021</v>
      </c>
      <c r="M92" s="61" t="str">
        <f>IFERROR(__xludf.DUMMYFUNCTION("""COMPUTED_VALUE""")," ")</f>
        <v> </v>
      </c>
    </row>
    <row r="93">
      <c r="A93" s="102" t="str">
        <f>IFERROR(__xludf.DUMMYFUNCTION("""COMPUTED_VALUE"""),"https://utrucking.com/admin/orders/6445928612028")</f>
        <v>https://utrucking.com/admin/orders/6445928612028</v>
      </c>
      <c r="B93" s="65" t="str">
        <f>IFERROR(__xludf.DUMMYFUNCTION("""COMPUTED_VALUE"""),"#17829")</f>
        <v>#17829</v>
      </c>
      <c r="C93" s="65" t="str">
        <f>IFERROR(__xludf.DUMMYFUNCTION("""COMPUTED_VALUE"""),"j.r.roubitchek@wustl.edu")</f>
        <v>j.r.roubitchek@wustl.edu</v>
      </c>
      <c r="D93" s="65">
        <f>IFERROR(__xludf.DUMMYFUNCTION("""COMPUTED_VALUE"""),7.734854416E9)</f>
        <v>7734854416</v>
      </c>
      <c r="E93" s="65" t="str">
        <f>IFERROR(__xludf.DUMMYFUNCTION("""COMPUTED_VALUE"""),"Josephine Roubitchek")</f>
        <v>Josephine Roubitchek</v>
      </c>
      <c r="F93" s="65" t="str">
        <f>IFERROR(__xludf.DUMMYFUNCTION("""COMPUTED_VALUE"""),"Josephine Roubitchek")</f>
        <v>Josephine Roubitchek</v>
      </c>
      <c r="G93" s="65"/>
      <c r="H93" s="65" t="str">
        <f>IFERROR(__xludf.DUMMYFUNCTION("""COMPUTED_VALUE"""),"Appliance Rental Return")</f>
        <v>Appliance Rental Return</v>
      </c>
      <c r="I93" s="65" t="str">
        <f>IFERROR(__xludf.DUMMYFUNCTION("""COMPUTED_VALUE""")," Double-Door Mini Fridge   - ")</f>
        <v> Double-Door Mini Fridge   - </v>
      </c>
      <c r="J93" s="108" t="str">
        <f>IFERROR(__xludf.DUMMYFUNCTION("""COMPUTED_VALUE"""),"Dardick  ")</f>
        <v>Dardick  </v>
      </c>
      <c r="K93" s="103">
        <f>IFERROR(__xludf.DUMMYFUNCTION("""COMPUTED_VALUE"""),46148.0)</f>
        <v>46148</v>
      </c>
      <c r="L93" s="65" t="str">
        <f>IFERROR(__xludf.DUMMYFUNCTION("""COMPUTED_VALUE"""),"2220")</f>
        <v>2220</v>
      </c>
      <c r="M93" s="65" t="str">
        <f>IFERROR(__xludf.DUMMYFUNCTION("""COMPUTED_VALUE""")," ")</f>
        <v> </v>
      </c>
    </row>
    <row r="94">
      <c r="A94" s="99" t="str">
        <f>IFERROR(__xludf.DUMMYFUNCTION("""COMPUTED_VALUE"""),"https://utrucking.com/admin/orders/6445929988284")</f>
        <v>https://utrucking.com/admin/orders/6445929988284</v>
      </c>
      <c r="B94" s="61" t="str">
        <f>IFERROR(__xludf.DUMMYFUNCTION("""COMPUTED_VALUE"""),"#17830")</f>
        <v>#17830</v>
      </c>
      <c r="C94" s="61" t="str">
        <f>IFERROR(__xludf.DUMMYFUNCTION("""COMPUTED_VALUE"""),"jungmin.yu@gmail.com")</f>
        <v>jungmin.yu@gmail.com</v>
      </c>
      <c r="D94" s="61">
        <f>IFERROR(__xludf.DUMMYFUNCTION("""COMPUTED_VALUE"""),6.502247807E9)</f>
        <v>6502247807</v>
      </c>
      <c r="E94" s="61" t="str">
        <f>IFERROR(__xludf.DUMMYFUNCTION("""COMPUTED_VALUE"""),"Jungmin Yu")</f>
        <v>Jungmin Yu</v>
      </c>
      <c r="F94" s="61" t="str">
        <f>IFERROR(__xludf.DUMMYFUNCTION("""COMPUTED_VALUE"""),"Bennett Shin")</f>
        <v>Bennett Shin</v>
      </c>
      <c r="G94" s="61"/>
      <c r="H94" s="61" t="str">
        <f>IFERROR(__xludf.DUMMYFUNCTION("""COMPUTED_VALUE"""),"Appliance Rental Return")</f>
        <v>Appliance Rental Return</v>
      </c>
      <c r="I94" s="61" t="str">
        <f>IFERROR(__xludf.DUMMYFUNCTION("""COMPUTED_VALUE""")," Standard Mini Fridge   - ")</f>
        <v> Standard Mini Fridge   - </v>
      </c>
      <c r="J94" s="107" t="str">
        <f>IFERROR(__xludf.DUMMYFUNCTION("""COMPUTED_VALUE"""),"Koenig  ")</f>
        <v>Koenig  </v>
      </c>
      <c r="K94" s="100">
        <f>IFERROR(__xludf.DUMMYFUNCTION("""COMPUTED_VALUE"""),46149.0)</f>
        <v>46149</v>
      </c>
      <c r="L94" s="61" t="str">
        <f>IFERROR(__xludf.DUMMYFUNCTION("""COMPUTED_VALUE"""),"4405")</f>
        <v>4405</v>
      </c>
      <c r="M94" s="61" t="str">
        <f>IFERROR(__xludf.DUMMYFUNCTION("""COMPUTED_VALUE""")," ")</f>
        <v> </v>
      </c>
    </row>
    <row r="95">
      <c r="A95" s="102" t="str">
        <f>IFERROR(__xludf.DUMMYFUNCTION("""COMPUTED_VALUE"""),"https://utrucking.com/admin/orders/6445942538428")</f>
        <v>https://utrucking.com/admin/orders/6445942538428</v>
      </c>
      <c r="B95" s="65" t="str">
        <f>IFERROR(__xludf.DUMMYFUNCTION("""COMPUTED_VALUE"""),"#17831")</f>
        <v>#17831</v>
      </c>
      <c r="C95" s="65" t="str">
        <f>IFERROR(__xludf.DUMMYFUNCTION("""COMPUTED_VALUE"""),"kmicah@wustl.edu")</f>
        <v>kmicah@wustl.edu</v>
      </c>
      <c r="D95" s="65">
        <f>IFERROR(__xludf.DUMMYFUNCTION("""COMPUTED_VALUE"""),4.04368939E9)</f>
        <v>4043689390</v>
      </c>
      <c r="E95" s="65" t="str">
        <f>IFERROR(__xludf.DUMMYFUNCTION("""COMPUTED_VALUE"""),"Micah Kopelman")</f>
        <v>Micah Kopelman</v>
      </c>
      <c r="F95" s="65" t="str">
        <f>IFERROR(__xludf.DUMMYFUNCTION("""COMPUTED_VALUE"""),"Micah Kopelman")</f>
        <v>Micah Kopelman</v>
      </c>
      <c r="G95" s="65"/>
      <c r="H95" s="65" t="str">
        <f>IFERROR(__xludf.DUMMYFUNCTION("""COMPUTED_VALUE"""),"Appliance Rental Return")</f>
        <v>Appliance Rental Return</v>
      </c>
      <c r="I95" s="65" t="str">
        <f>IFERROR(__xludf.DUMMYFUNCTION("""COMPUTED_VALUE""")," Double-Door Mini Fridge + Microwave   - ")</f>
        <v> Double-Door Mini Fridge + Microwave   - </v>
      </c>
      <c r="J95" s="108" t="str">
        <f>IFERROR(__xludf.DUMMYFUNCTION("""COMPUTED_VALUE"""),"Dardick  ")</f>
        <v>Dardick  </v>
      </c>
      <c r="K95" s="103">
        <f>IFERROR(__xludf.DUMMYFUNCTION("""COMPUTED_VALUE"""),46147.0)</f>
        <v>46147</v>
      </c>
      <c r="L95" s="65" t="str">
        <f>IFERROR(__xludf.DUMMYFUNCTION("""COMPUTED_VALUE"""),"3308")</f>
        <v>3308</v>
      </c>
      <c r="M95" s="65" t="str">
        <f>IFERROR(__xludf.DUMMYFUNCTION("""COMPUTED_VALUE""")," ")</f>
        <v> </v>
      </c>
    </row>
    <row r="96">
      <c r="A96" s="99" t="str">
        <f>IFERROR(__xludf.DUMMYFUNCTION("""COMPUTED_VALUE"""),"https://utrucking.com/admin/orders/6445951058108")</f>
        <v>https://utrucking.com/admin/orders/6445951058108</v>
      </c>
      <c r="B96" s="61" t="str">
        <f>IFERROR(__xludf.DUMMYFUNCTION("""COMPUTED_VALUE"""),"#17832")</f>
        <v>#17832</v>
      </c>
      <c r="C96" s="61" t="str">
        <f>IFERROR(__xludf.DUMMYFUNCTION("""COMPUTED_VALUE"""),"zoerochester1@gmail.com")</f>
        <v>zoerochester1@gmail.com</v>
      </c>
      <c r="D96" s="61">
        <f>IFERROR(__xludf.DUMMYFUNCTION("""COMPUTED_VALUE"""),9.178478276E9)</f>
        <v>9178478276</v>
      </c>
      <c r="E96" s="61" t="str">
        <f>IFERROR(__xludf.DUMMYFUNCTION("""COMPUTED_VALUE"""),"Dana Rochester")</f>
        <v>Dana Rochester</v>
      </c>
      <c r="F96" s="61" t="str">
        <f>IFERROR(__xludf.DUMMYFUNCTION("""COMPUTED_VALUE"""),"Zoe Rochester")</f>
        <v>Zoe Rochester</v>
      </c>
      <c r="G96" s="61"/>
      <c r="H96" s="61" t="str">
        <f>IFERROR(__xludf.DUMMYFUNCTION("""COMPUTED_VALUE"""),"Appliance Rental Return")</f>
        <v>Appliance Rental Return</v>
      </c>
      <c r="I96" s="61" t="str">
        <f>IFERROR(__xludf.DUMMYFUNCTION("""COMPUTED_VALUE""")," Double-Door Mini Fridge + Microwave   - ")</f>
        <v> Double-Door Mini Fridge + Microwave   - </v>
      </c>
      <c r="J96" s="107" t="str">
        <f>IFERROR(__xludf.DUMMYFUNCTION("""COMPUTED_VALUE"""),"Lien  ")</f>
        <v>Lien  </v>
      </c>
      <c r="K96" s="100">
        <f>IFERROR(__xludf.DUMMYFUNCTION("""COMPUTED_VALUE"""),46148.0)</f>
        <v>46148</v>
      </c>
      <c r="L96" s="61" t="str">
        <f>IFERROR(__xludf.DUMMYFUNCTION("""COMPUTED_VALUE"""),"3330")</f>
        <v>3330</v>
      </c>
      <c r="M96" s="61" t="str">
        <f>IFERROR(__xludf.DUMMYFUNCTION("""COMPUTED_VALUE""")," ")</f>
        <v> </v>
      </c>
    </row>
    <row r="97">
      <c r="A97" s="102" t="str">
        <f>IFERROR(__xludf.DUMMYFUNCTION("""COMPUTED_VALUE"""),"https://utrucking.com/admin/orders/6445951647932")</f>
        <v>https://utrucking.com/admin/orders/6445951647932</v>
      </c>
      <c r="B97" s="65" t="str">
        <f>IFERROR(__xludf.DUMMYFUNCTION("""COMPUTED_VALUE"""),"#17833")</f>
        <v>#17833</v>
      </c>
      <c r="C97" s="65" t="str">
        <f>IFERROR(__xludf.DUMMYFUNCTION("""COMPUTED_VALUE"""),"jnewmanny@gmail.com")</f>
        <v>jnewmanny@gmail.com</v>
      </c>
      <c r="D97" s="65">
        <f>IFERROR(__xludf.DUMMYFUNCTION("""COMPUTED_VALUE"""),9.175879462E9)</f>
        <v>9175879462</v>
      </c>
      <c r="E97" s="65" t="str">
        <f>IFERROR(__xludf.DUMMYFUNCTION("""COMPUTED_VALUE"""),"Jennifer Newman")</f>
        <v>Jennifer Newman</v>
      </c>
      <c r="F97" s="65" t="str">
        <f>IFERROR(__xludf.DUMMYFUNCTION("""COMPUTED_VALUE"""),"Miles Newman")</f>
        <v>Miles Newman</v>
      </c>
      <c r="G97" s="65"/>
      <c r="H97" s="65" t="str">
        <f>IFERROR(__xludf.DUMMYFUNCTION("""COMPUTED_VALUE"""),"Appliance Rental Return")</f>
        <v>Appliance Rental Return</v>
      </c>
      <c r="I97" s="65" t="str">
        <f>IFERROR(__xludf.DUMMYFUNCTION("""COMPUTED_VALUE""")," Standard Mini Fridge   - ")</f>
        <v> Standard Mini Fridge   - </v>
      </c>
      <c r="J97" s="108" t="str">
        <f>IFERROR(__xludf.DUMMYFUNCTION("""COMPUTED_VALUE"""),"Lien  ")</f>
        <v>Lien  </v>
      </c>
      <c r="K97" s="103">
        <f>IFERROR(__xludf.DUMMYFUNCTION("""COMPUTED_VALUE"""),46142.0)</f>
        <v>46142</v>
      </c>
      <c r="L97" s="65" t="str">
        <f>IFERROR(__xludf.DUMMYFUNCTION("""COMPUTED_VALUE"""),"2233")</f>
        <v>2233</v>
      </c>
      <c r="M97" s="65" t="str">
        <f>IFERROR(__xludf.DUMMYFUNCTION("""COMPUTED_VALUE""")," ")</f>
        <v> </v>
      </c>
    </row>
    <row r="98">
      <c r="A98" s="99" t="str">
        <f>IFERROR(__xludf.DUMMYFUNCTION("""COMPUTED_VALUE"""),"https://utrucking.com/admin/orders/6445965410492")</f>
        <v>https://utrucking.com/admin/orders/6445965410492</v>
      </c>
      <c r="B98" s="61" t="str">
        <f>IFERROR(__xludf.DUMMYFUNCTION("""COMPUTED_VALUE"""),"#17834")</f>
        <v>#17834</v>
      </c>
      <c r="C98" s="61" t="str">
        <f>IFERROR(__xludf.DUMMYFUNCTION("""COMPUTED_VALUE"""),"burns.k.t@wustl.edu")</f>
        <v>burns.k.t@wustl.edu</v>
      </c>
      <c r="D98" s="61">
        <f>IFERROR(__xludf.DUMMYFUNCTION("""COMPUTED_VALUE"""),4.703668375E9)</f>
        <v>4703668375</v>
      </c>
      <c r="E98" s="61" t="str">
        <f>IFERROR(__xludf.DUMMYFUNCTION("""COMPUTED_VALUE"""),"Katherine Burns")</f>
        <v>Katherine Burns</v>
      </c>
      <c r="F98" s="61" t="str">
        <f>IFERROR(__xludf.DUMMYFUNCTION("""COMPUTED_VALUE"""),"Kate Burns")</f>
        <v>Kate Burns</v>
      </c>
      <c r="G98" s="61"/>
      <c r="H98" s="61" t="str">
        <f>IFERROR(__xludf.DUMMYFUNCTION("""COMPUTED_VALUE"""),"Appliance Rental Return")</f>
        <v>Appliance Rental Return</v>
      </c>
      <c r="I98" s="61" t="str">
        <f>IFERROR(__xludf.DUMMYFUNCTION("""COMPUTED_VALUE""")," Double-Door Mini Fridge + Microwave   - ")</f>
        <v> Double-Door Mini Fridge + Microwave   - </v>
      </c>
      <c r="J98" s="107" t="str">
        <f>IFERROR(__xludf.DUMMYFUNCTION("""COMPUTED_VALUE"""),"Mudd  ")</f>
        <v>Mudd  </v>
      </c>
      <c r="K98" s="100">
        <f>IFERROR(__xludf.DUMMYFUNCTION("""COMPUTED_VALUE"""),46144.0)</f>
        <v>46144</v>
      </c>
      <c r="L98" s="61" t="str">
        <f>IFERROR(__xludf.DUMMYFUNCTION("""COMPUTED_VALUE"""),"150")</f>
        <v>150</v>
      </c>
      <c r="M98" s="61" t="str">
        <f>IFERROR(__xludf.DUMMYFUNCTION("""COMPUTED_VALUE""")," ")</f>
        <v> </v>
      </c>
    </row>
    <row r="99">
      <c r="A99" s="102" t="str">
        <f>IFERROR(__xludf.DUMMYFUNCTION("""COMPUTED_VALUE"""),"https://utrucking.com/admin/orders/6445976584380")</f>
        <v>https://utrucking.com/admin/orders/6445976584380</v>
      </c>
      <c r="B99" s="65" t="str">
        <f>IFERROR(__xludf.DUMMYFUNCTION("""COMPUTED_VALUE"""),"#17836")</f>
        <v>#17836</v>
      </c>
      <c r="C99" s="65" t="str">
        <f>IFERROR(__xludf.DUMMYFUNCTION("""COMPUTED_VALUE"""),"adammdowney@gmail.com")</f>
        <v>adammdowney@gmail.com</v>
      </c>
      <c r="D99" s="65">
        <f>IFERROR(__xludf.DUMMYFUNCTION("""COMPUTED_VALUE"""),6.466259442E9)</f>
        <v>6466259442</v>
      </c>
      <c r="E99" s="65" t="str">
        <f>IFERROR(__xludf.DUMMYFUNCTION("""COMPUTED_VALUE"""),"Adam Downey")</f>
        <v>Adam Downey</v>
      </c>
      <c r="F99" s="65" t="str">
        <f>IFERROR(__xludf.DUMMYFUNCTION("""COMPUTED_VALUE"""),"Austen Downey")</f>
        <v>Austen Downey</v>
      </c>
      <c r="G99" s="65"/>
      <c r="H99" s="65" t="str">
        <f>IFERROR(__xludf.DUMMYFUNCTION("""COMPUTED_VALUE"""),"Appliance Rental Return")</f>
        <v>Appliance Rental Return</v>
      </c>
      <c r="I99" s="65" t="str">
        <f>IFERROR(__xludf.DUMMYFUNCTION("""COMPUTED_VALUE""")," Double-Door Mini Fridge + Microwave   - ")</f>
        <v> Double-Door Mini Fridge + Microwave   - </v>
      </c>
      <c r="J99" s="108" t="str">
        <f>IFERROR(__xludf.DUMMYFUNCTION("""COMPUTED_VALUE"""),"Dauten  ")</f>
        <v>Dauten  </v>
      </c>
      <c r="K99" s="103">
        <f>IFERROR(__xludf.DUMMYFUNCTION("""COMPUTED_VALUE"""),46144.0)</f>
        <v>46144</v>
      </c>
      <c r="L99" s="65" t="str">
        <f>IFERROR(__xludf.DUMMYFUNCTION("""COMPUTED_VALUE"""),"411-A")</f>
        <v>411-A</v>
      </c>
      <c r="M99" s="65" t="str">
        <f>IFERROR(__xludf.DUMMYFUNCTION("""COMPUTED_VALUE""")," ")</f>
        <v> </v>
      </c>
    </row>
    <row r="100">
      <c r="A100" s="99" t="str">
        <f>IFERROR(__xludf.DUMMYFUNCTION("""COMPUTED_VALUE"""),"https://utrucking.com/admin/orders/6446019150012")</f>
        <v>https://utrucking.com/admin/orders/6446019150012</v>
      </c>
      <c r="B100" s="61" t="str">
        <f>IFERROR(__xludf.DUMMYFUNCTION("""COMPUTED_VALUE"""),"#17838")</f>
        <v>#17838</v>
      </c>
      <c r="C100" s="61" t="str">
        <f>IFERROR(__xludf.DUMMYFUNCTION("""COMPUTED_VALUE"""),"carterjamesdavidson@gmail.com")</f>
        <v>carterjamesdavidson@gmail.com</v>
      </c>
      <c r="D100" s="61">
        <f>IFERROR(__xludf.DUMMYFUNCTION("""COMPUTED_VALUE"""),8.574751138E9)</f>
        <v>8574751138</v>
      </c>
      <c r="E100" s="61" t="str">
        <f>IFERROR(__xludf.DUMMYFUNCTION("""COMPUTED_VALUE"""),"Carter Davidson")</f>
        <v>Carter Davidson</v>
      </c>
      <c r="F100" s="61" t="str">
        <f>IFERROR(__xludf.DUMMYFUNCTION("""COMPUTED_VALUE"""),"Carter Davidson")</f>
        <v>Carter Davidson</v>
      </c>
      <c r="G100" s="61"/>
      <c r="H100" s="61" t="str">
        <f>IFERROR(__xludf.DUMMYFUNCTION("""COMPUTED_VALUE"""),"Appliance Rental Return")</f>
        <v>Appliance Rental Return</v>
      </c>
      <c r="I100" s="61" t="str">
        <f>IFERROR(__xludf.DUMMYFUNCTION("""COMPUTED_VALUE""")," Double-Door Mini Fridge + Microwave   - ")</f>
        <v> Double-Door Mini Fridge + Microwave   - </v>
      </c>
      <c r="J100" s="107" t="str">
        <f>IFERROR(__xludf.DUMMYFUNCTION("""COMPUTED_VALUE"""),"Lien  ")</f>
        <v>Lien  </v>
      </c>
      <c r="K100" s="100">
        <f>IFERROR(__xludf.DUMMYFUNCTION("""COMPUTED_VALUE"""),46148.0)</f>
        <v>46148</v>
      </c>
      <c r="L100" s="61" t="str">
        <f>IFERROR(__xludf.DUMMYFUNCTION("""COMPUTED_VALUE"""),"3315")</f>
        <v>3315</v>
      </c>
      <c r="M100" s="61" t="str">
        <f>IFERROR(__xludf.DUMMYFUNCTION("""COMPUTED_VALUE""")," ")</f>
        <v> </v>
      </c>
    </row>
    <row r="101">
      <c r="A101" s="102" t="str">
        <f>IFERROR(__xludf.DUMMYFUNCTION("""COMPUTED_VALUE"""),"https://utrucking.com/admin/orders/6446035468476")</f>
        <v>https://utrucking.com/admin/orders/6446035468476</v>
      </c>
      <c r="B101" s="65" t="str">
        <f>IFERROR(__xludf.DUMMYFUNCTION("""COMPUTED_VALUE"""),"#17839")</f>
        <v>#17839</v>
      </c>
      <c r="C101" s="65" t="str">
        <f>IFERROR(__xludf.DUMMYFUNCTION("""COMPUTED_VALUE"""),"elianasalzberg@gmail.com")</f>
        <v>elianasalzberg@gmail.com</v>
      </c>
      <c r="D101" s="65">
        <f>IFERROR(__xludf.DUMMYFUNCTION("""COMPUTED_VALUE"""),9.177330027E9)</f>
        <v>9177330027</v>
      </c>
      <c r="E101" s="65" t="str">
        <f>IFERROR(__xludf.DUMMYFUNCTION("""COMPUTED_VALUE"""),"ellie salzberg")</f>
        <v>ellie salzberg</v>
      </c>
      <c r="F101" s="65" t="str">
        <f>IFERROR(__xludf.DUMMYFUNCTION("""COMPUTED_VALUE"""),"ellie salzberg")</f>
        <v>ellie salzberg</v>
      </c>
      <c r="G101" s="65"/>
      <c r="H101" s="65" t="str">
        <f>IFERROR(__xludf.DUMMYFUNCTION("""COMPUTED_VALUE"""),"Appliance Rental Return")</f>
        <v>Appliance Rental Return</v>
      </c>
      <c r="I101" s="65" t="str">
        <f>IFERROR(__xludf.DUMMYFUNCTION("""COMPUTED_VALUE""")," Standard Mini Fridge + Microwave   - ")</f>
        <v> Standard Mini Fridge + Microwave   - </v>
      </c>
      <c r="J101" s="108" t="str">
        <f>IFERROR(__xludf.DUMMYFUNCTION("""COMPUTED_VALUE"""),"Dauten  ")</f>
        <v>Dauten  </v>
      </c>
      <c r="K101" s="103">
        <f>IFERROR(__xludf.DUMMYFUNCTION("""COMPUTED_VALUE"""),46147.0)</f>
        <v>46147</v>
      </c>
      <c r="L101" s="65" t="str">
        <f>IFERROR(__xludf.DUMMYFUNCTION("""COMPUTED_VALUE"""),"42")</f>
        <v>42</v>
      </c>
      <c r="M101" s="65" t="str">
        <f>IFERROR(__xludf.DUMMYFUNCTION("""COMPUTED_VALUE""")," ")</f>
        <v> </v>
      </c>
    </row>
    <row r="102">
      <c r="A102" s="99" t="str">
        <f>IFERROR(__xludf.DUMMYFUNCTION("""COMPUTED_VALUE"""),"https://utrucking.com/admin/orders/6446046740668")</f>
        <v>https://utrucking.com/admin/orders/6446046740668</v>
      </c>
      <c r="B102" s="61" t="str">
        <f>IFERROR(__xludf.DUMMYFUNCTION("""COMPUTED_VALUE"""),"#17840")</f>
        <v>#17840</v>
      </c>
      <c r="C102" s="61" t="str">
        <f>IFERROR(__xludf.DUMMYFUNCTION("""COMPUTED_VALUE"""),"baerwald.d@wustl.edu")</f>
        <v>baerwald.d@wustl.edu</v>
      </c>
      <c r="D102" s="61">
        <f>IFERROR(__xludf.DUMMYFUNCTION("""COMPUTED_VALUE"""),2.068503099E9)</f>
        <v>2068503099</v>
      </c>
      <c r="E102" s="61" t="str">
        <f>IFERROR(__xludf.DUMMYFUNCTION("""COMPUTED_VALUE"""),"Jeannette Baerwald")</f>
        <v>Jeannette Baerwald</v>
      </c>
      <c r="F102" s="61" t="str">
        <f>IFERROR(__xludf.DUMMYFUNCTION("""COMPUTED_VALUE"""),"Dan Baerwald")</f>
        <v>Dan Baerwald</v>
      </c>
      <c r="G102" s="61"/>
      <c r="H102" s="61" t="str">
        <f>IFERROR(__xludf.DUMMYFUNCTION("""COMPUTED_VALUE"""),"Appliance Rental Return")</f>
        <v>Appliance Rental Return</v>
      </c>
      <c r="I102" s="61" t="str">
        <f>IFERROR(__xludf.DUMMYFUNCTION("""COMPUTED_VALUE""")," Standard Mini Fridge   - ")</f>
        <v> Standard Mini Fridge   - </v>
      </c>
      <c r="J102" s="107" t="str">
        <f>IFERROR(__xludf.DUMMYFUNCTION("""COMPUTED_VALUE"""),"Park  ")</f>
        <v>Park  </v>
      </c>
      <c r="K102" s="100">
        <f>IFERROR(__xludf.DUMMYFUNCTION("""COMPUTED_VALUE"""),46149.0)</f>
        <v>46149</v>
      </c>
      <c r="L102" s="61" t="str">
        <f>IFERROR(__xludf.DUMMYFUNCTION("""COMPUTED_VALUE"""),"140")</f>
        <v>140</v>
      </c>
      <c r="M102" s="61" t="str">
        <f>IFERROR(__xludf.DUMMYFUNCTION("""COMPUTED_VALUE""")," ")</f>
        <v> </v>
      </c>
    </row>
    <row r="103">
      <c r="A103" s="102" t="str">
        <f>IFERROR(__xludf.DUMMYFUNCTION("""COMPUTED_VALUE"""),"https://utrucking.com/admin/orders/6446072725692")</f>
        <v>https://utrucking.com/admin/orders/6446072725692</v>
      </c>
      <c r="B103" s="65" t="str">
        <f>IFERROR(__xludf.DUMMYFUNCTION("""COMPUTED_VALUE"""),"#17841")</f>
        <v>#17841</v>
      </c>
      <c r="C103" s="65" t="str">
        <f>IFERROR(__xludf.DUMMYFUNCTION("""COMPUTED_VALUE"""),"erikhaggstrom123@gmail.com")</f>
        <v>erikhaggstrom123@gmail.com</v>
      </c>
      <c r="D103" s="65">
        <f>IFERROR(__xludf.DUMMYFUNCTION("""COMPUTED_VALUE"""),3.177195047E9)</f>
        <v>3177195047</v>
      </c>
      <c r="E103" s="65" t="str">
        <f>IFERROR(__xludf.DUMMYFUNCTION("""COMPUTED_VALUE"""),"Erik Haggstrom")</f>
        <v>Erik Haggstrom</v>
      </c>
      <c r="F103" s="65" t="str">
        <f>IFERROR(__xludf.DUMMYFUNCTION("""COMPUTED_VALUE"""),"Erik Haggstrom")</f>
        <v>Erik Haggstrom</v>
      </c>
      <c r="G103" s="65"/>
      <c r="H103" s="65" t="str">
        <f>IFERROR(__xludf.DUMMYFUNCTION("""COMPUTED_VALUE"""),"Appliance Rental Return")</f>
        <v>Appliance Rental Return</v>
      </c>
      <c r="I103" s="65" t="str">
        <f>IFERROR(__xludf.DUMMYFUNCTION("""COMPUTED_VALUE""")," Double-Door Mini Fridge + Microwave   - ")</f>
        <v> Double-Door Mini Fridge + Microwave   - </v>
      </c>
      <c r="J103" s="108" t="str">
        <f>IFERROR(__xludf.DUMMYFUNCTION("""COMPUTED_VALUE"""),"Zetcher  ")</f>
        <v>Zetcher  </v>
      </c>
      <c r="K103" s="103">
        <f>IFERROR(__xludf.DUMMYFUNCTION("""COMPUTED_VALUE"""),46148.0)</f>
        <v>46148</v>
      </c>
      <c r="L103" s="65" t="str">
        <f>IFERROR(__xludf.DUMMYFUNCTION("""COMPUTED_VALUE"""),"2032")</f>
        <v>2032</v>
      </c>
      <c r="M103" s="65" t="str">
        <f>IFERROR(__xludf.DUMMYFUNCTION("""COMPUTED_VALUE""")," ")</f>
        <v> </v>
      </c>
    </row>
    <row r="104">
      <c r="A104" s="99" t="str">
        <f>IFERROR(__xludf.DUMMYFUNCTION("""COMPUTED_VALUE"""),"https://utrucking.com/admin/orders/6446158381244")</f>
        <v>https://utrucking.com/admin/orders/6446158381244</v>
      </c>
      <c r="B104" s="61" t="str">
        <f>IFERROR(__xludf.DUMMYFUNCTION("""COMPUTED_VALUE"""),"#17843")</f>
        <v>#17843</v>
      </c>
      <c r="C104" s="61" t="str">
        <f>IFERROR(__xludf.DUMMYFUNCTION("""COMPUTED_VALUE"""),"hkramm@yahoo.com")</f>
        <v>hkramm@yahoo.com</v>
      </c>
      <c r="D104" s="61">
        <f>IFERROR(__xludf.DUMMYFUNCTION("""COMPUTED_VALUE"""),2.066613897E9)</f>
        <v>2066613897</v>
      </c>
      <c r="E104" s="61" t="str">
        <f>IFERROR(__xludf.DUMMYFUNCTION("""COMPUTED_VALUE"""),"HEATHER KRAMM")</f>
        <v>HEATHER KRAMM</v>
      </c>
      <c r="F104" s="61" t="str">
        <f>IFERROR(__xludf.DUMMYFUNCTION("""COMPUTED_VALUE"""),"quincy schwartz")</f>
        <v>quincy schwartz</v>
      </c>
      <c r="G104" s="61"/>
      <c r="H104" s="61" t="str">
        <f>IFERROR(__xludf.DUMMYFUNCTION("""COMPUTED_VALUE"""),"Appliance Rental Return")</f>
        <v>Appliance Rental Return</v>
      </c>
      <c r="I104" s="61" t="str">
        <f>IFERROR(__xludf.DUMMYFUNCTION("""COMPUTED_VALUE""")," Double-Door Mini Fridge + Microwave   - ")</f>
        <v> Double-Door Mini Fridge + Microwave   - </v>
      </c>
      <c r="J104" s="107" t="str">
        <f>IFERROR(__xludf.DUMMYFUNCTION("""COMPUTED_VALUE"""),"House 6 (Sigma Alpha Epsilon)  ")</f>
        <v>House 6 (Sigma Alpha Epsilon)  </v>
      </c>
      <c r="K104" s="100">
        <f>IFERROR(__xludf.DUMMYFUNCTION("""COMPUTED_VALUE"""),46148.0)</f>
        <v>46148</v>
      </c>
      <c r="L104" s="61" t="str">
        <f>IFERROR(__xludf.DUMMYFUNCTION("""COMPUTED_VALUE"""),"202")</f>
        <v>202</v>
      </c>
      <c r="M104" s="61" t="str">
        <f>IFERROR(__xludf.DUMMYFUNCTION("""COMPUTED_VALUE""")," ")</f>
        <v> </v>
      </c>
    </row>
    <row r="105">
      <c r="A105" s="102" t="str">
        <f>IFERROR(__xludf.DUMMYFUNCTION("""COMPUTED_VALUE"""),"https://utrucking.com/admin/orders/6446162870460")</f>
        <v>https://utrucking.com/admin/orders/6446162870460</v>
      </c>
      <c r="B105" s="65" t="str">
        <f>IFERROR(__xludf.DUMMYFUNCTION("""COMPUTED_VALUE"""),"#17844")</f>
        <v>#17844</v>
      </c>
      <c r="C105" s="65" t="str">
        <f>IFERROR(__xludf.DUMMYFUNCTION("""COMPUTED_VALUE"""),"l.lumi@wustl.edu")</f>
        <v>l.lumi@wustl.edu</v>
      </c>
      <c r="D105" s="65">
        <f>IFERROR(__xludf.DUMMYFUNCTION("""COMPUTED_VALUE"""),2.133082438E9)</f>
        <v>2133082438</v>
      </c>
      <c r="E105" s="65" t="str">
        <f>IFERROR(__xludf.DUMMYFUNCTION("""COMPUTED_VALUE"""),"Lumi Lee")</f>
        <v>Lumi Lee</v>
      </c>
      <c r="F105" s="65" t="str">
        <f>IFERROR(__xludf.DUMMYFUNCTION("""COMPUTED_VALUE"""),"Lumi Lee")</f>
        <v>Lumi Lee</v>
      </c>
      <c r="G105" s="65"/>
      <c r="H105" s="65" t="str">
        <f>IFERROR(__xludf.DUMMYFUNCTION("""COMPUTED_VALUE"""),"Appliance Rental Return")</f>
        <v>Appliance Rental Return</v>
      </c>
      <c r="I105" s="65" t="str">
        <f>IFERROR(__xludf.DUMMYFUNCTION("""COMPUTED_VALUE""")," Double-Door Mini Fridge + Microwave   - ")</f>
        <v> Double-Door Mini Fridge + Microwave   - </v>
      </c>
      <c r="J105" s="108" t="str">
        <f>IFERROR(__xludf.DUMMYFUNCTION("""COMPUTED_VALUE"""),"Wheeler  ")</f>
        <v>Wheeler  </v>
      </c>
      <c r="K105" s="103">
        <f>IFERROR(__xludf.DUMMYFUNCTION("""COMPUTED_VALUE"""),46148.0)</f>
        <v>46148</v>
      </c>
      <c r="L105" s="65" t="str">
        <f>IFERROR(__xludf.DUMMYFUNCTION("""COMPUTED_VALUE"""),"1010")</f>
        <v>1010</v>
      </c>
      <c r="M105" s="65" t="str">
        <f>IFERROR(__xludf.DUMMYFUNCTION("""COMPUTED_VALUE""")," ")</f>
        <v> </v>
      </c>
    </row>
    <row r="106">
      <c r="A106" s="99" t="str">
        <f>IFERROR(__xludf.DUMMYFUNCTION("""COMPUTED_VALUE"""),"https://utrucking.com/admin/orders/6446174372028")</f>
        <v>https://utrucking.com/admin/orders/6446174372028</v>
      </c>
      <c r="B106" s="61" t="str">
        <f>IFERROR(__xludf.DUMMYFUNCTION("""COMPUTED_VALUE"""),"#17845")</f>
        <v>#17845</v>
      </c>
      <c r="C106" s="61" t="str">
        <f>IFERROR(__xludf.DUMMYFUNCTION("""COMPUTED_VALUE"""),"a.hockstein@wustl.edu")</f>
        <v>a.hockstein@wustl.edu</v>
      </c>
      <c r="D106" s="61">
        <f>IFERROR(__xludf.DUMMYFUNCTION("""COMPUTED_VALUE"""),3.025881466E9)</f>
        <v>3025881466</v>
      </c>
      <c r="E106" s="61" t="str">
        <f>IFERROR(__xludf.DUMMYFUNCTION("""COMPUTED_VALUE"""),"Carolyn Hockstein")</f>
        <v>Carolyn Hockstein</v>
      </c>
      <c r="F106" s="61" t="str">
        <f>IFERROR(__xludf.DUMMYFUNCTION("""COMPUTED_VALUE"""),"Aaron Hockstein")</f>
        <v>Aaron Hockstein</v>
      </c>
      <c r="G106" s="61"/>
      <c r="H106" s="61" t="str">
        <f>IFERROR(__xludf.DUMMYFUNCTION("""COMPUTED_VALUE"""),"Appliance Rental Return")</f>
        <v>Appliance Rental Return</v>
      </c>
      <c r="I106" s="61" t="str">
        <f>IFERROR(__xludf.DUMMYFUNCTION("""COMPUTED_VALUE""")," Double-Door Mini Fridge + Microwave   - ")</f>
        <v> Double-Door Mini Fridge + Microwave   - </v>
      </c>
      <c r="J106" s="107" t="str">
        <f>IFERROR(__xludf.DUMMYFUNCTION("""COMPUTED_VALUE"""),"Nemerov  ")</f>
        <v>Nemerov  </v>
      </c>
      <c r="K106" s="100">
        <f>IFERROR(__xludf.DUMMYFUNCTION("""COMPUTED_VALUE"""),46148.0)</f>
        <v>46148</v>
      </c>
      <c r="L106" s="61" t="str">
        <f>IFERROR(__xludf.DUMMYFUNCTION("""COMPUTED_VALUE"""),"4073")</f>
        <v>4073</v>
      </c>
      <c r="M106" s="61" t="str">
        <f>IFERROR(__xludf.DUMMYFUNCTION("""COMPUTED_VALUE""")," ")</f>
        <v> </v>
      </c>
    </row>
    <row r="107">
      <c r="A107" s="102" t="str">
        <f>IFERROR(__xludf.DUMMYFUNCTION("""COMPUTED_VALUE"""),"https://utrucking.com/admin/orders/6446175846588")</f>
        <v>https://utrucking.com/admin/orders/6446175846588</v>
      </c>
      <c r="B107" s="65" t="str">
        <f>IFERROR(__xludf.DUMMYFUNCTION("""COMPUTED_VALUE"""),"#17846")</f>
        <v>#17846</v>
      </c>
      <c r="C107" s="65" t="str">
        <f>IFERROR(__xludf.DUMMYFUNCTION("""COMPUTED_VALUE"""),"anna.j.schwartz@wustl.edu")</f>
        <v>anna.j.schwartz@wustl.edu</v>
      </c>
      <c r="D107" s="65">
        <f>IFERROR(__xludf.DUMMYFUNCTION("""COMPUTED_VALUE"""),4.043457378E9)</f>
        <v>4043457378</v>
      </c>
      <c r="E107" s="65" t="str">
        <f>IFERROR(__xludf.DUMMYFUNCTION("""COMPUTED_VALUE"""),"Anna Schwartz")</f>
        <v>Anna Schwartz</v>
      </c>
      <c r="F107" s="65" t="str">
        <f>IFERROR(__xludf.DUMMYFUNCTION("""COMPUTED_VALUE"""),"Anna Schwartz")</f>
        <v>Anna Schwartz</v>
      </c>
      <c r="G107" s="65"/>
      <c r="H107" s="65" t="str">
        <f>IFERROR(__xludf.DUMMYFUNCTION("""COMPUTED_VALUE"""),"Appliance Rental Return")</f>
        <v>Appliance Rental Return</v>
      </c>
      <c r="I107" s="65" t="str">
        <f>IFERROR(__xludf.DUMMYFUNCTION("""COMPUTED_VALUE""")," Double-Door Mini Fridge + Microwave   - ")</f>
        <v> Double-Door Mini Fridge + Microwave   - </v>
      </c>
      <c r="J107" s="108" t="str">
        <f>IFERROR(__xludf.DUMMYFUNCTION("""COMPUTED_VALUE"""),"Village House  ")</f>
        <v>Village House  </v>
      </c>
      <c r="K107" s="103">
        <f>IFERROR(__xludf.DUMMYFUNCTION("""COMPUTED_VALUE"""),46146.0)</f>
        <v>46146</v>
      </c>
      <c r="L107" s="65" t="str">
        <f>IFERROR(__xludf.DUMMYFUNCTION("""COMPUTED_VALUE"""),"4071")</f>
        <v>4071</v>
      </c>
      <c r="M107" s="65" t="str">
        <f>IFERROR(__xludf.DUMMYFUNCTION("""COMPUTED_VALUE""")," ")</f>
        <v> </v>
      </c>
    </row>
    <row r="108">
      <c r="A108" s="99" t="str">
        <f>IFERROR(__xludf.DUMMYFUNCTION("""COMPUTED_VALUE"""),"https://utrucking.com/admin/orders/6446188626108")</f>
        <v>https://utrucking.com/admin/orders/6446188626108</v>
      </c>
      <c r="B108" s="61" t="str">
        <f>IFERROR(__xludf.DUMMYFUNCTION("""COMPUTED_VALUE"""),"#17847")</f>
        <v>#17847</v>
      </c>
      <c r="C108" s="61" t="str">
        <f>IFERROR(__xludf.DUMMYFUNCTION("""COMPUTED_VALUE"""),"charlesmaxelliii2025@gmail.com")</f>
        <v>charlesmaxelliii2025@gmail.com</v>
      </c>
      <c r="D108" s="61">
        <f>IFERROR(__xludf.DUMMYFUNCTION("""COMPUTED_VALUE"""),7.7066832E9)</f>
        <v>7706683200</v>
      </c>
      <c r="E108" s="61" t="str">
        <f>IFERROR(__xludf.DUMMYFUNCTION("""COMPUTED_VALUE"""),"Charles Maxell III")</f>
        <v>Charles Maxell III</v>
      </c>
      <c r="F108" s="61" t="str">
        <f>IFERROR(__xludf.DUMMYFUNCTION("""COMPUTED_VALUE"""),"Charles")</f>
        <v>Charles</v>
      </c>
      <c r="G108" s="61"/>
      <c r="H108" s="61" t="str">
        <f>IFERROR(__xludf.DUMMYFUNCTION("""COMPUTED_VALUE"""),"Appliance Rental Return")</f>
        <v>Appliance Rental Return</v>
      </c>
      <c r="I108" s="61" t="str">
        <f>IFERROR(__xludf.DUMMYFUNCTION("""COMPUTED_VALUE""")," Double-Door Mini Fridge   - ")</f>
        <v> Double-Door Mini Fridge   - </v>
      </c>
      <c r="J108" s="107" t="str">
        <f>IFERROR(__xludf.DUMMYFUNCTION("""COMPUTED_VALUE"""),"Park  ")</f>
        <v>Park  </v>
      </c>
      <c r="K108" s="100">
        <f>IFERROR(__xludf.DUMMYFUNCTION("""COMPUTED_VALUE"""),46146.0)</f>
        <v>46146</v>
      </c>
      <c r="L108" s="61" t="str">
        <f>IFERROR(__xludf.DUMMYFUNCTION("""COMPUTED_VALUE"""),"410")</f>
        <v>410</v>
      </c>
      <c r="M108" s="61" t="str">
        <f>IFERROR(__xludf.DUMMYFUNCTION("""COMPUTED_VALUE""")," ")</f>
        <v> </v>
      </c>
    </row>
    <row r="109">
      <c r="A109" s="102" t="str">
        <f>IFERROR(__xludf.DUMMYFUNCTION("""COMPUTED_VALUE"""),"https://utrucking.com/admin/orders/6446196785340")</f>
        <v>https://utrucking.com/admin/orders/6446196785340</v>
      </c>
      <c r="B109" s="65" t="str">
        <f>IFERROR(__xludf.DUMMYFUNCTION("""COMPUTED_VALUE"""),"#17848")</f>
        <v>#17848</v>
      </c>
      <c r="C109" s="65" t="str">
        <f>IFERROR(__xludf.DUMMYFUNCTION("""COMPUTED_VALUE"""),"cmbaltimore@icloud.com")</f>
        <v>cmbaltimore@icloud.com</v>
      </c>
      <c r="D109" s="65">
        <f>IFERROR(__xludf.DUMMYFUNCTION("""COMPUTED_VALUE"""),6.143772829E9)</f>
        <v>6143772829</v>
      </c>
      <c r="E109" s="65" t="str">
        <f>IFERROR(__xludf.DUMMYFUNCTION("""COMPUTED_VALUE"""),"Cooper Baltimore")</f>
        <v>Cooper Baltimore</v>
      </c>
      <c r="F109" s="65" t="str">
        <f>IFERROR(__xludf.DUMMYFUNCTION("""COMPUTED_VALUE"""),"Cooper")</f>
        <v>Cooper</v>
      </c>
      <c r="G109" s="65"/>
      <c r="H109" s="65" t="str">
        <f>IFERROR(__xludf.DUMMYFUNCTION("""COMPUTED_VALUE"""),"Appliance Rental Return")</f>
        <v>Appliance Rental Return</v>
      </c>
      <c r="I109" s="65" t="str">
        <f>IFERROR(__xludf.DUMMYFUNCTION("""COMPUTED_VALUE""")," Double-Door Mini Fridge   - ")</f>
        <v> Double-Door Mini Fridge   - </v>
      </c>
      <c r="J109" s="108" t="str">
        <f>IFERROR(__xludf.DUMMYFUNCTION("""COMPUTED_VALUE"""),"Zetcher  ")</f>
        <v>Zetcher  </v>
      </c>
      <c r="K109" s="103">
        <f>IFERROR(__xludf.DUMMYFUNCTION("""COMPUTED_VALUE"""),46149.0)</f>
        <v>46149</v>
      </c>
      <c r="L109" s="65" t="str">
        <f>IFERROR(__xludf.DUMMYFUNCTION("""COMPUTED_VALUE"""),"3222")</f>
        <v>3222</v>
      </c>
      <c r="M109" s="65" t="str">
        <f>IFERROR(__xludf.DUMMYFUNCTION("""COMPUTED_VALUE""")," ")</f>
        <v> </v>
      </c>
    </row>
    <row r="110">
      <c r="A110" s="99" t="str">
        <f>IFERROR(__xludf.DUMMYFUNCTION("""COMPUTED_VALUE"""),"https://utrucking.com/admin/orders/6446238204092")</f>
        <v>https://utrucking.com/admin/orders/6446238204092</v>
      </c>
      <c r="B110" s="61" t="str">
        <f>IFERROR(__xludf.DUMMYFUNCTION("""COMPUTED_VALUE"""),"#17852")</f>
        <v>#17852</v>
      </c>
      <c r="C110" s="61" t="str">
        <f>IFERROR(__xludf.DUMMYFUNCTION("""COMPUTED_VALUE"""),"hudsonlee2024@gmail.com")</f>
        <v>hudsonlee2024@gmail.com</v>
      </c>
      <c r="D110" s="61">
        <f>IFERROR(__xludf.DUMMYFUNCTION("""COMPUTED_VALUE"""),9.735293695E9)</f>
        <v>9735293695</v>
      </c>
      <c r="E110" s="61" t="str">
        <f>IFERROR(__xludf.DUMMYFUNCTION("""COMPUTED_VALUE"""),"Hudson Lee")</f>
        <v>Hudson Lee</v>
      </c>
      <c r="F110" s="61" t="str">
        <f>IFERROR(__xludf.DUMMYFUNCTION("""COMPUTED_VALUE"""),"Hudson Lee")</f>
        <v>Hudson Lee</v>
      </c>
      <c r="G110" s="61"/>
      <c r="H110" s="61" t="str">
        <f>IFERROR(__xludf.DUMMYFUNCTION("""COMPUTED_VALUE"""),"Appliance Rental Return")</f>
        <v>Appliance Rental Return</v>
      </c>
      <c r="I110" s="61" t="str">
        <f>IFERROR(__xludf.DUMMYFUNCTION("""COMPUTED_VALUE""")," Double-Door Mini Fridge   - ")</f>
        <v> Double-Door Mini Fridge   - </v>
      </c>
      <c r="J110" s="107" t="str">
        <f>IFERROR(__xludf.DUMMYFUNCTION("""COMPUTED_VALUE"""),"Mudd  ")</f>
        <v>Mudd  </v>
      </c>
      <c r="K110" s="100">
        <f>IFERROR(__xludf.DUMMYFUNCTION("""COMPUTED_VALUE"""),46147.0)</f>
        <v>46147</v>
      </c>
      <c r="L110" s="61" t="str">
        <f>IFERROR(__xludf.DUMMYFUNCTION("""COMPUTED_VALUE"""),"282")</f>
        <v>282</v>
      </c>
      <c r="M110" s="61" t="str">
        <f>IFERROR(__xludf.DUMMYFUNCTION("""COMPUTED_VALUE""")," ")</f>
        <v> </v>
      </c>
    </row>
    <row r="111">
      <c r="A111" s="102" t="str">
        <f>IFERROR(__xludf.DUMMYFUNCTION("""COMPUTED_VALUE"""),"https://utrucking.com/admin/orders/6446262091964")</f>
        <v>https://utrucking.com/admin/orders/6446262091964</v>
      </c>
      <c r="B111" s="65" t="str">
        <f>IFERROR(__xludf.DUMMYFUNCTION("""COMPUTED_VALUE"""),"#17853")</f>
        <v>#17853</v>
      </c>
      <c r="C111" s="65" t="str">
        <f>IFERROR(__xludf.DUMMYFUNCTION("""COMPUTED_VALUE"""),"e.jubelirer@wustl.edu")</f>
        <v>e.jubelirer@wustl.edu</v>
      </c>
      <c r="D111" s="65">
        <f>IFERROR(__xludf.DUMMYFUNCTION("""COMPUTED_VALUE"""),9.179712001E9)</f>
        <v>9179712001</v>
      </c>
      <c r="E111" s="65" t="str">
        <f>IFERROR(__xludf.DUMMYFUNCTION("""COMPUTED_VALUE"""),"Allison Jubelirer")</f>
        <v>Allison Jubelirer</v>
      </c>
      <c r="F111" s="65" t="str">
        <f>IFERROR(__xludf.DUMMYFUNCTION("""COMPUTED_VALUE"""),"Eli Jubelirer ")</f>
        <v>Eli Jubelirer </v>
      </c>
      <c r="G111" s="65"/>
      <c r="H111" s="65" t="str">
        <f>IFERROR(__xludf.DUMMYFUNCTION("""COMPUTED_VALUE"""),"Appliance Rental Return")</f>
        <v>Appliance Rental Return</v>
      </c>
      <c r="I111" s="65" t="str">
        <f>IFERROR(__xludf.DUMMYFUNCTION("""COMPUTED_VALUE""")," Double-Door Mini Fridge + Microwave   - ")</f>
        <v> Double-Door Mini Fridge + Microwave   - </v>
      </c>
      <c r="J111" s="108" t="str">
        <f>IFERROR(__xludf.DUMMYFUNCTION("""COMPUTED_VALUE"""),"House 3 (Alpha Delta Phi)  ")</f>
        <v>House 3 (Alpha Delta Phi)  </v>
      </c>
      <c r="K111" s="103">
        <f>IFERROR(__xludf.DUMMYFUNCTION("""COMPUTED_VALUE"""),46146.0)</f>
        <v>46146</v>
      </c>
      <c r="L111" s="65" t="str">
        <f>IFERROR(__xludf.DUMMYFUNCTION("""COMPUTED_VALUE"""),"204")</f>
        <v>204</v>
      </c>
      <c r="M111" s="65" t="str">
        <f>IFERROR(__xludf.DUMMYFUNCTION("""COMPUTED_VALUE""")," ")</f>
        <v> </v>
      </c>
    </row>
    <row r="112">
      <c r="A112" s="99" t="str">
        <f>IFERROR(__xludf.DUMMYFUNCTION("""COMPUTED_VALUE"""),"https://utrucking.com/admin/orders/6446266941628")</f>
        <v>https://utrucking.com/admin/orders/6446266941628</v>
      </c>
      <c r="B112" s="61" t="str">
        <f>IFERROR(__xludf.DUMMYFUNCTION("""COMPUTED_VALUE"""),"#17855")</f>
        <v>#17855</v>
      </c>
      <c r="C112" s="61" t="str">
        <f>IFERROR(__xludf.DUMMYFUNCTION("""COMPUTED_VALUE"""),"jenrussellpdx@gmail.com")</f>
        <v>jenrussellpdx@gmail.com</v>
      </c>
      <c r="D112" s="61">
        <f>IFERROR(__xludf.DUMMYFUNCTION("""COMPUTED_VALUE"""),5.033604485E9)</f>
        <v>5033604485</v>
      </c>
      <c r="E112" s="61" t="str">
        <f>IFERROR(__xludf.DUMMYFUNCTION("""COMPUTED_VALUE"""),"Jennifer Russell")</f>
        <v>Jennifer Russell</v>
      </c>
      <c r="F112" s="61" t="str">
        <f>IFERROR(__xludf.DUMMYFUNCTION("""COMPUTED_VALUE"""),"Ava Russell")</f>
        <v>Ava Russell</v>
      </c>
      <c r="G112" s="61"/>
      <c r="H112" s="61" t="str">
        <f>IFERROR(__xludf.DUMMYFUNCTION("""COMPUTED_VALUE"""),"Appliance Rental Return")</f>
        <v>Appliance Rental Return</v>
      </c>
      <c r="I112" s="61" t="str">
        <f>IFERROR(__xludf.DUMMYFUNCTION("""COMPUTED_VALUE""")," Double-Door Mini Fridge + Microwave   - ")</f>
        <v> Double-Door Mini Fridge + Microwave   - </v>
      </c>
      <c r="J112" s="107" t="str">
        <f>IFERROR(__xludf.DUMMYFUNCTION("""COMPUTED_VALUE"""),"House 7")</f>
        <v>House 7</v>
      </c>
      <c r="K112" s="100">
        <f>IFERROR(__xludf.DUMMYFUNCTION("""COMPUTED_VALUE"""),46146.0)</f>
        <v>46146</v>
      </c>
      <c r="L112" s="61" t="str">
        <f>IFERROR(__xludf.DUMMYFUNCTION("""COMPUTED_VALUE"""),"306")</f>
        <v>306</v>
      </c>
      <c r="M112" s="61" t="str">
        <f>IFERROR(__xludf.DUMMYFUNCTION("""COMPUTED_VALUE""")," ")</f>
        <v> </v>
      </c>
    </row>
    <row r="113">
      <c r="A113" s="102" t="str">
        <f>IFERROR(__xludf.DUMMYFUNCTION("""COMPUTED_VALUE"""),"https://utrucking.com/admin/orders/6446270021820")</f>
        <v>https://utrucking.com/admin/orders/6446270021820</v>
      </c>
      <c r="B113" s="65" t="str">
        <f>IFERROR(__xludf.DUMMYFUNCTION("""COMPUTED_VALUE"""),"#17856")</f>
        <v>#17856</v>
      </c>
      <c r="C113" s="65" t="str">
        <f>IFERROR(__xludf.DUMMYFUNCTION("""COMPUTED_VALUE"""),"j.h.rifkin@wustl.edu")</f>
        <v>j.h.rifkin@wustl.edu</v>
      </c>
      <c r="D113" s="65">
        <f>IFERROR(__xludf.DUMMYFUNCTION("""COMPUTED_VALUE"""),3.393689013E9)</f>
        <v>3393689013</v>
      </c>
      <c r="E113" s="65" t="str">
        <f>IFERROR(__xludf.DUMMYFUNCTION("""COMPUTED_VALUE"""),"Joshua Rifkin")</f>
        <v>Joshua Rifkin</v>
      </c>
      <c r="F113" s="65" t="str">
        <f>IFERROR(__xludf.DUMMYFUNCTION("""COMPUTED_VALUE"""),"Joshua Rifkin")</f>
        <v>Joshua Rifkin</v>
      </c>
      <c r="G113" s="65"/>
      <c r="H113" s="65" t="str">
        <f>IFERROR(__xludf.DUMMYFUNCTION("""COMPUTED_VALUE"""),"Appliance Rental Return")</f>
        <v>Appliance Rental Return</v>
      </c>
      <c r="I113" s="65" t="str">
        <f>IFERROR(__xludf.DUMMYFUNCTION("""COMPUTED_VALUE""")," Standard Mini Fridge   - ")</f>
        <v> Standard Mini Fridge   - </v>
      </c>
      <c r="J113" s="108" t="str">
        <f>IFERROR(__xludf.DUMMYFUNCTION("""COMPUTED_VALUE"""),"Dardick  ")</f>
        <v>Dardick  </v>
      </c>
      <c r="K113" s="103">
        <f>IFERROR(__xludf.DUMMYFUNCTION("""COMPUTED_VALUE"""),46146.0)</f>
        <v>46146</v>
      </c>
      <c r="L113" s="65" t="str">
        <f>IFERROR(__xludf.DUMMYFUNCTION("""COMPUTED_VALUE"""),"1105")</f>
        <v>1105</v>
      </c>
      <c r="M113" s="65" t="str">
        <f>IFERROR(__xludf.DUMMYFUNCTION("""COMPUTED_VALUE""")," ")</f>
        <v> </v>
      </c>
    </row>
    <row r="114">
      <c r="A114" s="99" t="str">
        <f>IFERROR(__xludf.DUMMYFUNCTION("""COMPUTED_VALUE"""),"https://utrucking.com/admin/orders/6446270218428")</f>
        <v>https://utrucking.com/admin/orders/6446270218428</v>
      </c>
      <c r="B114" s="61" t="str">
        <f>IFERROR(__xludf.DUMMYFUNCTION("""COMPUTED_VALUE"""),"#17857")</f>
        <v>#17857</v>
      </c>
      <c r="C114" s="61" t="str">
        <f>IFERROR(__xludf.DUMMYFUNCTION("""COMPUTED_VALUE"""),"k.swathi@wustl.edu")</f>
        <v>k.swathi@wustl.edu</v>
      </c>
      <c r="D114" s="61">
        <f>IFERROR(__xludf.DUMMYFUNCTION("""COMPUTED_VALUE"""),5.084146973E9)</f>
        <v>5084146973</v>
      </c>
      <c r="E114" s="61" t="str">
        <f>IFERROR(__xludf.DUMMYFUNCTION("""COMPUTED_VALUE"""),"Kannan Kathiresan")</f>
        <v>Kannan Kathiresan</v>
      </c>
      <c r="F114" s="61" t="str">
        <f>IFERROR(__xludf.DUMMYFUNCTION("""COMPUTED_VALUE"""),"Swathi Kannan")</f>
        <v>Swathi Kannan</v>
      </c>
      <c r="G114" s="61"/>
      <c r="H114" s="61" t="str">
        <f>IFERROR(__xludf.DUMMYFUNCTION("""COMPUTED_VALUE"""),"Appliance Rental Return")</f>
        <v>Appliance Rental Return</v>
      </c>
      <c r="I114" s="61" t="str">
        <f>IFERROR(__xludf.DUMMYFUNCTION("""COMPUTED_VALUE""")," Standard Mini Fridge + Microwave   - ")</f>
        <v> Standard Mini Fridge + Microwave   - </v>
      </c>
      <c r="J114" s="107" t="str">
        <f>IFERROR(__xludf.DUMMYFUNCTION("""COMPUTED_VALUE"""),"Wheeler  ")</f>
        <v>Wheeler  </v>
      </c>
      <c r="K114" s="100">
        <f>IFERROR(__xludf.DUMMYFUNCTION("""COMPUTED_VALUE"""),46149.0)</f>
        <v>46149</v>
      </c>
      <c r="L114" s="61" t="str">
        <f>IFERROR(__xludf.DUMMYFUNCTION("""COMPUTED_VALUE"""),"3023-a")</f>
        <v>3023-a</v>
      </c>
      <c r="M114" s="61" t="str">
        <f>IFERROR(__xludf.DUMMYFUNCTION("""COMPUTED_VALUE""")," ")</f>
        <v> </v>
      </c>
    </row>
    <row r="115">
      <c r="A115" s="102" t="str">
        <f>IFERROR(__xludf.DUMMYFUNCTION("""COMPUTED_VALUE"""),"https://utrucking.com/admin/orders/6446271987900")</f>
        <v>https://utrucking.com/admin/orders/6446271987900</v>
      </c>
      <c r="B115" s="65" t="str">
        <f>IFERROR(__xludf.DUMMYFUNCTION("""COMPUTED_VALUE"""),"#17858")</f>
        <v>#17858</v>
      </c>
      <c r="C115" s="65" t="str">
        <f>IFERROR(__xludf.DUMMYFUNCTION("""COMPUTED_VALUE"""),"jonathan.m.ross2024@gmail.com")</f>
        <v>jonathan.m.ross2024@gmail.com</v>
      </c>
      <c r="D115" s="65">
        <f>IFERROR(__xludf.DUMMYFUNCTION("""COMPUTED_VALUE"""),6.175102879E9)</f>
        <v>6175102879</v>
      </c>
      <c r="E115" s="65" t="str">
        <f>IFERROR(__xludf.DUMMYFUNCTION("""COMPUTED_VALUE"""),"Jonathan Ross")</f>
        <v>Jonathan Ross</v>
      </c>
      <c r="F115" s="65" t="str">
        <f>IFERROR(__xludf.DUMMYFUNCTION("""COMPUTED_VALUE"""),"Jonathan Ross")</f>
        <v>Jonathan Ross</v>
      </c>
      <c r="G115" s="65"/>
      <c r="H115" s="65" t="str">
        <f>IFERROR(__xludf.DUMMYFUNCTION("""COMPUTED_VALUE"""),"Appliance Rental Return")</f>
        <v>Appliance Rental Return</v>
      </c>
      <c r="I115" s="65" t="str">
        <f>IFERROR(__xludf.DUMMYFUNCTION("""COMPUTED_VALUE""")," Double-Door Mini Fridge   - ")</f>
        <v> Double-Door Mini Fridge   - </v>
      </c>
      <c r="J115" s="108" t="str">
        <f>IFERROR(__xludf.DUMMYFUNCTION("""COMPUTED_VALUE"""),"House 4 (Theta Xi)  ")</f>
        <v>House 4 (Theta Xi)  </v>
      </c>
      <c r="K115" s="103">
        <f>IFERROR(__xludf.DUMMYFUNCTION("""COMPUTED_VALUE"""),46146.0)</f>
        <v>46146</v>
      </c>
      <c r="L115" s="65" t="str">
        <f>IFERROR(__xludf.DUMMYFUNCTION("""COMPUTED_VALUE"""),"301")</f>
        <v>301</v>
      </c>
      <c r="M115" s="65" t="str">
        <f>IFERROR(__xludf.DUMMYFUNCTION("""COMPUTED_VALUE""")," ")</f>
        <v> </v>
      </c>
    </row>
    <row r="116">
      <c r="A116" s="99" t="str">
        <f>IFERROR(__xludf.DUMMYFUNCTION("""COMPUTED_VALUE"""),"https://utrucking.com/admin/orders/6446295122108")</f>
        <v>https://utrucking.com/admin/orders/6446295122108</v>
      </c>
      <c r="B116" s="61" t="str">
        <f>IFERROR(__xludf.DUMMYFUNCTION("""COMPUTED_VALUE"""),"#17860")</f>
        <v>#17860</v>
      </c>
      <c r="C116" s="61" t="str">
        <f>IFERROR(__xludf.DUMMYFUNCTION("""COMPUTED_VALUE"""),"darcey.edwards77@icloud.com")</f>
        <v>darcey.edwards77@icloud.com</v>
      </c>
      <c r="D116" s="61">
        <f>IFERROR(__xludf.DUMMYFUNCTION("""COMPUTED_VALUE"""),2.062578054E9)</f>
        <v>2062578054</v>
      </c>
      <c r="E116" s="61" t="str">
        <f>IFERROR(__xludf.DUMMYFUNCTION("""COMPUTED_VALUE"""),"Darcey Edwards")</f>
        <v>Darcey Edwards</v>
      </c>
      <c r="F116" s="61" t="str">
        <f>IFERROR(__xludf.DUMMYFUNCTION("""COMPUTED_VALUE"""),"Darcey Edwards")</f>
        <v>Darcey Edwards</v>
      </c>
      <c r="G116" s="61"/>
      <c r="H116" s="61" t="str">
        <f>IFERROR(__xludf.DUMMYFUNCTION("""COMPUTED_VALUE"""),"Appliance Rental Return")</f>
        <v>Appliance Rental Return</v>
      </c>
      <c r="I116" s="61" t="str">
        <f>IFERROR(__xludf.DUMMYFUNCTION("""COMPUTED_VALUE""")," Double-Door Mini Fridge + Microwave   - ")</f>
        <v> Double-Door Mini Fridge + Microwave   - </v>
      </c>
      <c r="J116" s="107" t="str">
        <f>IFERROR(__xludf.DUMMYFUNCTION("""COMPUTED_VALUE"""),"Dauten  ")</f>
        <v>Dauten  </v>
      </c>
      <c r="K116" s="100">
        <f>IFERROR(__xludf.DUMMYFUNCTION("""COMPUTED_VALUE"""),46146.0)</f>
        <v>46146</v>
      </c>
      <c r="L116" s="61" t="str">
        <f>IFERROR(__xludf.DUMMYFUNCTION("""COMPUTED_VALUE"""),"23")</f>
        <v>23</v>
      </c>
      <c r="M116" s="61" t="str">
        <f>IFERROR(__xludf.DUMMYFUNCTION("""COMPUTED_VALUE""")," ")</f>
        <v> </v>
      </c>
    </row>
    <row r="117">
      <c r="A117" s="102" t="str">
        <f>IFERROR(__xludf.DUMMYFUNCTION("""COMPUTED_VALUE"""),"https://utrucking.com/admin/orders/6446301380796")</f>
        <v>https://utrucking.com/admin/orders/6446301380796</v>
      </c>
      <c r="B117" s="65" t="str">
        <f>IFERROR(__xludf.DUMMYFUNCTION("""COMPUTED_VALUE"""),"#17862")</f>
        <v>#17862</v>
      </c>
      <c r="C117" s="65" t="str">
        <f>IFERROR(__xludf.DUMMYFUNCTION("""COMPUTED_VALUE"""),"tamarlefko@gmail.com")</f>
        <v>tamarlefko@gmail.com</v>
      </c>
      <c r="D117" s="65">
        <f>IFERROR(__xludf.DUMMYFUNCTION("""COMPUTED_VALUE"""),9.149804204E9)</f>
        <v>9149804204</v>
      </c>
      <c r="E117" s="65" t="str">
        <f>IFERROR(__xludf.DUMMYFUNCTION("""COMPUTED_VALUE"""),"Tamar Lefkowitz")</f>
        <v>Tamar Lefkowitz</v>
      </c>
      <c r="F117" s="65" t="str">
        <f>IFERROR(__xludf.DUMMYFUNCTION("""COMPUTED_VALUE"""),"Tamar Lefkowitz")</f>
        <v>Tamar Lefkowitz</v>
      </c>
      <c r="G117" s="65"/>
      <c r="H117" s="65" t="str">
        <f>IFERROR(__xludf.DUMMYFUNCTION("""COMPUTED_VALUE"""),"Appliance Rental Return")</f>
        <v>Appliance Rental Return</v>
      </c>
      <c r="I117" s="65" t="str">
        <f>IFERROR(__xludf.DUMMYFUNCTION("""COMPUTED_VALUE""")," Double-Door Mini Fridge + Microwave   - ")</f>
        <v> Double-Door Mini Fridge + Microwave   - </v>
      </c>
      <c r="J117" s="108" t="str">
        <f>IFERROR(__xludf.DUMMYFUNCTION("""COMPUTED_VALUE"""),"Koenig  ")</f>
        <v>Koenig  </v>
      </c>
      <c r="K117" s="103">
        <f>IFERROR(__xludf.DUMMYFUNCTION("""COMPUTED_VALUE"""),46147.0)</f>
        <v>46147</v>
      </c>
      <c r="L117" s="65" t="str">
        <f>IFERROR(__xludf.DUMMYFUNCTION("""COMPUTED_VALUE"""),"2207")</f>
        <v>2207</v>
      </c>
      <c r="M117" s="65" t="str">
        <f>IFERROR(__xludf.DUMMYFUNCTION("""COMPUTED_VALUE""")," ")</f>
        <v> </v>
      </c>
    </row>
    <row r="118">
      <c r="A118" s="99" t="str">
        <f>IFERROR(__xludf.DUMMYFUNCTION("""COMPUTED_VALUE"""),"https://utrucking.com/admin/orders/6446308851900")</f>
        <v>https://utrucking.com/admin/orders/6446308851900</v>
      </c>
      <c r="B118" s="61" t="str">
        <f>IFERROR(__xludf.DUMMYFUNCTION("""COMPUTED_VALUE"""),"#17863")</f>
        <v>#17863</v>
      </c>
      <c r="C118" s="61" t="str">
        <f>IFERROR(__xludf.DUMMYFUNCTION("""COMPUTED_VALUE"""),"alex.j.lee@wustl.edu")</f>
        <v>alex.j.lee@wustl.edu</v>
      </c>
      <c r="D118" s="61">
        <f>IFERROR(__xludf.DUMMYFUNCTION("""COMPUTED_VALUE"""),7.144828812E9)</f>
        <v>7144828812</v>
      </c>
      <c r="E118" s="61" t="str">
        <f>IFERROR(__xludf.DUMMYFUNCTION("""COMPUTED_VALUE"""),"Alexander Lee")</f>
        <v>Alexander Lee</v>
      </c>
      <c r="F118" s="61" t="str">
        <f>IFERROR(__xludf.DUMMYFUNCTION("""COMPUTED_VALUE"""),"Alexander Lee")</f>
        <v>Alexander Lee</v>
      </c>
      <c r="G118" s="61"/>
      <c r="H118" s="61" t="str">
        <f>IFERROR(__xludf.DUMMYFUNCTION("""COMPUTED_VALUE"""),"Appliance Rental Return")</f>
        <v>Appliance Rental Return</v>
      </c>
      <c r="I118" s="61" t="str">
        <f>IFERROR(__xludf.DUMMYFUNCTION("""COMPUTED_VALUE""")," Standard Mini Fridge + Microwave   - ")</f>
        <v> Standard Mini Fridge + Microwave   - </v>
      </c>
      <c r="J118" s="107" t="str">
        <f>IFERROR(__xludf.DUMMYFUNCTION("""COMPUTED_VALUE"""),"Zetcher  ")</f>
        <v>Zetcher  </v>
      </c>
      <c r="K118" s="100">
        <f>IFERROR(__xludf.DUMMYFUNCTION("""COMPUTED_VALUE"""),46149.0)</f>
        <v>46149</v>
      </c>
      <c r="L118" s="61" t="str">
        <f>IFERROR(__xludf.DUMMYFUNCTION("""COMPUTED_VALUE"""),"3062")</f>
        <v>3062</v>
      </c>
      <c r="M118" s="61" t="str">
        <f>IFERROR(__xludf.DUMMYFUNCTION("""COMPUTED_VALUE""")," ")</f>
        <v> </v>
      </c>
    </row>
    <row r="119">
      <c r="A119" s="102" t="str">
        <f>IFERROR(__xludf.DUMMYFUNCTION("""COMPUTED_VALUE"""),"https://utrucking.com/admin/orders/6446309408956")</f>
        <v>https://utrucking.com/admin/orders/6446309408956</v>
      </c>
      <c r="B119" s="65" t="str">
        <f>IFERROR(__xludf.DUMMYFUNCTION("""COMPUTED_VALUE"""),"#17864")</f>
        <v>#17864</v>
      </c>
      <c r="C119" s="65" t="str">
        <f>IFERROR(__xludf.DUMMYFUNCTION("""COMPUTED_VALUE"""),"b.a.villa@wustl.edu")</f>
        <v>b.a.villa@wustl.edu</v>
      </c>
      <c r="D119" s="65" t="str">
        <f>IFERROR(__xludf.DUMMYFUNCTION("""COMPUTED_VALUE"""),"(561) 843-4709")</f>
        <v>(561) 843-4709</v>
      </c>
      <c r="E119" s="65" t="str">
        <f>IFERROR(__xludf.DUMMYFUNCTION("""COMPUTED_VALUE"""),"Ana Villa")</f>
        <v>Ana Villa</v>
      </c>
      <c r="F119" s="65" t="str">
        <f>IFERROR(__xludf.DUMMYFUNCTION("""COMPUTED_VALUE"""),"Isabella Villa")</f>
        <v>Isabella Villa</v>
      </c>
      <c r="G119" s="65"/>
      <c r="H119" s="65" t="str">
        <f>IFERROR(__xludf.DUMMYFUNCTION("""COMPUTED_VALUE"""),"Appliance Rental Return")</f>
        <v>Appliance Rental Return</v>
      </c>
      <c r="I119" s="65" t="str">
        <f>IFERROR(__xludf.DUMMYFUNCTION("""COMPUTED_VALUE""")," Double-Door Mini Fridge   - ")</f>
        <v> Double-Door Mini Fridge   - </v>
      </c>
      <c r="J119" s="108" t="str">
        <f>IFERROR(__xludf.DUMMYFUNCTION("""COMPUTED_VALUE"""),"Village House  ")</f>
        <v>Village House  </v>
      </c>
      <c r="K119" s="103">
        <f>IFERROR(__xludf.DUMMYFUNCTION("""COMPUTED_VALUE"""),46146.0)</f>
        <v>46146</v>
      </c>
      <c r="L119" s="65" t="str">
        <f>IFERROR(__xludf.DUMMYFUNCTION("""COMPUTED_VALUE"""),"2103")</f>
        <v>2103</v>
      </c>
      <c r="M119" s="65" t="str">
        <f>IFERROR(__xludf.DUMMYFUNCTION("""COMPUTED_VALUE""")," ")</f>
        <v> </v>
      </c>
    </row>
    <row r="120">
      <c r="A120" s="99" t="str">
        <f>IFERROR(__xludf.DUMMYFUNCTION("""COMPUTED_VALUE"""),"https://utrucking.com/admin/orders/6446328283324")</f>
        <v>https://utrucking.com/admin/orders/6446328283324</v>
      </c>
      <c r="B120" s="61" t="str">
        <f>IFERROR(__xludf.DUMMYFUNCTION("""COMPUTED_VALUE"""),"#17867")</f>
        <v>#17867</v>
      </c>
      <c r="C120" s="61" t="str">
        <f>IFERROR(__xludf.DUMMYFUNCTION("""COMPUTED_VALUE"""),"d.tea@wustl.edu")</f>
        <v>d.tea@wustl.edu</v>
      </c>
      <c r="D120" s="61">
        <f>IFERROR(__xludf.DUMMYFUNCTION("""COMPUTED_VALUE"""),7.866672127E9)</f>
        <v>7866672127</v>
      </c>
      <c r="E120" s="61" t="str">
        <f>IFERROR(__xludf.DUMMYFUNCTION("""COMPUTED_VALUE"""),"Tea Delic")</f>
        <v>Tea Delic</v>
      </c>
      <c r="F120" s="61" t="str">
        <f>IFERROR(__xludf.DUMMYFUNCTION("""COMPUTED_VALUE"""),"Tea Delic")</f>
        <v>Tea Delic</v>
      </c>
      <c r="G120" s="61"/>
      <c r="H120" s="61" t="str">
        <f>IFERROR(__xludf.DUMMYFUNCTION("""COMPUTED_VALUE"""),"Appliance Rental Return")</f>
        <v>Appliance Rental Return</v>
      </c>
      <c r="I120" s="61" t="str">
        <f>IFERROR(__xludf.DUMMYFUNCTION("""COMPUTED_VALUE""")," Standard Mini Fridge   - ")</f>
        <v> Standard Mini Fridge   - </v>
      </c>
      <c r="J120" s="107" t="str">
        <f>IFERROR(__xludf.DUMMYFUNCTION("""COMPUTED_VALUE"""),"Shepley  ")</f>
        <v>Shepley  </v>
      </c>
      <c r="K120" s="100">
        <f>IFERROR(__xludf.DUMMYFUNCTION("""COMPUTED_VALUE"""),46149.0)</f>
        <v>46149</v>
      </c>
      <c r="L120" s="61" t="str">
        <f>IFERROR(__xludf.DUMMYFUNCTION("""COMPUTED_VALUE"""),"3001")</f>
        <v>3001</v>
      </c>
      <c r="M120" s="61" t="str">
        <f>IFERROR(__xludf.DUMMYFUNCTION("""COMPUTED_VALUE""")," ")</f>
        <v> </v>
      </c>
    </row>
    <row r="121">
      <c r="A121" s="102" t="str">
        <f>IFERROR(__xludf.DUMMYFUNCTION("""COMPUTED_VALUE"""),"https://utrucking.com/admin/orders/6446337458364")</f>
        <v>https://utrucking.com/admin/orders/6446337458364</v>
      </c>
      <c r="B121" s="65" t="str">
        <f>IFERROR(__xludf.DUMMYFUNCTION("""COMPUTED_VALUE"""),"#17868")</f>
        <v>#17868</v>
      </c>
      <c r="C121" s="65" t="str">
        <f>IFERROR(__xludf.DUMMYFUNCTION("""COMPUTED_VALUE"""),"carrington.s@wustl.edu")</f>
        <v>carrington.s@wustl.edu</v>
      </c>
      <c r="D121" s="65">
        <f>IFERROR(__xludf.DUMMYFUNCTION("""COMPUTED_VALUE"""),7.207532564E9)</f>
        <v>7207532564</v>
      </c>
      <c r="E121" s="65" t="str">
        <f>IFERROR(__xludf.DUMMYFUNCTION("""COMPUTED_VALUE"""),"Sally Carrington")</f>
        <v>Sally Carrington</v>
      </c>
      <c r="F121" s="65" t="str">
        <f>IFERROR(__xludf.DUMMYFUNCTION("""COMPUTED_VALUE"""),"Sally Carrington")</f>
        <v>Sally Carrington</v>
      </c>
      <c r="G121" s="65"/>
      <c r="H121" s="65" t="str">
        <f>IFERROR(__xludf.DUMMYFUNCTION("""COMPUTED_VALUE"""),"Appliance Rental Return")</f>
        <v>Appliance Rental Return</v>
      </c>
      <c r="I121" s="65" t="str">
        <f>IFERROR(__xludf.DUMMYFUNCTION("""COMPUTED_VALUE""")," Double-Door Mini Fridge   - ")</f>
        <v> Double-Door Mini Fridge   - </v>
      </c>
      <c r="J121" s="108" t="str">
        <f>IFERROR(__xludf.DUMMYFUNCTION("""COMPUTED_VALUE"""),"Nemerov  ")</f>
        <v>Nemerov  </v>
      </c>
      <c r="K121" s="103">
        <f>IFERROR(__xludf.DUMMYFUNCTION("""COMPUTED_VALUE"""),46153.0)</f>
        <v>46153</v>
      </c>
      <c r="L121" s="65" t="str">
        <f>IFERROR(__xludf.DUMMYFUNCTION("""COMPUTED_VALUE"""),"4060")</f>
        <v>4060</v>
      </c>
      <c r="M121" s="65" t="str">
        <f>IFERROR(__xludf.DUMMYFUNCTION("""COMPUTED_VALUE""")," ")</f>
        <v> </v>
      </c>
    </row>
    <row r="122">
      <c r="A122" s="99" t="str">
        <f>IFERROR(__xludf.DUMMYFUNCTION("""COMPUTED_VALUE"""),"https://utrucking.com/admin/orders/6446347026620")</f>
        <v>https://utrucking.com/admin/orders/6446347026620</v>
      </c>
      <c r="B122" s="61" t="str">
        <f>IFERROR(__xludf.DUMMYFUNCTION("""COMPUTED_VALUE"""),"#17869")</f>
        <v>#17869</v>
      </c>
      <c r="C122" s="61" t="str">
        <f>IFERROR(__xludf.DUMMYFUNCTION("""COMPUTED_VALUE"""),"a.c.nadritch@wustl.edu")</f>
        <v>a.c.nadritch@wustl.edu</v>
      </c>
      <c r="D122" s="61">
        <f>IFERROR(__xludf.DUMMYFUNCTION("""COMPUTED_VALUE"""),2.01693619E9)</f>
        <v>2016936190</v>
      </c>
      <c r="E122" s="61" t="str">
        <f>IFERROR(__xludf.DUMMYFUNCTION("""COMPUTED_VALUE"""),"Alexandra Nadritch")</f>
        <v>Alexandra Nadritch</v>
      </c>
      <c r="F122" s="61" t="str">
        <f>IFERROR(__xludf.DUMMYFUNCTION("""COMPUTED_VALUE"""),"Alexandra Nadritch")</f>
        <v>Alexandra Nadritch</v>
      </c>
      <c r="G122" s="61"/>
      <c r="H122" s="61" t="str">
        <f>IFERROR(__xludf.DUMMYFUNCTION("""COMPUTED_VALUE"""),"Appliance Rental Return")</f>
        <v>Appliance Rental Return</v>
      </c>
      <c r="I122" s="61" t="str">
        <f>IFERROR(__xludf.DUMMYFUNCTION("""COMPUTED_VALUE""")," Double-Door Mini Fridge + Microwave   - ")</f>
        <v> Double-Door Mini Fridge + Microwave   - </v>
      </c>
      <c r="J122" s="107" t="str">
        <f>IFERROR(__xludf.DUMMYFUNCTION("""COMPUTED_VALUE"""),"Liggett  ")</f>
        <v>Liggett  </v>
      </c>
      <c r="K122" s="100">
        <f>IFERROR(__xludf.DUMMYFUNCTION("""COMPUTED_VALUE"""),46143.0)</f>
        <v>46143</v>
      </c>
      <c r="L122" s="61" t="str">
        <f>IFERROR(__xludf.DUMMYFUNCTION("""COMPUTED_VALUE"""),"2331 ")</f>
        <v>2331 </v>
      </c>
      <c r="M122" s="61" t="str">
        <f>IFERROR(__xludf.DUMMYFUNCTION("""COMPUTED_VALUE""")," ")</f>
        <v> </v>
      </c>
    </row>
    <row r="123">
      <c r="A123" s="102" t="str">
        <f>IFERROR(__xludf.DUMMYFUNCTION("""COMPUTED_VALUE"""),"https://utrucking.com/admin/orders/6446359740604")</f>
        <v>https://utrucking.com/admin/orders/6446359740604</v>
      </c>
      <c r="B123" s="65" t="str">
        <f>IFERROR(__xludf.DUMMYFUNCTION("""COMPUTED_VALUE"""),"#17871")</f>
        <v>#17871</v>
      </c>
      <c r="C123" s="65" t="str">
        <f>IFERROR(__xludf.DUMMYFUNCTION("""COMPUTED_VALUE"""),"michelleherzlinger@gmail.com")</f>
        <v>michelleherzlinger@gmail.com</v>
      </c>
      <c r="D123" s="65">
        <f>IFERROR(__xludf.DUMMYFUNCTION("""COMPUTED_VALUE"""),9.179308115E9)</f>
        <v>9179308115</v>
      </c>
      <c r="E123" s="65" t="str">
        <f>IFERROR(__xludf.DUMMYFUNCTION("""COMPUTED_VALUE"""),"Michelle HERZLINGER")</f>
        <v>Michelle HERZLINGER</v>
      </c>
      <c r="F123" s="65" t="str">
        <f>IFERROR(__xludf.DUMMYFUNCTION("""COMPUTED_VALUE"""),"Gabriel Isaac Herzlinger")</f>
        <v>Gabriel Isaac Herzlinger</v>
      </c>
      <c r="G123" s="65"/>
      <c r="H123" s="65" t="str">
        <f>IFERROR(__xludf.DUMMYFUNCTION("""COMPUTED_VALUE"""),"Appliance Rental Return")</f>
        <v>Appliance Rental Return</v>
      </c>
      <c r="I123" s="65" t="str">
        <f>IFERROR(__xludf.DUMMYFUNCTION("""COMPUTED_VALUE""")," Double-Door Mini Fridge   - ")</f>
        <v> Double-Door Mini Fridge   - </v>
      </c>
      <c r="J123" s="108" t="str">
        <f>IFERROR(__xludf.DUMMYFUNCTION("""COMPUTED_VALUE"""),"Wheeler  ")</f>
        <v>Wheeler  </v>
      </c>
      <c r="K123" s="103">
        <f>IFERROR(__xludf.DUMMYFUNCTION("""COMPUTED_VALUE"""),46149.0)</f>
        <v>46149</v>
      </c>
      <c r="L123" s="65" t="str">
        <f>IFERROR(__xludf.DUMMYFUNCTION("""COMPUTED_VALUE"""),"1051")</f>
        <v>1051</v>
      </c>
      <c r="M123" s="65" t="str">
        <f>IFERROR(__xludf.DUMMYFUNCTION("""COMPUTED_VALUE""")," ")</f>
        <v> </v>
      </c>
    </row>
    <row r="124">
      <c r="A124" s="99" t="str">
        <f>IFERROR(__xludf.DUMMYFUNCTION("""COMPUTED_VALUE"""),"https://utrucking.com/admin/orders/6446365016252")</f>
        <v>https://utrucking.com/admin/orders/6446365016252</v>
      </c>
      <c r="B124" s="61" t="str">
        <f>IFERROR(__xludf.DUMMYFUNCTION("""COMPUTED_VALUE"""),"#17875")</f>
        <v>#17875</v>
      </c>
      <c r="C124" s="61" t="str">
        <f>IFERROR(__xludf.DUMMYFUNCTION("""COMPUTED_VALUE"""),"l.soeun@wustl.edu")</f>
        <v>l.soeun@wustl.edu</v>
      </c>
      <c r="D124" s="61">
        <f>IFERROR(__xludf.DUMMYFUNCTION("""COMPUTED_VALUE"""),7.706167204E9)</f>
        <v>7706167204</v>
      </c>
      <c r="E124" s="61" t="str">
        <f>IFERROR(__xludf.DUMMYFUNCTION("""COMPUTED_VALUE"""),"Soeun Lee")</f>
        <v>Soeun Lee</v>
      </c>
      <c r="F124" s="61" t="str">
        <f>IFERROR(__xludf.DUMMYFUNCTION("""COMPUTED_VALUE"""),"Soeun Lee")</f>
        <v>Soeun Lee</v>
      </c>
      <c r="G124" s="61"/>
      <c r="H124" s="61" t="str">
        <f>IFERROR(__xludf.DUMMYFUNCTION("""COMPUTED_VALUE"""),"Appliance Rental Return")</f>
        <v>Appliance Rental Return</v>
      </c>
      <c r="I124" s="61" t="str">
        <f>IFERROR(__xludf.DUMMYFUNCTION("""COMPUTED_VALUE""")," Double-Door Mini Fridge   - ")</f>
        <v> Double-Door Mini Fridge   - </v>
      </c>
      <c r="J124" s="107" t="str">
        <f>IFERROR(__xludf.DUMMYFUNCTION("""COMPUTED_VALUE"""),"Zetcher  ")</f>
        <v>Zetcher  </v>
      </c>
      <c r="K124" s="100">
        <f>IFERROR(__xludf.DUMMYFUNCTION("""COMPUTED_VALUE"""),46151.0)</f>
        <v>46151</v>
      </c>
      <c r="L124" s="61" t="str">
        <f>IFERROR(__xludf.DUMMYFUNCTION("""COMPUTED_VALUE"""),"2041")</f>
        <v>2041</v>
      </c>
      <c r="M124" s="61" t="str">
        <f>IFERROR(__xludf.DUMMYFUNCTION("""COMPUTED_VALUE""")," ")</f>
        <v> </v>
      </c>
    </row>
    <row r="125">
      <c r="A125" s="102" t="str">
        <f>IFERROR(__xludf.DUMMYFUNCTION("""COMPUTED_VALUE"""),"https://utrucking.com/admin/orders/6446368653500")</f>
        <v>https://utrucking.com/admin/orders/6446368653500</v>
      </c>
      <c r="B125" s="65" t="str">
        <f>IFERROR(__xludf.DUMMYFUNCTION("""COMPUTED_VALUE"""),"#17876")</f>
        <v>#17876</v>
      </c>
      <c r="C125" s="65" t="str">
        <f>IFERROR(__xludf.DUMMYFUNCTION("""COMPUTED_VALUE"""),"julietquisenberry@icloud.com")</f>
        <v>julietquisenberry@icloud.com</v>
      </c>
      <c r="D125" s="65">
        <f>IFERROR(__xludf.DUMMYFUNCTION("""COMPUTED_VALUE"""),5.128156391E9)</f>
        <v>5128156391</v>
      </c>
      <c r="E125" s="65" t="str">
        <f>IFERROR(__xludf.DUMMYFUNCTION("""COMPUTED_VALUE"""),"Juliet Quisenberry")</f>
        <v>Juliet Quisenberry</v>
      </c>
      <c r="F125" s="65" t="str">
        <f>IFERROR(__xludf.DUMMYFUNCTION("""COMPUTED_VALUE"""),"Juliet Quisenberry")</f>
        <v>Juliet Quisenberry</v>
      </c>
      <c r="G125" s="65"/>
      <c r="H125" s="65" t="str">
        <f>IFERROR(__xludf.DUMMYFUNCTION("""COMPUTED_VALUE"""),"Appliance Rental Return")</f>
        <v>Appliance Rental Return</v>
      </c>
      <c r="I125" s="65" t="str">
        <f>IFERROR(__xludf.DUMMYFUNCTION("""COMPUTED_VALUE""")," Double-Door Mini Fridge + Microwave   - ")</f>
        <v> Double-Door Mini Fridge + Microwave   - </v>
      </c>
      <c r="J125" s="108" t="str">
        <f>IFERROR(__xludf.DUMMYFUNCTION("""COMPUTED_VALUE"""),"Eliot B (Sophomore Dorm)")</f>
        <v>Eliot B (Sophomore Dorm)</v>
      </c>
      <c r="K125" s="103">
        <f>IFERROR(__xludf.DUMMYFUNCTION("""COMPUTED_VALUE"""),46143.0)</f>
        <v>46143</v>
      </c>
      <c r="L125" s="65" t="str">
        <f>IFERROR(__xludf.DUMMYFUNCTION("""COMPUTED_VALUE"""),"3060")</f>
        <v>3060</v>
      </c>
      <c r="M125" s="65" t="str">
        <f>IFERROR(__xludf.DUMMYFUNCTION("""COMPUTED_VALUE""")," ")</f>
        <v> </v>
      </c>
    </row>
    <row r="126">
      <c r="A126" s="99" t="str">
        <f>IFERROR(__xludf.DUMMYFUNCTION("""COMPUTED_VALUE"""),"https://utrucking.com/admin/orders/6446387724476")</f>
        <v>https://utrucking.com/admin/orders/6446387724476</v>
      </c>
      <c r="B126" s="61" t="str">
        <f>IFERROR(__xludf.DUMMYFUNCTION("""COMPUTED_VALUE"""),"#17877")</f>
        <v>#17877</v>
      </c>
      <c r="C126" s="61" t="str">
        <f>IFERROR(__xludf.DUMMYFUNCTION("""COMPUTED_VALUE"""),"justin.k@wustl.edu")</f>
        <v>justin.k@wustl.edu</v>
      </c>
      <c r="D126" s="61">
        <f>IFERROR(__xludf.DUMMYFUNCTION("""COMPUTED_VALUE"""),3.147285258E9)</f>
        <v>3147285258</v>
      </c>
      <c r="E126" s="61" t="str">
        <f>IFERROR(__xludf.DUMMYFUNCTION("""COMPUTED_VALUE"""),"Justin Kim")</f>
        <v>Justin Kim</v>
      </c>
      <c r="F126" s="61" t="str">
        <f>IFERROR(__xludf.DUMMYFUNCTION("""COMPUTED_VALUE"""),"Justin Kim")</f>
        <v>Justin Kim</v>
      </c>
      <c r="G126" s="61"/>
      <c r="H126" s="61" t="str">
        <f>IFERROR(__xludf.DUMMYFUNCTION("""COMPUTED_VALUE"""),"Appliance Rental Return")</f>
        <v>Appliance Rental Return</v>
      </c>
      <c r="I126" s="61" t="str">
        <f>IFERROR(__xludf.DUMMYFUNCTION("""COMPUTED_VALUE""")," Double-Door Mini Fridge + Microwave   - ")</f>
        <v> Double-Door Mini Fridge + Microwave   - </v>
      </c>
      <c r="J126" s="107" t="str">
        <f>IFERROR(__xludf.DUMMYFUNCTION("""COMPUTED_VALUE"""),"Village House  ")</f>
        <v>Village House  </v>
      </c>
      <c r="K126" s="100">
        <f>IFERROR(__xludf.DUMMYFUNCTION("""COMPUTED_VALUE"""),46149.0)</f>
        <v>46149</v>
      </c>
      <c r="L126" s="61" t="str">
        <f>IFERROR(__xludf.DUMMYFUNCTION("""COMPUTED_VALUE"""),"3120")</f>
        <v>3120</v>
      </c>
      <c r="M126" s="61" t="str">
        <f>IFERROR(__xludf.DUMMYFUNCTION("""COMPUTED_VALUE""")," ")</f>
        <v> </v>
      </c>
    </row>
    <row r="127">
      <c r="A127" s="102" t="str">
        <f>IFERROR(__xludf.DUMMYFUNCTION("""COMPUTED_VALUE"""),"https://utrucking.com/admin/orders/6446397620412")</f>
        <v>https://utrucking.com/admin/orders/6446397620412</v>
      </c>
      <c r="B127" s="65" t="str">
        <f>IFERROR(__xludf.DUMMYFUNCTION("""COMPUTED_VALUE"""),"#17878")</f>
        <v>#17878</v>
      </c>
      <c r="C127" s="65" t="str">
        <f>IFERROR(__xludf.DUMMYFUNCTION("""COMPUTED_VALUE"""),"harpercohen2007@gmail.com")</f>
        <v>harpercohen2007@gmail.com</v>
      </c>
      <c r="D127" s="65">
        <f>IFERROR(__xludf.DUMMYFUNCTION("""COMPUTED_VALUE"""),6.077937487E9)</f>
        <v>6077937487</v>
      </c>
      <c r="E127" s="65" t="str">
        <f>IFERROR(__xludf.DUMMYFUNCTION("""COMPUTED_VALUE"""),"Harper Cohen")</f>
        <v>Harper Cohen</v>
      </c>
      <c r="F127" s="65" t="str">
        <f>IFERROR(__xludf.DUMMYFUNCTION("""COMPUTED_VALUE"""),"Harper Cohen")</f>
        <v>Harper Cohen</v>
      </c>
      <c r="G127" s="65"/>
      <c r="H127" s="65" t="str">
        <f>IFERROR(__xludf.DUMMYFUNCTION("""COMPUTED_VALUE"""),"Appliance Rental Return")</f>
        <v>Appliance Rental Return</v>
      </c>
      <c r="I127" s="65" t="str">
        <f>IFERROR(__xludf.DUMMYFUNCTION("""COMPUTED_VALUE""")," Double-Door Mini Fridge + Microwave   - ")</f>
        <v> Double-Door Mini Fridge + Microwave   - </v>
      </c>
      <c r="J127" s="108" t="str">
        <f>IFERROR(__xludf.DUMMYFUNCTION("""COMPUTED_VALUE"""),"Lien  ")</f>
        <v>Lien  </v>
      </c>
      <c r="K127" s="103">
        <f>IFERROR(__xludf.DUMMYFUNCTION("""COMPUTED_VALUE"""),46148.0)</f>
        <v>46148</v>
      </c>
      <c r="L127" s="65" t="str">
        <f>IFERROR(__xludf.DUMMYFUNCTION("""COMPUTED_VALUE"""),"2224")</f>
        <v>2224</v>
      </c>
      <c r="M127" s="65" t="str">
        <f>IFERROR(__xludf.DUMMYFUNCTION("""COMPUTED_VALUE""")," ")</f>
        <v> </v>
      </c>
    </row>
    <row r="128">
      <c r="A128" s="99" t="str">
        <f>IFERROR(__xludf.DUMMYFUNCTION("""COMPUTED_VALUE"""),"https://utrucking.com/admin/orders/6446432125116")</f>
        <v>https://utrucking.com/admin/orders/6446432125116</v>
      </c>
      <c r="B128" s="61" t="str">
        <f>IFERROR(__xludf.DUMMYFUNCTION("""COMPUTED_VALUE"""),"#17879")</f>
        <v>#17879</v>
      </c>
      <c r="C128" s="61" t="str">
        <f>IFERROR(__xludf.DUMMYFUNCTION("""COMPUTED_VALUE"""),"a.l.spencer@wustl.edu")</f>
        <v>a.l.spencer@wustl.edu</v>
      </c>
      <c r="D128" s="61">
        <f>IFERROR(__xludf.DUMMYFUNCTION("""COMPUTED_VALUE"""),3.144050174E9)</f>
        <v>3144050174</v>
      </c>
      <c r="E128" s="61" t="str">
        <f>IFERROR(__xludf.DUMMYFUNCTION("""COMPUTED_VALUE"""),"Amelia Spencer")</f>
        <v>Amelia Spencer</v>
      </c>
      <c r="F128" s="61" t="str">
        <f>IFERROR(__xludf.DUMMYFUNCTION("""COMPUTED_VALUE"""),"Amelia Spencer")</f>
        <v>Amelia Spencer</v>
      </c>
      <c r="G128" s="61"/>
      <c r="H128" s="61" t="str">
        <f>IFERROR(__xludf.DUMMYFUNCTION("""COMPUTED_VALUE"""),"Appliance Rental Return")</f>
        <v>Appliance Rental Return</v>
      </c>
      <c r="I128" s="61" t="str">
        <f>IFERROR(__xludf.DUMMYFUNCTION("""COMPUTED_VALUE""")," Standard Mini Fridge   - ")</f>
        <v> Standard Mini Fridge   - </v>
      </c>
      <c r="J128" s="107" t="str">
        <f>IFERROR(__xludf.DUMMYFUNCTION("""COMPUTED_VALUE"""),"Eliot B (Sophomore Dorm)")</f>
        <v>Eliot B (Sophomore Dorm)</v>
      </c>
      <c r="K128" s="100">
        <f>IFERROR(__xludf.DUMMYFUNCTION("""COMPUTED_VALUE"""),46151.0)</f>
        <v>46151</v>
      </c>
      <c r="L128" s="61" t="str">
        <f>IFERROR(__xludf.DUMMYFUNCTION("""COMPUTED_VALUE"""),"4103")</f>
        <v>4103</v>
      </c>
      <c r="M128" s="61" t="str">
        <f>IFERROR(__xludf.DUMMYFUNCTION("""COMPUTED_VALUE""")," ")</f>
        <v> </v>
      </c>
    </row>
    <row r="129">
      <c r="A129" s="102" t="str">
        <f>IFERROR(__xludf.DUMMYFUNCTION("""COMPUTED_VALUE"""),"https://utrucking.com/admin/orders/6446432583868")</f>
        <v>https://utrucking.com/admin/orders/6446432583868</v>
      </c>
      <c r="B129" s="65" t="str">
        <f>IFERROR(__xludf.DUMMYFUNCTION("""COMPUTED_VALUE"""),"#17880")</f>
        <v>#17880</v>
      </c>
      <c r="C129" s="65" t="str">
        <f>IFERROR(__xludf.DUMMYFUNCTION("""COMPUTED_VALUE"""),"a.basler@wustl.edu")</f>
        <v>a.basler@wustl.edu</v>
      </c>
      <c r="D129" s="65">
        <f>IFERROR(__xludf.DUMMYFUNCTION("""COMPUTED_VALUE"""),9.173921714E9)</f>
        <v>9173921714</v>
      </c>
      <c r="E129" s="65" t="str">
        <f>IFERROR(__xludf.DUMMYFUNCTION("""COMPUTED_VALUE"""),"Anisa Basler")</f>
        <v>Anisa Basler</v>
      </c>
      <c r="F129" s="65" t="str">
        <f>IFERROR(__xludf.DUMMYFUNCTION("""COMPUTED_VALUE"""),"Anisa Basler")</f>
        <v>Anisa Basler</v>
      </c>
      <c r="G129" s="65"/>
      <c r="H129" s="65" t="str">
        <f>IFERROR(__xludf.DUMMYFUNCTION("""COMPUTED_VALUE"""),"Appliance Rental Return")</f>
        <v>Appliance Rental Return</v>
      </c>
      <c r="I129" s="65" t="str">
        <f>IFERROR(__xludf.DUMMYFUNCTION("""COMPUTED_VALUE""")," Standard Mini Fridge   - ")</f>
        <v> Standard Mini Fridge   - </v>
      </c>
      <c r="J129" s="108" t="str">
        <f>IFERROR(__xludf.DUMMYFUNCTION("""COMPUTED_VALUE"""),"Nemerov  ")</f>
        <v>Nemerov  </v>
      </c>
      <c r="K129" s="103">
        <f>IFERROR(__xludf.DUMMYFUNCTION("""COMPUTED_VALUE"""),46144.0)</f>
        <v>46144</v>
      </c>
      <c r="L129" s="65" t="str">
        <f>IFERROR(__xludf.DUMMYFUNCTION("""COMPUTED_VALUE"""),"2040")</f>
        <v>2040</v>
      </c>
      <c r="M129" s="65" t="str">
        <f>IFERROR(__xludf.DUMMYFUNCTION("""COMPUTED_VALUE""")," ")</f>
        <v> </v>
      </c>
    </row>
    <row r="130">
      <c r="A130" s="99" t="str">
        <f>IFERROR(__xludf.DUMMYFUNCTION("""COMPUTED_VALUE"""),"https://utrucking.com/admin/orders/6446433435836")</f>
        <v>https://utrucking.com/admin/orders/6446433435836</v>
      </c>
      <c r="B130" s="61" t="str">
        <f>IFERROR(__xludf.DUMMYFUNCTION("""COMPUTED_VALUE"""),"#17881")</f>
        <v>#17881</v>
      </c>
      <c r="C130" s="61" t="str">
        <f>IFERROR(__xludf.DUMMYFUNCTION("""COMPUTED_VALUE"""),"mdshandler@gmail.com")</f>
        <v>mdshandler@gmail.com</v>
      </c>
      <c r="D130" s="61">
        <f>IFERROR(__xludf.DUMMYFUNCTION("""COMPUTED_VALUE"""),1.646734868E10)</f>
        <v>16467348680</v>
      </c>
      <c r="E130" s="61" t="str">
        <f>IFERROR(__xludf.DUMMYFUNCTION("""COMPUTED_VALUE"""),"Leah Shandler")</f>
        <v>Leah Shandler</v>
      </c>
      <c r="F130" s="61" t="str">
        <f>IFERROR(__xludf.DUMMYFUNCTION("""COMPUTED_VALUE"""),"Marin Shandler")</f>
        <v>Marin Shandler</v>
      </c>
      <c r="G130" s="61"/>
      <c r="H130" s="61" t="str">
        <f>IFERROR(__xludf.DUMMYFUNCTION("""COMPUTED_VALUE"""),"Appliance Rental Return")</f>
        <v>Appliance Rental Return</v>
      </c>
      <c r="I130" s="61" t="str">
        <f>IFERROR(__xludf.DUMMYFUNCTION("""COMPUTED_VALUE""")," Double-Door Mini Fridge   - ")</f>
        <v> Double-Door Mini Fridge   - </v>
      </c>
      <c r="J130" s="107" t="str">
        <f>IFERROR(__xludf.DUMMYFUNCTION("""COMPUTED_VALUE"""),"Hitzeman  ")</f>
        <v>Hitzeman  </v>
      </c>
      <c r="K130" s="100">
        <f>IFERROR(__xludf.DUMMYFUNCTION("""COMPUTED_VALUE"""),46147.0)</f>
        <v>46147</v>
      </c>
      <c r="L130" s="61" t="str">
        <f>IFERROR(__xludf.DUMMYFUNCTION("""COMPUTED_VALUE"""),"232")</f>
        <v>232</v>
      </c>
      <c r="M130" s="61" t="str">
        <f>IFERROR(__xludf.DUMMYFUNCTION("""COMPUTED_VALUE""")," ")</f>
        <v> </v>
      </c>
    </row>
    <row r="131">
      <c r="A131" s="102" t="str">
        <f>IFERROR(__xludf.DUMMYFUNCTION("""COMPUTED_VALUE"""),"https://utrucking.com/admin/orders/6446433861820")</f>
        <v>https://utrucking.com/admin/orders/6446433861820</v>
      </c>
      <c r="B131" s="65" t="str">
        <f>IFERROR(__xludf.DUMMYFUNCTION("""COMPUTED_VALUE"""),"#17882")</f>
        <v>#17882</v>
      </c>
      <c r="C131" s="65" t="str">
        <f>IFERROR(__xludf.DUMMYFUNCTION("""COMPUTED_VALUE"""),"pop.s@wustl.edu")</f>
        <v>pop.s@wustl.edu</v>
      </c>
      <c r="D131" s="65">
        <f>IFERROR(__xludf.DUMMYFUNCTION("""COMPUTED_VALUE"""),7.737151169E9)</f>
        <v>7737151169</v>
      </c>
      <c r="E131" s="65" t="str">
        <f>IFERROR(__xludf.DUMMYFUNCTION("""COMPUTED_VALUE"""),"Sebastian Pop")</f>
        <v>Sebastian Pop</v>
      </c>
      <c r="F131" s="65" t="str">
        <f>IFERROR(__xludf.DUMMYFUNCTION("""COMPUTED_VALUE"""),"Sebastian Pop")</f>
        <v>Sebastian Pop</v>
      </c>
      <c r="G131" s="65"/>
      <c r="H131" s="65" t="str">
        <f>IFERROR(__xludf.DUMMYFUNCTION("""COMPUTED_VALUE"""),"Appliance Rental Return")</f>
        <v>Appliance Rental Return</v>
      </c>
      <c r="I131" s="65" t="str">
        <f>IFERROR(__xludf.DUMMYFUNCTION("""COMPUTED_VALUE""")," Double-Door Mini Fridge + Microwave   - ")</f>
        <v> Double-Door Mini Fridge + Microwave   - </v>
      </c>
      <c r="J131" s="108" t="str">
        <f>IFERROR(__xludf.DUMMYFUNCTION("""COMPUTED_VALUE"""),"Lopata  ")</f>
        <v>Lopata  </v>
      </c>
      <c r="K131" s="103">
        <f>IFERROR(__xludf.DUMMYFUNCTION("""COMPUTED_VALUE"""),46149.0)</f>
        <v>46149</v>
      </c>
      <c r="L131" s="65" t="str">
        <f>IFERROR(__xludf.DUMMYFUNCTION("""COMPUTED_VALUE"""),"3164")</f>
        <v>3164</v>
      </c>
      <c r="M131" s="65" t="str">
        <f>IFERROR(__xludf.DUMMYFUNCTION("""COMPUTED_VALUE""")," ")</f>
        <v> </v>
      </c>
    </row>
    <row r="132">
      <c r="A132" s="99" t="str">
        <f>IFERROR(__xludf.DUMMYFUNCTION("""COMPUTED_VALUE"""),"https://utrucking.com/admin/orders/6446434287804")</f>
        <v>https://utrucking.com/admin/orders/6446434287804</v>
      </c>
      <c r="B132" s="61" t="str">
        <f>IFERROR(__xludf.DUMMYFUNCTION("""COMPUTED_VALUE"""),"#17883")</f>
        <v>#17883</v>
      </c>
      <c r="C132" s="61" t="str">
        <f>IFERROR(__xludf.DUMMYFUNCTION("""COMPUTED_VALUE"""),"jacksonrdickie@gmail.com")</f>
        <v>jacksonrdickie@gmail.com</v>
      </c>
      <c r="D132" s="61">
        <f>IFERROR(__xludf.DUMMYFUNCTION("""COMPUTED_VALUE"""),7.744070219E9)</f>
        <v>7744070219</v>
      </c>
      <c r="E132" s="61" t="str">
        <f>IFERROR(__xludf.DUMMYFUNCTION("""COMPUTED_VALUE"""),"Jackson Dickie")</f>
        <v>Jackson Dickie</v>
      </c>
      <c r="F132" s="61" t="str">
        <f>IFERROR(__xludf.DUMMYFUNCTION("""COMPUTED_VALUE"""),"Jackson Dickie")</f>
        <v>Jackson Dickie</v>
      </c>
      <c r="G132" s="61"/>
      <c r="H132" s="61" t="str">
        <f>IFERROR(__xludf.DUMMYFUNCTION("""COMPUTED_VALUE"""),"Appliance Rental Return")</f>
        <v>Appliance Rental Return</v>
      </c>
      <c r="I132" s="61" t="str">
        <f>IFERROR(__xludf.DUMMYFUNCTION("""COMPUTED_VALUE""")," Double-Door Mini Fridge + Microwave   - ")</f>
        <v> Double-Door Mini Fridge + Microwave   - </v>
      </c>
      <c r="J132" s="107" t="str">
        <f>IFERROR(__xludf.DUMMYFUNCTION("""COMPUTED_VALUE"""),"Hurd  ")</f>
        <v>Hurd  </v>
      </c>
      <c r="K132" s="100">
        <f>IFERROR(__xludf.DUMMYFUNCTION("""COMPUTED_VALUE"""),46147.0)</f>
        <v>46147</v>
      </c>
      <c r="L132" s="61" t="str">
        <f>IFERROR(__xludf.DUMMYFUNCTION("""COMPUTED_VALUE"""),"334")</f>
        <v>334</v>
      </c>
      <c r="M132" s="61" t="str">
        <f>IFERROR(__xludf.DUMMYFUNCTION("""COMPUTED_VALUE""")," ")</f>
        <v> </v>
      </c>
    </row>
    <row r="133">
      <c r="A133" s="102" t="str">
        <f>IFERROR(__xludf.DUMMYFUNCTION("""COMPUTED_VALUE"""),"https://utrucking.com/admin/orders/6446434418876")</f>
        <v>https://utrucking.com/admin/orders/6446434418876</v>
      </c>
      <c r="B133" s="65" t="str">
        <f>IFERROR(__xludf.DUMMYFUNCTION("""COMPUTED_VALUE"""),"#17884")</f>
        <v>#17884</v>
      </c>
      <c r="C133" s="65" t="str">
        <f>IFERROR(__xludf.DUMMYFUNCTION("""COMPUTED_VALUE"""),"jessicaebroon@gmail.com")</f>
        <v>jessicaebroon@gmail.com</v>
      </c>
      <c r="D133" s="65">
        <f>IFERROR(__xludf.DUMMYFUNCTION("""COMPUTED_VALUE"""),2.24551004E9)</f>
        <v>2245510040</v>
      </c>
      <c r="E133" s="65" t="str">
        <f>IFERROR(__xludf.DUMMYFUNCTION("""COMPUTED_VALUE"""),"Jessica Ebroon")</f>
        <v>Jessica Ebroon</v>
      </c>
      <c r="F133" s="65" t="str">
        <f>IFERROR(__xludf.DUMMYFUNCTION("""COMPUTED_VALUE"""),"Jessica Ebroon")</f>
        <v>Jessica Ebroon</v>
      </c>
      <c r="G133" s="65"/>
      <c r="H133" s="65" t="str">
        <f>IFERROR(__xludf.DUMMYFUNCTION("""COMPUTED_VALUE"""),"Appliance Rental Return")</f>
        <v>Appliance Rental Return</v>
      </c>
      <c r="I133" s="65" t="str">
        <f>IFERROR(__xludf.DUMMYFUNCTION("""COMPUTED_VALUE""")," Standard Mini Fridge   - ")</f>
        <v> Standard Mini Fridge   - </v>
      </c>
      <c r="J133" s="108" t="str">
        <f>IFERROR(__xludf.DUMMYFUNCTION("""COMPUTED_VALUE"""),"Lien  ")</f>
        <v>Lien  </v>
      </c>
      <c r="K133" s="103">
        <f>IFERROR(__xludf.DUMMYFUNCTION("""COMPUTED_VALUE"""),46148.0)</f>
        <v>46148</v>
      </c>
      <c r="L133" s="65" t="str">
        <f>IFERROR(__xludf.DUMMYFUNCTION("""COMPUTED_VALUE"""),"3329")</f>
        <v>3329</v>
      </c>
      <c r="M133" s="65" t="str">
        <f>IFERROR(__xludf.DUMMYFUNCTION("""COMPUTED_VALUE""")," ")</f>
        <v> </v>
      </c>
    </row>
    <row r="134">
      <c r="A134" s="99" t="str">
        <f>IFERROR(__xludf.DUMMYFUNCTION("""COMPUTED_VALUE"""),"https://utrucking.com/admin/orders/6446435041468")</f>
        <v>https://utrucking.com/admin/orders/6446435041468</v>
      </c>
      <c r="B134" s="61" t="str">
        <f>IFERROR(__xludf.DUMMYFUNCTION("""COMPUTED_VALUE"""),"#17885")</f>
        <v>#17885</v>
      </c>
      <c r="C134" s="61" t="str">
        <f>IFERROR(__xludf.DUMMYFUNCTION("""COMPUTED_VALUE"""),"shan.knisely@gmail.com")</f>
        <v>shan.knisely@gmail.com</v>
      </c>
      <c r="D134" s="61">
        <f>IFERROR(__xludf.DUMMYFUNCTION("""COMPUTED_VALUE"""),5.126995645E9)</f>
        <v>5126995645</v>
      </c>
      <c r="E134" s="61" t="str">
        <f>IFERROR(__xludf.DUMMYFUNCTION("""COMPUTED_VALUE"""),"Shannon Knisely")</f>
        <v>Shannon Knisely</v>
      </c>
      <c r="F134" s="61" t="str">
        <f>IFERROR(__xludf.DUMMYFUNCTION("""COMPUTED_VALUE"""),"Ashton Knisely")</f>
        <v>Ashton Knisely</v>
      </c>
      <c r="G134" s="61"/>
      <c r="H134" s="61" t="str">
        <f>IFERROR(__xludf.DUMMYFUNCTION("""COMPUTED_VALUE"""),"Appliance Rental Return")</f>
        <v>Appliance Rental Return</v>
      </c>
      <c r="I134" s="61" t="str">
        <f>IFERROR(__xludf.DUMMYFUNCTION("""COMPUTED_VALUE""")," Double-Door Mini Fridge + Microwave   - ")</f>
        <v> Double-Door Mini Fridge + Microwave   - </v>
      </c>
      <c r="J134" s="107" t="str">
        <f>IFERROR(__xludf.DUMMYFUNCTION("""COMPUTED_VALUE"""),"Rutledge  ")</f>
        <v>Rutledge  </v>
      </c>
      <c r="K134" s="100">
        <f>IFERROR(__xludf.DUMMYFUNCTION("""COMPUTED_VALUE"""),46148.0)</f>
        <v>46148</v>
      </c>
      <c r="L134" s="61" t="str">
        <f>IFERROR(__xludf.DUMMYFUNCTION("""COMPUTED_VALUE"""),"314")</f>
        <v>314</v>
      </c>
      <c r="M134" s="61" t="str">
        <f>IFERROR(__xludf.DUMMYFUNCTION("""COMPUTED_VALUE""")," ")</f>
        <v> </v>
      </c>
    </row>
    <row r="135">
      <c r="A135" s="102" t="str">
        <f>IFERROR(__xludf.DUMMYFUNCTION("""COMPUTED_VALUE"""),"https://utrucking.com/admin/orders/6446435303612")</f>
        <v>https://utrucking.com/admin/orders/6446435303612</v>
      </c>
      <c r="B135" s="65" t="str">
        <f>IFERROR(__xludf.DUMMYFUNCTION("""COMPUTED_VALUE"""),"#17886")</f>
        <v>#17886</v>
      </c>
      <c r="C135" s="65" t="str">
        <f>IFERROR(__xludf.DUMMYFUNCTION("""COMPUTED_VALUE"""),"mishaeis@yahoo.com")</f>
        <v>mishaeis@yahoo.com</v>
      </c>
      <c r="D135" s="65">
        <f>IFERROR(__xludf.DUMMYFUNCTION("""COMPUTED_VALUE"""),3.038081617E9)</f>
        <v>3038081617</v>
      </c>
      <c r="E135" s="65" t="str">
        <f>IFERROR(__xludf.DUMMYFUNCTION("""COMPUTED_VALUE"""),"Michelle Draznin")</f>
        <v>Michelle Draznin</v>
      </c>
      <c r="F135" s="65" t="str">
        <f>IFERROR(__xludf.DUMMYFUNCTION("""COMPUTED_VALUE"""),"Sophia Eison ")</f>
        <v>Sophia Eison </v>
      </c>
      <c r="G135" s="65"/>
      <c r="H135" s="65" t="str">
        <f>IFERROR(__xludf.DUMMYFUNCTION("""COMPUTED_VALUE"""),"Appliance Rental Return")</f>
        <v>Appliance Rental Return</v>
      </c>
      <c r="I135" s="65" t="str">
        <f>IFERROR(__xludf.DUMMYFUNCTION("""COMPUTED_VALUE""")," Double-Door Mini Fridge + Microwave   - ")</f>
        <v> Double-Door Mini Fridge + Microwave   - </v>
      </c>
      <c r="J135" s="108" t="str">
        <f>IFERROR(__xludf.DUMMYFUNCTION("""COMPUTED_VALUE"""),"Danforth  ")</f>
        <v>Danforth  </v>
      </c>
      <c r="K135" s="103">
        <f>IFERROR(__xludf.DUMMYFUNCTION("""COMPUTED_VALUE"""),46149.0)</f>
        <v>46149</v>
      </c>
      <c r="L135" s="65" t="str">
        <f>IFERROR(__xludf.DUMMYFUNCTION("""COMPUTED_VALUE"""),"3332")</f>
        <v>3332</v>
      </c>
      <c r="M135" s="65" t="str">
        <f>IFERROR(__xludf.DUMMYFUNCTION("""COMPUTED_VALUE""")," ")</f>
        <v> </v>
      </c>
    </row>
    <row r="136">
      <c r="A136" s="99" t="str">
        <f>IFERROR(__xludf.DUMMYFUNCTION("""COMPUTED_VALUE"""),"https://utrucking.com/admin/orders/6446435434684")</f>
        <v>https://utrucking.com/admin/orders/6446435434684</v>
      </c>
      <c r="B136" s="61" t="str">
        <f>IFERROR(__xludf.DUMMYFUNCTION("""COMPUTED_VALUE"""),"#17887")</f>
        <v>#17887</v>
      </c>
      <c r="C136" s="61" t="str">
        <f>IFERROR(__xludf.DUMMYFUNCTION("""COMPUTED_VALUE"""),"animalfarm@earthlink.net")</f>
        <v>animalfarm@earthlink.net</v>
      </c>
      <c r="D136" s="61">
        <f>IFERROR(__xludf.DUMMYFUNCTION("""COMPUTED_VALUE"""),2.094852901E9)</f>
        <v>2094852901</v>
      </c>
      <c r="E136" s="61" t="str">
        <f>IFERROR(__xludf.DUMMYFUNCTION("""COMPUTED_VALUE"""),"Kristen Santos")</f>
        <v>Kristen Santos</v>
      </c>
      <c r="F136" s="61" t="str">
        <f>IFERROR(__xludf.DUMMYFUNCTION("""COMPUTED_VALUE"""),"Theodore Santos")</f>
        <v>Theodore Santos</v>
      </c>
      <c r="G136" s="61"/>
      <c r="H136" s="61" t="str">
        <f>IFERROR(__xludf.DUMMYFUNCTION("""COMPUTED_VALUE"""),"Appliance Rental Return")</f>
        <v>Appliance Rental Return</v>
      </c>
      <c r="I136" s="61" t="str">
        <f>IFERROR(__xludf.DUMMYFUNCTION("""COMPUTED_VALUE""")," Double-Door Mini Fridge + Microwave   - ")</f>
        <v> Double-Door Mini Fridge + Microwave   - </v>
      </c>
      <c r="J136" s="107" t="str">
        <f>IFERROR(__xludf.DUMMYFUNCTION("""COMPUTED_VALUE"""),"Eliot A (Thomas Eliot)")</f>
        <v>Eliot A (Thomas Eliot)</v>
      </c>
      <c r="K136" s="100">
        <f>IFERROR(__xludf.DUMMYFUNCTION("""COMPUTED_VALUE"""),46149.0)</f>
        <v>46149</v>
      </c>
      <c r="L136" s="61" t="str">
        <f>IFERROR(__xludf.DUMMYFUNCTION("""COMPUTED_VALUE"""),"0304")</f>
        <v>0304</v>
      </c>
      <c r="M136" s="61" t="str">
        <f>IFERROR(__xludf.DUMMYFUNCTION("""COMPUTED_VALUE""")," ")</f>
        <v> </v>
      </c>
    </row>
    <row r="137">
      <c r="A137" s="102" t="str">
        <f>IFERROR(__xludf.DUMMYFUNCTION("""COMPUTED_VALUE"""),"https://utrucking.com/admin/orders/6446435729596")</f>
        <v>https://utrucking.com/admin/orders/6446435729596</v>
      </c>
      <c r="B137" s="65" t="str">
        <f>IFERROR(__xludf.DUMMYFUNCTION("""COMPUTED_VALUE"""),"#17888")</f>
        <v>#17888</v>
      </c>
      <c r="C137" s="65" t="str">
        <f>IFERROR(__xludf.DUMMYFUNCTION("""COMPUTED_VALUE"""),"sophies@wustl.edu")</f>
        <v>sophies@wustl.edu</v>
      </c>
      <c r="D137" s="65">
        <f>IFERROR(__xludf.DUMMYFUNCTION("""COMPUTED_VALUE"""),5.163805641E9)</f>
        <v>5163805641</v>
      </c>
      <c r="E137" s="65" t="str">
        <f>IFERROR(__xludf.DUMMYFUNCTION("""COMPUTED_VALUE"""),"Lee Saltzman")</f>
        <v>Lee Saltzman</v>
      </c>
      <c r="F137" s="65" t="str">
        <f>IFERROR(__xludf.DUMMYFUNCTION("""COMPUTED_VALUE"""),"Sophie Saltzman")</f>
        <v>Sophie Saltzman</v>
      </c>
      <c r="G137" s="65"/>
      <c r="H137" s="65" t="str">
        <f>IFERROR(__xludf.DUMMYFUNCTION("""COMPUTED_VALUE"""),"Appliance Rental Return")</f>
        <v>Appliance Rental Return</v>
      </c>
      <c r="I137" s="65" t="str">
        <f>IFERROR(__xludf.DUMMYFUNCTION("""COMPUTED_VALUE""")," Double-Door Mini Fridge + Microwave   - ")</f>
        <v> Double-Door Mini Fridge + Microwave   - </v>
      </c>
      <c r="J137" s="108" t="str">
        <f>IFERROR(__xludf.DUMMYFUNCTION("""COMPUTED_VALUE"""),"Umrath  ")</f>
        <v>Umrath  </v>
      </c>
      <c r="K137" s="103">
        <f>IFERROR(__xludf.DUMMYFUNCTION("""COMPUTED_VALUE"""),46148.0)</f>
        <v>46148</v>
      </c>
      <c r="L137" s="65" t="str">
        <f>IFERROR(__xludf.DUMMYFUNCTION("""COMPUTED_VALUE"""),"2203")</f>
        <v>2203</v>
      </c>
      <c r="M137" s="65" t="str">
        <f>IFERROR(__xludf.DUMMYFUNCTION("""COMPUTED_VALUE""")," ")</f>
        <v> </v>
      </c>
    </row>
    <row r="138">
      <c r="A138" s="99" t="str">
        <f>IFERROR(__xludf.DUMMYFUNCTION("""COMPUTED_VALUE"""),"https://utrucking.com/admin/orders/6446436253884")</f>
        <v>https://utrucking.com/admin/orders/6446436253884</v>
      </c>
      <c r="B138" s="61" t="str">
        <f>IFERROR(__xludf.DUMMYFUNCTION("""COMPUTED_VALUE"""),"#17889")</f>
        <v>#17889</v>
      </c>
      <c r="C138" s="61" t="str">
        <f>IFERROR(__xludf.DUMMYFUNCTION("""COMPUTED_VALUE"""),"eveangelinef@icloud.com")</f>
        <v>eveangelinef@icloud.com</v>
      </c>
      <c r="D138" s="61">
        <f>IFERROR(__xludf.DUMMYFUNCTION("""COMPUTED_VALUE"""),2.485905519E9)</f>
        <v>2485905519</v>
      </c>
      <c r="E138" s="61" t="str">
        <f>IFERROR(__xludf.DUMMYFUNCTION("""COMPUTED_VALUE"""),"Eve Feles")</f>
        <v>Eve Feles</v>
      </c>
      <c r="F138" s="61" t="str">
        <f>IFERROR(__xludf.DUMMYFUNCTION("""COMPUTED_VALUE"""),"Eve Feles")</f>
        <v>Eve Feles</v>
      </c>
      <c r="G138" s="61"/>
      <c r="H138" s="61" t="str">
        <f>IFERROR(__xludf.DUMMYFUNCTION("""COMPUTED_VALUE"""),"Appliance Rental Return")</f>
        <v>Appliance Rental Return</v>
      </c>
      <c r="I138" s="61" t="str">
        <f>IFERROR(__xludf.DUMMYFUNCTION("""COMPUTED_VALUE""")," Double-Door Mini Fridge + Microwave   - ")</f>
        <v> Double-Door Mini Fridge + Microwave   - </v>
      </c>
      <c r="J138" s="107" t="str">
        <f>IFERROR(__xludf.DUMMYFUNCTION("""COMPUTED_VALUE"""),"Umrath  ")</f>
        <v>Umrath  </v>
      </c>
      <c r="K138" s="100">
        <f>IFERROR(__xludf.DUMMYFUNCTION("""COMPUTED_VALUE"""),46151.0)</f>
        <v>46151</v>
      </c>
      <c r="L138" s="61" t="str">
        <f>IFERROR(__xludf.DUMMYFUNCTION("""COMPUTED_VALUE"""),"4403")</f>
        <v>4403</v>
      </c>
      <c r="M138" s="61" t="str">
        <f>IFERROR(__xludf.DUMMYFUNCTION("""COMPUTED_VALUE""")," ")</f>
        <v> </v>
      </c>
    </row>
    <row r="139">
      <c r="A139" s="102" t="str">
        <f>IFERROR(__xludf.DUMMYFUNCTION("""COMPUTED_VALUE"""),"https://utrucking.com/admin/orders/6446436319420")</f>
        <v>https://utrucking.com/admin/orders/6446436319420</v>
      </c>
      <c r="B139" s="65" t="str">
        <f>IFERROR(__xludf.DUMMYFUNCTION("""COMPUTED_VALUE"""),"#17890")</f>
        <v>#17890</v>
      </c>
      <c r="C139" s="65" t="str">
        <f>IFERROR(__xludf.DUMMYFUNCTION("""COMPUTED_VALUE"""),"r.s.short@wustl.edu")</f>
        <v>r.s.short@wustl.edu</v>
      </c>
      <c r="D139" s="65">
        <f>IFERROR(__xludf.DUMMYFUNCTION("""COMPUTED_VALUE"""),9.707613003E9)</f>
        <v>9707613003</v>
      </c>
      <c r="E139" s="65" t="str">
        <f>IFERROR(__xludf.DUMMYFUNCTION("""COMPUTED_VALUE"""),"Ruby Short")</f>
        <v>Ruby Short</v>
      </c>
      <c r="F139" s="65" t="str">
        <f>IFERROR(__xludf.DUMMYFUNCTION("""COMPUTED_VALUE"""),"Ruby Short")</f>
        <v>Ruby Short</v>
      </c>
      <c r="G139" s="65"/>
      <c r="H139" s="65" t="str">
        <f>IFERROR(__xludf.DUMMYFUNCTION("""COMPUTED_VALUE"""),"Appliance Rental Return")</f>
        <v>Appliance Rental Return</v>
      </c>
      <c r="I139" s="65" t="str">
        <f>IFERROR(__xludf.DUMMYFUNCTION("""COMPUTED_VALUE""")," Double-Door Mini Fridge   - ")</f>
        <v> Double-Door Mini Fridge   - </v>
      </c>
      <c r="J139" s="108" t="str">
        <f>IFERROR(__xludf.DUMMYFUNCTION("""COMPUTED_VALUE"""),"Shepley  ")</f>
        <v>Shepley  </v>
      </c>
      <c r="K139" s="103">
        <f>IFERROR(__xludf.DUMMYFUNCTION("""COMPUTED_VALUE"""),46148.0)</f>
        <v>46148</v>
      </c>
      <c r="L139" s="65" t="str">
        <f>IFERROR(__xludf.DUMMYFUNCTION("""COMPUTED_VALUE"""),"3000-(3002)")</f>
        <v>3000-(3002)</v>
      </c>
      <c r="M139" s="65" t="str">
        <f>IFERROR(__xludf.DUMMYFUNCTION("""COMPUTED_VALUE""")," ")</f>
        <v> </v>
      </c>
    </row>
    <row r="140">
      <c r="A140" s="99" t="str">
        <f>IFERROR(__xludf.DUMMYFUNCTION("""COMPUTED_VALUE"""),"https://utrucking.com/admin/orders/6446436581564")</f>
        <v>https://utrucking.com/admin/orders/6446436581564</v>
      </c>
      <c r="B140" s="61" t="str">
        <f>IFERROR(__xludf.DUMMYFUNCTION("""COMPUTED_VALUE"""),"#17891")</f>
        <v>#17891</v>
      </c>
      <c r="C140" s="61" t="str">
        <f>IFERROR(__xludf.DUMMYFUNCTION("""COMPUTED_VALUE"""),"corimgalpern@gmail.com")</f>
        <v>corimgalpern@gmail.com</v>
      </c>
      <c r="D140" s="61">
        <f>IFERROR(__xludf.DUMMYFUNCTION("""COMPUTED_VALUE"""),9.177155789E9)</f>
        <v>9177155789</v>
      </c>
      <c r="E140" s="61" t="str">
        <f>IFERROR(__xludf.DUMMYFUNCTION("""COMPUTED_VALUE"""),"Cori Galpern")</f>
        <v>Cori Galpern</v>
      </c>
      <c r="F140" s="61" t="str">
        <f>IFERROR(__xludf.DUMMYFUNCTION("""COMPUTED_VALUE"""),"Mia Galpern")</f>
        <v>Mia Galpern</v>
      </c>
      <c r="G140" s="61"/>
      <c r="H140" s="61" t="str">
        <f>IFERROR(__xludf.DUMMYFUNCTION("""COMPUTED_VALUE"""),"Appliance Rental Return")</f>
        <v>Appliance Rental Return</v>
      </c>
      <c r="I140" s="61" t="str">
        <f>IFERROR(__xludf.DUMMYFUNCTION("""COMPUTED_VALUE""")," Standard Mini Fridge   - ")</f>
        <v> Standard Mini Fridge   - </v>
      </c>
      <c r="J140" s="107" t="str">
        <f>IFERROR(__xludf.DUMMYFUNCTION("""COMPUTED_VALUE"""),"Umrath  ")</f>
        <v>Umrath  </v>
      </c>
      <c r="K140" s="100">
        <f>IFERROR(__xludf.DUMMYFUNCTION("""COMPUTED_VALUE"""),46143.0)</f>
        <v>46143</v>
      </c>
      <c r="L140" s="61" t="str">
        <f>IFERROR(__xludf.DUMMYFUNCTION("""COMPUTED_VALUE"""),"L239")</f>
        <v>L239</v>
      </c>
      <c r="M140" s="61" t="str">
        <f>IFERROR(__xludf.DUMMYFUNCTION("""COMPUTED_VALUE""")," ")</f>
        <v> </v>
      </c>
    </row>
    <row r="141">
      <c r="A141" s="102" t="str">
        <f>IFERROR(__xludf.DUMMYFUNCTION("""COMPUTED_VALUE"""),"https://utrucking.com/admin/orders/6446439596220")</f>
        <v>https://utrucking.com/admin/orders/6446439596220</v>
      </c>
      <c r="B141" s="65" t="str">
        <f>IFERROR(__xludf.DUMMYFUNCTION("""COMPUTED_VALUE"""),"#17892")</f>
        <v>#17892</v>
      </c>
      <c r="C141" s="65" t="str">
        <f>IFERROR(__xludf.DUMMYFUNCTION("""COMPUTED_VALUE"""),"cgoldstein2007@gmail.com")</f>
        <v>cgoldstein2007@gmail.com</v>
      </c>
      <c r="D141" s="65">
        <f>IFERROR(__xludf.DUMMYFUNCTION("""COMPUTED_VALUE"""),3.015125184E9)</f>
        <v>3015125184</v>
      </c>
      <c r="E141" s="65" t="str">
        <f>IFERROR(__xludf.DUMMYFUNCTION("""COMPUTED_VALUE"""),"Caroline Goldstein")</f>
        <v>Caroline Goldstein</v>
      </c>
      <c r="F141" s="65" t="str">
        <f>IFERROR(__xludf.DUMMYFUNCTION("""COMPUTED_VALUE"""),"Caroline Goldstein")</f>
        <v>Caroline Goldstein</v>
      </c>
      <c r="G141" s="65"/>
      <c r="H141" s="65" t="str">
        <f>IFERROR(__xludf.DUMMYFUNCTION("""COMPUTED_VALUE"""),"Appliance Rental Return")</f>
        <v>Appliance Rental Return</v>
      </c>
      <c r="I141" s="65" t="str">
        <f>IFERROR(__xludf.DUMMYFUNCTION("""COMPUTED_VALUE""")," Double-Door Mini Fridge   - ")</f>
        <v> Double-Door Mini Fridge   - </v>
      </c>
      <c r="J141" s="108" t="str">
        <f>IFERROR(__xludf.DUMMYFUNCTION("""COMPUTED_VALUE"""),"Umrath  ")</f>
        <v>Umrath  </v>
      </c>
      <c r="K141" s="103">
        <f>IFERROR(__xludf.DUMMYFUNCTION("""COMPUTED_VALUE"""),46149.0)</f>
        <v>46149</v>
      </c>
      <c r="L141" s="65" t="str">
        <f>IFERROR(__xludf.DUMMYFUNCTION("""COMPUTED_VALUE"""),"3323")</f>
        <v>3323</v>
      </c>
      <c r="M141" s="65" t="str">
        <f>IFERROR(__xludf.DUMMYFUNCTION("""COMPUTED_VALUE""")," ")</f>
        <v> </v>
      </c>
    </row>
    <row r="142">
      <c r="A142" s="99" t="str">
        <f>IFERROR(__xludf.DUMMYFUNCTION("""COMPUTED_VALUE"""),"https://utrucking.com/admin/orders/6446441070780")</f>
        <v>https://utrucking.com/admin/orders/6446441070780</v>
      </c>
      <c r="B142" s="61" t="str">
        <f>IFERROR(__xludf.DUMMYFUNCTION("""COMPUTED_VALUE"""),"#17893")</f>
        <v>#17893</v>
      </c>
      <c r="C142" s="61" t="str">
        <f>IFERROR(__xludf.DUMMYFUNCTION("""COMPUTED_VALUE"""),"jacqueline.l@wustl.edu")</f>
        <v>jacqueline.l@wustl.edu</v>
      </c>
      <c r="D142" s="61">
        <f>IFERROR(__xludf.DUMMYFUNCTION("""COMPUTED_VALUE"""),2.018995079E9)</f>
        <v>2018995079</v>
      </c>
      <c r="E142" s="61" t="str">
        <f>IFERROR(__xludf.DUMMYFUNCTION("""COMPUTED_VALUE"""),"Jacqueline Lee")</f>
        <v>Jacqueline Lee</v>
      </c>
      <c r="F142" s="61" t="str">
        <f>IFERROR(__xludf.DUMMYFUNCTION("""COMPUTED_VALUE"""),"Jacqueline Lee")</f>
        <v>Jacqueline Lee</v>
      </c>
      <c r="G142" s="61"/>
      <c r="H142" s="61" t="str">
        <f>IFERROR(__xludf.DUMMYFUNCTION("""COMPUTED_VALUE"""),"Appliance Rental Return")</f>
        <v>Appliance Rental Return</v>
      </c>
      <c r="I142" s="61" t="str">
        <f>IFERROR(__xludf.DUMMYFUNCTION("""COMPUTED_VALUE""")," Double-Door Mini Fridge + Microwave   - ")</f>
        <v> Double-Door Mini Fridge + Microwave   - </v>
      </c>
      <c r="J142" s="107" t="str">
        <f>IFERROR(__xludf.DUMMYFUNCTION("""COMPUTED_VALUE"""),"Danforth  ")</f>
        <v>Danforth  </v>
      </c>
      <c r="K142" s="100">
        <f>IFERROR(__xludf.DUMMYFUNCTION("""COMPUTED_VALUE"""),46149.0)</f>
        <v>46149</v>
      </c>
      <c r="L142" s="61" t="str">
        <f>IFERROR(__xludf.DUMMYFUNCTION("""COMPUTED_VALUE"""),"3318")</f>
        <v>3318</v>
      </c>
      <c r="M142" s="61" t="str">
        <f>IFERROR(__xludf.DUMMYFUNCTION("""COMPUTED_VALUE""")," ")</f>
        <v> </v>
      </c>
    </row>
    <row r="143">
      <c r="A143" s="102" t="str">
        <f>IFERROR(__xludf.DUMMYFUNCTION("""COMPUTED_VALUE"""),"https://utrucking.com/admin/orders/6446446608572")</f>
        <v>https://utrucking.com/admin/orders/6446446608572</v>
      </c>
      <c r="B143" s="65" t="str">
        <f>IFERROR(__xludf.DUMMYFUNCTION("""COMPUTED_VALUE"""),"#17894")</f>
        <v>#17894</v>
      </c>
      <c r="C143" s="65" t="str">
        <f>IFERROR(__xludf.DUMMYFUNCTION("""COMPUTED_VALUE"""),"b.k.wagner@wustl.edu")</f>
        <v>b.k.wagner@wustl.edu</v>
      </c>
      <c r="D143" s="65">
        <f>IFERROR(__xludf.DUMMYFUNCTION("""COMPUTED_VALUE"""),6.788306322E9)</f>
        <v>6788306322</v>
      </c>
      <c r="E143" s="65" t="str">
        <f>IFERROR(__xludf.DUMMYFUNCTION("""COMPUTED_VALUE"""),"Blair Wagner")</f>
        <v>Blair Wagner</v>
      </c>
      <c r="F143" s="65" t="str">
        <f>IFERROR(__xludf.DUMMYFUNCTION("""COMPUTED_VALUE"""),"Blair Wagner")</f>
        <v>Blair Wagner</v>
      </c>
      <c r="G143" s="65"/>
      <c r="H143" s="65" t="str">
        <f>IFERROR(__xludf.DUMMYFUNCTION("""COMPUTED_VALUE"""),"Appliance Rental Return")</f>
        <v>Appliance Rental Return</v>
      </c>
      <c r="I143" s="65" t="str">
        <f>IFERROR(__xludf.DUMMYFUNCTION("""COMPUTED_VALUE""")," Double-Door Mini Fridge + Microwave   - ")</f>
        <v> Double-Door Mini Fridge + Microwave   - </v>
      </c>
      <c r="J143" s="108" t="str">
        <f>IFERROR(__xludf.DUMMYFUNCTION("""COMPUTED_VALUE"""),"Dardick  ")</f>
        <v>Dardick  </v>
      </c>
      <c r="K143" s="103">
        <f>IFERROR(__xludf.DUMMYFUNCTION("""COMPUTED_VALUE"""),46147.0)</f>
        <v>46147</v>
      </c>
      <c r="L143" s="65" t="str">
        <f>IFERROR(__xludf.DUMMYFUNCTION("""COMPUTED_VALUE"""),"1109-a")</f>
        <v>1109-a</v>
      </c>
      <c r="M143" s="65" t="str">
        <f>IFERROR(__xludf.DUMMYFUNCTION("""COMPUTED_VALUE""")," ")</f>
        <v> </v>
      </c>
    </row>
    <row r="144">
      <c r="A144" s="99" t="str">
        <f>IFERROR(__xludf.DUMMYFUNCTION("""COMPUTED_VALUE"""),"https://utrucking.com/admin/orders/6446458798268")</f>
        <v>https://utrucking.com/admin/orders/6446458798268</v>
      </c>
      <c r="B144" s="61" t="str">
        <f>IFERROR(__xludf.DUMMYFUNCTION("""COMPUTED_VALUE"""),"#17896")</f>
        <v>#17896</v>
      </c>
      <c r="C144" s="61" t="str">
        <f>IFERROR(__xludf.DUMMYFUNCTION("""COMPUTED_VALUE"""),"roshan.greene@gmail.com")</f>
        <v>roshan.greene@gmail.com</v>
      </c>
      <c r="D144" s="61">
        <f>IFERROR(__xludf.DUMMYFUNCTION("""COMPUTED_VALUE"""),2.815699377E9)</f>
        <v>2815699377</v>
      </c>
      <c r="E144" s="61" t="str">
        <f>IFERROR(__xludf.DUMMYFUNCTION("""COMPUTED_VALUE"""),"Roshan Greene")</f>
        <v>Roshan Greene</v>
      </c>
      <c r="F144" s="61" t="str">
        <f>IFERROR(__xludf.DUMMYFUNCTION("""COMPUTED_VALUE"""),"Roshan Greene")</f>
        <v>Roshan Greene</v>
      </c>
      <c r="G144" s="61"/>
      <c r="H144" s="61" t="str">
        <f>IFERROR(__xludf.DUMMYFUNCTION("""COMPUTED_VALUE"""),"Appliance Rental Return")</f>
        <v>Appliance Rental Return</v>
      </c>
      <c r="I144" s="61" t="str">
        <f>IFERROR(__xludf.DUMMYFUNCTION("""COMPUTED_VALUE""")," Double-Door Mini Fridge   - ")</f>
        <v> Double-Door Mini Fridge   - </v>
      </c>
      <c r="J144" s="107" t="str">
        <f>IFERROR(__xludf.DUMMYFUNCTION("""COMPUTED_VALUE"""),"Lien  ")</f>
        <v>Lien  </v>
      </c>
      <c r="K144" s="100">
        <f>IFERROR(__xludf.DUMMYFUNCTION("""COMPUTED_VALUE"""),46144.0)</f>
        <v>46144</v>
      </c>
      <c r="L144" s="61" t="str">
        <f>IFERROR(__xludf.DUMMYFUNCTION("""COMPUTED_VALUE"""),"2228")</f>
        <v>2228</v>
      </c>
      <c r="M144" s="61" t="str">
        <f>IFERROR(__xludf.DUMMYFUNCTION("""COMPUTED_VALUE""")," ")</f>
        <v> </v>
      </c>
    </row>
    <row r="145">
      <c r="A145" s="102" t="str">
        <f>IFERROR(__xludf.DUMMYFUNCTION("""COMPUTED_VALUE"""),"https://utrucking.com/admin/orders/6446460502204")</f>
        <v>https://utrucking.com/admin/orders/6446460502204</v>
      </c>
      <c r="B145" s="65" t="str">
        <f>IFERROR(__xludf.DUMMYFUNCTION("""COMPUTED_VALUE"""),"#17897")</f>
        <v>#17897</v>
      </c>
      <c r="C145" s="65" t="str">
        <f>IFERROR(__xludf.DUMMYFUNCTION("""COMPUTED_VALUE"""),"scmyers6@gmail.com")</f>
        <v>scmyers6@gmail.com</v>
      </c>
      <c r="D145" s="65">
        <f>IFERROR(__xludf.DUMMYFUNCTION("""COMPUTED_VALUE"""),6.175957928E9)</f>
        <v>6175957928</v>
      </c>
      <c r="E145" s="65" t="str">
        <f>IFERROR(__xludf.DUMMYFUNCTION("""COMPUTED_VALUE"""),"Sam Myers")</f>
        <v>Sam Myers</v>
      </c>
      <c r="F145" s="65" t="str">
        <f>IFERROR(__xludf.DUMMYFUNCTION("""COMPUTED_VALUE"""),"Sam Myers")</f>
        <v>Sam Myers</v>
      </c>
      <c r="G145" s="65"/>
      <c r="H145" s="65" t="str">
        <f>IFERROR(__xludf.DUMMYFUNCTION("""COMPUTED_VALUE"""),"Appliance Rental Return")</f>
        <v>Appliance Rental Return</v>
      </c>
      <c r="I145" s="65" t="str">
        <f>IFERROR(__xludf.DUMMYFUNCTION("""COMPUTED_VALUE""")," Double-Door Mini Fridge   - ")</f>
        <v> Double-Door Mini Fridge   - </v>
      </c>
      <c r="J145" s="108" t="str">
        <f>IFERROR(__xludf.DUMMYFUNCTION("""COMPUTED_VALUE"""),"Zetcher  ")</f>
        <v>Zetcher  </v>
      </c>
      <c r="K145" s="103">
        <f>IFERROR(__xludf.DUMMYFUNCTION("""COMPUTED_VALUE"""),46144.0)</f>
        <v>46144</v>
      </c>
      <c r="L145" s="65" t="str">
        <f>IFERROR(__xludf.DUMMYFUNCTION("""COMPUTED_VALUE"""),"2021")</f>
        <v>2021</v>
      </c>
      <c r="M145" s="65" t="str">
        <f>IFERROR(__xludf.DUMMYFUNCTION("""COMPUTED_VALUE""")," ")</f>
        <v> </v>
      </c>
    </row>
    <row r="146">
      <c r="A146" s="99" t="str">
        <f>IFERROR(__xludf.DUMMYFUNCTION("""COMPUTED_VALUE"""),"https://utrucking.com/admin/orders/6446485209276")</f>
        <v>https://utrucking.com/admin/orders/6446485209276</v>
      </c>
      <c r="B146" s="61" t="str">
        <f>IFERROR(__xludf.DUMMYFUNCTION("""COMPUTED_VALUE"""),"#17899")</f>
        <v>#17899</v>
      </c>
      <c r="C146" s="61" t="str">
        <f>IFERROR(__xludf.DUMMYFUNCTION("""COMPUTED_VALUE"""),"nourshousha@gmail.com")</f>
        <v>nourshousha@gmail.com</v>
      </c>
      <c r="D146" s="61">
        <f>IFERROR(__xludf.DUMMYFUNCTION("""COMPUTED_VALUE"""),3.05582432E9)</f>
        <v>3055824320</v>
      </c>
      <c r="E146" s="61" t="str">
        <f>IFERROR(__xludf.DUMMYFUNCTION("""COMPUTED_VALUE"""),"Nour Abou Shousha")</f>
        <v>Nour Abou Shousha</v>
      </c>
      <c r="F146" s="61" t="str">
        <f>IFERROR(__xludf.DUMMYFUNCTION("""COMPUTED_VALUE"""),"Nour Abou Shousha")</f>
        <v>Nour Abou Shousha</v>
      </c>
      <c r="G146" s="61"/>
      <c r="H146" s="61" t="str">
        <f>IFERROR(__xludf.DUMMYFUNCTION("""COMPUTED_VALUE"""),"Appliance Rental Return")</f>
        <v>Appliance Rental Return</v>
      </c>
      <c r="I146" s="61" t="str">
        <f>IFERROR(__xludf.DUMMYFUNCTION("""COMPUTED_VALUE""")," Double-Door Mini Fridge + Microwave   - ")</f>
        <v> Double-Door Mini Fridge + Microwave   - </v>
      </c>
      <c r="J146" s="107" t="str">
        <f>IFERROR(__xludf.DUMMYFUNCTION("""COMPUTED_VALUE"""),"Lien  ")</f>
        <v>Lien  </v>
      </c>
      <c r="K146" s="100">
        <f>IFERROR(__xludf.DUMMYFUNCTION("""COMPUTED_VALUE"""),46148.0)</f>
        <v>46148</v>
      </c>
      <c r="L146" s="61" t="str">
        <f>IFERROR(__xludf.DUMMYFUNCTION("""COMPUTED_VALUE"""),"3301")</f>
        <v>3301</v>
      </c>
      <c r="M146" s="61" t="str">
        <f>IFERROR(__xludf.DUMMYFUNCTION("""COMPUTED_VALUE""")," ")</f>
        <v> </v>
      </c>
    </row>
    <row r="147">
      <c r="A147" s="102" t="str">
        <f>IFERROR(__xludf.DUMMYFUNCTION("""COMPUTED_VALUE"""),"https://utrucking.com/admin/orders/6446494384316")</f>
        <v>https://utrucking.com/admin/orders/6446494384316</v>
      </c>
      <c r="B147" s="65" t="str">
        <f>IFERROR(__xludf.DUMMYFUNCTION("""COMPUTED_VALUE"""),"#17902")</f>
        <v>#17902</v>
      </c>
      <c r="C147" s="65" t="str">
        <f>IFERROR(__xludf.DUMMYFUNCTION("""COMPUTED_VALUE"""),"b.zia@wustl.edu")</f>
        <v>b.zia@wustl.edu</v>
      </c>
      <c r="D147" s="65">
        <f>IFERROR(__xludf.DUMMYFUNCTION("""COMPUTED_VALUE"""),3.147325905E9)</f>
        <v>3147325905</v>
      </c>
      <c r="E147" s="65" t="str">
        <f>IFERROR(__xludf.DUMMYFUNCTION("""COMPUTED_VALUE"""),"Zia Barfuss—Liao")</f>
        <v>Zia Barfuss—Liao</v>
      </c>
      <c r="F147" s="65" t="str">
        <f>IFERROR(__xludf.DUMMYFUNCTION("""COMPUTED_VALUE"""),"Zia Bärfuss—Liao")</f>
        <v>Zia Bärfuss—Liao</v>
      </c>
      <c r="G147" s="65"/>
      <c r="H147" s="65" t="str">
        <f>IFERROR(__xludf.DUMMYFUNCTION("""COMPUTED_VALUE"""),"Appliance Rental Return")</f>
        <v>Appliance Rental Return</v>
      </c>
      <c r="I147" s="65" t="str">
        <f>IFERROR(__xludf.DUMMYFUNCTION("""COMPUTED_VALUE""")," Double-Door Mini Fridge   - ")</f>
        <v> Double-Door Mini Fridge   - </v>
      </c>
      <c r="J147" s="108" t="str">
        <f>IFERROR(__xludf.DUMMYFUNCTION("""COMPUTED_VALUE"""),"Eliot B (Sophomore Dorm)")</f>
        <v>Eliot B (Sophomore Dorm)</v>
      </c>
      <c r="K147" s="103">
        <f>IFERROR(__xludf.DUMMYFUNCTION("""COMPUTED_VALUE"""),46148.0)</f>
        <v>46148</v>
      </c>
      <c r="L147" s="65" t="str">
        <f>IFERROR(__xludf.DUMMYFUNCTION("""COMPUTED_VALUE"""),"1033")</f>
        <v>1033</v>
      </c>
      <c r="M147" s="65" t="str">
        <f>IFERROR(__xludf.DUMMYFUNCTION("""COMPUTED_VALUE""")," ")</f>
        <v> </v>
      </c>
    </row>
    <row r="148">
      <c r="A148" s="99" t="str">
        <f>IFERROR(__xludf.DUMMYFUNCTION("""COMPUTED_VALUE"""),"https://utrucking.com/admin/orders/6446497956028")</f>
        <v>https://utrucking.com/admin/orders/6446497956028</v>
      </c>
      <c r="B148" s="61" t="str">
        <f>IFERROR(__xludf.DUMMYFUNCTION("""COMPUTED_VALUE"""),"#17903")</f>
        <v>#17903</v>
      </c>
      <c r="C148" s="61" t="str">
        <f>IFERROR(__xludf.DUMMYFUNCTION("""COMPUTED_VALUE"""),"g.e.samek@wustl.edu")</f>
        <v>g.e.samek@wustl.edu</v>
      </c>
      <c r="D148" s="61">
        <f>IFERROR(__xludf.DUMMYFUNCTION("""COMPUTED_VALUE"""),3.108804805E9)</f>
        <v>3108804805</v>
      </c>
      <c r="E148" s="61" t="str">
        <f>IFERROR(__xludf.DUMMYFUNCTION("""COMPUTED_VALUE"""),"Gabe Samek")</f>
        <v>Gabe Samek</v>
      </c>
      <c r="F148" s="61" t="str">
        <f>IFERROR(__xludf.DUMMYFUNCTION("""COMPUTED_VALUE"""),"Gabe Samek")</f>
        <v>Gabe Samek</v>
      </c>
      <c r="G148" s="61"/>
      <c r="H148" s="61" t="str">
        <f>IFERROR(__xludf.DUMMYFUNCTION("""COMPUTED_VALUE"""),"Appliance Rental Return")</f>
        <v>Appliance Rental Return</v>
      </c>
      <c r="I148" s="61" t="str">
        <f>IFERROR(__xludf.DUMMYFUNCTION("""COMPUTED_VALUE""")," Double-Door Mini Fridge   - ")</f>
        <v> Double-Door Mini Fridge   - </v>
      </c>
      <c r="J148" s="107" t="str">
        <f>IFERROR(__xludf.DUMMYFUNCTION("""COMPUTED_VALUE"""),"Lee  ")</f>
        <v>Lee  </v>
      </c>
      <c r="K148" s="100">
        <f>IFERROR(__xludf.DUMMYFUNCTION("""COMPUTED_VALUE"""),46150.0)</f>
        <v>46150</v>
      </c>
      <c r="L148" s="61" t="str">
        <f>IFERROR(__xludf.DUMMYFUNCTION("""COMPUTED_VALUE"""),"219")</f>
        <v>219</v>
      </c>
      <c r="M148" s="61" t="str">
        <f>IFERROR(__xludf.DUMMYFUNCTION("""COMPUTED_VALUE""")," ")</f>
        <v> </v>
      </c>
    </row>
    <row r="149">
      <c r="A149" s="102" t="str">
        <f>IFERROR(__xludf.DUMMYFUNCTION("""COMPUTED_VALUE"""),"https://utrucking.com/admin/orders/6446499856572")</f>
        <v>https://utrucking.com/admin/orders/6446499856572</v>
      </c>
      <c r="B149" s="65" t="str">
        <f>IFERROR(__xludf.DUMMYFUNCTION("""COMPUTED_VALUE"""),"#17904")</f>
        <v>#17904</v>
      </c>
      <c r="C149" s="65" t="str">
        <f>IFERROR(__xludf.DUMMYFUNCTION("""COMPUTED_VALUE"""),"aimirsky@yahoo.com")</f>
        <v>aimirsky@yahoo.com</v>
      </c>
      <c r="D149" s="65">
        <f>IFERROR(__xludf.DUMMYFUNCTION("""COMPUTED_VALUE"""),6.784277093E9)</f>
        <v>6784277093</v>
      </c>
      <c r="E149" s="65" t="str">
        <f>IFERROR(__xludf.DUMMYFUNCTION("""COMPUTED_VALUE"""),"Allison Howard")</f>
        <v>Allison Howard</v>
      </c>
      <c r="F149" s="65" t="str">
        <f>IFERROR(__xludf.DUMMYFUNCTION("""COMPUTED_VALUE"""),"Simone Howard")</f>
        <v>Simone Howard</v>
      </c>
      <c r="G149" s="65"/>
      <c r="H149" s="65" t="str">
        <f>IFERROR(__xludf.DUMMYFUNCTION("""COMPUTED_VALUE"""),"Appliance Rental Return")</f>
        <v>Appliance Rental Return</v>
      </c>
      <c r="I149" s="65" t="str">
        <f>IFERROR(__xludf.DUMMYFUNCTION("""COMPUTED_VALUE""")," Standard Mini Fridge   - ")</f>
        <v> Standard Mini Fridge   - </v>
      </c>
      <c r="J149" s="108" t="str">
        <f>IFERROR(__xludf.DUMMYFUNCTION("""COMPUTED_VALUE"""),"Umrath  ")</f>
        <v>Umrath  </v>
      </c>
      <c r="K149" s="103">
        <f>IFERROR(__xludf.DUMMYFUNCTION("""COMPUTED_VALUE"""),46149.0)</f>
        <v>46149</v>
      </c>
      <c r="L149" s="65" t="str">
        <f>IFERROR(__xludf.DUMMYFUNCTION("""COMPUTED_VALUE"""),"237")</f>
        <v>237</v>
      </c>
      <c r="M149" s="65" t="str">
        <f>IFERROR(__xludf.DUMMYFUNCTION("""COMPUTED_VALUE""")," ")</f>
        <v> </v>
      </c>
    </row>
    <row r="150">
      <c r="A150" s="99" t="str">
        <f>IFERROR(__xludf.DUMMYFUNCTION("""COMPUTED_VALUE"""),"https://utrucking.com/admin/orders/6446502969532")</f>
        <v>https://utrucking.com/admin/orders/6446502969532</v>
      </c>
      <c r="B150" s="61" t="str">
        <f>IFERROR(__xludf.DUMMYFUNCTION("""COMPUTED_VALUE"""),"#17906")</f>
        <v>#17906</v>
      </c>
      <c r="C150" s="61" t="str">
        <f>IFERROR(__xludf.DUMMYFUNCTION("""COMPUTED_VALUE"""),"cleo.gauthier@icloud.com")</f>
        <v>cleo.gauthier@icloud.com</v>
      </c>
      <c r="D150" s="61">
        <f>IFERROR(__xludf.DUMMYFUNCTION("""COMPUTED_VALUE"""),6.156090081E9)</f>
        <v>6156090081</v>
      </c>
      <c r="E150" s="61" t="str">
        <f>IFERROR(__xludf.DUMMYFUNCTION("""COMPUTED_VALUE"""),"Cleo Gauthier")</f>
        <v>Cleo Gauthier</v>
      </c>
      <c r="F150" s="61" t="str">
        <f>IFERROR(__xludf.DUMMYFUNCTION("""COMPUTED_VALUE"""),"Cleo Gauthier")</f>
        <v>Cleo Gauthier</v>
      </c>
      <c r="G150" s="61"/>
      <c r="H150" s="61" t="str">
        <f>IFERROR(__xludf.DUMMYFUNCTION("""COMPUTED_VALUE"""),"Appliance Rental Return")</f>
        <v>Appliance Rental Return</v>
      </c>
      <c r="I150" s="61" t="str">
        <f>IFERROR(__xludf.DUMMYFUNCTION("""COMPUTED_VALUE""")," Double-Door Mini Fridge + Microwave   - ")</f>
        <v> Double-Door Mini Fridge + Microwave   - </v>
      </c>
      <c r="J150" s="107" t="str">
        <f>IFERROR(__xludf.DUMMYFUNCTION("""COMPUTED_VALUE"""),"Zetcher  ")</f>
        <v>Zetcher  </v>
      </c>
      <c r="K150" s="100">
        <f>IFERROR(__xludf.DUMMYFUNCTION("""COMPUTED_VALUE"""),46149.0)</f>
        <v>46149</v>
      </c>
      <c r="L150" s="61" t="str">
        <f>IFERROR(__xludf.DUMMYFUNCTION("""COMPUTED_VALUE"""),"2100")</f>
        <v>2100</v>
      </c>
      <c r="M150" s="61" t="str">
        <f>IFERROR(__xludf.DUMMYFUNCTION("""COMPUTED_VALUE""")," ")</f>
        <v> </v>
      </c>
    </row>
    <row r="151">
      <c r="A151" s="102" t="str">
        <f>IFERROR(__xludf.DUMMYFUNCTION("""COMPUTED_VALUE"""),"https://utrucking.com/admin/orders/6446504083644")</f>
        <v>https://utrucking.com/admin/orders/6446504083644</v>
      </c>
      <c r="B151" s="65" t="str">
        <f>IFERROR(__xludf.DUMMYFUNCTION("""COMPUTED_VALUE"""),"#17907")</f>
        <v>#17907</v>
      </c>
      <c r="C151" s="65" t="str">
        <f>IFERROR(__xludf.DUMMYFUNCTION("""COMPUTED_VALUE"""),"graa@wustl.edu")</f>
        <v>graa@wustl.edu</v>
      </c>
      <c r="D151" s="65">
        <f>IFERROR(__xludf.DUMMYFUNCTION("""COMPUTED_VALUE"""),7.812666995E9)</f>
        <v>7812666995</v>
      </c>
      <c r="E151" s="65" t="str">
        <f>IFERROR(__xludf.DUMMYFUNCTION("""COMPUTED_VALUE"""),"Anna Bulkovshteyn")</f>
        <v>Anna Bulkovshteyn</v>
      </c>
      <c r="F151" s="65" t="str">
        <f>IFERROR(__xludf.DUMMYFUNCTION("""COMPUTED_VALUE"""),"Maya Graña")</f>
        <v>Maya Graña</v>
      </c>
      <c r="G151" s="65"/>
      <c r="H151" s="65" t="str">
        <f>IFERROR(__xludf.DUMMYFUNCTION("""COMPUTED_VALUE"""),"Appliance Rental Return")</f>
        <v>Appliance Rental Return</v>
      </c>
      <c r="I151" s="65" t="str">
        <f>IFERROR(__xludf.DUMMYFUNCTION("""COMPUTED_VALUE""")," Double-Door Mini Fridge + Microwave   - ")</f>
        <v> Double-Door Mini Fridge + Microwave   - </v>
      </c>
      <c r="J151" s="108" t="str">
        <f>IFERROR(__xludf.DUMMYFUNCTION("""COMPUTED_VALUE"""),"Umrath  ")</f>
        <v>Umrath  </v>
      </c>
      <c r="K151" s="103">
        <f>IFERROR(__xludf.DUMMYFUNCTION("""COMPUTED_VALUE"""),46149.0)</f>
        <v>46149</v>
      </c>
      <c r="L151" s="65" t="str">
        <f>IFERROR(__xludf.DUMMYFUNCTION("""COMPUTED_VALUE"""),"4420")</f>
        <v>4420</v>
      </c>
      <c r="M151" s="65" t="str">
        <f>IFERROR(__xludf.DUMMYFUNCTION("""COMPUTED_VALUE""")," ")</f>
        <v> </v>
      </c>
    </row>
    <row r="152">
      <c r="A152" s="99" t="str">
        <f>IFERROR(__xludf.DUMMYFUNCTION("""COMPUTED_VALUE"""),"https://utrucking.com/admin/orders/6446535573692")</f>
        <v>https://utrucking.com/admin/orders/6446535573692</v>
      </c>
      <c r="B152" s="61" t="str">
        <f>IFERROR(__xludf.DUMMYFUNCTION("""COMPUTED_VALUE"""),"#17908")</f>
        <v>#17908</v>
      </c>
      <c r="C152" s="61" t="str">
        <f>IFERROR(__xludf.DUMMYFUNCTION("""COMPUTED_VALUE"""),"juleswm17@gmail.com")</f>
        <v>juleswm17@gmail.com</v>
      </c>
      <c r="D152" s="61">
        <f>IFERROR(__xludf.DUMMYFUNCTION("""COMPUTED_VALUE"""),5.10292009E9)</f>
        <v>5102920090</v>
      </c>
      <c r="E152" s="61" t="str">
        <f>IFERROR(__xludf.DUMMYFUNCTION("""COMPUTED_VALUE"""),"Jules Wolff-Merovick")</f>
        <v>Jules Wolff-Merovick</v>
      </c>
      <c r="F152" s="61" t="str">
        <f>IFERROR(__xludf.DUMMYFUNCTION("""COMPUTED_VALUE"""),"Jules Wolff-Merovick")</f>
        <v>Jules Wolff-Merovick</v>
      </c>
      <c r="G152" s="61"/>
      <c r="H152" s="61" t="str">
        <f>IFERROR(__xludf.DUMMYFUNCTION("""COMPUTED_VALUE"""),"Appliance Rental Return")</f>
        <v>Appliance Rental Return</v>
      </c>
      <c r="I152" s="61" t="str">
        <f>IFERROR(__xludf.DUMMYFUNCTION("""COMPUTED_VALUE""")," Double-Door Mini Fridge + Microwave   - ")</f>
        <v> Double-Door Mini Fridge + Microwave   - </v>
      </c>
      <c r="J152" s="107" t="str">
        <f>IFERROR(__xludf.DUMMYFUNCTION("""COMPUTED_VALUE"""),"Dardick  ")</f>
        <v>Dardick  </v>
      </c>
      <c r="K152" s="100">
        <f>IFERROR(__xludf.DUMMYFUNCTION("""COMPUTED_VALUE"""),46148.0)</f>
        <v>46148</v>
      </c>
      <c r="L152" s="61" t="str">
        <f>IFERROR(__xludf.DUMMYFUNCTION("""COMPUTED_VALUE"""),"3323")</f>
        <v>3323</v>
      </c>
      <c r="M152" s="61" t="str">
        <f>IFERROR(__xludf.DUMMYFUNCTION("""COMPUTED_VALUE""")," ")</f>
        <v> </v>
      </c>
    </row>
    <row r="153">
      <c r="A153" s="102" t="str">
        <f>IFERROR(__xludf.DUMMYFUNCTION("""COMPUTED_VALUE"""),"https://utrucking.com/admin/orders/6446539276476")</f>
        <v>https://utrucking.com/admin/orders/6446539276476</v>
      </c>
      <c r="B153" s="65" t="str">
        <f>IFERROR(__xludf.DUMMYFUNCTION("""COMPUTED_VALUE"""),"#17909")</f>
        <v>#17909</v>
      </c>
      <c r="C153" s="65" t="str">
        <f>IFERROR(__xludf.DUMMYFUNCTION("""COMPUTED_VALUE"""),"damaghi@wustl.edu")</f>
        <v>damaghi@wustl.edu</v>
      </c>
      <c r="D153" s="65">
        <f>IFERROR(__xludf.DUMMYFUNCTION("""COMPUTED_VALUE"""),5.166976116E9)</f>
        <v>5166976116</v>
      </c>
      <c r="E153" s="65" t="str">
        <f>IFERROR(__xludf.DUMMYFUNCTION("""COMPUTED_VALUE"""),"Michaela Damaghi")</f>
        <v>Michaela Damaghi</v>
      </c>
      <c r="F153" s="65" t="str">
        <f>IFERROR(__xludf.DUMMYFUNCTION("""COMPUTED_VALUE"""),"Michaela Damaghi")</f>
        <v>Michaela Damaghi</v>
      </c>
      <c r="G153" s="65"/>
      <c r="H153" s="65" t="str">
        <f>IFERROR(__xludf.DUMMYFUNCTION("""COMPUTED_VALUE"""),"Appliance Rental Return")</f>
        <v>Appliance Rental Return</v>
      </c>
      <c r="I153" s="65" t="str">
        <f>IFERROR(__xludf.DUMMYFUNCTION("""COMPUTED_VALUE""")," Standard Mini Fridge + Microwave   - ")</f>
        <v> Standard Mini Fridge + Microwave   - </v>
      </c>
      <c r="J153" s="108" t="str">
        <f>IFERROR(__xludf.DUMMYFUNCTION("""COMPUTED_VALUE"""),"Village East  ")</f>
        <v>Village East  </v>
      </c>
      <c r="K153" s="103">
        <f>IFERROR(__xludf.DUMMYFUNCTION("""COMPUTED_VALUE"""),46143.0)</f>
        <v>46143</v>
      </c>
      <c r="L153" s="65" t="str">
        <f>IFERROR(__xludf.DUMMYFUNCTION("""COMPUTED_VALUE"""),"0040")</f>
        <v>0040</v>
      </c>
      <c r="M153" s="65" t="str">
        <f>IFERROR(__xludf.DUMMYFUNCTION("""COMPUTED_VALUE""")," ")</f>
        <v> </v>
      </c>
    </row>
    <row r="154">
      <c r="A154" s="99" t="str">
        <f>IFERROR(__xludf.DUMMYFUNCTION("""COMPUTED_VALUE"""),"https://utrucking.com/admin/orders/6446541013180")</f>
        <v>https://utrucking.com/admin/orders/6446541013180</v>
      </c>
      <c r="B154" s="61" t="str">
        <f>IFERROR(__xludf.DUMMYFUNCTION("""COMPUTED_VALUE"""),"#17910")</f>
        <v>#17910</v>
      </c>
      <c r="C154" s="61" t="str">
        <f>IFERROR(__xludf.DUMMYFUNCTION("""COMPUTED_VALUE"""),"anya2mathur@gmail.com")</f>
        <v>anya2mathur@gmail.com</v>
      </c>
      <c r="D154" s="61">
        <f>IFERROR(__xludf.DUMMYFUNCTION("""COMPUTED_VALUE"""),2.167779895E9)</f>
        <v>2167779895</v>
      </c>
      <c r="E154" s="61" t="str">
        <f>IFERROR(__xludf.DUMMYFUNCTION("""COMPUTED_VALUE"""),"Anya Mathur")</f>
        <v>Anya Mathur</v>
      </c>
      <c r="F154" s="61" t="str">
        <f>IFERROR(__xludf.DUMMYFUNCTION("""COMPUTED_VALUE"""),"Anya Mathur")</f>
        <v>Anya Mathur</v>
      </c>
      <c r="G154" s="61"/>
      <c r="H154" s="61" t="str">
        <f>IFERROR(__xludf.DUMMYFUNCTION("""COMPUTED_VALUE"""),"Appliance Rental Return")</f>
        <v>Appliance Rental Return</v>
      </c>
      <c r="I154" s="61" t="str">
        <f>IFERROR(__xludf.DUMMYFUNCTION("""COMPUTED_VALUE""")," Double-Door Mini Fridge   - ")</f>
        <v> Double-Door Mini Fridge   - </v>
      </c>
      <c r="J154" s="107" t="str">
        <f>IFERROR(__xludf.DUMMYFUNCTION("""COMPUTED_VALUE"""),"Nemerov  ")</f>
        <v>Nemerov  </v>
      </c>
      <c r="K154" s="100">
        <f>IFERROR(__xludf.DUMMYFUNCTION("""COMPUTED_VALUE"""),46149.0)</f>
        <v>46149</v>
      </c>
      <c r="L154" s="61" t="str">
        <f>IFERROR(__xludf.DUMMYFUNCTION("""COMPUTED_VALUE"""),"4110")</f>
        <v>4110</v>
      </c>
      <c r="M154" s="61" t="str">
        <f>IFERROR(__xludf.DUMMYFUNCTION("""COMPUTED_VALUE""")," ")</f>
        <v> </v>
      </c>
    </row>
    <row r="155">
      <c r="A155" s="102" t="str">
        <f>IFERROR(__xludf.DUMMYFUNCTION("""COMPUTED_VALUE"""),"https://utrucking.com/admin/orders/6446568865980")</f>
        <v>https://utrucking.com/admin/orders/6446568865980</v>
      </c>
      <c r="B155" s="65" t="str">
        <f>IFERROR(__xludf.DUMMYFUNCTION("""COMPUTED_VALUE"""),"#17912")</f>
        <v>#17912</v>
      </c>
      <c r="C155" s="65" t="str">
        <f>IFERROR(__xludf.DUMMYFUNCTION("""COMPUTED_VALUE"""),"j.kat@wustl.edu")</f>
        <v>j.kat@wustl.edu</v>
      </c>
      <c r="D155" s="65">
        <f>IFERROR(__xludf.DUMMYFUNCTION("""COMPUTED_VALUE"""),5.02938081E9)</f>
        <v>5029380810</v>
      </c>
      <c r="E155" s="65" t="str">
        <f>IFERROR(__xludf.DUMMYFUNCTION("""COMPUTED_VALUE"""),"Katherine James")</f>
        <v>Katherine James</v>
      </c>
      <c r="F155" s="65" t="str">
        <f>IFERROR(__xludf.DUMMYFUNCTION("""COMPUTED_VALUE"""),"Kat James")</f>
        <v>Kat James</v>
      </c>
      <c r="G155" s="65"/>
      <c r="H155" s="65" t="str">
        <f>IFERROR(__xludf.DUMMYFUNCTION("""COMPUTED_VALUE"""),"Appliance Rental Return")</f>
        <v>Appliance Rental Return</v>
      </c>
      <c r="I155" s="65" t="str">
        <f>IFERROR(__xludf.DUMMYFUNCTION("""COMPUTED_VALUE""")," Standard Mini Fridge   - ")</f>
        <v> Standard Mini Fridge   - </v>
      </c>
      <c r="J155" s="108" t="str">
        <f>IFERROR(__xludf.DUMMYFUNCTION("""COMPUTED_VALUE"""),"Myers  ")</f>
        <v>Myers  </v>
      </c>
      <c r="K155" s="103">
        <f>IFERROR(__xludf.DUMMYFUNCTION("""COMPUTED_VALUE"""),46141.0)</f>
        <v>46141</v>
      </c>
      <c r="L155" s="65" t="str">
        <f>IFERROR(__xludf.DUMMYFUNCTION("""COMPUTED_VALUE"""),"412")</f>
        <v>412</v>
      </c>
      <c r="M155" s="65" t="str">
        <f>IFERROR(__xludf.DUMMYFUNCTION("""COMPUTED_VALUE""")," ")</f>
        <v> </v>
      </c>
    </row>
    <row r="156">
      <c r="A156" s="99" t="str">
        <f>IFERROR(__xludf.DUMMYFUNCTION("""COMPUTED_VALUE"""),"https://utrucking.com/admin/orders/6446573224124")</f>
        <v>https://utrucking.com/admin/orders/6446573224124</v>
      </c>
      <c r="B156" s="61" t="str">
        <f>IFERROR(__xludf.DUMMYFUNCTION("""COMPUTED_VALUE"""),"#17913")</f>
        <v>#17913</v>
      </c>
      <c r="C156" s="61" t="str">
        <f>IFERROR(__xludf.DUMMYFUNCTION("""COMPUTED_VALUE"""),"diana.x@wustl.edu")</f>
        <v>diana.x@wustl.edu</v>
      </c>
      <c r="D156" s="61">
        <f>IFERROR(__xludf.DUMMYFUNCTION("""COMPUTED_VALUE"""),7.328615816E9)</f>
        <v>7328615816</v>
      </c>
      <c r="E156" s="61" t="str">
        <f>IFERROR(__xludf.DUMMYFUNCTION("""COMPUTED_VALUE"""),"Diana Xiao")</f>
        <v>Diana Xiao</v>
      </c>
      <c r="F156" s="61" t="str">
        <f>IFERROR(__xludf.DUMMYFUNCTION("""COMPUTED_VALUE"""),"Diana Xiao")</f>
        <v>Diana Xiao</v>
      </c>
      <c r="G156" s="61"/>
      <c r="H156" s="61" t="str">
        <f>IFERROR(__xludf.DUMMYFUNCTION("""COMPUTED_VALUE"""),"Appliance Rental Return")</f>
        <v>Appliance Rental Return</v>
      </c>
      <c r="I156" s="61" t="str">
        <f>IFERROR(__xludf.DUMMYFUNCTION("""COMPUTED_VALUE""")," Double-Door Mini Fridge   - ")</f>
        <v> Double-Door Mini Fridge   - </v>
      </c>
      <c r="J156" s="107" t="str">
        <f>IFERROR(__xludf.DUMMYFUNCTION("""COMPUTED_VALUE"""),"Danforth  ")</f>
        <v>Danforth  </v>
      </c>
      <c r="K156" s="100">
        <f>IFERROR(__xludf.DUMMYFUNCTION("""COMPUTED_VALUE"""),46148.0)</f>
        <v>46148</v>
      </c>
      <c r="L156" s="61" t="str">
        <f>IFERROR(__xludf.DUMMYFUNCTION("""COMPUTED_VALUE"""),"4413")</f>
        <v>4413</v>
      </c>
      <c r="M156" s="61" t="str">
        <f>IFERROR(__xludf.DUMMYFUNCTION("""COMPUTED_VALUE""")," ")</f>
        <v> </v>
      </c>
    </row>
    <row r="157">
      <c r="A157" s="102" t="str">
        <f>IFERROR(__xludf.DUMMYFUNCTION("""COMPUTED_VALUE"""),"https://utrucking.com/admin/orders/6446577483964")</f>
        <v>https://utrucking.com/admin/orders/6446577483964</v>
      </c>
      <c r="B157" s="65" t="str">
        <f>IFERROR(__xludf.DUMMYFUNCTION("""COMPUTED_VALUE"""),"#17914")</f>
        <v>#17914</v>
      </c>
      <c r="C157" s="65" t="str">
        <f>IFERROR(__xludf.DUMMYFUNCTION("""COMPUTED_VALUE"""),"chrismaher03@gmail.com")</f>
        <v>chrismaher03@gmail.com</v>
      </c>
      <c r="D157" s="65">
        <f>IFERROR(__xludf.DUMMYFUNCTION("""COMPUTED_VALUE"""),4.045786708E9)</f>
        <v>4045786708</v>
      </c>
      <c r="E157" s="65" t="str">
        <f>IFERROR(__xludf.DUMMYFUNCTION("""COMPUTED_VALUE"""),"Chris Maher")</f>
        <v>Chris Maher</v>
      </c>
      <c r="F157" s="65" t="str">
        <f>IFERROR(__xludf.DUMMYFUNCTION("""COMPUTED_VALUE"""),"Collin Maher")</f>
        <v>Collin Maher</v>
      </c>
      <c r="G157" s="65"/>
      <c r="H157" s="65" t="str">
        <f>IFERROR(__xludf.DUMMYFUNCTION("""COMPUTED_VALUE"""),"Appliance Rental Return")</f>
        <v>Appliance Rental Return</v>
      </c>
      <c r="I157" s="65" t="str">
        <f>IFERROR(__xludf.DUMMYFUNCTION("""COMPUTED_VALUE""")," Double-Door Mini Fridge + Microwave   - ")</f>
        <v> Double-Door Mini Fridge + Microwave   - </v>
      </c>
      <c r="J157" s="108" t="str">
        <f>IFERROR(__xludf.DUMMYFUNCTION("""COMPUTED_VALUE"""),"Dauten  ")</f>
        <v>Dauten  </v>
      </c>
      <c r="K157" s="103">
        <f>IFERROR(__xludf.DUMMYFUNCTION("""COMPUTED_VALUE"""),46143.0)</f>
        <v>46143</v>
      </c>
      <c r="L157" s="65" t="str">
        <f>IFERROR(__xludf.DUMMYFUNCTION("""COMPUTED_VALUE"""),"4th floor")</f>
        <v>4th floor</v>
      </c>
      <c r="M157" s="65" t="str">
        <f>IFERROR(__xludf.DUMMYFUNCTION("""COMPUTED_VALUE""")," ")</f>
        <v> </v>
      </c>
    </row>
    <row r="158">
      <c r="A158" s="99" t="str">
        <f>IFERROR(__xludf.DUMMYFUNCTION("""COMPUTED_VALUE"""),"https://utrucking.com/admin/orders/6446583349436")</f>
        <v>https://utrucking.com/admin/orders/6446583349436</v>
      </c>
      <c r="B158" s="61" t="str">
        <f>IFERROR(__xludf.DUMMYFUNCTION("""COMPUTED_VALUE"""),"#17915")</f>
        <v>#17915</v>
      </c>
      <c r="C158" s="61" t="str">
        <f>IFERROR(__xludf.DUMMYFUNCTION("""COMPUTED_VALUE"""),"ejbloom54@gmail.com")</f>
        <v>ejbloom54@gmail.com</v>
      </c>
      <c r="D158" s="61">
        <f>IFERROR(__xludf.DUMMYFUNCTION("""COMPUTED_VALUE"""),9.179355698E9)</f>
        <v>9179355698</v>
      </c>
      <c r="E158" s="61" t="str">
        <f>IFERROR(__xludf.DUMMYFUNCTION("""COMPUTED_VALUE"""),"Ethan Bloom")</f>
        <v>Ethan Bloom</v>
      </c>
      <c r="F158" s="61" t="str">
        <f>IFERROR(__xludf.DUMMYFUNCTION("""COMPUTED_VALUE"""),"Ethan Bloom ")</f>
        <v>Ethan Bloom </v>
      </c>
      <c r="G158" s="61"/>
      <c r="H158" s="61" t="str">
        <f>IFERROR(__xludf.DUMMYFUNCTION("""COMPUTED_VALUE"""),"Appliance Rental Return")</f>
        <v>Appliance Rental Return</v>
      </c>
      <c r="I158" s="61" t="str">
        <f>IFERROR(__xludf.DUMMYFUNCTION("""COMPUTED_VALUE""")," Double-Door Mini Fridge + Microwave   - ")</f>
        <v> Double-Door Mini Fridge + Microwave   - </v>
      </c>
      <c r="J158" s="107" t="str">
        <f>IFERROR(__xludf.DUMMYFUNCTION("""COMPUTED_VALUE"""),"House 2 (Sigma Nu)  ")</f>
        <v>House 2 (Sigma Nu)  </v>
      </c>
      <c r="K158" s="100">
        <f>IFERROR(__xludf.DUMMYFUNCTION("""COMPUTED_VALUE"""),46149.0)</f>
        <v>46149</v>
      </c>
      <c r="L158" s="61" t="str">
        <f>IFERROR(__xludf.DUMMYFUNCTION("""COMPUTED_VALUE"""),"209")</f>
        <v>209</v>
      </c>
      <c r="M158" s="61" t="str">
        <f>IFERROR(__xludf.DUMMYFUNCTION("""COMPUTED_VALUE""")," ")</f>
        <v> </v>
      </c>
    </row>
    <row r="159">
      <c r="A159" s="102" t="str">
        <f>IFERROR(__xludf.DUMMYFUNCTION("""COMPUTED_VALUE"""),"https://utrucking.com/admin/orders/6446604517564")</f>
        <v>https://utrucking.com/admin/orders/6446604517564</v>
      </c>
      <c r="B159" s="65" t="str">
        <f>IFERROR(__xludf.DUMMYFUNCTION("""COMPUTED_VALUE"""),"#17917")</f>
        <v>#17917</v>
      </c>
      <c r="C159" s="65" t="str">
        <f>IFERROR(__xludf.DUMMYFUNCTION("""COMPUTED_VALUE"""),"kjjs777@gmail.com")</f>
        <v>kjjs777@gmail.com</v>
      </c>
      <c r="D159" s="65">
        <f>IFERROR(__xludf.DUMMYFUNCTION("""COMPUTED_VALUE"""),6.462713339E9)</f>
        <v>6462713339</v>
      </c>
      <c r="E159" s="65" t="str">
        <f>IFERROR(__xludf.DUMMYFUNCTION("""COMPUTED_VALUE"""),"Keyin Choi")</f>
        <v>Keyin Choi</v>
      </c>
      <c r="F159" s="65" t="str">
        <f>IFERROR(__xludf.DUMMYFUNCTION("""COMPUTED_VALUE"""),"Jonas Kim")</f>
        <v>Jonas Kim</v>
      </c>
      <c r="G159" s="65"/>
      <c r="H159" s="65" t="str">
        <f>IFERROR(__xludf.DUMMYFUNCTION("""COMPUTED_VALUE"""),"Appliance Rental Return")</f>
        <v>Appliance Rental Return</v>
      </c>
      <c r="I159" s="65" t="str">
        <f>IFERROR(__xludf.DUMMYFUNCTION("""COMPUTED_VALUE""")," Double-Door Mini Fridge + Microwave   - ")</f>
        <v> Double-Door Mini Fridge + Microwave   - </v>
      </c>
      <c r="J159" s="108" t="str">
        <f>IFERROR(__xludf.DUMMYFUNCTION("""COMPUTED_VALUE"""),"Umrath  ")</f>
        <v>Umrath  </v>
      </c>
      <c r="K159" s="103">
        <f>IFERROR(__xludf.DUMMYFUNCTION("""COMPUTED_VALUE"""),46147.0)</f>
        <v>46147</v>
      </c>
      <c r="L159" s="65" t="str">
        <f>IFERROR(__xludf.DUMMYFUNCTION("""COMPUTED_VALUE"""),"4422")</f>
        <v>4422</v>
      </c>
      <c r="M159" s="65" t="str">
        <f>IFERROR(__xludf.DUMMYFUNCTION("""COMPUTED_VALUE""")," ")</f>
        <v> </v>
      </c>
    </row>
    <row r="160">
      <c r="A160" s="99" t="str">
        <f>IFERROR(__xludf.DUMMYFUNCTION("""COMPUTED_VALUE"""),"https://utrucking.com/admin/orders/6446609170620")</f>
        <v>https://utrucking.com/admin/orders/6446609170620</v>
      </c>
      <c r="B160" s="61" t="str">
        <f>IFERROR(__xludf.DUMMYFUNCTION("""COMPUTED_VALUE"""),"#17918")</f>
        <v>#17918</v>
      </c>
      <c r="C160" s="61" t="str">
        <f>IFERROR(__xludf.DUMMYFUNCTION("""COMPUTED_VALUE"""),"anniehlavka@gmail.com")</f>
        <v>anniehlavka@gmail.com</v>
      </c>
      <c r="D160" s="61">
        <f>IFERROR(__xludf.DUMMYFUNCTION("""COMPUTED_VALUE"""),6.504228482E9)</f>
        <v>6504228482</v>
      </c>
      <c r="E160" s="61" t="str">
        <f>IFERROR(__xludf.DUMMYFUNCTION("""COMPUTED_VALUE"""),"Anne Hlavka")</f>
        <v>Anne Hlavka</v>
      </c>
      <c r="F160" s="61" t="str">
        <f>IFERROR(__xludf.DUMMYFUNCTION("""COMPUTED_VALUE"""),"Annie Hlavka")</f>
        <v>Annie Hlavka</v>
      </c>
      <c r="G160" s="61"/>
      <c r="H160" s="61" t="str">
        <f>IFERROR(__xludf.DUMMYFUNCTION("""COMPUTED_VALUE"""),"Appliance Rental Return")</f>
        <v>Appliance Rental Return</v>
      </c>
      <c r="I160" s="61" t="str">
        <f>IFERROR(__xludf.DUMMYFUNCTION("""COMPUTED_VALUE""")," Standard Mini Fridge   - ")</f>
        <v> Standard Mini Fridge   - </v>
      </c>
      <c r="J160" s="107" t="str">
        <f>IFERROR(__xludf.DUMMYFUNCTION("""COMPUTED_VALUE"""),"Millbrook Bldg. 3  ")</f>
        <v>Millbrook Bldg. 3  </v>
      </c>
      <c r="K160" s="100">
        <f>IFERROR(__xludf.DUMMYFUNCTION("""COMPUTED_VALUE"""),46150.0)</f>
        <v>46150</v>
      </c>
      <c r="L160" s="61" t="str">
        <f>IFERROR(__xludf.DUMMYFUNCTION("""COMPUTED_VALUE"""),"101A")</f>
        <v>101A</v>
      </c>
      <c r="M160" s="61" t="str">
        <f>IFERROR(__xludf.DUMMYFUNCTION("""COMPUTED_VALUE""")," ")</f>
        <v> </v>
      </c>
    </row>
    <row r="161">
      <c r="A161" s="102" t="str">
        <f>IFERROR(__xludf.DUMMYFUNCTION("""COMPUTED_VALUE"""),"https://utrucking.com/admin/orders/6446610448572")</f>
        <v>https://utrucking.com/admin/orders/6446610448572</v>
      </c>
      <c r="B161" s="65" t="str">
        <f>IFERROR(__xludf.DUMMYFUNCTION("""COMPUTED_VALUE"""),"#17919")</f>
        <v>#17919</v>
      </c>
      <c r="C161" s="65" t="str">
        <f>IFERROR(__xludf.DUMMYFUNCTION("""COMPUTED_VALUE"""),"averyt@wustl.edu")</f>
        <v>averyt@wustl.edu</v>
      </c>
      <c r="D161" s="65">
        <f>IFERROR(__xludf.DUMMYFUNCTION("""COMPUTED_VALUE"""),8.084920384E9)</f>
        <v>8084920384</v>
      </c>
      <c r="E161" s="65" t="str">
        <f>IFERROR(__xludf.DUMMYFUNCTION("""COMPUTED_VALUE"""),"Avery Tanaka")</f>
        <v>Avery Tanaka</v>
      </c>
      <c r="F161" s="65" t="str">
        <f>IFERROR(__xludf.DUMMYFUNCTION("""COMPUTED_VALUE"""),"Avery Tanaka")</f>
        <v>Avery Tanaka</v>
      </c>
      <c r="G161" s="65"/>
      <c r="H161" s="65" t="str">
        <f>IFERROR(__xludf.DUMMYFUNCTION("""COMPUTED_VALUE"""),"Appliance Rental Return")</f>
        <v>Appliance Rental Return</v>
      </c>
      <c r="I161" s="65" t="str">
        <f>IFERROR(__xludf.DUMMYFUNCTION("""COMPUTED_VALUE""")," Double-Door Mini Fridge + Microwave   - ")</f>
        <v> Double-Door Mini Fridge + Microwave   - </v>
      </c>
      <c r="J161" s="108" t="str">
        <f>IFERROR(__xludf.DUMMYFUNCTION("""COMPUTED_VALUE"""),"Umrath  ")</f>
        <v>Umrath  </v>
      </c>
      <c r="K161" s="103">
        <f>IFERROR(__xludf.DUMMYFUNCTION("""COMPUTED_VALUE"""),46148.0)</f>
        <v>46148</v>
      </c>
      <c r="L161" s="65" t="str">
        <f>IFERROR(__xludf.DUMMYFUNCTION("""COMPUTED_VALUE"""),"4434")</f>
        <v>4434</v>
      </c>
      <c r="M161" s="65" t="str">
        <f>IFERROR(__xludf.DUMMYFUNCTION("""COMPUTED_VALUE""")," ")</f>
        <v> </v>
      </c>
    </row>
    <row r="162">
      <c r="A162" s="99" t="str">
        <f>IFERROR(__xludf.DUMMYFUNCTION("""COMPUTED_VALUE"""),"https://utrucking.com/admin/orders/6446614905020")</f>
        <v>https://utrucking.com/admin/orders/6446614905020</v>
      </c>
      <c r="B162" s="61" t="str">
        <f>IFERROR(__xludf.DUMMYFUNCTION("""COMPUTED_VALUE"""),"#17920")</f>
        <v>#17920</v>
      </c>
      <c r="C162" s="61" t="str">
        <f>IFERROR(__xludf.DUMMYFUNCTION("""COMPUTED_VALUE"""),"elliot.perlis@gmail.com")</f>
        <v>elliot.perlis@gmail.com</v>
      </c>
      <c r="D162" s="61">
        <f>IFERROR(__xludf.DUMMYFUNCTION("""COMPUTED_VALUE"""),6.10608914E9)</f>
        <v>6106089140</v>
      </c>
      <c r="E162" s="61" t="str">
        <f>IFERROR(__xludf.DUMMYFUNCTION("""COMPUTED_VALUE"""),"Elliot Perlis")</f>
        <v>Elliot Perlis</v>
      </c>
      <c r="F162" s="61" t="str">
        <f>IFERROR(__xludf.DUMMYFUNCTION("""COMPUTED_VALUE"""),"Elliot Perlis")</f>
        <v>Elliot Perlis</v>
      </c>
      <c r="G162" s="61"/>
      <c r="H162" s="61" t="str">
        <f>IFERROR(__xludf.DUMMYFUNCTION("""COMPUTED_VALUE"""),"Appliance Rental Return")</f>
        <v>Appliance Rental Return</v>
      </c>
      <c r="I162" s="61" t="str">
        <f>IFERROR(__xludf.DUMMYFUNCTION("""COMPUTED_VALUE""")," Standard Mini Fridge   - ")</f>
        <v> Standard Mini Fridge   - </v>
      </c>
      <c r="J162" s="107" t="str">
        <f>IFERROR(__xludf.DUMMYFUNCTION("""COMPUTED_VALUE"""),"Dauten  ")</f>
        <v>Dauten  </v>
      </c>
      <c r="K162" s="100">
        <f>IFERROR(__xludf.DUMMYFUNCTION("""COMPUTED_VALUE"""),46148.0)</f>
        <v>46148</v>
      </c>
      <c r="L162" s="61" t="str">
        <f>IFERROR(__xludf.DUMMYFUNCTION("""COMPUTED_VALUE"""),"414")</f>
        <v>414</v>
      </c>
      <c r="M162" s="61" t="str">
        <f>IFERROR(__xludf.DUMMYFUNCTION("""COMPUTED_VALUE""")," ")</f>
        <v> </v>
      </c>
    </row>
    <row r="163">
      <c r="A163" s="102" t="str">
        <f>IFERROR(__xludf.DUMMYFUNCTION("""COMPUTED_VALUE"""),"https://utrucking.com/admin/orders/6446617952444")</f>
        <v>https://utrucking.com/admin/orders/6446617952444</v>
      </c>
      <c r="B163" s="65" t="str">
        <f>IFERROR(__xludf.DUMMYFUNCTION("""COMPUTED_VALUE"""),"#17922")</f>
        <v>#17922</v>
      </c>
      <c r="C163" s="65" t="str">
        <f>IFERROR(__xludf.DUMMYFUNCTION("""COMPUTED_VALUE"""),"taytaypeng@gmail.com")</f>
        <v>taytaypeng@gmail.com</v>
      </c>
      <c r="D163" s="65">
        <f>IFERROR(__xludf.DUMMYFUNCTION("""COMPUTED_VALUE"""),6.265875653E9)</f>
        <v>6265875653</v>
      </c>
      <c r="E163" s="65" t="str">
        <f>IFERROR(__xludf.DUMMYFUNCTION("""COMPUTED_VALUE"""),"Taylor Peng")</f>
        <v>Taylor Peng</v>
      </c>
      <c r="F163" s="65" t="str">
        <f>IFERROR(__xludf.DUMMYFUNCTION("""COMPUTED_VALUE"""),"Taylor Peng")</f>
        <v>Taylor Peng</v>
      </c>
      <c r="G163" s="65"/>
      <c r="H163" s="65" t="str">
        <f>IFERROR(__xludf.DUMMYFUNCTION("""COMPUTED_VALUE"""),"Appliance Rental Return")</f>
        <v>Appliance Rental Return</v>
      </c>
      <c r="I163" s="65" t="str">
        <f>IFERROR(__xludf.DUMMYFUNCTION("""COMPUTED_VALUE""")," Double-Door Mini Fridge + Microwave   - ")</f>
        <v> Double-Door Mini Fridge + Microwave   - </v>
      </c>
      <c r="J163" s="108" t="str">
        <f>IFERROR(__xludf.DUMMYFUNCTION("""COMPUTED_VALUE"""),"Lien  ")</f>
        <v>Lien  </v>
      </c>
      <c r="K163" s="103">
        <f>IFERROR(__xludf.DUMMYFUNCTION("""COMPUTED_VALUE"""),46147.0)</f>
        <v>46147</v>
      </c>
      <c r="L163" s="65" t="str">
        <f>IFERROR(__xludf.DUMMYFUNCTION("""COMPUTED_VALUE"""),"1103")</f>
        <v>1103</v>
      </c>
      <c r="M163" s="65" t="str">
        <f>IFERROR(__xludf.DUMMYFUNCTION("""COMPUTED_VALUE""")," ")</f>
        <v> </v>
      </c>
    </row>
    <row r="164">
      <c r="A164" s="99" t="str">
        <f>IFERROR(__xludf.DUMMYFUNCTION("""COMPUTED_VALUE"""),"https://utrucking.com/admin/orders/6446618968252")</f>
        <v>https://utrucking.com/admin/orders/6446618968252</v>
      </c>
      <c r="B164" s="61" t="str">
        <f>IFERROR(__xludf.DUMMYFUNCTION("""COMPUTED_VALUE"""),"#17923")</f>
        <v>#17923</v>
      </c>
      <c r="C164" s="61" t="str">
        <f>IFERROR(__xludf.DUMMYFUNCTION("""COMPUTED_VALUE"""),"renacohen46@gmail.com")</f>
        <v>renacohen46@gmail.com</v>
      </c>
      <c r="D164" s="61">
        <f>IFERROR(__xludf.DUMMYFUNCTION("""COMPUTED_VALUE"""),8.125588554E9)</f>
        <v>8125588554</v>
      </c>
      <c r="E164" s="61" t="str">
        <f>IFERROR(__xludf.DUMMYFUNCTION("""COMPUTED_VALUE"""),"Rena Cohen")</f>
        <v>Rena Cohen</v>
      </c>
      <c r="F164" s="61" t="str">
        <f>IFERROR(__xludf.DUMMYFUNCTION("""COMPUTED_VALUE"""),"Rena Cohen")</f>
        <v>Rena Cohen</v>
      </c>
      <c r="G164" s="61"/>
      <c r="H164" s="61" t="str">
        <f>IFERROR(__xludf.DUMMYFUNCTION("""COMPUTED_VALUE"""),"Appliance Rental Return")</f>
        <v>Appliance Rental Return</v>
      </c>
      <c r="I164" s="61" t="str">
        <f>IFERROR(__xludf.DUMMYFUNCTION("""COMPUTED_VALUE""")," Double-Door Mini Fridge + Microwave   - ")</f>
        <v> Double-Door Mini Fridge + Microwave   - </v>
      </c>
      <c r="J164" s="107" t="str">
        <f>IFERROR(__xludf.DUMMYFUNCTION("""COMPUTED_VALUE"""),"Village House  ")</f>
        <v>Village House  </v>
      </c>
      <c r="K164" s="100">
        <f>IFERROR(__xludf.DUMMYFUNCTION("""COMPUTED_VALUE"""),46149.0)</f>
        <v>46149</v>
      </c>
      <c r="L164" s="61" t="str">
        <f>IFERROR(__xludf.DUMMYFUNCTION("""COMPUTED_VALUE"""),"3131")</f>
        <v>3131</v>
      </c>
      <c r="M164" s="61" t="str">
        <f>IFERROR(__xludf.DUMMYFUNCTION("""COMPUTED_VALUE""")," ")</f>
        <v> </v>
      </c>
    </row>
    <row r="165">
      <c r="A165" s="102" t="str">
        <f>IFERROR(__xludf.DUMMYFUNCTION("""COMPUTED_VALUE"""),"https://utrucking.com/admin/orders/6446622474428")</f>
        <v>https://utrucking.com/admin/orders/6446622474428</v>
      </c>
      <c r="B165" s="65" t="str">
        <f>IFERROR(__xludf.DUMMYFUNCTION("""COMPUTED_VALUE"""),"#17924")</f>
        <v>#17924</v>
      </c>
      <c r="C165" s="65" t="str">
        <f>IFERROR(__xludf.DUMMYFUNCTION("""COMPUTED_VALUE"""),"cecijohnson4@gmail.com")</f>
        <v>cecijohnson4@gmail.com</v>
      </c>
      <c r="D165" s="65">
        <f>IFERROR(__xludf.DUMMYFUNCTION("""COMPUTED_VALUE"""),4.043745992E9)</f>
        <v>4043745992</v>
      </c>
      <c r="E165" s="65" t="str">
        <f>IFERROR(__xludf.DUMMYFUNCTION("""COMPUTED_VALUE"""),"Caroline Johnson")</f>
        <v>Caroline Johnson</v>
      </c>
      <c r="F165" s="65" t="str">
        <f>IFERROR(__xludf.DUMMYFUNCTION("""COMPUTED_VALUE"""),"Lucy Johnson")</f>
        <v>Lucy Johnson</v>
      </c>
      <c r="G165" s="65"/>
      <c r="H165" s="65" t="str">
        <f>IFERROR(__xludf.DUMMYFUNCTION("""COMPUTED_VALUE"""),"Appliance Rental Return")</f>
        <v>Appliance Rental Return</v>
      </c>
      <c r="I165" s="65" t="str">
        <f>IFERROR(__xludf.DUMMYFUNCTION("""COMPUTED_VALUE""")," Double-Door Mini Fridge   - ")</f>
        <v> Double-Door Mini Fridge   - </v>
      </c>
      <c r="J165" s="108" t="str">
        <f>IFERROR(__xludf.DUMMYFUNCTION("""COMPUTED_VALUE"""),"Dauten  ")</f>
        <v>Dauten  </v>
      </c>
      <c r="K165" s="103">
        <f>IFERROR(__xludf.DUMMYFUNCTION("""COMPUTED_VALUE"""),46148.0)</f>
        <v>46148</v>
      </c>
      <c r="L165" s="65" t="str">
        <f>IFERROR(__xludf.DUMMYFUNCTION("""COMPUTED_VALUE"""),"44")</f>
        <v>44</v>
      </c>
      <c r="M165" s="65" t="str">
        <f>IFERROR(__xludf.DUMMYFUNCTION("""COMPUTED_VALUE""")," Lucy is moving out on 5/3 but we will leave the fridge until exams are over (5/6) for her roommate to use.")</f>
        <v> Lucy is moving out on 5/3 but we will leave the fridge until exams are over (5/6) for her roommate to use.</v>
      </c>
    </row>
    <row r="166">
      <c r="A166" s="99" t="str">
        <f>IFERROR(__xludf.DUMMYFUNCTION("""COMPUTED_VALUE"""),"https://utrucking.com/admin/orders/6446678278332")</f>
        <v>https://utrucking.com/admin/orders/6446678278332</v>
      </c>
      <c r="B166" s="61" t="str">
        <f>IFERROR(__xludf.DUMMYFUNCTION("""COMPUTED_VALUE"""),"#17926")</f>
        <v>#17926</v>
      </c>
      <c r="C166" s="61" t="str">
        <f>IFERROR(__xludf.DUMMYFUNCTION("""COMPUTED_VALUE"""),"rowantieh@gmail.com")</f>
        <v>rowantieh@gmail.com</v>
      </c>
      <c r="D166" s="61">
        <f>IFERROR(__xludf.DUMMYFUNCTION("""COMPUTED_VALUE"""),6.508688751E9)</f>
        <v>6508688751</v>
      </c>
      <c r="E166" s="61" t="str">
        <f>IFERROR(__xludf.DUMMYFUNCTION("""COMPUTED_VALUE"""),"Dante Corricello")</f>
        <v>Dante Corricello</v>
      </c>
      <c r="F166" s="61" t="str">
        <f>IFERROR(__xludf.DUMMYFUNCTION("""COMPUTED_VALUE"""),"R. Dehao Tieh")</f>
        <v>R. Dehao Tieh</v>
      </c>
      <c r="G166" s="61"/>
      <c r="H166" s="61" t="str">
        <f>IFERROR(__xludf.DUMMYFUNCTION("""COMPUTED_VALUE"""),"Appliance Rental Return")</f>
        <v>Appliance Rental Return</v>
      </c>
      <c r="I166" s="61" t="str">
        <f>IFERROR(__xludf.DUMMYFUNCTION("""COMPUTED_VALUE""")," Double-Door Mini Fridge + Microwave   - ")</f>
        <v> Double-Door Mini Fridge + Microwave   - </v>
      </c>
      <c r="J166" s="107" t="str">
        <f>IFERROR(__xludf.DUMMYFUNCTION("""COMPUTED_VALUE"""),"Umrath  ")</f>
        <v>Umrath  </v>
      </c>
      <c r="K166" s="100">
        <f>IFERROR(__xludf.DUMMYFUNCTION("""COMPUTED_VALUE"""),46149.0)</f>
        <v>46149</v>
      </c>
      <c r="L166" s="61" t="str">
        <f>IFERROR(__xludf.DUMMYFUNCTION("""COMPUTED_VALUE"""),"1234")</f>
        <v>1234</v>
      </c>
      <c r="M166" s="61" t="str">
        <f>IFERROR(__xludf.DUMMYFUNCTION("""COMPUTED_VALUE""")," ")</f>
        <v> </v>
      </c>
    </row>
    <row r="167">
      <c r="A167" s="102" t="str">
        <f>IFERROR(__xludf.DUMMYFUNCTION("""COMPUTED_VALUE"""),"https://utrucking.com/admin/orders/6446700101820")</f>
        <v>https://utrucking.com/admin/orders/6446700101820</v>
      </c>
      <c r="B167" s="65" t="str">
        <f>IFERROR(__xludf.DUMMYFUNCTION("""COMPUTED_VALUE"""),"#17928")</f>
        <v>#17928</v>
      </c>
      <c r="C167" s="65" t="str">
        <f>IFERROR(__xludf.DUMMYFUNCTION("""COMPUTED_VALUE"""),"acharlotte@wustl.edu")</f>
        <v>acharlotte@wustl.edu</v>
      </c>
      <c r="D167" s="65">
        <f>IFERROR(__xludf.DUMMYFUNCTION("""COMPUTED_VALUE"""),7.18715543E9)</f>
        <v>7187155430</v>
      </c>
      <c r="E167" s="65" t="str">
        <f>IFERROR(__xludf.DUMMYFUNCTION("""COMPUTED_VALUE"""),"Charlotte Allinson")</f>
        <v>Charlotte Allinson</v>
      </c>
      <c r="F167" s="65" t="str">
        <f>IFERROR(__xludf.DUMMYFUNCTION("""COMPUTED_VALUE"""),"Charlotte Allinson")</f>
        <v>Charlotte Allinson</v>
      </c>
      <c r="G167" s="65"/>
      <c r="H167" s="65" t="str">
        <f>IFERROR(__xludf.DUMMYFUNCTION("""COMPUTED_VALUE"""),"Appliance Rental Return")</f>
        <v>Appliance Rental Return</v>
      </c>
      <c r="I167" s="65" t="str">
        <f>IFERROR(__xludf.DUMMYFUNCTION("""COMPUTED_VALUE""")," Double-Door Mini Fridge   - ")</f>
        <v> Double-Door Mini Fridge   - </v>
      </c>
      <c r="J167" s="108" t="str">
        <f>IFERROR(__xludf.DUMMYFUNCTION("""COMPUTED_VALUE"""),"Lopata  ")</f>
        <v>Lopata  </v>
      </c>
      <c r="K167" s="103">
        <f>IFERROR(__xludf.DUMMYFUNCTION("""COMPUTED_VALUE"""),46148.0)</f>
        <v>46148</v>
      </c>
      <c r="L167" s="65" t="str">
        <f>IFERROR(__xludf.DUMMYFUNCTION("""COMPUTED_VALUE"""),"3024")</f>
        <v>3024</v>
      </c>
      <c r="M167" s="65" t="str">
        <f>IFERROR(__xludf.DUMMYFUNCTION("""COMPUTED_VALUE""")," ")</f>
        <v> </v>
      </c>
    </row>
    <row r="168">
      <c r="A168" s="99" t="str">
        <f>IFERROR(__xludf.DUMMYFUNCTION("""COMPUTED_VALUE"""),"https://utrucking.com/admin/orders/6446726873276")</f>
        <v>https://utrucking.com/admin/orders/6446726873276</v>
      </c>
      <c r="B168" s="61" t="str">
        <f>IFERROR(__xludf.DUMMYFUNCTION("""COMPUTED_VALUE"""),"#17930")</f>
        <v>#17930</v>
      </c>
      <c r="C168" s="61" t="str">
        <f>IFERROR(__xludf.DUMMYFUNCTION("""COMPUTED_VALUE"""),"m.nikki@wustl.edu")</f>
        <v>m.nikki@wustl.edu</v>
      </c>
      <c r="D168" s="61">
        <f>IFERROR(__xludf.DUMMYFUNCTION("""COMPUTED_VALUE"""),8.08389152E9)</f>
        <v>8083891520</v>
      </c>
      <c r="E168" s="61" t="str">
        <f>IFERROR(__xludf.DUMMYFUNCTION("""COMPUTED_VALUE"""),"Nikki Ma")</f>
        <v>Nikki Ma</v>
      </c>
      <c r="F168" s="61" t="str">
        <f>IFERROR(__xludf.DUMMYFUNCTION("""COMPUTED_VALUE"""),"Nikki Ma")</f>
        <v>Nikki Ma</v>
      </c>
      <c r="G168" s="61"/>
      <c r="H168" s="61" t="str">
        <f>IFERROR(__xludf.DUMMYFUNCTION("""COMPUTED_VALUE"""),"Appliance Rental Return")</f>
        <v>Appliance Rental Return</v>
      </c>
      <c r="I168" s="61" t="str">
        <f>IFERROR(__xludf.DUMMYFUNCTION("""COMPUTED_VALUE""")," Double-Door Mini Fridge   - ")</f>
        <v> Double-Door Mini Fridge   - </v>
      </c>
      <c r="J168" s="107" t="str">
        <f>IFERROR(__xludf.DUMMYFUNCTION("""COMPUTED_VALUE"""),"Park  ")</f>
        <v>Park  </v>
      </c>
      <c r="K168" s="100">
        <f>IFERROR(__xludf.DUMMYFUNCTION("""COMPUTED_VALUE"""),46148.0)</f>
        <v>46148</v>
      </c>
      <c r="L168" s="61" t="str">
        <f>IFERROR(__xludf.DUMMYFUNCTION("""COMPUTED_VALUE"""),"472")</f>
        <v>472</v>
      </c>
      <c r="M168" s="61" t="str">
        <f>IFERROR(__xludf.DUMMYFUNCTION("""COMPUTED_VALUE""")," ")</f>
        <v> </v>
      </c>
    </row>
    <row r="169">
      <c r="A169" s="102" t="str">
        <f>IFERROR(__xludf.DUMMYFUNCTION("""COMPUTED_VALUE"""),"https://utrucking.com/admin/orders/6447035875516")</f>
        <v>https://utrucking.com/admin/orders/6447035875516</v>
      </c>
      <c r="B169" s="65" t="str">
        <f>IFERROR(__xludf.DUMMYFUNCTION("""COMPUTED_VALUE"""),"#17936")</f>
        <v>#17936</v>
      </c>
      <c r="C169" s="65" t="str">
        <f>IFERROR(__xludf.DUMMYFUNCTION("""COMPUTED_VALUE"""),"bkahn@irvinkahn.com")</f>
        <v>bkahn@irvinkahn.com</v>
      </c>
      <c r="D169" s="65">
        <f>IFERROR(__xludf.DUMMYFUNCTION("""COMPUTED_VALUE"""),3.17500095E9)</f>
        <v>3175000950</v>
      </c>
      <c r="E169" s="65" t="str">
        <f>IFERROR(__xludf.DUMMYFUNCTION("""COMPUTED_VALUE"""),"Brian Kahn")</f>
        <v>Brian Kahn</v>
      </c>
      <c r="F169" s="65" t="str">
        <f>IFERROR(__xludf.DUMMYFUNCTION("""COMPUTED_VALUE"""),"Noah Kahn")</f>
        <v>Noah Kahn</v>
      </c>
      <c r="G169" s="65"/>
      <c r="H169" s="65" t="str">
        <f>IFERROR(__xludf.DUMMYFUNCTION("""COMPUTED_VALUE"""),"Appliance Rental Return")</f>
        <v>Appliance Rental Return</v>
      </c>
      <c r="I169" s="65" t="str">
        <f>IFERROR(__xludf.DUMMYFUNCTION("""COMPUTED_VALUE""")," Double-Door Mini Fridge + Microwave   - ")</f>
        <v> Double-Door Mini Fridge + Microwave   - </v>
      </c>
      <c r="J169" s="108" t="str">
        <f>IFERROR(__xludf.DUMMYFUNCTION("""COMPUTED_VALUE"""),"Hurd  ")</f>
        <v>Hurd  </v>
      </c>
      <c r="K169" s="103">
        <f>IFERROR(__xludf.DUMMYFUNCTION("""COMPUTED_VALUE"""),46146.0)</f>
        <v>46146</v>
      </c>
      <c r="L169" s="65" t="str">
        <f>IFERROR(__xludf.DUMMYFUNCTION("""COMPUTED_VALUE"""),"121")</f>
        <v>121</v>
      </c>
      <c r="M169" s="65" t="str">
        <f>IFERROR(__xludf.DUMMYFUNCTION("""COMPUTED_VALUE""")," ")</f>
        <v> </v>
      </c>
    </row>
    <row r="170">
      <c r="A170" s="99" t="str">
        <f>IFERROR(__xludf.DUMMYFUNCTION("""COMPUTED_VALUE"""),"https://utrucking.com/admin/orders/6447041675452")</f>
        <v>https://utrucking.com/admin/orders/6447041675452</v>
      </c>
      <c r="B170" s="61" t="str">
        <f>IFERROR(__xludf.DUMMYFUNCTION("""COMPUTED_VALUE"""),"#17937")</f>
        <v>#17937</v>
      </c>
      <c r="C170" s="61" t="str">
        <f>IFERROR(__xludf.DUMMYFUNCTION("""COMPUTED_VALUE"""),"d.gabe@wustl.edu")</f>
        <v>d.gabe@wustl.edu</v>
      </c>
      <c r="D170" s="61">
        <f>IFERROR(__xludf.DUMMYFUNCTION("""COMPUTED_VALUE"""),4.342271287E9)</f>
        <v>4342271287</v>
      </c>
      <c r="E170" s="61" t="str">
        <f>IFERROR(__xludf.DUMMYFUNCTION("""COMPUTED_VALUE"""),"Gabriel Damiani")</f>
        <v>Gabriel Damiani</v>
      </c>
      <c r="F170" s="61" t="str">
        <f>IFERROR(__xludf.DUMMYFUNCTION("""COMPUTED_VALUE"""),"Gabe Damiani")</f>
        <v>Gabe Damiani</v>
      </c>
      <c r="G170" s="61"/>
      <c r="H170" s="61" t="str">
        <f>IFERROR(__xludf.DUMMYFUNCTION("""COMPUTED_VALUE"""),"Appliance Rental Return")</f>
        <v>Appliance Rental Return</v>
      </c>
      <c r="I170" s="61" t="str">
        <f>IFERROR(__xludf.DUMMYFUNCTION("""COMPUTED_VALUE""")," Double-Door Mini Fridge   - ")</f>
        <v> Double-Door Mini Fridge   - </v>
      </c>
      <c r="J170" s="107" t="str">
        <f>IFERROR(__xludf.DUMMYFUNCTION("""COMPUTED_VALUE"""),"Myers  ")</f>
        <v>Myers  </v>
      </c>
      <c r="K170" s="100">
        <f>IFERROR(__xludf.DUMMYFUNCTION("""COMPUTED_VALUE"""),46153.0)</f>
        <v>46153</v>
      </c>
      <c r="L170" s="61" t="str">
        <f>IFERROR(__xludf.DUMMYFUNCTION("""COMPUTED_VALUE"""),"421")</f>
        <v>421</v>
      </c>
      <c r="M170" s="61" t="str">
        <f>IFERROR(__xludf.DUMMYFUNCTION("""COMPUTED_VALUE""")," ")</f>
        <v> </v>
      </c>
    </row>
    <row r="171">
      <c r="A171" s="102" t="str">
        <f>IFERROR(__xludf.DUMMYFUNCTION("""COMPUTED_VALUE"""),"https://utrucking.com/admin/orders/6447041675452")</f>
        <v>https://utrucking.com/admin/orders/6447041675452</v>
      </c>
      <c r="B171" s="65" t="str">
        <f>IFERROR(__xludf.DUMMYFUNCTION("""COMPUTED_VALUE"""),"#17937")</f>
        <v>#17937</v>
      </c>
      <c r="C171" s="65" t="str">
        <f>IFERROR(__xludf.DUMMYFUNCTION("""COMPUTED_VALUE"""),"d.gabe@wustl.edu")</f>
        <v>d.gabe@wustl.edu</v>
      </c>
      <c r="D171" s="65">
        <f>IFERROR(__xludf.DUMMYFUNCTION("""COMPUTED_VALUE"""),4.342271287E9)</f>
        <v>4342271287</v>
      </c>
      <c r="E171" s="65" t="str">
        <f>IFERROR(__xludf.DUMMYFUNCTION("""COMPUTED_VALUE"""),"Gabriel Damiani")</f>
        <v>Gabriel Damiani</v>
      </c>
      <c r="F171" s="65" t="str">
        <f>IFERROR(__xludf.DUMMYFUNCTION("""COMPUTED_VALUE"""),"Gabe Damiani")</f>
        <v>Gabe Damiani</v>
      </c>
      <c r="G171" s="65"/>
      <c r="H171" s="65" t="str">
        <f>IFERROR(__xludf.DUMMYFUNCTION("""COMPUTED_VALUE"""),"Appliance Rental Return")</f>
        <v>Appliance Rental Return</v>
      </c>
      <c r="I171" s="65" t="str">
        <f>IFERROR(__xludf.DUMMYFUNCTION("""COMPUTED_VALUE""")," Double-Door Mini Fridge   - ")</f>
        <v> Double-Door Mini Fridge   - </v>
      </c>
      <c r="J171" s="108" t="str">
        <f>IFERROR(__xludf.DUMMYFUNCTION("""COMPUTED_VALUE"""),"Myers  ")</f>
        <v>Myers  </v>
      </c>
      <c r="K171" s="103">
        <f>IFERROR(__xludf.DUMMYFUNCTION("""COMPUTED_VALUE"""),46153.0)</f>
        <v>46153</v>
      </c>
      <c r="L171" s="65" t="str">
        <f>IFERROR(__xludf.DUMMYFUNCTION("""COMPUTED_VALUE"""),"421")</f>
        <v>421</v>
      </c>
      <c r="M171" s="65" t="str">
        <f>IFERROR(__xludf.DUMMYFUNCTION("""COMPUTED_VALUE""")," ")</f>
        <v> </v>
      </c>
    </row>
    <row r="172">
      <c r="A172" s="99" t="str">
        <f>IFERROR(__xludf.DUMMYFUNCTION("""COMPUTED_VALUE"""),"https://utrucking.com/admin/orders/6447057338556")</f>
        <v>https://utrucking.com/admin/orders/6447057338556</v>
      </c>
      <c r="B172" s="61" t="str">
        <f>IFERROR(__xludf.DUMMYFUNCTION("""COMPUTED_VALUE"""),"#17938")</f>
        <v>#17938</v>
      </c>
      <c r="C172" s="61" t="str">
        <f>IFERROR(__xludf.DUMMYFUNCTION("""COMPUTED_VALUE"""),"ctbucks@yahoo.com")</f>
        <v>ctbucks@yahoo.com</v>
      </c>
      <c r="D172" s="61">
        <f>IFERROR(__xludf.DUMMYFUNCTION("""COMPUTED_VALUE"""),2.032581107E9)</f>
        <v>2032581107</v>
      </c>
      <c r="E172" s="61" t="str">
        <f>IFERROR(__xludf.DUMMYFUNCTION("""COMPUTED_VALUE"""),"Amy Buckman")</f>
        <v>Amy Buckman</v>
      </c>
      <c r="F172" s="61" t="str">
        <f>IFERROR(__xludf.DUMMYFUNCTION("""COMPUTED_VALUE"""),"Jared Buckman")</f>
        <v>Jared Buckman</v>
      </c>
      <c r="G172" s="61"/>
      <c r="H172" s="61" t="str">
        <f>IFERROR(__xludf.DUMMYFUNCTION("""COMPUTED_VALUE"""),"Appliance Rental Return")</f>
        <v>Appliance Rental Return</v>
      </c>
      <c r="I172" s="61" t="str">
        <f>IFERROR(__xludf.DUMMYFUNCTION("""COMPUTED_VALUE""")," Double-Door Mini Fridge + Microwave   - ")</f>
        <v> Double-Door Mini Fridge + Microwave   - </v>
      </c>
      <c r="J172" s="107" t="str">
        <f>IFERROR(__xludf.DUMMYFUNCTION("""COMPUTED_VALUE"""),"Danforth  ")</f>
        <v>Danforth  </v>
      </c>
      <c r="K172" s="100">
        <f>IFERROR(__xludf.DUMMYFUNCTION("""COMPUTED_VALUE"""),46147.0)</f>
        <v>46147</v>
      </c>
      <c r="L172" s="61" t="str">
        <f>IFERROR(__xludf.DUMMYFUNCTION("""COMPUTED_VALUE"""),"3311")</f>
        <v>3311</v>
      </c>
      <c r="M172" s="61" t="str">
        <f>IFERROR(__xludf.DUMMYFUNCTION("""COMPUTED_VALUE""")," ")</f>
        <v> </v>
      </c>
    </row>
    <row r="173">
      <c r="A173" s="102" t="str">
        <f>IFERROR(__xludf.DUMMYFUNCTION("""COMPUTED_VALUE"""),"https://utrucking.com/admin/orders/6447059402940")</f>
        <v>https://utrucking.com/admin/orders/6447059402940</v>
      </c>
      <c r="B173" s="65" t="str">
        <f>IFERROR(__xludf.DUMMYFUNCTION("""COMPUTED_VALUE"""),"#17939")</f>
        <v>#17939</v>
      </c>
      <c r="C173" s="65" t="str">
        <f>IFERROR(__xludf.DUMMYFUNCTION("""COMPUTED_VALUE"""),"jenn.e.caplan@gmail.com")</f>
        <v>jenn.e.caplan@gmail.com</v>
      </c>
      <c r="D173" s="65">
        <f>IFERROR(__xludf.DUMMYFUNCTION("""COMPUTED_VALUE"""),9.199714693E9)</f>
        <v>9199714693</v>
      </c>
      <c r="E173" s="65" t="str">
        <f>IFERROR(__xludf.DUMMYFUNCTION("""COMPUTED_VALUE"""),"Jennifer Caplan")</f>
        <v>Jennifer Caplan</v>
      </c>
      <c r="F173" s="65" t="str">
        <f>IFERROR(__xludf.DUMMYFUNCTION("""COMPUTED_VALUE"""),"Sydney")</f>
        <v>Sydney</v>
      </c>
      <c r="G173" s="65"/>
      <c r="H173" s="65" t="str">
        <f>IFERROR(__xludf.DUMMYFUNCTION("""COMPUTED_VALUE"""),"Appliance Rental Return")</f>
        <v>Appliance Rental Return</v>
      </c>
      <c r="I173" s="65" t="str">
        <f>IFERROR(__xludf.DUMMYFUNCTION("""COMPUTED_VALUE""")," Double-Door Mini Fridge + Microwave   - ")</f>
        <v> Double-Door Mini Fridge + Microwave   - </v>
      </c>
      <c r="J173" s="108" t="str">
        <f>IFERROR(__xludf.DUMMYFUNCTION("""COMPUTED_VALUE"""),"Park  ")</f>
        <v>Park  </v>
      </c>
      <c r="K173" s="103">
        <f>IFERROR(__xludf.DUMMYFUNCTION("""COMPUTED_VALUE"""),46142.0)</f>
        <v>46142</v>
      </c>
      <c r="L173" s="65" t="str">
        <f>IFERROR(__xludf.DUMMYFUNCTION("""COMPUTED_VALUE"""),"370")</f>
        <v>370</v>
      </c>
      <c r="M173" s="65" t="str">
        <f>IFERROR(__xludf.DUMMYFUNCTION("""COMPUTED_VALUE""")," ")</f>
        <v> </v>
      </c>
    </row>
    <row r="174">
      <c r="A174" s="99" t="str">
        <f>IFERROR(__xludf.DUMMYFUNCTION("""COMPUTED_VALUE"""),"https://utrucking.com/admin/orders/6447103115452")</f>
        <v>https://utrucking.com/admin/orders/6447103115452</v>
      </c>
      <c r="B174" s="61" t="str">
        <f>IFERROR(__xludf.DUMMYFUNCTION("""COMPUTED_VALUE"""),"#17940")</f>
        <v>#17940</v>
      </c>
      <c r="C174" s="61" t="str">
        <f>IFERROR(__xludf.DUMMYFUNCTION("""COMPUTED_VALUE"""),"raul.leal.070805@gmail.com")</f>
        <v>raul.leal.070805@gmail.com</v>
      </c>
      <c r="D174" s="61">
        <f>IFERROR(__xludf.DUMMYFUNCTION("""COMPUTED_VALUE"""),6.57239748E9)</f>
        <v>6572397480</v>
      </c>
      <c r="E174" s="61" t="str">
        <f>IFERROR(__xludf.DUMMYFUNCTION("""COMPUTED_VALUE"""),"Raul Leal")</f>
        <v>Raul Leal</v>
      </c>
      <c r="F174" s="61" t="str">
        <f>IFERROR(__xludf.DUMMYFUNCTION("""COMPUTED_VALUE"""),"Raul Leal")</f>
        <v>Raul Leal</v>
      </c>
      <c r="G174" s="61"/>
      <c r="H174" s="61" t="str">
        <f>IFERROR(__xludf.DUMMYFUNCTION("""COMPUTED_VALUE"""),"Appliance Rental Return")</f>
        <v>Appliance Rental Return</v>
      </c>
      <c r="I174" s="61" t="str">
        <f>IFERROR(__xludf.DUMMYFUNCTION("""COMPUTED_VALUE""")," Standard Mini Fridge   - ")</f>
        <v> Standard Mini Fridge   - </v>
      </c>
      <c r="J174" s="107" t="str">
        <f>IFERROR(__xludf.DUMMYFUNCTION("""COMPUTED_VALUE"""),"Village East  ")</f>
        <v>Village East  </v>
      </c>
      <c r="K174" s="100">
        <f>IFERROR(__xludf.DUMMYFUNCTION("""COMPUTED_VALUE"""),46143.0)</f>
        <v>46143</v>
      </c>
      <c r="L174" s="61" t="str">
        <f>IFERROR(__xludf.DUMMYFUNCTION("""COMPUTED_VALUE"""),"2033")</f>
        <v>2033</v>
      </c>
      <c r="M174" s="61" t="str">
        <f>IFERROR(__xludf.DUMMYFUNCTION("""COMPUTED_VALUE""")," ")</f>
        <v> </v>
      </c>
    </row>
    <row r="175">
      <c r="A175" s="102" t="str">
        <f>IFERROR(__xludf.DUMMYFUNCTION("""COMPUTED_VALUE"""),"https://utrucking.com/admin/orders/6447131033788")</f>
        <v>https://utrucking.com/admin/orders/6447131033788</v>
      </c>
      <c r="B175" s="65" t="str">
        <f>IFERROR(__xludf.DUMMYFUNCTION("""COMPUTED_VALUE"""),"#17943")</f>
        <v>#17943</v>
      </c>
      <c r="C175" s="65" t="str">
        <f>IFERROR(__xludf.DUMMYFUNCTION("""COMPUTED_VALUE"""),"p.rex@wustl.edu")</f>
        <v>p.rex@wustl.edu</v>
      </c>
      <c r="D175" s="65">
        <f>IFERROR(__xludf.DUMMYFUNCTION("""COMPUTED_VALUE"""),2.242163846E9)</f>
        <v>2242163846</v>
      </c>
      <c r="E175" s="65" t="str">
        <f>IFERROR(__xludf.DUMMYFUNCTION("""COMPUTED_VALUE"""),"Rex Paster")</f>
        <v>Rex Paster</v>
      </c>
      <c r="F175" s="65" t="str">
        <f>IFERROR(__xludf.DUMMYFUNCTION("""COMPUTED_VALUE"""),"Rex Paster")</f>
        <v>Rex Paster</v>
      </c>
      <c r="G175" s="65"/>
      <c r="H175" s="65" t="str">
        <f>IFERROR(__xludf.DUMMYFUNCTION("""COMPUTED_VALUE"""),"Appliance Rental Return")</f>
        <v>Appliance Rental Return</v>
      </c>
      <c r="I175" s="65" t="str">
        <f>IFERROR(__xludf.DUMMYFUNCTION("""COMPUTED_VALUE""")," Standard Mini Fridge   - ")</f>
        <v> Standard Mini Fridge   - </v>
      </c>
      <c r="J175" s="108" t="str">
        <f>IFERROR(__xludf.DUMMYFUNCTION("""COMPUTED_VALUE"""),"Umrath  ")</f>
        <v>Umrath  </v>
      </c>
      <c r="K175" s="103">
        <f>IFERROR(__xludf.DUMMYFUNCTION("""COMPUTED_VALUE"""),46149.0)</f>
        <v>46149</v>
      </c>
      <c r="L175" s="65" t="str">
        <f>IFERROR(__xludf.DUMMYFUNCTION("""COMPUTED_VALUE"""),"3339")</f>
        <v>3339</v>
      </c>
      <c r="M175" s="65" t="str">
        <f>IFERROR(__xludf.DUMMYFUNCTION("""COMPUTED_VALUE""")," ")</f>
        <v> </v>
      </c>
    </row>
    <row r="176">
      <c r="A176" s="99" t="str">
        <f>IFERROR(__xludf.DUMMYFUNCTION("""COMPUTED_VALUE"""),"https://utrucking.com/admin/orders/6447142338748")</f>
        <v>https://utrucking.com/admin/orders/6447142338748</v>
      </c>
      <c r="B176" s="61" t="str">
        <f>IFERROR(__xludf.DUMMYFUNCTION("""COMPUTED_VALUE"""),"#17947")</f>
        <v>#17947</v>
      </c>
      <c r="C176" s="61" t="str">
        <f>IFERROR(__xludf.DUMMYFUNCTION("""COMPUTED_VALUE"""),"morganicsj@gmail.com")</f>
        <v>morganicsj@gmail.com</v>
      </c>
      <c r="D176" s="61">
        <f>IFERROR(__xludf.DUMMYFUNCTION("""COMPUTED_VALUE"""),3.129257794E9)</f>
        <v>3129257794</v>
      </c>
      <c r="E176" s="61" t="str">
        <f>IFERROR(__xludf.DUMMYFUNCTION("""COMPUTED_VALUE"""),"Beth Mueller")</f>
        <v>Beth Mueller</v>
      </c>
      <c r="F176" s="61" t="str">
        <f>IFERROR(__xludf.DUMMYFUNCTION("""COMPUTED_VALUE"""),"Morgan Mueller")</f>
        <v>Morgan Mueller</v>
      </c>
      <c r="G176" s="61"/>
      <c r="H176" s="61" t="str">
        <f>IFERROR(__xludf.DUMMYFUNCTION("""COMPUTED_VALUE"""),"Appliance Rental Return")</f>
        <v>Appliance Rental Return</v>
      </c>
      <c r="I176" s="61" t="str">
        <f>IFERROR(__xludf.DUMMYFUNCTION("""COMPUTED_VALUE""")," Double-Door Mini Fridge + Microwave   - ")</f>
        <v> Double-Door Mini Fridge + Microwave   - </v>
      </c>
      <c r="J176" s="107" t="str">
        <f>IFERROR(__xludf.DUMMYFUNCTION("""COMPUTED_VALUE"""),"Umrath  ")</f>
        <v>Umrath  </v>
      </c>
      <c r="K176" s="100">
        <f>IFERROR(__xludf.DUMMYFUNCTION("""COMPUTED_VALUE"""),46149.0)</f>
        <v>46149</v>
      </c>
      <c r="L176" s="61" t="str">
        <f>IFERROR(__xludf.DUMMYFUNCTION("""COMPUTED_VALUE"""),"4411")</f>
        <v>4411</v>
      </c>
      <c r="M176" s="61" t="str">
        <f>IFERROR(__xludf.DUMMYFUNCTION("""COMPUTED_VALUE""")," ")</f>
        <v> </v>
      </c>
    </row>
    <row r="177">
      <c r="A177" s="102" t="str">
        <f>IFERROR(__xludf.DUMMYFUNCTION("""COMPUTED_VALUE"""),"https://utrucking.com/admin/orders/6447140339900")</f>
        <v>https://utrucking.com/admin/orders/6447140339900</v>
      </c>
      <c r="B177" s="65" t="str">
        <f>IFERROR(__xludf.DUMMYFUNCTION("""COMPUTED_VALUE"""),"#17946")</f>
        <v>#17946</v>
      </c>
      <c r="C177" s="65" t="str">
        <f>IFERROR(__xludf.DUMMYFUNCTION("""COMPUTED_VALUE"""),"s.g.wollitzer@wustl.edu")</f>
        <v>s.g.wollitzer@wustl.edu</v>
      </c>
      <c r="D177" s="65">
        <f>IFERROR(__xludf.DUMMYFUNCTION("""COMPUTED_VALUE"""),4.806949495E9)</f>
        <v>4806949495</v>
      </c>
      <c r="E177" s="65" t="str">
        <f>IFERROR(__xludf.DUMMYFUNCTION("""COMPUTED_VALUE"""),"Sophie Wollitzer")</f>
        <v>Sophie Wollitzer</v>
      </c>
      <c r="F177" s="65" t="str">
        <f>IFERROR(__xludf.DUMMYFUNCTION("""COMPUTED_VALUE"""),"Sophie Wollitzer")</f>
        <v>Sophie Wollitzer</v>
      </c>
      <c r="G177" s="65"/>
      <c r="H177" s="65" t="str">
        <f>IFERROR(__xludf.DUMMYFUNCTION("""COMPUTED_VALUE"""),"Appliance Rental Return")</f>
        <v>Appliance Rental Return</v>
      </c>
      <c r="I177" s="65" t="str">
        <f>IFERROR(__xludf.DUMMYFUNCTION("""COMPUTED_VALUE""")," Double-Door Mini Fridge + Microwave   - ")</f>
        <v> Double-Door Mini Fridge + Microwave   - </v>
      </c>
      <c r="J177" s="108" t="str">
        <f>IFERROR(__xludf.DUMMYFUNCTION("""COMPUTED_VALUE"""),"Village East  ")</f>
        <v>Village East  </v>
      </c>
      <c r="K177" s="103">
        <f>IFERROR(__xludf.DUMMYFUNCTION("""COMPUTED_VALUE"""),46148.0)</f>
        <v>46148</v>
      </c>
      <c r="L177" s="65" t="str">
        <f>IFERROR(__xludf.DUMMYFUNCTION("""COMPUTED_VALUE"""),"2044")</f>
        <v>2044</v>
      </c>
      <c r="M177" s="65" t="str">
        <f>IFERROR(__xludf.DUMMYFUNCTION("""COMPUTED_VALUE""")," ")</f>
        <v> </v>
      </c>
    </row>
    <row r="178">
      <c r="A178" s="99" t="str">
        <f>IFERROR(__xludf.DUMMYFUNCTION("""COMPUTED_VALUE"""),"https://utrucking.com/admin/orders/6447130575036")</f>
        <v>https://utrucking.com/admin/orders/6447130575036</v>
      </c>
      <c r="B178" s="61" t="str">
        <f>IFERROR(__xludf.DUMMYFUNCTION("""COMPUTED_VALUE"""),"#17942")</f>
        <v>#17942</v>
      </c>
      <c r="C178" s="61" t="str">
        <f>IFERROR(__xludf.DUMMYFUNCTION("""COMPUTED_VALUE"""),"s.g.youngblut@wustl.edu")</f>
        <v>s.g.youngblut@wustl.edu</v>
      </c>
      <c r="D178" s="61">
        <f>IFERROR(__xludf.DUMMYFUNCTION("""COMPUTED_VALUE"""),2.063346136E9)</f>
        <v>2063346136</v>
      </c>
      <c r="E178" s="61" t="str">
        <f>IFERROR(__xludf.DUMMYFUNCTION("""COMPUTED_VALUE"""),"Sofia Youngblut")</f>
        <v>Sofia Youngblut</v>
      </c>
      <c r="F178" s="61" t="str">
        <f>IFERROR(__xludf.DUMMYFUNCTION("""COMPUTED_VALUE"""),"Sofia Youngblut")</f>
        <v>Sofia Youngblut</v>
      </c>
      <c r="G178" s="61"/>
      <c r="H178" s="61" t="str">
        <f>IFERROR(__xludf.DUMMYFUNCTION("""COMPUTED_VALUE"""),"Appliance Rental Return")</f>
        <v>Appliance Rental Return</v>
      </c>
      <c r="I178" s="61" t="str">
        <f>IFERROR(__xludf.DUMMYFUNCTION("""COMPUTED_VALUE""")," Double-Door Mini Fridge   - ")</f>
        <v> Double-Door Mini Fridge   - </v>
      </c>
      <c r="J178" s="107" t="str">
        <f>IFERROR(__xludf.DUMMYFUNCTION("""COMPUTED_VALUE"""),"Shepley  ")</f>
        <v>Shepley  </v>
      </c>
      <c r="K178" s="100">
        <f>IFERROR(__xludf.DUMMYFUNCTION("""COMPUTED_VALUE"""),46150.0)</f>
        <v>46150</v>
      </c>
      <c r="L178" s="61" t="str">
        <f>IFERROR(__xludf.DUMMYFUNCTION("""COMPUTED_VALUE"""),"4000")</f>
        <v>4000</v>
      </c>
      <c r="M178" s="61" t="str">
        <f>IFERROR(__xludf.DUMMYFUNCTION("""COMPUTED_VALUE""")," ")</f>
        <v> </v>
      </c>
    </row>
    <row r="179">
      <c r="A179" s="102" t="str">
        <f>IFERROR(__xludf.DUMMYFUNCTION("""COMPUTED_VALUE"""),"https://utrucking.com/admin/orders/6447117664444")</f>
        <v>https://utrucking.com/admin/orders/6447117664444</v>
      </c>
      <c r="B179" s="65" t="str">
        <f>IFERROR(__xludf.DUMMYFUNCTION("""COMPUTED_VALUE"""),"#17941")</f>
        <v>#17941</v>
      </c>
      <c r="C179" s="65" t="str">
        <f>IFERROR(__xludf.DUMMYFUNCTION("""COMPUTED_VALUE"""),"noeschwartz@gmail.com")</f>
        <v>noeschwartz@gmail.com</v>
      </c>
      <c r="D179" s="65">
        <f>IFERROR(__xludf.DUMMYFUNCTION("""COMPUTED_VALUE"""),3.104872592E9)</f>
        <v>3104872592</v>
      </c>
      <c r="E179" s="65" t="str">
        <f>IFERROR(__xludf.DUMMYFUNCTION("""COMPUTED_VALUE"""),"Noe Schwartz")</f>
        <v>Noe Schwartz</v>
      </c>
      <c r="F179" s="65" t="str">
        <f>IFERROR(__xludf.DUMMYFUNCTION("""COMPUTED_VALUE"""),"Noe Schwartz")</f>
        <v>Noe Schwartz</v>
      </c>
      <c r="G179" s="65"/>
      <c r="H179" s="65" t="str">
        <f>IFERROR(__xludf.DUMMYFUNCTION("""COMPUTED_VALUE"""),"Appliance Rental Return")</f>
        <v>Appliance Rental Return</v>
      </c>
      <c r="I179" s="65" t="str">
        <f>IFERROR(__xludf.DUMMYFUNCTION("""COMPUTED_VALUE""")," Double-Door Mini Fridge   - ")</f>
        <v> Double-Door Mini Fridge   - </v>
      </c>
      <c r="J179" s="108" t="str">
        <f>IFERROR(__xludf.DUMMYFUNCTION("""COMPUTED_VALUE"""),"Zetcher  ")</f>
        <v>Zetcher  </v>
      </c>
      <c r="K179" s="103">
        <f>IFERROR(__xludf.DUMMYFUNCTION("""COMPUTED_VALUE"""),46149.0)</f>
        <v>46149</v>
      </c>
      <c r="L179" s="65" t="str">
        <f>IFERROR(__xludf.DUMMYFUNCTION("""COMPUTED_VALUE"""),"4120")</f>
        <v>4120</v>
      </c>
      <c r="M179" s="65" t="str">
        <f>IFERROR(__xludf.DUMMYFUNCTION("""COMPUTED_VALUE""")," ")</f>
        <v> </v>
      </c>
    </row>
    <row r="180">
      <c r="A180" s="99" t="str">
        <f>IFERROR(__xludf.DUMMYFUNCTION("""COMPUTED_VALUE"""),"https://utrucking.com/admin/orders/6447145582780")</f>
        <v>https://utrucking.com/admin/orders/6447145582780</v>
      </c>
      <c r="B180" s="61" t="str">
        <f>IFERROR(__xludf.DUMMYFUNCTION("""COMPUTED_VALUE"""),"#17948")</f>
        <v>#17948</v>
      </c>
      <c r="C180" s="61" t="str">
        <f>IFERROR(__xludf.DUMMYFUNCTION("""COMPUTED_VALUE"""),"tillie141620@gmail.com")</f>
        <v>tillie141620@gmail.com</v>
      </c>
      <c r="D180" s="61">
        <f>IFERROR(__xludf.DUMMYFUNCTION("""COMPUTED_VALUE"""),2.154327954E9)</f>
        <v>2154327954</v>
      </c>
      <c r="E180" s="61" t="str">
        <f>IFERROR(__xludf.DUMMYFUNCTION("""COMPUTED_VALUE"""),"Lynda Szwartz")</f>
        <v>Lynda Szwartz</v>
      </c>
      <c r="F180" s="61" t="str">
        <f>IFERROR(__xludf.DUMMYFUNCTION("""COMPUTED_VALUE"""),"Matilda Szwartz")</f>
        <v>Matilda Szwartz</v>
      </c>
      <c r="G180" s="61"/>
      <c r="H180" s="61" t="str">
        <f>IFERROR(__xludf.DUMMYFUNCTION("""COMPUTED_VALUE"""),"Appliance Rental Return")</f>
        <v>Appliance Rental Return</v>
      </c>
      <c r="I180" s="61" t="str">
        <f>IFERROR(__xludf.DUMMYFUNCTION("""COMPUTED_VALUE""")," Double-Door Mini Fridge + Microwave   - ")</f>
        <v> Double-Door Mini Fridge + Microwave   - </v>
      </c>
      <c r="J180" s="107" t="str">
        <f>IFERROR(__xludf.DUMMYFUNCTION("""COMPUTED_VALUE"""),"Umrath  ")</f>
        <v>Umrath  </v>
      </c>
      <c r="K180" s="100">
        <f>IFERROR(__xludf.DUMMYFUNCTION("""COMPUTED_VALUE"""),46147.0)</f>
        <v>46147</v>
      </c>
      <c r="L180" s="61" t="str">
        <f>IFERROR(__xludf.DUMMYFUNCTION("""COMPUTED_VALUE"""),"3301")</f>
        <v>3301</v>
      </c>
      <c r="M180" s="61" t="str">
        <f>IFERROR(__xludf.DUMMYFUNCTION("""COMPUTED_VALUE""")," ")</f>
        <v> </v>
      </c>
    </row>
    <row r="181">
      <c r="A181" s="102" t="str">
        <f>IFERROR(__xludf.DUMMYFUNCTION("""COMPUTED_VALUE"""),"https://utrucking.com/admin/orders/6447161114812")</f>
        <v>https://utrucking.com/admin/orders/6447161114812</v>
      </c>
      <c r="B181" s="65" t="str">
        <f>IFERROR(__xludf.DUMMYFUNCTION("""COMPUTED_VALUE"""),"#17949")</f>
        <v>#17949</v>
      </c>
      <c r="C181" s="65" t="str">
        <f>IFERROR(__xludf.DUMMYFUNCTION("""COMPUTED_VALUE"""),"m.stikeleather@wustl.edu")</f>
        <v>m.stikeleather@wustl.edu</v>
      </c>
      <c r="D181" s="65">
        <f>IFERROR(__xludf.DUMMYFUNCTION("""COMPUTED_VALUE"""),7.742705618E9)</f>
        <v>7742705618</v>
      </c>
      <c r="E181" s="65" t="str">
        <f>IFERROR(__xludf.DUMMYFUNCTION("""COMPUTED_VALUE"""),"Julia Stikeleather")</f>
        <v>Julia Stikeleather</v>
      </c>
      <c r="F181" s="65" t="str">
        <f>IFERROR(__xludf.DUMMYFUNCTION("""COMPUTED_VALUE"""),"Maddy Stikeleather")</f>
        <v>Maddy Stikeleather</v>
      </c>
      <c r="G181" s="65"/>
      <c r="H181" s="65" t="str">
        <f>IFERROR(__xludf.DUMMYFUNCTION("""COMPUTED_VALUE"""),"Appliance Rental Return")</f>
        <v>Appliance Rental Return</v>
      </c>
      <c r="I181" s="65" t="str">
        <f>IFERROR(__xludf.DUMMYFUNCTION("""COMPUTED_VALUE""")," Double-Door Mini Fridge + Microwave   - ")</f>
        <v> Double-Door Mini Fridge + Microwave   - </v>
      </c>
      <c r="J181" s="108" t="str">
        <f>IFERROR(__xludf.DUMMYFUNCTION("""COMPUTED_VALUE"""),"Nemerov  ")</f>
        <v>Nemerov  </v>
      </c>
      <c r="K181" s="103">
        <f>IFERROR(__xludf.DUMMYFUNCTION("""COMPUTED_VALUE"""),46148.0)</f>
        <v>46148</v>
      </c>
      <c r="L181" s="65" t="str">
        <f>IFERROR(__xludf.DUMMYFUNCTION("""COMPUTED_VALUE"""),"3082")</f>
        <v>3082</v>
      </c>
      <c r="M181" s="65" t="str">
        <f>IFERROR(__xludf.DUMMYFUNCTION("""COMPUTED_VALUE""")," ")</f>
        <v> </v>
      </c>
    </row>
    <row r="182">
      <c r="A182" s="99" t="str">
        <f>IFERROR(__xludf.DUMMYFUNCTION("""COMPUTED_VALUE"""),"https://utrucking.com/admin/orders/6447168389308")</f>
        <v>https://utrucking.com/admin/orders/6447168389308</v>
      </c>
      <c r="B182" s="61" t="str">
        <f>IFERROR(__xludf.DUMMYFUNCTION("""COMPUTED_VALUE"""),"#17950")</f>
        <v>#17950</v>
      </c>
      <c r="C182" s="61" t="str">
        <f>IFERROR(__xludf.DUMMYFUNCTION("""COMPUTED_VALUE"""),"marni74@att.net")</f>
        <v>marni74@att.net</v>
      </c>
      <c r="D182" s="61">
        <f>IFERROR(__xludf.DUMMYFUNCTION("""COMPUTED_VALUE"""),8.479772174E9)</f>
        <v>8479772174</v>
      </c>
      <c r="E182" s="61" t="str">
        <f>IFERROR(__xludf.DUMMYFUNCTION("""COMPUTED_VALUE"""),"Marni Nichols")</f>
        <v>Marni Nichols</v>
      </c>
      <c r="F182" s="61" t="str">
        <f>IFERROR(__xludf.DUMMYFUNCTION("""COMPUTED_VALUE"""),"Griffin Nichols")</f>
        <v>Griffin Nichols</v>
      </c>
      <c r="G182" s="61"/>
      <c r="H182" s="61" t="str">
        <f>IFERROR(__xludf.DUMMYFUNCTION("""COMPUTED_VALUE"""),"Appliance Rental Return")</f>
        <v>Appliance Rental Return</v>
      </c>
      <c r="I182" s="61" t="str">
        <f>IFERROR(__xludf.DUMMYFUNCTION("""COMPUTED_VALUE""")," Double-Door Mini Fridge   - ")</f>
        <v> Double-Door Mini Fridge   - </v>
      </c>
      <c r="J182" s="107" t="str">
        <f>IFERROR(__xludf.DUMMYFUNCTION("""COMPUTED_VALUE"""),"Umrath  ")</f>
        <v>Umrath  </v>
      </c>
      <c r="K182" s="100">
        <f>IFERROR(__xludf.DUMMYFUNCTION("""COMPUTED_VALUE"""),46149.0)</f>
        <v>46149</v>
      </c>
      <c r="L182" s="61" t="str">
        <f>IFERROR(__xludf.DUMMYFUNCTION("""COMPUTED_VALUE"""),"4431")</f>
        <v>4431</v>
      </c>
      <c r="M182" s="61" t="str">
        <f>IFERROR(__xludf.DUMMYFUNCTION("""COMPUTED_VALUE""")," Move out day is not confirmed. Would I be able to change it?")</f>
        <v> Move out day is not confirmed. Would I be able to change it?</v>
      </c>
    </row>
    <row r="183">
      <c r="A183" s="102" t="str">
        <f>IFERROR(__xludf.DUMMYFUNCTION("""COMPUTED_VALUE"""),"https://utrucking.com/admin/orders/6447168389308")</f>
        <v>https://utrucking.com/admin/orders/6447168389308</v>
      </c>
      <c r="B183" s="65" t="str">
        <f>IFERROR(__xludf.DUMMYFUNCTION("""COMPUTED_VALUE"""),"#17950")</f>
        <v>#17950</v>
      </c>
      <c r="C183" s="65" t="str">
        <f>IFERROR(__xludf.DUMMYFUNCTION("""COMPUTED_VALUE"""),"marni74@att.net")</f>
        <v>marni74@att.net</v>
      </c>
      <c r="D183" s="65">
        <f>IFERROR(__xludf.DUMMYFUNCTION("""COMPUTED_VALUE"""),8.479772174E9)</f>
        <v>8479772174</v>
      </c>
      <c r="E183" s="65" t="str">
        <f>IFERROR(__xludf.DUMMYFUNCTION("""COMPUTED_VALUE"""),"Marni Nichols")</f>
        <v>Marni Nichols</v>
      </c>
      <c r="F183" s="65" t="str">
        <f>IFERROR(__xludf.DUMMYFUNCTION("""COMPUTED_VALUE"""),"Griffin Nichols")</f>
        <v>Griffin Nichols</v>
      </c>
      <c r="G183" s="65"/>
      <c r="H183" s="65" t="str">
        <f>IFERROR(__xludf.DUMMYFUNCTION("""COMPUTED_VALUE"""),"Appliance Rental Return")</f>
        <v>Appliance Rental Return</v>
      </c>
      <c r="I183" s="65" t="str">
        <f>IFERROR(__xludf.DUMMYFUNCTION("""COMPUTED_VALUE""")," Double-Door Mini Fridge   - ")</f>
        <v> Double-Door Mini Fridge   - </v>
      </c>
      <c r="J183" s="108" t="str">
        <f>IFERROR(__xludf.DUMMYFUNCTION("""COMPUTED_VALUE"""),"Umrath  ")</f>
        <v>Umrath  </v>
      </c>
      <c r="K183" s="103">
        <f>IFERROR(__xludf.DUMMYFUNCTION("""COMPUTED_VALUE"""),46149.0)</f>
        <v>46149</v>
      </c>
      <c r="L183" s="65" t="str">
        <f>IFERROR(__xludf.DUMMYFUNCTION("""COMPUTED_VALUE"""),"4431")</f>
        <v>4431</v>
      </c>
      <c r="M183" s="65" t="str">
        <f>IFERROR(__xludf.DUMMYFUNCTION("""COMPUTED_VALUE""")," Move out day is not confirmed. Would I be able to change it?")</f>
        <v> Move out day is not confirmed. Would I be able to change it?</v>
      </c>
    </row>
    <row r="184">
      <c r="A184" s="99" t="str">
        <f>IFERROR(__xludf.DUMMYFUNCTION("""COMPUTED_VALUE"""),"https://utrucking.com/admin/orders/6447168389308")</f>
        <v>https://utrucking.com/admin/orders/6447168389308</v>
      </c>
      <c r="B184" s="61" t="str">
        <f>IFERROR(__xludf.DUMMYFUNCTION("""COMPUTED_VALUE"""),"#17950")</f>
        <v>#17950</v>
      </c>
      <c r="C184" s="61" t="str">
        <f>IFERROR(__xludf.DUMMYFUNCTION("""COMPUTED_VALUE"""),"marni74@att.net")</f>
        <v>marni74@att.net</v>
      </c>
      <c r="D184" s="61">
        <f>IFERROR(__xludf.DUMMYFUNCTION("""COMPUTED_VALUE"""),8.479772174E9)</f>
        <v>8479772174</v>
      </c>
      <c r="E184" s="61" t="str">
        <f>IFERROR(__xludf.DUMMYFUNCTION("""COMPUTED_VALUE"""),"Marni Nichols")</f>
        <v>Marni Nichols</v>
      </c>
      <c r="F184" s="61" t="str">
        <f>IFERROR(__xludf.DUMMYFUNCTION("""COMPUTED_VALUE"""),"Griffin Nichols")</f>
        <v>Griffin Nichols</v>
      </c>
      <c r="G184" s="61"/>
      <c r="H184" s="61" t="str">
        <f>IFERROR(__xludf.DUMMYFUNCTION("""COMPUTED_VALUE"""),"Appliance Rental Return")</f>
        <v>Appliance Rental Return</v>
      </c>
      <c r="I184" s="61" t="str">
        <f>IFERROR(__xludf.DUMMYFUNCTION("""COMPUTED_VALUE""")," Double-Door Mini Fridge   - ")</f>
        <v> Double-Door Mini Fridge   - </v>
      </c>
      <c r="J184" s="107" t="str">
        <f>IFERROR(__xludf.DUMMYFUNCTION("""COMPUTED_VALUE"""),"Umrath  ")</f>
        <v>Umrath  </v>
      </c>
      <c r="K184" s="100">
        <f>IFERROR(__xludf.DUMMYFUNCTION("""COMPUTED_VALUE"""),46149.0)</f>
        <v>46149</v>
      </c>
      <c r="L184" s="61" t="str">
        <f>IFERROR(__xludf.DUMMYFUNCTION("""COMPUTED_VALUE"""),"4431")</f>
        <v>4431</v>
      </c>
      <c r="M184" s="61" t="str">
        <f>IFERROR(__xludf.DUMMYFUNCTION("""COMPUTED_VALUE""")," Move out day is not confirmed. Would I be able to change it?")</f>
        <v> Move out day is not confirmed. Would I be able to change it?</v>
      </c>
    </row>
    <row r="185">
      <c r="A185" s="102" t="str">
        <f>IFERROR(__xludf.DUMMYFUNCTION("""COMPUTED_VALUE"""),"https://utrucking.com/admin/orders/6447135686844")</f>
        <v>https://utrucking.com/admin/orders/6447135686844</v>
      </c>
      <c r="B185" s="65" t="str">
        <f>IFERROR(__xludf.DUMMYFUNCTION("""COMPUTED_VALUE"""),"#17944")</f>
        <v>#17944</v>
      </c>
      <c r="C185" s="65" t="str">
        <f>IFERROR(__xludf.DUMMYFUNCTION("""COMPUTED_VALUE"""),"jojones320@gmail.com")</f>
        <v>jojones320@gmail.com</v>
      </c>
      <c r="D185" s="65">
        <f>IFERROR(__xludf.DUMMYFUNCTION("""COMPUTED_VALUE"""),9.176867838E9)</f>
        <v>9176867838</v>
      </c>
      <c r="E185" s="65" t="str">
        <f>IFERROR(__xludf.DUMMYFUNCTION("""COMPUTED_VALUE"""),"Joanna Jones")</f>
        <v>Joanna Jones</v>
      </c>
      <c r="F185" s="65" t="str">
        <f>IFERROR(__xludf.DUMMYFUNCTION("""COMPUTED_VALUE"""),"Beckett Jones")</f>
        <v>Beckett Jones</v>
      </c>
      <c r="G185" s="65"/>
      <c r="H185" s="65" t="str">
        <f>IFERROR(__xludf.DUMMYFUNCTION("""COMPUTED_VALUE"""),"Appliance Rental Return")</f>
        <v>Appliance Rental Return</v>
      </c>
      <c r="I185" s="65" t="str">
        <f>IFERROR(__xludf.DUMMYFUNCTION("""COMPUTED_VALUE""")," Standard Mini Fridge + Microwave   - ")</f>
        <v> Standard Mini Fridge + Microwave   - </v>
      </c>
      <c r="J185" s="108" t="str">
        <f>IFERROR(__xludf.DUMMYFUNCTION("""COMPUTED_VALUE"""),"Rutledge  ")</f>
        <v>Rutledge  </v>
      </c>
      <c r="K185" s="103">
        <f>IFERROR(__xludf.DUMMYFUNCTION("""COMPUTED_VALUE"""),46147.0)</f>
        <v>46147</v>
      </c>
      <c r="L185" s="65" t="str">
        <f>IFERROR(__xludf.DUMMYFUNCTION("""COMPUTED_VALUE"""),"244")</f>
        <v>244</v>
      </c>
      <c r="M185" s="65" t="str">
        <f>IFERROR(__xludf.DUMMYFUNCTION("""COMPUTED_VALUE""")," ")</f>
        <v> </v>
      </c>
    </row>
    <row r="186">
      <c r="A186" s="99" t="str">
        <f>IFERROR(__xludf.DUMMYFUNCTION("""COMPUTED_VALUE"""),"https://utrucking.com/admin/orders/6447196242108")</f>
        <v>https://utrucking.com/admin/orders/6447196242108</v>
      </c>
      <c r="B186" s="61" t="str">
        <f>IFERROR(__xludf.DUMMYFUNCTION("""COMPUTED_VALUE"""),"#17951")</f>
        <v>#17951</v>
      </c>
      <c r="C186" s="61" t="str">
        <f>IFERROR(__xludf.DUMMYFUNCTION("""COMPUTED_VALUE"""),"tamarlehon@gmail.com")</f>
        <v>tamarlehon@gmail.com</v>
      </c>
      <c r="D186" s="61">
        <f>IFERROR(__xludf.DUMMYFUNCTION("""COMPUTED_VALUE"""),6.466181335E9)</f>
        <v>6466181335</v>
      </c>
      <c r="E186" s="61" t="str">
        <f>IFERROR(__xludf.DUMMYFUNCTION("""COMPUTED_VALUE"""),"Tamar Lehon")</f>
        <v>Tamar Lehon</v>
      </c>
      <c r="F186" s="61" t="str">
        <f>IFERROR(__xludf.DUMMYFUNCTION("""COMPUTED_VALUE"""),"Tamar Lehon")</f>
        <v>Tamar Lehon</v>
      </c>
      <c r="G186" s="61"/>
      <c r="H186" s="61" t="str">
        <f>IFERROR(__xludf.DUMMYFUNCTION("""COMPUTED_VALUE"""),"Appliance Rental Return")</f>
        <v>Appliance Rental Return</v>
      </c>
      <c r="I186" s="61" t="str">
        <f>IFERROR(__xludf.DUMMYFUNCTION("""COMPUTED_VALUE""")," Double-Door Mini Fridge   - ")</f>
        <v> Double-Door Mini Fridge   - </v>
      </c>
      <c r="J186" s="107" t="str">
        <f>IFERROR(__xludf.DUMMYFUNCTION("""COMPUTED_VALUE"""),"Gregg  ")</f>
        <v>Gregg  </v>
      </c>
      <c r="K186" s="100">
        <f>IFERROR(__xludf.DUMMYFUNCTION("""COMPUTED_VALUE"""),46149.0)</f>
        <v>46149</v>
      </c>
      <c r="L186" s="61" t="str">
        <f>IFERROR(__xludf.DUMMYFUNCTION("""COMPUTED_VALUE"""),"3100")</f>
        <v>3100</v>
      </c>
      <c r="M186" s="61" t="str">
        <f>IFERROR(__xludf.DUMMYFUNCTION("""COMPUTED_VALUE""")," ")</f>
        <v> </v>
      </c>
    </row>
    <row r="187">
      <c r="A187" s="102" t="str">
        <f>IFERROR(__xludf.DUMMYFUNCTION("""COMPUTED_VALUE"""),"https://utrucking.com/admin/orders/6447138144444")</f>
        <v>https://utrucking.com/admin/orders/6447138144444</v>
      </c>
      <c r="B187" s="65" t="str">
        <f>IFERROR(__xludf.DUMMYFUNCTION("""COMPUTED_VALUE"""),"#17945")</f>
        <v>#17945</v>
      </c>
      <c r="C187" s="65" t="str">
        <f>IFERROR(__xludf.DUMMYFUNCTION("""COMPUTED_VALUE"""),"rwsolovy@yahoo.com")</f>
        <v>rwsolovy@yahoo.com</v>
      </c>
      <c r="D187" s="65">
        <f>IFERROR(__xludf.DUMMYFUNCTION("""COMPUTED_VALUE"""),3.016516144E9)</f>
        <v>3016516144</v>
      </c>
      <c r="E187" s="65" t="str">
        <f>IFERROR(__xludf.DUMMYFUNCTION("""COMPUTED_VALUE"""),"Rebecca Solovy")</f>
        <v>Rebecca Solovy</v>
      </c>
      <c r="F187" s="65" t="str">
        <f>IFERROR(__xludf.DUMMYFUNCTION("""COMPUTED_VALUE"""),"Hanna Solovy")</f>
        <v>Hanna Solovy</v>
      </c>
      <c r="G187" s="65"/>
      <c r="H187" s="65" t="str">
        <f>IFERROR(__xludf.DUMMYFUNCTION("""COMPUTED_VALUE"""),"Appliance Rental Return")</f>
        <v>Appliance Rental Return</v>
      </c>
      <c r="I187" s="65" t="str">
        <f>IFERROR(__xludf.DUMMYFUNCTION("""COMPUTED_VALUE""")," Double-Door Mini Fridge + Microwave   - ")</f>
        <v> Double-Door Mini Fridge + Microwave   - </v>
      </c>
      <c r="J187" s="108" t="str">
        <f>IFERROR(__xludf.DUMMYFUNCTION("""COMPUTED_VALUE"""),"Umrath  ")</f>
        <v>Umrath  </v>
      </c>
      <c r="K187" s="103">
        <f>IFERROR(__xludf.DUMMYFUNCTION("""COMPUTED_VALUE"""),46149.0)</f>
        <v>46149</v>
      </c>
      <c r="L187" s="65" t="str">
        <f>IFERROR(__xludf.DUMMYFUNCTION("""COMPUTED_VALUE"""),"1236")</f>
        <v>1236</v>
      </c>
      <c r="M187" s="65" t="str">
        <f>IFERROR(__xludf.DUMMYFUNCTION("""COMPUTED_VALUE""")," ")</f>
        <v> </v>
      </c>
    </row>
    <row r="188">
      <c r="A188" s="99" t="str">
        <f>IFERROR(__xludf.DUMMYFUNCTION("""COMPUTED_VALUE"""),"https://utrucking.com/admin/orders/6447233958076")</f>
        <v>https://utrucking.com/admin/orders/6447233958076</v>
      </c>
      <c r="B188" s="61" t="str">
        <f>IFERROR(__xludf.DUMMYFUNCTION("""COMPUTED_VALUE"""),"#17952")</f>
        <v>#17952</v>
      </c>
      <c r="C188" s="61" t="str">
        <f>IFERROR(__xludf.DUMMYFUNCTION("""COMPUTED_VALUE"""),"mitch.luke74@gmail.com")</f>
        <v>mitch.luke74@gmail.com</v>
      </c>
      <c r="D188" s="61">
        <f>IFERROR(__xludf.DUMMYFUNCTION("""COMPUTED_VALUE"""),9.143576469E9)</f>
        <v>9143576469</v>
      </c>
      <c r="E188" s="61" t="str">
        <f>IFERROR(__xludf.DUMMYFUNCTION("""COMPUTED_VALUE"""),"Luke Mitchell")</f>
        <v>Luke Mitchell</v>
      </c>
      <c r="F188" s="61" t="str">
        <f>IFERROR(__xludf.DUMMYFUNCTION("""COMPUTED_VALUE"""),"Luke Mitchell")</f>
        <v>Luke Mitchell</v>
      </c>
      <c r="G188" s="61"/>
      <c r="H188" s="61" t="str">
        <f>IFERROR(__xludf.DUMMYFUNCTION("""COMPUTED_VALUE"""),"Appliance Rental Return")</f>
        <v>Appliance Rental Return</v>
      </c>
      <c r="I188" s="61" t="str">
        <f>IFERROR(__xludf.DUMMYFUNCTION("""COMPUTED_VALUE""")," Standard Mini Fridge   - ")</f>
        <v> Standard Mini Fridge   - </v>
      </c>
      <c r="J188" s="107" t="str">
        <f>IFERROR(__xludf.DUMMYFUNCTION("""COMPUTED_VALUE"""),"Umrath  ")</f>
        <v>Umrath  </v>
      </c>
      <c r="K188" s="100">
        <f>IFERROR(__xludf.DUMMYFUNCTION("""COMPUTED_VALUE"""),46146.0)</f>
        <v>46146</v>
      </c>
      <c r="L188" s="61" t="str">
        <f>IFERROR(__xludf.DUMMYFUNCTION("""COMPUTED_VALUE"""),"4437")</f>
        <v>4437</v>
      </c>
      <c r="M188" s="61" t="str">
        <f>IFERROR(__xludf.DUMMYFUNCTION("""COMPUTED_VALUE""")," ")</f>
        <v> </v>
      </c>
    </row>
    <row r="189">
      <c r="A189" s="102" t="str">
        <f>IFERROR(__xludf.DUMMYFUNCTION("""COMPUTED_VALUE"""),"https://utrucking.com/admin/orders/6447274328252")</f>
        <v>https://utrucking.com/admin/orders/6447274328252</v>
      </c>
      <c r="B189" s="65" t="str">
        <f>IFERROR(__xludf.DUMMYFUNCTION("""COMPUTED_VALUE"""),"#17953")</f>
        <v>#17953</v>
      </c>
      <c r="C189" s="65" t="str">
        <f>IFERROR(__xludf.DUMMYFUNCTION("""COMPUTED_VALUE"""),"e.b.lassner@wustl.edu")</f>
        <v>e.b.lassner@wustl.edu</v>
      </c>
      <c r="D189" s="65">
        <f>IFERROR(__xludf.DUMMYFUNCTION("""COMPUTED_VALUE"""),8.186916933E9)</f>
        <v>8186916933</v>
      </c>
      <c r="E189" s="65" t="str">
        <f>IFERROR(__xludf.DUMMYFUNCTION("""COMPUTED_VALUE"""),"Ethan Lassner")</f>
        <v>Ethan Lassner</v>
      </c>
      <c r="F189" s="65" t="str">
        <f>IFERROR(__xludf.DUMMYFUNCTION("""COMPUTED_VALUE"""),"Ethan Lassner")</f>
        <v>Ethan Lassner</v>
      </c>
      <c r="G189" s="65"/>
      <c r="H189" s="65" t="str">
        <f>IFERROR(__xludf.DUMMYFUNCTION("""COMPUTED_VALUE"""),"Appliance Rental Return")</f>
        <v>Appliance Rental Return</v>
      </c>
      <c r="I189" s="65" t="str">
        <f>IFERROR(__xludf.DUMMYFUNCTION("""COMPUTED_VALUE""")," Double-Door Mini Fridge + Microwave   - ")</f>
        <v> Double-Door Mini Fridge + Microwave   - </v>
      </c>
      <c r="J189" s="108" t="str">
        <f>IFERROR(__xludf.DUMMYFUNCTION("""COMPUTED_VALUE"""),"Eliot A (Thomas Eliot)")</f>
        <v>Eliot A (Thomas Eliot)</v>
      </c>
      <c r="K189" s="103">
        <f>IFERROR(__xludf.DUMMYFUNCTION("""COMPUTED_VALUE"""),46146.0)</f>
        <v>46146</v>
      </c>
      <c r="L189" s="65" t="str">
        <f>IFERROR(__xludf.DUMMYFUNCTION("""COMPUTED_VALUE"""),"1082")</f>
        <v>1082</v>
      </c>
      <c r="M189" s="65" t="str">
        <f>IFERROR(__xludf.DUMMYFUNCTION("""COMPUTED_VALUE""")," Pick up anytime after 12")</f>
        <v> Pick up anytime after 12</v>
      </c>
    </row>
    <row r="190">
      <c r="A190" s="99" t="str">
        <f>IFERROR(__xludf.DUMMYFUNCTION("""COMPUTED_VALUE"""),"https://utrucking.com/admin/orders/6447280226492")</f>
        <v>https://utrucking.com/admin/orders/6447280226492</v>
      </c>
      <c r="B190" s="61" t="str">
        <f>IFERROR(__xludf.DUMMYFUNCTION("""COMPUTED_VALUE"""),"#17954")</f>
        <v>#17954</v>
      </c>
      <c r="C190" s="61" t="str">
        <f>IFERROR(__xludf.DUMMYFUNCTION("""COMPUTED_VALUE"""),"mariana.gonzalezpina18@gmail.com")</f>
        <v>mariana.gonzalezpina18@gmail.com</v>
      </c>
      <c r="D190" s="61">
        <f>IFERROR(__xludf.DUMMYFUNCTION("""COMPUTED_VALUE"""),3.14704277E9)</f>
        <v>3147042770</v>
      </c>
      <c r="E190" s="61" t="str">
        <f>IFERROR(__xludf.DUMMYFUNCTION("""COMPUTED_VALUE"""),"Mariana Gonzalez Pina")</f>
        <v>Mariana Gonzalez Pina</v>
      </c>
      <c r="F190" s="61" t="str">
        <f>IFERROR(__xludf.DUMMYFUNCTION("""COMPUTED_VALUE"""),"Mariana Gonzalez Pina")</f>
        <v>Mariana Gonzalez Pina</v>
      </c>
      <c r="G190" s="61"/>
      <c r="H190" s="61" t="str">
        <f>IFERROR(__xludf.DUMMYFUNCTION("""COMPUTED_VALUE"""),"Appliance Rental Return")</f>
        <v>Appliance Rental Return</v>
      </c>
      <c r="I190" s="61" t="str">
        <f>IFERROR(__xludf.DUMMYFUNCTION("""COMPUTED_VALUE""")," Double-Door Mini Fridge + Microwave   - ")</f>
        <v> Double-Door Mini Fridge + Microwave   - </v>
      </c>
      <c r="J190" s="107" t="str">
        <f>IFERROR(__xludf.DUMMYFUNCTION("""COMPUTED_VALUE"""),"Umrath  ")</f>
        <v>Umrath  </v>
      </c>
      <c r="K190" s="100">
        <f>IFERROR(__xludf.DUMMYFUNCTION("""COMPUTED_VALUE"""),46147.0)</f>
        <v>46147</v>
      </c>
      <c r="L190" s="61" t="str">
        <f>IFERROR(__xludf.DUMMYFUNCTION("""COMPUTED_VALUE"""),"3335")</f>
        <v>3335</v>
      </c>
      <c r="M190" s="61" t="str">
        <f>IFERROR(__xludf.DUMMYFUNCTION("""COMPUTED_VALUE""")," ")</f>
        <v> </v>
      </c>
    </row>
    <row r="191">
      <c r="A191" s="102" t="str">
        <f>IFERROR(__xludf.DUMMYFUNCTION("""COMPUTED_VALUE"""),"https://utrucking.com/admin/orders/6447301460156")</f>
        <v>https://utrucking.com/admin/orders/6447301460156</v>
      </c>
      <c r="B191" s="65" t="str">
        <f>IFERROR(__xludf.DUMMYFUNCTION("""COMPUTED_VALUE"""),"#17955")</f>
        <v>#17955</v>
      </c>
      <c r="C191" s="65" t="str">
        <f>IFERROR(__xludf.DUMMYFUNCTION("""COMPUTED_VALUE"""),"k.m.ziwot@wustl.edu")</f>
        <v>k.m.ziwot@wustl.edu</v>
      </c>
      <c r="D191" s="65">
        <f>IFERROR(__xludf.DUMMYFUNCTION("""COMPUTED_VALUE"""),2.017794859E9)</f>
        <v>2017794859</v>
      </c>
      <c r="E191" s="65" t="str">
        <f>IFERROR(__xludf.DUMMYFUNCTION("""COMPUTED_VALUE"""),"Susan Ziwot")</f>
        <v>Susan Ziwot</v>
      </c>
      <c r="F191" s="65" t="str">
        <f>IFERROR(__xludf.DUMMYFUNCTION("""COMPUTED_VALUE"""),"Kat Ziwot")</f>
        <v>Kat Ziwot</v>
      </c>
      <c r="G191" s="65"/>
      <c r="H191" s="65" t="str">
        <f>IFERROR(__xludf.DUMMYFUNCTION("""COMPUTED_VALUE"""),"Appliance Rental Return")</f>
        <v>Appliance Rental Return</v>
      </c>
      <c r="I191" s="65" t="str">
        <f>IFERROR(__xludf.DUMMYFUNCTION("""COMPUTED_VALUE""")," Double-Door Mini Fridge + Microwave   - ")</f>
        <v> Double-Door Mini Fridge + Microwave   - </v>
      </c>
      <c r="J191" s="108" t="str">
        <f>IFERROR(__xludf.DUMMYFUNCTION("""COMPUTED_VALUE"""),"Danforth  ")</f>
        <v>Danforth  </v>
      </c>
      <c r="K191" s="103">
        <f>IFERROR(__xludf.DUMMYFUNCTION("""COMPUTED_VALUE"""),46150.0)</f>
        <v>46150</v>
      </c>
      <c r="L191" s="65" t="str">
        <f>IFERROR(__xludf.DUMMYFUNCTION("""COMPUTED_VALUE"""),"2212")</f>
        <v>2212</v>
      </c>
      <c r="M191" s="65" t="str">
        <f>IFERROR(__xludf.DUMMYFUNCTION("""COMPUTED_VALUE""")," ")</f>
        <v> </v>
      </c>
    </row>
    <row r="192">
      <c r="A192" s="99" t="str">
        <f>IFERROR(__xludf.DUMMYFUNCTION("""COMPUTED_VALUE"""),"https://utrucking.com/admin/orders/6447307751612")</f>
        <v>https://utrucking.com/admin/orders/6447307751612</v>
      </c>
      <c r="B192" s="61" t="str">
        <f>IFERROR(__xludf.DUMMYFUNCTION("""COMPUTED_VALUE"""),"#17956")</f>
        <v>#17956</v>
      </c>
      <c r="C192" s="61" t="str">
        <f>IFERROR(__xludf.DUMMYFUNCTION("""COMPUTED_VALUE"""),"k.i.rodriguez@wustl.edu")</f>
        <v>k.i.rodriguez@wustl.edu</v>
      </c>
      <c r="D192" s="61">
        <f>IFERROR(__xludf.DUMMYFUNCTION("""COMPUTED_VALUE"""),4.752832419E9)</f>
        <v>4752832419</v>
      </c>
      <c r="E192" s="61" t="str">
        <f>IFERROR(__xludf.DUMMYFUNCTION("""COMPUTED_VALUE"""),"Kate Rodriguez")</f>
        <v>Kate Rodriguez</v>
      </c>
      <c r="F192" s="61" t="str">
        <f>IFERROR(__xludf.DUMMYFUNCTION("""COMPUTED_VALUE"""),"Kate Rodriguez")</f>
        <v>Kate Rodriguez</v>
      </c>
      <c r="G192" s="61"/>
      <c r="H192" s="61" t="str">
        <f>IFERROR(__xludf.DUMMYFUNCTION("""COMPUTED_VALUE"""),"Appliance Rental Return")</f>
        <v>Appliance Rental Return</v>
      </c>
      <c r="I192" s="61" t="str">
        <f>IFERROR(__xludf.DUMMYFUNCTION("""COMPUTED_VALUE""")," Double-Door Mini Fridge + Microwave   - ")</f>
        <v> Double-Door Mini Fridge + Microwave   - </v>
      </c>
      <c r="J192" s="107" t="str">
        <f>IFERROR(__xludf.DUMMYFUNCTION("""COMPUTED_VALUE"""),"Liggett  ")</f>
        <v>Liggett  </v>
      </c>
      <c r="K192" s="100">
        <f>IFERROR(__xludf.DUMMYFUNCTION("""COMPUTED_VALUE"""),46144.0)</f>
        <v>46144</v>
      </c>
      <c r="L192" s="61" t="str">
        <f>IFERROR(__xludf.DUMMYFUNCTION("""COMPUTED_VALUE"""),"2290")</f>
        <v>2290</v>
      </c>
      <c r="M192" s="61" t="str">
        <f>IFERROR(__xludf.DUMMYFUNCTION("""COMPUTED_VALUE""")," ")</f>
        <v> </v>
      </c>
    </row>
    <row r="193">
      <c r="A193" s="102" t="str">
        <f>IFERROR(__xludf.DUMMYFUNCTION("""COMPUTED_VALUE"""),"https://utrucking.com/admin/orders/6447309815996")</f>
        <v>https://utrucking.com/admin/orders/6447309815996</v>
      </c>
      <c r="B193" s="65" t="str">
        <f>IFERROR(__xludf.DUMMYFUNCTION("""COMPUTED_VALUE"""),"#17957")</f>
        <v>#17957</v>
      </c>
      <c r="C193" s="65" t="str">
        <f>IFERROR(__xludf.DUMMYFUNCTION("""COMPUTED_VALUE"""),"d.lasky@wustl.edu")</f>
        <v>d.lasky@wustl.edu</v>
      </c>
      <c r="D193" s="65">
        <f>IFERROR(__xludf.DUMMYFUNCTION("""COMPUTED_VALUE"""),8.185619533E9)</f>
        <v>8185619533</v>
      </c>
      <c r="E193" s="65" t="str">
        <f>IFERROR(__xludf.DUMMYFUNCTION("""COMPUTED_VALUE"""),"David Lasky")</f>
        <v>David Lasky</v>
      </c>
      <c r="F193" s="65" t="str">
        <f>IFERROR(__xludf.DUMMYFUNCTION("""COMPUTED_VALUE"""),"David Lasky")</f>
        <v>David Lasky</v>
      </c>
      <c r="G193" s="65"/>
      <c r="H193" s="65" t="str">
        <f>IFERROR(__xludf.DUMMYFUNCTION("""COMPUTED_VALUE"""),"Appliance Rental Return")</f>
        <v>Appliance Rental Return</v>
      </c>
      <c r="I193" s="65" t="str">
        <f>IFERROR(__xludf.DUMMYFUNCTION("""COMPUTED_VALUE""")," Double-Door Mini Fridge + Microwave   - ")</f>
        <v> Double-Door Mini Fridge + Microwave   - </v>
      </c>
      <c r="J193" s="108" t="str">
        <f>IFERROR(__xludf.DUMMYFUNCTION("""COMPUTED_VALUE"""),"Eliot B (Sophomore Dorm)")</f>
        <v>Eliot B (Sophomore Dorm)</v>
      </c>
      <c r="K193" s="103">
        <f>IFERROR(__xludf.DUMMYFUNCTION("""COMPUTED_VALUE"""),46146.0)</f>
        <v>46146</v>
      </c>
      <c r="L193" s="65" t="str">
        <f>IFERROR(__xludf.DUMMYFUNCTION("""COMPUTED_VALUE"""),"2031")</f>
        <v>2031</v>
      </c>
      <c r="M193" s="65" t="str">
        <f>IFERROR(__xludf.DUMMYFUNCTION("""COMPUTED_VALUE""")," ")</f>
        <v> </v>
      </c>
    </row>
    <row r="194">
      <c r="A194" s="99" t="str">
        <f>IFERROR(__xludf.DUMMYFUNCTION("""COMPUTED_VALUE"""),"https://utrucking.com/admin/orders/6447340650684")</f>
        <v>https://utrucking.com/admin/orders/6447340650684</v>
      </c>
      <c r="B194" s="61" t="str">
        <f>IFERROR(__xludf.DUMMYFUNCTION("""COMPUTED_VALUE"""),"#17958")</f>
        <v>#17958</v>
      </c>
      <c r="C194" s="61" t="str">
        <f>IFERROR(__xludf.DUMMYFUNCTION("""COMPUTED_VALUE"""),"mayaslevine@gmail.com")</f>
        <v>mayaslevine@gmail.com</v>
      </c>
      <c r="D194" s="61">
        <f>IFERROR(__xludf.DUMMYFUNCTION("""COMPUTED_VALUE"""),9.199371533E9)</f>
        <v>9199371533</v>
      </c>
      <c r="E194" s="61" t="str">
        <f>IFERROR(__xludf.DUMMYFUNCTION("""COMPUTED_VALUE"""),"Maya Levine")</f>
        <v>Maya Levine</v>
      </c>
      <c r="F194" s="61" t="str">
        <f>IFERROR(__xludf.DUMMYFUNCTION("""COMPUTED_VALUE"""),"Maya Levine")</f>
        <v>Maya Levine</v>
      </c>
      <c r="G194" s="61"/>
      <c r="H194" s="61" t="str">
        <f>IFERROR(__xludf.DUMMYFUNCTION("""COMPUTED_VALUE"""),"Appliance Rental Return")</f>
        <v>Appliance Rental Return</v>
      </c>
      <c r="I194" s="61" t="str">
        <f>IFERROR(__xludf.DUMMYFUNCTION("""COMPUTED_VALUE""")," Double-Door Mini Fridge   - ")</f>
        <v> Double-Door Mini Fridge   - </v>
      </c>
      <c r="J194" s="107" t="str">
        <f>IFERROR(__xludf.DUMMYFUNCTION("""COMPUTED_VALUE"""),"Village House  ")</f>
        <v>Village House  </v>
      </c>
      <c r="K194" s="100">
        <f>IFERROR(__xludf.DUMMYFUNCTION("""COMPUTED_VALUE"""),46150.0)</f>
        <v>46150</v>
      </c>
      <c r="L194" s="61" t="str">
        <f>IFERROR(__xludf.DUMMYFUNCTION("""COMPUTED_VALUE"""),"3132")</f>
        <v>3132</v>
      </c>
      <c r="M194" s="61" t="str">
        <f>IFERROR(__xludf.DUMMYFUNCTION("""COMPUTED_VALUE""")," ")</f>
        <v> </v>
      </c>
    </row>
    <row r="195">
      <c r="A195" s="102" t="str">
        <f>IFERROR(__xludf.DUMMYFUNCTION("""COMPUTED_VALUE"""),"https://utrucking.com/admin/orders/6447367717052")</f>
        <v>https://utrucking.com/admin/orders/6447367717052</v>
      </c>
      <c r="B195" s="65" t="str">
        <f>IFERROR(__xludf.DUMMYFUNCTION("""COMPUTED_VALUE"""),"#17959")</f>
        <v>#17959</v>
      </c>
      <c r="C195" s="65" t="str">
        <f>IFERROR(__xludf.DUMMYFUNCTION("""COMPUTED_VALUE"""),"lynettehopkinson8@comcast.net")</f>
        <v>lynettehopkinson8@comcast.net</v>
      </c>
      <c r="D195" s="65">
        <f>IFERROR(__xludf.DUMMYFUNCTION("""COMPUTED_VALUE"""),2.017856794E9)</f>
        <v>2017856794</v>
      </c>
      <c r="E195" s="65" t="str">
        <f>IFERROR(__xludf.DUMMYFUNCTION("""COMPUTED_VALUE"""),"Lynette Hopkinson")</f>
        <v>Lynette Hopkinson</v>
      </c>
      <c r="F195" s="65" t="str">
        <f>IFERROR(__xludf.DUMMYFUNCTION("""COMPUTED_VALUE"""),"Cameron Hopkinson")</f>
        <v>Cameron Hopkinson</v>
      </c>
      <c r="G195" s="65"/>
      <c r="H195" s="65" t="str">
        <f>IFERROR(__xludf.DUMMYFUNCTION("""COMPUTED_VALUE"""),"Appliance Rental Return")</f>
        <v>Appliance Rental Return</v>
      </c>
      <c r="I195" s="65" t="str">
        <f>IFERROR(__xludf.DUMMYFUNCTION("""COMPUTED_VALUE""")," Double-Door Mini Fridge + Microwave   - ")</f>
        <v> Double-Door Mini Fridge + Microwave   - </v>
      </c>
      <c r="J195" s="108" t="str">
        <f>IFERROR(__xludf.DUMMYFUNCTION("""COMPUTED_VALUE"""),"Koenig  ")</f>
        <v>Koenig  </v>
      </c>
      <c r="K195" s="103">
        <f>IFERROR(__xludf.DUMMYFUNCTION("""COMPUTED_VALUE"""),46149.0)</f>
        <v>46149</v>
      </c>
      <c r="L195" s="65" t="str">
        <f>IFERROR(__xludf.DUMMYFUNCTION("""COMPUTED_VALUE"""),"4408")</f>
        <v>4408</v>
      </c>
      <c r="M195" s="65" t="str">
        <f>IFERROR(__xludf.DUMMYFUNCTION("""COMPUTED_VALUE""")," ")</f>
        <v> </v>
      </c>
    </row>
    <row r="196">
      <c r="A196" s="99" t="str">
        <f>IFERROR(__xludf.DUMMYFUNCTION("""COMPUTED_VALUE"""),"https://utrucking.com/admin/orders/6447376466108")</f>
        <v>https://utrucking.com/admin/orders/6447376466108</v>
      </c>
      <c r="B196" s="61" t="str">
        <f>IFERROR(__xludf.DUMMYFUNCTION("""COMPUTED_VALUE"""),"#17961")</f>
        <v>#17961</v>
      </c>
      <c r="C196" s="61" t="str">
        <f>IFERROR(__xludf.DUMMYFUNCTION("""COMPUTED_VALUE"""),"alexpantano2@gmail.com")</f>
        <v>alexpantano2@gmail.com</v>
      </c>
      <c r="D196" s="61">
        <f>IFERROR(__xludf.DUMMYFUNCTION("""COMPUTED_VALUE"""),4.078401759E9)</f>
        <v>4078401759</v>
      </c>
      <c r="E196" s="61" t="str">
        <f>IFERROR(__xludf.DUMMYFUNCTION("""COMPUTED_VALUE"""),"Alexandra Pantano")</f>
        <v>Alexandra Pantano</v>
      </c>
      <c r="F196" s="61" t="str">
        <f>IFERROR(__xludf.DUMMYFUNCTION("""COMPUTED_VALUE"""),"Alexandra Pantano")</f>
        <v>Alexandra Pantano</v>
      </c>
      <c r="G196" s="61"/>
      <c r="H196" s="61" t="str">
        <f>IFERROR(__xludf.DUMMYFUNCTION("""COMPUTED_VALUE"""),"Appliance Rental Return")</f>
        <v>Appliance Rental Return</v>
      </c>
      <c r="I196" s="61" t="str">
        <f>IFERROR(__xludf.DUMMYFUNCTION("""COMPUTED_VALUE""")," Double-Door Mini Fridge + Microwave   - ")</f>
        <v> Double-Door Mini Fridge + Microwave   - </v>
      </c>
      <c r="J196" s="107" t="str">
        <f>IFERROR(__xludf.DUMMYFUNCTION("""COMPUTED_VALUE"""),"Zetcher  ")</f>
        <v>Zetcher  </v>
      </c>
      <c r="K196" s="100">
        <f>IFERROR(__xludf.DUMMYFUNCTION("""COMPUTED_VALUE"""),46146.0)</f>
        <v>46146</v>
      </c>
      <c r="L196" s="61" t="str">
        <f>IFERROR(__xludf.DUMMYFUNCTION("""COMPUTED_VALUE"""),"4000")</f>
        <v>4000</v>
      </c>
      <c r="M196" s="61" t="str">
        <f>IFERROR(__xludf.DUMMYFUNCTION("""COMPUTED_VALUE""")," ")</f>
        <v> </v>
      </c>
    </row>
    <row r="197">
      <c r="A197" s="102" t="str">
        <f>IFERROR(__xludf.DUMMYFUNCTION("""COMPUTED_VALUE"""),"https://utrucking.com/admin/orders/6447372304572")</f>
        <v>https://utrucking.com/admin/orders/6447372304572</v>
      </c>
      <c r="B197" s="65" t="str">
        <f>IFERROR(__xludf.DUMMYFUNCTION("""COMPUTED_VALUE"""),"#17960")</f>
        <v>#17960</v>
      </c>
      <c r="C197" s="65" t="str">
        <f>IFERROR(__xludf.DUMMYFUNCTION("""COMPUTED_VALUE"""),"goldberg.l@wustl.edu")</f>
        <v>goldberg.l@wustl.edu</v>
      </c>
      <c r="D197" s="65">
        <f>IFERROR(__xludf.DUMMYFUNCTION("""COMPUTED_VALUE"""),3.103431318E9)</f>
        <v>3103431318</v>
      </c>
      <c r="E197" s="65" t="str">
        <f>IFERROR(__xludf.DUMMYFUNCTION("""COMPUTED_VALUE"""),"Luke Goldberg")</f>
        <v>Luke Goldberg</v>
      </c>
      <c r="F197" s="65" t="str">
        <f>IFERROR(__xludf.DUMMYFUNCTION("""COMPUTED_VALUE"""),"Luke Goldberg")</f>
        <v>Luke Goldberg</v>
      </c>
      <c r="G197" s="65"/>
      <c r="H197" s="65" t="str">
        <f>IFERROR(__xludf.DUMMYFUNCTION("""COMPUTED_VALUE"""),"Appliance Rental Return")</f>
        <v>Appliance Rental Return</v>
      </c>
      <c r="I197" s="65" t="str">
        <f>IFERROR(__xludf.DUMMYFUNCTION("""COMPUTED_VALUE""")," Double-Door Mini Fridge + Microwave   - ")</f>
        <v> Double-Door Mini Fridge + Microwave   - </v>
      </c>
      <c r="J197" s="108" t="str">
        <f>IFERROR(__xludf.DUMMYFUNCTION("""COMPUTED_VALUE"""),"House 6 (Sigma Alpha Epsilon)  ")</f>
        <v>House 6 (Sigma Alpha Epsilon)  </v>
      </c>
      <c r="K197" s="103">
        <f>IFERROR(__xludf.DUMMYFUNCTION("""COMPUTED_VALUE"""),46143.0)</f>
        <v>46143</v>
      </c>
      <c r="L197" s="65" t="str">
        <f>IFERROR(__xludf.DUMMYFUNCTION("""COMPUTED_VALUE"""),"207")</f>
        <v>207</v>
      </c>
      <c r="M197" s="65" t="str">
        <f>IFERROR(__xludf.DUMMYFUNCTION("""COMPUTED_VALUE""")," ")</f>
        <v> </v>
      </c>
    </row>
    <row r="198">
      <c r="A198" s="99" t="str">
        <f>IFERROR(__xludf.DUMMYFUNCTION("""COMPUTED_VALUE"""),"https://utrucking.com/admin/orders/6447381577916")</f>
        <v>https://utrucking.com/admin/orders/6447381577916</v>
      </c>
      <c r="B198" s="61" t="str">
        <f>IFERROR(__xludf.DUMMYFUNCTION("""COMPUTED_VALUE"""),"#17962")</f>
        <v>#17962</v>
      </c>
      <c r="C198" s="61" t="str">
        <f>IFERROR(__xludf.DUMMYFUNCTION("""COMPUTED_VALUE"""),"emmettfajgenbaum@gmail.com")</f>
        <v>emmettfajgenbaum@gmail.com</v>
      </c>
      <c r="D198" s="61">
        <f>IFERROR(__xludf.DUMMYFUNCTION("""COMPUTED_VALUE"""),9.179934166E9)</f>
        <v>9179934166</v>
      </c>
      <c r="E198" s="61" t="str">
        <f>IFERROR(__xludf.DUMMYFUNCTION("""COMPUTED_VALUE"""),"Emmett Fajgenbaum")</f>
        <v>Emmett Fajgenbaum</v>
      </c>
      <c r="F198" s="61" t="str">
        <f>IFERROR(__xludf.DUMMYFUNCTION("""COMPUTED_VALUE"""),"Emmett Fajgenbaum")</f>
        <v>Emmett Fajgenbaum</v>
      </c>
      <c r="G198" s="61"/>
      <c r="H198" s="61" t="str">
        <f>IFERROR(__xludf.DUMMYFUNCTION("""COMPUTED_VALUE"""),"Appliance Rental Return")</f>
        <v>Appliance Rental Return</v>
      </c>
      <c r="I198" s="61" t="str">
        <f>IFERROR(__xludf.DUMMYFUNCTION("""COMPUTED_VALUE""")," Double-Door Mini Fridge   - ")</f>
        <v> Double-Door Mini Fridge   - </v>
      </c>
      <c r="J198" s="107" t="str">
        <f>IFERROR(__xludf.DUMMYFUNCTION("""COMPUTED_VALUE"""),"Park  ")</f>
        <v>Park  </v>
      </c>
      <c r="K198" s="100">
        <f>IFERROR(__xludf.DUMMYFUNCTION("""COMPUTED_VALUE"""),46144.0)</f>
        <v>46144</v>
      </c>
      <c r="L198" s="61" t="str">
        <f>IFERROR(__xludf.DUMMYFUNCTION("""COMPUTED_VALUE"""),"442")</f>
        <v>442</v>
      </c>
      <c r="M198" s="61" t="str">
        <f>IFERROR(__xludf.DUMMYFUNCTION("""COMPUTED_VALUE""")," ")</f>
        <v> </v>
      </c>
    </row>
    <row r="199">
      <c r="A199" s="102" t="str">
        <f>IFERROR(__xludf.DUMMYFUNCTION("""COMPUTED_VALUE"""),"https://utrucking.com/admin/orders/6447451013308")</f>
        <v>https://utrucking.com/admin/orders/6447451013308</v>
      </c>
      <c r="B199" s="65" t="str">
        <f>IFERROR(__xludf.DUMMYFUNCTION("""COMPUTED_VALUE"""),"#17967")</f>
        <v>#17967</v>
      </c>
      <c r="C199" s="65" t="str">
        <f>IFERROR(__xludf.DUMMYFUNCTION("""COMPUTED_VALUE"""),"ahelms123@me.com")</f>
        <v>ahelms123@me.com</v>
      </c>
      <c r="D199" s="65">
        <f>IFERROR(__xludf.DUMMYFUNCTION("""COMPUTED_VALUE"""),7.733989021E9)</f>
        <v>7733989021</v>
      </c>
      <c r="E199" s="65" t="str">
        <f>IFERROR(__xludf.DUMMYFUNCTION("""COMPUTED_VALUE"""),"Andrea Helms")</f>
        <v>Andrea Helms</v>
      </c>
      <c r="F199" s="65" t="str">
        <f>IFERROR(__xludf.DUMMYFUNCTION("""COMPUTED_VALUE"""),"Maggie Helms")</f>
        <v>Maggie Helms</v>
      </c>
      <c r="G199" s="65"/>
      <c r="H199" s="65" t="str">
        <f>IFERROR(__xludf.DUMMYFUNCTION("""COMPUTED_VALUE"""),"Appliance Rental Return")</f>
        <v>Appliance Rental Return</v>
      </c>
      <c r="I199" s="65" t="str">
        <f>IFERROR(__xludf.DUMMYFUNCTION("""COMPUTED_VALUE""")," Double-Door Mini Fridge + Microwave   - ")</f>
        <v> Double-Door Mini Fridge + Microwave   - </v>
      </c>
      <c r="J199" s="108" t="str">
        <f>IFERROR(__xludf.DUMMYFUNCTION("""COMPUTED_VALUE"""),"Lien  ")</f>
        <v>Lien  </v>
      </c>
      <c r="K199" s="103">
        <f>IFERROR(__xludf.DUMMYFUNCTION("""COMPUTED_VALUE"""),46147.0)</f>
        <v>46147</v>
      </c>
      <c r="L199" s="65" t="str">
        <f>IFERROR(__xludf.DUMMYFUNCTION("""COMPUTED_VALUE"""),"3309")</f>
        <v>3309</v>
      </c>
      <c r="M199" s="65" t="str">
        <f>IFERROR(__xludf.DUMMYFUNCTION("""COMPUTED_VALUE""")," ")</f>
        <v> </v>
      </c>
    </row>
    <row r="200">
      <c r="A200" s="99" t="str">
        <f>IFERROR(__xludf.DUMMYFUNCTION("""COMPUTED_VALUE"""),"https://utrucking.com/admin/orders/6447399731388")</f>
        <v>https://utrucking.com/admin/orders/6447399731388</v>
      </c>
      <c r="B200" s="61" t="str">
        <f>IFERROR(__xludf.DUMMYFUNCTION("""COMPUTED_VALUE"""),"#17963")</f>
        <v>#17963</v>
      </c>
      <c r="C200" s="61" t="str">
        <f>IFERROR(__xludf.DUMMYFUNCTION("""COMPUTED_VALUE"""),"lakshmi1110@gmail.com")</f>
        <v>lakshmi1110@gmail.com</v>
      </c>
      <c r="D200" s="61">
        <f>IFERROR(__xludf.DUMMYFUNCTION("""COMPUTED_VALUE"""),3.109895589E9)</f>
        <v>3109895589</v>
      </c>
      <c r="E200" s="61" t="str">
        <f>IFERROR(__xludf.DUMMYFUNCTION("""COMPUTED_VALUE"""),"Lakshmi Jayadev")</f>
        <v>Lakshmi Jayadev</v>
      </c>
      <c r="F200" s="61" t="str">
        <f>IFERROR(__xludf.DUMMYFUNCTION("""COMPUTED_VALUE"""),"Samiya Menon")</f>
        <v>Samiya Menon</v>
      </c>
      <c r="G200" s="61"/>
      <c r="H200" s="61" t="str">
        <f>IFERROR(__xludf.DUMMYFUNCTION("""COMPUTED_VALUE"""),"Appliance Rental Return")</f>
        <v>Appliance Rental Return</v>
      </c>
      <c r="I200" s="61" t="str">
        <f>IFERROR(__xludf.DUMMYFUNCTION("""COMPUTED_VALUE""")," Double-Door Mini Fridge + Microwave   - ")</f>
        <v> Double-Door Mini Fridge + Microwave   - </v>
      </c>
      <c r="J200" s="107" t="str">
        <f>IFERROR(__xludf.DUMMYFUNCTION("""COMPUTED_VALUE"""),"Eliot A (Thomas Eliot)")</f>
        <v>Eliot A (Thomas Eliot)</v>
      </c>
      <c r="K200" s="100">
        <f>IFERROR(__xludf.DUMMYFUNCTION("""COMPUTED_VALUE"""),46149.0)</f>
        <v>46149</v>
      </c>
      <c r="L200" s="61" t="str">
        <f>IFERROR(__xludf.DUMMYFUNCTION("""COMPUTED_VALUE"""),"2061")</f>
        <v>2061</v>
      </c>
      <c r="M200" s="61" t="str">
        <f>IFERROR(__xludf.DUMMYFUNCTION("""COMPUTED_VALUE""")," ")</f>
        <v> </v>
      </c>
    </row>
    <row r="201">
      <c r="A201" s="102" t="str">
        <f>IFERROR(__xludf.DUMMYFUNCTION("""COMPUTED_VALUE"""),"https://utrucking.com/admin/orders/6447486304444")</f>
        <v>https://utrucking.com/admin/orders/6447486304444</v>
      </c>
      <c r="B201" s="65" t="str">
        <f>IFERROR(__xludf.DUMMYFUNCTION("""COMPUTED_VALUE"""),"#17968")</f>
        <v>#17968</v>
      </c>
      <c r="C201" s="65" t="str">
        <f>IFERROR(__xludf.DUMMYFUNCTION("""COMPUTED_VALUE"""),"leia.karczmer@gmail.com")</f>
        <v>leia.karczmer@gmail.com</v>
      </c>
      <c r="D201" s="65">
        <f>IFERROR(__xludf.DUMMYFUNCTION("""COMPUTED_VALUE"""),6.46745612E9)</f>
        <v>6467456120</v>
      </c>
      <c r="E201" s="65" t="str">
        <f>IFERROR(__xludf.DUMMYFUNCTION("""COMPUTED_VALUE"""),"Ada Karczmer")</f>
        <v>Ada Karczmer</v>
      </c>
      <c r="F201" s="65" t="str">
        <f>IFERROR(__xludf.DUMMYFUNCTION("""COMPUTED_VALUE"""),"Leia Karczmer")</f>
        <v>Leia Karczmer</v>
      </c>
      <c r="G201" s="65"/>
      <c r="H201" s="65" t="str">
        <f>IFERROR(__xludf.DUMMYFUNCTION("""COMPUTED_VALUE"""),"Appliance Rental Return")</f>
        <v>Appliance Rental Return</v>
      </c>
      <c r="I201" s="65" t="str">
        <f>IFERROR(__xludf.DUMMYFUNCTION("""COMPUTED_VALUE""")," Double-Door Mini Fridge + Microwave   - ")</f>
        <v> Double-Door Mini Fridge + Microwave   - </v>
      </c>
      <c r="J201" s="108" t="str">
        <f>IFERROR(__xludf.DUMMYFUNCTION("""COMPUTED_VALUE"""),"Danforth  ")</f>
        <v>Danforth  </v>
      </c>
      <c r="K201" s="103">
        <f>IFERROR(__xludf.DUMMYFUNCTION("""COMPUTED_VALUE"""),46146.0)</f>
        <v>46146</v>
      </c>
      <c r="L201" s="65" t="str">
        <f>IFERROR(__xludf.DUMMYFUNCTION("""COMPUTED_VALUE"""),"2221")</f>
        <v>2221</v>
      </c>
      <c r="M201" s="65" t="str">
        <f>IFERROR(__xludf.DUMMYFUNCTION("""COMPUTED_VALUE""")," ")</f>
        <v> </v>
      </c>
    </row>
    <row r="202">
      <c r="A202" s="99" t="str">
        <f>IFERROR(__xludf.DUMMYFUNCTION("""COMPUTED_VALUE"""),"https://utrucking.com/admin/orders/6447406088380")</f>
        <v>https://utrucking.com/admin/orders/6447406088380</v>
      </c>
      <c r="B202" s="61" t="str">
        <f>IFERROR(__xludf.DUMMYFUNCTION("""COMPUTED_VALUE"""),"#17964")</f>
        <v>#17964</v>
      </c>
      <c r="C202" s="61" t="str">
        <f>IFERROR(__xludf.DUMMYFUNCTION("""COMPUTED_VALUE"""),"maddiebschneider@gmail.com")</f>
        <v>maddiebschneider@gmail.com</v>
      </c>
      <c r="D202" s="61">
        <f>IFERROR(__xludf.DUMMYFUNCTION("""COMPUTED_VALUE"""),7.132137252E9)</f>
        <v>7132137252</v>
      </c>
      <c r="E202" s="61" t="str">
        <f>IFERROR(__xludf.DUMMYFUNCTION("""COMPUTED_VALUE"""),"Madeline Schneider")</f>
        <v>Madeline Schneider</v>
      </c>
      <c r="F202" s="61" t="str">
        <f>IFERROR(__xludf.DUMMYFUNCTION("""COMPUTED_VALUE"""),"Madeline Schneider")</f>
        <v>Madeline Schneider</v>
      </c>
      <c r="G202" s="61"/>
      <c r="H202" s="61" t="str">
        <f>IFERROR(__xludf.DUMMYFUNCTION("""COMPUTED_VALUE"""),"Appliance Rental Return")</f>
        <v>Appliance Rental Return</v>
      </c>
      <c r="I202" s="61" t="str">
        <f>IFERROR(__xludf.DUMMYFUNCTION("""COMPUTED_VALUE""")," Double-Door Mini Fridge + Microwave   - ")</f>
        <v> Double-Door Mini Fridge + Microwave   - </v>
      </c>
      <c r="J202" s="107" t="str">
        <f>IFERROR(__xludf.DUMMYFUNCTION("""COMPUTED_VALUE"""),"Village House  ")</f>
        <v>Village House  </v>
      </c>
      <c r="K202" s="100">
        <f>IFERROR(__xludf.DUMMYFUNCTION("""COMPUTED_VALUE"""),46146.0)</f>
        <v>46146</v>
      </c>
      <c r="L202" s="61" t="str">
        <f>IFERROR(__xludf.DUMMYFUNCTION("""COMPUTED_VALUE"""),"4072")</f>
        <v>4072</v>
      </c>
      <c r="M202" s="61" t="str">
        <f>IFERROR(__xludf.DUMMYFUNCTION("""COMPUTED_VALUE""")," ")</f>
        <v> </v>
      </c>
    </row>
    <row r="203">
      <c r="A203" s="102" t="str">
        <f>IFERROR(__xludf.DUMMYFUNCTION("""COMPUTED_VALUE"""),"https://utrucking.com/admin/orders/6447536013500")</f>
        <v>https://utrucking.com/admin/orders/6447536013500</v>
      </c>
      <c r="B203" s="65" t="str">
        <f>IFERROR(__xludf.DUMMYFUNCTION("""COMPUTED_VALUE"""),"#17970")</f>
        <v>#17970</v>
      </c>
      <c r="C203" s="65" t="str">
        <f>IFERROR(__xludf.DUMMYFUNCTION("""COMPUTED_VALUE"""),"marian.kwon@gmail.com")</f>
        <v>marian.kwon@gmail.com</v>
      </c>
      <c r="D203" s="65">
        <f>IFERROR(__xludf.DUMMYFUNCTION("""COMPUTED_VALUE"""),4.158068294E9)</f>
        <v>4158068294</v>
      </c>
      <c r="E203" s="65" t="str">
        <f>IFERROR(__xludf.DUMMYFUNCTION("""COMPUTED_VALUE"""),"Marian Kwon")</f>
        <v>Marian Kwon</v>
      </c>
      <c r="F203" s="65" t="str">
        <f>IFERROR(__xludf.DUMMYFUNCTION("""COMPUTED_VALUE"""),"Sophia Weinberg")</f>
        <v>Sophia Weinberg</v>
      </c>
      <c r="G203" s="65"/>
      <c r="H203" s="65" t="str">
        <f>IFERROR(__xludf.DUMMYFUNCTION("""COMPUTED_VALUE"""),"Appliance Rental Return")</f>
        <v>Appliance Rental Return</v>
      </c>
      <c r="I203" s="65" t="str">
        <f>IFERROR(__xludf.DUMMYFUNCTION("""COMPUTED_VALUE""")," Double-Door Mini Fridge   - ")</f>
        <v> Double-Door Mini Fridge   - </v>
      </c>
      <c r="J203" s="108" t="str">
        <f>IFERROR(__xludf.DUMMYFUNCTION("""COMPUTED_VALUE"""),"Millbrook Bldg. 4  ")</f>
        <v>Millbrook Bldg. 4  </v>
      </c>
      <c r="K203" s="103">
        <f>IFERROR(__xludf.DUMMYFUNCTION("""COMPUTED_VALUE"""),46148.0)</f>
        <v>46148</v>
      </c>
      <c r="L203" s="65" t="str">
        <f>IFERROR(__xludf.DUMMYFUNCTION("""COMPUTED_VALUE"""),"103H")</f>
        <v>103H</v>
      </c>
      <c r="M203" s="65" t="str">
        <f>IFERROR(__xludf.DUMMYFUNCTION("""COMPUTED_VALUE""")," ")</f>
        <v> </v>
      </c>
    </row>
    <row r="204">
      <c r="A204" s="99" t="str">
        <f>IFERROR(__xludf.DUMMYFUNCTION("""COMPUTED_VALUE"""),"https://utrucking.com/admin/orders/6447439249596")</f>
        <v>https://utrucking.com/admin/orders/6447439249596</v>
      </c>
      <c r="B204" s="61" t="str">
        <f>IFERROR(__xludf.DUMMYFUNCTION("""COMPUTED_VALUE"""),"#17965")</f>
        <v>#17965</v>
      </c>
      <c r="C204" s="61" t="str">
        <f>IFERROR(__xludf.DUMMYFUNCTION("""COMPUTED_VALUE"""),"rappoportm@yahoo.com")</f>
        <v>rappoportm@yahoo.com</v>
      </c>
      <c r="D204" s="61">
        <f>IFERROR(__xludf.DUMMYFUNCTION("""COMPUTED_VALUE"""),3.102211061E9)</f>
        <v>3102211061</v>
      </c>
      <c r="E204" s="61" t="str">
        <f>IFERROR(__xludf.DUMMYFUNCTION("""COMPUTED_VALUE"""),"Michelle Rappoport")</f>
        <v>Michelle Rappoport</v>
      </c>
      <c r="F204" s="61" t="str">
        <f>IFERROR(__xludf.DUMMYFUNCTION("""COMPUTED_VALUE"""),"Gray A Rappoport")</f>
        <v>Gray A Rappoport</v>
      </c>
      <c r="G204" s="61"/>
      <c r="H204" s="61" t="str">
        <f>IFERROR(__xludf.DUMMYFUNCTION("""COMPUTED_VALUE"""),"Appliance Rental Return")</f>
        <v>Appliance Rental Return</v>
      </c>
      <c r="I204" s="61" t="str">
        <f>IFERROR(__xludf.DUMMYFUNCTION("""COMPUTED_VALUE""")," Double-Door Mini Fridge + Microwave   - ")</f>
        <v> Double-Door Mini Fridge + Microwave   - </v>
      </c>
      <c r="J204" s="107" t="str">
        <f>IFERROR(__xludf.DUMMYFUNCTION("""COMPUTED_VALUE"""),"Umrath  ")</f>
        <v>Umrath  </v>
      </c>
      <c r="K204" s="100">
        <f>IFERROR(__xludf.DUMMYFUNCTION("""COMPUTED_VALUE"""),46148.0)</f>
        <v>46148</v>
      </c>
      <c r="L204" s="61" t="str">
        <f>IFERROR(__xludf.DUMMYFUNCTION("""COMPUTED_VALUE"""),"L236B")</f>
        <v>L236B</v>
      </c>
      <c r="M204" s="61" t="str">
        <f>IFERROR(__xludf.DUMMYFUNCTION("""COMPUTED_VALUE""")," ")</f>
        <v> </v>
      </c>
    </row>
    <row r="205">
      <c r="A205" s="102" t="str">
        <f>IFERROR(__xludf.DUMMYFUNCTION("""COMPUTED_VALUE"""),"https://utrucking.com/admin/orders/6447550070972")</f>
        <v>https://utrucking.com/admin/orders/6447550070972</v>
      </c>
      <c r="B205" s="65" t="str">
        <f>IFERROR(__xludf.DUMMYFUNCTION("""COMPUTED_VALUE"""),"#17971")</f>
        <v>#17971</v>
      </c>
      <c r="C205" s="65" t="str">
        <f>IFERROR(__xludf.DUMMYFUNCTION("""COMPUTED_VALUE"""),"mhwtan@gmail.com")</f>
        <v>mhwtan@gmail.com</v>
      </c>
      <c r="D205" s="65">
        <f>IFERROR(__xludf.DUMMYFUNCTION("""COMPUTED_VALUE"""),3.10606135E9)</f>
        <v>3106061350</v>
      </c>
      <c r="E205" s="65" t="str">
        <f>IFERROR(__xludf.DUMMYFUNCTION("""COMPUTED_VALUE"""),"Tan 18 Misty Acres Rd")</f>
        <v>Tan 18 Misty Acres Rd</v>
      </c>
      <c r="F205" s="65" t="str">
        <f>IFERROR(__xludf.DUMMYFUNCTION("""COMPUTED_VALUE"""),"Marisa Tan")</f>
        <v>Marisa Tan</v>
      </c>
      <c r="G205" s="65"/>
      <c r="H205" s="65" t="str">
        <f>IFERROR(__xludf.DUMMYFUNCTION("""COMPUTED_VALUE"""),"Appliance Rental Return")</f>
        <v>Appliance Rental Return</v>
      </c>
      <c r="I205" s="65" t="str">
        <f>IFERROR(__xludf.DUMMYFUNCTION("""COMPUTED_VALUE""")," Double-Door Mini Fridge   - ")</f>
        <v> Double-Door Mini Fridge   - </v>
      </c>
      <c r="J205" s="108" t="str">
        <f>IFERROR(__xludf.DUMMYFUNCTION("""COMPUTED_VALUE"""),"Dardick  ")</f>
        <v>Dardick  </v>
      </c>
      <c r="K205" s="103">
        <f>IFERROR(__xludf.DUMMYFUNCTION("""COMPUTED_VALUE"""),46149.0)</f>
        <v>46149</v>
      </c>
      <c r="L205" s="65" t="str">
        <f>IFERROR(__xludf.DUMMYFUNCTION("""COMPUTED_VALUE"""),"2208a")</f>
        <v>2208a</v>
      </c>
      <c r="M205" s="65" t="str">
        <f>IFERROR(__xludf.DUMMYFUNCTION("""COMPUTED_VALUE""")," ")</f>
        <v> </v>
      </c>
    </row>
    <row r="206">
      <c r="A206" s="99" t="str">
        <f>IFERROR(__xludf.DUMMYFUNCTION("""COMPUTED_VALUE"""),"https://utrucking.com/admin/orders/6447522873532")</f>
        <v>https://utrucking.com/admin/orders/6447522873532</v>
      </c>
      <c r="B206" s="61" t="str">
        <f>IFERROR(__xludf.DUMMYFUNCTION("""COMPUTED_VALUE"""),"#17969")</f>
        <v>#17969</v>
      </c>
      <c r="C206" s="61" t="str">
        <f>IFERROR(__xludf.DUMMYFUNCTION("""COMPUTED_VALUE"""),"b.giles@wustl.edu")</f>
        <v>b.giles@wustl.edu</v>
      </c>
      <c r="D206" s="61">
        <f>IFERROR(__xludf.DUMMYFUNCTION("""COMPUTED_VALUE"""),2.393513534E9)</f>
        <v>2393513534</v>
      </c>
      <c r="E206" s="61" t="str">
        <f>IFERROR(__xludf.DUMMYFUNCTION("""COMPUTED_VALUE"""),"Bailey Giles")</f>
        <v>Bailey Giles</v>
      </c>
      <c r="F206" s="61" t="str">
        <f>IFERROR(__xludf.DUMMYFUNCTION("""COMPUTED_VALUE"""),"Bailey Giles")</f>
        <v>Bailey Giles</v>
      </c>
      <c r="G206" s="61"/>
      <c r="H206" s="61" t="str">
        <f>IFERROR(__xludf.DUMMYFUNCTION("""COMPUTED_VALUE"""),"Appliance Rental Return")</f>
        <v>Appliance Rental Return</v>
      </c>
      <c r="I206" s="61" t="str">
        <f>IFERROR(__xludf.DUMMYFUNCTION("""COMPUTED_VALUE""")," Double-Door Mini Fridge   - ")</f>
        <v> Double-Door Mini Fridge   - </v>
      </c>
      <c r="J206" s="107" t="str">
        <f>IFERROR(__xludf.DUMMYFUNCTION("""COMPUTED_VALUE"""),"Nemerov  ")</f>
        <v>Nemerov  </v>
      </c>
      <c r="K206" s="100">
        <f>IFERROR(__xludf.DUMMYFUNCTION("""COMPUTED_VALUE"""),46149.0)</f>
        <v>46149</v>
      </c>
      <c r="L206" s="61" t="str">
        <f>IFERROR(__xludf.DUMMYFUNCTION("""COMPUTED_VALUE"""),"2060")</f>
        <v>2060</v>
      </c>
      <c r="M206" s="61" t="str">
        <f>IFERROR(__xludf.DUMMYFUNCTION("""COMPUTED_VALUE""")," ")</f>
        <v> </v>
      </c>
    </row>
    <row r="207">
      <c r="A207" s="102" t="str">
        <f>IFERROR(__xludf.DUMMYFUNCTION("""COMPUTED_VALUE"""),"https://utrucking.com/admin/orders/6447582576828")</f>
        <v>https://utrucking.com/admin/orders/6447582576828</v>
      </c>
      <c r="B207" s="65" t="str">
        <f>IFERROR(__xludf.DUMMYFUNCTION("""COMPUTED_VALUE"""),"#17973")</f>
        <v>#17973</v>
      </c>
      <c r="C207" s="65" t="str">
        <f>IFERROR(__xludf.DUMMYFUNCTION("""COMPUTED_VALUE"""),"ohhnahyun@gmail.com")</f>
        <v>ohhnahyun@gmail.com</v>
      </c>
      <c r="D207" s="65">
        <f>IFERROR(__xludf.DUMMYFUNCTION("""COMPUTED_VALUE"""),4.843547426E9)</f>
        <v>4843547426</v>
      </c>
      <c r="E207" s="65" t="str">
        <f>IFERROR(__xludf.DUMMYFUNCTION("""COMPUTED_VALUE"""),"Sophia Park")</f>
        <v>Sophia Park</v>
      </c>
      <c r="F207" s="65" t="str">
        <f>IFERROR(__xludf.DUMMYFUNCTION("""COMPUTED_VALUE"""),"Sophia Park")</f>
        <v>Sophia Park</v>
      </c>
      <c r="G207" s="65"/>
      <c r="H207" s="65" t="str">
        <f>IFERROR(__xludf.DUMMYFUNCTION("""COMPUTED_VALUE"""),"Appliance Rental Return")</f>
        <v>Appliance Rental Return</v>
      </c>
      <c r="I207" s="65" t="str">
        <f>IFERROR(__xludf.DUMMYFUNCTION("""COMPUTED_VALUE""")," Double-Door Mini Fridge   - ")</f>
        <v> Double-Door Mini Fridge   - </v>
      </c>
      <c r="J207" s="108" t="str">
        <f>IFERROR(__xludf.DUMMYFUNCTION("""COMPUTED_VALUE"""),"Lien  ")</f>
        <v>Lien  </v>
      </c>
      <c r="K207" s="103">
        <f>IFERROR(__xludf.DUMMYFUNCTION("""COMPUTED_VALUE"""),46149.0)</f>
        <v>46149</v>
      </c>
      <c r="L207" s="65" t="str">
        <f>IFERROR(__xludf.DUMMYFUNCTION("""COMPUTED_VALUE"""),"2211")</f>
        <v>2211</v>
      </c>
      <c r="M207" s="65" t="str">
        <f>IFERROR(__xludf.DUMMYFUNCTION("""COMPUTED_VALUE""")," ")</f>
        <v> </v>
      </c>
    </row>
    <row r="208">
      <c r="A208" s="99" t="str">
        <f>IFERROR(__xludf.DUMMYFUNCTION("""COMPUTED_VALUE"""),"https://utrucking.com/admin/orders/6447587754172")</f>
        <v>https://utrucking.com/admin/orders/6447587754172</v>
      </c>
      <c r="B208" s="61" t="str">
        <f>IFERROR(__xludf.DUMMYFUNCTION("""COMPUTED_VALUE"""),"#17974")</f>
        <v>#17974</v>
      </c>
      <c r="C208" s="61" t="str">
        <f>IFERROR(__xludf.DUMMYFUNCTION("""COMPUTED_VALUE"""),"tritranchanda@yahoo.com")</f>
        <v>tritranchanda@yahoo.com</v>
      </c>
      <c r="D208" s="61">
        <f>IFERROR(__xludf.DUMMYFUNCTION("""COMPUTED_VALUE"""),5.102992644E9)</f>
        <v>5102992644</v>
      </c>
      <c r="E208" s="61" t="str">
        <f>IFERROR(__xludf.DUMMYFUNCTION("""COMPUTED_VALUE"""),"Tri Tran")</f>
        <v>Tri Tran</v>
      </c>
      <c r="F208" s="61" t="str">
        <f>IFERROR(__xludf.DUMMYFUNCTION("""COMPUTED_VALUE"""),"Phi Chanda")</f>
        <v>Phi Chanda</v>
      </c>
      <c r="G208" s="61"/>
      <c r="H208" s="61" t="str">
        <f>IFERROR(__xludf.DUMMYFUNCTION("""COMPUTED_VALUE"""),"Appliance Rental Return")</f>
        <v>Appliance Rental Return</v>
      </c>
      <c r="I208" s="61" t="str">
        <f>IFERROR(__xludf.DUMMYFUNCTION("""COMPUTED_VALUE""")," Double-Door Mini Fridge + Microwave   - ")</f>
        <v> Double-Door Mini Fridge + Microwave   - </v>
      </c>
      <c r="J208" s="107" t="str">
        <f>IFERROR(__xludf.DUMMYFUNCTION("""COMPUTED_VALUE"""),"Lopata  ")</f>
        <v>Lopata  </v>
      </c>
      <c r="K208" s="100">
        <f>IFERROR(__xludf.DUMMYFUNCTION("""COMPUTED_VALUE"""),46149.0)</f>
        <v>46149</v>
      </c>
      <c r="L208" s="61" t="str">
        <f>IFERROR(__xludf.DUMMYFUNCTION("""COMPUTED_VALUE"""),"2004-a")</f>
        <v>2004-a</v>
      </c>
      <c r="M208" s="61" t="str">
        <f>IFERROR(__xludf.DUMMYFUNCTION("""COMPUTED_VALUE""")," ")</f>
        <v> </v>
      </c>
    </row>
    <row r="209">
      <c r="A209" s="102" t="str">
        <f>IFERROR(__xludf.DUMMYFUNCTION("""COMPUTED_VALUE"""),"https://utrucking.com/admin/orders/6447580479676")</f>
        <v>https://utrucking.com/admin/orders/6447580479676</v>
      </c>
      <c r="B209" s="65" t="str">
        <f>IFERROR(__xludf.DUMMYFUNCTION("""COMPUTED_VALUE"""),"#17972")</f>
        <v>#17972</v>
      </c>
      <c r="C209" s="65" t="str">
        <f>IFERROR(__xludf.DUMMYFUNCTION("""COMPUTED_VALUE"""),"zalbukerk@gmail.com")</f>
        <v>zalbukerk@gmail.com</v>
      </c>
      <c r="D209" s="65">
        <f>IFERROR(__xludf.DUMMYFUNCTION("""COMPUTED_VALUE"""),4.158199354E9)</f>
        <v>4158199354</v>
      </c>
      <c r="E209" s="65" t="str">
        <f>IFERROR(__xludf.DUMMYFUNCTION("""COMPUTED_VALUE"""),"Zoe Albukerk")</f>
        <v>Zoe Albukerk</v>
      </c>
      <c r="F209" s="65" t="str">
        <f>IFERROR(__xludf.DUMMYFUNCTION("""COMPUTED_VALUE"""),"Zoe Albukerk")</f>
        <v>Zoe Albukerk</v>
      </c>
      <c r="G209" s="65"/>
      <c r="H209" s="65" t="str">
        <f>IFERROR(__xludf.DUMMYFUNCTION("""COMPUTED_VALUE"""),"Appliance Rental Return")</f>
        <v>Appliance Rental Return</v>
      </c>
      <c r="I209" s="65" t="str">
        <f>IFERROR(__xludf.DUMMYFUNCTION("""COMPUTED_VALUE""")," Double-Door Mini Fridge + Microwave   - ")</f>
        <v> Double-Door Mini Fridge + Microwave   - </v>
      </c>
      <c r="J209" s="108" t="str">
        <f>IFERROR(__xludf.DUMMYFUNCTION("""COMPUTED_VALUE"""),"Shepley  ")</f>
        <v>Shepley  </v>
      </c>
      <c r="K209" s="103">
        <f>IFERROR(__xludf.DUMMYFUNCTION("""COMPUTED_VALUE"""),46148.0)</f>
        <v>46148</v>
      </c>
      <c r="L209" s="65" t="str">
        <f>IFERROR(__xludf.DUMMYFUNCTION("""COMPUTED_VALUE"""),"2034")</f>
        <v>2034</v>
      </c>
      <c r="M209" s="65" t="str">
        <f>IFERROR(__xludf.DUMMYFUNCTION("""COMPUTED_VALUE""")," ")</f>
        <v> </v>
      </c>
    </row>
    <row r="210">
      <c r="A210" s="99" t="str">
        <f>IFERROR(__xludf.DUMMYFUNCTION("""COMPUTED_VALUE"""),"https://utrucking.com/admin/orders/6447613771964")</f>
        <v>https://utrucking.com/admin/orders/6447613771964</v>
      </c>
      <c r="B210" s="61" t="str">
        <f>IFERROR(__xludf.DUMMYFUNCTION("""COMPUTED_VALUE"""),"#17975")</f>
        <v>#17975</v>
      </c>
      <c r="C210" s="61" t="str">
        <f>IFERROR(__xludf.DUMMYFUNCTION("""COMPUTED_VALUE"""),"melanie.r@wustl.edu")</f>
        <v>melanie.r@wustl.edu</v>
      </c>
      <c r="D210" s="61">
        <f>IFERROR(__xludf.DUMMYFUNCTION("""COMPUTED_VALUE"""),8.325664791E9)</f>
        <v>8325664791</v>
      </c>
      <c r="E210" s="61" t="str">
        <f>IFERROR(__xludf.DUMMYFUNCTION("""COMPUTED_VALUE"""),"Melanie Rodriguez")</f>
        <v>Melanie Rodriguez</v>
      </c>
      <c r="F210" s="61" t="str">
        <f>IFERROR(__xludf.DUMMYFUNCTION("""COMPUTED_VALUE"""),"Melanie Rodriguez ")</f>
        <v>Melanie Rodriguez </v>
      </c>
      <c r="G210" s="61"/>
      <c r="H210" s="61" t="str">
        <f>IFERROR(__xludf.DUMMYFUNCTION("""COMPUTED_VALUE"""),"Appliance Rental Return")</f>
        <v>Appliance Rental Return</v>
      </c>
      <c r="I210" s="61" t="str">
        <f>IFERROR(__xludf.DUMMYFUNCTION("""COMPUTED_VALUE""")," Double-Door Mini Fridge   - ")</f>
        <v> Double-Door Mini Fridge   - </v>
      </c>
      <c r="J210" s="107" t="str">
        <f>IFERROR(__xludf.DUMMYFUNCTION("""COMPUTED_VALUE"""),"Dardick  ")</f>
        <v>Dardick  </v>
      </c>
      <c r="K210" s="100">
        <f>IFERROR(__xludf.DUMMYFUNCTION("""COMPUTED_VALUE"""),46149.0)</f>
        <v>46149</v>
      </c>
      <c r="L210" s="61" t="str">
        <f>IFERROR(__xludf.DUMMYFUNCTION("""COMPUTED_VALUE"""),"2227")</f>
        <v>2227</v>
      </c>
      <c r="M210" s="61" t="str">
        <f>IFERROR(__xludf.DUMMYFUNCTION("""COMPUTED_VALUE""")," ")</f>
        <v> </v>
      </c>
    </row>
    <row r="211">
      <c r="A211" s="102" t="str">
        <f>IFERROR(__xludf.DUMMYFUNCTION("""COMPUTED_VALUE"""),"https://utrucking.com/admin/orders/6447749071036")</f>
        <v>https://utrucking.com/admin/orders/6447749071036</v>
      </c>
      <c r="B211" s="65" t="str">
        <f>IFERROR(__xludf.DUMMYFUNCTION("""COMPUTED_VALUE"""),"#17977")</f>
        <v>#17977</v>
      </c>
      <c r="C211" s="65" t="str">
        <f>IFERROR(__xludf.DUMMYFUNCTION("""COMPUTED_VALUE"""),"biyu@wustl.edu")</f>
        <v>biyu@wustl.edu</v>
      </c>
      <c r="D211" s="65">
        <f>IFERROR(__xludf.DUMMYFUNCTION("""COMPUTED_VALUE"""),3.142241469E9)</f>
        <v>3142241469</v>
      </c>
      <c r="E211" s="65" t="str">
        <f>IFERROR(__xludf.DUMMYFUNCTION("""COMPUTED_VALUE"""),"Biyu Sun")</f>
        <v>Biyu Sun</v>
      </c>
      <c r="F211" s="65" t="str">
        <f>IFERROR(__xludf.DUMMYFUNCTION("""COMPUTED_VALUE"""),"Ava Sun")</f>
        <v>Ava Sun</v>
      </c>
      <c r="G211" s="65"/>
      <c r="H211" s="65" t="str">
        <f>IFERROR(__xludf.DUMMYFUNCTION("""COMPUTED_VALUE"""),"Appliance Rental Return")</f>
        <v>Appliance Rental Return</v>
      </c>
      <c r="I211" s="65" t="str">
        <f>IFERROR(__xludf.DUMMYFUNCTION("""COMPUTED_VALUE""")," Double-Door Mini Fridge + Microwave   - ")</f>
        <v> Double-Door Mini Fridge + Microwave   - </v>
      </c>
      <c r="J211" s="108" t="str">
        <f>IFERROR(__xludf.DUMMYFUNCTION("""COMPUTED_VALUE"""),"Hitzeman  ")</f>
        <v>Hitzeman  </v>
      </c>
      <c r="K211" s="103">
        <f>IFERROR(__xludf.DUMMYFUNCTION("""COMPUTED_VALUE"""),46147.0)</f>
        <v>46147</v>
      </c>
      <c r="L211" s="65" t="str">
        <f>IFERROR(__xludf.DUMMYFUNCTION("""COMPUTED_VALUE"""),"423 - a")</f>
        <v>423 - a</v>
      </c>
      <c r="M211" s="65" t="str">
        <f>IFERROR(__xludf.DUMMYFUNCTION("""COMPUTED_VALUE""")," ")</f>
        <v> </v>
      </c>
    </row>
    <row r="212">
      <c r="A212" s="99" t="str">
        <f>IFERROR(__xludf.DUMMYFUNCTION("""COMPUTED_VALUE"""),"https://utrucking.com/admin/orders/6447697854652")</f>
        <v>https://utrucking.com/admin/orders/6447697854652</v>
      </c>
      <c r="B212" s="61" t="str">
        <f>IFERROR(__xludf.DUMMYFUNCTION("""COMPUTED_VALUE"""),"#17976")</f>
        <v>#17976</v>
      </c>
      <c r="C212" s="61" t="str">
        <f>IFERROR(__xludf.DUMMYFUNCTION("""COMPUTED_VALUE"""),"debbierothschild@yahoo.com")</f>
        <v>debbierothschild@yahoo.com</v>
      </c>
      <c r="D212" s="61">
        <f>IFERROR(__xludf.DUMMYFUNCTION("""COMPUTED_VALUE"""),9.179695491E9)</f>
        <v>9179695491</v>
      </c>
      <c r="E212" s="61" t="str">
        <f>IFERROR(__xludf.DUMMYFUNCTION("""COMPUTED_VALUE"""),"Debra Rothschild")</f>
        <v>Debra Rothschild</v>
      </c>
      <c r="F212" s="61" t="str">
        <f>IFERROR(__xludf.DUMMYFUNCTION("""COMPUTED_VALUE"""),"Talia Rothschild ")</f>
        <v>Talia Rothschild </v>
      </c>
      <c r="G212" s="61"/>
      <c r="H212" s="61" t="str">
        <f>IFERROR(__xludf.DUMMYFUNCTION("""COMPUTED_VALUE"""),"Appliance Rental Return")</f>
        <v>Appliance Rental Return</v>
      </c>
      <c r="I212" s="61" t="str">
        <f>IFERROR(__xludf.DUMMYFUNCTION("""COMPUTED_VALUE""")," Double-Door Mini Fridge + Microwave   - ")</f>
        <v> Double-Door Mini Fridge + Microwave   - </v>
      </c>
      <c r="J212" s="107" t="str">
        <f>IFERROR(__xludf.DUMMYFUNCTION("""COMPUTED_VALUE"""),"Park  ")</f>
        <v>Park  </v>
      </c>
      <c r="K212" s="100">
        <f>IFERROR(__xludf.DUMMYFUNCTION("""COMPUTED_VALUE"""),46147.0)</f>
        <v>46147</v>
      </c>
      <c r="L212" s="61" t="str">
        <f>IFERROR(__xludf.DUMMYFUNCTION("""COMPUTED_VALUE"""),"172")</f>
        <v>172</v>
      </c>
      <c r="M212" s="61" t="str">
        <f>IFERROR(__xludf.DUMMYFUNCTION("""COMPUTED_VALUE""")," ")</f>
        <v> </v>
      </c>
    </row>
    <row r="213">
      <c r="A213" s="102" t="str">
        <f>IFERROR(__xludf.DUMMYFUNCTION("""COMPUTED_VALUE"""),"https://utrucking.com/admin/orders/6447771418812")</f>
        <v>https://utrucking.com/admin/orders/6447771418812</v>
      </c>
      <c r="B213" s="65" t="str">
        <f>IFERROR(__xludf.DUMMYFUNCTION("""COMPUTED_VALUE"""),"#17979")</f>
        <v>#17979</v>
      </c>
      <c r="C213" s="65" t="str">
        <f>IFERROR(__xludf.DUMMYFUNCTION("""COMPUTED_VALUE"""),"monicafarr@gmail.com")</f>
        <v>monicafarr@gmail.com</v>
      </c>
      <c r="D213" s="65">
        <f>IFERROR(__xludf.DUMMYFUNCTION("""COMPUTED_VALUE"""),5.056772421E9)</f>
        <v>5056772421</v>
      </c>
      <c r="E213" s="65" t="str">
        <f>IFERROR(__xludf.DUMMYFUNCTION("""COMPUTED_VALUE"""),"Monica Farr")</f>
        <v>Monica Farr</v>
      </c>
      <c r="F213" s="65" t="str">
        <f>IFERROR(__xludf.DUMMYFUNCTION("""COMPUTED_VALUE"""),"Charley Farr")</f>
        <v>Charley Farr</v>
      </c>
      <c r="G213" s="65"/>
      <c r="H213" s="65" t="str">
        <f>IFERROR(__xludf.DUMMYFUNCTION("""COMPUTED_VALUE"""),"Appliance Rental Return")</f>
        <v>Appliance Rental Return</v>
      </c>
      <c r="I213" s="65" t="str">
        <f>IFERROR(__xludf.DUMMYFUNCTION("""COMPUTED_VALUE""")," Double-Door Mini Fridge + Microwave   - ")</f>
        <v> Double-Door Mini Fridge + Microwave   - </v>
      </c>
      <c r="J213" s="108" t="str">
        <f>IFERROR(__xludf.DUMMYFUNCTION("""COMPUTED_VALUE"""),"Hurd  ")</f>
        <v>Hurd  </v>
      </c>
      <c r="K213" s="103">
        <f>IFERROR(__xludf.DUMMYFUNCTION("""COMPUTED_VALUE"""),46147.0)</f>
        <v>46147</v>
      </c>
      <c r="L213" s="65" t="str">
        <f>IFERROR(__xludf.DUMMYFUNCTION("""COMPUTED_VALUE"""),"423")</f>
        <v>423</v>
      </c>
      <c r="M213" s="65" t="str">
        <f>IFERROR(__xludf.DUMMYFUNCTION("""COMPUTED_VALUE""")," ")</f>
        <v> </v>
      </c>
    </row>
    <row r="214">
      <c r="A214" s="99" t="str">
        <f>IFERROR(__xludf.DUMMYFUNCTION("""COMPUTED_VALUE"""),"https://utrucking.com/admin/orders/6447793602748")</f>
        <v>https://utrucking.com/admin/orders/6447793602748</v>
      </c>
      <c r="B214" s="61" t="str">
        <f>IFERROR(__xludf.DUMMYFUNCTION("""COMPUTED_VALUE"""),"#17980")</f>
        <v>#17980</v>
      </c>
      <c r="C214" s="61" t="str">
        <f>IFERROR(__xludf.DUMMYFUNCTION("""COMPUTED_VALUE"""),"charlie.r.zellner@gmail.com")</f>
        <v>charlie.r.zellner@gmail.com</v>
      </c>
      <c r="D214" s="61">
        <f>IFERROR(__xludf.DUMMYFUNCTION("""COMPUTED_VALUE"""),9.17689362E9)</f>
        <v>9176893620</v>
      </c>
      <c r="E214" s="61" t="str">
        <f>IFERROR(__xludf.DUMMYFUNCTION("""COMPUTED_VALUE"""),"Charlie Zellner")</f>
        <v>Charlie Zellner</v>
      </c>
      <c r="F214" s="61" t="str">
        <f>IFERROR(__xludf.DUMMYFUNCTION("""COMPUTED_VALUE"""),"Charlie Zellner")</f>
        <v>Charlie Zellner</v>
      </c>
      <c r="G214" s="61"/>
      <c r="H214" s="61" t="str">
        <f>IFERROR(__xludf.DUMMYFUNCTION("""COMPUTED_VALUE"""),"Appliance Rental Return")</f>
        <v>Appliance Rental Return</v>
      </c>
      <c r="I214" s="61" t="str">
        <f>IFERROR(__xludf.DUMMYFUNCTION("""COMPUTED_VALUE""")," Double-Door Mini Fridge + Microwave   - ")</f>
        <v> Double-Door Mini Fridge + Microwave   - </v>
      </c>
      <c r="J214" s="107" t="str">
        <f>IFERROR(__xludf.DUMMYFUNCTION("""COMPUTED_VALUE"""),"Dardick  ")</f>
        <v>Dardick  </v>
      </c>
      <c r="K214" s="100">
        <f>IFERROR(__xludf.DUMMYFUNCTION("""COMPUTED_VALUE"""),46144.0)</f>
        <v>46144</v>
      </c>
      <c r="L214" s="61" t="str">
        <f>IFERROR(__xludf.DUMMYFUNCTION("""COMPUTED_VALUE"""),"4411")</f>
        <v>4411</v>
      </c>
      <c r="M214" s="61" t="str">
        <f>IFERROR(__xludf.DUMMYFUNCTION("""COMPUTED_VALUE""")," ")</f>
        <v> </v>
      </c>
    </row>
    <row r="215">
      <c r="A215" s="102" t="str">
        <f>IFERROR(__xludf.DUMMYFUNCTION("""COMPUTED_VALUE"""),"https://utrucking.com/admin/orders/6447800680636")</f>
        <v>https://utrucking.com/admin/orders/6447800680636</v>
      </c>
      <c r="B215" s="65" t="str">
        <f>IFERROR(__xludf.DUMMYFUNCTION("""COMPUTED_VALUE"""),"#17981")</f>
        <v>#17981</v>
      </c>
      <c r="C215" s="65" t="str">
        <f>IFERROR(__xludf.DUMMYFUNCTION("""COMPUTED_VALUE"""),"pnesterovsky@gmail.com")</f>
        <v>pnesterovsky@gmail.com</v>
      </c>
      <c r="D215" s="65">
        <f>IFERROR(__xludf.DUMMYFUNCTION("""COMPUTED_VALUE"""),1.4109633683E10)</f>
        <v>14109633683</v>
      </c>
      <c r="E215" s="65" t="str">
        <f>IFERROR(__xludf.DUMMYFUNCTION("""COMPUTED_VALUE"""),"Paul Nesterovsky")</f>
        <v>Paul Nesterovsky</v>
      </c>
      <c r="F215" s="65" t="str">
        <f>IFERROR(__xludf.DUMMYFUNCTION("""COMPUTED_VALUE"""),"Andrew Nesterovsky")</f>
        <v>Andrew Nesterovsky</v>
      </c>
      <c r="G215" s="65"/>
      <c r="H215" s="65" t="str">
        <f>IFERROR(__xludf.DUMMYFUNCTION("""COMPUTED_VALUE"""),"Appliance Rental Return")</f>
        <v>Appliance Rental Return</v>
      </c>
      <c r="I215" s="65" t="str">
        <f>IFERROR(__xludf.DUMMYFUNCTION("""COMPUTED_VALUE""")," Double-Door Mini Fridge   - ")</f>
        <v> Double-Door Mini Fridge   - </v>
      </c>
      <c r="J215" s="108" t="str">
        <f>IFERROR(__xludf.DUMMYFUNCTION("""COMPUTED_VALUE"""),"Koenig  ")</f>
        <v>Koenig  </v>
      </c>
      <c r="K215" s="103">
        <f>IFERROR(__xludf.DUMMYFUNCTION("""COMPUTED_VALUE"""),46149.0)</f>
        <v>46149</v>
      </c>
      <c r="L215" s="65" t="str">
        <f>IFERROR(__xludf.DUMMYFUNCTION("""COMPUTED_VALUE"""),"2216")</f>
        <v>2216</v>
      </c>
      <c r="M215" s="65" t="str">
        <f>IFERROR(__xludf.DUMMYFUNCTION("""COMPUTED_VALUE""")," ")</f>
        <v> </v>
      </c>
    </row>
    <row r="216">
      <c r="A216" s="99" t="str">
        <f>IFERROR(__xludf.DUMMYFUNCTION("""COMPUTED_VALUE"""),"https://admin.shopify.com/store/utrucking/orders/6447803990204?link_source=search")</f>
        <v>https://admin.shopify.com/store/utrucking/orders/6447803990204?link_source=search</v>
      </c>
      <c r="B216" s="61" t="str">
        <f>IFERROR(__xludf.DUMMYFUNCTION("""COMPUTED_VALUE"""),"#17982")</f>
        <v>#17982</v>
      </c>
      <c r="C216" s="61" t="str">
        <f>IFERROR(__xludf.DUMMYFUNCTION("""COMPUTED_VALUE"""),"lesliebenjamin435@gmail.com")</f>
        <v>lesliebenjamin435@gmail.com</v>
      </c>
      <c r="D216" s="61" t="str">
        <f>IFERROR(__xludf.DUMMYFUNCTION("""COMPUTED_VALUE"""),"1 646-418-6635")</f>
        <v>1 646-418-6635</v>
      </c>
      <c r="E216" s="61" t="str">
        <f>IFERROR(__xludf.DUMMYFUNCTION("""COMPUTED_VALUE"""),"Leslie Benjamin")</f>
        <v>Leslie Benjamin</v>
      </c>
      <c r="F216" s="61" t="str">
        <f>IFERROR(__xludf.DUMMYFUNCTION("""COMPUTED_VALUE"""),"William Benjamin")</f>
        <v>William Benjamin</v>
      </c>
      <c r="G216" s="61"/>
      <c r="H216" s="61" t="str">
        <f>IFERROR(__xludf.DUMMYFUNCTION("""COMPUTED_VALUE"""),"Appliance Rental Return")</f>
        <v>Appliance Rental Return</v>
      </c>
      <c r="I216" s="61" t="str">
        <f>IFERROR(__xludf.DUMMYFUNCTION("""COMPUTED_VALUE""")," Double-Door Mini Fridge + Microwave   - ")</f>
        <v> Double-Door Mini Fridge + Microwave   - </v>
      </c>
      <c r="J216" s="107" t="str">
        <f>IFERROR(__xludf.DUMMYFUNCTION("""COMPUTED_VALUE"""),"Rutledge")</f>
        <v>Rutledge</v>
      </c>
      <c r="K216" s="100">
        <f>IFERROR(__xludf.DUMMYFUNCTION("""COMPUTED_VALUE"""),46148.0)</f>
        <v>46148</v>
      </c>
      <c r="L216" s="61" t="str">
        <f>IFERROR(__xludf.DUMMYFUNCTION("""COMPUTED_VALUE"""),"414-a")</f>
        <v>414-a</v>
      </c>
      <c r="M216" s="61"/>
    </row>
    <row r="217">
      <c r="A217" s="102" t="str">
        <f>IFERROR(__xludf.DUMMYFUNCTION("""COMPUTED_VALUE"""),"https://utrucking.com/admin/orders/6447817556156")</f>
        <v>https://utrucking.com/admin/orders/6447817556156</v>
      </c>
      <c r="B217" s="65" t="str">
        <f>IFERROR(__xludf.DUMMYFUNCTION("""COMPUTED_VALUE"""),"#17983")</f>
        <v>#17983</v>
      </c>
      <c r="C217" s="65" t="str">
        <f>IFERROR(__xludf.DUMMYFUNCTION("""COMPUTED_VALUE"""),"s.k.steinmetz@wustl.edu")</f>
        <v>s.k.steinmetz@wustl.edu</v>
      </c>
      <c r="D217" s="65">
        <f>IFERROR(__xludf.DUMMYFUNCTION("""COMPUTED_VALUE"""),8.162069664E9)</f>
        <v>8162069664</v>
      </c>
      <c r="E217" s="65" t="str">
        <f>IFERROR(__xludf.DUMMYFUNCTION("""COMPUTED_VALUE"""),"Sara Steinmetz")</f>
        <v>Sara Steinmetz</v>
      </c>
      <c r="F217" s="65" t="str">
        <f>IFERROR(__xludf.DUMMYFUNCTION("""COMPUTED_VALUE"""),"Sara Steinmetz")</f>
        <v>Sara Steinmetz</v>
      </c>
      <c r="G217" s="65"/>
      <c r="H217" s="65" t="str">
        <f>IFERROR(__xludf.DUMMYFUNCTION("""COMPUTED_VALUE"""),"Appliance Rental Return")</f>
        <v>Appliance Rental Return</v>
      </c>
      <c r="I217" s="65" t="str">
        <f>IFERROR(__xludf.DUMMYFUNCTION("""COMPUTED_VALUE""")," Standard Mini Fridge   - ")</f>
        <v> Standard Mini Fridge   - </v>
      </c>
      <c r="J217" s="108" t="str">
        <f>IFERROR(__xludf.DUMMYFUNCTION("""COMPUTED_VALUE"""),"Shepley  ")</f>
        <v>Shepley  </v>
      </c>
      <c r="K217" s="103">
        <f>IFERROR(__xludf.DUMMYFUNCTION("""COMPUTED_VALUE"""),46144.0)</f>
        <v>46144</v>
      </c>
      <c r="L217" s="65" t="str">
        <f>IFERROR(__xludf.DUMMYFUNCTION("""COMPUTED_VALUE"""),"3084")</f>
        <v>3084</v>
      </c>
      <c r="M217" s="65" t="str">
        <f>IFERROR(__xludf.DUMMYFUNCTION("""COMPUTED_VALUE""")," ")</f>
        <v> </v>
      </c>
    </row>
    <row r="218">
      <c r="A218" s="99" t="str">
        <f>IFERROR(__xludf.DUMMYFUNCTION("""COMPUTED_VALUE"""),"https://utrucking.com/admin/orders/6447866708156")</f>
        <v>https://utrucking.com/admin/orders/6447866708156</v>
      </c>
      <c r="B218" s="61" t="str">
        <f>IFERROR(__xludf.DUMMYFUNCTION("""COMPUTED_VALUE"""),"#17987")</f>
        <v>#17987</v>
      </c>
      <c r="C218" s="61" t="str">
        <f>IFERROR(__xludf.DUMMYFUNCTION("""COMPUTED_VALUE"""),"kbwilson24@comcast.net")</f>
        <v>kbwilson24@comcast.net</v>
      </c>
      <c r="D218" s="61">
        <f>IFERROR(__xludf.DUMMYFUNCTION("""COMPUTED_VALUE"""),8.476918994E9)</f>
        <v>8476918994</v>
      </c>
      <c r="E218" s="61" t="str">
        <f>IFERROR(__xludf.DUMMYFUNCTION("""COMPUTED_VALUE"""),"Karen Wilson")</f>
        <v>Karen Wilson</v>
      </c>
      <c r="F218" s="61" t="str">
        <f>IFERROR(__xludf.DUMMYFUNCTION("""COMPUTED_VALUE"""),"Grant Wilson")</f>
        <v>Grant Wilson</v>
      </c>
      <c r="G218" s="61"/>
      <c r="H218" s="61" t="str">
        <f>IFERROR(__xludf.DUMMYFUNCTION("""COMPUTED_VALUE"""),"Appliance Rental Return")</f>
        <v>Appliance Rental Return</v>
      </c>
      <c r="I218" s="61" t="str">
        <f>IFERROR(__xludf.DUMMYFUNCTION("""COMPUTED_VALUE""")," Double-Door Mini Fridge + Microwave   - ")</f>
        <v> Double-Door Mini Fridge + Microwave   - </v>
      </c>
      <c r="J218" s="107" t="str">
        <f>IFERROR(__xludf.DUMMYFUNCTION("""COMPUTED_VALUE"""),"Lee  ")</f>
        <v>Lee  </v>
      </c>
      <c r="K218" s="100">
        <f>IFERROR(__xludf.DUMMYFUNCTION("""COMPUTED_VALUE"""),46147.0)</f>
        <v>46147</v>
      </c>
      <c r="L218" s="61" t="str">
        <f>IFERROR(__xludf.DUMMYFUNCTION("""COMPUTED_VALUE"""),"222")</f>
        <v>222</v>
      </c>
      <c r="M218" s="61" t="str">
        <f>IFERROR(__xludf.DUMMYFUNCTION("""COMPUTED_VALUE""")," ")</f>
        <v> </v>
      </c>
    </row>
    <row r="219">
      <c r="A219" s="102" t="str">
        <f>IFERROR(__xludf.DUMMYFUNCTION("""COMPUTED_VALUE"""),"https://utrucking.com/admin/orders/6447882993852")</f>
        <v>https://utrucking.com/admin/orders/6447882993852</v>
      </c>
      <c r="B219" s="65" t="str">
        <f>IFERROR(__xludf.DUMMYFUNCTION("""COMPUTED_VALUE"""),"#17989")</f>
        <v>#17989</v>
      </c>
      <c r="C219" s="65" t="str">
        <f>IFERROR(__xludf.DUMMYFUNCTION("""COMPUTED_VALUE"""),"f.lucy@wustl.edu")</f>
        <v>f.lucy@wustl.edu</v>
      </c>
      <c r="D219" s="65">
        <f>IFERROR(__xludf.DUMMYFUNCTION("""COMPUTED_VALUE"""),5.089444417E9)</f>
        <v>5089444417</v>
      </c>
      <c r="E219" s="65" t="str">
        <f>IFERROR(__xludf.DUMMYFUNCTION("""COMPUTED_VALUE"""),"Lucy Forman")</f>
        <v>Lucy Forman</v>
      </c>
      <c r="F219" s="65" t="str">
        <f>IFERROR(__xludf.DUMMYFUNCTION("""COMPUTED_VALUE"""),"Lucy Forman")</f>
        <v>Lucy Forman</v>
      </c>
      <c r="G219" s="65"/>
      <c r="H219" s="65" t="str">
        <f>IFERROR(__xludf.DUMMYFUNCTION("""COMPUTED_VALUE"""),"Appliance Rental Return")</f>
        <v>Appliance Rental Return</v>
      </c>
      <c r="I219" s="65" t="str">
        <f>IFERROR(__xludf.DUMMYFUNCTION("""COMPUTED_VALUE""")," Double-Door Mini Fridge + Microwave   - ")</f>
        <v> Double-Door Mini Fridge + Microwave   - </v>
      </c>
      <c r="J219" s="108" t="str">
        <f>IFERROR(__xludf.DUMMYFUNCTION("""COMPUTED_VALUE"""),"Lien  ")</f>
        <v>Lien  </v>
      </c>
      <c r="K219" s="103">
        <f>IFERROR(__xludf.DUMMYFUNCTION("""COMPUTED_VALUE"""),46146.0)</f>
        <v>46146</v>
      </c>
      <c r="L219" s="65" t="str">
        <f>IFERROR(__xludf.DUMMYFUNCTION("""COMPUTED_VALUE"""),"3328")</f>
        <v>3328</v>
      </c>
      <c r="M219" s="65" t="str">
        <f>IFERROR(__xludf.DUMMYFUNCTION("""COMPUTED_VALUE""")," ")</f>
        <v> </v>
      </c>
    </row>
    <row r="220">
      <c r="A220" s="99" t="str">
        <f>IFERROR(__xludf.DUMMYFUNCTION("""COMPUTED_VALUE"""),"https://utrucking.com/admin/orders/6447886139580")</f>
        <v>https://utrucking.com/admin/orders/6447886139580</v>
      </c>
      <c r="B220" s="61" t="str">
        <f>IFERROR(__xludf.DUMMYFUNCTION("""COMPUTED_VALUE"""),"#17990")</f>
        <v>#17990</v>
      </c>
      <c r="C220" s="61" t="str">
        <f>IFERROR(__xludf.DUMMYFUNCTION("""COMPUTED_VALUE"""),"sagespark19@gmail.com")</f>
        <v>sagespark19@gmail.com</v>
      </c>
      <c r="D220" s="61">
        <f>IFERROR(__xludf.DUMMYFUNCTION("""COMPUTED_VALUE"""),6.692089376E9)</f>
        <v>6692089376</v>
      </c>
      <c r="E220" s="61" t="str">
        <f>IFERROR(__xludf.DUMMYFUNCTION("""COMPUTED_VALUE"""),"Sage Park")</f>
        <v>Sage Park</v>
      </c>
      <c r="F220" s="61" t="str">
        <f>IFERROR(__xludf.DUMMYFUNCTION("""COMPUTED_VALUE"""),"Sage Park")</f>
        <v>Sage Park</v>
      </c>
      <c r="G220" s="61"/>
      <c r="H220" s="61" t="str">
        <f>IFERROR(__xludf.DUMMYFUNCTION("""COMPUTED_VALUE"""),"Appliance Rental Return")</f>
        <v>Appliance Rental Return</v>
      </c>
      <c r="I220" s="61" t="str">
        <f>IFERROR(__xludf.DUMMYFUNCTION("""COMPUTED_VALUE""")," Standard Mini Fridge   - ")</f>
        <v> Standard Mini Fridge   - </v>
      </c>
      <c r="J220" s="107" t="str">
        <f>IFERROR(__xludf.DUMMYFUNCTION("""COMPUTED_VALUE"""),"Koenig  ")</f>
        <v>Koenig  </v>
      </c>
      <c r="K220" s="100">
        <f>IFERROR(__xludf.DUMMYFUNCTION("""COMPUTED_VALUE"""),46148.0)</f>
        <v>46148</v>
      </c>
      <c r="L220" s="61" t="str">
        <f>IFERROR(__xludf.DUMMYFUNCTION("""COMPUTED_VALUE"""),"2214")</f>
        <v>2214</v>
      </c>
      <c r="M220" s="61" t="str">
        <f>IFERROR(__xludf.DUMMYFUNCTION("""COMPUTED_VALUE""")," ")</f>
        <v> </v>
      </c>
    </row>
    <row r="221">
      <c r="A221" s="102" t="str">
        <f>IFERROR(__xludf.DUMMYFUNCTION("""COMPUTED_VALUE"""),"https://utrucking.com/admin/orders/6447914188988")</f>
        <v>https://utrucking.com/admin/orders/6447914188988</v>
      </c>
      <c r="B221" s="65" t="str">
        <f>IFERROR(__xludf.DUMMYFUNCTION("""COMPUTED_VALUE"""),"#17992")</f>
        <v>#17992</v>
      </c>
      <c r="C221" s="65" t="str">
        <f>IFERROR(__xludf.DUMMYFUNCTION("""COMPUTED_VALUE"""),"a.r.thompson@wustl.edu")</f>
        <v>a.r.thompson@wustl.edu</v>
      </c>
      <c r="D221" s="65">
        <f>IFERROR(__xludf.DUMMYFUNCTION("""COMPUTED_VALUE"""),6.082071668E9)</f>
        <v>6082071668</v>
      </c>
      <c r="E221" s="65" t="str">
        <f>IFERROR(__xludf.DUMMYFUNCTION("""COMPUTED_VALUE"""),"Benjamin Thompson")</f>
        <v>Benjamin Thompson</v>
      </c>
      <c r="F221" s="65" t="str">
        <f>IFERROR(__xludf.DUMMYFUNCTION("""COMPUTED_VALUE"""),"Aliana Thompson")</f>
        <v>Aliana Thompson</v>
      </c>
      <c r="G221" s="65"/>
      <c r="H221" s="65" t="str">
        <f>IFERROR(__xludf.DUMMYFUNCTION("""COMPUTED_VALUE"""),"Appliance Rental Return")</f>
        <v>Appliance Rental Return</v>
      </c>
      <c r="I221" s="65" t="str">
        <f>IFERROR(__xludf.DUMMYFUNCTION("""COMPUTED_VALUE""")," Double-Door Mini Fridge + Microwave   - ")</f>
        <v> Double-Door Mini Fridge + Microwave   - </v>
      </c>
      <c r="J221" s="108" t="str">
        <f>IFERROR(__xludf.DUMMYFUNCTION("""COMPUTED_VALUE"""),"Lien  ")</f>
        <v>Lien  </v>
      </c>
      <c r="K221" s="103">
        <f>IFERROR(__xludf.DUMMYFUNCTION("""COMPUTED_VALUE"""),46147.0)</f>
        <v>46147</v>
      </c>
      <c r="L221" s="65" t="str">
        <f>IFERROR(__xludf.DUMMYFUNCTION("""COMPUTED_VALUE"""),"1114")</f>
        <v>1114</v>
      </c>
      <c r="M221" s="65" t="str">
        <f>IFERROR(__xludf.DUMMYFUNCTION("""COMPUTED_VALUE""")," ")</f>
        <v> </v>
      </c>
    </row>
    <row r="222">
      <c r="A222" s="99" t="str">
        <f>IFERROR(__xludf.DUMMYFUNCTION("""COMPUTED_VALUE"""),"https://utrucking.com/admin/orders/6447937814716")</f>
        <v>https://utrucking.com/admin/orders/6447937814716</v>
      </c>
      <c r="B222" s="61" t="str">
        <f>IFERROR(__xludf.DUMMYFUNCTION("""COMPUTED_VALUE"""),"#17993")</f>
        <v>#17993</v>
      </c>
      <c r="C222" s="61" t="str">
        <f>IFERROR(__xludf.DUMMYFUNCTION("""COMPUTED_VALUE"""),"abigail.lee@wustl.edu")</f>
        <v>abigail.lee@wustl.edu</v>
      </c>
      <c r="D222" s="61">
        <f>IFERROR(__xludf.DUMMYFUNCTION("""COMPUTED_VALUE"""),7.193238754E9)</f>
        <v>7193238754</v>
      </c>
      <c r="E222" s="61" t="str">
        <f>IFERROR(__xludf.DUMMYFUNCTION("""COMPUTED_VALUE"""),"Abigail Lee")</f>
        <v>Abigail Lee</v>
      </c>
      <c r="F222" s="61" t="str">
        <f>IFERROR(__xludf.DUMMYFUNCTION("""COMPUTED_VALUE"""),"Abigail Meena Lee")</f>
        <v>Abigail Meena Lee</v>
      </c>
      <c r="G222" s="61"/>
      <c r="H222" s="61" t="str">
        <f>IFERROR(__xludf.DUMMYFUNCTION("""COMPUTED_VALUE"""),"Appliance Rental Return")</f>
        <v>Appliance Rental Return</v>
      </c>
      <c r="I222" s="61" t="str">
        <f>IFERROR(__xludf.DUMMYFUNCTION("""COMPUTED_VALUE""")," Double-Door Mini Fridge   - ")</f>
        <v> Double-Door Mini Fridge   - </v>
      </c>
      <c r="J222" s="107" t="str">
        <f>IFERROR(__xludf.DUMMYFUNCTION("""COMPUTED_VALUE"""),"Shepley  ")</f>
        <v>Shepley  </v>
      </c>
      <c r="K222" s="100">
        <f>IFERROR(__xludf.DUMMYFUNCTION("""COMPUTED_VALUE"""),46150.0)</f>
        <v>46150</v>
      </c>
      <c r="L222" s="61" t="str">
        <f>IFERROR(__xludf.DUMMYFUNCTION("""COMPUTED_VALUE"""),"2051")</f>
        <v>2051</v>
      </c>
      <c r="M222" s="61" t="str">
        <f>IFERROR(__xludf.DUMMYFUNCTION("""COMPUTED_VALUE""")," ")</f>
        <v> </v>
      </c>
    </row>
    <row r="223">
      <c r="A223" s="102" t="str">
        <f>IFERROR(__xludf.DUMMYFUNCTION("""COMPUTED_VALUE"""),"https://utrucking.com/admin/orders/6447968420028")</f>
        <v>https://utrucking.com/admin/orders/6447968420028</v>
      </c>
      <c r="B223" s="65" t="str">
        <f>IFERROR(__xludf.DUMMYFUNCTION("""COMPUTED_VALUE"""),"#17995")</f>
        <v>#17995</v>
      </c>
      <c r="C223" s="65" t="str">
        <f>IFERROR(__xludf.DUMMYFUNCTION("""COMPUTED_VALUE"""),"tarun.eswar15@gmail.com")</f>
        <v>tarun.eswar15@gmail.com</v>
      </c>
      <c r="D223" s="65">
        <f>IFERROR(__xludf.DUMMYFUNCTION("""COMPUTED_VALUE"""),9.787709421E9)</f>
        <v>9787709421</v>
      </c>
      <c r="E223" s="65" t="str">
        <f>IFERROR(__xludf.DUMMYFUNCTION("""COMPUTED_VALUE"""),"Tarun Eswar")</f>
        <v>Tarun Eswar</v>
      </c>
      <c r="F223" s="65" t="str">
        <f>IFERROR(__xludf.DUMMYFUNCTION("""COMPUTED_VALUE"""),"Tarun Eswar")</f>
        <v>Tarun Eswar</v>
      </c>
      <c r="G223" s="65"/>
      <c r="H223" s="65" t="str">
        <f>IFERROR(__xludf.DUMMYFUNCTION("""COMPUTED_VALUE"""),"Appliance Rental Return")</f>
        <v>Appliance Rental Return</v>
      </c>
      <c r="I223" s="65" t="str">
        <f>IFERROR(__xludf.DUMMYFUNCTION("""COMPUTED_VALUE""")," Standard Mini Fridge   - ")</f>
        <v> Standard Mini Fridge   - </v>
      </c>
      <c r="J223" s="108" t="str">
        <f>IFERROR(__xludf.DUMMYFUNCTION("""COMPUTED_VALUE"""),"Zetcher  ")</f>
        <v>Zetcher  </v>
      </c>
      <c r="K223" s="103">
        <f>IFERROR(__xludf.DUMMYFUNCTION("""COMPUTED_VALUE"""),46142.0)</f>
        <v>46142</v>
      </c>
      <c r="L223" s="65" t="str">
        <f>IFERROR(__xludf.DUMMYFUNCTION("""COMPUTED_VALUE"""),"4200")</f>
        <v>4200</v>
      </c>
      <c r="M223" s="65" t="str">
        <f>IFERROR(__xludf.DUMMYFUNCTION("""COMPUTED_VALUE""")," ")</f>
        <v> </v>
      </c>
    </row>
    <row r="224">
      <c r="A224" s="99" t="str">
        <f>IFERROR(__xludf.DUMMYFUNCTION("""COMPUTED_VALUE"""),"https://utrucking.com/admin/orders/6447996895420")</f>
        <v>https://utrucking.com/admin/orders/6447996895420</v>
      </c>
      <c r="B224" s="61" t="str">
        <f>IFERROR(__xludf.DUMMYFUNCTION("""COMPUTED_VALUE"""),"#17997")</f>
        <v>#17997</v>
      </c>
      <c r="C224" s="61" t="str">
        <f>IFERROR(__xludf.DUMMYFUNCTION("""COMPUTED_VALUE"""),"coleesmith12@gmail.com")</f>
        <v>coleesmith12@gmail.com</v>
      </c>
      <c r="D224" s="61">
        <f>IFERROR(__xludf.DUMMYFUNCTION("""COMPUTED_VALUE"""),8.322072972E9)</f>
        <v>8322072972</v>
      </c>
      <c r="E224" s="61" t="str">
        <f>IFERROR(__xludf.DUMMYFUNCTION("""COMPUTED_VALUE"""),"Cole Smith")</f>
        <v>Cole Smith</v>
      </c>
      <c r="F224" s="61" t="str">
        <f>IFERROR(__xludf.DUMMYFUNCTION("""COMPUTED_VALUE"""),"Cole Smith")</f>
        <v>Cole Smith</v>
      </c>
      <c r="G224" s="61"/>
      <c r="H224" s="61" t="str">
        <f>IFERROR(__xludf.DUMMYFUNCTION("""COMPUTED_VALUE"""),"Appliance Rental Return")</f>
        <v>Appliance Rental Return</v>
      </c>
      <c r="I224" s="61" t="str">
        <f>IFERROR(__xludf.DUMMYFUNCTION("""COMPUTED_VALUE""")," Double-Door Mini Fridge + Microwave   - ")</f>
        <v> Double-Door Mini Fridge + Microwave   - </v>
      </c>
      <c r="J224" s="107" t="str">
        <f>IFERROR(__xludf.DUMMYFUNCTION("""COMPUTED_VALUE"""),"Danforth  ")</f>
        <v>Danforth  </v>
      </c>
      <c r="K224" s="100">
        <f>IFERROR(__xludf.DUMMYFUNCTION("""COMPUTED_VALUE"""),46148.0)</f>
        <v>46148</v>
      </c>
      <c r="L224" s="61" t="str">
        <f>IFERROR(__xludf.DUMMYFUNCTION("""COMPUTED_VALUE"""),"3313")</f>
        <v>3313</v>
      </c>
      <c r="M224" s="61" t="str">
        <f>IFERROR(__xludf.DUMMYFUNCTION("""COMPUTED_VALUE""")," ")</f>
        <v> </v>
      </c>
    </row>
    <row r="225">
      <c r="A225" s="102" t="str">
        <f>IFERROR(__xludf.DUMMYFUNCTION("""COMPUTED_VALUE"""),"https://utrucking.com/admin/orders/6448002171068")</f>
        <v>https://utrucking.com/admin/orders/6448002171068</v>
      </c>
      <c r="B225" s="65" t="str">
        <f>IFERROR(__xludf.DUMMYFUNCTION("""COMPUTED_VALUE"""),"#17999")</f>
        <v>#17999</v>
      </c>
      <c r="C225" s="65" t="str">
        <f>IFERROR(__xludf.DUMMYFUNCTION("""COMPUTED_VALUE"""),"crwpurchases@yahoo.com")</f>
        <v>crwpurchases@yahoo.com</v>
      </c>
      <c r="D225" s="65">
        <f>IFERROR(__xludf.DUMMYFUNCTION("""COMPUTED_VALUE"""),9.175093592E9)</f>
        <v>9175093592</v>
      </c>
      <c r="E225" s="65" t="str">
        <f>IFERROR(__xludf.DUMMYFUNCTION("""COMPUTED_VALUE"""),"Carmen Menocal Wetzler")</f>
        <v>Carmen Menocal Wetzler</v>
      </c>
      <c r="F225" s="65" t="str">
        <f>IFERROR(__xludf.DUMMYFUNCTION("""COMPUTED_VALUE"""),"Alexander Wetzler")</f>
        <v>Alexander Wetzler</v>
      </c>
      <c r="G225" s="65"/>
      <c r="H225" s="65" t="str">
        <f>IFERROR(__xludf.DUMMYFUNCTION("""COMPUTED_VALUE"""),"Appliance Rental Return")</f>
        <v>Appliance Rental Return</v>
      </c>
      <c r="I225" s="65" t="str">
        <f>IFERROR(__xludf.DUMMYFUNCTION("""COMPUTED_VALUE""")," Double-Door Mini Fridge + Microwave   - ")</f>
        <v> Double-Door Mini Fridge + Microwave   - </v>
      </c>
      <c r="J225" s="108" t="str">
        <f>IFERROR(__xludf.DUMMYFUNCTION("""COMPUTED_VALUE"""),"Mudd  ")</f>
        <v>Mudd  </v>
      </c>
      <c r="K225" s="103">
        <f>IFERROR(__xludf.DUMMYFUNCTION("""COMPUTED_VALUE"""),46143.0)</f>
        <v>46143</v>
      </c>
      <c r="L225" s="65" t="str">
        <f>IFERROR(__xludf.DUMMYFUNCTION("""COMPUTED_VALUE"""),"161")</f>
        <v>161</v>
      </c>
      <c r="M225" s="65" t="str">
        <f>IFERROR(__xludf.DUMMYFUNCTION("""COMPUTED_VALUE""")," ")</f>
        <v> </v>
      </c>
    </row>
    <row r="226">
      <c r="A226" s="99" t="str">
        <f>IFERROR(__xludf.DUMMYFUNCTION("""COMPUTED_VALUE"""),"https://utrucking.com/admin/orders/6448005087420")</f>
        <v>https://utrucking.com/admin/orders/6448005087420</v>
      </c>
      <c r="B226" s="61" t="str">
        <f>IFERROR(__xludf.DUMMYFUNCTION("""COMPUTED_VALUE"""),"#18000")</f>
        <v>#18000</v>
      </c>
      <c r="C226" s="61" t="str">
        <f>IFERROR(__xludf.DUMMYFUNCTION("""COMPUTED_VALUE"""),"gaines.r@wustl.edu")</f>
        <v>gaines.r@wustl.edu</v>
      </c>
      <c r="D226" s="61">
        <f>IFERROR(__xludf.DUMMYFUNCTION("""COMPUTED_VALUE"""),8.065671199E9)</f>
        <v>8065671199</v>
      </c>
      <c r="E226" s="61" t="str">
        <f>IFERROR(__xludf.DUMMYFUNCTION("""COMPUTED_VALUE"""),"Robert Gaines")</f>
        <v>Robert Gaines</v>
      </c>
      <c r="F226" s="61" t="str">
        <f>IFERROR(__xludf.DUMMYFUNCTION("""COMPUTED_VALUE"""),"Robert Gaines")</f>
        <v>Robert Gaines</v>
      </c>
      <c r="G226" s="61"/>
      <c r="H226" s="61" t="str">
        <f>IFERROR(__xludf.DUMMYFUNCTION("""COMPUTED_VALUE"""),"Appliance Rental Return")</f>
        <v>Appliance Rental Return</v>
      </c>
      <c r="I226" s="61" t="str">
        <f>IFERROR(__xludf.DUMMYFUNCTION("""COMPUTED_VALUE""")," Double-Door Mini Fridge   - ")</f>
        <v> Double-Door Mini Fridge   - </v>
      </c>
      <c r="J226" s="107" t="str">
        <f>IFERROR(__xludf.DUMMYFUNCTION("""COMPUTED_VALUE"""),"Hurd  ")</f>
        <v>Hurd  </v>
      </c>
      <c r="K226" s="100">
        <f>IFERROR(__xludf.DUMMYFUNCTION("""COMPUTED_VALUE"""),46146.0)</f>
        <v>46146</v>
      </c>
      <c r="L226" s="61" t="str">
        <f>IFERROR(__xludf.DUMMYFUNCTION("""COMPUTED_VALUE"""),"412")</f>
        <v>412</v>
      </c>
      <c r="M226" s="61" t="str">
        <f>IFERROR(__xludf.DUMMYFUNCTION("""COMPUTED_VALUE""")," ")</f>
        <v> </v>
      </c>
    </row>
    <row r="227">
      <c r="A227" s="102" t="str">
        <f>IFERROR(__xludf.DUMMYFUNCTION("""COMPUTED_VALUE"""),"https://utrucking.com/admin/orders/6448007348412")</f>
        <v>https://utrucking.com/admin/orders/6448007348412</v>
      </c>
      <c r="B227" s="65" t="str">
        <f>IFERROR(__xludf.DUMMYFUNCTION("""COMPUTED_VALUE"""),"#18001")</f>
        <v>#18001</v>
      </c>
      <c r="C227" s="65" t="str">
        <f>IFERROR(__xludf.DUMMYFUNCTION("""COMPUTED_VALUE"""),"kashyap.tanguturi@gmail.com")</f>
        <v>kashyap.tanguturi@gmail.com</v>
      </c>
      <c r="D227" s="65">
        <f>IFERROR(__xludf.DUMMYFUNCTION("""COMPUTED_VALUE"""),5.618152648E9)</f>
        <v>5618152648</v>
      </c>
      <c r="E227" s="65" t="str">
        <f>IFERROR(__xludf.DUMMYFUNCTION("""COMPUTED_VALUE"""),"Kashyap Tanguturi")</f>
        <v>Kashyap Tanguturi</v>
      </c>
      <c r="F227" s="65" t="str">
        <f>IFERROR(__xludf.DUMMYFUNCTION("""COMPUTED_VALUE"""),"Kashyap Tanguturi")</f>
        <v>Kashyap Tanguturi</v>
      </c>
      <c r="G227" s="65"/>
      <c r="H227" s="65" t="str">
        <f>IFERROR(__xludf.DUMMYFUNCTION("""COMPUTED_VALUE"""),"Appliance Rental Return")</f>
        <v>Appliance Rental Return</v>
      </c>
      <c r="I227" s="65" t="str">
        <f>IFERROR(__xludf.DUMMYFUNCTION("""COMPUTED_VALUE""")," Double-Door Mini Fridge + Microwave   - ")</f>
        <v> Double-Door Mini Fridge + Microwave   - </v>
      </c>
      <c r="J227" s="108" t="str">
        <f>IFERROR(__xludf.DUMMYFUNCTION("""COMPUTED_VALUE"""),"Zetcher  ")</f>
        <v>Zetcher  </v>
      </c>
      <c r="K227" s="103">
        <f>IFERROR(__xludf.DUMMYFUNCTION("""COMPUTED_VALUE"""),46149.0)</f>
        <v>46149</v>
      </c>
      <c r="L227" s="65" t="str">
        <f>IFERROR(__xludf.DUMMYFUNCTION("""COMPUTED_VALUE"""),"2182")</f>
        <v>2182</v>
      </c>
      <c r="M227" s="65" t="str">
        <f>IFERROR(__xludf.DUMMYFUNCTION("""COMPUTED_VALUE""")," ")</f>
        <v> </v>
      </c>
    </row>
    <row r="228">
      <c r="A228" s="99" t="str">
        <f>IFERROR(__xludf.DUMMYFUNCTION("""COMPUTED_VALUE"""),"https://utrucking.com/admin/orders/6448007348412")</f>
        <v>https://utrucking.com/admin/orders/6448007348412</v>
      </c>
      <c r="B228" s="61" t="str">
        <f>IFERROR(__xludf.DUMMYFUNCTION("""COMPUTED_VALUE"""),"#18001")</f>
        <v>#18001</v>
      </c>
      <c r="C228" s="61" t="str">
        <f>IFERROR(__xludf.DUMMYFUNCTION("""COMPUTED_VALUE"""),"kashyap.tanguturi@gmail.com")</f>
        <v>kashyap.tanguturi@gmail.com</v>
      </c>
      <c r="D228" s="61">
        <f>IFERROR(__xludf.DUMMYFUNCTION("""COMPUTED_VALUE"""),5.618152648E9)</f>
        <v>5618152648</v>
      </c>
      <c r="E228" s="61" t="str">
        <f>IFERROR(__xludf.DUMMYFUNCTION("""COMPUTED_VALUE"""),"Kashyap Tanguturi")</f>
        <v>Kashyap Tanguturi</v>
      </c>
      <c r="F228" s="61" t="str">
        <f>IFERROR(__xludf.DUMMYFUNCTION("""COMPUTED_VALUE"""),"Kashyap Tanguturi")</f>
        <v>Kashyap Tanguturi</v>
      </c>
      <c r="G228" s="61"/>
      <c r="H228" s="61" t="str">
        <f>IFERROR(__xludf.DUMMYFUNCTION("""COMPUTED_VALUE"""),"Appliance Rental Return")</f>
        <v>Appliance Rental Return</v>
      </c>
      <c r="I228" s="61" t="str">
        <f>IFERROR(__xludf.DUMMYFUNCTION("""COMPUTED_VALUE""")," Double-Door Mini Fridge + Microwave   - ")</f>
        <v> Double-Door Mini Fridge + Microwave   - </v>
      </c>
      <c r="J228" s="107" t="str">
        <f>IFERROR(__xludf.DUMMYFUNCTION("""COMPUTED_VALUE"""),"Zetcher  ")</f>
        <v>Zetcher  </v>
      </c>
      <c r="K228" s="100">
        <f>IFERROR(__xludf.DUMMYFUNCTION("""COMPUTED_VALUE"""),46149.0)</f>
        <v>46149</v>
      </c>
      <c r="L228" s="61" t="str">
        <f>IFERROR(__xludf.DUMMYFUNCTION("""COMPUTED_VALUE"""),"2182")</f>
        <v>2182</v>
      </c>
      <c r="M228" s="61" t="str">
        <f>IFERROR(__xludf.DUMMYFUNCTION("""COMPUTED_VALUE""")," ")</f>
        <v> </v>
      </c>
    </row>
    <row r="229">
      <c r="A229" s="102" t="str">
        <f>IFERROR(__xludf.DUMMYFUNCTION("""COMPUTED_VALUE"""),"https://utrucking.com/admin/orders/6448016523452")</f>
        <v>https://utrucking.com/admin/orders/6448016523452</v>
      </c>
      <c r="B229" s="65" t="str">
        <f>IFERROR(__xludf.DUMMYFUNCTION("""COMPUTED_VALUE"""),"#18002")</f>
        <v>#18002</v>
      </c>
      <c r="C229" s="65" t="str">
        <f>IFERROR(__xludf.DUMMYFUNCTION("""COMPUTED_VALUE"""),"beepboop136@gmail.com")</f>
        <v>beepboop136@gmail.com</v>
      </c>
      <c r="D229" s="65">
        <f>IFERROR(__xludf.DUMMYFUNCTION("""COMPUTED_VALUE"""),4.804534052E9)</f>
        <v>4804534052</v>
      </c>
      <c r="E229" s="65" t="str">
        <f>IFERROR(__xludf.DUMMYFUNCTION("""COMPUTED_VALUE"""),"Luis Trimino")</f>
        <v>Luis Trimino</v>
      </c>
      <c r="F229" s="65" t="str">
        <f>IFERROR(__xludf.DUMMYFUNCTION("""COMPUTED_VALUE"""),"Luis Trimino")</f>
        <v>Luis Trimino</v>
      </c>
      <c r="G229" s="65"/>
      <c r="H229" s="65" t="str">
        <f>IFERROR(__xludf.DUMMYFUNCTION("""COMPUTED_VALUE"""),"Appliance Rental Return")</f>
        <v>Appliance Rental Return</v>
      </c>
      <c r="I229" s="65" t="str">
        <f>IFERROR(__xludf.DUMMYFUNCTION("""COMPUTED_VALUE""")," Standard Mini Fridge   - ")</f>
        <v> Standard Mini Fridge   - </v>
      </c>
      <c r="J229" s="108" t="str">
        <f>IFERROR(__xludf.DUMMYFUNCTION("""COMPUTED_VALUE"""),"Hurd  ")</f>
        <v>Hurd  </v>
      </c>
      <c r="K229" s="103">
        <f>IFERROR(__xludf.DUMMYFUNCTION("""COMPUTED_VALUE"""),46149.0)</f>
        <v>46149</v>
      </c>
      <c r="L229" s="65" t="str">
        <f>IFERROR(__xludf.DUMMYFUNCTION("""COMPUTED_VALUE"""),"333")</f>
        <v>333</v>
      </c>
      <c r="M229" s="65" t="str">
        <f>IFERROR(__xludf.DUMMYFUNCTION("""COMPUTED_VALUE""")," ")</f>
        <v> </v>
      </c>
    </row>
    <row r="230">
      <c r="A230" s="99" t="str">
        <f>IFERROR(__xludf.DUMMYFUNCTION("""COMPUTED_VALUE"""),"https://utrucking.com/admin/orders/6448055812284")</f>
        <v>https://utrucking.com/admin/orders/6448055812284</v>
      </c>
      <c r="B230" s="61" t="str">
        <f>IFERROR(__xludf.DUMMYFUNCTION("""COMPUTED_VALUE"""),"#18005")</f>
        <v>#18005</v>
      </c>
      <c r="C230" s="61" t="str">
        <f>IFERROR(__xludf.DUMMYFUNCTION("""COMPUTED_VALUE"""),"clararr934@gmail.com")</f>
        <v>clararr934@gmail.com</v>
      </c>
      <c r="D230" s="61">
        <f>IFERROR(__xludf.DUMMYFUNCTION("""COMPUTED_VALUE"""),6.175296211E9)</f>
        <v>6175296211</v>
      </c>
      <c r="E230" s="61" t="str">
        <f>IFERROR(__xludf.DUMMYFUNCTION("""COMPUTED_VALUE"""),"Clara Ripin")</f>
        <v>Clara Ripin</v>
      </c>
      <c r="F230" s="61" t="str">
        <f>IFERROR(__xludf.DUMMYFUNCTION("""COMPUTED_VALUE"""),"Clara Ripin")</f>
        <v>Clara Ripin</v>
      </c>
      <c r="G230" s="61"/>
      <c r="H230" s="61" t="str">
        <f>IFERROR(__xludf.DUMMYFUNCTION("""COMPUTED_VALUE"""),"Appliance Rental Return")</f>
        <v>Appliance Rental Return</v>
      </c>
      <c r="I230" s="61" t="str">
        <f>IFERROR(__xludf.DUMMYFUNCTION("""COMPUTED_VALUE""")," Double-Door Mini Fridge + Microwave   - ")</f>
        <v> Double-Door Mini Fridge + Microwave   - </v>
      </c>
      <c r="J230" s="107" t="str">
        <f>IFERROR(__xludf.DUMMYFUNCTION("""COMPUTED_VALUE"""),"Dauten  ")</f>
        <v>Dauten  </v>
      </c>
      <c r="K230" s="100">
        <f>IFERROR(__xludf.DUMMYFUNCTION("""COMPUTED_VALUE"""),46144.0)</f>
        <v>46144</v>
      </c>
      <c r="L230" s="61" t="str">
        <f>IFERROR(__xludf.DUMMYFUNCTION("""COMPUTED_VALUE"""),"424")</f>
        <v>424</v>
      </c>
      <c r="M230" s="61" t="str">
        <f>IFERROR(__xludf.DUMMYFUNCTION("""COMPUTED_VALUE""")," ")</f>
        <v> </v>
      </c>
    </row>
    <row r="231">
      <c r="A231" s="102" t="str">
        <f>IFERROR(__xludf.DUMMYFUNCTION("""COMPUTED_VALUE"""),"https://utrucking.com/admin/orders/6448061087932")</f>
        <v>https://utrucking.com/admin/orders/6448061087932</v>
      </c>
      <c r="B231" s="65" t="str">
        <f>IFERROR(__xludf.DUMMYFUNCTION("""COMPUTED_VALUE"""),"#18008")</f>
        <v>#18008</v>
      </c>
      <c r="C231" s="65" t="str">
        <f>IFERROR(__xludf.DUMMYFUNCTION("""COMPUTED_VALUE"""),"shalam@wustl.edu")</f>
        <v>shalam@wustl.edu</v>
      </c>
      <c r="D231" s="65">
        <f>IFERROR(__xludf.DUMMYFUNCTION("""COMPUTED_VALUE"""),9.17767691E9)</f>
        <v>9177676910</v>
      </c>
      <c r="E231" s="65" t="str">
        <f>IFERROR(__xludf.DUMMYFUNCTION("""COMPUTED_VALUE"""),"Nathaniel SHALAM")</f>
        <v>Nathaniel SHALAM</v>
      </c>
      <c r="F231" s="65" t="str">
        <f>IFERROR(__xludf.DUMMYFUNCTION("""COMPUTED_VALUE"""),"Nathaniel Shalam")</f>
        <v>Nathaniel Shalam</v>
      </c>
      <c r="G231" s="65"/>
      <c r="H231" s="65" t="str">
        <f>IFERROR(__xludf.DUMMYFUNCTION("""COMPUTED_VALUE"""),"Appliance Rental Return")</f>
        <v>Appliance Rental Return</v>
      </c>
      <c r="I231" s="65" t="str">
        <f>IFERROR(__xludf.DUMMYFUNCTION("""COMPUTED_VALUE""")," Double-Door Mini Fridge + Microwave   - ")</f>
        <v> Double-Door Mini Fridge + Microwave   - </v>
      </c>
      <c r="J231" s="108" t="str">
        <f>IFERROR(__xludf.DUMMYFUNCTION("""COMPUTED_VALUE"""),"Danforth  ")</f>
        <v>Danforth  </v>
      </c>
      <c r="K231" s="103">
        <f>IFERROR(__xludf.DUMMYFUNCTION("""COMPUTED_VALUE"""),46147.0)</f>
        <v>46147</v>
      </c>
      <c r="L231" s="65" t="str">
        <f>IFERROR(__xludf.DUMMYFUNCTION("""COMPUTED_VALUE"""),"3314")</f>
        <v>3314</v>
      </c>
      <c r="M231" s="65" t="str">
        <f>IFERROR(__xludf.DUMMYFUNCTION("""COMPUTED_VALUE""")," ")</f>
        <v> </v>
      </c>
    </row>
    <row r="232">
      <c r="A232" s="99" t="str">
        <f>IFERROR(__xludf.DUMMYFUNCTION("""COMPUTED_VALUE"""),"https://utrucking.com/admin/orders/6448075374780")</f>
        <v>https://utrucking.com/admin/orders/6448075374780</v>
      </c>
      <c r="B232" s="61" t="str">
        <f>IFERROR(__xludf.DUMMYFUNCTION("""COMPUTED_VALUE"""),"#18010")</f>
        <v>#18010</v>
      </c>
      <c r="C232" s="61" t="str">
        <f>IFERROR(__xludf.DUMMYFUNCTION("""COMPUTED_VALUE"""),"jenna.petty145@gmail.com")</f>
        <v>jenna.petty145@gmail.com</v>
      </c>
      <c r="D232" s="61">
        <f>IFERROR(__xludf.DUMMYFUNCTION("""COMPUTED_VALUE"""),3.525141862E9)</f>
        <v>3525141862</v>
      </c>
      <c r="E232" s="61" t="str">
        <f>IFERROR(__xludf.DUMMYFUNCTION("""COMPUTED_VALUE"""),"Jenna Petty")</f>
        <v>Jenna Petty</v>
      </c>
      <c r="F232" s="61" t="str">
        <f>IFERROR(__xludf.DUMMYFUNCTION("""COMPUTED_VALUE"""),"Jenna Petty")</f>
        <v>Jenna Petty</v>
      </c>
      <c r="G232" s="61"/>
      <c r="H232" s="61" t="str">
        <f>IFERROR(__xludf.DUMMYFUNCTION("""COMPUTED_VALUE"""),"Appliance Rental Return")</f>
        <v>Appliance Rental Return</v>
      </c>
      <c r="I232" s="61" t="str">
        <f>IFERROR(__xludf.DUMMYFUNCTION("""COMPUTED_VALUE""")," Double-Door Mini Fridge + Microwave   - ")</f>
        <v> Double-Door Mini Fridge + Microwave   - </v>
      </c>
      <c r="J232" s="107" t="str">
        <f>IFERROR(__xludf.DUMMYFUNCTION("""COMPUTED_VALUE"""),"Rutledge  ")</f>
        <v>Rutledge  </v>
      </c>
      <c r="K232" s="100">
        <f>IFERROR(__xludf.DUMMYFUNCTION("""COMPUTED_VALUE"""),46150.0)</f>
        <v>46150</v>
      </c>
      <c r="L232" s="61" t="str">
        <f>IFERROR(__xludf.DUMMYFUNCTION("""COMPUTED_VALUE"""),"431")</f>
        <v>431</v>
      </c>
      <c r="M232" s="61" t="str">
        <f>IFERROR(__xludf.DUMMYFUNCTION("""COMPUTED_VALUE""")," ")</f>
        <v> </v>
      </c>
    </row>
    <row r="233">
      <c r="A233" s="102" t="str">
        <f>IFERROR(__xludf.DUMMYFUNCTION("""COMPUTED_VALUE"""),"https://utrucking.com/admin/orders/6448102211772")</f>
        <v>https://utrucking.com/admin/orders/6448102211772</v>
      </c>
      <c r="B233" s="65" t="str">
        <f>IFERROR(__xludf.DUMMYFUNCTION("""COMPUTED_VALUE"""),"#18011")</f>
        <v>#18011</v>
      </c>
      <c r="C233" s="65" t="str">
        <f>IFERROR(__xludf.DUMMYFUNCTION("""COMPUTED_VALUE"""),"hanjoshua@wustl.edu")</f>
        <v>hanjoshua@wustl.edu</v>
      </c>
      <c r="D233" s="65">
        <f>IFERROR(__xludf.DUMMYFUNCTION("""COMPUTED_VALUE"""),2.133361008E9)</f>
        <v>2133361008</v>
      </c>
      <c r="E233" s="65" t="str">
        <f>IFERROR(__xludf.DUMMYFUNCTION("""COMPUTED_VALUE"""),"Joshua Han")</f>
        <v>Joshua Han</v>
      </c>
      <c r="F233" s="65" t="str">
        <f>IFERROR(__xludf.DUMMYFUNCTION("""COMPUTED_VALUE"""),"Joshua Han")</f>
        <v>Joshua Han</v>
      </c>
      <c r="G233" s="65"/>
      <c r="H233" s="65" t="str">
        <f>IFERROR(__xludf.DUMMYFUNCTION("""COMPUTED_VALUE"""),"Appliance Rental Return")</f>
        <v>Appliance Rental Return</v>
      </c>
      <c r="I233" s="65" t="str">
        <f>IFERROR(__xludf.DUMMYFUNCTION("""COMPUTED_VALUE""")," Double-Door Mini Fridge + Microwave   - ")</f>
        <v> Double-Door Mini Fridge + Microwave   - </v>
      </c>
      <c r="J233" s="108" t="str">
        <f>IFERROR(__xludf.DUMMYFUNCTION("""COMPUTED_VALUE"""),"Lien  ")</f>
        <v>Lien  </v>
      </c>
      <c r="K233" s="103">
        <f>IFERROR(__xludf.DUMMYFUNCTION("""COMPUTED_VALUE"""),46146.0)</f>
        <v>46146</v>
      </c>
      <c r="L233" s="65" t="str">
        <f>IFERROR(__xludf.DUMMYFUNCTION("""COMPUTED_VALUE"""),"2209")</f>
        <v>2209</v>
      </c>
      <c r="M233" s="65" t="str">
        <f>IFERROR(__xludf.DUMMYFUNCTION("""COMPUTED_VALUE""")," ")</f>
        <v> </v>
      </c>
    </row>
    <row r="234">
      <c r="A234" s="99" t="str">
        <f>IFERROR(__xludf.DUMMYFUNCTION("""COMPUTED_VALUE"""),"https://utrucking.com/admin/orders/6448112959676")</f>
        <v>https://utrucking.com/admin/orders/6448112959676</v>
      </c>
      <c r="B234" s="61" t="str">
        <f>IFERROR(__xludf.DUMMYFUNCTION("""COMPUTED_VALUE"""),"#18013")</f>
        <v>#18013</v>
      </c>
      <c r="C234" s="61" t="str">
        <f>IFERROR(__xludf.DUMMYFUNCTION("""COMPUTED_VALUE"""),"christianyeramkim@gmail.com")</f>
        <v>christianyeramkim@gmail.com</v>
      </c>
      <c r="D234" s="61">
        <f>IFERROR(__xludf.DUMMYFUNCTION("""COMPUTED_VALUE"""),9.496895443E9)</f>
        <v>9496895443</v>
      </c>
      <c r="E234" s="61" t="str">
        <f>IFERROR(__xludf.DUMMYFUNCTION("""COMPUTED_VALUE"""),"Christian Kim")</f>
        <v>Christian Kim</v>
      </c>
      <c r="F234" s="61" t="str">
        <f>IFERROR(__xludf.DUMMYFUNCTION("""COMPUTED_VALUE"""),"Christian Kim")</f>
        <v>Christian Kim</v>
      </c>
      <c r="G234" s="61"/>
      <c r="H234" s="61" t="str">
        <f>IFERROR(__xludf.DUMMYFUNCTION("""COMPUTED_VALUE"""),"Appliance Rental Return")</f>
        <v>Appliance Rental Return</v>
      </c>
      <c r="I234" s="61" t="str">
        <f>IFERROR(__xludf.DUMMYFUNCTION("""COMPUTED_VALUE""")," Double-Door Mini Fridge + Microwave   - ")</f>
        <v> Double-Door Mini Fridge + Microwave   - </v>
      </c>
      <c r="J234" s="107" t="str">
        <f>IFERROR(__xludf.DUMMYFUNCTION("""COMPUTED_VALUE"""),"Zetcher  ")</f>
        <v>Zetcher  </v>
      </c>
      <c r="K234" s="100">
        <f>IFERROR(__xludf.DUMMYFUNCTION("""COMPUTED_VALUE"""),46149.0)</f>
        <v>46149</v>
      </c>
      <c r="L234" s="61" t="str">
        <f>IFERROR(__xludf.DUMMYFUNCTION("""COMPUTED_VALUE"""),"3061")</f>
        <v>3061</v>
      </c>
      <c r="M234" s="61" t="str">
        <f>IFERROR(__xludf.DUMMYFUNCTION("""COMPUTED_VALUE""")," ")</f>
        <v> </v>
      </c>
    </row>
    <row r="235">
      <c r="A235" s="102" t="str">
        <f>IFERROR(__xludf.DUMMYFUNCTION("""COMPUTED_VALUE"""),"https://utrucking.com/admin/orders/6448129212604")</f>
        <v>https://utrucking.com/admin/orders/6448129212604</v>
      </c>
      <c r="B235" s="65" t="str">
        <f>IFERROR(__xludf.DUMMYFUNCTION("""COMPUTED_VALUE"""),"#18015")</f>
        <v>#18015</v>
      </c>
      <c r="C235" s="65" t="str">
        <f>IFERROR(__xludf.DUMMYFUNCTION("""COMPUTED_VALUE"""),"l.maddy@wustl.edu")</f>
        <v>l.maddy@wustl.edu</v>
      </c>
      <c r="D235" s="65">
        <f>IFERROR(__xludf.DUMMYFUNCTION("""COMPUTED_VALUE"""),2.036225122E9)</f>
        <v>2036225122</v>
      </c>
      <c r="E235" s="65" t="str">
        <f>IFERROR(__xludf.DUMMYFUNCTION("""COMPUTED_VALUE"""),"Maddy Lee")</f>
        <v>Maddy Lee</v>
      </c>
      <c r="F235" s="65" t="str">
        <f>IFERROR(__xludf.DUMMYFUNCTION("""COMPUTED_VALUE"""),"Maddy Lee")</f>
        <v>Maddy Lee</v>
      </c>
      <c r="G235" s="65"/>
      <c r="H235" s="65" t="str">
        <f>IFERROR(__xludf.DUMMYFUNCTION("""COMPUTED_VALUE"""),"Appliance Rental Return")</f>
        <v>Appliance Rental Return</v>
      </c>
      <c r="I235" s="65" t="str">
        <f>IFERROR(__xludf.DUMMYFUNCTION("""COMPUTED_VALUE""")," Double-Door Mini Fridge   - ")</f>
        <v> Double-Door Mini Fridge   - </v>
      </c>
      <c r="J235" s="108" t="str">
        <f>IFERROR(__xludf.DUMMYFUNCTION("""COMPUTED_VALUE"""),"Nemerov  ")</f>
        <v>Nemerov  </v>
      </c>
      <c r="K235" s="103">
        <f>IFERROR(__xludf.DUMMYFUNCTION("""COMPUTED_VALUE"""),46153.0)</f>
        <v>46153</v>
      </c>
      <c r="L235" s="65" t="str">
        <f>IFERROR(__xludf.DUMMYFUNCTION("""COMPUTED_VALUE"""),"4060")</f>
        <v>4060</v>
      </c>
      <c r="M235" s="65" t="str">
        <f>IFERROR(__xludf.DUMMYFUNCTION("""COMPUTED_VALUE""")," ")</f>
        <v> </v>
      </c>
    </row>
    <row r="236">
      <c r="A236" s="99" t="str">
        <f>IFERROR(__xludf.DUMMYFUNCTION("""COMPUTED_VALUE"""),"https://utrucking.com/admin/orders/6448167256252")</f>
        <v>https://utrucking.com/admin/orders/6448167256252</v>
      </c>
      <c r="B236" s="61" t="str">
        <f>IFERROR(__xludf.DUMMYFUNCTION("""COMPUTED_VALUE"""),"#18016")</f>
        <v>#18016</v>
      </c>
      <c r="C236" s="61" t="str">
        <f>IFERROR(__xludf.DUMMYFUNCTION("""COMPUTED_VALUE"""),"mepspinner@aol.com")</f>
        <v>mepspinner@aol.com</v>
      </c>
      <c r="D236" s="61">
        <f>IFERROR(__xludf.DUMMYFUNCTION("""COMPUTED_VALUE"""),4.145874195E9)</f>
        <v>4145874195</v>
      </c>
      <c r="E236" s="61" t="str">
        <f>IFERROR(__xludf.DUMMYFUNCTION("""COMPUTED_VALUE"""),"Sarah Bahr")</f>
        <v>Sarah Bahr</v>
      </c>
      <c r="F236" s="61" t="str">
        <f>IFERROR(__xludf.DUMMYFUNCTION("""COMPUTED_VALUE"""),"Evan")</f>
        <v>Evan</v>
      </c>
      <c r="G236" s="61"/>
      <c r="H236" s="61" t="str">
        <f>IFERROR(__xludf.DUMMYFUNCTION("""COMPUTED_VALUE"""),"Appliance Rental Return")</f>
        <v>Appliance Rental Return</v>
      </c>
      <c r="I236" s="61" t="str">
        <f>IFERROR(__xludf.DUMMYFUNCTION("""COMPUTED_VALUE""")," Double-Door Mini Fridge + Microwave   - ")</f>
        <v> Double-Door Mini Fridge + Microwave   - </v>
      </c>
      <c r="J236" s="107" t="str">
        <f>IFERROR(__xludf.DUMMYFUNCTION("""COMPUTED_VALUE"""),"Lee  ")</f>
        <v>Lee  </v>
      </c>
      <c r="K236" s="100">
        <f>IFERROR(__xludf.DUMMYFUNCTION("""COMPUTED_VALUE"""),46148.0)</f>
        <v>46148</v>
      </c>
      <c r="L236" s="61" t="str">
        <f>IFERROR(__xludf.DUMMYFUNCTION("""COMPUTED_VALUE"""),"205")</f>
        <v>205</v>
      </c>
      <c r="M236" s="61" t="str">
        <f>IFERROR(__xludf.DUMMYFUNCTION("""COMPUTED_VALUE""")," ")</f>
        <v> </v>
      </c>
    </row>
    <row r="237">
      <c r="A237" s="102" t="str">
        <f>IFERROR(__xludf.DUMMYFUNCTION("""COMPUTED_VALUE"""),"https://utrucking.com/admin/orders/6448181870780")</f>
        <v>https://utrucking.com/admin/orders/6448181870780</v>
      </c>
      <c r="B237" s="65" t="str">
        <f>IFERROR(__xludf.DUMMYFUNCTION("""COMPUTED_VALUE"""),"#18017")</f>
        <v>#18017</v>
      </c>
      <c r="C237" s="65" t="str">
        <f>IFERROR(__xludf.DUMMYFUNCTION("""COMPUTED_VALUE"""),"c.davey@wustl.edu")</f>
        <v>c.davey@wustl.edu</v>
      </c>
      <c r="D237" s="65">
        <f>IFERROR(__xludf.DUMMYFUNCTION("""COMPUTED_VALUE"""),9.705909779E9)</f>
        <v>9705909779</v>
      </c>
      <c r="E237" s="65" t="str">
        <f>IFERROR(__xludf.DUMMYFUNCTION("""COMPUTED_VALUE"""),"Leah Davey")</f>
        <v>Leah Davey</v>
      </c>
      <c r="F237" s="65" t="str">
        <f>IFERROR(__xludf.DUMMYFUNCTION("""COMPUTED_VALUE"""),"Chandler Davey")</f>
        <v>Chandler Davey</v>
      </c>
      <c r="G237" s="65"/>
      <c r="H237" s="65" t="str">
        <f>IFERROR(__xludf.DUMMYFUNCTION("""COMPUTED_VALUE"""),"Appliance Rental Return")</f>
        <v>Appliance Rental Return</v>
      </c>
      <c r="I237" s="65" t="str">
        <f>IFERROR(__xludf.DUMMYFUNCTION("""COMPUTED_VALUE""")," Double-Door Mini Fridge + Microwave   - ")</f>
        <v> Double-Door Mini Fridge + Microwave   - </v>
      </c>
      <c r="J237" s="108" t="str">
        <f>IFERROR(__xludf.DUMMYFUNCTION("""COMPUTED_VALUE"""),"Koenig  ")</f>
        <v>Koenig  </v>
      </c>
      <c r="K237" s="103">
        <f>IFERROR(__xludf.DUMMYFUNCTION("""COMPUTED_VALUE"""),46143.0)</f>
        <v>46143</v>
      </c>
      <c r="L237" s="65" t="str">
        <f>IFERROR(__xludf.DUMMYFUNCTION("""COMPUTED_VALUE"""),"2204")</f>
        <v>2204</v>
      </c>
      <c r="M237" s="65" t="str">
        <f>IFERROR(__xludf.DUMMYFUNCTION("""COMPUTED_VALUE""")," ")</f>
        <v> </v>
      </c>
    </row>
    <row r="238">
      <c r="A238" s="99" t="str">
        <f>IFERROR(__xludf.DUMMYFUNCTION("""COMPUTED_VALUE"""),"https://utrucking.com/admin/orders/6448187539644")</f>
        <v>https://utrucking.com/admin/orders/6448187539644</v>
      </c>
      <c r="B238" s="61" t="str">
        <f>IFERROR(__xludf.DUMMYFUNCTION("""COMPUTED_VALUE"""),"#18019")</f>
        <v>#18019</v>
      </c>
      <c r="C238" s="61" t="str">
        <f>IFERROR(__xludf.DUMMYFUNCTION("""COMPUTED_VALUE"""),"g.grieme@wustl.edu")</f>
        <v>g.grieme@wustl.edu</v>
      </c>
      <c r="D238" s="61">
        <f>IFERROR(__xludf.DUMMYFUNCTION("""COMPUTED_VALUE"""),7.735518987E9)</f>
        <v>7735518987</v>
      </c>
      <c r="E238" s="61" t="str">
        <f>IFERROR(__xludf.DUMMYFUNCTION("""COMPUTED_VALUE"""),"Grace Grieme")</f>
        <v>Grace Grieme</v>
      </c>
      <c r="F238" s="61" t="str">
        <f>IFERROR(__xludf.DUMMYFUNCTION("""COMPUTED_VALUE"""),"Grace Grieme")</f>
        <v>Grace Grieme</v>
      </c>
      <c r="G238" s="61"/>
      <c r="H238" s="61" t="str">
        <f>IFERROR(__xludf.DUMMYFUNCTION("""COMPUTED_VALUE"""),"Appliance Rental Return")</f>
        <v>Appliance Rental Return</v>
      </c>
      <c r="I238" s="61" t="str">
        <f>IFERROR(__xludf.DUMMYFUNCTION("""COMPUTED_VALUE""")," Double-Door Mini Fridge + Microwave   - ")</f>
        <v> Double-Door Mini Fridge + Microwave   - </v>
      </c>
      <c r="J238" s="107" t="str">
        <f>IFERROR(__xludf.DUMMYFUNCTION("""COMPUTED_VALUE"""),"Shanedling  ")</f>
        <v>Shanedling  </v>
      </c>
      <c r="K238" s="100">
        <f>IFERROR(__xludf.DUMMYFUNCTION("""COMPUTED_VALUE"""),46149.0)</f>
        <v>46149</v>
      </c>
      <c r="L238" s="61" t="str">
        <f>IFERROR(__xludf.DUMMYFUNCTION("""COMPUTED_VALUE"""),"312")</f>
        <v>312</v>
      </c>
      <c r="M238" s="61" t="str">
        <f>IFERROR(__xludf.DUMMYFUNCTION("""COMPUTED_VALUE""")," ")</f>
        <v> </v>
      </c>
    </row>
    <row r="239">
      <c r="A239" s="102" t="str">
        <f>IFERROR(__xludf.DUMMYFUNCTION("""COMPUTED_VALUE"""),"https://utrucking.com/admin/orders/6448201892028")</f>
        <v>https://utrucking.com/admin/orders/6448201892028</v>
      </c>
      <c r="B239" s="65" t="str">
        <f>IFERROR(__xludf.DUMMYFUNCTION("""COMPUTED_VALUE"""),"#18021")</f>
        <v>#18021</v>
      </c>
      <c r="C239" s="65" t="str">
        <f>IFERROR(__xludf.DUMMYFUNCTION("""COMPUTED_VALUE"""),"jackhhollings@gmail.com")</f>
        <v>jackhhollings@gmail.com</v>
      </c>
      <c r="D239" s="65">
        <f>IFERROR(__xludf.DUMMYFUNCTION("""COMPUTED_VALUE"""),7.046182366E9)</f>
        <v>7046182366</v>
      </c>
      <c r="E239" s="65" t="str">
        <f>IFERROR(__xludf.DUMMYFUNCTION("""COMPUTED_VALUE"""),"Laura Hollingsworth")</f>
        <v>Laura Hollingsworth</v>
      </c>
      <c r="F239" s="65" t="str">
        <f>IFERROR(__xludf.DUMMYFUNCTION("""COMPUTED_VALUE"""),"Jack Hollingsworth")</f>
        <v>Jack Hollingsworth</v>
      </c>
      <c r="G239" s="65"/>
      <c r="H239" s="65" t="str">
        <f>IFERROR(__xludf.DUMMYFUNCTION("""COMPUTED_VALUE"""),"Appliance Rental Return")</f>
        <v>Appliance Rental Return</v>
      </c>
      <c r="I239" s="65" t="str">
        <f>IFERROR(__xludf.DUMMYFUNCTION("""COMPUTED_VALUE""")," Double-Door Mini Fridge + Microwave   - ")</f>
        <v> Double-Door Mini Fridge + Microwave   - </v>
      </c>
      <c r="J239" s="108" t="str">
        <f>IFERROR(__xludf.DUMMYFUNCTION("""COMPUTED_VALUE"""),"Millbrook Bldg. 3  ")</f>
        <v>Millbrook Bldg. 3  </v>
      </c>
      <c r="K239" s="103">
        <f>IFERROR(__xludf.DUMMYFUNCTION("""COMPUTED_VALUE"""),46147.0)</f>
        <v>46147</v>
      </c>
      <c r="L239" s="65" t="str">
        <f>IFERROR(__xludf.DUMMYFUNCTION("""COMPUTED_VALUE"""),"B2 C")</f>
        <v>B2 C</v>
      </c>
      <c r="M239" s="65" t="str">
        <f>IFERROR(__xludf.DUMMYFUNCTION("""COMPUTED_VALUE""")," ")</f>
        <v> </v>
      </c>
    </row>
    <row r="240">
      <c r="A240" s="99" t="str">
        <f>IFERROR(__xludf.DUMMYFUNCTION("""COMPUTED_VALUE"""),"https://utrucking.com/admin/orders/6448224174268")</f>
        <v>https://utrucking.com/admin/orders/6448224174268</v>
      </c>
      <c r="B240" s="61" t="str">
        <f>IFERROR(__xludf.DUMMYFUNCTION("""COMPUTED_VALUE"""),"#18023")</f>
        <v>#18023</v>
      </c>
      <c r="C240" s="61" t="str">
        <f>IFERROR(__xludf.DUMMYFUNCTION("""COMPUTED_VALUE"""),"moret@wustl.edu")</f>
        <v>moret@wustl.edu</v>
      </c>
      <c r="D240" s="61">
        <f>IFERROR(__xludf.DUMMYFUNCTION("""COMPUTED_VALUE"""),7.032822939E9)</f>
        <v>7032822939</v>
      </c>
      <c r="E240" s="61" t="str">
        <f>IFERROR(__xludf.DUMMYFUNCTION("""COMPUTED_VALUE"""),"Scott Levine")</f>
        <v>Scott Levine</v>
      </c>
      <c r="F240" s="61" t="str">
        <f>IFERROR(__xludf.DUMMYFUNCTION("""COMPUTED_VALUE"""),"Zoe Moret")</f>
        <v>Zoe Moret</v>
      </c>
      <c r="G240" s="61"/>
      <c r="H240" s="61" t="str">
        <f>IFERROR(__xludf.DUMMYFUNCTION("""COMPUTED_VALUE"""),"Appliance Rental Return")</f>
        <v>Appliance Rental Return</v>
      </c>
      <c r="I240" s="61" t="str">
        <f>IFERROR(__xludf.DUMMYFUNCTION("""COMPUTED_VALUE""")," Double-Door Mini Fridge + Microwave   - ")</f>
        <v> Double-Door Mini Fridge + Microwave   - </v>
      </c>
      <c r="J240" s="107" t="str">
        <f>IFERROR(__xludf.DUMMYFUNCTION("""COMPUTED_VALUE"""),"Nemerov  ")</f>
        <v>Nemerov  </v>
      </c>
      <c r="K240" s="100">
        <f>IFERROR(__xludf.DUMMYFUNCTION("""COMPUTED_VALUE"""),46149.0)</f>
        <v>46149</v>
      </c>
      <c r="L240" s="61" t="str">
        <f>IFERROR(__xludf.DUMMYFUNCTION("""COMPUTED_VALUE"""),"3020")</f>
        <v>3020</v>
      </c>
      <c r="M240" s="61" t="str">
        <f>IFERROR(__xludf.DUMMYFUNCTION("""COMPUTED_VALUE""")," ")</f>
        <v> </v>
      </c>
    </row>
    <row r="241">
      <c r="A241" s="102" t="str">
        <f>IFERROR(__xludf.DUMMYFUNCTION("""COMPUTED_VALUE"""),"https://utrucking.com/admin/orders/6448231612604")</f>
        <v>https://utrucking.com/admin/orders/6448231612604</v>
      </c>
      <c r="B241" s="65" t="str">
        <f>IFERROR(__xludf.DUMMYFUNCTION("""COMPUTED_VALUE"""),"#18025")</f>
        <v>#18025</v>
      </c>
      <c r="C241" s="65" t="str">
        <f>IFERROR(__xludf.DUMMYFUNCTION("""COMPUTED_VALUE"""),"syd.elizb@gmail.com")</f>
        <v>syd.elizb@gmail.com</v>
      </c>
      <c r="D241" s="65">
        <f>IFERROR(__xludf.DUMMYFUNCTION("""COMPUTED_VALUE"""),9.17332704E9)</f>
        <v>9173327040</v>
      </c>
      <c r="E241" s="65" t="str">
        <f>IFERROR(__xludf.DUMMYFUNCTION("""COMPUTED_VALUE"""),"Sydney Baker")</f>
        <v>Sydney Baker</v>
      </c>
      <c r="F241" s="65" t="str">
        <f>IFERROR(__xludf.DUMMYFUNCTION("""COMPUTED_VALUE"""),"Sydney Baker")</f>
        <v>Sydney Baker</v>
      </c>
      <c r="G241" s="65"/>
      <c r="H241" s="65" t="str">
        <f>IFERROR(__xludf.DUMMYFUNCTION("""COMPUTED_VALUE"""),"Appliance Rental Return")</f>
        <v>Appliance Rental Return</v>
      </c>
      <c r="I241" s="65" t="str">
        <f>IFERROR(__xludf.DUMMYFUNCTION("""COMPUTED_VALUE""")," Double-Door Mini Fridge   - ")</f>
        <v> Double-Door Mini Fridge   - </v>
      </c>
      <c r="J241" s="108" t="str">
        <f>IFERROR(__xludf.DUMMYFUNCTION("""COMPUTED_VALUE"""),"Lopata  ")</f>
        <v>Lopata  </v>
      </c>
      <c r="K241" s="103">
        <f>IFERROR(__xludf.DUMMYFUNCTION("""COMPUTED_VALUE"""),46150.0)</f>
        <v>46150</v>
      </c>
      <c r="L241" s="65" t="str">
        <f>IFERROR(__xludf.DUMMYFUNCTION("""COMPUTED_VALUE"""),"3030")</f>
        <v>3030</v>
      </c>
      <c r="M241" s="65" t="str">
        <f>IFERROR(__xludf.DUMMYFUNCTION("""COMPUTED_VALUE""")," ")</f>
        <v> </v>
      </c>
    </row>
    <row r="242">
      <c r="A242" s="99" t="str">
        <f>IFERROR(__xludf.DUMMYFUNCTION("""COMPUTED_VALUE"""),"https://utrucking.com/admin/orders/6448237215932")</f>
        <v>https://utrucking.com/admin/orders/6448237215932</v>
      </c>
      <c r="B242" s="61" t="str">
        <f>IFERROR(__xludf.DUMMYFUNCTION("""COMPUTED_VALUE"""),"#18027")</f>
        <v>#18027</v>
      </c>
      <c r="C242" s="61" t="str">
        <f>IFERROR(__xludf.DUMMYFUNCTION("""COMPUTED_VALUE"""),"nisha_lee@icloud.com")</f>
        <v>nisha_lee@icloud.com</v>
      </c>
      <c r="D242" s="61">
        <f>IFERROR(__xludf.DUMMYFUNCTION("""COMPUTED_VALUE"""),8.47778278E9)</f>
        <v>8477782780</v>
      </c>
      <c r="E242" s="61" t="str">
        <f>IFERROR(__xludf.DUMMYFUNCTION("""COMPUTED_VALUE"""),"Nisha Lee")</f>
        <v>Nisha Lee</v>
      </c>
      <c r="F242" s="61" t="str">
        <f>IFERROR(__xludf.DUMMYFUNCTION("""COMPUTED_VALUE"""),"Nisha Lee")</f>
        <v>Nisha Lee</v>
      </c>
      <c r="G242" s="61"/>
      <c r="H242" s="61" t="str">
        <f>IFERROR(__xludf.DUMMYFUNCTION("""COMPUTED_VALUE"""),"Appliance Rental Return")</f>
        <v>Appliance Rental Return</v>
      </c>
      <c r="I242" s="61" t="str">
        <f>IFERROR(__xludf.DUMMYFUNCTION("""COMPUTED_VALUE""")," Double-Door Mini Fridge + Microwave   - ")</f>
        <v> Double-Door Mini Fridge + Microwave   - </v>
      </c>
      <c r="J242" s="107" t="str">
        <f>IFERROR(__xludf.DUMMYFUNCTION("""COMPUTED_VALUE"""),"Danforth  ")</f>
        <v>Danforth  </v>
      </c>
      <c r="K242" s="100">
        <f>IFERROR(__xludf.DUMMYFUNCTION("""COMPUTED_VALUE"""),46148.0)</f>
        <v>46148</v>
      </c>
      <c r="L242" s="61" t="str">
        <f>IFERROR(__xludf.DUMMYFUNCTION("""COMPUTED_VALUE"""),"4414")</f>
        <v>4414</v>
      </c>
      <c r="M242" s="61" t="str">
        <f>IFERROR(__xludf.DUMMYFUNCTION("""COMPUTED_VALUE""")," ")</f>
        <v> </v>
      </c>
    </row>
    <row r="243">
      <c r="A243" s="102" t="str">
        <f>IFERROR(__xludf.DUMMYFUNCTION("""COMPUTED_VALUE"""),"https://utrucking.com/admin/orders/6448275849404")</f>
        <v>https://utrucking.com/admin/orders/6448275849404</v>
      </c>
      <c r="B243" s="65" t="str">
        <f>IFERROR(__xludf.DUMMYFUNCTION("""COMPUTED_VALUE"""),"#18029")</f>
        <v>#18029</v>
      </c>
      <c r="C243" s="65" t="str">
        <f>IFERROR(__xludf.DUMMYFUNCTION("""COMPUTED_VALUE"""),"yingjia@wustl.edu")</f>
        <v>yingjia@wustl.edu</v>
      </c>
      <c r="D243" s="65">
        <f>IFERROR(__xludf.DUMMYFUNCTION("""COMPUTED_VALUE"""),3.14398904E9)</f>
        <v>3143989040</v>
      </c>
      <c r="E243" s="65" t="str">
        <f>IFERROR(__xludf.DUMMYFUNCTION("""COMPUTED_VALUE"""),"Linda Wang")</f>
        <v>Linda Wang</v>
      </c>
      <c r="F243" s="65" t="str">
        <f>IFERROR(__xludf.DUMMYFUNCTION("""COMPUTED_VALUE"""),"Linda Wang")</f>
        <v>Linda Wang</v>
      </c>
      <c r="G243" s="65"/>
      <c r="H243" s="65" t="str">
        <f>IFERROR(__xludf.DUMMYFUNCTION("""COMPUTED_VALUE"""),"Appliance Rental Return")</f>
        <v>Appliance Rental Return</v>
      </c>
      <c r="I243" s="65" t="str">
        <f>IFERROR(__xludf.DUMMYFUNCTION("""COMPUTED_VALUE""")," Standard Mini Fridge + Microwave   - ")</f>
        <v> Standard Mini Fridge + Microwave   - </v>
      </c>
      <c r="J243" s="108" t="str">
        <f>IFERROR(__xludf.DUMMYFUNCTION("""COMPUTED_VALUE"""),"Dauten  ")</f>
        <v>Dauten  </v>
      </c>
      <c r="K243" s="103">
        <f>IFERROR(__xludf.DUMMYFUNCTION("""COMPUTED_VALUE"""),46149.0)</f>
        <v>46149</v>
      </c>
      <c r="L243" s="65" t="str">
        <f>IFERROR(__xludf.DUMMYFUNCTION("""COMPUTED_VALUE"""),"34")</f>
        <v>34</v>
      </c>
      <c r="M243" s="65" t="str">
        <f>IFERROR(__xludf.DUMMYFUNCTION("""COMPUTED_VALUE""")," ")</f>
        <v> </v>
      </c>
    </row>
    <row r="244">
      <c r="A244" s="99" t="str">
        <f>IFERROR(__xludf.DUMMYFUNCTION("""COMPUTED_VALUE"""),"https://utrucking.com/admin/orders/6448312025276")</f>
        <v>https://utrucking.com/admin/orders/6448312025276</v>
      </c>
      <c r="B244" s="61" t="str">
        <f>IFERROR(__xludf.DUMMYFUNCTION("""COMPUTED_VALUE"""),"#18032")</f>
        <v>#18032</v>
      </c>
      <c r="C244" s="61" t="str">
        <f>IFERROR(__xludf.DUMMYFUNCTION("""COMPUTED_VALUE"""),"m.sohn@wustl.edu")</f>
        <v>m.sohn@wustl.edu</v>
      </c>
      <c r="D244" s="61">
        <f>IFERROR(__xludf.DUMMYFUNCTION("""COMPUTED_VALUE"""),3.143798058E9)</f>
        <v>3143798058</v>
      </c>
      <c r="E244" s="61" t="str">
        <f>IFERROR(__xludf.DUMMYFUNCTION("""COMPUTED_VALUE"""),"Minjun Sohn")</f>
        <v>Minjun Sohn</v>
      </c>
      <c r="F244" s="61" t="str">
        <f>IFERROR(__xludf.DUMMYFUNCTION("""COMPUTED_VALUE"""),"Minjun Sohn")</f>
        <v>Minjun Sohn</v>
      </c>
      <c r="G244" s="61"/>
      <c r="H244" s="61" t="str">
        <f>IFERROR(__xludf.DUMMYFUNCTION("""COMPUTED_VALUE"""),"Appliance Rental Return")</f>
        <v>Appliance Rental Return</v>
      </c>
      <c r="I244" s="61" t="str">
        <f>IFERROR(__xludf.DUMMYFUNCTION("""COMPUTED_VALUE""")," Double-Door Mini Fridge   - ")</f>
        <v> Double-Door Mini Fridge   - </v>
      </c>
      <c r="J244" s="107" t="str">
        <f>IFERROR(__xludf.DUMMYFUNCTION("""COMPUTED_VALUE"""),"Village House  ")</f>
        <v>Village House  </v>
      </c>
      <c r="K244" s="100">
        <f>IFERROR(__xludf.DUMMYFUNCTION("""COMPUTED_VALUE"""),46150.0)</f>
        <v>46150</v>
      </c>
      <c r="L244" s="61" t="str">
        <f>IFERROR(__xludf.DUMMYFUNCTION("""COMPUTED_VALUE"""),"3121")</f>
        <v>3121</v>
      </c>
      <c r="M244" s="61" t="str">
        <f>IFERROR(__xludf.DUMMYFUNCTION("""COMPUTED_VALUE""")," ")</f>
        <v> </v>
      </c>
    </row>
    <row r="245">
      <c r="A245" s="102" t="str">
        <f>IFERROR(__xludf.DUMMYFUNCTION("""COMPUTED_VALUE"""),"https://utrucking.com/admin/orders/6448325984444")</f>
        <v>https://utrucking.com/admin/orders/6448325984444</v>
      </c>
      <c r="B245" s="65" t="str">
        <f>IFERROR(__xludf.DUMMYFUNCTION("""COMPUTED_VALUE"""),"#18033")</f>
        <v>#18033</v>
      </c>
      <c r="C245" s="65" t="str">
        <f>IFERROR(__xludf.DUMMYFUNCTION("""COMPUTED_VALUE"""),"b.uma@wustl.edu")</f>
        <v>b.uma@wustl.edu</v>
      </c>
      <c r="D245" s="65">
        <f>IFERROR(__xludf.DUMMYFUNCTION("""COMPUTED_VALUE"""),8.564954922E9)</f>
        <v>8564954922</v>
      </c>
      <c r="E245" s="65" t="str">
        <f>IFERROR(__xludf.DUMMYFUNCTION("""COMPUTED_VALUE"""),"Uma Bhoot")</f>
        <v>Uma Bhoot</v>
      </c>
      <c r="F245" s="65" t="str">
        <f>IFERROR(__xludf.DUMMYFUNCTION("""COMPUTED_VALUE"""),"Uma Bhoot")</f>
        <v>Uma Bhoot</v>
      </c>
      <c r="G245" s="65"/>
      <c r="H245" s="65" t="str">
        <f>IFERROR(__xludf.DUMMYFUNCTION("""COMPUTED_VALUE"""),"Appliance Rental Return")</f>
        <v>Appliance Rental Return</v>
      </c>
      <c r="I245" s="65" t="str">
        <f>IFERROR(__xludf.DUMMYFUNCTION("""COMPUTED_VALUE""")," Double-Door Mini Fridge + Microwave   - ")</f>
        <v> Double-Door Mini Fridge + Microwave   - </v>
      </c>
      <c r="J245" s="108" t="str">
        <f>IFERROR(__xludf.DUMMYFUNCTION("""COMPUTED_VALUE"""),"Liggett  ")</f>
        <v>Liggett  </v>
      </c>
      <c r="K245" s="103">
        <f>IFERROR(__xludf.DUMMYFUNCTION("""COMPUTED_VALUE"""),46149.0)</f>
        <v>46149</v>
      </c>
      <c r="L245" s="65" t="str">
        <f>IFERROR(__xludf.DUMMYFUNCTION("""COMPUTED_VALUE"""),"3400")</f>
        <v>3400</v>
      </c>
      <c r="M245" s="65" t="str">
        <f>IFERROR(__xludf.DUMMYFUNCTION("""COMPUTED_VALUE""")," ")</f>
        <v> </v>
      </c>
    </row>
    <row r="246">
      <c r="A246" s="99" t="str">
        <f>IFERROR(__xludf.DUMMYFUNCTION("""COMPUTED_VALUE"""),"https://utrucking.com/admin/orders/6448512401596")</f>
        <v>https://utrucking.com/admin/orders/6448512401596</v>
      </c>
      <c r="B246" s="61" t="str">
        <f>IFERROR(__xludf.DUMMYFUNCTION("""COMPUTED_VALUE"""),"#18035")</f>
        <v>#18035</v>
      </c>
      <c r="C246" s="61" t="str">
        <f>IFERROR(__xludf.DUMMYFUNCTION("""COMPUTED_VALUE"""),"jennyharris26@gmail.com")</f>
        <v>jennyharris26@gmail.com</v>
      </c>
      <c r="D246" s="61">
        <f>IFERROR(__xludf.DUMMYFUNCTION("""COMPUTED_VALUE"""),3.478310009E9)</f>
        <v>3478310009</v>
      </c>
      <c r="E246" s="61" t="str">
        <f>IFERROR(__xludf.DUMMYFUNCTION("""COMPUTED_VALUE"""),"Jenny Harris")</f>
        <v>Jenny Harris</v>
      </c>
      <c r="F246" s="61" t="str">
        <f>IFERROR(__xludf.DUMMYFUNCTION("""COMPUTED_VALUE"""),"Emily Faber")</f>
        <v>Emily Faber</v>
      </c>
      <c r="G246" s="61"/>
      <c r="H246" s="61" t="str">
        <f>IFERROR(__xludf.DUMMYFUNCTION("""COMPUTED_VALUE"""),"Appliance Rental Return")</f>
        <v>Appliance Rental Return</v>
      </c>
      <c r="I246" s="61" t="str">
        <f>IFERROR(__xludf.DUMMYFUNCTION("""COMPUTED_VALUE""")," Double-Door Mini Fridge + Microwave   - ")</f>
        <v> Double-Door Mini Fridge + Microwave   - </v>
      </c>
      <c r="J246" s="107" t="str">
        <f>IFERROR(__xludf.DUMMYFUNCTION("""COMPUTED_VALUE"""),"Millbrook Bldg. 4  ")</f>
        <v>Millbrook Bldg. 4  </v>
      </c>
      <c r="K246" s="100">
        <f>IFERROR(__xludf.DUMMYFUNCTION("""COMPUTED_VALUE"""),46147.0)</f>
        <v>46147</v>
      </c>
      <c r="L246" s="61" t="str">
        <f>IFERROR(__xludf.DUMMYFUNCTION("""COMPUTED_VALUE"""),"103")</f>
        <v>103</v>
      </c>
      <c r="M246" s="61" t="str">
        <f>IFERROR(__xludf.DUMMYFUNCTION("""COMPUTED_VALUE""")," ")</f>
        <v> </v>
      </c>
    </row>
    <row r="247">
      <c r="A247" s="102" t="str">
        <f>IFERROR(__xludf.DUMMYFUNCTION("""COMPUTED_VALUE"""),"https://utrucking.com/admin/orders/6448818684092")</f>
        <v>https://utrucking.com/admin/orders/6448818684092</v>
      </c>
      <c r="B247" s="65" t="str">
        <f>IFERROR(__xludf.DUMMYFUNCTION("""COMPUTED_VALUE"""),"#18040")</f>
        <v>#18040</v>
      </c>
      <c r="C247" s="65" t="str">
        <f>IFERROR(__xludf.DUMMYFUNCTION("""COMPUTED_VALUE"""),"kelly@diattorney.com")</f>
        <v>kelly@diattorney.com</v>
      </c>
      <c r="D247" s="65">
        <f>IFERROR(__xludf.DUMMYFUNCTION("""COMPUTED_VALUE"""),9.548026083E9)</f>
        <v>9548026083</v>
      </c>
      <c r="E247" s="65" t="str">
        <f>IFERROR(__xludf.DUMMYFUNCTION("""COMPUTED_VALUE"""),"Kelly Dell")</f>
        <v>Kelly Dell</v>
      </c>
      <c r="F247" s="65" t="str">
        <f>IFERROR(__xludf.DUMMYFUNCTION("""COMPUTED_VALUE"""),"Shane dell")</f>
        <v>Shane dell</v>
      </c>
      <c r="G247" s="65"/>
      <c r="H247" s="65" t="str">
        <f>IFERROR(__xludf.DUMMYFUNCTION("""COMPUTED_VALUE"""),"Appliance Rental Return")</f>
        <v>Appliance Rental Return</v>
      </c>
      <c r="I247" s="65" t="str">
        <f>IFERROR(__xludf.DUMMYFUNCTION("""COMPUTED_VALUE""")," Double-Door Mini Fridge + Microwave   - ")</f>
        <v> Double-Door Mini Fridge + Microwave   - </v>
      </c>
      <c r="J247" s="108" t="str">
        <f>IFERROR(__xludf.DUMMYFUNCTION("""COMPUTED_VALUE"""),"Park  ")</f>
        <v>Park  </v>
      </c>
      <c r="K247" s="103">
        <f>IFERROR(__xludf.DUMMYFUNCTION("""COMPUTED_VALUE"""),46143.0)</f>
        <v>46143</v>
      </c>
      <c r="L247" s="65" t="str">
        <f>IFERROR(__xludf.DUMMYFUNCTION("""COMPUTED_VALUE"""),"160")</f>
        <v>160</v>
      </c>
      <c r="M247" s="65" t="str">
        <f>IFERROR(__xludf.DUMMYFUNCTION("""COMPUTED_VALUE""")," ")</f>
        <v> </v>
      </c>
    </row>
    <row r="248">
      <c r="A248" s="99" t="str">
        <f>IFERROR(__xludf.DUMMYFUNCTION("""COMPUTED_VALUE"""),"https://utrucking.com/admin/orders/6448847454396")</f>
        <v>https://utrucking.com/admin/orders/6448847454396</v>
      </c>
      <c r="B248" s="61" t="str">
        <f>IFERROR(__xludf.DUMMYFUNCTION("""COMPUTED_VALUE"""),"#18041")</f>
        <v>#18041</v>
      </c>
      <c r="C248" s="61" t="str">
        <f>IFERROR(__xludf.DUMMYFUNCTION("""COMPUTED_VALUE"""),"sadiemgoldman@gmail.com")</f>
        <v>sadiemgoldman@gmail.com</v>
      </c>
      <c r="D248" s="61">
        <f>IFERROR(__xludf.DUMMYFUNCTION("""COMPUTED_VALUE"""),9.785054923E9)</f>
        <v>9785054923</v>
      </c>
      <c r="E248" s="61" t="str">
        <f>IFERROR(__xludf.DUMMYFUNCTION("""COMPUTED_VALUE"""),"Sadie Goldman")</f>
        <v>Sadie Goldman</v>
      </c>
      <c r="F248" s="61" t="str">
        <f>IFERROR(__xludf.DUMMYFUNCTION("""COMPUTED_VALUE"""),"Sadie Goldman")</f>
        <v>Sadie Goldman</v>
      </c>
      <c r="G248" s="61"/>
      <c r="H248" s="61" t="str">
        <f>IFERROR(__xludf.DUMMYFUNCTION("""COMPUTED_VALUE"""),"Appliance Rental Return")</f>
        <v>Appliance Rental Return</v>
      </c>
      <c r="I248" s="61" t="str">
        <f>IFERROR(__xludf.DUMMYFUNCTION("""COMPUTED_VALUE""")," Double-Door Mini Fridge   - ")</f>
        <v> Double-Door Mini Fridge   - </v>
      </c>
      <c r="J248" s="107" t="str">
        <f>IFERROR(__xludf.DUMMYFUNCTION("""COMPUTED_VALUE"""),"Park  ")</f>
        <v>Park  </v>
      </c>
      <c r="K248" s="100">
        <f>IFERROR(__xludf.DUMMYFUNCTION("""COMPUTED_VALUE"""),46148.0)</f>
        <v>46148</v>
      </c>
      <c r="L248" s="61" t="str">
        <f>IFERROR(__xludf.DUMMYFUNCTION("""COMPUTED_VALUE"""),"340")</f>
        <v>340</v>
      </c>
      <c r="M248" s="61" t="str">
        <f>IFERROR(__xludf.DUMMYFUNCTION("""COMPUTED_VALUE""")," ")</f>
        <v> </v>
      </c>
    </row>
    <row r="249">
      <c r="A249" s="102" t="str">
        <f>IFERROR(__xludf.DUMMYFUNCTION("""COMPUTED_VALUE"""),"https://utrucking.com/admin/orders/6448854368444")</f>
        <v>https://utrucking.com/admin/orders/6448854368444</v>
      </c>
      <c r="B249" s="65" t="str">
        <f>IFERROR(__xludf.DUMMYFUNCTION("""COMPUTED_VALUE"""),"#18044")</f>
        <v>#18044</v>
      </c>
      <c r="C249" s="65" t="str">
        <f>IFERROR(__xludf.DUMMYFUNCTION("""COMPUTED_VALUE"""),"audra_collins@yahoo.com")</f>
        <v>audra_collins@yahoo.com</v>
      </c>
      <c r="D249" s="65">
        <f>IFERROR(__xludf.DUMMYFUNCTION("""COMPUTED_VALUE"""),6.096479547E9)</f>
        <v>6096479547</v>
      </c>
      <c r="E249" s="65" t="str">
        <f>IFERROR(__xludf.DUMMYFUNCTION("""COMPUTED_VALUE"""),"Audra Collins")</f>
        <v>Audra Collins</v>
      </c>
      <c r="F249" s="65" t="str">
        <f>IFERROR(__xludf.DUMMYFUNCTION("""COMPUTED_VALUE"""),"Caleb Collins")</f>
        <v>Caleb Collins</v>
      </c>
      <c r="G249" s="65"/>
      <c r="H249" s="65" t="str">
        <f>IFERROR(__xludf.DUMMYFUNCTION("""COMPUTED_VALUE"""),"Appliance Rental Return")</f>
        <v>Appliance Rental Return</v>
      </c>
      <c r="I249" s="65" t="str">
        <f>IFERROR(__xludf.DUMMYFUNCTION("""COMPUTED_VALUE""")," Standard Mini Fridge   - ")</f>
        <v> Standard Mini Fridge   - </v>
      </c>
      <c r="J249" s="108" t="str">
        <f>IFERROR(__xludf.DUMMYFUNCTION("""COMPUTED_VALUE"""),"Rutledge  ")</f>
        <v>Rutledge  </v>
      </c>
      <c r="K249" s="103">
        <f>IFERROR(__xludf.DUMMYFUNCTION("""COMPUTED_VALUE"""),46144.0)</f>
        <v>46144</v>
      </c>
      <c r="L249" s="65" t="str">
        <f>IFERROR(__xludf.DUMMYFUNCTION("""COMPUTED_VALUE"""),"312")</f>
        <v>312</v>
      </c>
      <c r="M249" s="65" t="str">
        <f>IFERROR(__xludf.DUMMYFUNCTION("""COMPUTED_VALUE""")," ")</f>
        <v> </v>
      </c>
    </row>
    <row r="250">
      <c r="A250" s="99" t="str">
        <f>IFERROR(__xludf.DUMMYFUNCTION("""COMPUTED_VALUE"""),"https://utrucking.com/admin/orders/6448872292540")</f>
        <v>https://utrucking.com/admin/orders/6448872292540</v>
      </c>
      <c r="B250" s="61" t="str">
        <f>IFERROR(__xludf.DUMMYFUNCTION("""COMPUTED_VALUE"""),"#18045")</f>
        <v>#18045</v>
      </c>
      <c r="C250" s="61" t="str">
        <f>IFERROR(__xludf.DUMMYFUNCTION("""COMPUTED_VALUE"""),"goldberg.r.e@wustl.edu")</f>
        <v>goldberg.r.e@wustl.edu</v>
      </c>
      <c r="D250" s="61">
        <f>IFERROR(__xludf.DUMMYFUNCTION("""COMPUTED_VALUE"""),4.848322036E9)</f>
        <v>4848322036</v>
      </c>
      <c r="E250" s="61" t="str">
        <f>IFERROR(__xludf.DUMMYFUNCTION("""COMPUTED_VALUE"""),"Rebecca Goldberg")</f>
        <v>Rebecca Goldberg</v>
      </c>
      <c r="F250" s="61" t="str">
        <f>IFERROR(__xludf.DUMMYFUNCTION("""COMPUTED_VALUE"""),"Rebecca Goldberg")</f>
        <v>Rebecca Goldberg</v>
      </c>
      <c r="G250" s="61"/>
      <c r="H250" s="61" t="str">
        <f>IFERROR(__xludf.DUMMYFUNCTION("""COMPUTED_VALUE"""),"Appliance Rental Return")</f>
        <v>Appliance Rental Return</v>
      </c>
      <c r="I250" s="61" t="str">
        <f>IFERROR(__xludf.DUMMYFUNCTION("""COMPUTED_VALUE""")," Microwave Only   - ")</f>
        <v> Microwave Only   - </v>
      </c>
      <c r="J250" s="107" t="str">
        <f>IFERROR(__xludf.DUMMYFUNCTION("""COMPUTED_VALUE"""),"Danforth  ")</f>
        <v>Danforth  </v>
      </c>
      <c r="K250" s="100">
        <f>IFERROR(__xludf.DUMMYFUNCTION("""COMPUTED_VALUE"""),46148.0)</f>
        <v>46148</v>
      </c>
      <c r="L250" s="61" t="str">
        <f>IFERROR(__xludf.DUMMYFUNCTION("""COMPUTED_VALUE"""),"4425")</f>
        <v>4425</v>
      </c>
      <c r="M250" s="61" t="str">
        <f>IFERROR(__xludf.DUMMYFUNCTION("""COMPUTED_VALUE""")," ")</f>
        <v> </v>
      </c>
    </row>
    <row r="251">
      <c r="A251" s="102" t="str">
        <f>IFERROR(__xludf.DUMMYFUNCTION("""COMPUTED_VALUE"""),"https://utrucking.com/admin/orders/6448882221244")</f>
        <v>https://utrucking.com/admin/orders/6448882221244</v>
      </c>
      <c r="B251" s="65" t="str">
        <f>IFERROR(__xludf.DUMMYFUNCTION("""COMPUTED_VALUE"""),"#18046")</f>
        <v>#18046</v>
      </c>
      <c r="C251" s="65" t="str">
        <f>IFERROR(__xludf.DUMMYFUNCTION("""COMPUTED_VALUE"""),"kimberly_haleycoleman@yahoo.com")</f>
        <v>kimberly_haleycoleman@yahoo.com</v>
      </c>
      <c r="D251" s="65">
        <f>IFERROR(__xludf.DUMMYFUNCTION("""COMPUTED_VALUE"""),8.324448437E9)</f>
        <v>8324448437</v>
      </c>
      <c r="E251" s="65" t="str">
        <f>IFERROR(__xludf.DUMMYFUNCTION("""COMPUTED_VALUE"""),"Kimberly Haleycoleman")</f>
        <v>Kimberly Haleycoleman</v>
      </c>
      <c r="F251" s="65" t="str">
        <f>IFERROR(__xludf.DUMMYFUNCTION("""COMPUTED_VALUE"""),"Margaret Coleman")</f>
        <v>Margaret Coleman</v>
      </c>
      <c r="G251" s="65"/>
      <c r="H251" s="65" t="str">
        <f>IFERROR(__xludf.DUMMYFUNCTION("""COMPUTED_VALUE"""),"Appliance Rental Return")</f>
        <v>Appliance Rental Return</v>
      </c>
      <c r="I251" s="65" t="str">
        <f>IFERROR(__xludf.DUMMYFUNCTION("""COMPUTED_VALUE""")," Double-Door Mini Fridge + Microwave   - ")</f>
        <v> Double-Door Mini Fridge + Microwave   - </v>
      </c>
      <c r="J251" s="108" t="str">
        <f>IFERROR(__xludf.DUMMYFUNCTION("""COMPUTED_VALUE"""),"Eliot B (Sophomore Dorm)")</f>
        <v>Eliot B (Sophomore Dorm)</v>
      </c>
      <c r="K251" s="103">
        <f>IFERROR(__xludf.DUMMYFUNCTION("""COMPUTED_VALUE"""),46150.0)</f>
        <v>46150</v>
      </c>
      <c r="L251" s="65" t="str">
        <f>IFERROR(__xludf.DUMMYFUNCTION("""COMPUTED_VALUE"""),"2070")</f>
        <v>2070</v>
      </c>
      <c r="M251" s="65" t="str">
        <f>IFERROR(__xludf.DUMMYFUNCTION("""COMPUTED_VALUE""")," ")</f>
        <v> </v>
      </c>
    </row>
    <row r="252">
      <c r="A252" s="99" t="str">
        <f>IFERROR(__xludf.DUMMYFUNCTION("""COMPUTED_VALUE"""),"https://utrucking.com/admin/orders/6448911876284")</f>
        <v>https://utrucking.com/admin/orders/6448911876284</v>
      </c>
      <c r="B252" s="61" t="str">
        <f>IFERROR(__xludf.DUMMYFUNCTION("""COMPUTED_VALUE"""),"#18047")</f>
        <v>#18047</v>
      </c>
      <c r="C252" s="61" t="str">
        <f>IFERROR(__xludf.DUMMYFUNCTION("""COMPUTED_VALUE"""),"jacobj.tulch17@gmail.com")</f>
        <v>jacobj.tulch17@gmail.com</v>
      </c>
      <c r="D252" s="61">
        <f>IFERROR(__xludf.DUMMYFUNCTION("""COMPUTED_VALUE"""),6.627070153E9)</f>
        <v>6627070153</v>
      </c>
      <c r="E252" s="61" t="str">
        <f>IFERROR(__xludf.DUMMYFUNCTION("""COMPUTED_VALUE"""),"Jacob Tulchinsky")</f>
        <v>Jacob Tulchinsky</v>
      </c>
      <c r="F252" s="61" t="str">
        <f>IFERROR(__xludf.DUMMYFUNCTION("""COMPUTED_VALUE"""),"Jacob Tulchinsky")</f>
        <v>Jacob Tulchinsky</v>
      </c>
      <c r="G252" s="61"/>
      <c r="H252" s="61" t="str">
        <f>IFERROR(__xludf.DUMMYFUNCTION("""COMPUTED_VALUE"""),"Appliance Rental Return")</f>
        <v>Appliance Rental Return</v>
      </c>
      <c r="I252" s="61" t="str">
        <f>IFERROR(__xludf.DUMMYFUNCTION("""COMPUTED_VALUE""")," Standard Mini Fridge   - ")</f>
        <v> Standard Mini Fridge   - </v>
      </c>
      <c r="J252" s="107" t="str">
        <f>IFERROR(__xludf.DUMMYFUNCTION("""COMPUTED_VALUE"""),"Wheeler  ")</f>
        <v>Wheeler  </v>
      </c>
      <c r="K252" s="100">
        <f>IFERROR(__xludf.DUMMYFUNCTION("""COMPUTED_VALUE"""),46150.0)</f>
        <v>46150</v>
      </c>
      <c r="L252" s="61" t="str">
        <f>IFERROR(__xludf.DUMMYFUNCTION("""COMPUTED_VALUE"""),"1053")</f>
        <v>1053</v>
      </c>
      <c r="M252" s="61" t="str">
        <f>IFERROR(__xludf.DUMMYFUNCTION("""COMPUTED_VALUE""")," ")</f>
        <v> </v>
      </c>
    </row>
    <row r="253">
      <c r="A253" s="102" t="str">
        <f>IFERROR(__xludf.DUMMYFUNCTION("""COMPUTED_VALUE"""),"https://utrucking.com/admin/orders/6448918921404")</f>
        <v>https://utrucking.com/admin/orders/6448918921404</v>
      </c>
      <c r="B253" s="65" t="str">
        <f>IFERROR(__xludf.DUMMYFUNCTION("""COMPUTED_VALUE"""),"#18048")</f>
        <v>#18048</v>
      </c>
      <c r="C253" s="65" t="str">
        <f>IFERROR(__xludf.DUMMYFUNCTION("""COMPUTED_VALUE"""),"bcouture1227@gmail.com")</f>
        <v>bcouture1227@gmail.com</v>
      </c>
      <c r="D253" s="65">
        <f>IFERROR(__xludf.DUMMYFUNCTION("""COMPUTED_VALUE"""),8.163151465E9)</f>
        <v>8163151465</v>
      </c>
      <c r="E253" s="65" t="str">
        <f>IFERROR(__xludf.DUMMYFUNCTION("""COMPUTED_VALUE"""),"Bridget Couture")</f>
        <v>Bridget Couture</v>
      </c>
      <c r="F253" s="65" t="str">
        <f>IFERROR(__xludf.DUMMYFUNCTION("""COMPUTED_VALUE"""),"Bridget Couture")</f>
        <v>Bridget Couture</v>
      </c>
      <c r="G253" s="65"/>
      <c r="H253" s="65" t="str">
        <f>IFERROR(__xludf.DUMMYFUNCTION("""COMPUTED_VALUE"""),"Appliance Rental Return")</f>
        <v>Appliance Rental Return</v>
      </c>
      <c r="I253" s="65" t="str">
        <f>IFERROR(__xludf.DUMMYFUNCTION("""COMPUTED_VALUE""")," Double-Door Mini Fridge + Microwave   - ")</f>
        <v> Double-Door Mini Fridge + Microwave   - </v>
      </c>
      <c r="J253" s="108" t="str">
        <f>IFERROR(__xludf.DUMMYFUNCTION("""COMPUTED_VALUE"""),"Lee  ")</f>
        <v>Lee  </v>
      </c>
      <c r="K253" s="103">
        <f>IFERROR(__xludf.DUMMYFUNCTION("""COMPUTED_VALUE"""),46149.0)</f>
        <v>46149</v>
      </c>
      <c r="L253" s="65" t="str">
        <f>IFERROR(__xludf.DUMMYFUNCTION("""COMPUTED_VALUE"""),"308")</f>
        <v>308</v>
      </c>
      <c r="M253" s="65" t="str">
        <f>IFERROR(__xludf.DUMMYFUNCTION("""COMPUTED_VALUE""")," ")</f>
        <v> </v>
      </c>
    </row>
    <row r="254">
      <c r="A254" s="99" t="str">
        <f>IFERROR(__xludf.DUMMYFUNCTION("""COMPUTED_VALUE"""),"https://utrucking.com/admin/orders/6448922165436")</f>
        <v>https://utrucking.com/admin/orders/6448922165436</v>
      </c>
      <c r="B254" s="61" t="str">
        <f>IFERROR(__xludf.DUMMYFUNCTION("""COMPUTED_VALUE"""),"#18049")</f>
        <v>#18049</v>
      </c>
      <c r="C254" s="61" t="str">
        <f>IFERROR(__xludf.DUMMYFUNCTION("""COMPUTED_VALUE"""),"a.rome@wustl.edu")</f>
        <v>a.rome@wustl.edu</v>
      </c>
      <c r="D254" s="61">
        <f>IFERROR(__xludf.DUMMYFUNCTION("""COMPUTED_VALUE"""),5.513021447E9)</f>
        <v>5513021447</v>
      </c>
      <c r="E254" s="61" t="str">
        <f>IFERROR(__xludf.DUMMYFUNCTION("""COMPUTED_VALUE"""),"Ava Rome")</f>
        <v>Ava Rome</v>
      </c>
      <c r="F254" s="61" t="str">
        <f>IFERROR(__xludf.DUMMYFUNCTION("""COMPUTED_VALUE"""),"Isabella Ava ")</f>
        <v>Isabella Ava </v>
      </c>
      <c r="G254" s="61"/>
      <c r="H254" s="61" t="str">
        <f>IFERROR(__xludf.DUMMYFUNCTION("""COMPUTED_VALUE"""),"Appliance Rental Return")</f>
        <v>Appliance Rental Return</v>
      </c>
      <c r="I254" s="61" t="str">
        <f>IFERROR(__xludf.DUMMYFUNCTION("""COMPUTED_VALUE""")," Standard Mini Fridge   - ")</f>
        <v> Standard Mini Fridge   - </v>
      </c>
      <c r="J254" s="107" t="str">
        <f>IFERROR(__xludf.DUMMYFUNCTION("""COMPUTED_VALUE"""),"Umrath  ")</f>
        <v>Umrath  </v>
      </c>
      <c r="K254" s="100">
        <f>IFERROR(__xludf.DUMMYFUNCTION("""COMPUTED_VALUE"""),46148.0)</f>
        <v>46148</v>
      </c>
      <c r="L254" s="61" t="str">
        <f>IFERROR(__xludf.DUMMYFUNCTION("""COMPUTED_VALUE"""),"3302")</f>
        <v>3302</v>
      </c>
      <c r="M254" s="61" t="str">
        <f>IFERROR(__xludf.DUMMYFUNCTION("""COMPUTED_VALUE""")," ")</f>
        <v> </v>
      </c>
    </row>
    <row r="255">
      <c r="A255" s="102" t="str">
        <f>IFERROR(__xludf.DUMMYFUNCTION("""COMPUTED_VALUE"""),"https://utrucking.com/admin/orders/6448949657788")</f>
        <v>https://utrucking.com/admin/orders/6448949657788</v>
      </c>
      <c r="B255" s="65" t="str">
        <f>IFERROR(__xludf.DUMMYFUNCTION("""COMPUTED_VALUE"""),"#18053")</f>
        <v>#18053</v>
      </c>
      <c r="C255" s="65" t="str">
        <f>IFERROR(__xludf.DUMMYFUNCTION("""COMPUTED_VALUE"""),"menasheleah67@gmail.com")</f>
        <v>menasheleah67@gmail.com</v>
      </c>
      <c r="D255" s="65">
        <f>IFERROR(__xludf.DUMMYFUNCTION("""COMPUTED_VALUE"""),3.606749649E9)</f>
        <v>3606749649</v>
      </c>
      <c r="E255" s="65" t="str">
        <f>IFERROR(__xludf.DUMMYFUNCTION("""COMPUTED_VALUE"""),"Leah Menashe")</f>
        <v>Leah Menashe</v>
      </c>
      <c r="F255" s="65" t="str">
        <f>IFERROR(__xludf.DUMMYFUNCTION("""COMPUTED_VALUE"""),"Leah Menashe ")</f>
        <v>Leah Menashe </v>
      </c>
      <c r="G255" s="65"/>
      <c r="H255" s="65" t="str">
        <f>IFERROR(__xludf.DUMMYFUNCTION("""COMPUTED_VALUE"""),"Appliance Rental Return")</f>
        <v>Appliance Rental Return</v>
      </c>
      <c r="I255" s="65" t="str">
        <f>IFERROR(__xludf.DUMMYFUNCTION("""COMPUTED_VALUE""")," Double-Door Mini Fridge   - ")</f>
        <v> Double-Door Mini Fridge   - </v>
      </c>
      <c r="J255" s="108" t="str">
        <f>IFERROR(__xludf.DUMMYFUNCTION("""COMPUTED_VALUE"""),"Umrath  ")</f>
        <v>Umrath  </v>
      </c>
      <c r="K255" s="103">
        <f>IFERROR(__xludf.DUMMYFUNCTION("""COMPUTED_VALUE"""),46150.0)</f>
        <v>46150</v>
      </c>
      <c r="L255" s="65" t="str">
        <f>IFERROR(__xludf.DUMMYFUNCTION("""COMPUTED_VALUE"""),"2223")</f>
        <v>2223</v>
      </c>
      <c r="M255" s="65" t="str">
        <f>IFERROR(__xludf.DUMMYFUNCTION("""COMPUTED_VALUE""")," ")</f>
        <v> </v>
      </c>
    </row>
    <row r="256">
      <c r="A256" s="99" t="str">
        <f>IFERROR(__xludf.DUMMYFUNCTION("""COMPUTED_VALUE"""),"https://utrucking.com/admin/orders/6448968433852")</f>
        <v>https://utrucking.com/admin/orders/6448968433852</v>
      </c>
      <c r="B256" s="61" t="str">
        <f>IFERROR(__xludf.DUMMYFUNCTION("""COMPUTED_VALUE"""),"#18055")</f>
        <v>#18055</v>
      </c>
      <c r="C256" s="61" t="str">
        <f>IFERROR(__xludf.DUMMYFUNCTION("""COMPUTED_VALUE"""),"jocelynreed66@gmail.com")</f>
        <v>jocelynreed66@gmail.com</v>
      </c>
      <c r="D256" s="61">
        <f>IFERROR(__xludf.DUMMYFUNCTION("""COMPUTED_VALUE"""),9.547436742E9)</f>
        <v>9547436742</v>
      </c>
      <c r="E256" s="61" t="str">
        <f>IFERROR(__xludf.DUMMYFUNCTION("""COMPUTED_VALUE"""),"Jocelyn Reed")</f>
        <v>Jocelyn Reed</v>
      </c>
      <c r="F256" s="61" t="str">
        <f>IFERROR(__xludf.DUMMYFUNCTION("""COMPUTED_VALUE"""),"Jocelyn Reed")</f>
        <v>Jocelyn Reed</v>
      </c>
      <c r="G256" s="61"/>
      <c r="H256" s="61" t="str">
        <f>IFERROR(__xludf.DUMMYFUNCTION("""COMPUTED_VALUE"""),"Appliance Rental Return")</f>
        <v>Appliance Rental Return</v>
      </c>
      <c r="I256" s="61" t="str">
        <f>IFERROR(__xludf.DUMMYFUNCTION("""COMPUTED_VALUE""")," Microwave Only   - ")</f>
        <v> Microwave Only   - </v>
      </c>
      <c r="J256" s="107" t="str">
        <f>IFERROR(__xludf.DUMMYFUNCTION("""COMPUTED_VALUE"""),"Millbrook Bldg. 3  ")</f>
        <v>Millbrook Bldg. 3  </v>
      </c>
      <c r="K256" s="100">
        <f>IFERROR(__xludf.DUMMYFUNCTION("""COMPUTED_VALUE"""),46149.0)</f>
        <v>46149</v>
      </c>
      <c r="L256" s="61" t="str">
        <f>IFERROR(__xludf.DUMMYFUNCTION("""COMPUTED_VALUE"""),"101")</f>
        <v>101</v>
      </c>
      <c r="M256" s="61" t="str">
        <f>IFERROR(__xludf.DUMMYFUNCTION("""COMPUTED_VALUE""")," ")</f>
        <v> </v>
      </c>
    </row>
    <row r="257">
      <c r="A257" s="102" t="str">
        <f>IFERROR(__xludf.DUMMYFUNCTION("""COMPUTED_VALUE"""),"https://utrucking.com/admin/orders/6448993894588")</f>
        <v>https://utrucking.com/admin/orders/6448993894588</v>
      </c>
      <c r="B257" s="65" t="str">
        <f>IFERROR(__xludf.DUMMYFUNCTION("""COMPUTED_VALUE"""),"#18057")</f>
        <v>#18057</v>
      </c>
      <c r="C257" s="65" t="str">
        <f>IFERROR(__xludf.DUMMYFUNCTION("""COMPUTED_VALUE"""),"p.b.watkins@wustl.edu")</f>
        <v>p.b.watkins@wustl.edu</v>
      </c>
      <c r="D257" s="65">
        <f>IFERROR(__xludf.DUMMYFUNCTION("""COMPUTED_VALUE"""),4.40514974E9)</f>
        <v>4405149740</v>
      </c>
      <c r="E257" s="65" t="str">
        <f>IFERROR(__xludf.DUMMYFUNCTION("""COMPUTED_VALUE"""),"Peter Watkins")</f>
        <v>Peter Watkins</v>
      </c>
      <c r="F257" s="65" t="str">
        <f>IFERROR(__xludf.DUMMYFUNCTION("""COMPUTED_VALUE"""),"Peter Watkins")</f>
        <v>Peter Watkins</v>
      </c>
      <c r="G257" s="65"/>
      <c r="H257" s="65" t="str">
        <f>IFERROR(__xludf.DUMMYFUNCTION("""COMPUTED_VALUE"""),"Appliance Rental Return")</f>
        <v>Appliance Rental Return</v>
      </c>
      <c r="I257" s="65" t="str">
        <f>IFERROR(__xludf.DUMMYFUNCTION("""COMPUTED_VALUE""")," Standard Mini Fridge   - ")</f>
        <v> Standard Mini Fridge   - </v>
      </c>
      <c r="J257" s="108" t="str">
        <f>IFERROR(__xludf.DUMMYFUNCTION("""COMPUTED_VALUE"""),"Dauten  ")</f>
        <v>Dauten  </v>
      </c>
      <c r="K257" s="103">
        <f>IFERROR(__xludf.DUMMYFUNCTION("""COMPUTED_VALUE"""),46146.0)</f>
        <v>46146</v>
      </c>
      <c r="L257" s="65" t="str">
        <f>IFERROR(__xludf.DUMMYFUNCTION("""COMPUTED_VALUE"""),"41")</f>
        <v>41</v>
      </c>
      <c r="M257" s="65" t="str">
        <f>IFERROR(__xludf.DUMMYFUNCTION("""COMPUTED_VALUE""")," ")</f>
        <v> </v>
      </c>
    </row>
    <row r="258">
      <c r="A258" s="99" t="str">
        <f>IFERROR(__xludf.DUMMYFUNCTION("""COMPUTED_VALUE"""),"https://utrucking.com/admin/orders/6449023779004")</f>
        <v>https://utrucking.com/admin/orders/6449023779004</v>
      </c>
      <c r="B258" s="61" t="str">
        <f>IFERROR(__xludf.DUMMYFUNCTION("""COMPUTED_VALUE"""),"#18060")</f>
        <v>#18060</v>
      </c>
      <c r="C258" s="61" t="str">
        <f>IFERROR(__xludf.DUMMYFUNCTION("""COMPUTED_VALUE"""),"kahnjulia1213@gmail.com")</f>
        <v>kahnjulia1213@gmail.com</v>
      </c>
      <c r="D258" s="61">
        <f>IFERROR(__xludf.DUMMYFUNCTION("""COMPUTED_VALUE"""),9.14522341E9)</f>
        <v>9145223410</v>
      </c>
      <c r="E258" s="61" t="str">
        <f>IFERROR(__xludf.DUMMYFUNCTION("""COMPUTED_VALUE"""),"Julia Kahn")</f>
        <v>Julia Kahn</v>
      </c>
      <c r="F258" s="61" t="str">
        <f>IFERROR(__xludf.DUMMYFUNCTION("""COMPUTED_VALUE"""),"Julia Kahn")</f>
        <v>Julia Kahn</v>
      </c>
      <c r="G258" s="61"/>
      <c r="H258" s="61" t="str">
        <f>IFERROR(__xludf.DUMMYFUNCTION("""COMPUTED_VALUE"""),"Appliance Rental Return")</f>
        <v>Appliance Rental Return</v>
      </c>
      <c r="I258" s="61" t="str">
        <f>IFERROR(__xludf.DUMMYFUNCTION("""COMPUTED_VALUE""")," Double-Door Mini Fridge + Microwave   - ")</f>
        <v> Double-Door Mini Fridge + Microwave   - </v>
      </c>
      <c r="J258" s="107" t="str">
        <f>IFERROR(__xludf.DUMMYFUNCTION("""COMPUTED_VALUE"""),"Umrath  ")</f>
        <v>Umrath  </v>
      </c>
      <c r="K258" s="100">
        <f>IFERROR(__xludf.DUMMYFUNCTION("""COMPUTED_VALUE"""),46147.0)</f>
        <v>46147</v>
      </c>
      <c r="L258" s="61" t="str">
        <f>IFERROR(__xludf.DUMMYFUNCTION("""COMPUTED_VALUE"""),"4404")</f>
        <v>4404</v>
      </c>
      <c r="M258" s="61" t="str">
        <f>IFERROR(__xludf.DUMMYFUNCTION("""COMPUTED_VALUE""")," ")</f>
        <v> </v>
      </c>
    </row>
    <row r="259">
      <c r="A259" s="102" t="str">
        <f>IFERROR(__xludf.DUMMYFUNCTION("""COMPUTED_VALUE"""),"https://utrucking.com/admin/orders/6449159438524")</f>
        <v>https://utrucking.com/admin/orders/6449159438524</v>
      </c>
      <c r="B259" s="65" t="str">
        <f>IFERROR(__xludf.DUMMYFUNCTION("""COMPUTED_VALUE"""),"#18064")</f>
        <v>#18064</v>
      </c>
      <c r="C259" s="65" t="str">
        <f>IFERROR(__xludf.DUMMYFUNCTION("""COMPUTED_VALUE"""),"willowavogel@gmail.com")</f>
        <v>willowavogel@gmail.com</v>
      </c>
      <c r="D259" s="65">
        <f>IFERROR(__xludf.DUMMYFUNCTION("""COMPUTED_VALUE"""),8.014145532E9)</f>
        <v>8014145532</v>
      </c>
      <c r="E259" s="65" t="str">
        <f>IFERROR(__xludf.DUMMYFUNCTION("""COMPUTED_VALUE"""),"Candice Vogel")</f>
        <v>Candice Vogel</v>
      </c>
      <c r="F259" s="65" t="str">
        <f>IFERROR(__xludf.DUMMYFUNCTION("""COMPUTED_VALUE"""),"Willow Vogel")</f>
        <v>Willow Vogel</v>
      </c>
      <c r="G259" s="65"/>
      <c r="H259" s="65" t="str">
        <f>IFERROR(__xludf.DUMMYFUNCTION("""COMPUTED_VALUE"""),"Appliance Rental Return")</f>
        <v>Appliance Rental Return</v>
      </c>
      <c r="I259" s="65" t="str">
        <f>IFERROR(__xludf.DUMMYFUNCTION("""COMPUTED_VALUE""")," Double-Door Mini Fridge + Microwave   - ")</f>
        <v> Double-Door Mini Fridge + Microwave   - </v>
      </c>
      <c r="J259" s="108" t="str">
        <f>IFERROR(__xludf.DUMMYFUNCTION("""COMPUTED_VALUE"""),"Park  ")</f>
        <v>Park  </v>
      </c>
      <c r="K259" s="103">
        <f>IFERROR(__xludf.DUMMYFUNCTION("""COMPUTED_VALUE"""),46148.0)</f>
        <v>46148</v>
      </c>
      <c r="L259" s="65" t="str">
        <f>IFERROR(__xludf.DUMMYFUNCTION("""COMPUTED_VALUE"""),"341")</f>
        <v>341</v>
      </c>
      <c r="M259" s="65" t="str">
        <f>IFERROR(__xludf.DUMMYFUNCTION("""COMPUTED_VALUE""")," ")</f>
        <v> </v>
      </c>
    </row>
    <row r="260">
      <c r="A260" s="99" t="str">
        <f>IFERROR(__xludf.DUMMYFUNCTION("""COMPUTED_VALUE"""),"https://utrucking.com/admin/orders/6449176641724")</f>
        <v>https://utrucking.com/admin/orders/6449176641724</v>
      </c>
      <c r="B260" s="61" t="str">
        <f>IFERROR(__xludf.DUMMYFUNCTION("""COMPUTED_VALUE"""),"#18065")</f>
        <v>#18065</v>
      </c>
      <c r="C260" s="61" t="str">
        <f>IFERROR(__xludf.DUMMYFUNCTION("""COMPUTED_VALUE"""),"kraut@wustl.edu")</f>
        <v>kraut@wustl.edu</v>
      </c>
      <c r="D260" s="61">
        <f>IFERROR(__xludf.DUMMYFUNCTION("""COMPUTED_VALUE"""),9.738306679E9)</f>
        <v>9738306679</v>
      </c>
      <c r="E260" s="61" t="str">
        <f>IFERROR(__xludf.DUMMYFUNCTION("""COMPUTED_VALUE"""),"Matthew Kraut")</f>
        <v>Matthew Kraut</v>
      </c>
      <c r="F260" s="61" t="str">
        <f>IFERROR(__xludf.DUMMYFUNCTION("""COMPUTED_VALUE"""),"Matthew Kraut")</f>
        <v>Matthew Kraut</v>
      </c>
      <c r="G260" s="61"/>
      <c r="H260" s="61" t="str">
        <f>IFERROR(__xludf.DUMMYFUNCTION("""COMPUTED_VALUE"""),"Appliance Rental Return")</f>
        <v>Appliance Rental Return</v>
      </c>
      <c r="I260" s="61" t="str">
        <f>IFERROR(__xludf.DUMMYFUNCTION("""COMPUTED_VALUE""")," Double-Door Mini Fridge + Microwave   - ")</f>
        <v> Double-Door Mini Fridge + Microwave   - </v>
      </c>
      <c r="J260" s="107" t="str">
        <f>IFERROR(__xludf.DUMMYFUNCTION("""COMPUTED_VALUE"""),"Shanedling  ")</f>
        <v>Shanedling  </v>
      </c>
      <c r="K260" s="100">
        <f>IFERROR(__xludf.DUMMYFUNCTION("""COMPUTED_VALUE"""),46146.0)</f>
        <v>46146</v>
      </c>
      <c r="L260" s="61" t="str">
        <f>IFERROR(__xludf.DUMMYFUNCTION("""COMPUTED_VALUE"""),"434")</f>
        <v>434</v>
      </c>
      <c r="M260" s="61" t="str">
        <f>IFERROR(__xludf.DUMMYFUNCTION("""COMPUTED_VALUE""")," ")</f>
        <v> </v>
      </c>
    </row>
    <row r="261">
      <c r="A261" s="102" t="str">
        <f>IFERROR(__xludf.DUMMYFUNCTION("""COMPUTED_VALUE"""),"https://utrucking.com/admin/orders/6449205018812")</f>
        <v>https://utrucking.com/admin/orders/6449205018812</v>
      </c>
      <c r="B261" s="65" t="str">
        <f>IFERROR(__xludf.DUMMYFUNCTION("""COMPUTED_VALUE"""),"#18066")</f>
        <v>#18066</v>
      </c>
      <c r="C261" s="65" t="str">
        <f>IFERROR(__xludf.DUMMYFUNCTION("""COMPUTED_VALUE"""),"anyaa@wustl.edu")</f>
        <v>anyaa@wustl.edu</v>
      </c>
      <c r="D261" s="65">
        <f>IFERROR(__xludf.DUMMYFUNCTION("""COMPUTED_VALUE"""),6.12391058E9)</f>
        <v>6123910580</v>
      </c>
      <c r="E261" s="65" t="str">
        <f>IFERROR(__xludf.DUMMYFUNCTION("""COMPUTED_VALUE"""),"Anya Agrawal")</f>
        <v>Anya Agrawal</v>
      </c>
      <c r="F261" s="65" t="str">
        <f>IFERROR(__xludf.DUMMYFUNCTION("""COMPUTED_VALUE"""),"Anya")</f>
        <v>Anya</v>
      </c>
      <c r="G261" s="65"/>
      <c r="H261" s="65" t="str">
        <f>IFERROR(__xludf.DUMMYFUNCTION("""COMPUTED_VALUE"""),"Appliance Rental Return")</f>
        <v>Appliance Rental Return</v>
      </c>
      <c r="I261" s="65" t="str">
        <f>IFERROR(__xludf.DUMMYFUNCTION("""COMPUTED_VALUE""")," Double-Door Mini Fridge + Microwave   - ")</f>
        <v> Double-Door Mini Fridge + Microwave   - </v>
      </c>
      <c r="J261" s="108" t="str">
        <f>IFERROR(__xludf.DUMMYFUNCTION("""COMPUTED_VALUE"""),"Umrath  ")</f>
        <v>Umrath  </v>
      </c>
      <c r="K261" s="103">
        <f>IFERROR(__xludf.DUMMYFUNCTION("""COMPUTED_VALUE"""),46149.0)</f>
        <v>46149</v>
      </c>
      <c r="L261" s="65" t="str">
        <f>IFERROR(__xludf.DUMMYFUNCTION("""COMPUTED_VALUE"""),"2222")</f>
        <v>2222</v>
      </c>
      <c r="M261" s="65" t="str">
        <f>IFERROR(__xludf.DUMMYFUNCTION("""COMPUTED_VALUE""")," ")</f>
        <v> </v>
      </c>
    </row>
    <row r="262">
      <c r="A262" s="99" t="str">
        <f>IFERROR(__xludf.DUMMYFUNCTION("""COMPUTED_VALUE"""),"https://utrucking.com/admin/orders/6449240309948")</f>
        <v>https://utrucking.com/admin/orders/6449240309948</v>
      </c>
      <c r="B262" s="61" t="str">
        <f>IFERROR(__xludf.DUMMYFUNCTION("""COMPUTED_VALUE"""),"#18067")</f>
        <v>#18067</v>
      </c>
      <c r="C262" s="61" t="str">
        <f>IFERROR(__xludf.DUMMYFUNCTION("""COMPUTED_VALUE"""),"kharris21@iCloud.com")</f>
        <v>kharris21@iCloud.com</v>
      </c>
      <c r="D262" s="61">
        <f>IFERROR(__xludf.DUMMYFUNCTION("""COMPUTED_VALUE"""),9.178549554E9)</f>
        <v>9178549554</v>
      </c>
      <c r="E262" s="61" t="str">
        <f>IFERROR(__xludf.DUMMYFUNCTION("""COMPUTED_VALUE"""),"Kristy Harris")</f>
        <v>Kristy Harris</v>
      </c>
      <c r="F262" s="61" t="str">
        <f>IFERROR(__xludf.DUMMYFUNCTION("""COMPUTED_VALUE"""),"Grace Harris")</f>
        <v>Grace Harris</v>
      </c>
      <c r="G262" s="61"/>
      <c r="H262" s="61" t="str">
        <f>IFERROR(__xludf.DUMMYFUNCTION("""COMPUTED_VALUE"""),"Appliance Rental Return")</f>
        <v>Appliance Rental Return</v>
      </c>
      <c r="I262" s="61" t="str">
        <f>IFERROR(__xludf.DUMMYFUNCTION("""COMPUTED_VALUE""")," Standard Mini Fridge   - ")</f>
        <v> Standard Mini Fridge   - </v>
      </c>
      <c r="J262" s="107" t="str">
        <f>IFERROR(__xludf.DUMMYFUNCTION("""COMPUTED_VALUE"""),"Shanedling  ")</f>
        <v>Shanedling  </v>
      </c>
      <c r="K262" s="100">
        <f>IFERROR(__xludf.DUMMYFUNCTION("""COMPUTED_VALUE"""),46149.0)</f>
        <v>46149</v>
      </c>
      <c r="L262" s="61" t="str">
        <f>IFERROR(__xludf.DUMMYFUNCTION("""COMPUTED_VALUE"""),"422")</f>
        <v>422</v>
      </c>
      <c r="M262" s="61" t="str">
        <f>IFERROR(__xludf.DUMMYFUNCTION("""COMPUTED_VALUE""")," ")</f>
        <v> </v>
      </c>
    </row>
    <row r="263">
      <c r="A263" s="102" t="str">
        <f>IFERROR(__xludf.DUMMYFUNCTION("""COMPUTED_VALUE"""),"https://utrucking.com/admin/orders/6449241948348")</f>
        <v>https://utrucking.com/admin/orders/6449241948348</v>
      </c>
      <c r="B263" s="65" t="str">
        <f>IFERROR(__xludf.DUMMYFUNCTION("""COMPUTED_VALUE"""),"#18068")</f>
        <v>#18068</v>
      </c>
      <c r="C263" s="65" t="str">
        <f>IFERROR(__xludf.DUMMYFUNCTION("""COMPUTED_VALUE"""),"j.s.todes@wustl.edu")</f>
        <v>j.s.todes@wustl.edu</v>
      </c>
      <c r="D263" s="65">
        <f>IFERROR(__xludf.DUMMYFUNCTION("""COMPUTED_VALUE"""),9.172326716E9)</f>
        <v>9172326716</v>
      </c>
      <c r="E263" s="65" t="str">
        <f>IFERROR(__xludf.DUMMYFUNCTION("""COMPUTED_VALUE"""),"Josh Todes")</f>
        <v>Josh Todes</v>
      </c>
      <c r="F263" s="65" t="str">
        <f>IFERROR(__xludf.DUMMYFUNCTION("""COMPUTED_VALUE"""),"Josh Todes")</f>
        <v>Josh Todes</v>
      </c>
      <c r="G263" s="65"/>
      <c r="H263" s="65" t="str">
        <f>IFERROR(__xludf.DUMMYFUNCTION("""COMPUTED_VALUE"""),"Appliance Rental Return")</f>
        <v>Appliance Rental Return</v>
      </c>
      <c r="I263" s="65" t="str">
        <f>IFERROR(__xludf.DUMMYFUNCTION("""COMPUTED_VALUE""")," Double-Door Mini Fridge   - ")</f>
        <v> Double-Door Mini Fridge   - </v>
      </c>
      <c r="J263" s="108" t="str">
        <f>IFERROR(__xludf.DUMMYFUNCTION("""COMPUTED_VALUE"""),"Liggett  ")</f>
        <v>Liggett  </v>
      </c>
      <c r="K263" s="103">
        <f>IFERROR(__xludf.DUMMYFUNCTION("""COMPUTED_VALUE"""),46149.0)</f>
        <v>46149</v>
      </c>
      <c r="L263" s="65" t="str">
        <f>IFERROR(__xludf.DUMMYFUNCTION("""COMPUTED_VALUE"""),"2324")</f>
        <v>2324</v>
      </c>
      <c r="M263" s="65" t="str">
        <f>IFERROR(__xludf.DUMMYFUNCTION("""COMPUTED_VALUE""")," The fridge will be in the common room of the suite")</f>
        <v> The fridge will be in the common room of the suite</v>
      </c>
    </row>
    <row r="264">
      <c r="A264" s="99" t="str">
        <f>IFERROR(__xludf.DUMMYFUNCTION("""COMPUTED_VALUE"""),"https://utrucking.com/admin/orders/6449340317884")</f>
        <v>https://utrucking.com/admin/orders/6449340317884</v>
      </c>
      <c r="B264" s="61" t="str">
        <f>IFERROR(__xludf.DUMMYFUNCTION("""COMPUTED_VALUE"""),"#18070")</f>
        <v>#18070</v>
      </c>
      <c r="C264" s="61" t="str">
        <f>IFERROR(__xludf.DUMMYFUNCTION("""COMPUTED_VALUE"""),"l.moutvic@wustl.edu")</f>
        <v>l.moutvic@wustl.edu</v>
      </c>
      <c r="D264" s="61">
        <f>IFERROR(__xludf.DUMMYFUNCTION("""COMPUTED_VALUE"""),8.477028084E9)</f>
        <v>8477028084</v>
      </c>
      <c r="E264" s="61" t="str">
        <f>IFERROR(__xludf.DUMMYFUNCTION("""COMPUTED_VALUE"""),"Lauren Moutvic")</f>
        <v>Lauren Moutvic</v>
      </c>
      <c r="F264" s="61" t="str">
        <f>IFERROR(__xludf.DUMMYFUNCTION("""COMPUTED_VALUE"""),"Lauren Moutvic")</f>
        <v>Lauren Moutvic</v>
      </c>
      <c r="G264" s="61"/>
      <c r="H264" s="61" t="str">
        <f>IFERROR(__xludf.DUMMYFUNCTION("""COMPUTED_VALUE"""),"Appliance Rental Return")</f>
        <v>Appliance Rental Return</v>
      </c>
      <c r="I264" s="61" t="str">
        <f>IFERROR(__xludf.DUMMYFUNCTION("""COMPUTED_VALUE""")," Double-Door Mini Fridge + Microwave   - ")</f>
        <v> Double-Door Mini Fridge + Microwave   - </v>
      </c>
      <c r="J264" s="107" t="str">
        <f>IFERROR(__xludf.DUMMYFUNCTION("""COMPUTED_VALUE"""),"Mudd  ")</f>
        <v>Mudd  </v>
      </c>
      <c r="K264" s="100">
        <f>IFERROR(__xludf.DUMMYFUNCTION("""COMPUTED_VALUE"""),46150.0)</f>
        <v>46150</v>
      </c>
      <c r="L264" s="61" t="str">
        <f>IFERROR(__xludf.DUMMYFUNCTION("""COMPUTED_VALUE"""),"370")</f>
        <v>370</v>
      </c>
      <c r="M264" s="61" t="str">
        <f>IFERROR(__xludf.DUMMYFUNCTION("""COMPUTED_VALUE""")," ")</f>
        <v> </v>
      </c>
    </row>
    <row r="265">
      <c r="A265" s="102" t="str">
        <f>IFERROR(__xludf.DUMMYFUNCTION("""COMPUTED_VALUE"""),"https://utrucking.com/admin/orders/6449359487164")</f>
        <v>https://utrucking.com/admin/orders/6449359487164</v>
      </c>
      <c r="B265" s="65" t="str">
        <f>IFERROR(__xludf.DUMMYFUNCTION("""COMPUTED_VALUE"""),"#18072")</f>
        <v>#18072</v>
      </c>
      <c r="C265" s="65" t="str">
        <f>IFERROR(__xludf.DUMMYFUNCTION("""COMPUTED_VALUE"""),"aiaccino29@yahoo.com")</f>
        <v>aiaccino29@yahoo.com</v>
      </c>
      <c r="D265" s="65">
        <f>IFERROR(__xludf.DUMMYFUNCTION("""COMPUTED_VALUE"""),8.189201726E9)</f>
        <v>8189201726</v>
      </c>
      <c r="E265" s="65" t="str">
        <f>IFERROR(__xludf.DUMMYFUNCTION("""COMPUTED_VALUE"""),"Aileen Iaccino")</f>
        <v>Aileen Iaccino</v>
      </c>
      <c r="F265" s="65" t="str">
        <f>IFERROR(__xludf.DUMMYFUNCTION("""COMPUTED_VALUE"""),"Lauren Iaccino")</f>
        <v>Lauren Iaccino</v>
      </c>
      <c r="G265" s="65"/>
      <c r="H265" s="65" t="str">
        <f>IFERROR(__xludf.DUMMYFUNCTION("""COMPUTED_VALUE"""),"Appliance Rental Return")</f>
        <v>Appliance Rental Return</v>
      </c>
      <c r="I265" s="65" t="str">
        <f>IFERROR(__xludf.DUMMYFUNCTION("""COMPUTED_VALUE""")," Double-Door Mini Fridge + Microwave   - ")</f>
        <v> Double-Door Mini Fridge + Microwave   - </v>
      </c>
      <c r="J265" s="108" t="str">
        <f>IFERROR(__xludf.DUMMYFUNCTION("""COMPUTED_VALUE"""),"Park  ")</f>
        <v>Park  </v>
      </c>
      <c r="K265" s="103">
        <f>IFERROR(__xludf.DUMMYFUNCTION("""COMPUTED_VALUE"""),46148.0)</f>
        <v>46148</v>
      </c>
      <c r="L265" s="65" t="str">
        <f>IFERROR(__xludf.DUMMYFUNCTION("""COMPUTED_VALUE"""),"312")</f>
        <v>312</v>
      </c>
      <c r="M265" s="65" t="str">
        <f>IFERROR(__xludf.DUMMYFUNCTION("""COMPUTED_VALUE""")," ")</f>
        <v> </v>
      </c>
    </row>
    <row r="266">
      <c r="A266" s="99" t="str">
        <f>IFERROR(__xludf.DUMMYFUNCTION("""COMPUTED_VALUE"""),"https://utrucking.com/admin/orders/6449388028092")</f>
        <v>https://utrucking.com/admin/orders/6449388028092</v>
      </c>
      <c r="B266" s="61" t="str">
        <f>IFERROR(__xludf.DUMMYFUNCTION("""COMPUTED_VALUE"""),"#18074")</f>
        <v>#18074</v>
      </c>
      <c r="C266" s="61" t="str">
        <f>IFERROR(__xludf.DUMMYFUNCTION("""COMPUTED_VALUE"""),"burack.e@wustl.edu")</f>
        <v>burack.e@wustl.edu</v>
      </c>
      <c r="D266" s="61">
        <f>IFERROR(__xludf.DUMMYFUNCTION("""COMPUTED_VALUE"""),6.175843768E9)</f>
        <v>6175843768</v>
      </c>
      <c r="E266" s="61" t="str">
        <f>IFERROR(__xludf.DUMMYFUNCTION("""COMPUTED_VALUE"""),"Ethan Burack")</f>
        <v>Ethan Burack</v>
      </c>
      <c r="F266" s="61" t="str">
        <f>IFERROR(__xludf.DUMMYFUNCTION("""COMPUTED_VALUE"""),"Ethan Burack")</f>
        <v>Ethan Burack</v>
      </c>
      <c r="G266" s="61"/>
      <c r="H266" s="61" t="str">
        <f>IFERROR(__xludf.DUMMYFUNCTION("""COMPUTED_VALUE"""),"Appliance Rental Return")</f>
        <v>Appliance Rental Return</v>
      </c>
      <c r="I266" s="61" t="str">
        <f>IFERROR(__xludf.DUMMYFUNCTION("""COMPUTED_VALUE""")," Double-Door Mini Fridge   - ")</f>
        <v> Double-Door Mini Fridge   - </v>
      </c>
      <c r="J266" s="107" t="str">
        <f>IFERROR(__xludf.DUMMYFUNCTION("""COMPUTED_VALUE"""),"Dardick  ")</f>
        <v>Dardick  </v>
      </c>
      <c r="K266" s="100">
        <f>IFERROR(__xludf.DUMMYFUNCTION("""COMPUTED_VALUE"""),46149.0)</f>
        <v>46149</v>
      </c>
      <c r="L266" s="61" t="str">
        <f>IFERROR(__xludf.DUMMYFUNCTION("""COMPUTED_VALUE"""),"4408")</f>
        <v>4408</v>
      </c>
      <c r="M266" s="61" t="str">
        <f>IFERROR(__xludf.DUMMYFUNCTION("""COMPUTED_VALUE""")," ")</f>
        <v> </v>
      </c>
    </row>
    <row r="267">
      <c r="A267" s="102" t="str">
        <f>IFERROR(__xludf.DUMMYFUNCTION("""COMPUTED_VALUE"""),"https://utrucking.com/admin/orders/6449425678524")</f>
        <v>https://utrucking.com/admin/orders/6449425678524</v>
      </c>
      <c r="B267" s="65" t="str">
        <f>IFERROR(__xludf.DUMMYFUNCTION("""COMPUTED_VALUE"""),"#18075")</f>
        <v>#18075</v>
      </c>
      <c r="C267" s="65" t="str">
        <f>IFERROR(__xludf.DUMMYFUNCTION("""COMPUTED_VALUE"""),"a.carlo@wustl.edu")</f>
        <v>a.carlo@wustl.edu</v>
      </c>
      <c r="D267" s="65">
        <f>IFERROR(__xludf.DUMMYFUNCTION("""COMPUTED_VALUE"""),7.817086694E9)</f>
        <v>7817086694</v>
      </c>
      <c r="E267" s="65" t="str">
        <f>IFERROR(__xludf.DUMMYFUNCTION("""COMPUTED_VALUE"""),"Cynthia Carlo")</f>
        <v>Cynthia Carlo</v>
      </c>
      <c r="F267" s="65" t="str">
        <f>IFERROR(__xludf.DUMMYFUNCTION("""COMPUTED_VALUE"""),"Abby Carlo")</f>
        <v>Abby Carlo</v>
      </c>
      <c r="G267" s="65"/>
      <c r="H267" s="65" t="str">
        <f>IFERROR(__xludf.DUMMYFUNCTION("""COMPUTED_VALUE"""),"Appliance Rental Return")</f>
        <v>Appliance Rental Return</v>
      </c>
      <c r="I267" s="65" t="str">
        <f>IFERROR(__xludf.DUMMYFUNCTION("""COMPUTED_VALUE""")," Double-Door Mini Fridge + Microwave   - ")</f>
        <v> Double-Door Mini Fridge + Microwave   - </v>
      </c>
      <c r="J267" s="108" t="str">
        <f>IFERROR(__xludf.DUMMYFUNCTION("""COMPUTED_VALUE"""),"Hurd  ")</f>
        <v>Hurd  </v>
      </c>
      <c r="K267" s="103">
        <f>IFERROR(__xludf.DUMMYFUNCTION("""COMPUTED_VALUE"""),46149.0)</f>
        <v>46149</v>
      </c>
      <c r="L267" s="65" t="str">
        <f>IFERROR(__xludf.DUMMYFUNCTION("""COMPUTED_VALUE"""),"424")</f>
        <v>424</v>
      </c>
      <c r="M267" s="65" t="str">
        <f>IFERROR(__xludf.DUMMYFUNCTION("""COMPUTED_VALUE""")," ")</f>
        <v> </v>
      </c>
    </row>
    <row r="268">
      <c r="A268" s="99" t="str">
        <f>IFERROR(__xludf.DUMMYFUNCTION("""COMPUTED_VALUE"""),"https://utrucking.com/admin/orders/6449431609532")</f>
        <v>https://utrucking.com/admin/orders/6449431609532</v>
      </c>
      <c r="B268" s="61" t="str">
        <f>IFERROR(__xludf.DUMMYFUNCTION("""COMPUTED_VALUE"""),"#18076")</f>
        <v>#18076</v>
      </c>
      <c r="C268" s="61" t="str">
        <f>IFERROR(__xludf.DUMMYFUNCTION("""COMPUTED_VALUE"""),"samanthar@wustl.edu")</f>
        <v>samanthar@wustl.edu</v>
      </c>
      <c r="D268" s="61">
        <f>IFERROR(__xludf.DUMMYFUNCTION("""COMPUTED_VALUE"""),3.12351071E9)</f>
        <v>3123510710</v>
      </c>
      <c r="E268" s="61" t="str">
        <f>IFERROR(__xludf.DUMMYFUNCTION("""COMPUTED_VALUE"""),"Samantha Rosenberg")</f>
        <v>Samantha Rosenberg</v>
      </c>
      <c r="F268" s="61" t="str">
        <f>IFERROR(__xludf.DUMMYFUNCTION("""COMPUTED_VALUE"""),"Samantha Rosenberg")</f>
        <v>Samantha Rosenberg</v>
      </c>
      <c r="G268" s="61"/>
      <c r="H268" s="61" t="str">
        <f>IFERROR(__xludf.DUMMYFUNCTION("""COMPUTED_VALUE"""),"Appliance Rental Return")</f>
        <v>Appliance Rental Return</v>
      </c>
      <c r="I268" s="61" t="str">
        <f>IFERROR(__xludf.DUMMYFUNCTION("""COMPUTED_VALUE""")," Double-Door Mini Fridge + Microwave   - ")</f>
        <v> Double-Door Mini Fridge + Microwave   - </v>
      </c>
      <c r="J268" s="107" t="str">
        <f>IFERROR(__xludf.DUMMYFUNCTION("""COMPUTED_VALUE"""),"Danforth  ")</f>
        <v>Danforth  </v>
      </c>
      <c r="K268" s="100">
        <f>IFERROR(__xludf.DUMMYFUNCTION("""COMPUTED_VALUE"""),46146.0)</f>
        <v>46146</v>
      </c>
      <c r="L268" s="61" t="str">
        <f>IFERROR(__xludf.DUMMYFUNCTION("""COMPUTED_VALUE"""),"3321")</f>
        <v>3321</v>
      </c>
      <c r="M268" s="61" t="str">
        <f>IFERROR(__xludf.DUMMYFUNCTION("""COMPUTED_VALUE""")," ")</f>
        <v> </v>
      </c>
    </row>
    <row r="269">
      <c r="A269" s="102" t="str">
        <f>IFERROR(__xludf.DUMMYFUNCTION("""COMPUTED_VALUE"""),"https://utrucking.com/admin/orders/6449453727932")</f>
        <v>https://utrucking.com/admin/orders/6449453727932</v>
      </c>
      <c r="B269" s="65" t="str">
        <f>IFERROR(__xludf.DUMMYFUNCTION("""COMPUTED_VALUE"""),"#18077")</f>
        <v>#18077</v>
      </c>
      <c r="C269" s="65" t="str">
        <f>IFERROR(__xludf.DUMMYFUNCTION("""COMPUTED_VALUE"""),"mianj222@gmail.com")</f>
        <v>mianj222@gmail.com</v>
      </c>
      <c r="D269" s="65">
        <f>IFERROR(__xludf.DUMMYFUNCTION("""COMPUTED_VALUE"""),9.737585833E9)</f>
        <v>9737585833</v>
      </c>
      <c r="E269" s="65" t="str">
        <f>IFERROR(__xludf.DUMMYFUNCTION("""COMPUTED_VALUE"""),"Mariel Amador")</f>
        <v>Mariel Amador</v>
      </c>
      <c r="F269" s="65" t="str">
        <f>IFERROR(__xludf.DUMMYFUNCTION("""COMPUTED_VALUE"""),"Mariel Amador ")</f>
        <v>Mariel Amador </v>
      </c>
      <c r="G269" s="65"/>
      <c r="H269" s="65" t="str">
        <f>IFERROR(__xludf.DUMMYFUNCTION("""COMPUTED_VALUE"""),"Appliance Rental Return")</f>
        <v>Appliance Rental Return</v>
      </c>
      <c r="I269" s="65" t="str">
        <f>IFERROR(__xludf.DUMMYFUNCTION("""COMPUTED_VALUE""")," Standard Mini Fridge   - ")</f>
        <v> Standard Mini Fridge   - </v>
      </c>
      <c r="J269" s="108" t="str">
        <f>IFERROR(__xludf.DUMMYFUNCTION("""COMPUTED_VALUE"""),"Lopata  ")</f>
        <v>Lopata  </v>
      </c>
      <c r="K269" s="103">
        <f>IFERROR(__xludf.DUMMYFUNCTION("""COMPUTED_VALUE"""),46146.0)</f>
        <v>46146</v>
      </c>
      <c r="L269" s="65" t="str">
        <f>IFERROR(__xludf.DUMMYFUNCTION("""COMPUTED_VALUE"""),"3074")</f>
        <v>3074</v>
      </c>
      <c r="M269" s="65" t="str">
        <f>IFERROR(__xludf.DUMMYFUNCTION("""COMPUTED_VALUE""")," ")</f>
        <v> </v>
      </c>
    </row>
    <row r="270">
      <c r="A270" s="99" t="str">
        <f>IFERROR(__xludf.DUMMYFUNCTION("""COMPUTED_VALUE"""),"https://utrucking.com/admin/orders/6449540235452")</f>
        <v>https://utrucking.com/admin/orders/6449540235452</v>
      </c>
      <c r="B270" s="61" t="str">
        <f>IFERROR(__xludf.DUMMYFUNCTION("""COMPUTED_VALUE"""),"#18078")</f>
        <v>#18078</v>
      </c>
      <c r="C270" s="61" t="str">
        <f>IFERROR(__xludf.DUMMYFUNCTION("""COMPUTED_VALUE"""),"rogers.z@wustl.edu")</f>
        <v>rogers.z@wustl.edu</v>
      </c>
      <c r="D270" s="61">
        <f>IFERROR(__xludf.DUMMYFUNCTION("""COMPUTED_VALUE"""),6.679670212E9)</f>
        <v>6679670212</v>
      </c>
      <c r="E270" s="61" t="str">
        <f>IFERROR(__xludf.DUMMYFUNCTION("""COMPUTED_VALUE"""),"Zachary Rogers")</f>
        <v>Zachary Rogers</v>
      </c>
      <c r="F270" s="61" t="str">
        <f>IFERROR(__xludf.DUMMYFUNCTION("""COMPUTED_VALUE"""),"Zachary Rogers")</f>
        <v>Zachary Rogers</v>
      </c>
      <c r="G270" s="61"/>
      <c r="H270" s="61" t="str">
        <f>IFERROR(__xludf.DUMMYFUNCTION("""COMPUTED_VALUE"""),"Appliance Rental Return")</f>
        <v>Appliance Rental Return</v>
      </c>
      <c r="I270" s="61" t="str">
        <f>IFERROR(__xludf.DUMMYFUNCTION("""COMPUTED_VALUE""")," Double-Door Mini Fridge   - ")</f>
        <v> Double-Door Mini Fridge   - </v>
      </c>
      <c r="J270" s="107" t="str">
        <f>IFERROR(__xludf.DUMMYFUNCTION("""COMPUTED_VALUE"""),"Lee  ")</f>
        <v>Lee  </v>
      </c>
      <c r="K270" s="100">
        <f>IFERROR(__xludf.DUMMYFUNCTION("""COMPUTED_VALUE"""),46149.0)</f>
        <v>46149</v>
      </c>
      <c r="L270" s="61" t="str">
        <f>IFERROR(__xludf.DUMMYFUNCTION("""COMPUTED_VALUE"""),"301")</f>
        <v>301</v>
      </c>
      <c r="M270" s="61" t="str">
        <f>IFERROR(__xludf.DUMMYFUNCTION("""COMPUTED_VALUE""")," ")</f>
        <v> </v>
      </c>
    </row>
    <row r="271">
      <c r="A271" s="102" t="str">
        <f>IFERROR(__xludf.DUMMYFUNCTION("""COMPUTED_VALUE"""),"https://utrucking.com/admin/orders/6449700864188")</f>
        <v>https://utrucking.com/admin/orders/6449700864188</v>
      </c>
      <c r="B271" s="65" t="str">
        <f>IFERROR(__xludf.DUMMYFUNCTION("""COMPUTED_VALUE"""),"#18081")</f>
        <v>#18081</v>
      </c>
      <c r="C271" s="65" t="str">
        <f>IFERROR(__xludf.DUMMYFUNCTION("""COMPUTED_VALUE"""),"sarahkim0003@gmail.com")</f>
        <v>sarahkim0003@gmail.com</v>
      </c>
      <c r="D271" s="65">
        <f>IFERROR(__xludf.DUMMYFUNCTION("""COMPUTED_VALUE"""),6.615053724E9)</f>
        <v>6615053724</v>
      </c>
      <c r="E271" s="65" t="str">
        <f>IFERROR(__xludf.DUMMYFUNCTION("""COMPUTED_VALUE"""),"Sarah Kim")</f>
        <v>Sarah Kim</v>
      </c>
      <c r="F271" s="65" t="str">
        <f>IFERROR(__xludf.DUMMYFUNCTION("""COMPUTED_VALUE"""),"Sarah Kim")</f>
        <v>Sarah Kim</v>
      </c>
      <c r="G271" s="65"/>
      <c r="H271" s="65" t="str">
        <f>IFERROR(__xludf.DUMMYFUNCTION("""COMPUTED_VALUE"""),"Appliance Rental Return")</f>
        <v>Appliance Rental Return</v>
      </c>
      <c r="I271" s="65" t="str">
        <f>IFERROR(__xludf.DUMMYFUNCTION("""COMPUTED_VALUE""")," Microwave Only   - ")</f>
        <v> Microwave Only   - </v>
      </c>
      <c r="J271" s="108" t="str">
        <f>IFERROR(__xludf.DUMMYFUNCTION("""COMPUTED_VALUE"""),"Umrath  ")</f>
        <v>Umrath  </v>
      </c>
      <c r="K271" s="103">
        <f>IFERROR(__xludf.DUMMYFUNCTION("""COMPUTED_VALUE"""),46148.0)</f>
        <v>46148</v>
      </c>
      <c r="L271" s="65" t="str">
        <f>IFERROR(__xludf.DUMMYFUNCTION("""COMPUTED_VALUE"""),"3319")</f>
        <v>3319</v>
      </c>
      <c r="M271" s="65" t="str">
        <f>IFERROR(__xludf.DUMMYFUNCTION("""COMPUTED_VALUE""")," ")</f>
        <v> </v>
      </c>
    </row>
    <row r="272">
      <c r="A272" s="99" t="str">
        <f>IFERROR(__xludf.DUMMYFUNCTION("""COMPUTED_VALUE"""),"https://utrucking.com/admin/orders/6449775182012")</f>
        <v>https://utrucking.com/admin/orders/6449775182012</v>
      </c>
      <c r="B272" s="61" t="str">
        <f>IFERROR(__xludf.DUMMYFUNCTION("""COMPUTED_VALUE"""),"#18083")</f>
        <v>#18083</v>
      </c>
      <c r="C272" s="61" t="str">
        <f>IFERROR(__xludf.DUMMYFUNCTION("""COMPUTED_VALUE"""),"jeremysiebenlcp@gmail.com")</f>
        <v>jeremysiebenlcp@gmail.com</v>
      </c>
      <c r="D272" s="61">
        <f>IFERROR(__xludf.DUMMYFUNCTION("""COMPUTED_VALUE"""),6.267311037E9)</f>
        <v>6267311037</v>
      </c>
      <c r="E272" s="61" t="str">
        <f>IFERROR(__xludf.DUMMYFUNCTION("""COMPUTED_VALUE"""),"Jeremy Sieben")</f>
        <v>Jeremy Sieben</v>
      </c>
      <c r="F272" s="61" t="str">
        <f>IFERROR(__xludf.DUMMYFUNCTION("""COMPUTED_VALUE"""),"jeremy sieben")</f>
        <v>jeremy sieben</v>
      </c>
      <c r="G272" s="61"/>
      <c r="H272" s="61" t="str">
        <f>IFERROR(__xludf.DUMMYFUNCTION("""COMPUTED_VALUE"""),"Appliance Rental Return")</f>
        <v>Appliance Rental Return</v>
      </c>
      <c r="I272" s="61" t="str">
        <f>IFERROR(__xludf.DUMMYFUNCTION("""COMPUTED_VALUE""")," Double-Door Mini Fridge   - ")</f>
        <v> Double-Door Mini Fridge   - </v>
      </c>
      <c r="J272" s="107" t="str">
        <f>IFERROR(__xludf.DUMMYFUNCTION("""COMPUTED_VALUE"""),"Koenig  ")</f>
        <v>Koenig  </v>
      </c>
      <c r="K272" s="100">
        <f>IFERROR(__xludf.DUMMYFUNCTION("""COMPUTED_VALUE"""),46155.0)</f>
        <v>46155</v>
      </c>
      <c r="L272" s="61" t="str">
        <f>IFERROR(__xludf.DUMMYFUNCTION("""COMPUTED_VALUE"""),"4412")</f>
        <v>4412</v>
      </c>
      <c r="M272" s="61" t="str">
        <f>IFERROR(__xludf.DUMMYFUNCTION("""COMPUTED_VALUE""")," ")</f>
        <v> </v>
      </c>
    </row>
    <row r="273">
      <c r="A273" s="102" t="str">
        <f>IFERROR(__xludf.DUMMYFUNCTION("""COMPUTED_VALUE"""),"https://utrucking.com/admin/orders/6449814995132")</f>
        <v>https://utrucking.com/admin/orders/6449814995132</v>
      </c>
      <c r="B273" s="65" t="str">
        <f>IFERROR(__xludf.DUMMYFUNCTION("""COMPUTED_VALUE"""),"#18084")</f>
        <v>#18084</v>
      </c>
      <c r="C273" s="65" t="str">
        <f>IFERROR(__xludf.DUMMYFUNCTION("""COMPUTED_VALUE"""),"chloe.liu0308@gmail.com")</f>
        <v>chloe.liu0308@gmail.com</v>
      </c>
      <c r="D273" s="65">
        <f>IFERROR(__xludf.DUMMYFUNCTION("""COMPUTED_VALUE"""),9.259152979E9)</f>
        <v>9259152979</v>
      </c>
      <c r="E273" s="65" t="str">
        <f>IFERROR(__xludf.DUMMYFUNCTION("""COMPUTED_VALUE"""),"Chloe Liu")</f>
        <v>Chloe Liu</v>
      </c>
      <c r="F273" s="65" t="str">
        <f>IFERROR(__xludf.DUMMYFUNCTION("""COMPUTED_VALUE"""),"Chloe Liu")</f>
        <v>Chloe Liu</v>
      </c>
      <c r="G273" s="65"/>
      <c r="H273" s="65" t="str">
        <f>IFERROR(__xludf.DUMMYFUNCTION("""COMPUTED_VALUE"""),"Appliance Rental Return")</f>
        <v>Appliance Rental Return</v>
      </c>
      <c r="I273" s="65" t="str">
        <f>IFERROR(__xludf.DUMMYFUNCTION("""COMPUTED_VALUE""")," Double-Door Mini Fridge + Microwave   - ")</f>
        <v> Double-Door Mini Fridge + Microwave   - </v>
      </c>
      <c r="J273" s="108" t="str">
        <f>IFERROR(__xludf.DUMMYFUNCTION("""COMPUTED_VALUE"""),"Lien  ")</f>
        <v>Lien  </v>
      </c>
      <c r="K273" s="103">
        <f>IFERROR(__xludf.DUMMYFUNCTION("""COMPUTED_VALUE"""),46150.0)</f>
        <v>46150</v>
      </c>
      <c r="L273" s="65" t="str">
        <f>IFERROR(__xludf.DUMMYFUNCTION("""COMPUTED_VALUE"""),"2204")</f>
        <v>2204</v>
      </c>
      <c r="M273" s="65" t="str">
        <f>IFERROR(__xludf.DUMMYFUNCTION("""COMPUTED_VALUE""")," ")</f>
        <v> </v>
      </c>
    </row>
    <row r="274">
      <c r="A274" s="99" t="str">
        <f>IFERROR(__xludf.DUMMYFUNCTION("""COMPUTED_VALUE"""),"https://utrucking.com/admin/orders/6450231181500")</f>
        <v>https://utrucking.com/admin/orders/6450231181500</v>
      </c>
      <c r="B274" s="61" t="str">
        <f>IFERROR(__xludf.DUMMYFUNCTION("""COMPUTED_VALUE"""),"#18087")</f>
        <v>#18087</v>
      </c>
      <c r="C274" s="61" t="str">
        <f>IFERROR(__xludf.DUMMYFUNCTION("""COMPUTED_VALUE"""),"ian.k@wustl.edu")</f>
        <v>ian.k@wustl.edu</v>
      </c>
      <c r="D274" s="61">
        <f>IFERROR(__xludf.DUMMYFUNCTION("""COMPUTED_VALUE"""),5.572137639E9)</f>
        <v>5572137639</v>
      </c>
      <c r="E274" s="61" t="str">
        <f>IFERROR(__xludf.DUMMYFUNCTION("""COMPUTED_VALUE"""),"Ian Kim")</f>
        <v>Ian Kim</v>
      </c>
      <c r="F274" s="61" t="str">
        <f>IFERROR(__xludf.DUMMYFUNCTION("""COMPUTED_VALUE"""),"Ian Kim")</f>
        <v>Ian Kim</v>
      </c>
      <c r="G274" s="61"/>
      <c r="H274" s="61" t="str">
        <f>IFERROR(__xludf.DUMMYFUNCTION("""COMPUTED_VALUE"""),"Appliance Rental Return")</f>
        <v>Appliance Rental Return</v>
      </c>
      <c r="I274" s="61" t="str">
        <f>IFERROR(__xludf.DUMMYFUNCTION("""COMPUTED_VALUE""")," Standard Mini Fridge   - ")</f>
        <v> Standard Mini Fridge   - </v>
      </c>
      <c r="J274" s="107" t="str">
        <f>IFERROR(__xludf.DUMMYFUNCTION("""COMPUTED_VALUE"""),"Hitzeman  ")</f>
        <v>Hitzeman  </v>
      </c>
      <c r="K274" s="100">
        <f>IFERROR(__xludf.DUMMYFUNCTION("""COMPUTED_VALUE"""),46148.0)</f>
        <v>46148</v>
      </c>
      <c r="L274" s="61" t="str">
        <f>IFERROR(__xludf.DUMMYFUNCTION("""COMPUTED_VALUE"""),"413A ")</f>
        <v>413A </v>
      </c>
      <c r="M274" s="61" t="str">
        <f>IFERROR(__xludf.DUMMYFUNCTION("""COMPUTED_VALUE""")," ")</f>
        <v> </v>
      </c>
    </row>
    <row r="275">
      <c r="A275" s="102" t="str">
        <f>IFERROR(__xludf.DUMMYFUNCTION("""COMPUTED_VALUE"""),"https://utrucking.com/admin/orders/6450346655932")</f>
        <v>https://utrucking.com/admin/orders/6450346655932</v>
      </c>
      <c r="B275" s="65" t="str">
        <f>IFERROR(__xludf.DUMMYFUNCTION("""COMPUTED_VALUE"""),"#18090")</f>
        <v>#18090</v>
      </c>
      <c r="C275" s="65" t="str">
        <f>IFERROR(__xludf.DUMMYFUNCTION("""COMPUTED_VALUE"""),"esti.6@me.com")</f>
        <v>esti.6@me.com</v>
      </c>
      <c r="D275" s="65">
        <f>IFERROR(__xludf.DUMMYFUNCTION("""COMPUTED_VALUE"""),8.476916696E9)</f>
        <v>8476916696</v>
      </c>
      <c r="E275" s="65" t="str">
        <f>IFERROR(__xludf.DUMMYFUNCTION("""COMPUTED_VALUE"""),"Estelle Rosenblatt")</f>
        <v>Estelle Rosenblatt</v>
      </c>
      <c r="F275" s="65" t="str">
        <f>IFERROR(__xludf.DUMMYFUNCTION("""COMPUTED_VALUE"""),"Estelle Rosenblatt")</f>
        <v>Estelle Rosenblatt</v>
      </c>
      <c r="G275" s="65"/>
      <c r="H275" s="65" t="str">
        <f>IFERROR(__xludf.DUMMYFUNCTION("""COMPUTED_VALUE"""),"Appliance Rental Return")</f>
        <v>Appliance Rental Return</v>
      </c>
      <c r="I275" s="65" t="str">
        <f>IFERROR(__xludf.DUMMYFUNCTION("""COMPUTED_VALUE""")," Double-Door Mini Fridge   - ")</f>
        <v> Double-Door Mini Fridge   - </v>
      </c>
      <c r="J275" s="108" t="str">
        <f>IFERROR(__xludf.DUMMYFUNCTION("""COMPUTED_VALUE"""),"Lopata  ")</f>
        <v>Lopata  </v>
      </c>
      <c r="K275" s="103">
        <f>IFERROR(__xludf.DUMMYFUNCTION("""COMPUTED_VALUE"""),46146.0)</f>
        <v>46146</v>
      </c>
      <c r="L275" s="65" t="str">
        <f>IFERROR(__xludf.DUMMYFUNCTION("""COMPUTED_VALUE"""),"3022")</f>
        <v>3022</v>
      </c>
      <c r="M275" s="65" t="str">
        <f>IFERROR(__xludf.DUMMYFUNCTION("""COMPUTED_VALUE""")," ")</f>
        <v> </v>
      </c>
    </row>
    <row r="276">
      <c r="A276" s="99" t="str">
        <f>IFERROR(__xludf.DUMMYFUNCTION("""COMPUTED_VALUE"""),"https://utrucking.com/admin/orders/6450412617916")</f>
        <v>https://utrucking.com/admin/orders/6450412617916</v>
      </c>
      <c r="B276" s="61" t="str">
        <f>IFERROR(__xludf.DUMMYFUNCTION("""COMPUTED_VALUE"""),"#18092")</f>
        <v>#18092</v>
      </c>
      <c r="C276" s="61" t="str">
        <f>IFERROR(__xludf.DUMMYFUNCTION("""COMPUTED_VALUE"""),"dangz@wustl.edu")</f>
        <v>dangz@wustl.edu</v>
      </c>
      <c r="D276" s="61">
        <f>IFERROR(__xludf.DUMMYFUNCTION("""COMPUTED_VALUE"""),7.637424532E9)</f>
        <v>7637424532</v>
      </c>
      <c r="E276" s="61" t="str">
        <f>IFERROR(__xludf.DUMMYFUNCTION("""COMPUTED_VALUE"""),"Zachary Dang")</f>
        <v>Zachary Dang</v>
      </c>
      <c r="F276" s="61" t="str">
        <f>IFERROR(__xludf.DUMMYFUNCTION("""COMPUTED_VALUE"""),"Zachary Dang")</f>
        <v>Zachary Dang</v>
      </c>
      <c r="G276" s="61"/>
      <c r="H276" s="61" t="str">
        <f>IFERROR(__xludf.DUMMYFUNCTION("""COMPUTED_VALUE"""),"Appliance Rental Return")</f>
        <v>Appliance Rental Return</v>
      </c>
      <c r="I276" s="61" t="str">
        <f>IFERROR(__xludf.DUMMYFUNCTION("""COMPUTED_VALUE""")," Double-Door Mini Fridge   - ")</f>
        <v> Double-Door Mini Fridge   - </v>
      </c>
      <c r="J276" s="107" t="str">
        <f>IFERROR(__xludf.DUMMYFUNCTION("""COMPUTED_VALUE"""),"Dauten  ")</f>
        <v>Dauten  </v>
      </c>
      <c r="K276" s="100">
        <f>IFERROR(__xludf.DUMMYFUNCTION("""COMPUTED_VALUE"""),46148.0)</f>
        <v>46148</v>
      </c>
      <c r="L276" s="61" t="str">
        <f>IFERROR(__xludf.DUMMYFUNCTION("""COMPUTED_VALUE"""),"144")</f>
        <v>144</v>
      </c>
      <c r="M276" s="61" t="str">
        <f>IFERROR(__xludf.DUMMYFUNCTION("""COMPUTED_VALUE""")," ")</f>
        <v> </v>
      </c>
    </row>
    <row r="277">
      <c r="A277" s="102" t="str">
        <f>IFERROR(__xludf.DUMMYFUNCTION("""COMPUTED_VALUE"""),"https://utrucking.com/admin/orders/6450450989244")</f>
        <v>https://utrucking.com/admin/orders/6450450989244</v>
      </c>
      <c r="B277" s="65" t="str">
        <f>IFERROR(__xludf.DUMMYFUNCTION("""COMPUTED_VALUE"""),"#18094")</f>
        <v>#18094</v>
      </c>
      <c r="C277" s="65" t="str">
        <f>IFERROR(__xludf.DUMMYFUNCTION("""COMPUTED_VALUE"""),"gabiphillips06@gmail.com")</f>
        <v>gabiphillips06@gmail.com</v>
      </c>
      <c r="D277" s="65">
        <f>IFERROR(__xludf.DUMMYFUNCTION("""COMPUTED_VALUE"""),9.715333212E9)</f>
        <v>9715333212</v>
      </c>
      <c r="E277" s="65" t="str">
        <f>IFERROR(__xludf.DUMMYFUNCTION("""COMPUTED_VALUE"""),"Gabrielle Phillips")</f>
        <v>Gabrielle Phillips</v>
      </c>
      <c r="F277" s="65" t="str">
        <f>IFERROR(__xludf.DUMMYFUNCTION("""COMPUTED_VALUE"""),"Gabi Phillips")</f>
        <v>Gabi Phillips</v>
      </c>
      <c r="G277" s="65"/>
      <c r="H277" s="65" t="str">
        <f>IFERROR(__xludf.DUMMYFUNCTION("""COMPUTED_VALUE"""),"Appliance Rental Return")</f>
        <v>Appliance Rental Return</v>
      </c>
      <c r="I277" s="65" t="str">
        <f>IFERROR(__xludf.DUMMYFUNCTION("""COMPUTED_VALUE""")," Double-Door Mini Fridge + Microwave   - ")</f>
        <v> Double-Door Mini Fridge + Microwave   - </v>
      </c>
      <c r="J277" s="108" t="str">
        <f>IFERROR(__xludf.DUMMYFUNCTION("""COMPUTED_VALUE"""),"Hitzeman  ")</f>
        <v>Hitzeman  </v>
      </c>
      <c r="K277" s="103">
        <f>IFERROR(__xludf.DUMMYFUNCTION("""COMPUTED_VALUE"""),46148.0)</f>
        <v>46148</v>
      </c>
      <c r="L277" s="65" t="str">
        <f>IFERROR(__xludf.DUMMYFUNCTION("""COMPUTED_VALUE"""),"142")</f>
        <v>142</v>
      </c>
      <c r="M277" s="65" t="str">
        <f>IFERROR(__xludf.DUMMYFUNCTION("""COMPUTED_VALUE""")," ")</f>
        <v> </v>
      </c>
    </row>
    <row r="278">
      <c r="A278" s="99" t="str">
        <f>IFERROR(__xludf.DUMMYFUNCTION("""COMPUTED_VALUE"""),"https://utrucking.com/admin/orders/6450713821372")</f>
        <v>https://utrucking.com/admin/orders/6450713821372</v>
      </c>
      <c r="B278" s="61" t="str">
        <f>IFERROR(__xludf.DUMMYFUNCTION("""COMPUTED_VALUE"""),"#18096")</f>
        <v>#18096</v>
      </c>
      <c r="C278" s="61" t="str">
        <f>IFERROR(__xludf.DUMMYFUNCTION("""COMPUTED_VALUE"""),"bowermanjill@gmail.com")</f>
        <v>bowermanjill@gmail.com</v>
      </c>
      <c r="D278" s="61">
        <f>IFERROR(__xludf.DUMMYFUNCTION("""COMPUTED_VALUE"""),9.892958435E9)</f>
        <v>9892958435</v>
      </c>
      <c r="E278" s="61" t="str">
        <f>IFERROR(__xludf.DUMMYFUNCTION("""COMPUTED_VALUE"""),"Jill Bowerman")</f>
        <v>Jill Bowerman</v>
      </c>
      <c r="F278" s="61" t="str">
        <f>IFERROR(__xludf.DUMMYFUNCTION("""COMPUTED_VALUE"""),"John Connors")</f>
        <v>John Connors</v>
      </c>
      <c r="G278" s="61"/>
      <c r="H278" s="61" t="str">
        <f>IFERROR(__xludf.DUMMYFUNCTION("""COMPUTED_VALUE"""),"Appliance Rental Return")</f>
        <v>Appliance Rental Return</v>
      </c>
      <c r="I278" s="61" t="str">
        <f>IFERROR(__xludf.DUMMYFUNCTION("""COMPUTED_VALUE""")," Double-Door Mini Fridge + Microwave   - ")</f>
        <v> Double-Door Mini Fridge + Microwave   - </v>
      </c>
      <c r="J278" s="107" t="str">
        <f>IFERROR(__xludf.DUMMYFUNCTION("""COMPUTED_VALUE"""),"Danforth  ")</f>
        <v>Danforth  </v>
      </c>
      <c r="K278" s="100">
        <f>IFERROR(__xludf.DUMMYFUNCTION("""COMPUTED_VALUE"""),46148.0)</f>
        <v>46148</v>
      </c>
      <c r="L278" s="61" t="str">
        <f>IFERROR(__xludf.DUMMYFUNCTION("""COMPUTED_VALUE"""),"4418")</f>
        <v>4418</v>
      </c>
      <c r="M278" s="61" t="str">
        <f>IFERROR(__xludf.DUMMYFUNCTION("""COMPUTED_VALUE""")," ")</f>
        <v> </v>
      </c>
    </row>
    <row r="279">
      <c r="A279" s="102" t="str">
        <f>IFERROR(__xludf.DUMMYFUNCTION("""COMPUTED_VALUE"""),"https://utrucking.com/admin/orders/6450891751612")</f>
        <v>https://utrucking.com/admin/orders/6450891751612</v>
      </c>
      <c r="B279" s="65" t="str">
        <f>IFERROR(__xludf.DUMMYFUNCTION("""COMPUTED_VALUE"""),"#18097")</f>
        <v>#18097</v>
      </c>
      <c r="C279" s="65" t="str">
        <f>IFERROR(__xludf.DUMMYFUNCTION("""COMPUTED_VALUE"""),"nataliebeldner@gmail.com")</f>
        <v>nataliebeldner@gmail.com</v>
      </c>
      <c r="D279" s="65">
        <f>IFERROR(__xludf.DUMMYFUNCTION("""COMPUTED_VALUE"""),9.142681108E9)</f>
        <v>9142681108</v>
      </c>
      <c r="E279" s="65" t="str">
        <f>IFERROR(__xludf.DUMMYFUNCTION("""COMPUTED_VALUE"""),"Natalie Beldner")</f>
        <v>Natalie Beldner</v>
      </c>
      <c r="F279" s="65" t="str">
        <f>IFERROR(__xludf.DUMMYFUNCTION("""COMPUTED_VALUE"""),"Natalie Beldner")</f>
        <v>Natalie Beldner</v>
      </c>
      <c r="G279" s="65"/>
      <c r="H279" s="65" t="str">
        <f>IFERROR(__xludf.DUMMYFUNCTION("""COMPUTED_VALUE"""),"Appliance Rental Return")</f>
        <v>Appliance Rental Return</v>
      </c>
      <c r="I279" s="65" t="str">
        <f>IFERROR(__xludf.DUMMYFUNCTION("""COMPUTED_VALUE""")," Double-Door Mini Fridge + Microwave   - ")</f>
        <v> Double-Door Mini Fridge + Microwave   - </v>
      </c>
      <c r="J279" s="108" t="str">
        <f>IFERROR(__xludf.DUMMYFUNCTION("""COMPUTED_VALUE"""),"Lopata  ")</f>
        <v>Lopata  </v>
      </c>
      <c r="K279" s="103">
        <f>IFERROR(__xludf.DUMMYFUNCTION("""COMPUTED_VALUE"""),46148.0)</f>
        <v>46148</v>
      </c>
      <c r="L279" s="65" t="str">
        <f>IFERROR(__xludf.DUMMYFUNCTION("""COMPUTED_VALUE"""),"3090")</f>
        <v>3090</v>
      </c>
      <c r="M279" s="65" t="str">
        <f>IFERROR(__xludf.DUMMYFUNCTION("""COMPUTED_VALUE""")," ")</f>
        <v> </v>
      </c>
    </row>
    <row r="280">
      <c r="A280" s="99" t="str">
        <f>IFERROR(__xludf.DUMMYFUNCTION("""COMPUTED_VALUE"""),"https://utrucking.com/admin/orders/6450917834940")</f>
        <v>https://utrucking.com/admin/orders/6450917834940</v>
      </c>
      <c r="B280" s="61" t="str">
        <f>IFERROR(__xludf.DUMMYFUNCTION("""COMPUTED_VALUE"""),"#18098")</f>
        <v>#18098</v>
      </c>
      <c r="C280" s="61" t="str">
        <f>IFERROR(__xludf.DUMMYFUNCTION("""COMPUTED_VALUE"""),"gnico@wustl.edu")</f>
        <v>gnico@wustl.edu</v>
      </c>
      <c r="D280" s="61">
        <f>IFERROR(__xludf.DUMMYFUNCTION("""COMPUTED_VALUE"""),7.133036272E9)</f>
        <v>7133036272</v>
      </c>
      <c r="E280" s="61" t="str">
        <f>IFERROR(__xludf.DUMMYFUNCTION("""COMPUTED_VALUE"""),"Carmen Gomez")</f>
        <v>Carmen Gomez</v>
      </c>
      <c r="F280" s="61" t="str">
        <f>IFERROR(__xludf.DUMMYFUNCTION("""COMPUTED_VALUE"""),"Nico Gomez")</f>
        <v>Nico Gomez</v>
      </c>
      <c r="G280" s="61"/>
      <c r="H280" s="61" t="str">
        <f>IFERROR(__xludf.DUMMYFUNCTION("""COMPUTED_VALUE"""),"Appliance Rental Return")</f>
        <v>Appliance Rental Return</v>
      </c>
      <c r="I280" s="61" t="str">
        <f>IFERROR(__xludf.DUMMYFUNCTION("""COMPUTED_VALUE""")," Standard Mini Fridge   - ")</f>
        <v> Standard Mini Fridge   - </v>
      </c>
      <c r="J280" s="107" t="str">
        <f>IFERROR(__xludf.DUMMYFUNCTION("""COMPUTED_VALUE"""),"House 22 (Beta Theta Pi)")</f>
        <v>House 22 (Beta Theta Pi)</v>
      </c>
      <c r="K280" s="100">
        <f>IFERROR(__xludf.DUMMYFUNCTION("""COMPUTED_VALUE"""),46144.0)</f>
        <v>46144</v>
      </c>
      <c r="L280" s="61" t="str">
        <f>IFERROR(__xludf.DUMMYFUNCTION("""COMPUTED_VALUE"""),"2022")</f>
        <v>2022</v>
      </c>
      <c r="M280" s="61" t="str">
        <f>IFERROR(__xludf.DUMMYFUNCTION("""COMPUTED_VALUE""")," ")</f>
        <v> </v>
      </c>
    </row>
    <row r="281">
      <c r="A281" s="102" t="str">
        <f>IFERROR(__xludf.DUMMYFUNCTION("""COMPUTED_VALUE"""),"https://utrucking.com/admin/orders/6450923798716")</f>
        <v>https://utrucking.com/admin/orders/6450923798716</v>
      </c>
      <c r="B281" s="65" t="str">
        <f>IFERROR(__xludf.DUMMYFUNCTION("""COMPUTED_VALUE"""),"#18099")</f>
        <v>#18099</v>
      </c>
      <c r="C281" s="65" t="str">
        <f>IFERROR(__xludf.DUMMYFUNCTION("""COMPUTED_VALUE"""),"c.m.eddings@wustl.edu")</f>
        <v>c.m.eddings@wustl.edu</v>
      </c>
      <c r="D281" s="65">
        <f>IFERROR(__xludf.DUMMYFUNCTION("""COMPUTED_VALUE"""),3.016130363E9)</f>
        <v>3016130363</v>
      </c>
      <c r="E281" s="65" t="str">
        <f>IFERROR(__xludf.DUMMYFUNCTION("""COMPUTED_VALUE"""),"Cordell Eddings")</f>
        <v>Cordell Eddings</v>
      </c>
      <c r="F281" s="65" t="str">
        <f>IFERROR(__xludf.DUMMYFUNCTION("""COMPUTED_VALUE"""),"Cordell Eddings")</f>
        <v>Cordell Eddings</v>
      </c>
      <c r="G281" s="65"/>
      <c r="H281" s="65" t="str">
        <f>IFERROR(__xludf.DUMMYFUNCTION("""COMPUTED_VALUE"""),"Appliance Rental Return")</f>
        <v>Appliance Rental Return</v>
      </c>
      <c r="I281" s="65" t="str">
        <f>IFERROR(__xludf.DUMMYFUNCTION("""COMPUTED_VALUE""")," Standard Mini Fridge + Microwave   - ")</f>
        <v> Standard Mini Fridge + Microwave   - </v>
      </c>
      <c r="J281" s="108" t="str">
        <f>IFERROR(__xludf.DUMMYFUNCTION("""COMPUTED_VALUE"""),"Zetcher  ")</f>
        <v>Zetcher  </v>
      </c>
      <c r="K281" s="103">
        <f>IFERROR(__xludf.DUMMYFUNCTION("""COMPUTED_VALUE"""),46149.0)</f>
        <v>46149</v>
      </c>
      <c r="L281" s="65" t="str">
        <f>IFERROR(__xludf.DUMMYFUNCTION("""COMPUTED_VALUE"""),"3012")</f>
        <v>3012</v>
      </c>
      <c r="M281" s="65" t="str">
        <f>IFERROR(__xludf.DUMMYFUNCTION("""COMPUTED_VALUE""")," ")</f>
        <v> </v>
      </c>
    </row>
    <row r="282">
      <c r="A282" s="99" t="str">
        <f>IFERROR(__xludf.DUMMYFUNCTION("""COMPUTED_VALUE"""),"https://utrucking.com/admin/orders/6450934841532")</f>
        <v>https://utrucking.com/admin/orders/6450934841532</v>
      </c>
      <c r="B282" s="61" t="str">
        <f>IFERROR(__xludf.DUMMYFUNCTION("""COMPUTED_VALUE"""),"#18100")</f>
        <v>#18100</v>
      </c>
      <c r="C282" s="61" t="str">
        <f>IFERROR(__xludf.DUMMYFUNCTION("""COMPUTED_VALUE"""),"c.vidushi@wustl.edu")</f>
        <v>c.vidushi@wustl.edu</v>
      </c>
      <c r="D282" s="61">
        <f>IFERROR(__xludf.DUMMYFUNCTION("""COMPUTED_VALUE"""),3.147174118E9)</f>
        <v>3147174118</v>
      </c>
      <c r="E282" s="61" t="str">
        <f>IFERROR(__xludf.DUMMYFUNCTION("""COMPUTED_VALUE"""),"Vidushi Challa")</f>
        <v>Vidushi Challa</v>
      </c>
      <c r="F282" s="61" t="str">
        <f>IFERROR(__xludf.DUMMYFUNCTION("""COMPUTED_VALUE"""),"Vidushi Challa")</f>
        <v>Vidushi Challa</v>
      </c>
      <c r="G282" s="61"/>
      <c r="H282" s="61" t="str">
        <f>IFERROR(__xludf.DUMMYFUNCTION("""COMPUTED_VALUE"""),"Appliance Rental Return")</f>
        <v>Appliance Rental Return</v>
      </c>
      <c r="I282" s="61" t="str">
        <f>IFERROR(__xludf.DUMMYFUNCTION("""COMPUTED_VALUE""")," Double-Door Mini Fridge + Microwave   - ")</f>
        <v> Double-Door Mini Fridge + Microwave   - </v>
      </c>
      <c r="J282" s="107" t="str">
        <f>IFERROR(__xludf.DUMMYFUNCTION("""COMPUTED_VALUE"""),"Eliot A (Thomas Eliot)")</f>
        <v>Eliot A (Thomas Eliot)</v>
      </c>
      <c r="K282" s="100">
        <f>IFERROR(__xludf.DUMMYFUNCTION("""COMPUTED_VALUE"""),46148.0)</f>
        <v>46148</v>
      </c>
      <c r="L282" s="61" t="str">
        <f>IFERROR(__xludf.DUMMYFUNCTION("""COMPUTED_VALUE"""),"2000")</f>
        <v>2000</v>
      </c>
      <c r="M282" s="61" t="str">
        <f>IFERROR(__xludf.DUMMYFUNCTION("""COMPUTED_VALUE""")," ")</f>
        <v> </v>
      </c>
    </row>
    <row r="283">
      <c r="A283" s="102" t="str">
        <f>IFERROR(__xludf.DUMMYFUNCTION("""COMPUTED_VALUE"""),"https://utrucking.com/admin/orders/6450951585980")</f>
        <v>https://utrucking.com/admin/orders/6450951585980</v>
      </c>
      <c r="B283" s="65" t="str">
        <f>IFERROR(__xludf.DUMMYFUNCTION("""COMPUTED_VALUE"""),"#18102")</f>
        <v>#18102</v>
      </c>
      <c r="C283" s="65" t="str">
        <f>IFERROR(__xludf.DUMMYFUNCTION("""COMPUTED_VALUE"""),"t.lovick@wustl.edu")</f>
        <v>t.lovick@wustl.edu</v>
      </c>
      <c r="D283" s="65">
        <f>IFERROR(__xludf.DUMMYFUNCTION("""COMPUTED_VALUE"""),9.198059326E9)</f>
        <v>9198059326</v>
      </c>
      <c r="E283" s="65" t="str">
        <f>IFERROR(__xludf.DUMMYFUNCTION("""COMPUTED_VALUE"""),"Azania Lovick")</f>
        <v>Azania Lovick</v>
      </c>
      <c r="F283" s="65" t="str">
        <f>IFERROR(__xludf.DUMMYFUNCTION("""COMPUTED_VALUE"""),"Tayo Lovick")</f>
        <v>Tayo Lovick</v>
      </c>
      <c r="G283" s="65"/>
      <c r="H283" s="65" t="str">
        <f>IFERROR(__xludf.DUMMYFUNCTION("""COMPUTED_VALUE"""),"Appliance Rental Return")</f>
        <v>Appliance Rental Return</v>
      </c>
      <c r="I283" s="65" t="str">
        <f>IFERROR(__xludf.DUMMYFUNCTION("""COMPUTED_VALUE""")," Standard Mini Fridge   - ")</f>
        <v> Standard Mini Fridge   - </v>
      </c>
      <c r="J283" s="108" t="str">
        <f>IFERROR(__xludf.DUMMYFUNCTION("""COMPUTED_VALUE"""),"Danforth  ")</f>
        <v>Danforth  </v>
      </c>
      <c r="K283" s="103">
        <f>IFERROR(__xludf.DUMMYFUNCTION("""COMPUTED_VALUE"""),46149.0)</f>
        <v>46149</v>
      </c>
      <c r="L283" s="65" t="str">
        <f>IFERROR(__xludf.DUMMYFUNCTION("""COMPUTED_VALUE"""),"3225")</f>
        <v>3225</v>
      </c>
      <c r="M283" s="65" t="str">
        <f>IFERROR(__xludf.DUMMYFUNCTION("""COMPUTED_VALUE""")," ")</f>
        <v> </v>
      </c>
    </row>
    <row r="284">
      <c r="A284" s="99" t="str">
        <f>IFERROR(__xludf.DUMMYFUNCTION("""COMPUTED_VALUE"""),"https://utrucking.com/admin/orders/6451007226044")</f>
        <v>https://utrucking.com/admin/orders/6451007226044</v>
      </c>
      <c r="B284" s="61" t="str">
        <f>IFERROR(__xludf.DUMMYFUNCTION("""COMPUTED_VALUE"""),"#18104")</f>
        <v>#18104</v>
      </c>
      <c r="C284" s="61" t="str">
        <f>IFERROR(__xludf.DUMMYFUNCTION("""COMPUTED_VALUE"""),"reina1776@gmail.com")</f>
        <v>reina1776@gmail.com</v>
      </c>
      <c r="D284" s="61">
        <f>IFERROR(__xludf.DUMMYFUNCTION("""COMPUTED_VALUE"""),9.17570328E9)</f>
        <v>9175703280</v>
      </c>
      <c r="E284" s="61" t="str">
        <f>IFERROR(__xludf.DUMMYFUNCTION("""COMPUTED_VALUE"""),"Robert Juman")</f>
        <v>Robert Juman</v>
      </c>
      <c r="F284" s="61" t="str">
        <f>IFERROR(__xludf.DUMMYFUNCTION("""COMPUTED_VALUE"""),"Kennedy Hack-Juman")</f>
        <v>Kennedy Hack-Juman</v>
      </c>
      <c r="G284" s="61"/>
      <c r="H284" s="61" t="str">
        <f>IFERROR(__xludf.DUMMYFUNCTION("""COMPUTED_VALUE"""),"Appliance Rental Return")</f>
        <v>Appliance Rental Return</v>
      </c>
      <c r="I284" s="61" t="str">
        <f>IFERROR(__xludf.DUMMYFUNCTION("""COMPUTED_VALUE""")," Double-Door Mini Fridge   - ")</f>
        <v> Double-Door Mini Fridge   - </v>
      </c>
      <c r="J284" s="107" t="str">
        <f>IFERROR(__xludf.DUMMYFUNCTION("""COMPUTED_VALUE"""),"Lopata  ")</f>
        <v>Lopata  </v>
      </c>
      <c r="K284" s="100">
        <f>IFERROR(__xludf.DUMMYFUNCTION("""COMPUTED_VALUE"""),46146.0)</f>
        <v>46146</v>
      </c>
      <c r="L284" s="61" t="str">
        <f>IFERROR(__xludf.DUMMYFUNCTION("""COMPUTED_VALUE"""),"3070")</f>
        <v>3070</v>
      </c>
      <c r="M284" s="61" t="str">
        <f>IFERROR(__xludf.DUMMYFUNCTION("""COMPUTED_VALUE""")," 1. I think this what we ordered!
2. Boxes will also be in room for summer storage.")</f>
        <v> 1. I think this what we ordered!
2. Boxes will also be in room for summer storage.</v>
      </c>
    </row>
    <row r="285">
      <c r="A285" s="102" t="str">
        <f>IFERROR(__xludf.DUMMYFUNCTION("""COMPUTED_VALUE"""),"https://utrucking.com/admin/orders/6451110576316")</f>
        <v>https://utrucking.com/admin/orders/6451110576316</v>
      </c>
      <c r="B285" s="65" t="str">
        <f>IFERROR(__xludf.DUMMYFUNCTION("""COMPUTED_VALUE"""),"#18107")</f>
        <v>#18107</v>
      </c>
      <c r="C285" s="65" t="str">
        <f>IFERROR(__xludf.DUMMYFUNCTION("""COMPUTED_VALUE"""),"h.nam@wustl.edu")</f>
        <v>h.nam@wustl.edu</v>
      </c>
      <c r="D285" s="65">
        <f>IFERROR(__xludf.DUMMYFUNCTION("""COMPUTED_VALUE"""),4.086232514E9)</f>
        <v>4086232514</v>
      </c>
      <c r="E285" s="65" t="str">
        <f>IFERROR(__xludf.DUMMYFUNCTION("""COMPUTED_VALUE"""),"Haeun Nam")</f>
        <v>Haeun Nam</v>
      </c>
      <c r="F285" s="65" t="str">
        <f>IFERROR(__xludf.DUMMYFUNCTION("""COMPUTED_VALUE"""),"Haeun Nam")</f>
        <v>Haeun Nam</v>
      </c>
      <c r="G285" s="65"/>
      <c r="H285" s="65" t="str">
        <f>IFERROR(__xludf.DUMMYFUNCTION("""COMPUTED_VALUE"""),"Appliance Rental Return")</f>
        <v>Appliance Rental Return</v>
      </c>
      <c r="I285" s="65" t="str">
        <f>IFERROR(__xludf.DUMMYFUNCTION("""COMPUTED_VALUE""")," Double-Door Mini Fridge + Microwave   - ")</f>
        <v> Double-Door Mini Fridge + Microwave   - </v>
      </c>
      <c r="J285" s="108" t="str">
        <f>IFERROR(__xludf.DUMMYFUNCTION("""COMPUTED_VALUE"""),"Danforth  ")</f>
        <v>Danforth  </v>
      </c>
      <c r="K285" s="103">
        <f>IFERROR(__xludf.DUMMYFUNCTION("""COMPUTED_VALUE"""),46148.0)</f>
        <v>46148</v>
      </c>
      <c r="L285" s="65" t="str">
        <f>IFERROR(__xludf.DUMMYFUNCTION("""COMPUTED_VALUE"""),"2209")</f>
        <v>2209</v>
      </c>
      <c r="M285" s="65" t="str">
        <f>IFERROR(__xludf.DUMMYFUNCTION("""COMPUTED_VALUE""")," ")</f>
        <v> </v>
      </c>
    </row>
    <row r="286">
      <c r="A286" s="99" t="str">
        <f>IFERROR(__xludf.DUMMYFUNCTION("""COMPUTED_VALUE"""),"https://utrucking.com/admin/orders/6451131318460")</f>
        <v>https://utrucking.com/admin/orders/6451131318460</v>
      </c>
      <c r="B286" s="61" t="str">
        <f>IFERROR(__xludf.DUMMYFUNCTION("""COMPUTED_VALUE"""),"#18109")</f>
        <v>#18109</v>
      </c>
      <c r="C286" s="61" t="str">
        <f>IFERROR(__xludf.DUMMYFUNCTION("""COMPUTED_VALUE"""),"bani@wustl.edu")</f>
        <v>bani@wustl.edu</v>
      </c>
      <c r="D286" s="61">
        <f>IFERROR(__xludf.DUMMYFUNCTION("""COMPUTED_VALUE"""),8.605006445E9)</f>
        <v>8605006445</v>
      </c>
      <c r="E286" s="61" t="str">
        <f>IFERROR(__xludf.DUMMYFUNCTION("""COMPUTED_VALUE"""),"Bani Chandra")</f>
        <v>Bani Chandra</v>
      </c>
      <c r="F286" s="61" t="str">
        <f>IFERROR(__xludf.DUMMYFUNCTION("""COMPUTED_VALUE"""),"Bani Chandra")</f>
        <v>Bani Chandra</v>
      </c>
      <c r="G286" s="61"/>
      <c r="H286" s="61" t="str">
        <f>IFERROR(__xludf.DUMMYFUNCTION("""COMPUTED_VALUE"""),"Appliance Rental Return")</f>
        <v>Appliance Rental Return</v>
      </c>
      <c r="I286" s="61" t="str">
        <f>IFERROR(__xludf.DUMMYFUNCTION("""COMPUTED_VALUE""")," Double-Door Mini Fridge   - ")</f>
        <v> Double-Door Mini Fridge   - </v>
      </c>
      <c r="J286" s="107" t="str">
        <f>IFERROR(__xludf.DUMMYFUNCTION("""COMPUTED_VALUE"""),"Mudd  ")</f>
        <v>Mudd  </v>
      </c>
      <c r="K286" s="100">
        <f>IFERROR(__xludf.DUMMYFUNCTION("""COMPUTED_VALUE"""),46149.0)</f>
        <v>46149</v>
      </c>
      <c r="L286" s="61" t="str">
        <f>IFERROR(__xludf.DUMMYFUNCTION("""COMPUTED_VALUE"""),"311")</f>
        <v>311</v>
      </c>
      <c r="M286" s="61" t="str">
        <f>IFERROR(__xludf.DUMMYFUNCTION("""COMPUTED_VALUE""")," ")</f>
        <v> </v>
      </c>
    </row>
    <row r="287">
      <c r="A287" s="102" t="str">
        <f>IFERROR(__xludf.DUMMYFUNCTION("""COMPUTED_VALUE"""),"https://utrucking.com/admin/orders/6451199180988")</f>
        <v>https://utrucking.com/admin/orders/6451199180988</v>
      </c>
      <c r="B287" s="65" t="str">
        <f>IFERROR(__xludf.DUMMYFUNCTION("""COMPUTED_VALUE"""),"#18111")</f>
        <v>#18111</v>
      </c>
      <c r="C287" s="65" t="str">
        <f>IFERROR(__xludf.DUMMYFUNCTION("""COMPUTED_VALUE"""),"mpp560@gmail.com")</f>
        <v>mpp560@gmail.com</v>
      </c>
      <c r="D287" s="65">
        <f>IFERROR(__xludf.DUMMYFUNCTION("""COMPUTED_VALUE"""),6.103577127E9)</f>
        <v>6103577127</v>
      </c>
      <c r="E287" s="65" t="str">
        <f>IFERROR(__xludf.DUMMYFUNCTION("""COMPUTED_VALUE"""),"Melissa Pashigian")</f>
        <v>Melissa Pashigian</v>
      </c>
      <c r="F287" s="65" t="str">
        <f>IFERROR(__xludf.DUMMYFUNCTION("""COMPUTED_VALUE"""),"Chiara Del Testa")</f>
        <v>Chiara Del Testa</v>
      </c>
      <c r="G287" s="65"/>
      <c r="H287" s="65" t="str">
        <f>IFERROR(__xludf.DUMMYFUNCTION("""COMPUTED_VALUE"""),"Appliance Rental Return")</f>
        <v>Appliance Rental Return</v>
      </c>
      <c r="I287" s="65" t="str">
        <f>IFERROR(__xludf.DUMMYFUNCTION("""COMPUTED_VALUE""")," Double-Door Mini Fridge + Microwave   - ")</f>
        <v> Double-Door Mini Fridge + Microwave   - </v>
      </c>
      <c r="J287" s="108" t="str">
        <f>IFERROR(__xludf.DUMMYFUNCTION("""COMPUTED_VALUE"""),"Eliot A (Thomas Eliot)")</f>
        <v>Eliot A (Thomas Eliot)</v>
      </c>
      <c r="K287" s="103">
        <f>IFERROR(__xludf.DUMMYFUNCTION("""COMPUTED_VALUE"""),46149.0)</f>
        <v>46149</v>
      </c>
      <c r="L287" s="65" t="str">
        <f>IFERROR(__xludf.DUMMYFUNCTION("""COMPUTED_VALUE"""),"1042a")</f>
        <v>1042a</v>
      </c>
      <c r="M287" s="65" t="str">
        <f>IFERROR(__xludf.DUMMYFUNCTION("""COMPUTED_VALUE""")," ")</f>
        <v> </v>
      </c>
    </row>
    <row r="288">
      <c r="A288" s="99" t="str">
        <f>IFERROR(__xludf.DUMMYFUNCTION("""COMPUTED_VALUE"""),"https://utrucking.com/admin/orders/6451222151356")</f>
        <v>https://utrucking.com/admin/orders/6451222151356</v>
      </c>
      <c r="B288" s="61" t="str">
        <f>IFERROR(__xludf.DUMMYFUNCTION("""COMPUTED_VALUE"""),"#18112")</f>
        <v>#18112</v>
      </c>
      <c r="C288" s="61" t="str">
        <f>IFERROR(__xludf.DUMMYFUNCTION("""COMPUTED_VALUE"""),"amirathadani@gmail.com")</f>
        <v>amirathadani@gmail.com</v>
      </c>
      <c r="D288" s="61">
        <f>IFERROR(__xludf.DUMMYFUNCTION("""COMPUTED_VALUE"""),9.143309695E9)</f>
        <v>9143309695</v>
      </c>
      <c r="E288" s="61" t="str">
        <f>IFERROR(__xludf.DUMMYFUNCTION("""COMPUTED_VALUE"""),"Amira Thadani")</f>
        <v>Amira Thadani</v>
      </c>
      <c r="F288" s="61" t="str">
        <f>IFERROR(__xludf.DUMMYFUNCTION("""COMPUTED_VALUE"""),"Amira Thadani")</f>
        <v>Amira Thadani</v>
      </c>
      <c r="G288" s="61"/>
      <c r="H288" s="61" t="str">
        <f>IFERROR(__xludf.DUMMYFUNCTION("""COMPUTED_VALUE"""),"Appliance Rental Return")</f>
        <v>Appliance Rental Return</v>
      </c>
      <c r="I288" s="61" t="str">
        <f>IFERROR(__xludf.DUMMYFUNCTION("""COMPUTED_VALUE""")," Double-Door Mini Fridge   - ")</f>
        <v> Double-Door Mini Fridge   - </v>
      </c>
      <c r="J288" s="107" t="str">
        <f>IFERROR(__xludf.DUMMYFUNCTION("""COMPUTED_VALUE"""),"Shepley  ")</f>
        <v>Shepley  </v>
      </c>
      <c r="K288" s="100">
        <f>IFERROR(__xludf.DUMMYFUNCTION("""COMPUTED_VALUE"""),46149.0)</f>
        <v>46149</v>
      </c>
      <c r="L288" s="61" t="str">
        <f>IFERROR(__xludf.DUMMYFUNCTION("""COMPUTED_VALUE"""),"4011")</f>
        <v>4011</v>
      </c>
      <c r="M288" s="61" t="str">
        <f>IFERROR(__xludf.DUMMYFUNCTION("""COMPUTED_VALUE""")," ")</f>
        <v> </v>
      </c>
    </row>
    <row r="289">
      <c r="A289" s="102" t="str">
        <f>IFERROR(__xludf.DUMMYFUNCTION("""COMPUTED_VALUE"""),"https://utrucking.com/admin/orders/6451268911292")</f>
        <v>https://utrucking.com/admin/orders/6451268911292</v>
      </c>
      <c r="B289" s="65" t="str">
        <f>IFERROR(__xludf.DUMMYFUNCTION("""COMPUTED_VALUE"""),"#18113")</f>
        <v>#18113</v>
      </c>
      <c r="C289" s="65" t="str">
        <f>IFERROR(__xludf.DUMMYFUNCTION("""COMPUTED_VALUE"""),"c.sheelsie@wustl.edu")</f>
        <v>c.sheelsie@wustl.edu</v>
      </c>
      <c r="D289" s="65">
        <f>IFERROR(__xludf.DUMMYFUNCTION("""COMPUTED_VALUE"""),8.32718682E9)</f>
        <v>8327186820</v>
      </c>
      <c r="E289" s="65" t="str">
        <f>IFERROR(__xludf.DUMMYFUNCTION("""COMPUTED_VALUE"""),"Sheelsie Cazares")</f>
        <v>Sheelsie Cazares</v>
      </c>
      <c r="F289" s="65" t="str">
        <f>IFERROR(__xludf.DUMMYFUNCTION("""COMPUTED_VALUE"""),"Sheelsie Cazares")</f>
        <v>Sheelsie Cazares</v>
      </c>
      <c r="G289" s="65"/>
      <c r="H289" s="65" t="str">
        <f>IFERROR(__xludf.DUMMYFUNCTION("""COMPUTED_VALUE"""),"Appliance Rental Return")</f>
        <v>Appliance Rental Return</v>
      </c>
      <c r="I289" s="65" t="str">
        <f>IFERROR(__xludf.DUMMYFUNCTION("""COMPUTED_VALUE""")," Double-Door Mini Fridge + Microwave   - ")</f>
        <v> Double-Door Mini Fridge + Microwave   - </v>
      </c>
      <c r="J289" s="108" t="str">
        <f>IFERROR(__xludf.DUMMYFUNCTION("""COMPUTED_VALUE"""),"Shanedling  ")</f>
        <v>Shanedling  </v>
      </c>
      <c r="K289" s="103">
        <f>IFERROR(__xludf.DUMMYFUNCTION("""COMPUTED_VALUE"""),46148.0)</f>
        <v>46148</v>
      </c>
      <c r="L289" s="65" t="str">
        <f>IFERROR(__xludf.DUMMYFUNCTION("""COMPUTED_VALUE"""),"313")</f>
        <v>313</v>
      </c>
      <c r="M289" s="65" t="str">
        <f>IFERROR(__xludf.DUMMYFUNCTION("""COMPUTED_VALUE""")," ")</f>
        <v> </v>
      </c>
    </row>
    <row r="290">
      <c r="A290" s="99" t="str">
        <f>IFERROR(__xludf.DUMMYFUNCTION("""COMPUTED_VALUE"""),"https://utrucking.com/admin/orders/6451279265980")</f>
        <v>https://utrucking.com/admin/orders/6451279265980</v>
      </c>
      <c r="B290" s="61" t="str">
        <f>IFERROR(__xludf.DUMMYFUNCTION("""COMPUTED_VALUE"""),"#18114")</f>
        <v>#18114</v>
      </c>
      <c r="C290" s="61" t="str">
        <f>IFERROR(__xludf.DUMMYFUNCTION("""COMPUTED_VALUE"""),"a.s.park@wustl.edu")</f>
        <v>a.s.park@wustl.edu</v>
      </c>
      <c r="D290" s="61">
        <f>IFERROR(__xludf.DUMMYFUNCTION("""COMPUTED_VALUE"""),4.694510901E9)</f>
        <v>4694510901</v>
      </c>
      <c r="E290" s="61" t="str">
        <f>IFERROR(__xludf.DUMMYFUNCTION("""COMPUTED_VALUE"""),"Alexander Park")</f>
        <v>Alexander Park</v>
      </c>
      <c r="F290" s="61" t="str">
        <f>IFERROR(__xludf.DUMMYFUNCTION("""COMPUTED_VALUE"""),"Alex Park")</f>
        <v>Alex Park</v>
      </c>
      <c r="G290" s="61"/>
      <c r="H290" s="61" t="str">
        <f>IFERROR(__xludf.DUMMYFUNCTION("""COMPUTED_VALUE"""),"Appliance Rental Return")</f>
        <v>Appliance Rental Return</v>
      </c>
      <c r="I290" s="61" t="str">
        <f>IFERROR(__xludf.DUMMYFUNCTION("""COMPUTED_VALUE""")," Standard Mini Fridge   - ")</f>
        <v> Standard Mini Fridge   - </v>
      </c>
      <c r="J290" s="107" t="str">
        <f>IFERROR(__xludf.DUMMYFUNCTION("""COMPUTED_VALUE"""),"Shepley  ")</f>
        <v>Shepley  </v>
      </c>
      <c r="K290" s="100">
        <f>IFERROR(__xludf.DUMMYFUNCTION("""COMPUTED_VALUE"""),46149.0)</f>
        <v>46149</v>
      </c>
      <c r="L290" s="61" t="str">
        <f>IFERROR(__xludf.DUMMYFUNCTION("""COMPUTED_VALUE"""),"4031")</f>
        <v>4031</v>
      </c>
      <c r="M290" s="61" t="str">
        <f>IFERROR(__xludf.DUMMYFUNCTION("""COMPUTED_VALUE""")," ")</f>
        <v> </v>
      </c>
    </row>
    <row r="291">
      <c r="A291" s="102" t="str">
        <f>IFERROR(__xludf.DUMMYFUNCTION("""COMPUTED_VALUE"""),"https://utrucking.com/admin/orders/6451302006972")</f>
        <v>https://utrucking.com/admin/orders/6451302006972</v>
      </c>
      <c r="B291" s="65" t="str">
        <f>IFERROR(__xludf.DUMMYFUNCTION("""COMPUTED_VALUE"""),"#18115")</f>
        <v>#18115</v>
      </c>
      <c r="C291" s="65" t="str">
        <f>IFERROR(__xludf.DUMMYFUNCTION("""COMPUTED_VALUE"""),"page.s@wustl.edu")</f>
        <v>page.s@wustl.edu</v>
      </c>
      <c r="D291" s="65">
        <f>IFERROR(__xludf.DUMMYFUNCTION("""COMPUTED_VALUE"""),4.153074911E9)</f>
        <v>4153074911</v>
      </c>
      <c r="E291" s="65" t="str">
        <f>IFERROR(__xludf.DUMMYFUNCTION("""COMPUTED_VALUE"""),"Scarlett Page")</f>
        <v>Scarlett Page</v>
      </c>
      <c r="F291" s="65" t="str">
        <f>IFERROR(__xludf.DUMMYFUNCTION("""COMPUTED_VALUE"""),"Scarlett Page")</f>
        <v>Scarlett Page</v>
      </c>
      <c r="G291" s="65"/>
      <c r="H291" s="65" t="str">
        <f>IFERROR(__xludf.DUMMYFUNCTION("""COMPUTED_VALUE"""),"Appliance Rental Return")</f>
        <v>Appliance Rental Return</v>
      </c>
      <c r="I291" s="65" t="str">
        <f>IFERROR(__xludf.DUMMYFUNCTION("""COMPUTED_VALUE""")," Standard Mini Fridge + Microwave   - ")</f>
        <v> Standard Mini Fridge + Microwave   - </v>
      </c>
      <c r="J291" s="108" t="str">
        <f>IFERROR(__xludf.DUMMYFUNCTION("""COMPUTED_VALUE"""),"Lee  ")</f>
        <v>Lee  </v>
      </c>
      <c r="K291" s="103">
        <f>IFERROR(__xludf.DUMMYFUNCTION("""COMPUTED_VALUE"""),46148.0)</f>
        <v>46148</v>
      </c>
      <c r="L291" s="65" t="str">
        <f>IFERROR(__xludf.DUMMYFUNCTION("""COMPUTED_VALUE"""),"209")</f>
        <v>209</v>
      </c>
      <c r="M291" s="65" t="str">
        <f>IFERROR(__xludf.DUMMYFUNCTION("""COMPUTED_VALUE""")," ")</f>
        <v> </v>
      </c>
    </row>
    <row r="292">
      <c r="A292" s="99" t="str">
        <f>IFERROR(__xludf.DUMMYFUNCTION("""COMPUTED_VALUE"""),"https://utrucking.com/admin/orders/6451312689340")</f>
        <v>https://utrucking.com/admin/orders/6451312689340</v>
      </c>
      <c r="B292" s="61" t="str">
        <f>IFERROR(__xludf.DUMMYFUNCTION("""COMPUTED_VALUE"""),"#18117")</f>
        <v>#18117</v>
      </c>
      <c r="C292" s="61" t="str">
        <f>IFERROR(__xludf.DUMMYFUNCTION("""COMPUTED_VALUE"""),"a.samia@wustl.edu")</f>
        <v>a.samia@wustl.edu</v>
      </c>
      <c r="D292" s="61">
        <f>IFERROR(__xludf.DUMMYFUNCTION("""COMPUTED_VALUE"""),2.252277906E9)</f>
        <v>2252277906</v>
      </c>
      <c r="E292" s="61" t="str">
        <f>IFERROR(__xludf.DUMMYFUNCTION("""COMPUTED_VALUE"""),"Samia AbouAkar")</f>
        <v>Samia AbouAkar</v>
      </c>
      <c r="F292" s="61" t="str">
        <f>IFERROR(__xludf.DUMMYFUNCTION("""COMPUTED_VALUE"""),"Samia AbouAkar")</f>
        <v>Samia AbouAkar</v>
      </c>
      <c r="G292" s="61"/>
      <c r="H292" s="61" t="str">
        <f>IFERROR(__xludf.DUMMYFUNCTION("""COMPUTED_VALUE"""),"Appliance Rental Return")</f>
        <v>Appliance Rental Return</v>
      </c>
      <c r="I292" s="61" t="str">
        <f>IFERROR(__xludf.DUMMYFUNCTION("""COMPUTED_VALUE""")," Double-Door Mini Fridge + Microwave   - ")</f>
        <v> Double-Door Mini Fridge + Microwave   - </v>
      </c>
      <c r="J292" s="107" t="str">
        <f>IFERROR(__xludf.DUMMYFUNCTION("""COMPUTED_VALUE"""),"Danforth  ")</f>
        <v>Danforth  </v>
      </c>
      <c r="K292" s="100">
        <f>IFERROR(__xludf.DUMMYFUNCTION("""COMPUTED_VALUE"""),46148.0)</f>
        <v>46148</v>
      </c>
      <c r="L292" s="61" t="str">
        <f>IFERROR(__xludf.DUMMYFUNCTION("""COMPUTED_VALUE"""),"3315")</f>
        <v>3315</v>
      </c>
      <c r="M292" s="61" t="str">
        <f>IFERROR(__xludf.DUMMYFUNCTION("""COMPUTED_VALUE""")," ")</f>
        <v> </v>
      </c>
    </row>
    <row r="293">
      <c r="A293" s="102" t="str">
        <f>IFERROR(__xludf.DUMMYFUNCTION("""COMPUTED_VALUE"""),"https://utrucking.com/admin/orders/6451322552508")</f>
        <v>https://utrucking.com/admin/orders/6451322552508</v>
      </c>
      <c r="B293" s="65" t="str">
        <f>IFERROR(__xludf.DUMMYFUNCTION("""COMPUTED_VALUE"""),"#18118")</f>
        <v>#18118</v>
      </c>
      <c r="C293" s="65" t="str">
        <f>IFERROR(__xludf.DUMMYFUNCTION("""COMPUTED_VALUE"""),"chocori77@gmail.com")</f>
        <v>chocori77@gmail.com</v>
      </c>
      <c r="D293" s="65">
        <f>IFERROR(__xludf.DUMMYFUNCTION("""COMPUTED_VALUE"""),4.847522285E9)</f>
        <v>4847522285</v>
      </c>
      <c r="E293" s="65" t="str">
        <f>IFERROR(__xludf.DUMMYFUNCTION("""COMPUTED_VALUE"""),"Eunice Kim")</f>
        <v>Eunice Kim</v>
      </c>
      <c r="F293" s="65" t="str">
        <f>IFERROR(__xludf.DUMMYFUNCTION("""COMPUTED_VALUE"""),"Eunice Kim")</f>
        <v>Eunice Kim</v>
      </c>
      <c r="G293" s="65"/>
      <c r="H293" s="65" t="str">
        <f>IFERROR(__xludf.DUMMYFUNCTION("""COMPUTED_VALUE"""),"Appliance Rental Return")</f>
        <v>Appliance Rental Return</v>
      </c>
      <c r="I293" s="65" t="str">
        <f>IFERROR(__xludf.DUMMYFUNCTION("""COMPUTED_VALUE""")," Double-Door Mini Fridge + Microwave   - ")</f>
        <v> Double-Door Mini Fridge + Microwave   - </v>
      </c>
      <c r="J293" s="108" t="str">
        <f>IFERROR(__xludf.DUMMYFUNCTION("""COMPUTED_VALUE"""),"Dardick  ")</f>
        <v>Dardick  </v>
      </c>
      <c r="K293" s="103">
        <f>IFERROR(__xludf.DUMMYFUNCTION("""COMPUTED_VALUE"""),46149.0)</f>
        <v>46149</v>
      </c>
      <c r="L293" s="65" t="str">
        <f>IFERROR(__xludf.DUMMYFUNCTION("""COMPUTED_VALUE"""),"4415")</f>
        <v>4415</v>
      </c>
      <c r="M293" s="65" t="str">
        <f>IFERROR(__xludf.DUMMYFUNCTION("""COMPUTED_VALUE""")," ")</f>
        <v> </v>
      </c>
    </row>
    <row r="294">
      <c r="A294" s="99" t="str">
        <f>IFERROR(__xludf.DUMMYFUNCTION("""COMPUTED_VALUE"""),"https://utrucking.com/admin/orders/6451368427708")</f>
        <v>https://utrucking.com/admin/orders/6451368427708</v>
      </c>
      <c r="B294" s="61" t="str">
        <f>IFERROR(__xludf.DUMMYFUNCTION("""COMPUTED_VALUE"""),"#18121")</f>
        <v>#18121</v>
      </c>
      <c r="C294" s="61" t="str">
        <f>IFERROR(__xludf.DUMMYFUNCTION("""COMPUTED_VALUE"""),"calabrese.n@wustl.edu")</f>
        <v>calabrese.n@wustl.edu</v>
      </c>
      <c r="D294" s="61">
        <f>IFERROR(__xludf.DUMMYFUNCTION("""COMPUTED_VALUE"""),9.173551283E9)</f>
        <v>9173551283</v>
      </c>
      <c r="E294" s="61" t="str">
        <f>IFERROR(__xludf.DUMMYFUNCTION("""COMPUTED_VALUE"""),"Noah Calabrese")</f>
        <v>Noah Calabrese</v>
      </c>
      <c r="F294" s="61" t="str">
        <f>IFERROR(__xludf.DUMMYFUNCTION("""COMPUTED_VALUE"""),"Noah Calabrese")</f>
        <v>Noah Calabrese</v>
      </c>
      <c r="G294" s="61"/>
      <c r="H294" s="61" t="str">
        <f>IFERROR(__xludf.DUMMYFUNCTION("""COMPUTED_VALUE"""),"Appliance Rental Return")</f>
        <v>Appliance Rental Return</v>
      </c>
      <c r="I294" s="61" t="str">
        <f>IFERROR(__xludf.DUMMYFUNCTION("""COMPUTED_VALUE""")," Standard Mini Fridge   - ")</f>
        <v> Standard Mini Fridge   - </v>
      </c>
      <c r="J294" s="107" t="str">
        <f>IFERROR(__xludf.DUMMYFUNCTION("""COMPUTED_VALUE"""),"Eliot B (Sophomore Dorm)")</f>
        <v>Eliot B (Sophomore Dorm)</v>
      </c>
      <c r="K294" s="100">
        <f>IFERROR(__xludf.DUMMYFUNCTION("""COMPUTED_VALUE"""),46149.0)</f>
        <v>46149</v>
      </c>
      <c r="L294" s="61" t="str">
        <f>IFERROR(__xludf.DUMMYFUNCTION("""COMPUTED_VALUE"""),"3094")</f>
        <v>3094</v>
      </c>
      <c r="M294" s="61" t="str">
        <f>IFERROR(__xludf.DUMMYFUNCTION("""COMPUTED_VALUE""")," ")</f>
        <v> </v>
      </c>
    </row>
    <row r="295">
      <c r="A295" s="102" t="str">
        <f>IFERROR(__xludf.DUMMYFUNCTION("""COMPUTED_VALUE"""),"https://utrucking.com/admin/orders/6451447464124")</f>
        <v>https://utrucking.com/admin/orders/6451447464124</v>
      </c>
      <c r="B295" s="65" t="str">
        <f>IFERROR(__xludf.DUMMYFUNCTION("""COMPUTED_VALUE"""),"#18123")</f>
        <v>#18123</v>
      </c>
      <c r="C295" s="65" t="str">
        <f>IFERROR(__xludf.DUMMYFUNCTION("""COMPUTED_VALUE"""),"a.cobb@wustl.edu")</f>
        <v>a.cobb@wustl.edu</v>
      </c>
      <c r="D295" s="65">
        <f>IFERROR(__xludf.DUMMYFUNCTION("""COMPUTED_VALUE"""),8.478345775E9)</f>
        <v>8478345775</v>
      </c>
      <c r="E295" s="65" t="str">
        <f>IFERROR(__xludf.DUMMYFUNCTION("""COMPUTED_VALUE"""),"Asha Cobb")</f>
        <v>Asha Cobb</v>
      </c>
      <c r="F295" s="65" t="str">
        <f>IFERROR(__xludf.DUMMYFUNCTION("""COMPUTED_VALUE"""),"Asha Cobb")</f>
        <v>Asha Cobb</v>
      </c>
      <c r="G295" s="65"/>
      <c r="H295" s="65" t="str">
        <f>IFERROR(__xludf.DUMMYFUNCTION("""COMPUTED_VALUE"""),"Appliance Rental Return")</f>
        <v>Appliance Rental Return</v>
      </c>
      <c r="I295" s="65" t="str">
        <f>IFERROR(__xludf.DUMMYFUNCTION("""COMPUTED_VALUE""")," Double-Door Mini Fridge + Microwave   - ")</f>
        <v> Double-Door Mini Fridge + Microwave   - </v>
      </c>
      <c r="J295" s="108" t="str">
        <f>IFERROR(__xludf.DUMMYFUNCTION("""COMPUTED_VALUE"""),"Gregg  ")</f>
        <v>Gregg  </v>
      </c>
      <c r="K295" s="103">
        <f>IFERROR(__xludf.DUMMYFUNCTION("""COMPUTED_VALUE"""),46146.0)</f>
        <v>46146</v>
      </c>
      <c r="L295" s="65" t="str">
        <f>IFERROR(__xludf.DUMMYFUNCTION("""COMPUTED_VALUE"""),"3060")</f>
        <v>3060</v>
      </c>
      <c r="M295" s="65" t="str">
        <f>IFERROR(__xludf.DUMMYFUNCTION("""COMPUTED_VALUE""")," ")</f>
        <v> </v>
      </c>
    </row>
    <row r="296">
      <c r="A296" s="99" t="str">
        <f>IFERROR(__xludf.DUMMYFUNCTION("""COMPUTED_VALUE"""),"https://utrucking.com/admin/orders/6451480068284")</f>
        <v>https://utrucking.com/admin/orders/6451480068284</v>
      </c>
      <c r="B296" s="61" t="str">
        <f>IFERROR(__xludf.DUMMYFUNCTION("""COMPUTED_VALUE"""),"#18125")</f>
        <v>#18125</v>
      </c>
      <c r="C296" s="61" t="str">
        <f>IFERROR(__xludf.DUMMYFUNCTION("""COMPUTED_VALUE"""),"anniec@wustl.edu")</f>
        <v>anniec@wustl.edu</v>
      </c>
      <c r="D296" s="61">
        <f>IFERROR(__xludf.DUMMYFUNCTION("""COMPUTED_VALUE"""),8.432300249E9)</f>
        <v>8432300249</v>
      </c>
      <c r="E296" s="61" t="str">
        <f>IFERROR(__xludf.DUMMYFUNCTION("""COMPUTED_VALUE"""),"Annie Chen")</f>
        <v>Annie Chen</v>
      </c>
      <c r="F296" s="61" t="str">
        <f>IFERROR(__xludf.DUMMYFUNCTION("""COMPUTED_VALUE"""),"Annie Chen")</f>
        <v>Annie Chen</v>
      </c>
      <c r="G296" s="61"/>
      <c r="H296" s="61" t="str">
        <f>IFERROR(__xludf.DUMMYFUNCTION("""COMPUTED_VALUE"""),"Appliance Rental Return")</f>
        <v>Appliance Rental Return</v>
      </c>
      <c r="I296" s="61" t="str">
        <f>IFERROR(__xludf.DUMMYFUNCTION("""COMPUTED_VALUE""")," Double-Door Mini Fridge   - ")</f>
        <v> Double-Door Mini Fridge   - </v>
      </c>
      <c r="J296" s="107" t="str">
        <f>IFERROR(__xludf.DUMMYFUNCTION("""COMPUTED_VALUE"""),"Umrath  ")</f>
        <v>Umrath  </v>
      </c>
      <c r="K296" s="100">
        <f>IFERROR(__xludf.DUMMYFUNCTION("""COMPUTED_VALUE"""),46148.0)</f>
        <v>46148</v>
      </c>
      <c r="L296" s="61" t="str">
        <f>IFERROR(__xludf.DUMMYFUNCTION("""COMPUTED_VALUE"""),"3319")</f>
        <v>3319</v>
      </c>
      <c r="M296" s="61" t="str">
        <f>IFERROR(__xludf.DUMMYFUNCTION("""COMPUTED_VALUE""")," ")</f>
        <v> </v>
      </c>
    </row>
    <row r="297">
      <c r="A297" s="102" t="str">
        <f>IFERROR(__xludf.DUMMYFUNCTION("""COMPUTED_VALUE"""),"https://utrucking.com/admin/orders/6451712295100")</f>
        <v>https://utrucking.com/admin/orders/6451712295100</v>
      </c>
      <c r="B297" s="65" t="str">
        <f>IFERROR(__xludf.DUMMYFUNCTION("""COMPUTED_VALUE"""),"#18126")</f>
        <v>#18126</v>
      </c>
      <c r="C297" s="65" t="str">
        <f>IFERROR(__xludf.DUMMYFUNCTION("""COMPUTED_VALUE"""),"jensilbert1@gmail.com")</f>
        <v>jensilbert1@gmail.com</v>
      </c>
      <c r="D297" s="65">
        <f>IFERROR(__xludf.DUMMYFUNCTION("""COMPUTED_VALUE"""),9.178415578E9)</f>
        <v>9178415578</v>
      </c>
      <c r="E297" s="65" t="str">
        <f>IFERROR(__xludf.DUMMYFUNCTION("""COMPUTED_VALUE"""),"Jennifer Silbert")</f>
        <v>Jennifer Silbert</v>
      </c>
      <c r="F297" s="65" t="str">
        <f>IFERROR(__xludf.DUMMYFUNCTION("""COMPUTED_VALUE"""),"Sabrina Silbert")</f>
        <v>Sabrina Silbert</v>
      </c>
      <c r="G297" s="65"/>
      <c r="H297" s="65" t="str">
        <f>IFERROR(__xludf.DUMMYFUNCTION("""COMPUTED_VALUE"""),"Appliance Rental Return")</f>
        <v>Appliance Rental Return</v>
      </c>
      <c r="I297" s="65" t="str">
        <f>IFERROR(__xludf.DUMMYFUNCTION("""COMPUTED_VALUE""")," Double-Door Mini Fridge + Microwave   - ")</f>
        <v> Double-Door Mini Fridge + Microwave   - </v>
      </c>
      <c r="J297" s="108" t="str">
        <f>IFERROR(__xludf.DUMMYFUNCTION("""COMPUTED_VALUE"""),"Lopata  ")</f>
        <v>Lopata  </v>
      </c>
      <c r="K297" s="103">
        <f>IFERROR(__xludf.DUMMYFUNCTION("""COMPUTED_VALUE"""),46148.0)</f>
        <v>46148</v>
      </c>
      <c r="L297" s="65" t="str">
        <f>IFERROR(__xludf.DUMMYFUNCTION("""COMPUTED_VALUE"""),"3052-a")</f>
        <v>3052-a</v>
      </c>
      <c r="M297" s="65" t="str">
        <f>IFERROR(__xludf.DUMMYFUNCTION("""COMPUTED_VALUE""")," ")</f>
        <v> </v>
      </c>
    </row>
    <row r="298">
      <c r="A298" s="99" t="str">
        <f>IFERROR(__xludf.DUMMYFUNCTION("""COMPUTED_VALUE"""),"https://utrucking.com/admin/orders/6451933413564")</f>
        <v>https://utrucking.com/admin/orders/6451933413564</v>
      </c>
      <c r="B298" s="61" t="str">
        <f>IFERROR(__xludf.DUMMYFUNCTION("""COMPUTED_VALUE"""),"#18127")</f>
        <v>#18127</v>
      </c>
      <c r="C298" s="61" t="str">
        <f>IFERROR(__xludf.DUMMYFUNCTION("""COMPUTED_VALUE"""),"g.shayden@wustl.edu")</f>
        <v>g.shayden@wustl.edu</v>
      </c>
      <c r="D298" s="61">
        <f>IFERROR(__xludf.DUMMYFUNCTION("""COMPUTED_VALUE"""),5.204819535E9)</f>
        <v>5204819535</v>
      </c>
      <c r="E298" s="61" t="str">
        <f>IFERROR(__xludf.DUMMYFUNCTION("""COMPUTED_VALUE"""),"Shayden Garber")</f>
        <v>Shayden Garber</v>
      </c>
      <c r="F298" s="61" t="str">
        <f>IFERROR(__xludf.DUMMYFUNCTION("""COMPUTED_VALUE"""),"Shayden R Garber")</f>
        <v>Shayden R Garber</v>
      </c>
      <c r="G298" s="61"/>
      <c r="H298" s="61" t="str">
        <f>IFERROR(__xludf.DUMMYFUNCTION("""COMPUTED_VALUE"""),"Appliance Rental Return")</f>
        <v>Appliance Rental Return</v>
      </c>
      <c r="I298" s="61" t="str">
        <f>IFERROR(__xludf.DUMMYFUNCTION("""COMPUTED_VALUE""")," Double-Door Mini Fridge + Microwave   - ")</f>
        <v> Double-Door Mini Fridge + Microwave   - </v>
      </c>
      <c r="J298" s="107" t="str">
        <f>IFERROR(__xludf.DUMMYFUNCTION("""COMPUTED_VALUE"""),"Dauten  ")</f>
        <v>Dauten  </v>
      </c>
      <c r="K298" s="100">
        <f>IFERROR(__xludf.DUMMYFUNCTION("""COMPUTED_VALUE"""),46148.0)</f>
        <v>46148</v>
      </c>
      <c r="L298" s="61" t="str">
        <f>IFERROR(__xludf.DUMMYFUNCTION("""COMPUTED_VALUE"""),"420")</f>
        <v>420</v>
      </c>
      <c r="M298" s="61" t="str">
        <f>IFERROR(__xludf.DUMMYFUNCTION("""COMPUTED_VALUE""")," ")</f>
        <v> </v>
      </c>
    </row>
    <row r="299">
      <c r="A299" s="102" t="str">
        <f>IFERROR(__xludf.DUMMYFUNCTION("""COMPUTED_VALUE"""),"https://utrucking.com/admin/orders/6452062585020")</f>
        <v>https://utrucking.com/admin/orders/6452062585020</v>
      </c>
      <c r="B299" s="65" t="str">
        <f>IFERROR(__xludf.DUMMYFUNCTION("""COMPUTED_VALUE"""),"#18129")</f>
        <v>#18129</v>
      </c>
      <c r="C299" s="65" t="str">
        <f>IFERROR(__xludf.DUMMYFUNCTION("""COMPUTED_VALUE"""),"dyson.i@wustl.edu")</f>
        <v>dyson.i@wustl.edu</v>
      </c>
      <c r="D299" s="65">
        <f>IFERROR(__xludf.DUMMYFUNCTION("""COMPUTED_VALUE"""),3.14651794E9)</f>
        <v>3146517940</v>
      </c>
      <c r="E299" s="65" t="str">
        <f>IFERROR(__xludf.DUMMYFUNCTION("""COMPUTED_VALUE"""),"Isabella Dyson")</f>
        <v>Isabella Dyson</v>
      </c>
      <c r="F299" s="65" t="str">
        <f>IFERROR(__xludf.DUMMYFUNCTION("""COMPUTED_VALUE"""),"Isabella Dyson")</f>
        <v>Isabella Dyson</v>
      </c>
      <c r="G299" s="65"/>
      <c r="H299" s="65" t="str">
        <f>IFERROR(__xludf.DUMMYFUNCTION("""COMPUTED_VALUE"""),"Appliance Rental Return")</f>
        <v>Appliance Rental Return</v>
      </c>
      <c r="I299" s="65" t="str">
        <f>IFERROR(__xludf.DUMMYFUNCTION("""COMPUTED_VALUE""")," Double-Door Mini Fridge   - ")</f>
        <v> Double-Door Mini Fridge   - </v>
      </c>
      <c r="J299" s="108" t="str">
        <f>IFERROR(__xludf.DUMMYFUNCTION("""COMPUTED_VALUE"""),"Beaumont  ")</f>
        <v>Beaumont  </v>
      </c>
      <c r="K299" s="103">
        <f>IFERROR(__xludf.DUMMYFUNCTION("""COMPUTED_VALUE"""),46149.0)</f>
        <v>46149</v>
      </c>
      <c r="L299" s="65" t="str">
        <f>IFERROR(__xludf.DUMMYFUNCTION("""COMPUTED_VALUE"""),"212")</f>
        <v>212</v>
      </c>
      <c r="M299" s="65" t="str">
        <f>IFERROR(__xludf.DUMMYFUNCTION("""COMPUTED_VALUE""")," ")</f>
        <v> </v>
      </c>
    </row>
    <row r="300">
      <c r="A300" s="99" t="str">
        <f>IFERROR(__xludf.DUMMYFUNCTION("""COMPUTED_VALUE"""),"https://utrucking.com/admin/orders/6452241399996")</f>
        <v>https://utrucking.com/admin/orders/6452241399996</v>
      </c>
      <c r="B300" s="61" t="str">
        <f>IFERROR(__xludf.DUMMYFUNCTION("""COMPUTED_VALUE"""),"#18132")</f>
        <v>#18132</v>
      </c>
      <c r="C300" s="61" t="str">
        <f>IFERROR(__xludf.DUMMYFUNCTION("""COMPUTED_VALUE"""),"diegoo@wustl.edu")</f>
        <v>diegoo@wustl.edu</v>
      </c>
      <c r="D300" s="61">
        <f>IFERROR(__xludf.DUMMYFUNCTION("""COMPUTED_VALUE"""),7.873109856E9)</f>
        <v>7873109856</v>
      </c>
      <c r="E300" s="61" t="str">
        <f>IFERROR(__xludf.DUMMYFUNCTION("""COMPUTED_VALUE"""),"Diego A Ortiz Golderos")</f>
        <v>Diego A Ortiz Golderos</v>
      </c>
      <c r="F300" s="61" t="str">
        <f>IFERROR(__xludf.DUMMYFUNCTION("""COMPUTED_VALUE"""),"Diego A Ortiz Golderos")</f>
        <v>Diego A Ortiz Golderos</v>
      </c>
      <c r="G300" s="61"/>
      <c r="H300" s="61" t="str">
        <f>IFERROR(__xludf.DUMMYFUNCTION("""COMPUTED_VALUE"""),"Appliance Rental Return")</f>
        <v>Appliance Rental Return</v>
      </c>
      <c r="I300" s="61" t="str">
        <f>IFERROR(__xludf.DUMMYFUNCTION("""COMPUTED_VALUE""")," Double-Door Mini Fridge + Microwave   - ")</f>
        <v> Double-Door Mini Fridge + Microwave   - </v>
      </c>
      <c r="J300" s="107" t="str">
        <f>IFERROR(__xludf.DUMMYFUNCTION("""COMPUTED_VALUE"""),"Rutledge  ")</f>
        <v>Rutledge  </v>
      </c>
      <c r="K300" s="100">
        <f>IFERROR(__xludf.DUMMYFUNCTION("""COMPUTED_VALUE"""),46147.0)</f>
        <v>46147</v>
      </c>
      <c r="L300" s="61" t="str">
        <f>IFERROR(__xludf.DUMMYFUNCTION("""COMPUTED_VALUE"""),"244")</f>
        <v>244</v>
      </c>
      <c r="M300" s="61" t="str">
        <f>IFERROR(__xludf.DUMMYFUNCTION("""COMPUTED_VALUE""")," ")</f>
        <v> </v>
      </c>
    </row>
    <row r="301">
      <c r="A301" s="102" t="str">
        <f>IFERROR(__xludf.DUMMYFUNCTION("""COMPUTED_VALUE"""),"https://utrucking.com/admin/orders/6452440236220")</f>
        <v>https://utrucking.com/admin/orders/6452440236220</v>
      </c>
      <c r="B301" s="65" t="str">
        <f>IFERROR(__xludf.DUMMYFUNCTION("""COMPUTED_VALUE"""),"#18137")</f>
        <v>#18137</v>
      </c>
      <c r="C301" s="65" t="str">
        <f>IFERROR(__xludf.DUMMYFUNCTION("""COMPUTED_VALUE"""),"andycovello9@gmail.com")</f>
        <v>andycovello9@gmail.com</v>
      </c>
      <c r="D301" s="65">
        <f>IFERROR(__xludf.DUMMYFUNCTION("""COMPUTED_VALUE"""),9.734407049E9)</f>
        <v>9734407049</v>
      </c>
      <c r="E301" s="65" t="str">
        <f>IFERROR(__xludf.DUMMYFUNCTION("""COMPUTED_VALUE"""),"Andy Covello")</f>
        <v>Andy Covello</v>
      </c>
      <c r="F301" s="65" t="str">
        <f>IFERROR(__xludf.DUMMYFUNCTION("""COMPUTED_VALUE"""),"Andy Covello")</f>
        <v>Andy Covello</v>
      </c>
      <c r="G301" s="65"/>
      <c r="H301" s="65" t="str">
        <f>IFERROR(__xludf.DUMMYFUNCTION("""COMPUTED_VALUE"""),"Appliance Rental Return")</f>
        <v>Appliance Rental Return</v>
      </c>
      <c r="I301" s="65" t="str">
        <f>IFERROR(__xludf.DUMMYFUNCTION("""COMPUTED_VALUE""")," Double-Door Mini Fridge + Microwave   - ")</f>
        <v> Double-Door Mini Fridge + Microwave   - </v>
      </c>
      <c r="J301" s="108" t="str">
        <f>IFERROR(__xludf.DUMMYFUNCTION("""COMPUTED_VALUE"""),"Eliot A (Thomas Eliot)")</f>
        <v>Eliot A (Thomas Eliot)</v>
      </c>
      <c r="K301" s="103">
        <f>IFERROR(__xludf.DUMMYFUNCTION("""COMPUTED_VALUE"""),46147.0)</f>
        <v>46147</v>
      </c>
      <c r="L301" s="65" t="str">
        <f>IFERROR(__xludf.DUMMYFUNCTION("""COMPUTED_VALUE"""),"3101")</f>
        <v>3101</v>
      </c>
      <c r="M301" s="65" t="str">
        <f>IFERROR(__xludf.DUMMYFUNCTION("""COMPUTED_VALUE""")," ")</f>
        <v> </v>
      </c>
    </row>
    <row r="302">
      <c r="A302" s="99" t="str">
        <f>IFERROR(__xludf.DUMMYFUNCTION("""COMPUTED_VALUE"""),"https://utrucking.com/admin/orders/6452443742396")</f>
        <v>https://utrucking.com/admin/orders/6452443742396</v>
      </c>
      <c r="B302" s="61" t="str">
        <f>IFERROR(__xludf.DUMMYFUNCTION("""COMPUTED_VALUE"""),"#18138")</f>
        <v>#18138</v>
      </c>
      <c r="C302" s="61" t="str">
        <f>IFERROR(__xludf.DUMMYFUNCTION("""COMPUTED_VALUE"""),"e.leckerman@wustl.edu")</f>
        <v>e.leckerman@wustl.edu</v>
      </c>
      <c r="D302" s="61">
        <f>IFERROR(__xludf.DUMMYFUNCTION("""COMPUTED_VALUE"""),2.673097223E9)</f>
        <v>2673097223</v>
      </c>
      <c r="E302" s="61" t="str">
        <f>IFERROR(__xludf.DUMMYFUNCTION("""COMPUTED_VALUE"""),"Elijah Leckerman")</f>
        <v>Elijah Leckerman</v>
      </c>
      <c r="F302" s="61" t="str">
        <f>IFERROR(__xludf.DUMMYFUNCTION("""COMPUTED_VALUE"""),"Elijah Leckerman")</f>
        <v>Elijah Leckerman</v>
      </c>
      <c r="G302" s="61"/>
      <c r="H302" s="61" t="str">
        <f>IFERROR(__xludf.DUMMYFUNCTION("""COMPUTED_VALUE"""),"Appliance Rental Return")</f>
        <v>Appliance Rental Return</v>
      </c>
      <c r="I302" s="61" t="str">
        <f>IFERROR(__xludf.DUMMYFUNCTION("""COMPUTED_VALUE""")," Double-Door Mini Fridge + Microwave   - ")</f>
        <v> Double-Door Mini Fridge + Microwave   - </v>
      </c>
      <c r="J302" s="107" t="str">
        <f>IFERROR(__xludf.DUMMYFUNCTION("""COMPUTED_VALUE"""),"Gregg  ")</f>
        <v>Gregg  </v>
      </c>
      <c r="K302" s="100">
        <f>IFERROR(__xludf.DUMMYFUNCTION("""COMPUTED_VALUE"""),46149.0)</f>
        <v>46149</v>
      </c>
      <c r="L302" s="61" t="str">
        <f>IFERROR(__xludf.DUMMYFUNCTION("""COMPUTED_VALUE"""),"2174")</f>
        <v>2174</v>
      </c>
      <c r="M302" s="61" t="str">
        <f>IFERROR(__xludf.DUMMYFUNCTION("""COMPUTED_VALUE""")," ")</f>
        <v> </v>
      </c>
    </row>
    <row r="303">
      <c r="A303" s="102" t="str">
        <f>IFERROR(__xludf.DUMMYFUNCTION("""COMPUTED_VALUE"""),"https://utrucking.com/admin/orders/6452492304572")</f>
        <v>https://utrucking.com/admin/orders/6452492304572</v>
      </c>
      <c r="B303" s="65" t="str">
        <f>IFERROR(__xludf.DUMMYFUNCTION("""COMPUTED_VALUE"""),"#18139")</f>
        <v>#18139</v>
      </c>
      <c r="C303" s="65" t="str">
        <f>IFERROR(__xludf.DUMMYFUNCTION("""COMPUTED_VALUE"""),"bethany_klynn@yahoo.com")</f>
        <v>bethany_klynn@yahoo.com</v>
      </c>
      <c r="D303" s="65">
        <f>IFERROR(__xludf.DUMMYFUNCTION("""COMPUTED_VALUE"""),6.145075668E9)</f>
        <v>6145075668</v>
      </c>
      <c r="E303" s="65" t="str">
        <f>IFERROR(__xludf.DUMMYFUNCTION("""COMPUTED_VALUE"""),"Bethany Klynn")</f>
        <v>Bethany Klynn</v>
      </c>
      <c r="F303" s="65" t="str">
        <f>IFERROR(__xludf.DUMMYFUNCTION("""COMPUTED_VALUE"""),"Isaac Payne")</f>
        <v>Isaac Payne</v>
      </c>
      <c r="G303" s="65"/>
      <c r="H303" s="65" t="str">
        <f>IFERROR(__xludf.DUMMYFUNCTION("""COMPUTED_VALUE"""),"Appliance Rental Return")</f>
        <v>Appliance Rental Return</v>
      </c>
      <c r="I303" s="65" t="str">
        <f>IFERROR(__xludf.DUMMYFUNCTION("""COMPUTED_VALUE""")," Double-Door Mini Fridge + Microwave   - ")</f>
        <v> Double-Door Mini Fridge + Microwave   - </v>
      </c>
      <c r="J303" s="108" t="str">
        <f>IFERROR(__xludf.DUMMYFUNCTION("""COMPUTED_VALUE"""),"Park  ")</f>
        <v>Park  </v>
      </c>
      <c r="K303" s="103">
        <f>IFERROR(__xludf.DUMMYFUNCTION("""COMPUTED_VALUE"""),46148.0)</f>
        <v>46148</v>
      </c>
      <c r="L303" s="65" t="str">
        <f>IFERROR(__xludf.DUMMYFUNCTION("""COMPUTED_VALUE"""),"231")</f>
        <v>231</v>
      </c>
      <c r="M303" s="65" t="str">
        <f>IFERROR(__xludf.DUMMYFUNCTION("""COMPUTED_VALUE""")," ")</f>
        <v> </v>
      </c>
    </row>
    <row r="304">
      <c r="A304" s="99" t="str">
        <f>IFERROR(__xludf.DUMMYFUNCTION("""COMPUTED_VALUE"""),"https://utrucking.com/admin/orders/6452506951868")</f>
        <v>https://utrucking.com/admin/orders/6452506951868</v>
      </c>
      <c r="B304" s="61" t="str">
        <f>IFERROR(__xludf.DUMMYFUNCTION("""COMPUTED_VALUE"""),"#18141")</f>
        <v>#18141</v>
      </c>
      <c r="C304" s="61" t="str">
        <f>IFERROR(__xludf.DUMMYFUNCTION("""COMPUTED_VALUE"""),"haleysh10@gmail.com")</f>
        <v>haleysh10@gmail.com</v>
      </c>
      <c r="D304" s="61">
        <f>IFERROR(__xludf.DUMMYFUNCTION("""COMPUTED_VALUE"""),6.176595918E9)</f>
        <v>6176595918</v>
      </c>
      <c r="E304" s="61" t="str">
        <f>IFERROR(__xludf.DUMMYFUNCTION("""COMPUTED_VALUE"""),"Barbara Hirsch")</f>
        <v>Barbara Hirsch</v>
      </c>
      <c r="F304" s="61" t="str">
        <f>IFERROR(__xludf.DUMMYFUNCTION("""COMPUTED_VALUE"""),"Haley Hirsch")</f>
        <v>Haley Hirsch</v>
      </c>
      <c r="G304" s="61"/>
      <c r="H304" s="61" t="str">
        <f>IFERROR(__xludf.DUMMYFUNCTION("""COMPUTED_VALUE"""),"Appliance Rental Return")</f>
        <v>Appliance Rental Return</v>
      </c>
      <c r="I304" s="61" t="str">
        <f>IFERROR(__xludf.DUMMYFUNCTION("""COMPUTED_VALUE""")," Double-Door Mini Fridge + Microwave   - ")</f>
        <v> Double-Door Mini Fridge + Microwave   - </v>
      </c>
      <c r="J304" s="107" t="str">
        <f>IFERROR(__xludf.DUMMYFUNCTION("""COMPUTED_VALUE"""),"Dardick  ")</f>
        <v>Dardick  </v>
      </c>
      <c r="K304" s="100">
        <f>IFERROR(__xludf.DUMMYFUNCTION("""COMPUTED_VALUE"""),46146.0)</f>
        <v>46146</v>
      </c>
      <c r="L304" s="61" t="str">
        <f>IFERROR(__xludf.DUMMYFUNCTION("""COMPUTED_VALUE"""),"2207")</f>
        <v>2207</v>
      </c>
      <c r="M304" s="61" t="str">
        <f>IFERROR(__xludf.DUMMYFUNCTION("""COMPUTED_VALUE""")," ")</f>
        <v> </v>
      </c>
    </row>
    <row r="305">
      <c r="A305" s="102" t="str">
        <f>IFERROR(__xludf.DUMMYFUNCTION("""COMPUTED_VALUE"""),"https://utrucking.com/admin/orders/6452561576124")</f>
        <v>https://utrucking.com/admin/orders/6452561576124</v>
      </c>
      <c r="B305" s="65" t="str">
        <f>IFERROR(__xludf.DUMMYFUNCTION("""COMPUTED_VALUE"""),"#18143")</f>
        <v>#18143</v>
      </c>
      <c r="C305" s="65" t="str">
        <f>IFERROR(__xludf.DUMMYFUNCTION("""COMPUTED_VALUE"""),"l.phillips-breton@wustl.edu")</f>
        <v>l.phillips-breton@wustl.edu</v>
      </c>
      <c r="D305" s="65">
        <f>IFERROR(__xludf.DUMMYFUNCTION("""COMPUTED_VALUE"""),3.14435656E9)</f>
        <v>3144356560</v>
      </c>
      <c r="E305" s="65" t="str">
        <f>IFERROR(__xludf.DUMMYFUNCTION("""COMPUTED_VALUE"""),"Megan Phillips")</f>
        <v>Megan Phillips</v>
      </c>
      <c r="F305" s="65" t="str">
        <f>IFERROR(__xludf.DUMMYFUNCTION("""COMPUTED_VALUE"""),"Leo Breton")</f>
        <v>Leo Breton</v>
      </c>
      <c r="G305" s="65"/>
      <c r="H305" s="65" t="str">
        <f>IFERROR(__xludf.DUMMYFUNCTION("""COMPUTED_VALUE"""),"Appliance Rental Return")</f>
        <v>Appliance Rental Return</v>
      </c>
      <c r="I305" s="65" t="str">
        <f>IFERROR(__xludf.DUMMYFUNCTION("""COMPUTED_VALUE""")," Standard Mini Fridge + Microwave   - ")</f>
        <v> Standard Mini Fridge + Microwave   - </v>
      </c>
      <c r="J305" s="108" t="str">
        <f>IFERROR(__xludf.DUMMYFUNCTION("""COMPUTED_VALUE"""),"House 11 (Sigma Phi Epsilon)  ")</f>
        <v>House 11 (Sigma Phi Epsilon)  </v>
      </c>
      <c r="K305" s="103">
        <f>IFERROR(__xludf.DUMMYFUNCTION("""COMPUTED_VALUE"""),46149.0)</f>
        <v>46149</v>
      </c>
      <c r="L305" s="65" t="str">
        <f>IFERROR(__xludf.DUMMYFUNCTION("""COMPUTED_VALUE"""),"3011")</f>
        <v>3011</v>
      </c>
      <c r="M305" s="65" t="str">
        <f>IFERROR(__xludf.DUMMYFUNCTION("""COMPUTED_VALUE""")," ")</f>
        <v> </v>
      </c>
    </row>
    <row r="306">
      <c r="A306" s="99" t="str">
        <f>IFERROR(__xludf.DUMMYFUNCTION("""COMPUTED_VALUE"""),"https://utrucking.com/admin/orders/6452562591932")</f>
        <v>https://utrucking.com/admin/orders/6452562591932</v>
      </c>
      <c r="B306" s="61" t="str">
        <f>IFERROR(__xludf.DUMMYFUNCTION("""COMPUTED_VALUE"""),"#18144")</f>
        <v>#18144</v>
      </c>
      <c r="C306" s="61" t="str">
        <f>IFERROR(__xludf.DUMMYFUNCTION("""COMPUTED_VALUE"""),"willakmarks@gmail.com")</f>
        <v>willakmarks@gmail.com</v>
      </c>
      <c r="D306" s="61">
        <f>IFERROR(__xludf.DUMMYFUNCTION("""COMPUTED_VALUE"""),2.026778826E9)</f>
        <v>2026778826</v>
      </c>
      <c r="E306" s="61" t="str">
        <f>IFERROR(__xludf.DUMMYFUNCTION("""COMPUTED_VALUE"""),"Laura Marks")</f>
        <v>Laura Marks</v>
      </c>
      <c r="F306" s="61" t="str">
        <f>IFERROR(__xludf.DUMMYFUNCTION("""COMPUTED_VALUE"""),"Willa Marks")</f>
        <v>Willa Marks</v>
      </c>
      <c r="G306" s="61"/>
      <c r="H306" s="61" t="str">
        <f>IFERROR(__xludf.DUMMYFUNCTION("""COMPUTED_VALUE"""),"Appliance Rental Return")</f>
        <v>Appliance Rental Return</v>
      </c>
      <c r="I306" s="61" t="str">
        <f>IFERROR(__xludf.DUMMYFUNCTION("""COMPUTED_VALUE""")," Double-Door Mini Fridge + Microwave   - ")</f>
        <v> Double-Door Mini Fridge + Microwave   - </v>
      </c>
      <c r="J306" s="107" t="str">
        <f>IFERROR(__xludf.DUMMYFUNCTION("""COMPUTED_VALUE"""),"Lien  ")</f>
        <v>Lien  </v>
      </c>
      <c r="K306" s="100">
        <f>IFERROR(__xludf.DUMMYFUNCTION("""COMPUTED_VALUE"""),46146.0)</f>
        <v>46146</v>
      </c>
      <c r="L306" s="61" t="str">
        <f>IFERROR(__xludf.DUMMYFUNCTION("""COMPUTED_VALUE"""),"2212")</f>
        <v>2212</v>
      </c>
      <c r="M306" s="61" t="str">
        <f>IFERROR(__xludf.DUMMYFUNCTION("""COMPUTED_VALUE""")," ")</f>
        <v> </v>
      </c>
    </row>
    <row r="307">
      <c r="A307" s="102" t="str">
        <f>IFERROR(__xludf.DUMMYFUNCTION("""COMPUTED_VALUE"""),"https://utrucking.com/admin/orders/6452630519996")</f>
        <v>https://utrucking.com/admin/orders/6452630519996</v>
      </c>
      <c r="B307" s="65" t="str">
        <f>IFERROR(__xludf.DUMMYFUNCTION("""COMPUTED_VALUE"""),"#18148")</f>
        <v>#18148</v>
      </c>
      <c r="C307" s="65" t="str">
        <f>IFERROR(__xludf.DUMMYFUNCTION("""COMPUTED_VALUE"""),"deladden@icloud.com")</f>
        <v>deladden@icloud.com</v>
      </c>
      <c r="D307" s="65">
        <f>IFERROR(__xludf.DUMMYFUNCTION("""COMPUTED_VALUE"""),9.172732413E9)</f>
        <v>9172732413</v>
      </c>
      <c r="E307" s="65" t="str">
        <f>IFERROR(__xludf.DUMMYFUNCTION("""COMPUTED_VALUE"""),"Dana Ladden")</f>
        <v>Dana Ladden</v>
      </c>
      <c r="F307" s="65" t="str">
        <f>IFERROR(__xludf.DUMMYFUNCTION("""COMPUTED_VALUE"""),"Matthew Ladden")</f>
        <v>Matthew Ladden</v>
      </c>
      <c r="G307" s="65"/>
      <c r="H307" s="65" t="str">
        <f>IFERROR(__xludf.DUMMYFUNCTION("""COMPUTED_VALUE"""),"Appliance Rental Return")</f>
        <v>Appliance Rental Return</v>
      </c>
      <c r="I307" s="65" t="str">
        <f>IFERROR(__xludf.DUMMYFUNCTION("""COMPUTED_VALUE""")," Double-Door Mini Fridge   - ")</f>
        <v> Double-Door Mini Fridge   - </v>
      </c>
      <c r="J307" s="108" t="str">
        <f>IFERROR(__xludf.DUMMYFUNCTION("""COMPUTED_VALUE"""),"Eliot A (Thomas Eliot)")</f>
        <v>Eliot A (Thomas Eliot)</v>
      </c>
      <c r="K307" s="103">
        <f>IFERROR(__xludf.DUMMYFUNCTION("""COMPUTED_VALUE"""),46147.0)</f>
        <v>46147</v>
      </c>
      <c r="L307" s="65" t="str">
        <f>IFERROR(__xludf.DUMMYFUNCTION("""COMPUTED_VALUE"""),"1033")</f>
        <v>1033</v>
      </c>
      <c r="M307" s="65" t="str">
        <f>IFERROR(__xludf.DUMMYFUNCTION("""COMPUTED_VALUE""")," ")</f>
        <v> </v>
      </c>
    </row>
    <row r="308">
      <c r="A308" s="99" t="str">
        <f>IFERROR(__xludf.DUMMYFUNCTION("""COMPUTED_VALUE"""),"https://utrucking.com/admin/orders/6452692091068")</f>
        <v>https://utrucking.com/admin/orders/6452692091068</v>
      </c>
      <c r="B308" s="61" t="str">
        <f>IFERROR(__xludf.DUMMYFUNCTION("""COMPUTED_VALUE"""),"#18151")</f>
        <v>#18151</v>
      </c>
      <c r="C308" s="61" t="str">
        <f>IFERROR(__xludf.DUMMYFUNCTION("""COMPUTED_VALUE"""),"n.siri@wustl.edu")</f>
        <v>n.siri@wustl.edu</v>
      </c>
      <c r="D308" s="61">
        <f>IFERROR(__xludf.DUMMYFUNCTION("""COMPUTED_VALUE"""),6.306403336E9)</f>
        <v>6306403336</v>
      </c>
      <c r="E308" s="61" t="str">
        <f>IFERROR(__xludf.DUMMYFUNCTION("""COMPUTED_VALUE"""),"Siri Nayakanti")</f>
        <v>Siri Nayakanti</v>
      </c>
      <c r="F308" s="61" t="str">
        <f>IFERROR(__xludf.DUMMYFUNCTION("""COMPUTED_VALUE"""),"Siri Nayakanti")</f>
        <v>Siri Nayakanti</v>
      </c>
      <c r="G308" s="61"/>
      <c r="H308" s="61" t="str">
        <f>IFERROR(__xludf.DUMMYFUNCTION("""COMPUTED_VALUE"""),"Appliance Rental Return")</f>
        <v>Appliance Rental Return</v>
      </c>
      <c r="I308" s="61" t="str">
        <f>IFERROR(__xludf.DUMMYFUNCTION("""COMPUTED_VALUE""")," Double-Door Mini Fridge   - ")</f>
        <v> Double-Door Mini Fridge   - </v>
      </c>
      <c r="J308" s="107" t="str">
        <f>IFERROR(__xludf.DUMMYFUNCTION("""COMPUTED_VALUE"""),"Village House  ")</f>
        <v>Village House  </v>
      </c>
      <c r="K308" s="100">
        <f>IFERROR(__xludf.DUMMYFUNCTION("""COMPUTED_VALUE"""),46150.0)</f>
        <v>46150</v>
      </c>
      <c r="L308" s="61" t="str">
        <f>IFERROR(__xludf.DUMMYFUNCTION("""COMPUTED_VALUE"""),"3133")</f>
        <v>3133</v>
      </c>
      <c r="M308" s="61" t="str">
        <f>IFERROR(__xludf.DUMMYFUNCTION("""COMPUTED_VALUE""")," ")</f>
        <v> </v>
      </c>
    </row>
    <row r="309">
      <c r="A309" s="102" t="str">
        <f>IFERROR(__xludf.DUMMYFUNCTION("""COMPUTED_VALUE"""),"https://utrucking.com/admin/orders/6452712997052")</f>
        <v>https://utrucking.com/admin/orders/6452712997052</v>
      </c>
      <c r="B309" s="65" t="str">
        <f>IFERROR(__xludf.DUMMYFUNCTION("""COMPUTED_VALUE"""),"#18152")</f>
        <v>#18152</v>
      </c>
      <c r="C309" s="65" t="str">
        <f>IFERROR(__xludf.DUMMYFUNCTION("""COMPUTED_VALUE"""),"elanamiriam@gmail.com")</f>
        <v>elanamiriam@gmail.com</v>
      </c>
      <c r="D309" s="65">
        <f>IFERROR(__xludf.DUMMYFUNCTION("""COMPUTED_VALUE"""),2.165541964E9)</f>
        <v>2165541964</v>
      </c>
      <c r="E309" s="65" t="str">
        <f>IFERROR(__xludf.DUMMYFUNCTION("""COMPUTED_VALUE"""),"Elana Ben-Tor")</f>
        <v>Elana Ben-Tor</v>
      </c>
      <c r="F309" s="65" t="str">
        <f>IFERROR(__xludf.DUMMYFUNCTION("""COMPUTED_VALUE"""),"Devora Ben-Tor")</f>
        <v>Devora Ben-Tor</v>
      </c>
      <c r="G309" s="65"/>
      <c r="H309" s="65" t="str">
        <f>IFERROR(__xludf.DUMMYFUNCTION("""COMPUTED_VALUE"""),"Appliance Rental Return")</f>
        <v>Appliance Rental Return</v>
      </c>
      <c r="I309" s="65" t="str">
        <f>IFERROR(__xludf.DUMMYFUNCTION("""COMPUTED_VALUE""")," Standard Mini Fridge   - ")</f>
        <v> Standard Mini Fridge   - </v>
      </c>
      <c r="J309" s="108" t="str">
        <f>IFERROR(__xludf.DUMMYFUNCTION("""COMPUTED_VALUE"""),"Lien  ")</f>
        <v>Lien  </v>
      </c>
      <c r="K309" s="103">
        <f>IFERROR(__xludf.DUMMYFUNCTION("""COMPUTED_VALUE"""),46149.0)</f>
        <v>46149</v>
      </c>
      <c r="L309" s="65" t="str">
        <f>IFERROR(__xludf.DUMMYFUNCTION("""COMPUTED_VALUE"""),"2225")</f>
        <v>2225</v>
      </c>
      <c r="M309" s="65" t="str">
        <f>IFERROR(__xludf.DUMMYFUNCTION("""COMPUTED_VALUE""")," ")</f>
        <v> </v>
      </c>
    </row>
    <row r="310">
      <c r="A310" s="99" t="str">
        <f>IFERROR(__xludf.DUMMYFUNCTION("""COMPUTED_VALUE"""),"https://utrucking.com/admin/orders/6452723777724")</f>
        <v>https://utrucking.com/admin/orders/6452723777724</v>
      </c>
      <c r="B310" s="61" t="str">
        <f>IFERROR(__xludf.DUMMYFUNCTION("""COMPUTED_VALUE"""),"#18153")</f>
        <v>#18153</v>
      </c>
      <c r="C310" s="61" t="str">
        <f>IFERROR(__xludf.DUMMYFUNCTION("""COMPUTED_VALUE"""),"feliciaskwirblies@gmail.com")</f>
        <v>feliciaskwirblies@gmail.com</v>
      </c>
      <c r="D310" s="61">
        <f>IFERROR(__xludf.DUMMYFUNCTION("""COMPUTED_VALUE"""),6.309651871E9)</f>
        <v>6309651871</v>
      </c>
      <c r="E310" s="61" t="str">
        <f>IFERROR(__xludf.DUMMYFUNCTION("""COMPUTED_VALUE"""),"Felicia Skwirblies")</f>
        <v>Felicia Skwirblies</v>
      </c>
      <c r="F310" s="61" t="str">
        <f>IFERROR(__xludf.DUMMYFUNCTION("""COMPUTED_VALUE"""),"Felicia Skwirblies")</f>
        <v>Felicia Skwirblies</v>
      </c>
      <c r="G310" s="61"/>
      <c r="H310" s="61" t="str">
        <f>IFERROR(__xludf.DUMMYFUNCTION("""COMPUTED_VALUE"""),"Appliance Rental Return")</f>
        <v>Appliance Rental Return</v>
      </c>
      <c r="I310" s="61" t="str">
        <f>IFERROR(__xludf.DUMMYFUNCTION("""COMPUTED_VALUE""")," Double-Door Mini Fridge   - ")</f>
        <v> Double-Door Mini Fridge   - </v>
      </c>
      <c r="J310" s="107" t="str">
        <f>IFERROR(__xludf.DUMMYFUNCTION("""COMPUTED_VALUE"""),"Village House  ")</f>
        <v>Village House  </v>
      </c>
      <c r="K310" s="100">
        <f>IFERROR(__xludf.DUMMYFUNCTION("""COMPUTED_VALUE"""),46150.0)</f>
        <v>46150</v>
      </c>
      <c r="L310" s="61" t="str">
        <f>IFERROR(__xludf.DUMMYFUNCTION("""COMPUTED_VALUE"""),"3134")</f>
        <v>3134</v>
      </c>
      <c r="M310" s="61" t="str">
        <f>IFERROR(__xludf.DUMMYFUNCTION("""COMPUTED_VALUE""")," ")</f>
        <v> </v>
      </c>
    </row>
    <row r="311">
      <c r="A311" s="102" t="str">
        <f>IFERROR(__xludf.DUMMYFUNCTION("""COMPUTED_VALUE"""),"https://utrucking.com/admin/orders/6453001519292")</f>
        <v>https://utrucking.com/admin/orders/6453001519292</v>
      </c>
      <c r="B311" s="65" t="str">
        <f>IFERROR(__xludf.DUMMYFUNCTION("""COMPUTED_VALUE"""),"#18161")</f>
        <v>#18161</v>
      </c>
      <c r="C311" s="65" t="str">
        <f>IFERROR(__xludf.DUMMYFUNCTION("""COMPUTED_VALUE"""),"abalding@gmail.com")</f>
        <v>abalding@gmail.com</v>
      </c>
      <c r="D311" s="65">
        <f>IFERROR(__xludf.DUMMYFUNCTION("""COMPUTED_VALUE"""),6.183834825E9)</f>
        <v>6183834825</v>
      </c>
      <c r="E311" s="65" t="str">
        <f>IFERROR(__xludf.DUMMYFUNCTION("""COMPUTED_VALUE"""),"Amy Balding")</f>
        <v>Amy Balding</v>
      </c>
      <c r="F311" s="65" t="str">
        <f>IFERROR(__xludf.DUMMYFUNCTION("""COMPUTED_VALUE"""),"Sadie Balding")</f>
        <v>Sadie Balding</v>
      </c>
      <c r="G311" s="65"/>
      <c r="H311" s="65" t="str">
        <f>IFERROR(__xludf.DUMMYFUNCTION("""COMPUTED_VALUE"""),"Appliance Rental Return")</f>
        <v>Appliance Rental Return</v>
      </c>
      <c r="I311" s="65" t="str">
        <f>IFERROR(__xludf.DUMMYFUNCTION("""COMPUTED_VALUE""")," Double-Door Mini Fridge   - ")</f>
        <v> Double-Door Mini Fridge   - </v>
      </c>
      <c r="J311" s="108" t="str">
        <f>IFERROR(__xludf.DUMMYFUNCTION("""COMPUTED_VALUE"""),"Lee  ")</f>
        <v>Lee  </v>
      </c>
      <c r="K311" s="103">
        <f>IFERROR(__xludf.DUMMYFUNCTION("""COMPUTED_VALUE"""),46148.0)</f>
        <v>46148</v>
      </c>
      <c r="L311" s="65" t="str">
        <f>IFERROR(__xludf.DUMMYFUNCTION("""COMPUTED_VALUE"""),"216-B")</f>
        <v>216-B</v>
      </c>
      <c r="M311" s="65" t="str">
        <f>IFERROR(__xludf.DUMMYFUNCTION("""COMPUTED_VALUE""")," ")</f>
        <v> </v>
      </c>
    </row>
    <row r="312">
      <c r="A312" s="99" t="str">
        <f>IFERROR(__xludf.DUMMYFUNCTION("""COMPUTED_VALUE"""),"https://utrucking.com/admin/orders/6453015937212")</f>
        <v>https://utrucking.com/admin/orders/6453015937212</v>
      </c>
      <c r="B312" s="61" t="str">
        <f>IFERROR(__xludf.DUMMYFUNCTION("""COMPUTED_VALUE"""),"#18162")</f>
        <v>#18162</v>
      </c>
      <c r="C312" s="61" t="str">
        <f>IFERROR(__xludf.DUMMYFUNCTION("""COMPUTED_VALUE"""),"npoon@wustl.edu")</f>
        <v>npoon@wustl.edu</v>
      </c>
      <c r="D312" s="61">
        <f>IFERROR(__xludf.DUMMYFUNCTION("""COMPUTED_VALUE"""),4.08359787E9)</f>
        <v>4083597870</v>
      </c>
      <c r="E312" s="61" t="str">
        <f>IFERROR(__xludf.DUMMYFUNCTION("""COMPUTED_VALUE"""),"Natalie Poon")</f>
        <v>Natalie Poon</v>
      </c>
      <c r="F312" s="61" t="str">
        <f>IFERROR(__xludf.DUMMYFUNCTION("""COMPUTED_VALUE"""),"Natalie Poon")</f>
        <v>Natalie Poon</v>
      </c>
      <c r="G312" s="61"/>
      <c r="H312" s="61" t="str">
        <f>IFERROR(__xludf.DUMMYFUNCTION("""COMPUTED_VALUE"""),"Appliance Rental Return")</f>
        <v>Appliance Rental Return</v>
      </c>
      <c r="I312" s="61" t="str">
        <f>IFERROR(__xludf.DUMMYFUNCTION("""COMPUTED_VALUE""")," Double-Door Mini Fridge   - ")</f>
        <v> Double-Door Mini Fridge   - </v>
      </c>
      <c r="J312" s="107" t="str">
        <f>IFERROR(__xludf.DUMMYFUNCTION("""COMPUTED_VALUE"""),"Park  ")</f>
        <v>Park  </v>
      </c>
      <c r="K312" s="100">
        <f>IFERROR(__xludf.DUMMYFUNCTION("""COMPUTED_VALUE"""),46149.0)</f>
        <v>46149</v>
      </c>
      <c r="L312" s="61" t="str">
        <f>IFERROR(__xludf.DUMMYFUNCTION("""COMPUTED_VALUE"""),"342")</f>
        <v>342</v>
      </c>
      <c r="M312" s="61" t="str">
        <f>IFERROR(__xludf.DUMMYFUNCTION("""COMPUTED_VALUE""")," ")</f>
        <v> </v>
      </c>
    </row>
    <row r="313">
      <c r="A313" s="102" t="str">
        <f>IFERROR(__xludf.DUMMYFUNCTION("""COMPUTED_VALUE"""),"https://utrucking.com/admin/orders/6453032321212")</f>
        <v>https://utrucking.com/admin/orders/6453032321212</v>
      </c>
      <c r="B313" s="65" t="str">
        <f>IFERROR(__xludf.DUMMYFUNCTION("""COMPUTED_VALUE"""),"#18163")</f>
        <v>#18163</v>
      </c>
      <c r="C313" s="65" t="str">
        <f>IFERROR(__xludf.DUMMYFUNCTION("""COMPUTED_VALUE"""),"marci_sherman@hotmail.com")</f>
        <v>marci_sherman@hotmail.com</v>
      </c>
      <c r="D313" s="65">
        <f>IFERROR(__xludf.DUMMYFUNCTION("""COMPUTED_VALUE"""),9.254087907E9)</f>
        <v>9254087907</v>
      </c>
      <c r="E313" s="65" t="str">
        <f>IFERROR(__xludf.DUMMYFUNCTION("""COMPUTED_VALUE"""),"Marci Rosenblatt")</f>
        <v>Marci Rosenblatt</v>
      </c>
      <c r="F313" s="65" t="str">
        <f>IFERROR(__xludf.DUMMYFUNCTION("""COMPUTED_VALUE"""),"Justin Rosenblatt ")</f>
        <v>Justin Rosenblatt </v>
      </c>
      <c r="G313" s="65"/>
      <c r="H313" s="65" t="str">
        <f>IFERROR(__xludf.DUMMYFUNCTION("""COMPUTED_VALUE"""),"Appliance Rental Return")</f>
        <v>Appliance Rental Return</v>
      </c>
      <c r="I313" s="65" t="str">
        <f>IFERROR(__xludf.DUMMYFUNCTION("""COMPUTED_VALUE""")," Double-Door Mini Fridge + Microwave   - ")</f>
        <v> Double-Door Mini Fridge + Microwave   - </v>
      </c>
      <c r="J313" s="108" t="str">
        <f>IFERROR(__xludf.DUMMYFUNCTION("""COMPUTED_VALUE"""),"Park  ")</f>
        <v>Park  </v>
      </c>
      <c r="K313" s="103">
        <f>IFERROR(__xludf.DUMMYFUNCTION("""COMPUTED_VALUE"""),46146.0)</f>
        <v>46146</v>
      </c>
      <c r="L313" s="65" t="str">
        <f>IFERROR(__xludf.DUMMYFUNCTION("""COMPUTED_VALUE"""),"441")</f>
        <v>441</v>
      </c>
      <c r="M313" s="65" t="str">
        <f>IFERROR(__xludf.DUMMYFUNCTION("""COMPUTED_VALUE""")," ")</f>
        <v> </v>
      </c>
    </row>
    <row r="314">
      <c r="A314" s="99" t="str">
        <f>IFERROR(__xludf.DUMMYFUNCTION("""COMPUTED_VALUE"""),"https://utrucking.com/admin/orders/6453058994364")</f>
        <v>https://utrucking.com/admin/orders/6453058994364</v>
      </c>
      <c r="B314" s="61" t="str">
        <f>IFERROR(__xludf.DUMMYFUNCTION("""COMPUTED_VALUE"""),"#18164")</f>
        <v>#18164</v>
      </c>
      <c r="C314" s="61" t="str">
        <f>IFERROR(__xludf.DUMMYFUNCTION("""COMPUTED_VALUE"""),"e.e.garciabonilla@wustl.edu")</f>
        <v>e.e.garciabonilla@wustl.edu</v>
      </c>
      <c r="D314" s="61">
        <f>IFERROR(__xludf.DUMMYFUNCTION("""COMPUTED_VALUE"""),8.166945523E9)</f>
        <v>8166945523</v>
      </c>
      <c r="E314" s="61" t="str">
        <f>IFERROR(__xludf.DUMMYFUNCTION("""COMPUTED_VALUE"""),"Emyli Garcia Bonilla")</f>
        <v>Emyli Garcia Bonilla</v>
      </c>
      <c r="F314" s="61" t="str">
        <f>IFERROR(__xludf.DUMMYFUNCTION("""COMPUTED_VALUE"""),"Emyli Garcia Bonilla")</f>
        <v>Emyli Garcia Bonilla</v>
      </c>
      <c r="G314" s="61"/>
      <c r="H314" s="61" t="str">
        <f>IFERROR(__xludf.DUMMYFUNCTION("""COMPUTED_VALUE"""),"Appliance Rental Return")</f>
        <v>Appliance Rental Return</v>
      </c>
      <c r="I314" s="61" t="str">
        <f>IFERROR(__xludf.DUMMYFUNCTION("""COMPUTED_VALUE""")," Standard Mini Fridge   - ")</f>
        <v> Standard Mini Fridge   - </v>
      </c>
      <c r="J314" s="107" t="str">
        <f>IFERROR(__xludf.DUMMYFUNCTION("""COMPUTED_VALUE"""),"Lee  ")</f>
        <v>Lee  </v>
      </c>
      <c r="K314" s="100">
        <f>IFERROR(__xludf.DUMMYFUNCTION("""COMPUTED_VALUE"""),46148.0)</f>
        <v>46148</v>
      </c>
      <c r="L314" s="61" t="str">
        <f>IFERROR(__xludf.DUMMYFUNCTION("""COMPUTED_VALUE"""),"215")</f>
        <v>215</v>
      </c>
      <c r="M314" s="61" t="str">
        <f>IFERROR(__xludf.DUMMYFUNCTION("""COMPUTED_VALUE""")," ")</f>
        <v> </v>
      </c>
    </row>
    <row r="315">
      <c r="A315" s="102" t="str">
        <f>IFERROR(__xludf.DUMMYFUNCTION("""COMPUTED_VALUE"""),"https://utrucking.com/admin/orders/6453493104828")</f>
        <v>https://utrucking.com/admin/orders/6453493104828</v>
      </c>
      <c r="B315" s="65" t="str">
        <f>IFERROR(__xludf.DUMMYFUNCTION("""COMPUTED_VALUE"""),"#18167")</f>
        <v>#18167</v>
      </c>
      <c r="C315" s="65" t="str">
        <f>IFERROR(__xludf.DUMMYFUNCTION("""COMPUTED_VALUE"""),"samgoldstein20@gmail.com")</f>
        <v>samgoldstein20@gmail.com</v>
      </c>
      <c r="D315" s="65">
        <f>IFERROR(__xludf.DUMMYFUNCTION("""COMPUTED_VALUE"""),2.025792931E9)</f>
        <v>2025792931</v>
      </c>
      <c r="E315" s="65" t="str">
        <f>IFERROR(__xludf.DUMMYFUNCTION("""COMPUTED_VALUE"""),"Sam Goldstein")</f>
        <v>Sam Goldstein</v>
      </c>
      <c r="F315" s="65" t="str">
        <f>IFERROR(__xludf.DUMMYFUNCTION("""COMPUTED_VALUE"""),"Sam Goldstein")</f>
        <v>Sam Goldstein</v>
      </c>
      <c r="G315" s="65"/>
      <c r="H315" s="65" t="str">
        <f>IFERROR(__xludf.DUMMYFUNCTION("""COMPUTED_VALUE"""),"Appliance Rental Return")</f>
        <v>Appliance Rental Return</v>
      </c>
      <c r="I315" s="65" t="str">
        <f>IFERROR(__xludf.DUMMYFUNCTION("""COMPUTED_VALUE""")," Double-Door Mini Fridge + Microwave   - ")</f>
        <v> Double-Door Mini Fridge + Microwave   - </v>
      </c>
      <c r="J315" s="108" t="str">
        <f>IFERROR(__xludf.DUMMYFUNCTION("""COMPUTED_VALUE"""),"Shanedling  ")</f>
        <v>Shanedling  </v>
      </c>
      <c r="K315" s="103">
        <f>IFERROR(__xludf.DUMMYFUNCTION("""COMPUTED_VALUE"""),46149.0)</f>
        <v>46149</v>
      </c>
      <c r="L315" s="65" t="str">
        <f>IFERROR(__xludf.DUMMYFUNCTION("""COMPUTED_VALUE"""),"122")</f>
        <v>122</v>
      </c>
      <c r="M315" s="65" t="str">
        <f>IFERROR(__xludf.DUMMYFUNCTION("""COMPUTED_VALUE""")," ")</f>
        <v> </v>
      </c>
    </row>
    <row r="316">
      <c r="A316" s="99" t="str">
        <f>IFERROR(__xludf.DUMMYFUNCTION("""COMPUTED_VALUE"""),"https://utrucking.com/admin/orders/6453786804412")</f>
        <v>https://utrucking.com/admin/orders/6453786804412</v>
      </c>
      <c r="B316" s="61" t="str">
        <f>IFERROR(__xludf.DUMMYFUNCTION("""COMPUTED_VALUE"""),"#18174")</f>
        <v>#18174</v>
      </c>
      <c r="C316" s="61" t="str">
        <f>IFERROR(__xludf.DUMMYFUNCTION("""COMPUTED_VALUE"""),"skasirerteitelbaum@gmail.com")</f>
        <v>skasirerteitelbaum@gmail.com</v>
      </c>
      <c r="D316" s="61">
        <f>IFERROR(__xludf.DUMMYFUNCTION("""COMPUTED_VALUE"""),9.178484128E9)</f>
        <v>9178484128</v>
      </c>
      <c r="E316" s="61" t="str">
        <f>IFERROR(__xludf.DUMMYFUNCTION("""COMPUTED_VALUE"""),"Suri Kasirer")</f>
        <v>Suri Kasirer</v>
      </c>
      <c r="F316" s="61" t="str">
        <f>IFERROR(__xludf.DUMMYFUNCTION("""COMPUTED_VALUE"""),"Sophia Kasirer Teitelbaum")</f>
        <v>Sophia Kasirer Teitelbaum</v>
      </c>
      <c r="G316" s="61"/>
      <c r="H316" s="61" t="str">
        <f>IFERROR(__xludf.DUMMYFUNCTION("""COMPUTED_VALUE"""),"Appliance Rental Return")</f>
        <v>Appliance Rental Return</v>
      </c>
      <c r="I316" s="61" t="str">
        <f>IFERROR(__xludf.DUMMYFUNCTION("""COMPUTED_VALUE""")," Double-Door Mini Fridge + Microwave   - ")</f>
        <v> Double-Door Mini Fridge + Microwave   - </v>
      </c>
      <c r="J316" s="107" t="str">
        <f>IFERROR(__xludf.DUMMYFUNCTION("""COMPUTED_VALUE"""),"Lee  ")</f>
        <v>Lee  </v>
      </c>
      <c r="K316" s="100">
        <f>IFERROR(__xludf.DUMMYFUNCTION("""COMPUTED_VALUE"""),46149.0)</f>
        <v>46149</v>
      </c>
      <c r="L316" s="61" t="str">
        <f>IFERROR(__xludf.DUMMYFUNCTION("""COMPUTED_VALUE"""),"212")</f>
        <v>212</v>
      </c>
      <c r="M316" s="61" t="str">
        <f>IFERROR(__xludf.DUMMYFUNCTION("""COMPUTED_VALUE""")," ")</f>
        <v> </v>
      </c>
    </row>
    <row r="317">
      <c r="A317" s="102" t="str">
        <f>IFERROR(__xludf.DUMMYFUNCTION("""COMPUTED_VALUE"""),"https://utrucking.com/admin/orders/6454044459196")</f>
        <v>https://utrucking.com/admin/orders/6454044459196</v>
      </c>
      <c r="B317" s="65" t="str">
        <f>IFERROR(__xludf.DUMMYFUNCTION("""COMPUTED_VALUE"""),"#18179")</f>
        <v>#18179</v>
      </c>
      <c r="C317" s="65" t="str">
        <f>IFERROR(__xludf.DUMMYFUNCTION("""COMPUTED_VALUE"""),"joshpoeschel@gmail.com")</f>
        <v>joshpoeschel@gmail.com</v>
      </c>
      <c r="D317" s="65">
        <f>IFERROR(__xludf.DUMMYFUNCTION("""COMPUTED_VALUE"""),6.30796126E9)</f>
        <v>6307961260</v>
      </c>
      <c r="E317" s="65" t="str">
        <f>IFERROR(__xludf.DUMMYFUNCTION("""COMPUTED_VALUE"""),"Joshua Poeschel")</f>
        <v>Joshua Poeschel</v>
      </c>
      <c r="F317" s="65" t="str">
        <f>IFERROR(__xludf.DUMMYFUNCTION("""COMPUTED_VALUE"""),"Joshua Poeschel")</f>
        <v>Joshua Poeschel</v>
      </c>
      <c r="G317" s="65"/>
      <c r="H317" s="65" t="str">
        <f>IFERROR(__xludf.DUMMYFUNCTION("""COMPUTED_VALUE"""),"Appliance Rental Return")</f>
        <v>Appliance Rental Return</v>
      </c>
      <c r="I317" s="65" t="str">
        <f>IFERROR(__xludf.DUMMYFUNCTION("""COMPUTED_VALUE""")," Double-Door Mini Fridge + Microwave   - ")</f>
        <v> Double-Door Mini Fridge + Microwave   - </v>
      </c>
      <c r="J317" s="108" t="str">
        <f>IFERROR(__xludf.DUMMYFUNCTION("""COMPUTED_VALUE"""),"Liggett  ")</f>
        <v>Liggett  </v>
      </c>
      <c r="K317" s="103">
        <f>IFERROR(__xludf.DUMMYFUNCTION("""COMPUTED_VALUE"""),46146.0)</f>
        <v>46146</v>
      </c>
      <c r="L317" s="65" t="str">
        <f>IFERROR(__xludf.DUMMYFUNCTION("""COMPUTED_VALUE"""),"2290")</f>
        <v>2290</v>
      </c>
      <c r="M317" s="65" t="str">
        <f>IFERROR(__xludf.DUMMYFUNCTION("""COMPUTED_VALUE""")," ")</f>
        <v> </v>
      </c>
    </row>
    <row r="318">
      <c r="A318" s="99" t="str">
        <f>IFERROR(__xludf.DUMMYFUNCTION("""COMPUTED_VALUE"""),"https://utrucking.com/admin/orders/6454127820988")</f>
        <v>https://utrucking.com/admin/orders/6454127820988</v>
      </c>
      <c r="B318" s="61" t="str">
        <f>IFERROR(__xludf.DUMMYFUNCTION("""COMPUTED_VALUE"""),"#18182")</f>
        <v>#18182</v>
      </c>
      <c r="C318" s="61" t="str">
        <f>IFERROR(__xludf.DUMMYFUNCTION("""COMPUTED_VALUE"""),"coyier@wustl.edu")</f>
        <v>coyier@wustl.edu</v>
      </c>
      <c r="D318" s="61">
        <f>IFERROR(__xludf.DUMMYFUNCTION("""COMPUTED_VALUE"""),5.157231852E9)</f>
        <v>5157231852</v>
      </c>
      <c r="E318" s="61" t="str">
        <f>IFERROR(__xludf.DUMMYFUNCTION("""COMPUTED_VALUE"""),"Ellis Coyier")</f>
        <v>Ellis Coyier</v>
      </c>
      <c r="F318" s="61" t="str">
        <f>IFERROR(__xludf.DUMMYFUNCTION("""COMPUTED_VALUE"""),"Ellis Coyier")</f>
        <v>Ellis Coyier</v>
      </c>
      <c r="G318" s="61"/>
      <c r="H318" s="61" t="str">
        <f>IFERROR(__xludf.DUMMYFUNCTION("""COMPUTED_VALUE"""),"Appliance Rental Return")</f>
        <v>Appliance Rental Return</v>
      </c>
      <c r="I318" s="61" t="str">
        <f>IFERROR(__xludf.DUMMYFUNCTION("""COMPUTED_VALUE""")," Double-Door Mini Fridge + Microwave   - ")</f>
        <v> Double-Door Mini Fridge + Microwave   - </v>
      </c>
      <c r="J318" s="107" t="str">
        <f>IFERROR(__xludf.DUMMYFUNCTION("""COMPUTED_VALUE"""),"Hurd  ")</f>
        <v>Hurd  </v>
      </c>
      <c r="K318" s="100">
        <f>IFERROR(__xludf.DUMMYFUNCTION("""COMPUTED_VALUE"""),46147.0)</f>
        <v>46147</v>
      </c>
      <c r="L318" s="61" t="str">
        <f>IFERROR(__xludf.DUMMYFUNCTION("""COMPUTED_VALUE"""),"414")</f>
        <v>414</v>
      </c>
      <c r="M318" s="61" t="str">
        <f>IFERROR(__xludf.DUMMYFUNCTION("""COMPUTED_VALUE""")," ")</f>
        <v> </v>
      </c>
    </row>
    <row r="319">
      <c r="A319" s="102" t="str">
        <f>IFERROR(__xludf.DUMMYFUNCTION("""COMPUTED_VALUE"""),"https://utrucking.com/admin/orders/6454367355068")</f>
        <v>https://utrucking.com/admin/orders/6454367355068</v>
      </c>
      <c r="B319" s="65" t="str">
        <f>IFERROR(__xludf.DUMMYFUNCTION("""COMPUTED_VALUE"""),"#18187")</f>
        <v>#18187</v>
      </c>
      <c r="C319" s="65" t="str">
        <f>IFERROR(__xludf.DUMMYFUNCTION("""COMPUTED_VALUE"""),"ndecherney@gmail.com")</f>
        <v>ndecherney@gmail.com</v>
      </c>
      <c r="D319" s="65">
        <f>IFERROR(__xludf.DUMMYFUNCTION("""COMPUTED_VALUE"""),1.6504749188E10)</f>
        <v>16504749188</v>
      </c>
      <c r="E319" s="65" t="str">
        <f>IFERROR(__xludf.DUMMYFUNCTION("""COMPUTED_VALUE"""),"Natalie DeCherney")</f>
        <v>Natalie DeCherney</v>
      </c>
      <c r="F319" s="65" t="str">
        <f>IFERROR(__xludf.DUMMYFUNCTION("""COMPUTED_VALUE"""),"Natalie DeCherney")</f>
        <v>Natalie DeCherney</v>
      </c>
      <c r="G319" s="65"/>
      <c r="H319" s="65" t="str">
        <f>IFERROR(__xludf.DUMMYFUNCTION("""COMPUTED_VALUE"""),"Appliance Rental Return")</f>
        <v>Appliance Rental Return</v>
      </c>
      <c r="I319" s="65" t="str">
        <f>IFERROR(__xludf.DUMMYFUNCTION("""COMPUTED_VALUE""")," Double-Door Mini Fridge + Microwave   - ")</f>
        <v> Double-Door Mini Fridge + Microwave   - </v>
      </c>
      <c r="J319" s="108" t="str">
        <f>IFERROR(__xludf.DUMMYFUNCTION("""COMPUTED_VALUE"""),"Umrath  ")</f>
        <v>Umrath  </v>
      </c>
      <c r="K319" s="103">
        <f>IFERROR(__xludf.DUMMYFUNCTION("""COMPUTED_VALUE"""),46149.0)</f>
        <v>46149</v>
      </c>
      <c r="L319" s="65" t="str">
        <f>IFERROR(__xludf.DUMMYFUNCTION("""COMPUTED_VALUE"""),"1239")</f>
        <v>1239</v>
      </c>
      <c r="M319" s="65" t="str">
        <f>IFERROR(__xludf.DUMMYFUNCTION("""COMPUTED_VALUE""")," ")</f>
        <v> </v>
      </c>
    </row>
    <row r="320">
      <c r="A320" s="99" t="str">
        <f>IFERROR(__xludf.DUMMYFUNCTION("""COMPUTED_VALUE"""),"https://utrucking.com/admin/orders/6454379249852")</f>
        <v>https://utrucking.com/admin/orders/6454379249852</v>
      </c>
      <c r="B320" s="61" t="str">
        <f>IFERROR(__xludf.DUMMYFUNCTION("""COMPUTED_VALUE"""),"#18188")</f>
        <v>#18188</v>
      </c>
      <c r="C320" s="61" t="str">
        <f>IFERROR(__xludf.DUMMYFUNCTION("""COMPUTED_VALUE"""),"c.maurer@wustl.edu")</f>
        <v>c.maurer@wustl.edu</v>
      </c>
      <c r="D320" s="61">
        <f>IFERROR(__xludf.DUMMYFUNCTION("""COMPUTED_VALUE"""),6.269935538E9)</f>
        <v>6269935538</v>
      </c>
      <c r="E320" s="61" t="str">
        <f>IFERROR(__xludf.DUMMYFUNCTION("""COMPUTED_VALUE"""),"Clare Maurer")</f>
        <v>Clare Maurer</v>
      </c>
      <c r="F320" s="61" t="str">
        <f>IFERROR(__xludf.DUMMYFUNCTION("""COMPUTED_VALUE"""),"Clare Maurer")</f>
        <v>Clare Maurer</v>
      </c>
      <c r="G320" s="61"/>
      <c r="H320" s="61" t="str">
        <f>IFERROR(__xludf.DUMMYFUNCTION("""COMPUTED_VALUE"""),"Appliance Rental Return")</f>
        <v>Appliance Rental Return</v>
      </c>
      <c r="I320" s="61" t="str">
        <f>IFERROR(__xludf.DUMMYFUNCTION("""COMPUTED_VALUE""")," Double-Door Mini Fridge + Microwave   - ")</f>
        <v> Double-Door Mini Fridge + Microwave   - </v>
      </c>
      <c r="J320" s="107" t="str">
        <f>IFERROR(__xludf.DUMMYFUNCTION("""COMPUTED_VALUE"""),"Danforth  ")</f>
        <v>Danforth  </v>
      </c>
      <c r="K320" s="100">
        <f>IFERROR(__xludf.DUMMYFUNCTION("""COMPUTED_VALUE"""),46149.0)</f>
        <v>46149</v>
      </c>
      <c r="L320" s="61" t="str">
        <f>IFERROR(__xludf.DUMMYFUNCTION("""COMPUTED_VALUE"""),"3331")</f>
        <v>3331</v>
      </c>
      <c r="M320" s="61" t="str">
        <f>IFERROR(__xludf.DUMMYFUNCTION("""COMPUTED_VALUE""")," ")</f>
        <v> </v>
      </c>
    </row>
    <row r="321">
      <c r="A321" s="102" t="str">
        <f>IFERROR(__xludf.DUMMYFUNCTION("""COMPUTED_VALUE"""),"https://utrucking.com/admin/orders/6454380888252")</f>
        <v>https://utrucking.com/admin/orders/6454380888252</v>
      </c>
      <c r="B321" s="65" t="str">
        <f>IFERROR(__xludf.DUMMYFUNCTION("""COMPUTED_VALUE"""),"#18189")</f>
        <v>#18189</v>
      </c>
      <c r="C321" s="65" t="str">
        <f>IFERROR(__xludf.DUMMYFUNCTION("""COMPUTED_VALUE"""),"jordanalikhan78@gmail.com")</f>
        <v>jordanalikhan78@gmail.com</v>
      </c>
      <c r="D321" s="65">
        <f>IFERROR(__xludf.DUMMYFUNCTION("""COMPUTED_VALUE"""),6.472840842E9)</f>
        <v>6472840842</v>
      </c>
      <c r="E321" s="65" t="str">
        <f>IFERROR(__xludf.DUMMYFUNCTION("""COMPUTED_VALUE"""),"Jordan Ali Khan")</f>
        <v>Jordan Ali Khan</v>
      </c>
      <c r="F321" s="65" t="str">
        <f>IFERROR(__xludf.DUMMYFUNCTION("""COMPUTED_VALUE"""),"Jordan Ali Khan")</f>
        <v>Jordan Ali Khan</v>
      </c>
      <c r="G321" s="65"/>
      <c r="H321" s="65" t="str">
        <f>IFERROR(__xludf.DUMMYFUNCTION("""COMPUTED_VALUE"""),"Appliance Rental Return")</f>
        <v>Appliance Rental Return</v>
      </c>
      <c r="I321" s="65" t="str">
        <f>IFERROR(__xludf.DUMMYFUNCTION("""COMPUTED_VALUE""")," Double-Door Mini Fridge   - ")</f>
        <v> Double-Door Mini Fridge   - </v>
      </c>
      <c r="J321" s="108" t="str">
        <f>IFERROR(__xludf.DUMMYFUNCTION("""COMPUTED_VALUE"""),"House 21 (Alpha Epsilon Pi)  ")</f>
        <v>House 21 (Alpha Epsilon Pi)  </v>
      </c>
      <c r="K321" s="103">
        <f>IFERROR(__xludf.DUMMYFUNCTION("""COMPUTED_VALUE"""),46146.0)</f>
        <v>46146</v>
      </c>
      <c r="L321" s="65" t="str">
        <f>IFERROR(__xludf.DUMMYFUNCTION("""COMPUTED_VALUE"""),"2071")</f>
        <v>2071</v>
      </c>
      <c r="M321" s="65" t="str">
        <f>IFERROR(__xludf.DUMMYFUNCTION("""COMPUTED_VALUE""")," ")</f>
        <v> </v>
      </c>
    </row>
    <row r="322">
      <c r="A322" s="99" t="str">
        <f>IFERROR(__xludf.DUMMYFUNCTION("""COMPUTED_VALUE"""),"https://utrucking.com/admin/orders/6454382788796")</f>
        <v>https://utrucking.com/admin/orders/6454382788796</v>
      </c>
      <c r="B322" s="61" t="str">
        <f>IFERROR(__xludf.DUMMYFUNCTION("""COMPUTED_VALUE"""),"#18190")</f>
        <v>#18190</v>
      </c>
      <c r="C322" s="61" t="str">
        <f>IFERROR(__xludf.DUMMYFUNCTION("""COMPUTED_VALUE"""),"jamesopollack@gmail.com")</f>
        <v>jamesopollack@gmail.com</v>
      </c>
      <c r="D322" s="61">
        <f>IFERROR(__xludf.DUMMYFUNCTION("""COMPUTED_VALUE"""),9.175752417E9)</f>
        <v>9175752417</v>
      </c>
      <c r="E322" s="61" t="str">
        <f>IFERROR(__xludf.DUMMYFUNCTION("""COMPUTED_VALUE"""),"James Pollack")</f>
        <v>James Pollack</v>
      </c>
      <c r="F322" s="61" t="str">
        <f>IFERROR(__xludf.DUMMYFUNCTION("""COMPUTED_VALUE"""),"James Pollack")</f>
        <v>James Pollack</v>
      </c>
      <c r="G322" s="61"/>
      <c r="H322" s="61" t="str">
        <f>IFERROR(__xludf.DUMMYFUNCTION("""COMPUTED_VALUE"""),"Appliance Rental Return")</f>
        <v>Appliance Rental Return</v>
      </c>
      <c r="I322" s="61" t="str">
        <f>IFERROR(__xludf.DUMMYFUNCTION("""COMPUTED_VALUE""")," Double-Door Mini Fridge + Microwave   - ")</f>
        <v> Double-Door Mini Fridge + Microwave   - </v>
      </c>
      <c r="J322" s="107" t="str">
        <f>IFERROR(__xludf.DUMMYFUNCTION("""COMPUTED_VALUE"""),"Wheeler  ")</f>
        <v>Wheeler  </v>
      </c>
      <c r="K322" s="100">
        <f>IFERROR(__xludf.DUMMYFUNCTION("""COMPUTED_VALUE"""),46146.0)</f>
        <v>46146</v>
      </c>
      <c r="L322" s="61" t="str">
        <f>IFERROR(__xludf.DUMMYFUNCTION("""COMPUTED_VALUE"""),"3104")</f>
        <v>3104</v>
      </c>
      <c r="M322" s="61" t="str">
        <f>IFERROR(__xludf.DUMMYFUNCTION("""COMPUTED_VALUE""")," ")</f>
        <v> </v>
      </c>
    </row>
    <row r="323">
      <c r="A323" s="102" t="str">
        <f>IFERROR(__xludf.DUMMYFUNCTION("""COMPUTED_VALUE"""),"https://utrucking.com/admin/orders/6454407725244")</f>
        <v>https://utrucking.com/admin/orders/6454407725244</v>
      </c>
      <c r="B323" s="65" t="str">
        <f>IFERROR(__xludf.DUMMYFUNCTION("""COMPUTED_VALUE"""),"#18191")</f>
        <v>#18191</v>
      </c>
      <c r="C323" s="65" t="str">
        <f>IFERROR(__xludf.DUMMYFUNCTION("""COMPUTED_VALUE"""),"macmotz@gmail.com")</f>
        <v>macmotz@gmail.com</v>
      </c>
      <c r="D323" s="65">
        <f>IFERROR(__xludf.DUMMYFUNCTION("""COMPUTED_VALUE"""),3.475258364E9)</f>
        <v>3475258364</v>
      </c>
      <c r="E323" s="65" t="str">
        <f>IFERROR(__xludf.DUMMYFUNCTION("""COMPUTED_VALUE"""),"Mac Motz")</f>
        <v>Mac Motz</v>
      </c>
      <c r="F323" s="65" t="str">
        <f>IFERROR(__xludf.DUMMYFUNCTION("""COMPUTED_VALUE"""),"Mac Motz")</f>
        <v>Mac Motz</v>
      </c>
      <c r="G323" s="65"/>
      <c r="H323" s="65" t="str">
        <f>IFERROR(__xludf.DUMMYFUNCTION("""COMPUTED_VALUE"""),"Appliance Rental Return")</f>
        <v>Appliance Rental Return</v>
      </c>
      <c r="I323" s="65" t="str">
        <f>IFERROR(__xludf.DUMMYFUNCTION("""COMPUTED_VALUE""")," Microwave Only   - ")</f>
        <v> Microwave Only   - </v>
      </c>
      <c r="J323" s="108" t="str">
        <f>IFERROR(__xludf.DUMMYFUNCTION("""COMPUTED_VALUE"""),"Park  ")</f>
        <v>Park  </v>
      </c>
      <c r="K323" s="103">
        <f>IFERROR(__xludf.DUMMYFUNCTION("""COMPUTED_VALUE"""),46147.0)</f>
        <v>46147</v>
      </c>
      <c r="L323" s="65" t="str">
        <f>IFERROR(__xludf.DUMMYFUNCTION("""COMPUTED_VALUE"""),"261")</f>
        <v>261</v>
      </c>
      <c r="M323" s="65" t="str">
        <f>IFERROR(__xludf.DUMMYFUNCTION("""COMPUTED_VALUE""")," ")</f>
        <v> </v>
      </c>
    </row>
    <row r="324">
      <c r="A324" s="99" t="str">
        <f>IFERROR(__xludf.DUMMYFUNCTION("""COMPUTED_VALUE"""),"https://utrucking.com/admin/orders/6454741696700")</f>
        <v>https://utrucking.com/admin/orders/6454741696700</v>
      </c>
      <c r="B324" s="61" t="str">
        <f>IFERROR(__xludf.DUMMYFUNCTION("""COMPUTED_VALUE"""),"#18195")</f>
        <v>#18195</v>
      </c>
      <c r="C324" s="61" t="str">
        <f>IFERROR(__xludf.DUMMYFUNCTION("""COMPUTED_VALUE"""),"amyhwang33@gmail.com")</f>
        <v>amyhwang33@gmail.com</v>
      </c>
      <c r="D324" s="61">
        <f>IFERROR(__xludf.DUMMYFUNCTION("""COMPUTED_VALUE"""),9.498120605E9)</f>
        <v>9498120605</v>
      </c>
      <c r="E324" s="61" t="str">
        <f>IFERROR(__xludf.DUMMYFUNCTION("""COMPUTED_VALUE"""),"Amy Hwang")</f>
        <v>Amy Hwang</v>
      </c>
      <c r="F324" s="61" t="str">
        <f>IFERROR(__xludf.DUMMYFUNCTION("""COMPUTED_VALUE"""),"Amy Hwang")</f>
        <v>Amy Hwang</v>
      </c>
      <c r="G324" s="61"/>
      <c r="H324" s="61" t="str">
        <f>IFERROR(__xludf.DUMMYFUNCTION("""COMPUTED_VALUE"""),"Appliance Rental Return")</f>
        <v>Appliance Rental Return</v>
      </c>
      <c r="I324" s="61" t="str">
        <f>IFERROR(__xludf.DUMMYFUNCTION("""COMPUTED_VALUE""")," Double-Door Mini Fridge   - ")</f>
        <v> Double-Door Mini Fridge   - </v>
      </c>
      <c r="J324" s="107" t="str">
        <f>IFERROR(__xludf.DUMMYFUNCTION("""COMPUTED_VALUE"""),"Zetcher  ")</f>
        <v>Zetcher  </v>
      </c>
      <c r="K324" s="100">
        <f>IFERROR(__xludf.DUMMYFUNCTION("""COMPUTED_VALUE"""),46151.0)</f>
        <v>46151</v>
      </c>
      <c r="L324" s="61" t="str">
        <f>IFERROR(__xludf.DUMMYFUNCTION("""COMPUTED_VALUE"""),"2044")</f>
        <v>2044</v>
      </c>
      <c r="M324" s="61" t="str">
        <f>IFERROR(__xludf.DUMMYFUNCTION("""COMPUTED_VALUE""")," ")</f>
        <v> </v>
      </c>
    </row>
    <row r="325">
      <c r="A325" s="102" t="str">
        <f>IFERROR(__xludf.DUMMYFUNCTION("""COMPUTED_VALUE"""),"https://utrucking.com/admin/orders/6454978805948")</f>
        <v>https://utrucking.com/admin/orders/6454978805948</v>
      </c>
      <c r="B325" s="65" t="str">
        <f>IFERROR(__xludf.DUMMYFUNCTION("""COMPUTED_VALUE"""),"#18200")</f>
        <v>#18200</v>
      </c>
      <c r="C325" s="65" t="str">
        <f>IFERROR(__xludf.DUMMYFUNCTION("""COMPUTED_VALUE"""),"swansonm@wustl.edu")</f>
        <v>swansonm@wustl.edu</v>
      </c>
      <c r="D325" s="65">
        <f>IFERROR(__xludf.DUMMYFUNCTION("""COMPUTED_VALUE"""),8.324162751E9)</f>
        <v>8324162751</v>
      </c>
      <c r="E325" s="65" t="str">
        <f>IFERROR(__xludf.DUMMYFUNCTION("""COMPUTED_VALUE"""),"Max Swanson")</f>
        <v>Max Swanson</v>
      </c>
      <c r="F325" s="65" t="str">
        <f>IFERROR(__xludf.DUMMYFUNCTION("""COMPUTED_VALUE"""),"Max Swanson")</f>
        <v>Max Swanson</v>
      </c>
      <c r="G325" s="65"/>
      <c r="H325" s="65" t="str">
        <f>IFERROR(__xludf.DUMMYFUNCTION("""COMPUTED_VALUE"""),"Appliance Rental Return")</f>
        <v>Appliance Rental Return</v>
      </c>
      <c r="I325" s="65" t="str">
        <f>IFERROR(__xludf.DUMMYFUNCTION("""COMPUTED_VALUE""")," Double-Door Mini Fridge + Microwave   - ")</f>
        <v> Double-Door Mini Fridge + Microwave   - </v>
      </c>
      <c r="J325" s="108" t="str">
        <f>IFERROR(__xludf.DUMMYFUNCTION("""COMPUTED_VALUE"""),"Myers  ")</f>
        <v>Myers  </v>
      </c>
      <c r="K325" s="103">
        <f>IFERROR(__xludf.DUMMYFUNCTION("""COMPUTED_VALUE"""),46147.0)</f>
        <v>46147</v>
      </c>
      <c r="L325" s="65" t="str">
        <f>IFERROR(__xludf.DUMMYFUNCTION("""COMPUTED_VALUE"""),"213")</f>
        <v>213</v>
      </c>
      <c r="M325" s="65" t="str">
        <f>IFERROR(__xludf.DUMMYFUNCTION("""COMPUTED_VALUE""")," Will be left in front of the door with note for verification")</f>
        <v> Will be left in front of the door with note for verification</v>
      </c>
    </row>
    <row r="326">
      <c r="A326" s="99" t="str">
        <f>IFERROR(__xludf.DUMMYFUNCTION("""COMPUTED_VALUE"""),"https://utrucking.com/admin/orders/6455055712444")</f>
        <v>https://utrucking.com/admin/orders/6455055712444</v>
      </c>
      <c r="B326" s="61" t="str">
        <f>IFERROR(__xludf.DUMMYFUNCTION("""COMPUTED_VALUE"""),"#18201")</f>
        <v>#18201</v>
      </c>
      <c r="C326" s="61" t="str">
        <f>IFERROR(__xludf.DUMMYFUNCTION("""COMPUTED_VALUE"""),"rebeccabialick@gmail.com")</f>
        <v>rebeccabialick@gmail.com</v>
      </c>
      <c r="D326" s="61">
        <f>IFERROR(__xludf.DUMMYFUNCTION("""COMPUTED_VALUE"""),2.012744645E9)</f>
        <v>2012744645</v>
      </c>
      <c r="E326" s="61" t="str">
        <f>IFERROR(__xludf.DUMMYFUNCTION("""COMPUTED_VALUE"""),"Rebecca Bialick")</f>
        <v>Rebecca Bialick</v>
      </c>
      <c r="F326" s="61" t="str">
        <f>IFERROR(__xludf.DUMMYFUNCTION("""COMPUTED_VALUE"""),"Darcy Bialick")</f>
        <v>Darcy Bialick</v>
      </c>
      <c r="G326" s="61"/>
      <c r="H326" s="61" t="str">
        <f>IFERROR(__xludf.DUMMYFUNCTION("""COMPUTED_VALUE"""),"Appliance Rental Return")</f>
        <v>Appliance Rental Return</v>
      </c>
      <c r="I326" s="61" t="str">
        <f>IFERROR(__xludf.DUMMYFUNCTION("""COMPUTED_VALUE""")," Double-Door Mini Fridge + Microwave   - ")</f>
        <v> Double-Door Mini Fridge + Microwave   - </v>
      </c>
      <c r="J326" s="107" t="str">
        <f>IFERROR(__xludf.DUMMYFUNCTION("""COMPUTED_VALUE"""),"Danforth  ")</f>
        <v>Danforth  </v>
      </c>
      <c r="K326" s="100">
        <f>IFERROR(__xludf.DUMMYFUNCTION("""COMPUTED_VALUE"""),46148.0)</f>
        <v>46148</v>
      </c>
      <c r="L326" s="61" t="str">
        <f>IFERROR(__xludf.DUMMYFUNCTION("""COMPUTED_VALUE"""),"4427")</f>
        <v>4427</v>
      </c>
      <c r="M326" s="61" t="str">
        <f>IFERROR(__xludf.DUMMYFUNCTION("""COMPUTED_VALUE""")," ")</f>
        <v> </v>
      </c>
    </row>
    <row r="327">
      <c r="A327" s="102" t="str">
        <f>IFERROR(__xludf.DUMMYFUNCTION("""COMPUTED_VALUE"""),"https://utrucking.com/admin/orders/6455093919932")</f>
        <v>https://utrucking.com/admin/orders/6455093919932</v>
      </c>
      <c r="B327" s="65" t="str">
        <f>IFERROR(__xludf.DUMMYFUNCTION("""COMPUTED_VALUE"""),"#18202")</f>
        <v>#18202</v>
      </c>
      <c r="C327" s="65" t="str">
        <f>IFERROR(__xludf.DUMMYFUNCTION("""COMPUTED_VALUE"""),"sp.g672@gmail.com")</f>
        <v>sp.g672@gmail.com</v>
      </c>
      <c r="D327" s="65">
        <f>IFERROR(__xludf.DUMMYFUNCTION("""COMPUTED_VALUE"""),7.812344526E9)</f>
        <v>7812344526</v>
      </c>
      <c r="E327" s="65" t="str">
        <f>IFERROR(__xludf.DUMMYFUNCTION("""COMPUTED_VALUE"""),"Pamela Stephenson")</f>
        <v>Pamela Stephenson</v>
      </c>
      <c r="F327" s="65" t="str">
        <f>IFERROR(__xludf.DUMMYFUNCTION("""COMPUTED_VALUE"""),"Spencer Gary")</f>
        <v>Spencer Gary</v>
      </c>
      <c r="G327" s="65"/>
      <c r="H327" s="65" t="str">
        <f>IFERROR(__xludf.DUMMYFUNCTION("""COMPUTED_VALUE"""),"Appliance Rental Return")</f>
        <v>Appliance Rental Return</v>
      </c>
      <c r="I327" s="65" t="str">
        <f>IFERROR(__xludf.DUMMYFUNCTION("""COMPUTED_VALUE""")," Double-Door Mini Fridge   - ")</f>
        <v> Double-Door Mini Fridge   - </v>
      </c>
      <c r="J327" s="108" t="str">
        <f>IFERROR(__xludf.DUMMYFUNCTION("""COMPUTED_VALUE"""),"Dauten  ")</f>
        <v>Dauten  </v>
      </c>
      <c r="K327" s="103">
        <f>IFERROR(__xludf.DUMMYFUNCTION("""COMPUTED_VALUE"""),46147.0)</f>
        <v>46147</v>
      </c>
      <c r="L327" s="65" t="str">
        <f>IFERROR(__xludf.DUMMYFUNCTION("""COMPUTED_VALUE"""),"433a")</f>
        <v>433a</v>
      </c>
      <c r="M327" s="65" t="str">
        <f>IFERROR(__xludf.DUMMYFUNCTION("""COMPUTED_VALUE""")," ")</f>
        <v> </v>
      </c>
    </row>
    <row r="328">
      <c r="A328" s="99" t="str">
        <f>IFERROR(__xludf.DUMMYFUNCTION("""COMPUTED_VALUE"""),"https://utrucking.com/admin/orders/6455176036540")</f>
        <v>https://utrucking.com/admin/orders/6455176036540</v>
      </c>
      <c r="B328" s="61" t="str">
        <f>IFERROR(__xludf.DUMMYFUNCTION("""COMPUTED_VALUE"""),"#18204")</f>
        <v>#18204</v>
      </c>
      <c r="C328" s="61" t="str">
        <f>IFERROR(__xludf.DUMMYFUNCTION("""COMPUTED_VALUE"""),"taylormarlowe@gmail.com")</f>
        <v>taylormarlowe@gmail.com</v>
      </c>
      <c r="D328" s="61">
        <f>IFERROR(__xludf.DUMMYFUNCTION("""COMPUTED_VALUE"""),9.146464187E9)</f>
        <v>9146464187</v>
      </c>
      <c r="E328" s="61" t="str">
        <f>IFERROR(__xludf.DUMMYFUNCTION("""COMPUTED_VALUE"""),"Taylor Marlowe")</f>
        <v>Taylor Marlowe</v>
      </c>
      <c r="F328" s="61" t="str">
        <f>IFERROR(__xludf.DUMMYFUNCTION("""COMPUTED_VALUE"""),"Taylor Marlowe")</f>
        <v>Taylor Marlowe</v>
      </c>
      <c r="G328" s="61"/>
      <c r="H328" s="61" t="str">
        <f>IFERROR(__xludf.DUMMYFUNCTION("""COMPUTED_VALUE"""),"Appliance Rental Return")</f>
        <v>Appliance Rental Return</v>
      </c>
      <c r="I328" s="61" t="str">
        <f>IFERROR(__xludf.DUMMYFUNCTION("""COMPUTED_VALUE""")," Double-Door Mini Fridge   - ")</f>
        <v> Double-Door Mini Fridge   - </v>
      </c>
      <c r="J328" s="107" t="str">
        <f>IFERROR(__xludf.DUMMYFUNCTION("""COMPUTED_VALUE"""),"Lien  ")</f>
        <v>Lien  </v>
      </c>
      <c r="K328" s="100">
        <f>IFERROR(__xludf.DUMMYFUNCTION("""COMPUTED_VALUE"""),46150.0)</f>
        <v>46150</v>
      </c>
      <c r="L328" s="61" t="str">
        <f>IFERROR(__xludf.DUMMYFUNCTION("""COMPUTED_VALUE"""),"3331")</f>
        <v>3331</v>
      </c>
      <c r="M328" s="61" t="str">
        <f>IFERROR(__xludf.DUMMYFUNCTION("""COMPUTED_VALUE""")," ")</f>
        <v> </v>
      </c>
    </row>
    <row r="329">
      <c r="A329" s="102" t="str">
        <f>IFERROR(__xludf.DUMMYFUNCTION("""COMPUTED_VALUE"""),"https://utrucking.com/admin/orders/6455232495804")</f>
        <v>https://utrucking.com/admin/orders/6455232495804</v>
      </c>
      <c r="B329" s="65" t="str">
        <f>IFERROR(__xludf.DUMMYFUNCTION("""COMPUTED_VALUE"""),"#18208")</f>
        <v>#18208</v>
      </c>
      <c r="C329" s="65" t="str">
        <f>IFERROR(__xludf.DUMMYFUNCTION("""COMPUTED_VALUE"""),"gerber.scarlett@gmail.com")</f>
        <v>gerber.scarlett@gmail.com</v>
      </c>
      <c r="D329" s="65">
        <f>IFERROR(__xludf.DUMMYFUNCTION("""COMPUTED_VALUE"""),2.038148546E9)</f>
        <v>2038148546</v>
      </c>
      <c r="E329" s="65" t="str">
        <f>IFERROR(__xludf.DUMMYFUNCTION("""COMPUTED_VALUE"""),"Scarlett Gerber")</f>
        <v>Scarlett Gerber</v>
      </c>
      <c r="F329" s="65" t="str">
        <f>IFERROR(__xludf.DUMMYFUNCTION("""COMPUTED_VALUE"""),"Scarlett Gerber")</f>
        <v>Scarlett Gerber</v>
      </c>
      <c r="G329" s="65"/>
      <c r="H329" s="65" t="str">
        <f>IFERROR(__xludf.DUMMYFUNCTION("""COMPUTED_VALUE"""),"Appliance Rental Return")</f>
        <v>Appliance Rental Return</v>
      </c>
      <c r="I329" s="65" t="str">
        <f>IFERROR(__xludf.DUMMYFUNCTION("""COMPUTED_VALUE""")," Double-Door Mini Fridge + Microwave   - ")</f>
        <v> Double-Door Mini Fridge + Microwave   - </v>
      </c>
      <c r="J329" s="108" t="str">
        <f>IFERROR(__xludf.DUMMYFUNCTION("""COMPUTED_VALUE"""),"Beaumont  ")</f>
        <v>Beaumont  </v>
      </c>
      <c r="K329" s="103">
        <f>IFERROR(__xludf.DUMMYFUNCTION("""COMPUTED_VALUE"""),46147.0)</f>
        <v>46147</v>
      </c>
      <c r="L329" s="65" t="str">
        <f>IFERROR(__xludf.DUMMYFUNCTION("""COMPUTED_VALUE"""),"304")</f>
        <v>304</v>
      </c>
      <c r="M329" s="65" t="str">
        <f>IFERROR(__xludf.DUMMYFUNCTION("""COMPUTED_VALUE""")," ")</f>
        <v> </v>
      </c>
    </row>
    <row r="330">
      <c r="A330" s="99" t="str">
        <f>IFERROR(__xludf.DUMMYFUNCTION("""COMPUTED_VALUE"""),"https://utrucking.com/admin/orders/6455270277308")</f>
        <v>https://utrucking.com/admin/orders/6455270277308</v>
      </c>
      <c r="B330" s="61" t="str">
        <f>IFERROR(__xludf.DUMMYFUNCTION("""COMPUTED_VALUE"""),"#18210")</f>
        <v>#18210</v>
      </c>
      <c r="C330" s="61" t="str">
        <f>IFERROR(__xludf.DUMMYFUNCTION("""COMPUTED_VALUE"""),"kaiskaz@sbcglobal.net")</f>
        <v>kaiskaz@sbcglobal.net</v>
      </c>
      <c r="D330" s="61">
        <f>IFERROR(__xludf.DUMMYFUNCTION("""COMPUTED_VALUE"""),7.737913143E9)</f>
        <v>7737913143</v>
      </c>
      <c r="E330" s="61" t="str">
        <f>IFERROR(__xludf.DUMMYFUNCTION("""COMPUTED_VALUE"""),"Monica Kazmier")</f>
        <v>Monica Kazmier</v>
      </c>
      <c r="F330" s="61" t="str">
        <f>IFERROR(__xludf.DUMMYFUNCTION("""COMPUTED_VALUE"""),"Leo Kazmier Kaiser")</f>
        <v>Leo Kazmier Kaiser</v>
      </c>
      <c r="G330" s="61"/>
      <c r="H330" s="61" t="str">
        <f>IFERROR(__xludf.DUMMYFUNCTION("""COMPUTED_VALUE"""),"Appliance Rental Return")</f>
        <v>Appliance Rental Return</v>
      </c>
      <c r="I330" s="61" t="str">
        <f>IFERROR(__xludf.DUMMYFUNCTION("""COMPUTED_VALUE""")," Double-Door Mini Fridge   - ")</f>
        <v> Double-Door Mini Fridge   - </v>
      </c>
      <c r="J330" s="107" t="str">
        <f>IFERROR(__xludf.DUMMYFUNCTION("""COMPUTED_VALUE"""),"House 3 (Alpha Delta Phi)  ")</f>
        <v>House 3 (Alpha Delta Phi)  </v>
      </c>
      <c r="K330" s="100">
        <f>IFERROR(__xludf.DUMMYFUNCTION("""COMPUTED_VALUE"""),46147.0)</f>
        <v>46147</v>
      </c>
      <c r="L330" s="61" t="str">
        <f>IFERROR(__xludf.DUMMYFUNCTION("""COMPUTED_VALUE"""),"Fridge is already in lobby of building")</f>
        <v>Fridge is already in lobby of building</v>
      </c>
      <c r="M330" s="61" t="str">
        <f>IFERROR(__xludf.DUMMYFUNCTION("""COMPUTED_VALUE""")," ")</f>
        <v> </v>
      </c>
    </row>
    <row r="331">
      <c r="A331" s="102" t="str">
        <f>IFERROR(__xludf.DUMMYFUNCTION("""COMPUTED_VALUE"""),"https://utrucking.com/admin/orders/6455272603836")</f>
        <v>https://utrucking.com/admin/orders/6455272603836</v>
      </c>
      <c r="B331" s="65" t="str">
        <f>IFERROR(__xludf.DUMMYFUNCTION("""COMPUTED_VALUE"""),"#18211")</f>
        <v>#18211</v>
      </c>
      <c r="C331" s="65" t="str">
        <f>IFERROR(__xludf.DUMMYFUNCTION("""COMPUTED_VALUE"""),"oliviavanlandingham@gmail.com")</f>
        <v>oliviavanlandingham@gmail.com</v>
      </c>
      <c r="D331" s="65">
        <f>IFERROR(__xludf.DUMMYFUNCTION("""COMPUTED_VALUE"""),2.059223707E9)</f>
        <v>2059223707</v>
      </c>
      <c r="E331" s="65" t="str">
        <f>IFERROR(__xludf.DUMMYFUNCTION("""COMPUTED_VALUE"""),"Olivia Vanlandingham")</f>
        <v>Olivia Vanlandingham</v>
      </c>
      <c r="F331" s="65" t="str">
        <f>IFERROR(__xludf.DUMMYFUNCTION("""COMPUTED_VALUE"""),"Olivia Vanlandingham")</f>
        <v>Olivia Vanlandingham</v>
      </c>
      <c r="G331" s="65"/>
      <c r="H331" s="65" t="str">
        <f>IFERROR(__xludf.DUMMYFUNCTION("""COMPUTED_VALUE"""),"Appliance Rental Return")</f>
        <v>Appliance Rental Return</v>
      </c>
      <c r="I331" s="65" t="str">
        <f>IFERROR(__xludf.DUMMYFUNCTION("""COMPUTED_VALUE""")," Double-Door Mini Fridge + Microwave   - ")</f>
        <v> Double-Door Mini Fridge + Microwave   - </v>
      </c>
      <c r="J331" s="108" t="str">
        <f>IFERROR(__xludf.DUMMYFUNCTION("""COMPUTED_VALUE"""),"Mudd  ")</f>
        <v>Mudd  </v>
      </c>
      <c r="K331" s="103">
        <f>IFERROR(__xludf.DUMMYFUNCTION("""COMPUTED_VALUE"""),46147.0)</f>
        <v>46147</v>
      </c>
      <c r="L331" s="65" t="str">
        <f>IFERROR(__xludf.DUMMYFUNCTION("""COMPUTED_VALUE"""),"380")</f>
        <v>380</v>
      </c>
      <c r="M331" s="65" t="str">
        <f>IFERROR(__xludf.DUMMYFUNCTION("""COMPUTED_VALUE""")," ")</f>
        <v> </v>
      </c>
    </row>
    <row r="332">
      <c r="A332" s="99" t="str">
        <f>IFERROR(__xludf.DUMMYFUNCTION("""COMPUTED_VALUE"""),"https://utrucking.com/admin/orders/6455345381564")</f>
        <v>https://utrucking.com/admin/orders/6455345381564</v>
      </c>
      <c r="B332" s="61" t="str">
        <f>IFERROR(__xludf.DUMMYFUNCTION("""COMPUTED_VALUE"""),"#18212")</f>
        <v>#18212</v>
      </c>
      <c r="C332" s="61" t="str">
        <f>IFERROR(__xludf.DUMMYFUNCTION("""COMPUTED_VALUE"""),"michaeljmathew420@gmail.com")</f>
        <v>michaeljmathew420@gmail.com</v>
      </c>
      <c r="D332" s="61">
        <f>IFERROR(__xludf.DUMMYFUNCTION("""COMPUTED_VALUE"""),9.086166375E9)</f>
        <v>9086166375</v>
      </c>
      <c r="E332" s="61" t="str">
        <f>IFERROR(__xludf.DUMMYFUNCTION("""COMPUTED_VALUE"""),"Michael Mathew")</f>
        <v>Michael Mathew</v>
      </c>
      <c r="F332" s="61" t="str">
        <f>IFERROR(__xludf.DUMMYFUNCTION("""COMPUTED_VALUE"""),"Michael Mathew")</f>
        <v>Michael Mathew</v>
      </c>
      <c r="G332" s="61"/>
      <c r="H332" s="61" t="str">
        <f>IFERROR(__xludf.DUMMYFUNCTION("""COMPUTED_VALUE"""),"Appliance Rental Return")</f>
        <v>Appliance Rental Return</v>
      </c>
      <c r="I332" s="61" t="str">
        <f>IFERROR(__xludf.DUMMYFUNCTION("""COMPUTED_VALUE""")," Double-Door Mini Fridge   - ")</f>
        <v> Double-Door Mini Fridge   - </v>
      </c>
      <c r="J332" s="107" t="str">
        <f>IFERROR(__xludf.DUMMYFUNCTION("""COMPUTED_VALUE"""),"Dardick  ")</f>
        <v>Dardick  </v>
      </c>
      <c r="K332" s="100">
        <f>IFERROR(__xludf.DUMMYFUNCTION("""COMPUTED_VALUE"""),46149.0)</f>
        <v>46149</v>
      </c>
      <c r="L332" s="61" t="str">
        <f>IFERROR(__xludf.DUMMYFUNCTION("""COMPUTED_VALUE"""),"4424")</f>
        <v>4424</v>
      </c>
      <c r="M332" s="61" t="str">
        <f>IFERROR(__xludf.DUMMYFUNCTION("""COMPUTED_VALUE""")," ")</f>
        <v> </v>
      </c>
    </row>
    <row r="333">
      <c r="A333" s="102" t="str">
        <f>IFERROR(__xludf.DUMMYFUNCTION("""COMPUTED_VALUE"""),"https://utrucking.com/admin/orders/6455507091644")</f>
        <v>https://utrucking.com/admin/orders/6455507091644</v>
      </c>
      <c r="B333" s="65" t="str">
        <f>IFERROR(__xludf.DUMMYFUNCTION("""COMPUTED_VALUE"""),"#18216")</f>
        <v>#18216</v>
      </c>
      <c r="C333" s="65" t="str">
        <f>IFERROR(__xludf.DUMMYFUNCTION("""COMPUTED_VALUE"""),"o.m.sohn@wustl.edu")</f>
        <v>o.m.sohn@wustl.edu</v>
      </c>
      <c r="D333" s="65">
        <f>IFERROR(__xludf.DUMMYFUNCTION("""COMPUTED_VALUE"""),9.173716988E9)</f>
        <v>9173716988</v>
      </c>
      <c r="E333" s="65" t="str">
        <f>IFERROR(__xludf.DUMMYFUNCTION("""COMPUTED_VALUE"""),"Olivia Sohn")</f>
        <v>Olivia Sohn</v>
      </c>
      <c r="F333" s="65" t="str">
        <f>IFERROR(__xludf.DUMMYFUNCTION("""COMPUTED_VALUE"""),"Olivia Sohn")</f>
        <v>Olivia Sohn</v>
      </c>
      <c r="G333" s="65"/>
      <c r="H333" s="65" t="str">
        <f>IFERROR(__xludf.DUMMYFUNCTION("""COMPUTED_VALUE"""),"Appliance Rental Return")</f>
        <v>Appliance Rental Return</v>
      </c>
      <c r="I333" s="65" t="str">
        <f>IFERROR(__xludf.DUMMYFUNCTION("""COMPUTED_VALUE""")," Standard Mini Fridge + Microwave   - ")</f>
        <v> Standard Mini Fridge + Microwave   - </v>
      </c>
      <c r="J333" s="108" t="str">
        <f>IFERROR(__xludf.DUMMYFUNCTION("""COMPUTED_VALUE"""),"Millbrook Bldg. 3  ")</f>
        <v>Millbrook Bldg. 3  </v>
      </c>
      <c r="K333" s="103">
        <f>IFERROR(__xludf.DUMMYFUNCTION("""COMPUTED_VALUE"""),46149.0)</f>
        <v>46149</v>
      </c>
      <c r="L333" s="65" t="str">
        <f>IFERROR(__xludf.DUMMYFUNCTION("""COMPUTED_VALUE""")," 101F ")</f>
        <v> 101F </v>
      </c>
      <c r="M333" s="65" t="str">
        <f>IFERROR(__xludf.DUMMYFUNCTION("""COMPUTED_VALUE""")," ")</f>
        <v> </v>
      </c>
    </row>
    <row r="334">
      <c r="A334" s="99" t="str">
        <f>IFERROR(__xludf.DUMMYFUNCTION("""COMPUTED_VALUE"""),"https://utrucking.com/admin/orders/6455511515324")</f>
        <v>https://utrucking.com/admin/orders/6455511515324</v>
      </c>
      <c r="B334" s="61" t="str">
        <f>IFERROR(__xludf.DUMMYFUNCTION("""COMPUTED_VALUE"""),"#18217")</f>
        <v>#18217</v>
      </c>
      <c r="C334" s="61" t="str">
        <f>IFERROR(__xludf.DUMMYFUNCTION("""COMPUTED_VALUE"""),"amiller1@wustl.edu")</f>
        <v>amiller1@wustl.edu</v>
      </c>
      <c r="D334" s="61">
        <f>IFERROR(__xludf.DUMMYFUNCTION("""COMPUTED_VALUE"""),5.612254772E9)</f>
        <v>5612254772</v>
      </c>
      <c r="E334" s="61" t="str">
        <f>IFERROR(__xludf.DUMMYFUNCTION("""COMPUTED_VALUE"""),"Anna Miller")</f>
        <v>Anna Miller</v>
      </c>
      <c r="F334" s="61" t="str">
        <f>IFERROR(__xludf.DUMMYFUNCTION("""COMPUTED_VALUE"""),"Anna Miller")</f>
        <v>Anna Miller</v>
      </c>
      <c r="G334" s="61"/>
      <c r="H334" s="61" t="str">
        <f>IFERROR(__xludf.DUMMYFUNCTION("""COMPUTED_VALUE"""),"Appliance Rental Return")</f>
        <v>Appliance Rental Return</v>
      </c>
      <c r="I334" s="61" t="str">
        <f>IFERROR(__xludf.DUMMYFUNCTION("""COMPUTED_VALUE""")," Double-Door Mini Fridge + Microwave   - ")</f>
        <v> Double-Door Mini Fridge + Microwave   - </v>
      </c>
      <c r="J334" s="107" t="str">
        <f>IFERROR(__xludf.DUMMYFUNCTION("""COMPUTED_VALUE"""),"Millbrook Bldg. 3  ")</f>
        <v>Millbrook Bldg. 3  </v>
      </c>
      <c r="K334" s="100">
        <f>IFERROR(__xludf.DUMMYFUNCTION("""COMPUTED_VALUE"""),46150.0)</f>
        <v>46150</v>
      </c>
      <c r="L334" s="61" t="str">
        <f>IFERROR(__xludf.DUMMYFUNCTION("""COMPUTED_VALUE"""),"101")</f>
        <v>101</v>
      </c>
      <c r="M334" s="61" t="str">
        <f>IFERROR(__xludf.DUMMYFUNCTION("""COMPUTED_VALUE""")," ")</f>
        <v> </v>
      </c>
    </row>
    <row r="335">
      <c r="A335" s="102" t="str">
        <f>IFERROR(__xludf.DUMMYFUNCTION("""COMPUTED_VALUE"""),"https://utrucking.com/admin/orders/6455608967356")</f>
        <v>https://utrucking.com/admin/orders/6455608967356</v>
      </c>
      <c r="B335" s="65" t="str">
        <f>IFERROR(__xludf.DUMMYFUNCTION("""COMPUTED_VALUE"""),"#18219")</f>
        <v>#18219</v>
      </c>
      <c r="C335" s="65" t="str">
        <f>IFERROR(__xludf.DUMMYFUNCTION("""COMPUTED_VALUE"""),"brickman@wustl.edu")</f>
        <v>brickman@wustl.edu</v>
      </c>
      <c r="D335" s="65">
        <f>IFERROR(__xludf.DUMMYFUNCTION("""COMPUTED_VALUE"""),2.028129294E9)</f>
        <v>2028129294</v>
      </c>
      <c r="E335" s="65" t="str">
        <f>IFERROR(__xludf.DUMMYFUNCTION("""COMPUTED_VALUE"""),"Hannah Brickman")</f>
        <v>Hannah Brickman</v>
      </c>
      <c r="F335" s="65" t="str">
        <f>IFERROR(__xludf.DUMMYFUNCTION("""COMPUTED_VALUE"""),"Hannah Brickman")</f>
        <v>Hannah Brickman</v>
      </c>
      <c r="G335" s="65"/>
      <c r="H335" s="65" t="str">
        <f>IFERROR(__xludf.DUMMYFUNCTION("""COMPUTED_VALUE"""),"Appliance Rental Return")</f>
        <v>Appliance Rental Return</v>
      </c>
      <c r="I335" s="65" t="str">
        <f>IFERROR(__xludf.DUMMYFUNCTION("""COMPUTED_VALUE""")," Microwave Only   - ")</f>
        <v> Microwave Only   - </v>
      </c>
      <c r="J335" s="108" t="str">
        <f>IFERROR(__xludf.DUMMYFUNCTION("""COMPUTED_VALUE"""),"Park  ")</f>
        <v>Park  </v>
      </c>
      <c r="K335" s="103">
        <f>IFERROR(__xludf.DUMMYFUNCTION("""COMPUTED_VALUE"""),46148.0)</f>
        <v>46148</v>
      </c>
      <c r="L335" s="65" t="str">
        <f>IFERROR(__xludf.DUMMYFUNCTION("""COMPUTED_VALUE"""),"340")</f>
        <v>340</v>
      </c>
      <c r="M335" s="65" t="str">
        <f>IFERROR(__xludf.DUMMYFUNCTION("""COMPUTED_VALUE""")," ")</f>
        <v> </v>
      </c>
    </row>
    <row r="336">
      <c r="A336" s="99" t="str">
        <f>IFERROR(__xludf.DUMMYFUNCTION("""COMPUTED_VALUE"""),"https://utrucking.com/admin/orders/6455631446204")</f>
        <v>https://utrucking.com/admin/orders/6455631446204</v>
      </c>
      <c r="B336" s="61" t="str">
        <f>IFERROR(__xludf.DUMMYFUNCTION("""COMPUTED_VALUE"""),"#18221")</f>
        <v>#18221</v>
      </c>
      <c r="C336" s="61" t="str">
        <f>IFERROR(__xludf.DUMMYFUNCTION("""COMPUTED_VALUE"""),"andreaelisagabriel@gmail.com")</f>
        <v>andreaelisagabriel@gmail.com</v>
      </c>
      <c r="D336" s="61">
        <f>IFERROR(__xludf.DUMMYFUNCTION("""COMPUTED_VALUE"""),2.027136218E9)</f>
        <v>2027136218</v>
      </c>
      <c r="E336" s="61" t="str">
        <f>IFERROR(__xludf.DUMMYFUNCTION("""COMPUTED_VALUE"""),"Andrea Gabriel")</f>
        <v>Andrea Gabriel</v>
      </c>
      <c r="F336" s="61" t="str">
        <f>IFERROR(__xludf.DUMMYFUNCTION("""COMPUTED_VALUE"""),"Andrea Elisa Gabriel")</f>
        <v>Andrea Elisa Gabriel</v>
      </c>
      <c r="G336" s="61"/>
      <c r="H336" s="61" t="str">
        <f>IFERROR(__xludf.DUMMYFUNCTION("""COMPUTED_VALUE"""),"Appliance Rental Return")</f>
        <v>Appliance Rental Return</v>
      </c>
      <c r="I336" s="61" t="str">
        <f>IFERROR(__xludf.DUMMYFUNCTION("""COMPUTED_VALUE""")," Double-Door Mini Fridge   - ")</f>
        <v> Double-Door Mini Fridge   - </v>
      </c>
      <c r="J336" s="107" t="str">
        <f>IFERROR(__xludf.DUMMYFUNCTION("""COMPUTED_VALUE"""),"Park  ")</f>
        <v>Park  </v>
      </c>
      <c r="K336" s="100">
        <f>IFERROR(__xludf.DUMMYFUNCTION("""COMPUTED_VALUE"""),46150.0)</f>
        <v>46150</v>
      </c>
      <c r="L336" s="61" t="str">
        <f>IFERROR(__xludf.DUMMYFUNCTION("""COMPUTED_VALUE"""),"390")</f>
        <v>390</v>
      </c>
      <c r="M336" s="61" t="str">
        <f>IFERROR(__xludf.DUMMYFUNCTION("""COMPUTED_VALUE""")," ")</f>
        <v> </v>
      </c>
    </row>
    <row r="337">
      <c r="A337" s="102" t="str">
        <f>IFERROR(__xludf.DUMMYFUNCTION("""COMPUTED_VALUE"""),"https://utrucking.com/admin/orders/6455838671036")</f>
        <v>https://utrucking.com/admin/orders/6455838671036</v>
      </c>
      <c r="B337" s="65" t="str">
        <f>IFERROR(__xludf.DUMMYFUNCTION("""COMPUTED_VALUE"""),"#18226")</f>
        <v>#18226</v>
      </c>
      <c r="C337" s="65" t="str">
        <f>IFERROR(__xludf.DUMMYFUNCTION("""COMPUTED_VALUE"""),"esme@wustl.edu")</f>
        <v>esme@wustl.edu</v>
      </c>
      <c r="D337" s="65">
        <f>IFERROR(__xludf.DUMMYFUNCTION("""COMPUTED_VALUE"""),9.175763017E9)</f>
        <v>9175763017</v>
      </c>
      <c r="E337" s="65" t="str">
        <f>IFERROR(__xludf.DUMMYFUNCTION("""COMPUTED_VALUE"""),"Esme Tublin")</f>
        <v>Esme Tublin</v>
      </c>
      <c r="F337" s="65" t="str">
        <f>IFERROR(__xludf.DUMMYFUNCTION("""COMPUTED_VALUE"""),"Esme Tublin")</f>
        <v>Esme Tublin</v>
      </c>
      <c r="G337" s="65"/>
      <c r="H337" s="65" t="str">
        <f>IFERROR(__xludf.DUMMYFUNCTION("""COMPUTED_VALUE"""),"Appliance Rental Return")</f>
        <v>Appliance Rental Return</v>
      </c>
      <c r="I337" s="65" t="str">
        <f>IFERROR(__xludf.DUMMYFUNCTION("""COMPUTED_VALUE""")," Standard Mini Fridge   - ")</f>
        <v> Standard Mini Fridge   - </v>
      </c>
      <c r="J337" s="108" t="str">
        <f>IFERROR(__xludf.DUMMYFUNCTION("""COMPUTED_VALUE"""),"Lien  ")</f>
        <v>Lien  </v>
      </c>
      <c r="K337" s="103">
        <f>IFERROR(__xludf.DUMMYFUNCTION("""COMPUTED_VALUE"""),46147.0)</f>
        <v>46147</v>
      </c>
      <c r="L337" s="65" t="str">
        <f>IFERROR(__xludf.DUMMYFUNCTION("""COMPUTED_VALUE"""),"1104")</f>
        <v>1104</v>
      </c>
      <c r="M337" s="65" t="str">
        <f>IFERROR(__xludf.DUMMYFUNCTION("""COMPUTED_VALUE""")," ")</f>
        <v> </v>
      </c>
    </row>
    <row r="338">
      <c r="A338" s="99" t="str">
        <f>IFERROR(__xludf.DUMMYFUNCTION("""COMPUTED_VALUE"""),"https://utrucking.com/admin/orders/6455865999548")</f>
        <v>https://utrucking.com/admin/orders/6455865999548</v>
      </c>
      <c r="B338" s="61" t="str">
        <f>IFERROR(__xludf.DUMMYFUNCTION("""COMPUTED_VALUE"""),"#18227")</f>
        <v>#18227</v>
      </c>
      <c r="C338" s="61" t="str">
        <f>IFERROR(__xludf.DUMMYFUNCTION("""COMPUTED_VALUE"""),"b.cailyn@wustl.edu")</f>
        <v>b.cailyn@wustl.edu</v>
      </c>
      <c r="D338" s="61">
        <f>IFERROR(__xludf.DUMMYFUNCTION("""COMPUTED_VALUE"""),9.14255752E9)</f>
        <v>9142557520</v>
      </c>
      <c r="E338" s="61" t="str">
        <f>IFERROR(__xludf.DUMMYFUNCTION("""COMPUTED_VALUE"""),"Cailyn Baer")</f>
        <v>Cailyn Baer</v>
      </c>
      <c r="F338" s="61" t="str">
        <f>IFERROR(__xludf.DUMMYFUNCTION("""COMPUTED_VALUE"""),"Cailyn Baer")</f>
        <v>Cailyn Baer</v>
      </c>
      <c r="G338" s="61"/>
      <c r="H338" s="61" t="str">
        <f>IFERROR(__xludf.DUMMYFUNCTION("""COMPUTED_VALUE"""),"Appliance Rental Return")</f>
        <v>Appliance Rental Return</v>
      </c>
      <c r="I338" s="61" t="str">
        <f>IFERROR(__xludf.DUMMYFUNCTION("""COMPUTED_VALUE""")," Double-Door Mini Fridge   - ")</f>
        <v> Double-Door Mini Fridge   - </v>
      </c>
      <c r="J338" s="107" t="str">
        <f>IFERROR(__xludf.DUMMYFUNCTION("""COMPUTED_VALUE"""),"Koenig  ")</f>
        <v>Koenig  </v>
      </c>
      <c r="K338" s="100">
        <f>IFERROR(__xludf.DUMMYFUNCTION("""COMPUTED_VALUE"""),46148.0)</f>
        <v>46148</v>
      </c>
      <c r="L338" s="61" t="str">
        <f>IFERROR(__xludf.DUMMYFUNCTION("""COMPUTED_VALUE"""),"2219")</f>
        <v>2219</v>
      </c>
      <c r="M338" s="61" t="str">
        <f>IFERROR(__xludf.DUMMYFUNCTION("""COMPUTED_VALUE""")," ")</f>
        <v> </v>
      </c>
    </row>
    <row r="339">
      <c r="A339" s="102" t="str">
        <f>IFERROR(__xludf.DUMMYFUNCTION("""COMPUTED_VALUE"""),"https://utrucking.com/admin/orders/6456004772028")</f>
        <v>https://utrucking.com/admin/orders/6456004772028</v>
      </c>
      <c r="B339" s="65" t="str">
        <f>IFERROR(__xludf.DUMMYFUNCTION("""COMPUTED_VALUE"""),"#18228")</f>
        <v>#18228</v>
      </c>
      <c r="C339" s="65" t="str">
        <f>IFERROR(__xludf.DUMMYFUNCTION("""COMPUTED_VALUE"""),"katedieff06@gmail.com")</f>
        <v>katedieff06@gmail.com</v>
      </c>
      <c r="D339" s="65">
        <f>IFERROR(__xludf.DUMMYFUNCTION("""COMPUTED_VALUE"""),8.479106216E9)</f>
        <v>8479106216</v>
      </c>
      <c r="E339" s="65" t="str">
        <f>IFERROR(__xludf.DUMMYFUNCTION("""COMPUTED_VALUE"""),"Kate Dieffenbacher")</f>
        <v>Kate Dieffenbacher</v>
      </c>
      <c r="F339" s="65" t="str">
        <f>IFERROR(__xludf.DUMMYFUNCTION("""COMPUTED_VALUE"""),"Kate Dieffenbacher")</f>
        <v>Kate Dieffenbacher</v>
      </c>
      <c r="G339" s="65"/>
      <c r="H339" s="65" t="str">
        <f>IFERROR(__xludf.DUMMYFUNCTION("""COMPUTED_VALUE"""),"Appliance Rental Return")</f>
        <v>Appliance Rental Return</v>
      </c>
      <c r="I339" s="65" t="str">
        <f>IFERROR(__xludf.DUMMYFUNCTION("""COMPUTED_VALUE""")," Double-Door Mini Fridge + Microwave   - ")</f>
        <v> Double-Door Mini Fridge + Microwave   - </v>
      </c>
      <c r="J339" s="108" t="str">
        <f>IFERROR(__xludf.DUMMYFUNCTION("""COMPUTED_VALUE"""),"House 7")</f>
        <v>House 7</v>
      </c>
      <c r="K339" s="103">
        <f>IFERROR(__xludf.DUMMYFUNCTION("""COMPUTED_VALUE"""),46148.0)</f>
        <v>46148</v>
      </c>
      <c r="L339" s="65" t="str">
        <f>IFERROR(__xludf.DUMMYFUNCTION("""COMPUTED_VALUE"""),"301")</f>
        <v>301</v>
      </c>
      <c r="M339" s="65" t="str">
        <f>IFERROR(__xludf.DUMMYFUNCTION("""COMPUTED_VALUE""")," ")</f>
        <v> </v>
      </c>
    </row>
    <row r="340">
      <c r="A340" s="99" t="str">
        <f>IFERROR(__xludf.DUMMYFUNCTION("""COMPUTED_VALUE"""),"https://utrucking.com/admin/orders/6456013848764")</f>
        <v>https://utrucking.com/admin/orders/6456013848764</v>
      </c>
      <c r="B340" s="61" t="str">
        <f>IFERROR(__xludf.DUMMYFUNCTION("""COMPUTED_VALUE"""),"#18229")</f>
        <v>#18229</v>
      </c>
      <c r="C340" s="61" t="str">
        <f>IFERROR(__xludf.DUMMYFUNCTION("""COMPUTED_VALUE"""),"nmcguire1127@gmail.com")</f>
        <v>nmcguire1127@gmail.com</v>
      </c>
      <c r="D340" s="61">
        <f>IFERROR(__xludf.DUMMYFUNCTION("""COMPUTED_VALUE"""),6.306328733E9)</f>
        <v>6306328733</v>
      </c>
      <c r="E340" s="61" t="str">
        <f>IFERROR(__xludf.DUMMYFUNCTION("""COMPUTED_VALUE"""),"Nicole McGuire")</f>
        <v>Nicole McGuire</v>
      </c>
      <c r="F340" s="61" t="str">
        <f>IFERROR(__xludf.DUMMYFUNCTION("""COMPUTED_VALUE"""),"Nicole McGuire")</f>
        <v>Nicole McGuire</v>
      </c>
      <c r="G340" s="61"/>
      <c r="H340" s="61" t="str">
        <f>IFERROR(__xludf.DUMMYFUNCTION("""COMPUTED_VALUE"""),"Appliance Rental Return")</f>
        <v>Appliance Rental Return</v>
      </c>
      <c r="I340" s="61" t="str">
        <f>IFERROR(__xludf.DUMMYFUNCTION("""COMPUTED_VALUE""")," Double-Door Mini Fridge + Microwave   - ")</f>
        <v> Double-Door Mini Fridge + Microwave   - </v>
      </c>
      <c r="J340" s="107" t="str">
        <f>IFERROR(__xludf.DUMMYFUNCTION("""COMPUTED_VALUE"""),"Nemerov  ")</f>
        <v>Nemerov  </v>
      </c>
      <c r="K340" s="100">
        <f>IFERROR(__xludf.DUMMYFUNCTION("""COMPUTED_VALUE"""),46148.0)</f>
        <v>46148</v>
      </c>
      <c r="L340" s="61" t="str">
        <f>IFERROR(__xludf.DUMMYFUNCTION("""COMPUTED_VALUE"""),"4100")</f>
        <v>4100</v>
      </c>
      <c r="M340" s="61" t="str">
        <f>IFERROR(__xludf.DUMMYFUNCTION("""COMPUTED_VALUE""")," ")</f>
        <v> </v>
      </c>
    </row>
    <row r="341">
      <c r="A341" s="102" t="str">
        <f>IFERROR(__xludf.DUMMYFUNCTION("""COMPUTED_VALUE"""),"https://utrucking.com/admin/orders/6456031740092")</f>
        <v>https://utrucking.com/admin/orders/6456031740092</v>
      </c>
      <c r="B341" s="65" t="str">
        <f>IFERROR(__xludf.DUMMYFUNCTION("""COMPUTED_VALUE"""),"#18231")</f>
        <v>#18231</v>
      </c>
      <c r="C341" s="65" t="str">
        <f>IFERROR(__xludf.DUMMYFUNCTION("""COMPUTED_VALUE"""),"trevorkrejdovsky@gmail.com")</f>
        <v>trevorkrejdovsky@gmail.com</v>
      </c>
      <c r="D341" s="65">
        <f>IFERROR(__xludf.DUMMYFUNCTION("""COMPUTED_VALUE"""),6.282369321E9)</f>
        <v>6282369321</v>
      </c>
      <c r="E341" s="65" t="str">
        <f>IFERROR(__xludf.DUMMYFUNCTION("""COMPUTED_VALUE"""),"Melissa Krejdovsky")</f>
        <v>Melissa Krejdovsky</v>
      </c>
      <c r="F341" s="65" t="str">
        <f>IFERROR(__xludf.DUMMYFUNCTION("""COMPUTED_VALUE"""),"Trevor Krejdovsky")</f>
        <v>Trevor Krejdovsky</v>
      </c>
      <c r="G341" s="65"/>
      <c r="H341" s="65" t="str">
        <f>IFERROR(__xludf.DUMMYFUNCTION("""COMPUTED_VALUE"""),"Appliance Rental Return")</f>
        <v>Appliance Rental Return</v>
      </c>
      <c r="I341" s="65" t="str">
        <f>IFERROR(__xludf.DUMMYFUNCTION("""COMPUTED_VALUE""")," Double-Door Mini Fridge + Microwave   - ")</f>
        <v> Double-Door Mini Fridge + Microwave   - </v>
      </c>
      <c r="J341" s="108" t="str">
        <f>IFERROR(__xludf.DUMMYFUNCTION("""COMPUTED_VALUE"""),"Rutledge  ")</f>
        <v>Rutledge  </v>
      </c>
      <c r="K341" s="103">
        <f>IFERROR(__xludf.DUMMYFUNCTION("""COMPUTED_VALUE"""),46149.0)</f>
        <v>46149</v>
      </c>
      <c r="L341" s="65" t="str">
        <f>IFERROR(__xludf.DUMMYFUNCTION("""COMPUTED_VALUE"""),"114")</f>
        <v>114</v>
      </c>
      <c r="M341" s="65" t="str">
        <f>IFERROR(__xludf.DUMMYFUNCTION("""COMPUTED_VALUE""")," ")</f>
        <v> </v>
      </c>
    </row>
    <row r="342">
      <c r="A342" s="99" t="str">
        <f>IFERROR(__xludf.DUMMYFUNCTION("""COMPUTED_VALUE"""),"https://utrucking.com/admin/orders/6456044880060")</f>
        <v>https://utrucking.com/admin/orders/6456044880060</v>
      </c>
      <c r="B342" s="61" t="str">
        <f>IFERROR(__xludf.DUMMYFUNCTION("""COMPUTED_VALUE"""),"#18232")</f>
        <v>#18232</v>
      </c>
      <c r="C342" s="61" t="str">
        <f>IFERROR(__xludf.DUMMYFUNCTION("""COMPUTED_VALUE"""),"n.naveen@wustl.edu")</f>
        <v>n.naveen@wustl.edu</v>
      </c>
      <c r="D342" s="61">
        <f>IFERROR(__xludf.DUMMYFUNCTION("""COMPUTED_VALUE"""),8.472086088E9)</f>
        <v>8472086088</v>
      </c>
      <c r="E342" s="61" t="str">
        <f>IFERROR(__xludf.DUMMYFUNCTION("""COMPUTED_VALUE"""),"Niyati Naveen")</f>
        <v>Niyati Naveen</v>
      </c>
      <c r="F342" s="61" t="str">
        <f>IFERROR(__xludf.DUMMYFUNCTION("""COMPUTED_VALUE"""),"Niyati Naveen")</f>
        <v>Niyati Naveen</v>
      </c>
      <c r="G342" s="61"/>
      <c r="H342" s="61" t="str">
        <f>IFERROR(__xludf.DUMMYFUNCTION("""COMPUTED_VALUE"""),"Appliance Rental Return")</f>
        <v>Appliance Rental Return</v>
      </c>
      <c r="I342" s="61" t="str">
        <f>IFERROR(__xludf.DUMMYFUNCTION("""COMPUTED_VALUE""")," Double-Door Mini Fridge   - ")</f>
        <v> Double-Door Mini Fridge   - </v>
      </c>
      <c r="J342" s="107" t="str">
        <f>IFERROR(__xludf.DUMMYFUNCTION("""COMPUTED_VALUE"""),"Wheeler  ")</f>
        <v>Wheeler  </v>
      </c>
      <c r="K342" s="100">
        <f>IFERROR(__xludf.DUMMYFUNCTION("""COMPUTED_VALUE"""),46149.0)</f>
        <v>46149</v>
      </c>
      <c r="L342" s="61" t="str">
        <f>IFERROR(__xludf.DUMMYFUNCTION("""COMPUTED_VALUE"""),"2083")</f>
        <v>2083</v>
      </c>
      <c r="M342" s="61" t="str">
        <f>IFERROR(__xludf.DUMMYFUNCTION("""COMPUTED_VALUE""")," ")</f>
        <v> </v>
      </c>
    </row>
    <row r="343">
      <c r="A343" s="102" t="str">
        <f>IFERROR(__xludf.DUMMYFUNCTION("""COMPUTED_VALUE"""),"https://utrucking.com/admin/orders/6456161829052")</f>
        <v>https://utrucking.com/admin/orders/6456161829052</v>
      </c>
      <c r="B343" s="65" t="str">
        <f>IFERROR(__xludf.DUMMYFUNCTION("""COMPUTED_VALUE"""),"#18236")</f>
        <v>#18236</v>
      </c>
      <c r="C343" s="65" t="str">
        <f>IFERROR(__xludf.DUMMYFUNCTION("""COMPUTED_VALUE"""),"lea.l@wustl.edu")</f>
        <v>lea.l@wustl.edu</v>
      </c>
      <c r="D343" s="65">
        <f>IFERROR(__xludf.DUMMYFUNCTION("""COMPUTED_VALUE"""),3.14665482E9)</f>
        <v>3146654820</v>
      </c>
      <c r="E343" s="65" t="str">
        <f>IFERROR(__xludf.DUMMYFUNCTION("""COMPUTED_VALUE"""),"Lea Lu")</f>
        <v>Lea Lu</v>
      </c>
      <c r="F343" s="65" t="str">
        <f>IFERROR(__xludf.DUMMYFUNCTION("""COMPUTED_VALUE"""),"Lea Lu")</f>
        <v>Lea Lu</v>
      </c>
      <c r="G343" s="65"/>
      <c r="H343" s="65" t="str">
        <f>IFERROR(__xludf.DUMMYFUNCTION("""COMPUTED_VALUE"""),"Appliance Rental Return")</f>
        <v>Appliance Rental Return</v>
      </c>
      <c r="I343" s="65" t="str">
        <f>IFERROR(__xludf.DUMMYFUNCTION("""COMPUTED_VALUE""")," Standard Mini Fridge + Microwave   - ")</f>
        <v> Standard Mini Fridge + Microwave   - </v>
      </c>
      <c r="J343" s="108" t="str">
        <f>IFERROR(__xludf.DUMMYFUNCTION("""COMPUTED_VALUE"""),"Hitzeman  ")</f>
        <v>Hitzeman  </v>
      </c>
      <c r="K343" s="103">
        <f>IFERROR(__xludf.DUMMYFUNCTION("""COMPUTED_VALUE"""),46148.0)</f>
        <v>46148</v>
      </c>
      <c r="L343" s="65" t="str">
        <f>IFERROR(__xludf.DUMMYFUNCTION("""COMPUTED_VALUE"""),"113")</f>
        <v>113</v>
      </c>
      <c r="M343" s="65" t="str">
        <f>IFERROR(__xludf.DUMMYFUNCTION("""COMPUTED_VALUE""")," ")</f>
        <v> </v>
      </c>
    </row>
    <row r="344">
      <c r="A344" s="99" t="str">
        <f>IFERROR(__xludf.DUMMYFUNCTION("""COMPUTED_VALUE"""),"https://utrucking.com/admin/orders/6456215011516")</f>
        <v>https://utrucking.com/admin/orders/6456215011516</v>
      </c>
      <c r="B344" s="61" t="str">
        <f>IFERROR(__xludf.DUMMYFUNCTION("""COMPUTED_VALUE"""),"#18237")</f>
        <v>#18237</v>
      </c>
      <c r="C344" s="61" t="str">
        <f>IFERROR(__xludf.DUMMYFUNCTION("""COMPUTED_VALUE"""),"fike@wustl.edu")</f>
        <v>fike@wustl.edu</v>
      </c>
      <c r="D344" s="61">
        <f>IFERROR(__xludf.DUMMYFUNCTION("""COMPUTED_VALUE"""),2.242592633E9)</f>
        <v>2242592633</v>
      </c>
      <c r="E344" s="61" t="str">
        <f>IFERROR(__xludf.DUMMYFUNCTION("""COMPUTED_VALUE"""),"Rachel Fike")</f>
        <v>Rachel Fike</v>
      </c>
      <c r="F344" s="61" t="str">
        <f>IFERROR(__xludf.DUMMYFUNCTION("""COMPUTED_VALUE"""),"Rachel Fike")</f>
        <v>Rachel Fike</v>
      </c>
      <c r="G344" s="61"/>
      <c r="H344" s="61" t="str">
        <f>IFERROR(__xludf.DUMMYFUNCTION("""COMPUTED_VALUE"""),"Appliance Rental Return")</f>
        <v>Appliance Rental Return</v>
      </c>
      <c r="I344" s="61" t="str">
        <f>IFERROR(__xludf.DUMMYFUNCTION("""COMPUTED_VALUE""")," Double-Door Mini Fridge   - ")</f>
        <v> Double-Door Mini Fridge   - </v>
      </c>
      <c r="J344" s="107" t="str">
        <f>IFERROR(__xludf.DUMMYFUNCTION("""COMPUTED_VALUE"""),"Wheeler  ")</f>
        <v>Wheeler  </v>
      </c>
      <c r="K344" s="100">
        <f>IFERROR(__xludf.DUMMYFUNCTION("""COMPUTED_VALUE"""),46150.0)</f>
        <v>46150</v>
      </c>
      <c r="L344" s="61" t="str">
        <f>IFERROR(__xludf.DUMMYFUNCTION("""COMPUTED_VALUE"""),"4032")</f>
        <v>4032</v>
      </c>
      <c r="M344" s="61" t="str">
        <f>IFERROR(__xludf.DUMMYFUNCTION("""COMPUTED_VALUE""")," ")</f>
        <v> </v>
      </c>
    </row>
    <row r="345">
      <c r="A345" s="102" t="str">
        <f>IFERROR(__xludf.DUMMYFUNCTION("""COMPUTED_VALUE"""),"https://utrucking.com/admin/orders/6456245059772")</f>
        <v>https://utrucking.com/admin/orders/6456245059772</v>
      </c>
      <c r="B345" s="65" t="str">
        <f>IFERROR(__xludf.DUMMYFUNCTION("""COMPUTED_VALUE"""),"#18239")</f>
        <v>#18239</v>
      </c>
      <c r="C345" s="65" t="str">
        <f>IFERROR(__xludf.DUMMYFUNCTION("""COMPUTED_VALUE"""),"blew8006@gmail.com")</f>
        <v>blew8006@gmail.com</v>
      </c>
      <c r="D345" s="65">
        <f>IFERROR(__xludf.DUMMYFUNCTION("""COMPUTED_VALUE"""),4.049855276E9)</f>
        <v>4049855276</v>
      </c>
      <c r="E345" s="65" t="str">
        <f>IFERROR(__xludf.DUMMYFUNCTION("""COMPUTED_VALUE"""),"Brayden Lewis")</f>
        <v>Brayden Lewis</v>
      </c>
      <c r="F345" s="65" t="str">
        <f>IFERROR(__xludf.DUMMYFUNCTION("""COMPUTED_VALUE"""),"Brayden Lewis")</f>
        <v>Brayden Lewis</v>
      </c>
      <c r="G345" s="65"/>
      <c r="H345" s="65" t="str">
        <f>IFERROR(__xludf.DUMMYFUNCTION("""COMPUTED_VALUE"""),"Appliance Rental Return")</f>
        <v>Appliance Rental Return</v>
      </c>
      <c r="I345" s="65" t="str">
        <f>IFERROR(__xludf.DUMMYFUNCTION("""COMPUTED_VALUE""")," Double-Door Mini Fridge + Microwave   - ")</f>
        <v> Double-Door Mini Fridge + Microwave   - </v>
      </c>
      <c r="J345" s="108" t="str">
        <f>IFERROR(__xludf.DUMMYFUNCTION("""COMPUTED_VALUE"""),"Park  ")</f>
        <v>Park  </v>
      </c>
      <c r="K345" s="103">
        <f>IFERROR(__xludf.DUMMYFUNCTION("""COMPUTED_VALUE"""),46148.0)</f>
        <v>46148</v>
      </c>
      <c r="L345" s="65" t="str">
        <f>IFERROR(__xludf.DUMMYFUNCTION("""COMPUTED_VALUE"""),"410")</f>
        <v>410</v>
      </c>
      <c r="M345" s="65" t="str">
        <f>IFERROR(__xludf.DUMMYFUNCTION("""COMPUTED_VALUE""")," ")</f>
        <v> </v>
      </c>
    </row>
    <row r="346">
      <c r="A346" s="99" t="str">
        <f>IFERROR(__xludf.DUMMYFUNCTION("""COMPUTED_VALUE"""),"https://utrucking.com/admin/orders/6456277205180")</f>
        <v>https://utrucking.com/admin/orders/6456277205180</v>
      </c>
      <c r="B346" s="61" t="str">
        <f>IFERROR(__xludf.DUMMYFUNCTION("""COMPUTED_VALUE"""),"#18240")</f>
        <v>#18240</v>
      </c>
      <c r="C346" s="61" t="str">
        <f>IFERROR(__xludf.DUMMYFUNCTION("""COMPUTED_VALUE"""),"becca_karon@verizon.net")</f>
        <v>becca_karon@verizon.net</v>
      </c>
      <c r="D346" s="61">
        <f>IFERROR(__xludf.DUMMYFUNCTION("""COMPUTED_VALUE"""),4.438129223E9)</f>
        <v>4438129223</v>
      </c>
      <c r="E346" s="61" t="str">
        <f>IFERROR(__xludf.DUMMYFUNCTION("""COMPUTED_VALUE"""),"Becca Karon")</f>
        <v>Becca Karon</v>
      </c>
      <c r="F346" s="61" t="str">
        <f>IFERROR(__xludf.DUMMYFUNCTION("""COMPUTED_VALUE"""),"Becca Karon")</f>
        <v>Becca Karon</v>
      </c>
      <c r="G346" s="61"/>
      <c r="H346" s="61" t="str">
        <f>IFERROR(__xludf.DUMMYFUNCTION("""COMPUTED_VALUE"""),"Appliance Rental Return")</f>
        <v>Appliance Rental Return</v>
      </c>
      <c r="I346" s="61" t="str">
        <f>IFERROR(__xludf.DUMMYFUNCTION("""COMPUTED_VALUE""")," Standard Mini Fridge   - ")</f>
        <v> Standard Mini Fridge   - </v>
      </c>
      <c r="J346" s="107" t="str">
        <f>IFERROR(__xludf.DUMMYFUNCTION("""COMPUTED_VALUE"""),"Nemerov  ")</f>
        <v>Nemerov  </v>
      </c>
      <c r="K346" s="100">
        <f>IFERROR(__xludf.DUMMYFUNCTION("""COMPUTED_VALUE"""),46149.0)</f>
        <v>46149</v>
      </c>
      <c r="L346" s="61" t="str">
        <f>IFERROR(__xludf.DUMMYFUNCTION("""COMPUTED_VALUE"""),"3090")</f>
        <v>3090</v>
      </c>
      <c r="M346" s="61" t="str">
        <f>IFERROR(__xludf.DUMMYFUNCTION("""COMPUTED_VALUE""")," ")</f>
        <v> </v>
      </c>
    </row>
    <row r="347">
      <c r="A347" s="102" t="str">
        <f>IFERROR(__xludf.DUMMYFUNCTION("""COMPUTED_VALUE"""),"https://utrucking.com/admin/orders/6456432033980")</f>
        <v>https://utrucking.com/admin/orders/6456432033980</v>
      </c>
      <c r="B347" s="65" t="str">
        <f>IFERROR(__xludf.DUMMYFUNCTION("""COMPUTED_VALUE"""),"#18244")</f>
        <v>#18244</v>
      </c>
      <c r="C347" s="65" t="str">
        <f>IFERROR(__xludf.DUMMYFUNCTION("""COMPUTED_VALUE"""),"korlando7225@gmail.com")</f>
        <v>korlando7225@gmail.com</v>
      </c>
      <c r="D347" s="65">
        <f>IFERROR(__xludf.DUMMYFUNCTION("""COMPUTED_VALUE"""),4.805443982E9)</f>
        <v>4805443982</v>
      </c>
      <c r="E347" s="65" t="str">
        <f>IFERROR(__xludf.DUMMYFUNCTION("""COMPUTED_VALUE"""),"Kylie Orlando")</f>
        <v>Kylie Orlando</v>
      </c>
      <c r="F347" s="65" t="str">
        <f>IFERROR(__xludf.DUMMYFUNCTION("""COMPUTED_VALUE"""),"Kylie Orlando")</f>
        <v>Kylie Orlando</v>
      </c>
      <c r="G347" s="65"/>
      <c r="H347" s="65" t="str">
        <f>IFERROR(__xludf.DUMMYFUNCTION("""COMPUTED_VALUE"""),"Appliance Rental Return")</f>
        <v>Appliance Rental Return</v>
      </c>
      <c r="I347" s="65" t="str">
        <f>IFERROR(__xludf.DUMMYFUNCTION("""COMPUTED_VALUE""")," Double-Door Mini Fridge   - ")</f>
        <v> Double-Door Mini Fridge   - </v>
      </c>
      <c r="J347" s="108" t="str">
        <f>IFERROR(__xludf.DUMMYFUNCTION("""COMPUTED_VALUE"""),"Nemerov  ")</f>
        <v>Nemerov  </v>
      </c>
      <c r="K347" s="103">
        <f>IFERROR(__xludf.DUMMYFUNCTION("""COMPUTED_VALUE"""),46148.0)</f>
        <v>46148</v>
      </c>
      <c r="L347" s="65" t="str">
        <f>IFERROR(__xludf.DUMMYFUNCTION("""COMPUTED_VALUE"""),"1024")</f>
        <v>1024</v>
      </c>
      <c r="M347" s="65" t="str">
        <f>IFERROR(__xludf.DUMMYFUNCTION("""COMPUTED_VALUE""")," ")</f>
        <v> </v>
      </c>
    </row>
    <row r="348">
      <c r="A348" s="99" t="str">
        <f>IFERROR(__xludf.DUMMYFUNCTION("""COMPUTED_VALUE"""),"https://utrucking.com/admin/orders/6456457199804")</f>
        <v>https://utrucking.com/admin/orders/6456457199804</v>
      </c>
      <c r="B348" s="61" t="str">
        <f>IFERROR(__xludf.DUMMYFUNCTION("""COMPUTED_VALUE"""),"#18245")</f>
        <v>#18245</v>
      </c>
      <c r="C348" s="61" t="str">
        <f>IFERROR(__xludf.DUMMYFUNCTION("""COMPUTED_VALUE"""),"jaci@wustl.edu")</f>
        <v>jaci@wustl.edu</v>
      </c>
      <c r="D348" s="61">
        <f>IFERROR(__xludf.DUMMYFUNCTION("""COMPUTED_VALUE"""),9.493794575E9)</f>
        <v>9493794575</v>
      </c>
      <c r="E348" s="61" t="str">
        <f>IFERROR(__xludf.DUMMYFUNCTION("""COMPUTED_VALUE"""),"Jaci Lee")</f>
        <v>Jaci Lee</v>
      </c>
      <c r="F348" s="61" t="str">
        <f>IFERROR(__xludf.DUMMYFUNCTION("""COMPUTED_VALUE"""),"Jaci Lee")</f>
        <v>Jaci Lee</v>
      </c>
      <c r="G348" s="61"/>
      <c r="H348" s="61" t="str">
        <f>IFERROR(__xludf.DUMMYFUNCTION("""COMPUTED_VALUE"""),"Appliance Rental Return")</f>
        <v>Appliance Rental Return</v>
      </c>
      <c r="I348" s="61" t="str">
        <f>IFERROR(__xludf.DUMMYFUNCTION("""COMPUTED_VALUE""")," Double-Door Mini Fridge + Microwave   - ")</f>
        <v> Double-Door Mini Fridge + Microwave   - </v>
      </c>
      <c r="J348" s="107" t="str">
        <f>IFERROR(__xludf.DUMMYFUNCTION("""COMPUTED_VALUE"""),"Eliot B (Sophomore Dorm)")</f>
        <v>Eliot B (Sophomore Dorm)</v>
      </c>
      <c r="K348" s="100">
        <f>IFERROR(__xludf.DUMMYFUNCTION("""COMPUTED_VALUE"""),46147.0)</f>
        <v>46147</v>
      </c>
      <c r="L348" s="61" t="str">
        <f>IFERROR(__xludf.DUMMYFUNCTION("""COMPUTED_VALUE"""),"2050")</f>
        <v>2050</v>
      </c>
      <c r="M348" s="61" t="str">
        <f>IFERROR(__xludf.DUMMYFUNCTION("""COMPUTED_VALUE""")," ")</f>
        <v> </v>
      </c>
    </row>
    <row r="349">
      <c r="A349" s="102" t="str">
        <f>IFERROR(__xludf.DUMMYFUNCTION("""COMPUTED_VALUE"""),"https://utrucking.com/admin/orders/6456488558780")</f>
        <v>https://utrucking.com/admin/orders/6456488558780</v>
      </c>
      <c r="B349" s="65" t="str">
        <f>IFERROR(__xludf.DUMMYFUNCTION("""COMPUTED_VALUE"""),"#18246")</f>
        <v>#18246</v>
      </c>
      <c r="C349" s="65" t="str">
        <f>IFERROR(__xludf.DUMMYFUNCTION("""COMPUTED_VALUE"""),"dnoelle@wustl.edu")</f>
        <v>dnoelle@wustl.edu</v>
      </c>
      <c r="D349" s="65">
        <f>IFERROR(__xludf.DUMMYFUNCTION("""COMPUTED_VALUE"""),7.082657683E9)</f>
        <v>7082657683</v>
      </c>
      <c r="E349" s="65" t="str">
        <f>IFERROR(__xludf.DUMMYFUNCTION("""COMPUTED_VALUE"""),"Noelle Dolan")</f>
        <v>Noelle Dolan</v>
      </c>
      <c r="F349" s="65" t="str">
        <f>IFERROR(__xludf.DUMMYFUNCTION("""COMPUTED_VALUE"""),"Noelle Dolan")</f>
        <v>Noelle Dolan</v>
      </c>
      <c r="G349" s="65"/>
      <c r="H349" s="65" t="str">
        <f>IFERROR(__xludf.DUMMYFUNCTION("""COMPUTED_VALUE"""),"Appliance Rental Return")</f>
        <v>Appliance Rental Return</v>
      </c>
      <c r="I349" s="65" t="str">
        <f>IFERROR(__xludf.DUMMYFUNCTION("""COMPUTED_VALUE""")," Double-Door Mini Fridge + Microwave   - ")</f>
        <v> Double-Door Mini Fridge + Microwave   - </v>
      </c>
      <c r="J349" s="108" t="str">
        <f>IFERROR(__xludf.DUMMYFUNCTION("""COMPUTED_VALUE"""),"Umrath  ")</f>
        <v>Umrath  </v>
      </c>
      <c r="K349" s="103">
        <f>IFERROR(__xludf.DUMMYFUNCTION("""COMPUTED_VALUE"""),46161.0)</f>
        <v>46161</v>
      </c>
      <c r="L349" s="65" t="str">
        <f>IFERROR(__xludf.DUMMYFUNCTION("""COMPUTED_VALUE"""),"4423")</f>
        <v>4423</v>
      </c>
      <c r="M349" s="65" t="str">
        <f>IFERROR(__xludf.DUMMYFUNCTION("""COMPUTED_VALUE""")," ")</f>
        <v> </v>
      </c>
    </row>
    <row r="350">
      <c r="A350" s="99" t="str">
        <f>IFERROR(__xludf.DUMMYFUNCTION("""COMPUTED_VALUE"""),"https://utrucking.com/admin/orders/6456501239996")</f>
        <v>https://utrucking.com/admin/orders/6456501239996</v>
      </c>
      <c r="B350" s="61" t="str">
        <f>IFERROR(__xludf.DUMMYFUNCTION("""COMPUTED_VALUE"""),"#18247")</f>
        <v>#18247</v>
      </c>
      <c r="C350" s="61" t="str">
        <f>IFERROR(__xludf.DUMMYFUNCTION("""COMPUTED_VALUE"""),"charlie.l.why@gmail.com")</f>
        <v>charlie.l.why@gmail.com</v>
      </c>
      <c r="D350" s="61">
        <f>IFERROR(__xludf.DUMMYFUNCTION("""COMPUTED_VALUE"""),6.308228167E9)</f>
        <v>6308228167</v>
      </c>
      <c r="E350" s="61" t="str">
        <f>IFERROR(__xludf.DUMMYFUNCTION("""COMPUTED_VALUE"""),"Charlie Lytle")</f>
        <v>Charlie Lytle</v>
      </c>
      <c r="F350" s="61" t="str">
        <f>IFERROR(__xludf.DUMMYFUNCTION("""COMPUTED_VALUE"""),"Charlie Lytle")</f>
        <v>Charlie Lytle</v>
      </c>
      <c r="G350" s="61"/>
      <c r="H350" s="61" t="str">
        <f>IFERROR(__xludf.DUMMYFUNCTION("""COMPUTED_VALUE"""),"Appliance Rental Return")</f>
        <v>Appliance Rental Return</v>
      </c>
      <c r="I350" s="61" t="str">
        <f>IFERROR(__xludf.DUMMYFUNCTION("""COMPUTED_VALUE""")," Double-Door Mini Fridge   - ")</f>
        <v> Double-Door Mini Fridge   - </v>
      </c>
      <c r="J350" s="107" t="str">
        <f>IFERROR(__xludf.DUMMYFUNCTION("""COMPUTED_VALUE"""),"Dardick  ")</f>
        <v>Dardick  </v>
      </c>
      <c r="K350" s="100">
        <f>IFERROR(__xludf.DUMMYFUNCTION("""COMPUTED_VALUE"""),46148.0)</f>
        <v>46148</v>
      </c>
      <c r="L350" s="61" t="str">
        <f>IFERROR(__xludf.DUMMYFUNCTION("""COMPUTED_VALUE"""),"2217")</f>
        <v>2217</v>
      </c>
      <c r="M350" s="61" t="str">
        <f>IFERROR(__xludf.DUMMYFUNCTION("""COMPUTED_VALUE""")," ")</f>
        <v> </v>
      </c>
    </row>
    <row r="351">
      <c r="A351" s="102" t="str">
        <f>IFERROR(__xludf.DUMMYFUNCTION("""COMPUTED_VALUE"""),"https://utrucking.com/admin/orders/6456539775164")</f>
        <v>https://utrucking.com/admin/orders/6456539775164</v>
      </c>
      <c r="B351" s="65" t="str">
        <f>IFERROR(__xludf.DUMMYFUNCTION("""COMPUTED_VALUE"""),"#18248")</f>
        <v>#18248</v>
      </c>
      <c r="C351" s="65" t="str">
        <f>IFERROR(__xludf.DUMMYFUNCTION("""COMPUTED_VALUE"""),"florazhou2005@gmail.com")</f>
        <v>florazhou2005@gmail.com</v>
      </c>
      <c r="D351" s="65">
        <f>IFERROR(__xludf.DUMMYFUNCTION("""COMPUTED_VALUE"""),2.022808249E9)</f>
        <v>2022808249</v>
      </c>
      <c r="E351" s="65" t="str">
        <f>IFERROR(__xludf.DUMMYFUNCTION("""COMPUTED_VALUE"""),"Flora Zhou")</f>
        <v>Flora Zhou</v>
      </c>
      <c r="F351" s="65" t="str">
        <f>IFERROR(__xludf.DUMMYFUNCTION("""COMPUTED_VALUE"""),"Flora Zhou")</f>
        <v>Flora Zhou</v>
      </c>
      <c r="G351" s="65"/>
      <c r="H351" s="65" t="str">
        <f>IFERROR(__xludf.DUMMYFUNCTION("""COMPUTED_VALUE"""),"Appliance Rental Return")</f>
        <v>Appliance Rental Return</v>
      </c>
      <c r="I351" s="65" t="str">
        <f>IFERROR(__xludf.DUMMYFUNCTION("""COMPUTED_VALUE""")," Double-Door Mini Fridge + Microwave   - ")</f>
        <v> Double-Door Mini Fridge + Microwave   - </v>
      </c>
      <c r="J351" s="108" t="str">
        <f>IFERROR(__xludf.DUMMYFUNCTION("""COMPUTED_VALUE"""),"Dauten  ")</f>
        <v>Dauten  </v>
      </c>
      <c r="K351" s="103">
        <f>IFERROR(__xludf.DUMMYFUNCTION("""COMPUTED_VALUE"""),46148.0)</f>
        <v>46148</v>
      </c>
      <c r="L351" s="65" t="str">
        <f>IFERROR(__xludf.DUMMYFUNCTION("""COMPUTED_VALUE"""),"121")</f>
        <v>121</v>
      </c>
      <c r="M351" s="65" t="str">
        <f>IFERROR(__xludf.DUMMYFUNCTION("""COMPUTED_VALUE""")," ")</f>
        <v> </v>
      </c>
    </row>
    <row r="352">
      <c r="A352" s="99" t="str">
        <f>IFERROR(__xludf.DUMMYFUNCTION("""COMPUTED_VALUE"""),"https://utrucking.com/admin/orders/6456587813052")</f>
        <v>https://utrucking.com/admin/orders/6456587813052</v>
      </c>
      <c r="B352" s="61" t="str">
        <f>IFERROR(__xludf.DUMMYFUNCTION("""COMPUTED_VALUE"""),"#18250")</f>
        <v>#18250</v>
      </c>
      <c r="C352" s="61" t="str">
        <f>IFERROR(__xludf.DUMMYFUNCTION("""COMPUTED_VALUE"""),"tammystevenson1@gmail.com")</f>
        <v>tammystevenson1@gmail.com</v>
      </c>
      <c r="D352" s="61">
        <f>IFERROR(__xludf.DUMMYFUNCTION("""COMPUTED_VALUE"""),4.024294779E9)</f>
        <v>4024294779</v>
      </c>
      <c r="E352" s="61" t="str">
        <f>IFERROR(__xludf.DUMMYFUNCTION("""COMPUTED_VALUE"""),"Tammy Stevenson")</f>
        <v>Tammy Stevenson</v>
      </c>
      <c r="F352" s="61" t="str">
        <f>IFERROR(__xludf.DUMMYFUNCTION("""COMPUTED_VALUE"""),"Maya Stevenson")</f>
        <v>Maya Stevenson</v>
      </c>
      <c r="G352" s="61"/>
      <c r="H352" s="61" t="str">
        <f>IFERROR(__xludf.DUMMYFUNCTION("""COMPUTED_VALUE"""),"Appliance Rental Return")</f>
        <v>Appliance Rental Return</v>
      </c>
      <c r="I352" s="61" t="str">
        <f>IFERROR(__xludf.DUMMYFUNCTION("""COMPUTED_VALUE""")," Double-Door Mini Fridge + Microwave   - ")</f>
        <v> Double-Door Mini Fridge + Microwave   - </v>
      </c>
      <c r="J352" s="107" t="str">
        <f>IFERROR(__xludf.DUMMYFUNCTION("""COMPUTED_VALUE"""),"Park  ")</f>
        <v>Park  </v>
      </c>
      <c r="K352" s="100">
        <f>IFERROR(__xludf.DUMMYFUNCTION("""COMPUTED_VALUE"""),46150.0)</f>
        <v>46150</v>
      </c>
      <c r="L352" s="61" t="str">
        <f>IFERROR(__xludf.DUMMYFUNCTION("""COMPUTED_VALUE"""),"272")</f>
        <v>272</v>
      </c>
      <c r="M352" s="61" t="str">
        <f>IFERROR(__xludf.DUMMYFUNCTION("""COMPUTED_VALUE""")," ")</f>
        <v> </v>
      </c>
    </row>
    <row r="353">
      <c r="A353" s="102" t="str">
        <f>IFERROR(__xludf.DUMMYFUNCTION("""COMPUTED_VALUE"""),"https://utrucking.com/admin/orders/6456633819324")</f>
        <v>https://utrucking.com/admin/orders/6456633819324</v>
      </c>
      <c r="B353" s="65" t="str">
        <f>IFERROR(__xludf.DUMMYFUNCTION("""COMPUTED_VALUE"""),"#18252")</f>
        <v>#18252</v>
      </c>
      <c r="C353" s="65" t="str">
        <f>IFERROR(__xludf.DUMMYFUNCTION("""COMPUTED_VALUE"""),"e.kelsey@wustl.edu")</f>
        <v>e.kelsey@wustl.edu</v>
      </c>
      <c r="D353" s="65">
        <f>IFERROR(__xludf.DUMMYFUNCTION("""COMPUTED_VALUE"""),5.133949375E9)</f>
        <v>5133949375</v>
      </c>
      <c r="E353" s="65" t="str">
        <f>IFERROR(__xludf.DUMMYFUNCTION("""COMPUTED_VALUE"""),"Kelsey Espenshade")</f>
        <v>Kelsey Espenshade</v>
      </c>
      <c r="F353" s="65" t="str">
        <f>IFERROR(__xludf.DUMMYFUNCTION("""COMPUTED_VALUE"""),"Kelsey Espenshade")</f>
        <v>Kelsey Espenshade</v>
      </c>
      <c r="G353" s="65"/>
      <c r="H353" s="65" t="str">
        <f>IFERROR(__xludf.DUMMYFUNCTION("""COMPUTED_VALUE"""),"Appliance Rental Return")</f>
        <v>Appliance Rental Return</v>
      </c>
      <c r="I353" s="65" t="str">
        <f>IFERROR(__xludf.DUMMYFUNCTION("""COMPUTED_VALUE""")," Double-Door Mini Fridge + Microwave   - ")</f>
        <v> Double-Door Mini Fridge + Microwave   - </v>
      </c>
      <c r="J353" s="108" t="str">
        <f>IFERROR(__xludf.DUMMYFUNCTION("""COMPUTED_VALUE"""),"Umrath  ")</f>
        <v>Umrath  </v>
      </c>
      <c r="K353" s="103">
        <f>IFERROR(__xludf.DUMMYFUNCTION("""COMPUTED_VALUE"""),46149.0)</f>
        <v>46149</v>
      </c>
      <c r="L353" s="65" t="str">
        <f>IFERROR(__xludf.DUMMYFUNCTION("""COMPUTED_VALUE"""),"3309")</f>
        <v>3309</v>
      </c>
      <c r="M353" s="65" t="str">
        <f>IFERROR(__xludf.DUMMYFUNCTION("""COMPUTED_VALUE""")," ")</f>
        <v> </v>
      </c>
    </row>
    <row r="354">
      <c r="A354" s="99" t="str">
        <f>IFERROR(__xludf.DUMMYFUNCTION("""COMPUTED_VALUE"""),"https://utrucking.com/admin/orders/6456642601148")</f>
        <v>https://utrucking.com/admin/orders/6456642601148</v>
      </c>
      <c r="B354" s="61" t="str">
        <f>IFERROR(__xludf.DUMMYFUNCTION("""COMPUTED_VALUE"""),"#18253")</f>
        <v>#18253</v>
      </c>
      <c r="C354" s="61" t="str">
        <f>IFERROR(__xludf.DUMMYFUNCTION("""COMPUTED_VALUE"""),"amanaj26@icloud.com")</f>
        <v>amanaj26@icloud.com</v>
      </c>
      <c r="D354" s="61">
        <f>IFERROR(__xludf.DUMMYFUNCTION("""COMPUTED_VALUE"""),2.145927361E9)</f>
        <v>2145927361</v>
      </c>
      <c r="E354" s="61" t="str">
        <f>IFERROR(__xludf.DUMMYFUNCTION("""COMPUTED_VALUE"""),"Aman Jaleel")</f>
        <v>Aman Jaleel</v>
      </c>
      <c r="F354" s="61" t="str">
        <f>IFERROR(__xludf.DUMMYFUNCTION("""COMPUTED_VALUE"""),"Aman Jaleel")</f>
        <v>Aman Jaleel</v>
      </c>
      <c r="G354" s="61"/>
      <c r="H354" s="61" t="str">
        <f>IFERROR(__xludf.DUMMYFUNCTION("""COMPUTED_VALUE"""),"Appliance Rental Return")</f>
        <v>Appliance Rental Return</v>
      </c>
      <c r="I354" s="61" t="str">
        <f>IFERROR(__xludf.DUMMYFUNCTION("""COMPUTED_VALUE""")," Double-Door Mini Fridge + Microwave   - ")</f>
        <v> Double-Door Mini Fridge + Microwave   - </v>
      </c>
      <c r="J354" s="107" t="str">
        <f>IFERROR(__xludf.DUMMYFUNCTION("""COMPUTED_VALUE"""),"Danforth  ")</f>
        <v>Danforth  </v>
      </c>
      <c r="K354" s="100">
        <f>IFERROR(__xludf.DUMMYFUNCTION("""COMPUTED_VALUE"""),46149.0)</f>
        <v>46149</v>
      </c>
      <c r="L354" s="61" t="str">
        <f>IFERROR(__xludf.DUMMYFUNCTION("""COMPUTED_VALUE"""),"3303")</f>
        <v>3303</v>
      </c>
      <c r="M354" s="61" t="str">
        <f>IFERROR(__xludf.DUMMYFUNCTION("""COMPUTED_VALUE""")," ")</f>
        <v> </v>
      </c>
    </row>
    <row r="355">
      <c r="A355" s="102" t="str">
        <f>IFERROR(__xludf.DUMMYFUNCTION("""COMPUTED_VALUE"""),"https://utrucking.com/admin/orders/6456655675580")</f>
        <v>https://utrucking.com/admin/orders/6456655675580</v>
      </c>
      <c r="B355" s="65" t="str">
        <f>IFERROR(__xludf.DUMMYFUNCTION("""COMPUTED_VALUE"""),"#18254")</f>
        <v>#18254</v>
      </c>
      <c r="C355" s="65" t="str">
        <f>IFERROR(__xludf.DUMMYFUNCTION("""COMPUTED_VALUE"""),"a.m.herrera@wustl.edu")</f>
        <v>a.m.herrera@wustl.edu</v>
      </c>
      <c r="D355" s="65">
        <f>IFERROR(__xludf.DUMMYFUNCTION("""COMPUTED_VALUE"""),8.177570759E9)</f>
        <v>8177570759</v>
      </c>
      <c r="E355" s="65" t="str">
        <f>IFERROR(__xludf.DUMMYFUNCTION("""COMPUTED_VALUE"""),"Alberto Herrera")</f>
        <v>Alberto Herrera</v>
      </c>
      <c r="F355" s="65" t="str">
        <f>IFERROR(__xludf.DUMMYFUNCTION("""COMPUTED_VALUE"""),"Annaliese Herrera")</f>
        <v>Annaliese Herrera</v>
      </c>
      <c r="G355" s="65"/>
      <c r="H355" s="65" t="str">
        <f>IFERROR(__xludf.DUMMYFUNCTION("""COMPUTED_VALUE"""),"Appliance Rental Return")</f>
        <v>Appliance Rental Return</v>
      </c>
      <c r="I355" s="65" t="str">
        <f>IFERROR(__xludf.DUMMYFUNCTION("""COMPUTED_VALUE""")," Standard Mini Fridge   - ")</f>
        <v> Standard Mini Fridge   - </v>
      </c>
      <c r="J355" s="108" t="str">
        <f>IFERROR(__xludf.DUMMYFUNCTION("""COMPUTED_VALUE"""),"Zetcher  ")</f>
        <v>Zetcher  </v>
      </c>
      <c r="K355" s="103">
        <f>IFERROR(__xludf.DUMMYFUNCTION("""COMPUTED_VALUE"""),46149.0)</f>
        <v>46149</v>
      </c>
      <c r="L355" s="65" t="str">
        <f>IFERROR(__xludf.DUMMYFUNCTION("""COMPUTED_VALUE"""),"3073")</f>
        <v>3073</v>
      </c>
      <c r="M355" s="65" t="str">
        <f>IFERROR(__xludf.DUMMYFUNCTION("""COMPUTED_VALUE""")," ")</f>
        <v> </v>
      </c>
    </row>
    <row r="356">
      <c r="A356" s="99" t="str">
        <f>IFERROR(__xludf.DUMMYFUNCTION("""COMPUTED_VALUE"""),"https://utrucking.com/admin/orders/6456658854076")</f>
        <v>https://utrucking.com/admin/orders/6456658854076</v>
      </c>
      <c r="B356" s="61" t="str">
        <f>IFERROR(__xludf.DUMMYFUNCTION("""COMPUTED_VALUE"""),"#18255")</f>
        <v>#18255</v>
      </c>
      <c r="C356" s="61" t="str">
        <f>IFERROR(__xludf.DUMMYFUNCTION("""COMPUTED_VALUE"""),"dram@wustl.edu")</f>
        <v>dram@wustl.edu</v>
      </c>
      <c r="D356" s="61">
        <f>IFERROR(__xludf.DUMMYFUNCTION("""COMPUTED_VALUE"""),6.304533015E9)</f>
        <v>6304533015</v>
      </c>
      <c r="E356" s="61" t="str">
        <f>IFERROR(__xludf.DUMMYFUNCTION("""COMPUTED_VALUE"""),"Emma Dram")</f>
        <v>Emma Dram</v>
      </c>
      <c r="F356" s="61" t="str">
        <f>IFERROR(__xludf.DUMMYFUNCTION("""COMPUTED_VALUE"""),"Emma Dram")</f>
        <v>Emma Dram</v>
      </c>
      <c r="G356" s="61"/>
      <c r="H356" s="61" t="str">
        <f>IFERROR(__xludf.DUMMYFUNCTION("""COMPUTED_VALUE"""),"Appliance Rental Return")</f>
        <v>Appliance Rental Return</v>
      </c>
      <c r="I356" s="61" t="str">
        <f>IFERROR(__xludf.DUMMYFUNCTION("""COMPUTED_VALUE""")," Double-Door Mini Fridge   - ")</f>
        <v> Double-Door Mini Fridge   - </v>
      </c>
      <c r="J356" s="107" t="str">
        <f>IFERROR(__xludf.DUMMYFUNCTION("""COMPUTED_VALUE"""),"Dardick  ")</f>
        <v>Dardick  </v>
      </c>
      <c r="K356" s="100">
        <f>IFERROR(__xludf.DUMMYFUNCTION("""COMPUTED_VALUE"""),46148.0)</f>
        <v>46148</v>
      </c>
      <c r="L356" s="61" t="str">
        <f>IFERROR(__xludf.DUMMYFUNCTION("""COMPUTED_VALUE"""),"3306")</f>
        <v>3306</v>
      </c>
      <c r="M356" s="61" t="str">
        <f>IFERROR(__xludf.DUMMYFUNCTION("""COMPUTED_VALUE""")," ")</f>
        <v> </v>
      </c>
    </row>
    <row r="357">
      <c r="A357" s="102" t="str">
        <f>IFERROR(__xludf.DUMMYFUNCTION("""COMPUTED_VALUE"""),"https://utrucking.com/admin/orders/6456702828732")</f>
        <v>https://utrucking.com/admin/orders/6456702828732</v>
      </c>
      <c r="B357" s="65" t="str">
        <f>IFERROR(__xludf.DUMMYFUNCTION("""COMPUTED_VALUE"""),"#18256")</f>
        <v>#18256</v>
      </c>
      <c r="C357" s="65" t="str">
        <f>IFERROR(__xludf.DUMMYFUNCTION("""COMPUTED_VALUE"""),"j.d.warren@wustl.edu")</f>
        <v>j.d.warren@wustl.edu</v>
      </c>
      <c r="D357" s="65">
        <f>IFERROR(__xludf.DUMMYFUNCTION("""COMPUTED_VALUE"""),9.094558382E9)</f>
        <v>9094558382</v>
      </c>
      <c r="E357" s="65" t="str">
        <f>IFERROR(__xludf.DUMMYFUNCTION("""COMPUTED_VALUE"""),"John Warren")</f>
        <v>John Warren</v>
      </c>
      <c r="F357" s="65" t="str">
        <f>IFERROR(__xludf.DUMMYFUNCTION("""COMPUTED_VALUE"""),"Jack Warren")</f>
        <v>Jack Warren</v>
      </c>
      <c r="G357" s="65"/>
      <c r="H357" s="65" t="str">
        <f>IFERROR(__xludf.DUMMYFUNCTION("""COMPUTED_VALUE"""),"Appliance Rental Return")</f>
        <v>Appliance Rental Return</v>
      </c>
      <c r="I357" s="65" t="str">
        <f>IFERROR(__xludf.DUMMYFUNCTION("""COMPUTED_VALUE""")," Double-Door Mini Fridge + Microwave   - ")</f>
        <v> Double-Door Mini Fridge + Microwave   - </v>
      </c>
      <c r="J357" s="108" t="str">
        <f>IFERROR(__xludf.DUMMYFUNCTION("""COMPUTED_VALUE"""),"Wheeler  ")</f>
        <v>Wheeler  </v>
      </c>
      <c r="K357" s="103">
        <f>IFERROR(__xludf.DUMMYFUNCTION("""COMPUTED_VALUE"""),46148.0)</f>
        <v>46148</v>
      </c>
      <c r="L357" s="65" t="str">
        <f>IFERROR(__xludf.DUMMYFUNCTION("""COMPUTED_VALUE"""),"4064")</f>
        <v>4064</v>
      </c>
      <c r="M357" s="65" t="str">
        <f>IFERROR(__xludf.DUMMYFUNCTION("""COMPUTED_VALUE""")," ")</f>
        <v> </v>
      </c>
    </row>
    <row r="358">
      <c r="A358" s="99" t="str">
        <f>IFERROR(__xludf.DUMMYFUNCTION("""COMPUTED_VALUE"""),"https://utrucking.com/admin/orders/6456738709692")</f>
        <v>https://utrucking.com/admin/orders/6456738709692</v>
      </c>
      <c r="B358" s="61" t="str">
        <f>IFERROR(__xludf.DUMMYFUNCTION("""COMPUTED_VALUE"""),"#18257")</f>
        <v>#18257</v>
      </c>
      <c r="C358" s="61" t="str">
        <f>IFERROR(__xludf.DUMMYFUNCTION("""COMPUTED_VALUE"""),"aarush.banoor@gmail.com")</f>
        <v>aarush.banoor@gmail.com</v>
      </c>
      <c r="D358" s="61">
        <f>IFERROR(__xludf.DUMMYFUNCTION("""COMPUTED_VALUE"""),9.724692479E9)</f>
        <v>9724692479</v>
      </c>
      <c r="E358" s="61" t="str">
        <f>IFERROR(__xludf.DUMMYFUNCTION("""COMPUTED_VALUE"""),"Aarush Banoor")</f>
        <v>Aarush Banoor</v>
      </c>
      <c r="F358" s="61" t="str">
        <f>IFERROR(__xludf.DUMMYFUNCTION("""COMPUTED_VALUE"""),"Aarush")</f>
        <v>Aarush</v>
      </c>
      <c r="G358" s="61"/>
      <c r="H358" s="61" t="str">
        <f>IFERROR(__xludf.DUMMYFUNCTION("""COMPUTED_VALUE"""),"Appliance Rental Return")</f>
        <v>Appliance Rental Return</v>
      </c>
      <c r="I358" s="61" t="str">
        <f>IFERROR(__xludf.DUMMYFUNCTION("""COMPUTED_VALUE""")," Double-Door Mini Fridge + Microwave   - ")</f>
        <v> Double-Door Mini Fridge + Microwave   - </v>
      </c>
      <c r="J358" s="107" t="str">
        <f>IFERROR(__xludf.DUMMYFUNCTION("""COMPUTED_VALUE"""),"Eliot A (Thomas Eliot)")</f>
        <v>Eliot A (Thomas Eliot)</v>
      </c>
      <c r="K358" s="100">
        <f>IFERROR(__xludf.DUMMYFUNCTION("""COMPUTED_VALUE"""),46148.0)</f>
        <v>46148</v>
      </c>
      <c r="L358" s="61" t="str">
        <f>IFERROR(__xludf.DUMMYFUNCTION("""COMPUTED_VALUE"""),"0700 ")</f>
        <v>0700 </v>
      </c>
      <c r="M358" s="61" t="str">
        <f>IFERROR(__xludf.DUMMYFUNCTION("""COMPUTED_VALUE""")," ")</f>
        <v> </v>
      </c>
    </row>
    <row r="359">
      <c r="A359" s="102" t="str">
        <f>IFERROR(__xludf.DUMMYFUNCTION("""COMPUTED_VALUE"""),"https://utrucking.com/admin/orders/6456824955068")</f>
        <v>https://utrucking.com/admin/orders/6456824955068</v>
      </c>
      <c r="B359" s="65" t="str">
        <f>IFERROR(__xludf.DUMMYFUNCTION("""COMPUTED_VALUE"""),"#18259")</f>
        <v>#18259</v>
      </c>
      <c r="C359" s="65" t="str">
        <f>IFERROR(__xludf.DUMMYFUNCTION("""COMPUTED_VALUE"""),"abribriesco06@gmail.com")</f>
        <v>abribriesco06@gmail.com</v>
      </c>
      <c r="D359" s="65">
        <f>IFERROR(__xludf.DUMMYFUNCTION("""COMPUTED_VALUE"""),2.162197398E9)</f>
        <v>2162197398</v>
      </c>
      <c r="E359" s="65" t="str">
        <f>IFERROR(__xludf.DUMMYFUNCTION("""COMPUTED_VALUE"""),"Ava Bribriesco")</f>
        <v>Ava Bribriesco</v>
      </c>
      <c r="F359" s="65" t="str">
        <f>IFERROR(__xludf.DUMMYFUNCTION("""COMPUTED_VALUE"""),"Ava Bribriesco")</f>
        <v>Ava Bribriesco</v>
      </c>
      <c r="G359" s="65"/>
      <c r="H359" s="65" t="str">
        <f>IFERROR(__xludf.DUMMYFUNCTION("""COMPUTED_VALUE"""),"Appliance Rental Return")</f>
        <v>Appliance Rental Return</v>
      </c>
      <c r="I359" s="65" t="str">
        <f>IFERROR(__xludf.DUMMYFUNCTION("""COMPUTED_VALUE""")," Double-Door Mini Fridge + Microwave   - ")</f>
        <v> Double-Door Mini Fridge + Microwave   - </v>
      </c>
      <c r="J359" s="108" t="str">
        <f>IFERROR(__xludf.DUMMYFUNCTION("""COMPUTED_VALUE"""),"Park  ")</f>
        <v>Park  </v>
      </c>
      <c r="K359" s="103">
        <f>IFERROR(__xludf.DUMMYFUNCTION("""COMPUTED_VALUE"""),46148.0)</f>
        <v>46148</v>
      </c>
      <c r="L359" s="65" t="str">
        <f>IFERROR(__xludf.DUMMYFUNCTION("""COMPUTED_VALUE"""),"310")</f>
        <v>310</v>
      </c>
      <c r="M359" s="65" t="str">
        <f>IFERROR(__xludf.DUMMYFUNCTION("""COMPUTED_VALUE""")," ")</f>
        <v> </v>
      </c>
    </row>
    <row r="360">
      <c r="A360" s="99" t="str">
        <f>IFERROR(__xludf.DUMMYFUNCTION("""COMPUTED_VALUE"""),"https://utrucking.com/admin/orders/6456881119420")</f>
        <v>https://utrucking.com/admin/orders/6456881119420</v>
      </c>
      <c r="B360" s="61" t="str">
        <f>IFERROR(__xludf.DUMMYFUNCTION("""COMPUTED_VALUE"""),"#18261")</f>
        <v>#18261</v>
      </c>
      <c r="C360" s="61" t="str">
        <f>IFERROR(__xludf.DUMMYFUNCTION("""COMPUTED_VALUE"""),"yunaima.hernandez@gmail.com")</f>
        <v>yunaima.hernandez@gmail.com</v>
      </c>
      <c r="D360" s="61">
        <f>IFERROR(__xludf.DUMMYFUNCTION("""COMPUTED_VALUE"""),6.507045702E9)</f>
        <v>6507045702</v>
      </c>
      <c r="E360" s="61" t="str">
        <f>IFERROR(__xludf.DUMMYFUNCTION("""COMPUTED_VALUE"""),"Yunaima Rodriguez")</f>
        <v>Yunaima Rodriguez</v>
      </c>
      <c r="F360" s="61" t="str">
        <f>IFERROR(__xludf.DUMMYFUNCTION("""COMPUTED_VALUE"""),"Sebastian Rodriguez")</f>
        <v>Sebastian Rodriguez</v>
      </c>
      <c r="G360" s="61"/>
      <c r="H360" s="61" t="str">
        <f>IFERROR(__xludf.DUMMYFUNCTION("""COMPUTED_VALUE"""),"Appliance Rental Return")</f>
        <v>Appliance Rental Return</v>
      </c>
      <c r="I360" s="61" t="str">
        <f>IFERROR(__xludf.DUMMYFUNCTION("""COMPUTED_VALUE""")," Double-Door Mini Fridge + Microwave   - ")</f>
        <v> Double-Door Mini Fridge + Microwave   - </v>
      </c>
      <c r="J360" s="107" t="str">
        <f>IFERROR(__xludf.DUMMYFUNCTION("""COMPUTED_VALUE"""),"Lee  ")</f>
        <v>Lee  </v>
      </c>
      <c r="K360" s="100">
        <f>IFERROR(__xludf.DUMMYFUNCTION("""COMPUTED_VALUE"""),46148.0)</f>
        <v>46148</v>
      </c>
      <c r="L360" s="61" t="str">
        <f>IFERROR(__xludf.DUMMYFUNCTION("""COMPUTED_VALUE"""),"122")</f>
        <v>122</v>
      </c>
      <c r="M360" s="61" t="str">
        <f>IFERROR(__xludf.DUMMYFUNCTION("""COMPUTED_VALUE""")," ")</f>
        <v> </v>
      </c>
    </row>
    <row r="361">
      <c r="A361" s="102" t="str">
        <f>IFERROR(__xludf.DUMMYFUNCTION("""COMPUTED_VALUE"""),"https://utrucking.com/admin/orders/6456940265660")</f>
        <v>https://utrucking.com/admin/orders/6456940265660</v>
      </c>
      <c r="B361" s="65" t="str">
        <f>IFERROR(__xludf.DUMMYFUNCTION("""COMPUTED_VALUE"""),"#18263")</f>
        <v>#18263</v>
      </c>
      <c r="C361" s="65" t="str">
        <f>IFERROR(__xludf.DUMMYFUNCTION("""COMPUTED_VALUE"""),"gaddamn@wustl.edu")</f>
        <v>gaddamn@wustl.edu</v>
      </c>
      <c r="D361" s="65">
        <f>IFERROR(__xludf.DUMMYFUNCTION("""COMPUTED_VALUE"""),7.048427268E9)</f>
        <v>7048427268</v>
      </c>
      <c r="E361" s="65" t="str">
        <f>IFERROR(__xludf.DUMMYFUNCTION("""COMPUTED_VALUE"""),"Nishanth Gaddam")</f>
        <v>Nishanth Gaddam</v>
      </c>
      <c r="F361" s="65" t="str">
        <f>IFERROR(__xludf.DUMMYFUNCTION("""COMPUTED_VALUE"""),"Nishanth Gaddam")</f>
        <v>Nishanth Gaddam</v>
      </c>
      <c r="G361" s="65"/>
      <c r="H361" s="65" t="str">
        <f>IFERROR(__xludf.DUMMYFUNCTION("""COMPUTED_VALUE"""),"Appliance Rental Return")</f>
        <v>Appliance Rental Return</v>
      </c>
      <c r="I361" s="65" t="str">
        <f>IFERROR(__xludf.DUMMYFUNCTION("""COMPUTED_VALUE""")," Standard Mini Fridge + Microwave   - ")</f>
        <v> Standard Mini Fridge + Microwave   - </v>
      </c>
      <c r="J361" s="108" t="str">
        <f>IFERROR(__xludf.DUMMYFUNCTION("""COMPUTED_VALUE"""),"Umrath  ")</f>
        <v>Umrath  </v>
      </c>
      <c r="K361" s="103">
        <f>IFERROR(__xludf.DUMMYFUNCTION("""COMPUTED_VALUE"""),46148.0)</f>
        <v>46148</v>
      </c>
      <c r="L361" s="65" t="str">
        <f>IFERROR(__xludf.DUMMYFUNCTION("""COMPUTED_VALUE"""),"LL227")</f>
        <v>LL227</v>
      </c>
      <c r="M361" s="65" t="str">
        <f>IFERROR(__xludf.DUMMYFUNCTION("""COMPUTED_VALUE""")," ")</f>
        <v> </v>
      </c>
    </row>
    <row r="362">
      <c r="A362" s="99" t="str">
        <f>IFERROR(__xludf.DUMMYFUNCTION("""COMPUTED_VALUE"""),"https://utrucking.com/admin/orders/6457002655932")</f>
        <v>https://utrucking.com/admin/orders/6457002655932</v>
      </c>
      <c r="B362" s="61" t="str">
        <f>IFERROR(__xludf.DUMMYFUNCTION("""COMPUTED_VALUE"""),"#18264")</f>
        <v>#18264</v>
      </c>
      <c r="C362" s="61" t="str">
        <f>IFERROR(__xludf.DUMMYFUNCTION("""COMPUTED_VALUE"""),"jaredmorton809@gmail.com")</f>
        <v>jaredmorton809@gmail.com</v>
      </c>
      <c r="D362" s="61">
        <f>IFERROR(__xludf.DUMMYFUNCTION("""COMPUTED_VALUE"""),3.012750328E9)</f>
        <v>3012750328</v>
      </c>
      <c r="E362" s="61" t="str">
        <f>IFERROR(__xludf.DUMMYFUNCTION("""COMPUTED_VALUE"""),"Jared Morton")</f>
        <v>Jared Morton</v>
      </c>
      <c r="F362" s="61" t="str">
        <f>IFERROR(__xludf.DUMMYFUNCTION("""COMPUTED_VALUE"""),"Jared Morton")</f>
        <v>Jared Morton</v>
      </c>
      <c r="G362" s="61"/>
      <c r="H362" s="61" t="str">
        <f>IFERROR(__xludf.DUMMYFUNCTION("""COMPUTED_VALUE"""),"Appliance Rental Return")</f>
        <v>Appliance Rental Return</v>
      </c>
      <c r="I362" s="61" t="str">
        <f>IFERROR(__xludf.DUMMYFUNCTION("""COMPUTED_VALUE""")," Double-Door Mini Fridge + Microwave   - ")</f>
        <v> Double-Door Mini Fridge + Microwave   - </v>
      </c>
      <c r="J362" s="107" t="str">
        <f>IFERROR(__xludf.DUMMYFUNCTION("""COMPUTED_VALUE"""),"Umrath  ")</f>
        <v>Umrath  </v>
      </c>
      <c r="K362" s="100">
        <f>IFERROR(__xludf.DUMMYFUNCTION("""COMPUTED_VALUE"""),46149.0)</f>
        <v>46149</v>
      </c>
      <c r="L362" s="61" t="str">
        <f>IFERROR(__xludf.DUMMYFUNCTION("""COMPUTED_VALUE"""),"4412")</f>
        <v>4412</v>
      </c>
      <c r="M362" s="61" t="str">
        <f>IFERROR(__xludf.DUMMYFUNCTION("""COMPUTED_VALUE""")," ")</f>
        <v> </v>
      </c>
    </row>
    <row r="363">
      <c r="A363" s="102" t="str">
        <f>IFERROR(__xludf.DUMMYFUNCTION("""COMPUTED_VALUE"""),"https://utrucking.com/admin/orders/6457108594876")</f>
        <v>https://utrucking.com/admin/orders/6457108594876</v>
      </c>
      <c r="B363" s="65" t="str">
        <f>IFERROR(__xludf.DUMMYFUNCTION("""COMPUTED_VALUE"""),"#18265")</f>
        <v>#18265</v>
      </c>
      <c r="C363" s="65" t="str">
        <f>IFERROR(__xludf.DUMMYFUNCTION("""COMPUTED_VALUE"""),"l.e.olmeta@wustl.edu")</f>
        <v>l.e.olmeta@wustl.edu</v>
      </c>
      <c r="D363" s="65">
        <f>IFERROR(__xludf.DUMMYFUNCTION("""COMPUTED_VALUE"""),8.588228804E9)</f>
        <v>8588228804</v>
      </c>
      <c r="E363" s="65" t="str">
        <f>IFERROR(__xludf.DUMMYFUNCTION("""COMPUTED_VALUE"""),"Lucas Olmeta")</f>
        <v>Lucas Olmeta</v>
      </c>
      <c r="F363" s="65" t="str">
        <f>IFERROR(__xludf.DUMMYFUNCTION("""COMPUTED_VALUE"""),"Lucas Olmeta")</f>
        <v>Lucas Olmeta</v>
      </c>
      <c r="G363" s="65"/>
      <c r="H363" s="65" t="str">
        <f>IFERROR(__xludf.DUMMYFUNCTION("""COMPUTED_VALUE"""),"Appliance Rental Return")</f>
        <v>Appliance Rental Return</v>
      </c>
      <c r="I363" s="65" t="str">
        <f>IFERROR(__xludf.DUMMYFUNCTION("""COMPUTED_VALUE""")," Standard Mini Fridge   - ")</f>
        <v> Standard Mini Fridge   - </v>
      </c>
      <c r="J363" s="108" t="str">
        <f>IFERROR(__xludf.DUMMYFUNCTION("""COMPUTED_VALUE"""),"Liggett  ")</f>
        <v>Liggett  </v>
      </c>
      <c r="K363" s="103">
        <f>IFERROR(__xludf.DUMMYFUNCTION("""COMPUTED_VALUE"""),46149.0)</f>
        <v>46149</v>
      </c>
      <c r="L363" s="65" t="str">
        <f>IFERROR(__xludf.DUMMYFUNCTION("""COMPUTED_VALUE"""),"2283")</f>
        <v>2283</v>
      </c>
      <c r="M363" s="65" t="str">
        <f>IFERROR(__xludf.DUMMYFUNCTION("""COMPUTED_VALUE""")," ")</f>
        <v> </v>
      </c>
    </row>
    <row r="364">
      <c r="A364" s="99" t="str">
        <f>IFERROR(__xludf.DUMMYFUNCTION("""COMPUTED_VALUE"""),"https://utrucking.com/admin/orders/6457659523260")</f>
        <v>https://utrucking.com/admin/orders/6457659523260</v>
      </c>
      <c r="B364" s="61" t="str">
        <f>IFERROR(__xludf.DUMMYFUNCTION("""COMPUTED_VALUE"""),"#18269")</f>
        <v>#18269</v>
      </c>
      <c r="C364" s="61" t="str">
        <f>IFERROR(__xludf.DUMMYFUNCTION("""COMPUTED_VALUE"""),"tjchiu1018@gmail.com")</f>
        <v>tjchiu1018@gmail.com</v>
      </c>
      <c r="D364" s="61">
        <f>IFERROR(__xludf.DUMMYFUNCTION("""COMPUTED_VALUE"""),9.178269653E9)</f>
        <v>9178269653</v>
      </c>
      <c r="E364" s="61" t="str">
        <f>IFERROR(__xludf.DUMMYFUNCTION("""COMPUTED_VALUE"""),"Patricia Choi")</f>
        <v>Patricia Choi</v>
      </c>
      <c r="F364" s="61" t="str">
        <f>IFERROR(__xludf.DUMMYFUNCTION("""COMPUTED_VALUE"""),"Tyler Chiu")</f>
        <v>Tyler Chiu</v>
      </c>
      <c r="G364" s="61"/>
      <c r="H364" s="61" t="str">
        <f>IFERROR(__xludf.DUMMYFUNCTION("""COMPUTED_VALUE"""),"Appliance Rental Return")</f>
        <v>Appliance Rental Return</v>
      </c>
      <c r="I364" s="61" t="str">
        <f>IFERROR(__xludf.DUMMYFUNCTION("""COMPUTED_VALUE""")," Standard Mini Fridge   - ")</f>
        <v> Standard Mini Fridge   - </v>
      </c>
      <c r="J364" s="107" t="str">
        <f>IFERROR(__xludf.DUMMYFUNCTION("""COMPUTED_VALUE"""),"Nemerov  ")</f>
        <v>Nemerov  </v>
      </c>
      <c r="K364" s="100">
        <f>IFERROR(__xludf.DUMMYFUNCTION("""COMPUTED_VALUE"""),46149.0)</f>
        <v>46149</v>
      </c>
      <c r="L364" s="61" t="str">
        <f>IFERROR(__xludf.DUMMYFUNCTION("""COMPUTED_VALUE"""),"3032")</f>
        <v>3032</v>
      </c>
      <c r="M364" s="61" t="str">
        <f>IFERROR(__xludf.DUMMYFUNCTION("""COMPUTED_VALUE""")," ")</f>
        <v> </v>
      </c>
    </row>
    <row r="365">
      <c r="A365" s="102" t="str">
        <f>IFERROR(__xludf.DUMMYFUNCTION("""COMPUTED_VALUE"""),"https://utrucking.com/admin/orders/6457704612028")</f>
        <v>https://utrucking.com/admin/orders/6457704612028</v>
      </c>
      <c r="B365" s="65" t="str">
        <f>IFERROR(__xludf.DUMMYFUNCTION("""COMPUTED_VALUE"""),"#18270")</f>
        <v>#18270</v>
      </c>
      <c r="C365" s="65" t="str">
        <f>IFERROR(__xludf.DUMMYFUNCTION("""COMPUTED_VALUE"""),"lilybrecknock23@gmail.com")</f>
        <v>lilybrecknock23@gmail.com</v>
      </c>
      <c r="D365" s="65">
        <f>IFERROR(__xludf.DUMMYFUNCTION("""COMPUTED_VALUE"""),7.086393381E9)</f>
        <v>7086393381</v>
      </c>
      <c r="E365" s="65" t="str">
        <f>IFERROR(__xludf.DUMMYFUNCTION("""COMPUTED_VALUE"""),"Lily Brecknock")</f>
        <v>Lily Brecknock</v>
      </c>
      <c r="F365" s="65" t="str">
        <f>IFERROR(__xludf.DUMMYFUNCTION("""COMPUTED_VALUE"""),"Lily Brecknock")</f>
        <v>Lily Brecknock</v>
      </c>
      <c r="G365" s="65"/>
      <c r="H365" s="65" t="str">
        <f>IFERROR(__xludf.DUMMYFUNCTION("""COMPUTED_VALUE"""),"Appliance Rental Return")</f>
        <v>Appliance Rental Return</v>
      </c>
      <c r="I365" s="65" t="str">
        <f>IFERROR(__xludf.DUMMYFUNCTION("""COMPUTED_VALUE""")," Double-Door Mini Fridge + Microwave   - ")</f>
        <v> Double-Door Mini Fridge + Microwave   - </v>
      </c>
      <c r="J365" s="108" t="str">
        <f>IFERROR(__xludf.DUMMYFUNCTION("""COMPUTED_VALUE"""),"Umrath  ")</f>
        <v>Umrath  </v>
      </c>
      <c r="K365" s="103">
        <f>IFERROR(__xludf.DUMMYFUNCTION("""COMPUTED_VALUE"""),46160.0)</f>
        <v>46160</v>
      </c>
      <c r="L365" s="65" t="str">
        <f>IFERROR(__xludf.DUMMYFUNCTION("""COMPUTED_VALUE"""),"3324")</f>
        <v>3324</v>
      </c>
      <c r="M365" s="65" t="str">
        <f>IFERROR(__xludf.DUMMYFUNCTION("""COMPUTED_VALUE""")," ")</f>
        <v> </v>
      </c>
    </row>
    <row r="366">
      <c r="A366" s="99" t="str">
        <f>IFERROR(__xludf.DUMMYFUNCTION("""COMPUTED_VALUE"""),"https://utrucking.com/admin/orders/6457707954364")</f>
        <v>https://utrucking.com/admin/orders/6457707954364</v>
      </c>
      <c r="B366" s="61" t="str">
        <f>IFERROR(__xludf.DUMMYFUNCTION("""COMPUTED_VALUE"""),"#18271")</f>
        <v>#18271</v>
      </c>
      <c r="C366" s="61" t="str">
        <f>IFERROR(__xludf.DUMMYFUNCTION("""COMPUTED_VALUE"""),"sohamehta11@gmail.com")</f>
        <v>sohamehta11@gmail.com</v>
      </c>
      <c r="D366" s="61">
        <f>IFERROR(__xludf.DUMMYFUNCTION("""COMPUTED_VALUE"""),7.18594248E9)</f>
        <v>7185942480</v>
      </c>
      <c r="E366" s="61" t="str">
        <f>IFERROR(__xludf.DUMMYFUNCTION("""COMPUTED_VALUE"""),"Soha Mehta")</f>
        <v>Soha Mehta</v>
      </c>
      <c r="F366" s="61" t="str">
        <f>IFERROR(__xludf.DUMMYFUNCTION("""COMPUTED_VALUE"""),"Soha Mehta")</f>
        <v>Soha Mehta</v>
      </c>
      <c r="G366" s="61"/>
      <c r="H366" s="61" t="str">
        <f>IFERROR(__xludf.DUMMYFUNCTION("""COMPUTED_VALUE"""),"Appliance Rental Return")</f>
        <v>Appliance Rental Return</v>
      </c>
      <c r="I366" s="61" t="str">
        <f>IFERROR(__xludf.DUMMYFUNCTION("""COMPUTED_VALUE""")," Double-Door Mini Fridge   - ")</f>
        <v> Double-Door Mini Fridge   - </v>
      </c>
      <c r="J366" s="107" t="str">
        <f>IFERROR(__xludf.DUMMYFUNCTION("""COMPUTED_VALUE"""),"Park  ")</f>
        <v>Park  </v>
      </c>
      <c r="K366" s="100">
        <f>IFERROR(__xludf.DUMMYFUNCTION("""COMPUTED_VALUE"""),46149.0)</f>
        <v>46149</v>
      </c>
      <c r="L366" s="61" t="str">
        <f>IFERROR(__xludf.DUMMYFUNCTION("""COMPUTED_VALUE"""),"462")</f>
        <v>462</v>
      </c>
      <c r="M366" s="61" t="str">
        <f>IFERROR(__xludf.DUMMYFUNCTION("""COMPUTED_VALUE""")," ")</f>
        <v> </v>
      </c>
    </row>
    <row r="367">
      <c r="A367" s="102" t="str">
        <f>IFERROR(__xludf.DUMMYFUNCTION("""COMPUTED_VALUE"""),"https://utrucking.com/admin/orders/6457711263932")</f>
        <v>https://utrucking.com/admin/orders/6457711263932</v>
      </c>
      <c r="B367" s="65" t="str">
        <f>IFERROR(__xludf.DUMMYFUNCTION("""COMPUTED_VALUE"""),"#18272")</f>
        <v>#18272</v>
      </c>
      <c r="C367" s="65" t="str">
        <f>IFERROR(__xludf.DUMMYFUNCTION("""COMPUTED_VALUE"""),"jennifereliu@gmail.com")</f>
        <v>jennifereliu@gmail.com</v>
      </c>
      <c r="D367" s="65">
        <f>IFERROR(__xludf.DUMMYFUNCTION("""COMPUTED_VALUE"""),9.176504578E9)</f>
        <v>9176504578</v>
      </c>
      <c r="E367" s="65" t="str">
        <f>IFERROR(__xludf.DUMMYFUNCTION("""COMPUTED_VALUE"""),"Jennifer Liu")</f>
        <v>Jennifer Liu</v>
      </c>
      <c r="F367" s="65" t="str">
        <f>IFERROR(__xludf.DUMMYFUNCTION("""COMPUTED_VALUE"""),"Ella Mettke")</f>
        <v>Ella Mettke</v>
      </c>
      <c r="G367" s="65"/>
      <c r="H367" s="65" t="str">
        <f>IFERROR(__xludf.DUMMYFUNCTION("""COMPUTED_VALUE"""),"Appliance Rental Return")</f>
        <v>Appliance Rental Return</v>
      </c>
      <c r="I367" s="65" t="str">
        <f>IFERROR(__xludf.DUMMYFUNCTION("""COMPUTED_VALUE""")," Double-Door Mini Fridge + Microwave   - ")</f>
        <v> Double-Door Mini Fridge + Microwave   - </v>
      </c>
      <c r="J367" s="108" t="str">
        <f>IFERROR(__xludf.DUMMYFUNCTION("""COMPUTED_VALUE"""),"Umrath  ")</f>
        <v>Umrath  </v>
      </c>
      <c r="K367" s="103">
        <f>IFERROR(__xludf.DUMMYFUNCTION("""COMPUTED_VALUE"""),46149.0)</f>
        <v>46149</v>
      </c>
      <c r="L367" s="65" t="str">
        <f>IFERROR(__xludf.DUMMYFUNCTION("""COMPUTED_VALUE"""),"2202")</f>
        <v>2202</v>
      </c>
      <c r="M367" s="65" t="str">
        <f>IFERROR(__xludf.DUMMYFUNCTION("""COMPUTED_VALUE""")," ")</f>
        <v> </v>
      </c>
    </row>
    <row r="368">
      <c r="A368" s="99" t="str">
        <f>IFERROR(__xludf.DUMMYFUNCTION("""COMPUTED_VALUE"""),"https://utrucking.com/admin/orders/6457767395516")</f>
        <v>https://utrucking.com/admin/orders/6457767395516</v>
      </c>
      <c r="B368" s="61" t="str">
        <f>IFERROR(__xludf.DUMMYFUNCTION("""COMPUTED_VALUE"""),"#18274")</f>
        <v>#18274</v>
      </c>
      <c r="C368" s="61" t="str">
        <f>IFERROR(__xludf.DUMMYFUNCTION("""COMPUTED_VALUE"""),"julia.f.markowitz@icloud.com")</f>
        <v>julia.f.markowitz@icloud.com</v>
      </c>
      <c r="D368" s="61">
        <f>IFERROR(__xludf.DUMMYFUNCTION("""COMPUTED_VALUE"""),5.719994644E9)</f>
        <v>5719994644</v>
      </c>
      <c r="E368" s="61" t="str">
        <f>IFERROR(__xludf.DUMMYFUNCTION("""COMPUTED_VALUE"""),"Julia Markowitz")</f>
        <v>Julia Markowitz</v>
      </c>
      <c r="F368" s="61" t="str">
        <f>IFERROR(__xludf.DUMMYFUNCTION("""COMPUTED_VALUE"""),"Julia Markowitz")</f>
        <v>Julia Markowitz</v>
      </c>
      <c r="G368" s="61"/>
      <c r="H368" s="61" t="str">
        <f>IFERROR(__xludf.DUMMYFUNCTION("""COMPUTED_VALUE"""),"Appliance Rental Return")</f>
        <v>Appliance Rental Return</v>
      </c>
      <c r="I368" s="61" t="str">
        <f>IFERROR(__xludf.DUMMYFUNCTION("""COMPUTED_VALUE""")," Double-Door Mini Fridge + Microwave   - ")</f>
        <v> Double-Door Mini Fridge + Microwave   - </v>
      </c>
      <c r="J368" s="107" t="str">
        <f>IFERROR(__xludf.DUMMYFUNCTION("""COMPUTED_VALUE"""),"Lien  ")</f>
        <v>Lien  </v>
      </c>
      <c r="K368" s="100">
        <f>IFERROR(__xludf.DUMMYFUNCTION("""COMPUTED_VALUE"""),46154.0)</f>
        <v>46154</v>
      </c>
      <c r="L368" s="61" t="str">
        <f>IFERROR(__xludf.DUMMYFUNCTION("""COMPUTED_VALUE"""),"3319")</f>
        <v>3319</v>
      </c>
      <c r="M368" s="61" t="str">
        <f>IFERROR(__xludf.DUMMYFUNCTION("""COMPUTED_VALUE""")," ")</f>
        <v> </v>
      </c>
    </row>
    <row r="369">
      <c r="A369" s="102" t="str">
        <f>IFERROR(__xludf.DUMMYFUNCTION("""COMPUTED_VALUE"""),"https://utrucking.com/admin/orders/6457773392060")</f>
        <v>https://utrucking.com/admin/orders/6457773392060</v>
      </c>
      <c r="B369" s="65" t="str">
        <f>IFERROR(__xludf.DUMMYFUNCTION("""COMPUTED_VALUE"""),"#18275")</f>
        <v>#18275</v>
      </c>
      <c r="C369" s="65" t="str">
        <f>IFERROR(__xludf.DUMMYFUNCTION("""COMPUTED_VALUE"""),"jackson.p.williams@wustl.edu")</f>
        <v>jackson.p.williams@wustl.edu</v>
      </c>
      <c r="D369" s="65">
        <f>IFERROR(__xludf.DUMMYFUNCTION("""COMPUTED_VALUE"""),8.173132347E9)</f>
        <v>8173132347</v>
      </c>
      <c r="E369" s="65" t="str">
        <f>IFERROR(__xludf.DUMMYFUNCTION("""COMPUTED_VALUE"""),"Jackson Williams")</f>
        <v>Jackson Williams</v>
      </c>
      <c r="F369" s="65" t="str">
        <f>IFERROR(__xludf.DUMMYFUNCTION("""COMPUTED_VALUE"""),"Jackson Williams")</f>
        <v>Jackson Williams</v>
      </c>
      <c r="G369" s="65"/>
      <c r="H369" s="65" t="str">
        <f>IFERROR(__xludf.DUMMYFUNCTION("""COMPUTED_VALUE"""),"Appliance Rental Return")</f>
        <v>Appliance Rental Return</v>
      </c>
      <c r="I369" s="65" t="str">
        <f>IFERROR(__xludf.DUMMYFUNCTION("""COMPUTED_VALUE""")," Double-Door Mini Fridge + Microwave   - ")</f>
        <v> Double-Door Mini Fridge + Microwave   - </v>
      </c>
      <c r="J369" s="108" t="str">
        <f>IFERROR(__xludf.DUMMYFUNCTION("""COMPUTED_VALUE"""),"Rutledge  ")</f>
        <v>Rutledge  </v>
      </c>
      <c r="K369" s="103">
        <f>IFERROR(__xludf.DUMMYFUNCTION("""COMPUTED_VALUE"""),46149.0)</f>
        <v>46149</v>
      </c>
      <c r="L369" s="65" t="str">
        <f>IFERROR(__xludf.DUMMYFUNCTION("""COMPUTED_VALUE"""),"111")</f>
        <v>111</v>
      </c>
      <c r="M369" s="65" t="str">
        <f>IFERROR(__xludf.DUMMYFUNCTION("""COMPUTED_VALUE""")," ")</f>
        <v> </v>
      </c>
    </row>
    <row r="370">
      <c r="A370" s="99" t="str">
        <f>IFERROR(__xludf.DUMMYFUNCTION("""COMPUTED_VALUE"""),"https://utrucking.com/admin/orders/6457847677116")</f>
        <v>https://utrucking.com/admin/orders/6457847677116</v>
      </c>
      <c r="B370" s="61" t="str">
        <f>IFERROR(__xludf.DUMMYFUNCTION("""COMPUTED_VALUE"""),"#18276")</f>
        <v>#18276</v>
      </c>
      <c r="C370" s="61" t="str">
        <f>IFERROR(__xludf.DUMMYFUNCTION("""COMPUTED_VALUE"""),"heathc@wustl.edu")</f>
        <v>heathc@wustl.edu</v>
      </c>
      <c r="D370" s="61">
        <f>IFERROR(__xludf.DUMMYFUNCTION("""COMPUTED_VALUE"""),4.159996664E9)</f>
        <v>4159996664</v>
      </c>
      <c r="E370" s="61" t="str">
        <f>IFERROR(__xludf.DUMMYFUNCTION("""COMPUTED_VALUE"""),"Cecilia Heath")</f>
        <v>Cecilia Heath</v>
      </c>
      <c r="F370" s="61" t="str">
        <f>IFERROR(__xludf.DUMMYFUNCTION("""COMPUTED_VALUE"""),"Cecilia Heath")</f>
        <v>Cecilia Heath</v>
      </c>
      <c r="G370" s="61"/>
      <c r="H370" s="61" t="str">
        <f>IFERROR(__xludf.DUMMYFUNCTION("""COMPUTED_VALUE"""),"Appliance Rental Return")</f>
        <v>Appliance Rental Return</v>
      </c>
      <c r="I370" s="61" t="str">
        <f>IFERROR(__xludf.DUMMYFUNCTION("""COMPUTED_VALUE""")," Double-Door Mini Fridge   - ")</f>
        <v> Double-Door Mini Fridge   - </v>
      </c>
      <c r="J370" s="107" t="str">
        <f>IFERROR(__xludf.DUMMYFUNCTION("""COMPUTED_VALUE"""),"House 1")</f>
        <v>House 1</v>
      </c>
      <c r="K370" s="100">
        <f>IFERROR(__xludf.DUMMYFUNCTION("""COMPUTED_VALUE"""),46149.0)</f>
        <v>46149</v>
      </c>
      <c r="L370" s="61" t="str">
        <f>IFERROR(__xludf.DUMMYFUNCTION("""COMPUTED_VALUE"""),"214")</f>
        <v>214</v>
      </c>
      <c r="M370" s="61" t="str">
        <f>IFERROR(__xludf.DUMMYFUNCTION("""COMPUTED_VALUE""")," ")</f>
        <v> </v>
      </c>
    </row>
    <row r="371">
      <c r="A371" s="102" t="str">
        <f>IFERROR(__xludf.DUMMYFUNCTION("""COMPUTED_VALUE"""),"https://utrucking.com/admin/orders/6457935954108")</f>
        <v>https://utrucking.com/admin/orders/6457935954108</v>
      </c>
      <c r="B371" s="65" t="str">
        <f>IFERROR(__xludf.DUMMYFUNCTION("""COMPUTED_VALUE"""),"#18277")</f>
        <v>#18277</v>
      </c>
      <c r="C371" s="65" t="str">
        <f>IFERROR(__xludf.DUMMYFUNCTION("""COMPUTED_VALUE"""),"jordyn.m.white@wustl.edu")</f>
        <v>jordyn.m.white@wustl.edu</v>
      </c>
      <c r="D371" s="65">
        <f>IFERROR(__xludf.DUMMYFUNCTION("""COMPUTED_VALUE"""),3.01529447E9)</f>
        <v>3015294470</v>
      </c>
      <c r="E371" s="65" t="str">
        <f>IFERROR(__xludf.DUMMYFUNCTION("""COMPUTED_VALUE"""),"Jordyn White")</f>
        <v>Jordyn White</v>
      </c>
      <c r="F371" s="65" t="str">
        <f>IFERROR(__xludf.DUMMYFUNCTION("""COMPUTED_VALUE"""),"Jordyn White")</f>
        <v>Jordyn White</v>
      </c>
      <c r="G371" s="65"/>
      <c r="H371" s="65" t="str">
        <f>IFERROR(__xludf.DUMMYFUNCTION("""COMPUTED_VALUE"""),"Appliance Rental Return")</f>
        <v>Appliance Rental Return</v>
      </c>
      <c r="I371" s="65" t="str">
        <f>IFERROR(__xludf.DUMMYFUNCTION("""COMPUTED_VALUE""")," Double-Door Mini Fridge   - ")</f>
        <v> Double-Door Mini Fridge   - </v>
      </c>
      <c r="J371" s="108" t="str">
        <f>IFERROR(__xludf.DUMMYFUNCTION("""COMPUTED_VALUE"""),"Lopata  ")</f>
        <v>Lopata  </v>
      </c>
      <c r="K371" s="103">
        <f>IFERROR(__xludf.DUMMYFUNCTION("""COMPUTED_VALUE"""),46150.0)</f>
        <v>46150</v>
      </c>
      <c r="L371" s="65" t="str">
        <f>IFERROR(__xludf.DUMMYFUNCTION("""COMPUTED_VALUE"""),"3090 ")</f>
        <v>3090 </v>
      </c>
      <c r="M371" s="65" t="str">
        <f>IFERROR(__xludf.DUMMYFUNCTION("""COMPUTED_VALUE""")," ")</f>
        <v> </v>
      </c>
    </row>
    <row r="372">
      <c r="A372" s="99" t="str">
        <f>IFERROR(__xludf.DUMMYFUNCTION("""COMPUTED_VALUE"""),"https://utrucking.com/admin/orders/6457942278332")</f>
        <v>https://utrucking.com/admin/orders/6457942278332</v>
      </c>
      <c r="B372" s="61" t="str">
        <f>IFERROR(__xludf.DUMMYFUNCTION("""COMPUTED_VALUE"""),"#18278")</f>
        <v>#18278</v>
      </c>
      <c r="C372" s="61" t="str">
        <f>IFERROR(__xludf.DUMMYFUNCTION("""COMPUTED_VALUE"""),"calebyou26@gmail.com")</f>
        <v>calebyou26@gmail.com</v>
      </c>
      <c r="D372" s="61">
        <f>IFERROR(__xludf.DUMMYFUNCTION("""COMPUTED_VALUE"""),2.032802503E9)</f>
        <v>2032802503</v>
      </c>
      <c r="E372" s="61" t="str">
        <f>IFERROR(__xludf.DUMMYFUNCTION("""COMPUTED_VALUE"""),"Caleb You")</f>
        <v>Caleb You</v>
      </c>
      <c r="F372" s="61" t="str">
        <f>IFERROR(__xludf.DUMMYFUNCTION("""COMPUTED_VALUE"""),"Caleb You")</f>
        <v>Caleb You</v>
      </c>
      <c r="G372" s="61"/>
      <c r="H372" s="61" t="str">
        <f>IFERROR(__xludf.DUMMYFUNCTION("""COMPUTED_VALUE"""),"Appliance Rental Return")</f>
        <v>Appliance Rental Return</v>
      </c>
      <c r="I372" s="61" t="str">
        <f>IFERROR(__xludf.DUMMYFUNCTION("""COMPUTED_VALUE""")," Double-Door Mini Fridge + Microwave   - ")</f>
        <v> Double-Door Mini Fridge + Microwave   - </v>
      </c>
      <c r="J372" s="107" t="str">
        <f>IFERROR(__xludf.DUMMYFUNCTION("""COMPUTED_VALUE"""),"Hurd  ")</f>
        <v>Hurd  </v>
      </c>
      <c r="K372" s="100">
        <f>IFERROR(__xludf.DUMMYFUNCTION("""COMPUTED_VALUE"""),46149.0)</f>
        <v>46149</v>
      </c>
      <c r="L372" s="61" t="str">
        <f>IFERROR(__xludf.DUMMYFUNCTION("""COMPUTED_VALUE"""),"33")</f>
        <v>33</v>
      </c>
      <c r="M372" s="61" t="str">
        <f>IFERROR(__xludf.DUMMYFUNCTION("""COMPUTED_VALUE""")," ")</f>
        <v> </v>
      </c>
    </row>
    <row r="373">
      <c r="A373" s="102" t="str">
        <f>IFERROR(__xludf.DUMMYFUNCTION("""COMPUTED_VALUE"""),"https://utrucking.com/admin/orders/6457968263356")</f>
        <v>https://utrucking.com/admin/orders/6457968263356</v>
      </c>
      <c r="B373" s="65" t="str">
        <f>IFERROR(__xludf.DUMMYFUNCTION("""COMPUTED_VALUE"""),"#18281")</f>
        <v>#18281</v>
      </c>
      <c r="C373" s="65" t="str">
        <f>IFERROR(__xludf.DUMMYFUNCTION("""COMPUTED_VALUE"""),"marshallfisher423@gmail.com")</f>
        <v>marshallfisher423@gmail.com</v>
      </c>
      <c r="D373" s="65">
        <f>IFERROR(__xludf.DUMMYFUNCTION("""COMPUTED_VALUE"""),9.786184522E9)</f>
        <v>9786184522</v>
      </c>
      <c r="E373" s="65" t="str">
        <f>IFERROR(__xludf.DUMMYFUNCTION("""COMPUTED_VALUE"""),"Marshall Fisher")</f>
        <v>Marshall Fisher</v>
      </c>
      <c r="F373" s="65" t="str">
        <f>IFERROR(__xludf.DUMMYFUNCTION("""COMPUTED_VALUE"""),"Marshall Fisher")</f>
        <v>Marshall Fisher</v>
      </c>
      <c r="G373" s="65"/>
      <c r="H373" s="65" t="str">
        <f>IFERROR(__xludf.DUMMYFUNCTION("""COMPUTED_VALUE"""),"Appliance Rental Return")</f>
        <v>Appliance Rental Return</v>
      </c>
      <c r="I373" s="65" t="str">
        <f>IFERROR(__xludf.DUMMYFUNCTION("""COMPUTED_VALUE""")," Double-Door Mini Fridge + Microwave   - ")</f>
        <v> Double-Door Mini Fridge + Microwave   - </v>
      </c>
      <c r="J373" s="108" t="str">
        <f>IFERROR(__xludf.DUMMYFUNCTION("""COMPUTED_VALUE"""),"Zetcher  ")</f>
        <v>Zetcher  </v>
      </c>
      <c r="K373" s="103">
        <f>IFERROR(__xludf.DUMMYFUNCTION("""COMPUTED_VALUE"""),46149.0)</f>
        <v>46149</v>
      </c>
      <c r="L373" s="65" t="str">
        <f>IFERROR(__xludf.DUMMYFUNCTION("""COMPUTED_VALUE"""),"3194")</f>
        <v>3194</v>
      </c>
      <c r="M373" s="65" t="str">
        <f>IFERROR(__xludf.DUMMYFUNCTION("""COMPUTED_VALUE""")," ")</f>
        <v> </v>
      </c>
    </row>
    <row r="374">
      <c r="A374" s="99" t="str">
        <f>IFERROR(__xludf.DUMMYFUNCTION("""COMPUTED_VALUE"""),"https://utrucking.com/admin/orders/6457968394428")</f>
        <v>https://utrucking.com/admin/orders/6457968394428</v>
      </c>
      <c r="B374" s="61" t="str">
        <f>IFERROR(__xludf.DUMMYFUNCTION("""COMPUTED_VALUE"""),"#18282")</f>
        <v>#18282</v>
      </c>
      <c r="C374" s="61" t="str">
        <f>IFERROR(__xludf.DUMMYFUNCTION("""COMPUTED_VALUE"""),"csnossel@gmail.com")</f>
        <v>csnossel@gmail.com</v>
      </c>
      <c r="D374" s="61">
        <f>IFERROR(__xludf.DUMMYFUNCTION("""COMPUTED_VALUE"""),9.179022223E9)</f>
        <v>9179022223</v>
      </c>
      <c r="E374" s="61" t="str">
        <f>IFERROR(__xludf.DUMMYFUNCTION("""COMPUTED_VALUE"""),"Clinton Nossel")</f>
        <v>Clinton Nossel</v>
      </c>
      <c r="F374" s="61" t="str">
        <f>IFERROR(__xludf.DUMMYFUNCTION("""COMPUTED_VALUE"""),"Sofia Nossel")</f>
        <v>Sofia Nossel</v>
      </c>
      <c r="G374" s="61"/>
      <c r="H374" s="61" t="str">
        <f>IFERROR(__xludf.DUMMYFUNCTION("""COMPUTED_VALUE"""),"Appliance Rental Return")</f>
        <v>Appliance Rental Return</v>
      </c>
      <c r="I374" s="61" t="str">
        <f>IFERROR(__xludf.DUMMYFUNCTION("""COMPUTED_VALUE""")," Double-Door Mini Fridge   - ")</f>
        <v> Double-Door Mini Fridge   - </v>
      </c>
      <c r="J374" s="107" t="str">
        <f>IFERROR(__xludf.DUMMYFUNCTION("""COMPUTED_VALUE"""),"Gregg  ")</f>
        <v>Gregg  </v>
      </c>
      <c r="K374" s="100">
        <f>IFERROR(__xludf.DUMMYFUNCTION("""COMPUTED_VALUE"""),46149.0)</f>
        <v>46149</v>
      </c>
      <c r="L374" s="61" t="str">
        <f>IFERROR(__xludf.DUMMYFUNCTION("""COMPUTED_VALUE"""),"3133-A")</f>
        <v>3133-A</v>
      </c>
      <c r="M374" s="61" t="str">
        <f>IFERROR(__xludf.DUMMYFUNCTION("""COMPUTED_VALUE""")," ")</f>
        <v> </v>
      </c>
    </row>
    <row r="375">
      <c r="A375" s="102" t="str">
        <f>IFERROR(__xludf.DUMMYFUNCTION("""COMPUTED_VALUE"""),"https://utrucking.com/admin/orders/6457979240636")</f>
        <v>https://utrucking.com/admin/orders/6457979240636</v>
      </c>
      <c r="B375" s="65" t="str">
        <f>IFERROR(__xludf.DUMMYFUNCTION("""COMPUTED_VALUE"""),"#18283")</f>
        <v>#18283</v>
      </c>
      <c r="C375" s="65" t="str">
        <f>IFERROR(__xludf.DUMMYFUNCTION("""COMPUTED_VALUE"""),"cecilia.hsiao.anderson@gmail.com")</f>
        <v>cecilia.hsiao.anderson@gmail.com</v>
      </c>
      <c r="D375" s="65">
        <f>IFERROR(__xludf.DUMMYFUNCTION("""COMPUTED_VALUE"""),6.503988183E9)</f>
        <v>6503988183</v>
      </c>
      <c r="E375" s="65" t="str">
        <f>IFERROR(__xludf.DUMMYFUNCTION("""COMPUTED_VALUE"""),"Cecilia Anderson")</f>
        <v>Cecilia Anderson</v>
      </c>
      <c r="F375" s="65" t="str">
        <f>IFERROR(__xludf.DUMMYFUNCTION("""COMPUTED_VALUE"""),"Cecilia Anderson")</f>
        <v>Cecilia Anderson</v>
      </c>
      <c r="G375" s="65"/>
      <c r="H375" s="65" t="str">
        <f>IFERROR(__xludf.DUMMYFUNCTION("""COMPUTED_VALUE"""),"Appliance Rental Return")</f>
        <v>Appliance Rental Return</v>
      </c>
      <c r="I375" s="65" t="str">
        <f>IFERROR(__xludf.DUMMYFUNCTION("""COMPUTED_VALUE""")," Double-Door Mini Fridge   - ")</f>
        <v> Double-Door Mini Fridge   - </v>
      </c>
      <c r="J375" s="108" t="str">
        <f>IFERROR(__xludf.DUMMYFUNCTION("""COMPUTED_VALUE"""),"Rutledge  ")</f>
        <v>Rutledge  </v>
      </c>
      <c r="K375" s="103">
        <f>IFERROR(__xludf.DUMMYFUNCTION("""COMPUTED_VALUE"""),46149.0)</f>
        <v>46149</v>
      </c>
      <c r="L375" s="65" t="str">
        <f>IFERROR(__xludf.DUMMYFUNCTION("""COMPUTED_VALUE"""),"124")</f>
        <v>124</v>
      </c>
      <c r="M375" s="65" t="str">
        <f>IFERROR(__xludf.DUMMYFUNCTION("""COMPUTED_VALUE""")," ")</f>
        <v> </v>
      </c>
    </row>
    <row r="376">
      <c r="A376" s="99" t="str">
        <f>IFERROR(__xludf.DUMMYFUNCTION("""COMPUTED_VALUE"""),"https://utrucking.com/admin/orders/6458021904572")</f>
        <v>https://utrucking.com/admin/orders/6458021904572</v>
      </c>
      <c r="B376" s="61" t="str">
        <f>IFERROR(__xludf.DUMMYFUNCTION("""COMPUTED_VALUE"""),"#18284")</f>
        <v>#18284</v>
      </c>
      <c r="C376" s="61" t="str">
        <f>IFERROR(__xludf.DUMMYFUNCTION("""COMPUTED_VALUE"""),"dickie@wustl.edu")</f>
        <v>dickie@wustl.edu</v>
      </c>
      <c r="D376" s="61">
        <f>IFERROR(__xludf.DUMMYFUNCTION("""COMPUTED_VALUE"""),7.744070219E9)</f>
        <v>7744070219</v>
      </c>
      <c r="E376" s="61" t="str">
        <f>IFERROR(__xludf.DUMMYFUNCTION("""COMPUTED_VALUE"""),"Jackson Dickie")</f>
        <v>Jackson Dickie</v>
      </c>
      <c r="F376" s="61" t="str">
        <f>IFERROR(__xludf.DUMMYFUNCTION("""COMPUTED_VALUE"""),"Jackson Dickie")</f>
        <v>Jackson Dickie</v>
      </c>
      <c r="G376" s="61"/>
      <c r="H376" s="61" t="str">
        <f>IFERROR(__xludf.DUMMYFUNCTION("""COMPUTED_VALUE"""),"Appliance Rental Return")</f>
        <v>Appliance Rental Return</v>
      </c>
      <c r="I376" s="61" t="str">
        <f>IFERROR(__xludf.DUMMYFUNCTION("""COMPUTED_VALUE""")," Double-Door Mini Fridge + Microwave   - ")</f>
        <v> Double-Door Mini Fridge + Microwave   - </v>
      </c>
      <c r="J376" s="107" t="str">
        <f>IFERROR(__xludf.DUMMYFUNCTION("""COMPUTED_VALUE"""),"Hurd  ")</f>
        <v>Hurd  </v>
      </c>
      <c r="K376" s="100">
        <f>IFERROR(__xludf.DUMMYFUNCTION("""COMPUTED_VALUE"""),46149.0)</f>
        <v>46149</v>
      </c>
      <c r="L376" s="61" t="str">
        <f>IFERROR(__xludf.DUMMYFUNCTION("""COMPUTED_VALUE"""),"334")</f>
        <v>334</v>
      </c>
      <c r="M376" s="61" t="str">
        <f>IFERROR(__xludf.DUMMYFUNCTION("""COMPUTED_VALUE""")," ")</f>
        <v> </v>
      </c>
    </row>
    <row r="377">
      <c r="A377" s="102" t="str">
        <f>IFERROR(__xludf.DUMMYFUNCTION("""COMPUTED_VALUE"""),"https://utrucking.com/admin/orders/6458029965500")</f>
        <v>https://utrucking.com/admin/orders/6458029965500</v>
      </c>
      <c r="B377" s="65" t="str">
        <f>IFERROR(__xludf.DUMMYFUNCTION("""COMPUTED_VALUE"""),"#18285")</f>
        <v>#18285</v>
      </c>
      <c r="C377" s="65" t="str">
        <f>IFERROR(__xludf.DUMMYFUNCTION("""COMPUTED_VALUE"""),"ajohnson987634@wustl.edu")</f>
        <v>ajohnson987634@wustl.edu</v>
      </c>
      <c r="D377" s="65">
        <f>IFERROR(__xludf.DUMMYFUNCTION("""COMPUTED_VALUE"""),2.027401122E9)</f>
        <v>2027401122</v>
      </c>
      <c r="E377" s="65" t="str">
        <f>IFERROR(__xludf.DUMMYFUNCTION("""COMPUTED_VALUE"""),"Amar Johnson")</f>
        <v>Amar Johnson</v>
      </c>
      <c r="F377" s="65" t="str">
        <f>IFERROR(__xludf.DUMMYFUNCTION("""COMPUTED_VALUE"""),"Amar Johnson")</f>
        <v>Amar Johnson</v>
      </c>
      <c r="G377" s="65"/>
      <c r="H377" s="65" t="str">
        <f>IFERROR(__xludf.DUMMYFUNCTION("""COMPUTED_VALUE"""),"Appliance Rental Return")</f>
        <v>Appliance Rental Return</v>
      </c>
      <c r="I377" s="65" t="str">
        <f>IFERROR(__xludf.DUMMYFUNCTION("""COMPUTED_VALUE""")," Double-Door Mini Fridge + Microwave   - ")</f>
        <v> Double-Door Mini Fridge + Microwave   - </v>
      </c>
      <c r="J377" s="108" t="str">
        <f>IFERROR(__xludf.DUMMYFUNCTION("""COMPUTED_VALUE"""),"Danforth  ")</f>
        <v>Danforth  </v>
      </c>
      <c r="K377" s="103">
        <f>IFERROR(__xludf.DUMMYFUNCTION("""COMPUTED_VALUE"""),46149.0)</f>
        <v>46149</v>
      </c>
      <c r="L377" s="65" t="str">
        <f>IFERROR(__xludf.DUMMYFUNCTION("""COMPUTED_VALUE"""),"4405")</f>
        <v>4405</v>
      </c>
      <c r="M377" s="65" t="str">
        <f>IFERROR(__xludf.DUMMYFUNCTION("""COMPUTED_VALUE""")," ")</f>
        <v> </v>
      </c>
    </row>
    <row r="378">
      <c r="A378" s="99" t="str">
        <f>IFERROR(__xludf.DUMMYFUNCTION("""COMPUTED_VALUE"""),"https://utrucking.com/admin/orders/6458146685116")</f>
        <v>https://utrucking.com/admin/orders/6458146685116</v>
      </c>
      <c r="B378" s="61" t="str">
        <f>IFERROR(__xludf.DUMMYFUNCTION("""COMPUTED_VALUE"""),"#18287")</f>
        <v>#18287</v>
      </c>
      <c r="C378" s="61" t="str">
        <f>IFERROR(__xludf.DUMMYFUNCTION("""COMPUTED_VALUE"""),"e.s.palmer@wustl.edu")</f>
        <v>e.s.palmer@wustl.edu</v>
      </c>
      <c r="D378" s="61">
        <f>IFERROR(__xludf.DUMMYFUNCTION("""COMPUTED_VALUE"""),7.817775096E9)</f>
        <v>7817775096</v>
      </c>
      <c r="E378" s="61" t="str">
        <f>IFERROR(__xludf.DUMMYFUNCTION("""COMPUTED_VALUE"""),"Jennifer Feller")</f>
        <v>Jennifer Feller</v>
      </c>
      <c r="F378" s="61" t="str">
        <f>IFERROR(__xludf.DUMMYFUNCTION("""COMPUTED_VALUE"""),"Eleanor Palmer")</f>
        <v>Eleanor Palmer</v>
      </c>
      <c r="G378" s="61"/>
      <c r="H378" s="61" t="str">
        <f>IFERROR(__xludf.DUMMYFUNCTION("""COMPUTED_VALUE"""),"Appliance Rental Return")</f>
        <v>Appliance Rental Return</v>
      </c>
      <c r="I378" s="61" t="str">
        <f>IFERROR(__xludf.DUMMYFUNCTION("""COMPUTED_VALUE""")," Double-Door Mini Fridge   - ")</f>
        <v> Double-Door Mini Fridge   - </v>
      </c>
      <c r="J378" s="107" t="str">
        <f>IFERROR(__xludf.DUMMYFUNCTION("""COMPUTED_VALUE"""),"Village House  ")</f>
        <v>Village House  </v>
      </c>
      <c r="K378" s="100">
        <f>IFERROR(__xludf.DUMMYFUNCTION("""COMPUTED_VALUE"""),46149.0)</f>
        <v>46149</v>
      </c>
      <c r="L378" s="61" t="str">
        <f>IFERROR(__xludf.DUMMYFUNCTION("""COMPUTED_VALUE"""),"2081-a")</f>
        <v>2081-a</v>
      </c>
      <c r="M378" s="61" t="str">
        <f>IFERROR(__xludf.DUMMYFUNCTION("""COMPUTED_VALUE""")," ")</f>
        <v> </v>
      </c>
    </row>
    <row r="379">
      <c r="A379" s="102" t="str">
        <f>IFERROR(__xludf.DUMMYFUNCTION("""COMPUTED_VALUE"""),"https://utrucking.com/admin/orders/6458203537596")</f>
        <v>https://utrucking.com/admin/orders/6458203537596</v>
      </c>
      <c r="B379" s="65" t="str">
        <f>IFERROR(__xludf.DUMMYFUNCTION("""COMPUTED_VALUE"""),"#18288")</f>
        <v>#18288</v>
      </c>
      <c r="C379" s="65" t="str">
        <f>IFERROR(__xludf.DUMMYFUNCTION("""COMPUTED_VALUE"""),"jackl803@comcast.net")</f>
        <v>jackl803@comcast.net</v>
      </c>
      <c r="D379" s="65">
        <f>IFERROR(__xludf.DUMMYFUNCTION("""COMPUTED_VALUE"""),2.81660986E9)</f>
        <v>2816609860</v>
      </c>
      <c r="E379" s="65" t="str">
        <f>IFERROR(__xludf.DUMMYFUNCTION("""COMPUTED_VALUE"""),"John Link")</f>
        <v>John Link</v>
      </c>
      <c r="F379" s="65" t="str">
        <f>IFERROR(__xludf.DUMMYFUNCTION("""COMPUTED_VALUE"""),"John Link ")</f>
        <v>John Link </v>
      </c>
      <c r="G379" s="65"/>
      <c r="H379" s="65" t="str">
        <f>IFERROR(__xludf.DUMMYFUNCTION("""COMPUTED_VALUE"""),"Appliance Rental Return")</f>
        <v>Appliance Rental Return</v>
      </c>
      <c r="I379" s="65" t="str">
        <f>IFERROR(__xludf.DUMMYFUNCTION("""COMPUTED_VALUE""")," Standard Mini Fridge   - ")</f>
        <v> Standard Mini Fridge   - </v>
      </c>
      <c r="J379" s="108" t="str">
        <f>IFERROR(__xludf.DUMMYFUNCTION("""COMPUTED_VALUE"""),"Village House  ")</f>
        <v>Village House  </v>
      </c>
      <c r="K379" s="103">
        <f>IFERROR(__xludf.DUMMYFUNCTION("""COMPUTED_VALUE"""),46149.0)</f>
        <v>46149</v>
      </c>
      <c r="L379" s="65" t="str">
        <f>IFERROR(__xludf.DUMMYFUNCTION("""COMPUTED_VALUE"""),"4141")</f>
        <v>4141</v>
      </c>
      <c r="M379" s="65" t="str">
        <f>IFERROR(__xludf.DUMMYFUNCTION("""COMPUTED_VALUE""")," ")</f>
        <v> </v>
      </c>
    </row>
    <row r="380">
      <c r="A380" s="99" t="str">
        <f>IFERROR(__xludf.DUMMYFUNCTION("""COMPUTED_VALUE"""),"https://utrucking.com/admin/orders/6458303840444")</f>
        <v>https://utrucking.com/admin/orders/6458303840444</v>
      </c>
      <c r="B380" s="61" t="str">
        <f>IFERROR(__xludf.DUMMYFUNCTION("""COMPUTED_VALUE"""),"#18290")</f>
        <v>#18290</v>
      </c>
      <c r="C380" s="61" t="str">
        <f>IFERROR(__xludf.DUMMYFUNCTION("""COMPUTED_VALUE"""),"mari@philipsborn.net")</f>
        <v>mari@philipsborn.net</v>
      </c>
      <c r="D380" s="61">
        <f>IFERROR(__xludf.DUMMYFUNCTION("""COMPUTED_VALUE"""),3.122820845E9)</f>
        <v>3122820845</v>
      </c>
      <c r="E380" s="61" t="str">
        <f>IFERROR(__xludf.DUMMYFUNCTION("""COMPUTED_VALUE"""),"Mari Philipsborn")</f>
        <v>Mari Philipsborn</v>
      </c>
      <c r="F380" s="61" t="str">
        <f>IFERROR(__xludf.DUMMYFUNCTION("""COMPUTED_VALUE"""),"Eli Terman/Ellis Brown")</f>
        <v>Eli Terman/Ellis Brown</v>
      </c>
      <c r="G380" s="61"/>
      <c r="H380" s="61" t="str">
        <f>IFERROR(__xludf.DUMMYFUNCTION("""COMPUTED_VALUE"""),"Appliance Rental Return")</f>
        <v>Appliance Rental Return</v>
      </c>
      <c r="I380" s="61" t="str">
        <f>IFERROR(__xludf.DUMMYFUNCTION("""COMPUTED_VALUE""")," Double-Door Mini Fridge + Microwave   - ")</f>
        <v> Double-Door Mini Fridge + Microwave   - </v>
      </c>
      <c r="J380" s="107" t="str">
        <f>IFERROR(__xludf.DUMMYFUNCTION("""COMPUTED_VALUE"""),"Dauten  ")</f>
        <v>Dauten  </v>
      </c>
      <c r="K380" s="100">
        <f>IFERROR(__xludf.DUMMYFUNCTION("""COMPUTED_VALUE"""),46149.0)</f>
        <v>46149</v>
      </c>
      <c r="L380" s="61" t="str">
        <f>IFERROR(__xludf.DUMMYFUNCTION("""COMPUTED_VALUE"""),"132")</f>
        <v>132</v>
      </c>
      <c r="M380" s="61" t="str">
        <f>IFERROR(__xludf.DUMMYFUNCTION("""COMPUTED_VALUE""")," ")</f>
        <v> </v>
      </c>
    </row>
    <row r="381">
      <c r="A381" s="102" t="str">
        <f>IFERROR(__xludf.DUMMYFUNCTION("""COMPUTED_VALUE"""),"https://utrucking.com/admin/orders/6458694893756")</f>
        <v>https://utrucking.com/admin/orders/6458694893756</v>
      </c>
      <c r="B381" s="65" t="str">
        <f>IFERROR(__xludf.DUMMYFUNCTION("""COMPUTED_VALUE"""),"#18294")</f>
        <v>#18294</v>
      </c>
      <c r="C381" s="65" t="str">
        <f>IFERROR(__xludf.DUMMYFUNCTION("""COMPUTED_VALUE"""),"mcmurtrie@wustl.edu")</f>
        <v>mcmurtrie@wustl.edu</v>
      </c>
      <c r="D381" s="65">
        <f>IFERROR(__xludf.DUMMYFUNCTION("""COMPUTED_VALUE"""),3.412030474E9)</f>
        <v>3412030474</v>
      </c>
      <c r="E381" s="65" t="str">
        <f>IFERROR(__xludf.DUMMYFUNCTION("""COMPUTED_VALUE"""),"Owen McMurtrie")</f>
        <v>Owen McMurtrie</v>
      </c>
      <c r="F381" s="65" t="str">
        <f>IFERROR(__xludf.DUMMYFUNCTION("""COMPUTED_VALUE"""),"Owen M McMurtrie")</f>
        <v>Owen M McMurtrie</v>
      </c>
      <c r="G381" s="65"/>
      <c r="H381" s="65" t="str">
        <f>IFERROR(__xludf.DUMMYFUNCTION("""COMPUTED_VALUE"""),"Appliance Rental Return")</f>
        <v>Appliance Rental Return</v>
      </c>
      <c r="I381" s="65" t="str">
        <f>IFERROR(__xludf.DUMMYFUNCTION("""COMPUTED_VALUE""")," Standard Mini Fridge   - ")</f>
        <v> Standard Mini Fridge   - </v>
      </c>
      <c r="J381" s="108" t="str">
        <f>IFERROR(__xludf.DUMMYFUNCTION("""COMPUTED_VALUE"""),"Lee  ")</f>
        <v>Lee  </v>
      </c>
      <c r="K381" s="103">
        <f>IFERROR(__xludf.DUMMYFUNCTION("""COMPUTED_VALUE"""),46150.0)</f>
        <v>46150</v>
      </c>
      <c r="L381" s="65" t="str">
        <f>IFERROR(__xludf.DUMMYFUNCTION("""COMPUTED_VALUE"""),"121")</f>
        <v>121</v>
      </c>
      <c r="M381" s="65" t="str">
        <f>IFERROR(__xludf.DUMMYFUNCTION("""COMPUTED_VALUE""")," ")</f>
        <v> </v>
      </c>
    </row>
    <row r="382">
      <c r="A382" s="99" t="str">
        <f>IFERROR(__xludf.DUMMYFUNCTION("""COMPUTED_VALUE"""),"https://utrucking.com/admin/orders/6458774782140")</f>
        <v>https://utrucking.com/admin/orders/6458774782140</v>
      </c>
      <c r="B382" s="61" t="str">
        <f>IFERROR(__xludf.DUMMYFUNCTION("""COMPUTED_VALUE"""),"#18296")</f>
        <v>#18296</v>
      </c>
      <c r="C382" s="61" t="str">
        <f>IFERROR(__xludf.DUMMYFUNCTION("""COMPUTED_VALUE"""),"dalehson@gmail.com")</f>
        <v>dalehson@gmail.com</v>
      </c>
      <c r="D382" s="61">
        <f>IFERROR(__xludf.DUMMYFUNCTION("""COMPUTED_VALUE"""),3.145561564E9)</f>
        <v>3145561564</v>
      </c>
      <c r="E382" s="61" t="str">
        <f>IFERROR(__xludf.DUMMYFUNCTION("""COMPUTED_VALUE"""),"Dale Son")</f>
        <v>Dale Son</v>
      </c>
      <c r="F382" s="61" t="str">
        <f>IFERROR(__xludf.DUMMYFUNCTION("""COMPUTED_VALUE"""),"Dale Son")</f>
        <v>Dale Son</v>
      </c>
      <c r="G382" s="61"/>
      <c r="H382" s="61" t="str">
        <f>IFERROR(__xludf.DUMMYFUNCTION("""COMPUTED_VALUE"""),"Appliance Rental Return")</f>
        <v>Appliance Rental Return</v>
      </c>
      <c r="I382" s="61" t="str">
        <f>IFERROR(__xludf.DUMMYFUNCTION("""COMPUTED_VALUE""")," Double-Door Mini Fridge + Microwave   - ")</f>
        <v> Double-Door Mini Fridge + Microwave   - </v>
      </c>
      <c r="J382" s="107" t="str">
        <f>IFERROR(__xludf.DUMMYFUNCTION("""COMPUTED_VALUE"""),"Hitzeman  ")</f>
        <v>Hitzeman  </v>
      </c>
      <c r="K382" s="100">
        <f>IFERROR(__xludf.DUMMYFUNCTION("""COMPUTED_VALUE"""),46150.0)</f>
        <v>46150</v>
      </c>
      <c r="L382" s="61" t="str">
        <f>IFERROR(__xludf.DUMMYFUNCTION("""COMPUTED_VALUE"""),"444")</f>
        <v>444</v>
      </c>
      <c r="M382" s="61" t="str">
        <f>IFERROR(__xludf.DUMMYFUNCTION("""COMPUTED_VALUE""")," ")</f>
        <v> </v>
      </c>
    </row>
    <row r="383">
      <c r="A383" s="102" t="str">
        <f>IFERROR(__xludf.DUMMYFUNCTION("""COMPUTED_VALUE"""),"https://utrucking.com/admin/orders/6458819313852")</f>
        <v>https://utrucking.com/admin/orders/6458819313852</v>
      </c>
      <c r="B383" s="65" t="str">
        <f>IFERROR(__xludf.DUMMYFUNCTION("""COMPUTED_VALUE"""),"#18297")</f>
        <v>#18297</v>
      </c>
      <c r="C383" s="65" t="str">
        <f>IFERROR(__xludf.DUMMYFUNCTION("""COMPUTED_VALUE"""),"itsmeabbie100@gmail.com")</f>
        <v>itsmeabbie100@gmail.com</v>
      </c>
      <c r="D383" s="65">
        <f>IFERROR(__xludf.DUMMYFUNCTION("""COMPUTED_VALUE"""),8.609603741E9)</f>
        <v>8609603741</v>
      </c>
      <c r="E383" s="65" t="str">
        <f>IFERROR(__xludf.DUMMYFUNCTION("""COMPUTED_VALUE"""),"Abigail Schiff")</f>
        <v>Abigail Schiff</v>
      </c>
      <c r="F383" s="65" t="str">
        <f>IFERROR(__xludf.DUMMYFUNCTION("""COMPUTED_VALUE"""),"Sally Liberman")</f>
        <v>Sally Liberman</v>
      </c>
      <c r="G383" s="65"/>
      <c r="H383" s="65" t="str">
        <f>IFERROR(__xludf.DUMMYFUNCTION("""COMPUTED_VALUE"""),"Appliance Rental Return")</f>
        <v>Appliance Rental Return</v>
      </c>
      <c r="I383" s="65" t="str">
        <f>IFERROR(__xludf.DUMMYFUNCTION("""COMPUTED_VALUE""")," Double-Door Mini Fridge + Microwave   - ")</f>
        <v> Double-Door Mini Fridge + Microwave   - </v>
      </c>
      <c r="J383" s="108" t="str">
        <f>IFERROR(__xludf.DUMMYFUNCTION("""COMPUTED_VALUE"""),"Umrath  ")</f>
        <v>Umrath  </v>
      </c>
      <c r="K383" s="103">
        <f>IFERROR(__xludf.DUMMYFUNCTION("""COMPUTED_VALUE"""),46150.0)</f>
        <v>46150</v>
      </c>
      <c r="L383" s="65" t="str">
        <f>IFERROR(__xludf.DUMMYFUNCTION("""COMPUTED_VALUE"""),"3322")</f>
        <v>3322</v>
      </c>
      <c r="M383" s="65" t="str">
        <f>IFERROR(__xludf.DUMMYFUNCTION("""COMPUTED_VALUE""")," ")</f>
        <v> </v>
      </c>
    </row>
    <row r="384">
      <c r="A384" s="99" t="str">
        <f>IFERROR(__xludf.DUMMYFUNCTION("""COMPUTED_VALUE"""),"https://utrucking.com/admin/orders/6458898317500")</f>
        <v>https://utrucking.com/admin/orders/6458898317500</v>
      </c>
      <c r="B384" s="61" t="str">
        <f>IFERROR(__xludf.DUMMYFUNCTION("""COMPUTED_VALUE"""),"#18298")</f>
        <v>#18298</v>
      </c>
      <c r="C384" s="61" t="str">
        <f>IFERROR(__xludf.DUMMYFUNCTION("""COMPUTED_VALUE"""),"acbell1045@gmail.com")</f>
        <v>acbell1045@gmail.com</v>
      </c>
      <c r="D384" s="61">
        <f>IFERROR(__xludf.DUMMYFUNCTION("""COMPUTED_VALUE"""),7.132993682E9)</f>
        <v>7132993682</v>
      </c>
      <c r="E384" s="61" t="str">
        <f>IFERROR(__xludf.DUMMYFUNCTION("""COMPUTED_VALUE"""),"Ashton Bell")</f>
        <v>Ashton Bell</v>
      </c>
      <c r="F384" s="61" t="str">
        <f>IFERROR(__xludf.DUMMYFUNCTION("""COMPUTED_VALUE"""),"Ashton Bell")</f>
        <v>Ashton Bell</v>
      </c>
      <c r="G384" s="61"/>
      <c r="H384" s="61" t="str">
        <f>IFERROR(__xludf.DUMMYFUNCTION("""COMPUTED_VALUE"""),"Appliance Rental Return")</f>
        <v>Appliance Rental Return</v>
      </c>
      <c r="I384" s="61" t="str">
        <f>IFERROR(__xludf.DUMMYFUNCTION("""COMPUTED_VALUE""")," Double-Door Mini Fridge + Microwave   - ")</f>
        <v> Double-Door Mini Fridge + Microwave   - </v>
      </c>
      <c r="J384" s="107" t="str">
        <f>IFERROR(__xludf.DUMMYFUNCTION("""COMPUTED_VALUE"""),"Danforth  ")</f>
        <v>Danforth  </v>
      </c>
      <c r="K384" s="100">
        <f>IFERROR(__xludf.DUMMYFUNCTION("""COMPUTED_VALUE"""),46150.0)</f>
        <v>46150</v>
      </c>
      <c r="L384" s="61" t="str">
        <f>IFERROR(__xludf.DUMMYFUNCTION("""COMPUTED_VALUE"""),"2202")</f>
        <v>2202</v>
      </c>
      <c r="M384" s="61" t="str">
        <f>IFERROR(__xludf.DUMMYFUNCTION("""COMPUTED_VALUE""")," ")</f>
        <v> </v>
      </c>
    </row>
    <row r="385">
      <c r="A385" s="102" t="str">
        <f>IFERROR(__xludf.DUMMYFUNCTION("""COMPUTED_VALUE"""),"https://utrucking.com/admin/orders/6458921943228")</f>
        <v>https://utrucking.com/admin/orders/6458921943228</v>
      </c>
      <c r="B385" s="65" t="str">
        <f>IFERROR(__xludf.DUMMYFUNCTION("""COMPUTED_VALUE"""),"#18300")</f>
        <v>#18300</v>
      </c>
      <c r="C385" s="65" t="str">
        <f>IFERROR(__xludf.DUMMYFUNCTION("""COMPUTED_VALUE"""),"a.r.victor@wustl.edu")</f>
        <v>a.r.victor@wustl.edu</v>
      </c>
      <c r="D385" s="65">
        <f>IFERROR(__xludf.DUMMYFUNCTION("""COMPUTED_VALUE"""),2.486729306E9)</f>
        <v>2486729306</v>
      </c>
      <c r="E385" s="65" t="str">
        <f>IFERROR(__xludf.DUMMYFUNCTION("""COMPUTED_VALUE"""),"Adin Victor")</f>
        <v>Adin Victor</v>
      </c>
      <c r="F385" s="65" t="str">
        <f>IFERROR(__xludf.DUMMYFUNCTION("""COMPUTED_VALUE"""),"Adin Victor")</f>
        <v>Adin Victor</v>
      </c>
      <c r="G385" s="65"/>
      <c r="H385" s="65" t="str">
        <f>IFERROR(__xludf.DUMMYFUNCTION("""COMPUTED_VALUE"""),"Appliance Rental Return")</f>
        <v>Appliance Rental Return</v>
      </c>
      <c r="I385" s="65" t="str">
        <f>IFERROR(__xludf.DUMMYFUNCTION("""COMPUTED_VALUE""")," Double-Door Mini Fridge   - ")</f>
        <v> Double-Door Mini Fridge   - </v>
      </c>
      <c r="J385" s="108" t="str">
        <f>IFERROR(__xludf.DUMMYFUNCTION("""COMPUTED_VALUE"""),"Nemerov  ")</f>
        <v>Nemerov  </v>
      </c>
      <c r="K385" s="103">
        <f>IFERROR(__xludf.DUMMYFUNCTION("""COMPUTED_VALUE"""),46150.0)</f>
        <v>46150</v>
      </c>
      <c r="L385" s="65" t="str">
        <f>IFERROR(__xludf.DUMMYFUNCTION("""COMPUTED_VALUE"""),"2080")</f>
        <v>2080</v>
      </c>
      <c r="M385" s="65" t="str">
        <f>IFERROR(__xludf.DUMMYFUNCTION("""COMPUTED_VALUE""")," ")</f>
        <v> </v>
      </c>
    </row>
    <row r="386">
      <c r="A386" s="99" t="str">
        <f>IFERROR(__xludf.DUMMYFUNCTION("""COMPUTED_VALUE"""),"https://utrucking.com/admin/orders/6458979451068")</f>
        <v>https://utrucking.com/admin/orders/6458979451068</v>
      </c>
      <c r="B386" s="61" t="str">
        <f>IFERROR(__xludf.DUMMYFUNCTION("""COMPUTED_VALUE"""),"#18303")</f>
        <v>#18303</v>
      </c>
      <c r="C386" s="61" t="str">
        <f>IFERROR(__xludf.DUMMYFUNCTION("""COMPUTED_VALUE"""),"sophiamsidhu24@gmail.com")</f>
        <v>sophiamsidhu24@gmail.com</v>
      </c>
      <c r="D386" s="61">
        <f>IFERROR(__xludf.DUMMYFUNCTION("""COMPUTED_VALUE"""),7.044181011E9)</f>
        <v>7044181011</v>
      </c>
      <c r="E386" s="61" t="str">
        <f>IFERROR(__xludf.DUMMYFUNCTION("""COMPUTED_VALUE"""),"Sophia Sidhu")</f>
        <v>Sophia Sidhu</v>
      </c>
      <c r="F386" s="61" t="str">
        <f>IFERROR(__xludf.DUMMYFUNCTION("""COMPUTED_VALUE"""),"Sophia Sidhu")</f>
        <v>Sophia Sidhu</v>
      </c>
      <c r="G386" s="61"/>
      <c r="H386" s="61" t="str">
        <f>IFERROR(__xludf.DUMMYFUNCTION("""COMPUTED_VALUE"""),"Appliance Rental Return")</f>
        <v>Appliance Rental Return</v>
      </c>
      <c r="I386" s="61" t="str">
        <f>IFERROR(__xludf.DUMMYFUNCTION("""COMPUTED_VALUE""")," Double-Door Mini Fridge   - ")</f>
        <v> Double-Door Mini Fridge   - </v>
      </c>
      <c r="J386" s="107" t="str">
        <f>IFERROR(__xludf.DUMMYFUNCTION("""COMPUTED_VALUE"""),"Nemerov  ")</f>
        <v>Nemerov  </v>
      </c>
      <c r="K386" s="100">
        <f>IFERROR(__xludf.DUMMYFUNCTION("""COMPUTED_VALUE"""),46150.0)</f>
        <v>46150</v>
      </c>
      <c r="L386" s="61" t="str">
        <f>IFERROR(__xludf.DUMMYFUNCTION("""COMPUTED_VALUE"""),"3050-3053")</f>
        <v>3050-3053</v>
      </c>
      <c r="M386" s="61" t="str">
        <f>IFERROR(__xludf.DUMMYFUNCTION("""COMPUTED_VALUE""")," ")</f>
        <v> </v>
      </c>
    </row>
    <row r="387">
      <c r="A387" s="102" t="str">
        <f>IFERROR(__xludf.DUMMYFUNCTION("""COMPUTED_VALUE"""),"https://utrucking.com/admin/orders/6458988593340")</f>
        <v>https://utrucking.com/admin/orders/6458988593340</v>
      </c>
      <c r="B387" s="65" t="str">
        <f>IFERROR(__xludf.DUMMYFUNCTION("""COMPUTED_VALUE"""),"#18304")</f>
        <v>#18304</v>
      </c>
      <c r="C387" s="65" t="str">
        <f>IFERROR(__xludf.DUMMYFUNCTION("""COMPUTED_VALUE"""),"gjvitolo@gmail.com")</f>
        <v>gjvitolo@gmail.com</v>
      </c>
      <c r="D387" s="65">
        <f>IFERROR(__xludf.DUMMYFUNCTION("""COMPUTED_VALUE"""),6.178932403E9)</f>
        <v>6178932403</v>
      </c>
      <c r="E387" s="65" t="str">
        <f>IFERROR(__xludf.DUMMYFUNCTION("""COMPUTED_VALUE"""),"Giulia Vitolo")</f>
        <v>Giulia Vitolo</v>
      </c>
      <c r="F387" s="65" t="str">
        <f>IFERROR(__xludf.DUMMYFUNCTION("""COMPUTED_VALUE"""),"Giulia Vitolo")</f>
        <v>Giulia Vitolo</v>
      </c>
      <c r="G387" s="65"/>
      <c r="H387" s="65" t="str">
        <f>IFERROR(__xludf.DUMMYFUNCTION("""COMPUTED_VALUE"""),"Appliance Rental Return")</f>
        <v>Appliance Rental Return</v>
      </c>
      <c r="I387" s="65" t="str">
        <f>IFERROR(__xludf.DUMMYFUNCTION("""COMPUTED_VALUE""")," Double-Door Mini Fridge + Microwave   - ")</f>
        <v> Double-Door Mini Fridge + Microwave   - </v>
      </c>
      <c r="J387" s="108" t="str">
        <f>IFERROR(__xludf.DUMMYFUNCTION("""COMPUTED_VALUE"""),"Hitzeman  ")</f>
        <v>Hitzeman  </v>
      </c>
      <c r="K387" s="103">
        <f>IFERROR(__xludf.DUMMYFUNCTION("""COMPUTED_VALUE"""),46150.0)</f>
        <v>46150</v>
      </c>
      <c r="L387" s="65" t="str">
        <f>IFERROR(__xludf.DUMMYFUNCTION("""COMPUTED_VALUE"""),"233-a")</f>
        <v>233-a</v>
      </c>
      <c r="M387" s="65" t="str">
        <f>IFERROR(__xludf.DUMMYFUNCTION("""COMPUTED_VALUE""")," ")</f>
        <v> </v>
      </c>
    </row>
    <row r="388">
      <c r="A388" s="99" t="str">
        <f>IFERROR(__xludf.DUMMYFUNCTION("""COMPUTED_VALUE"""),"https://utrucking.com/admin/orders/6459009794236")</f>
        <v>https://utrucking.com/admin/orders/6459009794236</v>
      </c>
      <c r="B388" s="61" t="str">
        <f>IFERROR(__xludf.DUMMYFUNCTION("""COMPUTED_VALUE"""),"#18305")</f>
        <v>#18305</v>
      </c>
      <c r="C388" s="61" t="str">
        <f>IFERROR(__xludf.DUMMYFUNCTION("""COMPUTED_VALUE"""),"h.ruy@wustl.edu")</f>
        <v>h.ruy@wustl.edu</v>
      </c>
      <c r="D388" s="61">
        <f>IFERROR(__xludf.DUMMYFUNCTION("""COMPUTED_VALUE"""),3.146656647E9)</f>
        <v>3146656647</v>
      </c>
      <c r="E388" s="61" t="str">
        <f>IFERROR(__xludf.DUMMYFUNCTION("""COMPUTED_VALUE"""),"Hajin Ruy")</f>
        <v>Hajin Ruy</v>
      </c>
      <c r="F388" s="61" t="str">
        <f>IFERROR(__xludf.DUMMYFUNCTION("""COMPUTED_VALUE"""),"Hajin Ruy")</f>
        <v>Hajin Ruy</v>
      </c>
      <c r="G388" s="61"/>
      <c r="H388" s="61" t="str">
        <f>IFERROR(__xludf.DUMMYFUNCTION("""COMPUTED_VALUE"""),"Appliance Rental Return")</f>
        <v>Appliance Rental Return</v>
      </c>
      <c r="I388" s="61" t="str">
        <f>IFERROR(__xludf.DUMMYFUNCTION("""COMPUTED_VALUE""")," Double-Door Mini Fridge + Microwave   - ")</f>
        <v> Double-Door Mini Fridge + Microwave   - </v>
      </c>
      <c r="J388" s="107" t="str">
        <f>IFERROR(__xludf.DUMMYFUNCTION("""COMPUTED_VALUE"""),"Village House  ")</f>
        <v>Village House  </v>
      </c>
      <c r="K388" s="100">
        <f>IFERROR(__xludf.DUMMYFUNCTION("""COMPUTED_VALUE"""),46150.0)</f>
        <v>46150</v>
      </c>
      <c r="L388" s="61" t="str">
        <f>IFERROR(__xludf.DUMMYFUNCTION("""COMPUTED_VALUE"""),"3390")</f>
        <v>3390</v>
      </c>
      <c r="M388" s="61" t="str">
        <f>IFERROR(__xludf.DUMMYFUNCTION("""COMPUTED_VALUE""")," ")</f>
        <v> </v>
      </c>
    </row>
    <row r="389">
      <c r="A389" s="102" t="str">
        <f>IFERROR(__xludf.DUMMYFUNCTION("""COMPUTED_VALUE"""),"https://utrucking.com/admin/orders/6459016872124")</f>
        <v>https://utrucking.com/admin/orders/6459016872124</v>
      </c>
      <c r="B389" s="65" t="str">
        <f>IFERROR(__xludf.DUMMYFUNCTION("""COMPUTED_VALUE"""),"#18306")</f>
        <v>#18306</v>
      </c>
      <c r="C389" s="65" t="str">
        <f>IFERROR(__xludf.DUMMYFUNCTION("""COMPUTED_VALUE"""),"d.mukherjee@wustl.edu")</f>
        <v>d.mukherjee@wustl.edu</v>
      </c>
      <c r="D389" s="65">
        <f>IFERROR(__xludf.DUMMYFUNCTION("""COMPUTED_VALUE"""),6.692044959E9)</f>
        <v>6692044959</v>
      </c>
      <c r="E389" s="65" t="str">
        <f>IFERROR(__xludf.DUMMYFUNCTION("""COMPUTED_VALUE"""),"Diya Mukherjee")</f>
        <v>Diya Mukherjee</v>
      </c>
      <c r="F389" s="65" t="str">
        <f>IFERROR(__xludf.DUMMYFUNCTION("""COMPUTED_VALUE"""),"Diya Mukherjee")</f>
        <v>Diya Mukherjee</v>
      </c>
      <c r="G389" s="65"/>
      <c r="H389" s="65" t="str">
        <f>IFERROR(__xludf.DUMMYFUNCTION("""COMPUTED_VALUE"""),"Appliance Rental Return")</f>
        <v>Appliance Rental Return</v>
      </c>
      <c r="I389" s="65" t="str">
        <f>IFERROR(__xludf.DUMMYFUNCTION("""COMPUTED_VALUE""")," Double-Door Mini Fridge + Microwave   - ")</f>
        <v> Double-Door Mini Fridge + Microwave   - </v>
      </c>
      <c r="J389" s="108" t="str">
        <f>IFERROR(__xludf.DUMMYFUNCTION("""COMPUTED_VALUE"""),"Wheeler  ")</f>
        <v>Wheeler  </v>
      </c>
      <c r="K389" s="103">
        <f>IFERROR(__xludf.DUMMYFUNCTION("""COMPUTED_VALUE"""),46150.0)</f>
        <v>46150</v>
      </c>
      <c r="L389" s="65" t="str">
        <f>IFERROR(__xludf.DUMMYFUNCTION("""COMPUTED_VALUE"""),"1040")</f>
        <v>1040</v>
      </c>
      <c r="M389" s="65" t="str">
        <f>IFERROR(__xludf.DUMMYFUNCTION("""COMPUTED_VALUE""")," ")</f>
        <v> </v>
      </c>
    </row>
    <row r="390">
      <c r="A390" s="99" t="str">
        <f>IFERROR(__xludf.DUMMYFUNCTION("""COMPUTED_VALUE"""),"https://utrucking.com/admin/orders/6459085455548")</f>
        <v>https://utrucking.com/admin/orders/6459085455548</v>
      </c>
      <c r="B390" s="61" t="str">
        <f>IFERROR(__xludf.DUMMYFUNCTION("""COMPUTED_VALUE"""),"#18309")</f>
        <v>#18309</v>
      </c>
      <c r="C390" s="61" t="str">
        <f>IFERROR(__xludf.DUMMYFUNCTION("""COMPUTED_VALUE"""),"talibenyehuda13@gmail.com")</f>
        <v>talibenyehuda13@gmail.com</v>
      </c>
      <c r="D390" s="61">
        <f>IFERROR(__xludf.DUMMYFUNCTION("""COMPUTED_VALUE"""),6.197401313E9)</f>
        <v>6197401313</v>
      </c>
      <c r="E390" s="61" t="str">
        <f>IFERROR(__xludf.DUMMYFUNCTION("""COMPUTED_VALUE"""),"Tali Ben-Yehuda")</f>
        <v>Tali Ben-Yehuda</v>
      </c>
      <c r="F390" s="61" t="str">
        <f>IFERROR(__xludf.DUMMYFUNCTION("""COMPUTED_VALUE"""),"Tali Ben-Yehuda")</f>
        <v>Tali Ben-Yehuda</v>
      </c>
      <c r="G390" s="61"/>
      <c r="H390" s="61" t="str">
        <f>IFERROR(__xludf.DUMMYFUNCTION("""COMPUTED_VALUE"""),"Appliance Rental Return")</f>
        <v>Appliance Rental Return</v>
      </c>
      <c r="I390" s="61" t="str">
        <f>IFERROR(__xludf.DUMMYFUNCTION("""COMPUTED_VALUE""")," Double-Door Mini Fridge + Microwave   - ")</f>
        <v> Double-Door Mini Fridge + Microwave   - </v>
      </c>
      <c r="J390" s="107" t="str">
        <f>IFERROR(__xludf.DUMMYFUNCTION("""COMPUTED_VALUE"""),"Hitzeman  ")</f>
        <v>Hitzeman  </v>
      </c>
      <c r="K390" s="100">
        <f>IFERROR(__xludf.DUMMYFUNCTION("""COMPUTED_VALUE"""),46150.0)</f>
        <v>46150</v>
      </c>
      <c r="L390" s="61" t="str">
        <f>IFERROR(__xludf.DUMMYFUNCTION("""COMPUTED_VALUE"""),"114")</f>
        <v>114</v>
      </c>
      <c r="M390" s="61" t="str">
        <f>IFERROR(__xludf.DUMMYFUNCTION("""COMPUTED_VALUE""")," ")</f>
        <v> </v>
      </c>
    </row>
    <row r="391">
      <c r="A391" s="102" t="str">
        <f>IFERROR(__xludf.DUMMYFUNCTION("""COMPUTED_VALUE"""),"https://utrucking.com/admin/orders/6459092304060")</f>
        <v>https://utrucking.com/admin/orders/6459092304060</v>
      </c>
      <c r="B391" s="65" t="str">
        <f>IFERROR(__xludf.DUMMYFUNCTION("""COMPUTED_VALUE"""),"#18310")</f>
        <v>#18310</v>
      </c>
      <c r="C391" s="65" t="str">
        <f>IFERROR(__xludf.DUMMYFUNCTION("""COMPUTED_VALUE"""),"g.gordon@wustl.edu")</f>
        <v>g.gordon@wustl.edu</v>
      </c>
      <c r="D391" s="65">
        <f>IFERROR(__xludf.DUMMYFUNCTION("""COMPUTED_VALUE"""),2.406201906E9)</f>
        <v>2406201906</v>
      </c>
      <c r="E391" s="65" t="str">
        <f>IFERROR(__xludf.DUMMYFUNCTION("""COMPUTED_VALUE"""),"Gil Gordon")</f>
        <v>Gil Gordon</v>
      </c>
      <c r="F391" s="65" t="str">
        <f>IFERROR(__xludf.DUMMYFUNCTION("""COMPUTED_VALUE"""),"Gil Gordon")</f>
        <v>Gil Gordon</v>
      </c>
      <c r="G391" s="65"/>
      <c r="H391" s="65" t="str">
        <f>IFERROR(__xludf.DUMMYFUNCTION("""COMPUTED_VALUE"""),"Appliance Rental Return")</f>
        <v>Appliance Rental Return</v>
      </c>
      <c r="I391" s="65" t="str">
        <f>IFERROR(__xludf.DUMMYFUNCTION("""COMPUTED_VALUE""")," Standard Mini Fridge + Microwave   - ")</f>
        <v> Standard Mini Fridge + Microwave   - </v>
      </c>
      <c r="J391" s="108" t="str">
        <f>IFERROR(__xludf.DUMMYFUNCTION("""COMPUTED_VALUE"""),"Koenig  ")</f>
        <v>Koenig  </v>
      </c>
      <c r="K391" s="103">
        <f>IFERROR(__xludf.DUMMYFUNCTION("""COMPUTED_VALUE"""),46150.0)</f>
        <v>46150</v>
      </c>
      <c r="L391" s="65" t="str">
        <f>IFERROR(__xludf.DUMMYFUNCTION("""COMPUTED_VALUE"""),"3304")</f>
        <v>3304</v>
      </c>
      <c r="M391" s="65" t="str">
        <f>IFERROR(__xludf.DUMMYFUNCTION("""COMPUTED_VALUE""")," ")</f>
        <v> </v>
      </c>
    </row>
    <row r="392">
      <c r="A392" s="99" t="str">
        <f>IFERROR(__xludf.DUMMYFUNCTION("""COMPUTED_VALUE"""),"https://utrucking.com/admin/orders/6459139850428")</f>
        <v>https://utrucking.com/admin/orders/6459139850428</v>
      </c>
      <c r="B392" s="61" t="str">
        <f>IFERROR(__xludf.DUMMYFUNCTION("""COMPUTED_VALUE"""),"#18314")</f>
        <v>#18314</v>
      </c>
      <c r="C392" s="61" t="str">
        <f>IFERROR(__xludf.DUMMYFUNCTION("""COMPUTED_VALUE"""),"eliskaprice@icloud.com")</f>
        <v>eliskaprice@icloud.com</v>
      </c>
      <c r="D392" s="61">
        <f>IFERROR(__xludf.DUMMYFUNCTION("""COMPUTED_VALUE"""),4.17408464E9)</f>
        <v>4174084640</v>
      </c>
      <c r="E392" s="61" t="str">
        <f>IFERROR(__xludf.DUMMYFUNCTION("""COMPUTED_VALUE"""),"Kamila Price")</f>
        <v>Kamila Price</v>
      </c>
      <c r="F392" s="61" t="str">
        <f>IFERROR(__xludf.DUMMYFUNCTION("""COMPUTED_VALUE"""),"Eliska Price")</f>
        <v>Eliska Price</v>
      </c>
      <c r="G392" s="61"/>
      <c r="H392" s="61" t="str">
        <f>IFERROR(__xludf.DUMMYFUNCTION("""COMPUTED_VALUE"""),"Appliance Rental Return")</f>
        <v>Appliance Rental Return</v>
      </c>
      <c r="I392" s="61" t="str">
        <f>IFERROR(__xludf.DUMMYFUNCTION("""COMPUTED_VALUE""")," Double-Door Mini Fridge   - ")</f>
        <v> Double-Door Mini Fridge   - </v>
      </c>
      <c r="J392" s="107" t="str">
        <f>IFERROR(__xludf.DUMMYFUNCTION("""COMPUTED_VALUE"""),"Wheeler  ")</f>
        <v>Wheeler  </v>
      </c>
      <c r="K392" s="100">
        <f>IFERROR(__xludf.DUMMYFUNCTION("""COMPUTED_VALUE"""),46150.0)</f>
        <v>46150</v>
      </c>
      <c r="L392" s="61" t="str">
        <f>IFERROR(__xludf.DUMMYFUNCTION("""COMPUTED_VALUE"""),"1013")</f>
        <v>1013</v>
      </c>
      <c r="M392" s="61" t="str">
        <f>IFERROR(__xludf.DUMMYFUNCTION("""COMPUTED_VALUE""")," The fridge is in the suite common room. Thank you.")</f>
        <v> The fridge is in the suite common room. Thank you.</v>
      </c>
    </row>
    <row r="393">
      <c r="A393" s="102" t="str">
        <f>IFERROR(__xludf.DUMMYFUNCTION("""COMPUTED_VALUE"""),"https://utrucking.com/admin/orders/6459150303420")</f>
        <v>https://utrucking.com/admin/orders/6459150303420</v>
      </c>
      <c r="B393" s="65" t="str">
        <f>IFERROR(__xludf.DUMMYFUNCTION("""COMPUTED_VALUE"""),"#18315")</f>
        <v>#18315</v>
      </c>
      <c r="C393" s="65" t="str">
        <f>IFERROR(__xludf.DUMMYFUNCTION("""COMPUTED_VALUE"""),"camilainsunza127@gmail.com")</f>
        <v>camilainsunza127@gmail.com</v>
      </c>
      <c r="D393" s="65">
        <f>IFERROR(__xludf.DUMMYFUNCTION("""COMPUTED_VALUE"""),5.20841425E9)</f>
        <v>5208414250</v>
      </c>
      <c r="E393" s="65" t="str">
        <f>IFERROR(__xludf.DUMMYFUNCTION("""COMPUTED_VALUE"""),"Camila Insunza")</f>
        <v>Camila Insunza</v>
      </c>
      <c r="F393" s="65" t="str">
        <f>IFERROR(__xludf.DUMMYFUNCTION("""COMPUTED_VALUE"""),"Camila Insunza")</f>
        <v>Camila Insunza</v>
      </c>
      <c r="G393" s="65"/>
      <c r="H393" s="65" t="str">
        <f>IFERROR(__xludf.DUMMYFUNCTION("""COMPUTED_VALUE"""),"Appliance Rental Return")</f>
        <v>Appliance Rental Return</v>
      </c>
      <c r="I393" s="65" t="str">
        <f>IFERROR(__xludf.DUMMYFUNCTION("""COMPUTED_VALUE""")," Double-Door Mini Fridge + Microwave   - ")</f>
        <v> Double-Door Mini Fridge + Microwave   - </v>
      </c>
      <c r="J393" s="108" t="str">
        <f>IFERROR(__xludf.DUMMYFUNCTION("""COMPUTED_VALUE"""),"Dardick  ")</f>
        <v>Dardick  </v>
      </c>
      <c r="K393" s="103">
        <f>IFERROR(__xludf.DUMMYFUNCTION("""COMPUTED_VALUE"""),46151.0)</f>
        <v>46151</v>
      </c>
      <c r="L393" s="65" t="str">
        <f>IFERROR(__xludf.DUMMYFUNCTION("""COMPUTED_VALUE"""),"4405")</f>
        <v>4405</v>
      </c>
      <c r="M393" s="65" t="str">
        <f>IFERROR(__xludf.DUMMYFUNCTION("""COMPUTED_VALUE""")," ")</f>
        <v> </v>
      </c>
    </row>
    <row r="394">
      <c r="A394" s="99" t="str">
        <f>IFERROR(__xludf.DUMMYFUNCTION("""COMPUTED_VALUE"""),"https://utrucking.com/admin/orders/6459205550268")</f>
        <v>https://utrucking.com/admin/orders/6459205550268</v>
      </c>
      <c r="B394" s="61" t="str">
        <f>IFERROR(__xludf.DUMMYFUNCTION("""COMPUTED_VALUE"""),"#18316")</f>
        <v>#18316</v>
      </c>
      <c r="C394" s="61" t="str">
        <f>IFERROR(__xludf.DUMMYFUNCTION("""COMPUTED_VALUE"""),"betsyslover@icloud.com")</f>
        <v>betsyslover@icloud.com</v>
      </c>
      <c r="D394" s="61">
        <f>IFERROR(__xludf.DUMMYFUNCTION("""COMPUTED_VALUE"""),5.125850522E9)</f>
        <v>5125850522</v>
      </c>
      <c r="E394" s="61" t="str">
        <f>IFERROR(__xludf.DUMMYFUNCTION("""COMPUTED_VALUE"""),"Elizabeth Slover")</f>
        <v>Elizabeth Slover</v>
      </c>
      <c r="F394" s="61" t="str">
        <f>IFERROR(__xludf.DUMMYFUNCTION("""COMPUTED_VALUE"""),"Betsy Slover")</f>
        <v>Betsy Slover</v>
      </c>
      <c r="G394" s="61"/>
      <c r="H394" s="61" t="str">
        <f>IFERROR(__xludf.DUMMYFUNCTION("""COMPUTED_VALUE"""),"Appliance Rental Return")</f>
        <v>Appliance Rental Return</v>
      </c>
      <c r="I394" s="61" t="str">
        <f>IFERROR(__xludf.DUMMYFUNCTION("""COMPUTED_VALUE""")," Double-Door Mini Fridge + Microwave   - ")</f>
        <v> Double-Door Mini Fridge + Microwave   - </v>
      </c>
      <c r="J394" s="107" t="str">
        <f>IFERROR(__xludf.DUMMYFUNCTION("""COMPUTED_VALUE"""),"Danforth  ")</f>
        <v>Danforth  </v>
      </c>
      <c r="K394" s="100">
        <f>IFERROR(__xludf.DUMMYFUNCTION("""COMPUTED_VALUE"""),46150.0)</f>
        <v>46150</v>
      </c>
      <c r="L394" s="61" t="str">
        <f>IFERROR(__xludf.DUMMYFUNCTION("""COMPUTED_VALUE"""),"2222")</f>
        <v>2222</v>
      </c>
      <c r="M394" s="61" t="str">
        <f>IFERROR(__xludf.DUMMYFUNCTION("""COMPUTED_VALUE""")," ")</f>
        <v> </v>
      </c>
    </row>
    <row r="395">
      <c r="A395" s="102" t="str">
        <f>IFERROR(__xludf.DUMMYFUNCTION("""COMPUTED_VALUE"""),"https://utrucking.com/admin/orders/6459217019068")</f>
        <v>https://utrucking.com/admin/orders/6459217019068</v>
      </c>
      <c r="B395" s="65" t="str">
        <f>IFERROR(__xludf.DUMMYFUNCTION("""COMPUTED_VALUE"""),"#18317")</f>
        <v>#18317</v>
      </c>
      <c r="C395" s="65" t="str">
        <f>IFERROR(__xludf.DUMMYFUNCTION("""COMPUTED_VALUE"""),"dwendler093@gmail.com")</f>
        <v>dwendler093@gmail.com</v>
      </c>
      <c r="D395" s="65">
        <f>IFERROR(__xludf.DUMMYFUNCTION("""COMPUTED_VALUE"""),8.327646569E9)</f>
        <v>8327646569</v>
      </c>
      <c r="E395" s="65" t="str">
        <f>IFERROR(__xludf.DUMMYFUNCTION("""COMPUTED_VALUE"""),"Drew Wendler")</f>
        <v>Drew Wendler</v>
      </c>
      <c r="F395" s="65" t="str">
        <f>IFERROR(__xludf.DUMMYFUNCTION("""COMPUTED_VALUE"""),"Drew Wendler")</f>
        <v>Drew Wendler</v>
      </c>
      <c r="G395" s="65"/>
      <c r="H395" s="65" t="str">
        <f>IFERROR(__xludf.DUMMYFUNCTION("""COMPUTED_VALUE"""),"Appliance Rental Return")</f>
        <v>Appliance Rental Return</v>
      </c>
      <c r="I395" s="65" t="str">
        <f>IFERROR(__xludf.DUMMYFUNCTION("""COMPUTED_VALUE""")," Double-Door Mini Fridge + Microwave   - ")</f>
        <v> Double-Door Mini Fridge + Microwave   - </v>
      </c>
      <c r="J395" s="108" t="str">
        <f>IFERROR(__xludf.DUMMYFUNCTION("""COMPUTED_VALUE"""),"House 4 (Theta Xi)  ")</f>
        <v>House 4 (Theta Xi)  </v>
      </c>
      <c r="K395" s="103">
        <f>IFERROR(__xludf.DUMMYFUNCTION("""COMPUTED_VALUE"""),46150.0)</f>
        <v>46150</v>
      </c>
      <c r="L395" s="65" t="str">
        <f>IFERROR(__xludf.DUMMYFUNCTION("""COMPUTED_VALUE"""),"206")</f>
        <v>206</v>
      </c>
      <c r="M395" s="65" t="str">
        <f>IFERROR(__xludf.DUMMYFUNCTION("""COMPUTED_VALUE""")," ")</f>
        <v> </v>
      </c>
    </row>
    <row r="396">
      <c r="A396" s="99" t="str">
        <f>IFERROR(__xludf.DUMMYFUNCTION("""COMPUTED_VALUE"""),"https://utrucking.com/admin/orders/6459275477180")</f>
        <v>https://utrucking.com/admin/orders/6459275477180</v>
      </c>
      <c r="B396" s="61" t="str">
        <f>IFERROR(__xludf.DUMMYFUNCTION("""COMPUTED_VALUE"""),"#18320")</f>
        <v>#18320</v>
      </c>
      <c r="C396" s="61" t="str">
        <f>IFERROR(__xludf.DUMMYFUNCTION("""COMPUTED_VALUE"""),"suzanne.wiebke@gmail.com")</f>
        <v>suzanne.wiebke@gmail.com</v>
      </c>
      <c r="D396" s="61">
        <f>IFERROR(__xludf.DUMMYFUNCTION("""COMPUTED_VALUE"""),6.194232453E9)</f>
        <v>6194232453</v>
      </c>
      <c r="E396" s="61" t="str">
        <f>IFERROR(__xludf.DUMMYFUNCTION("""COMPUTED_VALUE"""),"Suzanne Wiebke")</f>
        <v>Suzanne Wiebke</v>
      </c>
      <c r="F396" s="61" t="str">
        <f>IFERROR(__xludf.DUMMYFUNCTION("""COMPUTED_VALUE"""),"Nathan Wiebke")</f>
        <v>Nathan Wiebke</v>
      </c>
      <c r="G396" s="61"/>
      <c r="H396" s="61" t="str">
        <f>IFERROR(__xludf.DUMMYFUNCTION("""COMPUTED_VALUE"""),"Appliance Rental Return")</f>
        <v>Appliance Rental Return</v>
      </c>
      <c r="I396" s="61" t="str">
        <f>IFERROR(__xludf.DUMMYFUNCTION("""COMPUTED_VALUE""")," Double-Door Mini Fridge + Microwave   - ")</f>
        <v> Double-Door Mini Fridge + Microwave   - </v>
      </c>
      <c r="J396" s="107" t="str">
        <f>IFERROR(__xludf.DUMMYFUNCTION("""COMPUTED_VALUE"""),"Eliot A (Thomas Eliot)")</f>
        <v>Eliot A (Thomas Eliot)</v>
      </c>
      <c r="K396" s="100">
        <f>IFERROR(__xludf.DUMMYFUNCTION("""COMPUTED_VALUE"""),46150.0)</f>
        <v>46150</v>
      </c>
      <c r="L396" s="61" t="str">
        <f>IFERROR(__xludf.DUMMYFUNCTION("""COMPUTED_VALUE"""),"2094")</f>
        <v>2094</v>
      </c>
      <c r="M396" s="61" t="str">
        <f>IFERROR(__xludf.DUMMYFUNCTION("""COMPUTED_VALUE""")," ")</f>
        <v> </v>
      </c>
    </row>
    <row r="397">
      <c r="A397" s="102" t="str">
        <f>IFERROR(__xludf.DUMMYFUNCTION("""COMPUTED_VALUE"""),"https://utrucking.com/admin/orders/6459400290492")</f>
        <v>https://utrucking.com/admin/orders/6459400290492</v>
      </c>
      <c r="B397" s="65" t="str">
        <f>IFERROR(__xludf.DUMMYFUNCTION("""COMPUTED_VALUE"""),"#18323")</f>
        <v>#18323</v>
      </c>
      <c r="C397" s="65" t="str">
        <f>IFERROR(__xludf.DUMMYFUNCTION("""COMPUTED_VALUE"""),"shannon2corey@yahoo.com")</f>
        <v>shannon2corey@yahoo.com</v>
      </c>
      <c r="D397" s="65">
        <f>IFERROR(__xludf.DUMMYFUNCTION("""COMPUTED_VALUE"""),3.614430105E9)</f>
        <v>3614430105</v>
      </c>
      <c r="E397" s="65" t="str">
        <f>IFERROR(__xludf.DUMMYFUNCTION("""COMPUTED_VALUE"""),"Shannon Corey")</f>
        <v>Shannon Corey</v>
      </c>
      <c r="F397" s="65" t="str">
        <f>IFERROR(__xludf.DUMMYFUNCTION("""COMPUTED_VALUE"""),"Ian Corey")</f>
        <v>Ian Corey</v>
      </c>
      <c r="G397" s="65"/>
      <c r="H397" s="65" t="str">
        <f>IFERROR(__xludf.DUMMYFUNCTION("""COMPUTED_VALUE"""),"Appliance Rental Return")</f>
        <v>Appliance Rental Return</v>
      </c>
      <c r="I397" s="65" t="str">
        <f>IFERROR(__xludf.DUMMYFUNCTION("""COMPUTED_VALUE""")," Double-Door Mini Fridge   - ")</f>
        <v> Double-Door Mini Fridge   - </v>
      </c>
      <c r="J397" s="108" t="str">
        <f>IFERROR(__xludf.DUMMYFUNCTION("""COMPUTED_VALUE"""),"Lee  ")</f>
        <v>Lee  </v>
      </c>
      <c r="K397" s="103">
        <f>IFERROR(__xludf.DUMMYFUNCTION("""COMPUTED_VALUE"""),46150.0)</f>
        <v>46150</v>
      </c>
      <c r="L397" s="65" t="str">
        <f>IFERROR(__xludf.DUMMYFUNCTION("""COMPUTED_VALUE"""),"201")</f>
        <v>201</v>
      </c>
      <c r="M397" s="65" t="str">
        <f>IFERROR(__xludf.DUMMYFUNCTION("""COMPUTED_VALUE""")," ")</f>
        <v> </v>
      </c>
    </row>
    <row r="398">
      <c r="A398" s="99" t="str">
        <f>IFERROR(__xludf.DUMMYFUNCTION("""COMPUTED_VALUE"""),"https://utrucking.com/admin/orders/6459464614076")</f>
        <v>https://utrucking.com/admin/orders/6459464614076</v>
      </c>
      <c r="B398" s="61" t="str">
        <f>IFERROR(__xludf.DUMMYFUNCTION("""COMPUTED_VALUE"""),"#18325")</f>
        <v>#18325</v>
      </c>
      <c r="C398" s="61" t="str">
        <f>IFERROR(__xludf.DUMMYFUNCTION("""COMPUTED_VALUE"""),"dwyer.h@wustl.edu")</f>
        <v>dwyer.h@wustl.edu</v>
      </c>
      <c r="D398" s="61">
        <f>IFERROR(__xludf.DUMMYFUNCTION("""COMPUTED_VALUE"""),2.038855935E9)</f>
        <v>2038855935</v>
      </c>
      <c r="E398" s="61" t="str">
        <f>IFERROR(__xludf.DUMMYFUNCTION("""COMPUTED_VALUE"""),"Hannah Dwyer")</f>
        <v>Hannah Dwyer</v>
      </c>
      <c r="F398" s="61" t="str">
        <f>IFERROR(__xludf.DUMMYFUNCTION("""COMPUTED_VALUE"""),"Hannah Dwyer")</f>
        <v>Hannah Dwyer</v>
      </c>
      <c r="G398" s="61"/>
      <c r="H398" s="61" t="str">
        <f>IFERROR(__xludf.DUMMYFUNCTION("""COMPUTED_VALUE"""),"Appliance Rental Return")</f>
        <v>Appliance Rental Return</v>
      </c>
      <c r="I398" s="61" t="str">
        <f>IFERROR(__xludf.DUMMYFUNCTION("""COMPUTED_VALUE""")," Double-Door Mini Fridge   - ")</f>
        <v> Double-Door Mini Fridge   - </v>
      </c>
      <c r="J398" s="107" t="str">
        <f>IFERROR(__xludf.DUMMYFUNCTION("""COMPUTED_VALUE"""),"Nemerov  ")</f>
        <v>Nemerov  </v>
      </c>
      <c r="K398" s="100">
        <f>IFERROR(__xludf.DUMMYFUNCTION("""COMPUTED_VALUE"""),46150.0)</f>
        <v>46150</v>
      </c>
      <c r="L398" s="61" t="str">
        <f>IFERROR(__xludf.DUMMYFUNCTION("""COMPUTED_VALUE"""),"3083")</f>
        <v>3083</v>
      </c>
      <c r="M398" s="61" t="str">
        <f>IFERROR(__xludf.DUMMYFUNCTION("""COMPUTED_VALUE""")," ")</f>
        <v> </v>
      </c>
    </row>
    <row r="399">
      <c r="A399" s="102" t="str">
        <f>IFERROR(__xludf.DUMMYFUNCTION("""COMPUTED_VALUE"""),"https://utrucking.com/admin/orders/6459545747644")</f>
        <v>https://utrucking.com/admin/orders/6459545747644</v>
      </c>
      <c r="B399" s="65" t="str">
        <f>IFERROR(__xludf.DUMMYFUNCTION("""COMPUTED_VALUE"""),"#18327")</f>
        <v>#18327</v>
      </c>
      <c r="C399" s="65" t="str">
        <f>IFERROR(__xludf.DUMMYFUNCTION("""COMPUTED_VALUE"""),"bloom.s@wustl.edu")</f>
        <v>bloom.s@wustl.edu</v>
      </c>
      <c r="D399" s="65">
        <f>IFERROR(__xludf.DUMMYFUNCTION("""COMPUTED_VALUE"""),2.064687924E9)</f>
        <v>2064687924</v>
      </c>
      <c r="E399" s="65" t="str">
        <f>IFERROR(__xludf.DUMMYFUNCTION("""COMPUTED_VALUE"""),"Sadie Bloom")</f>
        <v>Sadie Bloom</v>
      </c>
      <c r="F399" s="65" t="str">
        <f>IFERROR(__xludf.DUMMYFUNCTION("""COMPUTED_VALUE"""),"Sadie Bloom")</f>
        <v>Sadie Bloom</v>
      </c>
      <c r="G399" s="65"/>
      <c r="H399" s="65" t="str">
        <f>IFERROR(__xludf.DUMMYFUNCTION("""COMPUTED_VALUE"""),"Appliance Rental Return")</f>
        <v>Appliance Rental Return</v>
      </c>
      <c r="I399" s="65" t="str">
        <f>IFERROR(__xludf.DUMMYFUNCTION("""COMPUTED_VALUE""")," Double-Door Mini Fridge + Microwave   - ")</f>
        <v> Double-Door Mini Fridge + Microwave   - </v>
      </c>
      <c r="J399" s="108" t="str">
        <f>IFERROR(__xludf.DUMMYFUNCTION("""COMPUTED_VALUE"""),"Hurd  ")</f>
        <v>Hurd  </v>
      </c>
      <c r="K399" s="103">
        <f>IFERROR(__xludf.DUMMYFUNCTION("""COMPUTED_VALUE"""),46150.0)</f>
        <v>46150</v>
      </c>
      <c r="L399" s="65" t="str">
        <f>IFERROR(__xludf.DUMMYFUNCTION("""COMPUTED_VALUE"""),"140")</f>
        <v>140</v>
      </c>
      <c r="M399" s="65" t="str">
        <f>IFERROR(__xludf.DUMMYFUNCTION("""COMPUTED_VALUE""")," ")</f>
        <v> </v>
      </c>
    </row>
    <row r="400">
      <c r="A400" s="99" t="str">
        <f>IFERROR(__xludf.DUMMYFUNCTION("""COMPUTED_VALUE"""),"https://utrucking.com/admin/orders/6459567898812")</f>
        <v>https://utrucking.com/admin/orders/6459567898812</v>
      </c>
      <c r="B400" s="61" t="str">
        <f>IFERROR(__xludf.DUMMYFUNCTION("""COMPUTED_VALUE"""),"#18328")</f>
        <v>#18328</v>
      </c>
      <c r="C400" s="61" t="str">
        <f>IFERROR(__xludf.DUMMYFUNCTION("""COMPUTED_VALUE"""),"aidanraghu@gmail.com")</f>
        <v>aidanraghu@gmail.com</v>
      </c>
      <c r="D400" s="61">
        <f>IFERROR(__xludf.DUMMYFUNCTION("""COMPUTED_VALUE"""),8.455885668E9)</f>
        <v>8455885668</v>
      </c>
      <c r="E400" s="61" t="str">
        <f>IFERROR(__xludf.DUMMYFUNCTION("""COMPUTED_VALUE"""),"Aidan Raghu")</f>
        <v>Aidan Raghu</v>
      </c>
      <c r="F400" s="61" t="str">
        <f>IFERROR(__xludf.DUMMYFUNCTION("""COMPUTED_VALUE"""),"Aidan Raghu")</f>
        <v>Aidan Raghu</v>
      </c>
      <c r="G400" s="61"/>
      <c r="H400" s="61" t="str">
        <f>IFERROR(__xludf.DUMMYFUNCTION("""COMPUTED_VALUE"""),"Appliance Rental Return")</f>
        <v>Appliance Rental Return</v>
      </c>
      <c r="I400" s="61" t="str">
        <f>IFERROR(__xludf.DUMMYFUNCTION("""COMPUTED_VALUE""")," Standard Mini Fridge + Microwave   - ")</f>
        <v> Standard Mini Fridge + Microwave   - </v>
      </c>
      <c r="J400" s="107" t="str">
        <f>IFERROR(__xludf.DUMMYFUNCTION("""COMPUTED_VALUE"""),"Eliot A (Thomas Eliot)")</f>
        <v>Eliot A (Thomas Eliot)</v>
      </c>
      <c r="K400" s="100">
        <f>IFERROR(__xludf.DUMMYFUNCTION("""COMPUTED_VALUE"""),46150.0)</f>
        <v>46150</v>
      </c>
      <c r="L400" s="61" t="str">
        <f>IFERROR(__xludf.DUMMYFUNCTION("""COMPUTED_VALUE"""),"2120-A")</f>
        <v>2120-A</v>
      </c>
      <c r="M400" s="61" t="str">
        <f>IFERROR(__xludf.DUMMYFUNCTION("""COMPUTED_VALUE""")," ")</f>
        <v> </v>
      </c>
    </row>
    <row r="401">
      <c r="A401" s="102" t="str">
        <f>IFERROR(__xludf.DUMMYFUNCTION("""COMPUTED_VALUE"""),"https://utrucking.com/admin/orders/6459581333692")</f>
        <v>https://utrucking.com/admin/orders/6459581333692</v>
      </c>
      <c r="B401" s="65" t="str">
        <f>IFERROR(__xludf.DUMMYFUNCTION("""COMPUTED_VALUE"""),"#18329")</f>
        <v>#18329</v>
      </c>
      <c r="C401" s="65" t="str">
        <f>IFERROR(__xludf.DUMMYFUNCTION("""COMPUTED_VALUE"""),"rileymeltz@icloud.com")</f>
        <v>rileymeltz@icloud.com</v>
      </c>
      <c r="D401" s="65">
        <f>IFERROR(__xludf.DUMMYFUNCTION("""COMPUTED_VALUE"""),9.175796873E9)</f>
        <v>9175796873</v>
      </c>
      <c r="E401" s="65" t="str">
        <f>IFERROR(__xludf.DUMMYFUNCTION("""COMPUTED_VALUE"""),"Allison Meltz")</f>
        <v>Allison Meltz</v>
      </c>
      <c r="F401" s="65" t="str">
        <f>IFERROR(__xludf.DUMMYFUNCTION("""COMPUTED_VALUE"""),"Riley Meltz")</f>
        <v>Riley Meltz</v>
      </c>
      <c r="G401" s="65"/>
      <c r="H401" s="65" t="str">
        <f>IFERROR(__xludf.DUMMYFUNCTION("""COMPUTED_VALUE"""),"Appliance Rental Return")</f>
        <v>Appliance Rental Return</v>
      </c>
      <c r="I401" s="65" t="str">
        <f>IFERROR(__xludf.DUMMYFUNCTION("""COMPUTED_VALUE""")," Double-Door Mini Fridge + Microwave   - ")</f>
        <v> Double-Door Mini Fridge + Microwave   - </v>
      </c>
      <c r="J401" s="108" t="str">
        <f>IFERROR(__xludf.DUMMYFUNCTION("""COMPUTED_VALUE"""),"Lopata  ")</f>
        <v>Lopata  </v>
      </c>
      <c r="K401" s="103">
        <f>IFERROR(__xludf.DUMMYFUNCTION("""COMPUTED_VALUE"""),46150.0)</f>
        <v>46150</v>
      </c>
      <c r="L401" s="65" t="str">
        <f>IFERROR(__xludf.DUMMYFUNCTION("""COMPUTED_VALUE"""),"3030")</f>
        <v>3030</v>
      </c>
      <c r="M401" s="65" t="str">
        <f>IFERROR(__xludf.DUMMYFUNCTION("""COMPUTED_VALUE""")," ")</f>
        <v> </v>
      </c>
    </row>
    <row r="402">
      <c r="A402" s="99" t="str">
        <f>IFERROR(__xludf.DUMMYFUNCTION("""COMPUTED_VALUE"""),"https://utrucking.com/admin/orders/6459609186492")</f>
        <v>https://utrucking.com/admin/orders/6459609186492</v>
      </c>
      <c r="B402" s="61" t="str">
        <f>IFERROR(__xludf.DUMMYFUNCTION("""COMPUTED_VALUE"""),"#18330")</f>
        <v>#18330</v>
      </c>
      <c r="C402" s="61" t="str">
        <f>IFERROR(__xludf.DUMMYFUNCTION("""COMPUTED_VALUE"""),"j.b.warren@wustl.edu")</f>
        <v>j.b.warren@wustl.edu</v>
      </c>
      <c r="D402" s="61">
        <f>IFERROR(__xludf.DUMMYFUNCTION("""COMPUTED_VALUE"""),6.292442084E9)</f>
        <v>6292442084</v>
      </c>
      <c r="E402" s="61" t="str">
        <f>IFERROR(__xludf.DUMMYFUNCTION("""COMPUTED_VALUE"""),"Josh Warren")</f>
        <v>Josh Warren</v>
      </c>
      <c r="F402" s="61" t="str">
        <f>IFERROR(__xludf.DUMMYFUNCTION("""COMPUTED_VALUE"""),"Josh Warren")</f>
        <v>Josh Warren</v>
      </c>
      <c r="G402" s="61"/>
      <c r="H402" s="61" t="str">
        <f>IFERROR(__xludf.DUMMYFUNCTION("""COMPUTED_VALUE"""),"Appliance Rental Return")</f>
        <v>Appliance Rental Return</v>
      </c>
      <c r="I402" s="61" t="str">
        <f>IFERROR(__xludf.DUMMYFUNCTION("""COMPUTED_VALUE""")," Double-Door Mini Fridge   - ")</f>
        <v> Double-Door Mini Fridge   - </v>
      </c>
      <c r="J402" s="107" t="str">
        <f>IFERROR(__xludf.DUMMYFUNCTION("""COMPUTED_VALUE"""),"Dardick  ")</f>
        <v>Dardick  </v>
      </c>
      <c r="K402" s="100">
        <f>IFERROR(__xludf.DUMMYFUNCTION("""COMPUTED_VALUE"""),46150.0)</f>
        <v>46150</v>
      </c>
      <c r="L402" s="61" t="str">
        <f>IFERROR(__xludf.DUMMYFUNCTION("""COMPUTED_VALUE"""),"1104")</f>
        <v>1104</v>
      </c>
      <c r="M402" s="61" t="str">
        <f>IFERROR(__xludf.DUMMYFUNCTION("""COMPUTED_VALUE""")," ")</f>
        <v> </v>
      </c>
    </row>
    <row r="403">
      <c r="A403" s="102" t="str">
        <f>IFERROR(__xludf.DUMMYFUNCTION("""COMPUTED_VALUE"""),"https://utrucking.com/admin/orders/6459649097916")</f>
        <v>https://utrucking.com/admin/orders/6459649097916</v>
      </c>
      <c r="B403" s="65" t="str">
        <f>IFERROR(__xludf.DUMMYFUNCTION("""COMPUTED_VALUE"""),"#18331")</f>
        <v>#18331</v>
      </c>
      <c r="C403" s="65" t="str">
        <f>IFERROR(__xludf.DUMMYFUNCTION("""COMPUTED_VALUE"""),"c.b.lee@wustl.edu")</f>
        <v>c.b.lee@wustl.edu</v>
      </c>
      <c r="D403" s="65">
        <f>IFERROR(__xludf.DUMMYFUNCTION("""COMPUTED_VALUE"""),6.154140682E9)</f>
        <v>6154140682</v>
      </c>
      <c r="E403" s="65" t="str">
        <f>IFERROR(__xludf.DUMMYFUNCTION("""COMPUTED_VALUE"""),"Tiana Lee")</f>
        <v>Tiana Lee</v>
      </c>
      <c r="F403" s="65" t="str">
        <f>IFERROR(__xludf.DUMMYFUNCTION("""COMPUTED_VALUE"""),"Clara Beth Lee")</f>
        <v>Clara Beth Lee</v>
      </c>
      <c r="G403" s="65"/>
      <c r="H403" s="65" t="str">
        <f>IFERROR(__xludf.DUMMYFUNCTION("""COMPUTED_VALUE"""),"Appliance Rental Return")</f>
        <v>Appliance Rental Return</v>
      </c>
      <c r="I403" s="65" t="str">
        <f>IFERROR(__xludf.DUMMYFUNCTION("""COMPUTED_VALUE""")," Double-Door Mini Fridge + Microwave   - ")</f>
        <v> Double-Door Mini Fridge + Microwave   - </v>
      </c>
      <c r="J403" s="108" t="str">
        <f>IFERROR(__xludf.DUMMYFUNCTION("""COMPUTED_VALUE"""),"Nemerov  ")</f>
        <v>Nemerov  </v>
      </c>
      <c r="K403" s="103">
        <f>IFERROR(__xludf.DUMMYFUNCTION("""COMPUTED_VALUE"""),46150.0)</f>
        <v>46150</v>
      </c>
      <c r="L403" s="65" t="str">
        <f>IFERROR(__xludf.DUMMYFUNCTION("""COMPUTED_VALUE"""),"2053")</f>
        <v>2053</v>
      </c>
      <c r="M403" s="65" t="str">
        <f>IFERROR(__xludf.DUMMYFUNCTION("""COMPUTED_VALUE""")," ")</f>
        <v> </v>
      </c>
    </row>
    <row r="404">
      <c r="A404" s="99" t="str">
        <f>IFERROR(__xludf.DUMMYFUNCTION("""COMPUTED_VALUE"""),"https://utrucking.com/admin/orders/6459721941180")</f>
        <v>https://utrucking.com/admin/orders/6459721941180</v>
      </c>
      <c r="B404" s="61" t="str">
        <f>IFERROR(__xludf.DUMMYFUNCTION("""COMPUTED_VALUE"""),"#18332")</f>
        <v>#18332</v>
      </c>
      <c r="C404" s="61" t="str">
        <f>IFERROR(__xludf.DUMMYFUNCTION("""COMPUTED_VALUE"""),"l.naomi@wustl.edu")</f>
        <v>l.naomi@wustl.edu</v>
      </c>
      <c r="D404" s="61">
        <f>IFERROR(__xludf.DUMMYFUNCTION("""COMPUTED_VALUE"""),8.082556183E9)</f>
        <v>8082556183</v>
      </c>
      <c r="E404" s="61" t="str">
        <f>IFERROR(__xludf.DUMMYFUNCTION("""COMPUTED_VALUE"""),"Naomi Liang")</f>
        <v>Naomi Liang</v>
      </c>
      <c r="F404" s="61" t="str">
        <f>IFERROR(__xludf.DUMMYFUNCTION("""COMPUTED_VALUE"""),"Naomi Liang")</f>
        <v>Naomi Liang</v>
      </c>
      <c r="G404" s="61"/>
      <c r="H404" s="61" t="str">
        <f>IFERROR(__xludf.DUMMYFUNCTION("""COMPUTED_VALUE"""),"Appliance Rental Return")</f>
        <v>Appliance Rental Return</v>
      </c>
      <c r="I404" s="61" t="str">
        <f>IFERROR(__xludf.DUMMYFUNCTION("""COMPUTED_VALUE""")," Double-Door Mini Fridge   - ")</f>
        <v> Double-Door Mini Fridge   - </v>
      </c>
      <c r="J404" s="107" t="str">
        <f>IFERROR(__xludf.DUMMYFUNCTION("""COMPUTED_VALUE"""),"Shepley  ")</f>
        <v>Shepley  </v>
      </c>
      <c r="K404" s="100">
        <f>IFERROR(__xludf.DUMMYFUNCTION("""COMPUTED_VALUE"""),46151.0)</f>
        <v>46151</v>
      </c>
      <c r="L404" s="61" t="str">
        <f>IFERROR(__xludf.DUMMYFUNCTION("""COMPUTED_VALUE"""),"3023")</f>
        <v>3023</v>
      </c>
      <c r="M404" s="61" t="str">
        <f>IFERROR(__xludf.DUMMYFUNCTION("""COMPUTED_VALUE""")," ")</f>
        <v> </v>
      </c>
    </row>
    <row r="405">
      <c r="A405" s="102" t="str">
        <f>IFERROR(__xludf.DUMMYFUNCTION("""COMPUTED_VALUE"""),"https://utrucking.com/admin/orders/6459988836540")</f>
        <v>https://utrucking.com/admin/orders/6459988836540</v>
      </c>
      <c r="B405" s="65" t="str">
        <f>IFERROR(__xludf.DUMMYFUNCTION("""COMPUTED_VALUE"""),"#18335")</f>
        <v>#18335</v>
      </c>
      <c r="C405" s="65" t="str">
        <f>IFERROR(__xludf.DUMMYFUNCTION("""COMPUTED_VALUE"""),"tranngocbaotran1417@gmail.com")</f>
        <v>tranngocbaotran1417@gmail.com</v>
      </c>
      <c r="D405" s="65">
        <f>IFERROR(__xludf.DUMMYFUNCTION("""COMPUTED_VALUE"""),4.086019912E9)</f>
        <v>4086019912</v>
      </c>
      <c r="E405" s="65" t="str">
        <f>IFERROR(__xludf.DUMMYFUNCTION("""COMPUTED_VALUE"""),"Van Tran")</f>
        <v>Van Tran</v>
      </c>
      <c r="F405" s="65" t="str">
        <f>IFERROR(__xludf.DUMMYFUNCTION("""COMPUTED_VALUE"""),"Ngoc Tran")</f>
        <v>Ngoc Tran</v>
      </c>
      <c r="G405" s="65"/>
      <c r="H405" s="65" t="str">
        <f>IFERROR(__xludf.DUMMYFUNCTION("""COMPUTED_VALUE"""),"Appliance Rental Return")</f>
        <v>Appliance Rental Return</v>
      </c>
      <c r="I405" s="65" t="str">
        <f>IFERROR(__xludf.DUMMYFUNCTION("""COMPUTED_VALUE""")," Double-Door Mini Fridge + Microwave   - ")</f>
        <v> Double-Door Mini Fridge + Microwave   - </v>
      </c>
      <c r="J405" s="108" t="str">
        <f>IFERROR(__xludf.DUMMYFUNCTION("""COMPUTED_VALUE"""),"Umrath  ")</f>
        <v>Umrath  </v>
      </c>
      <c r="K405" s="103">
        <f>IFERROR(__xludf.DUMMYFUNCTION("""COMPUTED_VALUE"""),46151.0)</f>
        <v>46151</v>
      </c>
      <c r="L405" s="65" t="str">
        <f>IFERROR(__xludf.DUMMYFUNCTION("""COMPUTED_VALUE"""),"1231")</f>
        <v>1231</v>
      </c>
      <c r="M405" s="65" t="str">
        <f>IFERROR(__xludf.DUMMYFUNCTION("""COMPUTED_VALUE""")," ")</f>
        <v> </v>
      </c>
    </row>
    <row r="406">
      <c r="A406" s="99" t="str">
        <f>IFERROR(__xludf.DUMMYFUNCTION("""COMPUTED_VALUE"""),"https://utrucking.com/admin/orders/6460036153532")</f>
        <v>https://utrucking.com/admin/orders/6460036153532</v>
      </c>
      <c r="B406" s="61" t="str">
        <f>IFERROR(__xludf.DUMMYFUNCTION("""COMPUTED_VALUE"""),"#18336")</f>
        <v>#18336</v>
      </c>
      <c r="C406" s="61" t="str">
        <f>IFERROR(__xludf.DUMMYFUNCTION("""COMPUTED_VALUE"""),"e.e.may@wustl.edu")</f>
        <v>e.e.may@wustl.edu</v>
      </c>
      <c r="D406" s="61">
        <f>IFERROR(__xludf.DUMMYFUNCTION("""COMPUTED_VALUE"""),6.026902075E9)</f>
        <v>6026902075</v>
      </c>
      <c r="E406" s="61" t="str">
        <f>IFERROR(__xludf.DUMMYFUNCTION("""COMPUTED_VALUE"""),"Stephanie May")</f>
        <v>Stephanie May</v>
      </c>
      <c r="F406" s="61" t="str">
        <f>IFERROR(__xludf.DUMMYFUNCTION("""COMPUTED_VALUE"""),"Emmy May")</f>
        <v>Emmy May</v>
      </c>
      <c r="G406" s="61"/>
      <c r="H406" s="61" t="str">
        <f>IFERROR(__xludf.DUMMYFUNCTION("""COMPUTED_VALUE"""),"Appliance Rental Return")</f>
        <v>Appliance Rental Return</v>
      </c>
      <c r="I406" s="61" t="str">
        <f>IFERROR(__xludf.DUMMYFUNCTION("""COMPUTED_VALUE""")," Double-Door Mini Fridge + Microwave   - ")</f>
        <v> Double-Door Mini Fridge + Microwave   - </v>
      </c>
      <c r="J406" s="107" t="str">
        <f>IFERROR(__xludf.DUMMYFUNCTION("""COMPUTED_VALUE"""),"Koenig  ")</f>
        <v>Koenig  </v>
      </c>
      <c r="K406" s="100">
        <f>IFERROR(__xludf.DUMMYFUNCTION("""COMPUTED_VALUE"""),46178.0)</f>
        <v>46178</v>
      </c>
      <c r="L406" s="61" t="str">
        <f>IFERROR(__xludf.DUMMYFUNCTION("""COMPUTED_VALUE"""),"3316")</f>
        <v>3316</v>
      </c>
      <c r="M406" s="61" t="str">
        <f>IFERROR(__xludf.DUMMYFUNCTION("""COMPUTED_VALUE""")," ")</f>
        <v> </v>
      </c>
    </row>
    <row r="407">
      <c r="A407" s="102" t="str">
        <f>IFERROR(__xludf.DUMMYFUNCTION("""COMPUTED_VALUE"""),"https://utrucking.com/admin/orders/6460223783100")</f>
        <v>https://utrucking.com/admin/orders/6460223783100</v>
      </c>
      <c r="B407" s="65" t="str">
        <f>IFERROR(__xludf.DUMMYFUNCTION("""COMPUTED_VALUE"""),"#18340")</f>
        <v>#18340</v>
      </c>
      <c r="C407" s="65" t="str">
        <f>IFERROR(__xludf.DUMMYFUNCTION("""COMPUTED_VALUE"""),"eom.r@wustl.edu")</f>
        <v>eom.r@wustl.edu</v>
      </c>
      <c r="D407" s="65">
        <f>IFERROR(__xludf.DUMMYFUNCTION("""COMPUTED_VALUE"""),8.327072357E9)</f>
        <v>8327072357</v>
      </c>
      <c r="E407" s="65" t="str">
        <f>IFERROR(__xludf.DUMMYFUNCTION("""COMPUTED_VALUE"""),"Ryan Eom")</f>
        <v>Ryan Eom</v>
      </c>
      <c r="F407" s="65" t="str">
        <f>IFERROR(__xludf.DUMMYFUNCTION("""COMPUTED_VALUE"""),"Ryan Eom")</f>
        <v>Ryan Eom</v>
      </c>
      <c r="G407" s="65"/>
      <c r="H407" s="65" t="str">
        <f>IFERROR(__xludf.DUMMYFUNCTION("""COMPUTED_VALUE"""),"Appliance Rental Return")</f>
        <v>Appliance Rental Return</v>
      </c>
      <c r="I407" s="65" t="str">
        <f>IFERROR(__xludf.DUMMYFUNCTION("""COMPUTED_VALUE""")," Standard Mini Fridge   - ")</f>
        <v> Standard Mini Fridge   - </v>
      </c>
      <c r="J407" s="108" t="str">
        <f>IFERROR(__xludf.DUMMYFUNCTION("""COMPUTED_VALUE"""),"Danforth  ")</f>
        <v>Danforth  </v>
      </c>
      <c r="K407" s="103">
        <f>IFERROR(__xludf.DUMMYFUNCTION("""COMPUTED_VALUE"""),46151.0)</f>
        <v>46151</v>
      </c>
      <c r="L407" s="65" t="str">
        <f>IFERROR(__xludf.DUMMYFUNCTION("""COMPUTED_VALUE"""),"4430")</f>
        <v>4430</v>
      </c>
      <c r="M407" s="65" t="str">
        <f>IFERROR(__xludf.DUMMYFUNCTION("""COMPUTED_VALUE""")," ")</f>
        <v> </v>
      </c>
    </row>
    <row r="408">
      <c r="A408" s="99" t="str">
        <f>IFERROR(__xludf.DUMMYFUNCTION("""COMPUTED_VALUE"""),"https://utrucking.com/admin/orders/6460246917308")</f>
        <v>https://utrucking.com/admin/orders/6460246917308</v>
      </c>
      <c r="B408" s="61" t="str">
        <f>IFERROR(__xludf.DUMMYFUNCTION("""COMPUTED_VALUE"""),"#18341")</f>
        <v>#18341</v>
      </c>
      <c r="C408" s="61" t="str">
        <f>IFERROR(__xludf.DUMMYFUNCTION("""COMPUTED_VALUE"""),"kcarrasq@gmail.com")</f>
        <v>kcarrasq@gmail.com</v>
      </c>
      <c r="D408" s="61">
        <f>IFERROR(__xludf.DUMMYFUNCTION("""COMPUTED_VALUE"""),7.814932262E9)</f>
        <v>7814932262</v>
      </c>
      <c r="E408" s="61" t="str">
        <f>IFERROR(__xludf.DUMMYFUNCTION("""COMPUTED_VALUE"""),"Karen Carrasquillo")</f>
        <v>Karen Carrasquillo</v>
      </c>
      <c r="F408" s="61" t="str">
        <f>IFERROR(__xludf.DUMMYFUNCTION("""COMPUTED_VALUE"""),"Gustavo Bosques")</f>
        <v>Gustavo Bosques</v>
      </c>
      <c r="G408" s="61"/>
      <c r="H408" s="61" t="str">
        <f>IFERROR(__xludf.DUMMYFUNCTION("""COMPUTED_VALUE"""),"Appliance Rental Return")</f>
        <v>Appliance Rental Return</v>
      </c>
      <c r="I408" s="61" t="str">
        <f>IFERROR(__xludf.DUMMYFUNCTION("""COMPUTED_VALUE""")," Standard Mini Fridge + Microwave   - ")</f>
        <v> Standard Mini Fridge + Microwave   - </v>
      </c>
      <c r="J408" s="107" t="str">
        <f>IFERROR(__xludf.DUMMYFUNCTION("""COMPUTED_VALUE"""),"Eliot A (Thomas Eliot)")</f>
        <v>Eliot A (Thomas Eliot)</v>
      </c>
      <c r="K408" s="100">
        <f>IFERROR(__xludf.DUMMYFUNCTION("""COMPUTED_VALUE"""),46151.0)</f>
        <v>46151</v>
      </c>
      <c r="L408" s="61" t="str">
        <f>IFERROR(__xludf.DUMMYFUNCTION("""COMPUTED_VALUE"""),"0303")</f>
        <v>0303</v>
      </c>
      <c r="M408" s="61" t="str">
        <f>IFERROR(__xludf.DUMMYFUNCTION("""COMPUTED_VALUE""")," ")</f>
        <v> </v>
      </c>
    </row>
    <row r="409">
      <c r="A409" s="102" t="str">
        <f>IFERROR(__xludf.DUMMYFUNCTION("""COMPUTED_VALUE"""),"https://utrucking.com/admin/orders/6460252061884")</f>
        <v>https://utrucking.com/admin/orders/6460252061884</v>
      </c>
      <c r="B409" s="65" t="str">
        <f>IFERROR(__xludf.DUMMYFUNCTION("""COMPUTED_VALUE"""),"#18342")</f>
        <v>#18342</v>
      </c>
      <c r="C409" s="65" t="str">
        <f>IFERROR(__xludf.DUMMYFUNCTION("""COMPUTED_VALUE"""),"nadiatanojo31@gmail.com")</f>
        <v>nadiatanojo31@gmail.com</v>
      </c>
      <c r="D409" s="65">
        <f>IFERROR(__xludf.DUMMYFUNCTION("""COMPUTED_VALUE"""),3.472793476E9)</f>
        <v>3472793476</v>
      </c>
      <c r="E409" s="65" t="str">
        <f>IFERROR(__xludf.DUMMYFUNCTION("""COMPUTED_VALUE"""),"Nadia Tanojo")</f>
        <v>Nadia Tanojo</v>
      </c>
      <c r="F409" s="65" t="str">
        <f>IFERROR(__xludf.DUMMYFUNCTION("""COMPUTED_VALUE"""),"Nadia Tanojo")</f>
        <v>Nadia Tanojo</v>
      </c>
      <c r="G409" s="65"/>
      <c r="H409" s="65" t="str">
        <f>IFERROR(__xludf.DUMMYFUNCTION("""COMPUTED_VALUE"""),"Appliance Rental Return")</f>
        <v>Appliance Rental Return</v>
      </c>
      <c r="I409" s="65" t="str">
        <f>IFERROR(__xludf.DUMMYFUNCTION("""COMPUTED_VALUE""")," Double-Door Mini Fridge + Microwave   - ")</f>
        <v> Double-Door Mini Fridge + Microwave   - </v>
      </c>
      <c r="J409" s="108" t="str">
        <f>IFERROR(__xludf.DUMMYFUNCTION("""COMPUTED_VALUE"""),"Danforth  ")</f>
        <v>Danforth  </v>
      </c>
      <c r="K409" s="103">
        <f>IFERROR(__xludf.DUMMYFUNCTION("""COMPUTED_VALUE"""),46151.0)</f>
        <v>46151</v>
      </c>
      <c r="L409" s="65" t="str">
        <f>IFERROR(__xludf.DUMMYFUNCTION("""COMPUTED_VALUE"""),"4409")</f>
        <v>4409</v>
      </c>
      <c r="M409" s="65" t="str">
        <f>IFERROR(__xludf.DUMMYFUNCTION("""COMPUTED_VALUE""")," ")</f>
        <v> </v>
      </c>
    </row>
    <row r="410">
      <c r="A410" s="99" t="str">
        <f>IFERROR(__xludf.DUMMYFUNCTION("""COMPUTED_VALUE"""),"https://utrucking.com/admin/orders/6460279488700")</f>
        <v>https://utrucking.com/admin/orders/6460279488700</v>
      </c>
      <c r="B410" s="61" t="str">
        <f>IFERROR(__xludf.DUMMYFUNCTION("""COMPUTED_VALUE"""),"#18344")</f>
        <v>#18344</v>
      </c>
      <c r="C410" s="61" t="str">
        <f>IFERROR(__xludf.DUMMYFUNCTION("""COMPUTED_VALUE"""),"aejaggr@gmail.com")</f>
        <v>aejaggr@gmail.com</v>
      </c>
      <c r="D410" s="61">
        <f>IFERROR(__xludf.DUMMYFUNCTION("""COMPUTED_VALUE"""),3.143320666E9)</f>
        <v>3143320666</v>
      </c>
      <c r="E410" s="61" t="str">
        <f>IFERROR(__xludf.DUMMYFUNCTION("""COMPUTED_VALUE"""),"Aaron Jaggers")</f>
        <v>Aaron Jaggers</v>
      </c>
      <c r="F410" s="61" t="str">
        <f>IFERROR(__xludf.DUMMYFUNCTION("""COMPUTED_VALUE"""),"Aaron Jaggers")</f>
        <v>Aaron Jaggers</v>
      </c>
      <c r="G410" s="61"/>
      <c r="H410" s="61" t="str">
        <f>IFERROR(__xludf.DUMMYFUNCTION("""COMPUTED_VALUE"""),"Appliance Rental Return")</f>
        <v>Appliance Rental Return</v>
      </c>
      <c r="I410" s="61" t="str">
        <f>IFERROR(__xludf.DUMMYFUNCTION("""COMPUTED_VALUE""")," Double-Door Mini Fridge + Microwave   - ")</f>
        <v> Double-Door Mini Fridge + Microwave   - </v>
      </c>
      <c r="J410" s="107" t="str">
        <f>IFERROR(__xludf.DUMMYFUNCTION("""COMPUTED_VALUE"""),"Myers  ")</f>
        <v>Myers  </v>
      </c>
      <c r="K410" s="100">
        <f>IFERROR(__xludf.DUMMYFUNCTION("""COMPUTED_VALUE"""),46151.0)</f>
        <v>46151</v>
      </c>
      <c r="L410" s="61" t="str">
        <f>IFERROR(__xludf.DUMMYFUNCTION("""COMPUTED_VALUE"""),"21")</f>
        <v>21</v>
      </c>
      <c r="M410" s="61" t="str">
        <f>IFERROR(__xludf.DUMMYFUNCTION("""COMPUTED_VALUE""")," ")</f>
        <v> </v>
      </c>
    </row>
    <row r="411">
      <c r="A411" s="102" t="str">
        <f>IFERROR(__xludf.DUMMYFUNCTION("""COMPUTED_VALUE"""),"https://utrucking.com/admin/orders/6460401877180")</f>
        <v>https://utrucking.com/admin/orders/6460401877180</v>
      </c>
      <c r="B411" s="65" t="str">
        <f>IFERROR(__xludf.DUMMYFUNCTION("""COMPUTED_VALUE"""),"#18345")</f>
        <v>#18345</v>
      </c>
      <c r="C411" s="65" t="str">
        <f>IFERROR(__xludf.DUMMYFUNCTION("""COMPUTED_VALUE"""),"kim.luteshaider@gmail.com")</f>
        <v>kim.luteshaider@gmail.com</v>
      </c>
      <c r="D411" s="65">
        <f>IFERROR(__xludf.DUMMYFUNCTION("""COMPUTED_VALUE"""),8.153763895E9)</f>
        <v>8153763895</v>
      </c>
      <c r="E411" s="65" t="str">
        <f>IFERROR(__xludf.DUMMYFUNCTION("""COMPUTED_VALUE"""),"Tariq Haider")</f>
        <v>Tariq Haider</v>
      </c>
      <c r="F411" s="65" t="str">
        <f>IFERROR(__xludf.DUMMYFUNCTION("""COMPUTED_VALUE"""),"Miles haider")</f>
        <v>Miles haider</v>
      </c>
      <c r="G411" s="65"/>
      <c r="H411" s="65" t="str">
        <f>IFERROR(__xludf.DUMMYFUNCTION("""COMPUTED_VALUE"""),"Appliance Rental Return")</f>
        <v>Appliance Rental Return</v>
      </c>
      <c r="I411" s="65" t="str">
        <f>IFERROR(__xludf.DUMMYFUNCTION("""COMPUTED_VALUE""")," Double-Door Mini Fridge + Microwave   - ")</f>
        <v> Double-Door Mini Fridge + Microwave   - </v>
      </c>
      <c r="J411" s="108" t="str">
        <f>IFERROR(__xludf.DUMMYFUNCTION("""COMPUTED_VALUE"""),"Umrath  ")</f>
        <v>Umrath  </v>
      </c>
      <c r="K411" s="103">
        <f>IFERROR(__xludf.DUMMYFUNCTION("""COMPUTED_VALUE"""),46151.0)</f>
        <v>46151</v>
      </c>
      <c r="L411" s="65" t="str">
        <f>IFERROR(__xludf.DUMMYFUNCTION("""COMPUTED_VALUE"""),"3341")</f>
        <v>3341</v>
      </c>
      <c r="M411" s="65" t="str">
        <f>IFERROR(__xludf.DUMMYFUNCTION("""COMPUTED_VALUE""")," ")</f>
        <v> </v>
      </c>
    </row>
    <row r="412">
      <c r="A412" s="99" t="str">
        <f>IFERROR(__xludf.DUMMYFUNCTION("""COMPUTED_VALUE"""),"https://utrucking.com/admin/orders/6460752560316")</f>
        <v>https://utrucking.com/admin/orders/6460752560316</v>
      </c>
      <c r="B412" s="61" t="str">
        <f>IFERROR(__xludf.DUMMYFUNCTION("""COMPUTED_VALUE"""),"#18350")</f>
        <v>#18350</v>
      </c>
      <c r="C412" s="61" t="str">
        <f>IFERROR(__xludf.DUMMYFUNCTION("""COMPUTED_VALUE"""),"s.brody@wustl.edu")</f>
        <v>s.brody@wustl.edu</v>
      </c>
      <c r="D412" s="61">
        <f>IFERROR(__xludf.DUMMYFUNCTION("""COMPUTED_VALUE"""),4.439003493E9)</f>
        <v>4439003493</v>
      </c>
      <c r="E412" s="61" t="str">
        <f>IFERROR(__xludf.DUMMYFUNCTION("""COMPUTED_VALUE"""),"Brody Schrepfer")</f>
        <v>Brody Schrepfer</v>
      </c>
      <c r="F412" s="61" t="str">
        <f>IFERROR(__xludf.DUMMYFUNCTION("""COMPUTED_VALUE"""),"Brody Schrepfer")</f>
        <v>Brody Schrepfer</v>
      </c>
      <c r="G412" s="61"/>
      <c r="H412" s="61" t="str">
        <f>IFERROR(__xludf.DUMMYFUNCTION("""COMPUTED_VALUE"""),"Appliance Rental Return")</f>
        <v>Appliance Rental Return</v>
      </c>
      <c r="I412" s="61" t="str">
        <f>IFERROR(__xludf.DUMMYFUNCTION("""COMPUTED_VALUE""")," Double-Door Mini Fridge + Microwave   - ")</f>
        <v> Double-Door Mini Fridge + Microwave   - </v>
      </c>
      <c r="J412" s="107" t="str">
        <f>IFERROR(__xludf.DUMMYFUNCTION("""COMPUTED_VALUE"""),"House 7")</f>
        <v>House 7</v>
      </c>
      <c r="K412" s="100">
        <f>IFERROR(__xludf.DUMMYFUNCTION("""COMPUTED_VALUE"""),46151.0)</f>
        <v>46151</v>
      </c>
      <c r="L412" s="61" t="str">
        <f>IFERROR(__xludf.DUMMYFUNCTION("""COMPUTED_VALUE"""),"205")</f>
        <v>205</v>
      </c>
      <c r="M412" s="61" t="str">
        <f>IFERROR(__xludf.DUMMYFUNCTION("""COMPUTED_VALUE""")," ")</f>
        <v> </v>
      </c>
    </row>
    <row r="413">
      <c r="A413" s="102" t="str">
        <f>IFERROR(__xludf.DUMMYFUNCTION("""COMPUTED_VALUE"""),"https://utrucking.com/admin/orders/6460959686844")</f>
        <v>https://utrucking.com/admin/orders/6460959686844</v>
      </c>
      <c r="B413" s="65" t="str">
        <f>IFERROR(__xludf.DUMMYFUNCTION("""COMPUTED_VALUE"""),"#18353")</f>
        <v>#18353</v>
      </c>
      <c r="C413" s="65" t="str">
        <f>IFERROR(__xludf.DUMMYFUNCTION("""COMPUTED_VALUE"""),"ncguyer@gmail.com")</f>
        <v>ncguyer@gmail.com</v>
      </c>
      <c r="D413" s="65">
        <f>IFERROR(__xludf.DUMMYFUNCTION("""COMPUTED_VALUE"""),6.268315472E9)</f>
        <v>6268315472</v>
      </c>
      <c r="E413" s="65" t="str">
        <f>IFERROR(__xludf.DUMMYFUNCTION("""COMPUTED_VALUE"""),"Nancy Guyer")</f>
        <v>Nancy Guyer</v>
      </c>
      <c r="F413" s="65" t="str">
        <f>IFERROR(__xludf.DUMMYFUNCTION("""COMPUTED_VALUE"""),"Evan Guyer")</f>
        <v>Evan Guyer</v>
      </c>
      <c r="G413" s="65"/>
      <c r="H413" s="65" t="str">
        <f>IFERROR(__xludf.DUMMYFUNCTION("""COMPUTED_VALUE"""),"Appliance Rental Return")</f>
        <v>Appliance Rental Return</v>
      </c>
      <c r="I413" s="65" t="str">
        <f>IFERROR(__xludf.DUMMYFUNCTION("""COMPUTED_VALUE""")," Double-Door Mini Fridge + Microwave   - ")</f>
        <v> Double-Door Mini Fridge + Microwave   - </v>
      </c>
      <c r="J413" s="108" t="str">
        <f>IFERROR(__xludf.DUMMYFUNCTION("""COMPUTED_VALUE"""),"Shepley  ")</f>
        <v>Shepley  </v>
      </c>
      <c r="K413" s="103">
        <f>IFERROR(__xludf.DUMMYFUNCTION("""COMPUTED_VALUE"""),46151.0)</f>
        <v>46151</v>
      </c>
      <c r="L413" s="65" t="str">
        <f>IFERROR(__xludf.DUMMYFUNCTION("""COMPUTED_VALUE"""),"2041")</f>
        <v>2041</v>
      </c>
      <c r="M413" s="65" t="str">
        <f>IFERROR(__xludf.DUMMYFUNCTION("""COMPUTED_VALUE""")," ")</f>
        <v> </v>
      </c>
    </row>
    <row r="414">
      <c r="A414" s="99" t="str">
        <f>IFERROR(__xludf.DUMMYFUNCTION("""COMPUTED_VALUE"""),"https://utrucking.com/admin/orders/6460996747452")</f>
        <v>https://utrucking.com/admin/orders/6460996747452</v>
      </c>
      <c r="B414" s="61" t="str">
        <f>IFERROR(__xludf.DUMMYFUNCTION("""COMPUTED_VALUE"""),"#18354")</f>
        <v>#18354</v>
      </c>
      <c r="C414" s="61" t="str">
        <f>IFERROR(__xludf.DUMMYFUNCTION("""COMPUTED_VALUE"""),"hall.s.r@wustl.edu")</f>
        <v>hall.s.r@wustl.edu</v>
      </c>
      <c r="D414" s="61">
        <f>IFERROR(__xludf.DUMMYFUNCTION("""COMPUTED_VALUE"""),3.304816706E9)</f>
        <v>3304816706</v>
      </c>
      <c r="E414" s="61" t="str">
        <f>IFERROR(__xludf.DUMMYFUNCTION("""COMPUTED_VALUE"""),"Stephen Hall")</f>
        <v>Stephen Hall</v>
      </c>
      <c r="F414" s="61" t="str">
        <f>IFERROR(__xludf.DUMMYFUNCTION("""COMPUTED_VALUE"""),"Stephen Hall")</f>
        <v>Stephen Hall</v>
      </c>
      <c r="G414" s="61"/>
      <c r="H414" s="61" t="str">
        <f>IFERROR(__xludf.DUMMYFUNCTION("""COMPUTED_VALUE"""),"Appliance Rental Return")</f>
        <v>Appliance Rental Return</v>
      </c>
      <c r="I414" s="61" t="str">
        <f>IFERROR(__xludf.DUMMYFUNCTION("""COMPUTED_VALUE""")," Double-Door Mini Fridge + Microwave   - ")</f>
        <v> Double-Door Mini Fridge + Microwave   - </v>
      </c>
      <c r="J414" s="107" t="str">
        <f>IFERROR(__xludf.DUMMYFUNCTION("""COMPUTED_VALUE"""),"Danforth  ")</f>
        <v>Danforth  </v>
      </c>
      <c r="K414" s="100">
        <f>IFERROR(__xludf.DUMMYFUNCTION("""COMPUTED_VALUE"""),46154.0)</f>
        <v>46154</v>
      </c>
      <c r="L414" s="61" t="str">
        <f>IFERROR(__xludf.DUMMYFUNCTION("""COMPUTED_VALUE"""),"3307")</f>
        <v>3307</v>
      </c>
      <c r="M414" s="61" t="str">
        <f>IFERROR(__xludf.DUMMYFUNCTION("""COMPUTED_VALUE""")," ")</f>
        <v> </v>
      </c>
    </row>
    <row r="415">
      <c r="A415" s="102" t="str">
        <f>IFERROR(__xludf.DUMMYFUNCTION("""COMPUTED_VALUE"""),"https://utrucking.com/admin/orders/6461164978364")</f>
        <v>https://utrucking.com/admin/orders/6461164978364</v>
      </c>
      <c r="B415" s="65" t="str">
        <f>IFERROR(__xludf.DUMMYFUNCTION("""COMPUTED_VALUE"""),"#18356")</f>
        <v>#18356</v>
      </c>
      <c r="C415" s="65" t="str">
        <f>IFERROR(__xludf.DUMMYFUNCTION("""COMPUTED_VALUE"""),"yonjaekim06@gmail.com")</f>
        <v>yonjaekim06@gmail.com</v>
      </c>
      <c r="D415" s="65">
        <f>IFERROR(__xludf.DUMMYFUNCTION("""COMPUTED_VALUE"""),3.109624564E9)</f>
        <v>3109624564</v>
      </c>
      <c r="E415" s="65" t="str">
        <f>IFERROR(__xludf.DUMMYFUNCTION("""COMPUTED_VALUE"""),"Ethan Kim")</f>
        <v>Ethan Kim</v>
      </c>
      <c r="F415" s="65" t="str">
        <f>IFERROR(__xludf.DUMMYFUNCTION("""COMPUTED_VALUE"""),"Ethan Kim")</f>
        <v>Ethan Kim</v>
      </c>
      <c r="G415" s="65"/>
      <c r="H415" s="65" t="str">
        <f>IFERROR(__xludf.DUMMYFUNCTION("""COMPUTED_VALUE"""),"Appliance Rental Return")</f>
        <v>Appliance Rental Return</v>
      </c>
      <c r="I415" s="65" t="str">
        <f>IFERROR(__xludf.DUMMYFUNCTION("""COMPUTED_VALUE""")," Standard Mini Fridge   - ")</f>
        <v> Standard Mini Fridge   - </v>
      </c>
      <c r="J415" s="108" t="str">
        <f>IFERROR(__xludf.DUMMYFUNCTION("""COMPUTED_VALUE"""),"Umrath  ")</f>
        <v>Umrath  </v>
      </c>
      <c r="K415" s="103">
        <f>IFERROR(__xludf.DUMMYFUNCTION("""COMPUTED_VALUE"""),46151.0)</f>
        <v>46151</v>
      </c>
      <c r="L415" s="65" t="str">
        <f>IFERROR(__xludf.DUMMYFUNCTION("""COMPUTED_VALUE"""),"3331")</f>
        <v>3331</v>
      </c>
      <c r="M415" s="65" t="str">
        <f>IFERROR(__xludf.DUMMYFUNCTION("""COMPUTED_VALUE""")," ")</f>
        <v> </v>
      </c>
    </row>
    <row r="416">
      <c r="A416" s="99" t="str">
        <f>IFERROR(__xludf.DUMMYFUNCTION("""COMPUTED_VALUE"""),"https://utrucking.com/admin/orders/6461300113596")</f>
        <v>https://utrucking.com/admin/orders/6461300113596</v>
      </c>
      <c r="B416" s="61" t="str">
        <f>IFERROR(__xludf.DUMMYFUNCTION("""COMPUTED_VALUE"""),"#18357")</f>
        <v>#18357</v>
      </c>
      <c r="C416" s="61" t="str">
        <f>IFERROR(__xludf.DUMMYFUNCTION("""COMPUTED_VALUE"""),"k.m.rambod-sarrieu@wustl.edu")</f>
        <v>k.m.rambod-sarrieu@wustl.edu</v>
      </c>
      <c r="D416" s="61">
        <f>IFERROR(__xludf.DUMMYFUNCTION("""COMPUTED_VALUE"""),4.806007592E9)</f>
        <v>4806007592</v>
      </c>
      <c r="E416" s="61" t="str">
        <f>IFERROR(__xludf.DUMMYFUNCTION("""COMPUTED_VALUE"""),"Kayla Rambod-Sarrieu")</f>
        <v>Kayla Rambod-Sarrieu</v>
      </c>
      <c r="F416" s="61" t="str">
        <f>IFERROR(__xludf.DUMMYFUNCTION("""COMPUTED_VALUE"""),"kayla rambod-sarrieu")</f>
        <v>kayla rambod-sarrieu</v>
      </c>
      <c r="G416" s="61"/>
      <c r="H416" s="61" t="str">
        <f>IFERROR(__xludf.DUMMYFUNCTION("""COMPUTED_VALUE"""),"Appliance Rental Return")</f>
        <v>Appliance Rental Return</v>
      </c>
      <c r="I416" s="61" t="str">
        <f>IFERROR(__xludf.DUMMYFUNCTION("""COMPUTED_VALUE""")," Double-Door Mini Fridge   - ")</f>
        <v> Double-Door Mini Fridge   - </v>
      </c>
      <c r="J416" s="107" t="str">
        <f>IFERROR(__xludf.DUMMYFUNCTION("""COMPUTED_VALUE"""),"Myers  ")</f>
        <v>Myers  </v>
      </c>
      <c r="K416" s="100">
        <f>IFERROR(__xludf.DUMMYFUNCTION("""COMPUTED_VALUE"""),46153.0)</f>
        <v>46153</v>
      </c>
      <c r="L416" s="61" t="str">
        <f>IFERROR(__xludf.DUMMYFUNCTION("""COMPUTED_VALUE"""),"32")</f>
        <v>32</v>
      </c>
      <c r="M416" s="61" t="str">
        <f>IFERROR(__xludf.DUMMYFUNCTION("""COMPUTED_VALUE""")," ")</f>
        <v> </v>
      </c>
    </row>
    <row r="417">
      <c r="A417" s="102" t="str">
        <f>IFERROR(__xludf.DUMMYFUNCTION("""COMPUTED_VALUE"""),"https://utrucking.com/admin/orders/6461303259324")</f>
        <v>https://utrucking.com/admin/orders/6461303259324</v>
      </c>
      <c r="B417" s="65" t="str">
        <f>IFERROR(__xludf.DUMMYFUNCTION("""COMPUTED_VALUE"""),"#18358")</f>
        <v>#18358</v>
      </c>
      <c r="C417" s="65" t="str">
        <f>IFERROR(__xludf.DUMMYFUNCTION("""COMPUTED_VALUE"""),"m.e.mohanty@wustl.edu")</f>
        <v>m.e.mohanty@wustl.edu</v>
      </c>
      <c r="D417" s="65">
        <f>IFERROR(__xludf.DUMMYFUNCTION("""COMPUTED_VALUE"""),5.61777327E9)</f>
        <v>5617773270</v>
      </c>
      <c r="E417" s="65" t="str">
        <f>IFERROR(__xludf.DUMMYFUNCTION("""COMPUTED_VALUE"""),"Elizabeth Mohanty")</f>
        <v>Elizabeth Mohanty</v>
      </c>
      <c r="F417" s="65" t="str">
        <f>IFERROR(__xludf.DUMMYFUNCTION("""COMPUTED_VALUE"""),"Maya Mohanty")</f>
        <v>Maya Mohanty</v>
      </c>
      <c r="G417" s="65"/>
      <c r="H417" s="65" t="str">
        <f>IFERROR(__xludf.DUMMYFUNCTION("""COMPUTED_VALUE"""),"Appliance Rental Return")</f>
        <v>Appliance Rental Return</v>
      </c>
      <c r="I417" s="65" t="str">
        <f>IFERROR(__xludf.DUMMYFUNCTION("""COMPUTED_VALUE""")," Standard Mini Fridge   - ")</f>
        <v> Standard Mini Fridge   - </v>
      </c>
      <c r="J417" s="108" t="str">
        <f>IFERROR(__xludf.DUMMYFUNCTION("""COMPUTED_VALUE"""),"Mudd  ")</f>
        <v>Mudd  </v>
      </c>
      <c r="K417" s="103">
        <f>IFERROR(__xludf.DUMMYFUNCTION("""COMPUTED_VALUE"""),46153.0)</f>
        <v>46153</v>
      </c>
      <c r="L417" s="65" t="str">
        <f>IFERROR(__xludf.DUMMYFUNCTION("""COMPUTED_VALUE"""),"210")</f>
        <v>210</v>
      </c>
      <c r="M417" s="65" t="str">
        <f>IFERROR(__xludf.DUMMYFUNCTION("""COMPUTED_VALUE""")," ")</f>
        <v> </v>
      </c>
    </row>
    <row r="418">
      <c r="A418" s="99" t="str">
        <f>IFERROR(__xludf.DUMMYFUNCTION("""COMPUTED_VALUE"""),"https://utrucking.com/admin/orders/6461913628860")</f>
        <v>https://utrucking.com/admin/orders/6461913628860</v>
      </c>
      <c r="B418" s="61" t="str">
        <f>IFERROR(__xludf.DUMMYFUNCTION("""COMPUTED_VALUE"""),"#18360")</f>
        <v>#18360</v>
      </c>
      <c r="C418" s="61" t="str">
        <f>IFERROR(__xludf.DUMMYFUNCTION("""COMPUTED_VALUE"""),"drewdillon876@gmail.com")</f>
        <v>drewdillon876@gmail.com</v>
      </c>
      <c r="D418" s="61">
        <f>IFERROR(__xludf.DUMMYFUNCTION("""COMPUTED_VALUE"""),6.124024026E9)</f>
        <v>6124024026</v>
      </c>
      <c r="E418" s="61" t="str">
        <f>IFERROR(__xludf.DUMMYFUNCTION("""COMPUTED_VALUE"""),"Drew Dillon")</f>
        <v>Drew Dillon</v>
      </c>
      <c r="F418" s="61" t="str">
        <f>IFERROR(__xludf.DUMMYFUNCTION("""COMPUTED_VALUE"""),"Drew dillon ")</f>
        <v>Drew dillon </v>
      </c>
      <c r="G418" s="61"/>
      <c r="H418" s="61" t="str">
        <f>IFERROR(__xludf.DUMMYFUNCTION("""COMPUTED_VALUE"""),"Appliance Rental Return")</f>
        <v>Appliance Rental Return</v>
      </c>
      <c r="I418" s="61" t="str">
        <f>IFERROR(__xludf.DUMMYFUNCTION("""COMPUTED_VALUE""")," Standard Mini Fridge   - ")</f>
        <v> Standard Mini Fridge   - </v>
      </c>
      <c r="J418" s="107" t="str">
        <f>IFERROR(__xludf.DUMMYFUNCTION("""COMPUTED_VALUE"""),"Park  ")</f>
        <v>Park  </v>
      </c>
      <c r="K418" s="100">
        <f>IFERROR(__xludf.DUMMYFUNCTION("""COMPUTED_VALUE"""),46153.0)</f>
        <v>46153</v>
      </c>
      <c r="L418" s="61" t="str">
        <f>IFERROR(__xludf.DUMMYFUNCTION("""COMPUTED_VALUE"""),"120 A")</f>
        <v>120 A</v>
      </c>
      <c r="M418" s="61" t="str">
        <f>IFERROR(__xludf.DUMMYFUNCTION("""COMPUTED_VALUE""")," ")</f>
        <v> </v>
      </c>
    </row>
    <row r="419">
      <c r="A419" s="102" t="str">
        <f>IFERROR(__xludf.DUMMYFUNCTION("""COMPUTED_VALUE"""),"https://utrucking.com/admin/orders/6462425661628")</f>
        <v>https://utrucking.com/admin/orders/6462425661628</v>
      </c>
      <c r="B419" s="65" t="str">
        <f>IFERROR(__xludf.DUMMYFUNCTION("""COMPUTED_VALUE"""),"#18366")</f>
        <v>#18366</v>
      </c>
      <c r="C419" s="65" t="str">
        <f>IFERROR(__xludf.DUMMYFUNCTION("""COMPUTED_VALUE"""),"o.a.yeaman@wustl.edu")</f>
        <v>o.a.yeaman@wustl.edu</v>
      </c>
      <c r="D419" s="65">
        <f>IFERROR(__xludf.DUMMYFUNCTION("""COMPUTED_VALUE"""),4.152507507E9)</f>
        <v>4152507507</v>
      </c>
      <c r="E419" s="65" t="str">
        <f>IFERROR(__xludf.DUMMYFUNCTION("""COMPUTED_VALUE"""),"Oliver Yeaman")</f>
        <v>Oliver Yeaman</v>
      </c>
      <c r="F419" s="65" t="str">
        <f>IFERROR(__xludf.DUMMYFUNCTION("""COMPUTED_VALUE"""),"Oliver Alex Yeaman")</f>
        <v>Oliver Alex Yeaman</v>
      </c>
      <c r="G419" s="65"/>
      <c r="H419" s="65" t="str">
        <f>IFERROR(__xludf.DUMMYFUNCTION("""COMPUTED_VALUE"""),"Appliance Rental Return")</f>
        <v>Appliance Rental Return</v>
      </c>
      <c r="I419" s="65" t="str">
        <f>IFERROR(__xludf.DUMMYFUNCTION("""COMPUTED_VALUE""")," Double-Door Mini Fridge + Microwave   - ")</f>
        <v> Double-Door Mini Fridge + Microwave   - </v>
      </c>
      <c r="J419" s="108" t="str">
        <f>IFERROR(__xludf.DUMMYFUNCTION("""COMPUTED_VALUE"""),"Liggett  ")</f>
        <v>Liggett  </v>
      </c>
      <c r="K419" s="103">
        <f>IFERROR(__xludf.DUMMYFUNCTION("""COMPUTED_VALUE"""),46153.0)</f>
        <v>46153</v>
      </c>
      <c r="L419" s="65" t="str">
        <f>IFERROR(__xludf.DUMMYFUNCTION("""COMPUTED_VALUE"""),"3370-A")</f>
        <v>3370-A</v>
      </c>
      <c r="M419" s="65" t="str">
        <f>IFERROR(__xludf.DUMMYFUNCTION("""COMPUTED_VALUE""")," ")</f>
        <v> </v>
      </c>
    </row>
    <row r="420">
      <c r="A420" s="99" t="str">
        <f>IFERROR(__xludf.DUMMYFUNCTION("""COMPUTED_VALUE"""),"https://utrucking.com/admin/orders/6462540349628")</f>
        <v>https://utrucking.com/admin/orders/6462540349628</v>
      </c>
      <c r="B420" s="61" t="str">
        <f>IFERROR(__xludf.DUMMYFUNCTION("""COMPUTED_VALUE"""),"#18367")</f>
        <v>#18367</v>
      </c>
      <c r="C420" s="61" t="str">
        <f>IFERROR(__xludf.DUMMYFUNCTION("""COMPUTED_VALUE"""),"averyominsky@gmail.com")</f>
        <v>averyominsky@gmail.com</v>
      </c>
      <c r="D420" s="61">
        <f>IFERROR(__xludf.DUMMYFUNCTION("""COMPUTED_VALUE"""),2.673614611E9)</f>
        <v>2673614611</v>
      </c>
      <c r="E420" s="61" t="str">
        <f>IFERROR(__xludf.DUMMYFUNCTION("""COMPUTED_VALUE"""),"Avery Ominsky")</f>
        <v>Avery Ominsky</v>
      </c>
      <c r="F420" s="61" t="str">
        <f>IFERROR(__xludf.DUMMYFUNCTION("""COMPUTED_VALUE"""),"Avery Ominsky")</f>
        <v>Avery Ominsky</v>
      </c>
      <c r="G420" s="61"/>
      <c r="H420" s="61" t="str">
        <f>IFERROR(__xludf.DUMMYFUNCTION("""COMPUTED_VALUE"""),"Appliance Rental Return")</f>
        <v>Appliance Rental Return</v>
      </c>
      <c r="I420" s="61" t="str">
        <f>IFERROR(__xludf.DUMMYFUNCTION("""COMPUTED_VALUE""")," Standard Mini Fridge   - ")</f>
        <v> Standard Mini Fridge   - </v>
      </c>
      <c r="J420" s="107" t="str">
        <f>IFERROR(__xludf.DUMMYFUNCTION("""COMPUTED_VALUE"""),"Lopata  ")</f>
        <v>Lopata  </v>
      </c>
      <c r="K420" s="100">
        <f>IFERROR(__xludf.DUMMYFUNCTION("""COMPUTED_VALUE"""),46153.0)</f>
        <v>46153</v>
      </c>
      <c r="L420" s="61" t="str">
        <f>IFERROR(__xludf.DUMMYFUNCTION("""COMPUTED_VALUE"""),"1114")</f>
        <v>1114</v>
      </c>
      <c r="M420" s="61" t="str">
        <f>IFERROR(__xludf.DUMMYFUNCTION("""COMPUTED_VALUE""")," ")</f>
        <v> </v>
      </c>
    </row>
    <row r="421">
      <c r="A421" s="102" t="str">
        <f>IFERROR(__xludf.DUMMYFUNCTION("""COMPUTED_VALUE"""),"https://utrucking.com/admin/orders/6463880069308")</f>
        <v>https://utrucking.com/admin/orders/6463880069308</v>
      </c>
      <c r="B421" s="65" t="str">
        <f>IFERROR(__xludf.DUMMYFUNCTION("""COMPUTED_VALUE"""),"#18372")</f>
        <v>#18372</v>
      </c>
      <c r="C421" s="65" t="str">
        <f>IFERROR(__xludf.DUMMYFUNCTION("""COMPUTED_VALUE"""),"l.d.young@wustl.edu")</f>
        <v>l.d.young@wustl.edu</v>
      </c>
      <c r="D421" s="65">
        <f>IFERROR(__xludf.DUMMYFUNCTION("""COMPUTED_VALUE"""),9.494311134E9)</f>
        <v>9494311134</v>
      </c>
      <c r="E421" s="65" t="str">
        <f>IFERROR(__xludf.DUMMYFUNCTION("""COMPUTED_VALUE"""),"Lance Young")</f>
        <v>Lance Young</v>
      </c>
      <c r="F421" s="65" t="str">
        <f>IFERROR(__xludf.DUMMYFUNCTION("""COMPUTED_VALUE"""),"Lance Young")</f>
        <v>Lance Young</v>
      </c>
      <c r="G421" s="65"/>
      <c r="H421" s="65" t="str">
        <f>IFERROR(__xludf.DUMMYFUNCTION("""COMPUTED_VALUE"""),"Appliance Rental Return")</f>
        <v>Appliance Rental Return</v>
      </c>
      <c r="I421" s="65" t="str">
        <f>IFERROR(__xludf.DUMMYFUNCTION("""COMPUTED_VALUE""")," Double-Door Mini Fridge + Microwave   - ")</f>
        <v> Double-Door Mini Fridge + Microwave   - </v>
      </c>
      <c r="J421" s="108" t="str">
        <f>IFERROR(__xludf.DUMMYFUNCTION("""COMPUTED_VALUE"""),"Koenig  ")</f>
        <v>Koenig  </v>
      </c>
      <c r="K421" s="103">
        <f>IFERROR(__xludf.DUMMYFUNCTION("""COMPUTED_VALUE"""),46153.0)</f>
        <v>46153</v>
      </c>
      <c r="L421" s="65" t="str">
        <f>IFERROR(__xludf.DUMMYFUNCTION("""COMPUTED_VALUE"""),"4407")</f>
        <v>4407</v>
      </c>
      <c r="M421" s="65" t="str">
        <f>IFERROR(__xludf.DUMMYFUNCTION("""COMPUTED_VALUE""")," ")</f>
        <v> </v>
      </c>
    </row>
    <row r="422">
      <c r="A422" s="99" t="str">
        <f>IFERROR(__xludf.DUMMYFUNCTION("""COMPUTED_VALUE"""),"https://utrucking.com/admin/orders/6465667956924")</f>
        <v>https://utrucking.com/admin/orders/6465667956924</v>
      </c>
      <c r="B422" s="61" t="str">
        <f>IFERROR(__xludf.DUMMYFUNCTION("""COMPUTED_VALUE"""),"#18380")</f>
        <v>#18380</v>
      </c>
      <c r="C422" s="61" t="str">
        <f>IFERROR(__xludf.DUMMYFUNCTION("""COMPUTED_VALUE"""),"fayschneider212@icloud.com")</f>
        <v>fayschneider212@icloud.com</v>
      </c>
      <c r="D422" s="61">
        <f>IFERROR(__xludf.DUMMYFUNCTION("""COMPUTED_VALUE"""),1.6468563561E10)</f>
        <v>16468563561</v>
      </c>
      <c r="E422" s="61" t="str">
        <f>IFERROR(__xludf.DUMMYFUNCTION("""COMPUTED_VALUE"""),"Fay Schneider")</f>
        <v>Fay Schneider</v>
      </c>
      <c r="F422" s="61" t="str">
        <f>IFERROR(__xludf.DUMMYFUNCTION("""COMPUTED_VALUE"""),"Fay Schneider")</f>
        <v>Fay Schneider</v>
      </c>
      <c r="G422" s="61"/>
      <c r="H422" s="61" t="str">
        <f>IFERROR(__xludf.DUMMYFUNCTION("""COMPUTED_VALUE"""),"Appliance Rental Return")</f>
        <v>Appliance Rental Return</v>
      </c>
      <c r="I422" s="61" t="str">
        <f>IFERROR(__xludf.DUMMYFUNCTION("""COMPUTED_VALUE""")," Double-Door Mini Fridge   - ")</f>
        <v> Double-Door Mini Fridge   - </v>
      </c>
      <c r="J422" s="107" t="str">
        <f>IFERROR(__xludf.DUMMYFUNCTION("""COMPUTED_VALUE"""),"Lopata  ")</f>
        <v>Lopata  </v>
      </c>
      <c r="K422" s="100">
        <f>IFERROR(__xludf.DUMMYFUNCTION("""COMPUTED_VALUE"""),46155.0)</f>
        <v>46155</v>
      </c>
      <c r="L422" s="61" t="str">
        <f>IFERROR(__xludf.DUMMYFUNCTION("""COMPUTED_VALUE"""),"1112")</f>
        <v>1112</v>
      </c>
      <c r="M422" s="61" t="str">
        <f>IFERROR(__xludf.DUMMYFUNCTION("""COMPUTED_VALUE""")," ")</f>
        <v> </v>
      </c>
    </row>
    <row r="423">
      <c r="A423" s="102" t="str">
        <f>IFERROR(__xludf.DUMMYFUNCTION("""COMPUTED_VALUE"""),"https://utrucking.com/admin/orders/6467066953916")</f>
        <v>https://utrucking.com/admin/orders/6467066953916</v>
      </c>
      <c r="B423" s="65" t="str">
        <f>IFERROR(__xludf.DUMMYFUNCTION("""COMPUTED_VALUE"""),"#18385")</f>
        <v>#18385</v>
      </c>
      <c r="C423" s="65" t="str">
        <f>IFERROR(__xludf.DUMMYFUNCTION("""COMPUTED_VALUE"""),"lindsayfauntleroy@gmail.com")</f>
        <v>lindsayfauntleroy@gmail.com</v>
      </c>
      <c r="D423" s="65">
        <f>IFERROR(__xludf.DUMMYFUNCTION("""COMPUTED_VALUE"""),1.3476344188E10)</f>
        <v>13476344188</v>
      </c>
      <c r="E423" s="65" t="str">
        <f>IFERROR(__xludf.DUMMYFUNCTION("""COMPUTED_VALUE"""),"Lindsay Fauntleroy")</f>
        <v>Lindsay Fauntleroy</v>
      </c>
      <c r="F423" s="65" t="str">
        <f>IFERROR(__xludf.DUMMYFUNCTION("""COMPUTED_VALUE"""),"Merikessa Kinsey")</f>
        <v>Merikessa Kinsey</v>
      </c>
      <c r="G423" s="65"/>
      <c r="H423" s="65" t="str">
        <f>IFERROR(__xludf.DUMMYFUNCTION("""COMPUTED_VALUE"""),"Appliance Rental Return")</f>
        <v>Appliance Rental Return</v>
      </c>
      <c r="I423" s="65" t="str">
        <f>IFERROR(__xludf.DUMMYFUNCTION("""COMPUTED_VALUE""")," Standard Mini Fridge   - ")</f>
        <v> Standard Mini Fridge   - </v>
      </c>
      <c r="J423" s="108" t="str">
        <f>IFERROR(__xludf.DUMMYFUNCTION("""COMPUTED_VALUE"""),"Lee  ")</f>
        <v>Lee  </v>
      </c>
      <c r="K423" s="103">
        <f>IFERROR(__xludf.DUMMYFUNCTION("""COMPUTED_VALUE"""),46156.0)</f>
        <v>46156</v>
      </c>
      <c r="L423" s="65" t="str">
        <f>IFERROR(__xludf.DUMMYFUNCTION("""COMPUTED_VALUE"""),"306")</f>
        <v>306</v>
      </c>
      <c r="M423" s="65" t="str">
        <f>IFERROR(__xludf.DUMMYFUNCTION("""COMPUTED_VALUE""")," ")</f>
        <v> </v>
      </c>
    </row>
    <row r="424">
      <c r="A424" s="99" t="str">
        <f>IFERROR(__xludf.DUMMYFUNCTION("""COMPUTED_VALUE"""),"https://utrucking.com/admin/orders/6468811423932")</f>
        <v>https://utrucking.com/admin/orders/6468811423932</v>
      </c>
      <c r="B424" s="61" t="str">
        <f>IFERROR(__xludf.DUMMYFUNCTION("""COMPUTED_VALUE"""),"#18388")</f>
        <v>#18388</v>
      </c>
      <c r="C424" s="61" t="str">
        <f>IFERROR(__xludf.DUMMYFUNCTION("""COMPUTED_VALUE"""),"stellamekhanik@gmail.com")</f>
        <v>stellamekhanik@gmail.com</v>
      </c>
      <c r="D424" s="61">
        <f>IFERROR(__xludf.DUMMYFUNCTION("""COMPUTED_VALUE"""),4.802827475E9)</f>
        <v>4802827475</v>
      </c>
      <c r="E424" s="61" t="str">
        <f>IFERROR(__xludf.DUMMYFUNCTION("""COMPUTED_VALUE"""),"Patricia Mekhanik")</f>
        <v>Patricia Mekhanik</v>
      </c>
      <c r="F424" s="61" t="str">
        <f>IFERROR(__xludf.DUMMYFUNCTION("""COMPUTED_VALUE"""),"Stella Mekhanik")</f>
        <v>Stella Mekhanik</v>
      </c>
      <c r="G424" s="61"/>
      <c r="H424" s="61" t="str">
        <f>IFERROR(__xludf.DUMMYFUNCTION("""COMPUTED_VALUE"""),"Appliance Rental Return")</f>
        <v>Appliance Rental Return</v>
      </c>
      <c r="I424" s="61" t="str">
        <f>IFERROR(__xludf.DUMMYFUNCTION("""COMPUTED_VALUE""")," Double-Door Mini Fridge + Microwave   - ")</f>
        <v> Double-Door Mini Fridge + Microwave   - </v>
      </c>
      <c r="J424" s="107" t="str">
        <f>IFERROR(__xludf.DUMMYFUNCTION("""COMPUTED_VALUE"""),"Shanedling  ")</f>
        <v>Shanedling  </v>
      </c>
      <c r="K424" s="100">
        <f>IFERROR(__xludf.DUMMYFUNCTION("""COMPUTED_VALUE"""),46160.0)</f>
        <v>46160</v>
      </c>
      <c r="L424" s="61" t="str">
        <f>IFERROR(__xludf.DUMMYFUNCTION("""COMPUTED_VALUE"""),"113")</f>
        <v>113</v>
      </c>
      <c r="M424" s="61" t="str">
        <f>IFERROR(__xludf.DUMMYFUNCTION("""COMPUTED_VALUE""")," ")</f>
        <v> </v>
      </c>
    </row>
    <row r="425">
      <c r="A425" s="102" t="str">
        <f>IFERROR(__xludf.DUMMYFUNCTION("""COMPUTED_VALUE"""),"https://utrucking.com/admin/orders/6469214142652")</f>
        <v>https://utrucking.com/admin/orders/6469214142652</v>
      </c>
      <c r="B425" s="65" t="str">
        <f>IFERROR(__xludf.DUMMYFUNCTION("""COMPUTED_VALUE"""),"#18390")</f>
        <v>#18390</v>
      </c>
      <c r="C425" s="65" t="str">
        <f>IFERROR(__xludf.DUMMYFUNCTION("""COMPUTED_VALUE"""),"ayeni@wustl.edu")</f>
        <v>ayeni@wustl.edu</v>
      </c>
      <c r="D425" s="65">
        <f>IFERROR(__xludf.DUMMYFUNCTION("""COMPUTED_VALUE"""),3.473363483E9)</f>
        <v>3473363483</v>
      </c>
      <c r="E425" s="65" t="str">
        <f>IFERROR(__xludf.DUMMYFUNCTION("""COMPUTED_VALUE"""),"Khalid Ayeni")</f>
        <v>Khalid Ayeni</v>
      </c>
      <c r="F425" s="65" t="str">
        <f>IFERROR(__xludf.DUMMYFUNCTION("""COMPUTED_VALUE"""),"Khalid Ayeni")</f>
        <v>Khalid Ayeni</v>
      </c>
      <c r="G425" s="65"/>
      <c r="H425" s="65" t="str">
        <f>IFERROR(__xludf.DUMMYFUNCTION("""COMPUTED_VALUE"""),"Appliance Rental Return")</f>
        <v>Appliance Rental Return</v>
      </c>
      <c r="I425" s="65" t="str">
        <f>IFERROR(__xludf.DUMMYFUNCTION("""COMPUTED_VALUE""")," Double-Door Mini Fridge + Microwave   - ")</f>
        <v> Double-Door Mini Fridge + Microwave   - </v>
      </c>
      <c r="J425" s="108" t="str">
        <f>IFERROR(__xludf.DUMMYFUNCTION("""COMPUTED_VALUE"""),"Dardick  ")</f>
        <v>Dardick  </v>
      </c>
      <c r="K425" s="103">
        <f>IFERROR(__xludf.DUMMYFUNCTION("""COMPUTED_VALUE"""),46157.0)</f>
        <v>46157</v>
      </c>
      <c r="L425" s="65" t="str">
        <f>IFERROR(__xludf.DUMMYFUNCTION("""COMPUTED_VALUE"""),"2209 ")</f>
        <v>2209 </v>
      </c>
      <c r="M425" s="65" t="str">
        <f>IFERROR(__xludf.DUMMYFUNCTION("""COMPUTED_VALUE""")," ")</f>
        <v> </v>
      </c>
    </row>
    <row r="426">
      <c r="A426" s="99" t="str">
        <f>IFERROR(__xludf.DUMMYFUNCTION("""COMPUTED_VALUE"""),"https://utrucking.com/admin/orders/6470568804540")</f>
        <v>https://utrucking.com/admin/orders/6470568804540</v>
      </c>
      <c r="B426" s="61" t="str">
        <f>IFERROR(__xludf.DUMMYFUNCTION("""COMPUTED_VALUE"""),"#18395")</f>
        <v>#18395</v>
      </c>
      <c r="C426" s="61" t="str">
        <f>IFERROR(__xludf.DUMMYFUNCTION("""COMPUTED_VALUE"""),"spencereyamamoto@gmail.com")</f>
        <v>spencereyamamoto@gmail.com</v>
      </c>
      <c r="D426" s="61">
        <f>IFERROR(__xludf.DUMMYFUNCTION("""COMPUTED_VALUE"""),8.083695904E9)</f>
        <v>8083695904</v>
      </c>
      <c r="E426" s="61" t="str">
        <f>IFERROR(__xludf.DUMMYFUNCTION("""COMPUTED_VALUE"""),"Spencer Yamamoto")</f>
        <v>Spencer Yamamoto</v>
      </c>
      <c r="F426" s="61" t="str">
        <f>IFERROR(__xludf.DUMMYFUNCTION("""COMPUTED_VALUE"""),"Spencer Yamamoto")</f>
        <v>Spencer Yamamoto</v>
      </c>
      <c r="G426" s="61"/>
      <c r="H426" s="61" t="str">
        <f>IFERROR(__xludf.DUMMYFUNCTION("""COMPUTED_VALUE"""),"Appliance Rental Return")</f>
        <v>Appliance Rental Return</v>
      </c>
      <c r="I426" s="61" t="str">
        <f>IFERROR(__xludf.DUMMYFUNCTION("""COMPUTED_VALUE""")," Double-Door Mini Fridge   - ")</f>
        <v> Double-Door Mini Fridge   - </v>
      </c>
      <c r="J426" s="107" t="str">
        <f>IFERROR(__xludf.DUMMYFUNCTION("""COMPUTED_VALUE"""),"Eliot A (Thomas Eliot)")</f>
        <v>Eliot A (Thomas Eliot)</v>
      </c>
      <c r="K426" s="100">
        <f>IFERROR(__xludf.DUMMYFUNCTION("""COMPUTED_VALUE"""),46158.0)</f>
        <v>46158</v>
      </c>
      <c r="L426" s="61" t="str">
        <f>IFERROR(__xludf.DUMMYFUNCTION("""COMPUTED_VALUE"""),"1031")</f>
        <v>1031</v>
      </c>
      <c r="M426" s="61" t="str">
        <f>IFERROR(__xludf.DUMMYFUNCTION("""COMPUTED_VALUE""")," ")</f>
        <v> </v>
      </c>
    </row>
    <row r="427">
      <c r="A427" s="102" t="str">
        <f>IFERROR(__xludf.DUMMYFUNCTION("""COMPUTED_VALUE"""),"https://utrucking.com/admin/orders/6473811132604")</f>
        <v>https://utrucking.com/admin/orders/6473811132604</v>
      </c>
      <c r="B427" s="65" t="str">
        <f>IFERROR(__xludf.DUMMYFUNCTION("""COMPUTED_VALUE"""),"#18400")</f>
        <v>#18400</v>
      </c>
      <c r="C427" s="65" t="str">
        <f>IFERROR(__xludf.DUMMYFUNCTION("""COMPUTED_VALUE"""),"gibsonwerner@icloud.com")</f>
        <v>gibsonwerner@icloud.com</v>
      </c>
      <c r="D427" s="65">
        <f>IFERROR(__xludf.DUMMYFUNCTION("""COMPUTED_VALUE"""),8.174546178E9)</f>
        <v>8174546178</v>
      </c>
      <c r="E427" s="65" t="str">
        <f>IFERROR(__xludf.DUMMYFUNCTION("""COMPUTED_VALUE"""),"Gibson Werner")</f>
        <v>Gibson Werner</v>
      </c>
      <c r="F427" s="65" t="str">
        <f>IFERROR(__xludf.DUMMYFUNCTION("""COMPUTED_VALUE"""),"Gibson Werner")</f>
        <v>Gibson Werner</v>
      </c>
      <c r="G427" s="65"/>
      <c r="H427" s="65" t="str">
        <f>IFERROR(__xludf.DUMMYFUNCTION("""COMPUTED_VALUE"""),"Appliance Rental Return")</f>
        <v>Appliance Rental Return</v>
      </c>
      <c r="I427" s="65" t="str">
        <f>IFERROR(__xludf.DUMMYFUNCTION("""COMPUTED_VALUE""")," Double-Door Mini Fridge + Microwave   - ")</f>
        <v> Double-Door Mini Fridge + Microwave   - </v>
      </c>
      <c r="J427" s="108" t="str">
        <f>IFERROR(__xludf.DUMMYFUNCTION("""COMPUTED_VALUE"""),"Wheeler  ")</f>
        <v>Wheeler  </v>
      </c>
      <c r="K427" s="103">
        <f>IFERROR(__xludf.DUMMYFUNCTION("""COMPUTED_VALUE"""),46160.0)</f>
        <v>46160</v>
      </c>
      <c r="L427" s="65" t="str">
        <f>IFERROR(__xludf.DUMMYFUNCTION("""COMPUTED_VALUE"""),"2022")</f>
        <v>2022</v>
      </c>
      <c r="M427" s="65" t="str">
        <f>IFERROR(__xludf.DUMMYFUNCTION("""COMPUTED_VALUE""")," ")</f>
        <v> </v>
      </c>
    </row>
    <row r="428">
      <c r="A428" s="61"/>
      <c r="B428" s="61"/>
      <c r="C428" s="61"/>
      <c r="D428" s="61"/>
      <c r="E428" s="61"/>
      <c r="F428" s="61"/>
      <c r="G428" s="61"/>
      <c r="H428" s="61"/>
      <c r="I428" s="61"/>
      <c r="J428" s="107"/>
      <c r="K428" s="100"/>
      <c r="L428" s="61"/>
      <c r="M428" s="61"/>
    </row>
    <row r="429">
      <c r="A429" s="65"/>
      <c r="B429" s="65"/>
      <c r="C429" s="65"/>
      <c r="D429" s="65"/>
      <c r="E429" s="65"/>
      <c r="F429" s="65"/>
      <c r="G429" s="65"/>
      <c r="H429" s="65"/>
      <c r="I429" s="65"/>
      <c r="J429" s="108"/>
      <c r="K429" s="103"/>
      <c r="L429" s="65"/>
      <c r="M429" s="65"/>
    </row>
    <row r="430">
      <c r="A430" s="61"/>
      <c r="B430" s="61"/>
      <c r="C430" s="61"/>
      <c r="D430" s="61"/>
      <c r="E430" s="61"/>
      <c r="F430" s="61"/>
      <c r="G430" s="61"/>
      <c r="H430" s="61"/>
      <c r="I430" s="61"/>
      <c r="J430" s="107"/>
      <c r="K430" s="100"/>
      <c r="L430" s="61"/>
      <c r="M430" s="61"/>
    </row>
    <row r="431">
      <c r="A431" s="65"/>
      <c r="B431" s="65"/>
      <c r="C431" s="65"/>
      <c r="D431" s="65"/>
      <c r="E431" s="65"/>
      <c r="F431" s="65"/>
      <c r="G431" s="65"/>
      <c r="H431" s="65"/>
      <c r="I431" s="65"/>
      <c r="J431" s="108"/>
      <c r="K431" s="103"/>
      <c r="L431" s="65"/>
      <c r="M431" s="65"/>
    </row>
    <row r="432">
      <c r="A432" s="61"/>
      <c r="B432" s="61"/>
      <c r="C432" s="61"/>
      <c r="D432" s="61"/>
      <c r="E432" s="61"/>
      <c r="F432" s="61"/>
      <c r="G432" s="61"/>
      <c r="H432" s="61"/>
      <c r="I432" s="61"/>
      <c r="J432" s="107"/>
      <c r="K432" s="100"/>
      <c r="L432" s="61"/>
      <c r="M432" s="61"/>
    </row>
    <row r="433">
      <c r="A433" s="65"/>
      <c r="B433" s="65"/>
      <c r="C433" s="65"/>
      <c r="D433" s="65"/>
      <c r="E433" s="65"/>
      <c r="F433" s="65"/>
      <c r="G433" s="65"/>
      <c r="H433" s="65"/>
      <c r="I433" s="65"/>
      <c r="J433" s="108"/>
      <c r="K433" s="103"/>
      <c r="L433" s="65"/>
      <c r="M433" s="65"/>
    </row>
    <row r="434">
      <c r="A434" s="61"/>
      <c r="B434" s="61"/>
      <c r="C434" s="61"/>
      <c r="D434" s="61"/>
      <c r="E434" s="61"/>
      <c r="F434" s="61"/>
      <c r="G434" s="61"/>
      <c r="H434" s="61"/>
      <c r="I434" s="61"/>
      <c r="J434" s="107"/>
      <c r="K434" s="100"/>
      <c r="L434" s="61"/>
      <c r="M434" s="61"/>
    </row>
    <row r="435">
      <c r="A435" s="65"/>
      <c r="B435" s="65"/>
      <c r="C435" s="65"/>
      <c r="D435" s="65"/>
      <c r="E435" s="65"/>
      <c r="F435" s="65"/>
      <c r="G435" s="65"/>
      <c r="H435" s="65"/>
      <c r="I435" s="65"/>
      <c r="J435" s="108"/>
      <c r="K435" s="103"/>
      <c r="L435" s="65"/>
      <c r="M435" s="65"/>
    </row>
    <row r="436">
      <c r="A436" s="61"/>
      <c r="B436" s="61"/>
      <c r="C436" s="61"/>
      <c r="D436" s="61"/>
      <c r="E436" s="61"/>
      <c r="F436" s="61"/>
      <c r="G436" s="61"/>
      <c r="H436" s="61"/>
      <c r="I436" s="61"/>
      <c r="J436" s="107"/>
      <c r="K436" s="100"/>
      <c r="L436" s="61"/>
      <c r="M436" s="61"/>
    </row>
    <row r="437">
      <c r="A437" s="65"/>
      <c r="B437" s="65"/>
      <c r="C437" s="65"/>
      <c r="D437" s="65"/>
      <c r="E437" s="65"/>
      <c r="F437" s="65"/>
      <c r="G437" s="65"/>
      <c r="H437" s="65"/>
      <c r="I437" s="65"/>
      <c r="J437" s="108"/>
      <c r="K437" s="103"/>
      <c r="L437" s="65"/>
      <c r="M437" s="65"/>
    </row>
    <row r="438">
      <c r="A438" s="61"/>
      <c r="B438" s="61"/>
      <c r="C438" s="61"/>
      <c r="D438" s="61"/>
      <c r="E438" s="61"/>
      <c r="F438" s="61"/>
      <c r="G438" s="61"/>
      <c r="H438" s="61"/>
      <c r="I438" s="61"/>
      <c r="J438" s="107"/>
      <c r="K438" s="100"/>
      <c r="L438" s="61"/>
      <c r="M438" s="61"/>
    </row>
    <row r="439">
      <c r="A439" s="65"/>
      <c r="B439" s="65"/>
      <c r="C439" s="65"/>
      <c r="D439" s="65"/>
      <c r="E439" s="65"/>
      <c r="F439" s="65"/>
      <c r="G439" s="65"/>
      <c r="H439" s="65"/>
      <c r="I439" s="65"/>
      <c r="J439" s="108"/>
      <c r="K439" s="103"/>
      <c r="L439" s="65"/>
      <c r="M439" s="65"/>
    </row>
    <row r="440">
      <c r="A440" s="61"/>
      <c r="B440" s="61"/>
      <c r="C440" s="61"/>
      <c r="D440" s="61"/>
      <c r="E440" s="61"/>
      <c r="F440" s="61"/>
      <c r="G440" s="61"/>
      <c r="H440" s="61"/>
      <c r="I440" s="61"/>
      <c r="J440" s="107"/>
      <c r="K440" s="100"/>
      <c r="L440" s="61"/>
      <c r="M440" s="61"/>
    </row>
    <row r="441">
      <c r="A441" s="65"/>
      <c r="B441" s="65"/>
      <c r="C441" s="65"/>
      <c r="D441" s="65"/>
      <c r="E441" s="65"/>
      <c r="F441" s="65"/>
      <c r="G441" s="65"/>
      <c r="H441" s="65"/>
      <c r="I441" s="65"/>
      <c r="J441" s="108"/>
      <c r="K441" s="103"/>
      <c r="L441" s="65"/>
      <c r="M441" s="65"/>
    </row>
    <row r="442">
      <c r="A442" s="61"/>
      <c r="B442" s="61"/>
      <c r="C442" s="61"/>
      <c r="D442" s="61"/>
      <c r="E442" s="61"/>
      <c r="F442" s="61"/>
      <c r="G442" s="61"/>
      <c r="H442" s="61"/>
      <c r="I442" s="61"/>
      <c r="J442" s="107"/>
      <c r="K442" s="100"/>
      <c r="L442" s="61"/>
      <c r="M442" s="61"/>
    </row>
    <row r="443">
      <c r="A443" s="65"/>
      <c r="B443" s="65"/>
      <c r="C443" s="65"/>
      <c r="D443" s="65"/>
      <c r="E443" s="65"/>
      <c r="F443" s="65"/>
      <c r="G443" s="65"/>
      <c r="H443" s="65"/>
      <c r="I443" s="65"/>
      <c r="J443" s="108"/>
      <c r="K443" s="103"/>
      <c r="L443" s="65"/>
      <c r="M443" s="65"/>
    </row>
    <row r="444">
      <c r="A444" s="61"/>
      <c r="B444" s="61"/>
      <c r="C444" s="61"/>
      <c r="D444" s="61"/>
      <c r="E444" s="61"/>
      <c r="F444" s="61"/>
      <c r="G444" s="61"/>
      <c r="H444" s="61"/>
      <c r="I444" s="61"/>
      <c r="J444" s="107"/>
      <c r="K444" s="100"/>
      <c r="L444" s="61"/>
      <c r="M444" s="61"/>
    </row>
    <row r="445">
      <c r="A445" s="65"/>
      <c r="B445" s="65"/>
      <c r="C445" s="65"/>
      <c r="D445" s="65"/>
      <c r="E445" s="65"/>
      <c r="F445" s="65"/>
      <c r="G445" s="65"/>
      <c r="H445" s="65"/>
      <c r="I445" s="65"/>
      <c r="J445" s="108"/>
      <c r="K445" s="103"/>
      <c r="L445" s="65"/>
      <c r="M445" s="65"/>
    </row>
    <row r="446">
      <c r="A446" s="61"/>
      <c r="B446" s="61"/>
      <c r="C446" s="61"/>
      <c r="D446" s="61"/>
      <c r="E446" s="61"/>
      <c r="F446" s="61"/>
      <c r="G446" s="61"/>
      <c r="H446" s="61"/>
      <c r="I446" s="61"/>
      <c r="J446" s="107"/>
      <c r="K446" s="100"/>
      <c r="L446" s="61"/>
      <c r="M446" s="61"/>
    </row>
    <row r="447">
      <c r="A447" s="65"/>
      <c r="B447" s="65"/>
      <c r="C447" s="65"/>
      <c r="D447" s="65"/>
      <c r="E447" s="65"/>
      <c r="F447" s="65"/>
      <c r="G447" s="65"/>
      <c r="H447" s="65"/>
      <c r="I447" s="65"/>
      <c r="J447" s="108"/>
      <c r="K447" s="103"/>
      <c r="L447" s="65"/>
      <c r="M447" s="65"/>
    </row>
    <row r="448">
      <c r="A448" s="61"/>
      <c r="B448" s="61"/>
      <c r="C448" s="61"/>
      <c r="D448" s="61"/>
      <c r="E448" s="61"/>
      <c r="F448" s="61"/>
      <c r="G448" s="61"/>
      <c r="H448" s="61"/>
      <c r="I448" s="61"/>
      <c r="J448" s="107"/>
      <c r="K448" s="100"/>
      <c r="L448" s="61"/>
      <c r="M448" s="61"/>
    </row>
    <row r="449">
      <c r="A449" s="65"/>
      <c r="B449" s="65"/>
      <c r="C449" s="65"/>
      <c r="D449" s="65"/>
      <c r="E449" s="65"/>
      <c r="F449" s="65"/>
      <c r="G449" s="65"/>
      <c r="H449" s="65"/>
      <c r="I449" s="65"/>
      <c r="J449" s="108"/>
      <c r="K449" s="103"/>
      <c r="L449" s="65"/>
      <c r="M449" s="65"/>
    </row>
    <row r="450">
      <c r="A450" s="61"/>
      <c r="B450" s="61"/>
      <c r="C450" s="61"/>
      <c r="D450" s="61"/>
      <c r="E450" s="61"/>
      <c r="F450" s="61"/>
      <c r="G450" s="61"/>
      <c r="H450" s="61"/>
      <c r="I450" s="61"/>
      <c r="J450" s="107"/>
      <c r="K450" s="100"/>
      <c r="L450" s="61"/>
      <c r="M450" s="61"/>
    </row>
    <row r="451">
      <c r="A451" s="65"/>
      <c r="B451" s="65"/>
      <c r="C451" s="65"/>
      <c r="D451" s="65"/>
      <c r="E451" s="65"/>
      <c r="F451" s="65"/>
      <c r="G451" s="65"/>
      <c r="H451" s="65"/>
      <c r="I451" s="65"/>
      <c r="J451" s="108"/>
      <c r="K451" s="103"/>
      <c r="L451" s="65"/>
      <c r="M451" s="65"/>
    </row>
    <row r="452">
      <c r="A452" s="61"/>
      <c r="B452" s="61"/>
      <c r="C452" s="61"/>
      <c r="D452" s="61"/>
      <c r="E452" s="61"/>
      <c r="F452" s="61"/>
      <c r="G452" s="61"/>
      <c r="H452" s="61"/>
      <c r="I452" s="61"/>
      <c r="J452" s="107"/>
      <c r="K452" s="100"/>
      <c r="L452" s="61"/>
      <c r="M452" s="61"/>
    </row>
    <row r="453">
      <c r="A453" s="65"/>
      <c r="B453" s="65"/>
      <c r="C453" s="65"/>
      <c r="D453" s="65"/>
      <c r="E453" s="65"/>
      <c r="F453" s="65"/>
      <c r="G453" s="65"/>
      <c r="H453" s="65"/>
      <c r="I453" s="65"/>
      <c r="J453" s="108"/>
      <c r="K453" s="103"/>
      <c r="L453" s="65"/>
      <c r="M453" s="65"/>
    </row>
    <row r="454">
      <c r="A454" s="61"/>
      <c r="B454" s="61"/>
      <c r="C454" s="61"/>
      <c r="D454" s="61"/>
      <c r="E454" s="61"/>
      <c r="F454" s="61"/>
      <c r="G454" s="61"/>
      <c r="H454" s="61"/>
      <c r="I454" s="61"/>
      <c r="J454" s="107"/>
      <c r="K454" s="100"/>
      <c r="L454" s="61"/>
      <c r="M454" s="61"/>
    </row>
    <row r="455">
      <c r="A455" s="65"/>
      <c r="B455" s="65"/>
      <c r="C455" s="65"/>
      <c r="D455" s="65"/>
      <c r="E455" s="65"/>
      <c r="F455" s="65"/>
      <c r="G455" s="65"/>
      <c r="H455" s="65"/>
      <c r="I455" s="65"/>
      <c r="J455" s="108"/>
      <c r="K455" s="103"/>
      <c r="L455" s="65"/>
      <c r="M455" s="65"/>
    </row>
    <row r="456">
      <c r="A456" s="61"/>
      <c r="B456" s="61"/>
      <c r="C456" s="61"/>
      <c r="D456" s="61"/>
      <c r="E456" s="61"/>
      <c r="F456" s="61"/>
      <c r="G456" s="61"/>
      <c r="H456" s="61"/>
      <c r="I456" s="61"/>
      <c r="J456" s="107"/>
      <c r="K456" s="100"/>
      <c r="L456" s="61"/>
      <c r="M456" s="61"/>
    </row>
    <row r="457">
      <c r="A457" s="65"/>
      <c r="B457" s="65"/>
      <c r="C457" s="65"/>
      <c r="D457" s="65"/>
      <c r="E457" s="65"/>
      <c r="F457" s="65"/>
      <c r="G457" s="65"/>
      <c r="H457" s="65"/>
      <c r="I457" s="65"/>
      <c r="J457" s="108"/>
      <c r="K457" s="103"/>
      <c r="L457" s="65"/>
      <c r="M457" s="65"/>
    </row>
    <row r="458">
      <c r="A458" s="61"/>
      <c r="B458" s="61"/>
      <c r="C458" s="61"/>
      <c r="D458" s="61"/>
      <c r="E458" s="61"/>
      <c r="F458" s="61"/>
      <c r="G458" s="61"/>
      <c r="H458" s="61"/>
      <c r="I458" s="61"/>
      <c r="J458" s="107"/>
      <c r="K458" s="100"/>
      <c r="L458" s="61"/>
      <c r="M458" s="61"/>
    </row>
    <row r="459">
      <c r="A459" s="65"/>
      <c r="B459" s="65"/>
      <c r="C459" s="65"/>
      <c r="D459" s="65"/>
      <c r="E459" s="65"/>
      <c r="F459" s="65"/>
      <c r="G459" s="65"/>
      <c r="H459" s="65"/>
      <c r="I459" s="65"/>
      <c r="J459" s="108"/>
      <c r="K459" s="103"/>
      <c r="L459" s="65"/>
      <c r="M459" s="65"/>
    </row>
    <row r="460">
      <c r="A460" s="61"/>
      <c r="B460" s="61"/>
      <c r="C460" s="61"/>
      <c r="D460" s="61"/>
      <c r="E460" s="61"/>
      <c r="F460" s="61"/>
      <c r="G460" s="61"/>
      <c r="H460" s="61"/>
      <c r="I460" s="61"/>
      <c r="J460" s="107"/>
      <c r="K460" s="100"/>
      <c r="L460" s="61"/>
      <c r="M460" s="61"/>
    </row>
    <row r="461">
      <c r="A461" s="65"/>
      <c r="B461" s="65"/>
      <c r="C461" s="65"/>
      <c r="D461" s="65"/>
      <c r="E461" s="65"/>
      <c r="F461" s="65"/>
      <c r="G461" s="65"/>
      <c r="H461" s="65"/>
      <c r="I461" s="65"/>
      <c r="J461" s="108"/>
      <c r="K461" s="103"/>
      <c r="L461" s="65"/>
      <c r="M461" s="65"/>
    </row>
    <row r="462">
      <c r="A462" s="61"/>
      <c r="B462" s="61"/>
      <c r="C462" s="61"/>
      <c r="D462" s="61"/>
      <c r="E462" s="61"/>
      <c r="F462" s="61"/>
      <c r="G462" s="61"/>
      <c r="H462" s="61"/>
      <c r="I462" s="61"/>
      <c r="J462" s="107"/>
      <c r="K462" s="100"/>
      <c r="L462" s="61"/>
      <c r="M462" s="61"/>
    </row>
    <row r="463">
      <c r="A463" s="65"/>
      <c r="B463" s="65"/>
      <c r="C463" s="65"/>
      <c r="D463" s="65"/>
      <c r="E463" s="65"/>
      <c r="F463" s="65"/>
      <c r="G463" s="65"/>
      <c r="H463" s="65"/>
      <c r="I463" s="65"/>
      <c r="J463" s="108"/>
      <c r="K463" s="103"/>
      <c r="L463" s="65"/>
      <c r="M463" s="65"/>
    </row>
    <row r="464">
      <c r="A464" s="61"/>
      <c r="B464" s="61"/>
      <c r="C464" s="61"/>
      <c r="D464" s="61"/>
      <c r="E464" s="61"/>
      <c r="F464" s="61"/>
      <c r="G464" s="61"/>
      <c r="H464" s="61"/>
      <c r="I464" s="61"/>
      <c r="J464" s="107"/>
      <c r="K464" s="100"/>
      <c r="L464" s="61"/>
      <c r="M464" s="61"/>
    </row>
    <row r="465">
      <c r="A465" s="65"/>
      <c r="B465" s="65"/>
      <c r="C465" s="65"/>
      <c r="D465" s="65"/>
      <c r="E465" s="65"/>
      <c r="F465" s="65"/>
      <c r="G465" s="65"/>
      <c r="H465" s="65"/>
      <c r="I465" s="65"/>
      <c r="J465" s="108"/>
      <c r="K465" s="103"/>
      <c r="L465" s="65"/>
      <c r="M465" s="65"/>
    </row>
    <row r="466">
      <c r="A466" s="61"/>
      <c r="B466" s="61"/>
      <c r="C466" s="61"/>
      <c r="D466" s="61"/>
      <c r="E466" s="61"/>
      <c r="F466" s="61"/>
      <c r="G466" s="61"/>
      <c r="H466" s="61"/>
      <c r="I466" s="61"/>
      <c r="J466" s="107"/>
      <c r="K466" s="100"/>
      <c r="L466" s="61"/>
      <c r="M466" s="61"/>
    </row>
    <row r="467">
      <c r="A467" s="65"/>
      <c r="B467" s="65"/>
      <c r="C467" s="65"/>
      <c r="D467" s="65"/>
      <c r="E467" s="65"/>
      <c r="F467" s="65"/>
      <c r="G467" s="65"/>
      <c r="H467" s="65"/>
      <c r="I467" s="65"/>
      <c r="J467" s="108"/>
      <c r="K467" s="103"/>
      <c r="L467" s="65"/>
      <c r="M467" s="65"/>
    </row>
    <row r="468">
      <c r="A468" s="61"/>
      <c r="B468" s="61"/>
      <c r="C468" s="61"/>
      <c r="D468" s="61"/>
      <c r="E468" s="61"/>
      <c r="F468" s="61"/>
      <c r="G468" s="61"/>
      <c r="H468" s="61"/>
      <c r="I468" s="61"/>
      <c r="J468" s="107"/>
      <c r="K468" s="100"/>
      <c r="L468" s="61"/>
      <c r="M468" s="61"/>
    </row>
    <row r="469">
      <c r="A469" s="65"/>
      <c r="B469" s="65"/>
      <c r="C469" s="65"/>
      <c r="D469" s="65"/>
      <c r="E469" s="65"/>
      <c r="F469" s="65"/>
      <c r="G469" s="65"/>
      <c r="H469" s="65"/>
      <c r="I469" s="65"/>
      <c r="J469" s="108"/>
      <c r="K469" s="103"/>
      <c r="L469" s="65"/>
      <c r="M469" s="65"/>
    </row>
    <row r="470">
      <c r="A470" s="61"/>
      <c r="B470" s="61"/>
      <c r="C470" s="61"/>
      <c r="D470" s="61"/>
      <c r="E470" s="61"/>
      <c r="F470" s="61"/>
      <c r="G470" s="61"/>
      <c r="H470" s="61"/>
      <c r="I470" s="61"/>
      <c r="J470" s="107"/>
      <c r="K470" s="100"/>
      <c r="L470" s="61"/>
      <c r="M470" s="61"/>
    </row>
    <row r="471">
      <c r="A471" s="65"/>
      <c r="B471" s="65"/>
      <c r="C471" s="65"/>
      <c r="D471" s="65"/>
      <c r="E471" s="65"/>
      <c r="F471" s="65"/>
      <c r="G471" s="65"/>
      <c r="H471" s="65"/>
      <c r="I471" s="65"/>
      <c r="J471" s="108"/>
      <c r="K471" s="103"/>
      <c r="L471" s="65"/>
      <c r="M471" s="65"/>
    </row>
    <row r="472">
      <c r="A472" s="61"/>
      <c r="B472" s="61"/>
      <c r="C472" s="61"/>
      <c r="D472" s="61"/>
      <c r="E472" s="61"/>
      <c r="F472" s="61"/>
      <c r="G472" s="61"/>
      <c r="H472" s="61"/>
      <c r="I472" s="61"/>
      <c r="J472" s="107"/>
      <c r="K472" s="100"/>
      <c r="L472" s="61"/>
      <c r="M472" s="61"/>
    </row>
    <row r="473">
      <c r="A473" s="65"/>
      <c r="B473" s="65"/>
      <c r="C473" s="65"/>
      <c r="D473" s="65"/>
      <c r="E473" s="65"/>
      <c r="F473" s="65"/>
      <c r="G473" s="65"/>
      <c r="H473" s="65"/>
      <c r="I473" s="65"/>
      <c r="J473" s="108"/>
      <c r="K473" s="103"/>
      <c r="L473" s="65"/>
      <c r="M473" s="65"/>
    </row>
    <row r="474">
      <c r="A474" s="61"/>
      <c r="B474" s="61"/>
      <c r="C474" s="61"/>
      <c r="D474" s="61"/>
      <c r="E474" s="61"/>
      <c r="F474" s="61"/>
      <c r="G474" s="61"/>
      <c r="H474" s="61"/>
      <c r="I474" s="61"/>
      <c r="J474" s="107"/>
      <c r="K474" s="100"/>
      <c r="L474" s="61"/>
      <c r="M474" s="61"/>
    </row>
    <row r="475">
      <c r="A475" s="65"/>
      <c r="B475" s="65"/>
      <c r="C475" s="65"/>
      <c r="D475" s="65"/>
      <c r="E475" s="65"/>
      <c r="F475" s="65"/>
      <c r="G475" s="65"/>
      <c r="H475" s="65"/>
      <c r="I475" s="65"/>
      <c r="J475" s="108"/>
      <c r="K475" s="103"/>
      <c r="L475" s="65"/>
      <c r="M475" s="65"/>
    </row>
    <row r="476">
      <c r="A476" s="61"/>
      <c r="B476" s="61"/>
      <c r="C476" s="61"/>
      <c r="D476" s="61"/>
      <c r="E476" s="61"/>
      <c r="F476" s="61"/>
      <c r="G476" s="61"/>
      <c r="H476" s="61"/>
      <c r="I476" s="61"/>
      <c r="J476" s="107"/>
      <c r="K476" s="100"/>
      <c r="L476" s="61"/>
      <c r="M476" s="61"/>
    </row>
    <row r="477">
      <c r="A477" s="65"/>
      <c r="B477" s="65"/>
      <c r="C477" s="65"/>
      <c r="D477" s="65"/>
      <c r="E477" s="65"/>
      <c r="F477" s="65"/>
      <c r="G477" s="65"/>
      <c r="H477" s="65"/>
      <c r="I477" s="65"/>
      <c r="J477" s="108"/>
      <c r="K477" s="103"/>
      <c r="L477" s="65"/>
      <c r="M477" s="65"/>
    </row>
    <row r="478">
      <c r="A478" s="61"/>
      <c r="B478" s="61"/>
      <c r="C478" s="61"/>
      <c r="D478" s="61"/>
      <c r="E478" s="61"/>
      <c r="F478" s="61"/>
      <c r="G478" s="61"/>
      <c r="H478" s="61"/>
      <c r="I478" s="61"/>
      <c r="J478" s="107"/>
      <c r="K478" s="100"/>
      <c r="L478" s="61"/>
      <c r="M478" s="61"/>
    </row>
    <row r="479">
      <c r="A479" s="65"/>
      <c r="B479" s="65"/>
      <c r="C479" s="65"/>
      <c r="D479" s="65"/>
      <c r="E479" s="65"/>
      <c r="F479" s="65"/>
      <c r="G479" s="65"/>
      <c r="H479" s="65"/>
      <c r="I479" s="65"/>
      <c r="J479" s="108"/>
      <c r="K479" s="103"/>
      <c r="L479" s="65"/>
      <c r="M479" s="65"/>
    </row>
    <row r="480">
      <c r="A480" s="61"/>
      <c r="B480" s="61"/>
      <c r="C480" s="61"/>
      <c r="D480" s="61"/>
      <c r="E480" s="61"/>
      <c r="F480" s="61"/>
      <c r="G480" s="61"/>
      <c r="H480" s="61"/>
      <c r="I480" s="61"/>
      <c r="J480" s="107"/>
      <c r="K480" s="100"/>
      <c r="L480" s="61"/>
      <c r="M480" s="61"/>
    </row>
    <row r="481">
      <c r="A481" s="65"/>
      <c r="B481" s="65"/>
      <c r="C481" s="65"/>
      <c r="D481" s="65"/>
      <c r="E481" s="65"/>
      <c r="F481" s="65"/>
      <c r="G481" s="65"/>
      <c r="H481" s="65"/>
      <c r="I481" s="65"/>
      <c r="J481" s="108"/>
      <c r="K481" s="103"/>
      <c r="L481" s="65"/>
      <c r="M481" s="65"/>
    </row>
    <row r="482">
      <c r="A482" s="61"/>
      <c r="B482" s="61"/>
      <c r="C482" s="61"/>
      <c r="D482" s="61"/>
      <c r="E482" s="61"/>
      <c r="F482" s="61"/>
      <c r="G482" s="61"/>
      <c r="H482" s="61"/>
      <c r="I482" s="61"/>
      <c r="J482" s="107"/>
      <c r="K482" s="100"/>
      <c r="L482" s="61"/>
      <c r="M482" s="61"/>
    </row>
    <row r="483">
      <c r="A483" s="65"/>
      <c r="B483" s="65"/>
      <c r="C483" s="65"/>
      <c r="D483" s="65"/>
      <c r="E483" s="65"/>
      <c r="F483" s="65"/>
      <c r="G483" s="65"/>
      <c r="H483" s="65"/>
      <c r="I483" s="65"/>
      <c r="J483" s="108"/>
      <c r="K483" s="103"/>
      <c r="L483" s="65"/>
      <c r="M483" s="65"/>
    </row>
    <row r="484">
      <c r="A484" s="61"/>
      <c r="B484" s="61"/>
      <c r="C484" s="61"/>
      <c r="D484" s="61"/>
      <c r="E484" s="61"/>
      <c r="F484" s="61"/>
      <c r="G484" s="61"/>
      <c r="H484" s="61"/>
      <c r="I484" s="61"/>
      <c r="J484" s="107"/>
      <c r="K484" s="100"/>
      <c r="L484" s="61"/>
      <c r="M484" s="61"/>
    </row>
    <row r="485">
      <c r="A485" s="65"/>
      <c r="B485" s="65"/>
      <c r="C485" s="65"/>
      <c r="D485" s="65"/>
      <c r="E485" s="65"/>
      <c r="F485" s="65"/>
      <c r="G485" s="65"/>
      <c r="H485" s="65"/>
      <c r="I485" s="65"/>
      <c r="J485" s="108"/>
      <c r="K485" s="103"/>
      <c r="L485" s="65"/>
      <c r="M485" s="65"/>
    </row>
    <row r="486">
      <c r="A486" s="61"/>
      <c r="B486" s="61"/>
      <c r="C486" s="61"/>
      <c r="D486" s="61"/>
      <c r="E486" s="61"/>
      <c r="F486" s="61"/>
      <c r="G486" s="61"/>
      <c r="H486" s="61"/>
      <c r="I486" s="61"/>
      <c r="J486" s="107"/>
      <c r="K486" s="100"/>
      <c r="L486" s="61"/>
      <c r="M486" s="61"/>
    </row>
    <row r="487">
      <c r="A487" s="65"/>
      <c r="B487" s="65"/>
      <c r="C487" s="65"/>
      <c r="D487" s="65"/>
      <c r="E487" s="65"/>
      <c r="F487" s="65"/>
      <c r="G487" s="65"/>
      <c r="H487" s="65"/>
      <c r="I487" s="65"/>
      <c r="J487" s="108"/>
      <c r="K487" s="103"/>
      <c r="L487" s="65"/>
      <c r="M487" s="65"/>
    </row>
    <row r="488">
      <c r="A488" s="61"/>
      <c r="B488" s="61"/>
      <c r="C488" s="61"/>
      <c r="D488" s="61"/>
      <c r="E488" s="61"/>
      <c r="F488" s="61"/>
      <c r="G488" s="61"/>
      <c r="H488" s="61"/>
      <c r="I488" s="61"/>
      <c r="J488" s="107"/>
      <c r="K488" s="100"/>
      <c r="L488" s="61"/>
      <c r="M488" s="61"/>
    </row>
    <row r="489">
      <c r="A489" s="65"/>
      <c r="B489" s="65"/>
      <c r="C489" s="65"/>
      <c r="D489" s="65"/>
      <c r="E489" s="65"/>
      <c r="F489" s="65"/>
      <c r="G489" s="65"/>
      <c r="H489" s="65"/>
      <c r="I489" s="65"/>
      <c r="J489" s="108"/>
      <c r="K489" s="103"/>
      <c r="L489" s="65"/>
      <c r="M489" s="65"/>
    </row>
    <row r="490">
      <c r="A490" s="61"/>
      <c r="B490" s="61"/>
      <c r="C490" s="61"/>
      <c r="D490" s="61"/>
      <c r="E490" s="61"/>
      <c r="F490" s="61"/>
      <c r="G490" s="61"/>
      <c r="H490" s="61"/>
      <c r="I490" s="61"/>
      <c r="J490" s="107"/>
      <c r="K490" s="100"/>
      <c r="L490" s="61"/>
      <c r="M490" s="61"/>
    </row>
    <row r="491">
      <c r="A491" s="65"/>
      <c r="B491" s="65"/>
      <c r="C491" s="65"/>
      <c r="D491" s="65"/>
      <c r="E491" s="65"/>
      <c r="F491" s="65"/>
      <c r="G491" s="65"/>
      <c r="H491" s="65"/>
      <c r="I491" s="65"/>
      <c r="J491" s="108"/>
      <c r="K491" s="103"/>
      <c r="L491" s="65"/>
      <c r="M491" s="65"/>
    </row>
    <row r="492">
      <c r="A492" s="61"/>
      <c r="B492" s="61"/>
      <c r="C492" s="61"/>
      <c r="D492" s="61"/>
      <c r="E492" s="61"/>
      <c r="F492" s="61"/>
      <c r="G492" s="61"/>
      <c r="H492" s="61"/>
      <c r="I492" s="61"/>
      <c r="J492" s="107"/>
      <c r="K492" s="100"/>
      <c r="L492" s="61"/>
      <c r="M492" s="61"/>
    </row>
    <row r="493">
      <c r="A493" s="65"/>
      <c r="B493" s="65"/>
      <c r="C493" s="65"/>
      <c r="D493" s="65"/>
      <c r="E493" s="65"/>
      <c r="F493" s="65"/>
      <c r="G493" s="65"/>
      <c r="H493" s="65"/>
      <c r="I493" s="65"/>
      <c r="J493" s="108"/>
      <c r="K493" s="103"/>
      <c r="L493" s="65"/>
      <c r="M493" s="65"/>
    </row>
    <row r="494">
      <c r="A494" s="61"/>
      <c r="B494" s="61"/>
      <c r="C494" s="61"/>
      <c r="D494" s="61"/>
      <c r="E494" s="61"/>
      <c r="F494" s="61"/>
      <c r="G494" s="61"/>
      <c r="H494" s="61"/>
      <c r="I494" s="61"/>
      <c r="J494" s="107"/>
      <c r="K494" s="100"/>
      <c r="L494" s="61"/>
      <c r="M494" s="61"/>
    </row>
    <row r="495">
      <c r="A495" s="65"/>
      <c r="B495" s="65"/>
      <c r="C495" s="65"/>
      <c r="D495" s="65"/>
      <c r="E495" s="65"/>
      <c r="F495" s="65"/>
      <c r="G495" s="65"/>
      <c r="H495" s="65"/>
      <c r="I495" s="65"/>
      <c r="J495" s="108"/>
      <c r="K495" s="103"/>
      <c r="L495" s="65"/>
      <c r="M495" s="65"/>
    </row>
    <row r="496">
      <c r="A496" s="61"/>
      <c r="B496" s="61"/>
      <c r="C496" s="61"/>
      <c r="D496" s="61"/>
      <c r="E496" s="61"/>
      <c r="F496" s="61"/>
      <c r="G496" s="61"/>
      <c r="H496" s="61"/>
      <c r="I496" s="61"/>
      <c r="J496" s="107"/>
      <c r="K496" s="100"/>
      <c r="L496" s="61"/>
      <c r="M496" s="61"/>
    </row>
    <row r="497">
      <c r="A497" s="65"/>
      <c r="B497" s="65"/>
      <c r="C497" s="65"/>
      <c r="D497" s="65"/>
      <c r="E497" s="65"/>
      <c r="F497" s="65"/>
      <c r="G497" s="65"/>
      <c r="H497" s="65"/>
      <c r="I497" s="65"/>
      <c r="J497" s="108"/>
      <c r="K497" s="103"/>
      <c r="L497" s="65"/>
      <c r="M497" s="65"/>
    </row>
    <row r="498">
      <c r="A498" s="61"/>
      <c r="B498" s="61"/>
      <c r="C498" s="61"/>
      <c r="D498" s="61"/>
      <c r="E498" s="61"/>
      <c r="F498" s="61"/>
      <c r="G498" s="61"/>
      <c r="H498" s="61"/>
      <c r="I498" s="61"/>
      <c r="J498" s="107"/>
      <c r="K498" s="100"/>
      <c r="L498" s="61"/>
      <c r="M498" s="61"/>
    </row>
    <row r="499">
      <c r="A499" s="65"/>
      <c r="B499" s="65"/>
      <c r="C499" s="65"/>
      <c r="D499" s="65"/>
      <c r="E499" s="65"/>
      <c r="F499" s="65"/>
      <c r="G499" s="65"/>
      <c r="H499" s="65"/>
      <c r="I499" s="65"/>
      <c r="J499" s="108"/>
      <c r="K499" s="103"/>
      <c r="L499" s="65"/>
      <c r="M499" s="65"/>
    </row>
    <row r="500">
      <c r="A500" s="61"/>
      <c r="B500" s="61"/>
      <c r="C500" s="61"/>
      <c r="D500" s="61"/>
      <c r="E500" s="61"/>
      <c r="F500" s="61"/>
      <c r="G500" s="61"/>
      <c r="H500" s="61"/>
      <c r="I500" s="61"/>
      <c r="J500" s="107"/>
      <c r="K500" s="100"/>
      <c r="L500" s="61"/>
      <c r="M500" s="61"/>
    </row>
    <row r="501">
      <c r="A501" s="65"/>
      <c r="B501" s="65"/>
      <c r="C501" s="65"/>
      <c r="D501" s="65"/>
      <c r="E501" s="65"/>
      <c r="F501" s="65"/>
      <c r="G501" s="65"/>
      <c r="H501" s="65"/>
      <c r="I501" s="65"/>
      <c r="J501" s="108"/>
      <c r="K501" s="103"/>
      <c r="L501" s="65"/>
      <c r="M501" s="65"/>
    </row>
    <row r="502">
      <c r="A502" s="61"/>
      <c r="B502" s="61"/>
      <c r="C502" s="61"/>
      <c r="D502" s="61"/>
      <c r="E502" s="61"/>
      <c r="F502" s="61"/>
      <c r="G502" s="61"/>
      <c r="H502" s="61"/>
      <c r="I502" s="61"/>
      <c r="J502" s="107"/>
      <c r="K502" s="100"/>
      <c r="L502" s="61"/>
      <c r="M502" s="61"/>
    </row>
    <row r="503">
      <c r="A503" s="65"/>
      <c r="B503" s="65"/>
      <c r="C503" s="65"/>
      <c r="D503" s="65"/>
      <c r="E503" s="65"/>
      <c r="F503" s="65"/>
      <c r="G503" s="65"/>
      <c r="H503" s="65"/>
      <c r="I503" s="65"/>
      <c r="J503" s="108"/>
      <c r="K503" s="103"/>
      <c r="L503" s="65"/>
      <c r="M503" s="65"/>
    </row>
    <row r="504">
      <c r="A504" s="61"/>
      <c r="B504" s="61"/>
      <c r="C504" s="61"/>
      <c r="D504" s="61"/>
      <c r="E504" s="61"/>
      <c r="F504" s="61"/>
      <c r="G504" s="61"/>
      <c r="H504" s="61"/>
      <c r="I504" s="61"/>
      <c r="J504" s="107"/>
      <c r="K504" s="100"/>
      <c r="L504" s="61"/>
      <c r="M504" s="61"/>
    </row>
    <row r="505">
      <c r="A505" s="65"/>
      <c r="B505" s="65"/>
      <c r="C505" s="65"/>
      <c r="D505" s="65"/>
      <c r="E505" s="65"/>
      <c r="F505" s="65"/>
      <c r="G505" s="65"/>
      <c r="H505" s="65"/>
      <c r="I505" s="65"/>
      <c r="J505" s="108"/>
      <c r="K505" s="103"/>
      <c r="L505" s="65"/>
      <c r="M505" s="65"/>
    </row>
    <row r="506">
      <c r="A506" s="61"/>
      <c r="B506" s="61"/>
      <c r="C506" s="61"/>
      <c r="D506" s="61"/>
      <c r="E506" s="61"/>
      <c r="F506" s="61"/>
      <c r="G506" s="61"/>
      <c r="H506" s="61"/>
      <c r="I506" s="61"/>
      <c r="J506" s="107"/>
      <c r="K506" s="100"/>
      <c r="L506" s="61"/>
      <c r="M506" s="61"/>
    </row>
    <row r="507">
      <c r="A507" s="65"/>
      <c r="B507" s="65"/>
      <c r="C507" s="65"/>
      <c r="D507" s="65"/>
      <c r="E507" s="65"/>
      <c r="F507" s="65"/>
      <c r="G507" s="65"/>
      <c r="H507" s="65"/>
      <c r="I507" s="65"/>
      <c r="J507" s="108"/>
      <c r="K507" s="103"/>
      <c r="L507" s="65"/>
      <c r="M507" s="65"/>
    </row>
    <row r="508">
      <c r="A508" s="61"/>
      <c r="B508" s="61"/>
      <c r="C508" s="61"/>
      <c r="D508" s="61"/>
      <c r="E508" s="61"/>
      <c r="F508" s="61"/>
      <c r="G508" s="61"/>
      <c r="H508" s="61"/>
      <c r="I508" s="61"/>
      <c r="J508" s="107"/>
      <c r="K508" s="100"/>
      <c r="L508" s="61"/>
      <c r="M508" s="61"/>
    </row>
    <row r="509">
      <c r="A509" s="65"/>
      <c r="B509" s="65"/>
      <c r="C509" s="65"/>
      <c r="D509" s="65"/>
      <c r="E509" s="65"/>
      <c r="F509" s="65"/>
      <c r="G509" s="65"/>
      <c r="H509" s="65"/>
      <c r="I509" s="65"/>
      <c r="J509" s="108"/>
      <c r="K509" s="103"/>
      <c r="L509" s="65"/>
      <c r="M509" s="65"/>
    </row>
    <row r="510">
      <c r="A510" s="61"/>
      <c r="B510" s="61"/>
      <c r="C510" s="61"/>
      <c r="D510" s="61"/>
      <c r="E510" s="61"/>
      <c r="F510" s="61"/>
      <c r="G510" s="61"/>
      <c r="H510" s="61"/>
      <c r="I510" s="61"/>
      <c r="J510" s="107"/>
      <c r="K510" s="100"/>
      <c r="L510" s="61"/>
      <c r="M510" s="61"/>
    </row>
    <row r="511">
      <c r="A511" s="65"/>
      <c r="B511" s="65"/>
      <c r="C511" s="65"/>
      <c r="D511" s="65"/>
      <c r="E511" s="65"/>
      <c r="F511" s="65"/>
      <c r="G511" s="65"/>
      <c r="H511" s="65"/>
      <c r="I511" s="65"/>
      <c r="J511" s="108"/>
      <c r="K511" s="103"/>
      <c r="L511" s="65"/>
      <c r="M511" s="65"/>
    </row>
    <row r="512">
      <c r="A512" s="61"/>
      <c r="B512" s="61"/>
      <c r="C512" s="61"/>
      <c r="D512" s="61"/>
      <c r="E512" s="61"/>
      <c r="F512" s="61"/>
      <c r="G512" s="61"/>
      <c r="H512" s="61"/>
      <c r="I512" s="61"/>
      <c r="J512" s="107"/>
      <c r="K512" s="100"/>
      <c r="L512" s="61"/>
      <c r="M512" s="61"/>
    </row>
    <row r="513">
      <c r="A513" s="65"/>
      <c r="B513" s="65"/>
      <c r="C513" s="65"/>
      <c r="D513" s="65"/>
      <c r="E513" s="65"/>
      <c r="F513" s="65"/>
      <c r="G513" s="65"/>
      <c r="H513" s="65"/>
      <c r="I513" s="65"/>
      <c r="J513" s="108"/>
      <c r="K513" s="103"/>
      <c r="L513" s="65"/>
      <c r="M513" s="65"/>
    </row>
    <row r="514">
      <c r="A514" s="61"/>
      <c r="B514" s="61"/>
      <c r="C514" s="61"/>
      <c r="D514" s="61"/>
      <c r="E514" s="61"/>
      <c r="F514" s="61"/>
      <c r="G514" s="61"/>
      <c r="H514" s="61"/>
      <c r="I514" s="61"/>
      <c r="J514" s="107"/>
      <c r="K514" s="100"/>
      <c r="L514" s="61"/>
      <c r="M514" s="61"/>
    </row>
    <row r="515">
      <c r="A515" s="65"/>
      <c r="B515" s="65"/>
      <c r="C515" s="65"/>
      <c r="D515" s="65"/>
      <c r="E515" s="65"/>
      <c r="F515" s="65"/>
      <c r="G515" s="65"/>
      <c r="H515" s="65"/>
      <c r="I515" s="65"/>
      <c r="J515" s="108"/>
      <c r="K515" s="103"/>
      <c r="L515" s="65"/>
      <c r="M515" s="65"/>
    </row>
    <row r="516">
      <c r="A516" s="61"/>
      <c r="B516" s="61"/>
      <c r="C516" s="61"/>
      <c r="D516" s="61"/>
      <c r="E516" s="61"/>
      <c r="F516" s="61"/>
      <c r="G516" s="61"/>
      <c r="H516" s="61"/>
      <c r="I516" s="61"/>
      <c r="J516" s="107"/>
      <c r="K516" s="100"/>
      <c r="L516" s="61"/>
      <c r="M516" s="61"/>
    </row>
    <row r="517">
      <c r="A517" s="65"/>
      <c r="B517" s="65"/>
      <c r="C517" s="65"/>
      <c r="D517" s="65"/>
      <c r="E517" s="65"/>
      <c r="F517" s="65"/>
      <c r="G517" s="65"/>
      <c r="H517" s="65"/>
      <c r="I517" s="65"/>
      <c r="J517" s="108"/>
      <c r="K517" s="103"/>
      <c r="L517" s="65"/>
      <c r="M517" s="65"/>
    </row>
    <row r="518">
      <c r="A518" s="61"/>
      <c r="B518" s="61"/>
      <c r="C518" s="61"/>
      <c r="D518" s="61"/>
      <c r="E518" s="61"/>
      <c r="F518" s="61"/>
      <c r="G518" s="61"/>
      <c r="H518" s="61"/>
      <c r="I518" s="61"/>
      <c r="J518" s="107"/>
      <c r="K518" s="100"/>
      <c r="L518" s="61"/>
      <c r="M518" s="61"/>
    </row>
    <row r="519">
      <c r="A519" s="65"/>
      <c r="B519" s="65"/>
      <c r="C519" s="65"/>
      <c r="D519" s="65"/>
      <c r="E519" s="65"/>
      <c r="F519" s="65"/>
      <c r="G519" s="65"/>
      <c r="H519" s="65"/>
      <c r="I519" s="65"/>
      <c r="J519" s="108"/>
      <c r="K519" s="103"/>
      <c r="L519" s="65"/>
      <c r="M519" s="65"/>
    </row>
    <row r="520">
      <c r="A520" s="61"/>
      <c r="B520" s="61"/>
      <c r="C520" s="61"/>
      <c r="D520" s="61"/>
      <c r="E520" s="61"/>
      <c r="F520" s="61"/>
      <c r="G520" s="61"/>
      <c r="H520" s="61"/>
      <c r="I520" s="61"/>
      <c r="J520" s="107"/>
      <c r="K520" s="100"/>
      <c r="L520" s="61"/>
      <c r="M520" s="61"/>
    </row>
    <row r="521">
      <c r="A521" s="65"/>
      <c r="B521" s="65"/>
      <c r="C521" s="65"/>
      <c r="D521" s="65"/>
      <c r="E521" s="65"/>
      <c r="F521" s="65"/>
      <c r="G521" s="65"/>
      <c r="H521" s="65"/>
      <c r="I521" s="65"/>
      <c r="J521" s="108"/>
      <c r="K521" s="103"/>
      <c r="L521" s="65"/>
      <c r="M521" s="65"/>
    </row>
    <row r="522">
      <c r="A522" s="61"/>
      <c r="B522" s="61"/>
      <c r="C522" s="61"/>
      <c r="D522" s="61"/>
      <c r="E522" s="61"/>
      <c r="F522" s="61"/>
      <c r="G522" s="61"/>
      <c r="H522" s="61"/>
      <c r="I522" s="61"/>
      <c r="J522" s="107"/>
      <c r="K522" s="100"/>
      <c r="L522" s="61"/>
      <c r="M522" s="61"/>
    </row>
    <row r="523">
      <c r="A523" s="65"/>
      <c r="B523" s="65"/>
      <c r="C523" s="65"/>
      <c r="D523" s="65"/>
      <c r="E523" s="65"/>
      <c r="F523" s="65"/>
      <c r="G523" s="65"/>
      <c r="H523" s="65"/>
      <c r="I523" s="65"/>
      <c r="J523" s="108"/>
      <c r="K523" s="103"/>
      <c r="L523" s="65"/>
      <c r="M523" s="65"/>
    </row>
    <row r="524">
      <c r="A524" s="61"/>
      <c r="B524" s="61"/>
      <c r="C524" s="61"/>
      <c r="D524" s="61"/>
      <c r="E524" s="61"/>
      <c r="F524" s="61"/>
      <c r="G524" s="61"/>
      <c r="H524" s="61"/>
      <c r="I524" s="61"/>
      <c r="J524" s="107"/>
      <c r="K524" s="100"/>
      <c r="L524" s="61"/>
      <c r="M524" s="61"/>
    </row>
    <row r="525">
      <c r="A525" s="65"/>
      <c r="B525" s="65"/>
      <c r="C525" s="65"/>
      <c r="D525" s="65"/>
      <c r="E525" s="65"/>
      <c r="F525" s="65"/>
      <c r="G525" s="65"/>
      <c r="H525" s="65"/>
      <c r="I525" s="65"/>
      <c r="J525" s="108"/>
      <c r="K525" s="103"/>
      <c r="L525" s="65"/>
      <c r="M525" s="65"/>
    </row>
    <row r="526">
      <c r="A526" s="61"/>
      <c r="B526" s="61"/>
      <c r="C526" s="61"/>
      <c r="D526" s="61"/>
      <c r="E526" s="61"/>
      <c r="F526" s="61"/>
      <c r="G526" s="61"/>
      <c r="H526" s="61"/>
      <c r="I526" s="61"/>
      <c r="J526" s="107"/>
      <c r="K526" s="100"/>
      <c r="L526" s="61"/>
      <c r="M526" s="61"/>
    </row>
    <row r="527">
      <c r="A527" s="65"/>
      <c r="B527" s="65"/>
      <c r="C527" s="65"/>
      <c r="D527" s="65"/>
      <c r="E527" s="65"/>
      <c r="F527" s="65"/>
      <c r="G527" s="65"/>
      <c r="H527" s="65"/>
      <c r="I527" s="65"/>
      <c r="J527" s="108"/>
      <c r="K527" s="103"/>
      <c r="L527" s="65"/>
      <c r="M527" s="65"/>
    </row>
    <row r="528">
      <c r="A528" s="61"/>
      <c r="B528" s="61"/>
      <c r="C528" s="61"/>
      <c r="D528" s="61"/>
      <c r="E528" s="61"/>
      <c r="F528" s="61"/>
      <c r="G528" s="61"/>
      <c r="H528" s="61"/>
      <c r="I528" s="61"/>
      <c r="J528" s="107"/>
      <c r="K528" s="100"/>
      <c r="L528" s="61"/>
      <c r="M528" s="61"/>
    </row>
    <row r="529">
      <c r="A529" s="65"/>
      <c r="B529" s="65"/>
      <c r="C529" s="65"/>
      <c r="D529" s="65"/>
      <c r="E529" s="65"/>
      <c r="F529" s="65"/>
      <c r="G529" s="65"/>
      <c r="H529" s="65"/>
      <c r="I529" s="65"/>
      <c r="J529" s="108"/>
      <c r="K529" s="103"/>
      <c r="L529" s="65"/>
      <c r="M529" s="65"/>
    </row>
    <row r="530">
      <c r="A530" s="61"/>
      <c r="B530" s="61"/>
      <c r="C530" s="61"/>
      <c r="D530" s="61"/>
      <c r="E530" s="61"/>
      <c r="F530" s="61"/>
      <c r="G530" s="61"/>
      <c r="H530" s="61"/>
      <c r="I530" s="61"/>
      <c r="J530" s="107"/>
      <c r="K530" s="100"/>
      <c r="L530" s="61"/>
      <c r="M530" s="61"/>
    </row>
    <row r="531">
      <c r="A531" s="65"/>
      <c r="B531" s="65"/>
      <c r="C531" s="65"/>
      <c r="D531" s="65"/>
      <c r="E531" s="65"/>
      <c r="F531" s="65"/>
      <c r="G531" s="65"/>
      <c r="H531" s="65"/>
      <c r="I531" s="65"/>
      <c r="J531" s="108"/>
      <c r="K531" s="103"/>
      <c r="L531" s="65"/>
      <c r="M531" s="65"/>
    </row>
    <row r="532">
      <c r="A532" s="61"/>
      <c r="B532" s="61"/>
      <c r="C532" s="61"/>
      <c r="D532" s="61"/>
      <c r="E532" s="61"/>
      <c r="F532" s="61"/>
      <c r="G532" s="61"/>
      <c r="H532" s="61"/>
      <c r="I532" s="61"/>
      <c r="J532" s="107"/>
      <c r="K532" s="100"/>
      <c r="L532" s="61"/>
      <c r="M532" s="61"/>
    </row>
    <row r="533">
      <c r="A533" s="65"/>
      <c r="B533" s="65"/>
      <c r="C533" s="65"/>
      <c r="D533" s="65"/>
      <c r="E533" s="65"/>
      <c r="F533" s="65"/>
      <c r="G533" s="65"/>
      <c r="H533" s="65"/>
      <c r="I533" s="65"/>
      <c r="J533" s="108"/>
      <c r="K533" s="103"/>
      <c r="L533" s="65"/>
      <c r="M533" s="65"/>
    </row>
    <row r="534">
      <c r="A534" s="61"/>
      <c r="B534" s="61"/>
      <c r="C534" s="61"/>
      <c r="D534" s="61"/>
      <c r="E534" s="61"/>
      <c r="F534" s="61"/>
      <c r="G534" s="61"/>
      <c r="H534" s="61"/>
      <c r="I534" s="61"/>
      <c r="J534" s="107"/>
      <c r="K534" s="100"/>
      <c r="L534" s="61"/>
      <c r="M534" s="61"/>
    </row>
    <row r="535">
      <c r="A535" s="65"/>
      <c r="B535" s="65"/>
      <c r="C535" s="65"/>
      <c r="D535" s="65"/>
      <c r="E535" s="65"/>
      <c r="F535" s="65"/>
      <c r="G535" s="65"/>
      <c r="H535" s="65"/>
      <c r="I535" s="65"/>
      <c r="J535" s="108"/>
      <c r="K535" s="103"/>
      <c r="L535" s="65"/>
      <c r="M535" s="65"/>
    </row>
    <row r="536">
      <c r="A536" s="61"/>
      <c r="B536" s="61"/>
      <c r="C536" s="61"/>
      <c r="D536" s="61"/>
      <c r="E536" s="61"/>
      <c r="F536" s="61"/>
      <c r="G536" s="61"/>
      <c r="H536" s="61"/>
      <c r="I536" s="61"/>
      <c r="J536" s="107"/>
      <c r="K536" s="100"/>
      <c r="L536" s="61"/>
      <c r="M536" s="61"/>
    </row>
    <row r="537">
      <c r="A537" s="65"/>
      <c r="B537" s="65"/>
      <c r="C537" s="65"/>
      <c r="D537" s="65"/>
      <c r="E537" s="65"/>
      <c r="F537" s="65"/>
      <c r="G537" s="65"/>
      <c r="H537" s="65"/>
      <c r="I537" s="65"/>
      <c r="J537" s="108"/>
      <c r="K537" s="103"/>
      <c r="L537" s="65"/>
      <c r="M537" s="65"/>
    </row>
    <row r="538">
      <c r="A538" s="61"/>
      <c r="B538" s="61"/>
      <c r="C538" s="61"/>
      <c r="D538" s="61"/>
      <c r="E538" s="61"/>
      <c r="F538" s="61"/>
      <c r="G538" s="61"/>
      <c r="H538" s="61"/>
      <c r="I538" s="61"/>
      <c r="J538" s="107"/>
      <c r="K538" s="100"/>
      <c r="L538" s="61"/>
      <c r="M538" s="61"/>
    </row>
    <row r="539">
      <c r="A539" s="65"/>
      <c r="B539" s="65"/>
      <c r="C539" s="65"/>
      <c r="D539" s="65"/>
      <c r="E539" s="65"/>
      <c r="F539" s="65"/>
      <c r="G539" s="65"/>
      <c r="H539" s="65"/>
      <c r="I539" s="65"/>
      <c r="J539" s="108"/>
      <c r="K539" s="103"/>
      <c r="L539" s="65"/>
      <c r="M539" s="65"/>
    </row>
    <row r="540">
      <c r="A540" s="61"/>
      <c r="B540" s="61"/>
      <c r="C540" s="61"/>
      <c r="D540" s="61"/>
      <c r="E540" s="61"/>
      <c r="F540" s="61"/>
      <c r="G540" s="61"/>
      <c r="H540" s="61"/>
      <c r="I540" s="61"/>
      <c r="J540" s="107"/>
      <c r="K540" s="100"/>
      <c r="L540" s="61"/>
      <c r="M540" s="61"/>
    </row>
    <row r="541">
      <c r="A541" s="65"/>
      <c r="B541" s="65"/>
      <c r="C541" s="65"/>
      <c r="D541" s="65"/>
      <c r="E541" s="65"/>
      <c r="F541" s="65"/>
      <c r="G541" s="65"/>
      <c r="H541" s="65"/>
      <c r="I541" s="65"/>
      <c r="J541" s="108"/>
      <c r="K541" s="103"/>
      <c r="L541" s="65"/>
      <c r="M541" s="65"/>
    </row>
    <row r="542">
      <c r="A542" s="61"/>
      <c r="B542" s="61"/>
      <c r="C542" s="61"/>
      <c r="D542" s="61"/>
      <c r="E542" s="61"/>
      <c r="F542" s="61"/>
      <c r="G542" s="61"/>
      <c r="H542" s="61"/>
      <c r="I542" s="61"/>
      <c r="J542" s="107"/>
      <c r="K542" s="100"/>
      <c r="L542" s="61"/>
      <c r="M542" s="61"/>
    </row>
    <row r="543">
      <c r="A543" s="65"/>
      <c r="B543" s="65"/>
      <c r="C543" s="65"/>
      <c r="D543" s="65"/>
      <c r="E543" s="65"/>
      <c r="F543" s="65"/>
      <c r="G543" s="65"/>
      <c r="H543" s="65"/>
      <c r="I543" s="65"/>
      <c r="J543" s="108"/>
      <c r="K543" s="103"/>
      <c r="L543" s="65"/>
      <c r="M543" s="65"/>
    </row>
    <row r="544">
      <c r="A544" s="61"/>
      <c r="B544" s="61"/>
      <c r="C544" s="61"/>
      <c r="D544" s="61"/>
      <c r="E544" s="61"/>
      <c r="F544" s="61"/>
      <c r="G544" s="61"/>
      <c r="H544" s="61"/>
      <c r="I544" s="61"/>
      <c r="J544" s="107"/>
      <c r="K544" s="100"/>
      <c r="L544" s="61"/>
      <c r="M544" s="61"/>
    </row>
    <row r="545">
      <c r="A545" s="65"/>
      <c r="B545" s="65"/>
      <c r="C545" s="65"/>
      <c r="D545" s="65"/>
      <c r="E545" s="65"/>
      <c r="F545" s="65"/>
      <c r="G545" s="65"/>
      <c r="H545" s="65"/>
      <c r="I545" s="65"/>
      <c r="J545" s="108"/>
      <c r="K545" s="103"/>
      <c r="L545" s="65"/>
      <c r="M545" s="65"/>
    </row>
    <row r="546">
      <c r="A546" s="61"/>
      <c r="B546" s="61"/>
      <c r="C546" s="61"/>
      <c r="D546" s="61"/>
      <c r="E546" s="61"/>
      <c r="F546" s="61"/>
      <c r="G546" s="61"/>
      <c r="H546" s="61"/>
      <c r="I546" s="61"/>
      <c r="J546" s="107"/>
      <c r="K546" s="100"/>
      <c r="L546" s="61"/>
      <c r="M546" s="61"/>
    </row>
    <row r="547">
      <c r="A547" s="65"/>
      <c r="B547" s="65"/>
      <c r="C547" s="65"/>
      <c r="D547" s="65"/>
      <c r="E547" s="65"/>
      <c r="F547" s="65"/>
      <c r="G547" s="65"/>
      <c r="H547" s="65"/>
      <c r="I547" s="65"/>
      <c r="J547" s="108"/>
      <c r="K547" s="103"/>
      <c r="L547" s="65"/>
      <c r="M547" s="65"/>
    </row>
    <row r="548">
      <c r="A548" s="61"/>
      <c r="B548" s="61"/>
      <c r="C548" s="61"/>
      <c r="D548" s="61"/>
      <c r="E548" s="61"/>
      <c r="F548" s="61"/>
      <c r="G548" s="61"/>
      <c r="H548" s="61"/>
      <c r="I548" s="61"/>
      <c r="J548" s="107"/>
      <c r="K548" s="100"/>
      <c r="L548" s="61"/>
      <c r="M548" s="61"/>
    </row>
    <row r="549">
      <c r="A549" s="65"/>
      <c r="B549" s="65"/>
      <c r="C549" s="65"/>
      <c r="D549" s="65"/>
      <c r="E549" s="65"/>
      <c r="F549" s="65"/>
      <c r="G549" s="65"/>
      <c r="H549" s="65"/>
      <c r="I549" s="65"/>
      <c r="J549" s="108"/>
      <c r="K549" s="103"/>
      <c r="L549" s="65"/>
      <c r="M549" s="65"/>
    </row>
    <row r="550">
      <c r="A550" s="61"/>
      <c r="B550" s="61"/>
      <c r="C550" s="61"/>
      <c r="D550" s="61"/>
      <c r="E550" s="61"/>
      <c r="F550" s="61"/>
      <c r="G550" s="61"/>
      <c r="H550" s="61"/>
      <c r="I550" s="61"/>
      <c r="J550" s="107"/>
      <c r="K550" s="100"/>
      <c r="L550" s="61"/>
      <c r="M550" s="61"/>
    </row>
    <row r="551">
      <c r="A551" s="65"/>
      <c r="B551" s="65"/>
      <c r="C551" s="65"/>
      <c r="D551" s="65"/>
      <c r="E551" s="65"/>
      <c r="F551" s="65"/>
      <c r="G551" s="65"/>
      <c r="H551" s="65"/>
      <c r="I551" s="65"/>
      <c r="J551" s="108"/>
      <c r="K551" s="103"/>
      <c r="L551" s="65"/>
      <c r="M551" s="65"/>
    </row>
    <row r="552">
      <c r="A552" s="61"/>
      <c r="B552" s="61"/>
      <c r="C552" s="61"/>
      <c r="D552" s="61"/>
      <c r="E552" s="61"/>
      <c r="F552" s="61"/>
      <c r="G552" s="61"/>
      <c r="H552" s="61"/>
      <c r="I552" s="61"/>
      <c r="J552" s="107"/>
      <c r="K552" s="100"/>
      <c r="L552" s="61"/>
      <c r="M552" s="61"/>
    </row>
    <row r="553">
      <c r="A553" s="65"/>
      <c r="B553" s="65"/>
      <c r="C553" s="65"/>
      <c r="D553" s="65"/>
      <c r="E553" s="65"/>
      <c r="F553" s="65"/>
      <c r="G553" s="65"/>
      <c r="H553" s="65"/>
      <c r="I553" s="65"/>
      <c r="J553" s="108"/>
      <c r="K553" s="103"/>
      <c r="L553" s="65"/>
      <c r="M553" s="65"/>
    </row>
    <row r="554">
      <c r="A554" s="61"/>
      <c r="B554" s="61"/>
      <c r="C554" s="61"/>
      <c r="D554" s="61"/>
      <c r="E554" s="61"/>
      <c r="F554" s="61"/>
      <c r="G554" s="61"/>
      <c r="H554" s="61"/>
      <c r="I554" s="61"/>
      <c r="J554" s="107"/>
      <c r="K554" s="100"/>
      <c r="L554" s="61"/>
      <c r="M554" s="61"/>
    </row>
    <row r="555">
      <c r="A555" s="65"/>
      <c r="B555" s="65"/>
      <c r="C555" s="65"/>
      <c r="D555" s="65"/>
      <c r="E555" s="65"/>
      <c r="F555" s="65"/>
      <c r="G555" s="65"/>
      <c r="H555" s="65"/>
      <c r="I555" s="65"/>
      <c r="J555" s="108"/>
      <c r="K555" s="103"/>
      <c r="L555" s="65"/>
      <c r="M555" s="65"/>
    </row>
    <row r="556">
      <c r="A556" s="61"/>
      <c r="B556" s="61"/>
      <c r="C556" s="61"/>
      <c r="D556" s="61"/>
      <c r="E556" s="61"/>
      <c r="F556" s="61"/>
      <c r="G556" s="61"/>
      <c r="H556" s="61"/>
      <c r="I556" s="61"/>
      <c r="J556" s="107"/>
      <c r="K556" s="100"/>
      <c r="L556" s="61"/>
      <c r="M556" s="61"/>
    </row>
    <row r="557">
      <c r="A557" s="65"/>
      <c r="B557" s="65"/>
      <c r="C557" s="65"/>
      <c r="D557" s="65"/>
      <c r="E557" s="65"/>
      <c r="F557" s="65"/>
      <c r="G557" s="65"/>
      <c r="H557" s="65"/>
      <c r="I557" s="65"/>
      <c r="J557" s="108"/>
      <c r="K557" s="103"/>
      <c r="L557" s="65"/>
      <c r="M557" s="65"/>
    </row>
    <row r="558">
      <c r="A558" s="61"/>
      <c r="B558" s="61"/>
      <c r="C558" s="61"/>
      <c r="D558" s="61"/>
      <c r="E558" s="61"/>
      <c r="F558" s="61"/>
      <c r="G558" s="61"/>
      <c r="H558" s="61"/>
      <c r="I558" s="61"/>
      <c r="J558" s="107"/>
      <c r="K558" s="100"/>
      <c r="L558" s="61"/>
      <c r="M558" s="61"/>
    </row>
    <row r="559">
      <c r="A559" s="65"/>
      <c r="B559" s="65"/>
      <c r="C559" s="65"/>
      <c r="D559" s="65"/>
      <c r="E559" s="65"/>
      <c r="F559" s="65"/>
      <c r="G559" s="65"/>
      <c r="H559" s="65"/>
      <c r="I559" s="65"/>
      <c r="J559" s="108"/>
      <c r="K559" s="103"/>
      <c r="L559" s="65"/>
      <c r="M559" s="65"/>
    </row>
    <row r="560">
      <c r="A560" s="61"/>
      <c r="B560" s="61"/>
      <c r="C560" s="61"/>
      <c r="D560" s="61"/>
      <c r="E560" s="61"/>
      <c r="F560" s="61"/>
      <c r="G560" s="61"/>
      <c r="H560" s="61"/>
      <c r="I560" s="61"/>
      <c r="J560" s="107"/>
      <c r="K560" s="100"/>
      <c r="L560" s="61"/>
      <c r="M560" s="61"/>
    </row>
    <row r="561">
      <c r="A561" s="65"/>
      <c r="B561" s="65"/>
      <c r="C561" s="65"/>
      <c r="D561" s="65"/>
      <c r="E561" s="65"/>
      <c r="F561" s="65"/>
      <c r="G561" s="65"/>
      <c r="H561" s="65"/>
      <c r="I561" s="65"/>
      <c r="J561" s="108"/>
      <c r="K561" s="103"/>
      <c r="L561" s="65"/>
      <c r="M561" s="65"/>
    </row>
    <row r="562">
      <c r="A562" s="61"/>
      <c r="B562" s="61"/>
      <c r="C562" s="61"/>
      <c r="D562" s="61"/>
      <c r="E562" s="61"/>
      <c r="F562" s="61"/>
      <c r="G562" s="61"/>
      <c r="H562" s="61"/>
      <c r="I562" s="61"/>
      <c r="J562" s="107"/>
      <c r="K562" s="100"/>
      <c r="L562" s="61"/>
      <c r="M562" s="61"/>
    </row>
    <row r="563">
      <c r="A563" s="65"/>
      <c r="B563" s="65"/>
      <c r="C563" s="65"/>
      <c r="D563" s="65"/>
      <c r="E563" s="65"/>
      <c r="F563" s="65"/>
      <c r="G563" s="65"/>
      <c r="H563" s="65"/>
      <c r="I563" s="65"/>
      <c r="J563" s="108"/>
      <c r="K563" s="103"/>
      <c r="L563" s="65"/>
      <c r="M563" s="65"/>
    </row>
    <row r="564">
      <c r="A564" s="61"/>
      <c r="B564" s="61"/>
      <c r="C564" s="61"/>
      <c r="D564" s="61"/>
      <c r="E564" s="61"/>
      <c r="F564" s="61"/>
      <c r="G564" s="61"/>
      <c r="H564" s="61"/>
      <c r="I564" s="61"/>
      <c r="J564" s="107"/>
      <c r="K564" s="100"/>
      <c r="L564" s="61"/>
      <c r="M564" s="61"/>
    </row>
    <row r="565">
      <c r="A565" s="65"/>
      <c r="B565" s="65"/>
      <c r="C565" s="65"/>
      <c r="D565" s="65"/>
      <c r="E565" s="65"/>
      <c r="F565" s="65"/>
      <c r="G565" s="65"/>
      <c r="H565" s="65"/>
      <c r="I565" s="65"/>
      <c r="J565" s="108"/>
      <c r="K565" s="103"/>
      <c r="L565" s="65"/>
      <c r="M565" s="65"/>
    </row>
    <row r="566">
      <c r="A566" s="61"/>
      <c r="B566" s="61"/>
      <c r="C566" s="61"/>
      <c r="D566" s="61"/>
      <c r="E566" s="61"/>
      <c r="F566" s="61"/>
      <c r="G566" s="61"/>
      <c r="H566" s="61"/>
      <c r="I566" s="61"/>
      <c r="J566" s="107"/>
      <c r="K566" s="100"/>
      <c r="L566" s="61"/>
      <c r="M566" s="61"/>
    </row>
    <row r="567">
      <c r="A567" s="65"/>
      <c r="B567" s="65"/>
      <c r="C567" s="65"/>
      <c r="D567" s="65"/>
      <c r="E567" s="65"/>
      <c r="F567" s="65"/>
      <c r="G567" s="65"/>
      <c r="H567" s="65"/>
      <c r="I567" s="65"/>
      <c r="J567" s="108"/>
      <c r="K567" s="103"/>
      <c r="L567" s="65"/>
      <c r="M567" s="65"/>
    </row>
    <row r="568">
      <c r="A568" s="61"/>
      <c r="B568" s="61"/>
      <c r="C568" s="61"/>
      <c r="D568" s="61"/>
      <c r="E568" s="61"/>
      <c r="F568" s="61"/>
      <c r="G568" s="61"/>
      <c r="H568" s="61"/>
      <c r="I568" s="61"/>
      <c r="J568" s="107"/>
      <c r="K568" s="100"/>
      <c r="L568" s="61"/>
      <c r="M568" s="61"/>
    </row>
    <row r="569">
      <c r="A569" s="65"/>
      <c r="B569" s="65"/>
      <c r="C569" s="65"/>
      <c r="D569" s="65"/>
      <c r="E569" s="65"/>
      <c r="F569" s="65"/>
      <c r="G569" s="65"/>
      <c r="H569" s="65"/>
      <c r="I569" s="65"/>
      <c r="J569" s="108"/>
      <c r="K569" s="103"/>
      <c r="L569" s="65"/>
      <c r="M569" s="65"/>
    </row>
    <row r="570">
      <c r="A570" s="61"/>
      <c r="B570" s="61"/>
      <c r="C570" s="61"/>
      <c r="D570" s="61"/>
      <c r="E570" s="61"/>
      <c r="F570" s="61"/>
      <c r="G570" s="61"/>
      <c r="H570" s="61"/>
      <c r="I570" s="61"/>
      <c r="J570" s="107"/>
      <c r="K570" s="100"/>
      <c r="L570" s="61"/>
      <c r="M570" s="61"/>
    </row>
    <row r="571">
      <c r="A571" s="65"/>
      <c r="B571" s="65"/>
      <c r="C571" s="65"/>
      <c r="D571" s="65"/>
      <c r="E571" s="65"/>
      <c r="F571" s="65"/>
      <c r="G571" s="65"/>
      <c r="H571" s="65"/>
      <c r="I571" s="65"/>
      <c r="J571" s="108"/>
      <c r="K571" s="103"/>
      <c r="L571" s="65"/>
      <c r="M571" s="65"/>
    </row>
    <row r="572">
      <c r="A572" s="61"/>
      <c r="B572" s="61"/>
      <c r="C572" s="61"/>
      <c r="D572" s="61"/>
      <c r="E572" s="61"/>
      <c r="F572" s="61"/>
      <c r="G572" s="61"/>
      <c r="H572" s="61"/>
      <c r="I572" s="61"/>
      <c r="J572" s="107"/>
      <c r="K572" s="100"/>
      <c r="L572" s="61"/>
      <c r="M572" s="61"/>
    </row>
    <row r="573">
      <c r="A573" s="65"/>
      <c r="B573" s="65"/>
      <c r="C573" s="65"/>
      <c r="D573" s="65"/>
      <c r="E573" s="65"/>
      <c r="F573" s="65"/>
      <c r="G573" s="65"/>
      <c r="H573" s="65"/>
      <c r="I573" s="65"/>
      <c r="J573" s="108"/>
      <c r="K573" s="103"/>
      <c r="L573" s="65"/>
      <c r="M573" s="65"/>
    </row>
    <row r="574">
      <c r="A574" s="61"/>
      <c r="B574" s="61"/>
      <c r="C574" s="61"/>
      <c r="D574" s="61"/>
      <c r="E574" s="61"/>
      <c r="F574" s="61"/>
      <c r="G574" s="61"/>
      <c r="H574" s="61"/>
      <c r="I574" s="61"/>
      <c r="J574" s="107"/>
      <c r="K574" s="100"/>
      <c r="L574" s="61"/>
      <c r="M574" s="61"/>
    </row>
    <row r="575">
      <c r="A575" s="65"/>
      <c r="B575" s="65"/>
      <c r="C575" s="65"/>
      <c r="D575" s="65"/>
      <c r="E575" s="65"/>
      <c r="F575" s="65"/>
      <c r="G575" s="65"/>
      <c r="H575" s="65"/>
      <c r="I575" s="65"/>
      <c r="J575" s="108"/>
      <c r="K575" s="103"/>
      <c r="L575" s="65"/>
      <c r="M575" s="65"/>
    </row>
    <row r="576">
      <c r="A576" s="61"/>
      <c r="B576" s="61"/>
      <c r="C576" s="61"/>
      <c r="D576" s="61"/>
      <c r="E576" s="61"/>
      <c r="F576" s="61"/>
      <c r="G576" s="61"/>
      <c r="H576" s="61"/>
      <c r="I576" s="61"/>
      <c r="J576" s="107"/>
      <c r="K576" s="100"/>
      <c r="L576" s="61"/>
      <c r="M576" s="61"/>
    </row>
    <row r="577">
      <c r="A577" s="65"/>
      <c r="B577" s="65"/>
      <c r="C577" s="65"/>
      <c r="D577" s="65"/>
      <c r="E577" s="65"/>
      <c r="F577" s="65"/>
      <c r="G577" s="65"/>
      <c r="H577" s="65"/>
      <c r="I577" s="65"/>
      <c r="J577" s="108"/>
      <c r="K577" s="103"/>
      <c r="L577" s="65"/>
      <c r="M577" s="65"/>
    </row>
    <row r="578">
      <c r="A578" s="61"/>
      <c r="B578" s="61"/>
      <c r="C578" s="61"/>
      <c r="D578" s="61"/>
      <c r="E578" s="61"/>
      <c r="F578" s="61"/>
      <c r="G578" s="61"/>
      <c r="H578" s="61"/>
      <c r="I578" s="61"/>
      <c r="J578" s="107"/>
      <c r="K578" s="100"/>
      <c r="L578" s="61"/>
      <c r="M578" s="61"/>
    </row>
    <row r="579">
      <c r="A579" s="65"/>
      <c r="B579" s="65"/>
      <c r="C579" s="65"/>
      <c r="D579" s="65"/>
      <c r="E579" s="65"/>
      <c r="F579" s="65"/>
      <c r="G579" s="65"/>
      <c r="H579" s="65"/>
      <c r="I579" s="65"/>
      <c r="J579" s="108"/>
      <c r="K579" s="103"/>
      <c r="L579" s="65"/>
      <c r="M579" s="65"/>
    </row>
    <row r="580">
      <c r="A580" s="61"/>
      <c r="B580" s="61"/>
      <c r="C580" s="61"/>
      <c r="D580" s="61"/>
      <c r="E580" s="61"/>
      <c r="F580" s="61"/>
      <c r="G580" s="61"/>
      <c r="H580" s="61"/>
      <c r="I580" s="61"/>
      <c r="J580" s="107"/>
      <c r="K580" s="100"/>
      <c r="L580" s="61"/>
      <c r="M580" s="61"/>
    </row>
    <row r="581">
      <c r="A581" s="65"/>
      <c r="B581" s="65"/>
      <c r="C581" s="65"/>
      <c r="D581" s="65"/>
      <c r="E581" s="65"/>
      <c r="F581" s="65"/>
      <c r="G581" s="65"/>
      <c r="H581" s="65"/>
      <c r="I581" s="65"/>
      <c r="J581" s="108"/>
      <c r="K581" s="103"/>
      <c r="L581" s="65"/>
      <c r="M581" s="65"/>
    </row>
    <row r="582">
      <c r="A582" s="61"/>
      <c r="B582" s="61"/>
      <c r="C582" s="61"/>
      <c r="D582" s="61"/>
      <c r="E582" s="61"/>
      <c r="F582" s="61"/>
      <c r="G582" s="61"/>
      <c r="H582" s="61"/>
      <c r="I582" s="61"/>
      <c r="J582" s="107"/>
      <c r="K582" s="100"/>
      <c r="L582" s="61"/>
      <c r="M582" s="61"/>
    </row>
    <row r="583">
      <c r="A583" s="65"/>
      <c r="B583" s="65"/>
      <c r="C583" s="65"/>
      <c r="D583" s="65"/>
      <c r="E583" s="65"/>
      <c r="F583" s="65"/>
      <c r="G583" s="65"/>
      <c r="H583" s="65"/>
      <c r="I583" s="65"/>
      <c r="J583" s="108"/>
      <c r="K583" s="103"/>
      <c r="L583" s="65"/>
      <c r="M583" s="65"/>
    </row>
    <row r="584">
      <c r="A584" s="61"/>
      <c r="B584" s="61"/>
      <c r="C584" s="61"/>
      <c r="D584" s="61"/>
      <c r="E584" s="61"/>
      <c r="F584" s="61"/>
      <c r="G584" s="61"/>
      <c r="H584" s="61"/>
      <c r="I584" s="61"/>
      <c r="J584" s="107"/>
      <c r="K584" s="100"/>
      <c r="L584" s="61"/>
      <c r="M584" s="61"/>
    </row>
    <row r="585">
      <c r="A585" s="65"/>
      <c r="B585" s="65"/>
      <c r="C585" s="65"/>
      <c r="D585" s="65"/>
      <c r="E585" s="65"/>
      <c r="F585" s="65"/>
      <c r="G585" s="65"/>
      <c r="H585" s="65"/>
      <c r="I585" s="65"/>
      <c r="J585" s="108"/>
      <c r="K585" s="103"/>
      <c r="L585" s="65"/>
      <c r="M585" s="65"/>
    </row>
    <row r="586">
      <c r="A586" s="61"/>
      <c r="B586" s="61"/>
      <c r="C586" s="61"/>
      <c r="D586" s="61"/>
      <c r="E586" s="61"/>
      <c r="F586" s="61"/>
      <c r="G586" s="61"/>
      <c r="H586" s="61"/>
      <c r="I586" s="61"/>
      <c r="J586" s="107"/>
      <c r="K586" s="100"/>
      <c r="L586" s="61"/>
      <c r="M586" s="61"/>
    </row>
    <row r="587">
      <c r="A587" s="65"/>
      <c r="B587" s="65"/>
      <c r="C587" s="65"/>
      <c r="D587" s="65"/>
      <c r="E587" s="65"/>
      <c r="F587" s="65"/>
      <c r="G587" s="65"/>
      <c r="H587" s="65"/>
      <c r="I587" s="65"/>
      <c r="J587" s="108"/>
      <c r="K587" s="103"/>
      <c r="L587" s="65"/>
      <c r="M587" s="65"/>
    </row>
    <row r="588">
      <c r="A588" s="61"/>
      <c r="B588" s="61"/>
      <c r="C588" s="61"/>
      <c r="D588" s="61"/>
      <c r="E588" s="61"/>
      <c r="F588" s="61"/>
      <c r="G588" s="61"/>
      <c r="H588" s="61"/>
      <c r="I588" s="61"/>
      <c r="J588" s="107"/>
      <c r="K588" s="100"/>
      <c r="L588" s="61"/>
      <c r="M588" s="61"/>
    </row>
    <row r="589">
      <c r="A589" s="65"/>
      <c r="B589" s="65"/>
      <c r="C589" s="65"/>
      <c r="D589" s="65"/>
      <c r="E589" s="65"/>
      <c r="F589" s="65"/>
      <c r="G589" s="65"/>
      <c r="H589" s="65"/>
      <c r="I589" s="65"/>
      <c r="J589" s="108"/>
      <c r="K589" s="103"/>
      <c r="L589" s="65"/>
      <c r="M589" s="65"/>
    </row>
    <row r="590">
      <c r="A590" s="61"/>
      <c r="B590" s="61"/>
      <c r="C590" s="61"/>
      <c r="D590" s="61"/>
      <c r="E590" s="61"/>
      <c r="F590" s="61"/>
      <c r="G590" s="61"/>
      <c r="H590" s="61"/>
      <c r="I590" s="61"/>
      <c r="J590" s="107"/>
      <c r="K590" s="100"/>
      <c r="L590" s="61"/>
      <c r="M590" s="61"/>
    </row>
    <row r="591">
      <c r="A591" s="65"/>
      <c r="B591" s="65"/>
      <c r="C591" s="65"/>
      <c r="D591" s="65"/>
      <c r="E591" s="65"/>
      <c r="F591" s="65"/>
      <c r="G591" s="65"/>
      <c r="H591" s="65"/>
      <c r="I591" s="65"/>
      <c r="J591" s="108"/>
      <c r="K591" s="103"/>
      <c r="L591" s="65"/>
      <c r="M591" s="65"/>
    </row>
    <row r="592">
      <c r="A592" s="61"/>
      <c r="B592" s="61"/>
      <c r="C592" s="61"/>
      <c r="D592" s="61"/>
      <c r="E592" s="61"/>
      <c r="F592" s="61"/>
      <c r="G592" s="61"/>
      <c r="H592" s="61"/>
      <c r="I592" s="61"/>
      <c r="J592" s="107"/>
      <c r="K592" s="100"/>
      <c r="L592" s="61"/>
      <c r="M592" s="61"/>
    </row>
    <row r="593">
      <c r="A593" s="65"/>
      <c r="B593" s="65"/>
      <c r="C593" s="65"/>
      <c r="D593" s="65"/>
      <c r="E593" s="65"/>
      <c r="F593" s="65"/>
      <c r="G593" s="65"/>
      <c r="H593" s="65"/>
      <c r="I593" s="65"/>
      <c r="J593" s="108"/>
      <c r="K593" s="103"/>
      <c r="L593" s="65"/>
      <c r="M593" s="65"/>
    </row>
    <row r="594">
      <c r="A594" s="61"/>
      <c r="B594" s="61"/>
      <c r="C594" s="61"/>
      <c r="D594" s="61"/>
      <c r="E594" s="61"/>
      <c r="F594" s="61"/>
      <c r="G594" s="61"/>
      <c r="H594" s="61"/>
      <c r="I594" s="61"/>
      <c r="J594" s="107"/>
      <c r="K594" s="100"/>
      <c r="L594" s="61"/>
      <c r="M594" s="61"/>
    </row>
    <row r="595">
      <c r="A595" s="65"/>
      <c r="B595" s="65"/>
      <c r="C595" s="65"/>
      <c r="D595" s="65"/>
      <c r="E595" s="65"/>
      <c r="F595" s="65"/>
      <c r="G595" s="65"/>
      <c r="H595" s="65"/>
      <c r="I595" s="65"/>
      <c r="J595" s="108"/>
      <c r="K595" s="103"/>
      <c r="L595" s="65"/>
      <c r="M595" s="65"/>
    </row>
    <row r="596">
      <c r="A596" s="61"/>
      <c r="B596" s="61"/>
      <c r="C596" s="61"/>
      <c r="D596" s="61"/>
      <c r="E596" s="61"/>
      <c r="F596" s="61"/>
      <c r="G596" s="61"/>
      <c r="H596" s="61"/>
      <c r="I596" s="61"/>
      <c r="J596" s="107"/>
      <c r="K596" s="100"/>
      <c r="L596" s="61"/>
      <c r="M596" s="61"/>
    </row>
    <row r="597">
      <c r="A597" s="65"/>
      <c r="B597" s="65"/>
      <c r="C597" s="65"/>
      <c r="D597" s="65"/>
      <c r="E597" s="65"/>
      <c r="F597" s="65"/>
      <c r="G597" s="65"/>
      <c r="H597" s="65"/>
      <c r="I597" s="65"/>
      <c r="J597" s="108"/>
      <c r="K597" s="103"/>
      <c r="L597" s="65"/>
      <c r="M597" s="65"/>
    </row>
    <row r="598">
      <c r="A598" s="61"/>
      <c r="B598" s="61"/>
      <c r="C598" s="61"/>
      <c r="D598" s="61"/>
      <c r="E598" s="61"/>
      <c r="F598" s="61"/>
      <c r="G598" s="61"/>
      <c r="H598" s="61"/>
      <c r="I598" s="61"/>
      <c r="J598" s="107"/>
      <c r="K598" s="100"/>
      <c r="L598" s="61"/>
      <c r="M598" s="61"/>
    </row>
    <row r="599">
      <c r="A599" s="65"/>
      <c r="B599" s="65"/>
      <c r="C599" s="65"/>
      <c r="D599" s="65"/>
      <c r="E599" s="65"/>
      <c r="F599" s="65"/>
      <c r="G599" s="65"/>
      <c r="H599" s="65"/>
      <c r="I599" s="65"/>
      <c r="J599" s="108"/>
      <c r="K599" s="103"/>
      <c r="L599" s="65"/>
      <c r="M599" s="65"/>
    </row>
    <row r="600">
      <c r="A600" s="61"/>
      <c r="B600" s="61"/>
      <c r="C600" s="61"/>
      <c r="D600" s="61"/>
      <c r="E600" s="61"/>
      <c r="F600" s="61"/>
      <c r="G600" s="61"/>
      <c r="H600" s="61"/>
      <c r="I600" s="61"/>
      <c r="J600" s="107"/>
      <c r="K600" s="100"/>
      <c r="L600" s="61"/>
      <c r="M600" s="61"/>
    </row>
    <row r="601">
      <c r="A601" s="65"/>
      <c r="B601" s="65"/>
      <c r="C601" s="65"/>
      <c r="D601" s="65"/>
      <c r="E601" s="65"/>
      <c r="F601" s="65"/>
      <c r="G601" s="65"/>
      <c r="H601" s="65"/>
      <c r="I601" s="65"/>
      <c r="J601" s="108"/>
      <c r="K601" s="103"/>
      <c r="L601" s="65"/>
      <c r="M601" s="65"/>
    </row>
    <row r="602">
      <c r="A602" s="61"/>
      <c r="B602" s="61"/>
      <c r="C602" s="61"/>
      <c r="D602" s="61"/>
      <c r="E602" s="61"/>
      <c r="F602" s="61"/>
      <c r="G602" s="61"/>
      <c r="H602" s="61"/>
      <c r="I602" s="61"/>
      <c r="J602" s="107"/>
      <c r="K602" s="100"/>
      <c r="L602" s="61"/>
      <c r="M602" s="61"/>
    </row>
    <row r="603">
      <c r="A603" s="65"/>
      <c r="B603" s="65"/>
      <c r="C603" s="65"/>
      <c r="D603" s="65"/>
      <c r="E603" s="65"/>
      <c r="F603" s="65"/>
      <c r="G603" s="65"/>
      <c r="H603" s="65"/>
      <c r="I603" s="65"/>
      <c r="J603" s="108"/>
      <c r="K603" s="103"/>
      <c r="L603" s="65"/>
      <c r="M603" s="65"/>
    </row>
    <row r="604">
      <c r="A604" s="61"/>
      <c r="B604" s="61"/>
      <c r="C604" s="61"/>
      <c r="D604" s="61"/>
      <c r="E604" s="61"/>
      <c r="F604" s="61"/>
      <c r="G604" s="61"/>
      <c r="H604" s="61"/>
      <c r="I604" s="61"/>
      <c r="J604" s="107"/>
      <c r="K604" s="100"/>
      <c r="L604" s="61"/>
      <c r="M604" s="61"/>
    </row>
    <row r="605">
      <c r="A605" s="65"/>
      <c r="B605" s="65"/>
      <c r="C605" s="65"/>
      <c r="D605" s="65"/>
      <c r="E605" s="65"/>
      <c r="F605" s="65"/>
      <c r="G605" s="65"/>
      <c r="H605" s="65"/>
      <c r="I605" s="65"/>
      <c r="J605" s="108"/>
      <c r="K605" s="103"/>
      <c r="L605" s="65"/>
      <c r="M605" s="65"/>
    </row>
    <row r="606">
      <c r="A606" s="61"/>
      <c r="B606" s="61"/>
      <c r="C606" s="61"/>
      <c r="D606" s="61"/>
      <c r="E606" s="61"/>
      <c r="F606" s="61"/>
      <c r="G606" s="61"/>
      <c r="H606" s="61"/>
      <c r="I606" s="61"/>
      <c r="J606" s="107"/>
      <c r="K606" s="100"/>
      <c r="L606" s="61"/>
      <c r="M606" s="61"/>
    </row>
    <row r="607">
      <c r="A607" s="65"/>
      <c r="B607" s="65"/>
      <c r="C607" s="65"/>
      <c r="D607" s="65"/>
      <c r="E607" s="65"/>
      <c r="F607" s="65"/>
      <c r="G607" s="65"/>
      <c r="H607" s="65"/>
      <c r="I607" s="65"/>
      <c r="J607" s="108"/>
      <c r="K607" s="103"/>
      <c r="L607" s="65"/>
      <c r="M607" s="65"/>
    </row>
    <row r="608">
      <c r="A608" s="61"/>
      <c r="B608" s="61"/>
      <c r="C608" s="61"/>
      <c r="D608" s="61"/>
      <c r="E608" s="61"/>
      <c r="F608" s="61"/>
      <c r="G608" s="61"/>
      <c r="H608" s="61"/>
      <c r="I608" s="61"/>
      <c r="J608" s="107"/>
      <c r="K608" s="100"/>
      <c r="L608" s="61"/>
      <c r="M608" s="61"/>
    </row>
    <row r="609">
      <c r="A609" s="65"/>
      <c r="B609" s="65"/>
      <c r="C609" s="65"/>
      <c r="D609" s="65"/>
      <c r="E609" s="65"/>
      <c r="F609" s="65"/>
      <c r="G609" s="65"/>
      <c r="H609" s="65"/>
      <c r="I609" s="65"/>
      <c r="J609" s="108"/>
      <c r="K609" s="103"/>
      <c r="L609" s="65"/>
      <c r="M609" s="65"/>
    </row>
    <row r="610">
      <c r="A610" s="61"/>
      <c r="B610" s="61"/>
      <c r="C610" s="61"/>
      <c r="D610" s="61"/>
      <c r="E610" s="61"/>
      <c r="F610" s="61"/>
      <c r="G610" s="61"/>
      <c r="H610" s="61"/>
      <c r="I610" s="61"/>
      <c r="J610" s="107"/>
      <c r="K610" s="100"/>
      <c r="L610" s="61"/>
      <c r="M610" s="61"/>
    </row>
    <row r="611">
      <c r="A611" s="65"/>
      <c r="B611" s="65"/>
      <c r="C611" s="65"/>
      <c r="D611" s="65"/>
      <c r="E611" s="65"/>
      <c r="F611" s="65"/>
      <c r="G611" s="65"/>
      <c r="H611" s="65"/>
      <c r="I611" s="65"/>
      <c r="J611" s="108"/>
      <c r="K611" s="103"/>
      <c r="L611" s="65"/>
      <c r="M611" s="65"/>
    </row>
    <row r="612">
      <c r="A612" s="61"/>
      <c r="B612" s="61"/>
      <c r="C612" s="61"/>
      <c r="D612" s="61"/>
      <c r="E612" s="61"/>
      <c r="F612" s="61"/>
      <c r="G612" s="61"/>
      <c r="H612" s="61"/>
      <c r="I612" s="61"/>
      <c r="J612" s="107"/>
      <c r="K612" s="100"/>
      <c r="L612" s="61"/>
      <c r="M612" s="61"/>
    </row>
    <row r="613">
      <c r="A613" s="65"/>
      <c r="B613" s="65"/>
      <c r="C613" s="65"/>
      <c r="D613" s="65"/>
      <c r="E613" s="65"/>
      <c r="F613" s="65"/>
      <c r="G613" s="65"/>
      <c r="H613" s="65"/>
      <c r="I613" s="65"/>
      <c r="J613" s="108"/>
      <c r="K613" s="103"/>
      <c r="L613" s="65"/>
      <c r="M613" s="65"/>
    </row>
    <row r="614">
      <c r="A614" s="61"/>
      <c r="B614" s="61"/>
      <c r="C614" s="61"/>
      <c r="D614" s="61"/>
      <c r="E614" s="61"/>
      <c r="F614" s="61"/>
      <c r="G614" s="61"/>
      <c r="H614" s="61"/>
      <c r="I614" s="61"/>
      <c r="J614" s="107"/>
      <c r="K614" s="100"/>
      <c r="L614" s="61"/>
      <c r="M614" s="61"/>
    </row>
    <row r="615">
      <c r="A615" s="65"/>
      <c r="B615" s="65"/>
      <c r="C615" s="65"/>
      <c r="D615" s="65"/>
      <c r="E615" s="65"/>
      <c r="F615" s="65"/>
      <c r="G615" s="65"/>
      <c r="H615" s="65"/>
      <c r="I615" s="65"/>
      <c r="J615" s="108"/>
      <c r="K615" s="103"/>
      <c r="L615" s="65"/>
      <c r="M615" s="65"/>
    </row>
    <row r="616">
      <c r="A616" s="61"/>
      <c r="B616" s="61"/>
      <c r="C616" s="61"/>
      <c r="D616" s="61"/>
      <c r="E616" s="61"/>
      <c r="F616" s="61"/>
      <c r="G616" s="61"/>
      <c r="H616" s="61"/>
      <c r="I616" s="61"/>
      <c r="J616" s="107"/>
      <c r="K616" s="100"/>
      <c r="L616" s="61"/>
      <c r="M616" s="61"/>
    </row>
    <row r="617">
      <c r="A617" s="65"/>
      <c r="B617" s="65"/>
      <c r="C617" s="65"/>
      <c r="D617" s="65"/>
      <c r="E617" s="65"/>
      <c r="F617" s="65"/>
      <c r="G617" s="65"/>
      <c r="H617" s="65"/>
      <c r="I617" s="65"/>
      <c r="J617" s="108"/>
      <c r="K617" s="103"/>
      <c r="L617" s="65"/>
      <c r="M617" s="65"/>
    </row>
    <row r="618">
      <c r="A618" s="61"/>
      <c r="B618" s="61"/>
      <c r="C618" s="61"/>
      <c r="D618" s="61"/>
      <c r="E618" s="61"/>
      <c r="F618" s="61"/>
      <c r="G618" s="61"/>
      <c r="H618" s="61"/>
      <c r="I618" s="61"/>
      <c r="J618" s="107"/>
      <c r="K618" s="100"/>
      <c r="L618" s="61"/>
      <c r="M618" s="61"/>
    </row>
    <row r="619">
      <c r="A619" s="65"/>
      <c r="B619" s="65"/>
      <c r="C619" s="65"/>
      <c r="D619" s="65"/>
      <c r="E619" s="65"/>
      <c r="F619" s="65"/>
      <c r="G619" s="65"/>
      <c r="H619" s="65"/>
      <c r="I619" s="65"/>
      <c r="J619" s="108"/>
      <c r="K619" s="103"/>
      <c r="L619" s="65"/>
      <c r="M619" s="65"/>
    </row>
    <row r="620">
      <c r="A620" s="61"/>
      <c r="B620" s="61"/>
      <c r="C620" s="61"/>
      <c r="D620" s="61"/>
      <c r="E620" s="61"/>
      <c r="F620" s="61"/>
      <c r="G620" s="61"/>
      <c r="H620" s="61"/>
      <c r="I620" s="61"/>
      <c r="J620" s="107"/>
      <c r="K620" s="100"/>
      <c r="L620" s="61"/>
      <c r="M620" s="61"/>
    </row>
    <row r="621">
      <c r="A621" s="65"/>
      <c r="B621" s="65"/>
      <c r="C621" s="65"/>
      <c r="D621" s="65"/>
      <c r="E621" s="65"/>
      <c r="F621" s="65"/>
      <c r="G621" s="65"/>
      <c r="H621" s="65"/>
      <c r="I621" s="65"/>
      <c r="J621" s="108"/>
      <c r="K621" s="103"/>
      <c r="L621" s="65"/>
      <c r="M621" s="65"/>
    </row>
    <row r="622">
      <c r="A622" s="61"/>
      <c r="B622" s="61"/>
      <c r="C622" s="61"/>
      <c r="D622" s="61"/>
      <c r="E622" s="61"/>
      <c r="F622" s="61"/>
      <c r="G622" s="61"/>
      <c r="H622" s="61"/>
      <c r="I622" s="61"/>
      <c r="J622" s="107"/>
      <c r="K622" s="100"/>
      <c r="L622" s="61"/>
      <c r="M622" s="61"/>
    </row>
    <row r="623">
      <c r="A623" s="65"/>
      <c r="B623" s="65"/>
      <c r="C623" s="65"/>
      <c r="D623" s="65"/>
      <c r="E623" s="65"/>
      <c r="F623" s="65"/>
      <c r="G623" s="65"/>
      <c r="H623" s="65"/>
      <c r="I623" s="65"/>
      <c r="J623" s="108"/>
      <c r="K623" s="103"/>
      <c r="L623" s="65"/>
      <c r="M623" s="65"/>
    </row>
    <row r="624">
      <c r="A624" s="61"/>
      <c r="B624" s="61"/>
      <c r="C624" s="61"/>
      <c r="D624" s="61"/>
      <c r="E624" s="61"/>
      <c r="F624" s="61"/>
      <c r="G624" s="61"/>
      <c r="H624" s="61"/>
      <c r="I624" s="61"/>
      <c r="J624" s="107"/>
      <c r="K624" s="100"/>
      <c r="L624" s="61"/>
      <c r="M624" s="61"/>
    </row>
    <row r="625">
      <c r="A625" s="65"/>
      <c r="B625" s="65"/>
      <c r="C625" s="65"/>
      <c r="D625" s="65"/>
      <c r="E625" s="65"/>
      <c r="F625" s="65"/>
      <c r="G625" s="65"/>
      <c r="H625" s="65"/>
      <c r="I625" s="65"/>
      <c r="J625" s="108"/>
      <c r="K625" s="103"/>
      <c r="L625" s="65"/>
      <c r="M625" s="65"/>
    </row>
    <row r="626">
      <c r="A626" s="61"/>
      <c r="B626" s="61"/>
      <c r="C626" s="61"/>
      <c r="D626" s="61"/>
      <c r="E626" s="61"/>
      <c r="F626" s="61"/>
      <c r="G626" s="61"/>
      <c r="H626" s="61"/>
      <c r="I626" s="61"/>
      <c r="J626" s="107"/>
      <c r="K626" s="100"/>
      <c r="L626" s="61"/>
      <c r="M626" s="61"/>
    </row>
    <row r="627">
      <c r="A627" s="65"/>
      <c r="B627" s="65"/>
      <c r="C627" s="65"/>
      <c r="D627" s="65"/>
      <c r="E627" s="65"/>
      <c r="F627" s="65"/>
      <c r="G627" s="65"/>
      <c r="H627" s="65"/>
      <c r="I627" s="65"/>
      <c r="J627" s="108"/>
      <c r="K627" s="103"/>
      <c r="L627" s="65"/>
      <c r="M627" s="65"/>
    </row>
    <row r="628">
      <c r="A628" s="61"/>
      <c r="B628" s="61"/>
      <c r="C628" s="61"/>
      <c r="D628" s="61"/>
      <c r="E628" s="61"/>
      <c r="F628" s="61"/>
      <c r="G628" s="61"/>
      <c r="H628" s="61"/>
      <c r="I628" s="61"/>
      <c r="J628" s="107"/>
      <c r="K628" s="100"/>
      <c r="L628" s="61"/>
      <c r="M628" s="61"/>
    </row>
    <row r="629">
      <c r="A629" s="65"/>
      <c r="B629" s="65"/>
      <c r="C629" s="65"/>
      <c r="D629" s="65"/>
      <c r="E629" s="65"/>
      <c r="F629" s="65"/>
      <c r="G629" s="65"/>
      <c r="H629" s="65"/>
      <c r="I629" s="65"/>
      <c r="J629" s="108"/>
      <c r="K629" s="103"/>
      <c r="L629" s="65"/>
      <c r="M629" s="65"/>
    </row>
    <row r="630">
      <c r="A630" s="61"/>
      <c r="B630" s="61"/>
      <c r="C630" s="61"/>
      <c r="D630" s="61"/>
      <c r="E630" s="61"/>
      <c r="F630" s="61"/>
      <c r="G630" s="61"/>
      <c r="H630" s="61"/>
      <c r="I630" s="61"/>
      <c r="J630" s="107"/>
      <c r="K630" s="100"/>
      <c r="L630" s="61"/>
      <c r="M630" s="61"/>
    </row>
    <row r="631">
      <c r="A631" s="65"/>
      <c r="B631" s="65"/>
      <c r="C631" s="65"/>
      <c r="D631" s="65"/>
      <c r="E631" s="65"/>
      <c r="F631" s="65"/>
      <c r="G631" s="65"/>
      <c r="H631" s="65"/>
      <c r="I631" s="65"/>
      <c r="J631" s="108"/>
      <c r="K631" s="103"/>
      <c r="L631" s="65"/>
      <c r="M631" s="65"/>
    </row>
    <row r="632">
      <c r="A632" s="61"/>
      <c r="B632" s="61"/>
      <c r="C632" s="61"/>
      <c r="D632" s="61"/>
      <c r="E632" s="61"/>
      <c r="F632" s="61"/>
      <c r="G632" s="61"/>
      <c r="H632" s="61"/>
      <c r="I632" s="61"/>
      <c r="J632" s="107"/>
      <c r="K632" s="100"/>
      <c r="L632" s="61"/>
      <c r="M632" s="61"/>
    </row>
    <row r="633">
      <c r="A633" s="65"/>
      <c r="B633" s="65"/>
      <c r="C633" s="65"/>
      <c r="D633" s="65"/>
      <c r="E633" s="65"/>
      <c r="F633" s="65"/>
      <c r="G633" s="65"/>
      <c r="H633" s="65"/>
      <c r="I633" s="65"/>
      <c r="J633" s="108"/>
      <c r="K633" s="103"/>
      <c r="L633" s="65"/>
      <c r="M633" s="65"/>
    </row>
    <row r="634">
      <c r="A634" s="61"/>
      <c r="B634" s="61"/>
      <c r="C634" s="61"/>
      <c r="D634" s="61"/>
      <c r="E634" s="61"/>
      <c r="F634" s="61"/>
      <c r="G634" s="61"/>
      <c r="H634" s="61"/>
      <c r="I634" s="61"/>
      <c r="J634" s="107"/>
      <c r="K634" s="100"/>
      <c r="L634" s="61"/>
      <c r="M634" s="61"/>
    </row>
    <row r="635">
      <c r="A635" s="65"/>
      <c r="B635" s="65"/>
      <c r="C635" s="65"/>
      <c r="D635" s="65"/>
      <c r="E635" s="65"/>
      <c r="F635" s="65"/>
      <c r="G635" s="65"/>
      <c r="H635" s="65"/>
      <c r="I635" s="65"/>
      <c r="J635" s="108"/>
      <c r="K635" s="103"/>
      <c r="L635" s="65"/>
      <c r="M635" s="65"/>
    </row>
    <row r="636">
      <c r="A636" s="61"/>
      <c r="B636" s="61"/>
      <c r="C636" s="61"/>
      <c r="D636" s="61"/>
      <c r="E636" s="61"/>
      <c r="F636" s="61"/>
      <c r="G636" s="61"/>
      <c r="H636" s="61"/>
      <c r="I636" s="61"/>
      <c r="J636" s="107"/>
      <c r="K636" s="100"/>
      <c r="L636" s="61"/>
      <c r="M636" s="61"/>
    </row>
    <row r="637">
      <c r="A637" s="65"/>
      <c r="B637" s="65"/>
      <c r="C637" s="65"/>
      <c r="D637" s="65"/>
      <c r="E637" s="65"/>
      <c r="F637" s="65"/>
      <c r="G637" s="65"/>
      <c r="H637" s="65"/>
      <c r="I637" s="65"/>
      <c r="J637" s="108"/>
      <c r="K637" s="103"/>
      <c r="L637" s="65"/>
      <c r="M637" s="65"/>
    </row>
    <row r="638">
      <c r="A638" s="61"/>
      <c r="B638" s="61"/>
      <c r="C638" s="61"/>
      <c r="D638" s="61"/>
      <c r="E638" s="61"/>
      <c r="F638" s="61"/>
      <c r="G638" s="61"/>
      <c r="H638" s="61"/>
      <c r="I638" s="61"/>
      <c r="J638" s="107"/>
      <c r="K638" s="100"/>
      <c r="L638" s="61"/>
      <c r="M638" s="61"/>
    </row>
    <row r="639">
      <c r="A639" s="65"/>
      <c r="B639" s="65"/>
      <c r="C639" s="65"/>
      <c r="D639" s="65"/>
      <c r="E639" s="65"/>
      <c r="F639" s="65"/>
      <c r="G639" s="65"/>
      <c r="H639" s="65"/>
      <c r="I639" s="65"/>
      <c r="J639" s="108"/>
      <c r="K639" s="103"/>
      <c r="L639" s="65"/>
      <c r="M639" s="65"/>
    </row>
    <row r="640">
      <c r="A640" s="61"/>
      <c r="B640" s="61"/>
      <c r="C640" s="61"/>
      <c r="D640" s="61"/>
      <c r="E640" s="61"/>
      <c r="F640" s="61"/>
      <c r="G640" s="61"/>
      <c r="H640" s="61"/>
      <c r="I640" s="61"/>
      <c r="J640" s="107"/>
      <c r="K640" s="100"/>
      <c r="L640" s="61"/>
      <c r="M640" s="61"/>
    </row>
    <row r="641">
      <c r="A641" s="65"/>
      <c r="B641" s="65"/>
      <c r="C641" s="65"/>
      <c r="D641" s="65"/>
      <c r="E641" s="65"/>
      <c r="F641" s="65"/>
      <c r="G641" s="65"/>
      <c r="H641" s="65"/>
      <c r="I641" s="65"/>
      <c r="J641" s="108"/>
      <c r="K641" s="103"/>
      <c r="L641" s="65"/>
      <c r="M641" s="65"/>
    </row>
    <row r="642">
      <c r="A642" s="61"/>
      <c r="B642" s="61"/>
      <c r="C642" s="61"/>
      <c r="D642" s="61"/>
      <c r="E642" s="61"/>
      <c r="F642" s="61"/>
      <c r="G642" s="61"/>
      <c r="H642" s="61"/>
      <c r="I642" s="61"/>
      <c r="J642" s="107"/>
      <c r="K642" s="100"/>
      <c r="L642" s="61"/>
      <c r="M642" s="61"/>
    </row>
    <row r="643">
      <c r="A643" s="65"/>
      <c r="B643" s="65"/>
      <c r="C643" s="65"/>
      <c r="D643" s="65"/>
      <c r="E643" s="65"/>
      <c r="F643" s="65"/>
      <c r="G643" s="65"/>
      <c r="H643" s="65"/>
      <c r="I643" s="65"/>
      <c r="J643" s="108"/>
      <c r="K643" s="103"/>
      <c r="L643" s="65"/>
      <c r="M643" s="65"/>
    </row>
    <row r="644">
      <c r="A644" s="61"/>
      <c r="B644" s="61"/>
      <c r="C644" s="61"/>
      <c r="D644" s="61"/>
      <c r="E644" s="61"/>
      <c r="F644" s="61"/>
      <c r="G644" s="61"/>
      <c r="H644" s="61"/>
      <c r="I644" s="61"/>
      <c r="J644" s="107"/>
      <c r="K644" s="100"/>
      <c r="L644" s="61"/>
      <c r="M644" s="61"/>
    </row>
    <row r="645">
      <c r="A645" s="65"/>
      <c r="B645" s="65"/>
      <c r="C645" s="65"/>
      <c r="D645" s="65"/>
      <c r="E645" s="65"/>
      <c r="F645" s="65"/>
      <c r="G645" s="65"/>
      <c r="H645" s="65"/>
      <c r="I645" s="65"/>
      <c r="J645" s="108"/>
      <c r="K645" s="103"/>
      <c r="L645" s="65"/>
      <c r="M645" s="65"/>
    </row>
    <row r="646">
      <c r="A646" s="61"/>
      <c r="B646" s="61"/>
      <c r="C646" s="61"/>
      <c r="D646" s="61"/>
      <c r="E646" s="61"/>
      <c r="F646" s="61"/>
      <c r="G646" s="61"/>
      <c r="H646" s="61"/>
      <c r="I646" s="61"/>
      <c r="J646" s="107"/>
      <c r="K646" s="100"/>
      <c r="L646" s="61"/>
      <c r="M646" s="61"/>
    </row>
    <row r="647">
      <c r="A647" s="65"/>
      <c r="B647" s="65"/>
      <c r="C647" s="65"/>
      <c r="D647" s="65"/>
      <c r="E647" s="65"/>
      <c r="F647" s="65"/>
      <c r="G647" s="65"/>
      <c r="H647" s="65"/>
      <c r="I647" s="65"/>
      <c r="J647" s="108"/>
      <c r="K647" s="103"/>
      <c r="L647" s="65"/>
      <c r="M647" s="65"/>
    </row>
    <row r="648">
      <c r="A648" s="61"/>
      <c r="B648" s="61"/>
      <c r="C648" s="61"/>
      <c r="D648" s="61"/>
      <c r="E648" s="61"/>
      <c r="F648" s="61"/>
      <c r="G648" s="61"/>
      <c r="H648" s="61"/>
      <c r="I648" s="61"/>
      <c r="J648" s="107"/>
      <c r="K648" s="100"/>
      <c r="L648" s="61"/>
      <c r="M648" s="61"/>
    </row>
    <row r="649">
      <c r="A649" s="65"/>
      <c r="B649" s="65"/>
      <c r="C649" s="65"/>
      <c r="D649" s="65"/>
      <c r="E649" s="65"/>
      <c r="F649" s="65"/>
      <c r="G649" s="65"/>
      <c r="H649" s="65"/>
      <c r="I649" s="65"/>
      <c r="J649" s="108"/>
      <c r="K649" s="103"/>
      <c r="L649" s="65"/>
      <c r="M649" s="65"/>
    </row>
    <row r="650">
      <c r="A650" s="61"/>
      <c r="B650" s="61"/>
      <c r="C650" s="61"/>
      <c r="D650" s="61"/>
      <c r="E650" s="61"/>
      <c r="F650" s="61"/>
      <c r="G650" s="61"/>
      <c r="H650" s="61"/>
      <c r="I650" s="61"/>
      <c r="J650" s="107"/>
      <c r="K650" s="100"/>
      <c r="L650" s="61"/>
      <c r="M650" s="61"/>
    </row>
    <row r="651">
      <c r="A651" s="65"/>
      <c r="B651" s="65"/>
      <c r="C651" s="65"/>
      <c r="D651" s="65"/>
      <c r="E651" s="65"/>
      <c r="F651" s="65"/>
      <c r="G651" s="65"/>
      <c r="H651" s="65"/>
      <c r="I651" s="65"/>
      <c r="J651" s="108"/>
      <c r="K651" s="103"/>
      <c r="L651" s="65"/>
      <c r="M651" s="65"/>
    </row>
    <row r="652">
      <c r="A652" s="61"/>
      <c r="B652" s="61"/>
      <c r="C652" s="61"/>
      <c r="D652" s="61"/>
      <c r="E652" s="61"/>
      <c r="F652" s="61"/>
      <c r="G652" s="61"/>
      <c r="H652" s="61"/>
      <c r="I652" s="61"/>
      <c r="J652" s="107"/>
      <c r="K652" s="100"/>
      <c r="L652" s="61"/>
      <c r="M652" s="61"/>
    </row>
    <row r="653">
      <c r="A653" s="65"/>
      <c r="B653" s="65"/>
      <c r="C653" s="65"/>
      <c r="D653" s="65"/>
      <c r="E653" s="65"/>
      <c r="F653" s="65"/>
      <c r="G653" s="65"/>
      <c r="H653" s="65"/>
      <c r="I653" s="65"/>
      <c r="J653" s="108"/>
      <c r="K653" s="103"/>
      <c r="L653" s="65"/>
      <c r="M653" s="65"/>
    </row>
    <row r="654">
      <c r="A654" s="61"/>
      <c r="B654" s="61"/>
      <c r="C654" s="61"/>
      <c r="D654" s="61"/>
      <c r="E654" s="61"/>
      <c r="F654" s="61"/>
      <c r="G654" s="61"/>
      <c r="H654" s="61"/>
      <c r="I654" s="61"/>
      <c r="J654" s="107"/>
      <c r="K654" s="100"/>
      <c r="L654" s="61"/>
      <c r="M654" s="61"/>
    </row>
    <row r="655">
      <c r="A655" s="65"/>
      <c r="B655" s="65"/>
      <c r="C655" s="65"/>
      <c r="D655" s="65"/>
      <c r="E655" s="65"/>
      <c r="F655" s="65"/>
      <c r="G655" s="65"/>
      <c r="H655" s="65"/>
      <c r="I655" s="65"/>
      <c r="J655" s="108"/>
      <c r="K655" s="103"/>
      <c r="L655" s="65"/>
      <c r="M655" s="65"/>
    </row>
    <row r="656">
      <c r="A656" s="61"/>
      <c r="B656" s="61"/>
      <c r="C656" s="61"/>
      <c r="D656" s="61"/>
      <c r="E656" s="61"/>
      <c r="F656" s="61"/>
      <c r="G656" s="61"/>
      <c r="H656" s="61"/>
      <c r="I656" s="61"/>
      <c r="J656" s="107"/>
      <c r="K656" s="100"/>
      <c r="L656" s="61"/>
      <c r="M656" s="61"/>
    </row>
    <row r="657">
      <c r="A657" s="65"/>
      <c r="B657" s="65"/>
      <c r="C657" s="65"/>
      <c r="D657" s="65"/>
      <c r="E657" s="65"/>
      <c r="F657" s="65"/>
      <c r="G657" s="65"/>
      <c r="H657" s="65"/>
      <c r="I657" s="65"/>
      <c r="J657" s="108"/>
      <c r="K657" s="103"/>
      <c r="L657" s="65"/>
      <c r="M657" s="65"/>
    </row>
    <row r="658">
      <c r="A658" s="61"/>
      <c r="B658" s="61"/>
      <c r="C658" s="61"/>
      <c r="D658" s="61"/>
      <c r="E658" s="61"/>
      <c r="F658" s="61"/>
      <c r="G658" s="61"/>
      <c r="H658" s="61"/>
      <c r="I658" s="61"/>
      <c r="J658" s="107"/>
      <c r="K658" s="100"/>
      <c r="L658" s="61"/>
      <c r="M658" s="61"/>
    </row>
    <row r="659">
      <c r="A659" s="65"/>
      <c r="B659" s="65"/>
      <c r="C659" s="65"/>
      <c r="D659" s="65"/>
      <c r="E659" s="65"/>
      <c r="F659" s="65"/>
      <c r="G659" s="65"/>
      <c r="H659" s="65"/>
      <c r="I659" s="65"/>
      <c r="J659" s="108"/>
      <c r="K659" s="103"/>
      <c r="L659" s="65"/>
      <c r="M659" s="65"/>
    </row>
    <row r="660">
      <c r="A660" s="61"/>
      <c r="B660" s="61"/>
      <c r="C660" s="61"/>
      <c r="D660" s="61"/>
      <c r="E660" s="61"/>
      <c r="F660" s="61"/>
      <c r="G660" s="61"/>
      <c r="H660" s="61"/>
      <c r="I660" s="61"/>
      <c r="J660" s="107"/>
      <c r="K660" s="100"/>
      <c r="L660" s="61"/>
      <c r="M660" s="61"/>
    </row>
    <row r="661">
      <c r="A661" s="65"/>
      <c r="B661" s="65"/>
      <c r="C661" s="65"/>
      <c r="D661" s="65"/>
      <c r="E661" s="65"/>
      <c r="F661" s="65"/>
      <c r="G661" s="65"/>
      <c r="H661" s="65"/>
      <c r="I661" s="65"/>
      <c r="J661" s="108"/>
      <c r="K661" s="103"/>
      <c r="L661" s="65"/>
      <c r="M661" s="65"/>
    </row>
    <row r="662">
      <c r="A662" s="61"/>
      <c r="B662" s="61"/>
      <c r="C662" s="61"/>
      <c r="D662" s="61"/>
      <c r="E662" s="61"/>
      <c r="F662" s="61"/>
      <c r="G662" s="61"/>
      <c r="H662" s="61"/>
      <c r="I662" s="61"/>
      <c r="J662" s="107"/>
      <c r="K662" s="100"/>
      <c r="L662" s="61"/>
      <c r="M662" s="61"/>
    </row>
    <row r="663">
      <c r="A663" s="65"/>
      <c r="B663" s="65"/>
      <c r="C663" s="65"/>
      <c r="D663" s="65"/>
      <c r="E663" s="65"/>
      <c r="F663" s="65"/>
      <c r="G663" s="65"/>
      <c r="H663" s="65"/>
      <c r="I663" s="65"/>
      <c r="J663" s="108"/>
      <c r="K663" s="103"/>
      <c r="L663" s="65"/>
      <c r="M663" s="65"/>
    </row>
    <row r="664">
      <c r="A664" s="61"/>
      <c r="B664" s="61"/>
      <c r="C664" s="61"/>
      <c r="D664" s="61"/>
      <c r="E664" s="61"/>
      <c r="F664" s="61"/>
      <c r="G664" s="61"/>
      <c r="H664" s="61"/>
      <c r="I664" s="61"/>
      <c r="J664" s="107"/>
      <c r="K664" s="100"/>
      <c r="L664" s="61"/>
      <c r="M664" s="61"/>
    </row>
    <row r="665">
      <c r="A665" s="65"/>
      <c r="B665" s="65"/>
      <c r="C665" s="65"/>
      <c r="D665" s="65"/>
      <c r="E665" s="65"/>
      <c r="F665" s="65"/>
      <c r="G665" s="65"/>
      <c r="H665" s="65"/>
      <c r="I665" s="65"/>
      <c r="J665" s="108"/>
      <c r="K665" s="103"/>
      <c r="L665" s="65"/>
      <c r="M665" s="65"/>
    </row>
    <row r="666">
      <c r="A666" s="61"/>
      <c r="B666" s="61"/>
      <c r="C666" s="61"/>
      <c r="D666" s="61"/>
      <c r="E666" s="61"/>
      <c r="F666" s="61"/>
      <c r="G666" s="61"/>
      <c r="H666" s="61"/>
      <c r="I666" s="61"/>
      <c r="J666" s="107"/>
      <c r="K666" s="100"/>
      <c r="L666" s="61"/>
      <c r="M666" s="61"/>
    </row>
    <row r="667">
      <c r="A667" s="65"/>
      <c r="B667" s="65"/>
      <c r="C667" s="65"/>
      <c r="D667" s="65"/>
      <c r="E667" s="65"/>
      <c r="F667" s="65"/>
      <c r="G667" s="65"/>
      <c r="H667" s="65"/>
      <c r="I667" s="65"/>
      <c r="J667" s="108"/>
      <c r="K667" s="103"/>
      <c r="L667" s="65"/>
      <c r="M667" s="65"/>
    </row>
    <row r="668">
      <c r="A668" s="61"/>
      <c r="B668" s="61"/>
      <c r="C668" s="61"/>
      <c r="D668" s="61"/>
      <c r="E668" s="61"/>
      <c r="F668" s="61"/>
      <c r="G668" s="61"/>
      <c r="H668" s="61"/>
      <c r="I668" s="61"/>
      <c r="J668" s="107"/>
      <c r="K668" s="100"/>
      <c r="L668" s="61"/>
      <c r="M668" s="61"/>
    </row>
    <row r="669">
      <c r="A669" s="65"/>
      <c r="B669" s="65"/>
      <c r="C669" s="65"/>
      <c r="D669" s="65"/>
      <c r="E669" s="65"/>
      <c r="F669" s="65"/>
      <c r="G669" s="65"/>
      <c r="H669" s="65"/>
      <c r="I669" s="65"/>
      <c r="J669" s="108"/>
      <c r="K669" s="103"/>
      <c r="L669" s="65"/>
      <c r="M669" s="65"/>
    </row>
    <row r="670">
      <c r="A670" s="61"/>
      <c r="B670" s="61"/>
      <c r="C670" s="61"/>
      <c r="D670" s="61"/>
      <c r="E670" s="61"/>
      <c r="F670" s="61"/>
      <c r="G670" s="61"/>
      <c r="H670" s="61"/>
      <c r="I670" s="61"/>
      <c r="J670" s="107"/>
      <c r="K670" s="100"/>
      <c r="L670" s="61"/>
      <c r="M670" s="61"/>
    </row>
    <row r="671">
      <c r="A671" s="65"/>
      <c r="B671" s="65"/>
      <c r="C671" s="65"/>
      <c r="D671" s="65"/>
      <c r="E671" s="65"/>
      <c r="F671" s="65"/>
      <c r="G671" s="65"/>
      <c r="H671" s="65"/>
      <c r="I671" s="65"/>
      <c r="J671" s="108"/>
      <c r="K671" s="103"/>
      <c r="L671" s="65"/>
      <c r="M671" s="65"/>
    </row>
    <row r="672">
      <c r="A672" s="61"/>
      <c r="B672" s="61"/>
      <c r="C672" s="61"/>
      <c r="D672" s="61"/>
      <c r="E672" s="61"/>
      <c r="F672" s="61"/>
      <c r="G672" s="61"/>
      <c r="H672" s="61"/>
      <c r="I672" s="61"/>
      <c r="J672" s="107"/>
      <c r="K672" s="100"/>
      <c r="L672" s="61"/>
      <c r="M672" s="61"/>
    </row>
    <row r="673">
      <c r="A673" s="65"/>
      <c r="B673" s="65"/>
      <c r="C673" s="65"/>
      <c r="D673" s="65"/>
      <c r="E673" s="65"/>
      <c r="F673" s="65"/>
      <c r="G673" s="65"/>
      <c r="H673" s="65"/>
      <c r="I673" s="65"/>
      <c r="J673" s="108"/>
      <c r="K673" s="103"/>
      <c r="L673" s="65"/>
      <c r="M673" s="65"/>
    </row>
    <row r="674">
      <c r="A674" s="61"/>
      <c r="B674" s="61"/>
      <c r="C674" s="61"/>
      <c r="D674" s="61"/>
      <c r="E674" s="61"/>
      <c r="F674" s="61"/>
      <c r="G674" s="61"/>
      <c r="H674" s="61"/>
      <c r="I674" s="61"/>
      <c r="J674" s="107"/>
      <c r="K674" s="100"/>
      <c r="L674" s="61"/>
      <c r="M674" s="61"/>
    </row>
    <row r="675">
      <c r="A675" s="65"/>
      <c r="B675" s="65"/>
      <c r="C675" s="65"/>
      <c r="D675" s="65"/>
      <c r="E675" s="65"/>
      <c r="F675" s="65"/>
      <c r="G675" s="65"/>
      <c r="H675" s="65"/>
      <c r="I675" s="65"/>
      <c r="J675" s="108"/>
      <c r="K675" s="103"/>
      <c r="L675" s="65"/>
      <c r="M675" s="65"/>
    </row>
    <row r="676">
      <c r="A676" s="61"/>
      <c r="B676" s="61"/>
      <c r="C676" s="61"/>
      <c r="D676" s="61"/>
      <c r="E676" s="61"/>
      <c r="F676" s="61"/>
      <c r="G676" s="61"/>
      <c r="H676" s="61"/>
      <c r="I676" s="61"/>
      <c r="J676" s="107"/>
      <c r="K676" s="100"/>
      <c r="L676" s="61"/>
      <c r="M676" s="61"/>
    </row>
    <row r="677">
      <c r="A677" s="65"/>
      <c r="B677" s="65"/>
      <c r="C677" s="65"/>
      <c r="D677" s="65"/>
      <c r="E677" s="65"/>
      <c r="F677" s="65"/>
      <c r="G677" s="65"/>
      <c r="H677" s="65"/>
      <c r="I677" s="65"/>
      <c r="J677" s="108"/>
      <c r="K677" s="103"/>
      <c r="L677" s="65"/>
      <c r="M677" s="65"/>
    </row>
    <row r="678">
      <c r="A678" s="61"/>
      <c r="B678" s="61"/>
      <c r="C678" s="61"/>
      <c r="D678" s="61"/>
      <c r="E678" s="61"/>
      <c r="F678" s="61"/>
      <c r="G678" s="61"/>
      <c r="H678" s="61"/>
      <c r="I678" s="61"/>
      <c r="J678" s="107"/>
      <c r="K678" s="100"/>
      <c r="L678" s="61"/>
      <c r="M678" s="61"/>
    </row>
    <row r="679">
      <c r="A679" s="65"/>
      <c r="B679" s="65"/>
      <c r="C679" s="65"/>
      <c r="D679" s="65"/>
      <c r="E679" s="65"/>
      <c r="F679" s="65"/>
      <c r="G679" s="65"/>
      <c r="H679" s="65"/>
      <c r="I679" s="65"/>
      <c r="J679" s="108"/>
      <c r="K679" s="103"/>
      <c r="L679" s="65"/>
      <c r="M679" s="65"/>
    </row>
    <row r="680">
      <c r="A680" s="61"/>
      <c r="B680" s="61"/>
      <c r="C680" s="61"/>
      <c r="D680" s="61"/>
      <c r="E680" s="61"/>
      <c r="F680" s="61"/>
      <c r="G680" s="61"/>
      <c r="H680" s="61"/>
      <c r="I680" s="61"/>
      <c r="J680" s="107"/>
      <c r="K680" s="100"/>
      <c r="L680" s="61"/>
      <c r="M680" s="61"/>
    </row>
    <row r="681">
      <c r="A681" s="65"/>
      <c r="B681" s="65"/>
      <c r="C681" s="65"/>
      <c r="D681" s="65"/>
      <c r="E681" s="65"/>
      <c r="F681" s="65"/>
      <c r="G681" s="65"/>
      <c r="H681" s="65"/>
      <c r="I681" s="65"/>
      <c r="J681" s="108"/>
      <c r="K681" s="103"/>
      <c r="L681" s="65"/>
      <c r="M681" s="65"/>
    </row>
    <row r="682">
      <c r="A682" s="61"/>
      <c r="B682" s="61"/>
      <c r="C682" s="61"/>
      <c r="D682" s="61"/>
      <c r="E682" s="61"/>
      <c r="F682" s="61"/>
      <c r="G682" s="61"/>
      <c r="H682" s="61"/>
      <c r="I682" s="61"/>
      <c r="J682" s="107"/>
      <c r="K682" s="100"/>
      <c r="L682" s="61"/>
      <c r="M682" s="61"/>
    </row>
    <row r="683">
      <c r="A683" s="65"/>
      <c r="B683" s="65"/>
      <c r="C683" s="65"/>
      <c r="D683" s="65"/>
      <c r="E683" s="65"/>
      <c r="F683" s="65"/>
      <c r="G683" s="65"/>
      <c r="H683" s="65"/>
      <c r="I683" s="65"/>
      <c r="J683" s="108"/>
      <c r="K683" s="103"/>
      <c r="L683" s="65"/>
      <c r="M683" s="65"/>
    </row>
    <row r="684">
      <c r="A684" s="61"/>
      <c r="B684" s="61"/>
      <c r="C684" s="61"/>
      <c r="D684" s="61"/>
      <c r="E684" s="61"/>
      <c r="F684" s="61"/>
      <c r="G684" s="61"/>
      <c r="H684" s="61"/>
      <c r="I684" s="61"/>
      <c r="J684" s="107"/>
      <c r="K684" s="100"/>
      <c r="L684" s="61"/>
      <c r="M684" s="61"/>
    </row>
    <row r="685">
      <c r="A685" s="65"/>
      <c r="B685" s="65"/>
      <c r="C685" s="65"/>
      <c r="D685" s="65"/>
      <c r="E685" s="65"/>
      <c r="F685" s="65"/>
      <c r="G685" s="65"/>
      <c r="H685" s="65"/>
      <c r="I685" s="65"/>
      <c r="J685" s="108"/>
      <c r="K685" s="103"/>
      <c r="L685" s="65"/>
      <c r="M685" s="65"/>
    </row>
    <row r="686">
      <c r="A686" s="61"/>
      <c r="B686" s="61"/>
      <c r="C686" s="61"/>
      <c r="D686" s="61"/>
      <c r="E686" s="61"/>
      <c r="F686" s="61"/>
      <c r="G686" s="61"/>
      <c r="H686" s="61"/>
      <c r="I686" s="61"/>
      <c r="J686" s="107"/>
      <c r="K686" s="100"/>
      <c r="L686" s="61"/>
      <c r="M686" s="61"/>
    </row>
    <row r="687">
      <c r="A687" s="65"/>
      <c r="B687" s="65"/>
      <c r="C687" s="65"/>
      <c r="D687" s="65"/>
      <c r="E687" s="65"/>
      <c r="F687" s="65"/>
      <c r="G687" s="65"/>
      <c r="H687" s="65"/>
      <c r="I687" s="65"/>
      <c r="J687" s="108"/>
      <c r="K687" s="103"/>
      <c r="L687" s="65"/>
      <c r="M687" s="65"/>
    </row>
    <row r="688">
      <c r="A688" s="61"/>
      <c r="B688" s="61"/>
      <c r="C688" s="61"/>
      <c r="D688" s="61"/>
      <c r="E688" s="61"/>
      <c r="F688" s="61"/>
      <c r="G688" s="61"/>
      <c r="H688" s="61"/>
      <c r="I688" s="61"/>
      <c r="J688" s="107"/>
      <c r="K688" s="100"/>
      <c r="L688" s="61"/>
      <c r="M688" s="61"/>
    </row>
    <row r="689">
      <c r="A689" s="65"/>
      <c r="B689" s="65"/>
      <c r="C689" s="65"/>
      <c r="D689" s="65"/>
      <c r="E689" s="65"/>
      <c r="F689" s="65"/>
      <c r="G689" s="65"/>
      <c r="H689" s="65"/>
      <c r="I689" s="65"/>
      <c r="J689" s="108"/>
      <c r="K689" s="103"/>
      <c r="L689" s="65"/>
      <c r="M689" s="65"/>
    </row>
    <row r="690">
      <c r="A690" s="61"/>
      <c r="B690" s="61"/>
      <c r="C690" s="61"/>
      <c r="D690" s="61"/>
      <c r="E690" s="61"/>
      <c r="F690" s="61"/>
      <c r="G690" s="61"/>
      <c r="H690" s="61"/>
      <c r="I690" s="61"/>
      <c r="J690" s="107"/>
      <c r="K690" s="100"/>
      <c r="L690" s="61"/>
      <c r="M690" s="61"/>
    </row>
    <row r="691">
      <c r="A691" s="65"/>
      <c r="B691" s="65"/>
      <c r="C691" s="65"/>
      <c r="D691" s="65"/>
      <c r="E691" s="65"/>
      <c r="F691" s="65"/>
      <c r="G691" s="65"/>
      <c r="H691" s="65"/>
      <c r="I691" s="65"/>
      <c r="J691" s="108"/>
      <c r="K691" s="103"/>
      <c r="L691" s="65"/>
      <c r="M691" s="65"/>
    </row>
    <row r="692">
      <c r="A692" s="61"/>
      <c r="B692" s="61"/>
      <c r="C692" s="61"/>
      <c r="D692" s="61"/>
      <c r="E692" s="61"/>
      <c r="F692" s="61"/>
      <c r="G692" s="61"/>
      <c r="H692" s="61"/>
      <c r="I692" s="61"/>
      <c r="J692" s="107"/>
      <c r="K692" s="100"/>
      <c r="L692" s="61"/>
      <c r="M692" s="61"/>
    </row>
    <row r="693">
      <c r="A693" s="65"/>
      <c r="B693" s="65"/>
      <c r="C693" s="65"/>
      <c r="D693" s="65"/>
      <c r="E693" s="65"/>
      <c r="F693" s="65"/>
      <c r="G693" s="65"/>
      <c r="H693" s="65"/>
      <c r="I693" s="65"/>
      <c r="J693" s="108"/>
      <c r="K693" s="103"/>
      <c r="L693" s="65"/>
      <c r="M693" s="65"/>
    </row>
    <row r="694">
      <c r="A694" s="61"/>
      <c r="B694" s="61"/>
      <c r="C694" s="61"/>
      <c r="D694" s="61"/>
      <c r="E694" s="61"/>
      <c r="F694" s="61"/>
      <c r="G694" s="61"/>
      <c r="H694" s="61"/>
      <c r="I694" s="61"/>
      <c r="J694" s="107"/>
      <c r="K694" s="100"/>
      <c r="L694" s="61"/>
      <c r="M694" s="61"/>
    </row>
    <row r="695">
      <c r="A695" s="65"/>
      <c r="B695" s="65"/>
      <c r="C695" s="65"/>
      <c r="D695" s="65"/>
      <c r="E695" s="65"/>
      <c r="F695" s="65"/>
      <c r="G695" s="65"/>
      <c r="H695" s="65"/>
      <c r="I695" s="65"/>
      <c r="J695" s="108"/>
      <c r="K695" s="103"/>
      <c r="L695" s="65"/>
      <c r="M695" s="65"/>
    </row>
    <row r="696">
      <c r="A696" s="61"/>
      <c r="B696" s="61"/>
      <c r="C696" s="61"/>
      <c r="D696" s="61"/>
      <c r="E696" s="61"/>
      <c r="F696" s="61"/>
      <c r="G696" s="61"/>
      <c r="H696" s="61"/>
      <c r="I696" s="61"/>
      <c r="J696" s="107"/>
      <c r="K696" s="100"/>
      <c r="L696" s="61"/>
      <c r="M696" s="61"/>
    </row>
    <row r="697">
      <c r="A697" s="65"/>
      <c r="B697" s="65"/>
      <c r="C697" s="65"/>
      <c r="D697" s="65"/>
      <c r="E697" s="65"/>
      <c r="F697" s="65"/>
      <c r="G697" s="65"/>
      <c r="H697" s="65"/>
      <c r="I697" s="65"/>
      <c r="J697" s="108"/>
      <c r="K697" s="103"/>
      <c r="L697" s="65"/>
      <c r="M697" s="65"/>
    </row>
    <row r="698">
      <c r="A698" s="61"/>
      <c r="B698" s="61"/>
      <c r="C698" s="61"/>
      <c r="D698" s="61"/>
      <c r="E698" s="61"/>
      <c r="F698" s="61"/>
      <c r="G698" s="61"/>
      <c r="H698" s="61"/>
      <c r="I698" s="61"/>
      <c r="J698" s="107"/>
      <c r="K698" s="100"/>
      <c r="L698" s="61"/>
      <c r="M698" s="61"/>
    </row>
    <row r="699">
      <c r="A699" s="65"/>
      <c r="B699" s="65"/>
      <c r="C699" s="65"/>
      <c r="D699" s="65"/>
      <c r="E699" s="65"/>
      <c r="F699" s="65"/>
      <c r="G699" s="65"/>
      <c r="H699" s="65"/>
      <c r="I699" s="65"/>
      <c r="J699" s="108"/>
      <c r="K699" s="103"/>
      <c r="L699" s="65"/>
      <c r="M699" s="65"/>
    </row>
    <row r="700">
      <c r="A700" s="61"/>
      <c r="B700" s="61"/>
      <c r="C700" s="61"/>
      <c r="D700" s="61"/>
      <c r="E700" s="61"/>
      <c r="F700" s="61"/>
      <c r="G700" s="61"/>
      <c r="H700" s="61"/>
      <c r="I700" s="61"/>
      <c r="J700" s="107"/>
      <c r="K700" s="100"/>
      <c r="L700" s="61"/>
      <c r="M700" s="61"/>
    </row>
    <row r="701">
      <c r="A701" s="65"/>
      <c r="B701" s="65"/>
      <c r="C701" s="65"/>
      <c r="D701" s="65"/>
      <c r="E701" s="65"/>
      <c r="F701" s="65"/>
      <c r="G701" s="65"/>
      <c r="H701" s="65"/>
      <c r="I701" s="65"/>
      <c r="J701" s="108"/>
      <c r="K701" s="103"/>
      <c r="L701" s="65"/>
      <c r="M701" s="65"/>
    </row>
    <row r="702">
      <c r="A702" s="61"/>
      <c r="B702" s="61"/>
      <c r="C702" s="61"/>
      <c r="D702" s="61"/>
      <c r="E702" s="61"/>
      <c r="F702" s="61"/>
      <c r="G702" s="61"/>
      <c r="H702" s="61"/>
      <c r="I702" s="61"/>
      <c r="J702" s="107"/>
      <c r="K702" s="100"/>
      <c r="L702" s="61"/>
      <c r="M702" s="61"/>
    </row>
    <row r="703">
      <c r="A703" s="65"/>
      <c r="B703" s="65"/>
      <c r="C703" s="65"/>
      <c r="D703" s="65"/>
      <c r="E703" s="65"/>
      <c r="F703" s="65"/>
      <c r="G703" s="65"/>
      <c r="H703" s="65"/>
      <c r="I703" s="65"/>
      <c r="J703" s="108"/>
      <c r="K703" s="103"/>
      <c r="L703" s="65"/>
      <c r="M703" s="65"/>
    </row>
    <row r="704">
      <c r="A704" s="61"/>
      <c r="B704" s="61"/>
      <c r="C704" s="61"/>
      <c r="D704" s="61"/>
      <c r="E704" s="61"/>
      <c r="F704" s="61"/>
      <c r="G704" s="61"/>
      <c r="H704" s="61"/>
      <c r="I704" s="61"/>
      <c r="J704" s="107"/>
      <c r="K704" s="100"/>
      <c r="L704" s="61"/>
      <c r="M704" s="61"/>
    </row>
    <row r="705">
      <c r="A705" s="65"/>
      <c r="B705" s="65"/>
      <c r="C705" s="65"/>
      <c r="D705" s="65"/>
      <c r="E705" s="65"/>
      <c r="F705" s="65"/>
      <c r="G705" s="65"/>
      <c r="H705" s="65"/>
      <c r="I705" s="65"/>
      <c r="J705" s="108"/>
      <c r="K705" s="103"/>
      <c r="L705" s="65"/>
      <c r="M705" s="65"/>
    </row>
    <row r="706">
      <c r="A706" s="61"/>
      <c r="B706" s="61"/>
      <c r="C706" s="61"/>
      <c r="D706" s="61"/>
      <c r="E706" s="61"/>
      <c r="F706" s="61"/>
      <c r="G706" s="61"/>
      <c r="H706" s="61"/>
      <c r="I706" s="61"/>
      <c r="J706" s="107"/>
      <c r="K706" s="100"/>
      <c r="L706" s="61"/>
      <c r="M706" s="61"/>
    </row>
    <row r="707">
      <c r="A707" s="65"/>
      <c r="B707" s="65"/>
      <c r="C707" s="65"/>
      <c r="D707" s="65"/>
      <c r="E707" s="65"/>
      <c r="F707" s="65"/>
      <c r="G707" s="65"/>
      <c r="H707" s="65"/>
      <c r="I707" s="65"/>
      <c r="J707" s="108"/>
      <c r="K707" s="103"/>
      <c r="L707" s="65"/>
      <c r="M707" s="65"/>
    </row>
    <row r="708">
      <c r="A708" s="61"/>
      <c r="B708" s="61"/>
      <c r="C708" s="61"/>
      <c r="D708" s="61"/>
      <c r="E708" s="61"/>
      <c r="F708" s="61"/>
      <c r="G708" s="61"/>
      <c r="H708" s="61"/>
      <c r="I708" s="61"/>
      <c r="J708" s="107"/>
      <c r="K708" s="100"/>
      <c r="L708" s="61"/>
      <c r="M708" s="61"/>
    </row>
    <row r="709">
      <c r="A709" s="65"/>
      <c r="B709" s="65"/>
      <c r="C709" s="65"/>
      <c r="D709" s="65"/>
      <c r="E709" s="65"/>
      <c r="F709" s="65"/>
      <c r="G709" s="65"/>
      <c r="H709" s="65"/>
      <c r="I709" s="65"/>
      <c r="J709" s="108"/>
      <c r="K709" s="103"/>
      <c r="L709" s="65"/>
      <c r="M709" s="65"/>
    </row>
    <row r="710">
      <c r="A710" s="61"/>
      <c r="B710" s="61"/>
      <c r="C710" s="61"/>
      <c r="D710" s="61"/>
      <c r="E710" s="61"/>
      <c r="F710" s="61"/>
      <c r="G710" s="61"/>
      <c r="H710" s="61"/>
      <c r="I710" s="61"/>
      <c r="J710" s="107"/>
      <c r="K710" s="100"/>
      <c r="L710" s="61"/>
      <c r="M710" s="61"/>
    </row>
    <row r="711">
      <c r="A711" s="65"/>
      <c r="B711" s="65"/>
      <c r="C711" s="65"/>
      <c r="D711" s="65"/>
      <c r="E711" s="65"/>
      <c r="F711" s="65"/>
      <c r="G711" s="65"/>
      <c r="H711" s="65"/>
      <c r="I711" s="65"/>
      <c r="J711" s="108"/>
      <c r="K711" s="103"/>
      <c r="L711" s="65"/>
      <c r="M711" s="65"/>
    </row>
    <row r="712">
      <c r="A712" s="61"/>
      <c r="B712" s="61"/>
      <c r="C712" s="61"/>
      <c r="D712" s="61"/>
      <c r="E712" s="61"/>
      <c r="F712" s="61"/>
      <c r="G712" s="61"/>
      <c r="H712" s="61"/>
      <c r="I712" s="61"/>
      <c r="J712" s="107"/>
      <c r="K712" s="100"/>
      <c r="L712" s="61"/>
      <c r="M712" s="61"/>
    </row>
    <row r="713">
      <c r="A713" s="65"/>
      <c r="B713" s="65"/>
      <c r="C713" s="65"/>
      <c r="D713" s="65"/>
      <c r="E713" s="65"/>
      <c r="F713" s="65"/>
      <c r="G713" s="65"/>
      <c r="H713" s="65"/>
      <c r="I713" s="65"/>
      <c r="J713" s="108"/>
      <c r="K713" s="103"/>
      <c r="L713" s="65"/>
      <c r="M713" s="65"/>
    </row>
    <row r="714">
      <c r="A714" s="61"/>
      <c r="B714" s="61"/>
      <c r="C714" s="61"/>
      <c r="D714" s="61"/>
      <c r="E714" s="61"/>
      <c r="F714" s="61"/>
      <c r="G714" s="61"/>
      <c r="H714" s="61"/>
      <c r="I714" s="61"/>
      <c r="J714" s="107"/>
      <c r="K714" s="100"/>
      <c r="L714" s="61"/>
      <c r="M714" s="61"/>
    </row>
    <row r="715">
      <c r="A715" s="65"/>
      <c r="B715" s="65"/>
      <c r="C715" s="65"/>
      <c r="D715" s="65"/>
      <c r="E715" s="65"/>
      <c r="F715" s="65"/>
      <c r="G715" s="65"/>
      <c r="H715" s="65"/>
      <c r="I715" s="65"/>
      <c r="J715" s="108"/>
      <c r="K715" s="103"/>
      <c r="L715" s="65"/>
      <c r="M715" s="65"/>
    </row>
    <row r="716">
      <c r="A716" s="61"/>
      <c r="B716" s="61"/>
      <c r="C716" s="61"/>
      <c r="D716" s="61"/>
      <c r="E716" s="61"/>
      <c r="F716" s="61"/>
      <c r="G716" s="61"/>
      <c r="H716" s="61"/>
      <c r="I716" s="61"/>
      <c r="J716" s="107"/>
      <c r="K716" s="100"/>
      <c r="L716" s="61"/>
      <c r="M716" s="61"/>
    </row>
    <row r="717">
      <c r="A717" s="65"/>
      <c r="B717" s="65"/>
      <c r="C717" s="65"/>
      <c r="D717" s="65"/>
      <c r="E717" s="65"/>
      <c r="F717" s="65"/>
      <c r="G717" s="65"/>
      <c r="H717" s="65"/>
      <c r="I717" s="65"/>
      <c r="J717" s="108"/>
      <c r="K717" s="103"/>
      <c r="L717" s="65"/>
      <c r="M717" s="65"/>
    </row>
    <row r="718">
      <c r="A718" s="61"/>
      <c r="B718" s="61"/>
      <c r="C718" s="61"/>
      <c r="D718" s="61"/>
      <c r="E718" s="61"/>
      <c r="F718" s="61"/>
      <c r="G718" s="61"/>
      <c r="H718" s="61"/>
      <c r="I718" s="61"/>
      <c r="J718" s="107"/>
      <c r="K718" s="100"/>
      <c r="L718" s="61"/>
      <c r="M718" s="61"/>
    </row>
    <row r="719">
      <c r="A719" s="65"/>
      <c r="B719" s="65"/>
      <c r="C719" s="65"/>
      <c r="D719" s="65"/>
      <c r="E719" s="65"/>
      <c r="F719" s="65"/>
      <c r="G719" s="65"/>
      <c r="H719" s="65"/>
      <c r="I719" s="65"/>
      <c r="J719" s="108"/>
      <c r="K719" s="103"/>
      <c r="L719" s="65"/>
      <c r="M719" s="65"/>
    </row>
    <row r="720">
      <c r="A720" s="61"/>
      <c r="B720" s="61"/>
      <c r="C720" s="61"/>
      <c r="D720" s="61"/>
      <c r="E720" s="61"/>
      <c r="F720" s="61"/>
      <c r="G720" s="61"/>
      <c r="H720" s="61"/>
      <c r="I720" s="61"/>
      <c r="J720" s="107"/>
      <c r="K720" s="100"/>
      <c r="L720" s="61"/>
      <c r="M720" s="61"/>
    </row>
    <row r="721">
      <c r="A721" s="65"/>
      <c r="B721" s="65"/>
      <c r="C721" s="65"/>
      <c r="D721" s="65"/>
      <c r="E721" s="65"/>
      <c r="F721" s="65"/>
      <c r="G721" s="65"/>
      <c r="H721" s="65"/>
      <c r="I721" s="65"/>
      <c r="J721" s="108"/>
      <c r="K721" s="103"/>
      <c r="L721" s="65"/>
      <c r="M721" s="65"/>
    </row>
    <row r="722">
      <c r="A722" s="61"/>
      <c r="B722" s="61"/>
      <c r="C722" s="61"/>
      <c r="D722" s="61"/>
      <c r="E722" s="61"/>
      <c r="F722" s="61"/>
      <c r="G722" s="61"/>
      <c r="H722" s="61"/>
      <c r="I722" s="61"/>
      <c r="J722" s="107"/>
      <c r="K722" s="100"/>
      <c r="L722" s="61"/>
      <c r="M722" s="61"/>
    </row>
    <row r="723">
      <c r="A723" s="65"/>
      <c r="B723" s="65"/>
      <c r="C723" s="65"/>
      <c r="D723" s="65"/>
      <c r="E723" s="65"/>
      <c r="F723" s="65"/>
      <c r="G723" s="65"/>
      <c r="H723" s="65"/>
      <c r="I723" s="65"/>
      <c r="J723" s="108"/>
      <c r="K723" s="103"/>
      <c r="L723" s="65"/>
      <c r="M723" s="65"/>
    </row>
    <row r="724">
      <c r="A724" s="61"/>
      <c r="B724" s="61"/>
      <c r="C724" s="61"/>
      <c r="D724" s="61"/>
      <c r="E724" s="61"/>
      <c r="F724" s="61"/>
      <c r="G724" s="61"/>
      <c r="H724" s="61"/>
      <c r="I724" s="61"/>
      <c r="J724" s="107"/>
      <c r="K724" s="100"/>
      <c r="L724" s="61"/>
      <c r="M724" s="61"/>
    </row>
    <row r="725">
      <c r="A725" s="65"/>
      <c r="B725" s="65"/>
      <c r="C725" s="65"/>
      <c r="D725" s="65"/>
      <c r="E725" s="65"/>
      <c r="F725" s="65"/>
      <c r="G725" s="65"/>
      <c r="H725" s="65"/>
      <c r="I725" s="65"/>
      <c r="J725" s="108"/>
      <c r="K725" s="103"/>
      <c r="L725" s="65"/>
      <c r="M725" s="65"/>
    </row>
    <row r="726">
      <c r="A726" s="61"/>
      <c r="B726" s="61"/>
      <c r="C726" s="61"/>
      <c r="D726" s="61"/>
      <c r="E726" s="61"/>
      <c r="F726" s="61"/>
      <c r="G726" s="61"/>
      <c r="H726" s="61"/>
      <c r="I726" s="61"/>
      <c r="J726" s="107"/>
      <c r="K726" s="100"/>
      <c r="L726" s="61"/>
      <c r="M726" s="61"/>
    </row>
    <row r="727">
      <c r="A727" s="65"/>
      <c r="B727" s="65"/>
      <c r="C727" s="65"/>
      <c r="D727" s="65"/>
      <c r="E727" s="65"/>
      <c r="F727" s="65"/>
      <c r="G727" s="65"/>
      <c r="H727" s="65"/>
      <c r="I727" s="65"/>
      <c r="J727" s="108"/>
      <c r="K727" s="103"/>
      <c r="L727" s="65"/>
      <c r="M727" s="65"/>
    </row>
    <row r="728">
      <c r="A728" s="61"/>
      <c r="B728" s="61"/>
      <c r="C728" s="61"/>
      <c r="D728" s="61"/>
      <c r="E728" s="61"/>
      <c r="F728" s="61"/>
      <c r="G728" s="61"/>
      <c r="H728" s="61"/>
      <c r="I728" s="61"/>
      <c r="J728" s="107"/>
      <c r="K728" s="100"/>
      <c r="L728" s="61"/>
      <c r="M728" s="61"/>
    </row>
    <row r="729">
      <c r="A729" s="65"/>
      <c r="B729" s="65"/>
      <c r="C729" s="65"/>
      <c r="D729" s="65"/>
      <c r="E729" s="65"/>
      <c r="F729" s="65"/>
      <c r="G729" s="65"/>
      <c r="H729" s="65"/>
      <c r="I729" s="65"/>
      <c r="J729" s="108"/>
      <c r="K729" s="103"/>
      <c r="L729" s="65"/>
      <c r="M729" s="65"/>
    </row>
    <row r="730">
      <c r="A730" s="61"/>
      <c r="B730" s="61"/>
      <c r="C730" s="61"/>
      <c r="D730" s="61"/>
      <c r="E730" s="61"/>
      <c r="F730" s="61"/>
      <c r="G730" s="61"/>
      <c r="H730" s="61"/>
      <c r="I730" s="61"/>
      <c r="J730" s="107"/>
      <c r="K730" s="100"/>
      <c r="L730" s="61"/>
      <c r="M730" s="61"/>
    </row>
    <row r="731">
      <c r="A731" s="65"/>
      <c r="B731" s="65"/>
      <c r="C731" s="65"/>
      <c r="D731" s="65"/>
      <c r="E731" s="65"/>
      <c r="F731" s="65"/>
      <c r="G731" s="65"/>
      <c r="H731" s="65"/>
      <c r="I731" s="65"/>
      <c r="J731" s="108"/>
      <c r="K731" s="103"/>
      <c r="L731" s="65"/>
      <c r="M731" s="65"/>
    </row>
    <row r="732">
      <c r="A732" s="61"/>
      <c r="B732" s="61"/>
      <c r="C732" s="61"/>
      <c r="D732" s="61"/>
      <c r="E732" s="61"/>
      <c r="F732" s="61"/>
      <c r="G732" s="61"/>
      <c r="H732" s="61"/>
      <c r="I732" s="61"/>
      <c r="J732" s="107"/>
      <c r="K732" s="100"/>
      <c r="L732" s="61"/>
      <c r="M732" s="61"/>
    </row>
    <row r="733">
      <c r="A733" s="65"/>
      <c r="B733" s="65"/>
      <c r="C733" s="65"/>
      <c r="D733" s="65"/>
      <c r="E733" s="65"/>
      <c r="F733" s="65"/>
      <c r="G733" s="65"/>
      <c r="H733" s="65"/>
      <c r="I733" s="65"/>
      <c r="J733" s="108"/>
      <c r="K733" s="103"/>
      <c r="L733" s="65"/>
      <c r="M733" s="65"/>
    </row>
    <row r="734">
      <c r="A734" s="61"/>
      <c r="B734" s="61"/>
      <c r="C734" s="61"/>
      <c r="D734" s="61"/>
      <c r="E734" s="61"/>
      <c r="F734" s="61"/>
      <c r="G734" s="61"/>
      <c r="H734" s="61"/>
      <c r="I734" s="61"/>
      <c r="J734" s="107"/>
      <c r="K734" s="100"/>
      <c r="L734" s="61"/>
      <c r="M734" s="61"/>
    </row>
    <row r="735">
      <c r="A735" s="65"/>
      <c r="B735" s="65"/>
      <c r="C735" s="65"/>
      <c r="D735" s="65"/>
      <c r="E735" s="65"/>
      <c r="F735" s="65"/>
      <c r="G735" s="65"/>
      <c r="H735" s="65"/>
      <c r="I735" s="65"/>
      <c r="J735" s="108"/>
      <c r="K735" s="103"/>
      <c r="L735" s="65"/>
      <c r="M735" s="65"/>
    </row>
    <row r="736">
      <c r="A736" s="61"/>
      <c r="B736" s="61"/>
      <c r="C736" s="61"/>
      <c r="D736" s="61"/>
      <c r="E736" s="61"/>
      <c r="F736" s="61"/>
      <c r="G736" s="61"/>
      <c r="H736" s="61"/>
      <c r="I736" s="61"/>
      <c r="J736" s="107"/>
      <c r="K736" s="100"/>
      <c r="L736" s="61"/>
      <c r="M736" s="61"/>
    </row>
    <row r="737">
      <c r="A737" s="65"/>
      <c r="B737" s="65"/>
      <c r="C737" s="65"/>
      <c r="D737" s="65"/>
      <c r="E737" s="65"/>
      <c r="F737" s="65"/>
      <c r="G737" s="65"/>
      <c r="H737" s="65"/>
      <c r="I737" s="65"/>
      <c r="J737" s="108"/>
      <c r="K737" s="103"/>
      <c r="L737" s="65"/>
      <c r="M737" s="65"/>
    </row>
    <row r="738">
      <c r="A738" s="61"/>
      <c r="B738" s="61"/>
      <c r="C738" s="61"/>
      <c r="D738" s="61"/>
      <c r="E738" s="61"/>
      <c r="F738" s="61"/>
      <c r="G738" s="61"/>
      <c r="H738" s="61"/>
      <c r="I738" s="61"/>
      <c r="J738" s="107"/>
      <c r="K738" s="100"/>
      <c r="L738" s="61"/>
      <c r="M738" s="61"/>
    </row>
    <row r="739">
      <c r="A739" s="65"/>
      <c r="B739" s="65"/>
      <c r="C739" s="65"/>
      <c r="D739" s="65"/>
      <c r="E739" s="65"/>
      <c r="F739" s="65"/>
      <c r="G739" s="65"/>
      <c r="H739" s="65"/>
      <c r="I739" s="65"/>
      <c r="J739" s="108"/>
      <c r="K739" s="103"/>
      <c r="L739" s="65"/>
      <c r="M739" s="65"/>
    </row>
    <row r="740">
      <c r="A740" s="61"/>
      <c r="B740" s="61"/>
      <c r="C740" s="61"/>
      <c r="D740" s="61"/>
      <c r="E740" s="61"/>
      <c r="F740" s="61"/>
      <c r="G740" s="61"/>
      <c r="H740" s="61"/>
      <c r="I740" s="61"/>
      <c r="J740" s="107"/>
      <c r="K740" s="100"/>
      <c r="L740" s="61"/>
      <c r="M740" s="61"/>
    </row>
    <row r="741">
      <c r="A741" s="65"/>
      <c r="B741" s="65"/>
      <c r="C741" s="65"/>
      <c r="D741" s="65"/>
      <c r="E741" s="65"/>
      <c r="F741" s="65"/>
      <c r="G741" s="65"/>
      <c r="H741" s="65"/>
      <c r="I741" s="65"/>
      <c r="J741" s="108"/>
      <c r="K741" s="103"/>
      <c r="L741" s="65"/>
      <c r="M741" s="65"/>
    </row>
    <row r="742">
      <c r="A742" s="61"/>
      <c r="B742" s="61"/>
      <c r="C742" s="61"/>
      <c r="D742" s="61"/>
      <c r="E742" s="61"/>
      <c r="F742" s="61"/>
      <c r="G742" s="61"/>
      <c r="H742" s="61"/>
      <c r="I742" s="61"/>
      <c r="J742" s="107"/>
      <c r="K742" s="100"/>
      <c r="L742" s="61"/>
      <c r="M742" s="61"/>
    </row>
    <row r="743">
      <c r="A743" s="65"/>
      <c r="B743" s="65"/>
      <c r="C743" s="65"/>
      <c r="D743" s="65"/>
      <c r="E743" s="65"/>
      <c r="F743" s="65"/>
      <c r="G743" s="65"/>
      <c r="H743" s="65"/>
      <c r="I743" s="65"/>
      <c r="J743" s="108"/>
      <c r="K743" s="103"/>
      <c r="L743" s="65"/>
      <c r="M743" s="65"/>
    </row>
    <row r="744">
      <c r="A744" s="61"/>
      <c r="B744" s="61"/>
      <c r="C744" s="61"/>
      <c r="D744" s="61"/>
      <c r="E744" s="61"/>
      <c r="F744" s="61"/>
      <c r="G744" s="61"/>
      <c r="H744" s="61"/>
      <c r="I744" s="61"/>
      <c r="J744" s="107"/>
      <c r="K744" s="100"/>
      <c r="L744" s="61"/>
      <c r="M744" s="61"/>
    </row>
    <row r="745">
      <c r="A745" s="65"/>
      <c r="B745" s="65"/>
      <c r="C745" s="65"/>
      <c r="D745" s="65"/>
      <c r="E745" s="65"/>
      <c r="F745" s="65"/>
      <c r="G745" s="65"/>
      <c r="H745" s="65"/>
      <c r="I745" s="65"/>
      <c r="J745" s="108"/>
      <c r="K745" s="103"/>
      <c r="L745" s="65"/>
      <c r="M745" s="65"/>
    </row>
    <row r="746">
      <c r="A746" s="61"/>
      <c r="B746" s="61"/>
      <c r="C746" s="61"/>
      <c r="D746" s="61"/>
      <c r="E746" s="61"/>
      <c r="F746" s="61"/>
      <c r="G746" s="61"/>
      <c r="H746" s="61"/>
      <c r="I746" s="61"/>
      <c r="J746" s="107"/>
      <c r="K746" s="100"/>
      <c r="L746" s="61"/>
      <c r="M746" s="61"/>
    </row>
    <row r="747">
      <c r="A747" s="65"/>
      <c r="B747" s="65"/>
      <c r="C747" s="65"/>
      <c r="D747" s="65"/>
      <c r="E747" s="65"/>
      <c r="F747" s="65"/>
      <c r="G747" s="65"/>
      <c r="H747" s="65"/>
      <c r="I747" s="65"/>
      <c r="J747" s="108"/>
      <c r="K747" s="103"/>
      <c r="L747" s="65"/>
      <c r="M747" s="65"/>
    </row>
    <row r="748">
      <c r="A748" s="61"/>
      <c r="B748" s="61"/>
      <c r="C748" s="61"/>
      <c r="D748" s="61"/>
      <c r="E748" s="61"/>
      <c r="F748" s="61"/>
      <c r="G748" s="61"/>
      <c r="H748" s="61"/>
      <c r="I748" s="61"/>
      <c r="J748" s="107"/>
      <c r="K748" s="100"/>
      <c r="L748" s="61"/>
      <c r="M748" s="61"/>
    </row>
    <row r="749">
      <c r="A749" s="65"/>
      <c r="B749" s="65"/>
      <c r="C749" s="65"/>
      <c r="D749" s="65"/>
      <c r="E749" s="65"/>
      <c r="F749" s="65"/>
      <c r="G749" s="65"/>
      <c r="H749" s="65"/>
      <c r="I749" s="65"/>
      <c r="J749" s="108"/>
      <c r="K749" s="103"/>
      <c r="L749" s="65"/>
      <c r="M749" s="65"/>
    </row>
    <row r="750">
      <c r="A750" s="61"/>
      <c r="B750" s="61"/>
      <c r="C750" s="61"/>
      <c r="D750" s="61"/>
      <c r="E750" s="61"/>
      <c r="F750" s="61"/>
      <c r="G750" s="61"/>
      <c r="H750" s="61"/>
      <c r="I750" s="61"/>
      <c r="J750" s="107"/>
      <c r="K750" s="100"/>
      <c r="L750" s="61"/>
      <c r="M750" s="61"/>
    </row>
    <row r="751">
      <c r="A751" s="65"/>
      <c r="B751" s="65"/>
      <c r="C751" s="65"/>
      <c r="D751" s="65"/>
      <c r="E751" s="65"/>
      <c r="F751" s="65"/>
      <c r="G751" s="65"/>
      <c r="H751" s="65"/>
      <c r="I751" s="65"/>
      <c r="J751" s="108"/>
      <c r="K751" s="103"/>
      <c r="L751" s="65"/>
      <c r="M751" s="65"/>
    </row>
    <row r="752">
      <c r="A752" s="61"/>
      <c r="B752" s="61"/>
      <c r="C752" s="61"/>
      <c r="D752" s="61"/>
      <c r="E752" s="61"/>
      <c r="F752" s="61"/>
      <c r="G752" s="61"/>
      <c r="H752" s="61"/>
      <c r="I752" s="61"/>
      <c r="J752" s="107"/>
      <c r="K752" s="100"/>
      <c r="L752" s="61"/>
      <c r="M752" s="61"/>
    </row>
    <row r="753">
      <c r="A753" s="65"/>
      <c r="B753" s="65"/>
      <c r="C753" s="65"/>
      <c r="D753" s="65"/>
      <c r="E753" s="65"/>
      <c r="F753" s="65"/>
      <c r="G753" s="65"/>
      <c r="H753" s="65"/>
      <c r="I753" s="65"/>
      <c r="J753" s="108"/>
      <c r="K753" s="103"/>
      <c r="L753" s="65"/>
      <c r="M753" s="65"/>
    </row>
    <row r="754">
      <c r="A754" s="61"/>
      <c r="B754" s="61"/>
      <c r="C754" s="61"/>
      <c r="D754" s="61"/>
      <c r="E754" s="61"/>
      <c r="F754" s="61"/>
      <c r="G754" s="61"/>
      <c r="H754" s="61"/>
      <c r="I754" s="61"/>
      <c r="J754" s="107"/>
      <c r="K754" s="100"/>
      <c r="L754" s="61"/>
      <c r="M754" s="61"/>
    </row>
    <row r="755">
      <c r="A755" s="65"/>
      <c r="B755" s="65"/>
      <c r="C755" s="65"/>
      <c r="D755" s="65"/>
      <c r="E755" s="65"/>
      <c r="F755" s="65"/>
      <c r="G755" s="65"/>
      <c r="H755" s="65"/>
      <c r="I755" s="65"/>
      <c r="J755" s="108"/>
      <c r="K755" s="103"/>
      <c r="L755" s="65"/>
      <c r="M755" s="65"/>
    </row>
    <row r="756">
      <c r="A756" s="61"/>
      <c r="B756" s="61"/>
      <c r="C756" s="61"/>
      <c r="D756" s="61"/>
      <c r="E756" s="61"/>
      <c r="F756" s="61"/>
      <c r="G756" s="61"/>
      <c r="H756" s="61"/>
      <c r="I756" s="61"/>
      <c r="J756" s="107"/>
      <c r="K756" s="100"/>
      <c r="L756" s="61"/>
      <c r="M756" s="61"/>
    </row>
    <row r="757">
      <c r="A757" s="65"/>
      <c r="B757" s="65"/>
      <c r="C757" s="65"/>
      <c r="D757" s="65"/>
      <c r="E757" s="65"/>
      <c r="F757" s="65"/>
      <c r="G757" s="65"/>
      <c r="H757" s="65"/>
      <c r="I757" s="65"/>
      <c r="J757" s="108"/>
      <c r="K757" s="103"/>
      <c r="L757" s="65"/>
      <c r="M757" s="65"/>
    </row>
    <row r="758">
      <c r="A758" s="61"/>
      <c r="B758" s="61"/>
      <c r="C758" s="61"/>
      <c r="D758" s="61"/>
      <c r="E758" s="61"/>
      <c r="F758" s="61"/>
      <c r="G758" s="61"/>
      <c r="H758" s="61"/>
      <c r="I758" s="61"/>
      <c r="J758" s="107"/>
      <c r="K758" s="100"/>
      <c r="L758" s="61"/>
      <c r="M758" s="61"/>
    </row>
    <row r="759">
      <c r="A759" s="65"/>
      <c r="B759" s="65"/>
      <c r="C759" s="65"/>
      <c r="D759" s="65"/>
      <c r="E759" s="65"/>
      <c r="F759" s="65"/>
      <c r="G759" s="65"/>
      <c r="H759" s="65"/>
      <c r="I759" s="65"/>
      <c r="J759" s="108"/>
      <c r="K759" s="103"/>
      <c r="L759" s="65"/>
      <c r="M759" s="65"/>
    </row>
    <row r="760">
      <c r="A760" s="61"/>
      <c r="B760" s="61"/>
      <c r="C760" s="61"/>
      <c r="D760" s="61"/>
      <c r="E760" s="61"/>
      <c r="F760" s="61"/>
      <c r="G760" s="61"/>
      <c r="H760" s="61"/>
      <c r="I760" s="61"/>
      <c r="J760" s="107"/>
      <c r="K760" s="100"/>
      <c r="L760" s="61"/>
      <c r="M760" s="61"/>
    </row>
    <row r="761">
      <c r="A761" s="65"/>
      <c r="B761" s="65"/>
      <c r="C761" s="65"/>
      <c r="D761" s="65"/>
      <c r="E761" s="65"/>
      <c r="F761" s="65"/>
      <c r="G761" s="65"/>
      <c r="H761" s="65"/>
      <c r="I761" s="65"/>
      <c r="J761" s="108"/>
      <c r="K761" s="103"/>
      <c r="L761" s="65"/>
      <c r="M761" s="65"/>
    </row>
    <row r="762">
      <c r="A762" s="61"/>
      <c r="B762" s="61"/>
      <c r="C762" s="61"/>
      <c r="D762" s="61"/>
      <c r="E762" s="61"/>
      <c r="F762" s="61"/>
      <c r="G762" s="61"/>
      <c r="H762" s="61"/>
      <c r="I762" s="61"/>
      <c r="J762" s="107"/>
      <c r="K762" s="100"/>
      <c r="L762" s="61"/>
      <c r="M762" s="61"/>
    </row>
    <row r="763">
      <c r="A763" s="65"/>
      <c r="B763" s="65"/>
      <c r="C763" s="65"/>
      <c r="D763" s="65"/>
      <c r="E763" s="65"/>
      <c r="F763" s="65"/>
      <c r="G763" s="65"/>
      <c r="H763" s="65"/>
      <c r="I763" s="65"/>
      <c r="J763" s="108"/>
      <c r="K763" s="103"/>
      <c r="L763" s="65"/>
      <c r="M763" s="65"/>
    </row>
    <row r="764">
      <c r="A764" s="61"/>
      <c r="B764" s="61"/>
      <c r="C764" s="61"/>
      <c r="D764" s="61"/>
      <c r="E764" s="61"/>
      <c r="F764" s="61"/>
      <c r="G764" s="61"/>
      <c r="H764" s="61"/>
      <c r="I764" s="61"/>
      <c r="J764" s="107"/>
      <c r="K764" s="100"/>
      <c r="L764" s="61"/>
      <c r="M764" s="61"/>
    </row>
    <row r="765">
      <c r="A765" s="65"/>
      <c r="B765" s="65"/>
      <c r="C765" s="65"/>
      <c r="D765" s="65"/>
      <c r="E765" s="65"/>
      <c r="F765" s="65"/>
      <c r="G765" s="65"/>
      <c r="H765" s="65"/>
      <c r="I765" s="65"/>
      <c r="J765" s="108"/>
      <c r="K765" s="103"/>
      <c r="L765" s="65"/>
      <c r="M765" s="65"/>
    </row>
    <row r="766">
      <c r="A766" s="61"/>
      <c r="B766" s="61"/>
      <c r="C766" s="61"/>
      <c r="D766" s="61"/>
      <c r="E766" s="61"/>
      <c r="F766" s="61"/>
      <c r="G766" s="61"/>
      <c r="H766" s="61"/>
      <c r="I766" s="61"/>
      <c r="J766" s="107"/>
      <c r="K766" s="100"/>
      <c r="L766" s="61"/>
      <c r="M766" s="61"/>
    </row>
    <row r="767">
      <c r="A767" s="65"/>
      <c r="B767" s="65"/>
      <c r="C767" s="65"/>
      <c r="D767" s="65"/>
      <c r="E767" s="65"/>
      <c r="F767" s="65"/>
      <c r="G767" s="65"/>
      <c r="H767" s="65"/>
      <c r="I767" s="65"/>
      <c r="J767" s="108"/>
      <c r="K767" s="103"/>
      <c r="L767" s="65"/>
      <c r="M767" s="65"/>
    </row>
    <row r="768">
      <c r="A768" s="61"/>
      <c r="B768" s="61"/>
      <c r="C768" s="61"/>
      <c r="D768" s="61"/>
      <c r="E768" s="61"/>
      <c r="F768" s="61"/>
      <c r="G768" s="61"/>
      <c r="H768" s="61"/>
      <c r="I768" s="61"/>
      <c r="J768" s="107"/>
      <c r="K768" s="100"/>
      <c r="L768" s="61"/>
      <c r="M768" s="61"/>
    </row>
    <row r="769">
      <c r="A769" s="65"/>
      <c r="B769" s="65"/>
      <c r="C769" s="65"/>
      <c r="D769" s="65"/>
      <c r="E769" s="65"/>
      <c r="F769" s="65"/>
      <c r="G769" s="65"/>
      <c r="H769" s="65"/>
      <c r="I769" s="65"/>
      <c r="J769" s="108"/>
      <c r="K769" s="103"/>
      <c r="L769" s="65"/>
      <c r="M769" s="65"/>
    </row>
    <row r="770">
      <c r="A770" s="61"/>
      <c r="B770" s="61"/>
      <c r="C770" s="61"/>
      <c r="D770" s="61"/>
      <c r="E770" s="61"/>
      <c r="F770" s="61"/>
      <c r="G770" s="61"/>
      <c r="H770" s="61"/>
      <c r="I770" s="61"/>
      <c r="J770" s="107"/>
      <c r="K770" s="100"/>
      <c r="L770" s="61"/>
      <c r="M770" s="61"/>
    </row>
    <row r="771">
      <c r="A771" s="65"/>
      <c r="B771" s="65"/>
      <c r="C771" s="65"/>
      <c r="D771" s="65"/>
      <c r="E771" s="65"/>
      <c r="F771" s="65"/>
      <c r="G771" s="65"/>
      <c r="H771" s="65"/>
      <c r="I771" s="65"/>
      <c r="J771" s="108"/>
      <c r="K771" s="103"/>
      <c r="L771" s="65"/>
      <c r="M771" s="65"/>
    </row>
    <row r="772">
      <c r="A772" s="61"/>
      <c r="B772" s="61"/>
      <c r="C772" s="61"/>
      <c r="D772" s="61"/>
      <c r="E772" s="61"/>
      <c r="F772" s="61"/>
      <c r="G772" s="61"/>
      <c r="H772" s="61"/>
      <c r="I772" s="61"/>
      <c r="J772" s="107"/>
      <c r="K772" s="100"/>
      <c r="L772" s="61"/>
      <c r="M772" s="61"/>
    </row>
    <row r="773">
      <c r="A773" s="65"/>
      <c r="B773" s="65"/>
      <c r="C773" s="65"/>
      <c r="D773" s="65"/>
      <c r="E773" s="65"/>
      <c r="F773" s="65"/>
      <c r="G773" s="65"/>
      <c r="H773" s="65"/>
      <c r="I773" s="65"/>
      <c r="J773" s="108"/>
      <c r="K773" s="103"/>
      <c r="L773" s="65"/>
      <c r="M773" s="65"/>
    </row>
    <row r="774">
      <c r="A774" s="61"/>
      <c r="B774" s="61"/>
      <c r="C774" s="61"/>
      <c r="D774" s="61"/>
      <c r="E774" s="61"/>
      <c r="F774" s="61"/>
      <c r="G774" s="61"/>
      <c r="H774" s="61"/>
      <c r="I774" s="61"/>
      <c r="J774" s="107"/>
      <c r="K774" s="100"/>
      <c r="L774" s="61"/>
      <c r="M774" s="61"/>
    </row>
    <row r="775">
      <c r="A775" s="65"/>
      <c r="B775" s="65"/>
      <c r="C775" s="65"/>
      <c r="D775" s="65"/>
      <c r="E775" s="65"/>
      <c r="F775" s="65"/>
      <c r="G775" s="65"/>
      <c r="H775" s="65"/>
      <c r="I775" s="65"/>
      <c r="J775" s="108"/>
      <c r="K775" s="103"/>
      <c r="L775" s="65"/>
      <c r="M775" s="65"/>
    </row>
    <row r="776">
      <c r="A776" s="61"/>
      <c r="B776" s="61"/>
      <c r="C776" s="61"/>
      <c r="D776" s="61"/>
      <c r="E776" s="61"/>
      <c r="F776" s="61"/>
      <c r="G776" s="61"/>
      <c r="H776" s="61"/>
      <c r="I776" s="61"/>
      <c r="J776" s="107"/>
      <c r="K776" s="100"/>
      <c r="L776" s="61"/>
      <c r="M776" s="61"/>
    </row>
    <row r="777">
      <c r="A777" s="65"/>
      <c r="B777" s="65"/>
      <c r="C777" s="65"/>
      <c r="D777" s="65"/>
      <c r="E777" s="65"/>
      <c r="F777" s="65"/>
      <c r="G777" s="65"/>
      <c r="H777" s="65"/>
      <c r="I777" s="65"/>
      <c r="J777" s="108"/>
      <c r="K777" s="103"/>
      <c r="L777" s="65"/>
      <c r="M777" s="65"/>
    </row>
    <row r="778">
      <c r="A778" s="61"/>
      <c r="B778" s="61"/>
      <c r="C778" s="61"/>
      <c r="D778" s="61"/>
      <c r="E778" s="61"/>
      <c r="F778" s="61"/>
      <c r="G778" s="61"/>
      <c r="H778" s="61"/>
      <c r="I778" s="61"/>
      <c r="J778" s="107"/>
      <c r="K778" s="100"/>
      <c r="L778" s="61"/>
      <c r="M778" s="61"/>
    </row>
    <row r="779">
      <c r="A779" s="65"/>
      <c r="B779" s="65"/>
      <c r="C779" s="65"/>
      <c r="D779" s="65"/>
      <c r="E779" s="65"/>
      <c r="F779" s="65"/>
      <c r="G779" s="65"/>
      <c r="H779" s="65"/>
      <c r="I779" s="65"/>
      <c r="J779" s="108"/>
      <c r="K779" s="103"/>
      <c r="L779" s="65"/>
      <c r="M779" s="65"/>
    </row>
    <row r="780">
      <c r="A780" s="61"/>
      <c r="B780" s="61"/>
      <c r="C780" s="61"/>
      <c r="D780" s="61"/>
      <c r="E780" s="61"/>
      <c r="F780" s="61"/>
      <c r="G780" s="61"/>
      <c r="H780" s="61"/>
      <c r="I780" s="61"/>
      <c r="J780" s="107"/>
      <c r="K780" s="100"/>
      <c r="L780" s="61"/>
      <c r="M780" s="61"/>
    </row>
    <row r="781">
      <c r="A781" s="65"/>
      <c r="B781" s="65"/>
      <c r="C781" s="65"/>
      <c r="D781" s="65"/>
      <c r="E781" s="65"/>
      <c r="F781" s="65"/>
      <c r="G781" s="65"/>
      <c r="H781" s="65"/>
      <c r="I781" s="65"/>
      <c r="J781" s="108"/>
      <c r="K781" s="103"/>
      <c r="L781" s="65"/>
      <c r="M781" s="65"/>
    </row>
    <row r="782">
      <c r="A782" s="61"/>
      <c r="B782" s="61"/>
      <c r="C782" s="61"/>
      <c r="D782" s="61"/>
      <c r="E782" s="61"/>
      <c r="F782" s="61"/>
      <c r="G782" s="61"/>
      <c r="H782" s="61"/>
      <c r="I782" s="61"/>
      <c r="J782" s="107"/>
      <c r="K782" s="100"/>
      <c r="L782" s="61"/>
      <c r="M782" s="61"/>
    </row>
    <row r="783">
      <c r="A783" s="65"/>
      <c r="B783" s="65"/>
      <c r="C783" s="65"/>
      <c r="D783" s="65"/>
      <c r="E783" s="65"/>
      <c r="F783" s="65"/>
      <c r="G783" s="65"/>
      <c r="H783" s="65"/>
      <c r="I783" s="65"/>
      <c r="J783" s="108"/>
      <c r="K783" s="103"/>
      <c r="L783" s="65"/>
      <c r="M783" s="65"/>
    </row>
    <row r="784">
      <c r="A784" s="61"/>
      <c r="B784" s="61"/>
      <c r="C784" s="61"/>
      <c r="D784" s="61"/>
      <c r="E784" s="61"/>
      <c r="F784" s="61"/>
      <c r="G784" s="61"/>
      <c r="H784" s="61"/>
      <c r="I784" s="61"/>
      <c r="J784" s="107"/>
      <c r="K784" s="100"/>
      <c r="L784" s="61"/>
      <c r="M784" s="61"/>
    </row>
    <row r="785">
      <c r="A785" s="65"/>
      <c r="B785" s="65"/>
      <c r="C785" s="65"/>
      <c r="D785" s="65"/>
      <c r="E785" s="65"/>
      <c r="F785" s="65"/>
      <c r="G785" s="65"/>
      <c r="H785" s="65"/>
      <c r="I785" s="65"/>
      <c r="J785" s="108"/>
      <c r="K785" s="103"/>
      <c r="L785" s="65"/>
      <c r="M785" s="65"/>
    </row>
    <row r="786">
      <c r="A786" s="61"/>
      <c r="B786" s="61"/>
      <c r="C786" s="61"/>
      <c r="D786" s="61"/>
      <c r="E786" s="61"/>
      <c r="F786" s="61"/>
      <c r="G786" s="61"/>
      <c r="H786" s="61"/>
      <c r="I786" s="61"/>
      <c r="J786" s="107"/>
      <c r="K786" s="100"/>
      <c r="L786" s="61"/>
      <c r="M786" s="61"/>
    </row>
    <row r="787">
      <c r="A787" s="65"/>
      <c r="B787" s="65"/>
      <c r="C787" s="65"/>
      <c r="D787" s="65"/>
      <c r="E787" s="65"/>
      <c r="F787" s="65"/>
      <c r="G787" s="65"/>
      <c r="H787" s="65"/>
      <c r="I787" s="65"/>
      <c r="J787" s="108"/>
      <c r="K787" s="103"/>
      <c r="L787" s="65"/>
      <c r="M787" s="65"/>
    </row>
    <row r="788">
      <c r="A788" s="61"/>
      <c r="B788" s="61"/>
      <c r="C788" s="61"/>
      <c r="D788" s="61"/>
      <c r="E788" s="61"/>
      <c r="F788" s="61"/>
      <c r="G788" s="61"/>
      <c r="H788" s="61"/>
      <c r="I788" s="61"/>
      <c r="J788" s="107"/>
      <c r="K788" s="100"/>
      <c r="L788" s="61"/>
      <c r="M788" s="61"/>
    </row>
    <row r="789">
      <c r="A789" s="65"/>
      <c r="B789" s="65"/>
      <c r="C789" s="65"/>
      <c r="D789" s="65"/>
      <c r="E789" s="65"/>
      <c r="F789" s="65"/>
      <c r="G789" s="65"/>
      <c r="H789" s="65"/>
      <c r="I789" s="65"/>
      <c r="J789" s="108"/>
      <c r="K789" s="103"/>
      <c r="L789" s="65"/>
      <c r="M789" s="65"/>
    </row>
    <row r="790">
      <c r="A790" s="61"/>
      <c r="B790" s="61"/>
      <c r="C790" s="61"/>
      <c r="D790" s="61"/>
      <c r="E790" s="61"/>
      <c r="F790" s="61"/>
      <c r="G790" s="61"/>
      <c r="H790" s="61"/>
      <c r="I790" s="61"/>
      <c r="J790" s="107"/>
      <c r="K790" s="100"/>
      <c r="L790" s="61"/>
      <c r="M790" s="61"/>
    </row>
    <row r="791">
      <c r="A791" s="65"/>
      <c r="B791" s="65"/>
      <c r="C791" s="65"/>
      <c r="D791" s="65"/>
      <c r="E791" s="65"/>
      <c r="F791" s="65"/>
      <c r="G791" s="65"/>
      <c r="H791" s="65"/>
      <c r="I791" s="65"/>
      <c r="J791" s="108"/>
      <c r="K791" s="103"/>
      <c r="L791" s="65"/>
      <c r="M791" s="65"/>
    </row>
    <row r="792">
      <c r="A792" s="61"/>
      <c r="B792" s="61"/>
      <c r="C792" s="61"/>
      <c r="D792" s="61"/>
      <c r="E792" s="61"/>
      <c r="F792" s="61"/>
      <c r="G792" s="61"/>
      <c r="H792" s="61"/>
      <c r="I792" s="61"/>
      <c r="J792" s="107"/>
      <c r="K792" s="100"/>
      <c r="L792" s="61"/>
      <c r="M792" s="61"/>
    </row>
    <row r="793">
      <c r="A793" s="65"/>
      <c r="B793" s="65"/>
      <c r="C793" s="65"/>
      <c r="D793" s="65"/>
      <c r="E793" s="65"/>
      <c r="F793" s="65"/>
      <c r="G793" s="65"/>
      <c r="H793" s="65"/>
      <c r="I793" s="65"/>
      <c r="J793" s="108"/>
      <c r="K793" s="103"/>
      <c r="L793" s="65"/>
      <c r="M793" s="65"/>
    </row>
    <row r="794">
      <c r="A794" s="61"/>
      <c r="B794" s="61"/>
      <c r="C794" s="61"/>
      <c r="D794" s="61"/>
      <c r="E794" s="61"/>
      <c r="F794" s="61"/>
      <c r="G794" s="61"/>
      <c r="H794" s="61"/>
      <c r="I794" s="61"/>
      <c r="J794" s="107"/>
      <c r="K794" s="100"/>
      <c r="L794" s="61"/>
      <c r="M794" s="61"/>
    </row>
    <row r="795">
      <c r="A795" s="65"/>
      <c r="B795" s="65"/>
      <c r="C795" s="65"/>
      <c r="D795" s="65"/>
      <c r="E795" s="65"/>
      <c r="F795" s="65"/>
      <c r="G795" s="65"/>
      <c r="H795" s="65"/>
      <c r="I795" s="65"/>
      <c r="J795" s="108"/>
      <c r="K795" s="103"/>
      <c r="L795" s="65"/>
      <c r="M795" s="65"/>
    </row>
    <row r="796">
      <c r="A796" s="61"/>
      <c r="B796" s="61"/>
      <c r="C796" s="61"/>
      <c r="D796" s="61"/>
      <c r="E796" s="61"/>
      <c r="F796" s="61"/>
      <c r="G796" s="61"/>
      <c r="H796" s="61"/>
      <c r="I796" s="61"/>
      <c r="J796" s="107"/>
      <c r="K796" s="100"/>
      <c r="L796" s="61"/>
      <c r="M796" s="61"/>
    </row>
    <row r="797">
      <c r="A797" s="65"/>
      <c r="B797" s="65"/>
      <c r="C797" s="65"/>
      <c r="D797" s="65"/>
      <c r="E797" s="65"/>
      <c r="F797" s="65"/>
      <c r="G797" s="65"/>
      <c r="H797" s="65"/>
      <c r="I797" s="65"/>
      <c r="J797" s="108"/>
      <c r="K797" s="103"/>
      <c r="L797" s="65"/>
      <c r="M797" s="65"/>
    </row>
    <row r="798">
      <c r="A798" s="61"/>
      <c r="B798" s="61"/>
      <c r="C798" s="61"/>
      <c r="D798" s="61"/>
      <c r="E798" s="61"/>
      <c r="F798" s="61"/>
      <c r="G798" s="61"/>
      <c r="H798" s="61"/>
      <c r="I798" s="61"/>
      <c r="J798" s="107"/>
      <c r="K798" s="100"/>
      <c r="L798" s="61"/>
      <c r="M798" s="61"/>
    </row>
    <row r="799">
      <c r="A799" s="65"/>
      <c r="B799" s="65"/>
      <c r="C799" s="65"/>
      <c r="D799" s="65"/>
      <c r="E799" s="65"/>
      <c r="F799" s="65"/>
      <c r="G799" s="65"/>
      <c r="H799" s="65"/>
      <c r="I799" s="65"/>
      <c r="J799" s="108"/>
      <c r="K799" s="103"/>
      <c r="L799" s="65"/>
      <c r="M799" s="65"/>
    </row>
    <row r="800">
      <c r="A800" s="61"/>
      <c r="B800" s="61"/>
      <c r="C800" s="61"/>
      <c r="D800" s="61"/>
      <c r="E800" s="61"/>
      <c r="F800" s="61"/>
      <c r="G800" s="61"/>
      <c r="H800" s="61"/>
      <c r="I800" s="61"/>
      <c r="J800" s="107"/>
      <c r="K800" s="100"/>
      <c r="L800" s="61"/>
      <c r="M800" s="61"/>
    </row>
    <row r="801">
      <c r="A801" s="65"/>
      <c r="B801" s="65"/>
      <c r="C801" s="65"/>
      <c r="D801" s="65"/>
      <c r="E801" s="65"/>
      <c r="F801" s="65"/>
      <c r="G801" s="65"/>
      <c r="H801" s="65"/>
      <c r="I801" s="65"/>
      <c r="J801" s="108"/>
      <c r="K801" s="103"/>
      <c r="L801" s="65"/>
      <c r="M801" s="65"/>
    </row>
    <row r="802">
      <c r="A802" s="61"/>
      <c r="B802" s="61"/>
      <c r="C802" s="61"/>
      <c r="D802" s="61"/>
      <c r="E802" s="61"/>
      <c r="F802" s="61"/>
      <c r="G802" s="61"/>
      <c r="H802" s="61"/>
      <c r="I802" s="61"/>
      <c r="J802" s="107"/>
      <c r="K802" s="100"/>
      <c r="L802" s="61"/>
      <c r="M802" s="61"/>
    </row>
    <row r="803">
      <c r="A803" s="65"/>
      <c r="B803" s="65"/>
      <c r="C803" s="65"/>
      <c r="D803" s="65"/>
      <c r="E803" s="65"/>
      <c r="F803" s="65"/>
      <c r="G803" s="65"/>
      <c r="H803" s="65"/>
      <c r="I803" s="65"/>
      <c r="J803" s="108"/>
      <c r="K803" s="103"/>
      <c r="L803" s="65"/>
      <c r="M803" s="65"/>
    </row>
    <row r="804">
      <c r="A804" s="61"/>
      <c r="B804" s="61"/>
      <c r="C804" s="61"/>
      <c r="D804" s="61"/>
      <c r="E804" s="61"/>
      <c r="F804" s="61"/>
      <c r="G804" s="61"/>
      <c r="H804" s="61"/>
      <c r="I804" s="61"/>
      <c r="J804" s="107"/>
      <c r="K804" s="100"/>
      <c r="L804" s="61"/>
      <c r="M804" s="61"/>
    </row>
    <row r="805">
      <c r="A805" s="65"/>
      <c r="B805" s="65"/>
      <c r="C805" s="65"/>
      <c r="D805" s="65"/>
      <c r="E805" s="65"/>
      <c r="F805" s="65"/>
      <c r="G805" s="65"/>
      <c r="H805" s="65"/>
      <c r="I805" s="65"/>
      <c r="J805" s="108"/>
      <c r="K805" s="103"/>
      <c r="L805" s="65"/>
      <c r="M805" s="65"/>
    </row>
    <row r="806">
      <c r="A806" s="61"/>
      <c r="B806" s="61"/>
      <c r="C806" s="61"/>
      <c r="D806" s="61"/>
      <c r="E806" s="61"/>
      <c r="F806" s="61"/>
      <c r="G806" s="61"/>
      <c r="H806" s="61"/>
      <c r="I806" s="61"/>
      <c r="J806" s="107"/>
      <c r="K806" s="100"/>
      <c r="L806" s="61"/>
      <c r="M806" s="61"/>
    </row>
    <row r="807">
      <c r="A807" s="65"/>
      <c r="B807" s="65"/>
      <c r="C807" s="65"/>
      <c r="D807" s="65"/>
      <c r="E807" s="65"/>
      <c r="F807" s="65"/>
      <c r="G807" s="65"/>
      <c r="H807" s="65"/>
      <c r="I807" s="65"/>
      <c r="J807" s="108"/>
      <c r="K807" s="103"/>
      <c r="L807" s="65"/>
      <c r="M807" s="65"/>
    </row>
    <row r="808">
      <c r="A808" s="61"/>
      <c r="B808" s="61"/>
      <c r="C808" s="61"/>
      <c r="D808" s="61"/>
      <c r="E808" s="61"/>
      <c r="F808" s="61"/>
      <c r="G808" s="61"/>
      <c r="H808" s="61"/>
      <c r="I808" s="61"/>
      <c r="J808" s="107"/>
      <c r="K808" s="100"/>
      <c r="L808" s="61"/>
      <c r="M808" s="61"/>
    </row>
    <row r="809">
      <c r="A809" s="65"/>
      <c r="B809" s="65"/>
      <c r="C809" s="65"/>
      <c r="D809" s="65"/>
      <c r="E809" s="65"/>
      <c r="F809" s="65"/>
      <c r="G809" s="65"/>
      <c r="H809" s="65"/>
      <c r="I809" s="65"/>
      <c r="J809" s="108"/>
      <c r="K809" s="103"/>
      <c r="L809" s="65"/>
      <c r="M809" s="65"/>
    </row>
    <row r="810">
      <c r="A810" s="61"/>
      <c r="B810" s="61"/>
      <c r="C810" s="61"/>
      <c r="D810" s="61"/>
      <c r="E810" s="61"/>
      <c r="F810" s="61"/>
      <c r="G810" s="61"/>
      <c r="H810" s="61"/>
      <c r="I810" s="61"/>
      <c r="J810" s="107"/>
      <c r="K810" s="100"/>
      <c r="L810" s="61"/>
      <c r="M810" s="61"/>
    </row>
    <row r="811">
      <c r="A811" s="65"/>
      <c r="B811" s="65"/>
      <c r="C811" s="65"/>
      <c r="D811" s="65"/>
      <c r="E811" s="65"/>
      <c r="F811" s="65"/>
      <c r="G811" s="65"/>
      <c r="H811" s="65"/>
      <c r="I811" s="65"/>
      <c r="J811" s="108"/>
      <c r="K811" s="103"/>
      <c r="L811" s="65"/>
      <c r="M811" s="65"/>
    </row>
    <row r="812">
      <c r="A812" s="61"/>
      <c r="B812" s="61"/>
      <c r="C812" s="61"/>
      <c r="D812" s="61"/>
      <c r="E812" s="61"/>
      <c r="F812" s="61"/>
      <c r="G812" s="61"/>
      <c r="H812" s="61"/>
      <c r="I812" s="61"/>
      <c r="J812" s="107"/>
      <c r="K812" s="100"/>
      <c r="L812" s="61"/>
      <c r="M812" s="61"/>
    </row>
    <row r="813">
      <c r="A813" s="65"/>
      <c r="B813" s="65"/>
      <c r="C813" s="65"/>
      <c r="D813" s="65"/>
      <c r="E813" s="65"/>
      <c r="F813" s="65"/>
      <c r="G813" s="65"/>
      <c r="H813" s="65"/>
      <c r="I813" s="65"/>
      <c r="J813" s="108"/>
      <c r="K813" s="103"/>
      <c r="L813" s="65"/>
      <c r="M813" s="65"/>
    </row>
    <row r="814">
      <c r="A814" s="61"/>
      <c r="B814" s="61"/>
      <c r="C814" s="61"/>
      <c r="D814" s="61"/>
      <c r="E814" s="61"/>
      <c r="F814" s="61"/>
      <c r="G814" s="61"/>
      <c r="H814" s="61"/>
      <c r="I814" s="61"/>
      <c r="J814" s="107"/>
      <c r="K814" s="100"/>
      <c r="L814" s="61"/>
      <c r="M814" s="61"/>
    </row>
    <row r="815">
      <c r="A815" s="65"/>
      <c r="B815" s="65"/>
      <c r="C815" s="65"/>
      <c r="D815" s="65"/>
      <c r="E815" s="65"/>
      <c r="F815" s="65"/>
      <c r="G815" s="65"/>
      <c r="H815" s="65"/>
      <c r="I815" s="65"/>
      <c r="J815" s="108"/>
      <c r="K815" s="103"/>
      <c r="L815" s="65"/>
      <c r="M815" s="65"/>
    </row>
    <row r="816">
      <c r="A816" s="61"/>
      <c r="B816" s="61"/>
      <c r="C816" s="61"/>
      <c r="D816" s="61"/>
      <c r="E816" s="61"/>
      <c r="F816" s="61"/>
      <c r="G816" s="61"/>
      <c r="H816" s="61"/>
      <c r="I816" s="61"/>
      <c r="J816" s="107"/>
      <c r="K816" s="100"/>
      <c r="L816" s="61"/>
      <c r="M816" s="61"/>
    </row>
    <row r="817">
      <c r="A817" s="65"/>
      <c r="B817" s="65"/>
      <c r="C817" s="65"/>
      <c r="D817" s="65"/>
      <c r="E817" s="65"/>
      <c r="F817" s="65"/>
      <c r="G817" s="65"/>
      <c r="H817" s="65"/>
      <c r="I817" s="65"/>
      <c r="J817" s="108"/>
      <c r="K817" s="103"/>
      <c r="L817" s="65"/>
      <c r="M817" s="65"/>
    </row>
    <row r="818">
      <c r="A818" s="61"/>
      <c r="B818" s="61"/>
      <c r="C818" s="61"/>
      <c r="D818" s="61"/>
      <c r="E818" s="61"/>
      <c r="F818" s="61"/>
      <c r="G818" s="61"/>
      <c r="H818" s="61"/>
      <c r="I818" s="61"/>
      <c r="J818" s="107"/>
      <c r="K818" s="100"/>
      <c r="L818" s="61"/>
      <c r="M818" s="61"/>
    </row>
    <row r="819">
      <c r="A819" s="65"/>
      <c r="B819" s="65"/>
      <c r="C819" s="65"/>
      <c r="D819" s="65"/>
      <c r="E819" s="65"/>
      <c r="F819" s="65"/>
      <c r="G819" s="65"/>
      <c r="H819" s="65"/>
      <c r="I819" s="65"/>
      <c r="J819" s="108"/>
      <c r="K819" s="103"/>
      <c r="L819" s="65"/>
      <c r="M819" s="65"/>
    </row>
    <row r="820">
      <c r="A820" s="61"/>
      <c r="B820" s="61"/>
      <c r="C820" s="61"/>
      <c r="D820" s="61"/>
      <c r="E820" s="61"/>
      <c r="F820" s="61"/>
      <c r="G820" s="61"/>
      <c r="H820" s="61"/>
      <c r="I820" s="61"/>
      <c r="J820" s="107"/>
      <c r="K820" s="100"/>
      <c r="L820" s="61"/>
      <c r="M820" s="61"/>
    </row>
    <row r="821">
      <c r="A821" s="65"/>
      <c r="B821" s="65"/>
      <c r="C821" s="65"/>
      <c r="D821" s="65"/>
      <c r="E821" s="65"/>
      <c r="F821" s="65"/>
      <c r="G821" s="65"/>
      <c r="H821" s="65"/>
      <c r="I821" s="65"/>
      <c r="J821" s="108"/>
      <c r="K821" s="103"/>
      <c r="L821" s="65"/>
      <c r="M821" s="65"/>
    </row>
    <row r="822">
      <c r="A822" s="61"/>
      <c r="B822" s="61"/>
      <c r="C822" s="61"/>
      <c r="D822" s="61"/>
      <c r="E822" s="61"/>
      <c r="F822" s="61"/>
      <c r="G822" s="61"/>
      <c r="H822" s="61"/>
      <c r="I822" s="61"/>
      <c r="J822" s="107"/>
      <c r="K822" s="100"/>
      <c r="L822" s="61"/>
      <c r="M822" s="61"/>
    </row>
    <row r="823">
      <c r="A823" s="65"/>
      <c r="B823" s="65"/>
      <c r="C823" s="65"/>
      <c r="D823" s="65"/>
      <c r="E823" s="65"/>
      <c r="F823" s="65"/>
      <c r="G823" s="65"/>
      <c r="H823" s="65"/>
      <c r="I823" s="65"/>
      <c r="J823" s="108"/>
      <c r="K823" s="103"/>
      <c r="L823" s="65"/>
      <c r="M823" s="65"/>
    </row>
    <row r="824">
      <c r="A824" s="61"/>
      <c r="B824" s="61"/>
      <c r="C824" s="61"/>
      <c r="D824" s="61"/>
      <c r="E824" s="61"/>
      <c r="F824" s="61"/>
      <c r="G824" s="61"/>
      <c r="H824" s="61"/>
      <c r="I824" s="61"/>
      <c r="J824" s="107"/>
      <c r="K824" s="100"/>
      <c r="L824" s="61"/>
      <c r="M824" s="61"/>
    </row>
    <row r="825">
      <c r="A825" s="65"/>
      <c r="B825" s="65"/>
      <c r="C825" s="65"/>
      <c r="D825" s="65"/>
      <c r="E825" s="65"/>
      <c r="F825" s="65"/>
      <c r="G825" s="65"/>
      <c r="H825" s="65"/>
      <c r="I825" s="65"/>
      <c r="J825" s="108"/>
      <c r="K825" s="103"/>
      <c r="L825" s="65"/>
      <c r="M825" s="65"/>
    </row>
    <row r="826">
      <c r="A826" s="61"/>
      <c r="B826" s="61"/>
      <c r="C826" s="61"/>
      <c r="D826" s="61"/>
      <c r="E826" s="61"/>
      <c r="F826" s="61"/>
      <c r="G826" s="61"/>
      <c r="H826" s="61"/>
      <c r="I826" s="61"/>
      <c r="J826" s="107"/>
      <c r="K826" s="100"/>
      <c r="L826" s="61"/>
      <c r="M826" s="61"/>
    </row>
    <row r="827">
      <c r="A827" s="65"/>
      <c r="B827" s="65"/>
      <c r="C827" s="65"/>
      <c r="D827" s="65"/>
      <c r="E827" s="65"/>
      <c r="F827" s="65"/>
      <c r="G827" s="65"/>
      <c r="H827" s="65"/>
      <c r="I827" s="65"/>
      <c r="J827" s="108"/>
      <c r="K827" s="103"/>
      <c r="L827" s="65"/>
      <c r="M827" s="65"/>
    </row>
    <row r="828">
      <c r="A828" s="61"/>
      <c r="B828" s="61"/>
      <c r="C828" s="61"/>
      <c r="D828" s="61"/>
      <c r="E828" s="61"/>
      <c r="F828" s="61"/>
      <c r="G828" s="61"/>
      <c r="H828" s="61"/>
      <c r="I828" s="61"/>
      <c r="J828" s="107"/>
      <c r="K828" s="100"/>
      <c r="L828" s="61"/>
      <c r="M828" s="61"/>
    </row>
    <row r="829">
      <c r="A829" s="65"/>
      <c r="B829" s="65"/>
      <c r="C829" s="65"/>
      <c r="D829" s="65"/>
      <c r="E829" s="65"/>
      <c r="F829" s="65"/>
      <c r="G829" s="65"/>
      <c r="H829" s="65"/>
      <c r="I829" s="65"/>
      <c r="J829" s="108"/>
      <c r="K829" s="103"/>
      <c r="L829" s="65"/>
      <c r="M829" s="65"/>
    </row>
    <row r="830">
      <c r="A830" s="61"/>
      <c r="B830" s="61"/>
      <c r="C830" s="61"/>
      <c r="D830" s="61"/>
      <c r="E830" s="61"/>
      <c r="F830" s="61"/>
      <c r="G830" s="61"/>
      <c r="H830" s="61"/>
      <c r="I830" s="61"/>
      <c r="J830" s="107"/>
      <c r="K830" s="100"/>
      <c r="L830" s="61"/>
      <c r="M830" s="61"/>
    </row>
    <row r="831">
      <c r="A831" s="65"/>
      <c r="B831" s="65"/>
      <c r="C831" s="65"/>
      <c r="D831" s="65"/>
      <c r="E831" s="65"/>
      <c r="F831" s="65"/>
      <c r="G831" s="65"/>
      <c r="H831" s="65"/>
      <c r="I831" s="65"/>
      <c r="J831" s="108"/>
      <c r="K831" s="103"/>
      <c r="L831" s="65"/>
      <c r="M831" s="65"/>
    </row>
    <row r="832">
      <c r="A832" s="61"/>
      <c r="B832" s="61"/>
      <c r="C832" s="61"/>
      <c r="D832" s="61"/>
      <c r="E832" s="61"/>
      <c r="F832" s="61"/>
      <c r="G832" s="61"/>
      <c r="H832" s="61"/>
      <c r="I832" s="61"/>
      <c r="J832" s="107"/>
      <c r="K832" s="100"/>
      <c r="L832" s="61"/>
      <c r="M832" s="61"/>
    </row>
    <row r="833">
      <c r="A833" s="65"/>
      <c r="B833" s="65"/>
      <c r="C833" s="65"/>
      <c r="D833" s="65"/>
      <c r="E833" s="65"/>
      <c r="F833" s="65"/>
      <c r="G833" s="65"/>
      <c r="H833" s="65"/>
      <c r="I833" s="65"/>
      <c r="J833" s="108"/>
      <c r="K833" s="103"/>
      <c r="L833" s="65"/>
      <c r="M833" s="65"/>
    </row>
    <row r="834">
      <c r="A834" s="61"/>
      <c r="B834" s="61"/>
      <c r="C834" s="61"/>
      <c r="D834" s="61"/>
      <c r="E834" s="61"/>
      <c r="F834" s="61"/>
      <c r="G834" s="61"/>
      <c r="H834" s="61"/>
      <c r="I834" s="61"/>
      <c r="J834" s="107"/>
      <c r="K834" s="100"/>
      <c r="L834" s="61"/>
      <c r="M834" s="61"/>
    </row>
    <row r="835">
      <c r="A835" s="65"/>
      <c r="B835" s="65"/>
      <c r="C835" s="65"/>
      <c r="D835" s="65"/>
      <c r="E835" s="65"/>
      <c r="F835" s="65"/>
      <c r="G835" s="65"/>
      <c r="H835" s="65"/>
      <c r="I835" s="65"/>
      <c r="J835" s="108"/>
      <c r="K835" s="103"/>
      <c r="L835" s="65"/>
      <c r="M835" s="65"/>
    </row>
    <row r="836">
      <c r="A836" s="61"/>
      <c r="B836" s="61"/>
      <c r="C836" s="61"/>
      <c r="D836" s="61"/>
      <c r="E836" s="61"/>
      <c r="F836" s="61"/>
      <c r="G836" s="61"/>
      <c r="H836" s="61"/>
      <c r="I836" s="61"/>
      <c r="J836" s="107"/>
      <c r="K836" s="100"/>
      <c r="L836" s="61"/>
      <c r="M836" s="61"/>
    </row>
    <row r="837">
      <c r="A837" s="65"/>
      <c r="B837" s="65"/>
      <c r="C837" s="65"/>
      <c r="D837" s="65"/>
      <c r="E837" s="65"/>
      <c r="F837" s="65"/>
      <c r="G837" s="65"/>
      <c r="H837" s="65"/>
      <c r="I837" s="65"/>
      <c r="J837" s="108"/>
      <c r="K837" s="103"/>
      <c r="L837" s="65"/>
      <c r="M837" s="65"/>
    </row>
    <row r="838">
      <c r="A838" s="61"/>
      <c r="B838" s="61"/>
      <c r="C838" s="61"/>
      <c r="D838" s="61"/>
      <c r="E838" s="61"/>
      <c r="F838" s="61"/>
      <c r="G838" s="61"/>
      <c r="H838" s="61"/>
      <c r="I838" s="61"/>
      <c r="J838" s="107"/>
      <c r="K838" s="100"/>
      <c r="L838" s="61"/>
      <c r="M838" s="61"/>
    </row>
    <row r="839">
      <c r="A839" s="65"/>
      <c r="B839" s="65"/>
      <c r="C839" s="65"/>
      <c r="D839" s="65"/>
      <c r="E839" s="65"/>
      <c r="F839" s="65"/>
      <c r="G839" s="65"/>
      <c r="H839" s="65"/>
      <c r="I839" s="65"/>
      <c r="J839" s="108"/>
      <c r="K839" s="103"/>
      <c r="L839" s="65"/>
      <c r="M839" s="65"/>
    </row>
    <row r="840">
      <c r="A840" s="61"/>
      <c r="B840" s="61"/>
      <c r="C840" s="61"/>
      <c r="D840" s="61"/>
      <c r="E840" s="61"/>
      <c r="F840" s="61"/>
      <c r="G840" s="61"/>
      <c r="H840" s="61"/>
      <c r="I840" s="61"/>
      <c r="J840" s="107"/>
      <c r="K840" s="100"/>
      <c r="L840" s="61"/>
      <c r="M840" s="61"/>
    </row>
    <row r="841">
      <c r="A841" s="65"/>
      <c r="B841" s="65"/>
      <c r="C841" s="65"/>
      <c r="D841" s="65"/>
      <c r="E841" s="65"/>
      <c r="F841" s="65"/>
      <c r="G841" s="65"/>
      <c r="H841" s="65"/>
      <c r="I841" s="65"/>
      <c r="J841" s="108"/>
      <c r="K841" s="103"/>
      <c r="L841" s="65"/>
      <c r="M841" s="65"/>
    </row>
    <row r="842">
      <c r="A842" s="61"/>
      <c r="B842" s="61"/>
      <c r="C842" s="61"/>
      <c r="D842" s="61"/>
      <c r="E842" s="61"/>
      <c r="F842" s="61"/>
      <c r="G842" s="61"/>
      <c r="H842" s="61"/>
      <c r="I842" s="61"/>
      <c r="J842" s="107"/>
      <c r="K842" s="100"/>
      <c r="L842" s="61"/>
      <c r="M842" s="61"/>
    </row>
    <row r="843">
      <c r="A843" s="65"/>
      <c r="B843" s="65"/>
      <c r="C843" s="65"/>
      <c r="D843" s="65"/>
      <c r="E843" s="65"/>
      <c r="F843" s="65"/>
      <c r="G843" s="65"/>
      <c r="H843" s="65"/>
      <c r="I843" s="65"/>
      <c r="J843" s="108"/>
      <c r="K843" s="103"/>
      <c r="L843" s="65"/>
      <c r="M843" s="65"/>
    </row>
    <row r="844">
      <c r="A844" s="61"/>
      <c r="B844" s="61"/>
      <c r="C844" s="61"/>
      <c r="D844" s="61"/>
      <c r="E844" s="61"/>
      <c r="F844" s="61"/>
      <c r="G844" s="61"/>
      <c r="H844" s="61"/>
      <c r="I844" s="61"/>
      <c r="J844" s="107"/>
      <c r="K844" s="100"/>
      <c r="L844" s="61"/>
      <c r="M844" s="61"/>
    </row>
    <row r="845">
      <c r="A845" s="65"/>
      <c r="B845" s="65"/>
      <c r="C845" s="65"/>
      <c r="D845" s="65"/>
      <c r="E845" s="65"/>
      <c r="F845" s="65"/>
      <c r="G845" s="65"/>
      <c r="H845" s="65"/>
      <c r="I845" s="65"/>
      <c r="J845" s="108"/>
      <c r="K845" s="103"/>
      <c r="L845" s="65"/>
      <c r="M845" s="65"/>
    </row>
    <row r="846">
      <c r="A846" s="61"/>
      <c r="B846" s="61"/>
      <c r="C846" s="61"/>
      <c r="D846" s="61"/>
      <c r="E846" s="61"/>
      <c r="F846" s="61"/>
      <c r="G846" s="61"/>
      <c r="H846" s="61"/>
      <c r="I846" s="61"/>
      <c r="J846" s="107"/>
      <c r="K846" s="100"/>
      <c r="L846" s="61"/>
      <c r="M846" s="61"/>
    </row>
    <row r="847">
      <c r="A847" s="65"/>
      <c r="B847" s="65"/>
      <c r="C847" s="65"/>
      <c r="D847" s="65"/>
      <c r="E847" s="65"/>
      <c r="F847" s="65"/>
      <c r="G847" s="65"/>
      <c r="H847" s="65"/>
      <c r="I847" s="65"/>
      <c r="J847" s="108"/>
      <c r="K847" s="103"/>
      <c r="L847" s="65"/>
      <c r="M847" s="65"/>
    </row>
    <row r="848">
      <c r="A848" s="61"/>
      <c r="B848" s="61"/>
      <c r="C848" s="61"/>
      <c r="D848" s="61"/>
      <c r="E848" s="61"/>
      <c r="F848" s="61"/>
      <c r="G848" s="61"/>
      <c r="H848" s="61"/>
      <c r="I848" s="61"/>
      <c r="J848" s="107"/>
      <c r="K848" s="100"/>
      <c r="L848" s="61"/>
      <c r="M848" s="61"/>
    </row>
    <row r="849">
      <c r="A849" s="65"/>
      <c r="B849" s="65"/>
      <c r="C849" s="65"/>
      <c r="D849" s="65"/>
      <c r="E849" s="65"/>
      <c r="F849" s="65"/>
      <c r="G849" s="65"/>
      <c r="H849" s="65"/>
      <c r="I849" s="65"/>
      <c r="J849" s="108"/>
      <c r="K849" s="103"/>
      <c r="L849" s="65"/>
      <c r="M849" s="65"/>
    </row>
    <row r="850">
      <c r="A850" s="61"/>
      <c r="B850" s="61"/>
      <c r="C850" s="61"/>
      <c r="D850" s="61"/>
      <c r="E850" s="61"/>
      <c r="F850" s="61"/>
      <c r="G850" s="61"/>
      <c r="H850" s="61"/>
      <c r="I850" s="61"/>
      <c r="J850" s="107"/>
      <c r="K850" s="100"/>
      <c r="L850" s="61"/>
      <c r="M850" s="61"/>
    </row>
    <row r="851">
      <c r="A851" s="65"/>
      <c r="B851" s="65"/>
      <c r="C851" s="65"/>
      <c r="D851" s="65"/>
      <c r="E851" s="65"/>
      <c r="F851" s="65"/>
      <c r="G851" s="65"/>
      <c r="H851" s="65"/>
      <c r="I851" s="65"/>
      <c r="J851" s="108"/>
      <c r="K851" s="103"/>
      <c r="L851" s="65"/>
      <c r="M851" s="65"/>
    </row>
    <row r="852">
      <c r="A852" s="61"/>
      <c r="B852" s="61"/>
      <c r="C852" s="61"/>
      <c r="D852" s="61"/>
      <c r="E852" s="61"/>
      <c r="F852" s="61"/>
      <c r="G852" s="61"/>
      <c r="H852" s="61"/>
      <c r="I852" s="61"/>
      <c r="J852" s="107"/>
      <c r="K852" s="100"/>
      <c r="L852" s="61"/>
      <c r="M852" s="61"/>
    </row>
    <row r="853">
      <c r="A853" s="65"/>
      <c r="B853" s="65"/>
      <c r="C853" s="65"/>
      <c r="D853" s="65"/>
      <c r="E853" s="65"/>
      <c r="F853" s="65"/>
      <c r="G853" s="65"/>
      <c r="H853" s="65"/>
      <c r="I853" s="65"/>
      <c r="J853" s="108"/>
      <c r="K853" s="103"/>
      <c r="L853" s="65"/>
      <c r="M853" s="65"/>
    </row>
    <row r="854">
      <c r="A854" s="61"/>
      <c r="B854" s="61"/>
      <c r="C854" s="61"/>
      <c r="D854" s="61"/>
      <c r="E854" s="61"/>
      <c r="F854" s="61"/>
      <c r="G854" s="61"/>
      <c r="H854" s="61"/>
      <c r="I854" s="61"/>
      <c r="J854" s="107"/>
      <c r="K854" s="100"/>
      <c r="L854" s="61"/>
      <c r="M854" s="61"/>
    </row>
    <row r="855">
      <c r="A855" s="65"/>
      <c r="B855" s="65"/>
      <c r="C855" s="65"/>
      <c r="D855" s="65"/>
      <c r="E855" s="65"/>
      <c r="F855" s="65"/>
      <c r="G855" s="65"/>
      <c r="H855" s="65"/>
      <c r="I855" s="65"/>
      <c r="J855" s="108"/>
      <c r="K855" s="103"/>
      <c r="L855" s="65"/>
      <c r="M855" s="65"/>
    </row>
    <row r="856">
      <c r="A856" s="61"/>
      <c r="B856" s="61"/>
      <c r="C856" s="61"/>
      <c r="D856" s="61"/>
      <c r="E856" s="61"/>
      <c r="F856" s="61"/>
      <c r="G856" s="61"/>
      <c r="H856" s="61"/>
      <c r="I856" s="61"/>
      <c r="J856" s="107"/>
      <c r="K856" s="100"/>
      <c r="L856" s="61"/>
      <c r="M856" s="61"/>
    </row>
    <row r="857">
      <c r="A857" s="65"/>
      <c r="B857" s="65"/>
      <c r="C857" s="65"/>
      <c r="D857" s="65"/>
      <c r="E857" s="65"/>
      <c r="F857" s="65"/>
      <c r="G857" s="65"/>
      <c r="H857" s="65"/>
      <c r="I857" s="65"/>
      <c r="J857" s="108"/>
      <c r="K857" s="103"/>
      <c r="L857" s="65"/>
      <c r="M857" s="65"/>
    </row>
    <row r="858">
      <c r="A858" s="61"/>
      <c r="B858" s="61"/>
      <c r="C858" s="61"/>
      <c r="D858" s="61"/>
      <c r="E858" s="61"/>
      <c r="F858" s="61"/>
      <c r="G858" s="61"/>
      <c r="H858" s="61"/>
      <c r="I858" s="61"/>
      <c r="J858" s="107"/>
      <c r="K858" s="100"/>
      <c r="L858" s="61"/>
      <c r="M858" s="61"/>
    </row>
    <row r="859">
      <c r="A859" s="65"/>
      <c r="B859" s="65"/>
      <c r="C859" s="65"/>
      <c r="D859" s="65"/>
      <c r="E859" s="65"/>
      <c r="F859" s="65"/>
      <c r="G859" s="65"/>
      <c r="H859" s="65"/>
      <c r="I859" s="65"/>
      <c r="J859" s="108"/>
      <c r="K859" s="103"/>
      <c r="L859" s="65"/>
      <c r="M859" s="65"/>
    </row>
    <row r="860">
      <c r="A860" s="61"/>
      <c r="B860" s="61"/>
      <c r="C860" s="61"/>
      <c r="D860" s="61"/>
      <c r="E860" s="61"/>
      <c r="F860" s="61"/>
      <c r="G860" s="61"/>
      <c r="H860" s="61"/>
      <c r="I860" s="61"/>
      <c r="J860" s="107"/>
      <c r="K860" s="100"/>
      <c r="L860" s="61"/>
      <c r="M860" s="61"/>
    </row>
    <row r="861">
      <c r="A861" s="65"/>
      <c r="B861" s="65"/>
      <c r="C861" s="65"/>
      <c r="D861" s="65"/>
      <c r="E861" s="65"/>
      <c r="F861" s="65"/>
      <c r="G861" s="65"/>
      <c r="H861" s="65"/>
      <c r="I861" s="65"/>
      <c r="J861" s="108"/>
      <c r="K861" s="103"/>
      <c r="L861" s="65"/>
      <c r="M861" s="65"/>
    </row>
    <row r="862">
      <c r="A862" s="61"/>
      <c r="B862" s="61"/>
      <c r="C862" s="61"/>
      <c r="D862" s="61"/>
      <c r="E862" s="61"/>
      <c r="F862" s="61"/>
      <c r="G862" s="61"/>
      <c r="H862" s="61"/>
      <c r="I862" s="61"/>
      <c r="J862" s="107"/>
      <c r="K862" s="100"/>
      <c r="L862" s="61"/>
      <c r="M862" s="61"/>
    </row>
    <row r="863">
      <c r="A863" s="65"/>
      <c r="B863" s="65"/>
      <c r="C863" s="65"/>
      <c r="D863" s="65"/>
      <c r="E863" s="65"/>
      <c r="F863" s="65"/>
      <c r="G863" s="65"/>
      <c r="H863" s="65"/>
      <c r="I863" s="65"/>
      <c r="J863" s="108"/>
      <c r="K863" s="103"/>
      <c r="L863" s="65"/>
      <c r="M863" s="65"/>
    </row>
    <row r="864">
      <c r="A864" s="61"/>
      <c r="B864" s="61"/>
      <c r="C864" s="61"/>
      <c r="D864" s="61"/>
      <c r="E864" s="61"/>
      <c r="F864" s="61"/>
      <c r="G864" s="61"/>
      <c r="H864" s="61"/>
      <c r="I864" s="61"/>
      <c r="J864" s="107"/>
      <c r="K864" s="100"/>
      <c r="L864" s="61"/>
      <c r="M864" s="61"/>
    </row>
    <row r="865">
      <c r="A865" s="65"/>
      <c r="B865" s="65"/>
      <c r="C865" s="65"/>
      <c r="D865" s="65"/>
      <c r="E865" s="65"/>
      <c r="F865" s="65"/>
      <c r="G865" s="65"/>
      <c r="H865" s="65"/>
      <c r="I865" s="65"/>
      <c r="J865" s="108"/>
      <c r="K865" s="103"/>
      <c r="L865" s="65"/>
      <c r="M865" s="65"/>
    </row>
    <row r="866">
      <c r="A866" s="61"/>
      <c r="B866" s="61"/>
      <c r="C866" s="61"/>
      <c r="D866" s="61"/>
      <c r="E866" s="61"/>
      <c r="F866" s="61"/>
      <c r="G866" s="61"/>
      <c r="H866" s="61"/>
      <c r="I866" s="61"/>
      <c r="J866" s="107"/>
      <c r="K866" s="100"/>
      <c r="L866" s="61"/>
      <c r="M866" s="61"/>
    </row>
    <row r="867">
      <c r="A867" s="65"/>
      <c r="B867" s="65"/>
      <c r="C867" s="65"/>
      <c r="D867" s="65"/>
      <c r="E867" s="65"/>
      <c r="F867" s="65"/>
      <c r="G867" s="65"/>
      <c r="H867" s="65"/>
      <c r="I867" s="65"/>
      <c r="J867" s="108"/>
      <c r="K867" s="103"/>
      <c r="L867" s="65"/>
      <c r="M867" s="65"/>
    </row>
    <row r="868">
      <c r="A868" s="61"/>
      <c r="B868" s="61"/>
      <c r="C868" s="61"/>
      <c r="D868" s="61"/>
      <c r="E868" s="61"/>
      <c r="F868" s="61"/>
      <c r="G868" s="61"/>
      <c r="H868" s="61"/>
      <c r="I868" s="61"/>
      <c r="J868" s="107"/>
      <c r="K868" s="100"/>
      <c r="L868" s="61"/>
      <c r="M868" s="61"/>
    </row>
    <row r="869">
      <c r="A869" s="65"/>
      <c r="B869" s="65"/>
      <c r="C869" s="65"/>
      <c r="D869" s="65"/>
      <c r="E869" s="65"/>
      <c r="F869" s="65"/>
      <c r="G869" s="65"/>
      <c r="H869" s="65"/>
      <c r="I869" s="65"/>
      <c r="J869" s="108"/>
      <c r="K869" s="103"/>
      <c r="L869" s="65"/>
      <c r="M869" s="65"/>
    </row>
    <row r="870">
      <c r="A870" s="61"/>
      <c r="B870" s="61"/>
      <c r="C870" s="61"/>
      <c r="D870" s="61"/>
      <c r="E870" s="61"/>
      <c r="F870" s="61"/>
      <c r="G870" s="61"/>
      <c r="H870" s="61"/>
      <c r="I870" s="61"/>
      <c r="J870" s="107"/>
      <c r="K870" s="100"/>
      <c r="L870" s="61"/>
      <c r="M870" s="61"/>
    </row>
    <row r="871">
      <c r="A871" s="65"/>
      <c r="B871" s="65"/>
      <c r="C871" s="65"/>
      <c r="D871" s="65"/>
      <c r="E871" s="65"/>
      <c r="F871" s="65"/>
      <c r="G871" s="65"/>
      <c r="H871" s="65"/>
      <c r="I871" s="65"/>
      <c r="J871" s="108"/>
      <c r="K871" s="103"/>
      <c r="L871" s="65"/>
      <c r="M871" s="65"/>
    </row>
    <row r="872">
      <c r="A872" s="61"/>
      <c r="B872" s="61"/>
      <c r="C872" s="61"/>
      <c r="D872" s="61"/>
      <c r="E872" s="61"/>
      <c r="F872" s="61"/>
      <c r="G872" s="61"/>
      <c r="H872" s="61"/>
      <c r="I872" s="61"/>
      <c r="J872" s="107"/>
      <c r="K872" s="100"/>
      <c r="L872" s="61"/>
      <c r="M872" s="61"/>
    </row>
    <row r="873">
      <c r="A873" s="65"/>
      <c r="B873" s="65"/>
      <c r="C873" s="65"/>
      <c r="D873" s="65"/>
      <c r="E873" s="65"/>
      <c r="F873" s="65"/>
      <c r="G873" s="65"/>
      <c r="H873" s="65"/>
      <c r="I873" s="65"/>
      <c r="J873" s="108"/>
      <c r="K873" s="103"/>
      <c r="L873" s="65"/>
      <c r="M873" s="65"/>
    </row>
    <row r="874">
      <c r="A874" s="61"/>
      <c r="B874" s="61"/>
      <c r="C874" s="61"/>
      <c r="D874" s="61"/>
      <c r="E874" s="61"/>
      <c r="F874" s="61"/>
      <c r="G874" s="61"/>
      <c r="H874" s="61"/>
      <c r="I874" s="61"/>
      <c r="J874" s="107"/>
      <c r="K874" s="100"/>
      <c r="L874" s="61"/>
      <c r="M874" s="61"/>
    </row>
    <row r="875">
      <c r="A875" s="65"/>
      <c r="B875" s="65"/>
      <c r="C875" s="65"/>
      <c r="D875" s="65"/>
      <c r="E875" s="65"/>
      <c r="F875" s="65"/>
      <c r="G875" s="65"/>
      <c r="H875" s="65"/>
      <c r="I875" s="65"/>
      <c r="J875" s="108"/>
      <c r="K875" s="103"/>
      <c r="L875" s="65"/>
      <c r="M875" s="65"/>
    </row>
    <row r="876">
      <c r="A876" s="61"/>
      <c r="B876" s="61"/>
      <c r="C876" s="61"/>
      <c r="D876" s="61"/>
      <c r="E876" s="61"/>
      <c r="F876" s="61"/>
      <c r="G876" s="61"/>
      <c r="H876" s="61"/>
      <c r="I876" s="61"/>
      <c r="J876" s="107"/>
      <c r="K876" s="100"/>
      <c r="L876" s="61"/>
      <c r="M876" s="61"/>
    </row>
    <row r="877">
      <c r="A877" s="65"/>
      <c r="B877" s="65"/>
      <c r="C877" s="65"/>
      <c r="D877" s="65"/>
      <c r="E877" s="65"/>
      <c r="F877" s="65"/>
      <c r="G877" s="65"/>
      <c r="H877" s="65"/>
      <c r="I877" s="65"/>
      <c r="J877" s="108"/>
      <c r="K877" s="103"/>
      <c r="L877" s="65"/>
      <c r="M877" s="65"/>
    </row>
    <row r="878">
      <c r="A878" s="61"/>
      <c r="B878" s="61"/>
      <c r="C878" s="61"/>
      <c r="D878" s="61"/>
      <c r="E878" s="61"/>
      <c r="F878" s="61"/>
      <c r="G878" s="61"/>
      <c r="H878" s="61"/>
      <c r="I878" s="61"/>
      <c r="J878" s="107"/>
      <c r="K878" s="100"/>
      <c r="L878" s="61"/>
      <c r="M878" s="61"/>
    </row>
    <row r="879">
      <c r="A879" s="65"/>
      <c r="B879" s="65"/>
      <c r="C879" s="65"/>
      <c r="D879" s="65"/>
      <c r="E879" s="65"/>
      <c r="F879" s="65"/>
      <c r="G879" s="65"/>
      <c r="H879" s="65"/>
      <c r="I879" s="65"/>
      <c r="J879" s="108"/>
      <c r="K879" s="103"/>
      <c r="L879" s="65"/>
      <c r="M879" s="65"/>
    </row>
    <row r="880">
      <c r="A880" s="61"/>
      <c r="B880" s="61"/>
      <c r="C880" s="61"/>
      <c r="D880" s="61"/>
      <c r="E880" s="61"/>
      <c r="F880" s="61"/>
      <c r="G880" s="61"/>
      <c r="H880" s="61"/>
      <c r="I880" s="61"/>
      <c r="J880" s="107"/>
      <c r="K880" s="100"/>
      <c r="L880" s="61"/>
      <c r="M880" s="61"/>
    </row>
    <row r="881">
      <c r="A881" s="65"/>
      <c r="B881" s="65"/>
      <c r="C881" s="65"/>
      <c r="D881" s="65"/>
      <c r="E881" s="65"/>
      <c r="F881" s="65"/>
      <c r="G881" s="65"/>
      <c r="H881" s="65"/>
      <c r="I881" s="65"/>
      <c r="J881" s="108"/>
      <c r="K881" s="103"/>
      <c r="L881" s="65"/>
      <c r="M881" s="65"/>
    </row>
    <row r="882">
      <c r="A882" s="61"/>
      <c r="B882" s="61"/>
      <c r="C882" s="61"/>
      <c r="D882" s="61"/>
      <c r="E882" s="61"/>
      <c r="F882" s="61"/>
      <c r="G882" s="61"/>
      <c r="H882" s="61"/>
      <c r="I882" s="61"/>
      <c r="J882" s="107"/>
      <c r="K882" s="100"/>
      <c r="L882" s="61"/>
      <c r="M882" s="61"/>
    </row>
    <row r="883">
      <c r="A883" s="65"/>
      <c r="B883" s="65"/>
      <c r="C883" s="65"/>
      <c r="D883" s="65"/>
      <c r="E883" s="65"/>
      <c r="F883" s="65"/>
      <c r="G883" s="65"/>
      <c r="H883" s="65"/>
      <c r="I883" s="65"/>
      <c r="J883" s="108"/>
      <c r="K883" s="103"/>
      <c r="L883" s="65"/>
      <c r="M883" s="65"/>
    </row>
    <row r="884">
      <c r="A884" s="61"/>
      <c r="B884" s="61"/>
      <c r="C884" s="61"/>
      <c r="D884" s="61"/>
      <c r="E884" s="61"/>
      <c r="F884" s="61"/>
      <c r="G884" s="61"/>
      <c r="H884" s="61"/>
      <c r="I884" s="61"/>
      <c r="J884" s="107"/>
      <c r="K884" s="100"/>
      <c r="L884" s="61"/>
      <c r="M884" s="61"/>
    </row>
    <row r="885">
      <c r="A885" s="65"/>
      <c r="B885" s="65"/>
      <c r="C885" s="65"/>
      <c r="D885" s="65"/>
      <c r="E885" s="65"/>
      <c r="F885" s="65"/>
      <c r="G885" s="65"/>
      <c r="H885" s="65"/>
      <c r="I885" s="65"/>
      <c r="J885" s="108"/>
      <c r="K885" s="103"/>
      <c r="L885" s="65"/>
      <c r="M885" s="65"/>
    </row>
    <row r="886">
      <c r="A886" s="61"/>
      <c r="B886" s="61"/>
      <c r="C886" s="61"/>
      <c r="D886" s="61"/>
      <c r="E886" s="61"/>
      <c r="F886" s="61"/>
      <c r="G886" s="61"/>
      <c r="H886" s="61"/>
      <c r="I886" s="61"/>
      <c r="J886" s="107"/>
      <c r="K886" s="100"/>
      <c r="L886" s="61"/>
      <c r="M886" s="61"/>
    </row>
    <row r="887">
      <c r="A887" s="65"/>
      <c r="B887" s="65"/>
      <c r="C887" s="65"/>
      <c r="D887" s="65"/>
      <c r="E887" s="65"/>
      <c r="F887" s="65"/>
      <c r="G887" s="65"/>
      <c r="H887" s="65"/>
      <c r="I887" s="65"/>
      <c r="J887" s="108"/>
      <c r="K887" s="103"/>
      <c r="L887" s="65"/>
      <c r="M887" s="65"/>
    </row>
    <row r="888">
      <c r="A888" s="61"/>
      <c r="B888" s="61"/>
      <c r="C888" s="61"/>
      <c r="D888" s="61"/>
      <c r="E888" s="61"/>
      <c r="F888" s="61"/>
      <c r="G888" s="61"/>
      <c r="H888" s="61"/>
      <c r="I888" s="61"/>
      <c r="J888" s="107"/>
      <c r="K888" s="100"/>
      <c r="L888" s="61"/>
      <c r="M888" s="61"/>
    </row>
    <row r="889">
      <c r="A889" s="65"/>
      <c r="B889" s="65"/>
      <c r="C889" s="65"/>
      <c r="D889" s="65"/>
      <c r="E889" s="65"/>
      <c r="F889" s="65"/>
      <c r="G889" s="65"/>
      <c r="H889" s="65"/>
      <c r="I889" s="65"/>
      <c r="J889" s="108"/>
      <c r="K889" s="103"/>
      <c r="L889" s="65"/>
      <c r="M889" s="65"/>
    </row>
    <row r="890">
      <c r="A890" s="61"/>
      <c r="B890" s="61"/>
      <c r="C890" s="61"/>
      <c r="D890" s="61"/>
      <c r="E890" s="61"/>
      <c r="F890" s="61"/>
      <c r="G890" s="61"/>
      <c r="H890" s="61"/>
      <c r="I890" s="61"/>
      <c r="J890" s="107"/>
      <c r="K890" s="100"/>
      <c r="L890" s="61"/>
      <c r="M890" s="61"/>
    </row>
    <row r="891">
      <c r="A891" s="65"/>
      <c r="B891" s="65"/>
      <c r="C891" s="65"/>
      <c r="D891" s="65"/>
      <c r="E891" s="65"/>
      <c r="F891" s="65"/>
      <c r="G891" s="65"/>
      <c r="H891" s="65"/>
      <c r="I891" s="65"/>
      <c r="J891" s="108"/>
      <c r="K891" s="103"/>
      <c r="L891" s="65"/>
      <c r="M891" s="65"/>
    </row>
    <row r="892">
      <c r="A892" s="61"/>
      <c r="B892" s="61"/>
      <c r="C892" s="61"/>
      <c r="D892" s="61"/>
      <c r="E892" s="61"/>
      <c r="F892" s="61"/>
      <c r="G892" s="61"/>
      <c r="H892" s="61"/>
      <c r="I892" s="61"/>
      <c r="J892" s="107"/>
      <c r="K892" s="100"/>
      <c r="L892" s="61"/>
      <c r="M892" s="61"/>
    </row>
    <row r="893">
      <c r="A893" s="65"/>
      <c r="B893" s="65"/>
      <c r="C893" s="65"/>
      <c r="D893" s="65"/>
      <c r="E893" s="65"/>
      <c r="F893" s="65"/>
      <c r="G893" s="65"/>
      <c r="H893" s="65"/>
      <c r="I893" s="65"/>
      <c r="J893" s="108"/>
      <c r="K893" s="103"/>
      <c r="L893" s="65"/>
      <c r="M893" s="65"/>
    </row>
    <row r="894">
      <c r="A894" s="61"/>
      <c r="B894" s="61"/>
      <c r="C894" s="61"/>
      <c r="D894" s="61"/>
      <c r="E894" s="61"/>
      <c r="F894" s="61"/>
      <c r="G894" s="61"/>
      <c r="H894" s="61"/>
      <c r="I894" s="61"/>
      <c r="J894" s="107"/>
      <c r="K894" s="100"/>
      <c r="L894" s="61"/>
      <c r="M894" s="61"/>
    </row>
    <row r="895">
      <c r="A895" s="65"/>
      <c r="B895" s="65"/>
      <c r="C895" s="65"/>
      <c r="D895" s="65"/>
      <c r="E895" s="65"/>
      <c r="F895" s="65"/>
      <c r="G895" s="65"/>
      <c r="H895" s="65"/>
      <c r="I895" s="65"/>
      <c r="J895" s="108"/>
      <c r="K895" s="103"/>
      <c r="L895" s="65"/>
      <c r="M895" s="65"/>
    </row>
    <row r="896">
      <c r="A896" s="61"/>
      <c r="B896" s="61"/>
      <c r="C896" s="61"/>
      <c r="D896" s="61"/>
      <c r="E896" s="61"/>
      <c r="F896" s="61"/>
      <c r="G896" s="61"/>
      <c r="H896" s="61"/>
      <c r="I896" s="61"/>
      <c r="J896" s="107"/>
      <c r="K896" s="100"/>
      <c r="L896" s="61"/>
      <c r="M896" s="61"/>
    </row>
    <row r="897">
      <c r="A897" s="65"/>
      <c r="B897" s="65"/>
      <c r="C897" s="65"/>
      <c r="D897" s="65"/>
      <c r="E897" s="65"/>
      <c r="F897" s="65"/>
      <c r="G897" s="65"/>
      <c r="H897" s="65"/>
      <c r="I897" s="65"/>
      <c r="J897" s="108"/>
      <c r="K897" s="103"/>
      <c r="L897" s="65"/>
      <c r="M897" s="65"/>
    </row>
    <row r="898">
      <c r="A898" s="61"/>
      <c r="B898" s="61"/>
      <c r="C898" s="61"/>
      <c r="D898" s="61"/>
      <c r="E898" s="61"/>
      <c r="F898" s="61"/>
      <c r="G898" s="61"/>
      <c r="H898" s="61"/>
      <c r="I898" s="61"/>
      <c r="J898" s="107"/>
      <c r="K898" s="100"/>
      <c r="L898" s="61"/>
      <c r="M898" s="61"/>
    </row>
    <row r="899">
      <c r="A899" s="65"/>
      <c r="B899" s="65"/>
      <c r="C899" s="65"/>
      <c r="D899" s="65"/>
      <c r="E899" s="65"/>
      <c r="F899" s="65"/>
      <c r="G899" s="65"/>
      <c r="H899" s="65"/>
      <c r="I899" s="65"/>
      <c r="J899" s="108"/>
      <c r="K899" s="103"/>
      <c r="L899" s="65"/>
      <c r="M899" s="65"/>
    </row>
    <row r="900">
      <c r="A900" s="61"/>
      <c r="B900" s="61"/>
      <c r="C900" s="61"/>
      <c r="D900" s="61"/>
      <c r="E900" s="61"/>
      <c r="F900" s="61"/>
      <c r="G900" s="61"/>
      <c r="H900" s="61"/>
      <c r="I900" s="61"/>
      <c r="J900" s="107"/>
      <c r="K900" s="100"/>
      <c r="L900" s="61"/>
      <c r="M900" s="61"/>
    </row>
    <row r="901">
      <c r="A901" s="65"/>
      <c r="B901" s="65"/>
      <c r="C901" s="65"/>
      <c r="D901" s="65"/>
      <c r="E901" s="65"/>
      <c r="F901" s="65"/>
      <c r="G901" s="65"/>
      <c r="H901" s="65"/>
      <c r="I901" s="65"/>
      <c r="J901" s="108"/>
      <c r="K901" s="103"/>
      <c r="L901" s="65"/>
      <c r="M901" s="65"/>
    </row>
    <row r="902">
      <c r="A902" s="61"/>
      <c r="B902" s="61"/>
      <c r="C902" s="61"/>
      <c r="D902" s="61"/>
      <c r="E902" s="61"/>
      <c r="F902" s="61"/>
      <c r="G902" s="61"/>
      <c r="H902" s="61"/>
      <c r="I902" s="61"/>
      <c r="J902" s="107"/>
      <c r="K902" s="100"/>
      <c r="L902" s="61"/>
      <c r="M902" s="61"/>
    </row>
    <row r="903">
      <c r="A903" s="65"/>
      <c r="B903" s="65"/>
      <c r="C903" s="65"/>
      <c r="D903" s="65"/>
      <c r="E903" s="65"/>
      <c r="F903" s="65"/>
      <c r="G903" s="65"/>
      <c r="H903" s="65"/>
      <c r="I903" s="65"/>
      <c r="J903" s="108"/>
      <c r="K903" s="103"/>
      <c r="L903" s="65"/>
      <c r="M903" s="65"/>
    </row>
    <row r="904">
      <c r="A904" s="61"/>
      <c r="B904" s="61"/>
      <c r="C904" s="61"/>
      <c r="D904" s="61"/>
      <c r="E904" s="61"/>
      <c r="F904" s="61"/>
      <c r="G904" s="61"/>
      <c r="H904" s="61"/>
      <c r="I904" s="61"/>
      <c r="J904" s="107"/>
      <c r="K904" s="100"/>
      <c r="L904" s="61"/>
      <c r="M904" s="61"/>
    </row>
    <row r="905">
      <c r="A905" s="65"/>
      <c r="B905" s="65"/>
      <c r="C905" s="65"/>
      <c r="D905" s="65"/>
      <c r="E905" s="65"/>
      <c r="F905" s="65"/>
      <c r="G905" s="65"/>
      <c r="H905" s="65"/>
      <c r="I905" s="65"/>
      <c r="J905" s="108"/>
      <c r="K905" s="103"/>
      <c r="L905" s="65"/>
      <c r="M905" s="65"/>
    </row>
    <row r="906">
      <c r="A906" s="61"/>
      <c r="B906" s="61"/>
      <c r="C906" s="61"/>
      <c r="D906" s="61"/>
      <c r="E906" s="61"/>
      <c r="F906" s="61"/>
      <c r="G906" s="61"/>
      <c r="H906" s="61"/>
      <c r="I906" s="61"/>
      <c r="J906" s="107"/>
      <c r="K906" s="100"/>
      <c r="L906" s="61"/>
      <c r="M906" s="61"/>
    </row>
    <row r="907">
      <c r="A907" s="65"/>
      <c r="B907" s="65"/>
      <c r="C907" s="65"/>
      <c r="D907" s="65"/>
      <c r="E907" s="65"/>
      <c r="F907" s="65"/>
      <c r="G907" s="65"/>
      <c r="H907" s="65"/>
      <c r="I907" s="65"/>
      <c r="J907" s="108"/>
      <c r="K907" s="103"/>
      <c r="L907" s="65"/>
      <c r="M907" s="65"/>
    </row>
    <row r="908">
      <c r="A908" s="61"/>
      <c r="B908" s="61"/>
      <c r="C908" s="61"/>
      <c r="D908" s="61"/>
      <c r="E908" s="61"/>
      <c r="F908" s="61"/>
      <c r="G908" s="61"/>
      <c r="H908" s="61"/>
      <c r="I908" s="61"/>
      <c r="J908" s="107"/>
      <c r="K908" s="100"/>
      <c r="L908" s="61"/>
      <c r="M908" s="61"/>
    </row>
    <row r="909">
      <c r="A909" s="65"/>
      <c r="B909" s="65"/>
      <c r="C909" s="65"/>
      <c r="D909" s="65"/>
      <c r="E909" s="65"/>
      <c r="F909" s="65"/>
      <c r="G909" s="65"/>
      <c r="H909" s="65"/>
      <c r="I909" s="65"/>
      <c r="J909" s="108"/>
      <c r="K909" s="103"/>
      <c r="L909" s="65"/>
      <c r="M909" s="65"/>
    </row>
    <row r="910">
      <c r="A910" s="61"/>
      <c r="B910" s="61"/>
      <c r="C910" s="61"/>
      <c r="D910" s="61"/>
      <c r="E910" s="61"/>
      <c r="F910" s="61"/>
      <c r="G910" s="61"/>
      <c r="H910" s="61"/>
      <c r="I910" s="61"/>
      <c r="J910" s="107"/>
      <c r="K910" s="100"/>
      <c r="L910" s="61"/>
      <c r="M910" s="61"/>
    </row>
    <row r="911">
      <c r="A911" s="65"/>
      <c r="B911" s="65"/>
      <c r="C911" s="65"/>
      <c r="D911" s="65"/>
      <c r="E911" s="65"/>
      <c r="F911" s="65"/>
      <c r="G911" s="65"/>
      <c r="H911" s="65"/>
      <c r="I911" s="65"/>
      <c r="J911" s="108"/>
      <c r="K911" s="103"/>
      <c r="L911" s="65"/>
      <c r="M911" s="65"/>
    </row>
    <row r="912">
      <c r="A912" s="61"/>
      <c r="B912" s="61"/>
      <c r="C912" s="61"/>
      <c r="D912" s="61"/>
      <c r="E912" s="61"/>
      <c r="F912" s="61"/>
      <c r="G912" s="61"/>
      <c r="H912" s="61"/>
      <c r="I912" s="61"/>
      <c r="J912" s="107"/>
      <c r="K912" s="100"/>
      <c r="L912" s="61"/>
      <c r="M912" s="61"/>
    </row>
    <row r="913">
      <c r="A913" s="65"/>
      <c r="B913" s="65"/>
      <c r="C913" s="65"/>
      <c r="D913" s="65"/>
      <c r="E913" s="65"/>
      <c r="F913" s="65"/>
      <c r="G913" s="65"/>
      <c r="H913" s="65"/>
      <c r="I913" s="65"/>
      <c r="J913" s="108"/>
      <c r="K913" s="103"/>
      <c r="L913" s="65"/>
      <c r="M913" s="65"/>
    </row>
    <row r="914">
      <c r="A914" s="61"/>
      <c r="B914" s="61"/>
      <c r="C914" s="61"/>
      <c r="D914" s="61"/>
      <c r="E914" s="61"/>
      <c r="F914" s="61"/>
      <c r="G914" s="61"/>
      <c r="H914" s="61"/>
      <c r="I914" s="61"/>
      <c r="J914" s="107"/>
      <c r="K914" s="100"/>
      <c r="L914" s="61"/>
      <c r="M914" s="61"/>
    </row>
    <row r="915">
      <c r="A915" s="65"/>
      <c r="B915" s="65"/>
      <c r="C915" s="65"/>
      <c r="D915" s="65"/>
      <c r="E915" s="65"/>
      <c r="F915" s="65"/>
      <c r="G915" s="65"/>
      <c r="H915" s="65"/>
      <c r="I915" s="65"/>
      <c r="J915" s="108"/>
      <c r="K915" s="103"/>
      <c r="L915" s="65"/>
      <c r="M915" s="65"/>
    </row>
    <row r="916">
      <c r="A916" s="61"/>
      <c r="B916" s="61"/>
      <c r="C916" s="61"/>
      <c r="D916" s="61"/>
      <c r="E916" s="61"/>
      <c r="F916" s="61"/>
      <c r="G916" s="61"/>
      <c r="H916" s="61"/>
      <c r="I916" s="61"/>
      <c r="J916" s="107"/>
      <c r="K916" s="100"/>
      <c r="L916" s="61"/>
      <c r="M916" s="61"/>
    </row>
    <row r="917">
      <c r="A917" s="65"/>
      <c r="B917" s="65"/>
      <c r="C917" s="65"/>
      <c r="D917" s="65"/>
      <c r="E917" s="65"/>
      <c r="F917" s="65"/>
      <c r="G917" s="65"/>
      <c r="H917" s="65"/>
      <c r="I917" s="65"/>
      <c r="J917" s="108"/>
      <c r="K917" s="103"/>
      <c r="L917" s="65"/>
      <c r="M917" s="65"/>
    </row>
    <row r="918">
      <c r="A918" s="61"/>
      <c r="B918" s="61"/>
      <c r="C918" s="61"/>
      <c r="D918" s="61"/>
      <c r="E918" s="61"/>
      <c r="F918" s="61"/>
      <c r="G918" s="61"/>
      <c r="H918" s="61"/>
      <c r="I918" s="61"/>
      <c r="J918" s="107"/>
      <c r="K918" s="100"/>
      <c r="L918" s="61"/>
      <c r="M918" s="61"/>
    </row>
    <row r="919">
      <c r="A919" s="65"/>
      <c r="B919" s="65"/>
      <c r="C919" s="65"/>
      <c r="D919" s="65"/>
      <c r="E919" s="65"/>
      <c r="F919" s="65"/>
      <c r="G919" s="65"/>
      <c r="H919" s="65"/>
      <c r="I919" s="65"/>
      <c r="J919" s="108"/>
      <c r="K919" s="103"/>
      <c r="L919" s="65"/>
      <c r="M919" s="65"/>
    </row>
    <row r="920">
      <c r="A920" s="61"/>
      <c r="B920" s="61"/>
      <c r="C920" s="61"/>
      <c r="D920" s="61"/>
      <c r="E920" s="61"/>
      <c r="F920" s="61"/>
      <c r="G920" s="61"/>
      <c r="H920" s="61"/>
      <c r="I920" s="61"/>
      <c r="J920" s="107"/>
      <c r="K920" s="100"/>
      <c r="L920" s="61"/>
      <c r="M920" s="61"/>
    </row>
    <row r="921">
      <c r="A921" s="65"/>
      <c r="B921" s="65"/>
      <c r="C921" s="65"/>
      <c r="D921" s="65"/>
      <c r="E921" s="65"/>
      <c r="F921" s="65"/>
      <c r="G921" s="65"/>
      <c r="H921" s="65"/>
      <c r="I921" s="65"/>
      <c r="J921" s="108"/>
      <c r="K921" s="103"/>
      <c r="L921" s="65"/>
      <c r="M921" s="65"/>
    </row>
    <row r="922">
      <c r="A922" s="61"/>
      <c r="B922" s="61"/>
      <c r="C922" s="61"/>
      <c r="D922" s="61"/>
      <c r="E922" s="61"/>
      <c r="F922" s="61"/>
      <c r="G922" s="61"/>
      <c r="H922" s="61"/>
      <c r="I922" s="61"/>
      <c r="J922" s="107"/>
      <c r="K922" s="100"/>
      <c r="L922" s="61"/>
      <c r="M922" s="61"/>
    </row>
    <row r="923">
      <c r="A923" s="65"/>
      <c r="B923" s="65"/>
      <c r="C923" s="65"/>
      <c r="D923" s="65"/>
      <c r="E923" s="65"/>
      <c r="F923" s="65"/>
      <c r="G923" s="65"/>
      <c r="H923" s="65"/>
      <c r="I923" s="65"/>
      <c r="J923" s="108"/>
      <c r="K923" s="103"/>
      <c r="L923" s="65"/>
      <c r="M923" s="65"/>
    </row>
    <row r="924">
      <c r="A924" s="61"/>
      <c r="B924" s="61"/>
      <c r="C924" s="61"/>
      <c r="D924" s="61"/>
      <c r="E924" s="61"/>
      <c r="F924" s="61"/>
      <c r="G924" s="61"/>
      <c r="H924" s="61"/>
      <c r="I924" s="61"/>
      <c r="J924" s="107"/>
      <c r="K924" s="100"/>
      <c r="L924" s="61"/>
      <c r="M924" s="61"/>
    </row>
    <row r="925">
      <c r="A925" s="65"/>
      <c r="B925" s="65"/>
      <c r="C925" s="65"/>
      <c r="D925" s="65"/>
      <c r="E925" s="65"/>
      <c r="F925" s="65"/>
      <c r="G925" s="65"/>
      <c r="H925" s="65"/>
      <c r="I925" s="65"/>
      <c r="J925" s="108"/>
      <c r="K925" s="103"/>
      <c r="L925" s="65"/>
      <c r="M925" s="65"/>
    </row>
    <row r="926">
      <c r="A926" s="61"/>
      <c r="B926" s="61"/>
      <c r="C926" s="61"/>
      <c r="D926" s="61"/>
      <c r="E926" s="61"/>
      <c r="F926" s="61"/>
      <c r="G926" s="61"/>
      <c r="H926" s="61"/>
      <c r="I926" s="61"/>
      <c r="J926" s="107"/>
      <c r="K926" s="100"/>
      <c r="L926" s="61"/>
      <c r="M926" s="61"/>
    </row>
    <row r="927">
      <c r="A927" s="65"/>
      <c r="B927" s="65"/>
      <c r="C927" s="65"/>
      <c r="D927" s="65"/>
      <c r="E927" s="65"/>
      <c r="F927" s="65"/>
      <c r="G927" s="65"/>
      <c r="H927" s="65"/>
      <c r="I927" s="65"/>
      <c r="J927" s="108"/>
      <c r="K927" s="103"/>
      <c r="L927" s="65"/>
      <c r="M927" s="65"/>
    </row>
    <row r="928">
      <c r="A928" s="61"/>
      <c r="B928" s="61"/>
      <c r="C928" s="61"/>
      <c r="D928" s="61"/>
      <c r="E928" s="61"/>
      <c r="F928" s="61"/>
      <c r="G928" s="61"/>
      <c r="H928" s="61"/>
      <c r="I928" s="61"/>
      <c r="J928" s="107"/>
      <c r="K928" s="100"/>
      <c r="L928" s="61"/>
      <c r="M928" s="61"/>
    </row>
    <row r="929">
      <c r="A929" s="65"/>
      <c r="B929" s="65"/>
      <c r="C929" s="65"/>
      <c r="D929" s="65"/>
      <c r="E929" s="65"/>
      <c r="F929" s="65"/>
      <c r="G929" s="65"/>
      <c r="H929" s="65"/>
      <c r="I929" s="65"/>
      <c r="J929" s="108"/>
      <c r="K929" s="103"/>
      <c r="L929" s="65"/>
      <c r="M929" s="65"/>
    </row>
    <row r="930">
      <c r="A930" s="61"/>
      <c r="B930" s="61"/>
      <c r="C930" s="61"/>
      <c r="D930" s="61"/>
      <c r="E930" s="61"/>
      <c r="F930" s="61"/>
      <c r="G930" s="61"/>
      <c r="H930" s="61"/>
      <c r="I930" s="61"/>
      <c r="J930" s="107"/>
      <c r="K930" s="100"/>
      <c r="L930" s="61"/>
      <c r="M930" s="61"/>
    </row>
    <row r="931">
      <c r="A931" s="65"/>
      <c r="B931" s="65"/>
      <c r="C931" s="65"/>
      <c r="D931" s="65"/>
      <c r="E931" s="65"/>
      <c r="F931" s="65"/>
      <c r="G931" s="65"/>
      <c r="H931" s="65"/>
      <c r="I931" s="65"/>
      <c r="J931" s="108"/>
      <c r="K931" s="103"/>
      <c r="L931" s="65"/>
      <c r="M931" s="65"/>
    </row>
    <row r="932">
      <c r="A932" s="61"/>
      <c r="B932" s="61"/>
      <c r="C932" s="61"/>
      <c r="D932" s="61"/>
      <c r="E932" s="61"/>
      <c r="F932" s="61"/>
      <c r="G932" s="61"/>
      <c r="H932" s="61"/>
      <c r="I932" s="61"/>
      <c r="J932" s="107"/>
      <c r="K932" s="100"/>
      <c r="L932" s="61"/>
      <c r="M932" s="61"/>
    </row>
    <row r="933">
      <c r="A933" s="65"/>
      <c r="B933" s="65"/>
      <c r="C933" s="65"/>
      <c r="D933" s="65"/>
      <c r="E933" s="65"/>
      <c r="F933" s="65"/>
      <c r="G933" s="65"/>
      <c r="H933" s="65"/>
      <c r="I933" s="65"/>
      <c r="J933" s="108"/>
      <c r="K933" s="103"/>
      <c r="L933" s="65"/>
      <c r="M933" s="65"/>
    </row>
    <row r="934">
      <c r="A934" s="61"/>
      <c r="B934" s="61"/>
      <c r="C934" s="61"/>
      <c r="D934" s="61"/>
      <c r="E934" s="61"/>
      <c r="F934" s="61"/>
      <c r="G934" s="61"/>
      <c r="H934" s="61"/>
      <c r="I934" s="61"/>
      <c r="J934" s="107"/>
      <c r="K934" s="100"/>
      <c r="L934" s="61"/>
      <c r="M934" s="61"/>
    </row>
    <row r="935">
      <c r="A935" s="65"/>
      <c r="B935" s="65"/>
      <c r="C935" s="65"/>
      <c r="D935" s="65"/>
      <c r="E935" s="65"/>
      <c r="F935" s="65"/>
      <c r="G935" s="65"/>
      <c r="H935" s="65"/>
      <c r="I935" s="65"/>
      <c r="J935" s="108"/>
      <c r="K935" s="103"/>
      <c r="L935" s="65"/>
      <c r="M935" s="65"/>
    </row>
    <row r="936">
      <c r="A936" s="61"/>
      <c r="B936" s="61"/>
      <c r="C936" s="61"/>
      <c r="D936" s="61"/>
      <c r="E936" s="61"/>
      <c r="F936" s="61"/>
      <c r="G936" s="61"/>
      <c r="H936" s="61"/>
      <c r="I936" s="61"/>
      <c r="J936" s="107"/>
      <c r="K936" s="100"/>
      <c r="L936" s="61"/>
      <c r="M936" s="61"/>
    </row>
    <row r="937">
      <c r="A937" s="65"/>
      <c r="B937" s="65"/>
      <c r="C937" s="65"/>
      <c r="D937" s="65"/>
      <c r="E937" s="65"/>
      <c r="F937" s="65"/>
      <c r="G937" s="65"/>
      <c r="H937" s="65"/>
      <c r="I937" s="65"/>
      <c r="J937" s="108"/>
      <c r="K937" s="103"/>
      <c r="L937" s="65"/>
      <c r="M937" s="65"/>
    </row>
    <row r="938">
      <c r="A938" s="61"/>
      <c r="B938" s="61"/>
      <c r="C938" s="61"/>
      <c r="D938" s="61"/>
      <c r="E938" s="61"/>
      <c r="F938" s="61"/>
      <c r="G938" s="61"/>
      <c r="H938" s="61"/>
      <c r="I938" s="61"/>
      <c r="J938" s="107"/>
      <c r="K938" s="100"/>
      <c r="L938" s="61"/>
      <c r="M938" s="61"/>
    </row>
    <row r="939">
      <c r="A939" s="65"/>
      <c r="B939" s="65"/>
      <c r="C939" s="65"/>
      <c r="D939" s="65"/>
      <c r="E939" s="65"/>
      <c r="F939" s="65"/>
      <c r="G939" s="65"/>
      <c r="H939" s="65"/>
      <c r="I939" s="65"/>
      <c r="J939" s="108"/>
      <c r="K939" s="103"/>
      <c r="L939" s="65"/>
      <c r="M939" s="65"/>
    </row>
    <row r="940">
      <c r="A940" s="61"/>
      <c r="B940" s="61"/>
      <c r="C940" s="61"/>
      <c r="D940" s="61"/>
      <c r="E940" s="61"/>
      <c r="F940" s="61"/>
      <c r="G940" s="61"/>
      <c r="H940" s="61"/>
      <c r="I940" s="61"/>
      <c r="J940" s="107"/>
      <c r="K940" s="100"/>
      <c r="L940" s="61"/>
      <c r="M940" s="61"/>
    </row>
    <row r="941">
      <c r="A941" s="65"/>
      <c r="B941" s="65"/>
      <c r="C941" s="65"/>
      <c r="D941" s="65"/>
      <c r="E941" s="65"/>
      <c r="F941" s="65"/>
      <c r="G941" s="65"/>
      <c r="H941" s="65"/>
      <c r="I941" s="65"/>
      <c r="J941" s="108"/>
      <c r="K941" s="103"/>
      <c r="L941" s="65"/>
      <c r="M941" s="65"/>
    </row>
    <row r="942">
      <c r="A942" s="61"/>
      <c r="B942" s="61"/>
      <c r="C942" s="61"/>
      <c r="D942" s="61"/>
      <c r="E942" s="61"/>
      <c r="F942" s="61"/>
      <c r="G942" s="61"/>
      <c r="H942" s="61"/>
      <c r="I942" s="61"/>
      <c r="J942" s="107"/>
      <c r="K942" s="100"/>
      <c r="L942" s="61"/>
      <c r="M942" s="61"/>
    </row>
    <row r="943">
      <c r="A943" s="65"/>
      <c r="B943" s="65"/>
      <c r="C943" s="65"/>
      <c r="D943" s="65"/>
      <c r="E943" s="65"/>
      <c r="F943" s="65"/>
      <c r="G943" s="65"/>
      <c r="H943" s="65"/>
      <c r="I943" s="65"/>
      <c r="J943" s="108"/>
      <c r="K943" s="103"/>
      <c r="L943" s="65"/>
      <c r="M943" s="65"/>
    </row>
    <row r="944">
      <c r="A944" s="61"/>
      <c r="B944" s="61"/>
      <c r="C944" s="61"/>
      <c r="D944" s="61"/>
      <c r="E944" s="61"/>
      <c r="F944" s="61"/>
      <c r="G944" s="61"/>
      <c r="H944" s="61"/>
      <c r="I944" s="61"/>
      <c r="J944" s="107"/>
      <c r="K944" s="100"/>
      <c r="L944" s="61"/>
      <c r="M944" s="61"/>
    </row>
    <row r="945">
      <c r="A945" s="65"/>
      <c r="B945" s="65"/>
      <c r="C945" s="65"/>
      <c r="D945" s="65"/>
      <c r="E945" s="65"/>
      <c r="F945" s="65"/>
      <c r="G945" s="65"/>
      <c r="H945" s="65"/>
      <c r="I945" s="65"/>
      <c r="J945" s="108"/>
      <c r="K945" s="103"/>
      <c r="L945" s="65"/>
      <c r="M945" s="65"/>
    </row>
    <row r="946">
      <c r="A946" s="61"/>
      <c r="B946" s="61"/>
      <c r="C946" s="61"/>
      <c r="D946" s="61"/>
      <c r="E946" s="61"/>
      <c r="F946" s="61"/>
      <c r="G946" s="61"/>
      <c r="H946" s="61"/>
      <c r="I946" s="61"/>
      <c r="J946" s="107"/>
      <c r="K946" s="100"/>
      <c r="L946" s="61"/>
      <c r="M946" s="61"/>
    </row>
    <row r="947">
      <c r="A947" s="65"/>
      <c r="B947" s="65"/>
      <c r="C947" s="65"/>
      <c r="D947" s="65"/>
      <c r="E947" s="65"/>
      <c r="F947" s="65"/>
      <c r="G947" s="65"/>
      <c r="H947" s="65"/>
      <c r="I947" s="65"/>
      <c r="J947" s="108"/>
      <c r="K947" s="103"/>
      <c r="L947" s="65"/>
      <c r="M947" s="65"/>
    </row>
    <row r="948">
      <c r="A948" s="61"/>
      <c r="B948" s="61"/>
      <c r="C948" s="61"/>
      <c r="D948" s="61"/>
      <c r="E948" s="61"/>
      <c r="F948" s="61"/>
      <c r="G948" s="61"/>
      <c r="H948" s="61"/>
      <c r="I948" s="61"/>
      <c r="J948" s="107"/>
      <c r="K948" s="100"/>
      <c r="L948" s="61"/>
      <c r="M948" s="61"/>
    </row>
    <row r="949">
      <c r="A949" s="65"/>
      <c r="B949" s="65"/>
      <c r="C949" s="65"/>
      <c r="D949" s="65"/>
      <c r="E949" s="65"/>
      <c r="F949" s="65"/>
      <c r="G949" s="65"/>
      <c r="H949" s="65"/>
      <c r="I949" s="65"/>
      <c r="J949" s="108"/>
      <c r="K949" s="103"/>
      <c r="L949" s="65"/>
      <c r="M949" s="65"/>
    </row>
    <row r="950">
      <c r="A950" s="61"/>
      <c r="B950" s="61"/>
      <c r="C950" s="61"/>
      <c r="D950" s="61"/>
      <c r="E950" s="61"/>
      <c r="F950" s="61"/>
      <c r="G950" s="61"/>
      <c r="H950" s="61"/>
      <c r="I950" s="61"/>
      <c r="J950" s="107"/>
      <c r="K950" s="100"/>
      <c r="L950" s="61"/>
      <c r="M950" s="61"/>
    </row>
    <row r="951">
      <c r="A951" s="65"/>
      <c r="B951" s="65"/>
      <c r="C951" s="65"/>
      <c r="D951" s="65"/>
      <c r="E951" s="65"/>
      <c r="F951" s="65"/>
      <c r="G951" s="65"/>
      <c r="H951" s="65"/>
      <c r="I951" s="65"/>
      <c r="J951" s="108"/>
      <c r="K951" s="103"/>
      <c r="L951" s="65"/>
      <c r="M951" s="65"/>
    </row>
    <row r="952">
      <c r="A952" s="61"/>
      <c r="B952" s="61"/>
      <c r="C952" s="61"/>
      <c r="D952" s="61"/>
      <c r="E952" s="61"/>
      <c r="F952" s="61"/>
      <c r="G952" s="61"/>
      <c r="H952" s="61"/>
      <c r="I952" s="61"/>
      <c r="J952" s="107"/>
      <c r="K952" s="100"/>
      <c r="L952" s="61"/>
      <c r="M952" s="61"/>
    </row>
    <row r="953">
      <c r="A953" s="65"/>
      <c r="B953" s="65"/>
      <c r="C953" s="65"/>
      <c r="D953" s="65"/>
      <c r="E953" s="65"/>
      <c r="F953" s="65"/>
      <c r="G953" s="65"/>
      <c r="H953" s="65"/>
      <c r="I953" s="65"/>
      <c r="J953" s="108"/>
      <c r="K953" s="103"/>
      <c r="L953" s="65"/>
      <c r="M953" s="65"/>
    </row>
    <row r="954">
      <c r="A954" s="61"/>
      <c r="B954" s="61"/>
      <c r="C954" s="61"/>
      <c r="D954" s="61"/>
      <c r="E954" s="61"/>
      <c r="F954" s="61"/>
      <c r="G954" s="61"/>
      <c r="H954" s="61"/>
      <c r="I954" s="61"/>
      <c r="J954" s="107"/>
      <c r="K954" s="100"/>
      <c r="L954" s="61"/>
      <c r="M954" s="61"/>
    </row>
    <row r="955">
      <c r="A955" s="65"/>
      <c r="B955" s="65"/>
      <c r="C955" s="65"/>
      <c r="D955" s="65"/>
      <c r="E955" s="65"/>
      <c r="F955" s="65"/>
      <c r="G955" s="65"/>
      <c r="H955" s="65"/>
      <c r="I955" s="65"/>
      <c r="J955" s="108"/>
      <c r="K955" s="103"/>
      <c r="L955" s="65"/>
      <c r="M955" s="65"/>
    </row>
    <row r="956">
      <c r="A956" s="61"/>
      <c r="B956" s="61"/>
      <c r="C956" s="61"/>
      <c r="D956" s="61"/>
      <c r="E956" s="61"/>
      <c r="F956" s="61"/>
      <c r="G956" s="61"/>
      <c r="H956" s="61"/>
      <c r="I956" s="61"/>
      <c r="J956" s="107"/>
      <c r="K956" s="100"/>
      <c r="L956" s="61"/>
      <c r="M956" s="61"/>
    </row>
    <row r="957">
      <c r="A957" s="65"/>
      <c r="B957" s="65"/>
      <c r="C957" s="65"/>
      <c r="D957" s="65"/>
      <c r="E957" s="65"/>
      <c r="F957" s="65"/>
      <c r="G957" s="65"/>
      <c r="H957" s="65"/>
      <c r="I957" s="65"/>
      <c r="J957" s="108"/>
      <c r="K957" s="103"/>
      <c r="L957" s="65"/>
      <c r="M957" s="65"/>
    </row>
    <row r="958">
      <c r="A958" s="61"/>
      <c r="B958" s="61"/>
      <c r="C958" s="61"/>
      <c r="D958" s="61"/>
      <c r="E958" s="61"/>
      <c r="F958" s="61"/>
      <c r="G958" s="61"/>
      <c r="H958" s="61"/>
      <c r="I958" s="61"/>
      <c r="J958" s="107"/>
      <c r="K958" s="100"/>
      <c r="L958" s="61"/>
      <c r="M958" s="61"/>
    </row>
    <row r="959">
      <c r="A959" s="65"/>
      <c r="B959" s="65"/>
      <c r="C959" s="65"/>
      <c r="D959" s="65"/>
      <c r="E959" s="65"/>
      <c r="F959" s="65"/>
      <c r="G959" s="65"/>
      <c r="H959" s="65"/>
      <c r="I959" s="65"/>
      <c r="J959" s="108"/>
      <c r="K959" s="103"/>
      <c r="L959" s="65"/>
      <c r="M959" s="65"/>
    </row>
    <row r="960">
      <c r="A960" s="61"/>
      <c r="B960" s="61"/>
      <c r="C960" s="61"/>
      <c r="D960" s="61"/>
      <c r="E960" s="61"/>
      <c r="F960" s="61"/>
      <c r="G960" s="61"/>
      <c r="H960" s="61"/>
      <c r="I960" s="61"/>
      <c r="J960" s="107"/>
      <c r="K960" s="100"/>
      <c r="L960" s="61"/>
      <c r="M960" s="61"/>
    </row>
    <row r="961">
      <c r="A961" s="65"/>
      <c r="B961" s="65"/>
      <c r="C961" s="65"/>
      <c r="D961" s="65"/>
      <c r="E961" s="65"/>
      <c r="F961" s="65"/>
      <c r="G961" s="65"/>
      <c r="H961" s="65"/>
      <c r="I961" s="65"/>
      <c r="J961" s="108"/>
      <c r="K961" s="103"/>
      <c r="L961" s="65"/>
      <c r="M961" s="65"/>
    </row>
    <row r="962">
      <c r="A962" s="61"/>
      <c r="B962" s="61"/>
      <c r="C962" s="61"/>
      <c r="D962" s="61"/>
      <c r="E962" s="61"/>
      <c r="F962" s="61"/>
      <c r="G962" s="61"/>
      <c r="H962" s="61"/>
      <c r="I962" s="61"/>
      <c r="J962" s="107"/>
      <c r="K962" s="100"/>
      <c r="L962" s="61"/>
      <c r="M962" s="61"/>
    </row>
    <row r="963">
      <c r="A963" s="65"/>
      <c r="B963" s="65"/>
      <c r="C963" s="65"/>
      <c r="D963" s="65"/>
      <c r="E963" s="65"/>
      <c r="F963" s="65"/>
      <c r="G963" s="65"/>
      <c r="H963" s="65"/>
      <c r="I963" s="65"/>
      <c r="J963" s="108"/>
      <c r="K963" s="103"/>
      <c r="L963" s="65"/>
      <c r="M963" s="65"/>
    </row>
    <row r="964">
      <c r="A964" s="61"/>
      <c r="B964" s="61"/>
      <c r="C964" s="61"/>
      <c r="D964" s="61"/>
      <c r="E964" s="61"/>
      <c r="F964" s="61"/>
      <c r="G964" s="61"/>
      <c r="H964" s="61"/>
      <c r="I964" s="61"/>
      <c r="J964" s="107"/>
      <c r="K964" s="100"/>
      <c r="L964" s="61"/>
      <c r="M964" s="61"/>
    </row>
    <row r="965">
      <c r="A965" s="65"/>
      <c r="B965" s="65"/>
      <c r="C965" s="65"/>
      <c r="D965" s="65"/>
      <c r="E965" s="65"/>
      <c r="F965" s="65"/>
      <c r="G965" s="65"/>
      <c r="H965" s="65"/>
      <c r="I965" s="65"/>
      <c r="J965" s="108"/>
      <c r="K965" s="103"/>
      <c r="L965" s="65"/>
      <c r="M965" s="65"/>
    </row>
    <row r="966">
      <c r="A966" s="61"/>
      <c r="B966" s="61"/>
      <c r="C966" s="61"/>
      <c r="D966" s="61"/>
      <c r="E966" s="61"/>
      <c r="F966" s="61"/>
      <c r="G966" s="61"/>
      <c r="H966" s="61"/>
      <c r="I966" s="61"/>
      <c r="J966" s="107"/>
      <c r="K966" s="100"/>
      <c r="L966" s="61"/>
      <c r="M966" s="61"/>
    </row>
    <row r="967">
      <c r="A967" s="65"/>
      <c r="B967" s="65"/>
      <c r="C967" s="65"/>
      <c r="D967" s="65"/>
      <c r="E967" s="65"/>
      <c r="F967" s="65"/>
      <c r="G967" s="65"/>
      <c r="H967" s="65"/>
      <c r="I967" s="65"/>
      <c r="J967" s="108"/>
      <c r="K967" s="103"/>
      <c r="L967" s="65"/>
      <c r="M967" s="65"/>
    </row>
    <row r="968">
      <c r="A968" s="61"/>
      <c r="B968" s="61"/>
      <c r="C968" s="61"/>
      <c r="D968" s="61"/>
      <c r="E968" s="61"/>
      <c r="F968" s="61"/>
      <c r="G968" s="61"/>
      <c r="H968" s="61"/>
      <c r="I968" s="61"/>
      <c r="J968" s="107"/>
      <c r="K968" s="100"/>
      <c r="L968" s="61"/>
      <c r="M968" s="61"/>
    </row>
    <row r="969">
      <c r="A969" s="65"/>
      <c r="B969" s="65"/>
      <c r="C969" s="65"/>
      <c r="D969" s="65"/>
      <c r="E969" s="65"/>
      <c r="F969" s="65"/>
      <c r="G969" s="65"/>
      <c r="H969" s="65"/>
      <c r="I969" s="65"/>
      <c r="J969" s="108"/>
      <c r="K969" s="103"/>
      <c r="L969" s="65"/>
      <c r="M969" s="65"/>
    </row>
    <row r="970">
      <c r="A970" s="61"/>
      <c r="B970" s="61"/>
      <c r="C970" s="61"/>
      <c r="D970" s="61"/>
      <c r="E970" s="61"/>
      <c r="F970" s="61"/>
      <c r="G970" s="61"/>
      <c r="H970" s="61"/>
      <c r="I970" s="61"/>
      <c r="J970" s="107"/>
      <c r="K970" s="100"/>
      <c r="L970" s="61"/>
      <c r="M970" s="61"/>
    </row>
    <row r="971">
      <c r="A971" s="65"/>
      <c r="B971" s="65"/>
      <c r="C971" s="65"/>
      <c r="D971" s="65"/>
      <c r="E971" s="65"/>
      <c r="F971" s="65"/>
      <c r="G971" s="65"/>
      <c r="H971" s="65"/>
      <c r="I971" s="65"/>
      <c r="J971" s="108"/>
      <c r="K971" s="103"/>
      <c r="L971" s="65"/>
      <c r="M971" s="65"/>
    </row>
    <row r="972">
      <c r="A972" s="61"/>
      <c r="B972" s="61"/>
      <c r="C972" s="61"/>
      <c r="D972" s="61"/>
      <c r="E972" s="61"/>
      <c r="F972" s="61"/>
      <c r="G972" s="61"/>
      <c r="H972" s="61"/>
      <c r="I972" s="61"/>
      <c r="J972" s="107"/>
      <c r="K972" s="100"/>
      <c r="L972" s="61"/>
      <c r="M972" s="61"/>
    </row>
    <row r="973">
      <c r="A973" s="65"/>
      <c r="B973" s="65"/>
      <c r="C973" s="65"/>
      <c r="D973" s="65"/>
      <c r="E973" s="65"/>
      <c r="F973" s="65"/>
      <c r="G973" s="65"/>
      <c r="H973" s="65"/>
      <c r="I973" s="65"/>
      <c r="J973" s="108"/>
      <c r="K973" s="103"/>
      <c r="L973" s="65"/>
      <c r="M973" s="65"/>
    </row>
    <row r="974">
      <c r="A974" s="61"/>
      <c r="B974" s="61"/>
      <c r="C974" s="61"/>
      <c r="D974" s="61"/>
      <c r="E974" s="61"/>
      <c r="F974" s="61"/>
      <c r="G974" s="61"/>
      <c r="H974" s="61"/>
      <c r="I974" s="61"/>
      <c r="J974" s="107"/>
      <c r="K974" s="100"/>
      <c r="L974" s="61"/>
      <c r="M974" s="61"/>
    </row>
    <row r="975">
      <c r="A975" s="65"/>
      <c r="B975" s="65"/>
      <c r="C975" s="65"/>
      <c r="D975" s="65"/>
      <c r="E975" s="65"/>
      <c r="F975" s="65"/>
      <c r="G975" s="65"/>
      <c r="H975" s="65"/>
      <c r="I975" s="65"/>
      <c r="J975" s="108"/>
      <c r="K975" s="103"/>
      <c r="L975" s="65"/>
      <c r="M975" s="65"/>
    </row>
    <row r="976">
      <c r="A976" s="61"/>
      <c r="B976" s="61"/>
      <c r="C976" s="61"/>
      <c r="D976" s="61"/>
      <c r="E976" s="61"/>
      <c r="F976" s="61"/>
      <c r="G976" s="61"/>
      <c r="H976" s="61"/>
      <c r="I976" s="61"/>
      <c r="J976" s="107"/>
      <c r="K976" s="100"/>
      <c r="L976" s="61"/>
      <c r="M976" s="61"/>
    </row>
    <row r="977">
      <c r="A977" s="65"/>
      <c r="B977" s="65"/>
      <c r="C977" s="65"/>
      <c r="D977" s="65"/>
      <c r="E977" s="65"/>
      <c r="F977" s="65"/>
      <c r="G977" s="65"/>
      <c r="H977" s="65"/>
      <c r="I977" s="65"/>
      <c r="J977" s="108"/>
      <c r="K977" s="103"/>
      <c r="L977" s="65"/>
      <c r="M977" s="65"/>
    </row>
    <row r="978">
      <c r="A978" s="61"/>
      <c r="B978" s="61"/>
      <c r="C978" s="61"/>
      <c r="D978" s="61"/>
      <c r="E978" s="61"/>
      <c r="F978" s="61"/>
      <c r="G978" s="61"/>
      <c r="H978" s="61"/>
      <c r="I978" s="61"/>
      <c r="J978" s="107"/>
      <c r="K978" s="100"/>
      <c r="L978" s="61"/>
      <c r="M978" s="61"/>
    </row>
    <row r="979">
      <c r="A979" s="65"/>
      <c r="B979" s="65"/>
      <c r="C979" s="65"/>
      <c r="D979" s="65"/>
      <c r="E979" s="65"/>
      <c r="F979" s="65"/>
      <c r="G979" s="65"/>
      <c r="H979" s="65"/>
      <c r="I979" s="65"/>
      <c r="J979" s="108"/>
      <c r="K979" s="103"/>
      <c r="L979" s="65"/>
      <c r="M979" s="65"/>
    </row>
    <row r="980">
      <c r="A980" s="61"/>
      <c r="B980" s="61"/>
      <c r="C980" s="61"/>
      <c r="D980" s="61"/>
      <c r="E980" s="61"/>
      <c r="F980" s="61"/>
      <c r="G980" s="61"/>
      <c r="H980" s="61"/>
      <c r="I980" s="61"/>
      <c r="J980" s="107"/>
      <c r="K980" s="100"/>
      <c r="L980" s="61"/>
      <c r="M980" s="61"/>
    </row>
    <row r="981">
      <c r="A981" s="65"/>
      <c r="B981" s="65"/>
      <c r="C981" s="65"/>
      <c r="D981" s="65"/>
      <c r="E981" s="65"/>
      <c r="F981" s="65"/>
      <c r="G981" s="65"/>
      <c r="H981" s="65"/>
      <c r="I981" s="65"/>
      <c r="J981" s="108"/>
      <c r="K981" s="103"/>
      <c r="L981" s="65"/>
      <c r="M981" s="65"/>
    </row>
    <row r="982">
      <c r="A982" s="61"/>
      <c r="B982" s="61"/>
      <c r="C982" s="61"/>
      <c r="D982" s="61"/>
      <c r="E982" s="61"/>
      <c r="F982" s="61"/>
      <c r="G982" s="61"/>
      <c r="H982" s="61"/>
      <c r="I982" s="61"/>
      <c r="J982" s="107"/>
      <c r="K982" s="100"/>
      <c r="L982" s="61"/>
      <c r="M982" s="61"/>
    </row>
    <row r="983">
      <c r="A983" s="65"/>
      <c r="B983" s="65"/>
      <c r="C983" s="65"/>
      <c r="D983" s="65"/>
      <c r="E983" s="65"/>
      <c r="F983" s="65"/>
      <c r="G983" s="65"/>
      <c r="H983" s="65"/>
      <c r="I983" s="65"/>
      <c r="J983" s="108"/>
      <c r="K983" s="103"/>
      <c r="L983" s="65"/>
      <c r="M983" s="65"/>
    </row>
    <row r="984">
      <c r="A984" s="61"/>
      <c r="B984" s="61"/>
      <c r="C984" s="61"/>
      <c r="D984" s="61"/>
      <c r="E984" s="61"/>
      <c r="F984" s="61"/>
      <c r="G984" s="61"/>
      <c r="H984" s="61"/>
      <c r="I984" s="61"/>
      <c r="J984" s="107"/>
      <c r="K984" s="100"/>
      <c r="L984" s="61"/>
      <c r="M984" s="61"/>
    </row>
    <row r="985">
      <c r="A985" s="65"/>
      <c r="B985" s="65"/>
      <c r="C985" s="65"/>
      <c r="D985" s="65"/>
      <c r="E985" s="65"/>
      <c r="F985" s="65"/>
      <c r="G985" s="65"/>
      <c r="H985" s="65"/>
      <c r="I985" s="65"/>
      <c r="J985" s="108"/>
      <c r="K985" s="103"/>
      <c r="L985" s="65"/>
      <c r="M985" s="65"/>
    </row>
    <row r="986">
      <c r="A986" s="61"/>
      <c r="B986" s="61"/>
      <c r="C986" s="61"/>
      <c r="D986" s="61"/>
      <c r="E986" s="61"/>
      <c r="F986" s="61"/>
      <c r="G986" s="61"/>
      <c r="H986" s="61"/>
      <c r="I986" s="61"/>
      <c r="J986" s="107"/>
      <c r="K986" s="100"/>
      <c r="L986" s="61"/>
      <c r="M986" s="61"/>
    </row>
    <row r="987">
      <c r="A987" s="65"/>
      <c r="B987" s="65"/>
      <c r="C987" s="65"/>
      <c r="D987" s="65"/>
      <c r="E987" s="65"/>
      <c r="F987" s="65"/>
      <c r="G987" s="65"/>
      <c r="H987" s="65"/>
      <c r="I987" s="65"/>
      <c r="J987" s="108"/>
      <c r="K987" s="103"/>
      <c r="L987" s="65"/>
      <c r="M987" s="65"/>
    </row>
    <row r="988">
      <c r="A988" s="61"/>
      <c r="B988" s="61"/>
      <c r="C988" s="61"/>
      <c r="D988" s="61"/>
      <c r="E988" s="61"/>
      <c r="F988" s="61"/>
      <c r="G988" s="61"/>
      <c r="H988" s="61"/>
      <c r="I988" s="61"/>
      <c r="J988" s="107"/>
      <c r="K988" s="100"/>
      <c r="L988" s="61"/>
      <c r="M988" s="61"/>
    </row>
    <row r="989">
      <c r="A989" s="65"/>
      <c r="B989" s="65"/>
      <c r="C989" s="65"/>
      <c r="D989" s="65"/>
      <c r="E989" s="65"/>
      <c r="F989" s="65"/>
      <c r="G989" s="65"/>
      <c r="H989" s="65"/>
      <c r="I989" s="65"/>
      <c r="J989" s="108"/>
      <c r="K989" s="103"/>
      <c r="L989" s="65"/>
      <c r="M989" s="65"/>
    </row>
    <row r="990">
      <c r="A990" s="61"/>
      <c r="B990" s="61"/>
      <c r="C990" s="61"/>
      <c r="D990" s="61"/>
      <c r="E990" s="61"/>
      <c r="F990" s="61"/>
      <c r="G990" s="61"/>
      <c r="H990" s="61"/>
      <c r="I990" s="61"/>
      <c r="J990" s="107"/>
      <c r="K990" s="100"/>
      <c r="L990" s="61"/>
      <c r="M990" s="61"/>
    </row>
    <row r="991">
      <c r="A991" s="65"/>
      <c r="B991" s="65"/>
      <c r="C991" s="65"/>
      <c r="D991" s="65"/>
      <c r="E991" s="65"/>
      <c r="F991" s="65"/>
      <c r="G991" s="65"/>
      <c r="H991" s="65"/>
      <c r="I991" s="65"/>
      <c r="J991" s="108"/>
      <c r="K991" s="103"/>
      <c r="L991" s="65"/>
      <c r="M991" s="65"/>
    </row>
    <row r="992">
      <c r="A992" s="61"/>
      <c r="B992" s="61"/>
      <c r="C992" s="61"/>
      <c r="D992" s="61"/>
      <c r="E992" s="61"/>
      <c r="F992" s="61"/>
      <c r="G992" s="61"/>
      <c r="H992" s="61"/>
      <c r="I992" s="61"/>
      <c r="J992" s="107"/>
      <c r="K992" s="100"/>
      <c r="L992" s="61"/>
      <c r="M992" s="61"/>
    </row>
    <row r="993">
      <c r="A993" s="65"/>
      <c r="B993" s="65"/>
      <c r="C993" s="65"/>
      <c r="D993" s="65"/>
      <c r="E993" s="65"/>
      <c r="F993" s="65"/>
      <c r="G993" s="65"/>
      <c r="H993" s="65"/>
      <c r="I993" s="65"/>
      <c r="J993" s="108"/>
      <c r="K993" s="103"/>
      <c r="L993" s="65"/>
      <c r="M993" s="65"/>
    </row>
    <row r="994">
      <c r="A994" s="61"/>
      <c r="B994" s="61"/>
      <c r="C994" s="61"/>
      <c r="D994" s="61"/>
      <c r="E994" s="61"/>
      <c r="F994" s="61"/>
      <c r="G994" s="61"/>
      <c r="H994" s="61"/>
      <c r="I994" s="61"/>
      <c r="J994" s="107"/>
      <c r="K994" s="100"/>
      <c r="L994" s="61"/>
      <c r="M994" s="61"/>
    </row>
    <row r="995">
      <c r="A995" s="65"/>
      <c r="B995" s="65"/>
      <c r="C995" s="65"/>
      <c r="D995" s="65"/>
      <c r="E995" s="65"/>
      <c r="F995" s="65"/>
      <c r="G995" s="65"/>
      <c r="H995" s="65"/>
      <c r="I995" s="65"/>
      <c r="J995" s="108"/>
      <c r="K995" s="103"/>
      <c r="L995" s="65"/>
      <c r="M995" s="65"/>
    </row>
    <row r="996">
      <c r="A996" s="61"/>
      <c r="B996" s="61"/>
      <c r="C996" s="61"/>
      <c r="D996" s="61"/>
      <c r="E996" s="61"/>
      <c r="F996" s="61"/>
      <c r="G996" s="61"/>
      <c r="H996" s="61"/>
      <c r="I996" s="61"/>
      <c r="J996" s="107"/>
      <c r="K996" s="100"/>
      <c r="L996" s="61"/>
      <c r="M996" s="61"/>
    </row>
    <row r="997">
      <c r="A997" s="65"/>
      <c r="B997" s="65"/>
      <c r="C997" s="65"/>
      <c r="D997" s="65"/>
      <c r="E997" s="65"/>
      <c r="F997" s="65"/>
      <c r="G997" s="65"/>
      <c r="H997" s="65"/>
      <c r="I997" s="65"/>
      <c r="J997" s="108"/>
      <c r="K997" s="103"/>
      <c r="L997" s="65"/>
      <c r="M997" s="65"/>
    </row>
    <row r="998">
      <c r="A998" s="61"/>
      <c r="B998" s="61"/>
      <c r="C998" s="61"/>
      <c r="D998" s="61"/>
      <c r="E998" s="61"/>
      <c r="F998" s="61"/>
      <c r="G998" s="61"/>
      <c r="H998" s="61"/>
      <c r="I998" s="61"/>
      <c r="J998" s="107"/>
      <c r="K998" s="100"/>
      <c r="L998" s="61"/>
      <c r="M998" s="61"/>
    </row>
    <row r="999">
      <c r="A999" s="65"/>
      <c r="B999" s="65"/>
      <c r="C999" s="65"/>
      <c r="D999" s="65"/>
      <c r="E999" s="65"/>
      <c r="F999" s="65"/>
      <c r="G999" s="65"/>
      <c r="H999" s="65"/>
      <c r="I999" s="65"/>
      <c r="J999" s="108"/>
      <c r="K999" s="103"/>
      <c r="L999" s="65"/>
      <c r="M999" s="65"/>
    </row>
  </sheetData>
  <autoFilter ref="$A$1:$L$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s>
  <drawing r:id="rId42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7" width="19.5"/>
    <col customWidth="1" min="8" max="8" width="19.0"/>
    <col customWidth="1" min="9" max="9" width="29.5"/>
    <col customWidth="1" min="10" max="10" width="25.25"/>
    <col customWidth="1" min="11" max="11" width="17.5"/>
    <col customWidth="1" min="12" max="12" width="22.63"/>
    <col customWidth="1" min="14" max="14" width="44.0"/>
  </cols>
  <sheetData>
    <row r="1">
      <c r="A1" s="45" t="s">
        <v>14039</v>
      </c>
      <c r="B1" s="45" t="s">
        <v>14211</v>
      </c>
      <c r="C1" s="45" t="s">
        <v>2</v>
      </c>
      <c r="D1" s="45" t="s">
        <v>3</v>
      </c>
      <c r="E1" s="45" t="s">
        <v>14212</v>
      </c>
      <c r="F1" s="45" t="s">
        <v>35</v>
      </c>
      <c r="G1" s="45" t="s">
        <v>15210</v>
      </c>
      <c r="H1" s="45" t="s">
        <v>20</v>
      </c>
      <c r="I1" s="45" t="s">
        <v>14</v>
      </c>
      <c r="J1" s="45" t="s">
        <v>31</v>
      </c>
      <c r="K1" s="45" t="s">
        <v>14214</v>
      </c>
      <c r="L1" s="45" t="s">
        <v>33</v>
      </c>
      <c r="M1" s="97" t="s">
        <v>34</v>
      </c>
      <c r="N1" s="97" t="s">
        <v>15208</v>
      </c>
    </row>
    <row r="2">
      <c r="A2" s="99" t="str">
        <f>IFERROR(__xludf.DUMMYFUNCTION("ARRAYFORMULA(
  IFERROR(
    FILTER(
      {
        MAIN!A:A,
        MAIN!B:B,
        MAIN!C:C,
        IF(MAIN!D:D="""", MAIN!AM:AM, MAIN!D:D),
        MAIN!E:E,
        MAIN!AJ:AJ,
        MAIN!L:L,
        MAIN!U:U,
        MAIN!V:V,
        MAIN!AF"&amp;":AF,
        MAIN!AE:AE,
        MAIN!AH:AH,
        MAIN!AI:AI,
        MAIN!AA:AA
      },
      MAIN!K:K=""Home Shipping""
    )
  )
)"),"https://utrucking.myshopify.com/admin/orders?query=15184")</f>
        <v>https://utrucking.myshopify.com/admin/orders?query=15184</v>
      </c>
      <c r="B2" s="61" t="str">
        <f>IFERROR(__xludf.DUMMYFUNCTION("""COMPUTED_VALUE"""),"#15184")</f>
        <v>#15184</v>
      </c>
      <c r="C2" s="61" t="str">
        <f>IFERROR(__xludf.DUMMYFUNCTION("""COMPUTED_VALUE"""),"a.surav@wustl.edu")</f>
        <v>a.surav@wustl.edu</v>
      </c>
      <c r="D2" s="61">
        <f>IFERROR(__xludf.DUMMYFUNCTION("""COMPUTED_VALUE"""),1.6073293312E10)</f>
        <v>16073293312</v>
      </c>
      <c r="E2" s="61" t="str">
        <f>IFERROR(__xludf.DUMMYFUNCTION("""COMPUTED_VALUE"""),"Surav Amin")</f>
        <v>Surav Amin</v>
      </c>
      <c r="F2" s="61"/>
      <c r="G2" s="61">
        <f>IFERROR(__xludf.DUMMYFUNCTION("""COMPUTED_VALUE"""),2.0)</f>
        <v>2</v>
      </c>
      <c r="H2" s="61"/>
      <c r="I2" s="61"/>
      <c r="J2" s="107"/>
      <c r="K2" s="100"/>
      <c r="L2" s="61"/>
      <c r="M2" s="61"/>
      <c r="N2" s="61"/>
    </row>
    <row r="3">
      <c r="A3" s="102" t="str">
        <f>IFERROR(__xludf.DUMMYFUNCTION("""COMPUTED_VALUE"""),"https://utrucking.com/admin/orders/5913232769212")</f>
        <v>https://utrucking.com/admin/orders/5913232769212</v>
      </c>
      <c r="B3" s="65" t="str">
        <f>IFERROR(__xludf.DUMMYFUNCTION("""COMPUTED_VALUE"""),"#15508")</f>
        <v>#15508</v>
      </c>
      <c r="C3" s="65" t="str">
        <f>IFERROR(__xludf.DUMMYFUNCTION("""COMPUTED_VALUE"""),"jolathun@gmail.com")</f>
        <v>jolathun@gmail.com</v>
      </c>
      <c r="D3" s="65"/>
      <c r="E3" s="65" t="str">
        <f>IFERROR(__xludf.DUMMYFUNCTION("""COMPUTED_VALUE"""),"Jola Thun")</f>
        <v>Jola Thun</v>
      </c>
      <c r="F3" s="65"/>
      <c r="G3" s="65">
        <f>IFERROR(__xludf.DUMMYFUNCTION("""COMPUTED_VALUE"""),2.0)</f>
        <v>2</v>
      </c>
      <c r="H3" s="65" t="str">
        <f>IFERROR(__xludf.DUMMYFUNCTION("""COMPUTED_VALUE"""),"Mudd  ")</f>
        <v>Mudd  </v>
      </c>
      <c r="I3" s="65" t="str">
        <f>IFERROR(__xludf.DUMMYFUNCTION("""COMPUTED_VALUE"""),"271")</f>
        <v>271</v>
      </c>
      <c r="J3" s="108" t="str">
        <f>IFERROR(__xludf.DUMMYFUNCTION("""COMPUTED_VALUE"""),"09:00 AM to 11:00 AM  ")</f>
        <v>09:00 AM to 11:00 AM  </v>
      </c>
      <c r="K3" s="103">
        <f>IFERROR(__xludf.DUMMYFUNCTION("""COMPUTED_VALUE"""),45871.0)</f>
        <v>45871</v>
      </c>
      <c r="L3" s="65" t="str">
        <f>IFERROR(__xludf.DUMMYFUNCTION("""COMPUTED_VALUE"""),"Hampton Thun
3152 Curts Ave
Los Angeles, CA 90034 ")</f>
        <v>Hampton Thun
3152 Curts Ave
Los Angeles, CA 90034 </v>
      </c>
      <c r="M3" s="65"/>
      <c r="N3" s="65"/>
    </row>
    <row r="4">
      <c r="A4" s="99" t="str">
        <f>IFERROR(__xludf.DUMMYFUNCTION("""COMPUTED_VALUE"""),"https://utrucking.com/admin/orders/5941711700156")</f>
        <v>https://utrucking.com/admin/orders/5941711700156</v>
      </c>
      <c r="B4" s="61" t="str">
        <f>IFERROR(__xludf.DUMMYFUNCTION("""COMPUTED_VALUE"""),"#16338")</f>
        <v>#16338</v>
      </c>
      <c r="C4" s="61"/>
      <c r="D4" s="61">
        <f>IFERROR(__xludf.DUMMYFUNCTION("""COMPUTED_VALUE"""),7.7066832E9)</f>
        <v>7706683200</v>
      </c>
      <c r="E4" s="61" t="str">
        <f>IFERROR(__xludf.DUMMYFUNCTION("""COMPUTED_VALUE"""),"Charles Maxell III")</f>
        <v>Charles Maxell III</v>
      </c>
      <c r="F4" s="61" t="str">
        <f>IFERROR(__xludf.DUMMYFUNCTION("""COMPUTED_VALUE"""),"Charles Maxell III")</f>
        <v>Charles Maxell III</v>
      </c>
      <c r="G4" s="61" t="str">
        <f>IFERROR(__xludf.DUMMYFUNCTION("""COMPUTED_VALUE""")," 0   - ")</f>
        <v> 0   - </v>
      </c>
      <c r="H4" s="61" t="str">
        <f>IFERROR(__xludf.DUMMYFUNCTION("""COMPUTED_VALUE"""),"Park  ")</f>
        <v>Park  </v>
      </c>
      <c r="I4" s="61" t="str">
        <f>IFERROR(__xludf.DUMMYFUNCTION("""COMPUTED_VALUE"""),"410 B")</f>
        <v>410 B</v>
      </c>
      <c r="J4" s="107" t="str">
        <f>IFERROR(__xludf.DUMMYFUNCTION("""COMPUTED_VALUE"""),"09:00 AM to 11:00 AM  ")</f>
        <v>09:00 AM to 11:00 AM  </v>
      </c>
      <c r="K4" s="100">
        <f>IFERROR(__xludf.DUMMYFUNCTION("""COMPUTED_VALUE"""),45887.0)</f>
        <v>45887</v>
      </c>
      <c r="L4" s="61" t="str">
        <f>IFERROR(__xludf.DUMMYFUNCTION("""COMPUTED_VALUE"""),"5025 Duxford Drive SE ")</f>
        <v>5025 Duxford Drive SE </v>
      </c>
      <c r="M4" s="61"/>
      <c r="N4" s="61"/>
    </row>
    <row r="5">
      <c r="A5" s="102" t="str">
        <f>IFERROR(__xludf.DUMMYFUNCTION("""COMPUTED_VALUE"""),"https://utrucking.com/admin/orders/6064957882556")</f>
        <v>https://utrucking.com/admin/orders/6064957882556</v>
      </c>
      <c r="B5" s="65" t="str">
        <f>IFERROR(__xludf.DUMMYFUNCTION("""COMPUTED_VALUE"""),"#16629")</f>
        <v>#16629</v>
      </c>
      <c r="C5" s="65" t="str">
        <f>IFERROR(__xludf.DUMMYFUNCTION("""COMPUTED_VALUE"""),"garelick@wustl.edu")</f>
        <v>garelick@wustl.edu</v>
      </c>
      <c r="D5" s="65">
        <f>IFERROR(__xludf.DUMMYFUNCTION("""COMPUTED_VALUE"""),2.014007616E9)</f>
        <v>2014007616</v>
      </c>
      <c r="E5" s="65" t="str">
        <f>IFERROR(__xludf.DUMMYFUNCTION("""COMPUTED_VALUE"""),"Jared Garelick")</f>
        <v>Jared Garelick</v>
      </c>
      <c r="F5" s="65" t="str">
        <f>IFERROR(__xludf.DUMMYFUNCTION("""COMPUTED_VALUE"""),"Jared Garelick")</f>
        <v>Jared Garelick</v>
      </c>
      <c r="G5" s="65" t="str">
        <f>IFERROR(__xludf.DUMMYFUNCTION("""COMPUTED_VALUE""")," 1 [Included with Registration]   - ")</f>
        <v> 1 [Included with Registration]   - </v>
      </c>
      <c r="H5" s="65"/>
      <c r="I5" s="65"/>
      <c r="J5" s="108" t="str">
        <f>IFERROR(__xludf.DUMMYFUNCTION("""COMPUTED_VALUE"""),"11:00 AM to 01:00 PM  ")</f>
        <v>11:00 AM to 01:00 PM  </v>
      </c>
      <c r="K5" s="103">
        <f>IFERROR(__xludf.DUMMYFUNCTION("""COMPUTED_VALUE"""),46002.0)</f>
        <v>46002</v>
      </c>
      <c r="L5" s="65" t="str">
        <f>IFERROR(__xludf.DUMMYFUNCTION("""COMPUTED_VALUE"""),"407 Thornden St
South Orange, NJ 07079 ")</f>
        <v>407 Thornden St
South Orange, NJ 07079 </v>
      </c>
      <c r="M5" s="65"/>
      <c r="N5" s="65" t="str">
        <f>IFERROR(__xludf.DUMMYFUNCTION("""COMPUTED_VALUE"""),"5956 De Giverville Ave
St. Louis")</f>
        <v>5956 De Giverville Ave
St. Louis</v>
      </c>
    </row>
    <row r="6">
      <c r="A6" s="99" t="str">
        <f>IFERROR(__xludf.DUMMYFUNCTION("""COMPUTED_VALUE"""),"https://utrucking.com/admin/orders/6068272136380")</f>
        <v>https://utrucking.com/admin/orders/6068272136380</v>
      </c>
      <c r="B6" s="61" t="str">
        <f>IFERROR(__xludf.DUMMYFUNCTION("""COMPUTED_VALUE"""),"#16630")</f>
        <v>#16630</v>
      </c>
      <c r="C6" s="61" t="str">
        <f>IFERROR(__xludf.DUMMYFUNCTION("""COMPUTED_VALUE"""),"b.cayden@wustl.edu")</f>
        <v>b.cayden@wustl.edu</v>
      </c>
      <c r="D6" s="61" t="str">
        <f>IFERROR(__xludf.DUMMYFUNCTION("""COMPUTED_VALUE"""),"(973) 715-4139")</f>
        <v>(973) 715-4139</v>
      </c>
      <c r="E6" s="61" t="str">
        <f>IFERROR(__xludf.DUMMYFUNCTION("""COMPUTED_VALUE"""),"Sondra Barrison")</f>
        <v>Sondra Barrison</v>
      </c>
      <c r="F6" s="61" t="str">
        <f>IFERROR(__xludf.DUMMYFUNCTION("""COMPUTED_VALUE"""),"Cayden Barrison")</f>
        <v>Cayden Barrison</v>
      </c>
      <c r="G6" s="61" t="str">
        <f>IFERROR(__xludf.DUMMYFUNCTION("""COMPUTED_VALUE""")," 1 [Included with Registration]   - ")</f>
        <v> 1 [Included with Registration]   - </v>
      </c>
      <c r="H6" s="61" t="str">
        <f>IFERROR(__xludf.DUMMYFUNCTION("""COMPUTED_VALUE"""),"6645 University Drive  ")</f>
        <v>6645 University Drive  </v>
      </c>
      <c r="I6" s="61" t="str">
        <f>IFERROR(__xludf.DUMMYFUNCTION("""COMPUTED_VALUE"""),"1E-A")</f>
        <v>1E-A</v>
      </c>
      <c r="J6" s="107" t="str">
        <f>IFERROR(__xludf.DUMMYFUNCTION("""COMPUTED_VALUE"""),"10:00 AM to 12:00 PM  ")</f>
        <v>10:00 AM to 12:00 PM  </v>
      </c>
      <c r="K6" s="100">
        <f>IFERROR(__xludf.DUMMYFUNCTION("""COMPUTED_VALUE"""),46006.0)</f>
        <v>46006</v>
      </c>
      <c r="L6" s="61" t="str">
        <f>IFERROR(__xludf.DUMMYFUNCTION("""COMPUTED_VALUE"""),"115 Scott Drive
Watchung, NJ 07069 ")</f>
        <v>115 Scott Drive
Watchung, NJ 07069 </v>
      </c>
      <c r="M6" s="61"/>
      <c r="N6" s="61"/>
    </row>
    <row r="7">
      <c r="A7" s="102" t="str">
        <f>IFERROR(__xludf.DUMMYFUNCTION("""COMPUTED_VALUE"""),"https://utrucking.com/admin/orders/6140451520700")</f>
        <v>https://utrucking.com/admin/orders/6140451520700</v>
      </c>
      <c r="B7" s="65" t="str">
        <f>IFERROR(__xludf.DUMMYFUNCTION("""COMPUTED_VALUE"""),"#16645")</f>
        <v>#16645</v>
      </c>
      <c r="C7" s="65" t="str">
        <f>IFERROR(__xludf.DUMMYFUNCTION("""COMPUTED_VALUE"""),"tktyranski@aol.com")</f>
        <v>tktyranski@aol.com</v>
      </c>
      <c r="D7" s="65">
        <f>IFERROR(__xludf.DUMMYFUNCTION("""COMPUTED_VALUE"""),7.272207525E9)</f>
        <v>7272207525</v>
      </c>
      <c r="E7" s="65" t="str">
        <f>IFERROR(__xludf.DUMMYFUNCTION("""COMPUTED_VALUE"""),"Lara Tyranski")</f>
        <v>Lara Tyranski</v>
      </c>
      <c r="F7" s="65" t="str">
        <f>IFERROR(__xludf.DUMMYFUNCTION("""COMPUTED_VALUE"""),"Lara Tyranski")</f>
        <v>Lara Tyranski</v>
      </c>
      <c r="G7" s="65" t="str">
        <f>IFERROR(__xludf.DUMMYFUNCTION("""COMPUTED_VALUE""")," 1 [Included with Registration]   - ")</f>
        <v> 1 [Included with Registration]   - </v>
      </c>
      <c r="H7" s="65"/>
      <c r="I7" s="65"/>
      <c r="J7" s="108" t="str">
        <f>IFERROR(__xludf.DUMMYFUNCTION("""COMPUTED_VALUE"""),"11:00 AM to 01:00 PM  ")</f>
        <v>11:00 AM to 01:00 PM  </v>
      </c>
      <c r="K7" s="103">
        <f>IFERROR(__xludf.DUMMYFUNCTION("""COMPUTED_VALUE"""),46009.0)</f>
        <v>46009</v>
      </c>
      <c r="L7" s="65" t="str">
        <f>IFERROR(__xludf.DUMMYFUNCTION("""COMPUTED_VALUE"""),"5927 Bayview Circle S
Gulfport, FL 33707 ")</f>
        <v>5927 Bayview Circle S
Gulfport, FL 33707 </v>
      </c>
      <c r="M7" s="65"/>
      <c r="N7" s="65" t="str">
        <f>IFERROR(__xludf.DUMMYFUNCTION("""COMPUTED_VALUE"""),"Everyl on The Loop 
6105 Delmar Blvd.
Apartment 617A
")</f>
        <v>Everyl on The Loop 
6105 Delmar Blvd.
Apartment 617A
</v>
      </c>
    </row>
    <row r="8">
      <c r="A8" s="99" t="str">
        <f>IFERROR(__xludf.DUMMYFUNCTION("""COMPUTED_VALUE"""),"https://utrucking.com/admin/orders/6157672317116")</f>
        <v>https://utrucking.com/admin/orders/6157672317116</v>
      </c>
      <c r="B8" s="61" t="str">
        <f>IFERROR(__xludf.DUMMYFUNCTION("""COMPUTED_VALUE"""),"#16650")</f>
        <v>#16650</v>
      </c>
      <c r="C8" s="61" t="str">
        <f>IFERROR(__xludf.DUMMYFUNCTION("""COMPUTED_VALUE"""),"utrucking.facebook878@passmail.net")</f>
        <v>utrucking.facebook878@passmail.net</v>
      </c>
      <c r="D8" s="61">
        <f>IFERROR(__xludf.DUMMYFUNCTION("""COMPUTED_VALUE"""),5.622993367E9)</f>
        <v>5622993367</v>
      </c>
      <c r="E8" s="61" t="str">
        <f>IFERROR(__xludf.DUMMYFUNCTION("""COMPUTED_VALUE"""),"David Park")</f>
        <v>David Park</v>
      </c>
      <c r="F8" s="61" t="str">
        <f>IFERROR(__xludf.DUMMYFUNCTION("""COMPUTED_VALUE"""),"David Park")</f>
        <v>David Park</v>
      </c>
      <c r="G8" s="61" t="str">
        <f>IFERROR(__xludf.DUMMYFUNCTION("""COMPUTED_VALUE""")," 1 [Included with Registration]   - ")</f>
        <v> 1 [Included with Registration]   - </v>
      </c>
      <c r="H8" s="61" t="str">
        <f>IFERROR(__xludf.DUMMYFUNCTION("""COMPUTED_VALUE"""),"Greenway Apartments  ")</f>
        <v>Greenway Apartments  </v>
      </c>
      <c r="I8" s="61" t="str">
        <f>IFERROR(__xludf.DUMMYFUNCTION("""COMPUTED_VALUE"""),"308A")</f>
        <v>308A</v>
      </c>
      <c r="J8" s="107" t="str">
        <f>IFERROR(__xludf.DUMMYFUNCTION("""COMPUTED_VALUE"""),"01:00 PM to 03:00 PM  ")</f>
        <v>01:00 PM to 03:00 PM  </v>
      </c>
      <c r="K8" s="100">
        <f>IFERROR(__xludf.DUMMYFUNCTION("""COMPUTED_VALUE"""),46008.0)</f>
        <v>46008</v>
      </c>
      <c r="L8" s="61" t="str">
        <f>IFERROR(__xludf.DUMMYFUNCTION("""COMPUTED_VALUE"""),"17502 Vierra Ave, Cerritos CA 90703 ")</f>
        <v>17502 Vierra Ave, Cerritos CA 90703 </v>
      </c>
      <c r="M8" s="61"/>
      <c r="N8" s="61"/>
    </row>
    <row r="9">
      <c r="A9" s="102" t="str">
        <f>IFERROR(__xludf.DUMMYFUNCTION("""COMPUTED_VALUE"""),"https://utrucking.com/admin/orders/6159423766716")</f>
        <v>https://utrucking.com/admin/orders/6159423766716</v>
      </c>
      <c r="B9" s="65" t="str">
        <f>IFERROR(__xludf.DUMMYFUNCTION("""COMPUTED_VALUE"""),"#16651")</f>
        <v>#16651</v>
      </c>
      <c r="C9" s="65"/>
      <c r="D9" s="65">
        <f>IFERROR(__xludf.DUMMYFUNCTION("""COMPUTED_VALUE"""),4.757774245E9)</f>
        <v>4757774245</v>
      </c>
      <c r="E9" s="65" t="str">
        <f>IFERROR(__xludf.DUMMYFUNCTION("""COMPUTED_VALUE"""),"Megan Davis")</f>
        <v>Megan Davis</v>
      </c>
      <c r="F9" s="65" t="str">
        <f>IFERROR(__xludf.DUMMYFUNCTION("""COMPUTED_VALUE"""),"Megan Davis")</f>
        <v>Megan Davis</v>
      </c>
      <c r="G9" s="65" t="str">
        <f>IFERROR(__xludf.DUMMYFUNCTION("""COMPUTED_VALUE""")," 1 [Included with Registration]   - ")</f>
        <v> 1 [Included with Registration]   - </v>
      </c>
      <c r="H9" s="65" t="str">
        <f>IFERROR(__xludf.DUMMYFUNCTION("""COMPUTED_VALUE"""),"Greenway Apartments  ")</f>
        <v>Greenway Apartments  </v>
      </c>
      <c r="I9" s="65" t="str">
        <f>IFERROR(__xludf.DUMMYFUNCTION("""COMPUTED_VALUE"""),"104B")</f>
        <v>104B</v>
      </c>
      <c r="J9" s="108" t="str">
        <f>IFERROR(__xludf.DUMMYFUNCTION("""COMPUTED_VALUE"""),"09:00 AM to 11:00 AM  ")</f>
        <v>09:00 AM to 11:00 AM  </v>
      </c>
      <c r="K9" s="103">
        <f>IFERROR(__xludf.DUMMYFUNCTION("""COMPUTED_VALUE"""),46006.0)</f>
        <v>46006</v>
      </c>
      <c r="L9" s="65" t="str">
        <f>IFERROR(__xludf.DUMMYFUNCTION("""COMPUTED_VALUE"""),"3228 Park Ave Richmond VA 23221 ")</f>
        <v>3228 Park Ave Richmond VA 23221 </v>
      </c>
      <c r="M9" s="65"/>
      <c r="N9" s="65"/>
    </row>
    <row r="10">
      <c r="A10" s="99" t="str">
        <f>IFERROR(__xludf.DUMMYFUNCTION("""COMPUTED_VALUE"""),"https://utrucking.com/admin/orders/6160320331964")</f>
        <v>https://utrucking.com/admin/orders/6160320331964</v>
      </c>
      <c r="B10" s="61" t="str">
        <f>IFERROR(__xludf.DUMMYFUNCTION("""COMPUTED_VALUE"""),"#16653")</f>
        <v>#16653</v>
      </c>
      <c r="C10" s="61" t="str">
        <f>IFERROR(__xludf.DUMMYFUNCTION("""COMPUTED_VALUE"""),"mbreth@larryharmonpictures.com")</f>
        <v>mbreth@larryharmonpictures.com</v>
      </c>
      <c r="D10" s="61">
        <f>IFERROR(__xludf.DUMMYFUNCTION("""COMPUTED_VALUE"""),3.106145209E9)</f>
        <v>3106145209</v>
      </c>
      <c r="E10" s="61" t="str">
        <f>IFERROR(__xludf.DUMMYFUNCTION("""COMPUTED_VALUE"""),"Marci Carabet")</f>
        <v>Marci Carabet</v>
      </c>
      <c r="F10" s="61" t="str">
        <f>IFERROR(__xludf.DUMMYFUNCTION("""COMPUTED_VALUE"""),"Griffen Carabet")</f>
        <v>Griffen Carabet</v>
      </c>
      <c r="G10" s="61" t="str">
        <f>IFERROR(__xludf.DUMMYFUNCTION("""COMPUTED_VALUE""")," 1 [Included with Registration]   - ")</f>
        <v> 1 [Included with Registration]   - </v>
      </c>
      <c r="H10" s="61" t="str">
        <f>IFERROR(__xludf.DUMMYFUNCTION("""COMPUTED_VALUE"""),"House 22 (Beta Theta Pi)")</f>
        <v>House 22 (Beta Theta Pi)</v>
      </c>
      <c r="I10" s="61" t="str">
        <f>IFERROR(__xludf.DUMMYFUNCTION("""COMPUTED_VALUE"""),"3043")</f>
        <v>3043</v>
      </c>
      <c r="J10" s="107" t="str">
        <f>IFERROR(__xludf.DUMMYFUNCTION("""COMPUTED_VALUE"""),"09:00 AM to 11:00 AM  ")</f>
        <v>09:00 AM to 11:00 AM  </v>
      </c>
      <c r="K10" s="100">
        <f>IFERROR(__xludf.DUMMYFUNCTION("""COMPUTED_VALUE"""),46010.0)</f>
        <v>46010</v>
      </c>
      <c r="L10" s="61" t="str">
        <f>IFERROR(__xludf.DUMMYFUNCTION("""COMPUTED_VALUE"""),"30024 Trail Creek Drive
Agoura Hills, CA 91301 ")</f>
        <v>30024 Trail Creek Drive
Agoura Hills, CA 91301 </v>
      </c>
      <c r="M10" s="61"/>
      <c r="N10" s="61"/>
    </row>
    <row r="11">
      <c r="A11" s="102" t="str">
        <f>IFERROR(__xludf.DUMMYFUNCTION("""COMPUTED_VALUE"""),"https://utrucking.com/admin/orders/6169413550268")</f>
        <v>https://utrucking.com/admin/orders/6169413550268</v>
      </c>
      <c r="B11" s="65" t="str">
        <f>IFERROR(__xludf.DUMMYFUNCTION("""COMPUTED_VALUE"""),"#16681")</f>
        <v>#16681</v>
      </c>
      <c r="C11" s="65" t="str">
        <f>IFERROR(__xludf.DUMMYFUNCTION("""COMPUTED_VALUE"""),"d.tyler1@wustl.edu")</f>
        <v>d.tyler1@wustl.edu</v>
      </c>
      <c r="D11" s="65">
        <f>IFERROR(__xludf.DUMMYFUNCTION("""COMPUTED_VALUE"""),6.466603552E9)</f>
        <v>6466603552</v>
      </c>
      <c r="E11" s="65" t="str">
        <f>IFERROR(__xludf.DUMMYFUNCTION("""COMPUTED_VALUE"""),"Tyler Hanson Mathur")</f>
        <v>Tyler Hanson Mathur</v>
      </c>
      <c r="F11" s="65" t="str">
        <f>IFERROR(__xludf.DUMMYFUNCTION("""COMPUTED_VALUE"""),"Tyler Hanson Mathur")</f>
        <v>Tyler Hanson Mathur</v>
      </c>
      <c r="G11" s="65" t="str">
        <f>IFERROR(__xludf.DUMMYFUNCTION("""COMPUTED_VALUE""")," 1 [Included with Registration]   - ")</f>
        <v> 1 [Included with Registration]   - </v>
      </c>
      <c r="H11" s="65" t="str">
        <f>IFERROR(__xludf.DUMMYFUNCTION("""COMPUTED_VALUE"""),"Loop Loft 6255  ")</f>
        <v>Loop Loft 6255  </v>
      </c>
      <c r="I11" s="65" t="str">
        <f>IFERROR(__xludf.DUMMYFUNCTION("""COMPUTED_VALUE"""),"410")</f>
        <v>410</v>
      </c>
      <c r="J11" s="108" t="str">
        <f>IFERROR(__xludf.DUMMYFUNCTION("""COMPUTED_VALUE"""),"09:00 AM to 11:00 AM  ")</f>
        <v>09:00 AM to 11:00 AM  </v>
      </c>
      <c r="K11" s="103">
        <f>IFERROR(__xludf.DUMMYFUNCTION("""COMPUTED_VALUE"""),46003.0)</f>
        <v>46003</v>
      </c>
      <c r="L11" s="65" t="str">
        <f>IFERROR(__xludf.DUMMYFUNCTION("""COMPUTED_VALUE"""),"Loop Loft 6255 Apt 410 ")</f>
        <v>Loop Loft 6255 Apt 410 </v>
      </c>
      <c r="M11" s="65"/>
      <c r="N11" s="65"/>
    </row>
    <row r="12">
      <c r="A12" s="99" t="str">
        <f>IFERROR(__xludf.DUMMYFUNCTION("""COMPUTED_VALUE"""),"https://utrucking.com/admin/orders/6169603834044")</f>
        <v>https://utrucking.com/admin/orders/6169603834044</v>
      </c>
      <c r="B12" s="61" t="str">
        <f>IFERROR(__xludf.DUMMYFUNCTION("""COMPUTED_VALUE"""),"#16682")</f>
        <v>#16682</v>
      </c>
      <c r="C12" s="61" t="str">
        <f>IFERROR(__xludf.DUMMYFUNCTION("""COMPUTED_VALUE"""),"raphaelmittererclaudet@gmail.com")</f>
        <v>raphaelmittererclaudet@gmail.com</v>
      </c>
      <c r="D12" s="61"/>
      <c r="E12" s="61" t="str">
        <f>IFERROR(__xludf.DUMMYFUNCTION("""COMPUTED_VALUE"""),"Michael Mitterer")</f>
        <v>Michael Mitterer</v>
      </c>
      <c r="F12" s="61" t="str">
        <f>IFERROR(__xludf.DUMMYFUNCTION("""COMPUTED_VALUE"""),"Rapha Mitterer-Claudet")</f>
        <v>Rapha Mitterer-Claudet</v>
      </c>
      <c r="G12" s="61" t="str">
        <f>IFERROR(__xludf.DUMMYFUNCTION("""COMPUTED_VALUE""")," 1 [Included with Registration]   - ")</f>
        <v> 1 [Included with Registration]   - </v>
      </c>
      <c r="H12" s="61" t="str">
        <f>IFERROR(__xludf.DUMMYFUNCTION("""COMPUTED_VALUE"""),"House 22 (Beta Theta Pi)")</f>
        <v>House 22 (Beta Theta Pi)</v>
      </c>
      <c r="I12" s="61" t="str">
        <f>IFERROR(__xludf.DUMMYFUNCTION("""COMPUTED_VALUE"""),"3041")</f>
        <v>3041</v>
      </c>
      <c r="J12" s="107" t="str">
        <f>IFERROR(__xludf.DUMMYFUNCTION("""COMPUTED_VALUE"""),"10:00 AM to 12:00 PM  ")</f>
        <v>10:00 AM to 12:00 PM  </v>
      </c>
      <c r="K12" s="100">
        <f>IFERROR(__xludf.DUMMYFUNCTION("""COMPUTED_VALUE"""),46006.0)</f>
        <v>46006</v>
      </c>
      <c r="L12" s="61" t="str">
        <f>IFERROR(__xludf.DUMMYFUNCTION("""COMPUTED_VALUE"""),"6115 Alpha Road Dallas, TX ")</f>
        <v>6115 Alpha Road Dallas, TX </v>
      </c>
      <c r="M12" s="61"/>
      <c r="N12" s="61"/>
    </row>
    <row r="13">
      <c r="A13" s="102" t="str">
        <f>IFERROR(__xludf.DUMMYFUNCTION("""COMPUTED_VALUE"""),"https://utrucking.com/admin/orders/6170793017532")</f>
        <v>https://utrucking.com/admin/orders/6170793017532</v>
      </c>
      <c r="B13" s="65" t="str">
        <f>IFERROR(__xludf.DUMMYFUNCTION("""COMPUTED_VALUE"""),"#16683")</f>
        <v>#16683</v>
      </c>
      <c r="C13" s="65" t="str">
        <f>IFERROR(__xludf.DUMMYFUNCTION("""COMPUTED_VALUE"""),"dana.toussieh@gmail.com")</f>
        <v>dana.toussieh@gmail.com</v>
      </c>
      <c r="D13" s="65">
        <f>IFERROR(__xludf.DUMMYFUNCTION("""COMPUTED_VALUE"""),6.505754445E9)</f>
        <v>6505754445</v>
      </c>
      <c r="E13" s="65" t="str">
        <f>IFERROR(__xludf.DUMMYFUNCTION("""COMPUTED_VALUE"""),"Dana Toussieh")</f>
        <v>Dana Toussieh</v>
      </c>
      <c r="F13" s="65" t="str">
        <f>IFERROR(__xludf.DUMMYFUNCTION("""COMPUTED_VALUE"""),"Dana Toussieh")</f>
        <v>Dana Toussieh</v>
      </c>
      <c r="G13" s="65" t="str">
        <f>IFERROR(__xludf.DUMMYFUNCTION("""COMPUTED_VALUE""")," 2   - ")</f>
        <v> 2   - </v>
      </c>
      <c r="H13" s="65" t="str">
        <f>IFERROR(__xludf.DUMMYFUNCTION("""COMPUTED_VALUE"""),"Lopata  ")</f>
        <v>Lopata  </v>
      </c>
      <c r="I13" s="65" t="str">
        <f>IFERROR(__xludf.DUMMYFUNCTION("""COMPUTED_VALUE"""),"1052")</f>
        <v>1052</v>
      </c>
      <c r="J13" s="108" t="str">
        <f>IFERROR(__xludf.DUMMYFUNCTION("""COMPUTED_VALUE"""),"03:00 PM to 05:00 PM")</f>
        <v>03:00 PM to 05:00 PM</v>
      </c>
      <c r="K13" s="103">
        <f>IFERROR(__xludf.DUMMYFUNCTION("""COMPUTED_VALUE"""),46008.0)</f>
        <v>46008</v>
      </c>
      <c r="L13" s="65" t="str">
        <f>IFERROR(__xludf.DUMMYFUNCTION("""COMPUTED_VALUE"""),"598 LOMA VERDE AVENUE, PALO ALTO, CALIFORNIA 94306 ")</f>
        <v>598 LOMA VERDE AVENUE, PALO ALTO, CALIFORNIA 94306 </v>
      </c>
      <c r="M13" s="65"/>
      <c r="N13" s="65"/>
    </row>
    <row r="14">
      <c r="A14" s="99" t="str">
        <f>IFERROR(__xludf.DUMMYFUNCTION("""COMPUTED_VALUE"""),"https://utrucking.com/admin/orders/6172887253180")</f>
        <v>https://utrucking.com/admin/orders/6172887253180</v>
      </c>
      <c r="B14" s="61" t="str">
        <f>IFERROR(__xludf.DUMMYFUNCTION("""COMPUTED_VALUE"""),"#16688")</f>
        <v>#16688</v>
      </c>
      <c r="C14" s="61" t="str">
        <f>IFERROR(__xludf.DUMMYFUNCTION("""COMPUTED_VALUE"""),"cyoonjk@gmail.com")</f>
        <v>cyoonjk@gmail.com</v>
      </c>
      <c r="D14" s="61">
        <f>IFERROR(__xludf.DUMMYFUNCTION("""COMPUTED_VALUE"""),3.106143925E9)</f>
        <v>3106143925</v>
      </c>
      <c r="E14" s="61" t="str">
        <f>IFERROR(__xludf.DUMMYFUNCTION("""COMPUTED_VALUE"""),"kara yoon")</f>
        <v>kara yoon</v>
      </c>
      <c r="F14" s="61" t="str">
        <f>IFERROR(__xludf.DUMMYFUNCTION("""COMPUTED_VALUE"""),"kara yoon")</f>
        <v>kara yoon</v>
      </c>
      <c r="G14" s="61" t="str">
        <f>IFERROR(__xludf.DUMMYFUNCTION("""COMPUTED_VALUE""")," 1 [Included with Registration]   - ")</f>
        <v> 1 [Included with Registration]   - </v>
      </c>
      <c r="H14" s="61" t="str">
        <f>IFERROR(__xludf.DUMMYFUNCTION("""COMPUTED_VALUE"""),"Millbrook Bldg. 1  ")</f>
        <v>Millbrook Bldg. 1  </v>
      </c>
      <c r="I14" s="61" t="str">
        <f>IFERROR(__xludf.DUMMYFUNCTION("""COMPUTED_VALUE"""),"203")</f>
        <v>203</v>
      </c>
      <c r="J14" s="107" t="str">
        <f>IFERROR(__xludf.DUMMYFUNCTION("""COMPUTED_VALUE"""),"12:00 PM to 02:00 PM  ")</f>
        <v>12:00 PM to 02:00 PM  </v>
      </c>
      <c r="K14" s="100">
        <f>IFERROR(__xludf.DUMMYFUNCTION("""COMPUTED_VALUE"""),46006.0)</f>
        <v>46006</v>
      </c>
      <c r="L14" s="61" t="str">
        <f>IFERROR(__xludf.DUMMYFUNCTION("""COMPUTED_VALUE"""),"1514 Sorrento drive, Pacific palisades, CA. 90272 ")</f>
        <v>1514 Sorrento drive, Pacific palisades, CA. 90272 </v>
      </c>
      <c r="M14" s="61"/>
      <c r="N14" s="61"/>
    </row>
    <row r="15">
      <c r="A15" s="102" t="str">
        <f>IFERROR(__xludf.DUMMYFUNCTION("""COMPUTED_VALUE"""),"https://utrucking.com/admin/orders/6176983351484")</f>
        <v>https://utrucking.com/admin/orders/6176983351484</v>
      </c>
      <c r="B15" s="65" t="str">
        <f>IFERROR(__xludf.DUMMYFUNCTION("""COMPUTED_VALUE"""),"#16690")</f>
        <v>#16690</v>
      </c>
      <c r="C15" s="65" t="str">
        <f>IFERROR(__xludf.DUMMYFUNCTION("""COMPUTED_VALUE"""),"lucaminnich@gmail.com")</f>
        <v>lucaminnich@gmail.com</v>
      </c>
      <c r="D15" s="65">
        <f>IFERROR(__xludf.DUMMYFUNCTION("""COMPUTED_VALUE"""),9.178281862E9)</f>
        <v>9178281862</v>
      </c>
      <c r="E15" s="65" t="str">
        <f>IFERROR(__xludf.DUMMYFUNCTION("""COMPUTED_VALUE"""),"Luca Minnich")</f>
        <v>Luca Minnich</v>
      </c>
      <c r="F15" s="65" t="str">
        <f>IFERROR(__xludf.DUMMYFUNCTION("""COMPUTED_VALUE"""),"Luca Minnich")</f>
        <v>Luca Minnich</v>
      </c>
      <c r="G15" s="65" t="str">
        <f>IFERROR(__xludf.DUMMYFUNCTION("""COMPUTED_VALUE""")," 1 [Included with Registration]   - ")</f>
        <v> 1 [Included with Registration]   - </v>
      </c>
      <c r="H15" s="65" t="str">
        <f>IFERROR(__xludf.DUMMYFUNCTION("""COMPUTED_VALUE"""),"Lien  ")</f>
        <v>Lien  </v>
      </c>
      <c r="I15" s="65" t="str">
        <f>IFERROR(__xludf.DUMMYFUNCTION("""COMPUTED_VALUE"""),"3312")</f>
        <v>3312</v>
      </c>
      <c r="J15" s="108" t="str">
        <f>IFERROR(__xludf.DUMMYFUNCTION("""COMPUTED_VALUE"""),"03:00 PM to 05:00 PM")</f>
        <v>03:00 PM to 05:00 PM</v>
      </c>
      <c r="K15" s="103">
        <f>IFERROR(__xludf.DUMMYFUNCTION("""COMPUTED_VALUE"""),46004.0)</f>
        <v>46004</v>
      </c>
      <c r="L15" s="65" t="str">
        <f>IFERROR(__xludf.DUMMYFUNCTION("""COMPUTED_VALUE"""),"19 Brookridge Drive, Greenwich CT, 06830 ")</f>
        <v>19 Brookridge Drive, Greenwich CT, 06830 </v>
      </c>
      <c r="M15" s="65"/>
      <c r="N15" s="65"/>
    </row>
    <row r="16">
      <c r="A16" s="99" t="str">
        <f>IFERROR(__xludf.DUMMYFUNCTION("""COMPUTED_VALUE"""),"https://utrucking.com/admin/orders/6178358952124")</f>
        <v>https://utrucking.com/admin/orders/6178358952124</v>
      </c>
      <c r="B16" s="61" t="str">
        <f>IFERROR(__xludf.DUMMYFUNCTION("""COMPUTED_VALUE"""),"#16691")</f>
        <v>#16691</v>
      </c>
      <c r="C16" s="61" t="str">
        <f>IFERROR(__xludf.DUMMYFUNCTION("""COMPUTED_VALUE"""),"josephlimbo65@gmail.com")</f>
        <v>josephlimbo65@gmail.com</v>
      </c>
      <c r="D16" s="61"/>
      <c r="E16" s="61" t="str">
        <f>IFERROR(__xludf.DUMMYFUNCTION("""COMPUTED_VALUE"""),"Joseph Lim")</f>
        <v>Joseph Lim</v>
      </c>
      <c r="F16" s="61" t="str">
        <f>IFERROR(__xludf.DUMMYFUNCTION("""COMPUTED_VALUE"""),"Joseph Lim")</f>
        <v>Joseph Lim</v>
      </c>
      <c r="G16" s="61" t="str">
        <f>IFERROR(__xludf.DUMMYFUNCTION("""COMPUTED_VALUE""")," 0   - ")</f>
        <v> 0   - </v>
      </c>
      <c r="H16" s="61"/>
      <c r="I16" s="61"/>
      <c r="J16" s="107" t="str">
        <f>IFERROR(__xludf.DUMMYFUNCTION("""COMPUTED_VALUE"""),"03:00 PM to 05:00 PM")</f>
        <v>03:00 PM to 05:00 PM</v>
      </c>
      <c r="K16" s="100">
        <f>IFERROR(__xludf.DUMMYFUNCTION("""COMPUTED_VALUE"""),46002.0)</f>
        <v>46002</v>
      </c>
      <c r="L16" s="61" t="str">
        <f>IFERROR(__xludf.DUMMYFUNCTION("""COMPUTED_VALUE"""),"41-42 24th St., Apt. 729, Long Island City, NY 11101 ")</f>
        <v>41-42 24th St., Apt. 729, Long Island City, NY 11101 </v>
      </c>
      <c r="M16" s="61"/>
      <c r="N16" s="61" t="str">
        <f>IFERROR(__xludf.DUMMYFUNCTION("""COMPUTED_VALUE"""),"605 Leland Ave Apt 401")</f>
        <v>605 Leland Ave Apt 401</v>
      </c>
    </row>
    <row r="17">
      <c r="A17" s="102" t="str">
        <f>IFERROR(__xludf.DUMMYFUNCTION("""COMPUTED_VALUE"""),"https://utrucking.com/admin/orders/6181233623228")</f>
        <v>https://utrucking.com/admin/orders/6181233623228</v>
      </c>
      <c r="B17" s="65" t="str">
        <f>IFERROR(__xludf.DUMMYFUNCTION("""COMPUTED_VALUE"""),"#16697")</f>
        <v>#16697</v>
      </c>
      <c r="C17" s="65" t="str">
        <f>IFERROR(__xludf.DUMMYFUNCTION("""COMPUTED_VALUE"""),"howell.w@wustl.edu")</f>
        <v>howell.w@wustl.edu</v>
      </c>
      <c r="D17" s="65">
        <f>IFERROR(__xludf.DUMMYFUNCTION("""COMPUTED_VALUE"""),9.179138501E9)</f>
        <v>9179138501</v>
      </c>
      <c r="E17" s="65" t="str">
        <f>IFERROR(__xludf.DUMMYFUNCTION("""COMPUTED_VALUE"""),"William Howell")</f>
        <v>William Howell</v>
      </c>
      <c r="F17" s="65" t="str">
        <f>IFERROR(__xludf.DUMMYFUNCTION("""COMPUTED_VALUE"""),"William Howell")</f>
        <v>William Howell</v>
      </c>
      <c r="G17" s="65" t="str">
        <f>IFERROR(__xludf.DUMMYFUNCTION("""COMPUTED_VALUE""")," 1 [Included with Registration]   - ")</f>
        <v> 1 [Included with Registration]   - </v>
      </c>
      <c r="H17" s="65" t="str">
        <f>IFERROR(__xludf.DUMMYFUNCTION("""COMPUTED_VALUE"""),"Millbrook Bldg. 4  ")</f>
        <v>Millbrook Bldg. 4  </v>
      </c>
      <c r="I17" s="65" t="str">
        <f>IFERROR(__xludf.DUMMYFUNCTION("""COMPUTED_VALUE"""),"304-B")</f>
        <v>304-B</v>
      </c>
      <c r="J17" s="108" t="str">
        <f>IFERROR(__xludf.DUMMYFUNCTION("""COMPUTED_VALUE"""),"02:00 PM to 04:00 PM")</f>
        <v>02:00 PM to 04:00 PM</v>
      </c>
      <c r="K17" s="103">
        <f>IFERROR(__xludf.DUMMYFUNCTION("""COMPUTED_VALUE"""),46007.0)</f>
        <v>46007</v>
      </c>
      <c r="L17" s="65" t="str">
        <f>IFERROR(__xludf.DUMMYFUNCTION("""COMPUTED_VALUE"""),"99 81st St ")</f>
        <v>99 81st St </v>
      </c>
      <c r="M17" s="65"/>
      <c r="N17" s="65"/>
    </row>
    <row r="18">
      <c r="A18" s="99" t="str">
        <f>IFERROR(__xludf.DUMMYFUNCTION("""COMPUTED_VALUE"""),"https://utrucking.com/admin/orders/6182720307388")</f>
        <v>https://utrucking.com/admin/orders/6182720307388</v>
      </c>
      <c r="B18" s="61" t="str">
        <f>IFERROR(__xludf.DUMMYFUNCTION("""COMPUTED_VALUE"""),"#16698")</f>
        <v>#16698</v>
      </c>
      <c r="C18" s="61" t="str">
        <f>IFERROR(__xludf.DUMMYFUNCTION("""COMPUTED_VALUE"""),"cowanrb@gmail.com")</f>
        <v>cowanrb@gmail.com</v>
      </c>
      <c r="D18" s="61">
        <f>IFERROR(__xludf.DUMMYFUNCTION("""COMPUTED_VALUE"""),2.069990937E9)</f>
        <v>2069990937</v>
      </c>
      <c r="E18" s="61" t="str">
        <f>IFERROR(__xludf.DUMMYFUNCTION("""COMPUTED_VALUE"""),"Rick Cowan")</f>
        <v>Rick Cowan</v>
      </c>
      <c r="F18" s="61" t="str">
        <f>IFERROR(__xludf.DUMMYFUNCTION("""COMPUTED_VALUE"""),"Katherine Cowan")</f>
        <v>Katherine Cowan</v>
      </c>
      <c r="G18" s="61" t="str">
        <f>IFERROR(__xludf.DUMMYFUNCTION("""COMPUTED_VALUE""")," 1 [Included with Registration]   - ")</f>
        <v> 1 [Included with Registration]   - </v>
      </c>
      <c r="H18" s="61" t="str">
        <f>IFERROR(__xludf.DUMMYFUNCTION("""COMPUTED_VALUE"""),"Millbrook Bldg. 3  ")</f>
        <v>Millbrook Bldg. 3  </v>
      </c>
      <c r="I18" s="61" t="str">
        <f>IFERROR(__xludf.DUMMYFUNCTION("""COMPUTED_VALUE"""),"304")</f>
        <v>304</v>
      </c>
      <c r="J18" s="107" t="str">
        <f>IFERROR(__xludf.DUMMYFUNCTION("""COMPUTED_VALUE"""),"09:00 AM to 11:00 AM  ")</f>
        <v>09:00 AM to 11:00 AM  </v>
      </c>
      <c r="K18" s="100">
        <f>IFERROR(__xludf.DUMMYFUNCTION("""COMPUTED_VALUE"""),46009.0)</f>
        <v>46009</v>
      </c>
      <c r="L18" s="61" t="str">
        <f>IFERROR(__xludf.DUMMYFUNCTION("""COMPUTED_VALUE"""),"3602 44th Ave SW
Seattle, WA 98116 ")</f>
        <v>3602 44th Ave SW
Seattle, WA 98116 </v>
      </c>
      <c r="M18" s="61"/>
      <c r="N18" s="61"/>
    </row>
    <row r="19">
      <c r="A19" s="102" t="str">
        <f>IFERROR(__xludf.DUMMYFUNCTION("""COMPUTED_VALUE"""),"https://utrucking.com/admin/orders/6182906101948")</f>
        <v>https://utrucking.com/admin/orders/6182906101948</v>
      </c>
      <c r="B19" s="65" t="str">
        <f>IFERROR(__xludf.DUMMYFUNCTION("""COMPUTED_VALUE"""),"#16700")</f>
        <v>#16700</v>
      </c>
      <c r="C19" s="65" t="str">
        <f>IFERROR(__xludf.DUMMYFUNCTION("""COMPUTED_VALUE"""),"annabel.l@wustl.edu")</f>
        <v>annabel.l@wustl.edu</v>
      </c>
      <c r="D19" s="65">
        <f>IFERROR(__xludf.DUMMYFUNCTION("""COMPUTED_VALUE"""),7.039452974E9)</f>
        <v>7039452974</v>
      </c>
      <c r="E19" s="65" t="str">
        <f>IFERROR(__xludf.DUMMYFUNCTION("""COMPUTED_VALUE"""),"Annabel Lee")</f>
        <v>Annabel Lee</v>
      </c>
      <c r="F19" s="65" t="str">
        <f>IFERROR(__xludf.DUMMYFUNCTION("""COMPUTED_VALUE"""),"Annabel Lee")</f>
        <v>Annabel Lee</v>
      </c>
      <c r="G19" s="65" t="str">
        <f>IFERROR(__xludf.DUMMYFUNCTION("""COMPUTED_VALUE""")," 1 [Included with Registration]   - ")</f>
        <v> 1 [Included with Registration]   - </v>
      </c>
      <c r="H19" s="65" t="str">
        <f>IFERROR(__xludf.DUMMYFUNCTION("""COMPUTED_VALUE"""),"Millbrook Bldg. 3  ")</f>
        <v>Millbrook Bldg. 3  </v>
      </c>
      <c r="I19" s="65" t="str">
        <f>IFERROR(__xludf.DUMMYFUNCTION("""COMPUTED_VALUE"""),"104B")</f>
        <v>104B</v>
      </c>
      <c r="J19" s="108" t="str">
        <f>IFERROR(__xludf.DUMMYFUNCTION("""COMPUTED_VALUE"""),"02:00 PM to 04:00 PM")</f>
        <v>02:00 PM to 04:00 PM</v>
      </c>
      <c r="K19" s="103">
        <f>IFERROR(__xludf.DUMMYFUNCTION("""COMPUTED_VALUE"""),46008.0)</f>
        <v>46008</v>
      </c>
      <c r="L19" s="65" t="str">
        <f>IFERROR(__xludf.DUMMYFUNCTION("""COMPUTED_VALUE"""),"1015 Westbriar Dr NE, Vienna, VA 22180 ")</f>
        <v>1015 Westbriar Dr NE, Vienna, VA 22180 </v>
      </c>
      <c r="M19" s="65"/>
      <c r="N19" s="65"/>
    </row>
    <row r="20">
      <c r="A20" s="99" t="str">
        <f>IFERROR(__xludf.DUMMYFUNCTION("""COMPUTED_VALUE"""),"https://utrucking.com/admin/orders/6188487868604")</f>
        <v>https://utrucking.com/admin/orders/6188487868604</v>
      </c>
      <c r="B20" s="61" t="str">
        <f>IFERROR(__xludf.DUMMYFUNCTION("""COMPUTED_VALUE"""),"#16708")</f>
        <v>#16708</v>
      </c>
      <c r="C20" s="61" t="str">
        <f>IFERROR(__xludf.DUMMYFUNCTION("""COMPUTED_VALUE"""),"a.bonhamwalsh@wustl.edu")</f>
        <v>a.bonhamwalsh@wustl.edu</v>
      </c>
      <c r="D20" s="61"/>
      <c r="E20" s="61" t="str">
        <f>IFERROR(__xludf.DUMMYFUNCTION("""COMPUTED_VALUE"""),"Alex Bonham Walsh")</f>
        <v>Alex Bonham Walsh</v>
      </c>
      <c r="F20" s="61" t="str">
        <f>IFERROR(__xludf.DUMMYFUNCTION("""COMPUTED_VALUE"""),"Alex Bonham Walsh")</f>
        <v>Alex Bonham Walsh</v>
      </c>
      <c r="G20" s="61" t="str">
        <f>IFERROR(__xludf.DUMMYFUNCTION("""COMPUTED_VALUE""")," 2   - ")</f>
        <v> 2   - </v>
      </c>
      <c r="H20" s="61" t="str">
        <f>IFERROR(__xludf.DUMMYFUNCTION("""COMPUTED_VALUE"""),"Millbrook Bldg. 2  ")</f>
        <v>Millbrook Bldg. 2  </v>
      </c>
      <c r="I20" s="61" t="str">
        <f>IFERROR(__xludf.DUMMYFUNCTION("""COMPUTED_VALUE"""),"304")</f>
        <v>304</v>
      </c>
      <c r="J20" s="107" t="str">
        <f>IFERROR(__xludf.DUMMYFUNCTION("""COMPUTED_VALUE"""),"03:00 PM to 05:00 PM")</f>
        <v>03:00 PM to 05:00 PM</v>
      </c>
      <c r="K20" s="100">
        <f>IFERROR(__xludf.DUMMYFUNCTION("""COMPUTED_VALUE"""),46008.0)</f>
        <v>46008</v>
      </c>
      <c r="L20" s="61" t="str">
        <f>IFERROR(__xludf.DUMMYFUNCTION("""COMPUTED_VALUE"""),"40 Salmon Kill Rd, Lakeville, CT 06039 ")</f>
        <v>40 Salmon Kill Rd, Lakeville, CT 06039 </v>
      </c>
      <c r="M20" s="61"/>
      <c r="N20" s="61"/>
    </row>
    <row r="21">
      <c r="A21" s="102" t="str">
        <f>IFERROR(__xludf.DUMMYFUNCTION("""COMPUTED_VALUE"""),"https://utrucking.com/admin/orders/6188803424444")</f>
        <v>https://utrucking.com/admin/orders/6188803424444</v>
      </c>
      <c r="B21" s="65" t="str">
        <f>IFERROR(__xludf.DUMMYFUNCTION("""COMPUTED_VALUE"""),"#16709")</f>
        <v>#16709</v>
      </c>
      <c r="C21" s="65" t="str">
        <f>IFERROR(__xludf.DUMMYFUNCTION("""COMPUTED_VALUE"""),"acaitlin@wustl.edu")</f>
        <v>acaitlin@wustl.edu</v>
      </c>
      <c r="D21" s="65">
        <f>IFERROR(__xludf.DUMMYFUNCTION("""COMPUTED_VALUE"""),8.56630452E9)</f>
        <v>8566304520</v>
      </c>
      <c r="E21" s="65" t="str">
        <f>IFERROR(__xludf.DUMMYFUNCTION("""COMPUTED_VALUE"""),"Caitlin Alfaro")</f>
        <v>Caitlin Alfaro</v>
      </c>
      <c r="F21" s="65" t="str">
        <f>IFERROR(__xludf.DUMMYFUNCTION("""COMPUTED_VALUE"""),"Caitlin Alfaro")</f>
        <v>Caitlin Alfaro</v>
      </c>
      <c r="G21" s="65" t="str">
        <f>IFERROR(__xludf.DUMMYFUNCTION("""COMPUTED_VALUE""")," 0   - ")</f>
        <v> 0   - </v>
      </c>
      <c r="H21" s="65" t="str">
        <f>IFERROR(__xludf.DUMMYFUNCTION("""COMPUTED_VALUE"""),"Millbrook Bldg. 2  ")</f>
        <v>Millbrook Bldg. 2  </v>
      </c>
      <c r="I21" s="65" t="str">
        <f>IFERROR(__xludf.DUMMYFUNCTION("""COMPUTED_VALUE"""),"104C")</f>
        <v>104C</v>
      </c>
      <c r="J21" s="108" t="str">
        <f>IFERROR(__xludf.DUMMYFUNCTION("""COMPUTED_VALUE"""),"09:00 AM to 11:00 AM  ")</f>
        <v>09:00 AM to 11:00 AM  </v>
      </c>
      <c r="K21" s="103">
        <f>IFERROR(__xludf.DUMMYFUNCTION("""COMPUTED_VALUE"""),46010.0)</f>
        <v>46010</v>
      </c>
      <c r="L21" s="65" t="str">
        <f>IFERROR(__xludf.DUMMYFUNCTION("""COMPUTED_VALUE"""),"28 Black Pine Lane, Lumberton NJ 08048 ")</f>
        <v>28 Black Pine Lane, Lumberton NJ 08048 </v>
      </c>
      <c r="M21" s="65"/>
      <c r="N21" s="65"/>
    </row>
    <row r="22">
      <c r="A22" s="99" t="str">
        <f>IFERROR(__xludf.DUMMYFUNCTION("""COMPUTED_VALUE"""),"https://utrucking.com/admin/orders/6189656539324")</f>
        <v>https://utrucking.com/admin/orders/6189656539324</v>
      </c>
      <c r="B22" s="61" t="str">
        <f>IFERROR(__xludf.DUMMYFUNCTION("""COMPUTED_VALUE"""),"#16711")</f>
        <v>#16711</v>
      </c>
      <c r="C22" s="61" t="str">
        <f>IFERROR(__xludf.DUMMYFUNCTION("""COMPUTED_VALUE"""),"l.lynch@wustl.edu")</f>
        <v>l.lynch@wustl.edu</v>
      </c>
      <c r="D22" s="61">
        <f>IFERROR(__xludf.DUMMYFUNCTION("""COMPUTED_VALUE"""),4.15425478E9)</f>
        <v>4154254780</v>
      </c>
      <c r="E22" s="61" t="str">
        <f>IFERROR(__xludf.DUMMYFUNCTION("""COMPUTED_VALUE"""),"Lauren Lynch")</f>
        <v>Lauren Lynch</v>
      </c>
      <c r="F22" s="61" t="str">
        <f>IFERROR(__xludf.DUMMYFUNCTION("""COMPUTED_VALUE"""),"Lauren Lynch")</f>
        <v>Lauren Lynch</v>
      </c>
      <c r="G22" s="61" t="str">
        <f>IFERROR(__xludf.DUMMYFUNCTION("""COMPUTED_VALUE""")," 1 [Included with Registration]   - ")</f>
        <v> 1 [Included with Registration]   - </v>
      </c>
      <c r="H22" s="61" t="str">
        <f>IFERROR(__xludf.DUMMYFUNCTION("""COMPUTED_VALUE"""),"Loop Loft 6200  ")</f>
        <v>Loop Loft 6200  </v>
      </c>
      <c r="I22" s="61" t="str">
        <f>IFERROR(__xludf.DUMMYFUNCTION("""COMPUTED_VALUE"""),"101C")</f>
        <v>101C</v>
      </c>
      <c r="J22" s="107" t="str">
        <f>IFERROR(__xludf.DUMMYFUNCTION("""COMPUTED_VALUE"""),"03:00 PM to 05:00 PM")</f>
        <v>03:00 PM to 05:00 PM</v>
      </c>
      <c r="K22" s="100">
        <f>IFERROR(__xludf.DUMMYFUNCTION("""COMPUTED_VALUE"""),46009.0)</f>
        <v>46009</v>
      </c>
      <c r="L22" s="61" t="str">
        <f>IFERROR(__xludf.DUMMYFUNCTION("""COMPUTED_VALUE"""),"2439 Funston Ave
San Francisco, CA  94116
United States ")</f>
        <v>2439 Funston Ave
San Francisco, CA  94116
United States </v>
      </c>
      <c r="M22" s="61"/>
      <c r="N22" s="61"/>
    </row>
    <row r="23">
      <c r="A23" s="102" t="str">
        <f>IFERROR(__xludf.DUMMYFUNCTION("""COMPUTED_VALUE"""),"https://utrucking.com/admin/orders/6195387302076")</f>
        <v>https://utrucking.com/admin/orders/6195387302076</v>
      </c>
      <c r="B23" s="65" t="str">
        <f>IFERROR(__xludf.DUMMYFUNCTION("""COMPUTED_VALUE"""),"#16718")</f>
        <v>#16718</v>
      </c>
      <c r="C23" s="65" t="str">
        <f>IFERROR(__xludf.DUMMYFUNCTION("""COMPUTED_VALUE"""),"kelizabethstubbs@gmail.com")</f>
        <v>kelizabethstubbs@gmail.com</v>
      </c>
      <c r="D23" s="65">
        <f>IFERROR(__xludf.DUMMYFUNCTION("""COMPUTED_VALUE"""),4.702495506E9)</f>
        <v>4702495506</v>
      </c>
      <c r="E23" s="65" t="str">
        <f>IFERROR(__xludf.DUMMYFUNCTION("""COMPUTED_VALUE"""),"Katherine Stubbs")</f>
        <v>Katherine Stubbs</v>
      </c>
      <c r="F23" s="65" t="str">
        <f>IFERROR(__xludf.DUMMYFUNCTION("""COMPUTED_VALUE"""),"Katie Stubbs")</f>
        <v>Katie Stubbs</v>
      </c>
      <c r="G23" s="65" t="str">
        <f>IFERROR(__xludf.DUMMYFUNCTION("""COMPUTED_VALUE""")," 1 [Included with Registration]   - ")</f>
        <v> 1 [Included with Registration]   - </v>
      </c>
      <c r="H23" s="65"/>
      <c r="I23" s="65"/>
      <c r="J23" s="108" t="str">
        <f>IFERROR(__xludf.DUMMYFUNCTION("""COMPUTED_VALUE"""),"09:00 AM to 11:00 AM  ")</f>
        <v>09:00 AM to 11:00 AM  </v>
      </c>
      <c r="K23" s="103">
        <f>IFERROR(__xludf.DUMMYFUNCTION("""COMPUTED_VALUE"""),46011.0)</f>
        <v>46011</v>
      </c>
      <c r="L23" s="65" t="str">
        <f>IFERROR(__xludf.DUMMYFUNCTION("""COMPUTED_VALUE"""),"2900 Nancy creek red Atlanta ga 30327 ")</f>
        <v>2900 Nancy creek red Atlanta ga 30327 </v>
      </c>
      <c r="M23" s="65"/>
      <c r="N23" s="65" t="str">
        <f>IFERROR(__xludf.DUMMYFUNCTION("""COMPUTED_VALUE"""),"6105 Delmar blvd Apt 1203 stl")</f>
        <v>6105 Delmar blvd Apt 1203 stl</v>
      </c>
    </row>
    <row r="24">
      <c r="A24" s="99" t="str">
        <f>IFERROR(__xludf.DUMMYFUNCTION("""COMPUTED_VALUE"""),"https://utrucking.com/admin/orders/6227897221308")</f>
        <v>https://utrucking.com/admin/orders/6227897221308</v>
      </c>
      <c r="B24" s="61" t="str">
        <f>IFERROR(__xludf.DUMMYFUNCTION("""COMPUTED_VALUE"""),"#16773")</f>
        <v>#16773</v>
      </c>
      <c r="C24" s="61" t="str">
        <f>IFERROR(__xludf.DUMMYFUNCTION("""COMPUTED_VALUE"""),"n.paris@wustl.edu")</f>
        <v>n.paris@wustl.edu</v>
      </c>
      <c r="D24" s="61">
        <f>IFERROR(__xludf.DUMMYFUNCTION("""COMPUTED_VALUE"""),2.012804707E9)</f>
        <v>2012804707</v>
      </c>
      <c r="E24" s="61" t="str">
        <f>IFERROR(__xludf.DUMMYFUNCTION("""COMPUTED_VALUE"""),"Paris Navas")</f>
        <v>Paris Navas</v>
      </c>
      <c r="F24" s="61" t="str">
        <f>IFERROR(__xludf.DUMMYFUNCTION("""COMPUTED_VALUE"""),"Paris Navas")</f>
        <v>Paris Navas</v>
      </c>
      <c r="G24" s="61" t="str">
        <f>IFERROR(__xludf.DUMMYFUNCTION("""COMPUTED_VALUE""")," 0   - ")</f>
        <v> 0   - </v>
      </c>
      <c r="H24" s="61" t="str">
        <f>IFERROR(__xludf.DUMMYFUNCTION("""COMPUTED_VALUE"""),"Eliot B (Sophomore Dorm)")</f>
        <v>Eliot B (Sophomore Dorm)</v>
      </c>
      <c r="I24" s="61" t="str">
        <f>IFERROR(__xludf.DUMMYFUNCTION("""COMPUTED_VALUE"""),"4040")</f>
        <v>4040</v>
      </c>
      <c r="J24" s="107" t="str">
        <f>IFERROR(__xludf.DUMMYFUNCTION("""COMPUTED_VALUE"""),"09:00 AM to 11:00 AM  ")</f>
        <v>09:00 AM to 11:00 AM  </v>
      </c>
      <c r="K24" s="100">
        <f>IFERROR(__xludf.DUMMYFUNCTION("""COMPUTED_VALUE"""),46034.0)</f>
        <v>46034</v>
      </c>
      <c r="L24" s="61" t="str">
        <f>IFERROR(__xludf.DUMMYFUNCTION("""COMPUTED_VALUE"""),"1275 15th Street, Apt. 4C, Fort Lee, NJ 07024 ")</f>
        <v>1275 15th Street, Apt. 4C, Fort Lee, NJ 07024 </v>
      </c>
      <c r="M24" s="61"/>
      <c r="N24" s="61"/>
    </row>
    <row r="25">
      <c r="A25" s="102" t="str">
        <f>IFERROR(__xludf.DUMMYFUNCTION("""COMPUTED_VALUE"""),"https://utrucking.com/admin/orders/6274557509820")</f>
        <v>https://utrucking.com/admin/orders/6274557509820</v>
      </c>
      <c r="B25" s="65" t="str">
        <f>IFERROR(__xludf.DUMMYFUNCTION("""COMPUTED_VALUE"""),"#16783")</f>
        <v>#16783</v>
      </c>
      <c r="C25" s="65" t="str">
        <f>IFERROR(__xludf.DUMMYFUNCTION("""COMPUTED_VALUE"""),"justinchoi6769@gmail.com")</f>
        <v>justinchoi6769@gmail.com</v>
      </c>
      <c r="D25" s="65">
        <f>IFERROR(__xludf.DUMMYFUNCTION("""COMPUTED_VALUE"""),3.142259876E9)</f>
        <v>3142259876</v>
      </c>
      <c r="E25" s="65" t="str">
        <f>IFERROR(__xludf.DUMMYFUNCTION("""COMPUTED_VALUE"""),"Justin Choi")</f>
        <v>Justin Choi</v>
      </c>
      <c r="F25" s="65" t="str">
        <f>IFERROR(__xludf.DUMMYFUNCTION("""COMPUTED_VALUE"""),"Justin Choi")</f>
        <v>Justin Choi</v>
      </c>
      <c r="G25" s="65" t="str">
        <f>IFERROR(__xludf.DUMMYFUNCTION("""COMPUTED_VALUE""")," 1 [Included with Registration]   - ")</f>
        <v> 1 [Included with Registration]   - </v>
      </c>
      <c r="H25" s="65"/>
      <c r="I25" s="65"/>
      <c r="J25" s="108" t="str">
        <f>IFERROR(__xludf.DUMMYFUNCTION("""COMPUTED_VALUE"""),"10:00 AM to 12:00 PM  ")</f>
        <v>10:00 AM to 12:00 PM  </v>
      </c>
      <c r="K25" s="103">
        <f>IFERROR(__xludf.DUMMYFUNCTION("""COMPUTED_VALUE"""),46044.0)</f>
        <v>46044</v>
      </c>
      <c r="L25" s="65" t="str">
        <f>IFERROR(__xludf.DUMMYFUNCTION("""COMPUTED_VALUE"""),"TBD  ")</f>
        <v>TBD  </v>
      </c>
      <c r="M25" s="65"/>
      <c r="N25" s="65" t="str">
        <f>IFERROR(__xludf.DUMMYFUNCTION("""COMPUTED_VALUE"""),"605 Leland Avenue, St. Louis MO 63130, APT 203 ")</f>
        <v>605 Leland Avenue, St. Louis MO 63130, APT 203 </v>
      </c>
    </row>
    <row r="26">
      <c r="A26" s="99" t="str">
        <f>IFERROR(__xludf.DUMMYFUNCTION("""COMPUTED_VALUE"""),"https://utrucking.com/admin/orders/6276103536828")</f>
        <v>https://utrucking.com/admin/orders/6276103536828</v>
      </c>
      <c r="B26" s="61" t="str">
        <f>IFERROR(__xludf.DUMMYFUNCTION("""COMPUTED_VALUE"""),"#16784")</f>
        <v>#16784</v>
      </c>
      <c r="C26" s="61"/>
      <c r="D26" s="61">
        <f>IFERROR(__xludf.DUMMYFUNCTION("""COMPUTED_VALUE"""),2.014245137E9)</f>
        <v>2014245137</v>
      </c>
      <c r="E26" s="61" t="str">
        <f>IFERROR(__xludf.DUMMYFUNCTION("""COMPUTED_VALUE"""),"Anya Weinberg")</f>
        <v>Anya Weinberg</v>
      </c>
      <c r="F26" s="61" t="str">
        <f>IFERROR(__xludf.DUMMYFUNCTION("""COMPUTED_VALUE"""),"Holden Weinberg ")</f>
        <v>Holden Weinberg </v>
      </c>
      <c r="G26" s="61" t="str">
        <f>IFERROR(__xludf.DUMMYFUNCTION("""COMPUTED_VALUE""")," 1 [Included with Registration]   - ")</f>
        <v> 1 [Included with Registration]   - </v>
      </c>
      <c r="H26" s="61" t="str">
        <f>IFERROR(__xludf.DUMMYFUNCTION("""COMPUTED_VALUE"""),"Zetcher  ")</f>
        <v>Zetcher  </v>
      </c>
      <c r="I26" s="61" t="str">
        <f>IFERROR(__xludf.DUMMYFUNCTION("""COMPUTED_VALUE"""),"3160")</f>
        <v>3160</v>
      </c>
      <c r="J26" s="107" t="str">
        <f>IFERROR(__xludf.DUMMYFUNCTION("""COMPUTED_VALUE"""),"09:00 AM to 11:00 AM  ")</f>
        <v>09:00 AM to 11:00 AM  </v>
      </c>
      <c r="K26" s="100">
        <f>IFERROR(__xludf.DUMMYFUNCTION("""COMPUTED_VALUE"""),46037.0)</f>
        <v>46037</v>
      </c>
      <c r="L26" s="61" t="str">
        <f>IFERROR(__xludf.DUMMYFUNCTION("""COMPUTED_VALUE"""),"12 Annette Way, Jericho, NY 11753  ")</f>
        <v>12 Annette Way, Jericho, NY 11753  </v>
      </c>
      <c r="M26" s="61"/>
      <c r="N26" s="61"/>
    </row>
    <row r="27">
      <c r="A27" s="102" t="str">
        <f>IFERROR(__xludf.DUMMYFUNCTION("""COMPUTED_VALUE"""),"https://utrucking.com/admin/orders/6284701139132")</f>
        <v>https://utrucking.com/admin/orders/6284701139132</v>
      </c>
      <c r="B27" s="65" t="str">
        <f>IFERROR(__xludf.DUMMYFUNCTION("""COMPUTED_VALUE"""),"#16787")</f>
        <v>#16787</v>
      </c>
      <c r="C27" s="65" t="str">
        <f>IFERROR(__xludf.DUMMYFUNCTION("""COMPUTED_VALUE"""),"andrea@veritasleadershipllc.com")</f>
        <v>andrea@veritasleadershipllc.com</v>
      </c>
      <c r="D27" s="65">
        <f>IFERROR(__xludf.DUMMYFUNCTION("""COMPUTED_VALUE"""),9.17282103E9)</f>
        <v>9172821030</v>
      </c>
      <c r="E27" s="65" t="str">
        <f>IFERROR(__xludf.DUMMYFUNCTION("""COMPUTED_VALUE"""),"Andrea Miller")</f>
        <v>Andrea Miller</v>
      </c>
      <c r="F27" s="65" t="str">
        <f>IFERROR(__xludf.DUMMYFUNCTION("""COMPUTED_VALUE"""),"Sophie Miller")</f>
        <v>Sophie Miller</v>
      </c>
      <c r="G27" s="65" t="str">
        <f>IFERROR(__xludf.DUMMYFUNCTION("""COMPUTED_VALUE""")," 1 [Included with Registration]   - ")</f>
        <v> 1 [Included with Registration]   - </v>
      </c>
      <c r="H27" s="65" t="str">
        <f>IFERROR(__xludf.DUMMYFUNCTION("""COMPUTED_VALUE"""),"Lopata  ")</f>
        <v>Lopata  </v>
      </c>
      <c r="I27" s="65" t="str">
        <f>IFERROR(__xludf.DUMMYFUNCTION("""COMPUTED_VALUE"""),"3122")</f>
        <v>3122</v>
      </c>
      <c r="J27" s="108" t="str">
        <f>IFERROR(__xludf.DUMMYFUNCTION("""COMPUTED_VALUE"""),"09:00 AM to 11:00 AM  ")</f>
        <v>09:00 AM to 11:00 AM  </v>
      </c>
      <c r="K27" s="103">
        <f>IFERROR(__xludf.DUMMYFUNCTION("""COMPUTED_VALUE"""),46041.0)</f>
        <v>46041</v>
      </c>
      <c r="L27" s="65" t="str">
        <f>IFERROR(__xludf.DUMMYFUNCTION("""COMPUTED_VALUE"""),"30 Walworth Avenue, Scarsdale, NY 10583 ")</f>
        <v>30 Walworth Avenue, Scarsdale, NY 10583 </v>
      </c>
      <c r="M27" s="65"/>
      <c r="N27" s="65"/>
    </row>
    <row r="28">
      <c r="A28" s="99" t="str">
        <f>IFERROR(__xludf.DUMMYFUNCTION("""COMPUTED_VALUE"""),"https://utrucking.com/admin/orders/6291749961916")</f>
        <v>https://utrucking.com/admin/orders/6291749961916</v>
      </c>
      <c r="B28" s="61" t="str">
        <f>IFERROR(__xludf.DUMMYFUNCTION("""COMPUTED_VALUE"""),"#16808")</f>
        <v>#16808</v>
      </c>
      <c r="C28" s="61" t="str">
        <f>IFERROR(__xludf.DUMMYFUNCTION("""COMPUTED_VALUE"""),"hampton.thun@gmail.com")</f>
        <v>hampton.thun@gmail.com</v>
      </c>
      <c r="D28" s="61"/>
      <c r="E28" s="61" t="str">
        <f>IFERROR(__xludf.DUMMYFUNCTION("""COMPUTED_VALUE"""),"Jola Thun")</f>
        <v>Jola Thun</v>
      </c>
      <c r="F28" s="61" t="str">
        <f>IFERROR(__xludf.DUMMYFUNCTION("""COMPUTED_VALUE"""),"Hampton Thun")</f>
        <v>Hampton Thun</v>
      </c>
      <c r="G28" s="61" t="str">
        <f>IFERROR(__xludf.DUMMYFUNCTION("""COMPUTED_VALUE""")," 2   - ")</f>
        <v> 2   - </v>
      </c>
      <c r="H28" s="61" t="str">
        <f>IFERROR(__xludf.DUMMYFUNCTION("""COMPUTED_VALUE"""),"House 8 (Tau Kappa Epsilon)  ")</f>
        <v>House 8 (Tau Kappa Epsilon)  </v>
      </c>
      <c r="I28" s="61" t="str">
        <f>IFERROR(__xludf.DUMMYFUNCTION("""COMPUTED_VALUE"""),"3052")</f>
        <v>3052</v>
      </c>
      <c r="J28" s="107" t="str">
        <f>IFERROR(__xludf.DUMMYFUNCTION("""COMPUTED_VALUE"""),"09:00 AM to 11:00 AM  ")</f>
        <v>09:00 AM to 11:00 AM  </v>
      </c>
      <c r="K28" s="100">
        <f>IFERROR(__xludf.DUMMYFUNCTION("""COMPUTED_VALUE"""),46048.0)</f>
        <v>46048</v>
      </c>
      <c r="L28" s="61" t="str">
        <f>IFERROR(__xludf.DUMMYFUNCTION("""COMPUTED_VALUE"""),"3152 Curts Ave,
LA, CA
90034 ")</f>
        <v>3152 Curts Ave,
LA, CA
90034 </v>
      </c>
      <c r="M28" s="61"/>
      <c r="N28" s="61"/>
    </row>
    <row r="29">
      <c r="A29" s="102" t="str">
        <f>IFERROR(__xludf.DUMMYFUNCTION("""COMPUTED_VALUE"""),"https://utrucking.com/admin/orders/6293951611068")</f>
        <v>https://utrucking.com/admin/orders/6293951611068</v>
      </c>
      <c r="B29" s="65" t="str">
        <f>IFERROR(__xludf.DUMMYFUNCTION("""COMPUTED_VALUE"""),"#16810")</f>
        <v>#16810</v>
      </c>
      <c r="C29" s="65"/>
      <c r="D29" s="65">
        <f>IFERROR(__xludf.DUMMYFUNCTION("""COMPUTED_VALUE"""),2.012744645E9)</f>
        <v>2012744645</v>
      </c>
      <c r="E29" s="65" t="str">
        <f>IFERROR(__xludf.DUMMYFUNCTION("""COMPUTED_VALUE"""),"Darcy Bialick")</f>
        <v>Darcy Bialick</v>
      </c>
      <c r="F29" s="65" t="str">
        <f>IFERROR(__xludf.DUMMYFUNCTION("""COMPUTED_VALUE"""),"Darcy Bialick")</f>
        <v>Darcy Bialick</v>
      </c>
      <c r="G29" s="65" t="str">
        <f>IFERROR(__xludf.DUMMYFUNCTION("""COMPUTED_VALUE""")," 1 [Included with Registration]   - ")</f>
        <v> 1 [Included with Registration]   - </v>
      </c>
      <c r="H29" s="65" t="str">
        <f>IFERROR(__xludf.DUMMYFUNCTION("""COMPUTED_VALUE"""),"Danforth  ")</f>
        <v>Danforth  </v>
      </c>
      <c r="I29" s="65" t="str">
        <f>IFERROR(__xludf.DUMMYFUNCTION("""COMPUTED_VALUE"""),"4427A")</f>
        <v>4427A</v>
      </c>
      <c r="J29" s="108" t="str">
        <f>IFERROR(__xludf.DUMMYFUNCTION("""COMPUTED_VALUE"""),"03:00 PM to 05:00 PM")</f>
        <v>03:00 PM to 05:00 PM</v>
      </c>
      <c r="K29" s="103">
        <f>IFERROR(__xludf.DUMMYFUNCTION("""COMPUTED_VALUE"""),46149.0)</f>
        <v>46149</v>
      </c>
      <c r="L29" s="65" t="str">
        <f>IFERROR(__xludf.DUMMYFUNCTION("""COMPUTED_VALUE"""),"4 Rainbow Ridge Dr
Livingston, NJ 07039 ")</f>
        <v>4 Rainbow Ridge Dr
Livingston, NJ 07039 </v>
      </c>
      <c r="M29" s="65"/>
      <c r="N29" s="65"/>
    </row>
    <row r="30">
      <c r="A30" s="99" t="str">
        <f>IFERROR(__xludf.DUMMYFUNCTION("""COMPUTED_VALUE"""),"https://utrucking.com/admin/orders/6348748914876")</f>
        <v>https://utrucking.com/admin/orders/6348748914876</v>
      </c>
      <c r="B30" s="61" t="str">
        <f>IFERROR(__xludf.DUMMYFUNCTION("""COMPUTED_VALUE"""),"#17087")</f>
        <v>#17087</v>
      </c>
      <c r="C30" s="61" t="str">
        <f>IFERROR(__xludf.DUMMYFUNCTION("""COMPUTED_VALUE"""),"b.a.harwayne@wustl.edu")</f>
        <v>b.a.harwayne@wustl.edu</v>
      </c>
      <c r="D30" s="61">
        <f>IFERROR(__xludf.DUMMYFUNCTION("""COMPUTED_VALUE"""),6.467404868E9)</f>
        <v>6467404868</v>
      </c>
      <c r="E30" s="61" t="str">
        <f>IFERROR(__xludf.DUMMYFUNCTION("""COMPUTED_VALUE"""),"Ben Harwayne")</f>
        <v>Ben Harwayne</v>
      </c>
      <c r="F30" s="61" t="str">
        <f>IFERROR(__xludf.DUMMYFUNCTION("""COMPUTED_VALUE"""),"Ben Harwayne")</f>
        <v>Ben Harwayne</v>
      </c>
      <c r="G30" s="61" t="str">
        <f>IFERROR(__xludf.DUMMYFUNCTION("""COMPUTED_VALUE""")," 1 [Included with Registration]   - ")</f>
        <v> 1 [Included with Registration]   - </v>
      </c>
      <c r="H30" s="61" t="str">
        <f>IFERROR(__xludf.DUMMYFUNCTION("""COMPUTED_VALUE"""),"Village East  ")</f>
        <v>Village East  </v>
      </c>
      <c r="I30" s="61" t="str">
        <f>IFERROR(__xludf.DUMMYFUNCTION("""COMPUTED_VALUE"""),"3081")</f>
        <v>3081</v>
      </c>
      <c r="J30" s="107" t="str">
        <f>IFERROR(__xludf.DUMMYFUNCTION("""COMPUTED_VALUE"""),"12:00 PM to 02:00 PM  ")</f>
        <v>12:00 PM to 02:00 PM  </v>
      </c>
      <c r="K30" s="100">
        <f>IFERROR(__xludf.DUMMYFUNCTION("""COMPUTED_VALUE"""),46160.0)</f>
        <v>46160</v>
      </c>
      <c r="L30" s="61" t="str">
        <f>IFERROR(__xludf.DUMMYFUNCTION("""COMPUTED_VALUE"""),"277 W End Ave, Apt 7A
New York, NY 10023 ")</f>
        <v>277 W End Ave, Apt 7A
New York, NY 10023 </v>
      </c>
      <c r="M30" s="61"/>
      <c r="N30" s="61"/>
    </row>
    <row r="31">
      <c r="A31" s="102" t="str">
        <f>IFERROR(__xludf.DUMMYFUNCTION("""COMPUTED_VALUE"""),"https://utrucking.com/admin/orders/6354608062652")</f>
        <v>https://utrucking.com/admin/orders/6354608062652</v>
      </c>
      <c r="B31" s="65" t="str">
        <f>IFERROR(__xludf.DUMMYFUNCTION("""COMPUTED_VALUE"""),"#17101")</f>
        <v>#17101</v>
      </c>
      <c r="C31" s="65" t="str">
        <f>IFERROR(__xludf.DUMMYFUNCTION("""COMPUTED_VALUE"""),"helenmives@gmail.com")</f>
        <v>helenmives@gmail.com</v>
      </c>
      <c r="D31" s="65">
        <f>IFERROR(__xludf.DUMMYFUNCTION("""COMPUTED_VALUE"""),8.572188168E9)</f>
        <v>8572188168</v>
      </c>
      <c r="E31" s="65" t="str">
        <f>IFERROR(__xludf.DUMMYFUNCTION("""COMPUTED_VALUE"""),"Helen Ives")</f>
        <v>Helen Ives</v>
      </c>
      <c r="F31" s="65" t="str">
        <f>IFERROR(__xludf.DUMMYFUNCTION("""COMPUTED_VALUE"""),"Helen Ives")</f>
        <v>Helen Ives</v>
      </c>
      <c r="G31" s="65" t="str">
        <f>IFERROR(__xludf.DUMMYFUNCTION("""COMPUTED_VALUE""")," 0   - ")</f>
        <v> 0   - </v>
      </c>
      <c r="H31" s="65" t="str">
        <f>IFERROR(__xludf.DUMMYFUNCTION("""COMPUTED_VALUE"""),"Greenway Apartments  ")</f>
        <v>Greenway Apartments  </v>
      </c>
      <c r="I31" s="65" t="str">
        <f>IFERROR(__xludf.DUMMYFUNCTION("""COMPUTED_VALUE"""),"324B")</f>
        <v>324B</v>
      </c>
      <c r="J31" s="108" t="str">
        <f>IFERROR(__xludf.DUMMYFUNCTION("""COMPUTED_VALUE"""),"03:00 PM to 05:00 PM")</f>
        <v>03:00 PM to 05:00 PM</v>
      </c>
      <c r="K31" s="103">
        <f>IFERROR(__xludf.DUMMYFUNCTION("""COMPUTED_VALUE"""),46158.0)</f>
        <v>46158</v>
      </c>
      <c r="L31" s="65" t="str">
        <f>IFERROR(__xludf.DUMMYFUNCTION("""COMPUTED_VALUE"""),"23 Monmouth Street
Brookline, Massachusetts 02446 ")</f>
        <v>23 Monmouth Street
Brookline, Massachusetts 02446 </v>
      </c>
      <c r="M31" s="65"/>
      <c r="N31" s="65"/>
    </row>
    <row r="32">
      <c r="A32" s="99" t="str">
        <f>IFERROR(__xludf.DUMMYFUNCTION("""COMPUTED_VALUE"""),"https://utrucking.com/admin/orders/6367304810684")</f>
        <v>https://utrucking.com/admin/orders/6367304810684</v>
      </c>
      <c r="B32" s="61" t="str">
        <f>IFERROR(__xludf.DUMMYFUNCTION("""COMPUTED_VALUE"""),"#17122")</f>
        <v>#17122</v>
      </c>
      <c r="C32" s="61" t="str">
        <f>IFERROR(__xludf.DUMMYFUNCTION("""COMPUTED_VALUE"""),"H.SHAYE@WUSTL.EDU")</f>
        <v>H.SHAYE@WUSTL.EDU</v>
      </c>
      <c r="D32" s="61">
        <f>IFERROR(__xludf.DUMMYFUNCTION("""COMPUTED_VALUE"""),2.012648488E9)</f>
        <v>2012648488</v>
      </c>
      <c r="E32" s="61" t="str">
        <f>IFERROR(__xludf.DUMMYFUNCTION("""COMPUTED_VALUE"""),"Lauri Herman")</f>
        <v>Lauri Herman</v>
      </c>
      <c r="F32" s="61" t="str">
        <f>IFERROR(__xludf.DUMMYFUNCTION("""COMPUTED_VALUE"""),"Shaye Herman")</f>
        <v>Shaye Herman</v>
      </c>
      <c r="G32" s="61" t="str">
        <f>IFERROR(__xludf.DUMMYFUNCTION("""COMPUTED_VALUE""")," 2   - ")</f>
        <v> 2   - </v>
      </c>
      <c r="H32" s="61" t="str">
        <f>IFERROR(__xludf.DUMMYFUNCTION("""COMPUTED_VALUE"""),"Millbrook Bldg. 4  ")</f>
        <v>Millbrook Bldg. 4  </v>
      </c>
      <c r="I32" s="61" t="str">
        <f>IFERROR(__xludf.DUMMYFUNCTION("""COMPUTED_VALUE"""),"B-3C-A")</f>
        <v>B-3C-A</v>
      </c>
      <c r="J32" s="107" t="str">
        <f>IFERROR(__xludf.DUMMYFUNCTION("""COMPUTED_VALUE"""),"09:00 AM to 11:00 AM  ")</f>
        <v>09:00 AM to 11:00 AM  </v>
      </c>
      <c r="K32" s="100">
        <f>IFERROR(__xludf.DUMMYFUNCTION("""COMPUTED_VALUE"""),46158.0)</f>
        <v>46158</v>
      </c>
      <c r="L32" s="61" t="str">
        <f>IFERROR(__xludf.DUMMYFUNCTION("""COMPUTED_VALUE"""),"59 Fox Hunt Road
New Vernon, NJ 07976 ")</f>
        <v>59 Fox Hunt Road
New Vernon, NJ 07976 </v>
      </c>
      <c r="M32" s="61"/>
      <c r="N32" s="61"/>
    </row>
    <row r="33">
      <c r="A33" s="102" t="str">
        <f>IFERROR(__xludf.DUMMYFUNCTION("""COMPUTED_VALUE"""),"https://utrucking.com/admin/orders/6368358695100")</f>
        <v>https://utrucking.com/admin/orders/6368358695100</v>
      </c>
      <c r="B33" s="65" t="str">
        <f>IFERROR(__xludf.DUMMYFUNCTION("""COMPUTED_VALUE"""),"#17125")</f>
        <v>#17125</v>
      </c>
      <c r="C33" s="65" t="str">
        <f>IFERROR(__xludf.DUMMYFUNCTION("""COMPUTED_VALUE"""),"julie@meggers.com")</f>
        <v>julie@meggers.com</v>
      </c>
      <c r="D33" s="65">
        <f>IFERROR(__xludf.DUMMYFUNCTION("""COMPUTED_VALUE"""),9.49887555E9)</f>
        <v>9498875550</v>
      </c>
      <c r="E33" s="65" t="str">
        <f>IFERROR(__xludf.DUMMYFUNCTION("""COMPUTED_VALUE"""),"Julie Meggers")</f>
        <v>Julie Meggers</v>
      </c>
      <c r="F33" s="65" t="str">
        <f>IFERROR(__xludf.DUMMYFUNCTION("""COMPUTED_VALUE"""),"Katie Meggers")</f>
        <v>Katie Meggers</v>
      </c>
      <c r="G33" s="65" t="str">
        <f>IFERROR(__xludf.DUMMYFUNCTION("""COMPUTED_VALUE""")," 1 [Included with Registration]   - ")</f>
        <v> 1 [Included with Registration]   - </v>
      </c>
      <c r="H33" s="65" t="str">
        <f>IFERROR(__xludf.DUMMYFUNCTION("""COMPUTED_VALUE"""),"Dauten  ")</f>
        <v>Dauten  </v>
      </c>
      <c r="I33" s="65" t="str">
        <f>IFERROR(__xludf.DUMMYFUNCTION("""COMPUTED_VALUE"""),"333-a")</f>
        <v>333-a</v>
      </c>
      <c r="J33" s="108" t="str">
        <f>IFERROR(__xludf.DUMMYFUNCTION("""COMPUTED_VALUE"""),"03:00 PM to 05:00 PM")</f>
        <v>03:00 PM to 05:00 PM</v>
      </c>
      <c r="K33" s="103">
        <f>IFERROR(__xludf.DUMMYFUNCTION("""COMPUTED_VALUE"""),46149.0)</f>
        <v>46149</v>
      </c>
      <c r="L33" s="65" t="str">
        <f>IFERROR(__xludf.DUMMYFUNCTION("""COMPUTED_VALUE"""),"1815 Port Ashley Place
Newport Beach, CA 92660 ")</f>
        <v>1815 Port Ashley Place
Newport Beach, CA 92660 </v>
      </c>
      <c r="M33" s="65"/>
      <c r="N33" s="65"/>
    </row>
    <row r="34">
      <c r="A34" s="99" t="str">
        <f>IFERROR(__xludf.DUMMYFUNCTION("""COMPUTED_VALUE"""),"https://utrucking.com/admin/orders/6369708605628")</f>
        <v>https://utrucking.com/admin/orders/6369708605628</v>
      </c>
      <c r="B34" s="61" t="str">
        <f>IFERROR(__xludf.DUMMYFUNCTION("""COMPUTED_VALUE"""),"#17129")</f>
        <v>#17129</v>
      </c>
      <c r="C34" s="61" t="str">
        <f>IFERROR(__xludf.DUMMYFUNCTION("""COMPUTED_VALUE"""),"seirertenley@gmail.com")</f>
        <v>seirertenley@gmail.com</v>
      </c>
      <c r="D34" s="61">
        <f>IFERROR(__xludf.DUMMYFUNCTION("""COMPUTED_VALUE"""),9.177100102E9)</f>
        <v>9177100102</v>
      </c>
      <c r="E34" s="61" t="str">
        <f>IFERROR(__xludf.DUMMYFUNCTION("""COMPUTED_VALUE"""),"Dominique Schulte")</f>
        <v>Dominique Schulte</v>
      </c>
      <c r="F34" s="61" t="str">
        <f>IFERROR(__xludf.DUMMYFUNCTION("""COMPUTED_VALUE"""),"Tenley Seirer")</f>
        <v>Tenley Seirer</v>
      </c>
      <c r="G34" s="61" t="str">
        <f>IFERROR(__xludf.DUMMYFUNCTION("""COMPUTED_VALUE""")," 2   - ")</f>
        <v> 2   - </v>
      </c>
      <c r="H34" s="61" t="str">
        <f>IFERROR(__xludf.DUMMYFUNCTION("""COMPUTED_VALUE"""),"Hitzeman  ")</f>
        <v>Hitzeman  </v>
      </c>
      <c r="I34" s="61" t="str">
        <f>IFERROR(__xludf.DUMMYFUNCTION("""COMPUTED_VALUE"""),"434")</f>
        <v>434</v>
      </c>
      <c r="J34" s="107" t="str">
        <f>IFERROR(__xludf.DUMMYFUNCTION("""COMPUTED_VALUE"""),"03:00 PM to 05:00 PM  ")</f>
        <v>03:00 PM to 05:00 PM  </v>
      </c>
      <c r="K34" s="100">
        <f>IFERROR(__xludf.DUMMYFUNCTION("""COMPUTED_VALUE"""),46144.0)</f>
        <v>46144</v>
      </c>
      <c r="L34" s="61" t="str">
        <f>IFERROR(__xludf.DUMMYFUNCTION("""COMPUTED_VALUE"""),"29 Bank Street New York, New York 10014 ")</f>
        <v>29 Bank Street New York, New York 10014 </v>
      </c>
      <c r="M34" s="61"/>
      <c r="N34" s="61"/>
    </row>
    <row r="35">
      <c r="A35" s="102" t="str">
        <f>IFERROR(__xludf.DUMMYFUNCTION("""COMPUTED_VALUE"""),"https://utrucking.com/admin/orders/6370629976252")</f>
        <v>https://utrucking.com/admin/orders/6370629976252</v>
      </c>
      <c r="B35" s="65" t="str">
        <f>IFERROR(__xludf.DUMMYFUNCTION("""COMPUTED_VALUE"""),"#17130")</f>
        <v>#17130</v>
      </c>
      <c r="C35" s="65" t="str">
        <f>IFERROR(__xludf.DUMMYFUNCTION("""COMPUTED_VALUE"""),"e.kao@wustl.edu")</f>
        <v>e.kao@wustl.edu</v>
      </c>
      <c r="D35" s="65" t="str">
        <f>IFERROR(__xludf.DUMMYFUNCTION("""COMPUTED_VALUE"""),"(425) 289-8403")</f>
        <v>(425) 289-8403</v>
      </c>
      <c r="E35" s="65" t="str">
        <f>IFERROR(__xludf.DUMMYFUNCTION("""COMPUTED_VALUE"""),"Emily Kao")</f>
        <v>Emily Kao</v>
      </c>
      <c r="F35" s="65" t="str">
        <f>IFERROR(__xludf.DUMMYFUNCTION("""COMPUTED_VALUE"""),"Emily Kao")</f>
        <v>Emily Kao</v>
      </c>
      <c r="G35" s="65" t="str">
        <f>IFERROR(__xludf.DUMMYFUNCTION("""COMPUTED_VALUE""")," 2   - ")</f>
        <v> 2   - </v>
      </c>
      <c r="H35" s="65" t="str">
        <f>IFERROR(__xludf.DUMMYFUNCTION("""COMPUTED_VALUE"""),"6633 University Drive  ")</f>
        <v>6633 University Drive  </v>
      </c>
      <c r="I35" s="65" t="str">
        <f>IFERROR(__xludf.DUMMYFUNCTION("""COMPUTED_VALUE"""),"2E-C")</f>
        <v>2E-C</v>
      </c>
      <c r="J35" s="108" t="str">
        <f>IFERROR(__xludf.DUMMYFUNCTION("""COMPUTED_VALUE"""),"03:00 PM to 05:00 PM")</f>
        <v>03:00 PM to 05:00 PM</v>
      </c>
      <c r="K35" s="103">
        <f>IFERROR(__xludf.DUMMYFUNCTION("""COMPUTED_VALUE"""),46157.0)</f>
        <v>46157</v>
      </c>
      <c r="L35" s="65" t="str">
        <f>IFERROR(__xludf.DUMMYFUNCTION("""COMPUTED_VALUE"""),"Don't know yet, will follow up once I know address. Ask David for more info about this arrangement. ")</f>
        <v>Don't know yet, will follow up once I know address. Ask David for more info about this arrangement. </v>
      </c>
      <c r="M35" s="65"/>
      <c r="N35" s="65"/>
    </row>
    <row r="36">
      <c r="A36" s="99" t="str">
        <f>IFERROR(__xludf.DUMMYFUNCTION("""COMPUTED_VALUE"""),"https://utrucking.com/admin/orders/6372544020668")</f>
        <v>https://utrucking.com/admin/orders/6372544020668</v>
      </c>
      <c r="B36" s="61" t="str">
        <f>IFERROR(__xludf.DUMMYFUNCTION("""COMPUTED_VALUE"""),"#17140")</f>
        <v>#17140</v>
      </c>
      <c r="C36" s="61" t="str">
        <f>IFERROR(__xludf.DUMMYFUNCTION("""COMPUTED_VALUE"""),"jennitrost@gmail.com")</f>
        <v>jennitrost@gmail.com</v>
      </c>
      <c r="D36" s="61">
        <f>IFERROR(__xludf.DUMMYFUNCTION("""COMPUTED_VALUE"""),4.434727823E9)</f>
        <v>4434727823</v>
      </c>
      <c r="E36" s="61" t="str">
        <f>IFERROR(__xludf.DUMMYFUNCTION("""COMPUTED_VALUE"""),"Jennifer Trost")</f>
        <v>Jennifer Trost</v>
      </c>
      <c r="F36" s="61" t="str">
        <f>IFERROR(__xludf.DUMMYFUNCTION("""COMPUTED_VALUE"""),"Julia Trost")</f>
        <v>Julia Trost</v>
      </c>
      <c r="G36" s="61" t="str">
        <f>IFERROR(__xludf.DUMMYFUNCTION("""COMPUTED_VALUE""")," 2   - ")</f>
        <v> 2   - </v>
      </c>
      <c r="H36" s="61"/>
      <c r="I36" s="61"/>
      <c r="J36" s="107" t="str">
        <f>IFERROR(__xludf.DUMMYFUNCTION("""COMPUTED_VALUE"""),"09:00 AM to 11:00 AM  ")</f>
        <v>09:00 AM to 11:00 AM  </v>
      </c>
      <c r="K36" s="100">
        <f>IFERROR(__xludf.DUMMYFUNCTION("""COMPUTED_VALUE"""),46158.0)</f>
        <v>46158</v>
      </c>
      <c r="L36" s="61" t="str">
        <f>IFERROR(__xludf.DUMMYFUNCTION("""COMPUTED_VALUE"""),"5817 White Pebble Path, Clarksville, MD 21029 ")</f>
        <v>5817 White Pebble Path, Clarksville, MD 21029 </v>
      </c>
      <c r="M36" s="61"/>
      <c r="N36" s="61" t="str">
        <f>IFERROR(__xludf.DUMMYFUNCTION("""COMPUTED_VALUE"""),"718 Limit Avenue, Apt 3S, St. Louis MO 63130")</f>
        <v>718 Limit Avenue, Apt 3S, St. Louis MO 63130</v>
      </c>
    </row>
    <row r="37">
      <c r="A37" s="102" t="str">
        <f>IFERROR(__xludf.DUMMYFUNCTION("""COMPUTED_VALUE"""),"https://utrucking.com/admin/orders/6374516785340")</f>
        <v>https://utrucking.com/admin/orders/6374516785340</v>
      </c>
      <c r="B37" s="65" t="str">
        <f>IFERROR(__xludf.DUMMYFUNCTION("""COMPUTED_VALUE"""),"#17151")</f>
        <v>#17151</v>
      </c>
      <c r="C37" s="65" t="str">
        <f>IFERROR(__xludf.DUMMYFUNCTION("""COMPUTED_VALUE"""),"douglil@aol.com")</f>
        <v>douglil@aol.com</v>
      </c>
      <c r="D37" s="65">
        <f>IFERROR(__xludf.DUMMYFUNCTION("""COMPUTED_VALUE"""),2.038879903E9)</f>
        <v>2038879903</v>
      </c>
      <c r="E37" s="65" t="str">
        <f>IFERROR(__xludf.DUMMYFUNCTION("""COMPUTED_VALUE"""),"Douglas Lilly")</f>
        <v>Douglas Lilly</v>
      </c>
      <c r="F37" s="65" t="str">
        <f>IFERROR(__xludf.DUMMYFUNCTION("""COMPUTED_VALUE"""),"Emerson Lilly")</f>
        <v>Emerson Lilly</v>
      </c>
      <c r="G37" s="65" t="str">
        <f>IFERROR(__xludf.DUMMYFUNCTION("""COMPUTED_VALUE""")," 1 [Included with Registration]   - ")</f>
        <v> 1 [Included with Registration]   - </v>
      </c>
      <c r="H37" s="65" t="str">
        <f>IFERROR(__xludf.DUMMYFUNCTION("""COMPUTED_VALUE"""),"Umrath  ")</f>
        <v>Umrath  </v>
      </c>
      <c r="I37" s="65" t="str">
        <f>IFERROR(__xludf.DUMMYFUNCTION("""COMPUTED_VALUE"""),"2221")</f>
        <v>2221</v>
      </c>
      <c r="J37" s="108" t="str">
        <f>IFERROR(__xludf.DUMMYFUNCTION("""COMPUTED_VALUE"""),"03:00 PM to 05:00 PM")</f>
        <v>03:00 PM to 05:00 PM</v>
      </c>
      <c r="K37" s="103">
        <f>IFERROR(__xludf.DUMMYFUNCTION("""COMPUTED_VALUE"""),46147.0)</f>
        <v>46147</v>
      </c>
      <c r="L37" s="65" t="str">
        <f>IFERROR(__xludf.DUMMYFUNCTION("""COMPUTED_VALUE"""),"125 Hitchcock Court, Cheshire, CT 06410 ")</f>
        <v>125 Hitchcock Court, Cheshire, CT 06410 </v>
      </c>
      <c r="M37" s="65"/>
      <c r="N37" s="65"/>
    </row>
    <row r="38">
      <c r="A38" s="99" t="str">
        <f>IFERROR(__xludf.DUMMYFUNCTION("""COMPUTED_VALUE"""),"https://utrucking.com/admin/orders/6374725845180")</f>
        <v>https://utrucking.com/admin/orders/6374725845180</v>
      </c>
      <c r="B38" s="61" t="str">
        <f>IFERROR(__xludf.DUMMYFUNCTION("""COMPUTED_VALUE"""),"#17153")</f>
        <v>#17153</v>
      </c>
      <c r="C38" s="61"/>
      <c r="D38" s="61">
        <f>IFERROR(__xludf.DUMMYFUNCTION("""COMPUTED_VALUE"""),6.176310203E9)</f>
        <v>6176310203</v>
      </c>
      <c r="E38" s="61" t="str">
        <f>IFERROR(__xludf.DUMMYFUNCTION("""COMPUTED_VALUE"""),"Nina Todreas")</f>
        <v>Nina Todreas</v>
      </c>
      <c r="F38" s="61" t="str">
        <f>IFERROR(__xludf.DUMMYFUNCTION("""COMPUTED_VALUE"""),"Nina Todreas")</f>
        <v>Nina Todreas</v>
      </c>
      <c r="G38" s="61" t="str">
        <f>IFERROR(__xludf.DUMMYFUNCTION("""COMPUTED_VALUE""")," 2   - ")</f>
        <v> 2   - </v>
      </c>
      <c r="H38" s="61" t="str">
        <f>IFERROR(__xludf.DUMMYFUNCTION("""COMPUTED_VALUE"""),"Loop Loft 6255  ")</f>
        <v>Loop Loft 6255  </v>
      </c>
      <c r="I38" s="61" t="str">
        <f>IFERROR(__xludf.DUMMYFUNCTION("""COMPUTED_VALUE"""),"302C")</f>
        <v>302C</v>
      </c>
      <c r="J38" s="107" t="str">
        <f>IFERROR(__xludf.DUMMYFUNCTION("""COMPUTED_VALUE"""),"03:00 PM to 05:00 PM")</f>
        <v>03:00 PM to 05:00 PM</v>
      </c>
      <c r="K38" s="100">
        <f>IFERROR(__xludf.DUMMYFUNCTION("""COMPUTED_VALUE"""),46158.0)</f>
        <v>46158</v>
      </c>
      <c r="L38" s="61" t="str">
        <f>IFERROR(__xludf.DUMMYFUNCTION("""COMPUTED_VALUE"""),"16 Chenery Terrace
Belmont, MA 02478 ")</f>
        <v>16 Chenery Terrace
Belmont, MA 02478 </v>
      </c>
      <c r="M38" s="61"/>
      <c r="N38" s="61"/>
    </row>
    <row r="39">
      <c r="A39" s="102" t="str">
        <f>IFERROR(__xludf.DUMMYFUNCTION("""COMPUTED_VALUE"""),"https://utrucking.com/admin/orders/6375066763452")</f>
        <v>https://utrucking.com/admin/orders/6375066763452</v>
      </c>
      <c r="B39" s="65" t="str">
        <f>IFERROR(__xludf.DUMMYFUNCTION("""COMPUTED_VALUE"""),"#17159")</f>
        <v>#17159</v>
      </c>
      <c r="C39" s="65" t="str">
        <f>IFERROR(__xludf.DUMMYFUNCTION("""COMPUTED_VALUE"""),"anniehlavka@gmail.com")</f>
        <v>anniehlavka@gmail.com</v>
      </c>
      <c r="D39" s="65">
        <f>IFERROR(__xludf.DUMMYFUNCTION("""COMPUTED_VALUE"""),6.504228482E9)</f>
        <v>6504228482</v>
      </c>
      <c r="E39" s="65" t="str">
        <f>IFERROR(__xludf.DUMMYFUNCTION("""COMPUTED_VALUE"""),"Annie Hlavka")</f>
        <v>Annie Hlavka</v>
      </c>
      <c r="F39" s="65" t="str">
        <f>IFERROR(__xludf.DUMMYFUNCTION("""COMPUTED_VALUE"""),"Annie Hlavka")</f>
        <v>Annie Hlavka</v>
      </c>
      <c r="G39" s="65" t="str">
        <f>IFERROR(__xludf.DUMMYFUNCTION("""COMPUTED_VALUE""")," 1 [Included with Registration]   - ")</f>
        <v> 1 [Included with Registration]   - </v>
      </c>
      <c r="H39" s="65" t="str">
        <f>IFERROR(__xludf.DUMMYFUNCTION("""COMPUTED_VALUE"""),"Millbrook Bldg. 3  ")</f>
        <v>Millbrook Bldg. 3  </v>
      </c>
      <c r="I39" s="65" t="str">
        <f>IFERROR(__xludf.DUMMYFUNCTION("""COMPUTED_VALUE"""),"101A")</f>
        <v>101A</v>
      </c>
      <c r="J39" s="108" t="str">
        <f>IFERROR(__xludf.DUMMYFUNCTION("""COMPUTED_VALUE"""),"02:00 PM to 04:00 PM")</f>
        <v>02:00 PM to 04:00 PM</v>
      </c>
      <c r="K39" s="103">
        <f>IFERROR(__xludf.DUMMYFUNCTION("""COMPUTED_VALUE"""),46150.0)</f>
        <v>46150</v>
      </c>
      <c r="L39" s="65" t="str">
        <f>IFERROR(__xludf.DUMMYFUNCTION("""COMPUTED_VALUE"""),"2400 Oliver Ave S 
Minneapolis, MN
55045 ")</f>
        <v>2400 Oliver Ave S 
Minneapolis, MN
55045 </v>
      </c>
      <c r="M39" s="65"/>
      <c r="N39" s="65"/>
    </row>
    <row r="40">
      <c r="A40" s="99" t="str">
        <f>IFERROR(__xludf.DUMMYFUNCTION("""COMPUTED_VALUE"""),"https://utrucking.com/admin/orders/6376884502716")</f>
        <v>https://utrucking.com/admin/orders/6376884502716</v>
      </c>
      <c r="B40" s="61" t="str">
        <f>IFERROR(__xludf.DUMMYFUNCTION("""COMPUTED_VALUE"""),"#17167")</f>
        <v>#17167</v>
      </c>
      <c r="C40" s="61" t="str">
        <f>IFERROR(__xludf.DUMMYFUNCTION("""COMPUTED_VALUE"""),"c.a.mallah@wustl.edu")</f>
        <v>c.a.mallah@wustl.edu</v>
      </c>
      <c r="D40" s="61" t="str">
        <f>IFERROR(__xludf.DUMMYFUNCTION("""COMPUTED_VALUE"""),"(917) 921-7228")</f>
        <v>(917) 921-7228</v>
      </c>
      <c r="E40" s="61" t="str">
        <f>IFERROR(__xludf.DUMMYFUNCTION("""COMPUTED_VALUE"""),"Lloyd Mallah")</f>
        <v>Lloyd Mallah</v>
      </c>
      <c r="F40" s="61" t="str">
        <f>IFERROR(__xludf.DUMMYFUNCTION("""COMPUTED_VALUE"""),"Carly Mallah")</f>
        <v>Carly Mallah</v>
      </c>
      <c r="G40" s="61" t="str">
        <f>IFERROR(__xludf.DUMMYFUNCTION("""COMPUTED_VALUE""")," 1 [Included with Registration]   - ")</f>
        <v> 1 [Included with Registration]   - </v>
      </c>
      <c r="H40" s="61"/>
      <c r="I40" s="61"/>
      <c r="J40" s="107" t="str">
        <f>IFERROR(__xludf.DUMMYFUNCTION("""COMPUTED_VALUE"""),"11:00 AM to 01:00 PM  ")</f>
        <v>11:00 AM to 01:00 PM  </v>
      </c>
      <c r="K40" s="100">
        <f>IFERROR(__xludf.DUMMYFUNCTION("""COMPUTED_VALUE"""),46160.0)</f>
        <v>46160</v>
      </c>
      <c r="L40" s="61" t="str">
        <f>IFERROR(__xludf.DUMMYFUNCTION("""COMPUTED_VALUE"""),"17 Birch Lane, Rye Brook, NY 10573 ")</f>
        <v>17 Birch Lane, Rye Brook, NY 10573 </v>
      </c>
      <c r="M40" s="61"/>
      <c r="N40" s="61" t="str">
        <f>IFERROR(__xludf.DUMMYFUNCTION("""COMPUTED_VALUE"""),"6843 Kingsbury Blvd, St. Louis, MO 63130.  Apartment 1E")</f>
        <v>6843 Kingsbury Blvd, St. Louis, MO 63130.  Apartment 1E</v>
      </c>
    </row>
    <row r="41">
      <c r="A41" s="102" t="str">
        <f>IFERROR(__xludf.DUMMYFUNCTION("""COMPUTED_VALUE"""),"https://utrucking.com/admin/orders/6387818004668")</f>
        <v>https://utrucking.com/admin/orders/6387818004668</v>
      </c>
      <c r="B41" s="65" t="str">
        <f>IFERROR(__xludf.DUMMYFUNCTION("""COMPUTED_VALUE"""),"#17201")</f>
        <v>#17201</v>
      </c>
      <c r="C41" s="65" t="str">
        <f>IFERROR(__xludf.DUMMYFUNCTION("""COMPUTED_VALUE"""),"keshavvasanth2004@gmail.com")</f>
        <v>keshavvasanth2004@gmail.com</v>
      </c>
      <c r="D41" s="65" t="str">
        <f>IFERROR(__xludf.DUMMYFUNCTION("""COMPUTED_VALUE"""),"(972) 898-0140")</f>
        <v>(972) 898-0140</v>
      </c>
      <c r="E41" s="65" t="str">
        <f>IFERROR(__xludf.DUMMYFUNCTION("""COMPUTED_VALUE"""),"Vidya Krishnan")</f>
        <v>Vidya Krishnan</v>
      </c>
      <c r="F41" s="65" t="str">
        <f>IFERROR(__xludf.DUMMYFUNCTION("""COMPUTED_VALUE"""),"Keshav Vasanth")</f>
        <v>Keshav Vasanth</v>
      </c>
      <c r="G41" s="65" t="str">
        <f>IFERROR(__xludf.DUMMYFUNCTION("""COMPUTED_VALUE""")," 2   - ")</f>
        <v> 2   - </v>
      </c>
      <c r="H41" s="65" t="str">
        <f>IFERROR(__xludf.DUMMYFUNCTION("""COMPUTED_VALUE"""),"Park  ")</f>
        <v>Park  </v>
      </c>
      <c r="I41" s="65" t="str">
        <f>IFERROR(__xludf.DUMMYFUNCTION("""COMPUTED_VALUE"""),"352")</f>
        <v>352</v>
      </c>
      <c r="J41" s="108" t="str">
        <f>IFERROR(__xludf.DUMMYFUNCTION("""COMPUTED_VALUE"""),"09:00 AM to 11:00 AM  ")</f>
        <v>09:00 AM to 11:00 AM  </v>
      </c>
      <c r="K41" s="103">
        <f>IFERROR(__xludf.DUMMYFUNCTION("""COMPUTED_VALUE"""),46160.0)</f>
        <v>46160</v>
      </c>
      <c r="L41" s="65" t="str">
        <f>IFERROR(__xludf.DUMMYFUNCTION("""COMPUTED_VALUE"""),"Using Summer Storage, then ship from storage to arrive only on August 1st, at:
3601 Market Street
Apt #1710
Philadelphia, PA 19104 ")</f>
        <v>Using Summer Storage, then ship from storage to arrive only on August 1st, at:
3601 Market Street
Apt #1710
Philadelphia, PA 19104 </v>
      </c>
      <c r="M41" s="65"/>
      <c r="N41" s="65"/>
    </row>
    <row r="42">
      <c r="A42" s="99" t="str">
        <f>IFERROR(__xludf.DUMMYFUNCTION("""COMPUTED_VALUE"""),"https://utrucking.com/admin/orders/6389117878460")</f>
        <v>https://utrucking.com/admin/orders/6389117878460</v>
      </c>
      <c r="B42" s="61" t="str">
        <f>IFERROR(__xludf.DUMMYFUNCTION("""COMPUTED_VALUE"""),"#17211")</f>
        <v>#17211</v>
      </c>
      <c r="C42" s="61" t="str">
        <f>IFERROR(__xludf.DUMMYFUNCTION("""COMPUTED_VALUE"""),"danailyse@gmail.com")</f>
        <v>danailyse@gmail.com</v>
      </c>
      <c r="D42" s="61"/>
      <c r="E42" s="61" t="str">
        <f>IFERROR(__xludf.DUMMYFUNCTION("""COMPUTED_VALUE"""),"Dana Rochester")</f>
        <v>Dana Rochester</v>
      </c>
      <c r="F42" s="61" t="str">
        <f>IFERROR(__xludf.DUMMYFUNCTION("""COMPUTED_VALUE"""),"Zoe Rochester")</f>
        <v>Zoe Rochester</v>
      </c>
      <c r="G42" s="61" t="str">
        <f>IFERROR(__xludf.DUMMYFUNCTION("""COMPUTED_VALUE""")," 1 [Included with Registration]   - ")</f>
        <v> 1 [Included with Registration]   - </v>
      </c>
      <c r="H42" s="61" t="str">
        <f>IFERROR(__xludf.DUMMYFUNCTION("""COMPUTED_VALUE"""),"Lien  ")</f>
        <v>Lien  </v>
      </c>
      <c r="I42" s="61" t="str">
        <f>IFERROR(__xludf.DUMMYFUNCTION("""COMPUTED_VALUE"""),"3330")</f>
        <v>3330</v>
      </c>
      <c r="J42" s="107" t="str">
        <f>IFERROR(__xludf.DUMMYFUNCTION("""COMPUTED_VALUE"""),"09:00 AM to 11:00 AM  ")</f>
        <v>09:00 AM to 11:00 AM  </v>
      </c>
      <c r="K42" s="100">
        <f>IFERROR(__xludf.DUMMYFUNCTION("""COMPUTED_VALUE"""),46147.0)</f>
        <v>46147</v>
      </c>
      <c r="L42" s="61" t="str">
        <f>IFERROR(__xludf.DUMMYFUNCTION("""COMPUTED_VALUE"""),"10 Monfort Rd
Port Washington, NY 11050 ")</f>
        <v>10 Monfort Rd
Port Washington, NY 11050 </v>
      </c>
      <c r="M42" s="61"/>
      <c r="N42" s="61"/>
    </row>
    <row r="43">
      <c r="A43" s="102" t="str">
        <f>IFERROR(__xludf.DUMMYFUNCTION("""COMPUTED_VALUE"""),"https://utrucking.com/admin/orders/6392064377020")</f>
        <v>https://utrucking.com/admin/orders/6392064377020</v>
      </c>
      <c r="B43" s="65" t="str">
        <f>IFERROR(__xludf.DUMMYFUNCTION("""COMPUTED_VALUE"""),"#17228")</f>
        <v>#17228</v>
      </c>
      <c r="C43" s="65"/>
      <c r="D43" s="65">
        <f>IFERROR(__xludf.DUMMYFUNCTION("""COMPUTED_VALUE"""),1.9146108725E10)</f>
        <v>19146108725</v>
      </c>
      <c r="E43" s="65" t="str">
        <f>IFERROR(__xludf.DUMMYFUNCTION("""COMPUTED_VALUE"""),"Mia Reisman")</f>
        <v>Mia Reisman</v>
      </c>
      <c r="F43" s="65" t="str">
        <f>IFERROR(__xludf.DUMMYFUNCTION("""COMPUTED_VALUE"""),"Mia Reisman ")</f>
        <v>Mia Reisman </v>
      </c>
      <c r="G43" s="65" t="str">
        <f>IFERROR(__xludf.DUMMYFUNCTION("""COMPUTED_VALUE""")," 1 [Included with Registration]   - ")</f>
        <v> 1 [Included with Registration]   - </v>
      </c>
      <c r="H43" s="65" t="str">
        <f>IFERROR(__xludf.DUMMYFUNCTION("""COMPUTED_VALUE"""),"Danforth  ")</f>
        <v>Danforth  </v>
      </c>
      <c r="I43" s="65" t="str">
        <f>IFERROR(__xludf.DUMMYFUNCTION("""COMPUTED_VALUE"""),"4422")</f>
        <v>4422</v>
      </c>
      <c r="J43" s="108" t="str">
        <f>IFERROR(__xludf.DUMMYFUNCTION("""COMPUTED_VALUE"""),"03:00 PM to 05:00 PM")</f>
        <v>03:00 PM to 05:00 PM</v>
      </c>
      <c r="K43" s="103">
        <f>IFERROR(__xludf.DUMMYFUNCTION("""COMPUTED_VALUE"""),46148.0)</f>
        <v>46148</v>
      </c>
      <c r="L43" s="65" t="str">
        <f>IFERROR(__xludf.DUMMYFUNCTION("""COMPUTED_VALUE"""),"329 Stanley Ave Mamaroneck NY 10543 ")</f>
        <v>329 Stanley Ave Mamaroneck NY 10543 </v>
      </c>
      <c r="M43" s="65"/>
      <c r="N43" s="65"/>
    </row>
    <row r="44">
      <c r="A44" s="99" t="str">
        <f>IFERROR(__xludf.DUMMYFUNCTION("""COMPUTED_VALUE"""),"https://utrucking.com/admin/orders/6392789139644")</f>
        <v>https://utrucking.com/admin/orders/6392789139644</v>
      </c>
      <c r="B44" s="61" t="str">
        <f>IFERROR(__xludf.DUMMYFUNCTION("""COMPUTED_VALUE"""),"#17231")</f>
        <v>#17231</v>
      </c>
      <c r="C44" s="61" t="str">
        <f>IFERROR(__xludf.DUMMYFUNCTION("""COMPUTED_VALUE"""),"tigastyle1928@gmail.com")</f>
        <v>tigastyle1928@gmail.com</v>
      </c>
      <c r="D44" s="61">
        <f>IFERROR(__xludf.DUMMYFUNCTION("""COMPUTED_VALUE"""),3.108835579E9)</f>
        <v>3108835579</v>
      </c>
      <c r="E44" s="61" t="str">
        <f>IFERROR(__xludf.DUMMYFUNCTION("""COMPUTED_VALUE"""),"Tiger Lu")</f>
        <v>Tiger Lu</v>
      </c>
      <c r="F44" s="61" t="str">
        <f>IFERROR(__xludf.DUMMYFUNCTION("""COMPUTED_VALUE"""),"Tiger Lu")</f>
        <v>Tiger Lu</v>
      </c>
      <c r="G44" s="61" t="str">
        <f>IFERROR(__xludf.DUMMYFUNCTION("""COMPUTED_VALUE""")," 1 [Included with Registration]   - ")</f>
        <v> 1 [Included with Registration]   - </v>
      </c>
      <c r="H44" s="61"/>
      <c r="I44" s="61"/>
      <c r="J44" s="107" t="str">
        <f>IFERROR(__xludf.DUMMYFUNCTION("""COMPUTED_VALUE"""),"03:00 PM to 05:00 PM")</f>
        <v>03:00 PM to 05:00 PM</v>
      </c>
      <c r="K44" s="100">
        <f>IFERROR(__xludf.DUMMYFUNCTION("""COMPUTED_VALUE"""),46154.0)</f>
        <v>46154</v>
      </c>
      <c r="L44" s="61" t="str">
        <f>IFERROR(__xludf.DUMMYFUNCTION("""COMPUTED_VALUE"""),"1811 38th St, 
Bellingham, WA
98229 ")</f>
        <v>1811 38th St, 
Bellingham, WA
98229 </v>
      </c>
      <c r="M44" s="61"/>
      <c r="N44" s="61" t="str">
        <f>IFERROR(__xludf.DUMMYFUNCTION("""COMPUTED_VALUE"""),"726 Westgate Ave, APT 1N
University City, MO
63130")</f>
        <v>726 Westgate Ave, APT 1N
University City, MO
63130</v>
      </c>
    </row>
    <row r="45">
      <c r="A45" s="102" t="str">
        <f>IFERROR(__xludf.DUMMYFUNCTION("""COMPUTED_VALUE"""),"https://utrucking.com/admin/orders/6392909463740")</f>
        <v>https://utrucking.com/admin/orders/6392909463740</v>
      </c>
      <c r="B45" s="65" t="str">
        <f>IFERROR(__xludf.DUMMYFUNCTION("""COMPUTED_VALUE"""),"#17232")</f>
        <v>#17232</v>
      </c>
      <c r="C45" s="65" t="str">
        <f>IFERROR(__xludf.DUMMYFUNCTION("""COMPUTED_VALUE"""),"Kelly.s.g@wustl.edu")</f>
        <v>Kelly.s.g@wustl.edu</v>
      </c>
      <c r="D45" s="65">
        <f>IFERROR(__xludf.DUMMYFUNCTION("""COMPUTED_VALUE"""),9.084723133E9)</f>
        <v>9084723133</v>
      </c>
      <c r="E45" s="65" t="str">
        <f>IFERROR(__xludf.DUMMYFUNCTION("""COMPUTED_VALUE"""),"Sarah Kelly")</f>
        <v>Sarah Kelly</v>
      </c>
      <c r="F45" s="65" t="str">
        <f>IFERROR(__xludf.DUMMYFUNCTION("""COMPUTED_VALUE"""),"Sarah Kelly")</f>
        <v>Sarah Kelly</v>
      </c>
      <c r="G45" s="65" t="str">
        <f>IFERROR(__xludf.DUMMYFUNCTION("""COMPUTED_VALUE""")," 1 [Included with Registration]   - ")</f>
        <v> 1 [Included with Registration]   - </v>
      </c>
      <c r="H45" s="65" t="str">
        <f>IFERROR(__xludf.DUMMYFUNCTION("""COMPUTED_VALUE"""),"Zetcher  ")</f>
        <v>Zetcher  </v>
      </c>
      <c r="I45" s="65" t="str">
        <f>IFERROR(__xludf.DUMMYFUNCTION("""COMPUTED_VALUE"""),"2214")</f>
        <v>2214</v>
      </c>
      <c r="J45" s="108" t="str">
        <f>IFERROR(__xludf.DUMMYFUNCTION("""COMPUTED_VALUE"""),"03:00 PM to 05:00 PM")</f>
        <v>03:00 PM to 05:00 PM</v>
      </c>
      <c r="K45" s="103">
        <f>IFERROR(__xludf.DUMMYFUNCTION("""COMPUTED_VALUE"""),46149.0)</f>
        <v>46149</v>
      </c>
      <c r="L45" s="65" t="str">
        <f>IFERROR(__xludf.DUMMYFUNCTION("""COMPUTED_VALUE"""),"19 Rotary Lane Summit, NJ 07901 ")</f>
        <v>19 Rotary Lane Summit, NJ 07901 </v>
      </c>
      <c r="M45" s="65"/>
      <c r="N45" s="65"/>
    </row>
    <row r="46">
      <c r="A46" s="99" t="str">
        <f>IFERROR(__xludf.DUMMYFUNCTION("""COMPUTED_VALUE"""),"https://utrucking.com/admin/orders/6393994182844")</f>
        <v>https://utrucking.com/admin/orders/6393994182844</v>
      </c>
      <c r="B46" s="61" t="str">
        <f>IFERROR(__xludf.DUMMYFUNCTION("""COMPUTED_VALUE"""),"#17239")</f>
        <v>#17239</v>
      </c>
      <c r="C46" s="61" t="str">
        <f>IFERROR(__xludf.DUMMYFUNCTION("""COMPUTED_VALUE"""),"rosie.swidler@gmail.com")</f>
        <v>rosie.swidler@gmail.com</v>
      </c>
      <c r="D46" s="61">
        <f>IFERROR(__xludf.DUMMYFUNCTION("""COMPUTED_VALUE"""),6.03730754E9)</f>
        <v>6037307540</v>
      </c>
      <c r="E46" s="61" t="str">
        <f>IFERROR(__xludf.DUMMYFUNCTION("""COMPUTED_VALUE"""),"Rosie Swidler")</f>
        <v>Rosie Swidler</v>
      </c>
      <c r="F46" s="61" t="str">
        <f>IFERROR(__xludf.DUMMYFUNCTION("""COMPUTED_VALUE"""),"Rosalynde Swidler")</f>
        <v>Rosalynde Swidler</v>
      </c>
      <c r="G46" s="61" t="str">
        <f>IFERROR(__xludf.DUMMYFUNCTION("""COMPUTED_VALUE""")," 3   - ")</f>
        <v> 3   - </v>
      </c>
      <c r="H46" s="61"/>
      <c r="I46" s="61"/>
      <c r="J46" s="107" t="str">
        <f>IFERROR(__xludf.DUMMYFUNCTION("""COMPUTED_VALUE"""),"03:00 PM to 05:00 PM")</f>
        <v>03:00 PM to 05:00 PM</v>
      </c>
      <c r="K46" s="100">
        <f>IFERROR(__xludf.DUMMYFUNCTION("""COMPUTED_VALUE"""),46158.0)</f>
        <v>46158</v>
      </c>
      <c r="L46" s="61" t="str">
        <f>IFERROR(__xludf.DUMMYFUNCTION("""COMPUTED_VALUE"""),"301 East 50th Street Apt 21A, New York, NY 10022 ")</f>
        <v>301 East 50th Street Apt 21A, New York, NY 10022 </v>
      </c>
      <c r="M46" s="61"/>
      <c r="N46" s="61" t="str">
        <f>IFERROR(__xludf.DUMMYFUNCTION("""COMPUTED_VALUE"""),"6655 Washington Avenue Apt 2W 63130")</f>
        <v>6655 Washington Avenue Apt 2W 63130</v>
      </c>
    </row>
    <row r="47">
      <c r="A47" s="102" t="str">
        <f>IFERROR(__xludf.DUMMYFUNCTION("""COMPUTED_VALUE"""),"https://utrucking.com/admin/orders/6397158162620")</f>
        <v>https://utrucking.com/admin/orders/6397158162620</v>
      </c>
      <c r="B47" s="65" t="str">
        <f>IFERROR(__xludf.DUMMYFUNCTION("""COMPUTED_VALUE"""),"#17247")</f>
        <v>#17247</v>
      </c>
      <c r="C47" s="65"/>
      <c r="D47" s="65">
        <f>IFERROR(__xludf.DUMMYFUNCTION("""COMPUTED_VALUE"""),4.258007251E9)</f>
        <v>4258007251</v>
      </c>
      <c r="E47" s="65" t="str">
        <f>IFERROR(__xludf.DUMMYFUNCTION("""COMPUTED_VALUE"""),"Abby Wang")</f>
        <v>Abby Wang</v>
      </c>
      <c r="F47" s="65" t="str">
        <f>IFERROR(__xludf.DUMMYFUNCTION("""COMPUTED_VALUE"""),"Abby Wang")</f>
        <v>Abby Wang</v>
      </c>
      <c r="G47" s="65" t="str">
        <f>IFERROR(__xludf.DUMMYFUNCTION("""COMPUTED_VALUE""")," 1 [Included with Registration]   - ")</f>
        <v> 1 [Included with Registration]   - </v>
      </c>
      <c r="H47" s="65" t="str">
        <f>IFERROR(__xludf.DUMMYFUNCTION("""COMPUTED_VALUE"""),"Dauten  ")</f>
        <v>Dauten  </v>
      </c>
      <c r="I47" s="65" t="str">
        <f>IFERROR(__xludf.DUMMYFUNCTION("""COMPUTED_VALUE"""),"423")</f>
        <v>423</v>
      </c>
      <c r="J47" s="108" t="str">
        <f>IFERROR(__xludf.DUMMYFUNCTION("""COMPUTED_VALUE"""),"09:00 AM to 11:00 AM  ")</f>
        <v>09:00 AM to 11:00 AM  </v>
      </c>
      <c r="K47" s="103">
        <f>IFERROR(__xludf.DUMMYFUNCTION("""COMPUTED_VALUE"""),46148.0)</f>
        <v>46148</v>
      </c>
      <c r="L47" s="65" t="str">
        <f>IFERROR(__xludf.DUMMYFUNCTION("""COMPUTED_VALUE"""),"3462 92nd Ave NE Yarrow Point WA 98004 ")</f>
        <v>3462 92nd Ave NE Yarrow Point WA 98004 </v>
      </c>
      <c r="M47" s="65"/>
      <c r="N47" s="65"/>
    </row>
    <row r="48">
      <c r="A48" s="99" t="str">
        <f>IFERROR(__xludf.DUMMYFUNCTION("""COMPUTED_VALUE"""),"https://utrucking.com/admin/orders/6398131372220")</f>
        <v>https://utrucking.com/admin/orders/6398131372220</v>
      </c>
      <c r="B48" s="61" t="str">
        <f>IFERROR(__xludf.DUMMYFUNCTION("""COMPUTED_VALUE"""),"#17253")</f>
        <v>#17253</v>
      </c>
      <c r="C48" s="61" t="str">
        <f>IFERROR(__xludf.DUMMYFUNCTION("""COMPUTED_VALUE"""),"ngolovcsenko@icloud.com")</f>
        <v>ngolovcsenko@icloud.com</v>
      </c>
      <c r="D48" s="61">
        <f>IFERROR(__xludf.DUMMYFUNCTION("""COMPUTED_VALUE"""),9.14208607E9)</f>
        <v>9142086070</v>
      </c>
      <c r="E48" s="61" t="str">
        <f>IFERROR(__xludf.DUMMYFUNCTION("""COMPUTED_VALUE"""),"Nathan Golovcsenko")</f>
        <v>Nathan Golovcsenko</v>
      </c>
      <c r="F48" s="61" t="str">
        <f>IFERROR(__xludf.DUMMYFUNCTION("""COMPUTED_VALUE"""),"Nathan Golovcsenko")</f>
        <v>Nathan Golovcsenko</v>
      </c>
      <c r="G48" s="61" t="str">
        <f>IFERROR(__xludf.DUMMYFUNCTION("""COMPUTED_VALUE""")," 2   - ")</f>
        <v> 2   - </v>
      </c>
      <c r="H48" s="61"/>
      <c r="I48" s="61"/>
      <c r="J48" s="107" t="str">
        <f>IFERROR(__xludf.DUMMYFUNCTION("""COMPUTED_VALUE"""),"12:00 PM to 02:00 PM  ")</f>
        <v>12:00 PM to 02:00 PM  </v>
      </c>
      <c r="K48" s="100">
        <f>IFERROR(__xludf.DUMMYFUNCTION("""COMPUTED_VALUE"""),46158.0)</f>
        <v>46158</v>
      </c>
      <c r="L48" s="61" t="str">
        <f>IFERROR(__xludf.DUMMYFUNCTION("""COMPUTED_VALUE"""),"22 Peach Tree Lane
Briarcliff Manor, NY 10510 ")</f>
        <v>22 Peach Tree Lane
Briarcliff Manor, NY 10510 </v>
      </c>
      <c r="M48" s="61"/>
      <c r="N48" s="61" t="str">
        <f>IFERROR(__xludf.DUMMYFUNCTION("""COMPUTED_VALUE"""),"605 Leland Avenue
Apartment 704
University City, MO 63130")</f>
        <v>605 Leland Avenue
Apartment 704
University City, MO 63130</v>
      </c>
    </row>
    <row r="49">
      <c r="A49" s="102" t="str">
        <f>IFERROR(__xludf.DUMMYFUNCTION("""COMPUTED_VALUE"""),"https://utrucking.com/admin/orders/6398298095804")</f>
        <v>https://utrucking.com/admin/orders/6398298095804</v>
      </c>
      <c r="B49" s="65" t="str">
        <f>IFERROR(__xludf.DUMMYFUNCTION("""COMPUTED_VALUE"""),"#17256")</f>
        <v>#17256</v>
      </c>
      <c r="C49" s="65"/>
      <c r="D49" s="65">
        <f>IFERROR(__xludf.DUMMYFUNCTION("""COMPUTED_VALUE"""),2.022765494E9)</f>
        <v>2022765494</v>
      </c>
      <c r="E49" s="65" t="str">
        <f>IFERROR(__xludf.DUMMYFUNCTION("""COMPUTED_VALUE"""),"Nathaniel Arundel")</f>
        <v>Nathaniel Arundel</v>
      </c>
      <c r="F49" s="65" t="str">
        <f>IFERROR(__xludf.DUMMYFUNCTION("""COMPUTED_VALUE"""),"Nathaniel Arundel")</f>
        <v>Nathaniel Arundel</v>
      </c>
      <c r="G49" s="65" t="str">
        <f>IFERROR(__xludf.DUMMYFUNCTION("""COMPUTED_VALUE""")," 1 [Included with Registration]   - ")</f>
        <v> 1 [Included with Registration]   - </v>
      </c>
      <c r="H49" s="65" t="str">
        <f>IFERROR(__xludf.DUMMYFUNCTION("""COMPUTED_VALUE"""),"Millbrook Bldg. 4  ")</f>
        <v>Millbrook Bldg. 4  </v>
      </c>
      <c r="I49" s="65" t="str">
        <f>IFERROR(__xludf.DUMMYFUNCTION("""COMPUTED_VALUE"""),"203-B")</f>
        <v>203-B</v>
      </c>
      <c r="J49" s="108" t="str">
        <f>IFERROR(__xludf.DUMMYFUNCTION("""COMPUTED_VALUE"""),"09:00 AM to 11:00 AM  ")</f>
        <v>09:00 AM to 11:00 AM  </v>
      </c>
      <c r="K49" s="103">
        <f>IFERROR(__xludf.DUMMYFUNCTION("""COMPUTED_VALUE"""),46147.0)</f>
        <v>46147</v>
      </c>
      <c r="L49" s="65" t="str">
        <f>IFERROR(__xludf.DUMMYFUNCTION("""COMPUTED_VALUE"""),"4510 Q Place NW
Washington, D.C. 20007 ")</f>
        <v>4510 Q Place NW
Washington, D.C. 20007 </v>
      </c>
      <c r="M49" s="65"/>
      <c r="N49" s="65"/>
    </row>
    <row r="50">
      <c r="A50" s="99" t="str">
        <f>IFERROR(__xludf.DUMMYFUNCTION("""COMPUTED_VALUE"""),"https://utrucking.com/admin/orders/6399209472188")</f>
        <v>https://utrucking.com/admin/orders/6399209472188</v>
      </c>
      <c r="B50" s="61" t="str">
        <f>IFERROR(__xludf.DUMMYFUNCTION("""COMPUTED_VALUE"""),"#17261")</f>
        <v>#17261</v>
      </c>
      <c r="C50" s="61" t="str">
        <f>IFERROR(__xludf.DUMMYFUNCTION("""COMPUTED_VALUE"""),"42festin42@comcast.net")</f>
        <v>42festin42@comcast.net</v>
      </c>
      <c r="D50" s="61">
        <f>IFERROR(__xludf.DUMMYFUNCTION("""COMPUTED_VALUE"""),6.12741083E9)</f>
        <v>6127410830</v>
      </c>
      <c r="E50" s="61" t="str">
        <f>IFERROR(__xludf.DUMMYFUNCTION("""COMPUTED_VALUE"""),"Bernadette Coden-Festin")</f>
        <v>Bernadette Coden-Festin</v>
      </c>
      <c r="F50" s="61" t="str">
        <f>IFERROR(__xludf.DUMMYFUNCTION("""COMPUTED_VALUE"""),"Christopher Festin")</f>
        <v>Christopher Festin</v>
      </c>
      <c r="G50" s="61" t="str">
        <f>IFERROR(__xludf.DUMMYFUNCTION("""COMPUTED_VALUE"""),"1 [Included with Registration]")</f>
        <v>1 [Included with Registration]</v>
      </c>
      <c r="H50" s="61"/>
      <c r="I50" s="61"/>
      <c r="J50" s="107" t="str">
        <f>IFERROR(__xludf.DUMMYFUNCTION("""COMPUTED_VALUE"""),"09:00 AM to 11:00 AM  ")</f>
        <v>09:00 AM to 11:00 AM  </v>
      </c>
      <c r="K50" s="100">
        <f>IFERROR(__xludf.DUMMYFUNCTION("""COMPUTED_VALUE"""),46158.0)</f>
        <v>46158</v>
      </c>
      <c r="L50" s="61" t="str">
        <f>IFERROR(__xludf.DUMMYFUNCTION("""COMPUTED_VALUE"""),"16677 47th Pl N, Minneapolis MN 55446")</f>
        <v>16677 47th Pl N, Minneapolis MN 55446</v>
      </c>
      <c r="M50" s="61" t="str">
        <f>IFERROR(__xludf.DUMMYFUNCTION("""COMPUTED_VALUE"""),"pickup - 605 Leland Avenue, Apt 206, Universal City, MO 63103")</f>
        <v>pickup - 605 Leland Avenue, Apt 206, Universal City, MO 63103</v>
      </c>
      <c r="N50" s="61" t="str">
        <f>IFERROR(__xludf.DUMMYFUNCTION("""COMPUTED_VALUE"""),"605 Leland Avenue, Apt 206, Universal City, MO 63103")</f>
        <v>605 Leland Avenue, Apt 206, Universal City, MO 63103</v>
      </c>
    </row>
    <row r="51">
      <c r="A51" s="102" t="str">
        <f>IFERROR(__xludf.DUMMYFUNCTION("""COMPUTED_VALUE"""),"https://utrucking.com/admin/orders/6400504266940")</f>
        <v>https://utrucking.com/admin/orders/6400504266940</v>
      </c>
      <c r="B51" s="65" t="str">
        <f>IFERROR(__xludf.DUMMYFUNCTION("""COMPUTED_VALUE"""),"#17269")</f>
        <v>#17269</v>
      </c>
      <c r="C51" s="65" t="str">
        <f>IFERROR(__xludf.DUMMYFUNCTION("""COMPUTED_VALUE"""),"a.plaxe@wustl.edu")</f>
        <v>a.plaxe@wustl.edu</v>
      </c>
      <c r="D51" s="65">
        <f>IFERROR(__xludf.DUMMYFUNCTION("""COMPUTED_VALUE"""),9.174551134E9)</f>
        <v>9174551134</v>
      </c>
      <c r="E51" s="65" t="str">
        <f>IFERROR(__xludf.DUMMYFUNCTION("""COMPUTED_VALUE"""),"Amanda Plaxe")</f>
        <v>Amanda Plaxe</v>
      </c>
      <c r="F51" s="65" t="str">
        <f>IFERROR(__xludf.DUMMYFUNCTION("""COMPUTED_VALUE"""),"Amanda Plaxe")</f>
        <v>Amanda Plaxe</v>
      </c>
      <c r="G51" s="65" t="str">
        <f>IFERROR(__xludf.DUMMYFUNCTION("""COMPUTED_VALUE""")," 1 [Included with Registration]   - ")</f>
        <v> 1 [Included with Registration]   - </v>
      </c>
      <c r="H51" s="65" t="str">
        <f>IFERROR(__xludf.DUMMYFUNCTION("""COMPUTED_VALUE"""),"Eliot B (Sophomore Dorm)")</f>
        <v>Eliot B (Sophomore Dorm)</v>
      </c>
      <c r="I51" s="65" t="str">
        <f>IFERROR(__xludf.DUMMYFUNCTION("""COMPUTED_VALUE"""),"2103")</f>
        <v>2103</v>
      </c>
      <c r="J51" s="108" t="str">
        <f>IFERROR(__xludf.DUMMYFUNCTION("""COMPUTED_VALUE"""),"09:00 AM to 11:00 AM  ")</f>
        <v>09:00 AM to 11:00 AM  </v>
      </c>
      <c r="K51" s="103">
        <f>IFERROR(__xludf.DUMMYFUNCTION("""COMPUTED_VALUE"""),46150.0)</f>
        <v>46150</v>
      </c>
      <c r="L51" s="65" t="str">
        <f>IFERROR(__xludf.DUMMYFUNCTION("""COMPUTED_VALUE"""),"214 West 85th St Apt 4E, 10024, NY New York ")</f>
        <v>214 West 85th St Apt 4E, 10024, NY New York </v>
      </c>
      <c r="M51" s="65"/>
      <c r="N51" s="65"/>
    </row>
    <row r="52">
      <c r="A52" s="99" t="str">
        <f>IFERROR(__xludf.DUMMYFUNCTION("""COMPUTED_VALUE"""),"https://utrucking.com/admin/orders/6402085191868")</f>
        <v>https://utrucking.com/admin/orders/6402085191868</v>
      </c>
      <c r="B52" s="61" t="str">
        <f>IFERROR(__xludf.DUMMYFUNCTION("""COMPUTED_VALUE"""),"#17279")</f>
        <v>#17279</v>
      </c>
      <c r="C52" s="61" t="str">
        <f>IFERROR(__xludf.DUMMYFUNCTION("""COMPUTED_VALUE"""),"sbryn20@icloud.com")</f>
        <v>sbryn20@icloud.com</v>
      </c>
      <c r="D52" s="61">
        <f>IFERROR(__xludf.DUMMYFUNCTION("""COMPUTED_VALUE"""),9.735188085E9)</f>
        <v>9735188085</v>
      </c>
      <c r="E52" s="61" t="str">
        <f>IFERROR(__xludf.DUMMYFUNCTION("""COMPUTED_VALUE"""),"Samantha Kelner")</f>
        <v>Samantha Kelner</v>
      </c>
      <c r="F52" s="61" t="str">
        <f>IFERROR(__xludf.DUMMYFUNCTION("""COMPUTED_VALUE"""),"Sammy Kelner")</f>
        <v>Sammy Kelner</v>
      </c>
      <c r="G52" s="61" t="str">
        <f>IFERROR(__xludf.DUMMYFUNCTION("""COMPUTED_VALUE""")," 1 [Included with Registration]   - ")</f>
        <v> 1 [Included with Registration]   - </v>
      </c>
      <c r="H52" s="61" t="str">
        <f>IFERROR(__xludf.DUMMYFUNCTION("""COMPUTED_VALUE"""),"Loop Loft 6255  ")</f>
        <v>Loop Loft 6255  </v>
      </c>
      <c r="I52" s="61" t="str">
        <f>IFERROR(__xludf.DUMMYFUNCTION("""COMPUTED_VALUE"""),"411C")</f>
        <v>411C</v>
      </c>
      <c r="J52" s="107" t="str">
        <f>IFERROR(__xludf.DUMMYFUNCTION("""COMPUTED_VALUE"""),"03:00 PM to 05:00 PM")</f>
        <v>03:00 PM to 05:00 PM</v>
      </c>
      <c r="K52" s="100">
        <f>IFERROR(__xludf.DUMMYFUNCTION("""COMPUTED_VALUE"""),46149.0)</f>
        <v>46149</v>
      </c>
      <c r="L52" s="61" t="str">
        <f>IFERROR(__xludf.DUMMYFUNCTION("""COMPUTED_VALUE"""),"9 Sailors Way
Rumson, NJ 07760 ")</f>
        <v>9 Sailors Way
Rumson, NJ 07760 </v>
      </c>
      <c r="M52" s="61"/>
      <c r="N52" s="61"/>
    </row>
    <row r="53">
      <c r="A53" s="102" t="str">
        <f>IFERROR(__xludf.DUMMYFUNCTION("""COMPUTED_VALUE"""),"https://utrucking.com/admin/orders/6403653370044")</f>
        <v>https://utrucking.com/admin/orders/6403653370044</v>
      </c>
      <c r="B53" s="65" t="str">
        <f>IFERROR(__xludf.DUMMYFUNCTION("""COMPUTED_VALUE"""),"#17301")</f>
        <v>#17301</v>
      </c>
      <c r="C53" s="65" t="str">
        <f>IFERROR(__xludf.DUMMYFUNCTION("""COMPUTED_VALUE"""),"jojones320@gmail.com")</f>
        <v>jojones320@gmail.com</v>
      </c>
      <c r="D53" s="65">
        <f>IFERROR(__xludf.DUMMYFUNCTION("""COMPUTED_VALUE"""),9.176867838E9)</f>
        <v>9176867838</v>
      </c>
      <c r="E53" s="65" t="str">
        <f>IFERROR(__xludf.DUMMYFUNCTION("""COMPUTED_VALUE"""),"Joanna Jones")</f>
        <v>Joanna Jones</v>
      </c>
      <c r="F53" s="65" t="str">
        <f>IFERROR(__xludf.DUMMYFUNCTION("""COMPUTED_VALUE"""),"Beckett Jones")</f>
        <v>Beckett Jones</v>
      </c>
      <c r="G53" s="65" t="str">
        <f>IFERROR(__xludf.DUMMYFUNCTION("""COMPUTED_VALUE""")," 1 [Included with Registration]   - ")</f>
        <v> 1 [Included with Registration]   - </v>
      </c>
      <c r="H53" s="65" t="str">
        <f>IFERROR(__xludf.DUMMYFUNCTION("""COMPUTED_VALUE"""),"Rutledge  ")</f>
        <v>Rutledge  </v>
      </c>
      <c r="I53" s="65" t="str">
        <f>IFERROR(__xludf.DUMMYFUNCTION("""COMPUTED_VALUE"""),"244")</f>
        <v>244</v>
      </c>
      <c r="J53" s="108" t="str">
        <f>IFERROR(__xludf.DUMMYFUNCTION("""COMPUTED_VALUE"""),"12:00 PM to 02:00 PM  ")</f>
        <v>12:00 PM to 02:00 PM  </v>
      </c>
      <c r="K53" s="103">
        <f>IFERROR(__xludf.DUMMYFUNCTION("""COMPUTED_VALUE"""),46148.0)</f>
        <v>46148</v>
      </c>
      <c r="L53" s="65" t="str">
        <f>IFERROR(__xludf.DUMMYFUNCTION("""COMPUTED_VALUE"""),"310 West 79th Street
Apt 1W
New York, NY. 10024 ")</f>
        <v>310 West 79th Street
Apt 1W
New York, NY. 10024 </v>
      </c>
      <c r="M53" s="65"/>
      <c r="N53" s="65"/>
    </row>
    <row r="54">
      <c r="A54" s="99" t="str">
        <f>IFERROR(__xludf.DUMMYFUNCTION("""COMPUTED_VALUE"""),"https://utrucking.com/admin/orders/6404436459708")</f>
        <v>https://utrucking.com/admin/orders/6404436459708</v>
      </c>
      <c r="B54" s="61" t="str">
        <f>IFERROR(__xludf.DUMMYFUNCTION("""COMPUTED_VALUE"""),"#17312")</f>
        <v>#17312</v>
      </c>
      <c r="C54" s="61"/>
      <c r="D54" s="61">
        <f>IFERROR(__xludf.DUMMYFUNCTION("""COMPUTED_VALUE"""),9.175756966E9)</f>
        <v>9175756966</v>
      </c>
      <c r="E54" s="61" t="str">
        <f>IFERROR(__xludf.DUMMYFUNCTION("""COMPUTED_VALUE"""),"MARIA MCEVOY")</f>
        <v>MARIA MCEVOY</v>
      </c>
      <c r="F54" s="61" t="str">
        <f>IFERROR(__xludf.DUMMYFUNCTION("""COMPUTED_VALUE"""),"Nico McEvoy")</f>
        <v>Nico McEvoy</v>
      </c>
      <c r="G54" s="61" t="str">
        <f>IFERROR(__xludf.DUMMYFUNCTION("""COMPUTED_VALUE""")," 2   - ")</f>
        <v> 2   - </v>
      </c>
      <c r="H54" s="61"/>
      <c r="I54" s="61"/>
      <c r="J54" s="107" t="str">
        <f>IFERROR(__xludf.DUMMYFUNCTION("""COMPUTED_VALUE"""),"01:00 PM to 03:00 PM  ")</f>
        <v>01:00 PM to 03:00 PM  </v>
      </c>
      <c r="K54" s="100">
        <f>IFERROR(__xludf.DUMMYFUNCTION("""COMPUTED_VALUE"""),46160.0)</f>
        <v>46160</v>
      </c>
      <c r="L54" s="61" t="str">
        <f>IFERROR(__xludf.DUMMYFUNCTION("""COMPUTED_VALUE"""),"28 LAIGHT ST, APT5A NEW YORK NY 10013 ")</f>
        <v>28 LAIGHT ST, APT5A NEW YORK NY 10013 </v>
      </c>
      <c r="M54" s="61"/>
      <c r="N54" s="61" t="str">
        <f>IFERROR(__xludf.DUMMYFUNCTION("""COMPUTED_VALUE"""),"740 LELAND AVE, APT 2F ST LOUIS, MO 63130")</f>
        <v>740 LELAND AVE, APT 2F ST LOUIS, MO 63130</v>
      </c>
    </row>
    <row r="55">
      <c r="A55" s="102" t="str">
        <f>IFERROR(__xludf.DUMMYFUNCTION("""COMPUTED_VALUE"""),"https://utrucking.com/admin/orders/6407873986748")</f>
        <v>https://utrucking.com/admin/orders/6407873986748</v>
      </c>
      <c r="B55" s="65" t="str">
        <f>IFERROR(__xludf.DUMMYFUNCTION("""COMPUTED_VALUE"""),"#17349")</f>
        <v>#17349</v>
      </c>
      <c r="C55" s="65"/>
      <c r="D55" s="65">
        <f>IFERROR(__xludf.DUMMYFUNCTION("""COMPUTED_VALUE"""),3.054318757E9)</f>
        <v>3054318757</v>
      </c>
      <c r="E55" s="65" t="str">
        <f>IFERROR(__xludf.DUMMYFUNCTION("""COMPUTED_VALUE"""),"Casey Manno")</f>
        <v>Casey Manno</v>
      </c>
      <c r="F55" s="65" t="str">
        <f>IFERROR(__xludf.DUMMYFUNCTION("""COMPUTED_VALUE"""),"Casey Manno ")</f>
        <v>Casey Manno </v>
      </c>
      <c r="G55" s="65" t="str">
        <f>IFERROR(__xludf.DUMMYFUNCTION("""COMPUTED_VALUE""")," 1 [Included with Registration]   - ")</f>
        <v> 1 [Included with Registration]   - </v>
      </c>
      <c r="H55" s="65" t="str">
        <f>IFERROR(__xludf.DUMMYFUNCTION("""COMPUTED_VALUE"""),"Lien  ")</f>
        <v>Lien  </v>
      </c>
      <c r="I55" s="65" t="str">
        <f>IFERROR(__xludf.DUMMYFUNCTION("""COMPUTED_VALUE"""),"3330")</f>
        <v>3330</v>
      </c>
      <c r="J55" s="108" t="str">
        <f>IFERROR(__xludf.DUMMYFUNCTION("""COMPUTED_VALUE"""),"10:00 AM to 12:00 PM  ")</f>
        <v>10:00 AM to 12:00 PM  </v>
      </c>
      <c r="K55" s="103">
        <f>IFERROR(__xludf.DUMMYFUNCTION("""COMPUTED_VALUE"""),46146.0)</f>
        <v>46146</v>
      </c>
      <c r="L55" s="65" t="str">
        <f>IFERROR(__xludf.DUMMYFUNCTION("""COMPUTED_VALUE"""),"2330 Lincoln Ave. Miami, Florida 33133 ")</f>
        <v>2330 Lincoln Ave. Miami, Florida 33133 </v>
      </c>
      <c r="M55" s="65"/>
      <c r="N55" s="65"/>
    </row>
    <row r="56">
      <c r="A56" s="99" t="str">
        <f>IFERROR(__xludf.DUMMYFUNCTION("""COMPUTED_VALUE"""),"https://utrucking.com/admin/orders/6408735817916")</f>
        <v>https://utrucking.com/admin/orders/6408735817916</v>
      </c>
      <c r="B56" s="61" t="str">
        <f>IFERROR(__xludf.DUMMYFUNCTION("""COMPUTED_VALUE"""),"#17366")</f>
        <v>#17366</v>
      </c>
      <c r="C56" s="61"/>
      <c r="D56" s="61">
        <f>IFERROR(__xludf.DUMMYFUNCTION("""COMPUTED_VALUE"""),9.144670019E9)</f>
        <v>9144670019</v>
      </c>
      <c r="E56" s="61" t="str">
        <f>IFERROR(__xludf.DUMMYFUNCTION("""COMPUTED_VALUE"""),"Charlie Emanuel")</f>
        <v>Charlie Emanuel</v>
      </c>
      <c r="F56" s="61" t="str">
        <f>IFERROR(__xludf.DUMMYFUNCTION("""COMPUTED_VALUE"""),"Charlie Emanuel")</f>
        <v>Charlie Emanuel</v>
      </c>
      <c r="G56" s="61" t="str">
        <f>IFERROR(__xludf.DUMMYFUNCTION("""COMPUTED_VALUE""")," 1 [Included with Registration]   - ")</f>
        <v> 1 [Included with Registration]   - </v>
      </c>
      <c r="H56" s="61"/>
      <c r="I56" s="61"/>
      <c r="J56" s="107" t="str">
        <f>IFERROR(__xludf.DUMMYFUNCTION("""COMPUTED_VALUE"""),"09:00 AM to 11:00 AM")</f>
        <v>09:00 AM to 11:00 AM</v>
      </c>
      <c r="K56" s="100">
        <f>IFERROR(__xludf.DUMMYFUNCTION("""COMPUTED_VALUE"""),46160.0)</f>
        <v>46160</v>
      </c>
      <c r="L56" s="61" t="str">
        <f>IFERROR(__xludf.DUMMYFUNCTION("""COMPUTED_VALUE"""),"Charlie Emanuel
12 Kittle Road
Chappaqua, NY 10514 ")</f>
        <v>Charlie Emanuel
12 Kittle Road
Chappaqua, NY 10514 </v>
      </c>
      <c r="M56" s="61"/>
      <c r="N56" s="61" t="str">
        <f>IFERROR(__xludf.DUMMYFUNCTION("""COMPUTED_VALUE"""),"Everly on the Loop
6105 Delmar Blvd
Apartment 815 B
St. Louis")</f>
        <v>Everly on the Loop
6105 Delmar Blvd
Apartment 815 B
St. Louis</v>
      </c>
    </row>
    <row r="57">
      <c r="A57" s="102" t="str">
        <f>IFERROR(__xludf.DUMMYFUNCTION("""COMPUTED_VALUE"""),"https://utrucking.com/admin/orders/6408869576892")</f>
        <v>https://utrucking.com/admin/orders/6408869576892</v>
      </c>
      <c r="B57" s="65" t="str">
        <f>IFERROR(__xludf.DUMMYFUNCTION("""COMPUTED_VALUE"""),"#17368")</f>
        <v>#17368</v>
      </c>
      <c r="C57" s="65" t="str">
        <f>IFERROR(__xludf.DUMMYFUNCTION("""COMPUTED_VALUE"""),"a.makayli@wustl.edu")</f>
        <v>a.makayli@wustl.edu</v>
      </c>
      <c r="D57" s="65">
        <f>IFERROR(__xludf.DUMMYFUNCTION("""COMPUTED_VALUE"""),6.785581035E9)</f>
        <v>6785581035</v>
      </c>
      <c r="E57" s="65" t="str">
        <f>IFERROR(__xludf.DUMMYFUNCTION("""COMPUTED_VALUE"""),"Makayli Anochie")</f>
        <v>Makayli Anochie</v>
      </c>
      <c r="F57" s="65" t="str">
        <f>IFERROR(__xludf.DUMMYFUNCTION("""COMPUTED_VALUE"""),"Makayli Anochie")</f>
        <v>Makayli Anochie</v>
      </c>
      <c r="G57" s="65" t="str">
        <f>IFERROR(__xludf.DUMMYFUNCTION("""COMPUTED_VALUE""")," 1 [Included with Registration]   - ")</f>
        <v> 1 [Included with Registration]   - </v>
      </c>
      <c r="H57" s="65" t="str">
        <f>IFERROR(__xludf.DUMMYFUNCTION("""COMPUTED_VALUE"""),"Zetcher  ")</f>
        <v>Zetcher  </v>
      </c>
      <c r="I57" s="65" t="str">
        <f>IFERROR(__xludf.DUMMYFUNCTION("""COMPUTED_VALUE"""),"2043-a")</f>
        <v>2043-a</v>
      </c>
      <c r="J57" s="108" t="str">
        <f>IFERROR(__xludf.DUMMYFUNCTION("""COMPUTED_VALUE"""),"09:00 AM to 11:00 AM  ")</f>
        <v>09:00 AM to 11:00 AM  </v>
      </c>
      <c r="K57" s="103">
        <f>IFERROR(__xludf.DUMMYFUNCTION("""COMPUTED_VALUE"""),46149.0)</f>
        <v>46149</v>
      </c>
      <c r="L57" s="65" t="str">
        <f>IFERROR(__xludf.DUMMYFUNCTION("""COMPUTED_VALUE"""),"545 Belada Blvd
Atlanta, GA 30342 ")</f>
        <v>545 Belada Blvd
Atlanta, GA 30342 </v>
      </c>
      <c r="M57" s="65"/>
      <c r="N57" s="65"/>
    </row>
    <row r="58">
      <c r="A58" s="99" t="str">
        <f>IFERROR(__xludf.DUMMYFUNCTION("""COMPUTED_VALUE"""),"https://utrucking.com/admin/orders/6408996290748")</f>
        <v>https://utrucking.com/admin/orders/6408996290748</v>
      </c>
      <c r="B58" s="61" t="str">
        <f>IFERROR(__xludf.DUMMYFUNCTION("""COMPUTED_VALUE"""),"#17370")</f>
        <v>#17370</v>
      </c>
      <c r="C58" s="61" t="str">
        <f>IFERROR(__xludf.DUMMYFUNCTION("""COMPUTED_VALUE"""),"maddiepira@gmail.com")</f>
        <v>maddiepira@gmail.com</v>
      </c>
      <c r="D58" s="61">
        <f>IFERROR(__xludf.DUMMYFUNCTION("""COMPUTED_VALUE"""),8.185152142E9)</f>
        <v>8185152142</v>
      </c>
      <c r="E58" s="61" t="str">
        <f>IFERROR(__xludf.DUMMYFUNCTION("""COMPUTED_VALUE"""),"Madeleine Pira")</f>
        <v>Madeleine Pira</v>
      </c>
      <c r="F58" s="61" t="str">
        <f>IFERROR(__xludf.DUMMYFUNCTION("""COMPUTED_VALUE"""),"Madeleine Pira")</f>
        <v>Madeleine Pira</v>
      </c>
      <c r="G58" s="61" t="str">
        <f>IFERROR(__xludf.DUMMYFUNCTION("""COMPUTED_VALUE""")," 2   - ")</f>
        <v> 2   - </v>
      </c>
      <c r="H58" s="61"/>
      <c r="I58" s="61"/>
      <c r="J58" s="107">
        <f>IFERROR(__xludf.DUMMYFUNCTION("""COMPUTED_VALUE"""),0.6666666666666666)</f>
        <v>0.6666666667</v>
      </c>
      <c r="K58" s="100">
        <f>IFERROR(__xludf.DUMMYFUNCTION("""COMPUTED_VALUE"""),46156.0)</f>
        <v>46156</v>
      </c>
      <c r="L58" s="61" t="str">
        <f>IFERROR(__xludf.DUMMYFUNCTION("""COMPUTED_VALUE"""),"20659 Lugano Way, Porter Ranch, CA 91326 ")</f>
        <v>20659 Lugano Way, Porter Ranch, CA 91326 </v>
      </c>
      <c r="M58" s="61" t="str">
        <f>IFERROR(__xludf.DUMMYFUNCTION("""COMPUTED_VALUE"""),"Apt code for kit: 1596")</f>
        <v>Apt code for kit: 1596</v>
      </c>
      <c r="N58" s="61" t="str">
        <f>IFERROR(__xludf.DUMMYFUNCTION("""COMPUTED_VALUE"""),"729 Westgate Avenue Apt. 3N, Saint Louis, MO 63130")</f>
        <v>729 Westgate Avenue Apt. 3N, Saint Louis, MO 63130</v>
      </c>
    </row>
    <row r="59">
      <c r="A59" s="102" t="str">
        <f>IFERROR(__xludf.DUMMYFUNCTION("""COMPUTED_VALUE"""),"https://utrucking.com/admin/orders/6409466970300")</f>
        <v>https://utrucking.com/admin/orders/6409466970300</v>
      </c>
      <c r="B59" s="65" t="str">
        <f>IFERROR(__xludf.DUMMYFUNCTION("""COMPUTED_VALUE"""),"#17378")</f>
        <v>#17378</v>
      </c>
      <c r="C59" s="65" t="str">
        <f>IFERROR(__xludf.DUMMYFUNCTION("""COMPUTED_VALUE"""),"williamatticks@gmail.com")</f>
        <v>williamatticks@gmail.com</v>
      </c>
      <c r="D59" s="65">
        <f>IFERROR(__xludf.DUMMYFUNCTION("""COMPUTED_VALUE"""),4.439155111E9)</f>
        <v>4439155111</v>
      </c>
      <c r="E59" s="65" t="str">
        <f>IFERROR(__xludf.DUMMYFUNCTION("""COMPUTED_VALUE"""),"William Atticks")</f>
        <v>William Atticks</v>
      </c>
      <c r="F59" s="65" t="str">
        <f>IFERROR(__xludf.DUMMYFUNCTION("""COMPUTED_VALUE"""),"William Atticks")</f>
        <v>William Atticks</v>
      </c>
      <c r="G59" s="65" t="str">
        <f>IFERROR(__xludf.DUMMYFUNCTION("""COMPUTED_VALUE""")," 1 [Included with Registration]   - ")</f>
        <v> 1 [Included with Registration]   - </v>
      </c>
      <c r="H59" s="65" t="str">
        <f>IFERROR(__xludf.DUMMYFUNCTION("""COMPUTED_VALUE"""),"Koenig  ")</f>
        <v>Koenig  </v>
      </c>
      <c r="I59" s="65" t="str">
        <f>IFERROR(__xludf.DUMMYFUNCTION("""COMPUTED_VALUE"""),"1112")</f>
        <v>1112</v>
      </c>
      <c r="J59" s="108" t="str">
        <f>IFERROR(__xludf.DUMMYFUNCTION("""COMPUTED_VALUE"""),"11:00 AM to 01:00 PM  ")</f>
        <v>11:00 AM to 01:00 PM  </v>
      </c>
      <c r="K59" s="103">
        <f>IFERROR(__xludf.DUMMYFUNCTION("""COMPUTED_VALUE"""),46144.0)</f>
        <v>46144</v>
      </c>
      <c r="L59" s="65" t="str">
        <f>IFERROR(__xludf.DUMMYFUNCTION("""COMPUTED_VALUE"""),"819 west padonia rd ")</f>
        <v>819 west padonia rd </v>
      </c>
      <c r="M59" s="65"/>
      <c r="N59" s="65"/>
    </row>
    <row r="60">
      <c r="A60" s="99" t="str">
        <f>IFERROR(__xludf.DUMMYFUNCTION("""COMPUTED_VALUE"""),"https://utrucking.com/admin/orders/6410116595900")</f>
        <v>https://utrucking.com/admin/orders/6410116595900</v>
      </c>
      <c r="B60" s="61" t="str">
        <f>IFERROR(__xludf.DUMMYFUNCTION("""COMPUTED_VALUE"""),"#17383")</f>
        <v>#17383</v>
      </c>
      <c r="C60" s="61" t="str">
        <f>IFERROR(__xludf.DUMMYFUNCTION("""COMPUTED_VALUE"""),"alisonflamenbaum@gmail.com")</f>
        <v>alisonflamenbaum@gmail.com</v>
      </c>
      <c r="D60" s="61">
        <f>IFERROR(__xludf.DUMMYFUNCTION("""COMPUTED_VALUE"""),9.145259746E9)</f>
        <v>9145259746</v>
      </c>
      <c r="E60" s="61" t="str">
        <f>IFERROR(__xludf.DUMMYFUNCTION("""COMPUTED_VALUE"""),"Alison Flamenbaum")</f>
        <v>Alison Flamenbaum</v>
      </c>
      <c r="F60" s="61" t="str">
        <f>IFERROR(__xludf.DUMMYFUNCTION("""COMPUTED_VALUE"""),"Paisley Flamenbaum")</f>
        <v>Paisley Flamenbaum</v>
      </c>
      <c r="G60" s="61" t="str">
        <f>IFERROR(__xludf.DUMMYFUNCTION("""COMPUTED_VALUE""")," 1 [Included with Registration]   - ")</f>
        <v> 1 [Included with Registration]   - </v>
      </c>
      <c r="H60" s="61" t="str">
        <f>IFERROR(__xludf.DUMMYFUNCTION("""COMPUTED_VALUE"""),"Lopata  ")</f>
        <v>Lopata  </v>
      </c>
      <c r="I60" s="61" t="str">
        <f>IFERROR(__xludf.DUMMYFUNCTION("""COMPUTED_VALUE"""),"Suite3050RoomA")</f>
        <v>Suite3050RoomA</v>
      </c>
      <c r="J60" s="107" t="str">
        <f>IFERROR(__xludf.DUMMYFUNCTION("""COMPUTED_VALUE"""),"12:00 PM to 02:00 PM  ")</f>
        <v>12:00 PM to 02:00 PM  </v>
      </c>
      <c r="K60" s="100">
        <f>IFERROR(__xludf.DUMMYFUNCTION("""COMPUTED_VALUE"""),46141.0)</f>
        <v>46141</v>
      </c>
      <c r="L60" s="61" t="str">
        <f>IFERROR(__xludf.DUMMYFUNCTION("""COMPUTED_VALUE"""),"Paisley Flamenbaum
30 Kilmer Rd
Larchmont, NY 10538 ")</f>
        <v>Paisley Flamenbaum
30 Kilmer Rd
Larchmont, NY 10538 </v>
      </c>
      <c r="M60" s="61"/>
      <c r="N60" s="61"/>
    </row>
    <row r="61">
      <c r="A61" s="102" t="str">
        <f>IFERROR(__xludf.DUMMYFUNCTION("""COMPUTED_VALUE"""),"https://utrucking.com/admin/orders/6411271110844")</f>
        <v>https://utrucking.com/admin/orders/6411271110844</v>
      </c>
      <c r="B61" s="65" t="str">
        <f>IFERROR(__xludf.DUMMYFUNCTION("""COMPUTED_VALUE"""),"#17393")</f>
        <v>#17393</v>
      </c>
      <c r="C61" s="65" t="str">
        <f>IFERROR(__xludf.DUMMYFUNCTION("""COMPUTED_VALUE"""),"fieldsjodi@yahoo.com")</f>
        <v>fieldsjodi@yahoo.com</v>
      </c>
      <c r="D61" s="65">
        <f>IFERROR(__xludf.DUMMYFUNCTION("""COMPUTED_VALUE"""),2.404178083E9)</f>
        <v>2404178083</v>
      </c>
      <c r="E61" s="65" t="str">
        <f>IFERROR(__xludf.DUMMYFUNCTION("""COMPUTED_VALUE"""),"Jodi Fields")</f>
        <v>Jodi Fields</v>
      </c>
      <c r="F61" s="65" t="str">
        <f>IFERROR(__xludf.DUMMYFUNCTION("""COMPUTED_VALUE"""),"Jenna Fields")</f>
        <v>Jenna Fields</v>
      </c>
      <c r="G61" s="65" t="str">
        <f>IFERROR(__xludf.DUMMYFUNCTION("""COMPUTED_VALUE""")," 1 [Included with Registration]   - ")</f>
        <v> 1 [Included with Registration]   - </v>
      </c>
      <c r="H61" s="65"/>
      <c r="I61" s="65"/>
      <c r="J61" s="108" t="str">
        <f>IFERROR(__xludf.DUMMYFUNCTION("""COMPUTED_VALUE"""),"12:00 PM to 02:00 PM  ")</f>
        <v>12:00 PM to 02:00 PM  </v>
      </c>
      <c r="K61" s="103">
        <f>IFERROR(__xludf.DUMMYFUNCTION("""COMPUTED_VALUE"""),46163.0)</f>
        <v>46163</v>
      </c>
      <c r="L61" s="65" t="str">
        <f>IFERROR(__xludf.DUMMYFUNCTION("""COMPUTED_VALUE"""),"8104 River Falls Dr
Potomac, Md 20854 ")</f>
        <v>8104 River Falls Dr
Potomac, Md 20854 </v>
      </c>
      <c r="M61" s="65"/>
      <c r="N61" s="65" t="str">
        <f>IFERROR(__xludf.DUMMYFUNCTION("""COMPUTED_VALUE"""),"7218 Forsyth Blvd 1W
 St Louis, Mo 63105")</f>
        <v>7218 Forsyth Blvd 1W
 St Louis, Mo 63105</v>
      </c>
    </row>
    <row r="62">
      <c r="A62" s="99" t="str">
        <f>IFERROR(__xludf.DUMMYFUNCTION("""COMPUTED_VALUE"""),"https://utrucking.com/admin/orders/6411363221692")</f>
        <v>https://utrucking.com/admin/orders/6411363221692</v>
      </c>
      <c r="B62" s="61" t="str">
        <f>IFERROR(__xludf.DUMMYFUNCTION("""COMPUTED_VALUE"""),"#17395")</f>
        <v>#17395</v>
      </c>
      <c r="C62" s="61" t="str">
        <f>IFERROR(__xludf.DUMMYFUNCTION("""COMPUTED_VALUE"""),"flicker@wustl.edu")</f>
        <v>flicker@wustl.edu</v>
      </c>
      <c r="D62" s="61">
        <f>IFERROR(__xludf.DUMMYFUNCTION("""COMPUTED_VALUE"""),9.179036245E9)</f>
        <v>9179036245</v>
      </c>
      <c r="E62" s="61" t="str">
        <f>IFERROR(__xludf.DUMMYFUNCTION("""COMPUTED_VALUE"""),"Russell Flicker")</f>
        <v>Russell Flicker</v>
      </c>
      <c r="F62" s="61" t="str">
        <f>IFERROR(__xludf.DUMMYFUNCTION("""COMPUTED_VALUE"""),"Molly Flicker")</f>
        <v>Molly Flicker</v>
      </c>
      <c r="G62" s="61" t="str">
        <f>IFERROR(__xludf.DUMMYFUNCTION("""COMPUTED_VALUE""")," 1 [Included with Registration]   - ")</f>
        <v> 1 [Included with Registration]   - </v>
      </c>
      <c r="H62" s="61"/>
      <c r="I62" s="61"/>
      <c r="J62" s="107" t="str">
        <f>IFERROR(__xludf.DUMMYFUNCTION("""COMPUTED_VALUE"""),"12:00 PM to 02:00 PM  ")</f>
        <v>12:00 PM to 02:00 PM  </v>
      </c>
      <c r="K62" s="100">
        <f>IFERROR(__xludf.DUMMYFUNCTION("""COMPUTED_VALUE"""),46158.0)</f>
        <v>46158</v>
      </c>
      <c r="L62" s="61" t="str">
        <f>IFERROR(__xludf.DUMMYFUNCTION("""COMPUTED_VALUE"""),"70 Greendale Road, Scarsdale, NY 10583 ")</f>
        <v>70 Greendale Road, Scarsdale, NY 10583 </v>
      </c>
      <c r="M62" s="61"/>
      <c r="N62" s="61" t="str">
        <f>IFERROR(__xludf.DUMMYFUNCTION("""COMPUTED_VALUE"""),"608 Kingsland Avenue, Apartment 404")</f>
        <v>608 Kingsland Avenue, Apartment 404</v>
      </c>
    </row>
    <row r="63">
      <c r="A63" s="102" t="str">
        <f>IFERROR(__xludf.DUMMYFUNCTION("""COMPUTED_VALUE"""),"https://utrucking.com/admin/orders/6417871143100")</f>
        <v>https://utrucking.com/admin/orders/6417871143100</v>
      </c>
      <c r="B63" s="65" t="str">
        <f>IFERROR(__xludf.DUMMYFUNCTION("""COMPUTED_VALUE"""),"#17438")</f>
        <v>#17438</v>
      </c>
      <c r="C63" s="65" t="str">
        <f>IFERROR(__xludf.DUMMYFUNCTION("""COMPUTED_VALUE"""),"grinberg1165@gmail.com")</f>
        <v>grinberg1165@gmail.com</v>
      </c>
      <c r="D63" s="65">
        <f>IFERROR(__xludf.DUMMYFUNCTION("""COMPUTED_VALUE"""),9.292131708E9)</f>
        <v>9292131708</v>
      </c>
      <c r="E63" s="65" t="str">
        <f>IFERROR(__xludf.DUMMYFUNCTION("""COMPUTED_VALUE"""),"Gideon Grinberg")</f>
        <v>Gideon Grinberg</v>
      </c>
      <c r="F63" s="65" t="str">
        <f>IFERROR(__xludf.DUMMYFUNCTION("""COMPUTED_VALUE"""),"Gideon Grinberg")</f>
        <v>Gideon Grinberg</v>
      </c>
      <c r="G63" s="65" t="str">
        <f>IFERROR(__xludf.DUMMYFUNCTION("""COMPUTED_VALUE""")," 2   - ")</f>
        <v> 2   - </v>
      </c>
      <c r="H63" s="65" t="str">
        <f>IFERROR(__xludf.DUMMYFUNCTION("""COMPUTED_VALUE"""),"Myers  ")</f>
        <v>Myers  </v>
      </c>
      <c r="I63" s="65" t="str">
        <f>IFERROR(__xludf.DUMMYFUNCTION("""COMPUTED_VALUE"""),"423")</f>
        <v>423</v>
      </c>
      <c r="J63" s="108" t="str">
        <f>IFERROR(__xludf.DUMMYFUNCTION("""COMPUTED_VALUE"""),"03:00 PM to 05:00 PM")</f>
        <v>03:00 PM to 05:00 PM</v>
      </c>
      <c r="K63" s="103">
        <f>IFERROR(__xludf.DUMMYFUNCTION("""COMPUTED_VALUE"""),46149.0)</f>
        <v>46149</v>
      </c>
      <c r="L63" s="65" t="str">
        <f>IFERROR(__xludf.DUMMYFUNCTION("""COMPUTED_VALUE"""),"1165 Park Ave #4B
New York, NY 10128 ")</f>
        <v>1165 Park Ave #4B
New York, NY 10128 </v>
      </c>
      <c r="M63" s="65" t="str">
        <f>IFERROR(__xludf.DUMMYFUNCTION("""COMPUTED_VALUE""")," ")</f>
        <v> </v>
      </c>
      <c r="N63" s="65"/>
    </row>
    <row r="64">
      <c r="A64" s="99" t="str">
        <f>IFERROR(__xludf.DUMMYFUNCTION("""COMPUTED_VALUE"""),"https://utrucking.com/admin/orders/6418613862588")</f>
        <v>https://utrucking.com/admin/orders/6418613862588</v>
      </c>
      <c r="B64" s="61" t="str">
        <f>IFERROR(__xludf.DUMMYFUNCTION("""COMPUTED_VALUE"""),"#17442")</f>
        <v>#17442</v>
      </c>
      <c r="C64" s="61" t="str">
        <f>IFERROR(__xludf.DUMMYFUNCTION("""COMPUTED_VALUE"""),"alisonpion@yahoo.com")</f>
        <v>alisonpion@yahoo.com</v>
      </c>
      <c r="D64" s="61">
        <f>IFERROR(__xludf.DUMMYFUNCTION("""COMPUTED_VALUE"""),2.023090321E9)</f>
        <v>2023090321</v>
      </c>
      <c r="E64" s="61" t="str">
        <f>IFERROR(__xludf.DUMMYFUNCTION("""COMPUTED_VALUE"""),"Alison Pion")</f>
        <v>Alison Pion</v>
      </c>
      <c r="F64" s="61" t="str">
        <f>IFERROR(__xludf.DUMMYFUNCTION("""COMPUTED_VALUE"""),"Ella Majd")</f>
        <v>Ella Majd</v>
      </c>
      <c r="G64" s="61" t="str">
        <f>IFERROR(__xludf.DUMMYFUNCTION("""COMPUTED_VALUE""")," 2   - ")</f>
        <v> 2   - </v>
      </c>
      <c r="H64" s="61"/>
      <c r="I64" s="61"/>
      <c r="J64" s="107" t="str">
        <f>IFERROR(__xludf.DUMMYFUNCTION("""COMPUTED_VALUE"""),"03:00 PM to 05:00 PM")</f>
        <v>03:00 PM to 05:00 PM</v>
      </c>
      <c r="K64" s="100">
        <f>IFERROR(__xludf.DUMMYFUNCTION("""COMPUTED_VALUE"""),46158.0)</f>
        <v>46158</v>
      </c>
      <c r="L64" s="61" t="str">
        <f>IFERROR(__xludf.DUMMYFUNCTION("""COMPUTED_VALUE"""),"33 4th Court, Hermosa Beach CA 90254 ")</f>
        <v>33 4th Court, Hermosa Beach CA 90254 </v>
      </c>
      <c r="M64" s="61" t="str">
        <f>IFERROR(__xludf.DUMMYFUNCTION("""COMPUTED_VALUE""")," ")</f>
        <v> </v>
      </c>
      <c r="N64" s="61" t="str">
        <f>IFERROR(__xludf.DUMMYFUNCTION("""COMPUTED_VALUE"""),"6040 Westminster Place, Floor 2, St. Louis MO 63112")</f>
        <v>6040 Westminster Place, Floor 2, St. Louis MO 63112</v>
      </c>
    </row>
    <row r="65">
      <c r="A65" s="102" t="str">
        <f>IFERROR(__xludf.DUMMYFUNCTION("""COMPUTED_VALUE"""),"https://utrucking.com/admin/orders/6419068944572")</f>
        <v>https://utrucking.com/admin/orders/6419068944572</v>
      </c>
      <c r="B65" s="65" t="str">
        <f>IFERROR(__xludf.DUMMYFUNCTION("""COMPUTED_VALUE"""),"#17459")</f>
        <v>#17459</v>
      </c>
      <c r="C65" s="65" t="str">
        <f>IFERROR(__xludf.DUMMYFUNCTION("""COMPUTED_VALUE"""),"gmb.baker@gmail.com")</f>
        <v>gmb.baker@gmail.com</v>
      </c>
      <c r="D65" s="65">
        <f>IFERROR(__xludf.DUMMYFUNCTION("""COMPUTED_VALUE"""),5.166260596E9)</f>
        <v>5166260596</v>
      </c>
      <c r="E65" s="65" t="str">
        <f>IFERROR(__xludf.DUMMYFUNCTION("""COMPUTED_VALUE"""),"Geneane Baker")</f>
        <v>Geneane Baker</v>
      </c>
      <c r="F65" s="65" t="str">
        <f>IFERROR(__xludf.DUMMYFUNCTION("""COMPUTED_VALUE"""),"Sydney Baker")</f>
        <v>Sydney Baker</v>
      </c>
      <c r="G65" s="65" t="str">
        <f>IFERROR(__xludf.DUMMYFUNCTION("""COMPUTED_VALUE""")," 2   - ")</f>
        <v> 2   - </v>
      </c>
      <c r="H65" s="65" t="str">
        <f>IFERROR(__xludf.DUMMYFUNCTION("""COMPUTED_VALUE"""),"Lopata  ")</f>
        <v>Lopata  </v>
      </c>
      <c r="I65" s="65" t="str">
        <f>IFERROR(__xludf.DUMMYFUNCTION("""COMPUTED_VALUE"""),"3032")</f>
        <v>3032</v>
      </c>
      <c r="J65" s="108" t="str">
        <f>IFERROR(__xludf.DUMMYFUNCTION("""COMPUTED_VALUE"""),"03:00 PM to 05:00 PM")</f>
        <v>03:00 PM to 05:00 PM</v>
      </c>
      <c r="K65" s="103">
        <f>IFERROR(__xludf.DUMMYFUNCTION("""COMPUTED_VALUE"""),46149.0)</f>
        <v>46149</v>
      </c>
      <c r="L65" s="65" t="str">
        <f>IFERROR(__xludf.DUMMYFUNCTION("""COMPUTED_VALUE"""),"24 Wenwood Drive
Glen Head, NY 11545 ")</f>
        <v>24 Wenwood Drive
Glen Head, NY 11545 </v>
      </c>
      <c r="M65" s="65" t="str">
        <f>IFERROR(__xludf.DUMMYFUNCTION("""COMPUTED_VALUE""")," ")</f>
        <v> </v>
      </c>
      <c r="N65" s="65"/>
    </row>
    <row r="66">
      <c r="A66" s="99" t="str">
        <f>IFERROR(__xludf.DUMMYFUNCTION("""COMPUTED_VALUE"""),"https://utrucking.com/admin/orders/6419329319100")</f>
        <v>https://utrucking.com/admin/orders/6419329319100</v>
      </c>
      <c r="B66" s="61" t="str">
        <f>IFERROR(__xludf.DUMMYFUNCTION("""COMPUTED_VALUE"""),"#17469")</f>
        <v>#17469</v>
      </c>
      <c r="C66" s="61" t="str">
        <f>IFERROR(__xludf.DUMMYFUNCTION("""COMPUTED_VALUE"""),"a.merlain-moffatt@wustl.edu")</f>
        <v>a.merlain-moffatt@wustl.edu</v>
      </c>
      <c r="D66" s="61">
        <f>IFERROR(__xludf.DUMMYFUNCTION("""COMPUTED_VALUE"""),7.722249328E9)</f>
        <v>7722249328</v>
      </c>
      <c r="E66" s="61" t="str">
        <f>IFERROR(__xludf.DUMMYFUNCTION("""COMPUTED_VALUE"""),"Nethanya Merlain-Moffatt")</f>
        <v>Nethanya Merlain-Moffatt</v>
      </c>
      <c r="F66" s="61" t="str">
        <f>IFERROR(__xludf.DUMMYFUNCTION("""COMPUTED_VALUE"""),"Nethanya Merlain-Moffatt")</f>
        <v>Nethanya Merlain-Moffatt</v>
      </c>
      <c r="G66" s="61" t="str">
        <f>IFERROR(__xludf.DUMMYFUNCTION("""COMPUTED_VALUE""")," 1 [Included with Registration]   - ")</f>
        <v> 1 [Included with Registration]   - </v>
      </c>
      <c r="H66" s="61" t="str">
        <f>IFERROR(__xludf.DUMMYFUNCTION("""COMPUTED_VALUE"""),"Loop Loft 6200  ")</f>
        <v>Loop Loft 6200  </v>
      </c>
      <c r="I66" s="61" t="str">
        <f>IFERROR(__xludf.DUMMYFUNCTION("""COMPUTED_VALUE"""),"214")</f>
        <v>214</v>
      </c>
      <c r="J66" s="107" t="str">
        <f>IFERROR(__xludf.DUMMYFUNCTION("""COMPUTED_VALUE"""),"09:00 AM to 11:00 AM  ")</f>
        <v>09:00 AM to 11:00 AM  </v>
      </c>
      <c r="K66" s="100">
        <f>IFERROR(__xludf.DUMMYFUNCTION("""COMPUTED_VALUE"""),46158.0)</f>
        <v>46158</v>
      </c>
      <c r="L66" s="61" t="str">
        <f>IFERROR(__xludf.DUMMYFUNCTION("""COMPUTED_VALUE"""),"15548 Orchard Drive, Westlake FL, 33470 ")</f>
        <v>15548 Orchard Drive, Westlake FL, 33470 </v>
      </c>
      <c r="M66" s="61" t="str">
        <f>IFERROR(__xludf.DUMMYFUNCTION("""COMPUTED_VALUE""")," ")</f>
        <v> </v>
      </c>
      <c r="N66" s="61"/>
    </row>
    <row r="67">
      <c r="A67" s="102" t="str">
        <f>IFERROR(__xludf.DUMMYFUNCTION("""COMPUTED_VALUE"""),"https://utrucking.com/admin/orders/6419942965436")</f>
        <v>https://utrucking.com/admin/orders/6419942965436</v>
      </c>
      <c r="B67" s="65" t="str">
        <f>IFERROR(__xludf.DUMMYFUNCTION("""COMPUTED_VALUE"""),"#17480")</f>
        <v>#17480</v>
      </c>
      <c r="C67" s="65" t="str">
        <f>IFERROR(__xludf.DUMMYFUNCTION("""COMPUTED_VALUE"""),"jpearlw29@gmail.com")</f>
        <v>jpearlw29@gmail.com</v>
      </c>
      <c r="D67" s="65">
        <f>IFERROR(__xludf.DUMMYFUNCTION("""COMPUTED_VALUE"""),2.014035599E9)</f>
        <v>2014035599</v>
      </c>
      <c r="E67" s="65" t="str">
        <f>IFERROR(__xludf.DUMMYFUNCTION("""COMPUTED_VALUE"""),"Jessica Weiss")</f>
        <v>Jessica Weiss</v>
      </c>
      <c r="F67" s="65" t="str">
        <f>IFERROR(__xludf.DUMMYFUNCTION("""COMPUTED_VALUE"""),"Jessica Weiss")</f>
        <v>Jessica Weiss</v>
      </c>
      <c r="G67" s="65" t="str">
        <f>IFERROR(__xludf.DUMMYFUNCTION("""COMPUTED_VALUE""")," 1 [Included with Registration]   - ")</f>
        <v> 1 [Included with Registration]   - </v>
      </c>
      <c r="H67" s="65"/>
      <c r="I67" s="65"/>
      <c r="J67" s="108" t="str">
        <f>IFERROR(__xludf.DUMMYFUNCTION("""COMPUTED_VALUE"""),"09:00 AM to 11:00 AM  ")</f>
        <v>09:00 AM to 11:00 AM  </v>
      </c>
      <c r="K67" s="103">
        <f>IFERROR(__xludf.DUMMYFUNCTION("""COMPUTED_VALUE"""),46154.0)</f>
        <v>46154</v>
      </c>
      <c r="L67" s="65" t="str">
        <f>IFERROR(__xludf.DUMMYFUNCTION("""COMPUTED_VALUE"""),"85 Van Blarcom Lane Wyckoff NJ 07481 ")</f>
        <v>85 Van Blarcom Lane Wyckoff NJ 07481 </v>
      </c>
      <c r="M67" s="65" t="str">
        <f>IFERROR(__xludf.DUMMYFUNCTION("""COMPUTED_VALUE""")," ")</f>
        <v> </v>
      </c>
      <c r="N67" s="65" t="str">
        <f>IFERROR(__xludf.DUMMYFUNCTION("""COMPUTED_VALUE"""),"665 S. Skinker Boulevard Apt. 06B St Louis MO 63105")</f>
        <v>665 S. Skinker Boulevard Apt. 06B St Louis MO 63105</v>
      </c>
    </row>
    <row r="68">
      <c r="A68" s="99" t="str">
        <f>IFERROR(__xludf.DUMMYFUNCTION("""COMPUTED_VALUE"""),"https://utrucking.com/admin/orders/6420271923388")</f>
        <v>https://utrucking.com/admin/orders/6420271923388</v>
      </c>
      <c r="B68" s="61" t="str">
        <f>IFERROR(__xludf.DUMMYFUNCTION("""COMPUTED_VALUE"""),"#17493")</f>
        <v>#17493</v>
      </c>
      <c r="C68" s="61" t="str">
        <f>IFERROR(__xludf.DUMMYFUNCTION("""COMPUTED_VALUE"""),"zeller@writeme.com")</f>
        <v>zeller@writeme.com</v>
      </c>
      <c r="D68" s="61">
        <f>IFERROR(__xludf.DUMMYFUNCTION("""COMPUTED_VALUE"""),6.50241876E9)</f>
        <v>6502418760</v>
      </c>
      <c r="E68" s="61" t="str">
        <f>IFERROR(__xludf.DUMMYFUNCTION("""COMPUTED_VALUE"""),"Matthias Zeller")</f>
        <v>Matthias Zeller</v>
      </c>
      <c r="F68" s="61" t="str">
        <f>IFERROR(__xludf.DUMMYFUNCTION("""COMPUTED_VALUE"""),"Max Zeller")</f>
        <v>Max Zeller</v>
      </c>
      <c r="G68" s="61" t="str">
        <f>IFERROR(__xludf.DUMMYFUNCTION("""COMPUTED_VALUE""")," 1 [Included with Registration]   - ")</f>
        <v> 1 [Included with Registration]   - </v>
      </c>
      <c r="H68" s="61" t="str">
        <f>IFERROR(__xludf.DUMMYFUNCTION("""COMPUTED_VALUE"""),"Myers  ")</f>
        <v>Myers  </v>
      </c>
      <c r="I68" s="61" t="str">
        <f>IFERROR(__xludf.DUMMYFUNCTION("""COMPUTED_VALUE"""),"343")</f>
        <v>343</v>
      </c>
      <c r="J68" s="107" t="str">
        <f>IFERROR(__xludf.DUMMYFUNCTION("""COMPUTED_VALUE"""),"10:00 AM to 12:00 PM  ")</f>
        <v>10:00 AM to 12:00 PM  </v>
      </c>
      <c r="K68" s="100">
        <f>IFERROR(__xludf.DUMMYFUNCTION("""COMPUTED_VALUE"""),46141.0)</f>
        <v>46141</v>
      </c>
      <c r="L68" s="61" t="str">
        <f>IFERROR(__xludf.DUMMYFUNCTION("""COMPUTED_VALUE"""),"4137 Donald Dr
Palo Alto, CA 94306 ")</f>
        <v>4137 Donald Dr
Palo Alto, CA 94306 </v>
      </c>
      <c r="M68" s="61" t="str">
        <f>IFERROR(__xludf.DUMMYFUNCTION("""COMPUTED_VALUE""")," Student phone number: 650-441-2955")</f>
        <v> Student phone number: 650-441-2955</v>
      </c>
      <c r="N68" s="61"/>
    </row>
    <row r="69">
      <c r="A69" s="102" t="str">
        <f>IFERROR(__xludf.DUMMYFUNCTION("""COMPUTED_VALUE"""),"https://utrucking.com/admin/orders/6420307411132")</f>
        <v>https://utrucking.com/admin/orders/6420307411132</v>
      </c>
      <c r="B69" s="65" t="str">
        <f>IFERROR(__xludf.DUMMYFUNCTION("""COMPUTED_VALUE"""),"#17494")</f>
        <v>#17494</v>
      </c>
      <c r="C69" s="65" t="str">
        <f>IFERROR(__xludf.DUMMYFUNCTION("""COMPUTED_VALUE"""),"reina1776@gmail.com")</f>
        <v>reina1776@gmail.com</v>
      </c>
      <c r="D69" s="65">
        <f>IFERROR(__xludf.DUMMYFUNCTION("""COMPUTED_VALUE"""),9.548065446E9)</f>
        <v>9548065446</v>
      </c>
      <c r="E69" s="65" t="str">
        <f>IFERROR(__xludf.DUMMYFUNCTION("""COMPUTED_VALUE"""),"Julie Hack")</f>
        <v>Julie Hack</v>
      </c>
      <c r="F69" s="65" t="str">
        <f>IFERROR(__xludf.DUMMYFUNCTION("""COMPUTED_VALUE"""),"Riley Hack-Juman")</f>
        <v>Riley Hack-Juman</v>
      </c>
      <c r="G69" s="65" t="str">
        <f>IFERROR(__xludf.DUMMYFUNCTION("""COMPUTED_VALUE""")," 1 [Included with Registration]   - ")</f>
        <v> 1 [Included with Registration]   - </v>
      </c>
      <c r="H69" s="65"/>
      <c r="I69" s="65"/>
      <c r="J69" s="108" t="str">
        <f>IFERROR(__xludf.DUMMYFUNCTION("""COMPUTED_VALUE"""),"09:00 AM to 11:00 AM  ")</f>
        <v>09:00 AM to 11:00 AM  </v>
      </c>
      <c r="K69" s="103">
        <f>IFERROR(__xludf.DUMMYFUNCTION("""COMPUTED_VALUE"""),46158.0)</f>
        <v>46158</v>
      </c>
      <c r="L69" s="65" t="str">
        <f>IFERROR(__xludf.DUMMYFUNCTION("""COMPUTED_VALUE"""),"151 W 21st St
Apt 10B 
NY, NY 10011-3251 ")</f>
        <v>151 W 21st St
Apt 10B 
NY, NY 10011-3251 </v>
      </c>
      <c r="M69" s="65" t="str">
        <f>IFERROR(__xludf.DUMMYFUNCTION("""COMPUTED_VALUE""")," ")</f>
        <v> </v>
      </c>
      <c r="N69" s="65" t="str">
        <f>IFERROR(__xludf.DUMMYFUNCTION("""COMPUTED_VALUE"""),"6148 Pershing Ave
St Louis, MO 63112-1108")</f>
        <v>6148 Pershing Ave
St Louis, MO 63112-1108</v>
      </c>
    </row>
    <row r="70">
      <c r="A70" s="99" t="str">
        <f>IFERROR(__xludf.DUMMYFUNCTION("""COMPUTED_VALUE"""),"https://utrucking.com/admin/orders/6422556180668")</f>
        <v>https://utrucking.com/admin/orders/6422556180668</v>
      </c>
      <c r="B70" s="61" t="str">
        <f>IFERROR(__xludf.DUMMYFUNCTION("""COMPUTED_VALUE"""),"#17517")</f>
        <v>#17517</v>
      </c>
      <c r="C70" s="61" t="str">
        <f>IFERROR(__xludf.DUMMYFUNCTION("""COMPUTED_VALUE"""),"h.e.sheena@wustl.edu")</f>
        <v>h.e.sheena@wustl.edu</v>
      </c>
      <c r="D70" s="61">
        <f>IFERROR(__xludf.DUMMYFUNCTION("""COMPUTED_VALUE"""),8.326911231E9)</f>
        <v>8326911231</v>
      </c>
      <c r="E70" s="61" t="str">
        <f>IFERROR(__xludf.DUMMYFUNCTION("""COMPUTED_VALUE"""),"Hailey Sheena")</f>
        <v>Hailey Sheena</v>
      </c>
      <c r="F70" s="61" t="str">
        <f>IFERROR(__xludf.DUMMYFUNCTION("""COMPUTED_VALUE"""),"Hailey Sheena")</f>
        <v>Hailey Sheena</v>
      </c>
      <c r="G70" s="61" t="str">
        <f>IFERROR(__xludf.DUMMYFUNCTION("""COMPUTED_VALUE""")," 1 [Included with Registration]   - ")</f>
        <v> 1 [Included with Registration]   - </v>
      </c>
      <c r="H70" s="61" t="str">
        <f>IFERROR(__xludf.DUMMYFUNCTION("""COMPUTED_VALUE"""),"Umrath  ")</f>
        <v>Umrath  </v>
      </c>
      <c r="I70" s="61" t="str">
        <f>IFERROR(__xludf.DUMMYFUNCTION("""COMPUTED_VALUE"""),"1236")</f>
        <v>1236</v>
      </c>
      <c r="J70" s="107" t="str">
        <f>IFERROR(__xludf.DUMMYFUNCTION("""COMPUTED_VALUE"""),"09:00 AM to 11:00 AM  ")</f>
        <v>09:00 AM to 11:00 AM  </v>
      </c>
      <c r="K70" s="100">
        <f>IFERROR(__xludf.DUMMYFUNCTION("""COMPUTED_VALUE"""),46148.0)</f>
        <v>46148</v>
      </c>
      <c r="L70" s="61" t="str">
        <f>IFERROR(__xludf.DUMMYFUNCTION("""COMPUTED_VALUE"""),"4612 Oleander Street Bellaire, TX 77401 ")</f>
        <v>4612 Oleander Street Bellaire, TX 77401 </v>
      </c>
      <c r="M70" s="61" t="str">
        <f>IFERROR(__xludf.DUMMYFUNCTION("""COMPUTED_VALUE""")," ")</f>
        <v> </v>
      </c>
      <c r="N70" s="61"/>
    </row>
    <row r="71">
      <c r="A71" s="102" t="str">
        <f>IFERROR(__xludf.DUMMYFUNCTION("""COMPUTED_VALUE"""),"https://utrucking.com/admin/orders/6422990913724")</f>
        <v>https://utrucking.com/admin/orders/6422990913724</v>
      </c>
      <c r="B71" s="65" t="str">
        <f>IFERROR(__xludf.DUMMYFUNCTION("""COMPUTED_VALUE"""),"#17527")</f>
        <v>#17527</v>
      </c>
      <c r="C71" s="65" t="str">
        <f>IFERROR(__xludf.DUMMYFUNCTION("""COMPUTED_VALUE"""),"psbassin@yahoo.com")</f>
        <v>psbassin@yahoo.com</v>
      </c>
      <c r="D71" s="65">
        <f>IFERROR(__xludf.DUMMYFUNCTION("""COMPUTED_VALUE"""),9.144817179E9)</f>
        <v>9144817179</v>
      </c>
      <c r="E71" s="65" t="str">
        <f>IFERROR(__xludf.DUMMYFUNCTION("""COMPUTED_VALUE"""),"Bennett Weinberg")</f>
        <v>Bennett Weinberg</v>
      </c>
      <c r="F71" s="65" t="str">
        <f>IFERROR(__xludf.DUMMYFUNCTION("""COMPUTED_VALUE"""),"Bennett")</f>
        <v>Bennett</v>
      </c>
      <c r="G71" s="65" t="str">
        <f>IFERROR(__xludf.DUMMYFUNCTION("""COMPUTED_VALUE""")," 1 [Included with Registration]   - ")</f>
        <v> 1 [Included with Registration]   - </v>
      </c>
      <c r="H71" s="65" t="str">
        <f>IFERROR(__xludf.DUMMYFUNCTION("""COMPUTED_VALUE"""),"Gregg  ")</f>
        <v>Gregg  </v>
      </c>
      <c r="I71" s="65" t="str">
        <f>IFERROR(__xludf.DUMMYFUNCTION("""COMPUTED_VALUE"""),"2074")</f>
        <v>2074</v>
      </c>
      <c r="J71" s="108" t="str">
        <f>IFERROR(__xludf.DUMMYFUNCTION("""COMPUTED_VALUE"""),"11:00 AM to 01:00 PM  ")</f>
        <v>11:00 AM to 01:00 PM  </v>
      </c>
      <c r="K71" s="103">
        <f>IFERROR(__xludf.DUMMYFUNCTION("""COMPUTED_VALUE"""),46148.0)</f>
        <v>46148</v>
      </c>
      <c r="L71" s="65" t="str">
        <f>IFERROR(__xludf.DUMMYFUNCTION("""COMPUTED_VALUE"""),"11 Blanche Ave, Unit A
Demarest, NJ 07627 ")</f>
        <v>11 Blanche Ave, Unit A
Demarest, NJ 07627 </v>
      </c>
      <c r="M71" s="65" t="str">
        <f>IFERROR(__xludf.DUMMYFUNCTION("""COMPUTED_VALUE""")," ")</f>
        <v> </v>
      </c>
      <c r="N71" s="65"/>
    </row>
    <row r="72">
      <c r="A72" s="99" t="str">
        <f>IFERROR(__xludf.DUMMYFUNCTION("""COMPUTED_VALUE"""),"https://utrucking.com/admin/orders/6423010246844")</f>
        <v>https://utrucking.com/admin/orders/6423010246844</v>
      </c>
      <c r="B72" s="61" t="str">
        <f>IFERROR(__xludf.DUMMYFUNCTION("""COMPUTED_VALUE"""),"#17528")</f>
        <v>#17528</v>
      </c>
      <c r="C72" s="61" t="str">
        <f>IFERROR(__xludf.DUMMYFUNCTION("""COMPUTED_VALUE"""),"Jennyharris26@gmail.com")</f>
        <v>Jennyharris26@gmail.com</v>
      </c>
      <c r="D72" s="61">
        <f>IFERROR(__xludf.DUMMYFUNCTION("""COMPUTED_VALUE"""),3.478310009E9)</f>
        <v>3478310009</v>
      </c>
      <c r="E72" s="61" t="str">
        <f>IFERROR(__xludf.DUMMYFUNCTION("""COMPUTED_VALUE"""),"jenny Harris")</f>
        <v>jenny Harris</v>
      </c>
      <c r="F72" s="61" t="str">
        <f>IFERROR(__xludf.DUMMYFUNCTION("""COMPUTED_VALUE"""),"Emily Faber")</f>
        <v>Emily Faber</v>
      </c>
      <c r="G72" s="61" t="str">
        <f>IFERROR(__xludf.DUMMYFUNCTION("""COMPUTED_VALUE""")," 1 [Included with Registration]   - ")</f>
        <v> 1 [Included with Registration]   - </v>
      </c>
      <c r="H72" s="61" t="str">
        <f>IFERROR(__xludf.DUMMYFUNCTION("""COMPUTED_VALUE"""),"Millbrook Bldg. 4  ")</f>
        <v>Millbrook Bldg. 4  </v>
      </c>
      <c r="I72" s="61" t="str">
        <f>IFERROR(__xludf.DUMMYFUNCTION("""COMPUTED_VALUE"""),"103")</f>
        <v>103</v>
      </c>
      <c r="J72" s="107" t="str">
        <f>IFERROR(__xludf.DUMMYFUNCTION("""COMPUTED_VALUE"""),"03:00 PM to 05:00 PM")</f>
        <v>03:00 PM to 05:00 PM</v>
      </c>
      <c r="K72" s="100">
        <f>IFERROR(__xludf.DUMMYFUNCTION("""COMPUTED_VALUE"""),46147.0)</f>
        <v>46147</v>
      </c>
      <c r="L72" s="61" t="str">
        <f>IFERROR(__xludf.DUMMYFUNCTION("""COMPUTED_VALUE"""),"161 west 86th street, Apt 12B, NYC, NY 10024 ")</f>
        <v>161 west 86th street, Apt 12B, NYC, NY 10024 </v>
      </c>
      <c r="M72" s="61" t="str">
        <f>IFERROR(__xludf.DUMMYFUNCTION("""COMPUTED_VALUE""")," Some stuff will be shipped home and some will go to storage. thanks! ")</f>
        <v> Some stuff will be shipped home and some will go to storage. thanks! </v>
      </c>
      <c r="N72" s="61"/>
    </row>
    <row r="73">
      <c r="A73" s="102" t="str">
        <f>IFERROR(__xludf.DUMMYFUNCTION("""COMPUTED_VALUE"""),"https://utrucking.com/admin/orders/6423134765244")</f>
        <v>https://utrucking.com/admin/orders/6423134765244</v>
      </c>
      <c r="B73" s="65" t="str">
        <f>IFERROR(__xludf.DUMMYFUNCTION("""COMPUTED_VALUE"""),"#17533")</f>
        <v>#17533</v>
      </c>
      <c r="C73" s="65" t="str">
        <f>IFERROR(__xludf.DUMMYFUNCTION("""COMPUTED_VALUE"""),"brendan.rubel@gmail.com")</f>
        <v>brendan.rubel@gmail.com</v>
      </c>
      <c r="D73" s="65">
        <f>IFERROR(__xludf.DUMMYFUNCTION("""COMPUTED_VALUE"""),3.392224332E9)</f>
        <v>3392224332</v>
      </c>
      <c r="E73" s="65" t="str">
        <f>IFERROR(__xludf.DUMMYFUNCTION("""COMPUTED_VALUE"""),"Brendan Rubel")</f>
        <v>Brendan Rubel</v>
      </c>
      <c r="F73" s="65" t="str">
        <f>IFERROR(__xludf.DUMMYFUNCTION("""COMPUTED_VALUE"""),"Brendan Rubel")</f>
        <v>Brendan Rubel</v>
      </c>
      <c r="G73" s="65" t="str">
        <f>IFERROR(__xludf.DUMMYFUNCTION("""COMPUTED_VALUE""")," 1 [Included with Registration]   - ")</f>
        <v> 1 [Included with Registration]   - </v>
      </c>
      <c r="H73" s="65" t="str">
        <f>IFERROR(__xludf.DUMMYFUNCTION("""COMPUTED_VALUE"""),"6639 University Drive  ")</f>
        <v>6639 University Drive  </v>
      </c>
      <c r="I73" s="65" t="str">
        <f>IFERROR(__xludf.DUMMYFUNCTION("""COMPUTED_VALUE"""),"2W-B")</f>
        <v>2W-B</v>
      </c>
      <c r="J73" s="108" t="str">
        <f>IFERROR(__xludf.DUMMYFUNCTION("""COMPUTED_VALUE"""),"03:00 PM to 05:00 PM")</f>
        <v>03:00 PM to 05:00 PM</v>
      </c>
      <c r="K73" s="103">
        <f>IFERROR(__xludf.DUMMYFUNCTION("""COMPUTED_VALUE"""),46149.0)</f>
        <v>46149</v>
      </c>
      <c r="L73" s="65" t="str">
        <f>IFERROR(__xludf.DUMMYFUNCTION("""COMPUTED_VALUE"""),"138 Sunset Rd.
Arlington, MA 02474 ")</f>
        <v>138 Sunset Rd.
Arlington, MA 02474 </v>
      </c>
      <c r="M73" s="65" t="str">
        <f>IFERROR(__xludf.DUMMYFUNCTION("""COMPUTED_VALUE""")," ")</f>
        <v> </v>
      </c>
      <c r="N73" s="65"/>
    </row>
    <row r="74">
      <c r="A74" s="99" t="str">
        <f>IFERROR(__xludf.DUMMYFUNCTION("""COMPUTED_VALUE"""),"https://utrucking.com/admin/orders/6423247749308")</f>
        <v>https://utrucking.com/admin/orders/6423247749308</v>
      </c>
      <c r="B74" s="61" t="str">
        <f>IFERROR(__xludf.DUMMYFUNCTION("""COMPUTED_VALUE"""),"#17539")</f>
        <v>#17539</v>
      </c>
      <c r="C74" s="61" t="str">
        <f>IFERROR(__xludf.DUMMYFUNCTION("""COMPUTED_VALUE"""),"macklarosa7@gmail.com")</f>
        <v>macklarosa7@gmail.com</v>
      </c>
      <c r="D74" s="61">
        <f>IFERROR(__xludf.DUMMYFUNCTION("""COMPUTED_VALUE"""),6.465651495E9)</f>
        <v>6465651495</v>
      </c>
      <c r="E74" s="61" t="str">
        <f>IFERROR(__xludf.DUMMYFUNCTION("""COMPUTED_VALUE"""),"Mack La Rosa")</f>
        <v>Mack La Rosa</v>
      </c>
      <c r="F74" s="61" t="str">
        <f>IFERROR(__xludf.DUMMYFUNCTION("""COMPUTED_VALUE"""),"Mack La Rosa")</f>
        <v>Mack La Rosa</v>
      </c>
      <c r="G74" s="61" t="str">
        <f>IFERROR(__xludf.DUMMYFUNCTION("""COMPUTED_VALUE""")," 1 [Included with Registration]   - ")</f>
        <v> 1 [Included with Registration]   - </v>
      </c>
      <c r="H74" s="61"/>
      <c r="I74" s="61"/>
      <c r="J74" s="107" t="str">
        <f>IFERROR(__xludf.DUMMYFUNCTION("""COMPUTED_VALUE"""),"10:00 AM to 12:00 PM  ")</f>
        <v>10:00 AM to 12:00 PM  </v>
      </c>
      <c r="K74" s="100">
        <f>IFERROR(__xludf.DUMMYFUNCTION("""COMPUTED_VALUE"""),46158.0)</f>
        <v>46158</v>
      </c>
      <c r="L74" s="61" t="str">
        <f>IFERROR(__xludf.DUMMYFUNCTION("""COMPUTED_VALUE"""),"33 Hemlock Hills, Chappaqua, NY, 10514 ")</f>
        <v>33 Hemlock Hills, Chappaqua, NY, 10514 </v>
      </c>
      <c r="M74" s="61" t="str">
        <f>IFERROR(__xludf.DUMMYFUNCTION("""COMPUTED_VALUE""")," ")</f>
        <v> </v>
      </c>
      <c r="N74" s="61" t="str">
        <f>IFERROR(__xludf.DUMMYFUNCTION("""COMPUTED_VALUE"""),"608 Kingsland Ave, St. Louis, MO, 63130, Apt 301")</f>
        <v>608 Kingsland Ave, St. Louis, MO, 63130, Apt 301</v>
      </c>
    </row>
    <row r="75">
      <c r="A75" s="102" t="str">
        <f>IFERROR(__xludf.DUMMYFUNCTION("""COMPUTED_VALUE"""),"https://utrucking.com/admin/orders/6423839572156")</f>
        <v>https://utrucking.com/admin/orders/6423839572156</v>
      </c>
      <c r="B75" s="65" t="str">
        <f>IFERROR(__xludf.DUMMYFUNCTION("""COMPUTED_VALUE"""),"#17544")</f>
        <v>#17544</v>
      </c>
      <c r="C75" s="65" t="str">
        <f>IFERROR(__xludf.DUMMYFUNCTION("""COMPUTED_VALUE"""),"lucaminnich@gmail.com")</f>
        <v>lucaminnich@gmail.com</v>
      </c>
      <c r="D75" s="65">
        <f>IFERROR(__xludf.DUMMYFUNCTION("""COMPUTED_VALUE"""),9.178288162E9)</f>
        <v>9178288162</v>
      </c>
      <c r="E75" s="65" t="str">
        <f>IFERROR(__xludf.DUMMYFUNCTION("""COMPUTED_VALUE"""),"Luca Minnich")</f>
        <v>Luca Minnich</v>
      </c>
      <c r="F75" s="65" t="str">
        <f>IFERROR(__xludf.DUMMYFUNCTION("""COMPUTED_VALUE"""),"Luca Minnich")</f>
        <v>Luca Minnich</v>
      </c>
      <c r="G75" s="65" t="str">
        <f>IFERROR(__xludf.DUMMYFUNCTION("""COMPUTED_VALUE""")," 1 [Included with Registration]   - ")</f>
        <v> 1 [Included with Registration]   - </v>
      </c>
      <c r="H75" s="65" t="str">
        <f>IFERROR(__xludf.DUMMYFUNCTION("""COMPUTED_VALUE"""),"Lien  ")</f>
        <v>Lien  </v>
      </c>
      <c r="I75" s="65" t="str">
        <f>IFERROR(__xludf.DUMMYFUNCTION("""COMPUTED_VALUE"""),"3312")</f>
        <v>3312</v>
      </c>
      <c r="J75" s="108" t="str">
        <f>IFERROR(__xludf.DUMMYFUNCTION("""COMPUTED_VALUE"""),"03:00 PM to 05:00 PM")</f>
        <v>03:00 PM to 05:00 PM</v>
      </c>
      <c r="K75" s="103">
        <f>IFERROR(__xludf.DUMMYFUNCTION("""COMPUTED_VALUE"""),46146.0)</f>
        <v>46146</v>
      </c>
      <c r="L75" s="65" t="str">
        <f>IFERROR(__xludf.DUMMYFUNCTION("""COMPUTED_VALUE"""),"19 Brookridge Drive, Greenwich, CT, 06830 ")</f>
        <v>19 Brookridge Drive, Greenwich, CT, 06830 </v>
      </c>
      <c r="M75" s="65" t="str">
        <f>IFERROR(__xludf.DUMMYFUNCTION("""COMPUTED_VALUE""")," ")</f>
        <v> </v>
      </c>
      <c r="N75" s="65"/>
    </row>
    <row r="76">
      <c r="A76" s="99" t="str">
        <f>IFERROR(__xludf.DUMMYFUNCTION("""COMPUTED_VALUE"""),"https://utrucking.com/admin/orders/6424222564540")</f>
        <v>https://utrucking.com/admin/orders/6424222564540</v>
      </c>
      <c r="B76" s="61" t="str">
        <f>IFERROR(__xludf.DUMMYFUNCTION("""COMPUTED_VALUE"""),"#17553")</f>
        <v>#17553</v>
      </c>
      <c r="C76" s="61" t="str">
        <f>IFERROR(__xludf.DUMMYFUNCTION("""COMPUTED_VALUE"""),"crwpurchases@yahoo.com")</f>
        <v>crwpurchases@yahoo.com</v>
      </c>
      <c r="D76" s="61">
        <f>IFERROR(__xludf.DUMMYFUNCTION("""COMPUTED_VALUE"""),9.175093592E9)</f>
        <v>9175093592</v>
      </c>
      <c r="E76" s="61" t="str">
        <f>IFERROR(__xludf.DUMMYFUNCTION("""COMPUTED_VALUE"""),"Carmen Menocal")</f>
        <v>Carmen Menocal</v>
      </c>
      <c r="F76" s="61" t="str">
        <f>IFERROR(__xludf.DUMMYFUNCTION("""COMPUTED_VALUE"""),"Alexander Wetzler")</f>
        <v>Alexander Wetzler</v>
      </c>
      <c r="G76" s="61" t="str">
        <f>IFERROR(__xludf.DUMMYFUNCTION("""COMPUTED_VALUE""")," 1 [Included with Registration]   - ")</f>
        <v> 1 [Included with Registration]   - </v>
      </c>
      <c r="H76" s="61" t="str">
        <f>IFERROR(__xludf.DUMMYFUNCTION("""COMPUTED_VALUE"""),"Mudd  ")</f>
        <v>Mudd  </v>
      </c>
      <c r="I76" s="61" t="str">
        <f>IFERROR(__xludf.DUMMYFUNCTION("""COMPUTED_VALUE"""),"161")</f>
        <v>161</v>
      </c>
      <c r="J76" s="107" t="str">
        <f>IFERROR(__xludf.DUMMYFUNCTION("""COMPUTED_VALUE"""),"01:00 PM to 03:00 PM  ")</f>
        <v>01:00 PM to 03:00 PM  </v>
      </c>
      <c r="K76" s="100">
        <f>IFERROR(__xludf.DUMMYFUNCTION("""COMPUTED_VALUE"""),46143.0)</f>
        <v>46143</v>
      </c>
      <c r="L76" s="61" t="str">
        <f>IFERROR(__xludf.DUMMYFUNCTION("""COMPUTED_VALUE"""),"4719 Stonehearth Place, Dallas, Texas, 75287 ")</f>
        <v>4719 Stonehearth Place, Dallas, Texas, 75287 </v>
      </c>
      <c r="M76" s="61" t="str">
        <f>IFERROR(__xludf.DUMMYFUNCTION("""COMPUTED_VALUE""")," ")</f>
        <v> </v>
      </c>
      <c r="N76" s="61"/>
    </row>
    <row r="77">
      <c r="A77" s="102" t="str">
        <f>IFERROR(__xludf.DUMMYFUNCTION("""COMPUTED_VALUE"""),"https://utrucking.com/admin/orders/6424989368508")</f>
        <v>https://utrucking.com/admin/orders/6424989368508</v>
      </c>
      <c r="B77" s="65" t="str">
        <f>IFERROR(__xludf.DUMMYFUNCTION("""COMPUTED_VALUE"""),"#17569")</f>
        <v>#17569</v>
      </c>
      <c r="C77" s="65" t="str">
        <f>IFERROR(__xludf.DUMMYFUNCTION("""COMPUTED_VALUE"""),"hjake@wustl.edu")</f>
        <v>hjake@wustl.edu</v>
      </c>
      <c r="D77" s="65">
        <f>IFERROR(__xludf.DUMMYFUNCTION("""COMPUTED_VALUE"""),5.164580892E9)</f>
        <v>5164580892</v>
      </c>
      <c r="E77" s="65" t="str">
        <f>IFERROR(__xludf.DUMMYFUNCTION("""COMPUTED_VALUE"""),"Jacob Hoffman")</f>
        <v>Jacob Hoffman</v>
      </c>
      <c r="F77" s="65" t="str">
        <f>IFERROR(__xludf.DUMMYFUNCTION("""COMPUTED_VALUE"""),"Jacob Hoffman")</f>
        <v>Jacob Hoffman</v>
      </c>
      <c r="G77" s="65" t="str">
        <f>IFERROR(__xludf.DUMMYFUNCTION("""COMPUTED_VALUE""")," 1 [Included with Registration]   - ")</f>
        <v> 1 [Included with Registration]   - </v>
      </c>
      <c r="H77" s="65"/>
      <c r="I77" s="65"/>
      <c r="J77" s="108" t="str">
        <f>IFERROR(__xludf.DUMMYFUNCTION("""COMPUTED_VALUE"""),"09:00 AM to 11:00 AM  ")</f>
        <v>09:00 AM to 11:00 AM  </v>
      </c>
      <c r="K77" s="103">
        <f>IFERROR(__xludf.DUMMYFUNCTION("""COMPUTED_VALUE"""),46160.0)</f>
        <v>46160</v>
      </c>
      <c r="L77" s="65" t="str">
        <f>IFERROR(__xludf.DUMMYFUNCTION("""COMPUTED_VALUE"""),"116 Eagles Crescent
Manhasset, NY 11030 ")</f>
        <v>116 Eagles Crescent
Manhasset, NY 11030 </v>
      </c>
      <c r="M77" s="65" t="str">
        <f>IFERROR(__xludf.DUMMYFUNCTION("""COMPUTED_VALUE""")," Student is leaving St. Louis by plane on pick up day.  He needs to leave for the airport at 12:00.  Please make sure his boxes are picked up in the delivery time frame or contact him to make arrangements.")</f>
        <v> Student is leaving St. Louis by plane on pick up day.  He needs to leave for the airport at 12:00.  Please make sure his boxes are picked up in the delivery time frame or contact him to make arrangements.</v>
      </c>
      <c r="N77" s="65" t="str">
        <f>IFERROR(__xludf.DUMMYFUNCTION("""COMPUTED_VALUE"""),"739 Leland Ave Apt #1
St. Louis, MO 63130")</f>
        <v>739 Leland Ave Apt #1
St. Louis, MO 63130</v>
      </c>
    </row>
    <row r="78">
      <c r="A78" s="99" t="str">
        <f>IFERROR(__xludf.DUMMYFUNCTION("""COMPUTED_VALUE"""),"https://utrucking.com/admin/orders/6425622347964")</f>
        <v>https://utrucking.com/admin/orders/6425622347964</v>
      </c>
      <c r="B78" s="61" t="str">
        <f>IFERROR(__xludf.DUMMYFUNCTION("""COMPUTED_VALUE"""),"#17572")</f>
        <v>#17572</v>
      </c>
      <c r="C78" s="61" t="str">
        <f>IFERROR(__xludf.DUMMYFUNCTION("""COMPUTED_VALUE"""),"modlinger@wustl.edu")</f>
        <v>modlinger@wustl.edu</v>
      </c>
      <c r="D78" s="61">
        <f>IFERROR(__xludf.DUMMYFUNCTION("""COMPUTED_VALUE"""),6.467570626E9)</f>
        <v>6467570626</v>
      </c>
      <c r="E78" s="61" t="str">
        <f>IFERROR(__xludf.DUMMYFUNCTION("""COMPUTED_VALUE"""),"Sam Modlinger")</f>
        <v>Sam Modlinger</v>
      </c>
      <c r="F78" s="61" t="str">
        <f>IFERROR(__xludf.DUMMYFUNCTION("""COMPUTED_VALUE"""),"Sam Modlinger")</f>
        <v>Sam Modlinger</v>
      </c>
      <c r="G78" s="61" t="str">
        <f>IFERROR(__xludf.DUMMYFUNCTION("""COMPUTED_VALUE""")," 0   - ")</f>
        <v> 0   - </v>
      </c>
      <c r="H78" s="61"/>
      <c r="I78" s="61"/>
      <c r="J78" s="107" t="str">
        <f>IFERROR(__xludf.DUMMYFUNCTION("""COMPUTED_VALUE"""),"10:00 AM to 12:00 PM  ")</f>
        <v>10:00 AM to 12:00 PM  </v>
      </c>
      <c r="K78" s="100">
        <f>IFERROR(__xludf.DUMMYFUNCTION("""COMPUTED_VALUE"""),46160.0)</f>
        <v>46160</v>
      </c>
      <c r="L78" s="61" t="str">
        <f>IFERROR(__xludf.DUMMYFUNCTION("""COMPUTED_VALUE"""),"1263 Sussex road, Teaneck NJ 07666 ")</f>
        <v>1263 Sussex road, Teaneck NJ 07666 </v>
      </c>
      <c r="M78" s="61" t="str">
        <f>IFERROR(__xludf.DUMMYFUNCTION("""COMPUTED_VALUE""")," ")</f>
        <v> </v>
      </c>
      <c r="N78" s="61" t="str">
        <f>IFERROR(__xludf.DUMMYFUNCTION("""COMPUTED_VALUE"""),"6127 waterman blvd")</f>
        <v>6127 waterman blvd</v>
      </c>
    </row>
    <row r="79">
      <c r="A79" s="102" t="str">
        <f>IFERROR(__xludf.DUMMYFUNCTION("""COMPUTED_VALUE"""),"https://utrucking.com/admin/orders/6428285632700")</f>
        <v>https://utrucking.com/admin/orders/6428285632700</v>
      </c>
      <c r="B79" s="65" t="str">
        <f>IFERROR(__xludf.DUMMYFUNCTION("""COMPUTED_VALUE"""),"#17601")</f>
        <v>#17601</v>
      </c>
      <c r="C79" s="65" t="str">
        <f>IFERROR(__xludf.DUMMYFUNCTION("""COMPUTED_VALUE"""),"fieldsjodi@yahoo.com")</f>
        <v>fieldsjodi@yahoo.com</v>
      </c>
      <c r="D79" s="65">
        <f>IFERROR(__xludf.DUMMYFUNCTION("""COMPUTED_VALUE"""),1.2404178083E10)</f>
        <v>12404178083</v>
      </c>
      <c r="E79" s="65" t="str">
        <f>IFERROR(__xludf.DUMMYFUNCTION("""COMPUTED_VALUE"""),"Jodi fields")</f>
        <v>Jodi fields</v>
      </c>
      <c r="F79" s="65" t="str">
        <f>IFERROR(__xludf.DUMMYFUNCTION("""COMPUTED_VALUE"""),"Jenna Fields")</f>
        <v>Jenna Fields</v>
      </c>
      <c r="G79" s="65" t="str">
        <f>IFERROR(__xludf.DUMMYFUNCTION("""COMPUTED_VALUE""")," 1 [Included with Registration]   - ")</f>
        <v> 1 [Included with Registration]   - </v>
      </c>
      <c r="H79" s="65"/>
      <c r="I79" s="65"/>
      <c r="J79" s="108" t="str">
        <f>IFERROR(__xludf.DUMMYFUNCTION("""COMPUTED_VALUE"""),"03:00 PM to 05:00 PM")</f>
        <v>03:00 PM to 05:00 PM</v>
      </c>
      <c r="K79" s="103">
        <f>IFERROR(__xludf.DUMMYFUNCTION("""COMPUTED_VALUE"""),46164.0)</f>
        <v>46164</v>
      </c>
      <c r="L79" s="65" t="str">
        <f>IFERROR(__xludf.DUMMYFUNCTION("""COMPUTED_VALUE"""),"8104 River Falls Dr
Potomac,Md 20854 ")</f>
        <v>8104 River Falls Dr
Potomac,Md 20854 </v>
      </c>
      <c r="M79" s="65" t="str">
        <f>IFERROR(__xludf.DUMMYFUNCTION("""COMPUTED_VALUE""")," ")</f>
        <v> </v>
      </c>
      <c r="N79" s="65" t="str">
        <f>IFERROR(__xludf.DUMMYFUNCTION("""COMPUTED_VALUE"""),"7218 Forsyth Blvd 1W
St. Louis, MO 63105")</f>
        <v>7218 Forsyth Blvd 1W
St. Louis, MO 63105</v>
      </c>
    </row>
    <row r="80">
      <c r="A80" s="99" t="str">
        <f>IFERROR(__xludf.DUMMYFUNCTION("""COMPUTED_VALUE"""),"https://utrucking.com/admin/orders/6428345008316")</f>
        <v>https://utrucking.com/admin/orders/6428345008316</v>
      </c>
      <c r="B80" s="61" t="str">
        <f>IFERROR(__xludf.DUMMYFUNCTION("""COMPUTED_VALUE"""),"#17603")</f>
        <v>#17603</v>
      </c>
      <c r="C80" s="61" t="str">
        <f>IFERROR(__xludf.DUMMYFUNCTION("""COMPUTED_VALUE"""),"b.selena@wustl.edu")</f>
        <v>b.selena@wustl.edu</v>
      </c>
      <c r="D80" s="61">
        <f>IFERROR(__xludf.DUMMYFUNCTION("""COMPUTED_VALUE"""),8.622060481E9)</f>
        <v>8622060481</v>
      </c>
      <c r="E80" s="61" t="str">
        <f>IFERROR(__xludf.DUMMYFUNCTION("""COMPUTED_VALUE"""),"Selena Bahl")</f>
        <v>Selena Bahl</v>
      </c>
      <c r="F80" s="61" t="str">
        <f>IFERROR(__xludf.DUMMYFUNCTION("""COMPUTED_VALUE"""),"Selena Bahl")</f>
        <v>Selena Bahl</v>
      </c>
      <c r="G80" s="61" t="str">
        <f>IFERROR(__xludf.DUMMYFUNCTION("""COMPUTED_VALUE""")," 1 [Included with Registration]   - ")</f>
        <v> 1 [Included with Registration]   - </v>
      </c>
      <c r="H80" s="61" t="str">
        <f>IFERROR(__xludf.DUMMYFUNCTION("""COMPUTED_VALUE"""),"Liggett  ")</f>
        <v>Liggett  </v>
      </c>
      <c r="I80" s="61" t="str">
        <f>IFERROR(__xludf.DUMMYFUNCTION("""COMPUTED_VALUE"""),"3412")</f>
        <v>3412</v>
      </c>
      <c r="J80" s="107" t="str">
        <f>IFERROR(__xludf.DUMMYFUNCTION("""COMPUTED_VALUE"""),"10:00 AM to 12:00 PM  ")</f>
        <v>10:00 AM to 12:00 PM  </v>
      </c>
      <c r="K80" s="100">
        <f>IFERROR(__xludf.DUMMYFUNCTION("""COMPUTED_VALUE"""),46146.0)</f>
        <v>46146</v>
      </c>
      <c r="L80" s="61" t="str">
        <f>IFERROR(__xludf.DUMMYFUNCTION("""COMPUTED_VALUE"""),"9 Crestwood Drive Chatham NJ 07928 ")</f>
        <v>9 Crestwood Drive Chatham NJ 07928 </v>
      </c>
      <c r="M80" s="61" t="str">
        <f>IFERROR(__xludf.DUMMYFUNCTION("""COMPUTED_VALUE""")," ")</f>
        <v> </v>
      </c>
      <c r="N80" s="61"/>
    </row>
    <row r="81">
      <c r="A81" s="102" t="str">
        <f>IFERROR(__xludf.DUMMYFUNCTION("""COMPUTED_VALUE"""),"https://utrucking.com/admin/orders/6428573237436")</f>
        <v>https://utrucking.com/admin/orders/6428573237436</v>
      </c>
      <c r="B81" s="65" t="str">
        <f>IFERROR(__xludf.DUMMYFUNCTION("""COMPUTED_VALUE"""),"#17610")</f>
        <v>#17610</v>
      </c>
      <c r="C81" s="65" t="str">
        <f>IFERROR(__xludf.DUMMYFUNCTION("""COMPUTED_VALUE"""),"ncguyer@gmail.com")</f>
        <v>ncguyer@gmail.com</v>
      </c>
      <c r="D81" s="65">
        <f>IFERROR(__xludf.DUMMYFUNCTION("""COMPUTED_VALUE"""),6.268315472E9)</f>
        <v>6268315472</v>
      </c>
      <c r="E81" s="65" t="str">
        <f>IFERROR(__xludf.DUMMYFUNCTION("""COMPUTED_VALUE"""),"Evan Guyer")</f>
        <v>Evan Guyer</v>
      </c>
      <c r="F81" s="65" t="str">
        <f>IFERROR(__xludf.DUMMYFUNCTION("""COMPUTED_VALUE"""),"Evan Guyer")</f>
        <v>Evan Guyer</v>
      </c>
      <c r="G81" s="65" t="str">
        <f>IFERROR(__xludf.DUMMYFUNCTION("""COMPUTED_VALUE""")," 1 [Included with Registration]   - ")</f>
        <v> 1 [Included with Registration]   - </v>
      </c>
      <c r="H81" s="65" t="str">
        <f>IFERROR(__xludf.DUMMYFUNCTION("""COMPUTED_VALUE"""),"Shepley  ")</f>
        <v>Shepley  </v>
      </c>
      <c r="I81" s="65" t="str">
        <f>IFERROR(__xludf.DUMMYFUNCTION("""COMPUTED_VALUE"""),"2041")</f>
        <v>2041</v>
      </c>
      <c r="J81" s="108" t="str">
        <f>IFERROR(__xludf.DUMMYFUNCTION("""COMPUTED_VALUE"""),"03:00 PM to 05:00 PM")</f>
        <v>03:00 PM to 05:00 PM</v>
      </c>
      <c r="K81" s="103">
        <f>IFERROR(__xludf.DUMMYFUNCTION("""COMPUTED_VALUE"""),46149.0)</f>
        <v>46149</v>
      </c>
      <c r="L81" s="65" t="str">
        <f>IFERROR(__xludf.DUMMYFUNCTION("""COMPUTED_VALUE"""),"1633 Las Lunas St.
Pasadena, CA 91106 ")</f>
        <v>1633 Las Lunas St.
Pasadena, CA 91106 </v>
      </c>
      <c r="M81" s="65" t="str">
        <f>IFERROR(__xludf.DUMMYFUNCTION("""COMPUTED_VALUE""")," ")</f>
        <v> </v>
      </c>
      <c r="N81" s="65"/>
    </row>
    <row r="82">
      <c r="A82" s="99" t="str">
        <f>IFERROR(__xludf.DUMMYFUNCTION("""COMPUTED_VALUE"""),"https://utrucking.com/admin/orders/6429305045180")</f>
        <v>https://utrucking.com/admin/orders/6429305045180</v>
      </c>
      <c r="B82" s="61" t="str">
        <f>IFERROR(__xludf.DUMMYFUNCTION("""COMPUTED_VALUE"""),"#17622")</f>
        <v>#17622</v>
      </c>
      <c r="C82" s="61" t="str">
        <f>IFERROR(__xludf.DUMMYFUNCTION("""COMPUTED_VALUE"""),"lisabutler4267@gmail.com")</f>
        <v>lisabutler4267@gmail.com</v>
      </c>
      <c r="D82" s="61">
        <f>IFERROR(__xludf.DUMMYFUNCTION("""COMPUTED_VALUE"""),9.083770194E9)</f>
        <v>9083770194</v>
      </c>
      <c r="E82" s="61" t="str">
        <f>IFERROR(__xludf.DUMMYFUNCTION("""COMPUTED_VALUE"""),"Lisa Butler")</f>
        <v>Lisa Butler</v>
      </c>
      <c r="F82" s="61" t="str">
        <f>IFERROR(__xludf.DUMMYFUNCTION("""COMPUTED_VALUE"""),"Miles Kelly")</f>
        <v>Miles Kelly</v>
      </c>
      <c r="G82" s="61" t="str">
        <f>IFERROR(__xludf.DUMMYFUNCTION("""COMPUTED_VALUE""")," 1 [Included with Registration]   - ")</f>
        <v> 1 [Included with Registration]   - </v>
      </c>
      <c r="H82" s="61" t="str">
        <f>IFERROR(__xludf.DUMMYFUNCTION("""COMPUTED_VALUE"""),"House 21 (Alpha Epsilon Pi)  ")</f>
        <v>House 21 (Alpha Epsilon Pi)  </v>
      </c>
      <c r="I82" s="61" t="str">
        <f>IFERROR(__xludf.DUMMYFUNCTION("""COMPUTED_VALUE"""),"2061")</f>
        <v>2061</v>
      </c>
      <c r="J82" s="107" t="str">
        <f>IFERROR(__xludf.DUMMYFUNCTION("""COMPUTED_VALUE"""),"12:00 PM to 02:00 PM  ")</f>
        <v>12:00 PM to 02:00 PM  </v>
      </c>
      <c r="K82" s="100">
        <f>IFERROR(__xludf.DUMMYFUNCTION("""COMPUTED_VALUE"""),46146.0)</f>
        <v>46146</v>
      </c>
      <c r="L82" s="61" t="str">
        <f>IFERROR(__xludf.DUMMYFUNCTION("""COMPUTED_VALUE"""),"50 Parmley Place, 101
Summit, NJ 07901 ")</f>
        <v>50 Parmley Place, 101
Summit, NJ 07901 </v>
      </c>
      <c r="M82" s="61" t="str">
        <f>IFERROR(__xludf.DUMMYFUNCTION("""COMPUTED_VALUE""")," ")</f>
        <v> </v>
      </c>
      <c r="N82" s="61"/>
    </row>
    <row r="83">
      <c r="A83" s="102" t="str">
        <f>IFERROR(__xludf.DUMMYFUNCTION("""COMPUTED_VALUE"""),"https://utrucking.com/admin/orders/6429334339772")</f>
        <v>https://utrucking.com/admin/orders/6429334339772</v>
      </c>
      <c r="B83" s="65" t="str">
        <f>IFERROR(__xludf.DUMMYFUNCTION("""COMPUTED_VALUE"""),"#17624")</f>
        <v>#17624</v>
      </c>
      <c r="C83" s="65" t="str">
        <f>IFERROR(__xludf.DUMMYFUNCTION("""COMPUTED_VALUE"""),"cyung@wustl.edu")</f>
        <v>cyung@wustl.edu</v>
      </c>
      <c r="D83" s="65">
        <f>IFERROR(__xludf.DUMMYFUNCTION("""COMPUTED_VALUE"""),4.153078559E9)</f>
        <v>4153078559</v>
      </c>
      <c r="E83" s="65" t="str">
        <f>IFERROR(__xludf.DUMMYFUNCTION("""COMPUTED_VALUE"""),"Derek Yung")</f>
        <v>Derek Yung</v>
      </c>
      <c r="F83" s="65" t="str">
        <f>IFERROR(__xludf.DUMMYFUNCTION("""COMPUTED_VALUE"""),"Casey Yung")</f>
        <v>Casey Yung</v>
      </c>
      <c r="G83" s="65" t="str">
        <f>IFERROR(__xludf.DUMMYFUNCTION("""COMPUTED_VALUE""")," 0   - ")</f>
        <v> 0   - </v>
      </c>
      <c r="H83" s="65" t="str">
        <f>IFERROR(__xludf.DUMMYFUNCTION("""COMPUTED_VALUE"""),"Park  ")</f>
        <v>Park  </v>
      </c>
      <c r="I83" s="65" t="str">
        <f>IFERROR(__xludf.DUMMYFUNCTION("""COMPUTED_VALUE"""),"441")</f>
        <v>441</v>
      </c>
      <c r="J83" s="108" t="str">
        <f>IFERROR(__xludf.DUMMYFUNCTION("""COMPUTED_VALUE"""),"03:00 PM to 05:00 PM")</f>
        <v>03:00 PM to 05:00 PM</v>
      </c>
      <c r="K83" s="103">
        <f>IFERROR(__xludf.DUMMYFUNCTION("""COMPUTED_VALUE"""),46147.0)</f>
        <v>46147</v>
      </c>
      <c r="L83" s="65" t="str">
        <f>IFERROR(__xludf.DUMMYFUNCTION("""COMPUTED_VALUE"""),"18 Warford Ter, Orinda, CA 94563 ")</f>
        <v>18 Warford Ter, Orinda, CA 94563 </v>
      </c>
      <c r="M83" s="65" t="str">
        <f>IFERROR(__xludf.DUMMYFUNCTION("""COMPUTED_VALUE""")," I already received a kit for summer storage but need some shipping labels for shipping 1-2 boxes home")</f>
        <v> I already received a kit for summer storage but need some shipping labels for shipping 1-2 boxes home</v>
      </c>
      <c r="N83" s="65"/>
    </row>
    <row r="84">
      <c r="A84" s="99" t="str">
        <f>IFERROR(__xludf.DUMMYFUNCTION("""COMPUTED_VALUE"""),"https://utrucking.com/admin/orders/6429371498684")</f>
        <v>https://utrucking.com/admin/orders/6429371498684</v>
      </c>
      <c r="B84" s="61" t="str">
        <f>IFERROR(__xludf.DUMMYFUNCTION("""COMPUTED_VALUE"""),"#17626")</f>
        <v>#17626</v>
      </c>
      <c r="C84" s="61" t="str">
        <f>IFERROR(__xludf.DUMMYFUNCTION("""COMPUTED_VALUE"""),"e.c.ellison@wustl.edu")</f>
        <v>e.c.ellison@wustl.edu</v>
      </c>
      <c r="D84" s="61">
        <f>IFERROR(__xludf.DUMMYFUNCTION("""COMPUTED_VALUE"""),7.203471708E9)</f>
        <v>7203471708</v>
      </c>
      <c r="E84" s="61" t="str">
        <f>IFERROR(__xludf.DUMMYFUNCTION("""COMPUTED_VALUE"""),"Emily Ellison")</f>
        <v>Emily Ellison</v>
      </c>
      <c r="F84" s="61" t="str">
        <f>IFERROR(__xludf.DUMMYFUNCTION("""COMPUTED_VALUE"""),"Emily Ellison")</f>
        <v>Emily Ellison</v>
      </c>
      <c r="G84" s="61" t="str">
        <f>IFERROR(__xludf.DUMMYFUNCTION("""COMPUTED_VALUE""")," 1 [Included with Registration]   - ")</f>
        <v> 1 [Included with Registration]   - </v>
      </c>
      <c r="H84" s="61" t="str">
        <f>IFERROR(__xludf.DUMMYFUNCTION("""COMPUTED_VALUE"""),"Greenway Apartments  ")</f>
        <v>Greenway Apartments  </v>
      </c>
      <c r="I84" s="61" t="str">
        <f>IFERROR(__xludf.DUMMYFUNCTION("""COMPUTED_VALUE"""),"307-A")</f>
        <v>307-A</v>
      </c>
      <c r="J84" s="107" t="str">
        <f>IFERROR(__xludf.DUMMYFUNCTION("""COMPUTED_VALUE"""),"09:00 AM to 11:00 AM  ")</f>
        <v>09:00 AM to 11:00 AM  </v>
      </c>
      <c r="K84" s="100">
        <f>IFERROR(__xludf.DUMMYFUNCTION("""COMPUTED_VALUE"""),46151.0)</f>
        <v>46151</v>
      </c>
      <c r="L84" s="61" t="str">
        <f>IFERROR(__xludf.DUMMYFUNCTION("""COMPUTED_VALUE"""),"14895 E Security Way, Aurora, CO 80011 ")</f>
        <v>14895 E Security Way, Aurora, CO 80011 </v>
      </c>
      <c r="M84" s="61" t="str">
        <f>IFERROR(__xludf.DUMMYFUNCTION("""COMPUTED_VALUE""")," ")</f>
        <v> </v>
      </c>
      <c r="N84" s="61"/>
    </row>
    <row r="85">
      <c r="A85" s="102" t="str">
        <f>IFERROR(__xludf.DUMMYFUNCTION("""COMPUTED_VALUE"""),"https://utrucking.com/admin/orders/6429606510780")</f>
        <v>https://utrucking.com/admin/orders/6429606510780</v>
      </c>
      <c r="B85" s="65" t="str">
        <f>IFERROR(__xludf.DUMMYFUNCTION("""COMPUTED_VALUE"""),"#17637")</f>
        <v>#17637</v>
      </c>
      <c r="C85" s="65" t="str">
        <f>IFERROR(__xludf.DUMMYFUNCTION("""COMPUTED_VALUE"""),"mariargomez@yahoo.com")</f>
        <v>mariargomez@yahoo.com</v>
      </c>
      <c r="D85" s="65">
        <f>IFERROR(__xludf.DUMMYFUNCTION("""COMPUTED_VALUE"""),6.098654486E9)</f>
        <v>6098654486</v>
      </c>
      <c r="E85" s="65" t="str">
        <f>IFERROR(__xludf.DUMMYFUNCTION("""COMPUTED_VALUE"""),"Maria Gomez")</f>
        <v>Maria Gomez</v>
      </c>
      <c r="F85" s="65" t="str">
        <f>IFERROR(__xludf.DUMMYFUNCTION("""COMPUTED_VALUE"""),"Bella Gomez")</f>
        <v>Bella Gomez</v>
      </c>
      <c r="G85" s="65" t="str">
        <f>IFERROR(__xludf.DUMMYFUNCTION("""COMPUTED_VALUE""")," 2   - ")</f>
        <v> 2   - </v>
      </c>
      <c r="H85" s="65"/>
      <c r="I85" s="65"/>
      <c r="J85" s="108" t="str">
        <f>IFERROR(__xludf.DUMMYFUNCTION("""COMPUTED_VALUE"""),"09:00 AM to 11:00 AM  ")</f>
        <v>09:00 AM to 11:00 AM  </v>
      </c>
      <c r="K85" s="103">
        <f>IFERROR(__xludf.DUMMYFUNCTION("""COMPUTED_VALUE"""),46168.0)</f>
        <v>46168</v>
      </c>
      <c r="L85" s="65" t="str">
        <f>IFERROR(__xludf.DUMMYFUNCTION("""COMPUTED_VALUE"""),"13 Chadwell Ct. Pennington NJ 08534 ")</f>
        <v>13 Chadwell Ct. Pennington NJ 08534 </v>
      </c>
      <c r="M85" s="65" t="str">
        <f>IFERROR(__xludf.DUMMYFUNCTION("""COMPUTED_VALUE""")," ")</f>
        <v> </v>
      </c>
      <c r="N85" s="65" t="str">
        <f>IFERROR(__xludf.DUMMYFUNCTION("""COMPUTED_VALUE"""),"729 Westgate Ave Apt 1S St Louis MO 63130-3838")</f>
        <v>729 Westgate Ave Apt 1S St Louis MO 63130-3838</v>
      </c>
    </row>
    <row r="86">
      <c r="A86" s="99" t="str">
        <f>IFERROR(__xludf.DUMMYFUNCTION("""COMPUTED_VALUE"""),"https://utrucking.com/admin/orders/6429717070012")</f>
        <v>https://utrucking.com/admin/orders/6429717070012</v>
      </c>
      <c r="B86" s="61" t="str">
        <f>IFERROR(__xludf.DUMMYFUNCTION("""COMPUTED_VALUE"""),"#17642")</f>
        <v>#17642</v>
      </c>
      <c r="C86" s="61" t="str">
        <f>IFERROR(__xludf.DUMMYFUNCTION("""COMPUTED_VALUE"""),"kimmel@wustl.edu")</f>
        <v>kimmel@wustl.edu</v>
      </c>
      <c r="D86" s="61">
        <f>IFERROR(__xludf.DUMMYFUNCTION("""COMPUTED_VALUE"""),9.179410655E9)</f>
        <v>9179410655</v>
      </c>
      <c r="E86" s="61" t="str">
        <f>IFERROR(__xludf.DUMMYFUNCTION("""COMPUTED_VALUE"""),"Mark Kimmel")</f>
        <v>Mark Kimmel</v>
      </c>
      <c r="F86" s="61" t="str">
        <f>IFERROR(__xludf.DUMMYFUNCTION("""COMPUTED_VALUE"""),"Mark Kimmel")</f>
        <v>Mark Kimmel</v>
      </c>
      <c r="G86" s="61" t="str">
        <f>IFERROR(__xludf.DUMMYFUNCTION("""COMPUTED_VALUE""")," 1 [Included with Registration]   - ")</f>
        <v> 1 [Included with Registration]   - </v>
      </c>
      <c r="H86" s="61" t="str">
        <f>IFERROR(__xludf.DUMMYFUNCTION("""COMPUTED_VALUE"""),"Eliot B (Sophomore Dorm)")</f>
        <v>Eliot B (Sophomore Dorm)</v>
      </c>
      <c r="I86" s="61" t="str">
        <f>IFERROR(__xludf.DUMMYFUNCTION("""COMPUTED_VALUE"""),"3061")</f>
        <v>3061</v>
      </c>
      <c r="J86" s="107" t="str">
        <f>IFERROR(__xludf.DUMMYFUNCTION("""COMPUTED_VALUE"""),"09:00 AM to 11:00 AM  ")</f>
        <v>09:00 AM to 11:00 AM  </v>
      </c>
      <c r="K86" s="100">
        <f>IFERROR(__xludf.DUMMYFUNCTION("""COMPUTED_VALUE"""),46150.0)</f>
        <v>46150</v>
      </c>
      <c r="L86" s="61" t="str">
        <f>IFERROR(__xludf.DUMMYFUNCTION("""COMPUTED_VALUE"""),"186 W 80th St PH1 New York, NY 10024 ")</f>
        <v>186 W 80th St PH1 New York, NY 10024 </v>
      </c>
      <c r="M86" s="61" t="str">
        <f>IFERROR(__xludf.DUMMYFUNCTION("""COMPUTED_VALUE""")," ")</f>
        <v> </v>
      </c>
      <c r="N86" s="61"/>
    </row>
    <row r="87">
      <c r="A87" s="102" t="str">
        <f>IFERROR(__xludf.DUMMYFUNCTION("""COMPUTED_VALUE"""),"https://utrucking.com/admin/orders/6430024466620")</f>
        <v>https://utrucking.com/admin/orders/6430024466620</v>
      </c>
      <c r="B87" s="65" t="str">
        <f>IFERROR(__xludf.DUMMYFUNCTION("""COMPUTED_VALUE"""),"#17650")</f>
        <v>#17650</v>
      </c>
      <c r="C87" s="65" t="str">
        <f>IFERROR(__xludf.DUMMYFUNCTION("""COMPUTED_VALUE"""),"jimmy.z@wustl.edu")</f>
        <v>jimmy.z@wustl.edu</v>
      </c>
      <c r="D87" s="65">
        <f>IFERROR(__xludf.DUMMYFUNCTION("""COMPUTED_VALUE"""),9.497057772E9)</f>
        <v>9497057772</v>
      </c>
      <c r="E87" s="65" t="str">
        <f>IFERROR(__xludf.DUMMYFUNCTION("""COMPUTED_VALUE"""),"Jimmy Zheng")</f>
        <v>Jimmy Zheng</v>
      </c>
      <c r="F87" s="65" t="str">
        <f>IFERROR(__xludf.DUMMYFUNCTION("""COMPUTED_VALUE"""),"Yi Zheng")</f>
        <v>Yi Zheng</v>
      </c>
      <c r="G87" s="65" t="str">
        <f>IFERROR(__xludf.DUMMYFUNCTION("""COMPUTED_VALUE""")," 1 [Included with Registration]   - ")</f>
        <v> 1 [Included with Registration]   - </v>
      </c>
      <c r="H87" s="65"/>
      <c r="I87" s="65"/>
      <c r="J87" s="108" t="str">
        <f>IFERROR(__xludf.DUMMYFUNCTION("""COMPUTED_VALUE"""),"09:00 AM to 11:00 AM  ")</f>
        <v>09:00 AM to 11:00 AM  </v>
      </c>
      <c r="K87" s="103">
        <f>IFERROR(__xludf.DUMMYFUNCTION("""COMPUTED_VALUE"""),46140.0)</f>
        <v>46140</v>
      </c>
      <c r="L87" s="65" t="str">
        <f>IFERROR(__xludf.DUMMYFUNCTION("""COMPUTED_VALUE"""),"1200 Crystal Drive Unit 1613, Arlington, VA 22202 ")</f>
        <v>1200 Crystal Drive Unit 1613, Arlington, VA 22202 </v>
      </c>
      <c r="M87" s="65" t="str">
        <f>IFERROR(__xludf.DUMMYFUNCTION("""COMPUTED_VALUE""")," ")</f>
        <v> </v>
      </c>
      <c r="N87" s="65" t="str">
        <f>IFERROR(__xludf.DUMMYFUNCTION("""COMPUTED_VALUE"""),"6136 Delmar Blvd, Apt 302, Saint Louis, MO  63112")</f>
        <v>6136 Delmar Blvd, Apt 302, Saint Louis, MO  63112</v>
      </c>
    </row>
    <row r="88">
      <c r="A88" s="99" t="str">
        <f>IFERROR(__xludf.DUMMYFUNCTION("""COMPUTED_VALUE"""),"https://admin.shopify.com/store/utrucking/orders/6430037246140?link_source=search")</f>
        <v>https://admin.shopify.com/store/utrucking/orders/6430037246140?link_source=search</v>
      </c>
      <c r="B88" s="61" t="str">
        <f>IFERROR(__xludf.DUMMYFUNCTION("""COMPUTED_VALUE"""),"#17651")</f>
        <v>#17651</v>
      </c>
      <c r="C88" s="61" t="str">
        <f>IFERROR(__xludf.DUMMYFUNCTION("""COMPUTED_VALUE"""),"sdlaz@me.com")</f>
        <v>sdlaz@me.com</v>
      </c>
      <c r="D88" s="61" t="str">
        <f>IFERROR(__xludf.DUMMYFUNCTION("""COMPUTED_VALUE"""),"917-232-0427")</f>
        <v>917-232-0427</v>
      </c>
      <c r="E88" s="61" t="str">
        <f>IFERROR(__xludf.DUMMYFUNCTION("""COMPUTED_VALUE"""),"marissa lazarus")</f>
        <v>marissa lazarus</v>
      </c>
      <c r="F88" s="61" t="str">
        <f>IFERROR(__xludf.DUMMYFUNCTION("""COMPUTED_VALUE"""),"Marissa Lazarus")</f>
        <v>Marissa Lazarus</v>
      </c>
      <c r="G88" s="61" t="str">
        <f>IFERROR(__xludf.DUMMYFUNCTION("""COMPUTED_VALUE""")," 1 [Included with Registration]   - ")</f>
        <v> 1 [Included with Registration]   - </v>
      </c>
      <c r="H88" s="61"/>
      <c r="I88" s="61"/>
      <c r="J88" s="107" t="str">
        <f>IFERROR(__xludf.DUMMYFUNCTION("""COMPUTED_VALUE"""),"11:00 AM to 01:00 PM")</f>
        <v>11:00 AM to 01:00 PM</v>
      </c>
      <c r="K88" s="100">
        <f>IFERROR(__xludf.DUMMYFUNCTION("""COMPUTED_VALUE"""),46154.0)</f>
        <v>46154</v>
      </c>
      <c r="L88" s="61" t="str">
        <f>IFERROR(__xludf.DUMMYFUNCTION("""COMPUTED_VALUE"""),"357 Jersey Street, Denver, CO 80220")</f>
        <v>357 Jersey Street, Denver, CO 80220</v>
      </c>
      <c r="M88" s="61"/>
      <c r="N88" s="61" t="str">
        <f>IFERROR(__xludf.DUMMYFUNCTION("""COMPUTED_VALUE"""),"721 Interdrive apartment 2, St Louis MO 63130")</f>
        <v>721 Interdrive apartment 2, St Louis MO 63130</v>
      </c>
    </row>
    <row r="89">
      <c r="A89" s="102" t="str">
        <f>IFERROR(__xludf.DUMMYFUNCTION("""COMPUTED_VALUE"""),"https://utrucking.com/admin/orders/6432190726332")</f>
        <v>https://utrucking.com/admin/orders/6432190726332</v>
      </c>
      <c r="B89" s="65" t="str">
        <f>IFERROR(__xludf.DUMMYFUNCTION("""COMPUTED_VALUE"""),"#17664")</f>
        <v>#17664</v>
      </c>
      <c r="C89" s="65" t="str">
        <f>IFERROR(__xludf.DUMMYFUNCTION("""COMPUTED_VALUE"""),"slover@wustl.edu")</f>
        <v>slover@wustl.edu</v>
      </c>
      <c r="D89" s="65">
        <f>IFERROR(__xludf.DUMMYFUNCTION("""COMPUTED_VALUE"""),5.125850522E9)</f>
        <v>5125850522</v>
      </c>
      <c r="E89" s="65" t="str">
        <f>IFERROR(__xludf.DUMMYFUNCTION("""COMPUTED_VALUE"""),"Elizabeth Slover")</f>
        <v>Elizabeth Slover</v>
      </c>
      <c r="F89" s="65" t="str">
        <f>IFERROR(__xludf.DUMMYFUNCTION("""COMPUTED_VALUE"""),"Betsy Slover")</f>
        <v>Betsy Slover</v>
      </c>
      <c r="G89" s="65" t="str">
        <f>IFERROR(__xludf.DUMMYFUNCTION("""COMPUTED_VALUE""")," 2 [Included with Registration]   - ")</f>
        <v> 2 [Included with Registration]   - </v>
      </c>
      <c r="H89" s="65" t="str">
        <f>IFERROR(__xludf.DUMMYFUNCTION("""COMPUTED_VALUE"""),"Danforth  ")</f>
        <v>Danforth  </v>
      </c>
      <c r="I89" s="65" t="str">
        <f>IFERROR(__xludf.DUMMYFUNCTION("""COMPUTED_VALUE"""),"2222")</f>
        <v>2222</v>
      </c>
      <c r="J89" s="108" t="str">
        <f>IFERROR(__xludf.DUMMYFUNCTION("""COMPUTED_VALUE"""),"09:00 AM to 11:00 AM  ")</f>
        <v>09:00 AM to 11:00 AM  </v>
      </c>
      <c r="K89" s="103">
        <f>IFERROR(__xludf.DUMMYFUNCTION("""COMPUTED_VALUE"""),46146.0)</f>
        <v>46146</v>
      </c>
      <c r="L89" s="65" t="str">
        <f>IFERROR(__xludf.DUMMYFUNCTION("""COMPUTED_VALUE"""),"4814 City park Road, Austin Texas 78730 ")</f>
        <v>4814 City park Road, Austin Texas 78730 </v>
      </c>
      <c r="M89" s="65" t="str">
        <f>IFERROR(__xludf.DUMMYFUNCTION("""COMPUTED_VALUE""")," ")</f>
        <v> </v>
      </c>
      <c r="N89" s="65"/>
    </row>
    <row r="90">
      <c r="A90" s="99" t="str">
        <f>IFERROR(__xludf.DUMMYFUNCTION("""COMPUTED_VALUE"""),"https://utrucking.com/admin/orders/6432195903676")</f>
        <v>https://utrucking.com/admin/orders/6432195903676</v>
      </c>
      <c r="B90" s="61" t="str">
        <f>IFERROR(__xludf.DUMMYFUNCTION("""COMPUTED_VALUE"""),"#17665")</f>
        <v>#17665</v>
      </c>
      <c r="C90" s="61" t="str">
        <f>IFERROR(__xludf.DUMMYFUNCTION("""COMPUTED_VALUE"""),"d.saidie@wustl.edu")</f>
        <v>d.saidie@wustl.edu</v>
      </c>
      <c r="D90" s="61">
        <f>IFERROR(__xludf.DUMMYFUNCTION("""COMPUTED_VALUE"""),9.176567311E9)</f>
        <v>9176567311</v>
      </c>
      <c r="E90" s="61" t="str">
        <f>IFERROR(__xludf.DUMMYFUNCTION("""COMPUTED_VALUE"""),"Saidie Dolman")</f>
        <v>Saidie Dolman</v>
      </c>
      <c r="F90" s="61" t="str">
        <f>IFERROR(__xludf.DUMMYFUNCTION("""COMPUTED_VALUE"""),"Saidie Dolman")</f>
        <v>Saidie Dolman</v>
      </c>
      <c r="G90" s="61" t="str">
        <f>IFERROR(__xludf.DUMMYFUNCTION("""COMPUTED_VALUE""")," 1 [Included with Registration]   - ")</f>
        <v> 1 [Included with Registration]   - </v>
      </c>
      <c r="H90" s="61"/>
      <c r="I90" s="61"/>
      <c r="J90" s="107" t="str">
        <f>IFERROR(__xludf.DUMMYFUNCTION("""COMPUTED_VALUE"""),"03:00 PM to 05:00 PM")</f>
        <v>03:00 PM to 05:00 PM</v>
      </c>
      <c r="K90" s="100">
        <f>IFERROR(__xludf.DUMMYFUNCTION("""COMPUTED_VALUE"""),46155.0)</f>
        <v>46155</v>
      </c>
      <c r="L90" s="61" t="str">
        <f>IFERROR(__xludf.DUMMYFUNCTION("""COMPUTED_VALUE"""),"1111 Park Ave apt 10D ")</f>
        <v>1111 Park Ave apt 10D </v>
      </c>
      <c r="M90" s="61" t="str">
        <f>IFERROR(__xludf.DUMMYFUNCTION("""COMPUTED_VALUE""")," ")</f>
        <v> </v>
      </c>
      <c r="N90" s="61" t="str">
        <f>IFERROR(__xludf.DUMMYFUNCTION("""COMPUTED_VALUE"""),"6666 Washington Ave apt 3E")</f>
        <v>6666 Washington Ave apt 3E</v>
      </c>
    </row>
    <row r="91">
      <c r="A91" s="102" t="str">
        <f>IFERROR(__xludf.DUMMYFUNCTION("""COMPUTED_VALUE"""),"https://utrucking.com/admin/orders/6432568574140")</f>
        <v>https://utrucking.com/admin/orders/6432568574140</v>
      </c>
      <c r="B91" s="65" t="str">
        <f>IFERROR(__xludf.DUMMYFUNCTION("""COMPUTED_VALUE"""),"#17675")</f>
        <v>#17675</v>
      </c>
      <c r="C91" s="65" t="str">
        <f>IFERROR(__xludf.DUMMYFUNCTION("""COMPUTED_VALUE"""),"elliot.perlis@gmail.com")</f>
        <v>elliot.perlis@gmail.com</v>
      </c>
      <c r="D91" s="65">
        <f>IFERROR(__xludf.DUMMYFUNCTION("""COMPUTED_VALUE"""),6.10608914E9)</f>
        <v>6106089140</v>
      </c>
      <c r="E91" s="65" t="str">
        <f>IFERROR(__xludf.DUMMYFUNCTION("""COMPUTED_VALUE"""),"Elliot Perlis")</f>
        <v>Elliot Perlis</v>
      </c>
      <c r="F91" s="65" t="str">
        <f>IFERROR(__xludf.DUMMYFUNCTION("""COMPUTED_VALUE"""),"Elliot Perlis")</f>
        <v>Elliot Perlis</v>
      </c>
      <c r="G91" s="65" t="str">
        <f>IFERROR(__xludf.DUMMYFUNCTION("""COMPUTED_VALUE""")," 1 [Included with Registration]   - ")</f>
        <v> 1 [Included with Registration]   - </v>
      </c>
      <c r="H91" s="65" t="str">
        <f>IFERROR(__xludf.DUMMYFUNCTION("""COMPUTED_VALUE"""),"Dauten  ")</f>
        <v>Dauten  </v>
      </c>
      <c r="I91" s="65" t="str">
        <f>IFERROR(__xludf.DUMMYFUNCTION("""COMPUTED_VALUE"""),"41B")</f>
        <v>41B</v>
      </c>
      <c r="J91" s="108" t="str">
        <f>IFERROR(__xludf.DUMMYFUNCTION("""COMPUTED_VALUE"""),"11:00 AM to 01:00 PM  ")</f>
        <v>11:00 AM to 01:00 PM  </v>
      </c>
      <c r="K91" s="103">
        <f>IFERROR(__xludf.DUMMYFUNCTION("""COMPUTED_VALUE"""),46147.0)</f>
        <v>46147</v>
      </c>
      <c r="L91" s="65" t="str">
        <f>IFERROR(__xludf.DUMMYFUNCTION("""COMPUTED_VALUE"""),"609 Braeburn Ln
Penn Valley, PA
19072 ")</f>
        <v>609 Braeburn Ln
Penn Valley, PA
19072 </v>
      </c>
      <c r="M91" s="65" t="str">
        <f>IFERROR(__xludf.DUMMYFUNCTION("""COMPUTED_VALUE""")," ")</f>
        <v> </v>
      </c>
      <c r="N91" s="65"/>
    </row>
    <row r="92">
      <c r="A92" s="99" t="str">
        <f>IFERROR(__xludf.DUMMYFUNCTION("""COMPUTED_VALUE"""),"https://utrucking.com/admin/orders/6433335017660")</f>
        <v>https://utrucking.com/admin/orders/6433335017660</v>
      </c>
      <c r="B92" s="61" t="str">
        <f>IFERROR(__xludf.DUMMYFUNCTION("""COMPUTED_VALUE"""),"#17684")</f>
        <v>#17684</v>
      </c>
      <c r="C92" s="61" t="str">
        <f>IFERROR(__xludf.DUMMYFUNCTION("""COMPUTED_VALUE"""),"c.knowles@wustl.edu")</f>
        <v>c.knowles@wustl.edu</v>
      </c>
      <c r="D92" s="61">
        <f>IFERROR(__xludf.DUMMYFUNCTION("""COMPUTED_VALUE"""),2.02577583E9)</f>
        <v>2025775830</v>
      </c>
      <c r="E92" s="61" t="str">
        <f>IFERROR(__xludf.DUMMYFUNCTION("""COMPUTED_VALUE"""),"Charlie Knowles")</f>
        <v>Charlie Knowles</v>
      </c>
      <c r="F92" s="61" t="str">
        <f>IFERROR(__xludf.DUMMYFUNCTION("""COMPUTED_VALUE"""),"Charlie Knowles")</f>
        <v>Charlie Knowles</v>
      </c>
      <c r="G92" s="61" t="str">
        <f>IFERROR(__xludf.DUMMYFUNCTION("""COMPUTED_VALUE""")," 1 [Included with Registration]   - ")</f>
        <v> 1 [Included with Registration]   - </v>
      </c>
      <c r="H92" s="61"/>
      <c r="I92" s="61"/>
      <c r="J92" s="107" t="str">
        <f>IFERROR(__xludf.DUMMYFUNCTION("""COMPUTED_VALUE"""),"11:00 AM to 01:00 PM  ")</f>
        <v>11:00 AM to 01:00 PM  </v>
      </c>
      <c r="K92" s="100">
        <f>IFERROR(__xludf.DUMMYFUNCTION("""COMPUTED_VALUE"""),46164.0)</f>
        <v>46164</v>
      </c>
      <c r="L92" s="61" t="str">
        <f>IFERROR(__xludf.DUMMYFUNCTION("""COMPUTED_VALUE"""),"6304 Avalon Dr
Bethesda, MD 20816 ")</f>
        <v>6304 Avalon Dr
Bethesda, MD 20816 </v>
      </c>
      <c r="M92" s="61" t="str">
        <f>IFERROR(__xludf.DUMMYFUNCTION("""COMPUTED_VALUE""")," Please deliver packing supplies to Waterman Blvd Address week of 5/4.  Contact number 202 577 5830 with questions/delivery info.
Many thanks")</f>
        <v> Please deliver packing supplies to Waterman Blvd Address week of 5/4.  Contact number 202 577 5830 with questions/delivery info.
Many thanks</v>
      </c>
      <c r="N92" s="61" t="str">
        <f>IFERROR(__xludf.DUMMYFUNCTION("""COMPUTED_VALUE"""),"6186 Waterman Blvd
Apt 2
St Louis, MO 63112")</f>
        <v>6186 Waterman Blvd
Apt 2
St Louis, MO 63112</v>
      </c>
    </row>
    <row r="93">
      <c r="A93" s="102" t="str">
        <f>IFERROR(__xludf.DUMMYFUNCTION("""COMPUTED_VALUE"""),"https://utrucking.com/admin/orders/6433732919484")</f>
        <v>https://utrucking.com/admin/orders/6433732919484</v>
      </c>
      <c r="B93" s="65" t="str">
        <f>IFERROR(__xludf.DUMMYFUNCTION("""COMPUTED_VALUE"""),"#17691")</f>
        <v>#17691</v>
      </c>
      <c r="C93" s="65" t="str">
        <f>IFERROR(__xludf.DUMMYFUNCTION("""COMPUTED_VALUE"""),"d.somya@wustl.edu")</f>
        <v>d.somya@wustl.edu</v>
      </c>
      <c r="D93" s="65">
        <f>IFERROR(__xludf.DUMMYFUNCTION("""COMPUTED_VALUE"""),9.736654223E9)</f>
        <v>9736654223</v>
      </c>
      <c r="E93" s="65" t="str">
        <f>IFERROR(__xludf.DUMMYFUNCTION("""COMPUTED_VALUE"""),"Somya Dave")</f>
        <v>Somya Dave</v>
      </c>
      <c r="F93" s="65" t="str">
        <f>IFERROR(__xludf.DUMMYFUNCTION("""COMPUTED_VALUE"""),"Somya Dave")</f>
        <v>Somya Dave</v>
      </c>
      <c r="G93" s="65" t="str">
        <f>IFERROR(__xludf.DUMMYFUNCTION("""COMPUTED_VALUE""")," 1 [Included with Registration]   - ")</f>
        <v> 1 [Included with Registration]   - </v>
      </c>
      <c r="H93" s="65" t="str">
        <f>IFERROR(__xludf.DUMMYFUNCTION("""COMPUTED_VALUE"""),"Eliot A (Thomas Eliot)")</f>
        <v>Eliot A (Thomas Eliot)</v>
      </c>
      <c r="I93" s="65" t="str">
        <f>IFERROR(__xludf.DUMMYFUNCTION("""COMPUTED_VALUE"""),"1000")</f>
        <v>1000</v>
      </c>
      <c r="J93" s="108" t="str">
        <f>IFERROR(__xludf.DUMMYFUNCTION("""COMPUTED_VALUE"""),"09:00 AM to 11:00 AM  ")</f>
        <v>09:00 AM to 11:00 AM  </v>
      </c>
      <c r="K93" s="103">
        <f>IFERROR(__xludf.DUMMYFUNCTION("""COMPUTED_VALUE"""),46146.0)</f>
        <v>46146</v>
      </c>
      <c r="L93" s="65" t="str">
        <f>IFERROR(__xludf.DUMMYFUNCTION("""COMPUTED_VALUE"""),"5 Forest Drive, Short Hills Nj, 07078 ")</f>
        <v>5 Forest Drive, Short Hills Nj, 07078 </v>
      </c>
      <c r="M93" s="65" t="str">
        <f>IFERROR(__xludf.DUMMYFUNCTION("""COMPUTED_VALUE""")," ")</f>
        <v> </v>
      </c>
      <c r="N93" s="65"/>
    </row>
    <row r="94">
      <c r="A94" s="99" t="str">
        <f>IFERROR(__xludf.DUMMYFUNCTION("""COMPUTED_VALUE"""),"https://utrucking.com/admin/orders/6433749663932")</f>
        <v>https://utrucking.com/admin/orders/6433749663932</v>
      </c>
      <c r="B94" s="61" t="str">
        <f>IFERROR(__xludf.DUMMYFUNCTION("""COMPUTED_VALUE"""),"#17693")</f>
        <v>#17693</v>
      </c>
      <c r="C94" s="61" t="str">
        <f>IFERROR(__xludf.DUMMYFUNCTION("""COMPUTED_VALUE"""),"d.gassenheimer@wustl.edu")</f>
        <v>d.gassenheimer@wustl.edu</v>
      </c>
      <c r="D94" s="61">
        <f>IFERROR(__xludf.DUMMYFUNCTION("""COMPUTED_VALUE"""),5.162330138E9)</f>
        <v>5162330138</v>
      </c>
      <c r="E94" s="61" t="str">
        <f>IFERROR(__xludf.DUMMYFUNCTION("""COMPUTED_VALUE"""),"daniel gassenheimer")</f>
        <v>daniel gassenheimer</v>
      </c>
      <c r="F94" s="61" t="str">
        <f>IFERROR(__xludf.DUMMYFUNCTION("""COMPUTED_VALUE"""),"daniel gassenheimer")</f>
        <v>daniel gassenheimer</v>
      </c>
      <c r="G94" s="61" t="str">
        <f>IFERROR(__xludf.DUMMYFUNCTION("""COMPUTED_VALUE""")," 1 [Included with Registration]   - ")</f>
        <v> 1 [Included with Registration]   - </v>
      </c>
      <c r="H94" s="61"/>
      <c r="I94" s="61"/>
      <c r="J94" s="107" t="str">
        <f>IFERROR(__xludf.DUMMYFUNCTION("""COMPUTED_VALUE"""),"12:00 PM to 02:00 PM  ")</f>
        <v>12:00 PM to 02:00 PM  </v>
      </c>
      <c r="K94" s="100">
        <f>IFERROR(__xludf.DUMMYFUNCTION("""COMPUTED_VALUE"""),46160.0)</f>
        <v>46160</v>
      </c>
      <c r="L94" s="61" t="str">
        <f>IFERROR(__xludf.DUMMYFUNCTION("""COMPUTED_VALUE"""),"105 foxwood drive
jericho, NY 11753 ")</f>
        <v>105 foxwood drive
jericho, NY 11753 </v>
      </c>
      <c r="M94" s="61" t="str">
        <f>IFERROR(__xludf.DUMMYFUNCTION("""COMPUTED_VALUE""")," ")</f>
        <v> </v>
      </c>
      <c r="N94" s="61" t="str">
        <f>IFERROR(__xludf.DUMMYFUNCTION("""COMPUTED_VALUE"""),"739 Leland Ave, #1, St. Louis, MO, 63130")</f>
        <v>739 Leland Ave, #1, St. Louis, MO, 63130</v>
      </c>
    </row>
    <row r="95">
      <c r="A95" s="102" t="str">
        <f>IFERROR(__xludf.DUMMYFUNCTION("""COMPUTED_VALUE"""),"https://utrucking.com/admin/orders/6433755889852")</f>
        <v>https://utrucking.com/admin/orders/6433755889852</v>
      </c>
      <c r="B95" s="65" t="str">
        <f>IFERROR(__xludf.DUMMYFUNCTION("""COMPUTED_VALUE"""),"#17694")</f>
        <v>#17694</v>
      </c>
      <c r="C95" s="65" t="str">
        <f>IFERROR(__xludf.DUMMYFUNCTION("""COMPUTED_VALUE"""),"thehermanns@gmail.com")</f>
        <v>thehermanns@gmail.com</v>
      </c>
      <c r="D95" s="65">
        <f>IFERROR(__xludf.DUMMYFUNCTION("""COMPUTED_VALUE"""),9.739512137E9)</f>
        <v>9739512137</v>
      </c>
      <c r="E95" s="65" t="str">
        <f>IFERROR(__xludf.DUMMYFUNCTION("""COMPUTED_VALUE"""),"Erica Hermann")</f>
        <v>Erica Hermann</v>
      </c>
      <c r="F95" s="65" t="str">
        <f>IFERROR(__xludf.DUMMYFUNCTION("""COMPUTED_VALUE"""),"Andrew Hermann")</f>
        <v>Andrew Hermann</v>
      </c>
      <c r="G95" s="65" t="str">
        <f>IFERROR(__xludf.DUMMYFUNCTION("""COMPUTED_VALUE""")," 1 [Included with Registration]   - ")</f>
        <v> 1 [Included with Registration]   - </v>
      </c>
      <c r="H95" s="65" t="str">
        <f>IFERROR(__xludf.DUMMYFUNCTION("""COMPUTED_VALUE"""),"Dardick  ")</f>
        <v>Dardick  </v>
      </c>
      <c r="I95" s="65" t="str">
        <f>IFERROR(__xludf.DUMMYFUNCTION("""COMPUTED_VALUE"""),"2210")</f>
        <v>2210</v>
      </c>
      <c r="J95" s="108" t="str">
        <f>IFERROR(__xludf.DUMMYFUNCTION("""COMPUTED_VALUE"""),"10:00 AM to 12:00 PM  ")</f>
        <v>10:00 AM to 12:00 PM  </v>
      </c>
      <c r="K95" s="103">
        <f>IFERROR(__xludf.DUMMYFUNCTION("""COMPUTED_VALUE"""),46142.0)</f>
        <v>46142</v>
      </c>
      <c r="L95" s="65" t="str">
        <f>IFERROR(__xludf.DUMMYFUNCTION("""COMPUTED_VALUE"""),"1070 Park Avenue
Apt 4B
NY,NY 10128 ")</f>
        <v>1070 Park Avenue
Apt 4B
NY,NY 10128 </v>
      </c>
      <c r="M95" s="65" t="str">
        <f>IFERROR(__xludf.DUMMYFUNCTION("""COMPUTED_VALUE""")," ")</f>
        <v> </v>
      </c>
      <c r="N95" s="65"/>
    </row>
    <row r="96">
      <c r="A96" s="99" t="str">
        <f>IFERROR(__xludf.DUMMYFUNCTION("""COMPUTED_VALUE"""),"https://utrucking.com/admin/orders/6434071478460")</f>
        <v>https://utrucking.com/admin/orders/6434071478460</v>
      </c>
      <c r="B96" s="61" t="str">
        <f>IFERROR(__xludf.DUMMYFUNCTION("""COMPUTED_VALUE"""),"#17702")</f>
        <v>#17702</v>
      </c>
      <c r="C96" s="61" t="str">
        <f>IFERROR(__xludf.DUMMYFUNCTION("""COMPUTED_VALUE"""),"carolinegcoffey@icloud.com")</f>
        <v>carolinegcoffey@icloud.com</v>
      </c>
      <c r="D96" s="61">
        <f>IFERROR(__xludf.DUMMYFUNCTION("""COMPUTED_VALUE"""),2.03246205E9)</f>
        <v>2032462050</v>
      </c>
      <c r="E96" s="61" t="str">
        <f>IFERROR(__xludf.DUMMYFUNCTION("""COMPUTED_VALUE"""),"Caroline Coffey")</f>
        <v>Caroline Coffey</v>
      </c>
      <c r="F96" s="61" t="str">
        <f>IFERROR(__xludf.DUMMYFUNCTION("""COMPUTED_VALUE"""),"Caroline Coffey")</f>
        <v>Caroline Coffey</v>
      </c>
      <c r="G96" s="61" t="str">
        <f>IFERROR(__xludf.DUMMYFUNCTION("""COMPUTED_VALUE""")," 1 [Included with Registration]   - ")</f>
        <v> 1 [Included with Registration]   - </v>
      </c>
      <c r="H96" s="61" t="str">
        <f>IFERROR(__xludf.DUMMYFUNCTION("""COMPUTED_VALUE"""),"6607 University Drive  ")</f>
        <v>6607 University Drive  </v>
      </c>
      <c r="I96" s="61" t="str">
        <f>IFERROR(__xludf.DUMMYFUNCTION("""COMPUTED_VALUE"""),"2WA")</f>
        <v>2WA</v>
      </c>
      <c r="J96" s="107" t="str">
        <f>IFERROR(__xludf.DUMMYFUNCTION("""COMPUTED_VALUE"""),"09:00 AM to 11:00 AM  ")</f>
        <v>09:00 AM to 11:00 AM  </v>
      </c>
      <c r="K96" s="100">
        <f>IFERROR(__xludf.DUMMYFUNCTION("""COMPUTED_VALUE"""),46158.0)</f>
        <v>46158</v>
      </c>
      <c r="L96" s="61" t="str">
        <f>IFERROR(__xludf.DUMMYFUNCTION("""COMPUTED_VALUE"""),"2 Hillyfield Lane ")</f>
        <v>2 Hillyfield Lane </v>
      </c>
      <c r="M96" s="61" t="str">
        <f>IFERROR(__xludf.DUMMYFUNCTION("""COMPUTED_VALUE""")," ")</f>
        <v> </v>
      </c>
      <c r="N96" s="61"/>
    </row>
    <row r="97">
      <c r="A97" s="102" t="str">
        <f>IFERROR(__xludf.DUMMYFUNCTION("""COMPUTED_VALUE"""),"https://utrucking.com/admin/orders/6435467722940")</f>
        <v>https://utrucking.com/admin/orders/6435467722940</v>
      </c>
      <c r="B97" s="65" t="str">
        <f>IFERROR(__xludf.DUMMYFUNCTION("""COMPUTED_VALUE"""),"#17728")</f>
        <v>#17728</v>
      </c>
      <c r="C97" s="65" t="str">
        <f>IFERROR(__xludf.DUMMYFUNCTION("""COMPUTED_VALUE"""),"christabodin@yahoo.com")</f>
        <v>christabodin@yahoo.com</v>
      </c>
      <c r="D97" s="65">
        <f>IFERROR(__xludf.DUMMYFUNCTION("""COMPUTED_VALUE"""),9.179150686E9)</f>
        <v>9179150686</v>
      </c>
      <c r="E97" s="65" t="str">
        <f>IFERROR(__xludf.DUMMYFUNCTION("""COMPUTED_VALUE"""),"Christa Frey")</f>
        <v>Christa Frey</v>
      </c>
      <c r="F97" s="65" t="str">
        <f>IFERROR(__xludf.DUMMYFUNCTION("""COMPUTED_VALUE"""),"Tristan Frey")</f>
        <v>Tristan Frey</v>
      </c>
      <c r="G97" s="65" t="str">
        <f>IFERROR(__xludf.DUMMYFUNCTION("""COMPUTED_VALUE""")," 1 [Included with Registration]   - ")</f>
        <v> 1 [Included with Registration]   - </v>
      </c>
      <c r="H97" s="65" t="str">
        <f>IFERROR(__xludf.DUMMYFUNCTION("""COMPUTED_VALUE"""),"Koenig  ")</f>
        <v>Koenig  </v>
      </c>
      <c r="I97" s="65" t="str">
        <f>IFERROR(__xludf.DUMMYFUNCTION("""COMPUTED_VALUE"""),"1117")</f>
        <v>1117</v>
      </c>
      <c r="J97" s="108" t="str">
        <f>IFERROR(__xludf.DUMMYFUNCTION("""COMPUTED_VALUE"""),"03:00 PM to 05:00 PM")</f>
        <v>03:00 PM to 05:00 PM</v>
      </c>
      <c r="K97" s="103">
        <f>IFERROR(__xludf.DUMMYFUNCTION("""COMPUTED_VALUE"""),46148.0)</f>
        <v>46148</v>
      </c>
      <c r="L97" s="65" t="str">
        <f>IFERROR(__xludf.DUMMYFUNCTION("""COMPUTED_VALUE"""),"415 Washington Street #4C
New York, New York 10013 ")</f>
        <v>415 Washington Street #4C
New York, New York 10013 </v>
      </c>
      <c r="M97" s="65" t="str">
        <f>IFERROR(__xludf.DUMMYFUNCTION("""COMPUTED_VALUE""")," Hello - For the summer storage order, can we store a small fridge and vacuum? They won't fit into the boxes. How do you handle these types of items? Thank you!")</f>
        <v> Hello - For the summer storage order, can we store a small fridge and vacuum? They won't fit into the boxes. How do you handle these types of items? Thank you!</v>
      </c>
      <c r="N97" s="65"/>
    </row>
    <row r="98">
      <c r="A98" s="99" t="str">
        <f>IFERROR(__xludf.DUMMYFUNCTION("""COMPUTED_VALUE"""),"https://utrucking.com/admin/orders/6438061342908")</f>
        <v>https://utrucking.com/admin/orders/6438061342908</v>
      </c>
      <c r="B98" s="61" t="str">
        <f>IFERROR(__xludf.DUMMYFUNCTION("""COMPUTED_VALUE"""),"#17740")</f>
        <v>#17740</v>
      </c>
      <c r="C98" s="61" t="str">
        <f>IFERROR(__xludf.DUMMYFUNCTION("""COMPUTED_VALUE"""),"jroth1@yu.edu")</f>
        <v>jroth1@yu.edu</v>
      </c>
      <c r="D98" s="61">
        <f>IFERROR(__xludf.DUMMYFUNCTION("""COMPUTED_VALUE"""),6.462507591E9)</f>
        <v>6462507591</v>
      </c>
      <c r="E98" s="61" t="str">
        <f>IFERROR(__xludf.DUMMYFUNCTION("""COMPUTED_VALUE"""),"Jessica Roth")</f>
        <v>Jessica Roth</v>
      </c>
      <c r="F98" s="61" t="str">
        <f>IFERROR(__xludf.DUMMYFUNCTION("""COMPUTED_VALUE"""),"Lexi Lawsky")</f>
        <v>Lexi Lawsky</v>
      </c>
      <c r="G98" s="61" t="str">
        <f>IFERROR(__xludf.DUMMYFUNCTION("""COMPUTED_VALUE""")," 1 [Included with Registration]   - ")</f>
        <v> 1 [Included with Registration]   - </v>
      </c>
      <c r="H98" s="61" t="str">
        <f>IFERROR(__xludf.DUMMYFUNCTION("""COMPUTED_VALUE"""),"Danforth  ")</f>
        <v>Danforth  </v>
      </c>
      <c r="I98" s="61" t="str">
        <f>IFERROR(__xludf.DUMMYFUNCTION("""COMPUTED_VALUE"""),"4426")</f>
        <v>4426</v>
      </c>
      <c r="J98" s="107" t="str">
        <f>IFERROR(__xludf.DUMMYFUNCTION("""COMPUTED_VALUE"""),"03:00 PM to 05:00 PM")</f>
        <v>03:00 PM to 05:00 PM</v>
      </c>
      <c r="K98" s="100">
        <f>IFERROR(__xludf.DUMMYFUNCTION("""COMPUTED_VALUE"""),46147.0)</f>
        <v>46147</v>
      </c>
      <c r="L98" s="61" t="str">
        <f>IFERROR(__xludf.DUMMYFUNCTION("""COMPUTED_VALUE"""),"45 West 10 Street Apt. 2F
New York, NY 10011 ")</f>
        <v>45 West 10 Street Apt. 2F
New York, NY 10011 </v>
      </c>
      <c r="M98" s="61" t="str">
        <f>IFERROR(__xludf.DUMMYFUNCTION("""COMPUTED_VALUE""")," I am also storing some boxes and items with you.")</f>
        <v> I am also storing some boxes and items with you.</v>
      </c>
      <c r="N98" s="61"/>
    </row>
    <row r="99">
      <c r="A99" s="102" t="str">
        <f>IFERROR(__xludf.DUMMYFUNCTION("""COMPUTED_VALUE"""),"https://utrucking.com/admin/orders/6438459310268")</f>
        <v>https://utrucking.com/admin/orders/6438459310268</v>
      </c>
      <c r="B99" s="65" t="str">
        <f>IFERROR(__xludf.DUMMYFUNCTION("""COMPUTED_VALUE"""),"#17742")</f>
        <v>#17742</v>
      </c>
      <c r="C99" s="65" t="str">
        <f>IFERROR(__xludf.DUMMYFUNCTION("""COMPUTED_VALUE"""),"ctbucks@yahoo.com")</f>
        <v>ctbucks@yahoo.com</v>
      </c>
      <c r="D99" s="65">
        <f>IFERROR(__xludf.DUMMYFUNCTION("""COMPUTED_VALUE"""),2.039844272E9)</f>
        <v>2039844272</v>
      </c>
      <c r="E99" s="65" t="str">
        <f>IFERROR(__xludf.DUMMYFUNCTION("""COMPUTED_VALUE"""),"Jared Buckman")</f>
        <v>Jared Buckman</v>
      </c>
      <c r="F99" s="65" t="str">
        <f>IFERROR(__xludf.DUMMYFUNCTION("""COMPUTED_VALUE"""),"Jared Buckman")</f>
        <v>Jared Buckman</v>
      </c>
      <c r="G99" s="65" t="str">
        <f>IFERROR(__xludf.DUMMYFUNCTION("""COMPUTED_VALUE""")," 1 [Included with Registration]   - ")</f>
        <v> 1 [Included with Registration]   - </v>
      </c>
      <c r="H99" s="65" t="str">
        <f>IFERROR(__xludf.DUMMYFUNCTION("""COMPUTED_VALUE"""),"Danforth  ")</f>
        <v>Danforth  </v>
      </c>
      <c r="I99" s="65" t="str">
        <f>IFERROR(__xludf.DUMMYFUNCTION("""COMPUTED_VALUE"""),"3311")</f>
        <v>3311</v>
      </c>
      <c r="J99" s="108" t="str">
        <f>IFERROR(__xludf.DUMMYFUNCTION("""COMPUTED_VALUE"""),"11:00 AM to 01:00 PM  ")</f>
        <v>11:00 AM to 01:00 PM  </v>
      </c>
      <c r="K99" s="103">
        <f>IFERROR(__xludf.DUMMYFUNCTION("""COMPUTED_VALUE"""),46147.0)</f>
        <v>46147</v>
      </c>
      <c r="L99" s="65" t="str">
        <f>IFERROR(__xludf.DUMMYFUNCTION("""COMPUTED_VALUE"""),"12 Bermuda Road
Westport, CT 06880 ")</f>
        <v>12 Bermuda Road
Westport, CT 06880 </v>
      </c>
      <c r="M99" s="65" t="str">
        <f>IFERROR(__xludf.DUMMYFUNCTION("""COMPUTED_VALUE""")," ")</f>
        <v> </v>
      </c>
      <c r="N99" s="65"/>
    </row>
    <row r="100">
      <c r="A100" s="99" t="str">
        <f>IFERROR(__xludf.DUMMYFUNCTION("""COMPUTED_VALUE"""),"https://utrucking.com/admin/orders/6442947838140")</f>
        <v>https://utrucking.com/admin/orders/6442947838140</v>
      </c>
      <c r="B100" s="61" t="str">
        <f>IFERROR(__xludf.DUMMYFUNCTION("""COMPUTED_VALUE"""),"#17749")</f>
        <v>#17749</v>
      </c>
      <c r="C100" s="61" t="str">
        <f>IFERROR(__xludf.DUMMYFUNCTION("""COMPUTED_VALUE"""),"a.e.ramos@wustl.edu")</f>
        <v>a.e.ramos@wustl.edu</v>
      </c>
      <c r="D100" s="61">
        <f>IFERROR(__xludf.DUMMYFUNCTION("""COMPUTED_VALUE"""),9.565887369E9)</f>
        <v>9565887369</v>
      </c>
      <c r="E100" s="61" t="str">
        <f>IFERROR(__xludf.DUMMYFUNCTION("""COMPUTED_VALUE"""),"Anaelda Ramos")</f>
        <v>Anaelda Ramos</v>
      </c>
      <c r="F100" s="61" t="str">
        <f>IFERROR(__xludf.DUMMYFUNCTION("""COMPUTED_VALUE"""),"Anaelda Ramos")</f>
        <v>Anaelda Ramos</v>
      </c>
      <c r="G100" s="61" t="str">
        <f>IFERROR(__xludf.DUMMYFUNCTION("""COMPUTED_VALUE""")," 2   - ")</f>
        <v> 2   - </v>
      </c>
      <c r="H100" s="61" t="str">
        <f>IFERROR(__xludf.DUMMYFUNCTION("""COMPUTED_VALUE"""),"Greenway Apartments  ")</f>
        <v>Greenway Apartments  </v>
      </c>
      <c r="I100" s="61" t="str">
        <f>IFERROR(__xludf.DUMMYFUNCTION("""COMPUTED_VALUE"""),"117B")</f>
        <v>117B</v>
      </c>
      <c r="J100" s="107" t="str">
        <f>IFERROR(__xludf.DUMMYFUNCTION("""COMPUTED_VALUE"""),"12:00 PM to 02:00 PM  ")</f>
        <v>12:00 PM to 02:00 PM  </v>
      </c>
      <c r="K100" s="100">
        <f>IFERROR(__xludf.DUMMYFUNCTION("""COMPUTED_VALUE"""),46158.0)</f>
        <v>46158</v>
      </c>
      <c r="L100" s="61" t="str">
        <f>IFERROR(__xludf.DUMMYFUNCTION("""COMPUTED_VALUE"""),"1408 West Sevilla St., Pharr, TX 78577 ")</f>
        <v>1408 West Sevilla St., Pharr, TX 78577 </v>
      </c>
      <c r="M100" s="61" t="str">
        <f>IFERROR(__xludf.DUMMYFUNCTION("""COMPUTED_VALUE""")," ")</f>
        <v> </v>
      </c>
      <c r="N100" s="61"/>
    </row>
    <row r="101">
      <c r="A101" s="102" t="str">
        <f>IFERROR(__xludf.DUMMYFUNCTION("""COMPUTED_VALUE"""),"https://utrucking.com/admin/orders/6443659493564")</f>
        <v>https://utrucking.com/admin/orders/6443659493564</v>
      </c>
      <c r="B101" s="65" t="str">
        <f>IFERROR(__xludf.DUMMYFUNCTION("""COMPUTED_VALUE"""),"#17762")</f>
        <v>#17762</v>
      </c>
      <c r="C101" s="65" t="str">
        <f>IFERROR(__xludf.DUMMYFUNCTION("""COMPUTED_VALUE"""),"addison.j.steinberg@wustl.edu")</f>
        <v>addison.j.steinberg@wustl.edu</v>
      </c>
      <c r="D101" s="65">
        <f>IFERROR(__xludf.DUMMYFUNCTION("""COMPUTED_VALUE"""),9.17828078E9)</f>
        <v>9178280780</v>
      </c>
      <c r="E101" s="65" t="str">
        <f>IFERROR(__xludf.DUMMYFUNCTION("""COMPUTED_VALUE"""),"Addison Steinberg")</f>
        <v>Addison Steinberg</v>
      </c>
      <c r="F101" s="65" t="str">
        <f>IFERROR(__xludf.DUMMYFUNCTION("""COMPUTED_VALUE"""),"Addison Steinberg")</f>
        <v>Addison Steinberg</v>
      </c>
      <c r="G101" s="65" t="str">
        <f>IFERROR(__xludf.DUMMYFUNCTION("""COMPUTED_VALUE""")," 1 [Included with Registration]   - ")</f>
        <v> 1 [Included with Registration]   - </v>
      </c>
      <c r="H101" s="65" t="str">
        <f>IFERROR(__xludf.DUMMYFUNCTION("""COMPUTED_VALUE"""),"Millbrook Bldg. 3  ")</f>
        <v>Millbrook Bldg. 3  </v>
      </c>
      <c r="I101" s="65" t="str">
        <f>IFERROR(__xludf.DUMMYFUNCTION("""COMPUTED_VALUE"""),"303 A")</f>
        <v>303 A</v>
      </c>
      <c r="J101" s="108" t="str">
        <f>IFERROR(__xludf.DUMMYFUNCTION("""COMPUTED_VALUE"""),"09:00 AM to 11:00 AM  ")</f>
        <v>09:00 AM to 11:00 AM  </v>
      </c>
      <c r="K101" s="103">
        <f>IFERROR(__xludf.DUMMYFUNCTION("""COMPUTED_VALUE"""),46146.0)</f>
        <v>46146</v>
      </c>
      <c r="L101" s="65" t="str">
        <f>IFERROR(__xludf.DUMMYFUNCTION("""COMPUTED_VALUE"""),"1045 Park Ave Apt 2AB
New York, NY 10028 ")</f>
        <v>1045 Park Ave Apt 2AB
New York, NY 10028 </v>
      </c>
      <c r="M101" s="65" t="str">
        <f>IFERROR(__xludf.DUMMYFUNCTION("""COMPUTED_VALUE""")," ")</f>
        <v> </v>
      </c>
      <c r="N101" s="65"/>
    </row>
    <row r="102">
      <c r="A102" s="99" t="str">
        <f>IFERROR(__xludf.DUMMYFUNCTION("""COMPUTED_VALUE"""),"https://utrucking.com/admin/orders/6443889033404")</f>
        <v>https://utrucking.com/admin/orders/6443889033404</v>
      </c>
      <c r="B102" s="61" t="str">
        <f>IFERROR(__xludf.DUMMYFUNCTION("""COMPUTED_VALUE"""),"#17765")</f>
        <v>#17765</v>
      </c>
      <c r="C102" s="61" t="str">
        <f>IFERROR(__xludf.DUMMYFUNCTION("""COMPUTED_VALUE"""),"caseyference7@gmail.com")</f>
        <v>caseyference7@gmail.com</v>
      </c>
      <c r="D102" s="61" t="str">
        <f>IFERROR(__xludf.DUMMYFUNCTION("""COMPUTED_VALUE"""),"(917) 733-1526  ")</f>
        <v>(917) 733-1526  </v>
      </c>
      <c r="E102" s="61" t="str">
        <f>IFERROR(__xludf.DUMMYFUNCTION("""COMPUTED_VALUE"""),"Michael Ference")</f>
        <v>Michael Ference</v>
      </c>
      <c r="F102" s="61" t="str">
        <f>IFERROR(__xludf.DUMMYFUNCTION("""COMPUTED_VALUE"""),"Casey Ference")</f>
        <v>Casey Ference</v>
      </c>
      <c r="G102" s="61" t="str">
        <f>IFERROR(__xludf.DUMMYFUNCTION("""COMPUTED_VALUE""")," 0   - ")</f>
        <v> 0   - </v>
      </c>
      <c r="H102" s="61" t="str">
        <f>IFERROR(__xludf.DUMMYFUNCTION("""COMPUTED_VALUE"""),"Park  ")</f>
        <v>Park  </v>
      </c>
      <c r="I102" s="61" t="str">
        <f>IFERROR(__xludf.DUMMYFUNCTION("""COMPUTED_VALUE"""),"162")</f>
        <v>162</v>
      </c>
      <c r="J102" s="107" t="str">
        <f>IFERROR(__xludf.DUMMYFUNCTION("""COMPUTED_VALUE"""),"09:00 AM to 11:00 AM  ")</f>
        <v>09:00 AM to 11:00 AM  </v>
      </c>
      <c r="K102" s="100">
        <f>IFERROR(__xludf.DUMMYFUNCTION("""COMPUTED_VALUE"""),46143.0)</f>
        <v>46143</v>
      </c>
      <c r="L102" s="61" t="str">
        <f>IFERROR(__xludf.DUMMYFUNCTION("""COMPUTED_VALUE"""),"8 John Street
Demarest, NJ 07627 ")</f>
        <v>8 John Street
Demarest, NJ 07627 </v>
      </c>
      <c r="M102" s="61" t="str">
        <f>IFERROR(__xludf.DUMMYFUNCTION("""COMPUTED_VALUE""")," ")</f>
        <v> </v>
      </c>
      <c r="N102" s="61"/>
    </row>
    <row r="103">
      <c r="A103" s="102" t="str">
        <f>IFERROR(__xludf.DUMMYFUNCTION("""COMPUTED_VALUE"""),"https://utrucking.com/admin/orders/6443952308412")</f>
        <v>https://utrucking.com/admin/orders/6443952308412</v>
      </c>
      <c r="B103" s="65" t="str">
        <f>IFERROR(__xludf.DUMMYFUNCTION("""COMPUTED_VALUE"""),"#17767")</f>
        <v>#17767</v>
      </c>
      <c r="C103" s="65" t="str">
        <f>IFERROR(__xludf.DUMMYFUNCTION("""COMPUTED_VALUE"""),"corimgalpern@gmail.com")</f>
        <v>corimgalpern@gmail.com</v>
      </c>
      <c r="D103" s="65">
        <f>IFERROR(__xludf.DUMMYFUNCTION("""COMPUTED_VALUE"""),9.177155789E9)</f>
        <v>9177155789</v>
      </c>
      <c r="E103" s="65" t="str">
        <f>IFERROR(__xludf.DUMMYFUNCTION("""COMPUTED_VALUE"""),"Cori Galpern")</f>
        <v>Cori Galpern</v>
      </c>
      <c r="F103" s="65" t="str">
        <f>IFERROR(__xludf.DUMMYFUNCTION("""COMPUTED_VALUE"""),"Mia Galpern")</f>
        <v>Mia Galpern</v>
      </c>
      <c r="G103" s="65" t="str">
        <f>IFERROR(__xludf.DUMMYFUNCTION("""COMPUTED_VALUE""")," 0   - ")</f>
        <v> 0   - </v>
      </c>
      <c r="H103" s="65" t="str">
        <f>IFERROR(__xludf.DUMMYFUNCTION("""COMPUTED_VALUE"""),"Umrath  ")</f>
        <v>Umrath  </v>
      </c>
      <c r="I103" s="65" t="str">
        <f>IFERROR(__xludf.DUMMYFUNCTION("""COMPUTED_VALUE"""),"L239")</f>
        <v>L239</v>
      </c>
      <c r="J103" s="108" t="str">
        <f>IFERROR(__xludf.DUMMYFUNCTION("""COMPUTED_VALUE"""),"10:00 AM to 12:00 PM  ")</f>
        <v>10:00 AM to 12:00 PM  </v>
      </c>
      <c r="K103" s="103">
        <f>IFERROR(__xludf.DUMMYFUNCTION("""COMPUTED_VALUE"""),46143.0)</f>
        <v>46143</v>
      </c>
      <c r="L103" s="65" t="str">
        <f>IFERROR(__xludf.DUMMYFUNCTION("""COMPUTED_VALUE"""),"66 Leonard street 9b
New York, NY 10013 ")</f>
        <v>66 Leonard street 9b
New York, NY 10013 </v>
      </c>
      <c r="M103" s="65" t="str">
        <f>IFERROR(__xludf.DUMMYFUNCTION("""COMPUTED_VALUE""")," ")</f>
        <v> </v>
      </c>
      <c r="N103" s="65"/>
    </row>
    <row r="104">
      <c r="A104" s="99" t="str">
        <f>IFERROR(__xludf.DUMMYFUNCTION("""COMPUTED_VALUE"""),"https://utrucking.com/admin/orders/6444810141884")</f>
        <v>https://utrucking.com/admin/orders/6444810141884</v>
      </c>
      <c r="B104" s="61" t="str">
        <f>IFERROR(__xludf.DUMMYFUNCTION("""COMPUTED_VALUE"""),"#17780")</f>
        <v>#17780</v>
      </c>
      <c r="C104" s="61" t="str">
        <f>IFERROR(__xludf.DUMMYFUNCTION("""COMPUTED_VALUE"""),"charlesmaxelliii2025@gmail.com")</f>
        <v>charlesmaxelliii2025@gmail.com</v>
      </c>
      <c r="D104" s="61">
        <f>IFERROR(__xludf.DUMMYFUNCTION("""COMPUTED_VALUE"""),7.7066832E9)</f>
        <v>7706683200</v>
      </c>
      <c r="E104" s="61" t="str">
        <f>IFERROR(__xludf.DUMMYFUNCTION("""COMPUTED_VALUE"""),"Charles Maxell III")</f>
        <v>Charles Maxell III</v>
      </c>
      <c r="F104" s="61" t="str">
        <f>IFERROR(__xludf.DUMMYFUNCTION("""COMPUTED_VALUE"""),"Charles Maxell III")</f>
        <v>Charles Maxell III</v>
      </c>
      <c r="G104" s="61" t="str">
        <f>IFERROR(__xludf.DUMMYFUNCTION("""COMPUTED_VALUE""")," 1 [Included with Registration]   - ")</f>
        <v> 1 [Included with Registration]   - </v>
      </c>
      <c r="H104" s="61" t="str">
        <f>IFERROR(__xludf.DUMMYFUNCTION("""COMPUTED_VALUE"""),"Park  ")</f>
        <v>Park  </v>
      </c>
      <c r="I104" s="61" t="str">
        <f>IFERROR(__xludf.DUMMYFUNCTION("""COMPUTED_VALUE"""),"410")</f>
        <v>410</v>
      </c>
      <c r="J104" s="107" t="str">
        <f>IFERROR(__xludf.DUMMYFUNCTION("""COMPUTED_VALUE"""),"09:00 AM to 11:00 AM  ")</f>
        <v>09:00 AM to 11:00 AM  </v>
      </c>
      <c r="K104" s="100">
        <f>IFERROR(__xludf.DUMMYFUNCTION("""COMPUTED_VALUE"""),46146.0)</f>
        <v>46146</v>
      </c>
      <c r="L104" s="61" t="str">
        <f>IFERROR(__xludf.DUMMYFUNCTION("""COMPUTED_VALUE"""),"5025 Duxford Drive SE ")</f>
        <v>5025 Duxford Drive SE </v>
      </c>
      <c r="M104" s="61" t="str">
        <f>IFERROR(__xludf.DUMMYFUNCTION("""COMPUTED_VALUE""")," ")</f>
        <v> </v>
      </c>
      <c r="N104" s="61"/>
    </row>
    <row r="105">
      <c r="A105" s="102" t="str">
        <f>IFERROR(__xludf.DUMMYFUNCTION("""COMPUTED_VALUE"""),"https://utrucking.com/admin/orders/6445014941884")</f>
        <v>https://utrucking.com/admin/orders/6445014941884</v>
      </c>
      <c r="B105" s="65" t="str">
        <f>IFERROR(__xludf.DUMMYFUNCTION("""COMPUTED_VALUE"""),"#17790")</f>
        <v>#17790</v>
      </c>
      <c r="C105" s="65" t="str">
        <f>IFERROR(__xludf.DUMMYFUNCTION("""COMPUTED_VALUE"""),"saydee.star@gmail.com")</f>
        <v>saydee.star@gmail.com</v>
      </c>
      <c r="D105" s="65">
        <f>IFERROR(__xludf.DUMMYFUNCTION("""COMPUTED_VALUE"""),9.176120198E9)</f>
        <v>9176120198</v>
      </c>
      <c r="E105" s="65" t="str">
        <f>IFERROR(__xludf.DUMMYFUNCTION("""COMPUTED_VALUE"""),"Saydee Star")</f>
        <v>Saydee Star</v>
      </c>
      <c r="F105" s="65" t="str">
        <f>IFERROR(__xludf.DUMMYFUNCTION("""COMPUTED_VALUE"""),"Saydee Star")</f>
        <v>Saydee Star</v>
      </c>
      <c r="G105" s="65" t="str">
        <f>IFERROR(__xludf.DUMMYFUNCTION("""COMPUTED_VALUE""")," 1 [Included with Registration]   - ")</f>
        <v> 1 [Included with Registration]   - </v>
      </c>
      <c r="H105" s="65" t="str">
        <f>IFERROR(__xludf.DUMMYFUNCTION("""COMPUTED_VALUE"""),"Greenway Apartments  ")</f>
        <v>Greenway Apartments  </v>
      </c>
      <c r="I105" s="65" t="str">
        <f>IFERROR(__xludf.DUMMYFUNCTION("""COMPUTED_VALUE"""),"010")</f>
        <v>010</v>
      </c>
      <c r="J105" s="108" t="str">
        <f>IFERROR(__xludf.DUMMYFUNCTION("""COMPUTED_VALUE"""),"03:00 PM to 05:00 PM")</f>
        <v>03:00 PM to 05:00 PM</v>
      </c>
      <c r="K105" s="103">
        <f>IFERROR(__xludf.DUMMYFUNCTION("""COMPUTED_VALUE"""),46142.0)</f>
        <v>46142</v>
      </c>
      <c r="L105" s="65" t="str">
        <f>IFERROR(__xludf.DUMMYFUNCTION("""COMPUTED_VALUE"""),"457 Old Sleepy Hollow Rd
Pleasantville, NY 10570 ")</f>
        <v>457 Old Sleepy Hollow Rd
Pleasantville, NY 10570 </v>
      </c>
      <c r="M105" s="65" t="str">
        <f>IFERROR(__xludf.DUMMYFUNCTION("""COMPUTED_VALUE""")," ")</f>
        <v> </v>
      </c>
      <c r="N105" s="65"/>
    </row>
    <row r="106">
      <c r="A106" s="99" t="str">
        <f>IFERROR(__xludf.DUMMYFUNCTION("""COMPUTED_VALUE"""),"https://utrucking.com/admin/orders/6446156513468")</f>
        <v>https://utrucking.com/admin/orders/6446156513468</v>
      </c>
      <c r="B106" s="61" t="str">
        <f>IFERROR(__xludf.DUMMYFUNCTION("""COMPUTED_VALUE"""),"#17842")</f>
        <v>#17842</v>
      </c>
      <c r="C106" s="61" t="str">
        <f>IFERROR(__xludf.DUMMYFUNCTION("""COMPUTED_VALUE"""),"bethany_klynn@yahoo.com")</f>
        <v>bethany_klynn@yahoo.com</v>
      </c>
      <c r="D106" s="61">
        <f>IFERROR(__xludf.DUMMYFUNCTION("""COMPUTED_VALUE"""),6.145075668E9)</f>
        <v>6145075668</v>
      </c>
      <c r="E106" s="61" t="str">
        <f>IFERROR(__xludf.DUMMYFUNCTION("""COMPUTED_VALUE"""),"Bethany Klynn")</f>
        <v>Bethany Klynn</v>
      </c>
      <c r="F106" s="61" t="str">
        <f>IFERROR(__xludf.DUMMYFUNCTION("""COMPUTED_VALUE"""),"Isaac Payne")</f>
        <v>Isaac Payne</v>
      </c>
      <c r="G106" s="61" t="str">
        <f>IFERROR(__xludf.DUMMYFUNCTION("""COMPUTED_VALUE""")," 1 [Included with Registration]   - ")</f>
        <v> 1 [Included with Registration]   - </v>
      </c>
      <c r="H106" s="61" t="str">
        <f>IFERROR(__xludf.DUMMYFUNCTION("""COMPUTED_VALUE"""),"Park  ")</f>
        <v>Park  </v>
      </c>
      <c r="I106" s="61" t="str">
        <f>IFERROR(__xludf.DUMMYFUNCTION("""COMPUTED_VALUE"""),"Park 231")</f>
        <v>Park 231</v>
      </c>
      <c r="J106" s="107" t="str">
        <f>IFERROR(__xludf.DUMMYFUNCTION("""COMPUTED_VALUE"""),"09:00 AM to 11:00 AM  ")</f>
        <v>09:00 AM to 11:00 AM  </v>
      </c>
      <c r="K106" s="100">
        <f>IFERROR(__xludf.DUMMYFUNCTION("""COMPUTED_VALUE"""),46148.0)</f>
        <v>46148</v>
      </c>
      <c r="L106" s="61" t="str">
        <f>IFERROR(__xludf.DUMMYFUNCTION("""COMPUTED_VALUE"""),"4123 Sudbrook Sq East
New Albany, OH 43054 ")</f>
        <v>4123 Sudbrook Sq East
New Albany, OH 43054 </v>
      </c>
      <c r="M106" s="61" t="str">
        <f>IFERROR(__xludf.DUMMYFUNCTION("""COMPUTED_VALUE""")," You are welcome to come pick them up when you're ready. We are moving him out on May 6th. ")</f>
        <v> You are welcome to come pick them up when you're ready. We are moving him out on May 6th. </v>
      </c>
      <c r="N106" s="61"/>
    </row>
    <row r="107">
      <c r="A107" s="102" t="str">
        <f>IFERROR(__xludf.DUMMYFUNCTION("""COMPUTED_VALUE"""),"https://utrucking.com/admin/orders/6446211367100")</f>
        <v>https://utrucking.com/admin/orders/6446211367100</v>
      </c>
      <c r="B107" s="65" t="str">
        <f>IFERROR(__xludf.DUMMYFUNCTION("""COMPUTED_VALUE"""),"#17850")</f>
        <v>#17850</v>
      </c>
      <c r="C107" s="65" t="str">
        <f>IFERROR(__xludf.DUMMYFUNCTION("""COMPUTED_VALUE"""),"jackvein@icloud.com")</f>
        <v>jackvein@icloud.com</v>
      </c>
      <c r="D107" s="65">
        <f>IFERROR(__xludf.DUMMYFUNCTION("""COMPUTED_VALUE"""),3.104635735E9)</f>
        <v>3104635735</v>
      </c>
      <c r="E107" s="65" t="str">
        <f>IFERROR(__xludf.DUMMYFUNCTION("""COMPUTED_VALUE"""),"Jack Vein")</f>
        <v>Jack Vein</v>
      </c>
      <c r="F107" s="65" t="str">
        <f>IFERROR(__xludf.DUMMYFUNCTION("""COMPUTED_VALUE"""),"Jack Vein")</f>
        <v>Jack Vein</v>
      </c>
      <c r="G107" s="65" t="str">
        <f>IFERROR(__xludf.DUMMYFUNCTION("""COMPUTED_VALUE""")," 1 [Included with Registration]   - ")</f>
        <v> 1 [Included with Registration]   - </v>
      </c>
      <c r="H107" s="65"/>
      <c r="I107" s="65"/>
      <c r="J107" s="108" t="str">
        <f>IFERROR(__xludf.DUMMYFUNCTION("""COMPUTED_VALUE"""),"01:00 PM to 03:00 PM  ")</f>
        <v>01:00 PM to 03:00 PM  </v>
      </c>
      <c r="K107" s="103">
        <f>IFERROR(__xludf.DUMMYFUNCTION("""COMPUTED_VALUE"""),46160.0)</f>
        <v>46160</v>
      </c>
      <c r="L107" s="65" t="str">
        <f>IFERROR(__xludf.DUMMYFUNCTION("""COMPUTED_VALUE"""),"101 North Las Palmas Ave
Los Angeles, CA 90004 ")</f>
        <v>101 North Las Palmas Ave
Los Angeles, CA 90004 </v>
      </c>
      <c r="M107" s="65" t="str">
        <f>IFERROR(__xludf.DUMMYFUNCTION("""COMPUTED_VALUE""")," ")</f>
        <v> </v>
      </c>
      <c r="N107" s="65" t="str">
        <f>IFERROR(__xludf.DUMMYFUNCTION("""COMPUTED_VALUE"""),"6669 Washington Avenue Apartment 102
St. Louis, MO 63130")</f>
        <v>6669 Washington Avenue Apartment 102
St. Louis, MO 63130</v>
      </c>
    </row>
    <row r="108">
      <c r="A108" s="99" t="str">
        <f>IFERROR(__xludf.DUMMYFUNCTION("""COMPUTED_VALUE"""),"https://utrucking.com/admin/orders/6446301348028")</f>
        <v>https://utrucking.com/admin/orders/6446301348028</v>
      </c>
      <c r="B108" s="61" t="str">
        <f>IFERROR(__xludf.DUMMYFUNCTION("""COMPUTED_VALUE"""),"#17861")</f>
        <v>#17861</v>
      </c>
      <c r="C108" s="61" t="str">
        <f>IFERROR(__xludf.DUMMYFUNCTION("""COMPUTED_VALUE"""),"bronwynh@wustl.edu")</f>
        <v>bronwynh@wustl.edu</v>
      </c>
      <c r="D108" s="61">
        <f>IFERROR(__xludf.DUMMYFUNCTION("""COMPUTED_VALUE"""),9.725338403E9)</f>
        <v>9725338403</v>
      </c>
      <c r="E108" s="61" t="str">
        <f>IFERROR(__xludf.DUMMYFUNCTION("""COMPUTED_VALUE"""),"Gary Evans")</f>
        <v>Gary Evans</v>
      </c>
      <c r="F108" s="61" t="str">
        <f>IFERROR(__xludf.DUMMYFUNCTION("""COMPUTED_VALUE"""),"Bronwyn Hamilton-Evans")</f>
        <v>Bronwyn Hamilton-Evans</v>
      </c>
      <c r="G108" s="61" t="str">
        <f>IFERROR(__xludf.DUMMYFUNCTION("""COMPUTED_VALUE""")," 1 [Included with Registration]   - ")</f>
        <v> 1 [Included with Registration]   - </v>
      </c>
      <c r="H108" s="61" t="str">
        <f>IFERROR(__xludf.DUMMYFUNCTION("""COMPUTED_VALUE"""),"Hurd  ")</f>
        <v>Hurd  </v>
      </c>
      <c r="I108" s="61" t="str">
        <f>IFERROR(__xludf.DUMMYFUNCTION("""COMPUTED_VALUE"""),"421")</f>
        <v>421</v>
      </c>
      <c r="J108" s="107" t="str">
        <f>IFERROR(__xludf.DUMMYFUNCTION("""COMPUTED_VALUE"""),"09:00 AM to 11:00 AM  ")</f>
        <v>09:00 AM to 11:00 AM  </v>
      </c>
      <c r="K108" s="100">
        <f>IFERROR(__xludf.DUMMYFUNCTION("""COMPUTED_VALUE"""),46147.0)</f>
        <v>46147</v>
      </c>
      <c r="L108" s="61" t="str">
        <f>IFERROR(__xludf.DUMMYFUNCTION("""COMPUTED_VALUE"""),"4413 W University Blvd, Dallas, TX 75209 ")</f>
        <v>4413 W University Blvd, Dallas, TX 75209 </v>
      </c>
      <c r="M108" s="61" t="str">
        <f>IFERROR(__xludf.DUMMYFUNCTION("""COMPUTED_VALUE""")," ")</f>
        <v> </v>
      </c>
      <c r="N108" s="61"/>
    </row>
    <row r="109">
      <c r="A109" s="102" t="str">
        <f>IFERROR(__xludf.DUMMYFUNCTION("""COMPUTED_VALUE"""),"https://utrucking.com/admin/orders/6446700101820")</f>
        <v>https://utrucking.com/admin/orders/6446700101820</v>
      </c>
      <c r="B109" s="65" t="str">
        <f>IFERROR(__xludf.DUMMYFUNCTION("""COMPUTED_VALUE"""),"#17928")</f>
        <v>#17928</v>
      </c>
      <c r="C109" s="65" t="str">
        <f>IFERROR(__xludf.DUMMYFUNCTION("""COMPUTED_VALUE"""),"acharlotte@wustl.edu")</f>
        <v>acharlotte@wustl.edu</v>
      </c>
      <c r="D109" s="65">
        <f>IFERROR(__xludf.DUMMYFUNCTION("""COMPUTED_VALUE"""),7.18715543E9)</f>
        <v>7187155430</v>
      </c>
      <c r="E109" s="65" t="str">
        <f>IFERROR(__xludf.DUMMYFUNCTION("""COMPUTED_VALUE"""),"Charlotte Allinson")</f>
        <v>Charlotte Allinson</v>
      </c>
      <c r="F109" s="65" t="str">
        <f>IFERROR(__xludf.DUMMYFUNCTION("""COMPUTED_VALUE"""),"Charlotte Allinson")</f>
        <v>Charlotte Allinson</v>
      </c>
      <c r="G109" s="65" t="str">
        <f>IFERROR(__xludf.DUMMYFUNCTION("""COMPUTED_VALUE""")," 1 [Included with Registration]   - ")</f>
        <v> 1 [Included with Registration]   - </v>
      </c>
      <c r="H109" s="65" t="str">
        <f>IFERROR(__xludf.DUMMYFUNCTION("""COMPUTED_VALUE"""),"Lopata  ")</f>
        <v>Lopata  </v>
      </c>
      <c r="I109" s="65" t="str">
        <f>IFERROR(__xludf.DUMMYFUNCTION("""COMPUTED_VALUE"""),"3024")</f>
        <v>3024</v>
      </c>
      <c r="J109" s="108" t="str">
        <f>IFERROR(__xludf.DUMMYFUNCTION("""COMPUTED_VALUE"""),"10:00 AM to 12:00 PM  ")</f>
        <v>10:00 AM to 12:00 PM  </v>
      </c>
      <c r="K109" s="103">
        <f>IFERROR(__xludf.DUMMYFUNCTION("""COMPUTED_VALUE"""),46148.0)</f>
        <v>46148</v>
      </c>
      <c r="L109" s="65" t="str">
        <f>IFERROR(__xludf.DUMMYFUNCTION("""COMPUTED_VALUE"""),"322 Central Park West
New York, NY 10025 ")</f>
        <v>322 Central Park West
New York, NY 10025 </v>
      </c>
      <c r="M109" s="65" t="str">
        <f>IFERROR(__xludf.DUMMYFUNCTION("""COMPUTED_VALUE""")," ")</f>
        <v> </v>
      </c>
      <c r="N109" s="65"/>
    </row>
    <row r="110">
      <c r="A110" s="99" t="str">
        <f>IFERROR(__xludf.DUMMYFUNCTION("""COMPUTED_VALUE"""),"https://utrucking.com/admin/orders/6446702231740")</f>
        <v>https://utrucking.com/admin/orders/6446702231740</v>
      </c>
      <c r="B110" s="61" t="str">
        <f>IFERROR(__xludf.DUMMYFUNCTION("""COMPUTED_VALUE"""),"#17929")</f>
        <v>#17929</v>
      </c>
      <c r="C110" s="61" t="str">
        <f>IFERROR(__xludf.DUMMYFUNCTION("""COMPUTED_VALUE"""),"r.n.sugavanam@wustl.edu")</f>
        <v>r.n.sugavanam@wustl.edu</v>
      </c>
      <c r="D110" s="61">
        <f>IFERROR(__xludf.DUMMYFUNCTION("""COMPUTED_VALUE"""),8.583619963E9)</f>
        <v>8583619963</v>
      </c>
      <c r="E110" s="61" t="str">
        <f>IFERROR(__xludf.DUMMYFUNCTION("""COMPUTED_VALUE"""),"Raj Sugavanam")</f>
        <v>Raj Sugavanam</v>
      </c>
      <c r="F110" s="61" t="str">
        <f>IFERROR(__xludf.DUMMYFUNCTION("""COMPUTED_VALUE"""),"Raj Sugavanam")</f>
        <v>Raj Sugavanam</v>
      </c>
      <c r="G110" s="61" t="str">
        <f>IFERROR(__xludf.DUMMYFUNCTION("""COMPUTED_VALUE""")," 1 [Included with Registration]   - ")</f>
        <v> 1 [Included with Registration]   - </v>
      </c>
      <c r="H110" s="61" t="str">
        <f>IFERROR(__xludf.DUMMYFUNCTION("""COMPUTED_VALUE"""),"House 1")</f>
        <v>House 1</v>
      </c>
      <c r="I110" s="61" t="str">
        <f>IFERROR(__xludf.DUMMYFUNCTION("""COMPUTED_VALUE"""),"114")</f>
        <v>114</v>
      </c>
      <c r="J110" s="107" t="str">
        <f>IFERROR(__xludf.DUMMYFUNCTION("""COMPUTED_VALUE"""),"09:00 AM to 11:00 AM  ")</f>
        <v>09:00 AM to 11:00 AM  </v>
      </c>
      <c r="K110" s="100">
        <f>IFERROR(__xludf.DUMMYFUNCTION("""COMPUTED_VALUE"""),46143.0)</f>
        <v>46143</v>
      </c>
      <c r="L110" s="61" t="str">
        <f>IFERROR(__xludf.DUMMYFUNCTION("""COMPUTED_VALUE"""),"7777 Starlight Drive, La Jolla, CA ")</f>
        <v>7777 Starlight Drive, La Jolla, CA </v>
      </c>
      <c r="M110" s="61" t="str">
        <f>IFERROR(__xludf.DUMMYFUNCTION("""COMPUTED_VALUE""")," ")</f>
        <v> </v>
      </c>
      <c r="N110" s="61"/>
    </row>
    <row r="111">
      <c r="A111" s="102" t="str">
        <f>IFERROR(__xludf.DUMMYFUNCTION("""COMPUTED_VALUE"""),"https://utrucking.com/admin/orders/6447975432380")</f>
        <v>https://utrucking.com/admin/orders/6447975432380</v>
      </c>
      <c r="B111" s="65" t="str">
        <f>IFERROR(__xludf.DUMMYFUNCTION("""COMPUTED_VALUE"""),"#17996")</f>
        <v>#17996</v>
      </c>
      <c r="C111" s="65" t="str">
        <f>IFERROR(__xludf.DUMMYFUNCTION("""COMPUTED_VALUE"""),"alexander.silverman@wustl.edu")</f>
        <v>alexander.silverman@wustl.edu</v>
      </c>
      <c r="D111" s="65">
        <f>IFERROR(__xludf.DUMMYFUNCTION("""COMPUTED_VALUE"""),6.092857804E9)</f>
        <v>6092857804</v>
      </c>
      <c r="E111" s="65" t="str">
        <f>IFERROR(__xludf.DUMMYFUNCTION("""COMPUTED_VALUE"""),"Zander Silverman")</f>
        <v>Zander Silverman</v>
      </c>
      <c r="F111" s="65" t="str">
        <f>IFERROR(__xludf.DUMMYFUNCTION("""COMPUTED_VALUE"""),"Zander Silverman")</f>
        <v>Zander Silverman</v>
      </c>
      <c r="G111" s="65" t="str">
        <f>IFERROR(__xludf.DUMMYFUNCTION("""COMPUTED_VALUE""")," 1 [Included with Registration]   - ")</f>
        <v> 1 [Included with Registration]   - </v>
      </c>
      <c r="H111" s="65" t="str">
        <f>IFERROR(__xludf.DUMMYFUNCTION("""COMPUTED_VALUE"""),"Gregg  ")</f>
        <v>Gregg  </v>
      </c>
      <c r="I111" s="65" t="str">
        <f>IFERROR(__xludf.DUMMYFUNCTION("""COMPUTED_VALUE"""),"3171")</f>
        <v>3171</v>
      </c>
      <c r="J111" s="108" t="str">
        <f>IFERROR(__xludf.DUMMYFUNCTION("""COMPUTED_VALUE"""),"03:00 PM to 05:00 PM")</f>
        <v>03:00 PM to 05:00 PM</v>
      </c>
      <c r="K111" s="103">
        <f>IFERROR(__xludf.DUMMYFUNCTION("""COMPUTED_VALUE"""),46144.0)</f>
        <v>46144</v>
      </c>
      <c r="L111" s="65" t="str">
        <f>IFERROR(__xludf.DUMMYFUNCTION("""COMPUTED_VALUE"""),"243 Russell Rd, Princeton, NJ, 08540 ")</f>
        <v>243 Russell Rd, Princeton, NJ, 08540 </v>
      </c>
      <c r="M111" s="65" t="str">
        <f>IFERROR(__xludf.DUMMYFUNCTION("""COMPUTED_VALUE""")," ")</f>
        <v> </v>
      </c>
      <c r="N111" s="65"/>
    </row>
    <row r="112">
      <c r="A112" s="99" t="str">
        <f>IFERROR(__xludf.DUMMYFUNCTION("""COMPUTED_VALUE"""),"https://utrucking.com/admin/orders/6448057974972")</f>
        <v>https://utrucking.com/admin/orders/6448057974972</v>
      </c>
      <c r="B112" s="61" t="str">
        <f>IFERROR(__xludf.DUMMYFUNCTION("""COMPUTED_VALUE"""),"#18006")</f>
        <v>#18006</v>
      </c>
      <c r="C112" s="61" t="str">
        <f>IFERROR(__xludf.DUMMYFUNCTION("""COMPUTED_VALUE"""),"salehsa329@gmail.com")</f>
        <v>salehsa329@gmail.com</v>
      </c>
      <c r="D112" s="61">
        <f>IFERROR(__xludf.DUMMYFUNCTION("""COMPUTED_VALUE"""),9.143279547E9)</f>
        <v>9143279547</v>
      </c>
      <c r="E112" s="61" t="str">
        <f>IFERROR(__xludf.DUMMYFUNCTION("""COMPUTED_VALUE"""),"Elsa Saleh")</f>
        <v>Elsa Saleh</v>
      </c>
      <c r="F112" s="61" t="str">
        <f>IFERROR(__xludf.DUMMYFUNCTION("""COMPUTED_VALUE"""),"Samira Saleh")</f>
        <v>Samira Saleh</v>
      </c>
      <c r="G112" s="61" t="str">
        <f>IFERROR(__xludf.DUMMYFUNCTION("""COMPUTED_VALUE""")," 1 [Included with Registration]   - ")</f>
        <v> 1 [Included with Registration]   - </v>
      </c>
      <c r="H112" s="61" t="str">
        <f>IFERROR(__xludf.DUMMYFUNCTION("""COMPUTED_VALUE"""),"Loop Loft 6300  ")</f>
        <v>Loop Loft 6300  </v>
      </c>
      <c r="I112" s="61" t="str">
        <f>IFERROR(__xludf.DUMMYFUNCTION("""COMPUTED_VALUE"""),"103b")</f>
        <v>103b</v>
      </c>
      <c r="J112" s="107" t="str">
        <f>IFERROR(__xludf.DUMMYFUNCTION("""COMPUTED_VALUE"""),"09:00 AM to 11:00 AM  ")</f>
        <v>09:00 AM to 11:00 AM  </v>
      </c>
      <c r="K112" s="100">
        <f>IFERROR(__xludf.DUMMYFUNCTION("""COMPUTED_VALUE"""),46155.0)</f>
        <v>46155</v>
      </c>
      <c r="L112" s="61" t="str">
        <f>IFERROR(__xludf.DUMMYFUNCTION("""COMPUTED_VALUE"""),"133 Crescent Place 2nd FL
Yonkers, NY 10704 ")</f>
        <v>133 Crescent Place 2nd FL
Yonkers, NY 10704 </v>
      </c>
      <c r="M112" s="61" t="str">
        <f>IFERROR(__xludf.DUMMYFUNCTION("""COMPUTED_VALUE""")," ")</f>
        <v> </v>
      </c>
      <c r="N112" s="61"/>
    </row>
    <row r="113">
      <c r="A113" s="102" t="str">
        <f>IFERROR(__xludf.DUMMYFUNCTION("""COMPUTED_VALUE"""),"https://utrucking.com/admin/orders/6448111943868")</f>
        <v>https://utrucking.com/admin/orders/6448111943868</v>
      </c>
      <c r="B113" s="65" t="str">
        <f>IFERROR(__xludf.DUMMYFUNCTION("""COMPUTED_VALUE"""),"#18012")</f>
        <v>#18012</v>
      </c>
      <c r="C113" s="65" t="str">
        <f>IFERROR(__xludf.DUMMYFUNCTION("""COMPUTED_VALUE"""),"keumriley@gmail.com")</f>
        <v>keumriley@gmail.com</v>
      </c>
      <c r="D113" s="65">
        <f>IFERROR(__xludf.DUMMYFUNCTION("""COMPUTED_VALUE"""),2.133427979E9)</f>
        <v>2133427979</v>
      </c>
      <c r="E113" s="65" t="str">
        <f>IFERROR(__xludf.DUMMYFUNCTION("""COMPUTED_VALUE"""),"Jimin Nam")</f>
        <v>Jimin Nam</v>
      </c>
      <c r="F113" s="65" t="str">
        <f>IFERROR(__xludf.DUMMYFUNCTION("""COMPUTED_VALUE"""),"Riley Keum")</f>
        <v>Riley Keum</v>
      </c>
      <c r="G113" s="65" t="str">
        <f>IFERROR(__xludf.DUMMYFUNCTION("""COMPUTED_VALUE""")," 1 [Included with Registration]   - ")</f>
        <v> 1 [Included with Registration]   - </v>
      </c>
      <c r="H113" s="65" t="str">
        <f>IFERROR(__xludf.DUMMYFUNCTION("""COMPUTED_VALUE"""),"Lopata  ")</f>
        <v>Lopata  </v>
      </c>
      <c r="I113" s="65" t="str">
        <f>IFERROR(__xludf.DUMMYFUNCTION("""COMPUTED_VALUE"""),"2034")</f>
        <v>2034</v>
      </c>
      <c r="J113" s="108" t="str">
        <f>IFERROR(__xludf.DUMMYFUNCTION("""COMPUTED_VALUE"""),"09:00 AM to 11:00 AM  ")</f>
        <v>09:00 AM to 11:00 AM  </v>
      </c>
      <c r="K113" s="103">
        <f>IFERROR(__xludf.DUMMYFUNCTION("""COMPUTED_VALUE"""),46147.0)</f>
        <v>46147</v>
      </c>
      <c r="L113" s="65" t="str">
        <f>IFERROR(__xludf.DUMMYFUNCTION("""COMPUTED_VALUE"""),"4520 Pennsylvania Ave Apt 140 La Crescenta, California 91214 ")</f>
        <v>4520 Pennsylvania Ave Apt 140 La Crescenta, California 91214 </v>
      </c>
      <c r="M113" s="65" t="str">
        <f>IFERROR(__xludf.DUMMYFUNCTION("""COMPUTED_VALUE""")," ")</f>
        <v> </v>
      </c>
      <c r="N113" s="65"/>
    </row>
    <row r="114">
      <c r="A114" s="99" t="str">
        <f>IFERROR(__xludf.DUMMYFUNCTION("""COMPUTED_VALUE"""),"https://utrucking.com/admin/orders/6448121708732")</f>
        <v>https://utrucking.com/admin/orders/6448121708732</v>
      </c>
      <c r="B114" s="61" t="str">
        <f>IFERROR(__xludf.DUMMYFUNCTION("""COMPUTED_VALUE"""),"#18014")</f>
        <v>#18014</v>
      </c>
      <c r="C114" s="61" t="str">
        <f>IFERROR(__xludf.DUMMYFUNCTION("""COMPUTED_VALUE"""),"e.d.linden@wustl.edu")</f>
        <v>e.d.linden@wustl.edu</v>
      </c>
      <c r="D114" s="61">
        <f>IFERROR(__xludf.DUMMYFUNCTION("""COMPUTED_VALUE"""),9.292909646E9)</f>
        <v>9292909646</v>
      </c>
      <c r="E114" s="61" t="str">
        <f>IFERROR(__xludf.DUMMYFUNCTION("""COMPUTED_VALUE"""),"Emmanuelle Linden")</f>
        <v>Emmanuelle Linden</v>
      </c>
      <c r="F114" s="61" t="str">
        <f>IFERROR(__xludf.DUMMYFUNCTION("""COMPUTED_VALUE"""),"Emma Linden")</f>
        <v>Emma Linden</v>
      </c>
      <c r="G114" s="61" t="str">
        <f>IFERROR(__xludf.DUMMYFUNCTION("""COMPUTED_VALUE""")," 1 [Included with Registration]   - ")</f>
        <v> 1 [Included with Registration]   - </v>
      </c>
      <c r="H114" s="61" t="str">
        <f>IFERROR(__xludf.DUMMYFUNCTION("""COMPUTED_VALUE"""),"Lopata  ")</f>
        <v>Lopata  </v>
      </c>
      <c r="I114" s="61" t="str">
        <f>IFERROR(__xludf.DUMMYFUNCTION("""COMPUTED_VALUE"""),"2031")</f>
        <v>2031</v>
      </c>
      <c r="J114" s="107" t="str">
        <f>IFERROR(__xludf.DUMMYFUNCTION("""COMPUTED_VALUE"""),"09:00 AM to 11:00 AM  ")</f>
        <v>09:00 AM to 11:00 AM  </v>
      </c>
      <c r="K114" s="100">
        <f>IFERROR(__xludf.DUMMYFUNCTION("""COMPUTED_VALUE"""),46148.0)</f>
        <v>46148</v>
      </c>
      <c r="L114" s="61" t="str">
        <f>IFERROR(__xludf.DUMMYFUNCTION("""COMPUTED_VALUE"""),"49 west 75th street, apt 3 New York, ny 10023 ")</f>
        <v>49 west 75th street, apt 3 New York, ny 10023 </v>
      </c>
      <c r="M114" s="61" t="str">
        <f>IFERROR(__xludf.DUMMYFUNCTION("""COMPUTED_VALUE""")," My flight is on the 6th if I have left for the airport before you come to pick up boxes doors will be left taped/unlocked. ")</f>
        <v> My flight is on the 6th if I have left for the airport before you come to pick up boxes doors will be left taped/unlocked. </v>
      </c>
      <c r="N114" s="61"/>
    </row>
    <row r="115">
      <c r="A115" s="102" t="str">
        <f>IFERROR(__xludf.DUMMYFUNCTION("""COMPUTED_VALUE"""),"https://utrucking.com/admin/orders/6448761503932")</f>
        <v>https://utrucking.com/admin/orders/6448761503932</v>
      </c>
      <c r="B115" s="65" t="str">
        <f>IFERROR(__xludf.DUMMYFUNCTION("""COMPUTED_VALUE"""),"#18038")</f>
        <v>#18038</v>
      </c>
      <c r="C115" s="65" t="str">
        <f>IFERROR(__xludf.DUMMYFUNCTION("""COMPUTED_VALUE"""),"Emiruthnewman@gmail.com")</f>
        <v>Emiruthnewman@gmail.com</v>
      </c>
      <c r="D115" s="65">
        <f>IFERROR(__xludf.DUMMYFUNCTION("""COMPUTED_VALUE"""),9.179915326E9)</f>
        <v>9179915326</v>
      </c>
      <c r="E115" s="65" t="str">
        <f>IFERROR(__xludf.DUMMYFUNCTION("""COMPUTED_VALUE"""),"Emi Newman")</f>
        <v>Emi Newman</v>
      </c>
      <c r="F115" s="65" t="str">
        <f>IFERROR(__xludf.DUMMYFUNCTION("""COMPUTED_VALUE"""),"Emi Newman")</f>
        <v>Emi Newman</v>
      </c>
      <c r="G115" s="65" t="str">
        <f>IFERROR(__xludf.DUMMYFUNCTION("""COMPUTED_VALUE""")," 1 [Included with Registration]   - ")</f>
        <v> 1 [Included with Registration]   - </v>
      </c>
      <c r="H115" s="65" t="str">
        <f>IFERROR(__xludf.DUMMYFUNCTION("""COMPUTED_VALUE"""),"Lopata  ")</f>
        <v>Lopata  </v>
      </c>
      <c r="I115" s="65" t="str">
        <f>IFERROR(__xludf.DUMMYFUNCTION("""COMPUTED_VALUE"""),"3023")</f>
        <v>3023</v>
      </c>
      <c r="J115" s="108" t="str">
        <f>IFERROR(__xludf.DUMMYFUNCTION("""COMPUTED_VALUE"""),"10:00 AM to 12:00 PM  ")</f>
        <v>10:00 AM to 12:00 PM  </v>
      </c>
      <c r="K115" s="103">
        <f>IFERROR(__xludf.DUMMYFUNCTION("""COMPUTED_VALUE"""),46149.0)</f>
        <v>46149</v>
      </c>
      <c r="L115" s="65" t="str">
        <f>IFERROR(__xludf.DUMMYFUNCTION("""COMPUTED_VALUE"""),"176 West 87th Street 
Apt 7b
New York, NY 10024 ")</f>
        <v>176 West 87th Street 
Apt 7b
New York, NY 10024 </v>
      </c>
      <c r="M115" s="65" t="str">
        <f>IFERROR(__xludf.DUMMYFUNCTION("""COMPUTED_VALUE""")," ")</f>
        <v> </v>
      </c>
      <c r="N115" s="65"/>
    </row>
    <row r="116">
      <c r="A116" s="99" t="str">
        <f>IFERROR(__xludf.DUMMYFUNCTION("""COMPUTED_VALUE"""),"https://utrucking.com/admin/orders/6449000546492")</f>
        <v>https://utrucking.com/admin/orders/6449000546492</v>
      </c>
      <c r="B116" s="61" t="str">
        <f>IFERROR(__xludf.DUMMYFUNCTION("""COMPUTED_VALUE"""),"#18058")</f>
        <v>#18058</v>
      </c>
      <c r="C116" s="61" t="str">
        <f>IFERROR(__xludf.DUMMYFUNCTION("""COMPUTED_VALUE"""),"e.j.tirschwell@wustl.edu")</f>
        <v>e.j.tirschwell@wustl.edu</v>
      </c>
      <c r="D116" s="61">
        <f>IFERROR(__xludf.DUMMYFUNCTION("""COMPUTED_VALUE"""),9.172152585E9)</f>
        <v>9172152585</v>
      </c>
      <c r="E116" s="61" t="str">
        <f>IFERROR(__xludf.DUMMYFUNCTION("""COMPUTED_VALUE"""),"Eleanor Tirschwell")</f>
        <v>Eleanor Tirschwell</v>
      </c>
      <c r="F116" s="61" t="str">
        <f>IFERROR(__xludf.DUMMYFUNCTION("""COMPUTED_VALUE"""),"Ellie Tirschwell")</f>
        <v>Ellie Tirschwell</v>
      </c>
      <c r="G116" s="61" t="str">
        <f>IFERROR(__xludf.DUMMYFUNCTION("""COMPUTED_VALUE""")," 3   - ")</f>
        <v> 3   - </v>
      </c>
      <c r="H116" s="61"/>
      <c r="I116" s="61"/>
      <c r="J116" s="107" t="str">
        <f>IFERROR(__xludf.DUMMYFUNCTION("""COMPUTED_VALUE"""),"01:00 PM to 03:00 PM  ")</f>
        <v>01:00 PM to 03:00 PM  </v>
      </c>
      <c r="K116" s="100">
        <f>IFERROR(__xludf.DUMMYFUNCTION("""COMPUTED_VALUE"""),46155.0)</f>
        <v>46155</v>
      </c>
      <c r="L116" s="61" t="str">
        <f>IFERROR(__xludf.DUMMYFUNCTION("""COMPUTED_VALUE"""),"125 East 84th Street
New York, NY 10028 ")</f>
        <v>125 East 84th Street
New York, NY 10028 </v>
      </c>
      <c r="M116" s="61" t="str">
        <f>IFERROR(__xludf.DUMMYFUNCTION("""COMPUTED_VALUE""")," ")</f>
        <v> </v>
      </c>
      <c r="N116" s="61" t="str">
        <f>IFERROR(__xludf.DUMMYFUNCTION("""COMPUTED_VALUE"""),"6843 Kingsbury Blvd, University City, MO 63130 2W")</f>
        <v>6843 Kingsbury Blvd, University City, MO 63130 2W</v>
      </c>
    </row>
    <row r="117">
      <c r="A117" s="102" t="str">
        <f>IFERROR(__xludf.DUMMYFUNCTION("""COMPUTED_VALUE"""),"https://utrucking.com/admin/orders/6449372135612")</f>
        <v>https://utrucking.com/admin/orders/6449372135612</v>
      </c>
      <c r="B117" s="65" t="str">
        <f>IFERROR(__xludf.DUMMYFUNCTION("""COMPUTED_VALUE"""),"#18073")</f>
        <v>#18073</v>
      </c>
      <c r="C117" s="65" t="str">
        <f>IFERROR(__xludf.DUMMYFUNCTION("""COMPUTED_VALUE"""),"n.r.shakir@wustl.edu")</f>
        <v>n.r.shakir@wustl.edu</v>
      </c>
      <c r="D117" s="65">
        <f>IFERROR(__xludf.DUMMYFUNCTION("""COMPUTED_VALUE"""),6.466479402E9)</f>
        <v>6466479402</v>
      </c>
      <c r="E117" s="65" t="str">
        <f>IFERROR(__xludf.DUMMYFUNCTION("""COMPUTED_VALUE"""),"Najee Shakir")</f>
        <v>Najee Shakir</v>
      </c>
      <c r="F117" s="65" t="str">
        <f>IFERROR(__xludf.DUMMYFUNCTION("""COMPUTED_VALUE"""),"Najee Shakir")</f>
        <v>Najee Shakir</v>
      </c>
      <c r="G117" s="65" t="str">
        <f>IFERROR(__xludf.DUMMYFUNCTION("""COMPUTED_VALUE""")," 2   - ")</f>
        <v> 2   - </v>
      </c>
      <c r="H117" s="65" t="str">
        <f>IFERROR(__xludf.DUMMYFUNCTION("""COMPUTED_VALUE"""),"Village House  ")</f>
        <v>Village House  </v>
      </c>
      <c r="I117" s="65" t="str">
        <f>IFERROR(__xludf.DUMMYFUNCTION("""COMPUTED_VALUE"""),"2141")</f>
        <v>2141</v>
      </c>
      <c r="J117" s="108" t="str">
        <f>IFERROR(__xludf.DUMMYFUNCTION("""COMPUTED_VALUE"""),"12:00 PM to 02:00 PM  ")</f>
        <v>12:00 PM to 02:00 PM  </v>
      </c>
      <c r="K117" s="103">
        <f>IFERROR(__xludf.DUMMYFUNCTION("""COMPUTED_VALUE"""),46143.0)</f>
        <v>46143</v>
      </c>
      <c r="L117" s="65" t="str">
        <f>IFERROR(__xludf.DUMMYFUNCTION("""COMPUTED_VALUE"""),"2916 Philip Avenue
New York, NY 10465 ")</f>
        <v>2916 Philip Avenue
New York, NY 10465 </v>
      </c>
      <c r="M117" s="65" t="str">
        <f>IFERROR(__xludf.DUMMYFUNCTION("""COMPUTED_VALUE""")," ")</f>
        <v> </v>
      </c>
      <c r="N117" s="65"/>
    </row>
    <row r="118">
      <c r="A118" s="99" t="str">
        <f>IFERROR(__xludf.DUMMYFUNCTION("""COMPUTED_VALUE"""),"https://utrucking.com/admin/orders/6449898422460")</f>
        <v>https://utrucking.com/admin/orders/6449898422460</v>
      </c>
      <c r="B118" s="61" t="str">
        <f>IFERROR(__xludf.DUMMYFUNCTION("""COMPUTED_VALUE"""),"#18085")</f>
        <v>#18085</v>
      </c>
      <c r="C118" s="61" t="str">
        <f>IFERROR(__xludf.DUMMYFUNCTION("""COMPUTED_VALUE"""),"lewmadeleine@gmail.com")</f>
        <v>lewmadeleine@gmail.com</v>
      </c>
      <c r="D118" s="61">
        <f>IFERROR(__xludf.DUMMYFUNCTION("""COMPUTED_VALUE"""),4.159885221E9)</f>
        <v>4159885221</v>
      </c>
      <c r="E118" s="61" t="str">
        <f>IFERROR(__xludf.DUMMYFUNCTION("""COMPUTED_VALUE"""),"Madeleine Lew")</f>
        <v>Madeleine Lew</v>
      </c>
      <c r="F118" s="61" t="str">
        <f>IFERROR(__xludf.DUMMYFUNCTION("""COMPUTED_VALUE"""),"Madeleine Lew")</f>
        <v>Madeleine Lew</v>
      </c>
      <c r="G118" s="61" t="str">
        <f>IFERROR(__xludf.DUMMYFUNCTION("""COMPUTED_VALUE""")," 1 [Included with Registration]   - ")</f>
        <v> 1 [Included with Registration]   - </v>
      </c>
      <c r="H118" s="61"/>
      <c r="I118" s="61"/>
      <c r="J118" s="107" t="str">
        <f>IFERROR(__xludf.DUMMYFUNCTION("""COMPUTED_VALUE"""),"10:00 AM to 12:00 PM  ")</f>
        <v>10:00 AM to 12:00 PM  </v>
      </c>
      <c r="K118" s="100">
        <f>IFERROR(__xludf.DUMMYFUNCTION("""COMPUTED_VALUE"""),46146.0)</f>
        <v>46146</v>
      </c>
      <c r="L118" s="61" t="str">
        <f>IFERROR(__xludf.DUMMYFUNCTION("""COMPUTED_VALUE"""),"622 4th Ave, San Francisco, CA 94118  ")</f>
        <v>622 4th Ave, San Francisco, CA 94118  </v>
      </c>
      <c r="M118" s="61" t="str">
        <f>IFERROR(__xludf.DUMMYFUNCTION("""COMPUTED_VALUE""")," ")</f>
        <v> </v>
      </c>
      <c r="N118" s="61" t="str">
        <f>IFERROR(__xludf.DUMMYFUNCTION("""COMPUTED_VALUE"""),"605 Leland Ave Saint Louis, MO 63130")</f>
        <v>605 Leland Ave Saint Louis, MO 63130</v>
      </c>
    </row>
    <row r="119">
      <c r="A119" s="102" t="str">
        <f>IFERROR(__xludf.DUMMYFUNCTION("""COMPUTED_VALUE"""),"https://utrucking.com/admin/orders/6450241503420")</f>
        <v>https://utrucking.com/admin/orders/6450241503420</v>
      </c>
      <c r="B119" s="65" t="str">
        <f>IFERROR(__xludf.DUMMYFUNCTION("""COMPUTED_VALUE"""),"#18088")</f>
        <v>#18088</v>
      </c>
      <c r="C119" s="65" t="str">
        <f>IFERROR(__xludf.DUMMYFUNCTION("""COMPUTED_VALUE"""),"alexandra.zelman@gmail.com")</f>
        <v>alexandra.zelman@gmail.com</v>
      </c>
      <c r="D119" s="65" t="str">
        <f>IFERROR(__xludf.DUMMYFUNCTION("""COMPUTED_VALUE"""),"(914) 414-5648")</f>
        <v>(914) 414-5648</v>
      </c>
      <c r="E119" s="65" t="str">
        <f>IFERROR(__xludf.DUMMYFUNCTION("""COMPUTED_VALUE"""),"Alexandra Zelman")</f>
        <v>Alexandra Zelman</v>
      </c>
      <c r="F119" s="65" t="str">
        <f>IFERROR(__xludf.DUMMYFUNCTION("""COMPUTED_VALUE"""),"Alexandra Zelman")</f>
        <v>Alexandra Zelman</v>
      </c>
      <c r="G119" s="65" t="str">
        <f>IFERROR(__xludf.DUMMYFUNCTION("""COMPUTED_VALUE""")," 1 [Included with Registration]   - ")</f>
        <v> 1 [Included with Registration]   - </v>
      </c>
      <c r="H119" s="65"/>
      <c r="I119" s="65"/>
      <c r="J119" s="108" t="str">
        <f>IFERROR(__xludf.DUMMYFUNCTION("""COMPUTED_VALUE"""),"10:00 AM to 12:00 PM  ")</f>
        <v>10:00 AM to 12:00 PM  </v>
      </c>
      <c r="K119" s="103">
        <f>IFERROR(__xludf.DUMMYFUNCTION("""COMPUTED_VALUE"""),46160.0)</f>
        <v>46160</v>
      </c>
      <c r="L119" s="65" t="str">
        <f>IFERROR(__xludf.DUMMYFUNCTION("""COMPUTED_VALUE"""),"4 Hotel Drive White Plains NY 10605 ")</f>
        <v>4 Hotel Drive White Plains NY 10605 </v>
      </c>
      <c r="M119" s="65" t="str">
        <f>IFERROR(__xludf.DUMMYFUNCTION("""COMPUTED_VALUE""")," ")</f>
        <v> </v>
      </c>
      <c r="N119" s="65" t="str">
        <f>IFERROR(__xludf.DUMMYFUNCTION("""COMPUTED_VALUE"""),"6843 Kingsbury Blvd Apartment 1W")</f>
        <v>6843 Kingsbury Blvd Apartment 1W</v>
      </c>
    </row>
    <row r="120">
      <c r="A120" s="99" t="str">
        <f>IFERROR(__xludf.DUMMYFUNCTION("""COMPUTED_VALUE"""),"https://admin.shopify.com/store/utrucking/orders/6450311594172?link_source=search")</f>
        <v>https://admin.shopify.com/store/utrucking/orders/6450311594172?link_source=search</v>
      </c>
      <c r="B120" s="61" t="str">
        <f>IFERROR(__xludf.DUMMYFUNCTION("""COMPUTED_VALUE"""),"#18089")</f>
        <v>#18089</v>
      </c>
      <c r="C120" s="61" t="str">
        <f>IFERROR(__xludf.DUMMYFUNCTION("""COMPUTED_VALUE"""),"jaraslade@gmail.com")</f>
        <v>jaraslade@gmail.com</v>
      </c>
      <c r="D120" s="61" t="str">
        <f>IFERROR(__xludf.DUMMYFUNCTION("""COMPUTED_VALUE"""),"917-900-5487")</f>
        <v>917-900-5487</v>
      </c>
      <c r="E120" s="61" t="str">
        <f>IFERROR(__xludf.DUMMYFUNCTION("""COMPUTED_VALUE"""),"Jara Shapiro")</f>
        <v>Jara Shapiro</v>
      </c>
      <c r="F120" s="61" t="str">
        <f>IFERROR(__xludf.DUMMYFUNCTION("""COMPUTED_VALUE"""),"Charlotte Shapiro")</f>
        <v>Charlotte Shapiro</v>
      </c>
      <c r="G120" s="61" t="str">
        <f>IFERROR(__xludf.DUMMYFUNCTION("""COMPUTED_VALUE""")," 1 [Included with Registration]   - ")</f>
        <v> 1 [Included with Registration]   - </v>
      </c>
      <c r="H120" s="61"/>
      <c r="I120" s="61"/>
      <c r="J120" s="107" t="str">
        <f>IFERROR(__xludf.DUMMYFUNCTION("""COMPUTED_VALUE"""),"10:00 AM to 12:00 PM  ")</f>
        <v>10:00 AM to 12:00 PM  </v>
      </c>
      <c r="K120" s="100">
        <f>IFERROR(__xludf.DUMMYFUNCTION("""COMPUTED_VALUE"""),46147.0)</f>
        <v>46147</v>
      </c>
      <c r="L120" s="61" t="str">
        <f>IFERROR(__xludf.DUMMYFUNCTION("""COMPUTED_VALUE"""),"Charlotte Shapiro 6322 Alcott Road, Bethesda, MD 20817")</f>
        <v>Charlotte Shapiro 6322 Alcott Road, Bethesda, MD 20817</v>
      </c>
      <c r="M120" s="61"/>
      <c r="N120" s="61" t="str">
        <f>IFERROR(__xludf.DUMMYFUNCTION("""COMPUTED_VALUE"""),"7024 Forsyth Blvd, Apt 1E")</f>
        <v>7024 Forsyth Blvd, Apt 1E</v>
      </c>
    </row>
    <row r="121">
      <c r="A121" s="102" t="str">
        <f>IFERROR(__xludf.DUMMYFUNCTION("""COMPUTED_VALUE"""),"https://utrucking.com/admin/orders/6450346655932")</f>
        <v>https://utrucking.com/admin/orders/6450346655932</v>
      </c>
      <c r="B121" s="65" t="str">
        <f>IFERROR(__xludf.DUMMYFUNCTION("""COMPUTED_VALUE"""),"#18090")</f>
        <v>#18090</v>
      </c>
      <c r="C121" s="65" t="str">
        <f>IFERROR(__xludf.DUMMYFUNCTION("""COMPUTED_VALUE"""),"esti.6@me.com")</f>
        <v>esti.6@me.com</v>
      </c>
      <c r="D121" s="65">
        <f>IFERROR(__xludf.DUMMYFUNCTION("""COMPUTED_VALUE"""),8.476916696E9)</f>
        <v>8476916696</v>
      </c>
      <c r="E121" s="65" t="str">
        <f>IFERROR(__xludf.DUMMYFUNCTION("""COMPUTED_VALUE"""),"Estelle Rosenblatt")</f>
        <v>Estelle Rosenblatt</v>
      </c>
      <c r="F121" s="65" t="str">
        <f>IFERROR(__xludf.DUMMYFUNCTION("""COMPUTED_VALUE"""),"Estelle Rosenblatt")</f>
        <v>Estelle Rosenblatt</v>
      </c>
      <c r="G121" s="65" t="str">
        <f>IFERROR(__xludf.DUMMYFUNCTION("""COMPUTED_VALUE""")," 0   - ")</f>
        <v> 0   - </v>
      </c>
      <c r="H121" s="65" t="str">
        <f>IFERROR(__xludf.DUMMYFUNCTION("""COMPUTED_VALUE"""),"Lopata  ")</f>
        <v>Lopata  </v>
      </c>
      <c r="I121" s="65" t="str">
        <f>IFERROR(__xludf.DUMMYFUNCTION("""COMPUTED_VALUE"""),"3022")</f>
        <v>3022</v>
      </c>
      <c r="J121" s="108" t="str">
        <f>IFERROR(__xludf.DUMMYFUNCTION("""COMPUTED_VALUE"""),"11:00 AM to 01:00 PM  ")</f>
        <v>11:00 AM to 01:00 PM  </v>
      </c>
      <c r="K121" s="103">
        <f>IFERROR(__xludf.DUMMYFUNCTION("""COMPUTED_VALUE"""),46146.0)</f>
        <v>46146</v>
      </c>
      <c r="L121" s="65" t="str">
        <f>IFERROR(__xludf.DUMMYFUNCTION("""COMPUTED_VALUE"""),"2248 Egandale Rd ")</f>
        <v>2248 Egandale Rd </v>
      </c>
      <c r="M121" s="65" t="str">
        <f>IFERROR(__xludf.DUMMYFUNCTION("""COMPUTED_VALUE""")," ")</f>
        <v> </v>
      </c>
      <c r="N121" s="65"/>
    </row>
    <row r="122">
      <c r="A122" s="99" t="str">
        <f>IFERROR(__xludf.DUMMYFUNCTION("""COMPUTED_VALUE"""),"https://utrucking.com/admin/orders/6450423464124")</f>
        <v>https://utrucking.com/admin/orders/6450423464124</v>
      </c>
      <c r="B122" s="61" t="str">
        <f>IFERROR(__xludf.DUMMYFUNCTION("""COMPUTED_VALUE"""),"#18093")</f>
        <v>#18093</v>
      </c>
      <c r="C122" s="61" t="str">
        <f>IFERROR(__xludf.DUMMYFUNCTION("""COMPUTED_VALUE"""),"p.a.radke@email.wustl.edu")</f>
        <v>p.a.radke@email.wustl.edu</v>
      </c>
      <c r="D122" s="61">
        <f>IFERROR(__xludf.DUMMYFUNCTION("""COMPUTED_VALUE"""),9.143435957E9)</f>
        <v>9143435957</v>
      </c>
      <c r="E122" s="61" t="str">
        <f>IFERROR(__xludf.DUMMYFUNCTION("""COMPUTED_VALUE"""),"Anne Radke")</f>
        <v>Anne Radke</v>
      </c>
      <c r="F122" s="61" t="str">
        <f>IFERROR(__xludf.DUMMYFUNCTION("""COMPUTED_VALUE"""),"Phoebe Radke")</f>
        <v>Phoebe Radke</v>
      </c>
      <c r="G122" s="61" t="str">
        <f>IFERROR(__xludf.DUMMYFUNCTION("""COMPUTED_VALUE""")," 1 [Included with Registration]   - ")</f>
        <v> 1 [Included with Registration]   - </v>
      </c>
      <c r="H122" s="61"/>
      <c r="I122" s="61"/>
      <c r="J122" s="107" t="str">
        <f>IFERROR(__xludf.DUMMYFUNCTION("""COMPUTED_VALUE"""),"11:00 AM to 01:00 PM  ")</f>
        <v>11:00 AM to 01:00 PM  </v>
      </c>
      <c r="K122" s="100">
        <f>IFERROR(__xludf.DUMMYFUNCTION("""COMPUTED_VALUE"""),46164.0)</f>
        <v>46164</v>
      </c>
      <c r="L122" s="61" t="str">
        <f>IFERROR(__xludf.DUMMYFUNCTION("""COMPUTED_VALUE"""),"1177 Warburton Ave Yonkers NY, 10701 ")</f>
        <v>1177 Warburton Ave Yonkers NY, 10701 </v>
      </c>
      <c r="M122" s="61" t="str">
        <f>IFERROR(__xludf.DUMMYFUNCTION("""COMPUTED_VALUE""")," ")</f>
        <v> </v>
      </c>
      <c r="N122" s="61" t="str">
        <f>IFERROR(__xludf.DUMMYFUNCTION("""COMPUTED_VALUE"""),"6145 Pershing Ave ")</f>
        <v>6145 Pershing Ave </v>
      </c>
    </row>
    <row r="123">
      <c r="A123" s="102" t="str">
        <f>IFERROR(__xludf.DUMMYFUNCTION("""COMPUTED_VALUE"""),"https://utrucking.com/admin/orders/6451128893628")</f>
        <v>https://utrucking.com/admin/orders/6451128893628</v>
      </c>
      <c r="B123" s="65" t="str">
        <f>IFERROR(__xludf.DUMMYFUNCTION("""COMPUTED_VALUE"""),"#18108")</f>
        <v>#18108</v>
      </c>
      <c r="C123" s="65" t="str">
        <f>IFERROR(__xludf.DUMMYFUNCTION("""COMPUTED_VALUE"""),"k.yerin@wustl.edu")</f>
        <v>k.yerin@wustl.edu</v>
      </c>
      <c r="D123" s="65">
        <f>IFERROR(__xludf.DUMMYFUNCTION("""COMPUTED_VALUE"""),3.142367799E9)</f>
        <v>3142367799</v>
      </c>
      <c r="E123" s="65" t="str">
        <f>IFERROR(__xludf.DUMMYFUNCTION("""COMPUTED_VALUE"""),"Yerin Kang")</f>
        <v>Yerin Kang</v>
      </c>
      <c r="F123" s="65" t="str">
        <f>IFERROR(__xludf.DUMMYFUNCTION("""COMPUTED_VALUE"""),"Yerin Kang")</f>
        <v>Yerin Kang</v>
      </c>
      <c r="G123" s="65" t="str">
        <f>IFERROR(__xludf.DUMMYFUNCTION("""COMPUTED_VALUE""")," 1 [Included with Registration]   - ")</f>
        <v> 1 [Included with Registration]   - </v>
      </c>
      <c r="H123" s="65"/>
      <c r="I123" s="65"/>
      <c r="J123" s="108" t="str">
        <f>IFERROR(__xludf.DUMMYFUNCTION("""COMPUTED_VALUE"""),"09:00 AM to 11:00 AM  ")</f>
        <v>09:00 AM to 11:00 AM  </v>
      </c>
      <c r="K123" s="103">
        <f>IFERROR(__xludf.DUMMYFUNCTION("""COMPUTED_VALUE"""),46156.0)</f>
        <v>46156</v>
      </c>
      <c r="L123" s="65" t="str">
        <f>IFERROR(__xludf.DUMMYFUNCTION("""COMPUTED_VALUE"""),"Haven't decided yet (I’m planning to use summer storage until mid-August and have my belongings shipped to my new apartment in New York. I’ll update the shipping address once it’s finalized.) ")</f>
        <v>Haven't decided yet (I’m planning to use summer storage until mid-August and have my belongings shipped to my new apartment in New York. I’ll update the shipping address once it’s finalized.) </v>
      </c>
      <c r="M123" s="65" t="str">
        <f>IFERROR(__xludf.DUMMYFUNCTION("""COMPUTED_VALUE""")," I’m planning to use summer storage until mid-August and have my belongings shipped to my new apartment in New York. I’ll update the shipping address once it’s finalized.")</f>
        <v> I’m planning to use summer storage until mid-August and have my belongings shipped to my new apartment in New York. I’ll update the shipping address once it’s finalized.</v>
      </c>
      <c r="N123" s="65" t="str">
        <f>IFERROR(__xludf.DUMMYFUNCTION("""COMPUTED_VALUE"""),"Apt 203
6105 Delmar Blvd
Saint Louis, MO 63112")</f>
        <v>Apt 203
6105 Delmar Blvd
Saint Louis, MO 63112</v>
      </c>
    </row>
    <row r="124">
      <c r="A124" s="99" t="str">
        <f>IFERROR(__xludf.DUMMYFUNCTION("""COMPUTED_VALUE"""),"https://utrucking.com/admin/orders/6451352567996")</f>
        <v>https://utrucking.com/admin/orders/6451352567996</v>
      </c>
      <c r="B124" s="61" t="str">
        <f>IFERROR(__xludf.DUMMYFUNCTION("""COMPUTED_VALUE"""),"#18120")</f>
        <v>#18120</v>
      </c>
      <c r="C124" s="61" t="str">
        <f>IFERROR(__xludf.DUMMYFUNCTION("""COMPUTED_VALUE"""),"n.e.reyes@wustl.edu")</f>
        <v>n.e.reyes@wustl.edu</v>
      </c>
      <c r="D124" s="61">
        <f>IFERROR(__xludf.DUMMYFUNCTION("""COMPUTED_VALUE"""),6.692335662E9)</f>
        <v>6692335662</v>
      </c>
      <c r="E124" s="61" t="str">
        <f>IFERROR(__xludf.DUMMYFUNCTION("""COMPUTED_VALUE"""),"Nathan Reyes")</f>
        <v>Nathan Reyes</v>
      </c>
      <c r="F124" s="61" t="str">
        <f>IFERROR(__xludf.DUMMYFUNCTION("""COMPUTED_VALUE"""),"Nathan Reyes")</f>
        <v>Nathan Reyes</v>
      </c>
      <c r="G124" s="61" t="str">
        <f>IFERROR(__xludf.DUMMYFUNCTION("""COMPUTED_VALUE""")," 2   - ")</f>
        <v> 2   - </v>
      </c>
      <c r="H124" s="61"/>
      <c r="I124" s="61"/>
      <c r="J124" s="107" t="str">
        <f>IFERROR(__xludf.DUMMYFUNCTION("""COMPUTED_VALUE"""),"01:00 PM to 03:00 PM  ")</f>
        <v>01:00 PM to 03:00 PM  </v>
      </c>
      <c r="K124" s="100">
        <f>IFERROR(__xludf.DUMMYFUNCTION("""COMPUTED_VALUE"""),46153.0)</f>
        <v>46153</v>
      </c>
      <c r="L124" s="61" t="str">
        <f>IFERROR(__xludf.DUMMYFUNCTION("""COMPUTED_VALUE"""),"1225 Frolic Way
San Jose, California 95129 ")</f>
        <v>1225 Frolic Way
San Jose, California 95129 </v>
      </c>
      <c r="M124" s="61" t="str">
        <f>IFERROR(__xludf.DUMMYFUNCTION("""COMPUTED_VALUE""")," ")</f>
        <v> </v>
      </c>
      <c r="N124" s="61" t="str">
        <f>IFERROR(__xludf.DUMMYFUNCTION("""COMPUTED_VALUE"""),"746 Kingsland Avenue
Saint Louis, Missouri 63130")</f>
        <v>746 Kingsland Avenue
Saint Louis, Missouri 63130</v>
      </c>
    </row>
    <row r="125">
      <c r="A125" s="102" t="str">
        <f>IFERROR(__xludf.DUMMYFUNCTION("""COMPUTED_VALUE"""),"https://utrucking.com/admin/orders/6451979452604")</f>
        <v>https://utrucking.com/admin/orders/6451979452604</v>
      </c>
      <c r="B125" s="65" t="str">
        <f>IFERROR(__xludf.DUMMYFUNCTION("""COMPUTED_VALUE"""),"#18128")</f>
        <v>#18128</v>
      </c>
      <c r="C125" s="65" t="str">
        <f>IFERROR(__xludf.DUMMYFUNCTION("""COMPUTED_VALUE"""),"bart@sokols.net")</f>
        <v>bart@sokols.net</v>
      </c>
      <c r="D125" s="65">
        <f>IFERROR(__xludf.DUMMYFUNCTION("""COMPUTED_VALUE"""),9.142073828E9)</f>
        <v>9142073828</v>
      </c>
      <c r="E125" s="65" t="str">
        <f>IFERROR(__xludf.DUMMYFUNCTION("""COMPUTED_VALUE"""),"Noah Sokol")</f>
        <v>Noah Sokol</v>
      </c>
      <c r="F125" s="65" t="str">
        <f>IFERROR(__xludf.DUMMYFUNCTION("""COMPUTED_VALUE"""),"Noah Sokol")</f>
        <v>Noah Sokol</v>
      </c>
      <c r="G125" s="65" t="str">
        <f>IFERROR(__xludf.DUMMYFUNCTION("""COMPUTED_VALUE""")," 1 [Included with Registration]   - ")</f>
        <v> 1 [Included with Registration]   - </v>
      </c>
      <c r="H125" s="65" t="str">
        <f>IFERROR(__xludf.DUMMYFUNCTION("""COMPUTED_VALUE"""),"Danforth  ")</f>
        <v>Danforth  </v>
      </c>
      <c r="I125" s="65" t="str">
        <f>IFERROR(__xludf.DUMMYFUNCTION("""COMPUTED_VALUE"""),"3311")</f>
        <v>3311</v>
      </c>
      <c r="J125" s="108" t="str">
        <f>IFERROR(__xludf.DUMMYFUNCTION("""COMPUTED_VALUE"""),"09:00 AM to 11:00 AM  ")</f>
        <v>09:00 AM to 11:00 AM  </v>
      </c>
      <c r="K125" s="103">
        <f>IFERROR(__xludf.DUMMYFUNCTION("""COMPUTED_VALUE"""),46146.0)</f>
        <v>46146</v>
      </c>
      <c r="L125" s="65" t="str">
        <f>IFERROR(__xludf.DUMMYFUNCTION("""COMPUTED_VALUE"""),"6 Windmill Place
Armonk, NY 10504 ")</f>
        <v>6 Windmill Place
Armonk, NY 10504 </v>
      </c>
      <c r="M125" s="65" t="str">
        <f>IFERROR(__xludf.DUMMYFUNCTION("""COMPUTED_VALUE""")," ")</f>
        <v> </v>
      </c>
      <c r="N125" s="65"/>
    </row>
    <row r="126">
      <c r="A126" s="99" t="str">
        <f>IFERROR(__xludf.DUMMYFUNCTION("""COMPUTED_VALUE"""),"https://utrucking.com/admin/orders/6452596146364")</f>
        <v>https://utrucking.com/admin/orders/6452596146364</v>
      </c>
      <c r="B126" s="61" t="str">
        <f>IFERROR(__xludf.DUMMYFUNCTION("""COMPUTED_VALUE"""),"#18147")</f>
        <v>#18147</v>
      </c>
      <c r="C126" s="61" t="str">
        <f>IFERROR(__xludf.DUMMYFUNCTION("""COMPUTED_VALUE"""),"ianmheft@gmail.com")</f>
        <v>ianmheft@gmail.com</v>
      </c>
      <c r="D126" s="61">
        <f>IFERROR(__xludf.DUMMYFUNCTION("""COMPUTED_VALUE"""),9.179464246E9)</f>
        <v>9179464246</v>
      </c>
      <c r="E126" s="61" t="str">
        <f>IFERROR(__xludf.DUMMYFUNCTION("""COMPUTED_VALUE"""),"Heather Heft")</f>
        <v>Heather Heft</v>
      </c>
      <c r="F126" s="61" t="str">
        <f>IFERROR(__xludf.DUMMYFUNCTION("""COMPUTED_VALUE"""),"Ian Heft")</f>
        <v>Ian Heft</v>
      </c>
      <c r="G126" s="61" t="str">
        <f>IFERROR(__xludf.DUMMYFUNCTION("""COMPUTED_VALUE""")," 1 [Included with Registration]   - ")</f>
        <v> 1 [Included with Registration]   - </v>
      </c>
      <c r="H126" s="61"/>
      <c r="I126" s="61"/>
      <c r="J126" s="107" t="str">
        <f>IFERROR(__xludf.DUMMYFUNCTION("""COMPUTED_VALUE"""),"03:00 PM to 05:00 PM")</f>
        <v>03:00 PM to 05:00 PM</v>
      </c>
      <c r="K126" s="100">
        <f>IFERROR(__xludf.DUMMYFUNCTION("""COMPUTED_VALUE"""),46158.0)</f>
        <v>46158</v>
      </c>
      <c r="L126" s="61" t="str">
        <f>IFERROR(__xludf.DUMMYFUNCTION("""COMPUTED_VALUE"""),"515 East 79th St
Apartment 4D ")</f>
        <v>515 East 79th St
Apartment 4D </v>
      </c>
      <c r="M126" s="61" t="str">
        <f>IFERROR(__xludf.DUMMYFUNCTION("""COMPUTED_VALUE""")," ")</f>
        <v> </v>
      </c>
      <c r="N126" s="61" t="str">
        <f>IFERROR(__xludf.DUMMYFUNCTION("""COMPUTED_VALUE"""),"7323 Forsyth Blvd")</f>
        <v>7323 Forsyth Blvd</v>
      </c>
    </row>
    <row r="127">
      <c r="A127" s="102" t="str">
        <f>IFERROR(__xludf.DUMMYFUNCTION("""COMPUTED_VALUE"""),"https://utrucking.com/admin/orders/6452651098300")</f>
        <v>https://utrucking.com/admin/orders/6452651098300</v>
      </c>
      <c r="B127" s="65" t="str">
        <f>IFERROR(__xludf.DUMMYFUNCTION("""COMPUTED_VALUE"""),"#18149")</f>
        <v>#18149</v>
      </c>
      <c r="C127" s="65" t="str">
        <f>IFERROR(__xludf.DUMMYFUNCTION("""COMPUTED_VALUE"""),"sophies@wustl.edu")</f>
        <v>sophies@wustl.edu</v>
      </c>
      <c r="D127" s="65">
        <f>IFERROR(__xludf.DUMMYFUNCTION("""COMPUTED_VALUE"""),5.163805641E9)</f>
        <v>5163805641</v>
      </c>
      <c r="E127" s="65" t="str">
        <f>IFERROR(__xludf.DUMMYFUNCTION("""COMPUTED_VALUE"""),"Lee Saltzman")</f>
        <v>Lee Saltzman</v>
      </c>
      <c r="F127" s="65" t="str">
        <f>IFERROR(__xludf.DUMMYFUNCTION("""COMPUTED_VALUE"""),"Sophie Saltzman")</f>
        <v>Sophie Saltzman</v>
      </c>
      <c r="G127" s="65" t="str">
        <f>IFERROR(__xludf.DUMMYFUNCTION("""COMPUTED_VALUE""")," 1 [Included with Registration]   - ")</f>
        <v> 1 [Included with Registration]   - </v>
      </c>
      <c r="H127" s="65" t="str">
        <f>IFERROR(__xludf.DUMMYFUNCTION("""COMPUTED_VALUE"""),"Umrath  ")</f>
        <v>Umrath  </v>
      </c>
      <c r="I127" s="65" t="str">
        <f>IFERROR(__xludf.DUMMYFUNCTION("""COMPUTED_VALUE"""),"2203")</f>
        <v>2203</v>
      </c>
      <c r="J127" s="108" t="str">
        <f>IFERROR(__xludf.DUMMYFUNCTION("""COMPUTED_VALUE"""),"10:00 AM to 12:00 PM  ")</f>
        <v>10:00 AM to 12:00 PM  </v>
      </c>
      <c r="K127" s="103">
        <f>IFERROR(__xludf.DUMMYFUNCTION("""COMPUTED_VALUE"""),46147.0)</f>
        <v>46147</v>
      </c>
      <c r="L127" s="65" t="str">
        <f>IFERROR(__xludf.DUMMYFUNCTION("""COMPUTED_VALUE"""),"212 Legend Drive
Sleepy Hollow, NY 10591 ")</f>
        <v>212 Legend Drive
Sleepy Hollow, NY 10591 </v>
      </c>
      <c r="M127" s="65" t="str">
        <f>IFERROR(__xludf.DUMMYFUNCTION("""COMPUTED_VALUE""")," ")</f>
        <v> </v>
      </c>
      <c r="N127" s="65"/>
    </row>
    <row r="128">
      <c r="A128" s="99" t="str">
        <f>IFERROR(__xludf.DUMMYFUNCTION("""COMPUTED_VALUE"""),"https://utrucking.com/admin/orders/6452798259388")</f>
        <v>https://utrucking.com/admin/orders/6452798259388</v>
      </c>
      <c r="B128" s="61" t="str">
        <f>IFERROR(__xludf.DUMMYFUNCTION("""COMPUTED_VALUE"""),"#18155")</f>
        <v>#18155</v>
      </c>
      <c r="C128" s="61" t="str">
        <f>IFERROR(__xludf.DUMMYFUNCTION("""COMPUTED_VALUE"""),"m.m.suarez@wustl.edu")</f>
        <v>m.m.suarez@wustl.edu</v>
      </c>
      <c r="D128" s="61">
        <f>IFERROR(__xludf.DUMMYFUNCTION("""COMPUTED_VALUE"""),4.25599756E9)</f>
        <v>4255997560</v>
      </c>
      <c r="E128" s="61" t="str">
        <f>IFERROR(__xludf.DUMMYFUNCTION("""COMPUTED_VALUE"""),"Megan Suarez")</f>
        <v>Megan Suarez</v>
      </c>
      <c r="F128" s="61" t="str">
        <f>IFERROR(__xludf.DUMMYFUNCTION("""COMPUTED_VALUE"""),"Megan Suarez")</f>
        <v>Megan Suarez</v>
      </c>
      <c r="G128" s="61" t="str">
        <f>IFERROR(__xludf.DUMMYFUNCTION("""COMPUTED_VALUE""")," 1 [Included with Registration]   - ")</f>
        <v> 1 [Included with Registration]   - </v>
      </c>
      <c r="H128" s="61"/>
      <c r="I128" s="61"/>
      <c r="J128" s="107" t="str">
        <f>IFERROR(__xludf.DUMMYFUNCTION("""COMPUTED_VALUE"""),"03:00 PM to 05:00 PM")</f>
        <v>03:00 PM to 05:00 PM</v>
      </c>
      <c r="K128" s="100">
        <f>IFERROR(__xludf.DUMMYFUNCTION("""COMPUTED_VALUE"""),46155.0)</f>
        <v>46155</v>
      </c>
      <c r="L128" s="61" t="str">
        <f>IFERROR(__xludf.DUMMYFUNCTION("""COMPUTED_VALUE"""),"6912 220th St. SW, #100, Mountlake Terrace, WA 98043 ")</f>
        <v>6912 220th St. SW, #100, Mountlake Terrace, WA 98043 </v>
      </c>
      <c r="M128" s="61" t="str">
        <f>IFERROR(__xludf.DUMMYFUNCTION("""COMPUTED_VALUE""")," ")</f>
        <v> </v>
      </c>
      <c r="N128" s="61" t="str">
        <f>IFERROR(__xludf.DUMMYFUNCTION("""COMPUTED_VALUE"""),"605 Leland Ave Apt 405, University City, MO 63130")</f>
        <v>605 Leland Ave Apt 405, University City, MO 63130</v>
      </c>
    </row>
    <row r="129">
      <c r="A129" s="102" t="str">
        <f>IFERROR(__xludf.DUMMYFUNCTION("""COMPUTED_VALUE"""),"https://utrucking.com/admin/orders/6452972519612")</f>
        <v>https://utrucking.com/admin/orders/6452972519612</v>
      </c>
      <c r="B129" s="65" t="str">
        <f>IFERROR(__xludf.DUMMYFUNCTION("""COMPUTED_VALUE"""),"#18159")</f>
        <v>#18159</v>
      </c>
      <c r="C129" s="65" t="str">
        <f>IFERROR(__xludf.DUMMYFUNCTION("""COMPUTED_VALUE"""),"mulan.zhang007@gmail.com")</f>
        <v>mulan.zhang007@gmail.com</v>
      </c>
      <c r="D129" s="65">
        <f>IFERROR(__xludf.DUMMYFUNCTION("""COMPUTED_VALUE"""),6.179702248E9)</f>
        <v>6179702248</v>
      </c>
      <c r="E129" s="65" t="str">
        <f>IFERROR(__xludf.DUMMYFUNCTION("""COMPUTED_VALUE"""),"Mulan Zhang")</f>
        <v>Mulan Zhang</v>
      </c>
      <c r="F129" s="65" t="str">
        <f>IFERROR(__xludf.DUMMYFUNCTION("""COMPUTED_VALUE"""),"Mulan Zhang")</f>
        <v>Mulan Zhang</v>
      </c>
      <c r="G129" s="65" t="str">
        <f>IFERROR(__xludf.DUMMYFUNCTION("""COMPUTED_VALUE""")," 1 [Included with Registration]   - ")</f>
        <v> 1 [Included with Registration]   - </v>
      </c>
      <c r="H129" s="65" t="str">
        <f>IFERROR(__xludf.DUMMYFUNCTION("""COMPUTED_VALUE"""),"Danforth  ")</f>
        <v>Danforth  </v>
      </c>
      <c r="I129" s="65" t="str">
        <f>IFERROR(__xludf.DUMMYFUNCTION("""COMPUTED_VALUE"""),"4421")</f>
        <v>4421</v>
      </c>
      <c r="J129" s="108" t="str">
        <f>IFERROR(__xludf.DUMMYFUNCTION("""COMPUTED_VALUE"""),"09:00 AM to 11:00 AM  ")</f>
        <v>09:00 AM to 11:00 AM  </v>
      </c>
      <c r="K129" s="103">
        <f>IFERROR(__xludf.DUMMYFUNCTION("""COMPUTED_VALUE"""),46146.0)</f>
        <v>46146</v>
      </c>
      <c r="L129" s="65" t="str">
        <f>IFERROR(__xludf.DUMMYFUNCTION("""COMPUTED_VALUE"""),"311 Upland Ave
Newton Highlands, Massachusetts 02461 ")</f>
        <v>311 Upland Ave
Newton Highlands, Massachusetts 02461 </v>
      </c>
      <c r="M129" s="65" t="str">
        <f>IFERROR(__xludf.DUMMYFUNCTION("""COMPUTED_VALUE""")," ")</f>
        <v> </v>
      </c>
      <c r="N129" s="65"/>
    </row>
    <row r="130">
      <c r="A130" s="99" t="str">
        <f>IFERROR(__xludf.DUMMYFUNCTION("""COMPUTED_VALUE"""),"https://utrucking.com/admin/orders/6453386641596")</f>
        <v>https://utrucking.com/admin/orders/6453386641596</v>
      </c>
      <c r="B130" s="61" t="str">
        <f>IFERROR(__xludf.DUMMYFUNCTION("""COMPUTED_VALUE"""),"#18166")</f>
        <v>#18166</v>
      </c>
      <c r="C130" s="61" t="str">
        <f>IFERROR(__xludf.DUMMYFUNCTION("""COMPUTED_VALUE"""),"gavinrcohen@gmail.com")</f>
        <v>gavinrcohen@gmail.com</v>
      </c>
      <c r="D130" s="61">
        <f>IFERROR(__xludf.DUMMYFUNCTION("""COMPUTED_VALUE"""),9.179924215E9)</f>
        <v>9179924215</v>
      </c>
      <c r="E130" s="61" t="str">
        <f>IFERROR(__xludf.DUMMYFUNCTION("""COMPUTED_VALUE"""),"Gavin Cohen")</f>
        <v>Gavin Cohen</v>
      </c>
      <c r="F130" s="61" t="str">
        <f>IFERROR(__xludf.DUMMYFUNCTION("""COMPUTED_VALUE"""),"Gavin Cohen")</f>
        <v>Gavin Cohen</v>
      </c>
      <c r="G130" s="61" t="str">
        <f>IFERROR(__xludf.DUMMYFUNCTION("""COMPUTED_VALUE""")," 1 [Included with Registration]   - ")</f>
        <v> 1 [Included with Registration]   - </v>
      </c>
      <c r="H130" s="61"/>
      <c r="I130" s="61"/>
      <c r="J130" s="107" t="str">
        <f>IFERROR(__xludf.DUMMYFUNCTION("""COMPUTED_VALUE"""),"03:00 PM to 05:00 PM")</f>
        <v>03:00 PM to 05:00 PM</v>
      </c>
      <c r="K130" s="100">
        <f>IFERROR(__xludf.DUMMYFUNCTION("""COMPUTED_VALUE"""),46158.0)</f>
        <v>46158</v>
      </c>
      <c r="L130" s="61" t="str">
        <f>IFERROR(__xludf.DUMMYFUNCTION("""COMPUTED_VALUE"""),"238 Arlington Avenue
Providence, RI 02906 ")</f>
        <v>238 Arlington Avenue
Providence, RI 02906 </v>
      </c>
      <c r="M130" s="61" t="str">
        <f>IFERROR(__xludf.DUMMYFUNCTION("""COMPUTED_VALUE""")," Call when dropping off boxes.")</f>
        <v> Call when dropping off boxes.</v>
      </c>
      <c r="N130" s="61" t="str">
        <f>IFERROR(__xludf.DUMMYFUNCTION("""COMPUTED_VALUE"""),"6146 Waterman Blvd, Apt. B
Saint Louis, MO 63112")</f>
        <v>6146 Waterman Blvd, Apt. B
Saint Louis, MO 63112</v>
      </c>
    </row>
    <row r="131">
      <c r="A131" s="102" t="str">
        <f>IFERROR(__xludf.DUMMYFUNCTION("""COMPUTED_VALUE"""),"https://utrucking.com/admin/orders/6453553955004")</f>
        <v>https://utrucking.com/admin/orders/6453553955004</v>
      </c>
      <c r="B131" s="65" t="str">
        <f>IFERROR(__xludf.DUMMYFUNCTION("""COMPUTED_VALUE"""),"#18169")</f>
        <v>#18169</v>
      </c>
      <c r="C131" s="65" t="str">
        <f>IFERROR(__xludf.DUMMYFUNCTION("""COMPUTED_VALUE"""),"jensilbert1@gmail.com")</f>
        <v>jensilbert1@gmail.com</v>
      </c>
      <c r="D131" s="65">
        <f>IFERROR(__xludf.DUMMYFUNCTION("""COMPUTED_VALUE"""),9.178415578E9)</f>
        <v>9178415578</v>
      </c>
      <c r="E131" s="65" t="str">
        <f>IFERROR(__xludf.DUMMYFUNCTION("""COMPUTED_VALUE"""),"Jennifer Silbert")</f>
        <v>Jennifer Silbert</v>
      </c>
      <c r="F131" s="65" t="str">
        <f>IFERROR(__xludf.DUMMYFUNCTION("""COMPUTED_VALUE"""),"Sabrina Silbert")</f>
        <v>Sabrina Silbert</v>
      </c>
      <c r="G131" s="65" t="str">
        <f>IFERROR(__xludf.DUMMYFUNCTION("""COMPUTED_VALUE""")," 1 [Included with Registration]   - ")</f>
        <v> 1 [Included with Registration]   - </v>
      </c>
      <c r="H131" s="65" t="str">
        <f>IFERROR(__xludf.DUMMYFUNCTION("""COMPUTED_VALUE"""),"Lopata  ")</f>
        <v>Lopata  </v>
      </c>
      <c r="I131" s="65" t="str">
        <f>IFERROR(__xludf.DUMMYFUNCTION("""COMPUTED_VALUE"""),"3052a")</f>
        <v>3052a</v>
      </c>
      <c r="J131" s="108" t="str">
        <f>IFERROR(__xludf.DUMMYFUNCTION("""COMPUTED_VALUE"""),"09:00 AM to 11:00 AM  ")</f>
        <v>09:00 AM to 11:00 AM  </v>
      </c>
      <c r="K131" s="103">
        <f>IFERROR(__xludf.DUMMYFUNCTION("""COMPUTED_VALUE"""),46148.0)</f>
        <v>46148</v>
      </c>
      <c r="L131" s="65" t="str">
        <f>IFERROR(__xludf.DUMMYFUNCTION("""COMPUTED_VALUE"""),"Sabrina Silbert 
200 West End Ave Apt 9G
New York NY 
10023 ")</f>
        <v>Sabrina Silbert 
200 West End Ave Apt 9G
New York NY 
10023 </v>
      </c>
      <c r="M131" s="65" t="str">
        <f>IFERROR(__xludf.DUMMYFUNCTION("""COMPUTED_VALUE""")," Leaving for airport on 5/6 at 12 I have an order for both storage and ship")</f>
        <v> Leaving for airport on 5/6 at 12 I have an order for both storage and ship</v>
      </c>
      <c r="N131" s="65"/>
    </row>
    <row r="132">
      <c r="A132" s="99" t="str">
        <f>IFERROR(__xludf.DUMMYFUNCTION("""COMPUTED_VALUE"""),"https://utrucking.com/admin/orders/6453630468284")</f>
        <v>https://utrucking.com/admin/orders/6453630468284</v>
      </c>
      <c r="B132" s="61" t="str">
        <f>IFERROR(__xludf.DUMMYFUNCTION("""COMPUTED_VALUE"""),"#18171")</f>
        <v>#18171</v>
      </c>
      <c r="C132" s="61" t="str">
        <f>IFERROR(__xludf.DUMMYFUNCTION("""COMPUTED_VALUE"""),"m.yuhua@wustl.edu")</f>
        <v>m.yuhua@wustl.edu</v>
      </c>
      <c r="D132" s="61">
        <f>IFERROR(__xludf.DUMMYFUNCTION("""COMPUTED_VALUE"""),3.14766374E9)</f>
        <v>3147663740</v>
      </c>
      <c r="E132" s="61" t="str">
        <f>IFERROR(__xludf.DUMMYFUNCTION("""COMPUTED_VALUE"""),"Lavender Miao")</f>
        <v>Lavender Miao</v>
      </c>
      <c r="F132" s="61" t="str">
        <f>IFERROR(__xludf.DUMMYFUNCTION("""COMPUTED_VALUE"""),"Lavender Miao")</f>
        <v>Lavender Miao</v>
      </c>
      <c r="G132" s="61" t="str">
        <f>IFERROR(__xludf.DUMMYFUNCTION("""COMPUTED_VALUE""")," 1 [Included with Registration]   - ")</f>
        <v> 1 [Included with Registration]   - </v>
      </c>
      <c r="H132" s="61" t="str">
        <f>IFERROR(__xludf.DUMMYFUNCTION("""COMPUTED_VALUE"""),"Beaumont  ")</f>
        <v>Beaumont  </v>
      </c>
      <c r="I132" s="61" t="str">
        <f>IFERROR(__xludf.DUMMYFUNCTION("""COMPUTED_VALUE"""),"306")</f>
        <v>306</v>
      </c>
      <c r="J132" s="107" t="str">
        <f>IFERROR(__xludf.DUMMYFUNCTION("""COMPUTED_VALUE"""),"10:00 AM to 12:00 PM  ")</f>
        <v>10:00 AM to 12:00 PM  </v>
      </c>
      <c r="K132" s="100">
        <f>IFERROR(__xludf.DUMMYFUNCTION("""COMPUTED_VALUE"""),46147.0)</f>
        <v>46147</v>
      </c>
      <c r="L132" s="61" t="str">
        <f>IFERROR(__xludf.DUMMYFUNCTION("""COMPUTED_VALUE"""),"5535 delmar blvd，apt322, 63112 ")</f>
        <v>5535 delmar blvd，apt322, 63112 </v>
      </c>
      <c r="M132" s="61" t="str">
        <f>IFERROR(__xludf.DUMMYFUNCTION("""COMPUTED_VALUE""")," ")</f>
        <v> </v>
      </c>
      <c r="N132" s="61"/>
    </row>
    <row r="133">
      <c r="A133" s="102" t="str">
        <f>IFERROR(__xludf.DUMMYFUNCTION("""COMPUTED_VALUE"""),"https://utrucking.com/admin/orders/6454126477500")</f>
        <v>https://utrucking.com/admin/orders/6454126477500</v>
      </c>
      <c r="B133" s="65" t="str">
        <f>IFERROR(__xludf.DUMMYFUNCTION("""COMPUTED_VALUE"""),"#18181")</f>
        <v>#18181</v>
      </c>
      <c r="C133" s="65" t="str">
        <f>IFERROR(__xludf.DUMMYFUNCTION("""COMPUTED_VALUE"""),"starkey@wustl.edu")</f>
        <v>starkey@wustl.edu</v>
      </c>
      <c r="D133" s="65">
        <f>IFERROR(__xludf.DUMMYFUNCTION("""COMPUTED_VALUE"""),9.143625681E9)</f>
        <v>9143625681</v>
      </c>
      <c r="E133" s="65" t="str">
        <f>IFERROR(__xludf.DUMMYFUNCTION("""COMPUTED_VALUE"""),"Sydney Starkey")</f>
        <v>Sydney Starkey</v>
      </c>
      <c r="F133" s="65" t="str">
        <f>IFERROR(__xludf.DUMMYFUNCTION("""COMPUTED_VALUE"""),"Sydney Starkey")</f>
        <v>Sydney Starkey</v>
      </c>
      <c r="G133" s="65" t="str">
        <f>IFERROR(__xludf.DUMMYFUNCTION("""COMPUTED_VALUE""")," 2   - ")</f>
        <v> 2   - </v>
      </c>
      <c r="H133" s="65" t="str">
        <f>IFERROR(__xludf.DUMMYFUNCTION("""COMPUTED_VALUE"""),"Rutledge  ")</f>
        <v>Rutledge  </v>
      </c>
      <c r="I133" s="65" t="str">
        <f>IFERROR(__xludf.DUMMYFUNCTION("""COMPUTED_VALUE"""),"12")</f>
        <v>12</v>
      </c>
      <c r="J133" s="108" t="str">
        <f>IFERROR(__xludf.DUMMYFUNCTION("""COMPUTED_VALUE"""),"09:00 AM to 11:00 AM  ")</f>
        <v>09:00 AM to 11:00 AM  </v>
      </c>
      <c r="K133" s="103">
        <f>IFERROR(__xludf.DUMMYFUNCTION("""COMPUTED_VALUE"""),46147.0)</f>
        <v>46147</v>
      </c>
      <c r="L133" s="65" t="str">
        <f>IFERROR(__xludf.DUMMYFUNCTION("""COMPUTED_VALUE"""),"199 Webber Ave, Sleepy Hollow, NY 10591 ")</f>
        <v>199 Webber Ave, Sleepy Hollow, NY 10591 </v>
      </c>
      <c r="M133" s="65" t="str">
        <f>IFERROR(__xludf.DUMMYFUNCTION("""COMPUTED_VALUE""")," ")</f>
        <v> </v>
      </c>
      <c r="N133" s="65"/>
    </row>
    <row r="134">
      <c r="A134" s="99" t="str">
        <f>IFERROR(__xludf.DUMMYFUNCTION("""COMPUTED_VALUE"""),"https://utrucking.com/admin/orders/6454624551100")</f>
        <v>https://utrucking.com/admin/orders/6454624551100</v>
      </c>
      <c r="B134" s="61" t="str">
        <f>IFERROR(__xludf.DUMMYFUNCTION("""COMPUTED_VALUE"""),"#18194")</f>
        <v>#18194</v>
      </c>
      <c r="C134" s="61" t="str">
        <f>IFERROR(__xludf.DUMMYFUNCTION("""COMPUTED_VALUE"""),"nicolebriceno@outlook.com")</f>
        <v>nicolebriceno@outlook.com</v>
      </c>
      <c r="D134" s="61" t="str">
        <f>IFERROR(__xludf.DUMMYFUNCTION("""COMPUTED_VALUE"""),"(407) 860-9158")</f>
        <v>(407) 860-9158</v>
      </c>
      <c r="E134" s="61" t="str">
        <f>IFERROR(__xludf.DUMMYFUNCTION("""COMPUTED_VALUE"""),"Carol Diaz")</f>
        <v>Carol Diaz</v>
      </c>
      <c r="F134" s="61" t="str">
        <f>IFERROR(__xludf.DUMMYFUNCTION("""COMPUTED_VALUE"""),"Nicole Briceno")</f>
        <v>Nicole Briceno</v>
      </c>
      <c r="G134" s="61" t="str">
        <f>IFERROR(__xludf.DUMMYFUNCTION("""COMPUTED_VALUE""")," 2   - ")</f>
        <v> 2   - </v>
      </c>
      <c r="H134" s="61" t="str">
        <f>IFERROR(__xludf.DUMMYFUNCTION("""COMPUTED_VALUE"""),"Village East  ")</f>
        <v>Village East  </v>
      </c>
      <c r="I134" s="61" t="str">
        <f>IFERROR(__xludf.DUMMYFUNCTION("""COMPUTED_VALUE"""),"3111-A")</f>
        <v>3111-A</v>
      </c>
      <c r="J134" s="107" t="str">
        <f>IFERROR(__xludf.DUMMYFUNCTION("""COMPUTED_VALUE"""),"11:00 AM to 01:00 PM  ")</f>
        <v>11:00 AM to 01:00 PM  </v>
      </c>
      <c r="K134" s="100">
        <f>IFERROR(__xludf.DUMMYFUNCTION("""COMPUTED_VALUE"""),46161.0)</f>
        <v>46161</v>
      </c>
      <c r="L134" s="61" t="str">
        <f>IFERROR(__xludf.DUMMYFUNCTION("""COMPUTED_VALUE"""),"9612 Piccadilly Sky Way. Orlando FL 32827 ")</f>
        <v>9612 Piccadilly Sky Way. Orlando FL 32827 </v>
      </c>
      <c r="M134" s="61" t="str">
        <f>IFERROR(__xludf.DUMMYFUNCTION("""COMPUTED_VALUE""")," ")</f>
        <v> </v>
      </c>
      <c r="N134" s="61"/>
    </row>
    <row r="135">
      <c r="A135" s="102" t="str">
        <f>IFERROR(__xludf.DUMMYFUNCTION("""COMPUTED_VALUE"""),"https://utrucking.com/admin/orders/6455207264444")</f>
        <v>https://utrucking.com/admin/orders/6455207264444</v>
      </c>
      <c r="B135" s="65" t="str">
        <f>IFERROR(__xludf.DUMMYFUNCTION("""COMPUTED_VALUE"""),"#18205")</f>
        <v>#18205</v>
      </c>
      <c r="C135" s="65" t="str">
        <f>IFERROR(__xludf.DUMMYFUNCTION("""COMPUTED_VALUE"""),"Spencerlincolnmd@gmail.com")</f>
        <v>Spencerlincolnmd@gmail.com</v>
      </c>
      <c r="D135" s="65">
        <f>IFERROR(__xludf.DUMMYFUNCTION("""COMPUTED_VALUE"""),6.505566773E9)</f>
        <v>6505566773</v>
      </c>
      <c r="E135" s="65" t="str">
        <f>IFERROR(__xludf.DUMMYFUNCTION("""COMPUTED_VALUE"""),"Spencer Morse-deBrier")</f>
        <v>Spencer Morse-deBrier</v>
      </c>
      <c r="F135" s="65" t="str">
        <f>IFERROR(__xludf.DUMMYFUNCTION("""COMPUTED_VALUE"""),"Spencer Morse-deBrier")</f>
        <v>Spencer Morse-deBrier</v>
      </c>
      <c r="G135" s="65" t="str">
        <f>IFERROR(__xludf.DUMMYFUNCTION("""COMPUTED_VALUE""")," 1 [Included with Registration]   - ")</f>
        <v> 1 [Included with Registration]   - </v>
      </c>
      <c r="H135" s="65" t="str">
        <f>IFERROR(__xludf.DUMMYFUNCTION("""COMPUTED_VALUE"""),"Umrath  ")</f>
        <v>Umrath  </v>
      </c>
      <c r="I135" s="65" t="str">
        <f>IFERROR(__xludf.DUMMYFUNCTION("""COMPUTED_VALUE"""),"1228")</f>
        <v>1228</v>
      </c>
      <c r="J135" s="108" t="str">
        <f>IFERROR(__xludf.DUMMYFUNCTION("""COMPUTED_VALUE"""),"10:00 AM to 12:00 PM  ")</f>
        <v>10:00 AM to 12:00 PM  </v>
      </c>
      <c r="K135" s="103">
        <f>IFERROR(__xludf.DUMMYFUNCTION("""COMPUTED_VALUE"""),46149.0)</f>
        <v>46149</v>
      </c>
      <c r="L135" s="65" t="str">
        <f>IFERROR(__xludf.DUMMYFUNCTION("""COMPUTED_VALUE"""),"1881 Carmelita Dr. San Carlos CA.  ")</f>
        <v>1881 Carmelita Dr. San Carlos CA.  </v>
      </c>
      <c r="M135" s="65" t="str">
        <f>IFERROR(__xludf.DUMMYFUNCTION("""COMPUTED_VALUE""")," ")</f>
        <v> </v>
      </c>
      <c r="N135" s="65"/>
    </row>
    <row r="136">
      <c r="A136" s="99" t="str">
        <f>IFERROR(__xludf.DUMMYFUNCTION("""COMPUTED_VALUE"""),"https://utrucking.com/admin/orders/6455539400892")</f>
        <v>https://utrucking.com/admin/orders/6455539400892</v>
      </c>
      <c r="B136" s="61" t="str">
        <f>IFERROR(__xludf.DUMMYFUNCTION("""COMPUTED_VALUE"""),"#18218")</f>
        <v>#18218</v>
      </c>
      <c r="C136" s="61" t="str">
        <f>IFERROR(__xludf.DUMMYFUNCTION("""COMPUTED_VALUE"""),"l.maddy@wustl.edu")</f>
        <v>l.maddy@wustl.edu</v>
      </c>
      <c r="D136" s="61">
        <f>IFERROR(__xludf.DUMMYFUNCTION("""COMPUTED_VALUE"""),2.035541142E9)</f>
        <v>2035541142</v>
      </c>
      <c r="E136" s="61" t="str">
        <f>IFERROR(__xludf.DUMMYFUNCTION("""COMPUTED_VALUE"""),"Maddy Lee")</f>
        <v>Maddy Lee</v>
      </c>
      <c r="F136" s="61" t="str">
        <f>IFERROR(__xludf.DUMMYFUNCTION("""COMPUTED_VALUE"""),"Maddy Lee")</f>
        <v>Maddy Lee</v>
      </c>
      <c r="G136" s="61" t="str">
        <f>IFERROR(__xludf.DUMMYFUNCTION("""COMPUTED_VALUE""")," 1 [Included with Registration]   - ")</f>
        <v> 1 [Included with Registration]   - </v>
      </c>
      <c r="H136" s="61" t="str">
        <f>IFERROR(__xludf.DUMMYFUNCTION("""COMPUTED_VALUE"""),"Nemerov  ")</f>
        <v>Nemerov  </v>
      </c>
      <c r="I136" s="61" t="str">
        <f>IFERROR(__xludf.DUMMYFUNCTION("""COMPUTED_VALUE"""),"4061")</f>
        <v>4061</v>
      </c>
      <c r="J136" s="107" t="str">
        <f>IFERROR(__xludf.DUMMYFUNCTION("""COMPUTED_VALUE"""),"01:00 PM to 03:00 PM  ")</f>
        <v>01:00 PM to 03:00 PM  </v>
      </c>
      <c r="K136" s="100">
        <f>IFERROR(__xludf.DUMMYFUNCTION("""COMPUTED_VALUE"""),46149.0)</f>
        <v>46149</v>
      </c>
      <c r="L136" s="61" t="str">
        <f>IFERROR(__xludf.DUMMYFUNCTION("""COMPUTED_VALUE"""),"36 Andrews Farm Road, Greenwich, CT 06831 ")</f>
        <v>36 Andrews Farm Road, Greenwich, CT 06831 </v>
      </c>
      <c r="M136" s="61" t="str">
        <f>IFERROR(__xludf.DUMMYFUNCTION("""COMPUTED_VALUE""")," ")</f>
        <v> </v>
      </c>
      <c r="N136" s="61"/>
    </row>
    <row r="137">
      <c r="A137" s="102" t="str">
        <f>IFERROR(__xludf.DUMMYFUNCTION("""COMPUTED_VALUE"""),"https://utrucking.com/admin/orders/6456156258492")</f>
        <v>https://utrucking.com/admin/orders/6456156258492</v>
      </c>
      <c r="B137" s="65" t="str">
        <f>IFERROR(__xludf.DUMMYFUNCTION("""COMPUTED_VALUE"""),"#18235")</f>
        <v>#18235</v>
      </c>
      <c r="C137" s="65" t="str">
        <f>IFERROR(__xludf.DUMMYFUNCTION("""COMPUTED_VALUE"""),"danishipon@gmail.com")</f>
        <v>danishipon@gmail.com</v>
      </c>
      <c r="D137" s="65">
        <f>IFERROR(__xludf.DUMMYFUNCTION("""COMPUTED_VALUE"""),2.674087229E9)</f>
        <v>2674087229</v>
      </c>
      <c r="E137" s="65" t="str">
        <f>IFERROR(__xludf.DUMMYFUNCTION("""COMPUTED_VALUE"""),"Dani Shipon")</f>
        <v>Dani Shipon</v>
      </c>
      <c r="F137" s="65" t="str">
        <f>IFERROR(__xludf.DUMMYFUNCTION("""COMPUTED_VALUE"""),"Dani Shipon")</f>
        <v>Dani Shipon</v>
      </c>
      <c r="G137" s="65" t="str">
        <f>IFERROR(__xludf.DUMMYFUNCTION("""COMPUTED_VALUE""")," 1 [Included with Registration]   - ")</f>
        <v> 1 [Included with Registration]   - </v>
      </c>
      <c r="H137" s="65"/>
      <c r="I137" s="65"/>
      <c r="J137" s="108" t="str">
        <f>IFERROR(__xludf.DUMMYFUNCTION("""COMPUTED_VALUE"""),"03:00 PM to 05:00 PM")</f>
        <v>03:00 PM to 05:00 PM</v>
      </c>
      <c r="K137" s="103">
        <f>IFERROR(__xludf.DUMMYFUNCTION("""COMPUTED_VALUE"""),46150.0)</f>
        <v>46150</v>
      </c>
      <c r="L137" s="65" t="str">
        <f>IFERROR(__xludf.DUMMYFUNCTION("""COMPUTED_VALUE"""),"237 south 18th street apt 15d 
philadelphia PA 19103 ")</f>
        <v>237 south 18th street apt 15d 
philadelphia PA 19103 </v>
      </c>
      <c r="M137" s="65" t="str">
        <f>IFERROR(__xludf.DUMMYFUNCTION("""COMPUTED_VALUE""")," ")</f>
        <v> </v>
      </c>
      <c r="N137" s="65" t="str">
        <f>IFERROR(__xludf.DUMMYFUNCTION("""COMPUTED_VALUE"""),"7035 waterman ave. 
St Louis, MO 63130")</f>
        <v>7035 waterman ave. 
St Louis, MO 63130</v>
      </c>
    </row>
    <row r="138">
      <c r="A138" s="99" t="str">
        <f>IFERROR(__xludf.DUMMYFUNCTION("""COMPUTED_VALUE"""),"https://utrucking.com/admin/orders/6456239390908")</f>
        <v>https://utrucking.com/admin/orders/6456239390908</v>
      </c>
      <c r="B138" s="61" t="str">
        <f>IFERROR(__xludf.DUMMYFUNCTION("""COMPUTED_VALUE"""),"#18238")</f>
        <v>#18238</v>
      </c>
      <c r="C138" s="61" t="str">
        <f>IFERROR(__xludf.DUMMYFUNCTION("""COMPUTED_VALUE"""),"danielhrmz88@gmail.com")</f>
        <v>danielhrmz88@gmail.com</v>
      </c>
      <c r="D138" s="61">
        <f>IFERROR(__xludf.DUMMYFUNCTION("""COMPUTED_VALUE"""),9.729461383E9)</f>
        <v>9729461383</v>
      </c>
      <c r="E138" s="61" t="str">
        <f>IFERROR(__xludf.DUMMYFUNCTION("""COMPUTED_VALUE"""),"Daniel Hernandez")</f>
        <v>Daniel Hernandez</v>
      </c>
      <c r="F138" s="61" t="str">
        <f>IFERROR(__xludf.DUMMYFUNCTION("""COMPUTED_VALUE"""),"Alexa Hernandez ")</f>
        <v>Alexa Hernandez </v>
      </c>
      <c r="G138" s="61" t="str">
        <f>IFERROR(__xludf.DUMMYFUNCTION("""COMPUTED_VALUE""")," 1 [Included with Registration]   - ")</f>
        <v> 1 [Included with Registration]   - </v>
      </c>
      <c r="H138" s="61" t="str">
        <f>IFERROR(__xludf.DUMMYFUNCTION("""COMPUTED_VALUE"""),"Rutledge  ")</f>
        <v>Rutledge  </v>
      </c>
      <c r="I138" s="61" t="str">
        <f>IFERROR(__xludf.DUMMYFUNCTION("""COMPUTED_VALUE"""),"341")</f>
        <v>341</v>
      </c>
      <c r="J138" s="107" t="str">
        <f>IFERROR(__xludf.DUMMYFUNCTION("""COMPUTED_VALUE"""),"09:00 AM to 11:00 AM  ")</f>
        <v>09:00 AM to 11:00 AM  </v>
      </c>
      <c r="K138" s="100">
        <f>IFERROR(__xludf.DUMMYFUNCTION("""COMPUTED_VALUE"""),46148.0)</f>
        <v>46148</v>
      </c>
      <c r="L138" s="61" t="str">
        <f>IFERROR(__xludf.DUMMYFUNCTION("""COMPUTED_VALUE"""),"5129 Vera Cruz Dr, Garland, Texas, 75043 ")</f>
        <v>5129 Vera Cruz Dr, Garland, Texas, 75043 </v>
      </c>
      <c r="M138" s="61" t="str">
        <f>IFERROR(__xludf.DUMMYFUNCTION("""COMPUTED_VALUE""")," ")</f>
        <v> </v>
      </c>
      <c r="N138" s="61"/>
    </row>
    <row r="139">
      <c r="A139" s="102" t="str">
        <f>IFERROR(__xludf.DUMMYFUNCTION("""COMPUTED_VALUE"""),"https://utrucking.com/admin/orders/6456602263740")</f>
        <v>https://utrucking.com/admin/orders/6456602263740</v>
      </c>
      <c r="B139" s="65" t="str">
        <f>IFERROR(__xludf.DUMMYFUNCTION("""COMPUTED_VALUE"""),"#18251")</f>
        <v>#18251</v>
      </c>
      <c r="C139" s="65" t="str">
        <f>IFERROR(__xludf.DUMMYFUNCTION("""COMPUTED_VALUE"""),"emhorvath15@gmail.com")</f>
        <v>emhorvath15@gmail.com</v>
      </c>
      <c r="D139" s="65">
        <f>IFERROR(__xludf.DUMMYFUNCTION("""COMPUTED_VALUE"""),6.467409378E9)</f>
        <v>6467409378</v>
      </c>
      <c r="E139" s="65" t="str">
        <f>IFERROR(__xludf.DUMMYFUNCTION("""COMPUTED_VALUE"""),"Erica Fite")</f>
        <v>Erica Fite</v>
      </c>
      <c r="F139" s="65" t="str">
        <f>IFERROR(__xludf.DUMMYFUNCTION("""COMPUTED_VALUE"""),"Eva Horvath")</f>
        <v>Eva Horvath</v>
      </c>
      <c r="G139" s="65" t="str">
        <f>IFERROR(__xludf.DUMMYFUNCTION("""COMPUTED_VALUE""")," 3   - ")</f>
        <v> 3   - </v>
      </c>
      <c r="H139" s="65"/>
      <c r="I139" s="65"/>
      <c r="J139" s="108" t="str">
        <f>IFERROR(__xludf.DUMMYFUNCTION("""COMPUTED_VALUE"""),"03:00 PM to 05:00 PM")</f>
        <v>03:00 PM to 05:00 PM</v>
      </c>
      <c r="K139" s="103">
        <f>IFERROR(__xludf.DUMMYFUNCTION("""COMPUTED_VALUE"""),46160.0)</f>
        <v>46160</v>
      </c>
      <c r="L139" s="65" t="str">
        <f>IFERROR(__xludf.DUMMYFUNCTION("""COMPUTED_VALUE"""),"116 Sullivan Street New York, NY 10012 ")</f>
        <v>116 Sullivan Street New York, NY 10012 </v>
      </c>
      <c r="M139" s="65" t="str">
        <f>IFERROR(__xludf.DUMMYFUNCTION("""COMPUTED_VALUE""")," ")</f>
        <v> </v>
      </c>
      <c r="N139" s="65" t="str">
        <f>IFERROR(__xludf.DUMMYFUNCTION("""COMPUTED_VALUE"""),"6805 Washington Avenue Apartment 2W
University City, MO 63130")</f>
        <v>6805 Washington Avenue Apartment 2W
University City, MO 63130</v>
      </c>
    </row>
    <row r="140">
      <c r="A140" s="99" t="str">
        <f>IFERROR(__xludf.DUMMYFUNCTION("""COMPUTED_VALUE"""),"https://utrucking.com/admin/orders/6457953616060")</f>
        <v>https://utrucking.com/admin/orders/6457953616060</v>
      </c>
      <c r="B140" s="61" t="str">
        <f>IFERROR(__xludf.DUMMYFUNCTION("""COMPUTED_VALUE"""),"#18279")</f>
        <v>#18279</v>
      </c>
      <c r="C140" s="61" t="str">
        <f>IFERROR(__xludf.DUMMYFUNCTION("""COMPUTED_VALUE"""),"a.kleinhaus@wustl.edu")</f>
        <v>a.kleinhaus@wustl.edu</v>
      </c>
      <c r="D140" s="61">
        <f>IFERROR(__xludf.DUMMYFUNCTION("""COMPUTED_VALUE"""),9.174801265E9)</f>
        <v>9174801265</v>
      </c>
      <c r="E140" s="61" t="str">
        <f>IFERROR(__xludf.DUMMYFUNCTION("""COMPUTED_VALUE"""),"Aviva Kleinhaus")</f>
        <v>Aviva Kleinhaus</v>
      </c>
      <c r="F140" s="61" t="str">
        <f>IFERROR(__xludf.DUMMYFUNCTION("""COMPUTED_VALUE"""),"Aviva Kleinhaus")</f>
        <v>Aviva Kleinhaus</v>
      </c>
      <c r="G140" s="61" t="str">
        <f>IFERROR(__xludf.DUMMYFUNCTION("""COMPUTED_VALUE""")," 0   - ")</f>
        <v> 0   - </v>
      </c>
      <c r="H140" s="61" t="str">
        <f>IFERROR(__xludf.DUMMYFUNCTION("""COMPUTED_VALUE"""),"Danforth  ")</f>
        <v>Danforth  </v>
      </c>
      <c r="I140" s="61" t="str">
        <f>IFERROR(__xludf.DUMMYFUNCTION("""COMPUTED_VALUE"""),"3319")</f>
        <v>3319</v>
      </c>
      <c r="J140" s="107" t="str">
        <f>IFERROR(__xludf.DUMMYFUNCTION("""COMPUTED_VALUE"""),"01:00 PM to 03:00 PM  ")</f>
        <v>01:00 PM to 03:00 PM  </v>
      </c>
      <c r="K140" s="100">
        <f>IFERROR(__xludf.DUMMYFUNCTION("""COMPUTED_VALUE"""),46149.0)</f>
        <v>46149</v>
      </c>
      <c r="L140" s="61" t="str">
        <f>IFERROR(__xludf.DUMMYFUNCTION("""COMPUTED_VALUE"""),"201 Dorchester Road Scarsdale NY 10583 ")</f>
        <v>201 Dorchester Road Scarsdale NY 10583 </v>
      </c>
      <c r="M140" s="61" t="str">
        <f>IFERROR(__xludf.DUMMYFUNCTION("""COMPUTED_VALUE""")," ")</f>
        <v> </v>
      </c>
      <c r="N140" s="61"/>
    </row>
    <row r="141">
      <c r="A141" s="102" t="str">
        <f>IFERROR(__xludf.DUMMYFUNCTION("""COMPUTED_VALUE"""),"https://utrucking.com/admin/orders/6458766065852")</f>
        <v>https://utrucking.com/admin/orders/6458766065852</v>
      </c>
      <c r="B141" s="65" t="str">
        <f>IFERROR(__xludf.DUMMYFUNCTION("""COMPUTED_VALUE"""),"#18295")</f>
        <v>#18295</v>
      </c>
      <c r="C141" s="65" t="str">
        <f>IFERROR(__xludf.DUMMYFUNCTION("""COMPUTED_VALUE"""),"cdillon@wustl.edu")</f>
        <v>cdillon@wustl.edu</v>
      </c>
      <c r="D141" s="65">
        <f>IFERROR(__xludf.DUMMYFUNCTION("""COMPUTED_VALUE"""),9.174146443E9)</f>
        <v>9174146443</v>
      </c>
      <c r="E141" s="65" t="str">
        <f>IFERROR(__xludf.DUMMYFUNCTION("""COMPUTED_VALUE"""),"Dillon Corsair")</f>
        <v>Dillon Corsair</v>
      </c>
      <c r="F141" s="65" t="str">
        <f>IFERROR(__xludf.DUMMYFUNCTION("""COMPUTED_VALUE"""),"Dillon Corsair")</f>
        <v>Dillon Corsair</v>
      </c>
      <c r="G141" s="65" t="str">
        <f>IFERROR(__xludf.DUMMYFUNCTION("""COMPUTED_VALUE""")," 1 [Included with Registration]   - ")</f>
        <v> 1 [Included with Registration]   - </v>
      </c>
      <c r="H141" s="65"/>
      <c r="I141" s="65"/>
      <c r="J141" s="108" t="str">
        <f>IFERROR(__xludf.DUMMYFUNCTION("""COMPUTED_VALUE"""),"11:00 AM to 01:00 PM  ")</f>
        <v>11:00 AM to 01:00 PM  </v>
      </c>
      <c r="K141" s="103">
        <f>IFERROR(__xludf.DUMMYFUNCTION("""COMPUTED_VALUE"""),46161.0)</f>
        <v>46161</v>
      </c>
      <c r="L141" s="65" t="str">
        <f>IFERROR(__xludf.DUMMYFUNCTION("""COMPUTED_VALUE"""),"92 Woodland Street Tenafly NJ 07670 ")</f>
        <v>92 Woodland Street Tenafly NJ 07670 </v>
      </c>
      <c r="M141" s="65" t="str">
        <f>IFERROR(__xludf.DUMMYFUNCTION("""COMPUTED_VALUE""")," ")</f>
        <v> </v>
      </c>
      <c r="N141" s="65" t="str">
        <f>IFERROR(__xludf.DUMMYFUNCTION("""COMPUTED_VALUE"""),"6127 Waterman BLVD St Louis")</f>
        <v>6127 Waterman BLVD St Louis</v>
      </c>
    </row>
    <row r="142">
      <c r="A142" s="99" t="str">
        <f>IFERROR(__xludf.DUMMYFUNCTION("""COMPUTED_VALUE"""),"https://utrucking.com/admin/orders/6458910736572")</f>
        <v>https://utrucking.com/admin/orders/6458910736572</v>
      </c>
      <c r="B142" s="61" t="str">
        <f>IFERROR(__xludf.DUMMYFUNCTION("""COMPUTED_VALUE"""),"#18299")</f>
        <v>#18299</v>
      </c>
      <c r="C142" s="61" t="str">
        <f>IFERROR(__xludf.DUMMYFUNCTION("""COMPUTED_VALUE"""),"gloigman@gmail.com")</f>
        <v>gloigman@gmail.com</v>
      </c>
      <c r="D142" s="61">
        <f>IFERROR(__xludf.DUMMYFUNCTION("""COMPUTED_VALUE"""),9.172444789E9)</f>
        <v>9172444789</v>
      </c>
      <c r="E142" s="61" t="str">
        <f>IFERROR(__xludf.DUMMYFUNCTION("""COMPUTED_VALUE"""),"Georgie Loigman")</f>
        <v>Georgie Loigman</v>
      </c>
      <c r="F142" s="61" t="str">
        <f>IFERROR(__xludf.DUMMYFUNCTION("""COMPUTED_VALUE"""),"Georgia Loigman")</f>
        <v>Georgia Loigman</v>
      </c>
      <c r="G142" s="61" t="str">
        <f>IFERROR(__xludf.DUMMYFUNCTION("""COMPUTED_VALUE""")," 1 [Included with Registration]   - ")</f>
        <v> 1 [Included with Registration]   - </v>
      </c>
      <c r="H142" s="61" t="str">
        <f>IFERROR(__xludf.DUMMYFUNCTION("""COMPUTED_VALUE"""),"Lopata  ")</f>
        <v>Lopata  </v>
      </c>
      <c r="I142" s="61" t="str">
        <f>IFERROR(__xludf.DUMMYFUNCTION("""COMPUTED_VALUE"""),"3031")</f>
        <v>3031</v>
      </c>
      <c r="J142" s="107" t="str">
        <f>IFERROR(__xludf.DUMMYFUNCTION("""COMPUTED_VALUE"""),"09:00 AM to 11:00 AM  ")</f>
        <v>09:00 AM to 11:00 AM  </v>
      </c>
      <c r="K142" s="100">
        <f>IFERROR(__xludf.DUMMYFUNCTION("""COMPUTED_VALUE"""),46156.0)</f>
        <v>46156</v>
      </c>
      <c r="L142" s="61" t="str">
        <f>IFERROR(__xludf.DUMMYFUNCTION("""COMPUTED_VALUE"""),"44 Stuyvesant Avenue Larchmont NY 10538 ")</f>
        <v>44 Stuyvesant Avenue Larchmont NY 10538 </v>
      </c>
      <c r="M142" s="61" t="str">
        <f>IFERROR(__xludf.DUMMYFUNCTION("""COMPUTED_VALUE""")," ")</f>
        <v> </v>
      </c>
      <c r="N142" s="61"/>
    </row>
    <row r="143">
      <c r="A143" s="102" t="str">
        <f>IFERROR(__xludf.DUMMYFUNCTION("""COMPUTED_VALUE"""),"https://utrucking.com/admin/orders/6458970112188")</f>
        <v>https://utrucking.com/admin/orders/6458970112188</v>
      </c>
      <c r="B143" s="65" t="str">
        <f>IFERROR(__xludf.DUMMYFUNCTION("""COMPUTED_VALUE"""),"#18302")</f>
        <v>#18302</v>
      </c>
      <c r="C143" s="65" t="str">
        <f>IFERROR(__xludf.DUMMYFUNCTION("""COMPUTED_VALUE"""),"a.r.baum@wustl.edu")</f>
        <v>a.r.baum@wustl.edu</v>
      </c>
      <c r="D143" s="65" t="str">
        <f>IFERROR(__xludf.DUMMYFUNCTION("""COMPUTED_VALUE"""),"(917) 374-1988")</f>
        <v>(917) 374-1988</v>
      </c>
      <c r="E143" s="65" t="str">
        <f>IFERROR(__xludf.DUMMYFUNCTION("""COMPUTED_VALUE"""),"Anabelle Baum")</f>
        <v>Anabelle Baum</v>
      </c>
      <c r="F143" s="65" t="str">
        <f>IFERROR(__xludf.DUMMYFUNCTION("""COMPUTED_VALUE"""),"Anabelle Baum")</f>
        <v>Anabelle Baum</v>
      </c>
      <c r="G143" s="65" t="str">
        <f>IFERROR(__xludf.DUMMYFUNCTION("""COMPUTED_VALUE""")," 1 [Included with Registration]   - ")</f>
        <v> 1 [Included with Registration]   - </v>
      </c>
      <c r="H143" s="65"/>
      <c r="I143" s="65"/>
      <c r="J143" s="108" t="str">
        <f>IFERROR(__xludf.DUMMYFUNCTION("""COMPUTED_VALUE"""),"12:00 PM to 02:00 PM  ")</f>
        <v>12:00 PM to 02:00 PM  </v>
      </c>
      <c r="K143" s="103">
        <f>IFERROR(__xludf.DUMMYFUNCTION("""COMPUTED_VALUE"""),46159.0)</f>
        <v>46159</v>
      </c>
      <c r="L143" s="65" t="str">
        <f>IFERROR(__xludf.DUMMYFUNCTION("""COMPUTED_VALUE"""),"59 East 89th Street 12AG
NYC,ny 10128 ")</f>
        <v>59 East 89th Street 12AG
NYC,ny 10128 </v>
      </c>
      <c r="M143" s="65" t="str">
        <f>IFERROR(__xludf.DUMMYFUNCTION("""COMPUTED_VALUE""")," ")</f>
        <v> </v>
      </c>
      <c r="N143" s="65" t="str">
        <f>IFERROR(__xludf.DUMMYFUNCTION("""COMPUTED_VALUE"""),"510 Trinity Avenue
St. Louis, MO 63130")</f>
        <v>510 Trinity Avenue
St. Louis, MO 63130</v>
      </c>
    </row>
    <row r="144">
      <c r="A144" s="99" t="str">
        <f>IFERROR(__xludf.DUMMYFUNCTION("""COMPUTED_VALUE"""),"https://utrucking.com/admin/orders/6459359756476")</f>
        <v>https://utrucking.com/admin/orders/6459359756476</v>
      </c>
      <c r="B144" s="61" t="str">
        <f>IFERROR(__xludf.DUMMYFUNCTION("""COMPUTED_VALUE"""),"#18321")</f>
        <v>#18321</v>
      </c>
      <c r="C144" s="61" t="str">
        <f>IFERROR(__xludf.DUMMYFUNCTION("""COMPUTED_VALUE"""),"sonireneis@gmail.com")</f>
        <v>sonireneis@gmail.com</v>
      </c>
      <c r="D144" s="61">
        <f>IFERROR(__xludf.DUMMYFUNCTION("""COMPUTED_VALUE"""),9.499109206E9)</f>
        <v>9499109206</v>
      </c>
      <c r="E144" s="61" t="str">
        <f>IFERROR(__xludf.DUMMYFUNCTION("""COMPUTED_VALUE"""),"Irene Son")</f>
        <v>Irene Son</v>
      </c>
      <c r="F144" s="61" t="str">
        <f>IFERROR(__xludf.DUMMYFUNCTION("""COMPUTED_VALUE"""),"Irene Son")</f>
        <v>Irene Son</v>
      </c>
      <c r="G144" s="61" t="str">
        <f>IFERROR(__xludf.DUMMYFUNCTION("""COMPUTED_VALUE""")," 0   - ")</f>
        <v> 0   - </v>
      </c>
      <c r="H144" s="61" t="str">
        <f>IFERROR(__xludf.DUMMYFUNCTION("""COMPUTED_VALUE"""),"Hurd  ")</f>
        <v>Hurd  </v>
      </c>
      <c r="I144" s="61" t="str">
        <f>IFERROR(__xludf.DUMMYFUNCTION("""COMPUTED_VALUE"""),"142")</f>
        <v>142</v>
      </c>
      <c r="J144" s="107" t="str">
        <f>IFERROR(__xludf.DUMMYFUNCTION("""COMPUTED_VALUE"""),"09:00 AM to 11:00 AM  ")</f>
        <v>09:00 AM to 11:00 AM  </v>
      </c>
      <c r="K144" s="100">
        <f>IFERROR(__xludf.DUMMYFUNCTION("""COMPUTED_VALUE"""),46150.0)</f>
        <v>46150</v>
      </c>
      <c r="L144" s="61" t="str">
        <f>IFERROR(__xludf.DUMMYFUNCTION("""COMPUTED_VALUE"""),"133 Okra, Irvine, CA, 92618 ")</f>
        <v>133 Okra, Irvine, CA, 92618 </v>
      </c>
      <c r="M144" s="61" t="str">
        <f>IFERROR(__xludf.DUMMYFUNCTION("""COMPUTED_VALUE""")," ")</f>
        <v> </v>
      </c>
      <c r="N144" s="61"/>
    </row>
    <row r="145">
      <c r="A145" s="102" t="str">
        <f>IFERROR(__xludf.DUMMYFUNCTION("""COMPUTED_VALUE"""),"https://utrucking.com/admin/orders/6459435253948")</f>
        <v>https://utrucking.com/admin/orders/6459435253948</v>
      </c>
      <c r="B145" s="65" t="str">
        <f>IFERROR(__xludf.DUMMYFUNCTION("""COMPUTED_VALUE"""),"#18324")</f>
        <v>#18324</v>
      </c>
      <c r="C145" s="65" t="str">
        <f>IFERROR(__xludf.DUMMYFUNCTION("""COMPUTED_VALUE"""),"lsackey@wightfoundation.com")</f>
        <v>lsackey@wightfoundation.com</v>
      </c>
      <c r="D145" s="65">
        <f>IFERROR(__xludf.DUMMYFUNCTION("""COMPUTED_VALUE"""),9.085912437E9)</f>
        <v>9085912437</v>
      </c>
      <c r="E145" s="65" t="str">
        <f>IFERROR(__xludf.DUMMYFUNCTION("""COMPUTED_VALUE"""),"Leslie Sackey")</f>
        <v>Leslie Sackey</v>
      </c>
      <c r="F145" s="65" t="str">
        <f>IFERROR(__xludf.DUMMYFUNCTION("""COMPUTED_VALUE"""),"Leslie Sackey")</f>
        <v>Leslie Sackey</v>
      </c>
      <c r="G145" s="65" t="str">
        <f>IFERROR(__xludf.DUMMYFUNCTION("""COMPUTED_VALUE""")," 1 [Included with Registration]   - ")</f>
        <v> 1 [Included with Registration]   - </v>
      </c>
      <c r="H145" s="65" t="str">
        <f>IFERROR(__xludf.DUMMYFUNCTION("""COMPUTED_VALUE"""),"Village House  ")</f>
        <v>Village House  </v>
      </c>
      <c r="I145" s="65" t="str">
        <f>IFERROR(__xludf.DUMMYFUNCTION("""COMPUTED_VALUE"""),"2011")</f>
        <v>2011</v>
      </c>
      <c r="J145" s="108" t="str">
        <f>IFERROR(__xludf.DUMMYFUNCTION("""COMPUTED_VALUE"""),"01:00 PM to 03:00 PM  ")</f>
        <v>01:00 PM to 03:00 PM  </v>
      </c>
      <c r="K145" s="103">
        <f>IFERROR(__xludf.DUMMYFUNCTION("""COMPUTED_VALUE"""),46155.0)</f>
        <v>46155</v>
      </c>
      <c r="L145" s="65" t="str">
        <f>IFERROR(__xludf.DUMMYFUNCTION("""COMPUTED_VALUE"""),"1535 Rose Terrace
Union Township, NJ 07083 ")</f>
        <v>1535 Rose Terrace
Union Township, NJ 07083 </v>
      </c>
      <c r="M145" s="65" t="str">
        <f>IFERROR(__xludf.DUMMYFUNCTION("""COMPUTED_VALUE""")," ")</f>
        <v> </v>
      </c>
      <c r="N145" s="65"/>
    </row>
    <row r="146">
      <c r="A146" s="99" t="str">
        <f>IFERROR(__xludf.DUMMYFUNCTION("""COMPUTED_VALUE"""),"https://utrucking.com/admin/orders/6460198912188")</f>
        <v>https://utrucking.com/admin/orders/6460198912188</v>
      </c>
      <c r="B146" s="61" t="str">
        <f>IFERROR(__xludf.DUMMYFUNCTION("""COMPUTED_VALUE"""),"#18338")</f>
        <v>#18338</v>
      </c>
      <c r="C146" s="61" t="str">
        <f>IFERROR(__xludf.DUMMYFUNCTION("""COMPUTED_VALUE"""),"kipfaison6@gmail.com")</f>
        <v>kipfaison6@gmail.com</v>
      </c>
      <c r="D146" s="61">
        <f>IFERROR(__xludf.DUMMYFUNCTION("""COMPUTED_VALUE"""),2.034825575E9)</f>
        <v>2034825575</v>
      </c>
      <c r="E146" s="61" t="str">
        <f>IFERROR(__xludf.DUMMYFUNCTION("""COMPUTED_VALUE"""),"Kip Faison")</f>
        <v>Kip Faison</v>
      </c>
      <c r="F146" s="61" t="str">
        <f>IFERROR(__xludf.DUMMYFUNCTION("""COMPUTED_VALUE"""),"Kip Faison ")</f>
        <v>Kip Faison </v>
      </c>
      <c r="G146" s="61" t="str">
        <f>IFERROR(__xludf.DUMMYFUNCTION("""COMPUTED_VALUE""")," 1 [Included with Registration]   - ")</f>
        <v> 1 [Included with Registration]   - </v>
      </c>
      <c r="H146" s="61" t="str">
        <f>IFERROR(__xludf.DUMMYFUNCTION("""COMPUTED_VALUE"""),"Millbrook Bldg. 3  ")</f>
        <v>Millbrook Bldg. 3  </v>
      </c>
      <c r="I146" s="61" t="str">
        <f>IFERROR(__xludf.DUMMYFUNCTION("""COMPUTED_VALUE"""),"B-2G")</f>
        <v>B-2G</v>
      </c>
      <c r="J146" s="107" t="str">
        <f>IFERROR(__xludf.DUMMYFUNCTION("""COMPUTED_VALUE"""),"09:00 AM to 11:00 AM  ")</f>
        <v>09:00 AM to 11:00 AM  </v>
      </c>
      <c r="K146" s="100">
        <f>IFERROR(__xludf.DUMMYFUNCTION("""COMPUTED_VALUE"""),46151.0)</f>
        <v>46151</v>
      </c>
      <c r="L146" s="61" t="str">
        <f>IFERROR(__xludf.DUMMYFUNCTION("""COMPUTED_VALUE"""),"32 Revere Road
Washington, CT 06793 ")</f>
        <v>32 Revere Road
Washington, CT 06793 </v>
      </c>
      <c r="M146" s="61" t="str">
        <f>IFERROR(__xludf.DUMMYFUNCTION("""COMPUTED_VALUE""")," ")</f>
        <v> </v>
      </c>
      <c r="N146" s="61"/>
    </row>
    <row r="147">
      <c r="A147" s="102" t="str">
        <f>IFERROR(__xludf.DUMMYFUNCTION("""COMPUTED_VALUE"""),"https://utrucking.com/admin/orders/6460611920060")</f>
        <v>https://utrucking.com/admin/orders/6460611920060</v>
      </c>
      <c r="B147" s="65" t="str">
        <f>IFERROR(__xludf.DUMMYFUNCTION("""COMPUTED_VALUE"""),"#18349")</f>
        <v>#18349</v>
      </c>
      <c r="C147" s="65" t="str">
        <f>IFERROR(__xludf.DUMMYFUNCTION("""COMPUTED_VALUE"""),"jefflynas@gmail.com")</f>
        <v>jefflynas@gmail.com</v>
      </c>
      <c r="D147" s="65">
        <f>IFERROR(__xludf.DUMMYFUNCTION("""COMPUTED_VALUE"""),3.108498258E9)</f>
        <v>3108498258</v>
      </c>
      <c r="E147" s="65" t="str">
        <f>IFERROR(__xludf.DUMMYFUNCTION("""COMPUTED_VALUE"""),"Jeff Lynas")</f>
        <v>Jeff Lynas</v>
      </c>
      <c r="F147" s="65" t="str">
        <f>IFERROR(__xludf.DUMMYFUNCTION("""COMPUTED_VALUE"""),"Olivia Lynas")</f>
        <v>Olivia Lynas</v>
      </c>
      <c r="G147" s="65" t="str">
        <f>IFERROR(__xludf.DUMMYFUNCTION("""COMPUTED_VALUE""")," 0   - ")</f>
        <v> 0   - </v>
      </c>
      <c r="H147" s="65" t="str">
        <f>IFERROR(__xludf.DUMMYFUNCTION("""COMPUTED_VALUE"""),"Koenig  ")</f>
        <v>Koenig  </v>
      </c>
      <c r="I147" s="65" t="str">
        <f>IFERROR(__xludf.DUMMYFUNCTION("""COMPUTED_VALUE"""),"1107")</f>
        <v>1107</v>
      </c>
      <c r="J147" s="108" t="str">
        <f>IFERROR(__xludf.DUMMYFUNCTION("""COMPUTED_VALUE"""),"09:00 AM to 11:00 AM  ")</f>
        <v>09:00 AM to 11:00 AM  </v>
      </c>
      <c r="K147" s="103">
        <f>IFERROR(__xludf.DUMMYFUNCTION("""COMPUTED_VALUE"""),46151.0)</f>
        <v>46151</v>
      </c>
      <c r="L147" s="65" t="str">
        <f>IFERROR(__xludf.DUMMYFUNCTION("""COMPUTED_VALUE"""),"3064 Manning Avenue, Los Angeles CA 90064 ")</f>
        <v>3064 Manning Avenue, Los Angeles CA 90064 </v>
      </c>
      <c r="M147" s="65" t="str">
        <f>IFERROR(__xludf.DUMMYFUNCTION("""COMPUTED_VALUE""")," I have already registered for storage and appliance pickup/return.  Pickup can be anytime from May 7 12pm and later.")</f>
        <v> I have already registered for storage and appliance pickup/return.  Pickup can be anytime from May 7 12pm and later.</v>
      </c>
      <c r="N147" s="65"/>
    </row>
    <row r="148">
      <c r="A148" s="99" t="str">
        <f>IFERROR(__xludf.DUMMYFUNCTION("""COMPUTED_VALUE"""),"https://utrucking.com/admin/orders/6461099344060")</f>
        <v>https://utrucking.com/admin/orders/6461099344060</v>
      </c>
      <c r="B148" s="61" t="str">
        <f>IFERROR(__xludf.DUMMYFUNCTION("""COMPUTED_VALUE"""),"#18355")</f>
        <v>#18355</v>
      </c>
      <c r="C148" s="61" t="str">
        <f>IFERROR(__xludf.DUMMYFUNCTION("""COMPUTED_VALUE"""),"laura@bitethismedia.com")</f>
        <v>laura@bitethismedia.com</v>
      </c>
      <c r="D148" s="61">
        <f>IFERROR(__xludf.DUMMYFUNCTION("""COMPUTED_VALUE"""),7.733391195E9)</f>
        <v>7733391195</v>
      </c>
      <c r="E148" s="61" t="str">
        <f>IFERROR(__xludf.DUMMYFUNCTION("""COMPUTED_VALUE"""),"Laura Yee")</f>
        <v>Laura Yee</v>
      </c>
      <c r="F148" s="61" t="str">
        <f>IFERROR(__xludf.DUMMYFUNCTION("""COMPUTED_VALUE"""),"Ella Tsonton")</f>
        <v>Ella Tsonton</v>
      </c>
      <c r="G148" s="61" t="str">
        <f>IFERROR(__xludf.DUMMYFUNCTION("""COMPUTED_VALUE""")," 1 [Included with Registration]   - ")</f>
        <v> 1 [Included with Registration]   - </v>
      </c>
      <c r="H148" s="61" t="str">
        <f>IFERROR(__xludf.DUMMYFUNCTION("""COMPUTED_VALUE"""),"Loop Loft 6255  ")</f>
        <v>Loop Loft 6255  </v>
      </c>
      <c r="I148" s="61" t="str">
        <f>IFERROR(__xludf.DUMMYFUNCTION("""COMPUTED_VALUE"""),"207A")</f>
        <v>207A</v>
      </c>
      <c r="J148" s="107" t="str">
        <f>IFERROR(__xludf.DUMMYFUNCTION("""COMPUTED_VALUE"""),"12:00 PM to 02:00 PM  ")</f>
        <v>12:00 PM to 02:00 PM  </v>
      </c>
      <c r="K148" s="100">
        <f>IFERROR(__xludf.DUMMYFUNCTION("""COMPUTED_VALUE"""),46158.0)</f>
        <v>46158</v>
      </c>
      <c r="L148" s="61" t="str">
        <f>IFERROR(__xludf.DUMMYFUNCTION("""COMPUTED_VALUE"""),"5916 North Talman Avenue
CHICAGO, IL 60659 ")</f>
        <v>5916 North Talman Avenue
CHICAGO, IL 60659 </v>
      </c>
      <c r="M148" s="61" t="str">
        <f>IFERROR(__xludf.DUMMYFUNCTION("""COMPUTED_VALUE""")," ")</f>
        <v> </v>
      </c>
      <c r="N148" s="61"/>
    </row>
    <row r="149">
      <c r="A149" s="102" t="str">
        <f>IFERROR(__xludf.DUMMYFUNCTION("""COMPUTED_VALUE"""),"https://utrucking.com/admin/orders/6461917888700")</f>
        <v>https://utrucking.com/admin/orders/6461917888700</v>
      </c>
      <c r="B149" s="65" t="str">
        <f>IFERROR(__xludf.DUMMYFUNCTION("""COMPUTED_VALUE"""),"#18361")</f>
        <v>#18361</v>
      </c>
      <c r="C149" s="65" t="str">
        <f>IFERROR(__xludf.DUMMYFUNCTION("""COMPUTED_VALUE"""),"raymondhsin@gmail.com")</f>
        <v>raymondhsin@gmail.com</v>
      </c>
      <c r="D149" s="65">
        <f>IFERROR(__xludf.DUMMYFUNCTION("""COMPUTED_VALUE"""),3.149040326E9)</f>
        <v>3149040326</v>
      </c>
      <c r="E149" s="65" t="str">
        <f>IFERROR(__xludf.DUMMYFUNCTION("""COMPUTED_VALUE"""),"Raymond Hsin")</f>
        <v>Raymond Hsin</v>
      </c>
      <c r="F149" s="65" t="str">
        <f>IFERROR(__xludf.DUMMYFUNCTION("""COMPUTED_VALUE"""),"Raymond Hsin")</f>
        <v>Raymond Hsin</v>
      </c>
      <c r="G149" s="65" t="str">
        <f>IFERROR(__xludf.DUMMYFUNCTION("""COMPUTED_VALUE""")," 1 [Included with Registration]   - ")</f>
        <v> 1 [Included with Registration]   - </v>
      </c>
      <c r="H149" s="65" t="str">
        <f>IFERROR(__xludf.DUMMYFUNCTION("""COMPUTED_VALUE"""),"6627 University Drive  ")</f>
        <v>6627 University Drive  </v>
      </c>
      <c r="I149" s="65" t="str">
        <f>IFERROR(__xludf.DUMMYFUNCTION("""COMPUTED_VALUE"""),"Apt 1E Room B")</f>
        <v>Apt 1E Room B</v>
      </c>
      <c r="J149" s="108" t="str">
        <f>IFERROR(__xludf.DUMMYFUNCTION("""COMPUTED_VALUE"""),"02:00 PM to 04:00 PM")</f>
        <v>02:00 PM to 04:00 PM</v>
      </c>
      <c r="K149" s="103">
        <f>IFERROR(__xludf.DUMMYFUNCTION("""COMPUTED_VALUE"""),46157.0)</f>
        <v>46157</v>
      </c>
      <c r="L149" s="65" t="str">
        <f>IFERROR(__xludf.DUMMYFUNCTION("""COMPUTED_VALUE"""),"1438 3rd Ave, Apt 21C
New York, NY 10028 ")</f>
        <v>1438 3rd Ave, Apt 21C
New York, NY 10028 </v>
      </c>
      <c r="M149" s="65" t="str">
        <f>IFERROR(__xludf.DUMMYFUNCTION("""COMPUTED_VALUE""")," ")</f>
        <v> </v>
      </c>
      <c r="N149" s="65"/>
    </row>
    <row r="150">
      <c r="A150" s="99" t="str">
        <f>IFERROR(__xludf.DUMMYFUNCTION("""COMPUTED_VALUE"""),"https://utrucking.com/admin/orders/6462268670140")</f>
        <v>https://utrucking.com/admin/orders/6462268670140</v>
      </c>
      <c r="B150" s="61" t="str">
        <f>IFERROR(__xludf.DUMMYFUNCTION("""COMPUTED_VALUE"""),"#18363")</f>
        <v>#18363</v>
      </c>
      <c r="C150" s="61" t="str">
        <f>IFERROR(__xludf.DUMMYFUNCTION("""COMPUTED_VALUE"""),"bruce.s@wustl.edu")</f>
        <v>bruce.s@wustl.edu</v>
      </c>
      <c r="D150" s="61">
        <f>IFERROR(__xludf.DUMMYFUNCTION("""COMPUTED_VALUE"""),3.148659086E9)</f>
        <v>3148659086</v>
      </c>
      <c r="E150" s="61" t="str">
        <f>IFERROR(__xludf.DUMMYFUNCTION("""COMPUTED_VALUE"""),"Bruce Shen")</f>
        <v>Bruce Shen</v>
      </c>
      <c r="F150" s="61" t="str">
        <f>IFERROR(__xludf.DUMMYFUNCTION("""COMPUTED_VALUE"""),"Bruce Shen")</f>
        <v>Bruce Shen</v>
      </c>
      <c r="G150" s="61" t="str">
        <f>IFERROR(__xludf.DUMMYFUNCTION("""COMPUTED_VALUE""")," 1 [Included with Registration]   - ")</f>
        <v> 1 [Included with Registration]   - </v>
      </c>
      <c r="H150" s="61"/>
      <c r="I150" s="61"/>
      <c r="J150" s="107" t="str">
        <f>IFERROR(__xludf.DUMMYFUNCTION("""COMPUTED_VALUE"""),"01:00 PM to 03:00 PM  ")</f>
        <v>01:00 PM to 03:00 PM  </v>
      </c>
      <c r="K150" s="100">
        <f>IFERROR(__xludf.DUMMYFUNCTION("""COMPUTED_VALUE"""),46164.0)</f>
        <v>46164</v>
      </c>
      <c r="L150" s="61" t="str">
        <f>IFERROR(__xludf.DUMMYFUNCTION("""COMPUTED_VALUE"""),"Some place at Princeton, NJ ")</f>
        <v>Some place at Princeton, NJ </v>
      </c>
      <c r="M150" s="61" t="str">
        <f>IFERROR(__xludf.DUMMYFUNCTION("""COMPUTED_VALUE""")," The ""Ship To Address"" is not determined yet. It will be determined over the summer and I will update the address. It is roughly near Princeton University, NJ")</f>
        <v> The "Ship To Address" is not determined yet. It will be determined over the summer and I will update the address. It is roughly near Princeton University, NJ</v>
      </c>
      <c r="N150" s="61" t="str">
        <f>IFERROR(__xludf.DUMMYFUNCTION("""COMPUTED_VALUE"""),"725 Kingsland Ave Apt 317")</f>
        <v>725 Kingsland Ave Apt 317</v>
      </c>
    </row>
    <row r="151">
      <c r="A151" s="102" t="str">
        <f>IFERROR(__xludf.DUMMYFUNCTION("""COMPUTED_VALUE"""),"https://utrucking.com/admin/orders/6462309957820")</f>
        <v>https://utrucking.com/admin/orders/6462309957820</v>
      </c>
      <c r="B151" s="65" t="str">
        <f>IFERROR(__xludf.DUMMYFUNCTION("""COMPUTED_VALUE"""),"#18364")</f>
        <v>#18364</v>
      </c>
      <c r="C151" s="65" t="str">
        <f>IFERROR(__xludf.DUMMYFUNCTION("""COMPUTED_VALUE"""),"aspektor4@gmail.com")</f>
        <v>aspektor4@gmail.com</v>
      </c>
      <c r="D151" s="65">
        <f>IFERROR(__xludf.DUMMYFUNCTION("""COMPUTED_VALUE"""),7.326393384E9)</f>
        <v>7326393384</v>
      </c>
      <c r="E151" s="65" t="str">
        <f>IFERROR(__xludf.DUMMYFUNCTION("""COMPUTED_VALUE"""),"Aaron Spektor")</f>
        <v>Aaron Spektor</v>
      </c>
      <c r="F151" s="65" t="str">
        <f>IFERROR(__xludf.DUMMYFUNCTION("""COMPUTED_VALUE"""),"Aaron Spektor")</f>
        <v>Aaron Spektor</v>
      </c>
      <c r="G151" s="65" t="str">
        <f>IFERROR(__xludf.DUMMYFUNCTION("""COMPUTED_VALUE""")," 1 [Included with Registration]   - ")</f>
        <v> 1 [Included with Registration]   - </v>
      </c>
      <c r="H151" s="65"/>
      <c r="I151" s="65"/>
      <c r="J151" s="108" t="str">
        <f>IFERROR(__xludf.DUMMYFUNCTION("""COMPUTED_VALUE"""),"11:00 AM to 01:00 PM  ")</f>
        <v>11:00 AM to 01:00 PM  </v>
      </c>
      <c r="K151" s="103">
        <f>IFERROR(__xludf.DUMMYFUNCTION("""COMPUTED_VALUE"""),46157.0)</f>
        <v>46157</v>
      </c>
      <c r="L151" s="65" t="str">
        <f>IFERROR(__xludf.DUMMYFUNCTION("""COMPUTED_VALUE"""),"17 Evans Ln Lawrence Township, NJ  08648 United States ")</f>
        <v>17 Evans Ln Lawrence Township, NJ  08648 United States </v>
      </c>
      <c r="M151" s="65" t="str">
        <f>IFERROR(__xludf.DUMMYFUNCTION("""COMPUTED_VALUE""")," ")</f>
        <v> </v>
      </c>
      <c r="N151" s="65" t="str">
        <f>IFERROR(__xludf.DUMMYFUNCTION("""COMPUTED_VALUE"""),"6031 Westminster Pl Saint Louis, MO 63112
United States")</f>
        <v>6031 Westminster Pl Saint Louis, MO 63112
United States</v>
      </c>
    </row>
    <row r="152">
      <c r="A152" s="99" t="str">
        <f>IFERROR(__xludf.DUMMYFUNCTION("""COMPUTED_VALUE"""),"https://utrucking.com/admin/orders/6463669534908")</f>
        <v>https://utrucking.com/admin/orders/6463669534908</v>
      </c>
      <c r="B152" s="61" t="str">
        <f>IFERROR(__xludf.DUMMYFUNCTION("""COMPUTED_VALUE"""),"#18370")</f>
        <v>#18370</v>
      </c>
      <c r="C152" s="61" t="str">
        <f>IFERROR(__xludf.DUMMYFUNCTION("""COMPUTED_VALUE"""),"jonahsatyr17@gmail.com")</f>
        <v>jonahsatyr17@gmail.com</v>
      </c>
      <c r="D152" s="61">
        <f>IFERROR(__xludf.DUMMYFUNCTION("""COMPUTED_VALUE"""),2.246198703E9)</f>
        <v>2246198703</v>
      </c>
      <c r="E152" s="61" t="str">
        <f>IFERROR(__xludf.DUMMYFUNCTION("""COMPUTED_VALUE"""),"Jonah Satyr")</f>
        <v>Jonah Satyr</v>
      </c>
      <c r="F152" s="61" t="str">
        <f>IFERROR(__xludf.DUMMYFUNCTION("""COMPUTED_VALUE"""),"Jonah")</f>
        <v>Jonah</v>
      </c>
      <c r="G152" s="61" t="str">
        <f>IFERROR(__xludf.DUMMYFUNCTION("""COMPUTED_VALUE""")," 1 [Included with Registration]   - ")</f>
        <v> 1 [Included with Registration]   - </v>
      </c>
      <c r="H152" s="61"/>
      <c r="I152" s="61"/>
      <c r="J152" s="107" t="str">
        <f>IFERROR(__xludf.DUMMYFUNCTION("""COMPUTED_VALUE"""),"01:00 PM to 03:00 PM  ")</f>
        <v>01:00 PM to 03:00 PM  </v>
      </c>
      <c r="K152" s="100">
        <f>IFERROR(__xludf.DUMMYFUNCTION("""COMPUTED_VALUE"""),46156.0)</f>
        <v>46156</v>
      </c>
      <c r="L152" s="61" t="str">
        <f>IFERROR(__xludf.DUMMYFUNCTION("""COMPUTED_VALUE"""),"665 Brierhill Road
Deerfield, IL 60015 ")</f>
        <v>665 Brierhill Road
Deerfield, IL 60015 </v>
      </c>
      <c r="M152" s="61" t="str">
        <f>IFERROR(__xludf.DUMMYFUNCTION("""COMPUTED_VALUE""")," ")</f>
        <v> </v>
      </c>
      <c r="N152" s="61" t="str">
        <f>IFERROR(__xludf.DUMMYFUNCTION("""COMPUTED_VALUE"""),"6148 Pershing Avenue
St. Louis, MO, 63312")</f>
        <v>6148 Pershing Avenue
St. Louis, MO, 63312</v>
      </c>
    </row>
    <row r="153">
      <c r="A153" s="102" t="str">
        <f>IFERROR(__xludf.DUMMYFUNCTION("""COMPUTED_VALUE"""),"https://utrucking.com/admin/orders/6464038830268")</f>
        <v>https://utrucking.com/admin/orders/6464038830268</v>
      </c>
      <c r="B153" s="65" t="str">
        <f>IFERROR(__xludf.DUMMYFUNCTION("""COMPUTED_VALUE"""),"#18373")</f>
        <v>#18373</v>
      </c>
      <c r="C153" s="65" t="str">
        <f>IFERROR(__xludf.DUMMYFUNCTION("""COMPUTED_VALUE"""),"lizyarroyo123@gmail.com")</f>
        <v>lizyarroyo123@gmail.com</v>
      </c>
      <c r="D153" s="65">
        <f>IFERROR(__xludf.DUMMYFUNCTION("""COMPUTED_VALUE"""),4.04476113E9)</f>
        <v>4044761130</v>
      </c>
      <c r="E153" s="65" t="str">
        <f>IFERROR(__xludf.DUMMYFUNCTION("""COMPUTED_VALUE"""),"Lizette Arroyo")</f>
        <v>Lizette Arroyo</v>
      </c>
      <c r="F153" s="65" t="str">
        <f>IFERROR(__xludf.DUMMYFUNCTION("""COMPUTED_VALUE"""),"Lizette Arroyo")</f>
        <v>Lizette Arroyo</v>
      </c>
      <c r="G153" s="65" t="str">
        <f>IFERROR(__xludf.DUMMYFUNCTION("""COMPUTED_VALUE""")," 1 [Included with Registration]   - ")</f>
        <v> 1 [Included with Registration]   - </v>
      </c>
      <c r="H153" s="65" t="str">
        <f>IFERROR(__xludf.DUMMYFUNCTION("""COMPUTED_VALUE"""),"Greenway Apartments  ")</f>
        <v>Greenway Apartments  </v>
      </c>
      <c r="I153" s="65" t="str">
        <f>IFERROR(__xludf.DUMMYFUNCTION("""COMPUTED_VALUE"""),"102")</f>
        <v>102</v>
      </c>
      <c r="J153" s="108" t="str">
        <f>IFERROR(__xludf.DUMMYFUNCTION("""COMPUTED_VALUE"""),"03:00 PM to 05:00 PM")</f>
        <v>03:00 PM to 05:00 PM</v>
      </c>
      <c r="K153" s="103">
        <f>IFERROR(__xludf.DUMMYFUNCTION("""COMPUTED_VALUE"""),46157.0)</f>
        <v>46157</v>
      </c>
      <c r="L153" s="65" t="str">
        <f>IFERROR(__xludf.DUMMYFUNCTION("""COMPUTED_VALUE"""),"2744 Bent Creek Dr. NW, Kennesaw, GA 30152 ")</f>
        <v>2744 Bent Creek Dr. NW, Kennesaw, GA 30152 </v>
      </c>
      <c r="M153" s="65" t="str">
        <f>IFERROR(__xludf.DUMMYFUNCTION("""COMPUTED_VALUE""")," ")</f>
        <v> </v>
      </c>
      <c r="N153" s="65"/>
    </row>
    <row r="154">
      <c r="A154" s="99" t="str">
        <f>IFERROR(__xludf.DUMMYFUNCTION("""COMPUTED_VALUE"""),"https://utrucking.com/admin/orders/6464553353404")</f>
        <v>https://utrucking.com/admin/orders/6464553353404</v>
      </c>
      <c r="B154" s="61" t="str">
        <f>IFERROR(__xludf.DUMMYFUNCTION("""COMPUTED_VALUE"""),"#18376")</f>
        <v>#18376</v>
      </c>
      <c r="C154" s="61" t="str">
        <f>IFERROR(__xludf.DUMMYFUNCTION("""COMPUTED_VALUE"""),"joychiani@gmail.com")</f>
        <v>joychiani@gmail.com</v>
      </c>
      <c r="D154" s="61">
        <f>IFERROR(__xludf.DUMMYFUNCTION("""COMPUTED_VALUE"""),4.044472446E9)</f>
        <v>4044472446</v>
      </c>
      <c r="E154" s="61" t="str">
        <f>IFERROR(__xludf.DUMMYFUNCTION("""COMPUTED_VALUE"""),"Joy Ani")</f>
        <v>Joy Ani</v>
      </c>
      <c r="F154" s="61" t="str">
        <f>IFERROR(__xludf.DUMMYFUNCTION("""COMPUTED_VALUE"""),"Joy Ani")</f>
        <v>Joy Ani</v>
      </c>
      <c r="G154" s="61" t="str">
        <f>IFERROR(__xludf.DUMMYFUNCTION("""COMPUTED_VALUE""")," 1 [Included with Registration]   - ")</f>
        <v> 1 [Included with Registration]   - </v>
      </c>
      <c r="H154" s="61" t="str">
        <f>IFERROR(__xludf.DUMMYFUNCTION("""COMPUTED_VALUE"""),"Greenway Apartments  ")</f>
        <v>Greenway Apartments  </v>
      </c>
      <c r="I154" s="61" t="str">
        <f>IFERROR(__xludf.DUMMYFUNCTION("""COMPUTED_VALUE"""),"117")</f>
        <v>117</v>
      </c>
      <c r="J154" s="107" t="str">
        <f>IFERROR(__xludf.DUMMYFUNCTION("""COMPUTED_VALUE"""),"12:00 PM to 02:00 PM  ")</f>
        <v>12:00 PM to 02:00 PM  </v>
      </c>
      <c r="K154" s="100">
        <f>IFERROR(__xludf.DUMMYFUNCTION("""COMPUTED_VALUE"""),46158.0)</f>
        <v>46158</v>
      </c>
      <c r="L154" s="61" t="str">
        <f>IFERROR(__xludf.DUMMYFUNCTION("""COMPUTED_VALUE"""),"482 Tallwood Drive, Stone Mountain, GA 30083 ")</f>
        <v>482 Tallwood Drive, Stone Mountain, GA 30083 </v>
      </c>
      <c r="M154" s="61" t="str">
        <f>IFERROR(__xludf.DUMMYFUNCTION("""COMPUTED_VALUE""")," ")</f>
        <v> </v>
      </c>
      <c r="N154" s="61"/>
    </row>
    <row r="155">
      <c r="A155" s="102" t="str">
        <f>IFERROR(__xludf.DUMMYFUNCTION("""COMPUTED_VALUE"""),"https://utrucking.com/admin/orders/6464796590268")</f>
        <v>https://utrucking.com/admin/orders/6464796590268</v>
      </c>
      <c r="B155" s="65" t="str">
        <f>IFERROR(__xludf.DUMMYFUNCTION("""COMPUTED_VALUE"""),"#18378")</f>
        <v>#18378</v>
      </c>
      <c r="C155" s="65" t="str">
        <f>IFERROR(__xludf.DUMMYFUNCTION("""COMPUTED_VALUE"""),"edward.hao4f@gmail.com")</f>
        <v>edward.hao4f@gmail.com</v>
      </c>
      <c r="D155" s="65">
        <f>IFERROR(__xludf.DUMMYFUNCTION("""COMPUTED_VALUE"""),5.125389368E9)</f>
        <v>5125389368</v>
      </c>
      <c r="E155" s="65" t="str">
        <f>IFERROR(__xludf.DUMMYFUNCTION("""COMPUTED_VALUE"""),"Edward Hao")</f>
        <v>Edward Hao</v>
      </c>
      <c r="F155" s="65" t="str">
        <f>IFERROR(__xludf.DUMMYFUNCTION("""COMPUTED_VALUE"""),"Edward")</f>
        <v>Edward</v>
      </c>
      <c r="G155" s="65" t="str">
        <f>IFERROR(__xludf.DUMMYFUNCTION("""COMPUTED_VALUE""")," 0   - ")</f>
        <v> 0   - </v>
      </c>
      <c r="H155" s="65"/>
      <c r="I155" s="65"/>
      <c r="J155" s="108" t="str">
        <f>IFERROR(__xludf.DUMMYFUNCTION("""COMPUTED_VALUE"""),"02:00 PM to 04:00 PM")</f>
        <v>02:00 PM to 04:00 PM</v>
      </c>
      <c r="K155" s="103">
        <f>IFERROR(__xludf.DUMMYFUNCTION("""COMPUTED_VALUE"""),46155.0)</f>
        <v>46155</v>
      </c>
      <c r="L155" s="65" t="str">
        <f>IFERROR(__xludf.DUMMYFUNCTION("""COMPUTED_VALUE"""),"11301 Pebble Garden Lane, Austin, TX, 78739 ")</f>
        <v>11301 Pebble Garden Lane, Austin, TX, 78739 </v>
      </c>
      <c r="M155" s="65" t="str">
        <f>IFERROR(__xludf.DUMMYFUNCTION("""COMPUTED_VALUE""")," ")</f>
        <v> </v>
      </c>
      <c r="N155" s="65" t="str">
        <f>IFERROR(__xludf.DUMMYFUNCTION("""COMPUTED_VALUE"""),"714 Leland Avenue, St. Louis, MO, 63130")</f>
        <v>714 Leland Avenue, St. Louis, MO, 63130</v>
      </c>
    </row>
    <row r="156">
      <c r="A156" s="99" t="str">
        <f>IFERROR(__xludf.DUMMYFUNCTION("""COMPUTED_VALUE"""),"https://utrucking.com/admin/orders/6465943699644")</f>
        <v>https://utrucking.com/admin/orders/6465943699644</v>
      </c>
      <c r="B156" s="61" t="str">
        <f>IFERROR(__xludf.DUMMYFUNCTION("""COMPUTED_VALUE"""),"#18381")</f>
        <v>#18381</v>
      </c>
      <c r="C156" s="61" t="str">
        <f>IFERROR(__xludf.DUMMYFUNCTION("""COMPUTED_VALUE"""),"ustefy506@gmail.com")</f>
        <v>ustefy506@gmail.com</v>
      </c>
      <c r="D156" s="61">
        <f>IFERROR(__xludf.DUMMYFUNCTION("""COMPUTED_VALUE"""),9.177974688E9)</f>
        <v>9177974688</v>
      </c>
      <c r="E156" s="61" t="str">
        <f>IFERROR(__xludf.DUMMYFUNCTION("""COMPUTED_VALUE"""),"Estefania Campos")</f>
        <v>Estefania Campos</v>
      </c>
      <c r="F156" s="61" t="str">
        <f>IFERROR(__xludf.DUMMYFUNCTION("""COMPUTED_VALUE"""),"Stefy Campos")</f>
        <v>Stefy Campos</v>
      </c>
      <c r="G156" s="61" t="str">
        <f>IFERROR(__xludf.DUMMYFUNCTION("""COMPUTED_VALUE""")," 1 [Included with Registration]   - ")</f>
        <v> 1 [Included with Registration]   - </v>
      </c>
      <c r="H156" s="61" t="str">
        <f>IFERROR(__xludf.DUMMYFUNCTION("""COMPUTED_VALUE"""),"6811 University Drive")</f>
        <v>6811 University Drive</v>
      </c>
      <c r="I156" s="61" t="str">
        <f>IFERROR(__xludf.DUMMYFUNCTION("""COMPUTED_VALUE"""),"2E-B")</f>
        <v>2E-B</v>
      </c>
      <c r="J156" s="107" t="str">
        <f>IFERROR(__xludf.DUMMYFUNCTION("""COMPUTED_VALUE"""),"03:00 PM to 05:00 PM")</f>
        <v>03:00 PM to 05:00 PM</v>
      </c>
      <c r="K156" s="100">
        <f>IFERROR(__xludf.DUMMYFUNCTION("""COMPUTED_VALUE"""),46157.0)</f>
        <v>46157</v>
      </c>
      <c r="L156" s="61" t="str">
        <f>IFERROR(__xludf.DUMMYFUNCTION("""COMPUTED_VALUE"""),"250 Island Drive, Key Biscayne, FL  ")</f>
        <v>250 Island Drive, Key Biscayne, FL  </v>
      </c>
      <c r="M156" s="61" t="str">
        <f>IFERROR(__xludf.DUMMYFUNCTION("""COMPUTED_VALUE""")," ")</f>
        <v> </v>
      </c>
      <c r="N156" s="61"/>
    </row>
    <row r="157">
      <c r="A157" s="102" t="str">
        <f>IFERROR(__xludf.DUMMYFUNCTION("""COMPUTED_VALUE"""),"https://admin.shopify.com/store/utrucking/orders/6465949499580?link_source=search")</f>
        <v>https://admin.shopify.com/store/utrucking/orders/6465949499580?link_source=search</v>
      </c>
      <c r="B157" s="65" t="str">
        <f>IFERROR(__xludf.DUMMYFUNCTION("""COMPUTED_VALUE"""),"#18382")</f>
        <v>#18382</v>
      </c>
      <c r="C157" s="65" t="str">
        <f>IFERROR(__xludf.DUMMYFUNCTION("""COMPUTED_VALUE"""),"ssophiecantu@gmail.com")</f>
        <v>ssophiecantu@gmail.com</v>
      </c>
      <c r="D157" s="65" t="str">
        <f>IFERROR(__xludf.DUMMYFUNCTION("""COMPUTED_VALUE"""),"610-220-5349")</f>
        <v>610-220-5349</v>
      </c>
      <c r="E157" s="65" t="str">
        <f>IFERROR(__xludf.DUMMYFUNCTION("""COMPUTED_VALUE"""),"Sophie Cantu")</f>
        <v>Sophie Cantu</v>
      </c>
      <c r="F157" s="65" t="str">
        <f>IFERROR(__xludf.DUMMYFUNCTION("""COMPUTED_VALUE"""),"Sophie Cantu")</f>
        <v>Sophie Cantu</v>
      </c>
      <c r="G157" s="65" t="str">
        <f>IFERROR(__xludf.DUMMYFUNCTION("""COMPUTED_VALUE""")," 2   - ")</f>
        <v> 2   - </v>
      </c>
      <c r="H157" s="65"/>
      <c r="I157" s="65"/>
      <c r="J157" s="108" t="str">
        <f>IFERROR(__xludf.DUMMYFUNCTION("""COMPUTED_VALUE"""),"5 pm (or latest possible time on 5/16)")</f>
        <v>5 pm (or latest possible time on 5/16)</v>
      </c>
      <c r="K157" s="103">
        <f>IFERROR(__xludf.DUMMYFUNCTION("""COMPUTED_VALUE"""),46158.0)</f>
        <v>46158</v>
      </c>
      <c r="L157" s="65" t="str">
        <f>IFERROR(__xludf.DUMMYFUNCTION("""COMPUTED_VALUE"""),"186 Lakeside Road, Ardmore, PA 19003")</f>
        <v>186 Lakeside Road, Ardmore, PA 19003</v>
      </c>
      <c r="M157" s="65"/>
      <c r="N157" s="65" t="str">
        <f>IFERROR(__xludf.DUMMYFUNCTION("""COMPUTED_VALUE"""),"6300 Cabanne Ave, University City, MO 63130")</f>
        <v>6300 Cabanne Ave, University City, MO 63130</v>
      </c>
    </row>
    <row r="158">
      <c r="A158" s="99" t="str">
        <f>IFERROR(__xludf.DUMMYFUNCTION("""COMPUTED_VALUE"""),"https://utrucking.com/admin/orders/6466003632316")</f>
        <v>https://utrucking.com/admin/orders/6466003632316</v>
      </c>
      <c r="B158" s="61" t="str">
        <f>IFERROR(__xludf.DUMMYFUNCTION("""COMPUTED_VALUE"""),"#18383")</f>
        <v>#18383</v>
      </c>
      <c r="C158" s="61" t="str">
        <f>IFERROR(__xludf.DUMMYFUNCTION("""COMPUTED_VALUE"""),"c.s.satyr@wustl.edu")</f>
        <v>c.s.satyr@wustl.edu</v>
      </c>
      <c r="D158" s="61">
        <f>IFERROR(__xludf.DUMMYFUNCTION("""COMPUTED_VALUE"""),8.479771792E9)</f>
        <v>8479771792</v>
      </c>
      <c r="E158" s="61" t="str">
        <f>IFERROR(__xludf.DUMMYFUNCTION("""COMPUTED_VALUE"""),"Cara Satyr")</f>
        <v>Cara Satyr</v>
      </c>
      <c r="F158" s="61" t="str">
        <f>IFERROR(__xludf.DUMMYFUNCTION("""COMPUTED_VALUE"""),"Cara Satyr")</f>
        <v>Cara Satyr</v>
      </c>
      <c r="G158" s="61" t="str">
        <f>IFERROR(__xludf.DUMMYFUNCTION("""COMPUTED_VALUE""")," 0   - ")</f>
        <v> 0   - </v>
      </c>
      <c r="H158" s="61" t="str">
        <f>IFERROR(__xludf.DUMMYFUNCTION("""COMPUTED_VALUE"""),"Lopata  ")</f>
        <v>Lopata  </v>
      </c>
      <c r="I158" s="61" t="str">
        <f>IFERROR(__xludf.DUMMYFUNCTION("""COMPUTED_VALUE"""),"3090")</f>
        <v>3090</v>
      </c>
      <c r="J158" s="107" t="str">
        <f>IFERROR(__xludf.DUMMYFUNCTION("""COMPUTED_VALUE"""),"09:00 AM to 11:00 AM  ")</f>
        <v>09:00 AM to 11:00 AM  </v>
      </c>
      <c r="K158" s="100">
        <f>IFERROR(__xludf.DUMMYFUNCTION("""COMPUTED_VALUE"""),46155.0)</f>
        <v>46155</v>
      </c>
      <c r="L158" s="61" t="str">
        <f>IFERROR(__xludf.DUMMYFUNCTION("""COMPUTED_VALUE"""),"665 Brierhill Road, Deerfield, Illinois, 60015 ")</f>
        <v>665 Brierhill Road, Deerfield, Illinois, 60015 </v>
      </c>
      <c r="M158" s="61" t="str">
        <f>IFERROR(__xludf.DUMMYFUNCTION("""COMPUTED_VALUE""")," ")</f>
        <v> </v>
      </c>
      <c r="N158" s="61"/>
    </row>
    <row r="159">
      <c r="A159" s="102" t="str">
        <f>IFERROR(__xludf.DUMMYFUNCTION("""COMPUTED_VALUE"""),"https://utrucking.com/admin/orders/6466973630652")</f>
        <v>https://utrucking.com/admin/orders/6466973630652</v>
      </c>
      <c r="B159" s="65" t="str">
        <f>IFERROR(__xludf.DUMMYFUNCTION("""COMPUTED_VALUE"""),"#18384")</f>
        <v>#18384</v>
      </c>
      <c r="C159" s="65" t="str">
        <f>IFERROR(__xludf.DUMMYFUNCTION("""COMPUTED_VALUE"""),"u.wakako@wustl.edu")</f>
        <v>u.wakako@wustl.edu</v>
      </c>
      <c r="D159" s="65">
        <f>IFERROR(__xludf.DUMMYFUNCTION("""COMPUTED_VALUE"""),9.148305672E9)</f>
        <v>9148305672</v>
      </c>
      <c r="E159" s="65" t="str">
        <f>IFERROR(__xludf.DUMMYFUNCTION("""COMPUTED_VALUE"""),"Wakako Ueshima")</f>
        <v>Wakako Ueshima</v>
      </c>
      <c r="F159" s="65" t="str">
        <f>IFERROR(__xludf.DUMMYFUNCTION("""COMPUTED_VALUE"""),"Wakako Ueshima")</f>
        <v>Wakako Ueshima</v>
      </c>
      <c r="G159" s="65" t="str">
        <f>IFERROR(__xludf.DUMMYFUNCTION("""COMPUTED_VALUE""")," 1 [Included with Registration]   - ")</f>
        <v> 1 [Included with Registration]   - </v>
      </c>
      <c r="H159" s="65"/>
      <c r="I159" s="65"/>
      <c r="J159" s="108" t="str">
        <f>IFERROR(__xludf.DUMMYFUNCTION("""COMPUTED_VALUE"""),"09:00 AM to 11:00 AM  ")</f>
        <v>09:00 AM to 11:00 AM  </v>
      </c>
      <c r="K159" s="103">
        <f>IFERROR(__xludf.DUMMYFUNCTION("""COMPUTED_VALUE"""),46160.0)</f>
        <v>46160</v>
      </c>
      <c r="L159" s="65" t="str">
        <f>IFERROR(__xludf.DUMMYFUNCTION("""COMPUTED_VALUE"""),"1 West 81st Street apt 11D ")</f>
        <v>1 West 81st Street apt 11D </v>
      </c>
      <c r="M159" s="65" t="str">
        <f>IFERROR(__xludf.DUMMYFUNCTION("""COMPUTED_VALUE""")," ")</f>
        <v> </v>
      </c>
      <c r="N159" s="65" t="str">
        <f>IFERROR(__xludf.DUMMYFUNCTION("""COMPUTED_VALUE"""),"6655 Washington Avenue ")</f>
        <v>6655 Washington Avenue </v>
      </c>
    </row>
    <row r="160">
      <c r="A160" s="99" t="str">
        <f>IFERROR(__xludf.DUMMYFUNCTION("""COMPUTED_VALUE"""),"https://utrucking.com/admin/orders/6467778511036")</f>
        <v>https://utrucking.com/admin/orders/6467778511036</v>
      </c>
      <c r="B160" s="61" t="str">
        <f>IFERROR(__xludf.DUMMYFUNCTION("""COMPUTED_VALUE"""),"#18386")</f>
        <v>#18386</v>
      </c>
      <c r="C160" s="61" t="str">
        <f>IFERROR(__xludf.DUMMYFUNCTION("""COMPUTED_VALUE"""),"a.ninah@wustl.edu")</f>
        <v>a.ninah@wustl.edu</v>
      </c>
      <c r="D160" s="61" t="str">
        <f>IFERROR(__xludf.DUMMYFUNCTION("""COMPUTED_VALUE"""),"(347) 680-6894")</f>
        <v>(347) 680-6894</v>
      </c>
      <c r="E160" s="61" t="str">
        <f>IFERROR(__xludf.DUMMYFUNCTION("""COMPUTED_VALUE"""),"john ninah")</f>
        <v>john ninah</v>
      </c>
      <c r="F160" s="61" t="str">
        <f>IFERROR(__xludf.DUMMYFUNCTION("""COMPUTED_VALUE"""),"Amaris Ninah")</f>
        <v>Amaris Ninah</v>
      </c>
      <c r="G160" s="61" t="str">
        <f>IFERROR(__xludf.DUMMYFUNCTION("""COMPUTED_VALUE""")," 1 [Included with Registration]   - ")</f>
        <v> 1 [Included with Registration]   - </v>
      </c>
      <c r="H160" s="61"/>
      <c r="I160" s="61"/>
      <c r="J160" s="107" t="str">
        <f>IFERROR(__xludf.DUMMYFUNCTION("""COMPUTED_VALUE"""),"10:00 AM to 12:00 PM  ")</f>
        <v>10:00 AM to 12:00 PM  </v>
      </c>
      <c r="K160" s="100">
        <f>IFERROR(__xludf.DUMMYFUNCTION("""COMPUTED_VALUE"""),46164.0)</f>
        <v>46164</v>
      </c>
      <c r="L160" s="61" t="str">
        <f>IFERROR(__xludf.DUMMYFUNCTION("""COMPUTED_VALUE"""),"8749 Hildreth Ave, Orlando FL, 32832 ")</f>
        <v>8749 Hildreth Ave, Orlando FL, 32832 </v>
      </c>
      <c r="M160" s="61" t="str">
        <f>IFERROR(__xludf.DUMMYFUNCTION("""COMPUTED_VALUE""")," ")</f>
        <v> </v>
      </c>
      <c r="N160" s="61" t="str">
        <f>IFERROR(__xludf.DUMMYFUNCTION("""COMPUTED_VALUE"""),"5936 McPherson Ave Apt 2")</f>
        <v>5936 McPherson Ave Apt 2</v>
      </c>
    </row>
    <row r="161">
      <c r="A161" s="102" t="str">
        <f>IFERROR(__xludf.DUMMYFUNCTION("""COMPUTED_VALUE"""),"https://utrucking.com/admin/orders/6467801120956")</f>
        <v>https://utrucking.com/admin/orders/6467801120956</v>
      </c>
      <c r="B161" s="65" t="str">
        <f>IFERROR(__xludf.DUMMYFUNCTION("""COMPUTED_VALUE"""),"#18387")</f>
        <v>#18387</v>
      </c>
      <c r="C161" s="65" t="str">
        <f>IFERROR(__xludf.DUMMYFUNCTION("""COMPUTED_VALUE"""),"rhersh22@aol.com")</f>
        <v>rhersh22@aol.com</v>
      </c>
      <c r="D161" s="65">
        <f>IFERROR(__xludf.DUMMYFUNCTION("""COMPUTED_VALUE"""),5.163982118E9)</f>
        <v>5163982118</v>
      </c>
      <c r="E161" s="65" t="str">
        <f>IFERROR(__xludf.DUMMYFUNCTION("""COMPUTED_VALUE"""),"rachel hershenhorn")</f>
        <v>rachel hershenhorn</v>
      </c>
      <c r="F161" s="65" t="str">
        <f>IFERROR(__xludf.DUMMYFUNCTION("""COMPUTED_VALUE"""),"Sarah Hershenhorn")</f>
        <v>Sarah Hershenhorn</v>
      </c>
      <c r="G161" s="65" t="str">
        <f>IFERROR(__xludf.DUMMYFUNCTION("""COMPUTED_VALUE""")," 1 [Included with Registration]   - ")</f>
        <v> 1 [Included with Registration]   - </v>
      </c>
      <c r="H161" s="65"/>
      <c r="I161" s="65"/>
      <c r="J161" s="108" t="str">
        <f>IFERROR(__xludf.DUMMYFUNCTION("""COMPUTED_VALUE"""),"09:00 AM to 11:00 AM  ")</f>
        <v>09:00 AM to 11:00 AM  </v>
      </c>
      <c r="K161" s="103">
        <f>IFERROR(__xludf.DUMMYFUNCTION("""COMPUTED_VALUE"""),46160.0)</f>
        <v>46160</v>
      </c>
      <c r="L161" s="65" t="str">
        <f>IFERROR(__xludf.DUMMYFUNCTION("""COMPUTED_VALUE"""),"2 Clover Drive
Great Neck, NY 11021 ")</f>
        <v>2 Clover Drive
Great Neck, NY 11021 </v>
      </c>
      <c r="M161" s="65" t="str">
        <f>IFERROR(__xludf.DUMMYFUNCTION("""COMPUTED_VALUE""")," ")</f>
        <v> </v>
      </c>
      <c r="N161" s="65" t="str">
        <f>IFERROR(__xludf.DUMMYFUNCTION("""COMPUTED_VALUE"""),"6186 Waterman Boulevard, Floor 3 
St. Louis MO 63112")</f>
        <v>6186 Waterman Boulevard, Floor 3 
St. Louis MO 63112</v>
      </c>
    </row>
    <row r="162">
      <c r="A162" s="99" t="str">
        <f>IFERROR(__xludf.DUMMYFUNCTION("""COMPUTED_VALUE"""),"https://utrucking.com/admin/orders/6469852823740")</f>
        <v>https://utrucking.com/admin/orders/6469852823740</v>
      </c>
      <c r="B162" s="61" t="str">
        <f>IFERROR(__xludf.DUMMYFUNCTION("""COMPUTED_VALUE"""),"#18392")</f>
        <v>#18392</v>
      </c>
      <c r="C162" s="61" t="str">
        <f>IFERROR(__xludf.DUMMYFUNCTION("""COMPUTED_VALUE"""),"rhersh22@aol.com")</f>
        <v>rhersh22@aol.com</v>
      </c>
      <c r="D162" s="61">
        <f>IFERROR(__xludf.DUMMYFUNCTION("""COMPUTED_VALUE"""),5.166952235E9)</f>
        <v>5166952235</v>
      </c>
      <c r="E162" s="61" t="str">
        <f>IFERROR(__xludf.DUMMYFUNCTION("""COMPUTED_VALUE"""),"Rachel Hershenhorn")</f>
        <v>Rachel Hershenhorn</v>
      </c>
      <c r="F162" s="61" t="str">
        <f>IFERROR(__xludf.DUMMYFUNCTION("""COMPUTED_VALUE"""),"Sarah Hershenhorn ")</f>
        <v>Sarah Hershenhorn </v>
      </c>
      <c r="G162" s="61" t="str">
        <f>IFERROR(__xludf.DUMMYFUNCTION("""COMPUTED_VALUE""")," 1 [Included with Registration]   - ")</f>
        <v> 1 [Included with Registration]   - </v>
      </c>
      <c r="H162" s="61"/>
      <c r="I162" s="61"/>
      <c r="J162" s="107" t="str">
        <f>IFERROR(__xludf.DUMMYFUNCTION("""COMPUTED_VALUE"""),"10:00 AM to 12:00 PM  ")</f>
        <v>10:00 AM to 12:00 PM  </v>
      </c>
      <c r="K162" s="100">
        <f>IFERROR(__xludf.DUMMYFUNCTION("""COMPUTED_VALUE"""),46158.0)</f>
        <v>46158</v>
      </c>
      <c r="L162" s="61" t="str">
        <f>IFERROR(__xludf.DUMMYFUNCTION("""COMPUTED_VALUE"""),"2 Clover Dr. 
great neck NY 11021 ")</f>
        <v>2 Clover Dr. 
great neck NY 11021 </v>
      </c>
      <c r="M162" s="61" t="str">
        <f>IFERROR(__xludf.DUMMYFUNCTION("""COMPUTED_VALUE""")," ")</f>
        <v> </v>
      </c>
      <c r="N162" s="61" t="str">
        <f>IFERROR(__xludf.DUMMYFUNCTION("""COMPUTED_VALUE"""),"6186 waterman blvd. 
St. Louis MO 63112")</f>
        <v>6186 waterman blvd. 
St. Louis MO 63112</v>
      </c>
    </row>
    <row r="163">
      <c r="A163" s="102" t="str">
        <f>IFERROR(__xludf.DUMMYFUNCTION("""COMPUTED_VALUE"""),"https://utrucking.com/admin/orders/6470231621820")</f>
        <v>https://utrucking.com/admin/orders/6470231621820</v>
      </c>
      <c r="B163" s="65" t="str">
        <f>IFERROR(__xludf.DUMMYFUNCTION("""COMPUTED_VALUE"""),"#18393")</f>
        <v>#18393</v>
      </c>
      <c r="C163" s="65" t="str">
        <f>IFERROR(__xludf.DUMMYFUNCTION("""COMPUTED_VALUE"""),"garyblum@yahoo.com")</f>
        <v>garyblum@yahoo.com</v>
      </c>
      <c r="D163" s="65" t="str">
        <f>IFERROR(__xludf.DUMMYFUNCTION("""COMPUTED_VALUE"""),"914-200-9295  ")</f>
        <v>914-200-9295  </v>
      </c>
      <c r="E163" s="65" t="str">
        <f>IFERROR(__xludf.DUMMYFUNCTION("""COMPUTED_VALUE"""),"Gary Blum")</f>
        <v>Gary Blum</v>
      </c>
      <c r="F163" s="65" t="str">
        <f>IFERROR(__xludf.DUMMYFUNCTION("""COMPUTED_VALUE"""),"Beck Blum")</f>
        <v>Beck Blum</v>
      </c>
      <c r="G163" s="65" t="str">
        <f>IFERROR(__xludf.DUMMYFUNCTION("""COMPUTED_VALUE""")," 1 [Included with Registration]   - ")</f>
        <v> 1 [Included with Registration]   - </v>
      </c>
      <c r="H163" s="65"/>
      <c r="I163" s="65"/>
      <c r="J163" s="108" t="str">
        <f>IFERROR(__xludf.DUMMYFUNCTION("""COMPUTED_VALUE"""),"03:00 PM to 05:00 PM")</f>
        <v>03:00 PM to 05:00 PM</v>
      </c>
      <c r="K163" s="103">
        <f>IFERROR(__xludf.DUMMYFUNCTION("""COMPUTED_VALUE"""),46158.0)</f>
        <v>46158</v>
      </c>
      <c r="L163" s="65" t="str">
        <f>IFERROR(__xludf.DUMMYFUNCTION("""COMPUTED_VALUE"""),"31 Mayberry Road
Chappaqua NY 10514 ")</f>
        <v>31 Mayberry Road
Chappaqua NY 10514 </v>
      </c>
      <c r="M163" s="65" t="str">
        <f>IFERROR(__xludf.DUMMYFUNCTION("""COMPUTED_VALUE""")," ")</f>
        <v> </v>
      </c>
      <c r="N163" s="65" t="str">
        <f>IFERROR(__xludf.DUMMYFUNCTION("""COMPUTED_VALUE"""),"718 limit Avenue, apt 2n
St. Louis, MO 63130")</f>
        <v>718 limit Avenue, apt 2n
St. Louis, MO 63130</v>
      </c>
    </row>
    <row r="164">
      <c r="A164" s="99" t="str">
        <f>IFERROR(__xludf.DUMMYFUNCTION("""COMPUTED_VALUE"""),"https://utrucking.com/admin/orders/6472126791868")</f>
        <v>https://utrucking.com/admin/orders/6472126791868</v>
      </c>
      <c r="B164" s="61" t="str">
        <f>IFERROR(__xludf.DUMMYFUNCTION("""COMPUTED_VALUE"""),"#18399")</f>
        <v>#18399</v>
      </c>
      <c r="C164" s="61" t="str">
        <f>IFERROR(__xludf.DUMMYFUNCTION("""COMPUTED_VALUE"""),"achilkowitz@gmail.com")</f>
        <v>achilkowitz@gmail.com</v>
      </c>
      <c r="D164" s="61">
        <f>IFERROR(__xludf.DUMMYFUNCTION("""COMPUTED_VALUE"""),9.179007892E9)</f>
        <v>9179007892</v>
      </c>
      <c r="E164" s="61" t="str">
        <f>IFERROR(__xludf.DUMMYFUNCTION("""COMPUTED_VALUE"""),"Alex Chilkowitz")</f>
        <v>Alex Chilkowitz</v>
      </c>
      <c r="F164" s="61" t="str">
        <f>IFERROR(__xludf.DUMMYFUNCTION("""COMPUTED_VALUE"""),"Alex Chilkowitz ")</f>
        <v>Alex Chilkowitz </v>
      </c>
      <c r="G164" s="61" t="str">
        <f>IFERROR(__xludf.DUMMYFUNCTION("""COMPUTED_VALUE""")," 3   - ")</f>
        <v> 3   - </v>
      </c>
      <c r="H164" s="61"/>
      <c r="I164" s="61"/>
      <c r="J164" s="107" t="str">
        <f>IFERROR(__xludf.DUMMYFUNCTION("""COMPUTED_VALUE"""),"11:00 AM to 01:00 PM  ")</f>
        <v>11:00 AM to 01:00 PM  </v>
      </c>
      <c r="K164" s="100">
        <f>IFERROR(__xludf.DUMMYFUNCTION("""COMPUTED_VALUE"""),46161.0)</f>
        <v>46161</v>
      </c>
      <c r="L164" s="61" t="str">
        <f>IFERROR(__xludf.DUMMYFUNCTION("""COMPUTED_VALUE"""),"101 West End Avenue
Apt 23D
New York NY 10023 ")</f>
        <v>101 West End Avenue
Apt 23D
New York NY 10023 </v>
      </c>
      <c r="M164" s="61" t="str">
        <f>IFERROR(__xludf.DUMMYFUNCTION("""COMPUTED_VALUE""")," ")</f>
        <v> </v>
      </c>
      <c r="N164" s="61" t="str">
        <f>IFERROR(__xludf.DUMMYFUNCTION("""COMPUTED_VALUE"""),"6127 waterman blvd")</f>
        <v>6127 waterman blvd</v>
      </c>
    </row>
    <row r="165">
      <c r="A165" s="65"/>
      <c r="B165" s="65"/>
      <c r="C165" s="65"/>
      <c r="D165" s="65"/>
      <c r="E165" s="65"/>
      <c r="F165" s="65"/>
      <c r="G165" s="65"/>
      <c r="H165" s="65"/>
      <c r="I165" s="65"/>
      <c r="J165" s="108"/>
      <c r="K165" s="103"/>
      <c r="L165" s="65"/>
      <c r="M165" s="65"/>
      <c r="N165" s="65"/>
    </row>
    <row r="166">
      <c r="A166" s="61"/>
      <c r="B166" s="61"/>
      <c r="C166" s="61"/>
      <c r="D166" s="61"/>
      <c r="E166" s="61"/>
      <c r="F166" s="61"/>
      <c r="G166" s="61"/>
      <c r="H166" s="61"/>
      <c r="I166" s="61"/>
      <c r="J166" s="107"/>
      <c r="K166" s="100"/>
      <c r="L166" s="61"/>
      <c r="M166" s="61"/>
      <c r="N166" s="61"/>
    </row>
    <row r="167">
      <c r="A167" s="65"/>
      <c r="B167" s="65"/>
      <c r="C167" s="65"/>
      <c r="D167" s="65"/>
      <c r="E167" s="65"/>
      <c r="F167" s="65"/>
      <c r="G167" s="65"/>
      <c r="H167" s="65"/>
      <c r="I167" s="65"/>
      <c r="J167" s="108"/>
      <c r="K167" s="103"/>
      <c r="L167" s="65"/>
      <c r="M167" s="65"/>
      <c r="N167" s="65"/>
    </row>
    <row r="168">
      <c r="A168" s="61"/>
      <c r="B168" s="61"/>
      <c r="C168" s="61"/>
      <c r="D168" s="61"/>
      <c r="E168" s="61"/>
      <c r="F168" s="61"/>
      <c r="G168" s="61"/>
      <c r="H168" s="61"/>
      <c r="I168" s="61"/>
      <c r="J168" s="107"/>
      <c r="K168" s="100"/>
      <c r="L168" s="61"/>
      <c r="M168" s="61"/>
      <c r="N168" s="61"/>
    </row>
    <row r="169">
      <c r="A169" s="65"/>
      <c r="B169" s="65"/>
      <c r="C169" s="65"/>
      <c r="D169" s="65"/>
      <c r="E169" s="65"/>
      <c r="F169" s="65"/>
      <c r="G169" s="65"/>
      <c r="H169" s="65"/>
      <c r="I169" s="65"/>
      <c r="J169" s="108"/>
      <c r="K169" s="103"/>
      <c r="L169" s="65"/>
      <c r="M169" s="65"/>
      <c r="N169" s="65"/>
    </row>
    <row r="170">
      <c r="A170" s="61"/>
      <c r="B170" s="61"/>
      <c r="C170" s="61"/>
      <c r="D170" s="61"/>
      <c r="E170" s="61"/>
      <c r="F170" s="61"/>
      <c r="G170" s="61"/>
      <c r="H170" s="61"/>
      <c r="I170" s="61"/>
      <c r="J170" s="107"/>
      <c r="K170" s="100"/>
      <c r="L170" s="61"/>
      <c r="M170" s="61"/>
      <c r="N170" s="61"/>
    </row>
    <row r="171">
      <c r="A171" s="65"/>
      <c r="B171" s="65"/>
      <c r="C171" s="65"/>
      <c r="D171" s="65"/>
      <c r="E171" s="65"/>
      <c r="F171" s="65"/>
      <c r="G171" s="65"/>
      <c r="H171" s="65"/>
      <c r="I171" s="65"/>
      <c r="J171" s="108"/>
      <c r="K171" s="103"/>
      <c r="L171" s="65"/>
      <c r="M171" s="65"/>
      <c r="N171" s="65"/>
    </row>
    <row r="172">
      <c r="A172" s="61"/>
      <c r="B172" s="61"/>
      <c r="C172" s="61"/>
      <c r="D172" s="61"/>
      <c r="E172" s="61"/>
      <c r="F172" s="61"/>
      <c r="G172" s="61"/>
      <c r="H172" s="61"/>
      <c r="I172" s="61"/>
      <c r="J172" s="107"/>
      <c r="K172" s="100"/>
      <c r="L172" s="61"/>
      <c r="M172" s="61"/>
      <c r="N172" s="61"/>
    </row>
    <row r="173">
      <c r="A173" s="65"/>
      <c r="B173" s="65"/>
      <c r="C173" s="65"/>
      <c r="D173" s="65"/>
      <c r="E173" s="65"/>
      <c r="F173" s="65"/>
      <c r="G173" s="65"/>
      <c r="H173" s="65"/>
      <c r="I173" s="65"/>
      <c r="J173" s="108"/>
      <c r="K173" s="103"/>
      <c r="L173" s="65"/>
      <c r="M173" s="65"/>
      <c r="N173" s="65"/>
    </row>
    <row r="174">
      <c r="A174" s="61"/>
      <c r="B174" s="61"/>
      <c r="C174" s="61"/>
      <c r="D174" s="61"/>
      <c r="E174" s="61"/>
      <c r="F174" s="61"/>
      <c r="G174" s="61"/>
      <c r="H174" s="61"/>
      <c r="I174" s="61"/>
      <c r="J174" s="107"/>
      <c r="K174" s="100"/>
      <c r="L174" s="61"/>
      <c r="M174" s="61"/>
      <c r="N174" s="61"/>
    </row>
    <row r="175">
      <c r="A175" s="65"/>
      <c r="B175" s="65"/>
      <c r="C175" s="65"/>
      <c r="D175" s="65"/>
      <c r="E175" s="65"/>
      <c r="F175" s="65"/>
      <c r="G175" s="65"/>
      <c r="H175" s="65"/>
      <c r="I175" s="65"/>
      <c r="J175" s="108"/>
      <c r="K175" s="103"/>
      <c r="L175" s="65"/>
      <c r="M175" s="65"/>
      <c r="N175" s="65"/>
    </row>
    <row r="176">
      <c r="A176" s="61"/>
      <c r="B176" s="61"/>
      <c r="C176" s="61"/>
      <c r="D176" s="61"/>
      <c r="E176" s="61"/>
      <c r="F176" s="61"/>
      <c r="G176" s="61"/>
      <c r="H176" s="61"/>
      <c r="I176" s="61"/>
      <c r="J176" s="107"/>
      <c r="K176" s="100"/>
      <c r="L176" s="61"/>
      <c r="M176" s="61"/>
      <c r="N176" s="61"/>
    </row>
    <row r="177">
      <c r="A177" s="65"/>
      <c r="B177" s="65"/>
      <c r="C177" s="65"/>
      <c r="D177" s="65"/>
      <c r="E177" s="65"/>
      <c r="F177" s="65"/>
      <c r="G177" s="65"/>
      <c r="H177" s="65"/>
      <c r="I177" s="65"/>
      <c r="J177" s="108"/>
      <c r="K177" s="103"/>
      <c r="L177" s="65"/>
      <c r="M177" s="65"/>
      <c r="N177" s="65"/>
    </row>
    <row r="178">
      <c r="A178" s="61"/>
      <c r="B178" s="61"/>
      <c r="C178" s="61"/>
      <c r="D178" s="61"/>
      <c r="E178" s="61"/>
      <c r="F178" s="61"/>
      <c r="G178" s="61"/>
      <c r="H178" s="61"/>
      <c r="I178" s="61"/>
      <c r="J178" s="107"/>
      <c r="K178" s="100"/>
      <c r="L178" s="61"/>
      <c r="M178" s="61"/>
      <c r="N178" s="61"/>
    </row>
    <row r="179">
      <c r="A179" s="65"/>
      <c r="B179" s="65"/>
      <c r="C179" s="65"/>
      <c r="D179" s="65"/>
      <c r="E179" s="65"/>
      <c r="F179" s="65"/>
      <c r="G179" s="65"/>
      <c r="H179" s="65"/>
      <c r="I179" s="65"/>
      <c r="J179" s="108"/>
      <c r="K179" s="103"/>
      <c r="L179" s="65"/>
      <c r="M179" s="65"/>
      <c r="N179" s="65"/>
    </row>
    <row r="180">
      <c r="A180" s="61"/>
      <c r="B180" s="61"/>
      <c r="C180" s="61"/>
      <c r="D180" s="61"/>
      <c r="E180" s="61"/>
      <c r="F180" s="61"/>
      <c r="G180" s="61"/>
      <c r="H180" s="61"/>
      <c r="I180" s="61"/>
      <c r="J180" s="107"/>
      <c r="K180" s="100"/>
      <c r="L180" s="61"/>
      <c r="M180" s="61"/>
      <c r="N180" s="61"/>
    </row>
    <row r="181">
      <c r="A181" s="65"/>
      <c r="B181" s="65"/>
      <c r="C181" s="65"/>
      <c r="D181" s="65"/>
      <c r="E181" s="65"/>
      <c r="F181" s="65"/>
      <c r="G181" s="65"/>
      <c r="H181" s="65"/>
      <c r="I181" s="65"/>
      <c r="J181" s="108"/>
      <c r="K181" s="103"/>
      <c r="L181" s="65"/>
      <c r="M181" s="65"/>
      <c r="N181" s="65"/>
    </row>
    <row r="182">
      <c r="A182" s="61"/>
      <c r="B182" s="61"/>
      <c r="C182" s="61"/>
      <c r="D182" s="61"/>
      <c r="E182" s="61"/>
      <c r="F182" s="61"/>
      <c r="G182" s="61"/>
      <c r="H182" s="61"/>
      <c r="I182" s="61"/>
      <c r="J182" s="107"/>
      <c r="K182" s="100"/>
      <c r="L182" s="61"/>
      <c r="M182" s="61"/>
      <c r="N182" s="61"/>
    </row>
    <row r="183">
      <c r="A183" s="65"/>
      <c r="B183" s="65"/>
      <c r="C183" s="65"/>
      <c r="D183" s="65"/>
      <c r="E183" s="65"/>
      <c r="F183" s="65"/>
      <c r="G183" s="65"/>
      <c r="H183" s="65"/>
      <c r="I183" s="65"/>
      <c r="J183" s="108"/>
      <c r="K183" s="103"/>
      <c r="L183" s="65"/>
      <c r="M183" s="65"/>
      <c r="N183" s="65"/>
    </row>
    <row r="184">
      <c r="A184" s="61"/>
      <c r="B184" s="61"/>
      <c r="C184" s="61"/>
      <c r="D184" s="61"/>
      <c r="E184" s="61"/>
      <c r="F184" s="61"/>
      <c r="G184" s="61"/>
      <c r="H184" s="61"/>
      <c r="I184" s="61"/>
      <c r="J184" s="107"/>
      <c r="K184" s="100"/>
      <c r="L184" s="61"/>
      <c r="M184" s="61"/>
      <c r="N184" s="61"/>
    </row>
    <row r="185">
      <c r="A185" s="65"/>
      <c r="B185" s="65"/>
      <c r="C185" s="65"/>
      <c r="D185" s="65"/>
      <c r="E185" s="65"/>
      <c r="F185" s="65"/>
      <c r="G185" s="65"/>
      <c r="H185" s="65"/>
      <c r="I185" s="65"/>
      <c r="J185" s="108"/>
      <c r="K185" s="103"/>
      <c r="L185" s="65"/>
      <c r="M185" s="65"/>
      <c r="N185" s="65"/>
    </row>
    <row r="186">
      <c r="A186" s="61"/>
      <c r="B186" s="61"/>
      <c r="C186" s="61"/>
      <c r="D186" s="61"/>
      <c r="E186" s="61"/>
      <c r="F186" s="61"/>
      <c r="G186" s="61"/>
      <c r="H186" s="61"/>
      <c r="I186" s="61"/>
      <c r="J186" s="107"/>
      <c r="K186" s="100"/>
      <c r="L186" s="61"/>
      <c r="M186" s="61"/>
      <c r="N186" s="61"/>
    </row>
    <row r="187">
      <c r="A187" s="65"/>
      <c r="B187" s="65"/>
      <c r="C187" s="65"/>
      <c r="D187" s="65"/>
      <c r="E187" s="65"/>
      <c r="F187" s="65"/>
      <c r="G187" s="65"/>
      <c r="H187" s="65"/>
      <c r="I187" s="65"/>
      <c r="J187" s="108"/>
      <c r="K187" s="103"/>
      <c r="L187" s="65"/>
      <c r="M187" s="65"/>
      <c r="N187" s="65"/>
    </row>
    <row r="188">
      <c r="A188" s="61"/>
      <c r="B188" s="61"/>
      <c r="C188" s="61"/>
      <c r="D188" s="61"/>
      <c r="E188" s="61"/>
      <c r="F188" s="61"/>
      <c r="G188" s="61"/>
      <c r="H188" s="61"/>
      <c r="I188" s="61"/>
      <c r="J188" s="107"/>
      <c r="K188" s="100"/>
      <c r="L188" s="61"/>
      <c r="M188" s="61"/>
      <c r="N188" s="61"/>
    </row>
    <row r="189">
      <c r="A189" s="65"/>
      <c r="B189" s="65"/>
      <c r="C189" s="65"/>
      <c r="D189" s="65"/>
      <c r="E189" s="65"/>
      <c r="F189" s="65"/>
      <c r="G189" s="65"/>
      <c r="H189" s="65"/>
      <c r="I189" s="65"/>
      <c r="J189" s="108"/>
      <c r="K189" s="103"/>
      <c r="L189" s="65"/>
      <c r="M189" s="65"/>
      <c r="N189" s="65"/>
    </row>
    <row r="190">
      <c r="A190" s="61"/>
      <c r="B190" s="61"/>
      <c r="C190" s="61"/>
      <c r="D190" s="61"/>
      <c r="E190" s="61"/>
      <c r="F190" s="61"/>
      <c r="G190" s="61"/>
      <c r="H190" s="61"/>
      <c r="I190" s="61"/>
      <c r="J190" s="107"/>
      <c r="K190" s="100"/>
      <c r="L190" s="61"/>
      <c r="M190" s="61"/>
      <c r="N190" s="61"/>
    </row>
    <row r="191">
      <c r="A191" s="65"/>
      <c r="B191" s="65"/>
      <c r="C191" s="65"/>
      <c r="D191" s="65"/>
      <c r="E191" s="65"/>
      <c r="F191" s="65"/>
      <c r="G191" s="65"/>
      <c r="H191" s="65"/>
      <c r="I191" s="65"/>
      <c r="J191" s="108"/>
      <c r="K191" s="103"/>
      <c r="L191" s="65"/>
      <c r="M191" s="65"/>
      <c r="N191" s="65"/>
    </row>
    <row r="192">
      <c r="A192" s="61"/>
      <c r="B192" s="61"/>
      <c r="C192" s="61"/>
      <c r="D192" s="61"/>
      <c r="E192" s="61"/>
      <c r="F192" s="61"/>
      <c r="G192" s="61"/>
      <c r="H192" s="61"/>
      <c r="I192" s="61"/>
      <c r="J192" s="107"/>
      <c r="K192" s="100"/>
      <c r="L192" s="61"/>
      <c r="M192" s="61"/>
      <c r="N192" s="61"/>
    </row>
    <row r="193">
      <c r="A193" s="65"/>
      <c r="B193" s="65"/>
      <c r="C193" s="65"/>
      <c r="D193" s="65"/>
      <c r="E193" s="65"/>
      <c r="F193" s="65"/>
      <c r="G193" s="65"/>
      <c r="H193" s="65"/>
      <c r="I193" s="65"/>
      <c r="J193" s="108"/>
      <c r="K193" s="103"/>
      <c r="L193" s="65"/>
      <c r="M193" s="65"/>
      <c r="N193" s="65"/>
    </row>
    <row r="194">
      <c r="A194" s="61"/>
      <c r="B194" s="61"/>
      <c r="C194" s="61"/>
      <c r="D194" s="61"/>
      <c r="E194" s="61"/>
      <c r="F194" s="61"/>
      <c r="G194" s="61"/>
      <c r="H194" s="61"/>
      <c r="I194" s="61"/>
      <c r="J194" s="107"/>
      <c r="K194" s="100"/>
      <c r="L194" s="61"/>
      <c r="M194" s="61"/>
      <c r="N194" s="61"/>
    </row>
    <row r="195">
      <c r="A195" s="65"/>
      <c r="B195" s="65"/>
      <c r="C195" s="65"/>
      <c r="D195" s="65"/>
      <c r="E195" s="65"/>
      <c r="F195" s="65"/>
      <c r="G195" s="65"/>
      <c r="H195" s="65"/>
      <c r="I195" s="65"/>
      <c r="J195" s="108"/>
      <c r="K195" s="103"/>
      <c r="L195" s="65"/>
      <c r="M195" s="65"/>
      <c r="N195" s="65"/>
    </row>
    <row r="196">
      <c r="A196" s="61"/>
      <c r="B196" s="61"/>
      <c r="C196" s="61"/>
      <c r="D196" s="61"/>
      <c r="E196" s="61"/>
      <c r="F196" s="61"/>
      <c r="G196" s="61"/>
      <c r="H196" s="61"/>
      <c r="I196" s="61"/>
      <c r="J196" s="107"/>
      <c r="K196" s="100"/>
      <c r="L196" s="61"/>
      <c r="M196" s="61"/>
      <c r="N196" s="61"/>
    </row>
    <row r="197">
      <c r="A197" s="65"/>
      <c r="B197" s="65"/>
      <c r="C197" s="65"/>
      <c r="D197" s="65"/>
      <c r="E197" s="65"/>
      <c r="F197" s="65"/>
      <c r="G197" s="65"/>
      <c r="H197" s="65"/>
      <c r="I197" s="65"/>
      <c r="J197" s="108"/>
      <c r="K197" s="103"/>
      <c r="L197" s="65"/>
      <c r="M197" s="65"/>
      <c r="N197" s="65"/>
    </row>
    <row r="198">
      <c r="A198" s="61"/>
      <c r="B198" s="61"/>
      <c r="C198" s="61"/>
      <c r="D198" s="61"/>
      <c r="E198" s="61"/>
      <c r="F198" s="61"/>
      <c r="G198" s="61"/>
      <c r="H198" s="61"/>
      <c r="I198" s="61"/>
      <c r="J198" s="107"/>
      <c r="K198" s="100"/>
      <c r="L198" s="61"/>
      <c r="M198" s="61"/>
      <c r="N198" s="61"/>
    </row>
    <row r="199">
      <c r="A199" s="65"/>
      <c r="B199" s="65"/>
      <c r="C199" s="65"/>
      <c r="D199" s="65"/>
      <c r="E199" s="65"/>
      <c r="F199" s="65"/>
      <c r="G199" s="65"/>
      <c r="H199" s="65"/>
      <c r="I199" s="65"/>
      <c r="J199" s="108"/>
      <c r="K199" s="103"/>
      <c r="L199" s="65"/>
      <c r="M199" s="65"/>
      <c r="N199" s="65"/>
    </row>
    <row r="200">
      <c r="A200" s="61"/>
      <c r="B200" s="61"/>
      <c r="C200" s="61"/>
      <c r="D200" s="61"/>
      <c r="E200" s="61"/>
      <c r="F200" s="61"/>
      <c r="G200" s="61"/>
      <c r="H200" s="61"/>
      <c r="I200" s="61"/>
      <c r="J200" s="107"/>
      <c r="K200" s="100"/>
      <c r="L200" s="61"/>
      <c r="M200" s="61"/>
      <c r="N200" s="61"/>
    </row>
    <row r="201">
      <c r="A201" s="65"/>
      <c r="B201" s="65"/>
      <c r="C201" s="65"/>
      <c r="D201" s="65"/>
      <c r="E201" s="65"/>
      <c r="F201" s="65"/>
      <c r="G201" s="65"/>
      <c r="H201" s="65"/>
      <c r="I201" s="65"/>
      <c r="J201" s="108"/>
      <c r="K201" s="103"/>
      <c r="L201" s="65"/>
      <c r="M201" s="65"/>
      <c r="N201" s="65"/>
    </row>
    <row r="202">
      <c r="A202" s="61"/>
      <c r="B202" s="61"/>
      <c r="C202" s="61"/>
      <c r="D202" s="61"/>
      <c r="E202" s="61"/>
      <c r="F202" s="61"/>
      <c r="G202" s="61"/>
      <c r="H202" s="61"/>
      <c r="I202" s="61"/>
      <c r="J202" s="107"/>
      <c r="K202" s="100"/>
      <c r="L202" s="61"/>
      <c r="M202" s="61"/>
      <c r="N202" s="61"/>
    </row>
    <row r="203">
      <c r="A203" s="65"/>
      <c r="B203" s="65"/>
      <c r="C203" s="65"/>
      <c r="D203" s="65"/>
      <c r="E203" s="65"/>
      <c r="F203" s="65"/>
      <c r="G203" s="65"/>
      <c r="H203" s="65"/>
      <c r="I203" s="65"/>
      <c r="J203" s="108"/>
      <c r="K203" s="103"/>
      <c r="L203" s="65"/>
      <c r="M203" s="65"/>
      <c r="N203" s="65"/>
    </row>
    <row r="204">
      <c r="A204" s="61"/>
      <c r="B204" s="61"/>
      <c r="C204" s="61"/>
      <c r="D204" s="61"/>
      <c r="E204" s="61"/>
      <c r="F204" s="61"/>
      <c r="G204" s="61"/>
      <c r="H204" s="61"/>
      <c r="I204" s="61"/>
      <c r="J204" s="107"/>
      <c r="K204" s="100"/>
      <c r="L204" s="61"/>
      <c r="M204" s="61"/>
      <c r="N204" s="61"/>
    </row>
    <row r="205">
      <c r="A205" s="65"/>
      <c r="B205" s="65"/>
      <c r="C205" s="65"/>
      <c r="D205" s="65"/>
      <c r="E205" s="65"/>
      <c r="F205" s="65"/>
      <c r="G205" s="65"/>
      <c r="H205" s="65"/>
      <c r="I205" s="65"/>
      <c r="J205" s="108"/>
      <c r="K205" s="103"/>
      <c r="L205" s="65"/>
      <c r="M205" s="65"/>
      <c r="N205" s="65"/>
    </row>
    <row r="206">
      <c r="A206" s="61"/>
      <c r="B206" s="61"/>
      <c r="C206" s="61"/>
      <c r="D206" s="61"/>
      <c r="E206" s="61"/>
      <c r="F206" s="61"/>
      <c r="G206" s="61"/>
      <c r="H206" s="61"/>
      <c r="I206" s="61"/>
      <c r="J206" s="107"/>
      <c r="K206" s="100"/>
      <c r="L206" s="61"/>
      <c r="M206" s="61"/>
      <c r="N206" s="61"/>
    </row>
    <row r="207">
      <c r="A207" s="65"/>
      <c r="B207" s="65"/>
      <c r="C207" s="65"/>
      <c r="D207" s="65"/>
      <c r="E207" s="65"/>
      <c r="F207" s="65"/>
      <c r="G207" s="65"/>
      <c r="H207" s="65"/>
      <c r="I207" s="65"/>
      <c r="J207" s="108"/>
      <c r="K207" s="103"/>
      <c r="L207" s="65"/>
      <c r="M207" s="65"/>
      <c r="N207" s="65"/>
    </row>
    <row r="208">
      <c r="A208" s="61"/>
      <c r="B208" s="61"/>
      <c r="C208" s="61"/>
      <c r="D208" s="61"/>
      <c r="E208" s="61"/>
      <c r="F208" s="61"/>
      <c r="G208" s="61"/>
      <c r="H208" s="61"/>
      <c r="I208" s="61"/>
      <c r="J208" s="107"/>
      <c r="K208" s="100"/>
      <c r="L208" s="61"/>
      <c r="M208" s="61"/>
      <c r="N208" s="61"/>
    </row>
    <row r="209">
      <c r="A209" s="65"/>
      <c r="B209" s="65"/>
      <c r="C209" s="65"/>
      <c r="D209" s="65"/>
      <c r="E209" s="65"/>
      <c r="F209" s="65"/>
      <c r="G209" s="65"/>
      <c r="H209" s="65"/>
      <c r="I209" s="65"/>
      <c r="J209" s="108"/>
      <c r="K209" s="103"/>
      <c r="L209" s="65"/>
      <c r="M209" s="65"/>
      <c r="N209" s="65"/>
    </row>
    <row r="210">
      <c r="A210" s="61"/>
      <c r="B210" s="61"/>
      <c r="C210" s="61"/>
      <c r="D210" s="61"/>
      <c r="E210" s="61"/>
      <c r="F210" s="61"/>
      <c r="G210" s="61"/>
      <c r="H210" s="61"/>
      <c r="I210" s="61"/>
      <c r="J210" s="107"/>
      <c r="K210" s="100"/>
      <c r="L210" s="61"/>
      <c r="M210" s="61"/>
      <c r="N210" s="61"/>
    </row>
    <row r="211">
      <c r="A211" s="65"/>
      <c r="B211" s="65"/>
      <c r="C211" s="65"/>
      <c r="D211" s="65"/>
      <c r="E211" s="65"/>
      <c r="F211" s="65"/>
      <c r="G211" s="65"/>
      <c r="H211" s="65"/>
      <c r="I211" s="65"/>
      <c r="J211" s="108"/>
      <c r="K211" s="103"/>
      <c r="L211" s="65"/>
      <c r="M211" s="65"/>
      <c r="N211" s="65"/>
    </row>
    <row r="212">
      <c r="A212" s="61"/>
      <c r="B212" s="61"/>
      <c r="C212" s="61"/>
      <c r="D212" s="61"/>
      <c r="E212" s="61"/>
      <c r="F212" s="61"/>
      <c r="G212" s="61"/>
      <c r="H212" s="61"/>
      <c r="I212" s="61"/>
      <c r="J212" s="107"/>
      <c r="K212" s="100"/>
      <c r="L212" s="61"/>
      <c r="M212" s="61"/>
      <c r="N212" s="61"/>
    </row>
    <row r="213">
      <c r="A213" s="65"/>
      <c r="B213" s="65"/>
      <c r="C213" s="65"/>
      <c r="D213" s="65"/>
      <c r="E213" s="65"/>
      <c r="F213" s="65"/>
      <c r="G213" s="65"/>
      <c r="H213" s="65"/>
      <c r="I213" s="65"/>
      <c r="J213" s="108"/>
      <c r="K213" s="103"/>
      <c r="L213" s="65"/>
      <c r="M213" s="65"/>
      <c r="N213" s="65"/>
    </row>
    <row r="214">
      <c r="A214" s="61"/>
      <c r="B214" s="61"/>
      <c r="C214" s="61"/>
      <c r="D214" s="61"/>
      <c r="E214" s="61"/>
      <c r="F214" s="61"/>
      <c r="G214" s="61"/>
      <c r="H214" s="61"/>
      <c r="I214" s="61"/>
      <c r="J214" s="107"/>
      <c r="K214" s="100"/>
      <c r="L214" s="61"/>
      <c r="M214" s="61"/>
      <c r="N214" s="61"/>
    </row>
    <row r="215">
      <c r="A215" s="65"/>
      <c r="B215" s="65"/>
      <c r="C215" s="65"/>
      <c r="D215" s="65"/>
      <c r="E215" s="65"/>
      <c r="F215" s="65"/>
      <c r="G215" s="65"/>
      <c r="H215" s="65"/>
      <c r="I215" s="65"/>
      <c r="J215" s="108"/>
      <c r="K215" s="103"/>
      <c r="L215" s="65"/>
      <c r="M215" s="65"/>
      <c r="N215" s="65"/>
    </row>
    <row r="216">
      <c r="A216" s="61"/>
      <c r="B216" s="61"/>
      <c r="C216" s="61"/>
      <c r="D216" s="61"/>
      <c r="E216" s="61"/>
      <c r="F216" s="61"/>
      <c r="G216" s="61"/>
      <c r="H216" s="61"/>
      <c r="I216" s="61"/>
      <c r="J216" s="107"/>
      <c r="K216" s="100"/>
      <c r="L216" s="61"/>
      <c r="M216" s="61"/>
      <c r="N216" s="61"/>
    </row>
    <row r="217">
      <c r="A217" s="65"/>
      <c r="B217" s="65"/>
      <c r="C217" s="65"/>
      <c r="D217" s="65"/>
      <c r="E217" s="65"/>
      <c r="F217" s="65"/>
      <c r="G217" s="65"/>
      <c r="H217" s="65"/>
      <c r="I217" s="65"/>
      <c r="J217" s="108"/>
      <c r="K217" s="103"/>
      <c r="L217" s="65"/>
      <c r="M217" s="65"/>
      <c r="N217" s="65"/>
    </row>
    <row r="218">
      <c r="A218" s="61"/>
      <c r="B218" s="61"/>
      <c r="C218" s="61"/>
      <c r="D218" s="61"/>
      <c r="E218" s="61"/>
      <c r="F218" s="61"/>
      <c r="G218" s="61"/>
      <c r="H218" s="61"/>
      <c r="I218" s="61"/>
      <c r="J218" s="107"/>
      <c r="K218" s="100"/>
      <c r="L218" s="61"/>
      <c r="M218" s="61"/>
      <c r="N218" s="61"/>
    </row>
    <row r="219">
      <c r="A219" s="65"/>
      <c r="B219" s="65"/>
      <c r="C219" s="65"/>
      <c r="D219" s="65"/>
      <c r="E219" s="65"/>
      <c r="F219" s="65"/>
      <c r="G219" s="65"/>
      <c r="H219" s="65"/>
      <c r="I219" s="65"/>
      <c r="J219" s="108"/>
      <c r="K219" s="103"/>
      <c r="L219" s="65"/>
      <c r="M219" s="65"/>
      <c r="N219" s="65"/>
    </row>
    <row r="220">
      <c r="A220" s="61"/>
      <c r="B220" s="61"/>
      <c r="C220" s="61"/>
      <c r="D220" s="61"/>
      <c r="E220" s="61"/>
      <c r="F220" s="61"/>
      <c r="G220" s="61"/>
      <c r="H220" s="61"/>
      <c r="I220" s="61"/>
      <c r="J220" s="107"/>
      <c r="K220" s="100"/>
      <c r="L220" s="61"/>
      <c r="M220" s="61"/>
      <c r="N220" s="61"/>
    </row>
    <row r="221">
      <c r="A221" s="65"/>
      <c r="B221" s="65"/>
      <c r="C221" s="65"/>
      <c r="D221" s="65"/>
      <c r="E221" s="65"/>
      <c r="F221" s="65"/>
      <c r="G221" s="65"/>
      <c r="H221" s="65"/>
      <c r="I221" s="65"/>
      <c r="J221" s="108"/>
      <c r="K221" s="103"/>
      <c r="L221" s="65"/>
      <c r="M221" s="65"/>
      <c r="N221" s="65"/>
    </row>
    <row r="222">
      <c r="A222" s="61"/>
      <c r="B222" s="61"/>
      <c r="C222" s="61"/>
      <c r="D222" s="61"/>
      <c r="E222" s="61"/>
      <c r="F222" s="61"/>
      <c r="G222" s="61"/>
      <c r="H222" s="61"/>
      <c r="I222" s="61"/>
      <c r="J222" s="107"/>
      <c r="K222" s="100"/>
      <c r="L222" s="61"/>
      <c r="M222" s="61"/>
      <c r="N222" s="61"/>
    </row>
    <row r="223">
      <c r="A223" s="65"/>
      <c r="B223" s="65"/>
      <c r="C223" s="65"/>
      <c r="D223" s="65"/>
      <c r="E223" s="65"/>
      <c r="F223" s="65"/>
      <c r="G223" s="65"/>
      <c r="H223" s="65"/>
      <c r="I223" s="65"/>
      <c r="J223" s="108"/>
      <c r="K223" s="103"/>
      <c r="L223" s="65"/>
      <c r="M223" s="65"/>
      <c r="N223" s="65"/>
    </row>
    <row r="224">
      <c r="A224" s="61"/>
      <c r="B224" s="61"/>
      <c r="C224" s="61"/>
      <c r="D224" s="61"/>
      <c r="E224" s="61"/>
      <c r="F224" s="61"/>
      <c r="G224" s="61"/>
      <c r="H224" s="61"/>
      <c r="I224" s="61"/>
      <c r="J224" s="107"/>
      <c r="K224" s="100"/>
      <c r="L224" s="61"/>
      <c r="M224" s="61"/>
      <c r="N224" s="61"/>
    </row>
    <row r="225">
      <c r="A225" s="65"/>
      <c r="B225" s="65"/>
      <c r="C225" s="65"/>
      <c r="D225" s="65"/>
      <c r="E225" s="65"/>
      <c r="F225" s="65"/>
      <c r="G225" s="65"/>
      <c r="H225" s="65"/>
      <c r="I225" s="65"/>
      <c r="J225" s="108"/>
      <c r="K225" s="103"/>
      <c r="L225" s="65"/>
      <c r="M225" s="65"/>
      <c r="N225" s="65"/>
    </row>
    <row r="226">
      <c r="A226" s="61"/>
      <c r="B226" s="61"/>
      <c r="C226" s="61"/>
      <c r="D226" s="61"/>
      <c r="E226" s="61"/>
      <c r="F226" s="61"/>
      <c r="G226" s="61"/>
      <c r="H226" s="61"/>
      <c r="I226" s="61"/>
      <c r="J226" s="107"/>
      <c r="K226" s="100"/>
      <c r="L226" s="61"/>
      <c r="M226" s="61"/>
      <c r="N226" s="61"/>
    </row>
    <row r="227">
      <c r="A227" s="65"/>
      <c r="B227" s="65"/>
      <c r="C227" s="65"/>
      <c r="D227" s="65"/>
      <c r="E227" s="65"/>
      <c r="F227" s="65"/>
      <c r="G227" s="65"/>
      <c r="H227" s="65"/>
      <c r="I227" s="65"/>
      <c r="J227" s="108"/>
      <c r="K227" s="103"/>
      <c r="L227" s="65"/>
      <c r="M227" s="65"/>
      <c r="N227" s="65"/>
    </row>
    <row r="228">
      <c r="A228" s="61"/>
      <c r="B228" s="61"/>
      <c r="C228" s="61"/>
      <c r="D228" s="61"/>
      <c r="E228" s="61"/>
      <c r="F228" s="61"/>
      <c r="G228" s="61"/>
      <c r="H228" s="61"/>
      <c r="I228" s="61"/>
      <c r="J228" s="107"/>
      <c r="K228" s="100"/>
      <c r="L228" s="61"/>
      <c r="M228" s="61"/>
      <c r="N228" s="61"/>
    </row>
    <row r="229">
      <c r="A229" s="65"/>
      <c r="B229" s="65"/>
      <c r="C229" s="65"/>
      <c r="D229" s="65"/>
      <c r="E229" s="65"/>
      <c r="F229" s="65"/>
      <c r="G229" s="65"/>
      <c r="H229" s="65"/>
      <c r="I229" s="65"/>
      <c r="J229" s="108"/>
      <c r="K229" s="103"/>
      <c r="L229" s="65"/>
      <c r="M229" s="65"/>
      <c r="N229" s="65"/>
    </row>
    <row r="230">
      <c r="A230" s="61"/>
      <c r="B230" s="61"/>
      <c r="C230" s="61"/>
      <c r="D230" s="61"/>
      <c r="E230" s="61"/>
      <c r="F230" s="61"/>
      <c r="G230" s="61"/>
      <c r="H230" s="61"/>
      <c r="I230" s="61"/>
      <c r="J230" s="107"/>
      <c r="K230" s="100"/>
      <c r="L230" s="61"/>
      <c r="M230" s="61"/>
      <c r="N230" s="61"/>
    </row>
    <row r="231">
      <c r="A231" s="65"/>
      <c r="B231" s="65"/>
      <c r="C231" s="65"/>
      <c r="D231" s="65"/>
      <c r="E231" s="65"/>
      <c r="F231" s="65"/>
      <c r="G231" s="65"/>
      <c r="H231" s="65"/>
      <c r="I231" s="65"/>
      <c r="J231" s="108"/>
      <c r="K231" s="103"/>
      <c r="L231" s="65"/>
      <c r="M231" s="65"/>
      <c r="N231" s="65"/>
    </row>
    <row r="232">
      <c r="A232" s="61"/>
      <c r="B232" s="61"/>
      <c r="C232" s="61"/>
      <c r="D232" s="61"/>
      <c r="E232" s="61"/>
      <c r="F232" s="61"/>
      <c r="G232" s="61"/>
      <c r="H232" s="61"/>
      <c r="I232" s="61"/>
      <c r="J232" s="107"/>
      <c r="K232" s="100"/>
      <c r="L232" s="61"/>
      <c r="M232" s="61"/>
      <c r="N232" s="61"/>
    </row>
    <row r="233">
      <c r="A233" s="65"/>
      <c r="B233" s="65"/>
      <c r="C233" s="65"/>
      <c r="D233" s="65"/>
      <c r="E233" s="65"/>
      <c r="F233" s="65"/>
      <c r="G233" s="65"/>
      <c r="H233" s="65"/>
      <c r="I233" s="65"/>
      <c r="J233" s="108"/>
      <c r="K233" s="103"/>
      <c r="L233" s="65"/>
      <c r="M233" s="65"/>
      <c r="N233" s="65"/>
    </row>
    <row r="234">
      <c r="A234" s="61"/>
      <c r="B234" s="61"/>
      <c r="C234" s="61"/>
      <c r="D234" s="61"/>
      <c r="E234" s="61"/>
      <c r="F234" s="61"/>
      <c r="G234" s="61"/>
      <c r="H234" s="61"/>
      <c r="I234" s="61"/>
      <c r="J234" s="107"/>
      <c r="K234" s="100"/>
      <c r="L234" s="61"/>
      <c r="M234" s="61"/>
      <c r="N234" s="61"/>
    </row>
    <row r="235">
      <c r="A235" s="65"/>
      <c r="B235" s="65"/>
      <c r="C235" s="65"/>
      <c r="D235" s="65"/>
      <c r="E235" s="65"/>
      <c r="F235" s="65"/>
      <c r="G235" s="65"/>
      <c r="H235" s="65"/>
      <c r="I235" s="65"/>
      <c r="J235" s="108"/>
      <c r="K235" s="103"/>
      <c r="L235" s="65"/>
      <c r="M235" s="65"/>
      <c r="N235" s="65"/>
    </row>
    <row r="236">
      <c r="A236" s="61"/>
      <c r="B236" s="61"/>
      <c r="C236" s="61"/>
      <c r="D236" s="61"/>
      <c r="E236" s="61"/>
      <c r="F236" s="61"/>
      <c r="G236" s="61"/>
      <c r="H236" s="61"/>
      <c r="I236" s="61"/>
      <c r="J236" s="107"/>
      <c r="K236" s="100"/>
      <c r="L236" s="61"/>
      <c r="M236" s="61"/>
      <c r="N236" s="61"/>
    </row>
    <row r="237">
      <c r="A237" s="65"/>
      <c r="B237" s="65"/>
      <c r="C237" s="65"/>
      <c r="D237" s="65"/>
      <c r="E237" s="65"/>
      <c r="F237" s="65"/>
      <c r="G237" s="65"/>
      <c r="H237" s="65"/>
      <c r="I237" s="65"/>
      <c r="J237" s="108"/>
      <c r="K237" s="103"/>
      <c r="L237" s="65"/>
      <c r="M237" s="65"/>
      <c r="N237" s="65"/>
    </row>
    <row r="238">
      <c r="A238" s="61"/>
      <c r="B238" s="61"/>
      <c r="C238" s="61"/>
      <c r="D238" s="61"/>
      <c r="E238" s="61"/>
      <c r="F238" s="61"/>
      <c r="G238" s="61"/>
      <c r="H238" s="61"/>
      <c r="I238" s="61"/>
      <c r="J238" s="107"/>
      <c r="K238" s="100"/>
      <c r="L238" s="61"/>
      <c r="M238" s="61"/>
      <c r="N238" s="61"/>
    </row>
    <row r="239">
      <c r="A239" s="65"/>
      <c r="B239" s="65"/>
      <c r="C239" s="65"/>
      <c r="D239" s="65"/>
      <c r="E239" s="65"/>
      <c r="F239" s="65"/>
      <c r="G239" s="65"/>
      <c r="H239" s="65"/>
      <c r="I239" s="65"/>
      <c r="J239" s="108"/>
      <c r="K239" s="103"/>
      <c r="L239" s="65"/>
      <c r="M239" s="65"/>
      <c r="N239" s="65"/>
    </row>
    <row r="240">
      <c r="A240" s="61"/>
      <c r="B240" s="61"/>
      <c r="C240" s="61"/>
      <c r="D240" s="61"/>
      <c r="E240" s="61"/>
      <c r="F240" s="61"/>
      <c r="G240" s="61"/>
      <c r="H240" s="61"/>
      <c r="I240" s="61"/>
      <c r="J240" s="107"/>
      <c r="K240" s="100"/>
      <c r="L240" s="61"/>
      <c r="M240" s="61"/>
      <c r="N240" s="61"/>
    </row>
    <row r="241">
      <c r="A241" s="65"/>
      <c r="B241" s="65"/>
      <c r="C241" s="65"/>
      <c r="D241" s="65"/>
      <c r="E241" s="65"/>
      <c r="F241" s="65"/>
      <c r="G241" s="65"/>
      <c r="H241" s="65"/>
      <c r="I241" s="65"/>
      <c r="J241" s="108"/>
      <c r="K241" s="103"/>
      <c r="L241" s="65"/>
      <c r="M241" s="65"/>
      <c r="N241" s="65"/>
    </row>
    <row r="242">
      <c r="A242" s="61"/>
      <c r="B242" s="61"/>
      <c r="C242" s="61"/>
      <c r="D242" s="61"/>
      <c r="E242" s="61"/>
      <c r="F242" s="61"/>
      <c r="G242" s="61"/>
      <c r="H242" s="61"/>
      <c r="I242" s="61"/>
      <c r="J242" s="107"/>
      <c r="K242" s="100"/>
      <c r="L242" s="61"/>
      <c r="M242" s="61"/>
      <c r="N242" s="61"/>
    </row>
    <row r="243">
      <c r="A243" s="65"/>
      <c r="B243" s="65"/>
      <c r="C243" s="65"/>
      <c r="D243" s="65"/>
      <c r="E243" s="65"/>
      <c r="F243" s="65"/>
      <c r="G243" s="65"/>
      <c r="H243" s="65"/>
      <c r="I243" s="65"/>
      <c r="J243" s="108"/>
      <c r="K243" s="103"/>
      <c r="L243" s="65"/>
      <c r="M243" s="65"/>
      <c r="N243" s="65"/>
    </row>
    <row r="244">
      <c r="A244" s="61"/>
      <c r="B244" s="61"/>
      <c r="C244" s="61"/>
      <c r="D244" s="61"/>
      <c r="E244" s="61"/>
      <c r="F244" s="61"/>
      <c r="G244" s="61"/>
      <c r="H244" s="61"/>
      <c r="I244" s="61"/>
      <c r="J244" s="107"/>
      <c r="K244" s="100"/>
      <c r="L244" s="61"/>
      <c r="M244" s="61"/>
      <c r="N244" s="61"/>
    </row>
    <row r="245">
      <c r="A245" s="65"/>
      <c r="B245" s="65"/>
      <c r="C245" s="65"/>
      <c r="D245" s="65"/>
      <c r="E245" s="65"/>
      <c r="F245" s="65"/>
      <c r="G245" s="65"/>
      <c r="H245" s="65"/>
      <c r="I245" s="65"/>
      <c r="J245" s="108"/>
      <c r="K245" s="103"/>
      <c r="L245" s="65"/>
      <c r="M245" s="65"/>
      <c r="N245" s="65"/>
    </row>
    <row r="246">
      <c r="A246" s="61"/>
      <c r="B246" s="61"/>
      <c r="C246" s="61"/>
      <c r="D246" s="61"/>
      <c r="E246" s="61"/>
      <c r="F246" s="61"/>
      <c r="G246" s="61"/>
      <c r="H246" s="61"/>
      <c r="I246" s="61"/>
      <c r="J246" s="107"/>
      <c r="K246" s="100"/>
      <c r="L246" s="61"/>
      <c r="M246" s="61"/>
      <c r="N246" s="61"/>
    </row>
    <row r="247">
      <c r="A247" s="65"/>
      <c r="B247" s="65"/>
      <c r="C247" s="65"/>
      <c r="D247" s="65"/>
      <c r="E247" s="65"/>
      <c r="F247" s="65"/>
      <c r="G247" s="65"/>
      <c r="H247" s="65"/>
      <c r="I247" s="65"/>
      <c r="J247" s="108"/>
      <c r="K247" s="103"/>
      <c r="L247" s="65"/>
      <c r="M247" s="65"/>
      <c r="N247" s="65"/>
    </row>
    <row r="248">
      <c r="A248" s="61"/>
      <c r="B248" s="61"/>
      <c r="C248" s="61"/>
      <c r="D248" s="61"/>
      <c r="E248" s="61"/>
      <c r="F248" s="61"/>
      <c r="G248" s="61"/>
      <c r="H248" s="61"/>
      <c r="I248" s="61"/>
      <c r="J248" s="107"/>
      <c r="K248" s="100"/>
      <c r="L248" s="61"/>
      <c r="M248" s="61"/>
      <c r="N248" s="61"/>
    </row>
    <row r="249">
      <c r="A249" s="65"/>
      <c r="B249" s="65"/>
      <c r="C249" s="65"/>
      <c r="D249" s="65"/>
      <c r="E249" s="65"/>
      <c r="F249" s="65"/>
      <c r="G249" s="65"/>
      <c r="H249" s="65"/>
      <c r="I249" s="65"/>
      <c r="J249" s="108"/>
      <c r="K249" s="103"/>
      <c r="L249" s="65"/>
      <c r="M249" s="65"/>
      <c r="N249" s="65"/>
    </row>
    <row r="250">
      <c r="A250" s="61"/>
      <c r="B250" s="61"/>
      <c r="C250" s="61"/>
      <c r="D250" s="61"/>
      <c r="E250" s="61"/>
      <c r="F250" s="61"/>
      <c r="G250" s="61"/>
      <c r="H250" s="61"/>
      <c r="I250" s="61"/>
      <c r="J250" s="107"/>
      <c r="K250" s="100"/>
      <c r="L250" s="61"/>
      <c r="M250" s="61"/>
      <c r="N250" s="61"/>
    </row>
    <row r="251">
      <c r="A251" s="65"/>
      <c r="B251" s="65"/>
      <c r="C251" s="65"/>
      <c r="D251" s="65"/>
      <c r="E251" s="65"/>
      <c r="F251" s="65"/>
      <c r="G251" s="65"/>
      <c r="H251" s="65"/>
      <c r="I251" s="65"/>
      <c r="J251" s="108"/>
      <c r="K251" s="103"/>
      <c r="L251" s="65"/>
      <c r="M251" s="65"/>
      <c r="N251" s="65"/>
    </row>
    <row r="252">
      <c r="A252" s="61"/>
      <c r="B252" s="61"/>
      <c r="C252" s="61"/>
      <c r="D252" s="61"/>
      <c r="E252" s="61"/>
      <c r="F252" s="61"/>
      <c r="G252" s="61"/>
      <c r="H252" s="61"/>
      <c r="I252" s="61"/>
      <c r="J252" s="107"/>
      <c r="K252" s="100"/>
      <c r="L252" s="61"/>
      <c r="M252" s="61"/>
      <c r="N252" s="61"/>
    </row>
    <row r="253">
      <c r="A253" s="65"/>
      <c r="B253" s="65"/>
      <c r="C253" s="65"/>
      <c r="D253" s="65"/>
      <c r="E253" s="65"/>
      <c r="F253" s="65"/>
      <c r="G253" s="65"/>
      <c r="H253" s="65"/>
      <c r="I253" s="65"/>
      <c r="J253" s="108"/>
      <c r="K253" s="103"/>
      <c r="L253" s="65"/>
      <c r="M253" s="65"/>
      <c r="N253" s="65"/>
    </row>
    <row r="254">
      <c r="A254" s="61"/>
      <c r="B254" s="61"/>
      <c r="C254" s="61"/>
      <c r="D254" s="61"/>
      <c r="E254" s="61"/>
      <c r="F254" s="61"/>
      <c r="G254" s="61"/>
      <c r="H254" s="61"/>
      <c r="I254" s="61"/>
      <c r="J254" s="107"/>
      <c r="K254" s="100"/>
      <c r="L254" s="61"/>
      <c r="M254" s="61"/>
      <c r="N254" s="61"/>
    </row>
    <row r="255">
      <c r="A255" s="65"/>
      <c r="B255" s="65"/>
      <c r="C255" s="65"/>
      <c r="D255" s="65"/>
      <c r="E255" s="65"/>
      <c r="F255" s="65"/>
      <c r="G255" s="65"/>
      <c r="H255" s="65"/>
      <c r="I255" s="65"/>
      <c r="J255" s="108"/>
      <c r="K255" s="103"/>
      <c r="L255" s="65"/>
      <c r="M255" s="65"/>
      <c r="N255" s="65"/>
    </row>
    <row r="256">
      <c r="A256" s="61"/>
      <c r="B256" s="61"/>
      <c r="C256" s="61"/>
      <c r="D256" s="61"/>
      <c r="E256" s="61"/>
      <c r="F256" s="61"/>
      <c r="G256" s="61"/>
      <c r="H256" s="61"/>
      <c r="I256" s="61"/>
      <c r="J256" s="107"/>
      <c r="K256" s="100"/>
      <c r="L256" s="61"/>
      <c r="M256" s="61"/>
      <c r="N256" s="61"/>
    </row>
    <row r="257">
      <c r="A257" s="65"/>
      <c r="B257" s="65"/>
      <c r="C257" s="65"/>
      <c r="D257" s="65"/>
      <c r="E257" s="65"/>
      <c r="F257" s="65"/>
      <c r="G257" s="65"/>
      <c r="H257" s="65"/>
      <c r="I257" s="65"/>
      <c r="J257" s="108"/>
      <c r="K257" s="103"/>
      <c r="L257" s="65"/>
      <c r="M257" s="65"/>
      <c r="N257" s="65"/>
    </row>
    <row r="258">
      <c r="A258" s="61"/>
      <c r="B258" s="61"/>
      <c r="C258" s="61"/>
      <c r="D258" s="61"/>
      <c r="E258" s="61"/>
      <c r="F258" s="61"/>
      <c r="G258" s="61"/>
      <c r="H258" s="61"/>
      <c r="I258" s="61"/>
      <c r="J258" s="107"/>
      <c r="K258" s="100"/>
      <c r="L258" s="61"/>
      <c r="M258" s="61"/>
      <c r="N258" s="61"/>
    </row>
    <row r="259">
      <c r="A259" s="65"/>
      <c r="B259" s="65"/>
      <c r="C259" s="65"/>
      <c r="D259" s="65"/>
      <c r="E259" s="65"/>
      <c r="F259" s="65"/>
      <c r="G259" s="65"/>
      <c r="H259" s="65"/>
      <c r="I259" s="65"/>
      <c r="J259" s="108"/>
      <c r="K259" s="103"/>
      <c r="L259" s="65"/>
      <c r="M259" s="65"/>
      <c r="N259" s="65"/>
    </row>
    <row r="260">
      <c r="A260" s="61"/>
      <c r="B260" s="61"/>
      <c r="C260" s="61"/>
      <c r="D260" s="61"/>
      <c r="E260" s="61"/>
      <c r="F260" s="61"/>
      <c r="G260" s="61"/>
      <c r="H260" s="61"/>
      <c r="I260" s="61"/>
      <c r="J260" s="107"/>
      <c r="K260" s="100"/>
      <c r="L260" s="61"/>
      <c r="M260" s="61"/>
      <c r="N260" s="61"/>
    </row>
    <row r="261">
      <c r="A261" s="65"/>
      <c r="B261" s="65"/>
      <c r="C261" s="65"/>
      <c r="D261" s="65"/>
      <c r="E261" s="65"/>
      <c r="F261" s="65"/>
      <c r="G261" s="65"/>
      <c r="H261" s="65"/>
      <c r="I261" s="65"/>
      <c r="J261" s="108"/>
      <c r="K261" s="103"/>
      <c r="L261" s="65"/>
      <c r="M261" s="65"/>
      <c r="N261" s="65"/>
    </row>
    <row r="262">
      <c r="A262" s="61"/>
      <c r="B262" s="61"/>
      <c r="C262" s="61"/>
      <c r="D262" s="61"/>
      <c r="E262" s="61"/>
      <c r="F262" s="61"/>
      <c r="G262" s="61"/>
      <c r="H262" s="61"/>
      <c r="I262" s="61"/>
      <c r="J262" s="107"/>
      <c r="K262" s="100"/>
      <c r="L262" s="61"/>
      <c r="M262" s="61"/>
      <c r="N262" s="61"/>
    </row>
    <row r="263">
      <c r="A263" s="65"/>
      <c r="B263" s="65"/>
      <c r="C263" s="65"/>
      <c r="D263" s="65"/>
      <c r="E263" s="65"/>
      <c r="F263" s="65"/>
      <c r="G263" s="65"/>
      <c r="H263" s="65"/>
      <c r="I263" s="65"/>
      <c r="J263" s="108"/>
      <c r="K263" s="103"/>
      <c r="L263" s="65"/>
      <c r="M263" s="65"/>
      <c r="N263" s="65"/>
    </row>
    <row r="264">
      <c r="A264" s="61"/>
      <c r="B264" s="61"/>
      <c r="C264" s="61"/>
      <c r="D264" s="61"/>
      <c r="E264" s="61"/>
      <c r="F264" s="61"/>
      <c r="G264" s="61"/>
      <c r="H264" s="61"/>
      <c r="I264" s="61"/>
      <c r="J264" s="107"/>
      <c r="K264" s="100"/>
      <c r="L264" s="61"/>
      <c r="M264" s="61"/>
      <c r="N264" s="61"/>
    </row>
    <row r="265">
      <c r="A265" s="65"/>
      <c r="B265" s="65"/>
      <c r="C265" s="65"/>
      <c r="D265" s="65"/>
      <c r="E265" s="65"/>
      <c r="F265" s="65"/>
      <c r="G265" s="65"/>
      <c r="H265" s="65"/>
      <c r="I265" s="65"/>
      <c r="J265" s="108"/>
      <c r="K265" s="103"/>
      <c r="L265" s="65"/>
      <c r="M265" s="65"/>
      <c r="N265" s="65"/>
    </row>
    <row r="266">
      <c r="A266" s="61"/>
      <c r="B266" s="61"/>
      <c r="C266" s="61"/>
      <c r="D266" s="61"/>
      <c r="E266" s="61"/>
      <c r="F266" s="61"/>
      <c r="G266" s="61"/>
      <c r="H266" s="61"/>
      <c r="I266" s="61"/>
      <c r="J266" s="107"/>
      <c r="K266" s="100"/>
      <c r="L266" s="61"/>
      <c r="M266" s="61"/>
      <c r="N266" s="61"/>
    </row>
    <row r="267">
      <c r="A267" s="65"/>
      <c r="B267" s="65"/>
      <c r="C267" s="65"/>
      <c r="D267" s="65"/>
      <c r="E267" s="65"/>
      <c r="F267" s="65"/>
      <c r="G267" s="65"/>
      <c r="H267" s="65"/>
      <c r="I267" s="65"/>
      <c r="J267" s="108"/>
      <c r="K267" s="103"/>
      <c r="L267" s="65"/>
      <c r="M267" s="65"/>
      <c r="N267" s="65"/>
    </row>
    <row r="268">
      <c r="A268" s="61"/>
      <c r="B268" s="61"/>
      <c r="C268" s="61"/>
      <c r="D268" s="61"/>
      <c r="E268" s="61"/>
      <c r="F268" s="61"/>
      <c r="G268" s="61"/>
      <c r="H268" s="61"/>
      <c r="I268" s="61"/>
      <c r="J268" s="107"/>
      <c r="K268" s="100"/>
      <c r="L268" s="61"/>
      <c r="M268" s="61"/>
      <c r="N268" s="61"/>
    </row>
    <row r="269">
      <c r="A269" s="65"/>
      <c r="B269" s="65"/>
      <c r="C269" s="65"/>
      <c r="D269" s="65"/>
      <c r="E269" s="65"/>
      <c r="F269" s="65"/>
      <c r="G269" s="65"/>
      <c r="H269" s="65"/>
      <c r="I269" s="65"/>
      <c r="J269" s="108"/>
      <c r="K269" s="103"/>
      <c r="L269" s="65"/>
      <c r="M269" s="65"/>
      <c r="N269" s="65"/>
    </row>
    <row r="270">
      <c r="A270" s="61"/>
      <c r="B270" s="61"/>
      <c r="C270" s="61"/>
      <c r="D270" s="61"/>
      <c r="E270" s="61"/>
      <c r="F270" s="61"/>
      <c r="G270" s="61"/>
      <c r="H270" s="61"/>
      <c r="I270" s="61"/>
      <c r="J270" s="107"/>
      <c r="K270" s="100"/>
      <c r="L270" s="61"/>
      <c r="M270" s="61"/>
      <c r="N270" s="61"/>
    </row>
    <row r="271">
      <c r="A271" s="65"/>
      <c r="B271" s="65"/>
      <c r="C271" s="65"/>
      <c r="D271" s="65"/>
      <c r="E271" s="65"/>
      <c r="F271" s="65"/>
      <c r="G271" s="65"/>
      <c r="H271" s="65"/>
      <c r="I271" s="65"/>
      <c r="J271" s="108"/>
      <c r="K271" s="103"/>
      <c r="L271" s="65"/>
      <c r="M271" s="65"/>
      <c r="N271" s="65"/>
    </row>
    <row r="272">
      <c r="A272" s="61"/>
      <c r="B272" s="61"/>
      <c r="C272" s="61"/>
      <c r="D272" s="61"/>
      <c r="E272" s="61"/>
      <c r="F272" s="61"/>
      <c r="G272" s="61"/>
      <c r="H272" s="61"/>
      <c r="I272" s="61"/>
      <c r="J272" s="107"/>
      <c r="K272" s="100"/>
      <c r="L272" s="61"/>
      <c r="M272" s="61"/>
      <c r="N272" s="61"/>
    </row>
    <row r="273">
      <c r="A273" s="65"/>
      <c r="B273" s="65"/>
      <c r="C273" s="65"/>
      <c r="D273" s="65"/>
      <c r="E273" s="65"/>
      <c r="F273" s="65"/>
      <c r="G273" s="65"/>
      <c r="H273" s="65"/>
      <c r="I273" s="65"/>
      <c r="J273" s="108"/>
      <c r="K273" s="103"/>
      <c r="L273" s="65"/>
      <c r="M273" s="65"/>
      <c r="N273" s="65"/>
    </row>
    <row r="274">
      <c r="A274" s="61"/>
      <c r="B274" s="61"/>
      <c r="C274" s="61"/>
      <c r="D274" s="61"/>
      <c r="E274" s="61"/>
      <c r="F274" s="61"/>
      <c r="G274" s="61"/>
      <c r="H274" s="61"/>
      <c r="I274" s="61"/>
      <c r="J274" s="107"/>
      <c r="K274" s="100"/>
      <c r="L274" s="61"/>
      <c r="M274" s="61"/>
      <c r="N274" s="61"/>
    </row>
    <row r="275">
      <c r="A275" s="65"/>
      <c r="B275" s="65"/>
      <c r="C275" s="65"/>
      <c r="D275" s="65"/>
      <c r="E275" s="65"/>
      <c r="F275" s="65"/>
      <c r="G275" s="65"/>
      <c r="H275" s="65"/>
      <c r="I275" s="65"/>
      <c r="J275" s="108"/>
      <c r="K275" s="103"/>
      <c r="L275" s="65"/>
      <c r="M275" s="65"/>
      <c r="N275" s="65"/>
    </row>
    <row r="276">
      <c r="A276" s="61"/>
      <c r="B276" s="61"/>
      <c r="C276" s="61"/>
      <c r="D276" s="61"/>
      <c r="E276" s="61"/>
      <c r="F276" s="61"/>
      <c r="G276" s="61"/>
      <c r="H276" s="61"/>
      <c r="I276" s="61"/>
      <c r="J276" s="107"/>
      <c r="K276" s="100"/>
      <c r="L276" s="61"/>
      <c r="M276" s="61"/>
      <c r="N276" s="61"/>
    </row>
    <row r="277">
      <c r="A277" s="65"/>
      <c r="B277" s="65"/>
      <c r="C277" s="65"/>
      <c r="D277" s="65"/>
      <c r="E277" s="65"/>
      <c r="F277" s="65"/>
      <c r="G277" s="65"/>
      <c r="H277" s="65"/>
      <c r="I277" s="65"/>
      <c r="J277" s="108"/>
      <c r="K277" s="103"/>
      <c r="L277" s="65"/>
      <c r="M277" s="65"/>
      <c r="N277" s="65"/>
    </row>
    <row r="278">
      <c r="A278" s="61"/>
      <c r="B278" s="61"/>
      <c r="C278" s="61"/>
      <c r="D278" s="61"/>
      <c r="E278" s="61"/>
      <c r="F278" s="61"/>
      <c r="G278" s="61"/>
      <c r="H278" s="61"/>
      <c r="I278" s="61"/>
      <c r="J278" s="107"/>
      <c r="K278" s="100"/>
      <c r="L278" s="61"/>
      <c r="M278" s="61"/>
      <c r="N278" s="61"/>
    </row>
    <row r="279">
      <c r="A279" s="65"/>
      <c r="B279" s="65"/>
      <c r="C279" s="65"/>
      <c r="D279" s="65"/>
      <c r="E279" s="65"/>
      <c r="F279" s="65"/>
      <c r="G279" s="65"/>
      <c r="H279" s="65"/>
      <c r="I279" s="65"/>
      <c r="J279" s="108"/>
      <c r="K279" s="103"/>
      <c r="L279" s="65"/>
      <c r="M279" s="65"/>
      <c r="N279" s="65"/>
    </row>
    <row r="280">
      <c r="A280" s="61"/>
      <c r="B280" s="61"/>
      <c r="C280" s="61"/>
      <c r="D280" s="61"/>
      <c r="E280" s="61"/>
      <c r="F280" s="61"/>
      <c r="G280" s="61"/>
      <c r="H280" s="61"/>
      <c r="I280" s="61"/>
      <c r="J280" s="107"/>
      <c r="K280" s="100"/>
      <c r="L280" s="61"/>
      <c r="M280" s="61"/>
      <c r="N280" s="61"/>
    </row>
    <row r="281">
      <c r="A281" s="65"/>
      <c r="B281" s="65"/>
      <c r="C281" s="65"/>
      <c r="D281" s="65"/>
      <c r="E281" s="65"/>
      <c r="F281" s="65"/>
      <c r="G281" s="65"/>
      <c r="H281" s="65"/>
      <c r="I281" s="65"/>
      <c r="J281" s="108"/>
      <c r="K281" s="103"/>
      <c r="L281" s="65"/>
      <c r="M281" s="65"/>
      <c r="N281" s="65"/>
    </row>
    <row r="282">
      <c r="A282" s="61"/>
      <c r="B282" s="61"/>
      <c r="C282" s="61"/>
      <c r="D282" s="61"/>
      <c r="E282" s="61"/>
      <c r="F282" s="61"/>
      <c r="G282" s="61"/>
      <c r="H282" s="61"/>
      <c r="I282" s="61"/>
      <c r="J282" s="107"/>
      <c r="K282" s="100"/>
      <c r="L282" s="61"/>
      <c r="M282" s="61"/>
      <c r="N282" s="61"/>
    </row>
    <row r="283">
      <c r="A283" s="65"/>
      <c r="B283" s="65"/>
      <c r="C283" s="65"/>
      <c r="D283" s="65"/>
      <c r="E283" s="65"/>
      <c r="F283" s="65"/>
      <c r="G283" s="65"/>
      <c r="H283" s="65"/>
      <c r="I283" s="65"/>
      <c r="J283" s="108"/>
      <c r="K283" s="103"/>
      <c r="L283" s="65"/>
      <c r="M283" s="65"/>
      <c r="N283" s="65"/>
    </row>
    <row r="284">
      <c r="A284" s="61"/>
      <c r="B284" s="61"/>
      <c r="C284" s="61"/>
      <c r="D284" s="61"/>
      <c r="E284" s="61"/>
      <c r="F284" s="61"/>
      <c r="G284" s="61"/>
      <c r="H284" s="61"/>
      <c r="I284" s="61"/>
      <c r="J284" s="107"/>
      <c r="K284" s="100"/>
      <c r="L284" s="61"/>
      <c r="M284" s="61"/>
      <c r="N284" s="61"/>
    </row>
    <row r="285">
      <c r="A285" s="65"/>
      <c r="B285" s="65"/>
      <c r="C285" s="65"/>
      <c r="D285" s="65"/>
      <c r="E285" s="65"/>
      <c r="F285" s="65"/>
      <c r="G285" s="65"/>
      <c r="H285" s="65"/>
      <c r="I285" s="65"/>
      <c r="J285" s="108"/>
      <c r="K285" s="103"/>
      <c r="L285" s="65"/>
      <c r="M285" s="65"/>
      <c r="N285" s="65"/>
    </row>
    <row r="286">
      <c r="A286" s="61"/>
      <c r="B286" s="61"/>
      <c r="C286" s="61"/>
      <c r="D286" s="61"/>
      <c r="E286" s="61"/>
      <c r="F286" s="61"/>
      <c r="G286" s="61"/>
      <c r="H286" s="61"/>
      <c r="I286" s="61"/>
      <c r="J286" s="107"/>
      <c r="K286" s="100"/>
      <c r="L286" s="61"/>
      <c r="M286" s="61"/>
      <c r="N286" s="61"/>
    </row>
    <row r="287">
      <c r="A287" s="65"/>
      <c r="B287" s="65"/>
      <c r="C287" s="65"/>
      <c r="D287" s="65"/>
      <c r="E287" s="65"/>
      <c r="F287" s="65"/>
      <c r="G287" s="65"/>
      <c r="H287" s="65"/>
      <c r="I287" s="65"/>
      <c r="J287" s="108"/>
      <c r="K287" s="103"/>
      <c r="L287" s="65"/>
      <c r="M287" s="65"/>
      <c r="N287" s="65"/>
    </row>
    <row r="288">
      <c r="A288" s="61"/>
      <c r="B288" s="61"/>
      <c r="C288" s="61"/>
      <c r="D288" s="61"/>
      <c r="E288" s="61"/>
      <c r="F288" s="61"/>
      <c r="G288" s="61"/>
      <c r="H288" s="61"/>
      <c r="I288" s="61"/>
      <c r="J288" s="107"/>
      <c r="K288" s="100"/>
      <c r="L288" s="61"/>
      <c r="M288" s="61"/>
      <c r="N288" s="61"/>
    </row>
    <row r="289">
      <c r="A289" s="65"/>
      <c r="B289" s="65"/>
      <c r="C289" s="65"/>
      <c r="D289" s="65"/>
      <c r="E289" s="65"/>
      <c r="F289" s="65"/>
      <c r="G289" s="65"/>
      <c r="H289" s="65"/>
      <c r="I289" s="65"/>
      <c r="J289" s="108"/>
      <c r="K289" s="103"/>
      <c r="L289" s="65"/>
      <c r="M289" s="65"/>
      <c r="N289" s="65"/>
    </row>
    <row r="290">
      <c r="A290" s="61"/>
      <c r="B290" s="61"/>
      <c r="C290" s="61"/>
      <c r="D290" s="61"/>
      <c r="E290" s="61"/>
      <c r="F290" s="61"/>
      <c r="G290" s="61"/>
      <c r="H290" s="61"/>
      <c r="I290" s="61"/>
      <c r="J290" s="107"/>
      <c r="K290" s="100"/>
      <c r="L290" s="61"/>
      <c r="M290" s="61"/>
      <c r="N290" s="61"/>
    </row>
    <row r="291">
      <c r="A291" s="65"/>
      <c r="B291" s="65"/>
      <c r="C291" s="65"/>
      <c r="D291" s="65"/>
      <c r="E291" s="65"/>
      <c r="F291" s="65"/>
      <c r="G291" s="65"/>
      <c r="H291" s="65"/>
      <c r="I291" s="65"/>
      <c r="J291" s="108"/>
      <c r="K291" s="103"/>
      <c r="L291" s="65"/>
      <c r="M291" s="65"/>
      <c r="N291" s="65"/>
    </row>
    <row r="292">
      <c r="A292" s="61"/>
      <c r="B292" s="61"/>
      <c r="C292" s="61"/>
      <c r="D292" s="61"/>
      <c r="E292" s="61"/>
      <c r="F292" s="61"/>
      <c r="G292" s="61"/>
      <c r="H292" s="61"/>
      <c r="I292" s="61"/>
      <c r="J292" s="107"/>
      <c r="K292" s="100"/>
      <c r="L292" s="61"/>
      <c r="M292" s="61"/>
      <c r="N292" s="61"/>
    </row>
    <row r="293">
      <c r="A293" s="65"/>
      <c r="B293" s="65"/>
      <c r="C293" s="65"/>
      <c r="D293" s="65"/>
      <c r="E293" s="65"/>
      <c r="F293" s="65"/>
      <c r="G293" s="65"/>
      <c r="H293" s="65"/>
      <c r="I293" s="65"/>
      <c r="J293" s="108"/>
      <c r="K293" s="103"/>
      <c r="L293" s="65"/>
      <c r="M293" s="65"/>
      <c r="N293" s="65"/>
    </row>
    <row r="294">
      <c r="A294" s="61"/>
      <c r="B294" s="61"/>
      <c r="C294" s="61"/>
      <c r="D294" s="61"/>
      <c r="E294" s="61"/>
      <c r="F294" s="61"/>
      <c r="G294" s="61"/>
      <c r="H294" s="61"/>
      <c r="I294" s="61"/>
      <c r="J294" s="107"/>
      <c r="K294" s="100"/>
      <c r="L294" s="61"/>
      <c r="M294" s="61"/>
      <c r="N294" s="61"/>
    </row>
    <row r="295">
      <c r="A295" s="65"/>
      <c r="B295" s="65"/>
      <c r="C295" s="65"/>
      <c r="D295" s="65"/>
      <c r="E295" s="65"/>
      <c r="F295" s="65"/>
      <c r="G295" s="65"/>
      <c r="H295" s="65"/>
      <c r="I295" s="65"/>
      <c r="J295" s="108"/>
      <c r="K295" s="103"/>
      <c r="L295" s="65"/>
      <c r="M295" s="65"/>
      <c r="N295" s="65"/>
    </row>
    <row r="296">
      <c r="A296" s="61"/>
      <c r="B296" s="61"/>
      <c r="C296" s="61"/>
      <c r="D296" s="61"/>
      <c r="E296" s="61"/>
      <c r="F296" s="61"/>
      <c r="G296" s="61"/>
      <c r="H296" s="61"/>
      <c r="I296" s="61"/>
      <c r="J296" s="107"/>
      <c r="K296" s="100"/>
      <c r="L296" s="61"/>
      <c r="M296" s="61"/>
      <c r="N296" s="61"/>
    </row>
    <row r="297">
      <c r="A297" s="65"/>
      <c r="B297" s="65"/>
      <c r="C297" s="65"/>
      <c r="D297" s="65"/>
      <c r="E297" s="65"/>
      <c r="F297" s="65"/>
      <c r="G297" s="65"/>
      <c r="H297" s="65"/>
      <c r="I297" s="65"/>
      <c r="J297" s="108"/>
      <c r="K297" s="103"/>
      <c r="L297" s="65"/>
      <c r="M297" s="65"/>
      <c r="N297" s="65"/>
    </row>
    <row r="298">
      <c r="A298" s="61"/>
      <c r="B298" s="61"/>
      <c r="C298" s="61"/>
      <c r="D298" s="61"/>
      <c r="E298" s="61"/>
      <c r="F298" s="61"/>
      <c r="G298" s="61"/>
      <c r="H298" s="61"/>
      <c r="I298" s="61"/>
      <c r="J298" s="107"/>
      <c r="K298" s="100"/>
      <c r="L298" s="61"/>
      <c r="M298" s="61"/>
      <c r="N298" s="61"/>
    </row>
    <row r="299">
      <c r="A299" s="65"/>
      <c r="B299" s="65"/>
      <c r="C299" s="65"/>
      <c r="D299" s="65"/>
      <c r="E299" s="65"/>
      <c r="F299" s="65"/>
      <c r="G299" s="65"/>
      <c r="H299" s="65"/>
      <c r="I299" s="65"/>
      <c r="J299" s="108"/>
      <c r="K299" s="103"/>
      <c r="L299" s="65"/>
      <c r="M299" s="65"/>
      <c r="N299" s="65"/>
    </row>
    <row r="300">
      <c r="A300" s="61"/>
      <c r="B300" s="61"/>
      <c r="C300" s="61"/>
      <c r="D300" s="61"/>
      <c r="E300" s="61"/>
      <c r="F300" s="61"/>
      <c r="G300" s="61"/>
      <c r="H300" s="61"/>
      <c r="I300" s="61"/>
      <c r="J300" s="107"/>
      <c r="K300" s="100"/>
      <c r="L300" s="61"/>
      <c r="M300" s="61"/>
      <c r="N300" s="61"/>
    </row>
    <row r="301">
      <c r="A301" s="65"/>
      <c r="B301" s="65"/>
      <c r="C301" s="65"/>
      <c r="D301" s="65"/>
      <c r="E301" s="65"/>
      <c r="F301" s="65"/>
      <c r="G301" s="65"/>
      <c r="H301" s="65"/>
      <c r="I301" s="65"/>
      <c r="J301" s="108"/>
      <c r="K301" s="103"/>
      <c r="L301" s="65"/>
      <c r="M301" s="65"/>
      <c r="N301" s="65"/>
    </row>
    <row r="302">
      <c r="A302" s="61"/>
      <c r="B302" s="61"/>
      <c r="C302" s="61"/>
      <c r="D302" s="61"/>
      <c r="E302" s="61"/>
      <c r="F302" s="61"/>
      <c r="G302" s="61"/>
      <c r="H302" s="61"/>
      <c r="I302" s="61"/>
      <c r="J302" s="107"/>
      <c r="K302" s="100"/>
      <c r="L302" s="61"/>
      <c r="M302" s="61"/>
      <c r="N302" s="61"/>
    </row>
    <row r="303">
      <c r="A303" s="65"/>
      <c r="B303" s="65"/>
      <c r="C303" s="65"/>
      <c r="D303" s="65"/>
      <c r="E303" s="65"/>
      <c r="F303" s="65"/>
      <c r="G303" s="65"/>
      <c r="H303" s="65"/>
      <c r="I303" s="65"/>
      <c r="J303" s="108"/>
      <c r="K303" s="103"/>
      <c r="L303" s="65"/>
      <c r="M303" s="65"/>
      <c r="N303" s="65"/>
    </row>
    <row r="304">
      <c r="A304" s="61"/>
      <c r="B304" s="61"/>
      <c r="C304" s="61"/>
      <c r="D304" s="61"/>
      <c r="E304" s="61"/>
      <c r="F304" s="61"/>
      <c r="G304" s="61"/>
      <c r="H304" s="61"/>
      <c r="I304" s="61"/>
      <c r="J304" s="107"/>
      <c r="K304" s="100"/>
      <c r="L304" s="61"/>
      <c r="M304" s="61"/>
      <c r="N304" s="61"/>
    </row>
    <row r="305">
      <c r="A305" s="65"/>
      <c r="B305" s="65"/>
      <c r="C305" s="65"/>
      <c r="D305" s="65"/>
      <c r="E305" s="65"/>
      <c r="F305" s="65"/>
      <c r="G305" s="65"/>
      <c r="H305" s="65"/>
      <c r="I305" s="65"/>
      <c r="J305" s="108"/>
      <c r="K305" s="103"/>
      <c r="L305" s="65"/>
      <c r="M305" s="65"/>
      <c r="N305" s="65"/>
    </row>
    <row r="306">
      <c r="A306" s="61"/>
      <c r="B306" s="61"/>
      <c r="C306" s="61"/>
      <c r="D306" s="61"/>
      <c r="E306" s="61"/>
      <c r="F306" s="61"/>
      <c r="G306" s="61"/>
      <c r="H306" s="61"/>
      <c r="I306" s="61"/>
      <c r="J306" s="107"/>
      <c r="K306" s="100"/>
      <c r="L306" s="61"/>
      <c r="M306" s="61"/>
      <c r="N306" s="61"/>
    </row>
    <row r="307">
      <c r="A307" s="65"/>
      <c r="B307" s="65"/>
      <c r="C307" s="65"/>
      <c r="D307" s="65"/>
      <c r="E307" s="65"/>
      <c r="F307" s="65"/>
      <c r="G307" s="65"/>
      <c r="H307" s="65"/>
      <c r="I307" s="65"/>
      <c r="J307" s="108"/>
      <c r="K307" s="103"/>
      <c r="L307" s="65"/>
      <c r="M307" s="65"/>
      <c r="N307" s="65"/>
    </row>
    <row r="308">
      <c r="A308" s="61"/>
      <c r="B308" s="61"/>
      <c r="C308" s="61"/>
      <c r="D308" s="61"/>
      <c r="E308" s="61"/>
      <c r="F308" s="61"/>
      <c r="G308" s="61"/>
      <c r="H308" s="61"/>
      <c r="I308" s="61"/>
      <c r="J308" s="107"/>
      <c r="K308" s="100"/>
      <c r="L308" s="61"/>
      <c r="M308" s="61"/>
      <c r="N308" s="61"/>
    </row>
    <row r="309">
      <c r="A309" s="65"/>
      <c r="B309" s="65"/>
      <c r="C309" s="65"/>
      <c r="D309" s="65"/>
      <c r="E309" s="65"/>
      <c r="F309" s="65"/>
      <c r="G309" s="65"/>
      <c r="H309" s="65"/>
      <c r="I309" s="65"/>
      <c r="J309" s="108"/>
      <c r="K309" s="103"/>
      <c r="L309" s="65"/>
      <c r="M309" s="65"/>
      <c r="N309" s="65"/>
    </row>
    <row r="310">
      <c r="A310" s="61"/>
      <c r="B310" s="61"/>
      <c r="C310" s="61"/>
      <c r="D310" s="61"/>
      <c r="E310" s="61"/>
      <c r="F310" s="61"/>
      <c r="G310" s="61"/>
      <c r="H310" s="61"/>
      <c r="I310" s="61"/>
      <c r="J310" s="107"/>
      <c r="K310" s="100"/>
      <c r="L310" s="61"/>
      <c r="M310" s="61"/>
      <c r="N310" s="61"/>
    </row>
    <row r="311">
      <c r="A311" s="65"/>
      <c r="B311" s="65"/>
      <c r="C311" s="65"/>
      <c r="D311" s="65"/>
      <c r="E311" s="65"/>
      <c r="F311" s="65"/>
      <c r="G311" s="65"/>
      <c r="H311" s="65"/>
      <c r="I311" s="65"/>
      <c r="J311" s="108"/>
      <c r="K311" s="103"/>
      <c r="L311" s="65"/>
      <c r="M311" s="65"/>
      <c r="N311" s="65"/>
    </row>
    <row r="312">
      <c r="A312" s="61"/>
      <c r="B312" s="61"/>
      <c r="C312" s="61"/>
      <c r="D312" s="61"/>
      <c r="E312" s="61"/>
      <c r="F312" s="61"/>
      <c r="G312" s="61"/>
      <c r="H312" s="61"/>
      <c r="I312" s="61"/>
      <c r="J312" s="107"/>
      <c r="K312" s="100"/>
      <c r="L312" s="61"/>
      <c r="M312" s="61"/>
      <c r="N312" s="61"/>
    </row>
    <row r="313">
      <c r="A313" s="65"/>
      <c r="B313" s="65"/>
      <c r="C313" s="65"/>
      <c r="D313" s="65"/>
      <c r="E313" s="65"/>
      <c r="F313" s="65"/>
      <c r="G313" s="65"/>
      <c r="H313" s="65"/>
      <c r="I313" s="65"/>
      <c r="J313" s="108"/>
      <c r="K313" s="103"/>
      <c r="L313" s="65"/>
      <c r="M313" s="65"/>
      <c r="N313" s="65"/>
    </row>
    <row r="314">
      <c r="A314" s="61"/>
      <c r="B314" s="61"/>
      <c r="C314" s="61"/>
      <c r="D314" s="61"/>
      <c r="E314" s="61"/>
      <c r="F314" s="61"/>
      <c r="G314" s="61"/>
      <c r="H314" s="61"/>
      <c r="I314" s="61"/>
      <c r="J314" s="107"/>
      <c r="K314" s="100"/>
      <c r="L314" s="61"/>
      <c r="M314" s="61"/>
      <c r="N314" s="61"/>
    </row>
    <row r="315">
      <c r="A315" s="65"/>
      <c r="B315" s="65"/>
      <c r="C315" s="65"/>
      <c r="D315" s="65"/>
      <c r="E315" s="65"/>
      <c r="F315" s="65"/>
      <c r="G315" s="65"/>
      <c r="H315" s="65"/>
      <c r="I315" s="65"/>
      <c r="J315" s="108"/>
      <c r="K315" s="103"/>
      <c r="L315" s="65"/>
      <c r="M315" s="65"/>
      <c r="N315" s="65"/>
    </row>
    <row r="316">
      <c r="A316" s="61"/>
      <c r="B316" s="61"/>
      <c r="C316" s="61"/>
      <c r="D316" s="61"/>
      <c r="E316" s="61"/>
      <c r="F316" s="61"/>
      <c r="G316" s="61"/>
      <c r="H316" s="61"/>
      <c r="I316" s="61"/>
      <c r="J316" s="107"/>
      <c r="K316" s="100"/>
      <c r="L316" s="61"/>
      <c r="M316" s="61"/>
      <c r="N316" s="61"/>
    </row>
    <row r="317">
      <c r="A317" s="65"/>
      <c r="B317" s="65"/>
      <c r="C317" s="65"/>
      <c r="D317" s="65"/>
      <c r="E317" s="65"/>
      <c r="F317" s="65"/>
      <c r="G317" s="65"/>
      <c r="H317" s="65"/>
      <c r="I317" s="65"/>
      <c r="J317" s="108"/>
      <c r="K317" s="103"/>
      <c r="L317" s="65"/>
      <c r="M317" s="65"/>
      <c r="N317" s="65"/>
    </row>
    <row r="318">
      <c r="A318" s="61"/>
      <c r="B318" s="61"/>
      <c r="C318" s="61"/>
      <c r="D318" s="61"/>
      <c r="E318" s="61"/>
      <c r="F318" s="61"/>
      <c r="G318" s="61"/>
      <c r="H318" s="61"/>
      <c r="I318" s="61"/>
      <c r="J318" s="107"/>
      <c r="K318" s="100"/>
      <c r="L318" s="61"/>
      <c r="M318" s="61"/>
      <c r="N318" s="61"/>
    </row>
    <row r="319">
      <c r="A319" s="65"/>
      <c r="B319" s="65"/>
      <c r="C319" s="65"/>
      <c r="D319" s="65"/>
      <c r="E319" s="65"/>
      <c r="F319" s="65"/>
      <c r="G319" s="65"/>
      <c r="H319" s="65"/>
      <c r="I319" s="65"/>
      <c r="J319" s="108"/>
      <c r="K319" s="103"/>
      <c r="L319" s="65"/>
      <c r="M319" s="65"/>
      <c r="N319" s="65"/>
    </row>
    <row r="320">
      <c r="A320" s="61"/>
      <c r="B320" s="61"/>
      <c r="C320" s="61"/>
      <c r="D320" s="61"/>
      <c r="E320" s="61"/>
      <c r="F320" s="61"/>
      <c r="G320" s="61"/>
      <c r="H320" s="61"/>
      <c r="I320" s="61"/>
      <c r="J320" s="107"/>
      <c r="K320" s="100"/>
      <c r="L320" s="61"/>
      <c r="M320" s="61"/>
      <c r="N320" s="61"/>
    </row>
    <row r="321">
      <c r="A321" s="65"/>
      <c r="B321" s="65"/>
      <c r="C321" s="65"/>
      <c r="D321" s="65"/>
      <c r="E321" s="65"/>
      <c r="F321" s="65"/>
      <c r="G321" s="65"/>
      <c r="H321" s="65"/>
      <c r="I321" s="65"/>
      <c r="J321" s="108"/>
      <c r="K321" s="103"/>
      <c r="L321" s="65"/>
      <c r="M321" s="65"/>
      <c r="N321" s="65"/>
    </row>
    <row r="322">
      <c r="A322" s="61"/>
      <c r="B322" s="61"/>
      <c r="C322" s="61"/>
      <c r="D322" s="61"/>
      <c r="E322" s="61"/>
      <c r="F322" s="61"/>
      <c r="G322" s="61"/>
      <c r="H322" s="61"/>
      <c r="I322" s="61"/>
      <c r="J322" s="107"/>
      <c r="K322" s="100"/>
      <c r="L322" s="61"/>
      <c r="M322" s="61"/>
      <c r="N322" s="61"/>
    </row>
    <row r="323">
      <c r="A323" s="65"/>
      <c r="B323" s="65"/>
      <c r="C323" s="65"/>
      <c r="D323" s="65"/>
      <c r="E323" s="65"/>
      <c r="F323" s="65"/>
      <c r="G323" s="65"/>
      <c r="H323" s="65"/>
      <c r="I323" s="65"/>
      <c r="J323" s="108"/>
      <c r="K323" s="103"/>
      <c r="L323" s="65"/>
      <c r="M323" s="65"/>
      <c r="N323" s="65"/>
    </row>
    <row r="324">
      <c r="A324" s="61"/>
      <c r="B324" s="61"/>
      <c r="C324" s="61"/>
      <c r="D324" s="61"/>
      <c r="E324" s="61"/>
      <c r="F324" s="61"/>
      <c r="G324" s="61"/>
      <c r="H324" s="61"/>
      <c r="I324" s="61"/>
      <c r="J324" s="107"/>
      <c r="K324" s="100"/>
      <c r="L324" s="61"/>
      <c r="M324" s="61"/>
      <c r="N324" s="61"/>
    </row>
    <row r="325">
      <c r="A325" s="65"/>
      <c r="B325" s="65"/>
      <c r="C325" s="65"/>
      <c r="D325" s="65"/>
      <c r="E325" s="65"/>
      <c r="F325" s="65"/>
      <c r="G325" s="65"/>
      <c r="H325" s="65"/>
      <c r="I325" s="65"/>
      <c r="J325" s="108"/>
      <c r="K325" s="103"/>
      <c r="L325" s="65"/>
      <c r="M325" s="65"/>
      <c r="N325" s="65"/>
    </row>
    <row r="326">
      <c r="A326" s="61"/>
      <c r="B326" s="61"/>
      <c r="C326" s="61"/>
      <c r="D326" s="61"/>
      <c r="E326" s="61"/>
      <c r="F326" s="61"/>
      <c r="G326" s="61"/>
      <c r="H326" s="61"/>
      <c r="I326" s="61"/>
      <c r="J326" s="107"/>
      <c r="K326" s="100"/>
      <c r="L326" s="61"/>
      <c r="M326" s="61"/>
      <c r="N326" s="61"/>
    </row>
    <row r="327">
      <c r="A327" s="65"/>
      <c r="B327" s="65"/>
      <c r="C327" s="65"/>
      <c r="D327" s="65"/>
      <c r="E327" s="65"/>
      <c r="F327" s="65"/>
      <c r="G327" s="65"/>
      <c r="H327" s="65"/>
      <c r="I327" s="65"/>
      <c r="J327" s="108"/>
      <c r="K327" s="103"/>
      <c r="L327" s="65"/>
      <c r="M327" s="65"/>
      <c r="N327" s="65"/>
    </row>
    <row r="328">
      <c r="A328" s="61"/>
      <c r="B328" s="61"/>
      <c r="C328" s="61"/>
      <c r="D328" s="61"/>
      <c r="E328" s="61"/>
      <c r="F328" s="61"/>
      <c r="G328" s="61"/>
      <c r="H328" s="61"/>
      <c r="I328" s="61"/>
      <c r="J328" s="107"/>
      <c r="K328" s="100"/>
      <c r="L328" s="61"/>
      <c r="M328" s="61"/>
      <c r="N328" s="61"/>
    </row>
    <row r="329">
      <c r="A329" s="65"/>
      <c r="B329" s="65"/>
      <c r="C329" s="65"/>
      <c r="D329" s="65"/>
      <c r="E329" s="65"/>
      <c r="F329" s="65"/>
      <c r="G329" s="65"/>
      <c r="H329" s="65"/>
      <c r="I329" s="65"/>
      <c r="J329" s="108"/>
      <c r="K329" s="103"/>
      <c r="L329" s="65"/>
      <c r="M329" s="65"/>
      <c r="N329" s="65"/>
    </row>
    <row r="330">
      <c r="A330" s="61"/>
      <c r="B330" s="61"/>
      <c r="C330" s="61"/>
      <c r="D330" s="61"/>
      <c r="E330" s="61"/>
      <c r="F330" s="61"/>
      <c r="G330" s="61"/>
      <c r="H330" s="61"/>
      <c r="I330" s="61"/>
      <c r="J330" s="107"/>
      <c r="K330" s="100"/>
      <c r="L330" s="61"/>
      <c r="M330" s="61"/>
      <c r="N330" s="61"/>
    </row>
    <row r="331">
      <c r="A331" s="65"/>
      <c r="B331" s="65"/>
      <c r="C331" s="65"/>
      <c r="D331" s="65"/>
      <c r="E331" s="65"/>
      <c r="F331" s="65"/>
      <c r="G331" s="65"/>
      <c r="H331" s="65"/>
      <c r="I331" s="65"/>
      <c r="J331" s="108"/>
      <c r="K331" s="103"/>
      <c r="L331" s="65"/>
      <c r="M331" s="65"/>
      <c r="N331" s="65"/>
    </row>
    <row r="332">
      <c r="A332" s="61"/>
      <c r="B332" s="61"/>
      <c r="C332" s="61"/>
      <c r="D332" s="61"/>
      <c r="E332" s="61"/>
      <c r="F332" s="61"/>
      <c r="G332" s="61"/>
      <c r="H332" s="61"/>
      <c r="I332" s="61"/>
      <c r="J332" s="107"/>
      <c r="K332" s="100"/>
      <c r="L332" s="61"/>
      <c r="M332" s="61"/>
      <c r="N332" s="61"/>
    </row>
    <row r="333">
      <c r="A333" s="65"/>
      <c r="B333" s="65"/>
      <c r="C333" s="65"/>
      <c r="D333" s="65"/>
      <c r="E333" s="65"/>
      <c r="F333" s="65"/>
      <c r="G333" s="65"/>
      <c r="H333" s="65"/>
      <c r="I333" s="65"/>
      <c r="J333" s="108"/>
      <c r="K333" s="103"/>
      <c r="L333" s="65"/>
      <c r="M333" s="65"/>
      <c r="N333" s="65"/>
    </row>
    <row r="334">
      <c r="A334" s="61"/>
      <c r="B334" s="61"/>
      <c r="C334" s="61"/>
      <c r="D334" s="61"/>
      <c r="E334" s="61"/>
      <c r="F334" s="61"/>
      <c r="G334" s="61"/>
      <c r="H334" s="61"/>
      <c r="I334" s="61"/>
      <c r="J334" s="107"/>
      <c r="K334" s="100"/>
      <c r="L334" s="61"/>
      <c r="M334" s="61"/>
      <c r="N334" s="61"/>
    </row>
    <row r="335">
      <c r="A335" s="65"/>
      <c r="B335" s="65"/>
      <c r="C335" s="65"/>
      <c r="D335" s="65"/>
      <c r="E335" s="65"/>
      <c r="F335" s="65"/>
      <c r="G335" s="65"/>
      <c r="H335" s="65"/>
      <c r="I335" s="65"/>
      <c r="J335" s="108"/>
      <c r="K335" s="103"/>
      <c r="L335" s="65"/>
      <c r="M335" s="65"/>
      <c r="N335" s="65"/>
    </row>
    <row r="336">
      <c r="A336" s="61"/>
      <c r="B336" s="61"/>
      <c r="C336" s="61"/>
      <c r="D336" s="61"/>
      <c r="E336" s="61"/>
      <c r="F336" s="61"/>
      <c r="G336" s="61"/>
      <c r="H336" s="61"/>
      <c r="I336" s="61"/>
      <c r="J336" s="107"/>
      <c r="K336" s="100"/>
      <c r="L336" s="61"/>
      <c r="M336" s="61"/>
      <c r="N336" s="61"/>
    </row>
    <row r="337">
      <c r="A337" s="65"/>
      <c r="B337" s="65"/>
      <c r="C337" s="65"/>
      <c r="D337" s="65"/>
      <c r="E337" s="65"/>
      <c r="F337" s="65"/>
      <c r="G337" s="65"/>
      <c r="H337" s="65"/>
      <c r="I337" s="65"/>
      <c r="J337" s="108"/>
      <c r="K337" s="103"/>
      <c r="L337" s="65"/>
      <c r="M337" s="65"/>
      <c r="N337" s="65"/>
    </row>
    <row r="338">
      <c r="A338" s="61"/>
      <c r="B338" s="61"/>
      <c r="C338" s="61"/>
      <c r="D338" s="61"/>
      <c r="E338" s="61"/>
      <c r="F338" s="61"/>
      <c r="G338" s="61"/>
      <c r="H338" s="61"/>
      <c r="I338" s="61"/>
      <c r="J338" s="107"/>
      <c r="K338" s="100"/>
      <c r="L338" s="61"/>
      <c r="M338" s="61"/>
      <c r="N338" s="61"/>
    </row>
    <row r="339">
      <c r="A339" s="65"/>
      <c r="B339" s="65"/>
      <c r="C339" s="65"/>
      <c r="D339" s="65"/>
      <c r="E339" s="65"/>
      <c r="F339" s="65"/>
      <c r="G339" s="65"/>
      <c r="H339" s="65"/>
      <c r="I339" s="65"/>
      <c r="J339" s="108"/>
      <c r="K339" s="103"/>
      <c r="L339" s="65"/>
      <c r="M339" s="65"/>
      <c r="N339" s="65"/>
    </row>
    <row r="340">
      <c r="A340" s="61"/>
      <c r="B340" s="61"/>
      <c r="C340" s="61"/>
      <c r="D340" s="61"/>
      <c r="E340" s="61"/>
      <c r="F340" s="61"/>
      <c r="G340" s="61"/>
      <c r="H340" s="61"/>
      <c r="I340" s="61"/>
      <c r="J340" s="107"/>
      <c r="K340" s="100"/>
      <c r="L340" s="61"/>
      <c r="M340" s="61"/>
      <c r="N340" s="61"/>
    </row>
    <row r="341">
      <c r="A341" s="65"/>
      <c r="B341" s="65"/>
      <c r="C341" s="65"/>
      <c r="D341" s="65"/>
      <c r="E341" s="65"/>
      <c r="F341" s="65"/>
      <c r="G341" s="65"/>
      <c r="H341" s="65"/>
      <c r="I341" s="65"/>
      <c r="J341" s="108"/>
      <c r="K341" s="103"/>
      <c r="L341" s="65"/>
      <c r="M341" s="65"/>
      <c r="N341" s="65"/>
    </row>
    <row r="342">
      <c r="A342" s="61"/>
      <c r="B342" s="61"/>
      <c r="C342" s="61"/>
      <c r="D342" s="61"/>
      <c r="E342" s="61"/>
      <c r="F342" s="61"/>
      <c r="G342" s="61"/>
      <c r="H342" s="61"/>
      <c r="I342" s="61"/>
      <c r="J342" s="107"/>
      <c r="K342" s="100"/>
      <c r="L342" s="61"/>
      <c r="M342" s="61"/>
      <c r="N342" s="61"/>
    </row>
    <row r="343">
      <c r="A343" s="65"/>
      <c r="B343" s="65"/>
      <c r="C343" s="65"/>
      <c r="D343" s="65"/>
      <c r="E343" s="65"/>
      <c r="F343" s="65"/>
      <c r="G343" s="65"/>
      <c r="H343" s="65"/>
      <c r="I343" s="65"/>
      <c r="J343" s="108"/>
      <c r="K343" s="103"/>
      <c r="L343" s="65"/>
      <c r="M343" s="65"/>
      <c r="N343" s="65"/>
    </row>
    <row r="344">
      <c r="A344" s="61"/>
      <c r="B344" s="61"/>
      <c r="C344" s="61"/>
      <c r="D344" s="61"/>
      <c r="E344" s="61"/>
      <c r="F344" s="61"/>
      <c r="G344" s="61"/>
      <c r="H344" s="61"/>
      <c r="I344" s="61"/>
      <c r="J344" s="107"/>
      <c r="K344" s="100"/>
      <c r="L344" s="61"/>
      <c r="M344" s="61"/>
      <c r="N344" s="61"/>
    </row>
    <row r="345">
      <c r="A345" s="65"/>
      <c r="B345" s="65"/>
      <c r="C345" s="65"/>
      <c r="D345" s="65"/>
      <c r="E345" s="65"/>
      <c r="F345" s="65"/>
      <c r="G345" s="65"/>
      <c r="H345" s="65"/>
      <c r="I345" s="65"/>
      <c r="J345" s="108"/>
      <c r="K345" s="103"/>
      <c r="L345" s="65"/>
      <c r="M345" s="65"/>
      <c r="N345" s="65"/>
    </row>
    <row r="346">
      <c r="A346" s="61"/>
      <c r="B346" s="61"/>
      <c r="C346" s="61"/>
      <c r="D346" s="61"/>
      <c r="E346" s="61"/>
      <c r="F346" s="61"/>
      <c r="G346" s="61"/>
      <c r="H346" s="61"/>
      <c r="I346" s="61"/>
      <c r="J346" s="107"/>
      <c r="K346" s="100"/>
      <c r="L346" s="61"/>
      <c r="M346" s="61"/>
      <c r="N346" s="61"/>
    </row>
    <row r="347">
      <c r="A347" s="65"/>
      <c r="B347" s="65"/>
      <c r="C347" s="65"/>
      <c r="D347" s="65"/>
      <c r="E347" s="65"/>
      <c r="F347" s="65"/>
      <c r="G347" s="65"/>
      <c r="H347" s="65"/>
      <c r="I347" s="65"/>
      <c r="J347" s="108"/>
      <c r="K347" s="103"/>
      <c r="L347" s="65"/>
      <c r="M347" s="65"/>
      <c r="N347" s="65"/>
    </row>
    <row r="348">
      <c r="A348" s="61"/>
      <c r="B348" s="61"/>
      <c r="C348" s="61"/>
      <c r="D348" s="61"/>
      <c r="E348" s="61"/>
      <c r="F348" s="61"/>
      <c r="G348" s="61"/>
      <c r="H348" s="61"/>
      <c r="I348" s="61"/>
      <c r="J348" s="107"/>
      <c r="K348" s="100"/>
      <c r="L348" s="61"/>
      <c r="M348" s="61"/>
      <c r="N348" s="61"/>
    </row>
    <row r="349">
      <c r="A349" s="65"/>
      <c r="B349" s="65"/>
      <c r="C349" s="65"/>
      <c r="D349" s="65"/>
      <c r="E349" s="65"/>
      <c r="F349" s="65"/>
      <c r="G349" s="65"/>
      <c r="H349" s="65"/>
      <c r="I349" s="65"/>
      <c r="J349" s="108"/>
      <c r="K349" s="103"/>
      <c r="L349" s="65"/>
      <c r="M349" s="65"/>
      <c r="N349" s="65"/>
    </row>
    <row r="350">
      <c r="A350" s="61"/>
      <c r="B350" s="61"/>
      <c r="C350" s="61"/>
      <c r="D350" s="61"/>
      <c r="E350" s="61"/>
      <c r="F350" s="61"/>
      <c r="G350" s="61"/>
      <c r="H350" s="61"/>
      <c r="I350" s="61"/>
      <c r="J350" s="107"/>
      <c r="K350" s="100"/>
      <c r="L350" s="61"/>
      <c r="M350" s="61"/>
      <c r="N350" s="61"/>
    </row>
    <row r="351">
      <c r="A351" s="65"/>
      <c r="B351" s="65"/>
      <c r="C351" s="65"/>
      <c r="D351" s="65"/>
      <c r="E351" s="65"/>
      <c r="F351" s="65"/>
      <c r="G351" s="65"/>
      <c r="H351" s="65"/>
      <c r="I351" s="65"/>
      <c r="J351" s="108"/>
      <c r="K351" s="103"/>
      <c r="L351" s="65"/>
      <c r="M351" s="65"/>
      <c r="N351" s="65"/>
    </row>
    <row r="352">
      <c r="A352" s="61"/>
      <c r="B352" s="61"/>
      <c r="C352" s="61"/>
      <c r="D352" s="61"/>
      <c r="E352" s="61"/>
      <c r="F352" s="61"/>
      <c r="G352" s="61"/>
      <c r="H352" s="61"/>
      <c r="I352" s="61"/>
      <c r="J352" s="107"/>
      <c r="K352" s="100"/>
      <c r="L352" s="61"/>
      <c r="M352" s="61"/>
      <c r="N352" s="61"/>
    </row>
    <row r="353">
      <c r="A353" s="65"/>
      <c r="B353" s="65"/>
      <c r="C353" s="65"/>
      <c r="D353" s="65"/>
      <c r="E353" s="65"/>
      <c r="F353" s="65"/>
      <c r="G353" s="65"/>
      <c r="H353" s="65"/>
      <c r="I353" s="65"/>
      <c r="J353" s="108"/>
      <c r="K353" s="103"/>
      <c r="L353" s="65"/>
      <c r="M353" s="65"/>
      <c r="N353" s="65"/>
    </row>
    <row r="354">
      <c r="A354" s="61"/>
      <c r="B354" s="61"/>
      <c r="C354" s="61"/>
      <c r="D354" s="61"/>
      <c r="E354" s="61"/>
      <c r="F354" s="61"/>
      <c r="G354" s="61"/>
      <c r="H354" s="61"/>
      <c r="I354" s="61"/>
      <c r="J354" s="107"/>
      <c r="K354" s="100"/>
      <c r="L354" s="61"/>
      <c r="M354" s="61"/>
      <c r="N354" s="61"/>
    </row>
    <row r="355">
      <c r="A355" s="65"/>
      <c r="B355" s="65"/>
      <c r="C355" s="65"/>
      <c r="D355" s="65"/>
      <c r="E355" s="65"/>
      <c r="F355" s="65"/>
      <c r="G355" s="65"/>
      <c r="H355" s="65"/>
      <c r="I355" s="65"/>
      <c r="J355" s="108"/>
      <c r="K355" s="103"/>
      <c r="L355" s="65"/>
      <c r="M355" s="65"/>
      <c r="N355" s="65"/>
    </row>
    <row r="356">
      <c r="A356" s="61"/>
      <c r="B356" s="61"/>
      <c r="C356" s="61"/>
      <c r="D356" s="61"/>
      <c r="E356" s="61"/>
      <c r="F356" s="61"/>
      <c r="G356" s="61"/>
      <c r="H356" s="61"/>
      <c r="I356" s="61"/>
      <c r="J356" s="107"/>
      <c r="K356" s="100"/>
      <c r="L356" s="61"/>
      <c r="M356" s="61"/>
      <c r="N356" s="61"/>
    </row>
    <row r="357">
      <c r="A357" s="65"/>
      <c r="B357" s="65"/>
      <c r="C357" s="65"/>
      <c r="D357" s="65"/>
      <c r="E357" s="65"/>
      <c r="F357" s="65"/>
      <c r="G357" s="65"/>
      <c r="H357" s="65"/>
      <c r="I357" s="65"/>
      <c r="J357" s="108"/>
      <c r="K357" s="103"/>
      <c r="L357" s="65"/>
      <c r="M357" s="65"/>
      <c r="N357" s="65"/>
    </row>
    <row r="358">
      <c r="A358" s="61"/>
      <c r="B358" s="61"/>
      <c r="C358" s="61"/>
      <c r="D358" s="61"/>
      <c r="E358" s="61"/>
      <c r="F358" s="61"/>
      <c r="G358" s="61"/>
      <c r="H358" s="61"/>
      <c r="I358" s="61"/>
      <c r="J358" s="107"/>
      <c r="K358" s="100"/>
      <c r="L358" s="61"/>
      <c r="M358" s="61"/>
      <c r="N358" s="61"/>
    </row>
    <row r="359">
      <c r="A359" s="65"/>
      <c r="B359" s="65"/>
      <c r="C359" s="65"/>
      <c r="D359" s="65"/>
      <c r="E359" s="65"/>
      <c r="F359" s="65"/>
      <c r="G359" s="65"/>
      <c r="H359" s="65"/>
      <c r="I359" s="65"/>
      <c r="J359" s="108"/>
      <c r="K359" s="103"/>
      <c r="L359" s="65"/>
      <c r="M359" s="65"/>
      <c r="N359" s="65"/>
    </row>
    <row r="360">
      <c r="A360" s="61"/>
      <c r="B360" s="61"/>
      <c r="C360" s="61"/>
      <c r="D360" s="61"/>
      <c r="E360" s="61"/>
      <c r="F360" s="61"/>
      <c r="G360" s="61"/>
      <c r="H360" s="61"/>
      <c r="I360" s="61"/>
      <c r="J360" s="107"/>
      <c r="K360" s="100"/>
      <c r="L360" s="61"/>
      <c r="M360" s="61"/>
      <c r="N360" s="61"/>
    </row>
    <row r="361">
      <c r="A361" s="65"/>
      <c r="B361" s="65"/>
      <c r="C361" s="65"/>
      <c r="D361" s="65"/>
      <c r="E361" s="65"/>
      <c r="F361" s="65"/>
      <c r="G361" s="65"/>
      <c r="H361" s="65"/>
      <c r="I361" s="65"/>
      <c r="J361" s="108"/>
      <c r="K361" s="103"/>
      <c r="L361" s="65"/>
      <c r="M361" s="65"/>
      <c r="N361" s="65"/>
    </row>
    <row r="362">
      <c r="A362" s="61"/>
      <c r="B362" s="61"/>
      <c r="C362" s="61"/>
      <c r="D362" s="61"/>
      <c r="E362" s="61"/>
      <c r="F362" s="61"/>
      <c r="G362" s="61"/>
      <c r="H362" s="61"/>
      <c r="I362" s="61"/>
      <c r="J362" s="107"/>
      <c r="K362" s="100"/>
      <c r="L362" s="61"/>
      <c r="M362" s="61"/>
      <c r="N362" s="61"/>
    </row>
    <row r="363">
      <c r="A363" s="65"/>
      <c r="B363" s="65"/>
      <c r="C363" s="65"/>
      <c r="D363" s="65"/>
      <c r="E363" s="65"/>
      <c r="F363" s="65"/>
      <c r="G363" s="65"/>
      <c r="H363" s="65"/>
      <c r="I363" s="65"/>
      <c r="J363" s="108"/>
      <c r="K363" s="103"/>
      <c r="L363" s="65"/>
      <c r="M363" s="65"/>
      <c r="N363" s="65"/>
    </row>
    <row r="364">
      <c r="A364" s="61"/>
      <c r="B364" s="61"/>
      <c r="C364" s="61"/>
      <c r="D364" s="61"/>
      <c r="E364" s="61"/>
      <c r="F364" s="61"/>
      <c r="G364" s="61"/>
      <c r="H364" s="61"/>
      <c r="I364" s="61"/>
      <c r="J364" s="107"/>
      <c r="K364" s="100"/>
      <c r="L364" s="61"/>
      <c r="M364" s="61"/>
      <c r="N364" s="61"/>
    </row>
    <row r="365">
      <c r="A365" s="65"/>
      <c r="B365" s="65"/>
      <c r="C365" s="65"/>
      <c r="D365" s="65"/>
      <c r="E365" s="65"/>
      <c r="F365" s="65"/>
      <c r="G365" s="65"/>
      <c r="H365" s="65"/>
      <c r="I365" s="65"/>
      <c r="J365" s="108"/>
      <c r="K365" s="103"/>
      <c r="L365" s="65"/>
      <c r="M365" s="65"/>
      <c r="N365" s="65"/>
    </row>
    <row r="366">
      <c r="A366" s="61"/>
      <c r="B366" s="61"/>
      <c r="C366" s="61"/>
      <c r="D366" s="61"/>
      <c r="E366" s="61"/>
      <c r="F366" s="61"/>
      <c r="G366" s="61"/>
      <c r="H366" s="61"/>
      <c r="I366" s="61"/>
      <c r="J366" s="107"/>
      <c r="K366" s="100"/>
      <c r="L366" s="61"/>
      <c r="M366" s="61"/>
      <c r="N366" s="61"/>
    </row>
    <row r="367">
      <c r="A367" s="65"/>
      <c r="B367" s="65"/>
      <c r="C367" s="65"/>
      <c r="D367" s="65"/>
      <c r="E367" s="65"/>
      <c r="F367" s="65"/>
      <c r="G367" s="65"/>
      <c r="H367" s="65"/>
      <c r="I367" s="65"/>
      <c r="J367" s="108"/>
      <c r="K367" s="103"/>
      <c r="L367" s="65"/>
      <c r="M367" s="65"/>
      <c r="N367" s="65"/>
    </row>
    <row r="368">
      <c r="A368" s="61"/>
      <c r="B368" s="61"/>
      <c r="C368" s="61"/>
      <c r="D368" s="61"/>
      <c r="E368" s="61"/>
      <c r="F368" s="61"/>
      <c r="G368" s="61"/>
      <c r="H368" s="61"/>
      <c r="I368" s="61"/>
      <c r="J368" s="107"/>
      <c r="K368" s="100"/>
      <c r="L368" s="61"/>
      <c r="M368" s="61"/>
      <c r="N368" s="61"/>
    </row>
    <row r="369">
      <c r="A369" s="65"/>
      <c r="B369" s="65"/>
      <c r="C369" s="65"/>
      <c r="D369" s="65"/>
      <c r="E369" s="65"/>
      <c r="F369" s="65"/>
      <c r="G369" s="65"/>
      <c r="H369" s="65"/>
      <c r="I369" s="65"/>
      <c r="J369" s="108"/>
      <c r="K369" s="103"/>
      <c r="L369" s="65"/>
      <c r="M369" s="65"/>
      <c r="N369" s="65"/>
    </row>
    <row r="370">
      <c r="A370" s="61"/>
      <c r="B370" s="61"/>
      <c r="C370" s="61"/>
      <c r="D370" s="61"/>
      <c r="E370" s="61"/>
      <c r="F370" s="61"/>
      <c r="G370" s="61"/>
      <c r="H370" s="61"/>
      <c r="I370" s="61"/>
      <c r="J370" s="107"/>
      <c r="K370" s="100"/>
      <c r="L370" s="61"/>
      <c r="M370" s="61"/>
      <c r="N370" s="61"/>
    </row>
    <row r="371">
      <c r="A371" s="65"/>
      <c r="B371" s="65"/>
      <c r="C371" s="65"/>
      <c r="D371" s="65"/>
      <c r="E371" s="65"/>
      <c r="F371" s="65"/>
      <c r="G371" s="65"/>
      <c r="H371" s="65"/>
      <c r="I371" s="65"/>
      <c r="J371" s="108"/>
      <c r="K371" s="103"/>
      <c r="L371" s="65"/>
      <c r="M371" s="65"/>
      <c r="N371" s="65"/>
    </row>
    <row r="372">
      <c r="A372" s="61"/>
      <c r="B372" s="61"/>
      <c r="C372" s="61"/>
      <c r="D372" s="61"/>
      <c r="E372" s="61"/>
      <c r="F372" s="61"/>
      <c r="G372" s="61"/>
      <c r="H372" s="61"/>
      <c r="I372" s="61"/>
      <c r="J372" s="107"/>
      <c r="K372" s="100"/>
      <c r="L372" s="61"/>
      <c r="M372" s="61"/>
      <c r="N372" s="61"/>
    </row>
    <row r="373">
      <c r="A373" s="65"/>
      <c r="B373" s="65"/>
      <c r="C373" s="65"/>
      <c r="D373" s="65"/>
      <c r="E373" s="65"/>
      <c r="F373" s="65"/>
      <c r="G373" s="65"/>
      <c r="H373" s="65"/>
      <c r="I373" s="65"/>
      <c r="J373" s="108"/>
      <c r="K373" s="103"/>
      <c r="L373" s="65"/>
      <c r="M373" s="65"/>
      <c r="N373" s="65"/>
    </row>
    <row r="374">
      <c r="A374" s="61"/>
      <c r="B374" s="61"/>
      <c r="C374" s="61"/>
      <c r="D374" s="61"/>
      <c r="E374" s="61"/>
      <c r="F374" s="61"/>
      <c r="G374" s="61"/>
      <c r="H374" s="61"/>
      <c r="I374" s="61"/>
      <c r="J374" s="107"/>
      <c r="K374" s="100"/>
      <c r="L374" s="61"/>
      <c r="M374" s="61"/>
      <c r="N374" s="61"/>
    </row>
    <row r="375">
      <c r="A375" s="65"/>
      <c r="B375" s="65"/>
      <c r="C375" s="65"/>
      <c r="D375" s="65"/>
      <c r="E375" s="65"/>
      <c r="F375" s="65"/>
      <c r="G375" s="65"/>
      <c r="H375" s="65"/>
      <c r="I375" s="65"/>
      <c r="J375" s="108"/>
      <c r="K375" s="103"/>
      <c r="L375" s="65"/>
      <c r="M375" s="65"/>
      <c r="N375" s="65"/>
    </row>
    <row r="376">
      <c r="A376" s="61"/>
      <c r="B376" s="61"/>
      <c r="C376" s="61"/>
      <c r="D376" s="61"/>
      <c r="E376" s="61"/>
      <c r="F376" s="61"/>
      <c r="G376" s="61"/>
      <c r="H376" s="61"/>
      <c r="I376" s="61"/>
      <c r="J376" s="107"/>
      <c r="K376" s="100"/>
      <c r="L376" s="61"/>
      <c r="M376" s="61"/>
      <c r="N376" s="61"/>
    </row>
    <row r="377">
      <c r="A377" s="65"/>
      <c r="B377" s="65"/>
      <c r="C377" s="65"/>
      <c r="D377" s="65"/>
      <c r="E377" s="65"/>
      <c r="F377" s="65"/>
      <c r="G377" s="65"/>
      <c r="H377" s="65"/>
      <c r="I377" s="65"/>
      <c r="J377" s="108"/>
      <c r="K377" s="103"/>
      <c r="L377" s="65"/>
      <c r="M377" s="65"/>
      <c r="N377" s="65"/>
    </row>
    <row r="378">
      <c r="A378" s="61"/>
      <c r="B378" s="61"/>
      <c r="C378" s="61"/>
      <c r="D378" s="61"/>
      <c r="E378" s="61"/>
      <c r="F378" s="61"/>
      <c r="G378" s="61"/>
      <c r="H378" s="61"/>
      <c r="I378" s="61"/>
      <c r="J378" s="107"/>
      <c r="K378" s="100"/>
      <c r="L378" s="61"/>
      <c r="M378" s="61"/>
      <c r="N378" s="61"/>
    </row>
    <row r="379">
      <c r="A379" s="65"/>
      <c r="B379" s="65"/>
      <c r="C379" s="65"/>
      <c r="D379" s="65"/>
      <c r="E379" s="65"/>
      <c r="F379" s="65"/>
      <c r="G379" s="65"/>
      <c r="H379" s="65"/>
      <c r="I379" s="65"/>
      <c r="J379" s="108"/>
      <c r="K379" s="103"/>
      <c r="L379" s="65"/>
      <c r="M379" s="65"/>
      <c r="N379" s="65"/>
    </row>
    <row r="380">
      <c r="A380" s="61"/>
      <c r="B380" s="61"/>
      <c r="C380" s="61"/>
      <c r="D380" s="61"/>
      <c r="E380" s="61"/>
      <c r="F380" s="61"/>
      <c r="G380" s="61"/>
      <c r="H380" s="61"/>
      <c r="I380" s="61"/>
      <c r="J380" s="107"/>
      <c r="K380" s="100"/>
      <c r="L380" s="61"/>
      <c r="M380" s="61"/>
      <c r="N380" s="61"/>
    </row>
    <row r="381">
      <c r="A381" s="65"/>
      <c r="B381" s="65"/>
      <c r="C381" s="65"/>
      <c r="D381" s="65"/>
      <c r="E381" s="65"/>
      <c r="F381" s="65"/>
      <c r="G381" s="65"/>
      <c r="H381" s="65"/>
      <c r="I381" s="65"/>
      <c r="J381" s="108"/>
      <c r="K381" s="103"/>
      <c r="L381" s="65"/>
      <c r="M381" s="65"/>
      <c r="N381" s="65"/>
    </row>
    <row r="382">
      <c r="A382" s="61"/>
      <c r="B382" s="61"/>
      <c r="C382" s="61"/>
      <c r="D382" s="61"/>
      <c r="E382" s="61"/>
      <c r="F382" s="61"/>
      <c r="G382" s="61"/>
      <c r="H382" s="61"/>
      <c r="I382" s="61"/>
      <c r="J382" s="107"/>
      <c r="K382" s="100"/>
      <c r="L382" s="61"/>
      <c r="M382" s="61"/>
      <c r="N382" s="61"/>
    </row>
    <row r="383">
      <c r="A383" s="65"/>
      <c r="B383" s="65"/>
      <c r="C383" s="65"/>
      <c r="D383" s="65"/>
      <c r="E383" s="65"/>
      <c r="F383" s="65"/>
      <c r="G383" s="65"/>
      <c r="H383" s="65"/>
      <c r="I383" s="65"/>
      <c r="J383" s="108"/>
      <c r="K383" s="103"/>
      <c r="L383" s="65"/>
      <c r="M383" s="65"/>
      <c r="N383" s="65"/>
    </row>
    <row r="384">
      <c r="A384" s="61"/>
      <c r="B384" s="61"/>
      <c r="C384" s="61"/>
      <c r="D384" s="61"/>
      <c r="E384" s="61"/>
      <c r="F384" s="61"/>
      <c r="G384" s="61"/>
      <c r="H384" s="61"/>
      <c r="I384" s="61"/>
      <c r="J384" s="107"/>
      <c r="K384" s="100"/>
      <c r="L384" s="61"/>
      <c r="M384" s="61"/>
      <c r="N384" s="61"/>
    </row>
    <row r="385">
      <c r="A385" s="65"/>
      <c r="B385" s="65"/>
      <c r="C385" s="65"/>
      <c r="D385" s="65"/>
      <c r="E385" s="65"/>
      <c r="F385" s="65"/>
      <c r="G385" s="65"/>
      <c r="H385" s="65"/>
      <c r="I385" s="65"/>
      <c r="J385" s="108"/>
      <c r="K385" s="103"/>
      <c r="L385" s="65"/>
      <c r="M385" s="65"/>
      <c r="N385" s="65"/>
    </row>
    <row r="386">
      <c r="A386" s="61"/>
      <c r="B386" s="61"/>
      <c r="C386" s="61"/>
      <c r="D386" s="61"/>
      <c r="E386" s="61"/>
      <c r="F386" s="61"/>
      <c r="G386" s="61"/>
      <c r="H386" s="61"/>
      <c r="I386" s="61"/>
      <c r="J386" s="107"/>
      <c r="K386" s="100"/>
      <c r="L386" s="61"/>
      <c r="M386" s="61"/>
      <c r="N386" s="61"/>
    </row>
    <row r="387">
      <c r="A387" s="65"/>
      <c r="B387" s="65"/>
      <c r="C387" s="65"/>
      <c r="D387" s="65"/>
      <c r="E387" s="65"/>
      <c r="F387" s="65"/>
      <c r="G387" s="65"/>
      <c r="H387" s="65"/>
      <c r="I387" s="65"/>
      <c r="J387" s="108"/>
      <c r="K387" s="103"/>
      <c r="L387" s="65"/>
      <c r="M387" s="65"/>
      <c r="N387" s="65"/>
    </row>
    <row r="388">
      <c r="A388" s="61"/>
      <c r="B388" s="61"/>
      <c r="C388" s="61"/>
      <c r="D388" s="61"/>
      <c r="E388" s="61"/>
      <c r="F388" s="61"/>
      <c r="G388" s="61"/>
      <c r="H388" s="61"/>
      <c r="I388" s="61"/>
      <c r="J388" s="107"/>
      <c r="K388" s="100"/>
      <c r="L388" s="61"/>
      <c r="M388" s="61"/>
      <c r="N388" s="61"/>
    </row>
    <row r="389">
      <c r="A389" s="65"/>
      <c r="B389" s="65"/>
      <c r="C389" s="65"/>
      <c r="D389" s="65"/>
      <c r="E389" s="65"/>
      <c r="F389" s="65"/>
      <c r="G389" s="65"/>
      <c r="H389" s="65"/>
      <c r="I389" s="65"/>
      <c r="J389" s="108"/>
      <c r="K389" s="103"/>
      <c r="L389" s="65"/>
      <c r="M389" s="65"/>
      <c r="N389" s="65"/>
    </row>
    <row r="390">
      <c r="A390" s="61"/>
      <c r="B390" s="61"/>
      <c r="C390" s="61"/>
      <c r="D390" s="61"/>
      <c r="E390" s="61"/>
      <c r="F390" s="61"/>
      <c r="G390" s="61"/>
      <c r="H390" s="61"/>
      <c r="I390" s="61"/>
      <c r="J390" s="107"/>
      <c r="K390" s="100"/>
      <c r="L390" s="61"/>
      <c r="M390" s="61"/>
      <c r="N390" s="61"/>
    </row>
    <row r="391">
      <c r="A391" s="65"/>
      <c r="B391" s="65"/>
      <c r="C391" s="65"/>
      <c r="D391" s="65"/>
      <c r="E391" s="65"/>
      <c r="F391" s="65"/>
      <c r="G391" s="65"/>
      <c r="H391" s="65"/>
      <c r="I391" s="65"/>
      <c r="J391" s="108"/>
      <c r="K391" s="103"/>
      <c r="L391" s="65"/>
      <c r="M391" s="65"/>
      <c r="N391" s="65"/>
    </row>
    <row r="392">
      <c r="A392" s="61"/>
      <c r="B392" s="61"/>
      <c r="C392" s="61"/>
      <c r="D392" s="61"/>
      <c r="E392" s="61"/>
      <c r="F392" s="61"/>
      <c r="G392" s="61"/>
      <c r="H392" s="61"/>
      <c r="I392" s="61"/>
      <c r="J392" s="107"/>
      <c r="K392" s="100"/>
      <c r="L392" s="61"/>
      <c r="M392" s="61"/>
      <c r="N392" s="61"/>
    </row>
    <row r="393">
      <c r="A393" s="65"/>
      <c r="B393" s="65"/>
      <c r="C393" s="65"/>
      <c r="D393" s="65"/>
      <c r="E393" s="65"/>
      <c r="F393" s="65"/>
      <c r="G393" s="65"/>
      <c r="H393" s="65"/>
      <c r="I393" s="65"/>
      <c r="J393" s="108"/>
      <c r="K393" s="103"/>
      <c r="L393" s="65"/>
      <c r="M393" s="65"/>
      <c r="N393" s="65"/>
    </row>
    <row r="394">
      <c r="A394" s="61"/>
      <c r="B394" s="61"/>
      <c r="C394" s="61"/>
      <c r="D394" s="61"/>
      <c r="E394" s="61"/>
      <c r="F394" s="61"/>
      <c r="G394" s="61"/>
      <c r="H394" s="61"/>
      <c r="I394" s="61"/>
      <c r="J394" s="107"/>
      <c r="K394" s="100"/>
      <c r="L394" s="61"/>
      <c r="M394" s="61"/>
      <c r="N394" s="61"/>
    </row>
    <row r="395">
      <c r="A395" s="65"/>
      <c r="B395" s="65"/>
      <c r="C395" s="65"/>
      <c r="D395" s="65"/>
      <c r="E395" s="65"/>
      <c r="F395" s="65"/>
      <c r="G395" s="65"/>
      <c r="H395" s="65"/>
      <c r="I395" s="65"/>
      <c r="J395" s="108"/>
      <c r="K395" s="103"/>
      <c r="L395" s="65"/>
      <c r="M395" s="65"/>
      <c r="N395" s="65"/>
    </row>
    <row r="396">
      <c r="A396" s="61"/>
      <c r="B396" s="61"/>
      <c r="C396" s="61"/>
      <c r="D396" s="61"/>
      <c r="E396" s="61"/>
      <c r="F396" s="61"/>
      <c r="G396" s="61"/>
      <c r="H396" s="61"/>
      <c r="I396" s="61"/>
      <c r="J396" s="107"/>
      <c r="K396" s="100"/>
      <c r="L396" s="61"/>
      <c r="M396" s="61"/>
      <c r="N396" s="61"/>
    </row>
    <row r="397">
      <c r="A397" s="65"/>
      <c r="B397" s="65"/>
      <c r="C397" s="65"/>
      <c r="D397" s="65"/>
      <c r="E397" s="65"/>
      <c r="F397" s="65"/>
      <c r="G397" s="65"/>
      <c r="H397" s="65"/>
      <c r="I397" s="65"/>
      <c r="J397" s="108"/>
      <c r="K397" s="103"/>
      <c r="L397" s="65"/>
      <c r="M397" s="65"/>
      <c r="N397" s="65"/>
    </row>
    <row r="398">
      <c r="A398" s="61"/>
      <c r="B398" s="61"/>
      <c r="C398" s="61"/>
      <c r="D398" s="61"/>
      <c r="E398" s="61"/>
      <c r="F398" s="61"/>
      <c r="G398" s="61"/>
      <c r="H398" s="61"/>
      <c r="I398" s="61"/>
      <c r="J398" s="107"/>
      <c r="K398" s="100"/>
      <c r="L398" s="61"/>
      <c r="M398" s="61"/>
      <c r="N398" s="61"/>
    </row>
    <row r="399">
      <c r="A399" s="65"/>
      <c r="B399" s="65"/>
      <c r="C399" s="65"/>
      <c r="D399" s="65"/>
      <c r="E399" s="65"/>
      <c r="F399" s="65"/>
      <c r="G399" s="65"/>
      <c r="H399" s="65"/>
      <c r="I399" s="65"/>
      <c r="J399" s="108"/>
      <c r="K399" s="103"/>
      <c r="L399" s="65"/>
      <c r="M399" s="65"/>
      <c r="N399" s="65"/>
    </row>
    <row r="400">
      <c r="A400" s="61"/>
      <c r="B400" s="61"/>
      <c r="C400" s="61"/>
      <c r="D400" s="61"/>
      <c r="E400" s="61"/>
      <c r="F400" s="61"/>
      <c r="G400" s="61"/>
      <c r="H400" s="61"/>
      <c r="I400" s="61"/>
      <c r="J400" s="107"/>
      <c r="K400" s="100"/>
      <c r="L400" s="61"/>
      <c r="M400" s="61"/>
      <c r="N400" s="61"/>
    </row>
    <row r="401">
      <c r="A401" s="65"/>
      <c r="B401" s="65"/>
      <c r="C401" s="65"/>
      <c r="D401" s="65"/>
      <c r="E401" s="65"/>
      <c r="F401" s="65"/>
      <c r="G401" s="65"/>
      <c r="H401" s="65"/>
      <c r="I401" s="65"/>
      <c r="J401" s="108"/>
      <c r="K401" s="103"/>
      <c r="L401" s="65"/>
      <c r="M401" s="65"/>
      <c r="N401" s="65"/>
    </row>
    <row r="402">
      <c r="A402" s="61"/>
      <c r="B402" s="61"/>
      <c r="C402" s="61"/>
      <c r="D402" s="61"/>
      <c r="E402" s="61"/>
      <c r="F402" s="61"/>
      <c r="G402" s="61"/>
      <c r="H402" s="61"/>
      <c r="I402" s="61"/>
      <c r="J402" s="107"/>
      <c r="K402" s="100"/>
      <c r="L402" s="61"/>
      <c r="M402" s="61"/>
      <c r="N402" s="61"/>
    </row>
    <row r="403">
      <c r="A403" s="65"/>
      <c r="B403" s="65"/>
      <c r="C403" s="65"/>
      <c r="D403" s="65"/>
      <c r="E403" s="65"/>
      <c r="F403" s="65"/>
      <c r="G403" s="65"/>
      <c r="H403" s="65"/>
      <c r="I403" s="65"/>
      <c r="J403" s="108"/>
      <c r="K403" s="103"/>
      <c r="L403" s="65"/>
      <c r="M403" s="65"/>
      <c r="N403" s="65"/>
    </row>
    <row r="404">
      <c r="A404" s="61"/>
      <c r="B404" s="61"/>
      <c r="C404" s="61"/>
      <c r="D404" s="61"/>
      <c r="E404" s="61"/>
      <c r="F404" s="61"/>
      <c r="G404" s="61"/>
      <c r="H404" s="61"/>
      <c r="I404" s="61"/>
      <c r="J404" s="107"/>
      <c r="K404" s="100"/>
      <c r="L404" s="61"/>
      <c r="M404" s="61"/>
      <c r="N404" s="61"/>
    </row>
    <row r="405">
      <c r="A405" s="65"/>
      <c r="B405" s="65"/>
      <c r="C405" s="65"/>
      <c r="D405" s="65"/>
      <c r="E405" s="65"/>
      <c r="F405" s="65"/>
      <c r="G405" s="65"/>
      <c r="H405" s="65"/>
      <c r="I405" s="65"/>
      <c r="J405" s="108"/>
      <c r="K405" s="103"/>
      <c r="L405" s="65"/>
      <c r="M405" s="65"/>
      <c r="N405" s="65"/>
    </row>
    <row r="406">
      <c r="A406" s="61"/>
      <c r="B406" s="61"/>
      <c r="C406" s="61"/>
      <c r="D406" s="61"/>
      <c r="E406" s="61"/>
      <c r="F406" s="61"/>
      <c r="G406" s="61"/>
      <c r="H406" s="61"/>
      <c r="I406" s="61"/>
      <c r="J406" s="107"/>
      <c r="K406" s="100"/>
      <c r="L406" s="61"/>
      <c r="M406" s="61"/>
      <c r="N406" s="61"/>
    </row>
    <row r="407">
      <c r="A407" s="65"/>
      <c r="B407" s="65"/>
      <c r="C407" s="65"/>
      <c r="D407" s="65"/>
      <c r="E407" s="65"/>
      <c r="F407" s="65"/>
      <c r="G407" s="65"/>
      <c r="H407" s="65"/>
      <c r="I407" s="65"/>
      <c r="J407" s="108"/>
      <c r="K407" s="103"/>
      <c r="L407" s="65"/>
      <c r="M407" s="65"/>
      <c r="N407" s="65"/>
    </row>
    <row r="408">
      <c r="A408" s="61"/>
      <c r="B408" s="61"/>
      <c r="C408" s="61"/>
      <c r="D408" s="61"/>
      <c r="E408" s="61"/>
      <c r="F408" s="61"/>
      <c r="G408" s="61"/>
      <c r="H408" s="61"/>
      <c r="I408" s="61"/>
      <c r="J408" s="107"/>
      <c r="K408" s="100"/>
      <c r="L408" s="61"/>
      <c r="M408" s="61"/>
      <c r="N408" s="61"/>
    </row>
    <row r="409">
      <c r="A409" s="65"/>
      <c r="B409" s="65"/>
      <c r="C409" s="65"/>
      <c r="D409" s="65"/>
      <c r="E409" s="65"/>
      <c r="F409" s="65"/>
      <c r="G409" s="65"/>
      <c r="H409" s="65"/>
      <c r="I409" s="65"/>
      <c r="J409" s="108"/>
      <c r="K409" s="103"/>
      <c r="L409" s="65"/>
      <c r="M409" s="65"/>
      <c r="N409" s="65"/>
    </row>
    <row r="410">
      <c r="A410" s="61"/>
      <c r="B410" s="61"/>
      <c r="C410" s="61"/>
      <c r="D410" s="61"/>
      <c r="E410" s="61"/>
      <c r="F410" s="61"/>
      <c r="G410" s="61"/>
      <c r="H410" s="61"/>
      <c r="I410" s="61"/>
      <c r="J410" s="107"/>
      <c r="K410" s="100"/>
      <c r="L410" s="61"/>
      <c r="M410" s="61"/>
      <c r="N410" s="61"/>
    </row>
    <row r="411">
      <c r="A411" s="65"/>
      <c r="B411" s="65"/>
      <c r="C411" s="65"/>
      <c r="D411" s="65"/>
      <c r="E411" s="65"/>
      <c r="F411" s="65"/>
      <c r="G411" s="65"/>
      <c r="H411" s="65"/>
      <c r="I411" s="65"/>
      <c r="J411" s="108"/>
      <c r="K411" s="103"/>
      <c r="L411" s="65"/>
      <c r="M411" s="65"/>
      <c r="N411" s="65"/>
    </row>
    <row r="412">
      <c r="A412" s="61"/>
      <c r="B412" s="61"/>
      <c r="C412" s="61"/>
      <c r="D412" s="61"/>
      <c r="E412" s="61"/>
      <c r="F412" s="61"/>
      <c r="G412" s="61"/>
      <c r="H412" s="61"/>
      <c r="I412" s="61"/>
      <c r="J412" s="107"/>
      <c r="K412" s="100"/>
      <c r="L412" s="61"/>
      <c r="M412" s="61"/>
      <c r="N412" s="61"/>
    </row>
    <row r="413">
      <c r="A413" s="65"/>
      <c r="B413" s="65"/>
      <c r="C413" s="65"/>
      <c r="D413" s="65"/>
      <c r="E413" s="65"/>
      <c r="F413" s="65"/>
      <c r="G413" s="65"/>
      <c r="H413" s="65"/>
      <c r="I413" s="65"/>
      <c r="J413" s="108"/>
      <c r="K413" s="103"/>
      <c r="L413" s="65"/>
      <c r="M413" s="65"/>
      <c r="N413" s="65"/>
    </row>
    <row r="414">
      <c r="A414" s="61"/>
      <c r="B414" s="61"/>
      <c r="C414" s="61"/>
      <c r="D414" s="61"/>
      <c r="E414" s="61"/>
      <c r="F414" s="61"/>
      <c r="G414" s="61"/>
      <c r="H414" s="61"/>
      <c r="I414" s="61"/>
      <c r="J414" s="107"/>
      <c r="K414" s="100"/>
      <c r="L414" s="61"/>
      <c r="M414" s="61"/>
      <c r="N414" s="61"/>
    </row>
    <row r="415">
      <c r="A415" s="65"/>
      <c r="B415" s="65"/>
      <c r="C415" s="65"/>
      <c r="D415" s="65"/>
      <c r="E415" s="65"/>
      <c r="F415" s="65"/>
      <c r="G415" s="65"/>
      <c r="H415" s="65"/>
      <c r="I415" s="65"/>
      <c r="J415" s="108"/>
      <c r="K415" s="103"/>
      <c r="L415" s="65"/>
      <c r="M415" s="65"/>
      <c r="N415" s="65"/>
    </row>
    <row r="416">
      <c r="A416" s="61"/>
      <c r="B416" s="61"/>
      <c r="C416" s="61"/>
      <c r="D416" s="61"/>
      <c r="E416" s="61"/>
      <c r="F416" s="61"/>
      <c r="G416" s="61"/>
      <c r="H416" s="61"/>
      <c r="I416" s="61"/>
      <c r="J416" s="107"/>
      <c r="K416" s="100"/>
      <c r="L416" s="61"/>
      <c r="M416" s="61"/>
      <c r="N416" s="61"/>
    </row>
    <row r="417">
      <c r="A417" s="65"/>
      <c r="B417" s="65"/>
      <c r="C417" s="65"/>
      <c r="D417" s="65"/>
      <c r="E417" s="65"/>
      <c r="F417" s="65"/>
      <c r="G417" s="65"/>
      <c r="H417" s="65"/>
      <c r="I417" s="65"/>
      <c r="J417" s="108"/>
      <c r="K417" s="103"/>
      <c r="L417" s="65"/>
      <c r="M417" s="65"/>
      <c r="N417" s="65"/>
    </row>
    <row r="418">
      <c r="A418" s="61"/>
      <c r="B418" s="61"/>
      <c r="C418" s="61"/>
      <c r="D418" s="61"/>
      <c r="E418" s="61"/>
      <c r="F418" s="61"/>
      <c r="G418" s="61"/>
      <c r="H418" s="61"/>
      <c r="I418" s="61"/>
      <c r="J418" s="107"/>
      <c r="K418" s="100"/>
      <c r="L418" s="61"/>
      <c r="M418" s="61"/>
      <c r="N418" s="61"/>
    </row>
    <row r="419">
      <c r="A419" s="65"/>
      <c r="B419" s="65"/>
      <c r="C419" s="65"/>
      <c r="D419" s="65"/>
      <c r="E419" s="65"/>
      <c r="F419" s="65"/>
      <c r="G419" s="65"/>
      <c r="H419" s="65"/>
      <c r="I419" s="65"/>
      <c r="J419" s="108"/>
      <c r="K419" s="103"/>
      <c r="L419" s="65"/>
      <c r="M419" s="65"/>
      <c r="N419" s="65"/>
    </row>
    <row r="420">
      <c r="A420" s="61"/>
      <c r="B420" s="61"/>
      <c r="C420" s="61"/>
      <c r="D420" s="61"/>
      <c r="E420" s="61"/>
      <c r="F420" s="61"/>
      <c r="G420" s="61"/>
      <c r="H420" s="61"/>
      <c r="I420" s="61"/>
      <c r="J420" s="107"/>
      <c r="K420" s="100"/>
      <c r="L420" s="61"/>
      <c r="M420" s="61"/>
      <c r="N420" s="61"/>
    </row>
    <row r="421">
      <c r="A421" s="65"/>
      <c r="B421" s="65"/>
      <c r="C421" s="65"/>
      <c r="D421" s="65"/>
      <c r="E421" s="65"/>
      <c r="F421" s="65"/>
      <c r="G421" s="65"/>
      <c r="H421" s="65"/>
      <c r="I421" s="65"/>
      <c r="J421" s="108"/>
      <c r="K421" s="103"/>
      <c r="L421" s="65"/>
      <c r="M421" s="65"/>
      <c r="N421" s="65"/>
    </row>
    <row r="422">
      <c r="A422" s="61"/>
      <c r="B422" s="61"/>
      <c r="C422" s="61"/>
      <c r="D422" s="61"/>
      <c r="E422" s="61"/>
      <c r="F422" s="61"/>
      <c r="G422" s="61"/>
      <c r="H422" s="61"/>
      <c r="I422" s="61"/>
      <c r="J422" s="107"/>
      <c r="K422" s="100"/>
      <c r="L422" s="61"/>
      <c r="M422" s="61"/>
      <c r="N422" s="61"/>
    </row>
    <row r="423">
      <c r="A423" s="65"/>
      <c r="B423" s="65"/>
      <c r="C423" s="65"/>
      <c r="D423" s="65"/>
      <c r="E423" s="65"/>
      <c r="F423" s="65"/>
      <c r="G423" s="65"/>
      <c r="H423" s="65"/>
      <c r="I423" s="65"/>
      <c r="J423" s="108"/>
      <c r="K423" s="103"/>
      <c r="L423" s="65"/>
      <c r="M423" s="65"/>
      <c r="N423" s="65"/>
    </row>
    <row r="424">
      <c r="A424" s="61"/>
      <c r="B424" s="61"/>
      <c r="C424" s="61"/>
      <c r="D424" s="61"/>
      <c r="E424" s="61"/>
      <c r="F424" s="61"/>
      <c r="G424" s="61"/>
      <c r="H424" s="61"/>
      <c r="I424" s="61"/>
      <c r="J424" s="107"/>
      <c r="K424" s="100"/>
      <c r="L424" s="61"/>
      <c r="M424" s="61"/>
      <c r="N424" s="61"/>
    </row>
    <row r="425">
      <c r="A425" s="65"/>
      <c r="B425" s="65"/>
      <c r="C425" s="65"/>
      <c r="D425" s="65"/>
      <c r="E425" s="65"/>
      <c r="F425" s="65"/>
      <c r="G425" s="65"/>
      <c r="H425" s="65"/>
      <c r="I425" s="65"/>
      <c r="J425" s="108"/>
      <c r="K425" s="103"/>
      <c r="L425" s="65"/>
      <c r="M425" s="65"/>
      <c r="N425" s="65"/>
    </row>
    <row r="426">
      <c r="A426" s="61"/>
      <c r="B426" s="61"/>
      <c r="C426" s="61"/>
      <c r="D426" s="61"/>
      <c r="E426" s="61"/>
      <c r="F426" s="61"/>
      <c r="G426" s="61"/>
      <c r="H426" s="61"/>
      <c r="I426" s="61"/>
      <c r="J426" s="107"/>
      <c r="K426" s="100"/>
      <c r="L426" s="61"/>
      <c r="M426" s="61"/>
      <c r="N426" s="61"/>
    </row>
    <row r="427">
      <c r="A427" s="65"/>
      <c r="B427" s="65"/>
      <c r="C427" s="65"/>
      <c r="D427" s="65"/>
      <c r="E427" s="65"/>
      <c r="F427" s="65"/>
      <c r="G427" s="65"/>
      <c r="H427" s="65"/>
      <c r="I427" s="65"/>
      <c r="J427" s="108"/>
      <c r="K427" s="103"/>
      <c r="L427" s="65"/>
      <c r="M427" s="65"/>
      <c r="N427" s="65"/>
    </row>
    <row r="428">
      <c r="A428" s="61"/>
      <c r="B428" s="61"/>
      <c r="C428" s="61"/>
      <c r="D428" s="61"/>
      <c r="E428" s="61"/>
      <c r="F428" s="61"/>
      <c r="G428" s="61"/>
      <c r="H428" s="61"/>
      <c r="I428" s="61"/>
      <c r="J428" s="107"/>
      <c r="K428" s="100"/>
      <c r="L428" s="61"/>
      <c r="M428" s="61"/>
      <c r="N428" s="61"/>
    </row>
    <row r="429">
      <c r="A429" s="65"/>
      <c r="B429" s="65"/>
      <c r="C429" s="65"/>
      <c r="D429" s="65"/>
      <c r="E429" s="65"/>
      <c r="F429" s="65"/>
      <c r="G429" s="65"/>
      <c r="H429" s="65"/>
      <c r="I429" s="65"/>
      <c r="J429" s="108"/>
      <c r="K429" s="103"/>
      <c r="L429" s="65"/>
      <c r="M429" s="65"/>
      <c r="N429" s="65"/>
    </row>
    <row r="430">
      <c r="A430" s="61"/>
      <c r="B430" s="61"/>
      <c r="C430" s="61"/>
      <c r="D430" s="61"/>
      <c r="E430" s="61"/>
      <c r="F430" s="61"/>
      <c r="G430" s="61"/>
      <c r="H430" s="61"/>
      <c r="I430" s="61"/>
      <c r="J430" s="107"/>
      <c r="K430" s="100"/>
      <c r="L430" s="61"/>
      <c r="M430" s="61"/>
      <c r="N430" s="61"/>
    </row>
    <row r="431">
      <c r="A431" s="65"/>
      <c r="B431" s="65"/>
      <c r="C431" s="65"/>
      <c r="D431" s="65"/>
      <c r="E431" s="65"/>
      <c r="F431" s="65"/>
      <c r="G431" s="65"/>
      <c r="H431" s="65"/>
      <c r="I431" s="65"/>
      <c r="J431" s="108"/>
      <c r="K431" s="103"/>
      <c r="L431" s="65"/>
      <c r="M431" s="65"/>
      <c r="N431" s="65"/>
    </row>
    <row r="432">
      <c r="A432" s="61"/>
      <c r="B432" s="61"/>
      <c r="C432" s="61"/>
      <c r="D432" s="61"/>
      <c r="E432" s="61"/>
      <c r="F432" s="61"/>
      <c r="G432" s="61"/>
      <c r="H432" s="61"/>
      <c r="I432" s="61"/>
      <c r="J432" s="107"/>
      <c r="K432" s="100"/>
      <c r="L432" s="61"/>
      <c r="M432" s="61"/>
      <c r="N432" s="61"/>
    </row>
    <row r="433">
      <c r="A433" s="65"/>
      <c r="B433" s="65"/>
      <c r="C433" s="65"/>
      <c r="D433" s="65"/>
      <c r="E433" s="65"/>
      <c r="F433" s="65"/>
      <c r="G433" s="65"/>
      <c r="H433" s="65"/>
      <c r="I433" s="65"/>
      <c r="J433" s="108"/>
      <c r="K433" s="103"/>
      <c r="L433" s="65"/>
      <c r="M433" s="65"/>
      <c r="N433" s="65"/>
    </row>
    <row r="434">
      <c r="A434" s="61"/>
      <c r="B434" s="61"/>
      <c r="C434" s="61"/>
      <c r="D434" s="61"/>
      <c r="E434" s="61"/>
      <c r="F434" s="61"/>
      <c r="G434" s="61"/>
      <c r="H434" s="61"/>
      <c r="I434" s="61"/>
      <c r="J434" s="107"/>
      <c r="K434" s="100"/>
      <c r="L434" s="61"/>
      <c r="M434" s="61"/>
      <c r="N434" s="61"/>
    </row>
    <row r="435">
      <c r="A435" s="65"/>
      <c r="B435" s="65"/>
      <c r="C435" s="65"/>
      <c r="D435" s="65"/>
      <c r="E435" s="65"/>
      <c r="F435" s="65"/>
      <c r="G435" s="65"/>
      <c r="H435" s="65"/>
      <c r="I435" s="65"/>
      <c r="J435" s="108"/>
      <c r="K435" s="103"/>
      <c r="L435" s="65"/>
      <c r="M435" s="65"/>
      <c r="N435" s="65"/>
    </row>
    <row r="436">
      <c r="A436" s="61"/>
      <c r="B436" s="61"/>
      <c r="C436" s="61"/>
      <c r="D436" s="61"/>
      <c r="E436" s="61"/>
      <c r="F436" s="61"/>
      <c r="G436" s="61"/>
      <c r="H436" s="61"/>
      <c r="I436" s="61"/>
      <c r="J436" s="107"/>
      <c r="K436" s="100"/>
      <c r="L436" s="61"/>
      <c r="M436" s="61"/>
      <c r="N436" s="61"/>
    </row>
    <row r="437">
      <c r="A437" s="65"/>
      <c r="B437" s="65"/>
      <c r="C437" s="65"/>
      <c r="D437" s="65"/>
      <c r="E437" s="65"/>
      <c r="F437" s="65"/>
      <c r="G437" s="65"/>
      <c r="H437" s="65"/>
      <c r="I437" s="65"/>
      <c r="J437" s="108"/>
      <c r="K437" s="103"/>
      <c r="L437" s="65"/>
      <c r="M437" s="65"/>
      <c r="N437" s="65"/>
    </row>
    <row r="438">
      <c r="A438" s="61"/>
      <c r="B438" s="61"/>
      <c r="C438" s="61"/>
      <c r="D438" s="61"/>
      <c r="E438" s="61"/>
      <c r="F438" s="61"/>
      <c r="G438" s="61"/>
      <c r="H438" s="61"/>
      <c r="I438" s="61"/>
      <c r="J438" s="107"/>
      <c r="K438" s="100"/>
      <c r="L438" s="61"/>
      <c r="M438" s="61"/>
      <c r="N438" s="61"/>
    </row>
    <row r="439">
      <c r="A439" s="65"/>
      <c r="B439" s="65"/>
      <c r="C439" s="65"/>
      <c r="D439" s="65"/>
      <c r="E439" s="65"/>
      <c r="F439" s="65"/>
      <c r="G439" s="65"/>
      <c r="H439" s="65"/>
      <c r="I439" s="65"/>
      <c r="J439" s="108"/>
      <c r="K439" s="103"/>
      <c r="L439" s="65"/>
      <c r="M439" s="65"/>
      <c r="N439" s="65"/>
    </row>
    <row r="440">
      <c r="A440" s="61"/>
      <c r="B440" s="61"/>
      <c r="C440" s="61"/>
      <c r="D440" s="61"/>
      <c r="E440" s="61"/>
      <c r="F440" s="61"/>
      <c r="G440" s="61"/>
      <c r="H440" s="61"/>
      <c r="I440" s="61"/>
      <c r="J440" s="107"/>
      <c r="K440" s="100"/>
      <c r="L440" s="61"/>
      <c r="M440" s="61"/>
      <c r="N440" s="61"/>
    </row>
    <row r="441">
      <c r="A441" s="65"/>
      <c r="B441" s="65"/>
      <c r="C441" s="65"/>
      <c r="D441" s="65"/>
      <c r="E441" s="65"/>
      <c r="F441" s="65"/>
      <c r="G441" s="65"/>
      <c r="H441" s="65"/>
      <c r="I441" s="65"/>
      <c r="J441" s="108"/>
      <c r="K441" s="103"/>
      <c r="L441" s="65"/>
      <c r="M441" s="65"/>
      <c r="N441" s="65"/>
    </row>
    <row r="442">
      <c r="A442" s="61"/>
      <c r="B442" s="61"/>
      <c r="C442" s="61"/>
      <c r="D442" s="61"/>
      <c r="E442" s="61"/>
      <c r="F442" s="61"/>
      <c r="G442" s="61"/>
      <c r="H442" s="61"/>
      <c r="I442" s="61"/>
      <c r="J442" s="107"/>
      <c r="K442" s="100"/>
      <c r="L442" s="61"/>
      <c r="M442" s="61"/>
      <c r="N442" s="61"/>
    </row>
    <row r="443">
      <c r="A443" s="65"/>
      <c r="B443" s="65"/>
      <c r="C443" s="65"/>
      <c r="D443" s="65"/>
      <c r="E443" s="65"/>
      <c r="F443" s="65"/>
      <c r="G443" s="65"/>
      <c r="H443" s="65"/>
      <c r="I443" s="65"/>
      <c r="J443" s="108"/>
      <c r="K443" s="103"/>
      <c r="L443" s="65"/>
      <c r="M443" s="65"/>
      <c r="N443" s="65"/>
    </row>
    <row r="444">
      <c r="A444" s="61"/>
      <c r="B444" s="61"/>
      <c r="C444" s="61"/>
      <c r="D444" s="61"/>
      <c r="E444" s="61"/>
      <c r="F444" s="61"/>
      <c r="G444" s="61"/>
      <c r="H444" s="61"/>
      <c r="I444" s="61"/>
      <c r="J444" s="107"/>
      <c r="K444" s="100"/>
      <c r="L444" s="61"/>
      <c r="M444" s="61"/>
      <c r="N444" s="61"/>
    </row>
    <row r="445">
      <c r="A445" s="65"/>
      <c r="B445" s="65"/>
      <c r="C445" s="65"/>
      <c r="D445" s="65"/>
      <c r="E445" s="65"/>
      <c r="F445" s="65"/>
      <c r="G445" s="65"/>
      <c r="H445" s="65"/>
      <c r="I445" s="65"/>
      <c r="J445" s="108"/>
      <c r="K445" s="103"/>
      <c r="L445" s="65"/>
      <c r="M445" s="65"/>
      <c r="N445" s="65"/>
    </row>
    <row r="446">
      <c r="A446" s="61"/>
      <c r="B446" s="61"/>
      <c r="C446" s="61"/>
      <c r="D446" s="61"/>
      <c r="E446" s="61"/>
      <c r="F446" s="61"/>
      <c r="G446" s="61"/>
      <c r="H446" s="61"/>
      <c r="I446" s="61"/>
      <c r="J446" s="107"/>
      <c r="K446" s="100"/>
      <c r="L446" s="61"/>
      <c r="M446" s="61"/>
      <c r="N446" s="61"/>
    </row>
    <row r="447">
      <c r="A447" s="65"/>
      <c r="B447" s="65"/>
      <c r="C447" s="65"/>
      <c r="D447" s="65"/>
      <c r="E447" s="65"/>
      <c r="F447" s="65"/>
      <c r="G447" s="65"/>
      <c r="H447" s="65"/>
      <c r="I447" s="65"/>
      <c r="J447" s="108"/>
      <c r="K447" s="103"/>
      <c r="L447" s="65"/>
      <c r="M447" s="65"/>
      <c r="N447" s="65"/>
    </row>
    <row r="448">
      <c r="A448" s="61"/>
      <c r="B448" s="61"/>
      <c r="C448" s="61"/>
      <c r="D448" s="61"/>
      <c r="E448" s="61"/>
      <c r="F448" s="61"/>
      <c r="G448" s="61"/>
      <c r="H448" s="61"/>
      <c r="I448" s="61"/>
      <c r="J448" s="107"/>
      <c r="K448" s="100"/>
      <c r="L448" s="61"/>
      <c r="M448" s="61"/>
      <c r="N448" s="61"/>
    </row>
    <row r="449">
      <c r="A449" s="65"/>
      <c r="B449" s="65"/>
      <c r="C449" s="65"/>
      <c r="D449" s="65"/>
      <c r="E449" s="65"/>
      <c r="F449" s="65"/>
      <c r="G449" s="65"/>
      <c r="H449" s="65"/>
      <c r="I449" s="65"/>
      <c r="J449" s="108"/>
      <c r="K449" s="103"/>
      <c r="L449" s="65"/>
      <c r="M449" s="65"/>
      <c r="N449" s="65"/>
    </row>
    <row r="450">
      <c r="A450" s="61"/>
      <c r="B450" s="61"/>
      <c r="C450" s="61"/>
      <c r="D450" s="61"/>
      <c r="E450" s="61"/>
      <c r="F450" s="61"/>
      <c r="G450" s="61"/>
      <c r="H450" s="61"/>
      <c r="I450" s="61"/>
      <c r="J450" s="107"/>
      <c r="K450" s="100"/>
      <c r="L450" s="61"/>
      <c r="M450" s="61"/>
      <c r="N450" s="61"/>
    </row>
    <row r="451">
      <c r="A451" s="65"/>
      <c r="B451" s="65"/>
      <c r="C451" s="65"/>
      <c r="D451" s="65"/>
      <c r="E451" s="65"/>
      <c r="F451" s="65"/>
      <c r="G451" s="65"/>
      <c r="H451" s="65"/>
      <c r="I451" s="65"/>
      <c r="J451" s="108"/>
      <c r="K451" s="103"/>
      <c r="L451" s="65"/>
      <c r="M451" s="65"/>
      <c r="N451" s="65"/>
    </row>
    <row r="452">
      <c r="A452" s="61"/>
      <c r="B452" s="61"/>
      <c r="C452" s="61"/>
      <c r="D452" s="61"/>
      <c r="E452" s="61"/>
      <c r="F452" s="61"/>
      <c r="G452" s="61"/>
      <c r="H452" s="61"/>
      <c r="I452" s="61"/>
      <c r="J452" s="107"/>
      <c r="K452" s="100"/>
      <c r="L452" s="61"/>
      <c r="M452" s="61"/>
      <c r="N452" s="61"/>
    </row>
    <row r="453">
      <c r="A453" s="65"/>
      <c r="B453" s="65"/>
      <c r="C453" s="65"/>
      <c r="D453" s="65"/>
      <c r="E453" s="65"/>
      <c r="F453" s="65"/>
      <c r="G453" s="65"/>
      <c r="H453" s="65"/>
      <c r="I453" s="65"/>
      <c r="J453" s="108"/>
      <c r="K453" s="103"/>
      <c r="L453" s="65"/>
      <c r="M453" s="65"/>
      <c r="N453" s="65"/>
    </row>
    <row r="454">
      <c r="A454" s="61"/>
      <c r="B454" s="61"/>
      <c r="C454" s="61"/>
      <c r="D454" s="61"/>
      <c r="E454" s="61"/>
      <c r="F454" s="61"/>
      <c r="G454" s="61"/>
      <c r="H454" s="61"/>
      <c r="I454" s="61"/>
      <c r="J454" s="107"/>
      <c r="K454" s="100"/>
      <c r="L454" s="61"/>
      <c r="M454" s="61"/>
      <c r="N454" s="61"/>
    </row>
    <row r="455">
      <c r="A455" s="65"/>
      <c r="B455" s="65"/>
      <c r="C455" s="65"/>
      <c r="D455" s="65"/>
      <c r="E455" s="65"/>
      <c r="F455" s="65"/>
      <c r="G455" s="65"/>
      <c r="H455" s="65"/>
      <c r="I455" s="65"/>
      <c r="J455" s="108"/>
      <c r="K455" s="103"/>
      <c r="L455" s="65"/>
      <c r="M455" s="65"/>
      <c r="N455" s="65"/>
    </row>
    <row r="456">
      <c r="A456" s="61"/>
      <c r="B456" s="61"/>
      <c r="C456" s="61"/>
      <c r="D456" s="61"/>
      <c r="E456" s="61"/>
      <c r="F456" s="61"/>
      <c r="G456" s="61"/>
      <c r="H456" s="61"/>
      <c r="I456" s="61"/>
      <c r="J456" s="107"/>
      <c r="K456" s="100"/>
      <c r="L456" s="61"/>
      <c r="M456" s="61"/>
      <c r="N456" s="61"/>
    </row>
    <row r="457">
      <c r="A457" s="65"/>
      <c r="B457" s="65"/>
      <c r="C457" s="65"/>
      <c r="D457" s="65"/>
      <c r="E457" s="65"/>
      <c r="F457" s="65"/>
      <c r="G457" s="65"/>
      <c r="H457" s="65"/>
      <c r="I457" s="65"/>
      <c r="J457" s="108"/>
      <c r="K457" s="103"/>
      <c r="L457" s="65"/>
      <c r="M457" s="65"/>
      <c r="N457" s="65"/>
    </row>
    <row r="458">
      <c r="A458" s="61"/>
      <c r="B458" s="61"/>
      <c r="C458" s="61"/>
      <c r="D458" s="61"/>
      <c r="E458" s="61"/>
      <c r="F458" s="61"/>
      <c r="G458" s="61"/>
      <c r="H458" s="61"/>
      <c r="I458" s="61"/>
      <c r="J458" s="107"/>
      <c r="K458" s="100"/>
      <c r="L458" s="61"/>
      <c r="M458" s="61"/>
      <c r="N458" s="61"/>
    </row>
    <row r="459">
      <c r="A459" s="65"/>
      <c r="B459" s="65"/>
      <c r="C459" s="65"/>
      <c r="D459" s="65"/>
      <c r="E459" s="65"/>
      <c r="F459" s="65"/>
      <c r="G459" s="65"/>
      <c r="H459" s="65"/>
      <c r="I459" s="65"/>
      <c r="J459" s="108"/>
      <c r="K459" s="103"/>
      <c r="L459" s="65"/>
      <c r="M459" s="65"/>
      <c r="N459" s="65"/>
    </row>
    <row r="460">
      <c r="A460" s="61"/>
      <c r="B460" s="61"/>
      <c r="C460" s="61"/>
      <c r="D460" s="61"/>
      <c r="E460" s="61"/>
      <c r="F460" s="61"/>
      <c r="G460" s="61"/>
      <c r="H460" s="61"/>
      <c r="I460" s="61"/>
      <c r="J460" s="107"/>
      <c r="K460" s="100"/>
      <c r="L460" s="61"/>
      <c r="M460" s="61"/>
      <c r="N460" s="61"/>
    </row>
    <row r="461">
      <c r="A461" s="65"/>
      <c r="B461" s="65"/>
      <c r="C461" s="65"/>
      <c r="D461" s="65"/>
      <c r="E461" s="65"/>
      <c r="F461" s="65"/>
      <c r="G461" s="65"/>
      <c r="H461" s="65"/>
      <c r="I461" s="65"/>
      <c r="J461" s="108"/>
      <c r="K461" s="103"/>
      <c r="L461" s="65"/>
      <c r="M461" s="65"/>
      <c r="N461" s="65"/>
    </row>
    <row r="462">
      <c r="A462" s="61"/>
      <c r="B462" s="61"/>
      <c r="C462" s="61"/>
      <c r="D462" s="61"/>
      <c r="E462" s="61"/>
      <c r="F462" s="61"/>
      <c r="G462" s="61"/>
      <c r="H462" s="61"/>
      <c r="I462" s="61"/>
      <c r="J462" s="107"/>
      <c r="K462" s="100"/>
      <c r="L462" s="61"/>
      <c r="M462" s="61"/>
      <c r="N462" s="61"/>
    </row>
    <row r="463">
      <c r="A463" s="65"/>
      <c r="B463" s="65"/>
      <c r="C463" s="65"/>
      <c r="D463" s="65"/>
      <c r="E463" s="65"/>
      <c r="F463" s="65"/>
      <c r="G463" s="65"/>
      <c r="H463" s="65"/>
      <c r="I463" s="65"/>
      <c r="J463" s="108"/>
      <c r="K463" s="103"/>
      <c r="L463" s="65"/>
      <c r="M463" s="65"/>
      <c r="N463" s="65"/>
    </row>
    <row r="464">
      <c r="A464" s="61"/>
      <c r="B464" s="61"/>
      <c r="C464" s="61"/>
      <c r="D464" s="61"/>
      <c r="E464" s="61"/>
      <c r="F464" s="61"/>
      <c r="G464" s="61"/>
      <c r="H464" s="61"/>
      <c r="I464" s="61"/>
      <c r="J464" s="107"/>
      <c r="K464" s="100"/>
      <c r="L464" s="61"/>
      <c r="M464" s="61"/>
      <c r="N464" s="61"/>
    </row>
    <row r="465">
      <c r="A465" s="65"/>
      <c r="B465" s="65"/>
      <c r="C465" s="65"/>
      <c r="D465" s="65"/>
      <c r="E465" s="65"/>
      <c r="F465" s="65"/>
      <c r="G465" s="65"/>
      <c r="H465" s="65"/>
      <c r="I465" s="65"/>
      <c r="J465" s="108"/>
      <c r="K465" s="103"/>
      <c r="L465" s="65"/>
      <c r="M465" s="65"/>
      <c r="N465" s="65"/>
    </row>
    <row r="466">
      <c r="A466" s="61"/>
      <c r="B466" s="61"/>
      <c r="C466" s="61"/>
      <c r="D466" s="61"/>
      <c r="E466" s="61"/>
      <c r="F466" s="61"/>
      <c r="G466" s="61"/>
      <c r="H466" s="61"/>
      <c r="I466" s="61"/>
      <c r="J466" s="107"/>
      <c r="K466" s="100"/>
      <c r="L466" s="61"/>
      <c r="M466" s="61"/>
      <c r="N466" s="61"/>
    </row>
    <row r="467">
      <c r="A467" s="65"/>
      <c r="B467" s="65"/>
      <c r="C467" s="65"/>
      <c r="D467" s="65"/>
      <c r="E467" s="65"/>
      <c r="F467" s="65"/>
      <c r="G467" s="65"/>
      <c r="H467" s="65"/>
      <c r="I467" s="65"/>
      <c r="J467" s="108"/>
      <c r="K467" s="103"/>
      <c r="L467" s="65"/>
      <c r="M467" s="65"/>
      <c r="N467" s="65"/>
    </row>
    <row r="468">
      <c r="A468" s="61"/>
      <c r="B468" s="61"/>
      <c r="C468" s="61"/>
      <c r="D468" s="61"/>
      <c r="E468" s="61"/>
      <c r="F468" s="61"/>
      <c r="G468" s="61"/>
      <c r="H468" s="61"/>
      <c r="I468" s="61"/>
      <c r="J468" s="107"/>
      <c r="K468" s="100"/>
      <c r="L468" s="61"/>
      <c r="M468" s="61"/>
      <c r="N468" s="61"/>
    </row>
    <row r="469">
      <c r="A469" s="65"/>
      <c r="B469" s="65"/>
      <c r="C469" s="65"/>
      <c r="D469" s="65"/>
      <c r="E469" s="65"/>
      <c r="F469" s="65"/>
      <c r="G469" s="65"/>
      <c r="H469" s="65"/>
      <c r="I469" s="65"/>
      <c r="J469" s="108"/>
      <c r="K469" s="103"/>
      <c r="L469" s="65"/>
      <c r="M469" s="65"/>
      <c r="N469" s="65"/>
    </row>
    <row r="470">
      <c r="A470" s="61"/>
      <c r="B470" s="61"/>
      <c r="C470" s="61"/>
      <c r="D470" s="61"/>
      <c r="E470" s="61"/>
      <c r="F470" s="61"/>
      <c r="G470" s="61"/>
      <c r="H470" s="61"/>
      <c r="I470" s="61"/>
      <c r="J470" s="107"/>
      <c r="K470" s="100"/>
      <c r="L470" s="61"/>
      <c r="M470" s="61"/>
      <c r="N470" s="61"/>
    </row>
    <row r="471">
      <c r="A471" s="65"/>
      <c r="B471" s="65"/>
      <c r="C471" s="65"/>
      <c r="D471" s="65"/>
      <c r="E471" s="65"/>
      <c r="F471" s="65"/>
      <c r="G471" s="65"/>
      <c r="H471" s="65"/>
      <c r="I471" s="65"/>
      <c r="J471" s="108"/>
      <c r="K471" s="103"/>
      <c r="L471" s="65"/>
      <c r="M471" s="65"/>
      <c r="N471" s="65"/>
    </row>
    <row r="472">
      <c r="A472" s="61"/>
      <c r="B472" s="61"/>
      <c r="C472" s="61"/>
      <c r="D472" s="61"/>
      <c r="E472" s="61"/>
      <c r="F472" s="61"/>
      <c r="G472" s="61"/>
      <c r="H472" s="61"/>
      <c r="I472" s="61"/>
      <c r="J472" s="107"/>
      <c r="K472" s="100"/>
      <c r="L472" s="61"/>
      <c r="M472" s="61"/>
      <c r="N472" s="61"/>
    </row>
    <row r="473">
      <c r="A473" s="65"/>
      <c r="B473" s="65"/>
      <c r="C473" s="65"/>
      <c r="D473" s="65"/>
      <c r="E473" s="65"/>
      <c r="F473" s="65"/>
      <c r="G473" s="65"/>
      <c r="H473" s="65"/>
      <c r="I473" s="65"/>
      <c r="J473" s="108"/>
      <c r="K473" s="103"/>
      <c r="L473" s="65"/>
      <c r="M473" s="65"/>
      <c r="N473" s="65"/>
    </row>
    <row r="474">
      <c r="A474" s="61"/>
      <c r="B474" s="61"/>
      <c r="C474" s="61"/>
      <c r="D474" s="61"/>
      <c r="E474" s="61"/>
      <c r="F474" s="61"/>
      <c r="G474" s="61"/>
      <c r="H474" s="61"/>
      <c r="I474" s="61"/>
      <c r="J474" s="107"/>
      <c r="K474" s="100"/>
      <c r="L474" s="61"/>
      <c r="M474" s="61"/>
      <c r="N474" s="61"/>
    </row>
    <row r="475">
      <c r="A475" s="65"/>
      <c r="B475" s="65"/>
      <c r="C475" s="65"/>
      <c r="D475" s="65"/>
      <c r="E475" s="65"/>
      <c r="F475" s="65"/>
      <c r="G475" s="65"/>
      <c r="H475" s="65"/>
      <c r="I475" s="65"/>
      <c r="J475" s="108"/>
      <c r="K475" s="103"/>
      <c r="L475" s="65"/>
      <c r="M475" s="65"/>
      <c r="N475" s="65"/>
    </row>
    <row r="476">
      <c r="A476" s="61"/>
      <c r="B476" s="61"/>
      <c r="C476" s="61"/>
      <c r="D476" s="61"/>
      <c r="E476" s="61"/>
      <c r="F476" s="61"/>
      <c r="G476" s="61"/>
      <c r="H476" s="61"/>
      <c r="I476" s="61"/>
      <c r="J476" s="107"/>
      <c r="K476" s="100"/>
      <c r="L476" s="61"/>
      <c r="M476" s="61"/>
      <c r="N476" s="61"/>
    </row>
    <row r="477">
      <c r="A477" s="65"/>
      <c r="B477" s="65"/>
      <c r="C477" s="65"/>
      <c r="D477" s="65"/>
      <c r="E477" s="65"/>
      <c r="F477" s="65"/>
      <c r="G477" s="65"/>
      <c r="H477" s="65"/>
      <c r="I477" s="65"/>
      <c r="J477" s="108"/>
      <c r="K477" s="103"/>
      <c r="L477" s="65"/>
      <c r="M477" s="65"/>
      <c r="N477" s="65"/>
    </row>
    <row r="478">
      <c r="A478" s="61"/>
      <c r="B478" s="61"/>
      <c r="C478" s="61"/>
      <c r="D478" s="61"/>
      <c r="E478" s="61"/>
      <c r="F478" s="61"/>
      <c r="G478" s="61"/>
      <c r="H478" s="61"/>
      <c r="I478" s="61"/>
      <c r="J478" s="107"/>
      <c r="K478" s="100"/>
      <c r="L478" s="61"/>
      <c r="M478" s="61"/>
      <c r="N478" s="61"/>
    </row>
    <row r="479">
      <c r="A479" s="65"/>
      <c r="B479" s="65"/>
      <c r="C479" s="65"/>
      <c r="D479" s="65"/>
      <c r="E479" s="65"/>
      <c r="F479" s="65"/>
      <c r="G479" s="65"/>
      <c r="H479" s="65"/>
      <c r="I479" s="65"/>
      <c r="J479" s="108"/>
      <c r="K479" s="103"/>
      <c r="L479" s="65"/>
      <c r="M479" s="65"/>
      <c r="N479" s="65"/>
    </row>
    <row r="480">
      <c r="A480" s="61"/>
      <c r="B480" s="61"/>
      <c r="C480" s="61"/>
      <c r="D480" s="61"/>
      <c r="E480" s="61"/>
      <c r="F480" s="61"/>
      <c r="G480" s="61"/>
      <c r="H480" s="61"/>
      <c r="I480" s="61"/>
      <c r="J480" s="107"/>
      <c r="K480" s="100"/>
      <c r="L480" s="61"/>
      <c r="M480" s="61"/>
      <c r="N480" s="61"/>
    </row>
    <row r="481">
      <c r="A481" s="65"/>
      <c r="B481" s="65"/>
      <c r="C481" s="65"/>
      <c r="D481" s="65"/>
      <c r="E481" s="65"/>
      <c r="F481" s="65"/>
      <c r="G481" s="65"/>
      <c r="H481" s="65"/>
      <c r="I481" s="65"/>
      <c r="J481" s="108"/>
      <c r="K481" s="103"/>
      <c r="L481" s="65"/>
      <c r="M481" s="65"/>
      <c r="N481" s="65"/>
    </row>
    <row r="482">
      <c r="A482" s="61"/>
      <c r="B482" s="61"/>
      <c r="C482" s="61"/>
      <c r="D482" s="61"/>
      <c r="E482" s="61"/>
      <c r="F482" s="61"/>
      <c r="G482" s="61"/>
      <c r="H482" s="61"/>
      <c r="I482" s="61"/>
      <c r="J482" s="107"/>
      <c r="K482" s="100"/>
      <c r="L482" s="61"/>
      <c r="M482" s="61"/>
      <c r="N482" s="61"/>
    </row>
    <row r="483">
      <c r="A483" s="65"/>
      <c r="B483" s="65"/>
      <c r="C483" s="65"/>
      <c r="D483" s="65"/>
      <c r="E483" s="65"/>
      <c r="F483" s="65"/>
      <c r="G483" s="65"/>
      <c r="H483" s="65"/>
      <c r="I483" s="65"/>
      <c r="J483" s="108"/>
      <c r="K483" s="103"/>
      <c r="L483" s="65"/>
      <c r="M483" s="65"/>
      <c r="N483" s="65"/>
    </row>
    <row r="484">
      <c r="A484" s="61"/>
      <c r="B484" s="61"/>
      <c r="C484" s="61"/>
      <c r="D484" s="61"/>
      <c r="E484" s="61"/>
      <c r="F484" s="61"/>
      <c r="G484" s="61"/>
      <c r="H484" s="61"/>
      <c r="I484" s="61"/>
      <c r="J484" s="107"/>
      <c r="K484" s="100"/>
      <c r="L484" s="61"/>
      <c r="M484" s="61"/>
      <c r="N484" s="61"/>
    </row>
    <row r="485">
      <c r="A485" s="65"/>
      <c r="B485" s="65"/>
      <c r="C485" s="65"/>
      <c r="D485" s="65"/>
      <c r="E485" s="65"/>
      <c r="F485" s="65"/>
      <c r="G485" s="65"/>
      <c r="H485" s="65"/>
      <c r="I485" s="65"/>
      <c r="J485" s="108"/>
      <c r="K485" s="103"/>
      <c r="L485" s="65"/>
      <c r="M485" s="65"/>
      <c r="N485" s="65"/>
    </row>
    <row r="486">
      <c r="A486" s="61"/>
      <c r="B486" s="61"/>
      <c r="C486" s="61"/>
      <c r="D486" s="61"/>
      <c r="E486" s="61"/>
      <c r="F486" s="61"/>
      <c r="G486" s="61"/>
      <c r="H486" s="61"/>
      <c r="I486" s="61"/>
      <c r="J486" s="107"/>
      <c r="K486" s="100"/>
      <c r="L486" s="61"/>
      <c r="M486" s="61"/>
      <c r="N486" s="61"/>
    </row>
    <row r="487">
      <c r="A487" s="65"/>
      <c r="B487" s="65"/>
      <c r="C487" s="65"/>
      <c r="D487" s="65"/>
      <c r="E487" s="65"/>
      <c r="F487" s="65"/>
      <c r="G487" s="65"/>
      <c r="H487" s="65"/>
      <c r="I487" s="65"/>
      <c r="J487" s="108"/>
      <c r="K487" s="103"/>
      <c r="L487" s="65"/>
      <c r="M487" s="65"/>
      <c r="N487" s="65"/>
    </row>
    <row r="488">
      <c r="A488" s="61"/>
      <c r="B488" s="61"/>
      <c r="C488" s="61"/>
      <c r="D488" s="61"/>
      <c r="E488" s="61"/>
      <c r="F488" s="61"/>
      <c r="G488" s="61"/>
      <c r="H488" s="61"/>
      <c r="I488" s="61"/>
      <c r="J488" s="107"/>
      <c r="K488" s="100"/>
      <c r="L488" s="61"/>
      <c r="M488" s="61"/>
      <c r="N488" s="61"/>
    </row>
    <row r="489">
      <c r="A489" s="65"/>
      <c r="B489" s="65"/>
      <c r="C489" s="65"/>
      <c r="D489" s="65"/>
      <c r="E489" s="65"/>
      <c r="F489" s="65"/>
      <c r="G489" s="65"/>
      <c r="H489" s="65"/>
      <c r="I489" s="65"/>
      <c r="J489" s="108"/>
      <c r="K489" s="103"/>
      <c r="L489" s="65"/>
      <c r="M489" s="65"/>
      <c r="N489" s="65"/>
    </row>
    <row r="490">
      <c r="A490" s="61"/>
      <c r="B490" s="61"/>
      <c r="C490" s="61"/>
      <c r="D490" s="61"/>
      <c r="E490" s="61"/>
      <c r="F490" s="61"/>
      <c r="G490" s="61"/>
      <c r="H490" s="61"/>
      <c r="I490" s="61"/>
      <c r="J490" s="107"/>
      <c r="K490" s="100"/>
      <c r="L490" s="61"/>
      <c r="M490" s="61"/>
      <c r="N490" s="61"/>
    </row>
    <row r="491">
      <c r="A491" s="65"/>
      <c r="B491" s="65"/>
      <c r="C491" s="65"/>
      <c r="D491" s="65"/>
      <c r="E491" s="65"/>
      <c r="F491" s="65"/>
      <c r="G491" s="65"/>
      <c r="H491" s="65"/>
      <c r="I491" s="65"/>
      <c r="J491" s="108"/>
      <c r="K491" s="103"/>
      <c r="L491" s="65"/>
      <c r="M491" s="65"/>
      <c r="N491" s="65"/>
    </row>
    <row r="492">
      <c r="A492" s="61"/>
      <c r="B492" s="61"/>
      <c r="C492" s="61"/>
      <c r="D492" s="61"/>
      <c r="E492" s="61"/>
      <c r="F492" s="61"/>
      <c r="G492" s="61"/>
      <c r="H492" s="61"/>
      <c r="I492" s="61"/>
      <c r="J492" s="107"/>
      <c r="K492" s="100"/>
      <c r="L492" s="61"/>
      <c r="M492" s="61"/>
      <c r="N492" s="61"/>
    </row>
    <row r="493">
      <c r="A493" s="65"/>
      <c r="B493" s="65"/>
      <c r="C493" s="65"/>
      <c r="D493" s="65"/>
      <c r="E493" s="65"/>
      <c r="F493" s="65"/>
      <c r="G493" s="65"/>
      <c r="H493" s="65"/>
      <c r="I493" s="65"/>
      <c r="J493" s="108"/>
      <c r="K493" s="103"/>
      <c r="L493" s="65"/>
      <c r="M493" s="65"/>
      <c r="N493" s="65"/>
    </row>
    <row r="494">
      <c r="A494" s="61"/>
      <c r="B494" s="61"/>
      <c r="C494" s="61"/>
      <c r="D494" s="61"/>
      <c r="E494" s="61"/>
      <c r="F494" s="61"/>
      <c r="G494" s="61"/>
      <c r="H494" s="61"/>
      <c r="I494" s="61"/>
      <c r="J494" s="107"/>
      <c r="K494" s="100"/>
      <c r="L494" s="61"/>
      <c r="M494" s="61"/>
      <c r="N494" s="61"/>
    </row>
    <row r="495">
      <c r="A495" s="65"/>
      <c r="B495" s="65"/>
      <c r="C495" s="65"/>
      <c r="D495" s="65"/>
      <c r="E495" s="65"/>
      <c r="F495" s="65"/>
      <c r="G495" s="65"/>
      <c r="H495" s="65"/>
      <c r="I495" s="65"/>
      <c r="J495" s="108"/>
      <c r="K495" s="103"/>
      <c r="L495" s="65"/>
      <c r="M495" s="65"/>
      <c r="N495" s="65"/>
    </row>
    <row r="496">
      <c r="A496" s="61"/>
      <c r="B496" s="61"/>
      <c r="C496" s="61"/>
      <c r="D496" s="61"/>
      <c r="E496" s="61"/>
      <c r="F496" s="61"/>
      <c r="G496" s="61"/>
      <c r="H496" s="61"/>
      <c r="I496" s="61"/>
      <c r="J496" s="107"/>
      <c r="K496" s="100"/>
      <c r="L496" s="61"/>
      <c r="M496" s="61"/>
      <c r="N496" s="61"/>
    </row>
    <row r="497">
      <c r="A497" s="65"/>
      <c r="B497" s="65"/>
      <c r="C497" s="65"/>
      <c r="D497" s="65"/>
      <c r="E497" s="65"/>
      <c r="F497" s="65"/>
      <c r="G497" s="65"/>
      <c r="H497" s="65"/>
      <c r="I497" s="65"/>
      <c r="J497" s="108"/>
      <c r="K497" s="103"/>
      <c r="L497" s="65"/>
      <c r="M497" s="65"/>
      <c r="N497" s="65"/>
    </row>
    <row r="498">
      <c r="A498" s="61"/>
      <c r="B498" s="61"/>
      <c r="C498" s="61"/>
      <c r="D498" s="61"/>
      <c r="E498" s="61"/>
      <c r="F498" s="61"/>
      <c r="G498" s="61"/>
      <c r="H498" s="61"/>
      <c r="I498" s="61"/>
      <c r="J498" s="107"/>
      <c r="K498" s="100"/>
      <c r="L498" s="61"/>
      <c r="M498" s="61"/>
      <c r="N498" s="61"/>
    </row>
    <row r="499">
      <c r="A499" s="65"/>
      <c r="B499" s="65"/>
      <c r="C499" s="65"/>
      <c r="D499" s="65"/>
      <c r="E499" s="65"/>
      <c r="F499" s="65"/>
      <c r="G499" s="65"/>
      <c r="H499" s="65"/>
      <c r="I499" s="65"/>
      <c r="J499" s="108"/>
      <c r="K499" s="103"/>
      <c r="L499" s="65"/>
      <c r="M499" s="65"/>
      <c r="N499" s="65"/>
    </row>
    <row r="500">
      <c r="A500" s="61"/>
      <c r="B500" s="61"/>
      <c r="C500" s="61"/>
      <c r="D500" s="61"/>
      <c r="E500" s="61"/>
      <c r="F500" s="61"/>
      <c r="G500" s="61"/>
      <c r="H500" s="61"/>
      <c r="I500" s="61"/>
      <c r="J500" s="107"/>
      <c r="K500" s="100"/>
      <c r="L500" s="61"/>
      <c r="M500" s="61"/>
      <c r="N500" s="61"/>
    </row>
    <row r="501">
      <c r="A501" s="65"/>
      <c r="B501" s="65"/>
      <c r="C501" s="65"/>
      <c r="D501" s="65"/>
      <c r="E501" s="65"/>
      <c r="F501" s="65"/>
      <c r="G501" s="65"/>
      <c r="H501" s="65"/>
      <c r="I501" s="65"/>
      <c r="J501" s="108"/>
      <c r="K501" s="103"/>
      <c r="L501" s="65"/>
      <c r="M501" s="65"/>
      <c r="N501" s="65"/>
    </row>
    <row r="502">
      <c r="A502" s="61"/>
      <c r="B502" s="61"/>
      <c r="C502" s="61"/>
      <c r="D502" s="61"/>
      <c r="E502" s="61"/>
      <c r="F502" s="61"/>
      <c r="G502" s="61"/>
      <c r="H502" s="61"/>
      <c r="I502" s="61"/>
      <c r="J502" s="107"/>
      <c r="K502" s="100"/>
      <c r="L502" s="61"/>
      <c r="M502" s="61"/>
      <c r="N502" s="61"/>
    </row>
    <row r="503">
      <c r="A503" s="65"/>
      <c r="B503" s="65"/>
      <c r="C503" s="65"/>
      <c r="D503" s="65"/>
      <c r="E503" s="65"/>
      <c r="F503" s="65"/>
      <c r="G503" s="65"/>
      <c r="H503" s="65"/>
      <c r="I503" s="65"/>
      <c r="J503" s="108"/>
      <c r="K503" s="103"/>
      <c r="L503" s="65"/>
      <c r="M503" s="65"/>
      <c r="N503" s="65"/>
    </row>
    <row r="504">
      <c r="A504" s="61"/>
      <c r="B504" s="61"/>
      <c r="C504" s="61"/>
      <c r="D504" s="61"/>
      <c r="E504" s="61"/>
      <c r="F504" s="61"/>
      <c r="G504" s="61"/>
      <c r="H504" s="61"/>
      <c r="I504" s="61"/>
      <c r="J504" s="107"/>
      <c r="K504" s="100"/>
      <c r="L504" s="61"/>
      <c r="M504" s="61"/>
      <c r="N504" s="61"/>
    </row>
    <row r="505">
      <c r="A505" s="65"/>
      <c r="B505" s="65"/>
      <c r="C505" s="65"/>
      <c r="D505" s="65"/>
      <c r="E505" s="65"/>
      <c r="F505" s="65"/>
      <c r="G505" s="65"/>
      <c r="H505" s="65"/>
      <c r="I505" s="65"/>
      <c r="J505" s="108"/>
      <c r="K505" s="103"/>
      <c r="L505" s="65"/>
      <c r="M505" s="65"/>
      <c r="N505" s="65"/>
    </row>
    <row r="506">
      <c r="A506" s="61"/>
      <c r="B506" s="61"/>
      <c r="C506" s="61"/>
      <c r="D506" s="61"/>
      <c r="E506" s="61"/>
      <c r="F506" s="61"/>
      <c r="G506" s="61"/>
      <c r="H506" s="61"/>
      <c r="I506" s="61"/>
      <c r="J506" s="107"/>
      <c r="K506" s="100"/>
      <c r="L506" s="61"/>
      <c r="M506" s="61"/>
      <c r="N506" s="61"/>
    </row>
    <row r="507">
      <c r="A507" s="65"/>
      <c r="B507" s="65"/>
      <c r="C507" s="65"/>
      <c r="D507" s="65"/>
      <c r="E507" s="65"/>
      <c r="F507" s="65"/>
      <c r="G507" s="65"/>
      <c r="H507" s="65"/>
      <c r="I507" s="65"/>
      <c r="J507" s="108"/>
      <c r="K507" s="103"/>
      <c r="L507" s="65"/>
      <c r="M507" s="65"/>
      <c r="N507" s="65"/>
    </row>
    <row r="508">
      <c r="A508" s="61"/>
      <c r="B508" s="61"/>
      <c r="C508" s="61"/>
      <c r="D508" s="61"/>
      <c r="E508" s="61"/>
      <c r="F508" s="61"/>
      <c r="G508" s="61"/>
      <c r="H508" s="61"/>
      <c r="I508" s="61"/>
      <c r="J508" s="107"/>
      <c r="K508" s="100"/>
      <c r="L508" s="61"/>
      <c r="M508" s="61"/>
      <c r="N508" s="61"/>
    </row>
    <row r="509">
      <c r="A509" s="65"/>
      <c r="B509" s="65"/>
      <c r="C509" s="65"/>
      <c r="D509" s="65"/>
      <c r="E509" s="65"/>
      <c r="F509" s="65"/>
      <c r="G509" s="65"/>
      <c r="H509" s="65"/>
      <c r="I509" s="65"/>
      <c r="J509" s="108"/>
      <c r="K509" s="103"/>
      <c r="L509" s="65"/>
      <c r="M509" s="65"/>
      <c r="N509" s="65"/>
    </row>
    <row r="510">
      <c r="A510" s="61"/>
      <c r="B510" s="61"/>
      <c r="C510" s="61"/>
      <c r="D510" s="61"/>
      <c r="E510" s="61"/>
      <c r="F510" s="61"/>
      <c r="G510" s="61"/>
      <c r="H510" s="61"/>
      <c r="I510" s="61"/>
      <c r="J510" s="107"/>
      <c r="K510" s="100"/>
      <c r="L510" s="61"/>
      <c r="M510" s="61"/>
      <c r="N510" s="61"/>
    </row>
    <row r="511">
      <c r="A511" s="65"/>
      <c r="B511" s="65"/>
      <c r="C511" s="65"/>
      <c r="D511" s="65"/>
      <c r="E511" s="65"/>
      <c r="F511" s="65"/>
      <c r="G511" s="65"/>
      <c r="H511" s="65"/>
      <c r="I511" s="65"/>
      <c r="J511" s="108"/>
      <c r="K511" s="103"/>
      <c r="L511" s="65"/>
      <c r="M511" s="65"/>
      <c r="N511" s="65"/>
    </row>
    <row r="512">
      <c r="A512" s="61"/>
      <c r="B512" s="61"/>
      <c r="C512" s="61"/>
      <c r="D512" s="61"/>
      <c r="E512" s="61"/>
      <c r="F512" s="61"/>
      <c r="G512" s="61"/>
      <c r="H512" s="61"/>
      <c r="I512" s="61"/>
      <c r="J512" s="107"/>
      <c r="K512" s="100"/>
      <c r="L512" s="61"/>
      <c r="M512" s="61"/>
      <c r="N512" s="61"/>
    </row>
    <row r="513">
      <c r="A513" s="65"/>
      <c r="B513" s="65"/>
      <c r="C513" s="65"/>
      <c r="D513" s="65"/>
      <c r="E513" s="65"/>
      <c r="F513" s="65"/>
      <c r="G513" s="65"/>
      <c r="H513" s="65"/>
      <c r="I513" s="65"/>
      <c r="J513" s="108"/>
      <c r="K513" s="103"/>
      <c r="L513" s="65"/>
      <c r="M513" s="65"/>
      <c r="N513" s="65"/>
    </row>
    <row r="514">
      <c r="A514" s="61"/>
      <c r="B514" s="61"/>
      <c r="C514" s="61"/>
      <c r="D514" s="61"/>
      <c r="E514" s="61"/>
      <c r="F514" s="61"/>
      <c r="G514" s="61"/>
      <c r="H514" s="61"/>
      <c r="I514" s="61"/>
      <c r="J514" s="107"/>
      <c r="K514" s="100"/>
      <c r="L514" s="61"/>
      <c r="M514" s="61"/>
      <c r="N514" s="61"/>
    </row>
    <row r="515">
      <c r="A515" s="65"/>
      <c r="B515" s="65"/>
      <c r="C515" s="65"/>
      <c r="D515" s="65"/>
      <c r="E515" s="65"/>
      <c r="F515" s="65"/>
      <c r="G515" s="65"/>
      <c r="H515" s="65"/>
      <c r="I515" s="65"/>
      <c r="J515" s="108"/>
      <c r="K515" s="103"/>
      <c r="L515" s="65"/>
      <c r="M515" s="65"/>
      <c r="N515" s="65"/>
    </row>
    <row r="516">
      <c r="A516" s="61"/>
      <c r="B516" s="61"/>
      <c r="C516" s="61"/>
      <c r="D516" s="61"/>
      <c r="E516" s="61"/>
      <c r="F516" s="61"/>
      <c r="G516" s="61"/>
      <c r="H516" s="61"/>
      <c r="I516" s="61"/>
      <c r="J516" s="107"/>
      <c r="K516" s="100"/>
      <c r="L516" s="61"/>
      <c r="M516" s="61"/>
      <c r="N516" s="61"/>
    </row>
    <row r="517">
      <c r="A517" s="65"/>
      <c r="B517" s="65"/>
      <c r="C517" s="65"/>
      <c r="D517" s="65"/>
      <c r="E517" s="65"/>
      <c r="F517" s="65"/>
      <c r="G517" s="65"/>
      <c r="H517" s="65"/>
      <c r="I517" s="65"/>
      <c r="J517" s="108"/>
      <c r="K517" s="103"/>
      <c r="L517" s="65"/>
      <c r="M517" s="65"/>
      <c r="N517" s="65"/>
    </row>
    <row r="518">
      <c r="A518" s="61"/>
      <c r="B518" s="61"/>
      <c r="C518" s="61"/>
      <c r="D518" s="61"/>
      <c r="E518" s="61"/>
      <c r="F518" s="61"/>
      <c r="G518" s="61"/>
      <c r="H518" s="61"/>
      <c r="I518" s="61"/>
      <c r="J518" s="107"/>
      <c r="K518" s="100"/>
      <c r="L518" s="61"/>
      <c r="M518" s="61"/>
      <c r="N518" s="61"/>
    </row>
    <row r="519">
      <c r="A519" s="65"/>
      <c r="B519" s="65"/>
      <c r="C519" s="65"/>
      <c r="D519" s="65"/>
      <c r="E519" s="65"/>
      <c r="F519" s="65"/>
      <c r="G519" s="65"/>
      <c r="H519" s="65"/>
      <c r="I519" s="65"/>
      <c r="J519" s="108"/>
      <c r="K519" s="103"/>
      <c r="L519" s="65"/>
      <c r="M519" s="65"/>
      <c r="N519" s="65"/>
    </row>
    <row r="520">
      <c r="A520" s="61"/>
      <c r="B520" s="61"/>
      <c r="C520" s="61"/>
      <c r="D520" s="61"/>
      <c r="E520" s="61"/>
      <c r="F520" s="61"/>
      <c r="G520" s="61"/>
      <c r="H520" s="61"/>
      <c r="I520" s="61"/>
      <c r="J520" s="107"/>
      <c r="K520" s="100"/>
      <c r="L520" s="61"/>
      <c r="M520" s="61"/>
      <c r="N520" s="61"/>
    </row>
    <row r="521">
      <c r="A521" s="65"/>
      <c r="B521" s="65"/>
      <c r="C521" s="65"/>
      <c r="D521" s="65"/>
      <c r="E521" s="65"/>
      <c r="F521" s="65"/>
      <c r="G521" s="65"/>
      <c r="H521" s="65"/>
      <c r="I521" s="65"/>
      <c r="J521" s="108"/>
      <c r="K521" s="103"/>
      <c r="L521" s="65"/>
      <c r="M521" s="65"/>
      <c r="N521" s="65"/>
    </row>
    <row r="522">
      <c r="A522" s="61"/>
      <c r="B522" s="61"/>
      <c r="C522" s="61"/>
      <c r="D522" s="61"/>
      <c r="E522" s="61"/>
      <c r="F522" s="61"/>
      <c r="G522" s="61"/>
      <c r="H522" s="61"/>
      <c r="I522" s="61"/>
      <c r="J522" s="107"/>
      <c r="K522" s="100"/>
      <c r="L522" s="61"/>
      <c r="M522" s="61"/>
      <c r="N522" s="61"/>
    </row>
    <row r="523">
      <c r="A523" s="65"/>
      <c r="B523" s="65"/>
      <c r="C523" s="65"/>
      <c r="D523" s="65"/>
      <c r="E523" s="65"/>
      <c r="F523" s="65"/>
      <c r="G523" s="65"/>
      <c r="H523" s="65"/>
      <c r="I523" s="65"/>
      <c r="J523" s="108"/>
      <c r="K523" s="103"/>
      <c r="L523" s="65"/>
      <c r="M523" s="65"/>
      <c r="N523" s="65"/>
    </row>
    <row r="524">
      <c r="A524" s="61"/>
      <c r="B524" s="61"/>
      <c r="C524" s="61"/>
      <c r="D524" s="61"/>
      <c r="E524" s="61"/>
      <c r="F524" s="61"/>
      <c r="G524" s="61"/>
      <c r="H524" s="61"/>
      <c r="I524" s="61"/>
      <c r="J524" s="107"/>
      <c r="K524" s="100"/>
      <c r="L524" s="61"/>
      <c r="M524" s="61"/>
      <c r="N524" s="61"/>
    </row>
    <row r="525">
      <c r="A525" s="65"/>
      <c r="B525" s="65"/>
      <c r="C525" s="65"/>
      <c r="D525" s="65"/>
      <c r="E525" s="65"/>
      <c r="F525" s="65"/>
      <c r="G525" s="65"/>
      <c r="H525" s="65"/>
      <c r="I525" s="65"/>
      <c r="J525" s="108"/>
      <c r="K525" s="103"/>
      <c r="L525" s="65"/>
      <c r="M525" s="65"/>
      <c r="N525" s="65"/>
    </row>
    <row r="526">
      <c r="A526" s="61"/>
      <c r="B526" s="61"/>
      <c r="C526" s="61"/>
      <c r="D526" s="61"/>
      <c r="E526" s="61"/>
      <c r="F526" s="61"/>
      <c r="G526" s="61"/>
      <c r="H526" s="61"/>
      <c r="I526" s="61"/>
      <c r="J526" s="107"/>
      <c r="K526" s="100"/>
      <c r="L526" s="61"/>
      <c r="M526" s="61"/>
      <c r="N526" s="61"/>
    </row>
    <row r="527">
      <c r="A527" s="65"/>
      <c r="B527" s="65"/>
      <c r="C527" s="65"/>
      <c r="D527" s="65"/>
      <c r="E527" s="65"/>
      <c r="F527" s="65"/>
      <c r="G527" s="65"/>
      <c r="H527" s="65"/>
      <c r="I527" s="65"/>
      <c r="J527" s="108"/>
      <c r="K527" s="103"/>
      <c r="L527" s="65"/>
      <c r="M527" s="65"/>
      <c r="N527" s="65"/>
    </row>
    <row r="528">
      <c r="A528" s="61"/>
      <c r="B528" s="61"/>
      <c r="C528" s="61"/>
      <c r="D528" s="61"/>
      <c r="E528" s="61"/>
      <c r="F528" s="61"/>
      <c r="G528" s="61"/>
      <c r="H528" s="61"/>
      <c r="I528" s="61"/>
      <c r="J528" s="107"/>
      <c r="K528" s="100"/>
      <c r="L528" s="61"/>
      <c r="M528" s="61"/>
      <c r="N528" s="61"/>
    </row>
    <row r="529">
      <c r="A529" s="65"/>
      <c r="B529" s="65"/>
      <c r="C529" s="65"/>
      <c r="D529" s="65"/>
      <c r="E529" s="65"/>
      <c r="F529" s="65"/>
      <c r="G529" s="65"/>
      <c r="H529" s="65"/>
      <c r="I529" s="65"/>
      <c r="J529" s="108"/>
      <c r="K529" s="103"/>
      <c r="L529" s="65"/>
      <c r="M529" s="65"/>
      <c r="N529" s="65"/>
    </row>
    <row r="530">
      <c r="A530" s="61"/>
      <c r="B530" s="61"/>
      <c r="C530" s="61"/>
      <c r="D530" s="61"/>
      <c r="E530" s="61"/>
      <c r="F530" s="61"/>
      <c r="G530" s="61"/>
      <c r="H530" s="61"/>
      <c r="I530" s="61"/>
      <c r="J530" s="107"/>
      <c r="K530" s="100"/>
      <c r="L530" s="61"/>
      <c r="M530" s="61"/>
      <c r="N530" s="61"/>
    </row>
    <row r="531">
      <c r="A531" s="65"/>
      <c r="B531" s="65"/>
      <c r="C531" s="65"/>
      <c r="D531" s="65"/>
      <c r="E531" s="65"/>
      <c r="F531" s="65"/>
      <c r="G531" s="65"/>
      <c r="H531" s="65"/>
      <c r="I531" s="65"/>
      <c r="J531" s="108"/>
      <c r="K531" s="103"/>
      <c r="L531" s="65"/>
      <c r="M531" s="65"/>
      <c r="N531" s="65"/>
    </row>
    <row r="532">
      <c r="A532" s="61"/>
      <c r="B532" s="61"/>
      <c r="C532" s="61"/>
      <c r="D532" s="61"/>
      <c r="E532" s="61"/>
      <c r="F532" s="61"/>
      <c r="G532" s="61"/>
      <c r="H532" s="61"/>
      <c r="I532" s="61"/>
      <c r="J532" s="107"/>
      <c r="K532" s="100"/>
      <c r="L532" s="61"/>
      <c r="M532" s="61"/>
      <c r="N532" s="61"/>
    </row>
    <row r="533">
      <c r="A533" s="65"/>
      <c r="B533" s="65"/>
      <c r="C533" s="65"/>
      <c r="D533" s="65"/>
      <c r="E533" s="65"/>
      <c r="F533" s="65"/>
      <c r="G533" s="65"/>
      <c r="H533" s="65"/>
      <c r="I533" s="65"/>
      <c r="J533" s="108"/>
      <c r="K533" s="103"/>
      <c r="L533" s="65"/>
      <c r="M533" s="65"/>
      <c r="N533" s="65"/>
    </row>
    <row r="534">
      <c r="A534" s="61"/>
      <c r="B534" s="61"/>
      <c r="C534" s="61"/>
      <c r="D534" s="61"/>
      <c r="E534" s="61"/>
      <c r="F534" s="61"/>
      <c r="G534" s="61"/>
      <c r="H534" s="61"/>
      <c r="I534" s="61"/>
      <c r="J534" s="107"/>
      <c r="K534" s="100"/>
      <c r="L534" s="61"/>
      <c r="M534" s="61"/>
      <c r="N534" s="61"/>
    </row>
    <row r="535">
      <c r="A535" s="65"/>
      <c r="B535" s="65"/>
      <c r="C535" s="65"/>
      <c r="D535" s="65"/>
      <c r="E535" s="65"/>
      <c r="F535" s="65"/>
      <c r="G535" s="65"/>
      <c r="H535" s="65"/>
      <c r="I535" s="65"/>
      <c r="J535" s="108"/>
      <c r="K535" s="103"/>
      <c r="L535" s="65"/>
      <c r="M535" s="65"/>
      <c r="N535" s="65"/>
    </row>
    <row r="536">
      <c r="A536" s="61"/>
      <c r="B536" s="61"/>
      <c r="C536" s="61"/>
      <c r="D536" s="61"/>
      <c r="E536" s="61"/>
      <c r="F536" s="61"/>
      <c r="G536" s="61"/>
      <c r="H536" s="61"/>
      <c r="I536" s="61"/>
      <c r="J536" s="107"/>
      <c r="K536" s="100"/>
      <c r="L536" s="61"/>
      <c r="M536" s="61"/>
      <c r="N536" s="61"/>
    </row>
    <row r="537">
      <c r="A537" s="65"/>
      <c r="B537" s="65"/>
      <c r="C537" s="65"/>
      <c r="D537" s="65"/>
      <c r="E537" s="65"/>
      <c r="F537" s="65"/>
      <c r="G537" s="65"/>
      <c r="H537" s="65"/>
      <c r="I537" s="65"/>
      <c r="J537" s="108"/>
      <c r="K537" s="103"/>
      <c r="L537" s="65"/>
      <c r="M537" s="65"/>
      <c r="N537" s="65"/>
    </row>
    <row r="538">
      <c r="A538" s="61"/>
      <c r="B538" s="61"/>
      <c r="C538" s="61"/>
      <c r="D538" s="61"/>
      <c r="E538" s="61"/>
      <c r="F538" s="61"/>
      <c r="G538" s="61"/>
      <c r="H538" s="61"/>
      <c r="I538" s="61"/>
      <c r="J538" s="107"/>
      <c r="K538" s="100"/>
      <c r="L538" s="61"/>
      <c r="M538" s="61"/>
      <c r="N538" s="61"/>
    </row>
    <row r="539">
      <c r="A539" s="65"/>
      <c r="B539" s="65"/>
      <c r="C539" s="65"/>
      <c r="D539" s="65"/>
      <c r="E539" s="65"/>
      <c r="F539" s="65"/>
      <c r="G539" s="65"/>
      <c r="H539" s="65"/>
      <c r="I539" s="65"/>
      <c r="J539" s="108"/>
      <c r="K539" s="103"/>
      <c r="L539" s="65"/>
      <c r="M539" s="65"/>
      <c r="N539" s="65"/>
    </row>
    <row r="540">
      <c r="A540" s="61"/>
      <c r="B540" s="61"/>
      <c r="C540" s="61"/>
      <c r="D540" s="61"/>
      <c r="E540" s="61"/>
      <c r="F540" s="61"/>
      <c r="G540" s="61"/>
      <c r="H540" s="61"/>
      <c r="I540" s="61"/>
      <c r="J540" s="107"/>
      <c r="K540" s="100"/>
      <c r="L540" s="61"/>
      <c r="M540" s="61"/>
      <c r="N540" s="61"/>
    </row>
    <row r="541">
      <c r="A541" s="65"/>
      <c r="B541" s="65"/>
      <c r="C541" s="65"/>
      <c r="D541" s="65"/>
      <c r="E541" s="65"/>
      <c r="F541" s="65"/>
      <c r="G541" s="65"/>
      <c r="H541" s="65"/>
      <c r="I541" s="65"/>
      <c r="J541" s="108"/>
      <c r="K541" s="103"/>
      <c r="L541" s="65"/>
      <c r="M541" s="65"/>
      <c r="N541" s="65"/>
    </row>
    <row r="542">
      <c r="A542" s="61"/>
      <c r="B542" s="61"/>
      <c r="C542" s="61"/>
      <c r="D542" s="61"/>
      <c r="E542" s="61"/>
      <c r="F542" s="61"/>
      <c r="G542" s="61"/>
      <c r="H542" s="61"/>
      <c r="I542" s="61"/>
      <c r="J542" s="107"/>
      <c r="K542" s="100"/>
      <c r="L542" s="61"/>
      <c r="M542" s="61"/>
      <c r="N542" s="61"/>
    </row>
    <row r="543">
      <c r="A543" s="65"/>
      <c r="B543" s="65"/>
      <c r="C543" s="65"/>
      <c r="D543" s="65"/>
      <c r="E543" s="65"/>
      <c r="F543" s="65"/>
      <c r="G543" s="65"/>
      <c r="H543" s="65"/>
      <c r="I543" s="65"/>
      <c r="J543" s="108"/>
      <c r="K543" s="103"/>
      <c r="L543" s="65"/>
      <c r="M543" s="65"/>
      <c r="N543" s="65"/>
    </row>
    <row r="544">
      <c r="A544" s="61"/>
      <c r="B544" s="61"/>
      <c r="C544" s="61"/>
      <c r="D544" s="61"/>
      <c r="E544" s="61"/>
      <c r="F544" s="61"/>
      <c r="G544" s="61"/>
      <c r="H544" s="61"/>
      <c r="I544" s="61"/>
      <c r="J544" s="107"/>
      <c r="K544" s="100"/>
      <c r="L544" s="61"/>
      <c r="M544" s="61"/>
      <c r="N544" s="61"/>
    </row>
    <row r="545">
      <c r="A545" s="65"/>
      <c r="B545" s="65"/>
      <c r="C545" s="65"/>
      <c r="D545" s="65"/>
      <c r="E545" s="65"/>
      <c r="F545" s="65"/>
      <c r="G545" s="65"/>
      <c r="H545" s="65"/>
      <c r="I545" s="65"/>
      <c r="J545" s="108"/>
      <c r="K545" s="103"/>
      <c r="L545" s="65"/>
      <c r="M545" s="65"/>
      <c r="N545" s="65"/>
    </row>
    <row r="546">
      <c r="A546" s="61"/>
      <c r="B546" s="61"/>
      <c r="C546" s="61"/>
      <c r="D546" s="61"/>
      <c r="E546" s="61"/>
      <c r="F546" s="61"/>
      <c r="G546" s="61"/>
      <c r="H546" s="61"/>
      <c r="I546" s="61"/>
      <c r="J546" s="107"/>
      <c r="K546" s="100"/>
      <c r="L546" s="61"/>
      <c r="M546" s="61"/>
      <c r="N546" s="61"/>
    </row>
    <row r="547">
      <c r="A547" s="65"/>
      <c r="B547" s="65"/>
      <c r="C547" s="65"/>
      <c r="D547" s="65"/>
      <c r="E547" s="65"/>
      <c r="F547" s="65"/>
      <c r="G547" s="65"/>
      <c r="H547" s="65"/>
      <c r="I547" s="65"/>
      <c r="J547" s="108"/>
      <c r="K547" s="103"/>
      <c r="L547" s="65"/>
      <c r="M547" s="65"/>
      <c r="N547" s="65"/>
    </row>
    <row r="548">
      <c r="A548" s="61"/>
      <c r="B548" s="61"/>
      <c r="C548" s="61"/>
      <c r="D548" s="61"/>
      <c r="E548" s="61"/>
      <c r="F548" s="61"/>
      <c r="G548" s="61"/>
      <c r="H548" s="61"/>
      <c r="I548" s="61"/>
      <c r="J548" s="107"/>
      <c r="K548" s="100"/>
      <c r="L548" s="61"/>
      <c r="M548" s="61"/>
      <c r="N548" s="61"/>
    </row>
    <row r="549">
      <c r="A549" s="65"/>
      <c r="B549" s="65"/>
      <c r="C549" s="65"/>
      <c r="D549" s="65"/>
      <c r="E549" s="65"/>
      <c r="F549" s="65"/>
      <c r="G549" s="65"/>
      <c r="H549" s="65"/>
      <c r="I549" s="65"/>
      <c r="J549" s="108"/>
      <c r="K549" s="103"/>
      <c r="L549" s="65"/>
      <c r="M549" s="65"/>
      <c r="N549" s="65"/>
    </row>
    <row r="550">
      <c r="A550" s="61"/>
      <c r="B550" s="61"/>
      <c r="C550" s="61"/>
      <c r="D550" s="61"/>
      <c r="E550" s="61"/>
      <c r="F550" s="61"/>
      <c r="G550" s="61"/>
      <c r="H550" s="61"/>
      <c r="I550" s="61"/>
      <c r="J550" s="107"/>
      <c r="K550" s="100"/>
      <c r="L550" s="61"/>
      <c r="M550" s="61"/>
      <c r="N550" s="61"/>
    </row>
    <row r="551">
      <c r="A551" s="65"/>
      <c r="B551" s="65"/>
      <c r="C551" s="65"/>
      <c r="D551" s="65"/>
      <c r="E551" s="65"/>
      <c r="F551" s="65"/>
      <c r="G551" s="65"/>
      <c r="H551" s="65"/>
      <c r="I551" s="65"/>
      <c r="J551" s="108"/>
      <c r="K551" s="103"/>
      <c r="L551" s="65"/>
      <c r="M551" s="65"/>
      <c r="N551" s="65"/>
    </row>
    <row r="552">
      <c r="A552" s="61"/>
      <c r="B552" s="61"/>
      <c r="C552" s="61"/>
      <c r="D552" s="61"/>
      <c r="E552" s="61"/>
      <c r="F552" s="61"/>
      <c r="G552" s="61"/>
      <c r="H552" s="61"/>
      <c r="I552" s="61"/>
      <c r="J552" s="107"/>
      <c r="K552" s="100"/>
      <c r="L552" s="61"/>
      <c r="M552" s="61"/>
      <c r="N552" s="61"/>
    </row>
    <row r="553">
      <c r="A553" s="65"/>
      <c r="B553" s="65"/>
      <c r="C553" s="65"/>
      <c r="D553" s="65"/>
      <c r="E553" s="65"/>
      <c r="F553" s="65"/>
      <c r="G553" s="65"/>
      <c r="H553" s="65"/>
      <c r="I553" s="65"/>
      <c r="J553" s="108"/>
      <c r="K553" s="103"/>
      <c r="L553" s="65"/>
      <c r="M553" s="65"/>
      <c r="N553" s="65"/>
    </row>
    <row r="554">
      <c r="A554" s="61"/>
      <c r="B554" s="61"/>
      <c r="C554" s="61"/>
      <c r="D554" s="61"/>
      <c r="E554" s="61"/>
      <c r="F554" s="61"/>
      <c r="G554" s="61"/>
      <c r="H554" s="61"/>
      <c r="I554" s="61"/>
      <c r="J554" s="107"/>
      <c r="K554" s="100"/>
      <c r="L554" s="61"/>
      <c r="M554" s="61"/>
      <c r="N554" s="61"/>
    </row>
    <row r="555">
      <c r="A555" s="65"/>
      <c r="B555" s="65"/>
      <c r="C555" s="65"/>
      <c r="D555" s="65"/>
      <c r="E555" s="65"/>
      <c r="F555" s="65"/>
      <c r="G555" s="65"/>
      <c r="H555" s="65"/>
      <c r="I555" s="65"/>
      <c r="J555" s="108"/>
      <c r="K555" s="103"/>
      <c r="L555" s="65"/>
      <c r="M555" s="65"/>
      <c r="N555" s="65"/>
    </row>
    <row r="556">
      <c r="A556" s="61"/>
      <c r="B556" s="61"/>
      <c r="C556" s="61"/>
      <c r="D556" s="61"/>
      <c r="E556" s="61"/>
      <c r="F556" s="61"/>
      <c r="G556" s="61"/>
      <c r="H556" s="61"/>
      <c r="I556" s="61"/>
      <c r="J556" s="107"/>
      <c r="K556" s="100"/>
      <c r="L556" s="61"/>
      <c r="M556" s="61"/>
      <c r="N556" s="61"/>
    </row>
    <row r="557">
      <c r="A557" s="65"/>
      <c r="B557" s="65"/>
      <c r="C557" s="65"/>
      <c r="D557" s="65"/>
      <c r="E557" s="65"/>
      <c r="F557" s="65"/>
      <c r="G557" s="65"/>
      <c r="H557" s="65"/>
      <c r="I557" s="65"/>
      <c r="J557" s="108"/>
      <c r="K557" s="103"/>
      <c r="L557" s="65"/>
      <c r="M557" s="65"/>
      <c r="N557" s="65"/>
    </row>
    <row r="558">
      <c r="A558" s="61"/>
      <c r="B558" s="61"/>
      <c r="C558" s="61"/>
      <c r="D558" s="61"/>
      <c r="E558" s="61"/>
      <c r="F558" s="61"/>
      <c r="G558" s="61"/>
      <c r="H558" s="61"/>
      <c r="I558" s="61"/>
      <c r="J558" s="107"/>
      <c r="K558" s="100"/>
      <c r="L558" s="61"/>
      <c r="M558" s="61"/>
      <c r="N558" s="61"/>
    </row>
    <row r="559">
      <c r="A559" s="65"/>
      <c r="B559" s="65"/>
      <c r="C559" s="65"/>
      <c r="D559" s="65"/>
      <c r="E559" s="65"/>
      <c r="F559" s="65"/>
      <c r="G559" s="65"/>
      <c r="H559" s="65"/>
      <c r="I559" s="65"/>
      <c r="J559" s="108"/>
      <c r="K559" s="103"/>
      <c r="L559" s="65"/>
      <c r="M559" s="65"/>
      <c r="N559" s="65"/>
    </row>
    <row r="560">
      <c r="A560" s="61"/>
      <c r="B560" s="61"/>
      <c r="C560" s="61"/>
      <c r="D560" s="61"/>
      <c r="E560" s="61"/>
      <c r="F560" s="61"/>
      <c r="G560" s="61"/>
      <c r="H560" s="61"/>
      <c r="I560" s="61"/>
      <c r="J560" s="107"/>
      <c r="K560" s="100"/>
      <c r="L560" s="61"/>
      <c r="M560" s="61"/>
      <c r="N560" s="61"/>
    </row>
    <row r="561">
      <c r="A561" s="65"/>
      <c r="B561" s="65"/>
      <c r="C561" s="65"/>
      <c r="D561" s="65"/>
      <c r="E561" s="65"/>
      <c r="F561" s="65"/>
      <c r="G561" s="65"/>
      <c r="H561" s="65"/>
      <c r="I561" s="65"/>
      <c r="J561" s="108"/>
      <c r="K561" s="103"/>
      <c r="L561" s="65"/>
      <c r="M561" s="65"/>
      <c r="N561" s="65"/>
    </row>
    <row r="562">
      <c r="A562" s="61"/>
      <c r="B562" s="61"/>
      <c r="C562" s="61"/>
      <c r="D562" s="61"/>
      <c r="E562" s="61"/>
      <c r="F562" s="61"/>
      <c r="G562" s="61"/>
      <c r="H562" s="61"/>
      <c r="I562" s="61"/>
      <c r="J562" s="107"/>
      <c r="K562" s="100"/>
      <c r="L562" s="61"/>
      <c r="M562" s="61"/>
      <c r="N562" s="61"/>
    </row>
    <row r="563">
      <c r="A563" s="65"/>
      <c r="B563" s="65"/>
      <c r="C563" s="65"/>
      <c r="D563" s="65"/>
      <c r="E563" s="65"/>
      <c r="F563" s="65"/>
      <c r="G563" s="65"/>
      <c r="H563" s="65"/>
      <c r="I563" s="65"/>
      <c r="J563" s="108"/>
      <c r="K563" s="103"/>
      <c r="L563" s="65"/>
      <c r="M563" s="65"/>
      <c r="N563" s="65"/>
    </row>
    <row r="564">
      <c r="A564" s="61"/>
      <c r="B564" s="61"/>
      <c r="C564" s="61"/>
      <c r="D564" s="61"/>
      <c r="E564" s="61"/>
      <c r="F564" s="61"/>
      <c r="G564" s="61"/>
      <c r="H564" s="61"/>
      <c r="I564" s="61"/>
      <c r="J564" s="107"/>
      <c r="K564" s="100"/>
      <c r="L564" s="61"/>
      <c r="M564" s="61"/>
      <c r="N564" s="61"/>
    </row>
    <row r="565">
      <c r="A565" s="65"/>
      <c r="B565" s="65"/>
      <c r="C565" s="65"/>
      <c r="D565" s="65"/>
      <c r="E565" s="65"/>
      <c r="F565" s="65"/>
      <c r="G565" s="65"/>
      <c r="H565" s="65"/>
      <c r="I565" s="65"/>
      <c r="J565" s="108"/>
      <c r="K565" s="103"/>
      <c r="L565" s="65"/>
      <c r="M565" s="65"/>
      <c r="N565" s="65"/>
    </row>
    <row r="566">
      <c r="A566" s="61"/>
      <c r="B566" s="61"/>
      <c r="C566" s="61"/>
      <c r="D566" s="61"/>
      <c r="E566" s="61"/>
      <c r="F566" s="61"/>
      <c r="G566" s="61"/>
      <c r="H566" s="61"/>
      <c r="I566" s="61"/>
      <c r="J566" s="107"/>
      <c r="K566" s="100"/>
      <c r="L566" s="61"/>
      <c r="M566" s="61"/>
      <c r="N566" s="61"/>
    </row>
    <row r="567">
      <c r="A567" s="65"/>
      <c r="B567" s="65"/>
      <c r="C567" s="65"/>
      <c r="D567" s="65"/>
      <c r="E567" s="65"/>
      <c r="F567" s="65"/>
      <c r="G567" s="65"/>
      <c r="H567" s="65"/>
      <c r="I567" s="65"/>
      <c r="J567" s="108"/>
      <c r="K567" s="103"/>
      <c r="L567" s="65"/>
      <c r="M567" s="65"/>
      <c r="N567" s="65"/>
    </row>
    <row r="568">
      <c r="A568" s="61"/>
      <c r="B568" s="61"/>
      <c r="C568" s="61"/>
      <c r="D568" s="61"/>
      <c r="E568" s="61"/>
      <c r="F568" s="61"/>
      <c r="G568" s="61"/>
      <c r="H568" s="61"/>
      <c r="I568" s="61"/>
      <c r="J568" s="107"/>
      <c r="K568" s="100"/>
      <c r="L568" s="61"/>
      <c r="M568" s="61"/>
      <c r="N568" s="61"/>
    </row>
    <row r="569">
      <c r="A569" s="65"/>
      <c r="B569" s="65"/>
      <c r="C569" s="65"/>
      <c r="D569" s="65"/>
      <c r="E569" s="65"/>
      <c r="F569" s="65"/>
      <c r="G569" s="65"/>
      <c r="H569" s="65"/>
      <c r="I569" s="65"/>
      <c r="J569" s="108"/>
      <c r="K569" s="103"/>
      <c r="L569" s="65"/>
      <c r="M569" s="65"/>
      <c r="N569" s="65"/>
    </row>
    <row r="570">
      <c r="A570" s="61"/>
      <c r="B570" s="61"/>
      <c r="C570" s="61"/>
      <c r="D570" s="61"/>
      <c r="E570" s="61"/>
      <c r="F570" s="61"/>
      <c r="G570" s="61"/>
      <c r="H570" s="61"/>
      <c r="I570" s="61"/>
      <c r="J570" s="107"/>
      <c r="K570" s="100"/>
      <c r="L570" s="61"/>
      <c r="M570" s="61"/>
      <c r="N570" s="61"/>
    </row>
    <row r="571">
      <c r="A571" s="65"/>
      <c r="B571" s="65"/>
      <c r="C571" s="65"/>
      <c r="D571" s="65"/>
      <c r="E571" s="65"/>
      <c r="F571" s="65"/>
      <c r="G571" s="65"/>
      <c r="H571" s="65"/>
      <c r="I571" s="65"/>
      <c r="J571" s="108"/>
      <c r="K571" s="103"/>
      <c r="L571" s="65"/>
      <c r="M571" s="65"/>
      <c r="N571" s="65"/>
    </row>
    <row r="572">
      <c r="A572" s="61"/>
      <c r="B572" s="61"/>
      <c r="C572" s="61"/>
      <c r="D572" s="61"/>
      <c r="E572" s="61"/>
      <c r="F572" s="61"/>
      <c r="G572" s="61"/>
      <c r="H572" s="61"/>
      <c r="I572" s="61"/>
      <c r="J572" s="107"/>
      <c r="K572" s="100"/>
      <c r="L572" s="61"/>
      <c r="M572" s="61"/>
      <c r="N572" s="61"/>
    </row>
    <row r="573">
      <c r="A573" s="65"/>
      <c r="B573" s="65"/>
      <c r="C573" s="65"/>
      <c r="D573" s="65"/>
      <c r="E573" s="65"/>
      <c r="F573" s="65"/>
      <c r="G573" s="65"/>
      <c r="H573" s="65"/>
      <c r="I573" s="65"/>
      <c r="J573" s="108"/>
      <c r="K573" s="103"/>
      <c r="L573" s="65"/>
      <c r="M573" s="65"/>
      <c r="N573" s="65"/>
    </row>
    <row r="574">
      <c r="A574" s="61"/>
      <c r="B574" s="61"/>
      <c r="C574" s="61"/>
      <c r="D574" s="61"/>
      <c r="E574" s="61"/>
      <c r="F574" s="61"/>
      <c r="G574" s="61"/>
      <c r="H574" s="61"/>
      <c r="I574" s="61"/>
      <c r="J574" s="107"/>
      <c r="K574" s="100"/>
      <c r="L574" s="61"/>
      <c r="M574" s="61"/>
      <c r="N574" s="61"/>
    </row>
    <row r="575">
      <c r="A575" s="65"/>
      <c r="B575" s="65"/>
      <c r="C575" s="65"/>
      <c r="D575" s="65"/>
      <c r="E575" s="65"/>
      <c r="F575" s="65"/>
      <c r="G575" s="65"/>
      <c r="H575" s="65"/>
      <c r="I575" s="65"/>
      <c r="J575" s="108"/>
      <c r="K575" s="103"/>
      <c r="L575" s="65"/>
      <c r="M575" s="65"/>
      <c r="N575" s="65"/>
    </row>
    <row r="576">
      <c r="A576" s="61"/>
      <c r="B576" s="61"/>
      <c r="C576" s="61"/>
      <c r="D576" s="61"/>
      <c r="E576" s="61"/>
      <c r="F576" s="61"/>
      <c r="G576" s="61"/>
      <c r="H576" s="61"/>
      <c r="I576" s="61"/>
      <c r="J576" s="107"/>
      <c r="K576" s="100"/>
      <c r="L576" s="61"/>
      <c r="M576" s="61"/>
      <c r="N576" s="61"/>
    </row>
    <row r="577">
      <c r="A577" s="65"/>
      <c r="B577" s="65"/>
      <c r="C577" s="65"/>
      <c r="D577" s="65"/>
      <c r="E577" s="65"/>
      <c r="F577" s="65"/>
      <c r="G577" s="65"/>
      <c r="H577" s="65"/>
      <c r="I577" s="65"/>
      <c r="J577" s="108"/>
      <c r="K577" s="103"/>
      <c r="L577" s="65"/>
      <c r="M577" s="65"/>
      <c r="N577" s="65"/>
    </row>
    <row r="578">
      <c r="A578" s="61"/>
      <c r="B578" s="61"/>
      <c r="C578" s="61"/>
      <c r="D578" s="61"/>
      <c r="E578" s="61"/>
      <c r="F578" s="61"/>
      <c r="G578" s="61"/>
      <c r="H578" s="61"/>
      <c r="I578" s="61"/>
      <c r="J578" s="107"/>
      <c r="K578" s="100"/>
      <c r="L578" s="61"/>
      <c r="M578" s="61"/>
      <c r="N578" s="61"/>
    </row>
    <row r="579">
      <c r="A579" s="65"/>
      <c r="B579" s="65"/>
      <c r="C579" s="65"/>
      <c r="D579" s="65"/>
      <c r="E579" s="65"/>
      <c r="F579" s="65"/>
      <c r="G579" s="65"/>
      <c r="H579" s="65"/>
      <c r="I579" s="65"/>
      <c r="J579" s="108"/>
      <c r="K579" s="103"/>
      <c r="L579" s="65"/>
      <c r="M579" s="65"/>
      <c r="N579" s="65"/>
    </row>
    <row r="580">
      <c r="A580" s="61"/>
      <c r="B580" s="61"/>
      <c r="C580" s="61"/>
      <c r="D580" s="61"/>
      <c r="E580" s="61"/>
      <c r="F580" s="61"/>
      <c r="G580" s="61"/>
      <c r="H580" s="61"/>
      <c r="I580" s="61"/>
      <c r="J580" s="107"/>
      <c r="K580" s="100"/>
      <c r="L580" s="61"/>
      <c r="M580" s="61"/>
      <c r="N580" s="61"/>
    </row>
    <row r="581">
      <c r="A581" s="65"/>
      <c r="B581" s="65"/>
      <c r="C581" s="65"/>
      <c r="D581" s="65"/>
      <c r="E581" s="65"/>
      <c r="F581" s="65"/>
      <c r="G581" s="65"/>
      <c r="H581" s="65"/>
      <c r="I581" s="65"/>
      <c r="J581" s="108"/>
      <c r="K581" s="103"/>
      <c r="L581" s="65"/>
      <c r="M581" s="65"/>
      <c r="N581" s="65"/>
    </row>
    <row r="582">
      <c r="A582" s="61"/>
      <c r="B582" s="61"/>
      <c r="C582" s="61"/>
      <c r="D582" s="61"/>
      <c r="E582" s="61"/>
      <c r="F582" s="61"/>
      <c r="G582" s="61"/>
      <c r="H582" s="61"/>
      <c r="I582" s="61"/>
      <c r="J582" s="107"/>
      <c r="K582" s="100"/>
      <c r="L582" s="61"/>
      <c r="M582" s="61"/>
      <c r="N582" s="61"/>
    </row>
    <row r="583">
      <c r="A583" s="65"/>
      <c r="B583" s="65"/>
      <c r="C583" s="65"/>
      <c r="D583" s="65"/>
      <c r="E583" s="65"/>
      <c r="F583" s="65"/>
      <c r="G583" s="65"/>
      <c r="H583" s="65"/>
      <c r="I583" s="65"/>
      <c r="J583" s="108"/>
      <c r="K583" s="103"/>
      <c r="L583" s="65"/>
      <c r="M583" s="65"/>
      <c r="N583" s="65"/>
    </row>
    <row r="584">
      <c r="A584" s="61"/>
      <c r="B584" s="61"/>
      <c r="C584" s="61"/>
      <c r="D584" s="61"/>
      <c r="E584" s="61"/>
      <c r="F584" s="61"/>
      <c r="G584" s="61"/>
      <c r="H584" s="61"/>
      <c r="I584" s="61"/>
      <c r="J584" s="107"/>
      <c r="K584" s="100"/>
      <c r="L584" s="61"/>
      <c r="M584" s="61"/>
      <c r="N584" s="61"/>
    </row>
    <row r="585">
      <c r="A585" s="65"/>
      <c r="B585" s="65"/>
      <c r="C585" s="65"/>
      <c r="D585" s="65"/>
      <c r="E585" s="65"/>
      <c r="F585" s="65"/>
      <c r="G585" s="65"/>
      <c r="H585" s="65"/>
      <c r="I585" s="65"/>
      <c r="J585" s="108"/>
      <c r="K585" s="103"/>
      <c r="L585" s="65"/>
      <c r="M585" s="65"/>
      <c r="N585" s="65"/>
    </row>
    <row r="586">
      <c r="A586" s="61"/>
      <c r="B586" s="61"/>
      <c r="C586" s="61"/>
      <c r="D586" s="61"/>
      <c r="E586" s="61"/>
      <c r="F586" s="61"/>
      <c r="G586" s="61"/>
      <c r="H586" s="61"/>
      <c r="I586" s="61"/>
      <c r="J586" s="107"/>
      <c r="K586" s="100"/>
      <c r="L586" s="61"/>
      <c r="M586" s="61"/>
      <c r="N586" s="61"/>
    </row>
    <row r="587">
      <c r="A587" s="65"/>
      <c r="B587" s="65"/>
      <c r="C587" s="65"/>
      <c r="D587" s="65"/>
      <c r="E587" s="65"/>
      <c r="F587" s="65"/>
      <c r="G587" s="65"/>
      <c r="H587" s="65"/>
      <c r="I587" s="65"/>
      <c r="J587" s="108"/>
      <c r="K587" s="103"/>
      <c r="L587" s="65"/>
      <c r="M587" s="65"/>
      <c r="N587" s="65"/>
    </row>
    <row r="588">
      <c r="A588" s="61"/>
      <c r="B588" s="61"/>
      <c r="C588" s="61"/>
      <c r="D588" s="61"/>
      <c r="E588" s="61"/>
      <c r="F588" s="61"/>
      <c r="G588" s="61"/>
      <c r="H588" s="61"/>
      <c r="I588" s="61"/>
      <c r="J588" s="107"/>
      <c r="K588" s="100"/>
      <c r="L588" s="61"/>
      <c r="M588" s="61"/>
      <c r="N588" s="61"/>
    </row>
    <row r="589">
      <c r="A589" s="65"/>
      <c r="B589" s="65"/>
      <c r="C589" s="65"/>
      <c r="D589" s="65"/>
      <c r="E589" s="65"/>
      <c r="F589" s="65"/>
      <c r="G589" s="65"/>
      <c r="H589" s="65"/>
      <c r="I589" s="65"/>
      <c r="J589" s="108"/>
      <c r="K589" s="103"/>
      <c r="L589" s="65"/>
      <c r="M589" s="65"/>
      <c r="N589" s="65"/>
    </row>
    <row r="590">
      <c r="A590" s="61"/>
      <c r="B590" s="61"/>
      <c r="C590" s="61"/>
      <c r="D590" s="61"/>
      <c r="E590" s="61"/>
      <c r="F590" s="61"/>
      <c r="G590" s="61"/>
      <c r="H590" s="61"/>
      <c r="I590" s="61"/>
      <c r="J590" s="107"/>
      <c r="K590" s="100"/>
      <c r="L590" s="61"/>
      <c r="M590" s="61"/>
      <c r="N590" s="61"/>
    </row>
    <row r="591">
      <c r="A591" s="65"/>
      <c r="B591" s="65"/>
      <c r="C591" s="65"/>
      <c r="D591" s="65"/>
      <c r="E591" s="65"/>
      <c r="F591" s="65"/>
      <c r="G591" s="65"/>
      <c r="H591" s="65"/>
      <c r="I591" s="65"/>
      <c r="J591" s="108"/>
      <c r="K591" s="103"/>
      <c r="L591" s="65"/>
      <c r="M591" s="65"/>
      <c r="N591" s="65"/>
    </row>
    <row r="592">
      <c r="A592" s="61"/>
      <c r="B592" s="61"/>
      <c r="C592" s="61"/>
      <c r="D592" s="61"/>
      <c r="E592" s="61"/>
      <c r="F592" s="61"/>
      <c r="G592" s="61"/>
      <c r="H592" s="61"/>
      <c r="I592" s="61"/>
      <c r="J592" s="107"/>
      <c r="K592" s="100"/>
      <c r="L592" s="61"/>
      <c r="M592" s="61"/>
      <c r="N592" s="61"/>
    </row>
    <row r="593">
      <c r="A593" s="65"/>
      <c r="B593" s="65"/>
      <c r="C593" s="65"/>
      <c r="D593" s="65"/>
      <c r="E593" s="65"/>
      <c r="F593" s="65"/>
      <c r="G593" s="65"/>
      <c r="H593" s="65"/>
      <c r="I593" s="65"/>
      <c r="J593" s="108"/>
      <c r="K593" s="103"/>
      <c r="L593" s="65"/>
      <c r="M593" s="65"/>
      <c r="N593" s="65"/>
    </row>
    <row r="594">
      <c r="A594" s="61"/>
      <c r="B594" s="61"/>
      <c r="C594" s="61"/>
      <c r="D594" s="61"/>
      <c r="E594" s="61"/>
      <c r="F594" s="61"/>
      <c r="G594" s="61"/>
      <c r="H594" s="61"/>
      <c r="I594" s="61"/>
      <c r="J594" s="107"/>
      <c r="K594" s="100"/>
      <c r="L594" s="61"/>
      <c r="M594" s="61"/>
      <c r="N594" s="61"/>
    </row>
    <row r="595">
      <c r="A595" s="65"/>
      <c r="B595" s="65"/>
      <c r="C595" s="65"/>
      <c r="D595" s="65"/>
      <c r="E595" s="65"/>
      <c r="F595" s="65"/>
      <c r="G595" s="65"/>
      <c r="H595" s="65"/>
      <c r="I595" s="65"/>
      <c r="J595" s="108"/>
      <c r="K595" s="103"/>
      <c r="L595" s="65"/>
      <c r="M595" s="65"/>
      <c r="N595" s="65"/>
    </row>
    <row r="596">
      <c r="A596" s="61"/>
      <c r="B596" s="61"/>
      <c r="C596" s="61"/>
      <c r="D596" s="61"/>
      <c r="E596" s="61"/>
      <c r="F596" s="61"/>
      <c r="G596" s="61"/>
      <c r="H596" s="61"/>
      <c r="I596" s="61"/>
      <c r="J596" s="107"/>
      <c r="K596" s="100"/>
      <c r="L596" s="61"/>
      <c r="M596" s="61"/>
      <c r="N596" s="61"/>
    </row>
    <row r="597">
      <c r="A597" s="65"/>
      <c r="B597" s="65"/>
      <c r="C597" s="65"/>
      <c r="D597" s="65"/>
      <c r="E597" s="65"/>
      <c r="F597" s="65"/>
      <c r="G597" s="65"/>
      <c r="H597" s="65"/>
      <c r="I597" s="65"/>
      <c r="J597" s="108"/>
      <c r="K597" s="103"/>
      <c r="L597" s="65"/>
      <c r="M597" s="65"/>
      <c r="N597" s="65"/>
    </row>
    <row r="598">
      <c r="A598" s="61"/>
      <c r="B598" s="61"/>
      <c r="C598" s="61"/>
      <c r="D598" s="61"/>
      <c r="E598" s="61"/>
      <c r="F598" s="61"/>
      <c r="G598" s="61"/>
      <c r="H598" s="61"/>
      <c r="I598" s="61"/>
      <c r="J598" s="107"/>
      <c r="K598" s="100"/>
      <c r="L598" s="61"/>
      <c r="M598" s="61"/>
      <c r="N598" s="61"/>
    </row>
    <row r="599">
      <c r="A599" s="65"/>
      <c r="B599" s="65"/>
      <c r="C599" s="65"/>
      <c r="D599" s="65"/>
      <c r="E599" s="65"/>
      <c r="F599" s="65"/>
      <c r="G599" s="65"/>
      <c r="H599" s="65"/>
      <c r="I599" s="65"/>
      <c r="J599" s="108"/>
      <c r="K599" s="103"/>
      <c r="L599" s="65"/>
      <c r="M599" s="65"/>
      <c r="N599" s="65"/>
    </row>
    <row r="600">
      <c r="A600" s="61"/>
      <c r="B600" s="61"/>
      <c r="C600" s="61"/>
      <c r="D600" s="61"/>
      <c r="E600" s="61"/>
      <c r="F600" s="61"/>
      <c r="G600" s="61"/>
      <c r="H600" s="61"/>
      <c r="I600" s="61"/>
      <c r="J600" s="107"/>
      <c r="K600" s="100"/>
      <c r="L600" s="61"/>
      <c r="M600" s="61"/>
      <c r="N600" s="61"/>
    </row>
    <row r="601">
      <c r="A601" s="65"/>
      <c r="B601" s="65"/>
      <c r="C601" s="65"/>
      <c r="D601" s="65"/>
      <c r="E601" s="65"/>
      <c r="F601" s="65"/>
      <c r="G601" s="65"/>
      <c r="H601" s="65"/>
      <c r="I601" s="65"/>
      <c r="J601" s="108"/>
      <c r="K601" s="103"/>
      <c r="L601" s="65"/>
      <c r="M601" s="65"/>
      <c r="N601" s="65"/>
    </row>
    <row r="602">
      <c r="A602" s="61"/>
      <c r="B602" s="61"/>
      <c r="C602" s="61"/>
      <c r="D602" s="61"/>
      <c r="E602" s="61"/>
      <c r="F602" s="61"/>
      <c r="G602" s="61"/>
      <c r="H602" s="61"/>
      <c r="I602" s="61"/>
      <c r="J602" s="107"/>
      <c r="K602" s="100"/>
      <c r="L602" s="61"/>
      <c r="M602" s="61"/>
      <c r="N602" s="61"/>
    </row>
    <row r="603">
      <c r="A603" s="65"/>
      <c r="B603" s="65"/>
      <c r="C603" s="65"/>
      <c r="D603" s="65"/>
      <c r="E603" s="65"/>
      <c r="F603" s="65"/>
      <c r="G603" s="65"/>
      <c r="H603" s="65"/>
      <c r="I603" s="65"/>
      <c r="J603" s="108"/>
      <c r="K603" s="103"/>
      <c r="L603" s="65"/>
      <c r="M603" s="65"/>
      <c r="N603" s="65"/>
    </row>
    <row r="604">
      <c r="A604" s="61"/>
      <c r="B604" s="61"/>
      <c r="C604" s="61"/>
      <c r="D604" s="61"/>
      <c r="E604" s="61"/>
      <c r="F604" s="61"/>
      <c r="G604" s="61"/>
      <c r="H604" s="61"/>
      <c r="I604" s="61"/>
      <c r="J604" s="107"/>
      <c r="K604" s="100"/>
      <c r="L604" s="61"/>
      <c r="M604" s="61"/>
      <c r="N604" s="61"/>
    </row>
    <row r="605">
      <c r="A605" s="65"/>
      <c r="B605" s="65"/>
      <c r="C605" s="65"/>
      <c r="D605" s="65"/>
      <c r="E605" s="65"/>
      <c r="F605" s="65"/>
      <c r="G605" s="65"/>
      <c r="H605" s="65"/>
      <c r="I605" s="65"/>
      <c r="J605" s="108"/>
      <c r="K605" s="103"/>
      <c r="L605" s="65"/>
      <c r="M605" s="65"/>
      <c r="N605" s="65"/>
    </row>
    <row r="606">
      <c r="A606" s="61"/>
      <c r="B606" s="61"/>
      <c r="C606" s="61"/>
      <c r="D606" s="61"/>
      <c r="E606" s="61"/>
      <c r="F606" s="61"/>
      <c r="G606" s="61"/>
      <c r="H606" s="61"/>
      <c r="I606" s="61"/>
      <c r="J606" s="107"/>
      <c r="K606" s="100"/>
      <c r="L606" s="61"/>
      <c r="M606" s="61"/>
      <c r="N606" s="61"/>
    </row>
    <row r="607">
      <c r="A607" s="65"/>
      <c r="B607" s="65"/>
      <c r="C607" s="65"/>
      <c r="D607" s="65"/>
      <c r="E607" s="65"/>
      <c r="F607" s="65"/>
      <c r="G607" s="65"/>
      <c r="H607" s="65"/>
      <c r="I607" s="65"/>
      <c r="J607" s="108"/>
      <c r="K607" s="103"/>
      <c r="L607" s="65"/>
      <c r="M607" s="65"/>
      <c r="N607" s="65"/>
    </row>
    <row r="608">
      <c r="A608" s="61"/>
      <c r="B608" s="61"/>
      <c r="C608" s="61"/>
      <c r="D608" s="61"/>
      <c r="E608" s="61"/>
      <c r="F608" s="61"/>
      <c r="G608" s="61"/>
      <c r="H608" s="61"/>
      <c r="I608" s="61"/>
      <c r="J608" s="107"/>
      <c r="K608" s="100"/>
      <c r="L608" s="61"/>
      <c r="M608" s="61"/>
      <c r="N608" s="61"/>
    </row>
    <row r="609">
      <c r="A609" s="65"/>
      <c r="B609" s="65"/>
      <c r="C609" s="65"/>
      <c r="D609" s="65"/>
      <c r="E609" s="65"/>
      <c r="F609" s="65"/>
      <c r="G609" s="65"/>
      <c r="H609" s="65"/>
      <c r="I609" s="65"/>
      <c r="J609" s="108"/>
      <c r="K609" s="103"/>
      <c r="L609" s="65"/>
      <c r="M609" s="65"/>
      <c r="N609" s="65"/>
    </row>
    <row r="610">
      <c r="A610" s="61"/>
      <c r="B610" s="61"/>
      <c r="C610" s="61"/>
      <c r="D610" s="61"/>
      <c r="E610" s="61"/>
      <c r="F610" s="61"/>
      <c r="G610" s="61"/>
      <c r="H610" s="61"/>
      <c r="I610" s="61"/>
      <c r="J610" s="107"/>
      <c r="K610" s="100"/>
      <c r="L610" s="61"/>
      <c r="M610" s="61"/>
      <c r="N610" s="61"/>
    </row>
    <row r="611">
      <c r="A611" s="65"/>
      <c r="B611" s="65"/>
      <c r="C611" s="65"/>
      <c r="D611" s="65"/>
      <c r="E611" s="65"/>
      <c r="F611" s="65"/>
      <c r="G611" s="65"/>
      <c r="H611" s="65"/>
      <c r="I611" s="65"/>
      <c r="J611" s="108"/>
      <c r="K611" s="103"/>
      <c r="L611" s="65"/>
      <c r="M611" s="65"/>
      <c r="N611" s="65"/>
    </row>
    <row r="612">
      <c r="A612" s="61"/>
      <c r="B612" s="61"/>
      <c r="C612" s="61"/>
      <c r="D612" s="61"/>
      <c r="E612" s="61"/>
      <c r="F612" s="61"/>
      <c r="G612" s="61"/>
      <c r="H612" s="61"/>
      <c r="I612" s="61"/>
      <c r="J612" s="107"/>
      <c r="K612" s="100"/>
      <c r="L612" s="61"/>
      <c r="M612" s="61"/>
      <c r="N612" s="61"/>
    </row>
    <row r="613">
      <c r="A613" s="65"/>
      <c r="B613" s="65"/>
      <c r="C613" s="65"/>
      <c r="D613" s="65"/>
      <c r="E613" s="65"/>
      <c r="F613" s="65"/>
      <c r="G613" s="65"/>
      <c r="H613" s="65"/>
      <c r="I613" s="65"/>
      <c r="J613" s="108"/>
      <c r="K613" s="103"/>
      <c r="L613" s="65"/>
      <c r="M613" s="65"/>
      <c r="N613" s="65"/>
    </row>
    <row r="614">
      <c r="A614" s="61"/>
      <c r="B614" s="61"/>
      <c r="C614" s="61"/>
      <c r="D614" s="61"/>
      <c r="E614" s="61"/>
      <c r="F614" s="61"/>
      <c r="G614" s="61"/>
      <c r="H614" s="61"/>
      <c r="I614" s="61"/>
      <c r="J614" s="107"/>
      <c r="K614" s="100"/>
      <c r="L614" s="61"/>
      <c r="M614" s="61"/>
      <c r="N614" s="61"/>
    </row>
    <row r="615">
      <c r="A615" s="65"/>
      <c r="B615" s="65"/>
      <c r="C615" s="65"/>
      <c r="D615" s="65"/>
      <c r="E615" s="65"/>
      <c r="F615" s="65"/>
      <c r="G615" s="65"/>
      <c r="H615" s="65"/>
      <c r="I615" s="65"/>
      <c r="J615" s="108"/>
      <c r="K615" s="103"/>
      <c r="L615" s="65"/>
      <c r="M615" s="65"/>
      <c r="N615" s="65"/>
    </row>
    <row r="616">
      <c r="A616" s="61"/>
      <c r="B616" s="61"/>
      <c r="C616" s="61"/>
      <c r="D616" s="61"/>
      <c r="E616" s="61"/>
      <c r="F616" s="61"/>
      <c r="G616" s="61"/>
      <c r="H616" s="61"/>
      <c r="I616" s="61"/>
      <c r="J616" s="107"/>
      <c r="K616" s="100"/>
      <c r="L616" s="61"/>
      <c r="M616" s="61"/>
      <c r="N616" s="61"/>
    </row>
    <row r="617">
      <c r="A617" s="65"/>
      <c r="B617" s="65"/>
      <c r="C617" s="65"/>
      <c r="D617" s="65"/>
      <c r="E617" s="65"/>
      <c r="F617" s="65"/>
      <c r="G617" s="65"/>
      <c r="H617" s="65"/>
      <c r="I617" s="65"/>
      <c r="J617" s="108"/>
      <c r="K617" s="103"/>
      <c r="L617" s="65"/>
      <c r="M617" s="65"/>
      <c r="N617" s="65"/>
    </row>
    <row r="618">
      <c r="A618" s="61"/>
      <c r="B618" s="61"/>
      <c r="C618" s="61"/>
      <c r="D618" s="61"/>
      <c r="E618" s="61"/>
      <c r="F618" s="61"/>
      <c r="G618" s="61"/>
      <c r="H618" s="61"/>
      <c r="I618" s="61"/>
      <c r="J618" s="107"/>
      <c r="K618" s="100"/>
      <c r="L618" s="61"/>
      <c r="M618" s="61"/>
      <c r="N618" s="61"/>
    </row>
    <row r="619">
      <c r="A619" s="65"/>
      <c r="B619" s="65"/>
      <c r="C619" s="65"/>
      <c r="D619" s="65"/>
      <c r="E619" s="65"/>
      <c r="F619" s="65"/>
      <c r="G619" s="65"/>
      <c r="H619" s="65"/>
      <c r="I619" s="65"/>
      <c r="J619" s="108"/>
      <c r="K619" s="103"/>
      <c r="L619" s="65"/>
      <c r="M619" s="65"/>
      <c r="N619" s="65"/>
    </row>
    <row r="620">
      <c r="A620" s="61"/>
      <c r="B620" s="61"/>
      <c r="C620" s="61"/>
      <c r="D620" s="61"/>
      <c r="E620" s="61"/>
      <c r="F620" s="61"/>
      <c r="G620" s="61"/>
      <c r="H620" s="61"/>
      <c r="I620" s="61"/>
      <c r="J620" s="107"/>
      <c r="K620" s="100"/>
      <c r="L620" s="61"/>
      <c r="M620" s="61"/>
      <c r="N620" s="61"/>
    </row>
    <row r="621">
      <c r="A621" s="65"/>
      <c r="B621" s="65"/>
      <c r="C621" s="65"/>
      <c r="D621" s="65"/>
      <c r="E621" s="65"/>
      <c r="F621" s="65"/>
      <c r="G621" s="65"/>
      <c r="H621" s="65"/>
      <c r="I621" s="65"/>
      <c r="J621" s="108"/>
      <c r="K621" s="103"/>
      <c r="L621" s="65"/>
      <c r="M621" s="65"/>
      <c r="N621" s="65"/>
    </row>
    <row r="622">
      <c r="A622" s="61"/>
      <c r="B622" s="61"/>
      <c r="C622" s="61"/>
      <c r="D622" s="61"/>
      <c r="E622" s="61"/>
      <c r="F622" s="61"/>
      <c r="G622" s="61"/>
      <c r="H622" s="61"/>
      <c r="I622" s="61"/>
      <c r="J622" s="107"/>
      <c r="K622" s="100"/>
      <c r="L622" s="61"/>
      <c r="M622" s="61"/>
      <c r="N622" s="61"/>
    </row>
    <row r="623">
      <c r="A623" s="65"/>
      <c r="B623" s="65"/>
      <c r="C623" s="65"/>
      <c r="D623" s="65"/>
      <c r="E623" s="65"/>
      <c r="F623" s="65"/>
      <c r="G623" s="65"/>
      <c r="H623" s="65"/>
      <c r="I623" s="65"/>
      <c r="J623" s="108"/>
      <c r="K623" s="103"/>
      <c r="L623" s="65"/>
      <c r="M623" s="65"/>
      <c r="N623" s="65"/>
    </row>
    <row r="624">
      <c r="A624" s="61"/>
      <c r="B624" s="61"/>
      <c r="C624" s="61"/>
      <c r="D624" s="61"/>
      <c r="E624" s="61"/>
      <c r="F624" s="61"/>
      <c r="G624" s="61"/>
      <c r="H624" s="61"/>
      <c r="I624" s="61"/>
      <c r="J624" s="107"/>
      <c r="K624" s="100"/>
      <c r="L624" s="61"/>
      <c r="M624" s="61"/>
      <c r="N624" s="61"/>
    </row>
    <row r="625">
      <c r="A625" s="65"/>
      <c r="B625" s="65"/>
      <c r="C625" s="65"/>
      <c r="D625" s="65"/>
      <c r="E625" s="65"/>
      <c r="F625" s="65"/>
      <c r="G625" s="65"/>
      <c r="H625" s="65"/>
      <c r="I625" s="65"/>
      <c r="J625" s="108"/>
      <c r="K625" s="103"/>
      <c r="L625" s="65"/>
      <c r="M625" s="65"/>
      <c r="N625" s="65"/>
    </row>
    <row r="626">
      <c r="A626" s="61"/>
      <c r="B626" s="61"/>
      <c r="C626" s="61"/>
      <c r="D626" s="61"/>
      <c r="E626" s="61"/>
      <c r="F626" s="61"/>
      <c r="G626" s="61"/>
      <c r="H626" s="61"/>
      <c r="I626" s="61"/>
      <c r="J626" s="107"/>
      <c r="K626" s="100"/>
      <c r="L626" s="61"/>
      <c r="M626" s="61"/>
      <c r="N626" s="61"/>
    </row>
    <row r="627">
      <c r="A627" s="65"/>
      <c r="B627" s="65"/>
      <c r="C627" s="65"/>
      <c r="D627" s="65"/>
      <c r="E627" s="65"/>
      <c r="F627" s="65"/>
      <c r="G627" s="65"/>
      <c r="H627" s="65"/>
      <c r="I627" s="65"/>
      <c r="J627" s="108"/>
      <c r="K627" s="103"/>
      <c r="L627" s="65"/>
      <c r="M627" s="65"/>
      <c r="N627" s="65"/>
    </row>
    <row r="628">
      <c r="A628" s="61"/>
      <c r="B628" s="61"/>
      <c r="C628" s="61"/>
      <c r="D628" s="61"/>
      <c r="E628" s="61"/>
      <c r="F628" s="61"/>
      <c r="G628" s="61"/>
      <c r="H628" s="61"/>
      <c r="I628" s="61"/>
      <c r="J628" s="107"/>
      <c r="K628" s="100"/>
      <c r="L628" s="61"/>
      <c r="M628" s="61"/>
      <c r="N628" s="61"/>
    </row>
    <row r="629">
      <c r="A629" s="65"/>
      <c r="B629" s="65"/>
      <c r="C629" s="65"/>
      <c r="D629" s="65"/>
      <c r="E629" s="65"/>
      <c r="F629" s="65"/>
      <c r="G629" s="65"/>
      <c r="H629" s="65"/>
      <c r="I629" s="65"/>
      <c r="J629" s="108"/>
      <c r="K629" s="103"/>
      <c r="L629" s="65"/>
      <c r="M629" s="65"/>
      <c r="N629" s="65"/>
    </row>
    <row r="630">
      <c r="A630" s="61"/>
      <c r="B630" s="61"/>
      <c r="C630" s="61"/>
      <c r="D630" s="61"/>
      <c r="E630" s="61"/>
      <c r="F630" s="61"/>
      <c r="G630" s="61"/>
      <c r="H630" s="61"/>
      <c r="I630" s="61"/>
      <c r="J630" s="107"/>
      <c r="K630" s="100"/>
      <c r="L630" s="61"/>
      <c r="M630" s="61"/>
      <c r="N630" s="61"/>
    </row>
    <row r="631">
      <c r="A631" s="65"/>
      <c r="B631" s="65"/>
      <c r="C631" s="65"/>
      <c r="D631" s="65"/>
      <c r="E631" s="65"/>
      <c r="F631" s="65"/>
      <c r="G631" s="65"/>
      <c r="H631" s="65"/>
      <c r="I631" s="65"/>
      <c r="J631" s="108"/>
      <c r="K631" s="103"/>
      <c r="L631" s="65"/>
      <c r="M631" s="65"/>
      <c r="N631" s="65"/>
    </row>
    <row r="632">
      <c r="A632" s="61"/>
      <c r="B632" s="61"/>
      <c r="C632" s="61"/>
      <c r="D632" s="61"/>
      <c r="E632" s="61"/>
      <c r="F632" s="61"/>
      <c r="G632" s="61"/>
      <c r="H632" s="61"/>
      <c r="I632" s="61"/>
      <c r="J632" s="107"/>
      <c r="K632" s="100"/>
      <c r="L632" s="61"/>
      <c r="M632" s="61"/>
      <c r="N632" s="61"/>
    </row>
    <row r="633">
      <c r="A633" s="65"/>
      <c r="B633" s="65"/>
      <c r="C633" s="65"/>
      <c r="D633" s="65"/>
      <c r="E633" s="65"/>
      <c r="F633" s="65"/>
      <c r="G633" s="65"/>
      <c r="H633" s="65"/>
      <c r="I633" s="65"/>
      <c r="J633" s="108"/>
      <c r="K633" s="103"/>
      <c r="L633" s="65"/>
      <c r="M633" s="65"/>
      <c r="N633" s="65"/>
    </row>
    <row r="634">
      <c r="A634" s="61"/>
      <c r="B634" s="61"/>
      <c r="C634" s="61"/>
      <c r="D634" s="61"/>
      <c r="E634" s="61"/>
      <c r="F634" s="61"/>
      <c r="G634" s="61"/>
      <c r="H634" s="61"/>
      <c r="I634" s="61"/>
      <c r="J634" s="107"/>
      <c r="K634" s="100"/>
      <c r="L634" s="61"/>
      <c r="M634" s="61"/>
      <c r="N634" s="61"/>
    </row>
    <row r="635">
      <c r="A635" s="65"/>
      <c r="B635" s="65"/>
      <c r="C635" s="65"/>
      <c r="D635" s="65"/>
      <c r="E635" s="65"/>
      <c r="F635" s="65"/>
      <c r="G635" s="65"/>
      <c r="H635" s="65"/>
      <c r="I635" s="65"/>
      <c r="J635" s="108"/>
      <c r="K635" s="103"/>
      <c r="L635" s="65"/>
      <c r="M635" s="65"/>
      <c r="N635" s="65"/>
    </row>
    <row r="636">
      <c r="A636" s="61"/>
      <c r="B636" s="61"/>
      <c r="C636" s="61"/>
      <c r="D636" s="61"/>
      <c r="E636" s="61"/>
      <c r="F636" s="61"/>
      <c r="G636" s="61"/>
      <c r="H636" s="61"/>
      <c r="I636" s="61"/>
      <c r="J636" s="107"/>
      <c r="K636" s="100"/>
      <c r="L636" s="61"/>
      <c r="M636" s="61"/>
      <c r="N636" s="61"/>
    </row>
    <row r="637">
      <c r="A637" s="65"/>
      <c r="B637" s="65"/>
      <c r="C637" s="65"/>
      <c r="D637" s="65"/>
      <c r="E637" s="65"/>
      <c r="F637" s="65"/>
      <c r="G637" s="65"/>
      <c r="H637" s="65"/>
      <c r="I637" s="65"/>
      <c r="J637" s="108"/>
      <c r="K637" s="103"/>
      <c r="L637" s="65"/>
      <c r="M637" s="65"/>
      <c r="N637" s="65"/>
    </row>
    <row r="638">
      <c r="A638" s="61"/>
      <c r="B638" s="61"/>
      <c r="C638" s="61"/>
      <c r="D638" s="61"/>
      <c r="E638" s="61"/>
      <c r="F638" s="61"/>
      <c r="G638" s="61"/>
      <c r="H638" s="61"/>
      <c r="I638" s="61"/>
      <c r="J638" s="107"/>
      <c r="K638" s="100"/>
      <c r="L638" s="61"/>
      <c r="M638" s="61"/>
      <c r="N638" s="61"/>
    </row>
    <row r="639">
      <c r="A639" s="65"/>
      <c r="B639" s="65"/>
      <c r="C639" s="65"/>
      <c r="D639" s="65"/>
      <c r="E639" s="65"/>
      <c r="F639" s="65"/>
      <c r="G639" s="65"/>
      <c r="H639" s="65"/>
      <c r="I639" s="65"/>
      <c r="J639" s="108"/>
      <c r="K639" s="103"/>
      <c r="L639" s="65"/>
      <c r="M639" s="65"/>
      <c r="N639" s="65"/>
    </row>
    <row r="640">
      <c r="A640" s="61"/>
      <c r="B640" s="61"/>
      <c r="C640" s="61"/>
      <c r="D640" s="61"/>
      <c r="E640" s="61"/>
      <c r="F640" s="61"/>
      <c r="G640" s="61"/>
      <c r="H640" s="61"/>
      <c r="I640" s="61"/>
      <c r="J640" s="107"/>
      <c r="K640" s="100"/>
      <c r="L640" s="61"/>
      <c r="M640" s="61"/>
      <c r="N640" s="61"/>
    </row>
    <row r="641">
      <c r="A641" s="65"/>
      <c r="B641" s="65"/>
      <c r="C641" s="65"/>
      <c r="D641" s="65"/>
      <c r="E641" s="65"/>
      <c r="F641" s="65"/>
      <c r="G641" s="65"/>
      <c r="H641" s="65"/>
      <c r="I641" s="65"/>
      <c r="J641" s="108"/>
      <c r="K641" s="103"/>
      <c r="L641" s="65"/>
      <c r="M641" s="65"/>
      <c r="N641" s="65"/>
    </row>
    <row r="642">
      <c r="A642" s="61"/>
      <c r="B642" s="61"/>
      <c r="C642" s="61"/>
      <c r="D642" s="61"/>
      <c r="E642" s="61"/>
      <c r="F642" s="61"/>
      <c r="G642" s="61"/>
      <c r="H642" s="61"/>
      <c r="I642" s="61"/>
      <c r="J642" s="107"/>
      <c r="K642" s="100"/>
      <c r="L642" s="61"/>
      <c r="M642" s="61"/>
      <c r="N642" s="61"/>
    </row>
    <row r="643">
      <c r="A643" s="65"/>
      <c r="B643" s="65"/>
      <c r="C643" s="65"/>
      <c r="D643" s="65"/>
      <c r="E643" s="65"/>
      <c r="F643" s="65"/>
      <c r="G643" s="65"/>
      <c r="H643" s="65"/>
      <c r="I643" s="65"/>
      <c r="J643" s="108"/>
      <c r="K643" s="103"/>
      <c r="L643" s="65"/>
      <c r="M643" s="65"/>
      <c r="N643" s="65"/>
    </row>
    <row r="644">
      <c r="A644" s="61"/>
      <c r="B644" s="61"/>
      <c r="C644" s="61"/>
      <c r="D644" s="61"/>
      <c r="E644" s="61"/>
      <c r="F644" s="61"/>
      <c r="G644" s="61"/>
      <c r="H644" s="61"/>
      <c r="I644" s="61"/>
      <c r="J644" s="107"/>
      <c r="K644" s="100"/>
      <c r="L644" s="61"/>
      <c r="M644" s="61"/>
      <c r="N644" s="61"/>
    </row>
    <row r="645">
      <c r="A645" s="65"/>
      <c r="B645" s="65"/>
      <c r="C645" s="65"/>
      <c r="D645" s="65"/>
      <c r="E645" s="65"/>
      <c r="F645" s="65"/>
      <c r="G645" s="65"/>
      <c r="H645" s="65"/>
      <c r="I645" s="65"/>
      <c r="J645" s="108"/>
      <c r="K645" s="103"/>
      <c r="L645" s="65"/>
      <c r="M645" s="65"/>
      <c r="N645" s="65"/>
    </row>
    <row r="646">
      <c r="A646" s="61"/>
      <c r="B646" s="61"/>
      <c r="C646" s="61"/>
      <c r="D646" s="61"/>
      <c r="E646" s="61"/>
      <c r="F646" s="61"/>
      <c r="G646" s="61"/>
      <c r="H646" s="61"/>
      <c r="I646" s="61"/>
      <c r="J646" s="107"/>
      <c r="K646" s="100"/>
      <c r="L646" s="61"/>
      <c r="M646" s="61"/>
      <c r="N646" s="61"/>
    </row>
    <row r="647">
      <c r="A647" s="65"/>
      <c r="B647" s="65"/>
      <c r="C647" s="65"/>
      <c r="D647" s="65"/>
      <c r="E647" s="65"/>
      <c r="F647" s="65"/>
      <c r="G647" s="65"/>
      <c r="H647" s="65"/>
      <c r="I647" s="65"/>
      <c r="J647" s="108"/>
      <c r="K647" s="103"/>
      <c r="L647" s="65"/>
      <c r="M647" s="65"/>
      <c r="N647" s="65"/>
    </row>
    <row r="648">
      <c r="A648" s="61"/>
      <c r="B648" s="61"/>
      <c r="C648" s="61"/>
      <c r="D648" s="61"/>
      <c r="E648" s="61"/>
      <c r="F648" s="61"/>
      <c r="G648" s="61"/>
      <c r="H648" s="61"/>
      <c r="I648" s="61"/>
      <c r="J648" s="107"/>
      <c r="K648" s="100"/>
      <c r="L648" s="61"/>
      <c r="M648" s="61"/>
      <c r="N648" s="61"/>
    </row>
    <row r="649">
      <c r="A649" s="65"/>
      <c r="B649" s="65"/>
      <c r="C649" s="65"/>
      <c r="D649" s="65"/>
      <c r="E649" s="65"/>
      <c r="F649" s="65"/>
      <c r="G649" s="65"/>
      <c r="H649" s="65"/>
      <c r="I649" s="65"/>
      <c r="J649" s="108"/>
      <c r="K649" s="103"/>
      <c r="L649" s="65"/>
      <c r="M649" s="65"/>
      <c r="N649" s="65"/>
    </row>
    <row r="650">
      <c r="A650" s="61"/>
      <c r="B650" s="61"/>
      <c r="C650" s="61"/>
      <c r="D650" s="61"/>
      <c r="E650" s="61"/>
      <c r="F650" s="61"/>
      <c r="G650" s="61"/>
      <c r="H650" s="61"/>
      <c r="I650" s="61"/>
      <c r="J650" s="107"/>
      <c r="K650" s="100"/>
      <c r="L650" s="61"/>
      <c r="M650" s="61"/>
      <c r="N650" s="61"/>
    </row>
    <row r="651">
      <c r="A651" s="65"/>
      <c r="B651" s="65"/>
      <c r="C651" s="65"/>
      <c r="D651" s="65"/>
      <c r="E651" s="65"/>
      <c r="F651" s="65"/>
      <c r="G651" s="65"/>
      <c r="H651" s="65"/>
      <c r="I651" s="65"/>
      <c r="J651" s="108"/>
      <c r="K651" s="103"/>
      <c r="L651" s="65"/>
      <c r="M651" s="65"/>
      <c r="N651" s="65"/>
    </row>
    <row r="652">
      <c r="A652" s="61"/>
      <c r="B652" s="61"/>
      <c r="C652" s="61"/>
      <c r="D652" s="61"/>
      <c r="E652" s="61"/>
      <c r="F652" s="61"/>
      <c r="G652" s="61"/>
      <c r="H652" s="61"/>
      <c r="I652" s="61"/>
      <c r="J652" s="107"/>
      <c r="K652" s="100"/>
      <c r="L652" s="61"/>
      <c r="M652" s="61"/>
      <c r="N652" s="61"/>
    </row>
    <row r="653">
      <c r="A653" s="65"/>
      <c r="B653" s="65"/>
      <c r="C653" s="65"/>
      <c r="D653" s="65"/>
      <c r="E653" s="65"/>
      <c r="F653" s="65"/>
      <c r="G653" s="65"/>
      <c r="H653" s="65"/>
      <c r="I653" s="65"/>
      <c r="J653" s="108"/>
      <c r="K653" s="103"/>
      <c r="L653" s="65"/>
      <c r="M653" s="65"/>
      <c r="N653" s="65"/>
    </row>
    <row r="654">
      <c r="A654" s="61"/>
      <c r="B654" s="61"/>
      <c r="C654" s="61"/>
      <c r="D654" s="61"/>
      <c r="E654" s="61"/>
      <c r="F654" s="61"/>
      <c r="G654" s="61"/>
      <c r="H654" s="61"/>
      <c r="I654" s="61"/>
      <c r="J654" s="107"/>
      <c r="K654" s="100"/>
      <c r="L654" s="61"/>
      <c r="M654" s="61"/>
      <c r="N654" s="61"/>
    </row>
    <row r="655">
      <c r="A655" s="65"/>
      <c r="B655" s="65"/>
      <c r="C655" s="65"/>
      <c r="D655" s="65"/>
      <c r="E655" s="65"/>
      <c r="F655" s="65"/>
      <c r="G655" s="65"/>
      <c r="H655" s="65"/>
      <c r="I655" s="65"/>
      <c r="J655" s="108"/>
      <c r="K655" s="103"/>
      <c r="L655" s="65"/>
      <c r="M655" s="65"/>
      <c r="N655" s="65"/>
    </row>
    <row r="656">
      <c r="A656" s="61"/>
      <c r="B656" s="61"/>
      <c r="C656" s="61"/>
      <c r="D656" s="61"/>
      <c r="E656" s="61"/>
      <c r="F656" s="61"/>
      <c r="G656" s="61"/>
      <c r="H656" s="61"/>
      <c r="I656" s="61"/>
      <c r="J656" s="107"/>
      <c r="K656" s="100"/>
      <c r="L656" s="61"/>
      <c r="M656" s="61"/>
      <c r="N656" s="61"/>
    </row>
    <row r="657">
      <c r="A657" s="65"/>
      <c r="B657" s="65"/>
      <c r="C657" s="65"/>
      <c r="D657" s="65"/>
      <c r="E657" s="65"/>
      <c r="F657" s="65"/>
      <c r="G657" s="65"/>
      <c r="H657" s="65"/>
      <c r="I657" s="65"/>
      <c r="J657" s="108"/>
      <c r="K657" s="103"/>
      <c r="L657" s="65"/>
      <c r="M657" s="65"/>
      <c r="N657" s="65"/>
    </row>
    <row r="658">
      <c r="A658" s="61"/>
      <c r="B658" s="61"/>
      <c r="C658" s="61"/>
      <c r="D658" s="61"/>
      <c r="E658" s="61"/>
      <c r="F658" s="61"/>
      <c r="G658" s="61"/>
      <c r="H658" s="61"/>
      <c r="I658" s="61"/>
      <c r="J658" s="107"/>
      <c r="K658" s="100"/>
      <c r="L658" s="61"/>
      <c r="M658" s="61"/>
      <c r="N658" s="61"/>
    </row>
    <row r="659">
      <c r="A659" s="65"/>
      <c r="B659" s="65"/>
      <c r="C659" s="65"/>
      <c r="D659" s="65"/>
      <c r="E659" s="65"/>
      <c r="F659" s="65"/>
      <c r="G659" s="65"/>
      <c r="H659" s="65"/>
      <c r="I659" s="65"/>
      <c r="J659" s="108"/>
      <c r="K659" s="103"/>
      <c r="L659" s="65"/>
      <c r="M659" s="65"/>
      <c r="N659" s="65"/>
    </row>
    <row r="660">
      <c r="A660" s="61"/>
      <c r="B660" s="61"/>
      <c r="C660" s="61"/>
      <c r="D660" s="61"/>
      <c r="E660" s="61"/>
      <c r="F660" s="61"/>
      <c r="G660" s="61"/>
      <c r="H660" s="61"/>
      <c r="I660" s="61"/>
      <c r="J660" s="107"/>
      <c r="K660" s="100"/>
      <c r="L660" s="61"/>
      <c r="M660" s="61"/>
      <c r="N660" s="61"/>
    </row>
    <row r="661">
      <c r="A661" s="65"/>
      <c r="B661" s="65"/>
      <c r="C661" s="65"/>
      <c r="D661" s="65"/>
      <c r="E661" s="65"/>
      <c r="F661" s="65"/>
      <c r="G661" s="65"/>
      <c r="H661" s="65"/>
      <c r="I661" s="65"/>
      <c r="J661" s="108"/>
      <c r="K661" s="103"/>
      <c r="L661" s="65"/>
      <c r="M661" s="65"/>
      <c r="N661" s="65"/>
    </row>
    <row r="662">
      <c r="A662" s="61"/>
      <c r="B662" s="61"/>
      <c r="C662" s="61"/>
      <c r="D662" s="61"/>
      <c r="E662" s="61"/>
      <c r="F662" s="61"/>
      <c r="G662" s="61"/>
      <c r="H662" s="61"/>
      <c r="I662" s="61"/>
      <c r="J662" s="107"/>
      <c r="K662" s="100"/>
      <c r="L662" s="61"/>
      <c r="M662" s="61"/>
      <c r="N662" s="61"/>
    </row>
    <row r="663">
      <c r="A663" s="65"/>
      <c r="B663" s="65"/>
      <c r="C663" s="65"/>
      <c r="D663" s="65"/>
      <c r="E663" s="65"/>
      <c r="F663" s="65"/>
      <c r="G663" s="65"/>
      <c r="H663" s="65"/>
      <c r="I663" s="65"/>
      <c r="J663" s="108"/>
      <c r="K663" s="103"/>
      <c r="L663" s="65"/>
      <c r="M663" s="65"/>
      <c r="N663" s="65"/>
    </row>
    <row r="664">
      <c r="A664" s="61"/>
      <c r="B664" s="61"/>
      <c r="C664" s="61"/>
      <c r="D664" s="61"/>
      <c r="E664" s="61"/>
      <c r="F664" s="61"/>
      <c r="G664" s="61"/>
      <c r="H664" s="61"/>
      <c r="I664" s="61"/>
      <c r="J664" s="107"/>
      <c r="K664" s="100"/>
      <c r="L664" s="61"/>
      <c r="M664" s="61"/>
      <c r="N664" s="61"/>
    </row>
    <row r="665">
      <c r="A665" s="65"/>
      <c r="B665" s="65"/>
      <c r="C665" s="65"/>
      <c r="D665" s="65"/>
      <c r="E665" s="65"/>
      <c r="F665" s="65"/>
      <c r="G665" s="65"/>
      <c r="H665" s="65"/>
      <c r="I665" s="65"/>
      <c r="J665" s="108"/>
      <c r="K665" s="103"/>
      <c r="L665" s="65"/>
      <c r="M665" s="65"/>
      <c r="N665" s="65"/>
    </row>
    <row r="666">
      <c r="A666" s="61"/>
      <c r="B666" s="61"/>
      <c r="C666" s="61"/>
      <c r="D666" s="61"/>
      <c r="E666" s="61"/>
      <c r="F666" s="61"/>
      <c r="G666" s="61"/>
      <c r="H666" s="61"/>
      <c r="I666" s="61"/>
      <c r="J666" s="107"/>
      <c r="K666" s="100"/>
      <c r="L666" s="61"/>
      <c r="M666" s="61"/>
      <c r="N666" s="61"/>
    </row>
    <row r="667">
      <c r="A667" s="65"/>
      <c r="B667" s="65"/>
      <c r="C667" s="65"/>
      <c r="D667" s="65"/>
      <c r="E667" s="65"/>
      <c r="F667" s="65"/>
      <c r="G667" s="65"/>
      <c r="H667" s="65"/>
      <c r="I667" s="65"/>
      <c r="J667" s="108"/>
      <c r="K667" s="103"/>
      <c r="L667" s="65"/>
      <c r="M667" s="65"/>
      <c r="N667" s="65"/>
    </row>
    <row r="668">
      <c r="A668" s="61"/>
      <c r="B668" s="61"/>
      <c r="C668" s="61"/>
      <c r="D668" s="61"/>
      <c r="E668" s="61"/>
      <c r="F668" s="61"/>
      <c r="G668" s="61"/>
      <c r="H668" s="61"/>
      <c r="I668" s="61"/>
      <c r="J668" s="107"/>
      <c r="K668" s="100"/>
      <c r="L668" s="61"/>
      <c r="M668" s="61"/>
      <c r="N668" s="61"/>
    </row>
    <row r="669">
      <c r="A669" s="65"/>
      <c r="B669" s="65"/>
      <c r="C669" s="65"/>
      <c r="D669" s="65"/>
      <c r="E669" s="65"/>
      <c r="F669" s="65"/>
      <c r="G669" s="65"/>
      <c r="H669" s="65"/>
      <c r="I669" s="65"/>
      <c r="J669" s="108"/>
      <c r="K669" s="103"/>
      <c r="L669" s="65"/>
      <c r="M669" s="65"/>
      <c r="N669" s="65"/>
    </row>
    <row r="670">
      <c r="A670" s="61"/>
      <c r="B670" s="61"/>
      <c r="C670" s="61"/>
      <c r="D670" s="61"/>
      <c r="E670" s="61"/>
      <c r="F670" s="61"/>
      <c r="G670" s="61"/>
      <c r="H670" s="61"/>
      <c r="I670" s="61"/>
      <c r="J670" s="107"/>
      <c r="K670" s="100"/>
      <c r="L670" s="61"/>
      <c r="M670" s="61"/>
      <c r="N670" s="61"/>
    </row>
    <row r="671">
      <c r="A671" s="65"/>
      <c r="B671" s="65"/>
      <c r="C671" s="65"/>
      <c r="D671" s="65"/>
      <c r="E671" s="65"/>
      <c r="F671" s="65"/>
      <c r="G671" s="65"/>
      <c r="H671" s="65"/>
      <c r="I671" s="65"/>
      <c r="J671" s="108"/>
      <c r="K671" s="103"/>
      <c r="L671" s="65"/>
      <c r="M671" s="65"/>
      <c r="N671" s="65"/>
    </row>
    <row r="672">
      <c r="A672" s="61"/>
      <c r="B672" s="61"/>
      <c r="C672" s="61"/>
      <c r="D672" s="61"/>
      <c r="E672" s="61"/>
      <c r="F672" s="61"/>
      <c r="G672" s="61"/>
      <c r="H672" s="61"/>
      <c r="I672" s="61"/>
      <c r="J672" s="107"/>
      <c r="K672" s="100"/>
      <c r="L672" s="61"/>
      <c r="M672" s="61"/>
      <c r="N672" s="61"/>
    </row>
    <row r="673">
      <c r="A673" s="65"/>
      <c r="B673" s="65"/>
      <c r="C673" s="65"/>
      <c r="D673" s="65"/>
      <c r="E673" s="65"/>
      <c r="F673" s="65"/>
      <c r="G673" s="65"/>
      <c r="H673" s="65"/>
      <c r="I673" s="65"/>
      <c r="J673" s="108"/>
      <c r="K673" s="103"/>
      <c r="L673" s="65"/>
      <c r="M673" s="65"/>
      <c r="N673" s="65"/>
    </row>
    <row r="674">
      <c r="A674" s="61"/>
      <c r="B674" s="61"/>
      <c r="C674" s="61"/>
      <c r="D674" s="61"/>
      <c r="E674" s="61"/>
      <c r="F674" s="61"/>
      <c r="G674" s="61"/>
      <c r="H674" s="61"/>
      <c r="I674" s="61"/>
      <c r="J674" s="107"/>
      <c r="K674" s="100"/>
      <c r="L674" s="61"/>
      <c r="M674" s="61"/>
      <c r="N674" s="61"/>
    </row>
    <row r="675">
      <c r="A675" s="65"/>
      <c r="B675" s="65"/>
      <c r="C675" s="65"/>
      <c r="D675" s="65"/>
      <c r="E675" s="65"/>
      <c r="F675" s="65"/>
      <c r="G675" s="65"/>
      <c r="H675" s="65"/>
      <c r="I675" s="65"/>
      <c r="J675" s="108"/>
      <c r="K675" s="103"/>
      <c r="L675" s="65"/>
      <c r="M675" s="65"/>
      <c r="N675" s="65"/>
    </row>
    <row r="676">
      <c r="A676" s="61"/>
      <c r="B676" s="61"/>
      <c r="C676" s="61"/>
      <c r="D676" s="61"/>
      <c r="E676" s="61"/>
      <c r="F676" s="61"/>
      <c r="G676" s="61"/>
      <c r="H676" s="61"/>
      <c r="I676" s="61"/>
      <c r="J676" s="107"/>
      <c r="K676" s="100"/>
      <c r="L676" s="61"/>
      <c r="M676" s="61"/>
      <c r="N676" s="61"/>
    </row>
    <row r="677">
      <c r="A677" s="65"/>
      <c r="B677" s="65"/>
      <c r="C677" s="65"/>
      <c r="D677" s="65"/>
      <c r="E677" s="65"/>
      <c r="F677" s="65"/>
      <c r="G677" s="65"/>
      <c r="H677" s="65"/>
      <c r="I677" s="65"/>
      <c r="J677" s="108"/>
      <c r="K677" s="103"/>
      <c r="L677" s="65"/>
      <c r="M677" s="65"/>
      <c r="N677" s="65"/>
    </row>
    <row r="678">
      <c r="A678" s="61"/>
      <c r="B678" s="61"/>
      <c r="C678" s="61"/>
      <c r="D678" s="61"/>
      <c r="E678" s="61"/>
      <c r="F678" s="61"/>
      <c r="G678" s="61"/>
      <c r="H678" s="61"/>
      <c r="I678" s="61"/>
      <c r="J678" s="107"/>
      <c r="K678" s="100"/>
      <c r="L678" s="61"/>
      <c r="M678" s="61"/>
      <c r="N678" s="61"/>
    </row>
    <row r="679">
      <c r="A679" s="65"/>
      <c r="B679" s="65"/>
      <c r="C679" s="65"/>
      <c r="D679" s="65"/>
      <c r="E679" s="65"/>
      <c r="F679" s="65"/>
      <c r="G679" s="65"/>
      <c r="H679" s="65"/>
      <c r="I679" s="65"/>
      <c r="J679" s="108"/>
      <c r="K679" s="103"/>
      <c r="L679" s="65"/>
      <c r="M679" s="65"/>
      <c r="N679" s="65"/>
    </row>
    <row r="680">
      <c r="A680" s="61"/>
      <c r="B680" s="61"/>
      <c r="C680" s="61"/>
      <c r="D680" s="61"/>
      <c r="E680" s="61"/>
      <c r="F680" s="61"/>
      <c r="G680" s="61"/>
      <c r="H680" s="61"/>
      <c r="I680" s="61"/>
      <c r="J680" s="107"/>
      <c r="K680" s="100"/>
      <c r="L680" s="61"/>
      <c r="M680" s="61"/>
      <c r="N680" s="61"/>
    </row>
    <row r="681">
      <c r="A681" s="65"/>
      <c r="B681" s="65"/>
      <c r="C681" s="65"/>
      <c r="D681" s="65"/>
      <c r="E681" s="65"/>
      <c r="F681" s="65"/>
      <c r="G681" s="65"/>
      <c r="H681" s="65"/>
      <c r="I681" s="65"/>
      <c r="J681" s="108"/>
      <c r="K681" s="103"/>
      <c r="L681" s="65"/>
      <c r="M681" s="65"/>
      <c r="N681" s="65"/>
    </row>
    <row r="682">
      <c r="A682" s="61"/>
      <c r="B682" s="61"/>
      <c r="C682" s="61"/>
      <c r="D682" s="61"/>
      <c r="E682" s="61"/>
      <c r="F682" s="61"/>
      <c r="G682" s="61"/>
      <c r="H682" s="61"/>
      <c r="I682" s="61"/>
      <c r="J682" s="107"/>
      <c r="K682" s="100"/>
      <c r="L682" s="61"/>
      <c r="M682" s="61"/>
      <c r="N682" s="61"/>
    </row>
    <row r="683">
      <c r="A683" s="65"/>
      <c r="B683" s="65"/>
      <c r="C683" s="65"/>
      <c r="D683" s="65"/>
      <c r="E683" s="65"/>
      <c r="F683" s="65"/>
      <c r="G683" s="65"/>
      <c r="H683" s="65"/>
      <c r="I683" s="65"/>
      <c r="J683" s="108"/>
      <c r="K683" s="103"/>
      <c r="L683" s="65"/>
      <c r="M683" s="65"/>
      <c r="N683" s="65"/>
    </row>
    <row r="684">
      <c r="A684" s="61"/>
      <c r="B684" s="61"/>
      <c r="C684" s="61"/>
      <c r="D684" s="61"/>
      <c r="E684" s="61"/>
      <c r="F684" s="61"/>
      <c r="G684" s="61"/>
      <c r="H684" s="61"/>
      <c r="I684" s="61"/>
      <c r="J684" s="107"/>
      <c r="K684" s="100"/>
      <c r="L684" s="61"/>
      <c r="M684" s="61"/>
      <c r="N684" s="61"/>
    </row>
    <row r="685">
      <c r="A685" s="65"/>
      <c r="B685" s="65"/>
      <c r="C685" s="65"/>
      <c r="D685" s="65"/>
      <c r="E685" s="65"/>
      <c r="F685" s="65"/>
      <c r="G685" s="65"/>
      <c r="H685" s="65"/>
      <c r="I685" s="65"/>
      <c r="J685" s="108"/>
      <c r="K685" s="103"/>
      <c r="L685" s="65"/>
      <c r="M685" s="65"/>
      <c r="N685" s="65"/>
    </row>
    <row r="686">
      <c r="A686" s="61"/>
      <c r="B686" s="61"/>
      <c r="C686" s="61"/>
      <c r="D686" s="61"/>
      <c r="E686" s="61"/>
      <c r="F686" s="61"/>
      <c r="G686" s="61"/>
      <c r="H686" s="61"/>
      <c r="I686" s="61"/>
      <c r="J686" s="107"/>
      <c r="K686" s="100"/>
      <c r="L686" s="61"/>
      <c r="M686" s="61"/>
      <c r="N686" s="61"/>
    </row>
    <row r="687">
      <c r="A687" s="65"/>
      <c r="B687" s="65"/>
      <c r="C687" s="65"/>
      <c r="D687" s="65"/>
      <c r="E687" s="65"/>
      <c r="F687" s="65"/>
      <c r="G687" s="65"/>
      <c r="H687" s="65"/>
      <c r="I687" s="65"/>
      <c r="J687" s="108"/>
      <c r="K687" s="103"/>
      <c r="L687" s="65"/>
      <c r="M687" s="65"/>
      <c r="N687" s="65"/>
    </row>
    <row r="688">
      <c r="A688" s="61"/>
      <c r="B688" s="61"/>
      <c r="C688" s="61"/>
      <c r="D688" s="61"/>
      <c r="E688" s="61"/>
      <c r="F688" s="61"/>
      <c r="G688" s="61"/>
      <c r="H688" s="61"/>
      <c r="I688" s="61"/>
      <c r="J688" s="107"/>
      <c r="K688" s="100"/>
      <c r="L688" s="61"/>
      <c r="M688" s="61"/>
      <c r="N688" s="61"/>
    </row>
    <row r="689">
      <c r="A689" s="65"/>
      <c r="B689" s="65"/>
      <c r="C689" s="65"/>
      <c r="D689" s="65"/>
      <c r="E689" s="65"/>
      <c r="F689" s="65"/>
      <c r="G689" s="65"/>
      <c r="H689" s="65"/>
      <c r="I689" s="65"/>
      <c r="J689" s="108"/>
      <c r="K689" s="103"/>
      <c r="L689" s="65"/>
      <c r="M689" s="65"/>
      <c r="N689" s="65"/>
    </row>
    <row r="690">
      <c r="A690" s="61"/>
      <c r="B690" s="61"/>
      <c r="C690" s="61"/>
      <c r="D690" s="61"/>
      <c r="E690" s="61"/>
      <c r="F690" s="61"/>
      <c r="G690" s="61"/>
      <c r="H690" s="61"/>
      <c r="I690" s="61"/>
      <c r="J690" s="107"/>
      <c r="K690" s="100"/>
      <c r="L690" s="61"/>
      <c r="M690" s="61"/>
      <c r="N690" s="61"/>
    </row>
    <row r="691">
      <c r="A691" s="65"/>
      <c r="B691" s="65"/>
      <c r="C691" s="65"/>
      <c r="D691" s="65"/>
      <c r="E691" s="65"/>
      <c r="F691" s="65"/>
      <c r="G691" s="65"/>
      <c r="H691" s="65"/>
      <c r="I691" s="65"/>
      <c r="J691" s="108"/>
      <c r="K691" s="103"/>
      <c r="L691" s="65"/>
      <c r="M691" s="65"/>
      <c r="N691" s="65"/>
    </row>
    <row r="692">
      <c r="A692" s="61"/>
      <c r="B692" s="61"/>
      <c r="C692" s="61"/>
      <c r="D692" s="61"/>
      <c r="E692" s="61"/>
      <c r="F692" s="61"/>
      <c r="G692" s="61"/>
      <c r="H692" s="61"/>
      <c r="I692" s="61"/>
      <c r="J692" s="107"/>
      <c r="K692" s="100"/>
      <c r="L692" s="61"/>
      <c r="M692" s="61"/>
      <c r="N692" s="61"/>
    </row>
    <row r="693">
      <c r="A693" s="65"/>
      <c r="B693" s="65"/>
      <c r="C693" s="65"/>
      <c r="D693" s="65"/>
      <c r="E693" s="65"/>
      <c r="F693" s="65"/>
      <c r="G693" s="65"/>
      <c r="H693" s="65"/>
      <c r="I693" s="65"/>
      <c r="J693" s="108"/>
      <c r="K693" s="103"/>
      <c r="L693" s="65"/>
      <c r="M693" s="65"/>
      <c r="N693" s="65"/>
    </row>
    <row r="694">
      <c r="A694" s="61"/>
      <c r="B694" s="61"/>
      <c r="C694" s="61"/>
      <c r="D694" s="61"/>
      <c r="E694" s="61"/>
      <c r="F694" s="61"/>
      <c r="G694" s="61"/>
      <c r="H694" s="61"/>
      <c r="I694" s="61"/>
      <c r="J694" s="107"/>
      <c r="K694" s="100"/>
      <c r="L694" s="61"/>
      <c r="M694" s="61"/>
      <c r="N694" s="61"/>
    </row>
    <row r="695">
      <c r="A695" s="65"/>
      <c r="B695" s="65"/>
      <c r="C695" s="65"/>
      <c r="D695" s="65"/>
      <c r="E695" s="65"/>
      <c r="F695" s="65"/>
      <c r="G695" s="65"/>
      <c r="H695" s="65"/>
      <c r="I695" s="65"/>
      <c r="J695" s="108"/>
      <c r="K695" s="103"/>
      <c r="L695" s="65"/>
      <c r="M695" s="65"/>
      <c r="N695" s="65"/>
    </row>
    <row r="696">
      <c r="A696" s="61"/>
      <c r="B696" s="61"/>
      <c r="C696" s="61"/>
      <c r="D696" s="61"/>
      <c r="E696" s="61"/>
      <c r="F696" s="61"/>
      <c r="G696" s="61"/>
      <c r="H696" s="61"/>
      <c r="I696" s="61"/>
      <c r="J696" s="107"/>
      <c r="K696" s="100"/>
      <c r="L696" s="61"/>
      <c r="M696" s="61"/>
      <c r="N696" s="61"/>
    </row>
    <row r="697">
      <c r="A697" s="65"/>
      <c r="B697" s="65"/>
      <c r="C697" s="65"/>
      <c r="D697" s="65"/>
      <c r="E697" s="65"/>
      <c r="F697" s="65"/>
      <c r="G697" s="65"/>
      <c r="H697" s="65"/>
      <c r="I697" s="65"/>
      <c r="J697" s="108"/>
      <c r="K697" s="103"/>
      <c r="L697" s="65"/>
      <c r="M697" s="65"/>
      <c r="N697" s="65"/>
    </row>
    <row r="698">
      <c r="A698" s="61"/>
      <c r="B698" s="61"/>
      <c r="C698" s="61"/>
      <c r="D698" s="61"/>
      <c r="E698" s="61"/>
      <c r="F698" s="61"/>
      <c r="G698" s="61"/>
      <c r="H698" s="61"/>
      <c r="I698" s="61"/>
      <c r="J698" s="107"/>
      <c r="K698" s="100"/>
      <c r="L698" s="61"/>
      <c r="M698" s="61"/>
      <c r="N698" s="61"/>
    </row>
    <row r="699">
      <c r="A699" s="65"/>
      <c r="B699" s="65"/>
      <c r="C699" s="65"/>
      <c r="D699" s="65"/>
      <c r="E699" s="65"/>
      <c r="F699" s="65"/>
      <c r="G699" s="65"/>
      <c r="H699" s="65"/>
      <c r="I699" s="65"/>
      <c r="J699" s="108"/>
      <c r="K699" s="103"/>
      <c r="L699" s="65"/>
      <c r="M699" s="65"/>
      <c r="N699" s="65"/>
    </row>
    <row r="700">
      <c r="A700" s="61"/>
      <c r="B700" s="61"/>
      <c r="C700" s="61"/>
      <c r="D700" s="61"/>
      <c r="E700" s="61"/>
      <c r="F700" s="61"/>
      <c r="G700" s="61"/>
      <c r="H700" s="61"/>
      <c r="I700" s="61"/>
      <c r="J700" s="107"/>
      <c r="K700" s="100"/>
      <c r="L700" s="61"/>
      <c r="M700" s="61"/>
      <c r="N700" s="61"/>
    </row>
    <row r="701">
      <c r="A701" s="65"/>
      <c r="B701" s="65"/>
      <c r="C701" s="65"/>
      <c r="D701" s="65"/>
      <c r="E701" s="65"/>
      <c r="F701" s="65"/>
      <c r="G701" s="65"/>
      <c r="H701" s="65"/>
      <c r="I701" s="65"/>
      <c r="J701" s="108"/>
      <c r="K701" s="103"/>
      <c r="L701" s="65"/>
      <c r="M701" s="65"/>
      <c r="N701" s="65"/>
    </row>
    <row r="702">
      <c r="A702" s="61"/>
      <c r="B702" s="61"/>
      <c r="C702" s="61"/>
      <c r="D702" s="61"/>
      <c r="E702" s="61"/>
      <c r="F702" s="61"/>
      <c r="G702" s="61"/>
      <c r="H702" s="61"/>
      <c r="I702" s="61"/>
      <c r="J702" s="107"/>
      <c r="K702" s="100"/>
      <c r="L702" s="61"/>
      <c r="M702" s="61"/>
      <c r="N702" s="61"/>
    </row>
    <row r="703">
      <c r="A703" s="65"/>
      <c r="B703" s="65"/>
      <c r="C703" s="65"/>
      <c r="D703" s="65"/>
      <c r="E703" s="65"/>
      <c r="F703" s="65"/>
      <c r="G703" s="65"/>
      <c r="H703" s="65"/>
      <c r="I703" s="65"/>
      <c r="J703" s="108"/>
      <c r="K703" s="103"/>
      <c r="L703" s="65"/>
      <c r="M703" s="65"/>
      <c r="N703" s="65"/>
    </row>
    <row r="704">
      <c r="A704" s="61"/>
      <c r="B704" s="61"/>
      <c r="C704" s="61"/>
      <c r="D704" s="61"/>
      <c r="E704" s="61"/>
      <c r="F704" s="61"/>
      <c r="G704" s="61"/>
      <c r="H704" s="61"/>
      <c r="I704" s="61"/>
      <c r="J704" s="107"/>
      <c r="K704" s="100"/>
      <c r="L704" s="61"/>
      <c r="M704" s="61"/>
      <c r="N704" s="61"/>
    </row>
    <row r="705">
      <c r="A705" s="65"/>
      <c r="B705" s="65"/>
      <c r="C705" s="65"/>
      <c r="D705" s="65"/>
      <c r="E705" s="65"/>
      <c r="F705" s="65"/>
      <c r="G705" s="65"/>
      <c r="H705" s="65"/>
      <c r="I705" s="65"/>
      <c r="J705" s="108"/>
      <c r="K705" s="103"/>
      <c r="L705" s="65"/>
      <c r="M705" s="65"/>
      <c r="N705" s="65"/>
    </row>
    <row r="706">
      <c r="A706" s="61"/>
      <c r="B706" s="61"/>
      <c r="C706" s="61"/>
      <c r="D706" s="61"/>
      <c r="E706" s="61"/>
      <c r="F706" s="61"/>
      <c r="G706" s="61"/>
      <c r="H706" s="61"/>
      <c r="I706" s="61"/>
      <c r="J706" s="107"/>
      <c r="K706" s="100"/>
      <c r="L706" s="61"/>
      <c r="M706" s="61"/>
      <c r="N706" s="61"/>
    </row>
    <row r="707">
      <c r="A707" s="65"/>
      <c r="B707" s="65"/>
      <c r="C707" s="65"/>
      <c r="D707" s="65"/>
      <c r="E707" s="65"/>
      <c r="F707" s="65"/>
      <c r="G707" s="65"/>
      <c r="H707" s="65"/>
      <c r="I707" s="65"/>
      <c r="J707" s="108"/>
      <c r="K707" s="103"/>
      <c r="L707" s="65"/>
      <c r="M707" s="65"/>
      <c r="N707" s="65"/>
    </row>
    <row r="708">
      <c r="A708" s="61"/>
      <c r="B708" s="61"/>
      <c r="C708" s="61"/>
      <c r="D708" s="61"/>
      <c r="E708" s="61"/>
      <c r="F708" s="61"/>
      <c r="G708" s="61"/>
      <c r="H708" s="61"/>
      <c r="I708" s="61"/>
      <c r="J708" s="107"/>
      <c r="K708" s="100"/>
      <c r="L708" s="61"/>
      <c r="M708" s="61"/>
      <c r="N708" s="61"/>
    </row>
    <row r="709">
      <c r="A709" s="65"/>
      <c r="B709" s="65"/>
      <c r="C709" s="65"/>
      <c r="D709" s="65"/>
      <c r="E709" s="65"/>
      <c r="F709" s="65"/>
      <c r="G709" s="65"/>
      <c r="H709" s="65"/>
      <c r="I709" s="65"/>
      <c r="J709" s="108"/>
      <c r="K709" s="103"/>
      <c r="L709" s="65"/>
      <c r="M709" s="65"/>
      <c r="N709" s="65"/>
    </row>
    <row r="710">
      <c r="A710" s="61"/>
      <c r="B710" s="61"/>
      <c r="C710" s="61"/>
      <c r="D710" s="61"/>
      <c r="E710" s="61"/>
      <c r="F710" s="61"/>
      <c r="G710" s="61"/>
      <c r="H710" s="61"/>
      <c r="I710" s="61"/>
      <c r="J710" s="107"/>
      <c r="K710" s="100"/>
      <c r="L710" s="61"/>
      <c r="M710" s="61"/>
      <c r="N710" s="61"/>
    </row>
    <row r="711">
      <c r="A711" s="65"/>
      <c r="B711" s="65"/>
      <c r="C711" s="65"/>
      <c r="D711" s="65"/>
      <c r="E711" s="65"/>
      <c r="F711" s="65"/>
      <c r="G711" s="65"/>
      <c r="H711" s="65"/>
      <c r="I711" s="65"/>
      <c r="J711" s="108"/>
      <c r="K711" s="103"/>
      <c r="L711" s="65"/>
      <c r="M711" s="65"/>
      <c r="N711" s="65"/>
    </row>
    <row r="712">
      <c r="A712" s="61"/>
      <c r="B712" s="61"/>
      <c r="C712" s="61"/>
      <c r="D712" s="61"/>
      <c r="E712" s="61"/>
      <c r="F712" s="61"/>
      <c r="G712" s="61"/>
      <c r="H712" s="61"/>
      <c r="I712" s="61"/>
      <c r="J712" s="107"/>
      <c r="K712" s="100"/>
      <c r="L712" s="61"/>
      <c r="M712" s="61"/>
      <c r="N712" s="61"/>
    </row>
    <row r="713">
      <c r="A713" s="65"/>
      <c r="B713" s="65"/>
      <c r="C713" s="65"/>
      <c r="D713" s="65"/>
      <c r="E713" s="65"/>
      <c r="F713" s="65"/>
      <c r="G713" s="65"/>
      <c r="H713" s="65"/>
      <c r="I713" s="65"/>
      <c r="J713" s="108"/>
      <c r="K713" s="103"/>
      <c r="L713" s="65"/>
      <c r="M713" s="65"/>
      <c r="N713" s="65"/>
    </row>
    <row r="714">
      <c r="A714" s="61"/>
      <c r="B714" s="61"/>
      <c r="C714" s="61"/>
      <c r="D714" s="61"/>
      <c r="E714" s="61"/>
      <c r="F714" s="61"/>
      <c r="G714" s="61"/>
      <c r="H714" s="61"/>
      <c r="I714" s="61"/>
      <c r="J714" s="107"/>
      <c r="K714" s="100"/>
      <c r="L714" s="61"/>
      <c r="M714" s="61"/>
      <c r="N714" s="61"/>
    </row>
    <row r="715">
      <c r="A715" s="65"/>
      <c r="B715" s="65"/>
      <c r="C715" s="65"/>
      <c r="D715" s="65"/>
      <c r="E715" s="65"/>
      <c r="F715" s="65"/>
      <c r="G715" s="65"/>
      <c r="H715" s="65"/>
      <c r="I715" s="65"/>
      <c r="J715" s="108"/>
      <c r="K715" s="103"/>
      <c r="L715" s="65"/>
      <c r="M715" s="65"/>
      <c r="N715" s="65"/>
    </row>
    <row r="716">
      <c r="A716" s="61"/>
      <c r="B716" s="61"/>
      <c r="C716" s="61"/>
      <c r="D716" s="61"/>
      <c r="E716" s="61"/>
      <c r="F716" s="61"/>
      <c r="G716" s="61"/>
      <c r="H716" s="61"/>
      <c r="I716" s="61"/>
      <c r="J716" s="107"/>
      <c r="K716" s="100"/>
      <c r="L716" s="61"/>
      <c r="M716" s="61"/>
      <c r="N716" s="61"/>
    </row>
    <row r="717">
      <c r="A717" s="65"/>
      <c r="B717" s="65"/>
      <c r="C717" s="65"/>
      <c r="D717" s="65"/>
      <c r="E717" s="65"/>
      <c r="F717" s="65"/>
      <c r="G717" s="65"/>
      <c r="H717" s="65"/>
      <c r="I717" s="65"/>
      <c r="J717" s="108"/>
      <c r="K717" s="103"/>
      <c r="L717" s="65"/>
      <c r="M717" s="65"/>
      <c r="N717" s="65"/>
    </row>
    <row r="718">
      <c r="A718" s="61"/>
      <c r="B718" s="61"/>
      <c r="C718" s="61"/>
      <c r="D718" s="61"/>
      <c r="E718" s="61"/>
      <c r="F718" s="61"/>
      <c r="G718" s="61"/>
      <c r="H718" s="61"/>
      <c r="I718" s="61"/>
      <c r="J718" s="107"/>
      <c r="K718" s="100"/>
      <c r="L718" s="61"/>
      <c r="M718" s="61"/>
      <c r="N718" s="61"/>
    </row>
    <row r="719">
      <c r="A719" s="65"/>
      <c r="B719" s="65"/>
      <c r="C719" s="65"/>
      <c r="D719" s="65"/>
      <c r="E719" s="65"/>
      <c r="F719" s="65"/>
      <c r="G719" s="65"/>
      <c r="H719" s="65"/>
      <c r="I719" s="65"/>
      <c r="J719" s="108"/>
      <c r="K719" s="103"/>
      <c r="L719" s="65"/>
      <c r="M719" s="65"/>
      <c r="N719" s="65"/>
    </row>
    <row r="720">
      <c r="A720" s="61"/>
      <c r="B720" s="61"/>
      <c r="C720" s="61"/>
      <c r="D720" s="61"/>
      <c r="E720" s="61"/>
      <c r="F720" s="61"/>
      <c r="G720" s="61"/>
      <c r="H720" s="61"/>
      <c r="I720" s="61"/>
      <c r="J720" s="107"/>
      <c r="K720" s="100"/>
      <c r="L720" s="61"/>
      <c r="M720" s="61"/>
      <c r="N720" s="61"/>
    </row>
    <row r="721">
      <c r="A721" s="65"/>
      <c r="B721" s="65"/>
      <c r="C721" s="65"/>
      <c r="D721" s="65"/>
      <c r="E721" s="65"/>
      <c r="F721" s="65"/>
      <c r="G721" s="65"/>
      <c r="H721" s="65"/>
      <c r="I721" s="65"/>
      <c r="J721" s="108"/>
      <c r="K721" s="103"/>
      <c r="L721" s="65"/>
      <c r="M721" s="65"/>
      <c r="N721" s="65"/>
    </row>
    <row r="722">
      <c r="A722" s="61"/>
      <c r="B722" s="61"/>
      <c r="C722" s="61"/>
      <c r="D722" s="61"/>
      <c r="E722" s="61"/>
      <c r="F722" s="61"/>
      <c r="G722" s="61"/>
      <c r="H722" s="61"/>
      <c r="I722" s="61"/>
      <c r="J722" s="107"/>
      <c r="K722" s="100"/>
      <c r="L722" s="61"/>
      <c r="M722" s="61"/>
      <c r="N722" s="61"/>
    </row>
    <row r="723">
      <c r="A723" s="65"/>
      <c r="B723" s="65"/>
      <c r="C723" s="65"/>
      <c r="D723" s="65"/>
      <c r="E723" s="65"/>
      <c r="F723" s="65"/>
      <c r="G723" s="65"/>
      <c r="H723" s="65"/>
      <c r="I723" s="65"/>
      <c r="J723" s="108"/>
      <c r="K723" s="103"/>
      <c r="L723" s="65"/>
      <c r="M723" s="65"/>
      <c r="N723" s="65"/>
    </row>
    <row r="724">
      <c r="A724" s="61"/>
      <c r="B724" s="61"/>
      <c r="C724" s="61"/>
      <c r="D724" s="61"/>
      <c r="E724" s="61"/>
      <c r="F724" s="61"/>
      <c r="G724" s="61"/>
      <c r="H724" s="61"/>
      <c r="I724" s="61"/>
      <c r="J724" s="107"/>
      <c r="K724" s="100"/>
      <c r="L724" s="61"/>
      <c r="M724" s="61"/>
      <c r="N724" s="61"/>
    </row>
    <row r="725">
      <c r="A725" s="65"/>
      <c r="B725" s="65"/>
      <c r="C725" s="65"/>
      <c r="D725" s="65"/>
      <c r="E725" s="65"/>
      <c r="F725" s="65"/>
      <c r="G725" s="65"/>
      <c r="H725" s="65"/>
      <c r="I725" s="65"/>
      <c r="J725" s="108"/>
      <c r="K725" s="103"/>
      <c r="L725" s="65"/>
      <c r="M725" s="65"/>
      <c r="N725" s="65"/>
    </row>
    <row r="726">
      <c r="A726" s="61"/>
      <c r="B726" s="61"/>
      <c r="C726" s="61"/>
      <c r="D726" s="61"/>
      <c r="E726" s="61"/>
      <c r="F726" s="61"/>
      <c r="G726" s="61"/>
      <c r="H726" s="61"/>
      <c r="I726" s="61"/>
      <c r="J726" s="107"/>
      <c r="K726" s="100"/>
      <c r="L726" s="61"/>
      <c r="M726" s="61"/>
      <c r="N726" s="61"/>
    </row>
    <row r="727">
      <c r="A727" s="65"/>
      <c r="B727" s="65"/>
      <c r="C727" s="65"/>
      <c r="D727" s="65"/>
      <c r="E727" s="65"/>
      <c r="F727" s="65"/>
      <c r="G727" s="65"/>
      <c r="H727" s="65"/>
      <c r="I727" s="65"/>
      <c r="J727" s="108"/>
      <c r="K727" s="103"/>
      <c r="L727" s="65"/>
      <c r="M727" s="65"/>
      <c r="N727" s="65"/>
    </row>
    <row r="728">
      <c r="A728" s="61"/>
      <c r="B728" s="61"/>
      <c r="C728" s="61"/>
      <c r="D728" s="61"/>
      <c r="E728" s="61"/>
      <c r="F728" s="61"/>
      <c r="G728" s="61"/>
      <c r="H728" s="61"/>
      <c r="I728" s="61"/>
      <c r="J728" s="107"/>
      <c r="K728" s="100"/>
      <c r="L728" s="61"/>
      <c r="M728" s="61"/>
      <c r="N728" s="61"/>
    </row>
    <row r="729">
      <c r="A729" s="65"/>
      <c r="B729" s="65"/>
      <c r="C729" s="65"/>
      <c r="D729" s="65"/>
      <c r="E729" s="65"/>
      <c r="F729" s="65"/>
      <c r="G729" s="65"/>
      <c r="H729" s="65"/>
      <c r="I729" s="65"/>
      <c r="J729" s="108"/>
      <c r="K729" s="103"/>
      <c r="L729" s="65"/>
      <c r="M729" s="65"/>
      <c r="N729" s="65"/>
    </row>
    <row r="730">
      <c r="A730" s="61"/>
      <c r="B730" s="61"/>
      <c r="C730" s="61"/>
      <c r="D730" s="61"/>
      <c r="E730" s="61"/>
      <c r="F730" s="61"/>
      <c r="G730" s="61"/>
      <c r="H730" s="61"/>
      <c r="I730" s="61"/>
      <c r="J730" s="107"/>
      <c r="K730" s="100"/>
      <c r="L730" s="61"/>
      <c r="M730" s="61"/>
      <c r="N730" s="61"/>
    </row>
    <row r="731">
      <c r="A731" s="65"/>
      <c r="B731" s="65"/>
      <c r="C731" s="65"/>
      <c r="D731" s="65"/>
      <c r="E731" s="65"/>
      <c r="F731" s="65"/>
      <c r="G731" s="65"/>
      <c r="H731" s="65"/>
      <c r="I731" s="65"/>
      <c r="J731" s="108"/>
      <c r="K731" s="103"/>
      <c r="L731" s="65"/>
      <c r="M731" s="65"/>
      <c r="N731" s="65"/>
    </row>
    <row r="732">
      <c r="A732" s="61"/>
      <c r="B732" s="61"/>
      <c r="C732" s="61"/>
      <c r="D732" s="61"/>
      <c r="E732" s="61"/>
      <c r="F732" s="61"/>
      <c r="G732" s="61"/>
      <c r="H732" s="61"/>
      <c r="I732" s="61"/>
      <c r="J732" s="107"/>
      <c r="K732" s="100"/>
      <c r="L732" s="61"/>
      <c r="M732" s="61"/>
      <c r="N732" s="61"/>
    </row>
    <row r="733">
      <c r="A733" s="65"/>
      <c r="B733" s="65"/>
      <c r="C733" s="65"/>
      <c r="D733" s="65"/>
      <c r="E733" s="65"/>
      <c r="F733" s="65"/>
      <c r="G733" s="65"/>
      <c r="H733" s="65"/>
      <c r="I733" s="65"/>
      <c r="J733" s="108"/>
      <c r="K733" s="103"/>
      <c r="L733" s="65"/>
      <c r="M733" s="65"/>
      <c r="N733" s="65"/>
    </row>
    <row r="734">
      <c r="A734" s="61"/>
      <c r="B734" s="61"/>
      <c r="C734" s="61"/>
      <c r="D734" s="61"/>
      <c r="E734" s="61"/>
      <c r="F734" s="61"/>
      <c r="G734" s="61"/>
      <c r="H734" s="61"/>
      <c r="I734" s="61"/>
      <c r="J734" s="107"/>
      <c r="K734" s="100"/>
      <c r="L734" s="61"/>
      <c r="M734" s="61"/>
      <c r="N734" s="61"/>
    </row>
    <row r="735">
      <c r="A735" s="65"/>
      <c r="B735" s="65"/>
      <c r="C735" s="65"/>
      <c r="D735" s="65"/>
      <c r="E735" s="65"/>
      <c r="F735" s="65"/>
      <c r="G735" s="65"/>
      <c r="H735" s="65"/>
      <c r="I735" s="65"/>
      <c r="J735" s="108"/>
      <c r="K735" s="103"/>
      <c r="L735" s="65"/>
      <c r="M735" s="65"/>
      <c r="N735" s="65"/>
    </row>
    <row r="736">
      <c r="A736" s="61"/>
      <c r="B736" s="61"/>
      <c r="C736" s="61"/>
      <c r="D736" s="61"/>
      <c r="E736" s="61"/>
      <c r="F736" s="61"/>
      <c r="G736" s="61"/>
      <c r="H736" s="61"/>
      <c r="I736" s="61"/>
      <c r="J736" s="107"/>
      <c r="K736" s="100"/>
      <c r="L736" s="61"/>
      <c r="M736" s="61"/>
      <c r="N736" s="61"/>
    </row>
    <row r="737">
      <c r="A737" s="65"/>
      <c r="B737" s="65"/>
      <c r="C737" s="65"/>
      <c r="D737" s="65"/>
      <c r="E737" s="65"/>
      <c r="F737" s="65"/>
      <c r="G737" s="65"/>
      <c r="H737" s="65"/>
      <c r="I737" s="65"/>
      <c r="J737" s="108"/>
      <c r="K737" s="103"/>
      <c r="L737" s="65"/>
      <c r="M737" s="65"/>
      <c r="N737" s="65"/>
    </row>
    <row r="738">
      <c r="A738" s="61"/>
      <c r="B738" s="61"/>
      <c r="C738" s="61"/>
      <c r="D738" s="61"/>
      <c r="E738" s="61"/>
      <c r="F738" s="61"/>
      <c r="G738" s="61"/>
      <c r="H738" s="61"/>
      <c r="I738" s="61"/>
      <c r="J738" s="107"/>
      <c r="K738" s="100"/>
      <c r="L738" s="61"/>
      <c r="M738" s="61"/>
      <c r="N738" s="61"/>
    </row>
    <row r="739">
      <c r="A739" s="65"/>
      <c r="B739" s="65"/>
      <c r="C739" s="65"/>
      <c r="D739" s="65"/>
      <c r="E739" s="65"/>
      <c r="F739" s="65"/>
      <c r="G739" s="65"/>
      <c r="H739" s="65"/>
      <c r="I739" s="65"/>
      <c r="J739" s="108"/>
      <c r="K739" s="103"/>
      <c r="L739" s="65"/>
      <c r="M739" s="65"/>
      <c r="N739" s="65"/>
    </row>
    <row r="740">
      <c r="A740" s="61"/>
      <c r="B740" s="61"/>
      <c r="C740" s="61"/>
      <c r="D740" s="61"/>
      <c r="E740" s="61"/>
      <c r="F740" s="61"/>
      <c r="G740" s="61"/>
      <c r="H740" s="61"/>
      <c r="I740" s="61"/>
      <c r="J740" s="107"/>
      <c r="K740" s="100"/>
      <c r="L740" s="61"/>
      <c r="M740" s="61"/>
      <c r="N740" s="61"/>
    </row>
    <row r="741">
      <c r="A741" s="65"/>
      <c r="B741" s="65"/>
      <c r="C741" s="65"/>
      <c r="D741" s="65"/>
      <c r="E741" s="65"/>
      <c r="F741" s="65"/>
      <c r="G741" s="65"/>
      <c r="H741" s="65"/>
      <c r="I741" s="65"/>
      <c r="J741" s="108"/>
      <c r="K741" s="103"/>
      <c r="L741" s="65"/>
      <c r="M741" s="65"/>
      <c r="N741" s="65"/>
    </row>
    <row r="742">
      <c r="A742" s="61"/>
      <c r="B742" s="61"/>
      <c r="C742" s="61"/>
      <c r="D742" s="61"/>
      <c r="E742" s="61"/>
      <c r="F742" s="61"/>
      <c r="G742" s="61"/>
      <c r="H742" s="61"/>
      <c r="I742" s="61"/>
      <c r="J742" s="107"/>
      <c r="K742" s="100"/>
      <c r="L742" s="61"/>
      <c r="M742" s="61"/>
      <c r="N742" s="61"/>
    </row>
    <row r="743">
      <c r="A743" s="65"/>
      <c r="B743" s="65"/>
      <c r="C743" s="65"/>
      <c r="D743" s="65"/>
      <c r="E743" s="65"/>
      <c r="F743" s="65"/>
      <c r="G743" s="65"/>
      <c r="H743" s="65"/>
      <c r="I743" s="65"/>
      <c r="J743" s="108"/>
      <c r="K743" s="103"/>
      <c r="L743" s="65"/>
      <c r="M743" s="65"/>
      <c r="N743" s="65"/>
    </row>
    <row r="744">
      <c r="A744" s="61"/>
      <c r="B744" s="61"/>
      <c r="C744" s="61"/>
      <c r="D744" s="61"/>
      <c r="E744" s="61"/>
      <c r="F744" s="61"/>
      <c r="G744" s="61"/>
      <c r="H744" s="61"/>
      <c r="I744" s="61"/>
      <c r="J744" s="107"/>
      <c r="K744" s="100"/>
      <c r="L744" s="61"/>
      <c r="M744" s="61"/>
      <c r="N744" s="61"/>
    </row>
    <row r="745">
      <c r="A745" s="65"/>
      <c r="B745" s="65"/>
      <c r="C745" s="65"/>
      <c r="D745" s="65"/>
      <c r="E745" s="65"/>
      <c r="F745" s="65"/>
      <c r="G745" s="65"/>
      <c r="H745" s="65"/>
      <c r="I745" s="65"/>
      <c r="J745" s="108"/>
      <c r="K745" s="103"/>
      <c r="L745" s="65"/>
      <c r="M745" s="65"/>
      <c r="N745" s="65"/>
    </row>
    <row r="746">
      <c r="A746" s="61"/>
      <c r="B746" s="61"/>
      <c r="C746" s="61"/>
      <c r="D746" s="61"/>
      <c r="E746" s="61"/>
      <c r="F746" s="61"/>
      <c r="G746" s="61"/>
      <c r="H746" s="61"/>
      <c r="I746" s="61"/>
      <c r="J746" s="107"/>
      <c r="K746" s="100"/>
      <c r="L746" s="61"/>
      <c r="M746" s="61"/>
      <c r="N746" s="61"/>
    </row>
    <row r="747">
      <c r="A747" s="65"/>
      <c r="B747" s="65"/>
      <c r="C747" s="65"/>
      <c r="D747" s="65"/>
      <c r="E747" s="65"/>
      <c r="F747" s="65"/>
      <c r="G747" s="65"/>
      <c r="H747" s="65"/>
      <c r="I747" s="65"/>
      <c r="J747" s="108"/>
      <c r="K747" s="103"/>
      <c r="L747" s="65"/>
      <c r="M747" s="65"/>
      <c r="N747" s="65"/>
    </row>
    <row r="748">
      <c r="A748" s="61"/>
      <c r="B748" s="61"/>
      <c r="C748" s="61"/>
      <c r="D748" s="61"/>
      <c r="E748" s="61"/>
      <c r="F748" s="61"/>
      <c r="G748" s="61"/>
      <c r="H748" s="61"/>
      <c r="I748" s="61"/>
      <c r="J748" s="107"/>
      <c r="K748" s="100"/>
      <c r="L748" s="61"/>
      <c r="M748" s="61"/>
      <c r="N748" s="61"/>
    </row>
    <row r="749">
      <c r="A749" s="65"/>
      <c r="B749" s="65"/>
      <c r="C749" s="65"/>
      <c r="D749" s="65"/>
      <c r="E749" s="65"/>
      <c r="F749" s="65"/>
      <c r="G749" s="65"/>
      <c r="H749" s="65"/>
      <c r="I749" s="65"/>
      <c r="J749" s="108"/>
      <c r="K749" s="103"/>
      <c r="L749" s="65"/>
      <c r="M749" s="65"/>
      <c r="N749" s="65"/>
    </row>
    <row r="750">
      <c r="A750" s="61"/>
      <c r="B750" s="61"/>
      <c r="C750" s="61"/>
      <c r="D750" s="61"/>
      <c r="E750" s="61"/>
      <c r="F750" s="61"/>
      <c r="G750" s="61"/>
      <c r="H750" s="61"/>
      <c r="I750" s="61"/>
      <c r="J750" s="107"/>
      <c r="K750" s="100"/>
      <c r="L750" s="61"/>
      <c r="M750" s="61"/>
      <c r="N750" s="61"/>
    </row>
    <row r="751">
      <c r="A751" s="65"/>
      <c r="B751" s="65"/>
      <c r="C751" s="65"/>
      <c r="D751" s="65"/>
      <c r="E751" s="65"/>
      <c r="F751" s="65"/>
      <c r="G751" s="65"/>
      <c r="H751" s="65"/>
      <c r="I751" s="65"/>
      <c r="J751" s="108"/>
      <c r="K751" s="103"/>
      <c r="L751" s="65"/>
      <c r="M751" s="65"/>
      <c r="N751" s="65"/>
    </row>
    <row r="752">
      <c r="A752" s="61"/>
      <c r="B752" s="61"/>
      <c r="C752" s="61"/>
      <c r="D752" s="61"/>
      <c r="E752" s="61"/>
      <c r="F752" s="61"/>
      <c r="G752" s="61"/>
      <c r="H752" s="61"/>
      <c r="I752" s="61"/>
      <c r="J752" s="107"/>
      <c r="K752" s="100"/>
      <c r="L752" s="61"/>
      <c r="M752" s="61"/>
      <c r="N752" s="61"/>
    </row>
    <row r="753">
      <c r="A753" s="65"/>
      <c r="B753" s="65"/>
      <c r="C753" s="65"/>
      <c r="D753" s="65"/>
      <c r="E753" s="65"/>
      <c r="F753" s="65"/>
      <c r="G753" s="65"/>
      <c r="H753" s="65"/>
      <c r="I753" s="65"/>
      <c r="J753" s="108"/>
      <c r="K753" s="103"/>
      <c r="L753" s="65"/>
      <c r="M753" s="65"/>
      <c r="N753" s="65"/>
    </row>
    <row r="754">
      <c r="A754" s="61"/>
      <c r="B754" s="61"/>
      <c r="C754" s="61"/>
      <c r="D754" s="61"/>
      <c r="E754" s="61"/>
      <c r="F754" s="61"/>
      <c r="G754" s="61"/>
      <c r="H754" s="61"/>
      <c r="I754" s="61"/>
      <c r="J754" s="107"/>
      <c r="K754" s="100"/>
      <c r="L754" s="61"/>
      <c r="M754" s="61"/>
      <c r="N754" s="61"/>
    </row>
    <row r="755">
      <c r="A755" s="65"/>
      <c r="B755" s="65"/>
      <c r="C755" s="65"/>
      <c r="D755" s="65"/>
      <c r="E755" s="65"/>
      <c r="F755" s="65"/>
      <c r="G755" s="65"/>
      <c r="H755" s="65"/>
      <c r="I755" s="65"/>
      <c r="J755" s="108"/>
      <c r="K755" s="103"/>
      <c r="L755" s="65"/>
      <c r="M755" s="65"/>
      <c r="N755" s="65"/>
    </row>
    <row r="756">
      <c r="A756" s="61"/>
      <c r="B756" s="61"/>
      <c r="C756" s="61"/>
      <c r="D756" s="61"/>
      <c r="E756" s="61"/>
      <c r="F756" s="61"/>
      <c r="G756" s="61"/>
      <c r="H756" s="61"/>
      <c r="I756" s="61"/>
      <c r="J756" s="107"/>
      <c r="K756" s="100"/>
      <c r="L756" s="61"/>
      <c r="M756" s="61"/>
      <c r="N756" s="61"/>
    </row>
    <row r="757">
      <c r="A757" s="65"/>
      <c r="B757" s="65"/>
      <c r="C757" s="65"/>
      <c r="D757" s="65"/>
      <c r="E757" s="65"/>
      <c r="F757" s="65"/>
      <c r="G757" s="65"/>
      <c r="H757" s="65"/>
      <c r="I757" s="65"/>
      <c r="J757" s="108"/>
      <c r="K757" s="103"/>
      <c r="L757" s="65"/>
      <c r="M757" s="65"/>
      <c r="N757" s="65"/>
    </row>
    <row r="758">
      <c r="A758" s="61"/>
      <c r="B758" s="61"/>
      <c r="C758" s="61"/>
      <c r="D758" s="61"/>
      <c r="E758" s="61"/>
      <c r="F758" s="61"/>
      <c r="G758" s="61"/>
      <c r="H758" s="61"/>
      <c r="I758" s="61"/>
      <c r="J758" s="107"/>
      <c r="K758" s="100"/>
      <c r="L758" s="61"/>
      <c r="M758" s="61"/>
      <c r="N758" s="61"/>
    </row>
    <row r="759">
      <c r="A759" s="65"/>
      <c r="B759" s="65"/>
      <c r="C759" s="65"/>
      <c r="D759" s="65"/>
      <c r="E759" s="65"/>
      <c r="F759" s="65"/>
      <c r="G759" s="65"/>
      <c r="H759" s="65"/>
      <c r="I759" s="65"/>
      <c r="J759" s="108"/>
      <c r="K759" s="103"/>
      <c r="L759" s="65"/>
      <c r="M759" s="65"/>
      <c r="N759" s="65"/>
    </row>
    <row r="760">
      <c r="A760" s="61"/>
      <c r="B760" s="61"/>
      <c r="C760" s="61"/>
      <c r="D760" s="61"/>
      <c r="E760" s="61"/>
      <c r="F760" s="61"/>
      <c r="G760" s="61"/>
      <c r="H760" s="61"/>
      <c r="I760" s="61"/>
      <c r="J760" s="107"/>
      <c r="K760" s="100"/>
      <c r="L760" s="61"/>
      <c r="M760" s="61"/>
      <c r="N760" s="61"/>
    </row>
    <row r="761">
      <c r="A761" s="65"/>
      <c r="B761" s="65"/>
      <c r="C761" s="65"/>
      <c r="D761" s="65"/>
      <c r="E761" s="65"/>
      <c r="F761" s="65"/>
      <c r="G761" s="65"/>
      <c r="H761" s="65"/>
      <c r="I761" s="65"/>
      <c r="J761" s="108"/>
      <c r="K761" s="103"/>
      <c r="L761" s="65"/>
      <c r="M761" s="65"/>
      <c r="N761" s="65"/>
    </row>
    <row r="762">
      <c r="A762" s="61"/>
      <c r="B762" s="61"/>
      <c r="C762" s="61"/>
      <c r="D762" s="61"/>
      <c r="E762" s="61"/>
      <c r="F762" s="61"/>
      <c r="G762" s="61"/>
      <c r="H762" s="61"/>
      <c r="I762" s="61"/>
      <c r="J762" s="107"/>
      <c r="K762" s="100"/>
      <c r="L762" s="61"/>
      <c r="M762" s="61"/>
      <c r="N762" s="61"/>
    </row>
    <row r="763">
      <c r="A763" s="65"/>
      <c r="B763" s="65"/>
      <c r="C763" s="65"/>
      <c r="D763" s="65"/>
      <c r="E763" s="65"/>
      <c r="F763" s="65"/>
      <c r="G763" s="65"/>
      <c r="H763" s="65"/>
      <c r="I763" s="65"/>
      <c r="J763" s="108"/>
      <c r="K763" s="103"/>
      <c r="L763" s="65"/>
      <c r="M763" s="65"/>
      <c r="N763" s="65"/>
    </row>
    <row r="764">
      <c r="A764" s="61"/>
      <c r="B764" s="61"/>
      <c r="C764" s="61"/>
      <c r="D764" s="61"/>
      <c r="E764" s="61"/>
      <c r="F764" s="61"/>
      <c r="G764" s="61"/>
      <c r="H764" s="61"/>
      <c r="I764" s="61"/>
      <c r="J764" s="107"/>
      <c r="K764" s="100"/>
      <c r="L764" s="61"/>
      <c r="M764" s="61"/>
      <c r="N764" s="61"/>
    </row>
    <row r="765">
      <c r="A765" s="65"/>
      <c r="B765" s="65"/>
      <c r="C765" s="65"/>
      <c r="D765" s="65"/>
      <c r="E765" s="65"/>
      <c r="F765" s="65"/>
      <c r="G765" s="65"/>
      <c r="H765" s="65"/>
      <c r="I765" s="65"/>
      <c r="J765" s="108"/>
      <c r="K765" s="103"/>
      <c r="L765" s="65"/>
      <c r="M765" s="65"/>
      <c r="N765" s="65"/>
    </row>
    <row r="766">
      <c r="A766" s="61"/>
      <c r="B766" s="61"/>
      <c r="C766" s="61"/>
      <c r="D766" s="61"/>
      <c r="E766" s="61"/>
      <c r="F766" s="61"/>
      <c r="G766" s="61"/>
      <c r="H766" s="61"/>
      <c r="I766" s="61"/>
      <c r="J766" s="107"/>
      <c r="K766" s="100"/>
      <c r="L766" s="61"/>
      <c r="M766" s="61"/>
      <c r="N766" s="61"/>
    </row>
    <row r="767">
      <c r="A767" s="65"/>
      <c r="B767" s="65"/>
      <c r="C767" s="65"/>
      <c r="D767" s="65"/>
      <c r="E767" s="65"/>
      <c r="F767" s="65"/>
      <c r="G767" s="65"/>
      <c r="H767" s="65"/>
      <c r="I767" s="65"/>
      <c r="J767" s="108"/>
      <c r="K767" s="103"/>
      <c r="L767" s="65"/>
      <c r="M767" s="65"/>
      <c r="N767" s="65"/>
    </row>
    <row r="768">
      <c r="A768" s="61"/>
      <c r="B768" s="61"/>
      <c r="C768" s="61"/>
      <c r="D768" s="61"/>
      <c r="E768" s="61"/>
      <c r="F768" s="61"/>
      <c r="G768" s="61"/>
      <c r="H768" s="61"/>
      <c r="I768" s="61"/>
      <c r="J768" s="107"/>
      <c r="K768" s="100"/>
      <c r="L768" s="61"/>
      <c r="M768" s="61"/>
      <c r="N768" s="61"/>
    </row>
    <row r="769">
      <c r="A769" s="65"/>
      <c r="B769" s="65"/>
      <c r="C769" s="65"/>
      <c r="D769" s="65"/>
      <c r="E769" s="65"/>
      <c r="F769" s="65"/>
      <c r="G769" s="65"/>
      <c r="H769" s="65"/>
      <c r="I769" s="65"/>
      <c r="J769" s="108"/>
      <c r="K769" s="103"/>
      <c r="L769" s="65"/>
      <c r="M769" s="65"/>
      <c r="N769" s="65"/>
    </row>
    <row r="770">
      <c r="A770" s="61"/>
      <c r="B770" s="61"/>
      <c r="C770" s="61"/>
      <c r="D770" s="61"/>
      <c r="E770" s="61"/>
      <c r="F770" s="61"/>
      <c r="G770" s="61"/>
      <c r="H770" s="61"/>
      <c r="I770" s="61"/>
      <c r="J770" s="107"/>
      <c r="K770" s="100"/>
      <c r="L770" s="61"/>
      <c r="M770" s="61"/>
      <c r="N770" s="61"/>
    </row>
    <row r="771">
      <c r="A771" s="65"/>
      <c r="B771" s="65"/>
      <c r="C771" s="65"/>
      <c r="D771" s="65"/>
      <c r="E771" s="65"/>
      <c r="F771" s="65"/>
      <c r="G771" s="65"/>
      <c r="H771" s="65"/>
      <c r="I771" s="65"/>
      <c r="J771" s="108"/>
      <c r="K771" s="103"/>
      <c r="L771" s="65"/>
      <c r="M771" s="65"/>
      <c r="N771" s="65"/>
    </row>
    <row r="772">
      <c r="A772" s="61"/>
      <c r="B772" s="61"/>
      <c r="C772" s="61"/>
      <c r="D772" s="61"/>
      <c r="E772" s="61"/>
      <c r="F772" s="61"/>
      <c r="G772" s="61"/>
      <c r="H772" s="61"/>
      <c r="I772" s="61"/>
      <c r="J772" s="107"/>
      <c r="K772" s="100"/>
      <c r="L772" s="61"/>
      <c r="M772" s="61"/>
      <c r="N772" s="61"/>
    </row>
    <row r="773">
      <c r="A773" s="65"/>
      <c r="B773" s="65"/>
      <c r="C773" s="65"/>
      <c r="D773" s="65"/>
      <c r="E773" s="65"/>
      <c r="F773" s="65"/>
      <c r="G773" s="65"/>
      <c r="H773" s="65"/>
      <c r="I773" s="65"/>
      <c r="J773" s="108"/>
      <c r="K773" s="103"/>
      <c r="L773" s="65"/>
      <c r="M773" s="65"/>
      <c r="N773" s="65"/>
    </row>
    <row r="774">
      <c r="A774" s="61"/>
      <c r="B774" s="61"/>
      <c r="C774" s="61"/>
      <c r="D774" s="61"/>
      <c r="E774" s="61"/>
      <c r="F774" s="61"/>
      <c r="G774" s="61"/>
      <c r="H774" s="61"/>
      <c r="I774" s="61"/>
      <c r="J774" s="107"/>
      <c r="K774" s="100"/>
      <c r="L774" s="61"/>
      <c r="M774" s="61"/>
      <c r="N774" s="61"/>
    </row>
    <row r="775">
      <c r="A775" s="65"/>
      <c r="B775" s="65"/>
      <c r="C775" s="65"/>
      <c r="D775" s="65"/>
      <c r="E775" s="65"/>
      <c r="F775" s="65"/>
      <c r="G775" s="65"/>
      <c r="H775" s="65"/>
      <c r="I775" s="65"/>
      <c r="J775" s="108"/>
      <c r="K775" s="103"/>
      <c r="L775" s="65"/>
      <c r="M775" s="65"/>
      <c r="N775" s="65"/>
    </row>
    <row r="776">
      <c r="A776" s="61"/>
      <c r="B776" s="61"/>
      <c r="C776" s="61"/>
      <c r="D776" s="61"/>
      <c r="E776" s="61"/>
      <c r="F776" s="61"/>
      <c r="G776" s="61"/>
      <c r="H776" s="61"/>
      <c r="I776" s="61"/>
      <c r="J776" s="107"/>
      <c r="K776" s="100"/>
      <c r="L776" s="61"/>
      <c r="M776" s="61"/>
      <c r="N776" s="61"/>
    </row>
    <row r="777">
      <c r="A777" s="65"/>
      <c r="B777" s="65"/>
      <c r="C777" s="65"/>
      <c r="D777" s="65"/>
      <c r="E777" s="65"/>
      <c r="F777" s="65"/>
      <c r="G777" s="65"/>
      <c r="H777" s="65"/>
      <c r="I777" s="65"/>
      <c r="J777" s="108"/>
      <c r="K777" s="103"/>
      <c r="L777" s="65"/>
      <c r="M777" s="65"/>
      <c r="N777" s="65"/>
    </row>
    <row r="778">
      <c r="A778" s="61"/>
      <c r="B778" s="61"/>
      <c r="C778" s="61"/>
      <c r="D778" s="61"/>
      <c r="E778" s="61"/>
      <c r="F778" s="61"/>
      <c r="G778" s="61"/>
      <c r="H778" s="61"/>
      <c r="I778" s="61"/>
      <c r="J778" s="107"/>
      <c r="K778" s="100"/>
      <c r="L778" s="61"/>
      <c r="M778" s="61"/>
      <c r="N778" s="61"/>
    </row>
    <row r="779">
      <c r="A779" s="65"/>
      <c r="B779" s="65"/>
      <c r="C779" s="65"/>
      <c r="D779" s="65"/>
      <c r="E779" s="65"/>
      <c r="F779" s="65"/>
      <c r="G779" s="65"/>
      <c r="H779" s="65"/>
      <c r="I779" s="65"/>
      <c r="J779" s="108"/>
      <c r="K779" s="103"/>
      <c r="L779" s="65"/>
      <c r="M779" s="65"/>
      <c r="N779" s="65"/>
    </row>
    <row r="780">
      <c r="A780" s="61"/>
      <c r="B780" s="61"/>
      <c r="C780" s="61"/>
      <c r="D780" s="61"/>
      <c r="E780" s="61"/>
      <c r="F780" s="61"/>
      <c r="G780" s="61"/>
      <c r="H780" s="61"/>
      <c r="I780" s="61"/>
      <c r="J780" s="107"/>
      <c r="K780" s="100"/>
      <c r="L780" s="61"/>
      <c r="M780" s="61"/>
      <c r="N780" s="61"/>
    </row>
    <row r="781">
      <c r="A781" s="65"/>
      <c r="B781" s="65"/>
      <c r="C781" s="65"/>
      <c r="D781" s="65"/>
      <c r="E781" s="65"/>
      <c r="F781" s="65"/>
      <c r="G781" s="65"/>
      <c r="H781" s="65"/>
      <c r="I781" s="65"/>
      <c r="J781" s="108"/>
      <c r="K781" s="103"/>
      <c r="L781" s="65"/>
      <c r="M781" s="65"/>
      <c r="N781" s="65"/>
    </row>
    <row r="782">
      <c r="A782" s="61"/>
      <c r="B782" s="61"/>
      <c r="C782" s="61"/>
      <c r="D782" s="61"/>
      <c r="E782" s="61"/>
      <c r="F782" s="61"/>
      <c r="G782" s="61"/>
      <c r="H782" s="61"/>
      <c r="I782" s="61"/>
      <c r="J782" s="107"/>
      <c r="K782" s="100"/>
      <c r="L782" s="61"/>
      <c r="M782" s="61"/>
      <c r="N782" s="61"/>
    </row>
    <row r="783">
      <c r="A783" s="65"/>
      <c r="B783" s="65"/>
      <c r="C783" s="65"/>
      <c r="D783" s="65"/>
      <c r="E783" s="65"/>
      <c r="F783" s="65"/>
      <c r="G783" s="65"/>
      <c r="H783" s="65"/>
      <c r="I783" s="65"/>
      <c r="J783" s="108"/>
      <c r="K783" s="103"/>
      <c r="L783" s="65"/>
      <c r="M783" s="65"/>
      <c r="N783" s="65"/>
    </row>
    <row r="784">
      <c r="A784" s="61"/>
      <c r="B784" s="61"/>
      <c r="C784" s="61"/>
      <c r="D784" s="61"/>
      <c r="E784" s="61"/>
      <c r="F784" s="61"/>
      <c r="G784" s="61"/>
      <c r="H784" s="61"/>
      <c r="I784" s="61"/>
      <c r="J784" s="107"/>
      <c r="K784" s="100"/>
      <c r="L784" s="61"/>
      <c r="M784" s="61"/>
      <c r="N784" s="61"/>
    </row>
    <row r="785">
      <c r="A785" s="65"/>
      <c r="B785" s="65"/>
      <c r="C785" s="65"/>
      <c r="D785" s="65"/>
      <c r="E785" s="65"/>
      <c r="F785" s="65"/>
      <c r="G785" s="65"/>
      <c r="H785" s="65"/>
      <c r="I785" s="65"/>
      <c r="J785" s="108"/>
      <c r="K785" s="103"/>
      <c r="L785" s="65"/>
      <c r="M785" s="65"/>
      <c r="N785" s="65"/>
    </row>
    <row r="786">
      <c r="A786" s="61"/>
      <c r="B786" s="61"/>
      <c r="C786" s="61"/>
      <c r="D786" s="61"/>
      <c r="E786" s="61"/>
      <c r="F786" s="61"/>
      <c r="G786" s="61"/>
      <c r="H786" s="61"/>
      <c r="I786" s="61"/>
      <c r="J786" s="107"/>
      <c r="K786" s="100"/>
      <c r="L786" s="61"/>
      <c r="M786" s="61"/>
      <c r="N786" s="61"/>
    </row>
    <row r="787">
      <c r="A787" s="65"/>
      <c r="B787" s="65"/>
      <c r="C787" s="65"/>
      <c r="D787" s="65"/>
      <c r="E787" s="65"/>
      <c r="F787" s="65"/>
      <c r="G787" s="65"/>
      <c r="H787" s="65"/>
      <c r="I787" s="65"/>
      <c r="J787" s="108"/>
      <c r="K787" s="103"/>
      <c r="L787" s="65"/>
      <c r="M787" s="65"/>
      <c r="N787" s="65"/>
    </row>
    <row r="788">
      <c r="A788" s="61"/>
      <c r="B788" s="61"/>
      <c r="C788" s="61"/>
      <c r="D788" s="61"/>
      <c r="E788" s="61"/>
      <c r="F788" s="61"/>
      <c r="G788" s="61"/>
      <c r="H788" s="61"/>
      <c r="I788" s="61"/>
      <c r="J788" s="107"/>
      <c r="K788" s="100"/>
      <c r="L788" s="61"/>
      <c r="M788" s="61"/>
      <c r="N788" s="61"/>
    </row>
    <row r="789">
      <c r="A789" s="65"/>
      <c r="B789" s="65"/>
      <c r="C789" s="65"/>
      <c r="D789" s="65"/>
      <c r="E789" s="65"/>
      <c r="F789" s="65"/>
      <c r="G789" s="65"/>
      <c r="H789" s="65"/>
      <c r="I789" s="65"/>
      <c r="J789" s="108"/>
      <c r="K789" s="103"/>
      <c r="L789" s="65"/>
      <c r="M789" s="65"/>
      <c r="N789" s="65"/>
    </row>
    <row r="790">
      <c r="A790" s="61"/>
      <c r="B790" s="61"/>
      <c r="C790" s="61"/>
      <c r="D790" s="61"/>
      <c r="E790" s="61"/>
      <c r="F790" s="61"/>
      <c r="G790" s="61"/>
      <c r="H790" s="61"/>
      <c r="I790" s="61"/>
      <c r="J790" s="107"/>
      <c r="K790" s="100"/>
      <c r="L790" s="61"/>
      <c r="M790" s="61"/>
      <c r="N790" s="61"/>
    </row>
    <row r="791">
      <c r="A791" s="65"/>
      <c r="B791" s="65"/>
      <c r="C791" s="65"/>
      <c r="D791" s="65"/>
      <c r="E791" s="65"/>
      <c r="F791" s="65"/>
      <c r="G791" s="65"/>
      <c r="H791" s="65"/>
      <c r="I791" s="65"/>
      <c r="J791" s="108"/>
      <c r="K791" s="103"/>
      <c r="L791" s="65"/>
      <c r="M791" s="65"/>
      <c r="N791" s="65"/>
    </row>
    <row r="792">
      <c r="A792" s="61"/>
      <c r="B792" s="61"/>
      <c r="C792" s="61"/>
      <c r="D792" s="61"/>
      <c r="E792" s="61"/>
      <c r="F792" s="61"/>
      <c r="G792" s="61"/>
      <c r="H792" s="61"/>
      <c r="I792" s="61"/>
      <c r="J792" s="107"/>
      <c r="K792" s="100"/>
      <c r="L792" s="61"/>
      <c r="M792" s="61"/>
      <c r="N792" s="61"/>
    </row>
    <row r="793">
      <c r="A793" s="65"/>
      <c r="B793" s="65"/>
      <c r="C793" s="65"/>
      <c r="D793" s="65"/>
      <c r="E793" s="65"/>
      <c r="F793" s="65"/>
      <c r="G793" s="65"/>
      <c r="H793" s="65"/>
      <c r="I793" s="65"/>
      <c r="J793" s="108"/>
      <c r="K793" s="103"/>
      <c r="L793" s="65"/>
      <c r="M793" s="65"/>
      <c r="N793" s="65"/>
    </row>
    <row r="794">
      <c r="A794" s="61"/>
      <c r="B794" s="61"/>
      <c r="C794" s="61"/>
      <c r="D794" s="61"/>
      <c r="E794" s="61"/>
      <c r="F794" s="61"/>
      <c r="G794" s="61"/>
      <c r="H794" s="61"/>
      <c r="I794" s="61"/>
      <c r="J794" s="107"/>
      <c r="K794" s="100"/>
      <c r="L794" s="61"/>
      <c r="M794" s="61"/>
      <c r="N794" s="61"/>
    </row>
    <row r="795">
      <c r="A795" s="65"/>
      <c r="B795" s="65"/>
      <c r="C795" s="65"/>
      <c r="D795" s="65"/>
      <c r="E795" s="65"/>
      <c r="F795" s="65"/>
      <c r="G795" s="65"/>
      <c r="H795" s="65"/>
      <c r="I795" s="65"/>
      <c r="J795" s="108"/>
      <c r="K795" s="103"/>
      <c r="L795" s="65"/>
      <c r="M795" s="65"/>
      <c r="N795" s="65"/>
    </row>
    <row r="796">
      <c r="A796" s="61"/>
      <c r="B796" s="61"/>
      <c r="C796" s="61"/>
      <c r="D796" s="61"/>
      <c r="E796" s="61"/>
      <c r="F796" s="61"/>
      <c r="G796" s="61"/>
      <c r="H796" s="61"/>
      <c r="I796" s="61"/>
      <c r="J796" s="107"/>
      <c r="K796" s="100"/>
      <c r="L796" s="61"/>
      <c r="M796" s="61"/>
      <c r="N796" s="61"/>
    </row>
    <row r="797">
      <c r="A797" s="65"/>
      <c r="B797" s="65"/>
      <c r="C797" s="65"/>
      <c r="D797" s="65"/>
      <c r="E797" s="65"/>
      <c r="F797" s="65"/>
      <c r="G797" s="65"/>
      <c r="H797" s="65"/>
      <c r="I797" s="65"/>
      <c r="J797" s="108"/>
      <c r="K797" s="103"/>
      <c r="L797" s="65"/>
      <c r="M797" s="65"/>
      <c r="N797" s="65"/>
    </row>
    <row r="798">
      <c r="A798" s="61"/>
      <c r="B798" s="61"/>
      <c r="C798" s="61"/>
      <c r="D798" s="61"/>
      <c r="E798" s="61"/>
      <c r="F798" s="61"/>
      <c r="G798" s="61"/>
      <c r="H798" s="61"/>
      <c r="I798" s="61"/>
      <c r="J798" s="107"/>
      <c r="K798" s="100"/>
      <c r="L798" s="61"/>
      <c r="M798" s="61"/>
      <c r="N798" s="61"/>
    </row>
    <row r="799">
      <c r="A799" s="65"/>
      <c r="B799" s="65"/>
      <c r="C799" s="65"/>
      <c r="D799" s="65"/>
      <c r="E799" s="65"/>
      <c r="F799" s="65"/>
      <c r="G799" s="65"/>
      <c r="H799" s="65"/>
      <c r="I799" s="65"/>
      <c r="J799" s="108"/>
      <c r="K799" s="103"/>
      <c r="L799" s="65"/>
      <c r="M799" s="65"/>
      <c r="N799" s="65"/>
    </row>
    <row r="800">
      <c r="A800" s="61"/>
      <c r="B800" s="61"/>
      <c r="C800" s="61"/>
      <c r="D800" s="61"/>
      <c r="E800" s="61"/>
      <c r="F800" s="61"/>
      <c r="G800" s="61"/>
      <c r="H800" s="61"/>
      <c r="I800" s="61"/>
      <c r="J800" s="107"/>
      <c r="K800" s="100"/>
      <c r="L800" s="61"/>
      <c r="M800" s="61"/>
      <c r="N800" s="61"/>
    </row>
    <row r="801">
      <c r="A801" s="65"/>
      <c r="B801" s="65"/>
      <c r="C801" s="65"/>
      <c r="D801" s="65"/>
      <c r="E801" s="65"/>
      <c r="F801" s="65"/>
      <c r="G801" s="65"/>
      <c r="H801" s="65"/>
      <c r="I801" s="65"/>
      <c r="J801" s="108"/>
      <c r="K801" s="103"/>
      <c r="L801" s="65"/>
      <c r="M801" s="65"/>
      <c r="N801" s="65"/>
    </row>
    <row r="802">
      <c r="A802" s="61"/>
      <c r="B802" s="61"/>
      <c r="C802" s="61"/>
      <c r="D802" s="61"/>
      <c r="E802" s="61"/>
      <c r="F802" s="61"/>
      <c r="G802" s="61"/>
      <c r="H802" s="61"/>
      <c r="I802" s="61"/>
      <c r="J802" s="107"/>
      <c r="K802" s="100"/>
      <c r="L802" s="61"/>
      <c r="M802" s="61"/>
      <c r="N802" s="61"/>
    </row>
    <row r="803">
      <c r="A803" s="65"/>
      <c r="B803" s="65"/>
      <c r="C803" s="65"/>
      <c r="D803" s="65"/>
      <c r="E803" s="65"/>
      <c r="F803" s="65"/>
      <c r="G803" s="65"/>
      <c r="H803" s="65"/>
      <c r="I803" s="65"/>
      <c r="J803" s="108"/>
      <c r="K803" s="103"/>
      <c r="L803" s="65"/>
      <c r="M803" s="65"/>
      <c r="N803" s="65"/>
    </row>
    <row r="804">
      <c r="A804" s="61"/>
      <c r="B804" s="61"/>
      <c r="C804" s="61"/>
      <c r="D804" s="61"/>
      <c r="E804" s="61"/>
      <c r="F804" s="61"/>
      <c r="G804" s="61"/>
      <c r="H804" s="61"/>
      <c r="I804" s="61"/>
      <c r="J804" s="107"/>
      <c r="K804" s="100"/>
      <c r="L804" s="61"/>
      <c r="M804" s="61"/>
      <c r="N804" s="61"/>
    </row>
    <row r="805">
      <c r="A805" s="65"/>
      <c r="B805" s="65"/>
      <c r="C805" s="65"/>
      <c r="D805" s="65"/>
      <c r="E805" s="65"/>
      <c r="F805" s="65"/>
      <c r="G805" s="65"/>
      <c r="H805" s="65"/>
      <c r="I805" s="65"/>
      <c r="J805" s="108"/>
      <c r="K805" s="103"/>
      <c r="L805" s="65"/>
      <c r="M805" s="65"/>
      <c r="N805" s="65"/>
    </row>
    <row r="806">
      <c r="A806" s="61"/>
      <c r="B806" s="61"/>
      <c r="C806" s="61"/>
      <c r="D806" s="61"/>
      <c r="E806" s="61"/>
      <c r="F806" s="61"/>
      <c r="G806" s="61"/>
      <c r="H806" s="61"/>
      <c r="I806" s="61"/>
      <c r="J806" s="107"/>
      <c r="K806" s="100"/>
      <c r="L806" s="61"/>
      <c r="M806" s="61"/>
      <c r="N806" s="61"/>
    </row>
    <row r="807">
      <c r="A807" s="65"/>
      <c r="B807" s="65"/>
      <c r="C807" s="65"/>
      <c r="D807" s="65"/>
      <c r="E807" s="65"/>
      <c r="F807" s="65"/>
      <c r="G807" s="65"/>
      <c r="H807" s="65"/>
      <c r="I807" s="65"/>
      <c r="J807" s="108"/>
      <c r="K807" s="103"/>
      <c r="L807" s="65"/>
      <c r="M807" s="65"/>
      <c r="N807" s="65"/>
    </row>
    <row r="808">
      <c r="A808" s="61"/>
      <c r="B808" s="61"/>
      <c r="C808" s="61"/>
      <c r="D808" s="61"/>
      <c r="E808" s="61"/>
      <c r="F808" s="61"/>
      <c r="G808" s="61"/>
      <c r="H808" s="61"/>
      <c r="I808" s="61"/>
      <c r="J808" s="107"/>
      <c r="K808" s="100"/>
      <c r="L808" s="61"/>
      <c r="M808" s="61"/>
      <c r="N808" s="61"/>
    </row>
    <row r="809">
      <c r="A809" s="65"/>
      <c r="B809" s="65"/>
      <c r="C809" s="65"/>
      <c r="D809" s="65"/>
      <c r="E809" s="65"/>
      <c r="F809" s="65"/>
      <c r="G809" s="65"/>
      <c r="H809" s="65"/>
      <c r="I809" s="65"/>
      <c r="J809" s="108"/>
      <c r="K809" s="103"/>
      <c r="L809" s="65"/>
      <c r="M809" s="65"/>
      <c r="N809" s="65"/>
    </row>
    <row r="810">
      <c r="A810" s="61"/>
      <c r="B810" s="61"/>
      <c r="C810" s="61"/>
      <c r="D810" s="61"/>
      <c r="E810" s="61"/>
      <c r="F810" s="61"/>
      <c r="G810" s="61"/>
      <c r="H810" s="61"/>
      <c r="I810" s="61"/>
      <c r="J810" s="107"/>
      <c r="K810" s="100"/>
      <c r="L810" s="61"/>
      <c r="M810" s="61"/>
      <c r="N810" s="61"/>
    </row>
    <row r="811">
      <c r="A811" s="65"/>
      <c r="B811" s="65"/>
      <c r="C811" s="65"/>
      <c r="D811" s="65"/>
      <c r="E811" s="65"/>
      <c r="F811" s="65"/>
      <c r="G811" s="65"/>
      <c r="H811" s="65"/>
      <c r="I811" s="65"/>
      <c r="J811" s="108"/>
      <c r="K811" s="103"/>
      <c r="L811" s="65"/>
      <c r="M811" s="65"/>
      <c r="N811" s="65"/>
    </row>
    <row r="812">
      <c r="A812" s="61"/>
      <c r="B812" s="61"/>
      <c r="C812" s="61"/>
      <c r="D812" s="61"/>
      <c r="E812" s="61"/>
      <c r="F812" s="61"/>
      <c r="G812" s="61"/>
      <c r="H812" s="61"/>
      <c r="I812" s="61"/>
      <c r="J812" s="107"/>
      <c r="K812" s="100"/>
      <c r="L812" s="61"/>
      <c r="M812" s="61"/>
      <c r="N812" s="61"/>
    </row>
    <row r="813">
      <c r="A813" s="65"/>
      <c r="B813" s="65"/>
      <c r="C813" s="65"/>
      <c r="D813" s="65"/>
      <c r="E813" s="65"/>
      <c r="F813" s="65"/>
      <c r="G813" s="65"/>
      <c r="H813" s="65"/>
      <c r="I813" s="65"/>
      <c r="J813" s="108"/>
      <c r="K813" s="103"/>
      <c r="L813" s="65"/>
      <c r="M813" s="65"/>
      <c r="N813" s="65"/>
    </row>
    <row r="814">
      <c r="A814" s="61"/>
      <c r="B814" s="61"/>
      <c r="C814" s="61"/>
      <c r="D814" s="61"/>
      <c r="E814" s="61"/>
      <c r="F814" s="61"/>
      <c r="G814" s="61"/>
      <c r="H814" s="61"/>
      <c r="I814" s="61"/>
      <c r="J814" s="107"/>
      <c r="K814" s="100"/>
      <c r="L814" s="61"/>
      <c r="M814" s="61"/>
      <c r="N814" s="61"/>
    </row>
    <row r="815">
      <c r="A815" s="65"/>
      <c r="B815" s="65"/>
      <c r="C815" s="65"/>
      <c r="D815" s="65"/>
      <c r="E815" s="65"/>
      <c r="F815" s="65"/>
      <c r="G815" s="65"/>
      <c r="H815" s="65"/>
      <c r="I815" s="65"/>
      <c r="J815" s="108"/>
      <c r="K815" s="103"/>
      <c r="L815" s="65"/>
      <c r="M815" s="65"/>
      <c r="N815" s="65"/>
    </row>
    <row r="816">
      <c r="A816" s="61"/>
      <c r="B816" s="61"/>
      <c r="C816" s="61"/>
      <c r="D816" s="61"/>
      <c r="E816" s="61"/>
      <c r="F816" s="61"/>
      <c r="G816" s="61"/>
      <c r="H816" s="61"/>
      <c r="I816" s="61"/>
      <c r="J816" s="107"/>
      <c r="K816" s="100"/>
      <c r="L816" s="61"/>
      <c r="M816" s="61"/>
      <c r="N816" s="61"/>
    </row>
    <row r="817">
      <c r="A817" s="65"/>
      <c r="B817" s="65"/>
      <c r="C817" s="65"/>
      <c r="D817" s="65"/>
      <c r="E817" s="65"/>
      <c r="F817" s="65"/>
      <c r="G817" s="65"/>
      <c r="H817" s="65"/>
      <c r="I817" s="65"/>
      <c r="J817" s="108"/>
      <c r="K817" s="103"/>
      <c r="L817" s="65"/>
      <c r="M817" s="65"/>
      <c r="N817" s="65"/>
    </row>
    <row r="818">
      <c r="A818" s="61"/>
      <c r="B818" s="61"/>
      <c r="C818" s="61"/>
      <c r="D818" s="61"/>
      <c r="E818" s="61"/>
      <c r="F818" s="61"/>
      <c r="G818" s="61"/>
      <c r="H818" s="61"/>
      <c r="I818" s="61"/>
      <c r="J818" s="107"/>
      <c r="K818" s="100"/>
      <c r="L818" s="61"/>
      <c r="M818" s="61"/>
      <c r="N818" s="61"/>
    </row>
    <row r="819">
      <c r="A819" s="65"/>
      <c r="B819" s="65"/>
      <c r="C819" s="65"/>
      <c r="D819" s="65"/>
      <c r="E819" s="65"/>
      <c r="F819" s="65"/>
      <c r="G819" s="65"/>
      <c r="H819" s="65"/>
      <c r="I819" s="65"/>
      <c r="J819" s="108"/>
      <c r="K819" s="103"/>
      <c r="L819" s="65"/>
      <c r="M819" s="65"/>
      <c r="N819" s="65"/>
    </row>
    <row r="820">
      <c r="A820" s="61"/>
      <c r="B820" s="61"/>
      <c r="C820" s="61"/>
      <c r="D820" s="61"/>
      <c r="E820" s="61"/>
      <c r="F820" s="61"/>
      <c r="G820" s="61"/>
      <c r="H820" s="61"/>
      <c r="I820" s="61"/>
      <c r="J820" s="107"/>
      <c r="K820" s="100"/>
      <c r="L820" s="61"/>
      <c r="M820" s="61"/>
      <c r="N820" s="61"/>
    </row>
    <row r="821">
      <c r="A821" s="65"/>
      <c r="B821" s="65"/>
      <c r="C821" s="65"/>
      <c r="D821" s="65"/>
      <c r="E821" s="65"/>
      <c r="F821" s="65"/>
      <c r="G821" s="65"/>
      <c r="H821" s="65"/>
      <c r="I821" s="65"/>
      <c r="J821" s="108"/>
      <c r="K821" s="103"/>
      <c r="L821" s="65"/>
      <c r="M821" s="65"/>
      <c r="N821" s="65"/>
    </row>
    <row r="822">
      <c r="A822" s="61"/>
      <c r="B822" s="61"/>
      <c r="C822" s="61"/>
      <c r="D822" s="61"/>
      <c r="E822" s="61"/>
      <c r="F822" s="61"/>
      <c r="G822" s="61"/>
      <c r="H822" s="61"/>
      <c r="I822" s="61"/>
      <c r="J822" s="107"/>
      <c r="K822" s="100"/>
      <c r="L822" s="61"/>
      <c r="M822" s="61"/>
      <c r="N822" s="61"/>
    </row>
    <row r="823">
      <c r="A823" s="65"/>
      <c r="B823" s="65"/>
      <c r="C823" s="65"/>
      <c r="D823" s="65"/>
      <c r="E823" s="65"/>
      <c r="F823" s="65"/>
      <c r="G823" s="65"/>
      <c r="H823" s="65"/>
      <c r="I823" s="65"/>
      <c r="J823" s="108"/>
      <c r="K823" s="103"/>
      <c r="L823" s="65"/>
      <c r="M823" s="65"/>
      <c r="N823" s="65"/>
    </row>
    <row r="824">
      <c r="A824" s="61"/>
      <c r="B824" s="61"/>
      <c r="C824" s="61"/>
      <c r="D824" s="61"/>
      <c r="E824" s="61"/>
      <c r="F824" s="61"/>
      <c r="G824" s="61"/>
      <c r="H824" s="61"/>
      <c r="I824" s="61"/>
      <c r="J824" s="107"/>
      <c r="K824" s="100"/>
      <c r="L824" s="61"/>
      <c r="M824" s="61"/>
      <c r="N824" s="61"/>
    </row>
    <row r="825">
      <c r="A825" s="65"/>
      <c r="B825" s="65"/>
      <c r="C825" s="65"/>
      <c r="D825" s="65"/>
      <c r="E825" s="65"/>
      <c r="F825" s="65"/>
      <c r="G825" s="65"/>
      <c r="H825" s="65"/>
      <c r="I825" s="65"/>
      <c r="J825" s="108"/>
      <c r="K825" s="103"/>
      <c r="L825" s="65"/>
      <c r="M825" s="65"/>
      <c r="N825" s="65"/>
    </row>
    <row r="826">
      <c r="A826" s="61"/>
      <c r="B826" s="61"/>
      <c r="C826" s="61"/>
      <c r="D826" s="61"/>
      <c r="E826" s="61"/>
      <c r="F826" s="61"/>
      <c r="G826" s="61"/>
      <c r="H826" s="61"/>
      <c r="I826" s="61"/>
      <c r="J826" s="107"/>
      <c r="K826" s="100"/>
      <c r="L826" s="61"/>
      <c r="M826" s="61"/>
      <c r="N826" s="61"/>
    </row>
    <row r="827">
      <c r="A827" s="65"/>
      <c r="B827" s="65"/>
      <c r="C827" s="65"/>
      <c r="D827" s="65"/>
      <c r="E827" s="65"/>
      <c r="F827" s="65"/>
      <c r="G827" s="65"/>
      <c r="H827" s="65"/>
      <c r="I827" s="65"/>
      <c r="J827" s="108"/>
      <c r="K827" s="103"/>
      <c r="L827" s="65"/>
      <c r="M827" s="65"/>
      <c r="N827" s="65"/>
    </row>
    <row r="828">
      <c r="A828" s="61"/>
      <c r="B828" s="61"/>
      <c r="C828" s="61"/>
      <c r="D828" s="61"/>
      <c r="E828" s="61"/>
      <c r="F828" s="61"/>
      <c r="G828" s="61"/>
      <c r="H828" s="61"/>
      <c r="I828" s="61"/>
      <c r="J828" s="107"/>
      <c r="K828" s="100"/>
      <c r="L828" s="61"/>
      <c r="M828" s="61"/>
      <c r="N828" s="61"/>
    </row>
    <row r="829">
      <c r="A829" s="65"/>
      <c r="B829" s="65"/>
      <c r="C829" s="65"/>
      <c r="D829" s="65"/>
      <c r="E829" s="65"/>
      <c r="F829" s="65"/>
      <c r="G829" s="65"/>
      <c r="H829" s="65"/>
      <c r="I829" s="65"/>
      <c r="J829" s="108"/>
      <c r="K829" s="103"/>
      <c r="L829" s="65"/>
      <c r="M829" s="65"/>
      <c r="N829" s="65"/>
    </row>
    <row r="830">
      <c r="A830" s="61"/>
      <c r="B830" s="61"/>
      <c r="C830" s="61"/>
      <c r="D830" s="61"/>
      <c r="E830" s="61"/>
      <c r="F830" s="61"/>
      <c r="G830" s="61"/>
      <c r="H830" s="61"/>
      <c r="I830" s="61"/>
      <c r="J830" s="107"/>
      <c r="K830" s="100"/>
      <c r="L830" s="61"/>
      <c r="M830" s="61"/>
      <c r="N830" s="61"/>
    </row>
    <row r="831">
      <c r="A831" s="65"/>
      <c r="B831" s="65"/>
      <c r="C831" s="65"/>
      <c r="D831" s="65"/>
      <c r="E831" s="65"/>
      <c r="F831" s="65"/>
      <c r="G831" s="65"/>
      <c r="H831" s="65"/>
      <c r="I831" s="65"/>
      <c r="J831" s="108"/>
      <c r="K831" s="103"/>
      <c r="L831" s="65"/>
      <c r="M831" s="65"/>
      <c r="N831" s="65"/>
    </row>
    <row r="832">
      <c r="A832" s="61"/>
      <c r="B832" s="61"/>
      <c r="C832" s="61"/>
      <c r="D832" s="61"/>
      <c r="E832" s="61"/>
      <c r="F832" s="61"/>
      <c r="G832" s="61"/>
      <c r="H832" s="61"/>
      <c r="I832" s="61"/>
      <c r="J832" s="107"/>
      <c r="K832" s="100"/>
      <c r="L832" s="61"/>
      <c r="M832" s="61"/>
      <c r="N832" s="61"/>
    </row>
    <row r="833">
      <c r="A833" s="65"/>
      <c r="B833" s="65"/>
      <c r="C833" s="65"/>
      <c r="D833" s="65"/>
      <c r="E833" s="65"/>
      <c r="F833" s="65"/>
      <c r="G833" s="65"/>
      <c r="H833" s="65"/>
      <c r="I833" s="65"/>
      <c r="J833" s="108"/>
      <c r="K833" s="103"/>
      <c r="L833" s="65"/>
      <c r="M833" s="65"/>
      <c r="N833" s="65"/>
    </row>
    <row r="834">
      <c r="A834" s="61"/>
      <c r="B834" s="61"/>
      <c r="C834" s="61"/>
      <c r="D834" s="61"/>
      <c r="E834" s="61"/>
      <c r="F834" s="61"/>
      <c r="G834" s="61"/>
      <c r="H834" s="61"/>
      <c r="I834" s="61"/>
      <c r="J834" s="107"/>
      <c r="K834" s="100"/>
      <c r="L834" s="61"/>
      <c r="M834" s="61"/>
      <c r="N834" s="61"/>
    </row>
    <row r="835">
      <c r="A835" s="65"/>
      <c r="B835" s="65"/>
      <c r="C835" s="65"/>
      <c r="D835" s="65"/>
      <c r="E835" s="65"/>
      <c r="F835" s="65"/>
      <c r="G835" s="65"/>
      <c r="H835" s="65"/>
      <c r="I835" s="65"/>
      <c r="J835" s="108"/>
      <c r="K835" s="103"/>
      <c r="L835" s="65"/>
      <c r="M835" s="65"/>
      <c r="N835" s="65"/>
    </row>
    <row r="836">
      <c r="A836" s="61"/>
      <c r="B836" s="61"/>
      <c r="C836" s="61"/>
      <c r="D836" s="61"/>
      <c r="E836" s="61"/>
      <c r="F836" s="61"/>
      <c r="G836" s="61"/>
      <c r="H836" s="61"/>
      <c r="I836" s="61"/>
      <c r="J836" s="107"/>
      <c r="K836" s="100"/>
      <c r="L836" s="61"/>
      <c r="M836" s="61"/>
      <c r="N836" s="61"/>
    </row>
    <row r="837">
      <c r="A837" s="65"/>
      <c r="B837" s="65"/>
      <c r="C837" s="65"/>
      <c r="D837" s="65"/>
      <c r="E837" s="65"/>
      <c r="F837" s="65"/>
      <c r="G837" s="65"/>
      <c r="H837" s="65"/>
      <c r="I837" s="65"/>
      <c r="J837" s="108"/>
      <c r="K837" s="103"/>
      <c r="L837" s="65"/>
      <c r="M837" s="65"/>
      <c r="N837" s="65"/>
    </row>
    <row r="838">
      <c r="A838" s="61"/>
      <c r="B838" s="61"/>
      <c r="C838" s="61"/>
      <c r="D838" s="61"/>
      <c r="E838" s="61"/>
      <c r="F838" s="61"/>
      <c r="G838" s="61"/>
      <c r="H838" s="61"/>
      <c r="I838" s="61"/>
      <c r="J838" s="107"/>
      <c r="K838" s="100"/>
      <c r="L838" s="61"/>
      <c r="M838" s="61"/>
      <c r="N838" s="61"/>
    </row>
    <row r="839">
      <c r="A839" s="65"/>
      <c r="B839" s="65"/>
      <c r="C839" s="65"/>
      <c r="D839" s="65"/>
      <c r="E839" s="65"/>
      <c r="F839" s="65"/>
      <c r="G839" s="65"/>
      <c r="H839" s="65"/>
      <c r="I839" s="65"/>
      <c r="J839" s="108"/>
      <c r="K839" s="103"/>
      <c r="L839" s="65"/>
      <c r="M839" s="65"/>
      <c r="N839" s="65"/>
    </row>
    <row r="840">
      <c r="A840" s="61"/>
      <c r="B840" s="61"/>
      <c r="C840" s="61"/>
      <c r="D840" s="61"/>
      <c r="E840" s="61"/>
      <c r="F840" s="61"/>
      <c r="G840" s="61"/>
      <c r="H840" s="61"/>
      <c r="I840" s="61"/>
      <c r="J840" s="107"/>
      <c r="K840" s="100"/>
      <c r="L840" s="61"/>
      <c r="M840" s="61"/>
      <c r="N840" s="61"/>
    </row>
    <row r="841">
      <c r="A841" s="65"/>
      <c r="B841" s="65"/>
      <c r="C841" s="65"/>
      <c r="D841" s="65"/>
      <c r="E841" s="65"/>
      <c r="F841" s="65"/>
      <c r="G841" s="65"/>
      <c r="H841" s="65"/>
      <c r="I841" s="65"/>
      <c r="J841" s="108"/>
      <c r="K841" s="103"/>
      <c r="L841" s="65"/>
      <c r="M841" s="65"/>
      <c r="N841" s="65"/>
    </row>
    <row r="842">
      <c r="A842" s="61"/>
      <c r="B842" s="61"/>
      <c r="C842" s="61"/>
      <c r="D842" s="61"/>
      <c r="E842" s="61"/>
      <c r="F842" s="61"/>
      <c r="G842" s="61"/>
      <c r="H842" s="61"/>
      <c r="I842" s="61"/>
      <c r="J842" s="107"/>
      <c r="K842" s="100"/>
      <c r="L842" s="61"/>
      <c r="M842" s="61"/>
      <c r="N842" s="61"/>
    </row>
    <row r="843">
      <c r="A843" s="65"/>
      <c r="B843" s="65"/>
      <c r="C843" s="65"/>
      <c r="D843" s="65"/>
      <c r="E843" s="65"/>
      <c r="F843" s="65"/>
      <c r="G843" s="65"/>
      <c r="H843" s="65"/>
      <c r="I843" s="65"/>
      <c r="J843" s="108"/>
      <c r="K843" s="103"/>
      <c r="L843" s="65"/>
      <c r="M843" s="65"/>
      <c r="N843" s="65"/>
    </row>
    <row r="844">
      <c r="A844" s="61"/>
      <c r="B844" s="61"/>
      <c r="C844" s="61"/>
      <c r="D844" s="61"/>
      <c r="E844" s="61"/>
      <c r="F844" s="61"/>
      <c r="G844" s="61"/>
      <c r="H844" s="61"/>
      <c r="I844" s="61"/>
      <c r="J844" s="107"/>
      <c r="K844" s="100"/>
      <c r="L844" s="61"/>
      <c r="M844" s="61"/>
      <c r="N844" s="61"/>
    </row>
    <row r="845">
      <c r="A845" s="65"/>
      <c r="B845" s="65"/>
      <c r="C845" s="65"/>
      <c r="D845" s="65"/>
      <c r="E845" s="65"/>
      <c r="F845" s="65"/>
      <c r="G845" s="65"/>
      <c r="H845" s="65"/>
      <c r="I845" s="65"/>
      <c r="J845" s="108"/>
      <c r="K845" s="103"/>
      <c r="L845" s="65"/>
      <c r="M845" s="65"/>
      <c r="N845" s="65"/>
    </row>
    <row r="846">
      <c r="A846" s="61"/>
      <c r="B846" s="61"/>
      <c r="C846" s="61"/>
      <c r="D846" s="61"/>
      <c r="E846" s="61"/>
      <c r="F846" s="61"/>
      <c r="G846" s="61"/>
      <c r="H846" s="61"/>
      <c r="I846" s="61"/>
      <c r="J846" s="107"/>
      <c r="K846" s="100"/>
      <c r="L846" s="61"/>
      <c r="M846" s="61"/>
      <c r="N846" s="61"/>
    </row>
    <row r="847">
      <c r="A847" s="65"/>
      <c r="B847" s="65"/>
      <c r="C847" s="65"/>
      <c r="D847" s="65"/>
      <c r="E847" s="65"/>
      <c r="F847" s="65"/>
      <c r="G847" s="65"/>
      <c r="H847" s="65"/>
      <c r="I847" s="65"/>
      <c r="J847" s="108"/>
      <c r="K847" s="103"/>
      <c r="L847" s="65"/>
      <c r="M847" s="65"/>
      <c r="N847" s="65"/>
    </row>
    <row r="848">
      <c r="A848" s="61"/>
      <c r="B848" s="61"/>
      <c r="C848" s="61"/>
      <c r="D848" s="61"/>
      <c r="E848" s="61"/>
      <c r="F848" s="61"/>
      <c r="G848" s="61"/>
      <c r="H848" s="61"/>
      <c r="I848" s="61"/>
      <c r="J848" s="107"/>
      <c r="K848" s="100"/>
      <c r="L848" s="61"/>
      <c r="M848" s="61"/>
      <c r="N848" s="61"/>
    </row>
    <row r="849">
      <c r="A849" s="65"/>
      <c r="B849" s="65"/>
      <c r="C849" s="65"/>
      <c r="D849" s="65"/>
      <c r="E849" s="65"/>
      <c r="F849" s="65"/>
      <c r="G849" s="65"/>
      <c r="H849" s="65"/>
      <c r="I849" s="65"/>
      <c r="J849" s="108"/>
      <c r="K849" s="103"/>
      <c r="L849" s="65"/>
      <c r="M849" s="65"/>
      <c r="N849" s="65"/>
    </row>
    <row r="850">
      <c r="A850" s="61"/>
      <c r="B850" s="61"/>
      <c r="C850" s="61"/>
      <c r="D850" s="61"/>
      <c r="E850" s="61"/>
      <c r="F850" s="61"/>
      <c r="G850" s="61"/>
      <c r="H850" s="61"/>
      <c r="I850" s="61"/>
      <c r="J850" s="107"/>
      <c r="K850" s="100"/>
      <c r="L850" s="61"/>
      <c r="M850" s="61"/>
      <c r="N850" s="61"/>
    </row>
    <row r="851">
      <c r="A851" s="65"/>
      <c r="B851" s="65"/>
      <c r="C851" s="65"/>
      <c r="D851" s="65"/>
      <c r="E851" s="65"/>
      <c r="F851" s="65"/>
      <c r="G851" s="65"/>
      <c r="H851" s="65"/>
      <c r="I851" s="65"/>
      <c r="J851" s="108"/>
      <c r="K851" s="103"/>
      <c r="L851" s="65"/>
      <c r="M851" s="65"/>
      <c r="N851" s="65"/>
    </row>
    <row r="852">
      <c r="A852" s="61"/>
      <c r="B852" s="61"/>
      <c r="C852" s="61"/>
      <c r="D852" s="61"/>
      <c r="E852" s="61"/>
      <c r="F852" s="61"/>
      <c r="G852" s="61"/>
      <c r="H852" s="61"/>
      <c r="I852" s="61"/>
      <c r="J852" s="107"/>
      <c r="K852" s="100"/>
      <c r="L852" s="61"/>
      <c r="M852" s="61"/>
      <c r="N852" s="61"/>
    </row>
    <row r="853">
      <c r="A853" s="65"/>
      <c r="B853" s="65"/>
      <c r="C853" s="65"/>
      <c r="D853" s="65"/>
      <c r="E853" s="65"/>
      <c r="F853" s="65"/>
      <c r="G853" s="65"/>
      <c r="H853" s="65"/>
      <c r="I853" s="65"/>
      <c r="J853" s="108"/>
      <c r="K853" s="103"/>
      <c r="L853" s="65"/>
      <c r="M853" s="65"/>
      <c r="N853" s="65"/>
    </row>
    <row r="854">
      <c r="A854" s="61"/>
      <c r="B854" s="61"/>
      <c r="C854" s="61"/>
      <c r="D854" s="61"/>
      <c r="E854" s="61"/>
      <c r="F854" s="61"/>
      <c r="G854" s="61"/>
      <c r="H854" s="61"/>
      <c r="I854" s="61"/>
      <c r="J854" s="107"/>
      <c r="K854" s="100"/>
      <c r="L854" s="61"/>
      <c r="M854" s="61"/>
      <c r="N854" s="61"/>
    </row>
    <row r="855">
      <c r="A855" s="65"/>
      <c r="B855" s="65"/>
      <c r="C855" s="65"/>
      <c r="D855" s="65"/>
      <c r="E855" s="65"/>
      <c r="F855" s="65"/>
      <c r="G855" s="65"/>
      <c r="H855" s="65"/>
      <c r="I855" s="65"/>
      <c r="J855" s="108"/>
      <c r="K855" s="103"/>
      <c r="L855" s="65"/>
      <c r="M855" s="65"/>
      <c r="N855" s="65"/>
    </row>
    <row r="856">
      <c r="A856" s="61"/>
      <c r="B856" s="61"/>
      <c r="C856" s="61"/>
      <c r="D856" s="61"/>
      <c r="E856" s="61"/>
      <c r="F856" s="61"/>
      <c r="G856" s="61"/>
      <c r="H856" s="61"/>
      <c r="I856" s="61"/>
      <c r="J856" s="107"/>
      <c r="K856" s="100"/>
      <c r="L856" s="61"/>
      <c r="M856" s="61"/>
      <c r="N856" s="61"/>
    </row>
    <row r="857">
      <c r="A857" s="65"/>
      <c r="B857" s="65"/>
      <c r="C857" s="65"/>
      <c r="D857" s="65"/>
      <c r="E857" s="65"/>
      <c r="F857" s="65"/>
      <c r="G857" s="65"/>
      <c r="H857" s="65"/>
      <c r="I857" s="65"/>
      <c r="J857" s="108"/>
      <c r="K857" s="103"/>
      <c r="L857" s="65"/>
      <c r="M857" s="65"/>
      <c r="N857" s="65"/>
    </row>
    <row r="858">
      <c r="A858" s="61"/>
      <c r="B858" s="61"/>
      <c r="C858" s="61"/>
      <c r="D858" s="61"/>
      <c r="E858" s="61"/>
      <c r="F858" s="61"/>
      <c r="G858" s="61"/>
      <c r="H858" s="61"/>
      <c r="I858" s="61"/>
      <c r="J858" s="107"/>
      <c r="K858" s="100"/>
      <c r="L858" s="61"/>
      <c r="M858" s="61"/>
      <c r="N858" s="61"/>
    </row>
    <row r="859">
      <c r="A859" s="65"/>
      <c r="B859" s="65"/>
      <c r="C859" s="65"/>
      <c r="D859" s="65"/>
      <c r="E859" s="65"/>
      <c r="F859" s="65"/>
      <c r="G859" s="65"/>
      <c r="H859" s="65"/>
      <c r="I859" s="65"/>
      <c r="J859" s="108"/>
      <c r="K859" s="103"/>
      <c r="L859" s="65"/>
      <c r="M859" s="65"/>
      <c r="N859" s="65"/>
    </row>
    <row r="860">
      <c r="A860" s="61"/>
      <c r="B860" s="61"/>
      <c r="C860" s="61"/>
      <c r="D860" s="61"/>
      <c r="E860" s="61"/>
      <c r="F860" s="61"/>
      <c r="G860" s="61"/>
      <c r="H860" s="61"/>
      <c r="I860" s="61"/>
      <c r="J860" s="107"/>
      <c r="K860" s="100"/>
      <c r="L860" s="61"/>
      <c r="M860" s="61"/>
      <c r="N860" s="61"/>
    </row>
    <row r="861">
      <c r="A861" s="65"/>
      <c r="B861" s="65"/>
      <c r="C861" s="65"/>
      <c r="D861" s="65"/>
      <c r="E861" s="65"/>
      <c r="F861" s="65"/>
      <c r="G861" s="65"/>
      <c r="H861" s="65"/>
      <c r="I861" s="65"/>
      <c r="J861" s="108"/>
      <c r="K861" s="103"/>
      <c r="L861" s="65"/>
      <c r="M861" s="65"/>
      <c r="N861" s="65"/>
    </row>
    <row r="862">
      <c r="A862" s="61"/>
      <c r="B862" s="61"/>
      <c r="C862" s="61"/>
      <c r="D862" s="61"/>
      <c r="E862" s="61"/>
      <c r="F862" s="61"/>
      <c r="G862" s="61"/>
      <c r="H862" s="61"/>
      <c r="I862" s="61"/>
      <c r="J862" s="107"/>
      <c r="K862" s="100"/>
      <c r="L862" s="61"/>
      <c r="M862" s="61"/>
      <c r="N862" s="61"/>
    </row>
    <row r="863">
      <c r="A863" s="65"/>
      <c r="B863" s="65"/>
      <c r="C863" s="65"/>
      <c r="D863" s="65"/>
      <c r="E863" s="65"/>
      <c r="F863" s="65"/>
      <c r="G863" s="65"/>
      <c r="H863" s="65"/>
      <c r="I863" s="65"/>
      <c r="J863" s="108"/>
      <c r="K863" s="103"/>
      <c r="L863" s="65"/>
      <c r="M863" s="65"/>
      <c r="N863" s="65"/>
    </row>
    <row r="864">
      <c r="A864" s="61"/>
      <c r="B864" s="61"/>
      <c r="C864" s="61"/>
      <c r="D864" s="61"/>
      <c r="E864" s="61"/>
      <c r="F864" s="61"/>
      <c r="G864" s="61"/>
      <c r="H864" s="61"/>
      <c r="I864" s="61"/>
      <c r="J864" s="107"/>
      <c r="K864" s="100"/>
      <c r="L864" s="61"/>
      <c r="M864" s="61"/>
      <c r="N864" s="61"/>
    </row>
    <row r="865">
      <c r="A865" s="65"/>
      <c r="B865" s="65"/>
      <c r="C865" s="65"/>
      <c r="D865" s="65"/>
      <c r="E865" s="65"/>
      <c r="F865" s="65"/>
      <c r="G865" s="65"/>
      <c r="H865" s="65"/>
      <c r="I865" s="65"/>
      <c r="J865" s="108"/>
      <c r="K865" s="103"/>
      <c r="L865" s="65"/>
      <c r="M865" s="65"/>
      <c r="N865" s="65"/>
    </row>
    <row r="866">
      <c r="A866" s="61"/>
      <c r="B866" s="61"/>
      <c r="C866" s="61"/>
      <c r="D866" s="61"/>
      <c r="E866" s="61"/>
      <c r="F866" s="61"/>
      <c r="G866" s="61"/>
      <c r="H866" s="61"/>
      <c r="I866" s="61"/>
      <c r="J866" s="107"/>
      <c r="K866" s="100"/>
      <c r="L866" s="61"/>
      <c r="M866" s="61"/>
      <c r="N866" s="61"/>
    </row>
    <row r="867">
      <c r="A867" s="65"/>
      <c r="B867" s="65"/>
      <c r="C867" s="65"/>
      <c r="D867" s="65"/>
      <c r="E867" s="65"/>
      <c r="F867" s="65"/>
      <c r="G867" s="65"/>
      <c r="H867" s="65"/>
      <c r="I867" s="65"/>
      <c r="J867" s="108"/>
      <c r="K867" s="103"/>
      <c r="L867" s="65"/>
      <c r="M867" s="65"/>
      <c r="N867" s="65"/>
    </row>
    <row r="868">
      <c r="A868" s="61"/>
      <c r="B868" s="61"/>
      <c r="C868" s="61"/>
      <c r="D868" s="61"/>
      <c r="E868" s="61"/>
      <c r="F868" s="61"/>
      <c r="G868" s="61"/>
      <c r="H868" s="61"/>
      <c r="I868" s="61"/>
      <c r="J868" s="107"/>
      <c r="K868" s="100"/>
      <c r="L868" s="61"/>
      <c r="M868" s="61"/>
      <c r="N868" s="61"/>
    </row>
    <row r="869">
      <c r="A869" s="65"/>
      <c r="B869" s="65"/>
      <c r="C869" s="65"/>
      <c r="D869" s="65"/>
      <c r="E869" s="65"/>
      <c r="F869" s="65"/>
      <c r="G869" s="65"/>
      <c r="H869" s="65"/>
      <c r="I869" s="65"/>
      <c r="J869" s="108"/>
      <c r="K869" s="103"/>
      <c r="L869" s="65"/>
      <c r="M869" s="65"/>
      <c r="N869" s="65"/>
    </row>
    <row r="870">
      <c r="A870" s="61"/>
      <c r="B870" s="61"/>
      <c r="C870" s="61"/>
      <c r="D870" s="61"/>
      <c r="E870" s="61"/>
      <c r="F870" s="61"/>
      <c r="G870" s="61"/>
      <c r="H870" s="61"/>
      <c r="I870" s="61"/>
      <c r="J870" s="107"/>
      <c r="K870" s="100"/>
      <c r="L870" s="61"/>
      <c r="M870" s="61"/>
      <c r="N870" s="61"/>
    </row>
    <row r="871">
      <c r="A871" s="65"/>
      <c r="B871" s="65"/>
      <c r="C871" s="65"/>
      <c r="D871" s="65"/>
      <c r="E871" s="65"/>
      <c r="F871" s="65"/>
      <c r="G871" s="65"/>
      <c r="H871" s="65"/>
      <c r="I871" s="65"/>
      <c r="J871" s="108"/>
      <c r="K871" s="103"/>
      <c r="L871" s="65"/>
      <c r="M871" s="65"/>
      <c r="N871" s="65"/>
    </row>
    <row r="872">
      <c r="A872" s="61"/>
      <c r="B872" s="61"/>
      <c r="C872" s="61"/>
      <c r="D872" s="61"/>
      <c r="E872" s="61"/>
      <c r="F872" s="61"/>
      <c r="G872" s="61"/>
      <c r="H872" s="61"/>
      <c r="I872" s="61"/>
      <c r="J872" s="107"/>
      <c r="K872" s="100"/>
      <c r="L872" s="61"/>
      <c r="M872" s="61"/>
      <c r="N872" s="61"/>
    </row>
    <row r="873">
      <c r="A873" s="65"/>
      <c r="B873" s="65"/>
      <c r="C873" s="65"/>
      <c r="D873" s="65"/>
      <c r="E873" s="65"/>
      <c r="F873" s="65"/>
      <c r="G873" s="65"/>
      <c r="H873" s="65"/>
      <c r="I873" s="65"/>
      <c r="J873" s="108"/>
      <c r="K873" s="103"/>
      <c r="L873" s="65"/>
      <c r="M873" s="65"/>
      <c r="N873" s="65"/>
    </row>
    <row r="874">
      <c r="A874" s="61"/>
      <c r="B874" s="61"/>
      <c r="C874" s="61"/>
      <c r="D874" s="61"/>
      <c r="E874" s="61"/>
      <c r="F874" s="61"/>
      <c r="G874" s="61"/>
      <c r="H874" s="61"/>
      <c r="I874" s="61"/>
      <c r="J874" s="107"/>
      <c r="K874" s="100"/>
      <c r="L874" s="61"/>
      <c r="M874" s="61"/>
      <c r="N874" s="61"/>
    </row>
    <row r="875">
      <c r="A875" s="65"/>
      <c r="B875" s="65"/>
      <c r="C875" s="65"/>
      <c r="D875" s="65"/>
      <c r="E875" s="65"/>
      <c r="F875" s="65"/>
      <c r="G875" s="65"/>
      <c r="H875" s="65"/>
      <c r="I875" s="65"/>
      <c r="J875" s="108"/>
      <c r="K875" s="103"/>
      <c r="L875" s="65"/>
      <c r="M875" s="65"/>
      <c r="N875" s="65"/>
    </row>
    <row r="876">
      <c r="A876" s="61"/>
      <c r="B876" s="61"/>
      <c r="C876" s="61"/>
      <c r="D876" s="61"/>
      <c r="E876" s="61"/>
      <c r="F876" s="61"/>
      <c r="G876" s="61"/>
      <c r="H876" s="61"/>
      <c r="I876" s="61"/>
      <c r="J876" s="107"/>
      <c r="K876" s="100"/>
      <c r="L876" s="61"/>
      <c r="M876" s="61"/>
      <c r="N876" s="61"/>
    </row>
    <row r="877">
      <c r="A877" s="65"/>
      <c r="B877" s="65"/>
      <c r="C877" s="65"/>
      <c r="D877" s="65"/>
      <c r="E877" s="65"/>
      <c r="F877" s="65"/>
      <c r="G877" s="65"/>
      <c r="H877" s="65"/>
      <c r="I877" s="65"/>
      <c r="J877" s="108"/>
      <c r="K877" s="103"/>
      <c r="L877" s="65"/>
      <c r="M877" s="65"/>
      <c r="N877" s="65"/>
    </row>
    <row r="878">
      <c r="A878" s="61"/>
      <c r="B878" s="61"/>
      <c r="C878" s="61"/>
      <c r="D878" s="61"/>
      <c r="E878" s="61"/>
      <c r="F878" s="61"/>
      <c r="G878" s="61"/>
      <c r="H878" s="61"/>
      <c r="I878" s="61"/>
      <c r="J878" s="107"/>
      <c r="K878" s="100"/>
      <c r="L878" s="61"/>
      <c r="M878" s="61"/>
      <c r="N878" s="61"/>
    </row>
    <row r="879">
      <c r="A879" s="65"/>
      <c r="B879" s="65"/>
      <c r="C879" s="65"/>
      <c r="D879" s="65"/>
      <c r="E879" s="65"/>
      <c r="F879" s="65"/>
      <c r="G879" s="65"/>
      <c r="H879" s="65"/>
      <c r="I879" s="65"/>
      <c r="J879" s="108"/>
      <c r="K879" s="103"/>
      <c r="L879" s="65"/>
      <c r="M879" s="65"/>
      <c r="N879" s="65"/>
    </row>
    <row r="880">
      <c r="A880" s="61"/>
      <c r="B880" s="61"/>
      <c r="C880" s="61"/>
      <c r="D880" s="61"/>
      <c r="E880" s="61"/>
      <c r="F880" s="61"/>
      <c r="G880" s="61"/>
      <c r="H880" s="61"/>
      <c r="I880" s="61"/>
      <c r="J880" s="107"/>
      <c r="K880" s="100"/>
      <c r="L880" s="61"/>
      <c r="M880" s="61"/>
      <c r="N880" s="61"/>
    </row>
    <row r="881">
      <c r="A881" s="65"/>
      <c r="B881" s="65"/>
      <c r="C881" s="65"/>
      <c r="D881" s="65"/>
      <c r="E881" s="65"/>
      <c r="F881" s="65"/>
      <c r="G881" s="65"/>
      <c r="H881" s="65"/>
      <c r="I881" s="65"/>
      <c r="J881" s="108"/>
      <c r="K881" s="103"/>
      <c r="L881" s="65"/>
      <c r="M881" s="65"/>
      <c r="N881" s="65"/>
    </row>
    <row r="882">
      <c r="A882" s="61"/>
      <c r="B882" s="61"/>
      <c r="C882" s="61"/>
      <c r="D882" s="61"/>
      <c r="E882" s="61"/>
      <c r="F882" s="61"/>
      <c r="G882" s="61"/>
      <c r="H882" s="61"/>
      <c r="I882" s="61"/>
      <c r="J882" s="107"/>
      <c r="K882" s="100"/>
      <c r="L882" s="61"/>
      <c r="M882" s="61"/>
      <c r="N882" s="61"/>
    </row>
    <row r="883">
      <c r="A883" s="65"/>
      <c r="B883" s="65"/>
      <c r="C883" s="65"/>
      <c r="D883" s="65"/>
      <c r="E883" s="65"/>
      <c r="F883" s="65"/>
      <c r="G883" s="65"/>
      <c r="H883" s="65"/>
      <c r="I883" s="65"/>
      <c r="J883" s="108"/>
      <c r="K883" s="103"/>
      <c r="L883" s="65"/>
      <c r="M883" s="65"/>
      <c r="N883" s="65"/>
    </row>
    <row r="884">
      <c r="A884" s="61"/>
      <c r="B884" s="61"/>
      <c r="C884" s="61"/>
      <c r="D884" s="61"/>
      <c r="E884" s="61"/>
      <c r="F884" s="61"/>
      <c r="G884" s="61"/>
      <c r="H884" s="61"/>
      <c r="I884" s="61"/>
      <c r="J884" s="107"/>
      <c r="K884" s="100"/>
      <c r="L884" s="61"/>
      <c r="M884" s="61"/>
      <c r="N884" s="61"/>
    </row>
    <row r="885">
      <c r="A885" s="65"/>
      <c r="B885" s="65"/>
      <c r="C885" s="65"/>
      <c r="D885" s="65"/>
      <c r="E885" s="65"/>
      <c r="F885" s="65"/>
      <c r="G885" s="65"/>
      <c r="H885" s="65"/>
      <c r="I885" s="65"/>
      <c r="J885" s="108"/>
      <c r="K885" s="103"/>
      <c r="L885" s="65"/>
      <c r="M885" s="65"/>
      <c r="N885" s="65"/>
    </row>
    <row r="886">
      <c r="A886" s="61"/>
      <c r="B886" s="61"/>
      <c r="C886" s="61"/>
      <c r="D886" s="61"/>
      <c r="E886" s="61"/>
      <c r="F886" s="61"/>
      <c r="G886" s="61"/>
      <c r="H886" s="61"/>
      <c r="I886" s="61"/>
      <c r="J886" s="107"/>
      <c r="K886" s="100"/>
      <c r="L886" s="61"/>
      <c r="M886" s="61"/>
      <c r="N886" s="61"/>
    </row>
    <row r="887">
      <c r="A887" s="65"/>
      <c r="B887" s="65"/>
      <c r="C887" s="65"/>
      <c r="D887" s="65"/>
      <c r="E887" s="65"/>
      <c r="F887" s="65"/>
      <c r="G887" s="65"/>
      <c r="H887" s="65"/>
      <c r="I887" s="65"/>
      <c r="J887" s="108"/>
      <c r="K887" s="103"/>
      <c r="L887" s="65"/>
      <c r="M887" s="65"/>
      <c r="N887" s="65"/>
    </row>
    <row r="888">
      <c r="A888" s="61"/>
      <c r="B888" s="61"/>
      <c r="C888" s="61"/>
      <c r="D888" s="61"/>
      <c r="E888" s="61"/>
      <c r="F888" s="61"/>
      <c r="G888" s="61"/>
      <c r="H888" s="61"/>
      <c r="I888" s="61"/>
      <c r="J888" s="107"/>
      <c r="K888" s="100"/>
      <c r="L888" s="61"/>
      <c r="M888" s="61"/>
      <c r="N888" s="61"/>
    </row>
    <row r="889">
      <c r="A889" s="65"/>
      <c r="B889" s="65"/>
      <c r="C889" s="65"/>
      <c r="D889" s="65"/>
      <c r="E889" s="65"/>
      <c r="F889" s="65"/>
      <c r="G889" s="65"/>
      <c r="H889" s="65"/>
      <c r="I889" s="65"/>
      <c r="J889" s="108"/>
      <c r="K889" s="103"/>
      <c r="L889" s="65"/>
      <c r="M889" s="65"/>
      <c r="N889" s="65"/>
    </row>
    <row r="890">
      <c r="A890" s="61"/>
      <c r="B890" s="61"/>
      <c r="C890" s="61"/>
      <c r="D890" s="61"/>
      <c r="E890" s="61"/>
      <c r="F890" s="61"/>
      <c r="G890" s="61"/>
      <c r="H890" s="61"/>
      <c r="I890" s="61"/>
      <c r="J890" s="107"/>
      <c r="K890" s="100"/>
      <c r="L890" s="61"/>
      <c r="M890" s="61"/>
      <c r="N890" s="61"/>
    </row>
    <row r="891">
      <c r="A891" s="65"/>
      <c r="B891" s="65"/>
      <c r="C891" s="65"/>
      <c r="D891" s="65"/>
      <c r="E891" s="65"/>
      <c r="F891" s="65"/>
      <c r="G891" s="65"/>
      <c r="H891" s="65"/>
      <c r="I891" s="65"/>
      <c r="J891" s="108"/>
      <c r="K891" s="103"/>
      <c r="L891" s="65"/>
      <c r="M891" s="65"/>
      <c r="N891" s="65"/>
    </row>
    <row r="892">
      <c r="A892" s="61"/>
      <c r="B892" s="61"/>
      <c r="C892" s="61"/>
      <c r="D892" s="61"/>
      <c r="E892" s="61"/>
      <c r="F892" s="61"/>
      <c r="G892" s="61"/>
      <c r="H892" s="61"/>
      <c r="I892" s="61"/>
      <c r="J892" s="107"/>
      <c r="K892" s="100"/>
      <c r="L892" s="61"/>
      <c r="M892" s="61"/>
      <c r="N892" s="61"/>
    </row>
    <row r="893">
      <c r="A893" s="65"/>
      <c r="B893" s="65"/>
      <c r="C893" s="65"/>
      <c r="D893" s="65"/>
      <c r="E893" s="65"/>
      <c r="F893" s="65"/>
      <c r="G893" s="65"/>
      <c r="H893" s="65"/>
      <c r="I893" s="65"/>
      <c r="J893" s="108"/>
      <c r="K893" s="103"/>
      <c r="L893" s="65"/>
      <c r="M893" s="65"/>
      <c r="N893" s="65"/>
    </row>
    <row r="894">
      <c r="A894" s="61"/>
      <c r="B894" s="61"/>
      <c r="C894" s="61"/>
      <c r="D894" s="61"/>
      <c r="E894" s="61"/>
      <c r="F894" s="61"/>
      <c r="G894" s="61"/>
      <c r="H894" s="61"/>
      <c r="I894" s="61"/>
      <c r="J894" s="107"/>
      <c r="K894" s="100"/>
      <c r="L894" s="61"/>
      <c r="M894" s="61"/>
      <c r="N894" s="61"/>
    </row>
    <row r="895">
      <c r="A895" s="65"/>
      <c r="B895" s="65"/>
      <c r="C895" s="65"/>
      <c r="D895" s="65"/>
      <c r="E895" s="65"/>
      <c r="F895" s="65"/>
      <c r="G895" s="65"/>
      <c r="H895" s="65"/>
      <c r="I895" s="65"/>
      <c r="J895" s="108"/>
      <c r="K895" s="103"/>
      <c r="L895" s="65"/>
      <c r="M895" s="65"/>
      <c r="N895" s="65"/>
    </row>
    <row r="896">
      <c r="A896" s="61"/>
      <c r="B896" s="61"/>
      <c r="C896" s="61"/>
      <c r="D896" s="61"/>
      <c r="E896" s="61"/>
      <c r="F896" s="61"/>
      <c r="G896" s="61"/>
      <c r="H896" s="61"/>
      <c r="I896" s="61"/>
      <c r="J896" s="107"/>
      <c r="K896" s="100"/>
      <c r="L896" s="61"/>
      <c r="M896" s="61"/>
      <c r="N896" s="61"/>
    </row>
    <row r="897">
      <c r="A897" s="65"/>
      <c r="B897" s="65"/>
      <c r="C897" s="65"/>
      <c r="D897" s="65"/>
      <c r="E897" s="65"/>
      <c r="F897" s="65"/>
      <c r="G897" s="65"/>
      <c r="H897" s="65"/>
      <c r="I897" s="65"/>
      <c r="J897" s="108"/>
      <c r="K897" s="103"/>
      <c r="L897" s="65"/>
      <c r="M897" s="65"/>
      <c r="N897" s="65"/>
    </row>
    <row r="898">
      <c r="A898" s="61"/>
      <c r="B898" s="61"/>
      <c r="C898" s="61"/>
      <c r="D898" s="61"/>
      <c r="E898" s="61"/>
      <c r="F898" s="61"/>
      <c r="G898" s="61"/>
      <c r="H898" s="61"/>
      <c r="I898" s="61"/>
      <c r="J898" s="107"/>
      <c r="K898" s="100"/>
      <c r="L898" s="61"/>
      <c r="M898" s="61"/>
      <c r="N898" s="61"/>
    </row>
    <row r="899">
      <c r="A899" s="65"/>
      <c r="B899" s="65"/>
      <c r="C899" s="65"/>
      <c r="D899" s="65"/>
      <c r="E899" s="65"/>
      <c r="F899" s="65"/>
      <c r="G899" s="65"/>
      <c r="H899" s="65"/>
      <c r="I899" s="65"/>
      <c r="J899" s="108"/>
      <c r="K899" s="103"/>
      <c r="L899" s="65"/>
      <c r="M899" s="65"/>
      <c r="N899" s="65"/>
    </row>
    <row r="900">
      <c r="A900" s="61"/>
      <c r="B900" s="61"/>
      <c r="C900" s="61"/>
      <c r="D900" s="61"/>
      <c r="E900" s="61"/>
      <c r="F900" s="61"/>
      <c r="G900" s="61"/>
      <c r="H900" s="61"/>
      <c r="I900" s="61"/>
      <c r="J900" s="107"/>
      <c r="K900" s="100"/>
      <c r="L900" s="61"/>
      <c r="M900" s="61"/>
      <c r="N900" s="61"/>
    </row>
    <row r="901">
      <c r="A901" s="65"/>
      <c r="B901" s="65"/>
      <c r="C901" s="65"/>
      <c r="D901" s="65"/>
      <c r="E901" s="65"/>
      <c r="F901" s="65"/>
      <c r="G901" s="65"/>
      <c r="H901" s="65"/>
      <c r="I901" s="65"/>
      <c r="J901" s="108"/>
      <c r="K901" s="103"/>
      <c r="L901" s="65"/>
      <c r="M901" s="65"/>
      <c r="N901" s="65"/>
    </row>
    <row r="902">
      <c r="A902" s="61"/>
      <c r="B902" s="61"/>
      <c r="C902" s="61"/>
      <c r="D902" s="61"/>
      <c r="E902" s="61"/>
      <c r="F902" s="61"/>
      <c r="G902" s="61"/>
      <c r="H902" s="61"/>
      <c r="I902" s="61"/>
      <c r="J902" s="107"/>
      <c r="K902" s="100"/>
      <c r="L902" s="61"/>
      <c r="M902" s="61"/>
      <c r="N902" s="61"/>
    </row>
    <row r="903">
      <c r="A903" s="65"/>
      <c r="B903" s="65"/>
      <c r="C903" s="65"/>
      <c r="D903" s="65"/>
      <c r="E903" s="65"/>
      <c r="F903" s="65"/>
      <c r="G903" s="65"/>
      <c r="H903" s="65"/>
      <c r="I903" s="65"/>
      <c r="J903" s="108"/>
      <c r="K903" s="103"/>
      <c r="L903" s="65"/>
      <c r="M903" s="65"/>
      <c r="N903" s="65"/>
    </row>
    <row r="904">
      <c r="A904" s="61"/>
      <c r="B904" s="61"/>
      <c r="C904" s="61"/>
      <c r="D904" s="61"/>
      <c r="E904" s="61"/>
      <c r="F904" s="61"/>
      <c r="G904" s="61"/>
      <c r="H904" s="61"/>
      <c r="I904" s="61"/>
      <c r="J904" s="107"/>
      <c r="K904" s="100"/>
      <c r="L904" s="61"/>
      <c r="M904" s="61"/>
      <c r="N904" s="61"/>
    </row>
    <row r="905">
      <c r="A905" s="65"/>
      <c r="B905" s="65"/>
      <c r="C905" s="65"/>
      <c r="D905" s="65"/>
      <c r="E905" s="65"/>
      <c r="F905" s="65"/>
      <c r="G905" s="65"/>
      <c r="H905" s="65"/>
      <c r="I905" s="65"/>
      <c r="J905" s="108"/>
      <c r="K905" s="103"/>
      <c r="L905" s="65"/>
      <c r="M905" s="65"/>
      <c r="N905" s="65"/>
    </row>
    <row r="906">
      <c r="A906" s="61"/>
      <c r="B906" s="61"/>
      <c r="C906" s="61"/>
      <c r="D906" s="61"/>
      <c r="E906" s="61"/>
      <c r="F906" s="61"/>
      <c r="G906" s="61"/>
      <c r="H906" s="61"/>
      <c r="I906" s="61"/>
      <c r="J906" s="107"/>
      <c r="K906" s="100"/>
      <c r="L906" s="61"/>
      <c r="M906" s="61"/>
      <c r="N906" s="61"/>
    </row>
    <row r="907">
      <c r="A907" s="65"/>
      <c r="B907" s="65"/>
      <c r="C907" s="65"/>
      <c r="D907" s="65"/>
      <c r="E907" s="65"/>
      <c r="F907" s="65"/>
      <c r="G907" s="65"/>
      <c r="H907" s="65"/>
      <c r="I907" s="65"/>
      <c r="J907" s="108"/>
      <c r="K907" s="103"/>
      <c r="L907" s="65"/>
      <c r="M907" s="65"/>
      <c r="N907" s="65"/>
    </row>
    <row r="908">
      <c r="A908" s="61"/>
      <c r="B908" s="61"/>
      <c r="C908" s="61"/>
      <c r="D908" s="61"/>
      <c r="E908" s="61"/>
      <c r="F908" s="61"/>
      <c r="G908" s="61"/>
      <c r="H908" s="61"/>
      <c r="I908" s="61"/>
      <c r="J908" s="107"/>
      <c r="K908" s="100"/>
      <c r="L908" s="61"/>
      <c r="M908" s="61"/>
      <c r="N908" s="61"/>
    </row>
    <row r="909">
      <c r="A909" s="65"/>
      <c r="B909" s="65"/>
      <c r="C909" s="65"/>
      <c r="D909" s="65"/>
      <c r="E909" s="65"/>
      <c r="F909" s="65"/>
      <c r="G909" s="65"/>
      <c r="H909" s="65"/>
      <c r="I909" s="65"/>
      <c r="J909" s="108"/>
      <c r="K909" s="103"/>
      <c r="L909" s="65"/>
      <c r="M909" s="65"/>
      <c r="N909" s="65"/>
    </row>
    <row r="910">
      <c r="A910" s="61"/>
      <c r="B910" s="61"/>
      <c r="C910" s="61"/>
      <c r="D910" s="61"/>
      <c r="E910" s="61"/>
      <c r="F910" s="61"/>
      <c r="G910" s="61"/>
      <c r="H910" s="61"/>
      <c r="I910" s="61"/>
      <c r="J910" s="107"/>
      <c r="K910" s="100"/>
      <c r="L910" s="61"/>
      <c r="M910" s="61"/>
      <c r="N910" s="61"/>
    </row>
    <row r="911">
      <c r="A911" s="65"/>
      <c r="B911" s="65"/>
      <c r="C911" s="65"/>
      <c r="D911" s="65"/>
      <c r="E911" s="65"/>
      <c r="F911" s="65"/>
      <c r="G911" s="65"/>
      <c r="H911" s="65"/>
      <c r="I911" s="65"/>
      <c r="J911" s="108"/>
      <c r="K911" s="103"/>
      <c r="L911" s="65"/>
      <c r="M911" s="65"/>
      <c r="N911" s="65"/>
    </row>
    <row r="912">
      <c r="A912" s="61"/>
      <c r="B912" s="61"/>
      <c r="C912" s="61"/>
      <c r="D912" s="61"/>
      <c r="E912" s="61"/>
      <c r="F912" s="61"/>
      <c r="G912" s="61"/>
      <c r="H912" s="61"/>
      <c r="I912" s="61"/>
      <c r="J912" s="107"/>
      <c r="K912" s="100"/>
      <c r="L912" s="61"/>
      <c r="M912" s="61"/>
      <c r="N912" s="61"/>
    </row>
    <row r="913">
      <c r="A913" s="65"/>
      <c r="B913" s="65"/>
      <c r="C913" s="65"/>
      <c r="D913" s="65"/>
      <c r="E913" s="65"/>
      <c r="F913" s="65"/>
      <c r="G913" s="65"/>
      <c r="H913" s="65"/>
      <c r="I913" s="65"/>
      <c r="J913" s="108"/>
      <c r="K913" s="103"/>
      <c r="L913" s="65"/>
      <c r="M913" s="65"/>
      <c r="N913" s="65"/>
    </row>
    <row r="914">
      <c r="A914" s="61"/>
      <c r="B914" s="61"/>
      <c r="C914" s="61"/>
      <c r="D914" s="61"/>
      <c r="E914" s="61"/>
      <c r="F914" s="61"/>
      <c r="G914" s="61"/>
      <c r="H914" s="61"/>
      <c r="I914" s="61"/>
      <c r="J914" s="107"/>
      <c r="K914" s="100"/>
      <c r="L914" s="61"/>
      <c r="M914" s="61"/>
      <c r="N914" s="61"/>
    </row>
    <row r="915">
      <c r="A915" s="65"/>
      <c r="B915" s="65"/>
      <c r="C915" s="65"/>
      <c r="D915" s="65"/>
      <c r="E915" s="65"/>
      <c r="F915" s="65"/>
      <c r="G915" s="65"/>
      <c r="H915" s="65"/>
      <c r="I915" s="65"/>
      <c r="J915" s="108"/>
      <c r="K915" s="103"/>
      <c r="L915" s="65"/>
      <c r="M915" s="65"/>
      <c r="N915" s="65"/>
    </row>
    <row r="916">
      <c r="A916" s="61"/>
      <c r="B916" s="61"/>
      <c r="C916" s="61"/>
      <c r="D916" s="61"/>
      <c r="E916" s="61"/>
      <c r="F916" s="61"/>
      <c r="G916" s="61"/>
      <c r="H916" s="61"/>
      <c r="I916" s="61"/>
      <c r="J916" s="107"/>
      <c r="K916" s="100"/>
      <c r="L916" s="61"/>
      <c r="M916" s="61"/>
      <c r="N916" s="61"/>
    </row>
    <row r="917">
      <c r="A917" s="65"/>
      <c r="B917" s="65"/>
      <c r="C917" s="65"/>
      <c r="D917" s="65"/>
      <c r="E917" s="65"/>
      <c r="F917" s="65"/>
      <c r="G917" s="65"/>
      <c r="H917" s="65"/>
      <c r="I917" s="65"/>
      <c r="J917" s="108"/>
      <c r="K917" s="103"/>
      <c r="L917" s="65"/>
      <c r="M917" s="65"/>
      <c r="N917" s="65"/>
    </row>
    <row r="918">
      <c r="A918" s="61"/>
      <c r="B918" s="61"/>
      <c r="C918" s="61"/>
      <c r="D918" s="61"/>
      <c r="E918" s="61"/>
      <c r="F918" s="61"/>
      <c r="G918" s="61"/>
      <c r="H918" s="61"/>
      <c r="I918" s="61"/>
      <c r="J918" s="107"/>
      <c r="K918" s="100"/>
      <c r="L918" s="61"/>
      <c r="M918" s="61"/>
      <c r="N918" s="61"/>
    </row>
    <row r="919">
      <c r="A919" s="65"/>
      <c r="B919" s="65"/>
      <c r="C919" s="65"/>
      <c r="D919" s="65"/>
      <c r="E919" s="65"/>
      <c r="F919" s="65"/>
      <c r="G919" s="65"/>
      <c r="H919" s="65"/>
      <c r="I919" s="65"/>
      <c r="J919" s="108"/>
      <c r="K919" s="103"/>
      <c r="L919" s="65"/>
      <c r="M919" s="65"/>
      <c r="N919" s="65"/>
    </row>
    <row r="920">
      <c r="A920" s="61"/>
      <c r="B920" s="61"/>
      <c r="C920" s="61"/>
      <c r="D920" s="61"/>
      <c r="E920" s="61"/>
      <c r="F920" s="61"/>
      <c r="G920" s="61"/>
      <c r="H920" s="61"/>
      <c r="I920" s="61"/>
      <c r="J920" s="107"/>
      <c r="K920" s="100"/>
      <c r="L920" s="61"/>
      <c r="M920" s="61"/>
      <c r="N920" s="61"/>
    </row>
    <row r="921">
      <c r="A921" s="65"/>
      <c r="B921" s="65"/>
      <c r="C921" s="65"/>
      <c r="D921" s="65"/>
      <c r="E921" s="65"/>
      <c r="F921" s="65"/>
      <c r="G921" s="65"/>
      <c r="H921" s="65"/>
      <c r="I921" s="65"/>
      <c r="J921" s="108"/>
      <c r="K921" s="103"/>
      <c r="L921" s="65"/>
      <c r="M921" s="65"/>
      <c r="N921" s="65"/>
    </row>
    <row r="922">
      <c r="A922" s="61"/>
      <c r="B922" s="61"/>
      <c r="C922" s="61"/>
      <c r="D922" s="61"/>
      <c r="E922" s="61"/>
      <c r="F922" s="61"/>
      <c r="G922" s="61"/>
      <c r="H922" s="61"/>
      <c r="I922" s="61"/>
      <c r="J922" s="107"/>
      <c r="K922" s="100"/>
      <c r="L922" s="61"/>
      <c r="M922" s="61"/>
      <c r="N922" s="61"/>
    </row>
    <row r="923">
      <c r="A923" s="65"/>
      <c r="B923" s="65"/>
      <c r="C923" s="65"/>
      <c r="D923" s="65"/>
      <c r="E923" s="65"/>
      <c r="F923" s="65"/>
      <c r="G923" s="65"/>
      <c r="H923" s="65"/>
      <c r="I923" s="65"/>
      <c r="J923" s="108"/>
      <c r="K923" s="103"/>
      <c r="L923" s="65"/>
      <c r="M923" s="65"/>
      <c r="N923" s="65"/>
    </row>
    <row r="924">
      <c r="A924" s="61"/>
      <c r="B924" s="61"/>
      <c r="C924" s="61"/>
      <c r="D924" s="61"/>
      <c r="E924" s="61"/>
      <c r="F924" s="61"/>
      <c r="G924" s="61"/>
      <c r="H924" s="61"/>
      <c r="I924" s="61"/>
      <c r="J924" s="107"/>
      <c r="K924" s="100"/>
      <c r="L924" s="61"/>
      <c r="M924" s="61"/>
      <c r="N924" s="61"/>
    </row>
    <row r="925">
      <c r="A925" s="65"/>
      <c r="B925" s="65"/>
      <c r="C925" s="65"/>
      <c r="D925" s="65"/>
      <c r="E925" s="65"/>
      <c r="F925" s="65"/>
      <c r="G925" s="65"/>
      <c r="H925" s="65"/>
      <c r="I925" s="65"/>
      <c r="J925" s="108"/>
      <c r="K925" s="103"/>
      <c r="L925" s="65"/>
      <c r="M925" s="65"/>
      <c r="N925" s="65"/>
    </row>
    <row r="926">
      <c r="A926" s="61"/>
      <c r="B926" s="61"/>
      <c r="C926" s="61"/>
      <c r="D926" s="61"/>
      <c r="E926" s="61"/>
      <c r="F926" s="61"/>
      <c r="G926" s="61"/>
      <c r="H926" s="61"/>
      <c r="I926" s="61"/>
      <c r="J926" s="107"/>
      <c r="K926" s="100"/>
      <c r="L926" s="61"/>
      <c r="M926" s="61"/>
      <c r="N926" s="61"/>
    </row>
    <row r="927">
      <c r="A927" s="65"/>
      <c r="B927" s="65"/>
      <c r="C927" s="65"/>
      <c r="D927" s="65"/>
      <c r="E927" s="65"/>
      <c r="F927" s="65"/>
      <c r="G927" s="65"/>
      <c r="H927" s="65"/>
      <c r="I927" s="65"/>
      <c r="J927" s="108"/>
      <c r="K927" s="103"/>
      <c r="L927" s="65"/>
      <c r="M927" s="65"/>
      <c r="N927" s="65"/>
    </row>
    <row r="928">
      <c r="A928" s="61"/>
      <c r="B928" s="61"/>
      <c r="C928" s="61"/>
      <c r="D928" s="61"/>
      <c r="E928" s="61"/>
      <c r="F928" s="61"/>
      <c r="G928" s="61"/>
      <c r="H928" s="61"/>
      <c r="I928" s="61"/>
      <c r="J928" s="107"/>
      <c r="K928" s="100"/>
      <c r="L928" s="61"/>
      <c r="M928" s="61"/>
      <c r="N928" s="61"/>
    </row>
    <row r="929">
      <c r="A929" s="65"/>
      <c r="B929" s="65"/>
      <c r="C929" s="65"/>
      <c r="D929" s="65"/>
      <c r="E929" s="65"/>
      <c r="F929" s="65"/>
      <c r="G929" s="65"/>
      <c r="H929" s="65"/>
      <c r="I929" s="65"/>
      <c r="J929" s="108"/>
      <c r="K929" s="103"/>
      <c r="L929" s="65"/>
      <c r="M929" s="65"/>
      <c r="N929" s="65"/>
    </row>
    <row r="930">
      <c r="A930" s="61"/>
      <c r="B930" s="61"/>
      <c r="C930" s="61"/>
      <c r="D930" s="61"/>
      <c r="E930" s="61"/>
      <c r="F930" s="61"/>
      <c r="G930" s="61"/>
      <c r="H930" s="61"/>
      <c r="I930" s="61"/>
      <c r="J930" s="107"/>
      <c r="K930" s="100"/>
      <c r="L930" s="61"/>
      <c r="M930" s="61"/>
      <c r="N930" s="61"/>
    </row>
    <row r="931">
      <c r="A931" s="65"/>
      <c r="B931" s="65"/>
      <c r="C931" s="65"/>
      <c r="D931" s="65"/>
      <c r="E931" s="65"/>
      <c r="F931" s="65"/>
      <c r="G931" s="65"/>
      <c r="H931" s="65"/>
      <c r="I931" s="65"/>
      <c r="J931" s="108"/>
      <c r="K931" s="103"/>
      <c r="L931" s="65"/>
      <c r="M931" s="65"/>
      <c r="N931" s="65"/>
    </row>
    <row r="932">
      <c r="A932" s="61"/>
      <c r="B932" s="61"/>
      <c r="C932" s="61"/>
      <c r="D932" s="61"/>
      <c r="E932" s="61"/>
      <c r="F932" s="61"/>
      <c r="G932" s="61"/>
      <c r="H932" s="61"/>
      <c r="I932" s="61"/>
      <c r="J932" s="107"/>
      <c r="K932" s="100"/>
      <c r="L932" s="61"/>
      <c r="M932" s="61"/>
      <c r="N932" s="61"/>
    </row>
    <row r="933">
      <c r="A933" s="65"/>
      <c r="B933" s="65"/>
      <c r="C933" s="65"/>
      <c r="D933" s="65"/>
      <c r="E933" s="65"/>
      <c r="F933" s="65"/>
      <c r="G933" s="65"/>
      <c r="H933" s="65"/>
      <c r="I933" s="65"/>
      <c r="J933" s="108"/>
      <c r="K933" s="103"/>
      <c r="L933" s="65"/>
      <c r="M933" s="65"/>
      <c r="N933" s="65"/>
    </row>
    <row r="934">
      <c r="A934" s="61"/>
      <c r="B934" s="61"/>
      <c r="C934" s="61"/>
      <c r="D934" s="61"/>
      <c r="E934" s="61"/>
      <c r="F934" s="61"/>
      <c r="G934" s="61"/>
      <c r="H934" s="61"/>
      <c r="I934" s="61"/>
      <c r="J934" s="107"/>
      <c r="K934" s="100"/>
      <c r="L934" s="61"/>
      <c r="M934" s="61"/>
      <c r="N934" s="61"/>
    </row>
    <row r="935">
      <c r="A935" s="65"/>
      <c r="B935" s="65"/>
      <c r="C935" s="65"/>
      <c r="D935" s="65"/>
      <c r="E935" s="65"/>
      <c r="F935" s="65"/>
      <c r="G935" s="65"/>
      <c r="H935" s="65"/>
      <c r="I935" s="65"/>
      <c r="J935" s="108"/>
      <c r="K935" s="103"/>
      <c r="L935" s="65"/>
      <c r="M935" s="65"/>
      <c r="N935" s="65"/>
    </row>
    <row r="936">
      <c r="A936" s="61"/>
      <c r="B936" s="61"/>
      <c r="C936" s="61"/>
      <c r="D936" s="61"/>
      <c r="E936" s="61"/>
      <c r="F936" s="61"/>
      <c r="G936" s="61"/>
      <c r="H936" s="61"/>
      <c r="I936" s="61"/>
      <c r="J936" s="107"/>
      <c r="K936" s="100"/>
      <c r="L936" s="61"/>
      <c r="M936" s="61"/>
      <c r="N936" s="61"/>
    </row>
    <row r="937">
      <c r="A937" s="65"/>
      <c r="B937" s="65"/>
      <c r="C937" s="65"/>
      <c r="D937" s="65"/>
      <c r="E937" s="65"/>
      <c r="F937" s="65"/>
      <c r="G937" s="65"/>
      <c r="H937" s="65"/>
      <c r="I937" s="65"/>
      <c r="J937" s="108"/>
      <c r="K937" s="103"/>
      <c r="L937" s="65"/>
      <c r="M937" s="65"/>
      <c r="N937" s="65"/>
    </row>
    <row r="938">
      <c r="A938" s="61"/>
      <c r="B938" s="61"/>
      <c r="C938" s="61"/>
      <c r="D938" s="61"/>
      <c r="E938" s="61"/>
      <c r="F938" s="61"/>
      <c r="G938" s="61"/>
      <c r="H938" s="61"/>
      <c r="I938" s="61"/>
      <c r="J938" s="107"/>
      <c r="K938" s="100"/>
      <c r="L938" s="61"/>
      <c r="M938" s="61"/>
      <c r="N938" s="61"/>
    </row>
    <row r="939">
      <c r="A939" s="65"/>
      <c r="B939" s="65"/>
      <c r="C939" s="65"/>
      <c r="D939" s="65"/>
      <c r="E939" s="65"/>
      <c r="F939" s="65"/>
      <c r="G939" s="65"/>
      <c r="H939" s="65"/>
      <c r="I939" s="65"/>
      <c r="J939" s="108"/>
      <c r="K939" s="103"/>
      <c r="L939" s="65"/>
      <c r="M939" s="65"/>
      <c r="N939" s="65"/>
    </row>
    <row r="940">
      <c r="A940" s="61"/>
      <c r="B940" s="61"/>
      <c r="C940" s="61"/>
      <c r="D940" s="61"/>
      <c r="E940" s="61"/>
      <c r="F940" s="61"/>
      <c r="G940" s="61"/>
      <c r="H940" s="61"/>
      <c r="I940" s="61"/>
      <c r="J940" s="107"/>
      <c r="K940" s="100"/>
      <c r="L940" s="61"/>
      <c r="M940" s="61"/>
      <c r="N940" s="61"/>
    </row>
    <row r="941">
      <c r="A941" s="65"/>
      <c r="B941" s="65"/>
      <c r="C941" s="65"/>
      <c r="D941" s="65"/>
      <c r="E941" s="65"/>
      <c r="F941" s="65"/>
      <c r="G941" s="65"/>
      <c r="H941" s="65"/>
      <c r="I941" s="65"/>
      <c r="J941" s="108"/>
      <c r="K941" s="103"/>
      <c r="L941" s="65"/>
      <c r="M941" s="65"/>
      <c r="N941" s="65"/>
    </row>
    <row r="942">
      <c r="A942" s="61"/>
      <c r="B942" s="61"/>
      <c r="C942" s="61"/>
      <c r="D942" s="61"/>
      <c r="E942" s="61"/>
      <c r="F942" s="61"/>
      <c r="G942" s="61"/>
      <c r="H942" s="61"/>
      <c r="I942" s="61"/>
      <c r="J942" s="107"/>
      <c r="K942" s="100"/>
      <c r="L942" s="61"/>
      <c r="M942" s="61"/>
      <c r="N942" s="61"/>
    </row>
    <row r="943">
      <c r="A943" s="65"/>
      <c r="B943" s="65"/>
      <c r="C943" s="65"/>
      <c r="D943" s="65"/>
      <c r="E943" s="65"/>
      <c r="F943" s="65"/>
      <c r="G943" s="65"/>
      <c r="H943" s="65"/>
      <c r="I943" s="65"/>
      <c r="J943" s="108"/>
      <c r="K943" s="103"/>
      <c r="L943" s="65"/>
      <c r="M943" s="65"/>
      <c r="N943" s="65"/>
    </row>
    <row r="944">
      <c r="A944" s="61"/>
      <c r="B944" s="61"/>
      <c r="C944" s="61"/>
      <c r="D944" s="61"/>
      <c r="E944" s="61"/>
      <c r="F944" s="61"/>
      <c r="G944" s="61"/>
      <c r="H944" s="61"/>
      <c r="I944" s="61"/>
      <c r="J944" s="107"/>
      <c r="K944" s="100"/>
      <c r="L944" s="61"/>
      <c r="M944" s="61"/>
      <c r="N944" s="61"/>
    </row>
    <row r="945">
      <c r="A945" s="65"/>
      <c r="B945" s="65"/>
      <c r="C945" s="65"/>
      <c r="D945" s="65"/>
      <c r="E945" s="65"/>
      <c r="F945" s="65"/>
      <c r="G945" s="65"/>
      <c r="H945" s="65"/>
      <c r="I945" s="65"/>
      <c r="J945" s="108"/>
      <c r="K945" s="103"/>
      <c r="L945" s="65"/>
      <c r="M945" s="65"/>
      <c r="N945" s="65"/>
    </row>
    <row r="946">
      <c r="A946" s="61"/>
      <c r="B946" s="61"/>
      <c r="C946" s="61"/>
      <c r="D946" s="61"/>
      <c r="E946" s="61"/>
      <c r="F946" s="61"/>
      <c r="G946" s="61"/>
      <c r="H946" s="61"/>
      <c r="I946" s="61"/>
      <c r="J946" s="107"/>
      <c r="K946" s="100"/>
      <c r="L946" s="61"/>
      <c r="M946" s="61"/>
      <c r="N946" s="61"/>
    </row>
    <row r="947">
      <c r="A947" s="65"/>
      <c r="B947" s="65"/>
      <c r="C947" s="65"/>
      <c r="D947" s="65"/>
      <c r="E947" s="65"/>
      <c r="F947" s="65"/>
      <c r="G947" s="65"/>
      <c r="H947" s="65"/>
      <c r="I947" s="65"/>
      <c r="J947" s="108"/>
      <c r="K947" s="103"/>
      <c r="L947" s="65"/>
      <c r="M947" s="65"/>
      <c r="N947" s="65"/>
    </row>
    <row r="948">
      <c r="A948" s="61"/>
      <c r="B948" s="61"/>
      <c r="C948" s="61"/>
      <c r="D948" s="61"/>
      <c r="E948" s="61"/>
      <c r="F948" s="61"/>
      <c r="G948" s="61"/>
      <c r="H948" s="61"/>
      <c r="I948" s="61"/>
      <c r="J948" s="107"/>
      <c r="K948" s="100"/>
      <c r="L948" s="61"/>
      <c r="M948" s="61"/>
      <c r="N948" s="61"/>
    </row>
    <row r="949">
      <c r="A949" s="65"/>
      <c r="B949" s="65"/>
      <c r="C949" s="65"/>
      <c r="D949" s="65"/>
      <c r="E949" s="65"/>
      <c r="F949" s="65"/>
      <c r="G949" s="65"/>
      <c r="H949" s="65"/>
      <c r="I949" s="65"/>
      <c r="J949" s="108"/>
      <c r="K949" s="103"/>
      <c r="L949" s="65"/>
      <c r="M949" s="65"/>
      <c r="N949" s="65"/>
    </row>
    <row r="950">
      <c r="A950" s="61"/>
      <c r="B950" s="61"/>
      <c r="C950" s="61"/>
      <c r="D950" s="61"/>
      <c r="E950" s="61"/>
      <c r="F950" s="61"/>
      <c r="G950" s="61"/>
      <c r="H950" s="61"/>
      <c r="I950" s="61"/>
      <c r="J950" s="107"/>
      <c r="K950" s="100"/>
      <c r="L950" s="61"/>
      <c r="M950" s="61"/>
      <c r="N950" s="61"/>
    </row>
    <row r="951">
      <c r="A951" s="65"/>
      <c r="B951" s="65"/>
      <c r="C951" s="65"/>
      <c r="D951" s="65"/>
      <c r="E951" s="65"/>
      <c r="F951" s="65"/>
      <c r="G951" s="65"/>
      <c r="H951" s="65"/>
      <c r="I951" s="65"/>
      <c r="J951" s="108"/>
      <c r="K951" s="103"/>
      <c r="L951" s="65"/>
      <c r="M951" s="65"/>
      <c r="N951" s="65"/>
    </row>
    <row r="952">
      <c r="A952" s="61"/>
      <c r="B952" s="61"/>
      <c r="C952" s="61"/>
      <c r="D952" s="61"/>
      <c r="E952" s="61"/>
      <c r="F952" s="61"/>
      <c r="G952" s="61"/>
      <c r="H952" s="61"/>
      <c r="I952" s="61"/>
      <c r="J952" s="107"/>
      <c r="K952" s="100"/>
      <c r="L952" s="61"/>
      <c r="M952" s="61"/>
      <c r="N952" s="61"/>
    </row>
    <row r="953">
      <c r="A953" s="65"/>
      <c r="B953" s="65"/>
      <c r="C953" s="65"/>
      <c r="D953" s="65"/>
      <c r="E953" s="65"/>
      <c r="F953" s="65"/>
      <c r="G953" s="65"/>
      <c r="H953" s="65"/>
      <c r="I953" s="65"/>
      <c r="J953" s="108"/>
      <c r="K953" s="103"/>
      <c r="L953" s="65"/>
      <c r="M953" s="65"/>
      <c r="N953" s="65"/>
    </row>
    <row r="954">
      <c r="A954" s="61"/>
      <c r="B954" s="61"/>
      <c r="C954" s="61"/>
      <c r="D954" s="61"/>
      <c r="E954" s="61"/>
      <c r="F954" s="61"/>
      <c r="G954" s="61"/>
      <c r="H954" s="61"/>
      <c r="I954" s="61"/>
      <c r="J954" s="107"/>
      <c r="K954" s="100"/>
      <c r="L954" s="61"/>
      <c r="M954" s="61"/>
      <c r="N954" s="61"/>
    </row>
    <row r="955">
      <c r="A955" s="65"/>
      <c r="B955" s="65"/>
      <c r="C955" s="65"/>
      <c r="D955" s="65"/>
      <c r="E955" s="65"/>
      <c r="F955" s="65"/>
      <c r="G955" s="65"/>
      <c r="H955" s="65"/>
      <c r="I955" s="65"/>
      <c r="J955" s="108"/>
      <c r="K955" s="103"/>
      <c r="L955" s="65"/>
      <c r="M955" s="65"/>
      <c r="N955" s="65"/>
    </row>
    <row r="956">
      <c r="A956" s="61"/>
      <c r="B956" s="61"/>
      <c r="C956" s="61"/>
      <c r="D956" s="61"/>
      <c r="E956" s="61"/>
      <c r="F956" s="61"/>
      <c r="G956" s="61"/>
      <c r="H956" s="61"/>
      <c r="I956" s="61"/>
      <c r="J956" s="107"/>
      <c r="K956" s="100"/>
      <c r="L956" s="61"/>
      <c r="M956" s="61"/>
      <c r="N956" s="61"/>
    </row>
    <row r="957">
      <c r="A957" s="65"/>
      <c r="B957" s="65"/>
      <c r="C957" s="65"/>
      <c r="D957" s="65"/>
      <c r="E957" s="65"/>
      <c r="F957" s="65"/>
      <c r="G957" s="65"/>
      <c r="H957" s="65"/>
      <c r="I957" s="65"/>
      <c r="J957" s="108"/>
      <c r="K957" s="103"/>
      <c r="L957" s="65"/>
      <c r="M957" s="65"/>
      <c r="N957" s="65"/>
    </row>
    <row r="958">
      <c r="A958" s="61"/>
      <c r="B958" s="61"/>
      <c r="C958" s="61"/>
      <c r="D958" s="61"/>
      <c r="E958" s="61"/>
      <c r="F958" s="61"/>
      <c r="G958" s="61"/>
      <c r="H958" s="61"/>
      <c r="I958" s="61"/>
      <c r="J958" s="107"/>
      <c r="K958" s="100"/>
      <c r="L958" s="61"/>
      <c r="M958" s="61"/>
      <c r="N958" s="61"/>
    </row>
    <row r="959">
      <c r="A959" s="65"/>
      <c r="B959" s="65"/>
      <c r="C959" s="65"/>
      <c r="D959" s="65"/>
      <c r="E959" s="65"/>
      <c r="F959" s="65"/>
      <c r="G959" s="65"/>
      <c r="H959" s="65"/>
      <c r="I959" s="65"/>
      <c r="J959" s="108"/>
      <c r="K959" s="103"/>
      <c r="L959" s="65"/>
      <c r="M959" s="65"/>
      <c r="N959" s="65"/>
    </row>
    <row r="960">
      <c r="A960" s="61"/>
      <c r="B960" s="61"/>
      <c r="C960" s="61"/>
      <c r="D960" s="61"/>
      <c r="E960" s="61"/>
      <c r="F960" s="61"/>
      <c r="G960" s="61"/>
      <c r="H960" s="61"/>
      <c r="I960" s="61"/>
      <c r="J960" s="107"/>
      <c r="K960" s="100"/>
      <c r="L960" s="61"/>
      <c r="M960" s="61"/>
      <c r="N960" s="61"/>
    </row>
    <row r="961">
      <c r="A961" s="65"/>
      <c r="B961" s="65"/>
      <c r="C961" s="65"/>
      <c r="D961" s="65"/>
      <c r="E961" s="65"/>
      <c r="F961" s="65"/>
      <c r="G961" s="65"/>
      <c r="H961" s="65"/>
      <c r="I961" s="65"/>
      <c r="J961" s="108"/>
      <c r="K961" s="103"/>
      <c r="L961" s="65"/>
      <c r="M961" s="65"/>
      <c r="N961" s="65"/>
    </row>
    <row r="962">
      <c r="A962" s="61"/>
      <c r="B962" s="61"/>
      <c r="C962" s="61"/>
      <c r="D962" s="61"/>
      <c r="E962" s="61"/>
      <c r="F962" s="61"/>
      <c r="G962" s="61"/>
      <c r="H962" s="61"/>
      <c r="I962" s="61"/>
      <c r="J962" s="107"/>
      <c r="K962" s="100"/>
      <c r="L962" s="61"/>
      <c r="M962" s="61"/>
      <c r="N962" s="61"/>
    </row>
    <row r="963">
      <c r="A963" s="65"/>
      <c r="B963" s="65"/>
      <c r="C963" s="65"/>
      <c r="D963" s="65"/>
      <c r="E963" s="65"/>
      <c r="F963" s="65"/>
      <c r="G963" s="65"/>
      <c r="H963" s="65"/>
      <c r="I963" s="65"/>
      <c r="J963" s="108"/>
      <c r="K963" s="103"/>
      <c r="L963" s="65"/>
      <c r="M963" s="65"/>
      <c r="N963" s="65"/>
    </row>
    <row r="964">
      <c r="A964" s="61"/>
      <c r="B964" s="61"/>
      <c r="C964" s="61"/>
      <c r="D964" s="61"/>
      <c r="E964" s="61"/>
      <c r="F964" s="61"/>
      <c r="G964" s="61"/>
      <c r="H964" s="61"/>
      <c r="I964" s="61"/>
      <c r="J964" s="107"/>
      <c r="K964" s="100"/>
      <c r="L964" s="61"/>
      <c r="M964" s="61"/>
      <c r="N964" s="61"/>
    </row>
    <row r="965">
      <c r="A965" s="65"/>
      <c r="B965" s="65"/>
      <c r="C965" s="65"/>
      <c r="D965" s="65"/>
      <c r="E965" s="65"/>
      <c r="F965" s="65"/>
      <c r="G965" s="65"/>
      <c r="H965" s="65"/>
      <c r="I965" s="65"/>
      <c r="J965" s="108"/>
      <c r="K965" s="103"/>
      <c r="L965" s="65"/>
      <c r="M965" s="65"/>
      <c r="N965" s="65"/>
    </row>
    <row r="966">
      <c r="A966" s="61"/>
      <c r="B966" s="61"/>
      <c r="C966" s="61"/>
      <c r="D966" s="61"/>
      <c r="E966" s="61"/>
      <c r="F966" s="61"/>
      <c r="G966" s="61"/>
      <c r="H966" s="61"/>
      <c r="I966" s="61"/>
      <c r="J966" s="107"/>
      <c r="K966" s="100"/>
      <c r="L966" s="61"/>
      <c r="M966" s="61"/>
      <c r="N966" s="61"/>
    </row>
    <row r="967">
      <c r="A967" s="65"/>
      <c r="B967" s="65"/>
      <c r="C967" s="65"/>
      <c r="D967" s="65"/>
      <c r="E967" s="65"/>
      <c r="F967" s="65"/>
      <c r="G967" s="65"/>
      <c r="H967" s="65"/>
      <c r="I967" s="65"/>
      <c r="J967" s="108"/>
      <c r="K967" s="103"/>
      <c r="L967" s="65"/>
      <c r="M967" s="65"/>
      <c r="N967" s="65"/>
    </row>
    <row r="968">
      <c r="A968" s="61"/>
      <c r="B968" s="61"/>
      <c r="C968" s="61"/>
      <c r="D968" s="61"/>
      <c r="E968" s="61"/>
      <c r="F968" s="61"/>
      <c r="G968" s="61"/>
      <c r="H968" s="61"/>
      <c r="I968" s="61"/>
      <c r="J968" s="107"/>
      <c r="K968" s="100"/>
      <c r="L968" s="61"/>
      <c r="M968" s="61"/>
      <c r="N968" s="61"/>
    </row>
    <row r="969">
      <c r="A969" s="65"/>
      <c r="B969" s="65"/>
      <c r="C969" s="65"/>
      <c r="D969" s="65"/>
      <c r="E969" s="65"/>
      <c r="F969" s="65"/>
      <c r="G969" s="65"/>
      <c r="H969" s="65"/>
      <c r="I969" s="65"/>
      <c r="J969" s="108"/>
      <c r="K969" s="103"/>
      <c r="L969" s="65"/>
      <c r="M969" s="65"/>
      <c r="N969" s="65"/>
    </row>
    <row r="970">
      <c r="A970" s="61"/>
      <c r="B970" s="61"/>
      <c r="C970" s="61"/>
      <c r="D970" s="61"/>
      <c r="E970" s="61"/>
      <c r="F970" s="61"/>
      <c r="G970" s="61"/>
      <c r="H970" s="61"/>
      <c r="I970" s="61"/>
      <c r="J970" s="107"/>
      <c r="K970" s="100"/>
      <c r="L970" s="61"/>
      <c r="M970" s="61"/>
      <c r="N970" s="61"/>
    </row>
    <row r="971">
      <c r="A971" s="65"/>
      <c r="B971" s="65"/>
      <c r="C971" s="65"/>
      <c r="D971" s="65"/>
      <c r="E971" s="65"/>
      <c r="F971" s="65"/>
      <c r="G971" s="65"/>
      <c r="H971" s="65"/>
      <c r="I971" s="65"/>
      <c r="J971" s="108"/>
      <c r="K971" s="103"/>
      <c r="L971" s="65"/>
      <c r="M971" s="65"/>
      <c r="N971" s="65"/>
    </row>
    <row r="972">
      <c r="A972" s="61"/>
      <c r="B972" s="61"/>
      <c r="C972" s="61"/>
      <c r="D972" s="61"/>
      <c r="E972" s="61"/>
      <c r="F972" s="61"/>
      <c r="G972" s="61"/>
      <c r="H972" s="61"/>
      <c r="I972" s="61"/>
      <c r="J972" s="107"/>
      <c r="K972" s="100"/>
      <c r="L972" s="61"/>
      <c r="M972" s="61"/>
      <c r="N972" s="61"/>
    </row>
    <row r="973">
      <c r="A973" s="65"/>
      <c r="B973" s="65"/>
      <c r="C973" s="65"/>
      <c r="D973" s="65"/>
      <c r="E973" s="65"/>
      <c r="F973" s="65"/>
      <c r="G973" s="65"/>
      <c r="H973" s="65"/>
      <c r="I973" s="65"/>
      <c r="J973" s="108"/>
      <c r="K973" s="103"/>
      <c r="L973" s="65"/>
      <c r="M973" s="65"/>
      <c r="N973" s="65"/>
    </row>
    <row r="974">
      <c r="A974" s="61"/>
      <c r="B974" s="61"/>
      <c r="C974" s="61"/>
      <c r="D974" s="61"/>
      <c r="E974" s="61"/>
      <c r="F974" s="61"/>
      <c r="G974" s="61"/>
      <c r="H974" s="61"/>
      <c r="I974" s="61"/>
      <c r="J974" s="107"/>
      <c r="K974" s="100"/>
      <c r="L974" s="61"/>
      <c r="M974" s="61"/>
      <c r="N974" s="61"/>
    </row>
    <row r="975">
      <c r="A975" s="65"/>
      <c r="B975" s="65"/>
      <c r="C975" s="65"/>
      <c r="D975" s="65"/>
      <c r="E975" s="65"/>
      <c r="F975" s="65"/>
      <c r="G975" s="65"/>
      <c r="H975" s="65"/>
      <c r="I975" s="65"/>
      <c r="J975" s="108"/>
      <c r="K975" s="103"/>
      <c r="L975" s="65"/>
      <c r="M975" s="65"/>
      <c r="N975" s="65"/>
    </row>
    <row r="976">
      <c r="A976" s="61"/>
      <c r="B976" s="61"/>
      <c r="C976" s="61"/>
      <c r="D976" s="61"/>
      <c r="E976" s="61"/>
      <c r="F976" s="61"/>
      <c r="G976" s="61"/>
      <c r="H976" s="61"/>
      <c r="I976" s="61"/>
      <c r="J976" s="107"/>
      <c r="K976" s="100"/>
      <c r="L976" s="61"/>
      <c r="M976" s="61"/>
      <c r="N976" s="61"/>
    </row>
    <row r="977">
      <c r="A977" s="65"/>
      <c r="B977" s="65"/>
      <c r="C977" s="65"/>
      <c r="D977" s="65"/>
      <c r="E977" s="65"/>
      <c r="F977" s="65"/>
      <c r="G977" s="65"/>
      <c r="H977" s="65"/>
      <c r="I977" s="65"/>
      <c r="J977" s="108"/>
      <c r="K977" s="103"/>
      <c r="L977" s="65"/>
      <c r="M977" s="65"/>
      <c r="N977" s="65"/>
    </row>
    <row r="978">
      <c r="A978" s="61"/>
      <c r="B978" s="61"/>
      <c r="C978" s="61"/>
      <c r="D978" s="61"/>
      <c r="E978" s="61"/>
      <c r="F978" s="61"/>
      <c r="G978" s="61"/>
      <c r="H978" s="61"/>
      <c r="I978" s="61"/>
      <c r="J978" s="107"/>
      <c r="K978" s="100"/>
      <c r="L978" s="61"/>
      <c r="M978" s="61"/>
      <c r="N978" s="61"/>
    </row>
    <row r="979">
      <c r="A979" s="65"/>
      <c r="B979" s="65"/>
      <c r="C979" s="65"/>
      <c r="D979" s="65"/>
      <c r="E979" s="65"/>
      <c r="F979" s="65"/>
      <c r="G979" s="65"/>
      <c r="H979" s="65"/>
      <c r="I979" s="65"/>
      <c r="J979" s="108"/>
      <c r="K979" s="103"/>
      <c r="L979" s="65"/>
      <c r="M979" s="65"/>
      <c r="N979" s="65"/>
    </row>
    <row r="980">
      <c r="A980" s="61"/>
      <c r="B980" s="61"/>
      <c r="C980" s="61"/>
      <c r="D980" s="61"/>
      <c r="E980" s="61"/>
      <c r="F980" s="61"/>
      <c r="G980" s="61"/>
      <c r="H980" s="61"/>
      <c r="I980" s="61"/>
      <c r="J980" s="107"/>
      <c r="K980" s="100"/>
      <c r="L980" s="61"/>
      <c r="M980" s="61"/>
      <c r="N980" s="61"/>
    </row>
    <row r="981">
      <c r="A981" s="65"/>
      <c r="B981" s="65"/>
      <c r="C981" s="65"/>
      <c r="D981" s="65"/>
      <c r="E981" s="65"/>
      <c r="F981" s="65"/>
      <c r="G981" s="65"/>
      <c r="H981" s="65"/>
      <c r="I981" s="65"/>
      <c r="J981" s="108"/>
      <c r="K981" s="103"/>
      <c r="L981" s="65"/>
      <c r="M981" s="65"/>
      <c r="N981" s="65"/>
    </row>
    <row r="982">
      <c r="A982" s="61"/>
      <c r="B982" s="61"/>
      <c r="C982" s="61"/>
      <c r="D982" s="61"/>
      <c r="E982" s="61"/>
      <c r="F982" s="61"/>
      <c r="G982" s="61"/>
      <c r="H982" s="61"/>
      <c r="I982" s="61"/>
      <c r="J982" s="107"/>
      <c r="K982" s="100"/>
      <c r="L982" s="61"/>
      <c r="M982" s="61"/>
      <c r="N982" s="61"/>
    </row>
    <row r="983">
      <c r="A983" s="65"/>
      <c r="B983" s="65"/>
      <c r="C983" s="65"/>
      <c r="D983" s="65"/>
      <c r="E983" s="65"/>
      <c r="F983" s="65"/>
      <c r="G983" s="65"/>
      <c r="H983" s="65"/>
      <c r="I983" s="65"/>
      <c r="J983" s="108"/>
      <c r="K983" s="103"/>
      <c r="L983" s="65"/>
      <c r="M983" s="65"/>
      <c r="N983" s="65"/>
    </row>
    <row r="984">
      <c r="A984" s="61"/>
      <c r="B984" s="61"/>
      <c r="C984" s="61"/>
      <c r="D984" s="61"/>
      <c r="E984" s="61"/>
      <c r="F984" s="61"/>
      <c r="G984" s="61"/>
      <c r="H984" s="61"/>
      <c r="I984" s="61"/>
      <c r="J984" s="107"/>
      <c r="K984" s="100"/>
      <c r="L984" s="61"/>
      <c r="M984" s="61"/>
      <c r="N984" s="61"/>
    </row>
    <row r="985">
      <c r="A985" s="65"/>
      <c r="B985" s="65"/>
      <c r="C985" s="65"/>
      <c r="D985" s="65"/>
      <c r="E985" s="65"/>
      <c r="F985" s="65"/>
      <c r="G985" s="65"/>
      <c r="H985" s="65"/>
      <c r="I985" s="65"/>
      <c r="J985" s="108"/>
      <c r="K985" s="103"/>
      <c r="L985" s="65"/>
      <c r="M985" s="65"/>
      <c r="N985" s="65"/>
    </row>
    <row r="986">
      <c r="A986" s="61"/>
      <c r="B986" s="61"/>
      <c r="C986" s="61"/>
      <c r="D986" s="61"/>
      <c r="E986" s="61"/>
      <c r="F986" s="61"/>
      <c r="G986" s="61"/>
      <c r="H986" s="61"/>
      <c r="I986" s="61"/>
      <c r="J986" s="107"/>
      <c r="K986" s="100"/>
      <c r="L986" s="61"/>
      <c r="M986" s="61"/>
      <c r="N986" s="61"/>
    </row>
    <row r="987">
      <c r="A987" s="65"/>
      <c r="B987" s="65"/>
      <c r="C987" s="65"/>
      <c r="D987" s="65"/>
      <c r="E987" s="65"/>
      <c r="F987" s="65"/>
      <c r="G987" s="65"/>
      <c r="H987" s="65"/>
      <c r="I987" s="65"/>
      <c r="J987" s="108"/>
      <c r="K987" s="103"/>
      <c r="L987" s="65"/>
      <c r="M987" s="65"/>
      <c r="N987" s="65"/>
    </row>
    <row r="988">
      <c r="A988" s="61"/>
      <c r="B988" s="61"/>
      <c r="C988" s="61"/>
      <c r="D988" s="61"/>
      <c r="E988" s="61"/>
      <c r="F988" s="61"/>
      <c r="G988" s="61"/>
      <c r="H988" s="61"/>
      <c r="I988" s="61"/>
      <c r="J988" s="107"/>
      <c r="K988" s="100"/>
      <c r="L988" s="61"/>
      <c r="M988" s="61"/>
      <c r="N988" s="61"/>
    </row>
    <row r="989">
      <c r="A989" s="65"/>
      <c r="B989" s="65"/>
      <c r="C989" s="65"/>
      <c r="D989" s="65"/>
      <c r="E989" s="65"/>
      <c r="F989" s="65"/>
      <c r="G989" s="65"/>
      <c r="H989" s="65"/>
      <c r="I989" s="65"/>
      <c r="J989" s="108"/>
      <c r="K989" s="103"/>
      <c r="L989" s="65"/>
      <c r="M989" s="65"/>
      <c r="N989" s="65"/>
    </row>
    <row r="990">
      <c r="A990" s="61"/>
      <c r="B990" s="61"/>
      <c r="C990" s="61"/>
      <c r="D990" s="61"/>
      <c r="E990" s="61"/>
      <c r="F990" s="61"/>
      <c r="G990" s="61"/>
      <c r="H990" s="61"/>
      <c r="I990" s="61"/>
      <c r="J990" s="107"/>
      <c r="K990" s="100"/>
      <c r="L990" s="61"/>
      <c r="M990" s="61"/>
      <c r="N990" s="61"/>
    </row>
    <row r="991">
      <c r="A991" s="65"/>
      <c r="B991" s="65"/>
      <c r="C991" s="65"/>
      <c r="D991" s="65"/>
      <c r="E991" s="65"/>
      <c r="F991" s="65"/>
      <c r="G991" s="65"/>
      <c r="H991" s="65"/>
      <c r="I991" s="65"/>
      <c r="J991" s="108"/>
      <c r="K991" s="103"/>
      <c r="L991" s="65"/>
      <c r="M991" s="65"/>
      <c r="N991" s="65"/>
    </row>
    <row r="992">
      <c r="A992" s="61"/>
      <c r="B992" s="61"/>
      <c r="C992" s="61"/>
      <c r="D992" s="61"/>
      <c r="E992" s="61"/>
      <c r="F992" s="61"/>
      <c r="G992" s="61"/>
      <c r="H992" s="61"/>
      <c r="I992" s="61"/>
      <c r="J992" s="107"/>
      <c r="K992" s="100"/>
      <c r="L992" s="61"/>
      <c r="M992" s="61"/>
      <c r="N992" s="61"/>
    </row>
    <row r="993">
      <c r="A993" s="65"/>
      <c r="B993" s="65"/>
      <c r="C993" s="65"/>
      <c r="D993" s="65"/>
      <c r="E993" s="65"/>
      <c r="F993" s="65"/>
      <c r="G993" s="65"/>
      <c r="H993" s="65"/>
      <c r="I993" s="65"/>
      <c r="J993" s="108"/>
      <c r="K993" s="103"/>
      <c r="L993" s="65"/>
      <c r="M993" s="65"/>
      <c r="N993" s="65"/>
    </row>
    <row r="994">
      <c r="A994" s="61"/>
      <c r="B994" s="61"/>
      <c r="C994" s="61"/>
      <c r="D994" s="61"/>
      <c r="E994" s="61"/>
      <c r="F994" s="61"/>
      <c r="G994" s="61"/>
      <c r="H994" s="61"/>
      <c r="I994" s="61"/>
      <c r="J994" s="107"/>
      <c r="K994" s="100"/>
      <c r="L994" s="61"/>
      <c r="M994" s="61"/>
      <c r="N994" s="61"/>
    </row>
    <row r="995">
      <c r="A995" s="65"/>
      <c r="B995" s="65"/>
      <c r="C995" s="65"/>
      <c r="D995" s="65"/>
      <c r="E995" s="65"/>
      <c r="F995" s="65"/>
      <c r="G995" s="65"/>
      <c r="H995" s="65"/>
      <c r="I995" s="65"/>
      <c r="J995" s="108"/>
      <c r="K995" s="103"/>
      <c r="L995" s="65"/>
      <c r="M995" s="65"/>
      <c r="N995" s="65"/>
    </row>
    <row r="996">
      <c r="A996" s="61"/>
      <c r="B996" s="61"/>
      <c r="C996" s="61"/>
      <c r="D996" s="61"/>
      <c r="E996" s="61"/>
      <c r="F996" s="61"/>
      <c r="G996" s="61"/>
      <c r="H996" s="61"/>
      <c r="I996" s="61"/>
      <c r="J996" s="107"/>
      <c r="K996" s="100"/>
      <c r="L996" s="61"/>
      <c r="M996" s="61"/>
      <c r="N996" s="61"/>
    </row>
    <row r="997">
      <c r="A997" s="65"/>
      <c r="B997" s="65"/>
      <c r="C997" s="65"/>
      <c r="D997" s="65"/>
      <c r="E997" s="65"/>
      <c r="F997" s="65"/>
      <c r="G997" s="65"/>
      <c r="H997" s="65"/>
      <c r="I997" s="65"/>
      <c r="J997" s="108"/>
      <c r="K997" s="103"/>
      <c r="L997" s="65"/>
      <c r="M997" s="65"/>
      <c r="N997" s="65"/>
    </row>
    <row r="998">
      <c r="A998" s="61"/>
      <c r="B998" s="61"/>
      <c r="C998" s="61"/>
      <c r="D998" s="61"/>
      <c r="E998" s="61"/>
      <c r="F998" s="61"/>
      <c r="G998" s="61"/>
      <c r="H998" s="61"/>
      <c r="I998" s="61"/>
      <c r="J998" s="107"/>
      <c r="K998" s="100"/>
      <c r="L998" s="61"/>
      <c r="M998" s="61"/>
      <c r="N998" s="61"/>
    </row>
    <row r="999">
      <c r="A999" s="65"/>
      <c r="B999" s="65"/>
      <c r="C999" s="65"/>
      <c r="D999" s="65"/>
      <c r="E999" s="65"/>
      <c r="F999" s="65"/>
      <c r="G999" s="65"/>
      <c r="H999" s="65"/>
      <c r="I999" s="65"/>
      <c r="J999" s="108"/>
      <c r="K999" s="103"/>
      <c r="L999" s="65"/>
      <c r="M999" s="65"/>
      <c r="N999" s="65"/>
    </row>
  </sheetData>
  <autoFilter ref="$A$1:$L$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s>
  <drawing r:id="rId16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7" width="19.5"/>
    <col customWidth="1" min="8" max="8" width="19.0"/>
    <col customWidth="1" min="9" max="9" width="29.5"/>
    <col customWidth="1" min="10" max="10" width="25.25"/>
    <col customWidth="1" min="11" max="11" width="17.5"/>
    <col customWidth="1" min="12" max="12" width="22.63"/>
    <col customWidth="1" min="13" max="13" width="34.63"/>
  </cols>
  <sheetData>
    <row r="1">
      <c r="A1" s="45" t="s">
        <v>14039</v>
      </c>
      <c r="B1" s="45" t="s">
        <v>14211</v>
      </c>
      <c r="C1" s="45" t="s">
        <v>2</v>
      </c>
      <c r="D1" s="45" t="s">
        <v>3</v>
      </c>
      <c r="E1" s="45" t="s">
        <v>14212</v>
      </c>
      <c r="F1" s="45" t="s">
        <v>35</v>
      </c>
      <c r="G1" s="45" t="s">
        <v>15210</v>
      </c>
      <c r="H1" s="45" t="s">
        <v>20</v>
      </c>
      <c r="I1" s="45" t="s">
        <v>14</v>
      </c>
      <c r="J1" s="45" t="s">
        <v>31</v>
      </c>
      <c r="K1" s="45" t="s">
        <v>14214</v>
      </c>
      <c r="L1" s="45" t="s">
        <v>33</v>
      </c>
      <c r="M1" s="45" t="s">
        <v>14043</v>
      </c>
      <c r="N1" s="97" t="s">
        <v>34</v>
      </c>
    </row>
    <row r="2">
      <c r="A2" s="99" t="str">
        <f>IFERROR(__xludf.DUMMYFUNCTION("ARRAYFORMULA(
  IFERROR(
    FILTER(
      {
        MAIN!A:A,
        MAIN!B:B,
        MAIN!C:C,
        IF(MAIN!D:D="""", MAIN!AM:AM, MAIN!D:D),
        MAIN!E:E,
        MAIN!AJ:AJ,
        MAIN!L:L,
        MAIN!U:U,
        MAIN!V:V,
        MAIN!AF"&amp;":AF,
        MAIN!AE:AE,
        MAIN!AH:AH,
        MAIN!AA:AA,
        MAIN!AI:AI
      },
      MAIN!K:K=""Summer Storage""
    )
  )
)"),"https://utrucking.myshopify.com/admin/orders?query=13851")</f>
        <v>https://utrucking.myshopify.com/admin/orders?query=13851</v>
      </c>
      <c r="B2" s="61" t="str">
        <f>IFERROR(__xludf.DUMMYFUNCTION("""COMPUTED_VALUE"""),"#13851")</f>
        <v>#13851</v>
      </c>
      <c r="C2" s="61" t="str">
        <f>IFERROR(__xludf.DUMMYFUNCTION("""COMPUTED_VALUE"""),"a.dalen@wustl.edu")</f>
        <v>a.dalen@wustl.edu</v>
      </c>
      <c r="D2" s="61">
        <f>IFERROR(__xludf.DUMMYFUNCTION("""COMPUTED_VALUE"""),5.402078205E9)</f>
        <v>5402078205</v>
      </c>
      <c r="E2" s="61" t="str">
        <f>IFERROR(__xludf.DUMMYFUNCTION("""COMPUTED_VALUE"""),"Dalen Ainsworth")</f>
        <v>Dalen Ainsworth</v>
      </c>
      <c r="F2" s="61"/>
      <c r="G2" s="61" t="str">
        <f>IFERROR(__xludf.DUMMYFUNCTION("""COMPUTED_VALUE"""),"1 [Included with Registration]")</f>
        <v>1 [Included with Registration]</v>
      </c>
      <c r="H2" s="61" t="str">
        <f>IFERROR(__xludf.DUMMYFUNCTION("""COMPUTED_VALUE"""),"Eliot A")</f>
        <v>Eliot A</v>
      </c>
      <c r="I2" s="61">
        <f>IFERROR(__xludf.DUMMYFUNCTION("""COMPUTED_VALUE"""),3091.0)</f>
        <v>3091</v>
      </c>
      <c r="J2" s="107"/>
      <c r="K2" s="100"/>
      <c r="L2" s="61"/>
      <c r="M2" s="61"/>
      <c r="N2" s="61"/>
    </row>
    <row r="3">
      <c r="A3" s="102" t="str">
        <f>IFERROR(__xludf.DUMMYFUNCTION("""COMPUTED_VALUE"""),"https://utrucking.myshopify.com/admin/orders?query=15177")</f>
        <v>https://utrucking.myshopify.com/admin/orders?query=15177</v>
      </c>
      <c r="B3" s="65" t="str">
        <f>IFERROR(__xludf.DUMMYFUNCTION("""COMPUTED_VALUE"""),"#15177")</f>
        <v>#15177</v>
      </c>
      <c r="C3" s="65" t="str">
        <f>IFERROR(__xludf.DUMMYFUNCTION("""COMPUTED_VALUE"""),"parker.s.j@wustl.edu")</f>
        <v>parker.s.j@wustl.edu</v>
      </c>
      <c r="D3" s="65">
        <f>IFERROR(__xludf.DUMMYFUNCTION("""COMPUTED_VALUE"""),9.544392663E9)</f>
        <v>9544392663</v>
      </c>
      <c r="E3" s="65" t="str">
        <f>IFERROR(__xludf.DUMMYFUNCTION("""COMPUTED_VALUE"""),"Stella Parker")</f>
        <v>Stella Parker</v>
      </c>
      <c r="F3" s="65"/>
      <c r="G3" s="65" t="str">
        <f>IFERROR(__xludf.DUMMYFUNCTION("""COMPUTED_VALUE"""),"0 / Included Insurance")</f>
        <v>0 / Included Insurance</v>
      </c>
      <c r="H3" s="65"/>
      <c r="I3" s="65"/>
      <c r="J3" s="108"/>
      <c r="K3" s="103"/>
      <c r="L3" s="65"/>
      <c r="M3" s="65"/>
      <c r="N3" s="65" t="str">
        <f>IFERROR(__xludf.DUMMYFUNCTION("""COMPUTED_VALUE"""),"I will not be there but someone else will be to meet you. Please text her at (310) 806 1505 with any updates/questions. Thank you!")</f>
        <v>I will not be there but someone else will be to meet you. Please text her at (310) 806 1505 with any updates/questions. Thank you!</v>
      </c>
    </row>
    <row r="4">
      <c r="A4" s="99" t="str">
        <f>IFERROR(__xludf.DUMMYFUNCTION("""COMPUTED_VALUE"""),"https://utrucking.com/admin/orders/5908546420924")</f>
        <v>https://utrucking.com/admin/orders/5908546420924</v>
      </c>
      <c r="B4" s="61" t="str">
        <f>IFERROR(__xludf.DUMMYFUNCTION("""COMPUTED_VALUE"""),"#15392")</f>
        <v>#15392</v>
      </c>
      <c r="C4" s="61"/>
      <c r="D4" s="61">
        <f>IFERROR(__xludf.DUMMYFUNCTION("""COMPUTED_VALUE"""),3.144371708E9)</f>
        <v>3144371708</v>
      </c>
      <c r="E4" s="61" t="str">
        <f>IFERROR(__xludf.DUMMYFUNCTION("""COMPUTED_VALUE"""),"Rain Cao")</f>
        <v>Rain Cao</v>
      </c>
      <c r="F4" s="61"/>
      <c r="G4" s="61" t="str">
        <f>IFERROR(__xludf.DUMMYFUNCTION("""COMPUTED_VALUE""")," 0 / Included Insurance")</f>
        <v> 0 / Included Insurance</v>
      </c>
      <c r="H4" s="61" t="str">
        <f>IFERROR(__xludf.DUMMYFUNCTION("""COMPUTED_VALUE"""),"Village East  ")</f>
        <v>Village East  </v>
      </c>
      <c r="I4" s="61" t="str">
        <f>IFERROR(__xludf.DUMMYFUNCTION("""COMPUTED_VALUE"""),"2010")</f>
        <v>2010</v>
      </c>
      <c r="J4" s="107" t="str">
        <f>IFERROR(__xludf.DUMMYFUNCTION("""COMPUTED_VALUE"""),"10:00 AM to 12:00 PM  ")</f>
        <v>10:00 AM to 12:00 PM  </v>
      </c>
      <c r="K4" s="100">
        <f>IFERROR(__xludf.DUMMYFUNCTION("""COMPUTED_VALUE"""),45856.0)</f>
        <v>45856</v>
      </c>
      <c r="L4" s="61" t="str">
        <f>IFERROR(__xludf.DUMMYFUNCTION("""COMPUTED_VALUE""")," ")</f>
        <v> </v>
      </c>
      <c r="M4" s="61"/>
      <c r="N4" s="61"/>
    </row>
    <row r="5">
      <c r="A5" s="102" t="str">
        <f>IFERROR(__xludf.DUMMYFUNCTION("""COMPUTED_VALUE"""),"https://utrucking.com/admin/orders/5913140789436")</f>
        <v>https://utrucking.com/admin/orders/5913140789436</v>
      </c>
      <c r="B5" s="65" t="str">
        <f>IFERROR(__xludf.DUMMYFUNCTION("""COMPUTED_VALUE"""),"#15502")</f>
        <v>#15502</v>
      </c>
      <c r="C5" s="65" t="str">
        <f>IFERROR(__xludf.DUMMYFUNCTION("""COMPUTED_VALUE"""),"moon_keepers5d@icloud.com")</f>
        <v>moon_keepers5d@icloud.com</v>
      </c>
      <c r="D5" s="65">
        <f>IFERROR(__xludf.DUMMYFUNCTION("""COMPUTED_VALUE"""),1.4083188388E10)</f>
        <v>14083188388</v>
      </c>
      <c r="E5" s="65" t="str">
        <f>IFERROR(__xludf.DUMMYFUNCTION("""COMPUTED_VALUE"""),"Alexander Chen")</f>
        <v>Alexander Chen</v>
      </c>
      <c r="F5" s="65"/>
      <c r="G5" s="65" t="str">
        <f>IFERROR(__xludf.DUMMYFUNCTION("""COMPUTED_VALUE""")," 1 [Included with Registration] / Included Insurance   ")</f>
        <v> 1 [Included with Registration] / Included Insurance   </v>
      </c>
      <c r="H5" s="65" t="str">
        <f>IFERROR(__xludf.DUMMYFUNCTION("""COMPUTED_VALUE"""),"Village East  ")</f>
        <v>Village East  </v>
      </c>
      <c r="I5" s="65" t="str">
        <f>IFERROR(__xludf.DUMMYFUNCTION("""COMPUTED_VALUE"""),"1102")</f>
        <v>1102</v>
      </c>
      <c r="J5" s="108" t="str">
        <f>IFERROR(__xludf.DUMMYFUNCTION("""COMPUTED_VALUE"""),"10:00 AM to 12:00 PM  ")</f>
        <v>10:00 AM to 12:00 PM  </v>
      </c>
      <c r="K5" s="103">
        <f>IFERROR(__xludf.DUMMYFUNCTION("""COMPUTED_VALUE"""),45863.0)</f>
        <v>45863</v>
      </c>
      <c r="L5" s="65" t="str">
        <f>IFERROR(__xludf.DUMMYFUNCTION("""COMPUTED_VALUE""")," ")</f>
        <v> </v>
      </c>
      <c r="M5" s="65"/>
      <c r="N5" s="65"/>
    </row>
    <row r="6">
      <c r="A6" s="99" t="str">
        <f>IFERROR(__xludf.DUMMYFUNCTION("""COMPUTED_VALUE"""),"https://utrucking.com/admin/orders/5914030506172")</f>
        <v>https://utrucking.com/admin/orders/5914030506172</v>
      </c>
      <c r="B6" s="61" t="str">
        <f>IFERROR(__xludf.DUMMYFUNCTION("""COMPUTED_VALUE"""),"#15593")</f>
        <v>#15593</v>
      </c>
      <c r="C6" s="61"/>
      <c r="D6" s="61">
        <f>IFERROR(__xludf.DUMMYFUNCTION("""COMPUTED_VALUE"""),4.15601164E9)</f>
        <v>4156011640</v>
      </c>
      <c r="E6" s="61" t="str">
        <f>IFERROR(__xludf.DUMMYFUNCTION("""COMPUTED_VALUE"""),"Noah Fresko")</f>
        <v>Noah Fresko</v>
      </c>
      <c r="F6" s="61"/>
      <c r="G6" s="61" t="str">
        <f>IFERROR(__xludf.DUMMYFUNCTION("""COMPUTED_VALUE""")," 1 [Included with Registration] / Included Insurance   ")</f>
        <v> 1 [Included with Registration] / Included Insurance   </v>
      </c>
      <c r="H6" s="61"/>
      <c r="I6" s="61"/>
      <c r="J6" s="107" t="str">
        <f>IFERROR(__xludf.DUMMYFUNCTION("""COMPUTED_VALUE"""),"09:00 AM to 11:00 AM  ")</f>
        <v>09:00 AM to 11:00 AM  </v>
      </c>
      <c r="K6" s="100">
        <f>IFERROR(__xludf.DUMMYFUNCTION("""COMPUTED_VALUE"""),45869.0)</f>
        <v>45869</v>
      </c>
      <c r="L6" s="61" t="str">
        <f>IFERROR(__xludf.DUMMYFUNCTION("""COMPUTED_VALUE""")," ")</f>
        <v> </v>
      </c>
      <c r="M6" s="61" t="str">
        <f>IFERROR(__xludf.DUMMYFUNCTION("""COMPUTED_VALUE"""),"761 Syracuse Ave, University City, MO 63130")</f>
        <v>761 Syracuse Ave, University City, MO 63130</v>
      </c>
      <c r="N6" s="61"/>
    </row>
    <row r="7">
      <c r="A7" s="102" t="str">
        <f>IFERROR(__xludf.DUMMYFUNCTION("""COMPUTED_VALUE"""),"https://utrucking.com/admin/orders/5915819737276")</f>
        <v>https://utrucking.com/admin/orders/5915819737276</v>
      </c>
      <c r="B7" s="65" t="str">
        <f>IFERROR(__xludf.DUMMYFUNCTION("""COMPUTED_VALUE"""),"#15672")</f>
        <v>#15672</v>
      </c>
      <c r="C7" s="65"/>
      <c r="D7" s="65"/>
      <c r="E7" s="65" t="str">
        <f>IFERROR(__xludf.DUMMYFUNCTION("""COMPUTED_VALUE"""),"Adi Garg")</f>
        <v>Adi Garg</v>
      </c>
      <c r="F7" s="65"/>
      <c r="G7" s="65" t="str">
        <f>IFERROR(__xludf.DUMMYFUNCTION("""COMPUTED_VALUE""")," 1 [Included with Registration] / Included Insurance   -  - ")</f>
        <v> 1 [Included with Registration] / Included Insurance   -  - </v>
      </c>
      <c r="H7" s="65"/>
      <c r="I7" s="65"/>
      <c r="J7" s="108" t="str">
        <f>IFERROR(__xludf.DUMMYFUNCTION("""COMPUTED_VALUE"""),"03:00 PM to 05:00 PM")</f>
        <v>03:00 PM to 05:00 PM</v>
      </c>
      <c r="K7" s="103">
        <f>IFERROR(__xludf.DUMMYFUNCTION("""COMPUTED_VALUE"""),45883.0)</f>
        <v>45883</v>
      </c>
      <c r="L7" s="65" t="str">
        <f>IFERROR(__xludf.DUMMYFUNCTION("""COMPUTED_VALUE""")," ")</f>
        <v> </v>
      </c>
      <c r="M7" s="65" t="str">
        <f>IFERROR(__xludf.DUMMYFUNCTION("""COMPUTED_VALUE"""),"761 Syracuse Avenue Apt 2")</f>
        <v>761 Syracuse Avenue Apt 2</v>
      </c>
      <c r="N7" s="65"/>
    </row>
    <row r="8">
      <c r="A8" s="99" t="str">
        <f>IFERROR(__xludf.DUMMYFUNCTION("""COMPUTED_VALUE"""),"https://utrucking.com/admin/orders/5922373697724")</f>
        <v>https://utrucking.com/admin/orders/5922373697724</v>
      </c>
      <c r="B8" s="61" t="str">
        <f>IFERROR(__xludf.DUMMYFUNCTION("""COMPUTED_VALUE"""),"#15908")</f>
        <v>#15908</v>
      </c>
      <c r="C8" s="61" t="str">
        <f>IFERROR(__xludf.DUMMYFUNCTION("""COMPUTED_VALUE"""),"huang.v.s@wustl.edu")</f>
        <v>huang.v.s@wustl.edu</v>
      </c>
      <c r="D8" s="61">
        <f>IFERROR(__xludf.DUMMYFUNCTION("""COMPUTED_VALUE"""),9.862196068E9)</f>
        <v>9862196068</v>
      </c>
      <c r="E8" s="61" t="str">
        <f>IFERROR(__xludf.DUMMYFUNCTION("""COMPUTED_VALUE"""),"Victor Huang")</f>
        <v>Victor Huang</v>
      </c>
      <c r="F8" s="61"/>
      <c r="G8" s="61" t="str">
        <f>IFERROR(__xludf.DUMMYFUNCTION("""COMPUTED_VALUE""")," 1 [Included with Registration] / Included Insurance   -  - ")</f>
        <v> 1 [Included with Registration] / Included Insurance   -  - </v>
      </c>
      <c r="H8" s="61" t="str">
        <f>IFERROR(__xludf.DUMMYFUNCTION("""COMPUTED_VALUE"""),"Mudd  ")</f>
        <v>Mudd  </v>
      </c>
      <c r="I8" s="61" t="str">
        <f>IFERROR(__xludf.DUMMYFUNCTION("""COMPUTED_VALUE"""),"210")</f>
        <v>210</v>
      </c>
      <c r="J8" s="107" t="str">
        <f>IFERROR(__xludf.DUMMYFUNCTION("""COMPUTED_VALUE"""),"09:00 AM to 11:00 AM  ")</f>
        <v>09:00 AM to 11:00 AM  </v>
      </c>
      <c r="K8" s="100">
        <f>IFERROR(__xludf.DUMMYFUNCTION("""COMPUTED_VALUE"""),45875.0)</f>
        <v>45875</v>
      </c>
      <c r="L8" s="61" t="str">
        <f>IFERROR(__xludf.DUMMYFUNCTION("""COMPUTED_VALUE""")," ")</f>
        <v> </v>
      </c>
      <c r="M8" s="61"/>
      <c r="N8" s="61"/>
    </row>
    <row r="9">
      <c r="A9" s="102" t="str">
        <f>IFERROR(__xludf.DUMMYFUNCTION("""COMPUTED_VALUE"""),"https://utrucking.com/admin/orders/5927144587452")</f>
        <v>https://utrucking.com/admin/orders/5927144587452</v>
      </c>
      <c r="B9" s="65" t="str">
        <f>IFERROR(__xludf.DUMMYFUNCTION("""COMPUTED_VALUE"""),"#16028")</f>
        <v>#16028</v>
      </c>
      <c r="C9" s="65"/>
      <c r="D9" s="65">
        <f>IFERROR(__xludf.DUMMYFUNCTION("""COMPUTED_VALUE"""),2.158375659E9)</f>
        <v>2158375659</v>
      </c>
      <c r="E9" s="65" t="str">
        <f>IFERROR(__xludf.DUMMYFUNCTION("""COMPUTED_VALUE"""),"Joshua Freeman")</f>
        <v>Joshua Freeman</v>
      </c>
      <c r="F9" s="65"/>
      <c r="G9" s="65" t="str">
        <f>IFERROR(__xludf.DUMMYFUNCTION("""COMPUTED_VALUE"""),"    -  - ")</f>
        <v>    -  - </v>
      </c>
      <c r="H9" s="65" t="str">
        <f>IFERROR(__xludf.DUMMYFUNCTION("""COMPUTED_VALUE"""),"Village East  ")</f>
        <v>Village East  </v>
      </c>
      <c r="I9" s="65" t="str">
        <f>IFERROR(__xludf.DUMMYFUNCTION("""COMPUTED_VALUE"""),"3093")</f>
        <v>3093</v>
      </c>
      <c r="J9" s="108" t="str">
        <f>IFERROR(__xludf.DUMMYFUNCTION("""COMPUTED_VALUE"""),"09:00 AM to 11:00 AM")</f>
        <v>09:00 AM to 11:00 AM</v>
      </c>
      <c r="K9" s="103">
        <f>IFERROR(__xludf.DUMMYFUNCTION("""COMPUTED_VALUE"""),45878.0)</f>
        <v>45878</v>
      </c>
      <c r="L9" s="65" t="str">
        <f>IFERROR(__xludf.DUMMYFUNCTION("""COMPUTED_VALUE""")," ")</f>
        <v> </v>
      </c>
      <c r="M9" s="65"/>
      <c r="N9" s="65"/>
    </row>
    <row r="10">
      <c r="A10" s="99" t="str">
        <f>IFERROR(__xludf.DUMMYFUNCTION("""COMPUTED_VALUE"""),"https://utrucking.com/admin/orders/5940161183932")</f>
        <v>https://utrucking.com/admin/orders/5940161183932</v>
      </c>
      <c r="B10" s="61" t="str">
        <f>IFERROR(__xludf.DUMMYFUNCTION("""COMPUTED_VALUE"""),"#16313")</f>
        <v>#16313</v>
      </c>
      <c r="C10" s="61" t="str">
        <f>IFERROR(__xludf.DUMMYFUNCTION("""COMPUTED_VALUE"""),"hu.w.b@wustl.edu")</f>
        <v>hu.w.b@wustl.edu</v>
      </c>
      <c r="D10" s="61">
        <f>IFERROR(__xludf.DUMMYFUNCTION("""COMPUTED_VALUE"""),3.146806397E9)</f>
        <v>3146806397</v>
      </c>
      <c r="E10" s="61" t="str">
        <f>IFERROR(__xludf.DUMMYFUNCTION("""COMPUTED_VALUE"""),"William Hu")</f>
        <v>William Hu</v>
      </c>
      <c r="F10" s="61" t="str">
        <f>IFERROR(__xludf.DUMMYFUNCTION("""COMPUTED_VALUE"""),"William Hu")</f>
        <v>William Hu</v>
      </c>
      <c r="G10" s="61" t="str">
        <f>IFERROR(__xludf.DUMMYFUNCTION("""COMPUTED_VALUE""")," 1 [Included with Registration] / Included Insurance   - ")</f>
        <v> 1 [Included with Registration] / Included Insurance   - </v>
      </c>
      <c r="H10" s="61" t="str">
        <f>IFERROR(__xludf.DUMMYFUNCTION("""COMPUTED_VALUE"""),"Mudd  ")</f>
        <v>Mudd  </v>
      </c>
      <c r="I10" s="61" t="str">
        <f>IFERROR(__xludf.DUMMYFUNCTION("""COMPUTED_VALUE"""),"274")</f>
        <v>274</v>
      </c>
      <c r="J10" s="107" t="str">
        <f>IFERROR(__xludf.DUMMYFUNCTION("""COMPUTED_VALUE"""),"09:00 AM to 11:00 AM  ")</f>
        <v>09:00 AM to 11:00 AM  </v>
      </c>
      <c r="K10" s="100">
        <f>IFERROR(__xludf.DUMMYFUNCTION("""COMPUTED_VALUE"""),45887.0)</f>
        <v>45887</v>
      </c>
      <c r="L10" s="61" t="str">
        <f>IFERROR(__xludf.DUMMYFUNCTION("""COMPUTED_VALUE""")," ")</f>
        <v> </v>
      </c>
      <c r="M10" s="61"/>
      <c r="N10" s="61"/>
    </row>
    <row r="11">
      <c r="A11" s="102" t="str">
        <f>IFERROR(__xludf.DUMMYFUNCTION("""COMPUTED_VALUE"""),"https://utrucking.com/admin/orders/5954030043324")</f>
        <v>https://utrucking.com/admin/orders/5954030043324</v>
      </c>
      <c r="B11" s="65" t="str">
        <f>IFERROR(__xludf.DUMMYFUNCTION("""COMPUTED_VALUE"""),"#16527")</f>
        <v>#16527</v>
      </c>
      <c r="C11" s="65"/>
      <c r="D11" s="65">
        <f>IFERROR(__xludf.DUMMYFUNCTION("""COMPUTED_VALUE"""),8.589995331E9)</f>
        <v>8589995331</v>
      </c>
      <c r="E11" s="65" t="str">
        <f>IFERROR(__xludf.DUMMYFUNCTION("""COMPUTED_VALUE"""),"Adam Mofid")</f>
        <v>Adam Mofid</v>
      </c>
      <c r="F11" s="65" t="str">
        <f>IFERROR(__xludf.DUMMYFUNCTION("""COMPUTED_VALUE"""),"Nick Olsson")</f>
        <v>Nick Olsson</v>
      </c>
      <c r="G11" s="65" t="str">
        <f>IFERROR(__xludf.DUMMYFUNCTION("""COMPUTED_VALUE""")," 2 / Included Insurance   - ")</f>
        <v> 2 / Included Insurance   - </v>
      </c>
      <c r="H11" s="65" t="str">
        <f>IFERROR(__xludf.DUMMYFUNCTION("""COMPUTED_VALUE"""),"Eliot A  ")</f>
        <v>Eliot A  </v>
      </c>
      <c r="I11" s="65" t="str">
        <f>IFERROR(__xludf.DUMMYFUNCTION("""COMPUTED_VALUE"""),"0301")</f>
        <v>0301</v>
      </c>
      <c r="J11" s="108" t="str">
        <f>IFERROR(__xludf.DUMMYFUNCTION("""COMPUTED_VALUE"""),"11:00 AM to 01:00 PM  ")</f>
        <v>11:00 AM to 01:00 PM  </v>
      </c>
      <c r="K11" s="103">
        <f>IFERROR(__xludf.DUMMYFUNCTION("""COMPUTED_VALUE"""),45898.0)</f>
        <v>45898</v>
      </c>
      <c r="L11" s="65" t="str">
        <f>IFERROR(__xludf.DUMMYFUNCTION("""COMPUTED_VALUE""")," ")</f>
        <v> </v>
      </c>
      <c r="M11" s="65"/>
      <c r="N11" s="65"/>
    </row>
    <row r="12">
      <c r="A12" s="99" t="str">
        <f>IFERROR(__xludf.DUMMYFUNCTION("""COMPUTED_VALUE"""),"https://utrucking.com/admin/orders/6179775054012")</f>
        <v>https://utrucking.com/admin/orders/6179775054012</v>
      </c>
      <c r="B12" s="61" t="str">
        <f>IFERROR(__xludf.DUMMYFUNCTION("""COMPUTED_VALUE"""),"#16693")</f>
        <v>#16693</v>
      </c>
      <c r="C12" s="61" t="str">
        <f>IFERROR(__xludf.DUMMYFUNCTION("""COMPUTED_VALUE"""),"jackie.h.wang@wustl.edu")</f>
        <v>jackie.h.wang@wustl.edu</v>
      </c>
      <c r="D12" s="61">
        <f>IFERROR(__xludf.DUMMYFUNCTION("""COMPUTED_VALUE"""),5.103581873E9)</f>
        <v>5103581873</v>
      </c>
      <c r="E12" s="61" t="str">
        <f>IFERROR(__xludf.DUMMYFUNCTION("""COMPUTED_VALUE"""),"Jackie Wang")</f>
        <v>Jackie Wang</v>
      </c>
      <c r="F12" s="61" t="str">
        <f>IFERROR(__xludf.DUMMYFUNCTION("""COMPUTED_VALUE"""),"Jackie Wang")</f>
        <v>Jackie Wang</v>
      </c>
      <c r="G12" s="61" t="str">
        <f>IFERROR(__xludf.DUMMYFUNCTION("""COMPUTED_VALUE""")," 1 [Included with Registration] / Included Insurance   - ")</f>
        <v> 1 [Included with Registration] / Included Insurance   - </v>
      </c>
      <c r="H12" s="61" t="str">
        <f>IFERROR(__xludf.DUMMYFUNCTION("""COMPUTED_VALUE"""),"Village East  ")</f>
        <v>Village East  </v>
      </c>
      <c r="I12" s="61" t="str">
        <f>IFERROR(__xludf.DUMMYFUNCTION("""COMPUTED_VALUE"""),"1030")</f>
        <v>1030</v>
      </c>
      <c r="J12" s="107" t="str">
        <f>IFERROR(__xludf.DUMMYFUNCTION("""COMPUTED_VALUE"""),"12:00 PM to 02:00 PM  ")</f>
        <v>12:00 PM to 02:00 PM  </v>
      </c>
      <c r="K12" s="100">
        <f>IFERROR(__xludf.DUMMYFUNCTION("""COMPUTED_VALUE"""),46006.0)</f>
        <v>46006</v>
      </c>
      <c r="L12" s="61" t="str">
        <f>IFERROR(__xludf.DUMMYFUNCTION("""COMPUTED_VALUE""")," ")</f>
        <v> </v>
      </c>
      <c r="M12" s="61"/>
      <c r="N12" s="61"/>
    </row>
    <row r="13">
      <c r="A13" s="102" t="str">
        <f>IFERROR(__xludf.DUMMYFUNCTION("""COMPUTED_VALUE"""),"https://utrucking.com/admin/orders/6192601006268")</f>
        <v>https://utrucking.com/admin/orders/6192601006268</v>
      </c>
      <c r="B13" s="65" t="str">
        <f>IFERROR(__xludf.DUMMYFUNCTION("""COMPUTED_VALUE"""),"#16716")</f>
        <v>#16716</v>
      </c>
      <c r="C13" s="65"/>
      <c r="D13" s="65">
        <f>IFERROR(__xludf.DUMMYFUNCTION("""COMPUTED_VALUE"""),1.3146806397E10)</f>
        <v>13146806397</v>
      </c>
      <c r="E13" s="65" t="str">
        <f>IFERROR(__xludf.DUMMYFUNCTION("""COMPUTED_VALUE"""),"William Hu")</f>
        <v>William Hu</v>
      </c>
      <c r="F13" s="65" t="str">
        <f>IFERROR(__xludf.DUMMYFUNCTION("""COMPUTED_VALUE"""),"William Hu")</f>
        <v>William Hu</v>
      </c>
      <c r="G13" s="65" t="str">
        <f>IFERROR(__xludf.DUMMYFUNCTION("""COMPUTED_VALUE""")," 1 [Included with Registration] / Included Insurance   - ")</f>
        <v> 1 [Included with Registration] / Included Insurance   - </v>
      </c>
      <c r="H13" s="65" t="str">
        <f>IFERROR(__xludf.DUMMYFUNCTION("""COMPUTED_VALUE"""),"Lopata  ")</f>
        <v>Lopata  </v>
      </c>
      <c r="I13" s="65" t="str">
        <f>IFERROR(__xludf.DUMMYFUNCTION("""COMPUTED_VALUE"""),"2081")</f>
        <v>2081</v>
      </c>
      <c r="J13" s="108" t="str">
        <f>IFERROR(__xludf.DUMMYFUNCTION("""COMPUTED_VALUE"""),"09:00 AM to 11:00 AM  ")</f>
        <v>09:00 AM to 11:00 AM  </v>
      </c>
      <c r="K13" s="103">
        <f>IFERROR(__xludf.DUMMYFUNCTION("""COMPUTED_VALUE"""),46009.0)</f>
        <v>46009</v>
      </c>
      <c r="L13" s="65" t="str">
        <f>IFERROR(__xludf.DUMMYFUNCTION("""COMPUTED_VALUE""")," ")</f>
        <v> </v>
      </c>
      <c r="M13" s="65"/>
      <c r="N13" s="65"/>
    </row>
    <row r="14">
      <c r="A14" s="99" t="str">
        <f>IFERROR(__xludf.DUMMYFUNCTION("""COMPUTED_VALUE"""),"https://utrucking.com/admin/orders/6209501855932")</f>
        <v>https://utrucking.com/admin/orders/6209501855932</v>
      </c>
      <c r="B14" s="61" t="str">
        <f>IFERROR(__xludf.DUMMYFUNCTION("""COMPUTED_VALUE"""),"#16755")</f>
        <v>#16755</v>
      </c>
      <c r="C14" s="61" t="str">
        <f>IFERROR(__xludf.DUMMYFUNCTION("""COMPUTED_VALUE"""),"ratnajag@gmail.com")</f>
        <v>ratnajag@gmail.com</v>
      </c>
      <c r="D14" s="61" t="str">
        <f>IFERROR(__xludf.DUMMYFUNCTION("""COMPUTED_VALUE"""),"720-221-4486")</f>
        <v>720-221-4486</v>
      </c>
      <c r="E14" s="61" t="str">
        <f>IFERROR(__xludf.DUMMYFUNCTION("""COMPUTED_VALUE"""),"Ratna Contractor Gupta")</f>
        <v>Ratna Contractor Gupta</v>
      </c>
      <c r="F14" s="61" t="str">
        <f>IFERROR(__xludf.DUMMYFUNCTION("""COMPUTED_VALUE"""),"Diya Gupta")</f>
        <v>Diya Gupta</v>
      </c>
      <c r="G14" s="61" t="str">
        <f>IFERROR(__xludf.DUMMYFUNCTION("""COMPUTED_VALUE""")," 1 [Included with Registration] / Included Insurance   - ")</f>
        <v> 1 [Included with Registration] / Included Insurance   - </v>
      </c>
      <c r="H14" s="61" t="str">
        <f>IFERROR(__xludf.DUMMYFUNCTION("""COMPUTED_VALUE"""),"Hurd  ")</f>
        <v>Hurd  </v>
      </c>
      <c r="I14" s="61" t="str">
        <f>IFERROR(__xludf.DUMMYFUNCTION("""COMPUTED_VALUE"""),"420 ")</f>
        <v>420 </v>
      </c>
      <c r="J14" s="107" t="str">
        <f>IFERROR(__xludf.DUMMYFUNCTION("""COMPUTED_VALUE"""),"01:00 PM to 03:00 PM  ")</f>
        <v>01:00 PM to 03:00 PM  </v>
      </c>
      <c r="K14" s="100">
        <f>IFERROR(__xludf.DUMMYFUNCTION("""COMPUTED_VALUE"""),46148.0)</f>
        <v>46148</v>
      </c>
      <c r="L14" s="61" t="str">
        <f>IFERROR(__xludf.DUMMYFUNCTION("""COMPUTED_VALUE""")," ")</f>
        <v> </v>
      </c>
      <c r="M14" s="61"/>
      <c r="N14" s="61"/>
    </row>
    <row r="15">
      <c r="A15" s="102" t="str">
        <f>IFERROR(__xludf.DUMMYFUNCTION("""COMPUTED_VALUE"""),"https://utrucking.com/admin/orders/6228539932860")</f>
        <v>https://utrucking.com/admin/orders/6228539932860</v>
      </c>
      <c r="B15" s="65" t="str">
        <f>IFERROR(__xludf.DUMMYFUNCTION("""COMPUTED_VALUE"""),"#16777")</f>
        <v>#16777</v>
      </c>
      <c r="C15" s="65"/>
      <c r="D15" s="65">
        <f>IFERROR(__xludf.DUMMYFUNCTION("""COMPUTED_VALUE"""),6.78325846E9)</f>
        <v>6783258460</v>
      </c>
      <c r="E15" s="65" t="str">
        <f>IFERROR(__xludf.DUMMYFUNCTION("""COMPUTED_VALUE"""),"Tiffany Johnson")</f>
        <v>Tiffany Johnson</v>
      </c>
      <c r="F15" s="65" t="str">
        <f>IFERROR(__xludf.DUMMYFUNCTION("""COMPUTED_VALUE"""),"Kaylie Stephens ")</f>
        <v>Kaylie Stephens </v>
      </c>
      <c r="G15" s="65" t="str">
        <f>IFERROR(__xludf.DUMMYFUNCTION("""COMPUTED_VALUE""")," 1 [Included with Registration] / Included Insurance   - ")</f>
        <v> 1 [Included with Registration] / Included Insurance   - </v>
      </c>
      <c r="H15" s="65" t="str">
        <f>IFERROR(__xludf.DUMMYFUNCTION("""COMPUTED_VALUE"""),"Myers  ")</f>
        <v>Myers  </v>
      </c>
      <c r="I15" s="65" t="str">
        <f>IFERROR(__xludf.DUMMYFUNCTION("""COMPUTED_VALUE"""),"231")</f>
        <v>231</v>
      </c>
      <c r="J15" s="108" t="str">
        <f>IFERROR(__xludf.DUMMYFUNCTION("""COMPUTED_VALUE"""),"09:00 AM to 11:00 AM  ")</f>
        <v>09:00 AM to 11:00 AM  </v>
      </c>
      <c r="K15" s="103">
        <f>IFERROR(__xludf.DUMMYFUNCTION("""COMPUTED_VALUE"""),46148.0)</f>
        <v>46148</v>
      </c>
      <c r="L15" s="65" t="str">
        <f>IFERROR(__xludf.DUMMYFUNCTION("""COMPUTED_VALUE""")," ")</f>
        <v> </v>
      </c>
      <c r="M15" s="65"/>
      <c r="N15" s="65"/>
    </row>
    <row r="16">
      <c r="A16" s="99" t="str">
        <f>IFERROR(__xludf.DUMMYFUNCTION("""COMPUTED_VALUE"""),"https://utrucking.com/admin/orders/6280053817532")</f>
        <v>https://utrucking.com/admin/orders/6280053817532</v>
      </c>
      <c r="B16" s="61" t="str">
        <f>IFERROR(__xludf.DUMMYFUNCTION("""COMPUTED_VALUE"""),"#16785")</f>
        <v>#16785</v>
      </c>
      <c r="C16" s="61" t="str">
        <f>IFERROR(__xludf.DUMMYFUNCTION("""COMPUTED_VALUE"""),"elizaschulman@gmail.com")</f>
        <v>elizaschulman@gmail.com</v>
      </c>
      <c r="D16" s="61">
        <f>IFERROR(__xludf.DUMMYFUNCTION("""COMPUTED_VALUE"""),5.16606386E9)</f>
        <v>5166063860</v>
      </c>
      <c r="E16" s="61" t="str">
        <f>IFERROR(__xludf.DUMMYFUNCTION("""COMPUTED_VALUE"""),"Eliza Schulman")</f>
        <v>Eliza Schulman</v>
      </c>
      <c r="F16" s="61" t="str">
        <f>IFERROR(__xludf.DUMMYFUNCTION("""COMPUTED_VALUE"""),"Eliza Schulman")</f>
        <v>Eliza Schulman</v>
      </c>
      <c r="G16" s="61" t="str">
        <f>IFERROR(__xludf.DUMMYFUNCTION("""COMPUTED_VALUE""")," 1 [Included with Registration] / Included Insurance   - ")</f>
        <v> 1 [Included with Registration] / Included Insurance   - </v>
      </c>
      <c r="H16" s="61" t="str">
        <f>IFERROR(__xludf.DUMMYFUNCTION("""COMPUTED_VALUE"""),"Rutledge  ")</f>
        <v>Rutledge  </v>
      </c>
      <c r="I16" s="61" t="str">
        <f>IFERROR(__xludf.DUMMYFUNCTION("""COMPUTED_VALUE"""),"121")</f>
        <v>121</v>
      </c>
      <c r="J16" s="107" t="str">
        <f>IFERROR(__xludf.DUMMYFUNCTION("""COMPUTED_VALUE"""),"09:00 AM to 11:00 AM  ")</f>
        <v>09:00 AM to 11:00 AM  </v>
      </c>
      <c r="K16" s="100">
        <f>IFERROR(__xludf.DUMMYFUNCTION("""COMPUTED_VALUE"""),46148.0)</f>
        <v>46148</v>
      </c>
      <c r="L16" s="61" t="str">
        <f>IFERROR(__xludf.DUMMYFUNCTION("""COMPUTED_VALUE""")," ")</f>
        <v> </v>
      </c>
      <c r="M16" s="61"/>
      <c r="N16" s="61"/>
    </row>
    <row r="17">
      <c r="A17" s="102" t="str">
        <f>IFERROR(__xludf.DUMMYFUNCTION("""COMPUTED_VALUE"""),"https://utrucking.com/admin/orders/6280636432572")</f>
        <v>https://utrucking.com/admin/orders/6280636432572</v>
      </c>
      <c r="B17" s="65" t="str">
        <f>IFERROR(__xludf.DUMMYFUNCTION("""COMPUTED_VALUE"""),"#16786")</f>
        <v>#16786</v>
      </c>
      <c r="C17" s="65" t="str">
        <f>IFERROR(__xludf.DUMMYFUNCTION("""COMPUTED_VALUE"""),"RebeccaBurack@gmail.com")</f>
        <v>RebeccaBurack@gmail.com</v>
      </c>
      <c r="D17" s="65"/>
      <c r="E17" s="65" t="str">
        <f>IFERROR(__xludf.DUMMYFUNCTION("""COMPUTED_VALUE"""),"Rebecca Burack")</f>
        <v>Rebecca Burack</v>
      </c>
      <c r="F17" s="65" t="str">
        <f>IFERROR(__xludf.DUMMYFUNCTION("""COMPUTED_VALUE"""),"Ethan Burack")</f>
        <v>Ethan Burack</v>
      </c>
      <c r="G17" s="65" t="str">
        <f>IFERROR(__xludf.DUMMYFUNCTION("""COMPUTED_VALUE""")," 1 [Included with Registration] / Included Insurance   - ")</f>
        <v> 1 [Included with Registration] / Included Insurance   - </v>
      </c>
      <c r="H17" s="65" t="str">
        <f>IFERROR(__xludf.DUMMYFUNCTION("""COMPUTED_VALUE"""),"Dardick  ")</f>
        <v>Dardick  </v>
      </c>
      <c r="I17" s="65" t="str">
        <f>IFERROR(__xludf.DUMMYFUNCTION("""COMPUTED_VALUE"""),"4408")</f>
        <v>4408</v>
      </c>
      <c r="J17" s="108" t="str">
        <f>IFERROR(__xludf.DUMMYFUNCTION("""COMPUTED_VALUE"""),"12:00 PM to 02:00 PM  ")</f>
        <v>12:00 PM to 02:00 PM  </v>
      </c>
      <c r="K17" s="103">
        <f>IFERROR(__xludf.DUMMYFUNCTION("""COMPUTED_VALUE"""),46149.0)</f>
        <v>46149</v>
      </c>
      <c r="L17" s="65" t="str">
        <f>IFERROR(__xludf.DUMMYFUNCTION("""COMPUTED_VALUE""")," ")</f>
        <v> </v>
      </c>
      <c r="M17" s="65"/>
      <c r="N17" s="65"/>
    </row>
    <row r="18">
      <c r="A18" s="99" t="str">
        <f>IFERROR(__xludf.DUMMYFUNCTION("""COMPUTED_VALUE"""),"https://utrucking.com/admin/orders/6293902917820")</f>
        <v>https://utrucking.com/admin/orders/6293902917820</v>
      </c>
      <c r="B18" s="61" t="str">
        <f>IFERROR(__xludf.DUMMYFUNCTION("""COMPUTED_VALUE"""),"#16809")</f>
        <v>#16809</v>
      </c>
      <c r="C18" s="61" t="str">
        <f>IFERROR(__xludf.DUMMYFUNCTION("""COMPUTED_VALUE"""),"Marlowe@wustl.edu")</f>
        <v>Marlowe@wustl.edu</v>
      </c>
      <c r="D18" s="61">
        <f>IFERROR(__xludf.DUMMYFUNCTION("""COMPUTED_VALUE"""),9.178254484E9)</f>
        <v>9178254484</v>
      </c>
      <c r="E18" s="61" t="str">
        <f>IFERROR(__xludf.DUMMYFUNCTION("""COMPUTED_VALUE"""),"Staci Marlowe")</f>
        <v>Staci Marlowe</v>
      </c>
      <c r="F18" s="61" t="str">
        <f>IFERROR(__xludf.DUMMYFUNCTION("""COMPUTED_VALUE"""),"Taylor Marlowe")</f>
        <v>Taylor Marlowe</v>
      </c>
      <c r="G18" s="61" t="str">
        <f>IFERROR(__xludf.DUMMYFUNCTION("""COMPUTED_VALUE""")," 1 [Included with Registration] / Included Insurance   - ")</f>
        <v> 1 [Included with Registration] / Included Insurance   - </v>
      </c>
      <c r="H18" s="61" t="str">
        <f>IFERROR(__xludf.DUMMYFUNCTION("""COMPUTED_VALUE"""),"Lien  ")</f>
        <v>Lien  </v>
      </c>
      <c r="I18" s="61" t="str">
        <f>IFERROR(__xludf.DUMMYFUNCTION("""COMPUTED_VALUE"""),"3331")</f>
        <v>3331</v>
      </c>
      <c r="J18" s="107" t="str">
        <f>IFERROR(__xludf.DUMMYFUNCTION("""COMPUTED_VALUE"""),"09:00 AM to 11:00 AM  ")</f>
        <v>09:00 AM to 11:00 AM  </v>
      </c>
      <c r="K18" s="100">
        <f>IFERROR(__xludf.DUMMYFUNCTION("""COMPUTED_VALUE"""),46149.0)</f>
        <v>46149</v>
      </c>
      <c r="L18" s="61" t="str">
        <f>IFERROR(__xludf.DUMMYFUNCTION("""COMPUTED_VALUE""")," ")</f>
        <v> </v>
      </c>
      <c r="M18" s="61"/>
      <c r="N18" s="61"/>
    </row>
    <row r="19">
      <c r="A19" s="102" t="str">
        <f>IFERROR(__xludf.DUMMYFUNCTION("""COMPUTED_VALUE"""),"https://utrucking.com/admin/orders/6293951611068")</f>
        <v>https://utrucking.com/admin/orders/6293951611068</v>
      </c>
      <c r="B19" s="65" t="str">
        <f>IFERROR(__xludf.DUMMYFUNCTION("""COMPUTED_VALUE"""),"#16810")</f>
        <v>#16810</v>
      </c>
      <c r="C19" s="65"/>
      <c r="D19" s="65">
        <f>IFERROR(__xludf.DUMMYFUNCTION("""COMPUTED_VALUE"""),2.012744645E9)</f>
        <v>2012744645</v>
      </c>
      <c r="E19" s="65" t="str">
        <f>IFERROR(__xludf.DUMMYFUNCTION("""COMPUTED_VALUE"""),"Darcy Bialick")</f>
        <v>Darcy Bialick</v>
      </c>
      <c r="F19" s="65" t="str">
        <f>IFERROR(__xludf.DUMMYFUNCTION("""COMPUTED_VALUE"""),"Darcy Bialick")</f>
        <v>Darcy Bialick</v>
      </c>
      <c r="G19" s="65" t="str">
        <f>IFERROR(__xludf.DUMMYFUNCTION("""COMPUTED_VALUE""")," 1 [Included with Registration] / Included Insurance   - ")</f>
        <v> 1 [Included with Registration] / Included Insurance   - </v>
      </c>
      <c r="H19" s="65" t="str">
        <f>IFERROR(__xludf.DUMMYFUNCTION("""COMPUTED_VALUE"""),"Danforth  ")</f>
        <v>Danforth  </v>
      </c>
      <c r="I19" s="65" t="str">
        <f>IFERROR(__xludf.DUMMYFUNCTION("""COMPUTED_VALUE"""),"4427A")</f>
        <v>4427A</v>
      </c>
      <c r="J19" s="108" t="str">
        <f>IFERROR(__xludf.DUMMYFUNCTION("""COMPUTED_VALUE"""),"03:00 PM to 05:00 PM")</f>
        <v>03:00 PM to 05:00 PM</v>
      </c>
      <c r="K19" s="103">
        <f>IFERROR(__xludf.DUMMYFUNCTION("""COMPUTED_VALUE"""),46149.0)</f>
        <v>46149</v>
      </c>
      <c r="L19" s="65" t="str">
        <f>IFERROR(__xludf.DUMMYFUNCTION("""COMPUTED_VALUE""")," ")</f>
        <v> </v>
      </c>
      <c r="M19" s="65"/>
      <c r="N19" s="65"/>
    </row>
    <row r="20">
      <c r="A20" s="99" t="str">
        <f>IFERROR(__xludf.DUMMYFUNCTION("""COMPUTED_VALUE"""),"https://utrucking.com/admin/orders/6303486509244")</f>
        <v>https://utrucking.com/admin/orders/6303486509244</v>
      </c>
      <c r="B20" s="61" t="str">
        <f>IFERROR(__xludf.DUMMYFUNCTION("""COMPUTED_VALUE"""),"#16814")</f>
        <v>#16814</v>
      </c>
      <c r="C20" s="61" t="str">
        <f>IFERROR(__xludf.DUMMYFUNCTION("""COMPUTED_VALUE"""),"a.cherish@wustl.edu")</f>
        <v>a.cherish@wustl.edu</v>
      </c>
      <c r="D20" s="61">
        <f>IFERROR(__xludf.DUMMYFUNCTION("""COMPUTED_VALUE"""),8.325713206E9)</f>
        <v>8325713206</v>
      </c>
      <c r="E20" s="61" t="str">
        <f>IFERROR(__xludf.DUMMYFUNCTION("""COMPUTED_VALUE"""),"Cherish Amby-Okolo")</f>
        <v>Cherish Amby-Okolo</v>
      </c>
      <c r="F20" s="61" t="str">
        <f>IFERROR(__xludf.DUMMYFUNCTION("""COMPUTED_VALUE"""),"Cherish Amby-Okolo")</f>
        <v>Cherish Amby-Okolo</v>
      </c>
      <c r="G20" s="61" t="str">
        <f>IFERROR(__xludf.DUMMYFUNCTION("""COMPUTED_VALUE""")," 1 [Included with Registration] / Included Insurance   - ")</f>
        <v> 1 [Included with Registration] / Included Insurance   - </v>
      </c>
      <c r="H20" s="61" t="str">
        <f>IFERROR(__xludf.DUMMYFUNCTION("""COMPUTED_VALUE"""),"Eliot B (Sophomore Dorm)")</f>
        <v>Eliot B (Sophomore Dorm)</v>
      </c>
      <c r="I20" s="61" t="str">
        <f>IFERROR(__xludf.DUMMYFUNCTION("""COMPUTED_VALUE"""),"1031")</f>
        <v>1031</v>
      </c>
      <c r="J20" s="107" t="str">
        <f>IFERROR(__xludf.DUMMYFUNCTION("""COMPUTED_VALUE"""),"09:00 AM to 11:00 AM  ")</f>
        <v>09:00 AM to 11:00 AM  </v>
      </c>
      <c r="K20" s="100">
        <f>IFERROR(__xludf.DUMMYFUNCTION("""COMPUTED_VALUE"""),46149.0)</f>
        <v>46149</v>
      </c>
      <c r="L20" s="61" t="str">
        <f>IFERROR(__xludf.DUMMYFUNCTION("""COMPUTED_VALUE""")," ")</f>
        <v> </v>
      </c>
      <c r="M20" s="61"/>
      <c r="N20" s="61"/>
    </row>
    <row r="21">
      <c r="A21" s="102" t="str">
        <f>IFERROR(__xludf.DUMMYFUNCTION("""COMPUTED_VALUE"""),"https://utrucking.com/admin/orders/6303486542012")</f>
        <v>https://utrucking.com/admin/orders/6303486542012</v>
      </c>
      <c r="B21" s="65" t="str">
        <f>IFERROR(__xludf.DUMMYFUNCTION("""COMPUTED_VALUE"""),"#16815")</f>
        <v>#16815</v>
      </c>
      <c r="C21" s="65" t="str">
        <f>IFERROR(__xludf.DUMMYFUNCTION("""COMPUTED_VALUE"""),"c.a.goebel@wustl.edu")</f>
        <v>c.a.goebel@wustl.edu</v>
      </c>
      <c r="D21" s="65">
        <f>IFERROR(__xludf.DUMMYFUNCTION("""COMPUTED_VALUE"""),7.819645636E9)</f>
        <v>7819645636</v>
      </c>
      <c r="E21" s="65" t="str">
        <f>IFERROR(__xludf.DUMMYFUNCTION("""COMPUTED_VALUE"""),"Amy Goebel")</f>
        <v>Amy Goebel</v>
      </c>
      <c r="F21" s="65" t="str">
        <f>IFERROR(__xludf.DUMMYFUNCTION("""COMPUTED_VALUE"""),"Caroline Goebel")</f>
        <v>Caroline Goebel</v>
      </c>
      <c r="G21" s="65" t="str">
        <f>IFERROR(__xludf.DUMMYFUNCTION("""COMPUTED_VALUE""")," 1 [Included with Registration] / Included Insurance   - ")</f>
        <v> 1 [Included with Registration] / Included Insurance   - </v>
      </c>
      <c r="H21" s="65" t="str">
        <f>IFERROR(__xludf.DUMMYFUNCTION("""COMPUTED_VALUE"""),"Nemerov  ")</f>
        <v>Nemerov  </v>
      </c>
      <c r="I21" s="65" t="str">
        <f>IFERROR(__xludf.DUMMYFUNCTION("""COMPUTED_VALUE"""),"3081")</f>
        <v>3081</v>
      </c>
      <c r="J21" s="108" t="str">
        <f>IFERROR(__xludf.DUMMYFUNCTION("""COMPUTED_VALUE"""),"09:00 AM to 11:00 AM  ")</f>
        <v>09:00 AM to 11:00 AM  </v>
      </c>
      <c r="K21" s="103">
        <f>IFERROR(__xludf.DUMMYFUNCTION("""COMPUTED_VALUE"""),46157.0)</f>
        <v>46157</v>
      </c>
      <c r="L21" s="65" t="str">
        <f>IFERROR(__xludf.DUMMYFUNCTION("""COMPUTED_VALUE""")," ")</f>
        <v> </v>
      </c>
      <c r="M21" s="65"/>
      <c r="N21" s="65"/>
    </row>
    <row r="22">
      <c r="A22" s="99" t="str">
        <f>IFERROR(__xludf.DUMMYFUNCTION("""COMPUTED_VALUE"""),"https://utrucking.com/admin/orders/6303485657276")</f>
        <v>https://utrucking.com/admin/orders/6303485657276</v>
      </c>
      <c r="B22" s="61" t="str">
        <f>IFERROR(__xludf.DUMMYFUNCTION("""COMPUTED_VALUE"""),"#16813")</f>
        <v>#16813</v>
      </c>
      <c r="C22" s="61" t="str">
        <f>IFERROR(__xludf.DUMMYFUNCTION("""COMPUTED_VALUE"""),"jackie.kershner@icloud.com")</f>
        <v>jackie.kershner@icloud.com</v>
      </c>
      <c r="D22" s="61">
        <f>IFERROR(__xludf.DUMMYFUNCTION("""COMPUTED_VALUE"""),9.175660907E9)</f>
        <v>9175660907</v>
      </c>
      <c r="E22" s="61" t="str">
        <f>IFERROR(__xludf.DUMMYFUNCTION("""COMPUTED_VALUE"""),"Jackie Kershner")</f>
        <v>Jackie Kershner</v>
      </c>
      <c r="F22" s="61" t="str">
        <f>IFERROR(__xludf.DUMMYFUNCTION("""COMPUTED_VALUE"""),"Jackie Kershner")</f>
        <v>Jackie Kershner</v>
      </c>
      <c r="G22" s="61" t="str">
        <f>IFERROR(__xludf.DUMMYFUNCTION("""COMPUTED_VALUE""")," 1 [Included with Registration] / Included Insurance   - ")</f>
        <v> 1 [Included with Registration] / Included Insurance   - </v>
      </c>
      <c r="H22" s="61" t="str">
        <f>IFERROR(__xludf.DUMMYFUNCTION("""COMPUTED_VALUE"""),"Dardick  ")</f>
        <v>Dardick  </v>
      </c>
      <c r="I22" s="61" t="str">
        <f>IFERROR(__xludf.DUMMYFUNCTION("""COMPUTED_VALUE"""),"4402")</f>
        <v>4402</v>
      </c>
      <c r="J22" s="107" t="str">
        <f>IFERROR(__xludf.DUMMYFUNCTION("""COMPUTED_VALUE"""),"12:00 PM to 02:00 PM  ")</f>
        <v>12:00 PM to 02:00 PM  </v>
      </c>
      <c r="K22" s="100">
        <f>IFERROR(__xludf.DUMMYFUNCTION("""COMPUTED_VALUE"""),46147.0)</f>
        <v>46147</v>
      </c>
      <c r="L22" s="61" t="str">
        <f>IFERROR(__xludf.DUMMYFUNCTION("""COMPUTED_VALUE""")," ")</f>
        <v> </v>
      </c>
      <c r="M22" s="61"/>
      <c r="N22" s="61"/>
    </row>
    <row r="23">
      <c r="A23" s="102" t="str">
        <f>IFERROR(__xludf.DUMMYFUNCTION("""COMPUTED_VALUE"""),"https://utrucking.com/admin/orders/6303509315772")</f>
        <v>https://utrucking.com/admin/orders/6303509315772</v>
      </c>
      <c r="B23" s="65" t="str">
        <f>IFERROR(__xludf.DUMMYFUNCTION("""COMPUTED_VALUE"""),"#16816")</f>
        <v>#16816</v>
      </c>
      <c r="C23" s="65" t="str">
        <f>IFERROR(__xludf.DUMMYFUNCTION("""COMPUTED_VALUE"""),"kimmel@wustl.edu")</f>
        <v>kimmel@wustl.edu</v>
      </c>
      <c r="D23" s="65">
        <f>IFERROR(__xludf.DUMMYFUNCTION("""COMPUTED_VALUE"""),9.179410655E9)</f>
        <v>9179410655</v>
      </c>
      <c r="E23" s="65" t="str">
        <f>IFERROR(__xludf.DUMMYFUNCTION("""COMPUTED_VALUE"""),"Mark Kimmel")</f>
        <v>Mark Kimmel</v>
      </c>
      <c r="F23" s="65" t="str">
        <f>IFERROR(__xludf.DUMMYFUNCTION("""COMPUTED_VALUE"""),"Mark Kimmel")</f>
        <v>Mark Kimmel</v>
      </c>
      <c r="G23" s="65" t="str">
        <f>IFERROR(__xludf.DUMMYFUNCTION("""COMPUTED_VALUE""")," 1 [Included with Registration] / Included Insurance   - ")</f>
        <v> 1 [Included with Registration] / Included Insurance   - </v>
      </c>
      <c r="H23" s="65" t="str">
        <f>IFERROR(__xludf.DUMMYFUNCTION("""COMPUTED_VALUE"""),"Eliot B (Sophomore Dorm)")</f>
        <v>Eliot B (Sophomore Dorm)</v>
      </c>
      <c r="I23" s="65" t="str">
        <f>IFERROR(__xludf.DUMMYFUNCTION("""COMPUTED_VALUE"""),"3061")</f>
        <v>3061</v>
      </c>
      <c r="J23" s="108" t="str">
        <f>IFERROR(__xludf.DUMMYFUNCTION("""COMPUTED_VALUE"""),"09:00 AM to 11:00 AM  ")</f>
        <v>09:00 AM to 11:00 AM  </v>
      </c>
      <c r="K23" s="103">
        <f>IFERROR(__xludf.DUMMYFUNCTION("""COMPUTED_VALUE"""),46150.0)</f>
        <v>46150</v>
      </c>
      <c r="L23" s="65" t="str">
        <f>IFERROR(__xludf.DUMMYFUNCTION("""COMPUTED_VALUE""")," ")</f>
        <v> </v>
      </c>
      <c r="M23" s="65"/>
      <c r="N23" s="65"/>
    </row>
    <row r="24">
      <c r="A24" s="99" t="str">
        <f>IFERROR(__xludf.DUMMYFUNCTION("""COMPUTED_VALUE"""),"https://utrucking.com/admin/orders/6303615418556")</f>
        <v>https://utrucking.com/admin/orders/6303615418556</v>
      </c>
      <c r="B24" s="61" t="str">
        <f>IFERROR(__xludf.DUMMYFUNCTION("""COMPUTED_VALUE"""),"#16817")</f>
        <v>#16817</v>
      </c>
      <c r="C24" s="61" t="str">
        <f>IFERROR(__xludf.DUMMYFUNCTION("""COMPUTED_VALUE"""),"kennedyskylarhj@gmail.com")</f>
        <v>kennedyskylarhj@gmail.com</v>
      </c>
      <c r="D24" s="61">
        <f>IFERROR(__xludf.DUMMYFUNCTION("""COMPUTED_VALUE"""),9.548065446E9)</f>
        <v>9548065446</v>
      </c>
      <c r="E24" s="61" t="str">
        <f>IFERROR(__xludf.DUMMYFUNCTION("""COMPUTED_VALUE"""),"Julie Hack")</f>
        <v>Julie Hack</v>
      </c>
      <c r="F24" s="61" t="str">
        <f>IFERROR(__xludf.DUMMYFUNCTION("""COMPUTED_VALUE"""),"Kennedy Hack-Juman")</f>
        <v>Kennedy Hack-Juman</v>
      </c>
      <c r="G24" s="61" t="str">
        <f>IFERROR(__xludf.DUMMYFUNCTION("""COMPUTED_VALUE""")," 1 [Included with Registration] / Included Insurance   - ")</f>
        <v> 1 [Included with Registration] / Included Insurance   - </v>
      </c>
      <c r="H24" s="61" t="str">
        <f>IFERROR(__xludf.DUMMYFUNCTION("""COMPUTED_VALUE"""),"Lopata  ")</f>
        <v>Lopata  </v>
      </c>
      <c r="I24" s="61" t="str">
        <f>IFERROR(__xludf.DUMMYFUNCTION("""COMPUTED_VALUE"""),"3070")</f>
        <v>3070</v>
      </c>
      <c r="J24" s="107" t="str">
        <f>IFERROR(__xludf.DUMMYFUNCTION("""COMPUTED_VALUE"""),"09:00 AM to 11:00 AM  ")</f>
        <v>09:00 AM to 11:00 AM  </v>
      </c>
      <c r="K24" s="100">
        <f>IFERROR(__xludf.DUMMYFUNCTION("""COMPUTED_VALUE"""),46146.0)</f>
        <v>46146</v>
      </c>
      <c r="L24" s="61" t="str">
        <f>IFERROR(__xludf.DUMMYFUNCTION("""COMPUTED_VALUE""")," ")</f>
        <v> </v>
      </c>
      <c r="M24" s="61"/>
      <c r="N24" s="61"/>
    </row>
    <row r="25">
      <c r="A25" s="102" t="str">
        <f>IFERROR(__xludf.DUMMYFUNCTION("""COMPUTED_VALUE"""),"https://utrucking.com/admin/orders/6303682363580")</f>
        <v>https://utrucking.com/admin/orders/6303682363580</v>
      </c>
      <c r="B25" s="65" t="str">
        <f>IFERROR(__xludf.DUMMYFUNCTION("""COMPUTED_VALUE"""),"#16818")</f>
        <v>#16818</v>
      </c>
      <c r="C25" s="65" t="str">
        <f>IFERROR(__xludf.DUMMYFUNCTION("""COMPUTED_VALUE"""),"brittanychang1@gmail.com")</f>
        <v>brittanychang1@gmail.com</v>
      </c>
      <c r="D25" s="65">
        <f>IFERROR(__xludf.DUMMYFUNCTION("""COMPUTED_VALUE"""),3.126228414E9)</f>
        <v>3126228414</v>
      </c>
      <c r="E25" s="65" t="str">
        <f>IFERROR(__xludf.DUMMYFUNCTION("""COMPUTED_VALUE"""),"Brittany Chang")</f>
        <v>Brittany Chang</v>
      </c>
      <c r="F25" s="65" t="str">
        <f>IFERROR(__xludf.DUMMYFUNCTION("""COMPUTED_VALUE"""),"Brandon Chang")</f>
        <v>Brandon Chang</v>
      </c>
      <c r="G25" s="65" t="str">
        <f>IFERROR(__xludf.DUMMYFUNCTION("""COMPUTED_VALUE""")," 1 [Included with Registration] / Included Insurance   - ")</f>
        <v> 1 [Included with Registration] / Included Insurance   - </v>
      </c>
      <c r="H25" s="65" t="str">
        <f>IFERROR(__xludf.DUMMYFUNCTION("""COMPUTED_VALUE"""),"Nemerov  ")</f>
        <v>Nemerov  </v>
      </c>
      <c r="I25" s="65" t="str">
        <f>IFERROR(__xludf.DUMMYFUNCTION("""COMPUTED_VALUE"""),"4071")</f>
        <v>4071</v>
      </c>
      <c r="J25" s="108" t="str">
        <f>IFERROR(__xludf.DUMMYFUNCTION("""COMPUTED_VALUE"""),"12:00 PM to 02:00 PM  ")</f>
        <v>12:00 PM to 02:00 PM  </v>
      </c>
      <c r="K25" s="103">
        <f>IFERROR(__xludf.DUMMYFUNCTION("""COMPUTED_VALUE"""),46150.0)</f>
        <v>46150</v>
      </c>
      <c r="L25" s="65" t="str">
        <f>IFERROR(__xludf.DUMMYFUNCTION("""COMPUTED_VALUE""")," ")</f>
        <v> </v>
      </c>
      <c r="M25" s="65"/>
      <c r="N25" s="65"/>
    </row>
    <row r="26">
      <c r="A26" s="99" t="str">
        <f>IFERROR(__xludf.DUMMYFUNCTION("""COMPUTED_VALUE"""),"https://utrucking.com/admin/orders/6303731777724")</f>
        <v>https://utrucking.com/admin/orders/6303731777724</v>
      </c>
      <c r="B26" s="61" t="str">
        <f>IFERROR(__xludf.DUMMYFUNCTION("""COMPUTED_VALUE"""),"#16819")</f>
        <v>#16819</v>
      </c>
      <c r="C26" s="61" t="str">
        <f>IFERROR(__xludf.DUMMYFUNCTION("""COMPUTED_VALUE"""),"elhaik@wustl.edu")</f>
        <v>elhaik@wustl.edu</v>
      </c>
      <c r="D26" s="61">
        <f>IFERROR(__xludf.DUMMYFUNCTION("""COMPUTED_VALUE"""),3.235744978E9)</f>
        <v>3235744978</v>
      </c>
      <c r="E26" s="61" t="str">
        <f>IFERROR(__xludf.DUMMYFUNCTION("""COMPUTED_VALUE"""),"Vincent Elhaik")</f>
        <v>Vincent Elhaik</v>
      </c>
      <c r="F26" s="61" t="str">
        <f>IFERROR(__xludf.DUMMYFUNCTION("""COMPUTED_VALUE"""),"Madison Elhaik")</f>
        <v>Madison Elhaik</v>
      </c>
      <c r="G26" s="61" t="str">
        <f>IFERROR(__xludf.DUMMYFUNCTION("""COMPUTED_VALUE""")," 3 / Included Insurance   - ")</f>
        <v> 3 / Included Insurance   - </v>
      </c>
      <c r="H26" s="61" t="str">
        <f>IFERROR(__xludf.DUMMYFUNCTION("""COMPUTED_VALUE"""),"Millbrook Bldg. 4  ")</f>
        <v>Millbrook Bldg. 4  </v>
      </c>
      <c r="I26" s="61" t="str">
        <f>IFERROR(__xludf.DUMMYFUNCTION("""COMPUTED_VALUE"""),"103")</f>
        <v>103</v>
      </c>
      <c r="J26" s="107" t="str">
        <f>IFERROR(__xludf.DUMMYFUNCTION("""COMPUTED_VALUE"""),"03:00 PM to 05:00 PM")</f>
        <v>03:00 PM to 05:00 PM</v>
      </c>
      <c r="K26" s="100">
        <f>IFERROR(__xludf.DUMMYFUNCTION("""COMPUTED_VALUE"""),46147.0)</f>
        <v>46147</v>
      </c>
      <c r="L26" s="61" t="str">
        <f>IFERROR(__xludf.DUMMYFUNCTION("""COMPUTED_VALUE""")," ")</f>
        <v> </v>
      </c>
      <c r="M26" s="61"/>
      <c r="N26" s="61"/>
    </row>
    <row r="27">
      <c r="A27" s="102" t="str">
        <f>IFERROR(__xludf.DUMMYFUNCTION("""COMPUTED_VALUE"""),"https://utrucking.com/admin/orders/6303768772796")</f>
        <v>https://utrucking.com/admin/orders/6303768772796</v>
      </c>
      <c r="B27" s="65" t="str">
        <f>IFERROR(__xludf.DUMMYFUNCTION("""COMPUTED_VALUE"""),"#16820")</f>
        <v>#16820</v>
      </c>
      <c r="C27" s="65" t="str">
        <f>IFERROR(__xludf.DUMMYFUNCTION("""COMPUTED_VALUE"""),"alex.j.lee@wustl.edu")</f>
        <v>alex.j.lee@wustl.edu</v>
      </c>
      <c r="D27" s="65">
        <f>IFERROR(__xludf.DUMMYFUNCTION("""COMPUTED_VALUE"""),7.144828812E9)</f>
        <v>7144828812</v>
      </c>
      <c r="E27" s="65" t="str">
        <f>IFERROR(__xludf.DUMMYFUNCTION("""COMPUTED_VALUE"""),"Alexander Lee")</f>
        <v>Alexander Lee</v>
      </c>
      <c r="F27" s="65" t="str">
        <f>IFERROR(__xludf.DUMMYFUNCTION("""COMPUTED_VALUE"""),"Alexander Lee")</f>
        <v>Alexander Lee</v>
      </c>
      <c r="G27" s="65" t="str">
        <f>IFERROR(__xludf.DUMMYFUNCTION("""COMPUTED_VALUE""")," 1 [Included with Registration] / Included Insurance   - ")</f>
        <v> 1 [Included with Registration] / Included Insurance   - </v>
      </c>
      <c r="H27" s="65" t="str">
        <f>IFERROR(__xludf.DUMMYFUNCTION("""COMPUTED_VALUE"""),"Zetcher")</f>
        <v>Zetcher</v>
      </c>
      <c r="I27" s="65" t="str">
        <f>IFERROR(__xludf.DUMMYFUNCTION("""COMPUTED_VALUE"""),"3062")</f>
        <v>3062</v>
      </c>
      <c r="J27" s="108" t="str">
        <f>IFERROR(__xludf.DUMMYFUNCTION("""COMPUTED_VALUE"""),"09:00 AM to 11:00 AM  ")</f>
        <v>09:00 AM to 11:00 AM  </v>
      </c>
      <c r="K27" s="103">
        <f>IFERROR(__xludf.DUMMYFUNCTION("""COMPUTED_VALUE"""),46149.0)</f>
        <v>46149</v>
      </c>
      <c r="L27" s="65" t="str">
        <f>IFERROR(__xludf.DUMMYFUNCTION("""COMPUTED_VALUE""")," ")</f>
        <v> </v>
      </c>
      <c r="M27" s="65"/>
      <c r="N27" s="65"/>
    </row>
    <row r="28">
      <c r="A28" s="99" t="str">
        <f>IFERROR(__xludf.DUMMYFUNCTION("""COMPUTED_VALUE"""),"https://utrucking.com/admin/orders/6303890407612")</f>
        <v>https://utrucking.com/admin/orders/6303890407612</v>
      </c>
      <c r="B28" s="61" t="str">
        <f>IFERROR(__xludf.DUMMYFUNCTION("""COMPUTED_VALUE"""),"#16821")</f>
        <v>#16821</v>
      </c>
      <c r="C28" s="61" t="str">
        <f>IFERROR(__xludf.DUMMYFUNCTION("""COMPUTED_VALUE"""),"soeinj908@gmail.com")</f>
        <v>soeinj908@gmail.com</v>
      </c>
      <c r="D28" s="61">
        <f>IFERROR(__xludf.DUMMYFUNCTION("""COMPUTED_VALUE"""),9.089021218E9)</f>
        <v>9089021218</v>
      </c>
      <c r="E28" s="61" t="str">
        <f>IFERROR(__xludf.DUMMYFUNCTION("""COMPUTED_VALUE"""),"Samantha Oei")</f>
        <v>Samantha Oei</v>
      </c>
      <c r="F28" s="61" t="str">
        <f>IFERROR(__xludf.DUMMYFUNCTION("""COMPUTED_VALUE"""),"Samantha Oei")</f>
        <v>Samantha Oei</v>
      </c>
      <c r="G28" s="61" t="str">
        <f>IFERROR(__xludf.DUMMYFUNCTION("""COMPUTED_VALUE""")," 1 [Included with Registration] / Included Insurance   - ")</f>
        <v> 1 [Included with Registration] / Included Insurance   - </v>
      </c>
      <c r="H28" s="61" t="str">
        <f>IFERROR(__xludf.DUMMYFUNCTION("""COMPUTED_VALUE"""),"Dardick  ")</f>
        <v>Dardick  </v>
      </c>
      <c r="I28" s="61" t="str">
        <f>IFERROR(__xludf.DUMMYFUNCTION("""COMPUTED_VALUE"""),"4410")</f>
        <v>4410</v>
      </c>
      <c r="J28" s="107" t="str">
        <f>IFERROR(__xludf.DUMMYFUNCTION("""COMPUTED_VALUE"""),"09:00 AM to 11:00 AM  ")</f>
        <v>09:00 AM to 11:00 AM  </v>
      </c>
      <c r="K28" s="100">
        <f>IFERROR(__xludf.DUMMYFUNCTION("""COMPUTED_VALUE"""),46149.0)</f>
        <v>46149</v>
      </c>
      <c r="L28" s="61" t="str">
        <f>IFERROR(__xludf.DUMMYFUNCTION("""COMPUTED_VALUE""")," ")</f>
        <v> </v>
      </c>
      <c r="M28" s="61"/>
      <c r="N28" s="61"/>
    </row>
    <row r="29">
      <c r="A29" s="102" t="str">
        <f>IFERROR(__xludf.DUMMYFUNCTION("""COMPUTED_VALUE"""),"https://utrucking.com/admin/orders/6303890407612")</f>
        <v>https://utrucking.com/admin/orders/6303890407612</v>
      </c>
      <c r="B29" s="65" t="str">
        <f>IFERROR(__xludf.DUMMYFUNCTION("""COMPUTED_VALUE"""),"#16821")</f>
        <v>#16821</v>
      </c>
      <c r="C29" s="65" t="str">
        <f>IFERROR(__xludf.DUMMYFUNCTION("""COMPUTED_VALUE"""),"soeinj908@gmail.com")</f>
        <v>soeinj908@gmail.com</v>
      </c>
      <c r="D29" s="65">
        <f>IFERROR(__xludf.DUMMYFUNCTION("""COMPUTED_VALUE"""),9.089021218E9)</f>
        <v>9089021218</v>
      </c>
      <c r="E29" s="65" t="str">
        <f>IFERROR(__xludf.DUMMYFUNCTION("""COMPUTED_VALUE"""),"Samantha Oei")</f>
        <v>Samantha Oei</v>
      </c>
      <c r="F29" s="65" t="str">
        <f>IFERROR(__xludf.DUMMYFUNCTION("""COMPUTED_VALUE"""),"Samantha Oei")</f>
        <v>Samantha Oei</v>
      </c>
      <c r="G29" s="65" t="str">
        <f>IFERROR(__xludf.DUMMYFUNCTION("""COMPUTED_VALUE""")," 1 [Included with Registration] / Included Insurance   - ")</f>
        <v> 1 [Included with Registration] / Included Insurance   - </v>
      </c>
      <c r="H29" s="65" t="str">
        <f>IFERROR(__xludf.DUMMYFUNCTION("""COMPUTED_VALUE"""),"Dardick  ")</f>
        <v>Dardick  </v>
      </c>
      <c r="I29" s="65" t="str">
        <f>IFERROR(__xludf.DUMMYFUNCTION("""COMPUTED_VALUE"""),"4410")</f>
        <v>4410</v>
      </c>
      <c r="J29" s="108" t="str">
        <f>IFERROR(__xludf.DUMMYFUNCTION("""COMPUTED_VALUE"""),"09:00 AM to 11:00 AM  ")</f>
        <v>09:00 AM to 11:00 AM  </v>
      </c>
      <c r="K29" s="103">
        <f>IFERROR(__xludf.DUMMYFUNCTION("""COMPUTED_VALUE"""),46149.0)</f>
        <v>46149</v>
      </c>
      <c r="L29" s="65" t="str">
        <f>IFERROR(__xludf.DUMMYFUNCTION("""COMPUTED_VALUE""")," ")</f>
        <v> </v>
      </c>
      <c r="M29" s="65"/>
      <c r="N29" s="65"/>
    </row>
    <row r="30">
      <c r="A30" s="99" t="str">
        <f>IFERROR(__xludf.DUMMYFUNCTION("""COMPUTED_VALUE"""),"https://utrucking.com/admin/orders/6304565952700")</f>
        <v>https://utrucking.com/admin/orders/6304565952700</v>
      </c>
      <c r="B30" s="61" t="str">
        <f>IFERROR(__xludf.DUMMYFUNCTION("""COMPUTED_VALUE"""),"#16822")</f>
        <v>#16822</v>
      </c>
      <c r="C30" s="61" t="str">
        <f>IFERROR(__xludf.DUMMYFUNCTION("""COMPUTED_VALUE"""),"sarahcase@yahoo.com")</f>
        <v>sarahcase@yahoo.com</v>
      </c>
      <c r="D30" s="61">
        <f>IFERROR(__xludf.DUMMYFUNCTION("""COMPUTED_VALUE"""),9.178426437E9)</f>
        <v>9178426437</v>
      </c>
      <c r="E30" s="61" t="str">
        <f>IFERROR(__xludf.DUMMYFUNCTION("""COMPUTED_VALUE"""),"Sarah Rosell")</f>
        <v>Sarah Rosell</v>
      </c>
      <c r="F30" s="61" t="str">
        <f>IFERROR(__xludf.DUMMYFUNCTION("""COMPUTED_VALUE"""),"Nina Rosell")</f>
        <v>Nina Rosell</v>
      </c>
      <c r="G30" s="61" t="str">
        <f>IFERROR(__xludf.DUMMYFUNCTION("""COMPUTED_VALUE""")," 1 [Included with Registration] / Included Insurance   - ")</f>
        <v> 1 [Included with Registration] / Included Insurance   - </v>
      </c>
      <c r="H30" s="61" t="str">
        <f>IFERROR(__xludf.DUMMYFUNCTION("""COMPUTED_VALUE"""),"Village East  ")</f>
        <v>Village East  </v>
      </c>
      <c r="I30" s="61" t="str">
        <f>IFERROR(__xludf.DUMMYFUNCTION("""COMPUTED_VALUE"""),"2014")</f>
        <v>2014</v>
      </c>
      <c r="J30" s="107" t="str">
        <f>IFERROR(__xludf.DUMMYFUNCTION("""COMPUTED_VALUE"""),"09:00 AM to 11:00 AM  ")</f>
        <v>09:00 AM to 11:00 AM  </v>
      </c>
      <c r="K30" s="100">
        <f>IFERROR(__xludf.DUMMYFUNCTION("""COMPUTED_VALUE"""),46147.0)</f>
        <v>46147</v>
      </c>
      <c r="L30" s="61" t="str">
        <f>IFERROR(__xludf.DUMMYFUNCTION("""COMPUTED_VALUE""")," ")</f>
        <v> </v>
      </c>
      <c r="M30" s="61"/>
      <c r="N30" s="61"/>
    </row>
    <row r="31">
      <c r="A31" s="102" t="str">
        <f>IFERROR(__xludf.DUMMYFUNCTION("""COMPUTED_VALUE"""),"https://utrucking.com/admin/orders/6304756203708")</f>
        <v>https://utrucking.com/admin/orders/6304756203708</v>
      </c>
      <c r="B31" s="65" t="str">
        <f>IFERROR(__xludf.DUMMYFUNCTION("""COMPUTED_VALUE"""),"#16823")</f>
        <v>#16823</v>
      </c>
      <c r="C31" s="65" t="str">
        <f>IFERROR(__xludf.DUMMYFUNCTION("""COMPUTED_VALUE"""),"kennedyb@wustl.edu")</f>
        <v>kennedyb@wustl.edu</v>
      </c>
      <c r="D31" s="65">
        <f>IFERROR(__xludf.DUMMYFUNCTION("""COMPUTED_VALUE"""),6.179491472E9)</f>
        <v>6179491472</v>
      </c>
      <c r="E31" s="65" t="str">
        <f>IFERROR(__xludf.DUMMYFUNCTION("""COMPUTED_VALUE"""),"Eleanor Brown")</f>
        <v>Eleanor Brown</v>
      </c>
      <c r="F31" s="65" t="str">
        <f>IFERROR(__xludf.DUMMYFUNCTION("""COMPUTED_VALUE"""),"Kennedy Brown")</f>
        <v>Kennedy Brown</v>
      </c>
      <c r="G31" s="65" t="str">
        <f>IFERROR(__xludf.DUMMYFUNCTION("""COMPUTED_VALUE""")," 2 / Included Insurance   - ")</f>
        <v> 2 / Included Insurance   - </v>
      </c>
      <c r="H31" s="65" t="str">
        <f>IFERROR(__xludf.DUMMYFUNCTION("""COMPUTED_VALUE"""),"Danforth  ")</f>
        <v>Danforth  </v>
      </c>
      <c r="I31" s="65" t="str">
        <f>IFERROR(__xludf.DUMMYFUNCTION("""COMPUTED_VALUE"""),"1001")</f>
        <v>1001</v>
      </c>
      <c r="J31" s="108" t="str">
        <f>IFERROR(__xludf.DUMMYFUNCTION("""COMPUTED_VALUE"""),"03:00 PM to 05:00 PM")</f>
        <v>03:00 PM to 05:00 PM</v>
      </c>
      <c r="K31" s="103">
        <f>IFERROR(__xludf.DUMMYFUNCTION("""COMPUTED_VALUE"""),46150.0)</f>
        <v>46150</v>
      </c>
      <c r="L31" s="65" t="str">
        <f>IFERROR(__xludf.DUMMYFUNCTION("""COMPUTED_VALUE""")," ")</f>
        <v> </v>
      </c>
      <c r="M31" s="65"/>
      <c r="N31" s="65"/>
    </row>
    <row r="32">
      <c r="A32" s="99" t="str">
        <f>IFERROR(__xludf.DUMMYFUNCTION("""COMPUTED_VALUE"""),"https://utrucking.com/admin/orders/6306018361532")</f>
        <v>https://utrucking.com/admin/orders/6306018361532</v>
      </c>
      <c r="B32" s="61" t="str">
        <f>IFERROR(__xludf.DUMMYFUNCTION("""COMPUTED_VALUE"""),"#16825")</f>
        <v>#16825</v>
      </c>
      <c r="C32" s="61" t="str">
        <f>IFERROR(__xludf.DUMMYFUNCTION("""COMPUTED_VALUE"""),"aung.c@wustl.edu")</f>
        <v>aung.c@wustl.edu</v>
      </c>
      <c r="D32" s="61">
        <f>IFERROR(__xludf.DUMMYFUNCTION("""COMPUTED_VALUE"""),5.125527826E9)</f>
        <v>5125527826</v>
      </c>
      <c r="E32" s="61" t="str">
        <f>IFERROR(__xludf.DUMMYFUNCTION("""COMPUTED_VALUE"""),"Ann Soo")</f>
        <v>Ann Soo</v>
      </c>
      <c r="F32" s="61" t="str">
        <f>IFERROR(__xludf.DUMMYFUNCTION("""COMPUTED_VALUE"""),"Christopher Aung")</f>
        <v>Christopher Aung</v>
      </c>
      <c r="G32" s="61" t="str">
        <f>IFERROR(__xludf.DUMMYFUNCTION("""COMPUTED_VALUE""")," 1 [Included with Registration] / Included Insurance   - ")</f>
        <v> 1 [Included with Registration] / Included Insurance   - </v>
      </c>
      <c r="H32" s="61" t="str">
        <f>IFERROR(__xludf.DUMMYFUNCTION("""COMPUTED_VALUE"""),"Village House  ")</f>
        <v>Village House  </v>
      </c>
      <c r="I32" s="61" t="str">
        <f>IFERROR(__xludf.DUMMYFUNCTION("""COMPUTED_VALUE"""),"3012")</f>
        <v>3012</v>
      </c>
      <c r="J32" s="107" t="str">
        <f>IFERROR(__xludf.DUMMYFUNCTION("""COMPUTED_VALUE"""),"03:00 PM to 05:00 PM")</f>
        <v>03:00 PM to 05:00 PM</v>
      </c>
      <c r="K32" s="100">
        <f>IFERROR(__xludf.DUMMYFUNCTION("""COMPUTED_VALUE"""),46149.0)</f>
        <v>46149</v>
      </c>
      <c r="L32" s="61" t="str">
        <f>IFERROR(__xludf.DUMMYFUNCTION("""COMPUTED_VALUE""")," ")</f>
        <v> </v>
      </c>
      <c r="M32" s="61"/>
      <c r="N32" s="61"/>
    </row>
    <row r="33">
      <c r="A33" s="102" t="str">
        <f>IFERROR(__xludf.DUMMYFUNCTION("""COMPUTED_VALUE"""),"https://utrucking.com/admin/orders/6307034923196")</f>
        <v>https://utrucking.com/admin/orders/6307034923196</v>
      </c>
      <c r="B33" s="65" t="str">
        <f>IFERROR(__xludf.DUMMYFUNCTION("""COMPUTED_VALUE"""),"#16826")</f>
        <v>#16826</v>
      </c>
      <c r="C33" s="65" t="str">
        <f>IFERROR(__xludf.DUMMYFUNCTION("""COMPUTED_VALUE"""),"d.a.klein@wustl.edu")</f>
        <v>d.a.klein@wustl.edu</v>
      </c>
      <c r="D33" s="65" t="str">
        <f>IFERROR(__xludf.DUMMYFUNCTION("""COMPUTED_VALUE"""),"(410) 382-2747")</f>
        <v>(410) 382-2747</v>
      </c>
      <c r="E33" s="65" t="str">
        <f>IFERROR(__xludf.DUMMYFUNCTION("""COMPUTED_VALUE"""),"Lauren Klein")</f>
        <v>Lauren Klein</v>
      </c>
      <c r="F33" s="65" t="str">
        <f>IFERROR(__xludf.DUMMYFUNCTION("""COMPUTED_VALUE"""),"David Klein")</f>
        <v>David Klein</v>
      </c>
      <c r="G33" s="65" t="str">
        <f>IFERROR(__xludf.DUMMYFUNCTION("""COMPUTED_VALUE""")," 1 [Included with Registration] / Included Insurance   - ")</f>
        <v> 1 [Included with Registration] / Included Insurance   - </v>
      </c>
      <c r="H33" s="65" t="str">
        <f>IFERROR(__xludf.DUMMYFUNCTION("""COMPUTED_VALUE"""),"6645 University Drive  ")</f>
        <v>6645 University Drive  </v>
      </c>
      <c r="I33" s="65" t="str">
        <f>IFERROR(__xludf.DUMMYFUNCTION("""COMPUTED_VALUE"""),"1EB")</f>
        <v>1EB</v>
      </c>
      <c r="J33" s="108" t="str">
        <f>IFERROR(__xludf.DUMMYFUNCTION("""COMPUTED_VALUE"""),"03:00 PM to 05:00 PM")</f>
        <v>03:00 PM to 05:00 PM</v>
      </c>
      <c r="K33" s="103">
        <f>IFERROR(__xludf.DUMMYFUNCTION("""COMPUTED_VALUE"""),46147.0)</f>
        <v>46147</v>
      </c>
      <c r="L33" s="65" t="str">
        <f>IFERROR(__xludf.DUMMYFUNCTION("""COMPUTED_VALUE""")," ")</f>
        <v> </v>
      </c>
      <c r="M33" s="65"/>
      <c r="N33" s="65"/>
    </row>
    <row r="34">
      <c r="A34" s="99" t="str">
        <f>IFERROR(__xludf.DUMMYFUNCTION("""COMPUTED_VALUE"""),"https://utrucking.com/admin/orders/6307433218236")</f>
        <v>https://utrucking.com/admin/orders/6307433218236</v>
      </c>
      <c r="B34" s="61" t="str">
        <f>IFERROR(__xludf.DUMMYFUNCTION("""COMPUTED_VALUE"""),"#16827")</f>
        <v>#16827</v>
      </c>
      <c r="C34" s="61"/>
      <c r="D34" s="61">
        <f>IFERROR(__xludf.DUMMYFUNCTION("""COMPUTED_VALUE"""),3.147064136E9)</f>
        <v>3147064136</v>
      </c>
      <c r="E34" s="61" t="str">
        <f>IFERROR(__xludf.DUMMYFUNCTION("""COMPUTED_VALUE"""),"Yuwei Zhang")</f>
        <v>Yuwei Zhang</v>
      </c>
      <c r="F34" s="61" t="str">
        <f>IFERROR(__xludf.DUMMYFUNCTION("""COMPUTED_VALUE"""),"Will Zhang")</f>
        <v>Will Zhang</v>
      </c>
      <c r="G34" s="61" t="str">
        <f>IFERROR(__xludf.DUMMYFUNCTION("""COMPUTED_VALUE""")," 1 [Included with Registration] / Included Insurance   - ")</f>
        <v> 1 [Included with Registration] / Included Insurance   - </v>
      </c>
      <c r="H34" s="61" t="str">
        <f>IFERROR(__xludf.DUMMYFUNCTION("""COMPUTED_VALUE"""),"Koenig  ")</f>
        <v>Koenig  </v>
      </c>
      <c r="I34" s="61" t="str">
        <f>IFERROR(__xludf.DUMMYFUNCTION("""COMPUTED_VALUE"""),"3308")</f>
        <v>3308</v>
      </c>
      <c r="J34" s="107" t="str">
        <f>IFERROR(__xludf.DUMMYFUNCTION("""COMPUTED_VALUE"""),"02:00 PM to 04:00 PM")</f>
        <v>02:00 PM to 04:00 PM</v>
      </c>
      <c r="K34" s="100">
        <f>IFERROR(__xludf.DUMMYFUNCTION("""COMPUTED_VALUE"""),46147.0)</f>
        <v>46147</v>
      </c>
      <c r="L34" s="61" t="str">
        <f>IFERROR(__xludf.DUMMYFUNCTION("""COMPUTED_VALUE""")," ")</f>
        <v> </v>
      </c>
      <c r="M34" s="61"/>
      <c r="N34" s="61"/>
    </row>
    <row r="35">
      <c r="A35" s="102" t="str">
        <f>IFERROR(__xludf.DUMMYFUNCTION("""COMPUTED_VALUE"""),"https://utrucking.com/admin/orders/6308640260284")</f>
        <v>https://utrucking.com/admin/orders/6308640260284</v>
      </c>
      <c r="B35" s="65" t="str">
        <f>IFERROR(__xludf.DUMMYFUNCTION("""COMPUTED_VALUE"""),"#16829")</f>
        <v>#16829</v>
      </c>
      <c r="C35" s="65"/>
      <c r="D35" s="65">
        <f>IFERROR(__xludf.DUMMYFUNCTION("""COMPUTED_VALUE"""),2.146866499E9)</f>
        <v>2146866499</v>
      </c>
      <c r="E35" s="65" t="str">
        <f>IFERROR(__xludf.DUMMYFUNCTION("""COMPUTED_VALUE"""),"William Yan")</f>
        <v>William Yan</v>
      </c>
      <c r="F35" s="65" t="str">
        <f>IFERROR(__xludf.DUMMYFUNCTION("""COMPUTED_VALUE"""),"Sarah Yan")</f>
        <v>Sarah Yan</v>
      </c>
      <c r="G35" s="65" t="str">
        <f>IFERROR(__xludf.DUMMYFUNCTION("""COMPUTED_VALUE""")," 1 [Included with Registration] / Included Insurance   - ")</f>
        <v> 1 [Included with Registration] / Included Insurance   - </v>
      </c>
      <c r="H35" s="65" t="str">
        <f>IFERROR(__xludf.DUMMYFUNCTION("""COMPUTED_VALUE"""),"Umrath  ")</f>
        <v>Umrath  </v>
      </c>
      <c r="I35" s="65" t="str">
        <f>IFERROR(__xludf.DUMMYFUNCTION("""COMPUTED_VALUE"""),"2207")</f>
        <v>2207</v>
      </c>
      <c r="J35" s="108" t="str">
        <f>IFERROR(__xludf.DUMMYFUNCTION("""COMPUTED_VALUE"""),"03:00 PM to 05:00 PM")</f>
        <v>03:00 PM to 05:00 PM</v>
      </c>
      <c r="K35" s="103">
        <f>IFERROR(__xludf.DUMMYFUNCTION("""COMPUTED_VALUE"""),46146.0)</f>
        <v>46146</v>
      </c>
      <c r="L35" s="65" t="str">
        <f>IFERROR(__xludf.DUMMYFUNCTION("""COMPUTED_VALUE""")," ")</f>
        <v> </v>
      </c>
      <c r="M35" s="65"/>
      <c r="N35" s="65"/>
    </row>
    <row r="36">
      <c r="A36" s="99" t="str">
        <f>IFERROR(__xludf.DUMMYFUNCTION("""COMPUTED_VALUE"""),"https://utrucking.com/admin/orders/6309456445628")</f>
        <v>https://utrucking.com/admin/orders/6309456445628</v>
      </c>
      <c r="B36" s="61" t="str">
        <f>IFERROR(__xludf.DUMMYFUNCTION("""COMPUTED_VALUE"""),"#16830")</f>
        <v>#16830</v>
      </c>
      <c r="C36" s="61" t="str">
        <f>IFERROR(__xludf.DUMMYFUNCTION("""COMPUTED_VALUE"""),"avaswietgirl@gmail.com")</f>
        <v>avaswietgirl@gmail.com</v>
      </c>
      <c r="D36" s="61">
        <f>IFERROR(__xludf.DUMMYFUNCTION("""COMPUTED_VALUE"""),7.146255442E9)</f>
        <v>7146255442</v>
      </c>
      <c r="E36" s="61" t="str">
        <f>IFERROR(__xludf.DUMMYFUNCTION("""COMPUTED_VALUE"""),"Ava Swietlikowski")</f>
        <v>Ava Swietlikowski</v>
      </c>
      <c r="F36" s="61" t="str">
        <f>IFERROR(__xludf.DUMMYFUNCTION("""COMPUTED_VALUE"""),"Ava Swietlikowski")</f>
        <v>Ava Swietlikowski</v>
      </c>
      <c r="G36" s="61" t="str">
        <f>IFERROR(__xludf.DUMMYFUNCTION("""COMPUTED_VALUE""")," 2 / Included Insurance   - ")</f>
        <v> 2 / Included Insurance   - </v>
      </c>
      <c r="H36" s="61" t="str">
        <f>IFERROR(__xludf.DUMMYFUNCTION("""COMPUTED_VALUE"""),"Koenig  ")</f>
        <v>Koenig  </v>
      </c>
      <c r="I36" s="61" t="str">
        <f>IFERROR(__xludf.DUMMYFUNCTION("""COMPUTED_VALUE"""),"2203")</f>
        <v>2203</v>
      </c>
      <c r="J36" s="107" t="str">
        <f>IFERROR(__xludf.DUMMYFUNCTION("""COMPUTED_VALUE"""),"09:00 AM to 11:00 AM  ")</f>
        <v>09:00 AM to 11:00 AM  </v>
      </c>
      <c r="K36" s="100">
        <f>IFERROR(__xludf.DUMMYFUNCTION("""COMPUTED_VALUE"""),46148.0)</f>
        <v>46148</v>
      </c>
      <c r="L36" s="61" t="str">
        <f>IFERROR(__xludf.DUMMYFUNCTION("""COMPUTED_VALUE""")," ")</f>
        <v> </v>
      </c>
      <c r="M36" s="61"/>
      <c r="N36" s="61"/>
    </row>
    <row r="37">
      <c r="A37" s="102" t="str">
        <f>IFERROR(__xludf.DUMMYFUNCTION("""COMPUTED_VALUE"""),"https://utrucking.com/admin/orders/6310771261628")</f>
        <v>https://utrucking.com/admin/orders/6310771261628</v>
      </c>
      <c r="B37" s="65" t="str">
        <f>IFERROR(__xludf.DUMMYFUNCTION("""COMPUTED_VALUE"""),"#16831")</f>
        <v>#16831</v>
      </c>
      <c r="C37" s="65" t="str">
        <f>IFERROR(__xludf.DUMMYFUNCTION("""COMPUTED_VALUE"""),"yuwei.zhang@wustl.edu")</f>
        <v>yuwei.zhang@wustl.edu</v>
      </c>
      <c r="D37" s="65">
        <f>IFERROR(__xludf.DUMMYFUNCTION("""COMPUTED_VALUE"""),3.147064136E9)</f>
        <v>3147064136</v>
      </c>
      <c r="E37" s="65" t="str">
        <f>IFERROR(__xludf.DUMMYFUNCTION("""COMPUTED_VALUE"""),"Yuwei Zhang")</f>
        <v>Yuwei Zhang</v>
      </c>
      <c r="F37" s="65" t="str">
        <f>IFERROR(__xludf.DUMMYFUNCTION("""COMPUTED_VALUE"""),"Will Zhang")</f>
        <v>Will Zhang</v>
      </c>
      <c r="G37" s="65" t="str">
        <f>IFERROR(__xludf.DUMMYFUNCTION("""COMPUTED_VALUE""")," 1 [Included with Registration] / Included Insurance   - ")</f>
        <v> 1 [Included with Registration] / Included Insurance   - </v>
      </c>
      <c r="H37" s="65" t="str">
        <f>IFERROR(__xludf.DUMMYFUNCTION("""COMPUTED_VALUE"""),"Koenig  ")</f>
        <v>Koenig  </v>
      </c>
      <c r="I37" s="65" t="str">
        <f>IFERROR(__xludf.DUMMYFUNCTION("""COMPUTED_VALUE"""),"3308")</f>
        <v>3308</v>
      </c>
      <c r="J37" s="108" t="str">
        <f>IFERROR(__xludf.DUMMYFUNCTION("""COMPUTED_VALUE"""),"01:00 PM to 03:00 PM  ")</f>
        <v>01:00 PM to 03:00 PM  </v>
      </c>
      <c r="K37" s="103">
        <f>IFERROR(__xludf.DUMMYFUNCTION("""COMPUTED_VALUE"""),46147.0)</f>
        <v>46147</v>
      </c>
      <c r="L37" s="65" t="str">
        <f>IFERROR(__xludf.DUMMYFUNCTION("""COMPUTED_VALUE""")," ")</f>
        <v> </v>
      </c>
      <c r="M37" s="65"/>
      <c r="N37" s="65"/>
    </row>
    <row r="38">
      <c r="A38" s="99" t="str">
        <f>IFERROR(__xludf.DUMMYFUNCTION("""COMPUTED_VALUE"""),"https://utrucking.com/admin/orders/6310827294908")</f>
        <v>https://utrucking.com/admin/orders/6310827294908</v>
      </c>
      <c r="B38" s="61" t="str">
        <f>IFERROR(__xludf.DUMMYFUNCTION("""COMPUTED_VALUE"""),"#16832")</f>
        <v>#16832</v>
      </c>
      <c r="C38" s="61" t="str">
        <f>IFERROR(__xludf.DUMMYFUNCTION("""COMPUTED_VALUE"""),"a.g.meer@wustl.edu")</f>
        <v>a.g.meer@wustl.edu</v>
      </c>
      <c r="D38" s="61">
        <f>IFERROR(__xludf.DUMMYFUNCTION("""COMPUTED_VALUE"""),9.179292134E9)</f>
        <v>9179292134</v>
      </c>
      <c r="E38" s="61" t="str">
        <f>IFERROR(__xludf.DUMMYFUNCTION("""COMPUTED_VALUE"""),"John Meer")</f>
        <v>John Meer</v>
      </c>
      <c r="F38" s="61" t="str">
        <f>IFERROR(__xludf.DUMMYFUNCTION("""COMPUTED_VALUE"""),"Avery Meer")</f>
        <v>Avery Meer</v>
      </c>
      <c r="G38" s="61" t="str">
        <f>IFERROR(__xludf.DUMMYFUNCTION("""COMPUTED_VALUE""")," 1 [Included with Registration] / Included Insurance   - ")</f>
        <v> 1 [Included with Registration] / Included Insurance   - </v>
      </c>
      <c r="H38" s="61" t="str">
        <f>IFERROR(__xludf.DUMMYFUNCTION("""COMPUTED_VALUE"""),"Greenway Apartments  ")</f>
        <v>Greenway Apartments  </v>
      </c>
      <c r="I38" s="61" t="str">
        <f>IFERROR(__xludf.DUMMYFUNCTION("""COMPUTED_VALUE"""),"012")</f>
        <v>012</v>
      </c>
      <c r="J38" s="107" t="str">
        <f>IFERROR(__xludf.DUMMYFUNCTION("""COMPUTED_VALUE"""),"09:00 AM to 11:00 AM  ")</f>
        <v>09:00 AM to 11:00 AM  </v>
      </c>
      <c r="K38" s="100">
        <f>IFERROR(__xludf.DUMMYFUNCTION("""COMPUTED_VALUE"""),46144.0)</f>
        <v>46144</v>
      </c>
      <c r="L38" s="61" t="str">
        <f>IFERROR(__xludf.DUMMYFUNCTION("""COMPUTED_VALUE""")," ")</f>
        <v> </v>
      </c>
      <c r="M38" s="61"/>
      <c r="N38" s="61"/>
    </row>
    <row r="39">
      <c r="A39" s="102" t="str">
        <f>IFERROR(__xludf.DUMMYFUNCTION("""COMPUTED_VALUE"""),"https://utrucking.com/admin/orders/6311947239612")</f>
        <v>https://utrucking.com/admin/orders/6311947239612</v>
      </c>
      <c r="B39" s="65" t="str">
        <f>IFERROR(__xludf.DUMMYFUNCTION("""COMPUTED_VALUE"""),"#16834")</f>
        <v>#16834</v>
      </c>
      <c r="C39" s="65" t="str">
        <f>IFERROR(__xludf.DUMMYFUNCTION("""COMPUTED_VALUE"""),"g.yihan@wustl.edu")</f>
        <v>g.yihan@wustl.edu</v>
      </c>
      <c r="D39" s="65">
        <f>IFERROR(__xludf.DUMMYFUNCTION("""COMPUTED_VALUE"""),3.14448927E9)</f>
        <v>3144489270</v>
      </c>
      <c r="E39" s="65" t="str">
        <f>IFERROR(__xludf.DUMMYFUNCTION("""COMPUTED_VALUE"""),"Peter Gong")</f>
        <v>Peter Gong</v>
      </c>
      <c r="F39" s="65" t="str">
        <f>IFERROR(__xludf.DUMMYFUNCTION("""COMPUTED_VALUE"""),"Peter Gong")</f>
        <v>Peter Gong</v>
      </c>
      <c r="G39" s="65" t="str">
        <f>IFERROR(__xludf.DUMMYFUNCTION("""COMPUTED_VALUE""")," 1 [Included with Registration] / Included Insurance   - ")</f>
        <v> 1 [Included with Registration] / Included Insurance   - </v>
      </c>
      <c r="H39" s="65" t="str">
        <f>IFERROR(__xludf.DUMMYFUNCTION("""COMPUTED_VALUE"""),"House 1")</f>
        <v>House 1</v>
      </c>
      <c r="I39" s="65" t="str">
        <f>IFERROR(__xludf.DUMMYFUNCTION("""COMPUTED_VALUE"""),"311")</f>
        <v>311</v>
      </c>
      <c r="J39" s="108" t="str">
        <f>IFERROR(__xludf.DUMMYFUNCTION("""COMPUTED_VALUE"""),"09:00 AM to 11:00 AM  ")</f>
        <v>09:00 AM to 11:00 AM  </v>
      </c>
      <c r="K39" s="103">
        <f>IFERROR(__xludf.DUMMYFUNCTION("""COMPUTED_VALUE"""),46148.0)</f>
        <v>46148</v>
      </c>
      <c r="L39" s="65" t="str">
        <f>IFERROR(__xludf.DUMMYFUNCTION("""COMPUTED_VALUE""")," ")</f>
        <v> </v>
      </c>
      <c r="M39" s="65"/>
      <c r="N39" s="65"/>
    </row>
    <row r="40">
      <c r="A40" s="99" t="str">
        <f>IFERROR(__xludf.DUMMYFUNCTION("""COMPUTED_VALUE"""),"https://utrucking.com/admin/orders/6311961952444")</f>
        <v>https://utrucking.com/admin/orders/6311961952444</v>
      </c>
      <c r="B40" s="61" t="str">
        <f>IFERROR(__xludf.DUMMYFUNCTION("""COMPUTED_VALUE"""),"#16835")</f>
        <v>#16835</v>
      </c>
      <c r="C40" s="61" t="str">
        <f>IFERROR(__xludf.DUMMYFUNCTION("""COMPUTED_VALUE"""),"gornstein.s@wustl.edu")</f>
        <v>gornstein.s@wustl.edu</v>
      </c>
      <c r="D40" s="61">
        <f>IFERROR(__xludf.DUMMYFUNCTION("""COMPUTED_VALUE"""),6.174616197E9)</f>
        <v>6174616197</v>
      </c>
      <c r="E40" s="61" t="str">
        <f>IFERROR(__xludf.DUMMYFUNCTION("""COMPUTED_VALUE"""),"Natalie Gornstein")</f>
        <v>Natalie Gornstein</v>
      </c>
      <c r="F40" s="61" t="str">
        <f>IFERROR(__xludf.DUMMYFUNCTION("""COMPUTED_VALUE"""),"Sam Gornstein")</f>
        <v>Sam Gornstein</v>
      </c>
      <c r="G40" s="61" t="str">
        <f>IFERROR(__xludf.DUMMYFUNCTION("""COMPUTED_VALUE""")," 1 [Included with Registration] / Included Insurance   - ")</f>
        <v> 1 [Included with Registration] / Included Insurance   - </v>
      </c>
      <c r="H40" s="61" t="str">
        <f>IFERROR(__xludf.DUMMYFUNCTION("""COMPUTED_VALUE"""),"House 6 (Sigma Alpha Epsilon)  ")</f>
        <v>House 6 (Sigma Alpha Epsilon)  </v>
      </c>
      <c r="I40" s="61" t="str">
        <f>IFERROR(__xludf.DUMMYFUNCTION("""COMPUTED_VALUE"""),"103b")</f>
        <v>103b</v>
      </c>
      <c r="J40" s="107" t="str">
        <f>IFERROR(__xludf.DUMMYFUNCTION("""COMPUTED_VALUE"""),"09:00 AM to 11:00 AM  ")</f>
        <v>09:00 AM to 11:00 AM  </v>
      </c>
      <c r="K40" s="100">
        <f>IFERROR(__xludf.DUMMYFUNCTION("""COMPUTED_VALUE"""),46160.0)</f>
        <v>46160</v>
      </c>
      <c r="L40" s="61" t="str">
        <f>IFERROR(__xludf.DUMMYFUNCTION("""COMPUTED_VALUE""")," ")</f>
        <v> </v>
      </c>
      <c r="M40" s="61"/>
      <c r="N40" s="61"/>
    </row>
    <row r="41">
      <c r="A41" s="102" t="str">
        <f>IFERROR(__xludf.DUMMYFUNCTION("""COMPUTED_VALUE"""),"https://utrucking.com/admin/orders/6311990100156")</f>
        <v>https://utrucking.com/admin/orders/6311990100156</v>
      </c>
      <c r="B41" s="65" t="str">
        <f>IFERROR(__xludf.DUMMYFUNCTION("""COMPUTED_VALUE"""),"#16836")</f>
        <v>#16836</v>
      </c>
      <c r="C41" s="65" t="str">
        <f>IFERROR(__xludf.DUMMYFUNCTION("""COMPUTED_VALUE"""),"bergman.s@wustl.edu")</f>
        <v>bergman.s@wustl.edu</v>
      </c>
      <c r="D41" s="65">
        <f>IFERROR(__xludf.DUMMYFUNCTION("""COMPUTED_VALUE"""),4.04314066E9)</f>
        <v>4043140660</v>
      </c>
      <c r="E41" s="65" t="str">
        <f>IFERROR(__xludf.DUMMYFUNCTION("""COMPUTED_VALUE"""),"Stephanie Bergman")</f>
        <v>Stephanie Bergman</v>
      </c>
      <c r="F41" s="65" t="str">
        <f>IFERROR(__xludf.DUMMYFUNCTION("""COMPUTED_VALUE"""),"Stephanie Bergman")</f>
        <v>Stephanie Bergman</v>
      </c>
      <c r="G41" s="65" t="str">
        <f>IFERROR(__xludf.DUMMYFUNCTION("""COMPUTED_VALUE""")," 1 [Included with Registration] / Included Insurance   - ")</f>
        <v> 1 [Included with Registration] / Included Insurance   - </v>
      </c>
      <c r="H41" s="65" t="str">
        <f>IFERROR(__xludf.DUMMYFUNCTION("""COMPUTED_VALUE"""),"Millbrook Bldg. 2  ")</f>
        <v>Millbrook Bldg. 2  </v>
      </c>
      <c r="I41" s="65" t="str">
        <f>IFERROR(__xludf.DUMMYFUNCTION("""COMPUTED_VALUE"""),"301-E")</f>
        <v>301-E</v>
      </c>
      <c r="J41" s="108" t="str">
        <f>IFERROR(__xludf.DUMMYFUNCTION("""COMPUTED_VALUE"""),"03:00 PM to 05:00 PM")</f>
        <v>03:00 PM to 05:00 PM</v>
      </c>
      <c r="K41" s="103">
        <f>IFERROR(__xludf.DUMMYFUNCTION("""COMPUTED_VALUE"""),46149.0)</f>
        <v>46149</v>
      </c>
      <c r="L41" s="65" t="str">
        <f>IFERROR(__xludf.DUMMYFUNCTION("""COMPUTED_VALUE""")," ")</f>
        <v> </v>
      </c>
      <c r="M41" s="65"/>
      <c r="N41" s="65"/>
    </row>
    <row r="42">
      <c r="A42" s="99" t="str">
        <f>IFERROR(__xludf.DUMMYFUNCTION("""COMPUTED_VALUE"""),"https://utrucking.com/admin/orders/6312790032572")</f>
        <v>https://utrucking.com/admin/orders/6312790032572</v>
      </c>
      <c r="B42" s="61" t="str">
        <f>IFERROR(__xludf.DUMMYFUNCTION("""COMPUTED_VALUE"""),"#16838")</f>
        <v>#16838</v>
      </c>
      <c r="C42" s="61" t="str">
        <f>IFERROR(__xludf.DUMMYFUNCTION("""COMPUTED_VALUE"""),"hernj72@gmail.com")</f>
        <v>hernj72@gmail.com</v>
      </c>
      <c r="D42" s="61">
        <f>IFERROR(__xludf.DUMMYFUNCTION("""COMPUTED_VALUE"""),5.05280261E9)</f>
        <v>5052802610</v>
      </c>
      <c r="E42" s="61" t="str">
        <f>IFERROR(__xludf.DUMMYFUNCTION("""COMPUTED_VALUE"""),"Jon Hernandez")</f>
        <v>Jon Hernandez</v>
      </c>
      <c r="F42" s="61" t="str">
        <f>IFERROR(__xludf.DUMMYFUNCTION("""COMPUTED_VALUE"""),"Lena Hernandez ")</f>
        <v>Lena Hernandez </v>
      </c>
      <c r="G42" s="61" t="str">
        <f>IFERROR(__xludf.DUMMYFUNCTION("""COMPUTED_VALUE""")," 1 [Included with Registration] / Included Insurance   - ")</f>
        <v> 1 [Included with Registration] / Included Insurance   - </v>
      </c>
      <c r="H42" s="61" t="str">
        <f>IFERROR(__xludf.DUMMYFUNCTION("""COMPUTED_VALUE"""),"Lien  ")</f>
        <v>Lien  </v>
      </c>
      <c r="I42" s="61" t="str">
        <f>IFERROR(__xludf.DUMMYFUNCTION("""COMPUTED_VALUE"""),"2211")</f>
        <v>2211</v>
      </c>
      <c r="J42" s="107" t="str">
        <f>IFERROR(__xludf.DUMMYFUNCTION("""COMPUTED_VALUE"""),"02:00 PM to 04:00 PM")</f>
        <v>02:00 PM to 04:00 PM</v>
      </c>
      <c r="K42" s="100">
        <f>IFERROR(__xludf.DUMMYFUNCTION("""COMPUTED_VALUE"""),46147.0)</f>
        <v>46147</v>
      </c>
      <c r="L42" s="61" t="str">
        <f>IFERROR(__xludf.DUMMYFUNCTION("""COMPUTED_VALUE""")," ")</f>
        <v> </v>
      </c>
      <c r="M42" s="61"/>
      <c r="N42" s="61"/>
    </row>
    <row r="43">
      <c r="A43" s="102" t="str">
        <f>IFERROR(__xludf.DUMMYFUNCTION("""COMPUTED_VALUE"""),"https://utrucking.com/admin/orders/6313196224700")</f>
        <v>https://utrucking.com/admin/orders/6313196224700</v>
      </c>
      <c r="B43" s="65" t="str">
        <f>IFERROR(__xludf.DUMMYFUNCTION("""COMPUTED_VALUE"""),"#16841")</f>
        <v>#16841</v>
      </c>
      <c r="C43" s="65" t="str">
        <f>IFERROR(__xludf.DUMMYFUNCTION("""COMPUTED_VALUE"""),"vogelw@wustl.edu")</f>
        <v>vogelw@wustl.edu</v>
      </c>
      <c r="D43" s="65">
        <f>IFERROR(__xludf.DUMMYFUNCTION("""COMPUTED_VALUE"""),8.014145532E9)</f>
        <v>8014145532</v>
      </c>
      <c r="E43" s="65" t="str">
        <f>IFERROR(__xludf.DUMMYFUNCTION("""COMPUTED_VALUE"""),"Candice Vogel")</f>
        <v>Candice Vogel</v>
      </c>
      <c r="F43" s="65" t="str">
        <f>IFERROR(__xludf.DUMMYFUNCTION("""COMPUTED_VALUE"""),"Willow Vogel")</f>
        <v>Willow Vogel</v>
      </c>
      <c r="G43" s="65" t="str">
        <f>IFERROR(__xludf.DUMMYFUNCTION("""COMPUTED_VALUE""")," 1 [Included with Registration] / Included Insurance   - ")</f>
        <v> 1 [Included with Registration] / Included Insurance   - </v>
      </c>
      <c r="H43" s="65" t="str">
        <f>IFERROR(__xludf.DUMMYFUNCTION("""COMPUTED_VALUE"""),"Park  ")</f>
        <v>Park  </v>
      </c>
      <c r="I43" s="65" t="str">
        <f>IFERROR(__xludf.DUMMYFUNCTION("""COMPUTED_VALUE"""),"341")</f>
        <v>341</v>
      </c>
      <c r="J43" s="108" t="str">
        <f>IFERROR(__xludf.DUMMYFUNCTION("""COMPUTED_VALUE"""),"03:00 PM to 05:00 PM")</f>
        <v>03:00 PM to 05:00 PM</v>
      </c>
      <c r="K43" s="103">
        <f>IFERROR(__xludf.DUMMYFUNCTION("""COMPUTED_VALUE"""),46149.0)</f>
        <v>46149</v>
      </c>
      <c r="L43" s="65" t="str">
        <f>IFERROR(__xludf.DUMMYFUNCTION("""COMPUTED_VALUE""")," ")</f>
        <v> </v>
      </c>
      <c r="M43" s="65"/>
      <c r="N43" s="65"/>
    </row>
    <row r="44">
      <c r="A44" s="99" t="str">
        <f>IFERROR(__xludf.DUMMYFUNCTION("""COMPUTED_VALUE"""),"https://utrucking.com/admin/orders/6313291219132")</f>
        <v>https://utrucking.com/admin/orders/6313291219132</v>
      </c>
      <c r="B44" s="61" t="str">
        <f>IFERROR(__xludf.DUMMYFUNCTION("""COMPUTED_VALUE"""),"#16842")</f>
        <v>#16842</v>
      </c>
      <c r="C44" s="61" t="str">
        <f>IFERROR(__xludf.DUMMYFUNCTION("""COMPUTED_VALUE"""),"chaeyoung@wustl.edu")</f>
        <v>chaeyoung@wustl.edu</v>
      </c>
      <c r="D44" s="61">
        <f>IFERROR(__xludf.DUMMYFUNCTION("""COMPUTED_VALUE"""),3.142037289E9)</f>
        <v>3142037289</v>
      </c>
      <c r="E44" s="61" t="str">
        <f>IFERROR(__xludf.DUMMYFUNCTION("""COMPUTED_VALUE"""),"Alicia Kim")</f>
        <v>Alicia Kim</v>
      </c>
      <c r="F44" s="61" t="str">
        <f>IFERROR(__xludf.DUMMYFUNCTION("""COMPUTED_VALUE"""),"Alicia Kim")</f>
        <v>Alicia Kim</v>
      </c>
      <c r="G44" s="61" t="str">
        <f>IFERROR(__xludf.DUMMYFUNCTION("""COMPUTED_VALUE""")," 2 / Included Insurance   - ")</f>
        <v> 2 / Included Insurance   - </v>
      </c>
      <c r="H44" s="61" t="str">
        <f>IFERROR(__xludf.DUMMYFUNCTION("""COMPUTED_VALUE"""),"Dauten  ")</f>
        <v>Dauten  </v>
      </c>
      <c r="I44" s="61" t="str">
        <f>IFERROR(__xludf.DUMMYFUNCTION("""COMPUTED_VALUE"""),"332")</f>
        <v>332</v>
      </c>
      <c r="J44" s="107" t="str">
        <f>IFERROR(__xludf.DUMMYFUNCTION("""COMPUTED_VALUE"""),"11:00 AM to 01:00 PM  ")</f>
        <v>11:00 AM to 01:00 PM  </v>
      </c>
      <c r="K44" s="100">
        <f>IFERROR(__xludf.DUMMYFUNCTION("""COMPUTED_VALUE"""),46150.0)</f>
        <v>46150</v>
      </c>
      <c r="L44" s="61" t="str">
        <f>IFERROR(__xludf.DUMMYFUNCTION("""COMPUTED_VALUE""")," ")</f>
        <v> </v>
      </c>
      <c r="M44" s="61"/>
      <c r="N44" s="61"/>
    </row>
    <row r="45">
      <c r="A45" s="102" t="str">
        <f>IFERROR(__xludf.DUMMYFUNCTION("""COMPUTED_VALUE"""),"https://utrucking.com/admin/orders/6321384358076")</f>
        <v>https://utrucking.com/admin/orders/6321384358076</v>
      </c>
      <c r="B45" s="65" t="str">
        <f>IFERROR(__xludf.DUMMYFUNCTION("""COMPUTED_VALUE"""),"#16872")</f>
        <v>#16872</v>
      </c>
      <c r="C45" s="65" t="str">
        <f>IFERROR(__xludf.DUMMYFUNCTION("""COMPUTED_VALUE"""),"emeralda@wustl.edu")</f>
        <v>emeralda@wustl.edu</v>
      </c>
      <c r="D45" s="65">
        <f>IFERROR(__xludf.DUMMYFUNCTION("""COMPUTED_VALUE"""),4.703647022E9)</f>
        <v>4703647022</v>
      </c>
      <c r="E45" s="65" t="str">
        <f>IFERROR(__xludf.DUMMYFUNCTION("""COMPUTED_VALUE"""),"Emeralda Jin")</f>
        <v>Emeralda Jin</v>
      </c>
      <c r="F45" s="65" t="str">
        <f>IFERROR(__xludf.DUMMYFUNCTION("""COMPUTED_VALUE"""),"Emeralda Jin")</f>
        <v>Emeralda Jin</v>
      </c>
      <c r="G45" s="65" t="str">
        <f>IFERROR(__xludf.DUMMYFUNCTION("""COMPUTED_VALUE""")," 1 [Included with Registration] / Included Insurance   - ")</f>
        <v> 1 [Included with Registration] / Included Insurance   - </v>
      </c>
      <c r="H45" s="65" t="str">
        <f>IFERROR(__xludf.DUMMYFUNCTION("""COMPUTED_VALUE"""),"Mudd  ")</f>
        <v>Mudd  </v>
      </c>
      <c r="I45" s="65" t="str">
        <f>IFERROR(__xludf.DUMMYFUNCTION("""COMPUTED_VALUE"""),"141")</f>
        <v>141</v>
      </c>
      <c r="J45" s="108" t="str">
        <f>IFERROR(__xludf.DUMMYFUNCTION("""COMPUTED_VALUE"""),"12:00 PM to 02:00 PM  ")</f>
        <v>12:00 PM to 02:00 PM  </v>
      </c>
      <c r="K45" s="103">
        <f>IFERROR(__xludf.DUMMYFUNCTION("""COMPUTED_VALUE"""),46149.0)</f>
        <v>46149</v>
      </c>
      <c r="L45" s="65" t="str">
        <f>IFERROR(__xludf.DUMMYFUNCTION("""COMPUTED_VALUE""")," ")</f>
        <v> </v>
      </c>
      <c r="M45" s="65"/>
      <c r="N45" s="65"/>
    </row>
    <row r="46">
      <c r="A46" s="99" t="str">
        <f>IFERROR(__xludf.DUMMYFUNCTION("""COMPUTED_VALUE"""),"https://utrucking.com/admin/orders/6321768333500")</f>
        <v>https://utrucking.com/admin/orders/6321768333500</v>
      </c>
      <c r="B46" s="61" t="str">
        <f>IFERROR(__xludf.DUMMYFUNCTION("""COMPUTED_VALUE"""),"#16874")</f>
        <v>#16874</v>
      </c>
      <c r="C46" s="61" t="str">
        <f>IFERROR(__xludf.DUMMYFUNCTION("""COMPUTED_VALUE"""),"g.d.michaels@wustl.edu")</f>
        <v>g.d.michaels@wustl.edu</v>
      </c>
      <c r="D46" s="61">
        <f>IFERROR(__xludf.DUMMYFUNCTION("""COMPUTED_VALUE"""),9.17626254E9)</f>
        <v>9176262540</v>
      </c>
      <c r="E46" s="61" t="str">
        <f>IFERROR(__xludf.DUMMYFUNCTION("""COMPUTED_VALUE"""),"Natalya Michaels")</f>
        <v>Natalya Michaels</v>
      </c>
      <c r="F46" s="61" t="str">
        <f>IFERROR(__xludf.DUMMYFUNCTION("""COMPUTED_VALUE"""),"Gregory Michaels")</f>
        <v>Gregory Michaels</v>
      </c>
      <c r="G46" s="61" t="str">
        <f>IFERROR(__xludf.DUMMYFUNCTION("""COMPUTED_VALUE""")," 1 [Included with Registration] / Included Insurance   - ")</f>
        <v> 1 [Included with Registration] / Included Insurance   - </v>
      </c>
      <c r="H46" s="61" t="str">
        <f>IFERROR(__xludf.DUMMYFUNCTION("""COMPUTED_VALUE"""),"Lee  ")</f>
        <v>Lee  </v>
      </c>
      <c r="I46" s="61" t="str">
        <f>IFERROR(__xludf.DUMMYFUNCTION("""COMPUTED_VALUE"""),"223")</f>
        <v>223</v>
      </c>
      <c r="J46" s="107" t="str">
        <f>IFERROR(__xludf.DUMMYFUNCTION("""COMPUTED_VALUE"""),"01:00 PM to 03:00 PM  ")</f>
        <v>01:00 PM to 03:00 PM  </v>
      </c>
      <c r="K46" s="100">
        <f>IFERROR(__xludf.DUMMYFUNCTION("""COMPUTED_VALUE"""),46148.0)</f>
        <v>46148</v>
      </c>
      <c r="L46" s="61" t="str">
        <f>IFERROR(__xludf.DUMMYFUNCTION("""COMPUTED_VALUE""")," ")</f>
        <v> </v>
      </c>
      <c r="M46" s="61"/>
      <c r="N46" s="61"/>
    </row>
    <row r="47">
      <c r="A47" s="102" t="str">
        <f>IFERROR(__xludf.DUMMYFUNCTION("""COMPUTED_VALUE"""),"https://utrucking.com/admin/orders/6323846774972")</f>
        <v>https://utrucking.com/admin/orders/6323846774972</v>
      </c>
      <c r="B47" s="65" t="str">
        <f>IFERROR(__xludf.DUMMYFUNCTION("""COMPUTED_VALUE"""),"#16879")</f>
        <v>#16879</v>
      </c>
      <c r="C47" s="65" t="str">
        <f>IFERROR(__xludf.DUMMYFUNCTION("""COMPUTED_VALUE"""),"g.natasha@wustl.edu")</f>
        <v>g.natasha@wustl.edu</v>
      </c>
      <c r="D47" s="65">
        <f>IFERROR(__xludf.DUMMYFUNCTION("""COMPUTED_VALUE"""),4.074062737E9)</f>
        <v>4074062737</v>
      </c>
      <c r="E47" s="65" t="str">
        <f>IFERROR(__xludf.DUMMYFUNCTION("""COMPUTED_VALUE"""),"Michelle Caez Rosario")</f>
        <v>Michelle Caez Rosario</v>
      </c>
      <c r="F47" s="65" t="str">
        <f>IFERROR(__xludf.DUMMYFUNCTION("""COMPUTED_VALUE"""),"Natasha M Gonzalez")</f>
        <v>Natasha M Gonzalez</v>
      </c>
      <c r="G47" s="65" t="str">
        <f>IFERROR(__xludf.DUMMYFUNCTION("""COMPUTED_VALUE""")," 2 / Included Insurance   - ")</f>
        <v> 2 / Included Insurance   - </v>
      </c>
      <c r="H47" s="65" t="str">
        <f>IFERROR(__xludf.DUMMYFUNCTION("""COMPUTED_VALUE"""),"Shanedling  ")</f>
        <v>Shanedling  </v>
      </c>
      <c r="I47" s="65" t="str">
        <f>IFERROR(__xludf.DUMMYFUNCTION("""COMPUTED_VALUE"""),"Suite 11, Room 112")</f>
        <v>Suite 11, Room 112</v>
      </c>
      <c r="J47" s="108" t="str">
        <f>IFERROR(__xludf.DUMMYFUNCTION("""COMPUTED_VALUE"""),"09:00 AM to 11:00 AM  ")</f>
        <v>09:00 AM to 11:00 AM  </v>
      </c>
      <c r="K47" s="103">
        <f>IFERROR(__xludf.DUMMYFUNCTION("""COMPUTED_VALUE"""),46148.0)</f>
        <v>46148</v>
      </c>
      <c r="L47" s="65" t="str">
        <f>IFERROR(__xludf.DUMMYFUNCTION("""COMPUTED_VALUE""")," ")</f>
        <v> </v>
      </c>
      <c r="M47" s="65"/>
      <c r="N47" s="65"/>
    </row>
    <row r="48">
      <c r="A48" s="99" t="str">
        <f>IFERROR(__xludf.DUMMYFUNCTION("""COMPUTED_VALUE"""),"https://utrucking.com/admin/orders/6324112523452")</f>
        <v>https://utrucking.com/admin/orders/6324112523452</v>
      </c>
      <c r="B48" s="61" t="str">
        <f>IFERROR(__xludf.DUMMYFUNCTION("""COMPUTED_VALUE"""),"#16945")</f>
        <v>#16945</v>
      </c>
      <c r="C48" s="61" t="str">
        <f>IFERROR(__xludf.DUMMYFUNCTION("""COMPUTED_VALUE"""),"chuyan.w@wustl.edu")</f>
        <v>chuyan.w@wustl.edu</v>
      </c>
      <c r="D48" s="61">
        <f>IFERROR(__xludf.DUMMYFUNCTION("""COMPUTED_VALUE"""),1.8611807888E10)</f>
        <v>18611807888</v>
      </c>
      <c r="E48" s="61" t="str">
        <f>IFERROR(__xludf.DUMMYFUNCTION("""COMPUTED_VALUE"""),"Yachun Wen")</f>
        <v>Yachun Wen</v>
      </c>
      <c r="F48" s="61" t="str">
        <f>IFERROR(__xludf.DUMMYFUNCTION("""COMPUTED_VALUE"""),"Hebe Wen")</f>
        <v>Hebe Wen</v>
      </c>
      <c r="G48" s="61" t="str">
        <f>IFERROR(__xludf.DUMMYFUNCTION("""COMPUTED_VALUE""")," 1 [Included with Registration] / Included Insurance   - ")</f>
        <v> 1 [Included with Registration] / Included Insurance   - </v>
      </c>
      <c r="H48" s="61" t="str">
        <f>IFERROR(__xludf.DUMMYFUNCTION("""COMPUTED_VALUE"""),"Rutledge  ")</f>
        <v>Rutledge  </v>
      </c>
      <c r="I48" s="61" t="str">
        <f>IFERROR(__xludf.DUMMYFUNCTION("""COMPUTED_VALUE"""),"212")</f>
        <v>212</v>
      </c>
      <c r="J48" s="107" t="str">
        <f>IFERROR(__xludf.DUMMYFUNCTION("""COMPUTED_VALUE"""),"09:00 AM to 11:00 AM  ")</f>
        <v>09:00 AM to 11:00 AM  </v>
      </c>
      <c r="K48" s="100">
        <f>IFERROR(__xludf.DUMMYFUNCTION("""COMPUTED_VALUE"""),46149.0)</f>
        <v>46149</v>
      </c>
      <c r="L48" s="61" t="str">
        <f>IFERROR(__xludf.DUMMYFUNCTION("""COMPUTED_VALUE""")," ")</f>
        <v> </v>
      </c>
      <c r="M48" s="61"/>
      <c r="N48" s="61"/>
    </row>
    <row r="49">
      <c r="A49" s="102" t="str">
        <f>IFERROR(__xludf.DUMMYFUNCTION("""COMPUTED_VALUE"""),"https://utrucking.com/admin/orders/6324159414460")</f>
        <v>https://utrucking.com/admin/orders/6324159414460</v>
      </c>
      <c r="B49" s="65" t="str">
        <f>IFERROR(__xludf.DUMMYFUNCTION("""COMPUTED_VALUE"""),"#16989")</f>
        <v>#16989</v>
      </c>
      <c r="C49" s="65" t="str">
        <f>IFERROR(__xludf.DUMMYFUNCTION("""COMPUTED_VALUE"""),"c.vidushi@wustl.edu")</f>
        <v>c.vidushi@wustl.edu</v>
      </c>
      <c r="D49" s="65">
        <f>IFERROR(__xludf.DUMMYFUNCTION("""COMPUTED_VALUE"""),3.147174118E9)</f>
        <v>3147174118</v>
      </c>
      <c r="E49" s="65" t="str">
        <f>IFERROR(__xludf.DUMMYFUNCTION("""COMPUTED_VALUE"""),"Vidushi Challa")</f>
        <v>Vidushi Challa</v>
      </c>
      <c r="F49" s="65" t="str">
        <f>IFERROR(__xludf.DUMMYFUNCTION("""COMPUTED_VALUE"""),"Vidushi Challa")</f>
        <v>Vidushi Challa</v>
      </c>
      <c r="G49" s="65" t="str">
        <f>IFERROR(__xludf.DUMMYFUNCTION("""COMPUTED_VALUE""")," 2 / Included Insurance   - ")</f>
        <v> 2 / Included Insurance   - </v>
      </c>
      <c r="H49" s="65" t="str">
        <f>IFERROR(__xludf.DUMMYFUNCTION("""COMPUTED_VALUE"""),"Eliot A (Thomas Eliot)")</f>
        <v>Eliot A (Thomas Eliot)</v>
      </c>
      <c r="I49" s="65" t="str">
        <f>IFERROR(__xludf.DUMMYFUNCTION("""COMPUTED_VALUE"""),"2000")</f>
        <v>2000</v>
      </c>
      <c r="J49" s="108" t="str">
        <f>IFERROR(__xludf.DUMMYFUNCTION("""COMPUTED_VALUE"""),"12:00 PM to 02:00 PM  ")</f>
        <v>12:00 PM to 02:00 PM  </v>
      </c>
      <c r="K49" s="103">
        <f>IFERROR(__xludf.DUMMYFUNCTION("""COMPUTED_VALUE"""),46148.0)</f>
        <v>46148</v>
      </c>
      <c r="L49" s="65" t="str">
        <f>IFERROR(__xludf.DUMMYFUNCTION("""COMPUTED_VALUE""")," ")</f>
        <v> </v>
      </c>
      <c r="M49" s="65"/>
      <c r="N49" s="65"/>
    </row>
    <row r="50">
      <c r="A50" s="99" t="str">
        <f>IFERROR(__xludf.DUMMYFUNCTION("""COMPUTED_VALUE"""),"https://utrucking.com/admin/orders/6325497626812")</f>
        <v>https://utrucking.com/admin/orders/6325497626812</v>
      </c>
      <c r="B50" s="61" t="str">
        <f>IFERROR(__xludf.DUMMYFUNCTION("""COMPUTED_VALUE"""),"#17042")</f>
        <v>#17042</v>
      </c>
      <c r="C50" s="61" t="str">
        <f>IFERROR(__xludf.DUMMYFUNCTION("""COMPUTED_VALUE"""),"zachmodlinger@gmail.com")</f>
        <v>zachmodlinger@gmail.com</v>
      </c>
      <c r="D50" s="61"/>
      <c r="E50" s="61" t="str">
        <f>IFERROR(__xludf.DUMMYFUNCTION("""COMPUTED_VALUE"""),"Zach Modlinger")</f>
        <v>Zach Modlinger</v>
      </c>
      <c r="F50" s="61" t="str">
        <f>IFERROR(__xludf.DUMMYFUNCTION("""COMPUTED_VALUE"""),"Zachary Modlinger")</f>
        <v>Zachary Modlinger</v>
      </c>
      <c r="G50" s="61" t="str">
        <f>IFERROR(__xludf.DUMMYFUNCTION("""COMPUTED_VALUE""")," 1 [Included with Registration] / Included Insurance   - ")</f>
        <v> 1 [Included with Registration] / Included Insurance   - </v>
      </c>
      <c r="H50" s="61" t="str">
        <f>IFERROR(__xludf.DUMMYFUNCTION("""COMPUTED_VALUE"""),"Koenig  ")</f>
        <v>Koenig  </v>
      </c>
      <c r="I50" s="61" t="str">
        <f>IFERROR(__xludf.DUMMYFUNCTION("""COMPUTED_VALUE"""),"3304")</f>
        <v>3304</v>
      </c>
      <c r="J50" s="107" t="str">
        <f>IFERROR(__xludf.DUMMYFUNCTION("""COMPUTED_VALUE"""),"10:00 AM to 12:00 PM  ")</f>
        <v>10:00 AM to 12:00 PM  </v>
      </c>
      <c r="K50" s="100">
        <f>IFERROR(__xludf.DUMMYFUNCTION("""COMPUTED_VALUE"""),46143.0)</f>
        <v>46143</v>
      </c>
      <c r="L50" s="61" t="str">
        <f>IFERROR(__xludf.DUMMYFUNCTION("""COMPUTED_VALUE""")," ")</f>
        <v> </v>
      </c>
      <c r="M50" s="61"/>
      <c r="N50" s="61"/>
    </row>
    <row r="51">
      <c r="A51" s="102" t="str">
        <f>IFERROR(__xludf.DUMMYFUNCTION("""COMPUTED_VALUE"""),"https://utrucking.com/admin/orders/6325523972284")</f>
        <v>https://utrucking.com/admin/orders/6325523972284</v>
      </c>
      <c r="B51" s="65" t="str">
        <f>IFERROR(__xludf.DUMMYFUNCTION("""COMPUTED_VALUE"""),"#17043")</f>
        <v>#17043</v>
      </c>
      <c r="C51" s="65" t="str">
        <f>IFERROR(__xludf.DUMMYFUNCTION("""COMPUTED_VALUE"""),"dainchang0207@gmail.com")</f>
        <v>dainchang0207@gmail.com</v>
      </c>
      <c r="D51" s="65"/>
      <c r="E51" s="65" t="str">
        <f>IFERROR(__xludf.DUMMYFUNCTION("""COMPUTED_VALUE"""),"Dain Chang")</f>
        <v>Dain Chang</v>
      </c>
      <c r="F51" s="65" t="str">
        <f>IFERROR(__xludf.DUMMYFUNCTION("""COMPUTED_VALUE"""),"Kyle Chang")</f>
        <v>Kyle Chang</v>
      </c>
      <c r="G51" s="65" t="str">
        <f>IFERROR(__xludf.DUMMYFUNCTION("""COMPUTED_VALUE""")," 1 [Included with Registration] / Included Insurance   - ")</f>
        <v> 1 [Included with Registration] / Included Insurance   - </v>
      </c>
      <c r="H51" s="65" t="str">
        <f>IFERROR(__xludf.DUMMYFUNCTION("""COMPUTED_VALUE"""),"Zetcher  ")</f>
        <v>Zetcher  </v>
      </c>
      <c r="I51" s="65" t="str">
        <f>IFERROR(__xludf.DUMMYFUNCTION("""COMPUTED_VALUE"""),"4043")</f>
        <v>4043</v>
      </c>
      <c r="J51" s="108" t="str">
        <f>IFERROR(__xludf.DUMMYFUNCTION("""COMPUTED_VALUE"""),"03:00 PM to 05:00 PM")</f>
        <v>03:00 PM to 05:00 PM</v>
      </c>
      <c r="K51" s="103">
        <f>IFERROR(__xludf.DUMMYFUNCTION("""COMPUTED_VALUE"""),46144.0)</f>
        <v>46144</v>
      </c>
      <c r="L51" s="65" t="str">
        <f>IFERROR(__xludf.DUMMYFUNCTION("""COMPUTED_VALUE""")," ")</f>
        <v> </v>
      </c>
      <c r="M51" s="65"/>
      <c r="N51" s="65"/>
    </row>
    <row r="52">
      <c r="A52" s="99" t="str">
        <f>IFERROR(__xludf.DUMMYFUNCTION("""COMPUTED_VALUE"""),"https://utrucking.com/admin/orders/6325525971132")</f>
        <v>https://utrucking.com/admin/orders/6325525971132</v>
      </c>
      <c r="B52" s="61" t="str">
        <f>IFERROR(__xludf.DUMMYFUNCTION("""COMPUTED_VALUE"""),"#17044")</f>
        <v>#17044</v>
      </c>
      <c r="C52" s="61" t="str">
        <f>IFERROR(__xludf.DUMMYFUNCTION("""COMPUTED_VALUE"""),"cohenrebecca@gmail.com")</f>
        <v>cohenrebecca@gmail.com</v>
      </c>
      <c r="D52" s="61">
        <f>IFERROR(__xludf.DUMMYFUNCTION("""COMPUTED_VALUE"""),9.176694873E9)</f>
        <v>9176694873</v>
      </c>
      <c r="E52" s="61" t="str">
        <f>IFERROR(__xludf.DUMMYFUNCTION("""COMPUTED_VALUE"""),"Rebecca Cohen")</f>
        <v>Rebecca Cohen</v>
      </c>
      <c r="F52" s="61" t="str">
        <f>IFERROR(__xludf.DUMMYFUNCTION("""COMPUTED_VALUE"""),"Rena Cohen ")</f>
        <v>Rena Cohen </v>
      </c>
      <c r="G52" s="61" t="str">
        <f>IFERROR(__xludf.DUMMYFUNCTION("""COMPUTED_VALUE""")," 1 [Included with Registration] / Included Insurance   - ")</f>
        <v> 1 [Included with Registration] / Included Insurance   - </v>
      </c>
      <c r="H52" s="61" t="str">
        <f>IFERROR(__xludf.DUMMYFUNCTION("""COMPUTED_VALUE"""),"Village House  ")</f>
        <v>Village House  </v>
      </c>
      <c r="I52" s="61" t="str">
        <f>IFERROR(__xludf.DUMMYFUNCTION("""COMPUTED_VALUE"""),"3131A")</f>
        <v>3131A</v>
      </c>
      <c r="J52" s="107" t="str">
        <f>IFERROR(__xludf.DUMMYFUNCTION("""COMPUTED_VALUE"""),"09:00 AM to 11:00 AM  ")</f>
        <v>09:00 AM to 11:00 AM  </v>
      </c>
      <c r="K52" s="100">
        <f>IFERROR(__xludf.DUMMYFUNCTION("""COMPUTED_VALUE"""),46146.0)</f>
        <v>46146</v>
      </c>
      <c r="L52" s="61" t="str">
        <f>IFERROR(__xludf.DUMMYFUNCTION("""COMPUTED_VALUE""")," ")</f>
        <v> </v>
      </c>
      <c r="M52" s="61"/>
      <c r="N52" s="61"/>
    </row>
    <row r="53">
      <c r="A53" s="102" t="str">
        <f>IFERROR(__xludf.DUMMYFUNCTION("""COMPUTED_VALUE"""),"https://utrucking.com/admin/orders/6325529182396")</f>
        <v>https://utrucking.com/admin/orders/6325529182396</v>
      </c>
      <c r="B53" s="65" t="str">
        <f>IFERROR(__xludf.DUMMYFUNCTION("""COMPUTED_VALUE"""),"#17046")</f>
        <v>#17046</v>
      </c>
      <c r="C53" s="65" t="str">
        <f>IFERROR(__xludf.DUMMYFUNCTION("""COMPUTED_VALUE"""),"marnie0609@yahoo.com")</f>
        <v>marnie0609@yahoo.com</v>
      </c>
      <c r="D53" s="65">
        <f>IFERROR(__xludf.DUMMYFUNCTION("""COMPUTED_VALUE"""),9.176129737E9)</f>
        <v>9176129737</v>
      </c>
      <c r="E53" s="65" t="str">
        <f>IFERROR(__xludf.DUMMYFUNCTION("""COMPUTED_VALUE"""),"Marnie Rukin")</f>
        <v>Marnie Rukin</v>
      </c>
      <c r="F53" s="65" t="str">
        <f>IFERROR(__xludf.DUMMYFUNCTION("""COMPUTED_VALUE"""),"James Rukin ")</f>
        <v>James Rukin </v>
      </c>
      <c r="G53" s="65" t="str">
        <f>IFERROR(__xludf.DUMMYFUNCTION("""COMPUTED_VALUE""")," 1 [Included with Registration] / Included Insurance   - ")</f>
        <v> 1 [Included with Registration] / Included Insurance   - </v>
      </c>
      <c r="H53" s="65" t="str">
        <f>IFERROR(__xludf.DUMMYFUNCTION("""COMPUTED_VALUE"""),"Umrath  ")</f>
        <v>Umrath  </v>
      </c>
      <c r="I53" s="65" t="str">
        <f>IFERROR(__xludf.DUMMYFUNCTION("""COMPUTED_VALUE"""),"2240")</f>
        <v>2240</v>
      </c>
      <c r="J53" s="108" t="str">
        <f>IFERROR(__xludf.DUMMYFUNCTION("""COMPUTED_VALUE"""),"03:00 PM to 05:00 PM")</f>
        <v>03:00 PM to 05:00 PM</v>
      </c>
      <c r="K53" s="103">
        <f>IFERROR(__xludf.DUMMYFUNCTION("""COMPUTED_VALUE"""),46148.0)</f>
        <v>46148</v>
      </c>
      <c r="L53" s="65" t="str">
        <f>IFERROR(__xludf.DUMMYFUNCTION("""COMPUTED_VALUE""")," ")</f>
        <v> </v>
      </c>
      <c r="M53" s="65"/>
      <c r="N53" s="65"/>
    </row>
    <row r="54">
      <c r="A54" s="99" t="str">
        <f>IFERROR(__xludf.DUMMYFUNCTION("""COMPUTED_VALUE"""),"https://utrucking.com/admin/orders/6325548417212")</f>
        <v>https://utrucking.com/admin/orders/6325548417212</v>
      </c>
      <c r="B54" s="61" t="str">
        <f>IFERROR(__xludf.DUMMYFUNCTION("""COMPUTED_VALUE"""),"#17048")</f>
        <v>#17048</v>
      </c>
      <c r="C54" s="61" t="str">
        <f>IFERROR(__xludf.DUMMYFUNCTION("""COMPUTED_VALUE"""),"g.lanzillo@wustl.edu")</f>
        <v>g.lanzillo@wustl.edu</v>
      </c>
      <c r="D54" s="61">
        <f>IFERROR(__xludf.DUMMYFUNCTION("""COMPUTED_VALUE"""),3.02233479E9)</f>
        <v>3022334790</v>
      </c>
      <c r="E54" s="61" t="str">
        <f>IFERROR(__xludf.DUMMYFUNCTION("""COMPUTED_VALUE"""),"Gemma Lanzillo")</f>
        <v>Gemma Lanzillo</v>
      </c>
      <c r="F54" s="61" t="str">
        <f>IFERROR(__xludf.DUMMYFUNCTION("""COMPUTED_VALUE"""),"Gemma Lanzillo")</f>
        <v>Gemma Lanzillo</v>
      </c>
      <c r="G54" s="61" t="str">
        <f>IFERROR(__xludf.DUMMYFUNCTION("""COMPUTED_VALUE""")," 2 / Included Insurance   - ")</f>
        <v> 2 / Included Insurance   - </v>
      </c>
      <c r="H54" s="61" t="str">
        <f>IFERROR(__xludf.DUMMYFUNCTION("""COMPUTED_VALUE"""),"Shepley  ")</f>
        <v>Shepley  </v>
      </c>
      <c r="I54" s="61" t="str">
        <f>IFERROR(__xludf.DUMMYFUNCTION("""COMPUTED_VALUE"""),"2052")</f>
        <v>2052</v>
      </c>
      <c r="J54" s="107" t="str">
        <f>IFERROR(__xludf.DUMMYFUNCTION("""COMPUTED_VALUE"""),"09:00 AM to 11:00 AM  ")</f>
        <v>09:00 AM to 11:00 AM  </v>
      </c>
      <c r="K54" s="100">
        <f>IFERROR(__xludf.DUMMYFUNCTION("""COMPUTED_VALUE"""),46149.0)</f>
        <v>46149</v>
      </c>
      <c r="L54" s="61" t="str">
        <f>IFERROR(__xludf.DUMMYFUNCTION("""COMPUTED_VALUE""")," ")</f>
        <v> </v>
      </c>
      <c r="M54" s="61"/>
      <c r="N54" s="61"/>
    </row>
    <row r="55">
      <c r="A55" s="102" t="str">
        <f>IFERROR(__xludf.DUMMYFUNCTION("""COMPUTED_VALUE"""),"https://utrucking.com/admin/orders/6325552873660")</f>
        <v>https://utrucking.com/admin/orders/6325552873660</v>
      </c>
      <c r="B55" s="65" t="str">
        <f>IFERROR(__xludf.DUMMYFUNCTION("""COMPUTED_VALUE"""),"#17049")</f>
        <v>#17049</v>
      </c>
      <c r="C55" s="65" t="str">
        <f>IFERROR(__xludf.DUMMYFUNCTION("""COMPUTED_VALUE"""),"dhorlasy@gmail.com")</f>
        <v>dhorlasy@gmail.com</v>
      </c>
      <c r="D55" s="65">
        <f>IFERROR(__xludf.DUMMYFUNCTION("""COMPUTED_VALUE"""),8.173044296E9)</f>
        <v>8173044296</v>
      </c>
      <c r="E55" s="65" t="str">
        <f>IFERROR(__xludf.DUMMYFUNCTION("""COMPUTED_VALUE"""),"Horlasy Demakpor")</f>
        <v>Horlasy Demakpor</v>
      </c>
      <c r="F55" s="65" t="str">
        <f>IFERROR(__xludf.DUMMYFUNCTION("""COMPUTED_VALUE"""),"Horlasy Demakpor")</f>
        <v>Horlasy Demakpor</v>
      </c>
      <c r="G55" s="65" t="str">
        <f>IFERROR(__xludf.DUMMYFUNCTION("""COMPUTED_VALUE""")," 1 [Included with Registration] / Included Insurance   - ")</f>
        <v> 1 [Included with Registration] / Included Insurance   - </v>
      </c>
      <c r="H55" s="65" t="str">
        <f>IFERROR(__xludf.DUMMYFUNCTION("""COMPUTED_VALUE"""),"Gregg  ")</f>
        <v>Gregg  </v>
      </c>
      <c r="I55" s="65" t="str">
        <f>IFERROR(__xludf.DUMMYFUNCTION("""COMPUTED_VALUE"""),"3160")</f>
        <v>3160</v>
      </c>
      <c r="J55" s="108" t="str">
        <f>IFERROR(__xludf.DUMMYFUNCTION("""COMPUTED_VALUE"""),"09:00 AM to 11:00 AM  ")</f>
        <v>09:00 AM to 11:00 AM  </v>
      </c>
      <c r="K55" s="103">
        <f>IFERROR(__xludf.DUMMYFUNCTION("""COMPUTED_VALUE"""),46148.0)</f>
        <v>46148</v>
      </c>
      <c r="L55" s="65" t="str">
        <f>IFERROR(__xludf.DUMMYFUNCTION("""COMPUTED_VALUE""")," ")</f>
        <v> </v>
      </c>
      <c r="M55" s="65"/>
      <c r="N55" s="65"/>
    </row>
    <row r="56">
      <c r="A56" s="99" t="str">
        <f>IFERROR(__xludf.DUMMYFUNCTION("""COMPUTED_VALUE"""),"https://utrucking.com/admin/orders/6325567946940")</f>
        <v>https://utrucking.com/admin/orders/6325567946940</v>
      </c>
      <c r="B56" s="61" t="str">
        <f>IFERROR(__xludf.DUMMYFUNCTION("""COMPUTED_VALUE"""),"#17050")</f>
        <v>#17050</v>
      </c>
      <c r="C56" s="61" t="str">
        <f>IFERROR(__xludf.DUMMYFUNCTION("""COMPUTED_VALUE"""),"harley.w@wustl.edu")</f>
        <v>harley.w@wustl.edu</v>
      </c>
      <c r="D56" s="61">
        <f>IFERROR(__xludf.DUMMYFUNCTION("""COMPUTED_VALUE"""),3.146578093E9)</f>
        <v>3146578093</v>
      </c>
      <c r="E56" s="61" t="str">
        <f>IFERROR(__xludf.DUMMYFUNCTION("""COMPUTED_VALUE"""),"Harley Wang")</f>
        <v>Harley Wang</v>
      </c>
      <c r="F56" s="61" t="str">
        <f>IFERROR(__xludf.DUMMYFUNCTION("""COMPUTED_VALUE"""),"Harley Wang")</f>
        <v>Harley Wang</v>
      </c>
      <c r="G56" s="61" t="str">
        <f>IFERROR(__xludf.DUMMYFUNCTION("""COMPUTED_VALUE""")," 1 [Included with Registration] / Included Insurance   - ")</f>
        <v> 1 [Included with Registration] / Included Insurance   - </v>
      </c>
      <c r="H56" s="61" t="str">
        <f>IFERROR(__xludf.DUMMYFUNCTION("""COMPUTED_VALUE"""),"Lee  ")</f>
        <v>Lee  </v>
      </c>
      <c r="I56" s="61" t="str">
        <f>IFERROR(__xludf.DUMMYFUNCTION("""COMPUTED_VALUE"""),"10")</f>
        <v>10</v>
      </c>
      <c r="J56" s="107" t="str">
        <f>IFERROR(__xludf.DUMMYFUNCTION("""COMPUTED_VALUE"""),"03:00 PM to 05:00 PM")</f>
        <v>03:00 PM to 05:00 PM</v>
      </c>
      <c r="K56" s="100">
        <f>IFERROR(__xludf.DUMMYFUNCTION("""COMPUTED_VALUE"""),46146.0)</f>
        <v>46146</v>
      </c>
      <c r="L56" s="61" t="str">
        <f>IFERROR(__xludf.DUMMYFUNCTION("""COMPUTED_VALUE""")," ")</f>
        <v> </v>
      </c>
      <c r="M56" s="61"/>
      <c r="N56" s="61"/>
    </row>
    <row r="57">
      <c r="A57" s="102" t="str">
        <f>IFERROR(__xludf.DUMMYFUNCTION("""COMPUTED_VALUE"""),"https://utrucking.com/admin/orders/6325643182268")</f>
        <v>https://utrucking.com/admin/orders/6325643182268</v>
      </c>
      <c r="B57" s="65" t="str">
        <f>IFERROR(__xludf.DUMMYFUNCTION("""COMPUTED_VALUE"""),"#17051")</f>
        <v>#17051</v>
      </c>
      <c r="C57" s="65"/>
      <c r="D57" s="65">
        <f>IFERROR(__xludf.DUMMYFUNCTION("""COMPUTED_VALUE"""),4.102586632E9)</f>
        <v>4102586632</v>
      </c>
      <c r="E57" s="65" t="str">
        <f>IFERROR(__xludf.DUMMYFUNCTION("""COMPUTED_VALUE"""),"Lori Veiel")</f>
        <v>Lori Veiel</v>
      </c>
      <c r="F57" s="65" t="str">
        <f>IFERROR(__xludf.DUMMYFUNCTION("""COMPUTED_VALUE"""),"Ben Veiel")</f>
        <v>Ben Veiel</v>
      </c>
      <c r="G57" s="65" t="str">
        <f>IFERROR(__xludf.DUMMYFUNCTION("""COMPUTED_VALUE""")," 3 / Included Insurance   - ")</f>
        <v> 3 / Included Insurance   - </v>
      </c>
      <c r="H57" s="65" t="str">
        <f>IFERROR(__xludf.DUMMYFUNCTION("""COMPUTED_VALUE"""),"Liggett  ")</f>
        <v>Liggett  </v>
      </c>
      <c r="I57" s="65" t="str">
        <f>IFERROR(__xludf.DUMMYFUNCTION("""COMPUTED_VALUE"""),"3373")</f>
        <v>3373</v>
      </c>
      <c r="J57" s="108" t="str">
        <f>IFERROR(__xludf.DUMMYFUNCTION("""COMPUTED_VALUE"""),"12:00 PM to 02:00 PM  ")</f>
        <v>12:00 PM to 02:00 PM  </v>
      </c>
      <c r="K57" s="103">
        <f>IFERROR(__xludf.DUMMYFUNCTION("""COMPUTED_VALUE"""),46149.0)</f>
        <v>46149</v>
      </c>
      <c r="L57" s="65" t="str">
        <f>IFERROR(__xludf.DUMMYFUNCTION("""COMPUTED_VALUE""")," ")</f>
        <v> </v>
      </c>
      <c r="M57" s="65"/>
      <c r="N57" s="65"/>
    </row>
    <row r="58">
      <c r="A58" s="99" t="str">
        <f>IFERROR(__xludf.DUMMYFUNCTION("""COMPUTED_VALUE"""),"https://utrucking.com/admin/orders/6325705244860")</f>
        <v>https://utrucking.com/admin/orders/6325705244860</v>
      </c>
      <c r="B58" s="61" t="str">
        <f>IFERROR(__xludf.DUMMYFUNCTION("""COMPUTED_VALUE"""),"#17052")</f>
        <v>#17052</v>
      </c>
      <c r="C58" s="61" t="str">
        <f>IFERROR(__xludf.DUMMYFUNCTION("""COMPUTED_VALUE"""),"samanthar@wustl.edu")</f>
        <v>samanthar@wustl.edu</v>
      </c>
      <c r="D58" s="61">
        <f>IFERROR(__xludf.DUMMYFUNCTION("""COMPUTED_VALUE"""),3.12351071E9)</f>
        <v>3123510710</v>
      </c>
      <c r="E58" s="61" t="str">
        <f>IFERROR(__xludf.DUMMYFUNCTION("""COMPUTED_VALUE"""),"Samantha Rosenberg")</f>
        <v>Samantha Rosenberg</v>
      </c>
      <c r="F58" s="61" t="str">
        <f>IFERROR(__xludf.DUMMYFUNCTION("""COMPUTED_VALUE"""),"Samantha Rosenberg")</f>
        <v>Samantha Rosenberg</v>
      </c>
      <c r="G58" s="61" t="str">
        <f>IFERROR(__xludf.DUMMYFUNCTION("""COMPUTED_VALUE""")," 2 / Included Insurance   - ")</f>
        <v> 2 / Included Insurance   - </v>
      </c>
      <c r="H58" s="61" t="str">
        <f>IFERROR(__xludf.DUMMYFUNCTION("""COMPUTED_VALUE"""),"Danforth  ")</f>
        <v>Danforth  </v>
      </c>
      <c r="I58" s="61" t="str">
        <f>IFERROR(__xludf.DUMMYFUNCTION("""COMPUTED_VALUE"""),"3321-b")</f>
        <v>3321-b</v>
      </c>
      <c r="J58" s="107" t="str">
        <f>IFERROR(__xludf.DUMMYFUNCTION("""COMPUTED_VALUE"""),"09:00 AM to 11:00 AM  ")</f>
        <v>09:00 AM to 11:00 AM  </v>
      </c>
      <c r="K58" s="100">
        <f>IFERROR(__xludf.DUMMYFUNCTION("""COMPUTED_VALUE"""),46147.0)</f>
        <v>46147</v>
      </c>
      <c r="L58" s="61" t="str">
        <f>IFERROR(__xludf.DUMMYFUNCTION("""COMPUTED_VALUE""")," ")</f>
        <v> </v>
      </c>
      <c r="M58" s="61"/>
      <c r="N58" s="61"/>
    </row>
    <row r="59">
      <c r="A59" s="102" t="str">
        <f>IFERROR(__xludf.DUMMYFUNCTION("""COMPUTED_VALUE"""),"https://utrucking.com/admin/orders/6325764784316")</f>
        <v>https://utrucking.com/admin/orders/6325764784316</v>
      </c>
      <c r="B59" s="65" t="str">
        <f>IFERROR(__xludf.DUMMYFUNCTION("""COMPUTED_VALUE"""),"#17053")</f>
        <v>#17053</v>
      </c>
      <c r="C59" s="65" t="str">
        <f>IFERROR(__xludf.DUMMYFUNCTION("""COMPUTED_VALUE"""),"j.d.warren@wustl.edu")</f>
        <v>j.d.warren@wustl.edu</v>
      </c>
      <c r="D59" s="65">
        <f>IFERROR(__xludf.DUMMYFUNCTION("""COMPUTED_VALUE"""),9.094458382E9)</f>
        <v>9094458382</v>
      </c>
      <c r="E59" s="65" t="str">
        <f>IFERROR(__xludf.DUMMYFUNCTION("""COMPUTED_VALUE"""),"Melinda Warren")</f>
        <v>Melinda Warren</v>
      </c>
      <c r="F59" s="65" t="str">
        <f>IFERROR(__xludf.DUMMYFUNCTION("""COMPUTED_VALUE"""),"Jack Warren")</f>
        <v>Jack Warren</v>
      </c>
      <c r="G59" s="65" t="str">
        <f>IFERROR(__xludf.DUMMYFUNCTION("""COMPUTED_VALUE""")," 1 [Included with Registration] / Included Insurance   - ")</f>
        <v> 1 [Included with Registration] / Included Insurance   - </v>
      </c>
      <c r="H59" s="65" t="str">
        <f>IFERROR(__xludf.DUMMYFUNCTION("""COMPUTED_VALUE"""),"Wheeler  ")</f>
        <v>Wheeler  </v>
      </c>
      <c r="I59" s="65" t="str">
        <f>IFERROR(__xludf.DUMMYFUNCTION("""COMPUTED_VALUE"""),"4064")</f>
        <v>4064</v>
      </c>
      <c r="J59" s="108" t="str">
        <f>IFERROR(__xludf.DUMMYFUNCTION("""COMPUTED_VALUE"""),"09:00 AM to 11:00 AM  ")</f>
        <v>09:00 AM to 11:00 AM  </v>
      </c>
      <c r="K59" s="103">
        <f>IFERROR(__xludf.DUMMYFUNCTION("""COMPUTED_VALUE"""),46148.0)</f>
        <v>46148</v>
      </c>
      <c r="L59" s="65" t="str">
        <f>IFERROR(__xludf.DUMMYFUNCTION("""COMPUTED_VALUE""")," ")</f>
        <v> </v>
      </c>
      <c r="M59" s="65"/>
      <c r="N59" s="65"/>
    </row>
    <row r="60">
      <c r="A60" s="99" t="str">
        <f>IFERROR(__xludf.DUMMYFUNCTION("""COMPUTED_VALUE"""),"https://utrucking.com/admin/orders/6325886746812")</f>
        <v>https://utrucking.com/admin/orders/6325886746812</v>
      </c>
      <c r="B60" s="61" t="str">
        <f>IFERROR(__xludf.DUMMYFUNCTION("""COMPUTED_VALUE"""),"#17054")</f>
        <v>#17054</v>
      </c>
      <c r="C60" s="61" t="str">
        <f>IFERROR(__xludf.DUMMYFUNCTION("""COMPUTED_VALUE"""),"cgoldstein2007@gmail.com")</f>
        <v>cgoldstein2007@gmail.com</v>
      </c>
      <c r="D60" s="61">
        <f>IFERROR(__xludf.DUMMYFUNCTION("""COMPUTED_VALUE"""),3.015125184E9)</f>
        <v>3015125184</v>
      </c>
      <c r="E60" s="61" t="str">
        <f>IFERROR(__xludf.DUMMYFUNCTION("""COMPUTED_VALUE"""),"Caroline Goldstein")</f>
        <v>Caroline Goldstein</v>
      </c>
      <c r="F60" s="61" t="str">
        <f>IFERROR(__xludf.DUMMYFUNCTION("""COMPUTED_VALUE"""),"Caroline Goldstein")</f>
        <v>Caroline Goldstein</v>
      </c>
      <c r="G60" s="61" t="str">
        <f>IFERROR(__xludf.DUMMYFUNCTION("""COMPUTED_VALUE""")," 2 / Included Insurance   - ")</f>
        <v> 2 / Included Insurance   - </v>
      </c>
      <c r="H60" s="61" t="str">
        <f>IFERROR(__xludf.DUMMYFUNCTION("""COMPUTED_VALUE"""),"Umrath  ")</f>
        <v>Umrath  </v>
      </c>
      <c r="I60" s="61" t="str">
        <f>IFERROR(__xludf.DUMMYFUNCTION("""COMPUTED_VALUE"""),"3323")</f>
        <v>3323</v>
      </c>
      <c r="J60" s="107" t="str">
        <f>IFERROR(__xludf.DUMMYFUNCTION("""COMPUTED_VALUE"""),"03:00 PM to 05:00 PM")</f>
        <v>03:00 PM to 05:00 PM</v>
      </c>
      <c r="K60" s="100">
        <f>IFERROR(__xludf.DUMMYFUNCTION("""COMPUTED_VALUE"""),46147.0)</f>
        <v>46147</v>
      </c>
      <c r="L60" s="61" t="str">
        <f>IFERROR(__xludf.DUMMYFUNCTION("""COMPUTED_VALUE""")," ")</f>
        <v> </v>
      </c>
      <c r="M60" s="61"/>
      <c r="N60" s="61"/>
    </row>
    <row r="61">
      <c r="A61" s="102" t="str">
        <f>IFERROR(__xludf.DUMMYFUNCTION("""COMPUTED_VALUE"""),"https://utrucking.com/admin/orders/6325941960892")</f>
        <v>https://utrucking.com/admin/orders/6325941960892</v>
      </c>
      <c r="B61" s="65" t="str">
        <f>IFERROR(__xludf.DUMMYFUNCTION("""COMPUTED_VALUE"""),"#17055")</f>
        <v>#17055</v>
      </c>
      <c r="C61" s="65" t="str">
        <f>IFERROR(__xludf.DUMMYFUNCTION("""COMPUTED_VALUE"""),"ericjiang623@gmail.com")</f>
        <v>ericjiang623@gmail.com</v>
      </c>
      <c r="D61" s="65">
        <f>IFERROR(__xludf.DUMMYFUNCTION("""COMPUTED_VALUE"""),5.165546187E9)</f>
        <v>5165546187</v>
      </c>
      <c r="E61" s="65" t="str">
        <f>IFERROR(__xludf.DUMMYFUNCTION("""COMPUTED_VALUE"""),"Eric Jiang")</f>
        <v>Eric Jiang</v>
      </c>
      <c r="F61" s="65" t="str">
        <f>IFERROR(__xludf.DUMMYFUNCTION("""COMPUTED_VALUE"""),"Eric Jiang")</f>
        <v>Eric Jiang</v>
      </c>
      <c r="G61" s="65" t="str">
        <f>IFERROR(__xludf.DUMMYFUNCTION("""COMPUTED_VALUE""")," 2 / Included Insurance   - ")</f>
        <v> 2 / Included Insurance   - </v>
      </c>
      <c r="H61" s="65" t="str">
        <f>IFERROR(__xludf.DUMMYFUNCTION("""COMPUTED_VALUE"""),"Umrath  ")</f>
        <v>Umrath  </v>
      </c>
      <c r="I61" s="65" t="str">
        <f>IFERROR(__xludf.DUMMYFUNCTION("""COMPUTED_VALUE"""),"4424")</f>
        <v>4424</v>
      </c>
      <c r="J61" s="108" t="str">
        <f>IFERROR(__xludf.DUMMYFUNCTION("""COMPUTED_VALUE"""),"11:00 AM to 01:00 PM  ")</f>
        <v>11:00 AM to 01:00 PM  </v>
      </c>
      <c r="K61" s="103">
        <f>IFERROR(__xludf.DUMMYFUNCTION("""COMPUTED_VALUE"""),46149.0)</f>
        <v>46149</v>
      </c>
      <c r="L61" s="65" t="str">
        <f>IFERROR(__xludf.DUMMYFUNCTION("""COMPUTED_VALUE""")," ")</f>
        <v> </v>
      </c>
      <c r="M61" s="65"/>
      <c r="N61" s="65"/>
    </row>
    <row r="62">
      <c r="A62" s="99" t="str">
        <f>IFERROR(__xludf.DUMMYFUNCTION("""COMPUTED_VALUE"""),"https://utrucking.com/admin/orders/6325973549244")</f>
        <v>https://utrucking.com/admin/orders/6325973549244</v>
      </c>
      <c r="B62" s="61" t="str">
        <f>IFERROR(__xludf.DUMMYFUNCTION("""COMPUTED_VALUE"""),"#17056")</f>
        <v>#17056</v>
      </c>
      <c r="C62" s="61" t="str">
        <f>IFERROR(__xludf.DUMMYFUNCTION("""COMPUTED_VALUE"""),"dangzachary6@gmail.com")</f>
        <v>dangzachary6@gmail.com</v>
      </c>
      <c r="D62" s="61">
        <f>IFERROR(__xludf.DUMMYFUNCTION("""COMPUTED_VALUE"""),7.637424532E9)</f>
        <v>7637424532</v>
      </c>
      <c r="E62" s="61" t="str">
        <f>IFERROR(__xludf.DUMMYFUNCTION("""COMPUTED_VALUE"""),"Zachary Dang")</f>
        <v>Zachary Dang</v>
      </c>
      <c r="F62" s="61" t="str">
        <f>IFERROR(__xludf.DUMMYFUNCTION("""COMPUTED_VALUE"""),"Zachary Dang")</f>
        <v>Zachary Dang</v>
      </c>
      <c r="G62" s="61" t="str">
        <f>IFERROR(__xludf.DUMMYFUNCTION("""COMPUTED_VALUE""")," 1 [Included with Registration] / Included Insurance   - ")</f>
        <v> 1 [Included with Registration] / Included Insurance   - </v>
      </c>
      <c r="H62" s="61" t="str">
        <f>IFERROR(__xludf.DUMMYFUNCTION("""COMPUTED_VALUE"""),"Dauten  ")</f>
        <v>Dauten  </v>
      </c>
      <c r="I62" s="61" t="str">
        <f>IFERROR(__xludf.DUMMYFUNCTION("""COMPUTED_VALUE"""),"144")</f>
        <v>144</v>
      </c>
      <c r="J62" s="107" t="str">
        <f>IFERROR(__xludf.DUMMYFUNCTION("""COMPUTED_VALUE"""),"03:00 PM to 05:00 PM")</f>
        <v>03:00 PM to 05:00 PM</v>
      </c>
      <c r="K62" s="100">
        <f>IFERROR(__xludf.DUMMYFUNCTION("""COMPUTED_VALUE"""),46147.0)</f>
        <v>46147</v>
      </c>
      <c r="L62" s="61" t="str">
        <f>IFERROR(__xludf.DUMMYFUNCTION("""COMPUTED_VALUE""")," ")</f>
        <v> </v>
      </c>
      <c r="M62" s="61"/>
      <c r="N62" s="61"/>
    </row>
    <row r="63">
      <c r="A63" s="102" t="str">
        <f>IFERROR(__xludf.DUMMYFUNCTION("""COMPUTED_VALUE"""),"https://utrucking.com/admin/orders/6326294118588")</f>
        <v>https://utrucking.com/admin/orders/6326294118588</v>
      </c>
      <c r="B63" s="65" t="str">
        <f>IFERROR(__xludf.DUMMYFUNCTION("""COMPUTED_VALUE"""),"#17060")</f>
        <v>#17060</v>
      </c>
      <c r="C63" s="65" t="str">
        <f>IFERROR(__xludf.DUMMYFUNCTION("""COMPUTED_VALUE"""),"e.d.nus@wustl.edu")</f>
        <v>e.d.nus@wustl.edu</v>
      </c>
      <c r="D63" s="65">
        <f>IFERROR(__xludf.DUMMYFUNCTION("""COMPUTED_VALUE"""),1.516612426E10)</f>
        <v>15166124260</v>
      </c>
      <c r="E63" s="65" t="str">
        <f>IFERROR(__xludf.DUMMYFUNCTION("""COMPUTED_VALUE"""),"Deanna Nus")</f>
        <v>Deanna Nus</v>
      </c>
      <c r="F63" s="65" t="str">
        <f>IFERROR(__xludf.DUMMYFUNCTION("""COMPUTED_VALUE"""),"Ethan Nus")</f>
        <v>Ethan Nus</v>
      </c>
      <c r="G63" s="65" t="str">
        <f>IFERROR(__xludf.DUMMYFUNCTION("""COMPUTED_VALUE""")," 1 [Included with Registration] / Included Insurance   - ")</f>
        <v> 1 [Included with Registration] / Included Insurance   - </v>
      </c>
      <c r="H63" s="65" t="str">
        <f>IFERROR(__xludf.DUMMYFUNCTION("""COMPUTED_VALUE"""),"Umrath  ")</f>
        <v>Umrath  </v>
      </c>
      <c r="I63" s="65" t="str">
        <f>IFERROR(__xludf.DUMMYFUNCTION("""COMPUTED_VALUE"""),"4428")</f>
        <v>4428</v>
      </c>
      <c r="J63" s="108" t="str">
        <f>IFERROR(__xludf.DUMMYFUNCTION("""COMPUTED_VALUE"""),"02:00 PM to 04:00 PM")</f>
        <v>02:00 PM to 04:00 PM</v>
      </c>
      <c r="K63" s="103">
        <f>IFERROR(__xludf.DUMMYFUNCTION("""COMPUTED_VALUE"""),46147.0)</f>
        <v>46147</v>
      </c>
      <c r="L63" s="65" t="str">
        <f>IFERROR(__xludf.DUMMYFUNCTION("""COMPUTED_VALUE""")," ")</f>
        <v> </v>
      </c>
      <c r="M63" s="65"/>
      <c r="N63" s="65"/>
    </row>
    <row r="64">
      <c r="A64" s="99" t="str">
        <f>IFERROR(__xludf.DUMMYFUNCTION("""COMPUTED_VALUE"""),"https://utrucking.com/admin/orders/6326637756604")</f>
        <v>https://utrucking.com/admin/orders/6326637756604</v>
      </c>
      <c r="B64" s="61" t="str">
        <f>IFERROR(__xludf.DUMMYFUNCTION("""COMPUTED_VALUE"""),"#17061")</f>
        <v>#17061</v>
      </c>
      <c r="C64" s="61" t="str">
        <f>IFERROR(__xludf.DUMMYFUNCTION("""COMPUTED_VALUE"""),"sophia.s@wustl.edu")</f>
        <v>sophia.s@wustl.edu</v>
      </c>
      <c r="D64" s="61">
        <f>IFERROR(__xludf.DUMMYFUNCTION("""COMPUTED_VALUE"""),6.178693695E9)</f>
        <v>6178693695</v>
      </c>
      <c r="E64" s="61" t="str">
        <f>IFERROR(__xludf.DUMMYFUNCTION("""COMPUTED_VALUE"""),"Xin Sun")</f>
        <v>Xin Sun</v>
      </c>
      <c r="F64" s="61" t="str">
        <f>IFERROR(__xludf.DUMMYFUNCTION("""COMPUTED_VALUE"""),"Sophia Su")</f>
        <v>Sophia Su</v>
      </c>
      <c r="G64" s="61" t="str">
        <f>IFERROR(__xludf.DUMMYFUNCTION("""COMPUTED_VALUE""")," 1 [Included with Registration] / Included Insurance   - ")</f>
        <v> 1 [Included with Registration] / Included Insurance   - </v>
      </c>
      <c r="H64" s="61" t="str">
        <f>IFERROR(__xludf.DUMMYFUNCTION("""COMPUTED_VALUE"""),"Danforth  ")</f>
        <v>Danforth  </v>
      </c>
      <c r="I64" s="61" t="str">
        <f>IFERROR(__xludf.DUMMYFUNCTION("""COMPUTED_VALUE"""),"2210")</f>
        <v>2210</v>
      </c>
      <c r="J64" s="107" t="str">
        <f>IFERROR(__xludf.DUMMYFUNCTION("""COMPUTED_VALUE"""),"09:00 AM to 11:00 AM  ")</f>
        <v>09:00 AM to 11:00 AM  </v>
      </c>
      <c r="K64" s="100">
        <f>IFERROR(__xludf.DUMMYFUNCTION("""COMPUTED_VALUE"""),46148.0)</f>
        <v>46148</v>
      </c>
      <c r="L64" s="61" t="str">
        <f>IFERROR(__xludf.DUMMYFUNCTION("""COMPUTED_VALUE""")," ")</f>
        <v> </v>
      </c>
      <c r="M64" s="61"/>
      <c r="N64" s="61"/>
    </row>
    <row r="65">
      <c r="A65" s="102" t="str">
        <f>IFERROR(__xludf.DUMMYFUNCTION("""COMPUTED_VALUE"""),"https://utrucking.com/admin/orders/6326756769980")</f>
        <v>https://utrucking.com/admin/orders/6326756769980</v>
      </c>
      <c r="B65" s="65" t="str">
        <f>IFERROR(__xludf.DUMMYFUNCTION("""COMPUTED_VALUE"""),"#17062")</f>
        <v>#17062</v>
      </c>
      <c r="C65" s="65" t="str">
        <f>IFERROR(__xludf.DUMMYFUNCTION("""COMPUTED_VALUE"""),"kharris21@iCloud.com")</f>
        <v>kharris21@iCloud.com</v>
      </c>
      <c r="D65" s="65">
        <f>IFERROR(__xludf.DUMMYFUNCTION("""COMPUTED_VALUE"""),9.178549554E9)</f>
        <v>9178549554</v>
      </c>
      <c r="E65" s="65" t="str">
        <f>IFERROR(__xludf.DUMMYFUNCTION("""COMPUTED_VALUE"""),"Kristy Harris")</f>
        <v>Kristy Harris</v>
      </c>
      <c r="F65" s="65" t="str">
        <f>IFERROR(__xludf.DUMMYFUNCTION("""COMPUTED_VALUE"""),"Grace Harris ")</f>
        <v>Grace Harris </v>
      </c>
      <c r="G65" s="65" t="str">
        <f>IFERROR(__xludf.DUMMYFUNCTION("""COMPUTED_VALUE""")," 1 [Included with Registration] / Included Insurance   - ")</f>
        <v> 1 [Included with Registration] / Included Insurance   - </v>
      </c>
      <c r="H65" s="65" t="str">
        <f>IFERROR(__xludf.DUMMYFUNCTION("""COMPUTED_VALUE"""),"Shanedling  ")</f>
        <v>Shanedling  </v>
      </c>
      <c r="I65" s="65" t="str">
        <f>IFERROR(__xludf.DUMMYFUNCTION("""COMPUTED_VALUE"""),"422")</f>
        <v>422</v>
      </c>
      <c r="J65" s="108" t="str">
        <f>IFERROR(__xludf.DUMMYFUNCTION("""COMPUTED_VALUE"""),"03:00 PM to 05:00 PM")</f>
        <v>03:00 PM to 05:00 PM</v>
      </c>
      <c r="K65" s="103">
        <f>IFERROR(__xludf.DUMMYFUNCTION("""COMPUTED_VALUE"""),46147.0)</f>
        <v>46147</v>
      </c>
      <c r="L65" s="65" t="str">
        <f>IFERROR(__xludf.DUMMYFUNCTION("""COMPUTED_VALUE""")," ")</f>
        <v> </v>
      </c>
      <c r="M65" s="65"/>
      <c r="N65" s="65"/>
    </row>
    <row r="66">
      <c r="A66" s="99" t="str">
        <f>IFERROR(__xludf.DUMMYFUNCTION("""COMPUTED_VALUE"""),"https://utrucking.com/admin/orders/6327187177660")</f>
        <v>https://utrucking.com/admin/orders/6327187177660</v>
      </c>
      <c r="B66" s="61" t="str">
        <f>IFERROR(__xludf.DUMMYFUNCTION("""COMPUTED_VALUE"""),"#17063")</f>
        <v>#17063</v>
      </c>
      <c r="C66" s="61" t="str">
        <f>IFERROR(__xludf.DUMMYFUNCTION("""COMPUTED_VALUE"""),"l.jean@wustl.edu")</f>
        <v>l.jean@wustl.edu</v>
      </c>
      <c r="D66" s="61">
        <f>IFERROR(__xludf.DUMMYFUNCTION("""COMPUTED_VALUE"""),9.293539947E9)</f>
        <v>9293539947</v>
      </c>
      <c r="E66" s="61" t="str">
        <f>IFERROR(__xludf.DUMMYFUNCTION("""COMPUTED_VALUE"""),"Jean Lopez Uzho")</f>
        <v>Jean Lopez Uzho</v>
      </c>
      <c r="F66" s="61" t="str">
        <f>IFERROR(__xludf.DUMMYFUNCTION("""COMPUTED_VALUE"""),"Jean Lopez Uzho")</f>
        <v>Jean Lopez Uzho</v>
      </c>
      <c r="G66" s="61" t="str">
        <f>IFERROR(__xludf.DUMMYFUNCTION("""COMPUTED_VALUE""")," 1 [Included with Registration] / Included Insurance   - ")</f>
        <v> 1 [Included with Registration] / Included Insurance   - </v>
      </c>
      <c r="H66" s="61" t="str">
        <f>IFERROR(__xludf.DUMMYFUNCTION("""COMPUTED_VALUE"""),"Rutledge  ")</f>
        <v>Rutledge  </v>
      </c>
      <c r="I66" s="61" t="str">
        <f>IFERROR(__xludf.DUMMYFUNCTION("""COMPUTED_VALUE"""),"224")</f>
        <v>224</v>
      </c>
      <c r="J66" s="107" t="str">
        <f>IFERROR(__xludf.DUMMYFUNCTION("""COMPUTED_VALUE"""),"09:00 AM to 11:00 AM  ")</f>
        <v>09:00 AM to 11:00 AM  </v>
      </c>
      <c r="K66" s="100">
        <f>IFERROR(__xludf.DUMMYFUNCTION("""COMPUTED_VALUE"""),46149.0)</f>
        <v>46149</v>
      </c>
      <c r="L66" s="61" t="str">
        <f>IFERROR(__xludf.DUMMYFUNCTION("""COMPUTED_VALUE""")," ")</f>
        <v> </v>
      </c>
      <c r="M66" s="61"/>
      <c r="N66" s="61"/>
    </row>
    <row r="67">
      <c r="A67" s="102" t="str">
        <f>IFERROR(__xludf.DUMMYFUNCTION("""COMPUTED_VALUE"""),"https://utrucking.com/admin/orders/6327510401212")</f>
        <v>https://utrucking.com/admin/orders/6327510401212</v>
      </c>
      <c r="B67" s="65" t="str">
        <f>IFERROR(__xludf.DUMMYFUNCTION("""COMPUTED_VALUE"""),"#17064")</f>
        <v>#17064</v>
      </c>
      <c r="C67" s="65" t="str">
        <f>IFERROR(__xludf.DUMMYFUNCTION("""COMPUTED_VALUE"""),"k.d.roy@wustl.edu")</f>
        <v>k.d.roy@wustl.edu</v>
      </c>
      <c r="D67" s="65">
        <f>IFERROR(__xludf.DUMMYFUNCTION("""COMPUTED_VALUE"""),6.462400383E9)</f>
        <v>6462400383</v>
      </c>
      <c r="E67" s="65" t="str">
        <f>IFERROR(__xludf.DUMMYFUNCTION("""COMPUTED_VALUE"""),"Renata Roy")</f>
        <v>Renata Roy</v>
      </c>
      <c r="F67" s="65" t="str">
        <f>IFERROR(__xludf.DUMMYFUNCTION("""COMPUTED_VALUE"""),"Kaia Roy")</f>
        <v>Kaia Roy</v>
      </c>
      <c r="G67" s="65" t="str">
        <f>IFERROR(__xludf.DUMMYFUNCTION("""COMPUTED_VALUE""")," 1 [Included with Registration] / Included Insurance   - ")</f>
        <v> 1 [Included with Registration] / Included Insurance   - </v>
      </c>
      <c r="H67" s="65" t="str">
        <f>IFERROR(__xludf.DUMMYFUNCTION("""COMPUTED_VALUE"""),"Eliot B (Sophomore Dorm)")</f>
        <v>Eliot B (Sophomore Dorm)</v>
      </c>
      <c r="I67" s="65" t="str">
        <f>IFERROR(__xludf.DUMMYFUNCTION("""COMPUTED_VALUE"""),"1032")</f>
        <v>1032</v>
      </c>
      <c r="J67" s="108" t="str">
        <f>IFERROR(__xludf.DUMMYFUNCTION("""COMPUTED_VALUE"""),"09:00 AM to 11:00 AM  ")</f>
        <v>09:00 AM to 11:00 AM  </v>
      </c>
      <c r="K67" s="103">
        <f>IFERROR(__xludf.DUMMYFUNCTION("""COMPUTED_VALUE"""),46149.0)</f>
        <v>46149</v>
      </c>
      <c r="L67" s="65" t="str">
        <f>IFERROR(__xludf.DUMMYFUNCTION("""COMPUTED_VALUE""")," ")</f>
        <v> </v>
      </c>
      <c r="M67" s="65"/>
      <c r="N67" s="65"/>
    </row>
    <row r="68">
      <c r="A68" s="99" t="str">
        <f>IFERROR(__xludf.DUMMYFUNCTION("""COMPUTED_VALUE"""),"https://utrucking.com/admin/orders/6327585636540")</f>
        <v>https://utrucking.com/admin/orders/6327585636540</v>
      </c>
      <c r="B68" s="61" t="str">
        <f>IFERROR(__xludf.DUMMYFUNCTION("""COMPUTED_VALUE"""),"#17065")</f>
        <v>#17065</v>
      </c>
      <c r="C68" s="61" t="str">
        <f>IFERROR(__xludf.DUMMYFUNCTION("""COMPUTED_VALUE"""),"hojoon@wustl.edu")</f>
        <v>hojoon@wustl.edu</v>
      </c>
      <c r="D68" s="61">
        <f>IFERROR(__xludf.DUMMYFUNCTION("""COMPUTED_VALUE"""),4.255779063E9)</f>
        <v>4255779063</v>
      </c>
      <c r="E68" s="61" t="str">
        <f>IFERROR(__xludf.DUMMYFUNCTION("""COMPUTED_VALUE"""),"Hojoon Sung")</f>
        <v>Hojoon Sung</v>
      </c>
      <c r="F68" s="61" t="str">
        <f>IFERROR(__xludf.DUMMYFUNCTION("""COMPUTED_VALUE"""),"Hojoon Sung")</f>
        <v>Hojoon Sung</v>
      </c>
      <c r="G68" s="61" t="str">
        <f>IFERROR(__xludf.DUMMYFUNCTION("""COMPUTED_VALUE""")," 1 [Included with Registration] / Included Insurance   - ")</f>
        <v> 1 [Included with Registration] / Included Insurance   - </v>
      </c>
      <c r="H68" s="61" t="str">
        <f>IFERROR(__xludf.DUMMYFUNCTION("""COMPUTED_VALUE"""),"Nemerov  ")</f>
        <v>Nemerov  </v>
      </c>
      <c r="I68" s="61" t="str">
        <f>IFERROR(__xludf.DUMMYFUNCTION("""COMPUTED_VALUE"""),"2092")</f>
        <v>2092</v>
      </c>
      <c r="J68" s="107" t="str">
        <f>IFERROR(__xludf.DUMMYFUNCTION("""COMPUTED_VALUE"""),"09:00 AM to 11:00 AM  ")</f>
        <v>09:00 AM to 11:00 AM  </v>
      </c>
      <c r="K68" s="100">
        <f>IFERROR(__xludf.DUMMYFUNCTION("""COMPUTED_VALUE"""),46149.0)</f>
        <v>46149</v>
      </c>
      <c r="L68" s="61" t="str">
        <f>IFERROR(__xludf.DUMMYFUNCTION("""COMPUTED_VALUE""")," ")</f>
        <v> </v>
      </c>
      <c r="M68" s="61"/>
      <c r="N68" s="61"/>
    </row>
    <row r="69">
      <c r="A69" s="102" t="str">
        <f>IFERROR(__xludf.DUMMYFUNCTION("""COMPUTED_VALUE"""),"https://utrucking.com/admin/orders/6327694852284")</f>
        <v>https://utrucking.com/admin/orders/6327694852284</v>
      </c>
      <c r="B69" s="65" t="str">
        <f>IFERROR(__xludf.DUMMYFUNCTION("""COMPUTED_VALUE"""),"#17066")</f>
        <v>#17066</v>
      </c>
      <c r="C69" s="65" t="str">
        <f>IFERROR(__xludf.DUMMYFUNCTION("""COMPUTED_VALUE"""),"goto@wustl.edu")</f>
        <v>goto@wustl.edu</v>
      </c>
      <c r="D69" s="65">
        <f>IFERROR(__xludf.DUMMYFUNCTION("""COMPUTED_VALUE"""),5.153375274E9)</f>
        <v>5153375274</v>
      </c>
      <c r="E69" s="65" t="str">
        <f>IFERROR(__xludf.DUMMYFUNCTION("""COMPUTED_VALUE"""),"Kishiro Goto")</f>
        <v>Kishiro Goto</v>
      </c>
      <c r="F69" s="65" t="str">
        <f>IFERROR(__xludf.DUMMYFUNCTION("""COMPUTED_VALUE"""),"Kishiro Goto ")</f>
        <v>Kishiro Goto </v>
      </c>
      <c r="G69" s="65" t="str">
        <f>IFERROR(__xludf.DUMMYFUNCTION("""COMPUTED_VALUE""")," 2 / Included Insurance   - ")</f>
        <v> 2 / Included Insurance   - </v>
      </c>
      <c r="H69" s="65" t="str">
        <f>IFERROR(__xludf.DUMMYFUNCTION("""COMPUTED_VALUE"""),"6057 Waterman Blvd")</f>
        <v>6057 Waterman Blvd</v>
      </c>
      <c r="I69" s="65" t="str">
        <f>IFERROR(__xludf.DUMMYFUNCTION("""COMPUTED_VALUE"""),"3s-b")</f>
        <v>3s-b</v>
      </c>
      <c r="J69" s="108" t="str">
        <f>IFERROR(__xludf.DUMMYFUNCTION("""COMPUTED_VALUE"""),"03:00 PM to 05:00 PM")</f>
        <v>03:00 PM to 05:00 PM</v>
      </c>
      <c r="K69" s="103">
        <f>IFERROR(__xludf.DUMMYFUNCTION("""COMPUTED_VALUE"""),46162.0)</f>
        <v>46162</v>
      </c>
      <c r="L69" s="65" t="str">
        <f>IFERROR(__xludf.DUMMYFUNCTION("""COMPUTED_VALUE""")," ")</f>
        <v> </v>
      </c>
      <c r="M69" s="65"/>
      <c r="N69" s="65"/>
    </row>
    <row r="70">
      <c r="A70" s="99" t="str">
        <f>IFERROR(__xludf.DUMMYFUNCTION("""COMPUTED_VALUE"""),"https://utrucking.com/admin/orders/6328783143100")</f>
        <v>https://utrucking.com/admin/orders/6328783143100</v>
      </c>
      <c r="B70" s="61" t="str">
        <f>IFERROR(__xludf.DUMMYFUNCTION("""COMPUTED_VALUE"""),"#17067")</f>
        <v>#17067</v>
      </c>
      <c r="C70" s="61" t="str">
        <f>IFERROR(__xludf.DUMMYFUNCTION("""COMPUTED_VALUE"""),"avaf@wustl.edu")</f>
        <v>avaf@wustl.edu</v>
      </c>
      <c r="D70" s="61">
        <f>IFERROR(__xludf.DUMMYFUNCTION("""COMPUTED_VALUE"""),9.143648E9)</f>
        <v>9143648000</v>
      </c>
      <c r="E70" s="61" t="str">
        <f>IFERROR(__xludf.DUMMYFUNCTION("""COMPUTED_VALUE"""),"Ava Feldman")</f>
        <v>Ava Feldman</v>
      </c>
      <c r="F70" s="61" t="str">
        <f>IFERROR(__xludf.DUMMYFUNCTION("""COMPUTED_VALUE"""),"Ava Feldman")</f>
        <v>Ava Feldman</v>
      </c>
      <c r="G70" s="61" t="str">
        <f>IFERROR(__xludf.DUMMYFUNCTION("""COMPUTED_VALUE""")," 1 [Included with Registration] / Included Insurance   - ")</f>
        <v> 1 [Included with Registration] / Included Insurance   - </v>
      </c>
      <c r="H70" s="61" t="str">
        <f>IFERROR(__xludf.DUMMYFUNCTION("""COMPUTED_VALUE"""),"Dauten  ")</f>
        <v>Dauten  </v>
      </c>
      <c r="I70" s="61" t="str">
        <f>IFERROR(__xludf.DUMMYFUNCTION("""COMPUTED_VALUE"""),"23-B")</f>
        <v>23-B</v>
      </c>
      <c r="J70" s="107" t="str">
        <f>IFERROR(__xludf.DUMMYFUNCTION("""COMPUTED_VALUE"""),"09:00 AM to 11:00 AM  ")</f>
        <v>09:00 AM to 11:00 AM  </v>
      </c>
      <c r="K70" s="100">
        <f>IFERROR(__xludf.DUMMYFUNCTION("""COMPUTED_VALUE"""),46144.0)</f>
        <v>46144</v>
      </c>
      <c r="L70" s="61" t="str">
        <f>IFERROR(__xludf.DUMMYFUNCTION("""COMPUTED_VALUE""")," ")</f>
        <v> </v>
      </c>
      <c r="M70" s="61"/>
      <c r="N70" s="61"/>
    </row>
    <row r="71">
      <c r="A71" s="102" t="str">
        <f>IFERROR(__xludf.DUMMYFUNCTION("""COMPUTED_VALUE"""),"https://utrucking.com/admin/orders/6330396377276")</f>
        <v>https://utrucking.com/admin/orders/6330396377276</v>
      </c>
      <c r="B71" s="65" t="str">
        <f>IFERROR(__xludf.DUMMYFUNCTION("""COMPUTED_VALUE"""),"#17068")</f>
        <v>#17068</v>
      </c>
      <c r="C71" s="65" t="str">
        <f>IFERROR(__xludf.DUMMYFUNCTION("""COMPUTED_VALUE"""),"SLSkelding@yahoo.com")</f>
        <v>SLSkelding@yahoo.com</v>
      </c>
      <c r="D71" s="65">
        <f>IFERROR(__xludf.DUMMYFUNCTION("""COMPUTED_VALUE"""),3.123710971E9)</f>
        <v>3123710971</v>
      </c>
      <c r="E71" s="65" t="str">
        <f>IFERROR(__xludf.DUMMYFUNCTION("""COMPUTED_VALUE"""),"Shawna Roubitchek")</f>
        <v>Shawna Roubitchek</v>
      </c>
      <c r="F71" s="65" t="str">
        <f>IFERROR(__xludf.DUMMYFUNCTION("""COMPUTED_VALUE"""),"Josephine Roubitchek")</f>
        <v>Josephine Roubitchek</v>
      </c>
      <c r="G71" s="65" t="str">
        <f>IFERROR(__xludf.DUMMYFUNCTION("""COMPUTED_VALUE""")," 1 [Included with Registration] / Included Insurance   - ")</f>
        <v> 1 [Included with Registration] / Included Insurance   - </v>
      </c>
      <c r="H71" s="65" t="str">
        <f>IFERROR(__xludf.DUMMYFUNCTION("""COMPUTED_VALUE"""),"Dardick  ")</f>
        <v>Dardick  </v>
      </c>
      <c r="I71" s="65" t="str">
        <f>IFERROR(__xludf.DUMMYFUNCTION("""COMPUTED_VALUE"""),"2220")</f>
        <v>2220</v>
      </c>
      <c r="J71" s="108" t="str">
        <f>IFERROR(__xludf.DUMMYFUNCTION("""COMPUTED_VALUE"""),"09:00 AM to 11:00 AM  ")</f>
        <v>09:00 AM to 11:00 AM  </v>
      </c>
      <c r="K71" s="103">
        <f>IFERROR(__xludf.DUMMYFUNCTION("""COMPUTED_VALUE"""),46148.0)</f>
        <v>46148</v>
      </c>
      <c r="L71" s="65" t="str">
        <f>IFERROR(__xludf.DUMMYFUNCTION("""COMPUTED_VALUE""")," ")</f>
        <v> </v>
      </c>
      <c r="M71" s="65"/>
      <c r="N71" s="65"/>
    </row>
    <row r="72">
      <c r="A72" s="99" t="str">
        <f>IFERROR(__xludf.DUMMYFUNCTION("""COMPUTED_VALUE"""),"https://utrucking.com/admin/orders/6334006755516")</f>
        <v>https://utrucking.com/admin/orders/6334006755516</v>
      </c>
      <c r="B72" s="61" t="str">
        <f>IFERROR(__xludf.DUMMYFUNCTION("""COMPUTED_VALUE"""),"#17069")</f>
        <v>#17069</v>
      </c>
      <c r="C72" s="61" t="str">
        <f>IFERROR(__xludf.DUMMYFUNCTION("""COMPUTED_VALUE"""),"berkowitz.r@wustl.edu")</f>
        <v>berkowitz.r@wustl.edu</v>
      </c>
      <c r="D72" s="61" t="str">
        <f>IFERROR(__xludf.DUMMYFUNCTION("""COMPUTED_VALUE"""),"(917) 921-9329")</f>
        <v>(917) 921-9329</v>
      </c>
      <c r="E72" s="61" t="str">
        <f>IFERROR(__xludf.DUMMYFUNCTION("""COMPUTED_VALUE"""),"Meredith Berkowitz")</f>
        <v>Meredith Berkowitz</v>
      </c>
      <c r="F72" s="61" t="str">
        <f>IFERROR(__xludf.DUMMYFUNCTION("""COMPUTED_VALUE"""),"Ryan Berkowitz")</f>
        <v>Ryan Berkowitz</v>
      </c>
      <c r="G72" s="61" t="str">
        <f>IFERROR(__xludf.DUMMYFUNCTION("""COMPUTED_VALUE""")," 1 [Included with Registration] / Included Insurance   - ")</f>
        <v> 1 [Included with Registration] / Included Insurance   - </v>
      </c>
      <c r="H72" s="61" t="str">
        <f>IFERROR(__xludf.DUMMYFUNCTION("""COMPUTED_VALUE"""),"Greenway Apartments  ")</f>
        <v>Greenway Apartments  </v>
      </c>
      <c r="I72" s="61" t="str">
        <f>IFERROR(__xludf.DUMMYFUNCTION("""COMPUTED_VALUE"""),"202-C")</f>
        <v>202-C</v>
      </c>
      <c r="J72" s="107" t="str">
        <f>IFERROR(__xludf.DUMMYFUNCTION("""COMPUTED_VALUE"""),"09:00 AM to 11:00 AM  ")</f>
        <v>09:00 AM to 11:00 AM  </v>
      </c>
      <c r="K72" s="100">
        <f>IFERROR(__xludf.DUMMYFUNCTION("""COMPUTED_VALUE"""),46147.0)</f>
        <v>46147</v>
      </c>
      <c r="L72" s="61" t="str">
        <f>IFERROR(__xludf.DUMMYFUNCTION("""COMPUTED_VALUE""")," ")</f>
        <v> </v>
      </c>
      <c r="M72" s="61"/>
      <c r="N72" s="61"/>
    </row>
    <row r="73">
      <c r="A73" s="102" t="str">
        <f>IFERROR(__xludf.DUMMYFUNCTION("""COMPUTED_VALUE"""),"https://utrucking.com/admin/orders/6334045913276")</f>
        <v>https://utrucking.com/admin/orders/6334045913276</v>
      </c>
      <c r="B73" s="65" t="str">
        <f>IFERROR(__xludf.DUMMYFUNCTION("""COMPUTED_VALUE"""),"#17070")</f>
        <v>#17070</v>
      </c>
      <c r="C73" s="65" t="str">
        <f>IFERROR(__xludf.DUMMYFUNCTION("""COMPUTED_VALUE"""),"jordan.kim@wustl.edu")</f>
        <v>jordan.kim@wustl.edu</v>
      </c>
      <c r="D73" s="65">
        <f>IFERROR(__xludf.DUMMYFUNCTION("""COMPUTED_VALUE"""),8.187513679E9)</f>
        <v>8187513679</v>
      </c>
      <c r="E73" s="65" t="str">
        <f>IFERROR(__xludf.DUMMYFUNCTION("""COMPUTED_VALUE"""),"JORDAN KIM")</f>
        <v>JORDAN KIM</v>
      </c>
      <c r="F73" s="65" t="str">
        <f>IFERROR(__xludf.DUMMYFUNCTION("""COMPUTED_VALUE"""),"JORDAN KIM")</f>
        <v>JORDAN KIM</v>
      </c>
      <c r="G73" s="65" t="str">
        <f>IFERROR(__xludf.DUMMYFUNCTION("""COMPUTED_VALUE""")," 1 [Included with Registration] / Included Insurance   - ")</f>
        <v> 1 [Included with Registration] / Included Insurance   - </v>
      </c>
      <c r="H73" s="65"/>
      <c r="I73" s="65"/>
      <c r="J73" s="108" t="str">
        <f>IFERROR(__xludf.DUMMYFUNCTION("""COMPUTED_VALUE"""),"09:00 AM to 11:00 AM  ")</f>
        <v>09:00 AM to 11:00 AM  </v>
      </c>
      <c r="K73" s="103">
        <f>IFERROR(__xludf.DUMMYFUNCTION("""COMPUTED_VALUE"""),46139.0)</f>
        <v>46139</v>
      </c>
      <c r="L73" s="65" t="str">
        <f>IFERROR(__xludf.DUMMYFUNCTION("""COMPUTED_VALUE""")," ")</f>
        <v> </v>
      </c>
      <c r="M73" s="65" t="str">
        <f>IFERROR(__xludf.DUMMYFUNCTION("""COMPUTED_VALUE"""),"5959 McPherson Avenue, Floor G")</f>
        <v>5959 McPherson Avenue, Floor G</v>
      </c>
      <c r="N73" s="65"/>
    </row>
    <row r="74">
      <c r="A74" s="99" t="str">
        <f>IFERROR(__xludf.DUMMYFUNCTION("""COMPUTED_VALUE"""),"https://utrucking.com/admin/orders/6335103664316")</f>
        <v>https://utrucking.com/admin/orders/6335103664316</v>
      </c>
      <c r="B74" s="61" t="str">
        <f>IFERROR(__xludf.DUMMYFUNCTION("""COMPUTED_VALUE"""),"#17071")</f>
        <v>#17071</v>
      </c>
      <c r="C74" s="61" t="str">
        <f>IFERROR(__xludf.DUMMYFUNCTION("""COMPUTED_VALUE"""),"meredithlchrist@gmail.com")</f>
        <v>meredithlchrist@gmail.com</v>
      </c>
      <c r="D74" s="61">
        <f>IFERROR(__xludf.DUMMYFUNCTION("""COMPUTED_VALUE"""),6.177518602E9)</f>
        <v>6177518602</v>
      </c>
      <c r="E74" s="61" t="str">
        <f>IFERROR(__xludf.DUMMYFUNCTION("""COMPUTED_VALUE"""),"meredith christ")</f>
        <v>meredith christ</v>
      </c>
      <c r="F74" s="61" t="str">
        <f>IFERROR(__xludf.DUMMYFUNCTION("""COMPUTED_VALUE"""),"Meredith Christ")</f>
        <v>Meredith Christ</v>
      </c>
      <c r="G74" s="61" t="str">
        <f>IFERROR(__xludf.DUMMYFUNCTION("""COMPUTED_VALUE""")," 3 / Included Insurance   - ")</f>
        <v> 3 / Included Insurance   - </v>
      </c>
      <c r="H74" s="61" t="str">
        <f>IFERROR(__xludf.DUMMYFUNCTION("""COMPUTED_VALUE"""),"Dauten  ")</f>
        <v>Dauten  </v>
      </c>
      <c r="I74" s="61" t="str">
        <f>IFERROR(__xludf.DUMMYFUNCTION("""COMPUTED_VALUE"""),"424")</f>
        <v>424</v>
      </c>
      <c r="J74" s="107" t="str">
        <f>IFERROR(__xludf.DUMMYFUNCTION("""COMPUTED_VALUE"""),"11:00 AM to 01:00 PM  ")</f>
        <v>11:00 AM to 01:00 PM  </v>
      </c>
      <c r="K74" s="100">
        <f>IFERROR(__xludf.DUMMYFUNCTION("""COMPUTED_VALUE"""),46147.0)</f>
        <v>46147</v>
      </c>
      <c r="L74" s="61" t="str">
        <f>IFERROR(__xludf.DUMMYFUNCTION("""COMPUTED_VALUE""")," ")</f>
        <v> </v>
      </c>
      <c r="M74" s="61"/>
      <c r="N74" s="61"/>
    </row>
    <row r="75">
      <c r="A75" s="102" t="str">
        <f>IFERROR(__xludf.DUMMYFUNCTION("""COMPUTED_VALUE"""),"https://utrucking.com/admin/orders/6335936495804")</f>
        <v>https://utrucking.com/admin/orders/6335936495804</v>
      </c>
      <c r="B75" s="65" t="str">
        <f>IFERROR(__xludf.DUMMYFUNCTION("""COMPUTED_VALUE"""),"#17072")</f>
        <v>#17072</v>
      </c>
      <c r="C75" s="65" t="str">
        <f>IFERROR(__xludf.DUMMYFUNCTION("""COMPUTED_VALUE"""),"k.serena@wustl.edu")</f>
        <v>k.serena@wustl.edu</v>
      </c>
      <c r="D75" s="65">
        <f>IFERROR(__xludf.DUMMYFUNCTION("""COMPUTED_VALUE"""),3.14226756E9)</f>
        <v>3142267560</v>
      </c>
      <c r="E75" s="65" t="str">
        <f>IFERROR(__xludf.DUMMYFUNCTION("""COMPUTED_VALUE"""),"Serena Kuo")</f>
        <v>Serena Kuo</v>
      </c>
      <c r="F75" s="65" t="str">
        <f>IFERROR(__xludf.DUMMYFUNCTION("""COMPUTED_VALUE"""),"Serena Kuo")</f>
        <v>Serena Kuo</v>
      </c>
      <c r="G75" s="65" t="str">
        <f>IFERROR(__xludf.DUMMYFUNCTION("""COMPUTED_VALUE""")," 1 [Included with Registration] / Included Insurance   - ")</f>
        <v> 1 [Included with Registration] / Included Insurance   - </v>
      </c>
      <c r="H75" s="65" t="str">
        <f>IFERROR(__xludf.DUMMYFUNCTION("""COMPUTED_VALUE"""),"Dauten  ")</f>
        <v>Dauten  </v>
      </c>
      <c r="I75" s="65" t="str">
        <f>IFERROR(__xludf.DUMMYFUNCTION("""COMPUTED_VALUE"""),"224")</f>
        <v>224</v>
      </c>
      <c r="J75" s="108" t="str">
        <f>IFERROR(__xludf.DUMMYFUNCTION("""COMPUTED_VALUE"""),"09:00 AM to 11:00 AM  ")</f>
        <v>09:00 AM to 11:00 AM  </v>
      </c>
      <c r="K75" s="103">
        <f>IFERROR(__xludf.DUMMYFUNCTION("""COMPUTED_VALUE"""),46149.0)</f>
        <v>46149</v>
      </c>
      <c r="L75" s="65" t="str">
        <f>IFERROR(__xludf.DUMMYFUNCTION("""COMPUTED_VALUE""")," ")</f>
        <v> </v>
      </c>
      <c r="M75" s="65"/>
      <c r="N75" s="65"/>
    </row>
    <row r="76">
      <c r="A76" s="99" t="str">
        <f>IFERROR(__xludf.DUMMYFUNCTION("""COMPUTED_VALUE"""),"https://utrucking.com/admin/orders/6337363574972")</f>
        <v>https://utrucking.com/admin/orders/6337363574972</v>
      </c>
      <c r="B76" s="61" t="str">
        <f>IFERROR(__xludf.DUMMYFUNCTION("""COMPUTED_VALUE"""),"#17073")</f>
        <v>#17073</v>
      </c>
      <c r="C76" s="61" t="str">
        <f>IFERROR(__xludf.DUMMYFUNCTION("""COMPUTED_VALUE"""),"Andrea.Glenn.Loigman@gmail.com")</f>
        <v>Andrea.Glenn.Loigman@gmail.com</v>
      </c>
      <c r="D76" s="61">
        <f>IFERROR(__xludf.DUMMYFUNCTION("""COMPUTED_VALUE"""),9.175334035E9)</f>
        <v>9175334035</v>
      </c>
      <c r="E76" s="61" t="str">
        <f>IFERROR(__xludf.DUMMYFUNCTION("""COMPUTED_VALUE"""),"Andrea Loigman")</f>
        <v>Andrea Loigman</v>
      </c>
      <c r="F76" s="61" t="str">
        <f>IFERROR(__xludf.DUMMYFUNCTION("""COMPUTED_VALUE"""),"Georgia Loigman")</f>
        <v>Georgia Loigman</v>
      </c>
      <c r="G76" s="61" t="str">
        <f>IFERROR(__xludf.DUMMYFUNCTION("""COMPUTED_VALUE""")," 1 [Included with Registration] / Included Insurance   - ")</f>
        <v> 1 [Included with Registration] / Included Insurance   - </v>
      </c>
      <c r="H76" s="61" t="str">
        <f>IFERROR(__xludf.DUMMYFUNCTION("""COMPUTED_VALUE"""),"Lopata  ")</f>
        <v>Lopata  </v>
      </c>
      <c r="I76" s="61" t="str">
        <f>IFERROR(__xludf.DUMMYFUNCTION("""COMPUTED_VALUE"""),"3030")</f>
        <v>3030</v>
      </c>
      <c r="J76" s="107" t="str">
        <f>IFERROR(__xludf.DUMMYFUNCTION("""COMPUTED_VALUE"""),"09:00 AM to 11:00 AM  ")</f>
        <v>09:00 AM to 11:00 AM  </v>
      </c>
      <c r="K76" s="100">
        <f>IFERROR(__xludf.DUMMYFUNCTION("""COMPUTED_VALUE"""),46151.0)</f>
        <v>46151</v>
      </c>
      <c r="L76" s="61" t="str">
        <f>IFERROR(__xludf.DUMMYFUNCTION("""COMPUTED_VALUE""")," ")</f>
        <v> </v>
      </c>
      <c r="M76" s="61"/>
      <c r="N76" s="61"/>
    </row>
    <row r="77">
      <c r="A77" s="102" t="str">
        <f>IFERROR(__xludf.DUMMYFUNCTION("""COMPUTED_VALUE"""),"https://utrucking.com/admin/orders/6338698870972")</f>
        <v>https://utrucking.com/admin/orders/6338698870972</v>
      </c>
      <c r="B77" s="65" t="str">
        <f>IFERROR(__xludf.DUMMYFUNCTION("""COMPUTED_VALUE"""),"#17074")</f>
        <v>#17074</v>
      </c>
      <c r="C77" s="65" t="str">
        <f>IFERROR(__xludf.DUMMYFUNCTION("""COMPUTED_VALUE"""),"allisonlpearl@gmail.com")</f>
        <v>allisonlpearl@gmail.com</v>
      </c>
      <c r="D77" s="65">
        <f>IFERROR(__xludf.DUMMYFUNCTION("""COMPUTED_VALUE"""),6.163282714E9)</f>
        <v>6163282714</v>
      </c>
      <c r="E77" s="65" t="str">
        <f>IFERROR(__xludf.DUMMYFUNCTION("""COMPUTED_VALUE"""),"Allison Pearl")</f>
        <v>Allison Pearl</v>
      </c>
      <c r="F77" s="65" t="str">
        <f>IFERROR(__xludf.DUMMYFUNCTION("""COMPUTED_VALUE"""),"Allison Pearl")</f>
        <v>Allison Pearl</v>
      </c>
      <c r="G77" s="65" t="str">
        <f>IFERROR(__xludf.DUMMYFUNCTION("""COMPUTED_VALUE""")," 0 / Included Insurance   - ")</f>
        <v> 0 / Included Insurance   - </v>
      </c>
      <c r="H77" s="65" t="str">
        <f>IFERROR(__xludf.DUMMYFUNCTION("""COMPUTED_VALUE"""),"Umrath  ")</f>
        <v>Umrath  </v>
      </c>
      <c r="I77" s="65" t="str">
        <f>IFERROR(__xludf.DUMMYFUNCTION("""COMPUTED_VALUE"""),"4403")</f>
        <v>4403</v>
      </c>
      <c r="J77" s="108" t="str">
        <f>IFERROR(__xludf.DUMMYFUNCTION("""COMPUTED_VALUE"""),"10:00 AM to 12:00 PM  ")</f>
        <v>10:00 AM to 12:00 PM  </v>
      </c>
      <c r="K77" s="103">
        <f>IFERROR(__xludf.DUMMYFUNCTION("""COMPUTED_VALUE"""),46151.0)</f>
        <v>46151</v>
      </c>
      <c r="L77" s="65" t="str">
        <f>IFERROR(__xludf.DUMMYFUNCTION("""COMPUTED_VALUE""")," ")</f>
        <v> </v>
      </c>
      <c r="M77" s="65"/>
      <c r="N77" s="65"/>
    </row>
    <row r="78">
      <c r="A78" s="99" t="str">
        <f>IFERROR(__xludf.DUMMYFUNCTION("""COMPUTED_VALUE"""),"https://utrucking.com/admin/orders/6340057465020")</f>
        <v>https://utrucking.com/admin/orders/6340057465020</v>
      </c>
      <c r="B78" s="61" t="str">
        <f>IFERROR(__xludf.DUMMYFUNCTION("""COMPUTED_VALUE"""),"#17075")</f>
        <v>#17075</v>
      </c>
      <c r="C78" s="61" t="str">
        <f>IFERROR(__xludf.DUMMYFUNCTION("""COMPUTED_VALUE"""),"benschwed123@gmail.com")</f>
        <v>benschwed123@gmail.com</v>
      </c>
      <c r="D78" s="61">
        <f>IFERROR(__xludf.DUMMYFUNCTION("""COMPUTED_VALUE"""),5.163590784E9)</f>
        <v>5163590784</v>
      </c>
      <c r="E78" s="61" t="str">
        <f>IFERROR(__xludf.DUMMYFUNCTION("""COMPUTED_VALUE"""),"Lauren schwed")</f>
        <v>Lauren schwed</v>
      </c>
      <c r="F78" s="61" t="str">
        <f>IFERROR(__xludf.DUMMYFUNCTION("""COMPUTED_VALUE"""),"Benjamin Schwed")</f>
        <v>Benjamin Schwed</v>
      </c>
      <c r="G78" s="61" t="str">
        <f>IFERROR(__xludf.DUMMYFUNCTION("""COMPUTED_VALUE""")," 1 [Included with Registration] / Included Insurance   - ")</f>
        <v> 1 [Included with Registration] / Included Insurance   - </v>
      </c>
      <c r="H78" s="61" t="str">
        <f>IFERROR(__xludf.DUMMYFUNCTION("""COMPUTED_VALUE"""),"Danforth  ")</f>
        <v>Danforth  </v>
      </c>
      <c r="I78" s="61" t="str">
        <f>IFERROR(__xludf.DUMMYFUNCTION("""COMPUTED_VALUE"""),"3304 ")</f>
        <v>3304 </v>
      </c>
      <c r="J78" s="107" t="str">
        <f>IFERROR(__xludf.DUMMYFUNCTION("""COMPUTED_VALUE"""),"03:00 PM to 05:00 PM")</f>
        <v>03:00 PM to 05:00 PM</v>
      </c>
      <c r="K78" s="100">
        <f>IFERROR(__xludf.DUMMYFUNCTION("""COMPUTED_VALUE"""),46137.0)</f>
        <v>46137</v>
      </c>
      <c r="L78" s="61" t="str">
        <f>IFERROR(__xludf.DUMMYFUNCTION("""COMPUTED_VALUE""")," ")</f>
        <v> </v>
      </c>
      <c r="M78" s="61"/>
      <c r="N78" s="61"/>
    </row>
    <row r="79">
      <c r="A79" s="102" t="str">
        <f>IFERROR(__xludf.DUMMYFUNCTION("""COMPUTED_VALUE"""),"https://utrucking.com/admin/orders/6343968784572")</f>
        <v>https://utrucking.com/admin/orders/6343968784572</v>
      </c>
      <c r="B79" s="65" t="str">
        <f>IFERROR(__xludf.DUMMYFUNCTION("""COMPUTED_VALUE"""),"#17081")</f>
        <v>#17081</v>
      </c>
      <c r="C79" s="65" t="str">
        <f>IFERROR(__xludf.DUMMYFUNCTION("""COMPUTED_VALUE"""),"r.sela@wustl.edu")</f>
        <v>r.sela@wustl.edu</v>
      </c>
      <c r="D79" s="65">
        <f>IFERROR(__xludf.DUMMYFUNCTION("""COMPUTED_VALUE"""),7.724974219E9)</f>
        <v>7724974219</v>
      </c>
      <c r="E79" s="65" t="str">
        <f>IFERROR(__xludf.DUMMYFUNCTION("""COMPUTED_VALUE"""),"Kimberly Rosen")</f>
        <v>Kimberly Rosen</v>
      </c>
      <c r="F79" s="65" t="str">
        <f>IFERROR(__xludf.DUMMYFUNCTION("""COMPUTED_VALUE"""),"Sela Rosen")</f>
        <v>Sela Rosen</v>
      </c>
      <c r="G79" s="65" t="str">
        <f>IFERROR(__xludf.DUMMYFUNCTION("""COMPUTED_VALUE""")," 3 / Included Insurance   - ")</f>
        <v> 3 / Included Insurance   - </v>
      </c>
      <c r="H79" s="65" t="str">
        <f>IFERROR(__xludf.DUMMYFUNCTION("""COMPUTED_VALUE"""),"Greenway Apartments  ")</f>
        <v>Greenway Apartments  </v>
      </c>
      <c r="I79" s="65" t="str">
        <f>IFERROR(__xludf.DUMMYFUNCTION("""COMPUTED_VALUE"""),"113A")</f>
        <v>113A</v>
      </c>
      <c r="J79" s="108" t="str">
        <f>IFERROR(__xludf.DUMMYFUNCTION("""COMPUTED_VALUE"""),"09:00 AM to 11:00 AM  ")</f>
        <v>09:00 AM to 11:00 AM  </v>
      </c>
      <c r="K79" s="103">
        <f>IFERROR(__xludf.DUMMYFUNCTION("""COMPUTED_VALUE"""),46150.0)</f>
        <v>46150</v>
      </c>
      <c r="L79" s="65" t="str">
        <f>IFERROR(__xludf.DUMMYFUNCTION("""COMPUTED_VALUE""")," ")</f>
        <v> </v>
      </c>
      <c r="M79" s="65"/>
      <c r="N79" s="65"/>
    </row>
    <row r="80">
      <c r="A80" s="99" t="str">
        <f>IFERROR(__xludf.DUMMYFUNCTION("""COMPUTED_VALUE"""),"https://utrucking.com/admin/orders/6346053550268")</f>
        <v>https://utrucking.com/admin/orders/6346053550268</v>
      </c>
      <c r="B80" s="61" t="str">
        <f>IFERROR(__xludf.DUMMYFUNCTION("""COMPUTED_VALUE"""),"#17082")</f>
        <v>#17082</v>
      </c>
      <c r="C80" s="61"/>
      <c r="D80" s="61">
        <f>IFERROR(__xludf.DUMMYFUNCTION("""COMPUTED_VALUE"""),9.495001022E9)</f>
        <v>9495001022</v>
      </c>
      <c r="E80" s="61" t="str">
        <f>IFERROR(__xludf.DUMMYFUNCTION("""COMPUTED_VALUE"""),"Christina Welford")</f>
        <v>Christina Welford</v>
      </c>
      <c r="F80" s="61" t="str">
        <f>IFERROR(__xludf.DUMMYFUNCTION("""COMPUTED_VALUE"""),"Benjamin Welford")</f>
        <v>Benjamin Welford</v>
      </c>
      <c r="G80" s="61" t="str">
        <f>IFERROR(__xludf.DUMMYFUNCTION("""COMPUTED_VALUE""")," 3 / $1000 of Additional Coverage   - ")</f>
        <v> 3 / $1000 of Additional Coverage   - </v>
      </c>
      <c r="H80" s="61" t="str">
        <f>IFERROR(__xludf.DUMMYFUNCTION("""COMPUTED_VALUE"""),"Park  ")</f>
        <v>Park  </v>
      </c>
      <c r="I80" s="61" t="str">
        <f>IFERROR(__xludf.DUMMYFUNCTION("""COMPUTED_VALUE"""),"280")</f>
        <v>280</v>
      </c>
      <c r="J80" s="107" t="str">
        <f>IFERROR(__xludf.DUMMYFUNCTION("""COMPUTED_VALUE"""),"03:00 PM to 05:00 PM")</f>
        <v>03:00 PM to 05:00 PM</v>
      </c>
      <c r="K80" s="100">
        <f>IFERROR(__xludf.DUMMYFUNCTION("""COMPUTED_VALUE"""),46149.0)</f>
        <v>46149</v>
      </c>
      <c r="L80" s="61" t="str">
        <f>IFERROR(__xludf.DUMMYFUNCTION("""COMPUTED_VALUE""")," ")</f>
        <v> </v>
      </c>
      <c r="M80" s="61"/>
      <c r="N80" s="61"/>
    </row>
    <row r="81">
      <c r="A81" s="102" t="str">
        <f>IFERROR(__xludf.DUMMYFUNCTION("""COMPUTED_VALUE"""),"https://utrucking.com/admin/orders/6346789552316")</f>
        <v>https://utrucking.com/admin/orders/6346789552316</v>
      </c>
      <c r="B81" s="65" t="str">
        <f>IFERROR(__xludf.DUMMYFUNCTION("""COMPUTED_VALUE"""),"#17083")</f>
        <v>#17083</v>
      </c>
      <c r="C81" s="65"/>
      <c r="D81" s="65">
        <f>IFERROR(__xludf.DUMMYFUNCTION("""COMPUTED_VALUE"""),9.177447372E9)</f>
        <v>9177447372</v>
      </c>
      <c r="E81" s="65" t="str">
        <f>IFERROR(__xludf.DUMMYFUNCTION("""COMPUTED_VALUE"""),"Amy Garcia")</f>
        <v>Amy Garcia</v>
      </c>
      <c r="F81" s="65" t="str">
        <f>IFERROR(__xludf.DUMMYFUNCTION("""COMPUTED_VALUE"""),"Ryan Garcia")</f>
        <v>Ryan Garcia</v>
      </c>
      <c r="G81" s="65" t="str">
        <f>IFERROR(__xludf.DUMMYFUNCTION("""COMPUTED_VALUE""")," 1 [Included with Registration] / Included Insurance   - ")</f>
        <v> 1 [Included with Registration] / Included Insurance   - </v>
      </c>
      <c r="H81" s="65" t="str">
        <f>IFERROR(__xludf.DUMMYFUNCTION("""COMPUTED_VALUE"""),"House 21 (Alpha Epsilon Pi)  ")</f>
        <v>House 21 (Alpha Epsilon Pi)  </v>
      </c>
      <c r="I81" s="65" t="str">
        <f>IFERROR(__xludf.DUMMYFUNCTION("""COMPUTED_VALUE"""),"2061-a")</f>
        <v>2061-a</v>
      </c>
      <c r="J81" s="108" t="str">
        <f>IFERROR(__xludf.DUMMYFUNCTION("""COMPUTED_VALUE"""),"09:00 AM to 11:00 AM  ")</f>
        <v>09:00 AM to 11:00 AM  </v>
      </c>
      <c r="K81" s="103">
        <f>IFERROR(__xludf.DUMMYFUNCTION("""COMPUTED_VALUE"""),46146.0)</f>
        <v>46146</v>
      </c>
      <c r="L81" s="65" t="str">
        <f>IFERROR(__xludf.DUMMYFUNCTION("""COMPUTED_VALUE""")," ")</f>
        <v> </v>
      </c>
      <c r="M81" s="65"/>
      <c r="N81" s="65"/>
    </row>
    <row r="82">
      <c r="A82" s="99" t="str">
        <f>IFERROR(__xludf.DUMMYFUNCTION("""COMPUTED_VALUE"""),"https://utrucking.com/admin/orders/6347034034364")</f>
        <v>https://utrucking.com/admin/orders/6347034034364</v>
      </c>
      <c r="B82" s="61" t="str">
        <f>IFERROR(__xludf.DUMMYFUNCTION("""COMPUTED_VALUE"""),"#17084")</f>
        <v>#17084</v>
      </c>
      <c r="C82" s="61" t="str">
        <f>IFERROR(__xludf.DUMMYFUNCTION("""COMPUTED_VALUE"""),"liu.v.j@wustl.edu")</f>
        <v>liu.v.j@wustl.edu</v>
      </c>
      <c r="D82" s="61">
        <f>IFERROR(__xludf.DUMMYFUNCTION("""COMPUTED_VALUE"""),8.329528794E9)</f>
        <v>8329528794</v>
      </c>
      <c r="E82" s="61" t="str">
        <f>IFERROR(__xludf.DUMMYFUNCTION("""COMPUTED_VALUE"""),"Victoria Liu")</f>
        <v>Victoria Liu</v>
      </c>
      <c r="F82" s="61" t="str">
        <f>IFERROR(__xludf.DUMMYFUNCTION("""COMPUTED_VALUE"""),"Victoria Liu")</f>
        <v>Victoria Liu</v>
      </c>
      <c r="G82" s="61" t="str">
        <f>IFERROR(__xludf.DUMMYFUNCTION("""COMPUTED_VALUE""")," 2 / Included Insurance   - ")</f>
        <v> 2 / Included Insurance   - </v>
      </c>
      <c r="H82" s="61" t="str">
        <f>IFERROR(__xludf.DUMMYFUNCTION("""COMPUTED_VALUE"""),"Dardick  ")</f>
        <v>Dardick  </v>
      </c>
      <c r="I82" s="61" t="str">
        <f>IFERROR(__xludf.DUMMYFUNCTION("""COMPUTED_VALUE"""),"2211")</f>
        <v>2211</v>
      </c>
      <c r="J82" s="107" t="str">
        <f>IFERROR(__xludf.DUMMYFUNCTION("""COMPUTED_VALUE"""),"09:00 AM to 11:00 AM  ")</f>
        <v>09:00 AM to 11:00 AM  </v>
      </c>
      <c r="K82" s="100">
        <f>IFERROR(__xludf.DUMMYFUNCTION("""COMPUTED_VALUE"""),46148.0)</f>
        <v>46148</v>
      </c>
      <c r="L82" s="61" t="str">
        <f>IFERROR(__xludf.DUMMYFUNCTION("""COMPUTED_VALUE""")," ")</f>
        <v> </v>
      </c>
      <c r="M82" s="61"/>
      <c r="N82" s="61"/>
    </row>
    <row r="83">
      <c r="A83" s="102" t="str">
        <f>IFERROR(__xludf.DUMMYFUNCTION("""COMPUTED_VALUE"""),"https://utrucking.com/admin/orders/6347141087420")</f>
        <v>https://utrucking.com/admin/orders/6347141087420</v>
      </c>
      <c r="B83" s="65" t="str">
        <f>IFERROR(__xludf.DUMMYFUNCTION("""COMPUTED_VALUE"""),"#17085")</f>
        <v>#17085</v>
      </c>
      <c r="C83" s="65"/>
      <c r="D83" s="65">
        <f>IFERROR(__xludf.DUMMYFUNCTION("""COMPUTED_VALUE"""),7.132137252E9)</f>
        <v>7132137252</v>
      </c>
      <c r="E83" s="65" t="str">
        <f>IFERROR(__xludf.DUMMYFUNCTION("""COMPUTED_VALUE"""),"Madeline Schneider")</f>
        <v>Madeline Schneider</v>
      </c>
      <c r="F83" s="65" t="str">
        <f>IFERROR(__xludf.DUMMYFUNCTION("""COMPUTED_VALUE"""),"Madeline Schneider")</f>
        <v>Madeline Schneider</v>
      </c>
      <c r="G83" s="65" t="str">
        <f>IFERROR(__xludf.DUMMYFUNCTION("""COMPUTED_VALUE""")," 2 / $1000 of Additional Coverage   - ")</f>
        <v> 2 / $1000 of Additional Coverage   - </v>
      </c>
      <c r="H83" s="65" t="str">
        <f>IFERROR(__xludf.DUMMYFUNCTION("""COMPUTED_VALUE"""),"Village House  ")</f>
        <v>Village House  </v>
      </c>
      <c r="I83" s="65" t="str">
        <f>IFERROR(__xludf.DUMMYFUNCTION("""COMPUTED_VALUE"""),"4072")</f>
        <v>4072</v>
      </c>
      <c r="J83" s="108" t="str">
        <f>IFERROR(__xludf.DUMMYFUNCTION("""COMPUTED_VALUE"""),"09:00 AM to 11:00 AM  ")</f>
        <v>09:00 AM to 11:00 AM  </v>
      </c>
      <c r="K83" s="103">
        <f>IFERROR(__xludf.DUMMYFUNCTION("""COMPUTED_VALUE"""),46146.0)</f>
        <v>46146</v>
      </c>
      <c r="L83" s="65" t="str">
        <f>IFERROR(__xludf.DUMMYFUNCTION("""COMPUTED_VALUE""")," ")</f>
        <v> </v>
      </c>
      <c r="M83" s="65"/>
      <c r="N83" s="65"/>
    </row>
    <row r="84">
      <c r="A84" s="99" t="str">
        <f>IFERROR(__xludf.DUMMYFUNCTION("""COMPUTED_VALUE"""),"https://utrucking.com/admin/orders/6347989745852")</f>
        <v>https://utrucking.com/admin/orders/6347989745852</v>
      </c>
      <c r="B84" s="61" t="str">
        <f>IFERROR(__xludf.DUMMYFUNCTION("""COMPUTED_VALUE"""),"#17086")</f>
        <v>#17086</v>
      </c>
      <c r="C84" s="61" t="str">
        <f>IFERROR(__xludf.DUMMYFUNCTION("""COMPUTED_VALUE"""),"Krishbatra45@gmail.com")</f>
        <v>Krishbatra45@gmail.com</v>
      </c>
      <c r="D84" s="61"/>
      <c r="E84" s="61" t="str">
        <f>IFERROR(__xludf.DUMMYFUNCTION("""COMPUTED_VALUE"""),"Manika Batra")</f>
        <v>Manika Batra</v>
      </c>
      <c r="F84" s="61" t="str">
        <f>IFERROR(__xludf.DUMMYFUNCTION("""COMPUTED_VALUE"""),"Krish Batra")</f>
        <v>Krish Batra</v>
      </c>
      <c r="G84" s="61" t="str">
        <f>IFERROR(__xludf.DUMMYFUNCTION("""COMPUTED_VALUE""")," 1 [Included with Registration] / Included Insurance   - ")</f>
        <v> 1 [Included with Registration] / Included Insurance   - </v>
      </c>
      <c r="H84" s="61" t="str">
        <f>IFERROR(__xludf.DUMMYFUNCTION("""COMPUTED_VALUE"""),"Dauten  ")</f>
        <v>Dauten  </v>
      </c>
      <c r="I84" s="61" t="str">
        <f>IFERROR(__xludf.DUMMYFUNCTION("""COMPUTED_VALUE"""),"431")</f>
        <v>431</v>
      </c>
      <c r="J84" s="107" t="str">
        <f>IFERROR(__xludf.DUMMYFUNCTION("""COMPUTED_VALUE"""),"11:00 AM to 01:00 PM  ")</f>
        <v>11:00 AM to 01:00 PM  </v>
      </c>
      <c r="K84" s="100">
        <f>IFERROR(__xludf.DUMMYFUNCTION("""COMPUTED_VALUE"""),46151.0)</f>
        <v>46151</v>
      </c>
      <c r="L84" s="61" t="str">
        <f>IFERROR(__xludf.DUMMYFUNCTION("""COMPUTED_VALUE""")," ")</f>
        <v> </v>
      </c>
      <c r="M84" s="61"/>
      <c r="N84" s="61"/>
    </row>
    <row r="85">
      <c r="A85" s="102" t="str">
        <f>IFERROR(__xludf.DUMMYFUNCTION("""COMPUTED_VALUE"""),"https://utrucking.com/admin/orders/6348959678652")</f>
        <v>https://utrucking.com/admin/orders/6348959678652</v>
      </c>
      <c r="B85" s="65" t="str">
        <f>IFERROR(__xludf.DUMMYFUNCTION("""COMPUTED_VALUE"""),"#17089")</f>
        <v>#17089</v>
      </c>
      <c r="C85" s="65" t="str">
        <f>IFERROR(__xludf.DUMMYFUNCTION("""COMPUTED_VALUE"""),"k.margot@wustl.edu")</f>
        <v>k.margot@wustl.edu</v>
      </c>
      <c r="D85" s="65">
        <f>IFERROR(__xludf.DUMMYFUNCTION("""COMPUTED_VALUE"""),7.13321044E9)</f>
        <v>7133210440</v>
      </c>
      <c r="E85" s="65" t="str">
        <f>IFERROR(__xludf.DUMMYFUNCTION("""COMPUTED_VALUE"""),"Matthew Kades")</f>
        <v>Matthew Kades</v>
      </c>
      <c r="F85" s="65" t="str">
        <f>IFERROR(__xludf.DUMMYFUNCTION("""COMPUTED_VALUE"""),"Margot Kades")</f>
        <v>Margot Kades</v>
      </c>
      <c r="G85" s="65" t="str">
        <f>IFERROR(__xludf.DUMMYFUNCTION("""COMPUTED_VALUE""")," 2 / Included Insurance   - ")</f>
        <v> 2 / Included Insurance   - </v>
      </c>
      <c r="H85" s="65" t="str">
        <f>IFERROR(__xludf.DUMMYFUNCTION("""COMPUTED_VALUE"""),"Greenway Apartments  ")</f>
        <v>Greenway Apartments  </v>
      </c>
      <c r="I85" s="65" t="str">
        <f>IFERROR(__xludf.DUMMYFUNCTION("""COMPUTED_VALUE"""),"112a")</f>
        <v>112a</v>
      </c>
      <c r="J85" s="108" t="str">
        <f>IFERROR(__xludf.DUMMYFUNCTION("""COMPUTED_VALUE"""),"11:00 AM to 01:00 PM  ")</f>
        <v>11:00 AM to 01:00 PM  </v>
      </c>
      <c r="K85" s="103">
        <f>IFERROR(__xludf.DUMMYFUNCTION("""COMPUTED_VALUE"""),46143.0)</f>
        <v>46143</v>
      </c>
      <c r="L85" s="65" t="str">
        <f>IFERROR(__xludf.DUMMYFUNCTION("""COMPUTED_VALUE""")," ")</f>
        <v> </v>
      </c>
      <c r="M85" s="65"/>
      <c r="N85" s="65"/>
    </row>
    <row r="86">
      <c r="A86" s="99" t="str">
        <f>IFERROR(__xludf.DUMMYFUNCTION("""COMPUTED_VALUE"""),"https://utrucking.com/admin/orders/6348960661692")</f>
        <v>https://utrucking.com/admin/orders/6348960661692</v>
      </c>
      <c r="B86" s="61" t="str">
        <f>IFERROR(__xludf.DUMMYFUNCTION("""COMPUTED_VALUE"""),"#17090")</f>
        <v>#17090</v>
      </c>
      <c r="C86" s="61" t="str">
        <f>IFERROR(__xludf.DUMMYFUNCTION("""COMPUTED_VALUE"""),"k.m.ziwot@wustl.edu")</f>
        <v>k.m.ziwot@wustl.edu</v>
      </c>
      <c r="D86" s="61">
        <f>IFERROR(__xludf.DUMMYFUNCTION("""COMPUTED_VALUE"""),2.017794859E9)</f>
        <v>2017794859</v>
      </c>
      <c r="E86" s="61" t="str">
        <f>IFERROR(__xludf.DUMMYFUNCTION("""COMPUTED_VALUE"""),"Susan Ziwot")</f>
        <v>Susan Ziwot</v>
      </c>
      <c r="F86" s="61" t="str">
        <f>IFERROR(__xludf.DUMMYFUNCTION("""COMPUTED_VALUE"""),"Kat Ziwot")</f>
        <v>Kat Ziwot</v>
      </c>
      <c r="G86" s="61" t="str">
        <f>IFERROR(__xludf.DUMMYFUNCTION("""COMPUTED_VALUE""")," 1 [Included with Registration] / Included Insurance   - ")</f>
        <v> 1 [Included with Registration] / Included Insurance   - </v>
      </c>
      <c r="H86" s="61" t="str">
        <f>IFERROR(__xludf.DUMMYFUNCTION("""COMPUTED_VALUE"""),"Danforth  ")</f>
        <v>Danforth  </v>
      </c>
      <c r="I86" s="61" t="str">
        <f>IFERROR(__xludf.DUMMYFUNCTION("""COMPUTED_VALUE"""),"2212")</f>
        <v>2212</v>
      </c>
      <c r="J86" s="107" t="str">
        <f>IFERROR(__xludf.DUMMYFUNCTION("""COMPUTED_VALUE"""),"09:00 AM to 11:00 AM  ")</f>
        <v>09:00 AM to 11:00 AM  </v>
      </c>
      <c r="K86" s="100">
        <f>IFERROR(__xludf.DUMMYFUNCTION("""COMPUTED_VALUE"""),46150.0)</f>
        <v>46150</v>
      </c>
      <c r="L86" s="61" t="str">
        <f>IFERROR(__xludf.DUMMYFUNCTION("""COMPUTED_VALUE""")," ")</f>
        <v> </v>
      </c>
      <c r="M86" s="61"/>
      <c r="N86" s="61"/>
    </row>
    <row r="87">
      <c r="A87" s="102" t="str">
        <f>IFERROR(__xludf.DUMMYFUNCTION("""COMPUTED_VALUE"""),"https://utrucking.com/admin/orders/6349062537404")</f>
        <v>https://utrucking.com/admin/orders/6349062537404</v>
      </c>
      <c r="B87" s="65" t="str">
        <f>IFERROR(__xludf.DUMMYFUNCTION("""COMPUTED_VALUE"""),"#17091")</f>
        <v>#17091</v>
      </c>
      <c r="C87" s="65" t="str">
        <f>IFERROR(__xludf.DUMMYFUNCTION("""COMPUTED_VALUE"""),"Randy0915@yahoo.com")</f>
        <v>Randy0915@yahoo.com</v>
      </c>
      <c r="D87" s="65">
        <f>IFERROR(__xludf.DUMMYFUNCTION("""COMPUTED_VALUE"""),9.545484359E9)</f>
        <v>9545484359</v>
      </c>
      <c r="E87" s="65" t="str">
        <f>IFERROR(__xludf.DUMMYFUNCTION("""COMPUTED_VALUE"""),"randy berger")</f>
        <v>randy berger</v>
      </c>
      <c r="F87" s="65" t="str">
        <f>IFERROR(__xludf.DUMMYFUNCTION("""COMPUTED_VALUE"""),"Hailey Berger")</f>
        <v>Hailey Berger</v>
      </c>
      <c r="G87" s="65" t="str">
        <f>IFERROR(__xludf.DUMMYFUNCTION("""COMPUTED_VALUE""")," 1 [Included with Registration] / Included Insurance   - ")</f>
        <v> 1 [Included with Registration] / Included Insurance   - </v>
      </c>
      <c r="H87" s="65" t="str">
        <f>IFERROR(__xludf.DUMMYFUNCTION("""COMPUTED_VALUE"""),"Nemerov  ")</f>
        <v>Nemerov  </v>
      </c>
      <c r="I87" s="65" t="str">
        <f>IFERROR(__xludf.DUMMYFUNCTION("""COMPUTED_VALUE"""),"4081")</f>
        <v>4081</v>
      </c>
      <c r="J87" s="108" t="str">
        <f>IFERROR(__xludf.DUMMYFUNCTION("""COMPUTED_VALUE"""),"09:00 AM to 11:00 AM  ")</f>
        <v>09:00 AM to 11:00 AM  </v>
      </c>
      <c r="K87" s="103">
        <f>IFERROR(__xludf.DUMMYFUNCTION("""COMPUTED_VALUE"""),46150.0)</f>
        <v>46150</v>
      </c>
      <c r="L87" s="65" t="str">
        <f>IFERROR(__xludf.DUMMYFUNCTION("""COMPUTED_VALUE""")," ")</f>
        <v> </v>
      </c>
      <c r="M87" s="65"/>
      <c r="N87" s="65"/>
    </row>
    <row r="88">
      <c r="A88" s="99" t="str">
        <f>IFERROR(__xludf.DUMMYFUNCTION("""COMPUTED_VALUE"""),"https://utrucking.com/admin/orders/6350272200892")</f>
        <v>https://utrucking.com/admin/orders/6350272200892</v>
      </c>
      <c r="B88" s="61" t="str">
        <f>IFERROR(__xludf.DUMMYFUNCTION("""COMPUTED_VALUE"""),"#17093")</f>
        <v>#17093</v>
      </c>
      <c r="C88" s="61" t="str">
        <f>IFERROR(__xludf.DUMMYFUNCTION("""COMPUTED_VALUE"""),"jaci@wustl.edu")</f>
        <v>jaci@wustl.edu</v>
      </c>
      <c r="D88" s="61">
        <f>IFERROR(__xludf.DUMMYFUNCTION("""COMPUTED_VALUE"""),9.493794575E9)</f>
        <v>9493794575</v>
      </c>
      <c r="E88" s="61" t="str">
        <f>IFERROR(__xludf.DUMMYFUNCTION("""COMPUTED_VALUE"""),"Terry Lee")</f>
        <v>Terry Lee</v>
      </c>
      <c r="F88" s="61" t="str">
        <f>IFERROR(__xludf.DUMMYFUNCTION("""COMPUTED_VALUE"""),"Jaclynn Lee")</f>
        <v>Jaclynn Lee</v>
      </c>
      <c r="G88" s="61" t="str">
        <f>IFERROR(__xludf.DUMMYFUNCTION("""COMPUTED_VALUE""")," 2 / Included Insurance   - ")</f>
        <v> 2 / Included Insurance   - </v>
      </c>
      <c r="H88" s="61" t="str">
        <f>IFERROR(__xludf.DUMMYFUNCTION("""COMPUTED_VALUE"""),"Eliot B (Sophomore Dorm)")</f>
        <v>Eliot B (Sophomore Dorm)</v>
      </c>
      <c r="I88" s="61" t="str">
        <f>IFERROR(__xludf.DUMMYFUNCTION("""COMPUTED_VALUE"""),"2053")</f>
        <v>2053</v>
      </c>
      <c r="J88" s="107" t="str">
        <f>IFERROR(__xludf.DUMMYFUNCTION("""COMPUTED_VALUE"""),"09:00 AM to 11:00 AM  ")</f>
        <v>09:00 AM to 11:00 AM  </v>
      </c>
      <c r="K88" s="100">
        <f>IFERROR(__xludf.DUMMYFUNCTION("""COMPUTED_VALUE"""),46149.0)</f>
        <v>46149</v>
      </c>
      <c r="L88" s="61" t="str">
        <f>IFERROR(__xludf.DUMMYFUNCTION("""COMPUTED_VALUE""")," ")</f>
        <v> </v>
      </c>
      <c r="M88" s="61"/>
      <c r="N88" s="61"/>
    </row>
    <row r="89">
      <c r="A89" s="102" t="str">
        <f>IFERROR(__xludf.DUMMYFUNCTION("""COMPUTED_VALUE"""),"https://utrucking.com/admin/orders/6351876686012")</f>
        <v>https://utrucking.com/admin/orders/6351876686012</v>
      </c>
      <c r="B89" s="65" t="str">
        <f>IFERROR(__xludf.DUMMYFUNCTION("""COMPUTED_VALUE"""),"#17094")</f>
        <v>#17094</v>
      </c>
      <c r="C89" s="65"/>
      <c r="D89" s="65">
        <f>IFERROR(__xludf.DUMMYFUNCTION("""COMPUTED_VALUE"""),9.492300616E9)</f>
        <v>9492300616</v>
      </c>
      <c r="E89" s="65" t="str">
        <f>IFERROR(__xludf.DUMMYFUNCTION("""COMPUTED_VALUE"""),"MOLLY STARK")</f>
        <v>MOLLY STARK</v>
      </c>
      <c r="F89" s="65" t="str">
        <f>IFERROR(__xludf.DUMMYFUNCTION("""COMPUTED_VALUE"""),"Sophie Schwartz")</f>
        <v>Sophie Schwartz</v>
      </c>
      <c r="G89" s="65" t="str">
        <f>IFERROR(__xludf.DUMMYFUNCTION("""COMPUTED_VALUE""")," 2 / Included Insurance   - ")</f>
        <v> 2 / Included Insurance   - </v>
      </c>
      <c r="H89" s="65" t="str">
        <f>IFERROR(__xludf.DUMMYFUNCTION("""COMPUTED_VALUE"""),"Liggett  ")</f>
        <v>Liggett  </v>
      </c>
      <c r="I89" s="65" t="str">
        <f>IFERROR(__xludf.DUMMYFUNCTION("""COMPUTED_VALUE"""),"2274 (Drom Room) (There will be 2 tables in 2270 Common Area) ")</f>
        <v>2274 (Drom Room) (There will be 2 tables in 2270 Common Area) </v>
      </c>
      <c r="J89" s="108" t="str">
        <f>IFERROR(__xludf.DUMMYFUNCTION("""COMPUTED_VALUE"""),"03:00 PM to 05:00 PM")</f>
        <v>03:00 PM to 05:00 PM</v>
      </c>
      <c r="K89" s="103">
        <f>IFERROR(__xludf.DUMMYFUNCTION("""COMPUTED_VALUE"""),46140.0)</f>
        <v>46140</v>
      </c>
      <c r="L89" s="65" t="str">
        <f>IFERROR(__xludf.DUMMYFUNCTION("""COMPUTED_VALUE""")," ")</f>
        <v> </v>
      </c>
      <c r="M89" s="65"/>
      <c r="N89" s="65"/>
    </row>
    <row r="90">
      <c r="A90" s="99" t="str">
        <f>IFERROR(__xludf.DUMMYFUNCTION("""COMPUTED_VALUE"""),"https://utrucking.com/admin/orders/6351876686012")</f>
        <v>https://utrucking.com/admin/orders/6351876686012</v>
      </c>
      <c r="B90" s="61" t="str">
        <f>IFERROR(__xludf.DUMMYFUNCTION("""COMPUTED_VALUE"""),"#17094")</f>
        <v>#17094</v>
      </c>
      <c r="C90" s="61"/>
      <c r="D90" s="61">
        <f>IFERROR(__xludf.DUMMYFUNCTION("""COMPUTED_VALUE"""),9.492300616E9)</f>
        <v>9492300616</v>
      </c>
      <c r="E90" s="61" t="str">
        <f>IFERROR(__xludf.DUMMYFUNCTION("""COMPUTED_VALUE"""),"MOLLY STARK")</f>
        <v>MOLLY STARK</v>
      </c>
      <c r="F90" s="61" t="str">
        <f>IFERROR(__xludf.DUMMYFUNCTION("""COMPUTED_VALUE"""),"Sophie Schwartz")</f>
        <v>Sophie Schwartz</v>
      </c>
      <c r="G90" s="61" t="str">
        <f>IFERROR(__xludf.DUMMYFUNCTION("""COMPUTED_VALUE""")," 2 / Included Insurance   - ")</f>
        <v> 2 / Included Insurance   - </v>
      </c>
      <c r="H90" s="61" t="str">
        <f>IFERROR(__xludf.DUMMYFUNCTION("""COMPUTED_VALUE"""),"Liggett  ")</f>
        <v>Liggett  </v>
      </c>
      <c r="I90" s="61" t="str">
        <f>IFERROR(__xludf.DUMMYFUNCTION("""COMPUTED_VALUE"""),"2274  (There will be 2 tables in 2270 Common Area) ")</f>
        <v>2274  (There will be 2 tables in 2270 Common Area) </v>
      </c>
      <c r="J90" s="107" t="str">
        <f>IFERROR(__xludf.DUMMYFUNCTION("""COMPUTED_VALUE"""),"03:00 PM to 05:00 PM")</f>
        <v>03:00 PM to 05:00 PM</v>
      </c>
      <c r="K90" s="100">
        <f>IFERROR(__xludf.DUMMYFUNCTION("""COMPUTED_VALUE"""),46140.0)</f>
        <v>46140</v>
      </c>
      <c r="L90" s="61" t="str">
        <f>IFERROR(__xludf.DUMMYFUNCTION("""COMPUTED_VALUE""")," ")</f>
        <v> </v>
      </c>
      <c r="M90" s="61"/>
      <c r="N90" s="61"/>
    </row>
    <row r="91">
      <c r="A91" s="102" t="str">
        <f>IFERROR(__xludf.DUMMYFUNCTION("""COMPUTED_VALUE"""),"https://utrucking.com/admin/orders/6352104915132")</f>
        <v>https://utrucking.com/admin/orders/6352104915132</v>
      </c>
      <c r="B91" s="65" t="str">
        <f>IFERROR(__xludf.DUMMYFUNCTION("""COMPUTED_VALUE"""),"#17095")</f>
        <v>#17095</v>
      </c>
      <c r="C91" s="65" t="str">
        <f>IFERROR(__xludf.DUMMYFUNCTION("""COMPUTED_VALUE"""),"p.tamia@wustl.edu")</f>
        <v>p.tamia@wustl.edu</v>
      </c>
      <c r="D91" s="65">
        <f>IFERROR(__xludf.DUMMYFUNCTION("""COMPUTED_VALUE"""),8.439062372E9)</f>
        <v>8439062372</v>
      </c>
      <c r="E91" s="65" t="str">
        <f>IFERROR(__xludf.DUMMYFUNCTION("""COMPUTED_VALUE"""),"Tremain Prioleau")</f>
        <v>Tremain Prioleau</v>
      </c>
      <c r="F91" s="65" t="str">
        <f>IFERROR(__xludf.DUMMYFUNCTION("""COMPUTED_VALUE"""),"Tamia Prioleau")</f>
        <v>Tamia Prioleau</v>
      </c>
      <c r="G91" s="65" t="str">
        <f>IFERROR(__xludf.DUMMYFUNCTION("""COMPUTED_VALUE""")," 2 / $1000 of Additional Coverage   - ")</f>
        <v> 2 / $1000 of Additional Coverage   - </v>
      </c>
      <c r="H91" s="65" t="str">
        <f>IFERROR(__xludf.DUMMYFUNCTION("""COMPUTED_VALUE"""),"Liggett  ")</f>
        <v>Liggett  </v>
      </c>
      <c r="I91" s="65" t="str">
        <f>IFERROR(__xludf.DUMMYFUNCTION("""COMPUTED_VALUE"""),"3422")</f>
        <v>3422</v>
      </c>
      <c r="J91" s="108" t="str">
        <f>IFERROR(__xludf.DUMMYFUNCTION("""COMPUTED_VALUE"""),"09:00 AM to 11:00 AM  ")</f>
        <v>09:00 AM to 11:00 AM  </v>
      </c>
      <c r="K91" s="103">
        <f>IFERROR(__xludf.DUMMYFUNCTION("""COMPUTED_VALUE"""),46143.0)</f>
        <v>46143</v>
      </c>
      <c r="L91" s="65" t="str">
        <f>IFERROR(__xludf.DUMMYFUNCTION("""COMPUTED_VALUE""")," ")</f>
        <v> </v>
      </c>
      <c r="M91" s="65"/>
      <c r="N91" s="65"/>
    </row>
    <row r="92">
      <c r="A92" s="99" t="str">
        <f>IFERROR(__xludf.DUMMYFUNCTION("""COMPUTED_VALUE"""),"https://utrucking.com/admin/orders/6353079697596")</f>
        <v>https://utrucking.com/admin/orders/6353079697596</v>
      </c>
      <c r="B92" s="61" t="str">
        <f>IFERROR(__xludf.DUMMYFUNCTION("""COMPUTED_VALUE"""),"#17097")</f>
        <v>#17097</v>
      </c>
      <c r="C92" s="61"/>
      <c r="D92" s="61">
        <f>IFERROR(__xludf.DUMMYFUNCTION("""COMPUTED_VALUE"""),9.84960909E9)</f>
        <v>9849609090</v>
      </c>
      <c r="E92" s="61" t="str">
        <f>IFERROR(__xludf.DUMMYFUNCTION("""COMPUTED_VALUE"""),"Sydney Caplan")</f>
        <v>Sydney Caplan</v>
      </c>
      <c r="F92" s="61" t="str">
        <f>IFERROR(__xludf.DUMMYFUNCTION("""COMPUTED_VALUE"""),"Sydney Caplan")</f>
        <v>Sydney Caplan</v>
      </c>
      <c r="G92" s="61" t="str">
        <f>IFERROR(__xludf.DUMMYFUNCTION("""COMPUTED_VALUE""")," 1 [Included with Registration] / Included Insurance   - ")</f>
        <v> 1 [Included with Registration] / Included Insurance   - </v>
      </c>
      <c r="H92" s="61" t="str">
        <f>IFERROR(__xludf.DUMMYFUNCTION("""COMPUTED_VALUE"""),"Park  ")</f>
        <v>Park  </v>
      </c>
      <c r="I92" s="61" t="str">
        <f>IFERROR(__xludf.DUMMYFUNCTION("""COMPUTED_VALUE"""),"370")</f>
        <v>370</v>
      </c>
      <c r="J92" s="107" t="str">
        <f>IFERROR(__xludf.DUMMYFUNCTION("""COMPUTED_VALUE"""),"11:00 AM to 01:00 PM  ")</f>
        <v>11:00 AM to 01:00 PM  </v>
      </c>
      <c r="K92" s="100">
        <f>IFERROR(__xludf.DUMMYFUNCTION("""COMPUTED_VALUE"""),46142.0)</f>
        <v>46142</v>
      </c>
      <c r="L92" s="61" t="str">
        <f>IFERROR(__xludf.DUMMYFUNCTION("""COMPUTED_VALUE""")," ")</f>
        <v> </v>
      </c>
      <c r="M92" s="61"/>
      <c r="N92" s="61"/>
    </row>
    <row r="93">
      <c r="A93" s="102" t="str">
        <f>IFERROR(__xludf.DUMMYFUNCTION("""COMPUTED_VALUE"""),"https://utrucking.com/admin/orders/6354055954620")</f>
        <v>https://utrucking.com/admin/orders/6354055954620</v>
      </c>
      <c r="B93" s="65" t="str">
        <f>IFERROR(__xludf.DUMMYFUNCTION("""COMPUTED_VALUE"""),"#17098")</f>
        <v>#17098</v>
      </c>
      <c r="C93" s="65" t="str">
        <f>IFERROR(__xludf.DUMMYFUNCTION("""COMPUTED_VALUE"""),"laurenfsinger@gmail.com")</f>
        <v>laurenfsinger@gmail.com</v>
      </c>
      <c r="D93" s="65">
        <f>IFERROR(__xludf.DUMMYFUNCTION("""COMPUTED_VALUE"""),9.178067198E9)</f>
        <v>9178067198</v>
      </c>
      <c r="E93" s="65" t="str">
        <f>IFERROR(__xludf.DUMMYFUNCTION("""COMPUTED_VALUE"""),"Lauren Singer")</f>
        <v>Lauren Singer</v>
      </c>
      <c r="F93" s="65" t="str">
        <f>IFERROR(__xludf.DUMMYFUNCTION("""COMPUTED_VALUE"""),"James Blanco")</f>
        <v>James Blanco</v>
      </c>
      <c r="G93" s="65" t="str">
        <f>IFERROR(__xludf.DUMMYFUNCTION("""COMPUTED_VALUE""")," 2 / $500 of Additional Coverage   - ")</f>
        <v> 2 / $500 of Additional Coverage   - </v>
      </c>
      <c r="H93" s="65" t="str">
        <f>IFERROR(__xludf.DUMMYFUNCTION("""COMPUTED_VALUE"""),"Umrath  ")</f>
        <v>Umrath  </v>
      </c>
      <c r="I93" s="65" t="str">
        <f>IFERROR(__xludf.DUMMYFUNCTION("""COMPUTED_VALUE"""),"2215b")</f>
        <v>2215b</v>
      </c>
      <c r="J93" s="108" t="str">
        <f>IFERROR(__xludf.DUMMYFUNCTION("""COMPUTED_VALUE"""),"10:00 AM to 12:00 PM  ")</f>
        <v>10:00 AM to 12:00 PM  </v>
      </c>
      <c r="K93" s="103">
        <f>IFERROR(__xludf.DUMMYFUNCTION("""COMPUTED_VALUE"""),46149.0)</f>
        <v>46149</v>
      </c>
      <c r="L93" s="65" t="str">
        <f>IFERROR(__xludf.DUMMYFUNCTION("""COMPUTED_VALUE""")," ")</f>
        <v> </v>
      </c>
      <c r="M93" s="65"/>
      <c r="N93" s="65"/>
    </row>
    <row r="94">
      <c r="A94" s="99" t="str">
        <f>IFERROR(__xludf.DUMMYFUNCTION("""COMPUTED_VALUE"""),"https://utrucking.com/admin/orders/6354055954620")</f>
        <v>https://utrucking.com/admin/orders/6354055954620</v>
      </c>
      <c r="B94" s="61" t="str">
        <f>IFERROR(__xludf.DUMMYFUNCTION("""COMPUTED_VALUE"""),"#17098")</f>
        <v>#17098</v>
      </c>
      <c r="C94" s="61" t="str">
        <f>IFERROR(__xludf.DUMMYFUNCTION("""COMPUTED_VALUE"""),"laurenfsinger@gmail.com")</f>
        <v>laurenfsinger@gmail.com</v>
      </c>
      <c r="D94" s="61">
        <f>IFERROR(__xludf.DUMMYFUNCTION("""COMPUTED_VALUE"""),9.178067198E9)</f>
        <v>9178067198</v>
      </c>
      <c r="E94" s="61" t="str">
        <f>IFERROR(__xludf.DUMMYFUNCTION("""COMPUTED_VALUE"""),"Lauren Singer")</f>
        <v>Lauren Singer</v>
      </c>
      <c r="F94" s="61" t="str">
        <f>IFERROR(__xludf.DUMMYFUNCTION("""COMPUTED_VALUE"""),"James Blanco")</f>
        <v>James Blanco</v>
      </c>
      <c r="G94" s="61" t="str">
        <f>IFERROR(__xludf.DUMMYFUNCTION("""COMPUTED_VALUE""")," 2 / $500 of Additional Coverage   - ")</f>
        <v> 2 / $500 of Additional Coverage   - </v>
      </c>
      <c r="H94" s="61" t="str">
        <f>IFERROR(__xludf.DUMMYFUNCTION("""COMPUTED_VALUE"""),"Umrath  ")</f>
        <v>Umrath  </v>
      </c>
      <c r="I94" s="61" t="str">
        <f>IFERROR(__xludf.DUMMYFUNCTION("""COMPUTED_VALUE"""),"2215b")</f>
        <v>2215b</v>
      </c>
      <c r="J94" s="107" t="str">
        <f>IFERROR(__xludf.DUMMYFUNCTION("""COMPUTED_VALUE"""),"10:00 AM to 12:00 PM  ")</f>
        <v>10:00 AM to 12:00 PM  </v>
      </c>
      <c r="K94" s="100">
        <f>IFERROR(__xludf.DUMMYFUNCTION("""COMPUTED_VALUE"""),46149.0)</f>
        <v>46149</v>
      </c>
      <c r="L94" s="61" t="str">
        <f>IFERROR(__xludf.DUMMYFUNCTION("""COMPUTED_VALUE""")," ")</f>
        <v> </v>
      </c>
      <c r="M94" s="61"/>
      <c r="N94" s="61"/>
    </row>
    <row r="95">
      <c r="A95" s="102" t="str">
        <f>IFERROR(__xludf.DUMMYFUNCTION("""COMPUTED_VALUE"""),"https://utrucking.com/admin/orders/6354147442876")</f>
        <v>https://utrucking.com/admin/orders/6354147442876</v>
      </c>
      <c r="B95" s="65" t="str">
        <f>IFERROR(__xludf.DUMMYFUNCTION("""COMPUTED_VALUE"""),"#17099")</f>
        <v>#17099</v>
      </c>
      <c r="C95" s="65"/>
      <c r="D95" s="65">
        <f>IFERROR(__xludf.DUMMYFUNCTION("""COMPUTED_VALUE"""),6.504683885E9)</f>
        <v>6504683885</v>
      </c>
      <c r="E95" s="65" t="str">
        <f>IFERROR(__xludf.DUMMYFUNCTION("""COMPUTED_VALUE"""),"jacqueline shurslep")</f>
        <v>jacqueline shurslep</v>
      </c>
      <c r="F95" s="65" t="str">
        <f>IFERROR(__xludf.DUMMYFUNCTION("""COMPUTED_VALUE"""),"Eve Shurslep")</f>
        <v>Eve Shurslep</v>
      </c>
      <c r="G95" s="65" t="str">
        <f>IFERROR(__xludf.DUMMYFUNCTION("""COMPUTED_VALUE""")," 1 [Included with Registration] / Included Insurance   - ")</f>
        <v> 1 [Included with Registration] / Included Insurance   - </v>
      </c>
      <c r="H95" s="65" t="str">
        <f>IFERROR(__xludf.DUMMYFUNCTION("""COMPUTED_VALUE"""),"Lien  ")</f>
        <v>Lien  </v>
      </c>
      <c r="I95" s="65" t="str">
        <f>IFERROR(__xludf.DUMMYFUNCTION("""COMPUTED_VALUE"""),"1116")</f>
        <v>1116</v>
      </c>
      <c r="J95" s="108" t="str">
        <f>IFERROR(__xludf.DUMMYFUNCTION("""COMPUTED_VALUE"""),"09:00 AM to 11:00 AM  ")</f>
        <v>09:00 AM to 11:00 AM  </v>
      </c>
      <c r="K95" s="103">
        <f>IFERROR(__xludf.DUMMYFUNCTION("""COMPUTED_VALUE"""),46148.0)</f>
        <v>46148</v>
      </c>
      <c r="L95" s="65" t="str">
        <f>IFERROR(__xludf.DUMMYFUNCTION("""COMPUTED_VALUE""")," ")</f>
        <v> </v>
      </c>
      <c r="M95" s="65"/>
      <c r="N95" s="65"/>
    </row>
    <row r="96">
      <c r="A96" s="99" t="str">
        <f>IFERROR(__xludf.DUMMYFUNCTION("""COMPUTED_VALUE"""),"https://utrucking.com/admin/orders/6354151407804")</f>
        <v>https://utrucking.com/admin/orders/6354151407804</v>
      </c>
      <c r="B96" s="61" t="str">
        <f>IFERROR(__xludf.DUMMYFUNCTION("""COMPUTED_VALUE"""),"#17100")</f>
        <v>#17100</v>
      </c>
      <c r="C96" s="61" t="str">
        <f>IFERROR(__xludf.DUMMYFUNCTION("""COMPUTED_VALUE"""),"jshurslep@gmail.com")</f>
        <v>jshurslep@gmail.com</v>
      </c>
      <c r="D96" s="61">
        <f>IFERROR(__xludf.DUMMYFUNCTION("""COMPUTED_VALUE"""),6.504683885E9)</f>
        <v>6504683885</v>
      </c>
      <c r="E96" s="61" t="str">
        <f>IFERROR(__xludf.DUMMYFUNCTION("""COMPUTED_VALUE"""),"jacqueline shurslep")</f>
        <v>jacqueline shurslep</v>
      </c>
      <c r="F96" s="61" t="str">
        <f>IFERROR(__xludf.DUMMYFUNCTION("""COMPUTED_VALUE"""),"ian shurslep")</f>
        <v>ian shurslep</v>
      </c>
      <c r="G96" s="61" t="str">
        <f>IFERROR(__xludf.DUMMYFUNCTION("""COMPUTED_VALUE""")," 1 [Included with Registration] / Included Insurance   - ")</f>
        <v> 1 [Included with Registration] / Included Insurance   - </v>
      </c>
      <c r="H96" s="61" t="str">
        <f>IFERROR(__xludf.DUMMYFUNCTION("""COMPUTED_VALUE"""),"Millbrook Bldg. 4  ")</f>
        <v>Millbrook Bldg. 4  </v>
      </c>
      <c r="I96" s="61" t="str">
        <f>IFERROR(__xludf.DUMMYFUNCTION("""COMPUTED_VALUE"""),"304")</f>
        <v>304</v>
      </c>
      <c r="J96" s="107" t="str">
        <f>IFERROR(__xludf.DUMMYFUNCTION("""COMPUTED_VALUE"""),"03:00 PM to 05:00 PM")</f>
        <v>03:00 PM to 05:00 PM</v>
      </c>
      <c r="K96" s="100">
        <f>IFERROR(__xludf.DUMMYFUNCTION("""COMPUTED_VALUE"""),46158.0)</f>
        <v>46158</v>
      </c>
      <c r="L96" s="61" t="str">
        <f>IFERROR(__xludf.DUMMYFUNCTION("""COMPUTED_VALUE""")," ")</f>
        <v> </v>
      </c>
      <c r="M96" s="61"/>
      <c r="N96" s="61"/>
    </row>
    <row r="97">
      <c r="A97" s="102" t="str">
        <f>IFERROR(__xludf.DUMMYFUNCTION("""COMPUTED_VALUE"""),"https://utrucking.com/admin/orders/6357131460796")</f>
        <v>https://utrucking.com/admin/orders/6357131460796</v>
      </c>
      <c r="B97" s="65" t="str">
        <f>IFERROR(__xludf.DUMMYFUNCTION("""COMPUTED_VALUE"""),"#17102")</f>
        <v>#17102</v>
      </c>
      <c r="C97" s="65" t="str">
        <f>IFERROR(__xludf.DUMMYFUNCTION("""COMPUTED_VALUE"""),"kmohindra@ifc.org")</f>
        <v>kmohindra@ifc.org</v>
      </c>
      <c r="D97" s="65">
        <f>IFERROR(__xludf.DUMMYFUNCTION("""COMPUTED_VALUE"""),1.2027662257E10)</f>
        <v>12027662257</v>
      </c>
      <c r="E97" s="65" t="str">
        <f>IFERROR(__xludf.DUMMYFUNCTION("""COMPUTED_VALUE"""),"Komal Mohindra")</f>
        <v>Komal Mohindra</v>
      </c>
      <c r="F97" s="65" t="str">
        <f>IFERROR(__xludf.DUMMYFUNCTION("""COMPUTED_VALUE"""),"MARISA UTTAMCHANDANI")</f>
        <v>MARISA UTTAMCHANDANI</v>
      </c>
      <c r="G97" s="65" t="str">
        <f>IFERROR(__xludf.DUMMYFUNCTION("""COMPUTED_VALUE""")," 1 [Included with Registration] / Included Insurance   - ")</f>
        <v> 1 [Included with Registration] / Included Insurance   - </v>
      </c>
      <c r="H97" s="65" t="str">
        <f>IFERROR(__xludf.DUMMYFUNCTION("""COMPUTED_VALUE"""),"Dardick  ")</f>
        <v>Dardick  </v>
      </c>
      <c r="I97" s="65" t="str">
        <f>IFERROR(__xludf.DUMMYFUNCTION("""COMPUTED_VALUE"""),"4421")</f>
        <v>4421</v>
      </c>
      <c r="J97" s="108" t="str">
        <f>IFERROR(__xludf.DUMMYFUNCTION("""COMPUTED_VALUE"""),"11:00 AM to 01:00 PM  ")</f>
        <v>11:00 AM to 01:00 PM  </v>
      </c>
      <c r="K97" s="103">
        <f>IFERROR(__xludf.DUMMYFUNCTION("""COMPUTED_VALUE"""),46149.0)</f>
        <v>46149</v>
      </c>
      <c r="L97" s="65" t="str">
        <f>IFERROR(__xludf.DUMMYFUNCTION("""COMPUTED_VALUE""")," ")</f>
        <v> </v>
      </c>
      <c r="M97" s="65"/>
      <c r="N97" s="65"/>
    </row>
    <row r="98">
      <c r="A98" s="99" t="str">
        <f>IFERROR(__xludf.DUMMYFUNCTION("""COMPUTED_VALUE"""),"https://utrucking.com/admin/orders/6357148139708")</f>
        <v>https://utrucking.com/admin/orders/6357148139708</v>
      </c>
      <c r="B98" s="61" t="str">
        <f>IFERROR(__xludf.DUMMYFUNCTION("""COMPUTED_VALUE"""),"#17103")</f>
        <v>#17103</v>
      </c>
      <c r="C98" s="61" t="str">
        <f>IFERROR(__xludf.DUMMYFUNCTION("""COMPUTED_VALUE"""),"jennah2006@gmail.com")</f>
        <v>jennah2006@gmail.com</v>
      </c>
      <c r="D98" s="61"/>
      <c r="E98" s="61" t="str">
        <f>IFERROR(__xludf.DUMMYFUNCTION("""COMPUTED_VALUE"""),"Wendi Halberg")</f>
        <v>Wendi Halberg</v>
      </c>
      <c r="F98" s="61" t="str">
        <f>IFERROR(__xludf.DUMMYFUNCTION("""COMPUTED_VALUE"""),"Jenna Halberg")</f>
        <v>Jenna Halberg</v>
      </c>
      <c r="G98" s="61" t="str">
        <f>IFERROR(__xludf.DUMMYFUNCTION("""COMPUTED_VALUE""")," 1 [Included with Registration] / Included Insurance   - ")</f>
        <v> 1 [Included with Registration] / Included Insurance   - </v>
      </c>
      <c r="H98" s="61" t="str">
        <f>IFERROR(__xludf.DUMMYFUNCTION("""COMPUTED_VALUE"""),"Zetcher  ")</f>
        <v>Zetcher  </v>
      </c>
      <c r="I98" s="61" t="str">
        <f>IFERROR(__xludf.DUMMYFUNCTION("""COMPUTED_VALUE"""),"2101")</f>
        <v>2101</v>
      </c>
      <c r="J98" s="107" t="str">
        <f>IFERROR(__xludf.DUMMYFUNCTION("""COMPUTED_VALUE"""),"10:00 AM to 12:00 PM  ")</f>
        <v>10:00 AM to 12:00 PM  </v>
      </c>
      <c r="K98" s="100">
        <f>IFERROR(__xludf.DUMMYFUNCTION("""COMPUTED_VALUE"""),46149.0)</f>
        <v>46149</v>
      </c>
      <c r="L98" s="61" t="str">
        <f>IFERROR(__xludf.DUMMYFUNCTION("""COMPUTED_VALUE""")," ")</f>
        <v> </v>
      </c>
      <c r="M98" s="61"/>
      <c r="N98" s="61"/>
    </row>
    <row r="99">
      <c r="A99" s="102" t="str">
        <f>IFERROR(__xludf.DUMMYFUNCTION("""COMPUTED_VALUE"""),"https://utrucking.com/admin/orders/6357266956476")</f>
        <v>https://utrucking.com/admin/orders/6357266956476</v>
      </c>
      <c r="B99" s="65" t="str">
        <f>IFERROR(__xludf.DUMMYFUNCTION("""COMPUTED_VALUE"""),"#17104")</f>
        <v>#17104</v>
      </c>
      <c r="C99" s="65" t="str">
        <f>IFERROR(__xludf.DUMMYFUNCTION("""COMPUTED_VALUE"""),"rangarajveena@gmail.com")</f>
        <v>rangarajveena@gmail.com</v>
      </c>
      <c r="D99" s="65">
        <f>IFERROR(__xludf.DUMMYFUNCTION("""COMPUTED_VALUE"""),6.464133872E9)</f>
        <v>6464133872</v>
      </c>
      <c r="E99" s="65" t="str">
        <f>IFERROR(__xludf.DUMMYFUNCTION("""COMPUTED_VALUE"""),"Veena Rangaraj")</f>
        <v>Veena Rangaraj</v>
      </c>
      <c r="F99" s="65" t="str">
        <f>IFERROR(__xludf.DUMMYFUNCTION("""COMPUTED_VALUE"""),"Jayant")</f>
        <v>Jayant</v>
      </c>
      <c r="G99" s="65" t="str">
        <f>IFERROR(__xludf.DUMMYFUNCTION("""COMPUTED_VALUE""")," 1 [Included with Registration] / Included Insurance   - ")</f>
        <v> 1 [Included with Registration] / Included Insurance   - </v>
      </c>
      <c r="H99" s="65" t="str">
        <f>IFERROR(__xludf.DUMMYFUNCTION("""COMPUTED_VALUE"""),"Danforth  ")</f>
        <v>Danforth  </v>
      </c>
      <c r="I99" s="65" t="str">
        <f>IFERROR(__xludf.DUMMYFUNCTION("""COMPUTED_VALUE"""),"4419-A")</f>
        <v>4419-A</v>
      </c>
      <c r="J99" s="108" t="str">
        <f>IFERROR(__xludf.DUMMYFUNCTION("""COMPUTED_VALUE"""),"09:00 AM to 11:00 AM  ")</f>
        <v>09:00 AM to 11:00 AM  </v>
      </c>
      <c r="K99" s="103">
        <f>IFERROR(__xludf.DUMMYFUNCTION("""COMPUTED_VALUE"""),46149.0)</f>
        <v>46149</v>
      </c>
      <c r="L99" s="65" t="str">
        <f>IFERROR(__xludf.DUMMYFUNCTION("""COMPUTED_VALUE""")," ")</f>
        <v> </v>
      </c>
      <c r="M99" s="65"/>
      <c r="N99" s="65"/>
    </row>
    <row r="100">
      <c r="A100" s="99" t="str">
        <f>IFERROR(__xludf.DUMMYFUNCTION("""COMPUTED_VALUE"""),"https://utrucking.com/admin/orders/6357635793084")</f>
        <v>https://utrucking.com/admin/orders/6357635793084</v>
      </c>
      <c r="B100" s="61" t="str">
        <f>IFERROR(__xludf.DUMMYFUNCTION("""COMPUTED_VALUE"""),"#17105")</f>
        <v>#17105</v>
      </c>
      <c r="C100" s="61" t="str">
        <f>IFERROR(__xludf.DUMMYFUNCTION("""COMPUTED_VALUE"""),"jinde.x@wustl.edu")</f>
        <v>jinde.x@wustl.edu</v>
      </c>
      <c r="D100" s="61">
        <f>IFERROR(__xludf.DUMMYFUNCTION("""COMPUTED_VALUE"""),3.145365123E9)</f>
        <v>3145365123</v>
      </c>
      <c r="E100" s="61" t="str">
        <f>IFERROR(__xludf.DUMMYFUNCTION("""COMPUTED_VALUE"""),"Jinde Xi")</f>
        <v>Jinde Xi</v>
      </c>
      <c r="F100" s="61" t="str">
        <f>IFERROR(__xludf.DUMMYFUNCTION("""COMPUTED_VALUE"""),"Jinde Xi")</f>
        <v>Jinde Xi</v>
      </c>
      <c r="G100" s="61" t="str">
        <f>IFERROR(__xludf.DUMMYFUNCTION("""COMPUTED_VALUE""")," 2 / Included Insurance   - ")</f>
        <v> 2 / Included Insurance   - </v>
      </c>
      <c r="H100" s="61" t="str">
        <f>IFERROR(__xludf.DUMMYFUNCTION("""COMPUTED_VALUE"""),"Eliot A (Thomas Eliot)")</f>
        <v>Eliot A (Thomas Eliot)</v>
      </c>
      <c r="I100" s="61" t="str">
        <f>IFERROR(__xludf.DUMMYFUNCTION("""COMPUTED_VALUE"""),"2043")</f>
        <v>2043</v>
      </c>
      <c r="J100" s="107" t="str">
        <f>IFERROR(__xludf.DUMMYFUNCTION("""COMPUTED_VALUE"""),"09:00 AM to 11:00 AM  ")</f>
        <v>09:00 AM to 11:00 AM  </v>
      </c>
      <c r="K100" s="100">
        <f>IFERROR(__xludf.DUMMYFUNCTION("""COMPUTED_VALUE"""),46147.0)</f>
        <v>46147</v>
      </c>
      <c r="L100" s="61" t="str">
        <f>IFERROR(__xludf.DUMMYFUNCTION("""COMPUTED_VALUE""")," ")</f>
        <v> </v>
      </c>
      <c r="M100" s="61"/>
      <c r="N100" s="61"/>
    </row>
    <row r="101">
      <c r="A101" s="102" t="str">
        <f>IFERROR(__xludf.DUMMYFUNCTION("""COMPUTED_VALUE"""),"https://utrucking.com/admin/orders/6358311534780")</f>
        <v>https://utrucking.com/admin/orders/6358311534780</v>
      </c>
      <c r="B101" s="65" t="str">
        <f>IFERROR(__xludf.DUMMYFUNCTION("""COMPUTED_VALUE"""),"#17106")</f>
        <v>#17106</v>
      </c>
      <c r="C101" s="65"/>
      <c r="D101" s="65">
        <f>IFERROR(__xludf.DUMMYFUNCTION("""COMPUTED_VALUE"""),9.737052053E9)</f>
        <v>9737052053</v>
      </c>
      <c r="E101" s="65" t="str">
        <f>IFERROR(__xludf.DUMMYFUNCTION("""COMPUTED_VALUE"""),"Arthur Nwobi")</f>
        <v>Arthur Nwobi</v>
      </c>
      <c r="F101" s="65" t="str">
        <f>IFERROR(__xludf.DUMMYFUNCTION("""COMPUTED_VALUE"""),"Samson Nwobi")</f>
        <v>Samson Nwobi</v>
      </c>
      <c r="G101" s="65" t="str">
        <f>IFERROR(__xludf.DUMMYFUNCTION("""COMPUTED_VALUE""")," 1 [Included with Registration] / Included Insurance   - ")</f>
        <v> 1 [Included with Registration] / Included Insurance   - </v>
      </c>
      <c r="H101" s="65" t="str">
        <f>IFERROR(__xludf.DUMMYFUNCTION("""COMPUTED_VALUE"""),"Hurd  ")</f>
        <v>Hurd  </v>
      </c>
      <c r="I101" s="65" t="str">
        <f>IFERROR(__xludf.DUMMYFUNCTION("""COMPUTED_VALUE"""),"111")</f>
        <v>111</v>
      </c>
      <c r="J101" s="108" t="str">
        <f>IFERROR(__xludf.DUMMYFUNCTION("""COMPUTED_VALUE"""),"09:00 AM to 11:00 AM  ")</f>
        <v>09:00 AM to 11:00 AM  </v>
      </c>
      <c r="K101" s="103">
        <f>IFERROR(__xludf.DUMMYFUNCTION("""COMPUTED_VALUE"""),46146.0)</f>
        <v>46146</v>
      </c>
      <c r="L101" s="65" t="str">
        <f>IFERROR(__xludf.DUMMYFUNCTION("""COMPUTED_VALUE""")," ")</f>
        <v> </v>
      </c>
      <c r="M101" s="65"/>
      <c r="N101" s="65"/>
    </row>
    <row r="102">
      <c r="A102" s="99" t="str">
        <f>IFERROR(__xludf.DUMMYFUNCTION("""COMPUTED_VALUE"""),"https://utrucking.com/admin/orders/6359629955260")</f>
        <v>https://utrucking.com/admin/orders/6359629955260</v>
      </c>
      <c r="B102" s="61" t="str">
        <f>IFERROR(__xludf.DUMMYFUNCTION("""COMPUTED_VALUE"""),"#17107")</f>
        <v>#17107</v>
      </c>
      <c r="C102" s="61" t="str">
        <f>IFERROR(__xludf.DUMMYFUNCTION("""COMPUTED_VALUE"""),"k.lindsay@wustl.edu")</f>
        <v>k.lindsay@wustl.edu</v>
      </c>
      <c r="D102" s="61">
        <f>IFERROR(__xludf.DUMMYFUNCTION("""COMPUTED_VALUE"""),5.166597079E9)</f>
        <v>5166597079</v>
      </c>
      <c r="E102" s="61" t="str">
        <f>IFERROR(__xludf.DUMMYFUNCTION("""COMPUTED_VALUE"""),"Lindsay Kweit")</f>
        <v>Lindsay Kweit</v>
      </c>
      <c r="F102" s="61" t="str">
        <f>IFERROR(__xludf.DUMMYFUNCTION("""COMPUTED_VALUE"""),"Lindsay Kweit")</f>
        <v>Lindsay Kweit</v>
      </c>
      <c r="G102" s="61" t="str">
        <f>IFERROR(__xludf.DUMMYFUNCTION("""COMPUTED_VALUE""")," 1 [Included with Registration] / Included Insurance   - ")</f>
        <v> 1 [Included with Registration] / Included Insurance   - </v>
      </c>
      <c r="H102" s="61" t="str">
        <f>IFERROR(__xludf.DUMMYFUNCTION("""COMPUTED_VALUE"""),"Lopata  ")</f>
        <v>Lopata  </v>
      </c>
      <c r="I102" s="61" t="str">
        <f>IFERROR(__xludf.DUMMYFUNCTION("""COMPUTED_VALUE"""),"3073")</f>
        <v>3073</v>
      </c>
      <c r="J102" s="107" t="str">
        <f>IFERROR(__xludf.DUMMYFUNCTION("""COMPUTED_VALUE"""),"09:00 AM to 11:00 AM  ")</f>
        <v>09:00 AM to 11:00 AM  </v>
      </c>
      <c r="K102" s="100">
        <f>IFERROR(__xludf.DUMMYFUNCTION("""COMPUTED_VALUE"""),46146.0)</f>
        <v>46146</v>
      </c>
      <c r="L102" s="61" t="str">
        <f>IFERROR(__xludf.DUMMYFUNCTION("""COMPUTED_VALUE""")," ")</f>
        <v> </v>
      </c>
      <c r="M102" s="61"/>
      <c r="N102" s="61"/>
    </row>
    <row r="103">
      <c r="A103" s="102" t="str">
        <f>IFERROR(__xludf.DUMMYFUNCTION("""COMPUTED_VALUE"""),"https://utrucking.com/admin/orders/6363069907132")</f>
        <v>https://utrucking.com/admin/orders/6363069907132</v>
      </c>
      <c r="B103" s="65" t="str">
        <f>IFERROR(__xludf.DUMMYFUNCTION("""COMPUTED_VALUE"""),"#17108")</f>
        <v>#17108</v>
      </c>
      <c r="C103" s="65"/>
      <c r="D103" s="65">
        <f>IFERROR(__xludf.DUMMYFUNCTION("""COMPUTED_VALUE"""),2.163337757E9)</f>
        <v>2163337757</v>
      </c>
      <c r="E103" s="65" t="str">
        <f>IFERROR(__xludf.DUMMYFUNCTION("""COMPUTED_VALUE"""),"Christopher Watkins")</f>
        <v>Christopher Watkins</v>
      </c>
      <c r="F103" s="65" t="str">
        <f>IFERROR(__xludf.DUMMYFUNCTION("""COMPUTED_VALUE"""),"Peter Watkins")</f>
        <v>Peter Watkins</v>
      </c>
      <c r="G103" s="65" t="str">
        <f>IFERROR(__xludf.DUMMYFUNCTION("""COMPUTED_VALUE""")," 1 [Included with Registration] / Included Insurance   - ")</f>
        <v> 1 [Included with Registration] / Included Insurance   - </v>
      </c>
      <c r="H103" s="65" t="str">
        <f>IFERROR(__xludf.DUMMYFUNCTION("""COMPUTED_VALUE"""),"Dauten  ")</f>
        <v>Dauten  </v>
      </c>
      <c r="I103" s="65" t="str">
        <f>IFERROR(__xludf.DUMMYFUNCTION("""COMPUTED_VALUE"""),"413a")</f>
        <v>413a</v>
      </c>
      <c r="J103" s="108" t="str">
        <f>IFERROR(__xludf.DUMMYFUNCTION("""COMPUTED_VALUE"""),"10:00 AM to 12:00 PM  ")</f>
        <v>10:00 AM to 12:00 PM  </v>
      </c>
      <c r="K103" s="103">
        <f>IFERROR(__xludf.DUMMYFUNCTION("""COMPUTED_VALUE"""),46146.0)</f>
        <v>46146</v>
      </c>
      <c r="L103" s="65" t="str">
        <f>IFERROR(__xludf.DUMMYFUNCTION("""COMPUTED_VALUE""")," ")</f>
        <v> </v>
      </c>
      <c r="M103" s="65"/>
      <c r="N103" s="65"/>
    </row>
    <row r="104">
      <c r="A104" s="99" t="str">
        <f>IFERROR(__xludf.DUMMYFUNCTION("""COMPUTED_VALUE"""),"https://utrucking.com/admin/orders/6363636236476")</f>
        <v>https://utrucking.com/admin/orders/6363636236476</v>
      </c>
      <c r="B104" s="61" t="str">
        <f>IFERROR(__xludf.DUMMYFUNCTION("""COMPUTED_VALUE"""),"#17109")</f>
        <v>#17109</v>
      </c>
      <c r="C104" s="61" t="str">
        <f>IFERROR(__xludf.DUMMYFUNCTION("""COMPUTED_VALUE"""),"hkramm@yahoo.com")</f>
        <v>hkramm@yahoo.com</v>
      </c>
      <c r="D104" s="61">
        <f>IFERROR(__xludf.DUMMYFUNCTION("""COMPUTED_VALUE"""),2.066613897E9)</f>
        <v>2066613897</v>
      </c>
      <c r="E104" s="61" t="str">
        <f>IFERROR(__xludf.DUMMYFUNCTION("""COMPUTED_VALUE"""),"HEATHER KRAMM")</f>
        <v>HEATHER KRAMM</v>
      </c>
      <c r="F104" s="61" t="str">
        <f>IFERROR(__xludf.DUMMYFUNCTION("""COMPUTED_VALUE"""),"quincy schwartz")</f>
        <v>quincy schwartz</v>
      </c>
      <c r="G104" s="61" t="str">
        <f>IFERROR(__xludf.DUMMYFUNCTION("""COMPUTED_VALUE""")," 2 / Included Insurance   - ")</f>
        <v> 2 / Included Insurance   - </v>
      </c>
      <c r="H104" s="61" t="str">
        <f>IFERROR(__xludf.DUMMYFUNCTION("""COMPUTED_VALUE"""),"House 6 (Sigma Alpha Epsilon)  ")</f>
        <v>House 6 (Sigma Alpha Epsilon)  </v>
      </c>
      <c r="I104" s="61" t="str">
        <f>IFERROR(__xludf.DUMMYFUNCTION("""COMPUTED_VALUE"""),"202")</f>
        <v>202</v>
      </c>
      <c r="J104" s="107" t="str">
        <f>IFERROR(__xludf.DUMMYFUNCTION("""COMPUTED_VALUE"""),"09:00 AM to 11:00 AM  ")</f>
        <v>09:00 AM to 11:00 AM  </v>
      </c>
      <c r="K104" s="100">
        <f>IFERROR(__xludf.DUMMYFUNCTION("""COMPUTED_VALUE"""),46150.0)</f>
        <v>46150</v>
      </c>
      <c r="L104" s="61" t="str">
        <f>IFERROR(__xludf.DUMMYFUNCTION("""COMPUTED_VALUE""")," ")</f>
        <v> </v>
      </c>
      <c r="M104" s="61"/>
      <c r="N104" s="61"/>
    </row>
    <row r="105">
      <c r="A105" s="102" t="str">
        <f>IFERROR(__xludf.DUMMYFUNCTION("""COMPUTED_VALUE"""),"https://utrucking.com/admin/orders/6364722299068")</f>
        <v>https://utrucking.com/admin/orders/6364722299068</v>
      </c>
      <c r="B105" s="65" t="str">
        <f>IFERROR(__xludf.DUMMYFUNCTION("""COMPUTED_VALUE"""),"#17110")</f>
        <v>#17110</v>
      </c>
      <c r="C105" s="65" t="str">
        <f>IFERROR(__xludf.DUMMYFUNCTION("""COMPUTED_VALUE"""),"lioraanne2@gmail.com")</f>
        <v>lioraanne2@gmail.com</v>
      </c>
      <c r="D105" s="65">
        <f>IFERROR(__xludf.DUMMYFUNCTION("""COMPUTED_VALUE"""),5.162417683E9)</f>
        <v>5162417683</v>
      </c>
      <c r="E105" s="65" t="str">
        <f>IFERROR(__xludf.DUMMYFUNCTION("""COMPUTED_VALUE"""),"Liora Raimondi")</f>
        <v>Liora Raimondi</v>
      </c>
      <c r="F105" s="65" t="str">
        <f>IFERROR(__xludf.DUMMYFUNCTION("""COMPUTED_VALUE"""),"Liora Raimondi")</f>
        <v>Liora Raimondi</v>
      </c>
      <c r="G105" s="65" t="str">
        <f>IFERROR(__xludf.DUMMYFUNCTION("""COMPUTED_VALUE""")," 1 [Included with Registration] / Included Insurance   - ")</f>
        <v> 1 [Included with Registration] / Included Insurance   - </v>
      </c>
      <c r="H105" s="65" t="str">
        <f>IFERROR(__xludf.DUMMYFUNCTION("""COMPUTED_VALUE"""),"6627 University Drive  ")</f>
        <v>6627 University Drive  </v>
      </c>
      <c r="I105" s="65" t="str">
        <f>IFERROR(__xludf.DUMMYFUNCTION("""COMPUTED_VALUE"""),"2W B")</f>
        <v>2W B</v>
      </c>
      <c r="J105" s="108" t="str">
        <f>IFERROR(__xludf.DUMMYFUNCTION("""COMPUTED_VALUE"""),"09:00 AM to 11:00 AM  ")</f>
        <v>09:00 AM to 11:00 AM  </v>
      </c>
      <c r="K105" s="103">
        <f>IFERROR(__xludf.DUMMYFUNCTION("""COMPUTED_VALUE"""),46139.0)</f>
        <v>46139</v>
      </c>
      <c r="L105" s="65" t="str">
        <f>IFERROR(__xludf.DUMMYFUNCTION("""COMPUTED_VALUE""")," ")</f>
        <v> </v>
      </c>
      <c r="M105" s="65"/>
      <c r="N105" s="65"/>
    </row>
    <row r="106">
      <c r="A106" s="99" t="str">
        <f>IFERROR(__xludf.DUMMYFUNCTION("""COMPUTED_VALUE"""),"https://utrucking.com/admin/orders/6365316087996")</f>
        <v>https://utrucking.com/admin/orders/6365316087996</v>
      </c>
      <c r="B106" s="61" t="str">
        <f>IFERROR(__xludf.DUMMYFUNCTION("""COMPUTED_VALUE"""),"#17111")</f>
        <v>#17111</v>
      </c>
      <c r="C106" s="61" t="str">
        <f>IFERROR(__xludf.DUMMYFUNCTION("""COMPUTED_VALUE"""),"villegasalan606@gmail.com")</f>
        <v>villegasalan606@gmail.com</v>
      </c>
      <c r="D106" s="61">
        <f>IFERROR(__xludf.DUMMYFUNCTION("""COMPUTED_VALUE"""),7.472468413E9)</f>
        <v>7472468413</v>
      </c>
      <c r="E106" s="61" t="str">
        <f>IFERROR(__xludf.DUMMYFUNCTION("""COMPUTED_VALUE"""),"Alan Villegas")</f>
        <v>Alan Villegas</v>
      </c>
      <c r="F106" s="61" t="str">
        <f>IFERROR(__xludf.DUMMYFUNCTION("""COMPUTED_VALUE"""),"Alan Yael Villegas")</f>
        <v>Alan Yael Villegas</v>
      </c>
      <c r="G106" s="61" t="str">
        <f>IFERROR(__xludf.DUMMYFUNCTION("""COMPUTED_VALUE""")," 1 [Included with Registration] / Included Insurance   - ")</f>
        <v> 1 [Included with Registration] / Included Insurance   - </v>
      </c>
      <c r="H106" s="61" t="str">
        <f>IFERROR(__xludf.DUMMYFUNCTION("""COMPUTED_VALUE"""),"Lee  ")</f>
        <v>Lee  </v>
      </c>
      <c r="I106" s="61" t="str">
        <f>IFERROR(__xludf.DUMMYFUNCTION("""COMPUTED_VALUE"""),"304")</f>
        <v>304</v>
      </c>
      <c r="J106" s="107" t="str">
        <f>IFERROR(__xludf.DUMMYFUNCTION("""COMPUTED_VALUE"""),"12:00 PM to 02:00 PM  ")</f>
        <v>12:00 PM to 02:00 PM  </v>
      </c>
      <c r="K106" s="100">
        <f>IFERROR(__xludf.DUMMYFUNCTION("""COMPUTED_VALUE"""),46148.0)</f>
        <v>46148</v>
      </c>
      <c r="L106" s="61" t="str">
        <f>IFERROR(__xludf.DUMMYFUNCTION("""COMPUTED_VALUE""")," ")</f>
        <v> </v>
      </c>
      <c r="M106" s="61"/>
      <c r="N106" s="61"/>
    </row>
    <row r="107">
      <c r="A107" s="102" t="str">
        <f>IFERROR(__xludf.DUMMYFUNCTION("""COMPUTED_VALUE"""),"https://utrucking.com/admin/orders/6365395386556")</f>
        <v>https://utrucking.com/admin/orders/6365395386556</v>
      </c>
      <c r="B107" s="65" t="str">
        <f>IFERROR(__xludf.DUMMYFUNCTION("""COMPUTED_VALUE"""),"#17112")</f>
        <v>#17112</v>
      </c>
      <c r="C107" s="65"/>
      <c r="D107" s="65">
        <f>IFERROR(__xludf.DUMMYFUNCTION("""COMPUTED_VALUE"""),2.144032341E9)</f>
        <v>2144032341</v>
      </c>
      <c r="E107" s="65" t="str">
        <f>IFERROR(__xludf.DUMMYFUNCTION("""COMPUTED_VALUE"""),"Deisi Contreras")</f>
        <v>Deisi Contreras</v>
      </c>
      <c r="F107" s="65" t="str">
        <f>IFERROR(__xludf.DUMMYFUNCTION("""COMPUTED_VALUE"""),"Deisi Contreras")</f>
        <v>Deisi Contreras</v>
      </c>
      <c r="G107" s="65" t="str">
        <f>IFERROR(__xludf.DUMMYFUNCTION("""COMPUTED_VALUE""")," 1 [Included with Registration] / Included Insurance   - ")</f>
        <v> 1 [Included with Registration] / Included Insurance   - </v>
      </c>
      <c r="H107" s="65" t="str">
        <f>IFERROR(__xludf.DUMMYFUNCTION("""COMPUTED_VALUE"""),"Lopata  ")</f>
        <v>Lopata  </v>
      </c>
      <c r="I107" s="65" t="str">
        <f>IFERROR(__xludf.DUMMYFUNCTION("""COMPUTED_VALUE"""),"3002-a")</f>
        <v>3002-a</v>
      </c>
      <c r="J107" s="108" t="str">
        <f>IFERROR(__xludf.DUMMYFUNCTION("""COMPUTED_VALUE"""),"09:00 AM to 11:00 AM  ")</f>
        <v>09:00 AM to 11:00 AM  </v>
      </c>
      <c r="K107" s="103">
        <f>IFERROR(__xludf.DUMMYFUNCTION("""COMPUTED_VALUE"""),46148.0)</f>
        <v>46148</v>
      </c>
      <c r="L107" s="65" t="str">
        <f>IFERROR(__xludf.DUMMYFUNCTION("""COMPUTED_VALUE""")," ")</f>
        <v> </v>
      </c>
      <c r="M107" s="65"/>
      <c r="N107" s="65"/>
    </row>
    <row r="108">
      <c r="A108" s="99" t="str">
        <f>IFERROR(__xludf.DUMMYFUNCTION("""COMPUTED_VALUE"""),"https://utrucking.com/admin/orders/6365794369724")</f>
        <v>https://utrucking.com/admin/orders/6365794369724</v>
      </c>
      <c r="B108" s="61" t="str">
        <f>IFERROR(__xludf.DUMMYFUNCTION("""COMPUTED_VALUE"""),"#17113")</f>
        <v>#17113</v>
      </c>
      <c r="C108" s="61" t="str">
        <f>IFERROR(__xludf.DUMMYFUNCTION("""COMPUTED_VALUE"""),"romeroandre379@gmail.com")</f>
        <v>romeroandre379@gmail.com</v>
      </c>
      <c r="D108" s="61">
        <f>IFERROR(__xludf.DUMMYFUNCTION("""COMPUTED_VALUE"""),5.054149711E9)</f>
        <v>5054149711</v>
      </c>
      <c r="E108" s="61" t="str">
        <f>IFERROR(__xludf.DUMMYFUNCTION("""COMPUTED_VALUE"""),"Elizabeth Romero")</f>
        <v>Elizabeth Romero</v>
      </c>
      <c r="F108" s="61" t="str">
        <f>IFERROR(__xludf.DUMMYFUNCTION("""COMPUTED_VALUE"""),"Andre Romero-Carey")</f>
        <v>Andre Romero-Carey</v>
      </c>
      <c r="G108" s="61" t="str">
        <f>IFERROR(__xludf.DUMMYFUNCTION("""COMPUTED_VALUE""")," 1 [Included with Registration] / Included Insurance   - ")</f>
        <v> 1 [Included with Registration] / Included Insurance   - </v>
      </c>
      <c r="H108" s="61" t="str">
        <f>IFERROR(__xludf.DUMMYFUNCTION("""COMPUTED_VALUE"""),"Umrath  ")</f>
        <v>Umrath  </v>
      </c>
      <c r="I108" s="61" t="str">
        <f>IFERROR(__xludf.DUMMYFUNCTION("""COMPUTED_VALUE"""),"3314")</f>
        <v>3314</v>
      </c>
      <c r="J108" s="107" t="str">
        <f>IFERROR(__xludf.DUMMYFUNCTION("""COMPUTED_VALUE"""),"11:00 AM to 01:00 PM  ")</f>
        <v>11:00 AM to 01:00 PM  </v>
      </c>
      <c r="K108" s="100">
        <f>IFERROR(__xludf.DUMMYFUNCTION("""COMPUTED_VALUE"""),46146.0)</f>
        <v>46146</v>
      </c>
      <c r="L108" s="61" t="str">
        <f>IFERROR(__xludf.DUMMYFUNCTION("""COMPUTED_VALUE""")," ")</f>
        <v> </v>
      </c>
      <c r="M108" s="61"/>
      <c r="N108" s="61"/>
    </row>
    <row r="109">
      <c r="A109" s="102" t="str">
        <f>IFERROR(__xludf.DUMMYFUNCTION("""COMPUTED_VALUE"""),"https://utrucking.com/admin/orders/6365832904892")</f>
        <v>https://utrucking.com/admin/orders/6365832904892</v>
      </c>
      <c r="B109" s="65" t="str">
        <f>IFERROR(__xludf.DUMMYFUNCTION("""COMPUTED_VALUE"""),"#17114")</f>
        <v>#17114</v>
      </c>
      <c r="C109" s="65"/>
      <c r="D109" s="65">
        <f>IFERROR(__xludf.DUMMYFUNCTION("""COMPUTED_VALUE"""),2.409944982E9)</f>
        <v>2409944982</v>
      </c>
      <c r="E109" s="65" t="str">
        <f>IFERROR(__xludf.DUMMYFUNCTION("""COMPUTED_VALUE"""),"Alisa Rulnick")</f>
        <v>Alisa Rulnick</v>
      </c>
      <c r="F109" s="65" t="str">
        <f>IFERROR(__xludf.DUMMYFUNCTION("""COMPUTED_VALUE"""),"Lily Rulnick")</f>
        <v>Lily Rulnick</v>
      </c>
      <c r="G109" s="65" t="str">
        <f>IFERROR(__xludf.DUMMYFUNCTION("""COMPUTED_VALUE""")," 1 [Included with Registration] / Included Insurance   - ")</f>
        <v> 1 [Included with Registration] / Included Insurance   - </v>
      </c>
      <c r="H109" s="65" t="str">
        <f>IFERROR(__xludf.DUMMYFUNCTION("""COMPUTED_VALUE"""),"Dardick  ")</f>
        <v>Dardick  </v>
      </c>
      <c r="I109" s="65" t="str">
        <f>IFERROR(__xludf.DUMMYFUNCTION("""COMPUTED_VALUE"""),"409 Left side ")</f>
        <v>409 Left side </v>
      </c>
      <c r="J109" s="108" t="str">
        <f>IFERROR(__xludf.DUMMYFUNCTION("""COMPUTED_VALUE"""),"10:00 AM to 12:00 PM  ")</f>
        <v>10:00 AM to 12:00 PM  </v>
      </c>
      <c r="K109" s="103">
        <f>IFERROR(__xludf.DUMMYFUNCTION("""COMPUTED_VALUE"""),46139.0)</f>
        <v>46139</v>
      </c>
      <c r="L109" s="65" t="str">
        <f>IFERROR(__xludf.DUMMYFUNCTION("""COMPUTED_VALUE""")," ")</f>
        <v> </v>
      </c>
      <c r="M109" s="65"/>
      <c r="N109" s="65"/>
    </row>
    <row r="110">
      <c r="A110" s="99" t="str">
        <f>IFERROR(__xludf.DUMMYFUNCTION("""COMPUTED_VALUE"""),"https://utrucking.com/admin/orders/6366108516540")</f>
        <v>https://utrucking.com/admin/orders/6366108516540</v>
      </c>
      <c r="B110" s="61" t="str">
        <f>IFERROR(__xludf.DUMMYFUNCTION("""COMPUTED_VALUE"""),"#17115")</f>
        <v>#17115</v>
      </c>
      <c r="C110" s="61" t="str">
        <f>IFERROR(__xludf.DUMMYFUNCTION("""COMPUTED_VALUE"""),"baek.s.s@wustl.edu")</f>
        <v>baek.s.s@wustl.edu</v>
      </c>
      <c r="D110" s="61">
        <f>IFERROR(__xludf.DUMMYFUNCTION("""COMPUTED_VALUE"""),6.785305599E9)</f>
        <v>6785305599</v>
      </c>
      <c r="E110" s="61" t="str">
        <f>IFERROR(__xludf.DUMMYFUNCTION("""COMPUTED_VALUE"""),"Sarah Baek")</f>
        <v>Sarah Baek</v>
      </c>
      <c r="F110" s="61" t="str">
        <f>IFERROR(__xludf.DUMMYFUNCTION("""COMPUTED_VALUE"""),"Sarah Baek")</f>
        <v>Sarah Baek</v>
      </c>
      <c r="G110" s="61" t="str">
        <f>IFERROR(__xludf.DUMMYFUNCTION("""COMPUTED_VALUE""")," 1 [Included with Registration] / Included Insurance   - ")</f>
        <v> 1 [Included with Registration] / Included Insurance   - </v>
      </c>
      <c r="H110" s="61" t="str">
        <f>IFERROR(__xludf.DUMMYFUNCTION("""COMPUTED_VALUE"""),"Village House  ")</f>
        <v>Village House  </v>
      </c>
      <c r="I110" s="61" t="str">
        <f>IFERROR(__xludf.DUMMYFUNCTION("""COMPUTED_VALUE"""),"2051 a")</f>
        <v>2051 a</v>
      </c>
      <c r="J110" s="107" t="str">
        <f>IFERROR(__xludf.DUMMYFUNCTION("""COMPUTED_VALUE"""),"09:00 AM to 11:00 AM  ")</f>
        <v>09:00 AM to 11:00 AM  </v>
      </c>
      <c r="K110" s="100">
        <f>IFERROR(__xludf.DUMMYFUNCTION("""COMPUTED_VALUE"""),46148.0)</f>
        <v>46148</v>
      </c>
      <c r="L110" s="61" t="str">
        <f>IFERROR(__xludf.DUMMYFUNCTION("""COMPUTED_VALUE""")," ")</f>
        <v> </v>
      </c>
      <c r="M110" s="61"/>
      <c r="N110" s="61"/>
    </row>
    <row r="111">
      <c r="A111" s="102" t="str">
        <f>IFERROR(__xludf.DUMMYFUNCTION("""COMPUTED_VALUE"""),"https://utrucking.com/admin/orders/6366392516796")</f>
        <v>https://utrucking.com/admin/orders/6366392516796</v>
      </c>
      <c r="B111" s="65" t="str">
        <f>IFERROR(__xludf.DUMMYFUNCTION("""COMPUTED_VALUE"""),"#17116")</f>
        <v>#17116</v>
      </c>
      <c r="C111" s="65" t="str">
        <f>IFERROR(__xludf.DUMMYFUNCTION("""COMPUTED_VALUE"""),"mason.m@wustl.edu")</f>
        <v>mason.m@wustl.edu</v>
      </c>
      <c r="D111" s="65">
        <f>IFERROR(__xludf.DUMMYFUNCTION("""COMPUTED_VALUE"""),4.439707907E9)</f>
        <v>4439707907</v>
      </c>
      <c r="E111" s="65" t="str">
        <f>IFERROR(__xludf.DUMMYFUNCTION("""COMPUTED_VALUE"""),"Mason Miller")</f>
        <v>Mason Miller</v>
      </c>
      <c r="F111" s="65" t="str">
        <f>IFERROR(__xludf.DUMMYFUNCTION("""COMPUTED_VALUE"""),"Mason Miller")</f>
        <v>Mason Miller</v>
      </c>
      <c r="G111" s="65" t="str">
        <f>IFERROR(__xludf.DUMMYFUNCTION("""COMPUTED_VALUE""")," 2 / $1000 of Additional Coverage   - ")</f>
        <v> 2 / $1000 of Additional Coverage   - </v>
      </c>
      <c r="H111" s="65" t="str">
        <f>IFERROR(__xludf.DUMMYFUNCTION("""COMPUTED_VALUE"""),"Lopata  ")</f>
        <v>Lopata  </v>
      </c>
      <c r="I111" s="65" t="str">
        <f>IFERROR(__xludf.DUMMYFUNCTION("""COMPUTED_VALUE"""),"3092")</f>
        <v>3092</v>
      </c>
      <c r="J111" s="108" t="str">
        <f>IFERROR(__xludf.DUMMYFUNCTION("""COMPUTED_VALUE"""),"09:00 AM to 11:00 AM  ")</f>
        <v>09:00 AM to 11:00 AM  </v>
      </c>
      <c r="K111" s="103">
        <f>IFERROR(__xludf.DUMMYFUNCTION("""COMPUTED_VALUE"""),46146.0)</f>
        <v>46146</v>
      </c>
      <c r="L111" s="65" t="str">
        <f>IFERROR(__xludf.DUMMYFUNCTION("""COMPUTED_VALUE""")," ")</f>
        <v> </v>
      </c>
      <c r="M111" s="65"/>
      <c r="N111" s="65"/>
    </row>
    <row r="112">
      <c r="A112" s="99" t="str">
        <f>IFERROR(__xludf.DUMMYFUNCTION("""COMPUTED_VALUE"""),"https://utrucking.com/admin/orders/6367030247612")</f>
        <v>https://utrucking.com/admin/orders/6367030247612</v>
      </c>
      <c r="B112" s="61" t="str">
        <f>IFERROR(__xludf.DUMMYFUNCTION("""COMPUTED_VALUE"""),"#17117")</f>
        <v>#17117</v>
      </c>
      <c r="C112" s="61" t="str">
        <f>IFERROR(__xludf.DUMMYFUNCTION("""COMPUTED_VALUE"""),"j.f.markowitz@wustl.edu")</f>
        <v>j.f.markowitz@wustl.edu</v>
      </c>
      <c r="D112" s="61">
        <f>IFERROR(__xludf.DUMMYFUNCTION("""COMPUTED_VALUE"""),5.719994644E9)</f>
        <v>5719994644</v>
      </c>
      <c r="E112" s="61" t="str">
        <f>IFERROR(__xludf.DUMMYFUNCTION("""COMPUTED_VALUE"""),"Julia Markowitz")</f>
        <v>Julia Markowitz</v>
      </c>
      <c r="F112" s="61" t="str">
        <f>IFERROR(__xludf.DUMMYFUNCTION("""COMPUTED_VALUE"""),"Julia Markowitz")</f>
        <v>Julia Markowitz</v>
      </c>
      <c r="G112" s="61" t="str">
        <f>IFERROR(__xludf.DUMMYFUNCTION("""COMPUTED_VALUE""")," 2 / Included Insurance   - ")</f>
        <v> 2 / Included Insurance   - </v>
      </c>
      <c r="H112" s="61" t="str">
        <f>IFERROR(__xludf.DUMMYFUNCTION("""COMPUTED_VALUE"""),"Lien  ")</f>
        <v>Lien  </v>
      </c>
      <c r="I112" s="61" t="str">
        <f>IFERROR(__xludf.DUMMYFUNCTION("""COMPUTED_VALUE"""),"3319")</f>
        <v>3319</v>
      </c>
      <c r="J112" s="107" t="str">
        <f>IFERROR(__xludf.DUMMYFUNCTION("""COMPUTED_VALUE"""),"02:00 PM to 04:00 PM")</f>
        <v>02:00 PM to 04:00 PM</v>
      </c>
      <c r="K112" s="100">
        <f>IFERROR(__xludf.DUMMYFUNCTION("""COMPUTED_VALUE"""),46148.0)</f>
        <v>46148</v>
      </c>
      <c r="L112" s="61" t="str">
        <f>IFERROR(__xludf.DUMMYFUNCTION("""COMPUTED_VALUE""")," ")</f>
        <v> </v>
      </c>
      <c r="M112" s="61"/>
      <c r="N112" s="61"/>
    </row>
    <row r="113">
      <c r="A113" s="102" t="str">
        <f>IFERROR(__xludf.DUMMYFUNCTION("""COMPUTED_VALUE"""),"https://utrucking.com/admin/orders/6367048630460")</f>
        <v>https://utrucking.com/admin/orders/6367048630460</v>
      </c>
      <c r="B113" s="65" t="str">
        <f>IFERROR(__xludf.DUMMYFUNCTION("""COMPUTED_VALUE"""),"#17118")</f>
        <v>#17118</v>
      </c>
      <c r="C113" s="65"/>
      <c r="D113" s="65">
        <f>IFERROR(__xludf.DUMMYFUNCTION("""COMPUTED_VALUE"""),6.784277093E9)</f>
        <v>6784277093</v>
      </c>
      <c r="E113" s="65" t="str">
        <f>IFERROR(__xludf.DUMMYFUNCTION("""COMPUTED_VALUE"""),"Allison Howard")</f>
        <v>Allison Howard</v>
      </c>
      <c r="F113" s="65" t="str">
        <f>IFERROR(__xludf.DUMMYFUNCTION("""COMPUTED_VALUE"""),"Simone Howard")</f>
        <v>Simone Howard</v>
      </c>
      <c r="G113" s="65" t="str">
        <f>IFERROR(__xludf.DUMMYFUNCTION("""COMPUTED_VALUE""")," 1 [Included with Registration] / Included Insurance   - ")</f>
        <v> 1 [Included with Registration] / Included Insurance   - </v>
      </c>
      <c r="H113" s="65" t="str">
        <f>IFERROR(__xludf.DUMMYFUNCTION("""COMPUTED_VALUE"""),"Umrath  ")</f>
        <v>Umrath  </v>
      </c>
      <c r="I113" s="65" t="str">
        <f>IFERROR(__xludf.DUMMYFUNCTION("""COMPUTED_VALUE"""),"237")</f>
        <v>237</v>
      </c>
      <c r="J113" s="108" t="str">
        <f>IFERROR(__xludf.DUMMYFUNCTION("""COMPUTED_VALUE"""),"10:00 AM to 12:00 PM  ")</f>
        <v>10:00 AM to 12:00 PM  </v>
      </c>
      <c r="K113" s="103">
        <f>IFERROR(__xludf.DUMMYFUNCTION("""COMPUTED_VALUE"""),46149.0)</f>
        <v>46149</v>
      </c>
      <c r="L113" s="65" t="str">
        <f>IFERROR(__xludf.DUMMYFUNCTION("""COMPUTED_VALUE""")," ")</f>
        <v> </v>
      </c>
      <c r="M113" s="65"/>
      <c r="N113" s="65"/>
    </row>
    <row r="114">
      <c r="A114" s="99" t="str">
        <f>IFERROR(__xludf.DUMMYFUNCTION("""COMPUTED_VALUE"""),"https://utrucking.com/admin/orders/6367086444732")</f>
        <v>https://utrucking.com/admin/orders/6367086444732</v>
      </c>
      <c r="B114" s="61" t="str">
        <f>IFERROR(__xludf.DUMMYFUNCTION("""COMPUTED_VALUE"""),"#17119")</f>
        <v>#17119</v>
      </c>
      <c r="C114" s="61" t="str">
        <f>IFERROR(__xludf.DUMMYFUNCTION("""COMPUTED_VALUE"""),"anna.j.schwartz@wustl.edu")</f>
        <v>anna.j.schwartz@wustl.edu</v>
      </c>
      <c r="D114" s="61">
        <f>IFERROR(__xludf.DUMMYFUNCTION("""COMPUTED_VALUE"""),1.4043457378E10)</f>
        <v>14043457378</v>
      </c>
      <c r="E114" s="61" t="str">
        <f>IFERROR(__xludf.DUMMYFUNCTION("""COMPUTED_VALUE"""),"Anna Schwartz")</f>
        <v>Anna Schwartz</v>
      </c>
      <c r="F114" s="61" t="str">
        <f>IFERROR(__xludf.DUMMYFUNCTION("""COMPUTED_VALUE"""),"Anna Schwartz")</f>
        <v>Anna Schwartz</v>
      </c>
      <c r="G114" s="61" t="str">
        <f>IFERROR(__xludf.DUMMYFUNCTION("""COMPUTED_VALUE""")," 1 [Included with Registration] / Included Insurance   - ")</f>
        <v> 1 [Included with Registration] / Included Insurance   - </v>
      </c>
      <c r="H114" s="61" t="str">
        <f>IFERROR(__xludf.DUMMYFUNCTION("""COMPUTED_VALUE"""),"Village House  ")</f>
        <v>Village House  </v>
      </c>
      <c r="I114" s="61" t="str">
        <f>IFERROR(__xludf.DUMMYFUNCTION("""COMPUTED_VALUE"""),"4071")</f>
        <v>4071</v>
      </c>
      <c r="J114" s="107" t="str">
        <f>IFERROR(__xludf.DUMMYFUNCTION("""COMPUTED_VALUE"""),"03:00 PM to 05:00 PM")</f>
        <v>03:00 PM to 05:00 PM</v>
      </c>
      <c r="K114" s="100">
        <f>IFERROR(__xludf.DUMMYFUNCTION("""COMPUTED_VALUE"""),46143.0)</f>
        <v>46143</v>
      </c>
      <c r="L114" s="61" t="str">
        <f>IFERROR(__xludf.DUMMYFUNCTION("""COMPUTED_VALUE""")," ")</f>
        <v> </v>
      </c>
      <c r="M114" s="61"/>
      <c r="N114" s="61"/>
    </row>
    <row r="115">
      <c r="A115" s="102" t="str">
        <f>IFERROR(__xludf.DUMMYFUNCTION("""COMPUTED_VALUE"""),"https://utrucking.com/admin/orders/6367191924924")</f>
        <v>https://utrucking.com/admin/orders/6367191924924</v>
      </c>
      <c r="B115" s="65" t="str">
        <f>IFERROR(__xludf.DUMMYFUNCTION("""COMPUTED_VALUE"""),"#17120")</f>
        <v>#17120</v>
      </c>
      <c r="C115" s="65"/>
      <c r="D115" s="65">
        <f>IFERROR(__xludf.DUMMYFUNCTION("""COMPUTED_VALUE"""),8.476124001E9)</f>
        <v>8476124001</v>
      </c>
      <c r="E115" s="65" t="str">
        <f>IFERROR(__xludf.DUMMYFUNCTION("""COMPUTED_VALUE"""),"Savyon Amit")</f>
        <v>Savyon Amit</v>
      </c>
      <c r="F115" s="65" t="str">
        <f>IFERROR(__xludf.DUMMYFUNCTION("""COMPUTED_VALUE"""),"Ella Amit")</f>
        <v>Ella Amit</v>
      </c>
      <c r="G115" s="65" t="str">
        <f>IFERROR(__xludf.DUMMYFUNCTION("""COMPUTED_VALUE""")," 1 [Included with Registration] / Included Insurance   - ")</f>
        <v> 1 [Included with Registration] / Included Insurance   - </v>
      </c>
      <c r="H115" s="65" t="str">
        <f>IFERROR(__xludf.DUMMYFUNCTION("""COMPUTED_VALUE"""),"Eliot A (Thomas Eliot)")</f>
        <v>Eliot A (Thomas Eliot)</v>
      </c>
      <c r="I115" s="65" t="str">
        <f>IFERROR(__xludf.DUMMYFUNCTION("""COMPUTED_VALUE"""),"1043")</f>
        <v>1043</v>
      </c>
      <c r="J115" s="108" t="str">
        <f>IFERROR(__xludf.DUMMYFUNCTION("""COMPUTED_VALUE"""),"12:00 PM to 02:00 PM  ")</f>
        <v>12:00 PM to 02:00 PM  </v>
      </c>
      <c r="K115" s="103">
        <f>IFERROR(__xludf.DUMMYFUNCTION("""COMPUTED_VALUE"""),46146.0)</f>
        <v>46146</v>
      </c>
      <c r="L115" s="65" t="str">
        <f>IFERROR(__xludf.DUMMYFUNCTION("""COMPUTED_VALUE""")," ")</f>
        <v> </v>
      </c>
      <c r="M115" s="65"/>
      <c r="N115" s="65"/>
    </row>
    <row r="116">
      <c r="A116" s="99" t="str">
        <f>IFERROR(__xludf.DUMMYFUNCTION("""COMPUTED_VALUE"""),"https://utrucking.com/admin/orders/6367304646844")</f>
        <v>https://utrucking.com/admin/orders/6367304646844</v>
      </c>
      <c r="B116" s="61" t="str">
        <f>IFERROR(__xludf.DUMMYFUNCTION("""COMPUTED_VALUE"""),"#17121")</f>
        <v>#17121</v>
      </c>
      <c r="C116" s="61" t="str">
        <f>IFERROR(__xludf.DUMMYFUNCTION("""COMPUTED_VALUE"""),"jocelynreed66@gmail.com")</f>
        <v>jocelynreed66@gmail.com</v>
      </c>
      <c r="D116" s="61">
        <f>IFERROR(__xludf.DUMMYFUNCTION("""COMPUTED_VALUE"""),9.547436742E9)</f>
        <v>9547436742</v>
      </c>
      <c r="E116" s="61" t="str">
        <f>IFERROR(__xludf.DUMMYFUNCTION("""COMPUTED_VALUE"""),"Jocelyn Reed")</f>
        <v>Jocelyn Reed</v>
      </c>
      <c r="F116" s="61" t="str">
        <f>IFERROR(__xludf.DUMMYFUNCTION("""COMPUTED_VALUE"""),"Jocelyn Reed")</f>
        <v>Jocelyn Reed</v>
      </c>
      <c r="G116" s="61" t="str">
        <f>IFERROR(__xludf.DUMMYFUNCTION("""COMPUTED_VALUE""")," 1 [Included with Registration] / Included Insurance   - ")</f>
        <v> 1 [Included with Registration] / Included Insurance   - </v>
      </c>
      <c r="H116" s="61" t="str">
        <f>IFERROR(__xludf.DUMMYFUNCTION("""COMPUTED_VALUE"""),"Millbrook Bldg. 3  ")</f>
        <v>Millbrook Bldg. 3  </v>
      </c>
      <c r="I116" s="61" t="str">
        <f>IFERROR(__xludf.DUMMYFUNCTION("""COMPUTED_VALUE"""),"101B")</f>
        <v>101B</v>
      </c>
      <c r="J116" s="107" t="str">
        <f>IFERROR(__xludf.DUMMYFUNCTION("""COMPUTED_VALUE"""),"09:00 AM to 11:00 AM  ")</f>
        <v>09:00 AM to 11:00 AM  </v>
      </c>
      <c r="K116" s="100">
        <f>IFERROR(__xludf.DUMMYFUNCTION("""COMPUTED_VALUE"""),46149.0)</f>
        <v>46149</v>
      </c>
      <c r="L116" s="61" t="str">
        <f>IFERROR(__xludf.DUMMYFUNCTION("""COMPUTED_VALUE""")," ")</f>
        <v> </v>
      </c>
      <c r="M116" s="61"/>
      <c r="N116" s="61"/>
    </row>
    <row r="117">
      <c r="A117" s="102" t="str">
        <f>IFERROR(__xludf.DUMMYFUNCTION("""COMPUTED_VALUE"""),"https://utrucking.com/admin/orders/6367347212476")</f>
        <v>https://utrucking.com/admin/orders/6367347212476</v>
      </c>
      <c r="B117" s="65" t="str">
        <f>IFERROR(__xludf.DUMMYFUNCTION("""COMPUTED_VALUE"""),"#17123")</f>
        <v>#17123</v>
      </c>
      <c r="C117" s="65" t="str">
        <f>IFERROR(__xludf.DUMMYFUNCTION("""COMPUTED_VALUE"""),"g.kogan@wustl.edu")</f>
        <v>g.kogan@wustl.edu</v>
      </c>
      <c r="D117" s="65">
        <f>IFERROR(__xludf.DUMMYFUNCTION("""COMPUTED_VALUE"""),9.14602624E9)</f>
        <v>9146026240</v>
      </c>
      <c r="E117" s="65" t="str">
        <f>IFERROR(__xludf.DUMMYFUNCTION("""COMPUTED_VALUE"""),"Gabrielle Kogam")</f>
        <v>Gabrielle Kogam</v>
      </c>
      <c r="F117" s="65" t="str">
        <f>IFERROR(__xludf.DUMMYFUNCTION("""COMPUTED_VALUE"""),"Gabrielle Kogan")</f>
        <v>Gabrielle Kogan</v>
      </c>
      <c r="G117" s="65" t="str">
        <f>IFERROR(__xludf.DUMMYFUNCTION("""COMPUTED_VALUE""")," 1 [Included with Registration] / Included Insurance   - ")</f>
        <v> 1 [Included with Registration] / Included Insurance   - </v>
      </c>
      <c r="H117" s="65" t="str">
        <f>IFERROR(__xludf.DUMMYFUNCTION("""COMPUTED_VALUE"""),"Beaumont  ")</f>
        <v>Beaumont  </v>
      </c>
      <c r="I117" s="65" t="str">
        <f>IFERROR(__xludf.DUMMYFUNCTION("""COMPUTED_VALUE"""),"321")</f>
        <v>321</v>
      </c>
      <c r="J117" s="108" t="str">
        <f>IFERROR(__xludf.DUMMYFUNCTION("""COMPUTED_VALUE"""),"09:00 AM to 11:00 AM  ")</f>
        <v>09:00 AM to 11:00 AM  </v>
      </c>
      <c r="K117" s="103">
        <f>IFERROR(__xludf.DUMMYFUNCTION("""COMPUTED_VALUE"""),46149.0)</f>
        <v>46149</v>
      </c>
      <c r="L117" s="65" t="str">
        <f>IFERROR(__xludf.DUMMYFUNCTION("""COMPUTED_VALUE""")," ")</f>
        <v> </v>
      </c>
      <c r="M117" s="65"/>
      <c r="N117" s="65"/>
    </row>
    <row r="118">
      <c r="A118" s="99" t="str">
        <f>IFERROR(__xludf.DUMMYFUNCTION("""COMPUTED_VALUE"""),"https://utrucking.com/admin/orders/6367435980988")</f>
        <v>https://utrucking.com/admin/orders/6367435980988</v>
      </c>
      <c r="B118" s="61" t="str">
        <f>IFERROR(__xludf.DUMMYFUNCTION("""COMPUTED_VALUE"""),"#17124")</f>
        <v>#17124</v>
      </c>
      <c r="C118" s="61" t="str">
        <f>IFERROR(__xludf.DUMMYFUNCTION("""COMPUTED_VALUE"""),"bloom.e.j@wustl.edu")</f>
        <v>bloom.e.j@wustl.edu</v>
      </c>
      <c r="D118" s="61">
        <f>IFERROR(__xludf.DUMMYFUNCTION("""COMPUTED_VALUE"""),9.175709951E9)</f>
        <v>9175709951</v>
      </c>
      <c r="E118" s="61" t="str">
        <f>IFERROR(__xludf.DUMMYFUNCTION("""COMPUTED_VALUE"""),"Ronda Bloom")</f>
        <v>Ronda Bloom</v>
      </c>
      <c r="F118" s="61" t="str">
        <f>IFERROR(__xludf.DUMMYFUNCTION("""COMPUTED_VALUE"""),"Ethan Bloom")</f>
        <v>Ethan Bloom</v>
      </c>
      <c r="G118" s="61" t="str">
        <f>IFERROR(__xludf.DUMMYFUNCTION("""COMPUTED_VALUE""")," 1 [Included with Registration] / Included Insurance   - ")</f>
        <v> 1 [Included with Registration] / Included Insurance   - </v>
      </c>
      <c r="H118" s="61" t="str">
        <f>IFERROR(__xludf.DUMMYFUNCTION("""COMPUTED_VALUE"""),"House 2 (Sigma Nu)  ")</f>
        <v>House 2 (Sigma Nu)  </v>
      </c>
      <c r="I118" s="61" t="str">
        <f>IFERROR(__xludf.DUMMYFUNCTION("""COMPUTED_VALUE"""),"209")</f>
        <v>209</v>
      </c>
      <c r="J118" s="107" t="str">
        <f>IFERROR(__xludf.DUMMYFUNCTION("""COMPUTED_VALUE"""),"02:00 PM to 04:00 PM")</f>
        <v>02:00 PM to 04:00 PM</v>
      </c>
      <c r="K118" s="100">
        <f>IFERROR(__xludf.DUMMYFUNCTION("""COMPUTED_VALUE"""),46148.0)</f>
        <v>46148</v>
      </c>
      <c r="L118" s="61" t="str">
        <f>IFERROR(__xludf.DUMMYFUNCTION("""COMPUTED_VALUE""")," ")</f>
        <v> </v>
      </c>
      <c r="M118" s="61"/>
      <c r="N118" s="61"/>
    </row>
    <row r="119">
      <c r="A119" s="102" t="str">
        <f>IFERROR(__xludf.DUMMYFUNCTION("""COMPUTED_VALUE"""),"https://utrucking.com/admin/orders/6368358695100")</f>
        <v>https://utrucking.com/admin/orders/6368358695100</v>
      </c>
      <c r="B119" s="65" t="str">
        <f>IFERROR(__xludf.DUMMYFUNCTION("""COMPUTED_VALUE"""),"#17125")</f>
        <v>#17125</v>
      </c>
      <c r="C119" s="65" t="str">
        <f>IFERROR(__xludf.DUMMYFUNCTION("""COMPUTED_VALUE"""),"julie@meggers.com")</f>
        <v>julie@meggers.com</v>
      </c>
      <c r="D119" s="65">
        <f>IFERROR(__xludf.DUMMYFUNCTION("""COMPUTED_VALUE"""),9.49887555E9)</f>
        <v>9498875550</v>
      </c>
      <c r="E119" s="65" t="str">
        <f>IFERROR(__xludf.DUMMYFUNCTION("""COMPUTED_VALUE"""),"Julie Meggers")</f>
        <v>Julie Meggers</v>
      </c>
      <c r="F119" s="65" t="str">
        <f>IFERROR(__xludf.DUMMYFUNCTION("""COMPUTED_VALUE"""),"Katie Meggers")</f>
        <v>Katie Meggers</v>
      </c>
      <c r="G119" s="65" t="str">
        <f>IFERROR(__xludf.DUMMYFUNCTION("""COMPUTED_VALUE""")," 3 / Included Insurance   - ")</f>
        <v> 3 / Included Insurance   - </v>
      </c>
      <c r="H119" s="65" t="str">
        <f>IFERROR(__xludf.DUMMYFUNCTION("""COMPUTED_VALUE"""),"Dauten  ")</f>
        <v>Dauten  </v>
      </c>
      <c r="I119" s="65" t="str">
        <f>IFERROR(__xludf.DUMMYFUNCTION("""COMPUTED_VALUE"""),"333-a")</f>
        <v>333-a</v>
      </c>
      <c r="J119" s="108" t="str">
        <f>IFERROR(__xludf.DUMMYFUNCTION("""COMPUTED_VALUE"""),"03:00 PM to 05:00 PM")</f>
        <v>03:00 PM to 05:00 PM</v>
      </c>
      <c r="K119" s="103">
        <f>IFERROR(__xludf.DUMMYFUNCTION("""COMPUTED_VALUE"""),46149.0)</f>
        <v>46149</v>
      </c>
      <c r="L119" s="65" t="str">
        <f>IFERROR(__xludf.DUMMYFUNCTION("""COMPUTED_VALUE""")," ")</f>
        <v> </v>
      </c>
      <c r="M119" s="65"/>
      <c r="N119" s="65"/>
    </row>
    <row r="120">
      <c r="A120" s="99" t="str">
        <f>IFERROR(__xludf.DUMMYFUNCTION("""COMPUTED_VALUE"""),"https://utrucking.com/admin/orders/6368566345916")</f>
        <v>https://utrucking.com/admin/orders/6368566345916</v>
      </c>
      <c r="B120" s="61" t="str">
        <f>IFERROR(__xludf.DUMMYFUNCTION("""COMPUTED_VALUE"""),"#17126")</f>
        <v>#17126</v>
      </c>
      <c r="C120" s="61"/>
      <c r="D120" s="61">
        <f>IFERROR(__xludf.DUMMYFUNCTION("""COMPUTED_VALUE"""),9.175922703E9)</f>
        <v>9175922703</v>
      </c>
      <c r="E120" s="61" t="str">
        <f>IFERROR(__xludf.DUMMYFUNCTION("""COMPUTED_VALUE"""),"Shari Jacknis")</f>
        <v>Shari Jacknis</v>
      </c>
      <c r="F120" s="61" t="str">
        <f>IFERROR(__xludf.DUMMYFUNCTION("""COMPUTED_VALUE"""),"Sammi Jacknis")</f>
        <v>Sammi Jacknis</v>
      </c>
      <c r="G120" s="61" t="str">
        <f>IFERROR(__xludf.DUMMYFUNCTION("""COMPUTED_VALUE""")," 1 [Included with Registration] / Included Insurance   - ")</f>
        <v> 1 [Included with Registration] / Included Insurance   - </v>
      </c>
      <c r="H120" s="61" t="str">
        <f>IFERROR(__xludf.DUMMYFUNCTION("""COMPUTED_VALUE"""),"Hitzeman  ")</f>
        <v>Hitzeman  </v>
      </c>
      <c r="I120" s="61" t="str">
        <f>IFERROR(__xludf.DUMMYFUNCTION("""COMPUTED_VALUE"""),"232")</f>
        <v>232</v>
      </c>
      <c r="J120" s="107" t="str">
        <f>IFERROR(__xludf.DUMMYFUNCTION("""COMPUTED_VALUE"""),"09:00 AM to 11:00 AM  ")</f>
        <v>09:00 AM to 11:00 AM  </v>
      </c>
      <c r="K120" s="100">
        <f>IFERROR(__xludf.DUMMYFUNCTION("""COMPUTED_VALUE"""),46149.0)</f>
        <v>46149</v>
      </c>
      <c r="L120" s="61" t="str">
        <f>IFERROR(__xludf.DUMMYFUNCTION("""COMPUTED_VALUE""")," ")</f>
        <v> </v>
      </c>
      <c r="M120" s="61"/>
      <c r="N120" s="61"/>
    </row>
    <row r="121">
      <c r="A121" s="102" t="str">
        <f>IFERROR(__xludf.DUMMYFUNCTION("""COMPUTED_VALUE"""),"https://utrucking.com/admin/orders/6368705642684")</f>
        <v>https://utrucking.com/admin/orders/6368705642684</v>
      </c>
      <c r="B121" s="65" t="str">
        <f>IFERROR(__xludf.DUMMYFUNCTION("""COMPUTED_VALUE"""),"#17127")</f>
        <v>#17127</v>
      </c>
      <c r="C121" s="65"/>
      <c r="D121" s="65">
        <f>IFERROR(__xludf.DUMMYFUNCTION("""COMPUTED_VALUE"""),7.038995059E9)</f>
        <v>7038995059</v>
      </c>
      <c r="E121" s="65" t="str">
        <f>IFERROR(__xludf.DUMMYFUNCTION("""COMPUTED_VALUE"""),"Shruti Monga")</f>
        <v>Shruti Monga</v>
      </c>
      <c r="F121" s="65" t="str">
        <f>IFERROR(__xludf.DUMMYFUNCTION("""COMPUTED_VALUE"""),"Ishaan Saran")</f>
        <v>Ishaan Saran</v>
      </c>
      <c r="G121" s="65" t="str">
        <f>IFERROR(__xludf.DUMMYFUNCTION("""COMPUTED_VALUE""")," 1 [Included with Registration] / Included Insurance   - ")</f>
        <v> 1 [Included with Registration] / Included Insurance   - </v>
      </c>
      <c r="H121" s="65" t="str">
        <f>IFERROR(__xludf.DUMMYFUNCTION("""COMPUTED_VALUE"""),"Eliot A (Thomas Eliot)")</f>
        <v>Eliot A (Thomas Eliot)</v>
      </c>
      <c r="I121" s="65" t="str">
        <f>IFERROR(__xludf.DUMMYFUNCTION("""COMPUTED_VALUE"""),"3121 B")</f>
        <v>3121 B</v>
      </c>
      <c r="J121" s="108" t="str">
        <f>IFERROR(__xludf.DUMMYFUNCTION("""COMPUTED_VALUE"""),"09:00 AM to 11:00 AM  ")</f>
        <v>09:00 AM to 11:00 AM  </v>
      </c>
      <c r="K121" s="103">
        <f>IFERROR(__xludf.DUMMYFUNCTION("""COMPUTED_VALUE"""),46150.0)</f>
        <v>46150</v>
      </c>
      <c r="L121" s="65" t="str">
        <f>IFERROR(__xludf.DUMMYFUNCTION("""COMPUTED_VALUE""")," ")</f>
        <v> </v>
      </c>
      <c r="M121" s="65"/>
      <c r="N121" s="65"/>
    </row>
    <row r="122">
      <c r="A122" s="99" t="str">
        <f>IFERROR(__xludf.DUMMYFUNCTION("""COMPUTED_VALUE"""),"https://utrucking.com/admin/orders/6368879542460")</f>
        <v>https://utrucking.com/admin/orders/6368879542460</v>
      </c>
      <c r="B122" s="61" t="str">
        <f>IFERROR(__xludf.DUMMYFUNCTION("""COMPUTED_VALUE"""),"#17128")</f>
        <v>#17128</v>
      </c>
      <c r="C122" s="61" t="str">
        <f>IFERROR(__xludf.DUMMYFUNCTION("""COMPUTED_VALUE"""),"amalu@wustl.edu")</f>
        <v>amalu@wustl.edu</v>
      </c>
      <c r="D122" s="61">
        <f>IFERROR(__xludf.DUMMYFUNCTION("""COMPUTED_VALUE"""),7.135430173E9)</f>
        <v>7135430173</v>
      </c>
      <c r="E122" s="61" t="str">
        <f>IFERROR(__xludf.DUMMYFUNCTION("""COMPUTED_VALUE"""),"Emmanuel Amalu")</f>
        <v>Emmanuel Amalu</v>
      </c>
      <c r="F122" s="61" t="str">
        <f>IFERROR(__xludf.DUMMYFUNCTION("""COMPUTED_VALUE"""),"Emmanuel Amalu")</f>
        <v>Emmanuel Amalu</v>
      </c>
      <c r="G122" s="61" t="str">
        <f>IFERROR(__xludf.DUMMYFUNCTION("""COMPUTED_VALUE""")," 1 [Included with Registration] / Included Insurance   - ")</f>
        <v> 1 [Included with Registration] / Included Insurance   - </v>
      </c>
      <c r="H122" s="61" t="str">
        <f>IFERROR(__xludf.DUMMYFUNCTION("""COMPUTED_VALUE"""),"Myers  ")</f>
        <v>Myers  </v>
      </c>
      <c r="I122" s="61" t="str">
        <f>IFERROR(__xludf.DUMMYFUNCTION("""COMPUTED_VALUE"""),"311")</f>
        <v>311</v>
      </c>
      <c r="J122" s="107" t="str">
        <f>IFERROR(__xludf.DUMMYFUNCTION("""COMPUTED_VALUE"""),"03:00 PM to 05:00 PM")</f>
        <v>03:00 PM to 05:00 PM</v>
      </c>
      <c r="K122" s="100">
        <f>IFERROR(__xludf.DUMMYFUNCTION("""COMPUTED_VALUE"""),46146.0)</f>
        <v>46146</v>
      </c>
      <c r="L122" s="61" t="str">
        <f>IFERROR(__xludf.DUMMYFUNCTION("""COMPUTED_VALUE""")," ")</f>
        <v> </v>
      </c>
      <c r="M122" s="61"/>
      <c r="N122" s="61"/>
    </row>
    <row r="123">
      <c r="A123" s="102" t="str">
        <f>IFERROR(__xludf.DUMMYFUNCTION("""COMPUTED_VALUE"""),"https://utrucking.com/admin/orders/6371260104892")</f>
        <v>https://utrucking.com/admin/orders/6371260104892</v>
      </c>
      <c r="B123" s="65" t="str">
        <f>IFERROR(__xludf.DUMMYFUNCTION("""COMPUTED_VALUE"""),"#17131")</f>
        <v>#17131</v>
      </c>
      <c r="C123" s="65" t="str">
        <f>IFERROR(__xludf.DUMMYFUNCTION("""COMPUTED_VALUE"""),"melpollack@yahoo.com")</f>
        <v>melpollack@yahoo.com</v>
      </c>
      <c r="D123" s="65">
        <f>IFERROR(__xludf.DUMMYFUNCTION("""COMPUTED_VALUE"""),9.176897822E9)</f>
        <v>9176897822</v>
      </c>
      <c r="E123" s="65" t="str">
        <f>IFERROR(__xludf.DUMMYFUNCTION("""COMPUTED_VALUE"""),"Melissa Pollack")</f>
        <v>Melissa Pollack</v>
      </c>
      <c r="F123" s="65" t="str">
        <f>IFERROR(__xludf.DUMMYFUNCTION("""COMPUTED_VALUE"""),"James Pollack")</f>
        <v>James Pollack</v>
      </c>
      <c r="G123" s="65" t="str">
        <f>IFERROR(__xludf.DUMMYFUNCTION("""COMPUTED_VALUE""")," 2 / Included Insurance   - ")</f>
        <v> 2 / Included Insurance   - </v>
      </c>
      <c r="H123" s="65" t="str">
        <f>IFERROR(__xludf.DUMMYFUNCTION("""COMPUTED_VALUE"""),"Wheeler  ")</f>
        <v>Wheeler  </v>
      </c>
      <c r="I123" s="65" t="str">
        <f>IFERROR(__xludf.DUMMYFUNCTION("""COMPUTED_VALUE"""),"3100")</f>
        <v>3100</v>
      </c>
      <c r="J123" s="108" t="str">
        <f>IFERROR(__xludf.DUMMYFUNCTION("""COMPUTED_VALUE"""),"09:00 AM to 11:00 AM  ")</f>
        <v>09:00 AM to 11:00 AM  </v>
      </c>
      <c r="K123" s="103">
        <f>IFERROR(__xludf.DUMMYFUNCTION("""COMPUTED_VALUE"""),46146.0)</f>
        <v>46146</v>
      </c>
      <c r="L123" s="65" t="str">
        <f>IFERROR(__xludf.DUMMYFUNCTION("""COMPUTED_VALUE""")," ")</f>
        <v> </v>
      </c>
      <c r="M123" s="65"/>
      <c r="N123" s="65"/>
    </row>
    <row r="124">
      <c r="A124" s="99" t="str">
        <f>IFERROR(__xludf.DUMMYFUNCTION("""COMPUTED_VALUE"""),"https://utrucking.com/admin/orders/6371285532860")</f>
        <v>https://utrucking.com/admin/orders/6371285532860</v>
      </c>
      <c r="B124" s="61" t="str">
        <f>IFERROR(__xludf.DUMMYFUNCTION("""COMPUTED_VALUE"""),"#17132")</f>
        <v>#17132</v>
      </c>
      <c r="C124" s="61" t="str">
        <f>IFERROR(__xludf.DUMMYFUNCTION("""COMPUTED_VALUE"""),"qiumin@wustl.edu")</f>
        <v>qiumin@wustl.edu</v>
      </c>
      <c r="D124" s="61">
        <f>IFERROR(__xludf.DUMMYFUNCTION("""COMPUTED_VALUE"""),5.712755119E9)</f>
        <v>5712755119</v>
      </c>
      <c r="E124" s="61" t="str">
        <f>IFERROR(__xludf.DUMMYFUNCTION("""COMPUTED_VALUE"""),"Qiumin Zhang")</f>
        <v>Qiumin Zhang</v>
      </c>
      <c r="F124" s="61" t="str">
        <f>IFERROR(__xludf.DUMMYFUNCTION("""COMPUTED_VALUE"""),"Michelle Zhang")</f>
        <v>Michelle Zhang</v>
      </c>
      <c r="G124" s="61" t="str">
        <f>IFERROR(__xludf.DUMMYFUNCTION("""COMPUTED_VALUE""")," 1 [Included with Registration] / Included Insurance   - ")</f>
        <v> 1 [Included with Registration] / Included Insurance   - </v>
      </c>
      <c r="H124" s="61" t="str">
        <f>IFERROR(__xludf.DUMMYFUNCTION("""COMPUTED_VALUE"""),"Lee  ")</f>
        <v>Lee  </v>
      </c>
      <c r="I124" s="61" t="str">
        <f>IFERROR(__xludf.DUMMYFUNCTION("""COMPUTED_VALUE"""),"313")</f>
        <v>313</v>
      </c>
      <c r="J124" s="107" t="str">
        <f>IFERROR(__xludf.DUMMYFUNCTION("""COMPUTED_VALUE"""),"09:00 AM to 11:00 AM  ")</f>
        <v>09:00 AM to 11:00 AM  </v>
      </c>
      <c r="K124" s="100">
        <f>IFERROR(__xludf.DUMMYFUNCTION("""COMPUTED_VALUE"""),46149.0)</f>
        <v>46149</v>
      </c>
      <c r="L124" s="61" t="str">
        <f>IFERROR(__xludf.DUMMYFUNCTION("""COMPUTED_VALUE""")," ")</f>
        <v> </v>
      </c>
      <c r="M124" s="61"/>
      <c r="N124" s="61"/>
    </row>
    <row r="125">
      <c r="A125" s="102" t="str">
        <f>IFERROR(__xludf.DUMMYFUNCTION("""COMPUTED_VALUE"""),"https://utrucking.com/admin/orders/6371354050748")</f>
        <v>https://utrucking.com/admin/orders/6371354050748</v>
      </c>
      <c r="B125" s="65" t="str">
        <f>IFERROR(__xludf.DUMMYFUNCTION("""COMPUTED_VALUE"""),"#17133")</f>
        <v>#17133</v>
      </c>
      <c r="C125" s="65" t="str">
        <f>IFERROR(__xludf.DUMMYFUNCTION("""COMPUTED_VALUE"""),"sophies@wustl.edu")</f>
        <v>sophies@wustl.edu</v>
      </c>
      <c r="D125" s="65">
        <f>IFERROR(__xludf.DUMMYFUNCTION("""COMPUTED_VALUE"""),5.163805641E9)</f>
        <v>5163805641</v>
      </c>
      <c r="E125" s="65" t="str">
        <f>IFERROR(__xludf.DUMMYFUNCTION("""COMPUTED_VALUE"""),"Lee Saltzman")</f>
        <v>Lee Saltzman</v>
      </c>
      <c r="F125" s="65" t="str">
        <f>IFERROR(__xludf.DUMMYFUNCTION("""COMPUTED_VALUE"""),"Sophie Saltzman")</f>
        <v>Sophie Saltzman</v>
      </c>
      <c r="G125" s="65" t="str">
        <f>IFERROR(__xludf.DUMMYFUNCTION("""COMPUTED_VALUE""")," 2 / Included Insurance   - ")</f>
        <v> 2 / Included Insurance   - </v>
      </c>
      <c r="H125" s="65" t="str">
        <f>IFERROR(__xludf.DUMMYFUNCTION("""COMPUTED_VALUE"""),"Umrath  ")</f>
        <v>Umrath  </v>
      </c>
      <c r="I125" s="65" t="str">
        <f>IFERROR(__xludf.DUMMYFUNCTION("""COMPUTED_VALUE"""),"2203")</f>
        <v>2203</v>
      </c>
      <c r="J125" s="108" t="str">
        <f>IFERROR(__xludf.DUMMYFUNCTION("""COMPUTED_VALUE"""),"09:00 AM to 11:00 AM  ")</f>
        <v>09:00 AM to 11:00 AM  </v>
      </c>
      <c r="K125" s="103">
        <f>IFERROR(__xludf.DUMMYFUNCTION("""COMPUTED_VALUE"""),46148.0)</f>
        <v>46148</v>
      </c>
      <c r="L125" s="65" t="str">
        <f>IFERROR(__xludf.DUMMYFUNCTION("""COMPUTED_VALUE""")," ")</f>
        <v> </v>
      </c>
      <c r="M125" s="65"/>
      <c r="N125" s="65"/>
    </row>
    <row r="126">
      <c r="A126" s="99" t="str">
        <f>IFERROR(__xludf.DUMMYFUNCTION("""COMPUTED_VALUE"""),"https://utrucking.com/admin/orders/6371826598076")</f>
        <v>https://utrucking.com/admin/orders/6371826598076</v>
      </c>
      <c r="B126" s="61" t="str">
        <f>IFERROR(__xludf.DUMMYFUNCTION("""COMPUTED_VALUE"""),"#17135")</f>
        <v>#17135</v>
      </c>
      <c r="C126" s="61" t="str">
        <f>IFERROR(__xludf.DUMMYFUNCTION("""COMPUTED_VALUE"""),"bowermanjill@gmail.com")</f>
        <v>bowermanjill@gmail.com</v>
      </c>
      <c r="D126" s="61">
        <f>IFERROR(__xludf.DUMMYFUNCTION("""COMPUTED_VALUE"""),9.892958435E9)</f>
        <v>9892958435</v>
      </c>
      <c r="E126" s="61" t="str">
        <f>IFERROR(__xludf.DUMMYFUNCTION("""COMPUTED_VALUE"""),"Jill Bowerman")</f>
        <v>Jill Bowerman</v>
      </c>
      <c r="F126" s="61" t="str">
        <f>IFERROR(__xludf.DUMMYFUNCTION("""COMPUTED_VALUE"""),"John Connors")</f>
        <v>John Connors</v>
      </c>
      <c r="G126" s="61" t="str">
        <f>IFERROR(__xludf.DUMMYFUNCTION("""COMPUTED_VALUE""")," 1 [Included with Registration] / Included Insurance   - ")</f>
        <v> 1 [Included with Registration] / Included Insurance   - </v>
      </c>
      <c r="H126" s="61" t="str">
        <f>IFERROR(__xludf.DUMMYFUNCTION("""COMPUTED_VALUE"""),"Danforth  ")</f>
        <v>Danforth  </v>
      </c>
      <c r="I126" s="61" t="str">
        <f>IFERROR(__xludf.DUMMYFUNCTION("""COMPUTED_VALUE"""),"4418")</f>
        <v>4418</v>
      </c>
      <c r="J126" s="107" t="str">
        <f>IFERROR(__xludf.DUMMYFUNCTION("""COMPUTED_VALUE"""),"03:00 PM to 05:00 PM")</f>
        <v>03:00 PM to 05:00 PM</v>
      </c>
      <c r="K126" s="100">
        <f>IFERROR(__xludf.DUMMYFUNCTION("""COMPUTED_VALUE"""),46148.0)</f>
        <v>46148</v>
      </c>
      <c r="L126" s="61" t="str">
        <f>IFERROR(__xludf.DUMMYFUNCTION("""COMPUTED_VALUE""")," ")</f>
        <v> </v>
      </c>
      <c r="M126" s="61"/>
      <c r="N126" s="61"/>
    </row>
    <row r="127">
      <c r="A127" s="102" t="str">
        <f>IFERROR(__xludf.DUMMYFUNCTION("""COMPUTED_VALUE"""),"https://utrucking.com/admin/orders/6371912712380")</f>
        <v>https://utrucking.com/admin/orders/6371912712380</v>
      </c>
      <c r="B127" s="65" t="str">
        <f>IFERROR(__xludf.DUMMYFUNCTION("""COMPUTED_VALUE"""),"#17136")</f>
        <v>#17136</v>
      </c>
      <c r="C127" s="65"/>
      <c r="D127" s="65">
        <f>IFERROR(__xludf.DUMMYFUNCTION("""COMPUTED_VALUE"""),9.735908461E9)</f>
        <v>9735908461</v>
      </c>
      <c r="E127" s="65" t="str">
        <f>IFERROR(__xludf.DUMMYFUNCTION("""COMPUTED_VALUE"""),"Noelle Thompson")</f>
        <v>Noelle Thompson</v>
      </c>
      <c r="F127" s="65" t="str">
        <f>IFERROR(__xludf.DUMMYFUNCTION("""COMPUTED_VALUE"""),"Noelle Thompson ")</f>
        <v>Noelle Thompson </v>
      </c>
      <c r="G127" s="65" t="str">
        <f>IFERROR(__xludf.DUMMYFUNCTION("""COMPUTED_VALUE""")," 1 [Included with Registration] / Included Insurance   - ")</f>
        <v> 1 [Included with Registration] / Included Insurance   - </v>
      </c>
      <c r="H127" s="65" t="str">
        <f>IFERROR(__xludf.DUMMYFUNCTION("""COMPUTED_VALUE"""),"Umrath  ")</f>
        <v>Umrath  </v>
      </c>
      <c r="I127" s="65" t="str">
        <f>IFERROR(__xludf.DUMMYFUNCTION("""COMPUTED_VALUE"""),"2234")</f>
        <v>2234</v>
      </c>
      <c r="J127" s="108" t="str">
        <f>IFERROR(__xludf.DUMMYFUNCTION("""COMPUTED_VALUE"""),"09:00 AM to 11:00 AM  ")</f>
        <v>09:00 AM to 11:00 AM  </v>
      </c>
      <c r="K127" s="103">
        <f>IFERROR(__xludf.DUMMYFUNCTION("""COMPUTED_VALUE"""),46149.0)</f>
        <v>46149</v>
      </c>
      <c r="L127" s="65" t="str">
        <f>IFERROR(__xludf.DUMMYFUNCTION("""COMPUTED_VALUE""")," ")</f>
        <v> </v>
      </c>
      <c r="M127" s="65"/>
      <c r="N127" s="65"/>
    </row>
    <row r="128">
      <c r="A128" s="99" t="str">
        <f>IFERROR(__xludf.DUMMYFUNCTION("""COMPUTED_VALUE"""),"https://utrucking.com/admin/orders/6371957342396")</f>
        <v>https://utrucking.com/admin/orders/6371957342396</v>
      </c>
      <c r="B128" s="61" t="str">
        <f>IFERROR(__xludf.DUMMYFUNCTION("""COMPUTED_VALUE"""),"#17137")</f>
        <v>#17137</v>
      </c>
      <c r="C128" s="61" t="str">
        <f>IFERROR(__xludf.DUMMYFUNCTION("""COMPUTED_VALUE"""),"c.gauthier@wustl.edu")</f>
        <v>c.gauthier@wustl.edu</v>
      </c>
      <c r="D128" s="61">
        <f>IFERROR(__xludf.DUMMYFUNCTION("""COMPUTED_VALUE"""),1.6156090081E10)</f>
        <v>16156090081</v>
      </c>
      <c r="E128" s="61" t="str">
        <f>IFERROR(__xludf.DUMMYFUNCTION("""COMPUTED_VALUE"""),"Cleo Gauthier")</f>
        <v>Cleo Gauthier</v>
      </c>
      <c r="F128" s="61" t="str">
        <f>IFERROR(__xludf.DUMMYFUNCTION("""COMPUTED_VALUE"""),"Cléo Gauthier")</f>
        <v>Cléo Gauthier</v>
      </c>
      <c r="G128" s="61" t="str">
        <f>IFERROR(__xludf.DUMMYFUNCTION("""COMPUTED_VALUE""")," 2 / Included Insurance   - ")</f>
        <v> 2 / Included Insurance   - </v>
      </c>
      <c r="H128" s="61" t="str">
        <f>IFERROR(__xludf.DUMMYFUNCTION("""COMPUTED_VALUE"""),"Zetcher  ")</f>
        <v>Zetcher  </v>
      </c>
      <c r="I128" s="61" t="str">
        <f>IFERROR(__xludf.DUMMYFUNCTION("""COMPUTED_VALUE"""),"2102")</f>
        <v>2102</v>
      </c>
      <c r="J128" s="107" t="str">
        <f>IFERROR(__xludf.DUMMYFUNCTION("""COMPUTED_VALUE"""),"09:00 AM to 11:00 AM  ")</f>
        <v>09:00 AM to 11:00 AM  </v>
      </c>
      <c r="K128" s="100">
        <f>IFERROR(__xludf.DUMMYFUNCTION("""COMPUTED_VALUE"""),46146.0)</f>
        <v>46146</v>
      </c>
      <c r="L128" s="61" t="str">
        <f>IFERROR(__xludf.DUMMYFUNCTION("""COMPUTED_VALUE""")," ")</f>
        <v> </v>
      </c>
      <c r="M128" s="61"/>
      <c r="N128" s="61"/>
    </row>
    <row r="129">
      <c r="A129" s="102" t="str">
        <f>IFERROR(__xludf.DUMMYFUNCTION("""COMPUTED_VALUE"""),"https://utrucking.com/admin/orders/6372003184828")</f>
        <v>https://utrucking.com/admin/orders/6372003184828</v>
      </c>
      <c r="B129" s="65" t="str">
        <f>IFERROR(__xludf.DUMMYFUNCTION("""COMPUTED_VALUE"""),"#17138")</f>
        <v>#17138</v>
      </c>
      <c r="C129" s="65"/>
      <c r="D129" s="65">
        <f>IFERROR(__xludf.DUMMYFUNCTION("""COMPUTED_VALUE"""),3.107499227E9)</f>
        <v>3107499227</v>
      </c>
      <c r="E129" s="65" t="str">
        <f>IFERROR(__xludf.DUMMYFUNCTION("""COMPUTED_VALUE"""),"Natalie carbunaru")</f>
        <v>Natalie carbunaru</v>
      </c>
      <c r="F129" s="65" t="str">
        <f>IFERROR(__xludf.DUMMYFUNCTION("""COMPUTED_VALUE"""),"Hannah Carbunaru")</f>
        <v>Hannah Carbunaru</v>
      </c>
      <c r="G129" s="65" t="str">
        <f>IFERROR(__xludf.DUMMYFUNCTION("""COMPUTED_VALUE""")," 1 [Included with Registration] / $500 of Additional Coverage   - ")</f>
        <v> 1 [Included with Registration] / $500 of Additional Coverage   - </v>
      </c>
      <c r="H129" s="65" t="str">
        <f>IFERROR(__xludf.DUMMYFUNCTION("""COMPUTED_VALUE"""),"Nemerov  ")</f>
        <v>Nemerov  </v>
      </c>
      <c r="I129" s="65" t="str">
        <f>IFERROR(__xludf.DUMMYFUNCTION("""COMPUTED_VALUE"""),"4082")</f>
        <v>4082</v>
      </c>
      <c r="J129" s="108" t="str">
        <f>IFERROR(__xludf.DUMMYFUNCTION("""COMPUTED_VALUE"""),"09:00 AM to 11:00 AM  ")</f>
        <v>09:00 AM to 11:00 AM  </v>
      </c>
      <c r="K129" s="103">
        <f>IFERROR(__xludf.DUMMYFUNCTION("""COMPUTED_VALUE"""),46149.0)</f>
        <v>46149</v>
      </c>
      <c r="L129" s="65" t="str">
        <f>IFERROR(__xludf.DUMMYFUNCTION("""COMPUTED_VALUE""")," ")</f>
        <v> </v>
      </c>
      <c r="M129" s="65"/>
      <c r="N129" s="65"/>
    </row>
    <row r="130">
      <c r="A130" s="99" t="str">
        <f>IFERROR(__xludf.DUMMYFUNCTION("""COMPUTED_VALUE"""),"https://utrucking.com/admin/orders/6372051812540")</f>
        <v>https://utrucking.com/admin/orders/6372051812540</v>
      </c>
      <c r="B130" s="61" t="str">
        <f>IFERROR(__xludf.DUMMYFUNCTION("""COMPUTED_VALUE"""),"#17139")</f>
        <v>#17139</v>
      </c>
      <c r="C130" s="61" t="str">
        <f>IFERROR(__xludf.DUMMYFUNCTION("""COMPUTED_VALUE"""),"d.yujia@wustl.edu")</f>
        <v>d.yujia@wustl.edu</v>
      </c>
      <c r="D130" s="61">
        <f>IFERROR(__xludf.DUMMYFUNCTION("""COMPUTED_VALUE"""),3.146590828E9)</f>
        <v>3146590828</v>
      </c>
      <c r="E130" s="61" t="str">
        <f>IFERROR(__xludf.DUMMYFUNCTION("""COMPUTED_VALUE"""),"yujia Deng")</f>
        <v>yujia Deng</v>
      </c>
      <c r="F130" s="61" t="str">
        <f>IFERROR(__xludf.DUMMYFUNCTION("""COMPUTED_VALUE"""),"YujiaDeng")</f>
        <v>YujiaDeng</v>
      </c>
      <c r="G130" s="61" t="str">
        <f>IFERROR(__xludf.DUMMYFUNCTION("""COMPUTED_VALUE""")," 1 [Included with Registration] / Included Insurance   - ")</f>
        <v> 1 [Included with Registration] / Included Insurance   - </v>
      </c>
      <c r="H130" s="61" t="str">
        <f>IFERROR(__xludf.DUMMYFUNCTION("""COMPUTED_VALUE"""),"Lee  ")</f>
        <v>Lee  </v>
      </c>
      <c r="I130" s="61" t="str">
        <f>IFERROR(__xludf.DUMMYFUNCTION("""COMPUTED_VALUE"""),"320")</f>
        <v>320</v>
      </c>
      <c r="J130" s="107" t="str">
        <f>IFERROR(__xludf.DUMMYFUNCTION("""COMPUTED_VALUE"""),"09:00 AM to 11:00 AM  ")</f>
        <v>09:00 AM to 11:00 AM  </v>
      </c>
      <c r="K130" s="100">
        <f>IFERROR(__xludf.DUMMYFUNCTION("""COMPUTED_VALUE"""),46146.0)</f>
        <v>46146</v>
      </c>
      <c r="L130" s="61" t="str">
        <f>IFERROR(__xludf.DUMMYFUNCTION("""COMPUTED_VALUE""")," ")</f>
        <v> </v>
      </c>
      <c r="M130" s="61"/>
      <c r="N130" s="61"/>
    </row>
    <row r="131">
      <c r="A131" s="102" t="str">
        <f>IFERROR(__xludf.DUMMYFUNCTION("""COMPUTED_VALUE"""),"https://utrucking.com/admin/orders/6372649599164")</f>
        <v>https://utrucking.com/admin/orders/6372649599164</v>
      </c>
      <c r="B131" s="65" t="str">
        <f>IFERROR(__xludf.DUMMYFUNCTION("""COMPUTED_VALUE"""),"#17141")</f>
        <v>#17141</v>
      </c>
      <c r="C131" s="65" t="str">
        <f>IFERROR(__xludf.DUMMYFUNCTION("""COMPUTED_VALUE"""),"cbellejohnson@gmail.com")</f>
        <v>cbellejohnson@gmail.com</v>
      </c>
      <c r="D131" s="65">
        <f>IFERROR(__xludf.DUMMYFUNCTION("""COMPUTED_VALUE"""),4.158479046E9)</f>
        <v>4158479046</v>
      </c>
      <c r="E131" s="65" t="str">
        <f>IFERROR(__xludf.DUMMYFUNCTION("""COMPUTED_VALUE"""),"Camille Johnson")</f>
        <v>Camille Johnson</v>
      </c>
      <c r="F131" s="65" t="str">
        <f>IFERROR(__xludf.DUMMYFUNCTION("""COMPUTED_VALUE"""),"Camille Johnson")</f>
        <v>Camille Johnson</v>
      </c>
      <c r="G131" s="65" t="str">
        <f>IFERROR(__xludf.DUMMYFUNCTION("""COMPUTED_VALUE""")," 1 [Included with Registration] / Included Insurance   - ")</f>
        <v> 1 [Included with Registration] / Included Insurance   - </v>
      </c>
      <c r="H131" s="65" t="str">
        <f>IFERROR(__xludf.DUMMYFUNCTION("""COMPUTED_VALUE"""),"Wheeler  ")</f>
        <v>Wheeler  </v>
      </c>
      <c r="I131" s="65" t="str">
        <f>IFERROR(__xludf.DUMMYFUNCTION("""COMPUTED_VALUE"""),"4033")</f>
        <v>4033</v>
      </c>
      <c r="J131" s="108" t="str">
        <f>IFERROR(__xludf.DUMMYFUNCTION("""COMPUTED_VALUE"""),"02:00 PM to 04:00 PM")</f>
        <v>02:00 PM to 04:00 PM</v>
      </c>
      <c r="K131" s="103">
        <f>IFERROR(__xludf.DUMMYFUNCTION("""COMPUTED_VALUE"""),46149.0)</f>
        <v>46149</v>
      </c>
      <c r="L131" s="65" t="str">
        <f>IFERROR(__xludf.DUMMYFUNCTION("""COMPUTED_VALUE""")," ")</f>
        <v> </v>
      </c>
      <c r="M131" s="65"/>
      <c r="N131" s="65"/>
    </row>
    <row r="132">
      <c r="A132" s="99" t="str">
        <f>IFERROR(__xludf.DUMMYFUNCTION("""COMPUTED_VALUE"""),"https://utrucking.com/admin/orders/6373204328636")</f>
        <v>https://utrucking.com/admin/orders/6373204328636</v>
      </c>
      <c r="B132" s="61" t="str">
        <f>IFERROR(__xludf.DUMMYFUNCTION("""COMPUTED_VALUE"""),"#17143")</f>
        <v>#17143</v>
      </c>
      <c r="C132" s="61" t="str">
        <f>IFERROR(__xludf.DUMMYFUNCTION("""COMPUTED_VALUE"""),"jatinfurgeson24@gmail.com")</f>
        <v>jatinfurgeson24@gmail.com</v>
      </c>
      <c r="D132" s="61">
        <f>IFERROR(__xludf.DUMMYFUNCTION("""COMPUTED_VALUE"""),3.033458925E9)</f>
        <v>3033458925</v>
      </c>
      <c r="E132" s="61" t="str">
        <f>IFERROR(__xludf.DUMMYFUNCTION("""COMPUTED_VALUE"""),"Jatin Furgeson")</f>
        <v>Jatin Furgeson</v>
      </c>
      <c r="F132" s="61" t="str">
        <f>IFERROR(__xludf.DUMMYFUNCTION("""COMPUTED_VALUE"""),"Jatin Furgeson")</f>
        <v>Jatin Furgeson</v>
      </c>
      <c r="G132" s="61" t="str">
        <f>IFERROR(__xludf.DUMMYFUNCTION("""COMPUTED_VALUE""")," 1 [Included with Registration] / Included Insurance   - ")</f>
        <v> 1 [Included with Registration] / Included Insurance   - </v>
      </c>
      <c r="H132" s="61" t="str">
        <f>IFERROR(__xludf.DUMMYFUNCTION("""COMPUTED_VALUE"""),"Zetcher  ")</f>
        <v>Zetcher  </v>
      </c>
      <c r="I132" s="61" t="str">
        <f>IFERROR(__xludf.DUMMYFUNCTION("""COMPUTED_VALUE"""),"4140")</f>
        <v>4140</v>
      </c>
      <c r="J132" s="107" t="str">
        <f>IFERROR(__xludf.DUMMYFUNCTION("""COMPUTED_VALUE"""),"09:00 AM to 11:00 AM  ")</f>
        <v>09:00 AM to 11:00 AM  </v>
      </c>
      <c r="K132" s="100">
        <f>IFERROR(__xludf.DUMMYFUNCTION("""COMPUTED_VALUE"""),46148.0)</f>
        <v>46148</v>
      </c>
      <c r="L132" s="61" t="str">
        <f>IFERROR(__xludf.DUMMYFUNCTION("""COMPUTED_VALUE""")," ")</f>
        <v> </v>
      </c>
      <c r="M132" s="61"/>
      <c r="N132" s="61"/>
    </row>
    <row r="133">
      <c r="A133" s="102" t="str">
        <f>IFERROR(__xludf.DUMMYFUNCTION("""COMPUTED_VALUE"""),"https://utrucking.com/admin/orders/6373458542780")</f>
        <v>https://utrucking.com/admin/orders/6373458542780</v>
      </c>
      <c r="B133" s="65" t="str">
        <f>IFERROR(__xludf.DUMMYFUNCTION("""COMPUTED_VALUE"""),"#17144")</f>
        <v>#17144</v>
      </c>
      <c r="C133" s="65" t="str">
        <f>IFERROR(__xludf.DUMMYFUNCTION("""COMPUTED_VALUE"""),"harpercohen2007@gmail.com")</f>
        <v>harpercohen2007@gmail.com</v>
      </c>
      <c r="D133" s="65">
        <f>IFERROR(__xludf.DUMMYFUNCTION("""COMPUTED_VALUE"""),6.077937487E9)</f>
        <v>6077937487</v>
      </c>
      <c r="E133" s="65" t="str">
        <f>IFERROR(__xludf.DUMMYFUNCTION("""COMPUTED_VALUE"""),"Alli Romano")</f>
        <v>Alli Romano</v>
      </c>
      <c r="F133" s="65" t="str">
        <f>IFERROR(__xludf.DUMMYFUNCTION("""COMPUTED_VALUE"""),"Harper Cohen")</f>
        <v>Harper Cohen</v>
      </c>
      <c r="G133" s="65" t="str">
        <f>IFERROR(__xludf.DUMMYFUNCTION("""COMPUTED_VALUE""")," 1 [Included with Registration] / $500 of Additional Coverage   - ")</f>
        <v> 1 [Included with Registration] / $500 of Additional Coverage   - </v>
      </c>
      <c r="H133" s="65" t="str">
        <f>IFERROR(__xludf.DUMMYFUNCTION("""COMPUTED_VALUE"""),"Lien  ")</f>
        <v>Lien  </v>
      </c>
      <c r="I133" s="65" t="str">
        <f>IFERROR(__xludf.DUMMYFUNCTION("""COMPUTED_VALUE"""),"2224")</f>
        <v>2224</v>
      </c>
      <c r="J133" s="108" t="str">
        <f>IFERROR(__xludf.DUMMYFUNCTION("""COMPUTED_VALUE"""),"11:00 AM to 01:00 PM  ")</f>
        <v>11:00 AM to 01:00 PM  </v>
      </c>
      <c r="K133" s="103">
        <f>IFERROR(__xludf.DUMMYFUNCTION("""COMPUTED_VALUE"""),46148.0)</f>
        <v>46148</v>
      </c>
      <c r="L133" s="65" t="str">
        <f>IFERROR(__xludf.DUMMYFUNCTION("""COMPUTED_VALUE""")," ")</f>
        <v> </v>
      </c>
      <c r="M133" s="65"/>
      <c r="N133" s="65"/>
    </row>
    <row r="134">
      <c r="A134" s="99" t="str">
        <f>IFERROR(__xludf.DUMMYFUNCTION("""COMPUTED_VALUE"""),"https://utrucking.com/admin/orders/6373588861116")</f>
        <v>https://utrucking.com/admin/orders/6373588861116</v>
      </c>
      <c r="B134" s="61" t="str">
        <f>IFERROR(__xludf.DUMMYFUNCTION("""COMPUTED_VALUE"""),"#17146")</f>
        <v>#17146</v>
      </c>
      <c r="C134" s="61" t="str">
        <f>IFERROR(__xludf.DUMMYFUNCTION("""COMPUTED_VALUE"""),"l.pollack@wustl.edu")</f>
        <v>l.pollack@wustl.edu</v>
      </c>
      <c r="D134" s="61">
        <f>IFERROR(__xludf.DUMMYFUNCTION("""COMPUTED_VALUE"""),7.739652345E9)</f>
        <v>7739652345</v>
      </c>
      <c r="E134" s="61" t="str">
        <f>IFERROR(__xludf.DUMMYFUNCTION("""COMPUTED_VALUE"""),"Laura Pollack")</f>
        <v>Laura Pollack</v>
      </c>
      <c r="F134" s="61" t="str">
        <f>IFERROR(__xludf.DUMMYFUNCTION("""COMPUTED_VALUE"""),"Lillian Pollack")</f>
        <v>Lillian Pollack</v>
      </c>
      <c r="G134" s="61" t="str">
        <f>IFERROR(__xludf.DUMMYFUNCTION("""COMPUTED_VALUE""")," 2 / Included Insurance   - ")</f>
        <v> 2 / Included Insurance   - </v>
      </c>
      <c r="H134" s="61" t="str">
        <f>IFERROR(__xludf.DUMMYFUNCTION("""COMPUTED_VALUE"""),"Eliot A (Thomas Eliot)")</f>
        <v>Eliot A (Thomas Eliot)</v>
      </c>
      <c r="I134" s="61" t="str">
        <f>IFERROR(__xludf.DUMMYFUNCTION("""COMPUTED_VALUE"""),"3094")</f>
        <v>3094</v>
      </c>
      <c r="J134" s="107" t="str">
        <f>IFERROR(__xludf.DUMMYFUNCTION("""COMPUTED_VALUE"""),"02:00 PM to 04:00 PM")</f>
        <v>02:00 PM to 04:00 PM</v>
      </c>
      <c r="K134" s="100">
        <f>IFERROR(__xludf.DUMMYFUNCTION("""COMPUTED_VALUE"""),46149.0)</f>
        <v>46149</v>
      </c>
      <c r="L134" s="61" t="str">
        <f>IFERROR(__xludf.DUMMYFUNCTION("""COMPUTED_VALUE""")," ")</f>
        <v> </v>
      </c>
      <c r="M134" s="61"/>
      <c r="N134" s="61"/>
    </row>
    <row r="135">
      <c r="A135" s="102" t="str">
        <f>IFERROR(__xludf.DUMMYFUNCTION("""COMPUTED_VALUE"""),"https://utrucking.com/admin/orders/6373637095612")</f>
        <v>https://utrucking.com/admin/orders/6373637095612</v>
      </c>
      <c r="B135" s="65" t="str">
        <f>IFERROR(__xludf.DUMMYFUNCTION("""COMPUTED_VALUE"""),"#17147")</f>
        <v>#17147</v>
      </c>
      <c r="C135" s="65" t="str">
        <f>IFERROR(__xludf.DUMMYFUNCTION("""COMPUTED_VALUE"""),"yang.d@wustl.edu")</f>
        <v>yang.d@wustl.edu</v>
      </c>
      <c r="D135" s="65">
        <f>IFERROR(__xludf.DUMMYFUNCTION("""COMPUTED_VALUE"""),5.772139303E9)</f>
        <v>5772139303</v>
      </c>
      <c r="E135" s="65" t="str">
        <f>IFERROR(__xludf.DUMMYFUNCTION("""COMPUTED_VALUE"""),"YANG DONG")</f>
        <v>YANG DONG</v>
      </c>
      <c r="F135" s="65" t="str">
        <f>IFERROR(__xludf.DUMMYFUNCTION("""COMPUTED_VALUE"""),"Belinda Dong")</f>
        <v>Belinda Dong</v>
      </c>
      <c r="G135" s="65" t="str">
        <f>IFERROR(__xludf.DUMMYFUNCTION("""COMPUTED_VALUE""")," 1 [Included with Registration] / Included Insurance   - ")</f>
        <v> 1 [Included with Registration] / Included Insurance   - </v>
      </c>
      <c r="H135" s="65" t="str">
        <f>IFERROR(__xludf.DUMMYFUNCTION("""COMPUTED_VALUE"""),"Eliot A (Thomas Eliot)")</f>
        <v>Eliot A (Thomas Eliot)</v>
      </c>
      <c r="I135" s="65" t="str">
        <f>IFERROR(__xludf.DUMMYFUNCTION("""COMPUTED_VALUE"""),"Lower Level 0403")</f>
        <v>Lower Level 0403</v>
      </c>
      <c r="J135" s="108" t="str">
        <f>IFERROR(__xludf.DUMMYFUNCTION("""COMPUTED_VALUE"""),"02:00 PM to 04:00 PM")</f>
        <v>02:00 PM to 04:00 PM</v>
      </c>
      <c r="K135" s="103">
        <f>IFERROR(__xludf.DUMMYFUNCTION("""COMPUTED_VALUE"""),46139.0)</f>
        <v>46139</v>
      </c>
      <c r="L135" s="65" t="str">
        <f>IFERROR(__xludf.DUMMYFUNCTION("""COMPUTED_VALUE""")," ")</f>
        <v> </v>
      </c>
      <c r="M135" s="65"/>
      <c r="N135" s="65"/>
    </row>
    <row r="136">
      <c r="A136" s="99" t="str">
        <f>IFERROR(__xludf.DUMMYFUNCTION("""COMPUTED_VALUE"""),"https://utrucking.com/admin/orders/6374028935356")</f>
        <v>https://utrucking.com/admin/orders/6374028935356</v>
      </c>
      <c r="B136" s="61" t="str">
        <f>IFERROR(__xludf.DUMMYFUNCTION("""COMPUTED_VALUE"""),"#17148")</f>
        <v>#17148</v>
      </c>
      <c r="C136" s="61"/>
      <c r="D136" s="61">
        <f>IFERROR(__xludf.DUMMYFUNCTION("""COMPUTED_VALUE"""),7.274181417E9)</f>
        <v>7274181417</v>
      </c>
      <c r="E136" s="61" t="str">
        <f>IFERROR(__xludf.DUMMYFUNCTION("""COMPUTED_VALUE"""),"Veronica Turner")</f>
        <v>Veronica Turner</v>
      </c>
      <c r="F136" s="61" t="str">
        <f>IFERROR(__xludf.DUMMYFUNCTION("""COMPUTED_VALUE"""),"Jack Powers")</f>
        <v>Jack Powers</v>
      </c>
      <c r="G136" s="61" t="str">
        <f>IFERROR(__xludf.DUMMYFUNCTION("""COMPUTED_VALUE""")," 2 / Included Insurance   - ")</f>
        <v> 2 / Included Insurance   - </v>
      </c>
      <c r="H136" s="61" t="str">
        <f>IFERROR(__xludf.DUMMYFUNCTION("""COMPUTED_VALUE"""),"Gregg  ")</f>
        <v>Gregg  </v>
      </c>
      <c r="I136" s="61" t="str">
        <f>IFERROR(__xludf.DUMMYFUNCTION("""COMPUTED_VALUE"""),"2173")</f>
        <v>2173</v>
      </c>
      <c r="J136" s="107" t="str">
        <f>IFERROR(__xludf.DUMMYFUNCTION("""COMPUTED_VALUE"""),"01:00 PM to 03:00 PM  ")</f>
        <v>01:00 PM to 03:00 PM  </v>
      </c>
      <c r="K136" s="100">
        <f>IFERROR(__xludf.DUMMYFUNCTION("""COMPUTED_VALUE"""),46150.0)</f>
        <v>46150</v>
      </c>
      <c r="L136" s="61" t="str">
        <f>IFERROR(__xludf.DUMMYFUNCTION("""COMPUTED_VALUE""")," ")</f>
        <v> </v>
      </c>
      <c r="M136" s="61"/>
      <c r="N136" s="61"/>
    </row>
    <row r="137">
      <c r="A137" s="102" t="str">
        <f>IFERROR(__xludf.DUMMYFUNCTION("""COMPUTED_VALUE"""),"https://utrucking.com/admin/orders/6374028935356")</f>
        <v>https://utrucking.com/admin/orders/6374028935356</v>
      </c>
      <c r="B137" s="65" t="str">
        <f>IFERROR(__xludf.DUMMYFUNCTION("""COMPUTED_VALUE"""),"#17148")</f>
        <v>#17148</v>
      </c>
      <c r="C137" s="65"/>
      <c r="D137" s="65">
        <f>IFERROR(__xludf.DUMMYFUNCTION("""COMPUTED_VALUE"""),7.274181417E9)</f>
        <v>7274181417</v>
      </c>
      <c r="E137" s="65" t="str">
        <f>IFERROR(__xludf.DUMMYFUNCTION("""COMPUTED_VALUE"""),"Veronica Turner")</f>
        <v>Veronica Turner</v>
      </c>
      <c r="F137" s="65" t="str">
        <f>IFERROR(__xludf.DUMMYFUNCTION("""COMPUTED_VALUE"""),"Jack Powers")</f>
        <v>Jack Powers</v>
      </c>
      <c r="G137" s="65" t="str">
        <f>IFERROR(__xludf.DUMMYFUNCTION("""COMPUTED_VALUE""")," 1 [Included with Registration] / Included Insurance   - ")</f>
        <v> 1 [Included with Registration] / Included Insurance   - </v>
      </c>
      <c r="H137" s="65" t="str">
        <f>IFERROR(__xludf.DUMMYFUNCTION("""COMPUTED_VALUE"""),"Gregg  ")</f>
        <v>Gregg  </v>
      </c>
      <c r="I137" s="65" t="str">
        <f>IFERROR(__xludf.DUMMYFUNCTION("""COMPUTED_VALUE"""),"2173")</f>
        <v>2173</v>
      </c>
      <c r="J137" s="108" t="str">
        <f>IFERROR(__xludf.DUMMYFUNCTION("""COMPUTED_VALUE"""),"01:00 PM to 03:00 PM  ")</f>
        <v>01:00 PM to 03:00 PM  </v>
      </c>
      <c r="K137" s="103">
        <f>IFERROR(__xludf.DUMMYFUNCTION("""COMPUTED_VALUE"""),46150.0)</f>
        <v>46150</v>
      </c>
      <c r="L137" s="65" t="str">
        <f>IFERROR(__xludf.DUMMYFUNCTION("""COMPUTED_VALUE""")," ")</f>
        <v> </v>
      </c>
      <c r="M137" s="65"/>
      <c r="N137" s="65"/>
    </row>
    <row r="138">
      <c r="A138" s="99" t="str">
        <f>IFERROR(__xludf.DUMMYFUNCTION("""COMPUTED_VALUE"""),"https://utrucking.com/admin/orders/6374307365052")</f>
        <v>https://utrucking.com/admin/orders/6374307365052</v>
      </c>
      <c r="B138" s="61" t="str">
        <f>IFERROR(__xludf.DUMMYFUNCTION("""COMPUTED_VALUE"""),"#17149")</f>
        <v>#17149</v>
      </c>
      <c r="C138" s="61" t="str">
        <f>IFERROR(__xludf.DUMMYFUNCTION("""COMPUTED_VALUE"""),"kkliu20060720@gmail.com")</f>
        <v>kkliu20060720@gmail.com</v>
      </c>
      <c r="D138" s="61">
        <f>IFERROR(__xludf.DUMMYFUNCTION("""COMPUTED_VALUE"""),7.812268576E9)</f>
        <v>7812268576</v>
      </c>
      <c r="E138" s="61" t="str">
        <f>IFERROR(__xludf.DUMMYFUNCTION("""COMPUTED_VALUE"""),"Crystal Liu")</f>
        <v>Crystal Liu</v>
      </c>
      <c r="F138" s="61" t="str">
        <f>IFERROR(__xludf.DUMMYFUNCTION("""COMPUTED_VALUE"""),"Crystal Liu")</f>
        <v>Crystal Liu</v>
      </c>
      <c r="G138" s="61" t="str">
        <f>IFERROR(__xludf.DUMMYFUNCTION("""COMPUTED_VALUE""")," 1 [Included with Registration] / Included Insurance   - ")</f>
        <v> 1 [Included with Registration] / Included Insurance   - </v>
      </c>
      <c r="H138" s="61" t="str">
        <f>IFERROR(__xludf.DUMMYFUNCTION("""COMPUTED_VALUE"""),"Lee  ")</f>
        <v>Lee  </v>
      </c>
      <c r="I138" s="61" t="str">
        <f>IFERROR(__xludf.DUMMYFUNCTION("""COMPUTED_VALUE"""),"Ground Floor 006")</f>
        <v>Ground Floor 006</v>
      </c>
      <c r="J138" s="107" t="str">
        <f>IFERROR(__xludf.DUMMYFUNCTION("""COMPUTED_VALUE"""),"09:00 AM to 11:00 AM  ")</f>
        <v>09:00 AM to 11:00 AM  </v>
      </c>
      <c r="K138" s="100">
        <f>IFERROR(__xludf.DUMMYFUNCTION("""COMPUTED_VALUE"""),46139.0)</f>
        <v>46139</v>
      </c>
      <c r="L138" s="61" t="str">
        <f>IFERROR(__xludf.DUMMYFUNCTION("""COMPUTED_VALUE""")," ")</f>
        <v> </v>
      </c>
      <c r="M138" s="61"/>
      <c r="N138" s="61"/>
    </row>
    <row r="139">
      <c r="A139" s="102" t="str">
        <f>IFERROR(__xludf.DUMMYFUNCTION("""COMPUTED_VALUE"""),"https://utrucking.com/admin/orders/6374331318460")</f>
        <v>https://utrucking.com/admin/orders/6374331318460</v>
      </c>
      <c r="B139" s="65" t="str">
        <f>IFERROR(__xludf.DUMMYFUNCTION("""COMPUTED_VALUE"""),"#17150")</f>
        <v>#17150</v>
      </c>
      <c r="C139" s="65" t="str">
        <f>IFERROR(__xludf.DUMMYFUNCTION("""COMPUTED_VALUE"""),"deladden@icloud.com")</f>
        <v>deladden@icloud.com</v>
      </c>
      <c r="D139" s="65">
        <f>IFERROR(__xludf.DUMMYFUNCTION("""COMPUTED_VALUE"""),9.172732413E9)</f>
        <v>9172732413</v>
      </c>
      <c r="E139" s="65" t="str">
        <f>IFERROR(__xludf.DUMMYFUNCTION("""COMPUTED_VALUE"""),"Dana Ladden")</f>
        <v>Dana Ladden</v>
      </c>
      <c r="F139" s="65" t="str">
        <f>IFERROR(__xludf.DUMMYFUNCTION("""COMPUTED_VALUE"""),"Matthew Ladden")</f>
        <v>Matthew Ladden</v>
      </c>
      <c r="G139" s="65" t="str">
        <f>IFERROR(__xludf.DUMMYFUNCTION("""COMPUTED_VALUE""")," 1 [Included with Registration] / $500 of Additional Coverage   - ")</f>
        <v> 1 [Included with Registration] / $500 of Additional Coverage   - </v>
      </c>
      <c r="H139" s="65" t="str">
        <f>IFERROR(__xludf.DUMMYFUNCTION("""COMPUTED_VALUE"""),"Eliot A (Thomas Eliot)")</f>
        <v>Eliot A (Thomas Eliot)</v>
      </c>
      <c r="I139" s="65" t="str">
        <f>IFERROR(__xludf.DUMMYFUNCTION("""COMPUTED_VALUE"""),"1033")</f>
        <v>1033</v>
      </c>
      <c r="J139" s="108" t="str">
        <f>IFERROR(__xludf.DUMMYFUNCTION("""COMPUTED_VALUE"""),"09:00 AM to 11:00 AM  ")</f>
        <v>09:00 AM to 11:00 AM  </v>
      </c>
      <c r="K139" s="103">
        <f>IFERROR(__xludf.DUMMYFUNCTION("""COMPUTED_VALUE"""),46150.0)</f>
        <v>46150</v>
      </c>
      <c r="L139" s="65" t="str">
        <f>IFERROR(__xludf.DUMMYFUNCTION("""COMPUTED_VALUE""")," ")</f>
        <v> </v>
      </c>
      <c r="M139" s="65"/>
      <c r="N139" s="65"/>
    </row>
    <row r="140">
      <c r="A140" s="99" t="str">
        <f>IFERROR(__xludf.DUMMYFUNCTION("""COMPUTED_VALUE"""),"https://utrucking.com/admin/orders/6374652641468")</f>
        <v>https://utrucking.com/admin/orders/6374652641468</v>
      </c>
      <c r="B140" s="61" t="str">
        <f>IFERROR(__xludf.DUMMYFUNCTION("""COMPUTED_VALUE"""),"#17152")</f>
        <v>#17152</v>
      </c>
      <c r="C140" s="61"/>
      <c r="D140" s="61">
        <f>IFERROR(__xludf.DUMMYFUNCTION("""COMPUTED_VALUE"""),5.308484692E9)</f>
        <v>5308484692</v>
      </c>
      <c r="E140" s="61" t="str">
        <f>IFERROR(__xludf.DUMMYFUNCTION("""COMPUTED_VALUE"""),"Lisa Moccio")</f>
        <v>Lisa Moccio</v>
      </c>
      <c r="F140" s="61" t="str">
        <f>IFERROR(__xludf.DUMMYFUNCTION("""COMPUTED_VALUE"""),"Mia Reisman ")</f>
        <v>Mia Reisman </v>
      </c>
      <c r="G140" s="61" t="str">
        <f>IFERROR(__xludf.DUMMYFUNCTION("""COMPUTED_VALUE""")," 1 [Included with Registration] / Included Insurance   - ")</f>
        <v> 1 [Included with Registration] / Included Insurance   - </v>
      </c>
      <c r="H140" s="61" t="str">
        <f>IFERROR(__xludf.DUMMYFUNCTION("""COMPUTED_VALUE"""),"Danforth  ")</f>
        <v>Danforth  </v>
      </c>
      <c r="I140" s="61" t="str">
        <f>IFERROR(__xludf.DUMMYFUNCTION("""COMPUTED_VALUE"""),"4422")</f>
        <v>4422</v>
      </c>
      <c r="J140" s="107" t="str">
        <f>IFERROR(__xludf.DUMMYFUNCTION("""COMPUTED_VALUE"""),"02:00 PM to 04:00 PM")</f>
        <v>02:00 PM to 04:00 PM</v>
      </c>
      <c r="K140" s="100">
        <f>IFERROR(__xludf.DUMMYFUNCTION("""COMPUTED_VALUE"""),46148.0)</f>
        <v>46148</v>
      </c>
      <c r="L140" s="61" t="str">
        <f>IFERROR(__xludf.DUMMYFUNCTION("""COMPUTED_VALUE""")," ")</f>
        <v> </v>
      </c>
      <c r="M140" s="61"/>
      <c r="N140" s="61"/>
    </row>
    <row r="141">
      <c r="A141" s="102" t="str">
        <f>IFERROR(__xludf.DUMMYFUNCTION("""COMPUTED_VALUE"""),"https://utrucking.com/admin/orders/6374760317116")</f>
        <v>https://utrucking.com/admin/orders/6374760317116</v>
      </c>
      <c r="B141" s="65" t="str">
        <f>IFERROR(__xludf.DUMMYFUNCTION("""COMPUTED_VALUE"""),"#17154")</f>
        <v>#17154</v>
      </c>
      <c r="C141" s="65" t="str">
        <f>IFERROR(__xludf.DUMMYFUNCTION("""COMPUTED_VALUE"""),"g.nomin@wustl.edu")</f>
        <v>g.nomin@wustl.edu</v>
      </c>
      <c r="D141" s="65">
        <f>IFERROR(__xludf.DUMMYFUNCTION("""COMPUTED_VALUE"""),3.149140704E9)</f>
        <v>3149140704</v>
      </c>
      <c r="E141" s="65" t="str">
        <f>IFERROR(__xludf.DUMMYFUNCTION("""COMPUTED_VALUE"""),"Nomin Ganbold")</f>
        <v>Nomin Ganbold</v>
      </c>
      <c r="F141" s="65" t="str">
        <f>IFERROR(__xludf.DUMMYFUNCTION("""COMPUTED_VALUE"""),"Nomin Ganbold")</f>
        <v>Nomin Ganbold</v>
      </c>
      <c r="G141" s="65" t="str">
        <f>IFERROR(__xludf.DUMMYFUNCTION("""COMPUTED_VALUE""")," 1 [Included with Registration] / Included Insurance   - ")</f>
        <v> 1 [Included with Registration] / Included Insurance   - </v>
      </c>
      <c r="H141" s="65" t="str">
        <f>IFERROR(__xludf.DUMMYFUNCTION("""COMPUTED_VALUE"""),"Village House  ")</f>
        <v>Village House  </v>
      </c>
      <c r="I141" s="65" t="str">
        <f>IFERROR(__xludf.DUMMYFUNCTION("""COMPUTED_VALUE"""),"3061")</f>
        <v>3061</v>
      </c>
      <c r="J141" s="108" t="str">
        <f>IFERROR(__xludf.DUMMYFUNCTION("""COMPUTED_VALUE"""),"09:00 AM to 11:00 AM  ")</f>
        <v>09:00 AM to 11:00 AM  </v>
      </c>
      <c r="K141" s="103">
        <f>IFERROR(__xludf.DUMMYFUNCTION("""COMPUTED_VALUE"""),46149.0)</f>
        <v>46149</v>
      </c>
      <c r="L141" s="65" t="str">
        <f>IFERROR(__xludf.DUMMYFUNCTION("""COMPUTED_VALUE""")," ")</f>
        <v> </v>
      </c>
      <c r="M141" s="65"/>
      <c r="N141" s="65"/>
    </row>
    <row r="142">
      <c r="A142" s="99" t="str">
        <f>IFERROR(__xludf.DUMMYFUNCTION("""COMPUTED_VALUE"""),"https://utrucking.com/admin/orders/6374889095356")</f>
        <v>https://utrucking.com/admin/orders/6374889095356</v>
      </c>
      <c r="B142" s="61" t="str">
        <f>IFERROR(__xludf.DUMMYFUNCTION("""COMPUTED_VALUE"""),"#17155")</f>
        <v>#17155</v>
      </c>
      <c r="C142" s="61" t="str">
        <f>IFERROR(__xludf.DUMMYFUNCTION("""COMPUTED_VALUE"""),"robin.hong3811@gmail.com")</f>
        <v>robin.hong3811@gmail.com</v>
      </c>
      <c r="D142" s="61">
        <f>IFERROR(__xludf.DUMMYFUNCTION("""COMPUTED_VALUE"""),6.787799677E9)</f>
        <v>6787799677</v>
      </c>
      <c r="E142" s="61" t="str">
        <f>IFERROR(__xludf.DUMMYFUNCTION("""COMPUTED_VALUE"""),"Pureum Kim")</f>
        <v>Pureum Kim</v>
      </c>
      <c r="F142" s="61" t="str">
        <f>IFERROR(__xludf.DUMMYFUNCTION("""COMPUTED_VALUE"""),"Robin Hong")</f>
        <v>Robin Hong</v>
      </c>
      <c r="G142" s="61" t="str">
        <f>IFERROR(__xludf.DUMMYFUNCTION("""COMPUTED_VALUE""")," 1 [Included with Registration] / Included Insurance   - ")</f>
        <v> 1 [Included with Registration] / Included Insurance   - </v>
      </c>
      <c r="H142" s="61" t="str">
        <f>IFERROR(__xludf.DUMMYFUNCTION("""COMPUTED_VALUE"""),"Dardick  ")</f>
        <v>Dardick  </v>
      </c>
      <c r="I142" s="61" t="str">
        <f>IFERROR(__xludf.DUMMYFUNCTION("""COMPUTED_VALUE"""),"4404")</f>
        <v>4404</v>
      </c>
      <c r="J142" s="107" t="str">
        <f>IFERROR(__xludf.DUMMYFUNCTION("""COMPUTED_VALUE"""),"01:00 PM to 03:00 PM  ")</f>
        <v>01:00 PM to 03:00 PM  </v>
      </c>
      <c r="K142" s="100">
        <f>IFERROR(__xludf.DUMMYFUNCTION("""COMPUTED_VALUE"""),46142.0)</f>
        <v>46142</v>
      </c>
      <c r="L142" s="61" t="str">
        <f>IFERROR(__xludf.DUMMYFUNCTION("""COMPUTED_VALUE""")," ")</f>
        <v> </v>
      </c>
      <c r="M142" s="61"/>
      <c r="N142" s="61"/>
    </row>
    <row r="143">
      <c r="A143" s="102" t="str">
        <f>IFERROR(__xludf.DUMMYFUNCTION("""COMPUTED_VALUE"""),"https://utrucking.com/admin/orders/6374962593980")</f>
        <v>https://utrucking.com/admin/orders/6374962593980</v>
      </c>
      <c r="B143" s="65" t="str">
        <f>IFERROR(__xludf.DUMMYFUNCTION("""COMPUTED_VALUE"""),"#17156")</f>
        <v>#17156</v>
      </c>
      <c r="C143" s="65" t="str">
        <f>IFERROR(__xludf.DUMMYFUNCTION("""COMPUTED_VALUE"""),"jacktajkef@outlook.com")</f>
        <v>jacktajkef@outlook.com</v>
      </c>
      <c r="D143" s="65">
        <f>IFERROR(__xludf.DUMMYFUNCTION("""COMPUTED_VALUE"""),1.8183140867E10)</f>
        <v>18183140867</v>
      </c>
      <c r="E143" s="65" t="str">
        <f>IFERROR(__xludf.DUMMYFUNCTION("""COMPUTED_VALUE"""),"Jack Tajkef")</f>
        <v>Jack Tajkef</v>
      </c>
      <c r="F143" s="65" t="str">
        <f>IFERROR(__xludf.DUMMYFUNCTION("""COMPUTED_VALUE"""),"Jack Tajkef")</f>
        <v>Jack Tajkef</v>
      </c>
      <c r="G143" s="65" t="str">
        <f>IFERROR(__xludf.DUMMYFUNCTION("""COMPUTED_VALUE""")," 1 [Included with Registration] / Included Insurance   - ")</f>
        <v> 1 [Included with Registration] / Included Insurance   - </v>
      </c>
      <c r="H143" s="65" t="str">
        <f>IFERROR(__xludf.DUMMYFUNCTION("""COMPUTED_VALUE"""),"Dardick  ")</f>
        <v>Dardick  </v>
      </c>
      <c r="I143" s="65" t="str">
        <f>IFERROR(__xludf.DUMMYFUNCTION("""COMPUTED_VALUE"""),"2222")</f>
        <v>2222</v>
      </c>
      <c r="J143" s="108" t="str">
        <f>IFERROR(__xludf.DUMMYFUNCTION("""COMPUTED_VALUE"""),"02:00 PM to 04:00 PM")</f>
        <v>02:00 PM to 04:00 PM</v>
      </c>
      <c r="K143" s="103">
        <f>IFERROR(__xludf.DUMMYFUNCTION("""COMPUTED_VALUE"""),46143.0)</f>
        <v>46143</v>
      </c>
      <c r="L143" s="65" t="str">
        <f>IFERROR(__xludf.DUMMYFUNCTION("""COMPUTED_VALUE""")," ")</f>
        <v> </v>
      </c>
      <c r="M143" s="65"/>
      <c r="N143" s="65"/>
    </row>
    <row r="144">
      <c r="A144" s="99" t="str">
        <f>IFERROR(__xludf.DUMMYFUNCTION("""COMPUTED_VALUE"""),"https://utrucking.com/admin/orders/6374971965628")</f>
        <v>https://utrucking.com/admin/orders/6374971965628</v>
      </c>
      <c r="B144" s="61" t="str">
        <f>IFERROR(__xludf.DUMMYFUNCTION("""COMPUTED_VALUE"""),"#17158")</f>
        <v>#17158</v>
      </c>
      <c r="C144" s="61" t="str">
        <f>IFERROR(__xludf.DUMMYFUNCTION("""COMPUTED_VALUE"""),"uslan@wustl.edu")</f>
        <v>uslan@wustl.edu</v>
      </c>
      <c r="D144" s="61">
        <f>IFERROR(__xludf.DUMMYFUNCTION("""COMPUTED_VALUE"""),3.109623501E9)</f>
        <v>3109623501</v>
      </c>
      <c r="E144" s="61" t="str">
        <f>IFERROR(__xludf.DUMMYFUNCTION("""COMPUTED_VALUE"""),"Jessica Uslan")</f>
        <v>Jessica Uslan</v>
      </c>
      <c r="F144" s="61" t="str">
        <f>IFERROR(__xludf.DUMMYFUNCTION("""COMPUTED_VALUE"""),"Jessica Uslan")</f>
        <v>Jessica Uslan</v>
      </c>
      <c r="G144" s="61" t="str">
        <f>IFERROR(__xludf.DUMMYFUNCTION("""COMPUTED_VALUE""")," 3 / Included Insurance   - ")</f>
        <v> 3 / Included Insurance   - </v>
      </c>
      <c r="H144" s="61" t="str">
        <f>IFERROR(__xludf.DUMMYFUNCTION("""COMPUTED_VALUE"""),"Dardick  ")</f>
        <v>Dardick  </v>
      </c>
      <c r="I144" s="61" t="str">
        <f>IFERROR(__xludf.DUMMYFUNCTION("""COMPUTED_VALUE"""),"2211")</f>
        <v>2211</v>
      </c>
      <c r="J144" s="107" t="str">
        <f>IFERROR(__xludf.DUMMYFUNCTION("""COMPUTED_VALUE"""),"12:00 PM to 02:00 PM  ")</f>
        <v>12:00 PM to 02:00 PM  </v>
      </c>
      <c r="K144" s="100">
        <f>IFERROR(__xludf.DUMMYFUNCTION("""COMPUTED_VALUE"""),46147.0)</f>
        <v>46147</v>
      </c>
      <c r="L144" s="61" t="str">
        <f>IFERROR(__xludf.DUMMYFUNCTION("""COMPUTED_VALUE""")," ")</f>
        <v> </v>
      </c>
      <c r="M144" s="61"/>
      <c r="N144" s="61"/>
    </row>
    <row r="145">
      <c r="A145" s="102" t="str">
        <f>IFERROR(__xludf.DUMMYFUNCTION("""COMPUTED_VALUE"""),"https://utrucking.com/admin/orders/6375066763452")</f>
        <v>https://utrucking.com/admin/orders/6375066763452</v>
      </c>
      <c r="B145" s="65" t="str">
        <f>IFERROR(__xludf.DUMMYFUNCTION("""COMPUTED_VALUE"""),"#17159")</f>
        <v>#17159</v>
      </c>
      <c r="C145" s="65" t="str">
        <f>IFERROR(__xludf.DUMMYFUNCTION("""COMPUTED_VALUE"""),"anniehlavka@gmail.com")</f>
        <v>anniehlavka@gmail.com</v>
      </c>
      <c r="D145" s="65">
        <f>IFERROR(__xludf.DUMMYFUNCTION("""COMPUTED_VALUE"""),6.504228482E9)</f>
        <v>6504228482</v>
      </c>
      <c r="E145" s="65" t="str">
        <f>IFERROR(__xludf.DUMMYFUNCTION("""COMPUTED_VALUE"""),"Annie Hlavka")</f>
        <v>Annie Hlavka</v>
      </c>
      <c r="F145" s="65" t="str">
        <f>IFERROR(__xludf.DUMMYFUNCTION("""COMPUTED_VALUE"""),"Annie Hlavka")</f>
        <v>Annie Hlavka</v>
      </c>
      <c r="G145" s="65" t="str">
        <f>IFERROR(__xludf.DUMMYFUNCTION("""COMPUTED_VALUE""")," 1 [Included with Registration] / Included Insurance   - ")</f>
        <v> 1 [Included with Registration] / Included Insurance   - </v>
      </c>
      <c r="H145" s="65" t="str">
        <f>IFERROR(__xludf.DUMMYFUNCTION("""COMPUTED_VALUE"""),"Millbrook Bldg. 3  ")</f>
        <v>Millbrook Bldg. 3  </v>
      </c>
      <c r="I145" s="65" t="str">
        <f>IFERROR(__xludf.DUMMYFUNCTION("""COMPUTED_VALUE"""),"101A")</f>
        <v>101A</v>
      </c>
      <c r="J145" s="108" t="str">
        <f>IFERROR(__xludf.DUMMYFUNCTION("""COMPUTED_VALUE"""),"02:00 PM to 04:00 PM")</f>
        <v>02:00 PM to 04:00 PM</v>
      </c>
      <c r="K145" s="103">
        <f>IFERROR(__xludf.DUMMYFUNCTION("""COMPUTED_VALUE"""),46150.0)</f>
        <v>46150</v>
      </c>
      <c r="L145" s="65" t="str">
        <f>IFERROR(__xludf.DUMMYFUNCTION("""COMPUTED_VALUE""")," ")</f>
        <v> </v>
      </c>
      <c r="M145" s="65"/>
      <c r="N145" s="65"/>
    </row>
    <row r="146">
      <c r="A146" s="99" t="str">
        <f>IFERROR(__xludf.DUMMYFUNCTION("""COMPUTED_VALUE"""),"https://utrucking.com/admin/orders/6375079116988")</f>
        <v>https://utrucking.com/admin/orders/6375079116988</v>
      </c>
      <c r="B146" s="61" t="str">
        <f>IFERROR(__xludf.DUMMYFUNCTION("""COMPUTED_VALUE"""),"#17160")</f>
        <v>#17160</v>
      </c>
      <c r="C146" s="61" t="str">
        <f>IFERROR(__xludf.DUMMYFUNCTION("""COMPUTED_VALUE"""),"rgoldberg576@gmail.com")</f>
        <v>rgoldberg576@gmail.com</v>
      </c>
      <c r="D146" s="61">
        <f>IFERROR(__xludf.DUMMYFUNCTION("""COMPUTED_VALUE"""),4.848322036E9)</f>
        <v>4848322036</v>
      </c>
      <c r="E146" s="61" t="str">
        <f>IFERROR(__xludf.DUMMYFUNCTION("""COMPUTED_VALUE"""),"Rachel Golderg")</f>
        <v>Rachel Golderg</v>
      </c>
      <c r="F146" s="61" t="str">
        <f>IFERROR(__xludf.DUMMYFUNCTION("""COMPUTED_VALUE"""),"Rebecca Goldberg")</f>
        <v>Rebecca Goldberg</v>
      </c>
      <c r="G146" s="61" t="str">
        <f>IFERROR(__xludf.DUMMYFUNCTION("""COMPUTED_VALUE""")," 1 [Included with Registration] / Included Insurance   - ")</f>
        <v> 1 [Included with Registration] / Included Insurance   - </v>
      </c>
      <c r="H146" s="61" t="str">
        <f>IFERROR(__xludf.DUMMYFUNCTION("""COMPUTED_VALUE"""),"Danforth  ")</f>
        <v>Danforth  </v>
      </c>
      <c r="I146" s="61" t="str">
        <f>IFERROR(__xludf.DUMMYFUNCTION("""COMPUTED_VALUE"""),"4425")</f>
        <v>4425</v>
      </c>
      <c r="J146" s="107" t="str">
        <f>IFERROR(__xludf.DUMMYFUNCTION("""COMPUTED_VALUE"""),"09:00 AM to 11:00 AM  ")</f>
        <v>09:00 AM to 11:00 AM  </v>
      </c>
      <c r="K146" s="100">
        <f>IFERROR(__xludf.DUMMYFUNCTION("""COMPUTED_VALUE"""),46148.0)</f>
        <v>46148</v>
      </c>
      <c r="L146" s="61" t="str">
        <f>IFERROR(__xludf.DUMMYFUNCTION("""COMPUTED_VALUE""")," ")</f>
        <v> </v>
      </c>
      <c r="M146" s="61"/>
      <c r="N146" s="61"/>
    </row>
    <row r="147">
      <c r="A147" s="102" t="str">
        <f>IFERROR(__xludf.DUMMYFUNCTION("""COMPUTED_VALUE"""),"https://utrucking.com/admin/orders/6376567898300")</f>
        <v>https://utrucking.com/admin/orders/6376567898300</v>
      </c>
      <c r="B147" s="65" t="str">
        <f>IFERROR(__xludf.DUMMYFUNCTION("""COMPUTED_VALUE"""),"#17162")</f>
        <v>#17162</v>
      </c>
      <c r="C147" s="65" t="str">
        <f>IFERROR(__xludf.DUMMYFUNCTION("""COMPUTED_VALUE"""),"f.sylvia@wustl.edu")</f>
        <v>f.sylvia@wustl.edu</v>
      </c>
      <c r="D147" s="65">
        <f>IFERROR(__xludf.DUMMYFUNCTION("""COMPUTED_VALUE"""),3.128341503E9)</f>
        <v>3128341503</v>
      </c>
      <c r="E147" s="65" t="str">
        <f>IFERROR(__xludf.DUMMYFUNCTION("""COMPUTED_VALUE"""),"Sylvia Foster-Rice")</f>
        <v>Sylvia Foster-Rice</v>
      </c>
      <c r="F147" s="65" t="str">
        <f>IFERROR(__xludf.DUMMYFUNCTION("""COMPUTED_VALUE"""),"Sylvia Foster-Rice")</f>
        <v>Sylvia Foster-Rice</v>
      </c>
      <c r="G147" s="65" t="str">
        <f>IFERROR(__xludf.DUMMYFUNCTION("""COMPUTED_VALUE""")," 1 [Included with Registration] / Included Insurance   - ")</f>
        <v> 1 [Included with Registration] / Included Insurance   - </v>
      </c>
      <c r="H147" s="65" t="str">
        <f>IFERROR(__xludf.DUMMYFUNCTION("""COMPUTED_VALUE"""),"Mudd  ")</f>
        <v>Mudd  </v>
      </c>
      <c r="I147" s="65" t="str">
        <f>IFERROR(__xludf.DUMMYFUNCTION("""COMPUTED_VALUE"""),"Suite 220, Room 223")</f>
        <v>Suite 220, Room 223</v>
      </c>
      <c r="J147" s="108" t="str">
        <f>IFERROR(__xludf.DUMMYFUNCTION("""COMPUTED_VALUE"""),"09:00 AM to 11:00 AM  ")</f>
        <v>09:00 AM to 11:00 AM  </v>
      </c>
      <c r="K147" s="103">
        <f>IFERROR(__xludf.DUMMYFUNCTION("""COMPUTED_VALUE"""),46150.0)</f>
        <v>46150</v>
      </c>
      <c r="L147" s="65" t="str">
        <f>IFERROR(__xludf.DUMMYFUNCTION("""COMPUTED_VALUE""")," ")</f>
        <v> </v>
      </c>
      <c r="M147" s="65"/>
      <c r="N147" s="65"/>
    </row>
    <row r="148">
      <c r="A148" s="99" t="str">
        <f>IFERROR(__xludf.DUMMYFUNCTION("""COMPUTED_VALUE"""),"https://utrucking.com/admin/orders/6376608891068")</f>
        <v>https://utrucking.com/admin/orders/6376608891068</v>
      </c>
      <c r="B148" s="61" t="str">
        <f>IFERROR(__xludf.DUMMYFUNCTION("""COMPUTED_VALUE"""),"#17163")</f>
        <v>#17163</v>
      </c>
      <c r="C148" s="61" t="str">
        <f>IFERROR(__xludf.DUMMYFUNCTION("""COMPUTED_VALUE"""),"aburnsworth@sbcglobal.net")</f>
        <v>aburnsworth@sbcglobal.net</v>
      </c>
      <c r="D148" s="61">
        <f>IFERROR(__xludf.DUMMYFUNCTION("""COMPUTED_VALUE"""),2.039123958E9)</f>
        <v>2039123958</v>
      </c>
      <c r="E148" s="61" t="str">
        <f>IFERROR(__xludf.DUMMYFUNCTION("""COMPUTED_VALUE"""),"Anastasia Kowal")</f>
        <v>Anastasia Kowal</v>
      </c>
      <c r="F148" s="61" t="str">
        <f>IFERROR(__xludf.DUMMYFUNCTION("""COMPUTED_VALUE"""),"Laura Kowal")</f>
        <v>Laura Kowal</v>
      </c>
      <c r="G148" s="61" t="str">
        <f>IFERROR(__xludf.DUMMYFUNCTION("""COMPUTED_VALUE""")," 1 [Included with Registration] / Included Insurance   - ")</f>
        <v> 1 [Included with Registration] / Included Insurance   - </v>
      </c>
      <c r="H148" s="61" t="str">
        <f>IFERROR(__xludf.DUMMYFUNCTION("""COMPUTED_VALUE"""),"Hitzeman  ")</f>
        <v>Hitzeman  </v>
      </c>
      <c r="I148" s="61" t="str">
        <f>IFERROR(__xludf.DUMMYFUNCTION("""COMPUTED_VALUE"""),"314")</f>
        <v>314</v>
      </c>
      <c r="J148" s="107" t="str">
        <f>IFERROR(__xludf.DUMMYFUNCTION("""COMPUTED_VALUE"""),"03:00 PM to 05:00 PM")</f>
        <v>03:00 PM to 05:00 PM</v>
      </c>
      <c r="K148" s="100">
        <f>IFERROR(__xludf.DUMMYFUNCTION("""COMPUTED_VALUE"""),46143.0)</f>
        <v>46143</v>
      </c>
      <c r="L148" s="61" t="str">
        <f>IFERROR(__xludf.DUMMYFUNCTION("""COMPUTED_VALUE""")," ")</f>
        <v> </v>
      </c>
      <c r="M148" s="61"/>
      <c r="N148" s="61"/>
    </row>
    <row r="149">
      <c r="A149" s="102" t="str">
        <f>IFERROR(__xludf.DUMMYFUNCTION("""COMPUTED_VALUE"""),"https://utrucking.com/admin/orders/6376629731516")</f>
        <v>https://utrucking.com/admin/orders/6376629731516</v>
      </c>
      <c r="B149" s="65" t="str">
        <f>IFERROR(__xludf.DUMMYFUNCTION("""COMPUTED_VALUE"""),"#17164")</f>
        <v>#17164</v>
      </c>
      <c r="C149" s="65"/>
      <c r="D149" s="65">
        <f>IFERROR(__xludf.DUMMYFUNCTION("""COMPUTED_VALUE"""),3.104182714E9)</f>
        <v>3104182714</v>
      </c>
      <c r="E149" s="65" t="str">
        <f>IFERROR(__xludf.DUMMYFUNCTION("""COMPUTED_VALUE"""),"Stacey Levy")</f>
        <v>Stacey Levy</v>
      </c>
      <c r="F149" s="65" t="str">
        <f>IFERROR(__xludf.DUMMYFUNCTION("""COMPUTED_VALUE"""),"Noa Levy")</f>
        <v>Noa Levy</v>
      </c>
      <c r="G149" s="65" t="str">
        <f>IFERROR(__xludf.DUMMYFUNCTION("""COMPUTED_VALUE""")," 1 [Included with Registration] / Included Insurance   - ")</f>
        <v> 1 [Included with Registration] / Included Insurance   - </v>
      </c>
      <c r="H149" s="65" t="str">
        <f>IFERROR(__xludf.DUMMYFUNCTION("""COMPUTED_VALUE"""),"Dardick  ")</f>
        <v>Dardick  </v>
      </c>
      <c r="I149" s="65" t="str">
        <f>IFERROR(__xludf.DUMMYFUNCTION("""COMPUTED_VALUE"""),"4421")</f>
        <v>4421</v>
      </c>
      <c r="J149" s="108" t="str">
        <f>IFERROR(__xludf.DUMMYFUNCTION("""COMPUTED_VALUE"""),"09:00 AM to 11:00 AM  ")</f>
        <v>09:00 AM to 11:00 AM  </v>
      </c>
      <c r="K149" s="103">
        <f>IFERROR(__xludf.DUMMYFUNCTION("""COMPUTED_VALUE"""),46149.0)</f>
        <v>46149</v>
      </c>
      <c r="L149" s="65" t="str">
        <f>IFERROR(__xludf.DUMMYFUNCTION("""COMPUTED_VALUE""")," ")</f>
        <v> </v>
      </c>
      <c r="M149" s="65"/>
      <c r="N149" s="65"/>
    </row>
    <row r="150">
      <c r="A150" s="99" t="str">
        <f>IFERROR(__xludf.DUMMYFUNCTION("""COMPUTED_VALUE"""),"https://utrucking.com/admin/orders/6376742715580")</f>
        <v>https://utrucking.com/admin/orders/6376742715580</v>
      </c>
      <c r="B150" s="61" t="str">
        <f>IFERROR(__xludf.DUMMYFUNCTION("""COMPUTED_VALUE"""),"#17165")</f>
        <v>#17165</v>
      </c>
      <c r="C150" s="61" t="str">
        <f>IFERROR(__xludf.DUMMYFUNCTION("""COMPUTED_VALUE"""),"carolinesnell13@icloud.com")</f>
        <v>carolinesnell13@icloud.com</v>
      </c>
      <c r="D150" s="61">
        <f>IFERROR(__xludf.DUMMYFUNCTION("""COMPUTED_VALUE"""),9.142630578E9)</f>
        <v>9142630578</v>
      </c>
      <c r="E150" s="61" t="str">
        <f>IFERROR(__xludf.DUMMYFUNCTION("""COMPUTED_VALUE"""),"Caroline Snell")</f>
        <v>Caroline Snell</v>
      </c>
      <c r="F150" s="61" t="str">
        <f>IFERROR(__xludf.DUMMYFUNCTION("""COMPUTED_VALUE"""),"Caroline Snell")</f>
        <v>Caroline Snell</v>
      </c>
      <c r="G150" s="61" t="str">
        <f>IFERROR(__xludf.DUMMYFUNCTION("""COMPUTED_VALUE""")," 1 [Included with Registration] / Included Insurance   - ")</f>
        <v> 1 [Included with Registration] / Included Insurance   - </v>
      </c>
      <c r="H150" s="61" t="str">
        <f>IFERROR(__xludf.DUMMYFUNCTION("""COMPUTED_VALUE"""),"Zetcher  ")</f>
        <v>Zetcher  </v>
      </c>
      <c r="I150" s="61" t="str">
        <f>IFERROR(__xludf.DUMMYFUNCTION("""COMPUTED_VALUE"""),"4212")</f>
        <v>4212</v>
      </c>
      <c r="J150" s="107" t="str">
        <f>IFERROR(__xludf.DUMMYFUNCTION("""COMPUTED_VALUE"""),"12:00 PM to 02:00 PM  ")</f>
        <v>12:00 PM to 02:00 PM  </v>
      </c>
      <c r="K150" s="100">
        <f>IFERROR(__xludf.DUMMYFUNCTION("""COMPUTED_VALUE"""),46149.0)</f>
        <v>46149</v>
      </c>
      <c r="L150" s="61" t="str">
        <f>IFERROR(__xludf.DUMMYFUNCTION("""COMPUTED_VALUE""")," ")</f>
        <v> </v>
      </c>
      <c r="M150" s="61"/>
      <c r="N150" s="61"/>
    </row>
    <row r="151">
      <c r="A151" s="102" t="str">
        <f>IFERROR(__xludf.DUMMYFUNCTION("""COMPUTED_VALUE"""),"https://utrucking.com/admin/orders/6376849309884")</f>
        <v>https://utrucking.com/admin/orders/6376849309884</v>
      </c>
      <c r="B151" s="65" t="str">
        <f>IFERROR(__xludf.DUMMYFUNCTION("""COMPUTED_VALUE"""),"#17166")</f>
        <v>#17166</v>
      </c>
      <c r="C151" s="65" t="str">
        <f>IFERROR(__xludf.DUMMYFUNCTION("""COMPUTED_VALUE"""),"sguthrie211@gmail.com")</f>
        <v>sguthrie211@gmail.com</v>
      </c>
      <c r="D151" s="65">
        <f>IFERROR(__xludf.DUMMYFUNCTION("""COMPUTED_VALUE"""),5.613130033E9)</f>
        <v>5613130033</v>
      </c>
      <c r="E151" s="65" t="str">
        <f>IFERROR(__xludf.DUMMYFUNCTION("""COMPUTED_VALUE"""),"Keira Guthrie")</f>
        <v>Keira Guthrie</v>
      </c>
      <c r="F151" s="65" t="str">
        <f>IFERROR(__xludf.DUMMYFUNCTION("""COMPUTED_VALUE"""),"Sydney Guthrie")</f>
        <v>Sydney Guthrie</v>
      </c>
      <c r="G151" s="65" t="str">
        <f>IFERROR(__xludf.DUMMYFUNCTION("""COMPUTED_VALUE""")," 1 [Included with Registration] / Included Insurance   - ")</f>
        <v> 1 [Included with Registration] / Included Insurance   - </v>
      </c>
      <c r="H151" s="65" t="str">
        <f>IFERROR(__xludf.DUMMYFUNCTION("""COMPUTED_VALUE"""),"Nemerov  ")</f>
        <v>Nemerov  </v>
      </c>
      <c r="I151" s="65" t="str">
        <f>IFERROR(__xludf.DUMMYFUNCTION("""COMPUTED_VALUE"""),"3021")</f>
        <v>3021</v>
      </c>
      <c r="J151" s="108" t="str">
        <f>IFERROR(__xludf.DUMMYFUNCTION("""COMPUTED_VALUE"""),"09:00 AM to 11:00 AM  ")</f>
        <v>09:00 AM to 11:00 AM  </v>
      </c>
      <c r="K151" s="103">
        <f>IFERROR(__xludf.DUMMYFUNCTION("""COMPUTED_VALUE"""),46148.0)</f>
        <v>46148</v>
      </c>
      <c r="L151" s="65" t="str">
        <f>IFERROR(__xludf.DUMMYFUNCTION("""COMPUTED_VALUE""")," ")</f>
        <v> </v>
      </c>
      <c r="M151" s="65"/>
      <c r="N151" s="65"/>
    </row>
    <row r="152">
      <c r="A152" s="99" t="str">
        <f>IFERROR(__xludf.DUMMYFUNCTION("""COMPUTED_VALUE"""),"https://utrucking.com/admin/orders/6376915534012")</f>
        <v>https://utrucking.com/admin/orders/6376915534012</v>
      </c>
      <c r="B152" s="61" t="str">
        <f>IFERROR(__xludf.DUMMYFUNCTION("""COMPUTED_VALUE"""),"#17168")</f>
        <v>#17168</v>
      </c>
      <c r="C152" s="61" t="str">
        <f>IFERROR(__xludf.DUMMYFUNCTION("""COMPUTED_VALUE"""),"pangolin4264@icloud.com")</f>
        <v>pangolin4264@icloud.com</v>
      </c>
      <c r="D152" s="61">
        <f>IFERROR(__xludf.DUMMYFUNCTION("""COMPUTED_VALUE"""),9.142919464E9)</f>
        <v>9142919464</v>
      </c>
      <c r="E152" s="61" t="str">
        <f>IFERROR(__xludf.DUMMYFUNCTION("""COMPUTED_VALUE"""),"Josephine Bruno")</f>
        <v>Josephine Bruno</v>
      </c>
      <c r="F152" s="61" t="str">
        <f>IFERROR(__xludf.DUMMYFUNCTION("""COMPUTED_VALUE"""),"Josephine Bruno")</f>
        <v>Josephine Bruno</v>
      </c>
      <c r="G152" s="61" t="str">
        <f>IFERROR(__xludf.DUMMYFUNCTION("""COMPUTED_VALUE""")," 1 [Included with Registration] / Included Insurance   - ")</f>
        <v> 1 [Included with Registration] / Included Insurance   - </v>
      </c>
      <c r="H152" s="61" t="str">
        <f>IFERROR(__xludf.DUMMYFUNCTION("""COMPUTED_VALUE"""),"Danforth  ")</f>
        <v>Danforth  </v>
      </c>
      <c r="I152" s="61" t="str">
        <f>IFERROR(__xludf.DUMMYFUNCTION("""COMPUTED_VALUE"""),"2231")</f>
        <v>2231</v>
      </c>
      <c r="J152" s="107" t="str">
        <f>IFERROR(__xludf.DUMMYFUNCTION("""COMPUTED_VALUE"""),"10:00 AM to 12:00 PM  ")</f>
        <v>10:00 AM to 12:00 PM  </v>
      </c>
      <c r="K152" s="100">
        <f>IFERROR(__xludf.DUMMYFUNCTION("""COMPUTED_VALUE"""),46149.0)</f>
        <v>46149</v>
      </c>
      <c r="L152" s="61" t="str">
        <f>IFERROR(__xludf.DUMMYFUNCTION("""COMPUTED_VALUE""")," ")</f>
        <v> </v>
      </c>
      <c r="M152" s="61"/>
      <c r="N152" s="61"/>
    </row>
    <row r="153">
      <c r="A153" s="102" t="str">
        <f>IFERROR(__xludf.DUMMYFUNCTION("""COMPUTED_VALUE"""),"https://utrucking.com/admin/orders/6377173909692")</f>
        <v>https://utrucking.com/admin/orders/6377173909692</v>
      </c>
      <c r="B153" s="65" t="str">
        <f>IFERROR(__xludf.DUMMYFUNCTION("""COMPUTED_VALUE"""),"#17169")</f>
        <v>#17169</v>
      </c>
      <c r="C153" s="65"/>
      <c r="D153" s="65">
        <f>IFERROR(__xludf.DUMMYFUNCTION("""COMPUTED_VALUE"""),2.014480298E9)</f>
        <v>2014480298</v>
      </c>
      <c r="E153" s="65" t="str">
        <f>IFERROR(__xludf.DUMMYFUNCTION("""COMPUTED_VALUE"""),"Andrew Park")</f>
        <v>Andrew Park</v>
      </c>
      <c r="F153" s="65" t="str">
        <f>IFERROR(__xludf.DUMMYFUNCTION("""COMPUTED_VALUE"""),"Andrew Park")</f>
        <v>Andrew Park</v>
      </c>
      <c r="G153" s="65" t="str">
        <f>IFERROR(__xludf.DUMMYFUNCTION("""COMPUTED_VALUE""")," 1 [Included with Registration] / Included Insurance   - ")</f>
        <v> 1 [Included with Registration] / Included Insurance   - </v>
      </c>
      <c r="H153" s="65" t="str">
        <f>IFERROR(__xludf.DUMMYFUNCTION("""COMPUTED_VALUE"""),"House 22  (Beta Theta Pi)")</f>
        <v>House 22  (Beta Theta Pi)</v>
      </c>
      <c r="I153" s="65" t="str">
        <f>IFERROR(__xludf.DUMMYFUNCTION("""COMPUTED_VALUE"""),"3002")</f>
        <v>3002</v>
      </c>
      <c r="J153" s="108" t="str">
        <f>IFERROR(__xludf.DUMMYFUNCTION("""COMPUTED_VALUE"""),"09:00 AM to 11:00 AM  ")</f>
        <v>09:00 AM to 11:00 AM  </v>
      </c>
      <c r="K153" s="103">
        <f>IFERROR(__xludf.DUMMYFUNCTION("""COMPUTED_VALUE"""),46150.0)</f>
        <v>46150</v>
      </c>
      <c r="L153" s="65" t="str">
        <f>IFERROR(__xludf.DUMMYFUNCTION("""COMPUTED_VALUE""")," ")</f>
        <v> </v>
      </c>
      <c r="M153" s="65"/>
      <c r="N153" s="65"/>
    </row>
    <row r="154">
      <c r="A154" s="99" t="str">
        <f>IFERROR(__xludf.DUMMYFUNCTION("""COMPUTED_VALUE"""),"https://utrucking.com/admin/orders/6377421897916")</f>
        <v>https://utrucking.com/admin/orders/6377421897916</v>
      </c>
      <c r="B154" s="61" t="str">
        <f>IFERROR(__xludf.DUMMYFUNCTION("""COMPUTED_VALUE"""),"#17170")</f>
        <v>#17170</v>
      </c>
      <c r="C154" s="61" t="str">
        <f>IFERROR(__xludf.DUMMYFUNCTION("""COMPUTED_VALUE"""),"zihandong2004@gmail.com")</f>
        <v>zihandong2004@gmail.com</v>
      </c>
      <c r="D154" s="61">
        <f>IFERROR(__xludf.DUMMYFUNCTION("""COMPUTED_VALUE"""),9.3844487E7)</f>
        <v>93844487</v>
      </c>
      <c r="E154" s="61" t="str">
        <f>IFERROR(__xludf.DUMMYFUNCTION("""COMPUTED_VALUE"""),"Zihan Dong")</f>
        <v>Zihan Dong</v>
      </c>
      <c r="F154" s="61" t="str">
        <f>IFERROR(__xludf.DUMMYFUNCTION("""COMPUTED_VALUE"""),"Zihan Dong")</f>
        <v>Zihan Dong</v>
      </c>
      <c r="G154" s="61" t="str">
        <f>IFERROR(__xludf.DUMMYFUNCTION("""COMPUTED_VALUE""")," 1 [Included with Registration] / Included Insurance   - ")</f>
        <v> 1 [Included with Registration] / Included Insurance   - </v>
      </c>
      <c r="H154" s="61" t="str">
        <f>IFERROR(__xludf.DUMMYFUNCTION("""COMPUTED_VALUE"""),"Danforth  ")</f>
        <v>Danforth  </v>
      </c>
      <c r="I154" s="61" t="str">
        <f>IFERROR(__xludf.DUMMYFUNCTION("""COMPUTED_VALUE"""),"2225")</f>
        <v>2225</v>
      </c>
      <c r="J154" s="107" t="str">
        <f>IFERROR(__xludf.DUMMYFUNCTION("""COMPUTED_VALUE"""),"09:00 AM to 11:00 AM  ")</f>
        <v>09:00 AM to 11:00 AM  </v>
      </c>
      <c r="K154" s="100">
        <f>IFERROR(__xludf.DUMMYFUNCTION("""COMPUTED_VALUE"""),46149.0)</f>
        <v>46149</v>
      </c>
      <c r="L154" s="61" t="str">
        <f>IFERROR(__xludf.DUMMYFUNCTION("""COMPUTED_VALUE""")," ")</f>
        <v> </v>
      </c>
      <c r="M154" s="61"/>
      <c r="N154" s="61"/>
    </row>
    <row r="155">
      <c r="A155" s="102" t="str">
        <f>IFERROR(__xludf.DUMMYFUNCTION("""COMPUTED_VALUE"""),"https://utrucking.com/admin/orders/6377480782012")</f>
        <v>https://utrucking.com/admin/orders/6377480782012</v>
      </c>
      <c r="B155" s="65" t="str">
        <f>IFERROR(__xludf.DUMMYFUNCTION("""COMPUTED_VALUE"""),"#17171")</f>
        <v>#17171</v>
      </c>
      <c r="C155" s="65"/>
      <c r="D155" s="65">
        <f>IFERROR(__xludf.DUMMYFUNCTION("""COMPUTED_VALUE"""),9.01356683E9)</f>
        <v>9013566830</v>
      </c>
      <c r="E155" s="65" t="str">
        <f>IFERROR(__xludf.DUMMYFUNCTION("""COMPUTED_VALUE"""),"Eleanor Hsueh")</f>
        <v>Eleanor Hsueh</v>
      </c>
      <c r="F155" s="65" t="str">
        <f>IFERROR(__xludf.DUMMYFUNCTION("""COMPUTED_VALUE"""),"Eleanor Hsueh")</f>
        <v>Eleanor Hsueh</v>
      </c>
      <c r="G155" s="65" t="str">
        <f>IFERROR(__xludf.DUMMYFUNCTION("""COMPUTED_VALUE""")," 1 [Included with Registration] / Included Insurance   - ")</f>
        <v> 1 [Included with Registration] / Included Insurance   - </v>
      </c>
      <c r="H155" s="65" t="str">
        <f>IFERROR(__xludf.DUMMYFUNCTION("""COMPUTED_VALUE"""),"Mudd  ")</f>
        <v>Mudd  </v>
      </c>
      <c r="I155" s="65" t="str">
        <f>IFERROR(__xludf.DUMMYFUNCTION("""COMPUTED_VALUE"""),"431")</f>
        <v>431</v>
      </c>
      <c r="J155" s="108" t="str">
        <f>IFERROR(__xludf.DUMMYFUNCTION("""COMPUTED_VALUE"""),"09:00 AM to 11:00 AM  ")</f>
        <v>09:00 AM to 11:00 AM  </v>
      </c>
      <c r="K155" s="103">
        <f>IFERROR(__xludf.DUMMYFUNCTION("""COMPUTED_VALUE"""),46148.0)</f>
        <v>46148</v>
      </c>
      <c r="L155" s="65" t="str">
        <f>IFERROR(__xludf.DUMMYFUNCTION("""COMPUTED_VALUE""")," ")</f>
        <v> </v>
      </c>
      <c r="M155" s="65"/>
      <c r="N155" s="65"/>
    </row>
    <row r="156">
      <c r="A156" s="99" t="str">
        <f>IFERROR(__xludf.DUMMYFUNCTION("""COMPUTED_VALUE"""),"https://utrucking.com/admin/orders/6378451894460")</f>
        <v>https://utrucking.com/admin/orders/6378451894460</v>
      </c>
      <c r="B156" s="61" t="str">
        <f>IFERROR(__xludf.DUMMYFUNCTION("""COMPUTED_VALUE"""),"#17172")</f>
        <v>#17172</v>
      </c>
      <c r="C156" s="61" t="str">
        <f>IFERROR(__xludf.DUMMYFUNCTION("""COMPUTED_VALUE"""),"gze1024@gmail.com")</f>
        <v>gze1024@gmail.com</v>
      </c>
      <c r="D156" s="61">
        <f>IFERROR(__xludf.DUMMYFUNCTION("""COMPUTED_VALUE"""),3.143194069E9)</f>
        <v>3143194069</v>
      </c>
      <c r="E156" s="61" t="str">
        <f>IFERROR(__xludf.DUMMYFUNCTION("""COMPUTED_VALUE"""),"Zhuoer Gu")</f>
        <v>Zhuoer Gu</v>
      </c>
      <c r="F156" s="61" t="str">
        <f>IFERROR(__xludf.DUMMYFUNCTION("""COMPUTED_VALUE"""),"Zhuoer Gu")</f>
        <v>Zhuoer Gu</v>
      </c>
      <c r="G156" s="61" t="str">
        <f>IFERROR(__xludf.DUMMYFUNCTION("""COMPUTED_VALUE""")," 3 / Included Insurance   - ")</f>
        <v> 3 / Included Insurance   - </v>
      </c>
      <c r="H156" s="61" t="str">
        <f>IFERROR(__xludf.DUMMYFUNCTION("""COMPUTED_VALUE"""),"Umrath  ")</f>
        <v>Umrath  </v>
      </c>
      <c r="I156" s="61" t="str">
        <f>IFERROR(__xludf.DUMMYFUNCTION("""COMPUTED_VALUE"""),"3337")</f>
        <v>3337</v>
      </c>
      <c r="J156" s="107" t="str">
        <f>IFERROR(__xludf.DUMMYFUNCTION("""COMPUTED_VALUE"""),"03:00 PM to 05:00 PM")</f>
        <v>03:00 PM to 05:00 PM</v>
      </c>
      <c r="K156" s="100">
        <f>IFERROR(__xludf.DUMMYFUNCTION("""COMPUTED_VALUE"""),46144.0)</f>
        <v>46144</v>
      </c>
      <c r="L156" s="61" t="str">
        <f>IFERROR(__xludf.DUMMYFUNCTION("""COMPUTED_VALUE""")," ")</f>
        <v> </v>
      </c>
      <c r="M156" s="61"/>
      <c r="N156" s="61"/>
    </row>
    <row r="157">
      <c r="A157" s="102" t="str">
        <f>IFERROR(__xludf.DUMMYFUNCTION("""COMPUTED_VALUE"""),"https://utrucking.com/admin/orders/6378654499004")</f>
        <v>https://utrucking.com/admin/orders/6378654499004</v>
      </c>
      <c r="B157" s="65" t="str">
        <f>IFERROR(__xludf.DUMMYFUNCTION("""COMPUTED_VALUE"""),"#17173")</f>
        <v>#17173</v>
      </c>
      <c r="C157" s="65"/>
      <c r="D157" s="65">
        <f>IFERROR(__xludf.DUMMYFUNCTION("""COMPUTED_VALUE"""),8.474719752E9)</f>
        <v>8474719752</v>
      </c>
      <c r="E157" s="65" t="str">
        <f>IFERROR(__xludf.DUMMYFUNCTION("""COMPUTED_VALUE"""),"Mia Stonov")</f>
        <v>Mia Stonov</v>
      </c>
      <c r="F157" s="65" t="str">
        <f>IFERROR(__xludf.DUMMYFUNCTION("""COMPUTED_VALUE"""),"Mia Stonov")</f>
        <v>Mia Stonov</v>
      </c>
      <c r="G157" s="65" t="str">
        <f>IFERROR(__xludf.DUMMYFUNCTION("""COMPUTED_VALUE""")," 1 [Included with Registration] / Included Insurance   - ")</f>
        <v> 1 [Included with Registration] / Included Insurance   - </v>
      </c>
      <c r="H157" s="65" t="str">
        <f>IFERROR(__xludf.DUMMYFUNCTION("""COMPUTED_VALUE"""),"Nemerov  ")</f>
        <v>Nemerov  </v>
      </c>
      <c r="I157" s="65" t="str">
        <f>IFERROR(__xludf.DUMMYFUNCTION("""COMPUTED_VALUE"""),"3024")</f>
        <v>3024</v>
      </c>
      <c r="J157" s="108" t="str">
        <f>IFERROR(__xludf.DUMMYFUNCTION("""COMPUTED_VALUE"""),"09:00 AM to 11:00 AM  ")</f>
        <v>09:00 AM to 11:00 AM  </v>
      </c>
      <c r="K157" s="103">
        <f>IFERROR(__xludf.DUMMYFUNCTION("""COMPUTED_VALUE"""),46149.0)</f>
        <v>46149</v>
      </c>
      <c r="L157" s="65" t="str">
        <f>IFERROR(__xludf.DUMMYFUNCTION("""COMPUTED_VALUE""")," ")</f>
        <v> </v>
      </c>
      <c r="M157" s="65"/>
      <c r="N157" s="65"/>
    </row>
    <row r="158">
      <c r="A158" s="99" t="str">
        <f>IFERROR(__xludf.DUMMYFUNCTION("""COMPUTED_VALUE"""),"https://utrucking.com/admin/orders/6378758013116")</f>
        <v>https://utrucking.com/admin/orders/6378758013116</v>
      </c>
      <c r="B158" s="61" t="str">
        <f>IFERROR(__xludf.DUMMYFUNCTION("""COMPUTED_VALUE"""),"#17174")</f>
        <v>#17174</v>
      </c>
      <c r="C158" s="61"/>
      <c r="D158" s="61">
        <f>IFERROR(__xludf.DUMMYFUNCTION("""COMPUTED_VALUE"""),6.462718626E9)</f>
        <v>6462718626</v>
      </c>
      <c r="E158" s="61" t="str">
        <f>IFERROR(__xludf.DUMMYFUNCTION("""COMPUTED_VALUE"""),"Ellie Solomon")</f>
        <v>Ellie Solomon</v>
      </c>
      <c r="F158" s="61" t="str">
        <f>IFERROR(__xludf.DUMMYFUNCTION("""COMPUTED_VALUE"""),"Ellie Solomon")</f>
        <v>Ellie Solomon</v>
      </c>
      <c r="G158" s="61" t="str">
        <f>IFERROR(__xludf.DUMMYFUNCTION("""COMPUTED_VALUE""")," 1 [Included with Registration] / Included Insurance   - ")</f>
        <v> 1 [Included with Registration] / Included Insurance   - </v>
      </c>
      <c r="H158" s="61" t="str">
        <f>IFERROR(__xludf.DUMMYFUNCTION("""COMPUTED_VALUE"""),"Lien  ")</f>
        <v>Lien  </v>
      </c>
      <c r="I158" s="61" t="str">
        <f>IFERROR(__xludf.DUMMYFUNCTION("""COMPUTED_VALUE"""),"3329")</f>
        <v>3329</v>
      </c>
      <c r="J158" s="107" t="str">
        <f>IFERROR(__xludf.DUMMYFUNCTION("""COMPUTED_VALUE"""),"01:00 PM to 03:00 PM  ")</f>
        <v>01:00 PM to 03:00 PM  </v>
      </c>
      <c r="K158" s="100">
        <f>IFERROR(__xludf.DUMMYFUNCTION("""COMPUTED_VALUE"""),46147.0)</f>
        <v>46147</v>
      </c>
      <c r="L158" s="61" t="str">
        <f>IFERROR(__xludf.DUMMYFUNCTION("""COMPUTED_VALUE""")," ")</f>
        <v> </v>
      </c>
      <c r="M158" s="61"/>
      <c r="N158" s="61"/>
    </row>
    <row r="159">
      <c r="A159" s="102" t="str">
        <f>IFERROR(__xludf.DUMMYFUNCTION("""COMPUTED_VALUE"""),"https://utrucking.com/admin/orders/6380153635004")</f>
        <v>https://utrucking.com/admin/orders/6380153635004</v>
      </c>
      <c r="B159" s="65" t="str">
        <f>IFERROR(__xludf.DUMMYFUNCTION("""COMPUTED_VALUE"""),"#17175")</f>
        <v>#17175</v>
      </c>
      <c r="C159" s="65" t="str">
        <f>IFERROR(__xludf.DUMMYFUNCTION("""COMPUTED_VALUE"""),"ecarrott@hotmail.com")</f>
        <v>ecarrott@hotmail.com</v>
      </c>
      <c r="D159" s="65">
        <f>IFERROR(__xludf.DUMMYFUNCTION("""COMPUTED_VALUE"""),2.023022986E9)</f>
        <v>2023022986</v>
      </c>
      <c r="E159" s="65" t="str">
        <f>IFERROR(__xludf.DUMMYFUNCTION("""COMPUTED_VALUE"""),"Elizabeth Minnigh")</f>
        <v>Elizabeth Minnigh</v>
      </c>
      <c r="F159" s="65" t="str">
        <f>IFERROR(__xludf.DUMMYFUNCTION("""COMPUTED_VALUE"""),"Charlotte Minnigh ")</f>
        <v>Charlotte Minnigh </v>
      </c>
      <c r="G159" s="65" t="str">
        <f>IFERROR(__xludf.DUMMYFUNCTION("""COMPUTED_VALUE""")," 2 / $1000 of Additional Coverage   - ")</f>
        <v> 2 / $1000 of Additional Coverage   - </v>
      </c>
      <c r="H159" s="65" t="str">
        <f>IFERROR(__xludf.DUMMYFUNCTION("""COMPUTED_VALUE"""),"Danforth  ")</f>
        <v>Danforth  </v>
      </c>
      <c r="I159" s="65" t="str">
        <f>IFERROR(__xludf.DUMMYFUNCTION("""COMPUTED_VALUE"""),"4402")</f>
        <v>4402</v>
      </c>
      <c r="J159" s="108" t="str">
        <f>IFERROR(__xludf.DUMMYFUNCTION("""COMPUTED_VALUE"""),"09:00 AM to 11:00 AM  ")</f>
        <v>09:00 AM to 11:00 AM  </v>
      </c>
      <c r="K159" s="103">
        <f>IFERROR(__xludf.DUMMYFUNCTION("""COMPUTED_VALUE"""),46149.0)</f>
        <v>46149</v>
      </c>
      <c r="L159" s="65" t="str">
        <f>IFERROR(__xludf.DUMMYFUNCTION("""COMPUTED_VALUE""")," ")</f>
        <v> </v>
      </c>
      <c r="M159" s="65"/>
      <c r="N159" s="65"/>
    </row>
    <row r="160">
      <c r="A160" s="99" t="str">
        <f>IFERROR(__xludf.DUMMYFUNCTION("""COMPUTED_VALUE"""),"https://utrucking.com/admin/orders/6380153635004")</f>
        <v>https://utrucking.com/admin/orders/6380153635004</v>
      </c>
      <c r="B160" s="61" t="str">
        <f>IFERROR(__xludf.DUMMYFUNCTION("""COMPUTED_VALUE"""),"#17175")</f>
        <v>#17175</v>
      </c>
      <c r="C160" s="61" t="str">
        <f>IFERROR(__xludf.DUMMYFUNCTION("""COMPUTED_VALUE"""),"ecarrott@hotmail.com")</f>
        <v>ecarrott@hotmail.com</v>
      </c>
      <c r="D160" s="61">
        <f>IFERROR(__xludf.DUMMYFUNCTION("""COMPUTED_VALUE"""),2.023022986E9)</f>
        <v>2023022986</v>
      </c>
      <c r="E160" s="61" t="str">
        <f>IFERROR(__xludf.DUMMYFUNCTION("""COMPUTED_VALUE"""),"Elizabeth Minnigh")</f>
        <v>Elizabeth Minnigh</v>
      </c>
      <c r="F160" s="61" t="str">
        <f>IFERROR(__xludf.DUMMYFUNCTION("""COMPUTED_VALUE"""),"Eloise Minnigh ")</f>
        <v>Eloise Minnigh </v>
      </c>
      <c r="G160" s="61" t="str">
        <f>IFERROR(__xludf.DUMMYFUNCTION("""COMPUTED_VALUE""")," 1 [Included with Registration] / $1000 of Additional Coverage   - ")</f>
        <v> 1 [Included with Registration] / $1000 of Additional Coverage   - </v>
      </c>
      <c r="H160" s="61" t="str">
        <f>IFERROR(__xludf.DUMMYFUNCTION("""COMPUTED_VALUE"""),"Danforth  ")</f>
        <v>Danforth  </v>
      </c>
      <c r="I160" s="61" t="str">
        <f>IFERROR(__xludf.DUMMYFUNCTION("""COMPUTED_VALUE"""),"4402")</f>
        <v>4402</v>
      </c>
      <c r="J160" s="107" t="str">
        <f>IFERROR(__xludf.DUMMYFUNCTION("""COMPUTED_VALUE"""),"09:00 AM to 11:00 AM  ")</f>
        <v>09:00 AM to 11:00 AM  </v>
      </c>
      <c r="K160" s="100">
        <f>IFERROR(__xludf.DUMMYFUNCTION("""COMPUTED_VALUE"""),46149.0)</f>
        <v>46149</v>
      </c>
      <c r="L160" s="61" t="str">
        <f>IFERROR(__xludf.DUMMYFUNCTION("""COMPUTED_VALUE""")," ")</f>
        <v> </v>
      </c>
      <c r="M160" s="61"/>
      <c r="N160" s="61"/>
    </row>
    <row r="161">
      <c r="A161" s="102" t="str">
        <f>IFERROR(__xludf.DUMMYFUNCTION("""COMPUTED_VALUE"""),"https://utrucking.com/admin/orders/6380400869564")</f>
        <v>https://utrucking.com/admin/orders/6380400869564</v>
      </c>
      <c r="B161" s="65" t="str">
        <f>IFERROR(__xludf.DUMMYFUNCTION("""COMPUTED_VALUE"""),"#17176")</f>
        <v>#17176</v>
      </c>
      <c r="C161" s="65" t="str">
        <f>IFERROR(__xludf.DUMMYFUNCTION("""COMPUTED_VALUE"""),"averyt@wustl.edu")</f>
        <v>averyt@wustl.edu</v>
      </c>
      <c r="D161" s="65">
        <f>IFERROR(__xludf.DUMMYFUNCTION("""COMPUTED_VALUE"""),8.084920384E9)</f>
        <v>8084920384</v>
      </c>
      <c r="E161" s="65" t="str">
        <f>IFERROR(__xludf.DUMMYFUNCTION("""COMPUTED_VALUE"""),"Avery Tanaka")</f>
        <v>Avery Tanaka</v>
      </c>
      <c r="F161" s="65" t="str">
        <f>IFERROR(__xludf.DUMMYFUNCTION("""COMPUTED_VALUE"""),"Avery Tanaka")</f>
        <v>Avery Tanaka</v>
      </c>
      <c r="G161" s="65" t="str">
        <f>IFERROR(__xludf.DUMMYFUNCTION("""COMPUTED_VALUE""")," 1 [Included with Registration] / Included Insurance   - ")</f>
        <v> 1 [Included with Registration] / Included Insurance   - </v>
      </c>
      <c r="H161" s="65" t="str">
        <f>IFERROR(__xludf.DUMMYFUNCTION("""COMPUTED_VALUE"""),"Umrath  ")</f>
        <v>Umrath  </v>
      </c>
      <c r="I161" s="65" t="str">
        <f>IFERROR(__xludf.DUMMYFUNCTION("""COMPUTED_VALUE"""),"4434")</f>
        <v>4434</v>
      </c>
      <c r="J161" s="108" t="str">
        <f>IFERROR(__xludf.DUMMYFUNCTION("""COMPUTED_VALUE"""),"11:00 AM to 01:00 PM  ")</f>
        <v>11:00 AM to 01:00 PM  </v>
      </c>
      <c r="K161" s="103">
        <f>IFERROR(__xludf.DUMMYFUNCTION("""COMPUTED_VALUE"""),46148.0)</f>
        <v>46148</v>
      </c>
      <c r="L161" s="65" t="str">
        <f>IFERROR(__xludf.DUMMYFUNCTION("""COMPUTED_VALUE""")," ")</f>
        <v> </v>
      </c>
      <c r="M161" s="65"/>
      <c r="N161" s="65"/>
    </row>
    <row r="162">
      <c r="A162" s="99" t="str">
        <f>IFERROR(__xludf.DUMMYFUNCTION("""COMPUTED_VALUE"""),"https://utrucking.com/admin/orders/6380567134396")</f>
        <v>https://utrucking.com/admin/orders/6380567134396</v>
      </c>
      <c r="B162" s="61" t="str">
        <f>IFERROR(__xludf.DUMMYFUNCTION("""COMPUTED_VALUE"""),"#17177")</f>
        <v>#17177</v>
      </c>
      <c r="C162" s="61" t="str">
        <f>IFERROR(__xludf.DUMMYFUNCTION("""COMPUTED_VALUE"""),"chiu.d@wustl.edu")</f>
        <v>chiu.d@wustl.edu</v>
      </c>
      <c r="D162" s="61">
        <f>IFERROR(__xludf.DUMMYFUNCTION("""COMPUTED_VALUE"""),8.328982565E9)</f>
        <v>8328982565</v>
      </c>
      <c r="E162" s="61" t="str">
        <f>IFERROR(__xludf.DUMMYFUNCTION("""COMPUTED_VALUE"""),"Julie Chiu")</f>
        <v>Julie Chiu</v>
      </c>
      <c r="F162" s="61" t="str">
        <f>IFERROR(__xludf.DUMMYFUNCTION("""COMPUTED_VALUE"""),"David Chiu")</f>
        <v>David Chiu</v>
      </c>
      <c r="G162" s="61" t="str">
        <f>IFERROR(__xludf.DUMMYFUNCTION("""COMPUTED_VALUE""")," 1 [Included with Registration] / Included Insurance   - ")</f>
        <v> 1 [Included with Registration] / Included Insurance   - </v>
      </c>
      <c r="H162" s="61" t="str">
        <f>IFERROR(__xludf.DUMMYFUNCTION("""COMPUTED_VALUE"""),"Gregg  ")</f>
        <v>Gregg  </v>
      </c>
      <c r="I162" s="61" t="str">
        <f>IFERROR(__xludf.DUMMYFUNCTION("""COMPUTED_VALUE"""),"1040")</f>
        <v>1040</v>
      </c>
      <c r="J162" s="107" t="str">
        <f>IFERROR(__xludf.DUMMYFUNCTION("""COMPUTED_VALUE"""),"03:00 PM to 05:00 PM")</f>
        <v>03:00 PM to 05:00 PM</v>
      </c>
      <c r="K162" s="100">
        <f>IFERROR(__xludf.DUMMYFUNCTION("""COMPUTED_VALUE"""),46147.0)</f>
        <v>46147</v>
      </c>
      <c r="L162" s="61" t="str">
        <f>IFERROR(__xludf.DUMMYFUNCTION("""COMPUTED_VALUE""")," ")</f>
        <v> </v>
      </c>
      <c r="M162" s="61"/>
      <c r="N162" s="61"/>
    </row>
    <row r="163">
      <c r="A163" s="102" t="str">
        <f>IFERROR(__xludf.DUMMYFUNCTION("""COMPUTED_VALUE"""),"https://utrucking.com/admin/orders/6382215594172")</f>
        <v>https://utrucking.com/admin/orders/6382215594172</v>
      </c>
      <c r="B163" s="65" t="str">
        <f>IFERROR(__xludf.DUMMYFUNCTION("""COMPUTED_VALUE"""),"#17178")</f>
        <v>#17178</v>
      </c>
      <c r="C163" s="65" t="str">
        <f>IFERROR(__xludf.DUMMYFUNCTION("""COMPUTED_VALUE"""),"simonjpark@icloud.com")</f>
        <v>simonjpark@icloud.com</v>
      </c>
      <c r="D163" s="65">
        <f>IFERROR(__xludf.DUMMYFUNCTION("""COMPUTED_VALUE"""),9.198897336E9)</f>
        <v>9198897336</v>
      </c>
      <c r="E163" s="65" t="str">
        <f>IFERROR(__xludf.DUMMYFUNCTION("""COMPUTED_VALUE"""),"Simon Park")</f>
        <v>Simon Park</v>
      </c>
      <c r="F163" s="65" t="str">
        <f>IFERROR(__xludf.DUMMYFUNCTION("""COMPUTED_VALUE"""),"Simon Park")</f>
        <v>Simon Park</v>
      </c>
      <c r="G163" s="65" t="str">
        <f>IFERROR(__xludf.DUMMYFUNCTION("""COMPUTED_VALUE""")," 1 [Included with Registration] / Included Insurance   - ")</f>
        <v> 1 [Included with Registration] / Included Insurance   - </v>
      </c>
      <c r="H163" s="65" t="str">
        <f>IFERROR(__xludf.DUMMYFUNCTION("""COMPUTED_VALUE"""),"Koenig  ")</f>
        <v>Koenig  </v>
      </c>
      <c r="I163" s="65" t="str">
        <f>IFERROR(__xludf.DUMMYFUNCTION("""COMPUTED_VALUE"""),"3312")</f>
        <v>3312</v>
      </c>
      <c r="J163" s="108" t="str">
        <f>IFERROR(__xludf.DUMMYFUNCTION("""COMPUTED_VALUE"""),"09:00 AM to 11:00 AM  ")</f>
        <v>09:00 AM to 11:00 AM  </v>
      </c>
      <c r="K163" s="103">
        <f>IFERROR(__xludf.DUMMYFUNCTION("""COMPUTED_VALUE"""),46148.0)</f>
        <v>46148</v>
      </c>
      <c r="L163" s="65" t="str">
        <f>IFERROR(__xludf.DUMMYFUNCTION("""COMPUTED_VALUE""")," ")</f>
        <v> </v>
      </c>
      <c r="M163" s="65"/>
      <c r="N163" s="65"/>
    </row>
    <row r="164">
      <c r="A164" s="99" t="str">
        <f>IFERROR(__xludf.DUMMYFUNCTION("""COMPUTED_VALUE"""),"https://utrucking.com/admin/orders/6382862762172")</f>
        <v>https://utrucking.com/admin/orders/6382862762172</v>
      </c>
      <c r="B164" s="61" t="str">
        <f>IFERROR(__xludf.DUMMYFUNCTION("""COMPUTED_VALUE"""),"#17180")</f>
        <v>#17180</v>
      </c>
      <c r="C164" s="61" t="str">
        <f>IFERROR(__xludf.DUMMYFUNCTION("""COMPUTED_VALUE"""),"f.perez@wustl.edu")</f>
        <v>f.perez@wustl.edu</v>
      </c>
      <c r="D164" s="61">
        <f>IFERROR(__xludf.DUMMYFUNCTION("""COMPUTED_VALUE"""),3.12599353E9)</f>
        <v>3125993530</v>
      </c>
      <c r="E164" s="61" t="str">
        <f>IFERROR(__xludf.DUMMYFUNCTION("""COMPUTED_VALUE"""),"Francisco Perez")</f>
        <v>Francisco Perez</v>
      </c>
      <c r="F164" s="61" t="str">
        <f>IFERROR(__xludf.DUMMYFUNCTION("""COMPUTED_VALUE"""),"Francisco Perez")</f>
        <v>Francisco Perez</v>
      </c>
      <c r="G164" s="61" t="str">
        <f>IFERROR(__xludf.DUMMYFUNCTION("""COMPUTED_VALUE""")," 1 [Included with Registration] / Included Insurance   - ")</f>
        <v> 1 [Included with Registration] / Included Insurance   - </v>
      </c>
      <c r="H164" s="61" t="str">
        <f>IFERROR(__xludf.DUMMYFUNCTION("""COMPUTED_VALUE"""),"House 5")</f>
        <v>House 5</v>
      </c>
      <c r="I164" s="61" t="str">
        <f>IFERROR(__xludf.DUMMYFUNCTION("""COMPUTED_VALUE"""),"110")</f>
        <v>110</v>
      </c>
      <c r="J164" s="107" t="str">
        <f>IFERROR(__xludf.DUMMYFUNCTION("""COMPUTED_VALUE"""),"03:00 PM to 05:00 PM")</f>
        <v>03:00 PM to 05:00 PM</v>
      </c>
      <c r="K164" s="100">
        <f>IFERROR(__xludf.DUMMYFUNCTION("""COMPUTED_VALUE"""),46150.0)</f>
        <v>46150</v>
      </c>
      <c r="L164" s="61" t="str">
        <f>IFERROR(__xludf.DUMMYFUNCTION("""COMPUTED_VALUE""")," ")</f>
        <v> </v>
      </c>
      <c r="M164" s="61"/>
      <c r="N164" s="61"/>
    </row>
    <row r="165">
      <c r="A165" s="102" t="str">
        <f>IFERROR(__xludf.DUMMYFUNCTION("""COMPUTED_VALUE"""),"https://utrucking.com/admin/orders/6382872494268")</f>
        <v>https://utrucking.com/admin/orders/6382872494268</v>
      </c>
      <c r="B165" s="65" t="str">
        <f>IFERROR(__xludf.DUMMYFUNCTION("""COMPUTED_VALUE"""),"#17181")</f>
        <v>#17181</v>
      </c>
      <c r="C165" s="65" t="str">
        <f>IFERROR(__xludf.DUMMYFUNCTION("""COMPUTED_VALUE"""),"slovinlauren@gmail.com")</f>
        <v>slovinlauren@gmail.com</v>
      </c>
      <c r="D165" s="65">
        <f>IFERROR(__xludf.DUMMYFUNCTION("""COMPUTED_VALUE"""),2.039136275E9)</f>
        <v>2039136275</v>
      </c>
      <c r="E165" s="65" t="str">
        <f>IFERROR(__xludf.DUMMYFUNCTION("""COMPUTED_VALUE"""),"Lauren Slovin")</f>
        <v>Lauren Slovin</v>
      </c>
      <c r="F165" s="65" t="str">
        <f>IFERROR(__xludf.DUMMYFUNCTION("""COMPUTED_VALUE"""),"Lauren Lee Slovin")</f>
        <v>Lauren Lee Slovin</v>
      </c>
      <c r="G165" s="65" t="str">
        <f>IFERROR(__xludf.DUMMYFUNCTION("""COMPUTED_VALUE""")," 1 [Included with Registration] / Included Insurance   - ")</f>
        <v> 1 [Included with Registration] / Included Insurance   - </v>
      </c>
      <c r="H165" s="65" t="str">
        <f>IFERROR(__xludf.DUMMYFUNCTION("""COMPUTED_VALUE"""),"Lien  ")</f>
        <v>Lien  </v>
      </c>
      <c r="I165" s="65" t="str">
        <f>IFERROR(__xludf.DUMMYFUNCTION("""COMPUTED_VALUE"""),"3310")</f>
        <v>3310</v>
      </c>
      <c r="J165" s="108" t="str">
        <f>IFERROR(__xludf.DUMMYFUNCTION("""COMPUTED_VALUE"""),"09:00 AM to 11:00 AM  ")</f>
        <v>09:00 AM to 11:00 AM  </v>
      </c>
      <c r="K165" s="103">
        <f>IFERROR(__xludf.DUMMYFUNCTION("""COMPUTED_VALUE"""),46146.0)</f>
        <v>46146</v>
      </c>
      <c r="L165" s="65" t="str">
        <f>IFERROR(__xludf.DUMMYFUNCTION("""COMPUTED_VALUE""")," ")</f>
        <v> </v>
      </c>
      <c r="M165" s="65"/>
      <c r="N165" s="65"/>
    </row>
    <row r="166">
      <c r="A166" s="99" t="str">
        <f>IFERROR(__xludf.DUMMYFUNCTION("""COMPUTED_VALUE"""),"https://utrucking.com/admin/orders/6383567798460")</f>
        <v>https://utrucking.com/admin/orders/6383567798460</v>
      </c>
      <c r="B166" s="61" t="str">
        <f>IFERROR(__xludf.DUMMYFUNCTION("""COMPUTED_VALUE"""),"#17183")</f>
        <v>#17183</v>
      </c>
      <c r="C166" s="61" t="str">
        <f>IFERROR(__xludf.DUMMYFUNCTION("""COMPUTED_VALUE"""),"DARIA_REZNIKOVA@YAHOO.COM")</f>
        <v>DARIA_REZNIKOVA@YAHOO.COM</v>
      </c>
      <c r="D166" s="61">
        <f>IFERROR(__xludf.DUMMYFUNCTION("""COMPUTED_VALUE"""),9.175848891E9)</f>
        <v>9175848891</v>
      </c>
      <c r="E166" s="61" t="str">
        <f>IFERROR(__xludf.DUMMYFUNCTION("""COMPUTED_VALUE"""),"Daria Reznikova")</f>
        <v>Daria Reznikova</v>
      </c>
      <c r="F166" s="61" t="str">
        <f>IFERROR(__xludf.DUMMYFUNCTION("""COMPUTED_VALUE"""),"Paulina Reznikova")</f>
        <v>Paulina Reznikova</v>
      </c>
      <c r="G166" s="61" t="str">
        <f>IFERROR(__xludf.DUMMYFUNCTION("""COMPUTED_VALUE""")," 1 [Included with Registration] / Included Insurance   - ")</f>
        <v> 1 [Included with Registration] / Included Insurance   - </v>
      </c>
      <c r="H166" s="61" t="str">
        <f>IFERROR(__xludf.DUMMYFUNCTION("""COMPUTED_VALUE"""),"Hitzeman  ")</f>
        <v>Hitzeman  </v>
      </c>
      <c r="I166" s="61" t="str">
        <f>IFERROR(__xludf.DUMMYFUNCTION("""COMPUTED_VALUE"""),"222")</f>
        <v>222</v>
      </c>
      <c r="J166" s="107" t="str">
        <f>IFERROR(__xludf.DUMMYFUNCTION("""COMPUTED_VALUE"""),"11:00 AM to 01:00 PM  ")</f>
        <v>11:00 AM to 01:00 PM  </v>
      </c>
      <c r="K166" s="100">
        <f>IFERROR(__xludf.DUMMYFUNCTION("""COMPUTED_VALUE"""),46148.0)</f>
        <v>46148</v>
      </c>
      <c r="L166" s="61" t="str">
        <f>IFERROR(__xludf.DUMMYFUNCTION("""COMPUTED_VALUE""")," ")</f>
        <v> </v>
      </c>
      <c r="M166" s="61"/>
      <c r="N166" s="61"/>
    </row>
    <row r="167">
      <c r="A167" s="102" t="str">
        <f>IFERROR(__xludf.DUMMYFUNCTION("""COMPUTED_VALUE"""),"https://utrucking.com/admin/orders/6383732719804")</f>
        <v>https://utrucking.com/admin/orders/6383732719804</v>
      </c>
      <c r="B167" s="65" t="str">
        <f>IFERROR(__xludf.DUMMYFUNCTION("""COMPUTED_VALUE"""),"#17184")</f>
        <v>#17184</v>
      </c>
      <c r="C167" s="65" t="str">
        <f>IFERROR(__xludf.DUMMYFUNCTION("""COMPUTED_VALUE"""),"krishnamoorthi@wustl.edu")</f>
        <v>krishnamoorthi@wustl.edu</v>
      </c>
      <c r="D167" s="65">
        <f>IFERROR(__xludf.DUMMYFUNCTION("""COMPUTED_VALUE"""),9.255499908E9)</f>
        <v>9255499908</v>
      </c>
      <c r="E167" s="65" t="str">
        <f>IFERROR(__xludf.DUMMYFUNCTION("""COMPUTED_VALUE"""),"Rohan Krishnamoorthi")</f>
        <v>Rohan Krishnamoorthi</v>
      </c>
      <c r="F167" s="65" t="str">
        <f>IFERROR(__xludf.DUMMYFUNCTION("""COMPUTED_VALUE"""),"Rohan Krishnamoorthi")</f>
        <v>Rohan Krishnamoorthi</v>
      </c>
      <c r="G167" s="65" t="str">
        <f>IFERROR(__xludf.DUMMYFUNCTION("""COMPUTED_VALUE""")," 1 [Included with Registration] / Included Insurance   - ")</f>
        <v> 1 [Included with Registration] / Included Insurance   - </v>
      </c>
      <c r="H167" s="65" t="str">
        <f>IFERROR(__xludf.DUMMYFUNCTION("""COMPUTED_VALUE"""),"Greenway Apartments  ")</f>
        <v>Greenway Apartments  </v>
      </c>
      <c r="I167" s="65" t="str">
        <f>IFERROR(__xludf.DUMMYFUNCTION("""COMPUTED_VALUE"""),"Apartment 009-A")</f>
        <v>Apartment 009-A</v>
      </c>
      <c r="J167" s="108" t="str">
        <f>IFERROR(__xludf.DUMMYFUNCTION("""COMPUTED_VALUE"""),"03:00 PM to 05:00 PM")</f>
        <v>03:00 PM to 05:00 PM</v>
      </c>
      <c r="K167" s="103">
        <f>IFERROR(__xludf.DUMMYFUNCTION("""COMPUTED_VALUE"""),46144.0)</f>
        <v>46144</v>
      </c>
      <c r="L167" s="65" t="str">
        <f>IFERROR(__xludf.DUMMYFUNCTION("""COMPUTED_VALUE""")," ")</f>
        <v> </v>
      </c>
      <c r="M167" s="65"/>
      <c r="N167" s="65"/>
    </row>
    <row r="168">
      <c r="A168" s="99" t="str">
        <f>IFERROR(__xludf.DUMMYFUNCTION("""COMPUTED_VALUE"""),"https://utrucking.com/admin/orders/6384040542396")</f>
        <v>https://utrucking.com/admin/orders/6384040542396</v>
      </c>
      <c r="B168" s="61" t="str">
        <f>IFERROR(__xludf.DUMMYFUNCTION("""COMPUTED_VALUE"""),"#17185")</f>
        <v>#17185</v>
      </c>
      <c r="C168" s="61" t="str">
        <f>IFERROR(__xludf.DUMMYFUNCTION("""COMPUTED_VALUE"""),"rtrabulsi2020@yahoo.com")</f>
        <v>rtrabulsi2020@yahoo.com</v>
      </c>
      <c r="D168" s="61">
        <f>IFERROR(__xludf.DUMMYFUNCTION("""COMPUTED_VALUE"""),7.818646269E9)</f>
        <v>7818646269</v>
      </c>
      <c r="E168" s="61" t="str">
        <f>IFERROR(__xludf.DUMMYFUNCTION("""COMPUTED_VALUE"""),"Reem Parseghian")</f>
        <v>Reem Parseghian</v>
      </c>
      <c r="F168" s="61" t="str">
        <f>IFERROR(__xludf.DUMMYFUNCTION("""COMPUTED_VALUE"""),"Aara Parseghian ")</f>
        <v>Aara Parseghian </v>
      </c>
      <c r="G168" s="61" t="str">
        <f>IFERROR(__xludf.DUMMYFUNCTION("""COMPUTED_VALUE""")," 1 [Included with Registration] / Included Insurance   - ")</f>
        <v> 1 [Included with Registration] / Included Insurance   - </v>
      </c>
      <c r="H168" s="61" t="str">
        <f>IFERROR(__xludf.DUMMYFUNCTION("""COMPUTED_VALUE"""),"Umrath  ")</f>
        <v>Umrath  </v>
      </c>
      <c r="I168" s="61" t="str">
        <f>IFERROR(__xludf.DUMMYFUNCTION("""COMPUTED_VALUE"""),"3321 A")</f>
        <v>3321 A</v>
      </c>
      <c r="J168" s="107" t="str">
        <f>IFERROR(__xludf.DUMMYFUNCTION("""COMPUTED_VALUE"""),"02:00 PM to 04:00 PM")</f>
        <v>02:00 PM to 04:00 PM</v>
      </c>
      <c r="K168" s="100">
        <f>IFERROR(__xludf.DUMMYFUNCTION("""COMPUTED_VALUE"""),46148.0)</f>
        <v>46148</v>
      </c>
      <c r="L168" s="61" t="str">
        <f>IFERROR(__xludf.DUMMYFUNCTION("""COMPUTED_VALUE""")," ")</f>
        <v> </v>
      </c>
      <c r="M168" s="61"/>
      <c r="N168" s="61"/>
    </row>
    <row r="169">
      <c r="A169" s="102" t="str">
        <f>IFERROR(__xludf.DUMMYFUNCTION("""COMPUTED_VALUE"""),"https://utrucking.com/admin/orders/6384968401084")</f>
        <v>https://utrucking.com/admin/orders/6384968401084</v>
      </c>
      <c r="B169" s="65" t="str">
        <f>IFERROR(__xludf.DUMMYFUNCTION("""COMPUTED_VALUE"""),"#17186")</f>
        <v>#17186</v>
      </c>
      <c r="C169" s="65" t="str">
        <f>IFERROR(__xludf.DUMMYFUNCTION("""COMPUTED_VALUE"""),"b.sachin@wustl.edu")</f>
        <v>b.sachin@wustl.edu</v>
      </c>
      <c r="D169" s="65">
        <f>IFERROR(__xludf.DUMMYFUNCTION("""COMPUTED_VALUE"""),2.159070064E9)</f>
        <v>2159070064</v>
      </c>
      <c r="E169" s="65" t="str">
        <f>IFERROR(__xludf.DUMMYFUNCTION("""COMPUTED_VALUE"""),"Sachin Blake")</f>
        <v>Sachin Blake</v>
      </c>
      <c r="F169" s="65" t="str">
        <f>IFERROR(__xludf.DUMMYFUNCTION("""COMPUTED_VALUE"""),"Sachin Blake")</f>
        <v>Sachin Blake</v>
      </c>
      <c r="G169" s="65" t="str">
        <f>IFERROR(__xludf.DUMMYFUNCTION("""COMPUTED_VALUE""")," 2 / Included Insurance   - ")</f>
        <v> 2 / Included Insurance   - </v>
      </c>
      <c r="H169" s="65" t="str">
        <f>IFERROR(__xludf.DUMMYFUNCTION("""COMPUTED_VALUE"""),"House 2 (Sigma Nu)  ")</f>
        <v>House 2 (Sigma Nu)  </v>
      </c>
      <c r="I169" s="65" t="str">
        <f>IFERROR(__xludf.DUMMYFUNCTION("""COMPUTED_VALUE"""),"203")</f>
        <v>203</v>
      </c>
      <c r="J169" s="108" t="str">
        <f>IFERROR(__xludf.DUMMYFUNCTION("""COMPUTED_VALUE"""),"03:00 PM to 05:00 PM")</f>
        <v>03:00 PM to 05:00 PM</v>
      </c>
      <c r="K169" s="103">
        <f>IFERROR(__xludf.DUMMYFUNCTION("""COMPUTED_VALUE"""),46149.0)</f>
        <v>46149</v>
      </c>
      <c r="L169" s="65" t="str">
        <f>IFERROR(__xludf.DUMMYFUNCTION("""COMPUTED_VALUE""")," ")</f>
        <v> </v>
      </c>
      <c r="M169" s="65"/>
      <c r="N169" s="65"/>
    </row>
    <row r="170">
      <c r="A170" s="99" t="str">
        <f>IFERROR(__xludf.DUMMYFUNCTION("""COMPUTED_VALUE"""),"https://utrucking.com/admin/orders/6385287037116")</f>
        <v>https://utrucking.com/admin/orders/6385287037116</v>
      </c>
      <c r="B170" s="61" t="str">
        <f>IFERROR(__xludf.DUMMYFUNCTION("""COMPUTED_VALUE"""),"#17187")</f>
        <v>#17187</v>
      </c>
      <c r="C170" s="61"/>
      <c r="D170" s="61">
        <f>IFERROR(__xludf.DUMMYFUNCTION("""COMPUTED_VALUE"""),8.063493688E9)</f>
        <v>8063493688</v>
      </c>
      <c r="E170" s="61" t="str">
        <f>IFERROR(__xludf.DUMMYFUNCTION("""COMPUTED_VALUE"""),"Eleanor Archer")</f>
        <v>Eleanor Archer</v>
      </c>
      <c r="F170" s="61" t="str">
        <f>IFERROR(__xludf.DUMMYFUNCTION("""COMPUTED_VALUE"""),"Eleanor Archer")</f>
        <v>Eleanor Archer</v>
      </c>
      <c r="G170" s="61" t="str">
        <f>IFERROR(__xludf.DUMMYFUNCTION("""COMPUTED_VALUE""")," 1 [Included with Registration] / Included Insurance   - ")</f>
        <v> 1 [Included with Registration] / Included Insurance   - </v>
      </c>
      <c r="H170" s="61"/>
      <c r="I170" s="61"/>
      <c r="J170" s="107" t="str">
        <f>IFERROR(__xludf.DUMMYFUNCTION("""COMPUTED_VALUE"""),"09:00 AM to 11:00 AM  ")</f>
        <v>09:00 AM to 11:00 AM  </v>
      </c>
      <c r="K170" s="100">
        <f>IFERROR(__xludf.DUMMYFUNCTION("""COMPUTED_VALUE"""),46157.0)</f>
        <v>46157</v>
      </c>
      <c r="L170" s="61" t="str">
        <f>IFERROR(__xludf.DUMMYFUNCTION("""COMPUTED_VALUE""")," ")</f>
        <v> </v>
      </c>
      <c r="M170" s="61" t="str">
        <f>IFERROR(__xludf.DUMMYFUNCTION("""COMPUTED_VALUE"""),"6105 Delmar Blvd
St. Louis, MO 63112
Apt 714a")</f>
        <v>6105 Delmar Blvd
St. Louis, MO 63112
Apt 714a</v>
      </c>
      <c r="N170" s="61"/>
    </row>
    <row r="171">
      <c r="A171" s="102" t="str">
        <f>IFERROR(__xludf.DUMMYFUNCTION("""COMPUTED_VALUE"""),"https://utrucking.com/admin/orders/6385392746684")</f>
        <v>https://utrucking.com/admin/orders/6385392746684</v>
      </c>
      <c r="B171" s="65" t="str">
        <f>IFERROR(__xludf.DUMMYFUNCTION("""COMPUTED_VALUE"""),"#17188")</f>
        <v>#17188</v>
      </c>
      <c r="C171" s="65" t="str">
        <f>IFERROR(__xludf.DUMMYFUNCTION("""COMPUTED_VALUE"""),"r.l.shames@wustl.edu")</f>
        <v>r.l.shames@wustl.edu</v>
      </c>
      <c r="D171" s="65">
        <f>IFERROR(__xludf.DUMMYFUNCTION("""COMPUTED_VALUE"""),9.176034125E9)</f>
        <v>9176034125</v>
      </c>
      <c r="E171" s="65" t="str">
        <f>IFERROR(__xludf.DUMMYFUNCTION("""COMPUTED_VALUE"""),"Rachel Shames")</f>
        <v>Rachel Shames</v>
      </c>
      <c r="F171" s="65" t="str">
        <f>IFERROR(__xludf.DUMMYFUNCTION("""COMPUTED_VALUE"""),"Rachel Shames")</f>
        <v>Rachel Shames</v>
      </c>
      <c r="G171" s="65" t="str">
        <f>IFERROR(__xludf.DUMMYFUNCTION("""COMPUTED_VALUE""")," 1 [Included with Registration] / Included Insurance   - ")</f>
        <v> 1 [Included with Registration] / Included Insurance   - </v>
      </c>
      <c r="H171" s="65" t="str">
        <f>IFERROR(__xludf.DUMMYFUNCTION("""COMPUTED_VALUE"""),"Dardick  ")</f>
        <v>Dardick  </v>
      </c>
      <c r="I171" s="65" t="str">
        <f>IFERROR(__xludf.DUMMYFUNCTION("""COMPUTED_VALUE"""),"4402")</f>
        <v>4402</v>
      </c>
      <c r="J171" s="108" t="str">
        <f>IFERROR(__xludf.DUMMYFUNCTION("""COMPUTED_VALUE"""),"09:00 AM to 11:00 AM  ")</f>
        <v>09:00 AM to 11:00 AM  </v>
      </c>
      <c r="K171" s="103">
        <f>IFERROR(__xludf.DUMMYFUNCTION("""COMPUTED_VALUE"""),46143.0)</f>
        <v>46143</v>
      </c>
      <c r="L171" s="65" t="str">
        <f>IFERROR(__xludf.DUMMYFUNCTION("""COMPUTED_VALUE""")," ")</f>
        <v> </v>
      </c>
      <c r="M171" s="65"/>
      <c r="N171" s="65"/>
    </row>
    <row r="172">
      <c r="A172" s="99" t="str">
        <f>IFERROR(__xludf.DUMMYFUNCTION("""COMPUTED_VALUE"""),"https://utrucking.com/admin/orders/6385663082684")</f>
        <v>https://utrucking.com/admin/orders/6385663082684</v>
      </c>
      <c r="B172" s="61" t="str">
        <f>IFERROR(__xludf.DUMMYFUNCTION("""COMPUTED_VALUE"""),"#17189")</f>
        <v>#17189</v>
      </c>
      <c r="C172" s="61"/>
      <c r="D172" s="61">
        <f>IFERROR(__xludf.DUMMYFUNCTION("""COMPUTED_VALUE"""),5.202381522E9)</f>
        <v>5202381522</v>
      </c>
      <c r="E172" s="61" t="str">
        <f>IFERROR(__xludf.DUMMYFUNCTION("""COMPUTED_VALUE"""),"Zaneta Alexander")</f>
        <v>Zaneta Alexander</v>
      </c>
      <c r="F172" s="61" t="str">
        <f>IFERROR(__xludf.DUMMYFUNCTION("""COMPUTED_VALUE"""),"Portia Francois")</f>
        <v>Portia Francois</v>
      </c>
      <c r="G172" s="61" t="str">
        <f>IFERROR(__xludf.DUMMYFUNCTION("""COMPUTED_VALUE""")," 2 / Included Insurance   - ")</f>
        <v> 2 / Included Insurance   - </v>
      </c>
      <c r="H172" s="61" t="str">
        <f>IFERROR(__xludf.DUMMYFUNCTION("""COMPUTED_VALUE"""),"Eliot A (Thomas Eliot)")</f>
        <v>Eliot A (Thomas Eliot)</v>
      </c>
      <c r="I172" s="61" t="str">
        <f>IFERROR(__xludf.DUMMYFUNCTION("""COMPUTED_VALUE"""),"2131")</f>
        <v>2131</v>
      </c>
      <c r="J172" s="107" t="str">
        <f>IFERROR(__xludf.DUMMYFUNCTION("""COMPUTED_VALUE"""),"09:00 AM to 11:00 AM  ")</f>
        <v>09:00 AM to 11:00 AM  </v>
      </c>
      <c r="K172" s="100">
        <f>IFERROR(__xludf.DUMMYFUNCTION("""COMPUTED_VALUE"""),46141.0)</f>
        <v>46141</v>
      </c>
      <c r="L172" s="61" t="str">
        <f>IFERROR(__xludf.DUMMYFUNCTION("""COMPUTED_VALUE""")," ")</f>
        <v> </v>
      </c>
      <c r="M172" s="61"/>
      <c r="N172" s="61"/>
    </row>
    <row r="173">
      <c r="A173" s="102" t="str">
        <f>IFERROR(__xludf.DUMMYFUNCTION("""COMPUTED_VALUE"""),"https://utrucking.com/admin/orders/6385891737788")</f>
        <v>https://utrucking.com/admin/orders/6385891737788</v>
      </c>
      <c r="B173" s="65" t="str">
        <f>IFERROR(__xludf.DUMMYFUNCTION("""COMPUTED_VALUE"""),"#17190")</f>
        <v>#17190</v>
      </c>
      <c r="C173" s="65" t="str">
        <f>IFERROR(__xludf.DUMMYFUNCTION("""COMPUTED_VALUE"""),"lu.f@wustl.edu")</f>
        <v>lu.f@wustl.edu</v>
      </c>
      <c r="D173" s="65">
        <f>IFERROR(__xludf.DUMMYFUNCTION("""COMPUTED_VALUE"""),3.145027725E9)</f>
        <v>3145027725</v>
      </c>
      <c r="E173" s="65" t="str">
        <f>IFERROR(__xludf.DUMMYFUNCTION("""COMPUTED_VALUE"""),"Feike Lu")</f>
        <v>Feike Lu</v>
      </c>
      <c r="F173" s="65" t="str">
        <f>IFERROR(__xludf.DUMMYFUNCTION("""COMPUTED_VALUE"""),"Flora Lu")</f>
        <v>Flora Lu</v>
      </c>
      <c r="G173" s="65" t="str">
        <f>IFERROR(__xludf.DUMMYFUNCTION("""COMPUTED_VALUE""")," 2 / Included Insurance   - ")</f>
        <v> 2 / Included Insurance   - </v>
      </c>
      <c r="H173" s="65" t="str">
        <f>IFERROR(__xludf.DUMMYFUNCTION("""COMPUTED_VALUE"""),"Hurd  ")</f>
        <v>Hurd  </v>
      </c>
      <c r="I173" s="65" t="str">
        <f>IFERROR(__xludf.DUMMYFUNCTION("""COMPUTED_VALUE"""),"323")</f>
        <v>323</v>
      </c>
      <c r="J173" s="108" t="str">
        <f>IFERROR(__xludf.DUMMYFUNCTION("""COMPUTED_VALUE"""),"03:00 PM to 05:00 PM")</f>
        <v>03:00 PM to 05:00 PM</v>
      </c>
      <c r="K173" s="103">
        <f>IFERROR(__xludf.DUMMYFUNCTION("""COMPUTED_VALUE"""),46148.0)</f>
        <v>46148</v>
      </c>
      <c r="L173" s="65" t="str">
        <f>IFERROR(__xludf.DUMMYFUNCTION("""COMPUTED_VALUE""")," ")</f>
        <v> </v>
      </c>
      <c r="M173" s="65"/>
      <c r="N173" s="65"/>
    </row>
    <row r="174">
      <c r="A174" s="99" t="str">
        <f>IFERROR(__xludf.DUMMYFUNCTION("""COMPUTED_VALUE"""),"https://utrucking.com/admin/orders/6385928339644")</f>
        <v>https://utrucking.com/admin/orders/6385928339644</v>
      </c>
      <c r="B174" s="61" t="str">
        <f>IFERROR(__xludf.DUMMYFUNCTION("""COMPUTED_VALUE"""),"#17191")</f>
        <v>#17191</v>
      </c>
      <c r="C174" s="61" t="str">
        <f>IFERROR(__xludf.DUMMYFUNCTION("""COMPUTED_VALUE"""),"minh.n@wustl.edu")</f>
        <v>minh.n@wustl.edu</v>
      </c>
      <c r="D174" s="61">
        <f>IFERROR(__xludf.DUMMYFUNCTION("""COMPUTED_VALUE"""),8.082568944E9)</f>
        <v>8082568944</v>
      </c>
      <c r="E174" s="61" t="str">
        <f>IFERROR(__xludf.DUMMYFUNCTION("""COMPUTED_VALUE"""),"Minh Duc Nguyen")</f>
        <v>Minh Duc Nguyen</v>
      </c>
      <c r="F174" s="61" t="str">
        <f>IFERROR(__xludf.DUMMYFUNCTION("""COMPUTED_VALUE"""),"Minh Duc Nguyen")</f>
        <v>Minh Duc Nguyen</v>
      </c>
      <c r="G174" s="61" t="str">
        <f>IFERROR(__xludf.DUMMYFUNCTION("""COMPUTED_VALUE""")," 1 [Included with Registration] / Included Insurance   - ")</f>
        <v> 1 [Included with Registration] / Included Insurance   - </v>
      </c>
      <c r="H174" s="61" t="str">
        <f>IFERROR(__xludf.DUMMYFUNCTION("""COMPUTED_VALUE"""),"Beaumont  ")</f>
        <v>Beaumont  </v>
      </c>
      <c r="I174" s="61" t="str">
        <f>IFERROR(__xludf.DUMMYFUNCTION("""COMPUTED_VALUE"""),"309")</f>
        <v>309</v>
      </c>
      <c r="J174" s="107" t="str">
        <f>IFERROR(__xludf.DUMMYFUNCTION("""COMPUTED_VALUE"""),"09:00 AM to 11:00 AM  ")</f>
        <v>09:00 AM to 11:00 AM  </v>
      </c>
      <c r="K174" s="100">
        <f>IFERROR(__xludf.DUMMYFUNCTION("""COMPUTED_VALUE"""),46149.0)</f>
        <v>46149</v>
      </c>
      <c r="L174" s="61" t="str">
        <f>IFERROR(__xludf.DUMMYFUNCTION("""COMPUTED_VALUE""")," ")</f>
        <v> </v>
      </c>
      <c r="M174" s="61"/>
      <c r="N174" s="61"/>
    </row>
    <row r="175">
      <c r="A175" s="102" t="str">
        <f>IFERROR(__xludf.DUMMYFUNCTION("""COMPUTED_VALUE"""),"https://utrucking.com/admin/orders/6386396102844")</f>
        <v>https://utrucking.com/admin/orders/6386396102844</v>
      </c>
      <c r="B175" s="65" t="str">
        <f>IFERROR(__xludf.DUMMYFUNCTION("""COMPUTED_VALUE"""),"#17193")</f>
        <v>#17193</v>
      </c>
      <c r="C175" s="65" t="str">
        <f>IFERROR(__xludf.DUMMYFUNCTION("""COMPUTED_VALUE"""),"kailabrooks11@gmail.com")</f>
        <v>kailabrooks11@gmail.com</v>
      </c>
      <c r="D175" s="65">
        <f>IFERROR(__xludf.DUMMYFUNCTION("""COMPUTED_VALUE"""),8.454439805E9)</f>
        <v>8454439805</v>
      </c>
      <c r="E175" s="65" t="str">
        <f>IFERROR(__xludf.DUMMYFUNCTION("""COMPUTED_VALUE"""),"Cameron Brooks")</f>
        <v>Cameron Brooks</v>
      </c>
      <c r="F175" s="65" t="str">
        <f>IFERROR(__xludf.DUMMYFUNCTION("""COMPUTED_VALUE"""),"Kaila Brooks")</f>
        <v>Kaila Brooks</v>
      </c>
      <c r="G175" s="65" t="str">
        <f>IFERROR(__xludf.DUMMYFUNCTION("""COMPUTED_VALUE""")," 2 / $500 of Additional Coverage   - ")</f>
        <v> 2 / $500 of Additional Coverage   - </v>
      </c>
      <c r="H175" s="65" t="str">
        <f>IFERROR(__xludf.DUMMYFUNCTION("""COMPUTED_VALUE"""),"Gregg  ")</f>
        <v>Gregg  </v>
      </c>
      <c r="I175" s="65" t="str">
        <f>IFERROR(__xludf.DUMMYFUNCTION("""COMPUTED_VALUE"""),"3102")</f>
        <v>3102</v>
      </c>
      <c r="J175" s="108" t="str">
        <f>IFERROR(__xludf.DUMMYFUNCTION("""COMPUTED_VALUE"""),"09:00 AM to 11:00 AM  ")</f>
        <v>09:00 AM to 11:00 AM  </v>
      </c>
      <c r="K175" s="103">
        <f>IFERROR(__xludf.DUMMYFUNCTION("""COMPUTED_VALUE"""),46141.0)</f>
        <v>46141</v>
      </c>
      <c r="L175" s="65" t="str">
        <f>IFERROR(__xludf.DUMMYFUNCTION("""COMPUTED_VALUE""")," ")</f>
        <v> </v>
      </c>
      <c r="M175" s="65"/>
      <c r="N175" s="65"/>
    </row>
    <row r="176">
      <c r="A176" s="99" t="str">
        <f>IFERROR(__xludf.DUMMYFUNCTION("""COMPUTED_VALUE"""),"https://utrucking.com/admin/orders/6386438799548")</f>
        <v>https://utrucking.com/admin/orders/6386438799548</v>
      </c>
      <c r="B176" s="61" t="str">
        <f>IFERROR(__xludf.DUMMYFUNCTION("""COMPUTED_VALUE"""),"#17194")</f>
        <v>#17194</v>
      </c>
      <c r="C176" s="61" t="str">
        <f>IFERROR(__xludf.DUMMYFUNCTION("""COMPUTED_VALUE"""),"james.luo@wustl.edu")</f>
        <v>james.luo@wustl.edu</v>
      </c>
      <c r="D176" s="61">
        <f>IFERROR(__xludf.DUMMYFUNCTION("""COMPUTED_VALUE"""),3.142961232E9)</f>
        <v>3142961232</v>
      </c>
      <c r="E176" s="61" t="str">
        <f>IFERROR(__xludf.DUMMYFUNCTION("""COMPUTED_VALUE"""),"Yupeng Luo")</f>
        <v>Yupeng Luo</v>
      </c>
      <c r="F176" s="61" t="str">
        <f>IFERROR(__xludf.DUMMYFUNCTION("""COMPUTED_VALUE"""),"James Luo")</f>
        <v>James Luo</v>
      </c>
      <c r="G176" s="61" t="str">
        <f>IFERROR(__xludf.DUMMYFUNCTION("""COMPUTED_VALUE""")," 1 [Included with Registration] / $1000 of Additional Coverage   - ")</f>
        <v> 1 [Included with Registration] / $1000 of Additional Coverage   - </v>
      </c>
      <c r="H176" s="61" t="str">
        <f>IFERROR(__xludf.DUMMYFUNCTION("""COMPUTED_VALUE"""),"Rutledge  ")</f>
        <v>Rutledge  </v>
      </c>
      <c r="I176" s="61" t="str">
        <f>IFERROR(__xludf.DUMMYFUNCTION("""COMPUTED_VALUE"""),"332")</f>
        <v>332</v>
      </c>
      <c r="J176" s="107" t="str">
        <f>IFERROR(__xludf.DUMMYFUNCTION("""COMPUTED_VALUE"""),"09:00 AM to 11:00 AM  ")</f>
        <v>09:00 AM to 11:00 AM  </v>
      </c>
      <c r="K176" s="100">
        <f>IFERROR(__xludf.DUMMYFUNCTION("""COMPUTED_VALUE"""),46149.0)</f>
        <v>46149</v>
      </c>
      <c r="L176" s="61" t="str">
        <f>IFERROR(__xludf.DUMMYFUNCTION("""COMPUTED_VALUE""")," ")</f>
        <v> </v>
      </c>
      <c r="M176" s="61"/>
      <c r="N176" s="61"/>
    </row>
    <row r="177">
      <c r="A177" s="102" t="str">
        <f>IFERROR(__xludf.DUMMYFUNCTION("""COMPUTED_VALUE"""),"https://utrucking.com/admin/orders/6386471141564")</f>
        <v>https://utrucking.com/admin/orders/6386471141564</v>
      </c>
      <c r="B177" s="65" t="str">
        <f>IFERROR(__xludf.DUMMYFUNCTION("""COMPUTED_VALUE"""),"#17195")</f>
        <v>#17195</v>
      </c>
      <c r="C177" s="65" t="str">
        <f>IFERROR(__xludf.DUMMYFUNCTION("""COMPUTED_VALUE"""),"kahnjulia1213@gmail.com")</f>
        <v>kahnjulia1213@gmail.com</v>
      </c>
      <c r="D177" s="65">
        <f>IFERROR(__xludf.DUMMYFUNCTION("""COMPUTED_VALUE"""),9.14522341E9)</f>
        <v>9145223410</v>
      </c>
      <c r="E177" s="65" t="str">
        <f>IFERROR(__xludf.DUMMYFUNCTION("""COMPUTED_VALUE"""),"Julia Kahn")</f>
        <v>Julia Kahn</v>
      </c>
      <c r="F177" s="65" t="str">
        <f>IFERROR(__xludf.DUMMYFUNCTION("""COMPUTED_VALUE"""),"Julia Kahn")</f>
        <v>Julia Kahn</v>
      </c>
      <c r="G177" s="65" t="str">
        <f>IFERROR(__xludf.DUMMYFUNCTION("""COMPUTED_VALUE""")," 2 / Included Insurance   - ")</f>
        <v> 2 / Included Insurance   - </v>
      </c>
      <c r="H177" s="65" t="str">
        <f>IFERROR(__xludf.DUMMYFUNCTION("""COMPUTED_VALUE"""),"Umrath  ")</f>
        <v>Umrath  </v>
      </c>
      <c r="I177" s="65" t="str">
        <f>IFERROR(__xludf.DUMMYFUNCTION("""COMPUTED_VALUE"""),"4404")</f>
        <v>4404</v>
      </c>
      <c r="J177" s="108" t="str">
        <f>IFERROR(__xludf.DUMMYFUNCTION("""COMPUTED_VALUE"""),"03:00 PM to 05:00 PM")</f>
        <v>03:00 PM to 05:00 PM</v>
      </c>
      <c r="K177" s="103">
        <f>IFERROR(__xludf.DUMMYFUNCTION("""COMPUTED_VALUE"""),46144.0)</f>
        <v>46144</v>
      </c>
      <c r="L177" s="65" t="str">
        <f>IFERROR(__xludf.DUMMYFUNCTION("""COMPUTED_VALUE""")," ")</f>
        <v> </v>
      </c>
      <c r="M177" s="65"/>
      <c r="N177" s="65"/>
    </row>
    <row r="178">
      <c r="A178" s="99" t="str">
        <f>IFERROR(__xludf.DUMMYFUNCTION("""COMPUTED_VALUE"""),"https://utrucking.com/admin/orders/6386495291580")</f>
        <v>https://utrucking.com/admin/orders/6386495291580</v>
      </c>
      <c r="B178" s="61" t="str">
        <f>IFERROR(__xludf.DUMMYFUNCTION("""COMPUTED_VALUE"""),"#17196")</f>
        <v>#17196</v>
      </c>
      <c r="C178" s="61"/>
      <c r="D178" s="61">
        <f>IFERROR(__xludf.DUMMYFUNCTION("""COMPUTED_VALUE"""),3.107015685E9)</f>
        <v>3107015685</v>
      </c>
      <c r="E178" s="61" t="str">
        <f>IFERROR(__xludf.DUMMYFUNCTION("""COMPUTED_VALUE"""),"Rachel Isgar")</f>
        <v>Rachel Isgar</v>
      </c>
      <c r="F178" s="61" t="str">
        <f>IFERROR(__xludf.DUMMYFUNCTION("""COMPUTED_VALUE"""),"Ally Isgar")</f>
        <v>Ally Isgar</v>
      </c>
      <c r="G178" s="61" t="str">
        <f>IFERROR(__xludf.DUMMYFUNCTION("""COMPUTED_VALUE""")," 2 / Included Insurance   - ")</f>
        <v> 2 / Included Insurance   - </v>
      </c>
      <c r="H178" s="61" t="str">
        <f>IFERROR(__xludf.DUMMYFUNCTION("""COMPUTED_VALUE"""),"Eliot A (Thomas Eliot)")</f>
        <v>Eliot A (Thomas Eliot)</v>
      </c>
      <c r="I178" s="61" t="str">
        <f>IFERROR(__xludf.DUMMYFUNCTION("""COMPUTED_VALUE"""),"3131")</f>
        <v>3131</v>
      </c>
      <c r="J178" s="107" t="str">
        <f>IFERROR(__xludf.DUMMYFUNCTION("""COMPUTED_VALUE"""),"12:00 PM to 02:00 PM  ")</f>
        <v>12:00 PM to 02:00 PM  </v>
      </c>
      <c r="K178" s="100">
        <f>IFERROR(__xludf.DUMMYFUNCTION("""COMPUTED_VALUE"""),46147.0)</f>
        <v>46147</v>
      </c>
      <c r="L178" s="61" t="str">
        <f>IFERROR(__xludf.DUMMYFUNCTION("""COMPUTED_VALUE""")," ")</f>
        <v> </v>
      </c>
      <c r="M178" s="61"/>
      <c r="N178" s="61"/>
    </row>
    <row r="179">
      <c r="A179" s="102" t="str">
        <f>IFERROR(__xludf.DUMMYFUNCTION("""COMPUTED_VALUE"""),"https://utrucking.com/admin/orders/6386879955132")</f>
        <v>https://utrucking.com/admin/orders/6386879955132</v>
      </c>
      <c r="B179" s="65" t="str">
        <f>IFERROR(__xludf.DUMMYFUNCTION("""COMPUTED_VALUE"""),"#17199")</f>
        <v>#17199</v>
      </c>
      <c r="C179" s="65" t="str">
        <f>IFERROR(__xludf.DUMMYFUNCTION("""COMPUTED_VALUE"""),"susanschober@comcast.net")</f>
        <v>susanschober@comcast.net</v>
      </c>
      <c r="D179" s="65">
        <f>IFERROR(__xludf.DUMMYFUNCTION("""COMPUTED_VALUE"""),3.128041544E9)</f>
        <v>3128041544</v>
      </c>
      <c r="E179" s="65" t="str">
        <f>IFERROR(__xludf.DUMMYFUNCTION("""COMPUTED_VALUE"""),"Susan Schober")</f>
        <v>Susan Schober</v>
      </c>
      <c r="F179" s="65" t="str">
        <f>IFERROR(__xludf.DUMMYFUNCTION("""COMPUTED_VALUE"""),"Katie Schober")</f>
        <v>Katie Schober</v>
      </c>
      <c r="G179" s="65" t="str">
        <f>IFERROR(__xludf.DUMMYFUNCTION("""COMPUTED_VALUE""")," 3 / Included Insurance   - ")</f>
        <v> 3 / Included Insurance   - </v>
      </c>
      <c r="H179" s="65" t="str">
        <f>IFERROR(__xludf.DUMMYFUNCTION("""COMPUTED_VALUE"""),"Umrath  ")</f>
        <v>Umrath  </v>
      </c>
      <c r="I179" s="65" t="str">
        <f>IFERROR(__xludf.DUMMYFUNCTION("""COMPUTED_VALUE"""),"2234")</f>
        <v>2234</v>
      </c>
      <c r="J179" s="108" t="str">
        <f>IFERROR(__xludf.DUMMYFUNCTION("""COMPUTED_VALUE"""),"09:00 AM to 11:00 AM  ")</f>
        <v>09:00 AM to 11:00 AM  </v>
      </c>
      <c r="K179" s="103">
        <f>IFERROR(__xludf.DUMMYFUNCTION("""COMPUTED_VALUE"""),46149.0)</f>
        <v>46149</v>
      </c>
      <c r="L179" s="65" t="str">
        <f>IFERROR(__xludf.DUMMYFUNCTION("""COMPUTED_VALUE""")," ")</f>
        <v> </v>
      </c>
      <c r="M179" s="65"/>
      <c r="N179" s="65"/>
    </row>
    <row r="180">
      <c r="A180" s="99" t="str">
        <f>IFERROR(__xludf.DUMMYFUNCTION("""COMPUTED_VALUE"""),"https://utrucking.com/admin/orders/6387464175804")</f>
        <v>https://utrucking.com/admin/orders/6387464175804</v>
      </c>
      <c r="B180" s="61" t="str">
        <f>IFERROR(__xludf.DUMMYFUNCTION("""COMPUTED_VALUE"""),"#17200")</f>
        <v>#17200</v>
      </c>
      <c r="C180" s="61" t="str">
        <f>IFERROR(__xludf.DUMMYFUNCTION("""COMPUTED_VALUE"""),"blairkennedywagner@gmail.com")</f>
        <v>blairkennedywagner@gmail.com</v>
      </c>
      <c r="D180" s="61">
        <f>IFERROR(__xludf.DUMMYFUNCTION("""COMPUTED_VALUE"""),6.786376847E9)</f>
        <v>6786376847</v>
      </c>
      <c r="E180" s="61" t="str">
        <f>IFERROR(__xludf.DUMMYFUNCTION("""COMPUTED_VALUE"""),"Blair Wagner")</f>
        <v>Blair Wagner</v>
      </c>
      <c r="F180" s="61" t="str">
        <f>IFERROR(__xludf.DUMMYFUNCTION("""COMPUTED_VALUE"""),"Blair Wagner")</f>
        <v>Blair Wagner</v>
      </c>
      <c r="G180" s="61" t="str">
        <f>IFERROR(__xludf.DUMMYFUNCTION("""COMPUTED_VALUE""")," 1 [Included with Registration] / Included Insurance   - ")</f>
        <v> 1 [Included with Registration] / Included Insurance   - </v>
      </c>
      <c r="H180" s="61" t="str">
        <f>IFERROR(__xludf.DUMMYFUNCTION("""COMPUTED_VALUE"""),"Dardick  ")</f>
        <v>Dardick  </v>
      </c>
      <c r="I180" s="61" t="str">
        <f>IFERROR(__xludf.DUMMYFUNCTION("""COMPUTED_VALUE"""),"1109-a")</f>
        <v>1109-a</v>
      </c>
      <c r="J180" s="107" t="str">
        <f>IFERROR(__xludf.DUMMYFUNCTION("""COMPUTED_VALUE"""),"01:00 PM to 03:00 PM  ")</f>
        <v>01:00 PM to 03:00 PM  </v>
      </c>
      <c r="K180" s="100">
        <f>IFERROR(__xludf.DUMMYFUNCTION("""COMPUTED_VALUE"""),46147.0)</f>
        <v>46147</v>
      </c>
      <c r="L180" s="61" t="str">
        <f>IFERROR(__xludf.DUMMYFUNCTION("""COMPUTED_VALUE""")," ")</f>
        <v> </v>
      </c>
      <c r="M180" s="61"/>
      <c r="N180" s="61"/>
    </row>
    <row r="181">
      <c r="A181" s="102" t="str">
        <f>IFERROR(__xludf.DUMMYFUNCTION("""COMPUTED_VALUE"""),"https://utrucking.com/admin/orders/6387818004668")</f>
        <v>https://utrucking.com/admin/orders/6387818004668</v>
      </c>
      <c r="B181" s="65" t="str">
        <f>IFERROR(__xludf.DUMMYFUNCTION("""COMPUTED_VALUE"""),"#17201")</f>
        <v>#17201</v>
      </c>
      <c r="C181" s="65" t="str">
        <f>IFERROR(__xludf.DUMMYFUNCTION("""COMPUTED_VALUE"""),"keshavvasanth2004@gmail.com")</f>
        <v>keshavvasanth2004@gmail.com</v>
      </c>
      <c r="D181" s="65" t="str">
        <f>IFERROR(__xludf.DUMMYFUNCTION("""COMPUTED_VALUE"""),"(972) 898-0140")</f>
        <v>(972) 898-0140</v>
      </c>
      <c r="E181" s="65" t="str">
        <f>IFERROR(__xludf.DUMMYFUNCTION("""COMPUTED_VALUE"""),"Vidya Krishnan")</f>
        <v>Vidya Krishnan</v>
      </c>
      <c r="F181" s="65" t="str">
        <f>IFERROR(__xludf.DUMMYFUNCTION("""COMPUTED_VALUE"""),"Keshav Vasanth")</f>
        <v>Keshav Vasanth</v>
      </c>
      <c r="G181" s="65" t="str">
        <f>IFERROR(__xludf.DUMMYFUNCTION("""COMPUTED_VALUE""")," 3 / Included Insurance   - ")</f>
        <v> 3 / Included Insurance   - </v>
      </c>
      <c r="H181" s="65" t="str">
        <f>IFERROR(__xludf.DUMMYFUNCTION("""COMPUTED_VALUE"""),"Park  ")</f>
        <v>Park  </v>
      </c>
      <c r="I181" s="65" t="str">
        <f>IFERROR(__xludf.DUMMYFUNCTION("""COMPUTED_VALUE"""),"352")</f>
        <v>352</v>
      </c>
      <c r="J181" s="108" t="str">
        <f>IFERROR(__xludf.DUMMYFUNCTION("""COMPUTED_VALUE"""),"09:00 AM to 11:00 AM  ")</f>
        <v>09:00 AM to 11:00 AM  </v>
      </c>
      <c r="K181" s="103">
        <f>IFERROR(__xludf.DUMMYFUNCTION("""COMPUTED_VALUE"""),46160.0)</f>
        <v>46160</v>
      </c>
      <c r="L181" s="65" t="str">
        <f>IFERROR(__xludf.DUMMYFUNCTION("""COMPUTED_VALUE""")," ")</f>
        <v> </v>
      </c>
      <c r="M181" s="65"/>
      <c r="N181" s="65"/>
    </row>
    <row r="182">
      <c r="A182" s="99" t="str">
        <f>IFERROR(__xludf.DUMMYFUNCTION("""COMPUTED_VALUE"""),"https://utrucking.com/admin/orders/6388005765308")</f>
        <v>https://utrucking.com/admin/orders/6388005765308</v>
      </c>
      <c r="B182" s="61" t="str">
        <f>IFERROR(__xludf.DUMMYFUNCTION("""COMPUTED_VALUE"""),"#17202")</f>
        <v>#17202</v>
      </c>
      <c r="C182" s="61" t="str">
        <f>IFERROR(__xludf.DUMMYFUNCTION("""COMPUTED_VALUE"""),"cchazday@gmail.com")</f>
        <v>cchazday@gmail.com</v>
      </c>
      <c r="D182" s="61">
        <f>IFERROR(__xludf.DUMMYFUNCTION("""COMPUTED_VALUE"""),9.173750383E9)</f>
        <v>9173750383</v>
      </c>
      <c r="E182" s="61" t="str">
        <f>IFERROR(__xludf.DUMMYFUNCTION("""COMPUTED_VALUE"""),"Cristina Hazday")</f>
        <v>Cristina Hazday</v>
      </c>
      <c r="F182" s="61" t="str">
        <f>IFERROR(__xludf.DUMMYFUNCTION("""COMPUTED_VALUE"""),"Cooper Hazday")</f>
        <v>Cooper Hazday</v>
      </c>
      <c r="G182" s="61" t="str">
        <f>IFERROR(__xludf.DUMMYFUNCTION("""COMPUTED_VALUE""")," 2 / $1000 of Additional Coverage   - ")</f>
        <v> 2 / $1000 of Additional Coverage   - </v>
      </c>
      <c r="H182" s="61" t="str">
        <f>IFERROR(__xludf.DUMMYFUNCTION("""COMPUTED_VALUE"""),"Myers  ")</f>
        <v>Myers  </v>
      </c>
      <c r="I182" s="61" t="str">
        <f>IFERROR(__xludf.DUMMYFUNCTION("""COMPUTED_VALUE"""),"423 - b")</f>
        <v>423 - b</v>
      </c>
      <c r="J182" s="107" t="str">
        <f>IFERROR(__xludf.DUMMYFUNCTION("""COMPUTED_VALUE"""),"10:00 AM to 12:00 PM  ")</f>
        <v>10:00 AM to 12:00 PM  </v>
      </c>
      <c r="K182" s="100">
        <f>IFERROR(__xludf.DUMMYFUNCTION("""COMPUTED_VALUE"""),46144.0)</f>
        <v>46144</v>
      </c>
      <c r="L182" s="61" t="str">
        <f>IFERROR(__xludf.DUMMYFUNCTION("""COMPUTED_VALUE""")," ")</f>
        <v> </v>
      </c>
      <c r="M182" s="61"/>
      <c r="N182" s="61"/>
    </row>
    <row r="183">
      <c r="A183" s="102" t="str">
        <f>IFERROR(__xludf.DUMMYFUNCTION("""COMPUTED_VALUE"""),"https://utrucking.com/admin/orders/6388235141308")</f>
        <v>https://utrucking.com/admin/orders/6388235141308</v>
      </c>
      <c r="B183" s="65" t="str">
        <f>IFERROR(__xludf.DUMMYFUNCTION("""COMPUTED_VALUE"""),"#17203")</f>
        <v>#17203</v>
      </c>
      <c r="C183" s="65" t="str">
        <f>IFERROR(__xludf.DUMMYFUNCTION("""COMPUTED_VALUE"""),"janaecrespo@gmail.com")</f>
        <v>janaecrespo@gmail.com</v>
      </c>
      <c r="D183" s="65">
        <f>IFERROR(__xludf.DUMMYFUNCTION("""COMPUTED_VALUE"""),3.059058849E9)</f>
        <v>3059058849</v>
      </c>
      <c r="E183" s="65" t="str">
        <f>IFERROR(__xludf.DUMMYFUNCTION("""COMPUTED_VALUE"""),"Janae Crespo")</f>
        <v>Janae Crespo</v>
      </c>
      <c r="F183" s="65" t="str">
        <f>IFERROR(__xludf.DUMMYFUNCTION("""COMPUTED_VALUE"""),"Janae Crespo")</f>
        <v>Janae Crespo</v>
      </c>
      <c r="G183" s="65" t="str">
        <f>IFERROR(__xludf.DUMMYFUNCTION("""COMPUTED_VALUE""")," 1 [Included with Registration] / Included Insurance   - ")</f>
        <v> 1 [Included with Registration] / Included Insurance   - </v>
      </c>
      <c r="H183" s="65" t="str">
        <f>IFERROR(__xludf.DUMMYFUNCTION("""COMPUTED_VALUE"""),"Dauten  ")</f>
        <v>Dauten  </v>
      </c>
      <c r="I183" s="65" t="str">
        <f>IFERROR(__xludf.DUMMYFUNCTION("""COMPUTED_VALUE"""),"231")</f>
        <v>231</v>
      </c>
      <c r="J183" s="108" t="str">
        <f>IFERROR(__xludf.DUMMYFUNCTION("""COMPUTED_VALUE"""),"09:00 AM to 11:00 AM  ")</f>
        <v>09:00 AM to 11:00 AM  </v>
      </c>
      <c r="K183" s="103">
        <f>IFERROR(__xludf.DUMMYFUNCTION("""COMPUTED_VALUE"""),46148.0)</f>
        <v>46148</v>
      </c>
      <c r="L183" s="65" t="str">
        <f>IFERROR(__xludf.DUMMYFUNCTION("""COMPUTED_VALUE""")," ")</f>
        <v> </v>
      </c>
      <c r="M183" s="65"/>
      <c r="N183" s="65"/>
    </row>
    <row r="184">
      <c r="A184" s="99" t="str">
        <f>IFERROR(__xludf.DUMMYFUNCTION("""COMPUTED_VALUE"""),"https://utrucking.com/admin/orders/6388761755836")</f>
        <v>https://utrucking.com/admin/orders/6388761755836</v>
      </c>
      <c r="B184" s="61" t="str">
        <f>IFERROR(__xludf.DUMMYFUNCTION("""COMPUTED_VALUE"""),"#17204")</f>
        <v>#17204</v>
      </c>
      <c r="C184" s="61" t="str">
        <f>IFERROR(__xludf.DUMMYFUNCTION("""COMPUTED_VALUE"""),"mwmoyes@gmail.com")</f>
        <v>mwmoyes@gmail.com</v>
      </c>
      <c r="D184" s="61">
        <f>IFERROR(__xludf.DUMMYFUNCTION("""COMPUTED_VALUE"""),9.253341357E9)</f>
        <v>9253341357</v>
      </c>
      <c r="E184" s="61" t="str">
        <f>IFERROR(__xludf.DUMMYFUNCTION("""COMPUTED_VALUE"""),"Miriam Moyes")</f>
        <v>Miriam Moyes</v>
      </c>
      <c r="F184" s="61" t="str">
        <f>IFERROR(__xludf.DUMMYFUNCTION("""COMPUTED_VALUE"""),"Miriam Moyes")</f>
        <v>Miriam Moyes</v>
      </c>
      <c r="G184" s="61" t="str">
        <f>IFERROR(__xludf.DUMMYFUNCTION("""COMPUTED_VALUE""")," 1 [Included with Registration] / Included Insurance   - ")</f>
        <v> 1 [Included with Registration] / Included Insurance   - </v>
      </c>
      <c r="H184" s="61" t="str">
        <f>IFERROR(__xludf.DUMMYFUNCTION("""COMPUTED_VALUE"""),"Liggett  ")</f>
        <v>Liggett  </v>
      </c>
      <c r="I184" s="61" t="str">
        <f>IFERROR(__xludf.DUMMYFUNCTION("""COMPUTED_VALUE"""),"2312")</f>
        <v>2312</v>
      </c>
      <c r="J184" s="107" t="str">
        <f>IFERROR(__xludf.DUMMYFUNCTION("""COMPUTED_VALUE"""),"09:00 AM to 11:00 AM  ")</f>
        <v>09:00 AM to 11:00 AM  </v>
      </c>
      <c r="K184" s="100">
        <f>IFERROR(__xludf.DUMMYFUNCTION("""COMPUTED_VALUE"""),46143.0)</f>
        <v>46143</v>
      </c>
      <c r="L184" s="61" t="str">
        <f>IFERROR(__xludf.DUMMYFUNCTION("""COMPUTED_VALUE""")," ")</f>
        <v> </v>
      </c>
      <c r="M184" s="61"/>
      <c r="N184" s="61"/>
    </row>
    <row r="185">
      <c r="A185" s="102" t="str">
        <f>IFERROR(__xludf.DUMMYFUNCTION("""COMPUTED_VALUE"""),"https://utrucking.com/admin/orders/6388800225468")</f>
        <v>https://utrucking.com/admin/orders/6388800225468</v>
      </c>
      <c r="B185" s="65" t="str">
        <f>IFERROR(__xludf.DUMMYFUNCTION("""COMPUTED_VALUE"""),"#17205")</f>
        <v>#17205</v>
      </c>
      <c r="C185" s="65" t="str">
        <f>IFERROR(__xludf.DUMMYFUNCTION("""COMPUTED_VALUE"""),"avarome18@gmail.com")</f>
        <v>avarome18@gmail.com</v>
      </c>
      <c r="D185" s="65">
        <f>IFERROR(__xludf.DUMMYFUNCTION("""COMPUTED_VALUE"""),5.513021447E9)</f>
        <v>5513021447</v>
      </c>
      <c r="E185" s="65" t="str">
        <f>IFERROR(__xludf.DUMMYFUNCTION("""COMPUTED_VALUE"""),"Ava Rome")</f>
        <v>Ava Rome</v>
      </c>
      <c r="F185" s="65" t="str">
        <f>IFERROR(__xludf.DUMMYFUNCTION("""COMPUTED_VALUE"""),"Ava Rome")</f>
        <v>Ava Rome</v>
      </c>
      <c r="G185" s="65" t="str">
        <f>IFERROR(__xludf.DUMMYFUNCTION("""COMPUTED_VALUE""")," 1 [Included with Registration] / Included Insurance   - ")</f>
        <v> 1 [Included with Registration] / Included Insurance   - </v>
      </c>
      <c r="H185" s="65" t="str">
        <f>IFERROR(__xludf.DUMMYFUNCTION("""COMPUTED_VALUE"""),"Umrath  ")</f>
        <v>Umrath  </v>
      </c>
      <c r="I185" s="65" t="str">
        <f>IFERROR(__xludf.DUMMYFUNCTION("""COMPUTED_VALUE"""),"3302")</f>
        <v>3302</v>
      </c>
      <c r="J185" s="108" t="str">
        <f>IFERROR(__xludf.DUMMYFUNCTION("""COMPUTED_VALUE"""),"12:00 PM to 02:00 PM  ")</f>
        <v>12:00 PM to 02:00 PM  </v>
      </c>
      <c r="K185" s="103">
        <f>IFERROR(__xludf.DUMMYFUNCTION("""COMPUTED_VALUE"""),46148.0)</f>
        <v>46148</v>
      </c>
      <c r="L185" s="65" t="str">
        <f>IFERROR(__xludf.DUMMYFUNCTION("""COMPUTED_VALUE""")," ")</f>
        <v> </v>
      </c>
      <c r="M185" s="65"/>
      <c r="N185" s="65"/>
    </row>
    <row r="186">
      <c r="A186" s="99" t="str">
        <f>IFERROR(__xludf.DUMMYFUNCTION("""COMPUTED_VALUE"""),"https://utrucking.com/admin/orders/6388814348476")</f>
        <v>https://utrucking.com/admin/orders/6388814348476</v>
      </c>
      <c r="B186" s="61" t="str">
        <f>IFERROR(__xludf.DUMMYFUNCTION("""COMPUTED_VALUE"""),"#17206")</f>
        <v>#17206</v>
      </c>
      <c r="C186" s="61" t="str">
        <f>IFERROR(__xludf.DUMMYFUNCTION("""COMPUTED_VALUE"""),"nicolexinyu@wustl.edu")</f>
        <v>nicolexinyu@wustl.edu</v>
      </c>
      <c r="D186" s="61">
        <f>IFERROR(__xludf.DUMMYFUNCTION("""COMPUTED_VALUE"""),3.147173921E9)</f>
        <v>3147173921</v>
      </c>
      <c r="E186" s="61" t="str">
        <f>IFERROR(__xludf.DUMMYFUNCTION("""COMPUTED_VALUE"""),"Nicole Yang")</f>
        <v>Nicole Yang</v>
      </c>
      <c r="F186" s="61" t="str">
        <f>IFERROR(__xludf.DUMMYFUNCTION("""COMPUTED_VALUE"""),"Nicole Yang")</f>
        <v>Nicole Yang</v>
      </c>
      <c r="G186" s="61" t="str">
        <f>IFERROR(__xludf.DUMMYFUNCTION("""COMPUTED_VALUE""")," 2 / Included Insurance   - ")</f>
        <v> 2 / Included Insurance   - </v>
      </c>
      <c r="H186" s="61" t="str">
        <f>IFERROR(__xludf.DUMMYFUNCTION("""COMPUTED_VALUE"""),"Park  ")</f>
        <v>Park  </v>
      </c>
      <c r="I186" s="61" t="str">
        <f>IFERROR(__xludf.DUMMYFUNCTION("""COMPUTED_VALUE"""),"242")</f>
        <v>242</v>
      </c>
      <c r="J186" s="107" t="str">
        <f>IFERROR(__xludf.DUMMYFUNCTION("""COMPUTED_VALUE"""),"03:00 PM to 05:00 PM")</f>
        <v>03:00 PM to 05:00 PM</v>
      </c>
      <c r="K186" s="100">
        <f>IFERROR(__xludf.DUMMYFUNCTION("""COMPUTED_VALUE"""),46147.0)</f>
        <v>46147</v>
      </c>
      <c r="L186" s="61" t="str">
        <f>IFERROR(__xludf.DUMMYFUNCTION("""COMPUTED_VALUE""")," ")</f>
        <v> </v>
      </c>
      <c r="M186" s="61"/>
      <c r="N186" s="61"/>
    </row>
    <row r="187">
      <c r="A187" s="102" t="str">
        <f>IFERROR(__xludf.DUMMYFUNCTION("""COMPUTED_VALUE"""),"https://utrucking.com/admin/orders/6388831387836")</f>
        <v>https://utrucking.com/admin/orders/6388831387836</v>
      </c>
      <c r="B187" s="65" t="str">
        <f>IFERROR(__xludf.DUMMYFUNCTION("""COMPUTED_VALUE"""),"#17207")</f>
        <v>#17207</v>
      </c>
      <c r="C187" s="65"/>
      <c r="D187" s="65">
        <f>IFERROR(__xludf.DUMMYFUNCTION("""COMPUTED_VALUE"""),6.462299224E9)</f>
        <v>6462299224</v>
      </c>
      <c r="E187" s="65" t="str">
        <f>IFERROR(__xludf.DUMMYFUNCTION("""COMPUTED_VALUE"""),"Ashlyn Thitibordin")</f>
        <v>Ashlyn Thitibordin</v>
      </c>
      <c r="F187" s="65" t="str">
        <f>IFERROR(__xludf.DUMMYFUNCTION("""COMPUTED_VALUE"""),"Ashlyn Thitibordin")</f>
        <v>Ashlyn Thitibordin</v>
      </c>
      <c r="G187" s="65" t="str">
        <f>IFERROR(__xludf.DUMMYFUNCTION("""COMPUTED_VALUE""")," 1 [Included with Registration] / Included Insurance   - ")</f>
        <v> 1 [Included with Registration] / Included Insurance   - </v>
      </c>
      <c r="H187" s="65" t="str">
        <f>IFERROR(__xludf.DUMMYFUNCTION("""COMPUTED_VALUE"""),"Danforth  ")</f>
        <v>Danforth  </v>
      </c>
      <c r="I187" s="65" t="str">
        <f>IFERROR(__xludf.DUMMYFUNCTION("""COMPUTED_VALUE"""),"2208")</f>
        <v>2208</v>
      </c>
      <c r="J187" s="108" t="str">
        <f>IFERROR(__xludf.DUMMYFUNCTION("""COMPUTED_VALUE"""),"09:00 AM to 11:00 AM  ")</f>
        <v>09:00 AM to 11:00 AM  </v>
      </c>
      <c r="K187" s="103">
        <f>IFERROR(__xludf.DUMMYFUNCTION("""COMPUTED_VALUE"""),46148.0)</f>
        <v>46148</v>
      </c>
      <c r="L187" s="65" t="str">
        <f>IFERROR(__xludf.DUMMYFUNCTION("""COMPUTED_VALUE""")," ")</f>
        <v> </v>
      </c>
      <c r="M187" s="65"/>
      <c r="N187" s="65"/>
    </row>
    <row r="188">
      <c r="A188" s="99" t="str">
        <f>IFERROR(__xludf.DUMMYFUNCTION("""COMPUTED_VALUE"""),"https://utrucking.com/admin/orders/6388844331196")</f>
        <v>https://utrucking.com/admin/orders/6388844331196</v>
      </c>
      <c r="B188" s="61" t="str">
        <f>IFERROR(__xludf.DUMMYFUNCTION("""COMPUTED_VALUE"""),"#17208")</f>
        <v>#17208</v>
      </c>
      <c r="C188" s="61" t="str">
        <f>IFERROR(__xludf.DUMMYFUNCTION("""COMPUTED_VALUE"""),"zeller@writeme.com")</f>
        <v>zeller@writeme.com</v>
      </c>
      <c r="D188" s="61">
        <f>IFERROR(__xludf.DUMMYFUNCTION("""COMPUTED_VALUE"""),6.50241876E9)</f>
        <v>6502418760</v>
      </c>
      <c r="E188" s="61" t="str">
        <f>IFERROR(__xludf.DUMMYFUNCTION("""COMPUTED_VALUE"""),"Matthias Zeller")</f>
        <v>Matthias Zeller</v>
      </c>
      <c r="F188" s="61" t="str">
        <f>IFERROR(__xludf.DUMMYFUNCTION("""COMPUTED_VALUE"""),"Max Zeller")</f>
        <v>Max Zeller</v>
      </c>
      <c r="G188" s="61" t="str">
        <f>IFERROR(__xludf.DUMMYFUNCTION("""COMPUTED_VALUE""")," 1 [Included with Registration] / Included Insurance   - ")</f>
        <v> 1 [Included with Registration] / Included Insurance   - </v>
      </c>
      <c r="H188" s="61" t="str">
        <f>IFERROR(__xludf.DUMMYFUNCTION("""COMPUTED_VALUE"""),"Myers  ")</f>
        <v>Myers  </v>
      </c>
      <c r="I188" s="61" t="str">
        <f>IFERROR(__xludf.DUMMYFUNCTION("""COMPUTED_VALUE"""),"343")</f>
        <v>343</v>
      </c>
      <c r="J188" s="107" t="str">
        <f>IFERROR(__xludf.DUMMYFUNCTION("""COMPUTED_VALUE"""),"12:00 PM to 02:00 PM  ")</f>
        <v>12:00 PM to 02:00 PM  </v>
      </c>
      <c r="K188" s="100">
        <f>IFERROR(__xludf.DUMMYFUNCTION("""COMPUTED_VALUE"""),46148.0)</f>
        <v>46148</v>
      </c>
      <c r="L188" s="61" t="str">
        <f>IFERROR(__xludf.DUMMYFUNCTION("""COMPUTED_VALUE""")," ")</f>
        <v> </v>
      </c>
      <c r="M188" s="61"/>
      <c r="N188" s="61"/>
    </row>
    <row r="189">
      <c r="A189" s="102" t="str">
        <f>IFERROR(__xludf.DUMMYFUNCTION("""COMPUTED_VALUE"""),"https://utrucking.com/admin/orders/6389046935740")</f>
        <v>https://utrucking.com/admin/orders/6389046935740</v>
      </c>
      <c r="B189" s="65" t="str">
        <f>IFERROR(__xludf.DUMMYFUNCTION("""COMPUTED_VALUE"""),"#17210")</f>
        <v>#17210</v>
      </c>
      <c r="C189" s="65" t="str">
        <f>IFERROR(__xludf.DUMMYFUNCTION("""COMPUTED_VALUE"""),"isabelsonneborn@gmail.com")</f>
        <v>isabelsonneborn@gmail.com</v>
      </c>
      <c r="D189" s="65">
        <f>IFERROR(__xludf.DUMMYFUNCTION("""COMPUTED_VALUE"""),4.157474619E9)</f>
        <v>4157474619</v>
      </c>
      <c r="E189" s="65" t="str">
        <f>IFERROR(__xludf.DUMMYFUNCTION("""COMPUTED_VALUE"""),"Jon Sonneborn")</f>
        <v>Jon Sonneborn</v>
      </c>
      <c r="F189" s="65" t="str">
        <f>IFERROR(__xludf.DUMMYFUNCTION("""COMPUTED_VALUE"""),"Isabel Sonneborn")</f>
        <v>Isabel Sonneborn</v>
      </c>
      <c r="G189" s="65" t="str">
        <f>IFERROR(__xludf.DUMMYFUNCTION("""COMPUTED_VALUE""")," 1 [Included with Registration] / Included Insurance   - ")</f>
        <v> 1 [Included with Registration] / Included Insurance   - </v>
      </c>
      <c r="H189" s="65" t="str">
        <f>IFERROR(__xludf.DUMMYFUNCTION("""COMPUTED_VALUE"""),"Zetcher  ")</f>
        <v>Zetcher  </v>
      </c>
      <c r="I189" s="65" t="str">
        <f>IFERROR(__xludf.DUMMYFUNCTION("""COMPUTED_VALUE"""),"3070")</f>
        <v>3070</v>
      </c>
      <c r="J189" s="108" t="str">
        <f>IFERROR(__xludf.DUMMYFUNCTION("""COMPUTED_VALUE"""),"09:00 AM to 11:00 AM  ")</f>
        <v>09:00 AM to 11:00 AM  </v>
      </c>
      <c r="K189" s="103">
        <f>IFERROR(__xludf.DUMMYFUNCTION("""COMPUTED_VALUE"""),46149.0)</f>
        <v>46149</v>
      </c>
      <c r="L189" s="65" t="str">
        <f>IFERROR(__xludf.DUMMYFUNCTION("""COMPUTED_VALUE""")," ")</f>
        <v> </v>
      </c>
      <c r="M189" s="65"/>
      <c r="N189" s="65"/>
    </row>
    <row r="190">
      <c r="A190" s="99" t="str">
        <f>IFERROR(__xludf.DUMMYFUNCTION("""COMPUTED_VALUE"""),"https://utrucking.com/admin/orders/6389117878460")</f>
        <v>https://utrucking.com/admin/orders/6389117878460</v>
      </c>
      <c r="B190" s="61" t="str">
        <f>IFERROR(__xludf.DUMMYFUNCTION("""COMPUTED_VALUE"""),"#17211")</f>
        <v>#17211</v>
      </c>
      <c r="C190" s="61" t="str">
        <f>IFERROR(__xludf.DUMMYFUNCTION("""COMPUTED_VALUE"""),"danailyse@gmail.com")</f>
        <v>danailyse@gmail.com</v>
      </c>
      <c r="D190" s="61"/>
      <c r="E190" s="61" t="str">
        <f>IFERROR(__xludf.DUMMYFUNCTION("""COMPUTED_VALUE"""),"Dana Rochester")</f>
        <v>Dana Rochester</v>
      </c>
      <c r="F190" s="61" t="str">
        <f>IFERROR(__xludf.DUMMYFUNCTION("""COMPUTED_VALUE"""),"Zoe Rochester")</f>
        <v>Zoe Rochester</v>
      </c>
      <c r="G190" s="61" t="str">
        <f>IFERROR(__xludf.DUMMYFUNCTION("""COMPUTED_VALUE""")," 1 [Included with Registration] / Included Insurance   - ")</f>
        <v> 1 [Included with Registration] / Included Insurance   - </v>
      </c>
      <c r="H190" s="61" t="str">
        <f>IFERROR(__xludf.DUMMYFUNCTION("""COMPUTED_VALUE"""),"Lien  ")</f>
        <v>Lien  </v>
      </c>
      <c r="I190" s="61" t="str">
        <f>IFERROR(__xludf.DUMMYFUNCTION("""COMPUTED_VALUE"""),"3330")</f>
        <v>3330</v>
      </c>
      <c r="J190" s="107" t="str">
        <f>IFERROR(__xludf.DUMMYFUNCTION("""COMPUTED_VALUE"""),"09:00 AM to 11:00 AM  ")</f>
        <v>09:00 AM to 11:00 AM  </v>
      </c>
      <c r="K190" s="100">
        <f>IFERROR(__xludf.DUMMYFUNCTION("""COMPUTED_VALUE"""),46148.0)</f>
        <v>46148</v>
      </c>
      <c r="L190" s="61" t="str">
        <f>IFERROR(__xludf.DUMMYFUNCTION("""COMPUTED_VALUE""")," ")</f>
        <v> </v>
      </c>
      <c r="M190" s="61"/>
      <c r="N190" s="61"/>
    </row>
    <row r="191">
      <c r="A191" s="102" t="str">
        <f>IFERROR(__xludf.DUMMYFUNCTION("""COMPUTED_VALUE"""),"https://utrucking.com/admin/orders/6389318975676")</f>
        <v>https://utrucking.com/admin/orders/6389318975676</v>
      </c>
      <c r="B191" s="65" t="str">
        <f>IFERROR(__xludf.DUMMYFUNCTION("""COMPUTED_VALUE"""),"#17212")</f>
        <v>#17212</v>
      </c>
      <c r="C191" s="65"/>
      <c r="D191" s="65">
        <f>IFERROR(__xludf.DUMMYFUNCTION("""COMPUTED_VALUE"""),1.054911922E9)</f>
        <v>1054911922</v>
      </c>
      <c r="E191" s="65" t="str">
        <f>IFERROR(__xludf.DUMMYFUNCTION("""COMPUTED_VALUE"""),"Gloria Lee")</f>
        <v>Gloria Lee</v>
      </c>
      <c r="F191" s="65" t="str">
        <f>IFERROR(__xludf.DUMMYFUNCTION("""COMPUTED_VALUE"""),"Hahyun (Gloria) Lee")</f>
        <v>Hahyun (Gloria) Lee</v>
      </c>
      <c r="G191" s="65" t="str">
        <f>IFERROR(__xludf.DUMMYFUNCTION("""COMPUTED_VALUE""")," 1 [Included with Registration] / Included Insurance   - ")</f>
        <v> 1 [Included with Registration] / Included Insurance   - </v>
      </c>
      <c r="H191" s="65" t="str">
        <f>IFERROR(__xludf.DUMMYFUNCTION("""COMPUTED_VALUE"""),"Millbrook Bldg. 3  ")</f>
        <v>Millbrook Bldg. 3  </v>
      </c>
      <c r="I191" s="65" t="str">
        <f>IFERROR(__xludf.DUMMYFUNCTION("""COMPUTED_VALUE"""),"202B - Room A")</f>
        <v>202B - Room A</v>
      </c>
      <c r="J191" s="108" t="str">
        <f>IFERROR(__xludf.DUMMYFUNCTION("""COMPUTED_VALUE"""),"09:00 AM to 11:00 AM  ")</f>
        <v>09:00 AM to 11:00 AM  </v>
      </c>
      <c r="K191" s="103">
        <f>IFERROR(__xludf.DUMMYFUNCTION("""COMPUTED_VALUE"""),46146.0)</f>
        <v>46146</v>
      </c>
      <c r="L191" s="65" t="str">
        <f>IFERROR(__xludf.DUMMYFUNCTION("""COMPUTED_VALUE""")," ")</f>
        <v> </v>
      </c>
      <c r="M191" s="65"/>
      <c r="N191" s="65"/>
    </row>
    <row r="192">
      <c r="A192" s="99" t="str">
        <f>IFERROR(__xludf.DUMMYFUNCTION("""COMPUTED_VALUE"""),"https://utrucking.com/admin/orders/6389835268284")</f>
        <v>https://utrucking.com/admin/orders/6389835268284</v>
      </c>
      <c r="B192" s="61" t="str">
        <f>IFERROR(__xludf.DUMMYFUNCTION("""COMPUTED_VALUE"""),"#17214")</f>
        <v>#17214</v>
      </c>
      <c r="C192" s="61" t="str">
        <f>IFERROR(__xludf.DUMMYFUNCTION("""COMPUTED_VALUE"""),"evan.k@wustl.edu")</f>
        <v>evan.k@wustl.edu</v>
      </c>
      <c r="D192" s="61" t="str">
        <f>IFERROR(__xludf.DUMMYFUNCTION("""COMPUTED_VALUE"""),"(469) 820-2045")</f>
        <v>(469) 820-2045</v>
      </c>
      <c r="E192" s="61" t="str">
        <f>IFERROR(__xludf.DUMMYFUNCTION("""COMPUTED_VALUE"""),"YOUNG BOO Kim")</f>
        <v>YOUNG BOO Kim</v>
      </c>
      <c r="F192" s="61" t="str">
        <f>IFERROR(__xludf.DUMMYFUNCTION("""COMPUTED_VALUE"""),"Evan JInu Kim")</f>
        <v>Evan JInu Kim</v>
      </c>
      <c r="G192" s="61" t="str">
        <f>IFERROR(__xludf.DUMMYFUNCTION("""COMPUTED_VALUE""")," 1 [Included with Registration] / Included Insurance   - ")</f>
        <v> 1 [Included with Registration] / Included Insurance   - </v>
      </c>
      <c r="H192" s="61" t="str">
        <f>IFERROR(__xludf.DUMMYFUNCTION("""COMPUTED_VALUE"""),"Loop Loft 6255  ")</f>
        <v>Loop Loft 6255  </v>
      </c>
      <c r="I192" s="61" t="str">
        <f>IFERROR(__xludf.DUMMYFUNCTION("""COMPUTED_VALUE"""),"307b")</f>
        <v>307b</v>
      </c>
      <c r="J192" s="107" t="str">
        <f>IFERROR(__xludf.DUMMYFUNCTION("""COMPUTED_VALUE"""),"10:00 AM to 12:00 PM  ")</f>
        <v>10:00 AM to 12:00 PM  </v>
      </c>
      <c r="K192" s="100">
        <f>IFERROR(__xludf.DUMMYFUNCTION("""COMPUTED_VALUE"""),46147.0)</f>
        <v>46147</v>
      </c>
      <c r="L192" s="61" t="str">
        <f>IFERROR(__xludf.DUMMYFUNCTION("""COMPUTED_VALUE""")," ")</f>
        <v> </v>
      </c>
      <c r="M192" s="61"/>
      <c r="N192" s="61"/>
    </row>
    <row r="193">
      <c r="A193" s="102" t="str">
        <f>IFERROR(__xludf.DUMMYFUNCTION("""COMPUTED_VALUE"""),"https://utrucking.com/admin/orders/6389954052284")</f>
        <v>https://utrucking.com/admin/orders/6389954052284</v>
      </c>
      <c r="B193" s="65" t="str">
        <f>IFERROR(__xludf.DUMMYFUNCTION("""COMPUTED_VALUE"""),"#17215")</f>
        <v>#17215</v>
      </c>
      <c r="C193" s="65"/>
      <c r="D193" s="65">
        <f>IFERROR(__xludf.DUMMYFUNCTION("""COMPUTED_VALUE"""),9.095186068E9)</f>
        <v>9095186068</v>
      </c>
      <c r="E193" s="65" t="str">
        <f>IFERROR(__xludf.DUMMYFUNCTION("""COMPUTED_VALUE"""),"Fia Lin")</f>
        <v>Fia Lin</v>
      </c>
      <c r="F193" s="65" t="str">
        <f>IFERROR(__xludf.DUMMYFUNCTION("""COMPUTED_VALUE"""),"Fia Lin")</f>
        <v>Fia Lin</v>
      </c>
      <c r="G193" s="65" t="str">
        <f>IFERROR(__xludf.DUMMYFUNCTION("""COMPUTED_VALUE""")," 1 [Included with Registration] / Included Insurance   - ")</f>
        <v> 1 [Included with Registration] / Included Insurance   - </v>
      </c>
      <c r="H193" s="65" t="str">
        <f>IFERROR(__xludf.DUMMYFUNCTION("""COMPUTED_VALUE"""),"Nemerov  ")</f>
        <v>Nemerov  </v>
      </c>
      <c r="I193" s="65" t="str">
        <f>IFERROR(__xludf.DUMMYFUNCTION("""COMPUTED_VALUE"""),"4110")</f>
        <v>4110</v>
      </c>
      <c r="J193" s="108" t="str">
        <f>IFERROR(__xludf.DUMMYFUNCTION("""COMPUTED_VALUE"""),"09:00 AM to 11:00 AM  ")</f>
        <v>09:00 AM to 11:00 AM  </v>
      </c>
      <c r="K193" s="103">
        <f>IFERROR(__xludf.DUMMYFUNCTION("""COMPUTED_VALUE"""),46150.0)</f>
        <v>46150</v>
      </c>
      <c r="L193" s="65" t="str">
        <f>IFERROR(__xludf.DUMMYFUNCTION("""COMPUTED_VALUE""")," ")</f>
        <v> </v>
      </c>
      <c r="M193" s="65"/>
      <c r="N193" s="65"/>
    </row>
    <row r="194">
      <c r="A194" s="99" t="str">
        <f>IFERROR(__xludf.DUMMYFUNCTION("""COMPUTED_VALUE"""),"https://utrucking.com/admin/orders/6390009954492")</f>
        <v>https://utrucking.com/admin/orders/6390009954492</v>
      </c>
      <c r="B194" s="61" t="str">
        <f>IFERROR(__xludf.DUMMYFUNCTION("""COMPUTED_VALUE"""),"#17216")</f>
        <v>#17216</v>
      </c>
      <c r="C194" s="61" t="str">
        <f>IFERROR(__xludf.DUMMYFUNCTION("""COMPUTED_VALUE"""),"e.d.salzberg@wustl.edu")</f>
        <v>e.d.salzberg@wustl.edu</v>
      </c>
      <c r="D194" s="61">
        <f>IFERROR(__xludf.DUMMYFUNCTION("""COMPUTED_VALUE"""),9.177330027E9)</f>
        <v>9177330027</v>
      </c>
      <c r="E194" s="61" t="str">
        <f>IFERROR(__xludf.DUMMYFUNCTION("""COMPUTED_VALUE"""),"Ellie Salzberg")</f>
        <v>Ellie Salzberg</v>
      </c>
      <c r="F194" s="61" t="str">
        <f>IFERROR(__xludf.DUMMYFUNCTION("""COMPUTED_VALUE"""),"Eliana Salzberg")</f>
        <v>Eliana Salzberg</v>
      </c>
      <c r="G194" s="61" t="str">
        <f>IFERROR(__xludf.DUMMYFUNCTION("""COMPUTED_VALUE""")," 1 [Included with Registration] / Included Insurance   - ")</f>
        <v> 1 [Included with Registration] / Included Insurance   - </v>
      </c>
      <c r="H194" s="61" t="str">
        <f>IFERROR(__xludf.DUMMYFUNCTION("""COMPUTED_VALUE"""),"Dauten  ")</f>
        <v>Dauten  </v>
      </c>
      <c r="I194" s="61" t="str">
        <f>IFERROR(__xludf.DUMMYFUNCTION("""COMPUTED_VALUE"""),"42")</f>
        <v>42</v>
      </c>
      <c r="J194" s="107" t="str">
        <f>IFERROR(__xludf.DUMMYFUNCTION("""COMPUTED_VALUE"""),"09:00 AM to 11:00 AM  ")</f>
        <v>09:00 AM to 11:00 AM  </v>
      </c>
      <c r="K194" s="100">
        <f>IFERROR(__xludf.DUMMYFUNCTION("""COMPUTED_VALUE"""),46148.0)</f>
        <v>46148</v>
      </c>
      <c r="L194" s="61" t="str">
        <f>IFERROR(__xludf.DUMMYFUNCTION("""COMPUTED_VALUE""")," ")</f>
        <v> </v>
      </c>
      <c r="M194" s="61"/>
      <c r="N194" s="61"/>
    </row>
    <row r="195">
      <c r="A195" s="102" t="str">
        <f>IFERROR(__xludf.DUMMYFUNCTION("""COMPUTED_VALUE"""),"https://utrucking.com/admin/orders/6390094561468")</f>
        <v>https://utrucking.com/admin/orders/6390094561468</v>
      </c>
      <c r="B195" s="65" t="str">
        <f>IFERROR(__xludf.DUMMYFUNCTION("""COMPUTED_VALUE"""),"#17217")</f>
        <v>#17217</v>
      </c>
      <c r="C195" s="65" t="str">
        <f>IFERROR(__xludf.DUMMYFUNCTION("""COMPUTED_VALUE"""),"halliekopel@gmail.com")</f>
        <v>halliekopel@gmail.com</v>
      </c>
      <c r="D195" s="65">
        <f>IFERROR(__xludf.DUMMYFUNCTION("""COMPUTED_VALUE"""),9.175533135E9)</f>
        <v>9175533135</v>
      </c>
      <c r="E195" s="65" t="str">
        <f>IFERROR(__xludf.DUMMYFUNCTION("""COMPUTED_VALUE"""),"Hallie Kopel")</f>
        <v>Hallie Kopel</v>
      </c>
      <c r="F195" s="65" t="str">
        <f>IFERROR(__xludf.DUMMYFUNCTION("""COMPUTED_VALUE"""),"Hallie Kopel")</f>
        <v>Hallie Kopel</v>
      </c>
      <c r="G195" s="65" t="str">
        <f>IFERROR(__xludf.DUMMYFUNCTION("""COMPUTED_VALUE""")," 2 / Included Insurance   - ")</f>
        <v> 2 / Included Insurance   - </v>
      </c>
      <c r="H195" s="65" t="str">
        <f>IFERROR(__xludf.DUMMYFUNCTION("""COMPUTED_VALUE"""),"Millbrook Bldg. 1  ")</f>
        <v>Millbrook Bldg. 1  </v>
      </c>
      <c r="I195" s="65" t="str">
        <f>IFERROR(__xludf.DUMMYFUNCTION("""COMPUTED_VALUE"""),"104D")</f>
        <v>104D</v>
      </c>
      <c r="J195" s="108" t="str">
        <f>IFERROR(__xludf.DUMMYFUNCTION("""COMPUTED_VALUE"""),"09:00 AM to 11:00 AM  ")</f>
        <v>09:00 AM to 11:00 AM  </v>
      </c>
      <c r="K195" s="103">
        <f>IFERROR(__xludf.DUMMYFUNCTION("""COMPUTED_VALUE"""),46146.0)</f>
        <v>46146</v>
      </c>
      <c r="L195" s="65" t="str">
        <f>IFERROR(__xludf.DUMMYFUNCTION("""COMPUTED_VALUE""")," ")</f>
        <v> </v>
      </c>
      <c r="M195" s="65"/>
      <c r="N195" s="65"/>
    </row>
    <row r="196">
      <c r="A196" s="99" t="str">
        <f>IFERROR(__xludf.DUMMYFUNCTION("""COMPUTED_VALUE"""),"https://utrucking.com/admin/orders/6390151676092")</f>
        <v>https://utrucking.com/admin/orders/6390151676092</v>
      </c>
      <c r="B196" s="61" t="str">
        <f>IFERROR(__xludf.DUMMYFUNCTION("""COMPUTED_VALUE"""),"#17218")</f>
        <v>#17218</v>
      </c>
      <c r="C196" s="61"/>
      <c r="D196" s="61">
        <f>IFERROR(__xludf.DUMMYFUNCTION("""COMPUTED_VALUE"""),3.012761373E9)</f>
        <v>3012761373</v>
      </c>
      <c r="E196" s="61" t="str">
        <f>IFERROR(__xludf.DUMMYFUNCTION("""COMPUTED_VALUE"""),"Ari Blumenthal")</f>
        <v>Ari Blumenthal</v>
      </c>
      <c r="F196" s="61" t="str">
        <f>IFERROR(__xludf.DUMMYFUNCTION("""COMPUTED_VALUE"""),"Ari Blumenthal")</f>
        <v>Ari Blumenthal</v>
      </c>
      <c r="G196" s="61" t="str">
        <f>IFERROR(__xludf.DUMMYFUNCTION("""COMPUTED_VALUE""")," 3 / Included Insurance   - ")</f>
        <v> 3 / Included Insurance   - </v>
      </c>
      <c r="H196" s="61" t="str">
        <f>IFERROR(__xludf.DUMMYFUNCTION("""COMPUTED_VALUE"""),"House 21 (Alpha Epsilon Pi)  ")</f>
        <v>House 21 (Alpha Epsilon Pi)  </v>
      </c>
      <c r="I196" s="61" t="str">
        <f>IFERROR(__xludf.DUMMYFUNCTION("""COMPUTED_VALUE"""),"3093")</f>
        <v>3093</v>
      </c>
      <c r="J196" s="107" t="str">
        <f>IFERROR(__xludf.DUMMYFUNCTION("""COMPUTED_VALUE"""),"03:00 PM to 05:00 PM")</f>
        <v>03:00 PM to 05:00 PM</v>
      </c>
      <c r="K196" s="100">
        <f>IFERROR(__xludf.DUMMYFUNCTION("""COMPUTED_VALUE"""),46146.0)</f>
        <v>46146</v>
      </c>
      <c r="L196" s="61" t="str">
        <f>IFERROR(__xludf.DUMMYFUNCTION("""COMPUTED_VALUE""")," ")</f>
        <v> </v>
      </c>
      <c r="M196" s="61"/>
      <c r="N196" s="61"/>
    </row>
    <row r="197">
      <c r="A197" s="102" t="str">
        <f>IFERROR(__xludf.DUMMYFUNCTION("""COMPUTED_VALUE"""),"https://utrucking.com/admin/orders/6390290874556")</f>
        <v>https://utrucking.com/admin/orders/6390290874556</v>
      </c>
      <c r="B197" s="65" t="str">
        <f>IFERROR(__xludf.DUMMYFUNCTION("""COMPUTED_VALUE"""),"#17220")</f>
        <v>#17220</v>
      </c>
      <c r="C197" s="65"/>
      <c r="D197" s="65"/>
      <c r="E197" s="65" t="str">
        <f>IFERROR(__xludf.DUMMYFUNCTION("""COMPUTED_VALUE"""),"Ayisat Jimoh")</f>
        <v>Ayisat Jimoh</v>
      </c>
      <c r="F197" s="65" t="str">
        <f>IFERROR(__xludf.DUMMYFUNCTION("""COMPUTED_VALUE"""),"Ayisat Jimoh")</f>
        <v>Ayisat Jimoh</v>
      </c>
      <c r="G197" s="65" t="str">
        <f>IFERROR(__xludf.DUMMYFUNCTION("""COMPUTED_VALUE""")," 1 [Included with Registration] / Included Insurance   - ")</f>
        <v> 1 [Included with Registration] / Included Insurance   - </v>
      </c>
      <c r="H197" s="65" t="str">
        <f>IFERROR(__xludf.DUMMYFUNCTION("""COMPUTED_VALUE"""),"Umrath  ")</f>
        <v>Umrath  </v>
      </c>
      <c r="I197" s="65" t="str">
        <f>IFERROR(__xludf.DUMMYFUNCTION("""COMPUTED_VALUE"""),"4402")</f>
        <v>4402</v>
      </c>
      <c r="J197" s="108" t="str">
        <f>IFERROR(__xludf.DUMMYFUNCTION("""COMPUTED_VALUE"""),"09:00 AM to 11:00 AM  ")</f>
        <v>09:00 AM to 11:00 AM  </v>
      </c>
      <c r="K197" s="103">
        <f>IFERROR(__xludf.DUMMYFUNCTION("""COMPUTED_VALUE"""),46149.0)</f>
        <v>46149</v>
      </c>
      <c r="L197" s="65" t="str">
        <f>IFERROR(__xludf.DUMMYFUNCTION("""COMPUTED_VALUE""")," ")</f>
        <v> </v>
      </c>
      <c r="M197" s="65"/>
      <c r="N197" s="65"/>
    </row>
    <row r="198">
      <c r="A198" s="99" t="str">
        <f>IFERROR(__xludf.DUMMYFUNCTION("""COMPUTED_VALUE"""),"https://utrucking.com/admin/orders/6390772400316")</f>
        <v>https://utrucking.com/admin/orders/6390772400316</v>
      </c>
      <c r="B198" s="61" t="str">
        <f>IFERROR(__xludf.DUMMYFUNCTION("""COMPUTED_VALUE"""),"#17223")</f>
        <v>#17223</v>
      </c>
      <c r="C198" s="61" t="str">
        <f>IFERROR(__xludf.DUMMYFUNCTION("""COMPUTED_VALUE"""),"ksissoko2006@gmail.com")</f>
        <v>ksissoko2006@gmail.com</v>
      </c>
      <c r="D198" s="61">
        <f>IFERROR(__xludf.DUMMYFUNCTION("""COMPUTED_VALUE"""),3.045332912E9)</f>
        <v>3045332912</v>
      </c>
      <c r="E198" s="61" t="str">
        <f>IFERROR(__xludf.DUMMYFUNCTION("""COMPUTED_VALUE"""),"Khadija Sissoko")</f>
        <v>Khadija Sissoko</v>
      </c>
      <c r="F198" s="61" t="str">
        <f>IFERROR(__xludf.DUMMYFUNCTION("""COMPUTED_VALUE"""),"Khadija Sissoko")</f>
        <v>Khadija Sissoko</v>
      </c>
      <c r="G198" s="61" t="str">
        <f>IFERROR(__xludf.DUMMYFUNCTION("""COMPUTED_VALUE""")," 1 [Included with Registration] / Included Insurance   - ")</f>
        <v> 1 [Included with Registration] / Included Insurance   - </v>
      </c>
      <c r="H198" s="61" t="str">
        <f>IFERROR(__xludf.DUMMYFUNCTION("""COMPUTED_VALUE"""),"Umrath  ")</f>
        <v>Umrath  </v>
      </c>
      <c r="I198" s="61" t="str">
        <f>IFERROR(__xludf.DUMMYFUNCTION("""COMPUTED_VALUE"""),"4434")</f>
        <v>4434</v>
      </c>
      <c r="J198" s="107" t="str">
        <f>IFERROR(__xludf.DUMMYFUNCTION("""COMPUTED_VALUE"""),"02:00 PM to 04:00 PM")</f>
        <v>02:00 PM to 04:00 PM</v>
      </c>
      <c r="K198" s="100">
        <f>IFERROR(__xludf.DUMMYFUNCTION("""COMPUTED_VALUE"""),46144.0)</f>
        <v>46144</v>
      </c>
      <c r="L198" s="61" t="str">
        <f>IFERROR(__xludf.DUMMYFUNCTION("""COMPUTED_VALUE""")," ")</f>
        <v> </v>
      </c>
      <c r="M198" s="61"/>
      <c r="N198" s="61"/>
    </row>
    <row r="199">
      <c r="A199" s="102" t="str">
        <f>IFERROR(__xludf.DUMMYFUNCTION("""COMPUTED_VALUE"""),"https://utrucking.com/admin/orders/6390835183804")</f>
        <v>https://utrucking.com/admin/orders/6390835183804</v>
      </c>
      <c r="B199" s="65" t="str">
        <f>IFERROR(__xludf.DUMMYFUNCTION("""COMPUTED_VALUE"""),"#17224")</f>
        <v>#17224</v>
      </c>
      <c r="C199" s="65" t="str">
        <f>IFERROR(__xludf.DUMMYFUNCTION("""COMPUTED_VALUE"""),"lily.comander@gmail.com")</f>
        <v>lily.comander@gmail.com</v>
      </c>
      <c r="D199" s="65">
        <f>IFERROR(__xludf.DUMMYFUNCTION("""COMPUTED_VALUE"""),1.6174547962E10)</f>
        <v>16174547962</v>
      </c>
      <c r="E199" s="65" t="str">
        <f>IFERROR(__xludf.DUMMYFUNCTION("""COMPUTED_VALUE"""),"Lily Comander")</f>
        <v>Lily Comander</v>
      </c>
      <c r="F199" s="65" t="str">
        <f>IFERROR(__xludf.DUMMYFUNCTION("""COMPUTED_VALUE"""),"Lily Comander")</f>
        <v>Lily Comander</v>
      </c>
      <c r="G199" s="65" t="str">
        <f>IFERROR(__xludf.DUMMYFUNCTION("""COMPUTED_VALUE""")," 1 [Included with Registration] / Included Insurance   - ")</f>
        <v> 1 [Included with Registration] / Included Insurance   - </v>
      </c>
      <c r="H199" s="65" t="str">
        <f>IFERROR(__xludf.DUMMYFUNCTION("""COMPUTED_VALUE"""),"Dardick  ")</f>
        <v>Dardick  </v>
      </c>
      <c r="I199" s="65" t="str">
        <f>IFERROR(__xludf.DUMMYFUNCTION("""COMPUTED_VALUE"""),"3305")</f>
        <v>3305</v>
      </c>
      <c r="J199" s="108" t="str">
        <f>IFERROR(__xludf.DUMMYFUNCTION("""COMPUTED_VALUE"""),"01:00 PM to 03:00 PM  ")</f>
        <v>01:00 PM to 03:00 PM  </v>
      </c>
      <c r="K199" s="103">
        <f>IFERROR(__xludf.DUMMYFUNCTION("""COMPUTED_VALUE"""),46147.0)</f>
        <v>46147</v>
      </c>
      <c r="L199" s="65" t="str">
        <f>IFERROR(__xludf.DUMMYFUNCTION("""COMPUTED_VALUE""")," ")</f>
        <v> </v>
      </c>
      <c r="M199" s="65"/>
      <c r="N199" s="65"/>
    </row>
    <row r="200">
      <c r="A200" s="99" t="str">
        <f>IFERROR(__xludf.DUMMYFUNCTION("""COMPUTED_VALUE"""),"https://utrucking.com/admin/orders/6390865068220")</f>
        <v>https://utrucking.com/admin/orders/6390865068220</v>
      </c>
      <c r="B200" s="61" t="str">
        <f>IFERROR(__xludf.DUMMYFUNCTION("""COMPUTED_VALUE"""),"#17225")</f>
        <v>#17225</v>
      </c>
      <c r="C200" s="61" t="str">
        <f>IFERROR(__xludf.DUMMYFUNCTION("""COMPUTED_VALUE"""),"rothstein@wustl.edu")</f>
        <v>rothstein@wustl.edu</v>
      </c>
      <c r="D200" s="61">
        <f>IFERROR(__xludf.DUMMYFUNCTION("""COMPUTED_VALUE"""),3.104150928E9)</f>
        <v>3104150928</v>
      </c>
      <c r="E200" s="61" t="str">
        <f>IFERROR(__xludf.DUMMYFUNCTION("""COMPUTED_VALUE"""),"Alain Rothstein")</f>
        <v>Alain Rothstein</v>
      </c>
      <c r="F200" s="61" t="str">
        <f>IFERROR(__xludf.DUMMYFUNCTION("""COMPUTED_VALUE"""),"William Rothstein")</f>
        <v>William Rothstein</v>
      </c>
      <c r="G200" s="61" t="str">
        <f>IFERROR(__xludf.DUMMYFUNCTION("""COMPUTED_VALUE""")," 1 [Included with Registration] / Included Insurance   - ")</f>
        <v> 1 [Included with Registration] / Included Insurance   - </v>
      </c>
      <c r="H200" s="61" t="str">
        <f>IFERROR(__xludf.DUMMYFUNCTION("""COMPUTED_VALUE"""),"Danforth  ")</f>
        <v>Danforth  </v>
      </c>
      <c r="I200" s="61" t="str">
        <f>IFERROR(__xludf.DUMMYFUNCTION("""COMPUTED_VALUE"""),"3302")</f>
        <v>3302</v>
      </c>
      <c r="J200" s="107" t="str">
        <f>IFERROR(__xludf.DUMMYFUNCTION("""COMPUTED_VALUE"""),"12:00 PM to 02:00 PM  ")</f>
        <v>12:00 PM to 02:00 PM  </v>
      </c>
      <c r="K200" s="100">
        <f>IFERROR(__xludf.DUMMYFUNCTION("""COMPUTED_VALUE"""),46147.0)</f>
        <v>46147</v>
      </c>
      <c r="L200" s="61" t="str">
        <f>IFERROR(__xludf.DUMMYFUNCTION("""COMPUTED_VALUE""")," ")</f>
        <v> </v>
      </c>
      <c r="M200" s="61"/>
      <c r="N200" s="61"/>
    </row>
    <row r="201">
      <c r="A201" s="102" t="str">
        <f>IFERROR(__xludf.DUMMYFUNCTION("""COMPUTED_VALUE"""),"https://utrucking.com/admin/orders/6391600644284")</f>
        <v>https://utrucking.com/admin/orders/6391600644284</v>
      </c>
      <c r="B201" s="65" t="str">
        <f>IFERROR(__xludf.DUMMYFUNCTION("""COMPUTED_VALUE"""),"#17226")</f>
        <v>#17226</v>
      </c>
      <c r="C201" s="65" t="str">
        <f>IFERROR(__xludf.DUMMYFUNCTION("""COMPUTED_VALUE"""),"efbroad@gmail.com")</f>
        <v>efbroad@gmail.com</v>
      </c>
      <c r="D201" s="65"/>
      <c r="E201" s="65" t="str">
        <f>IFERROR(__xludf.DUMMYFUNCTION("""COMPUTED_VALUE"""),"Elaine Broad")</f>
        <v>Elaine Broad</v>
      </c>
      <c r="F201" s="65" t="str">
        <f>IFERROR(__xludf.DUMMYFUNCTION("""COMPUTED_VALUE"""),"Casey Manno")</f>
        <v>Casey Manno</v>
      </c>
      <c r="G201" s="65" t="str">
        <f>IFERROR(__xludf.DUMMYFUNCTION("""COMPUTED_VALUE""")," 1 [Included with Registration] / Included Insurance   - ")</f>
        <v> 1 [Included with Registration] / Included Insurance   - </v>
      </c>
      <c r="H201" s="65" t="str">
        <f>IFERROR(__xludf.DUMMYFUNCTION("""COMPUTED_VALUE"""),"Lien  ")</f>
        <v>Lien  </v>
      </c>
      <c r="I201" s="65" t="str">
        <f>IFERROR(__xludf.DUMMYFUNCTION("""COMPUTED_VALUE"""),"3330")</f>
        <v>3330</v>
      </c>
      <c r="J201" s="108" t="str">
        <f>IFERROR(__xludf.DUMMYFUNCTION("""COMPUTED_VALUE"""),"03:00 PM to 05:00 PM")</f>
        <v>03:00 PM to 05:00 PM</v>
      </c>
      <c r="K201" s="103">
        <f>IFERROR(__xludf.DUMMYFUNCTION("""COMPUTED_VALUE"""),46143.0)</f>
        <v>46143</v>
      </c>
      <c r="L201" s="65" t="str">
        <f>IFERROR(__xludf.DUMMYFUNCTION("""COMPUTED_VALUE""")," ")</f>
        <v> </v>
      </c>
      <c r="M201" s="65"/>
      <c r="N201" s="65"/>
    </row>
    <row r="202">
      <c r="A202" s="99" t="str">
        <f>IFERROR(__xludf.DUMMYFUNCTION("""COMPUTED_VALUE"""),"https://utrucking.com/admin/orders/6391810097340")</f>
        <v>https://utrucking.com/admin/orders/6391810097340</v>
      </c>
      <c r="B202" s="61" t="str">
        <f>IFERROR(__xludf.DUMMYFUNCTION("""COMPUTED_VALUE"""),"#17227")</f>
        <v>#17227</v>
      </c>
      <c r="C202" s="61" t="str">
        <f>IFERROR(__xludf.DUMMYFUNCTION("""COMPUTED_VALUE"""),"c.e.pastrano@wustl.edu")</f>
        <v>c.e.pastrano@wustl.edu</v>
      </c>
      <c r="D202" s="61">
        <f>IFERROR(__xludf.DUMMYFUNCTION("""COMPUTED_VALUE"""),6.465993393E9)</f>
        <v>6465993393</v>
      </c>
      <c r="E202" s="61" t="str">
        <f>IFERROR(__xludf.DUMMYFUNCTION("""COMPUTED_VALUE"""),"Cami Pastrano")</f>
        <v>Cami Pastrano</v>
      </c>
      <c r="F202" s="61" t="str">
        <f>IFERROR(__xludf.DUMMYFUNCTION("""COMPUTED_VALUE"""),"Cami Pastrano")</f>
        <v>Cami Pastrano</v>
      </c>
      <c r="G202" s="61" t="str">
        <f>IFERROR(__xludf.DUMMYFUNCTION("""COMPUTED_VALUE""")," 2 / Included Insurance   - ")</f>
        <v> 2 / Included Insurance   - </v>
      </c>
      <c r="H202" s="61" t="str">
        <f>IFERROR(__xludf.DUMMYFUNCTION("""COMPUTED_VALUE"""),"Dardick  ")</f>
        <v>Dardick  </v>
      </c>
      <c r="I202" s="61" t="str">
        <f>IFERROR(__xludf.DUMMYFUNCTION("""COMPUTED_VALUE"""),"3309")</f>
        <v>3309</v>
      </c>
      <c r="J202" s="107" t="str">
        <f>IFERROR(__xludf.DUMMYFUNCTION("""COMPUTED_VALUE"""),"02:00 PM to 04:00 PM")</f>
        <v>02:00 PM to 04:00 PM</v>
      </c>
      <c r="K202" s="100">
        <f>IFERROR(__xludf.DUMMYFUNCTION("""COMPUTED_VALUE"""),46143.0)</f>
        <v>46143</v>
      </c>
      <c r="L202" s="61" t="str">
        <f>IFERROR(__xludf.DUMMYFUNCTION("""COMPUTED_VALUE""")," ")</f>
        <v> </v>
      </c>
      <c r="M202" s="61"/>
      <c r="N202" s="61"/>
    </row>
    <row r="203">
      <c r="A203" s="102" t="str">
        <f>IFERROR(__xludf.DUMMYFUNCTION("""COMPUTED_VALUE"""),"https://utrucking.com/admin/orders/6392737267900")</f>
        <v>https://utrucking.com/admin/orders/6392737267900</v>
      </c>
      <c r="B203" s="65" t="str">
        <f>IFERROR(__xludf.DUMMYFUNCTION("""COMPUTED_VALUE"""),"#17229")</f>
        <v>#17229</v>
      </c>
      <c r="C203" s="65" t="str">
        <f>IFERROR(__xludf.DUMMYFUNCTION("""COMPUTED_VALUE"""),"becky.l@wustl.edu")</f>
        <v>becky.l@wustl.edu</v>
      </c>
      <c r="D203" s="65">
        <f>IFERROR(__xludf.DUMMYFUNCTION("""COMPUTED_VALUE"""),7.147460017E9)</f>
        <v>7147460017</v>
      </c>
      <c r="E203" s="65" t="str">
        <f>IFERROR(__xludf.DUMMYFUNCTION("""COMPUTED_VALUE"""),"Becky Liu")</f>
        <v>Becky Liu</v>
      </c>
      <c r="F203" s="65" t="str">
        <f>IFERROR(__xludf.DUMMYFUNCTION("""COMPUTED_VALUE"""),"Becky Liu")</f>
        <v>Becky Liu</v>
      </c>
      <c r="G203" s="65" t="str">
        <f>IFERROR(__xludf.DUMMYFUNCTION("""COMPUTED_VALUE""")," 1 [Included with Registration] / Included Insurance   - ")</f>
        <v> 1 [Included with Registration] / Included Insurance   - </v>
      </c>
      <c r="H203" s="65" t="str">
        <f>IFERROR(__xludf.DUMMYFUNCTION("""COMPUTED_VALUE"""),"Village House  ")</f>
        <v>Village House  </v>
      </c>
      <c r="I203" s="65" t="str">
        <f>IFERROR(__xludf.DUMMYFUNCTION("""COMPUTED_VALUE"""),"4031")</f>
        <v>4031</v>
      </c>
      <c r="J203" s="108" t="str">
        <f>IFERROR(__xludf.DUMMYFUNCTION("""COMPUTED_VALUE"""),"10:00 AM to 12:00 PM  ")</f>
        <v>10:00 AM to 12:00 PM  </v>
      </c>
      <c r="K203" s="103">
        <f>IFERROR(__xludf.DUMMYFUNCTION("""COMPUTED_VALUE"""),46149.0)</f>
        <v>46149</v>
      </c>
      <c r="L203" s="65" t="str">
        <f>IFERROR(__xludf.DUMMYFUNCTION("""COMPUTED_VALUE""")," ")</f>
        <v> </v>
      </c>
      <c r="M203" s="65"/>
      <c r="N203" s="65"/>
    </row>
    <row r="204">
      <c r="A204" s="99" t="str">
        <f>IFERROR(__xludf.DUMMYFUNCTION("""COMPUTED_VALUE"""),"https://utrucking.com/admin/orders/6392770199740")</f>
        <v>https://utrucking.com/admin/orders/6392770199740</v>
      </c>
      <c r="B204" s="61" t="str">
        <f>IFERROR(__xludf.DUMMYFUNCTION("""COMPUTED_VALUE"""),"#17230")</f>
        <v>#17230</v>
      </c>
      <c r="C204" s="61" t="str">
        <f>IFERROR(__xludf.DUMMYFUNCTION("""COMPUTED_VALUE"""),"svpandit6@gmail.com")</f>
        <v>svpandit6@gmail.com</v>
      </c>
      <c r="D204" s="61"/>
      <c r="E204" s="61" t="str">
        <f>IFERROR(__xludf.DUMMYFUNCTION("""COMPUTED_VALUE"""),"Rahul Pandit")</f>
        <v>Rahul Pandit</v>
      </c>
      <c r="F204" s="61" t="str">
        <f>IFERROR(__xludf.DUMMYFUNCTION("""COMPUTED_VALUE"""),"Sanjna Pandit")</f>
        <v>Sanjna Pandit</v>
      </c>
      <c r="G204" s="61" t="str">
        <f>IFERROR(__xludf.DUMMYFUNCTION("""COMPUTED_VALUE""")," 1 [Included with Registration] / Included Insurance   - ")</f>
        <v> 1 [Included with Registration] / Included Insurance   - </v>
      </c>
      <c r="H204" s="61" t="str">
        <f>IFERROR(__xludf.DUMMYFUNCTION("""COMPUTED_VALUE"""),"Mudd  ")</f>
        <v>Mudd  </v>
      </c>
      <c r="I204" s="61" t="str">
        <f>IFERROR(__xludf.DUMMYFUNCTION("""COMPUTED_VALUE"""),"214")</f>
        <v>214</v>
      </c>
      <c r="J204" s="107" t="str">
        <f>IFERROR(__xludf.DUMMYFUNCTION("""COMPUTED_VALUE"""),"09:00 AM to 11:00 AM  ")</f>
        <v>09:00 AM to 11:00 AM  </v>
      </c>
      <c r="K204" s="100">
        <f>IFERROR(__xludf.DUMMYFUNCTION("""COMPUTED_VALUE"""),46149.0)</f>
        <v>46149</v>
      </c>
      <c r="L204" s="61" t="str">
        <f>IFERROR(__xludf.DUMMYFUNCTION("""COMPUTED_VALUE""")," ")</f>
        <v> </v>
      </c>
      <c r="M204" s="61"/>
      <c r="N204" s="61"/>
    </row>
    <row r="205">
      <c r="A205" s="102" t="str">
        <f>IFERROR(__xludf.DUMMYFUNCTION("""COMPUTED_VALUE"""),"https://admin.shopify.com/store/utrucking/orders/6392928469180?link_source=search")</f>
        <v>https://admin.shopify.com/store/utrucking/orders/6392928469180?link_source=search</v>
      </c>
      <c r="B205" s="65" t="str">
        <f>IFERROR(__xludf.DUMMYFUNCTION("""COMPUTED_VALUE"""),"#17233")</f>
        <v>#17233</v>
      </c>
      <c r="C205" s="65" t="str">
        <f>IFERROR(__xludf.DUMMYFUNCTION("""COMPUTED_VALUE"""),"s.m.schwartz@wustl.edu")</f>
        <v>s.m.schwartz@wustl.edu</v>
      </c>
      <c r="D205" s="65" t="str">
        <f>IFERROR(__xludf.DUMMYFUNCTION("""COMPUTED_VALUE"""),"(949)230-0616")</f>
        <v>(949)230-0616</v>
      </c>
      <c r="E205" s="65" t="str">
        <f>IFERROR(__xludf.DUMMYFUNCTION("""COMPUTED_VALUE"""),"Sophie Schwartz")</f>
        <v>Sophie Schwartz</v>
      </c>
      <c r="F205" s="65" t="str">
        <f>IFERROR(__xludf.DUMMYFUNCTION("""COMPUTED_VALUE"""),"Sophie Schwartz")</f>
        <v>Sophie Schwartz</v>
      </c>
      <c r="G205" s="65" t="str">
        <f>IFERROR(__xludf.DUMMYFUNCTION("""COMPUTED_VALUE"""),"1 [Included with Registration] / Included Insurance")</f>
        <v>1 [Included with Registration] / Included Insurance</v>
      </c>
      <c r="H205" s="65" t="str">
        <f>IFERROR(__xludf.DUMMYFUNCTION("""COMPUTED_VALUE"""),"Liggett")</f>
        <v>Liggett</v>
      </c>
      <c r="I205" s="65" t="str">
        <f>IFERROR(__xludf.DUMMYFUNCTION("""COMPUTED_VALUE"""),"2274A")</f>
        <v>2274A</v>
      </c>
      <c r="J205" s="108" t="str">
        <f>IFERROR(__xludf.DUMMYFUNCTION("""COMPUTED_VALUE"""),"03:00 PM to 05:00 PM")</f>
        <v>03:00 PM to 05:00 PM</v>
      </c>
      <c r="K205" s="103">
        <f>IFERROR(__xludf.DUMMYFUNCTION("""COMPUTED_VALUE"""),46140.0)</f>
        <v>46140</v>
      </c>
      <c r="L205" s="65"/>
      <c r="M205" s="65"/>
      <c r="N205" s="65"/>
    </row>
    <row r="206">
      <c r="A206" s="99" t="str">
        <f>IFERROR(__xludf.DUMMYFUNCTION("""COMPUTED_VALUE"""),"https://utrucking.com/admin/orders/6393041289404")</f>
        <v>https://utrucking.com/admin/orders/6393041289404</v>
      </c>
      <c r="B206" s="61" t="str">
        <f>IFERROR(__xludf.DUMMYFUNCTION("""COMPUTED_VALUE"""),"#17234")</f>
        <v>#17234</v>
      </c>
      <c r="C206" s="61" t="str">
        <f>IFERROR(__xludf.DUMMYFUNCTION("""COMPUTED_VALUE"""),"faier@wustl.edu")</f>
        <v>faier@wustl.edu</v>
      </c>
      <c r="D206" s="61">
        <f>IFERROR(__xludf.DUMMYFUNCTION("""COMPUTED_VALUE"""),8.473056032E9)</f>
        <v>8473056032</v>
      </c>
      <c r="E206" s="61" t="str">
        <f>IFERROR(__xludf.DUMMYFUNCTION("""COMPUTED_VALUE"""),"Maya Faier")</f>
        <v>Maya Faier</v>
      </c>
      <c r="F206" s="61" t="str">
        <f>IFERROR(__xludf.DUMMYFUNCTION("""COMPUTED_VALUE"""),"Maya Faier")</f>
        <v>Maya Faier</v>
      </c>
      <c r="G206" s="61" t="str">
        <f>IFERROR(__xludf.DUMMYFUNCTION("""COMPUTED_VALUE""")," 1 [Included with Registration] / Included Insurance   - ")</f>
        <v> 1 [Included with Registration] / Included Insurance   - </v>
      </c>
      <c r="H206" s="61" t="str">
        <f>IFERROR(__xludf.DUMMYFUNCTION("""COMPUTED_VALUE"""),"Myers  ")</f>
        <v>Myers  </v>
      </c>
      <c r="I206" s="61" t="str">
        <f>IFERROR(__xludf.DUMMYFUNCTION("""COMPUTED_VALUE"""),"413")</f>
        <v>413</v>
      </c>
      <c r="J206" s="107" t="str">
        <f>IFERROR(__xludf.DUMMYFUNCTION("""COMPUTED_VALUE"""),"02:00 PM to 04:00 PM")</f>
        <v>02:00 PM to 04:00 PM</v>
      </c>
      <c r="K206" s="100">
        <f>IFERROR(__xludf.DUMMYFUNCTION("""COMPUTED_VALUE"""),46149.0)</f>
        <v>46149</v>
      </c>
      <c r="L206" s="61" t="str">
        <f>IFERROR(__xludf.DUMMYFUNCTION("""COMPUTED_VALUE""")," ")</f>
        <v> </v>
      </c>
      <c r="M206" s="61"/>
      <c r="N206" s="61"/>
    </row>
    <row r="207">
      <c r="A207" s="102" t="str">
        <f>IFERROR(__xludf.DUMMYFUNCTION("""COMPUTED_VALUE"""),"https://utrucking.com/admin/orders/6393163710652")</f>
        <v>https://utrucking.com/admin/orders/6393163710652</v>
      </c>
      <c r="B207" s="65" t="str">
        <f>IFERROR(__xludf.DUMMYFUNCTION("""COMPUTED_VALUE"""),"#17235")</f>
        <v>#17235</v>
      </c>
      <c r="C207" s="65" t="str">
        <f>IFERROR(__xludf.DUMMYFUNCTION("""COMPUTED_VALUE"""),"m.bell@wustl.edu")</f>
        <v>m.bell@wustl.edu</v>
      </c>
      <c r="D207" s="65">
        <f>IFERROR(__xludf.DUMMYFUNCTION("""COMPUTED_VALUE"""),3.12344005E9)</f>
        <v>3123440050</v>
      </c>
      <c r="E207" s="65" t="str">
        <f>IFERROR(__xludf.DUMMYFUNCTION("""COMPUTED_VALUE"""),"Chanel Bell")</f>
        <v>Chanel Bell</v>
      </c>
      <c r="F207" s="65" t="str">
        <f>IFERROR(__xludf.DUMMYFUNCTION("""COMPUTED_VALUE"""),"Mia Bell")</f>
        <v>Mia Bell</v>
      </c>
      <c r="G207" s="65" t="str">
        <f>IFERROR(__xludf.DUMMYFUNCTION("""COMPUTED_VALUE""")," 1 [Included with Registration] / Included Insurance   - ")</f>
        <v> 1 [Included with Registration] / Included Insurance   - </v>
      </c>
      <c r="H207" s="65" t="str">
        <f>IFERROR(__xludf.DUMMYFUNCTION("""COMPUTED_VALUE"""),"Lien  ")</f>
        <v>Lien  </v>
      </c>
      <c r="I207" s="65" t="str">
        <f>IFERROR(__xludf.DUMMYFUNCTION("""COMPUTED_VALUE"""),"2220")</f>
        <v>2220</v>
      </c>
      <c r="J207" s="108" t="str">
        <f>IFERROR(__xludf.DUMMYFUNCTION("""COMPUTED_VALUE"""),"10:00 AM to 12:00 PM  ")</f>
        <v>10:00 AM to 12:00 PM  </v>
      </c>
      <c r="K207" s="103">
        <f>IFERROR(__xludf.DUMMYFUNCTION("""COMPUTED_VALUE"""),46148.0)</f>
        <v>46148</v>
      </c>
      <c r="L207" s="65" t="str">
        <f>IFERROR(__xludf.DUMMYFUNCTION("""COMPUTED_VALUE""")," ")</f>
        <v> </v>
      </c>
      <c r="M207" s="65"/>
      <c r="N207" s="65"/>
    </row>
    <row r="208">
      <c r="A208" s="99" t="str">
        <f>IFERROR(__xludf.DUMMYFUNCTION("""COMPUTED_VALUE"""),"https://utrucking.com/admin/orders/6393200017596")</f>
        <v>https://utrucking.com/admin/orders/6393200017596</v>
      </c>
      <c r="B208" s="61" t="str">
        <f>IFERROR(__xludf.DUMMYFUNCTION("""COMPUTED_VALUE"""),"#17236")</f>
        <v>#17236</v>
      </c>
      <c r="C208" s="61"/>
      <c r="D208" s="61"/>
      <c r="E208" s="61" t="str">
        <f>IFERROR(__xludf.DUMMYFUNCTION("""COMPUTED_VALUE"""),"Jessica Ebroon")</f>
        <v>Jessica Ebroon</v>
      </c>
      <c r="F208" s="61" t="str">
        <f>IFERROR(__xludf.DUMMYFUNCTION("""COMPUTED_VALUE"""),"Jessica Ebroon")</f>
        <v>Jessica Ebroon</v>
      </c>
      <c r="G208" s="61" t="str">
        <f>IFERROR(__xludf.DUMMYFUNCTION("""COMPUTED_VALUE""")," 1 [Included with Registration] / Included Insurance   - ")</f>
        <v> 1 [Included with Registration] / Included Insurance   - </v>
      </c>
      <c r="H208" s="61" t="str">
        <f>IFERROR(__xludf.DUMMYFUNCTION("""COMPUTED_VALUE"""),"Lien  ")</f>
        <v>Lien  </v>
      </c>
      <c r="I208" s="61" t="str">
        <f>IFERROR(__xludf.DUMMYFUNCTION("""COMPUTED_VALUE"""),"3329")</f>
        <v>3329</v>
      </c>
      <c r="J208" s="107" t="str">
        <f>IFERROR(__xludf.DUMMYFUNCTION("""COMPUTED_VALUE"""),"03:00 PM to 05:00 PM")</f>
        <v>03:00 PM to 05:00 PM</v>
      </c>
      <c r="K208" s="100">
        <f>IFERROR(__xludf.DUMMYFUNCTION("""COMPUTED_VALUE"""),46147.0)</f>
        <v>46147</v>
      </c>
      <c r="L208" s="61" t="str">
        <f>IFERROR(__xludf.DUMMYFUNCTION("""COMPUTED_VALUE""")," ")</f>
        <v> </v>
      </c>
      <c r="M208" s="61"/>
      <c r="N208" s="61"/>
    </row>
    <row r="209">
      <c r="A209" s="102" t="str">
        <f>IFERROR(__xludf.DUMMYFUNCTION("""COMPUTED_VALUE"""),"https://utrucking.com/admin/orders/6393380602044")</f>
        <v>https://utrucking.com/admin/orders/6393380602044</v>
      </c>
      <c r="B209" s="65" t="str">
        <f>IFERROR(__xludf.DUMMYFUNCTION("""COMPUTED_VALUE"""),"#17237")</f>
        <v>#17237</v>
      </c>
      <c r="C209" s="65" t="str">
        <f>IFERROR(__xludf.DUMMYFUNCTION("""COMPUTED_VALUE"""),"slandon@wustl.edu")</f>
        <v>slandon@wustl.edu</v>
      </c>
      <c r="D209" s="65">
        <f>IFERROR(__xludf.DUMMYFUNCTION("""COMPUTED_VALUE"""),4.159919104E9)</f>
        <v>4159919104</v>
      </c>
      <c r="E209" s="65" t="str">
        <f>IFERROR(__xludf.DUMMYFUNCTION("""COMPUTED_VALUE"""),"Landon Sanchez")</f>
        <v>Landon Sanchez</v>
      </c>
      <c r="F209" s="65" t="str">
        <f>IFERROR(__xludf.DUMMYFUNCTION("""COMPUTED_VALUE"""),"Landon Sanchez")</f>
        <v>Landon Sanchez</v>
      </c>
      <c r="G209" s="65" t="str">
        <f>IFERROR(__xludf.DUMMYFUNCTION("""COMPUTED_VALUE""")," 1 [Included with Registration] / Included Insurance   - ")</f>
        <v> 1 [Included with Registration] / Included Insurance   - </v>
      </c>
      <c r="H209" s="65" t="str">
        <f>IFERROR(__xludf.DUMMYFUNCTION("""COMPUTED_VALUE"""),"Dardick  ")</f>
        <v>Dardick  </v>
      </c>
      <c r="I209" s="65" t="str">
        <f>IFERROR(__xludf.DUMMYFUNCTION("""COMPUTED_VALUE"""),"4408")</f>
        <v>4408</v>
      </c>
      <c r="J209" s="108" t="str">
        <f>IFERROR(__xludf.DUMMYFUNCTION("""COMPUTED_VALUE"""),"02:00 PM to 04:00 PM")</f>
        <v>02:00 PM to 04:00 PM</v>
      </c>
      <c r="K209" s="103">
        <f>IFERROR(__xludf.DUMMYFUNCTION("""COMPUTED_VALUE"""),46143.0)</f>
        <v>46143</v>
      </c>
      <c r="L209" s="65" t="str">
        <f>IFERROR(__xludf.DUMMYFUNCTION("""COMPUTED_VALUE""")," ")</f>
        <v> </v>
      </c>
      <c r="M209" s="65"/>
      <c r="N209" s="65"/>
    </row>
    <row r="210">
      <c r="A210" s="99" t="str">
        <f>IFERROR(__xludf.DUMMYFUNCTION("""COMPUTED_VALUE"""),"https://utrucking.com/admin/orders/6393545556156")</f>
        <v>https://utrucking.com/admin/orders/6393545556156</v>
      </c>
      <c r="B210" s="61" t="str">
        <f>IFERROR(__xludf.DUMMYFUNCTION("""COMPUTED_VALUE"""),"#17238")</f>
        <v>#17238</v>
      </c>
      <c r="C210" s="61" t="str">
        <f>IFERROR(__xludf.DUMMYFUNCTION("""COMPUTED_VALUE"""),"aiperez@wustl.edu")</f>
        <v>aiperez@wustl.edu</v>
      </c>
      <c r="D210" s="61"/>
      <c r="E210" s="61" t="str">
        <f>IFERROR(__xludf.DUMMYFUNCTION("""COMPUTED_VALUE"""),"Jessica Figueroa")</f>
        <v>Jessica Figueroa</v>
      </c>
      <c r="F210" s="61" t="str">
        <f>IFERROR(__xludf.DUMMYFUNCTION("""COMPUTED_VALUE"""),"Amanda Perez")</f>
        <v>Amanda Perez</v>
      </c>
      <c r="G210" s="61" t="str">
        <f>IFERROR(__xludf.DUMMYFUNCTION("""COMPUTED_VALUE""")," 1 [Included with Registration] / Included Insurance   - ")</f>
        <v> 1 [Included with Registration] / Included Insurance   - </v>
      </c>
      <c r="H210" s="61" t="str">
        <f>IFERROR(__xludf.DUMMYFUNCTION("""COMPUTED_VALUE"""),"Hurd  ")</f>
        <v>Hurd  </v>
      </c>
      <c r="I210" s="61" t="str">
        <f>IFERROR(__xludf.DUMMYFUNCTION("""COMPUTED_VALUE"""),"232")</f>
        <v>232</v>
      </c>
      <c r="J210" s="107" t="str">
        <f>IFERROR(__xludf.DUMMYFUNCTION("""COMPUTED_VALUE"""),"09:00 AM to 11:00 AM  ")</f>
        <v>09:00 AM to 11:00 AM  </v>
      </c>
      <c r="K210" s="100">
        <f>IFERROR(__xludf.DUMMYFUNCTION("""COMPUTED_VALUE"""),46149.0)</f>
        <v>46149</v>
      </c>
      <c r="L210" s="61" t="str">
        <f>IFERROR(__xludf.DUMMYFUNCTION("""COMPUTED_VALUE""")," ")</f>
        <v> </v>
      </c>
      <c r="M210" s="61"/>
      <c r="N210" s="61"/>
    </row>
    <row r="211">
      <c r="A211" s="102" t="str">
        <f>IFERROR(__xludf.DUMMYFUNCTION("""COMPUTED_VALUE"""),"https://utrucking.com/admin/orders/6394111656124")</f>
        <v>https://utrucking.com/admin/orders/6394111656124</v>
      </c>
      <c r="B211" s="65" t="str">
        <f>IFERROR(__xludf.DUMMYFUNCTION("""COMPUTED_VALUE"""),"#17240")</f>
        <v>#17240</v>
      </c>
      <c r="C211" s="65" t="str">
        <f>IFERROR(__xludf.DUMMYFUNCTION("""COMPUTED_VALUE"""),"singhsca@gmail.com")</f>
        <v>singhsca@gmail.com</v>
      </c>
      <c r="D211" s="65">
        <f>IFERROR(__xludf.DUMMYFUNCTION("""COMPUTED_VALUE"""),4.087991099E9)</f>
        <v>4087991099</v>
      </c>
      <c r="E211" s="65" t="str">
        <f>IFERROR(__xludf.DUMMYFUNCTION("""COMPUTED_VALUE"""),"Monisha Singh")</f>
        <v>Monisha Singh</v>
      </c>
      <c r="F211" s="65" t="str">
        <f>IFERROR(__xludf.DUMMYFUNCTION("""COMPUTED_VALUE"""),"Naveli Singh")</f>
        <v>Naveli Singh</v>
      </c>
      <c r="G211" s="65" t="str">
        <f>IFERROR(__xludf.DUMMYFUNCTION("""COMPUTED_VALUE""")," 1 [Included with Registration] / Included Insurance   - ")</f>
        <v> 1 [Included with Registration] / Included Insurance   - </v>
      </c>
      <c r="H211" s="65" t="str">
        <f>IFERROR(__xludf.DUMMYFUNCTION("""COMPUTED_VALUE"""),"Park  ")</f>
        <v>Park  </v>
      </c>
      <c r="I211" s="65" t="str">
        <f>IFERROR(__xludf.DUMMYFUNCTION("""COMPUTED_VALUE"""),"481")</f>
        <v>481</v>
      </c>
      <c r="J211" s="108" t="str">
        <f>IFERROR(__xludf.DUMMYFUNCTION("""COMPUTED_VALUE"""),"03:00 PM to 05:00 PM")</f>
        <v>03:00 PM to 05:00 PM</v>
      </c>
      <c r="K211" s="103">
        <f>IFERROR(__xludf.DUMMYFUNCTION("""COMPUTED_VALUE"""),46140.0)</f>
        <v>46140</v>
      </c>
      <c r="L211" s="65" t="str">
        <f>IFERROR(__xludf.DUMMYFUNCTION("""COMPUTED_VALUE""")," ")</f>
        <v> </v>
      </c>
      <c r="M211" s="65"/>
      <c r="N211" s="65"/>
    </row>
    <row r="212">
      <c r="A212" s="99" t="str">
        <f>IFERROR(__xludf.DUMMYFUNCTION("""COMPUTED_VALUE"""),"https://utrucking.com/admin/orders/6394218152124")</f>
        <v>https://utrucking.com/admin/orders/6394218152124</v>
      </c>
      <c r="B212" s="61" t="str">
        <f>IFERROR(__xludf.DUMMYFUNCTION("""COMPUTED_VALUE"""),"#17241")</f>
        <v>#17241</v>
      </c>
      <c r="C212" s="61" t="str">
        <f>IFERROR(__xludf.DUMMYFUNCTION("""COMPUTED_VALUE"""),"sandy_lee715@yahoo.com")</f>
        <v>sandy_lee715@yahoo.com</v>
      </c>
      <c r="D212" s="61">
        <f>IFERROR(__xludf.DUMMYFUNCTION("""COMPUTED_VALUE"""),9.49254816E9)</f>
        <v>9492548160</v>
      </c>
      <c r="E212" s="61" t="str">
        <f>IFERROR(__xludf.DUMMYFUNCTION("""COMPUTED_VALUE"""),"Sandra Young")</f>
        <v>Sandra Young</v>
      </c>
      <c r="F212" s="61" t="str">
        <f>IFERROR(__xludf.DUMMYFUNCTION("""COMPUTED_VALUE"""),"Lance Young")</f>
        <v>Lance Young</v>
      </c>
      <c r="G212" s="61" t="str">
        <f>IFERROR(__xludf.DUMMYFUNCTION("""COMPUTED_VALUE""")," 1 [Included with Registration] / Included Insurance   - ")</f>
        <v> 1 [Included with Registration] / Included Insurance   - </v>
      </c>
      <c r="H212" s="61" t="str">
        <f>IFERROR(__xludf.DUMMYFUNCTION("""COMPUTED_VALUE"""),"Koenig  ")</f>
        <v>Koenig  </v>
      </c>
      <c r="I212" s="61" t="str">
        <f>IFERROR(__xludf.DUMMYFUNCTION("""COMPUTED_VALUE"""),"4407")</f>
        <v>4407</v>
      </c>
      <c r="J212" s="107" t="str">
        <f>IFERROR(__xludf.DUMMYFUNCTION("""COMPUTED_VALUE"""),"09:00 AM to 11:00 AM  ")</f>
        <v>09:00 AM to 11:00 AM  </v>
      </c>
      <c r="K212" s="100">
        <f>IFERROR(__xludf.DUMMYFUNCTION("""COMPUTED_VALUE"""),46160.0)</f>
        <v>46160</v>
      </c>
      <c r="L212" s="61" t="str">
        <f>IFERROR(__xludf.DUMMYFUNCTION("""COMPUTED_VALUE""")," ")</f>
        <v> </v>
      </c>
      <c r="M212" s="61"/>
      <c r="N212" s="61"/>
    </row>
    <row r="213">
      <c r="A213" s="102" t="str">
        <f>IFERROR(__xludf.DUMMYFUNCTION("""COMPUTED_VALUE"""),"https://utrucking.com/admin/orders/6396555886780")</f>
        <v>https://utrucking.com/admin/orders/6396555886780</v>
      </c>
      <c r="B213" s="65" t="str">
        <f>IFERROR(__xludf.DUMMYFUNCTION("""COMPUTED_VALUE"""),"#17242")</f>
        <v>#17242</v>
      </c>
      <c r="C213" s="65" t="str">
        <f>IFERROR(__xludf.DUMMYFUNCTION("""COMPUTED_VALUE"""),"andersongrant100@gmail.com")</f>
        <v>andersongrant100@gmail.com</v>
      </c>
      <c r="D213" s="65">
        <f>IFERROR(__xludf.DUMMYFUNCTION("""COMPUTED_VALUE"""),3.202671696E9)</f>
        <v>3202671696</v>
      </c>
      <c r="E213" s="65" t="str">
        <f>IFERROR(__xludf.DUMMYFUNCTION("""COMPUTED_VALUE"""),"Myndee Anderson")</f>
        <v>Myndee Anderson</v>
      </c>
      <c r="F213" s="65" t="str">
        <f>IFERROR(__xludf.DUMMYFUNCTION("""COMPUTED_VALUE"""),"Grant Anderson")</f>
        <v>Grant Anderson</v>
      </c>
      <c r="G213" s="65" t="str">
        <f>IFERROR(__xludf.DUMMYFUNCTION("""COMPUTED_VALUE""")," 2 / Included Insurance   - ")</f>
        <v> 2 / Included Insurance   - </v>
      </c>
      <c r="H213" s="65" t="str">
        <f>IFERROR(__xludf.DUMMYFUNCTION("""COMPUTED_VALUE"""),"Eliot B (Sophomore Dorm)")</f>
        <v>Eliot B (Sophomore Dorm)</v>
      </c>
      <c r="I213" s="65" t="str">
        <f>IFERROR(__xludf.DUMMYFUNCTION("""COMPUTED_VALUE"""),"4021")</f>
        <v>4021</v>
      </c>
      <c r="J213" s="108" t="str">
        <f>IFERROR(__xludf.DUMMYFUNCTION("""COMPUTED_VALUE"""),"09:00 AM to 11:00 AM  ")</f>
        <v>09:00 AM to 11:00 AM  </v>
      </c>
      <c r="K213" s="103">
        <f>IFERROR(__xludf.DUMMYFUNCTION("""COMPUTED_VALUE"""),46149.0)</f>
        <v>46149</v>
      </c>
      <c r="L213" s="65" t="str">
        <f>IFERROR(__xludf.DUMMYFUNCTION("""COMPUTED_VALUE""")," ")</f>
        <v> </v>
      </c>
      <c r="M213" s="65"/>
      <c r="N213" s="65"/>
    </row>
    <row r="214">
      <c r="A214" s="99" t="str">
        <f>IFERROR(__xludf.DUMMYFUNCTION("""COMPUTED_VALUE"""),"https://utrucking.com/admin/orders/6396567552188")</f>
        <v>https://utrucking.com/admin/orders/6396567552188</v>
      </c>
      <c r="B214" s="61" t="str">
        <f>IFERROR(__xludf.DUMMYFUNCTION("""COMPUTED_VALUE"""),"#17243")</f>
        <v>#17243</v>
      </c>
      <c r="C214" s="61"/>
      <c r="D214" s="61"/>
      <c r="E214" s="61" t="str">
        <f>IFERROR(__xludf.DUMMYFUNCTION("""COMPUTED_VALUE"""),"Soha Mehta")</f>
        <v>Soha Mehta</v>
      </c>
      <c r="F214" s="61" t="str">
        <f>IFERROR(__xludf.DUMMYFUNCTION("""COMPUTED_VALUE"""),"Soha Mehta")</f>
        <v>Soha Mehta</v>
      </c>
      <c r="G214" s="61" t="str">
        <f>IFERROR(__xludf.DUMMYFUNCTION("""COMPUTED_VALUE""")," 2 / Included Insurance   - ")</f>
        <v> 2 / Included Insurance   - </v>
      </c>
      <c r="H214" s="61" t="str">
        <f>IFERROR(__xludf.DUMMYFUNCTION("""COMPUTED_VALUE"""),"Park  ")</f>
        <v>Park  </v>
      </c>
      <c r="I214" s="61" t="str">
        <f>IFERROR(__xludf.DUMMYFUNCTION("""COMPUTED_VALUE"""),"462-b")</f>
        <v>462-b</v>
      </c>
      <c r="J214" s="107" t="str">
        <f>IFERROR(__xludf.DUMMYFUNCTION("""COMPUTED_VALUE"""),"03:00 PM to 05:00 PM")</f>
        <v>03:00 PM to 05:00 PM</v>
      </c>
      <c r="K214" s="100">
        <f>IFERROR(__xludf.DUMMYFUNCTION("""COMPUTED_VALUE"""),46148.0)</f>
        <v>46148</v>
      </c>
      <c r="L214" s="61" t="str">
        <f>IFERROR(__xludf.DUMMYFUNCTION("""COMPUTED_VALUE""")," ")</f>
        <v> </v>
      </c>
      <c r="M214" s="61"/>
      <c r="N214" s="61"/>
    </row>
    <row r="215">
      <c r="A215" s="102" t="str">
        <f>IFERROR(__xludf.DUMMYFUNCTION("""COMPUTED_VALUE"""),"https://utrucking.com/admin/orders/6396641935548")</f>
        <v>https://utrucking.com/admin/orders/6396641935548</v>
      </c>
      <c r="B215" s="65" t="str">
        <f>IFERROR(__xludf.DUMMYFUNCTION("""COMPUTED_VALUE"""),"#17244")</f>
        <v>#17244</v>
      </c>
      <c r="C215" s="65" t="str">
        <f>IFERROR(__xludf.DUMMYFUNCTION("""COMPUTED_VALUE"""),"a.l.tafesse@wustl.edu")</f>
        <v>a.l.tafesse@wustl.edu</v>
      </c>
      <c r="D215" s="65">
        <f>IFERROR(__xludf.DUMMYFUNCTION("""COMPUTED_VALUE"""),2.025909778E9)</f>
        <v>2025909778</v>
      </c>
      <c r="E215" s="65" t="str">
        <f>IFERROR(__xludf.DUMMYFUNCTION("""COMPUTED_VALUE"""),"Addis Tafesse")</f>
        <v>Addis Tafesse</v>
      </c>
      <c r="F215" s="65" t="str">
        <f>IFERROR(__xludf.DUMMYFUNCTION("""COMPUTED_VALUE"""),"Addis Tafesse")</f>
        <v>Addis Tafesse</v>
      </c>
      <c r="G215" s="65" t="str">
        <f>IFERROR(__xludf.DUMMYFUNCTION("""COMPUTED_VALUE""")," 1 [Included with Registration] / Included Insurance   - ")</f>
        <v> 1 [Included with Registration] / Included Insurance   - </v>
      </c>
      <c r="H215" s="65" t="str">
        <f>IFERROR(__xludf.DUMMYFUNCTION("""COMPUTED_VALUE"""),"Mudd  ")</f>
        <v>Mudd  </v>
      </c>
      <c r="I215" s="65" t="str">
        <f>IFERROR(__xludf.DUMMYFUNCTION("""COMPUTED_VALUE"""),"222")</f>
        <v>222</v>
      </c>
      <c r="J215" s="108" t="str">
        <f>IFERROR(__xludf.DUMMYFUNCTION("""COMPUTED_VALUE"""),"10:00 AM to 12:00 PM  ")</f>
        <v>10:00 AM to 12:00 PM  </v>
      </c>
      <c r="K215" s="103">
        <f>IFERROR(__xludf.DUMMYFUNCTION("""COMPUTED_VALUE"""),46149.0)</f>
        <v>46149</v>
      </c>
      <c r="L215" s="65" t="str">
        <f>IFERROR(__xludf.DUMMYFUNCTION("""COMPUTED_VALUE""")," ")</f>
        <v> </v>
      </c>
      <c r="M215" s="65"/>
      <c r="N215" s="65"/>
    </row>
    <row r="216">
      <c r="A216" s="99" t="str">
        <f>IFERROR(__xludf.DUMMYFUNCTION("""COMPUTED_VALUE"""),"https://utrucking.com/admin/orders/6396671066300")</f>
        <v>https://utrucking.com/admin/orders/6396671066300</v>
      </c>
      <c r="B216" s="61" t="str">
        <f>IFERROR(__xludf.DUMMYFUNCTION("""COMPUTED_VALUE"""),"#17245")</f>
        <v>#17245</v>
      </c>
      <c r="C216" s="61" t="str">
        <f>IFERROR(__xludf.DUMMYFUNCTION("""COMPUTED_VALUE"""),"m.k.tan@wustl.edu")</f>
        <v>m.k.tan@wustl.edu</v>
      </c>
      <c r="D216" s="61"/>
      <c r="E216" s="61" t="str">
        <f>IFERROR(__xludf.DUMMYFUNCTION("""COMPUTED_VALUE"""),"Mark Tan")</f>
        <v>Mark Tan</v>
      </c>
      <c r="F216" s="61" t="str">
        <f>IFERROR(__xludf.DUMMYFUNCTION("""COMPUTED_VALUE"""),"Marisa Tan")</f>
        <v>Marisa Tan</v>
      </c>
      <c r="G216" s="61" t="str">
        <f>IFERROR(__xludf.DUMMYFUNCTION("""COMPUTED_VALUE""")," 1 [Included with Registration] / Included Insurance   - ")</f>
        <v> 1 [Included with Registration] / Included Insurance   - </v>
      </c>
      <c r="H216" s="61" t="str">
        <f>IFERROR(__xludf.DUMMYFUNCTION("""COMPUTED_VALUE"""),"Dardick  ")</f>
        <v>Dardick  </v>
      </c>
      <c r="I216" s="61" t="str">
        <f>IFERROR(__xludf.DUMMYFUNCTION("""COMPUTED_VALUE"""),"2208-a")</f>
        <v>2208-a</v>
      </c>
      <c r="J216" s="107" t="str">
        <f>IFERROR(__xludf.DUMMYFUNCTION("""COMPUTED_VALUE"""),"01:00 PM to 03:00 PM  ")</f>
        <v>01:00 PM to 03:00 PM  </v>
      </c>
      <c r="K216" s="100">
        <f>IFERROR(__xludf.DUMMYFUNCTION("""COMPUTED_VALUE"""),46149.0)</f>
        <v>46149</v>
      </c>
      <c r="L216" s="61" t="str">
        <f>IFERROR(__xludf.DUMMYFUNCTION("""COMPUTED_VALUE""")," ")</f>
        <v> </v>
      </c>
      <c r="M216" s="61"/>
      <c r="N216" s="61"/>
    </row>
    <row r="217">
      <c r="A217" s="102" t="str">
        <f>IFERROR(__xludf.DUMMYFUNCTION("""COMPUTED_VALUE"""),"https://utrucking.com/admin/orders/6396831989948")</f>
        <v>https://utrucking.com/admin/orders/6396831989948</v>
      </c>
      <c r="B217" s="65" t="str">
        <f>IFERROR(__xludf.DUMMYFUNCTION("""COMPUTED_VALUE"""),"#17246")</f>
        <v>#17246</v>
      </c>
      <c r="C217" s="65" t="str">
        <f>IFERROR(__xludf.DUMMYFUNCTION("""COMPUTED_VALUE"""),"emhametz@icloud.com")</f>
        <v>emhametz@icloud.com</v>
      </c>
      <c r="D217" s="65">
        <f>IFERROR(__xludf.DUMMYFUNCTION("""COMPUTED_VALUE"""),9.148498141E9)</f>
        <v>9148498141</v>
      </c>
      <c r="E217" s="65" t="str">
        <f>IFERROR(__xludf.DUMMYFUNCTION("""COMPUTED_VALUE"""),"Emily Hametz")</f>
        <v>Emily Hametz</v>
      </c>
      <c r="F217" s="65" t="str">
        <f>IFERROR(__xludf.DUMMYFUNCTION("""COMPUTED_VALUE"""),"Emily Hametz")</f>
        <v>Emily Hametz</v>
      </c>
      <c r="G217" s="65" t="str">
        <f>IFERROR(__xludf.DUMMYFUNCTION("""COMPUTED_VALUE""")," 1 [Included with Registration] / Included Insurance   - ")</f>
        <v> 1 [Included with Registration] / Included Insurance   - </v>
      </c>
      <c r="H217" s="65" t="str">
        <f>IFERROR(__xludf.DUMMYFUNCTION("""COMPUTED_VALUE"""),"Lien  ")</f>
        <v>Lien  </v>
      </c>
      <c r="I217" s="65" t="str">
        <f>IFERROR(__xludf.DUMMYFUNCTION("""COMPUTED_VALUE"""),"3331")</f>
        <v>3331</v>
      </c>
      <c r="J217" s="108" t="str">
        <f>IFERROR(__xludf.DUMMYFUNCTION("""COMPUTED_VALUE"""),"09:00 AM to 11:00 AM  ")</f>
        <v>09:00 AM to 11:00 AM  </v>
      </c>
      <c r="K217" s="103">
        <f>IFERROR(__xludf.DUMMYFUNCTION("""COMPUTED_VALUE"""),46148.0)</f>
        <v>46148</v>
      </c>
      <c r="L217" s="65" t="str">
        <f>IFERROR(__xludf.DUMMYFUNCTION("""COMPUTED_VALUE""")," ")</f>
        <v> </v>
      </c>
      <c r="M217" s="65"/>
      <c r="N217" s="65"/>
    </row>
    <row r="218">
      <c r="A218" s="99" t="str">
        <f>IFERROR(__xludf.DUMMYFUNCTION("""COMPUTED_VALUE"""),"https://utrucking.com/admin/orders/6397158162620")</f>
        <v>https://utrucking.com/admin/orders/6397158162620</v>
      </c>
      <c r="B218" s="61" t="str">
        <f>IFERROR(__xludf.DUMMYFUNCTION("""COMPUTED_VALUE"""),"#17247")</f>
        <v>#17247</v>
      </c>
      <c r="C218" s="61"/>
      <c r="D218" s="61">
        <f>IFERROR(__xludf.DUMMYFUNCTION("""COMPUTED_VALUE"""),4.258007251E9)</f>
        <v>4258007251</v>
      </c>
      <c r="E218" s="61" t="str">
        <f>IFERROR(__xludf.DUMMYFUNCTION("""COMPUTED_VALUE"""),"Abby Wang")</f>
        <v>Abby Wang</v>
      </c>
      <c r="F218" s="61" t="str">
        <f>IFERROR(__xludf.DUMMYFUNCTION("""COMPUTED_VALUE"""),"Abby Wang")</f>
        <v>Abby Wang</v>
      </c>
      <c r="G218" s="61" t="str">
        <f>IFERROR(__xludf.DUMMYFUNCTION("""COMPUTED_VALUE""")," 2 / Included Insurance   - ")</f>
        <v> 2 / Included Insurance   - </v>
      </c>
      <c r="H218" s="61" t="str">
        <f>IFERROR(__xludf.DUMMYFUNCTION("""COMPUTED_VALUE"""),"Dauten  ")</f>
        <v>Dauten  </v>
      </c>
      <c r="I218" s="61" t="str">
        <f>IFERROR(__xludf.DUMMYFUNCTION("""COMPUTED_VALUE"""),"423")</f>
        <v>423</v>
      </c>
      <c r="J218" s="107" t="str">
        <f>IFERROR(__xludf.DUMMYFUNCTION("""COMPUTED_VALUE"""),"09:00 AM to 11:00 AM  ")</f>
        <v>09:00 AM to 11:00 AM  </v>
      </c>
      <c r="K218" s="100">
        <f>IFERROR(__xludf.DUMMYFUNCTION("""COMPUTED_VALUE"""),46148.0)</f>
        <v>46148</v>
      </c>
      <c r="L218" s="61" t="str">
        <f>IFERROR(__xludf.DUMMYFUNCTION("""COMPUTED_VALUE""")," ")</f>
        <v> </v>
      </c>
      <c r="M218" s="61"/>
      <c r="N218" s="61"/>
    </row>
    <row r="219">
      <c r="A219" s="102" t="str">
        <f>IFERROR(__xludf.DUMMYFUNCTION("""COMPUTED_VALUE"""),"https://utrucking.com/admin/orders/6397195387068")</f>
        <v>https://utrucking.com/admin/orders/6397195387068</v>
      </c>
      <c r="B219" s="65" t="str">
        <f>IFERROR(__xludf.DUMMYFUNCTION("""COMPUTED_VALUE"""),"#17248")</f>
        <v>#17248</v>
      </c>
      <c r="C219" s="65" t="str">
        <f>IFERROR(__xludf.DUMMYFUNCTION("""COMPUTED_VALUE"""),"k.i.rodriguez@wustl.edu")</f>
        <v>k.i.rodriguez@wustl.edu</v>
      </c>
      <c r="D219" s="65">
        <f>IFERROR(__xludf.DUMMYFUNCTION("""COMPUTED_VALUE"""),4.752832419E9)</f>
        <v>4752832419</v>
      </c>
      <c r="E219" s="65" t="str">
        <f>IFERROR(__xludf.DUMMYFUNCTION("""COMPUTED_VALUE"""),"Kate Rodriguez")</f>
        <v>Kate Rodriguez</v>
      </c>
      <c r="F219" s="65" t="str">
        <f>IFERROR(__xludf.DUMMYFUNCTION("""COMPUTED_VALUE"""),"Kate Roddriguez")</f>
        <v>Kate Roddriguez</v>
      </c>
      <c r="G219" s="65" t="str">
        <f>IFERROR(__xludf.DUMMYFUNCTION("""COMPUTED_VALUE""")," 2 / Included Insurance   - ")</f>
        <v> 2 / Included Insurance   - </v>
      </c>
      <c r="H219" s="65" t="str">
        <f>IFERROR(__xludf.DUMMYFUNCTION("""COMPUTED_VALUE"""),"Koenig  ")</f>
        <v>Koenig  </v>
      </c>
      <c r="I219" s="65" t="str">
        <f>IFERROR(__xludf.DUMMYFUNCTION("""COMPUTED_VALUE"""),"4410")</f>
        <v>4410</v>
      </c>
      <c r="J219" s="108" t="str">
        <f>IFERROR(__xludf.DUMMYFUNCTION("""COMPUTED_VALUE"""),"09:00 AM to 11:00 AM  ")</f>
        <v>09:00 AM to 11:00 AM  </v>
      </c>
      <c r="K219" s="103">
        <f>IFERROR(__xludf.DUMMYFUNCTION("""COMPUTED_VALUE"""),46146.0)</f>
        <v>46146</v>
      </c>
      <c r="L219" s="65" t="str">
        <f>IFERROR(__xludf.DUMMYFUNCTION("""COMPUTED_VALUE""")," ")</f>
        <v> </v>
      </c>
      <c r="M219" s="65"/>
      <c r="N219" s="65" t="str">
        <f>IFERROR(__xludf.DUMMYFUNCTION("""COMPUTED_VALUE"""),"Liggett 2290")</f>
        <v>Liggett 2290</v>
      </c>
    </row>
    <row r="220">
      <c r="A220" s="99" t="str">
        <f>IFERROR(__xludf.DUMMYFUNCTION("""COMPUTED_VALUE"""),"https://utrucking.com/admin/orders/6397553115324")</f>
        <v>https://utrucking.com/admin/orders/6397553115324</v>
      </c>
      <c r="B220" s="61" t="str">
        <f>IFERROR(__xludf.DUMMYFUNCTION("""COMPUTED_VALUE"""),"#17249")</f>
        <v>#17249</v>
      </c>
      <c r="C220" s="61" t="str">
        <f>IFERROR(__xludf.DUMMYFUNCTION("""COMPUTED_VALUE"""),"e.gaffin@wustl.edu")</f>
        <v>e.gaffin@wustl.edu</v>
      </c>
      <c r="D220" s="61">
        <f>IFERROR(__xludf.DUMMYFUNCTION("""COMPUTED_VALUE"""),6.172855518E9)</f>
        <v>6172855518</v>
      </c>
      <c r="E220" s="61" t="str">
        <f>IFERROR(__xludf.DUMMYFUNCTION("""COMPUTED_VALUE"""),"Diana Gaffin")</f>
        <v>Diana Gaffin</v>
      </c>
      <c r="F220" s="61" t="str">
        <f>IFERROR(__xludf.DUMMYFUNCTION("""COMPUTED_VALUE"""),"Eli Gaffin")</f>
        <v>Eli Gaffin</v>
      </c>
      <c r="G220" s="61" t="str">
        <f>IFERROR(__xludf.DUMMYFUNCTION("""COMPUTED_VALUE""")," 1 [Included with Registration] / Included Insurance   - ")</f>
        <v> 1 [Included with Registration] / Included Insurance   - </v>
      </c>
      <c r="H220" s="61" t="str">
        <f>IFERROR(__xludf.DUMMYFUNCTION("""COMPUTED_VALUE"""),"Dardick  ")</f>
        <v>Dardick  </v>
      </c>
      <c r="I220" s="61" t="str">
        <f>IFERROR(__xludf.DUMMYFUNCTION("""COMPUTED_VALUE"""),"1105b")</f>
        <v>1105b</v>
      </c>
      <c r="J220" s="107" t="str">
        <f>IFERROR(__xludf.DUMMYFUNCTION("""COMPUTED_VALUE"""),"10:00 AM to 12:00 PM  ")</f>
        <v>10:00 AM to 12:00 PM  </v>
      </c>
      <c r="K220" s="100">
        <f>IFERROR(__xludf.DUMMYFUNCTION("""COMPUTED_VALUE"""),46148.0)</f>
        <v>46148</v>
      </c>
      <c r="L220" s="61" t="str">
        <f>IFERROR(__xludf.DUMMYFUNCTION("""COMPUTED_VALUE""")," ")</f>
        <v> </v>
      </c>
      <c r="M220" s="61"/>
      <c r="N220" s="61"/>
    </row>
    <row r="221">
      <c r="A221" s="102" t="str">
        <f>IFERROR(__xludf.DUMMYFUNCTION("""COMPUTED_VALUE"""),"https://utrucking.com/admin/orders/6397854449852")</f>
        <v>https://utrucking.com/admin/orders/6397854449852</v>
      </c>
      <c r="B221" s="65" t="str">
        <f>IFERROR(__xludf.DUMMYFUNCTION("""COMPUTED_VALUE"""),"#17250")</f>
        <v>#17250</v>
      </c>
      <c r="C221" s="65"/>
      <c r="D221" s="65">
        <f>IFERROR(__xludf.DUMMYFUNCTION("""COMPUTED_VALUE"""),7.089816391E9)</f>
        <v>7089816391</v>
      </c>
      <c r="E221" s="65" t="str">
        <f>IFERROR(__xludf.DUMMYFUNCTION("""COMPUTED_VALUE"""),"Sophia Hasan")</f>
        <v>Sophia Hasan</v>
      </c>
      <c r="F221" s="65" t="str">
        <f>IFERROR(__xludf.DUMMYFUNCTION("""COMPUTED_VALUE"""),"Sophia Hasan")</f>
        <v>Sophia Hasan</v>
      </c>
      <c r="G221" s="65" t="str">
        <f>IFERROR(__xludf.DUMMYFUNCTION("""COMPUTED_VALUE""")," 1 [Included with Registration] / Included Insurance   - ")</f>
        <v> 1 [Included with Registration] / Included Insurance   - </v>
      </c>
      <c r="H221" s="65" t="str">
        <f>IFERROR(__xludf.DUMMYFUNCTION("""COMPUTED_VALUE"""),"Lee  ")</f>
        <v>Lee  </v>
      </c>
      <c r="I221" s="65" t="str">
        <f>IFERROR(__xludf.DUMMYFUNCTION("""COMPUTED_VALUE"""),"309")</f>
        <v>309</v>
      </c>
      <c r="J221" s="108" t="str">
        <f>IFERROR(__xludf.DUMMYFUNCTION("""COMPUTED_VALUE"""),"12:00 PM to 02:00 PM  ")</f>
        <v>12:00 PM to 02:00 PM  </v>
      </c>
      <c r="K221" s="103">
        <f>IFERROR(__xludf.DUMMYFUNCTION("""COMPUTED_VALUE"""),46147.0)</f>
        <v>46147</v>
      </c>
      <c r="L221" s="65" t="str">
        <f>IFERROR(__xludf.DUMMYFUNCTION("""COMPUTED_VALUE""")," ")</f>
        <v> </v>
      </c>
      <c r="M221" s="65"/>
      <c r="N221" s="65"/>
    </row>
    <row r="222">
      <c r="A222" s="99" t="str">
        <f>IFERROR(__xludf.DUMMYFUNCTION("""COMPUTED_VALUE"""),"https://utrucking.com/admin/orders/6398057087164")</f>
        <v>https://utrucking.com/admin/orders/6398057087164</v>
      </c>
      <c r="B222" s="61" t="str">
        <f>IFERROR(__xludf.DUMMYFUNCTION("""COMPUTED_VALUE"""),"#17251")</f>
        <v>#17251</v>
      </c>
      <c r="C222" s="61" t="str">
        <f>IFERROR(__xludf.DUMMYFUNCTION("""COMPUTED_VALUE"""),"feldman.m@wustl.edu")</f>
        <v>feldman.m@wustl.edu</v>
      </c>
      <c r="D222" s="61"/>
      <c r="E222" s="61" t="str">
        <f>IFERROR(__xludf.DUMMYFUNCTION("""COMPUTED_VALUE"""),"Andrea Feldman")</f>
        <v>Andrea Feldman</v>
      </c>
      <c r="F222" s="61" t="str">
        <f>IFERROR(__xludf.DUMMYFUNCTION("""COMPUTED_VALUE"""),"Maya Feldman")</f>
        <v>Maya Feldman</v>
      </c>
      <c r="G222" s="61" t="str">
        <f>IFERROR(__xludf.DUMMYFUNCTION("""COMPUTED_VALUE""")," 1 [Included with Registration] / Included Insurance   - ")</f>
        <v> 1 [Included with Registration] / Included Insurance   - </v>
      </c>
      <c r="H222" s="61" t="str">
        <f>IFERROR(__xludf.DUMMYFUNCTION("""COMPUTED_VALUE"""),"Rutledge  ")</f>
        <v>Rutledge  </v>
      </c>
      <c r="I222" s="61" t="str">
        <f>IFERROR(__xludf.DUMMYFUNCTION("""COMPUTED_VALUE"""),"122")</f>
        <v>122</v>
      </c>
      <c r="J222" s="107" t="str">
        <f>IFERROR(__xludf.DUMMYFUNCTION("""COMPUTED_VALUE"""),"02:00 PM to 04:00 PM")</f>
        <v>02:00 PM to 04:00 PM</v>
      </c>
      <c r="K222" s="100">
        <f>IFERROR(__xludf.DUMMYFUNCTION("""COMPUTED_VALUE"""),46148.0)</f>
        <v>46148</v>
      </c>
      <c r="L222" s="61" t="str">
        <f>IFERROR(__xludf.DUMMYFUNCTION("""COMPUTED_VALUE""")," ")</f>
        <v> </v>
      </c>
      <c r="M222" s="61"/>
      <c r="N222" s="61"/>
    </row>
    <row r="223">
      <c r="A223" s="102" t="str">
        <f>IFERROR(__xludf.DUMMYFUNCTION("""COMPUTED_VALUE"""),"https://utrucking.com/admin/orders/6398106337468")</f>
        <v>https://utrucking.com/admin/orders/6398106337468</v>
      </c>
      <c r="B223" s="65" t="str">
        <f>IFERROR(__xludf.DUMMYFUNCTION("""COMPUTED_VALUE"""),"#17252")</f>
        <v>#17252</v>
      </c>
      <c r="C223" s="65" t="str">
        <f>IFERROR(__xludf.DUMMYFUNCTION("""COMPUTED_VALUE"""),"hson987623@wustl.edu")</f>
        <v>hson987623@wustl.edu</v>
      </c>
      <c r="D223" s="65">
        <f>IFERROR(__xludf.DUMMYFUNCTION("""COMPUTED_VALUE"""),4.255328703E9)</f>
        <v>4255328703</v>
      </c>
      <c r="E223" s="65" t="str">
        <f>IFERROR(__xludf.DUMMYFUNCTION("""COMPUTED_VALUE"""),"Hyeonseung Son")</f>
        <v>Hyeonseung Son</v>
      </c>
      <c r="F223" s="65" t="str">
        <f>IFERROR(__xludf.DUMMYFUNCTION("""COMPUTED_VALUE"""),"Michael Son")</f>
        <v>Michael Son</v>
      </c>
      <c r="G223" s="65" t="str">
        <f>IFERROR(__xludf.DUMMYFUNCTION("""COMPUTED_VALUE""")," 1 [Included with Registration] / Included Insurance   - ")</f>
        <v> 1 [Included with Registration] / Included Insurance   - </v>
      </c>
      <c r="H223" s="65" t="str">
        <f>IFERROR(__xludf.DUMMYFUNCTION("""COMPUTED_VALUE"""),"Koenig  ")</f>
        <v>Koenig  </v>
      </c>
      <c r="I223" s="65" t="str">
        <f>IFERROR(__xludf.DUMMYFUNCTION("""COMPUTED_VALUE"""),"4404")</f>
        <v>4404</v>
      </c>
      <c r="J223" s="108" t="str">
        <f>IFERROR(__xludf.DUMMYFUNCTION("""COMPUTED_VALUE"""),"09:00 AM to 11:00 AM  ")</f>
        <v>09:00 AM to 11:00 AM  </v>
      </c>
      <c r="K223" s="103">
        <f>IFERROR(__xludf.DUMMYFUNCTION("""COMPUTED_VALUE"""),46149.0)</f>
        <v>46149</v>
      </c>
      <c r="L223" s="65" t="str">
        <f>IFERROR(__xludf.DUMMYFUNCTION("""COMPUTED_VALUE""")," ")</f>
        <v> </v>
      </c>
      <c r="M223" s="65"/>
      <c r="N223" s="65"/>
    </row>
    <row r="224">
      <c r="A224" s="99" t="str">
        <f>IFERROR(__xludf.DUMMYFUNCTION("""COMPUTED_VALUE"""),"https://utrucking.com/admin/orders/6398258512060")</f>
        <v>https://utrucking.com/admin/orders/6398258512060</v>
      </c>
      <c r="B224" s="61" t="str">
        <f>IFERROR(__xludf.DUMMYFUNCTION("""COMPUTED_VALUE"""),"#17255")</f>
        <v>#17255</v>
      </c>
      <c r="C224" s="61" t="str">
        <f>IFERROR(__xludf.DUMMYFUNCTION("""COMPUTED_VALUE"""),"dehn@wustl.edu")</f>
        <v>dehn@wustl.edu</v>
      </c>
      <c r="D224" s="61">
        <f>IFERROR(__xludf.DUMMYFUNCTION("""COMPUTED_VALUE"""),7.032232446E9)</f>
        <v>7032232446</v>
      </c>
      <c r="E224" s="61" t="str">
        <f>IFERROR(__xludf.DUMMYFUNCTION("""COMPUTED_VALUE"""),"James Dehn")</f>
        <v>James Dehn</v>
      </c>
      <c r="F224" s="61" t="str">
        <f>IFERROR(__xludf.DUMMYFUNCTION("""COMPUTED_VALUE"""),"Chloe Dehn")</f>
        <v>Chloe Dehn</v>
      </c>
      <c r="G224" s="61" t="str">
        <f>IFERROR(__xludf.DUMMYFUNCTION("""COMPUTED_VALUE""")," 3 / Included Insurance   - ")</f>
        <v> 3 / Included Insurance   - </v>
      </c>
      <c r="H224" s="61" t="str">
        <f>IFERROR(__xludf.DUMMYFUNCTION("""COMPUTED_VALUE"""),"Umrath  ")</f>
        <v>Umrath  </v>
      </c>
      <c r="I224" s="61" t="str">
        <f>IFERROR(__xludf.DUMMYFUNCTION("""COMPUTED_VALUE"""),"3326")</f>
        <v>3326</v>
      </c>
      <c r="J224" s="107" t="str">
        <f>IFERROR(__xludf.DUMMYFUNCTION("""COMPUTED_VALUE"""),"09:00 AM to 11:00 AM  ")</f>
        <v>09:00 AM to 11:00 AM  </v>
      </c>
      <c r="K224" s="100">
        <f>IFERROR(__xludf.DUMMYFUNCTION("""COMPUTED_VALUE"""),46146.0)</f>
        <v>46146</v>
      </c>
      <c r="L224" s="61" t="str">
        <f>IFERROR(__xludf.DUMMYFUNCTION("""COMPUTED_VALUE""")," ")</f>
        <v> </v>
      </c>
      <c r="M224" s="61"/>
      <c r="N224" s="61"/>
    </row>
    <row r="225">
      <c r="A225" s="102" t="str">
        <f>IFERROR(__xludf.DUMMYFUNCTION("""COMPUTED_VALUE"""),"https://utrucking.com/admin/orders/6398379163836")</f>
        <v>https://utrucking.com/admin/orders/6398379163836</v>
      </c>
      <c r="B225" s="65" t="str">
        <f>IFERROR(__xludf.DUMMYFUNCTION("""COMPUTED_VALUE"""),"#17257")</f>
        <v>#17257</v>
      </c>
      <c r="C225" s="65" t="str">
        <f>IFERROR(__xludf.DUMMYFUNCTION("""COMPUTED_VALUE"""),"m.revha@wustl.edu")</f>
        <v>m.revha@wustl.edu</v>
      </c>
      <c r="D225" s="65"/>
      <c r="E225" s="65" t="str">
        <f>IFERROR(__xludf.DUMMYFUNCTION("""COMPUTED_VALUE"""),"Rajesh Menoon")</f>
        <v>Rajesh Menoon</v>
      </c>
      <c r="F225" s="65" t="str">
        <f>IFERROR(__xludf.DUMMYFUNCTION("""COMPUTED_VALUE"""),"Revha Menon ")</f>
        <v>Revha Menon </v>
      </c>
      <c r="G225" s="65" t="str">
        <f>IFERROR(__xludf.DUMMYFUNCTION("""COMPUTED_VALUE""")," 2 / Included Insurance   - ")</f>
        <v> 2 / Included Insurance   - </v>
      </c>
      <c r="H225" s="65" t="str">
        <f>IFERROR(__xludf.DUMMYFUNCTION("""COMPUTED_VALUE"""),"Millbrook Bldg. 3  ")</f>
        <v>Millbrook Bldg. 3  </v>
      </c>
      <c r="I225" s="65" t="str">
        <f>IFERROR(__xludf.DUMMYFUNCTION("""COMPUTED_VALUE"""),"101d")</f>
        <v>101d</v>
      </c>
      <c r="J225" s="108" t="str">
        <f>IFERROR(__xludf.DUMMYFUNCTION("""COMPUTED_VALUE"""),"09:00 AM to 11:00 AM  ")</f>
        <v>09:00 AM to 11:00 AM  </v>
      </c>
      <c r="K225" s="103">
        <f>IFERROR(__xludf.DUMMYFUNCTION("""COMPUTED_VALUE"""),46148.0)</f>
        <v>46148</v>
      </c>
      <c r="L225" s="65" t="str">
        <f>IFERROR(__xludf.DUMMYFUNCTION("""COMPUTED_VALUE""")," ")</f>
        <v> </v>
      </c>
      <c r="M225" s="65"/>
      <c r="N225" s="65"/>
    </row>
    <row r="226">
      <c r="A226" s="99" t="str">
        <f>IFERROR(__xludf.DUMMYFUNCTION("""COMPUTED_VALUE"""),"https://utrucking.com/admin/orders/6398515675324")</f>
        <v>https://utrucking.com/admin/orders/6398515675324</v>
      </c>
      <c r="B226" s="61" t="str">
        <f>IFERROR(__xludf.DUMMYFUNCTION("""COMPUTED_VALUE"""),"#17258")</f>
        <v>#17258</v>
      </c>
      <c r="C226" s="61"/>
      <c r="D226" s="61">
        <f>IFERROR(__xludf.DUMMYFUNCTION("""COMPUTED_VALUE"""),3.234014182E9)</f>
        <v>3234014182</v>
      </c>
      <c r="E226" s="61" t="str">
        <f>IFERROR(__xludf.DUMMYFUNCTION("""COMPUTED_VALUE"""),"Levi Cutler")</f>
        <v>Levi Cutler</v>
      </c>
      <c r="F226" s="61" t="str">
        <f>IFERROR(__xludf.DUMMYFUNCTION("""COMPUTED_VALUE"""),"Levi Cutler")</f>
        <v>Levi Cutler</v>
      </c>
      <c r="G226" s="61" t="str">
        <f>IFERROR(__xludf.DUMMYFUNCTION("""COMPUTED_VALUE""")," 2 / $1000 of Additional Coverage   - ")</f>
        <v> 2 / $1000 of Additional Coverage   - </v>
      </c>
      <c r="H226" s="61" t="str">
        <f>IFERROR(__xludf.DUMMYFUNCTION("""COMPUTED_VALUE"""),"Danforth  ")</f>
        <v>Danforth  </v>
      </c>
      <c r="I226" s="61" t="str">
        <f>IFERROR(__xludf.DUMMYFUNCTION("""COMPUTED_VALUE"""),"4430")</f>
        <v>4430</v>
      </c>
      <c r="J226" s="107" t="str">
        <f>IFERROR(__xludf.DUMMYFUNCTION("""COMPUTED_VALUE"""),"09:00 AM to 11:00 AM  ")</f>
        <v>09:00 AM to 11:00 AM  </v>
      </c>
      <c r="K226" s="100">
        <f>IFERROR(__xludf.DUMMYFUNCTION("""COMPUTED_VALUE"""),46141.0)</f>
        <v>46141</v>
      </c>
      <c r="L226" s="61" t="str">
        <f>IFERROR(__xludf.DUMMYFUNCTION("""COMPUTED_VALUE""")," ")</f>
        <v> </v>
      </c>
      <c r="M226" s="61"/>
      <c r="N226" s="61"/>
    </row>
    <row r="227">
      <c r="A227" s="102" t="str">
        <f>IFERROR(__xludf.DUMMYFUNCTION("""COMPUTED_VALUE"""),"https://utrucking.com/admin/orders/6398749180092")</f>
        <v>https://utrucking.com/admin/orders/6398749180092</v>
      </c>
      <c r="B227" s="65" t="str">
        <f>IFERROR(__xludf.DUMMYFUNCTION("""COMPUTED_VALUE"""),"#17259")</f>
        <v>#17259</v>
      </c>
      <c r="C227" s="65"/>
      <c r="D227" s="65">
        <f>IFERROR(__xludf.DUMMYFUNCTION("""COMPUTED_VALUE"""),9.177347179E9)</f>
        <v>9177347179</v>
      </c>
      <c r="E227" s="65" t="str">
        <f>IFERROR(__xludf.DUMMYFUNCTION("""COMPUTED_VALUE"""),"Andrew Lassman")</f>
        <v>Andrew Lassman</v>
      </c>
      <c r="F227" s="65" t="str">
        <f>IFERROR(__xludf.DUMMYFUNCTION("""COMPUTED_VALUE"""),"Emma Lassman")</f>
        <v>Emma Lassman</v>
      </c>
      <c r="G227" s="65" t="str">
        <f>IFERROR(__xludf.DUMMYFUNCTION("""COMPUTED_VALUE""")," 1 [Included with Registration] / Included Insurance   - ")</f>
        <v> 1 [Included with Registration] / Included Insurance   - </v>
      </c>
      <c r="H227" s="65" t="str">
        <f>IFERROR(__xludf.DUMMYFUNCTION("""COMPUTED_VALUE"""),"Lien  ")</f>
        <v>Lien  </v>
      </c>
      <c r="I227" s="65" t="str">
        <f>IFERROR(__xludf.DUMMYFUNCTION("""COMPUTED_VALUE"""),"1116")</f>
        <v>1116</v>
      </c>
      <c r="J227" s="108" t="str">
        <f>IFERROR(__xludf.DUMMYFUNCTION("""COMPUTED_VALUE"""),"09:00 AM to 11:00 AM  ")</f>
        <v>09:00 AM to 11:00 AM  </v>
      </c>
      <c r="K227" s="103">
        <f>IFERROR(__xludf.DUMMYFUNCTION("""COMPUTED_VALUE"""),46150.0)</f>
        <v>46150</v>
      </c>
      <c r="L227" s="65" t="str">
        <f>IFERROR(__xludf.DUMMYFUNCTION("""COMPUTED_VALUE""")," ")</f>
        <v> </v>
      </c>
      <c r="M227" s="65"/>
      <c r="N227" s="65"/>
    </row>
    <row r="228">
      <c r="A228" s="99" t="str">
        <f>IFERROR(__xludf.DUMMYFUNCTION("""COMPUTED_VALUE"""),"https://utrucking.com/admin/orders/6399297224892")</f>
        <v>https://utrucking.com/admin/orders/6399297224892</v>
      </c>
      <c r="B228" s="61" t="str">
        <f>IFERROR(__xludf.DUMMYFUNCTION("""COMPUTED_VALUE"""),"#17263")</f>
        <v>#17263</v>
      </c>
      <c r="C228" s="61"/>
      <c r="D228" s="61"/>
      <c r="E228" s="61" t="str">
        <f>IFERROR(__xludf.DUMMYFUNCTION("""COMPUTED_VALUE"""),"Nancy Katz")</f>
        <v>Nancy Katz</v>
      </c>
      <c r="F228" s="61" t="str">
        <f>IFERROR(__xludf.DUMMYFUNCTION("""COMPUTED_VALUE"""),"Shaine Greenwald")</f>
        <v>Shaine Greenwald</v>
      </c>
      <c r="G228" s="61" t="str">
        <f>IFERROR(__xludf.DUMMYFUNCTION("""COMPUTED_VALUE""")," 2 / Included Insurance   - ")</f>
        <v> 2 / Included Insurance   - </v>
      </c>
      <c r="H228" s="61" t="str">
        <f>IFERROR(__xludf.DUMMYFUNCTION("""COMPUTED_VALUE"""),"Gregg  ")</f>
        <v>Gregg  </v>
      </c>
      <c r="I228" s="61" t="str">
        <f>IFERROR(__xludf.DUMMYFUNCTION("""COMPUTED_VALUE"""),"I will get room, 2nd floor ")</f>
        <v>I will get room, 2nd floor </v>
      </c>
      <c r="J228" s="107" t="str">
        <f>IFERROR(__xludf.DUMMYFUNCTION("""COMPUTED_VALUE"""),"09:00 AM to 11:00 AM  ")</f>
        <v>09:00 AM to 11:00 AM  </v>
      </c>
      <c r="K228" s="100">
        <f>IFERROR(__xludf.DUMMYFUNCTION("""COMPUTED_VALUE"""),46149.0)</f>
        <v>46149</v>
      </c>
      <c r="L228" s="61" t="str">
        <f>IFERROR(__xludf.DUMMYFUNCTION("""COMPUTED_VALUE""")," ")</f>
        <v> </v>
      </c>
      <c r="M228" s="61"/>
      <c r="N228" s="61"/>
    </row>
    <row r="229">
      <c r="A229" s="102" t="str">
        <f>IFERROR(__xludf.DUMMYFUNCTION("""COMPUTED_VALUE"""),"https://utrucking.com/admin/orders/6399569297596")</f>
        <v>https://utrucking.com/admin/orders/6399569297596</v>
      </c>
      <c r="B229" s="65" t="str">
        <f>IFERROR(__xludf.DUMMYFUNCTION("""COMPUTED_VALUE"""),"#17264")</f>
        <v>#17264</v>
      </c>
      <c r="C229" s="65" t="str">
        <f>IFERROR(__xludf.DUMMYFUNCTION("""COMPUTED_VALUE"""),"plt9@hotmail.com")</f>
        <v>plt9@hotmail.com</v>
      </c>
      <c r="D229" s="65">
        <f>IFERROR(__xludf.DUMMYFUNCTION("""COMPUTED_VALUE"""),6.468979027E9)</f>
        <v>6468979027</v>
      </c>
      <c r="E229" s="65" t="str">
        <f>IFERROR(__xludf.DUMMYFUNCTION("""COMPUTED_VALUE"""),"Patricia Toro")</f>
        <v>Patricia Toro</v>
      </c>
      <c r="F229" s="65" t="str">
        <f>IFERROR(__xludf.DUMMYFUNCTION("""COMPUTED_VALUE"""),"Hannah McWhan")</f>
        <v>Hannah McWhan</v>
      </c>
      <c r="G229" s="65" t="str">
        <f>IFERROR(__xludf.DUMMYFUNCTION("""COMPUTED_VALUE""")," 1 [Included with Registration] / Included Insurance   - ")</f>
        <v> 1 [Included with Registration] / Included Insurance   - </v>
      </c>
      <c r="H229" s="65" t="str">
        <f>IFERROR(__xludf.DUMMYFUNCTION("""COMPUTED_VALUE"""),"Zetcher  ")</f>
        <v>Zetcher  </v>
      </c>
      <c r="I229" s="65" t="str">
        <f>IFERROR(__xludf.DUMMYFUNCTION("""COMPUTED_VALUE"""),"3024-A")</f>
        <v>3024-A</v>
      </c>
      <c r="J229" s="108" t="str">
        <f>IFERROR(__xludf.DUMMYFUNCTION("""COMPUTED_VALUE"""),"09:00 AM to 11:00 AM  ")</f>
        <v>09:00 AM to 11:00 AM  </v>
      </c>
      <c r="K229" s="103">
        <f>IFERROR(__xludf.DUMMYFUNCTION("""COMPUTED_VALUE"""),46148.0)</f>
        <v>46148</v>
      </c>
      <c r="L229" s="65" t="str">
        <f>IFERROR(__xludf.DUMMYFUNCTION("""COMPUTED_VALUE""")," ")</f>
        <v> </v>
      </c>
      <c r="M229" s="65"/>
      <c r="N229" s="65"/>
    </row>
    <row r="230">
      <c r="A230" s="99" t="str">
        <f>IFERROR(__xludf.DUMMYFUNCTION("""COMPUTED_VALUE"""),"https://utrucking.com/admin/orders/6399607668924")</f>
        <v>https://utrucking.com/admin/orders/6399607668924</v>
      </c>
      <c r="B230" s="61" t="str">
        <f>IFERROR(__xludf.DUMMYFUNCTION("""COMPUTED_VALUE"""),"#17265")</f>
        <v>#17265</v>
      </c>
      <c r="C230" s="61" t="str">
        <f>IFERROR(__xludf.DUMMYFUNCTION("""COMPUTED_VALUE"""),"p.j.tuohy@wustl.edu")</f>
        <v>p.j.tuohy@wustl.edu</v>
      </c>
      <c r="D230" s="61">
        <f>IFERROR(__xludf.DUMMYFUNCTION("""COMPUTED_VALUE"""),5.169415108E9)</f>
        <v>5169415108</v>
      </c>
      <c r="E230" s="61" t="str">
        <f>IFERROR(__xludf.DUMMYFUNCTION("""COMPUTED_VALUE"""),"Patrick Tuohy")</f>
        <v>Patrick Tuohy</v>
      </c>
      <c r="F230" s="61" t="str">
        <f>IFERROR(__xludf.DUMMYFUNCTION("""COMPUTED_VALUE"""),"Patrick  Tuohy")</f>
        <v>Patrick  Tuohy</v>
      </c>
      <c r="G230" s="61" t="str">
        <f>IFERROR(__xludf.DUMMYFUNCTION("""COMPUTED_VALUE""")," 1 [Included with Registration] / Included Insurance   - ")</f>
        <v> 1 [Included with Registration] / Included Insurance   - </v>
      </c>
      <c r="H230" s="61" t="str">
        <f>IFERROR(__xludf.DUMMYFUNCTION("""COMPUTED_VALUE"""),"Gregg  ")</f>
        <v>Gregg  </v>
      </c>
      <c r="I230" s="61" t="str">
        <f>IFERROR(__xludf.DUMMYFUNCTION("""COMPUTED_VALUE"""),"2171")</f>
        <v>2171</v>
      </c>
      <c r="J230" s="107" t="str">
        <f>IFERROR(__xludf.DUMMYFUNCTION("""COMPUTED_VALUE"""),"09:00 AM to 11:00 AM  ")</f>
        <v>09:00 AM to 11:00 AM  </v>
      </c>
      <c r="K230" s="100">
        <f>IFERROR(__xludf.DUMMYFUNCTION("""COMPUTED_VALUE"""),46150.0)</f>
        <v>46150</v>
      </c>
      <c r="L230" s="61" t="str">
        <f>IFERROR(__xludf.DUMMYFUNCTION("""COMPUTED_VALUE""")," ")</f>
        <v> </v>
      </c>
      <c r="M230" s="61"/>
      <c r="N230" s="61"/>
    </row>
    <row r="231">
      <c r="A231" s="102" t="str">
        <f>IFERROR(__xludf.DUMMYFUNCTION("""COMPUTED_VALUE"""),"https://utrucking.com/admin/orders/6399773573308")</f>
        <v>https://utrucking.com/admin/orders/6399773573308</v>
      </c>
      <c r="B231" s="65" t="str">
        <f>IFERROR(__xludf.DUMMYFUNCTION("""COMPUTED_VALUE"""),"#17266")</f>
        <v>#17266</v>
      </c>
      <c r="C231" s="65"/>
      <c r="D231" s="65">
        <f>IFERROR(__xludf.DUMMYFUNCTION("""COMPUTED_VALUE"""),2.143369342E9)</f>
        <v>2143369342</v>
      </c>
      <c r="E231" s="65" t="str">
        <f>IFERROR(__xludf.DUMMYFUNCTION("""COMPUTED_VALUE"""),"Julie Liberman")</f>
        <v>Julie Liberman</v>
      </c>
      <c r="F231" s="65" t="str">
        <f>IFERROR(__xludf.DUMMYFUNCTION("""COMPUTED_VALUE"""),"Sally Liberman")</f>
        <v>Sally Liberman</v>
      </c>
      <c r="G231" s="65" t="str">
        <f>IFERROR(__xludf.DUMMYFUNCTION("""COMPUTED_VALUE""")," 1 [Included with Registration] / Included Insurance   - ")</f>
        <v> 1 [Included with Registration] / Included Insurance   - </v>
      </c>
      <c r="H231" s="65" t="str">
        <f>IFERROR(__xludf.DUMMYFUNCTION("""COMPUTED_VALUE"""),"Umrath  ")</f>
        <v>Umrath  </v>
      </c>
      <c r="I231" s="65" t="str">
        <f>IFERROR(__xludf.DUMMYFUNCTION("""COMPUTED_VALUE"""),"3322")</f>
        <v>3322</v>
      </c>
      <c r="J231" s="108" t="str">
        <f>IFERROR(__xludf.DUMMYFUNCTION("""COMPUTED_VALUE"""),"09:00 AM to 11:00 AM  ")</f>
        <v>09:00 AM to 11:00 AM  </v>
      </c>
      <c r="K231" s="103">
        <f>IFERROR(__xludf.DUMMYFUNCTION("""COMPUTED_VALUE"""),46142.0)</f>
        <v>46142</v>
      </c>
      <c r="L231" s="65" t="str">
        <f>IFERROR(__xludf.DUMMYFUNCTION("""COMPUTED_VALUE""")," ")</f>
        <v> </v>
      </c>
      <c r="M231" s="65"/>
      <c r="N231" s="65" t="str">
        <f>IFERROR(__xludf.DUMMYFUNCTION("""COMPUTED_VALUE"""),"Need box kit delivered by April 10, thank you! Boxes, plastic storage container, and bookshelf can be picked up when you do Umrath. She is leaving before her roommate leaves. I spoke with Carlos who told me date I put doesn't matter. Please call or text w"&amp;"ith any questions anytime. Thanks!")</f>
        <v>Need box kit delivered by April 10, thank you! Boxes, plastic storage container, and bookshelf can be picked up when you do Umrath. She is leaving before her roommate leaves. I spoke with Carlos who told me date I put doesn't matter. Please call or text with any questions anytime. Thanks!</v>
      </c>
    </row>
    <row r="232">
      <c r="A232" s="99" t="str">
        <f>IFERROR(__xludf.DUMMYFUNCTION("""COMPUTED_VALUE"""),"https://utrucking.com/admin/orders/6399785730236")</f>
        <v>https://utrucking.com/admin/orders/6399785730236</v>
      </c>
      <c r="B232" s="61" t="str">
        <f>IFERROR(__xludf.DUMMYFUNCTION("""COMPUTED_VALUE"""),"#17267")</f>
        <v>#17267</v>
      </c>
      <c r="C232" s="61"/>
      <c r="D232" s="61">
        <f>IFERROR(__xludf.DUMMYFUNCTION("""COMPUTED_VALUE"""),6.615995133E9)</f>
        <v>6615995133</v>
      </c>
      <c r="E232" s="61" t="str">
        <f>IFERROR(__xludf.DUMMYFUNCTION("""COMPUTED_VALUE"""),"Lalita Rahman")</f>
        <v>Lalita Rahman</v>
      </c>
      <c r="F232" s="61" t="str">
        <f>IFERROR(__xludf.DUMMYFUNCTION("""COMPUTED_VALUE"""),"Faheem Rahman ")</f>
        <v>Faheem Rahman </v>
      </c>
      <c r="G232" s="61" t="str">
        <f>IFERROR(__xludf.DUMMYFUNCTION("""COMPUTED_VALUE""")," 1 [Included with Registration] / Included Insurance   - ")</f>
        <v> 1 [Included with Registration] / Included Insurance   - </v>
      </c>
      <c r="H232" s="61" t="str">
        <f>IFERROR(__xludf.DUMMYFUNCTION("""COMPUTED_VALUE"""),"6639 University Drive  ")</f>
        <v>6639 University Drive  </v>
      </c>
      <c r="I232" s="61" t="str">
        <f>IFERROR(__xludf.DUMMYFUNCTION("""COMPUTED_VALUE"""),"2E-B")</f>
        <v>2E-B</v>
      </c>
      <c r="J232" s="107" t="str">
        <f>IFERROR(__xludf.DUMMYFUNCTION("""COMPUTED_VALUE"""),"09:00 AM to 11:00 AM  ")</f>
        <v>09:00 AM to 11:00 AM  </v>
      </c>
      <c r="K232" s="100">
        <f>IFERROR(__xludf.DUMMYFUNCTION("""COMPUTED_VALUE"""),46146.0)</f>
        <v>46146</v>
      </c>
      <c r="L232" s="61" t="str">
        <f>IFERROR(__xludf.DUMMYFUNCTION("""COMPUTED_VALUE""")," ")</f>
        <v> </v>
      </c>
      <c r="M232" s="61"/>
      <c r="N232" s="61"/>
    </row>
    <row r="233">
      <c r="A233" s="102" t="str">
        <f>IFERROR(__xludf.DUMMYFUNCTION("""COMPUTED_VALUE"""),"https://utrucking.com/admin/orders/6400250085564")</f>
        <v>https://utrucking.com/admin/orders/6400250085564</v>
      </c>
      <c r="B233" s="65" t="str">
        <f>IFERROR(__xludf.DUMMYFUNCTION("""COMPUTED_VALUE"""),"#17268")</f>
        <v>#17268</v>
      </c>
      <c r="C233" s="65" t="str">
        <f>IFERROR(__xludf.DUMMYFUNCTION("""COMPUTED_VALUE"""),"animalfarm@earthlink.net")</f>
        <v>animalfarm@earthlink.net</v>
      </c>
      <c r="D233" s="65">
        <f>IFERROR(__xludf.DUMMYFUNCTION("""COMPUTED_VALUE"""),2.094852901E9)</f>
        <v>2094852901</v>
      </c>
      <c r="E233" s="65" t="str">
        <f>IFERROR(__xludf.DUMMYFUNCTION("""COMPUTED_VALUE"""),"Kristen Santos")</f>
        <v>Kristen Santos</v>
      </c>
      <c r="F233" s="65" t="str">
        <f>IFERROR(__xludf.DUMMYFUNCTION("""COMPUTED_VALUE"""),"Theodore Santos")</f>
        <v>Theodore Santos</v>
      </c>
      <c r="G233" s="65" t="str">
        <f>IFERROR(__xludf.DUMMYFUNCTION("""COMPUTED_VALUE""")," 2 / Included Insurance   - ")</f>
        <v> 2 / Included Insurance   - </v>
      </c>
      <c r="H233" s="65" t="str">
        <f>IFERROR(__xludf.DUMMYFUNCTION("""COMPUTED_VALUE"""),"Eliot A (Thomas Eliot)")</f>
        <v>Eliot A (Thomas Eliot)</v>
      </c>
      <c r="I233" s="65" t="str">
        <f>IFERROR(__xludf.DUMMYFUNCTION("""COMPUTED_VALUE"""),"0304")</f>
        <v>0304</v>
      </c>
      <c r="J233" s="108" t="str">
        <f>IFERROR(__xludf.DUMMYFUNCTION("""COMPUTED_VALUE"""),"09:00 AM to 11:00 AM  ")</f>
        <v>09:00 AM to 11:00 AM  </v>
      </c>
      <c r="K233" s="103">
        <f>IFERROR(__xludf.DUMMYFUNCTION("""COMPUTED_VALUE"""),46149.0)</f>
        <v>46149</v>
      </c>
      <c r="L233" s="65" t="str">
        <f>IFERROR(__xludf.DUMMYFUNCTION("""COMPUTED_VALUE""")," ")</f>
        <v> </v>
      </c>
      <c r="M233" s="65"/>
      <c r="N233" s="65"/>
    </row>
    <row r="234">
      <c r="A234" s="99" t="str">
        <f>IFERROR(__xludf.DUMMYFUNCTION("""COMPUTED_VALUE"""),"https://utrucking.com/admin/orders/6400504266940")</f>
        <v>https://utrucking.com/admin/orders/6400504266940</v>
      </c>
      <c r="B234" s="61" t="str">
        <f>IFERROR(__xludf.DUMMYFUNCTION("""COMPUTED_VALUE"""),"#17269")</f>
        <v>#17269</v>
      </c>
      <c r="C234" s="61" t="str">
        <f>IFERROR(__xludf.DUMMYFUNCTION("""COMPUTED_VALUE"""),"a.plaxe@wustl.edu")</f>
        <v>a.plaxe@wustl.edu</v>
      </c>
      <c r="D234" s="61">
        <f>IFERROR(__xludf.DUMMYFUNCTION("""COMPUTED_VALUE"""),9.174551134E9)</f>
        <v>9174551134</v>
      </c>
      <c r="E234" s="61" t="str">
        <f>IFERROR(__xludf.DUMMYFUNCTION("""COMPUTED_VALUE"""),"Amanda Plaxe")</f>
        <v>Amanda Plaxe</v>
      </c>
      <c r="F234" s="61" t="str">
        <f>IFERROR(__xludf.DUMMYFUNCTION("""COMPUTED_VALUE"""),"Amanda Plaxe")</f>
        <v>Amanda Plaxe</v>
      </c>
      <c r="G234" s="61" t="str">
        <f>IFERROR(__xludf.DUMMYFUNCTION("""COMPUTED_VALUE""")," 2 / Included Insurance   - ")</f>
        <v> 2 / Included Insurance   - </v>
      </c>
      <c r="H234" s="61" t="str">
        <f>IFERROR(__xludf.DUMMYFUNCTION("""COMPUTED_VALUE"""),"Eliot B (Sophomore Dorm)")</f>
        <v>Eliot B (Sophomore Dorm)</v>
      </c>
      <c r="I234" s="61" t="str">
        <f>IFERROR(__xludf.DUMMYFUNCTION("""COMPUTED_VALUE"""),"2103")</f>
        <v>2103</v>
      </c>
      <c r="J234" s="107" t="str">
        <f>IFERROR(__xludf.DUMMYFUNCTION("""COMPUTED_VALUE"""),"09:00 AM to 11:00 AM  ")</f>
        <v>09:00 AM to 11:00 AM  </v>
      </c>
      <c r="K234" s="100">
        <f>IFERROR(__xludf.DUMMYFUNCTION("""COMPUTED_VALUE"""),46150.0)</f>
        <v>46150</v>
      </c>
      <c r="L234" s="61" t="str">
        <f>IFERROR(__xludf.DUMMYFUNCTION("""COMPUTED_VALUE""")," ")</f>
        <v> </v>
      </c>
      <c r="M234" s="61"/>
      <c r="N234" s="61"/>
    </row>
    <row r="235">
      <c r="A235" s="102" t="str">
        <f>IFERROR(__xludf.DUMMYFUNCTION("""COMPUTED_VALUE"""),"https://utrucking.com/admin/orders/6401139605692")</f>
        <v>https://utrucking.com/admin/orders/6401139605692</v>
      </c>
      <c r="B235" s="65" t="str">
        <f>IFERROR(__xludf.DUMMYFUNCTION("""COMPUTED_VALUE"""),"#17270")</f>
        <v>#17270</v>
      </c>
      <c r="C235" s="65"/>
      <c r="D235" s="65">
        <f>IFERROR(__xludf.DUMMYFUNCTION("""COMPUTED_VALUE"""),2.029576757E9)</f>
        <v>2029576757</v>
      </c>
      <c r="E235" s="65" t="str">
        <f>IFERROR(__xludf.DUMMYFUNCTION("""COMPUTED_VALUE"""),"Ilana Vainstein")</f>
        <v>Ilana Vainstein</v>
      </c>
      <c r="F235" s="65" t="str">
        <f>IFERROR(__xludf.DUMMYFUNCTION("""COMPUTED_VALUE"""),"Ilana Vainstein")</f>
        <v>Ilana Vainstein</v>
      </c>
      <c r="G235" s="65" t="str">
        <f>IFERROR(__xludf.DUMMYFUNCTION("""COMPUTED_VALUE""")," 1 [Included with Registration] / Included Insurance   - ")</f>
        <v> 1 [Included with Registration] / Included Insurance   - </v>
      </c>
      <c r="H235" s="65" t="str">
        <f>IFERROR(__xludf.DUMMYFUNCTION("""COMPUTED_VALUE"""),"Eliot A (Thomas Eliot)")</f>
        <v>Eliot A (Thomas Eliot)</v>
      </c>
      <c r="I235" s="65" t="str">
        <f>IFERROR(__xludf.DUMMYFUNCTION("""COMPUTED_VALUE"""),"1000")</f>
        <v>1000</v>
      </c>
      <c r="J235" s="108" t="str">
        <f>IFERROR(__xludf.DUMMYFUNCTION("""COMPUTED_VALUE"""),"03:00 PM to 05:00 PM")</f>
        <v>03:00 PM to 05:00 PM</v>
      </c>
      <c r="K235" s="103">
        <f>IFERROR(__xludf.DUMMYFUNCTION("""COMPUTED_VALUE"""),46148.0)</f>
        <v>46148</v>
      </c>
      <c r="L235" s="65" t="str">
        <f>IFERROR(__xludf.DUMMYFUNCTION("""COMPUTED_VALUE""")," ")</f>
        <v> </v>
      </c>
      <c r="M235" s="65"/>
      <c r="N235" s="65"/>
    </row>
    <row r="236">
      <c r="A236" s="99" t="str">
        <f>IFERROR(__xludf.DUMMYFUNCTION("""COMPUTED_VALUE"""),"https://utrucking.com/admin/orders/6401215398076")</f>
        <v>https://utrucking.com/admin/orders/6401215398076</v>
      </c>
      <c r="B236" s="61" t="str">
        <f>IFERROR(__xludf.DUMMYFUNCTION("""COMPUTED_VALUE"""),"#17271")</f>
        <v>#17271</v>
      </c>
      <c r="C236" s="61" t="str">
        <f>IFERROR(__xludf.DUMMYFUNCTION("""COMPUTED_VALUE"""),"ally.l@wustl.edu")</f>
        <v>ally.l@wustl.edu</v>
      </c>
      <c r="D236" s="61"/>
      <c r="E236" s="61" t="str">
        <f>IFERROR(__xludf.DUMMYFUNCTION("""COMPUTED_VALUE"""),"Ally Lin")</f>
        <v>Ally Lin</v>
      </c>
      <c r="F236" s="61" t="str">
        <f>IFERROR(__xludf.DUMMYFUNCTION("""COMPUTED_VALUE"""),"Ally Lin")</f>
        <v>Ally Lin</v>
      </c>
      <c r="G236" s="61" t="str">
        <f>IFERROR(__xludf.DUMMYFUNCTION("""COMPUTED_VALUE""")," 1 [Included with Registration] / Included Insurance   - ")</f>
        <v> 1 [Included with Registration] / Included Insurance   - </v>
      </c>
      <c r="H236" s="61" t="str">
        <f>IFERROR(__xludf.DUMMYFUNCTION("""COMPUTED_VALUE"""),"Millbrook Bldg. 1  ")</f>
        <v>Millbrook Bldg. 1  </v>
      </c>
      <c r="I236" s="61" t="str">
        <f>IFERROR(__xludf.DUMMYFUNCTION("""COMPUTED_VALUE"""),"204 D")</f>
        <v>204 D</v>
      </c>
      <c r="J236" s="107" t="str">
        <f>IFERROR(__xludf.DUMMYFUNCTION("""COMPUTED_VALUE"""),"03:00 PM to 05:00 PM")</f>
        <v>03:00 PM to 05:00 PM</v>
      </c>
      <c r="K236" s="100">
        <f>IFERROR(__xludf.DUMMYFUNCTION("""COMPUTED_VALUE"""),46158.0)</f>
        <v>46158</v>
      </c>
      <c r="L236" s="61" t="str">
        <f>IFERROR(__xludf.DUMMYFUNCTION("""COMPUTED_VALUE""")," ")</f>
        <v> </v>
      </c>
      <c r="M236" s="61"/>
      <c r="N236" s="61"/>
    </row>
    <row r="237">
      <c r="A237" s="102" t="str">
        <f>IFERROR(__xludf.DUMMYFUNCTION("""COMPUTED_VALUE"""),"https://utrucking.com/admin/orders/6401274740924")</f>
        <v>https://utrucking.com/admin/orders/6401274740924</v>
      </c>
      <c r="B237" s="65" t="str">
        <f>IFERROR(__xludf.DUMMYFUNCTION("""COMPUTED_VALUE"""),"#17272")</f>
        <v>#17272</v>
      </c>
      <c r="C237" s="65" t="str">
        <f>IFERROR(__xludf.DUMMYFUNCTION("""COMPUTED_VALUE"""),"b.yunan@wustl.edu")</f>
        <v>b.yunan@wustl.edu</v>
      </c>
      <c r="D237" s="65">
        <f>IFERROR(__xludf.DUMMYFUNCTION("""COMPUTED_VALUE"""),5.572289736E9)</f>
        <v>5572289736</v>
      </c>
      <c r="E237" s="65" t="str">
        <f>IFERROR(__xludf.DUMMYFUNCTION("""COMPUTED_VALUE"""),"Yunan Bai")</f>
        <v>Yunan Bai</v>
      </c>
      <c r="F237" s="65" t="str">
        <f>IFERROR(__xludf.DUMMYFUNCTION("""COMPUTED_VALUE"""),"Nancy Bai")</f>
        <v>Nancy Bai</v>
      </c>
      <c r="G237" s="65" t="str">
        <f>IFERROR(__xludf.DUMMYFUNCTION("""COMPUTED_VALUE""")," 2 / Included Insurance   - ")</f>
        <v> 2 / Included Insurance   - </v>
      </c>
      <c r="H237" s="65" t="str">
        <f>IFERROR(__xludf.DUMMYFUNCTION("""COMPUTED_VALUE"""),"Hurd  ")</f>
        <v>Hurd  </v>
      </c>
      <c r="I237" s="65" t="str">
        <f>IFERROR(__xludf.DUMMYFUNCTION("""COMPUTED_VALUE"""),"312")</f>
        <v>312</v>
      </c>
      <c r="J237" s="108" t="str">
        <f>IFERROR(__xludf.DUMMYFUNCTION("""COMPUTED_VALUE"""),"02:00 PM to 04:00 PM")</f>
        <v>02:00 PM to 04:00 PM</v>
      </c>
      <c r="K237" s="103">
        <f>IFERROR(__xludf.DUMMYFUNCTION("""COMPUTED_VALUE"""),46141.0)</f>
        <v>46141</v>
      </c>
      <c r="L237" s="65" t="str">
        <f>IFERROR(__xludf.DUMMYFUNCTION("""COMPUTED_VALUE""")," ")</f>
        <v> </v>
      </c>
      <c r="M237" s="65"/>
      <c r="N237" s="65"/>
    </row>
    <row r="238">
      <c r="A238" s="99" t="str">
        <f>IFERROR(__xludf.DUMMYFUNCTION("""COMPUTED_VALUE"""),"https://utrucking.com/admin/orders/6401370194108")</f>
        <v>https://utrucking.com/admin/orders/6401370194108</v>
      </c>
      <c r="B238" s="61" t="str">
        <f>IFERROR(__xludf.DUMMYFUNCTION("""COMPUTED_VALUE"""),"#17273")</f>
        <v>#17273</v>
      </c>
      <c r="C238" s="61"/>
      <c r="D238" s="61"/>
      <c r="E238" s="61" t="str">
        <f>IFERROR(__xludf.DUMMYFUNCTION("""COMPUTED_VALUE"""),"Chaeyoun Myoung")</f>
        <v>Chaeyoun Myoung</v>
      </c>
      <c r="F238" s="61" t="str">
        <f>IFERROR(__xludf.DUMMYFUNCTION("""COMPUTED_VALUE"""),"Jesse Myoung")</f>
        <v>Jesse Myoung</v>
      </c>
      <c r="G238" s="61" t="str">
        <f>IFERROR(__xludf.DUMMYFUNCTION("""COMPUTED_VALUE""")," 1 [Included with Registration] / Included Insurance   - ")</f>
        <v> 1 [Included with Registration] / Included Insurance   - </v>
      </c>
      <c r="H238" s="61"/>
      <c r="I238" s="61"/>
      <c r="J238" s="107" t="str">
        <f>IFERROR(__xludf.DUMMYFUNCTION("""COMPUTED_VALUE"""),"09:00 AM to 11:00 AM  ")</f>
        <v>09:00 AM to 11:00 AM  </v>
      </c>
      <c r="K238" s="100">
        <f>IFERROR(__xludf.DUMMYFUNCTION("""COMPUTED_VALUE"""),46158.0)</f>
        <v>46158</v>
      </c>
      <c r="L238" s="61" t="str">
        <f>IFERROR(__xludf.DUMMYFUNCTION("""COMPUTED_VALUE""")," ")</f>
        <v> </v>
      </c>
      <c r="M238" s="61" t="str">
        <f>IFERROR(__xludf.DUMMYFUNCTION("""COMPUTED_VALUE"""),"6188 Mcpherson Ave, Apartment 209")</f>
        <v>6188 Mcpherson Ave, Apartment 209</v>
      </c>
      <c r="N238" s="61"/>
    </row>
    <row r="239">
      <c r="A239" s="102" t="str">
        <f>IFERROR(__xludf.DUMMYFUNCTION("""COMPUTED_VALUE"""),"https://utrucking.com/admin/orders/6402041512124")</f>
        <v>https://utrucking.com/admin/orders/6402041512124</v>
      </c>
      <c r="B239" s="65" t="str">
        <f>IFERROR(__xludf.DUMMYFUNCTION("""COMPUTED_VALUE"""),"#17277")</f>
        <v>#17277</v>
      </c>
      <c r="C239" s="65" t="str">
        <f>IFERROR(__xludf.DUMMYFUNCTION("""COMPUTED_VALUE"""),"mulan.zhang007@gmail.com")</f>
        <v>mulan.zhang007@gmail.com</v>
      </c>
      <c r="D239" s="65">
        <f>IFERROR(__xludf.DUMMYFUNCTION("""COMPUTED_VALUE"""),6.179702248E9)</f>
        <v>6179702248</v>
      </c>
      <c r="E239" s="65" t="str">
        <f>IFERROR(__xludf.DUMMYFUNCTION("""COMPUTED_VALUE"""),"Mulan Zhang")</f>
        <v>Mulan Zhang</v>
      </c>
      <c r="F239" s="65" t="str">
        <f>IFERROR(__xludf.DUMMYFUNCTION("""COMPUTED_VALUE"""),"Mulan Zhang")</f>
        <v>Mulan Zhang</v>
      </c>
      <c r="G239" s="65" t="str">
        <f>IFERROR(__xludf.DUMMYFUNCTION("""COMPUTED_VALUE""")," 1 [Included with Registration] / Included Insurance   - ")</f>
        <v> 1 [Included with Registration] / Included Insurance   - </v>
      </c>
      <c r="H239" s="65" t="str">
        <f>IFERROR(__xludf.DUMMYFUNCTION("""COMPUTED_VALUE"""),"Danforth  ")</f>
        <v>Danforth  </v>
      </c>
      <c r="I239" s="65" t="str">
        <f>IFERROR(__xludf.DUMMYFUNCTION("""COMPUTED_VALUE"""),"4421")</f>
        <v>4421</v>
      </c>
      <c r="J239" s="108" t="str">
        <f>IFERROR(__xludf.DUMMYFUNCTION("""COMPUTED_VALUE"""),"02:00 PM to 04:00 PM")</f>
        <v>02:00 PM to 04:00 PM</v>
      </c>
      <c r="K239" s="103">
        <f>IFERROR(__xludf.DUMMYFUNCTION("""COMPUTED_VALUE"""),46144.0)</f>
        <v>46144</v>
      </c>
      <c r="L239" s="65" t="str">
        <f>IFERROR(__xludf.DUMMYFUNCTION("""COMPUTED_VALUE""")," ")</f>
        <v> </v>
      </c>
      <c r="M239" s="65"/>
      <c r="N239" s="65"/>
    </row>
    <row r="240">
      <c r="A240" s="99" t="str">
        <f>IFERROR(__xludf.DUMMYFUNCTION("""COMPUTED_VALUE"""),"https://utrucking.com/admin/orders/6402083324092")</f>
        <v>https://utrucking.com/admin/orders/6402083324092</v>
      </c>
      <c r="B240" s="61" t="str">
        <f>IFERROR(__xludf.DUMMYFUNCTION("""COMPUTED_VALUE"""),"#17278")</f>
        <v>#17278</v>
      </c>
      <c r="C240" s="61" t="str">
        <f>IFERROR(__xludf.DUMMYFUNCTION("""COMPUTED_VALUE"""),"tritranchanda@yahoo.com")</f>
        <v>tritranchanda@yahoo.com</v>
      </c>
      <c r="D240" s="61"/>
      <c r="E240" s="61" t="str">
        <f>IFERROR(__xludf.DUMMYFUNCTION("""COMPUTED_VALUE"""),"Tri Tran")</f>
        <v>Tri Tran</v>
      </c>
      <c r="F240" s="61" t="str">
        <f>IFERROR(__xludf.DUMMYFUNCTION("""COMPUTED_VALUE"""),"Phi Chanda")</f>
        <v>Phi Chanda</v>
      </c>
      <c r="G240" s="61" t="str">
        <f>IFERROR(__xludf.DUMMYFUNCTION("""COMPUTED_VALUE""")," 1 [Included with Registration] / Included Insurance   - ")</f>
        <v> 1 [Included with Registration] / Included Insurance   - </v>
      </c>
      <c r="H240" s="61" t="str">
        <f>IFERROR(__xludf.DUMMYFUNCTION("""COMPUTED_VALUE"""),"Lopata  ")</f>
        <v>Lopata  </v>
      </c>
      <c r="I240" s="61" t="str">
        <f>IFERROR(__xludf.DUMMYFUNCTION("""COMPUTED_VALUE"""),"Lopata-2004-A")</f>
        <v>Lopata-2004-A</v>
      </c>
      <c r="J240" s="107" t="str">
        <f>IFERROR(__xludf.DUMMYFUNCTION("""COMPUTED_VALUE"""),"12:00 PM to 02:00 PM  ")</f>
        <v>12:00 PM to 02:00 PM  </v>
      </c>
      <c r="K240" s="100">
        <f>IFERROR(__xludf.DUMMYFUNCTION("""COMPUTED_VALUE"""),46149.0)</f>
        <v>46149</v>
      </c>
      <c r="L240" s="61" t="str">
        <f>IFERROR(__xludf.DUMMYFUNCTION("""COMPUTED_VALUE""")," ")</f>
        <v> </v>
      </c>
      <c r="M240" s="61"/>
      <c r="N240" s="61" t="str">
        <f>IFERROR(__xludf.DUMMYFUNCTION("""COMPUTED_VALUE"""),"Customer discovered WASHU10 discount code after purchase was finalized. They would like to apply this discount to future payments.")</f>
        <v>Customer discovered WASHU10 discount code after purchase was finalized. They would like to apply this discount to future payments.</v>
      </c>
    </row>
    <row r="241">
      <c r="A241" s="102" t="str">
        <f>IFERROR(__xludf.DUMMYFUNCTION("""COMPUTED_VALUE"""),"https://utrucking.com/admin/orders/6402085191868")</f>
        <v>https://utrucking.com/admin/orders/6402085191868</v>
      </c>
      <c r="B241" s="65" t="str">
        <f>IFERROR(__xludf.DUMMYFUNCTION("""COMPUTED_VALUE"""),"#17279")</f>
        <v>#17279</v>
      </c>
      <c r="C241" s="65" t="str">
        <f>IFERROR(__xludf.DUMMYFUNCTION("""COMPUTED_VALUE"""),"sbryn20@icloud.com")</f>
        <v>sbryn20@icloud.com</v>
      </c>
      <c r="D241" s="65">
        <f>IFERROR(__xludf.DUMMYFUNCTION("""COMPUTED_VALUE"""),9.735188085E9)</f>
        <v>9735188085</v>
      </c>
      <c r="E241" s="65" t="str">
        <f>IFERROR(__xludf.DUMMYFUNCTION("""COMPUTED_VALUE"""),"Samantha Kelner")</f>
        <v>Samantha Kelner</v>
      </c>
      <c r="F241" s="65" t="str">
        <f>IFERROR(__xludf.DUMMYFUNCTION("""COMPUTED_VALUE"""),"Sammy Kelner")</f>
        <v>Sammy Kelner</v>
      </c>
      <c r="G241" s="65" t="str">
        <f>IFERROR(__xludf.DUMMYFUNCTION("""COMPUTED_VALUE""")," 2 [Included with Registration] / Included Insurance   - ")</f>
        <v> 2 [Included with Registration] / Included Insurance   - </v>
      </c>
      <c r="H241" s="65" t="str">
        <f>IFERROR(__xludf.DUMMYFUNCTION("""COMPUTED_VALUE"""),"Loop Loft 6255  ")</f>
        <v>Loop Loft 6255  </v>
      </c>
      <c r="I241" s="65" t="str">
        <f>IFERROR(__xludf.DUMMYFUNCTION("""COMPUTED_VALUE"""),"411C")</f>
        <v>411C</v>
      </c>
      <c r="J241" s="108" t="str">
        <f>IFERROR(__xludf.DUMMYFUNCTION("""COMPUTED_VALUE"""),"03:00 PM to 05:00 PM")</f>
        <v>03:00 PM to 05:00 PM</v>
      </c>
      <c r="K241" s="103">
        <f>IFERROR(__xludf.DUMMYFUNCTION("""COMPUTED_VALUE"""),46149.0)</f>
        <v>46149</v>
      </c>
      <c r="L241" s="65" t="str">
        <f>IFERROR(__xludf.DUMMYFUNCTION("""COMPUTED_VALUE""")," ")</f>
        <v> </v>
      </c>
      <c r="M241" s="65"/>
      <c r="N241" s="65"/>
    </row>
    <row r="242">
      <c r="A242" s="99" t="str">
        <f>IFERROR(__xludf.DUMMYFUNCTION("""COMPUTED_VALUE"""),"https://utrucking.com/admin/orders/6402100101308")</f>
        <v>https://utrucking.com/admin/orders/6402100101308</v>
      </c>
      <c r="B242" s="61" t="str">
        <f>IFERROR(__xludf.DUMMYFUNCTION("""COMPUTED_VALUE"""),"#17280")</f>
        <v>#17280</v>
      </c>
      <c r="C242" s="61" t="str">
        <f>IFERROR(__xludf.DUMMYFUNCTION("""COMPUTED_VALUE"""),"crwpurchases@yahoo.com")</f>
        <v>crwpurchases@yahoo.com</v>
      </c>
      <c r="D242" s="61">
        <f>IFERROR(__xludf.DUMMYFUNCTION("""COMPUTED_VALUE"""),9.175093592E9)</f>
        <v>9175093592</v>
      </c>
      <c r="E242" s="61" t="str">
        <f>IFERROR(__xludf.DUMMYFUNCTION("""COMPUTED_VALUE"""),"Carmen Menocal")</f>
        <v>Carmen Menocal</v>
      </c>
      <c r="F242" s="61" t="str">
        <f>IFERROR(__xludf.DUMMYFUNCTION("""COMPUTED_VALUE"""),"Alexander Wetzler")</f>
        <v>Alexander Wetzler</v>
      </c>
      <c r="G242" s="61" t="str">
        <f>IFERROR(__xludf.DUMMYFUNCTION("""COMPUTED_VALUE""")," 1 [Included with Registration] / Included Insurance   - ")</f>
        <v> 1 [Included with Registration] / Included Insurance   - </v>
      </c>
      <c r="H242" s="61" t="str">
        <f>IFERROR(__xludf.DUMMYFUNCTION("""COMPUTED_VALUE"""),"Mudd  ")</f>
        <v>Mudd  </v>
      </c>
      <c r="I242" s="61" t="str">
        <f>IFERROR(__xludf.DUMMYFUNCTION("""COMPUTED_VALUE"""),"161")</f>
        <v>161</v>
      </c>
      <c r="J242" s="107" t="str">
        <f>IFERROR(__xludf.DUMMYFUNCTION("""COMPUTED_VALUE"""),"09:00 AM to 11:00 AM  ")</f>
        <v>09:00 AM to 11:00 AM  </v>
      </c>
      <c r="K242" s="100">
        <f>IFERROR(__xludf.DUMMYFUNCTION("""COMPUTED_VALUE"""),46142.0)</f>
        <v>46142</v>
      </c>
      <c r="L242" s="61" t="str">
        <f>IFERROR(__xludf.DUMMYFUNCTION("""COMPUTED_VALUE""")," ")</f>
        <v> </v>
      </c>
      <c r="M242" s="61"/>
      <c r="N242" s="61"/>
    </row>
    <row r="243">
      <c r="A243" s="102" t="str">
        <f>IFERROR(__xludf.DUMMYFUNCTION("""COMPUTED_VALUE"""),"https://utrucking.com/admin/orders/6402102755516")</f>
        <v>https://utrucking.com/admin/orders/6402102755516</v>
      </c>
      <c r="B243" s="65" t="str">
        <f>IFERROR(__xludf.DUMMYFUNCTION("""COMPUTED_VALUE"""),"#17281")</f>
        <v>#17281</v>
      </c>
      <c r="C243" s="65" t="str">
        <f>IFERROR(__xludf.DUMMYFUNCTION("""COMPUTED_VALUE"""),"arjunkalbag07@gmail.com")</f>
        <v>arjunkalbag07@gmail.com</v>
      </c>
      <c r="D243" s="65">
        <f>IFERROR(__xludf.DUMMYFUNCTION("""COMPUTED_VALUE"""),9.177034377E9)</f>
        <v>9177034377</v>
      </c>
      <c r="E243" s="65" t="str">
        <f>IFERROR(__xludf.DUMMYFUNCTION("""COMPUTED_VALUE"""),"Arjun Kalbag")</f>
        <v>Arjun Kalbag</v>
      </c>
      <c r="F243" s="65" t="str">
        <f>IFERROR(__xludf.DUMMYFUNCTION("""COMPUTED_VALUE"""),"Arjun")</f>
        <v>Arjun</v>
      </c>
      <c r="G243" s="65" t="str">
        <f>IFERROR(__xludf.DUMMYFUNCTION("""COMPUTED_VALUE""")," 1 [Included with Registration] / Included Insurance   - ")</f>
        <v> 1 [Included with Registration] / Included Insurance   - </v>
      </c>
      <c r="H243" s="65" t="str">
        <f>IFERROR(__xludf.DUMMYFUNCTION("""COMPUTED_VALUE"""),"Umrath  ")</f>
        <v>Umrath  </v>
      </c>
      <c r="I243" s="65" t="str">
        <f>IFERROR(__xludf.DUMMYFUNCTION("""COMPUTED_VALUE"""),"3341")</f>
        <v>3341</v>
      </c>
      <c r="J243" s="108" t="str">
        <f>IFERROR(__xludf.DUMMYFUNCTION("""COMPUTED_VALUE"""),"03:00 PM to 05:00 PM")</f>
        <v>03:00 PM to 05:00 PM</v>
      </c>
      <c r="K243" s="103">
        <f>IFERROR(__xludf.DUMMYFUNCTION("""COMPUTED_VALUE"""),46143.0)</f>
        <v>46143</v>
      </c>
      <c r="L243" s="65" t="str">
        <f>IFERROR(__xludf.DUMMYFUNCTION("""COMPUTED_VALUE""")," ")</f>
        <v> </v>
      </c>
      <c r="M243" s="65"/>
      <c r="N243" s="65"/>
    </row>
    <row r="244">
      <c r="A244" s="99" t="str">
        <f>IFERROR(__xludf.DUMMYFUNCTION("""COMPUTED_VALUE"""),"https://utrucking.com/admin/orders/6402194374844")</f>
        <v>https://utrucking.com/admin/orders/6402194374844</v>
      </c>
      <c r="B244" s="61" t="str">
        <f>IFERROR(__xludf.DUMMYFUNCTION("""COMPUTED_VALUE"""),"#17282")</f>
        <v>#17282</v>
      </c>
      <c r="C244" s="61" t="str">
        <f>IFERROR(__xludf.DUMMYFUNCTION("""COMPUTED_VALUE"""),"glassj@wustl.edu")</f>
        <v>glassj@wustl.edu</v>
      </c>
      <c r="D244" s="61">
        <f>IFERROR(__xludf.DUMMYFUNCTION("""COMPUTED_VALUE"""),9.144326482E9)</f>
        <v>9144326482</v>
      </c>
      <c r="E244" s="61" t="str">
        <f>IFERROR(__xludf.DUMMYFUNCTION("""COMPUTED_VALUE"""),"Elissa Germaine")</f>
        <v>Elissa Germaine</v>
      </c>
      <c r="F244" s="61" t="str">
        <f>IFERROR(__xludf.DUMMYFUNCTION("""COMPUTED_VALUE"""),"Jonah Glass")</f>
        <v>Jonah Glass</v>
      </c>
      <c r="G244" s="61" t="str">
        <f>IFERROR(__xludf.DUMMYFUNCTION("""COMPUTED_VALUE""")," 0 / Included Insurance   - ")</f>
        <v> 0 / Included Insurance   - </v>
      </c>
      <c r="H244" s="61" t="str">
        <f>IFERROR(__xludf.DUMMYFUNCTION("""COMPUTED_VALUE"""),"Dauten  ")</f>
        <v>Dauten  </v>
      </c>
      <c r="I244" s="61" t="str">
        <f>IFERROR(__xludf.DUMMYFUNCTION("""COMPUTED_VALUE"""),"242-b")</f>
        <v>242-b</v>
      </c>
      <c r="J244" s="107" t="str">
        <f>IFERROR(__xludf.DUMMYFUNCTION("""COMPUTED_VALUE"""),"11:00 AM to 01:00 PM  ")</f>
        <v>11:00 AM to 01:00 PM  </v>
      </c>
      <c r="K244" s="100">
        <f>IFERROR(__xludf.DUMMYFUNCTION("""COMPUTED_VALUE"""),46146.0)</f>
        <v>46146</v>
      </c>
      <c r="L244" s="61" t="str">
        <f>IFERROR(__xludf.DUMMYFUNCTION("""COMPUTED_VALUE""")," ")</f>
        <v> </v>
      </c>
      <c r="M244" s="61"/>
      <c r="N244" s="61" t="str">
        <f>IFERROR(__xludf.DUMMYFUNCTION("""COMPUTED_VALUE"""),"Am I able to request just a roll of tape? I do not need any boxes but I would like the tape from the included package.")</f>
        <v>Am I able to request just a roll of tape? I do not need any boxes but I would like the tape from the included package.</v>
      </c>
    </row>
    <row r="245">
      <c r="A245" s="102" t="str">
        <f>IFERROR(__xludf.DUMMYFUNCTION("""COMPUTED_VALUE"""),"https://utrucking.com/admin/orders/6402302148796")</f>
        <v>https://utrucking.com/admin/orders/6402302148796</v>
      </c>
      <c r="B245" s="65" t="str">
        <f>IFERROR(__xludf.DUMMYFUNCTION("""COMPUTED_VALUE"""),"#17283")</f>
        <v>#17283</v>
      </c>
      <c r="C245" s="65" t="str">
        <f>IFERROR(__xludf.DUMMYFUNCTION("""COMPUTED_VALUE"""),"lorieclassner@gmail.com")</f>
        <v>lorieclassner@gmail.com</v>
      </c>
      <c r="D245" s="65">
        <f>IFERROR(__xludf.DUMMYFUNCTION("""COMPUTED_VALUE"""),3.107019782E9)</f>
        <v>3107019782</v>
      </c>
      <c r="E245" s="65" t="str">
        <f>IFERROR(__xludf.DUMMYFUNCTION("""COMPUTED_VALUE"""),"Lorie Lassner")</f>
        <v>Lorie Lassner</v>
      </c>
      <c r="F245" s="65" t="str">
        <f>IFERROR(__xludf.DUMMYFUNCTION("""COMPUTED_VALUE"""),"Ethan Lassner ")</f>
        <v>Ethan Lassner </v>
      </c>
      <c r="G245" s="65" t="str">
        <f>IFERROR(__xludf.DUMMYFUNCTION("""COMPUTED_VALUE""")," 1 [Included with Registration] / Included Insurance   - ")</f>
        <v> 1 [Included with Registration] / Included Insurance   - </v>
      </c>
      <c r="H245" s="65" t="str">
        <f>IFERROR(__xludf.DUMMYFUNCTION("""COMPUTED_VALUE"""),"Eliot A (Thomas Eliot)")</f>
        <v>Eliot A (Thomas Eliot)</v>
      </c>
      <c r="I245" s="65" t="str">
        <f>IFERROR(__xludf.DUMMYFUNCTION("""COMPUTED_VALUE"""),"1082 -a")</f>
        <v>1082 -a</v>
      </c>
      <c r="J245" s="108" t="str">
        <f>IFERROR(__xludf.DUMMYFUNCTION("""COMPUTED_VALUE"""),"09:00 AM to 11:00 AM  ")</f>
        <v>09:00 AM to 11:00 AM  </v>
      </c>
      <c r="K245" s="103">
        <f>IFERROR(__xludf.DUMMYFUNCTION("""COMPUTED_VALUE"""),46147.0)</f>
        <v>46147</v>
      </c>
      <c r="L245" s="65" t="str">
        <f>IFERROR(__xludf.DUMMYFUNCTION("""COMPUTED_VALUE""")," ")</f>
        <v> </v>
      </c>
      <c r="M245" s="65"/>
      <c r="N245" s="65"/>
    </row>
    <row r="246">
      <c r="A246" s="99" t="str">
        <f>IFERROR(__xludf.DUMMYFUNCTION("""COMPUTED_VALUE"""),"https://utrucking.com/admin/orders/6402558623932")</f>
        <v>https://utrucking.com/admin/orders/6402558623932</v>
      </c>
      <c r="B246" s="61" t="str">
        <f>IFERROR(__xludf.DUMMYFUNCTION("""COMPUTED_VALUE"""),"#17286")</f>
        <v>#17286</v>
      </c>
      <c r="C246" s="61" t="str">
        <f>IFERROR(__xludf.DUMMYFUNCTION("""COMPUTED_VALUE"""),"k.a.thaler@wustl.edu")</f>
        <v>k.a.thaler@wustl.edu</v>
      </c>
      <c r="D246" s="61">
        <f>IFERROR(__xludf.DUMMYFUNCTION("""COMPUTED_VALUE"""),9.179225452E9)</f>
        <v>9179225452</v>
      </c>
      <c r="E246" s="61" t="str">
        <f>IFERROR(__xludf.DUMMYFUNCTION("""COMPUTED_VALUE"""),"Kate Thaler")</f>
        <v>Kate Thaler</v>
      </c>
      <c r="F246" s="61" t="str">
        <f>IFERROR(__xludf.DUMMYFUNCTION("""COMPUTED_VALUE"""),"Kate Thaler")</f>
        <v>Kate Thaler</v>
      </c>
      <c r="G246" s="61" t="str">
        <f>IFERROR(__xludf.DUMMYFUNCTION("""COMPUTED_VALUE""")," 2 / Included Insurance   - ")</f>
        <v> 2 / Included Insurance   - </v>
      </c>
      <c r="H246" s="61" t="str">
        <f>IFERROR(__xludf.DUMMYFUNCTION("""COMPUTED_VALUE"""),"Gregg  ")</f>
        <v>Gregg  </v>
      </c>
      <c r="I246" s="61" t="str">
        <f>IFERROR(__xludf.DUMMYFUNCTION("""COMPUTED_VALUE"""),"3101")</f>
        <v>3101</v>
      </c>
      <c r="J246" s="107" t="str">
        <f>IFERROR(__xludf.DUMMYFUNCTION("""COMPUTED_VALUE"""),"03:00 PM to 05:00 PM")</f>
        <v>03:00 PM to 05:00 PM</v>
      </c>
      <c r="K246" s="100">
        <f>IFERROR(__xludf.DUMMYFUNCTION("""COMPUTED_VALUE"""),46148.0)</f>
        <v>46148</v>
      </c>
      <c r="L246" s="61" t="str">
        <f>IFERROR(__xludf.DUMMYFUNCTION("""COMPUTED_VALUE""")," ")</f>
        <v> </v>
      </c>
      <c r="M246" s="61"/>
      <c r="N246" s="61"/>
    </row>
    <row r="247">
      <c r="A247" s="102" t="str">
        <f>IFERROR(__xludf.DUMMYFUNCTION("""COMPUTED_VALUE"""),"https://utrucking.com/admin/orders/6403075211452")</f>
        <v>https://utrucking.com/admin/orders/6403075211452</v>
      </c>
      <c r="B247" s="65" t="str">
        <f>IFERROR(__xludf.DUMMYFUNCTION("""COMPUTED_VALUE"""),"#17288")</f>
        <v>#17288</v>
      </c>
      <c r="C247" s="65"/>
      <c r="D247" s="65">
        <f>IFERROR(__xludf.DUMMYFUNCTION("""COMPUTED_VALUE"""),9.143576469E9)</f>
        <v>9143576469</v>
      </c>
      <c r="E247" s="65" t="str">
        <f>IFERROR(__xludf.DUMMYFUNCTION("""COMPUTED_VALUE"""),"Luke Mitchell")</f>
        <v>Luke Mitchell</v>
      </c>
      <c r="F247" s="65" t="str">
        <f>IFERROR(__xludf.DUMMYFUNCTION("""COMPUTED_VALUE"""),"Luke Mitchell")</f>
        <v>Luke Mitchell</v>
      </c>
      <c r="G247" s="65" t="str">
        <f>IFERROR(__xludf.DUMMYFUNCTION("""COMPUTED_VALUE""")," 1 [Included with Registration] / Included Insurance   - ")</f>
        <v> 1 [Included with Registration] / Included Insurance   - </v>
      </c>
      <c r="H247" s="65" t="str">
        <f>IFERROR(__xludf.DUMMYFUNCTION("""COMPUTED_VALUE"""),"Umrath  ")</f>
        <v>Umrath  </v>
      </c>
      <c r="I247" s="65" t="str">
        <f>IFERROR(__xludf.DUMMYFUNCTION("""COMPUTED_VALUE"""),"4437")</f>
        <v>4437</v>
      </c>
      <c r="J247" s="108" t="str">
        <f>IFERROR(__xludf.DUMMYFUNCTION("""COMPUTED_VALUE"""),"11:00 AM to 01:00 PM  ")</f>
        <v>11:00 AM to 01:00 PM  </v>
      </c>
      <c r="K247" s="103">
        <f>IFERROR(__xludf.DUMMYFUNCTION("""COMPUTED_VALUE"""),46143.0)</f>
        <v>46143</v>
      </c>
      <c r="L247" s="65" t="str">
        <f>IFERROR(__xludf.DUMMYFUNCTION("""COMPUTED_VALUE""")," ")</f>
        <v> </v>
      </c>
      <c r="M247" s="65"/>
      <c r="N247" s="65"/>
    </row>
    <row r="248">
      <c r="A248" s="99" t="str">
        <f>IFERROR(__xludf.DUMMYFUNCTION("""COMPUTED_VALUE"""),"https://utrucking.com/admin/orders/6403087892668")</f>
        <v>https://utrucking.com/admin/orders/6403087892668</v>
      </c>
      <c r="B248" s="61" t="str">
        <f>IFERROR(__xludf.DUMMYFUNCTION("""COMPUTED_VALUE"""),"#17289")</f>
        <v>#17289</v>
      </c>
      <c r="C248" s="61" t="str">
        <f>IFERROR(__xludf.DUMMYFUNCTION("""COMPUTED_VALUE"""),"a.kleinhaus@wustl.edu")</f>
        <v>a.kleinhaus@wustl.edu</v>
      </c>
      <c r="D248" s="61">
        <f>IFERROR(__xludf.DUMMYFUNCTION("""COMPUTED_VALUE"""),9.174801265E9)</f>
        <v>9174801265</v>
      </c>
      <c r="E248" s="61" t="str">
        <f>IFERROR(__xludf.DUMMYFUNCTION("""COMPUTED_VALUE"""),"Aviva Kleinhaus")</f>
        <v>Aviva Kleinhaus</v>
      </c>
      <c r="F248" s="61" t="str">
        <f>IFERROR(__xludf.DUMMYFUNCTION("""COMPUTED_VALUE"""),"Aviva Kleinhaus")</f>
        <v>Aviva Kleinhaus</v>
      </c>
      <c r="G248" s="61" t="str">
        <f>IFERROR(__xludf.DUMMYFUNCTION("""COMPUTED_VALUE""")," 1 [Included with Registration] / Included Insurance   - ")</f>
        <v> 1 [Included with Registration] / Included Insurance   - </v>
      </c>
      <c r="H248" s="61" t="str">
        <f>IFERROR(__xludf.DUMMYFUNCTION("""COMPUTED_VALUE"""),"Danforth  ")</f>
        <v>Danforth  </v>
      </c>
      <c r="I248" s="61" t="str">
        <f>IFERROR(__xludf.DUMMYFUNCTION("""COMPUTED_VALUE"""),"3319")</f>
        <v>3319</v>
      </c>
      <c r="J248" s="107" t="str">
        <f>IFERROR(__xludf.DUMMYFUNCTION("""COMPUTED_VALUE"""),"01:00 PM to 03:00 PM  ")</f>
        <v>01:00 PM to 03:00 PM  </v>
      </c>
      <c r="K248" s="100">
        <f>IFERROR(__xludf.DUMMYFUNCTION("""COMPUTED_VALUE"""),46147.0)</f>
        <v>46147</v>
      </c>
      <c r="L248" s="61" t="str">
        <f>IFERROR(__xludf.DUMMYFUNCTION("""COMPUTED_VALUE""")," ")</f>
        <v> </v>
      </c>
      <c r="M248" s="61"/>
      <c r="N248" s="61"/>
    </row>
    <row r="249">
      <c r="A249" s="102" t="str">
        <f>IFERROR(__xludf.DUMMYFUNCTION("""COMPUTED_VALUE"""),"https://utrucking.com/admin/orders/6403150184636")</f>
        <v>https://utrucking.com/admin/orders/6403150184636</v>
      </c>
      <c r="B249" s="65" t="str">
        <f>IFERROR(__xludf.DUMMYFUNCTION("""COMPUTED_VALUE"""),"#17290")</f>
        <v>#17290</v>
      </c>
      <c r="C249" s="65"/>
      <c r="D249" s="65">
        <f>IFERROR(__xludf.DUMMYFUNCTION("""COMPUTED_VALUE"""),7.046920035E9)</f>
        <v>7046920035</v>
      </c>
      <c r="E249" s="65" t="str">
        <f>IFERROR(__xludf.DUMMYFUNCTION("""COMPUTED_VALUE"""),"Cherie Sidhu")</f>
        <v>Cherie Sidhu</v>
      </c>
      <c r="F249" s="65" t="str">
        <f>IFERROR(__xludf.DUMMYFUNCTION("""COMPUTED_VALUE"""),"Sophia Sidhu")</f>
        <v>Sophia Sidhu</v>
      </c>
      <c r="G249" s="65" t="str">
        <f>IFERROR(__xludf.DUMMYFUNCTION("""COMPUTED_VALUE""")," 1 [Included with Registration] / Included Insurance   - ")</f>
        <v> 1 [Included with Registration] / Included Insurance   - </v>
      </c>
      <c r="H249" s="65" t="str">
        <f>IFERROR(__xludf.DUMMYFUNCTION("""COMPUTED_VALUE"""),"Nemerov  ")</f>
        <v>Nemerov  </v>
      </c>
      <c r="I249" s="65" t="str">
        <f>IFERROR(__xludf.DUMMYFUNCTION("""COMPUTED_VALUE"""),"3053")</f>
        <v>3053</v>
      </c>
      <c r="J249" s="108" t="str">
        <f>IFERROR(__xludf.DUMMYFUNCTION("""COMPUTED_VALUE"""),"09:00 AM to 11:00 AM  ")</f>
        <v>09:00 AM to 11:00 AM  </v>
      </c>
      <c r="K249" s="103">
        <f>IFERROR(__xludf.DUMMYFUNCTION("""COMPUTED_VALUE"""),46150.0)</f>
        <v>46150</v>
      </c>
      <c r="L249" s="65" t="str">
        <f>IFERROR(__xludf.DUMMYFUNCTION("""COMPUTED_VALUE""")," ")</f>
        <v> </v>
      </c>
      <c r="M249" s="65"/>
      <c r="N249" s="65" t="str">
        <f>IFERROR(__xludf.DUMMYFUNCTION("""COMPUTED_VALUE"""),"One kit")</f>
        <v>One kit</v>
      </c>
    </row>
    <row r="250">
      <c r="A250" s="99" t="str">
        <f>IFERROR(__xludf.DUMMYFUNCTION("""COMPUTED_VALUE"""),"https://utrucking.com/admin/orders/6403156050108")</f>
        <v>https://utrucking.com/admin/orders/6403156050108</v>
      </c>
      <c r="B250" s="61" t="str">
        <f>IFERROR(__xludf.DUMMYFUNCTION("""COMPUTED_VALUE"""),"#17291")</f>
        <v>#17291</v>
      </c>
      <c r="C250" s="61" t="str">
        <f>IFERROR(__xludf.DUMMYFUNCTION("""COMPUTED_VALUE"""),"agrdorey@gmail.com")</f>
        <v>agrdorey@gmail.com</v>
      </c>
      <c r="D250" s="61">
        <f>IFERROR(__xludf.DUMMYFUNCTION("""COMPUTED_VALUE"""),8.167057088E9)</f>
        <v>8167057088</v>
      </c>
      <c r="E250" s="61" t="str">
        <f>IFERROR(__xludf.DUMMYFUNCTION("""COMPUTED_VALUE"""),"Avery Reed")</f>
        <v>Avery Reed</v>
      </c>
      <c r="F250" s="61" t="str">
        <f>IFERROR(__xludf.DUMMYFUNCTION("""COMPUTED_VALUE"""),"Avery Reed")</f>
        <v>Avery Reed</v>
      </c>
      <c r="G250" s="61" t="str">
        <f>IFERROR(__xludf.DUMMYFUNCTION("""COMPUTED_VALUE""")," 2 / Included Insurance   - ")</f>
        <v> 2 / Included Insurance   - </v>
      </c>
      <c r="H250" s="61" t="str">
        <f>IFERROR(__xludf.DUMMYFUNCTION("""COMPUTED_VALUE"""),"Park  ")</f>
        <v>Park  </v>
      </c>
      <c r="I250" s="61" t="str">
        <f>IFERROR(__xludf.DUMMYFUNCTION("""COMPUTED_VALUE"""),"392")</f>
        <v>392</v>
      </c>
      <c r="J250" s="107" t="str">
        <f>IFERROR(__xludf.DUMMYFUNCTION("""COMPUTED_VALUE"""),"10:00 AM to 12:00 PM  ")</f>
        <v>10:00 AM to 12:00 PM  </v>
      </c>
      <c r="K250" s="100">
        <f>IFERROR(__xludf.DUMMYFUNCTION("""COMPUTED_VALUE"""),46146.0)</f>
        <v>46146</v>
      </c>
      <c r="L250" s="61" t="str">
        <f>IFERROR(__xludf.DUMMYFUNCTION("""COMPUTED_VALUE""")," ")</f>
        <v> </v>
      </c>
      <c r="M250" s="61"/>
      <c r="N250" s="61"/>
    </row>
    <row r="251">
      <c r="A251" s="102" t="str">
        <f>IFERROR(__xludf.DUMMYFUNCTION("""COMPUTED_VALUE"""),"https://utrucking.com/admin/orders/6403189244092")</f>
        <v>https://utrucking.com/admin/orders/6403189244092</v>
      </c>
      <c r="B251" s="65" t="str">
        <f>IFERROR(__xludf.DUMMYFUNCTION("""COMPUTED_VALUE"""),"#17292")</f>
        <v>#17292</v>
      </c>
      <c r="C251" s="65" t="str">
        <f>IFERROR(__xludf.DUMMYFUNCTION("""COMPUTED_VALUE"""),"kmjju05@gmail.com")</f>
        <v>kmjju05@gmail.com</v>
      </c>
      <c r="D251" s="65">
        <f>IFERROR(__xludf.DUMMYFUNCTION("""COMPUTED_VALUE"""),3.146299959E9)</f>
        <v>3146299959</v>
      </c>
      <c r="E251" s="65" t="str">
        <f>IFERROR(__xludf.DUMMYFUNCTION("""COMPUTED_VALUE"""),"Minju Kang")</f>
        <v>Minju Kang</v>
      </c>
      <c r="F251" s="65" t="str">
        <f>IFERROR(__xludf.DUMMYFUNCTION("""COMPUTED_VALUE"""),"Minju Kang")</f>
        <v>Minju Kang</v>
      </c>
      <c r="G251" s="65" t="str">
        <f>IFERROR(__xludf.DUMMYFUNCTION("""COMPUTED_VALUE""")," 2 / Included Insurance   - ")</f>
        <v> 2 / Included Insurance   - </v>
      </c>
      <c r="H251" s="65" t="str">
        <f>IFERROR(__xludf.DUMMYFUNCTION("""COMPUTED_VALUE"""),"Village House  ")</f>
        <v>Village House  </v>
      </c>
      <c r="I251" s="65" t="str">
        <f>IFERROR(__xludf.DUMMYFUNCTION("""COMPUTED_VALUE"""),"3094")</f>
        <v>3094</v>
      </c>
      <c r="J251" s="108" t="str">
        <f>IFERROR(__xludf.DUMMYFUNCTION("""COMPUTED_VALUE"""),"11:00 AM to 01:00 PM  ")</f>
        <v>11:00 AM to 01:00 PM  </v>
      </c>
      <c r="K251" s="103">
        <f>IFERROR(__xludf.DUMMYFUNCTION("""COMPUTED_VALUE"""),46149.0)</f>
        <v>46149</v>
      </c>
      <c r="L251" s="65" t="str">
        <f>IFERROR(__xludf.DUMMYFUNCTION("""COMPUTED_VALUE""")," ")</f>
        <v> </v>
      </c>
      <c r="M251" s="65"/>
      <c r="N251" s="65"/>
    </row>
    <row r="252">
      <c r="A252" s="99" t="str">
        <f>IFERROR(__xludf.DUMMYFUNCTION("""COMPUTED_VALUE"""),"https://utrucking.com/admin/orders/6403194224828")</f>
        <v>https://utrucking.com/admin/orders/6403194224828</v>
      </c>
      <c r="B252" s="61" t="str">
        <f>IFERROR(__xludf.DUMMYFUNCTION("""COMPUTED_VALUE"""),"#17293")</f>
        <v>#17293</v>
      </c>
      <c r="C252" s="61" t="str">
        <f>IFERROR(__xludf.DUMMYFUNCTION("""COMPUTED_VALUE"""),"ningurbana@hotmail.com")</f>
        <v>ningurbana@hotmail.com</v>
      </c>
      <c r="D252" s="61">
        <f>IFERROR(__xludf.DUMMYFUNCTION("""COMPUTED_VALUE"""),2.063219512E9)</f>
        <v>2063219512</v>
      </c>
      <c r="E252" s="61" t="str">
        <f>IFERROR(__xludf.DUMMYFUNCTION("""COMPUTED_VALUE"""),"Ning Zhang")</f>
        <v>Ning Zhang</v>
      </c>
      <c r="F252" s="61" t="str">
        <f>IFERROR(__xludf.DUMMYFUNCTION("""COMPUTED_VALUE"""),"David Bai")</f>
        <v>David Bai</v>
      </c>
      <c r="G252" s="61" t="str">
        <f>IFERROR(__xludf.DUMMYFUNCTION("""COMPUTED_VALUE""")," 1 [Included with Registration] / Included Insurance   - ")</f>
        <v> 1 [Included with Registration] / Included Insurance   - </v>
      </c>
      <c r="H252" s="61" t="str">
        <f>IFERROR(__xludf.DUMMYFUNCTION("""COMPUTED_VALUE"""),"Hurd  ")</f>
        <v>Hurd  </v>
      </c>
      <c r="I252" s="61" t="str">
        <f>IFERROR(__xludf.DUMMYFUNCTION("""COMPUTED_VALUE"""),"211")</f>
        <v>211</v>
      </c>
      <c r="J252" s="107" t="str">
        <f>IFERROR(__xludf.DUMMYFUNCTION("""COMPUTED_VALUE"""),"09:00 AM to 11:00 AM  ")</f>
        <v>09:00 AM to 11:00 AM  </v>
      </c>
      <c r="K252" s="100">
        <f>IFERROR(__xludf.DUMMYFUNCTION("""COMPUTED_VALUE"""),46148.0)</f>
        <v>46148</v>
      </c>
      <c r="L252" s="61" t="str">
        <f>IFERROR(__xludf.DUMMYFUNCTION("""COMPUTED_VALUE""")," ")</f>
        <v> </v>
      </c>
      <c r="M252" s="61"/>
      <c r="N252" s="61"/>
    </row>
    <row r="253">
      <c r="A253" s="102" t="str">
        <f>IFERROR(__xludf.DUMMYFUNCTION("""COMPUTED_VALUE"""),"https://utrucking.com/admin/orders/6403313991868")</f>
        <v>https://utrucking.com/admin/orders/6403313991868</v>
      </c>
      <c r="B253" s="65" t="str">
        <f>IFERROR(__xludf.DUMMYFUNCTION("""COMPUTED_VALUE"""),"#17295")</f>
        <v>#17295</v>
      </c>
      <c r="C253" s="65" t="str">
        <f>IFERROR(__xludf.DUMMYFUNCTION("""COMPUTED_VALUE"""),"meltz.r@wustl.edu")</f>
        <v>meltz.r@wustl.edu</v>
      </c>
      <c r="D253" s="65">
        <f>IFERROR(__xludf.DUMMYFUNCTION("""COMPUTED_VALUE"""),9.175796873E9)</f>
        <v>9175796873</v>
      </c>
      <c r="E253" s="65" t="str">
        <f>IFERROR(__xludf.DUMMYFUNCTION("""COMPUTED_VALUE"""),"Allison Meltz")</f>
        <v>Allison Meltz</v>
      </c>
      <c r="F253" s="65" t="str">
        <f>IFERROR(__xludf.DUMMYFUNCTION("""COMPUTED_VALUE"""),"RILEY MELTZ")</f>
        <v>RILEY MELTZ</v>
      </c>
      <c r="G253" s="65" t="str">
        <f>IFERROR(__xludf.DUMMYFUNCTION("""COMPUTED_VALUE""")," 1 [Included with Registration] / Included Insurance   - ")</f>
        <v> 1 [Included with Registration] / Included Insurance   - </v>
      </c>
      <c r="H253" s="65" t="str">
        <f>IFERROR(__xludf.DUMMYFUNCTION("""COMPUTED_VALUE"""),"Lopata  ")</f>
        <v>Lopata  </v>
      </c>
      <c r="I253" s="65" t="str">
        <f>IFERROR(__xludf.DUMMYFUNCTION("""COMPUTED_VALUE"""),"3034")</f>
        <v>3034</v>
      </c>
      <c r="J253" s="108" t="str">
        <f>IFERROR(__xludf.DUMMYFUNCTION("""COMPUTED_VALUE"""),"09:00 AM to 11:00 AM  ")</f>
        <v>09:00 AM to 11:00 AM  </v>
      </c>
      <c r="K253" s="103">
        <f>IFERROR(__xludf.DUMMYFUNCTION("""COMPUTED_VALUE"""),46147.0)</f>
        <v>46147</v>
      </c>
      <c r="L253" s="65" t="str">
        <f>IFERROR(__xludf.DUMMYFUNCTION("""COMPUTED_VALUE""")," ")</f>
        <v> </v>
      </c>
      <c r="M253" s="65"/>
      <c r="N253" s="65"/>
    </row>
    <row r="254">
      <c r="A254" s="99" t="str">
        <f>IFERROR(__xludf.DUMMYFUNCTION("""COMPUTED_VALUE"""),"https://utrucking.com/admin/orders/6403328475324")</f>
        <v>https://utrucking.com/admin/orders/6403328475324</v>
      </c>
      <c r="B254" s="61" t="str">
        <f>IFERROR(__xludf.DUMMYFUNCTION("""COMPUTED_VALUE"""),"#17296")</f>
        <v>#17296</v>
      </c>
      <c r="C254" s="61"/>
      <c r="D254" s="61">
        <f>IFERROR(__xludf.DUMMYFUNCTION("""COMPUTED_VALUE"""),9.142681108E9)</f>
        <v>9142681108</v>
      </c>
      <c r="E254" s="61" t="str">
        <f>IFERROR(__xludf.DUMMYFUNCTION("""COMPUTED_VALUE"""),"Natalie Beldner")</f>
        <v>Natalie Beldner</v>
      </c>
      <c r="F254" s="61" t="str">
        <f>IFERROR(__xludf.DUMMYFUNCTION("""COMPUTED_VALUE"""),"Natalie Beldner")</f>
        <v>Natalie Beldner</v>
      </c>
      <c r="G254" s="61" t="str">
        <f>IFERROR(__xludf.DUMMYFUNCTION("""COMPUTED_VALUE""")," 1 [Included with Registration] / Included Insurance   - ")</f>
        <v> 1 [Included with Registration] / Included Insurance   - </v>
      </c>
      <c r="H254" s="61" t="str">
        <f>IFERROR(__xludf.DUMMYFUNCTION("""COMPUTED_VALUE"""),"Lopata  ")</f>
        <v>Lopata  </v>
      </c>
      <c r="I254" s="61" t="str">
        <f>IFERROR(__xludf.DUMMYFUNCTION("""COMPUTED_VALUE"""),"3094")</f>
        <v>3094</v>
      </c>
      <c r="J254" s="107" t="str">
        <f>IFERROR(__xludf.DUMMYFUNCTION("""COMPUTED_VALUE"""),"09:00 AM to 11:00 AM  ")</f>
        <v>09:00 AM to 11:00 AM  </v>
      </c>
      <c r="K254" s="100">
        <f>IFERROR(__xludf.DUMMYFUNCTION("""COMPUTED_VALUE"""),46148.0)</f>
        <v>46148</v>
      </c>
      <c r="L254" s="61" t="str">
        <f>IFERROR(__xludf.DUMMYFUNCTION("""COMPUTED_VALUE""")," ")</f>
        <v> </v>
      </c>
      <c r="M254" s="61"/>
      <c r="N254" s="61"/>
    </row>
    <row r="255">
      <c r="A255" s="102" t="str">
        <f>IFERROR(__xludf.DUMMYFUNCTION("""COMPUTED_VALUE"""),"https://utrucking.com/admin/orders/6403443491004")</f>
        <v>https://utrucking.com/admin/orders/6403443491004</v>
      </c>
      <c r="B255" s="65" t="str">
        <f>IFERROR(__xludf.DUMMYFUNCTION("""COMPUTED_VALUE"""),"#17297")</f>
        <v>#17297</v>
      </c>
      <c r="C255" s="65" t="str">
        <f>IFERROR(__xludf.DUMMYFUNCTION("""COMPUTED_VALUE"""),"andrewlin49@gmail.com")</f>
        <v>andrewlin49@gmail.com</v>
      </c>
      <c r="D255" s="65">
        <f>IFERROR(__xludf.DUMMYFUNCTION("""COMPUTED_VALUE"""),2.144509358E9)</f>
        <v>2144509358</v>
      </c>
      <c r="E255" s="65" t="str">
        <f>IFERROR(__xludf.DUMMYFUNCTION("""COMPUTED_VALUE"""),"Shu Lin")</f>
        <v>Shu Lin</v>
      </c>
      <c r="F255" s="65" t="str">
        <f>IFERROR(__xludf.DUMMYFUNCTION("""COMPUTED_VALUE"""),"Andrew Lin")</f>
        <v>Andrew Lin</v>
      </c>
      <c r="G255" s="65" t="str">
        <f>IFERROR(__xludf.DUMMYFUNCTION("""COMPUTED_VALUE""")," 1 [Included with Registration] / Included Insurance   - ")</f>
        <v> 1 [Included with Registration] / Included Insurance   - </v>
      </c>
      <c r="H255" s="65" t="str">
        <f>IFERROR(__xludf.DUMMYFUNCTION("""COMPUTED_VALUE"""),"Umrath  ")</f>
        <v>Umrath  </v>
      </c>
      <c r="I255" s="65" t="str">
        <f>IFERROR(__xludf.DUMMYFUNCTION("""COMPUTED_VALUE"""),"2201")</f>
        <v>2201</v>
      </c>
      <c r="J255" s="108" t="str">
        <f>IFERROR(__xludf.DUMMYFUNCTION("""COMPUTED_VALUE"""),"09:00 AM to 11:00 AM  ")</f>
        <v>09:00 AM to 11:00 AM  </v>
      </c>
      <c r="K255" s="103">
        <f>IFERROR(__xludf.DUMMYFUNCTION("""COMPUTED_VALUE"""),46148.0)</f>
        <v>46148</v>
      </c>
      <c r="L255" s="65" t="str">
        <f>IFERROR(__xludf.DUMMYFUNCTION("""COMPUTED_VALUE""")," ")</f>
        <v> </v>
      </c>
      <c r="M255" s="65"/>
      <c r="N255" s="65"/>
    </row>
    <row r="256">
      <c r="A256" s="99" t="str">
        <f>IFERROR(__xludf.DUMMYFUNCTION("""COMPUTED_VALUE"""),"https://utrucking.com/admin/orders/6403463217340")</f>
        <v>https://utrucking.com/admin/orders/6403463217340</v>
      </c>
      <c r="B256" s="61" t="str">
        <f>IFERROR(__xludf.DUMMYFUNCTION("""COMPUTED_VALUE"""),"#17298")</f>
        <v>#17298</v>
      </c>
      <c r="C256" s="61"/>
      <c r="D256" s="61">
        <f>IFERROR(__xludf.DUMMYFUNCTION("""COMPUTED_VALUE"""),7.862086117E9)</f>
        <v>7862086117</v>
      </c>
      <c r="E256" s="61" t="str">
        <f>IFERROR(__xludf.DUMMYFUNCTION("""COMPUTED_VALUE"""),"Lilian Israel")</f>
        <v>Lilian Israel</v>
      </c>
      <c r="F256" s="61" t="str">
        <f>IFERROR(__xludf.DUMMYFUNCTION("""COMPUTED_VALUE"""),"Eliana Moronta")</f>
        <v>Eliana Moronta</v>
      </c>
      <c r="G256" s="61" t="str">
        <f>IFERROR(__xludf.DUMMYFUNCTION("""COMPUTED_VALUE""")," 2 / Included Insurance   - ")</f>
        <v> 2 / Included Insurance   - </v>
      </c>
      <c r="H256" s="61" t="str">
        <f>IFERROR(__xludf.DUMMYFUNCTION("""COMPUTED_VALUE"""),"Eliot A (Thomas Eliot)")</f>
        <v>Eliot A (Thomas Eliot)</v>
      </c>
      <c r="I256" s="61" t="str">
        <f>IFERROR(__xludf.DUMMYFUNCTION("""COMPUTED_VALUE"""),"1002")</f>
        <v>1002</v>
      </c>
      <c r="J256" s="107" t="str">
        <f>IFERROR(__xludf.DUMMYFUNCTION("""COMPUTED_VALUE"""),"03:00 PM to 05:00 PM")</f>
        <v>03:00 PM to 05:00 PM</v>
      </c>
      <c r="K256" s="100">
        <f>IFERROR(__xludf.DUMMYFUNCTION("""COMPUTED_VALUE"""),46147.0)</f>
        <v>46147</v>
      </c>
      <c r="L256" s="61" t="str">
        <f>IFERROR(__xludf.DUMMYFUNCTION("""COMPUTED_VALUE""")," ")</f>
        <v> </v>
      </c>
      <c r="M256" s="61"/>
      <c r="N256" s="61"/>
    </row>
    <row r="257">
      <c r="A257" s="102" t="str">
        <f>IFERROR(__xludf.DUMMYFUNCTION("""COMPUTED_VALUE"""),"https://utrucking.com/admin/orders/6403546546364")</f>
        <v>https://utrucking.com/admin/orders/6403546546364</v>
      </c>
      <c r="B257" s="65" t="str">
        <f>IFERROR(__xludf.DUMMYFUNCTION("""COMPUTED_VALUE"""),"#17299")</f>
        <v>#17299</v>
      </c>
      <c r="C257" s="65" t="str">
        <f>IFERROR(__xludf.DUMMYFUNCTION("""COMPUTED_VALUE"""),"abethany@wustl.edu")</f>
        <v>abethany@wustl.edu</v>
      </c>
      <c r="D257" s="65">
        <f>IFERROR(__xludf.DUMMYFUNCTION("""COMPUTED_VALUE"""),3.522262436E9)</f>
        <v>3522262436</v>
      </c>
      <c r="E257" s="65" t="str">
        <f>IFERROR(__xludf.DUMMYFUNCTION("""COMPUTED_VALUE"""),"Bethany Anderson")</f>
        <v>Bethany Anderson</v>
      </c>
      <c r="F257" s="65" t="str">
        <f>IFERROR(__xludf.DUMMYFUNCTION("""COMPUTED_VALUE"""),"Bethany Anderson")</f>
        <v>Bethany Anderson</v>
      </c>
      <c r="G257" s="65" t="str">
        <f>IFERROR(__xludf.DUMMYFUNCTION("""COMPUTED_VALUE""")," 1 [Included with Registration] / Included Insurance   - ")</f>
        <v> 1 [Included with Registration] / Included Insurance   - </v>
      </c>
      <c r="H257" s="65" t="str">
        <f>IFERROR(__xludf.DUMMYFUNCTION("""COMPUTED_VALUE"""),"Park  ")</f>
        <v>Park  </v>
      </c>
      <c r="I257" s="65" t="str">
        <f>IFERROR(__xludf.DUMMYFUNCTION("""COMPUTED_VALUE"""),"192")</f>
        <v>192</v>
      </c>
      <c r="J257" s="108" t="str">
        <f>IFERROR(__xludf.DUMMYFUNCTION("""COMPUTED_VALUE"""),"11:00 AM to 01:00 PM  ")</f>
        <v>11:00 AM to 01:00 PM  </v>
      </c>
      <c r="K257" s="103">
        <f>IFERROR(__xludf.DUMMYFUNCTION("""COMPUTED_VALUE"""),46144.0)</f>
        <v>46144</v>
      </c>
      <c r="L257" s="65" t="str">
        <f>IFERROR(__xludf.DUMMYFUNCTION("""COMPUTED_VALUE""")," ")</f>
        <v> </v>
      </c>
      <c r="M257" s="65"/>
      <c r="N257" s="65"/>
    </row>
    <row r="258">
      <c r="A258" s="99" t="str">
        <f>IFERROR(__xludf.DUMMYFUNCTION("""COMPUTED_VALUE"""),"https://utrucking.com/admin/orders/6403636101308")</f>
        <v>https://utrucking.com/admin/orders/6403636101308</v>
      </c>
      <c r="B258" s="61" t="str">
        <f>IFERROR(__xludf.DUMMYFUNCTION("""COMPUTED_VALUE"""),"#17300")</f>
        <v>#17300</v>
      </c>
      <c r="C258" s="61"/>
      <c r="D258" s="61">
        <f>IFERROR(__xludf.DUMMYFUNCTION("""COMPUTED_VALUE"""),6.468325628E9)</f>
        <v>6468325628</v>
      </c>
      <c r="E258" s="61" t="str">
        <f>IFERROR(__xludf.DUMMYFUNCTION("""COMPUTED_VALUE"""),"Susan Talbert")</f>
        <v>Susan Talbert</v>
      </c>
      <c r="F258" s="61" t="str">
        <f>IFERROR(__xludf.DUMMYFUNCTION("""COMPUTED_VALUE"""),"Kate Talbert")</f>
        <v>Kate Talbert</v>
      </c>
      <c r="G258" s="61" t="str">
        <f>IFERROR(__xludf.DUMMYFUNCTION("""COMPUTED_VALUE""")," 1 [Included with Registration] / Included Insurance   - ")</f>
        <v> 1 [Included with Registration] / Included Insurance   - </v>
      </c>
      <c r="H258" s="61" t="str">
        <f>IFERROR(__xludf.DUMMYFUNCTION("""COMPUTED_VALUE"""),"Danforth  ")</f>
        <v>Danforth  </v>
      </c>
      <c r="I258" s="61" t="str">
        <f>IFERROR(__xludf.DUMMYFUNCTION("""COMPUTED_VALUE"""),"4422")</f>
        <v>4422</v>
      </c>
      <c r="J258" s="107" t="str">
        <f>IFERROR(__xludf.DUMMYFUNCTION("""COMPUTED_VALUE"""),"01:00 PM to 03:00 PM  ")</f>
        <v>01:00 PM to 03:00 PM  </v>
      </c>
      <c r="K258" s="100">
        <f>IFERROR(__xludf.DUMMYFUNCTION("""COMPUTED_VALUE"""),46147.0)</f>
        <v>46147</v>
      </c>
      <c r="L258" s="61" t="str">
        <f>IFERROR(__xludf.DUMMYFUNCTION("""COMPUTED_VALUE""")," ")</f>
        <v> </v>
      </c>
      <c r="M258" s="61"/>
      <c r="N258" s="61"/>
    </row>
    <row r="259">
      <c r="A259" s="102" t="str">
        <f>IFERROR(__xludf.DUMMYFUNCTION("""COMPUTED_VALUE"""),"https://utrucking.com/admin/orders/6403653370044")</f>
        <v>https://utrucking.com/admin/orders/6403653370044</v>
      </c>
      <c r="B259" s="65" t="str">
        <f>IFERROR(__xludf.DUMMYFUNCTION("""COMPUTED_VALUE"""),"#17301")</f>
        <v>#17301</v>
      </c>
      <c r="C259" s="65" t="str">
        <f>IFERROR(__xludf.DUMMYFUNCTION("""COMPUTED_VALUE"""),"jojones320@gmail.com")</f>
        <v>jojones320@gmail.com</v>
      </c>
      <c r="D259" s="65">
        <f>IFERROR(__xludf.DUMMYFUNCTION("""COMPUTED_VALUE"""),9.176867838E9)</f>
        <v>9176867838</v>
      </c>
      <c r="E259" s="65" t="str">
        <f>IFERROR(__xludf.DUMMYFUNCTION("""COMPUTED_VALUE"""),"Joanna Jones")</f>
        <v>Joanna Jones</v>
      </c>
      <c r="F259" s="65" t="str">
        <f>IFERROR(__xludf.DUMMYFUNCTION("""COMPUTED_VALUE"""),"Beckett Jones")</f>
        <v>Beckett Jones</v>
      </c>
      <c r="G259" s="65" t="str">
        <f>IFERROR(__xludf.DUMMYFUNCTION("""COMPUTED_VALUE""")," 1 [Included with Registration] / Included Insurance   - ")</f>
        <v> 1 [Included with Registration] / Included Insurance   - </v>
      </c>
      <c r="H259" s="65" t="str">
        <f>IFERROR(__xludf.DUMMYFUNCTION("""COMPUTED_VALUE"""),"Rutledge  ")</f>
        <v>Rutledge  </v>
      </c>
      <c r="I259" s="65" t="str">
        <f>IFERROR(__xludf.DUMMYFUNCTION("""COMPUTED_VALUE"""),"244")</f>
        <v>244</v>
      </c>
      <c r="J259" s="108" t="str">
        <f>IFERROR(__xludf.DUMMYFUNCTION("""COMPUTED_VALUE"""),"12:00 PM to 02:00 PM  ")</f>
        <v>12:00 PM to 02:00 PM  </v>
      </c>
      <c r="K259" s="103">
        <f>IFERROR(__xludf.DUMMYFUNCTION("""COMPUTED_VALUE"""),46148.0)</f>
        <v>46148</v>
      </c>
      <c r="L259" s="65" t="str">
        <f>IFERROR(__xludf.DUMMYFUNCTION("""COMPUTED_VALUE""")," ")</f>
        <v> </v>
      </c>
      <c r="M259" s="65"/>
      <c r="N259" s="65"/>
    </row>
    <row r="260">
      <c r="A260" s="99" t="str">
        <f>IFERROR(__xludf.DUMMYFUNCTION("""COMPUTED_VALUE"""),"https://utrucking.com/admin/orders/6403681255612")</f>
        <v>https://utrucking.com/admin/orders/6403681255612</v>
      </c>
      <c r="B260" s="61" t="str">
        <f>IFERROR(__xludf.DUMMYFUNCTION("""COMPUTED_VALUE"""),"#17302")</f>
        <v>#17302</v>
      </c>
      <c r="C260" s="61" t="str">
        <f>IFERROR(__xludf.DUMMYFUNCTION("""COMPUTED_VALUE"""),"gaylanoon@aol.com")</f>
        <v>gaylanoon@aol.com</v>
      </c>
      <c r="D260" s="61">
        <f>IFERROR(__xludf.DUMMYFUNCTION("""COMPUTED_VALUE"""),3.107955251E9)</f>
        <v>3107955251</v>
      </c>
      <c r="E260" s="61" t="str">
        <f>IFERROR(__xludf.DUMMYFUNCTION("""COMPUTED_VALUE"""),"Gayla Aspinall")</f>
        <v>Gayla Aspinall</v>
      </c>
      <c r="F260" s="61"/>
      <c r="G260" s="61" t="str">
        <f>IFERROR(__xludf.DUMMYFUNCTION("""COMPUTED_VALUE""")," 2 / $1000 of Additional Coverage   - ")</f>
        <v> 2 / $1000 of Additional Coverage   - </v>
      </c>
      <c r="H260" s="61" t="str">
        <f>IFERROR(__xludf.DUMMYFUNCTION("""COMPUTED_VALUE"""),"Millbrook Bldg. 4  ")</f>
        <v>Millbrook Bldg. 4  </v>
      </c>
      <c r="I260" s="61" t="str">
        <f>IFERROR(__xludf.DUMMYFUNCTION("""COMPUTED_VALUE"""),"103A")</f>
        <v>103A</v>
      </c>
      <c r="J260" s="107" t="str">
        <f>IFERROR(__xludf.DUMMYFUNCTION("""COMPUTED_VALUE"""),"09:00 AM to 11:00 AM  ")</f>
        <v>09:00 AM to 11:00 AM  </v>
      </c>
      <c r="K260" s="100">
        <f>IFERROR(__xludf.DUMMYFUNCTION("""COMPUTED_VALUE"""),46148.0)</f>
        <v>46148</v>
      </c>
      <c r="L260" s="61" t="str">
        <f>IFERROR(__xludf.DUMMYFUNCTION("""COMPUTED_VALUE""")," ")</f>
        <v> </v>
      </c>
      <c r="M260" s="61"/>
      <c r="N260" s="61"/>
    </row>
    <row r="261">
      <c r="A261" s="102" t="str">
        <f>IFERROR(__xludf.DUMMYFUNCTION("""COMPUTED_VALUE"""),"https://utrucking.com/admin/orders/6403694723260")</f>
        <v>https://utrucking.com/admin/orders/6403694723260</v>
      </c>
      <c r="B261" s="65" t="str">
        <f>IFERROR(__xludf.DUMMYFUNCTION("""COMPUTED_VALUE"""),"#17303")</f>
        <v>#17303</v>
      </c>
      <c r="C261" s="65" t="str">
        <f>IFERROR(__xludf.DUMMYFUNCTION("""COMPUTED_VALUE"""),"grace.li@wustl.edu")</f>
        <v>grace.li@wustl.edu</v>
      </c>
      <c r="D261" s="65">
        <f>IFERROR(__xludf.DUMMYFUNCTION("""COMPUTED_VALUE"""),8.613911331289E12)</f>
        <v>8613911331289</v>
      </c>
      <c r="E261" s="65" t="str">
        <f>IFERROR(__xludf.DUMMYFUNCTION("""COMPUTED_VALUE"""),"Zhikun Li")</f>
        <v>Zhikun Li</v>
      </c>
      <c r="F261" s="65" t="str">
        <f>IFERROR(__xludf.DUMMYFUNCTION("""COMPUTED_VALUE"""),"Yike Li (Grace)")</f>
        <v>Yike Li (Grace)</v>
      </c>
      <c r="G261" s="65" t="str">
        <f>IFERROR(__xludf.DUMMYFUNCTION("""COMPUTED_VALUE""")," 1 [Included with Registration] / Included Insurance   - ")</f>
        <v> 1 [Included with Registration] / Included Insurance   - </v>
      </c>
      <c r="H261" s="65" t="str">
        <f>IFERROR(__xludf.DUMMYFUNCTION("""COMPUTED_VALUE"""),"House 5")</f>
        <v>House 5</v>
      </c>
      <c r="I261" s="65" t="str">
        <f>IFERROR(__xludf.DUMMYFUNCTION("""COMPUTED_VALUE"""),"308")</f>
        <v>308</v>
      </c>
      <c r="J261" s="108" t="str">
        <f>IFERROR(__xludf.DUMMYFUNCTION("""COMPUTED_VALUE"""),"12:00 PM to 02:00 PM  ")</f>
        <v>12:00 PM to 02:00 PM  </v>
      </c>
      <c r="K261" s="103">
        <f>IFERROR(__xludf.DUMMYFUNCTION("""COMPUTED_VALUE"""),46139.0)</f>
        <v>46139</v>
      </c>
      <c r="L261" s="65" t="str">
        <f>IFERROR(__xludf.DUMMYFUNCTION("""COMPUTED_VALUE""")," ")</f>
        <v> </v>
      </c>
      <c r="M261" s="65"/>
      <c r="N261" s="65"/>
    </row>
    <row r="262">
      <c r="A262" s="99" t="str">
        <f>IFERROR(__xludf.DUMMYFUNCTION("""COMPUTED_VALUE"""),"https://utrucking.com/admin/orders/6404262330556")</f>
        <v>https://utrucking.com/admin/orders/6404262330556</v>
      </c>
      <c r="B262" s="61" t="str">
        <f>IFERROR(__xludf.DUMMYFUNCTION("""COMPUTED_VALUE"""),"#17305")</f>
        <v>#17305</v>
      </c>
      <c r="C262" s="61" t="str">
        <f>IFERROR(__xludf.DUMMYFUNCTION("""COMPUTED_VALUE"""),"daham@wustl.edu")</f>
        <v>daham@wustl.edu</v>
      </c>
      <c r="D262" s="61">
        <f>IFERROR(__xludf.DUMMYFUNCTION("""COMPUTED_VALUE"""),4.143667976E9)</f>
        <v>4143667976</v>
      </c>
      <c r="E262" s="61" t="str">
        <f>IFERROR(__xludf.DUMMYFUNCTION("""COMPUTED_VALUE"""),"Sama Daham")</f>
        <v>Sama Daham</v>
      </c>
      <c r="F262" s="61" t="str">
        <f>IFERROR(__xludf.DUMMYFUNCTION("""COMPUTED_VALUE"""),"Sama Daham")</f>
        <v>Sama Daham</v>
      </c>
      <c r="G262" s="61" t="str">
        <f>IFERROR(__xludf.DUMMYFUNCTION("""COMPUTED_VALUE""")," 2 / Included Insurance   - ")</f>
        <v> 2 / Included Insurance   - </v>
      </c>
      <c r="H262" s="61" t="str">
        <f>IFERROR(__xludf.DUMMYFUNCTION("""COMPUTED_VALUE"""),"Umrath  ")</f>
        <v>Umrath  </v>
      </c>
      <c r="I262" s="61" t="str">
        <f>IFERROR(__xludf.DUMMYFUNCTION("""COMPUTED_VALUE"""),"L239")</f>
        <v>L239</v>
      </c>
      <c r="J262" s="107" t="str">
        <f>IFERROR(__xludf.DUMMYFUNCTION("""COMPUTED_VALUE"""),"10:00 AM to 12:00 PM  ")</f>
        <v>10:00 AM to 12:00 PM  </v>
      </c>
      <c r="K262" s="100">
        <f>IFERROR(__xludf.DUMMYFUNCTION("""COMPUTED_VALUE"""),46147.0)</f>
        <v>46147</v>
      </c>
      <c r="L262" s="61" t="str">
        <f>IFERROR(__xludf.DUMMYFUNCTION("""COMPUTED_VALUE""")," ")</f>
        <v> </v>
      </c>
      <c r="M262" s="61"/>
      <c r="N262" s="61"/>
    </row>
    <row r="263">
      <c r="A263" s="102" t="str">
        <f>IFERROR(__xludf.DUMMYFUNCTION("""COMPUTED_VALUE"""),"https://utrucking.com/admin/orders/6404338483388")</f>
        <v>https://utrucking.com/admin/orders/6404338483388</v>
      </c>
      <c r="B263" s="65" t="str">
        <f>IFERROR(__xludf.DUMMYFUNCTION("""COMPUTED_VALUE"""),"#17307")</f>
        <v>#17307</v>
      </c>
      <c r="C263" s="65" t="str">
        <f>IFERROR(__xludf.DUMMYFUNCTION("""COMPUTED_VALUE"""),"kvanourny@comcast.net")</f>
        <v>kvanourny@comcast.net</v>
      </c>
      <c r="D263" s="65">
        <f>IFERROR(__xludf.DUMMYFUNCTION("""COMPUTED_VALUE"""),7.817721571E9)</f>
        <v>7817721571</v>
      </c>
      <c r="E263" s="65" t="str">
        <f>IFERROR(__xludf.DUMMYFUNCTION("""COMPUTED_VALUE"""),"Krista Vanourny")</f>
        <v>Krista Vanourny</v>
      </c>
      <c r="F263" s="65" t="str">
        <f>IFERROR(__xludf.DUMMYFUNCTION("""COMPUTED_VALUE"""),"Jack Vanourny")</f>
        <v>Jack Vanourny</v>
      </c>
      <c r="G263" s="65" t="str">
        <f>IFERROR(__xludf.DUMMYFUNCTION("""COMPUTED_VALUE""")," 1 [Included with Registration] / Included Insurance   - ")</f>
        <v> 1 [Included with Registration] / Included Insurance   - </v>
      </c>
      <c r="H263" s="65"/>
      <c r="I263" s="65"/>
      <c r="J263" s="108" t="str">
        <f>IFERROR(__xludf.DUMMYFUNCTION("""COMPUTED_VALUE"""),"01:00 PM to 03:00 PM  ")</f>
        <v>01:00 PM to 03:00 PM  </v>
      </c>
      <c r="K263" s="103">
        <f>IFERROR(__xludf.DUMMYFUNCTION("""COMPUTED_VALUE"""),46147.0)</f>
        <v>46147</v>
      </c>
      <c r="L263" s="65" t="str">
        <f>IFERROR(__xludf.DUMMYFUNCTION("""COMPUTED_VALUE""")," ")</f>
        <v> </v>
      </c>
      <c r="M263" s="65" t="str">
        <f>IFERROR(__xludf.DUMMYFUNCTION("""COMPUTED_VALUE"""),"8025 Bonhomme Ave, Apt 711, Clayton, MO 63105")</f>
        <v>8025 Bonhomme Ave, Apt 711, Clayton, MO 63105</v>
      </c>
      <c r="N263" s="65" t="str">
        <f>IFERROR(__xludf.DUMMYFUNCTION("""COMPUTED_VALUE"""),"He will also be storing a TV for the summer and a tv stand. He has a box for the TV. Does that work?")</f>
        <v>He will also be storing a TV for the summer and a tv stand. He has a box for the TV. Does that work?</v>
      </c>
    </row>
    <row r="264">
      <c r="A264" s="99" t="str">
        <f>IFERROR(__xludf.DUMMYFUNCTION("""COMPUTED_VALUE"""),"https://utrucking.com/admin/orders/6404355096764")</f>
        <v>https://utrucking.com/admin/orders/6404355096764</v>
      </c>
      <c r="B264" s="61" t="str">
        <f>IFERROR(__xludf.DUMMYFUNCTION("""COMPUTED_VALUE"""),"#17308")</f>
        <v>#17308</v>
      </c>
      <c r="C264" s="61" t="str">
        <f>IFERROR(__xludf.DUMMYFUNCTION("""COMPUTED_VALUE"""),"cyung@wustl.edu")</f>
        <v>cyung@wustl.edu</v>
      </c>
      <c r="D264" s="61">
        <f>IFERROR(__xludf.DUMMYFUNCTION("""COMPUTED_VALUE"""),4.153078559E9)</f>
        <v>4153078559</v>
      </c>
      <c r="E264" s="61" t="str">
        <f>IFERROR(__xludf.DUMMYFUNCTION("""COMPUTED_VALUE"""),"Derek Yung")</f>
        <v>Derek Yung</v>
      </c>
      <c r="F264" s="61" t="str">
        <f>IFERROR(__xludf.DUMMYFUNCTION("""COMPUTED_VALUE"""),"Casey Yung")</f>
        <v>Casey Yung</v>
      </c>
      <c r="G264" s="61" t="str">
        <f>IFERROR(__xludf.DUMMYFUNCTION("""COMPUTED_VALUE""")," 1 [Included with Registration] / $500 of Additional Coverage   - ")</f>
        <v> 1 [Included with Registration] / $500 of Additional Coverage   - </v>
      </c>
      <c r="H264" s="61" t="str">
        <f>IFERROR(__xludf.DUMMYFUNCTION("""COMPUTED_VALUE"""),"Park  ")</f>
        <v>Park  </v>
      </c>
      <c r="I264" s="61" t="str">
        <f>IFERROR(__xludf.DUMMYFUNCTION("""COMPUTED_VALUE"""),"441")</f>
        <v>441</v>
      </c>
      <c r="J264" s="107" t="str">
        <f>IFERROR(__xludf.DUMMYFUNCTION("""COMPUTED_VALUE"""),"03:00 PM to 05:00 PM")</f>
        <v>03:00 PM to 05:00 PM</v>
      </c>
      <c r="K264" s="100">
        <f>IFERROR(__xludf.DUMMYFUNCTION("""COMPUTED_VALUE"""),46147.0)</f>
        <v>46147</v>
      </c>
      <c r="L264" s="61" t="str">
        <f>IFERROR(__xludf.DUMMYFUNCTION("""COMPUTED_VALUE""")," ")</f>
        <v> </v>
      </c>
      <c r="M264" s="61"/>
      <c r="N264" s="61"/>
    </row>
    <row r="265">
      <c r="A265" s="102" t="str">
        <f>IFERROR(__xludf.DUMMYFUNCTION("""COMPUTED_VALUE"""),"https://utrucking.com/admin/orders/6404492099772")</f>
        <v>https://utrucking.com/admin/orders/6404492099772</v>
      </c>
      <c r="B265" s="65" t="str">
        <f>IFERROR(__xludf.DUMMYFUNCTION("""COMPUTED_VALUE"""),"#17313")</f>
        <v>#17313</v>
      </c>
      <c r="C265" s="65"/>
      <c r="D265" s="65">
        <f>IFERROR(__xludf.DUMMYFUNCTION("""COMPUTED_VALUE"""),8.177053126E9)</f>
        <v>8177053126</v>
      </c>
      <c r="E265" s="65" t="str">
        <f>IFERROR(__xludf.DUMMYFUNCTION("""COMPUTED_VALUE"""),"Samiya Menon")</f>
        <v>Samiya Menon</v>
      </c>
      <c r="F265" s="65" t="str">
        <f>IFERROR(__xludf.DUMMYFUNCTION("""COMPUTED_VALUE"""),"Sami Menon")</f>
        <v>Sami Menon</v>
      </c>
      <c r="G265" s="65" t="str">
        <f>IFERROR(__xludf.DUMMYFUNCTION("""COMPUTED_VALUE""")," 1 [Included with Registration] / Included Insurance   - ")</f>
        <v> 1 [Included with Registration] / Included Insurance   - </v>
      </c>
      <c r="H265" s="65" t="str">
        <f>IFERROR(__xludf.DUMMYFUNCTION("""COMPUTED_VALUE"""),"Eliot A (Thomas Eliot)")</f>
        <v>Eliot A (Thomas Eliot)</v>
      </c>
      <c r="I265" s="65" t="str">
        <f>IFERROR(__xludf.DUMMYFUNCTION("""COMPUTED_VALUE"""),"2061")</f>
        <v>2061</v>
      </c>
      <c r="J265" s="108" t="str">
        <f>IFERROR(__xludf.DUMMYFUNCTION("""COMPUTED_VALUE"""),"09:00 AM to 11:00 AM  ")</f>
        <v>09:00 AM to 11:00 AM  </v>
      </c>
      <c r="K265" s="103">
        <f>IFERROR(__xludf.DUMMYFUNCTION("""COMPUTED_VALUE"""),46149.0)</f>
        <v>46149</v>
      </c>
      <c r="L265" s="65" t="str">
        <f>IFERROR(__xludf.DUMMYFUNCTION("""COMPUTED_VALUE""")," ")</f>
        <v> </v>
      </c>
      <c r="M265" s="65"/>
      <c r="N265" s="65"/>
    </row>
    <row r="266">
      <c r="A266" s="99" t="str">
        <f>IFERROR(__xludf.DUMMYFUNCTION("""COMPUTED_VALUE"""),"https://utrucking.com/admin/orders/6404565008572")</f>
        <v>https://utrucking.com/admin/orders/6404565008572</v>
      </c>
      <c r="B266" s="61" t="str">
        <f>IFERROR(__xludf.DUMMYFUNCTION("""COMPUTED_VALUE"""),"#17314")</f>
        <v>#17314</v>
      </c>
      <c r="C266" s="61" t="str">
        <f>IFERROR(__xludf.DUMMYFUNCTION("""COMPUTED_VALUE"""),"jnottolane@gmail.com")</f>
        <v>jnottolane@gmail.com</v>
      </c>
      <c r="D266" s="61">
        <f>IFERROR(__xludf.DUMMYFUNCTION("""COMPUTED_VALUE"""),9.01545952E9)</f>
        <v>9015459520</v>
      </c>
      <c r="E266" s="61" t="str">
        <f>IFERROR(__xludf.DUMMYFUNCTION("""COMPUTED_VALUE"""),"Julian Nguyen")</f>
        <v>Julian Nguyen</v>
      </c>
      <c r="F266" s="61" t="str">
        <f>IFERROR(__xludf.DUMMYFUNCTION("""COMPUTED_VALUE"""),"Darlene Nguyen")</f>
        <v>Darlene Nguyen</v>
      </c>
      <c r="G266" s="61" t="str">
        <f>IFERROR(__xludf.DUMMYFUNCTION("""COMPUTED_VALUE""")," 1 [Included with Registration] / Included Insurance   - ")</f>
        <v> 1 [Included with Registration] / Included Insurance   - </v>
      </c>
      <c r="H266" s="61" t="str">
        <f>IFERROR(__xludf.DUMMYFUNCTION("""COMPUTED_VALUE"""),"Liggett  ")</f>
        <v>Liggett  </v>
      </c>
      <c r="I266" s="61" t="str">
        <f>IFERROR(__xludf.DUMMYFUNCTION("""COMPUTED_VALUE"""),"4464")</f>
        <v>4464</v>
      </c>
      <c r="J266" s="107" t="str">
        <f>IFERROR(__xludf.DUMMYFUNCTION("""COMPUTED_VALUE"""),"09:00 AM to 11:00 AM  ")</f>
        <v>09:00 AM to 11:00 AM  </v>
      </c>
      <c r="K266" s="100">
        <f>IFERROR(__xludf.DUMMYFUNCTION("""COMPUTED_VALUE"""),46149.0)</f>
        <v>46149</v>
      </c>
      <c r="L266" s="61" t="str">
        <f>IFERROR(__xludf.DUMMYFUNCTION("""COMPUTED_VALUE""")," ")</f>
        <v> </v>
      </c>
      <c r="M266" s="61"/>
      <c r="N266" s="61"/>
    </row>
    <row r="267">
      <c r="A267" s="102" t="str">
        <f>IFERROR(__xludf.DUMMYFUNCTION("""COMPUTED_VALUE"""),"https://utrucking.com/admin/orders/6404606951612")</f>
        <v>https://utrucking.com/admin/orders/6404606951612</v>
      </c>
      <c r="B267" s="65" t="str">
        <f>IFERROR(__xludf.DUMMYFUNCTION("""COMPUTED_VALUE"""),"#17315")</f>
        <v>#17315</v>
      </c>
      <c r="C267" s="65" t="str">
        <f>IFERROR(__xludf.DUMMYFUNCTION("""COMPUTED_VALUE"""),"a.covello@wustl.edu")</f>
        <v>a.covello@wustl.edu</v>
      </c>
      <c r="D267" s="65">
        <f>IFERROR(__xludf.DUMMYFUNCTION("""COMPUTED_VALUE"""),9.084187448E9)</f>
        <v>9084187448</v>
      </c>
      <c r="E267" s="65" t="str">
        <f>IFERROR(__xludf.DUMMYFUNCTION("""COMPUTED_VALUE"""),"Teri Covello")</f>
        <v>Teri Covello</v>
      </c>
      <c r="F267" s="65" t="str">
        <f>IFERROR(__xludf.DUMMYFUNCTION("""COMPUTED_VALUE"""),"Andrew Covello")</f>
        <v>Andrew Covello</v>
      </c>
      <c r="G267" s="65" t="str">
        <f>IFERROR(__xludf.DUMMYFUNCTION("""COMPUTED_VALUE""")," 1 [Included with Registration] / Included Insurance   - ")</f>
        <v> 1 [Included with Registration] / Included Insurance   - </v>
      </c>
      <c r="H267" s="65" t="str">
        <f>IFERROR(__xludf.DUMMYFUNCTION("""COMPUTED_VALUE"""),"Eliot A (Thomas Eliot)")</f>
        <v>Eliot A (Thomas Eliot)</v>
      </c>
      <c r="I267" s="65" t="str">
        <f>IFERROR(__xludf.DUMMYFUNCTION("""COMPUTED_VALUE"""),"3101")</f>
        <v>3101</v>
      </c>
      <c r="J267" s="108" t="str">
        <f>IFERROR(__xludf.DUMMYFUNCTION("""COMPUTED_VALUE"""),"09:00 AM to 11:00 AM  ")</f>
        <v>09:00 AM to 11:00 AM  </v>
      </c>
      <c r="K267" s="103">
        <f>IFERROR(__xludf.DUMMYFUNCTION("""COMPUTED_VALUE"""),46147.0)</f>
        <v>46147</v>
      </c>
      <c r="L267" s="65" t="str">
        <f>IFERROR(__xludf.DUMMYFUNCTION("""COMPUTED_VALUE""")," ")</f>
        <v> </v>
      </c>
      <c r="M267" s="65"/>
      <c r="N267" s="65"/>
    </row>
    <row r="268">
      <c r="A268" s="99" t="str">
        <f>IFERROR(__xludf.DUMMYFUNCTION("""COMPUTED_VALUE"""),"https://utrucking.com/admin/orders/6404702830780")</f>
        <v>https://utrucking.com/admin/orders/6404702830780</v>
      </c>
      <c r="B268" s="61" t="str">
        <f>IFERROR(__xludf.DUMMYFUNCTION("""COMPUTED_VALUE"""),"#17317")</f>
        <v>#17317</v>
      </c>
      <c r="C268" s="61" t="str">
        <f>IFERROR(__xludf.DUMMYFUNCTION("""COMPUTED_VALUE"""),"tnfink@comcast.net")</f>
        <v>tnfink@comcast.net</v>
      </c>
      <c r="D268" s="61">
        <f>IFERROR(__xludf.DUMMYFUNCTION("""COMPUTED_VALUE"""),2.485612354E9)</f>
        <v>2485612354</v>
      </c>
      <c r="E268" s="61" t="str">
        <f>IFERROR(__xludf.DUMMYFUNCTION("""COMPUTED_VALUE"""),"Nicole Fink")</f>
        <v>Nicole Fink</v>
      </c>
      <c r="F268" s="61" t="str">
        <f>IFERROR(__xludf.DUMMYFUNCTION("""COMPUTED_VALUE"""),"Andrew Fink")</f>
        <v>Andrew Fink</v>
      </c>
      <c r="G268" s="61" t="str">
        <f>IFERROR(__xludf.DUMMYFUNCTION("""COMPUTED_VALUE""")," 0 / Included Insurance   - ")</f>
        <v> 0 / Included Insurance   - </v>
      </c>
      <c r="H268" s="61"/>
      <c r="I268" s="61"/>
      <c r="J268" s="107" t="str">
        <f>IFERROR(__xludf.DUMMYFUNCTION("""COMPUTED_VALUE"""),"09:00 AM to 11:00 AM  ")</f>
        <v>09:00 AM to 11:00 AM  </v>
      </c>
      <c r="K268" s="100">
        <f>IFERROR(__xludf.DUMMYFUNCTION("""COMPUTED_VALUE"""),46118.0)</f>
        <v>46118</v>
      </c>
      <c r="L268" s="61" t="str">
        <f>IFERROR(__xludf.DUMMYFUNCTION("""COMPUTED_VALUE""")," ")</f>
        <v> </v>
      </c>
      <c r="M268" s="61" t="str">
        <f>IFERROR(__xludf.DUMMYFUNCTION("""COMPUTED_VALUE"""),"608 Kingsfield Ste 3K")</f>
        <v>608 Kingsfield Ste 3K</v>
      </c>
      <c r="N268" s="61" t="str">
        <f>IFERROR(__xludf.DUMMYFUNCTION("""COMPUTED_VALUE"""),"I was unable to enter April 4, as we had discussed")</f>
        <v>I was unable to enter April 4, as we had discussed</v>
      </c>
    </row>
    <row r="269">
      <c r="A269" s="102" t="str">
        <f>IFERROR(__xludf.DUMMYFUNCTION("""COMPUTED_VALUE"""),"https://utrucking.com/admin/orders/6404811456700")</f>
        <v>https://utrucking.com/admin/orders/6404811456700</v>
      </c>
      <c r="B269" s="65" t="str">
        <f>IFERROR(__xludf.DUMMYFUNCTION("""COMPUTED_VALUE"""),"#17318")</f>
        <v>#17318</v>
      </c>
      <c r="C269" s="65" t="str">
        <f>IFERROR(__xludf.DUMMYFUNCTION("""COMPUTED_VALUE"""),"nat_prins@yahoo.com")</f>
        <v>nat_prins@yahoo.com</v>
      </c>
      <c r="D269" s="65">
        <f>IFERROR(__xludf.DUMMYFUNCTION("""COMPUTED_VALUE"""),5.034099798E9)</f>
        <v>5034099798</v>
      </c>
      <c r="E269" s="65" t="str">
        <f>IFERROR(__xludf.DUMMYFUNCTION("""COMPUTED_VALUE"""),"Natalie Prins")</f>
        <v>Natalie Prins</v>
      </c>
      <c r="F269" s="65" t="str">
        <f>IFERROR(__xludf.DUMMYFUNCTION("""COMPUTED_VALUE"""),"Amelia Prins")</f>
        <v>Amelia Prins</v>
      </c>
      <c r="G269" s="65" t="str">
        <f>IFERROR(__xludf.DUMMYFUNCTION("""COMPUTED_VALUE""")," 1 [Included with Registration] / Included Insurance   - ")</f>
        <v> 1 [Included with Registration] / Included Insurance   - </v>
      </c>
      <c r="H269" s="65" t="str">
        <f>IFERROR(__xludf.DUMMYFUNCTION("""COMPUTED_VALUE"""),"Liggett  ")</f>
        <v>Liggett  </v>
      </c>
      <c r="I269" s="65" t="str">
        <f>IFERROR(__xludf.DUMMYFUNCTION("""COMPUTED_VALUE"""),"1181")</f>
        <v>1181</v>
      </c>
      <c r="J269" s="108" t="str">
        <f>IFERROR(__xludf.DUMMYFUNCTION("""COMPUTED_VALUE"""),"12:00 PM to 02:00 PM  ")</f>
        <v>12:00 PM to 02:00 PM  </v>
      </c>
      <c r="K269" s="103">
        <f>IFERROR(__xludf.DUMMYFUNCTION("""COMPUTED_VALUE"""),46147.0)</f>
        <v>46147</v>
      </c>
      <c r="L269" s="65" t="str">
        <f>IFERROR(__xludf.DUMMYFUNCTION("""COMPUTED_VALUE""")," ")</f>
        <v> </v>
      </c>
      <c r="M269" s="65"/>
      <c r="N269" s="65"/>
    </row>
    <row r="270">
      <c r="A270" s="99" t="str">
        <f>IFERROR(__xludf.DUMMYFUNCTION("""COMPUTED_VALUE"""),"https://utrucking.com/admin/orders/6404945182908")</f>
        <v>https://utrucking.com/admin/orders/6404945182908</v>
      </c>
      <c r="B270" s="61" t="str">
        <f>IFERROR(__xludf.DUMMYFUNCTION("""COMPUTED_VALUE"""),"#17320")</f>
        <v>#17320</v>
      </c>
      <c r="C270" s="61"/>
      <c r="D270" s="61">
        <f>IFERROR(__xludf.DUMMYFUNCTION("""COMPUTED_VALUE"""),9.196007031E9)</f>
        <v>9196007031</v>
      </c>
      <c r="E270" s="61" t="str">
        <f>IFERROR(__xludf.DUMMYFUNCTION("""COMPUTED_VALUE"""),"Connor Chuang")</f>
        <v>Connor Chuang</v>
      </c>
      <c r="F270" s="61" t="str">
        <f>IFERROR(__xludf.DUMMYFUNCTION("""COMPUTED_VALUE"""),"Connor Chuang")</f>
        <v>Connor Chuang</v>
      </c>
      <c r="G270" s="61" t="str">
        <f>IFERROR(__xludf.DUMMYFUNCTION("""COMPUTED_VALUE""")," 1 [Included with Registration] / Included Insurance   - ")</f>
        <v> 1 [Included with Registration] / Included Insurance   - </v>
      </c>
      <c r="H270" s="61" t="str">
        <f>IFERROR(__xludf.DUMMYFUNCTION("""COMPUTED_VALUE"""),"Koenig  ")</f>
        <v>Koenig  </v>
      </c>
      <c r="I270" s="61" t="str">
        <f>IFERROR(__xludf.DUMMYFUNCTION("""COMPUTED_VALUE"""),"3312")</f>
        <v>3312</v>
      </c>
      <c r="J270" s="107" t="str">
        <f>IFERROR(__xludf.DUMMYFUNCTION("""COMPUTED_VALUE"""),"01:00 PM to 03:00 PM  ")</f>
        <v>01:00 PM to 03:00 PM  </v>
      </c>
      <c r="K270" s="100">
        <f>IFERROR(__xludf.DUMMYFUNCTION("""COMPUTED_VALUE"""),46147.0)</f>
        <v>46147</v>
      </c>
      <c r="L270" s="61" t="str">
        <f>IFERROR(__xludf.DUMMYFUNCTION("""COMPUTED_VALUE""")," ")</f>
        <v> </v>
      </c>
      <c r="M270" s="61"/>
      <c r="N270" s="61"/>
    </row>
    <row r="271">
      <c r="A271" s="102" t="str">
        <f>IFERROR(__xludf.DUMMYFUNCTION("""COMPUTED_VALUE"""),"https://utrucking.com/admin/orders/6405422350524")</f>
        <v>https://utrucking.com/admin/orders/6405422350524</v>
      </c>
      <c r="B271" s="65" t="str">
        <f>IFERROR(__xludf.DUMMYFUNCTION("""COMPUTED_VALUE"""),"#17323")</f>
        <v>#17323</v>
      </c>
      <c r="C271" s="65" t="str">
        <f>IFERROR(__xludf.DUMMYFUNCTION("""COMPUTED_VALUE"""),"brickman@wustl.edu")</f>
        <v>brickman@wustl.edu</v>
      </c>
      <c r="D271" s="65">
        <f>IFERROR(__xludf.DUMMYFUNCTION("""COMPUTED_VALUE"""),2.028129294E9)</f>
        <v>2028129294</v>
      </c>
      <c r="E271" s="65" t="str">
        <f>IFERROR(__xludf.DUMMYFUNCTION("""COMPUTED_VALUE"""),"Hannah Brickman")</f>
        <v>Hannah Brickman</v>
      </c>
      <c r="F271" s="65" t="str">
        <f>IFERROR(__xludf.DUMMYFUNCTION("""COMPUTED_VALUE"""),"Hannah Brickman")</f>
        <v>Hannah Brickman</v>
      </c>
      <c r="G271" s="65" t="str">
        <f>IFERROR(__xludf.DUMMYFUNCTION("""COMPUTED_VALUE""")," 1 [Included with Registration] / Included Insurance   - ")</f>
        <v> 1 [Included with Registration] / Included Insurance   - </v>
      </c>
      <c r="H271" s="65" t="str">
        <f>IFERROR(__xludf.DUMMYFUNCTION("""COMPUTED_VALUE"""),"Park  ")</f>
        <v>Park  </v>
      </c>
      <c r="I271" s="65" t="str">
        <f>IFERROR(__xludf.DUMMYFUNCTION("""COMPUTED_VALUE"""),"340")</f>
        <v>340</v>
      </c>
      <c r="J271" s="108" t="str">
        <f>IFERROR(__xludf.DUMMYFUNCTION("""COMPUTED_VALUE"""),"03:00 PM to 05:00 PM")</f>
        <v>03:00 PM to 05:00 PM</v>
      </c>
      <c r="K271" s="103">
        <f>IFERROR(__xludf.DUMMYFUNCTION("""COMPUTED_VALUE"""),46148.0)</f>
        <v>46148</v>
      </c>
      <c r="L271" s="65" t="str">
        <f>IFERROR(__xludf.DUMMYFUNCTION("""COMPUTED_VALUE""")," ")</f>
        <v> </v>
      </c>
      <c r="M271" s="65"/>
      <c r="N271" s="65"/>
    </row>
    <row r="272">
      <c r="A272" s="99" t="str">
        <f>IFERROR(__xludf.DUMMYFUNCTION("""COMPUTED_VALUE"""),"https://utrucking.com/admin/orders/6405455544508")</f>
        <v>https://utrucking.com/admin/orders/6405455544508</v>
      </c>
      <c r="B272" s="61" t="str">
        <f>IFERROR(__xludf.DUMMYFUNCTION("""COMPUTED_VALUE"""),"#17324")</f>
        <v>#17324</v>
      </c>
      <c r="C272" s="61"/>
      <c r="D272" s="61">
        <f>IFERROR(__xludf.DUMMYFUNCTION("""COMPUTED_VALUE"""),8.455964595E9)</f>
        <v>8455964595</v>
      </c>
      <c r="E272" s="61" t="str">
        <f>IFERROR(__xludf.DUMMYFUNCTION("""COMPUTED_VALUE"""),"Carrie Panoff")</f>
        <v>Carrie Panoff</v>
      </c>
      <c r="F272" s="61" t="str">
        <f>IFERROR(__xludf.DUMMYFUNCTION("""COMPUTED_VALUE"""),"Elie Panoff")</f>
        <v>Elie Panoff</v>
      </c>
      <c r="G272" s="61" t="str">
        <f>IFERROR(__xludf.DUMMYFUNCTION("""COMPUTED_VALUE""")," 1 [Included with Registration] / Included Insurance   - ")</f>
        <v> 1 [Included with Registration] / Included Insurance   - </v>
      </c>
      <c r="H272" s="61" t="str">
        <f>IFERROR(__xludf.DUMMYFUNCTION("""COMPUTED_VALUE"""),"Umrath  ")</f>
        <v>Umrath  </v>
      </c>
      <c r="I272" s="61" t="str">
        <f>IFERROR(__xludf.DUMMYFUNCTION("""COMPUTED_VALUE"""),"2220")</f>
        <v>2220</v>
      </c>
      <c r="J272" s="107" t="str">
        <f>IFERROR(__xludf.DUMMYFUNCTION("""COMPUTED_VALUE"""),"09:00 AM to 11:00 AM  ")</f>
        <v>09:00 AM to 11:00 AM  </v>
      </c>
      <c r="K272" s="100">
        <f>IFERROR(__xludf.DUMMYFUNCTION("""COMPUTED_VALUE"""),46148.0)</f>
        <v>46148</v>
      </c>
      <c r="L272" s="61" t="str">
        <f>IFERROR(__xludf.DUMMYFUNCTION("""COMPUTED_VALUE""")," ")</f>
        <v> </v>
      </c>
      <c r="M272" s="61"/>
      <c r="N272" s="61"/>
    </row>
    <row r="273">
      <c r="A273" s="102" t="str">
        <f>IFERROR(__xludf.DUMMYFUNCTION("""COMPUTED_VALUE"""),"https://utrucking.com/admin/orders/6405510529212")</f>
        <v>https://utrucking.com/admin/orders/6405510529212</v>
      </c>
      <c r="B273" s="65" t="str">
        <f>IFERROR(__xludf.DUMMYFUNCTION("""COMPUTED_VALUE"""),"#17325")</f>
        <v>#17325</v>
      </c>
      <c r="C273" s="65" t="str">
        <f>IFERROR(__xludf.DUMMYFUNCTION("""COMPUTED_VALUE"""),"p.sebastian@wustl.edu")</f>
        <v>p.sebastian@wustl.edu</v>
      </c>
      <c r="D273" s="65">
        <f>IFERROR(__xludf.DUMMYFUNCTION("""COMPUTED_VALUE"""),7.203693946E9)</f>
        <v>7203693946</v>
      </c>
      <c r="E273" s="65" t="str">
        <f>IFERROR(__xludf.DUMMYFUNCTION("""COMPUTED_VALUE"""),"Sebastian Pujet")</f>
        <v>Sebastian Pujet</v>
      </c>
      <c r="F273" s="65" t="str">
        <f>IFERROR(__xludf.DUMMYFUNCTION("""COMPUTED_VALUE"""),"Sebastian Pujet")</f>
        <v>Sebastian Pujet</v>
      </c>
      <c r="G273" s="65" t="str">
        <f>IFERROR(__xludf.DUMMYFUNCTION("""COMPUTED_VALUE""")," 1 [Included with Registration] / Included Insurance   - ")</f>
        <v> 1 [Included with Registration] / Included Insurance   - </v>
      </c>
      <c r="H273" s="65" t="str">
        <f>IFERROR(__xludf.DUMMYFUNCTION("""COMPUTED_VALUE"""),"6639 University Drive  ")</f>
        <v>6639 University Drive  </v>
      </c>
      <c r="I273" s="65" t="str">
        <f>IFERROR(__xludf.DUMMYFUNCTION("""COMPUTED_VALUE"""),"2W-A")</f>
        <v>2W-A</v>
      </c>
      <c r="J273" s="108" t="str">
        <f>IFERROR(__xludf.DUMMYFUNCTION("""COMPUTED_VALUE"""),"01:00 PM to 03:00 PM  ")</f>
        <v>01:00 PM to 03:00 PM  </v>
      </c>
      <c r="K273" s="103">
        <f>IFERROR(__xludf.DUMMYFUNCTION("""COMPUTED_VALUE"""),46149.0)</f>
        <v>46149</v>
      </c>
      <c r="L273" s="65" t="str">
        <f>IFERROR(__xludf.DUMMYFUNCTION("""COMPUTED_VALUE""")," ")</f>
        <v> </v>
      </c>
      <c r="M273" s="65"/>
      <c r="N273" s="65"/>
    </row>
    <row r="274">
      <c r="A274" s="99" t="str">
        <f>IFERROR(__xludf.DUMMYFUNCTION("""COMPUTED_VALUE"""),"https://utrucking.com/admin/orders/6405576982716")</f>
        <v>https://utrucking.com/admin/orders/6405576982716</v>
      </c>
      <c r="B274" s="61" t="str">
        <f>IFERROR(__xludf.DUMMYFUNCTION("""COMPUTED_VALUE"""),"#17326")</f>
        <v>#17326</v>
      </c>
      <c r="C274" s="61" t="str">
        <f>IFERROR(__xludf.DUMMYFUNCTION("""COMPUTED_VALUE"""),"k.r.vongermeten@wustl.edu")</f>
        <v>k.r.vongermeten@wustl.edu</v>
      </c>
      <c r="D274" s="61">
        <f>IFERROR(__xludf.DUMMYFUNCTION("""COMPUTED_VALUE"""),4.153174959E9)</f>
        <v>4153174959</v>
      </c>
      <c r="E274" s="61" t="str">
        <f>IFERROR(__xludf.DUMMYFUNCTION("""COMPUTED_VALUE"""),"Katherine von Germeten")</f>
        <v>Katherine von Germeten</v>
      </c>
      <c r="F274" s="61" t="str">
        <f>IFERROR(__xludf.DUMMYFUNCTION("""COMPUTED_VALUE"""),"Katie")</f>
        <v>Katie</v>
      </c>
      <c r="G274" s="61" t="str">
        <f>IFERROR(__xludf.DUMMYFUNCTION("""COMPUTED_VALUE""")," 1 [Included with Registration] / Included Insurance   - ")</f>
        <v> 1 [Included with Registration] / Included Insurance   - </v>
      </c>
      <c r="H274" s="61" t="str">
        <f>IFERROR(__xludf.DUMMYFUNCTION("""COMPUTED_VALUE"""),"Liggett  ")</f>
        <v>Liggett  </v>
      </c>
      <c r="I274" s="61" t="str">
        <f>IFERROR(__xludf.DUMMYFUNCTION("""COMPUTED_VALUE"""),"1182 - a")</f>
        <v>1182 - a</v>
      </c>
      <c r="J274" s="107" t="str">
        <f>IFERROR(__xludf.DUMMYFUNCTION("""COMPUTED_VALUE"""),"09:00 AM to 11:00 AM  ")</f>
        <v>09:00 AM to 11:00 AM  </v>
      </c>
      <c r="K274" s="100">
        <f>IFERROR(__xludf.DUMMYFUNCTION("""COMPUTED_VALUE"""),46149.0)</f>
        <v>46149</v>
      </c>
      <c r="L274" s="61" t="str">
        <f>IFERROR(__xludf.DUMMYFUNCTION("""COMPUTED_VALUE""")," ")</f>
        <v> </v>
      </c>
      <c r="M274" s="61"/>
      <c r="N274" s="61"/>
    </row>
    <row r="275">
      <c r="A275" s="102" t="str">
        <f>IFERROR(__xludf.DUMMYFUNCTION("""COMPUTED_VALUE"""),"https://utrucking.com/admin/orders/6405870911676")</f>
        <v>https://utrucking.com/admin/orders/6405870911676</v>
      </c>
      <c r="B275" s="65" t="str">
        <f>IFERROR(__xludf.DUMMYFUNCTION("""COMPUTED_VALUE"""),"#17327")</f>
        <v>#17327</v>
      </c>
      <c r="C275" s="65"/>
      <c r="D275" s="65">
        <f>IFERROR(__xludf.DUMMYFUNCTION("""COMPUTED_VALUE"""),9.178474451E9)</f>
        <v>9178474451</v>
      </c>
      <c r="E275" s="65" t="str">
        <f>IFERROR(__xludf.DUMMYFUNCTION("""COMPUTED_VALUE"""),"Jessica Lewin-Zmood")</f>
        <v>Jessica Lewin-Zmood</v>
      </c>
      <c r="F275" s="65" t="str">
        <f>IFERROR(__xludf.DUMMYFUNCTION("""COMPUTED_VALUE"""),"Ella Zmood")</f>
        <v>Ella Zmood</v>
      </c>
      <c r="G275" s="65" t="str">
        <f>IFERROR(__xludf.DUMMYFUNCTION("""COMPUTED_VALUE""")," 1 [Included with Registration] / Included Insurance   - ")</f>
        <v> 1 [Included with Registration] / Included Insurance   - </v>
      </c>
      <c r="H275" s="65" t="str">
        <f>IFERROR(__xludf.DUMMYFUNCTION("""COMPUTED_VALUE"""),"Millbrook Bldg. 3  ")</f>
        <v>Millbrook Bldg. 3  </v>
      </c>
      <c r="I275" s="65" t="str">
        <f>IFERROR(__xludf.DUMMYFUNCTION("""COMPUTED_VALUE"""),"303")</f>
        <v>303</v>
      </c>
      <c r="J275" s="108" t="str">
        <f>IFERROR(__xludf.DUMMYFUNCTION("""COMPUTED_VALUE"""),"09:00 AM to 11:00 AM  ")</f>
        <v>09:00 AM to 11:00 AM  </v>
      </c>
      <c r="K275" s="103">
        <f>IFERROR(__xludf.DUMMYFUNCTION("""COMPUTED_VALUE"""),46149.0)</f>
        <v>46149</v>
      </c>
      <c r="L275" s="65" t="str">
        <f>IFERROR(__xludf.DUMMYFUNCTION("""COMPUTED_VALUE""")," ")</f>
        <v> </v>
      </c>
      <c r="M275" s="65"/>
      <c r="N275" s="65" t="str">
        <f>IFERROR(__xludf.DUMMYFUNCTION("""COMPUTED_VALUE"""),"Plus two plastic crates")</f>
        <v>Plus two plastic crates</v>
      </c>
    </row>
    <row r="276">
      <c r="A276" s="99" t="str">
        <f>IFERROR(__xludf.DUMMYFUNCTION("""COMPUTED_VALUE"""),"https://utrucking.com/admin/orders/6405957812412")</f>
        <v>https://utrucking.com/admin/orders/6405957812412</v>
      </c>
      <c r="B276" s="61" t="str">
        <f>IFERROR(__xludf.DUMMYFUNCTION("""COMPUTED_VALUE"""),"#17329")</f>
        <v>#17329</v>
      </c>
      <c r="C276" s="61" t="str">
        <f>IFERROR(__xludf.DUMMYFUNCTION("""COMPUTED_VALUE"""),"jkbaerwald@gmail.com")</f>
        <v>jkbaerwald@gmail.com</v>
      </c>
      <c r="D276" s="61">
        <f>IFERROR(__xludf.DUMMYFUNCTION("""COMPUTED_VALUE"""),2.068503099E9)</f>
        <v>2068503099</v>
      </c>
      <c r="E276" s="61" t="str">
        <f>IFERROR(__xludf.DUMMYFUNCTION("""COMPUTED_VALUE"""),"JEANNETTE BAERWALD")</f>
        <v>JEANNETTE BAERWALD</v>
      </c>
      <c r="F276" s="61" t="str">
        <f>IFERROR(__xludf.DUMMYFUNCTION("""COMPUTED_VALUE"""),"Dan Baerwald")</f>
        <v>Dan Baerwald</v>
      </c>
      <c r="G276" s="61" t="str">
        <f>IFERROR(__xludf.DUMMYFUNCTION("""COMPUTED_VALUE""")," 1 [Included with Registration] / Included Insurance   - ")</f>
        <v> 1 [Included with Registration] / Included Insurance   - </v>
      </c>
      <c r="H276" s="61" t="str">
        <f>IFERROR(__xludf.DUMMYFUNCTION("""COMPUTED_VALUE"""),"Park  ")</f>
        <v>Park  </v>
      </c>
      <c r="I276" s="61" t="str">
        <f>IFERROR(__xludf.DUMMYFUNCTION("""COMPUTED_VALUE"""),"140")</f>
        <v>140</v>
      </c>
      <c r="J276" s="107" t="str">
        <f>IFERROR(__xludf.DUMMYFUNCTION("""COMPUTED_VALUE"""),"01:00 PM to 03:00 PM  ")</f>
        <v>01:00 PM to 03:00 PM  </v>
      </c>
      <c r="K276" s="100">
        <f>IFERROR(__xludf.DUMMYFUNCTION("""COMPUTED_VALUE"""),46149.0)</f>
        <v>46149</v>
      </c>
      <c r="L276" s="61" t="str">
        <f>IFERROR(__xludf.DUMMYFUNCTION("""COMPUTED_VALUE""")," ")</f>
        <v> </v>
      </c>
      <c r="M276" s="61"/>
      <c r="N276" s="61"/>
    </row>
    <row r="277">
      <c r="A277" s="102" t="str">
        <f>IFERROR(__xludf.DUMMYFUNCTION("""COMPUTED_VALUE"""),"https://utrucking.com/admin/orders/6406129647804")</f>
        <v>https://utrucking.com/admin/orders/6406129647804</v>
      </c>
      <c r="B277" s="65" t="str">
        <f>IFERROR(__xludf.DUMMYFUNCTION("""COMPUTED_VALUE"""),"#17330")</f>
        <v>#17330</v>
      </c>
      <c r="C277" s="65"/>
      <c r="D277" s="65">
        <f>IFERROR(__xludf.DUMMYFUNCTION("""COMPUTED_VALUE"""),9.254087907E9)</f>
        <v>9254087907</v>
      </c>
      <c r="E277" s="65" t="str">
        <f>IFERROR(__xludf.DUMMYFUNCTION("""COMPUTED_VALUE"""),"Marci Rosenblatt")</f>
        <v>Marci Rosenblatt</v>
      </c>
      <c r="F277" s="65" t="str">
        <f>IFERROR(__xludf.DUMMYFUNCTION("""COMPUTED_VALUE"""),"Justin Rosenblatt")</f>
        <v>Justin Rosenblatt</v>
      </c>
      <c r="G277" s="65" t="str">
        <f>IFERROR(__xludf.DUMMYFUNCTION("""COMPUTED_VALUE""")," 1 [Included with Registration] / $1000 of Additional Coverage   - ")</f>
        <v> 1 [Included with Registration] / $1000 of Additional Coverage   - </v>
      </c>
      <c r="H277" s="65" t="str">
        <f>IFERROR(__xludf.DUMMYFUNCTION("""COMPUTED_VALUE"""),"Park  ")</f>
        <v>Park  </v>
      </c>
      <c r="I277" s="65" t="str">
        <f>IFERROR(__xludf.DUMMYFUNCTION("""COMPUTED_VALUE"""),"441")</f>
        <v>441</v>
      </c>
      <c r="J277" s="108" t="str">
        <f>IFERROR(__xludf.DUMMYFUNCTION("""COMPUTED_VALUE"""),"09:00 AM to 11:00 AM  ")</f>
        <v>09:00 AM to 11:00 AM  </v>
      </c>
      <c r="K277" s="103">
        <f>IFERROR(__xludf.DUMMYFUNCTION("""COMPUTED_VALUE"""),46146.0)</f>
        <v>46146</v>
      </c>
      <c r="L277" s="65" t="str">
        <f>IFERROR(__xludf.DUMMYFUNCTION("""COMPUTED_VALUE""")," ")</f>
        <v> </v>
      </c>
      <c r="M277" s="65"/>
      <c r="N277" s="65"/>
    </row>
    <row r="278">
      <c r="A278" s="99" t="str">
        <f>IFERROR(__xludf.DUMMYFUNCTION("""COMPUTED_VALUE"""),"https://utrucking.com/admin/orders/6406829998268")</f>
        <v>https://utrucking.com/admin/orders/6406829998268</v>
      </c>
      <c r="B278" s="61" t="str">
        <f>IFERROR(__xludf.DUMMYFUNCTION("""COMPUTED_VALUE"""),"#17331")</f>
        <v>#17331</v>
      </c>
      <c r="C278" s="61" t="str">
        <f>IFERROR(__xludf.DUMMYFUNCTION("""COMPUTED_VALUE"""),"k.rae@wustl.edu")</f>
        <v>k.rae@wustl.edu</v>
      </c>
      <c r="D278" s="61">
        <f>IFERROR(__xludf.DUMMYFUNCTION("""COMPUTED_VALUE"""),6.465285819E9)</f>
        <v>6465285819</v>
      </c>
      <c r="E278" s="61" t="str">
        <f>IFERROR(__xludf.DUMMYFUNCTION("""COMPUTED_VALUE"""),"Jessica Kaplan")</f>
        <v>Jessica Kaplan</v>
      </c>
      <c r="F278" s="61" t="str">
        <f>IFERROR(__xludf.DUMMYFUNCTION("""COMPUTED_VALUE"""),"Rae Kaplan")</f>
        <v>Rae Kaplan</v>
      </c>
      <c r="G278" s="61" t="str">
        <f>IFERROR(__xludf.DUMMYFUNCTION("""COMPUTED_VALUE""")," 1 [Included with Registration] / Included Insurance   - ")</f>
        <v> 1 [Included with Registration] / Included Insurance   - </v>
      </c>
      <c r="H278" s="61" t="str">
        <f>IFERROR(__xludf.DUMMYFUNCTION("""COMPUTED_VALUE"""),"Millbrook Bldg. 1  ")</f>
        <v>Millbrook Bldg. 1  </v>
      </c>
      <c r="I278" s="61" t="str">
        <f>IFERROR(__xludf.DUMMYFUNCTION("""COMPUTED_VALUE"""),"104B")</f>
        <v>104B</v>
      </c>
      <c r="J278" s="107" t="str">
        <f>IFERROR(__xludf.DUMMYFUNCTION("""COMPUTED_VALUE"""),"09:00 AM to 11:00 AM  ")</f>
        <v>09:00 AM to 11:00 AM  </v>
      </c>
      <c r="K278" s="100">
        <f>IFERROR(__xludf.DUMMYFUNCTION("""COMPUTED_VALUE"""),46146.0)</f>
        <v>46146</v>
      </c>
      <c r="L278" s="61" t="str">
        <f>IFERROR(__xludf.DUMMYFUNCTION("""COMPUTED_VALUE""")," ")</f>
        <v> </v>
      </c>
      <c r="M278" s="61"/>
      <c r="N278" s="61"/>
    </row>
    <row r="279">
      <c r="A279" s="102" t="str">
        <f>IFERROR(__xludf.DUMMYFUNCTION("""COMPUTED_VALUE"""),"https://utrucking.com/admin/orders/6406881116348")</f>
        <v>https://utrucking.com/admin/orders/6406881116348</v>
      </c>
      <c r="B279" s="65" t="str">
        <f>IFERROR(__xludf.DUMMYFUNCTION("""COMPUTED_VALUE"""),"#17332")</f>
        <v>#17332</v>
      </c>
      <c r="C279" s="65"/>
      <c r="D279" s="65">
        <f>IFERROR(__xludf.DUMMYFUNCTION("""COMPUTED_VALUE"""),5.859050703E9)</f>
        <v>5859050703</v>
      </c>
      <c r="E279" s="65" t="str">
        <f>IFERROR(__xludf.DUMMYFUNCTION("""COMPUTED_VALUE"""),"Julianne Miller")</f>
        <v>Julianne Miller</v>
      </c>
      <c r="F279" s="65" t="str">
        <f>IFERROR(__xludf.DUMMYFUNCTION("""COMPUTED_VALUE"""),"Aaron Miller")</f>
        <v>Aaron Miller</v>
      </c>
      <c r="G279" s="65" t="str">
        <f>IFERROR(__xludf.DUMMYFUNCTION("""COMPUTED_VALUE""")," 1 [Included with Registration] / Included Insurance   - ")</f>
        <v> 1 [Included with Registration] / Included Insurance   - </v>
      </c>
      <c r="H279" s="65" t="str">
        <f>IFERROR(__xludf.DUMMYFUNCTION("""COMPUTED_VALUE"""),"Koenig  ")</f>
        <v>Koenig  </v>
      </c>
      <c r="I279" s="65" t="str">
        <f>IFERROR(__xludf.DUMMYFUNCTION("""COMPUTED_VALUE"""),"2210")</f>
        <v>2210</v>
      </c>
      <c r="J279" s="108" t="str">
        <f>IFERROR(__xludf.DUMMYFUNCTION("""COMPUTED_VALUE"""),"03:00 PM to 05:00 PM")</f>
        <v>03:00 PM to 05:00 PM</v>
      </c>
      <c r="K279" s="103">
        <f>IFERROR(__xludf.DUMMYFUNCTION("""COMPUTED_VALUE"""),46148.0)</f>
        <v>46148</v>
      </c>
      <c r="L279" s="65" t="str">
        <f>IFERROR(__xludf.DUMMYFUNCTION("""COMPUTED_VALUE""")," ")</f>
        <v> </v>
      </c>
      <c r="M279" s="65"/>
      <c r="N279" s="65"/>
    </row>
    <row r="280">
      <c r="A280" s="99" t="str">
        <f>IFERROR(__xludf.DUMMYFUNCTION("""COMPUTED_VALUE"""),"https://utrucking.com/admin/orders/6407028244668")</f>
        <v>https://utrucking.com/admin/orders/6407028244668</v>
      </c>
      <c r="B280" s="61" t="str">
        <f>IFERROR(__xludf.DUMMYFUNCTION("""COMPUTED_VALUE"""),"#17333")</f>
        <v>#17333</v>
      </c>
      <c r="C280" s="61" t="str">
        <f>IFERROR(__xludf.DUMMYFUNCTION("""COMPUTED_VALUE"""),"a.l.yoon@wustl.edu")</f>
        <v>a.l.yoon@wustl.edu</v>
      </c>
      <c r="D280" s="61">
        <f>IFERROR(__xludf.DUMMYFUNCTION("""COMPUTED_VALUE"""),3.14537675E9)</f>
        <v>3145376750</v>
      </c>
      <c r="E280" s="61" t="str">
        <f>IFERROR(__xludf.DUMMYFUNCTION("""COMPUTED_VALUE"""),"Ashley Yoon")</f>
        <v>Ashley Yoon</v>
      </c>
      <c r="F280" s="61" t="str">
        <f>IFERROR(__xludf.DUMMYFUNCTION("""COMPUTED_VALUE"""),"Ashley Yoon")</f>
        <v>Ashley Yoon</v>
      </c>
      <c r="G280" s="61" t="str">
        <f>IFERROR(__xludf.DUMMYFUNCTION("""COMPUTED_VALUE""")," 1 [Included with Registration] / Included Insurance   - ")</f>
        <v> 1 [Included with Registration] / Included Insurance   - </v>
      </c>
      <c r="H280" s="61" t="str">
        <f>IFERROR(__xludf.DUMMYFUNCTION("""COMPUTED_VALUE"""),"Gregg  ")</f>
        <v>Gregg  </v>
      </c>
      <c r="I280" s="61" t="str">
        <f>IFERROR(__xludf.DUMMYFUNCTION("""COMPUTED_VALUE"""),"3073-a")</f>
        <v>3073-a</v>
      </c>
      <c r="J280" s="107" t="str">
        <f>IFERROR(__xludf.DUMMYFUNCTION("""COMPUTED_VALUE"""),"09:00 AM to 11:00 AM  ")</f>
        <v>09:00 AM to 11:00 AM  </v>
      </c>
      <c r="K280" s="100">
        <f>IFERROR(__xludf.DUMMYFUNCTION("""COMPUTED_VALUE"""),46150.0)</f>
        <v>46150</v>
      </c>
      <c r="L280" s="61" t="str">
        <f>IFERROR(__xludf.DUMMYFUNCTION("""COMPUTED_VALUE""")," ")</f>
        <v> </v>
      </c>
      <c r="M280" s="61"/>
      <c r="N280" s="61"/>
    </row>
    <row r="281">
      <c r="A281" s="102" t="str">
        <f>IFERROR(__xludf.DUMMYFUNCTION("""COMPUTED_VALUE"""),"https://utrucking.com/admin/orders/6407057539260")</f>
        <v>https://utrucking.com/admin/orders/6407057539260</v>
      </c>
      <c r="B281" s="65" t="str">
        <f>IFERROR(__xludf.DUMMYFUNCTION("""COMPUTED_VALUE"""),"#17334")</f>
        <v>#17334</v>
      </c>
      <c r="C281" s="65" t="str">
        <f>IFERROR(__xludf.DUMMYFUNCTION("""COMPUTED_VALUE"""),"l.seoyeong@wustl.edu")</f>
        <v>l.seoyeong@wustl.edu</v>
      </c>
      <c r="D281" s="65">
        <f>IFERROR(__xludf.DUMMYFUNCTION("""COMPUTED_VALUE"""),6.503097068E9)</f>
        <v>6503097068</v>
      </c>
      <c r="E281" s="65" t="str">
        <f>IFERROR(__xludf.DUMMYFUNCTION("""COMPUTED_VALUE"""),"Seoyeong Lee")</f>
        <v>Seoyeong Lee</v>
      </c>
      <c r="F281" s="65" t="str">
        <f>IFERROR(__xludf.DUMMYFUNCTION("""COMPUTED_VALUE"""),"Seoyeong Lee")</f>
        <v>Seoyeong Lee</v>
      </c>
      <c r="G281" s="65" t="str">
        <f>IFERROR(__xludf.DUMMYFUNCTION("""COMPUTED_VALUE""")," 1 [Included with Registration] / Included Insurance   - ")</f>
        <v> 1 [Included with Registration] / Included Insurance   - </v>
      </c>
      <c r="H281" s="65" t="str">
        <f>IFERROR(__xludf.DUMMYFUNCTION("""COMPUTED_VALUE"""),"Lee  ")</f>
        <v>Lee  </v>
      </c>
      <c r="I281" s="65" t="str">
        <f>IFERROR(__xludf.DUMMYFUNCTION("""COMPUTED_VALUE"""),"311")</f>
        <v>311</v>
      </c>
      <c r="J281" s="108" t="str">
        <f>IFERROR(__xludf.DUMMYFUNCTION("""COMPUTED_VALUE"""),"11:00 AM to 01:00 PM  ")</f>
        <v>11:00 AM to 01:00 PM  </v>
      </c>
      <c r="K281" s="103">
        <f>IFERROR(__xludf.DUMMYFUNCTION("""COMPUTED_VALUE"""),46144.0)</f>
        <v>46144</v>
      </c>
      <c r="L281" s="65" t="str">
        <f>IFERROR(__xludf.DUMMYFUNCTION("""COMPUTED_VALUE""")," ")</f>
        <v> </v>
      </c>
      <c r="M281" s="65"/>
      <c r="N281" s="65"/>
    </row>
    <row r="282">
      <c r="A282" s="99" t="str">
        <f>IFERROR(__xludf.DUMMYFUNCTION("""COMPUTED_VALUE"""),"https://utrucking.com/admin/orders/6407075528892")</f>
        <v>https://utrucking.com/admin/orders/6407075528892</v>
      </c>
      <c r="B282" s="61" t="str">
        <f>IFERROR(__xludf.DUMMYFUNCTION("""COMPUTED_VALUE"""),"#17335")</f>
        <v>#17335</v>
      </c>
      <c r="C282" s="61" t="str">
        <f>IFERROR(__xludf.DUMMYFUNCTION("""COMPUTED_VALUE"""),"dulcecastillopb@gmail.com")</f>
        <v>dulcecastillopb@gmail.com</v>
      </c>
      <c r="D282" s="61">
        <f>IFERROR(__xludf.DUMMYFUNCTION("""COMPUTED_VALUE"""),6.504395227E9)</f>
        <v>6504395227</v>
      </c>
      <c r="E282" s="61" t="str">
        <f>IFERROR(__xludf.DUMMYFUNCTION("""COMPUTED_VALUE"""),"Dulce Castillo")</f>
        <v>Dulce Castillo</v>
      </c>
      <c r="F282" s="61" t="str">
        <f>IFERROR(__xludf.DUMMYFUNCTION("""COMPUTED_VALUE"""),"Ruby Castillo")</f>
        <v>Ruby Castillo</v>
      </c>
      <c r="G282" s="61" t="str">
        <f>IFERROR(__xludf.DUMMYFUNCTION("""COMPUTED_VALUE""")," 1 [Included with Registration] / Included Insurance   - ")</f>
        <v> 1 [Included with Registration] / Included Insurance   - </v>
      </c>
      <c r="H282" s="61" t="str">
        <f>IFERROR(__xludf.DUMMYFUNCTION("""COMPUTED_VALUE"""),"Danforth  ")</f>
        <v>Danforth  </v>
      </c>
      <c r="I282" s="61" t="str">
        <f>IFERROR(__xludf.DUMMYFUNCTION("""COMPUTED_VALUE"""),"3315")</f>
        <v>3315</v>
      </c>
      <c r="J282" s="107" t="str">
        <f>IFERROR(__xludf.DUMMYFUNCTION("""COMPUTED_VALUE"""),"09:00 AM to 11:00 AM  ")</f>
        <v>09:00 AM to 11:00 AM  </v>
      </c>
      <c r="K282" s="100">
        <f>IFERROR(__xludf.DUMMYFUNCTION("""COMPUTED_VALUE"""),46146.0)</f>
        <v>46146</v>
      </c>
      <c r="L282" s="61" t="str">
        <f>IFERROR(__xludf.DUMMYFUNCTION("""COMPUTED_VALUE""")," ")</f>
        <v> </v>
      </c>
      <c r="M282" s="61"/>
      <c r="N282" s="61"/>
    </row>
    <row r="283">
      <c r="A283" s="102" t="str">
        <f>IFERROR(__xludf.DUMMYFUNCTION("""COMPUTED_VALUE"""),"https://utrucking.com/admin/orders/6407094993084")</f>
        <v>https://utrucking.com/admin/orders/6407094993084</v>
      </c>
      <c r="B283" s="65" t="str">
        <f>IFERROR(__xludf.DUMMYFUNCTION("""COMPUTED_VALUE"""),"#17336")</f>
        <v>#17336</v>
      </c>
      <c r="C283" s="65" t="str">
        <f>IFERROR(__xludf.DUMMYFUNCTION("""COMPUTED_VALUE"""),"kbwilson24@comcast.net")</f>
        <v>kbwilson24@comcast.net</v>
      </c>
      <c r="D283" s="65">
        <f>IFERROR(__xludf.DUMMYFUNCTION("""COMPUTED_VALUE"""),8.476918994E9)</f>
        <v>8476918994</v>
      </c>
      <c r="E283" s="65" t="str">
        <f>IFERROR(__xludf.DUMMYFUNCTION("""COMPUTED_VALUE"""),"Karen Wilson")</f>
        <v>Karen Wilson</v>
      </c>
      <c r="F283" s="65" t="str">
        <f>IFERROR(__xludf.DUMMYFUNCTION("""COMPUTED_VALUE"""),"Grant Wilson")</f>
        <v>Grant Wilson</v>
      </c>
      <c r="G283" s="65" t="str">
        <f>IFERROR(__xludf.DUMMYFUNCTION("""COMPUTED_VALUE""")," 1 [Included with Registration] / Included Insurance   - ")</f>
        <v> 1 [Included with Registration] / Included Insurance   - </v>
      </c>
      <c r="H283" s="65" t="str">
        <f>IFERROR(__xludf.DUMMYFUNCTION("""COMPUTED_VALUE"""),"Lee  ")</f>
        <v>Lee  </v>
      </c>
      <c r="I283" s="65" t="str">
        <f>IFERROR(__xludf.DUMMYFUNCTION("""COMPUTED_VALUE"""),"222")</f>
        <v>222</v>
      </c>
      <c r="J283" s="108" t="str">
        <f>IFERROR(__xludf.DUMMYFUNCTION("""COMPUTED_VALUE"""),"03:00 PM to 05:00 PM")</f>
        <v>03:00 PM to 05:00 PM</v>
      </c>
      <c r="K283" s="103">
        <f>IFERROR(__xludf.DUMMYFUNCTION("""COMPUTED_VALUE"""),46144.0)</f>
        <v>46144</v>
      </c>
      <c r="L283" s="65" t="str">
        <f>IFERROR(__xludf.DUMMYFUNCTION("""COMPUTED_VALUE""")," ")</f>
        <v> </v>
      </c>
      <c r="M283" s="65"/>
      <c r="N283" s="65"/>
    </row>
    <row r="284">
      <c r="A284" s="99" t="str">
        <f>IFERROR(__xludf.DUMMYFUNCTION("""COMPUTED_VALUE"""),"https://utrucking.com/admin/orders/6407106363580")</f>
        <v>https://utrucking.com/admin/orders/6407106363580</v>
      </c>
      <c r="B284" s="61" t="str">
        <f>IFERROR(__xludf.DUMMYFUNCTION("""COMPUTED_VALUE"""),"#17337")</f>
        <v>#17337</v>
      </c>
      <c r="C284" s="61" t="str">
        <f>IFERROR(__xludf.DUMMYFUNCTION("""COMPUTED_VALUE"""),"anushkas@wustl.edu")</f>
        <v>anushkas@wustl.edu</v>
      </c>
      <c r="D284" s="61">
        <f>IFERROR(__xludf.DUMMYFUNCTION("""COMPUTED_VALUE"""),3.142671228E9)</f>
        <v>3142671228</v>
      </c>
      <c r="E284" s="61" t="str">
        <f>IFERROR(__xludf.DUMMYFUNCTION("""COMPUTED_VALUE"""),"Ashni Sonawala")</f>
        <v>Ashni Sonawala</v>
      </c>
      <c r="F284" s="61" t="str">
        <f>IFERROR(__xludf.DUMMYFUNCTION("""COMPUTED_VALUE"""),"Anushka Sonawala")</f>
        <v>Anushka Sonawala</v>
      </c>
      <c r="G284" s="61" t="str">
        <f>IFERROR(__xludf.DUMMYFUNCTION("""COMPUTED_VALUE""")," 1 [Included with Registration] / Included Insurance   - ")</f>
        <v> 1 [Included with Registration] / Included Insurance   - </v>
      </c>
      <c r="H284" s="61" t="str">
        <f>IFERROR(__xludf.DUMMYFUNCTION("""COMPUTED_VALUE"""),"Lee  ")</f>
        <v>Lee  </v>
      </c>
      <c r="I284" s="61" t="str">
        <f>IFERROR(__xludf.DUMMYFUNCTION("""COMPUTED_VALUE"""),"209")</f>
        <v>209</v>
      </c>
      <c r="J284" s="107" t="str">
        <f>IFERROR(__xludf.DUMMYFUNCTION("""COMPUTED_VALUE"""),"03:00 PM to 05:00 PM")</f>
        <v>03:00 PM to 05:00 PM</v>
      </c>
      <c r="K284" s="100">
        <f>IFERROR(__xludf.DUMMYFUNCTION("""COMPUTED_VALUE"""),46149.0)</f>
        <v>46149</v>
      </c>
      <c r="L284" s="61" t="str">
        <f>IFERROR(__xludf.DUMMYFUNCTION("""COMPUTED_VALUE""")," ")</f>
        <v> </v>
      </c>
      <c r="M284" s="61"/>
      <c r="N284" s="61"/>
    </row>
    <row r="285">
      <c r="A285" s="102" t="str">
        <f>IFERROR(__xludf.DUMMYFUNCTION("""COMPUTED_VALUE"""),"https://utrucking.com/admin/orders/6407184711868")</f>
        <v>https://utrucking.com/admin/orders/6407184711868</v>
      </c>
      <c r="B285" s="65" t="str">
        <f>IFERROR(__xludf.DUMMYFUNCTION("""COMPUTED_VALUE"""),"#17338")</f>
        <v>#17338</v>
      </c>
      <c r="C285" s="65" t="str">
        <f>IFERROR(__xludf.DUMMYFUNCTION("""COMPUTED_VALUE"""),"kay.z@wustl.edu")</f>
        <v>kay.z@wustl.edu</v>
      </c>
      <c r="D285" s="65">
        <f>IFERROR(__xludf.DUMMYFUNCTION("""COMPUTED_VALUE"""),9.173317745E9)</f>
        <v>9173317745</v>
      </c>
      <c r="E285" s="65" t="str">
        <f>IFERROR(__xludf.DUMMYFUNCTION("""COMPUTED_VALUE"""),"Kay Zachary")</f>
        <v>Kay Zachary</v>
      </c>
      <c r="F285" s="65" t="str">
        <f>IFERROR(__xludf.DUMMYFUNCTION("""COMPUTED_VALUE"""),"Kay Zachary")</f>
        <v>Kay Zachary</v>
      </c>
      <c r="G285" s="65" t="str">
        <f>IFERROR(__xludf.DUMMYFUNCTION("""COMPUTED_VALUE""")," 1 [Included with Registration] / Included Insurance   - ")</f>
        <v> 1 [Included with Registration] / Included Insurance   - </v>
      </c>
      <c r="H285" s="65" t="str">
        <f>IFERROR(__xludf.DUMMYFUNCTION("""COMPUTED_VALUE"""),"Umrath  ")</f>
        <v>Umrath  </v>
      </c>
      <c r="I285" s="65" t="str">
        <f>IFERROR(__xludf.DUMMYFUNCTION("""COMPUTED_VALUE"""),"2233")</f>
        <v>2233</v>
      </c>
      <c r="J285" s="108" t="str">
        <f>IFERROR(__xludf.DUMMYFUNCTION("""COMPUTED_VALUE"""),"09:00 AM to 11:00 AM  ")</f>
        <v>09:00 AM to 11:00 AM  </v>
      </c>
      <c r="K285" s="103">
        <f>IFERROR(__xludf.DUMMYFUNCTION("""COMPUTED_VALUE"""),46150.0)</f>
        <v>46150</v>
      </c>
      <c r="L285" s="65" t="str">
        <f>IFERROR(__xludf.DUMMYFUNCTION("""COMPUTED_VALUE""")," ")</f>
        <v> </v>
      </c>
      <c r="M285" s="65"/>
      <c r="N285" s="65"/>
    </row>
    <row r="286">
      <c r="A286" s="99" t="str">
        <f>IFERROR(__xludf.DUMMYFUNCTION("""COMPUTED_VALUE"""),"https://utrucking.com/admin/orders/6407207125180")</f>
        <v>https://utrucking.com/admin/orders/6407207125180</v>
      </c>
      <c r="B286" s="61" t="str">
        <f>IFERROR(__xludf.DUMMYFUNCTION("""COMPUTED_VALUE"""),"#17339")</f>
        <v>#17339</v>
      </c>
      <c r="C286" s="61"/>
      <c r="D286" s="61">
        <f>IFERROR(__xludf.DUMMYFUNCTION("""COMPUTED_VALUE"""),2.167779895E9)</f>
        <v>2167779895</v>
      </c>
      <c r="E286" s="61" t="str">
        <f>IFERROR(__xludf.DUMMYFUNCTION("""COMPUTED_VALUE"""),"Anya Mathur")</f>
        <v>Anya Mathur</v>
      </c>
      <c r="F286" s="61" t="str">
        <f>IFERROR(__xludf.DUMMYFUNCTION("""COMPUTED_VALUE"""),"Anya Mathur")</f>
        <v>Anya Mathur</v>
      </c>
      <c r="G286" s="61" t="str">
        <f>IFERROR(__xludf.DUMMYFUNCTION("""COMPUTED_VALUE""")," 1 [Included with Registration] / Included Insurance   - ")</f>
        <v> 1 [Included with Registration] / Included Insurance   - </v>
      </c>
      <c r="H286" s="61" t="str">
        <f>IFERROR(__xludf.DUMMYFUNCTION("""COMPUTED_VALUE"""),"Nemerov  ")</f>
        <v>Nemerov  </v>
      </c>
      <c r="I286" s="61" t="str">
        <f>IFERROR(__xludf.DUMMYFUNCTION("""COMPUTED_VALUE"""),"4110")</f>
        <v>4110</v>
      </c>
      <c r="J286" s="107" t="str">
        <f>IFERROR(__xludf.DUMMYFUNCTION("""COMPUTED_VALUE"""),"03:00 PM to 05:00 PM")</f>
        <v>03:00 PM to 05:00 PM</v>
      </c>
      <c r="K286" s="100">
        <f>IFERROR(__xludf.DUMMYFUNCTION("""COMPUTED_VALUE"""),46149.0)</f>
        <v>46149</v>
      </c>
      <c r="L286" s="61" t="str">
        <f>IFERROR(__xludf.DUMMYFUNCTION("""COMPUTED_VALUE""")," ")</f>
        <v> </v>
      </c>
      <c r="M286" s="61"/>
      <c r="N286" s="61"/>
    </row>
    <row r="287">
      <c r="A287" s="102" t="str">
        <f>IFERROR(__xludf.DUMMYFUNCTION("""COMPUTED_VALUE"""),"https://utrucking.com/admin/orders/6407268106428")</f>
        <v>https://utrucking.com/admin/orders/6407268106428</v>
      </c>
      <c r="B287" s="65" t="str">
        <f>IFERROR(__xludf.DUMMYFUNCTION("""COMPUTED_VALUE"""),"#17340")</f>
        <v>#17340</v>
      </c>
      <c r="C287" s="65"/>
      <c r="D287" s="65">
        <f>IFERROR(__xludf.DUMMYFUNCTION("""COMPUTED_VALUE"""),8.062399265E9)</f>
        <v>8062399265</v>
      </c>
      <c r="E287" s="65" t="str">
        <f>IFERROR(__xludf.DUMMYFUNCTION("""COMPUTED_VALUE"""),"Emily Shin")</f>
        <v>Emily Shin</v>
      </c>
      <c r="F287" s="65" t="str">
        <f>IFERROR(__xludf.DUMMYFUNCTION("""COMPUTED_VALUE"""),"Emily Shin")</f>
        <v>Emily Shin</v>
      </c>
      <c r="G287" s="65" t="str">
        <f>IFERROR(__xludf.DUMMYFUNCTION("""COMPUTED_VALUE""")," 1 [Included with Registration] / Included Insurance   - ")</f>
        <v> 1 [Included with Registration] / Included Insurance   - </v>
      </c>
      <c r="H287" s="65" t="str">
        <f>IFERROR(__xludf.DUMMYFUNCTION("""COMPUTED_VALUE"""),"Mudd  ")</f>
        <v>Mudd  </v>
      </c>
      <c r="I287" s="65" t="str">
        <f>IFERROR(__xludf.DUMMYFUNCTION("""COMPUTED_VALUE"""),"231")</f>
        <v>231</v>
      </c>
      <c r="J287" s="108" t="str">
        <f>IFERROR(__xludf.DUMMYFUNCTION("""COMPUTED_VALUE"""),"02:00 PM to 04:00 PM")</f>
        <v>02:00 PM to 04:00 PM</v>
      </c>
      <c r="K287" s="103">
        <f>IFERROR(__xludf.DUMMYFUNCTION("""COMPUTED_VALUE"""),46148.0)</f>
        <v>46148</v>
      </c>
      <c r="L287" s="65" t="str">
        <f>IFERROR(__xludf.DUMMYFUNCTION("""COMPUTED_VALUE""")," ")</f>
        <v> </v>
      </c>
      <c r="M287" s="65"/>
      <c r="N287" s="65"/>
    </row>
    <row r="288">
      <c r="A288" s="99" t="str">
        <f>IFERROR(__xludf.DUMMYFUNCTION("""COMPUTED_VALUE"""),"https://utrucking.com/admin/orders/6407268335804")</f>
        <v>https://utrucking.com/admin/orders/6407268335804</v>
      </c>
      <c r="B288" s="61" t="str">
        <f>IFERROR(__xludf.DUMMYFUNCTION("""COMPUTED_VALUE"""),"#17341")</f>
        <v>#17341</v>
      </c>
      <c r="C288" s="61" t="str">
        <f>IFERROR(__xludf.DUMMYFUNCTION("""COMPUTED_VALUE"""),"jackieisaacson@icloud.com")</f>
        <v>jackieisaacson@icloud.com</v>
      </c>
      <c r="D288" s="61">
        <f>IFERROR(__xludf.DUMMYFUNCTION("""COMPUTED_VALUE"""),9.179727858E9)</f>
        <v>9179727858</v>
      </c>
      <c r="E288" s="61" t="str">
        <f>IFERROR(__xludf.DUMMYFUNCTION("""COMPUTED_VALUE"""),"Benjamin Isaacson")</f>
        <v>Benjamin Isaacson</v>
      </c>
      <c r="F288" s="61" t="str">
        <f>IFERROR(__xludf.DUMMYFUNCTION("""COMPUTED_VALUE"""),"Jacqueline Isaacson")</f>
        <v>Jacqueline Isaacson</v>
      </c>
      <c r="G288" s="61" t="str">
        <f>IFERROR(__xludf.DUMMYFUNCTION("""COMPUTED_VALUE""")," 1 [Included with Registration] / Included Insurance   - ")</f>
        <v> 1 [Included with Registration] / Included Insurance   - </v>
      </c>
      <c r="H288" s="61" t="str">
        <f>IFERROR(__xludf.DUMMYFUNCTION("""COMPUTED_VALUE"""),"Millbrook Bldg. 4  ")</f>
        <v>Millbrook Bldg. 4  </v>
      </c>
      <c r="I288" s="61" t="str">
        <f>IFERROR(__xludf.DUMMYFUNCTION("""COMPUTED_VALUE"""),"103")</f>
        <v>103</v>
      </c>
      <c r="J288" s="107" t="str">
        <f>IFERROR(__xludf.DUMMYFUNCTION("""COMPUTED_VALUE"""),"10:00 AM to 12:00 PM  ")</f>
        <v>10:00 AM to 12:00 PM  </v>
      </c>
      <c r="K288" s="100">
        <f>IFERROR(__xludf.DUMMYFUNCTION("""COMPUTED_VALUE"""),46148.0)</f>
        <v>46148</v>
      </c>
      <c r="L288" s="61" t="str">
        <f>IFERROR(__xludf.DUMMYFUNCTION("""COMPUTED_VALUE""")," ")</f>
        <v> </v>
      </c>
      <c r="M288" s="61"/>
      <c r="N288" s="61"/>
    </row>
    <row r="289">
      <c r="A289" s="102" t="str">
        <f>IFERROR(__xludf.DUMMYFUNCTION("""COMPUTED_VALUE"""),"https://utrucking.com/admin/orders/6407337148604")</f>
        <v>https://utrucking.com/admin/orders/6407337148604</v>
      </c>
      <c r="B289" s="65" t="str">
        <f>IFERROR(__xludf.DUMMYFUNCTION("""COMPUTED_VALUE"""),"#17342")</f>
        <v>#17342</v>
      </c>
      <c r="C289" s="65"/>
      <c r="D289" s="65">
        <f>IFERROR(__xludf.DUMMYFUNCTION("""COMPUTED_VALUE"""),3.142020471E9)</f>
        <v>3142020471</v>
      </c>
      <c r="E289" s="65" t="str">
        <f>IFERROR(__xludf.DUMMYFUNCTION("""COMPUTED_VALUE"""),"Arushi Goyal")</f>
        <v>Arushi Goyal</v>
      </c>
      <c r="F289" s="65" t="str">
        <f>IFERROR(__xludf.DUMMYFUNCTION("""COMPUTED_VALUE"""),"Arushi ")</f>
        <v>Arushi </v>
      </c>
      <c r="G289" s="65" t="str">
        <f>IFERROR(__xludf.DUMMYFUNCTION("""COMPUTED_VALUE""")," 1 [Included with Registration] / Included Insurance   - ")</f>
        <v> 1 [Included with Registration] / Included Insurance   - </v>
      </c>
      <c r="H289" s="65" t="str">
        <f>IFERROR(__xludf.DUMMYFUNCTION("""COMPUTED_VALUE"""),"Park  ")</f>
        <v>Park  </v>
      </c>
      <c r="I289" s="65" t="str">
        <f>IFERROR(__xludf.DUMMYFUNCTION("""COMPUTED_VALUE"""),"171")</f>
        <v>171</v>
      </c>
      <c r="J289" s="108" t="str">
        <f>IFERROR(__xludf.DUMMYFUNCTION("""COMPUTED_VALUE"""),"09:00 AM to 11:00 AM  ")</f>
        <v>09:00 AM to 11:00 AM  </v>
      </c>
      <c r="K289" s="103">
        <f>IFERROR(__xludf.DUMMYFUNCTION("""COMPUTED_VALUE"""),46149.0)</f>
        <v>46149</v>
      </c>
      <c r="L289" s="65" t="str">
        <f>IFERROR(__xludf.DUMMYFUNCTION("""COMPUTED_VALUE""")," ")</f>
        <v> </v>
      </c>
      <c r="M289" s="65"/>
      <c r="N289" s="65"/>
    </row>
    <row r="290">
      <c r="A290" s="99" t="str">
        <f>IFERROR(__xludf.DUMMYFUNCTION("""COMPUTED_VALUE"""),"https://utrucking.com/admin/orders/6407473758396")</f>
        <v>https://utrucking.com/admin/orders/6407473758396</v>
      </c>
      <c r="B290" s="61" t="str">
        <f>IFERROR(__xludf.DUMMYFUNCTION("""COMPUTED_VALUE"""),"#17345")</f>
        <v>#17345</v>
      </c>
      <c r="C290" s="61" t="str">
        <f>IFERROR(__xludf.DUMMYFUNCTION("""COMPUTED_VALUE"""),"dtolaw@yahoo.com")</f>
        <v>dtolaw@yahoo.com</v>
      </c>
      <c r="D290" s="61">
        <f>IFERROR(__xludf.DUMMYFUNCTION("""COMPUTED_VALUE"""),2.157964125E9)</f>
        <v>2157964125</v>
      </c>
      <c r="E290" s="61" t="str">
        <f>IFERROR(__xludf.DUMMYFUNCTION("""COMPUTED_VALUE"""),"Douglas T. Ominsky")</f>
        <v>Douglas T. Ominsky</v>
      </c>
      <c r="F290" s="61" t="str">
        <f>IFERROR(__xludf.DUMMYFUNCTION("""COMPUTED_VALUE"""),"Avery Ominsky")</f>
        <v>Avery Ominsky</v>
      </c>
      <c r="G290" s="61" t="str">
        <f>IFERROR(__xludf.DUMMYFUNCTION("""COMPUTED_VALUE""")," 1 [Included with Registration] / Included Insurance   - ")</f>
        <v> 1 [Included with Registration] / Included Insurance   - </v>
      </c>
      <c r="H290" s="61" t="str">
        <f>IFERROR(__xludf.DUMMYFUNCTION("""COMPUTED_VALUE"""),"Lopata  ")</f>
        <v>Lopata  </v>
      </c>
      <c r="I290" s="61" t="str">
        <f>IFERROR(__xludf.DUMMYFUNCTION("""COMPUTED_VALUE"""),"1114")</f>
        <v>1114</v>
      </c>
      <c r="J290" s="107" t="str">
        <f>IFERROR(__xludf.DUMMYFUNCTION("""COMPUTED_VALUE"""),"09:00 AM to 11:00 AM  ")</f>
        <v>09:00 AM to 11:00 AM  </v>
      </c>
      <c r="K290" s="100">
        <f>IFERROR(__xludf.DUMMYFUNCTION("""COMPUTED_VALUE"""),46149.0)</f>
        <v>46149</v>
      </c>
      <c r="L290" s="61" t="str">
        <f>IFERROR(__xludf.DUMMYFUNCTION("""COMPUTED_VALUE""")," ")</f>
        <v> </v>
      </c>
      <c r="M290" s="61"/>
      <c r="N290" s="61"/>
    </row>
    <row r="291">
      <c r="A291" s="102" t="str">
        <f>IFERROR(__xludf.DUMMYFUNCTION("""COMPUTED_VALUE"""),"https://utrucking.com/admin/orders/6407566164156")</f>
        <v>https://utrucking.com/admin/orders/6407566164156</v>
      </c>
      <c r="B291" s="65" t="str">
        <f>IFERROR(__xludf.DUMMYFUNCTION("""COMPUTED_VALUE"""),"#17346")</f>
        <v>#17346</v>
      </c>
      <c r="C291" s="65" t="str">
        <f>IFERROR(__xludf.DUMMYFUNCTION("""COMPUTED_VALUE"""),"Emiruthnewman@gmail.com")</f>
        <v>Emiruthnewman@gmail.com</v>
      </c>
      <c r="D291" s="65">
        <f>IFERROR(__xludf.DUMMYFUNCTION("""COMPUTED_VALUE"""),9.179915326E9)</f>
        <v>9179915326</v>
      </c>
      <c r="E291" s="65" t="str">
        <f>IFERROR(__xludf.DUMMYFUNCTION("""COMPUTED_VALUE"""),"Emi Newman")</f>
        <v>Emi Newman</v>
      </c>
      <c r="F291" s="65" t="str">
        <f>IFERROR(__xludf.DUMMYFUNCTION("""COMPUTED_VALUE"""),"Emi Newman")</f>
        <v>Emi Newman</v>
      </c>
      <c r="G291" s="65" t="str">
        <f>IFERROR(__xludf.DUMMYFUNCTION("""COMPUTED_VALUE""")," 1 [Included with Registration] / Included Insurance   - ")</f>
        <v> 1 [Included with Registration] / Included Insurance   - </v>
      </c>
      <c r="H291" s="65" t="str">
        <f>IFERROR(__xludf.DUMMYFUNCTION("""COMPUTED_VALUE"""),"Lopata  ")</f>
        <v>Lopata  </v>
      </c>
      <c r="I291" s="65" t="str">
        <f>IFERROR(__xludf.DUMMYFUNCTION("""COMPUTED_VALUE"""),"3023")</f>
        <v>3023</v>
      </c>
      <c r="J291" s="108" t="str">
        <f>IFERROR(__xludf.DUMMYFUNCTION("""COMPUTED_VALUE"""),"03:00 PM to 05:00 PM")</f>
        <v>03:00 PM to 05:00 PM</v>
      </c>
      <c r="K291" s="103">
        <f>IFERROR(__xludf.DUMMYFUNCTION("""COMPUTED_VALUE"""),46148.0)</f>
        <v>46148</v>
      </c>
      <c r="L291" s="65" t="str">
        <f>IFERROR(__xludf.DUMMYFUNCTION("""COMPUTED_VALUE""")," ")</f>
        <v> </v>
      </c>
      <c r="M291" s="65"/>
      <c r="N291" s="65"/>
    </row>
    <row r="292">
      <c r="A292" s="99" t="str">
        <f>IFERROR(__xludf.DUMMYFUNCTION("""COMPUTED_VALUE"""),"https://utrucking.com/admin/orders/6407685603516")</f>
        <v>https://utrucking.com/admin/orders/6407685603516</v>
      </c>
      <c r="B292" s="61" t="str">
        <f>IFERROR(__xludf.DUMMYFUNCTION("""COMPUTED_VALUE"""),"#17347")</f>
        <v>#17347</v>
      </c>
      <c r="C292" s="61" t="str">
        <f>IFERROR(__xludf.DUMMYFUNCTION("""COMPUTED_VALUE"""),"baek.k@wustl.edu")</f>
        <v>baek.k@wustl.edu</v>
      </c>
      <c r="D292" s="61">
        <f>IFERROR(__xludf.DUMMYFUNCTION("""COMPUTED_VALUE"""),7.033093337E9)</f>
        <v>7033093337</v>
      </c>
      <c r="E292" s="61" t="str">
        <f>IFERROR(__xludf.DUMMYFUNCTION("""COMPUTED_VALUE"""),"Kaylee Baek")</f>
        <v>Kaylee Baek</v>
      </c>
      <c r="F292" s="61" t="str">
        <f>IFERROR(__xludf.DUMMYFUNCTION("""COMPUTED_VALUE"""),"Kaylee Baek")</f>
        <v>Kaylee Baek</v>
      </c>
      <c r="G292" s="61" t="str">
        <f>IFERROR(__xludf.DUMMYFUNCTION("""COMPUTED_VALUE""")," 2 / Included Insurance   - ")</f>
        <v> 2 / Included Insurance   - </v>
      </c>
      <c r="H292" s="61" t="str">
        <f>IFERROR(__xludf.DUMMYFUNCTION("""COMPUTED_VALUE"""),"Mudd  ")</f>
        <v>Mudd  </v>
      </c>
      <c r="I292" s="61" t="str">
        <f>IFERROR(__xludf.DUMMYFUNCTION("""COMPUTED_VALUE"""),"231")</f>
        <v>231</v>
      </c>
      <c r="J292" s="107" t="str">
        <f>IFERROR(__xludf.DUMMYFUNCTION("""COMPUTED_VALUE"""),"01:00 PM to 03:00 PM  ")</f>
        <v>01:00 PM to 03:00 PM  </v>
      </c>
      <c r="K292" s="100">
        <f>IFERROR(__xludf.DUMMYFUNCTION("""COMPUTED_VALUE"""),46148.0)</f>
        <v>46148</v>
      </c>
      <c r="L292" s="61" t="str">
        <f>IFERROR(__xludf.DUMMYFUNCTION("""COMPUTED_VALUE""")," ")</f>
        <v> </v>
      </c>
      <c r="M292" s="61"/>
      <c r="N292" s="61" t="str">
        <f>IFERROR(__xludf.DUMMYFUNCTION("""COMPUTED_VALUE"""),"I would need it moved into Village East by May 17th. I would need it moved out of Village East on July 25th. I would need it moved into Danforth House by August 2nd.")</f>
        <v>I would need it moved into Village East by May 17th. I would need it moved out of Village East on July 25th. I would need it moved into Danforth House by August 2nd.</v>
      </c>
    </row>
    <row r="293">
      <c r="A293" s="102" t="str">
        <f>IFERROR(__xludf.DUMMYFUNCTION("""COMPUTED_VALUE"""),"https://utrucking.com/admin/orders/6407810941116")</f>
        <v>https://utrucking.com/admin/orders/6407810941116</v>
      </c>
      <c r="B293" s="65" t="str">
        <f>IFERROR(__xludf.DUMMYFUNCTION("""COMPUTED_VALUE"""),"#17348")</f>
        <v>#17348</v>
      </c>
      <c r="C293" s="65" t="str">
        <f>IFERROR(__xludf.DUMMYFUNCTION("""COMPUTED_VALUE"""),"ellaocto@icloud.com")</f>
        <v>ellaocto@icloud.com</v>
      </c>
      <c r="D293" s="65">
        <f>IFERROR(__xludf.DUMMYFUNCTION("""COMPUTED_VALUE"""),5.054010255E9)</f>
        <v>5054010255</v>
      </c>
      <c r="E293" s="65" t="str">
        <f>IFERROR(__xludf.DUMMYFUNCTION("""COMPUTED_VALUE"""),"Francesca Garcia")</f>
        <v>Francesca Garcia</v>
      </c>
      <c r="F293" s="65" t="str">
        <f>IFERROR(__xludf.DUMMYFUNCTION("""COMPUTED_VALUE"""),"Gabriella Garcia")</f>
        <v>Gabriella Garcia</v>
      </c>
      <c r="G293" s="65" t="str">
        <f>IFERROR(__xludf.DUMMYFUNCTION("""COMPUTED_VALUE""")," 1 [Included with Registration] / Included Insurance   - ")</f>
        <v> 1 [Included with Registration] / Included Insurance   - </v>
      </c>
      <c r="H293" s="65" t="str">
        <f>IFERROR(__xludf.DUMMYFUNCTION("""COMPUTED_VALUE"""),"Eliot A (Thomas Eliot)")</f>
        <v>Eliot A (Thomas Eliot)</v>
      </c>
      <c r="I293" s="65" t="str">
        <f>IFERROR(__xludf.DUMMYFUNCTION("""COMPUTED_VALUE"""),"0203 - a")</f>
        <v>0203 - a</v>
      </c>
      <c r="J293" s="108" t="str">
        <f>IFERROR(__xludf.DUMMYFUNCTION("""COMPUTED_VALUE"""),"09:00 AM to 11:00 AM  ")</f>
        <v>09:00 AM to 11:00 AM  </v>
      </c>
      <c r="K293" s="103">
        <f>IFERROR(__xludf.DUMMYFUNCTION("""COMPUTED_VALUE"""),46149.0)</f>
        <v>46149</v>
      </c>
      <c r="L293" s="65" t="str">
        <f>IFERROR(__xludf.DUMMYFUNCTION("""COMPUTED_VALUE""")," ")</f>
        <v> </v>
      </c>
      <c r="M293" s="65"/>
      <c r="N293" s="65"/>
    </row>
    <row r="294">
      <c r="A294" s="99" t="str">
        <f>IFERROR(__xludf.DUMMYFUNCTION("""COMPUTED_VALUE"""),"https://utrucking.com/admin/orders/6407873986748")</f>
        <v>https://utrucking.com/admin/orders/6407873986748</v>
      </c>
      <c r="B294" s="61" t="str">
        <f>IFERROR(__xludf.DUMMYFUNCTION("""COMPUTED_VALUE"""),"#17349")</f>
        <v>#17349</v>
      </c>
      <c r="C294" s="61"/>
      <c r="D294" s="61">
        <f>IFERROR(__xludf.DUMMYFUNCTION("""COMPUTED_VALUE"""),3.054318757E9)</f>
        <v>3054318757</v>
      </c>
      <c r="E294" s="61" t="str">
        <f>IFERROR(__xludf.DUMMYFUNCTION("""COMPUTED_VALUE"""),"Casey Manno")</f>
        <v>Casey Manno</v>
      </c>
      <c r="F294" s="61" t="str">
        <f>IFERROR(__xludf.DUMMYFUNCTION("""COMPUTED_VALUE"""),"Casey Manno ")</f>
        <v>Casey Manno </v>
      </c>
      <c r="G294" s="61" t="str">
        <f>IFERROR(__xludf.DUMMYFUNCTION("""COMPUTED_VALUE""")," 1 [Included with Registration] / Included Insurance   - ")</f>
        <v> 1 [Included with Registration] / Included Insurance   - </v>
      </c>
      <c r="H294" s="61" t="str">
        <f>IFERROR(__xludf.DUMMYFUNCTION("""COMPUTED_VALUE"""),"Lien  ")</f>
        <v>Lien  </v>
      </c>
      <c r="I294" s="61" t="str">
        <f>IFERROR(__xludf.DUMMYFUNCTION("""COMPUTED_VALUE"""),"3330")</f>
        <v>3330</v>
      </c>
      <c r="J294" s="107" t="str">
        <f>IFERROR(__xludf.DUMMYFUNCTION("""COMPUTED_VALUE"""),"10:00 AM to 12:00 PM  ")</f>
        <v>10:00 AM to 12:00 PM  </v>
      </c>
      <c r="K294" s="100">
        <f>IFERROR(__xludf.DUMMYFUNCTION("""COMPUTED_VALUE"""),46146.0)</f>
        <v>46146</v>
      </c>
      <c r="L294" s="61" t="str">
        <f>IFERROR(__xludf.DUMMYFUNCTION("""COMPUTED_VALUE""")," ")</f>
        <v> </v>
      </c>
      <c r="M294" s="61"/>
      <c r="N294" s="61"/>
    </row>
    <row r="295">
      <c r="A295" s="102" t="str">
        <f>IFERROR(__xludf.DUMMYFUNCTION("""COMPUTED_VALUE"""),"https://utrucking.com/admin/orders/6407891026108")</f>
        <v>https://utrucking.com/admin/orders/6407891026108</v>
      </c>
      <c r="B295" s="65" t="str">
        <f>IFERROR(__xludf.DUMMYFUNCTION("""COMPUTED_VALUE"""),"#17350")</f>
        <v>#17350</v>
      </c>
      <c r="C295" s="65" t="str">
        <f>IFERROR(__xludf.DUMMYFUNCTION("""COMPUTED_VALUE"""),"drwat0928@aol.com")</f>
        <v>drwat0928@aol.com</v>
      </c>
      <c r="D295" s="65">
        <f>IFERROR(__xludf.DUMMYFUNCTION("""COMPUTED_VALUE"""),9.195618234E9)</f>
        <v>9195618234</v>
      </c>
      <c r="E295" s="65" t="str">
        <f>IFERROR(__xludf.DUMMYFUNCTION("""COMPUTED_VALUE"""),"Nicole Watkins")</f>
        <v>Nicole Watkins</v>
      </c>
      <c r="F295" s="65" t="str">
        <f>IFERROR(__xludf.DUMMYFUNCTION("""COMPUTED_VALUE"""),"Nena Tesinsky")</f>
        <v>Nena Tesinsky</v>
      </c>
      <c r="G295" s="65" t="str">
        <f>IFERROR(__xludf.DUMMYFUNCTION("""COMPUTED_VALUE""")," 0 / Included Insurance   - ")</f>
        <v> 0 / Included Insurance   - </v>
      </c>
      <c r="H295" s="65" t="str">
        <f>IFERROR(__xludf.DUMMYFUNCTION("""COMPUTED_VALUE"""),"Loop Loft 6300  ")</f>
        <v>Loop Loft 6300  </v>
      </c>
      <c r="I295" s="65" t="str">
        <f>IFERROR(__xludf.DUMMYFUNCTION("""COMPUTED_VALUE"""),"304C")</f>
        <v>304C</v>
      </c>
      <c r="J295" s="108" t="str">
        <f>IFERROR(__xludf.DUMMYFUNCTION("""COMPUTED_VALUE"""),"03:00 PM to 05:00 PM")</f>
        <v>03:00 PM to 05:00 PM</v>
      </c>
      <c r="K295" s="103">
        <f>IFERROR(__xludf.DUMMYFUNCTION("""COMPUTED_VALUE"""),46140.0)</f>
        <v>46140</v>
      </c>
      <c r="L295" s="65" t="str">
        <f>IFERROR(__xludf.DUMMYFUNCTION("""COMPUTED_VALUE""")," ")</f>
        <v> </v>
      </c>
      <c r="M295" s="65"/>
      <c r="N295" s="65"/>
    </row>
    <row r="296">
      <c r="A296" s="99" t="str">
        <f>IFERROR(__xludf.DUMMYFUNCTION("""COMPUTED_VALUE"""),"https://utrucking.com/admin/orders/6407919468732")</f>
        <v>https://utrucking.com/admin/orders/6407919468732</v>
      </c>
      <c r="B296" s="61" t="str">
        <f>IFERROR(__xludf.DUMMYFUNCTION("""COMPUTED_VALUE"""),"#17351")</f>
        <v>#17351</v>
      </c>
      <c r="C296" s="61" t="str">
        <f>IFERROR(__xludf.DUMMYFUNCTION("""COMPUTED_VALUE"""),"c.sohta@wustl.edu")</f>
        <v>c.sohta@wustl.edu</v>
      </c>
      <c r="D296" s="61">
        <f>IFERROR(__xludf.DUMMYFUNCTION("""COMPUTED_VALUE"""),2.014660281E9)</f>
        <v>2014660281</v>
      </c>
      <c r="E296" s="61" t="str">
        <f>IFERROR(__xludf.DUMMYFUNCTION("""COMPUTED_VALUE"""),"Sohta Cheung-Naito")</f>
        <v>Sohta Cheung-Naito</v>
      </c>
      <c r="F296" s="61" t="str">
        <f>IFERROR(__xludf.DUMMYFUNCTION("""COMPUTED_VALUE"""),"Sohta Cheung-Naito")</f>
        <v>Sohta Cheung-Naito</v>
      </c>
      <c r="G296" s="61" t="str">
        <f>IFERROR(__xludf.DUMMYFUNCTION("""COMPUTED_VALUE""")," 1 [Included with Registration] / Included Insurance   - ")</f>
        <v> 1 [Included with Registration] / Included Insurance   - </v>
      </c>
      <c r="H296" s="61" t="str">
        <f>IFERROR(__xludf.DUMMYFUNCTION("""COMPUTED_VALUE"""),"Koenig  ")</f>
        <v>Koenig  </v>
      </c>
      <c r="I296" s="61" t="str">
        <f>IFERROR(__xludf.DUMMYFUNCTION("""COMPUTED_VALUE"""),"1117")</f>
        <v>1117</v>
      </c>
      <c r="J296" s="107" t="str">
        <f>IFERROR(__xludf.DUMMYFUNCTION("""COMPUTED_VALUE"""),"02:00 PM to 04:00 PM")</f>
        <v>02:00 PM to 04:00 PM</v>
      </c>
      <c r="K296" s="100">
        <f>IFERROR(__xludf.DUMMYFUNCTION("""COMPUTED_VALUE"""),46148.0)</f>
        <v>46148</v>
      </c>
      <c r="L296" s="61" t="str">
        <f>IFERROR(__xludf.DUMMYFUNCTION("""COMPUTED_VALUE""")," ")</f>
        <v> </v>
      </c>
      <c r="M296" s="61"/>
      <c r="N296" s="61"/>
    </row>
    <row r="297">
      <c r="A297" s="102" t="str">
        <f>IFERROR(__xludf.DUMMYFUNCTION("""COMPUTED_VALUE"""),"https://utrucking.com/admin/orders/6407924908220")</f>
        <v>https://utrucking.com/admin/orders/6407924908220</v>
      </c>
      <c r="B297" s="65" t="str">
        <f>IFERROR(__xludf.DUMMYFUNCTION("""COMPUTED_VALUE"""),"#17352")</f>
        <v>#17352</v>
      </c>
      <c r="C297" s="65" t="str">
        <f>IFERROR(__xludf.DUMMYFUNCTION("""COMPUTED_VALUE"""),"genebelly19@gmail.com")</f>
        <v>genebelly19@gmail.com</v>
      </c>
      <c r="D297" s="65">
        <f>IFERROR(__xludf.DUMMYFUNCTION("""COMPUTED_VALUE"""),9.149549029E9)</f>
        <v>9149549029</v>
      </c>
      <c r="E297" s="65" t="str">
        <f>IFERROR(__xludf.DUMMYFUNCTION("""COMPUTED_VALUE"""),"Genebelle Mynn")</f>
        <v>Genebelle Mynn</v>
      </c>
      <c r="F297" s="65" t="str">
        <f>IFERROR(__xludf.DUMMYFUNCTION("""COMPUTED_VALUE"""),"Genebelle Mynn")</f>
        <v>Genebelle Mynn</v>
      </c>
      <c r="G297" s="65" t="str">
        <f>IFERROR(__xludf.DUMMYFUNCTION("""COMPUTED_VALUE""")," 2 / Included Insurance   - ")</f>
        <v> 2 / Included Insurance   - </v>
      </c>
      <c r="H297" s="65" t="str">
        <f>IFERROR(__xludf.DUMMYFUNCTION("""COMPUTED_VALUE"""),"Lien  ")</f>
        <v>Lien  </v>
      </c>
      <c r="I297" s="65" t="str">
        <f>IFERROR(__xludf.DUMMYFUNCTION("""COMPUTED_VALUE"""),"1115b")</f>
        <v>1115b</v>
      </c>
      <c r="J297" s="108" t="str">
        <f>IFERROR(__xludf.DUMMYFUNCTION("""COMPUTED_VALUE"""),"09:00 AM to 11:00 AM  ")</f>
        <v>09:00 AM to 11:00 AM  </v>
      </c>
      <c r="K297" s="103">
        <f>IFERROR(__xludf.DUMMYFUNCTION("""COMPUTED_VALUE"""),46148.0)</f>
        <v>46148</v>
      </c>
      <c r="L297" s="65" t="str">
        <f>IFERROR(__xludf.DUMMYFUNCTION("""COMPUTED_VALUE""")," ")</f>
        <v> </v>
      </c>
      <c r="M297" s="65"/>
      <c r="N297" s="65"/>
    </row>
    <row r="298">
      <c r="A298" s="99" t="str">
        <f>IFERROR(__xludf.DUMMYFUNCTION("""COMPUTED_VALUE"""),"https://utrucking.com/admin/orders/6408000078012")</f>
        <v>https://utrucking.com/admin/orders/6408000078012</v>
      </c>
      <c r="B298" s="61" t="str">
        <f>IFERROR(__xludf.DUMMYFUNCTION("""COMPUTED_VALUE"""),"#17353")</f>
        <v>#17353</v>
      </c>
      <c r="C298" s="61"/>
      <c r="D298" s="61">
        <f>IFERROR(__xludf.DUMMYFUNCTION("""COMPUTED_VALUE"""),9.179400929E9)</f>
        <v>9179400929</v>
      </c>
      <c r="E298" s="61" t="str">
        <f>IFERROR(__xludf.DUMMYFUNCTION("""COMPUTED_VALUE"""),"Caitlin Bui")</f>
        <v>Caitlin Bui</v>
      </c>
      <c r="F298" s="61" t="str">
        <f>IFERROR(__xludf.DUMMYFUNCTION("""COMPUTED_VALUE"""),"Caitlin Bui")</f>
        <v>Caitlin Bui</v>
      </c>
      <c r="G298" s="61" t="str">
        <f>IFERROR(__xludf.DUMMYFUNCTION("""COMPUTED_VALUE""")," 1 [Included with Registration] / Included Insurance   - ")</f>
        <v> 1 [Included with Registration] / Included Insurance   - </v>
      </c>
      <c r="H298" s="61" t="str">
        <f>IFERROR(__xludf.DUMMYFUNCTION("""COMPUTED_VALUE"""),"Mudd  ")</f>
        <v>Mudd  </v>
      </c>
      <c r="I298" s="61" t="str">
        <f>IFERROR(__xludf.DUMMYFUNCTION("""COMPUTED_VALUE"""),"232b")</f>
        <v>232b</v>
      </c>
      <c r="J298" s="107" t="str">
        <f>IFERROR(__xludf.DUMMYFUNCTION("""COMPUTED_VALUE"""),"09:00 AM to 11:00 AM  ")</f>
        <v>09:00 AM to 11:00 AM  </v>
      </c>
      <c r="K298" s="100">
        <f>IFERROR(__xludf.DUMMYFUNCTION("""COMPUTED_VALUE"""),46157.0)</f>
        <v>46157</v>
      </c>
      <c r="L298" s="61" t="str">
        <f>IFERROR(__xludf.DUMMYFUNCTION("""COMPUTED_VALUE""")," ")</f>
        <v> </v>
      </c>
      <c r="M298" s="61"/>
      <c r="N298" s="61"/>
    </row>
    <row r="299">
      <c r="A299" s="102" t="str">
        <f>IFERROR(__xludf.DUMMYFUNCTION("""COMPUTED_VALUE"""),"https://utrucking.com/admin/orders/6408074526908")</f>
        <v>https://utrucking.com/admin/orders/6408074526908</v>
      </c>
      <c r="B299" s="65" t="str">
        <f>IFERROR(__xludf.DUMMYFUNCTION("""COMPUTED_VALUE"""),"#17354")</f>
        <v>#17354</v>
      </c>
      <c r="C299" s="65" t="str">
        <f>IFERROR(__xludf.DUMMYFUNCTION("""COMPUTED_VALUE"""),"c.myles@wustl.edu")</f>
        <v>c.myles@wustl.edu</v>
      </c>
      <c r="D299" s="65">
        <f>IFERROR(__xludf.DUMMYFUNCTION("""COMPUTED_VALUE"""),7.733438085E9)</f>
        <v>7733438085</v>
      </c>
      <c r="E299" s="65" t="str">
        <f>IFERROR(__xludf.DUMMYFUNCTION("""COMPUTED_VALUE"""),"Angela Cobb")</f>
        <v>Angela Cobb</v>
      </c>
      <c r="F299" s="65" t="str">
        <f>IFERROR(__xludf.DUMMYFUNCTION("""COMPUTED_VALUE"""),"Myles")</f>
        <v>Myles</v>
      </c>
      <c r="G299" s="65" t="str">
        <f>IFERROR(__xludf.DUMMYFUNCTION("""COMPUTED_VALUE""")," 2 / $500 of Additional Coverage   - ")</f>
        <v> 2 / $500 of Additional Coverage   - </v>
      </c>
      <c r="H299" s="65" t="str">
        <f>IFERROR(__xludf.DUMMYFUNCTION("""COMPUTED_VALUE"""),"Nemerov  ")</f>
        <v>Nemerov  </v>
      </c>
      <c r="I299" s="65" t="str">
        <f>IFERROR(__xludf.DUMMYFUNCTION("""COMPUTED_VALUE"""),"4074-A")</f>
        <v>4074-A</v>
      </c>
      <c r="J299" s="108" t="str">
        <f>IFERROR(__xludf.DUMMYFUNCTION("""COMPUTED_VALUE"""),"09:00 AM to 11:00 AM  ")</f>
        <v>09:00 AM to 11:00 AM  </v>
      </c>
      <c r="K299" s="103">
        <f>IFERROR(__xludf.DUMMYFUNCTION("""COMPUTED_VALUE"""),46148.0)</f>
        <v>46148</v>
      </c>
      <c r="L299" s="65" t="str">
        <f>IFERROR(__xludf.DUMMYFUNCTION("""COMPUTED_VALUE""")," ")</f>
        <v> </v>
      </c>
      <c r="M299" s="65"/>
      <c r="N299" s="65"/>
    </row>
    <row r="300">
      <c r="A300" s="99" t="str">
        <f>IFERROR(__xludf.DUMMYFUNCTION("""COMPUTED_VALUE"""),"https://utrucking.com/admin/orders/6408115093692")</f>
        <v>https://utrucking.com/admin/orders/6408115093692</v>
      </c>
      <c r="B300" s="61" t="str">
        <f>IFERROR(__xludf.DUMMYFUNCTION("""COMPUTED_VALUE"""),"#17355")</f>
        <v>#17355</v>
      </c>
      <c r="C300" s="61" t="str">
        <f>IFERROR(__xludf.DUMMYFUNCTION("""COMPUTED_VALUE"""),"acharlotte@wustl.edu")</f>
        <v>acharlotte@wustl.edu</v>
      </c>
      <c r="D300" s="61">
        <f>IFERROR(__xludf.DUMMYFUNCTION("""COMPUTED_VALUE"""),7.18715543E9)</f>
        <v>7187155430</v>
      </c>
      <c r="E300" s="61" t="str">
        <f>IFERROR(__xludf.DUMMYFUNCTION("""COMPUTED_VALUE"""),"Charlotte Allinson")</f>
        <v>Charlotte Allinson</v>
      </c>
      <c r="F300" s="61" t="str">
        <f>IFERROR(__xludf.DUMMYFUNCTION("""COMPUTED_VALUE"""),"Charlotte Allinson")</f>
        <v>Charlotte Allinson</v>
      </c>
      <c r="G300" s="61" t="str">
        <f>IFERROR(__xludf.DUMMYFUNCTION("""COMPUTED_VALUE""")," 1 [Included with Registration] / Included Insurance   - ")</f>
        <v> 1 [Included with Registration] / Included Insurance   - </v>
      </c>
      <c r="H300" s="61" t="str">
        <f>IFERROR(__xludf.DUMMYFUNCTION("""COMPUTED_VALUE"""),"Lopata  ")</f>
        <v>Lopata  </v>
      </c>
      <c r="I300" s="61" t="str">
        <f>IFERROR(__xludf.DUMMYFUNCTION("""COMPUTED_VALUE"""),"3024")</f>
        <v>3024</v>
      </c>
      <c r="J300" s="107" t="str">
        <f>IFERROR(__xludf.DUMMYFUNCTION("""COMPUTED_VALUE"""),"09:00 AM to 11:00 AM  ")</f>
        <v>09:00 AM to 11:00 AM  </v>
      </c>
      <c r="K300" s="100">
        <f>IFERROR(__xludf.DUMMYFUNCTION("""COMPUTED_VALUE"""),46147.0)</f>
        <v>46147</v>
      </c>
      <c r="L300" s="61" t="str">
        <f>IFERROR(__xludf.DUMMYFUNCTION("""COMPUTED_VALUE""")," ")</f>
        <v> </v>
      </c>
      <c r="M300" s="61"/>
      <c r="N300" s="61"/>
    </row>
    <row r="301">
      <c r="A301" s="102" t="str">
        <f>IFERROR(__xludf.DUMMYFUNCTION("""COMPUTED_VALUE"""),"https://utrucking.com/admin/orders/6408141242556")</f>
        <v>https://utrucking.com/admin/orders/6408141242556</v>
      </c>
      <c r="B301" s="65" t="str">
        <f>IFERROR(__xludf.DUMMYFUNCTION("""COMPUTED_VALUE"""),"#17356")</f>
        <v>#17356</v>
      </c>
      <c r="C301" s="65" t="str">
        <f>IFERROR(__xludf.DUMMYFUNCTION("""COMPUTED_VALUE"""),"dbean8711@gmail.com")</f>
        <v>dbean8711@gmail.com</v>
      </c>
      <c r="D301" s="65">
        <f>IFERROR(__xludf.DUMMYFUNCTION("""COMPUTED_VALUE"""),9.178215595E9)</f>
        <v>9178215595</v>
      </c>
      <c r="E301" s="65" t="str">
        <f>IFERROR(__xludf.DUMMYFUNCTION("""COMPUTED_VALUE"""),"Dina Bean")</f>
        <v>Dina Bean</v>
      </c>
      <c r="F301" s="65" t="str">
        <f>IFERROR(__xludf.DUMMYFUNCTION("""COMPUTED_VALUE"""),"Daniel Bean")</f>
        <v>Daniel Bean</v>
      </c>
      <c r="G301" s="65" t="str">
        <f>IFERROR(__xludf.DUMMYFUNCTION("""COMPUTED_VALUE""")," 1 [Included with Registration] / Included Insurance   - ")</f>
        <v> 1 [Included with Registration] / Included Insurance   - </v>
      </c>
      <c r="H301" s="65" t="str">
        <f>IFERROR(__xludf.DUMMYFUNCTION("""COMPUTED_VALUE"""),"Dardick  ")</f>
        <v>Dardick  </v>
      </c>
      <c r="I301" s="65" t="str">
        <f>IFERROR(__xludf.DUMMYFUNCTION("""COMPUTED_VALUE"""),"2210")</f>
        <v>2210</v>
      </c>
      <c r="J301" s="108" t="str">
        <f>IFERROR(__xludf.DUMMYFUNCTION("""COMPUTED_VALUE"""),"10:00 AM to 12:00 PM  ")</f>
        <v>10:00 AM to 12:00 PM  </v>
      </c>
      <c r="K301" s="103">
        <f>IFERROR(__xludf.DUMMYFUNCTION("""COMPUTED_VALUE"""),46144.0)</f>
        <v>46144</v>
      </c>
      <c r="L301" s="65" t="str">
        <f>IFERROR(__xludf.DUMMYFUNCTION("""COMPUTED_VALUE""")," ")</f>
        <v> </v>
      </c>
      <c r="M301" s="65"/>
      <c r="N301" s="65"/>
    </row>
    <row r="302">
      <c r="A302" s="99" t="str">
        <f>IFERROR(__xludf.DUMMYFUNCTION("""COMPUTED_VALUE"""),"https://utrucking.com/admin/orders/6408181285052")</f>
        <v>https://utrucking.com/admin/orders/6408181285052</v>
      </c>
      <c r="B302" s="61" t="str">
        <f>IFERROR(__xludf.DUMMYFUNCTION("""COMPUTED_VALUE"""),"#17357")</f>
        <v>#17357</v>
      </c>
      <c r="C302" s="61" t="str">
        <f>IFERROR(__xludf.DUMMYFUNCTION("""COMPUTED_VALUE"""),"a.s.woo@wustl.edu")</f>
        <v>a.s.woo@wustl.edu</v>
      </c>
      <c r="D302" s="61">
        <f>IFERROR(__xludf.DUMMYFUNCTION("""COMPUTED_VALUE"""),9.179217804E9)</f>
        <v>9179217804</v>
      </c>
      <c r="E302" s="61" t="str">
        <f>IFERROR(__xludf.DUMMYFUNCTION("""COMPUTED_VALUE"""),"Alexa Woo")</f>
        <v>Alexa Woo</v>
      </c>
      <c r="F302" s="61" t="str">
        <f>IFERROR(__xludf.DUMMYFUNCTION("""COMPUTED_VALUE"""),"Alexa Woo")</f>
        <v>Alexa Woo</v>
      </c>
      <c r="G302" s="61" t="str">
        <f>IFERROR(__xludf.DUMMYFUNCTION("""COMPUTED_VALUE""")," 1 [Included with Registration] / Included Insurance   - ")</f>
        <v> 1 [Included with Registration] / Included Insurance   - </v>
      </c>
      <c r="H302" s="61" t="str">
        <f>IFERROR(__xludf.DUMMYFUNCTION("""COMPUTED_VALUE"""),"Zetcher  ")</f>
        <v>Zetcher  </v>
      </c>
      <c r="I302" s="61" t="str">
        <f>IFERROR(__xludf.DUMMYFUNCTION("""COMPUTED_VALUE"""),"3133")</f>
        <v>3133</v>
      </c>
      <c r="J302" s="107" t="str">
        <f>IFERROR(__xludf.DUMMYFUNCTION("""COMPUTED_VALUE"""),"09:00 AM to 11:00 AM  ")</f>
        <v>09:00 AM to 11:00 AM  </v>
      </c>
      <c r="K302" s="100">
        <f>IFERROR(__xludf.DUMMYFUNCTION("""COMPUTED_VALUE"""),46148.0)</f>
        <v>46148</v>
      </c>
      <c r="L302" s="61" t="str">
        <f>IFERROR(__xludf.DUMMYFUNCTION("""COMPUTED_VALUE""")," ")</f>
        <v> </v>
      </c>
      <c r="M302" s="61"/>
      <c r="N302" s="61"/>
    </row>
    <row r="303">
      <c r="A303" s="102" t="str">
        <f>IFERROR(__xludf.DUMMYFUNCTION("""COMPUTED_VALUE"""),"https://utrucking.com/admin/orders/6408274608316")</f>
        <v>https://utrucking.com/admin/orders/6408274608316</v>
      </c>
      <c r="B303" s="65" t="str">
        <f>IFERROR(__xludf.DUMMYFUNCTION("""COMPUTED_VALUE"""),"#17358")</f>
        <v>#17358</v>
      </c>
      <c r="C303" s="65"/>
      <c r="D303" s="65">
        <f>IFERROR(__xludf.DUMMYFUNCTION("""COMPUTED_VALUE"""),8.472871066E9)</f>
        <v>8472871066</v>
      </c>
      <c r="E303" s="65" t="str">
        <f>IFERROR(__xludf.DUMMYFUNCTION("""COMPUTED_VALUE"""),"Kathy Josephson")</f>
        <v>Kathy Josephson</v>
      </c>
      <c r="F303" s="65" t="str">
        <f>IFERROR(__xludf.DUMMYFUNCTION("""COMPUTED_VALUE"""),"Julia Josephson")</f>
        <v>Julia Josephson</v>
      </c>
      <c r="G303" s="65" t="str">
        <f>IFERROR(__xludf.DUMMYFUNCTION("""COMPUTED_VALUE""")," 1 [Included with Registration] / Included Insurance   - ")</f>
        <v> 1 [Included with Registration] / Included Insurance   - </v>
      </c>
      <c r="H303" s="65" t="str">
        <f>IFERROR(__xludf.DUMMYFUNCTION("""COMPUTED_VALUE"""),"Danforth  ")</f>
        <v>Danforth  </v>
      </c>
      <c r="I303" s="65" t="str">
        <f>IFERROR(__xludf.DUMMYFUNCTION("""COMPUTED_VALUE"""),"3321")</f>
        <v>3321</v>
      </c>
      <c r="J303" s="108" t="str">
        <f>IFERROR(__xludf.DUMMYFUNCTION("""COMPUTED_VALUE"""),"12:00 PM to 02:00 PM  ")</f>
        <v>12:00 PM to 02:00 PM  </v>
      </c>
      <c r="K303" s="103">
        <f>IFERROR(__xludf.DUMMYFUNCTION("""COMPUTED_VALUE"""),46143.0)</f>
        <v>46143</v>
      </c>
      <c r="L303" s="65" t="str">
        <f>IFERROR(__xludf.DUMMYFUNCTION("""COMPUTED_VALUE""")," ")</f>
        <v> </v>
      </c>
      <c r="M303" s="65"/>
      <c r="N303" s="65"/>
    </row>
    <row r="304">
      <c r="A304" s="99" t="str">
        <f>IFERROR(__xludf.DUMMYFUNCTION("""COMPUTED_VALUE"""),"https://utrucking.com/admin/orders/6408296890556")</f>
        <v>https://utrucking.com/admin/orders/6408296890556</v>
      </c>
      <c r="B304" s="61" t="str">
        <f>IFERROR(__xludf.DUMMYFUNCTION("""COMPUTED_VALUE"""),"#17359")</f>
        <v>#17359</v>
      </c>
      <c r="C304" s="61" t="str">
        <f>IFERROR(__xludf.DUMMYFUNCTION("""COMPUTED_VALUE"""),"leah.hayem@gmail.com")</f>
        <v>leah.hayem@gmail.com</v>
      </c>
      <c r="D304" s="61">
        <f>IFERROR(__xludf.DUMMYFUNCTION("""COMPUTED_VALUE"""),9.175074499E9)</f>
        <v>9175074499</v>
      </c>
      <c r="E304" s="61" t="str">
        <f>IFERROR(__xludf.DUMMYFUNCTION("""COMPUTED_VALUE"""),"Leah Hayem")</f>
        <v>Leah Hayem</v>
      </c>
      <c r="F304" s="61" t="str">
        <f>IFERROR(__xludf.DUMMYFUNCTION("""COMPUTED_VALUE"""),"Leah Hayem")</f>
        <v>Leah Hayem</v>
      </c>
      <c r="G304" s="61" t="str">
        <f>IFERROR(__xludf.DUMMYFUNCTION("""COMPUTED_VALUE""")," 1 [Included with Registration] / Included Insurance   - ")</f>
        <v> 1 [Included with Registration] / Included Insurance   - </v>
      </c>
      <c r="H304" s="61" t="str">
        <f>IFERROR(__xludf.DUMMYFUNCTION("""COMPUTED_VALUE"""),"Millbrook Bldg. 4  ")</f>
        <v>Millbrook Bldg. 4  </v>
      </c>
      <c r="I304" s="61" t="str">
        <f>IFERROR(__xludf.DUMMYFUNCTION("""COMPUTED_VALUE"""),"302")</f>
        <v>302</v>
      </c>
      <c r="J304" s="107" t="str">
        <f>IFERROR(__xludf.DUMMYFUNCTION("""COMPUTED_VALUE"""),"10:00 AM to 12:00 PM  ")</f>
        <v>10:00 AM to 12:00 PM  </v>
      </c>
      <c r="K304" s="100">
        <f>IFERROR(__xludf.DUMMYFUNCTION("""COMPUTED_VALUE"""),46148.0)</f>
        <v>46148</v>
      </c>
      <c r="L304" s="61" t="str">
        <f>IFERROR(__xludf.DUMMYFUNCTION("""COMPUTED_VALUE""")," ")</f>
        <v> </v>
      </c>
      <c r="M304" s="61"/>
      <c r="N304" s="61"/>
    </row>
    <row r="305">
      <c r="A305" s="102" t="str">
        <f>IFERROR(__xludf.DUMMYFUNCTION("""COMPUTED_VALUE"""),"https://utrucking.com/admin/orders/6408388149436")</f>
        <v>https://utrucking.com/admin/orders/6408388149436</v>
      </c>
      <c r="B305" s="65" t="str">
        <f>IFERROR(__xludf.DUMMYFUNCTION("""COMPUTED_VALUE"""),"#17360")</f>
        <v>#17360</v>
      </c>
      <c r="C305" s="65" t="str">
        <f>IFERROR(__xludf.DUMMYFUNCTION("""COMPUTED_VALUE"""),"keirar@wustl.edu")</f>
        <v>keirar@wustl.edu</v>
      </c>
      <c r="D305" s="65">
        <f>IFERROR(__xludf.DUMMYFUNCTION("""COMPUTED_VALUE"""),9.17453863E9)</f>
        <v>9174538630</v>
      </c>
      <c r="E305" s="65" t="str">
        <f>IFERROR(__xludf.DUMMYFUNCTION("""COMPUTED_VALUE"""),"Keira Reddington")</f>
        <v>Keira Reddington</v>
      </c>
      <c r="F305" s="65" t="str">
        <f>IFERROR(__xludf.DUMMYFUNCTION("""COMPUTED_VALUE"""),"Keira Reddington")</f>
        <v>Keira Reddington</v>
      </c>
      <c r="G305" s="65" t="str">
        <f>IFERROR(__xludf.DUMMYFUNCTION("""COMPUTED_VALUE""")," 2 / Included Insurance   - ")</f>
        <v> 2 / Included Insurance   - </v>
      </c>
      <c r="H305" s="65" t="str">
        <f>IFERROR(__xludf.DUMMYFUNCTION("""COMPUTED_VALUE"""),"Hitzeman  ")</f>
        <v>Hitzeman  </v>
      </c>
      <c r="I305" s="65" t="str">
        <f>IFERROR(__xludf.DUMMYFUNCTION("""COMPUTED_VALUE"""),"22")</f>
        <v>22</v>
      </c>
      <c r="J305" s="108" t="str">
        <f>IFERROR(__xludf.DUMMYFUNCTION("""COMPUTED_VALUE"""),"09:00 AM to 11:00 AM  ")</f>
        <v>09:00 AM to 11:00 AM  </v>
      </c>
      <c r="K305" s="103">
        <f>IFERROR(__xludf.DUMMYFUNCTION("""COMPUTED_VALUE"""),46147.0)</f>
        <v>46147</v>
      </c>
      <c r="L305" s="65" t="str">
        <f>IFERROR(__xludf.DUMMYFUNCTION("""COMPUTED_VALUE""")," ")</f>
        <v> </v>
      </c>
      <c r="M305" s="65"/>
      <c r="N305" s="65"/>
    </row>
    <row r="306">
      <c r="A306" s="99" t="str">
        <f>IFERROR(__xludf.DUMMYFUNCTION("""COMPUTED_VALUE"""),"https://utrucking.com/admin/orders/6408395587772")</f>
        <v>https://utrucking.com/admin/orders/6408395587772</v>
      </c>
      <c r="B306" s="61" t="str">
        <f>IFERROR(__xludf.DUMMYFUNCTION("""COMPUTED_VALUE"""),"#17361")</f>
        <v>#17361</v>
      </c>
      <c r="C306" s="61"/>
      <c r="D306" s="61">
        <f>IFERROR(__xludf.DUMMYFUNCTION("""COMPUTED_VALUE"""),5.169455306E9)</f>
        <v>5169455306</v>
      </c>
      <c r="E306" s="61" t="str">
        <f>IFERROR(__xludf.DUMMYFUNCTION("""COMPUTED_VALUE"""),"Pamela Potter-Osit")</f>
        <v>Pamela Potter-Osit</v>
      </c>
      <c r="F306" s="61" t="str">
        <f>IFERROR(__xludf.DUMMYFUNCTION("""COMPUTED_VALUE"""),"Tyler Osit")</f>
        <v>Tyler Osit</v>
      </c>
      <c r="G306" s="61" t="str">
        <f>IFERROR(__xludf.DUMMYFUNCTION("""COMPUTED_VALUE""")," 1 [Included with Registration] / Included Insurance   - ")</f>
        <v> 1 [Included with Registration] / Included Insurance   - </v>
      </c>
      <c r="H306" s="61" t="str">
        <f>IFERROR(__xludf.DUMMYFUNCTION("""COMPUTED_VALUE"""),"Rutledge  ")</f>
        <v>Rutledge  </v>
      </c>
      <c r="I306" s="61" t="str">
        <f>IFERROR(__xludf.DUMMYFUNCTION("""COMPUTED_VALUE"""),"241")</f>
        <v>241</v>
      </c>
      <c r="J306" s="107" t="str">
        <f>IFERROR(__xludf.DUMMYFUNCTION("""COMPUTED_VALUE"""),"12:00 PM to 02:00 PM  ")</f>
        <v>12:00 PM to 02:00 PM  </v>
      </c>
      <c r="K306" s="100">
        <f>IFERROR(__xludf.DUMMYFUNCTION("""COMPUTED_VALUE"""),46147.0)</f>
        <v>46147</v>
      </c>
      <c r="L306" s="61" t="str">
        <f>IFERROR(__xludf.DUMMYFUNCTION("""COMPUTED_VALUE""")," ")</f>
        <v> </v>
      </c>
      <c r="M306" s="61"/>
      <c r="N306" s="61"/>
    </row>
    <row r="307">
      <c r="A307" s="102" t="str">
        <f>IFERROR(__xludf.DUMMYFUNCTION("""COMPUTED_VALUE"""),"https://utrucking.com/admin/orders/6408443429052")</f>
        <v>https://utrucking.com/admin/orders/6408443429052</v>
      </c>
      <c r="B307" s="65" t="str">
        <f>IFERROR(__xludf.DUMMYFUNCTION("""COMPUTED_VALUE"""),"#17362")</f>
        <v>#17362</v>
      </c>
      <c r="C307" s="65" t="str">
        <f>IFERROR(__xludf.DUMMYFUNCTION("""COMPUTED_VALUE"""),"ashah22@wustl.edu")</f>
        <v>ashah22@wustl.edu</v>
      </c>
      <c r="D307" s="65">
        <f>IFERROR(__xludf.DUMMYFUNCTION("""COMPUTED_VALUE"""),9.522200874E9)</f>
        <v>9522200874</v>
      </c>
      <c r="E307" s="65" t="str">
        <f>IFERROR(__xludf.DUMMYFUNCTION("""COMPUTED_VALUE"""),"Ayaan Shah")</f>
        <v>Ayaan Shah</v>
      </c>
      <c r="F307" s="65" t="str">
        <f>IFERROR(__xludf.DUMMYFUNCTION("""COMPUTED_VALUE"""),"Ayaan Shah")</f>
        <v>Ayaan Shah</v>
      </c>
      <c r="G307" s="65" t="str">
        <f>IFERROR(__xludf.DUMMYFUNCTION("""COMPUTED_VALUE""")," 1 [Included with Registration] / Included Insurance   - ")</f>
        <v> 1 [Included with Registration] / Included Insurance   - </v>
      </c>
      <c r="H307" s="65" t="str">
        <f>IFERROR(__xludf.DUMMYFUNCTION("""COMPUTED_VALUE"""),"House 4 (Theta Xi)  ")</f>
        <v>House 4 (Theta Xi)  </v>
      </c>
      <c r="I307" s="65" t="str">
        <f>IFERROR(__xludf.DUMMYFUNCTION("""COMPUTED_VALUE"""),"309")</f>
        <v>309</v>
      </c>
      <c r="J307" s="108" t="str">
        <f>IFERROR(__xludf.DUMMYFUNCTION("""COMPUTED_VALUE"""),"09:00 AM to 11:00 AM  ")</f>
        <v>09:00 AM to 11:00 AM  </v>
      </c>
      <c r="K307" s="103">
        <f>IFERROR(__xludf.DUMMYFUNCTION("""COMPUTED_VALUE"""),46150.0)</f>
        <v>46150</v>
      </c>
      <c r="L307" s="65" t="str">
        <f>IFERROR(__xludf.DUMMYFUNCTION("""COMPUTED_VALUE""")," ")</f>
        <v> </v>
      </c>
      <c r="M307" s="65"/>
      <c r="N307" s="65"/>
    </row>
    <row r="308">
      <c r="A308" s="99" t="str">
        <f>IFERROR(__xludf.DUMMYFUNCTION("""COMPUTED_VALUE"""),"https://utrucking.com/admin/orders/6408500543676")</f>
        <v>https://utrucking.com/admin/orders/6408500543676</v>
      </c>
      <c r="B308" s="61" t="str">
        <f>IFERROR(__xludf.DUMMYFUNCTION("""COMPUTED_VALUE"""),"#17363")</f>
        <v>#17363</v>
      </c>
      <c r="C308" s="61" t="str">
        <f>IFERROR(__xludf.DUMMYFUNCTION("""COMPUTED_VALUE"""),"doyoon.k@wustl.edu")</f>
        <v>doyoon.k@wustl.edu</v>
      </c>
      <c r="D308" s="61">
        <f>IFERROR(__xludf.DUMMYFUNCTION("""COMPUTED_VALUE"""),1.039438367E9)</f>
        <v>1039438367</v>
      </c>
      <c r="E308" s="61" t="str">
        <f>IFERROR(__xludf.DUMMYFUNCTION("""COMPUTED_VALUE"""),"Ja Eun Park")</f>
        <v>Ja Eun Park</v>
      </c>
      <c r="F308" s="61" t="str">
        <f>IFERROR(__xludf.DUMMYFUNCTION("""COMPUTED_VALUE"""),"Doyoon Kim")</f>
        <v>Doyoon Kim</v>
      </c>
      <c r="G308" s="61" t="str">
        <f>IFERROR(__xludf.DUMMYFUNCTION("""COMPUTED_VALUE""")," 1 [Included with Registration] / Included Insurance   - ")</f>
        <v> 1 [Included with Registration] / Included Insurance   - </v>
      </c>
      <c r="H308" s="61" t="str">
        <f>IFERROR(__xludf.DUMMYFUNCTION("""COMPUTED_VALUE"""),"Millbrook Bldg. 2  ")</f>
        <v>Millbrook Bldg. 2  </v>
      </c>
      <c r="I308" s="61" t="str">
        <f>IFERROR(__xludf.DUMMYFUNCTION("""COMPUTED_VALUE"""),"203C")</f>
        <v>203C</v>
      </c>
      <c r="J308" s="107" t="str">
        <f>IFERROR(__xludf.DUMMYFUNCTION("""COMPUTED_VALUE"""),"09:00 AM to 11:00 AM  ")</f>
        <v>09:00 AM to 11:00 AM  </v>
      </c>
      <c r="K308" s="100">
        <f>IFERROR(__xludf.DUMMYFUNCTION("""COMPUTED_VALUE"""),46136.0)</f>
        <v>46136</v>
      </c>
      <c r="L308" s="61" t="str">
        <f>IFERROR(__xludf.DUMMYFUNCTION("""COMPUTED_VALUE""")," ")</f>
        <v> </v>
      </c>
      <c r="M308" s="61"/>
      <c r="N308" s="61"/>
    </row>
    <row r="309">
      <c r="A309" s="102" t="str">
        <f>IFERROR(__xludf.DUMMYFUNCTION("""COMPUTED_VALUE"""),"https://utrucking.com/admin/orders/6408536948924")</f>
        <v>https://utrucking.com/admin/orders/6408536948924</v>
      </c>
      <c r="B309" s="65" t="str">
        <f>IFERROR(__xludf.DUMMYFUNCTION("""COMPUTED_VALUE"""),"#17364")</f>
        <v>#17364</v>
      </c>
      <c r="C309" s="65"/>
      <c r="D309" s="65">
        <f>IFERROR(__xludf.DUMMYFUNCTION("""COMPUTED_VALUE"""),8.172395173E9)</f>
        <v>8172395173</v>
      </c>
      <c r="E309" s="65" t="str">
        <f>IFERROR(__xludf.DUMMYFUNCTION("""COMPUTED_VALUE"""),"Ava Ayad")</f>
        <v>Ava Ayad</v>
      </c>
      <c r="F309" s="65" t="str">
        <f>IFERROR(__xludf.DUMMYFUNCTION("""COMPUTED_VALUE"""),"Ava Ayad")</f>
        <v>Ava Ayad</v>
      </c>
      <c r="G309" s="65" t="str">
        <f>IFERROR(__xludf.DUMMYFUNCTION("""COMPUTED_VALUE""")," 2 / Included Insurance   - ")</f>
        <v> 2 / Included Insurance   - </v>
      </c>
      <c r="H309" s="65" t="str">
        <f>IFERROR(__xludf.DUMMYFUNCTION("""COMPUTED_VALUE"""),"Eliot A (Thomas Eliot)")</f>
        <v>Eliot A (Thomas Eliot)</v>
      </c>
      <c r="I309" s="65" t="str">
        <f>IFERROR(__xludf.DUMMYFUNCTION("""COMPUTED_VALUE"""),"2052")</f>
        <v>2052</v>
      </c>
      <c r="J309" s="108" t="str">
        <f>IFERROR(__xludf.DUMMYFUNCTION("""COMPUTED_VALUE"""),"03:00 PM to 05:00 PM")</f>
        <v>03:00 PM to 05:00 PM</v>
      </c>
      <c r="K309" s="103">
        <f>IFERROR(__xludf.DUMMYFUNCTION("""COMPUTED_VALUE"""),46139.0)</f>
        <v>46139</v>
      </c>
      <c r="L309" s="65" t="str">
        <f>IFERROR(__xludf.DUMMYFUNCTION("""COMPUTED_VALUE""")," ")</f>
        <v> </v>
      </c>
      <c r="M309" s="65"/>
      <c r="N309" s="65" t="str">
        <f>IFERROR(__xludf.DUMMYFUNCTION("""COMPUTED_VALUE"""),"Will not be in the dorm during pickup time but everything will be packed and ready.")</f>
        <v>Will not be in the dorm during pickup time but everything will be packed and ready.</v>
      </c>
    </row>
    <row r="310">
      <c r="A310" s="99" t="str">
        <f>IFERROR(__xludf.DUMMYFUNCTION("""COMPUTED_VALUE"""),"https://utrucking.com/admin/orders/6408671101116")</f>
        <v>https://utrucking.com/admin/orders/6408671101116</v>
      </c>
      <c r="B310" s="61" t="str">
        <f>IFERROR(__xludf.DUMMYFUNCTION("""COMPUTED_VALUE"""),"#17365")</f>
        <v>#17365</v>
      </c>
      <c r="C310" s="61"/>
      <c r="D310" s="61">
        <f>IFERROR(__xludf.DUMMYFUNCTION("""COMPUTED_VALUE"""),6.462475498E9)</f>
        <v>6462475498</v>
      </c>
      <c r="E310" s="61" t="str">
        <f>IFERROR(__xludf.DUMMYFUNCTION("""COMPUTED_VALUE"""),"Philip Alston")</f>
        <v>Philip Alston</v>
      </c>
      <c r="F310" s="61" t="str">
        <f>IFERROR(__xludf.DUMMYFUNCTION("""COMPUTED_VALUE"""),"Ross de Burca")</f>
        <v>Ross de Burca</v>
      </c>
      <c r="G310" s="61" t="str">
        <f>IFERROR(__xludf.DUMMYFUNCTION("""COMPUTED_VALUE""")," 1 [Included with Registration] / $1000 of Additional Coverage   - ")</f>
        <v> 1 [Included with Registration] / $1000 of Additional Coverage   - </v>
      </c>
      <c r="H310" s="61" t="str">
        <f>IFERROR(__xludf.DUMMYFUNCTION("""COMPUTED_VALUE"""),"Gregg  ")</f>
        <v>Gregg  </v>
      </c>
      <c r="I310" s="61" t="str">
        <f>IFERROR(__xludf.DUMMYFUNCTION("""COMPUTED_VALUE"""),"3022a")</f>
        <v>3022a</v>
      </c>
      <c r="J310" s="107" t="str">
        <f>IFERROR(__xludf.DUMMYFUNCTION("""COMPUTED_VALUE"""),"10:00 AM to 12:00 PM  ")</f>
        <v>10:00 AM to 12:00 PM  </v>
      </c>
      <c r="K310" s="100">
        <f>IFERROR(__xludf.DUMMYFUNCTION("""COMPUTED_VALUE"""),46149.0)</f>
        <v>46149</v>
      </c>
      <c r="L310" s="61" t="str">
        <f>IFERROR(__xludf.DUMMYFUNCTION("""COMPUTED_VALUE""")," ")</f>
        <v> </v>
      </c>
      <c r="M310" s="61"/>
      <c r="N310" s="61"/>
    </row>
    <row r="311">
      <c r="A311" s="102" t="str">
        <f>IFERROR(__xludf.DUMMYFUNCTION("""COMPUTED_VALUE"""),"https://utrucking.com/admin/orders/6408671101116")</f>
        <v>https://utrucking.com/admin/orders/6408671101116</v>
      </c>
      <c r="B311" s="65" t="str">
        <f>IFERROR(__xludf.DUMMYFUNCTION("""COMPUTED_VALUE"""),"#17365")</f>
        <v>#17365</v>
      </c>
      <c r="C311" s="65"/>
      <c r="D311" s="65">
        <f>IFERROR(__xludf.DUMMYFUNCTION("""COMPUTED_VALUE"""),6.462475498E9)</f>
        <v>6462475498</v>
      </c>
      <c r="E311" s="65" t="str">
        <f>IFERROR(__xludf.DUMMYFUNCTION("""COMPUTED_VALUE"""),"Philip Alston")</f>
        <v>Philip Alston</v>
      </c>
      <c r="F311" s="65" t="str">
        <f>IFERROR(__xludf.DUMMYFUNCTION("""COMPUTED_VALUE"""),"Ross de Burca")</f>
        <v>Ross de Burca</v>
      </c>
      <c r="G311" s="65" t="str">
        <f>IFERROR(__xludf.DUMMYFUNCTION("""COMPUTED_VALUE""")," 1 [Included with Registration] / $500 of Additional Coverage   - ")</f>
        <v> 1 [Included with Registration] / $500 of Additional Coverage   - </v>
      </c>
      <c r="H311" s="65" t="str">
        <f>IFERROR(__xludf.DUMMYFUNCTION("""COMPUTED_VALUE"""),"Gregg  ")</f>
        <v>Gregg  </v>
      </c>
      <c r="I311" s="65" t="str">
        <f>IFERROR(__xludf.DUMMYFUNCTION("""COMPUTED_VALUE"""),"3022a")</f>
        <v>3022a</v>
      </c>
      <c r="J311" s="108" t="str">
        <f>IFERROR(__xludf.DUMMYFUNCTION("""COMPUTED_VALUE"""),"10:00 AM to 12:00 PM  ")</f>
        <v>10:00 AM to 12:00 PM  </v>
      </c>
      <c r="K311" s="103">
        <f>IFERROR(__xludf.DUMMYFUNCTION("""COMPUTED_VALUE"""),46149.0)</f>
        <v>46149</v>
      </c>
      <c r="L311" s="65" t="str">
        <f>IFERROR(__xludf.DUMMYFUNCTION("""COMPUTED_VALUE""")," ")</f>
        <v> </v>
      </c>
      <c r="M311" s="65"/>
      <c r="N311" s="65"/>
    </row>
    <row r="312">
      <c r="A312" s="99" t="str">
        <f>IFERROR(__xludf.DUMMYFUNCTION("""COMPUTED_VALUE"""),"https://utrucking.com/admin/orders/6408743190716")</f>
        <v>https://utrucking.com/admin/orders/6408743190716</v>
      </c>
      <c r="B312" s="61" t="str">
        <f>IFERROR(__xludf.DUMMYFUNCTION("""COMPUTED_VALUE"""),"#17367")</f>
        <v>#17367</v>
      </c>
      <c r="C312" s="61" t="str">
        <f>IFERROR(__xludf.DUMMYFUNCTION("""COMPUTED_VALUE"""),"delilah@wustl.edu")</f>
        <v>delilah@wustl.edu</v>
      </c>
      <c r="D312" s="61">
        <f>IFERROR(__xludf.DUMMYFUNCTION("""COMPUTED_VALUE"""),2.138401616E9)</f>
        <v>2138401616</v>
      </c>
      <c r="E312" s="61" t="str">
        <f>IFERROR(__xludf.DUMMYFUNCTION("""COMPUTED_VALUE"""),"Steven Spector")</f>
        <v>Steven Spector</v>
      </c>
      <c r="F312" s="61" t="str">
        <f>IFERROR(__xludf.DUMMYFUNCTION("""COMPUTED_VALUE"""),"Delilah Spector")</f>
        <v>Delilah Spector</v>
      </c>
      <c r="G312" s="61" t="str">
        <f>IFERROR(__xludf.DUMMYFUNCTION("""COMPUTED_VALUE""")," 1 [Included with Registration] / Included Insurance   - ")</f>
        <v> 1 [Included with Registration] / Included Insurance   - </v>
      </c>
      <c r="H312" s="61" t="str">
        <f>IFERROR(__xludf.DUMMYFUNCTION("""COMPUTED_VALUE"""),"Koenig  ")</f>
        <v>Koenig  </v>
      </c>
      <c r="I312" s="61" t="str">
        <f>IFERROR(__xludf.DUMMYFUNCTION("""COMPUTED_VALUE"""),"2219")</f>
        <v>2219</v>
      </c>
      <c r="J312" s="107" t="str">
        <f>IFERROR(__xludf.DUMMYFUNCTION("""COMPUTED_VALUE"""),"10:00 AM to 12:00 PM  ")</f>
        <v>10:00 AM to 12:00 PM  </v>
      </c>
      <c r="K312" s="100">
        <f>IFERROR(__xludf.DUMMYFUNCTION("""COMPUTED_VALUE"""),46148.0)</f>
        <v>46148</v>
      </c>
      <c r="L312" s="61" t="str">
        <f>IFERROR(__xludf.DUMMYFUNCTION("""COMPUTED_VALUE""")," ")</f>
        <v> </v>
      </c>
      <c r="M312" s="61"/>
      <c r="N312" s="61"/>
    </row>
    <row r="313">
      <c r="A313" s="102" t="str">
        <f>IFERROR(__xludf.DUMMYFUNCTION("""COMPUTED_VALUE"""),"https://utrucking.com/admin/orders/6408914960572")</f>
        <v>https://utrucking.com/admin/orders/6408914960572</v>
      </c>
      <c r="B313" s="65" t="str">
        <f>IFERROR(__xludf.DUMMYFUNCTION("""COMPUTED_VALUE"""),"#17369")</f>
        <v>#17369</v>
      </c>
      <c r="C313" s="65" t="str">
        <f>IFERROR(__xludf.DUMMYFUNCTION("""COMPUTED_VALUE"""),"lyon.n@wustl.edu")</f>
        <v>lyon.n@wustl.edu</v>
      </c>
      <c r="D313" s="65">
        <f>IFERROR(__xludf.DUMMYFUNCTION("""COMPUTED_VALUE"""),8.02734432E9)</f>
        <v>8027344320</v>
      </c>
      <c r="E313" s="65" t="str">
        <f>IFERROR(__xludf.DUMMYFUNCTION("""COMPUTED_VALUE"""),"Natalie Lyon")</f>
        <v>Natalie Lyon</v>
      </c>
      <c r="F313" s="65" t="str">
        <f>IFERROR(__xludf.DUMMYFUNCTION("""COMPUTED_VALUE"""),"Natalie Lyon")</f>
        <v>Natalie Lyon</v>
      </c>
      <c r="G313" s="65" t="str">
        <f>IFERROR(__xludf.DUMMYFUNCTION("""COMPUTED_VALUE""")," 1 [Included with Registration] / Included Insurance   - ")</f>
        <v> 1 [Included with Registration] / Included Insurance   - </v>
      </c>
      <c r="H313" s="65" t="str">
        <f>IFERROR(__xludf.DUMMYFUNCTION("""COMPUTED_VALUE"""),"Dardick  ")</f>
        <v>Dardick  </v>
      </c>
      <c r="I313" s="65" t="str">
        <f>IFERROR(__xludf.DUMMYFUNCTION("""COMPUTED_VALUE"""),"4425")</f>
        <v>4425</v>
      </c>
      <c r="J313" s="108" t="str">
        <f>IFERROR(__xludf.DUMMYFUNCTION("""COMPUTED_VALUE"""),"11:00 AM to 01:00 PM  ")</f>
        <v>11:00 AM to 01:00 PM  </v>
      </c>
      <c r="K313" s="103">
        <f>IFERROR(__xludf.DUMMYFUNCTION("""COMPUTED_VALUE"""),46148.0)</f>
        <v>46148</v>
      </c>
      <c r="L313" s="65" t="str">
        <f>IFERROR(__xludf.DUMMYFUNCTION("""COMPUTED_VALUE""")," ")</f>
        <v> </v>
      </c>
      <c r="M313" s="65"/>
      <c r="N313" s="65"/>
    </row>
    <row r="314">
      <c r="A314" s="99" t="str">
        <f>IFERROR(__xludf.DUMMYFUNCTION("""COMPUTED_VALUE"""),"https://utrucking.com/admin/orders/6409035907260")</f>
        <v>https://utrucking.com/admin/orders/6409035907260</v>
      </c>
      <c r="B314" s="61" t="str">
        <f>IFERROR(__xludf.DUMMYFUNCTION("""COMPUTED_VALUE"""),"#17371")</f>
        <v>#17371</v>
      </c>
      <c r="C314" s="61"/>
      <c r="D314" s="61">
        <f>IFERROR(__xludf.DUMMYFUNCTION("""COMPUTED_VALUE"""),9.176127037E9)</f>
        <v>9176127037</v>
      </c>
      <c r="E314" s="61" t="str">
        <f>IFERROR(__xludf.DUMMYFUNCTION("""COMPUTED_VALUE"""),"Adam Schwartz")</f>
        <v>Adam Schwartz</v>
      </c>
      <c r="F314" s="61" t="str">
        <f>IFERROR(__xludf.DUMMYFUNCTION("""COMPUTED_VALUE"""),"Jadon Schwartz")</f>
        <v>Jadon Schwartz</v>
      </c>
      <c r="G314" s="61" t="str">
        <f>IFERROR(__xludf.DUMMYFUNCTION("""COMPUTED_VALUE""")," 1 [Included with Registration] / Included Insurance   - ")</f>
        <v> 1 [Included with Registration] / Included Insurance   - </v>
      </c>
      <c r="H314" s="61" t="str">
        <f>IFERROR(__xludf.DUMMYFUNCTION("""COMPUTED_VALUE"""),"Koenig  ")</f>
        <v>Koenig  </v>
      </c>
      <c r="I314" s="61" t="str">
        <f>IFERROR(__xludf.DUMMYFUNCTION("""COMPUTED_VALUE"""),"1109-a")</f>
        <v>1109-a</v>
      </c>
      <c r="J314" s="107" t="str">
        <f>IFERROR(__xludf.DUMMYFUNCTION("""COMPUTED_VALUE"""),"11:00 AM to 01:00 PM  ")</f>
        <v>11:00 AM to 01:00 PM  </v>
      </c>
      <c r="K314" s="100">
        <f>IFERROR(__xludf.DUMMYFUNCTION("""COMPUTED_VALUE"""),46148.0)</f>
        <v>46148</v>
      </c>
      <c r="L314" s="61" t="str">
        <f>IFERROR(__xludf.DUMMYFUNCTION("""COMPUTED_VALUE""")," ")</f>
        <v> </v>
      </c>
      <c r="M314" s="61"/>
      <c r="N314" s="61" t="str">
        <f>IFERROR(__xludf.DUMMYFUNCTION("""COMPUTED_VALUE"""),"We will also be storing some plastic drawers. We will pack and tape those shut and leave them in the room with the boxes we will be packing/using.")</f>
        <v>We will also be storing some plastic drawers. We will pack and tape those shut and leave them in the room with the boxes we will be packing/using.</v>
      </c>
    </row>
    <row r="315">
      <c r="A315" s="102" t="str">
        <f>IFERROR(__xludf.DUMMYFUNCTION("""COMPUTED_VALUE"""),"https://utrucking.com/admin/orders/6409136177340")</f>
        <v>https://utrucking.com/admin/orders/6409136177340</v>
      </c>
      <c r="B315" s="65" t="str">
        <f>IFERROR(__xludf.DUMMYFUNCTION("""COMPUTED_VALUE"""),"#17372")</f>
        <v>#17372</v>
      </c>
      <c r="C315" s="65"/>
      <c r="D315" s="65">
        <f>IFERROR(__xludf.DUMMYFUNCTION("""COMPUTED_VALUE"""),6.175823313E9)</f>
        <v>6175823313</v>
      </c>
      <c r="E315" s="65" t="str">
        <f>IFERROR(__xludf.DUMMYFUNCTION("""COMPUTED_VALUE"""),"Noah Hunt")</f>
        <v>Noah Hunt</v>
      </c>
      <c r="F315" s="65" t="str">
        <f>IFERROR(__xludf.DUMMYFUNCTION("""COMPUTED_VALUE"""),"Noah Hunt")</f>
        <v>Noah Hunt</v>
      </c>
      <c r="G315" s="65" t="str">
        <f>IFERROR(__xludf.DUMMYFUNCTION("""COMPUTED_VALUE""")," 1 [Included with Registration] / Included Insurance   - ")</f>
        <v> 1 [Included with Registration] / Included Insurance   - </v>
      </c>
      <c r="H315" s="65" t="str">
        <f>IFERROR(__xludf.DUMMYFUNCTION("""COMPUTED_VALUE"""),"Dauten  ")</f>
        <v>Dauten  </v>
      </c>
      <c r="I315" s="65" t="str">
        <f>IFERROR(__xludf.DUMMYFUNCTION("""COMPUTED_VALUE"""),"213")</f>
        <v>213</v>
      </c>
      <c r="J315" s="108" t="str">
        <f>IFERROR(__xludf.DUMMYFUNCTION("""COMPUTED_VALUE"""),"11:00 AM to 01:00 PM  ")</f>
        <v>11:00 AM to 01:00 PM  </v>
      </c>
      <c r="K315" s="103">
        <f>IFERROR(__xludf.DUMMYFUNCTION("""COMPUTED_VALUE"""),46144.0)</f>
        <v>46144</v>
      </c>
      <c r="L315" s="65" t="str">
        <f>IFERROR(__xludf.DUMMYFUNCTION("""COMPUTED_VALUE""")," ")</f>
        <v> </v>
      </c>
      <c r="M315" s="65"/>
      <c r="N315" s="65"/>
    </row>
    <row r="316">
      <c r="A316" s="99" t="str">
        <f>IFERROR(__xludf.DUMMYFUNCTION("""COMPUTED_VALUE"""),"https://utrucking.com/admin/orders/6409248866492")</f>
        <v>https://utrucking.com/admin/orders/6409248866492</v>
      </c>
      <c r="B316" s="61" t="str">
        <f>IFERROR(__xludf.DUMMYFUNCTION("""COMPUTED_VALUE"""),"#17373")</f>
        <v>#17373</v>
      </c>
      <c r="C316" s="61"/>
      <c r="D316" s="61">
        <f>IFERROR(__xludf.DUMMYFUNCTION("""COMPUTED_VALUE"""),2.038879903E9)</f>
        <v>2038879903</v>
      </c>
      <c r="E316" s="61" t="str">
        <f>IFERROR(__xludf.DUMMYFUNCTION("""COMPUTED_VALUE"""),"Douglas Lilly")</f>
        <v>Douglas Lilly</v>
      </c>
      <c r="F316" s="61" t="str">
        <f>IFERROR(__xludf.DUMMYFUNCTION("""COMPUTED_VALUE"""),"Emerson Lilly")</f>
        <v>Emerson Lilly</v>
      </c>
      <c r="G316" s="61" t="str">
        <f>IFERROR(__xludf.DUMMYFUNCTION("""COMPUTED_VALUE""")," 1 [Included with Registration] / Included Insurance   - ")</f>
        <v> 1 [Included with Registration] / Included Insurance   - </v>
      </c>
      <c r="H316" s="61" t="str">
        <f>IFERROR(__xludf.DUMMYFUNCTION("""COMPUTED_VALUE"""),"Umrath  ")</f>
        <v>Umrath  </v>
      </c>
      <c r="I316" s="61" t="str">
        <f>IFERROR(__xludf.DUMMYFUNCTION("""COMPUTED_VALUE"""),"2221")</f>
        <v>2221</v>
      </c>
      <c r="J316" s="107" t="str">
        <f>IFERROR(__xludf.DUMMYFUNCTION("""COMPUTED_VALUE"""),"09:00 AM to 11:00 AM  ")</f>
        <v>09:00 AM to 11:00 AM  </v>
      </c>
      <c r="K316" s="100">
        <f>IFERROR(__xludf.DUMMYFUNCTION("""COMPUTED_VALUE"""),46148.0)</f>
        <v>46148</v>
      </c>
      <c r="L316" s="61" t="str">
        <f>IFERROR(__xludf.DUMMYFUNCTION("""COMPUTED_VALUE""")," ")</f>
        <v> </v>
      </c>
      <c r="M316" s="61"/>
      <c r="N316" s="61"/>
    </row>
    <row r="317">
      <c r="A317" s="102" t="str">
        <f>IFERROR(__xludf.DUMMYFUNCTION("""COMPUTED_VALUE"""),"https://utrucking.com/admin/orders/6409279865020")</f>
        <v>https://utrucking.com/admin/orders/6409279865020</v>
      </c>
      <c r="B317" s="65" t="str">
        <f>IFERROR(__xludf.DUMMYFUNCTION("""COMPUTED_VALUE"""),"#17374")</f>
        <v>#17374</v>
      </c>
      <c r="C317" s="65" t="str">
        <f>IFERROR(__xludf.DUMMYFUNCTION("""COMPUTED_VALUE"""),"shamalieg@gmail.com")</f>
        <v>shamalieg@gmail.com</v>
      </c>
      <c r="D317" s="65">
        <f>IFERROR(__xludf.DUMMYFUNCTION("""COMPUTED_VALUE"""),1.818319301E10)</f>
        <v>18183193010</v>
      </c>
      <c r="E317" s="65" t="str">
        <f>IFERROR(__xludf.DUMMYFUNCTION("""COMPUTED_VALUE"""),"Shamalie Goonewardene")</f>
        <v>Shamalie Goonewardene</v>
      </c>
      <c r="F317" s="65" t="str">
        <f>IFERROR(__xludf.DUMMYFUNCTION("""COMPUTED_VALUE"""),"Nitesh Fernando")</f>
        <v>Nitesh Fernando</v>
      </c>
      <c r="G317" s="65" t="str">
        <f>IFERROR(__xludf.DUMMYFUNCTION("""COMPUTED_VALUE""")," 1 [Included with Registration] / Included Insurance   - ")</f>
        <v> 1 [Included with Registration] / Included Insurance   - </v>
      </c>
      <c r="H317" s="65" t="str">
        <f>IFERROR(__xludf.DUMMYFUNCTION("""COMPUTED_VALUE"""),"Dardick  ")</f>
        <v>Dardick  </v>
      </c>
      <c r="I317" s="65" t="str">
        <f>IFERROR(__xludf.DUMMYFUNCTION("""COMPUTED_VALUE"""),"2214")</f>
        <v>2214</v>
      </c>
      <c r="J317" s="108" t="str">
        <f>IFERROR(__xludf.DUMMYFUNCTION("""COMPUTED_VALUE"""),"12:00 PM to 02:00 PM  ")</f>
        <v>12:00 PM to 02:00 PM  </v>
      </c>
      <c r="K317" s="103">
        <f>IFERROR(__xludf.DUMMYFUNCTION("""COMPUTED_VALUE"""),46146.0)</f>
        <v>46146</v>
      </c>
      <c r="L317" s="65" t="str">
        <f>IFERROR(__xludf.DUMMYFUNCTION("""COMPUTED_VALUE""")," ")</f>
        <v> </v>
      </c>
      <c r="M317" s="65"/>
      <c r="N317" s="65"/>
    </row>
    <row r="318">
      <c r="A318" s="99" t="str">
        <f>IFERROR(__xludf.DUMMYFUNCTION("""COMPUTED_VALUE"""),"https://utrucking.com/admin/orders/6409294479548")</f>
        <v>https://utrucking.com/admin/orders/6409294479548</v>
      </c>
      <c r="B318" s="61" t="str">
        <f>IFERROR(__xludf.DUMMYFUNCTION("""COMPUTED_VALUE"""),"#17375")</f>
        <v>#17375</v>
      </c>
      <c r="C318" s="61" t="str">
        <f>IFERROR(__xludf.DUMMYFUNCTION("""COMPUTED_VALUE"""),"a.v.malhotra@wustl.edu")</f>
        <v>a.v.malhotra@wustl.edu</v>
      </c>
      <c r="D318" s="61">
        <f>IFERROR(__xludf.DUMMYFUNCTION("""COMPUTED_VALUE"""),9.179071764E9)</f>
        <v>9179071764</v>
      </c>
      <c r="E318" s="61" t="str">
        <f>IFERROR(__xludf.DUMMYFUNCTION("""COMPUTED_VALUE"""),"Aaliya Malhotra")</f>
        <v>Aaliya Malhotra</v>
      </c>
      <c r="F318" s="61" t="str">
        <f>IFERROR(__xludf.DUMMYFUNCTION("""COMPUTED_VALUE"""),"Aaliya Malhotra")</f>
        <v>Aaliya Malhotra</v>
      </c>
      <c r="G318" s="61" t="str">
        <f>IFERROR(__xludf.DUMMYFUNCTION("""COMPUTED_VALUE""")," 2 [Included with Registration] / Included Insurance   - ")</f>
        <v> 2 [Included with Registration] / Included Insurance   - </v>
      </c>
      <c r="H318" s="61" t="str">
        <f>IFERROR(__xludf.DUMMYFUNCTION("""COMPUTED_VALUE"""),"Millbrook Bldg. 4  ")</f>
        <v>Millbrook Bldg. 4  </v>
      </c>
      <c r="I318" s="61" t="str">
        <f>IFERROR(__xludf.DUMMYFUNCTION("""COMPUTED_VALUE"""),"103E")</f>
        <v>103E</v>
      </c>
      <c r="J318" s="107" t="str">
        <f>IFERROR(__xludf.DUMMYFUNCTION("""COMPUTED_VALUE"""),"03:00 PM to 05:00 PM")</f>
        <v>03:00 PM to 05:00 PM</v>
      </c>
      <c r="K318" s="100">
        <f>IFERROR(__xludf.DUMMYFUNCTION("""COMPUTED_VALUE"""),46148.0)</f>
        <v>46148</v>
      </c>
      <c r="L318" s="61" t="str">
        <f>IFERROR(__xludf.DUMMYFUNCTION("""COMPUTED_VALUE""")," ")</f>
        <v> </v>
      </c>
      <c r="M318" s="61"/>
      <c r="N318" s="61"/>
    </row>
    <row r="319">
      <c r="A319" s="102" t="str">
        <f>IFERROR(__xludf.DUMMYFUNCTION("""COMPUTED_VALUE"""),"https://utrucking.com/admin/orders/6409309257916")</f>
        <v>https://utrucking.com/admin/orders/6409309257916</v>
      </c>
      <c r="B319" s="65" t="str">
        <f>IFERROR(__xludf.DUMMYFUNCTION("""COMPUTED_VALUE"""),"#17376")</f>
        <v>#17376</v>
      </c>
      <c r="C319" s="65" t="str">
        <f>IFERROR(__xludf.DUMMYFUNCTION("""COMPUTED_VALUE"""),"gerber.scarlett@gmail.com")</f>
        <v>gerber.scarlett@gmail.com</v>
      </c>
      <c r="D319" s="65">
        <f>IFERROR(__xludf.DUMMYFUNCTION("""COMPUTED_VALUE"""),2.038148546E9)</f>
        <v>2038148546</v>
      </c>
      <c r="E319" s="65" t="str">
        <f>IFERROR(__xludf.DUMMYFUNCTION("""COMPUTED_VALUE"""),"Scarlett Gerber")</f>
        <v>Scarlett Gerber</v>
      </c>
      <c r="F319" s="65" t="str">
        <f>IFERROR(__xludf.DUMMYFUNCTION("""COMPUTED_VALUE"""),"Scarlett Gerber")</f>
        <v>Scarlett Gerber</v>
      </c>
      <c r="G319" s="65" t="str">
        <f>IFERROR(__xludf.DUMMYFUNCTION("""COMPUTED_VALUE""")," 2 / Included Insurance   - ")</f>
        <v> 2 / Included Insurance   - </v>
      </c>
      <c r="H319" s="65" t="str">
        <f>IFERROR(__xludf.DUMMYFUNCTION("""COMPUTED_VALUE"""),"Beaumont  ")</f>
        <v>Beaumont  </v>
      </c>
      <c r="I319" s="65" t="str">
        <f>IFERROR(__xludf.DUMMYFUNCTION("""COMPUTED_VALUE"""),"304")</f>
        <v>304</v>
      </c>
      <c r="J319" s="108" t="str">
        <f>IFERROR(__xludf.DUMMYFUNCTION("""COMPUTED_VALUE"""),"09:00 AM to 11:00 AM  ")</f>
        <v>09:00 AM to 11:00 AM  </v>
      </c>
      <c r="K319" s="103">
        <f>IFERROR(__xludf.DUMMYFUNCTION("""COMPUTED_VALUE"""),46146.0)</f>
        <v>46146</v>
      </c>
      <c r="L319" s="65" t="str">
        <f>IFERROR(__xludf.DUMMYFUNCTION("""COMPUTED_VALUE""")," ")</f>
        <v> </v>
      </c>
      <c r="M319" s="65"/>
      <c r="N319" s="65"/>
    </row>
    <row r="320">
      <c r="A320" s="99" t="str">
        <f>IFERROR(__xludf.DUMMYFUNCTION("""COMPUTED_VALUE"""),"https://utrucking.com/admin/orders/6409328459964")</f>
        <v>https://utrucking.com/admin/orders/6409328459964</v>
      </c>
      <c r="B320" s="61" t="str">
        <f>IFERROR(__xludf.DUMMYFUNCTION("""COMPUTED_VALUE"""),"#17377")</f>
        <v>#17377</v>
      </c>
      <c r="C320" s="61" t="str">
        <f>IFERROR(__xludf.DUMMYFUNCTION("""COMPUTED_VALUE"""),"annejoyce33@mac.com")</f>
        <v>annejoyce33@mac.com</v>
      </c>
      <c r="D320" s="61">
        <f>IFERROR(__xludf.DUMMYFUNCTION("""COMPUTED_VALUE"""),9.175769331E9)</f>
        <v>9175769331</v>
      </c>
      <c r="E320" s="61" t="str">
        <f>IFERROR(__xludf.DUMMYFUNCTION("""COMPUTED_VALUE"""),"virginia a joyce")</f>
        <v>virginia a joyce</v>
      </c>
      <c r="F320" s="61" t="str">
        <f>IFERROR(__xludf.DUMMYFUNCTION("""COMPUTED_VALUE"""),"Nia Lawrence")</f>
        <v>Nia Lawrence</v>
      </c>
      <c r="G320" s="61" t="str">
        <f>IFERROR(__xludf.DUMMYFUNCTION("""COMPUTED_VALUE""")," 1 [Included with Registration] / Included Insurance   - ")</f>
        <v> 1 [Included with Registration] / Included Insurance   - </v>
      </c>
      <c r="H320" s="61" t="str">
        <f>IFERROR(__xludf.DUMMYFUNCTION("""COMPUTED_VALUE"""),"Lee  ")</f>
        <v>Lee  </v>
      </c>
      <c r="I320" s="61" t="str">
        <f>IFERROR(__xludf.DUMMYFUNCTION("""COMPUTED_VALUE"""),"109")</f>
        <v>109</v>
      </c>
      <c r="J320" s="107" t="str">
        <f>IFERROR(__xludf.DUMMYFUNCTION("""COMPUTED_VALUE"""),"09:00 AM to 11:00 AM  ")</f>
        <v>09:00 AM to 11:00 AM  </v>
      </c>
      <c r="K320" s="100">
        <f>IFERROR(__xludf.DUMMYFUNCTION("""COMPUTED_VALUE"""),46146.0)</f>
        <v>46146</v>
      </c>
      <c r="L320" s="61" t="str">
        <f>IFERROR(__xludf.DUMMYFUNCTION("""COMPUTED_VALUE""")," ")</f>
        <v> </v>
      </c>
      <c r="M320" s="61"/>
      <c r="N320" s="61" t="str">
        <f>IFERROR(__xludf.DUMMYFUNCTION("""COMPUTED_VALUE"""),"There will also be a mini fridge")</f>
        <v>There will also be a mini fridge</v>
      </c>
    </row>
    <row r="321">
      <c r="A321" s="102" t="str">
        <f>IFERROR(__xludf.DUMMYFUNCTION("""COMPUTED_VALUE"""),"https://utrucking.com/admin/orders/6410098770108")</f>
        <v>https://utrucking.com/admin/orders/6410098770108</v>
      </c>
      <c r="B321" s="65" t="str">
        <f>IFERROR(__xludf.DUMMYFUNCTION("""COMPUTED_VALUE"""),"#17379")</f>
        <v>#17379</v>
      </c>
      <c r="C321" s="65"/>
      <c r="D321" s="65">
        <f>IFERROR(__xludf.DUMMYFUNCTION("""COMPUTED_VALUE"""),3.016516144E9)</f>
        <v>3016516144</v>
      </c>
      <c r="E321" s="65" t="str">
        <f>IFERROR(__xludf.DUMMYFUNCTION("""COMPUTED_VALUE"""),"Rebecca Solovy")</f>
        <v>Rebecca Solovy</v>
      </c>
      <c r="F321" s="65" t="str">
        <f>IFERROR(__xludf.DUMMYFUNCTION("""COMPUTED_VALUE"""),"Hanna Solovy")</f>
        <v>Hanna Solovy</v>
      </c>
      <c r="G321" s="65" t="str">
        <f>IFERROR(__xludf.DUMMYFUNCTION("""COMPUTED_VALUE""")," 2 / Included Insurance   - ")</f>
        <v> 2 / Included Insurance   - </v>
      </c>
      <c r="H321" s="65" t="str">
        <f>IFERROR(__xludf.DUMMYFUNCTION("""COMPUTED_VALUE"""),"Umrath  ")</f>
        <v>Umrath  </v>
      </c>
      <c r="I321" s="65" t="str">
        <f>IFERROR(__xludf.DUMMYFUNCTION("""COMPUTED_VALUE"""),"1236")</f>
        <v>1236</v>
      </c>
      <c r="J321" s="108" t="str">
        <f>IFERROR(__xludf.DUMMYFUNCTION("""COMPUTED_VALUE"""),"09:00 AM to 11:00 AM  ")</f>
        <v>09:00 AM to 11:00 AM  </v>
      </c>
      <c r="K321" s="103">
        <f>IFERROR(__xludf.DUMMYFUNCTION("""COMPUTED_VALUE"""),46148.0)</f>
        <v>46148</v>
      </c>
      <c r="L321" s="65" t="str">
        <f>IFERROR(__xludf.DUMMYFUNCTION("""COMPUTED_VALUE""")," ")</f>
        <v> </v>
      </c>
      <c r="M321" s="65"/>
      <c r="N321" s="65"/>
    </row>
    <row r="322">
      <c r="A322" s="99" t="str">
        <f>IFERROR(__xludf.DUMMYFUNCTION("""COMPUTED_VALUE"""),"https://utrucking.com/admin/orders/6410101489852")</f>
        <v>https://utrucking.com/admin/orders/6410101489852</v>
      </c>
      <c r="B322" s="61" t="str">
        <f>IFERROR(__xludf.DUMMYFUNCTION("""COMPUTED_VALUE"""),"#17380")</f>
        <v>#17380</v>
      </c>
      <c r="C322" s="61"/>
      <c r="D322" s="61">
        <f>IFERROR(__xludf.DUMMYFUNCTION("""COMPUTED_VALUE"""),9.179212278E9)</f>
        <v>9179212278</v>
      </c>
      <c r="E322" s="61" t="str">
        <f>IFERROR(__xludf.DUMMYFUNCTION("""COMPUTED_VALUE"""),"Vivian Goodstein")</f>
        <v>Vivian Goodstein</v>
      </c>
      <c r="F322" s="61" t="str">
        <f>IFERROR(__xludf.DUMMYFUNCTION("""COMPUTED_VALUE"""),"Juliette Goodstein")</f>
        <v>Juliette Goodstein</v>
      </c>
      <c r="G322" s="61" t="str">
        <f>IFERROR(__xludf.DUMMYFUNCTION("""COMPUTED_VALUE""")," 1 [Included with Registration] / Included Insurance   - ")</f>
        <v> 1 [Included with Registration] / Included Insurance   - </v>
      </c>
      <c r="H322" s="61" t="str">
        <f>IFERROR(__xludf.DUMMYFUNCTION("""COMPUTED_VALUE"""),"Park  ")</f>
        <v>Park  </v>
      </c>
      <c r="I322" s="61" t="str">
        <f>IFERROR(__xludf.DUMMYFUNCTION("""COMPUTED_VALUE"""),"372a")</f>
        <v>372a</v>
      </c>
      <c r="J322" s="107" t="str">
        <f>IFERROR(__xludf.DUMMYFUNCTION("""COMPUTED_VALUE"""),"03:00 PM to 05:00 PM")</f>
        <v>03:00 PM to 05:00 PM</v>
      </c>
      <c r="K322" s="100">
        <f>IFERROR(__xludf.DUMMYFUNCTION("""COMPUTED_VALUE"""),46149.0)</f>
        <v>46149</v>
      </c>
      <c r="L322" s="61" t="str">
        <f>IFERROR(__xludf.DUMMYFUNCTION("""COMPUTED_VALUE""")," ")</f>
        <v> </v>
      </c>
      <c r="M322" s="61"/>
      <c r="N322" s="61" t="str">
        <f>IFERROR(__xludf.DUMMYFUNCTION("""COMPUTED_VALUE"""),"fall 2026 housing Zetcher house 2101a")</f>
        <v>fall 2026 housing Zetcher house 2101a</v>
      </c>
    </row>
    <row r="323">
      <c r="A323" s="102" t="str">
        <f>IFERROR(__xludf.DUMMYFUNCTION("""COMPUTED_VALUE"""),"https://utrucking.com/admin/orders/6410104340668")</f>
        <v>https://utrucking.com/admin/orders/6410104340668</v>
      </c>
      <c r="B323" s="65" t="str">
        <f>IFERROR(__xludf.DUMMYFUNCTION("""COMPUTED_VALUE"""),"#17382")</f>
        <v>#17382</v>
      </c>
      <c r="C323" s="65" t="str">
        <f>IFERROR(__xludf.DUMMYFUNCTION("""COMPUTED_VALUE"""),"jordyn.m.white@wustl.edu")</f>
        <v>jordyn.m.white@wustl.edu</v>
      </c>
      <c r="D323" s="65">
        <f>IFERROR(__xludf.DUMMYFUNCTION("""COMPUTED_VALUE"""),3.015298187E9)</f>
        <v>3015298187</v>
      </c>
      <c r="E323" s="65" t="str">
        <f>IFERROR(__xludf.DUMMYFUNCTION("""COMPUTED_VALUE"""),"Hannah White")</f>
        <v>Hannah White</v>
      </c>
      <c r="F323" s="65" t="str">
        <f>IFERROR(__xludf.DUMMYFUNCTION("""COMPUTED_VALUE"""),"Jordyn White")</f>
        <v>Jordyn White</v>
      </c>
      <c r="G323" s="65" t="str">
        <f>IFERROR(__xludf.DUMMYFUNCTION("""COMPUTED_VALUE""")," 2 / Included Insurance   - ")</f>
        <v> 2 / Included Insurance   - </v>
      </c>
      <c r="H323" s="65" t="str">
        <f>IFERROR(__xludf.DUMMYFUNCTION("""COMPUTED_VALUE"""),"Lopata  ")</f>
        <v>Lopata  </v>
      </c>
      <c r="I323" s="65" t="str">
        <f>IFERROR(__xludf.DUMMYFUNCTION("""COMPUTED_VALUE"""),"3091")</f>
        <v>3091</v>
      </c>
      <c r="J323" s="108" t="str">
        <f>IFERROR(__xludf.DUMMYFUNCTION("""COMPUTED_VALUE"""),"09:00 AM to 11:00 AM  ")</f>
        <v>09:00 AM to 11:00 AM  </v>
      </c>
      <c r="K323" s="103">
        <f>IFERROR(__xludf.DUMMYFUNCTION("""COMPUTED_VALUE"""),46146.0)</f>
        <v>46146</v>
      </c>
      <c r="L323" s="65" t="str">
        <f>IFERROR(__xludf.DUMMYFUNCTION("""COMPUTED_VALUE""")," ")</f>
        <v> </v>
      </c>
      <c r="M323" s="65"/>
      <c r="N323" s="65"/>
    </row>
    <row r="324">
      <c r="A324" s="99" t="str">
        <f>IFERROR(__xludf.DUMMYFUNCTION("""COMPUTED_VALUE"""),"https://utrucking.com/admin/orders/6410116595900")</f>
        <v>https://utrucking.com/admin/orders/6410116595900</v>
      </c>
      <c r="B324" s="61" t="str">
        <f>IFERROR(__xludf.DUMMYFUNCTION("""COMPUTED_VALUE"""),"#17383")</f>
        <v>#17383</v>
      </c>
      <c r="C324" s="61" t="str">
        <f>IFERROR(__xludf.DUMMYFUNCTION("""COMPUTED_VALUE"""),"alisonflamenbaum@gmail.com")</f>
        <v>alisonflamenbaum@gmail.com</v>
      </c>
      <c r="D324" s="61">
        <f>IFERROR(__xludf.DUMMYFUNCTION("""COMPUTED_VALUE"""),9.145259746E9)</f>
        <v>9145259746</v>
      </c>
      <c r="E324" s="61" t="str">
        <f>IFERROR(__xludf.DUMMYFUNCTION("""COMPUTED_VALUE"""),"Alison Flamenbaum")</f>
        <v>Alison Flamenbaum</v>
      </c>
      <c r="F324" s="61" t="str">
        <f>IFERROR(__xludf.DUMMYFUNCTION("""COMPUTED_VALUE"""),"Paisley Flamenbaum")</f>
        <v>Paisley Flamenbaum</v>
      </c>
      <c r="G324" s="61" t="str">
        <f>IFERROR(__xludf.DUMMYFUNCTION("""COMPUTED_VALUE""")," 1 [Included with Registration] / Included Insurance   - ")</f>
        <v> 1 [Included with Registration] / Included Insurance   - </v>
      </c>
      <c r="H324" s="61" t="str">
        <f>IFERROR(__xludf.DUMMYFUNCTION("""COMPUTED_VALUE"""),"Lopata  ")</f>
        <v>Lopata  </v>
      </c>
      <c r="I324" s="61" t="str">
        <f>IFERROR(__xludf.DUMMYFUNCTION("""COMPUTED_VALUE"""),"Suite3050RoomA")</f>
        <v>Suite3050RoomA</v>
      </c>
      <c r="J324" s="107" t="str">
        <f>IFERROR(__xludf.DUMMYFUNCTION("""COMPUTED_VALUE"""),"09:00 AM to 11:00 AM  ")</f>
        <v>09:00 AM to 11:00 AM  </v>
      </c>
      <c r="K324" s="100">
        <f>IFERROR(__xludf.DUMMYFUNCTION("""COMPUTED_VALUE"""),46141.0)</f>
        <v>46141</v>
      </c>
      <c r="L324" s="61" t="str">
        <f>IFERROR(__xludf.DUMMYFUNCTION("""COMPUTED_VALUE""")," ")</f>
        <v> </v>
      </c>
      <c r="M324" s="61"/>
      <c r="N324" s="61" t="str">
        <f>IFERROR(__xludf.DUMMYFUNCTION("""COMPUTED_VALUE"""),"Hello, for Paisley Flamenbaum summer storage, Pickup Location is Lopata House Suite 3050 Room A, and Delivery location for Fall 2026 is Greenway Apartments 316-B, 6600 Washington Ave. She will also have some boxes for Home Shipping, I will register separa"&amp;"tely as per conversation with Carlos. She will also have a refrigerator return. Thank you, Alison Flamenbaum 914-525-9746 alisonflamenbaum@gmail.com")</f>
        <v>Hello, for Paisley Flamenbaum summer storage, Pickup Location is Lopata House Suite 3050 Room A, and Delivery location for Fall 2026 is Greenway Apartments 316-B, 6600 Washington Ave. She will also have some boxes for Home Shipping, I will register separately as per conversation with Carlos. She will also have a refrigerator return. Thank you, Alison Flamenbaum 914-525-9746 alisonflamenbaum@gmail.com</v>
      </c>
    </row>
    <row r="325">
      <c r="A325" s="102" t="str">
        <f>IFERROR(__xludf.DUMMYFUNCTION("""COMPUTED_VALUE"""),"https://utrucking.com/admin/orders/6410492969148")</f>
        <v>https://utrucking.com/admin/orders/6410492969148</v>
      </c>
      <c r="B325" s="65" t="str">
        <f>IFERROR(__xludf.DUMMYFUNCTION("""COMPUTED_VALUE"""),"#17384")</f>
        <v>#17384</v>
      </c>
      <c r="C325" s="65" t="str">
        <f>IFERROR(__xludf.DUMMYFUNCTION("""COMPUTED_VALUE"""),"nathanrblum@gmail.com")</f>
        <v>nathanrblum@gmail.com</v>
      </c>
      <c r="D325" s="65">
        <f>IFERROR(__xludf.DUMMYFUNCTION("""COMPUTED_VALUE"""),9.17609601E9)</f>
        <v>9176096010</v>
      </c>
      <c r="E325" s="65" t="str">
        <f>IFERROR(__xludf.DUMMYFUNCTION("""COMPUTED_VALUE"""),"Barbara Spindel")</f>
        <v>Barbara Spindel</v>
      </c>
      <c r="F325" s="65" t="str">
        <f>IFERROR(__xludf.DUMMYFUNCTION("""COMPUTED_VALUE"""),"Nathan Blum")</f>
        <v>Nathan Blum</v>
      </c>
      <c r="G325" s="65" t="str">
        <f>IFERROR(__xludf.DUMMYFUNCTION("""COMPUTED_VALUE""")," 1 [Included with Registration] / Included Insurance   - ")</f>
        <v> 1 [Included with Registration] / Included Insurance   - </v>
      </c>
      <c r="H325" s="65" t="str">
        <f>IFERROR(__xludf.DUMMYFUNCTION("""COMPUTED_VALUE"""),"Millbrook Bldg. 3  ")</f>
        <v>Millbrook Bldg. 3  </v>
      </c>
      <c r="I325" s="65" t="str">
        <f>IFERROR(__xludf.DUMMYFUNCTION("""COMPUTED_VALUE"""),"B-2F")</f>
        <v>B-2F</v>
      </c>
      <c r="J325" s="108" t="str">
        <f>IFERROR(__xludf.DUMMYFUNCTION("""COMPUTED_VALUE"""),"03:00 PM to 05:00 PM")</f>
        <v>03:00 PM to 05:00 PM</v>
      </c>
      <c r="K325" s="103">
        <f>IFERROR(__xludf.DUMMYFUNCTION("""COMPUTED_VALUE"""),46147.0)</f>
        <v>46147</v>
      </c>
      <c r="L325" s="65" t="str">
        <f>IFERROR(__xludf.DUMMYFUNCTION("""COMPUTED_VALUE""")," ")</f>
        <v> </v>
      </c>
      <c r="M325" s="65"/>
      <c r="N325" s="65"/>
    </row>
    <row r="326">
      <c r="A326" s="99" t="str">
        <f>IFERROR(__xludf.DUMMYFUNCTION("""COMPUTED_VALUE"""),"https://utrucking.com/admin/orders/6410499129532")</f>
        <v>https://utrucking.com/admin/orders/6410499129532</v>
      </c>
      <c r="B326" s="61" t="str">
        <f>IFERROR(__xludf.DUMMYFUNCTION("""COMPUTED_VALUE"""),"#17385")</f>
        <v>#17385</v>
      </c>
      <c r="C326" s="61" t="str">
        <f>IFERROR(__xludf.DUMMYFUNCTION("""COMPUTED_VALUE"""),"ljiaying@wustl.edu")</f>
        <v>ljiaying@wustl.edu</v>
      </c>
      <c r="D326" s="61">
        <f>IFERROR(__xludf.DUMMYFUNCTION("""COMPUTED_VALUE"""),3.146654598E9)</f>
        <v>3146654598</v>
      </c>
      <c r="E326" s="61" t="str">
        <f>IFERROR(__xludf.DUMMYFUNCTION("""COMPUTED_VALUE"""),"Evelyn Lu")</f>
        <v>Evelyn Lu</v>
      </c>
      <c r="F326" s="61" t="str">
        <f>IFERROR(__xludf.DUMMYFUNCTION("""COMPUTED_VALUE"""),"Evelyn Lu")</f>
        <v>Evelyn Lu</v>
      </c>
      <c r="G326" s="61" t="str">
        <f>IFERROR(__xludf.DUMMYFUNCTION("""COMPUTED_VALUE""")," 1 [Included with Registration] / Included Insurance   - ")</f>
        <v> 1 [Included with Registration] / Included Insurance   - </v>
      </c>
      <c r="H326" s="61" t="str">
        <f>IFERROR(__xludf.DUMMYFUNCTION("""COMPUTED_VALUE"""),"Koenig  ")</f>
        <v>Koenig  </v>
      </c>
      <c r="I326" s="61" t="str">
        <f>IFERROR(__xludf.DUMMYFUNCTION("""COMPUTED_VALUE"""),"3321")</f>
        <v>3321</v>
      </c>
      <c r="J326" s="107" t="str">
        <f>IFERROR(__xludf.DUMMYFUNCTION("""COMPUTED_VALUE"""),"01:00 PM to 03:00 PM  ")</f>
        <v>01:00 PM to 03:00 PM  </v>
      </c>
      <c r="K326" s="100">
        <f>IFERROR(__xludf.DUMMYFUNCTION("""COMPUTED_VALUE"""),46144.0)</f>
        <v>46144</v>
      </c>
      <c r="L326" s="61" t="str">
        <f>IFERROR(__xludf.DUMMYFUNCTION("""COMPUTED_VALUE""")," ")</f>
        <v> </v>
      </c>
      <c r="M326" s="61"/>
      <c r="N326" s="61"/>
    </row>
    <row r="327">
      <c r="A327" s="102" t="str">
        <f>IFERROR(__xludf.DUMMYFUNCTION("""COMPUTED_VALUE"""),"https://utrucking.com/admin/orders/6410507583676")</f>
        <v>https://utrucking.com/admin/orders/6410507583676</v>
      </c>
      <c r="B327" s="65" t="str">
        <f>IFERROR(__xludf.DUMMYFUNCTION("""COMPUTED_VALUE"""),"#17386")</f>
        <v>#17386</v>
      </c>
      <c r="C327" s="65"/>
      <c r="D327" s="65">
        <f>IFERROR(__xludf.DUMMYFUNCTION("""COMPUTED_VALUE"""),9.12730456E9)</f>
        <v>9127304560</v>
      </c>
      <c r="E327" s="65" t="str">
        <f>IFERROR(__xludf.DUMMYFUNCTION("""COMPUTED_VALUE"""),"Jo Da Silva Carvalho")</f>
        <v>Jo Da Silva Carvalho</v>
      </c>
      <c r="F327" s="65" t="str">
        <f>IFERROR(__xludf.DUMMYFUNCTION("""COMPUTED_VALUE"""),"Jo Da Silva Carvalho")</f>
        <v>Jo Da Silva Carvalho</v>
      </c>
      <c r="G327" s="65" t="str">
        <f>IFERROR(__xludf.DUMMYFUNCTION("""COMPUTED_VALUE""")," 1 [Included with Registration] / Included Insurance   - ")</f>
        <v> 1 [Included with Registration] / Included Insurance   - </v>
      </c>
      <c r="H327" s="65" t="str">
        <f>IFERROR(__xludf.DUMMYFUNCTION("""COMPUTED_VALUE"""),"Lien  ")</f>
        <v>Lien  </v>
      </c>
      <c r="I327" s="65" t="str">
        <f>IFERROR(__xludf.DUMMYFUNCTION("""COMPUTED_VALUE"""),"1114")</f>
        <v>1114</v>
      </c>
      <c r="J327" s="108" t="str">
        <f>IFERROR(__xludf.DUMMYFUNCTION("""COMPUTED_VALUE"""),"10:00 AM to 12:00 PM  ")</f>
        <v>10:00 AM to 12:00 PM  </v>
      </c>
      <c r="K327" s="103">
        <f>IFERROR(__xludf.DUMMYFUNCTION("""COMPUTED_VALUE"""),46147.0)</f>
        <v>46147</v>
      </c>
      <c r="L327" s="65" t="str">
        <f>IFERROR(__xludf.DUMMYFUNCTION("""COMPUTED_VALUE""")," ")</f>
        <v> </v>
      </c>
      <c r="M327" s="65"/>
      <c r="N327" s="65"/>
    </row>
    <row r="328">
      <c r="A328" s="99" t="str">
        <f>IFERROR(__xludf.DUMMYFUNCTION("""COMPUTED_VALUE"""),"https://utrucking.com/admin/orders/6410546839740")</f>
        <v>https://utrucking.com/admin/orders/6410546839740</v>
      </c>
      <c r="B328" s="61" t="str">
        <f>IFERROR(__xludf.DUMMYFUNCTION("""COMPUTED_VALUE"""),"#17387")</f>
        <v>#17387</v>
      </c>
      <c r="C328" s="61"/>
      <c r="D328" s="61">
        <f>IFERROR(__xludf.DUMMYFUNCTION("""COMPUTED_VALUE"""),9.175583799E9)</f>
        <v>9175583799</v>
      </c>
      <c r="E328" s="61" t="str">
        <f>IFERROR(__xludf.DUMMYFUNCTION("""COMPUTED_VALUE"""),"Jennifer Shrier")</f>
        <v>Jennifer Shrier</v>
      </c>
      <c r="F328" s="61" t="str">
        <f>IFERROR(__xludf.DUMMYFUNCTION("""COMPUTED_VALUE"""),"Sienna Shrier ")</f>
        <v>Sienna Shrier </v>
      </c>
      <c r="G328" s="61" t="str">
        <f>IFERROR(__xludf.DUMMYFUNCTION("""COMPUTED_VALUE""")," 1 [Included with Registration] / Included Insurance   - ")</f>
        <v> 1 [Included with Registration] / Included Insurance   - </v>
      </c>
      <c r="H328" s="61" t="str">
        <f>IFERROR(__xludf.DUMMYFUNCTION("""COMPUTED_VALUE"""),"Danforth  ")</f>
        <v>Danforth  </v>
      </c>
      <c r="I328" s="61" t="str">
        <f>IFERROR(__xludf.DUMMYFUNCTION("""COMPUTED_VALUE"""),"2229")</f>
        <v>2229</v>
      </c>
      <c r="J328" s="107" t="str">
        <f>IFERROR(__xludf.DUMMYFUNCTION("""COMPUTED_VALUE"""),"12:00 PM to 02:00 PM  ")</f>
        <v>12:00 PM to 02:00 PM  </v>
      </c>
      <c r="K328" s="100">
        <f>IFERROR(__xludf.DUMMYFUNCTION("""COMPUTED_VALUE"""),46146.0)</f>
        <v>46146</v>
      </c>
      <c r="L328" s="61" t="str">
        <f>IFERROR(__xludf.DUMMYFUNCTION("""COMPUTED_VALUE""")," ")</f>
        <v> </v>
      </c>
      <c r="M328" s="61"/>
      <c r="N328" s="61"/>
    </row>
    <row r="329">
      <c r="A329" s="102" t="str">
        <f>IFERROR(__xludf.DUMMYFUNCTION("""COMPUTED_VALUE"""),"https://utrucking.com/admin/orders/6410927112380")</f>
        <v>https://utrucking.com/admin/orders/6410927112380</v>
      </c>
      <c r="B329" s="65" t="str">
        <f>IFERROR(__xludf.DUMMYFUNCTION("""COMPUTED_VALUE"""),"#17389")</f>
        <v>#17389</v>
      </c>
      <c r="C329" s="65" t="str">
        <f>IFERROR(__xludf.DUMMYFUNCTION("""COMPUTED_VALUE"""),"doyoonnkim00@gmail.com")</f>
        <v>doyoonnkim00@gmail.com</v>
      </c>
      <c r="D329" s="65">
        <f>IFERROR(__xludf.DUMMYFUNCTION("""COMPUTED_VALUE"""),3.143911462E9)</f>
        <v>3143911462</v>
      </c>
      <c r="E329" s="65" t="str">
        <f>IFERROR(__xludf.DUMMYFUNCTION("""COMPUTED_VALUE"""),"Doyoon Kim")</f>
        <v>Doyoon Kim</v>
      </c>
      <c r="F329" s="65" t="str">
        <f>IFERROR(__xludf.DUMMYFUNCTION("""COMPUTED_VALUE"""),"Doyoon Kim")</f>
        <v>Doyoon Kim</v>
      </c>
      <c r="G329" s="65" t="str">
        <f>IFERROR(__xludf.DUMMYFUNCTION("""COMPUTED_VALUE""")," 1 [Included with Registration] / Included Insurance   - ")</f>
        <v> 1 [Included with Registration] / Included Insurance   - </v>
      </c>
      <c r="H329" s="65" t="str">
        <f>IFERROR(__xludf.DUMMYFUNCTION("""COMPUTED_VALUE"""),"Lien  ")</f>
        <v>Lien  </v>
      </c>
      <c r="I329" s="65" t="str">
        <f>IFERROR(__xludf.DUMMYFUNCTION("""COMPUTED_VALUE"""),"2201")</f>
        <v>2201</v>
      </c>
      <c r="J329" s="108" t="str">
        <f>IFERROR(__xludf.DUMMYFUNCTION("""COMPUTED_VALUE"""),"09:00 AM to 11:00 AM  ")</f>
        <v>09:00 AM to 11:00 AM  </v>
      </c>
      <c r="K329" s="103">
        <f>IFERROR(__xludf.DUMMYFUNCTION("""COMPUTED_VALUE"""),46149.0)</f>
        <v>46149</v>
      </c>
      <c r="L329" s="65" t="str">
        <f>IFERROR(__xludf.DUMMYFUNCTION("""COMPUTED_VALUE""")," ")</f>
        <v> </v>
      </c>
      <c r="M329" s="65"/>
      <c r="N329" s="65"/>
    </row>
    <row r="330">
      <c r="A330" s="99" t="str">
        <f>IFERROR(__xludf.DUMMYFUNCTION("""COMPUTED_VALUE"""),"https://utrucking.com/admin/orders/6410981540028")</f>
        <v>https://utrucking.com/admin/orders/6410981540028</v>
      </c>
      <c r="B330" s="61" t="str">
        <f>IFERROR(__xludf.DUMMYFUNCTION("""COMPUTED_VALUE"""),"#17390")</f>
        <v>#17390</v>
      </c>
      <c r="C330" s="61" t="str">
        <f>IFERROR(__xludf.DUMMYFUNCTION("""COMPUTED_VALUE"""),"chenfei.x@wustl.edu")</f>
        <v>chenfei.x@wustl.edu</v>
      </c>
      <c r="D330" s="61">
        <f>IFERROR(__xludf.DUMMYFUNCTION("""COMPUTED_VALUE"""),3.142295158E9)</f>
        <v>3142295158</v>
      </c>
      <c r="E330" s="61" t="str">
        <f>IFERROR(__xludf.DUMMYFUNCTION("""COMPUTED_VALUE"""),"Toby Xu")</f>
        <v>Toby Xu</v>
      </c>
      <c r="F330" s="61" t="str">
        <f>IFERROR(__xludf.DUMMYFUNCTION("""COMPUTED_VALUE"""),"Toby Xu")</f>
        <v>Toby Xu</v>
      </c>
      <c r="G330" s="61" t="str">
        <f>IFERROR(__xludf.DUMMYFUNCTION("""COMPUTED_VALUE""")," 1 [Included with Registration] / Included Insurance   - ")</f>
        <v> 1 [Included with Registration] / Included Insurance   - </v>
      </c>
      <c r="H330" s="61" t="str">
        <f>IFERROR(__xludf.DUMMYFUNCTION("""COMPUTED_VALUE"""),"Zetcher  ")</f>
        <v>Zetcher  </v>
      </c>
      <c r="I330" s="61" t="str">
        <f>IFERROR(__xludf.DUMMYFUNCTION("""COMPUTED_VALUE"""),"2121")</f>
        <v>2121</v>
      </c>
      <c r="J330" s="107" t="str">
        <f>IFERROR(__xludf.DUMMYFUNCTION("""COMPUTED_VALUE"""),"09:00 AM to 11:00 AM  ")</f>
        <v>09:00 AM to 11:00 AM  </v>
      </c>
      <c r="K330" s="100">
        <f>IFERROR(__xludf.DUMMYFUNCTION("""COMPUTED_VALUE"""),46149.0)</f>
        <v>46149</v>
      </c>
      <c r="L330" s="61" t="str">
        <f>IFERROR(__xludf.DUMMYFUNCTION("""COMPUTED_VALUE""")," ")</f>
        <v> </v>
      </c>
      <c r="M330" s="61"/>
      <c r="N330" s="61"/>
    </row>
    <row r="331">
      <c r="A331" s="102" t="str">
        <f>IFERROR(__xludf.DUMMYFUNCTION("""COMPUTED_VALUE"""),"https://utrucking.com/admin/orders/6411010375868")</f>
        <v>https://utrucking.com/admin/orders/6411010375868</v>
      </c>
      <c r="B331" s="65" t="str">
        <f>IFERROR(__xludf.DUMMYFUNCTION("""COMPUTED_VALUE"""),"#17391")</f>
        <v>#17391</v>
      </c>
      <c r="C331" s="65" t="str">
        <f>IFERROR(__xludf.DUMMYFUNCTION("""COMPUTED_VALUE"""),"alexadh30@gmail.com")</f>
        <v>alexadh30@gmail.com</v>
      </c>
      <c r="D331" s="65">
        <f>IFERROR(__xludf.DUMMYFUNCTION("""COMPUTED_VALUE"""),9.729461383E9)</f>
        <v>9729461383</v>
      </c>
      <c r="E331" s="65" t="str">
        <f>IFERROR(__xludf.DUMMYFUNCTION("""COMPUTED_VALUE"""),"Daniel Hernandez")</f>
        <v>Daniel Hernandez</v>
      </c>
      <c r="F331" s="65" t="str">
        <f>IFERROR(__xludf.DUMMYFUNCTION("""COMPUTED_VALUE"""),"Alexa Hernandez ")</f>
        <v>Alexa Hernandez </v>
      </c>
      <c r="G331" s="65" t="str">
        <f>IFERROR(__xludf.DUMMYFUNCTION("""COMPUTED_VALUE""")," 1 [Included with Registration] / Included Insurance   - ")</f>
        <v> 1 [Included with Registration] / Included Insurance   - </v>
      </c>
      <c r="H331" s="65" t="str">
        <f>IFERROR(__xludf.DUMMYFUNCTION("""COMPUTED_VALUE"""),"Rutledge  ")</f>
        <v>Rutledge  </v>
      </c>
      <c r="I331" s="65" t="str">
        <f>IFERROR(__xludf.DUMMYFUNCTION("""COMPUTED_VALUE"""),"341")</f>
        <v>341</v>
      </c>
      <c r="J331" s="108" t="str">
        <f>IFERROR(__xludf.DUMMYFUNCTION("""COMPUTED_VALUE"""),"02:00 PM to 04:00 PM")</f>
        <v>02:00 PM to 04:00 PM</v>
      </c>
      <c r="K331" s="103">
        <f>IFERROR(__xludf.DUMMYFUNCTION("""COMPUTED_VALUE"""),46147.0)</f>
        <v>46147</v>
      </c>
      <c r="L331" s="65" t="str">
        <f>IFERROR(__xludf.DUMMYFUNCTION("""COMPUTED_VALUE""")," ")</f>
        <v> </v>
      </c>
      <c r="M331" s="65"/>
      <c r="N331" s="65"/>
    </row>
    <row r="332">
      <c r="A332" s="99" t="str">
        <f>IFERROR(__xludf.DUMMYFUNCTION("""COMPUTED_VALUE"""),"https://utrucking.com/admin/orders/6411086069948")</f>
        <v>https://utrucking.com/admin/orders/6411086069948</v>
      </c>
      <c r="B332" s="61" t="str">
        <f>IFERROR(__xludf.DUMMYFUNCTION("""COMPUTED_VALUE"""),"#17392")</f>
        <v>#17392</v>
      </c>
      <c r="C332" s="61"/>
      <c r="D332" s="61">
        <f>IFERROR(__xludf.DUMMYFUNCTION("""COMPUTED_VALUE"""),1.3235788317E10)</f>
        <v>13235788317</v>
      </c>
      <c r="E332" s="61" t="str">
        <f>IFERROR(__xludf.DUMMYFUNCTION("""COMPUTED_VALUE"""),"Abby Kohn")</f>
        <v>Abby Kohn</v>
      </c>
      <c r="F332" s="61" t="str">
        <f>IFERROR(__xludf.DUMMYFUNCTION("""COMPUTED_VALUE"""),"Phoebe Linn")</f>
        <v>Phoebe Linn</v>
      </c>
      <c r="G332" s="61" t="str">
        <f>IFERROR(__xludf.DUMMYFUNCTION("""COMPUTED_VALUE""")," 1 [Included with Registration] / Included Insurance   - ")</f>
        <v> 1 [Included with Registration] / Included Insurance   - </v>
      </c>
      <c r="H332" s="61" t="str">
        <f>IFERROR(__xludf.DUMMYFUNCTION("""COMPUTED_VALUE"""),"Dardick  ")</f>
        <v>Dardick  </v>
      </c>
      <c r="I332" s="61" t="str">
        <f>IFERROR(__xludf.DUMMYFUNCTION("""COMPUTED_VALUE"""),"4420")</f>
        <v>4420</v>
      </c>
      <c r="J332" s="107" t="str">
        <f>IFERROR(__xludf.DUMMYFUNCTION("""COMPUTED_VALUE"""),"09:00 AM to 11:00 AM  ")</f>
        <v>09:00 AM to 11:00 AM  </v>
      </c>
      <c r="K332" s="100">
        <f>IFERROR(__xludf.DUMMYFUNCTION("""COMPUTED_VALUE"""),46150.0)</f>
        <v>46150</v>
      </c>
      <c r="L332" s="61" t="str">
        <f>IFERROR(__xludf.DUMMYFUNCTION("""COMPUTED_VALUE""")," ")</f>
        <v> </v>
      </c>
      <c r="M332" s="61"/>
      <c r="N332" s="61"/>
    </row>
    <row r="333">
      <c r="A333" s="102" t="str">
        <f>IFERROR(__xludf.DUMMYFUNCTION("""COMPUTED_VALUE"""),"https://utrucking.com/admin/orders/6411327832252")</f>
        <v>https://utrucking.com/admin/orders/6411327832252</v>
      </c>
      <c r="B333" s="65" t="str">
        <f>IFERROR(__xludf.DUMMYFUNCTION("""COMPUTED_VALUE"""),"#17394")</f>
        <v>#17394</v>
      </c>
      <c r="C333" s="65"/>
      <c r="D333" s="65">
        <f>IFERROR(__xludf.DUMMYFUNCTION("""COMPUTED_VALUE"""),7.875528399E9)</f>
        <v>7875528399</v>
      </c>
      <c r="E333" s="65" t="str">
        <f>IFERROR(__xludf.DUMMYFUNCTION("""COMPUTED_VALUE"""),"Charlotte Golderos")</f>
        <v>Charlotte Golderos</v>
      </c>
      <c r="F333" s="65" t="str">
        <f>IFERROR(__xludf.DUMMYFUNCTION("""COMPUTED_VALUE"""),"Diego Ortiz Golderos ")</f>
        <v>Diego Ortiz Golderos </v>
      </c>
      <c r="G333" s="65" t="str">
        <f>IFERROR(__xludf.DUMMYFUNCTION("""COMPUTED_VALUE""")," 1 [Included with Registration] / Included Insurance   - ")</f>
        <v> 1 [Included with Registration] / Included Insurance   - </v>
      </c>
      <c r="H333" s="65" t="str">
        <f>IFERROR(__xludf.DUMMYFUNCTION("""COMPUTED_VALUE"""),"Rutledge  ")</f>
        <v>Rutledge  </v>
      </c>
      <c r="I333" s="65" t="str">
        <f>IFERROR(__xludf.DUMMYFUNCTION("""COMPUTED_VALUE"""),"244")</f>
        <v>244</v>
      </c>
      <c r="J333" s="108" t="str">
        <f>IFERROR(__xludf.DUMMYFUNCTION("""COMPUTED_VALUE"""),"02:00 PM to 04:00 PM")</f>
        <v>02:00 PM to 04:00 PM</v>
      </c>
      <c r="K333" s="103">
        <f>IFERROR(__xludf.DUMMYFUNCTION("""COMPUTED_VALUE"""),46148.0)</f>
        <v>46148</v>
      </c>
      <c r="L333" s="65" t="str">
        <f>IFERROR(__xludf.DUMMYFUNCTION("""COMPUTED_VALUE""")," ")</f>
        <v> </v>
      </c>
      <c r="M333" s="65"/>
      <c r="N333" s="65"/>
    </row>
    <row r="334">
      <c r="A334" s="99" t="str">
        <f>IFERROR(__xludf.DUMMYFUNCTION("""COMPUTED_VALUE"""),"https://utrucking.com/admin/orders/6411520049340")</f>
        <v>https://utrucking.com/admin/orders/6411520049340</v>
      </c>
      <c r="B334" s="61" t="str">
        <f>IFERROR(__xludf.DUMMYFUNCTION("""COMPUTED_VALUE"""),"#17396")</f>
        <v>#17396</v>
      </c>
      <c r="C334" s="61" t="str">
        <f>IFERROR(__xludf.DUMMYFUNCTION("""COMPUTED_VALUE"""),"placer1hugo@gmail.com")</f>
        <v>placer1hugo@gmail.com</v>
      </c>
      <c r="D334" s="61">
        <f>IFERROR(__xludf.DUMMYFUNCTION("""COMPUTED_VALUE"""),4.073388172E9)</f>
        <v>4073388172</v>
      </c>
      <c r="E334" s="61" t="str">
        <f>IFERROR(__xludf.DUMMYFUNCTION("""COMPUTED_VALUE"""),"Hugo Placer-Sanchez")</f>
        <v>Hugo Placer-Sanchez</v>
      </c>
      <c r="F334" s="61" t="str">
        <f>IFERROR(__xludf.DUMMYFUNCTION("""COMPUTED_VALUE"""),"Hugo Placer")</f>
        <v>Hugo Placer</v>
      </c>
      <c r="G334" s="61" t="str">
        <f>IFERROR(__xludf.DUMMYFUNCTION("""COMPUTED_VALUE""")," 2 / Included Insurance   - ")</f>
        <v> 2 / Included Insurance   - </v>
      </c>
      <c r="H334" s="61" t="str">
        <f>IFERROR(__xludf.DUMMYFUNCTION("""COMPUTED_VALUE"""),"Village House  ")</f>
        <v>Village House  </v>
      </c>
      <c r="I334" s="61" t="str">
        <f>IFERROR(__xludf.DUMMYFUNCTION("""COMPUTED_VALUE"""),"Village - 2132 - a")</f>
        <v>Village - 2132 - a</v>
      </c>
      <c r="J334" s="107" t="str">
        <f>IFERROR(__xludf.DUMMYFUNCTION("""COMPUTED_VALUE"""),"10:00 AM to 12:00 PM  ")</f>
        <v>10:00 AM to 12:00 PM  </v>
      </c>
      <c r="K334" s="100">
        <f>IFERROR(__xludf.DUMMYFUNCTION("""COMPUTED_VALUE"""),46151.0)</f>
        <v>46151</v>
      </c>
      <c r="L334" s="61" t="str">
        <f>IFERROR(__xludf.DUMMYFUNCTION("""COMPUTED_VALUE""")," ")</f>
        <v> </v>
      </c>
      <c r="M334" s="61"/>
      <c r="N334" s="61"/>
    </row>
    <row r="335">
      <c r="A335" s="102" t="str">
        <f>IFERROR(__xludf.DUMMYFUNCTION("""COMPUTED_VALUE"""),"https://utrucking.com/admin/orders/6411592794300")</f>
        <v>https://utrucking.com/admin/orders/6411592794300</v>
      </c>
      <c r="B335" s="65" t="str">
        <f>IFERROR(__xludf.DUMMYFUNCTION("""COMPUTED_VALUE"""),"#17397")</f>
        <v>#17397</v>
      </c>
      <c r="C335" s="65" t="str">
        <f>IFERROR(__xludf.DUMMYFUNCTION("""COMPUTED_VALUE"""),"ejz2004@icloud.com")</f>
        <v>ejz2004@icloud.com</v>
      </c>
      <c r="D335" s="65">
        <f>IFERROR(__xludf.DUMMYFUNCTION("""COMPUTED_VALUE"""),5.163447738E9)</f>
        <v>5163447738</v>
      </c>
      <c r="E335" s="65" t="str">
        <f>IFERROR(__xludf.DUMMYFUNCTION("""COMPUTED_VALUE"""),"Eric Zimmerman")</f>
        <v>Eric Zimmerman</v>
      </c>
      <c r="F335" s="65" t="str">
        <f>IFERROR(__xludf.DUMMYFUNCTION("""COMPUTED_VALUE"""),"Eric Zimmerman")</f>
        <v>Eric Zimmerman</v>
      </c>
      <c r="G335" s="65" t="str">
        <f>IFERROR(__xludf.DUMMYFUNCTION("""COMPUTED_VALUE""")," 1 [Included with Registration] / Included Insurance   - ")</f>
        <v> 1 [Included with Registration] / Included Insurance   - </v>
      </c>
      <c r="H335" s="65" t="str">
        <f>IFERROR(__xludf.DUMMYFUNCTION("""COMPUTED_VALUE"""),"Loop Loft 6255  ")</f>
        <v>Loop Loft 6255  </v>
      </c>
      <c r="I335" s="65" t="str">
        <f>IFERROR(__xludf.DUMMYFUNCTION("""COMPUTED_VALUE"""),"416A")</f>
        <v>416A</v>
      </c>
      <c r="J335" s="108" t="str">
        <f>IFERROR(__xludf.DUMMYFUNCTION("""COMPUTED_VALUE"""),"09:00 AM to 11:00 AM  ")</f>
        <v>09:00 AM to 11:00 AM  </v>
      </c>
      <c r="K335" s="103">
        <f>IFERROR(__xludf.DUMMYFUNCTION("""COMPUTED_VALUE"""),46144.0)</f>
        <v>46144</v>
      </c>
      <c r="L335" s="65" t="str">
        <f>IFERROR(__xludf.DUMMYFUNCTION("""COMPUTED_VALUE""")," ")</f>
        <v> </v>
      </c>
      <c r="M335" s="65"/>
      <c r="N335" s="65"/>
    </row>
    <row r="336">
      <c r="A336" s="99" t="str">
        <f>IFERROR(__xludf.DUMMYFUNCTION("""COMPUTED_VALUE"""),"https://utrucking.com/admin/orders/6411649876156")</f>
        <v>https://utrucking.com/admin/orders/6411649876156</v>
      </c>
      <c r="B336" s="61" t="str">
        <f>IFERROR(__xludf.DUMMYFUNCTION("""COMPUTED_VALUE"""),"#17398")</f>
        <v>#17398</v>
      </c>
      <c r="C336" s="61"/>
      <c r="D336" s="61">
        <f>IFERROR(__xludf.DUMMYFUNCTION("""COMPUTED_VALUE"""),8.326234945E9)</f>
        <v>8326234945</v>
      </c>
      <c r="E336" s="61" t="str">
        <f>IFERROR(__xludf.DUMMYFUNCTION("""COMPUTED_VALUE"""),"Jessica Wang")</f>
        <v>Jessica Wang</v>
      </c>
      <c r="F336" s="61" t="str">
        <f>IFERROR(__xludf.DUMMYFUNCTION("""COMPUTED_VALUE"""),"Jessica Wang")</f>
        <v>Jessica Wang</v>
      </c>
      <c r="G336" s="61" t="str">
        <f>IFERROR(__xludf.DUMMYFUNCTION("""COMPUTED_VALUE""")," 1 [Included with Registration] / Included Insurance   - ")</f>
        <v> 1 [Included with Registration] / Included Insurance   - </v>
      </c>
      <c r="H336" s="61" t="str">
        <f>IFERROR(__xludf.DUMMYFUNCTION("""COMPUTED_VALUE"""),"Umrath  ")</f>
        <v>Umrath  </v>
      </c>
      <c r="I336" s="61" t="str">
        <f>IFERROR(__xludf.DUMMYFUNCTION("""COMPUTED_VALUE"""),"4421")</f>
        <v>4421</v>
      </c>
      <c r="J336" s="107" t="str">
        <f>IFERROR(__xludf.DUMMYFUNCTION("""COMPUTED_VALUE"""),"03:00 PM to 05:00 PM")</f>
        <v>03:00 PM to 05:00 PM</v>
      </c>
      <c r="K336" s="100">
        <f>IFERROR(__xludf.DUMMYFUNCTION("""COMPUTED_VALUE"""),46150.0)</f>
        <v>46150</v>
      </c>
      <c r="L336" s="61" t="str">
        <f>IFERROR(__xludf.DUMMYFUNCTION("""COMPUTED_VALUE""")," ")</f>
        <v> </v>
      </c>
      <c r="M336" s="61"/>
      <c r="N336" s="61"/>
    </row>
    <row r="337">
      <c r="A337" s="102" t="str">
        <f>IFERROR(__xludf.DUMMYFUNCTION("""COMPUTED_VALUE"""),"https://utrucking.com/admin/orders/6411676745916")</f>
        <v>https://utrucking.com/admin/orders/6411676745916</v>
      </c>
      <c r="B337" s="65" t="str">
        <f>IFERROR(__xludf.DUMMYFUNCTION("""COMPUTED_VALUE"""),"#17399")</f>
        <v>#17399</v>
      </c>
      <c r="C337" s="65" t="str">
        <f>IFERROR(__xludf.DUMMYFUNCTION("""COMPUTED_VALUE"""),"miperlmutter12@gmail.com")</f>
        <v>miperlmutter12@gmail.com</v>
      </c>
      <c r="D337" s="65">
        <f>IFERROR(__xludf.DUMMYFUNCTION("""COMPUTED_VALUE"""),9.179236964E9)</f>
        <v>9179236964</v>
      </c>
      <c r="E337" s="65" t="str">
        <f>IFERROR(__xludf.DUMMYFUNCTION("""COMPUTED_VALUE"""),"John Perlmutter")</f>
        <v>John Perlmutter</v>
      </c>
      <c r="F337" s="65" t="str">
        <f>IFERROR(__xludf.DUMMYFUNCTION("""COMPUTED_VALUE"""),"Michael Perlmutter")</f>
        <v>Michael Perlmutter</v>
      </c>
      <c r="G337" s="65" t="str">
        <f>IFERROR(__xludf.DUMMYFUNCTION("""COMPUTED_VALUE""")," 1 [Included with Registration] / Included Insurance   - ")</f>
        <v> 1 [Included with Registration] / Included Insurance   - </v>
      </c>
      <c r="H337" s="65" t="str">
        <f>IFERROR(__xludf.DUMMYFUNCTION("""COMPUTED_VALUE"""),"House 2 (Sigma Nu)  ")</f>
        <v>House 2 (Sigma Nu)  </v>
      </c>
      <c r="I337" s="65" t="str">
        <f>IFERROR(__xludf.DUMMYFUNCTION("""COMPUTED_VALUE"""),"308")</f>
        <v>308</v>
      </c>
      <c r="J337" s="108" t="str">
        <f>IFERROR(__xludf.DUMMYFUNCTION("""COMPUTED_VALUE"""),"03:00 PM to 05:00 PM")</f>
        <v>03:00 PM to 05:00 PM</v>
      </c>
      <c r="K337" s="103">
        <f>IFERROR(__xludf.DUMMYFUNCTION("""COMPUTED_VALUE"""),46147.0)</f>
        <v>46147</v>
      </c>
      <c r="L337" s="65" t="str">
        <f>IFERROR(__xludf.DUMMYFUNCTION("""COMPUTED_VALUE""")," ")</f>
        <v> </v>
      </c>
      <c r="M337" s="65"/>
      <c r="N337" s="65"/>
    </row>
    <row r="338">
      <c r="A338" s="99" t="str">
        <f>IFERROR(__xludf.DUMMYFUNCTION("""COMPUTED_VALUE"""),"https://utrucking.com/admin/orders/6411694801084")</f>
        <v>https://utrucking.com/admin/orders/6411694801084</v>
      </c>
      <c r="B338" s="61" t="str">
        <f>IFERROR(__xludf.DUMMYFUNCTION("""COMPUTED_VALUE"""),"#17400")</f>
        <v>#17400</v>
      </c>
      <c r="C338" s="61" t="str">
        <f>IFERROR(__xludf.DUMMYFUNCTION("""COMPUTED_VALUE"""),"amiki@wustl.edu")</f>
        <v>amiki@wustl.edu</v>
      </c>
      <c r="D338" s="61">
        <f>IFERROR(__xludf.DUMMYFUNCTION("""COMPUTED_VALUE"""),3.054394279E9)</f>
        <v>3054394279</v>
      </c>
      <c r="E338" s="61" t="str">
        <f>IFERROR(__xludf.DUMMYFUNCTION("""COMPUTED_VALUE"""),"Laura Alfonso")</f>
        <v>Laura Alfonso</v>
      </c>
      <c r="F338" s="61" t="str">
        <f>IFERROR(__xludf.DUMMYFUNCTION("""COMPUTED_VALUE"""),"Annabella Miki")</f>
        <v>Annabella Miki</v>
      </c>
      <c r="G338" s="61" t="str">
        <f>IFERROR(__xludf.DUMMYFUNCTION("""COMPUTED_VALUE""")," 2 / Included Insurance   - ")</f>
        <v> 2 / Included Insurance   - </v>
      </c>
      <c r="H338" s="61" t="str">
        <f>IFERROR(__xludf.DUMMYFUNCTION("""COMPUTED_VALUE"""),"Eliot A (Thomas Eliot)")</f>
        <v>Eliot A (Thomas Eliot)</v>
      </c>
      <c r="I338" s="61" t="str">
        <f>IFERROR(__xludf.DUMMYFUNCTION("""COMPUTED_VALUE"""),"2063")</f>
        <v>2063</v>
      </c>
      <c r="J338" s="107" t="str">
        <f>IFERROR(__xludf.DUMMYFUNCTION("""COMPUTED_VALUE"""),"10:00 AM to 12:00 PM  ")</f>
        <v>10:00 AM to 12:00 PM  </v>
      </c>
      <c r="K338" s="100">
        <f>IFERROR(__xludf.DUMMYFUNCTION("""COMPUTED_VALUE"""),46149.0)</f>
        <v>46149</v>
      </c>
      <c r="L338" s="61" t="str">
        <f>IFERROR(__xludf.DUMMYFUNCTION("""COMPUTED_VALUE""")," ")</f>
        <v> </v>
      </c>
      <c r="M338" s="61"/>
      <c r="N338" s="61"/>
    </row>
    <row r="339">
      <c r="A339" s="102" t="str">
        <f>IFERROR(__xludf.DUMMYFUNCTION("""COMPUTED_VALUE"""),"https://utrucking.com/admin/orders/6413747519676")</f>
        <v>https://utrucking.com/admin/orders/6413747519676</v>
      </c>
      <c r="B339" s="65" t="str">
        <f>IFERROR(__xludf.DUMMYFUNCTION("""COMPUTED_VALUE"""),"#17402")</f>
        <v>#17402</v>
      </c>
      <c r="C339" s="65" t="str">
        <f>IFERROR(__xludf.DUMMYFUNCTION("""COMPUTED_VALUE"""),"marni74@att.net")</f>
        <v>marni74@att.net</v>
      </c>
      <c r="D339" s="65">
        <f>IFERROR(__xludf.DUMMYFUNCTION("""COMPUTED_VALUE"""),8.479772174E9)</f>
        <v>8479772174</v>
      </c>
      <c r="E339" s="65" t="str">
        <f>IFERROR(__xludf.DUMMYFUNCTION("""COMPUTED_VALUE"""),"Marni Nichols")</f>
        <v>Marni Nichols</v>
      </c>
      <c r="F339" s="65" t="str">
        <f>IFERROR(__xludf.DUMMYFUNCTION("""COMPUTED_VALUE"""),"Griffin Nichols")</f>
        <v>Griffin Nichols</v>
      </c>
      <c r="G339" s="65" t="str">
        <f>IFERROR(__xludf.DUMMYFUNCTION("""COMPUTED_VALUE""")," 1 [Included with Registration] / Included Insurance   - ")</f>
        <v> 1 [Included with Registration] / Included Insurance   - </v>
      </c>
      <c r="H339" s="65" t="str">
        <f>IFERROR(__xludf.DUMMYFUNCTION("""COMPUTED_VALUE"""),"Umrath  ")</f>
        <v>Umrath  </v>
      </c>
      <c r="I339" s="65" t="str">
        <f>IFERROR(__xludf.DUMMYFUNCTION("""COMPUTED_VALUE"""),"4431")</f>
        <v>4431</v>
      </c>
      <c r="J339" s="108" t="str">
        <f>IFERROR(__xludf.DUMMYFUNCTION("""COMPUTED_VALUE"""),"02:00 PM to 04:00 PM")</f>
        <v>02:00 PM to 04:00 PM</v>
      </c>
      <c r="K339" s="103">
        <f>IFERROR(__xludf.DUMMYFUNCTION("""COMPUTED_VALUE"""),46148.0)</f>
        <v>46148</v>
      </c>
      <c r="L339" s="65" t="str">
        <f>IFERROR(__xludf.DUMMYFUNCTION("""COMPUTED_VALUE""")," ")</f>
        <v> </v>
      </c>
      <c r="M339" s="65"/>
      <c r="N339" s="65"/>
    </row>
    <row r="340">
      <c r="A340" s="99" t="str">
        <f>IFERROR(__xludf.DUMMYFUNCTION("""COMPUTED_VALUE"""),"https://utrucking.com/admin/orders/6413878067388")</f>
        <v>https://utrucking.com/admin/orders/6413878067388</v>
      </c>
      <c r="B340" s="61" t="str">
        <f>IFERROR(__xludf.DUMMYFUNCTION("""COMPUTED_VALUE"""),"#17403")</f>
        <v>#17403</v>
      </c>
      <c r="C340" s="61"/>
      <c r="D340" s="61">
        <f>IFERROR(__xludf.DUMMYFUNCTION("""COMPUTED_VALUE"""),1.5127882282E10)</f>
        <v>15127882282</v>
      </c>
      <c r="E340" s="61" t="str">
        <f>IFERROR(__xludf.DUMMYFUNCTION("""COMPUTED_VALUE"""),"Nicole Tyler")</f>
        <v>Nicole Tyler</v>
      </c>
      <c r="F340" s="61" t="str">
        <f>IFERROR(__xludf.DUMMYFUNCTION("""COMPUTED_VALUE"""),"Julia Tyler")</f>
        <v>Julia Tyler</v>
      </c>
      <c r="G340" s="61" t="str">
        <f>IFERROR(__xludf.DUMMYFUNCTION("""COMPUTED_VALUE""")," 1 [Included with Registration] / Included Insurance   - ")</f>
        <v> 1 [Included with Registration] / Included Insurance   - </v>
      </c>
      <c r="H340" s="61" t="str">
        <f>IFERROR(__xludf.DUMMYFUNCTION("""COMPUTED_VALUE"""),"Park  ")</f>
        <v>Park  </v>
      </c>
      <c r="I340" s="61" t="str">
        <f>IFERROR(__xludf.DUMMYFUNCTION("""COMPUTED_VALUE"""),"112")</f>
        <v>112</v>
      </c>
      <c r="J340" s="107" t="str">
        <f>IFERROR(__xludf.DUMMYFUNCTION("""COMPUTED_VALUE"""),"01:00 PM to 03:00 PM  ")</f>
        <v>01:00 PM to 03:00 PM  </v>
      </c>
      <c r="K340" s="100">
        <f>IFERROR(__xludf.DUMMYFUNCTION("""COMPUTED_VALUE"""),46149.0)</f>
        <v>46149</v>
      </c>
      <c r="L340" s="61" t="str">
        <f>IFERROR(__xludf.DUMMYFUNCTION("""COMPUTED_VALUE""")," ")</f>
        <v> </v>
      </c>
      <c r="M340" s="61"/>
      <c r="N340" s="61"/>
    </row>
    <row r="341">
      <c r="A341" s="102" t="str">
        <f>IFERROR(__xludf.DUMMYFUNCTION("""COMPUTED_VALUE"""),"https://utrucking.com/admin/orders/6414129692860")</f>
        <v>https://utrucking.com/admin/orders/6414129692860</v>
      </c>
      <c r="B341" s="65" t="str">
        <f>IFERROR(__xludf.DUMMYFUNCTION("""COMPUTED_VALUE"""),"#17404")</f>
        <v>#17404</v>
      </c>
      <c r="C341" s="65"/>
      <c r="D341" s="65">
        <f>IFERROR(__xludf.DUMMYFUNCTION("""COMPUTED_VALUE"""),9.73876106E9)</f>
        <v>9738761060</v>
      </c>
      <c r="E341" s="65" t="str">
        <f>IFERROR(__xludf.DUMMYFUNCTION("""COMPUTED_VALUE"""),"Saritha Mathew")</f>
        <v>Saritha Mathew</v>
      </c>
      <c r="F341" s="65" t="str">
        <f>IFERROR(__xludf.DUMMYFUNCTION("""COMPUTED_VALUE"""),"Michael Mathew")</f>
        <v>Michael Mathew</v>
      </c>
      <c r="G341" s="65" t="str">
        <f>IFERROR(__xludf.DUMMYFUNCTION("""COMPUTED_VALUE""")," 1 [Included with Registration] / Included Insurance   - ")</f>
        <v> 1 [Included with Registration] / Included Insurance   - </v>
      </c>
      <c r="H341" s="65" t="str">
        <f>IFERROR(__xludf.DUMMYFUNCTION("""COMPUTED_VALUE"""),"Dardick  ")</f>
        <v>Dardick  </v>
      </c>
      <c r="I341" s="65" t="str">
        <f>IFERROR(__xludf.DUMMYFUNCTION("""COMPUTED_VALUE"""),"4424")</f>
        <v>4424</v>
      </c>
      <c r="J341" s="108" t="str">
        <f>IFERROR(__xludf.DUMMYFUNCTION("""COMPUTED_VALUE"""),"02:00 PM to 04:00 PM")</f>
        <v>02:00 PM to 04:00 PM</v>
      </c>
      <c r="K341" s="103">
        <f>IFERROR(__xludf.DUMMYFUNCTION("""COMPUTED_VALUE"""),46149.0)</f>
        <v>46149</v>
      </c>
      <c r="L341" s="65" t="str">
        <f>IFERROR(__xludf.DUMMYFUNCTION("""COMPUTED_VALUE""")," ")</f>
        <v> </v>
      </c>
      <c r="M341" s="65"/>
      <c r="N341" s="65"/>
    </row>
    <row r="342">
      <c r="A342" s="99" t="str">
        <f>IFERROR(__xludf.DUMMYFUNCTION("""COMPUTED_VALUE"""),"https://utrucking.com/admin/orders/6414270955708")</f>
        <v>https://utrucking.com/admin/orders/6414270955708</v>
      </c>
      <c r="B342" s="61" t="str">
        <f>IFERROR(__xludf.DUMMYFUNCTION("""COMPUTED_VALUE"""),"#17405")</f>
        <v>#17405</v>
      </c>
      <c r="C342" s="61" t="str">
        <f>IFERROR(__xludf.DUMMYFUNCTION("""COMPUTED_VALUE"""),"cmai@wustl.edu")</f>
        <v>cmai@wustl.edu</v>
      </c>
      <c r="D342" s="61">
        <f>IFERROR(__xludf.DUMMYFUNCTION("""COMPUTED_VALUE"""),5.572289739E9)</f>
        <v>5572289739</v>
      </c>
      <c r="E342" s="61" t="str">
        <f>IFERROR(__xludf.DUMMYFUNCTION("""COMPUTED_VALUE"""),"Mai Chen")</f>
        <v>Mai Chen</v>
      </c>
      <c r="F342" s="61" t="str">
        <f>IFERROR(__xludf.DUMMYFUNCTION("""COMPUTED_VALUE"""),"Mai Chen")</f>
        <v>Mai Chen</v>
      </c>
      <c r="G342" s="61" t="str">
        <f>IFERROR(__xludf.DUMMYFUNCTION("""COMPUTED_VALUE""")," 2 / Included Insurance   - ")</f>
        <v> 2 / Included Insurance   - </v>
      </c>
      <c r="H342" s="61" t="str">
        <f>IFERROR(__xludf.DUMMYFUNCTION("""COMPUTED_VALUE"""),"Hurd  ")</f>
        <v>Hurd  </v>
      </c>
      <c r="I342" s="61" t="str">
        <f>IFERROR(__xludf.DUMMYFUNCTION("""COMPUTED_VALUE"""),"312")</f>
        <v>312</v>
      </c>
      <c r="J342" s="107" t="str">
        <f>IFERROR(__xludf.DUMMYFUNCTION("""COMPUTED_VALUE"""),"03:00 PM to 05:00 PM")</f>
        <v>03:00 PM to 05:00 PM</v>
      </c>
      <c r="K342" s="100">
        <f>IFERROR(__xludf.DUMMYFUNCTION("""COMPUTED_VALUE"""),46144.0)</f>
        <v>46144</v>
      </c>
      <c r="L342" s="61" t="str">
        <f>IFERROR(__xludf.DUMMYFUNCTION("""COMPUTED_VALUE""")," ")</f>
        <v> </v>
      </c>
      <c r="M342" s="61"/>
      <c r="N342" s="61"/>
    </row>
    <row r="343">
      <c r="A343" s="102" t="str">
        <f>IFERROR(__xludf.DUMMYFUNCTION("""COMPUTED_VALUE"""),"https://utrucking.com/admin/orders/6414323187900")</f>
        <v>https://utrucking.com/admin/orders/6414323187900</v>
      </c>
      <c r="B343" s="65" t="str">
        <f>IFERROR(__xludf.DUMMYFUNCTION("""COMPUTED_VALUE"""),"#17406")</f>
        <v>#17406</v>
      </c>
      <c r="C343" s="65" t="str">
        <f>IFERROR(__xludf.DUMMYFUNCTION("""COMPUTED_VALUE"""),"e.d.froehlich@wustl.edu")</f>
        <v>e.d.froehlich@wustl.edu</v>
      </c>
      <c r="D343" s="65">
        <f>IFERROR(__xludf.DUMMYFUNCTION("""COMPUTED_VALUE"""),9.173916026E9)</f>
        <v>9173916026</v>
      </c>
      <c r="E343" s="65" t="str">
        <f>IFERROR(__xludf.DUMMYFUNCTION("""COMPUTED_VALUE"""),"Evan Froehlich")</f>
        <v>Evan Froehlich</v>
      </c>
      <c r="F343" s="65" t="str">
        <f>IFERROR(__xludf.DUMMYFUNCTION("""COMPUTED_VALUE"""),"Evan Froehlich")</f>
        <v>Evan Froehlich</v>
      </c>
      <c r="G343" s="65" t="str">
        <f>IFERROR(__xludf.DUMMYFUNCTION("""COMPUTED_VALUE""")," 1 [Included with Registration] / Included Insurance   - ")</f>
        <v> 1 [Included with Registration] / Included Insurance   - </v>
      </c>
      <c r="H343" s="65" t="str">
        <f>IFERROR(__xludf.DUMMYFUNCTION("""COMPUTED_VALUE"""),"Mudd  ")</f>
        <v>Mudd  </v>
      </c>
      <c r="I343" s="65" t="str">
        <f>IFERROR(__xludf.DUMMYFUNCTION("""COMPUTED_VALUE"""),"252")</f>
        <v>252</v>
      </c>
      <c r="J343" s="108" t="str">
        <f>IFERROR(__xludf.DUMMYFUNCTION("""COMPUTED_VALUE"""),"01:00 PM to 03:00 PM  ")</f>
        <v>01:00 PM to 03:00 PM  </v>
      </c>
      <c r="K343" s="103">
        <f>IFERROR(__xludf.DUMMYFUNCTION("""COMPUTED_VALUE"""),46146.0)</f>
        <v>46146</v>
      </c>
      <c r="L343" s="65" t="str">
        <f>IFERROR(__xludf.DUMMYFUNCTION("""COMPUTED_VALUE""")," ")</f>
        <v> </v>
      </c>
      <c r="M343" s="65"/>
      <c r="N343" s="65"/>
    </row>
    <row r="344">
      <c r="A344" s="99" t="str">
        <f>IFERROR(__xludf.DUMMYFUNCTION("""COMPUTED_VALUE"""),"https://utrucking.com/admin/orders/6414747795644")</f>
        <v>https://utrucking.com/admin/orders/6414747795644</v>
      </c>
      <c r="B344" s="61" t="str">
        <f>IFERROR(__xludf.DUMMYFUNCTION("""COMPUTED_VALUE"""),"#17407")</f>
        <v>#17407</v>
      </c>
      <c r="C344" s="61"/>
      <c r="D344" s="61">
        <f>IFERROR(__xludf.DUMMYFUNCTION("""COMPUTED_VALUE"""),7.745025038E9)</f>
        <v>7745025038</v>
      </c>
      <c r="E344" s="61" t="str">
        <f>IFERROR(__xludf.DUMMYFUNCTION("""COMPUTED_VALUE"""),"Matthew Brouillet")</f>
        <v>Matthew Brouillet</v>
      </c>
      <c r="F344" s="61" t="str">
        <f>IFERROR(__xludf.DUMMYFUNCTION("""COMPUTED_VALUE"""),"Matthew Brouillet")</f>
        <v>Matthew Brouillet</v>
      </c>
      <c r="G344" s="61" t="str">
        <f>IFERROR(__xludf.DUMMYFUNCTION("""COMPUTED_VALUE""")," 1 [Included with Registration] / Included Insurance   - ")</f>
        <v> 1 [Included with Registration] / Included Insurance   - </v>
      </c>
      <c r="H344" s="61"/>
      <c r="I344" s="61"/>
      <c r="J344" s="107" t="str">
        <f>IFERROR(__xludf.DUMMYFUNCTION("""COMPUTED_VALUE"""),"11:00 AM to 01:00 PM  ")</f>
        <v>11:00 AM to 01:00 PM  </v>
      </c>
      <c r="K344" s="100">
        <f>IFERROR(__xludf.DUMMYFUNCTION("""COMPUTED_VALUE"""),46157.0)</f>
        <v>46157</v>
      </c>
      <c r="L344" s="61" t="str">
        <f>IFERROR(__xludf.DUMMYFUNCTION("""COMPUTED_VALUE""")," ")</f>
        <v> </v>
      </c>
      <c r="M344" s="61" t="str">
        <f>IFERROR(__xludf.DUMMYFUNCTION("""COMPUTED_VALUE"""),"6665 Washington Ave., University City, 
Apartment 3W")</f>
        <v>6665 Washington Ave., University City, 
Apartment 3W</v>
      </c>
      <c r="N344" s="61"/>
    </row>
    <row r="345">
      <c r="A345" s="102" t="str">
        <f>IFERROR(__xludf.DUMMYFUNCTION("""COMPUTED_VALUE"""),"https://utrucking.com/admin/orders/6414797242556")</f>
        <v>https://utrucking.com/admin/orders/6414797242556</v>
      </c>
      <c r="B345" s="65" t="str">
        <f>IFERROR(__xludf.DUMMYFUNCTION("""COMPUTED_VALUE"""),"#17408")</f>
        <v>#17408</v>
      </c>
      <c r="C345" s="65" t="str">
        <f>IFERROR(__xludf.DUMMYFUNCTION("""COMPUTED_VALUE"""),"chelsea.smalling@wustl.edu")</f>
        <v>chelsea.smalling@wustl.edu</v>
      </c>
      <c r="D345" s="65">
        <f>IFERROR(__xludf.DUMMYFUNCTION("""COMPUTED_VALUE"""),7.542642584E9)</f>
        <v>7542642584</v>
      </c>
      <c r="E345" s="65" t="str">
        <f>IFERROR(__xludf.DUMMYFUNCTION("""COMPUTED_VALUE"""),"William Smalling")</f>
        <v>William Smalling</v>
      </c>
      <c r="F345" s="65" t="str">
        <f>IFERROR(__xludf.DUMMYFUNCTION("""COMPUTED_VALUE"""),"Chelsea Smalling")</f>
        <v>Chelsea Smalling</v>
      </c>
      <c r="G345" s="65" t="str">
        <f>IFERROR(__xludf.DUMMYFUNCTION("""COMPUTED_VALUE""")," 2 / Included Insurance   - ")</f>
        <v> 2 / Included Insurance   - </v>
      </c>
      <c r="H345" s="65" t="str">
        <f>IFERROR(__xludf.DUMMYFUNCTION("""COMPUTED_VALUE"""),"Loop Loft 6200  ")</f>
        <v>Loop Loft 6200  </v>
      </c>
      <c r="I345" s="65" t="str">
        <f>IFERROR(__xludf.DUMMYFUNCTION("""COMPUTED_VALUE"""),"111B")</f>
        <v>111B</v>
      </c>
      <c r="J345" s="108" t="str">
        <f>IFERROR(__xludf.DUMMYFUNCTION("""COMPUTED_VALUE"""),"02:00 PM to 04:00 PM")</f>
        <v>02:00 PM to 04:00 PM</v>
      </c>
      <c r="K345" s="103">
        <f>IFERROR(__xludf.DUMMYFUNCTION("""COMPUTED_VALUE"""),46125.0)</f>
        <v>46125</v>
      </c>
      <c r="L345" s="65" t="str">
        <f>IFERROR(__xludf.DUMMYFUNCTION("""COMPUTED_VALUE""")," ")</f>
        <v> </v>
      </c>
      <c r="M345" s="65"/>
      <c r="N345" s="65"/>
    </row>
    <row r="346">
      <c r="A346" s="99" t="str">
        <f>IFERROR(__xludf.DUMMYFUNCTION("""COMPUTED_VALUE"""),"https://utrucking.com/admin/orders/6414880669884")</f>
        <v>https://utrucking.com/admin/orders/6414880669884</v>
      </c>
      <c r="B346" s="61" t="str">
        <f>IFERROR(__xludf.DUMMYFUNCTION("""COMPUTED_VALUE"""),"#17409")</f>
        <v>#17409</v>
      </c>
      <c r="C346" s="61" t="str">
        <f>IFERROR(__xludf.DUMMYFUNCTION("""COMPUTED_VALUE"""),"iris.z@wustl.edu")</f>
        <v>iris.z@wustl.edu</v>
      </c>
      <c r="D346" s="61">
        <f>IFERROR(__xludf.DUMMYFUNCTION("""COMPUTED_VALUE"""),3.14319707E9)</f>
        <v>3143197070</v>
      </c>
      <c r="E346" s="61" t="str">
        <f>IFERROR(__xludf.DUMMYFUNCTION("""COMPUTED_VALUE"""),"Ziwen Zhang")</f>
        <v>Ziwen Zhang</v>
      </c>
      <c r="F346" s="61" t="str">
        <f>IFERROR(__xludf.DUMMYFUNCTION("""COMPUTED_VALUE"""),"Iris Zhang")</f>
        <v>Iris Zhang</v>
      </c>
      <c r="G346" s="61" t="str">
        <f>IFERROR(__xludf.DUMMYFUNCTION("""COMPUTED_VALUE""")," 1 [Included with Registration] / Included Insurance   - ")</f>
        <v> 1 [Included with Registration] / Included Insurance   - </v>
      </c>
      <c r="H346" s="61" t="str">
        <f>IFERROR(__xludf.DUMMYFUNCTION("""COMPUTED_VALUE"""),"Lopata  ")</f>
        <v>Lopata  </v>
      </c>
      <c r="I346" s="61" t="str">
        <f>IFERROR(__xludf.DUMMYFUNCTION("""COMPUTED_VALUE"""),"3061")</f>
        <v>3061</v>
      </c>
      <c r="J346" s="107" t="str">
        <f>IFERROR(__xludf.DUMMYFUNCTION("""COMPUTED_VALUE"""),"09:00 AM to 11:00 AM  ")</f>
        <v>09:00 AM to 11:00 AM  </v>
      </c>
      <c r="K346" s="100">
        <f>IFERROR(__xludf.DUMMYFUNCTION("""COMPUTED_VALUE"""),46143.0)</f>
        <v>46143</v>
      </c>
      <c r="L346" s="61" t="str">
        <f>IFERROR(__xludf.DUMMYFUNCTION("""COMPUTED_VALUE""")," ")</f>
        <v> </v>
      </c>
      <c r="M346" s="61"/>
      <c r="N346" s="61"/>
    </row>
    <row r="347">
      <c r="A347" s="102" t="str">
        <f>IFERROR(__xludf.DUMMYFUNCTION("""COMPUTED_VALUE"""),"https://utrucking.com/admin/orders/6415024849084")</f>
        <v>https://utrucking.com/admin/orders/6415024849084</v>
      </c>
      <c r="B347" s="65" t="str">
        <f>IFERROR(__xludf.DUMMYFUNCTION("""COMPUTED_VALUE"""),"#17410")</f>
        <v>#17410</v>
      </c>
      <c r="C347" s="65" t="str">
        <f>IFERROR(__xludf.DUMMYFUNCTION("""COMPUTED_VALUE"""),"wu.xiao@wustl.edu")</f>
        <v>wu.xiao@wustl.edu</v>
      </c>
      <c r="D347" s="65">
        <f>IFERROR(__xludf.DUMMYFUNCTION("""COMPUTED_VALUE"""),2.179796836E9)</f>
        <v>2179796836</v>
      </c>
      <c r="E347" s="65" t="str">
        <f>IFERROR(__xludf.DUMMYFUNCTION("""COMPUTED_VALUE"""),"Xiao Wu")</f>
        <v>Xiao Wu</v>
      </c>
      <c r="F347" s="65" t="str">
        <f>IFERROR(__xludf.DUMMYFUNCTION("""COMPUTED_VALUE"""),"Xiao Wu")</f>
        <v>Xiao Wu</v>
      </c>
      <c r="G347" s="65" t="str">
        <f>IFERROR(__xludf.DUMMYFUNCTION("""COMPUTED_VALUE""")," 1 [Included with Registration] / Included Insurance   - ")</f>
        <v> 1 [Included with Registration] / Included Insurance   - </v>
      </c>
      <c r="H347" s="65" t="str">
        <f>IFERROR(__xludf.DUMMYFUNCTION("""COMPUTED_VALUE"""),"Loop Loft 6255  ")</f>
        <v>Loop Loft 6255  </v>
      </c>
      <c r="I347" s="65" t="str">
        <f>IFERROR(__xludf.DUMMYFUNCTION("""COMPUTED_VALUE"""),"309")</f>
        <v>309</v>
      </c>
      <c r="J347" s="108" t="str">
        <f>IFERROR(__xludf.DUMMYFUNCTION("""COMPUTED_VALUE"""),"03:00 PM to 05:00 PM")</f>
        <v>03:00 PM to 05:00 PM</v>
      </c>
      <c r="K347" s="103">
        <f>IFERROR(__xludf.DUMMYFUNCTION("""COMPUTED_VALUE"""),46157.0)</f>
        <v>46157</v>
      </c>
      <c r="L347" s="65" t="str">
        <f>IFERROR(__xludf.DUMMYFUNCTION("""COMPUTED_VALUE""")," ")</f>
        <v> </v>
      </c>
      <c r="M347" s="65"/>
      <c r="N347" s="65"/>
    </row>
    <row r="348">
      <c r="A348" s="99" t="str">
        <f>IFERROR(__xludf.DUMMYFUNCTION("""COMPUTED_VALUE"""),"https://utrucking.com/admin/orders/6415841296572")</f>
        <v>https://utrucking.com/admin/orders/6415841296572</v>
      </c>
      <c r="B348" s="61" t="str">
        <f>IFERROR(__xludf.DUMMYFUNCTION("""COMPUTED_VALUE"""),"#17412")</f>
        <v>#17412</v>
      </c>
      <c r="C348" s="61"/>
      <c r="D348" s="61">
        <f>IFERROR(__xludf.DUMMYFUNCTION("""COMPUTED_VALUE"""),8.574721138E9)</f>
        <v>8574721138</v>
      </c>
      <c r="E348" s="61" t="str">
        <f>IFERROR(__xludf.DUMMYFUNCTION("""COMPUTED_VALUE"""),"Christopher Davidson")</f>
        <v>Christopher Davidson</v>
      </c>
      <c r="F348" s="61" t="str">
        <f>IFERROR(__xludf.DUMMYFUNCTION("""COMPUTED_VALUE"""),"Carter Davidson")</f>
        <v>Carter Davidson</v>
      </c>
      <c r="G348" s="61" t="str">
        <f>IFERROR(__xludf.DUMMYFUNCTION("""COMPUTED_VALUE""")," 2 / Included Insurance   - ")</f>
        <v> 2 / Included Insurance   - </v>
      </c>
      <c r="H348" s="61" t="str">
        <f>IFERROR(__xludf.DUMMYFUNCTION("""COMPUTED_VALUE"""),"Lien  ")</f>
        <v>Lien  </v>
      </c>
      <c r="I348" s="61" t="str">
        <f>IFERROR(__xludf.DUMMYFUNCTION("""COMPUTED_VALUE"""),"3315")</f>
        <v>3315</v>
      </c>
      <c r="J348" s="107" t="str">
        <f>IFERROR(__xludf.DUMMYFUNCTION("""COMPUTED_VALUE"""),"09:00 AM to 11:00 AM  ")</f>
        <v>09:00 AM to 11:00 AM  </v>
      </c>
      <c r="K348" s="100">
        <f>IFERROR(__xludf.DUMMYFUNCTION("""COMPUTED_VALUE"""),46149.0)</f>
        <v>46149</v>
      </c>
      <c r="L348" s="61" t="str">
        <f>IFERROR(__xludf.DUMMYFUNCTION("""COMPUTED_VALUE""")," ")</f>
        <v> </v>
      </c>
      <c r="M348" s="61"/>
      <c r="N348" s="61"/>
    </row>
    <row r="349">
      <c r="A349" s="102" t="str">
        <f>IFERROR(__xludf.DUMMYFUNCTION("""COMPUTED_VALUE"""),"https://utrucking.com/admin/orders/6415968534716")</f>
        <v>https://utrucking.com/admin/orders/6415968534716</v>
      </c>
      <c r="B349" s="65" t="str">
        <f>IFERROR(__xludf.DUMMYFUNCTION("""COMPUTED_VALUE"""),"#17413")</f>
        <v>#17413</v>
      </c>
      <c r="C349" s="65" t="str">
        <f>IFERROR(__xludf.DUMMYFUNCTION("""COMPUTED_VALUE"""),"coleesmith12@gmail.com")</f>
        <v>coleesmith12@gmail.com</v>
      </c>
      <c r="D349" s="65">
        <f>IFERROR(__xludf.DUMMYFUNCTION("""COMPUTED_VALUE"""),8.322072972E9)</f>
        <v>8322072972</v>
      </c>
      <c r="E349" s="65" t="str">
        <f>IFERROR(__xludf.DUMMYFUNCTION("""COMPUTED_VALUE"""),"Cole Smith")</f>
        <v>Cole Smith</v>
      </c>
      <c r="F349" s="65" t="str">
        <f>IFERROR(__xludf.DUMMYFUNCTION("""COMPUTED_VALUE"""),"Cole Smith")</f>
        <v>Cole Smith</v>
      </c>
      <c r="G349" s="65" t="str">
        <f>IFERROR(__xludf.DUMMYFUNCTION("""COMPUTED_VALUE""")," 1 [Included with Registration] / Included Insurance   - ")</f>
        <v> 1 [Included with Registration] / Included Insurance   - </v>
      </c>
      <c r="H349" s="65" t="str">
        <f>IFERROR(__xludf.DUMMYFUNCTION("""COMPUTED_VALUE"""),"Danforth  ")</f>
        <v>Danforth  </v>
      </c>
      <c r="I349" s="65" t="str">
        <f>IFERROR(__xludf.DUMMYFUNCTION("""COMPUTED_VALUE"""),"3313")</f>
        <v>3313</v>
      </c>
      <c r="J349" s="108" t="str">
        <f>IFERROR(__xludf.DUMMYFUNCTION("""COMPUTED_VALUE"""),"03:00 PM to 05:00 PM")</f>
        <v>03:00 PM to 05:00 PM</v>
      </c>
      <c r="K349" s="103">
        <f>IFERROR(__xludf.DUMMYFUNCTION("""COMPUTED_VALUE"""),46148.0)</f>
        <v>46148</v>
      </c>
      <c r="L349" s="65" t="str">
        <f>IFERROR(__xludf.DUMMYFUNCTION("""COMPUTED_VALUE""")," ")</f>
        <v> </v>
      </c>
      <c r="M349" s="65"/>
      <c r="N349" s="65"/>
    </row>
    <row r="350">
      <c r="A350" s="99" t="str">
        <f>IFERROR(__xludf.DUMMYFUNCTION("""COMPUTED_VALUE"""),"https://utrucking.com/admin/orders/6416074670268")</f>
        <v>https://utrucking.com/admin/orders/6416074670268</v>
      </c>
      <c r="B350" s="61" t="str">
        <f>IFERROR(__xludf.DUMMYFUNCTION("""COMPUTED_VALUE"""),"#17415")</f>
        <v>#17415</v>
      </c>
      <c r="C350" s="61" t="str">
        <f>IFERROR(__xludf.DUMMYFUNCTION("""COMPUTED_VALUE"""),"e.a.mccullough@wustl.edu")</f>
        <v>e.a.mccullough@wustl.edu</v>
      </c>
      <c r="D350" s="61">
        <f>IFERROR(__xludf.DUMMYFUNCTION("""COMPUTED_VALUE"""),9.178591903E9)</f>
        <v>9178591903</v>
      </c>
      <c r="E350" s="61" t="str">
        <f>IFERROR(__xludf.DUMMYFUNCTION("""COMPUTED_VALUE"""),"Ella McCullough")</f>
        <v>Ella McCullough</v>
      </c>
      <c r="F350" s="61" t="str">
        <f>IFERROR(__xludf.DUMMYFUNCTION("""COMPUTED_VALUE"""),"Ella McCullough")</f>
        <v>Ella McCullough</v>
      </c>
      <c r="G350" s="61" t="str">
        <f>IFERROR(__xludf.DUMMYFUNCTION("""COMPUTED_VALUE""")," 1 [Included with Registration] / Included Insurance   - ")</f>
        <v> 1 [Included with Registration] / Included Insurance   - </v>
      </c>
      <c r="H350" s="61" t="str">
        <f>IFERROR(__xludf.DUMMYFUNCTION("""COMPUTED_VALUE"""),"Millbrook Bldg. 2  ")</f>
        <v>Millbrook Bldg. 2  </v>
      </c>
      <c r="I350" s="61" t="str">
        <f>IFERROR(__xludf.DUMMYFUNCTION("""COMPUTED_VALUE"""),"303C")</f>
        <v>303C</v>
      </c>
      <c r="J350" s="107" t="str">
        <f>IFERROR(__xludf.DUMMYFUNCTION("""COMPUTED_VALUE"""),"01:00 PM to 03:00 PM  ")</f>
        <v>01:00 PM to 03:00 PM  </v>
      </c>
      <c r="K350" s="100">
        <f>IFERROR(__xludf.DUMMYFUNCTION("""COMPUTED_VALUE"""),46149.0)</f>
        <v>46149</v>
      </c>
      <c r="L350" s="61" t="str">
        <f>IFERROR(__xludf.DUMMYFUNCTION("""COMPUTED_VALUE""")," ")</f>
        <v> </v>
      </c>
      <c r="M350" s="61"/>
      <c r="N350" s="61"/>
    </row>
    <row r="351">
      <c r="A351" s="102" t="str">
        <f>IFERROR(__xludf.DUMMYFUNCTION("""COMPUTED_VALUE"""),"https://utrucking.com/admin/orders/6416309223612")</f>
        <v>https://utrucking.com/admin/orders/6416309223612</v>
      </c>
      <c r="B351" s="65" t="str">
        <f>IFERROR(__xludf.DUMMYFUNCTION("""COMPUTED_VALUE"""),"#17417")</f>
        <v>#17417</v>
      </c>
      <c r="C351" s="65" t="str">
        <f>IFERROR(__xludf.DUMMYFUNCTION("""COMPUTED_VALUE"""),"bergman.z@wustl.edu")</f>
        <v>bergman.z@wustl.edu</v>
      </c>
      <c r="D351" s="65">
        <f>IFERROR(__xludf.DUMMYFUNCTION("""COMPUTED_VALUE"""),6.787839777E9)</f>
        <v>6787839777</v>
      </c>
      <c r="E351" s="65" t="str">
        <f>IFERROR(__xludf.DUMMYFUNCTION("""COMPUTED_VALUE"""),"Zachary Bergman")</f>
        <v>Zachary Bergman</v>
      </c>
      <c r="F351" s="65" t="str">
        <f>IFERROR(__xludf.DUMMYFUNCTION("""COMPUTED_VALUE"""),"Zachary Bergman")</f>
        <v>Zachary Bergman</v>
      </c>
      <c r="G351" s="65" t="str">
        <f>IFERROR(__xludf.DUMMYFUNCTION("""COMPUTED_VALUE""")," 0 / Included Insurance   - ")</f>
        <v> 0 / Included Insurance   - </v>
      </c>
      <c r="H351" s="65" t="str">
        <f>IFERROR(__xludf.DUMMYFUNCTION("""COMPUTED_VALUE"""),"Shanedling  ")</f>
        <v>Shanedling  </v>
      </c>
      <c r="I351" s="65" t="str">
        <f>IFERROR(__xludf.DUMMYFUNCTION("""COMPUTED_VALUE"""),"433")</f>
        <v>433</v>
      </c>
      <c r="J351" s="108" t="str">
        <f>IFERROR(__xludf.DUMMYFUNCTION("""COMPUTED_VALUE"""),"01:00 PM to 03:00 PM  ")</f>
        <v>01:00 PM to 03:00 PM  </v>
      </c>
      <c r="K351" s="103">
        <f>IFERROR(__xludf.DUMMYFUNCTION("""COMPUTED_VALUE"""),46149.0)</f>
        <v>46149</v>
      </c>
      <c r="L351" s="65" t="str">
        <f>IFERROR(__xludf.DUMMYFUNCTION("""COMPUTED_VALUE""")," ")</f>
        <v> </v>
      </c>
      <c r="M351" s="65"/>
      <c r="N351" s="65"/>
    </row>
    <row r="352">
      <c r="A352" s="99" t="str">
        <f>IFERROR(__xludf.DUMMYFUNCTION("""COMPUTED_VALUE"""),"https://utrucking.com/admin/orders/6416362406076")</f>
        <v>https://utrucking.com/admin/orders/6416362406076</v>
      </c>
      <c r="B352" s="61" t="str">
        <f>IFERROR(__xludf.DUMMYFUNCTION("""COMPUTED_VALUE"""),"#17418")</f>
        <v>#17418</v>
      </c>
      <c r="C352" s="61" t="str">
        <f>IFERROR(__xludf.DUMMYFUNCTION("""COMPUTED_VALUE"""),"noellehornback@gmail.com")</f>
        <v>noellehornback@gmail.com</v>
      </c>
      <c r="D352" s="61">
        <f>IFERROR(__xludf.DUMMYFUNCTION("""COMPUTED_VALUE"""),6.4655256E9)</f>
        <v>6465525600</v>
      </c>
      <c r="E352" s="61" t="str">
        <f>IFERROR(__xludf.DUMMYFUNCTION("""COMPUTED_VALUE"""),"Jayne Hornback")</f>
        <v>Jayne Hornback</v>
      </c>
      <c r="F352" s="61" t="str">
        <f>IFERROR(__xludf.DUMMYFUNCTION("""COMPUTED_VALUE"""),"Noelle Hornback")</f>
        <v>Noelle Hornback</v>
      </c>
      <c r="G352" s="61" t="str">
        <f>IFERROR(__xludf.DUMMYFUNCTION("""COMPUTED_VALUE""")," 1 [Included with Registration] / Included Insurance   - ")</f>
        <v> 1 [Included with Registration] / Included Insurance   - </v>
      </c>
      <c r="H352" s="61" t="str">
        <f>IFERROR(__xludf.DUMMYFUNCTION("""COMPUTED_VALUE"""),"Village East  ")</f>
        <v>Village East  </v>
      </c>
      <c r="I352" s="61" t="str">
        <f>IFERROR(__xludf.DUMMYFUNCTION("""COMPUTED_VALUE"""),"2093")</f>
        <v>2093</v>
      </c>
      <c r="J352" s="107" t="str">
        <f>IFERROR(__xludf.DUMMYFUNCTION("""COMPUTED_VALUE"""),"09:00 AM to 11:00 AM  ")</f>
        <v>09:00 AM to 11:00 AM  </v>
      </c>
      <c r="K352" s="100">
        <f>IFERROR(__xludf.DUMMYFUNCTION("""COMPUTED_VALUE"""),46146.0)</f>
        <v>46146</v>
      </c>
      <c r="L352" s="61" t="str">
        <f>IFERROR(__xludf.DUMMYFUNCTION("""COMPUTED_VALUE""")," ")</f>
        <v> </v>
      </c>
      <c r="M352" s="61"/>
      <c r="N352" s="61"/>
    </row>
    <row r="353">
      <c r="A353" s="102" t="str">
        <f>IFERROR(__xludf.DUMMYFUNCTION("""COMPUTED_VALUE"""),"https://utrucking.com/admin/orders/6416376922300")</f>
        <v>https://utrucking.com/admin/orders/6416376922300</v>
      </c>
      <c r="B353" s="65" t="str">
        <f>IFERROR(__xludf.DUMMYFUNCTION("""COMPUTED_VALUE"""),"#17419")</f>
        <v>#17419</v>
      </c>
      <c r="C353" s="65"/>
      <c r="D353" s="65">
        <f>IFERROR(__xludf.DUMMYFUNCTION("""COMPUTED_VALUE"""),4.158068294E9)</f>
        <v>4158068294</v>
      </c>
      <c r="E353" s="65" t="str">
        <f>IFERROR(__xludf.DUMMYFUNCTION("""COMPUTED_VALUE"""),"Marian Kwon")</f>
        <v>Marian Kwon</v>
      </c>
      <c r="F353" s="65" t="str">
        <f>IFERROR(__xludf.DUMMYFUNCTION("""COMPUTED_VALUE"""),"Sophia Weinberg")</f>
        <v>Sophia Weinberg</v>
      </c>
      <c r="G353" s="65" t="str">
        <f>IFERROR(__xludf.DUMMYFUNCTION("""COMPUTED_VALUE""")," 1 [Included with Registration] / Included Insurance   - ")</f>
        <v> 1 [Included with Registration] / Included Insurance   - </v>
      </c>
      <c r="H353" s="65" t="str">
        <f>IFERROR(__xludf.DUMMYFUNCTION("""COMPUTED_VALUE"""),"Millbrook Bldg. 4  ")</f>
        <v>Millbrook Bldg. 4  </v>
      </c>
      <c r="I353" s="65" t="str">
        <f>IFERROR(__xludf.DUMMYFUNCTION("""COMPUTED_VALUE"""),"103H")</f>
        <v>103H</v>
      </c>
      <c r="J353" s="108" t="str">
        <f>IFERROR(__xludf.DUMMYFUNCTION("""COMPUTED_VALUE"""),"01:00 PM to 03:00 PM  ")</f>
        <v>01:00 PM to 03:00 PM  </v>
      </c>
      <c r="K353" s="103">
        <f>IFERROR(__xludf.DUMMYFUNCTION("""COMPUTED_VALUE"""),46148.0)</f>
        <v>46148</v>
      </c>
      <c r="L353" s="65" t="str">
        <f>IFERROR(__xludf.DUMMYFUNCTION("""COMPUTED_VALUE""")," ")</f>
        <v> </v>
      </c>
      <c r="M353" s="65"/>
      <c r="N353" s="65" t="str">
        <f>IFERROR(__xludf.DUMMYFUNCTION("""COMPUTED_VALUE"""),"Will also have WashU Wash items for pick-up + refrigerator rental return.")</f>
        <v>Will also have WashU Wash items for pick-up + refrigerator rental return.</v>
      </c>
    </row>
    <row r="354">
      <c r="A354" s="99" t="str">
        <f>IFERROR(__xludf.DUMMYFUNCTION("""COMPUTED_VALUE"""),"https://utrucking.com/admin/orders/6416398418108")</f>
        <v>https://utrucking.com/admin/orders/6416398418108</v>
      </c>
      <c r="B354" s="61" t="str">
        <f>IFERROR(__xludf.DUMMYFUNCTION("""COMPUTED_VALUE"""),"#17420")</f>
        <v>#17420</v>
      </c>
      <c r="C354" s="61" t="str">
        <f>IFERROR(__xludf.DUMMYFUNCTION("""COMPUTED_VALUE"""),"omichael@wustl.edu")</f>
        <v>omichael@wustl.edu</v>
      </c>
      <c r="D354" s="61">
        <f>IFERROR(__xludf.DUMMYFUNCTION("""COMPUTED_VALUE"""),6.507887852E9)</f>
        <v>6507887852</v>
      </c>
      <c r="E354" s="61" t="str">
        <f>IFERROR(__xludf.DUMMYFUNCTION("""COMPUTED_VALUE"""),"Michael Orciuoli")</f>
        <v>Michael Orciuoli</v>
      </c>
      <c r="F354" s="61" t="str">
        <f>IFERROR(__xludf.DUMMYFUNCTION("""COMPUTED_VALUE"""),"Michael Orciuoli")</f>
        <v>Michael Orciuoli</v>
      </c>
      <c r="G354" s="61" t="str">
        <f>IFERROR(__xludf.DUMMYFUNCTION("""COMPUTED_VALUE""")," 1 [Included with Registration] / Included Insurance   - ")</f>
        <v> 1 [Included with Registration] / Included Insurance   - </v>
      </c>
      <c r="H354" s="61" t="str">
        <f>IFERROR(__xludf.DUMMYFUNCTION("""COMPUTED_VALUE"""),"Danforth  ")</f>
        <v>Danforth  </v>
      </c>
      <c r="I354" s="61" t="str">
        <f>IFERROR(__xludf.DUMMYFUNCTION("""COMPUTED_VALUE"""),"2206")</f>
        <v>2206</v>
      </c>
      <c r="J354" s="107" t="str">
        <f>IFERROR(__xludf.DUMMYFUNCTION("""COMPUTED_VALUE"""),"01:00 PM to 03:00 PM  ")</f>
        <v>01:00 PM to 03:00 PM  </v>
      </c>
      <c r="K354" s="100">
        <f>IFERROR(__xludf.DUMMYFUNCTION("""COMPUTED_VALUE"""),46147.0)</f>
        <v>46147</v>
      </c>
      <c r="L354" s="61" t="str">
        <f>IFERROR(__xludf.DUMMYFUNCTION("""COMPUTED_VALUE""")," ")</f>
        <v> </v>
      </c>
      <c r="M354" s="61"/>
      <c r="N354" s="61"/>
    </row>
    <row r="355">
      <c r="A355" s="102" t="str">
        <f>IFERROR(__xludf.DUMMYFUNCTION("""COMPUTED_VALUE"""),"https://utrucking.com/admin/orders/6416482238652")</f>
        <v>https://utrucking.com/admin/orders/6416482238652</v>
      </c>
      <c r="B355" s="65" t="str">
        <f>IFERROR(__xludf.DUMMYFUNCTION("""COMPUTED_VALUE"""),"#17421")</f>
        <v>#17421</v>
      </c>
      <c r="C355" s="65" t="str">
        <f>IFERROR(__xludf.DUMMYFUNCTION("""COMPUTED_VALUE"""),"c.munson@wustl.edu")</f>
        <v>c.munson@wustl.edu</v>
      </c>
      <c r="D355" s="65">
        <f>IFERROR(__xludf.DUMMYFUNCTION("""COMPUTED_VALUE"""),5.093320955E9)</f>
        <v>5093320955</v>
      </c>
      <c r="E355" s="65" t="str">
        <f>IFERROR(__xludf.DUMMYFUNCTION("""COMPUTED_VALUE"""),"CHARLES MUNSON")</f>
        <v>CHARLES MUNSON</v>
      </c>
      <c r="F355" s="65" t="str">
        <f>IFERROR(__xludf.DUMMYFUNCTION("""COMPUTED_VALUE"""),"Christopher Munson")</f>
        <v>Christopher Munson</v>
      </c>
      <c r="G355" s="65" t="str">
        <f>IFERROR(__xludf.DUMMYFUNCTION("""COMPUTED_VALUE""")," 1 [Included with Registration] / Included Insurance   - ")</f>
        <v> 1 [Included with Registration] / Included Insurance   - </v>
      </c>
      <c r="H355" s="65" t="str">
        <f>IFERROR(__xludf.DUMMYFUNCTION("""COMPUTED_VALUE"""),"Lee  ")</f>
        <v>Lee  </v>
      </c>
      <c r="I355" s="65" t="str">
        <f>IFERROR(__xludf.DUMMYFUNCTION("""COMPUTED_VALUE"""),"123")</f>
        <v>123</v>
      </c>
      <c r="J355" s="108" t="str">
        <f>IFERROR(__xludf.DUMMYFUNCTION("""COMPUTED_VALUE"""),"12:00 PM to 02:00 PM  ")</f>
        <v>12:00 PM to 02:00 PM  </v>
      </c>
      <c r="K355" s="103">
        <f>IFERROR(__xludf.DUMMYFUNCTION("""COMPUTED_VALUE"""),46147.0)</f>
        <v>46147</v>
      </c>
      <c r="L355" s="65" t="str">
        <f>IFERROR(__xludf.DUMMYFUNCTION("""COMPUTED_VALUE""")," ")</f>
        <v> </v>
      </c>
      <c r="M355" s="65"/>
      <c r="N355" s="65"/>
    </row>
    <row r="356">
      <c r="A356" s="99" t="str">
        <f>IFERROR(__xludf.DUMMYFUNCTION("""COMPUTED_VALUE"""),"https://utrucking.com/admin/orders/6416514252988")</f>
        <v>https://utrucking.com/admin/orders/6416514252988</v>
      </c>
      <c r="B356" s="61" t="str">
        <f>IFERROR(__xludf.DUMMYFUNCTION("""COMPUTED_VALUE"""),"#17422")</f>
        <v>#17422</v>
      </c>
      <c r="C356" s="61"/>
      <c r="D356" s="61">
        <f>IFERROR(__xludf.DUMMYFUNCTION("""COMPUTED_VALUE"""),5.732590239E9)</f>
        <v>5732590239</v>
      </c>
      <c r="E356" s="61" t="str">
        <f>IFERROR(__xludf.DUMMYFUNCTION("""COMPUTED_VALUE"""),"Bethany Siegel")</f>
        <v>Bethany Siegel</v>
      </c>
      <c r="F356" s="61" t="str">
        <f>IFERROR(__xludf.DUMMYFUNCTION("""COMPUTED_VALUE"""),"Anna Siegel")</f>
        <v>Anna Siegel</v>
      </c>
      <c r="G356" s="61" t="str">
        <f>IFERROR(__xludf.DUMMYFUNCTION("""COMPUTED_VALUE""")," 1 [Included with Registration] / Included Insurance   - ")</f>
        <v> 1 [Included with Registration] / Included Insurance   - </v>
      </c>
      <c r="H356" s="61" t="str">
        <f>IFERROR(__xludf.DUMMYFUNCTION("""COMPUTED_VALUE"""),"Village East  ")</f>
        <v>Village East  </v>
      </c>
      <c r="I356" s="61" t="str">
        <f>IFERROR(__xludf.DUMMYFUNCTION("""COMPUTED_VALUE"""),"2092")</f>
        <v>2092</v>
      </c>
      <c r="J356" s="107" t="str">
        <f>IFERROR(__xludf.DUMMYFUNCTION("""COMPUTED_VALUE"""),"09:00 AM to 11:00 AM  ")</f>
        <v>09:00 AM to 11:00 AM  </v>
      </c>
      <c r="K356" s="100">
        <f>IFERROR(__xludf.DUMMYFUNCTION("""COMPUTED_VALUE"""),46140.0)</f>
        <v>46140</v>
      </c>
      <c r="L356" s="61" t="str">
        <f>IFERROR(__xludf.DUMMYFUNCTION("""COMPUTED_VALUE""")," ")</f>
        <v> </v>
      </c>
      <c r="M356" s="61"/>
      <c r="N356" s="61"/>
    </row>
    <row r="357">
      <c r="A357" s="102" t="str">
        <f>IFERROR(__xludf.DUMMYFUNCTION("""COMPUTED_VALUE"""),"https://utrucking.com/admin/orders/6416670818492")</f>
        <v>https://utrucking.com/admin/orders/6416670818492</v>
      </c>
      <c r="B357" s="65" t="str">
        <f>IFERROR(__xludf.DUMMYFUNCTION("""COMPUTED_VALUE"""),"#17423")</f>
        <v>#17423</v>
      </c>
      <c r="C357" s="65"/>
      <c r="D357" s="65">
        <f>IFERROR(__xludf.DUMMYFUNCTION("""COMPUTED_VALUE"""),4.802827475E9)</f>
        <v>4802827475</v>
      </c>
      <c r="E357" s="65" t="str">
        <f>IFERROR(__xludf.DUMMYFUNCTION("""COMPUTED_VALUE"""),"Patricia Mekhanik")</f>
        <v>Patricia Mekhanik</v>
      </c>
      <c r="F357" s="65" t="str">
        <f>IFERROR(__xludf.DUMMYFUNCTION("""COMPUTED_VALUE"""),"Stella Mekhanik")</f>
        <v>Stella Mekhanik</v>
      </c>
      <c r="G357" s="65" t="str">
        <f>IFERROR(__xludf.DUMMYFUNCTION("""COMPUTED_VALUE""")," 2 / Included Insurance   - ")</f>
        <v> 2 / Included Insurance   - </v>
      </c>
      <c r="H357" s="65" t="str">
        <f>IFERROR(__xludf.DUMMYFUNCTION("""COMPUTED_VALUE"""),"Shanedling  ")</f>
        <v>Shanedling  </v>
      </c>
      <c r="I357" s="65" t="str">
        <f>IFERROR(__xludf.DUMMYFUNCTION("""COMPUTED_VALUE"""),"113")</f>
        <v>113</v>
      </c>
      <c r="J357" s="108" t="str">
        <f>IFERROR(__xludf.DUMMYFUNCTION("""COMPUTED_VALUE"""),"01:00 PM to 03:00 PM  ")</f>
        <v>01:00 PM to 03:00 PM  </v>
      </c>
      <c r="K357" s="103">
        <f>IFERROR(__xludf.DUMMYFUNCTION("""COMPUTED_VALUE"""),46154.0)</f>
        <v>46154</v>
      </c>
      <c r="L357" s="65" t="str">
        <f>IFERROR(__xludf.DUMMYFUNCTION("""COMPUTED_VALUE""")," ")</f>
        <v> </v>
      </c>
      <c r="M357" s="65"/>
      <c r="N357" s="65"/>
    </row>
    <row r="358">
      <c r="A358" s="99" t="str">
        <f>IFERROR(__xludf.DUMMYFUNCTION("""COMPUTED_VALUE"""),"https://utrucking.com/admin/orders/6416725672124")</f>
        <v>https://utrucking.com/admin/orders/6416725672124</v>
      </c>
      <c r="B358" s="61" t="str">
        <f>IFERROR(__xludf.DUMMYFUNCTION("""COMPUTED_VALUE"""),"#17424")</f>
        <v>#17424</v>
      </c>
      <c r="C358" s="61" t="str">
        <f>IFERROR(__xludf.DUMMYFUNCTION("""COMPUTED_VALUE"""),"tyuen@wustl.edu")</f>
        <v>tyuen@wustl.edu</v>
      </c>
      <c r="D358" s="61">
        <f>IFERROR(__xludf.DUMMYFUNCTION("""COMPUTED_VALUE"""),4.695125718E9)</f>
        <v>4695125718</v>
      </c>
      <c r="E358" s="61" t="str">
        <f>IFERROR(__xludf.DUMMYFUNCTION("""COMPUTED_VALUE"""),"Tristan Yuen")</f>
        <v>Tristan Yuen</v>
      </c>
      <c r="F358" s="61" t="str">
        <f>IFERROR(__xludf.DUMMYFUNCTION("""COMPUTED_VALUE"""),"Tristan Yuen")</f>
        <v>Tristan Yuen</v>
      </c>
      <c r="G358" s="61" t="str">
        <f>IFERROR(__xludf.DUMMYFUNCTION("""COMPUTED_VALUE""")," 1 [Included with Registration] / Included Insurance   - ")</f>
        <v> 1 [Included with Registration] / Included Insurance   - </v>
      </c>
      <c r="H358" s="61" t="str">
        <f>IFERROR(__xludf.DUMMYFUNCTION("""COMPUTED_VALUE"""),"Lee  ")</f>
        <v>Lee  </v>
      </c>
      <c r="I358" s="61" t="str">
        <f>IFERROR(__xludf.DUMMYFUNCTION("""COMPUTED_VALUE"""),"301")</f>
        <v>301</v>
      </c>
      <c r="J358" s="107" t="str">
        <f>IFERROR(__xludf.DUMMYFUNCTION("""COMPUTED_VALUE"""),"03:00 PM to 05:00 PM")</f>
        <v>03:00 PM to 05:00 PM</v>
      </c>
      <c r="K358" s="100">
        <f>IFERROR(__xludf.DUMMYFUNCTION("""COMPUTED_VALUE"""),46147.0)</f>
        <v>46147</v>
      </c>
      <c r="L358" s="61" t="str">
        <f>IFERROR(__xludf.DUMMYFUNCTION("""COMPUTED_VALUE""")," ")</f>
        <v> </v>
      </c>
      <c r="M358" s="61"/>
      <c r="N358" s="61"/>
    </row>
    <row r="359">
      <c r="A359" s="102" t="str">
        <f>IFERROR(__xludf.DUMMYFUNCTION("""COMPUTED_VALUE"""),"https://utrucking.com/admin/orders/6417183572156")</f>
        <v>https://utrucking.com/admin/orders/6417183572156</v>
      </c>
      <c r="B359" s="65" t="str">
        <f>IFERROR(__xludf.DUMMYFUNCTION("""COMPUTED_VALUE"""),"#17426")</f>
        <v>#17426</v>
      </c>
      <c r="C359" s="65"/>
      <c r="D359" s="65">
        <f>IFERROR(__xludf.DUMMYFUNCTION("""COMPUTED_VALUE"""),6.045519618E9)</f>
        <v>6045519618</v>
      </c>
      <c r="E359" s="65" t="str">
        <f>IFERROR(__xludf.DUMMYFUNCTION("""COMPUTED_VALUE"""),"Shaojun Chen")</f>
        <v>Shaojun Chen</v>
      </c>
      <c r="F359" s="65" t="str">
        <f>IFERROR(__xludf.DUMMYFUNCTION("""COMPUTED_VALUE"""),"Jin Chen")</f>
        <v>Jin Chen</v>
      </c>
      <c r="G359" s="65" t="str">
        <f>IFERROR(__xludf.DUMMYFUNCTION("""COMPUTED_VALUE""")," 1 [Included with Registration] / Included Insurance   - ")</f>
        <v> 1 [Included with Registration] / Included Insurance   - </v>
      </c>
      <c r="H359" s="65" t="str">
        <f>IFERROR(__xludf.DUMMYFUNCTION("""COMPUTED_VALUE"""),"Park  ")</f>
        <v>Park  </v>
      </c>
      <c r="I359" s="65" t="str">
        <f>IFERROR(__xludf.DUMMYFUNCTION("""COMPUTED_VALUE"""),"332")</f>
        <v>332</v>
      </c>
      <c r="J359" s="108" t="str">
        <f>IFERROR(__xludf.DUMMYFUNCTION("""COMPUTED_VALUE"""),"11:00 AM to 01:00 PM  ")</f>
        <v>11:00 AM to 01:00 PM  </v>
      </c>
      <c r="K359" s="103">
        <f>IFERROR(__xludf.DUMMYFUNCTION("""COMPUTED_VALUE"""),46150.0)</f>
        <v>46150</v>
      </c>
      <c r="L359" s="65" t="str">
        <f>IFERROR(__xludf.DUMMYFUNCTION("""COMPUTED_VALUE""")," ")</f>
        <v> </v>
      </c>
      <c r="M359" s="65"/>
      <c r="N359" s="65" t="str">
        <f>IFERROR(__xludf.DUMMYFUNCTION("""COMPUTED_VALUE""")," ")</f>
        <v> </v>
      </c>
    </row>
    <row r="360">
      <c r="A360" s="99" t="str">
        <f>IFERROR(__xludf.DUMMYFUNCTION("""COMPUTED_VALUE"""),"https://utrucking.com/admin/orders/6417220436156")</f>
        <v>https://utrucking.com/admin/orders/6417220436156</v>
      </c>
      <c r="B360" s="61" t="str">
        <f>IFERROR(__xludf.DUMMYFUNCTION("""COMPUTED_VALUE"""),"#17427")</f>
        <v>#17427</v>
      </c>
      <c r="C360" s="61" t="str">
        <f>IFERROR(__xludf.DUMMYFUNCTION("""COMPUTED_VALUE"""),"bblackford2006@gmail.com")</f>
        <v>bblackford2006@gmail.com</v>
      </c>
      <c r="D360" s="61">
        <f>IFERROR(__xludf.DUMMYFUNCTION("""COMPUTED_VALUE"""),5.027026505E9)</f>
        <v>5027026505</v>
      </c>
      <c r="E360" s="61" t="str">
        <f>IFERROR(__xludf.DUMMYFUNCTION("""COMPUTED_VALUE"""),"Ben Blackford")</f>
        <v>Ben Blackford</v>
      </c>
      <c r="F360" s="61" t="str">
        <f>IFERROR(__xludf.DUMMYFUNCTION("""COMPUTED_VALUE"""),"Ben Blackford")</f>
        <v>Ben Blackford</v>
      </c>
      <c r="G360" s="61" t="str">
        <f>IFERROR(__xludf.DUMMYFUNCTION("""COMPUTED_VALUE""")," 2 / Included Insurance   - ")</f>
        <v> 2 / Included Insurance   - </v>
      </c>
      <c r="H360" s="61" t="str">
        <f>IFERROR(__xludf.DUMMYFUNCTION("""COMPUTED_VALUE"""),"Myers  ")</f>
        <v>Myers  </v>
      </c>
      <c r="I360" s="61" t="str">
        <f>IFERROR(__xludf.DUMMYFUNCTION("""COMPUTED_VALUE"""),"341")</f>
        <v>341</v>
      </c>
      <c r="J360" s="107" t="str">
        <f>IFERROR(__xludf.DUMMYFUNCTION("""COMPUTED_VALUE"""),"12:00 PM to 02:00 PM  ")</f>
        <v>12:00 PM to 02:00 PM  </v>
      </c>
      <c r="K360" s="100">
        <f>IFERROR(__xludf.DUMMYFUNCTION("""COMPUTED_VALUE"""),46143.0)</f>
        <v>46143</v>
      </c>
      <c r="L360" s="61" t="str">
        <f>IFERROR(__xludf.DUMMYFUNCTION("""COMPUTED_VALUE""")," ")</f>
        <v> </v>
      </c>
      <c r="M360" s="61"/>
      <c r="N360" s="61" t="str">
        <f>IFERROR(__xludf.DUMMYFUNCTION("""COMPUTED_VALUE""")," ")</f>
        <v> </v>
      </c>
    </row>
    <row r="361">
      <c r="A361" s="102" t="str">
        <f>IFERROR(__xludf.DUMMYFUNCTION("""COMPUTED_VALUE"""),"https://utrucking.com/admin/orders/6417274798268")</f>
        <v>https://utrucking.com/admin/orders/6417274798268</v>
      </c>
      <c r="B361" s="65" t="str">
        <f>IFERROR(__xludf.DUMMYFUNCTION("""COMPUTED_VALUE"""),"#17428")</f>
        <v>#17428</v>
      </c>
      <c r="C361" s="65"/>
      <c r="D361" s="65">
        <f>IFERROR(__xludf.DUMMYFUNCTION("""COMPUTED_VALUE"""),8.124490494E9)</f>
        <v>8124490494</v>
      </c>
      <c r="E361" s="65" t="str">
        <f>IFERROR(__xludf.DUMMYFUNCTION("""COMPUTED_VALUE"""),"Patricia Stobaugh")</f>
        <v>Patricia Stobaugh</v>
      </c>
      <c r="F361" s="65" t="str">
        <f>IFERROR(__xludf.DUMMYFUNCTION("""COMPUTED_VALUE"""),"Jenna Stobaugh")</f>
        <v>Jenna Stobaugh</v>
      </c>
      <c r="G361" s="65" t="str">
        <f>IFERROR(__xludf.DUMMYFUNCTION("""COMPUTED_VALUE""")," 1 [Included with Registration] / Included Insurance   - ")</f>
        <v> 1 [Included with Registration] / Included Insurance   - </v>
      </c>
      <c r="H361" s="65" t="str">
        <f>IFERROR(__xludf.DUMMYFUNCTION("""COMPUTED_VALUE"""),"Eliot A (Thomas Eliot)")</f>
        <v>Eliot A (Thomas Eliot)</v>
      </c>
      <c r="I361" s="65" t="str">
        <f>IFERROR(__xludf.DUMMYFUNCTION("""COMPUTED_VALUE"""),"0201")</f>
        <v>0201</v>
      </c>
      <c r="J361" s="108" t="str">
        <f>IFERROR(__xludf.DUMMYFUNCTION("""COMPUTED_VALUE"""),"12:00 PM to 02:00 PM  ")</f>
        <v>12:00 PM to 02:00 PM  </v>
      </c>
      <c r="K361" s="103">
        <f>IFERROR(__xludf.DUMMYFUNCTION("""COMPUTED_VALUE"""),46149.0)</f>
        <v>46149</v>
      </c>
      <c r="L361" s="65" t="str">
        <f>IFERROR(__xludf.DUMMYFUNCTION("""COMPUTED_VALUE""")," ")</f>
        <v> </v>
      </c>
      <c r="M361" s="65"/>
      <c r="N361" s="65" t="str">
        <f>IFERROR(__xludf.DUMMYFUNCTION("""COMPUTED_VALUE""")," In addition to the boxes, we also plan to store a 2-door mini refrigerator, an ottoman, and 2 plastic storage containers with drawers. Thank you")</f>
        <v> In addition to the boxes, we also plan to store a 2-door mini refrigerator, an ottoman, and 2 plastic storage containers with drawers. Thank you</v>
      </c>
    </row>
    <row r="362">
      <c r="A362" s="99" t="str">
        <f>IFERROR(__xludf.DUMMYFUNCTION("""COMPUTED_VALUE"""),"https://utrucking.com/admin/orders/6417369432252")</f>
        <v>https://utrucking.com/admin/orders/6417369432252</v>
      </c>
      <c r="B362" s="61" t="str">
        <f>IFERROR(__xludf.DUMMYFUNCTION("""COMPUTED_VALUE"""),"#17429")</f>
        <v>#17429</v>
      </c>
      <c r="C362" s="61" t="str">
        <f>IFERROR(__xludf.DUMMYFUNCTION("""COMPUTED_VALUE"""),"e.hait@wustl.edu")</f>
        <v>e.hait@wustl.edu</v>
      </c>
      <c r="D362" s="61">
        <f>IFERROR(__xludf.DUMMYFUNCTION("""COMPUTED_VALUE"""),6.177339661E9)</f>
        <v>6177339661</v>
      </c>
      <c r="E362" s="61" t="str">
        <f>IFERROR(__xludf.DUMMYFUNCTION("""COMPUTED_VALUE"""),"Nancy Hait")</f>
        <v>Nancy Hait</v>
      </c>
      <c r="F362" s="61" t="str">
        <f>IFERROR(__xludf.DUMMYFUNCTION("""COMPUTED_VALUE"""),"Emma Hait")</f>
        <v>Emma Hait</v>
      </c>
      <c r="G362" s="61" t="str">
        <f>IFERROR(__xludf.DUMMYFUNCTION("""COMPUTED_VALUE""")," 2 / Included Insurance   - ")</f>
        <v> 2 / Included Insurance   - </v>
      </c>
      <c r="H362" s="61" t="str">
        <f>IFERROR(__xludf.DUMMYFUNCTION("""COMPUTED_VALUE"""),"Nemerov  ")</f>
        <v>Nemerov  </v>
      </c>
      <c r="I362" s="61" t="str">
        <f>IFERROR(__xludf.DUMMYFUNCTION("""COMPUTED_VALUE"""),"4083-a")</f>
        <v>4083-a</v>
      </c>
      <c r="J362" s="107" t="str">
        <f>IFERROR(__xludf.DUMMYFUNCTION("""COMPUTED_VALUE"""),"03:00 PM to 05:00 PM")</f>
        <v>03:00 PM to 05:00 PM</v>
      </c>
      <c r="K362" s="100">
        <f>IFERROR(__xludf.DUMMYFUNCTION("""COMPUTED_VALUE"""),46144.0)</f>
        <v>46144</v>
      </c>
      <c r="L362" s="61" t="str">
        <f>IFERROR(__xludf.DUMMYFUNCTION("""COMPUTED_VALUE""")," ")</f>
        <v> </v>
      </c>
      <c r="M362" s="61"/>
      <c r="N362" s="61" t="str">
        <f>IFERROR(__xludf.DUMMYFUNCTION("""COMPUTED_VALUE""")," ")</f>
        <v> </v>
      </c>
    </row>
    <row r="363">
      <c r="A363" s="102" t="str">
        <f>IFERROR(__xludf.DUMMYFUNCTION("""COMPUTED_VALUE"""),"https://utrucking.com/admin/orders/6417402200252")</f>
        <v>https://utrucking.com/admin/orders/6417402200252</v>
      </c>
      <c r="B363" s="65" t="str">
        <f>IFERROR(__xludf.DUMMYFUNCTION("""COMPUTED_VALUE"""),"#17430")</f>
        <v>#17430</v>
      </c>
      <c r="C363" s="65"/>
      <c r="D363" s="65">
        <f>IFERROR(__xludf.DUMMYFUNCTION("""COMPUTED_VALUE"""),7.812666995E9)</f>
        <v>7812666995</v>
      </c>
      <c r="E363" s="65" t="str">
        <f>IFERROR(__xludf.DUMMYFUNCTION("""COMPUTED_VALUE"""),"Maya Graña")</f>
        <v>Maya Graña</v>
      </c>
      <c r="F363" s="65" t="str">
        <f>IFERROR(__xludf.DUMMYFUNCTION("""COMPUTED_VALUE"""),"Maya Graña")</f>
        <v>Maya Graña</v>
      </c>
      <c r="G363" s="65" t="str">
        <f>IFERROR(__xludf.DUMMYFUNCTION("""COMPUTED_VALUE""")," 3 / Included Insurance   - ")</f>
        <v> 3 / Included Insurance   - </v>
      </c>
      <c r="H363" s="65" t="str">
        <f>IFERROR(__xludf.DUMMYFUNCTION("""COMPUTED_VALUE"""),"Umrath  ")</f>
        <v>Umrath  </v>
      </c>
      <c r="I363" s="65" t="str">
        <f>IFERROR(__xludf.DUMMYFUNCTION("""COMPUTED_VALUE"""),"4420")</f>
        <v>4420</v>
      </c>
      <c r="J363" s="108" t="str">
        <f>IFERROR(__xludf.DUMMYFUNCTION("""COMPUTED_VALUE"""),"03:00 PM to 05:00 PM")</f>
        <v>03:00 PM to 05:00 PM</v>
      </c>
      <c r="K363" s="103">
        <f>IFERROR(__xludf.DUMMYFUNCTION("""COMPUTED_VALUE"""),46147.0)</f>
        <v>46147</v>
      </c>
      <c r="L363" s="65" t="str">
        <f>IFERROR(__xludf.DUMMYFUNCTION("""COMPUTED_VALUE""")," ")</f>
        <v> </v>
      </c>
      <c r="M363" s="65"/>
      <c r="N363" s="65" t="str">
        <f>IFERROR(__xludf.DUMMYFUNCTION("""COMPUTED_VALUE""")," ")</f>
        <v> </v>
      </c>
    </row>
    <row r="364">
      <c r="A364" s="99" t="str">
        <f>IFERROR(__xludf.DUMMYFUNCTION("""COMPUTED_VALUE"""),"https://utrucking.com/admin/orders/6417525768380")</f>
        <v>https://utrucking.com/admin/orders/6417525768380</v>
      </c>
      <c r="B364" s="61" t="str">
        <f>IFERROR(__xludf.DUMMYFUNCTION("""COMPUTED_VALUE"""),"#17431")</f>
        <v>#17431</v>
      </c>
      <c r="C364" s="61" t="str">
        <f>IFERROR(__xludf.DUMMYFUNCTION("""COMPUTED_VALUE"""),"s.sienna@wustl.edu")</f>
        <v>s.sienna@wustl.edu</v>
      </c>
      <c r="D364" s="61">
        <f>IFERROR(__xludf.DUMMYFUNCTION("""COMPUTED_VALUE"""),2.165518808E9)</f>
        <v>2165518808</v>
      </c>
      <c r="E364" s="61" t="str">
        <f>IFERROR(__xludf.DUMMYFUNCTION("""COMPUTED_VALUE"""),"Sangeeta Prakash")</f>
        <v>Sangeeta Prakash</v>
      </c>
      <c r="F364" s="61" t="str">
        <f>IFERROR(__xludf.DUMMYFUNCTION("""COMPUTED_VALUE"""),"Sienna Sindwani")</f>
        <v>Sienna Sindwani</v>
      </c>
      <c r="G364" s="61" t="str">
        <f>IFERROR(__xludf.DUMMYFUNCTION("""COMPUTED_VALUE""")," 1 [Included with Registration] / Included Insurance   - ")</f>
        <v> 1 [Included with Registration] / Included Insurance   - </v>
      </c>
      <c r="H364" s="61" t="str">
        <f>IFERROR(__xludf.DUMMYFUNCTION("""COMPUTED_VALUE"""),"Millbrook Bldg. 2  ")</f>
        <v>Millbrook Bldg. 2  </v>
      </c>
      <c r="I364" s="61" t="str">
        <f>IFERROR(__xludf.DUMMYFUNCTION("""COMPUTED_VALUE"""),"303B")</f>
        <v>303B</v>
      </c>
      <c r="J364" s="107" t="str">
        <f>IFERROR(__xludf.DUMMYFUNCTION("""COMPUTED_VALUE"""),"11:00 AM to 01:00 PM  ")</f>
        <v>11:00 AM to 01:00 PM  </v>
      </c>
      <c r="K364" s="100">
        <f>IFERROR(__xludf.DUMMYFUNCTION("""COMPUTED_VALUE"""),46149.0)</f>
        <v>46149</v>
      </c>
      <c r="L364" s="61" t="str">
        <f>IFERROR(__xludf.DUMMYFUNCTION("""COMPUTED_VALUE""")," ")</f>
        <v> </v>
      </c>
      <c r="M364" s="61"/>
      <c r="N364" s="61" t="str">
        <f>IFERROR(__xludf.DUMMYFUNCTION("""COMPUTED_VALUE""")," ")</f>
        <v> </v>
      </c>
    </row>
    <row r="365">
      <c r="A365" s="102" t="str">
        <f>IFERROR(__xludf.DUMMYFUNCTION("""COMPUTED_VALUE"""),"https://utrucking.com/admin/orders/6417583014076")</f>
        <v>https://utrucking.com/admin/orders/6417583014076</v>
      </c>
      <c r="B365" s="65" t="str">
        <f>IFERROR(__xludf.DUMMYFUNCTION("""COMPUTED_VALUE"""),"#17432")</f>
        <v>#17432</v>
      </c>
      <c r="C365" s="65" t="str">
        <f>IFERROR(__xludf.DUMMYFUNCTION("""COMPUTED_VALUE"""),"moshu@wustl.edu")</f>
        <v>moshu@wustl.edu</v>
      </c>
      <c r="D365" s="65">
        <f>IFERROR(__xludf.DUMMYFUNCTION("""COMPUTED_VALUE"""),3.146469956E9)</f>
        <v>3146469956</v>
      </c>
      <c r="E365" s="65" t="str">
        <f>IFERROR(__xludf.DUMMYFUNCTION("""COMPUTED_VALUE"""),"Moshu Yuan")</f>
        <v>Moshu Yuan</v>
      </c>
      <c r="F365" s="65" t="str">
        <f>IFERROR(__xludf.DUMMYFUNCTION("""COMPUTED_VALUE"""),"Moshu Yuan")</f>
        <v>Moshu Yuan</v>
      </c>
      <c r="G365" s="65" t="str">
        <f>IFERROR(__xludf.DUMMYFUNCTION("""COMPUTED_VALUE""")," 1 [Included with Registration] / Included Insurance   - ")</f>
        <v> 1 [Included with Registration] / Included Insurance   - </v>
      </c>
      <c r="H365" s="65" t="str">
        <f>IFERROR(__xludf.DUMMYFUNCTION("""COMPUTED_VALUE"""),"Koenig  ")</f>
        <v>Koenig  </v>
      </c>
      <c r="I365" s="65" t="str">
        <f>IFERROR(__xludf.DUMMYFUNCTION("""COMPUTED_VALUE"""),"3321")</f>
        <v>3321</v>
      </c>
      <c r="J365" s="108" t="str">
        <f>IFERROR(__xludf.DUMMYFUNCTION("""COMPUTED_VALUE"""),"01:00 PM to 03:00 PM  ")</f>
        <v>01:00 PM to 03:00 PM  </v>
      </c>
      <c r="K365" s="103">
        <f>IFERROR(__xludf.DUMMYFUNCTION("""COMPUTED_VALUE"""),46146.0)</f>
        <v>46146</v>
      </c>
      <c r="L365" s="65" t="str">
        <f>IFERROR(__xludf.DUMMYFUNCTION("""COMPUTED_VALUE""")," ")</f>
        <v> </v>
      </c>
      <c r="M365" s="65"/>
      <c r="N365" s="65" t="str">
        <f>IFERROR(__xludf.DUMMYFUNCTION("""COMPUTED_VALUE""")," ")</f>
        <v> </v>
      </c>
    </row>
    <row r="366">
      <c r="A366" s="99" t="str">
        <f>IFERROR(__xludf.DUMMYFUNCTION("""COMPUTED_VALUE"""),"https://utrucking.com/admin/orders/6417625940156")</f>
        <v>https://utrucking.com/admin/orders/6417625940156</v>
      </c>
      <c r="B366" s="61" t="str">
        <f>IFERROR(__xludf.DUMMYFUNCTION("""COMPUTED_VALUE"""),"#17433")</f>
        <v>#17433</v>
      </c>
      <c r="C366" s="61" t="str">
        <f>IFERROR(__xludf.DUMMYFUNCTION("""COMPUTED_VALUE"""),"kaiwenkailee@gmail.com")</f>
        <v>kaiwenkailee@gmail.com</v>
      </c>
      <c r="D366" s="61">
        <f>IFERROR(__xludf.DUMMYFUNCTION("""COMPUTED_VALUE"""),2.018447205E9)</f>
        <v>2018447205</v>
      </c>
      <c r="E366" s="61" t="str">
        <f>IFERROR(__xludf.DUMMYFUNCTION("""COMPUTED_VALUE"""),"Kai Lee")</f>
        <v>Kai Lee</v>
      </c>
      <c r="F366" s="61" t="str">
        <f>IFERROR(__xludf.DUMMYFUNCTION("""COMPUTED_VALUE"""),"Kai Lee")</f>
        <v>Kai Lee</v>
      </c>
      <c r="G366" s="61" t="str">
        <f>IFERROR(__xludf.DUMMYFUNCTION("""COMPUTED_VALUE""")," 1 [Included with Registration] / Included Insurance   - ")</f>
        <v> 1 [Included with Registration] / Included Insurance   - </v>
      </c>
      <c r="H366" s="61" t="str">
        <f>IFERROR(__xludf.DUMMYFUNCTION("""COMPUTED_VALUE"""),"Umrath  ")</f>
        <v>Umrath  </v>
      </c>
      <c r="I366" s="61" t="str">
        <f>IFERROR(__xludf.DUMMYFUNCTION("""COMPUTED_VALUE"""),"3330")</f>
        <v>3330</v>
      </c>
      <c r="J366" s="107" t="str">
        <f>IFERROR(__xludf.DUMMYFUNCTION("""COMPUTED_VALUE"""),"03:00 PM to 05:00 PM")</f>
        <v>03:00 PM to 05:00 PM</v>
      </c>
      <c r="K366" s="100">
        <f>IFERROR(__xludf.DUMMYFUNCTION("""COMPUTED_VALUE"""),46146.0)</f>
        <v>46146</v>
      </c>
      <c r="L366" s="61" t="str">
        <f>IFERROR(__xludf.DUMMYFUNCTION("""COMPUTED_VALUE""")," ")</f>
        <v> </v>
      </c>
      <c r="M366" s="61"/>
      <c r="N366" s="61" t="str">
        <f>IFERROR(__xludf.DUMMYFUNCTION("""COMPUTED_VALUE""")," ")</f>
        <v> </v>
      </c>
    </row>
    <row r="367">
      <c r="A367" s="102" t="str">
        <f>IFERROR(__xludf.DUMMYFUNCTION("""COMPUTED_VALUE"""),"https://utrucking.com/admin/orders/6417643831484")</f>
        <v>https://utrucking.com/admin/orders/6417643831484</v>
      </c>
      <c r="B367" s="65" t="str">
        <f>IFERROR(__xludf.DUMMYFUNCTION("""COMPUTED_VALUE"""),"#17434")</f>
        <v>#17434</v>
      </c>
      <c r="C367" s="65" t="str">
        <f>IFERROR(__xludf.DUMMYFUNCTION("""COMPUTED_VALUE"""),"cochranevan1@gmail.com")</f>
        <v>cochranevan1@gmail.com</v>
      </c>
      <c r="D367" s="65">
        <f>IFERROR(__xludf.DUMMYFUNCTION("""COMPUTED_VALUE"""),2.173697499E9)</f>
        <v>2173697499</v>
      </c>
      <c r="E367" s="65" t="str">
        <f>IFERROR(__xludf.DUMMYFUNCTION("""COMPUTED_VALUE"""),"Kristine Cochran")</f>
        <v>Kristine Cochran</v>
      </c>
      <c r="F367" s="65" t="str">
        <f>IFERROR(__xludf.DUMMYFUNCTION("""COMPUTED_VALUE"""),"Evan Cochran")</f>
        <v>Evan Cochran</v>
      </c>
      <c r="G367" s="65" t="str">
        <f>IFERROR(__xludf.DUMMYFUNCTION("""COMPUTED_VALUE""")," 1 [Included with Registration] / Included Insurance   - ")</f>
        <v> 1 [Included with Registration] / Included Insurance   - </v>
      </c>
      <c r="H367" s="65" t="str">
        <f>IFERROR(__xludf.DUMMYFUNCTION("""COMPUTED_VALUE"""),"Rutledge  ")</f>
        <v>Rutledge  </v>
      </c>
      <c r="I367" s="65" t="str">
        <f>IFERROR(__xludf.DUMMYFUNCTION("""COMPUTED_VALUE"""),"442")</f>
        <v>442</v>
      </c>
      <c r="J367" s="108" t="str">
        <f>IFERROR(__xludf.DUMMYFUNCTION("""COMPUTED_VALUE"""),"11:00 AM to 01:00 PM  ")</f>
        <v>11:00 AM to 01:00 PM  </v>
      </c>
      <c r="K367" s="103">
        <f>IFERROR(__xludf.DUMMYFUNCTION("""COMPUTED_VALUE"""),46147.0)</f>
        <v>46147</v>
      </c>
      <c r="L367" s="65" t="str">
        <f>IFERROR(__xludf.DUMMYFUNCTION("""COMPUTED_VALUE""")," ")</f>
        <v> </v>
      </c>
      <c r="M367" s="65"/>
      <c r="N367" s="65" t="str">
        <f>IFERROR(__xludf.DUMMYFUNCTION("""COMPUTED_VALUE""")," ")</f>
        <v> </v>
      </c>
    </row>
    <row r="368">
      <c r="A368" s="99" t="str">
        <f>IFERROR(__xludf.DUMMYFUNCTION("""COMPUTED_VALUE"""),"https://utrucking.com/admin/orders/6417644945596")</f>
        <v>https://utrucking.com/admin/orders/6417644945596</v>
      </c>
      <c r="B368" s="61" t="str">
        <f>IFERROR(__xludf.DUMMYFUNCTION("""COMPUTED_VALUE"""),"#17435")</f>
        <v>#17435</v>
      </c>
      <c r="C368" s="61" t="str">
        <f>IFERROR(__xludf.DUMMYFUNCTION("""COMPUTED_VALUE"""),"a.a.conner@wustl.edu")</f>
        <v>a.a.conner@wustl.edu</v>
      </c>
      <c r="D368" s="61">
        <f>IFERROR(__xludf.DUMMYFUNCTION("""COMPUTED_VALUE"""),4.155398239E9)</f>
        <v>4155398239</v>
      </c>
      <c r="E368" s="61" t="str">
        <f>IFERROR(__xludf.DUMMYFUNCTION("""COMPUTED_VALUE"""),"Alison Conner")</f>
        <v>Alison Conner</v>
      </c>
      <c r="F368" s="61" t="str">
        <f>IFERROR(__xludf.DUMMYFUNCTION("""COMPUTED_VALUE"""),"Alison Conner")</f>
        <v>Alison Conner</v>
      </c>
      <c r="G368" s="61" t="str">
        <f>IFERROR(__xludf.DUMMYFUNCTION("""COMPUTED_VALUE""")," 1 [Included with Registration] / Included Insurance   - ")</f>
        <v> 1 [Included with Registration] / Included Insurance   - </v>
      </c>
      <c r="H368" s="61" t="str">
        <f>IFERROR(__xludf.DUMMYFUNCTION("""COMPUTED_VALUE"""),"Liggett  ")</f>
        <v>Liggett  </v>
      </c>
      <c r="I368" s="61" t="str">
        <f>IFERROR(__xludf.DUMMYFUNCTION("""COMPUTED_VALUE"""),"2310")</f>
        <v>2310</v>
      </c>
      <c r="J368" s="107" t="str">
        <f>IFERROR(__xludf.DUMMYFUNCTION("""COMPUTED_VALUE"""),"09:00 AM to 11:00 AM  ")</f>
        <v>09:00 AM to 11:00 AM  </v>
      </c>
      <c r="K368" s="100">
        <f>IFERROR(__xludf.DUMMYFUNCTION("""COMPUTED_VALUE"""),46143.0)</f>
        <v>46143</v>
      </c>
      <c r="L368" s="61" t="str">
        <f>IFERROR(__xludf.DUMMYFUNCTION("""COMPUTED_VALUE""")," ")</f>
        <v> </v>
      </c>
      <c r="M368" s="61"/>
      <c r="N368" s="61" t="str">
        <f>IFERROR(__xludf.DUMMYFUNCTION("""COMPUTED_VALUE""")," ")</f>
        <v> </v>
      </c>
    </row>
    <row r="369">
      <c r="A369" s="102" t="str">
        <f>IFERROR(__xludf.DUMMYFUNCTION("""COMPUTED_VALUE"""),"https://utrucking.com/admin/orders/6417670537404")</f>
        <v>https://utrucking.com/admin/orders/6417670537404</v>
      </c>
      <c r="B369" s="65" t="str">
        <f>IFERROR(__xludf.DUMMYFUNCTION("""COMPUTED_VALUE"""),"#17436")</f>
        <v>#17436</v>
      </c>
      <c r="C369" s="65"/>
      <c r="D369" s="65">
        <f>IFERROR(__xludf.DUMMYFUNCTION("""COMPUTED_VALUE"""),3.123399797E9)</f>
        <v>3123399797</v>
      </c>
      <c r="E369" s="65" t="str">
        <f>IFERROR(__xludf.DUMMYFUNCTION("""COMPUTED_VALUE"""),"Ami Striker")</f>
        <v>Ami Striker</v>
      </c>
      <c r="F369" s="65" t="str">
        <f>IFERROR(__xludf.DUMMYFUNCTION("""COMPUTED_VALUE"""),"Sofia striker ")</f>
        <v>Sofia striker </v>
      </c>
      <c r="G369" s="65" t="str">
        <f>IFERROR(__xludf.DUMMYFUNCTION("""COMPUTED_VALUE""")," 2 / Included Insurance   - ")</f>
        <v> 2 / Included Insurance   - </v>
      </c>
      <c r="H369" s="65" t="str">
        <f>IFERROR(__xludf.DUMMYFUNCTION("""COMPUTED_VALUE"""),"Danforth  ")</f>
        <v>Danforth  </v>
      </c>
      <c r="I369" s="65" t="str">
        <f>IFERROR(__xludf.DUMMYFUNCTION("""COMPUTED_VALUE"""),"3310")</f>
        <v>3310</v>
      </c>
      <c r="J369" s="108" t="str">
        <f>IFERROR(__xludf.DUMMYFUNCTION("""COMPUTED_VALUE"""),"03:00 PM to 05:00 PM")</f>
        <v>03:00 PM to 05:00 PM</v>
      </c>
      <c r="K369" s="103">
        <f>IFERROR(__xludf.DUMMYFUNCTION("""COMPUTED_VALUE"""),46144.0)</f>
        <v>46144</v>
      </c>
      <c r="L369" s="65" t="str">
        <f>IFERROR(__xludf.DUMMYFUNCTION("""COMPUTED_VALUE""")," ")</f>
        <v> </v>
      </c>
      <c r="M369" s="65"/>
      <c r="N369" s="65" t="str">
        <f>IFERROR(__xludf.DUMMYFUNCTION("""COMPUTED_VALUE""")," ")</f>
        <v> </v>
      </c>
    </row>
    <row r="370">
      <c r="A370" s="99" t="str">
        <f>IFERROR(__xludf.DUMMYFUNCTION("""COMPUTED_VALUE"""),"https://utrucking.com/admin/orders/6417779916988")</f>
        <v>https://utrucking.com/admin/orders/6417779916988</v>
      </c>
      <c r="B370" s="61" t="str">
        <f>IFERROR(__xludf.DUMMYFUNCTION("""COMPUTED_VALUE"""),"#17437")</f>
        <v>#17437</v>
      </c>
      <c r="C370" s="61" t="str">
        <f>IFERROR(__xludf.DUMMYFUNCTION("""COMPUTED_VALUE"""),"3235778971@qq.com")</f>
        <v>3235778971@qq.com</v>
      </c>
      <c r="D370" s="61">
        <f>IFERROR(__xludf.DUMMYFUNCTION("""COMPUTED_VALUE"""),3.367792186E9)</f>
        <v>3367792186</v>
      </c>
      <c r="E370" s="61" t="str">
        <f>IFERROR(__xludf.DUMMYFUNCTION("""COMPUTED_VALUE"""),"Hailey Yang")</f>
        <v>Hailey Yang</v>
      </c>
      <c r="F370" s="61" t="str">
        <f>IFERROR(__xludf.DUMMYFUNCTION("""COMPUTED_VALUE"""),"Hailey Yang")</f>
        <v>Hailey Yang</v>
      </c>
      <c r="G370" s="61" t="str">
        <f>IFERROR(__xludf.DUMMYFUNCTION("""COMPUTED_VALUE""")," 3 / Included Insurance   - ")</f>
        <v> 3 / Included Insurance   - </v>
      </c>
      <c r="H370" s="61" t="str">
        <f>IFERROR(__xludf.DUMMYFUNCTION("""COMPUTED_VALUE"""),"Eliot A (Thomas Eliot)")</f>
        <v>Eliot A (Thomas Eliot)</v>
      </c>
      <c r="I370" s="61" t="str">
        <f>IFERROR(__xludf.DUMMYFUNCTION("""COMPUTED_VALUE"""),"3112 - b")</f>
        <v>3112 - b</v>
      </c>
      <c r="J370" s="107" t="str">
        <f>IFERROR(__xludf.DUMMYFUNCTION("""COMPUTED_VALUE"""),"09:00 AM to 11:00 AM  ")</f>
        <v>09:00 AM to 11:00 AM  </v>
      </c>
      <c r="K370" s="100">
        <f>IFERROR(__xludf.DUMMYFUNCTION("""COMPUTED_VALUE"""),46149.0)</f>
        <v>46149</v>
      </c>
      <c r="L370" s="61" t="str">
        <f>IFERROR(__xludf.DUMMYFUNCTION("""COMPUTED_VALUE""")," ")</f>
        <v> </v>
      </c>
      <c r="M370" s="61"/>
      <c r="N370" s="61" t="str">
        <f>IFERROR(__xludf.DUMMYFUNCTION("""COMPUTED_VALUE""")," I'm going to store an electric guitar with my stuff, please please be extra careful with the guitar, it's expensive and fragile. ")</f>
        <v> I'm going to store an electric guitar with my stuff, please please be extra careful with the guitar, it's expensive and fragile. </v>
      </c>
    </row>
    <row r="371">
      <c r="A371" s="102" t="str">
        <f>IFERROR(__xludf.DUMMYFUNCTION("""COMPUTED_VALUE"""),"https://utrucking.com/admin/orders/6417945755836")</f>
        <v>https://utrucking.com/admin/orders/6417945755836</v>
      </c>
      <c r="B371" s="65" t="str">
        <f>IFERROR(__xludf.DUMMYFUNCTION("""COMPUTED_VALUE"""),"#17439")</f>
        <v>#17439</v>
      </c>
      <c r="C371" s="65"/>
      <c r="D371" s="65">
        <f>IFERROR(__xludf.DUMMYFUNCTION("""COMPUTED_VALUE"""),4.847522285E9)</f>
        <v>4847522285</v>
      </c>
      <c r="E371" s="65" t="str">
        <f>IFERROR(__xludf.DUMMYFUNCTION("""COMPUTED_VALUE"""),"Eunice eunice")</f>
        <v>Eunice eunice</v>
      </c>
      <c r="F371" s="65" t="str">
        <f>IFERROR(__xludf.DUMMYFUNCTION("""COMPUTED_VALUE"""),"Eunice")</f>
        <v>Eunice</v>
      </c>
      <c r="G371" s="65" t="str">
        <f>IFERROR(__xludf.DUMMYFUNCTION("""COMPUTED_VALUE""")," 1 [Included with Registration] / Included Insurance   - ")</f>
        <v> 1 [Included with Registration] / Included Insurance   - </v>
      </c>
      <c r="H371" s="65" t="str">
        <f>IFERROR(__xludf.DUMMYFUNCTION("""COMPUTED_VALUE"""),"Dardick  ")</f>
        <v>Dardick  </v>
      </c>
      <c r="I371" s="65" t="str">
        <f>IFERROR(__xludf.DUMMYFUNCTION("""COMPUTED_VALUE"""),"4415")</f>
        <v>4415</v>
      </c>
      <c r="J371" s="108" t="str">
        <f>IFERROR(__xludf.DUMMYFUNCTION("""COMPUTED_VALUE"""),"12:00 PM to 02:00 PM  ")</f>
        <v>12:00 PM to 02:00 PM  </v>
      </c>
      <c r="K371" s="103">
        <f>IFERROR(__xludf.DUMMYFUNCTION("""COMPUTED_VALUE"""),46146.0)</f>
        <v>46146</v>
      </c>
      <c r="L371" s="65" t="str">
        <f>IFERROR(__xludf.DUMMYFUNCTION("""COMPUTED_VALUE""")," ")</f>
        <v> </v>
      </c>
      <c r="M371" s="65"/>
      <c r="N371" s="65" t="str">
        <f>IFERROR(__xludf.DUMMYFUNCTION("""COMPUTED_VALUE""")," Delivery Address: Village - 2122 - a")</f>
        <v> Delivery Address: Village - 2122 - a</v>
      </c>
    </row>
    <row r="372">
      <c r="A372" s="99" t="str">
        <f>IFERROR(__xludf.DUMMYFUNCTION("""COMPUTED_VALUE"""),"https://utrucking.com/admin/orders/6418097143996")</f>
        <v>https://utrucking.com/admin/orders/6418097143996</v>
      </c>
      <c r="B372" s="61" t="str">
        <f>IFERROR(__xludf.DUMMYFUNCTION("""COMPUTED_VALUE"""),"#17440")</f>
        <v>#17440</v>
      </c>
      <c r="C372" s="61"/>
      <c r="D372" s="61">
        <f>IFERROR(__xludf.DUMMYFUNCTION("""COMPUTED_VALUE"""),2.016697605E9)</f>
        <v>2016697605</v>
      </c>
      <c r="E372" s="61" t="str">
        <f>IFERROR(__xludf.DUMMYFUNCTION("""COMPUTED_VALUE"""),"Andersen Thompson")</f>
        <v>Andersen Thompson</v>
      </c>
      <c r="F372" s="61" t="str">
        <f>IFERROR(__xludf.DUMMYFUNCTION("""COMPUTED_VALUE"""),"Andersen Thompson")</f>
        <v>Andersen Thompson</v>
      </c>
      <c r="G372" s="61" t="str">
        <f>IFERROR(__xludf.DUMMYFUNCTION("""COMPUTED_VALUE""")," 1 [Included with Registration] / Included Insurance   - ")</f>
        <v> 1 [Included with Registration] / Included Insurance   - </v>
      </c>
      <c r="H372" s="61" t="str">
        <f>IFERROR(__xludf.DUMMYFUNCTION("""COMPUTED_VALUE"""),"Shanedling  ")</f>
        <v>Shanedling  </v>
      </c>
      <c r="I372" s="61" t="str">
        <f>IFERROR(__xludf.DUMMYFUNCTION("""COMPUTED_VALUE"""),"321")</f>
        <v>321</v>
      </c>
      <c r="J372" s="107" t="str">
        <f>IFERROR(__xludf.DUMMYFUNCTION("""COMPUTED_VALUE"""),"09:00 AM to 11:00 AM  ")</f>
        <v>09:00 AM to 11:00 AM  </v>
      </c>
      <c r="K372" s="100">
        <f>IFERROR(__xludf.DUMMYFUNCTION("""COMPUTED_VALUE"""),46147.0)</f>
        <v>46147</v>
      </c>
      <c r="L372" s="61" t="str">
        <f>IFERROR(__xludf.DUMMYFUNCTION("""COMPUTED_VALUE""")," ")</f>
        <v> </v>
      </c>
      <c r="M372" s="61"/>
      <c r="N372" s="61" t="str">
        <f>IFERROR(__xludf.DUMMYFUNCTION("""COMPUTED_VALUE""")," ")</f>
        <v> </v>
      </c>
    </row>
    <row r="373">
      <c r="A373" s="102" t="str">
        <f>IFERROR(__xludf.DUMMYFUNCTION("""COMPUTED_VALUE"""),"https://utrucking.com/admin/orders/6418309906620")</f>
        <v>https://utrucking.com/admin/orders/6418309906620</v>
      </c>
      <c r="B373" s="65" t="str">
        <f>IFERROR(__xludf.DUMMYFUNCTION("""COMPUTED_VALUE"""),"#17441")</f>
        <v>#17441</v>
      </c>
      <c r="C373" s="65" t="str">
        <f>IFERROR(__xludf.DUMMYFUNCTION("""COMPUTED_VALUE"""),"amiyahl@wustl.edu")</f>
        <v>amiyahl@wustl.edu</v>
      </c>
      <c r="D373" s="65">
        <f>IFERROR(__xludf.DUMMYFUNCTION("""COMPUTED_VALUE"""),1.3475576359E10)</f>
        <v>13475576359</v>
      </c>
      <c r="E373" s="65" t="str">
        <f>IFERROR(__xludf.DUMMYFUNCTION("""COMPUTED_VALUE"""),"Claudia Louis")</f>
        <v>Claudia Louis</v>
      </c>
      <c r="F373" s="65" t="str">
        <f>IFERROR(__xludf.DUMMYFUNCTION("""COMPUTED_VALUE"""),"Amiyah Louis")</f>
        <v>Amiyah Louis</v>
      </c>
      <c r="G373" s="65" t="str">
        <f>IFERROR(__xludf.DUMMYFUNCTION("""COMPUTED_VALUE""")," 1 [Included with Registration] / Included Insurance   - ")</f>
        <v> 1 [Included with Registration] / Included Insurance   - </v>
      </c>
      <c r="H373" s="65" t="str">
        <f>IFERROR(__xludf.DUMMYFUNCTION("""COMPUTED_VALUE"""),"Koenig  ")</f>
        <v>Koenig  </v>
      </c>
      <c r="I373" s="65" t="str">
        <f>IFERROR(__xludf.DUMMYFUNCTION("""COMPUTED_VALUE"""),"4402-A")</f>
        <v>4402-A</v>
      </c>
      <c r="J373" s="108" t="str">
        <f>IFERROR(__xludf.DUMMYFUNCTION("""COMPUTED_VALUE"""),"10:00 AM to 12:00 PM  ")</f>
        <v>10:00 AM to 12:00 PM  </v>
      </c>
      <c r="K373" s="103">
        <f>IFERROR(__xludf.DUMMYFUNCTION("""COMPUTED_VALUE"""),46148.0)</f>
        <v>46148</v>
      </c>
      <c r="L373" s="65" t="str">
        <f>IFERROR(__xludf.DUMMYFUNCTION("""COMPUTED_VALUE""")," ")</f>
        <v> </v>
      </c>
      <c r="M373" s="65"/>
      <c r="N373" s="65" t="str">
        <f>IFERROR(__xludf.DUMMYFUNCTION("""COMPUTED_VALUE""")," ")</f>
        <v> </v>
      </c>
    </row>
    <row r="374">
      <c r="A374" s="99" t="str">
        <f>IFERROR(__xludf.DUMMYFUNCTION("""COMPUTED_VALUE"""),"https://utrucking.com/admin/orders/6418625593532")</f>
        <v>https://utrucking.com/admin/orders/6418625593532</v>
      </c>
      <c r="B374" s="61" t="str">
        <f>IFERROR(__xludf.DUMMYFUNCTION("""COMPUTED_VALUE"""),"#17443")</f>
        <v>#17443</v>
      </c>
      <c r="C374" s="61" t="str">
        <f>IFERROR(__xludf.DUMMYFUNCTION("""COMPUTED_VALUE"""),"keely.w@wustl.edu")</f>
        <v>keely.w@wustl.edu</v>
      </c>
      <c r="D374" s="61">
        <f>IFERROR(__xludf.DUMMYFUNCTION("""COMPUTED_VALUE"""),9.175185793E9)</f>
        <v>9175185793</v>
      </c>
      <c r="E374" s="61" t="str">
        <f>IFERROR(__xludf.DUMMYFUNCTION("""COMPUTED_VALUE"""),"Keely Wu")</f>
        <v>Keely Wu</v>
      </c>
      <c r="F374" s="61" t="str">
        <f>IFERROR(__xludf.DUMMYFUNCTION("""COMPUTED_VALUE"""),"Keely Wu")</f>
        <v>Keely Wu</v>
      </c>
      <c r="G374" s="61" t="str">
        <f>IFERROR(__xludf.DUMMYFUNCTION("""COMPUTED_VALUE""")," 1 [Included with Registration] / Included Insurance   - ")</f>
        <v> 1 [Included with Registration] / Included Insurance   - </v>
      </c>
      <c r="H374" s="61" t="str">
        <f>IFERROR(__xludf.DUMMYFUNCTION("""COMPUTED_VALUE"""),"Dardick  ")</f>
        <v>Dardick  </v>
      </c>
      <c r="I374" s="61" t="str">
        <f>IFERROR(__xludf.DUMMYFUNCTION("""COMPUTED_VALUE"""),"2203")</f>
        <v>2203</v>
      </c>
      <c r="J374" s="107" t="str">
        <f>IFERROR(__xludf.DUMMYFUNCTION("""COMPUTED_VALUE"""),"12:00 PM to 02:00 PM  ")</f>
        <v>12:00 PM to 02:00 PM  </v>
      </c>
      <c r="K374" s="100">
        <f>IFERROR(__xludf.DUMMYFUNCTION("""COMPUTED_VALUE"""),46149.0)</f>
        <v>46149</v>
      </c>
      <c r="L374" s="61" t="str">
        <f>IFERROR(__xludf.DUMMYFUNCTION("""COMPUTED_VALUE""")," ")</f>
        <v> </v>
      </c>
      <c r="M374" s="61"/>
      <c r="N374" s="61" t="str">
        <f>IFERROR(__xludf.DUMMYFUNCTION("""COMPUTED_VALUE""")," We would like the boxes delivered by Friday April 17th. ")</f>
        <v> We would like the boxes delivered by Friday April 17th. </v>
      </c>
    </row>
    <row r="375">
      <c r="A375" s="102" t="str">
        <f>IFERROR(__xludf.DUMMYFUNCTION("""COMPUTED_VALUE"""),"https://utrucking.com/admin/orders/6418645450940")</f>
        <v>https://utrucking.com/admin/orders/6418645450940</v>
      </c>
      <c r="B375" s="65" t="str">
        <f>IFERROR(__xludf.DUMMYFUNCTION("""COMPUTED_VALUE"""),"#17444")</f>
        <v>#17444</v>
      </c>
      <c r="C375" s="65" t="str">
        <f>IFERROR(__xludf.DUMMYFUNCTION("""COMPUTED_VALUE"""),"c.jaquez@wustl.edu")</f>
        <v>c.jaquez@wustl.edu</v>
      </c>
      <c r="D375" s="65">
        <f>IFERROR(__xludf.DUMMYFUNCTION("""COMPUTED_VALUE"""),9.178896149E9)</f>
        <v>9178896149</v>
      </c>
      <c r="E375" s="65" t="str">
        <f>IFERROR(__xludf.DUMMYFUNCTION("""COMPUTED_VALUE"""),"ciara jaquez")</f>
        <v>ciara jaquez</v>
      </c>
      <c r="F375" s="65" t="str">
        <f>IFERROR(__xludf.DUMMYFUNCTION("""COMPUTED_VALUE"""),"Ciara  Jaquez")</f>
        <v>Ciara  Jaquez</v>
      </c>
      <c r="G375" s="65" t="str">
        <f>IFERROR(__xludf.DUMMYFUNCTION("""COMPUTED_VALUE""")," 1 [Included with Registration] / Included Insurance   - ")</f>
        <v> 1 [Included with Registration] / Included Insurance   - </v>
      </c>
      <c r="H375" s="65" t="str">
        <f>IFERROR(__xludf.DUMMYFUNCTION("""COMPUTED_VALUE"""),"Umrath  ")</f>
        <v>Umrath  </v>
      </c>
      <c r="I375" s="65" t="str">
        <f>IFERROR(__xludf.DUMMYFUNCTION("""COMPUTED_VALUE"""),"2213")</f>
        <v>2213</v>
      </c>
      <c r="J375" s="108" t="str">
        <f>IFERROR(__xludf.DUMMYFUNCTION("""COMPUTED_VALUE"""),"09:00 AM to 11:00 AM  ")</f>
        <v>09:00 AM to 11:00 AM  </v>
      </c>
      <c r="K375" s="103">
        <f>IFERROR(__xludf.DUMMYFUNCTION("""COMPUTED_VALUE"""),46148.0)</f>
        <v>46148</v>
      </c>
      <c r="L375" s="65" t="str">
        <f>IFERROR(__xludf.DUMMYFUNCTION("""COMPUTED_VALUE""")," ")</f>
        <v> </v>
      </c>
      <c r="M375" s="65"/>
      <c r="N375" s="65" t="str">
        <f>IFERROR(__xludf.DUMMYFUNCTION("""COMPUTED_VALUE""")," ")</f>
        <v> </v>
      </c>
    </row>
    <row r="376">
      <c r="A376" s="99" t="str">
        <f>IFERROR(__xludf.DUMMYFUNCTION("""COMPUTED_VALUE"""),"https://utrucking.com/admin/orders/6418648858812")</f>
        <v>https://utrucking.com/admin/orders/6418648858812</v>
      </c>
      <c r="B376" s="61" t="str">
        <f>IFERROR(__xludf.DUMMYFUNCTION("""COMPUTED_VALUE"""),"#17445")</f>
        <v>#17445</v>
      </c>
      <c r="C376" s="61" t="str">
        <f>IFERROR(__xludf.DUMMYFUNCTION("""COMPUTED_VALUE"""),"Cheong.d@wustl.edu")</f>
        <v>Cheong.d@wustl.edu</v>
      </c>
      <c r="D376" s="61">
        <f>IFERROR(__xludf.DUMMYFUNCTION("""COMPUTED_VALUE"""),7.032037971E9)</f>
        <v>7032037971</v>
      </c>
      <c r="E376" s="61" t="str">
        <f>IFERROR(__xludf.DUMMYFUNCTION("""COMPUTED_VALUE"""),"Danielle Cheong")</f>
        <v>Danielle Cheong</v>
      </c>
      <c r="F376" s="61" t="str">
        <f>IFERROR(__xludf.DUMMYFUNCTION("""COMPUTED_VALUE"""),"Danielle Cheong")</f>
        <v>Danielle Cheong</v>
      </c>
      <c r="G376" s="61" t="str">
        <f>IFERROR(__xludf.DUMMYFUNCTION("""COMPUTED_VALUE""")," 1 [Included with Registration] / Included Insurance   - ")</f>
        <v> 1 [Included with Registration] / Included Insurance   - </v>
      </c>
      <c r="H376" s="61" t="str">
        <f>IFERROR(__xludf.DUMMYFUNCTION("""COMPUTED_VALUE"""),"Shepley  ")</f>
        <v>Shepley  </v>
      </c>
      <c r="I376" s="61" t="str">
        <f>IFERROR(__xludf.DUMMYFUNCTION("""COMPUTED_VALUE"""),"3021-a")</f>
        <v>3021-a</v>
      </c>
      <c r="J376" s="107" t="str">
        <f>IFERROR(__xludf.DUMMYFUNCTION("""COMPUTED_VALUE"""),"09:00 AM to 11:00 AM  ")</f>
        <v>09:00 AM to 11:00 AM  </v>
      </c>
      <c r="K376" s="100">
        <f>IFERROR(__xludf.DUMMYFUNCTION("""COMPUTED_VALUE"""),46148.0)</f>
        <v>46148</v>
      </c>
      <c r="L376" s="61" t="str">
        <f>IFERROR(__xludf.DUMMYFUNCTION("""COMPUTED_VALUE""")," ")</f>
        <v> </v>
      </c>
      <c r="M376" s="61"/>
      <c r="N376" s="61" t="str">
        <f>IFERROR(__xludf.DUMMYFUNCTION("""COMPUTED_VALUE""")," ")</f>
        <v> </v>
      </c>
    </row>
    <row r="377">
      <c r="A377" s="102" t="str">
        <f>IFERROR(__xludf.DUMMYFUNCTION("""COMPUTED_VALUE"""),"https://utrucking.com/admin/orders/6418680971452")</f>
        <v>https://utrucking.com/admin/orders/6418680971452</v>
      </c>
      <c r="B377" s="65" t="str">
        <f>IFERROR(__xludf.DUMMYFUNCTION("""COMPUTED_VALUE"""),"#17446")</f>
        <v>#17446</v>
      </c>
      <c r="C377" s="65" t="str">
        <f>IFERROR(__xludf.DUMMYFUNCTION("""COMPUTED_VALUE"""),"kaplan.m.j@wustl.edu")</f>
        <v>kaplan.m.j@wustl.edu</v>
      </c>
      <c r="D377" s="65">
        <f>IFERROR(__xludf.DUMMYFUNCTION("""COMPUTED_VALUE"""),2.014077942E9)</f>
        <v>2014077942</v>
      </c>
      <c r="E377" s="65" t="str">
        <f>IFERROR(__xludf.DUMMYFUNCTION("""COMPUTED_VALUE"""),"Myles Kaplan")</f>
        <v>Myles Kaplan</v>
      </c>
      <c r="F377" s="65" t="str">
        <f>IFERROR(__xludf.DUMMYFUNCTION("""COMPUTED_VALUE"""),"Myles Kaplan")</f>
        <v>Myles Kaplan</v>
      </c>
      <c r="G377" s="65" t="str">
        <f>IFERROR(__xludf.DUMMYFUNCTION("""COMPUTED_VALUE""")," 2 / Included Insurance   - ")</f>
        <v> 2 / Included Insurance   - </v>
      </c>
      <c r="H377" s="65" t="str">
        <f>IFERROR(__xludf.DUMMYFUNCTION("""COMPUTED_VALUE"""),"House 21 (Alpha Epsilon Pi)  ")</f>
        <v>House 21 (Alpha Epsilon Pi)  </v>
      </c>
      <c r="I377" s="65" t="str">
        <f>IFERROR(__xludf.DUMMYFUNCTION("""COMPUTED_VALUE"""),"3081")</f>
        <v>3081</v>
      </c>
      <c r="J377" s="108" t="str">
        <f>IFERROR(__xludf.DUMMYFUNCTION("""COMPUTED_VALUE"""),"09:00 AM to 11:00 AM  ")</f>
        <v>09:00 AM to 11:00 AM  </v>
      </c>
      <c r="K377" s="103">
        <f>IFERROR(__xludf.DUMMYFUNCTION("""COMPUTED_VALUE"""),46148.0)</f>
        <v>46148</v>
      </c>
      <c r="L377" s="65" t="str">
        <f>IFERROR(__xludf.DUMMYFUNCTION("""COMPUTED_VALUE""")," ")</f>
        <v> </v>
      </c>
      <c r="M377" s="65"/>
      <c r="N377" s="65" t="str">
        <f>IFERROR(__xludf.DUMMYFUNCTION("""COMPUTED_VALUE""")," In early August we will contact you with what room number Myles is moving back into, in House 21. ")</f>
        <v> In early August we will contact you with what room number Myles is moving back into, in House 21. </v>
      </c>
    </row>
    <row r="378">
      <c r="A378" s="99" t="str">
        <f>IFERROR(__xludf.DUMMYFUNCTION("""COMPUTED_VALUE"""),"https://utrucking.com/admin/orders/6418712199356")</f>
        <v>https://utrucking.com/admin/orders/6418712199356</v>
      </c>
      <c r="B378" s="61" t="str">
        <f>IFERROR(__xludf.DUMMYFUNCTION("""COMPUTED_VALUE"""),"#17447")</f>
        <v>#17447</v>
      </c>
      <c r="C378" s="61" t="str">
        <f>IFERROR(__xludf.DUMMYFUNCTION("""COMPUTED_VALUE"""),"jrweinberg@yahoo.com")</f>
        <v>jrweinberg@yahoo.com</v>
      </c>
      <c r="D378" s="61">
        <f>IFERROR(__xludf.DUMMYFUNCTION("""COMPUTED_VALUE"""),9.178823912E9)</f>
        <v>9178823912</v>
      </c>
      <c r="E378" s="61" t="str">
        <f>IFERROR(__xludf.DUMMYFUNCTION("""COMPUTED_VALUE"""),"Jonathan Weinberg")</f>
        <v>Jonathan Weinberg</v>
      </c>
      <c r="F378" s="61" t="str">
        <f>IFERROR(__xludf.DUMMYFUNCTION("""COMPUTED_VALUE"""),"Bennett Weinberg")</f>
        <v>Bennett Weinberg</v>
      </c>
      <c r="G378" s="61" t="str">
        <f>IFERROR(__xludf.DUMMYFUNCTION("""COMPUTED_VALUE""")," 1 [Included with Registration] / Included Insurance   - ")</f>
        <v> 1 [Included with Registration] / Included Insurance   - </v>
      </c>
      <c r="H378" s="61" t="str">
        <f>IFERROR(__xludf.DUMMYFUNCTION("""COMPUTED_VALUE"""),"Gregg  ")</f>
        <v>Gregg  </v>
      </c>
      <c r="I378" s="61" t="str">
        <f>IFERROR(__xludf.DUMMYFUNCTION("""COMPUTED_VALUE"""),"2074")</f>
        <v>2074</v>
      </c>
      <c r="J378" s="107" t="str">
        <f>IFERROR(__xludf.DUMMYFUNCTION("""COMPUTED_VALUE"""),"10:00 AM to 12:00 PM  ")</f>
        <v>10:00 AM to 12:00 PM  </v>
      </c>
      <c r="K378" s="100">
        <f>IFERROR(__xludf.DUMMYFUNCTION("""COMPUTED_VALUE"""),46148.0)</f>
        <v>46148</v>
      </c>
      <c r="L378" s="61" t="str">
        <f>IFERROR(__xludf.DUMMYFUNCTION("""COMPUTED_VALUE""")," ")</f>
        <v> </v>
      </c>
      <c r="M378" s="61"/>
      <c r="N378" s="61" t="str">
        <f>IFERROR(__xludf.DUMMYFUNCTION("""COMPUTED_VALUE""")," Can you send information on arranging shipping home for some boxes?
Thanks")</f>
        <v> Can you send information on arranging shipping home for some boxes?
Thanks</v>
      </c>
    </row>
    <row r="379">
      <c r="A379" s="102" t="str">
        <f>IFERROR(__xludf.DUMMYFUNCTION("""COMPUTED_VALUE"""),"https://utrucking.com/admin/orders/6418746278076")</f>
        <v>https://utrucking.com/admin/orders/6418746278076</v>
      </c>
      <c r="B379" s="65" t="str">
        <f>IFERROR(__xludf.DUMMYFUNCTION("""COMPUTED_VALUE"""),"#17448")</f>
        <v>#17448</v>
      </c>
      <c r="C379" s="65" t="str">
        <f>IFERROR(__xludf.DUMMYFUNCTION("""COMPUTED_VALUE"""),"d.tea@wustl.edu")</f>
        <v>d.tea@wustl.edu</v>
      </c>
      <c r="D379" s="65">
        <f>IFERROR(__xludf.DUMMYFUNCTION("""COMPUTED_VALUE"""),7.866672127E9)</f>
        <v>7866672127</v>
      </c>
      <c r="E379" s="65" t="str">
        <f>IFERROR(__xludf.DUMMYFUNCTION("""COMPUTED_VALUE"""),"Daniela Peneva")</f>
        <v>Daniela Peneva</v>
      </c>
      <c r="F379" s="65" t="str">
        <f>IFERROR(__xludf.DUMMYFUNCTION("""COMPUTED_VALUE"""),"Tea Delic ")</f>
        <v>Tea Delic </v>
      </c>
      <c r="G379" s="65" t="str">
        <f>IFERROR(__xludf.DUMMYFUNCTION("""COMPUTED_VALUE""")," 2 / Included Insurance   - ")</f>
        <v> 2 / Included Insurance   - </v>
      </c>
      <c r="H379" s="65" t="str">
        <f>IFERROR(__xludf.DUMMYFUNCTION("""COMPUTED_VALUE"""),"Shepley  ")</f>
        <v>Shepley  </v>
      </c>
      <c r="I379" s="65" t="str">
        <f>IFERROR(__xludf.DUMMYFUNCTION("""COMPUTED_VALUE"""),"3000")</f>
        <v>3000</v>
      </c>
      <c r="J379" s="108" t="str">
        <f>IFERROR(__xludf.DUMMYFUNCTION("""COMPUTED_VALUE"""),"01:00 PM to 03:00 PM  ")</f>
        <v>01:00 PM to 03:00 PM  </v>
      </c>
      <c r="K379" s="103">
        <f>IFERROR(__xludf.DUMMYFUNCTION("""COMPUTED_VALUE"""),46149.0)</f>
        <v>46149</v>
      </c>
      <c r="L379" s="65" t="str">
        <f>IFERROR(__xludf.DUMMYFUNCTION("""COMPUTED_VALUE""")," ")</f>
        <v> </v>
      </c>
      <c r="M379" s="65"/>
      <c r="N379" s="65" t="str">
        <f>IFERROR(__xludf.DUMMYFUNCTION("""COMPUTED_VALUE""")," ")</f>
        <v> </v>
      </c>
    </row>
    <row r="380">
      <c r="A380" s="99" t="str">
        <f>IFERROR(__xludf.DUMMYFUNCTION("""COMPUTED_VALUE"""),"https://utrucking.com/admin/orders/6418746802364")</f>
        <v>https://utrucking.com/admin/orders/6418746802364</v>
      </c>
      <c r="B380" s="61" t="str">
        <f>IFERROR(__xludf.DUMMYFUNCTION("""COMPUTED_VALUE"""),"#17449")</f>
        <v>#17449</v>
      </c>
      <c r="C380" s="61" t="str">
        <f>IFERROR(__xludf.DUMMYFUNCTION("""COMPUTED_VALUE"""),"caileileirenee2025@163.com")</f>
        <v>caileileirenee2025@163.com</v>
      </c>
      <c r="D380" s="61">
        <f>IFERROR(__xludf.DUMMYFUNCTION("""COMPUTED_VALUE"""),1.3610287912E10)</f>
        <v>13610287912</v>
      </c>
      <c r="E380" s="61" t="str">
        <f>IFERROR(__xludf.DUMMYFUNCTION("""COMPUTED_VALUE"""),"Leilei Cai")</f>
        <v>Leilei Cai</v>
      </c>
      <c r="F380" s="61" t="str">
        <f>IFERROR(__xludf.DUMMYFUNCTION("""COMPUTED_VALUE"""),"Leilei Cai")</f>
        <v>Leilei Cai</v>
      </c>
      <c r="G380" s="61" t="str">
        <f>IFERROR(__xludf.DUMMYFUNCTION("""COMPUTED_VALUE""")," 1 [Included with Registration] / Included Insurance   - ")</f>
        <v> 1 [Included with Registration] / Included Insurance   - </v>
      </c>
      <c r="H380" s="61" t="str">
        <f>IFERROR(__xludf.DUMMYFUNCTION("""COMPUTED_VALUE"""),"Lien  ")</f>
        <v>Lien  </v>
      </c>
      <c r="I380" s="61" t="str">
        <f>IFERROR(__xludf.DUMMYFUNCTION("""COMPUTED_VALUE"""),"1108")</f>
        <v>1108</v>
      </c>
      <c r="J380" s="107" t="str">
        <f>IFERROR(__xludf.DUMMYFUNCTION("""COMPUTED_VALUE"""),"09:00 AM to 11:00 AM  ")</f>
        <v>09:00 AM to 11:00 AM  </v>
      </c>
      <c r="K380" s="100">
        <f>IFERROR(__xludf.DUMMYFUNCTION("""COMPUTED_VALUE"""),46149.0)</f>
        <v>46149</v>
      </c>
      <c r="L380" s="61" t="str">
        <f>IFERROR(__xludf.DUMMYFUNCTION("""COMPUTED_VALUE""")," ")</f>
        <v> </v>
      </c>
      <c r="M380" s="61"/>
      <c r="N380" s="61" t="str">
        <f>IFERROR(__xludf.DUMMYFUNCTION("""COMPUTED_VALUE""")," ")</f>
        <v> </v>
      </c>
    </row>
    <row r="381">
      <c r="A381" s="102" t="str">
        <f>IFERROR(__xludf.DUMMYFUNCTION("""COMPUTED_VALUE"""),"https://utrucking.com/admin/orders/6418806603964")</f>
        <v>https://utrucking.com/admin/orders/6418806603964</v>
      </c>
      <c r="B381" s="65" t="str">
        <f>IFERROR(__xludf.DUMMYFUNCTION("""COMPUTED_VALUE"""),"#17450")</f>
        <v>#17450</v>
      </c>
      <c r="C381" s="65" t="str">
        <f>IFERROR(__xludf.DUMMYFUNCTION("""COMPUTED_VALUE"""),"benganz719@gmail.com")</f>
        <v>benganz719@gmail.com</v>
      </c>
      <c r="D381" s="65">
        <f>IFERROR(__xludf.DUMMYFUNCTION("""COMPUTED_VALUE"""),4.042107273E9)</f>
        <v>4042107273</v>
      </c>
      <c r="E381" s="65" t="str">
        <f>IFERROR(__xludf.DUMMYFUNCTION("""COMPUTED_VALUE"""),"Jodi Ganz")</f>
        <v>Jodi Ganz</v>
      </c>
      <c r="F381" s="65" t="str">
        <f>IFERROR(__xludf.DUMMYFUNCTION("""COMPUTED_VALUE"""),"Benjamin Ganz")</f>
        <v>Benjamin Ganz</v>
      </c>
      <c r="G381" s="65" t="str">
        <f>IFERROR(__xludf.DUMMYFUNCTION("""COMPUTED_VALUE""")," 1 [Included with Registration] / Included Insurance   - ")</f>
        <v> 1 [Included with Registration] / Included Insurance   - </v>
      </c>
      <c r="H381" s="65" t="str">
        <f>IFERROR(__xludf.DUMMYFUNCTION("""COMPUTED_VALUE"""),"Koenig  ")</f>
        <v>Koenig  </v>
      </c>
      <c r="I381" s="65" t="str">
        <f>IFERROR(__xludf.DUMMYFUNCTION("""COMPUTED_VALUE"""),"1116")</f>
        <v>1116</v>
      </c>
      <c r="J381" s="108" t="str">
        <f>IFERROR(__xludf.DUMMYFUNCTION("""COMPUTED_VALUE"""),"09:00 AM to 11:00 AM  ")</f>
        <v>09:00 AM to 11:00 AM  </v>
      </c>
      <c r="K381" s="103">
        <f>IFERROR(__xludf.DUMMYFUNCTION("""COMPUTED_VALUE"""),46148.0)</f>
        <v>46148</v>
      </c>
      <c r="L381" s="65" t="str">
        <f>IFERROR(__xludf.DUMMYFUNCTION("""COMPUTED_VALUE""")," ")</f>
        <v> </v>
      </c>
      <c r="M381" s="65"/>
      <c r="N381" s="65" t="str">
        <f>IFERROR(__xludf.DUMMYFUNCTION("""COMPUTED_VALUE""")," The earlier the better!")</f>
        <v> The earlier the better!</v>
      </c>
    </row>
    <row r="382">
      <c r="A382" s="99" t="str">
        <f>IFERROR(__xludf.DUMMYFUNCTION("""COMPUTED_VALUE"""),"https://utrucking.com/admin/orders/6418850054332")</f>
        <v>https://utrucking.com/admin/orders/6418850054332</v>
      </c>
      <c r="B382" s="61" t="str">
        <f>IFERROR(__xludf.DUMMYFUNCTION("""COMPUTED_VALUE"""),"#17451")</f>
        <v>#17451</v>
      </c>
      <c r="C382" s="61"/>
      <c r="D382" s="61">
        <f>IFERROR(__xludf.DUMMYFUNCTION("""COMPUTED_VALUE"""),6.305612081E9)</f>
        <v>6305612081</v>
      </c>
      <c r="E382" s="61" t="str">
        <f>IFERROR(__xludf.DUMMYFUNCTION("""COMPUTED_VALUE"""),"Elizabeth Waldo")</f>
        <v>Elizabeth Waldo</v>
      </c>
      <c r="F382" s="61" t="str">
        <f>IFERROR(__xludf.DUMMYFUNCTION("""COMPUTED_VALUE"""),"John Waldo")</f>
        <v>John Waldo</v>
      </c>
      <c r="G382" s="61" t="str">
        <f>IFERROR(__xludf.DUMMYFUNCTION("""COMPUTED_VALUE""")," 1 [Included with Registration] / Included Insurance   - ")</f>
        <v> 1 [Included with Registration] / Included Insurance   - </v>
      </c>
      <c r="H382" s="61" t="str">
        <f>IFERROR(__xludf.DUMMYFUNCTION("""COMPUTED_VALUE"""),"Village House  ")</f>
        <v>Village House  </v>
      </c>
      <c r="I382" s="61" t="str">
        <f>IFERROR(__xludf.DUMMYFUNCTION("""COMPUTED_VALUE"""),"3013 a")</f>
        <v>3013 a</v>
      </c>
      <c r="J382" s="107" t="str">
        <f>IFERROR(__xludf.DUMMYFUNCTION("""COMPUTED_VALUE"""),"09:00 AM to 11:00 AM  ")</f>
        <v>09:00 AM to 11:00 AM  </v>
      </c>
      <c r="K382" s="100">
        <f>IFERROR(__xludf.DUMMYFUNCTION("""COMPUTED_VALUE"""),46149.0)</f>
        <v>46149</v>
      </c>
      <c r="L382" s="61" t="str">
        <f>IFERROR(__xludf.DUMMYFUNCTION("""COMPUTED_VALUE""")," ")</f>
        <v> </v>
      </c>
      <c r="M382" s="61"/>
      <c r="N382" s="61" t="str">
        <f>IFERROR(__xludf.DUMMYFUNCTION("""COMPUTED_VALUE""")," Will vacate room on 5/6; will not be present for pickup.")</f>
        <v> Will vacate room on 5/6; will not be present for pickup.</v>
      </c>
    </row>
    <row r="383">
      <c r="A383" s="102" t="str">
        <f>IFERROR(__xludf.DUMMYFUNCTION("""COMPUTED_VALUE"""),"https://utrucking.com/admin/orders/6418880463036")</f>
        <v>https://utrucking.com/admin/orders/6418880463036</v>
      </c>
      <c r="B383" s="65" t="str">
        <f>IFERROR(__xludf.DUMMYFUNCTION("""COMPUTED_VALUE"""),"#17452")</f>
        <v>#17452</v>
      </c>
      <c r="C383" s="65" t="str">
        <f>IFERROR(__xludf.DUMMYFUNCTION("""COMPUTED_VALUE"""),"a.e.kingsnorth@wustl.edu")</f>
        <v>a.e.kingsnorth@wustl.edu</v>
      </c>
      <c r="D383" s="65">
        <f>IFERROR(__xludf.DUMMYFUNCTION("""COMPUTED_VALUE"""),8.6259653E9)</f>
        <v>8625965300</v>
      </c>
      <c r="E383" s="65" t="str">
        <f>IFERROR(__xludf.DUMMYFUNCTION("""COMPUTED_VALUE"""),"Andrew Kingsnorth")</f>
        <v>Andrew Kingsnorth</v>
      </c>
      <c r="F383" s="65" t="str">
        <f>IFERROR(__xludf.DUMMYFUNCTION("""COMPUTED_VALUE"""),"Andrew Kingsnorth")</f>
        <v>Andrew Kingsnorth</v>
      </c>
      <c r="G383" s="65" t="str">
        <f>IFERROR(__xludf.DUMMYFUNCTION("""COMPUTED_VALUE""")," 1 [Included with Registration] / Included Insurance   - ")</f>
        <v> 1 [Included with Registration] / Included Insurance   - </v>
      </c>
      <c r="H383" s="65" t="str">
        <f>IFERROR(__xludf.DUMMYFUNCTION("""COMPUTED_VALUE"""),"Mudd  ")</f>
        <v>Mudd  </v>
      </c>
      <c r="I383" s="65" t="str">
        <f>IFERROR(__xludf.DUMMYFUNCTION("""COMPUTED_VALUE"""),"102")</f>
        <v>102</v>
      </c>
      <c r="J383" s="108" t="str">
        <f>IFERROR(__xludf.DUMMYFUNCTION("""COMPUTED_VALUE"""),"09:00 AM to 11:00 AM  ")</f>
        <v>09:00 AM to 11:00 AM  </v>
      </c>
      <c r="K383" s="103">
        <f>IFERROR(__xludf.DUMMYFUNCTION("""COMPUTED_VALUE"""),46150.0)</f>
        <v>46150</v>
      </c>
      <c r="L383" s="65" t="str">
        <f>IFERROR(__xludf.DUMMYFUNCTION("""COMPUTED_VALUE""")," ")</f>
        <v> </v>
      </c>
      <c r="M383" s="65"/>
      <c r="N383" s="65" t="str">
        <f>IFERROR(__xludf.DUMMYFUNCTION("""COMPUTED_VALUE""")," ")</f>
        <v> </v>
      </c>
    </row>
    <row r="384">
      <c r="A384" s="99" t="str">
        <f>IFERROR(__xludf.DUMMYFUNCTION("""COMPUTED_VALUE"""),"https://utrucking.com/admin/orders/6418904449212")</f>
        <v>https://utrucking.com/admin/orders/6418904449212</v>
      </c>
      <c r="B384" s="61" t="str">
        <f>IFERROR(__xludf.DUMMYFUNCTION("""COMPUTED_VALUE"""),"#17453")</f>
        <v>#17453</v>
      </c>
      <c r="C384" s="61" t="str">
        <f>IFERROR(__xludf.DUMMYFUNCTION("""COMPUTED_VALUE"""),"tamarlehon@gmail.com")</f>
        <v>tamarlehon@gmail.com</v>
      </c>
      <c r="D384" s="61">
        <f>IFERROR(__xludf.DUMMYFUNCTION("""COMPUTED_VALUE"""),6.466181335E9)</f>
        <v>6466181335</v>
      </c>
      <c r="E384" s="61" t="str">
        <f>IFERROR(__xludf.DUMMYFUNCTION("""COMPUTED_VALUE"""),"Tamar Lehon")</f>
        <v>Tamar Lehon</v>
      </c>
      <c r="F384" s="61" t="str">
        <f>IFERROR(__xludf.DUMMYFUNCTION("""COMPUTED_VALUE"""),"Tamar Lehon")</f>
        <v>Tamar Lehon</v>
      </c>
      <c r="G384" s="61" t="str">
        <f>IFERROR(__xludf.DUMMYFUNCTION("""COMPUTED_VALUE""")," 1 [Included with Registration] / Included Insurance   - ")</f>
        <v> 1 [Included with Registration] / Included Insurance   - </v>
      </c>
      <c r="H384" s="61" t="str">
        <f>IFERROR(__xludf.DUMMYFUNCTION("""COMPUTED_VALUE"""),"Gregg  ")</f>
        <v>Gregg  </v>
      </c>
      <c r="I384" s="61" t="str">
        <f>IFERROR(__xludf.DUMMYFUNCTION("""COMPUTED_VALUE"""),"3103")</f>
        <v>3103</v>
      </c>
      <c r="J384" s="107" t="str">
        <f>IFERROR(__xludf.DUMMYFUNCTION("""COMPUTED_VALUE"""),"10:00 AM to 12:00 PM  ")</f>
        <v>10:00 AM to 12:00 PM  </v>
      </c>
      <c r="K384" s="100">
        <f>IFERROR(__xludf.DUMMYFUNCTION("""COMPUTED_VALUE"""),46149.0)</f>
        <v>46149</v>
      </c>
      <c r="L384" s="61" t="str">
        <f>IFERROR(__xludf.DUMMYFUNCTION("""COMPUTED_VALUE""")," ")</f>
        <v> </v>
      </c>
      <c r="M384" s="61"/>
      <c r="N384" s="61" t="str">
        <f>IFERROR(__xludf.DUMMYFUNCTION("""COMPUTED_VALUE""")," ")</f>
        <v> </v>
      </c>
    </row>
    <row r="385">
      <c r="A385" s="102" t="str">
        <f>IFERROR(__xludf.DUMMYFUNCTION("""COMPUTED_VALUE"""),"https://utrucking.com/admin/orders/6418984435900")</f>
        <v>https://utrucking.com/admin/orders/6418984435900</v>
      </c>
      <c r="B385" s="65" t="str">
        <f>IFERROR(__xludf.DUMMYFUNCTION("""COMPUTED_VALUE"""),"#17454")</f>
        <v>#17454</v>
      </c>
      <c r="C385" s="65" t="str">
        <f>IFERROR(__xludf.DUMMYFUNCTION("""COMPUTED_VALUE"""),"oliviapetlak@gmail.com")</f>
        <v>oliviapetlak@gmail.com</v>
      </c>
      <c r="D385" s="65">
        <f>IFERROR(__xludf.DUMMYFUNCTION("""COMPUTED_VALUE"""),4.24303052E9)</f>
        <v>4243030520</v>
      </c>
      <c r="E385" s="65" t="str">
        <f>IFERROR(__xludf.DUMMYFUNCTION("""COMPUTED_VALUE"""),"Olivia Petlak")</f>
        <v>Olivia Petlak</v>
      </c>
      <c r="F385" s="65" t="str">
        <f>IFERROR(__xludf.DUMMYFUNCTION("""COMPUTED_VALUE"""),"Olivia Petlak")</f>
        <v>Olivia Petlak</v>
      </c>
      <c r="G385" s="65" t="str">
        <f>IFERROR(__xludf.DUMMYFUNCTION("""COMPUTED_VALUE""")," 1 [Included with Registration] / Included Insurance   - ")</f>
        <v> 1 [Included with Registration] / Included Insurance   - </v>
      </c>
      <c r="H385" s="65" t="str">
        <f>IFERROR(__xludf.DUMMYFUNCTION("""COMPUTED_VALUE"""),"Dardick  ")</f>
        <v>Dardick  </v>
      </c>
      <c r="I385" s="65" t="str">
        <f>IFERROR(__xludf.DUMMYFUNCTION("""COMPUTED_VALUE"""),"3305")</f>
        <v>3305</v>
      </c>
      <c r="J385" s="108" t="str">
        <f>IFERROR(__xludf.DUMMYFUNCTION("""COMPUTED_VALUE"""),"03:00 PM to 05:00 PM")</f>
        <v>03:00 PM to 05:00 PM</v>
      </c>
      <c r="K385" s="103">
        <f>IFERROR(__xludf.DUMMYFUNCTION("""COMPUTED_VALUE"""),46141.0)</f>
        <v>46141</v>
      </c>
      <c r="L385" s="65" t="str">
        <f>IFERROR(__xludf.DUMMYFUNCTION("""COMPUTED_VALUE""")," ")</f>
        <v> </v>
      </c>
      <c r="M385" s="65"/>
      <c r="N385" s="65" t="str">
        <f>IFERROR(__xludf.DUMMYFUNCTION("""COMPUTED_VALUE""")," ")</f>
        <v> </v>
      </c>
    </row>
    <row r="386">
      <c r="A386" s="99" t="str">
        <f>IFERROR(__xludf.DUMMYFUNCTION("""COMPUTED_VALUE"""),"https://utrucking.com/admin/orders/6419011174588")</f>
        <v>https://utrucking.com/admin/orders/6419011174588</v>
      </c>
      <c r="B386" s="61" t="str">
        <f>IFERROR(__xludf.DUMMYFUNCTION("""COMPUTED_VALUE"""),"#17455")</f>
        <v>#17455</v>
      </c>
      <c r="C386" s="61" t="str">
        <f>IFERROR(__xludf.DUMMYFUNCTION("""COMPUTED_VALUE"""),"alexrc1004@gmail.com")</f>
        <v>alexrc1004@gmail.com</v>
      </c>
      <c r="D386" s="61">
        <f>IFERROR(__xludf.DUMMYFUNCTION("""COMPUTED_VALUE"""),9.733427712E9)</f>
        <v>9733427712</v>
      </c>
      <c r="E386" s="61" t="str">
        <f>IFERROR(__xludf.DUMMYFUNCTION("""COMPUTED_VALUE"""),"Sonia Catota")</f>
        <v>Sonia Catota</v>
      </c>
      <c r="F386" s="61" t="str">
        <f>IFERROR(__xludf.DUMMYFUNCTION("""COMPUTED_VALUE"""),"Alexander Ramirez Catota")</f>
        <v>Alexander Ramirez Catota</v>
      </c>
      <c r="G386" s="61" t="str">
        <f>IFERROR(__xludf.DUMMYFUNCTION("""COMPUTED_VALUE""")," 1 [Included with Registration] / Included Insurance   - ")</f>
        <v> 1 [Included with Registration] / Included Insurance   - </v>
      </c>
      <c r="H386" s="61" t="str">
        <f>IFERROR(__xludf.DUMMYFUNCTION("""COMPUTED_VALUE"""),"Lee  ")</f>
        <v>Lee  </v>
      </c>
      <c r="I386" s="61" t="str">
        <f>IFERROR(__xludf.DUMMYFUNCTION("""COMPUTED_VALUE"""),"217")</f>
        <v>217</v>
      </c>
      <c r="J386" s="107" t="str">
        <f>IFERROR(__xludf.DUMMYFUNCTION("""COMPUTED_VALUE"""),"10:00 AM to 12:00 PM  ")</f>
        <v>10:00 AM to 12:00 PM  </v>
      </c>
      <c r="K386" s="100">
        <f>IFERROR(__xludf.DUMMYFUNCTION("""COMPUTED_VALUE"""),46160.0)</f>
        <v>46160</v>
      </c>
      <c r="L386" s="61" t="str">
        <f>IFERROR(__xludf.DUMMYFUNCTION("""COMPUTED_VALUE""")," ")</f>
        <v> </v>
      </c>
      <c r="M386" s="61"/>
      <c r="N386" s="61" t="str">
        <f>IFERROR(__xludf.DUMMYFUNCTION("""COMPUTED_VALUE""")," ")</f>
        <v> </v>
      </c>
    </row>
    <row r="387">
      <c r="A387" s="102" t="str">
        <f>IFERROR(__xludf.DUMMYFUNCTION("""COMPUTED_VALUE"""),"https://utrucking.com/admin/orders/6419037880508")</f>
        <v>https://utrucking.com/admin/orders/6419037880508</v>
      </c>
      <c r="B387" s="65" t="str">
        <f>IFERROR(__xludf.DUMMYFUNCTION("""COMPUTED_VALUE"""),"#17456")</f>
        <v>#17456</v>
      </c>
      <c r="C387" s="65" t="str">
        <f>IFERROR(__xludf.DUMMYFUNCTION("""COMPUTED_VALUE"""),"neekolefrance@gmail.com")</f>
        <v>neekolefrance@gmail.com</v>
      </c>
      <c r="D387" s="65">
        <f>IFERROR(__xludf.DUMMYFUNCTION("""COMPUTED_VALUE"""),3.10462273E9)</f>
        <v>3104622730</v>
      </c>
      <c r="E387" s="65" t="str">
        <f>IFERROR(__xludf.DUMMYFUNCTION("""COMPUTED_VALUE"""),"Neekole Glaspie")</f>
        <v>Neekole Glaspie</v>
      </c>
      <c r="F387" s="65" t="str">
        <f>IFERROR(__xludf.DUMMYFUNCTION("""COMPUTED_VALUE"""),"Breylin France")</f>
        <v>Breylin France</v>
      </c>
      <c r="G387" s="65" t="str">
        <f>IFERROR(__xludf.DUMMYFUNCTION("""COMPUTED_VALUE""")," 1 [Included with Registration] / Included Insurance   - ")</f>
        <v> 1 [Included with Registration] / Included Insurance   - </v>
      </c>
      <c r="H387" s="65" t="str">
        <f>IFERROR(__xludf.DUMMYFUNCTION("""COMPUTED_VALUE"""),"Park  ")</f>
        <v>Park  </v>
      </c>
      <c r="I387" s="65" t="str">
        <f>IFERROR(__xludf.DUMMYFUNCTION("""COMPUTED_VALUE"""),"Ste. 240 - Room 242")</f>
        <v>Ste. 240 - Room 242</v>
      </c>
      <c r="J387" s="108" t="str">
        <f>IFERROR(__xludf.DUMMYFUNCTION("""COMPUTED_VALUE"""),"11:00 AM to 01:00 PM  ")</f>
        <v>11:00 AM to 01:00 PM  </v>
      </c>
      <c r="K387" s="103">
        <f>IFERROR(__xludf.DUMMYFUNCTION("""COMPUTED_VALUE"""),46143.0)</f>
        <v>46143</v>
      </c>
      <c r="L387" s="65" t="str">
        <f>IFERROR(__xludf.DUMMYFUNCTION("""COMPUTED_VALUE""")," ")</f>
        <v> </v>
      </c>
      <c r="M387" s="65"/>
      <c r="N387" s="65" t="str">
        <f>IFERROR(__xludf.DUMMYFUNCTION("""COMPUTED_VALUE""")," ")</f>
        <v> </v>
      </c>
    </row>
    <row r="388">
      <c r="A388" s="99" t="str">
        <f>IFERROR(__xludf.DUMMYFUNCTION("""COMPUTED_VALUE"""),"https://utrucking.com/admin/orders/6419041255612")</f>
        <v>https://utrucking.com/admin/orders/6419041255612</v>
      </c>
      <c r="B388" s="61" t="str">
        <f>IFERROR(__xludf.DUMMYFUNCTION("""COMPUTED_VALUE"""),"#17457")</f>
        <v>#17457</v>
      </c>
      <c r="C388" s="61"/>
      <c r="D388" s="61">
        <f>IFERROR(__xludf.DUMMYFUNCTION("""COMPUTED_VALUE"""),9.179752699E9)</f>
        <v>9179752699</v>
      </c>
      <c r="E388" s="61" t="str">
        <f>IFERROR(__xludf.DUMMYFUNCTION("""COMPUTED_VALUE"""),"Fiona Bell")</f>
        <v>Fiona Bell</v>
      </c>
      <c r="F388" s="61" t="str">
        <f>IFERROR(__xludf.DUMMYFUNCTION("""COMPUTED_VALUE"""),"Fiona Bell")</f>
        <v>Fiona Bell</v>
      </c>
      <c r="G388" s="61" t="str">
        <f>IFERROR(__xludf.DUMMYFUNCTION("""COMPUTED_VALUE""")," 1 [Included with Registration] / Included Insurance   - ")</f>
        <v> 1 [Included with Registration] / Included Insurance   - </v>
      </c>
      <c r="H388" s="61" t="str">
        <f>IFERROR(__xludf.DUMMYFUNCTION("""COMPUTED_VALUE"""),"Millbrook Bldg. 3  ")</f>
        <v>Millbrook Bldg. 3  </v>
      </c>
      <c r="I388" s="61" t="str">
        <f>IFERROR(__xludf.DUMMYFUNCTION("""COMPUTED_VALUE"""),"101G-a")</f>
        <v>101G-a</v>
      </c>
      <c r="J388" s="107" t="str">
        <f>IFERROR(__xludf.DUMMYFUNCTION("""COMPUTED_VALUE"""),"09:00 AM to 11:00 AM  ")</f>
        <v>09:00 AM to 11:00 AM  </v>
      </c>
      <c r="K388" s="100">
        <f>IFERROR(__xludf.DUMMYFUNCTION("""COMPUTED_VALUE"""),46149.0)</f>
        <v>46149</v>
      </c>
      <c r="L388" s="61" t="str">
        <f>IFERROR(__xludf.DUMMYFUNCTION("""COMPUTED_VALUE""")," ")</f>
        <v> </v>
      </c>
      <c r="M388" s="61"/>
      <c r="N388" s="61" t="str">
        <f>IFERROR(__xludf.DUMMYFUNCTION("""COMPUTED_VALUE""")," ")</f>
        <v> </v>
      </c>
    </row>
    <row r="389">
      <c r="A389" s="102" t="str">
        <f>IFERROR(__xludf.DUMMYFUNCTION("""COMPUTED_VALUE"""),"https://utrucking.com/admin/orders/6419054624956")</f>
        <v>https://utrucking.com/admin/orders/6419054624956</v>
      </c>
      <c r="B389" s="65" t="str">
        <f>IFERROR(__xludf.DUMMYFUNCTION("""COMPUTED_VALUE"""),"#17458")</f>
        <v>#17458</v>
      </c>
      <c r="C389" s="65" t="str">
        <f>IFERROR(__xludf.DUMMYFUNCTION("""COMPUTED_VALUE"""),"peralta.anthony@outlook.com")</f>
        <v>peralta.anthony@outlook.com</v>
      </c>
      <c r="D389" s="65">
        <f>IFERROR(__xludf.DUMMYFUNCTION("""COMPUTED_VALUE"""),8.328153736E9)</f>
        <v>8328153736</v>
      </c>
      <c r="E389" s="65" t="str">
        <f>IFERROR(__xludf.DUMMYFUNCTION("""COMPUTED_VALUE"""),"Anthony Peralta")</f>
        <v>Anthony Peralta</v>
      </c>
      <c r="F389" s="65" t="str">
        <f>IFERROR(__xludf.DUMMYFUNCTION("""COMPUTED_VALUE"""),"Anthony Peralta")</f>
        <v>Anthony Peralta</v>
      </c>
      <c r="G389" s="65" t="str">
        <f>IFERROR(__xludf.DUMMYFUNCTION("""COMPUTED_VALUE""")," 1 [Included with Registration] / Included Insurance   - ")</f>
        <v> 1 [Included with Registration] / Included Insurance   - </v>
      </c>
      <c r="H389" s="65" t="str">
        <f>IFERROR(__xludf.DUMMYFUNCTION("""COMPUTED_VALUE"""),"Millbrook Bldg. 1  ")</f>
        <v>Millbrook Bldg. 1  </v>
      </c>
      <c r="I389" s="65" t="str">
        <f>IFERROR(__xludf.DUMMYFUNCTION("""COMPUTED_VALUE"""),"Apt. 203 Room B")</f>
        <v>Apt. 203 Room B</v>
      </c>
      <c r="J389" s="108" t="str">
        <f>IFERROR(__xludf.DUMMYFUNCTION("""COMPUTED_VALUE"""),"09:00 AM to 11:00 AM  ")</f>
        <v>09:00 AM to 11:00 AM  </v>
      </c>
      <c r="K389" s="103">
        <f>IFERROR(__xludf.DUMMYFUNCTION("""COMPUTED_VALUE"""),46147.0)</f>
        <v>46147</v>
      </c>
      <c r="L389" s="65" t="str">
        <f>IFERROR(__xludf.DUMMYFUNCTION("""COMPUTED_VALUE""")," ")</f>
        <v> </v>
      </c>
      <c r="M389" s="65"/>
      <c r="N389" s="65" t="str">
        <f>IFERROR(__xludf.DUMMYFUNCTION("""COMPUTED_VALUE""")," ")</f>
        <v> </v>
      </c>
    </row>
    <row r="390">
      <c r="A390" s="99" t="str">
        <f>IFERROR(__xludf.DUMMYFUNCTION("""COMPUTED_VALUE"""),"https://utrucking.com/admin/orders/6419068944572")</f>
        <v>https://utrucking.com/admin/orders/6419068944572</v>
      </c>
      <c r="B390" s="61" t="str">
        <f>IFERROR(__xludf.DUMMYFUNCTION("""COMPUTED_VALUE"""),"#17459")</f>
        <v>#17459</v>
      </c>
      <c r="C390" s="61" t="str">
        <f>IFERROR(__xludf.DUMMYFUNCTION("""COMPUTED_VALUE"""),"gmb.baker@gmail.com")</f>
        <v>gmb.baker@gmail.com</v>
      </c>
      <c r="D390" s="61">
        <f>IFERROR(__xludf.DUMMYFUNCTION("""COMPUTED_VALUE"""),5.166260596E9)</f>
        <v>5166260596</v>
      </c>
      <c r="E390" s="61" t="str">
        <f>IFERROR(__xludf.DUMMYFUNCTION("""COMPUTED_VALUE"""),"Geneane Baker")</f>
        <v>Geneane Baker</v>
      </c>
      <c r="F390" s="61" t="str">
        <f>IFERROR(__xludf.DUMMYFUNCTION("""COMPUTED_VALUE"""),"Sydney Baker")</f>
        <v>Sydney Baker</v>
      </c>
      <c r="G390" s="61" t="str">
        <f>IFERROR(__xludf.DUMMYFUNCTION("""COMPUTED_VALUE""")," 2 / Included Insurance   - ")</f>
        <v> 2 / Included Insurance   - </v>
      </c>
      <c r="H390" s="61" t="str">
        <f>IFERROR(__xludf.DUMMYFUNCTION("""COMPUTED_VALUE"""),"Lopata  ")</f>
        <v>Lopata  </v>
      </c>
      <c r="I390" s="61" t="str">
        <f>IFERROR(__xludf.DUMMYFUNCTION("""COMPUTED_VALUE"""),"3032")</f>
        <v>3032</v>
      </c>
      <c r="J390" s="107" t="str">
        <f>IFERROR(__xludf.DUMMYFUNCTION("""COMPUTED_VALUE"""),"03:00 PM to 05:00 PM")</f>
        <v>03:00 PM to 05:00 PM</v>
      </c>
      <c r="K390" s="100">
        <f>IFERROR(__xludf.DUMMYFUNCTION("""COMPUTED_VALUE"""),46149.0)</f>
        <v>46149</v>
      </c>
      <c r="L390" s="61" t="str">
        <f>IFERROR(__xludf.DUMMYFUNCTION("""COMPUTED_VALUE""")," ")</f>
        <v> </v>
      </c>
      <c r="M390" s="61"/>
      <c r="N390" s="61" t="str">
        <f>IFERROR(__xludf.DUMMYFUNCTION("""COMPUTED_VALUE""")," ")</f>
        <v> </v>
      </c>
    </row>
    <row r="391">
      <c r="A391" s="102" t="str">
        <f>IFERROR(__xludf.DUMMYFUNCTION("""COMPUTED_VALUE"""),"https://utrucking.com/admin/orders/6419083788476")</f>
        <v>https://utrucking.com/admin/orders/6419083788476</v>
      </c>
      <c r="B391" s="65" t="str">
        <f>IFERROR(__xludf.DUMMYFUNCTION("""COMPUTED_VALUE"""),"#17460")</f>
        <v>#17460</v>
      </c>
      <c r="C391" s="65" t="str">
        <f>IFERROR(__xludf.DUMMYFUNCTION("""COMPUTED_VALUE"""),"j.t.wolf@wustl.edu")</f>
        <v>j.t.wolf@wustl.edu</v>
      </c>
      <c r="D391" s="65">
        <f>IFERROR(__xludf.DUMMYFUNCTION("""COMPUTED_VALUE"""),3.478860321E9)</f>
        <v>3478860321</v>
      </c>
      <c r="E391" s="65" t="str">
        <f>IFERROR(__xludf.DUMMYFUNCTION("""COMPUTED_VALUE"""),"Jordan Wolf")</f>
        <v>Jordan Wolf</v>
      </c>
      <c r="F391" s="65" t="str">
        <f>IFERROR(__xludf.DUMMYFUNCTION("""COMPUTED_VALUE"""),"Jordan")</f>
        <v>Jordan</v>
      </c>
      <c r="G391" s="65" t="str">
        <f>IFERROR(__xludf.DUMMYFUNCTION("""COMPUTED_VALUE""")," 1 [Included with Registration] / Included Insurance   - ")</f>
        <v> 1 [Included with Registration] / Included Insurance   - </v>
      </c>
      <c r="H391" s="65" t="str">
        <f>IFERROR(__xludf.DUMMYFUNCTION("""COMPUTED_VALUE"""),"Millbrook Bldg. 4  ")</f>
        <v>Millbrook Bldg. 4  </v>
      </c>
      <c r="I391" s="65" t="str">
        <f>IFERROR(__xludf.DUMMYFUNCTION("""COMPUTED_VALUE"""),"302F")</f>
        <v>302F</v>
      </c>
      <c r="J391" s="108" t="str">
        <f>IFERROR(__xludf.DUMMYFUNCTION("""COMPUTED_VALUE"""),"09:00 AM to 11:00 AM  ")</f>
        <v>09:00 AM to 11:00 AM  </v>
      </c>
      <c r="K391" s="103">
        <f>IFERROR(__xludf.DUMMYFUNCTION("""COMPUTED_VALUE"""),46147.0)</f>
        <v>46147</v>
      </c>
      <c r="L391" s="65" t="str">
        <f>IFERROR(__xludf.DUMMYFUNCTION("""COMPUTED_VALUE""")," ")</f>
        <v> </v>
      </c>
      <c r="M391" s="65"/>
      <c r="N391" s="65" t="str">
        <f>IFERROR(__xludf.DUMMYFUNCTION("""COMPUTED_VALUE""")," ")</f>
        <v> </v>
      </c>
    </row>
    <row r="392">
      <c r="A392" s="99" t="str">
        <f>IFERROR(__xludf.DUMMYFUNCTION("""COMPUTED_VALUE"""),"https://utrucking.com/admin/orders/6419091423420")</f>
        <v>https://utrucking.com/admin/orders/6419091423420</v>
      </c>
      <c r="B392" s="61" t="str">
        <f>IFERROR(__xludf.DUMMYFUNCTION("""COMPUTED_VALUE"""),"#17461")</f>
        <v>#17461</v>
      </c>
      <c r="C392" s="61" t="str">
        <f>IFERROR(__xludf.DUMMYFUNCTION("""COMPUTED_VALUE"""),"p.taya@wustl.edu")</f>
        <v>p.taya@wustl.edu</v>
      </c>
      <c r="D392" s="61">
        <f>IFERROR(__xludf.DUMMYFUNCTION("""COMPUTED_VALUE"""),9.142239682E9)</f>
        <v>9142239682</v>
      </c>
      <c r="E392" s="61" t="str">
        <f>IFERROR(__xludf.DUMMYFUNCTION("""COMPUTED_VALUE"""),"Taya Puner")</f>
        <v>Taya Puner</v>
      </c>
      <c r="F392" s="61" t="str">
        <f>IFERROR(__xludf.DUMMYFUNCTION("""COMPUTED_VALUE"""),"Taya Puner")</f>
        <v>Taya Puner</v>
      </c>
      <c r="G392" s="61" t="str">
        <f>IFERROR(__xludf.DUMMYFUNCTION("""COMPUTED_VALUE""")," 1 [Included with Registration] / Included Insurance   - ")</f>
        <v> 1 [Included with Registration] / Included Insurance   - </v>
      </c>
      <c r="H392" s="61" t="str">
        <f>IFERROR(__xludf.DUMMYFUNCTION("""COMPUTED_VALUE"""),"Millbrook Bldg. 4  ")</f>
        <v>Millbrook Bldg. 4  </v>
      </c>
      <c r="I392" s="61" t="str">
        <f>IFERROR(__xludf.DUMMYFUNCTION("""COMPUTED_VALUE"""),"B1 - Room B")</f>
        <v>B1 - Room B</v>
      </c>
      <c r="J392" s="107" t="str">
        <f>IFERROR(__xludf.DUMMYFUNCTION("""COMPUTED_VALUE"""),"09:00 AM to 11:00 AM  ")</f>
        <v>09:00 AM to 11:00 AM  </v>
      </c>
      <c r="K392" s="100">
        <f>IFERROR(__xludf.DUMMYFUNCTION("""COMPUTED_VALUE"""),46149.0)</f>
        <v>46149</v>
      </c>
      <c r="L392" s="61" t="str">
        <f>IFERROR(__xludf.DUMMYFUNCTION("""COMPUTED_VALUE""")," ")</f>
        <v> </v>
      </c>
      <c r="M392" s="61"/>
      <c r="N392" s="61" t="str">
        <f>IFERROR(__xludf.DUMMYFUNCTION("""COMPUTED_VALUE""")," ")</f>
        <v> </v>
      </c>
    </row>
    <row r="393">
      <c r="A393" s="102" t="str">
        <f>IFERROR(__xludf.DUMMYFUNCTION("""COMPUTED_VALUE"""),"https://utrucking.com/admin/orders/6419121602748")</f>
        <v>https://utrucking.com/admin/orders/6419121602748</v>
      </c>
      <c r="B393" s="65" t="str">
        <f>IFERROR(__xludf.DUMMYFUNCTION("""COMPUTED_VALUE"""),"#17462")</f>
        <v>#17462</v>
      </c>
      <c r="C393" s="65" t="str">
        <f>IFERROR(__xludf.DUMMYFUNCTION("""COMPUTED_VALUE"""),"b.keela@wustl.edu")</f>
        <v>b.keela@wustl.edu</v>
      </c>
      <c r="D393" s="65">
        <f>IFERROR(__xludf.DUMMYFUNCTION("""COMPUTED_VALUE"""),3.108908697E9)</f>
        <v>3108908697</v>
      </c>
      <c r="E393" s="65" t="str">
        <f>IFERROR(__xludf.DUMMYFUNCTION("""COMPUTED_VALUE"""),"Keela Bond")</f>
        <v>Keela Bond</v>
      </c>
      <c r="F393" s="65" t="str">
        <f>IFERROR(__xludf.DUMMYFUNCTION("""COMPUTED_VALUE"""),"Keela Bond")</f>
        <v>Keela Bond</v>
      </c>
      <c r="G393" s="65" t="str">
        <f>IFERROR(__xludf.DUMMYFUNCTION("""COMPUTED_VALUE""")," 2 / Included Insurance   - ")</f>
        <v> 2 / Included Insurance   - </v>
      </c>
      <c r="H393" s="65" t="str">
        <f>IFERROR(__xludf.DUMMYFUNCTION("""COMPUTED_VALUE"""),"Village House  ")</f>
        <v>Village House  </v>
      </c>
      <c r="I393" s="65" t="str">
        <f>IFERROR(__xludf.DUMMYFUNCTION("""COMPUTED_VALUE"""),"2082 - a")</f>
        <v>2082 - a</v>
      </c>
      <c r="J393" s="108" t="str">
        <f>IFERROR(__xludf.DUMMYFUNCTION("""COMPUTED_VALUE"""),"09:00 AM to 11:00 AM  ")</f>
        <v>09:00 AM to 11:00 AM  </v>
      </c>
      <c r="K393" s="103">
        <f>IFERROR(__xludf.DUMMYFUNCTION("""COMPUTED_VALUE"""),46153.0)</f>
        <v>46153</v>
      </c>
      <c r="L393" s="65" t="str">
        <f>IFERROR(__xludf.DUMMYFUNCTION("""COMPUTED_VALUE""")," ")</f>
        <v> </v>
      </c>
      <c r="M393" s="65"/>
      <c r="N393" s="65" t="str">
        <f>IFERROR(__xludf.DUMMYFUNCTION("""COMPUTED_VALUE""")," ")</f>
        <v> </v>
      </c>
    </row>
    <row r="394">
      <c r="A394" s="99" t="str">
        <f>IFERROR(__xludf.DUMMYFUNCTION("""COMPUTED_VALUE"""),"https://utrucking.com/admin/orders/6419138281660")</f>
        <v>https://utrucking.com/admin/orders/6419138281660</v>
      </c>
      <c r="B394" s="61" t="str">
        <f>IFERROR(__xludf.DUMMYFUNCTION("""COMPUTED_VALUE"""),"#17463")</f>
        <v>#17463</v>
      </c>
      <c r="C394" s="61" t="str">
        <f>IFERROR(__xludf.DUMMYFUNCTION("""COMPUTED_VALUE"""),"n.schwartz@wustl.edu")</f>
        <v>n.schwartz@wustl.edu</v>
      </c>
      <c r="D394" s="61">
        <f>IFERROR(__xludf.DUMMYFUNCTION("""COMPUTED_VALUE"""),3.104872592E9)</f>
        <v>3104872592</v>
      </c>
      <c r="E394" s="61" t="str">
        <f>IFERROR(__xludf.DUMMYFUNCTION("""COMPUTED_VALUE"""),"Claudia Schwartz")</f>
        <v>Claudia Schwartz</v>
      </c>
      <c r="F394" s="61" t="str">
        <f>IFERROR(__xludf.DUMMYFUNCTION("""COMPUTED_VALUE"""),"Noe Schwartz")</f>
        <v>Noe Schwartz</v>
      </c>
      <c r="G394" s="61" t="str">
        <f>IFERROR(__xludf.DUMMYFUNCTION("""COMPUTED_VALUE""")," 2 / Included Insurance   - ")</f>
        <v> 2 / Included Insurance   - </v>
      </c>
      <c r="H394" s="61" t="str">
        <f>IFERROR(__xludf.DUMMYFUNCTION("""COMPUTED_VALUE"""),"Zetcher  ")</f>
        <v>Zetcher  </v>
      </c>
      <c r="I394" s="61" t="str">
        <f>IFERROR(__xludf.DUMMYFUNCTION("""COMPUTED_VALUE"""),"4124")</f>
        <v>4124</v>
      </c>
      <c r="J394" s="107" t="str">
        <f>IFERROR(__xludf.DUMMYFUNCTION("""COMPUTED_VALUE"""),"09:00 AM to 11:00 AM  ")</f>
        <v>09:00 AM to 11:00 AM  </v>
      </c>
      <c r="K394" s="100">
        <f>IFERROR(__xludf.DUMMYFUNCTION("""COMPUTED_VALUE"""),46149.0)</f>
        <v>46149</v>
      </c>
      <c r="L394" s="61" t="str">
        <f>IFERROR(__xludf.DUMMYFUNCTION("""COMPUTED_VALUE""")," ")</f>
        <v> </v>
      </c>
      <c r="M394" s="61"/>
      <c r="N394" s="61" t="str">
        <f>IFERROR(__xludf.DUMMYFUNCTION("""COMPUTED_VALUE""")," ")</f>
        <v> </v>
      </c>
    </row>
    <row r="395">
      <c r="A395" s="102" t="str">
        <f>IFERROR(__xludf.DUMMYFUNCTION("""COMPUTED_VALUE"""),"https://utrucking.com/admin/orders/6419220758716")</f>
        <v>https://utrucking.com/admin/orders/6419220758716</v>
      </c>
      <c r="B395" s="65" t="str">
        <f>IFERROR(__xludf.DUMMYFUNCTION("""COMPUTED_VALUE"""),"#17464")</f>
        <v>#17464</v>
      </c>
      <c r="C395" s="65" t="str">
        <f>IFERROR(__xludf.DUMMYFUNCTION("""COMPUTED_VALUE"""),"c.k.ryan@wustl.edu")</f>
        <v>c.k.ryan@wustl.edu</v>
      </c>
      <c r="D395" s="65">
        <f>IFERROR(__xludf.DUMMYFUNCTION("""COMPUTED_VALUE"""),3.392354784E9)</f>
        <v>3392354784</v>
      </c>
      <c r="E395" s="65" t="str">
        <f>IFERROR(__xludf.DUMMYFUNCTION("""COMPUTED_VALUE"""),"Caroline Ryan")</f>
        <v>Caroline Ryan</v>
      </c>
      <c r="F395" s="65" t="str">
        <f>IFERROR(__xludf.DUMMYFUNCTION("""COMPUTED_VALUE"""),"Chris Ryan")</f>
        <v>Chris Ryan</v>
      </c>
      <c r="G395" s="65" t="str">
        <f>IFERROR(__xludf.DUMMYFUNCTION("""COMPUTED_VALUE""")," 1 [Included with Registration] / Included Insurance   - ")</f>
        <v> 1 [Included with Registration] / Included Insurance   - </v>
      </c>
      <c r="H395" s="65" t="str">
        <f>IFERROR(__xludf.DUMMYFUNCTION("""COMPUTED_VALUE"""),"House 21 (Alpha Epsilon Pi)  ")</f>
        <v>House 21 (Alpha Epsilon Pi)  </v>
      </c>
      <c r="I395" s="65" t="str">
        <f>IFERROR(__xludf.DUMMYFUNCTION("""COMPUTED_VALUE"""),"House 21 - 2063 - a")</f>
        <v>House 21 - 2063 - a</v>
      </c>
      <c r="J395" s="108" t="str">
        <f>IFERROR(__xludf.DUMMYFUNCTION("""COMPUTED_VALUE"""),"09:00 AM to 11:00 AM  ")</f>
        <v>09:00 AM to 11:00 AM  </v>
      </c>
      <c r="K395" s="103">
        <f>IFERROR(__xludf.DUMMYFUNCTION("""COMPUTED_VALUE"""),46149.0)</f>
        <v>46149</v>
      </c>
      <c r="L395" s="65" t="str">
        <f>IFERROR(__xludf.DUMMYFUNCTION("""COMPUTED_VALUE""")," ")</f>
        <v> </v>
      </c>
      <c r="M395" s="65"/>
      <c r="N395" s="65" t="str">
        <f>IFERROR(__xludf.DUMMYFUNCTION("""COMPUTED_VALUE""")," ")</f>
        <v> </v>
      </c>
    </row>
    <row r="396">
      <c r="A396" s="99" t="str">
        <f>IFERROR(__xludf.DUMMYFUNCTION("""COMPUTED_VALUE"""),"https://utrucking.com/admin/orders/6419228491964")</f>
        <v>https://utrucking.com/admin/orders/6419228491964</v>
      </c>
      <c r="B396" s="61" t="str">
        <f>IFERROR(__xludf.DUMMYFUNCTION("""COMPUTED_VALUE"""),"#17465")</f>
        <v>#17465</v>
      </c>
      <c r="C396" s="61"/>
      <c r="D396" s="61">
        <f>IFERROR(__xludf.DUMMYFUNCTION("""COMPUTED_VALUE"""),3.312389291E9)</f>
        <v>3312389291</v>
      </c>
      <c r="E396" s="61" t="str">
        <f>IFERROR(__xludf.DUMMYFUNCTION("""COMPUTED_VALUE"""),"Charlie Doehring")</f>
        <v>Charlie Doehring</v>
      </c>
      <c r="F396" s="61" t="str">
        <f>IFERROR(__xludf.DUMMYFUNCTION("""COMPUTED_VALUE"""),"Charlie Doehring")</f>
        <v>Charlie Doehring</v>
      </c>
      <c r="G396" s="61" t="str">
        <f>IFERROR(__xludf.DUMMYFUNCTION("""COMPUTED_VALUE""")," 1 [Included with Registration] / Included Insurance   - ")</f>
        <v> 1 [Included with Registration] / Included Insurance   - </v>
      </c>
      <c r="H396" s="61" t="str">
        <f>IFERROR(__xludf.DUMMYFUNCTION("""COMPUTED_VALUE"""),"Eliot A (Thomas Eliot)")</f>
        <v>Eliot A (Thomas Eliot)</v>
      </c>
      <c r="I396" s="61" t="str">
        <f>IFERROR(__xludf.DUMMYFUNCTION("""COMPUTED_VALUE"""),"2102")</f>
        <v>2102</v>
      </c>
      <c r="J396" s="107" t="str">
        <f>IFERROR(__xludf.DUMMYFUNCTION("""COMPUTED_VALUE"""),"03:00 PM to 05:00 PM")</f>
        <v>03:00 PM to 05:00 PM</v>
      </c>
      <c r="K396" s="100">
        <f>IFERROR(__xludf.DUMMYFUNCTION("""COMPUTED_VALUE"""),46153.0)</f>
        <v>46153</v>
      </c>
      <c r="L396" s="61" t="str">
        <f>IFERROR(__xludf.DUMMYFUNCTION("""COMPUTED_VALUE""")," ")</f>
        <v> </v>
      </c>
      <c r="M396" s="61"/>
      <c r="N396" s="61" t="str">
        <f>IFERROR(__xludf.DUMMYFUNCTION("""COMPUTED_VALUE""")," ")</f>
        <v> </v>
      </c>
    </row>
    <row r="397">
      <c r="A397" s="102" t="str">
        <f>IFERROR(__xludf.DUMMYFUNCTION("""COMPUTED_VALUE"""),"https://utrucking.com/admin/orders/6419268272316")</f>
        <v>https://utrucking.com/admin/orders/6419268272316</v>
      </c>
      <c r="B397" s="65" t="str">
        <f>IFERROR(__xludf.DUMMYFUNCTION("""COMPUTED_VALUE"""),"#17466")</f>
        <v>#17466</v>
      </c>
      <c r="C397" s="65" t="str">
        <f>IFERROR(__xludf.DUMMYFUNCTION("""COMPUTED_VALUE"""),"c.kux@wustl.edu")</f>
        <v>c.kux@wustl.edu</v>
      </c>
      <c r="D397" s="65">
        <f>IFERROR(__xludf.DUMMYFUNCTION("""COMPUTED_VALUE"""),2.405431264E9)</f>
        <v>2405431264</v>
      </c>
      <c r="E397" s="65" t="str">
        <f>IFERROR(__xludf.DUMMYFUNCTION("""COMPUTED_VALUE"""),"Kimberly Bayard")</f>
        <v>Kimberly Bayard</v>
      </c>
      <c r="F397" s="65" t="str">
        <f>IFERROR(__xludf.DUMMYFUNCTION("""COMPUTED_VALUE"""),"Cecelia Kux")</f>
        <v>Cecelia Kux</v>
      </c>
      <c r="G397" s="65" t="str">
        <f>IFERROR(__xludf.DUMMYFUNCTION("""COMPUTED_VALUE""")," 1 [Included with Registration] / Included Insurance   - ")</f>
        <v> 1 [Included with Registration] / Included Insurance   - </v>
      </c>
      <c r="H397" s="65" t="str">
        <f>IFERROR(__xludf.DUMMYFUNCTION("""COMPUTED_VALUE"""),"Dauten  ")</f>
        <v>Dauten  </v>
      </c>
      <c r="I397" s="65" t="str">
        <f>IFERROR(__xludf.DUMMYFUNCTION("""COMPUTED_VALUE"""),"232")</f>
        <v>232</v>
      </c>
      <c r="J397" s="108" t="str">
        <f>IFERROR(__xludf.DUMMYFUNCTION("""COMPUTED_VALUE"""),"09:00 AM to 11:00 AM  ")</f>
        <v>09:00 AM to 11:00 AM  </v>
      </c>
      <c r="K397" s="103">
        <f>IFERROR(__xludf.DUMMYFUNCTION("""COMPUTED_VALUE"""),46149.0)</f>
        <v>46149</v>
      </c>
      <c r="L397" s="65" t="str">
        <f>IFERROR(__xludf.DUMMYFUNCTION("""COMPUTED_VALUE""")," ")</f>
        <v> </v>
      </c>
      <c r="M397" s="65"/>
      <c r="N397" s="65" t="str">
        <f>IFERROR(__xludf.DUMMYFUNCTION("""COMPUTED_VALUE""")," ")</f>
        <v> </v>
      </c>
    </row>
    <row r="398">
      <c r="A398" s="99" t="str">
        <f>IFERROR(__xludf.DUMMYFUNCTION("""COMPUTED_VALUE"""),"https://utrucking.com/admin/orders/6419272532156")</f>
        <v>https://utrucking.com/admin/orders/6419272532156</v>
      </c>
      <c r="B398" s="61" t="str">
        <f>IFERROR(__xludf.DUMMYFUNCTION("""COMPUTED_VALUE"""),"#17467")</f>
        <v>#17467</v>
      </c>
      <c r="C398" s="61" t="str">
        <f>IFERROR(__xludf.DUMMYFUNCTION("""COMPUTED_VALUE"""),"e.jubelirer@wustl.edu")</f>
        <v>e.jubelirer@wustl.edu</v>
      </c>
      <c r="D398" s="61">
        <f>IFERROR(__xludf.DUMMYFUNCTION("""COMPUTED_VALUE"""),9.179712001E9)</f>
        <v>9179712001</v>
      </c>
      <c r="E398" s="61" t="str">
        <f>IFERROR(__xludf.DUMMYFUNCTION("""COMPUTED_VALUE"""),"Allison Jubelirer")</f>
        <v>Allison Jubelirer</v>
      </c>
      <c r="F398" s="61" t="str">
        <f>IFERROR(__xludf.DUMMYFUNCTION("""COMPUTED_VALUE"""),"Eli Jubelirer")</f>
        <v>Eli Jubelirer</v>
      </c>
      <c r="G398" s="61" t="str">
        <f>IFERROR(__xludf.DUMMYFUNCTION("""COMPUTED_VALUE""")," 1 [Included with Registration] / Included Insurance   - ")</f>
        <v> 1 [Included with Registration] / Included Insurance   - </v>
      </c>
      <c r="H398" s="61" t="str">
        <f>IFERROR(__xludf.DUMMYFUNCTION("""COMPUTED_VALUE"""),"House 3 (Alpha Delta Phi)")</f>
        <v>House 3 (Alpha Delta Phi)</v>
      </c>
      <c r="I398" s="61" t="str">
        <f>IFERROR(__xludf.DUMMYFUNCTION("""COMPUTED_VALUE"""),"204")</f>
        <v>204</v>
      </c>
      <c r="J398" s="107" t="str">
        <f>IFERROR(__xludf.DUMMYFUNCTION("""COMPUTED_VALUE"""),"10:00 AM to 12:00 PM  ")</f>
        <v>10:00 AM to 12:00 PM  </v>
      </c>
      <c r="K398" s="100">
        <f>IFERROR(__xludf.DUMMYFUNCTION("""COMPUTED_VALUE"""),46146.0)</f>
        <v>46146</v>
      </c>
      <c r="L398" s="61" t="str">
        <f>IFERROR(__xludf.DUMMYFUNCTION("""COMPUTED_VALUE""")," ")</f>
        <v> </v>
      </c>
      <c r="M398" s="61"/>
      <c r="N398" s="61" t="str">
        <f>IFERROR(__xludf.DUMMYFUNCTION("""COMPUTED_VALUE""")," ")</f>
        <v> </v>
      </c>
    </row>
    <row r="399">
      <c r="A399" s="102" t="str">
        <f>IFERROR(__xludf.DUMMYFUNCTION("""COMPUTED_VALUE"""),"https://utrucking.com/admin/orders/6419310313660")</f>
        <v>https://utrucking.com/admin/orders/6419310313660</v>
      </c>
      <c r="B399" s="65" t="str">
        <f>IFERROR(__xludf.DUMMYFUNCTION("""COMPUTED_VALUE"""),"#17468")</f>
        <v>#17468</v>
      </c>
      <c r="C399" s="65"/>
      <c r="D399" s="65">
        <f>IFERROR(__xludf.DUMMYFUNCTION("""COMPUTED_VALUE"""),9.179934166E9)</f>
        <v>9179934166</v>
      </c>
      <c r="E399" s="65" t="str">
        <f>IFERROR(__xludf.DUMMYFUNCTION("""COMPUTED_VALUE"""),"Emmett Fajgenbaum")</f>
        <v>Emmett Fajgenbaum</v>
      </c>
      <c r="F399" s="65" t="str">
        <f>IFERROR(__xludf.DUMMYFUNCTION("""COMPUTED_VALUE"""),"Emmett Fajgenbaum")</f>
        <v>Emmett Fajgenbaum</v>
      </c>
      <c r="G399" s="65" t="str">
        <f>IFERROR(__xludf.DUMMYFUNCTION("""COMPUTED_VALUE""")," 2 / Included Insurance   - ")</f>
        <v> 2 / Included Insurance   - </v>
      </c>
      <c r="H399" s="65" t="str">
        <f>IFERROR(__xludf.DUMMYFUNCTION("""COMPUTED_VALUE"""),"Park  ")</f>
        <v>Park  </v>
      </c>
      <c r="I399" s="65" t="str">
        <f>IFERROR(__xludf.DUMMYFUNCTION("""COMPUTED_VALUE"""),"442")</f>
        <v>442</v>
      </c>
      <c r="J399" s="108" t="str">
        <f>IFERROR(__xludf.DUMMYFUNCTION("""COMPUTED_VALUE"""),"03:00 PM to 05:00 PM")</f>
        <v>03:00 PM to 05:00 PM</v>
      </c>
      <c r="K399" s="103">
        <f>IFERROR(__xludf.DUMMYFUNCTION("""COMPUTED_VALUE"""),46144.0)</f>
        <v>46144</v>
      </c>
      <c r="L399" s="65" t="str">
        <f>IFERROR(__xludf.DUMMYFUNCTION("""COMPUTED_VALUE""")," ")</f>
        <v> </v>
      </c>
      <c r="M399" s="65"/>
      <c r="N399" s="65" t="str">
        <f>IFERROR(__xludf.DUMMYFUNCTION("""COMPUTED_VALUE""")," ")</f>
        <v> </v>
      </c>
    </row>
    <row r="400">
      <c r="A400" s="99" t="str">
        <f>IFERROR(__xludf.DUMMYFUNCTION("""COMPUTED_VALUE"""),"https://utrucking.com/admin/orders/6419359072444")</f>
        <v>https://utrucking.com/admin/orders/6419359072444</v>
      </c>
      <c r="B400" s="61" t="str">
        <f>IFERROR(__xludf.DUMMYFUNCTION("""COMPUTED_VALUE"""),"#17470")</f>
        <v>#17470</v>
      </c>
      <c r="C400" s="61" t="str">
        <f>IFERROR(__xludf.DUMMYFUNCTION("""COMPUTED_VALUE"""),"adnarepalem@icloud.com")</f>
        <v>adnarepalem@icloud.com</v>
      </c>
      <c r="D400" s="61">
        <f>IFERROR(__xludf.DUMMYFUNCTION("""COMPUTED_VALUE"""),8.479463671E9)</f>
        <v>8479463671</v>
      </c>
      <c r="E400" s="61" t="str">
        <f>IFERROR(__xludf.DUMMYFUNCTION("""COMPUTED_VALUE"""),"Narendra Narepalem")</f>
        <v>Narendra Narepalem</v>
      </c>
      <c r="F400" s="61" t="str">
        <f>IFERROR(__xludf.DUMMYFUNCTION("""COMPUTED_VALUE"""),"Avinash Narepalem")</f>
        <v>Avinash Narepalem</v>
      </c>
      <c r="G400" s="61" t="str">
        <f>IFERROR(__xludf.DUMMYFUNCTION("""COMPUTED_VALUE""")," 3 / $500 of Additional Coverage   - ")</f>
        <v> 3 / $500 of Additional Coverage   - </v>
      </c>
      <c r="H400" s="61" t="str">
        <f>IFERROR(__xludf.DUMMYFUNCTION("""COMPUTED_VALUE"""),"Umrath  ")</f>
        <v>Umrath  </v>
      </c>
      <c r="I400" s="61" t="str">
        <f>IFERROR(__xludf.DUMMYFUNCTION("""COMPUTED_VALUE"""),"3342")</f>
        <v>3342</v>
      </c>
      <c r="J400" s="107" t="str">
        <f>IFERROR(__xludf.DUMMYFUNCTION("""COMPUTED_VALUE"""),"09:00 AM to 11:00 AM  ")</f>
        <v>09:00 AM to 11:00 AM  </v>
      </c>
      <c r="K400" s="100">
        <f>IFERROR(__xludf.DUMMYFUNCTION("""COMPUTED_VALUE"""),46149.0)</f>
        <v>46149</v>
      </c>
      <c r="L400" s="61" t="str">
        <f>IFERROR(__xludf.DUMMYFUNCTION("""COMPUTED_VALUE""")," ")</f>
        <v> </v>
      </c>
      <c r="M400" s="61"/>
      <c r="N400" s="61" t="str">
        <f>IFERROR(__xludf.DUMMYFUNCTION("""COMPUTED_VALUE""")," ")</f>
        <v> </v>
      </c>
    </row>
    <row r="401">
      <c r="A401" s="102" t="str">
        <f>IFERROR(__xludf.DUMMYFUNCTION("""COMPUTED_VALUE"""),"https://utrucking.com/admin/orders/6419407110332")</f>
        <v>https://utrucking.com/admin/orders/6419407110332</v>
      </c>
      <c r="B401" s="65" t="str">
        <f>IFERROR(__xludf.DUMMYFUNCTION("""COMPUTED_VALUE"""),"#17471")</f>
        <v>#17471</v>
      </c>
      <c r="C401" s="65"/>
      <c r="D401" s="65">
        <f>IFERROR(__xludf.DUMMYFUNCTION("""COMPUTED_VALUE"""),9.17414012E9)</f>
        <v>9174140120</v>
      </c>
      <c r="E401" s="65" t="str">
        <f>IFERROR(__xludf.DUMMYFUNCTION("""COMPUTED_VALUE"""),"Michael Ference")</f>
        <v>Michael Ference</v>
      </c>
      <c r="F401" s="65" t="str">
        <f>IFERROR(__xludf.DUMMYFUNCTION("""COMPUTED_VALUE"""),"Casey Ference")</f>
        <v>Casey Ference</v>
      </c>
      <c r="G401" s="65" t="str">
        <f>IFERROR(__xludf.DUMMYFUNCTION("""COMPUTED_VALUE""")," 1 [Included with Registration] / Included Insurance   - ")</f>
        <v> 1 [Included with Registration] / Included Insurance   - </v>
      </c>
      <c r="H401" s="65" t="str">
        <f>IFERROR(__xludf.DUMMYFUNCTION("""COMPUTED_VALUE"""),"Park  ")</f>
        <v>Park  </v>
      </c>
      <c r="I401" s="65" t="str">
        <f>IFERROR(__xludf.DUMMYFUNCTION("""COMPUTED_VALUE"""),"162")</f>
        <v>162</v>
      </c>
      <c r="J401" s="108" t="str">
        <f>IFERROR(__xludf.DUMMYFUNCTION("""COMPUTED_VALUE"""),"03:00 PM to 05:00 PM")</f>
        <v>03:00 PM to 05:00 PM</v>
      </c>
      <c r="K401" s="103">
        <f>IFERROR(__xludf.DUMMYFUNCTION("""COMPUTED_VALUE"""),46141.0)</f>
        <v>46141</v>
      </c>
      <c r="L401" s="65" t="str">
        <f>IFERROR(__xludf.DUMMYFUNCTION("""COMPUTED_VALUE""")," ")</f>
        <v> </v>
      </c>
      <c r="M401" s="65"/>
      <c r="N401" s="65" t="str">
        <f>IFERROR(__xludf.DUMMYFUNCTION("""COMPUTED_VALUE""")," ")</f>
        <v> </v>
      </c>
    </row>
    <row r="402">
      <c r="A402" s="99" t="str">
        <f>IFERROR(__xludf.DUMMYFUNCTION("""COMPUTED_VALUE"""),"https://utrucking.com/admin/orders/6419648118972")</f>
        <v>https://utrucking.com/admin/orders/6419648118972</v>
      </c>
      <c r="B402" s="61" t="str">
        <f>IFERROR(__xludf.DUMMYFUNCTION("""COMPUTED_VALUE"""),"#17472")</f>
        <v>#17472</v>
      </c>
      <c r="C402" s="61" t="str">
        <f>IFERROR(__xludf.DUMMYFUNCTION("""COMPUTED_VALUE"""),"marcuschao11@gmail.com")</f>
        <v>marcuschao11@gmail.com</v>
      </c>
      <c r="D402" s="61">
        <f>IFERROR(__xludf.DUMMYFUNCTION("""COMPUTED_VALUE"""),2.368691848E9)</f>
        <v>2368691848</v>
      </c>
      <c r="E402" s="61" t="str">
        <f>IFERROR(__xludf.DUMMYFUNCTION("""COMPUTED_VALUE"""),"Marcus Chao")</f>
        <v>Marcus Chao</v>
      </c>
      <c r="F402" s="61" t="str">
        <f>IFERROR(__xludf.DUMMYFUNCTION("""COMPUTED_VALUE"""),"Marcus Chao")</f>
        <v>Marcus Chao</v>
      </c>
      <c r="G402" s="61" t="str">
        <f>IFERROR(__xludf.DUMMYFUNCTION("""COMPUTED_VALUE""")," 2 / Included Insurance   - ")</f>
        <v> 2 / Included Insurance   - </v>
      </c>
      <c r="H402" s="61" t="str">
        <f>IFERROR(__xludf.DUMMYFUNCTION("""COMPUTED_VALUE"""),"Umrath  ")</f>
        <v>Umrath  </v>
      </c>
      <c r="I402" s="61" t="str">
        <f>IFERROR(__xludf.DUMMYFUNCTION("""COMPUTED_VALUE"""),"2211")</f>
        <v>2211</v>
      </c>
      <c r="J402" s="107" t="str">
        <f>IFERROR(__xludf.DUMMYFUNCTION("""COMPUTED_VALUE"""),"03:00 PM to 05:00 PM")</f>
        <v>03:00 PM to 05:00 PM</v>
      </c>
      <c r="K402" s="100">
        <f>IFERROR(__xludf.DUMMYFUNCTION("""COMPUTED_VALUE"""),46148.0)</f>
        <v>46148</v>
      </c>
      <c r="L402" s="61" t="str">
        <f>IFERROR(__xludf.DUMMYFUNCTION("""COMPUTED_VALUE""")," ")</f>
        <v> </v>
      </c>
      <c r="M402" s="61"/>
      <c r="N402" s="61" t="str">
        <f>IFERROR(__xludf.DUMMYFUNCTION("""COMPUTED_VALUE""")," ")</f>
        <v> </v>
      </c>
    </row>
    <row r="403">
      <c r="A403" s="102" t="str">
        <f>IFERROR(__xludf.DUMMYFUNCTION("""COMPUTED_VALUE"""),"https://utrucking.com/admin/orders/6419816710332")</f>
        <v>https://utrucking.com/admin/orders/6419816710332</v>
      </c>
      <c r="B403" s="65" t="str">
        <f>IFERROR(__xludf.DUMMYFUNCTION("""COMPUTED_VALUE"""),"#17473")</f>
        <v>#17473</v>
      </c>
      <c r="C403" s="65" t="str">
        <f>IFERROR(__xludf.DUMMYFUNCTION("""COMPUTED_VALUE"""),"corimgalpern@gmail.com")</f>
        <v>corimgalpern@gmail.com</v>
      </c>
      <c r="D403" s="65">
        <f>IFERROR(__xludf.DUMMYFUNCTION("""COMPUTED_VALUE"""),9.177155789E9)</f>
        <v>9177155789</v>
      </c>
      <c r="E403" s="65" t="str">
        <f>IFERROR(__xludf.DUMMYFUNCTION("""COMPUTED_VALUE"""),"Cori Galpern")</f>
        <v>Cori Galpern</v>
      </c>
      <c r="F403" s="65" t="str">
        <f>IFERROR(__xludf.DUMMYFUNCTION("""COMPUTED_VALUE"""),"Mia Galpern ")</f>
        <v>Mia Galpern </v>
      </c>
      <c r="G403" s="65" t="str">
        <f>IFERROR(__xludf.DUMMYFUNCTION("""COMPUTED_VALUE""")," 2 / Included Insurance   - ")</f>
        <v> 2 / Included Insurance   - </v>
      </c>
      <c r="H403" s="65" t="str">
        <f>IFERROR(__xludf.DUMMYFUNCTION("""COMPUTED_VALUE"""),"Umrath  ")</f>
        <v>Umrath  </v>
      </c>
      <c r="I403" s="65" t="str">
        <f>IFERROR(__xludf.DUMMYFUNCTION("""COMPUTED_VALUE"""),"L239")</f>
        <v>L239</v>
      </c>
      <c r="J403" s="108" t="str">
        <f>IFERROR(__xludf.DUMMYFUNCTION("""COMPUTED_VALUE"""),"09:00 AM to 11:00 AM  ")</f>
        <v>09:00 AM to 11:00 AM  </v>
      </c>
      <c r="K403" s="103">
        <f>IFERROR(__xludf.DUMMYFUNCTION("""COMPUTED_VALUE"""),46144.0)</f>
        <v>46144</v>
      </c>
      <c r="L403" s="65" t="str">
        <f>IFERROR(__xludf.DUMMYFUNCTION("""COMPUTED_VALUE""")," ")</f>
        <v> </v>
      </c>
      <c r="M403" s="65"/>
      <c r="N403" s="65" t="str">
        <f>IFERROR(__xludf.DUMMYFUNCTION("""COMPUTED_VALUE""")," ")</f>
        <v> </v>
      </c>
    </row>
    <row r="404">
      <c r="A404" s="99" t="str">
        <f>IFERROR(__xludf.DUMMYFUNCTION("""COMPUTED_VALUE"""),"https://utrucking.com/admin/orders/6419875692732")</f>
        <v>https://utrucking.com/admin/orders/6419875692732</v>
      </c>
      <c r="B404" s="61" t="str">
        <f>IFERROR(__xludf.DUMMYFUNCTION("""COMPUTED_VALUE"""),"#17474")</f>
        <v>#17474</v>
      </c>
      <c r="C404" s="61" t="str">
        <f>IFERROR(__xludf.DUMMYFUNCTION("""COMPUTED_VALUE"""),"jieun.p@wustl.edu")</f>
        <v>jieun.p@wustl.edu</v>
      </c>
      <c r="D404" s="61">
        <f>IFERROR(__xludf.DUMMYFUNCTION("""COMPUTED_VALUE"""),5.572042367E9)</f>
        <v>5572042367</v>
      </c>
      <c r="E404" s="61" t="str">
        <f>IFERROR(__xludf.DUMMYFUNCTION("""COMPUTED_VALUE"""),"Kate Park")</f>
        <v>Kate Park</v>
      </c>
      <c r="F404" s="61" t="str">
        <f>IFERROR(__xludf.DUMMYFUNCTION("""COMPUTED_VALUE"""),"Kate Park")</f>
        <v>Kate Park</v>
      </c>
      <c r="G404" s="61" t="str">
        <f>IFERROR(__xludf.DUMMYFUNCTION("""COMPUTED_VALUE""")," 1 [Included with Registration] / Included Insurance   - ")</f>
        <v> 1 [Included with Registration] / Included Insurance   - </v>
      </c>
      <c r="H404" s="61" t="str">
        <f>IFERROR(__xludf.DUMMYFUNCTION("""COMPUTED_VALUE"""),"Park  ")</f>
        <v>Park  </v>
      </c>
      <c r="I404" s="61" t="str">
        <f>IFERROR(__xludf.DUMMYFUNCTION("""COMPUTED_VALUE"""),"190a")</f>
        <v>190a</v>
      </c>
      <c r="J404" s="107" t="str">
        <f>IFERROR(__xludf.DUMMYFUNCTION("""COMPUTED_VALUE"""),"09:00 AM to 11:00 AM  ")</f>
        <v>09:00 AM to 11:00 AM  </v>
      </c>
      <c r="K404" s="100">
        <f>IFERROR(__xludf.DUMMYFUNCTION("""COMPUTED_VALUE"""),46147.0)</f>
        <v>46147</v>
      </c>
      <c r="L404" s="61" t="str">
        <f>IFERROR(__xludf.DUMMYFUNCTION("""COMPUTED_VALUE""")," ")</f>
        <v> </v>
      </c>
      <c r="M404" s="61"/>
      <c r="N404" s="61" t="str">
        <f>IFERROR(__xludf.DUMMYFUNCTION("""COMPUTED_VALUE""")," ")</f>
        <v> </v>
      </c>
    </row>
    <row r="405">
      <c r="A405" s="102" t="str">
        <f>IFERROR(__xludf.DUMMYFUNCTION("""COMPUTED_VALUE"""),"https://utrucking.com/admin/orders/6419879297212")</f>
        <v>https://utrucking.com/admin/orders/6419879297212</v>
      </c>
      <c r="B405" s="65" t="str">
        <f>IFERROR(__xludf.DUMMYFUNCTION("""COMPUTED_VALUE"""),"#17475")</f>
        <v>#17475</v>
      </c>
      <c r="C405" s="65" t="str">
        <f>IFERROR(__xludf.DUMMYFUNCTION("""COMPUTED_VALUE"""),"a.hockstein@wustl.edu")</f>
        <v>a.hockstein@wustl.edu</v>
      </c>
      <c r="D405" s="65">
        <f>IFERROR(__xludf.DUMMYFUNCTION("""COMPUTED_VALUE"""),3.025881466E9)</f>
        <v>3025881466</v>
      </c>
      <c r="E405" s="65" t="str">
        <f>IFERROR(__xludf.DUMMYFUNCTION("""COMPUTED_VALUE"""),"Carolyn Hockstein")</f>
        <v>Carolyn Hockstein</v>
      </c>
      <c r="F405" s="65" t="str">
        <f>IFERROR(__xludf.DUMMYFUNCTION("""COMPUTED_VALUE"""),"Aaron Hockstein")</f>
        <v>Aaron Hockstein</v>
      </c>
      <c r="G405" s="65" t="str">
        <f>IFERROR(__xludf.DUMMYFUNCTION("""COMPUTED_VALUE""")," 1 [Included with Registration] / Included Insurance   - ")</f>
        <v> 1 [Included with Registration] / Included Insurance   - </v>
      </c>
      <c r="H405" s="65" t="str">
        <f>IFERROR(__xludf.DUMMYFUNCTION("""COMPUTED_VALUE"""),"Nemerov  ")</f>
        <v>Nemerov  </v>
      </c>
      <c r="I405" s="65" t="str">
        <f>IFERROR(__xludf.DUMMYFUNCTION("""COMPUTED_VALUE"""),"4073")</f>
        <v>4073</v>
      </c>
      <c r="J405" s="108" t="str">
        <f>IFERROR(__xludf.DUMMYFUNCTION("""COMPUTED_VALUE"""),"09:00 AM to 11:00 AM  ")</f>
        <v>09:00 AM to 11:00 AM  </v>
      </c>
      <c r="K405" s="103">
        <f>IFERROR(__xludf.DUMMYFUNCTION("""COMPUTED_VALUE"""),46149.0)</f>
        <v>46149</v>
      </c>
      <c r="L405" s="65" t="str">
        <f>IFERROR(__xludf.DUMMYFUNCTION("""COMPUTED_VALUE""")," ")</f>
        <v> </v>
      </c>
      <c r="M405" s="65"/>
      <c r="N405" s="65" t="str">
        <f>IFERROR(__xludf.DUMMYFUNCTION("""COMPUTED_VALUE""")," ")</f>
        <v> </v>
      </c>
    </row>
    <row r="406">
      <c r="A406" s="99" t="str">
        <f>IFERROR(__xludf.DUMMYFUNCTION("""COMPUTED_VALUE"""),"https://utrucking.com/admin/orders/6419930972348")</f>
        <v>https://utrucking.com/admin/orders/6419930972348</v>
      </c>
      <c r="B406" s="61" t="str">
        <f>IFERROR(__xludf.DUMMYFUNCTION("""COMPUTED_VALUE"""),"#17478")</f>
        <v>#17478</v>
      </c>
      <c r="C406" s="61"/>
      <c r="D406" s="61">
        <f>IFERROR(__xludf.DUMMYFUNCTION("""COMPUTED_VALUE"""),8.145066887E9)</f>
        <v>8145066887</v>
      </c>
      <c r="E406" s="61" t="str">
        <f>IFERROR(__xludf.DUMMYFUNCTION("""COMPUTED_VALUE"""),"Leo Lin")</f>
        <v>Leo Lin</v>
      </c>
      <c r="F406" s="61" t="str">
        <f>IFERROR(__xludf.DUMMYFUNCTION("""COMPUTED_VALUE"""),"Leo Lin")</f>
        <v>Leo Lin</v>
      </c>
      <c r="G406" s="61" t="str">
        <f>IFERROR(__xludf.DUMMYFUNCTION("""COMPUTED_VALUE""")," 1 [Included with Registration] / Included Insurance   - ")</f>
        <v> 1 [Included with Registration] / Included Insurance   - </v>
      </c>
      <c r="H406" s="61" t="str">
        <f>IFERROR(__xludf.DUMMYFUNCTION("""COMPUTED_VALUE"""),"Hurd  ")</f>
        <v>Hurd  </v>
      </c>
      <c r="I406" s="61" t="str">
        <f>IFERROR(__xludf.DUMMYFUNCTION("""COMPUTED_VALUE"""),"212")</f>
        <v>212</v>
      </c>
      <c r="J406" s="107" t="str">
        <f>IFERROR(__xludf.DUMMYFUNCTION("""COMPUTED_VALUE"""),"09:00 AM to 11:00 AM  ")</f>
        <v>09:00 AM to 11:00 AM  </v>
      </c>
      <c r="K406" s="100">
        <f>IFERROR(__xludf.DUMMYFUNCTION("""COMPUTED_VALUE"""),46148.0)</f>
        <v>46148</v>
      </c>
      <c r="L406" s="61" t="str">
        <f>IFERROR(__xludf.DUMMYFUNCTION("""COMPUTED_VALUE""")," ")</f>
        <v> </v>
      </c>
      <c r="M406" s="61"/>
      <c r="N406" s="61" t="str">
        <f>IFERROR(__xludf.DUMMYFUNCTION("""COMPUTED_VALUE""")," ")</f>
        <v> </v>
      </c>
    </row>
    <row r="407">
      <c r="A407" s="102" t="str">
        <f>IFERROR(__xludf.DUMMYFUNCTION("""COMPUTED_VALUE"""),"https://utrucking.com/admin/orders/6419934118076")</f>
        <v>https://utrucking.com/admin/orders/6419934118076</v>
      </c>
      <c r="B407" s="65" t="str">
        <f>IFERROR(__xludf.DUMMYFUNCTION("""COMPUTED_VALUE"""),"#17479")</f>
        <v>#17479</v>
      </c>
      <c r="C407" s="65" t="str">
        <f>IFERROR(__xludf.DUMMYFUNCTION("""COMPUTED_VALUE"""),"h.jeongyoon@wustl.edu")</f>
        <v>h.jeongyoon@wustl.edu</v>
      </c>
      <c r="D407" s="65">
        <f>IFERROR(__xludf.DUMMYFUNCTION("""COMPUTED_VALUE"""),3.148280597E9)</f>
        <v>3148280597</v>
      </c>
      <c r="E407" s="65" t="str">
        <f>IFERROR(__xludf.DUMMYFUNCTION("""COMPUTED_VALUE"""),"Jenny Han")</f>
        <v>Jenny Han</v>
      </c>
      <c r="F407" s="65" t="str">
        <f>IFERROR(__xludf.DUMMYFUNCTION("""COMPUTED_VALUE"""),"Jenny Han")</f>
        <v>Jenny Han</v>
      </c>
      <c r="G407" s="65" t="str">
        <f>IFERROR(__xludf.DUMMYFUNCTION("""COMPUTED_VALUE""")," 1 [Included with Registration] / Included Insurance   - ")</f>
        <v> 1 [Included with Registration] / Included Insurance   - </v>
      </c>
      <c r="H407" s="65" t="str">
        <f>IFERROR(__xludf.DUMMYFUNCTION("""COMPUTED_VALUE"""),"Gregg  ")</f>
        <v>Gregg  </v>
      </c>
      <c r="I407" s="65" t="str">
        <f>IFERROR(__xludf.DUMMYFUNCTION("""COMPUTED_VALUE"""),"3074")</f>
        <v>3074</v>
      </c>
      <c r="J407" s="108" t="str">
        <f>IFERROR(__xludf.DUMMYFUNCTION("""COMPUTED_VALUE"""),"09:00 AM to 11:00 AM  ")</f>
        <v>09:00 AM to 11:00 AM  </v>
      </c>
      <c r="K407" s="103">
        <f>IFERROR(__xludf.DUMMYFUNCTION("""COMPUTED_VALUE"""),46149.0)</f>
        <v>46149</v>
      </c>
      <c r="L407" s="65" t="str">
        <f>IFERROR(__xludf.DUMMYFUNCTION("""COMPUTED_VALUE""")," ")</f>
        <v> </v>
      </c>
      <c r="M407" s="65"/>
      <c r="N407" s="65" t="str">
        <f>IFERROR(__xludf.DUMMYFUNCTION("""COMPUTED_VALUE""")," ")</f>
        <v> </v>
      </c>
    </row>
    <row r="408">
      <c r="A408" s="99" t="str">
        <f>IFERROR(__xludf.DUMMYFUNCTION("""COMPUTED_VALUE"""),"https://utrucking.com/admin/orders/6419943522492")</f>
        <v>https://utrucking.com/admin/orders/6419943522492</v>
      </c>
      <c r="B408" s="61" t="str">
        <f>IFERROR(__xludf.DUMMYFUNCTION("""COMPUTED_VALUE"""),"#17481")</f>
        <v>#17481</v>
      </c>
      <c r="C408" s="61" t="str">
        <f>IFERROR(__xludf.DUMMYFUNCTION("""COMPUTED_VALUE"""),"elizabethciment@icloud.com")</f>
        <v>elizabethciment@icloud.com</v>
      </c>
      <c r="D408" s="61">
        <f>IFERROR(__xludf.DUMMYFUNCTION("""COMPUTED_VALUE"""),6.468894671E9)</f>
        <v>6468894671</v>
      </c>
      <c r="E408" s="61" t="str">
        <f>IFERROR(__xludf.DUMMYFUNCTION("""COMPUTED_VALUE"""),"Elizabeth Ciment")</f>
        <v>Elizabeth Ciment</v>
      </c>
      <c r="F408" s="61" t="str">
        <f>IFERROR(__xludf.DUMMYFUNCTION("""COMPUTED_VALUE"""),"Elizabeth Ciment")</f>
        <v>Elizabeth Ciment</v>
      </c>
      <c r="G408" s="61" t="str">
        <f>IFERROR(__xludf.DUMMYFUNCTION("""COMPUTED_VALUE""")," 1 [Included with Registration] / Included Insurance   - ")</f>
        <v> 1 [Included with Registration] / Included Insurance   - </v>
      </c>
      <c r="H408" s="61" t="str">
        <f>IFERROR(__xludf.DUMMYFUNCTION("""COMPUTED_VALUE"""),"Dardick  ")</f>
        <v>Dardick  </v>
      </c>
      <c r="I408" s="61" t="str">
        <f>IFERROR(__xludf.DUMMYFUNCTION("""COMPUTED_VALUE"""),"2207")</f>
        <v>2207</v>
      </c>
      <c r="J408" s="107" t="str">
        <f>IFERROR(__xludf.DUMMYFUNCTION("""COMPUTED_VALUE"""),"11:00 AM to 01:00 PM  ")</f>
        <v>11:00 AM to 01:00 PM  </v>
      </c>
      <c r="K408" s="100">
        <f>IFERROR(__xludf.DUMMYFUNCTION("""COMPUTED_VALUE"""),46146.0)</f>
        <v>46146</v>
      </c>
      <c r="L408" s="61" t="str">
        <f>IFERROR(__xludf.DUMMYFUNCTION("""COMPUTED_VALUE""")," ")</f>
        <v> </v>
      </c>
      <c r="M408" s="61"/>
      <c r="N408" s="61" t="str">
        <f>IFERROR(__xludf.DUMMYFUNCTION("""COMPUTED_VALUE""")," ")</f>
        <v> </v>
      </c>
    </row>
    <row r="409">
      <c r="A409" s="102" t="str">
        <f>IFERROR(__xludf.DUMMYFUNCTION("""COMPUTED_VALUE"""),"https://utrucking.com/admin/orders/6419982483644")</f>
        <v>https://utrucking.com/admin/orders/6419982483644</v>
      </c>
      <c r="B409" s="65" t="str">
        <f>IFERROR(__xludf.DUMMYFUNCTION("""COMPUTED_VALUE"""),"#17483")</f>
        <v>#17483</v>
      </c>
      <c r="C409" s="65" t="str">
        <f>IFERROR(__xludf.DUMMYFUNCTION("""COMPUTED_VALUE"""),"sophie.tian@wustl.edu")</f>
        <v>sophie.tian@wustl.edu</v>
      </c>
      <c r="D409" s="65">
        <f>IFERROR(__xludf.DUMMYFUNCTION("""COMPUTED_VALUE"""),7.169067664E9)</f>
        <v>7169067664</v>
      </c>
      <c r="E409" s="65" t="str">
        <f>IFERROR(__xludf.DUMMYFUNCTION("""COMPUTED_VALUE"""),"Sophie Tian")</f>
        <v>Sophie Tian</v>
      </c>
      <c r="F409" s="65" t="str">
        <f>IFERROR(__xludf.DUMMYFUNCTION("""COMPUTED_VALUE"""),"Sophie Tian")</f>
        <v>Sophie Tian</v>
      </c>
      <c r="G409" s="65" t="str">
        <f>IFERROR(__xludf.DUMMYFUNCTION("""COMPUTED_VALUE""")," 1 [Included with Registration] / Included Insurance   - ")</f>
        <v> 1 [Included with Registration] / Included Insurance   - </v>
      </c>
      <c r="H409" s="65" t="str">
        <f>IFERROR(__xludf.DUMMYFUNCTION("""COMPUTED_VALUE"""),"Wheeler  ")</f>
        <v>Wheeler  </v>
      </c>
      <c r="I409" s="65" t="str">
        <f>IFERROR(__xludf.DUMMYFUNCTION("""COMPUTED_VALUE"""),"3070")</f>
        <v>3070</v>
      </c>
      <c r="J409" s="108" t="str">
        <f>IFERROR(__xludf.DUMMYFUNCTION("""COMPUTED_VALUE"""),"09:00 AM to 11:00 AM  ")</f>
        <v>09:00 AM to 11:00 AM  </v>
      </c>
      <c r="K409" s="103">
        <f>IFERROR(__xludf.DUMMYFUNCTION("""COMPUTED_VALUE"""),46149.0)</f>
        <v>46149</v>
      </c>
      <c r="L409" s="65" t="str">
        <f>IFERROR(__xludf.DUMMYFUNCTION("""COMPUTED_VALUE""")," ")</f>
        <v> </v>
      </c>
      <c r="M409" s="65"/>
      <c r="N409" s="65" t="str">
        <f>IFERROR(__xludf.DUMMYFUNCTION("""COMPUTED_VALUE""")," ")</f>
        <v> </v>
      </c>
    </row>
    <row r="410">
      <c r="A410" s="99" t="str">
        <f>IFERROR(__xludf.DUMMYFUNCTION("""COMPUTED_VALUE"""),"https://utrucking.com/admin/orders/6420013056188")</f>
        <v>https://utrucking.com/admin/orders/6420013056188</v>
      </c>
      <c r="B410" s="61" t="str">
        <f>IFERROR(__xludf.DUMMYFUNCTION("""COMPUTED_VALUE"""),"#17484")</f>
        <v>#17484</v>
      </c>
      <c r="C410" s="61" t="str">
        <f>IFERROR(__xludf.DUMMYFUNCTION("""COMPUTED_VALUE"""),"lilachra7@gmail.com")</f>
        <v>lilachra7@gmail.com</v>
      </c>
      <c r="D410" s="61">
        <f>IFERROR(__xludf.DUMMYFUNCTION("""COMPUTED_VALUE"""),6.469570605E9)</f>
        <v>6469570605</v>
      </c>
      <c r="E410" s="61" t="str">
        <f>IFERROR(__xludf.DUMMYFUNCTION("""COMPUTED_VALUE"""),"Lilach Abergel")</f>
        <v>Lilach Abergel</v>
      </c>
      <c r="F410" s="61" t="str">
        <f>IFERROR(__xludf.DUMMYFUNCTION("""COMPUTED_VALUE"""),"Noa Abergel ")</f>
        <v>Noa Abergel </v>
      </c>
      <c r="G410" s="61" t="str">
        <f>IFERROR(__xludf.DUMMYFUNCTION("""COMPUTED_VALUE""")," 2 [Included with Registration] / Included Insurance   - ")</f>
        <v> 2 [Included with Registration] / Included Insurance   - </v>
      </c>
      <c r="H410" s="61" t="str">
        <f>IFERROR(__xludf.DUMMYFUNCTION("""COMPUTED_VALUE"""),"Danforth  ")</f>
        <v>Danforth  </v>
      </c>
      <c r="I410" s="61" t="str">
        <f>IFERROR(__xludf.DUMMYFUNCTION("""COMPUTED_VALUE"""),"4427")</f>
        <v>4427</v>
      </c>
      <c r="J410" s="107" t="str">
        <f>IFERROR(__xludf.DUMMYFUNCTION("""COMPUTED_VALUE"""),"09:00 AM to 11:00 AM  ")</f>
        <v>09:00 AM to 11:00 AM  </v>
      </c>
      <c r="K410" s="100">
        <f>IFERROR(__xludf.DUMMYFUNCTION("""COMPUTED_VALUE"""),46149.0)</f>
        <v>46149</v>
      </c>
      <c r="L410" s="61" t="str">
        <f>IFERROR(__xludf.DUMMYFUNCTION("""COMPUTED_VALUE""")," ")</f>
        <v> </v>
      </c>
      <c r="M410" s="61"/>
      <c r="N410" s="61" t="str">
        <f>IFERROR(__xludf.DUMMYFUNCTION("""COMPUTED_VALUE""")," Please deliver today and text me the time before or call at 6469570605. Thank you. ")</f>
        <v> Please deliver today and text me the time before or call at 6469570605. Thank you. </v>
      </c>
    </row>
    <row r="411">
      <c r="A411" s="102" t="str">
        <f>IFERROR(__xludf.DUMMYFUNCTION("""COMPUTED_VALUE"""),"https://utrucking.com/admin/orders/6420039565500")</f>
        <v>https://utrucking.com/admin/orders/6420039565500</v>
      </c>
      <c r="B411" s="65" t="str">
        <f>IFERROR(__xludf.DUMMYFUNCTION("""COMPUTED_VALUE"""),"#17485")</f>
        <v>#17485</v>
      </c>
      <c r="C411" s="65"/>
      <c r="D411" s="65">
        <f>IFERROR(__xludf.DUMMYFUNCTION("""COMPUTED_VALUE"""),9.172326716E9)</f>
        <v>9172326716</v>
      </c>
      <c r="E411" s="65" t="str">
        <f>IFERROR(__xludf.DUMMYFUNCTION("""COMPUTED_VALUE"""),"Josh Todes")</f>
        <v>Josh Todes</v>
      </c>
      <c r="F411" s="65" t="str">
        <f>IFERROR(__xludf.DUMMYFUNCTION("""COMPUTED_VALUE"""),"Josh Todes")</f>
        <v>Josh Todes</v>
      </c>
      <c r="G411" s="65" t="str">
        <f>IFERROR(__xludf.DUMMYFUNCTION("""COMPUTED_VALUE""")," 1 [Included with Registration] / Included Insurance   - ")</f>
        <v> 1 [Included with Registration] / Included Insurance   - </v>
      </c>
      <c r="H411" s="65" t="str">
        <f>IFERROR(__xludf.DUMMYFUNCTION("""COMPUTED_VALUE"""),"Liggett  ")</f>
        <v>Liggett  </v>
      </c>
      <c r="I411" s="65" t="str">
        <f>IFERROR(__xludf.DUMMYFUNCTION("""COMPUTED_VALUE"""),"2324")</f>
        <v>2324</v>
      </c>
      <c r="J411" s="108" t="str">
        <f>IFERROR(__xludf.DUMMYFUNCTION("""COMPUTED_VALUE"""),"09:00 AM to 11:00 AM  ")</f>
        <v>09:00 AM to 11:00 AM  </v>
      </c>
      <c r="K411" s="103">
        <f>IFERROR(__xludf.DUMMYFUNCTION("""COMPUTED_VALUE"""),46149.0)</f>
        <v>46149</v>
      </c>
      <c r="L411" s="65" t="str">
        <f>IFERROR(__xludf.DUMMYFUNCTION("""COMPUTED_VALUE""")," ")</f>
        <v> </v>
      </c>
      <c r="M411" s="65"/>
      <c r="N411" s="65" t="str">
        <f>IFERROR(__xludf.DUMMYFUNCTION("""COMPUTED_VALUE""")," Ligget Room 2324 is in suite 2320")</f>
        <v> Ligget Room 2324 is in suite 2320</v>
      </c>
    </row>
    <row r="412">
      <c r="A412" s="99" t="str">
        <f>IFERROR(__xludf.DUMMYFUNCTION("""COMPUTED_VALUE"""),"https://utrucking.com/admin/orders/6420065222844")</f>
        <v>https://utrucking.com/admin/orders/6420065222844</v>
      </c>
      <c r="B412" s="61" t="str">
        <f>IFERROR(__xludf.DUMMYFUNCTION("""COMPUTED_VALUE"""),"#17486")</f>
        <v>#17486</v>
      </c>
      <c r="C412" s="61" t="str">
        <f>IFERROR(__xludf.DUMMYFUNCTION("""COMPUTED_VALUE"""),"freedman@westlahand.com")</f>
        <v>freedman@westlahand.com</v>
      </c>
      <c r="D412" s="61">
        <f>IFERROR(__xludf.DUMMYFUNCTION("""COMPUTED_VALUE"""),3.107401036E9)</f>
        <v>3107401036</v>
      </c>
      <c r="E412" s="61" t="str">
        <f>IFERROR(__xludf.DUMMYFUNCTION("""COMPUTED_VALUE"""),"Douglas Freedman")</f>
        <v>Douglas Freedman</v>
      </c>
      <c r="F412" s="61" t="str">
        <f>IFERROR(__xludf.DUMMYFUNCTION("""COMPUTED_VALUE"""),"Gabriel Freedman")</f>
        <v>Gabriel Freedman</v>
      </c>
      <c r="G412" s="61" t="str">
        <f>IFERROR(__xludf.DUMMYFUNCTION("""COMPUTED_VALUE""")," 2 / Included Insurance   - ")</f>
        <v> 2 / Included Insurance   - </v>
      </c>
      <c r="H412" s="61" t="str">
        <f>IFERROR(__xludf.DUMMYFUNCTION("""COMPUTED_VALUE"""),"House 6 (Sigma Alpha Epsilon)  ")</f>
        <v>House 6 (Sigma Alpha Epsilon)  </v>
      </c>
      <c r="I412" s="61" t="str">
        <f>IFERROR(__xludf.DUMMYFUNCTION("""COMPUTED_VALUE"""),"305")</f>
        <v>305</v>
      </c>
      <c r="J412" s="107" t="str">
        <f>IFERROR(__xludf.DUMMYFUNCTION("""COMPUTED_VALUE"""),"09:00 AM to 11:00 AM  ")</f>
        <v>09:00 AM to 11:00 AM  </v>
      </c>
      <c r="K412" s="100">
        <f>IFERROR(__xludf.DUMMYFUNCTION("""COMPUTED_VALUE"""),46143.0)</f>
        <v>46143</v>
      </c>
      <c r="L412" s="61" t="str">
        <f>IFERROR(__xludf.DUMMYFUNCTION("""COMPUTED_VALUE""")," ")</f>
        <v> </v>
      </c>
      <c r="M412" s="61"/>
      <c r="N412" s="61" t="str">
        <f>IFERROR(__xludf.DUMMYFUNCTION("""COMPUTED_VALUE""")," Return in Fall will be to same house (House 6 SAE) but to a different as yet unassigned room.")</f>
        <v> Return in Fall will be to same house (House 6 SAE) but to a different as yet unassigned room.</v>
      </c>
    </row>
    <row r="413">
      <c r="A413" s="102" t="str">
        <f>IFERROR(__xludf.DUMMYFUNCTION("""COMPUTED_VALUE"""),"https://utrucking.com/admin/orders/6420079313084")</f>
        <v>https://utrucking.com/admin/orders/6420079313084</v>
      </c>
      <c r="B413" s="65" t="str">
        <f>IFERROR(__xludf.DUMMYFUNCTION("""COMPUTED_VALUE"""),"#17487")</f>
        <v>#17487</v>
      </c>
      <c r="C413" s="65" t="str">
        <f>IFERROR(__xludf.DUMMYFUNCTION("""COMPUTED_VALUE"""),"a.y.xu@wustl.edu")</f>
        <v>a.y.xu@wustl.edu</v>
      </c>
      <c r="D413" s="65">
        <f>IFERROR(__xludf.DUMMYFUNCTION("""COMPUTED_VALUE"""),8.323291499E9)</f>
        <v>8323291499</v>
      </c>
      <c r="E413" s="65" t="str">
        <f>IFERROR(__xludf.DUMMYFUNCTION("""COMPUTED_VALUE"""),"Alice Xu")</f>
        <v>Alice Xu</v>
      </c>
      <c r="F413" s="65" t="str">
        <f>IFERROR(__xludf.DUMMYFUNCTION("""COMPUTED_VALUE"""),"Alice Xu")</f>
        <v>Alice Xu</v>
      </c>
      <c r="G413" s="65" t="str">
        <f>IFERROR(__xludf.DUMMYFUNCTION("""COMPUTED_VALUE""")," 1 [Included with Registration] / Included Insurance   - ")</f>
        <v> 1 [Included with Registration] / Included Insurance   - </v>
      </c>
      <c r="H413" s="65" t="str">
        <f>IFERROR(__xludf.DUMMYFUNCTION("""COMPUTED_VALUE"""),"Lopata  ")</f>
        <v>Lopata  </v>
      </c>
      <c r="I413" s="65" t="str">
        <f>IFERROR(__xludf.DUMMYFUNCTION("""COMPUTED_VALUE"""),"3142")</f>
        <v>3142</v>
      </c>
      <c r="J413" s="108" t="str">
        <f>IFERROR(__xludf.DUMMYFUNCTION("""COMPUTED_VALUE"""),"09:00 AM to 11:00 AM  ")</f>
        <v>09:00 AM to 11:00 AM  </v>
      </c>
      <c r="K413" s="103">
        <f>IFERROR(__xludf.DUMMYFUNCTION("""COMPUTED_VALUE"""),46149.0)</f>
        <v>46149</v>
      </c>
      <c r="L413" s="65" t="str">
        <f>IFERROR(__xludf.DUMMYFUNCTION("""COMPUTED_VALUE""")," ")</f>
        <v> </v>
      </c>
      <c r="M413" s="65"/>
      <c r="N413" s="65" t="str">
        <f>IFERROR(__xludf.DUMMYFUNCTION("""COMPUTED_VALUE""")," ")</f>
        <v> </v>
      </c>
    </row>
    <row r="414">
      <c r="A414" s="99" t="str">
        <f>IFERROR(__xludf.DUMMYFUNCTION("""COMPUTED_VALUE"""),"https://utrucking.com/admin/orders/6420108509372")</f>
        <v>https://utrucking.com/admin/orders/6420108509372</v>
      </c>
      <c r="B414" s="61" t="str">
        <f>IFERROR(__xludf.DUMMYFUNCTION("""COMPUTED_VALUE"""),"#17488")</f>
        <v>#17488</v>
      </c>
      <c r="C414" s="61"/>
      <c r="D414" s="61">
        <f>IFERROR(__xludf.DUMMYFUNCTION("""COMPUTED_VALUE"""),9.178644154E9)</f>
        <v>9178644154</v>
      </c>
      <c r="E414" s="61" t="str">
        <f>IFERROR(__xludf.DUMMYFUNCTION("""COMPUTED_VALUE"""),"Sienna Mora")</f>
        <v>Sienna Mora</v>
      </c>
      <c r="F414" s="61" t="str">
        <f>IFERROR(__xludf.DUMMYFUNCTION("""COMPUTED_VALUE"""),"Sienna Mora ")</f>
        <v>Sienna Mora </v>
      </c>
      <c r="G414" s="61" t="str">
        <f>IFERROR(__xludf.DUMMYFUNCTION("""COMPUTED_VALUE""")," 1 [Included with Registration] / Included Insurance   - ")</f>
        <v> 1 [Included with Registration] / Included Insurance   - </v>
      </c>
      <c r="H414" s="61" t="str">
        <f>IFERROR(__xludf.DUMMYFUNCTION("""COMPUTED_VALUE"""),"Dauten  ")</f>
        <v>Dauten  </v>
      </c>
      <c r="I414" s="61" t="str">
        <f>IFERROR(__xludf.DUMMYFUNCTION("""COMPUTED_VALUE"""),"230")</f>
        <v>230</v>
      </c>
      <c r="J414" s="107" t="str">
        <f>IFERROR(__xludf.DUMMYFUNCTION("""COMPUTED_VALUE"""),"09:00 AM to 11:00 AM  ")</f>
        <v>09:00 AM to 11:00 AM  </v>
      </c>
      <c r="K414" s="100">
        <f>IFERROR(__xludf.DUMMYFUNCTION("""COMPUTED_VALUE"""),46147.0)</f>
        <v>46147</v>
      </c>
      <c r="L414" s="61" t="str">
        <f>IFERROR(__xludf.DUMMYFUNCTION("""COMPUTED_VALUE""")," ")</f>
        <v> </v>
      </c>
      <c r="M414" s="61"/>
      <c r="N414" s="61" t="str">
        <f>IFERROR(__xludf.DUMMYFUNCTION("""COMPUTED_VALUE""")," ")</f>
        <v> </v>
      </c>
    </row>
    <row r="415">
      <c r="A415" s="102" t="str">
        <f>IFERROR(__xludf.DUMMYFUNCTION("""COMPUTED_VALUE"""),"https://utrucking.com/admin/orders/6420205437116")</f>
        <v>https://utrucking.com/admin/orders/6420205437116</v>
      </c>
      <c r="B415" s="65" t="str">
        <f>IFERROR(__xludf.DUMMYFUNCTION("""COMPUTED_VALUE"""),"#17489")</f>
        <v>#17489</v>
      </c>
      <c r="C415" s="65" t="str">
        <f>IFERROR(__xludf.DUMMYFUNCTION("""COMPUTED_VALUE"""),"matthew@hayutineducation.com")</f>
        <v>matthew@hayutineducation.com</v>
      </c>
      <c r="D415" s="65">
        <f>IFERROR(__xludf.DUMMYFUNCTION("""COMPUTED_VALUE"""),3.109636636E9)</f>
        <v>3109636636</v>
      </c>
      <c r="E415" s="65" t="str">
        <f>IFERROR(__xludf.DUMMYFUNCTION("""COMPUTED_VALUE"""),"Matthew Hayutin")</f>
        <v>Matthew Hayutin</v>
      </c>
      <c r="F415" s="65" t="str">
        <f>IFERROR(__xludf.DUMMYFUNCTION("""COMPUTED_VALUE"""),"Bianca Hayutin")</f>
        <v>Bianca Hayutin</v>
      </c>
      <c r="G415" s="65" t="str">
        <f>IFERROR(__xludf.DUMMYFUNCTION("""COMPUTED_VALUE""")," 2 / Included Insurance   - ")</f>
        <v> 2 / Included Insurance   - </v>
      </c>
      <c r="H415" s="65" t="str">
        <f>IFERROR(__xludf.DUMMYFUNCTION("""COMPUTED_VALUE"""),"Rutledge  ")</f>
        <v>Rutledge  </v>
      </c>
      <c r="I415" s="65" t="str">
        <f>IFERROR(__xludf.DUMMYFUNCTION("""COMPUTED_VALUE"""),"432 - B")</f>
        <v>432 - B</v>
      </c>
      <c r="J415" s="108" t="str">
        <f>IFERROR(__xludf.DUMMYFUNCTION("""COMPUTED_VALUE"""),"09:00 AM to 11:00 AM  ")</f>
        <v>09:00 AM to 11:00 AM  </v>
      </c>
      <c r="K415" s="103">
        <f>IFERROR(__xludf.DUMMYFUNCTION("""COMPUTED_VALUE"""),46148.0)</f>
        <v>46148</v>
      </c>
      <c r="L415" s="65" t="str">
        <f>IFERROR(__xludf.DUMMYFUNCTION("""COMPUTED_VALUE""")," ")</f>
        <v> </v>
      </c>
      <c r="M415" s="65"/>
      <c r="N415" s="65" t="str">
        <f>IFERROR(__xludf.DUMMYFUNCTION("""COMPUTED_VALUE""")," If possible, please deliver the storage kit boxes as early as Monday, 4/27 and no later than 5/1.  The earlier the better, please.  Thank you!")</f>
        <v> If possible, please deliver the storage kit boxes as early as Monday, 4/27 and no later than 5/1.  The earlier the better, please.  Thank you!</v>
      </c>
    </row>
    <row r="416">
      <c r="A416" s="99" t="str">
        <f>IFERROR(__xludf.DUMMYFUNCTION("""COMPUTED_VALUE"""),"https://utrucking.com/admin/orders/6420215562428")</f>
        <v>https://utrucking.com/admin/orders/6420215562428</v>
      </c>
      <c r="B416" s="61" t="str">
        <f>IFERROR(__xludf.DUMMYFUNCTION("""COMPUTED_VALUE"""),"#17490")</f>
        <v>#17490</v>
      </c>
      <c r="C416" s="61"/>
      <c r="D416" s="61">
        <f>IFERROR(__xludf.DUMMYFUNCTION("""COMPUTED_VALUE"""),6.508627039E9)</f>
        <v>6508627039</v>
      </c>
      <c r="E416" s="61" t="str">
        <f>IFERROR(__xludf.DUMMYFUNCTION("""COMPUTED_VALUE"""),"Alma Bendavid")</f>
        <v>Alma Bendavid</v>
      </c>
      <c r="F416" s="61" t="str">
        <f>IFERROR(__xludf.DUMMYFUNCTION("""COMPUTED_VALUE"""),"Alma Bendavid")</f>
        <v>Alma Bendavid</v>
      </c>
      <c r="G416" s="61" t="str">
        <f>IFERROR(__xludf.DUMMYFUNCTION("""COMPUTED_VALUE""")," 1 [Included with Registration] / Included Insurance   - ")</f>
        <v> 1 [Included with Registration] / Included Insurance   - </v>
      </c>
      <c r="H416" s="61" t="str">
        <f>IFERROR(__xludf.DUMMYFUNCTION("""COMPUTED_VALUE"""),"Lien  ")</f>
        <v>Lien  </v>
      </c>
      <c r="I416" s="61" t="str">
        <f>IFERROR(__xludf.DUMMYFUNCTION("""COMPUTED_VALUE"""),"2206")</f>
        <v>2206</v>
      </c>
      <c r="J416" s="107" t="str">
        <f>IFERROR(__xludf.DUMMYFUNCTION("""COMPUTED_VALUE"""),"03:00 PM to 05:00 PM")</f>
        <v>03:00 PM to 05:00 PM</v>
      </c>
      <c r="K416" s="100">
        <f>IFERROR(__xludf.DUMMYFUNCTION("""COMPUTED_VALUE"""),46148.0)</f>
        <v>46148</v>
      </c>
      <c r="L416" s="61" t="str">
        <f>IFERROR(__xludf.DUMMYFUNCTION("""COMPUTED_VALUE""")," ")</f>
        <v> </v>
      </c>
      <c r="M416" s="61"/>
      <c r="N416" s="61" t="str">
        <f>IFERROR(__xludf.DUMMYFUNCTION("""COMPUTED_VALUE""")," ")</f>
        <v> </v>
      </c>
    </row>
    <row r="417">
      <c r="A417" s="102" t="str">
        <f>IFERROR(__xludf.DUMMYFUNCTION("""COMPUTED_VALUE"""),"https://utrucking.com/admin/orders/6420225392828")</f>
        <v>https://utrucking.com/admin/orders/6420225392828</v>
      </c>
      <c r="B417" s="65" t="str">
        <f>IFERROR(__xludf.DUMMYFUNCTION("""COMPUTED_VALUE"""),"#17491")</f>
        <v>#17491</v>
      </c>
      <c r="C417" s="65"/>
      <c r="D417" s="65">
        <f>IFERROR(__xludf.DUMMYFUNCTION("""COMPUTED_VALUE"""),9.492998167E9)</f>
        <v>9492998167</v>
      </c>
      <c r="E417" s="65" t="str">
        <f>IFERROR(__xludf.DUMMYFUNCTION("""COMPUTED_VALUE"""),"Robin Koehler")</f>
        <v>Robin Koehler</v>
      </c>
      <c r="F417" s="65" t="str">
        <f>IFERROR(__xludf.DUMMYFUNCTION("""COMPUTED_VALUE"""),"Robin Koehler")</f>
        <v>Robin Koehler</v>
      </c>
      <c r="G417" s="65" t="str">
        <f>IFERROR(__xludf.DUMMYFUNCTION("""COMPUTED_VALUE""")," 1 [Included with Registration] / Included Insurance   - ")</f>
        <v> 1 [Included with Registration] / Included Insurance   - </v>
      </c>
      <c r="H417" s="65" t="str">
        <f>IFERROR(__xludf.DUMMYFUNCTION("""COMPUTED_VALUE"""),"Rutledge  ")</f>
        <v>Rutledge  </v>
      </c>
      <c r="I417" s="65" t="str">
        <f>IFERROR(__xludf.DUMMYFUNCTION("""COMPUTED_VALUE"""),"242-b")</f>
        <v>242-b</v>
      </c>
      <c r="J417" s="108" t="str">
        <f>IFERROR(__xludf.DUMMYFUNCTION("""COMPUTED_VALUE"""),"09:00 AM to 11:00 AM  ")</f>
        <v>09:00 AM to 11:00 AM  </v>
      </c>
      <c r="K417" s="103">
        <f>IFERROR(__xludf.DUMMYFUNCTION("""COMPUTED_VALUE"""),46148.0)</f>
        <v>46148</v>
      </c>
      <c r="L417" s="65" t="str">
        <f>IFERROR(__xludf.DUMMYFUNCTION("""COMPUTED_VALUE""")," ")</f>
        <v> </v>
      </c>
      <c r="M417" s="65"/>
      <c r="N417" s="65" t="str">
        <f>IFERROR(__xludf.DUMMYFUNCTION("""COMPUTED_VALUE""")," ")</f>
        <v> </v>
      </c>
    </row>
    <row r="418">
      <c r="A418" s="99" t="str">
        <f>IFERROR(__xludf.DUMMYFUNCTION("""COMPUTED_VALUE"""),"https://utrucking.com/admin/orders/6420263436476")</f>
        <v>https://utrucking.com/admin/orders/6420263436476</v>
      </c>
      <c r="B418" s="61" t="str">
        <f>IFERROR(__xludf.DUMMYFUNCTION("""COMPUTED_VALUE"""),"#17492")</f>
        <v>#17492</v>
      </c>
      <c r="C418" s="61" t="str">
        <f>IFERROR(__xludf.DUMMYFUNCTION("""COMPUTED_VALUE"""),"lisamichelekern@gmail.com")</f>
        <v>lisamichelekern@gmail.com</v>
      </c>
      <c r="D418" s="61">
        <f>IFERROR(__xludf.DUMMYFUNCTION("""COMPUTED_VALUE"""),9.176968178E9)</f>
        <v>9176968178</v>
      </c>
      <c r="E418" s="61" t="str">
        <f>IFERROR(__xludf.DUMMYFUNCTION("""COMPUTED_VALUE"""),"Lisa Kern")</f>
        <v>Lisa Kern</v>
      </c>
      <c r="F418" s="61" t="str">
        <f>IFERROR(__xludf.DUMMYFUNCTION("""COMPUTED_VALUE"""),"David Kern")</f>
        <v>David Kern</v>
      </c>
      <c r="G418" s="61" t="str">
        <f>IFERROR(__xludf.DUMMYFUNCTION("""COMPUTED_VALUE""")," 1 [Included with Registration] / Included Insurance   - ")</f>
        <v> 1 [Included with Registration] / Included Insurance   - </v>
      </c>
      <c r="H418" s="61" t="str">
        <f>IFERROR(__xludf.DUMMYFUNCTION("""COMPUTED_VALUE"""),"Rutledge  ")</f>
        <v>Rutledge  </v>
      </c>
      <c r="I418" s="61" t="str">
        <f>IFERROR(__xludf.DUMMYFUNCTION("""COMPUTED_VALUE"""),"242A")</f>
        <v>242A</v>
      </c>
      <c r="J418" s="107" t="str">
        <f>IFERROR(__xludf.DUMMYFUNCTION("""COMPUTED_VALUE"""),"02:00 PM to 04:00 PM")</f>
        <v>02:00 PM to 04:00 PM</v>
      </c>
      <c r="K418" s="100">
        <f>IFERROR(__xludf.DUMMYFUNCTION("""COMPUTED_VALUE"""),46128.0)</f>
        <v>46128</v>
      </c>
      <c r="L418" s="61" t="str">
        <f>IFERROR(__xludf.DUMMYFUNCTION("""COMPUTED_VALUE""")," ")</f>
        <v> </v>
      </c>
      <c r="M418" s="61"/>
      <c r="N418" s="61" t="str">
        <f>IFERROR(__xludf.DUMMYFUNCTION("""COMPUTED_VALUE""")," Summer storage")</f>
        <v> Summer storage</v>
      </c>
    </row>
    <row r="419">
      <c r="A419" s="102" t="str">
        <f>IFERROR(__xludf.DUMMYFUNCTION("""COMPUTED_VALUE"""),"https://utrucking.com/admin/orders/6420369211580")</f>
        <v>https://utrucking.com/admin/orders/6420369211580</v>
      </c>
      <c r="B419" s="65" t="str">
        <f>IFERROR(__xludf.DUMMYFUNCTION("""COMPUTED_VALUE"""),"#17495")</f>
        <v>#17495</v>
      </c>
      <c r="C419" s="65" t="str">
        <f>IFERROR(__xludf.DUMMYFUNCTION("""COMPUTED_VALUE"""),"evannayao@gmail.com")</f>
        <v>evannayao@gmail.com</v>
      </c>
      <c r="D419" s="65">
        <f>IFERROR(__xludf.DUMMYFUNCTION("""COMPUTED_VALUE"""),3.142034028E9)</f>
        <v>3142034028</v>
      </c>
      <c r="E419" s="65" t="str">
        <f>IFERROR(__xludf.DUMMYFUNCTION("""COMPUTED_VALUE"""),"Yanyu Yao")</f>
        <v>Yanyu Yao</v>
      </c>
      <c r="F419" s="65" t="str">
        <f>IFERROR(__xludf.DUMMYFUNCTION("""COMPUTED_VALUE"""),"Yanyu Yao")</f>
        <v>Yanyu Yao</v>
      </c>
      <c r="G419" s="65" t="str">
        <f>IFERROR(__xludf.DUMMYFUNCTION("""COMPUTED_VALUE""")," 0 / Included Insurance   - ")</f>
        <v> 0 / Included Insurance   - </v>
      </c>
      <c r="H419" s="65" t="str">
        <f>IFERROR(__xludf.DUMMYFUNCTION("""COMPUTED_VALUE"""),"Park  ")</f>
        <v>Park  </v>
      </c>
      <c r="I419" s="65" t="str">
        <f>IFERROR(__xludf.DUMMYFUNCTION("""COMPUTED_VALUE"""),"191")</f>
        <v>191</v>
      </c>
      <c r="J419" s="108" t="str">
        <f>IFERROR(__xludf.DUMMYFUNCTION("""COMPUTED_VALUE"""),"01:00 PM to 03:00 PM  ")</f>
        <v>01:00 PM to 03:00 PM  </v>
      </c>
      <c r="K419" s="103">
        <f>IFERROR(__xludf.DUMMYFUNCTION("""COMPUTED_VALUE"""),46146.0)</f>
        <v>46146</v>
      </c>
      <c r="L419" s="65" t="str">
        <f>IFERROR(__xludf.DUMMYFUNCTION("""COMPUTED_VALUE""")," ")</f>
        <v> </v>
      </c>
      <c r="M419" s="65"/>
      <c r="N419" s="65" t="str">
        <f>IFERROR(__xludf.DUMMYFUNCTION("""COMPUTED_VALUE""")," ")</f>
        <v> </v>
      </c>
    </row>
    <row r="420">
      <c r="A420" s="99" t="str">
        <f>IFERROR(__xludf.DUMMYFUNCTION("""COMPUTED_VALUE"""),"https://utrucking.com/admin/orders/6416182804668")</f>
        <v>https://utrucking.com/admin/orders/6416182804668</v>
      </c>
      <c r="B420" s="61" t="str">
        <f>IFERROR(__xludf.DUMMYFUNCTION("""COMPUTED_VALUE"""),"#17496")</f>
        <v>#17496</v>
      </c>
      <c r="C420" s="61" t="str">
        <f>IFERROR(__xludf.DUMMYFUNCTION("""COMPUTED_VALUE"""),"saronbekele61@gmail.com")</f>
        <v>saronbekele61@gmail.com</v>
      </c>
      <c r="D420" s="61">
        <f>IFERROR(__xludf.DUMMYFUNCTION("""COMPUTED_VALUE"""),5.714947273E9)</f>
        <v>5714947273</v>
      </c>
      <c r="E420" s="61" t="str">
        <f>IFERROR(__xludf.DUMMYFUNCTION("""COMPUTED_VALUE"""),"Saron Bekele")</f>
        <v>Saron Bekele</v>
      </c>
      <c r="F420" s="61" t="str">
        <f>IFERROR(__xludf.DUMMYFUNCTION("""COMPUTED_VALUE"""),"Saron Bekele")</f>
        <v>Saron Bekele</v>
      </c>
      <c r="G420" s="61" t="str">
        <f>IFERROR(__xludf.DUMMYFUNCTION("""COMPUTED_VALUE""")," 1 [Included with Registration] / Included Insurance   - ")</f>
        <v> 1 [Included with Registration] / Included Insurance   - </v>
      </c>
      <c r="H420" s="61" t="str">
        <f>IFERROR(__xludf.DUMMYFUNCTION("""COMPUTED_VALUE"""),"Shanedling  ")</f>
        <v>Shanedling  </v>
      </c>
      <c r="I420" s="61" t="str">
        <f>IFERROR(__xludf.DUMMYFUNCTION("""COMPUTED_VALUE"""),"115")</f>
        <v>115</v>
      </c>
      <c r="J420" s="107" t="str">
        <f>IFERROR(__xludf.DUMMYFUNCTION("""COMPUTED_VALUE"""),"09:00 AM to 11:00 AM  ")</f>
        <v>09:00 AM to 11:00 AM  </v>
      </c>
      <c r="K420" s="100">
        <f>IFERROR(__xludf.DUMMYFUNCTION("""COMPUTED_VALUE"""),46150.0)</f>
        <v>46150</v>
      </c>
      <c r="L420" s="61" t="str">
        <f>IFERROR(__xludf.DUMMYFUNCTION("""COMPUTED_VALUE""")," ")</f>
        <v> </v>
      </c>
      <c r="M420" s="61"/>
      <c r="N420" s="61"/>
    </row>
    <row r="421">
      <c r="A421" s="102" t="str">
        <f>IFERROR(__xludf.DUMMYFUNCTION("""COMPUTED_VALUE"""),"https://utrucking.com/admin/orders/6420605632700")</f>
        <v>https://utrucking.com/admin/orders/6420605632700</v>
      </c>
      <c r="B421" s="65" t="str">
        <f>IFERROR(__xludf.DUMMYFUNCTION("""COMPUTED_VALUE"""),"#17497")</f>
        <v>#17497</v>
      </c>
      <c r="C421" s="65" t="str">
        <f>IFERROR(__xludf.DUMMYFUNCTION("""COMPUTED_VALUE"""),"d.r.edwards@wustl.edu")</f>
        <v>d.r.edwards@wustl.edu</v>
      </c>
      <c r="D421" s="65">
        <f>IFERROR(__xludf.DUMMYFUNCTION("""COMPUTED_VALUE"""),6.467172614E9)</f>
        <v>6467172614</v>
      </c>
      <c r="E421" s="65" t="str">
        <f>IFERROR(__xludf.DUMMYFUNCTION("""COMPUTED_VALUE"""),"Rodney Edwards")</f>
        <v>Rodney Edwards</v>
      </c>
      <c r="F421" s="65" t="str">
        <f>IFERROR(__xludf.DUMMYFUNCTION("""COMPUTED_VALUE"""),"Darcey Edwards")</f>
        <v>Darcey Edwards</v>
      </c>
      <c r="G421" s="65" t="str">
        <f>IFERROR(__xludf.DUMMYFUNCTION("""COMPUTED_VALUE""")," 2 / Included Insurance   - ")</f>
        <v> 2 / Included Insurance   - </v>
      </c>
      <c r="H421" s="65" t="str">
        <f>IFERROR(__xludf.DUMMYFUNCTION("""COMPUTED_VALUE"""),"Dauten  ")</f>
        <v>Dauten  </v>
      </c>
      <c r="I421" s="65" t="str">
        <f>IFERROR(__xludf.DUMMYFUNCTION("""COMPUTED_VALUE"""),"23")</f>
        <v>23</v>
      </c>
      <c r="J421" s="108" t="str">
        <f>IFERROR(__xludf.DUMMYFUNCTION("""COMPUTED_VALUE"""),"10:00 AM to 12:00 PM  ")</f>
        <v>10:00 AM to 12:00 PM  </v>
      </c>
      <c r="K421" s="103">
        <f>IFERROR(__xludf.DUMMYFUNCTION("""COMPUTED_VALUE"""),46146.0)</f>
        <v>46146</v>
      </c>
      <c r="L421" s="65" t="str">
        <f>IFERROR(__xludf.DUMMYFUNCTION("""COMPUTED_VALUE""")," ")</f>
        <v> </v>
      </c>
      <c r="M421" s="65"/>
      <c r="N421" s="65" t="str">
        <f>IFERROR(__xludf.DUMMYFUNCTION("""COMPUTED_VALUE""")," ")</f>
        <v> </v>
      </c>
    </row>
    <row r="422">
      <c r="A422" s="99" t="str">
        <f>IFERROR(__xludf.DUMMYFUNCTION("""COMPUTED_VALUE"""),"https://utrucking.com/admin/orders/6420619264188")</f>
        <v>https://utrucking.com/admin/orders/6420619264188</v>
      </c>
      <c r="B422" s="61" t="str">
        <f>IFERROR(__xludf.DUMMYFUNCTION("""COMPUTED_VALUE"""),"#17498")</f>
        <v>#17498</v>
      </c>
      <c r="C422" s="61" t="str">
        <f>IFERROR(__xludf.DUMMYFUNCTION("""COMPUTED_VALUE"""),"walkerfamilycinco@yahoo.com")</f>
        <v>walkerfamilycinco@yahoo.com</v>
      </c>
      <c r="D422" s="61">
        <f>IFERROR(__xludf.DUMMYFUNCTION("""COMPUTED_VALUE"""),9.193338112E9)</f>
        <v>9193338112</v>
      </c>
      <c r="E422" s="61" t="str">
        <f>IFERROR(__xludf.DUMMYFUNCTION("""COMPUTED_VALUE"""),"Christopher Walker")</f>
        <v>Christopher Walker</v>
      </c>
      <c r="F422" s="61" t="str">
        <f>IFERROR(__xludf.DUMMYFUNCTION("""COMPUTED_VALUE"""),"Layla Walker")</f>
        <v>Layla Walker</v>
      </c>
      <c r="G422" s="61" t="str">
        <f>IFERROR(__xludf.DUMMYFUNCTION("""COMPUTED_VALUE""")," 2 / Included Insurance   - ")</f>
        <v> 2 / Included Insurance   - </v>
      </c>
      <c r="H422" s="61" t="str">
        <f>IFERROR(__xludf.DUMMYFUNCTION("""COMPUTED_VALUE"""),"Park  ")</f>
        <v>Park  </v>
      </c>
      <c r="I422" s="61" t="str">
        <f>IFERROR(__xludf.DUMMYFUNCTION("""COMPUTED_VALUE"""),"491")</f>
        <v>491</v>
      </c>
      <c r="J422" s="107" t="str">
        <f>IFERROR(__xludf.DUMMYFUNCTION("""COMPUTED_VALUE"""),"11:00 AM to 01:00 PM  ")</f>
        <v>11:00 AM to 01:00 PM  </v>
      </c>
      <c r="K422" s="100">
        <f>IFERROR(__xludf.DUMMYFUNCTION("""COMPUTED_VALUE"""),46148.0)</f>
        <v>46148</v>
      </c>
      <c r="L422" s="61" t="str">
        <f>IFERROR(__xludf.DUMMYFUNCTION("""COMPUTED_VALUE""")," ")</f>
        <v> </v>
      </c>
      <c r="M422" s="61"/>
      <c r="N422" s="61" t="str">
        <f>IFERROR(__xludf.DUMMYFUNCTION("""COMPUTED_VALUE""")," ")</f>
        <v> </v>
      </c>
    </row>
    <row r="423">
      <c r="A423" s="102" t="str">
        <f>IFERROR(__xludf.DUMMYFUNCTION("""COMPUTED_VALUE"""),"https://utrucking.com/admin/orders/6420689420476")</f>
        <v>https://utrucking.com/admin/orders/6420689420476</v>
      </c>
      <c r="B423" s="65" t="str">
        <f>IFERROR(__xludf.DUMMYFUNCTION("""COMPUTED_VALUE"""),"#17499")</f>
        <v>#17499</v>
      </c>
      <c r="C423" s="65" t="str">
        <f>IFERROR(__xludf.DUMMYFUNCTION("""COMPUTED_VALUE"""),"xwu@bhhscal.com")</f>
        <v>xwu@bhhscal.com</v>
      </c>
      <c r="D423" s="65">
        <f>IFERROR(__xludf.DUMMYFUNCTION("""COMPUTED_VALUE"""),6.46706176E9)</f>
        <v>6467061760</v>
      </c>
      <c r="E423" s="65" t="str">
        <f>IFERROR(__xludf.DUMMYFUNCTION("""COMPUTED_VALUE"""),"Xiaosong Wu")</f>
        <v>Xiaosong Wu</v>
      </c>
      <c r="F423" s="65" t="str">
        <f>IFERROR(__xludf.DUMMYFUNCTION("""COMPUTED_VALUE"""),"Khai Ha")</f>
        <v>Khai Ha</v>
      </c>
      <c r="G423" s="65" t="str">
        <f>IFERROR(__xludf.DUMMYFUNCTION("""COMPUTED_VALUE""")," 1 [Included with Registration] / Included Insurance   - ")</f>
        <v> 1 [Included with Registration] / Included Insurance   - </v>
      </c>
      <c r="H423" s="65" t="str">
        <f>IFERROR(__xludf.DUMMYFUNCTION("""COMPUTED_VALUE"""),"Lee  ")</f>
        <v>Lee  </v>
      </c>
      <c r="I423" s="65" t="str">
        <f>IFERROR(__xludf.DUMMYFUNCTION("""COMPUTED_VALUE"""),"222")</f>
        <v>222</v>
      </c>
      <c r="J423" s="108" t="str">
        <f>IFERROR(__xludf.DUMMYFUNCTION("""COMPUTED_VALUE"""),"09:00 AM to 11:00 AM  ")</f>
        <v>09:00 AM to 11:00 AM  </v>
      </c>
      <c r="K423" s="103">
        <f>IFERROR(__xludf.DUMMYFUNCTION("""COMPUTED_VALUE"""),46149.0)</f>
        <v>46149</v>
      </c>
      <c r="L423" s="65" t="str">
        <f>IFERROR(__xludf.DUMMYFUNCTION("""COMPUTED_VALUE""")," ")</f>
        <v> </v>
      </c>
      <c r="M423" s="65"/>
      <c r="N423" s="65" t="str">
        <f>IFERROR(__xludf.DUMMYFUNCTION("""COMPUTED_VALUE""")," ")</f>
        <v> </v>
      </c>
    </row>
    <row r="424">
      <c r="A424" s="99" t="str">
        <f>IFERROR(__xludf.DUMMYFUNCTION("""COMPUTED_VALUE"""),"https://utrucking.com/admin/orders/6421201420476")</f>
        <v>https://utrucking.com/admin/orders/6421201420476</v>
      </c>
      <c r="B424" s="61" t="str">
        <f>IFERROR(__xludf.DUMMYFUNCTION("""COMPUTED_VALUE"""),"#17501")</f>
        <v>#17501</v>
      </c>
      <c r="C424" s="61" t="str">
        <f>IFERROR(__xludf.DUMMYFUNCTION("""COMPUTED_VALUE"""),"nksantoli@hotmail.com")</f>
        <v>nksantoli@hotmail.com</v>
      </c>
      <c r="D424" s="61">
        <f>IFERROR(__xludf.DUMMYFUNCTION("""COMPUTED_VALUE"""),3.473702637E9)</f>
        <v>3473702637</v>
      </c>
      <c r="E424" s="61" t="str">
        <f>IFERROR(__xludf.DUMMYFUNCTION("""COMPUTED_VALUE"""),"Joanna Santoli")</f>
        <v>Joanna Santoli</v>
      </c>
      <c r="F424" s="61" t="str">
        <f>IFERROR(__xludf.DUMMYFUNCTION("""COMPUTED_VALUE"""),"Kate Santoli")</f>
        <v>Kate Santoli</v>
      </c>
      <c r="G424" s="61" t="str">
        <f>IFERROR(__xludf.DUMMYFUNCTION("""COMPUTED_VALUE""")," 2 / Included Insurance   - ")</f>
        <v> 2 / Included Insurance   - </v>
      </c>
      <c r="H424" s="61" t="str">
        <f>IFERROR(__xludf.DUMMYFUNCTION("""COMPUTED_VALUE"""),"Dardick  ")</f>
        <v>Dardick  </v>
      </c>
      <c r="I424" s="61" t="str">
        <f>IFERROR(__xludf.DUMMYFUNCTION("""COMPUTED_VALUE"""),"2225")</f>
        <v>2225</v>
      </c>
      <c r="J424" s="107" t="str">
        <f>IFERROR(__xludf.DUMMYFUNCTION("""COMPUTED_VALUE"""),"09:00 AM to 11:00 AM  ")</f>
        <v>09:00 AM to 11:00 AM  </v>
      </c>
      <c r="K424" s="100">
        <f>IFERROR(__xludf.DUMMYFUNCTION("""COMPUTED_VALUE"""),46149.0)</f>
        <v>46149</v>
      </c>
      <c r="L424" s="61" t="str">
        <f>IFERROR(__xludf.DUMMYFUNCTION("""COMPUTED_VALUE""")," ")</f>
        <v> </v>
      </c>
      <c r="M424" s="61"/>
      <c r="N424" s="61" t="str">
        <f>IFERROR(__xludf.DUMMYFUNCTION("""COMPUTED_VALUE""")," ")</f>
        <v> </v>
      </c>
    </row>
    <row r="425">
      <c r="A425" s="102" t="str">
        <f>IFERROR(__xludf.DUMMYFUNCTION("""COMPUTED_VALUE"""),"https://utrucking.com/admin/orders/6421280850108")</f>
        <v>https://utrucking.com/admin/orders/6421280850108</v>
      </c>
      <c r="B425" s="65" t="str">
        <f>IFERROR(__xludf.DUMMYFUNCTION("""COMPUTED_VALUE"""),"#17502")</f>
        <v>#17502</v>
      </c>
      <c r="C425" s="65" t="str">
        <f>IFERROR(__xludf.DUMMYFUNCTION("""COMPUTED_VALUE"""),"b.grunzweig@wustl.edu")</f>
        <v>b.grunzweig@wustl.edu</v>
      </c>
      <c r="D425" s="65">
        <f>IFERROR(__xludf.DUMMYFUNCTION("""COMPUTED_VALUE"""),8.052845691E9)</f>
        <v>8052845691</v>
      </c>
      <c r="E425" s="65" t="str">
        <f>IFERROR(__xludf.DUMMYFUNCTION("""COMPUTED_VALUE"""),"Bernard Grunzweig")</f>
        <v>Bernard Grunzweig</v>
      </c>
      <c r="F425" s="65" t="str">
        <f>IFERROR(__xludf.DUMMYFUNCTION("""COMPUTED_VALUE"""),"Bernie Grunzweig")</f>
        <v>Bernie Grunzweig</v>
      </c>
      <c r="G425" s="65" t="str">
        <f>IFERROR(__xludf.DUMMYFUNCTION("""COMPUTED_VALUE""")," 1 [Included with Registration] / Included Insurance   - ")</f>
        <v> 1 [Included with Registration] / Included Insurance   - </v>
      </c>
      <c r="H425" s="65" t="str">
        <f>IFERROR(__xludf.DUMMYFUNCTION("""COMPUTED_VALUE"""),"House 4 (Theta Xi)  ")</f>
        <v>House 4 (Theta Xi)  </v>
      </c>
      <c r="I425" s="65" t="str">
        <f>IFERROR(__xludf.DUMMYFUNCTION("""COMPUTED_VALUE"""),"201")</f>
        <v>201</v>
      </c>
      <c r="J425" s="108" t="str">
        <f>IFERROR(__xludf.DUMMYFUNCTION("""COMPUTED_VALUE"""),"09:00 AM to 11:00 AM  ")</f>
        <v>09:00 AM to 11:00 AM  </v>
      </c>
      <c r="K425" s="103">
        <f>IFERROR(__xludf.DUMMYFUNCTION("""COMPUTED_VALUE"""),46142.0)</f>
        <v>46142</v>
      </c>
      <c r="L425" s="65" t="str">
        <f>IFERROR(__xludf.DUMMYFUNCTION("""COMPUTED_VALUE""")," ")</f>
        <v> </v>
      </c>
      <c r="M425" s="65"/>
      <c r="N425" s="65" t="str">
        <f>IFERROR(__xludf.DUMMYFUNCTION("""COMPUTED_VALUE""")," ")</f>
        <v> </v>
      </c>
    </row>
    <row r="426">
      <c r="A426" s="99" t="str">
        <f>IFERROR(__xludf.DUMMYFUNCTION("""COMPUTED_VALUE"""),"https://utrucking.com/admin/orders/6421292286140")</f>
        <v>https://utrucking.com/admin/orders/6421292286140</v>
      </c>
      <c r="B426" s="61" t="str">
        <f>IFERROR(__xludf.DUMMYFUNCTION("""COMPUTED_VALUE"""),"#17503")</f>
        <v>#17503</v>
      </c>
      <c r="C426" s="61"/>
      <c r="D426" s="61">
        <f>IFERROR(__xludf.DUMMYFUNCTION("""COMPUTED_VALUE"""),4.752618419E9)</f>
        <v>4752618419</v>
      </c>
      <c r="E426" s="61" t="str">
        <f>IFERROR(__xludf.DUMMYFUNCTION("""COMPUTED_VALUE"""),"Wanxuan Xu")</f>
        <v>Wanxuan Xu</v>
      </c>
      <c r="F426" s="61" t="str">
        <f>IFERROR(__xludf.DUMMYFUNCTION("""COMPUTED_VALUE"""),"Whitney Xu")</f>
        <v>Whitney Xu</v>
      </c>
      <c r="G426" s="61" t="str">
        <f>IFERROR(__xludf.DUMMYFUNCTION("""COMPUTED_VALUE""")," 1 [Included with Registration] / Included Insurance   - ")</f>
        <v> 1 [Included with Registration] / Included Insurance   - </v>
      </c>
      <c r="H426" s="61" t="str">
        <f>IFERROR(__xludf.DUMMYFUNCTION("""COMPUTED_VALUE"""),"Hurd  ")</f>
        <v>Hurd  </v>
      </c>
      <c r="I426" s="61" t="str">
        <f>IFERROR(__xludf.DUMMYFUNCTION("""COMPUTED_VALUE"""),"322")</f>
        <v>322</v>
      </c>
      <c r="J426" s="107" t="str">
        <f>IFERROR(__xludf.DUMMYFUNCTION("""COMPUTED_VALUE"""),"09:00 AM to 11:00 AM  ")</f>
        <v>09:00 AM to 11:00 AM  </v>
      </c>
      <c r="K426" s="100">
        <f>IFERROR(__xludf.DUMMYFUNCTION("""COMPUTED_VALUE"""),46143.0)</f>
        <v>46143</v>
      </c>
      <c r="L426" s="61" t="str">
        <f>IFERROR(__xludf.DUMMYFUNCTION("""COMPUTED_VALUE""")," ")</f>
        <v> </v>
      </c>
      <c r="M426" s="61"/>
      <c r="N426" s="61" t="str">
        <f>IFERROR(__xludf.DUMMYFUNCTION("""COMPUTED_VALUE""")," ")</f>
        <v> </v>
      </c>
    </row>
    <row r="427">
      <c r="A427" s="102" t="str">
        <f>IFERROR(__xludf.DUMMYFUNCTION("""COMPUTED_VALUE"""),"https://utrucking.com/admin/orders/6421458976956")</f>
        <v>https://utrucking.com/admin/orders/6421458976956</v>
      </c>
      <c r="B427" s="65" t="str">
        <f>IFERROR(__xludf.DUMMYFUNCTION("""COMPUTED_VALUE"""),"#17504")</f>
        <v>#17504</v>
      </c>
      <c r="C427" s="65" t="str">
        <f>IFERROR(__xludf.DUMMYFUNCTION("""COMPUTED_VALUE"""),"jsobel@wustl.edu")</f>
        <v>jsobel@wustl.edu</v>
      </c>
      <c r="D427" s="65">
        <f>IFERROR(__xludf.DUMMYFUNCTION("""COMPUTED_VALUE"""),9.176892557E9)</f>
        <v>9176892557</v>
      </c>
      <c r="E427" s="65" t="str">
        <f>IFERROR(__xludf.DUMMYFUNCTION("""COMPUTED_VALUE"""),"Vivian Sobel")</f>
        <v>Vivian Sobel</v>
      </c>
      <c r="F427" s="65" t="str">
        <f>IFERROR(__xludf.DUMMYFUNCTION("""COMPUTED_VALUE"""),"Julia Sobel")</f>
        <v>Julia Sobel</v>
      </c>
      <c r="G427" s="65" t="str">
        <f>IFERROR(__xludf.DUMMYFUNCTION("""COMPUTED_VALUE""")," 1 [Included with Registration] / Included Insurance   - ")</f>
        <v> 1 [Included with Registration] / Included Insurance   - </v>
      </c>
      <c r="H427" s="65" t="str">
        <f>IFERROR(__xludf.DUMMYFUNCTION("""COMPUTED_VALUE"""),"Koenig  ")</f>
        <v>Koenig  </v>
      </c>
      <c r="I427" s="65" t="str">
        <f>IFERROR(__xludf.DUMMYFUNCTION("""COMPUTED_VALUE"""),"2206")</f>
        <v>2206</v>
      </c>
      <c r="J427" s="108" t="str">
        <f>IFERROR(__xludf.DUMMYFUNCTION("""COMPUTED_VALUE"""),"03:00 PM to 05:00 PM")</f>
        <v>03:00 PM to 05:00 PM</v>
      </c>
      <c r="K427" s="103">
        <f>IFERROR(__xludf.DUMMYFUNCTION("""COMPUTED_VALUE"""),46147.0)</f>
        <v>46147</v>
      </c>
      <c r="L427" s="65" t="str">
        <f>IFERROR(__xludf.DUMMYFUNCTION("""COMPUTED_VALUE""")," ")</f>
        <v> </v>
      </c>
      <c r="M427" s="65"/>
      <c r="N427" s="65" t="str">
        <f>IFERROR(__xludf.DUMMYFUNCTION("""COMPUTED_VALUE""")," ")</f>
        <v> </v>
      </c>
    </row>
    <row r="428">
      <c r="A428" s="99" t="str">
        <f>IFERROR(__xludf.DUMMYFUNCTION("""COMPUTED_VALUE"""),"https://utrucking.com/admin/orders/6421504983228")</f>
        <v>https://utrucking.com/admin/orders/6421504983228</v>
      </c>
      <c r="B428" s="61" t="str">
        <f>IFERROR(__xludf.DUMMYFUNCTION("""COMPUTED_VALUE"""),"#17506")</f>
        <v>#17506</v>
      </c>
      <c r="C428" s="61" t="str">
        <f>IFERROR(__xludf.DUMMYFUNCTION("""COMPUTED_VALUE"""),"carak3nny@hotmail.com")</f>
        <v>carak3nny@hotmail.com</v>
      </c>
      <c r="D428" s="61">
        <f>IFERROR(__xludf.DUMMYFUNCTION("""COMPUTED_VALUE"""),3.146597964E9)</f>
        <v>3146597964</v>
      </c>
      <c r="E428" s="61" t="str">
        <f>IFERROR(__xludf.DUMMYFUNCTION("""COMPUTED_VALUE"""),"Kenny Ji")</f>
        <v>Kenny Ji</v>
      </c>
      <c r="F428" s="61" t="str">
        <f>IFERROR(__xludf.DUMMYFUNCTION("""COMPUTED_VALUE"""),"Kenny Ji")</f>
        <v>Kenny Ji</v>
      </c>
      <c r="G428" s="61" t="str">
        <f>IFERROR(__xludf.DUMMYFUNCTION("""COMPUTED_VALUE""")," 1 [Included with Registration] / Included Insurance   - ")</f>
        <v> 1 [Included with Registration] / Included Insurance   - </v>
      </c>
      <c r="H428" s="61" t="str">
        <f>IFERROR(__xludf.DUMMYFUNCTION("""COMPUTED_VALUE"""),"Danforth  ")</f>
        <v>Danforth  </v>
      </c>
      <c r="I428" s="61" t="str">
        <f>IFERROR(__xludf.DUMMYFUNCTION("""COMPUTED_VALUE"""),"4419")</f>
        <v>4419</v>
      </c>
      <c r="J428" s="107" t="str">
        <f>IFERROR(__xludf.DUMMYFUNCTION("""COMPUTED_VALUE"""),"02:00 PM to 04:00 PM")</f>
        <v>02:00 PM to 04:00 PM</v>
      </c>
      <c r="K428" s="100">
        <f>IFERROR(__xludf.DUMMYFUNCTION("""COMPUTED_VALUE"""),46149.0)</f>
        <v>46149</v>
      </c>
      <c r="L428" s="61" t="str">
        <f>IFERROR(__xludf.DUMMYFUNCTION("""COMPUTED_VALUE""")," ")</f>
        <v> </v>
      </c>
      <c r="M428" s="61"/>
      <c r="N428" s="61" t="str">
        <f>IFERROR(__xludf.DUMMYFUNCTION("""COMPUTED_VALUE""")," ")</f>
        <v> </v>
      </c>
    </row>
    <row r="429">
      <c r="A429" s="102" t="str">
        <f>IFERROR(__xludf.DUMMYFUNCTION("""COMPUTED_VALUE"""),"https://utrucking.com/admin/orders/6421556592828")</f>
        <v>https://utrucking.com/admin/orders/6421556592828</v>
      </c>
      <c r="B429" s="65" t="str">
        <f>IFERROR(__xludf.DUMMYFUNCTION("""COMPUTED_VALUE"""),"#17508")</f>
        <v>#17508</v>
      </c>
      <c r="C429" s="65" t="str">
        <f>IFERROR(__xludf.DUMMYFUNCTION("""COMPUTED_VALUE"""),"avavirmani@icloud.com")</f>
        <v>avavirmani@icloud.com</v>
      </c>
      <c r="D429" s="65">
        <f>IFERROR(__xludf.DUMMYFUNCTION("""COMPUTED_VALUE"""),3.123998535E9)</f>
        <v>3123998535</v>
      </c>
      <c r="E429" s="65" t="str">
        <f>IFERROR(__xludf.DUMMYFUNCTION("""COMPUTED_VALUE"""),"Ava Virmani")</f>
        <v>Ava Virmani</v>
      </c>
      <c r="F429" s="65" t="str">
        <f>IFERROR(__xludf.DUMMYFUNCTION("""COMPUTED_VALUE"""),"Ava Virmani")</f>
        <v>Ava Virmani</v>
      </c>
      <c r="G429" s="65" t="str">
        <f>IFERROR(__xludf.DUMMYFUNCTION("""COMPUTED_VALUE""")," 0 / Included Insurance   - ")</f>
        <v> 0 / Included Insurance   - </v>
      </c>
      <c r="H429" s="65" t="str">
        <f>IFERROR(__xludf.DUMMYFUNCTION("""COMPUTED_VALUE"""),"Koenig  ")</f>
        <v>Koenig  </v>
      </c>
      <c r="I429" s="65" t="str">
        <f>IFERROR(__xludf.DUMMYFUNCTION("""COMPUTED_VALUE"""),"4413")</f>
        <v>4413</v>
      </c>
      <c r="J429" s="108" t="str">
        <f>IFERROR(__xludf.DUMMYFUNCTION("""COMPUTED_VALUE"""),"02:00 PM to 04:00 PM")</f>
        <v>02:00 PM to 04:00 PM</v>
      </c>
      <c r="K429" s="103">
        <f>IFERROR(__xludf.DUMMYFUNCTION("""COMPUTED_VALUE"""),46144.0)</f>
        <v>46144</v>
      </c>
      <c r="L429" s="65" t="str">
        <f>IFERROR(__xludf.DUMMYFUNCTION("""COMPUTED_VALUE""")," ")</f>
        <v> </v>
      </c>
      <c r="M429" s="65"/>
      <c r="N429" s="65" t="str">
        <f>IFERROR(__xludf.DUMMYFUNCTION("""COMPUTED_VALUE""")," ")</f>
        <v> </v>
      </c>
    </row>
    <row r="430">
      <c r="A430" s="99" t="str">
        <f>IFERROR(__xludf.DUMMYFUNCTION("""COMPUTED_VALUE"""),"https://utrucking.com/admin/orders/6421666889916")</f>
        <v>https://utrucking.com/admin/orders/6421666889916</v>
      </c>
      <c r="B430" s="61" t="str">
        <f>IFERROR(__xludf.DUMMYFUNCTION("""COMPUTED_VALUE"""),"#17509")</f>
        <v>#17509</v>
      </c>
      <c r="C430" s="61" t="str">
        <f>IFERROR(__xludf.DUMMYFUNCTION("""COMPUTED_VALUE"""),"davidzhangrui9@gmail.com")</f>
        <v>davidzhangrui9@gmail.com</v>
      </c>
      <c r="D430" s="61">
        <f>IFERROR(__xludf.DUMMYFUNCTION("""COMPUTED_VALUE"""),1.9784579679E10)</f>
        <v>19784579679</v>
      </c>
      <c r="E430" s="61" t="str">
        <f>IFERROR(__xludf.DUMMYFUNCTION("""COMPUTED_VALUE"""),"David Zhang")</f>
        <v>David Zhang</v>
      </c>
      <c r="F430" s="61" t="str">
        <f>IFERROR(__xludf.DUMMYFUNCTION("""COMPUTED_VALUE"""),"David Zhang")</f>
        <v>David Zhang</v>
      </c>
      <c r="G430" s="61" t="str">
        <f>IFERROR(__xludf.DUMMYFUNCTION("""COMPUTED_VALUE""")," 1 [Included with Registration] / Included Insurance   - ")</f>
        <v> 1 [Included with Registration] / Included Insurance   - </v>
      </c>
      <c r="H430" s="61" t="str">
        <f>IFERROR(__xludf.DUMMYFUNCTION("""COMPUTED_VALUE"""),"Hitzeman  ")</f>
        <v>Hitzeman  </v>
      </c>
      <c r="I430" s="61" t="str">
        <f>IFERROR(__xludf.DUMMYFUNCTION("""COMPUTED_VALUE"""),"243")</f>
        <v>243</v>
      </c>
      <c r="J430" s="107" t="str">
        <f>IFERROR(__xludf.DUMMYFUNCTION("""COMPUTED_VALUE"""),"03:00 PM to 05:00 PM")</f>
        <v>03:00 PM to 05:00 PM</v>
      </c>
      <c r="K430" s="100">
        <f>IFERROR(__xludf.DUMMYFUNCTION("""COMPUTED_VALUE"""),46148.0)</f>
        <v>46148</v>
      </c>
      <c r="L430" s="61" t="str">
        <f>IFERROR(__xludf.DUMMYFUNCTION("""COMPUTED_VALUE""")," ")</f>
        <v> </v>
      </c>
      <c r="M430" s="61"/>
      <c r="N430" s="61" t="str">
        <f>IFERROR(__xludf.DUMMYFUNCTION("""COMPUTED_VALUE""")," ")</f>
        <v> </v>
      </c>
    </row>
    <row r="431">
      <c r="A431" s="102" t="str">
        <f>IFERROR(__xludf.DUMMYFUNCTION("""COMPUTED_VALUE"""),"https://utrucking.com/admin/orders/6421730033852")</f>
        <v>https://utrucking.com/admin/orders/6421730033852</v>
      </c>
      <c r="B431" s="65" t="str">
        <f>IFERROR(__xludf.DUMMYFUNCTION("""COMPUTED_VALUE"""),"#17510")</f>
        <v>#17510</v>
      </c>
      <c r="C431" s="65" t="str">
        <f>IFERROR(__xludf.DUMMYFUNCTION("""COMPUTED_VALUE"""),"e.e.may@wustl.edu")</f>
        <v>e.e.may@wustl.edu</v>
      </c>
      <c r="D431" s="65">
        <f>IFERROR(__xludf.DUMMYFUNCTION("""COMPUTED_VALUE"""),8.174803764E9)</f>
        <v>8174803764</v>
      </c>
      <c r="E431" s="65" t="str">
        <f>IFERROR(__xludf.DUMMYFUNCTION("""COMPUTED_VALUE"""),"Mary May")</f>
        <v>Mary May</v>
      </c>
      <c r="F431" s="65" t="str">
        <f>IFERROR(__xludf.DUMMYFUNCTION("""COMPUTED_VALUE"""),"Emmy May")</f>
        <v>Emmy May</v>
      </c>
      <c r="G431" s="65" t="str">
        <f>IFERROR(__xludf.DUMMYFUNCTION("""COMPUTED_VALUE""")," 1 [Included with Registration] / Included Insurance   - ")</f>
        <v> 1 [Included with Registration] / Included Insurance   - </v>
      </c>
      <c r="H431" s="65" t="str">
        <f>IFERROR(__xludf.DUMMYFUNCTION("""COMPUTED_VALUE"""),"Koenig  ")</f>
        <v>Koenig  </v>
      </c>
      <c r="I431" s="65" t="str">
        <f>IFERROR(__xludf.DUMMYFUNCTION("""COMPUTED_VALUE"""),"3316")</f>
        <v>3316</v>
      </c>
      <c r="J431" s="108" t="str">
        <f>IFERROR(__xludf.DUMMYFUNCTION("""COMPUTED_VALUE"""),"11:00 AM to 01:00 PM  ")</f>
        <v>11:00 AM to 01:00 PM  </v>
      </c>
      <c r="K431" s="103">
        <f>IFERROR(__xludf.DUMMYFUNCTION("""COMPUTED_VALUE"""),46140.0)</f>
        <v>46140</v>
      </c>
      <c r="L431" s="65" t="str">
        <f>IFERROR(__xludf.DUMMYFUNCTION("""COMPUTED_VALUE""")," ")</f>
        <v> </v>
      </c>
      <c r="M431" s="65"/>
      <c r="N431" s="65" t="str">
        <f>IFERROR(__xludf.DUMMYFUNCTION("""COMPUTED_VALUE""")," ")</f>
        <v> </v>
      </c>
    </row>
    <row r="432">
      <c r="A432" s="99" t="str">
        <f>IFERROR(__xludf.DUMMYFUNCTION("""COMPUTED_VALUE"""),"https://utrucking.com/admin/orders/6421819818172")</f>
        <v>https://utrucking.com/admin/orders/6421819818172</v>
      </c>
      <c r="B432" s="61" t="str">
        <f>IFERROR(__xludf.DUMMYFUNCTION("""COMPUTED_VALUE"""),"#17511")</f>
        <v>#17511</v>
      </c>
      <c r="C432" s="61" t="str">
        <f>IFERROR(__xludf.DUMMYFUNCTION("""COMPUTED_VALUE"""),"noawc1@gmail.com")</f>
        <v>noawc1@gmail.com</v>
      </c>
      <c r="D432" s="61">
        <f>IFERROR(__xludf.DUMMYFUNCTION("""COMPUTED_VALUE"""),9.176890085E9)</f>
        <v>9176890085</v>
      </c>
      <c r="E432" s="61" t="str">
        <f>IFERROR(__xludf.DUMMYFUNCTION("""COMPUTED_VALUE"""),"Noa Wofsey-Carter")</f>
        <v>Noa Wofsey-Carter</v>
      </c>
      <c r="F432" s="61" t="str">
        <f>IFERROR(__xludf.DUMMYFUNCTION("""COMPUTED_VALUE"""),"Noa Wofsey-Carter")</f>
        <v>Noa Wofsey-Carter</v>
      </c>
      <c r="G432" s="61" t="str">
        <f>IFERROR(__xludf.DUMMYFUNCTION("""COMPUTED_VALUE""")," 2 / Included Insurance   - ")</f>
        <v> 2 / Included Insurance   - </v>
      </c>
      <c r="H432" s="61" t="str">
        <f>IFERROR(__xludf.DUMMYFUNCTION("""COMPUTED_VALUE"""),"Dardick  ")</f>
        <v>Dardick  </v>
      </c>
      <c r="I432" s="61" t="str">
        <f>IFERROR(__xludf.DUMMYFUNCTION("""COMPUTED_VALUE"""),"3309")</f>
        <v>3309</v>
      </c>
      <c r="J432" s="107" t="str">
        <f>IFERROR(__xludf.DUMMYFUNCTION("""COMPUTED_VALUE"""),"01:00 PM to 03:00 PM  ")</f>
        <v>01:00 PM to 03:00 PM  </v>
      </c>
      <c r="K432" s="100">
        <f>IFERROR(__xludf.DUMMYFUNCTION("""COMPUTED_VALUE"""),46143.0)</f>
        <v>46143</v>
      </c>
      <c r="L432" s="61" t="str">
        <f>IFERROR(__xludf.DUMMYFUNCTION("""COMPUTED_VALUE""")," ")</f>
        <v> </v>
      </c>
      <c r="M432" s="61"/>
      <c r="N432" s="61" t="str">
        <f>IFERROR(__xludf.DUMMYFUNCTION("""COMPUTED_VALUE""")," ")</f>
        <v> </v>
      </c>
    </row>
    <row r="433">
      <c r="A433" s="102" t="str">
        <f>IFERROR(__xludf.DUMMYFUNCTION("""COMPUTED_VALUE"""),"https://utrucking.com/admin/orders/6421839839420")</f>
        <v>https://utrucking.com/admin/orders/6421839839420</v>
      </c>
      <c r="B433" s="65" t="str">
        <f>IFERROR(__xludf.DUMMYFUNCTION("""COMPUTED_VALUE"""),"#17512")</f>
        <v>#17512</v>
      </c>
      <c r="C433" s="65" t="str">
        <f>IFERROR(__xludf.DUMMYFUNCTION("""COMPUTED_VALUE"""),"kaittan20@gmail.com")</f>
        <v>kaittan20@gmail.com</v>
      </c>
      <c r="D433" s="65">
        <f>IFERROR(__xludf.DUMMYFUNCTION("""COMPUTED_VALUE"""),9.166999502E9)</f>
        <v>9166999502</v>
      </c>
      <c r="E433" s="65" t="str">
        <f>IFERROR(__xludf.DUMMYFUNCTION("""COMPUTED_VALUE"""),"Kaitlyn Tan")</f>
        <v>Kaitlyn Tan</v>
      </c>
      <c r="F433" s="65" t="str">
        <f>IFERROR(__xludf.DUMMYFUNCTION("""COMPUTED_VALUE"""),"Kaitlyn Tan")</f>
        <v>Kaitlyn Tan</v>
      </c>
      <c r="G433" s="65" t="str">
        <f>IFERROR(__xludf.DUMMYFUNCTION("""COMPUTED_VALUE""")," 1 [Included with Registration] / Included Insurance   - ")</f>
        <v> 1 [Included with Registration] / Included Insurance   - </v>
      </c>
      <c r="H433" s="65" t="str">
        <f>IFERROR(__xludf.DUMMYFUNCTION("""COMPUTED_VALUE"""),"Zetcher  ")</f>
        <v>Zetcher  </v>
      </c>
      <c r="I433" s="65" t="str">
        <f>IFERROR(__xludf.DUMMYFUNCTION("""COMPUTED_VALUE"""),"3091 A")</f>
        <v>3091 A</v>
      </c>
      <c r="J433" s="108" t="str">
        <f>IFERROR(__xludf.DUMMYFUNCTION("""COMPUTED_VALUE"""),"01:00 PM to 03:00 PM  ")</f>
        <v>01:00 PM to 03:00 PM  </v>
      </c>
      <c r="K433" s="103">
        <f>IFERROR(__xludf.DUMMYFUNCTION("""COMPUTED_VALUE"""),46149.0)</f>
        <v>46149</v>
      </c>
      <c r="L433" s="65" t="str">
        <f>IFERROR(__xludf.DUMMYFUNCTION("""COMPUTED_VALUE""")," ")</f>
        <v> </v>
      </c>
      <c r="M433" s="65"/>
      <c r="N433" s="65" t="str">
        <f>IFERROR(__xludf.DUMMYFUNCTION("""COMPUTED_VALUE""")," Will update/contact you guys on the official housing location before school starts. ")</f>
        <v> Will update/contact you guys on the official housing location before school starts. </v>
      </c>
    </row>
    <row r="434">
      <c r="A434" s="99" t="str">
        <f>IFERROR(__xludf.DUMMYFUNCTION("""COMPUTED_VALUE"""),"https://utrucking.com/admin/orders/6421888696508")</f>
        <v>https://utrucking.com/admin/orders/6421888696508</v>
      </c>
      <c r="B434" s="61" t="str">
        <f>IFERROR(__xludf.DUMMYFUNCTION("""COMPUTED_VALUE"""),"#17513")</f>
        <v>#17513</v>
      </c>
      <c r="C434" s="61" t="str">
        <f>IFERROR(__xludf.DUMMYFUNCTION("""COMPUTED_VALUE"""),"jimmy.sha.1218@outlook.com")</f>
        <v>jimmy.sha.1218@outlook.com</v>
      </c>
      <c r="D434" s="61">
        <f>IFERROR(__xludf.DUMMYFUNCTION("""COMPUTED_VALUE"""),3.147991686E9)</f>
        <v>3147991686</v>
      </c>
      <c r="E434" s="61" t="str">
        <f>IFERROR(__xludf.DUMMYFUNCTION("""COMPUTED_VALUE"""),"Jimmy Sha")</f>
        <v>Jimmy Sha</v>
      </c>
      <c r="F434" s="61" t="str">
        <f>IFERROR(__xludf.DUMMYFUNCTION("""COMPUTED_VALUE"""),"Jimmy Sha")</f>
        <v>Jimmy Sha</v>
      </c>
      <c r="G434" s="61" t="str">
        <f>IFERROR(__xludf.DUMMYFUNCTION("""COMPUTED_VALUE""")," 2 / Included Insurance   - ")</f>
        <v> 2 / Included Insurance   - </v>
      </c>
      <c r="H434" s="61" t="str">
        <f>IFERROR(__xludf.DUMMYFUNCTION("""COMPUTED_VALUE"""),"Hitzeman  ")</f>
        <v>Hitzeman  </v>
      </c>
      <c r="I434" s="61" t="str">
        <f>IFERROR(__xludf.DUMMYFUNCTION("""COMPUTED_VALUE"""),"212")</f>
        <v>212</v>
      </c>
      <c r="J434" s="107" t="str">
        <f>IFERROR(__xludf.DUMMYFUNCTION("""COMPUTED_VALUE"""),"03:00 PM to 05:00 PM")</f>
        <v>03:00 PM to 05:00 PM</v>
      </c>
      <c r="K434" s="100">
        <f>IFERROR(__xludf.DUMMYFUNCTION("""COMPUTED_VALUE"""),46147.0)</f>
        <v>46147</v>
      </c>
      <c r="L434" s="61" t="str">
        <f>IFERROR(__xludf.DUMMYFUNCTION("""COMPUTED_VALUE""")," ")</f>
        <v> </v>
      </c>
      <c r="M434" s="61"/>
      <c r="N434" s="61" t="str">
        <f>IFERROR(__xludf.DUMMYFUNCTION("""COMPUTED_VALUE""")," ")</f>
        <v> </v>
      </c>
    </row>
    <row r="435">
      <c r="A435" s="102" t="str">
        <f>IFERROR(__xludf.DUMMYFUNCTION("""COMPUTED_VALUE"""),"https://utrucking.com/admin/orders/6422400860348")</f>
        <v>https://utrucking.com/admin/orders/6422400860348</v>
      </c>
      <c r="B435" s="65" t="str">
        <f>IFERROR(__xludf.DUMMYFUNCTION("""COMPUTED_VALUE"""),"#17514")</f>
        <v>#17514</v>
      </c>
      <c r="C435" s="65" t="str">
        <f>IFERROR(__xludf.DUMMYFUNCTION("""COMPUTED_VALUE"""),"c.c.milde@wustl.edu")</f>
        <v>c.c.milde@wustl.edu</v>
      </c>
      <c r="D435" s="65">
        <f>IFERROR(__xludf.DUMMYFUNCTION("""COMPUTED_VALUE"""),9.178683484E9)</f>
        <v>9178683484</v>
      </c>
      <c r="E435" s="65" t="str">
        <f>IFERROR(__xludf.DUMMYFUNCTION("""COMPUTED_VALUE"""),"Cece Milde")</f>
        <v>Cece Milde</v>
      </c>
      <c r="F435" s="65" t="str">
        <f>IFERROR(__xludf.DUMMYFUNCTION("""COMPUTED_VALUE"""),"Cece Milde")</f>
        <v>Cece Milde</v>
      </c>
      <c r="G435" s="65" t="str">
        <f>IFERROR(__xludf.DUMMYFUNCTION("""COMPUTED_VALUE""")," 1 [Included with Registration] / Included Insurance   - ")</f>
        <v> 1 [Included with Registration] / Included Insurance   - </v>
      </c>
      <c r="H435" s="65" t="str">
        <f>IFERROR(__xludf.DUMMYFUNCTION("""COMPUTED_VALUE"""),"Millbrook Bldg. 3  ")</f>
        <v>Millbrook Bldg. 3  </v>
      </c>
      <c r="I435" s="65" t="str">
        <f>IFERROR(__xludf.DUMMYFUNCTION("""COMPUTED_VALUE"""),"103E")</f>
        <v>103E</v>
      </c>
      <c r="J435" s="108" t="str">
        <f>IFERROR(__xludf.DUMMYFUNCTION("""COMPUTED_VALUE"""),"12:00 PM to 02:00 PM  ")</f>
        <v>12:00 PM to 02:00 PM  </v>
      </c>
      <c r="K435" s="103">
        <f>IFERROR(__xludf.DUMMYFUNCTION("""COMPUTED_VALUE"""),46147.0)</f>
        <v>46147</v>
      </c>
      <c r="L435" s="65" t="str">
        <f>IFERROR(__xludf.DUMMYFUNCTION("""COMPUTED_VALUE""")," ")</f>
        <v> </v>
      </c>
      <c r="M435" s="65"/>
      <c r="N435" s="65" t="str">
        <f>IFERROR(__xludf.DUMMYFUNCTION("""COMPUTED_VALUE""")," ")</f>
        <v> </v>
      </c>
    </row>
    <row r="436">
      <c r="A436" s="99" t="str">
        <f>IFERROR(__xludf.DUMMYFUNCTION("""COMPUTED_VALUE"""),"https://utrucking.com/admin/orders/6422441361596")</f>
        <v>https://utrucking.com/admin/orders/6422441361596</v>
      </c>
      <c r="B436" s="61" t="str">
        <f>IFERROR(__xludf.DUMMYFUNCTION("""COMPUTED_VALUE"""),"#17515")</f>
        <v>#17515</v>
      </c>
      <c r="C436" s="61" t="str">
        <f>IFERROR(__xludf.DUMMYFUNCTION("""COMPUTED_VALUE"""),"a.mogul@wustl.edu")</f>
        <v>a.mogul@wustl.edu</v>
      </c>
      <c r="D436" s="61">
        <f>IFERROR(__xludf.DUMMYFUNCTION("""COMPUTED_VALUE"""),4.157946556E9)</f>
        <v>4157946556</v>
      </c>
      <c r="E436" s="61" t="str">
        <f>IFERROR(__xludf.DUMMYFUNCTION("""COMPUTED_VALUE"""),"Alexis Mogul")</f>
        <v>Alexis Mogul</v>
      </c>
      <c r="F436" s="61" t="str">
        <f>IFERROR(__xludf.DUMMYFUNCTION("""COMPUTED_VALUE"""),"Amelia Mogul")</f>
        <v>Amelia Mogul</v>
      </c>
      <c r="G436" s="61" t="str">
        <f>IFERROR(__xludf.DUMMYFUNCTION("""COMPUTED_VALUE""")," 1 [Included with Registration] / Included Insurance   - ")</f>
        <v> 1 [Included with Registration] / Included Insurance   - </v>
      </c>
      <c r="H436" s="61" t="str">
        <f>IFERROR(__xludf.DUMMYFUNCTION("""COMPUTED_VALUE"""),"Eliot A (Thomas Eliot)")</f>
        <v>Eliot A (Thomas Eliot)</v>
      </c>
      <c r="I436" s="61" t="str">
        <f>IFERROR(__xludf.DUMMYFUNCTION("""COMPUTED_VALUE"""),"3072")</f>
        <v>3072</v>
      </c>
      <c r="J436" s="107" t="str">
        <f>IFERROR(__xludf.DUMMYFUNCTION("""COMPUTED_VALUE"""),"12:00 PM to 02:00 PM  ")</f>
        <v>12:00 PM to 02:00 PM  </v>
      </c>
      <c r="K436" s="100">
        <f>IFERROR(__xludf.DUMMYFUNCTION("""COMPUTED_VALUE"""),46147.0)</f>
        <v>46147</v>
      </c>
      <c r="L436" s="61" t="str">
        <f>IFERROR(__xludf.DUMMYFUNCTION("""COMPUTED_VALUE""")," ")</f>
        <v> </v>
      </c>
      <c r="M436" s="61"/>
      <c r="N436" s="61" t="str">
        <f>IFERROR(__xludf.DUMMYFUNCTION("""COMPUTED_VALUE""")," ")</f>
        <v> </v>
      </c>
    </row>
    <row r="437">
      <c r="A437" s="102" t="str">
        <f>IFERROR(__xludf.DUMMYFUNCTION("""COMPUTED_VALUE"""),"https://utrucking.com/admin/orders/6422479012028")</f>
        <v>https://utrucking.com/admin/orders/6422479012028</v>
      </c>
      <c r="B437" s="65" t="str">
        <f>IFERROR(__xludf.DUMMYFUNCTION("""COMPUTED_VALUE"""),"#17516")</f>
        <v>#17516</v>
      </c>
      <c r="C437" s="65" t="str">
        <f>IFERROR(__xludf.DUMMYFUNCTION("""COMPUTED_VALUE"""),"j.jaffe@wustl.edu")</f>
        <v>j.jaffe@wustl.edu</v>
      </c>
      <c r="D437" s="65">
        <f>IFERROR(__xludf.DUMMYFUNCTION("""COMPUTED_VALUE"""),3.158028983E9)</f>
        <v>3158028983</v>
      </c>
      <c r="E437" s="65" t="str">
        <f>IFERROR(__xludf.DUMMYFUNCTION("""COMPUTED_VALUE"""),"Jonah Jaffe")</f>
        <v>Jonah Jaffe</v>
      </c>
      <c r="F437" s="65" t="str">
        <f>IFERROR(__xludf.DUMMYFUNCTION("""COMPUTED_VALUE"""),"Jonah Jaffe")</f>
        <v>Jonah Jaffe</v>
      </c>
      <c r="G437" s="65" t="str">
        <f>IFERROR(__xludf.DUMMYFUNCTION("""COMPUTED_VALUE""")," 1 [Included with Registration] / Included Insurance   - ")</f>
        <v> 1 [Included with Registration] / Included Insurance   - </v>
      </c>
      <c r="H437" s="65" t="str">
        <f>IFERROR(__xludf.DUMMYFUNCTION("""COMPUTED_VALUE"""),"Koenig  ")</f>
        <v>Koenig  </v>
      </c>
      <c r="I437" s="65" t="str">
        <f>IFERROR(__xludf.DUMMYFUNCTION("""COMPUTED_VALUE"""),"2212")</f>
        <v>2212</v>
      </c>
      <c r="J437" s="108" t="str">
        <f>IFERROR(__xludf.DUMMYFUNCTION("""COMPUTED_VALUE"""),"11:00 AM to 01:00 PM  ")</f>
        <v>11:00 AM to 01:00 PM  </v>
      </c>
      <c r="K437" s="103">
        <f>IFERROR(__xludf.DUMMYFUNCTION("""COMPUTED_VALUE"""),46148.0)</f>
        <v>46148</v>
      </c>
      <c r="L437" s="65" t="str">
        <f>IFERROR(__xludf.DUMMYFUNCTION("""COMPUTED_VALUE""")," ")</f>
        <v> </v>
      </c>
      <c r="M437" s="65"/>
      <c r="N437" s="65" t="str">
        <f>IFERROR(__xludf.DUMMYFUNCTION("""COMPUTED_VALUE""")," ")</f>
        <v> </v>
      </c>
    </row>
    <row r="438">
      <c r="A438" s="99" t="str">
        <f>IFERROR(__xludf.DUMMYFUNCTION("""COMPUTED_VALUE"""),"https://utrucking.com/admin/orders/6422556180668")</f>
        <v>https://utrucking.com/admin/orders/6422556180668</v>
      </c>
      <c r="B438" s="61" t="str">
        <f>IFERROR(__xludf.DUMMYFUNCTION("""COMPUTED_VALUE"""),"#17517")</f>
        <v>#17517</v>
      </c>
      <c r="C438" s="61" t="str">
        <f>IFERROR(__xludf.DUMMYFUNCTION("""COMPUTED_VALUE"""),"h.e.sheena@wustl.edu")</f>
        <v>h.e.sheena@wustl.edu</v>
      </c>
      <c r="D438" s="61">
        <f>IFERROR(__xludf.DUMMYFUNCTION("""COMPUTED_VALUE"""),8.326911231E9)</f>
        <v>8326911231</v>
      </c>
      <c r="E438" s="61" t="str">
        <f>IFERROR(__xludf.DUMMYFUNCTION("""COMPUTED_VALUE"""),"Hailey Sheena")</f>
        <v>Hailey Sheena</v>
      </c>
      <c r="F438" s="61" t="str">
        <f>IFERROR(__xludf.DUMMYFUNCTION("""COMPUTED_VALUE"""),"Hailey Sheena")</f>
        <v>Hailey Sheena</v>
      </c>
      <c r="G438" s="61" t="str">
        <f>IFERROR(__xludf.DUMMYFUNCTION("""COMPUTED_VALUE""")," 2 [Included with Registration] / Included Insurance   - ")</f>
        <v> 2 [Included with Registration] / Included Insurance   - </v>
      </c>
      <c r="H438" s="61" t="str">
        <f>IFERROR(__xludf.DUMMYFUNCTION("""COMPUTED_VALUE"""),"Umrath  ")</f>
        <v>Umrath  </v>
      </c>
      <c r="I438" s="61" t="str">
        <f>IFERROR(__xludf.DUMMYFUNCTION("""COMPUTED_VALUE"""),"1236")</f>
        <v>1236</v>
      </c>
      <c r="J438" s="107" t="str">
        <f>IFERROR(__xludf.DUMMYFUNCTION("""COMPUTED_VALUE"""),"09:00 AM to 11:00 AM  ")</f>
        <v>09:00 AM to 11:00 AM  </v>
      </c>
      <c r="K438" s="100">
        <f>IFERROR(__xludf.DUMMYFUNCTION("""COMPUTED_VALUE"""),46148.0)</f>
        <v>46148</v>
      </c>
      <c r="L438" s="61" t="str">
        <f>IFERROR(__xludf.DUMMYFUNCTION("""COMPUTED_VALUE""")," ")</f>
        <v> </v>
      </c>
      <c r="M438" s="61"/>
      <c r="N438" s="61" t="str">
        <f>IFERROR(__xludf.DUMMYFUNCTION("""COMPUTED_VALUE""")," ")</f>
        <v> </v>
      </c>
    </row>
    <row r="439">
      <c r="A439" s="102" t="str">
        <f>IFERROR(__xludf.DUMMYFUNCTION("""COMPUTED_VALUE"""),"https://utrucking.com/admin/orders/6422602514620")</f>
        <v>https://utrucking.com/admin/orders/6422602514620</v>
      </c>
      <c r="B439" s="65" t="str">
        <f>IFERROR(__xludf.DUMMYFUNCTION("""COMPUTED_VALUE"""),"#17519")</f>
        <v>#17519</v>
      </c>
      <c r="C439" s="65" t="str">
        <f>IFERROR(__xludf.DUMMYFUNCTION("""COMPUTED_VALUE"""),"sophiewhang28@gmail.com")</f>
        <v>sophiewhang28@gmail.com</v>
      </c>
      <c r="D439" s="65">
        <f>IFERROR(__xludf.DUMMYFUNCTION("""COMPUTED_VALUE"""),7.03859443E9)</f>
        <v>7038594430</v>
      </c>
      <c r="E439" s="65" t="str">
        <f>IFERROR(__xludf.DUMMYFUNCTION("""COMPUTED_VALUE"""),"Sophie Whang")</f>
        <v>Sophie Whang</v>
      </c>
      <c r="F439" s="65" t="str">
        <f>IFERROR(__xludf.DUMMYFUNCTION("""COMPUTED_VALUE"""),"Sophie Whang")</f>
        <v>Sophie Whang</v>
      </c>
      <c r="G439" s="65" t="str">
        <f>IFERROR(__xludf.DUMMYFUNCTION("""COMPUTED_VALUE""")," 1 [Included with Registration] / Included Insurance   - ")</f>
        <v> 1 [Included with Registration] / Included Insurance   - </v>
      </c>
      <c r="H439" s="65"/>
      <c r="I439" s="65"/>
      <c r="J439" s="108" t="str">
        <f>IFERROR(__xludf.DUMMYFUNCTION("""COMPUTED_VALUE"""),"11:00 AM to 01:00 PM  ")</f>
        <v>11:00 AM to 01:00 PM  </v>
      </c>
      <c r="K439" s="103">
        <f>IFERROR(__xludf.DUMMYFUNCTION("""COMPUTED_VALUE"""),46146.0)</f>
        <v>46146</v>
      </c>
      <c r="L439" s="65" t="str">
        <f>IFERROR(__xludf.DUMMYFUNCTION("""COMPUTED_VALUE""")," ")</f>
        <v> </v>
      </c>
      <c r="M439" s="65" t="str">
        <f>IFERROR(__xludf.DUMMYFUNCTION("""COMPUTED_VALUE"""),"6105 Delmar Blvd Apt. 816")</f>
        <v>6105 Delmar Blvd Apt. 816</v>
      </c>
      <c r="N439" s="65" t="str">
        <f>IFERROR(__xludf.DUMMYFUNCTION("""COMPUTED_VALUE""")," ")</f>
        <v> </v>
      </c>
    </row>
    <row r="440">
      <c r="A440" s="99" t="str">
        <f>IFERROR(__xludf.DUMMYFUNCTION("""COMPUTED_VALUE"""),"https://utrucking.com/admin/orders/6422663790780")</f>
        <v>https://utrucking.com/admin/orders/6422663790780</v>
      </c>
      <c r="B440" s="61" t="str">
        <f>IFERROR(__xludf.DUMMYFUNCTION("""COMPUTED_VALUE"""),"#17520")</f>
        <v>#17520</v>
      </c>
      <c r="C440" s="61" t="str">
        <f>IFERROR(__xludf.DUMMYFUNCTION("""COMPUTED_VALUE"""),"b.raine@wustl.edu")</f>
        <v>b.raine@wustl.edu</v>
      </c>
      <c r="D440" s="61">
        <f>IFERROR(__xludf.DUMMYFUNCTION("""COMPUTED_VALUE"""),9.079031835E9)</f>
        <v>9079031835</v>
      </c>
      <c r="E440" s="61" t="str">
        <f>IFERROR(__xludf.DUMMYFUNCTION("""COMPUTED_VALUE"""),"Michael Borys")</f>
        <v>Michael Borys</v>
      </c>
      <c r="F440" s="61" t="str">
        <f>IFERROR(__xludf.DUMMYFUNCTION("""COMPUTED_VALUE"""),"Raine Borys")</f>
        <v>Raine Borys</v>
      </c>
      <c r="G440" s="61" t="str">
        <f>IFERROR(__xludf.DUMMYFUNCTION("""COMPUTED_VALUE""")," 2 / Included Insurance   - ")</f>
        <v> 2 / Included Insurance   - </v>
      </c>
      <c r="H440" s="61" t="str">
        <f>IFERROR(__xludf.DUMMYFUNCTION("""COMPUTED_VALUE"""),"Umrath  ")</f>
        <v>Umrath  </v>
      </c>
      <c r="I440" s="61" t="str">
        <f>IFERROR(__xludf.DUMMYFUNCTION("""COMPUTED_VALUE"""),"2233-A")</f>
        <v>2233-A</v>
      </c>
      <c r="J440" s="107" t="str">
        <f>IFERROR(__xludf.DUMMYFUNCTION("""COMPUTED_VALUE"""),"11:00 AM to 01:00 PM  ")</f>
        <v>11:00 AM to 01:00 PM  </v>
      </c>
      <c r="K440" s="100">
        <f>IFERROR(__xludf.DUMMYFUNCTION("""COMPUTED_VALUE"""),46148.0)</f>
        <v>46148</v>
      </c>
      <c r="L440" s="61" t="str">
        <f>IFERROR(__xludf.DUMMYFUNCTION("""COMPUTED_VALUE""")," ")</f>
        <v> </v>
      </c>
      <c r="M440" s="61"/>
      <c r="N440" s="61" t="str">
        <f>IFERROR(__xludf.DUMMYFUNCTION("""COMPUTED_VALUE""")," Will be moving back to oncampus housing in late May")</f>
        <v> Will be moving back to oncampus housing in late May</v>
      </c>
    </row>
    <row r="441">
      <c r="A441" s="102" t="str">
        <f>IFERROR(__xludf.DUMMYFUNCTION("""COMPUTED_VALUE"""),"https://utrucking.com/admin/orders/6422679650492")</f>
        <v>https://utrucking.com/admin/orders/6422679650492</v>
      </c>
      <c r="B441" s="65" t="str">
        <f>IFERROR(__xludf.DUMMYFUNCTION("""COMPUTED_VALUE"""),"#17521")</f>
        <v>#17521</v>
      </c>
      <c r="C441" s="65" t="str">
        <f>IFERROR(__xludf.DUMMYFUNCTION("""COMPUTED_VALUE"""),"esmetublin@icloud.com")</f>
        <v>esmetublin@icloud.com</v>
      </c>
      <c r="D441" s="65">
        <f>IFERROR(__xludf.DUMMYFUNCTION("""COMPUTED_VALUE"""),9.175763017E9)</f>
        <v>9175763017</v>
      </c>
      <c r="E441" s="65" t="str">
        <f>IFERROR(__xludf.DUMMYFUNCTION("""COMPUTED_VALUE"""),"Esme Tublin")</f>
        <v>Esme Tublin</v>
      </c>
      <c r="F441" s="65" t="str">
        <f>IFERROR(__xludf.DUMMYFUNCTION("""COMPUTED_VALUE"""),"Esme Tublin ")</f>
        <v>Esme Tublin </v>
      </c>
      <c r="G441" s="65" t="str">
        <f>IFERROR(__xludf.DUMMYFUNCTION("""COMPUTED_VALUE""")," 1 [Included with Registration] / Included Insurance   - ")</f>
        <v> 1 [Included with Registration] / Included Insurance   - </v>
      </c>
      <c r="H441" s="65" t="str">
        <f>IFERROR(__xludf.DUMMYFUNCTION("""COMPUTED_VALUE"""),"Lien  ")</f>
        <v>Lien  </v>
      </c>
      <c r="I441" s="65" t="str">
        <f>IFERROR(__xludf.DUMMYFUNCTION("""COMPUTED_VALUE"""),"1104")</f>
        <v>1104</v>
      </c>
      <c r="J441" s="108" t="str">
        <f>IFERROR(__xludf.DUMMYFUNCTION("""COMPUTED_VALUE"""),"09:00 AM to 11:00 AM  ")</f>
        <v>09:00 AM to 11:00 AM  </v>
      </c>
      <c r="K441" s="103">
        <f>IFERROR(__xludf.DUMMYFUNCTION("""COMPUTED_VALUE"""),46146.0)</f>
        <v>46146</v>
      </c>
      <c r="L441" s="65" t="str">
        <f>IFERROR(__xludf.DUMMYFUNCTION("""COMPUTED_VALUE""")," ")</f>
        <v> </v>
      </c>
      <c r="M441" s="65"/>
      <c r="N441" s="65" t="str">
        <f>IFERROR(__xludf.DUMMYFUNCTION("""COMPUTED_VALUE""")," I'm going to have some things that won't fit in boxed like some dressers and a guitar. ")</f>
        <v> I'm going to have some things that won't fit in boxed like some dressers and a guitar. </v>
      </c>
    </row>
    <row r="442">
      <c r="A442" s="99" t="str">
        <f>IFERROR(__xludf.DUMMYFUNCTION("""COMPUTED_VALUE"""),"https://utrucking.com/admin/orders/6422688792764")</f>
        <v>https://utrucking.com/admin/orders/6422688792764</v>
      </c>
      <c r="B442" s="61" t="str">
        <f>IFERROR(__xludf.DUMMYFUNCTION("""COMPUTED_VALUE"""),"#17522")</f>
        <v>#17522</v>
      </c>
      <c r="C442" s="61" t="str">
        <f>IFERROR(__xludf.DUMMYFUNCTION("""COMPUTED_VALUE"""),"zj24119@gmail.com")</f>
        <v>zj24119@gmail.com</v>
      </c>
      <c r="D442" s="61">
        <f>IFERROR(__xludf.DUMMYFUNCTION("""COMPUTED_VALUE"""),8.402056469E9)</f>
        <v>8402056469</v>
      </c>
      <c r="E442" s="61" t="str">
        <f>IFERROR(__xludf.DUMMYFUNCTION("""COMPUTED_VALUE"""),"Joyce Zhao")</f>
        <v>Joyce Zhao</v>
      </c>
      <c r="F442" s="61" t="str">
        <f>IFERROR(__xludf.DUMMYFUNCTION("""COMPUTED_VALUE"""),"Joyce Zhao")</f>
        <v>Joyce Zhao</v>
      </c>
      <c r="G442" s="61" t="str">
        <f>IFERROR(__xludf.DUMMYFUNCTION("""COMPUTED_VALUE""")," 1 [Included with Registration] / Included Insurance   - ")</f>
        <v> 1 [Included with Registration] / Included Insurance   - </v>
      </c>
      <c r="H442" s="61" t="str">
        <f>IFERROR(__xludf.DUMMYFUNCTION("""COMPUTED_VALUE"""),"Shanedling  ")</f>
        <v>Shanedling  </v>
      </c>
      <c r="I442" s="61" t="str">
        <f>IFERROR(__xludf.DUMMYFUNCTION("""COMPUTED_VALUE"""),"333")</f>
        <v>333</v>
      </c>
      <c r="J442" s="107" t="str">
        <f>IFERROR(__xludf.DUMMYFUNCTION("""COMPUTED_VALUE"""),"03:00 PM to 05:00 PM")</f>
        <v>03:00 PM to 05:00 PM</v>
      </c>
      <c r="K442" s="100">
        <f>IFERROR(__xludf.DUMMYFUNCTION("""COMPUTED_VALUE"""),46142.0)</f>
        <v>46142</v>
      </c>
      <c r="L442" s="61" t="str">
        <f>IFERROR(__xludf.DUMMYFUNCTION("""COMPUTED_VALUE""")," ")</f>
        <v> </v>
      </c>
      <c r="M442" s="61"/>
      <c r="N442" s="61" t="str">
        <f>IFERROR(__xludf.DUMMYFUNCTION("""COMPUTED_VALUE""")," ")</f>
        <v> </v>
      </c>
    </row>
    <row r="443">
      <c r="A443" s="102" t="str">
        <f>IFERROR(__xludf.DUMMYFUNCTION("""COMPUTED_VALUE"""),"https://utrucking.com/admin/orders/6422695051452")</f>
        <v>https://utrucking.com/admin/orders/6422695051452</v>
      </c>
      <c r="B443" s="65" t="str">
        <f>IFERROR(__xludf.DUMMYFUNCTION("""COMPUTED_VALUE"""),"#17524")</f>
        <v>#17524</v>
      </c>
      <c r="C443" s="65" t="str">
        <f>IFERROR(__xludf.DUMMYFUNCTION("""COMPUTED_VALUE"""),"jerryli0706@gmail.com")</f>
        <v>jerryli0706@gmail.com</v>
      </c>
      <c r="D443" s="65">
        <f>IFERROR(__xludf.DUMMYFUNCTION("""COMPUTED_VALUE"""),7.813255368E9)</f>
        <v>7813255368</v>
      </c>
      <c r="E443" s="65" t="str">
        <f>IFERROR(__xludf.DUMMYFUNCTION("""COMPUTED_VALUE"""),"Jerry Li")</f>
        <v>Jerry Li</v>
      </c>
      <c r="F443" s="65" t="str">
        <f>IFERROR(__xludf.DUMMYFUNCTION("""COMPUTED_VALUE"""),"Jerry Li")</f>
        <v>Jerry Li</v>
      </c>
      <c r="G443" s="65" t="str">
        <f>IFERROR(__xludf.DUMMYFUNCTION("""COMPUTED_VALUE""")," 1 [Included with Registration] / Included Insurance   - ")</f>
        <v> 1 [Included with Registration] / Included Insurance   - </v>
      </c>
      <c r="H443" s="65" t="str">
        <f>IFERROR(__xludf.DUMMYFUNCTION("""COMPUTED_VALUE"""),"Lien  ")</f>
        <v>Lien  </v>
      </c>
      <c r="I443" s="65" t="str">
        <f>IFERROR(__xludf.DUMMYFUNCTION("""COMPUTED_VALUE"""),"3313")</f>
        <v>3313</v>
      </c>
      <c r="J443" s="108" t="str">
        <f>IFERROR(__xludf.DUMMYFUNCTION("""COMPUTED_VALUE"""),"10:00 AM to 12:00 PM  ")</f>
        <v>10:00 AM to 12:00 PM  </v>
      </c>
      <c r="K443" s="103">
        <f>IFERROR(__xludf.DUMMYFUNCTION("""COMPUTED_VALUE"""),46149.0)</f>
        <v>46149</v>
      </c>
      <c r="L443" s="65" t="str">
        <f>IFERROR(__xludf.DUMMYFUNCTION("""COMPUTED_VALUE""")," ")</f>
        <v> </v>
      </c>
      <c r="M443" s="65"/>
      <c r="N443" s="65" t="str">
        <f>IFERROR(__xludf.DUMMYFUNCTION("""COMPUTED_VALUE""")," ")</f>
        <v> </v>
      </c>
    </row>
    <row r="444">
      <c r="A444" s="99" t="str">
        <f>IFERROR(__xludf.DUMMYFUNCTION("""COMPUTED_VALUE"""),"https://utrucking.com/admin/orders/6422699835580")</f>
        <v>https://utrucking.com/admin/orders/6422699835580</v>
      </c>
      <c r="B444" s="61" t="str">
        <f>IFERROR(__xludf.DUMMYFUNCTION("""COMPUTED_VALUE"""),"#17525")</f>
        <v>#17525</v>
      </c>
      <c r="C444" s="61" t="str">
        <f>IFERROR(__xludf.DUMMYFUNCTION("""COMPUTED_VALUE"""),"martin.long@live.com")</f>
        <v>martin.long@live.com</v>
      </c>
      <c r="D444" s="61">
        <f>IFERROR(__xludf.DUMMYFUNCTION("""COMPUTED_VALUE"""),4.107079917E9)</f>
        <v>4107079917</v>
      </c>
      <c r="E444" s="61" t="str">
        <f>IFERROR(__xludf.DUMMYFUNCTION("""COMPUTED_VALUE"""),"Martin Long")</f>
        <v>Martin Long</v>
      </c>
      <c r="F444" s="61" t="str">
        <f>IFERROR(__xludf.DUMMYFUNCTION("""COMPUTED_VALUE"""),"Megan Long")</f>
        <v>Megan Long</v>
      </c>
      <c r="G444" s="61" t="str">
        <f>IFERROR(__xludf.DUMMYFUNCTION("""COMPUTED_VALUE""")," 1 [Included with Registration] / Included Insurance   - ")</f>
        <v> 1 [Included with Registration] / Included Insurance   - </v>
      </c>
      <c r="H444" s="61" t="str">
        <f>IFERROR(__xludf.DUMMYFUNCTION("""COMPUTED_VALUE"""),"Beaumont  ")</f>
        <v>Beaumont  </v>
      </c>
      <c r="I444" s="61" t="str">
        <f>IFERROR(__xludf.DUMMYFUNCTION("""COMPUTED_VALUE"""),"204")</f>
        <v>204</v>
      </c>
      <c r="J444" s="107" t="str">
        <f>IFERROR(__xludf.DUMMYFUNCTION("""COMPUTED_VALUE"""),"09:00 AM to 11:00 AM  ")</f>
        <v>09:00 AM to 11:00 AM  </v>
      </c>
      <c r="K444" s="100">
        <f>IFERROR(__xludf.DUMMYFUNCTION("""COMPUTED_VALUE"""),46149.0)</f>
        <v>46149</v>
      </c>
      <c r="L444" s="61" t="str">
        <f>IFERROR(__xludf.DUMMYFUNCTION("""COMPUTED_VALUE""")," ")</f>
        <v> </v>
      </c>
      <c r="M444" s="61"/>
      <c r="N444" s="61" t="str">
        <f>IFERROR(__xludf.DUMMYFUNCTION("""COMPUTED_VALUE""")," I am heading home on the May 6, so I put down May 7 for pickup - but if you want to do it later, that is fine.  In addition to a 2 to 4 boxes, you will find a 3.2 cubic foot mini-fridge and a futon/sofa.   There MAY also be a small coffee table, but once"&amp;" I pack, I may find that it fits into one of the boxes.")</f>
        <v> I am heading home on the May 6, so I put down May 7 for pickup - but if you want to do it later, that is fine.  In addition to a 2 to 4 boxes, you will find a 3.2 cubic foot mini-fridge and a futon/sofa.   There MAY also be a small coffee table, but once I pack, I may find that it fits into one of the boxes.</v>
      </c>
    </row>
    <row r="445">
      <c r="A445" s="102" t="str">
        <f>IFERROR(__xludf.DUMMYFUNCTION("""COMPUTED_VALUE"""),"https://utrucking.com/admin/orders/6422704128188")</f>
        <v>https://utrucking.com/admin/orders/6422704128188</v>
      </c>
      <c r="B445" s="65" t="str">
        <f>IFERROR(__xludf.DUMMYFUNCTION("""COMPUTED_VALUE"""),"#17526")</f>
        <v>#17526</v>
      </c>
      <c r="C445" s="65" t="str">
        <f>IFERROR(__xludf.DUMMYFUNCTION("""COMPUTED_VALUE"""),"hanxuan.w@wustl.edu")</f>
        <v>hanxuan.w@wustl.edu</v>
      </c>
      <c r="D445" s="65">
        <f>IFERROR(__xludf.DUMMYFUNCTION("""COMPUTED_VALUE"""),7.347809985E9)</f>
        <v>7347809985</v>
      </c>
      <c r="E445" s="65" t="str">
        <f>IFERROR(__xludf.DUMMYFUNCTION("""COMPUTED_VALUE"""),"Helen Wang")</f>
        <v>Helen Wang</v>
      </c>
      <c r="F445" s="65" t="str">
        <f>IFERROR(__xludf.DUMMYFUNCTION("""COMPUTED_VALUE"""),"Helen Wang")</f>
        <v>Helen Wang</v>
      </c>
      <c r="G445" s="65" t="str">
        <f>IFERROR(__xludf.DUMMYFUNCTION("""COMPUTED_VALUE""")," 1 [Included with Registration] / Included Insurance   - ")</f>
        <v> 1 [Included with Registration] / Included Insurance   - </v>
      </c>
      <c r="H445" s="65" t="str">
        <f>IFERROR(__xludf.DUMMYFUNCTION("""COMPUTED_VALUE"""),"Hurd  ")</f>
        <v>Hurd  </v>
      </c>
      <c r="I445" s="65" t="str">
        <f>IFERROR(__xludf.DUMMYFUNCTION("""COMPUTED_VALUE"""),"314")</f>
        <v>314</v>
      </c>
      <c r="J445" s="108" t="str">
        <f>IFERROR(__xludf.DUMMYFUNCTION("""COMPUTED_VALUE"""),"09:00 AM to 11:00 AM  ")</f>
        <v>09:00 AM to 11:00 AM  </v>
      </c>
      <c r="K445" s="103">
        <f>IFERROR(__xludf.DUMMYFUNCTION("""COMPUTED_VALUE"""),46149.0)</f>
        <v>46149</v>
      </c>
      <c r="L445" s="65" t="str">
        <f>IFERROR(__xludf.DUMMYFUNCTION("""COMPUTED_VALUE""")," ")</f>
        <v> </v>
      </c>
      <c r="M445" s="65"/>
      <c r="N445" s="65" t="str">
        <f>IFERROR(__xludf.DUMMYFUNCTION("""COMPUTED_VALUE""")," ")</f>
        <v> </v>
      </c>
    </row>
    <row r="446">
      <c r="A446" s="99" t="str">
        <f>IFERROR(__xludf.DUMMYFUNCTION("""COMPUTED_VALUE"""),"https://utrucking.com/admin/orders/6423010246844")</f>
        <v>https://utrucking.com/admin/orders/6423010246844</v>
      </c>
      <c r="B446" s="61" t="str">
        <f>IFERROR(__xludf.DUMMYFUNCTION("""COMPUTED_VALUE"""),"#17528")</f>
        <v>#17528</v>
      </c>
      <c r="C446" s="61" t="str">
        <f>IFERROR(__xludf.DUMMYFUNCTION("""COMPUTED_VALUE"""),"Jennyharris26@gmail.com")</f>
        <v>Jennyharris26@gmail.com</v>
      </c>
      <c r="D446" s="61">
        <f>IFERROR(__xludf.DUMMYFUNCTION("""COMPUTED_VALUE"""),3.478310009E9)</f>
        <v>3478310009</v>
      </c>
      <c r="E446" s="61" t="str">
        <f>IFERROR(__xludf.DUMMYFUNCTION("""COMPUTED_VALUE"""),"jenny Harris")</f>
        <v>jenny Harris</v>
      </c>
      <c r="F446" s="61" t="str">
        <f>IFERROR(__xludf.DUMMYFUNCTION("""COMPUTED_VALUE"""),"Emily Faber")</f>
        <v>Emily Faber</v>
      </c>
      <c r="G446" s="61" t="str">
        <f>IFERROR(__xludf.DUMMYFUNCTION("""COMPUTED_VALUE""")," 1 [Included with Registration] / $500 of Additional Coverage   - ")</f>
        <v> 1 [Included with Registration] / $500 of Additional Coverage   - </v>
      </c>
      <c r="H446" s="61" t="str">
        <f>IFERROR(__xludf.DUMMYFUNCTION("""COMPUTED_VALUE"""),"Millbrook Bldg. 4  ")</f>
        <v>Millbrook Bldg. 4  </v>
      </c>
      <c r="I446" s="61" t="str">
        <f>IFERROR(__xludf.DUMMYFUNCTION("""COMPUTED_VALUE"""),"103")</f>
        <v>103</v>
      </c>
      <c r="J446" s="107" t="str">
        <f>IFERROR(__xludf.DUMMYFUNCTION("""COMPUTED_VALUE"""),"03:00 PM to 05:00 PM")</f>
        <v>03:00 PM to 05:00 PM</v>
      </c>
      <c r="K446" s="100">
        <f>IFERROR(__xludf.DUMMYFUNCTION("""COMPUTED_VALUE"""),46147.0)</f>
        <v>46147</v>
      </c>
      <c r="L446" s="61" t="str">
        <f>IFERROR(__xludf.DUMMYFUNCTION("""COMPUTED_VALUE""")," ")</f>
        <v> </v>
      </c>
      <c r="M446" s="61"/>
      <c r="N446" s="61" t="str">
        <f>IFERROR(__xludf.DUMMYFUNCTION("""COMPUTED_VALUE""")," Some stuff will be shipped home and some will go to storage. thanks! ")</f>
        <v> Some stuff will be shipped home and some will go to storage. thanks! </v>
      </c>
    </row>
    <row r="447">
      <c r="A447" s="102" t="str">
        <f>IFERROR(__xludf.DUMMYFUNCTION("""COMPUTED_VALUE"""),"https://utrucking.com/admin/orders/6423021682876")</f>
        <v>https://utrucking.com/admin/orders/6423021682876</v>
      </c>
      <c r="B447" s="65" t="str">
        <f>IFERROR(__xludf.DUMMYFUNCTION("""COMPUTED_VALUE"""),"#17529")</f>
        <v>#17529</v>
      </c>
      <c r="C447" s="65" t="str">
        <f>IFERROR(__xludf.DUMMYFUNCTION("""COMPUTED_VALUE"""),"orthovann@yahoo.com")</f>
        <v>orthovann@yahoo.com</v>
      </c>
      <c r="D447" s="65">
        <f>IFERROR(__xludf.DUMMYFUNCTION("""COMPUTED_VALUE"""),2.027469044E9)</f>
        <v>2027469044</v>
      </c>
      <c r="E447" s="65" t="str">
        <f>IFERROR(__xludf.DUMMYFUNCTION("""COMPUTED_VALUE"""),"Mark Vann")</f>
        <v>Mark Vann</v>
      </c>
      <c r="F447" s="65" t="str">
        <f>IFERROR(__xludf.DUMMYFUNCTION("""COMPUTED_VALUE"""),"Mark Vann")</f>
        <v>Mark Vann</v>
      </c>
      <c r="G447" s="65" t="str">
        <f>IFERROR(__xludf.DUMMYFUNCTION("""COMPUTED_VALUE""")," 1 [Included with Registration] / Included Insurance   - ")</f>
        <v> 1 [Included with Registration] / Included Insurance   - </v>
      </c>
      <c r="H447" s="65" t="str">
        <f>IFERROR(__xludf.DUMMYFUNCTION("""COMPUTED_VALUE"""),"Dardick  ")</f>
        <v>Dardick  </v>
      </c>
      <c r="I447" s="65" t="str">
        <f>IFERROR(__xludf.DUMMYFUNCTION("""COMPUTED_VALUE"""),"4418")</f>
        <v>4418</v>
      </c>
      <c r="J447" s="108" t="str">
        <f>IFERROR(__xludf.DUMMYFUNCTION("""COMPUTED_VALUE"""),"10:00 AM to 12:00 PM  ")</f>
        <v>10:00 AM to 12:00 PM  </v>
      </c>
      <c r="K447" s="103">
        <f>IFERROR(__xludf.DUMMYFUNCTION("""COMPUTED_VALUE"""),46149.0)</f>
        <v>46149</v>
      </c>
      <c r="L447" s="65" t="str">
        <f>IFERROR(__xludf.DUMMYFUNCTION("""COMPUTED_VALUE""")," ")</f>
        <v> </v>
      </c>
      <c r="M447" s="65"/>
      <c r="N447" s="65" t="str">
        <f>IFERROR(__xludf.DUMMYFUNCTION("""COMPUTED_VALUE""")," ")</f>
        <v> </v>
      </c>
    </row>
    <row r="448">
      <c r="A448" s="99" t="str">
        <f>IFERROR(__xludf.DUMMYFUNCTION("""COMPUTED_VALUE"""),"https://utrucking.com/admin/orders/6423088595132")</f>
        <v>https://utrucking.com/admin/orders/6423088595132</v>
      </c>
      <c r="B448" s="61" t="str">
        <f>IFERROR(__xludf.DUMMYFUNCTION("""COMPUTED_VALUE"""),"#17530")</f>
        <v>#17530</v>
      </c>
      <c r="C448" s="61" t="str">
        <f>IFERROR(__xludf.DUMMYFUNCTION("""COMPUTED_VALUE"""),"n.k.sobel@wustl.edu")</f>
        <v>n.k.sobel@wustl.edu</v>
      </c>
      <c r="D448" s="61">
        <f>IFERROR(__xludf.DUMMYFUNCTION("""COMPUTED_VALUE"""),6.464838117E9)</f>
        <v>6464838117</v>
      </c>
      <c r="E448" s="61" t="str">
        <f>IFERROR(__xludf.DUMMYFUNCTION("""COMPUTED_VALUE"""),"Karen Sobel")</f>
        <v>Karen Sobel</v>
      </c>
      <c r="F448" s="61" t="str">
        <f>IFERROR(__xludf.DUMMYFUNCTION("""COMPUTED_VALUE"""),"Noa Sobel")</f>
        <v>Noa Sobel</v>
      </c>
      <c r="G448" s="61" t="str">
        <f>IFERROR(__xludf.DUMMYFUNCTION("""COMPUTED_VALUE""")," 1 [Included with Registration] / Included Insurance   - ")</f>
        <v> 1 [Included with Registration] / Included Insurance   - </v>
      </c>
      <c r="H448" s="61" t="str">
        <f>IFERROR(__xludf.DUMMYFUNCTION("""COMPUTED_VALUE"""),"Mudd  ")</f>
        <v>Mudd  </v>
      </c>
      <c r="I448" s="61" t="str">
        <f>IFERROR(__xludf.DUMMYFUNCTION("""COMPUTED_VALUE"""),"372")</f>
        <v>372</v>
      </c>
      <c r="J448" s="107" t="str">
        <f>IFERROR(__xludf.DUMMYFUNCTION("""COMPUTED_VALUE"""),"09:00 AM to 11:00 AM  ")</f>
        <v>09:00 AM to 11:00 AM  </v>
      </c>
      <c r="K448" s="100">
        <f>IFERROR(__xludf.DUMMYFUNCTION("""COMPUTED_VALUE"""),46148.0)</f>
        <v>46148</v>
      </c>
      <c r="L448" s="61" t="str">
        <f>IFERROR(__xludf.DUMMYFUNCTION("""COMPUTED_VALUE""")," ")</f>
        <v> </v>
      </c>
      <c r="M448" s="61"/>
      <c r="N448" s="61" t="str">
        <f>IFERROR(__xludf.DUMMYFUNCTION("""COMPUTED_VALUE""")," ")</f>
        <v> </v>
      </c>
    </row>
    <row r="449">
      <c r="A449" s="102" t="str">
        <f>IFERROR(__xludf.DUMMYFUNCTION("""COMPUTED_VALUE"""),"https://utrucking.com/admin/orders/6423108288700")</f>
        <v>https://utrucking.com/admin/orders/6423108288700</v>
      </c>
      <c r="B449" s="65" t="str">
        <f>IFERROR(__xludf.DUMMYFUNCTION("""COMPUTED_VALUE"""),"#17531")</f>
        <v>#17531</v>
      </c>
      <c r="C449" s="65" t="str">
        <f>IFERROR(__xludf.DUMMYFUNCTION("""COMPUTED_VALUE"""),"e.s.palmer@wustl.edu")</f>
        <v>e.s.palmer@wustl.edu</v>
      </c>
      <c r="D449" s="65">
        <f>IFERROR(__xludf.DUMMYFUNCTION("""COMPUTED_VALUE"""),6.502697346E9)</f>
        <v>6502697346</v>
      </c>
      <c r="E449" s="65" t="str">
        <f>IFERROR(__xludf.DUMMYFUNCTION("""COMPUTED_VALUE"""),"Jennifer Feller")</f>
        <v>Jennifer Feller</v>
      </c>
      <c r="F449" s="65" t="str">
        <f>IFERROR(__xludf.DUMMYFUNCTION("""COMPUTED_VALUE"""),"Eleanor Palmer")</f>
        <v>Eleanor Palmer</v>
      </c>
      <c r="G449" s="65" t="str">
        <f>IFERROR(__xludf.DUMMYFUNCTION("""COMPUTED_VALUE""")," 1 [Included with Registration] / Included Insurance   - ")</f>
        <v> 1 [Included with Registration] / Included Insurance   - </v>
      </c>
      <c r="H449" s="65" t="str">
        <f>IFERROR(__xludf.DUMMYFUNCTION("""COMPUTED_VALUE"""),"Village House  ")</f>
        <v>Village House  </v>
      </c>
      <c r="I449" s="65" t="str">
        <f>IFERROR(__xludf.DUMMYFUNCTION("""COMPUTED_VALUE"""),"2081-a")</f>
        <v>2081-a</v>
      </c>
      <c r="J449" s="108" t="str">
        <f>IFERROR(__xludf.DUMMYFUNCTION("""COMPUTED_VALUE"""),"09:00 AM to 11:00 AM  ")</f>
        <v>09:00 AM to 11:00 AM  </v>
      </c>
      <c r="K449" s="103">
        <f>IFERROR(__xludf.DUMMYFUNCTION("""COMPUTED_VALUE"""),46149.0)</f>
        <v>46149</v>
      </c>
      <c r="L449" s="65" t="str">
        <f>IFERROR(__xludf.DUMMYFUNCTION("""COMPUTED_VALUE""")," ")</f>
        <v> </v>
      </c>
      <c r="M449" s="65"/>
      <c r="N449" s="65" t="str">
        <f>IFERROR(__xludf.DUMMYFUNCTION("""COMPUTED_VALUE""")," ")</f>
        <v> </v>
      </c>
    </row>
    <row r="450">
      <c r="A450" s="99" t="str">
        <f>IFERROR(__xludf.DUMMYFUNCTION("""COMPUTED_VALUE"""),"https://utrucking.com/admin/orders/6423131488444")</f>
        <v>https://utrucking.com/admin/orders/6423131488444</v>
      </c>
      <c r="B450" s="61" t="str">
        <f>IFERROR(__xludf.DUMMYFUNCTION("""COMPUTED_VALUE"""),"#17532")</f>
        <v>#17532</v>
      </c>
      <c r="C450" s="61" t="str">
        <f>IFERROR(__xludf.DUMMYFUNCTION("""COMPUTED_VALUE"""),"tskb2006@gmail.com")</f>
        <v>tskb2006@gmail.com</v>
      </c>
      <c r="D450" s="61">
        <f>IFERROR(__xludf.DUMMYFUNCTION("""COMPUTED_VALUE"""),9.175206775E9)</f>
        <v>9175206775</v>
      </c>
      <c r="E450" s="61" t="str">
        <f>IFERROR(__xludf.DUMMYFUNCTION("""COMPUTED_VALUE"""),"Talia Kohn-Blank")</f>
        <v>Talia Kohn-Blank</v>
      </c>
      <c r="F450" s="61" t="str">
        <f>IFERROR(__xludf.DUMMYFUNCTION("""COMPUTED_VALUE"""),"Talia Kohn-Blank")</f>
        <v>Talia Kohn-Blank</v>
      </c>
      <c r="G450" s="61" t="str">
        <f>IFERROR(__xludf.DUMMYFUNCTION("""COMPUTED_VALUE""")," 1 [Included with Registration] / Included Insurance   - ")</f>
        <v> 1 [Included with Registration] / Included Insurance   - </v>
      </c>
      <c r="H450" s="61" t="str">
        <f>IFERROR(__xludf.DUMMYFUNCTION("""COMPUTED_VALUE"""),"Danforth  ")</f>
        <v>Danforth  </v>
      </c>
      <c r="I450" s="61" t="str">
        <f>IFERROR(__xludf.DUMMYFUNCTION("""COMPUTED_VALUE"""),"2221")</f>
        <v>2221</v>
      </c>
      <c r="J450" s="107" t="str">
        <f>IFERROR(__xludf.DUMMYFUNCTION("""COMPUTED_VALUE"""),"03:00 PM to 05:00 PM")</f>
        <v>03:00 PM to 05:00 PM</v>
      </c>
      <c r="K450" s="100">
        <f>IFERROR(__xludf.DUMMYFUNCTION("""COMPUTED_VALUE"""),46148.0)</f>
        <v>46148</v>
      </c>
      <c r="L450" s="61" t="str">
        <f>IFERROR(__xludf.DUMMYFUNCTION("""COMPUTED_VALUE""")," ")</f>
        <v> </v>
      </c>
      <c r="M450" s="61"/>
      <c r="N450" s="61" t="str">
        <f>IFERROR(__xludf.DUMMYFUNCTION("""COMPUTED_VALUE""")," ")</f>
        <v> </v>
      </c>
    </row>
    <row r="451">
      <c r="A451" s="102" t="str">
        <f>IFERROR(__xludf.DUMMYFUNCTION("""COMPUTED_VALUE"""),"https://utrucking.com/admin/orders/6423134765244")</f>
        <v>https://utrucking.com/admin/orders/6423134765244</v>
      </c>
      <c r="B451" s="65" t="str">
        <f>IFERROR(__xludf.DUMMYFUNCTION("""COMPUTED_VALUE"""),"#17533")</f>
        <v>#17533</v>
      </c>
      <c r="C451" s="65" t="str">
        <f>IFERROR(__xludf.DUMMYFUNCTION("""COMPUTED_VALUE"""),"brendan.rubel@gmail.com")</f>
        <v>brendan.rubel@gmail.com</v>
      </c>
      <c r="D451" s="65">
        <f>IFERROR(__xludf.DUMMYFUNCTION("""COMPUTED_VALUE"""),3.392224332E9)</f>
        <v>3392224332</v>
      </c>
      <c r="E451" s="65" t="str">
        <f>IFERROR(__xludf.DUMMYFUNCTION("""COMPUTED_VALUE"""),"Brendan Rubel")</f>
        <v>Brendan Rubel</v>
      </c>
      <c r="F451" s="65" t="str">
        <f>IFERROR(__xludf.DUMMYFUNCTION("""COMPUTED_VALUE"""),"Brendan Rubel")</f>
        <v>Brendan Rubel</v>
      </c>
      <c r="G451" s="65" t="str">
        <f>IFERROR(__xludf.DUMMYFUNCTION("""COMPUTED_VALUE""")," 1 [Included with Registration] / Included Insurance   - ")</f>
        <v> 1 [Included with Registration] / Included Insurance   - </v>
      </c>
      <c r="H451" s="65" t="str">
        <f>IFERROR(__xludf.DUMMYFUNCTION("""COMPUTED_VALUE"""),"6639 University Drive  ")</f>
        <v>6639 University Drive  </v>
      </c>
      <c r="I451" s="65" t="str">
        <f>IFERROR(__xludf.DUMMYFUNCTION("""COMPUTED_VALUE"""),"2W-B")</f>
        <v>2W-B</v>
      </c>
      <c r="J451" s="108" t="str">
        <f>IFERROR(__xludf.DUMMYFUNCTION("""COMPUTED_VALUE"""),"03:00 PM to 05:00 PM")</f>
        <v>03:00 PM to 05:00 PM</v>
      </c>
      <c r="K451" s="103">
        <f>IFERROR(__xludf.DUMMYFUNCTION("""COMPUTED_VALUE"""),46149.0)</f>
        <v>46149</v>
      </c>
      <c r="L451" s="65" t="str">
        <f>IFERROR(__xludf.DUMMYFUNCTION("""COMPUTED_VALUE""")," ")</f>
        <v> </v>
      </c>
      <c r="M451" s="65"/>
      <c r="N451" s="65" t="str">
        <f>IFERROR(__xludf.DUMMYFUNCTION("""COMPUTED_VALUE""")," ")</f>
        <v> </v>
      </c>
    </row>
    <row r="452">
      <c r="A452" s="99" t="str">
        <f>IFERROR(__xludf.DUMMYFUNCTION("""COMPUTED_VALUE"""),"https://utrucking.com/admin/orders/6423134863548")</f>
        <v>https://utrucking.com/admin/orders/6423134863548</v>
      </c>
      <c r="B452" s="61" t="str">
        <f>IFERROR(__xludf.DUMMYFUNCTION("""COMPUTED_VALUE"""),"#17534")</f>
        <v>#17534</v>
      </c>
      <c r="C452" s="61" t="str">
        <f>IFERROR(__xludf.DUMMYFUNCTION("""COMPUTED_VALUE"""),"arushi.g@wustl.edu")</f>
        <v>arushi.g@wustl.edu</v>
      </c>
      <c r="D452" s="61">
        <f>IFERROR(__xludf.DUMMYFUNCTION("""COMPUTED_VALUE"""),9.082108801E9)</f>
        <v>9082108801</v>
      </c>
      <c r="E452" s="61" t="str">
        <f>IFERROR(__xludf.DUMMYFUNCTION("""COMPUTED_VALUE"""),"Arushi Gupta")</f>
        <v>Arushi Gupta</v>
      </c>
      <c r="F452" s="61" t="str">
        <f>IFERROR(__xludf.DUMMYFUNCTION("""COMPUTED_VALUE"""),"Arushi Gupta")</f>
        <v>Arushi Gupta</v>
      </c>
      <c r="G452" s="61" t="str">
        <f>IFERROR(__xludf.DUMMYFUNCTION("""COMPUTED_VALUE""")," 1 [Included with Registration] / Included Insurance   - ")</f>
        <v> 1 [Included with Registration] / Included Insurance   - </v>
      </c>
      <c r="H452" s="61" t="str">
        <f>IFERROR(__xludf.DUMMYFUNCTION("""COMPUTED_VALUE"""),"Village East  ")</f>
        <v>Village East  </v>
      </c>
      <c r="I452" s="61" t="str">
        <f>IFERROR(__xludf.DUMMYFUNCTION("""COMPUTED_VALUE"""),"2094")</f>
        <v>2094</v>
      </c>
      <c r="J452" s="107" t="str">
        <f>IFERROR(__xludf.DUMMYFUNCTION("""COMPUTED_VALUE"""),"09:00 AM to 11:00 AM  ")</f>
        <v>09:00 AM to 11:00 AM  </v>
      </c>
      <c r="K452" s="100">
        <f>IFERROR(__xludf.DUMMYFUNCTION("""COMPUTED_VALUE"""),46147.0)</f>
        <v>46147</v>
      </c>
      <c r="L452" s="61" t="str">
        <f>IFERROR(__xludf.DUMMYFUNCTION("""COMPUTED_VALUE""")," ")</f>
        <v> </v>
      </c>
      <c r="M452" s="61"/>
      <c r="N452" s="61" t="str">
        <f>IFERROR(__xludf.DUMMYFUNCTION("""COMPUTED_VALUE""")," ")</f>
        <v> </v>
      </c>
    </row>
    <row r="453">
      <c r="A453" s="102" t="str">
        <f>IFERROR(__xludf.DUMMYFUNCTION("""COMPUTED_VALUE"""),"https://utrucking.com/admin/orders/6423156064444")</f>
        <v>https://utrucking.com/admin/orders/6423156064444</v>
      </c>
      <c r="B453" s="65" t="str">
        <f>IFERROR(__xludf.DUMMYFUNCTION("""COMPUTED_VALUE"""),"#17535")</f>
        <v>#17535</v>
      </c>
      <c r="C453" s="65" t="str">
        <f>IFERROR(__xludf.DUMMYFUNCTION("""COMPUTED_VALUE"""),"a.a.leiser@wustl.edu")</f>
        <v>a.a.leiser@wustl.edu</v>
      </c>
      <c r="D453" s="65">
        <f>IFERROR(__xludf.DUMMYFUNCTION("""COMPUTED_VALUE"""),3.054976707E9)</f>
        <v>3054976707</v>
      </c>
      <c r="E453" s="65" t="str">
        <f>IFERROR(__xludf.DUMMYFUNCTION("""COMPUTED_VALUE"""),"Alexandra Leiser")</f>
        <v>Alexandra Leiser</v>
      </c>
      <c r="F453" s="65" t="str">
        <f>IFERROR(__xludf.DUMMYFUNCTION("""COMPUTED_VALUE"""),"Alexandra Leiser")</f>
        <v>Alexandra Leiser</v>
      </c>
      <c r="G453" s="65" t="str">
        <f>IFERROR(__xludf.DUMMYFUNCTION("""COMPUTED_VALUE""")," 1 [Included with Registration] / Included Insurance   - ")</f>
        <v> 1 [Included with Registration] / Included Insurance   - </v>
      </c>
      <c r="H453" s="65" t="str">
        <f>IFERROR(__xludf.DUMMYFUNCTION("""COMPUTED_VALUE"""),"Danforth  ")</f>
        <v>Danforth  </v>
      </c>
      <c r="I453" s="65" t="str">
        <f>IFERROR(__xludf.DUMMYFUNCTION("""COMPUTED_VALUE"""),"4428")</f>
        <v>4428</v>
      </c>
      <c r="J453" s="108" t="str">
        <f>IFERROR(__xludf.DUMMYFUNCTION("""COMPUTED_VALUE"""),"03:00 PM to 05:00 PM")</f>
        <v>03:00 PM to 05:00 PM</v>
      </c>
      <c r="K453" s="103">
        <f>IFERROR(__xludf.DUMMYFUNCTION("""COMPUTED_VALUE"""),46148.0)</f>
        <v>46148</v>
      </c>
      <c r="L453" s="65" t="str">
        <f>IFERROR(__xludf.DUMMYFUNCTION("""COMPUTED_VALUE""")," ")</f>
        <v> </v>
      </c>
      <c r="M453" s="65"/>
      <c r="N453" s="65" t="str">
        <f>IFERROR(__xludf.DUMMYFUNCTION("""COMPUTED_VALUE""")," ")</f>
        <v> </v>
      </c>
    </row>
    <row r="454">
      <c r="A454" s="99" t="str">
        <f>IFERROR(__xludf.DUMMYFUNCTION("""COMPUTED_VALUE"""),"https://utrucking.com/admin/orders/6423176609980")</f>
        <v>https://utrucking.com/admin/orders/6423176609980</v>
      </c>
      <c r="B454" s="61" t="str">
        <f>IFERROR(__xludf.DUMMYFUNCTION("""COMPUTED_VALUE"""),"#17536")</f>
        <v>#17536</v>
      </c>
      <c r="C454" s="61" t="str">
        <f>IFERROR(__xludf.DUMMYFUNCTION("""COMPUTED_VALUE"""),"clairemurphyrigdon@icloud.com")</f>
        <v>clairemurphyrigdon@icloud.com</v>
      </c>
      <c r="D454" s="61">
        <f>IFERROR(__xludf.DUMMYFUNCTION("""COMPUTED_VALUE"""),2.152018284E9)</f>
        <v>2152018284</v>
      </c>
      <c r="E454" s="61" t="str">
        <f>IFERROR(__xludf.DUMMYFUNCTION("""COMPUTED_VALUE"""),"Margaret Murphy")</f>
        <v>Margaret Murphy</v>
      </c>
      <c r="F454" s="61" t="str">
        <f>IFERROR(__xludf.DUMMYFUNCTION("""COMPUTED_VALUE"""),"Claire Rigdon")</f>
        <v>Claire Rigdon</v>
      </c>
      <c r="G454" s="61" t="str">
        <f>IFERROR(__xludf.DUMMYFUNCTION("""COMPUTED_VALUE""")," 1 [Included with Registration] / Included Insurance   - ")</f>
        <v> 1 [Included with Registration] / Included Insurance   - </v>
      </c>
      <c r="H454" s="61" t="str">
        <f>IFERROR(__xludf.DUMMYFUNCTION("""COMPUTED_VALUE"""),"Danforth  ")</f>
        <v>Danforth  </v>
      </c>
      <c r="I454" s="61" t="str">
        <f>IFERROR(__xludf.DUMMYFUNCTION("""COMPUTED_VALUE"""),"4415")</f>
        <v>4415</v>
      </c>
      <c r="J454" s="107" t="str">
        <f>IFERROR(__xludf.DUMMYFUNCTION("""COMPUTED_VALUE"""),"03:00 PM to 05:00 PM")</f>
        <v>03:00 PM to 05:00 PM</v>
      </c>
      <c r="K454" s="100">
        <f>IFERROR(__xludf.DUMMYFUNCTION("""COMPUTED_VALUE"""),46137.0)</f>
        <v>46137</v>
      </c>
      <c r="L454" s="61" t="str">
        <f>IFERROR(__xludf.DUMMYFUNCTION("""COMPUTED_VALUE""")," ")</f>
        <v> </v>
      </c>
      <c r="M454" s="61"/>
      <c r="N454" s="61" t="str">
        <f>IFERROR(__xludf.DUMMYFUNCTION("""COMPUTED_VALUE""")," ")</f>
        <v> </v>
      </c>
    </row>
    <row r="455">
      <c r="A455" s="102" t="str">
        <f>IFERROR(__xludf.DUMMYFUNCTION("""COMPUTED_VALUE"""),"https://utrucking.com/admin/orders/6423244079292")</f>
        <v>https://utrucking.com/admin/orders/6423244079292</v>
      </c>
      <c r="B455" s="65" t="str">
        <f>IFERROR(__xludf.DUMMYFUNCTION("""COMPUTED_VALUE"""),"#17538")</f>
        <v>#17538</v>
      </c>
      <c r="C455" s="65" t="str">
        <f>IFERROR(__xludf.DUMMYFUNCTION("""COMPUTED_VALUE"""),"helencheng0918@gmail.com")</f>
        <v>helencheng0918@gmail.com</v>
      </c>
      <c r="D455" s="65">
        <f>IFERROR(__xludf.DUMMYFUNCTION("""COMPUTED_VALUE"""),6.506448954E9)</f>
        <v>6506448954</v>
      </c>
      <c r="E455" s="65" t="str">
        <f>IFERROR(__xludf.DUMMYFUNCTION("""COMPUTED_VALUE"""),"Helen Cheng")</f>
        <v>Helen Cheng</v>
      </c>
      <c r="F455" s="65" t="str">
        <f>IFERROR(__xludf.DUMMYFUNCTION("""COMPUTED_VALUE"""),"Kerry Frey")</f>
        <v>Kerry Frey</v>
      </c>
      <c r="G455" s="65" t="str">
        <f>IFERROR(__xludf.DUMMYFUNCTION("""COMPUTED_VALUE""")," 1 [Included with Registration] / Included Insurance   - ")</f>
        <v> 1 [Included with Registration] / Included Insurance   - </v>
      </c>
      <c r="H455" s="65" t="str">
        <f>IFERROR(__xludf.DUMMYFUNCTION("""COMPUTED_VALUE"""),"Danforth  ")</f>
        <v>Danforth  </v>
      </c>
      <c r="I455" s="65" t="str">
        <f>IFERROR(__xludf.DUMMYFUNCTION("""COMPUTED_VALUE"""),"4411")</f>
        <v>4411</v>
      </c>
      <c r="J455" s="108" t="str">
        <f>IFERROR(__xludf.DUMMYFUNCTION("""COMPUTED_VALUE"""),"10:00 AM to 12:00 PM  ")</f>
        <v>10:00 AM to 12:00 PM  </v>
      </c>
      <c r="K455" s="103">
        <f>IFERROR(__xludf.DUMMYFUNCTION("""COMPUTED_VALUE"""),46149.0)</f>
        <v>46149</v>
      </c>
      <c r="L455" s="65" t="str">
        <f>IFERROR(__xludf.DUMMYFUNCTION("""COMPUTED_VALUE""")," ")</f>
        <v> </v>
      </c>
      <c r="M455" s="65"/>
      <c r="N455" s="65" t="str">
        <f>IFERROR(__xludf.DUMMYFUNCTION("""COMPUTED_VALUE""")," will move into Gregg 1011a in early August")</f>
        <v> will move into Gregg 1011a in early August</v>
      </c>
    </row>
    <row r="456">
      <c r="A456" s="99" t="str">
        <f>IFERROR(__xludf.DUMMYFUNCTION("""COMPUTED_VALUE"""),"https://utrucking.com/admin/orders/6423412146364")</f>
        <v>https://utrucking.com/admin/orders/6423412146364</v>
      </c>
      <c r="B456" s="61" t="str">
        <f>IFERROR(__xludf.DUMMYFUNCTION("""COMPUTED_VALUE"""),"#17540")</f>
        <v>#17540</v>
      </c>
      <c r="C456" s="61" t="str">
        <f>IFERROR(__xludf.DUMMYFUNCTION("""COMPUTED_VALUE"""),"jiayangx@wustl.edu")</f>
        <v>jiayangx@wustl.edu</v>
      </c>
      <c r="D456" s="61">
        <f>IFERROR(__xludf.DUMMYFUNCTION("""COMPUTED_VALUE"""),3.146578516E9)</f>
        <v>3146578516</v>
      </c>
      <c r="E456" s="61" t="str">
        <f>IFERROR(__xludf.DUMMYFUNCTION("""COMPUTED_VALUE"""),"Jiayang Xu")</f>
        <v>Jiayang Xu</v>
      </c>
      <c r="F456" s="61" t="str">
        <f>IFERROR(__xludf.DUMMYFUNCTION("""COMPUTED_VALUE"""),"Jiayang Xu")</f>
        <v>Jiayang Xu</v>
      </c>
      <c r="G456" s="61" t="str">
        <f>IFERROR(__xludf.DUMMYFUNCTION("""COMPUTED_VALUE""")," 1 [Included with Registration] / Included Insurance   - ")</f>
        <v> 1 [Included with Registration] / Included Insurance   - </v>
      </c>
      <c r="H456" s="61" t="str">
        <f>IFERROR(__xludf.DUMMYFUNCTION("""COMPUTED_VALUE"""),"Koenig  ")</f>
        <v>Koenig  </v>
      </c>
      <c r="I456" s="61" t="str">
        <f>IFERROR(__xludf.DUMMYFUNCTION("""COMPUTED_VALUE"""),"3313")</f>
        <v>3313</v>
      </c>
      <c r="J456" s="107" t="str">
        <f>IFERROR(__xludf.DUMMYFUNCTION("""COMPUTED_VALUE"""),"10:00 AM to 12:00 PM  ")</f>
        <v>10:00 AM to 12:00 PM  </v>
      </c>
      <c r="K456" s="100">
        <f>IFERROR(__xludf.DUMMYFUNCTION("""COMPUTED_VALUE"""),46147.0)</f>
        <v>46147</v>
      </c>
      <c r="L456" s="61" t="str">
        <f>IFERROR(__xludf.DUMMYFUNCTION("""COMPUTED_VALUE""")," ")</f>
        <v> </v>
      </c>
      <c r="M456" s="61"/>
      <c r="N456" s="61" t="str">
        <f>IFERROR(__xludf.DUMMYFUNCTION("""COMPUTED_VALUE""")," ")</f>
        <v> </v>
      </c>
    </row>
    <row r="457">
      <c r="A457" s="102" t="str">
        <f>IFERROR(__xludf.DUMMYFUNCTION("""COMPUTED_VALUE"""),"https://utrucking.com/admin/orders/6423443439804")</f>
        <v>https://utrucking.com/admin/orders/6423443439804</v>
      </c>
      <c r="B457" s="65" t="str">
        <f>IFERROR(__xludf.DUMMYFUNCTION("""COMPUTED_VALUE"""),"#17541")</f>
        <v>#17541</v>
      </c>
      <c r="C457" s="65" t="str">
        <f>IFERROR(__xludf.DUMMYFUNCTION("""COMPUTED_VALUE"""),"chandaspringer@gmail.com")</f>
        <v>chandaspringer@gmail.com</v>
      </c>
      <c r="D457" s="65">
        <f>IFERROR(__xludf.DUMMYFUNCTION("""COMPUTED_VALUE"""),9.174471523E9)</f>
        <v>9174471523</v>
      </c>
      <c r="E457" s="65" t="str">
        <f>IFERROR(__xludf.DUMMYFUNCTION("""COMPUTED_VALUE"""),"Chanda Springer")</f>
        <v>Chanda Springer</v>
      </c>
      <c r="F457" s="65" t="str">
        <f>IFERROR(__xludf.DUMMYFUNCTION("""COMPUTED_VALUE"""),"Giovanna Springer")</f>
        <v>Giovanna Springer</v>
      </c>
      <c r="G457" s="65" t="str">
        <f>IFERROR(__xludf.DUMMYFUNCTION("""COMPUTED_VALUE""")," 1 [Included with Registration] / Included Insurance   - ")</f>
        <v> 1 [Included with Registration] / Included Insurance   - </v>
      </c>
      <c r="H457" s="65" t="str">
        <f>IFERROR(__xludf.DUMMYFUNCTION("""COMPUTED_VALUE"""),"Umrath  ")</f>
        <v>Umrath  </v>
      </c>
      <c r="I457" s="65" t="str">
        <f>IFERROR(__xludf.DUMMYFUNCTION("""COMPUTED_VALUE"""),"2235")</f>
        <v>2235</v>
      </c>
      <c r="J457" s="108" t="str">
        <f>IFERROR(__xludf.DUMMYFUNCTION("""COMPUTED_VALUE"""),"09:00 AM to 11:00 AM  ")</f>
        <v>09:00 AM to 11:00 AM  </v>
      </c>
      <c r="K457" s="103">
        <f>IFERROR(__xludf.DUMMYFUNCTION("""COMPUTED_VALUE"""),46137.0)</f>
        <v>46137</v>
      </c>
      <c r="L457" s="65" t="str">
        <f>IFERROR(__xludf.DUMMYFUNCTION("""COMPUTED_VALUE""")," ")</f>
        <v> </v>
      </c>
      <c r="M457" s="65"/>
      <c r="N457" s="65" t="str">
        <f>IFERROR(__xludf.DUMMYFUNCTION("""COMPUTED_VALUE""")," ")</f>
        <v> </v>
      </c>
    </row>
    <row r="458">
      <c r="A458" s="99" t="str">
        <f>IFERROR(__xludf.DUMMYFUNCTION("""COMPUTED_VALUE"""),"https://utrucking.com/admin/orders/6423660331196")</f>
        <v>https://utrucking.com/admin/orders/6423660331196</v>
      </c>
      <c r="B458" s="61" t="str">
        <f>IFERROR(__xludf.DUMMYFUNCTION("""COMPUTED_VALUE"""),"#17542")</f>
        <v>#17542</v>
      </c>
      <c r="C458" s="61" t="str">
        <f>IFERROR(__xludf.DUMMYFUNCTION("""COMPUTED_VALUE"""),"chrismaher03@gmail.com")</f>
        <v>chrismaher03@gmail.com</v>
      </c>
      <c r="D458" s="61">
        <f>IFERROR(__xludf.DUMMYFUNCTION("""COMPUTED_VALUE"""),4.045786708E9)</f>
        <v>4045786708</v>
      </c>
      <c r="E458" s="61" t="str">
        <f>IFERROR(__xludf.DUMMYFUNCTION("""COMPUTED_VALUE"""),"Chris Maher")</f>
        <v>Chris Maher</v>
      </c>
      <c r="F458" s="61" t="str">
        <f>IFERROR(__xludf.DUMMYFUNCTION("""COMPUTED_VALUE"""),"Collin Maher")</f>
        <v>Collin Maher</v>
      </c>
      <c r="G458" s="61" t="str">
        <f>IFERROR(__xludf.DUMMYFUNCTION("""COMPUTED_VALUE""")," 1 [Included with Registration] / Included Insurance   - ")</f>
        <v> 1 [Included with Registration] / Included Insurance   - </v>
      </c>
      <c r="H458" s="61" t="str">
        <f>IFERROR(__xludf.DUMMYFUNCTION("""COMPUTED_VALUE"""),"Dauten  ")</f>
        <v>Dauten  </v>
      </c>
      <c r="I458" s="61" t="str">
        <f>IFERROR(__xludf.DUMMYFUNCTION("""COMPUTED_VALUE"""),"412")</f>
        <v>412</v>
      </c>
      <c r="J458" s="107" t="str">
        <f>IFERROR(__xludf.DUMMYFUNCTION("""COMPUTED_VALUE"""),"10:00 AM to 12:00 PM  ")</f>
        <v>10:00 AM to 12:00 PM  </v>
      </c>
      <c r="K458" s="100">
        <f>IFERROR(__xludf.DUMMYFUNCTION("""COMPUTED_VALUE"""),46143.0)</f>
        <v>46143</v>
      </c>
      <c r="L458" s="61" t="str">
        <f>IFERROR(__xludf.DUMMYFUNCTION("""COMPUTED_VALUE""")," ")</f>
        <v> </v>
      </c>
      <c r="M458" s="61"/>
      <c r="N458" s="61" t="str">
        <f>IFERROR(__xludf.DUMMYFUNCTION("""COMPUTED_VALUE""")," ")</f>
        <v> </v>
      </c>
    </row>
    <row r="459">
      <c r="A459" s="102" t="str">
        <f>IFERROR(__xludf.DUMMYFUNCTION("""COMPUTED_VALUE"""),"https://utrucking.com/admin/orders/6423688970428")</f>
        <v>https://utrucking.com/admin/orders/6423688970428</v>
      </c>
      <c r="B459" s="65" t="str">
        <f>IFERROR(__xludf.DUMMYFUNCTION("""COMPUTED_VALUE"""),"#17543")</f>
        <v>#17543</v>
      </c>
      <c r="C459" s="65" t="str">
        <f>IFERROR(__xludf.DUMMYFUNCTION("""COMPUTED_VALUE"""),"minjae@wustl.edu")</f>
        <v>minjae@wustl.edu</v>
      </c>
      <c r="D459" s="65">
        <f>IFERROR(__xludf.DUMMYFUNCTION("""COMPUTED_VALUE"""),3.142676104E9)</f>
        <v>3142676104</v>
      </c>
      <c r="E459" s="65" t="str">
        <f>IFERROR(__xludf.DUMMYFUNCTION("""COMPUTED_VALUE"""),"Minjae Kim")</f>
        <v>Minjae Kim</v>
      </c>
      <c r="F459" s="65" t="str">
        <f>IFERROR(__xludf.DUMMYFUNCTION("""COMPUTED_VALUE"""),"Minjae Kim")</f>
        <v>Minjae Kim</v>
      </c>
      <c r="G459" s="65" t="str">
        <f>IFERROR(__xludf.DUMMYFUNCTION("""COMPUTED_VALUE""")," 1 [Included with Registration] / Included Insurance   - ")</f>
        <v> 1 [Included with Registration] / Included Insurance   - </v>
      </c>
      <c r="H459" s="65" t="str">
        <f>IFERROR(__xludf.DUMMYFUNCTION("""COMPUTED_VALUE"""),"House 5")</f>
        <v>House 5</v>
      </c>
      <c r="I459" s="65" t="str">
        <f>IFERROR(__xludf.DUMMYFUNCTION("""COMPUTED_VALUE"""),"201")</f>
        <v>201</v>
      </c>
      <c r="J459" s="108" t="str">
        <f>IFERROR(__xludf.DUMMYFUNCTION("""COMPUTED_VALUE"""),"03:00 PM to 05:00 PM")</f>
        <v>03:00 PM to 05:00 PM</v>
      </c>
      <c r="K459" s="103">
        <f>IFERROR(__xludf.DUMMYFUNCTION("""COMPUTED_VALUE"""),46148.0)</f>
        <v>46148</v>
      </c>
      <c r="L459" s="65" t="str">
        <f>IFERROR(__xludf.DUMMYFUNCTION("""COMPUTED_VALUE""")," ")</f>
        <v> </v>
      </c>
      <c r="M459" s="65"/>
      <c r="N459" s="65" t="str">
        <f>IFERROR(__xludf.DUMMYFUNCTION("""COMPUTED_VALUE""")," ")</f>
        <v> </v>
      </c>
    </row>
    <row r="460">
      <c r="A460" s="99" t="str">
        <f>IFERROR(__xludf.DUMMYFUNCTION("""COMPUTED_VALUE"""),"https://utrucking.com/admin/orders/6423882399932")</f>
        <v>https://utrucking.com/admin/orders/6423882399932</v>
      </c>
      <c r="B460" s="61" t="str">
        <f>IFERROR(__xludf.DUMMYFUNCTION("""COMPUTED_VALUE"""),"#17545")</f>
        <v>#17545</v>
      </c>
      <c r="C460" s="61" t="str">
        <f>IFERROR(__xludf.DUMMYFUNCTION("""COMPUTED_VALUE"""),"rylandstrelow@gmail.com")</f>
        <v>rylandstrelow@gmail.com</v>
      </c>
      <c r="D460" s="61">
        <f>IFERROR(__xludf.DUMMYFUNCTION("""COMPUTED_VALUE"""),9.499333467E9)</f>
        <v>9499333467</v>
      </c>
      <c r="E460" s="61" t="str">
        <f>IFERROR(__xludf.DUMMYFUNCTION("""COMPUTED_VALUE"""),"Ryland Strelow")</f>
        <v>Ryland Strelow</v>
      </c>
      <c r="F460" s="61" t="str">
        <f>IFERROR(__xludf.DUMMYFUNCTION("""COMPUTED_VALUE"""),"Riley Strelow")</f>
        <v>Riley Strelow</v>
      </c>
      <c r="G460" s="61" t="str">
        <f>IFERROR(__xludf.DUMMYFUNCTION("""COMPUTED_VALUE""")," 1 [Included with Registration] / Included Insurance   - ")</f>
        <v> 1 [Included with Registration] / Included Insurance   - </v>
      </c>
      <c r="H460" s="61" t="str">
        <f>IFERROR(__xludf.DUMMYFUNCTION("""COMPUTED_VALUE"""),"Beaumont  ")</f>
        <v>Beaumont  </v>
      </c>
      <c r="I460" s="61" t="str">
        <f>IFERROR(__xludf.DUMMYFUNCTION("""COMPUTED_VALUE"""),"209")</f>
        <v>209</v>
      </c>
      <c r="J460" s="107" t="str">
        <f>IFERROR(__xludf.DUMMYFUNCTION("""COMPUTED_VALUE"""),"03:00 PM to 05:00 PM")</f>
        <v>03:00 PM to 05:00 PM</v>
      </c>
      <c r="K460" s="100">
        <f>IFERROR(__xludf.DUMMYFUNCTION("""COMPUTED_VALUE"""),46148.0)</f>
        <v>46148</v>
      </c>
      <c r="L460" s="61" t="str">
        <f>IFERROR(__xludf.DUMMYFUNCTION("""COMPUTED_VALUE""")," ")</f>
        <v> </v>
      </c>
      <c r="M460" s="61"/>
      <c r="N460" s="61" t="str">
        <f>IFERROR(__xludf.DUMMYFUNCTION("""COMPUTED_VALUE""")," ")</f>
        <v> </v>
      </c>
    </row>
    <row r="461">
      <c r="A461" s="102" t="str">
        <f>IFERROR(__xludf.DUMMYFUNCTION("""COMPUTED_VALUE"""),"https://utrucking.com/admin/orders/6423999873212")</f>
        <v>https://utrucking.com/admin/orders/6423999873212</v>
      </c>
      <c r="B461" s="65" t="str">
        <f>IFERROR(__xludf.DUMMYFUNCTION("""COMPUTED_VALUE"""),"#17546")</f>
        <v>#17546</v>
      </c>
      <c r="C461" s="65" t="str">
        <f>IFERROR(__xludf.DUMMYFUNCTION("""COMPUTED_VALUE"""),"k.katya@wustl.edu")</f>
        <v>k.katya@wustl.edu</v>
      </c>
      <c r="D461" s="65">
        <f>IFERROR(__xludf.DUMMYFUNCTION("""COMPUTED_VALUE"""),9.177251154E9)</f>
        <v>9177251154</v>
      </c>
      <c r="E461" s="65" t="str">
        <f>IFERROR(__xludf.DUMMYFUNCTION("""COMPUTED_VALUE"""),"Katya Khesin")</f>
        <v>Katya Khesin</v>
      </c>
      <c r="F461" s="65" t="str">
        <f>IFERROR(__xludf.DUMMYFUNCTION("""COMPUTED_VALUE"""),"Katya Khesin")</f>
        <v>Katya Khesin</v>
      </c>
      <c r="G461" s="65" t="str">
        <f>IFERROR(__xludf.DUMMYFUNCTION("""COMPUTED_VALUE""")," 3 / Included Insurance   - ")</f>
        <v> 3 / Included Insurance   - </v>
      </c>
      <c r="H461" s="65" t="str">
        <f>IFERROR(__xludf.DUMMYFUNCTION("""COMPUTED_VALUE"""),"Lopata  ")</f>
        <v>Lopata  </v>
      </c>
      <c r="I461" s="65" t="str">
        <f>IFERROR(__xludf.DUMMYFUNCTION("""COMPUTED_VALUE"""),"3123 a")</f>
        <v>3123 a</v>
      </c>
      <c r="J461" s="108" t="str">
        <f>IFERROR(__xludf.DUMMYFUNCTION("""COMPUTED_VALUE"""),"12:00 PM to 02:00 PM  ")</f>
        <v>12:00 PM to 02:00 PM  </v>
      </c>
      <c r="K461" s="103">
        <f>IFERROR(__xludf.DUMMYFUNCTION("""COMPUTED_VALUE"""),46150.0)</f>
        <v>46150</v>
      </c>
      <c r="L461" s="65" t="str">
        <f>IFERROR(__xludf.DUMMYFUNCTION("""COMPUTED_VALUE""")," ")</f>
        <v> </v>
      </c>
      <c r="M461" s="65"/>
      <c r="N461" s="65" t="str">
        <f>IFERROR(__xludf.DUMMYFUNCTION("""COMPUTED_VALUE""")," ")</f>
        <v> </v>
      </c>
    </row>
    <row r="462">
      <c r="A462" s="99" t="str">
        <f>IFERROR(__xludf.DUMMYFUNCTION("""COMPUTED_VALUE"""),"https://utrucking.com/admin/orders/6424063639740")</f>
        <v>https://utrucking.com/admin/orders/6424063639740</v>
      </c>
      <c r="B462" s="61" t="str">
        <f>IFERROR(__xludf.DUMMYFUNCTION("""COMPUTED_VALUE"""),"#17547")</f>
        <v>#17547</v>
      </c>
      <c r="C462" s="61" t="str">
        <f>IFERROR(__xludf.DUMMYFUNCTION("""COMPUTED_VALUE"""),"c.s.satyr@wustl.edu")</f>
        <v>c.s.satyr@wustl.edu</v>
      </c>
      <c r="D462" s="61">
        <f>IFERROR(__xludf.DUMMYFUNCTION("""COMPUTED_VALUE"""),3.123392715E9)</f>
        <v>3123392715</v>
      </c>
      <c r="E462" s="61" t="str">
        <f>IFERROR(__xludf.DUMMYFUNCTION("""COMPUTED_VALUE"""),"Allison Satyr")</f>
        <v>Allison Satyr</v>
      </c>
      <c r="F462" s="61" t="str">
        <f>IFERROR(__xludf.DUMMYFUNCTION("""COMPUTED_VALUE"""),"Cara Satyr")</f>
        <v>Cara Satyr</v>
      </c>
      <c r="G462" s="61" t="str">
        <f>IFERROR(__xludf.DUMMYFUNCTION("""COMPUTED_VALUE""")," 2 / Included Insurance   - ")</f>
        <v> 2 / Included Insurance   - </v>
      </c>
      <c r="H462" s="61" t="str">
        <f>IFERROR(__xludf.DUMMYFUNCTION("""COMPUTED_VALUE"""),"Lopata  ")</f>
        <v>Lopata  </v>
      </c>
      <c r="I462" s="61" t="str">
        <f>IFERROR(__xludf.DUMMYFUNCTION("""COMPUTED_VALUE"""),"3093")</f>
        <v>3093</v>
      </c>
      <c r="J462" s="107" t="str">
        <f>IFERROR(__xludf.DUMMYFUNCTION("""COMPUTED_VALUE"""),"01:00 PM to 03:00 PM  ")</f>
        <v>01:00 PM to 03:00 PM  </v>
      </c>
      <c r="K462" s="100">
        <f>IFERROR(__xludf.DUMMYFUNCTION("""COMPUTED_VALUE"""),46147.0)</f>
        <v>46147</v>
      </c>
      <c r="L462" s="61" t="str">
        <f>IFERROR(__xludf.DUMMYFUNCTION("""COMPUTED_VALUE""")," ")</f>
        <v> </v>
      </c>
      <c r="M462" s="61"/>
      <c r="N462" s="61" t="str">
        <f>IFERROR(__xludf.DUMMYFUNCTION("""COMPUTED_VALUE""")," ")</f>
        <v> </v>
      </c>
    </row>
    <row r="463">
      <c r="A463" s="102" t="str">
        <f>IFERROR(__xludf.DUMMYFUNCTION("""COMPUTED_VALUE"""),"https://utrucking.com/admin/orders/6424073207996")</f>
        <v>https://utrucking.com/admin/orders/6424073207996</v>
      </c>
      <c r="B463" s="65" t="str">
        <f>IFERROR(__xludf.DUMMYFUNCTION("""COMPUTED_VALUE"""),"#17548")</f>
        <v>#17548</v>
      </c>
      <c r="C463" s="65" t="str">
        <f>IFERROR(__xludf.DUMMYFUNCTION("""COMPUTED_VALUE"""),"chen.m.b@wustl.edu")</f>
        <v>chen.m.b@wustl.edu</v>
      </c>
      <c r="D463" s="65">
        <f>IFERROR(__xludf.DUMMYFUNCTION("""COMPUTED_VALUE"""),9.193979888E9)</f>
        <v>9193979888</v>
      </c>
      <c r="E463" s="65" t="str">
        <f>IFERROR(__xludf.DUMMYFUNCTION("""COMPUTED_VALUE"""),"Monica Chen")</f>
        <v>Monica Chen</v>
      </c>
      <c r="F463" s="65" t="str">
        <f>IFERROR(__xludf.DUMMYFUNCTION("""COMPUTED_VALUE"""),"Monica Chen")</f>
        <v>Monica Chen</v>
      </c>
      <c r="G463" s="65" t="str">
        <f>IFERROR(__xludf.DUMMYFUNCTION("""COMPUTED_VALUE""")," 1 [Included with Registration] / Included Insurance   - ")</f>
        <v> 1 [Included with Registration] / Included Insurance   - </v>
      </c>
      <c r="H463" s="65"/>
      <c r="I463" s="65"/>
      <c r="J463" s="108" t="str">
        <f>IFERROR(__xludf.DUMMYFUNCTION("""COMPUTED_VALUE"""),"09:00 AM to 11:00 AM  ")</f>
        <v>09:00 AM to 11:00 AM  </v>
      </c>
      <c r="K463" s="103">
        <f>IFERROR(__xludf.DUMMYFUNCTION("""COMPUTED_VALUE"""),46148.0)</f>
        <v>46148</v>
      </c>
      <c r="L463" s="65" t="str">
        <f>IFERROR(__xludf.DUMMYFUNCTION("""COMPUTED_VALUE""")," ")</f>
        <v> </v>
      </c>
      <c r="M463" s="65" t="str">
        <f>IFERROR(__xludf.DUMMYFUNCTION("""COMPUTED_VALUE"""),"725 Interdrive, Apt 1")</f>
        <v>725 Interdrive, Apt 1</v>
      </c>
      <c r="N463" s="65" t="str">
        <f>IFERROR(__xludf.DUMMYFUNCTION("""COMPUTED_VALUE""")," ")</f>
        <v> </v>
      </c>
    </row>
    <row r="464">
      <c r="A464" s="99" t="str">
        <f>IFERROR(__xludf.DUMMYFUNCTION("""COMPUTED_VALUE"""),"https://utrucking.com/admin/orders/6424163352764")</f>
        <v>https://utrucking.com/admin/orders/6424163352764</v>
      </c>
      <c r="B464" s="61" t="str">
        <f>IFERROR(__xludf.DUMMYFUNCTION("""COMPUTED_VALUE"""),"#17550")</f>
        <v>#17550</v>
      </c>
      <c r="C464" s="61" t="str">
        <f>IFERROR(__xludf.DUMMYFUNCTION("""COMPUTED_VALUE"""),"dcarnes0721@gmail.com")</f>
        <v>dcarnes0721@gmail.com</v>
      </c>
      <c r="D464" s="61">
        <f>IFERROR(__xludf.DUMMYFUNCTION("""COMPUTED_VALUE"""),8.472263131E9)</f>
        <v>8472263131</v>
      </c>
      <c r="E464" s="61" t="str">
        <f>IFERROR(__xludf.DUMMYFUNCTION("""COMPUTED_VALUE"""),"Lisa Carnes")</f>
        <v>Lisa Carnes</v>
      </c>
      <c r="F464" s="61" t="str">
        <f>IFERROR(__xludf.DUMMYFUNCTION("""COMPUTED_VALUE"""),"David Carnes")</f>
        <v>David Carnes</v>
      </c>
      <c r="G464" s="61" t="str">
        <f>IFERROR(__xludf.DUMMYFUNCTION("""COMPUTED_VALUE""")," 2 / Included Insurance   - ")</f>
        <v> 2 / Included Insurance   - </v>
      </c>
      <c r="H464" s="61" t="str">
        <f>IFERROR(__xludf.DUMMYFUNCTION("""COMPUTED_VALUE"""),"Village House  ")</f>
        <v>Village House  </v>
      </c>
      <c r="I464" s="61" t="str">
        <f>IFERROR(__xludf.DUMMYFUNCTION("""COMPUTED_VALUE"""),"2073")</f>
        <v>2073</v>
      </c>
      <c r="J464" s="107" t="str">
        <f>IFERROR(__xludf.DUMMYFUNCTION("""COMPUTED_VALUE"""),"11:00 AM to 01:00 PM  ")</f>
        <v>11:00 AM to 01:00 PM  </v>
      </c>
      <c r="K464" s="100">
        <f>IFERROR(__xludf.DUMMYFUNCTION("""COMPUTED_VALUE"""),46149.0)</f>
        <v>46149</v>
      </c>
      <c r="L464" s="61" t="str">
        <f>IFERROR(__xludf.DUMMYFUNCTION("""COMPUTED_VALUE""")," ")</f>
        <v> </v>
      </c>
      <c r="M464" s="61"/>
      <c r="N464" s="61" t="str">
        <f>IFERROR(__xludf.DUMMYFUNCTION("""COMPUTED_VALUE""")," ")</f>
        <v> </v>
      </c>
    </row>
    <row r="465">
      <c r="A465" s="102" t="str">
        <f>IFERROR(__xludf.DUMMYFUNCTION("""COMPUTED_VALUE"""),"https://utrucking.com/admin/orders/6424205918396")</f>
        <v>https://utrucking.com/admin/orders/6424205918396</v>
      </c>
      <c r="B465" s="65" t="str">
        <f>IFERROR(__xludf.DUMMYFUNCTION("""COMPUTED_VALUE"""),"#17551")</f>
        <v>#17551</v>
      </c>
      <c r="C465" s="65" t="str">
        <f>IFERROR(__xludf.DUMMYFUNCTION("""COMPUTED_VALUE"""),"f.jenise@wustl.edu")</f>
        <v>f.jenise@wustl.edu</v>
      </c>
      <c r="D465" s="65">
        <f>IFERROR(__xludf.DUMMYFUNCTION("""COMPUTED_VALUE"""),5.169028488E9)</f>
        <v>5169028488</v>
      </c>
      <c r="E465" s="65" t="str">
        <f>IFERROR(__xludf.DUMMYFUNCTION("""COMPUTED_VALUE"""),"Jenise Fussell")</f>
        <v>Jenise Fussell</v>
      </c>
      <c r="F465" s="65" t="str">
        <f>IFERROR(__xludf.DUMMYFUNCTION("""COMPUTED_VALUE"""),"Jenise Fussell")</f>
        <v>Jenise Fussell</v>
      </c>
      <c r="G465" s="65" t="str">
        <f>IFERROR(__xludf.DUMMYFUNCTION("""COMPUTED_VALUE""")," 1 [Included with Registration] / Included Insurance   - ")</f>
        <v> 1 [Included with Registration] / Included Insurance   - </v>
      </c>
      <c r="H465" s="65" t="str">
        <f>IFERROR(__xludf.DUMMYFUNCTION("""COMPUTED_VALUE"""),"Liggett  ")</f>
        <v>Liggett  </v>
      </c>
      <c r="I465" s="65" t="str">
        <f>IFERROR(__xludf.DUMMYFUNCTION("""COMPUTED_VALUE"""),"4490")</f>
        <v>4490</v>
      </c>
      <c r="J465" s="108" t="str">
        <f>IFERROR(__xludf.DUMMYFUNCTION("""COMPUTED_VALUE"""),"03:00 PM to 05:00 PM")</f>
        <v>03:00 PM to 05:00 PM</v>
      </c>
      <c r="K465" s="103">
        <f>IFERROR(__xludf.DUMMYFUNCTION("""COMPUTED_VALUE"""),46148.0)</f>
        <v>46148</v>
      </c>
      <c r="L465" s="65" t="str">
        <f>IFERROR(__xludf.DUMMYFUNCTION("""COMPUTED_VALUE""")," ")</f>
        <v> </v>
      </c>
      <c r="M465" s="65"/>
      <c r="N465" s="65" t="str">
        <f>IFERROR(__xludf.DUMMYFUNCTION("""COMPUTED_VALUE""")," ")</f>
        <v> </v>
      </c>
    </row>
    <row r="466">
      <c r="A466" s="99" t="str">
        <f>IFERROR(__xludf.DUMMYFUNCTION("""COMPUTED_VALUE"""),"https://utrucking.com/admin/orders/6424217419964")</f>
        <v>https://utrucking.com/admin/orders/6424217419964</v>
      </c>
      <c r="B466" s="61" t="str">
        <f>IFERROR(__xludf.DUMMYFUNCTION("""COMPUTED_VALUE"""),"#17552")</f>
        <v>#17552</v>
      </c>
      <c r="C466" s="61" t="str">
        <f>IFERROR(__xludf.DUMMYFUNCTION("""COMPUTED_VALUE"""),"kalimian@wustl.edu")</f>
        <v>kalimian@wustl.edu</v>
      </c>
      <c r="D466" s="61">
        <f>IFERROR(__xludf.DUMMYFUNCTION("""COMPUTED_VALUE"""),9.292724687E9)</f>
        <v>9292724687</v>
      </c>
      <c r="E466" s="61" t="str">
        <f>IFERROR(__xludf.DUMMYFUNCTION("""COMPUTED_VALUE"""),"Sophia Kalimian")</f>
        <v>Sophia Kalimian</v>
      </c>
      <c r="F466" s="61" t="str">
        <f>IFERROR(__xludf.DUMMYFUNCTION("""COMPUTED_VALUE"""),"Sophia Kalimian")</f>
        <v>Sophia Kalimian</v>
      </c>
      <c r="G466" s="61" t="str">
        <f>IFERROR(__xludf.DUMMYFUNCTION("""COMPUTED_VALUE""")," 1 [Included with Registration] / Included Insurance   - ")</f>
        <v> 1 [Included with Registration] / Included Insurance   - </v>
      </c>
      <c r="H466" s="61" t="str">
        <f>IFERROR(__xludf.DUMMYFUNCTION("""COMPUTED_VALUE"""),"Shepley  ")</f>
        <v>Shepley  </v>
      </c>
      <c r="I466" s="61" t="str">
        <f>IFERROR(__xludf.DUMMYFUNCTION("""COMPUTED_VALUE"""),"3030")</f>
        <v>3030</v>
      </c>
      <c r="J466" s="107" t="str">
        <f>IFERROR(__xludf.DUMMYFUNCTION("""COMPUTED_VALUE"""),"09:00 AM to 11:00 AM  ")</f>
        <v>09:00 AM to 11:00 AM  </v>
      </c>
      <c r="K466" s="100">
        <f>IFERROR(__xludf.DUMMYFUNCTION("""COMPUTED_VALUE"""),46144.0)</f>
        <v>46144</v>
      </c>
      <c r="L466" s="61" t="str">
        <f>IFERROR(__xludf.DUMMYFUNCTION("""COMPUTED_VALUE""")," ")</f>
        <v> </v>
      </c>
      <c r="M466" s="61"/>
      <c r="N466" s="61" t="str">
        <f>IFERROR(__xludf.DUMMYFUNCTION("""COMPUTED_VALUE""")," ")</f>
        <v> </v>
      </c>
    </row>
    <row r="467">
      <c r="A467" s="102" t="str">
        <f>IFERROR(__xludf.DUMMYFUNCTION("""COMPUTED_VALUE"""),"https://utrucking.com/admin/orders/6424241373372")</f>
        <v>https://utrucking.com/admin/orders/6424241373372</v>
      </c>
      <c r="B467" s="65" t="str">
        <f>IFERROR(__xludf.DUMMYFUNCTION("""COMPUTED_VALUE"""),"#17554")</f>
        <v>#17554</v>
      </c>
      <c r="C467" s="65" t="str">
        <f>IFERROR(__xludf.DUMMYFUNCTION("""COMPUTED_VALUE"""),"c.h.leonardi@wustl.edu")</f>
        <v>c.h.leonardi@wustl.edu</v>
      </c>
      <c r="D467" s="65">
        <f>IFERROR(__xludf.DUMMYFUNCTION("""COMPUTED_VALUE"""),3.392063556E9)</f>
        <v>3392063556</v>
      </c>
      <c r="E467" s="65" t="str">
        <f>IFERROR(__xludf.DUMMYFUNCTION("""COMPUTED_VALUE"""),"Carmen Leonardi")</f>
        <v>Carmen Leonardi</v>
      </c>
      <c r="F467" s="65" t="str">
        <f>IFERROR(__xludf.DUMMYFUNCTION("""COMPUTED_VALUE"""),"Carmen Leonardi")</f>
        <v>Carmen Leonardi</v>
      </c>
      <c r="G467" s="65" t="str">
        <f>IFERROR(__xludf.DUMMYFUNCTION("""COMPUTED_VALUE""")," 1 [Included with Registration] / Included Insurance   - ")</f>
        <v> 1 [Included with Registration] / Included Insurance   - </v>
      </c>
      <c r="H467" s="65" t="str">
        <f>IFERROR(__xludf.DUMMYFUNCTION("""COMPUTED_VALUE"""),"Zetcher  ")</f>
        <v>Zetcher  </v>
      </c>
      <c r="I467" s="65" t="str">
        <f>IFERROR(__xludf.DUMMYFUNCTION("""COMPUTED_VALUE"""),"2011")</f>
        <v>2011</v>
      </c>
      <c r="J467" s="108" t="str">
        <f>IFERROR(__xludf.DUMMYFUNCTION("""COMPUTED_VALUE"""),"09:00 AM to 11:00 AM  ")</f>
        <v>09:00 AM to 11:00 AM  </v>
      </c>
      <c r="K467" s="103">
        <f>IFERROR(__xludf.DUMMYFUNCTION("""COMPUTED_VALUE"""),46149.0)</f>
        <v>46149</v>
      </c>
      <c r="L467" s="65" t="str">
        <f>IFERROR(__xludf.DUMMYFUNCTION("""COMPUTED_VALUE""")," ")</f>
        <v> </v>
      </c>
      <c r="M467" s="65"/>
      <c r="N467" s="65" t="str">
        <f>IFERROR(__xludf.DUMMYFUNCTION("""COMPUTED_VALUE""")," Will have other items not in boxes")</f>
        <v> Will have other items not in boxes</v>
      </c>
    </row>
    <row r="468">
      <c r="A468" s="99" t="str">
        <f>IFERROR(__xludf.DUMMYFUNCTION("""COMPUTED_VALUE"""),"https://utrucking.com/admin/orders/6424275779772")</f>
        <v>https://utrucking.com/admin/orders/6424275779772</v>
      </c>
      <c r="B468" s="61" t="str">
        <f>IFERROR(__xludf.DUMMYFUNCTION("""COMPUTED_VALUE"""),"#17555")</f>
        <v>#17555</v>
      </c>
      <c r="C468" s="61" t="str">
        <f>IFERROR(__xludf.DUMMYFUNCTION("""COMPUTED_VALUE"""),"leia.karczmer@gmail.com")</f>
        <v>leia.karczmer@gmail.com</v>
      </c>
      <c r="D468" s="61">
        <f>IFERROR(__xludf.DUMMYFUNCTION("""COMPUTED_VALUE"""),6.46745612E9)</f>
        <v>6467456120</v>
      </c>
      <c r="E468" s="61" t="str">
        <f>IFERROR(__xludf.DUMMYFUNCTION("""COMPUTED_VALUE"""),"Leia Karczmer")</f>
        <v>Leia Karczmer</v>
      </c>
      <c r="F468" s="61" t="str">
        <f>IFERROR(__xludf.DUMMYFUNCTION("""COMPUTED_VALUE"""),"Leia Karczmer")</f>
        <v>Leia Karczmer</v>
      </c>
      <c r="G468" s="61" t="str">
        <f>IFERROR(__xludf.DUMMYFUNCTION("""COMPUTED_VALUE""")," 1 [Included with Registration] / Included Insurance   - ")</f>
        <v> 1 [Included with Registration] / Included Insurance   - </v>
      </c>
      <c r="H468" s="61" t="str">
        <f>IFERROR(__xludf.DUMMYFUNCTION("""COMPUTED_VALUE"""),"Danforth  ")</f>
        <v>Danforth  </v>
      </c>
      <c r="I468" s="61" t="str">
        <f>IFERROR(__xludf.DUMMYFUNCTION("""COMPUTED_VALUE"""),"2221")</f>
        <v>2221</v>
      </c>
      <c r="J468" s="107" t="str">
        <f>IFERROR(__xludf.DUMMYFUNCTION("""COMPUTED_VALUE"""),"03:00 PM to 05:00 PM")</f>
        <v>03:00 PM to 05:00 PM</v>
      </c>
      <c r="K468" s="100">
        <f>IFERROR(__xludf.DUMMYFUNCTION("""COMPUTED_VALUE"""),46143.0)</f>
        <v>46143</v>
      </c>
      <c r="L468" s="61" t="str">
        <f>IFERROR(__xludf.DUMMYFUNCTION("""COMPUTED_VALUE""")," ")</f>
        <v> </v>
      </c>
      <c r="M468" s="61"/>
      <c r="N468" s="61" t="str">
        <f>IFERROR(__xludf.DUMMYFUNCTION("""COMPUTED_VALUE""")," ")</f>
        <v> </v>
      </c>
    </row>
    <row r="469">
      <c r="A469" s="102" t="str">
        <f>IFERROR(__xludf.DUMMYFUNCTION("""COMPUTED_VALUE"""),"https://utrucking.com/admin/orders/6424277287100")</f>
        <v>https://utrucking.com/admin/orders/6424277287100</v>
      </c>
      <c r="B469" s="65" t="str">
        <f>IFERROR(__xludf.DUMMYFUNCTION("""COMPUTED_VALUE"""),"#17556")</f>
        <v>#17556</v>
      </c>
      <c r="C469" s="65" t="str">
        <f>IFERROR(__xludf.DUMMYFUNCTION("""COMPUTED_VALUE"""),"e.galanin@wustl.edu")</f>
        <v>e.galanin@wustl.edu</v>
      </c>
      <c r="D469" s="65">
        <f>IFERROR(__xludf.DUMMYFUNCTION("""COMPUTED_VALUE"""),9.293750172E9)</f>
        <v>9293750172</v>
      </c>
      <c r="E469" s="65" t="str">
        <f>IFERROR(__xludf.DUMMYFUNCTION("""COMPUTED_VALUE"""),"Ekaterina Galanin")</f>
        <v>Ekaterina Galanin</v>
      </c>
      <c r="F469" s="65" t="str">
        <f>IFERROR(__xludf.DUMMYFUNCTION("""COMPUTED_VALUE"""),"Katya Galanin")</f>
        <v>Katya Galanin</v>
      </c>
      <c r="G469" s="65" t="str">
        <f>IFERROR(__xludf.DUMMYFUNCTION("""COMPUTED_VALUE""")," 1 [Included with Registration] / Included Insurance   - ")</f>
        <v> 1 [Included with Registration] / Included Insurance   - </v>
      </c>
      <c r="H469" s="65" t="str">
        <f>IFERROR(__xludf.DUMMYFUNCTION("""COMPUTED_VALUE"""),"Park  ")</f>
        <v>Park  </v>
      </c>
      <c r="I469" s="65" t="str">
        <f>IFERROR(__xludf.DUMMYFUNCTION("""COMPUTED_VALUE"""),"471")</f>
        <v>471</v>
      </c>
      <c r="J469" s="108" t="str">
        <f>IFERROR(__xludf.DUMMYFUNCTION("""COMPUTED_VALUE"""),"10:00 AM to 12:00 PM  ")</f>
        <v>10:00 AM to 12:00 PM  </v>
      </c>
      <c r="K469" s="103">
        <f>IFERROR(__xludf.DUMMYFUNCTION("""COMPUTED_VALUE"""),46143.0)</f>
        <v>46143</v>
      </c>
      <c r="L469" s="65" t="str">
        <f>IFERROR(__xludf.DUMMYFUNCTION("""COMPUTED_VALUE""")," ")</f>
        <v> </v>
      </c>
      <c r="M469" s="65"/>
      <c r="N469" s="65" t="str">
        <f>IFERROR(__xludf.DUMMYFUNCTION("""COMPUTED_VALUE""")," ")</f>
        <v> </v>
      </c>
    </row>
    <row r="470">
      <c r="A470" s="99" t="str">
        <f>IFERROR(__xludf.DUMMYFUNCTION("""COMPUTED_VALUE"""),"https://utrucking.com/admin/orders/6424281743548")</f>
        <v>https://utrucking.com/admin/orders/6424281743548</v>
      </c>
      <c r="B470" s="61" t="str">
        <f>IFERROR(__xludf.DUMMYFUNCTION("""COMPUTED_VALUE"""),"#17557")</f>
        <v>#17557</v>
      </c>
      <c r="C470" s="61" t="str">
        <f>IFERROR(__xludf.DUMMYFUNCTION("""COMPUTED_VALUE"""),"ultima1269@gmail.com")</f>
        <v>ultima1269@gmail.com</v>
      </c>
      <c r="D470" s="61">
        <f>IFERROR(__xludf.DUMMYFUNCTION("""COMPUTED_VALUE"""),9.085528213E9)</f>
        <v>9085528213</v>
      </c>
      <c r="E470" s="61" t="str">
        <f>IFERROR(__xludf.DUMMYFUNCTION("""COMPUTED_VALUE"""),"Aiden Wang")</f>
        <v>Aiden Wang</v>
      </c>
      <c r="F470" s="61" t="str">
        <f>IFERROR(__xludf.DUMMYFUNCTION("""COMPUTED_VALUE"""),"Aiden Wang")</f>
        <v>Aiden Wang</v>
      </c>
      <c r="G470" s="61" t="str">
        <f>IFERROR(__xludf.DUMMYFUNCTION("""COMPUTED_VALUE""")," 1 [Included with Registration] / Included Insurance   - ")</f>
        <v> 1 [Included with Registration] / Included Insurance   - </v>
      </c>
      <c r="H470" s="61" t="str">
        <f>IFERROR(__xludf.DUMMYFUNCTION("""COMPUTED_VALUE"""),"Dardick  ")</f>
        <v>Dardick  </v>
      </c>
      <c r="I470" s="61" t="str">
        <f>IFERROR(__xludf.DUMMYFUNCTION("""COMPUTED_VALUE"""),"2214")</f>
        <v>2214</v>
      </c>
      <c r="J470" s="107" t="str">
        <f>IFERROR(__xludf.DUMMYFUNCTION("""COMPUTED_VALUE"""),"09:00 AM to 11:00 AM  ")</f>
        <v>09:00 AM to 11:00 AM  </v>
      </c>
      <c r="K470" s="100">
        <f>IFERROR(__xludf.DUMMYFUNCTION("""COMPUTED_VALUE"""),46148.0)</f>
        <v>46148</v>
      </c>
      <c r="L470" s="61" t="str">
        <f>IFERROR(__xludf.DUMMYFUNCTION("""COMPUTED_VALUE""")," ")</f>
        <v> </v>
      </c>
      <c r="M470" s="61"/>
      <c r="N470" s="61" t="str">
        <f>IFERROR(__xludf.DUMMYFUNCTION("""COMPUTED_VALUE""")," ")</f>
        <v> </v>
      </c>
    </row>
    <row r="471">
      <c r="A471" s="102" t="str">
        <f>IFERROR(__xludf.DUMMYFUNCTION("""COMPUTED_VALUE"""),"https://utrucking.com/admin/orders/6424308383932")</f>
        <v>https://utrucking.com/admin/orders/6424308383932</v>
      </c>
      <c r="B471" s="65" t="str">
        <f>IFERROR(__xludf.DUMMYFUNCTION("""COMPUTED_VALUE"""),"#17558")</f>
        <v>#17558</v>
      </c>
      <c r="C471" s="65" t="str">
        <f>IFERROR(__xludf.DUMMYFUNCTION("""COMPUTED_VALUE"""),"aiaccino29@yahoo.com")</f>
        <v>aiaccino29@yahoo.com</v>
      </c>
      <c r="D471" s="65">
        <f>IFERROR(__xludf.DUMMYFUNCTION("""COMPUTED_VALUE"""),8.189201726E9)</f>
        <v>8189201726</v>
      </c>
      <c r="E471" s="65" t="str">
        <f>IFERROR(__xludf.DUMMYFUNCTION("""COMPUTED_VALUE"""),"Aileen Iaccino")</f>
        <v>Aileen Iaccino</v>
      </c>
      <c r="F471" s="65" t="str">
        <f>IFERROR(__xludf.DUMMYFUNCTION("""COMPUTED_VALUE"""),"Lauren Iaccino")</f>
        <v>Lauren Iaccino</v>
      </c>
      <c r="G471" s="65" t="str">
        <f>IFERROR(__xludf.DUMMYFUNCTION("""COMPUTED_VALUE""")," 1 [Included with Registration] / Included Insurance   - ")</f>
        <v> 1 [Included with Registration] / Included Insurance   - </v>
      </c>
      <c r="H471" s="65" t="str">
        <f>IFERROR(__xludf.DUMMYFUNCTION("""COMPUTED_VALUE"""),"Park  ")</f>
        <v>Park  </v>
      </c>
      <c r="I471" s="65" t="str">
        <f>IFERROR(__xludf.DUMMYFUNCTION("""COMPUTED_VALUE"""),"312")</f>
        <v>312</v>
      </c>
      <c r="J471" s="108" t="str">
        <f>IFERROR(__xludf.DUMMYFUNCTION("""COMPUTED_VALUE"""),"03:00 PM to 05:00 PM")</f>
        <v>03:00 PM to 05:00 PM</v>
      </c>
      <c r="K471" s="103">
        <f>IFERROR(__xludf.DUMMYFUNCTION("""COMPUTED_VALUE"""),46143.0)</f>
        <v>46143</v>
      </c>
      <c r="L471" s="65" t="str">
        <f>IFERROR(__xludf.DUMMYFUNCTION("""COMPUTED_VALUE""")," ")</f>
        <v> </v>
      </c>
      <c r="M471" s="65"/>
      <c r="N471" s="65" t="str">
        <f>IFERROR(__xludf.DUMMYFUNCTION("""COMPUTED_VALUE""")," ")</f>
        <v> </v>
      </c>
    </row>
    <row r="472">
      <c r="A472" s="99" t="str">
        <f>IFERROR(__xludf.DUMMYFUNCTION("""COMPUTED_VALUE"""),"https://utrucking.com/admin/orders/6424314773692")</f>
        <v>https://utrucking.com/admin/orders/6424314773692</v>
      </c>
      <c r="B472" s="61" t="str">
        <f>IFERROR(__xludf.DUMMYFUNCTION("""COMPUTED_VALUE"""),"#17559")</f>
        <v>#17559</v>
      </c>
      <c r="C472" s="61" t="str">
        <f>IFERROR(__xludf.DUMMYFUNCTION("""COMPUTED_VALUE"""),"b.zia@wustl.edu")</f>
        <v>b.zia@wustl.edu</v>
      </c>
      <c r="D472" s="61">
        <f>IFERROR(__xludf.DUMMYFUNCTION("""COMPUTED_VALUE"""),3.147325905E9)</f>
        <v>3147325905</v>
      </c>
      <c r="E472" s="61" t="str">
        <f>IFERROR(__xludf.DUMMYFUNCTION("""COMPUTED_VALUE"""),"Zia Bärfuss—Liao")</f>
        <v>Zia Bärfuss—Liao</v>
      </c>
      <c r="F472" s="61" t="str">
        <f>IFERROR(__xludf.DUMMYFUNCTION("""COMPUTED_VALUE"""),"Zia Bärfuss—Liao")</f>
        <v>Zia Bärfuss—Liao</v>
      </c>
      <c r="G472" s="61" t="str">
        <f>IFERROR(__xludf.DUMMYFUNCTION("""COMPUTED_VALUE""")," 1 [Included with Registration] / Included Insurance   - ")</f>
        <v> 1 [Included with Registration] / Included Insurance   - </v>
      </c>
      <c r="H472" s="61" t="str">
        <f>IFERROR(__xludf.DUMMYFUNCTION("""COMPUTED_VALUE"""),"Eliot B (Sophomore Dorm)")</f>
        <v>Eliot B (Sophomore Dorm)</v>
      </c>
      <c r="I472" s="61" t="str">
        <f>IFERROR(__xludf.DUMMYFUNCTION("""COMPUTED_VALUE"""),"1033")</f>
        <v>1033</v>
      </c>
      <c r="J472" s="107" t="str">
        <f>IFERROR(__xludf.DUMMYFUNCTION("""COMPUTED_VALUE"""),"11:00 AM to 01:00 PM  ")</f>
        <v>11:00 AM to 01:00 PM  </v>
      </c>
      <c r="K472" s="100">
        <f>IFERROR(__xludf.DUMMYFUNCTION("""COMPUTED_VALUE"""),46140.0)</f>
        <v>46140</v>
      </c>
      <c r="L472" s="61" t="str">
        <f>IFERROR(__xludf.DUMMYFUNCTION("""COMPUTED_VALUE""")," ")</f>
        <v> </v>
      </c>
      <c r="M472" s="61"/>
      <c r="N472" s="61" t="str">
        <f>IFERROR(__xludf.DUMMYFUNCTION("""COMPUTED_VALUE""")," ")</f>
        <v> </v>
      </c>
    </row>
    <row r="473">
      <c r="A473" s="102" t="str">
        <f>IFERROR(__xludf.DUMMYFUNCTION("""COMPUTED_VALUE"""),"https://utrucking.com/admin/orders/6424387715260")</f>
        <v>https://utrucking.com/admin/orders/6424387715260</v>
      </c>
      <c r="B473" s="65" t="str">
        <f>IFERROR(__xludf.DUMMYFUNCTION("""COMPUTED_VALUE"""),"#17560")</f>
        <v>#17560</v>
      </c>
      <c r="C473" s="65" t="str">
        <f>IFERROR(__xludf.DUMMYFUNCTION("""COMPUTED_VALUE"""),"siana@wustl.edu")</f>
        <v>siana@wustl.edu</v>
      </c>
      <c r="D473" s="65">
        <f>IFERROR(__xludf.DUMMYFUNCTION("""COMPUTED_VALUE"""),6.504047282E9)</f>
        <v>6504047282</v>
      </c>
      <c r="E473" s="65" t="str">
        <f>IFERROR(__xludf.DUMMYFUNCTION("""COMPUTED_VALUE"""),"Siana Kapoor")</f>
        <v>Siana Kapoor</v>
      </c>
      <c r="F473" s="65" t="str">
        <f>IFERROR(__xludf.DUMMYFUNCTION("""COMPUTED_VALUE"""),"Siana Kapoor")</f>
        <v>Siana Kapoor</v>
      </c>
      <c r="G473" s="65" t="str">
        <f>IFERROR(__xludf.DUMMYFUNCTION("""COMPUTED_VALUE""")," 1 [Included with Registration] / Included Insurance   - ")</f>
        <v> 1 [Included with Registration] / Included Insurance   - </v>
      </c>
      <c r="H473" s="65" t="str">
        <f>IFERROR(__xludf.DUMMYFUNCTION("""COMPUTED_VALUE"""),"Eliot A (Thomas Eliot)")</f>
        <v>Eliot A (Thomas Eliot)</v>
      </c>
      <c r="I473" s="65" t="str">
        <f>IFERROR(__xludf.DUMMYFUNCTION("""COMPUTED_VALUE"""),"2064")</f>
        <v>2064</v>
      </c>
      <c r="J473" s="108" t="str">
        <f>IFERROR(__xludf.DUMMYFUNCTION("""COMPUTED_VALUE"""),"02:00 PM to 04:00 PM")</f>
        <v>02:00 PM to 04:00 PM</v>
      </c>
      <c r="K473" s="103">
        <f>IFERROR(__xludf.DUMMYFUNCTION("""COMPUTED_VALUE"""),46148.0)</f>
        <v>46148</v>
      </c>
      <c r="L473" s="65" t="str">
        <f>IFERROR(__xludf.DUMMYFUNCTION("""COMPUTED_VALUE""")," ")</f>
        <v> </v>
      </c>
      <c r="M473" s="65"/>
      <c r="N473" s="65" t="str">
        <f>IFERROR(__xludf.DUMMYFUNCTION("""COMPUTED_VALUE""")," ")</f>
        <v> </v>
      </c>
    </row>
    <row r="474">
      <c r="A474" s="99" t="str">
        <f>IFERROR(__xludf.DUMMYFUNCTION("""COMPUTED_VALUE"""),"https://utrucking.com/admin/orders/6424388042940")</f>
        <v>https://utrucking.com/admin/orders/6424388042940</v>
      </c>
      <c r="B474" s="61" t="str">
        <f>IFERROR(__xludf.DUMMYFUNCTION("""COMPUTED_VALUE"""),"#17561")</f>
        <v>#17561</v>
      </c>
      <c r="C474" s="61" t="str">
        <f>IFERROR(__xludf.DUMMYFUNCTION("""COMPUTED_VALUE"""),"s.susie@wustl.edu")</f>
        <v>s.susie@wustl.edu</v>
      </c>
      <c r="D474" s="61">
        <f>IFERROR(__xludf.DUMMYFUNCTION("""COMPUTED_VALUE"""),3.147326554E9)</f>
        <v>3147326554</v>
      </c>
      <c r="E474" s="61" t="str">
        <f>IFERROR(__xludf.DUMMYFUNCTION("""COMPUTED_VALUE"""),"Yian Sun")</f>
        <v>Yian Sun</v>
      </c>
      <c r="F474" s="61" t="str">
        <f>IFERROR(__xludf.DUMMYFUNCTION("""COMPUTED_VALUE"""),"Susie Sun")</f>
        <v>Susie Sun</v>
      </c>
      <c r="G474" s="61" t="str">
        <f>IFERROR(__xludf.DUMMYFUNCTION("""COMPUTED_VALUE""")," 2 / Included Insurance   - ")</f>
        <v> 2 / Included Insurance   - </v>
      </c>
      <c r="H474" s="61" t="str">
        <f>IFERROR(__xludf.DUMMYFUNCTION("""COMPUTED_VALUE"""),"Zetcher  ")</f>
        <v>Zetcher  </v>
      </c>
      <c r="I474" s="61" t="str">
        <f>IFERROR(__xludf.DUMMYFUNCTION("""COMPUTED_VALUE"""),"3092")</f>
        <v>3092</v>
      </c>
      <c r="J474" s="107" t="str">
        <f>IFERROR(__xludf.DUMMYFUNCTION("""COMPUTED_VALUE"""),"09:00 AM to 11:00 AM  ")</f>
        <v>09:00 AM to 11:00 AM  </v>
      </c>
      <c r="K474" s="100">
        <f>IFERROR(__xludf.DUMMYFUNCTION("""COMPUTED_VALUE"""),46149.0)</f>
        <v>46149</v>
      </c>
      <c r="L474" s="61" t="str">
        <f>IFERROR(__xludf.DUMMYFUNCTION("""COMPUTED_VALUE""")," ")</f>
        <v> </v>
      </c>
      <c r="M474" s="61"/>
      <c r="N474" s="61" t="str">
        <f>IFERROR(__xludf.DUMMYFUNCTION("""COMPUTED_VALUE""")," Need to deliver back to off-campus housing:)")</f>
        <v> Need to deliver back to off-campus housing:)</v>
      </c>
    </row>
    <row r="475">
      <c r="A475" s="102" t="str">
        <f>IFERROR(__xludf.DUMMYFUNCTION("""COMPUTED_VALUE"""),"https://utrucking.com/admin/orders/6424538644668")</f>
        <v>https://utrucking.com/admin/orders/6424538644668</v>
      </c>
      <c r="B475" s="65" t="str">
        <f>IFERROR(__xludf.DUMMYFUNCTION("""COMPUTED_VALUE"""),"#17562")</f>
        <v>#17562</v>
      </c>
      <c r="C475" s="65" t="str">
        <f>IFERROR(__xludf.DUMMYFUNCTION("""COMPUTED_VALUE"""),"mepspinner@aol.com")</f>
        <v>mepspinner@aol.com</v>
      </c>
      <c r="D475" s="65">
        <f>IFERROR(__xludf.DUMMYFUNCTION("""COMPUTED_VALUE"""),4.145874195E9)</f>
        <v>4145874195</v>
      </c>
      <c r="E475" s="65" t="str">
        <f>IFERROR(__xludf.DUMMYFUNCTION("""COMPUTED_VALUE"""),"Sarah Bahr")</f>
        <v>Sarah Bahr</v>
      </c>
      <c r="F475" s="65" t="str">
        <f>IFERROR(__xludf.DUMMYFUNCTION("""COMPUTED_VALUE"""),"Evan Bahr")</f>
        <v>Evan Bahr</v>
      </c>
      <c r="G475" s="65" t="str">
        <f>IFERROR(__xludf.DUMMYFUNCTION("""COMPUTED_VALUE""")," 1 [Included with Registration] / Included Insurance   - ")</f>
        <v> 1 [Included with Registration] / Included Insurance   - </v>
      </c>
      <c r="H475" s="65" t="str">
        <f>IFERROR(__xludf.DUMMYFUNCTION("""COMPUTED_VALUE"""),"Lee  ")</f>
        <v>Lee  </v>
      </c>
      <c r="I475" s="65" t="str">
        <f>IFERROR(__xludf.DUMMYFUNCTION("""COMPUTED_VALUE"""),"205")</f>
        <v>205</v>
      </c>
      <c r="J475" s="108" t="str">
        <f>IFERROR(__xludf.DUMMYFUNCTION("""COMPUTED_VALUE"""),"12:00 PM to 02:00 PM  ")</f>
        <v>12:00 PM to 02:00 PM  </v>
      </c>
      <c r="K475" s="103">
        <f>IFERROR(__xludf.DUMMYFUNCTION("""COMPUTED_VALUE"""),46148.0)</f>
        <v>46148</v>
      </c>
      <c r="L475" s="65" t="str">
        <f>IFERROR(__xludf.DUMMYFUNCTION("""COMPUTED_VALUE""")," ")</f>
        <v> </v>
      </c>
      <c r="M475" s="65"/>
      <c r="N475" s="65" t="str">
        <f>IFERROR(__xludf.DUMMYFUNCTION("""COMPUTED_VALUE""")," ")</f>
        <v> </v>
      </c>
    </row>
    <row r="476">
      <c r="A476" s="99" t="str">
        <f>IFERROR(__xludf.DUMMYFUNCTION("""COMPUTED_VALUE"""),"https://utrucking.com/admin/orders/6424563056828")</f>
        <v>https://utrucking.com/admin/orders/6424563056828</v>
      </c>
      <c r="B476" s="61" t="str">
        <f>IFERROR(__xludf.DUMMYFUNCTION("""COMPUTED_VALUE"""),"#17563")</f>
        <v>#17563</v>
      </c>
      <c r="C476" s="61" t="str">
        <f>IFERROR(__xludf.DUMMYFUNCTION("""COMPUTED_VALUE"""),"nbbenjamin07@gmail.com")</f>
        <v>nbbenjamin07@gmail.com</v>
      </c>
      <c r="D476" s="61">
        <f>IFERROR(__xludf.DUMMYFUNCTION("""COMPUTED_VALUE"""),8.722205605E9)</f>
        <v>8722205605</v>
      </c>
      <c r="E476" s="61" t="str">
        <f>IFERROR(__xludf.DUMMYFUNCTION("""COMPUTED_VALUE"""),"Brian Benjamin")</f>
        <v>Brian Benjamin</v>
      </c>
      <c r="F476" s="61" t="str">
        <f>IFERROR(__xludf.DUMMYFUNCTION("""COMPUTED_VALUE"""),"Natasha Benjamin")</f>
        <v>Natasha Benjamin</v>
      </c>
      <c r="G476" s="61" t="str">
        <f>IFERROR(__xludf.DUMMYFUNCTION("""COMPUTED_VALUE""")," 1 [Included with Registration] / Included Insurance   - ")</f>
        <v> 1 [Included with Registration] / Included Insurance   - </v>
      </c>
      <c r="H476" s="61" t="str">
        <f>IFERROR(__xludf.DUMMYFUNCTION("""COMPUTED_VALUE"""),"Shanedling  ")</f>
        <v>Shanedling  </v>
      </c>
      <c r="I476" s="61" t="str">
        <f>IFERROR(__xludf.DUMMYFUNCTION("""COMPUTED_VALUE"""),"332")</f>
        <v>332</v>
      </c>
      <c r="J476" s="107" t="str">
        <f>IFERROR(__xludf.DUMMYFUNCTION("""COMPUTED_VALUE"""),"02:00 PM to 04:00 PM")</f>
        <v>02:00 PM to 04:00 PM</v>
      </c>
      <c r="K476" s="100">
        <f>IFERROR(__xludf.DUMMYFUNCTION("""COMPUTED_VALUE"""),46147.0)</f>
        <v>46147</v>
      </c>
      <c r="L476" s="61" t="str">
        <f>IFERROR(__xludf.DUMMYFUNCTION("""COMPUTED_VALUE""")," ")</f>
        <v> </v>
      </c>
      <c r="M476" s="61"/>
      <c r="N476" s="61" t="str">
        <f>IFERROR(__xludf.DUMMYFUNCTION("""COMPUTED_VALUE""")," ")</f>
        <v> </v>
      </c>
    </row>
    <row r="477">
      <c r="A477" s="102" t="str">
        <f>IFERROR(__xludf.DUMMYFUNCTION("""COMPUTED_VALUE"""),"https://utrucking.com/admin/orders/6424602116284")</f>
        <v>https://utrucking.com/admin/orders/6424602116284</v>
      </c>
      <c r="B477" s="65" t="str">
        <f>IFERROR(__xludf.DUMMYFUNCTION("""COMPUTED_VALUE"""),"#17564")</f>
        <v>#17564</v>
      </c>
      <c r="C477" s="65" t="str">
        <f>IFERROR(__xludf.DUMMYFUNCTION("""COMPUTED_VALUE"""),"opraise@wustl.edu")</f>
        <v>opraise@wustl.edu</v>
      </c>
      <c r="D477" s="65">
        <f>IFERROR(__xludf.DUMMYFUNCTION("""COMPUTED_VALUE"""),6.466177915E9)</f>
        <v>6466177915</v>
      </c>
      <c r="E477" s="65" t="str">
        <f>IFERROR(__xludf.DUMMYFUNCTION("""COMPUTED_VALUE"""),"John Osarenren")</f>
        <v>John Osarenren</v>
      </c>
      <c r="F477" s="65" t="str">
        <f>IFERROR(__xludf.DUMMYFUNCTION("""COMPUTED_VALUE"""),"Praise Osarenren")</f>
        <v>Praise Osarenren</v>
      </c>
      <c r="G477" s="65" t="str">
        <f>IFERROR(__xludf.DUMMYFUNCTION("""COMPUTED_VALUE""")," 1 [Included with Registration] / Included Insurance   - ")</f>
        <v> 1 [Included with Registration] / Included Insurance   - </v>
      </c>
      <c r="H477" s="65" t="str">
        <f>IFERROR(__xludf.DUMMYFUNCTION("""COMPUTED_VALUE"""),"Umrath  ")</f>
        <v>Umrath  </v>
      </c>
      <c r="I477" s="65" t="str">
        <f>IFERROR(__xludf.DUMMYFUNCTION("""COMPUTED_VALUE"""),"4433")</f>
        <v>4433</v>
      </c>
      <c r="J477" s="108" t="str">
        <f>IFERROR(__xludf.DUMMYFUNCTION("""COMPUTED_VALUE"""),"02:00 PM to 04:00 PM")</f>
        <v>02:00 PM to 04:00 PM</v>
      </c>
      <c r="K477" s="103">
        <f>IFERROR(__xludf.DUMMYFUNCTION("""COMPUTED_VALUE"""),46148.0)</f>
        <v>46148</v>
      </c>
      <c r="L477" s="65" t="str">
        <f>IFERROR(__xludf.DUMMYFUNCTION("""COMPUTED_VALUE""")," ")</f>
        <v> </v>
      </c>
      <c r="M477" s="65"/>
      <c r="N477" s="65" t="str">
        <f>IFERROR(__xludf.DUMMYFUNCTION("""COMPUTED_VALUE""")," ")</f>
        <v> </v>
      </c>
    </row>
    <row r="478">
      <c r="A478" s="99" t="str">
        <f>IFERROR(__xludf.DUMMYFUNCTION("""COMPUTED_VALUE"""),"https://utrucking.com/admin/orders/6424629084348")</f>
        <v>https://utrucking.com/admin/orders/6424629084348</v>
      </c>
      <c r="B478" s="61" t="str">
        <f>IFERROR(__xludf.DUMMYFUNCTION("""COMPUTED_VALUE"""),"#17565")</f>
        <v>#17565</v>
      </c>
      <c r="C478" s="61" t="str">
        <f>IFERROR(__xludf.DUMMYFUNCTION("""COMPUTED_VALUE"""),"Julianas@wustl.edu")</f>
        <v>Julianas@wustl.edu</v>
      </c>
      <c r="D478" s="61">
        <f>IFERROR(__xludf.DUMMYFUNCTION("""COMPUTED_VALUE"""),8.086926846E9)</f>
        <v>8086926846</v>
      </c>
      <c r="E478" s="61" t="str">
        <f>IFERROR(__xludf.DUMMYFUNCTION("""COMPUTED_VALUE"""),"Juliana Shi")</f>
        <v>Juliana Shi</v>
      </c>
      <c r="F478" s="61" t="str">
        <f>IFERROR(__xludf.DUMMYFUNCTION("""COMPUTED_VALUE"""),"Juliana Shi")</f>
        <v>Juliana Shi</v>
      </c>
      <c r="G478" s="61" t="str">
        <f>IFERROR(__xludf.DUMMYFUNCTION("""COMPUTED_VALUE""")," 1 [Included with Registration] / Included Insurance   - ")</f>
        <v> 1 [Included with Registration] / Included Insurance   - </v>
      </c>
      <c r="H478" s="61" t="str">
        <f>IFERROR(__xludf.DUMMYFUNCTION("""COMPUTED_VALUE"""),"Hurd  ")</f>
        <v>Hurd  </v>
      </c>
      <c r="I478" s="61" t="str">
        <f>IFERROR(__xludf.DUMMYFUNCTION("""COMPUTED_VALUE"""),"142")</f>
        <v>142</v>
      </c>
      <c r="J478" s="107" t="str">
        <f>IFERROR(__xludf.DUMMYFUNCTION("""COMPUTED_VALUE"""),"03:00 PM to 05:00 PM")</f>
        <v>03:00 PM to 05:00 PM</v>
      </c>
      <c r="K478" s="100">
        <f>IFERROR(__xludf.DUMMYFUNCTION("""COMPUTED_VALUE"""),46147.0)</f>
        <v>46147</v>
      </c>
      <c r="L478" s="61" t="str">
        <f>IFERROR(__xludf.DUMMYFUNCTION("""COMPUTED_VALUE""")," ")</f>
        <v> </v>
      </c>
      <c r="M478" s="61"/>
      <c r="N478" s="61" t="str">
        <f>IFERROR(__xludf.DUMMYFUNCTION("""COMPUTED_VALUE""")," ")</f>
        <v> </v>
      </c>
    </row>
    <row r="479">
      <c r="A479" s="102" t="str">
        <f>IFERROR(__xludf.DUMMYFUNCTION("""COMPUTED_VALUE"""),"https://utrucking.com/admin/orders/6424716673212")</f>
        <v>https://utrucking.com/admin/orders/6424716673212</v>
      </c>
      <c r="B479" s="65" t="str">
        <f>IFERROR(__xludf.DUMMYFUNCTION("""COMPUTED_VALUE"""),"#17566")</f>
        <v>#17566</v>
      </c>
      <c r="C479" s="65" t="str">
        <f>IFERROR(__xludf.DUMMYFUNCTION("""COMPUTED_VALUE"""),"yuqiancheng2006@outllok.com")</f>
        <v>yuqiancheng2006@outllok.com</v>
      </c>
      <c r="D479" s="65">
        <f>IFERROR(__xludf.DUMMYFUNCTION("""COMPUTED_VALUE"""),5.572148981E9)</f>
        <v>5572148981</v>
      </c>
      <c r="E479" s="65" t="str">
        <f>IFERROR(__xludf.DUMMYFUNCTION("""COMPUTED_VALUE"""),"Johnny Yu")</f>
        <v>Johnny Yu</v>
      </c>
      <c r="F479" s="65" t="str">
        <f>IFERROR(__xludf.DUMMYFUNCTION("""COMPUTED_VALUE"""),"Johnny Yu")</f>
        <v>Johnny Yu</v>
      </c>
      <c r="G479" s="65" t="str">
        <f>IFERROR(__xludf.DUMMYFUNCTION("""COMPUTED_VALUE""")," 1 [Included with Registration] / Included Insurance   - ")</f>
        <v> 1 [Included with Registration] / Included Insurance   - </v>
      </c>
      <c r="H479" s="65" t="str">
        <f>IFERROR(__xludf.DUMMYFUNCTION("""COMPUTED_VALUE"""),"Shanedling  ")</f>
        <v>Shanedling  </v>
      </c>
      <c r="I479" s="65" t="str">
        <f>IFERROR(__xludf.DUMMYFUNCTION("""COMPUTED_VALUE"""),"234")</f>
        <v>234</v>
      </c>
      <c r="J479" s="108" t="str">
        <f>IFERROR(__xludf.DUMMYFUNCTION("""COMPUTED_VALUE"""),"01:00 PM to 03:00 PM  ")</f>
        <v>01:00 PM to 03:00 PM  </v>
      </c>
      <c r="K479" s="103">
        <f>IFERROR(__xludf.DUMMYFUNCTION("""COMPUTED_VALUE"""),46148.0)</f>
        <v>46148</v>
      </c>
      <c r="L479" s="65" t="str">
        <f>IFERROR(__xludf.DUMMYFUNCTION("""COMPUTED_VALUE""")," ")</f>
        <v> </v>
      </c>
      <c r="M479" s="65"/>
      <c r="N479" s="65" t="str">
        <f>IFERROR(__xludf.DUMMYFUNCTION("""COMPUTED_VALUE""")," ")</f>
        <v> </v>
      </c>
    </row>
    <row r="480">
      <c r="A480" s="99" t="str">
        <f>IFERROR(__xludf.DUMMYFUNCTION("""COMPUTED_VALUE"""),"https://utrucking.com/admin/orders/6424785682620")</f>
        <v>https://utrucking.com/admin/orders/6424785682620</v>
      </c>
      <c r="B480" s="61" t="str">
        <f>IFERROR(__xludf.DUMMYFUNCTION("""COMPUTED_VALUE"""),"#17567")</f>
        <v>#17567</v>
      </c>
      <c r="C480" s="61" t="str">
        <f>IFERROR(__xludf.DUMMYFUNCTION("""COMPUTED_VALUE"""),"yonjaekim06@gmail.com")</f>
        <v>yonjaekim06@gmail.com</v>
      </c>
      <c r="D480" s="61">
        <f>IFERROR(__xludf.DUMMYFUNCTION("""COMPUTED_VALUE"""),3.109624564E9)</f>
        <v>3109624564</v>
      </c>
      <c r="E480" s="61" t="str">
        <f>IFERROR(__xludf.DUMMYFUNCTION("""COMPUTED_VALUE"""),"Yonjae Kim")</f>
        <v>Yonjae Kim</v>
      </c>
      <c r="F480" s="61" t="str">
        <f>IFERROR(__xludf.DUMMYFUNCTION("""COMPUTED_VALUE"""),"Ethan Kim")</f>
        <v>Ethan Kim</v>
      </c>
      <c r="G480" s="61" t="str">
        <f>IFERROR(__xludf.DUMMYFUNCTION("""COMPUTED_VALUE""")," 1 [Included with Registration] / Included Insurance   - ")</f>
        <v> 1 [Included with Registration] / Included Insurance   - </v>
      </c>
      <c r="H480" s="61" t="str">
        <f>IFERROR(__xludf.DUMMYFUNCTION("""COMPUTED_VALUE"""),"Umrath  ")</f>
        <v>Umrath  </v>
      </c>
      <c r="I480" s="61" t="str">
        <f>IFERROR(__xludf.DUMMYFUNCTION("""COMPUTED_VALUE"""),"3331")</f>
        <v>3331</v>
      </c>
      <c r="J480" s="107" t="str">
        <f>IFERROR(__xludf.DUMMYFUNCTION("""COMPUTED_VALUE"""),"09:00 AM to 11:00 AM  ")</f>
        <v>09:00 AM to 11:00 AM  </v>
      </c>
      <c r="K480" s="100">
        <f>IFERROR(__xludf.DUMMYFUNCTION("""COMPUTED_VALUE"""),46143.0)</f>
        <v>46143</v>
      </c>
      <c r="L480" s="61" t="str">
        <f>IFERROR(__xludf.DUMMYFUNCTION("""COMPUTED_VALUE""")," ")</f>
        <v> </v>
      </c>
      <c r="M480" s="61"/>
      <c r="N480" s="61" t="str">
        <f>IFERROR(__xludf.DUMMYFUNCTION("""COMPUTED_VALUE""")," ")</f>
        <v> </v>
      </c>
    </row>
    <row r="481">
      <c r="A481" s="102" t="str">
        <f>IFERROR(__xludf.DUMMYFUNCTION("""COMPUTED_VALUE"""),"https://utrucking.com/admin/orders/6424931303612")</f>
        <v>https://utrucking.com/admin/orders/6424931303612</v>
      </c>
      <c r="B481" s="65" t="str">
        <f>IFERROR(__xludf.DUMMYFUNCTION("""COMPUTED_VALUE"""),"#17568")</f>
        <v>#17568</v>
      </c>
      <c r="C481" s="65" t="str">
        <f>IFERROR(__xludf.DUMMYFUNCTION("""COMPUTED_VALUE"""),"austendowney@icloud.com")</f>
        <v>austendowney@icloud.com</v>
      </c>
      <c r="D481" s="65">
        <f>IFERROR(__xludf.DUMMYFUNCTION("""COMPUTED_VALUE"""),6.466259442E9)</f>
        <v>6466259442</v>
      </c>
      <c r="E481" s="65" t="str">
        <f>IFERROR(__xludf.DUMMYFUNCTION("""COMPUTED_VALUE"""),"Adam Downey")</f>
        <v>Adam Downey</v>
      </c>
      <c r="F481" s="65" t="str">
        <f>IFERROR(__xludf.DUMMYFUNCTION("""COMPUTED_VALUE"""),"Austen Downey")</f>
        <v>Austen Downey</v>
      </c>
      <c r="G481" s="65" t="str">
        <f>IFERROR(__xludf.DUMMYFUNCTION("""COMPUTED_VALUE""")," 1 [Included with Registration] / Included Insurance   - ")</f>
        <v> 1 [Included with Registration] / Included Insurance   - </v>
      </c>
      <c r="H481" s="65" t="str">
        <f>IFERROR(__xludf.DUMMYFUNCTION("""COMPUTED_VALUE"""),"Dauten  ")</f>
        <v>Dauten  </v>
      </c>
      <c r="I481" s="65" t="str">
        <f>IFERROR(__xludf.DUMMYFUNCTION("""COMPUTED_VALUE"""),"411-A")</f>
        <v>411-A</v>
      </c>
      <c r="J481" s="108" t="str">
        <f>IFERROR(__xludf.DUMMYFUNCTION("""COMPUTED_VALUE"""),"02:00 PM to 04:00 PM")</f>
        <v>02:00 PM to 04:00 PM</v>
      </c>
      <c r="K481" s="103">
        <f>IFERROR(__xludf.DUMMYFUNCTION("""COMPUTED_VALUE"""),46144.0)</f>
        <v>46144</v>
      </c>
      <c r="L481" s="65" t="str">
        <f>IFERROR(__xludf.DUMMYFUNCTION("""COMPUTED_VALUE""")," ")</f>
        <v> </v>
      </c>
      <c r="M481" s="65"/>
      <c r="N481" s="65" t="str">
        <f>IFERROR(__xludf.DUMMYFUNCTION("""COMPUTED_VALUE""")," ")</f>
        <v> </v>
      </c>
    </row>
    <row r="482">
      <c r="A482" s="99" t="str">
        <f>IFERROR(__xludf.DUMMYFUNCTION("""COMPUTED_VALUE"""),"https://utrucking.com/admin/orders/6424994152636")</f>
        <v>https://utrucking.com/admin/orders/6424994152636</v>
      </c>
      <c r="B482" s="61" t="str">
        <f>IFERROR(__xludf.DUMMYFUNCTION("""COMPUTED_VALUE"""),"#17570")</f>
        <v>#17570</v>
      </c>
      <c r="C482" s="61" t="str">
        <f>IFERROR(__xludf.DUMMYFUNCTION("""COMPUTED_VALUE"""),"kate.wyss@yahoo.com")</f>
        <v>kate.wyss@yahoo.com</v>
      </c>
      <c r="D482" s="61">
        <f>IFERROR(__xludf.DUMMYFUNCTION("""COMPUTED_VALUE"""),4.155318474E9)</f>
        <v>4155318474</v>
      </c>
      <c r="E482" s="61" t="str">
        <f>IFERROR(__xludf.DUMMYFUNCTION("""COMPUTED_VALUE"""),"Kathleen Wyss")</f>
        <v>Kathleen Wyss</v>
      </c>
      <c r="F482" s="61" t="str">
        <f>IFERROR(__xludf.DUMMYFUNCTION("""COMPUTED_VALUE"""),"Maisy Wyss")</f>
        <v>Maisy Wyss</v>
      </c>
      <c r="G482" s="61" t="str">
        <f>IFERROR(__xludf.DUMMYFUNCTION("""COMPUTED_VALUE""")," 2 / Included Insurance   - ")</f>
        <v> 2 / Included Insurance   - </v>
      </c>
      <c r="H482" s="61" t="str">
        <f>IFERROR(__xludf.DUMMYFUNCTION("""COMPUTED_VALUE"""),"Hitzeman  ")</f>
        <v>Hitzeman  </v>
      </c>
      <c r="I482" s="61" t="str">
        <f>IFERROR(__xludf.DUMMYFUNCTION("""COMPUTED_VALUE"""),"14")</f>
        <v>14</v>
      </c>
      <c r="J482" s="107" t="str">
        <f>IFERROR(__xludf.DUMMYFUNCTION("""COMPUTED_VALUE"""),"09:00 AM to 11:00 AM  ")</f>
        <v>09:00 AM to 11:00 AM  </v>
      </c>
      <c r="K482" s="100">
        <f>IFERROR(__xludf.DUMMYFUNCTION("""COMPUTED_VALUE"""),46144.0)</f>
        <v>46144</v>
      </c>
      <c r="L482" s="61" t="str">
        <f>IFERROR(__xludf.DUMMYFUNCTION("""COMPUTED_VALUE""")," ")</f>
        <v> </v>
      </c>
      <c r="M482" s="61"/>
      <c r="N482" s="61" t="str">
        <f>IFERROR(__xludf.DUMMYFUNCTION("""COMPUTED_VALUE""")," maisy’s room is the single across from the bathroom. ")</f>
        <v> maisy’s room is the single across from the bathroom. </v>
      </c>
    </row>
    <row r="483">
      <c r="A483" s="102" t="str">
        <f>IFERROR(__xludf.DUMMYFUNCTION("""COMPUTED_VALUE"""),"https://utrucking.com/admin/orders/6425289228476")</f>
        <v>https://utrucking.com/admin/orders/6425289228476</v>
      </c>
      <c r="B483" s="65" t="str">
        <f>IFERROR(__xludf.DUMMYFUNCTION("""COMPUTED_VALUE"""),"#17571")</f>
        <v>#17571</v>
      </c>
      <c r="C483" s="65" t="str">
        <f>IFERROR(__xludf.DUMMYFUNCTION("""COMPUTED_VALUE"""),"JACKPWILLIAMS2006@GMAIL.COM")</f>
        <v>JACKPWILLIAMS2006@GMAIL.COM</v>
      </c>
      <c r="D483" s="65">
        <f>IFERROR(__xludf.DUMMYFUNCTION("""COMPUTED_VALUE"""),8.173132347E9)</f>
        <v>8173132347</v>
      </c>
      <c r="E483" s="65" t="str">
        <f>IFERROR(__xludf.DUMMYFUNCTION("""COMPUTED_VALUE"""),"STEPHANIE WILLIAMS")</f>
        <v>STEPHANIE WILLIAMS</v>
      </c>
      <c r="F483" s="65" t="str">
        <f>IFERROR(__xludf.DUMMYFUNCTION("""COMPUTED_VALUE"""),"Jackson Williams")</f>
        <v>Jackson Williams</v>
      </c>
      <c r="G483" s="65" t="str">
        <f>IFERROR(__xludf.DUMMYFUNCTION("""COMPUTED_VALUE""")," 1 [Included with Registration] / Included Insurance   - ")</f>
        <v> 1 [Included with Registration] / Included Insurance   - </v>
      </c>
      <c r="H483" s="65" t="str">
        <f>IFERROR(__xludf.DUMMYFUNCTION("""COMPUTED_VALUE"""),"Rutledge  ")</f>
        <v>Rutledge  </v>
      </c>
      <c r="I483" s="65" t="str">
        <f>IFERROR(__xludf.DUMMYFUNCTION("""COMPUTED_VALUE"""),"111")</f>
        <v>111</v>
      </c>
      <c r="J483" s="108" t="str">
        <f>IFERROR(__xludf.DUMMYFUNCTION("""COMPUTED_VALUE"""),"10:00 AM to 12:00 PM  ")</f>
        <v>10:00 AM to 12:00 PM  </v>
      </c>
      <c r="K483" s="103">
        <f>IFERROR(__xludf.DUMMYFUNCTION("""COMPUTED_VALUE"""),46148.0)</f>
        <v>46148</v>
      </c>
      <c r="L483" s="65" t="str">
        <f>IFERROR(__xludf.DUMMYFUNCTION("""COMPUTED_VALUE""")," ")</f>
        <v> </v>
      </c>
      <c r="M483" s="65"/>
      <c r="N483" s="65" t="str">
        <f>IFERROR(__xludf.DUMMYFUNCTION("""COMPUTED_VALUE""")," ")</f>
        <v> </v>
      </c>
    </row>
    <row r="484">
      <c r="A484" s="99" t="str">
        <f>IFERROR(__xludf.DUMMYFUNCTION("""COMPUTED_VALUE"""),"https://utrucking.com/admin/orders/6425629786300")</f>
        <v>https://utrucking.com/admin/orders/6425629786300</v>
      </c>
      <c r="B484" s="61" t="str">
        <f>IFERROR(__xludf.DUMMYFUNCTION("""COMPUTED_VALUE"""),"#17573")</f>
        <v>#17573</v>
      </c>
      <c r="C484" s="61" t="str">
        <f>IFERROR(__xludf.DUMMYFUNCTION("""COMPUTED_VALUE"""),"alexissrooks@gmail.com")</f>
        <v>alexissrooks@gmail.com</v>
      </c>
      <c r="D484" s="61">
        <f>IFERROR(__xludf.DUMMYFUNCTION("""COMPUTED_VALUE"""),7.342105336E9)</f>
        <v>7342105336</v>
      </c>
      <c r="E484" s="61" t="str">
        <f>IFERROR(__xludf.DUMMYFUNCTION("""COMPUTED_VALUE"""),"Lexie Rooks")</f>
        <v>Lexie Rooks</v>
      </c>
      <c r="F484" s="61" t="str">
        <f>IFERROR(__xludf.DUMMYFUNCTION("""COMPUTED_VALUE"""),"Alexis Rooks")</f>
        <v>Alexis Rooks</v>
      </c>
      <c r="G484" s="61" t="str">
        <f>IFERROR(__xludf.DUMMYFUNCTION("""COMPUTED_VALUE""")," 1 [Included with Registration] / Included Insurance   - ")</f>
        <v> 1 [Included with Registration] / Included Insurance   - </v>
      </c>
      <c r="H484" s="61" t="str">
        <f>IFERROR(__xludf.DUMMYFUNCTION("""COMPUTED_VALUE"""),"Zetcher  ")</f>
        <v>Zetcher  </v>
      </c>
      <c r="I484" s="61" t="str">
        <f>IFERROR(__xludf.DUMMYFUNCTION("""COMPUTED_VALUE"""),"2012")</f>
        <v>2012</v>
      </c>
      <c r="J484" s="107" t="str">
        <f>IFERROR(__xludf.DUMMYFUNCTION("""COMPUTED_VALUE"""),"10:00 AM to 12:00 PM  ")</f>
        <v>10:00 AM to 12:00 PM  </v>
      </c>
      <c r="K484" s="100">
        <f>IFERROR(__xludf.DUMMYFUNCTION("""COMPUTED_VALUE"""),46146.0)</f>
        <v>46146</v>
      </c>
      <c r="L484" s="61" t="str">
        <f>IFERROR(__xludf.DUMMYFUNCTION("""COMPUTED_VALUE""")," ")</f>
        <v> </v>
      </c>
      <c r="M484" s="61"/>
      <c r="N484" s="61" t="str">
        <f>IFERROR(__xludf.DUMMYFUNCTION("""COMPUTED_VALUE""")," ")</f>
        <v> </v>
      </c>
    </row>
    <row r="485">
      <c r="A485" s="102" t="str">
        <f>IFERROR(__xludf.DUMMYFUNCTION("""COMPUTED_VALUE"""),"https://utrucking.com/admin/orders/6425673597116")</f>
        <v>https://utrucking.com/admin/orders/6425673597116</v>
      </c>
      <c r="B485" s="65" t="str">
        <f>IFERROR(__xludf.DUMMYFUNCTION("""COMPUTED_VALUE"""),"#17574")</f>
        <v>#17574</v>
      </c>
      <c r="C485" s="65" t="str">
        <f>IFERROR(__xludf.DUMMYFUNCTION("""COMPUTED_VALUE"""),"jenny.shaojun@gmail.com")</f>
        <v>jenny.shaojun@gmail.com</v>
      </c>
      <c r="D485" s="65">
        <f>IFERROR(__xludf.DUMMYFUNCTION("""COMPUTED_VALUE"""),6.045519618E9)</f>
        <v>6045519618</v>
      </c>
      <c r="E485" s="65" t="str">
        <f>IFERROR(__xludf.DUMMYFUNCTION("""COMPUTED_VALUE"""),"Shaojun Chen")</f>
        <v>Shaojun Chen</v>
      </c>
      <c r="F485" s="65" t="str">
        <f>IFERROR(__xludf.DUMMYFUNCTION("""COMPUTED_VALUE"""),"Jin Chen")</f>
        <v>Jin Chen</v>
      </c>
      <c r="G485" s="65" t="str">
        <f>IFERROR(__xludf.DUMMYFUNCTION("""COMPUTED_VALUE""")," 1 [Included with Registration] / Included Insurance   - ")</f>
        <v> 1 [Included with Registration] / Included Insurance   - </v>
      </c>
      <c r="H485" s="65" t="str">
        <f>IFERROR(__xludf.DUMMYFUNCTION("""COMPUTED_VALUE"""),"Park  ")</f>
        <v>Park  </v>
      </c>
      <c r="I485" s="65" t="str">
        <f>IFERROR(__xludf.DUMMYFUNCTION("""COMPUTED_VALUE"""),"332")</f>
        <v>332</v>
      </c>
      <c r="J485" s="108" t="str">
        <f>IFERROR(__xludf.DUMMYFUNCTION("""COMPUTED_VALUE"""),"10:00 AM to 12:00 PM  ")</f>
        <v>10:00 AM to 12:00 PM  </v>
      </c>
      <c r="K485" s="103">
        <f>IFERROR(__xludf.DUMMYFUNCTION("""COMPUTED_VALUE"""),46149.0)</f>
        <v>46149</v>
      </c>
      <c r="L485" s="65" t="str">
        <f>IFERROR(__xludf.DUMMYFUNCTION("""COMPUTED_VALUE""")," ")</f>
        <v> </v>
      </c>
      <c r="M485" s="65"/>
      <c r="N485" s="65" t="str">
        <f>IFERROR(__xludf.DUMMYFUNCTION("""COMPUTED_VALUE""")," ")</f>
        <v> </v>
      </c>
    </row>
    <row r="486">
      <c r="A486" s="99" t="str">
        <f>IFERROR(__xludf.DUMMYFUNCTION("""COMPUTED_VALUE"""),"https://utrucking.com/admin/orders/6425891930300")</f>
        <v>https://utrucking.com/admin/orders/6425891930300</v>
      </c>
      <c r="B486" s="61" t="str">
        <f>IFERROR(__xludf.DUMMYFUNCTION("""COMPUTED_VALUE"""),"#17576")</f>
        <v>#17576</v>
      </c>
      <c r="C486" s="61" t="str">
        <f>IFERROR(__xludf.DUMMYFUNCTION("""COMPUTED_VALUE"""),"sarahkim0003@gmail.com")</f>
        <v>sarahkim0003@gmail.com</v>
      </c>
      <c r="D486" s="61">
        <f>IFERROR(__xludf.DUMMYFUNCTION("""COMPUTED_VALUE"""),6.615053724E9)</f>
        <v>6615053724</v>
      </c>
      <c r="E486" s="61" t="str">
        <f>IFERROR(__xludf.DUMMYFUNCTION("""COMPUTED_VALUE"""),"Jongho Kim")</f>
        <v>Jongho Kim</v>
      </c>
      <c r="F486" s="61" t="str">
        <f>IFERROR(__xludf.DUMMYFUNCTION("""COMPUTED_VALUE"""),"Sarah Kim")</f>
        <v>Sarah Kim</v>
      </c>
      <c r="G486" s="61" t="str">
        <f>IFERROR(__xludf.DUMMYFUNCTION("""COMPUTED_VALUE""")," 1 [Included with Registration] / Included Insurance   - ")</f>
        <v> 1 [Included with Registration] / Included Insurance   - </v>
      </c>
      <c r="H486" s="61" t="str">
        <f>IFERROR(__xludf.DUMMYFUNCTION("""COMPUTED_VALUE"""),"Umrath  ")</f>
        <v>Umrath  </v>
      </c>
      <c r="I486" s="61" t="str">
        <f>IFERROR(__xludf.DUMMYFUNCTION("""COMPUTED_VALUE"""),"3319")</f>
        <v>3319</v>
      </c>
      <c r="J486" s="107" t="str">
        <f>IFERROR(__xludf.DUMMYFUNCTION("""COMPUTED_VALUE"""),"09:00 AM to 11:00 AM  ")</f>
        <v>09:00 AM to 11:00 AM  </v>
      </c>
      <c r="K486" s="100">
        <f>IFERROR(__xludf.DUMMYFUNCTION("""COMPUTED_VALUE"""),46146.0)</f>
        <v>46146</v>
      </c>
      <c r="L486" s="61" t="str">
        <f>IFERROR(__xludf.DUMMYFUNCTION("""COMPUTED_VALUE""")," ")</f>
        <v> </v>
      </c>
      <c r="M486" s="61"/>
      <c r="N486" s="61" t="str">
        <f>IFERROR(__xludf.DUMMYFUNCTION("""COMPUTED_VALUE""")," ")</f>
        <v> </v>
      </c>
    </row>
    <row r="487">
      <c r="A487" s="102" t="str">
        <f>IFERROR(__xludf.DUMMYFUNCTION("""COMPUTED_VALUE"""),"https://utrucking.com/admin/orders/6426169606332")</f>
        <v>https://utrucking.com/admin/orders/6426169606332</v>
      </c>
      <c r="B487" s="65" t="str">
        <f>IFERROR(__xludf.DUMMYFUNCTION("""COMPUTED_VALUE"""),"#17577")</f>
        <v>#17577</v>
      </c>
      <c r="C487" s="65" t="str">
        <f>IFERROR(__xludf.DUMMYFUNCTION("""COMPUTED_VALUE"""),"jiayi1211moon@gmail.com")</f>
        <v>jiayi1211moon@gmail.com</v>
      </c>
      <c r="D487" s="65">
        <f>IFERROR(__xludf.DUMMYFUNCTION("""COMPUTED_VALUE"""),4.177666098E9)</f>
        <v>4177666098</v>
      </c>
      <c r="E487" s="65" t="str">
        <f>IFERROR(__xludf.DUMMYFUNCTION("""COMPUTED_VALUE"""),"Joyce Chen")</f>
        <v>Joyce Chen</v>
      </c>
      <c r="F487" s="65" t="str">
        <f>IFERROR(__xludf.DUMMYFUNCTION("""COMPUTED_VALUE"""),"Joyce Chen")</f>
        <v>Joyce Chen</v>
      </c>
      <c r="G487" s="65" t="str">
        <f>IFERROR(__xludf.DUMMYFUNCTION("""COMPUTED_VALUE""")," 1 [Included with Registration] / Included Insurance   - ")</f>
        <v> 1 [Included with Registration] / Included Insurance   - </v>
      </c>
      <c r="H487" s="65" t="str">
        <f>IFERROR(__xludf.DUMMYFUNCTION("""COMPUTED_VALUE"""),"Hitzeman  ")</f>
        <v>Hitzeman  </v>
      </c>
      <c r="I487" s="65" t="str">
        <f>IFERROR(__xludf.DUMMYFUNCTION("""COMPUTED_VALUE"""),"422")</f>
        <v>422</v>
      </c>
      <c r="J487" s="108" t="str">
        <f>IFERROR(__xludf.DUMMYFUNCTION("""COMPUTED_VALUE"""),"02:00 PM to 04:00 PM")</f>
        <v>02:00 PM to 04:00 PM</v>
      </c>
      <c r="K487" s="103">
        <f>IFERROR(__xludf.DUMMYFUNCTION("""COMPUTED_VALUE"""),46143.0)</f>
        <v>46143</v>
      </c>
      <c r="L487" s="65" t="str">
        <f>IFERROR(__xludf.DUMMYFUNCTION("""COMPUTED_VALUE""")," ")</f>
        <v> </v>
      </c>
      <c r="M487" s="65"/>
      <c r="N487" s="65" t="str">
        <f>IFERROR(__xludf.DUMMYFUNCTION("""COMPUTED_VALUE""")," ")</f>
        <v> </v>
      </c>
    </row>
    <row r="488">
      <c r="A488" s="99" t="str">
        <f>IFERROR(__xludf.DUMMYFUNCTION("""COMPUTED_VALUE"""),"https://utrucking.com/admin/orders/6426224361660")</f>
        <v>https://utrucking.com/admin/orders/6426224361660</v>
      </c>
      <c r="B488" s="61" t="str">
        <f>IFERROR(__xludf.DUMMYFUNCTION("""COMPUTED_VALUE"""),"#17579")</f>
        <v>#17579</v>
      </c>
      <c r="C488" s="61" t="str">
        <f>IFERROR(__xludf.DUMMYFUNCTION("""COMPUTED_VALUE"""),"mamadito@wustl.edu")</f>
        <v>mamadito@wustl.edu</v>
      </c>
      <c r="D488" s="61">
        <f>IFERROR(__xludf.DUMMYFUNCTION("""COMPUTED_VALUE"""),3.473644427E9)</f>
        <v>3473644427</v>
      </c>
      <c r="E488" s="61" t="str">
        <f>IFERROR(__xludf.DUMMYFUNCTION("""COMPUTED_VALUE"""),"Mamadito Chipfunde-Nong")</f>
        <v>Mamadito Chipfunde-Nong</v>
      </c>
      <c r="F488" s="61" t="str">
        <f>IFERROR(__xludf.DUMMYFUNCTION("""COMPUTED_VALUE"""),"Dito Chipfunde-Nong")</f>
        <v>Dito Chipfunde-Nong</v>
      </c>
      <c r="G488" s="61" t="str">
        <f>IFERROR(__xludf.DUMMYFUNCTION("""COMPUTED_VALUE""")," 1 [Included with Registration] / Included Insurance   - ")</f>
        <v> 1 [Included with Registration] / Included Insurance   - </v>
      </c>
      <c r="H488" s="61" t="str">
        <f>IFERROR(__xludf.DUMMYFUNCTION("""COMPUTED_VALUE"""),"Lien  ")</f>
        <v>Lien  </v>
      </c>
      <c r="I488" s="61" t="str">
        <f>IFERROR(__xludf.DUMMYFUNCTION("""COMPUTED_VALUE"""),"3317")</f>
        <v>3317</v>
      </c>
      <c r="J488" s="107" t="str">
        <f>IFERROR(__xludf.DUMMYFUNCTION("""COMPUTED_VALUE"""),"10:00 AM to 12:00 PM  ")</f>
        <v>10:00 AM to 12:00 PM  </v>
      </c>
      <c r="K488" s="100">
        <f>IFERROR(__xludf.DUMMYFUNCTION("""COMPUTED_VALUE"""),46147.0)</f>
        <v>46147</v>
      </c>
      <c r="L488" s="61" t="str">
        <f>IFERROR(__xludf.DUMMYFUNCTION("""COMPUTED_VALUE""")," ")</f>
        <v> </v>
      </c>
      <c r="M488" s="61"/>
      <c r="N488" s="61" t="str">
        <f>IFERROR(__xludf.DUMMYFUNCTION("""COMPUTED_VALUE""")," ")</f>
        <v> </v>
      </c>
    </row>
    <row r="489">
      <c r="A489" s="102" t="str">
        <f>IFERROR(__xludf.DUMMYFUNCTION("""COMPUTED_VALUE"""),"https://utrucking.com/admin/orders/6426729873596")</f>
        <v>https://utrucking.com/admin/orders/6426729873596</v>
      </c>
      <c r="B489" s="65" t="str">
        <f>IFERROR(__xludf.DUMMYFUNCTION("""COMPUTED_VALUE"""),"#17580")</f>
        <v>#17580</v>
      </c>
      <c r="C489" s="65" t="str">
        <f>IFERROR(__xludf.DUMMYFUNCTION("""COMPUTED_VALUE"""),"mdshandler@gmail.com")</f>
        <v>mdshandler@gmail.com</v>
      </c>
      <c r="D489" s="65">
        <f>IFERROR(__xludf.DUMMYFUNCTION("""COMPUTED_VALUE"""),9.176475824E9)</f>
        <v>9176475824</v>
      </c>
      <c r="E489" s="65" t="str">
        <f>IFERROR(__xludf.DUMMYFUNCTION("""COMPUTED_VALUE"""),"Chad Shandler")</f>
        <v>Chad Shandler</v>
      </c>
      <c r="F489" s="65" t="str">
        <f>IFERROR(__xludf.DUMMYFUNCTION("""COMPUTED_VALUE"""),"Marin Shandler")</f>
        <v>Marin Shandler</v>
      </c>
      <c r="G489" s="65" t="str">
        <f>IFERROR(__xludf.DUMMYFUNCTION("""COMPUTED_VALUE""")," 1 [Included with Registration] / $1000 of Additional Coverage   - ")</f>
        <v> 1 [Included with Registration] / $1000 of Additional Coverage   - </v>
      </c>
      <c r="H489" s="65" t="str">
        <f>IFERROR(__xludf.DUMMYFUNCTION("""COMPUTED_VALUE"""),"Hitzeman  ")</f>
        <v>Hitzeman  </v>
      </c>
      <c r="I489" s="65" t="str">
        <f>IFERROR(__xludf.DUMMYFUNCTION("""COMPUTED_VALUE"""),"232 bags may be in common room")</f>
        <v>232 bags may be in common room</v>
      </c>
      <c r="J489" s="108" t="str">
        <f>IFERROR(__xludf.DUMMYFUNCTION("""COMPUTED_VALUE"""),"09:00 AM to 11:00 AM  ")</f>
        <v>09:00 AM to 11:00 AM  </v>
      </c>
      <c r="K489" s="103">
        <f>IFERROR(__xludf.DUMMYFUNCTION("""COMPUTED_VALUE"""),46148.0)</f>
        <v>46148</v>
      </c>
      <c r="L489" s="65" t="str">
        <f>IFERROR(__xludf.DUMMYFUNCTION("""COMPUTED_VALUE""")," ")</f>
        <v> </v>
      </c>
      <c r="M489" s="65"/>
      <c r="N489" s="65" t="str">
        <f>IFERROR(__xludf.DUMMYFUNCTION("""COMPUTED_VALUE""")," Bags/Boxes may be organized in the common room.")</f>
        <v> Bags/Boxes may be organized in the common room.</v>
      </c>
    </row>
    <row r="490">
      <c r="A490" s="99" t="str">
        <f>IFERROR(__xludf.DUMMYFUNCTION("""COMPUTED_VALUE"""),"https://utrucking.com/admin/orders/6426907508924")</f>
        <v>https://utrucking.com/admin/orders/6426907508924</v>
      </c>
      <c r="B490" s="61" t="str">
        <f>IFERROR(__xludf.DUMMYFUNCTION("""COMPUTED_VALUE"""),"#17581")</f>
        <v>#17581</v>
      </c>
      <c r="C490" s="61" t="str">
        <f>IFERROR(__xludf.DUMMYFUNCTION("""COMPUTED_VALUE"""),"dkylejones753@gmail.com")</f>
        <v>dkylejones753@gmail.com</v>
      </c>
      <c r="D490" s="61">
        <f>IFERROR(__xludf.DUMMYFUNCTION("""COMPUTED_VALUE"""),8.623387181E9)</f>
        <v>8623387181</v>
      </c>
      <c r="E490" s="61" t="str">
        <f>IFERROR(__xludf.DUMMYFUNCTION("""COMPUTED_VALUE"""),"Dkyle Jones")</f>
        <v>Dkyle Jones</v>
      </c>
      <c r="F490" s="61" t="str">
        <f>IFERROR(__xludf.DUMMYFUNCTION("""COMPUTED_VALUE"""),"Dkyle Jones")</f>
        <v>Dkyle Jones</v>
      </c>
      <c r="G490" s="61" t="str">
        <f>IFERROR(__xludf.DUMMYFUNCTION("""COMPUTED_VALUE""")," 1 [Included with Registration] / Included Insurance   - ")</f>
        <v> 1 [Included with Registration] / Included Insurance   - </v>
      </c>
      <c r="H490" s="61" t="str">
        <f>IFERROR(__xludf.DUMMYFUNCTION("""COMPUTED_VALUE"""),"Danforth  ")</f>
        <v>Danforth  </v>
      </c>
      <c r="I490" s="61" t="str">
        <f>IFERROR(__xludf.DUMMYFUNCTION("""COMPUTED_VALUE"""),"4418")</f>
        <v>4418</v>
      </c>
      <c r="J490" s="107" t="str">
        <f>IFERROR(__xludf.DUMMYFUNCTION("""COMPUTED_VALUE"""),"09:00 AM to 11:00 AM  ")</f>
        <v>09:00 AM to 11:00 AM  </v>
      </c>
      <c r="K490" s="100">
        <f>IFERROR(__xludf.DUMMYFUNCTION("""COMPUTED_VALUE"""),46149.0)</f>
        <v>46149</v>
      </c>
      <c r="L490" s="61" t="str">
        <f>IFERROR(__xludf.DUMMYFUNCTION("""COMPUTED_VALUE""")," ")</f>
        <v> </v>
      </c>
      <c r="M490" s="61"/>
      <c r="N490" s="61" t="str">
        <f>IFERROR(__xludf.DUMMYFUNCTION("""COMPUTED_VALUE""")," ")</f>
        <v> </v>
      </c>
    </row>
    <row r="491">
      <c r="A491" s="102" t="str">
        <f>IFERROR(__xludf.DUMMYFUNCTION("""COMPUTED_VALUE"""),"https://utrucking.com/admin/orders/6426945749180")</f>
        <v>https://utrucking.com/admin/orders/6426945749180</v>
      </c>
      <c r="B491" s="65" t="str">
        <f>IFERROR(__xludf.DUMMYFUNCTION("""COMPUTED_VALUE"""),"#17582")</f>
        <v>#17582</v>
      </c>
      <c r="C491" s="65" t="str">
        <f>IFERROR(__xludf.DUMMYFUNCTION("""COMPUTED_VALUE"""),"plutok45@gmail.com")</f>
        <v>plutok45@gmail.com</v>
      </c>
      <c r="D491" s="65">
        <f>IFERROR(__xludf.DUMMYFUNCTION("""COMPUTED_VALUE"""),3.108030065E9)</f>
        <v>3108030065</v>
      </c>
      <c r="E491" s="65" t="str">
        <f>IFERROR(__xludf.DUMMYFUNCTION("""COMPUTED_VALUE"""),"Sonia Gaur")</f>
        <v>Sonia Gaur</v>
      </c>
      <c r="F491" s="65" t="str">
        <f>IFERROR(__xludf.DUMMYFUNCTION("""COMPUTED_VALUE"""),"Ria Kohli")</f>
        <v>Ria Kohli</v>
      </c>
      <c r="G491" s="65" t="str">
        <f>IFERROR(__xludf.DUMMYFUNCTION("""COMPUTED_VALUE""")," 1 [Included with Registration] / Included Insurance   - ")</f>
        <v> 1 [Included with Registration] / Included Insurance   - </v>
      </c>
      <c r="H491" s="65" t="str">
        <f>IFERROR(__xludf.DUMMYFUNCTION("""COMPUTED_VALUE"""),"Koenig  ")</f>
        <v>Koenig  </v>
      </c>
      <c r="I491" s="65" t="str">
        <f>IFERROR(__xludf.DUMMYFUNCTION("""COMPUTED_VALUE"""),"3318")</f>
        <v>3318</v>
      </c>
      <c r="J491" s="108" t="str">
        <f>IFERROR(__xludf.DUMMYFUNCTION("""COMPUTED_VALUE"""),"09:00 AM to 11:00 AM  ")</f>
        <v>09:00 AM to 11:00 AM  </v>
      </c>
      <c r="K491" s="103">
        <f>IFERROR(__xludf.DUMMYFUNCTION("""COMPUTED_VALUE"""),46148.0)</f>
        <v>46148</v>
      </c>
      <c r="L491" s="65" t="str">
        <f>IFERROR(__xludf.DUMMYFUNCTION("""COMPUTED_VALUE""")," ")</f>
        <v> </v>
      </c>
      <c r="M491" s="65"/>
      <c r="N491" s="65" t="str">
        <f>IFERROR(__xludf.DUMMYFUNCTION("""COMPUTED_VALUE""")," ")</f>
        <v> </v>
      </c>
    </row>
    <row r="492">
      <c r="A492" s="99" t="str">
        <f>IFERROR(__xludf.DUMMYFUNCTION("""COMPUTED_VALUE"""),"https://utrucking.com/admin/orders/6426992345276")</f>
        <v>https://utrucking.com/admin/orders/6426992345276</v>
      </c>
      <c r="B492" s="61" t="str">
        <f>IFERROR(__xludf.DUMMYFUNCTION("""COMPUTED_VALUE"""),"#17583")</f>
        <v>#17583</v>
      </c>
      <c r="C492" s="61" t="str">
        <f>IFERROR(__xludf.DUMMYFUNCTION("""COMPUTED_VALUE"""),"miranda.m@wustl.edu")</f>
        <v>miranda.m@wustl.edu</v>
      </c>
      <c r="D492" s="61">
        <f>IFERROR(__xludf.DUMMYFUNCTION("""COMPUTED_VALUE"""),5.209884904E9)</f>
        <v>5209884904</v>
      </c>
      <c r="E492" s="61" t="str">
        <f>IFERROR(__xludf.DUMMYFUNCTION("""COMPUTED_VALUE"""),"Eliana Urias")</f>
        <v>Eliana Urias</v>
      </c>
      <c r="F492" s="61" t="str">
        <f>IFERROR(__xludf.DUMMYFUNCTION("""COMPUTED_VALUE"""),"Miranda Moreno Urias")</f>
        <v>Miranda Moreno Urias</v>
      </c>
      <c r="G492" s="61" t="str">
        <f>IFERROR(__xludf.DUMMYFUNCTION("""COMPUTED_VALUE""")," 1 [Included with Registration] / Included Insurance   - ")</f>
        <v> 1 [Included with Registration] / Included Insurance   - </v>
      </c>
      <c r="H492" s="61" t="str">
        <f>IFERROR(__xludf.DUMMYFUNCTION("""COMPUTED_VALUE"""),"Umrath  ")</f>
        <v>Umrath  </v>
      </c>
      <c r="I492" s="61" t="str">
        <f>IFERROR(__xludf.DUMMYFUNCTION("""COMPUTED_VALUE"""),"4406")</f>
        <v>4406</v>
      </c>
      <c r="J492" s="107" t="str">
        <f>IFERROR(__xludf.DUMMYFUNCTION("""COMPUTED_VALUE"""),"01:00 PM to 03:00 PM  ")</f>
        <v>01:00 PM to 03:00 PM  </v>
      </c>
      <c r="K492" s="100">
        <f>IFERROR(__xludf.DUMMYFUNCTION("""COMPUTED_VALUE"""),46147.0)</f>
        <v>46147</v>
      </c>
      <c r="L492" s="61" t="str">
        <f>IFERROR(__xludf.DUMMYFUNCTION("""COMPUTED_VALUE""")," ")</f>
        <v> </v>
      </c>
      <c r="M492" s="61"/>
      <c r="N492" s="61" t="str">
        <f>IFERROR(__xludf.DUMMYFUNCTION("""COMPUTED_VALUE""")," ")</f>
        <v> </v>
      </c>
    </row>
    <row r="493">
      <c r="A493" s="102" t="str">
        <f>IFERROR(__xludf.DUMMYFUNCTION("""COMPUTED_VALUE"""),"https://utrucking.com/admin/orders/6427309867196")</f>
        <v>https://utrucking.com/admin/orders/6427309867196</v>
      </c>
      <c r="B493" s="65" t="str">
        <f>IFERROR(__xludf.DUMMYFUNCTION("""COMPUTED_VALUE"""),"#17586")</f>
        <v>#17586</v>
      </c>
      <c r="C493" s="65" t="str">
        <f>IFERROR(__xludf.DUMMYFUNCTION("""COMPUTED_VALUE"""),"mimirose.kocay@gmail.com")</f>
        <v>mimirose.kocay@gmail.com</v>
      </c>
      <c r="D493" s="65">
        <f>IFERROR(__xludf.DUMMYFUNCTION("""COMPUTED_VALUE"""),9.178365787E9)</f>
        <v>9178365787</v>
      </c>
      <c r="E493" s="65" t="str">
        <f>IFERROR(__xludf.DUMMYFUNCTION("""COMPUTED_VALUE"""),"Deborah Birnbaum")</f>
        <v>Deborah Birnbaum</v>
      </c>
      <c r="F493" s="65" t="str">
        <f>IFERROR(__xludf.DUMMYFUNCTION("""COMPUTED_VALUE"""),"Amelia Kocay")</f>
        <v>Amelia Kocay</v>
      </c>
      <c r="G493" s="65" t="str">
        <f>IFERROR(__xludf.DUMMYFUNCTION("""COMPUTED_VALUE""")," 2 / Included Insurance   - ")</f>
        <v> 2 / Included Insurance   - </v>
      </c>
      <c r="H493" s="65" t="str">
        <f>IFERROR(__xludf.DUMMYFUNCTION("""COMPUTED_VALUE"""),"Millbrook Bldg. 2  ")</f>
        <v>Millbrook Bldg. 2  </v>
      </c>
      <c r="I493" s="65" t="str">
        <f>IFERROR(__xludf.DUMMYFUNCTION("""COMPUTED_VALUE"""),"201B")</f>
        <v>201B</v>
      </c>
      <c r="J493" s="108" t="str">
        <f>IFERROR(__xludf.DUMMYFUNCTION("""COMPUTED_VALUE"""),"01:00 PM to 03:00 PM  ")</f>
        <v>01:00 PM to 03:00 PM  </v>
      </c>
      <c r="K493" s="103">
        <f>IFERROR(__xludf.DUMMYFUNCTION("""COMPUTED_VALUE"""),46150.0)</f>
        <v>46150</v>
      </c>
      <c r="L493" s="65" t="str">
        <f>IFERROR(__xludf.DUMMYFUNCTION("""COMPUTED_VALUE""")," ")</f>
        <v> </v>
      </c>
      <c r="M493" s="65"/>
      <c r="N493" s="65" t="str">
        <f>IFERROR(__xludf.DUMMYFUNCTION("""COMPUTED_VALUE""")," ")</f>
        <v> </v>
      </c>
    </row>
    <row r="494">
      <c r="A494" s="99" t="str">
        <f>IFERROR(__xludf.DUMMYFUNCTION("""COMPUTED_VALUE"""),"https://utrucking.com/admin/orders/6427347419324")</f>
        <v>https://utrucking.com/admin/orders/6427347419324</v>
      </c>
      <c r="B494" s="61" t="str">
        <f>IFERROR(__xludf.DUMMYFUNCTION("""COMPUTED_VALUE"""),"#17587")</f>
        <v>#17587</v>
      </c>
      <c r="C494" s="61" t="str">
        <f>IFERROR(__xludf.DUMMYFUNCTION("""COMPUTED_VALUE"""),"k.love-fabrizio@wustl.edu")</f>
        <v>k.love-fabrizio@wustl.edu</v>
      </c>
      <c r="D494" s="61">
        <f>IFERROR(__xludf.DUMMYFUNCTION("""COMPUTED_VALUE"""),1.2023085714E10)</f>
        <v>12023085714</v>
      </c>
      <c r="E494" s="61" t="str">
        <f>IFERROR(__xludf.DUMMYFUNCTION("""COMPUTED_VALUE"""),"Kenneth Love-Fabrizio")</f>
        <v>Kenneth Love-Fabrizio</v>
      </c>
      <c r="F494" s="61" t="str">
        <f>IFERROR(__xludf.DUMMYFUNCTION("""COMPUTED_VALUE"""),"Kenneth Love-Fabrizio")</f>
        <v>Kenneth Love-Fabrizio</v>
      </c>
      <c r="G494" s="61" t="str">
        <f>IFERROR(__xludf.DUMMYFUNCTION("""COMPUTED_VALUE""")," 1 [Included with Registration] / Included Insurance   - ")</f>
        <v> 1 [Included with Registration] / Included Insurance   - </v>
      </c>
      <c r="H494" s="61" t="str">
        <f>IFERROR(__xludf.DUMMYFUNCTION("""COMPUTED_VALUE"""),"Nemerov  ")</f>
        <v>Nemerov  </v>
      </c>
      <c r="I494" s="61" t="str">
        <f>IFERROR(__xludf.DUMMYFUNCTION("""COMPUTED_VALUE"""),"2010")</f>
        <v>2010</v>
      </c>
      <c r="J494" s="107" t="str">
        <f>IFERROR(__xludf.DUMMYFUNCTION("""COMPUTED_VALUE"""),"03:00 PM to 05:00 PM")</f>
        <v>03:00 PM to 05:00 PM</v>
      </c>
      <c r="K494" s="100">
        <f>IFERROR(__xludf.DUMMYFUNCTION("""COMPUTED_VALUE"""),46146.0)</f>
        <v>46146</v>
      </c>
      <c r="L494" s="61" t="str">
        <f>IFERROR(__xludf.DUMMYFUNCTION("""COMPUTED_VALUE""")," ")</f>
        <v> </v>
      </c>
      <c r="M494" s="61"/>
      <c r="N494" s="61" t="str">
        <f>IFERROR(__xludf.DUMMYFUNCTION("""COMPUTED_VALUE""")," ")</f>
        <v> </v>
      </c>
    </row>
    <row r="495">
      <c r="A495" s="102" t="str">
        <f>IFERROR(__xludf.DUMMYFUNCTION("""COMPUTED_VALUE"""),"https://utrucking.com/admin/orders/6427371864252")</f>
        <v>https://utrucking.com/admin/orders/6427371864252</v>
      </c>
      <c r="B495" s="65" t="str">
        <f>IFERROR(__xludf.DUMMYFUNCTION("""COMPUTED_VALUE"""),"#17588")</f>
        <v>#17588</v>
      </c>
      <c r="C495" s="65" t="str">
        <f>IFERROR(__xludf.DUMMYFUNCTION("""COMPUTED_VALUE"""),"e.a.feles@wustl.edu")</f>
        <v>e.a.feles@wustl.edu</v>
      </c>
      <c r="D495" s="65">
        <f>IFERROR(__xludf.DUMMYFUNCTION("""COMPUTED_VALUE"""),3.137192929E9)</f>
        <v>3137192929</v>
      </c>
      <c r="E495" s="65" t="str">
        <f>IFERROR(__xludf.DUMMYFUNCTION("""COMPUTED_VALUE"""),"Melanie Feles")</f>
        <v>Melanie Feles</v>
      </c>
      <c r="F495" s="65" t="str">
        <f>IFERROR(__xludf.DUMMYFUNCTION("""COMPUTED_VALUE"""),"Eve Feles")</f>
        <v>Eve Feles</v>
      </c>
      <c r="G495" s="65" t="str">
        <f>IFERROR(__xludf.DUMMYFUNCTION("""COMPUTED_VALUE""")," 1 [Included with Registration] / Included Insurance   - ")</f>
        <v> 1 [Included with Registration] / Included Insurance   - </v>
      </c>
      <c r="H495" s="65" t="str">
        <f>IFERROR(__xludf.DUMMYFUNCTION("""COMPUTED_VALUE"""),"Umrath  ")</f>
        <v>Umrath  </v>
      </c>
      <c r="I495" s="65" t="str">
        <f>IFERROR(__xludf.DUMMYFUNCTION("""COMPUTED_VALUE"""),"4403")</f>
        <v>4403</v>
      </c>
      <c r="J495" s="108" t="str">
        <f>IFERROR(__xludf.DUMMYFUNCTION("""COMPUTED_VALUE"""),"10:00 AM to 12:00 PM  ")</f>
        <v>10:00 AM to 12:00 PM  </v>
      </c>
      <c r="K495" s="103">
        <f>IFERROR(__xludf.DUMMYFUNCTION("""COMPUTED_VALUE"""),46147.0)</f>
        <v>46147</v>
      </c>
      <c r="L495" s="65" t="str">
        <f>IFERROR(__xludf.DUMMYFUNCTION("""COMPUTED_VALUE""")," ")</f>
        <v> </v>
      </c>
      <c r="M495" s="65"/>
      <c r="N495" s="65" t="str">
        <f>IFERROR(__xludf.DUMMYFUNCTION("""COMPUTED_VALUE""")," ")</f>
        <v> </v>
      </c>
    </row>
    <row r="496">
      <c r="A496" s="99" t="str">
        <f>IFERROR(__xludf.DUMMYFUNCTION("""COMPUTED_VALUE"""),"https://utrucking.com/admin/orders/6427375861948")</f>
        <v>https://utrucking.com/admin/orders/6427375861948</v>
      </c>
      <c r="B496" s="61" t="str">
        <f>IFERROR(__xludf.DUMMYFUNCTION("""COMPUTED_VALUE"""),"#17589")</f>
        <v>#17589</v>
      </c>
      <c r="C496" s="61" t="str">
        <f>IFERROR(__xludf.DUMMYFUNCTION("""COMPUTED_VALUE"""),"rewang991@gmail.com")</f>
        <v>rewang991@gmail.com</v>
      </c>
      <c r="D496" s="61">
        <f>IFERROR(__xludf.DUMMYFUNCTION("""COMPUTED_VALUE"""),6.092750621E9)</f>
        <v>6092750621</v>
      </c>
      <c r="E496" s="61" t="str">
        <f>IFERROR(__xludf.DUMMYFUNCTION("""COMPUTED_VALUE"""),"W Wang")</f>
        <v>W Wang</v>
      </c>
      <c r="F496" s="61" t="str">
        <f>IFERROR(__xludf.DUMMYFUNCTION("""COMPUTED_VALUE"""),"Sarah Tong")</f>
        <v>Sarah Tong</v>
      </c>
      <c r="G496" s="61" t="str">
        <f>IFERROR(__xludf.DUMMYFUNCTION("""COMPUTED_VALUE""")," 1 [Included with Registration] / Included Insurance   - ")</f>
        <v> 1 [Included with Registration] / Included Insurance   - </v>
      </c>
      <c r="H496" s="61" t="str">
        <f>IFERROR(__xludf.DUMMYFUNCTION("""COMPUTED_VALUE"""),"Koenig  ")</f>
        <v>Koenig  </v>
      </c>
      <c r="I496" s="61" t="str">
        <f>IFERROR(__xludf.DUMMYFUNCTION("""COMPUTED_VALUE"""),"3320")</f>
        <v>3320</v>
      </c>
      <c r="J496" s="107" t="str">
        <f>IFERROR(__xludf.DUMMYFUNCTION("""COMPUTED_VALUE"""),"09:00 AM to 11:00 AM  ")</f>
        <v>09:00 AM to 11:00 AM  </v>
      </c>
      <c r="K496" s="100">
        <f>IFERROR(__xludf.DUMMYFUNCTION("""COMPUTED_VALUE"""),46148.0)</f>
        <v>46148</v>
      </c>
      <c r="L496" s="61" t="str">
        <f>IFERROR(__xludf.DUMMYFUNCTION("""COMPUTED_VALUE""")," ")</f>
        <v> </v>
      </c>
      <c r="M496" s="61"/>
      <c r="N496" s="61" t="str">
        <f>IFERROR(__xludf.DUMMYFUNCTION("""COMPUTED_VALUE""")," ")</f>
        <v> </v>
      </c>
    </row>
    <row r="497">
      <c r="A497" s="102" t="str">
        <f>IFERROR(__xludf.DUMMYFUNCTION("""COMPUTED_VALUE"""),"https://utrucking.com/admin/orders/6427519975612")</f>
        <v>https://utrucking.com/admin/orders/6427519975612</v>
      </c>
      <c r="B497" s="65" t="str">
        <f>IFERROR(__xludf.DUMMYFUNCTION("""COMPUTED_VALUE"""),"#17590")</f>
        <v>#17590</v>
      </c>
      <c r="C497" s="65" t="str">
        <f>IFERROR(__xludf.DUMMYFUNCTION("""COMPUTED_VALUE"""),"kareenasundaram@gmail.com")</f>
        <v>kareenasundaram@gmail.com</v>
      </c>
      <c r="D497" s="65">
        <f>IFERROR(__xludf.DUMMYFUNCTION("""COMPUTED_VALUE"""),3.03921278E9)</f>
        <v>3039212780</v>
      </c>
      <c r="E497" s="65" t="str">
        <f>IFERROR(__xludf.DUMMYFUNCTION("""COMPUTED_VALUE"""),"Shikha Sundaram")</f>
        <v>Shikha Sundaram</v>
      </c>
      <c r="F497" s="65" t="str">
        <f>IFERROR(__xludf.DUMMYFUNCTION("""COMPUTED_VALUE"""),"Kareena Sundaram")</f>
        <v>Kareena Sundaram</v>
      </c>
      <c r="G497" s="65" t="str">
        <f>IFERROR(__xludf.DUMMYFUNCTION("""COMPUTED_VALUE""")," 1 [Included with Registration] / Included Insurance   - ")</f>
        <v> 1 [Included with Registration] / Included Insurance   - </v>
      </c>
      <c r="H497" s="65" t="str">
        <f>IFERROR(__xludf.DUMMYFUNCTION("""COMPUTED_VALUE"""),"Danforth  ")</f>
        <v>Danforth  </v>
      </c>
      <c r="I497" s="65" t="str">
        <f>IFERROR(__xludf.DUMMYFUNCTION("""COMPUTED_VALUE"""),"2222")</f>
        <v>2222</v>
      </c>
      <c r="J497" s="108" t="str">
        <f>IFERROR(__xludf.DUMMYFUNCTION("""COMPUTED_VALUE"""),"01:00 PM to 03:00 PM  ")</f>
        <v>01:00 PM to 03:00 PM  </v>
      </c>
      <c r="K497" s="103">
        <f>IFERROR(__xludf.DUMMYFUNCTION("""COMPUTED_VALUE"""),46148.0)</f>
        <v>46148</v>
      </c>
      <c r="L497" s="65" t="str">
        <f>IFERROR(__xludf.DUMMYFUNCTION("""COMPUTED_VALUE""")," ")</f>
        <v> </v>
      </c>
      <c r="M497" s="65"/>
      <c r="N497" s="65" t="str">
        <f>IFERROR(__xludf.DUMMYFUNCTION("""COMPUTED_VALUE""")," ")</f>
        <v> </v>
      </c>
    </row>
    <row r="498">
      <c r="A498" s="99" t="str">
        <f>IFERROR(__xludf.DUMMYFUNCTION("""COMPUTED_VALUE"""),"https://utrucking.com/admin/orders/6427541962940")</f>
        <v>https://utrucking.com/admin/orders/6427541962940</v>
      </c>
      <c r="B498" s="61" t="str">
        <f>IFERROR(__xludf.DUMMYFUNCTION("""COMPUTED_VALUE"""),"#17591")</f>
        <v>#17591</v>
      </c>
      <c r="C498" s="61" t="str">
        <f>IFERROR(__xludf.DUMMYFUNCTION("""COMPUTED_VALUE"""),"tom.wang@wustl.edu")</f>
        <v>tom.wang@wustl.edu</v>
      </c>
      <c r="D498" s="61">
        <f>IFERROR(__xludf.DUMMYFUNCTION("""COMPUTED_VALUE"""),3.142241746E9)</f>
        <v>3142241746</v>
      </c>
      <c r="E498" s="61" t="str">
        <f>IFERROR(__xludf.DUMMYFUNCTION("""COMPUTED_VALUE"""),"Tom Wang")</f>
        <v>Tom Wang</v>
      </c>
      <c r="F498" s="61" t="str">
        <f>IFERROR(__xludf.DUMMYFUNCTION("""COMPUTED_VALUE"""),"Tom Wang")</f>
        <v>Tom Wang</v>
      </c>
      <c r="G498" s="61" t="str">
        <f>IFERROR(__xludf.DUMMYFUNCTION("""COMPUTED_VALUE""")," 2 / Included Insurance   - ")</f>
        <v> 2 / Included Insurance   - </v>
      </c>
      <c r="H498" s="61" t="str">
        <f>IFERROR(__xludf.DUMMYFUNCTION("""COMPUTED_VALUE"""),"Beaumont")</f>
        <v>Beaumont</v>
      </c>
      <c r="I498" s="61" t="str">
        <f>IFERROR(__xludf.DUMMYFUNCTION("""COMPUTED_VALUE"""),"207")</f>
        <v>207</v>
      </c>
      <c r="J498" s="107" t="str">
        <f>IFERROR(__xludf.DUMMYFUNCTION("""COMPUTED_VALUE"""),"03:00 PM to 05:00 PM")</f>
        <v>03:00 PM to 05:00 PM</v>
      </c>
      <c r="K498" s="100">
        <f>IFERROR(__xludf.DUMMYFUNCTION("""COMPUTED_VALUE"""),46148.0)</f>
        <v>46148</v>
      </c>
      <c r="L498" s="61" t="str">
        <f>IFERROR(__xludf.DUMMYFUNCTION("""COMPUTED_VALUE""")," ")</f>
        <v> </v>
      </c>
      <c r="M498" s="61"/>
      <c r="N498" s="61" t="str">
        <f>IFERROR(__xludf.DUMMYFUNCTION("""COMPUTED_VALUE""")," ")</f>
        <v> </v>
      </c>
    </row>
    <row r="499">
      <c r="A499" s="102" t="str">
        <f>IFERROR(__xludf.DUMMYFUNCTION("""COMPUTED_VALUE"""),"https://utrucking.com/admin/orders/6427688173756")</f>
        <v>https://utrucking.com/admin/orders/6427688173756</v>
      </c>
      <c r="B499" s="65" t="str">
        <f>IFERROR(__xludf.DUMMYFUNCTION("""COMPUTED_VALUE"""),"#17592")</f>
        <v>#17592</v>
      </c>
      <c r="C499" s="65" t="str">
        <f>IFERROR(__xludf.DUMMYFUNCTION("""COMPUTED_VALUE"""),"s.venkat@wustl.edu")</f>
        <v>s.venkat@wustl.edu</v>
      </c>
      <c r="D499" s="65">
        <f>IFERROR(__xludf.DUMMYFUNCTION("""COMPUTED_VALUE"""),5.106760531E9)</f>
        <v>5106760531</v>
      </c>
      <c r="E499" s="65" t="str">
        <f>IFERROR(__xludf.DUMMYFUNCTION("""COMPUTED_VALUE"""),"Sripriya Srinivasan")</f>
        <v>Sripriya Srinivasan</v>
      </c>
      <c r="F499" s="65" t="str">
        <f>IFERROR(__xludf.DUMMYFUNCTION("""COMPUTED_VALUE"""),"Sairisheeth Venkat")</f>
        <v>Sairisheeth Venkat</v>
      </c>
      <c r="G499" s="65" t="str">
        <f>IFERROR(__xludf.DUMMYFUNCTION("""COMPUTED_VALUE""")," 1 [Included with Registration] / Included Insurance   - ")</f>
        <v> 1 [Included with Registration] / Included Insurance   - </v>
      </c>
      <c r="H499" s="65" t="str">
        <f>IFERROR(__xludf.DUMMYFUNCTION("""COMPUTED_VALUE"""),"Shepley  ")</f>
        <v>Shepley  </v>
      </c>
      <c r="I499" s="65" t="str">
        <f>IFERROR(__xludf.DUMMYFUNCTION("""COMPUTED_VALUE"""),"2021 - a")</f>
        <v>2021 - a</v>
      </c>
      <c r="J499" s="108" t="str">
        <f>IFERROR(__xludf.DUMMYFUNCTION("""COMPUTED_VALUE"""),"09:00 AM to 11:00 AM  ")</f>
        <v>09:00 AM to 11:00 AM  </v>
      </c>
      <c r="K499" s="103">
        <f>IFERROR(__xludf.DUMMYFUNCTION("""COMPUTED_VALUE"""),46150.0)</f>
        <v>46150</v>
      </c>
      <c r="L499" s="65" t="str">
        <f>IFERROR(__xludf.DUMMYFUNCTION("""COMPUTED_VALUE""")," ")</f>
        <v> </v>
      </c>
      <c r="M499" s="65"/>
      <c r="N499" s="65" t="str">
        <f>IFERROR(__xludf.DUMMYFUNCTION("""COMPUTED_VALUE""")," ")</f>
        <v> </v>
      </c>
    </row>
    <row r="500">
      <c r="A500" s="99" t="str">
        <f>IFERROR(__xludf.DUMMYFUNCTION("""COMPUTED_VALUE"""),"https://utrucking.com/admin/orders/6427703836860")</f>
        <v>https://utrucking.com/admin/orders/6427703836860</v>
      </c>
      <c r="B500" s="61" t="str">
        <f>IFERROR(__xludf.DUMMYFUNCTION("""COMPUTED_VALUE"""),"#17593")</f>
        <v>#17593</v>
      </c>
      <c r="C500" s="61" t="str">
        <f>IFERROR(__xludf.DUMMYFUNCTION("""COMPUTED_VALUE"""),"Jksand2007@gmail.com")</f>
        <v>Jksand2007@gmail.com</v>
      </c>
      <c r="D500" s="61">
        <f>IFERROR(__xludf.DUMMYFUNCTION("""COMPUTED_VALUE"""),9.192687045E9)</f>
        <v>9192687045</v>
      </c>
      <c r="E500" s="61" t="str">
        <f>IFERROR(__xludf.DUMMYFUNCTION("""COMPUTED_VALUE"""),"Jaden Sanders")</f>
        <v>Jaden Sanders</v>
      </c>
      <c r="F500" s="61" t="str">
        <f>IFERROR(__xludf.DUMMYFUNCTION("""COMPUTED_VALUE"""),"Jaden Sanders ")</f>
        <v>Jaden Sanders </v>
      </c>
      <c r="G500" s="61" t="str">
        <f>IFERROR(__xludf.DUMMYFUNCTION("""COMPUTED_VALUE""")," 1 [Included with Registration] / Included Insurance   - ")</f>
        <v> 1 [Included with Registration] / Included Insurance   - </v>
      </c>
      <c r="H500" s="61" t="str">
        <f>IFERROR(__xludf.DUMMYFUNCTION("""COMPUTED_VALUE"""),"Lee  ")</f>
        <v>Lee  </v>
      </c>
      <c r="I500" s="61" t="str">
        <f>IFERROR(__xludf.DUMMYFUNCTION("""COMPUTED_VALUE"""),"304")</f>
        <v>304</v>
      </c>
      <c r="J500" s="107" t="str">
        <f>IFERROR(__xludf.DUMMYFUNCTION("""COMPUTED_VALUE"""),"12:00 PM to 02:00 PM  ")</f>
        <v>12:00 PM to 02:00 PM  </v>
      </c>
      <c r="K500" s="100">
        <f>IFERROR(__xludf.DUMMYFUNCTION("""COMPUTED_VALUE"""),46148.0)</f>
        <v>46148</v>
      </c>
      <c r="L500" s="61" t="str">
        <f>IFERROR(__xludf.DUMMYFUNCTION("""COMPUTED_VALUE""")," ")</f>
        <v> </v>
      </c>
      <c r="M500" s="61"/>
      <c r="N500" s="61" t="str">
        <f>IFERROR(__xludf.DUMMYFUNCTION("""COMPUTED_VALUE""")," ")</f>
        <v> </v>
      </c>
    </row>
    <row r="501">
      <c r="A501" s="102" t="str">
        <f>IFERROR(__xludf.DUMMYFUNCTION("""COMPUTED_VALUE"""),"https://utrucking.com/admin/orders/6428070019260")</f>
        <v>https://utrucking.com/admin/orders/6428070019260</v>
      </c>
      <c r="B501" s="65" t="str">
        <f>IFERROR(__xludf.DUMMYFUNCTION("""COMPUTED_VALUE"""),"#17594")</f>
        <v>#17594</v>
      </c>
      <c r="C501" s="65" t="str">
        <f>IFERROR(__xludf.DUMMYFUNCTION("""COMPUTED_VALUE"""),"g.gordon@wustl.edu")</f>
        <v>g.gordon@wustl.edu</v>
      </c>
      <c r="D501" s="65">
        <f>IFERROR(__xludf.DUMMYFUNCTION("""COMPUTED_VALUE"""),2.406201906E9)</f>
        <v>2406201906</v>
      </c>
      <c r="E501" s="65" t="str">
        <f>IFERROR(__xludf.DUMMYFUNCTION("""COMPUTED_VALUE"""),"Gil Gordon")</f>
        <v>Gil Gordon</v>
      </c>
      <c r="F501" s="65" t="str">
        <f>IFERROR(__xludf.DUMMYFUNCTION("""COMPUTED_VALUE"""),"Gil Gordon")</f>
        <v>Gil Gordon</v>
      </c>
      <c r="G501" s="65" t="str">
        <f>IFERROR(__xludf.DUMMYFUNCTION("""COMPUTED_VALUE""")," 1 [Included with Registration] / Included Insurance   - ")</f>
        <v> 1 [Included with Registration] / Included Insurance   - </v>
      </c>
      <c r="H501" s="65" t="str">
        <f>IFERROR(__xludf.DUMMYFUNCTION("""COMPUTED_VALUE"""),"Koenig  ")</f>
        <v>Koenig  </v>
      </c>
      <c r="I501" s="65" t="str">
        <f>IFERROR(__xludf.DUMMYFUNCTION("""COMPUTED_VALUE"""),"3304")</f>
        <v>3304</v>
      </c>
      <c r="J501" s="108" t="str">
        <f>IFERROR(__xludf.DUMMYFUNCTION("""COMPUTED_VALUE"""),"10:00 AM to 12:00 PM  ")</f>
        <v>10:00 AM to 12:00 PM  </v>
      </c>
      <c r="K501" s="103">
        <f>IFERROR(__xludf.DUMMYFUNCTION("""COMPUTED_VALUE"""),46148.0)</f>
        <v>46148</v>
      </c>
      <c r="L501" s="65" t="str">
        <f>IFERROR(__xludf.DUMMYFUNCTION("""COMPUTED_VALUE""")," ")</f>
        <v> </v>
      </c>
      <c r="M501" s="65"/>
      <c r="N501" s="65" t="str">
        <f>IFERROR(__xludf.DUMMYFUNCTION("""COMPUTED_VALUE""")," ")</f>
        <v> </v>
      </c>
    </row>
    <row r="502">
      <c r="A502" s="99" t="str">
        <f>IFERROR(__xludf.DUMMYFUNCTION("""COMPUTED_VALUE"""),"https://utrucking.com/admin/orders/6428130148540")</f>
        <v>https://utrucking.com/admin/orders/6428130148540</v>
      </c>
      <c r="B502" s="61" t="str">
        <f>IFERROR(__xludf.DUMMYFUNCTION("""COMPUTED_VALUE"""),"#17595")</f>
        <v>#17595</v>
      </c>
      <c r="C502" s="61" t="str">
        <f>IFERROR(__xludf.DUMMYFUNCTION("""COMPUTED_VALUE"""),"esti.6@me.com")</f>
        <v>esti.6@me.com</v>
      </c>
      <c r="D502" s="61">
        <f>IFERROR(__xludf.DUMMYFUNCTION("""COMPUTED_VALUE"""),8.476916696E9)</f>
        <v>8476916696</v>
      </c>
      <c r="E502" s="61" t="str">
        <f>IFERROR(__xludf.DUMMYFUNCTION("""COMPUTED_VALUE"""),"Estelle Rosenblatt")</f>
        <v>Estelle Rosenblatt</v>
      </c>
      <c r="F502" s="61" t="str">
        <f>IFERROR(__xludf.DUMMYFUNCTION("""COMPUTED_VALUE"""),"Estelle Rosenblatt")</f>
        <v>Estelle Rosenblatt</v>
      </c>
      <c r="G502" s="61" t="str">
        <f>IFERROR(__xludf.DUMMYFUNCTION("""COMPUTED_VALUE""")," 1 [Included with Registration] / Included Insurance   - ")</f>
        <v> 1 [Included with Registration] / Included Insurance   - </v>
      </c>
      <c r="H502" s="61" t="str">
        <f>IFERROR(__xludf.DUMMYFUNCTION("""COMPUTED_VALUE"""),"Lopata  ")</f>
        <v>Lopata  </v>
      </c>
      <c r="I502" s="61" t="str">
        <f>IFERROR(__xludf.DUMMYFUNCTION("""COMPUTED_VALUE"""),"3022")</f>
        <v>3022</v>
      </c>
      <c r="J502" s="107" t="str">
        <f>IFERROR(__xludf.DUMMYFUNCTION("""COMPUTED_VALUE"""),"09:00 AM to 11:00 AM  ")</f>
        <v>09:00 AM to 11:00 AM  </v>
      </c>
      <c r="K502" s="100">
        <f>IFERROR(__xludf.DUMMYFUNCTION("""COMPUTED_VALUE"""),46147.0)</f>
        <v>46147</v>
      </c>
      <c r="L502" s="61" t="str">
        <f>IFERROR(__xludf.DUMMYFUNCTION("""COMPUTED_VALUE""")," ")</f>
        <v> </v>
      </c>
      <c r="M502" s="61"/>
      <c r="N502" s="61" t="str">
        <f>IFERROR(__xludf.DUMMYFUNCTION("""COMPUTED_VALUE""")," ")</f>
        <v> </v>
      </c>
    </row>
    <row r="503">
      <c r="A503" s="102" t="str">
        <f>IFERROR(__xludf.DUMMYFUNCTION("""COMPUTED_VALUE"""),"https://utrucking.com/admin/orders/6428158066876")</f>
        <v>https://utrucking.com/admin/orders/6428158066876</v>
      </c>
      <c r="B503" s="65" t="str">
        <f>IFERROR(__xludf.DUMMYFUNCTION("""COMPUTED_VALUE"""),"#17596")</f>
        <v>#17596</v>
      </c>
      <c r="C503" s="65" t="str">
        <f>IFERROR(__xludf.DUMMYFUNCTION("""COMPUTED_VALUE"""),"gav.wang7@gmail.com")</f>
        <v>gav.wang7@gmail.com</v>
      </c>
      <c r="D503" s="65">
        <f>IFERROR(__xludf.DUMMYFUNCTION("""COMPUTED_VALUE"""),7.047969606E9)</f>
        <v>7047969606</v>
      </c>
      <c r="E503" s="65" t="str">
        <f>IFERROR(__xludf.DUMMYFUNCTION("""COMPUTED_VALUE"""),"Gavin Wang")</f>
        <v>Gavin Wang</v>
      </c>
      <c r="F503" s="65" t="str">
        <f>IFERROR(__xludf.DUMMYFUNCTION("""COMPUTED_VALUE"""),"Gavin Wang")</f>
        <v>Gavin Wang</v>
      </c>
      <c r="G503" s="65" t="str">
        <f>IFERROR(__xludf.DUMMYFUNCTION("""COMPUTED_VALUE""")," 1 [Included with Registration] / Included Insurance   - ")</f>
        <v> 1 [Included with Registration] / Included Insurance   - </v>
      </c>
      <c r="H503" s="65" t="str">
        <f>IFERROR(__xludf.DUMMYFUNCTION("""COMPUTED_VALUE"""),"Hurd  ")</f>
        <v>Hurd  </v>
      </c>
      <c r="I503" s="65" t="str">
        <f>IFERROR(__xludf.DUMMYFUNCTION("""COMPUTED_VALUE"""),"214")</f>
        <v>214</v>
      </c>
      <c r="J503" s="108" t="str">
        <f>IFERROR(__xludf.DUMMYFUNCTION("""COMPUTED_VALUE"""),"10:00 AM to 12:00 PM  ")</f>
        <v>10:00 AM to 12:00 PM  </v>
      </c>
      <c r="K503" s="103">
        <f>IFERROR(__xludf.DUMMYFUNCTION("""COMPUTED_VALUE"""),46149.0)</f>
        <v>46149</v>
      </c>
      <c r="L503" s="65" t="str">
        <f>IFERROR(__xludf.DUMMYFUNCTION("""COMPUTED_VALUE""")," ")</f>
        <v> </v>
      </c>
      <c r="M503" s="65"/>
      <c r="N503" s="65" t="str">
        <f>IFERROR(__xludf.DUMMYFUNCTION("""COMPUTED_VALUE""")," ")</f>
        <v> </v>
      </c>
    </row>
    <row r="504">
      <c r="A504" s="99" t="str">
        <f>IFERROR(__xludf.DUMMYFUNCTION("""COMPUTED_VALUE"""),"https://utrucking.com/admin/orders/6428163866812")</f>
        <v>https://utrucking.com/admin/orders/6428163866812</v>
      </c>
      <c r="B504" s="61" t="str">
        <f>IFERROR(__xludf.DUMMYFUNCTION("""COMPUTED_VALUE"""),"#17597")</f>
        <v>#17597</v>
      </c>
      <c r="C504" s="61" t="str">
        <f>IFERROR(__xludf.DUMMYFUNCTION("""COMPUTED_VALUE"""),"gambitnfl@gmail.com")</f>
        <v>gambitnfl@gmail.com</v>
      </c>
      <c r="D504" s="61">
        <f>IFERROR(__xludf.DUMMYFUNCTION("""COMPUTED_VALUE"""),9.146567811E9)</f>
        <v>9146567811</v>
      </c>
      <c r="E504" s="61" t="str">
        <f>IFERROR(__xludf.DUMMYFUNCTION("""COMPUTED_VALUE"""),"Gamble Lehmann-Karp")</f>
        <v>Gamble Lehmann-Karp</v>
      </c>
      <c r="F504" s="61" t="str">
        <f>IFERROR(__xludf.DUMMYFUNCTION("""COMPUTED_VALUE"""),"Gamble Lehmann-Karp")</f>
        <v>Gamble Lehmann-Karp</v>
      </c>
      <c r="G504" s="61" t="str">
        <f>IFERROR(__xludf.DUMMYFUNCTION("""COMPUTED_VALUE""")," 2 / Included Insurance   - ")</f>
        <v> 2 / Included Insurance   - </v>
      </c>
      <c r="H504" s="61" t="str">
        <f>IFERROR(__xludf.DUMMYFUNCTION("""COMPUTED_VALUE"""),"Hitzeman  ")</f>
        <v>Hitzeman  </v>
      </c>
      <c r="I504" s="61" t="str">
        <f>IFERROR(__xludf.DUMMYFUNCTION("""COMPUTED_VALUE"""),"122")</f>
        <v>122</v>
      </c>
      <c r="J504" s="107" t="str">
        <f>IFERROR(__xludf.DUMMYFUNCTION("""COMPUTED_VALUE"""),"09:00 AM to 11:00 AM  ")</f>
        <v>09:00 AM to 11:00 AM  </v>
      </c>
      <c r="K504" s="100">
        <f>IFERROR(__xludf.DUMMYFUNCTION("""COMPUTED_VALUE"""),46146.0)</f>
        <v>46146</v>
      </c>
      <c r="L504" s="61" t="str">
        <f>IFERROR(__xludf.DUMMYFUNCTION("""COMPUTED_VALUE""")," ")</f>
        <v> </v>
      </c>
      <c r="M504" s="61"/>
      <c r="N504" s="61" t="str">
        <f>IFERROR(__xludf.DUMMYFUNCTION("""COMPUTED_VALUE""")," ")</f>
        <v> </v>
      </c>
    </row>
    <row r="505">
      <c r="A505" s="102" t="str">
        <f>IFERROR(__xludf.DUMMYFUNCTION("""COMPUTED_VALUE"""),"https://utrucking.com/admin/orders/6428176187580")</f>
        <v>https://utrucking.com/admin/orders/6428176187580</v>
      </c>
      <c r="B505" s="65" t="str">
        <f>IFERROR(__xludf.DUMMYFUNCTION("""COMPUTED_VALUE"""),"#17598")</f>
        <v>#17598</v>
      </c>
      <c r="C505" s="65" t="str">
        <f>IFERROR(__xludf.DUMMYFUNCTION("""COMPUTED_VALUE"""),"talen.frett@gmail.com")</f>
        <v>talen.frett@gmail.com</v>
      </c>
      <c r="D505" s="65">
        <f>IFERROR(__xludf.DUMMYFUNCTION("""COMPUTED_VALUE"""),6.787906381E9)</f>
        <v>6787906381</v>
      </c>
      <c r="E505" s="65" t="str">
        <f>IFERROR(__xludf.DUMMYFUNCTION("""COMPUTED_VALUE"""),"Talen Frett")</f>
        <v>Talen Frett</v>
      </c>
      <c r="F505" s="65" t="str">
        <f>IFERROR(__xludf.DUMMYFUNCTION("""COMPUTED_VALUE"""),"Talen Frett")</f>
        <v>Talen Frett</v>
      </c>
      <c r="G505" s="65" t="str">
        <f>IFERROR(__xludf.DUMMYFUNCTION("""COMPUTED_VALUE""")," 1 [Included with Registration] / Included Insurance   - ")</f>
        <v> 1 [Included with Registration] / Included Insurance   - </v>
      </c>
      <c r="H505" s="65" t="str">
        <f>IFERROR(__xludf.DUMMYFUNCTION("""COMPUTED_VALUE"""),"Park  ")</f>
        <v>Park  </v>
      </c>
      <c r="I505" s="65" t="str">
        <f>IFERROR(__xludf.DUMMYFUNCTION("""COMPUTED_VALUE"""),"431")</f>
        <v>431</v>
      </c>
      <c r="J505" s="108" t="str">
        <f>IFERROR(__xludf.DUMMYFUNCTION("""COMPUTED_VALUE"""),"03:00 PM to 05:00 PM")</f>
        <v>03:00 PM to 05:00 PM</v>
      </c>
      <c r="K505" s="103">
        <f>IFERROR(__xludf.DUMMYFUNCTION("""COMPUTED_VALUE"""),46147.0)</f>
        <v>46147</v>
      </c>
      <c r="L505" s="65" t="str">
        <f>IFERROR(__xludf.DUMMYFUNCTION("""COMPUTED_VALUE""")," ")</f>
        <v> </v>
      </c>
      <c r="M505" s="65"/>
      <c r="N505" s="65" t="str">
        <f>IFERROR(__xludf.DUMMYFUNCTION("""COMPUTED_VALUE""")," ")</f>
        <v> </v>
      </c>
    </row>
    <row r="506">
      <c r="A506" s="99" t="str">
        <f>IFERROR(__xludf.DUMMYFUNCTION("""COMPUTED_VALUE"""),"https://utrucking.com/admin/orders/6428188672188")</f>
        <v>https://utrucking.com/admin/orders/6428188672188</v>
      </c>
      <c r="B506" s="61" t="str">
        <f>IFERROR(__xludf.DUMMYFUNCTION("""COMPUTED_VALUE"""),"#17599")</f>
        <v>#17599</v>
      </c>
      <c r="C506" s="61" t="str">
        <f>IFERROR(__xludf.DUMMYFUNCTION("""COMPUTED_VALUE"""),"charfoos@wustl.edu")</f>
        <v>charfoos@wustl.edu</v>
      </c>
      <c r="D506" s="61">
        <f>IFERROR(__xludf.DUMMYFUNCTION("""COMPUTED_VALUE"""),3.123077614E9)</f>
        <v>3123077614</v>
      </c>
      <c r="E506" s="61" t="str">
        <f>IFERROR(__xludf.DUMMYFUNCTION("""COMPUTED_VALUE"""),"Jack Charfoos")</f>
        <v>Jack Charfoos</v>
      </c>
      <c r="F506" s="61" t="str">
        <f>IFERROR(__xludf.DUMMYFUNCTION("""COMPUTED_VALUE"""),"Jack Charfoos")</f>
        <v>Jack Charfoos</v>
      </c>
      <c r="G506" s="61" t="str">
        <f>IFERROR(__xludf.DUMMYFUNCTION("""COMPUTED_VALUE""")," 2 / Included Insurance   - ")</f>
        <v> 2 / Included Insurance   - </v>
      </c>
      <c r="H506" s="61"/>
      <c r="I506" s="61"/>
      <c r="J506" s="107" t="str">
        <f>IFERROR(__xludf.DUMMYFUNCTION("""COMPUTED_VALUE"""),"09:00 AM to 11:00 AM")</f>
        <v>09:00 AM to 11:00 AM</v>
      </c>
      <c r="K506" s="100">
        <f>IFERROR(__xludf.DUMMYFUNCTION("""COMPUTED_VALUE"""),46149.0)</f>
        <v>46149</v>
      </c>
      <c r="L506" s="61" t="str">
        <f>IFERROR(__xludf.DUMMYFUNCTION("""COMPUTED_VALUE""")," ")</f>
        <v> </v>
      </c>
      <c r="M506" s="61" t="str">
        <f>IFERROR(__xludf.DUMMYFUNCTION("""COMPUTED_VALUE"""),"608 Kingsland Ave, 63130, Apt 303")</f>
        <v>608 Kingsland Ave, 63130, Apt 303</v>
      </c>
      <c r="N506" s="61" t="str">
        <f>IFERROR(__xludf.DUMMYFUNCTION("""COMPUTED_VALUE""")," ")</f>
        <v> </v>
      </c>
    </row>
    <row r="507">
      <c r="A507" s="102" t="str">
        <f>IFERROR(__xludf.DUMMYFUNCTION("""COMPUTED_VALUE"""),"https://utrucking.com/admin/orders/6428242706620")</f>
        <v>https://utrucking.com/admin/orders/6428242706620</v>
      </c>
      <c r="B507" s="65" t="str">
        <f>IFERROR(__xludf.DUMMYFUNCTION("""COMPUTED_VALUE"""),"#17600")</f>
        <v>#17600</v>
      </c>
      <c r="C507" s="65" t="str">
        <f>IFERROR(__xludf.DUMMYFUNCTION("""COMPUTED_VALUE"""),"mpp560@gmail.com")</f>
        <v>mpp560@gmail.com</v>
      </c>
      <c r="D507" s="65">
        <f>IFERROR(__xludf.DUMMYFUNCTION("""COMPUTED_VALUE"""),6.103577127E9)</f>
        <v>6103577127</v>
      </c>
      <c r="E507" s="65" t="str">
        <f>IFERROR(__xludf.DUMMYFUNCTION("""COMPUTED_VALUE"""),"Melissa Pashigian")</f>
        <v>Melissa Pashigian</v>
      </c>
      <c r="F507" s="65" t="str">
        <f>IFERROR(__xludf.DUMMYFUNCTION("""COMPUTED_VALUE"""),"Chiara Del Testa")</f>
        <v>Chiara Del Testa</v>
      </c>
      <c r="G507" s="65" t="str">
        <f>IFERROR(__xludf.DUMMYFUNCTION("""COMPUTED_VALUE""")," 2 / Included Insurance   - ")</f>
        <v> 2 / Included Insurance   - </v>
      </c>
      <c r="H507" s="65" t="str">
        <f>IFERROR(__xludf.DUMMYFUNCTION("""COMPUTED_VALUE"""),"Eliot A (Thomas Eliot)")</f>
        <v>Eliot A (Thomas Eliot)</v>
      </c>
      <c r="I507" s="65" t="str">
        <f>IFERROR(__xludf.DUMMYFUNCTION("""COMPUTED_VALUE"""),"1042a")</f>
        <v>1042a</v>
      </c>
      <c r="J507" s="108" t="str">
        <f>IFERROR(__xludf.DUMMYFUNCTION("""COMPUTED_VALUE"""),"03:00 PM to 05:00 PM")</f>
        <v>03:00 PM to 05:00 PM</v>
      </c>
      <c r="K507" s="103">
        <f>IFERROR(__xludf.DUMMYFUNCTION("""COMPUTED_VALUE"""),46149.0)</f>
        <v>46149</v>
      </c>
      <c r="L507" s="65" t="str">
        <f>IFERROR(__xludf.DUMMYFUNCTION("""COMPUTED_VALUE""")," ")</f>
        <v> </v>
      </c>
      <c r="M507" s="65"/>
      <c r="N507" s="65" t="str">
        <f>IFERROR(__xludf.DUMMYFUNCTION("""COMPUTED_VALUE""")," ")</f>
        <v> </v>
      </c>
    </row>
    <row r="508">
      <c r="A508" s="99" t="str">
        <f>IFERROR(__xludf.DUMMYFUNCTION("""COMPUTED_VALUE"""),"https://utrucking.com/admin/orders/6428326297788")</f>
        <v>https://utrucking.com/admin/orders/6428326297788</v>
      </c>
      <c r="B508" s="61" t="str">
        <f>IFERROR(__xludf.DUMMYFUNCTION("""COMPUTED_VALUE"""),"#17602")</f>
        <v>#17602</v>
      </c>
      <c r="C508" s="61" t="str">
        <f>IFERROR(__xludf.DUMMYFUNCTION("""COMPUTED_VALUE"""),"nikhilchadha6@gmail.com")</f>
        <v>nikhilchadha6@gmail.com</v>
      </c>
      <c r="D508" s="61">
        <f>IFERROR(__xludf.DUMMYFUNCTION("""COMPUTED_VALUE"""),6.282198206E9)</f>
        <v>6282198206</v>
      </c>
      <c r="E508" s="61" t="str">
        <f>IFERROR(__xludf.DUMMYFUNCTION("""COMPUTED_VALUE"""),"Nikhil Chadha")</f>
        <v>Nikhil Chadha</v>
      </c>
      <c r="F508" s="61" t="str">
        <f>IFERROR(__xludf.DUMMYFUNCTION("""COMPUTED_VALUE"""),"Nikhil Chadha")</f>
        <v>Nikhil Chadha</v>
      </c>
      <c r="G508" s="61" t="str">
        <f>IFERROR(__xludf.DUMMYFUNCTION("""COMPUTED_VALUE""")," 1 [Included with Registration] / Included Insurance   - ")</f>
        <v> 1 [Included with Registration] / Included Insurance   - </v>
      </c>
      <c r="H508" s="61" t="str">
        <f>IFERROR(__xludf.DUMMYFUNCTION("""COMPUTED_VALUE"""),"Eliot A (Thomas Eliot)")</f>
        <v>Eliot A (Thomas Eliot)</v>
      </c>
      <c r="I508" s="61" t="str">
        <f>IFERROR(__xludf.DUMMYFUNCTION("""COMPUTED_VALUE"""),"3121")</f>
        <v>3121</v>
      </c>
      <c r="J508" s="107" t="str">
        <f>IFERROR(__xludf.DUMMYFUNCTION("""COMPUTED_VALUE"""),"03:00 PM to 05:00 PM")</f>
        <v>03:00 PM to 05:00 PM</v>
      </c>
      <c r="K508" s="100">
        <f>IFERROR(__xludf.DUMMYFUNCTION("""COMPUTED_VALUE"""),46148.0)</f>
        <v>46148</v>
      </c>
      <c r="L508" s="61" t="str">
        <f>IFERROR(__xludf.DUMMYFUNCTION("""COMPUTED_VALUE""")," ")</f>
        <v> </v>
      </c>
      <c r="M508" s="61"/>
      <c r="N508" s="61" t="str">
        <f>IFERROR(__xludf.DUMMYFUNCTION("""COMPUTED_VALUE""")," ")</f>
        <v> </v>
      </c>
    </row>
    <row r="509">
      <c r="A509" s="102" t="str">
        <f>IFERROR(__xludf.DUMMYFUNCTION("""COMPUTED_VALUE"""),"https://utrucking.com/admin/orders/6428438921404")</f>
        <v>https://utrucking.com/admin/orders/6428438921404</v>
      </c>
      <c r="B509" s="65" t="str">
        <f>IFERROR(__xludf.DUMMYFUNCTION("""COMPUTED_VALUE"""),"#17604")</f>
        <v>#17604</v>
      </c>
      <c r="C509" s="65" t="str">
        <f>IFERROR(__xludf.DUMMYFUNCTION("""COMPUTED_VALUE"""),"d.l.trieu@wustl.edu")</f>
        <v>d.l.trieu@wustl.edu</v>
      </c>
      <c r="D509" s="65">
        <f>IFERROR(__xludf.DUMMYFUNCTION("""COMPUTED_VALUE"""),8.083438168E9)</f>
        <v>8083438168</v>
      </c>
      <c r="E509" s="65" t="str">
        <f>IFERROR(__xludf.DUMMYFUNCTION("""COMPUTED_VALUE"""),"Donovan Trieu")</f>
        <v>Donovan Trieu</v>
      </c>
      <c r="F509" s="65" t="str">
        <f>IFERROR(__xludf.DUMMYFUNCTION("""COMPUTED_VALUE"""),"Donovan Trieu")</f>
        <v>Donovan Trieu</v>
      </c>
      <c r="G509" s="65" t="str">
        <f>IFERROR(__xludf.DUMMYFUNCTION("""COMPUTED_VALUE""")," 1 [Included with Registration] / Included Insurance   - ")</f>
        <v> 1 [Included with Registration] / Included Insurance   - </v>
      </c>
      <c r="H509" s="65" t="str">
        <f>IFERROR(__xludf.DUMMYFUNCTION("""COMPUTED_VALUE"""),"Eliot B (Sophomore Dorm)")</f>
        <v>Eliot B (Sophomore Dorm)</v>
      </c>
      <c r="I509" s="65" t="str">
        <f>IFERROR(__xludf.DUMMYFUNCTION("""COMPUTED_VALUE"""),"4034")</f>
        <v>4034</v>
      </c>
      <c r="J509" s="108" t="str">
        <f>IFERROR(__xludf.DUMMYFUNCTION("""COMPUTED_VALUE"""),"09:00 AM to 11:00 AM  ")</f>
        <v>09:00 AM to 11:00 AM  </v>
      </c>
      <c r="K509" s="103">
        <f>IFERROR(__xludf.DUMMYFUNCTION("""COMPUTED_VALUE"""),46144.0)</f>
        <v>46144</v>
      </c>
      <c r="L509" s="65" t="str">
        <f>IFERROR(__xludf.DUMMYFUNCTION("""COMPUTED_VALUE""")," ")</f>
        <v> </v>
      </c>
      <c r="M509" s="65"/>
      <c r="N509" s="65" t="str">
        <f>IFERROR(__xludf.DUMMYFUNCTION("""COMPUTED_VALUE""")," ")</f>
        <v> </v>
      </c>
    </row>
    <row r="510">
      <c r="A510" s="99" t="str">
        <f>IFERROR(__xludf.DUMMYFUNCTION("""COMPUTED_VALUE"""),"https://utrucking.com/admin/orders/6428449603772")</f>
        <v>https://utrucking.com/admin/orders/6428449603772</v>
      </c>
      <c r="B510" s="61" t="str">
        <f>IFERROR(__xludf.DUMMYFUNCTION("""COMPUTED_VALUE"""),"#17606")</f>
        <v>#17606</v>
      </c>
      <c r="C510" s="61" t="str">
        <f>IFERROR(__xludf.DUMMYFUNCTION("""COMPUTED_VALUE"""),"ellazhu1223@gmail.com")</f>
        <v>ellazhu1223@gmail.com</v>
      </c>
      <c r="D510" s="61">
        <f>IFERROR(__xludf.DUMMYFUNCTION("""COMPUTED_VALUE"""),2.038181729E9)</f>
        <v>2038181729</v>
      </c>
      <c r="E510" s="61" t="str">
        <f>IFERROR(__xludf.DUMMYFUNCTION("""COMPUTED_VALUE"""),"Ella Zhu")</f>
        <v>Ella Zhu</v>
      </c>
      <c r="F510" s="61" t="str">
        <f>IFERROR(__xludf.DUMMYFUNCTION("""COMPUTED_VALUE"""),"Ella Zhu")</f>
        <v>Ella Zhu</v>
      </c>
      <c r="G510" s="61" t="str">
        <f>IFERROR(__xludf.DUMMYFUNCTION("""COMPUTED_VALUE""")," 1 [Included with Registration] / Included Insurance   - ")</f>
        <v> 1 [Included with Registration] / Included Insurance   - </v>
      </c>
      <c r="H510" s="61" t="str">
        <f>IFERROR(__xludf.DUMMYFUNCTION("""COMPUTED_VALUE"""),"Lien  ")</f>
        <v>Lien  </v>
      </c>
      <c r="I510" s="61" t="str">
        <f>IFERROR(__xludf.DUMMYFUNCTION("""COMPUTED_VALUE"""),"1117")</f>
        <v>1117</v>
      </c>
      <c r="J510" s="107" t="str">
        <f>IFERROR(__xludf.DUMMYFUNCTION("""COMPUTED_VALUE"""),"09:00 AM to 11:00 AM  ")</f>
        <v>09:00 AM to 11:00 AM  </v>
      </c>
      <c r="K510" s="100">
        <f>IFERROR(__xludf.DUMMYFUNCTION("""COMPUTED_VALUE"""),46141.0)</f>
        <v>46141</v>
      </c>
      <c r="L510" s="61" t="str">
        <f>IFERROR(__xludf.DUMMYFUNCTION("""COMPUTED_VALUE""")," ")</f>
        <v> </v>
      </c>
      <c r="M510" s="61"/>
      <c r="N510" s="61" t="str">
        <f>IFERROR(__xludf.DUMMYFUNCTION("""COMPUTED_VALUE""")," ")</f>
        <v> </v>
      </c>
    </row>
    <row r="511">
      <c r="A511" s="102" t="str">
        <f>IFERROR(__xludf.DUMMYFUNCTION("""COMPUTED_VALUE"""),"https://utrucking.com/admin/orders/6428508946620")</f>
        <v>https://utrucking.com/admin/orders/6428508946620</v>
      </c>
      <c r="B511" s="65" t="str">
        <f>IFERROR(__xludf.DUMMYFUNCTION("""COMPUTED_VALUE"""),"#17607")</f>
        <v>#17607</v>
      </c>
      <c r="C511" s="65" t="str">
        <f>IFERROR(__xludf.DUMMYFUNCTION("""COMPUTED_VALUE"""),"jacquelinec@wustl.edu")</f>
        <v>jacquelinec@wustl.edu</v>
      </c>
      <c r="D511" s="65">
        <f>IFERROR(__xludf.DUMMYFUNCTION("""COMPUTED_VALUE"""),9.783990241E9)</f>
        <v>9783990241</v>
      </c>
      <c r="E511" s="65" t="str">
        <f>IFERROR(__xludf.DUMMYFUNCTION("""COMPUTED_VALUE"""),"Jacqueline Clay")</f>
        <v>Jacqueline Clay</v>
      </c>
      <c r="F511" s="65" t="str">
        <f>IFERROR(__xludf.DUMMYFUNCTION("""COMPUTED_VALUE"""),"Jackie Clay")</f>
        <v>Jackie Clay</v>
      </c>
      <c r="G511" s="65" t="str">
        <f>IFERROR(__xludf.DUMMYFUNCTION("""COMPUTED_VALUE""")," 1 [Included with Registration] / Included Insurance   - ")</f>
        <v> 1 [Included with Registration] / Included Insurance   - </v>
      </c>
      <c r="H511" s="65" t="str">
        <f>IFERROR(__xludf.DUMMYFUNCTION("""COMPUTED_VALUE"""),"Shanedling  ")</f>
        <v>Shanedling  </v>
      </c>
      <c r="I511" s="65" t="str">
        <f>IFERROR(__xludf.DUMMYFUNCTION("""COMPUTED_VALUE"""),"334")</f>
        <v>334</v>
      </c>
      <c r="J511" s="108" t="str">
        <f>IFERROR(__xludf.DUMMYFUNCTION("""COMPUTED_VALUE"""),"12:00 PM to 02:00 PM  ")</f>
        <v>12:00 PM to 02:00 PM  </v>
      </c>
      <c r="K511" s="103">
        <f>IFERROR(__xludf.DUMMYFUNCTION("""COMPUTED_VALUE"""),46147.0)</f>
        <v>46147</v>
      </c>
      <c r="L511" s="65" t="str">
        <f>IFERROR(__xludf.DUMMYFUNCTION("""COMPUTED_VALUE""")," ")</f>
        <v> </v>
      </c>
      <c r="M511" s="65"/>
      <c r="N511" s="65" t="str">
        <f>IFERROR(__xludf.DUMMYFUNCTION("""COMPUTED_VALUE""")," ")</f>
        <v> </v>
      </c>
    </row>
    <row r="512">
      <c r="A512" s="99" t="str">
        <f>IFERROR(__xludf.DUMMYFUNCTION("""COMPUTED_VALUE"""),"https://utrucking.com/admin/orders/6428540993724")</f>
        <v>https://utrucking.com/admin/orders/6428540993724</v>
      </c>
      <c r="B512" s="61" t="str">
        <f>IFERROR(__xludf.DUMMYFUNCTION("""COMPUTED_VALUE"""),"#17608")</f>
        <v>#17608</v>
      </c>
      <c r="C512" s="61" t="str">
        <f>IFERROR(__xludf.DUMMYFUNCTION("""COMPUTED_VALUE"""),"pnesterovsky@gmail.com")</f>
        <v>pnesterovsky@gmail.com</v>
      </c>
      <c r="D512" s="61">
        <f>IFERROR(__xludf.DUMMYFUNCTION("""COMPUTED_VALUE"""),4.109633683E9)</f>
        <v>4109633683</v>
      </c>
      <c r="E512" s="61" t="str">
        <f>IFERROR(__xludf.DUMMYFUNCTION("""COMPUTED_VALUE"""),"Paul Nesterovsky")</f>
        <v>Paul Nesterovsky</v>
      </c>
      <c r="F512" s="61" t="str">
        <f>IFERROR(__xludf.DUMMYFUNCTION("""COMPUTED_VALUE"""),"Andrew Nesterovsky")</f>
        <v>Andrew Nesterovsky</v>
      </c>
      <c r="G512" s="61" t="str">
        <f>IFERROR(__xludf.DUMMYFUNCTION("""COMPUTED_VALUE""")," 1 [Included with Registration] / Included Insurance   - ")</f>
        <v> 1 [Included with Registration] / Included Insurance   - </v>
      </c>
      <c r="H512" s="61" t="str">
        <f>IFERROR(__xludf.DUMMYFUNCTION("""COMPUTED_VALUE"""),"Koenig  ")</f>
        <v>Koenig  </v>
      </c>
      <c r="I512" s="61" t="str">
        <f>IFERROR(__xludf.DUMMYFUNCTION("""COMPUTED_VALUE"""),"2216")</f>
        <v>2216</v>
      </c>
      <c r="J512" s="107" t="str">
        <f>IFERROR(__xludf.DUMMYFUNCTION("""COMPUTED_VALUE"""),"03:00 PM to 05:00 PM")</f>
        <v>03:00 PM to 05:00 PM</v>
      </c>
      <c r="K512" s="100">
        <f>IFERROR(__xludf.DUMMYFUNCTION("""COMPUTED_VALUE"""),46149.0)</f>
        <v>46149</v>
      </c>
      <c r="L512" s="61" t="str">
        <f>IFERROR(__xludf.DUMMYFUNCTION("""COMPUTED_VALUE""")," ")</f>
        <v> </v>
      </c>
      <c r="M512" s="61"/>
      <c r="N512" s="61" t="str">
        <f>IFERROR(__xludf.DUMMYFUNCTION("""COMPUTED_VALUE""")," ")</f>
        <v> </v>
      </c>
    </row>
    <row r="513">
      <c r="A513" s="102" t="str">
        <f>IFERROR(__xludf.DUMMYFUNCTION("""COMPUTED_VALUE"""),"https://utrucking.com/admin/orders/6428610691260")</f>
        <v>https://utrucking.com/admin/orders/6428610691260</v>
      </c>
      <c r="B513" s="65" t="str">
        <f>IFERROR(__xludf.DUMMYFUNCTION("""COMPUTED_VALUE"""),"#17611")</f>
        <v>#17611</v>
      </c>
      <c r="C513" s="65" t="str">
        <f>IFERROR(__xludf.DUMMYFUNCTION("""COMPUTED_VALUE"""),"tlim2023@gmail.com")</f>
        <v>tlim2023@gmail.com</v>
      </c>
      <c r="D513" s="65">
        <f>IFERROR(__xludf.DUMMYFUNCTION("""COMPUTED_VALUE"""),3.144482959E9)</f>
        <v>3144482959</v>
      </c>
      <c r="E513" s="65" t="str">
        <f>IFERROR(__xludf.DUMMYFUNCTION("""COMPUTED_VALUE"""),"Taeeun Lim")</f>
        <v>Taeeun Lim</v>
      </c>
      <c r="F513" s="65" t="str">
        <f>IFERROR(__xludf.DUMMYFUNCTION("""COMPUTED_VALUE"""),"Taeeun Lim")</f>
        <v>Taeeun Lim</v>
      </c>
      <c r="G513" s="65" t="str">
        <f>IFERROR(__xludf.DUMMYFUNCTION("""COMPUTED_VALUE""")," 2 / Included Insurance   - ")</f>
        <v> 2 / Included Insurance   - </v>
      </c>
      <c r="H513" s="65" t="str">
        <f>IFERROR(__xludf.DUMMYFUNCTION("""COMPUTED_VALUE"""),"Loop Loft 6300  ")</f>
        <v>Loop Loft 6300  </v>
      </c>
      <c r="I513" s="65" t="str">
        <f>IFERROR(__xludf.DUMMYFUNCTION("""COMPUTED_VALUE"""),"206 B")</f>
        <v>206 B</v>
      </c>
      <c r="J513" s="108" t="str">
        <f>IFERROR(__xludf.DUMMYFUNCTION("""COMPUTED_VALUE"""),"03:00 PM to 05:00 PM")</f>
        <v>03:00 PM to 05:00 PM</v>
      </c>
      <c r="K513" s="103">
        <f>IFERROR(__xludf.DUMMYFUNCTION("""COMPUTED_VALUE"""),46143.0)</f>
        <v>46143</v>
      </c>
      <c r="L513" s="65" t="str">
        <f>IFERROR(__xludf.DUMMYFUNCTION("""COMPUTED_VALUE""")," ")</f>
        <v> </v>
      </c>
      <c r="M513" s="65"/>
      <c r="N513" s="65" t="str">
        <f>IFERROR(__xludf.DUMMYFUNCTION("""COMPUTED_VALUE""")," ")</f>
        <v> </v>
      </c>
    </row>
    <row r="514">
      <c r="A514" s="99" t="str">
        <f>IFERROR(__xludf.DUMMYFUNCTION("""COMPUTED_VALUE"""),"https://utrucking.com/admin/orders/6428618850492")</f>
        <v>https://utrucking.com/admin/orders/6428618850492</v>
      </c>
      <c r="B514" s="61" t="str">
        <f>IFERROR(__xludf.DUMMYFUNCTION("""COMPUTED_VALUE"""),"#17612")</f>
        <v>#17612</v>
      </c>
      <c r="C514" s="61" t="str">
        <f>IFERROR(__xludf.DUMMYFUNCTION("""COMPUTED_VALUE"""),"sydneylim0712@gmail.com")</f>
        <v>sydneylim0712@gmail.com</v>
      </c>
      <c r="D514" s="61">
        <f>IFERROR(__xludf.DUMMYFUNCTION("""COMPUTED_VALUE"""),3.145655716E9)</f>
        <v>3145655716</v>
      </c>
      <c r="E514" s="61" t="str">
        <f>IFERROR(__xludf.DUMMYFUNCTION("""COMPUTED_VALUE"""),"Sydney Lim")</f>
        <v>Sydney Lim</v>
      </c>
      <c r="F514" s="61" t="str">
        <f>IFERROR(__xludf.DUMMYFUNCTION("""COMPUTED_VALUE"""),"Sydney Lim")</f>
        <v>Sydney Lim</v>
      </c>
      <c r="G514" s="61" t="str">
        <f>IFERROR(__xludf.DUMMYFUNCTION("""COMPUTED_VALUE""")," 1 [Included with Registration] / Included Insurance   - ")</f>
        <v> 1 [Included with Registration] / Included Insurance   - </v>
      </c>
      <c r="H514" s="61" t="str">
        <f>IFERROR(__xludf.DUMMYFUNCTION("""COMPUTED_VALUE"""),"Village House  ")</f>
        <v>Village House  </v>
      </c>
      <c r="I514" s="61" t="str">
        <f>IFERROR(__xludf.DUMMYFUNCTION("""COMPUTED_VALUE"""),"3001")</f>
        <v>3001</v>
      </c>
      <c r="J514" s="107" t="str">
        <f>IFERROR(__xludf.DUMMYFUNCTION("""COMPUTED_VALUE"""),"10:00 AM to 12:00 PM  ")</f>
        <v>10:00 AM to 12:00 PM  </v>
      </c>
      <c r="K514" s="100">
        <f>IFERROR(__xludf.DUMMYFUNCTION("""COMPUTED_VALUE"""),46148.0)</f>
        <v>46148</v>
      </c>
      <c r="L514" s="61" t="str">
        <f>IFERROR(__xludf.DUMMYFUNCTION("""COMPUTED_VALUE""")," ")</f>
        <v> </v>
      </c>
      <c r="M514" s="61"/>
      <c r="N514" s="61" t="str">
        <f>IFERROR(__xludf.DUMMYFUNCTION("""COMPUTED_VALUE""")," ")</f>
        <v> </v>
      </c>
    </row>
    <row r="515">
      <c r="A515" s="102" t="str">
        <f>IFERROR(__xludf.DUMMYFUNCTION("""COMPUTED_VALUE"""),"https://utrucking.com/admin/orders/6428634939580")</f>
        <v>https://utrucking.com/admin/orders/6428634939580</v>
      </c>
      <c r="B515" s="65" t="str">
        <f>IFERROR(__xludf.DUMMYFUNCTION("""COMPUTED_VALUE"""),"#17613")</f>
        <v>#17613</v>
      </c>
      <c r="C515" s="65" t="str">
        <f>IFERROR(__xludf.DUMMYFUNCTION("""COMPUTED_VALUE"""),"g.nevins-saunders@wustl.edu")</f>
        <v>g.nevins-saunders@wustl.edu</v>
      </c>
      <c r="D515" s="65">
        <f>IFERROR(__xludf.DUMMYFUNCTION("""COMPUTED_VALUE"""),9.176793079E9)</f>
        <v>9176793079</v>
      </c>
      <c r="E515" s="65" t="str">
        <f>IFERROR(__xludf.DUMMYFUNCTION("""COMPUTED_VALUE"""),"Gillian Nevins-Saunders")</f>
        <v>Gillian Nevins-Saunders</v>
      </c>
      <c r="F515" s="65" t="str">
        <f>IFERROR(__xludf.DUMMYFUNCTION("""COMPUTED_VALUE"""),"Gillian Nevins-Saunders")</f>
        <v>Gillian Nevins-Saunders</v>
      </c>
      <c r="G515" s="65" t="str">
        <f>IFERROR(__xludf.DUMMYFUNCTION("""COMPUTED_VALUE""")," 1 [Included with Registration] / Included Insurance   - ")</f>
        <v> 1 [Included with Registration] / Included Insurance   - </v>
      </c>
      <c r="H515" s="65" t="str">
        <f>IFERROR(__xludf.DUMMYFUNCTION("""COMPUTED_VALUE"""),"Gregg  ")</f>
        <v>Gregg  </v>
      </c>
      <c r="I515" s="65" t="str">
        <f>IFERROR(__xludf.DUMMYFUNCTION("""COMPUTED_VALUE"""),"1013")</f>
        <v>1013</v>
      </c>
      <c r="J515" s="108" t="str">
        <f>IFERROR(__xludf.DUMMYFUNCTION("""COMPUTED_VALUE"""),"09:00 AM to 11:00 AM  ")</f>
        <v>09:00 AM to 11:00 AM  </v>
      </c>
      <c r="K515" s="103">
        <f>IFERROR(__xludf.DUMMYFUNCTION("""COMPUTED_VALUE"""),46144.0)</f>
        <v>46144</v>
      </c>
      <c r="L515" s="65" t="str">
        <f>IFERROR(__xludf.DUMMYFUNCTION("""COMPUTED_VALUE""")," ")</f>
        <v> </v>
      </c>
      <c r="M515" s="65"/>
      <c r="N515" s="65" t="str">
        <f>IFERROR(__xludf.DUMMYFUNCTION("""COMPUTED_VALUE""")," ")</f>
        <v> </v>
      </c>
    </row>
    <row r="516">
      <c r="A516" s="99" t="str">
        <f>IFERROR(__xludf.DUMMYFUNCTION("""COMPUTED_VALUE"""),"https://utrucking.com/admin/orders/6428639297724")</f>
        <v>https://utrucking.com/admin/orders/6428639297724</v>
      </c>
      <c r="B516" s="61" t="str">
        <f>IFERROR(__xludf.DUMMYFUNCTION("""COMPUTED_VALUE"""),"#17614")</f>
        <v>#17614</v>
      </c>
      <c r="C516" s="61" t="str">
        <f>IFERROR(__xludf.DUMMYFUNCTION("""COMPUTED_VALUE"""),"washko@wustl.edu")</f>
        <v>washko@wustl.edu</v>
      </c>
      <c r="D516" s="61">
        <f>IFERROR(__xludf.DUMMYFUNCTION("""COMPUTED_VALUE"""),6.175153061E9)</f>
        <v>6175153061</v>
      </c>
      <c r="E516" s="61" t="str">
        <f>IFERROR(__xludf.DUMMYFUNCTION("""COMPUTED_VALUE"""),"Diana Gallagher")</f>
        <v>Diana Gallagher</v>
      </c>
      <c r="F516" s="61" t="str">
        <f>IFERROR(__xludf.DUMMYFUNCTION("""COMPUTED_VALUE"""),"Will Washko")</f>
        <v>Will Washko</v>
      </c>
      <c r="G516" s="61" t="str">
        <f>IFERROR(__xludf.DUMMYFUNCTION("""COMPUTED_VALUE""")," 2 / Included Insurance   - ")</f>
        <v> 2 / Included Insurance   - </v>
      </c>
      <c r="H516" s="61" t="str">
        <f>IFERROR(__xludf.DUMMYFUNCTION("""COMPUTED_VALUE"""),"Eliot A (Thomas Eliot)")</f>
        <v>Eliot A (Thomas Eliot)</v>
      </c>
      <c r="I516" s="61" t="str">
        <f>IFERROR(__xludf.DUMMYFUNCTION("""COMPUTED_VALUE"""),"Eliot A")</f>
        <v>Eliot A</v>
      </c>
      <c r="J516" s="107" t="str">
        <f>IFERROR(__xludf.DUMMYFUNCTION("""COMPUTED_VALUE"""),"09:00 AM to 11:00 AM  ")</f>
        <v>09:00 AM to 11:00 AM  </v>
      </c>
      <c r="K516" s="100">
        <f>IFERROR(__xludf.DUMMYFUNCTION("""COMPUTED_VALUE"""),46148.0)</f>
        <v>46148</v>
      </c>
      <c r="L516" s="61" t="str">
        <f>IFERROR(__xludf.DUMMYFUNCTION("""COMPUTED_VALUE""")," ")</f>
        <v> </v>
      </c>
      <c r="M516" s="61"/>
      <c r="N516" s="61" t="str">
        <f>IFERROR(__xludf.DUMMYFUNCTION("""COMPUTED_VALUE""")," ")</f>
        <v> </v>
      </c>
    </row>
    <row r="517">
      <c r="A517" s="102" t="str">
        <f>IFERROR(__xludf.DUMMYFUNCTION("""COMPUTED_VALUE"""),"https://utrucking.com/admin/orders/6428642738364")</f>
        <v>https://utrucking.com/admin/orders/6428642738364</v>
      </c>
      <c r="B517" s="65" t="str">
        <f>IFERROR(__xludf.DUMMYFUNCTION("""COMPUTED_VALUE"""),"#17615")</f>
        <v>#17615</v>
      </c>
      <c r="C517" s="65" t="str">
        <f>IFERROR(__xludf.DUMMYFUNCTION("""COMPUTED_VALUE"""),"jensilbert1@gmail.com")</f>
        <v>jensilbert1@gmail.com</v>
      </c>
      <c r="D517" s="65">
        <f>IFERROR(__xludf.DUMMYFUNCTION("""COMPUTED_VALUE"""),9.178415578E9)</f>
        <v>9178415578</v>
      </c>
      <c r="E517" s="65" t="str">
        <f>IFERROR(__xludf.DUMMYFUNCTION("""COMPUTED_VALUE"""),"Jennifer Silbert")</f>
        <v>Jennifer Silbert</v>
      </c>
      <c r="F517" s="65" t="str">
        <f>IFERROR(__xludf.DUMMYFUNCTION("""COMPUTED_VALUE"""),"Sabrina Silbert")</f>
        <v>Sabrina Silbert</v>
      </c>
      <c r="G517" s="65" t="str">
        <f>IFERROR(__xludf.DUMMYFUNCTION("""COMPUTED_VALUE""")," 1 [Included with Registration] / Included Insurance   - ")</f>
        <v> 1 [Included with Registration] / Included Insurance   - </v>
      </c>
      <c r="H517" s="65" t="str">
        <f>IFERROR(__xludf.DUMMYFUNCTION("""COMPUTED_VALUE"""),"Lopata  ")</f>
        <v>Lopata  </v>
      </c>
      <c r="I517" s="65" t="str">
        <f>IFERROR(__xludf.DUMMYFUNCTION("""COMPUTED_VALUE"""),"3052")</f>
        <v>3052</v>
      </c>
      <c r="J517" s="108" t="str">
        <f>IFERROR(__xludf.DUMMYFUNCTION("""COMPUTED_VALUE"""),"09:00 AM to 11:00 AM  ")</f>
        <v>09:00 AM to 11:00 AM  </v>
      </c>
      <c r="K517" s="103">
        <f>IFERROR(__xludf.DUMMYFUNCTION("""COMPUTED_VALUE"""),46148.0)</f>
        <v>46148</v>
      </c>
      <c r="L517" s="65" t="str">
        <f>IFERROR(__xludf.DUMMYFUNCTION("""COMPUTED_VALUE""")," ")</f>
        <v> </v>
      </c>
      <c r="M517" s="65"/>
      <c r="N517" s="65" t="str">
        <f>IFERROR(__xludf.DUMMYFUNCTION("""COMPUTED_VALUE""")," ")</f>
        <v> </v>
      </c>
    </row>
    <row r="518">
      <c r="A518" s="99" t="str">
        <f>IFERROR(__xludf.DUMMYFUNCTION("""COMPUTED_VALUE"""),"https://utrucking.com/admin/orders/6428694577340")</f>
        <v>https://utrucking.com/admin/orders/6428694577340</v>
      </c>
      <c r="B518" s="61" t="str">
        <f>IFERROR(__xludf.DUMMYFUNCTION("""COMPUTED_VALUE"""),"#17616")</f>
        <v>#17616</v>
      </c>
      <c r="C518" s="61" t="str">
        <f>IFERROR(__xludf.DUMMYFUNCTION("""COMPUTED_VALUE"""),"reesegittleman@gmail.com")</f>
        <v>reesegittleman@gmail.com</v>
      </c>
      <c r="D518" s="61">
        <f>IFERROR(__xludf.DUMMYFUNCTION("""COMPUTED_VALUE"""),2.678221995E9)</f>
        <v>2678221995</v>
      </c>
      <c r="E518" s="61" t="str">
        <f>IFERROR(__xludf.DUMMYFUNCTION("""COMPUTED_VALUE"""),"Reese Gittleman")</f>
        <v>Reese Gittleman</v>
      </c>
      <c r="F518" s="61" t="str">
        <f>IFERROR(__xludf.DUMMYFUNCTION("""COMPUTED_VALUE"""),"Reese Gittleman")</f>
        <v>Reese Gittleman</v>
      </c>
      <c r="G518" s="61" t="str">
        <f>IFERROR(__xludf.DUMMYFUNCTION("""COMPUTED_VALUE""")," 1 [Included with Registration] / Included Insurance   - ")</f>
        <v> 1 [Included with Registration] / Included Insurance   - </v>
      </c>
      <c r="H518" s="61" t="str">
        <f>IFERROR(__xludf.DUMMYFUNCTION("""COMPUTED_VALUE"""),"Hitzeman  ")</f>
        <v>Hitzeman  </v>
      </c>
      <c r="I518" s="61" t="str">
        <f>IFERROR(__xludf.DUMMYFUNCTION("""COMPUTED_VALUE"""),"112")</f>
        <v>112</v>
      </c>
      <c r="J518" s="107" t="str">
        <f>IFERROR(__xludf.DUMMYFUNCTION("""COMPUTED_VALUE"""),"03:00 PM to 05:00 PM")</f>
        <v>03:00 PM to 05:00 PM</v>
      </c>
      <c r="K518" s="100">
        <f>IFERROR(__xludf.DUMMYFUNCTION("""COMPUTED_VALUE"""),46149.0)</f>
        <v>46149</v>
      </c>
      <c r="L518" s="61" t="str">
        <f>IFERROR(__xludf.DUMMYFUNCTION("""COMPUTED_VALUE""")," ")</f>
        <v> </v>
      </c>
      <c r="M518" s="61"/>
      <c r="N518" s="61" t="str">
        <f>IFERROR(__xludf.DUMMYFUNCTION("""COMPUTED_VALUE""")," ")</f>
        <v> </v>
      </c>
    </row>
    <row r="519">
      <c r="A519" s="102" t="str">
        <f>IFERROR(__xludf.DUMMYFUNCTION("""COMPUTED_VALUE"""),"https://utrucking.com/admin/orders/6428793307324")</f>
        <v>https://utrucking.com/admin/orders/6428793307324</v>
      </c>
      <c r="B519" s="65" t="str">
        <f>IFERROR(__xludf.DUMMYFUNCTION("""COMPUTED_VALUE"""),"#17617")</f>
        <v>#17617</v>
      </c>
      <c r="C519" s="65" t="str">
        <f>IFERROR(__xludf.DUMMYFUNCTION("""COMPUTED_VALUE"""),"r.s.short@wustl.edu")</f>
        <v>r.s.short@wustl.edu</v>
      </c>
      <c r="D519" s="65">
        <f>IFERROR(__xludf.DUMMYFUNCTION("""COMPUTED_VALUE"""),9.706234067E9)</f>
        <v>9706234067</v>
      </c>
      <c r="E519" s="65" t="str">
        <f>IFERROR(__xludf.DUMMYFUNCTION("""COMPUTED_VALUE"""),"Jenny Short")</f>
        <v>Jenny Short</v>
      </c>
      <c r="F519" s="65" t="str">
        <f>IFERROR(__xludf.DUMMYFUNCTION("""COMPUTED_VALUE"""),"Ruby Short")</f>
        <v>Ruby Short</v>
      </c>
      <c r="G519" s="65" t="str">
        <f>IFERROR(__xludf.DUMMYFUNCTION("""COMPUTED_VALUE""")," 1 [Included with Registration] / Included Insurance   - ")</f>
        <v> 1 [Included with Registration] / Included Insurance   - </v>
      </c>
      <c r="H519" s="65" t="str">
        <f>IFERROR(__xludf.DUMMYFUNCTION("""COMPUTED_VALUE"""),"Shepley  ")</f>
        <v>Shepley  </v>
      </c>
      <c r="I519" s="65" t="str">
        <f>IFERROR(__xludf.DUMMYFUNCTION("""COMPUTED_VALUE"""),"3000-(3002)")</f>
        <v>3000-(3002)</v>
      </c>
      <c r="J519" s="108" t="str">
        <f>IFERROR(__xludf.DUMMYFUNCTION("""COMPUTED_VALUE"""),"03:00 PM to 05:00 PM")</f>
        <v>03:00 PM to 05:00 PM</v>
      </c>
      <c r="K519" s="103">
        <f>IFERROR(__xludf.DUMMYFUNCTION("""COMPUTED_VALUE"""),46148.0)</f>
        <v>46148</v>
      </c>
      <c r="L519" s="65" t="str">
        <f>IFERROR(__xludf.DUMMYFUNCTION("""COMPUTED_VALUE""")," ")</f>
        <v> </v>
      </c>
      <c r="M519" s="65"/>
      <c r="N519" s="65" t="str">
        <f>IFERROR(__xludf.DUMMYFUNCTION("""COMPUTED_VALUE""")," ")</f>
        <v> </v>
      </c>
    </row>
    <row r="520">
      <c r="A520" s="99" t="str">
        <f>IFERROR(__xludf.DUMMYFUNCTION("""COMPUTED_VALUE"""),"https://utrucking.com/admin/orders/6428856811708")</f>
        <v>https://utrucking.com/admin/orders/6428856811708</v>
      </c>
      <c r="B520" s="61" t="str">
        <f>IFERROR(__xludf.DUMMYFUNCTION("""COMPUTED_VALUE"""),"#17619")</f>
        <v>#17619</v>
      </c>
      <c r="C520" s="61" t="str">
        <f>IFERROR(__xludf.DUMMYFUNCTION("""COMPUTED_VALUE"""),"k.nayeon@wustl.edu")</f>
        <v>k.nayeon@wustl.edu</v>
      </c>
      <c r="D520" s="61">
        <f>IFERROR(__xludf.DUMMYFUNCTION("""COMPUTED_VALUE"""),6.503092445E9)</f>
        <v>6503092445</v>
      </c>
      <c r="E520" s="61" t="str">
        <f>IFERROR(__xludf.DUMMYFUNCTION("""COMPUTED_VALUE"""),"Nayeon Kim")</f>
        <v>Nayeon Kim</v>
      </c>
      <c r="F520" s="61" t="str">
        <f>IFERROR(__xludf.DUMMYFUNCTION("""COMPUTED_VALUE"""),"Nayeon Kim")</f>
        <v>Nayeon Kim</v>
      </c>
      <c r="G520" s="61" t="str">
        <f>IFERROR(__xludf.DUMMYFUNCTION("""COMPUTED_VALUE""")," 1 [Included with Registration] / Included Insurance   - ")</f>
        <v> 1 [Included with Registration] / Included Insurance   - </v>
      </c>
      <c r="H520" s="61" t="str">
        <f>IFERROR(__xludf.DUMMYFUNCTION("""COMPUTED_VALUE"""),"Zetcher  ")</f>
        <v>Zetcher  </v>
      </c>
      <c r="I520" s="61" t="str">
        <f>IFERROR(__xludf.DUMMYFUNCTION("""COMPUTED_VALUE"""),"3154")</f>
        <v>3154</v>
      </c>
      <c r="J520" s="107" t="str">
        <f>IFERROR(__xludf.DUMMYFUNCTION("""COMPUTED_VALUE"""),"10:00 AM to 12:00 PM  ")</f>
        <v>10:00 AM to 12:00 PM  </v>
      </c>
      <c r="K520" s="100">
        <f>IFERROR(__xludf.DUMMYFUNCTION("""COMPUTED_VALUE"""),46151.0)</f>
        <v>46151</v>
      </c>
      <c r="L520" s="61" t="str">
        <f>IFERROR(__xludf.DUMMYFUNCTION("""COMPUTED_VALUE""")," ")</f>
        <v> </v>
      </c>
      <c r="M520" s="61"/>
      <c r="N520" s="61" t="str">
        <f>IFERROR(__xludf.DUMMYFUNCTION("""COMPUTED_VALUE""")," ")</f>
        <v> </v>
      </c>
    </row>
    <row r="521">
      <c r="A521" s="102" t="str">
        <f>IFERROR(__xludf.DUMMYFUNCTION("""COMPUTED_VALUE"""),"https://utrucking.com/admin/orders/6428894757052")</f>
        <v>https://utrucking.com/admin/orders/6428894757052</v>
      </c>
      <c r="B521" s="65" t="str">
        <f>IFERROR(__xludf.DUMMYFUNCTION("""COMPUTED_VALUE"""),"#17620")</f>
        <v>#17620</v>
      </c>
      <c r="C521" s="65" t="str">
        <f>IFERROR(__xludf.DUMMYFUNCTION("""COMPUTED_VALUE"""),"o.m.sadik@wustl.edu")</f>
        <v>o.m.sadik@wustl.edu</v>
      </c>
      <c r="D521" s="65">
        <f>IFERROR(__xludf.DUMMYFUNCTION("""COMPUTED_VALUE"""),9.7388529E9)</f>
        <v>9738852900</v>
      </c>
      <c r="E521" s="65" t="str">
        <f>IFERROR(__xludf.DUMMYFUNCTION("""COMPUTED_VALUE"""),"Olaolu Sadik")</f>
        <v>Olaolu Sadik</v>
      </c>
      <c r="F521" s="65" t="str">
        <f>IFERROR(__xludf.DUMMYFUNCTION("""COMPUTED_VALUE"""),"Ola Sadik")</f>
        <v>Ola Sadik</v>
      </c>
      <c r="G521" s="65" t="str">
        <f>IFERROR(__xludf.DUMMYFUNCTION("""COMPUTED_VALUE""")," 1 [Included with Registration] / Included Insurance   - ")</f>
        <v> 1 [Included with Registration] / Included Insurance   - </v>
      </c>
      <c r="H521" s="65" t="str">
        <f>IFERROR(__xludf.DUMMYFUNCTION("""COMPUTED_VALUE"""),"Village House  ")</f>
        <v>Village House  </v>
      </c>
      <c r="I521" s="65" t="str">
        <f>IFERROR(__xludf.DUMMYFUNCTION("""COMPUTED_VALUE"""),"4142")</f>
        <v>4142</v>
      </c>
      <c r="J521" s="108" t="str">
        <f>IFERROR(__xludf.DUMMYFUNCTION("""COMPUTED_VALUE"""),"03:00 PM to 05:00 PM")</f>
        <v>03:00 PM to 05:00 PM</v>
      </c>
      <c r="K521" s="103">
        <f>IFERROR(__xludf.DUMMYFUNCTION("""COMPUTED_VALUE"""),46157.0)</f>
        <v>46157</v>
      </c>
      <c r="L521" s="65" t="str">
        <f>IFERROR(__xludf.DUMMYFUNCTION("""COMPUTED_VALUE""")," ")</f>
        <v> </v>
      </c>
      <c r="M521" s="65"/>
      <c r="N521" s="65" t="str">
        <f>IFERROR(__xludf.DUMMYFUNCTION("""COMPUTED_VALUE""")," ")</f>
        <v> </v>
      </c>
    </row>
    <row r="522">
      <c r="A522" s="99" t="str">
        <f>IFERROR(__xludf.DUMMYFUNCTION("""COMPUTED_VALUE"""),"https://utrucking.com/admin/orders/6428919365820")</f>
        <v>https://utrucking.com/admin/orders/6428919365820</v>
      </c>
      <c r="B522" s="61" t="str">
        <f>IFERROR(__xludf.DUMMYFUNCTION("""COMPUTED_VALUE"""),"#17621")</f>
        <v>#17621</v>
      </c>
      <c r="C522" s="61" t="str">
        <f>IFERROR(__xludf.DUMMYFUNCTION("""COMPUTED_VALUE"""),"i.kim@wustl.edu")</f>
        <v>i.kim@wustl.edu</v>
      </c>
      <c r="D522" s="61">
        <f>IFERROR(__xludf.DUMMYFUNCTION("""COMPUTED_VALUE"""),8.149254159E9)</f>
        <v>8149254159</v>
      </c>
      <c r="E522" s="61" t="str">
        <f>IFERROR(__xludf.DUMMYFUNCTION("""COMPUTED_VALUE"""),"Kyubin Kim")</f>
        <v>Kyubin Kim</v>
      </c>
      <c r="F522" s="61" t="str">
        <f>IFERROR(__xludf.DUMMYFUNCTION("""COMPUTED_VALUE"""),"Izzy Kim")</f>
        <v>Izzy Kim</v>
      </c>
      <c r="G522" s="61" t="str">
        <f>IFERROR(__xludf.DUMMYFUNCTION("""COMPUTED_VALUE""")," 1 [Included with Registration] / Included Insurance   - ")</f>
        <v> 1 [Included with Registration] / Included Insurance   - </v>
      </c>
      <c r="H522" s="61" t="str">
        <f>IFERROR(__xludf.DUMMYFUNCTION("""COMPUTED_VALUE"""),"Village House  ")</f>
        <v>Village House  </v>
      </c>
      <c r="I522" s="61" t="str">
        <f>IFERROR(__xludf.DUMMYFUNCTION("""COMPUTED_VALUE"""),"3062")</f>
        <v>3062</v>
      </c>
      <c r="J522" s="107" t="str">
        <f>IFERROR(__xludf.DUMMYFUNCTION("""COMPUTED_VALUE"""),"09:00 AM to 11:00 AM  ")</f>
        <v>09:00 AM to 11:00 AM  </v>
      </c>
      <c r="K522" s="100">
        <f>IFERROR(__xludf.DUMMYFUNCTION("""COMPUTED_VALUE"""),46149.0)</f>
        <v>46149</v>
      </c>
      <c r="L522" s="61" t="str">
        <f>IFERROR(__xludf.DUMMYFUNCTION("""COMPUTED_VALUE""")," ")</f>
        <v> </v>
      </c>
      <c r="M522" s="61"/>
      <c r="N522" s="61" t="str">
        <f>IFERROR(__xludf.DUMMYFUNCTION("""COMPUTED_VALUE""")," ")</f>
        <v> </v>
      </c>
    </row>
    <row r="523">
      <c r="A523" s="102" t="str">
        <f>IFERROR(__xludf.DUMMYFUNCTION("""COMPUTED_VALUE"""),"https://utrucking.com/admin/orders/6429309272252")</f>
        <v>https://utrucking.com/admin/orders/6429309272252</v>
      </c>
      <c r="B523" s="65" t="str">
        <f>IFERROR(__xludf.DUMMYFUNCTION("""COMPUTED_VALUE"""),"#17623")</f>
        <v>#17623</v>
      </c>
      <c r="C523" s="65" t="str">
        <f>IFERROR(__xludf.DUMMYFUNCTION("""COMPUTED_VALUE"""),"lisabutler4267@gmail.com")</f>
        <v>lisabutler4267@gmail.com</v>
      </c>
      <c r="D523" s="65">
        <f>IFERROR(__xludf.DUMMYFUNCTION("""COMPUTED_VALUE"""),9.083770194E9)</f>
        <v>9083770194</v>
      </c>
      <c r="E523" s="65" t="str">
        <f>IFERROR(__xludf.DUMMYFUNCTION("""COMPUTED_VALUE"""),"Lisa Butler")</f>
        <v>Lisa Butler</v>
      </c>
      <c r="F523" s="65" t="str">
        <f>IFERROR(__xludf.DUMMYFUNCTION("""COMPUTED_VALUE"""),"Miles Kelly")</f>
        <v>Miles Kelly</v>
      </c>
      <c r="G523" s="65" t="str">
        <f>IFERROR(__xludf.DUMMYFUNCTION("""COMPUTED_VALUE""")," 1 [Included with Registration] / Included Insurance   - ")</f>
        <v> 1 [Included with Registration] / Included Insurance   - </v>
      </c>
      <c r="H523" s="65" t="str">
        <f>IFERROR(__xludf.DUMMYFUNCTION("""COMPUTED_VALUE"""),"House 21 (Alpha Epsilon Pi)  ")</f>
        <v>House 21 (Alpha Epsilon Pi)  </v>
      </c>
      <c r="I523" s="65" t="str">
        <f>IFERROR(__xludf.DUMMYFUNCTION("""COMPUTED_VALUE"""),"2061")</f>
        <v>2061</v>
      </c>
      <c r="J523" s="108" t="str">
        <f>IFERROR(__xludf.DUMMYFUNCTION("""COMPUTED_VALUE"""),"12:00 PM to 02:00 PM  ")</f>
        <v>12:00 PM to 02:00 PM  </v>
      </c>
      <c r="K523" s="103">
        <f>IFERROR(__xludf.DUMMYFUNCTION("""COMPUTED_VALUE"""),46146.0)</f>
        <v>46146</v>
      </c>
      <c r="L523" s="65" t="str">
        <f>IFERROR(__xludf.DUMMYFUNCTION("""COMPUTED_VALUE""")," ")</f>
        <v> </v>
      </c>
      <c r="M523" s="65"/>
      <c r="N523" s="65" t="str">
        <f>IFERROR(__xludf.DUMMYFUNCTION("""COMPUTED_VALUE""")," Will be storing a large TV")</f>
        <v> Will be storing a large TV</v>
      </c>
    </row>
    <row r="524">
      <c r="A524" s="99" t="str">
        <f>IFERROR(__xludf.DUMMYFUNCTION("""COMPUTED_VALUE"""),"https://utrucking.com/admin/orders/6429360685244")</f>
        <v>https://utrucking.com/admin/orders/6429360685244</v>
      </c>
      <c r="B524" s="61" t="str">
        <f>IFERROR(__xludf.DUMMYFUNCTION("""COMPUTED_VALUE"""),"#17625")</f>
        <v>#17625</v>
      </c>
      <c r="C524" s="61" t="str">
        <f>IFERROR(__xludf.DUMMYFUNCTION("""COMPUTED_VALUE"""),"c.brian@wustl.edu")</f>
        <v>c.brian@wustl.edu</v>
      </c>
      <c r="D524" s="61">
        <f>IFERROR(__xludf.DUMMYFUNCTION("""COMPUTED_VALUE"""),3.14598943E9)</f>
        <v>3145989430</v>
      </c>
      <c r="E524" s="61" t="str">
        <f>IFERROR(__xludf.DUMMYFUNCTION("""COMPUTED_VALUE"""),"Brian Chang")</f>
        <v>Brian Chang</v>
      </c>
      <c r="F524" s="61" t="str">
        <f>IFERROR(__xludf.DUMMYFUNCTION("""COMPUTED_VALUE"""),"Brian Chang")</f>
        <v>Brian Chang</v>
      </c>
      <c r="G524" s="61" t="str">
        <f>IFERROR(__xludf.DUMMYFUNCTION("""COMPUTED_VALUE""")," 1 [Included with Registration] / Included Insurance   - ")</f>
        <v> 1 [Included with Registration] / Included Insurance   - </v>
      </c>
      <c r="H524" s="61" t="str">
        <f>IFERROR(__xludf.DUMMYFUNCTION("""COMPUTED_VALUE"""),"Eliot A (Thomas Eliot)")</f>
        <v>Eliot A (Thomas Eliot)</v>
      </c>
      <c r="I524" s="61" t="str">
        <f>IFERROR(__xludf.DUMMYFUNCTION("""COMPUTED_VALUE"""),"2072")</f>
        <v>2072</v>
      </c>
      <c r="J524" s="107" t="str">
        <f>IFERROR(__xludf.DUMMYFUNCTION("""COMPUTED_VALUE"""),"01:00 PM to 03:00 PM  ")</f>
        <v>01:00 PM to 03:00 PM  </v>
      </c>
      <c r="K524" s="100">
        <f>IFERROR(__xludf.DUMMYFUNCTION("""COMPUTED_VALUE"""),46149.0)</f>
        <v>46149</v>
      </c>
      <c r="L524" s="61" t="str">
        <f>IFERROR(__xludf.DUMMYFUNCTION("""COMPUTED_VALUE""")," ")</f>
        <v> </v>
      </c>
      <c r="M524" s="61"/>
      <c r="N524" s="61" t="str">
        <f>IFERROR(__xludf.DUMMYFUNCTION("""COMPUTED_VALUE""")," ")</f>
        <v> </v>
      </c>
    </row>
    <row r="525">
      <c r="A525" s="102" t="str">
        <f>IFERROR(__xludf.DUMMYFUNCTION("""COMPUTED_VALUE"""),"https://utrucking.com/admin/orders/6429392208060")</f>
        <v>https://utrucking.com/admin/orders/6429392208060</v>
      </c>
      <c r="B525" s="65" t="str">
        <f>IFERROR(__xludf.DUMMYFUNCTION("""COMPUTED_VALUE"""),"#17628")</f>
        <v>#17628</v>
      </c>
      <c r="C525" s="65" t="str">
        <f>IFERROR(__xludf.DUMMYFUNCTION("""COMPUTED_VALUE"""),"lizsglaser@aol.com")</f>
        <v>lizsglaser@aol.com</v>
      </c>
      <c r="D525" s="65">
        <f>IFERROR(__xludf.DUMMYFUNCTION("""COMPUTED_VALUE"""),6.176335474E9)</f>
        <v>6176335474</v>
      </c>
      <c r="E525" s="65" t="str">
        <f>IFERROR(__xludf.DUMMYFUNCTION("""COMPUTED_VALUE"""),"Elizabeth Glaser")</f>
        <v>Elizabeth Glaser</v>
      </c>
      <c r="F525" s="65" t="str">
        <f>IFERROR(__xludf.DUMMYFUNCTION("""COMPUTED_VALUE"""),"Ava Glaser ")</f>
        <v>Ava Glaser </v>
      </c>
      <c r="G525" s="65" t="str">
        <f>IFERROR(__xludf.DUMMYFUNCTION("""COMPUTED_VALUE""")," 1 [Included with Registration] / Included Insurance   - ")</f>
        <v> 1 [Included with Registration] / Included Insurance   - </v>
      </c>
      <c r="H525" s="65" t="str">
        <f>IFERROR(__xludf.DUMMYFUNCTION("""COMPUTED_VALUE"""),"Village House  ")</f>
        <v>Village House  </v>
      </c>
      <c r="I525" s="65" t="str">
        <f>IFERROR(__xludf.DUMMYFUNCTION("""COMPUTED_VALUE"""),"3021")</f>
        <v>3021</v>
      </c>
      <c r="J525" s="108" t="str">
        <f>IFERROR(__xludf.DUMMYFUNCTION("""COMPUTED_VALUE"""),"02:00 PM to 04:00 PM")</f>
        <v>02:00 PM to 04:00 PM</v>
      </c>
      <c r="K525" s="103">
        <f>IFERROR(__xludf.DUMMYFUNCTION("""COMPUTED_VALUE"""),46146.0)</f>
        <v>46146</v>
      </c>
      <c r="L525" s="65" t="str">
        <f>IFERROR(__xludf.DUMMYFUNCTION("""COMPUTED_VALUE""")," ")</f>
        <v> </v>
      </c>
      <c r="M525" s="65"/>
      <c r="N525" s="65" t="str">
        <f>IFERROR(__xludf.DUMMYFUNCTION("""COMPUTED_VALUE""")," ")</f>
        <v> </v>
      </c>
    </row>
    <row r="526">
      <c r="A526" s="99" t="str">
        <f>IFERROR(__xludf.DUMMYFUNCTION("""COMPUTED_VALUE"""),"https://utrucking.com/admin/orders/6429397975228")</f>
        <v>https://utrucking.com/admin/orders/6429397975228</v>
      </c>
      <c r="B526" s="61" t="str">
        <f>IFERROR(__xludf.DUMMYFUNCTION("""COMPUTED_VALUE"""),"#17629")</f>
        <v>#17629</v>
      </c>
      <c r="C526" s="61" t="str">
        <f>IFERROR(__xludf.DUMMYFUNCTION("""COMPUTED_VALUE"""),"289ana@gmail.com")</f>
        <v>289ana@gmail.com</v>
      </c>
      <c r="D526" s="61">
        <f>IFERROR(__xludf.DUMMYFUNCTION("""COMPUTED_VALUE"""),9.176694027E9)</f>
        <v>9176694027</v>
      </c>
      <c r="E526" s="61" t="str">
        <f>IFERROR(__xludf.DUMMYFUNCTION("""COMPUTED_VALUE"""),"anita malick")</f>
        <v>anita malick</v>
      </c>
      <c r="F526" s="61" t="str">
        <f>IFERROR(__xludf.DUMMYFUNCTION("""COMPUTED_VALUE"""),"Ava A. Malick")</f>
        <v>Ava A. Malick</v>
      </c>
      <c r="G526" s="61" t="str">
        <f>IFERROR(__xludf.DUMMYFUNCTION("""COMPUTED_VALUE""")," 2 / Included Insurance   - ")</f>
        <v> 2 / Included Insurance   - </v>
      </c>
      <c r="H526" s="61" t="str">
        <f>IFERROR(__xludf.DUMMYFUNCTION("""COMPUTED_VALUE"""),"Umrath  ")</f>
        <v>Umrath  </v>
      </c>
      <c r="I526" s="61" t="str">
        <f>IFERROR(__xludf.DUMMYFUNCTION("""COMPUTED_VALUE"""),"2235")</f>
        <v>2235</v>
      </c>
      <c r="J526" s="107" t="str">
        <f>IFERROR(__xludf.DUMMYFUNCTION("""COMPUTED_VALUE"""),"09:00 AM to 11:00 AM  ")</f>
        <v>09:00 AM to 11:00 AM  </v>
      </c>
      <c r="K526" s="100">
        <f>IFERROR(__xludf.DUMMYFUNCTION("""COMPUTED_VALUE"""),46140.0)</f>
        <v>46140</v>
      </c>
      <c r="L526" s="61" t="str">
        <f>IFERROR(__xludf.DUMMYFUNCTION("""COMPUTED_VALUE""")," ")</f>
        <v> </v>
      </c>
      <c r="M526" s="61"/>
      <c r="N526" s="61" t="str">
        <f>IFERROR(__xludf.DUMMYFUNCTION("""COMPUTED_VALUE""")," ")</f>
        <v> </v>
      </c>
    </row>
    <row r="527">
      <c r="A527" s="102" t="str">
        <f>IFERROR(__xludf.DUMMYFUNCTION("""COMPUTED_VALUE"""),"https://utrucking.com/admin/orders/6429493657788")</f>
        <v>https://utrucking.com/admin/orders/6429493657788</v>
      </c>
      <c r="B527" s="65" t="str">
        <f>IFERROR(__xludf.DUMMYFUNCTION("""COMPUTED_VALUE"""),"#17630")</f>
        <v>#17630</v>
      </c>
      <c r="C527" s="65" t="str">
        <f>IFERROR(__xludf.DUMMYFUNCTION("""COMPUTED_VALUE"""),"jasonmorrissf2025@gmail.com")</f>
        <v>jasonmorrissf2025@gmail.com</v>
      </c>
      <c r="D527" s="65">
        <f>IFERROR(__xludf.DUMMYFUNCTION("""COMPUTED_VALUE"""),4.155319804E9)</f>
        <v>4155319804</v>
      </c>
      <c r="E527" s="65" t="str">
        <f>IFERROR(__xludf.DUMMYFUNCTION("""COMPUTED_VALUE"""),"Jason Morris")</f>
        <v>Jason Morris</v>
      </c>
      <c r="F527" s="65" t="str">
        <f>IFERROR(__xludf.DUMMYFUNCTION("""COMPUTED_VALUE"""),"Jason Morris")</f>
        <v>Jason Morris</v>
      </c>
      <c r="G527" s="65" t="str">
        <f>IFERROR(__xludf.DUMMYFUNCTION("""COMPUTED_VALUE""")," 1 [Included with Registration] / Included Insurance   - ")</f>
        <v> 1 [Included with Registration] / Included Insurance   - </v>
      </c>
      <c r="H527" s="65" t="str">
        <f>IFERROR(__xludf.DUMMYFUNCTION("""COMPUTED_VALUE"""),"Park  ")</f>
        <v>Park  </v>
      </c>
      <c r="I527" s="65" t="str">
        <f>IFERROR(__xludf.DUMMYFUNCTION("""COMPUTED_VALUE"""),"442")</f>
        <v>442</v>
      </c>
      <c r="J527" s="108" t="str">
        <f>IFERROR(__xludf.DUMMYFUNCTION("""COMPUTED_VALUE"""),"12:00 PM to 02:00 PM  ")</f>
        <v>12:00 PM to 02:00 PM  </v>
      </c>
      <c r="K527" s="103">
        <f>IFERROR(__xludf.DUMMYFUNCTION("""COMPUTED_VALUE"""),46144.0)</f>
        <v>46144</v>
      </c>
      <c r="L527" s="65" t="str">
        <f>IFERROR(__xludf.DUMMYFUNCTION("""COMPUTED_VALUE""")," ")</f>
        <v> </v>
      </c>
      <c r="M527" s="65"/>
      <c r="N527" s="65" t="str">
        <f>IFERROR(__xludf.DUMMYFUNCTION("""COMPUTED_VALUE""")," ")</f>
        <v> </v>
      </c>
    </row>
    <row r="528">
      <c r="A528" s="99" t="str">
        <f>IFERROR(__xludf.DUMMYFUNCTION("""COMPUTED_VALUE"""),"https://utrucking.com/admin/orders/6429517840572")</f>
        <v>https://utrucking.com/admin/orders/6429517840572</v>
      </c>
      <c r="B528" s="61" t="str">
        <f>IFERROR(__xludf.DUMMYFUNCTION("""COMPUTED_VALUE"""),"#17631")</f>
        <v>#17631</v>
      </c>
      <c r="C528" s="61" t="str">
        <f>IFERROR(__xludf.DUMMYFUNCTION("""COMPUTED_VALUE"""),"jnewmanny@gmail.com")</f>
        <v>jnewmanny@gmail.com</v>
      </c>
      <c r="D528" s="61">
        <f>IFERROR(__xludf.DUMMYFUNCTION("""COMPUTED_VALUE"""),1.914777099E10)</f>
        <v>19147770990</v>
      </c>
      <c r="E528" s="61" t="str">
        <f>IFERROR(__xludf.DUMMYFUNCTION("""COMPUTED_VALUE"""),"Jennfier Newman")</f>
        <v>Jennfier Newman</v>
      </c>
      <c r="F528" s="61" t="str">
        <f>IFERROR(__xludf.DUMMYFUNCTION("""COMPUTED_VALUE"""),"Miles Newman")</f>
        <v>Miles Newman</v>
      </c>
      <c r="G528" s="61" t="str">
        <f>IFERROR(__xludf.DUMMYFUNCTION("""COMPUTED_VALUE""")," 1 [Included with Registration] / Included Insurance   - ")</f>
        <v> 1 [Included with Registration] / Included Insurance   - </v>
      </c>
      <c r="H528" s="61" t="str">
        <f>IFERROR(__xludf.DUMMYFUNCTION("""COMPUTED_VALUE"""),"Lien  ")</f>
        <v>Lien  </v>
      </c>
      <c r="I528" s="61" t="str">
        <f>IFERROR(__xludf.DUMMYFUNCTION("""COMPUTED_VALUE"""),"2233")</f>
        <v>2233</v>
      </c>
      <c r="J528" s="107" t="str">
        <f>IFERROR(__xludf.DUMMYFUNCTION("""COMPUTED_VALUE"""),"01:00 PM to 03:00 PM  ")</f>
        <v>01:00 PM to 03:00 PM  </v>
      </c>
      <c r="K528" s="100">
        <f>IFERROR(__xludf.DUMMYFUNCTION("""COMPUTED_VALUE"""),46143.0)</f>
        <v>46143</v>
      </c>
      <c r="L528" s="61" t="str">
        <f>IFERROR(__xludf.DUMMYFUNCTION("""COMPUTED_VALUE""")," ")</f>
        <v> </v>
      </c>
      <c r="M528" s="61"/>
      <c r="N528" s="61" t="str">
        <f>IFERROR(__xludf.DUMMYFUNCTION("""COMPUTED_VALUE""")," ")</f>
        <v> </v>
      </c>
    </row>
    <row r="529">
      <c r="A529" s="102" t="str">
        <f>IFERROR(__xludf.DUMMYFUNCTION("""COMPUTED_VALUE"""),"https://utrucking.com/admin/orders/6429543366844")</f>
        <v>https://utrucking.com/admin/orders/6429543366844</v>
      </c>
      <c r="B529" s="65" t="str">
        <f>IFERROR(__xludf.DUMMYFUNCTION("""COMPUTED_VALUE"""),"#17632")</f>
        <v>#17632</v>
      </c>
      <c r="C529" s="65" t="str">
        <f>IFERROR(__xludf.DUMMYFUNCTION("""COMPUTED_VALUE"""),"libbyhurwitz@gmail.com")</f>
        <v>libbyhurwitz@gmail.com</v>
      </c>
      <c r="D529" s="65">
        <f>IFERROR(__xludf.DUMMYFUNCTION("""COMPUTED_VALUE"""),2.026970061E9)</f>
        <v>2026970061</v>
      </c>
      <c r="E529" s="65" t="str">
        <f>IFERROR(__xludf.DUMMYFUNCTION("""COMPUTED_VALUE"""),"Libby Hurwitz")</f>
        <v>Libby Hurwitz</v>
      </c>
      <c r="F529" s="65" t="str">
        <f>IFERROR(__xludf.DUMMYFUNCTION("""COMPUTED_VALUE"""),"Libby Hurwitz")</f>
        <v>Libby Hurwitz</v>
      </c>
      <c r="G529" s="65" t="str">
        <f>IFERROR(__xludf.DUMMYFUNCTION("""COMPUTED_VALUE""")," 1 [Included with Registration] / Included Insurance   - ")</f>
        <v> 1 [Included with Registration] / Included Insurance   - </v>
      </c>
      <c r="H529" s="65" t="str">
        <f>IFERROR(__xludf.DUMMYFUNCTION("""COMPUTED_VALUE"""),"Liggett  ")</f>
        <v>Liggett  </v>
      </c>
      <c r="I529" s="65" t="str">
        <f>IFERROR(__xludf.DUMMYFUNCTION("""COMPUTED_VALUE"""),"2272")</f>
        <v>2272</v>
      </c>
      <c r="J529" s="108" t="str">
        <f>IFERROR(__xludf.DUMMYFUNCTION("""COMPUTED_VALUE"""),"09:00 AM to 11:00 AM  ")</f>
        <v>09:00 AM to 11:00 AM  </v>
      </c>
      <c r="K529" s="103">
        <f>IFERROR(__xludf.DUMMYFUNCTION("""COMPUTED_VALUE"""),46146.0)</f>
        <v>46146</v>
      </c>
      <c r="L529" s="65" t="str">
        <f>IFERROR(__xludf.DUMMYFUNCTION("""COMPUTED_VALUE""")," ")</f>
        <v> </v>
      </c>
      <c r="M529" s="65"/>
      <c r="N529" s="65" t="str">
        <f>IFERROR(__xludf.DUMMYFUNCTION("""COMPUTED_VALUE""")," ")</f>
        <v> </v>
      </c>
    </row>
    <row r="530">
      <c r="A530" s="99" t="str">
        <f>IFERROR(__xludf.DUMMYFUNCTION("""COMPUTED_VALUE"""),"https://utrucking.com/admin/orders/6429561847996")</f>
        <v>https://utrucking.com/admin/orders/6429561847996</v>
      </c>
      <c r="B530" s="61" t="str">
        <f>IFERROR(__xludf.DUMMYFUNCTION("""COMPUTED_VALUE"""),"#17633")</f>
        <v>#17633</v>
      </c>
      <c r="C530" s="61" t="str">
        <f>IFERROR(__xludf.DUMMYFUNCTION("""COMPUTED_VALUE"""),"m.stikeleather@wustl.edu")</f>
        <v>m.stikeleather@wustl.edu</v>
      </c>
      <c r="D530" s="61">
        <f>IFERROR(__xludf.DUMMYFUNCTION("""COMPUTED_VALUE"""),7.742705618E9)</f>
        <v>7742705618</v>
      </c>
      <c r="E530" s="61" t="str">
        <f>IFERROR(__xludf.DUMMYFUNCTION("""COMPUTED_VALUE"""),"Maddy Stikeleather")</f>
        <v>Maddy Stikeleather</v>
      </c>
      <c r="F530" s="61" t="str">
        <f>IFERROR(__xludf.DUMMYFUNCTION("""COMPUTED_VALUE"""),"Maddy Stikeleather")</f>
        <v>Maddy Stikeleather</v>
      </c>
      <c r="G530" s="61" t="str">
        <f>IFERROR(__xludf.DUMMYFUNCTION("""COMPUTED_VALUE""")," 1 [Included with Registration] / Included Insurance   - ")</f>
        <v> 1 [Included with Registration] / Included Insurance   - </v>
      </c>
      <c r="H530" s="61" t="str">
        <f>IFERROR(__xludf.DUMMYFUNCTION("""COMPUTED_VALUE"""),"Nemerov  ")</f>
        <v>Nemerov  </v>
      </c>
      <c r="I530" s="61" t="str">
        <f>IFERROR(__xludf.DUMMYFUNCTION("""COMPUTED_VALUE"""),"3082")</f>
        <v>3082</v>
      </c>
      <c r="J530" s="107" t="str">
        <f>IFERROR(__xludf.DUMMYFUNCTION("""COMPUTED_VALUE"""),"09:00 AM to 11:00 AM  ")</f>
        <v>09:00 AM to 11:00 AM  </v>
      </c>
      <c r="K530" s="100">
        <f>IFERROR(__xludf.DUMMYFUNCTION("""COMPUTED_VALUE"""),46148.0)</f>
        <v>46148</v>
      </c>
      <c r="L530" s="61" t="str">
        <f>IFERROR(__xludf.DUMMYFUNCTION("""COMPUTED_VALUE""")," ")</f>
        <v> </v>
      </c>
      <c r="M530" s="61"/>
      <c r="N530" s="61" t="str">
        <f>IFERROR(__xludf.DUMMYFUNCTION("""COMPUTED_VALUE""")," ")</f>
        <v> </v>
      </c>
    </row>
    <row r="531">
      <c r="A531" s="102" t="str">
        <f>IFERROR(__xludf.DUMMYFUNCTION("""COMPUTED_VALUE"""),"https://utrucking.com/admin/orders/6429569220796")</f>
        <v>https://utrucking.com/admin/orders/6429569220796</v>
      </c>
      <c r="B531" s="65" t="str">
        <f>IFERROR(__xludf.DUMMYFUNCTION("""COMPUTED_VALUE"""),"#17634")</f>
        <v>#17634</v>
      </c>
      <c r="C531" s="65" t="str">
        <f>IFERROR(__xludf.DUMMYFUNCTION("""COMPUTED_VALUE"""),"f.harari@wustl.edu")</f>
        <v>f.harari@wustl.edu</v>
      </c>
      <c r="D531" s="65">
        <f>IFERROR(__xludf.DUMMYFUNCTION("""COMPUTED_VALUE"""),7.18551122E9)</f>
        <v>7185511220</v>
      </c>
      <c r="E531" s="65" t="str">
        <f>IFERROR(__xludf.DUMMYFUNCTION("""COMPUTED_VALUE"""),"Felix Harari")</f>
        <v>Felix Harari</v>
      </c>
      <c r="F531" s="65" t="str">
        <f>IFERROR(__xludf.DUMMYFUNCTION("""COMPUTED_VALUE"""),"Felix Harari")</f>
        <v>Felix Harari</v>
      </c>
      <c r="G531" s="65" t="str">
        <f>IFERROR(__xludf.DUMMYFUNCTION("""COMPUTED_VALUE""")," 2 / Included Insurance   - ")</f>
        <v> 2 / Included Insurance   - </v>
      </c>
      <c r="H531" s="65" t="str">
        <f>IFERROR(__xludf.DUMMYFUNCTION("""COMPUTED_VALUE"""),"House 6 (Sigma Alpha Epsilon)  ")</f>
        <v>House 6 (Sigma Alpha Epsilon)  </v>
      </c>
      <c r="I531" s="65" t="str">
        <f>IFERROR(__xludf.DUMMYFUNCTION("""COMPUTED_VALUE"""),"206")</f>
        <v>206</v>
      </c>
      <c r="J531" s="108" t="str">
        <f>IFERROR(__xludf.DUMMYFUNCTION("""COMPUTED_VALUE"""),"02:00 PM to 04:00 PM")</f>
        <v>02:00 PM to 04:00 PM</v>
      </c>
      <c r="K531" s="103">
        <f>IFERROR(__xludf.DUMMYFUNCTION("""COMPUTED_VALUE"""),46148.0)</f>
        <v>46148</v>
      </c>
      <c r="L531" s="65" t="str">
        <f>IFERROR(__xludf.DUMMYFUNCTION("""COMPUTED_VALUE""")," ")</f>
        <v> </v>
      </c>
      <c r="M531" s="65"/>
      <c r="N531" s="65" t="str">
        <f>IFERROR(__xludf.DUMMYFUNCTION("""COMPUTED_VALUE""")," ")</f>
        <v> </v>
      </c>
    </row>
    <row r="532">
      <c r="A532" s="99" t="str">
        <f>IFERROR(__xludf.DUMMYFUNCTION("""COMPUTED_VALUE"""),"https://utrucking.com/admin/orders/6429572759740")</f>
        <v>https://utrucking.com/admin/orders/6429572759740</v>
      </c>
      <c r="B532" s="61" t="str">
        <f>IFERROR(__xludf.DUMMYFUNCTION("""COMPUTED_VALUE"""),"#17635")</f>
        <v>#17635</v>
      </c>
      <c r="C532" s="61" t="str">
        <f>IFERROR(__xludf.DUMMYFUNCTION("""COMPUTED_VALUE"""),"a.k.mehta@wustl.edu")</f>
        <v>a.k.mehta@wustl.edu</v>
      </c>
      <c r="D532" s="61">
        <f>IFERROR(__xludf.DUMMYFUNCTION("""COMPUTED_VALUE"""),5.086546802E9)</f>
        <v>5086546802</v>
      </c>
      <c r="E532" s="61" t="str">
        <f>IFERROR(__xludf.DUMMYFUNCTION("""COMPUTED_VALUE"""),"Kamine Mehta")</f>
        <v>Kamine Mehta</v>
      </c>
      <c r="F532" s="61" t="str">
        <f>IFERROR(__xludf.DUMMYFUNCTION("""COMPUTED_VALUE"""),"Arya Mehta")</f>
        <v>Arya Mehta</v>
      </c>
      <c r="G532" s="61" t="str">
        <f>IFERROR(__xludf.DUMMYFUNCTION("""COMPUTED_VALUE""")," 2 / Included Insurance   - ")</f>
        <v> 2 / Included Insurance   - </v>
      </c>
      <c r="H532" s="61" t="str">
        <f>IFERROR(__xludf.DUMMYFUNCTION("""COMPUTED_VALUE"""),"Millbrook Bldg. 4  ")</f>
        <v>Millbrook Bldg. 4  </v>
      </c>
      <c r="I532" s="61" t="str">
        <f>IFERROR(__xludf.DUMMYFUNCTION("""COMPUTED_VALUE"""),"4b1 ")</f>
        <v>4b1 </v>
      </c>
      <c r="J532" s="107" t="str">
        <f>IFERROR(__xludf.DUMMYFUNCTION("""COMPUTED_VALUE"""),"09:00 AM to 11:00 AM  ")</f>
        <v>09:00 AM to 11:00 AM  </v>
      </c>
      <c r="K532" s="100">
        <f>IFERROR(__xludf.DUMMYFUNCTION("""COMPUTED_VALUE"""),46146.0)</f>
        <v>46146</v>
      </c>
      <c r="L532" s="61" t="str">
        <f>IFERROR(__xludf.DUMMYFUNCTION("""COMPUTED_VALUE""")," ")</f>
        <v> </v>
      </c>
      <c r="M532" s="61"/>
      <c r="N532" s="61" t="str">
        <f>IFERROR(__xludf.DUMMYFUNCTION("""COMPUTED_VALUE""")," ")</f>
        <v> </v>
      </c>
    </row>
    <row r="533">
      <c r="A533" s="102" t="str">
        <f>IFERROR(__xludf.DUMMYFUNCTION("""COMPUTED_VALUE"""),"https://utrucking.com/admin/orders/6429668343996")</f>
        <v>https://utrucking.com/admin/orders/6429668343996</v>
      </c>
      <c r="B533" s="65" t="str">
        <f>IFERROR(__xludf.DUMMYFUNCTION("""COMPUTED_VALUE"""),"#17639")</f>
        <v>#17639</v>
      </c>
      <c r="C533" s="65" t="str">
        <f>IFERROR(__xludf.DUMMYFUNCTION("""COMPUTED_VALUE"""),"kyash@wustl.edu")</f>
        <v>kyash@wustl.edu</v>
      </c>
      <c r="D533" s="65">
        <f>IFERROR(__xludf.DUMMYFUNCTION("""COMPUTED_VALUE"""),2.065654698E9)</f>
        <v>2065654698</v>
      </c>
      <c r="E533" s="65" t="str">
        <f>IFERROR(__xludf.DUMMYFUNCTION("""COMPUTED_VALUE"""),"Yash Karki")</f>
        <v>Yash Karki</v>
      </c>
      <c r="F533" s="65" t="str">
        <f>IFERROR(__xludf.DUMMYFUNCTION("""COMPUTED_VALUE"""),"Yash Karki")</f>
        <v>Yash Karki</v>
      </c>
      <c r="G533" s="65" t="str">
        <f>IFERROR(__xludf.DUMMYFUNCTION("""COMPUTED_VALUE""")," 1 [Included with Registration] / Included Insurance   - ")</f>
        <v> 1 [Included with Registration] / Included Insurance   - </v>
      </c>
      <c r="H533" s="65" t="str">
        <f>IFERROR(__xludf.DUMMYFUNCTION("""COMPUTED_VALUE"""),"Dardick  ")</f>
        <v>Dardick  </v>
      </c>
      <c r="I533" s="65" t="str">
        <f>IFERROR(__xludf.DUMMYFUNCTION("""COMPUTED_VALUE"""),"2209")</f>
        <v>2209</v>
      </c>
      <c r="J533" s="108" t="str">
        <f>IFERROR(__xludf.DUMMYFUNCTION("""COMPUTED_VALUE"""),"11:00 AM to 01:00 PM  ")</f>
        <v>11:00 AM to 01:00 PM  </v>
      </c>
      <c r="K533" s="103">
        <f>IFERROR(__xludf.DUMMYFUNCTION("""COMPUTED_VALUE"""),46147.0)</f>
        <v>46147</v>
      </c>
      <c r="L533" s="65" t="str">
        <f>IFERROR(__xludf.DUMMYFUNCTION("""COMPUTED_VALUE""")," ")</f>
        <v> </v>
      </c>
      <c r="M533" s="65"/>
      <c r="N533" s="65" t="str">
        <f>IFERROR(__xludf.DUMMYFUNCTION("""COMPUTED_VALUE""")," ")</f>
        <v> </v>
      </c>
    </row>
    <row r="534">
      <c r="A534" s="99" t="str">
        <f>IFERROR(__xludf.DUMMYFUNCTION("""COMPUTED_VALUE"""),"https://utrucking.com/admin/orders/6429669064892")</f>
        <v>https://utrucking.com/admin/orders/6429669064892</v>
      </c>
      <c r="B534" s="61" t="str">
        <f>IFERROR(__xludf.DUMMYFUNCTION("""COMPUTED_VALUE"""),"#17640")</f>
        <v>#17640</v>
      </c>
      <c r="C534" s="61" t="str">
        <f>IFERROR(__xludf.DUMMYFUNCTION("""COMPUTED_VALUE"""),"l.e.olmeta@wustl.edu")</f>
        <v>l.e.olmeta@wustl.edu</v>
      </c>
      <c r="D534" s="61">
        <f>IFERROR(__xludf.DUMMYFUNCTION("""COMPUTED_VALUE"""),8.588228804E9)</f>
        <v>8588228804</v>
      </c>
      <c r="E534" s="61" t="str">
        <f>IFERROR(__xludf.DUMMYFUNCTION("""COMPUTED_VALUE"""),"Lucas Olmeta")</f>
        <v>Lucas Olmeta</v>
      </c>
      <c r="F534" s="61" t="str">
        <f>IFERROR(__xludf.DUMMYFUNCTION("""COMPUTED_VALUE"""),"Lucas Olmeta")</f>
        <v>Lucas Olmeta</v>
      </c>
      <c r="G534" s="61" t="str">
        <f>IFERROR(__xludf.DUMMYFUNCTION("""COMPUTED_VALUE""")," 1 [Included with Registration] / Included Insurance   - ")</f>
        <v> 1 [Included with Registration] / Included Insurance   - </v>
      </c>
      <c r="H534" s="61" t="str">
        <f>IFERROR(__xludf.DUMMYFUNCTION("""COMPUTED_VALUE"""),"Liggett  ")</f>
        <v>Liggett  </v>
      </c>
      <c r="I534" s="61" t="str">
        <f>IFERROR(__xludf.DUMMYFUNCTION("""COMPUTED_VALUE"""),"2283")</f>
        <v>2283</v>
      </c>
      <c r="J534" s="107" t="str">
        <f>IFERROR(__xludf.DUMMYFUNCTION("""COMPUTED_VALUE"""),"03:00 PM to 05:00 PM")</f>
        <v>03:00 PM to 05:00 PM</v>
      </c>
      <c r="K534" s="100">
        <f>IFERROR(__xludf.DUMMYFUNCTION("""COMPUTED_VALUE"""),46147.0)</f>
        <v>46147</v>
      </c>
      <c r="L534" s="61" t="str">
        <f>IFERROR(__xludf.DUMMYFUNCTION("""COMPUTED_VALUE""")," ")</f>
        <v> </v>
      </c>
      <c r="M534" s="61"/>
      <c r="N534" s="61" t="str">
        <f>IFERROR(__xludf.DUMMYFUNCTION("""COMPUTED_VALUE""")," ")</f>
        <v> </v>
      </c>
    </row>
    <row r="535">
      <c r="A535" s="102" t="str">
        <f>IFERROR(__xludf.DUMMYFUNCTION("""COMPUTED_VALUE"""),"https://utrucking.com/admin/orders/6429672898748")</f>
        <v>https://utrucking.com/admin/orders/6429672898748</v>
      </c>
      <c r="B535" s="65" t="str">
        <f>IFERROR(__xludf.DUMMYFUNCTION("""COMPUTED_VALUE"""),"#17641")</f>
        <v>#17641</v>
      </c>
      <c r="C535" s="65" t="str">
        <f>IFERROR(__xludf.DUMMYFUNCTION("""COMPUTED_VALUE"""),"cradgerson@gmail.com")</f>
        <v>cradgerson@gmail.com</v>
      </c>
      <c r="D535" s="65">
        <f>IFERROR(__xludf.DUMMYFUNCTION("""COMPUTED_VALUE"""),9.172460728E9)</f>
        <v>9172460728</v>
      </c>
      <c r="E535" s="65" t="str">
        <f>IFERROR(__xludf.DUMMYFUNCTION("""COMPUTED_VALUE"""),"Conrad Gerson")</f>
        <v>Conrad Gerson</v>
      </c>
      <c r="F535" s="65" t="str">
        <f>IFERROR(__xludf.DUMMYFUNCTION("""COMPUTED_VALUE"""),"Conrad Gerson")</f>
        <v>Conrad Gerson</v>
      </c>
      <c r="G535" s="65" t="str">
        <f>IFERROR(__xludf.DUMMYFUNCTION("""COMPUTED_VALUE""")," 1 [Included with Registration] / Included Insurance   - ")</f>
        <v> 1 [Included with Registration] / Included Insurance   - </v>
      </c>
      <c r="H535" s="65" t="str">
        <f>IFERROR(__xludf.DUMMYFUNCTION("""COMPUTED_VALUE"""),"House 21 (Alpha Epsilon Pi)  ")</f>
        <v>House 21 (Alpha Epsilon Pi)  </v>
      </c>
      <c r="I535" s="65" t="str">
        <f>IFERROR(__xludf.DUMMYFUNCTION("""COMPUTED_VALUE"""),"3311")</f>
        <v>3311</v>
      </c>
      <c r="J535" s="108" t="str">
        <f>IFERROR(__xludf.DUMMYFUNCTION("""COMPUTED_VALUE"""),"09:00 AM to 11:00 AM  ")</f>
        <v>09:00 AM to 11:00 AM  </v>
      </c>
      <c r="K535" s="103">
        <f>IFERROR(__xludf.DUMMYFUNCTION("""COMPUTED_VALUE"""),46149.0)</f>
        <v>46149</v>
      </c>
      <c r="L535" s="65" t="str">
        <f>IFERROR(__xludf.DUMMYFUNCTION("""COMPUTED_VALUE""")," ")</f>
        <v> </v>
      </c>
      <c r="M535" s="65"/>
      <c r="N535" s="65" t="str">
        <f>IFERROR(__xludf.DUMMYFUNCTION("""COMPUTED_VALUE""")," ")</f>
        <v> </v>
      </c>
    </row>
    <row r="536">
      <c r="A536" s="99" t="str">
        <f>IFERROR(__xludf.DUMMYFUNCTION("""COMPUTED_VALUE"""),"https://utrucking.com/admin/orders/6429719494844")</f>
        <v>https://utrucking.com/admin/orders/6429719494844</v>
      </c>
      <c r="B536" s="61" t="str">
        <f>IFERROR(__xludf.DUMMYFUNCTION("""COMPUTED_VALUE"""),"#17643")</f>
        <v>#17643</v>
      </c>
      <c r="C536" s="61" t="str">
        <f>IFERROR(__xludf.DUMMYFUNCTION("""COMPUTED_VALUE"""),"florazhou2005@gmail.com")</f>
        <v>florazhou2005@gmail.com</v>
      </c>
      <c r="D536" s="61">
        <f>IFERROR(__xludf.DUMMYFUNCTION("""COMPUTED_VALUE"""),2.022808249E9)</f>
        <v>2022808249</v>
      </c>
      <c r="E536" s="61" t="str">
        <f>IFERROR(__xludf.DUMMYFUNCTION("""COMPUTED_VALUE"""),"Lei Gu")</f>
        <v>Lei Gu</v>
      </c>
      <c r="F536" s="61" t="str">
        <f>IFERROR(__xludf.DUMMYFUNCTION("""COMPUTED_VALUE"""),"Flora Zhou")</f>
        <v>Flora Zhou</v>
      </c>
      <c r="G536" s="61" t="str">
        <f>IFERROR(__xludf.DUMMYFUNCTION("""COMPUTED_VALUE""")," 2 / Included Insurance   - ")</f>
        <v> 2 / Included Insurance   - </v>
      </c>
      <c r="H536" s="61" t="str">
        <f>IFERROR(__xludf.DUMMYFUNCTION("""COMPUTED_VALUE"""),"Dauten  ")</f>
        <v>Dauten  </v>
      </c>
      <c r="I536" s="61" t="str">
        <f>IFERROR(__xludf.DUMMYFUNCTION("""COMPUTED_VALUE"""),"121")</f>
        <v>121</v>
      </c>
      <c r="J536" s="107" t="str">
        <f>IFERROR(__xludf.DUMMYFUNCTION("""COMPUTED_VALUE"""),"09:00 AM to 11:00 AM  ")</f>
        <v>09:00 AM to 11:00 AM  </v>
      </c>
      <c r="K536" s="100">
        <f>IFERROR(__xludf.DUMMYFUNCTION("""COMPUTED_VALUE"""),46148.0)</f>
        <v>46148</v>
      </c>
      <c r="L536" s="61" t="str">
        <f>IFERROR(__xludf.DUMMYFUNCTION("""COMPUTED_VALUE""")," ")</f>
        <v> </v>
      </c>
      <c r="M536" s="61"/>
      <c r="N536" s="61" t="str">
        <f>IFERROR(__xludf.DUMMYFUNCTION("""COMPUTED_VALUE""")," ")</f>
        <v> </v>
      </c>
    </row>
    <row r="537">
      <c r="A537" s="102" t="str">
        <f>IFERROR(__xludf.DUMMYFUNCTION("""COMPUTED_VALUE"""),"https://utrucking.com/admin/orders/6429738565820")</f>
        <v>https://utrucking.com/admin/orders/6429738565820</v>
      </c>
      <c r="B537" s="65" t="str">
        <f>IFERROR(__xludf.DUMMYFUNCTION("""COMPUTED_VALUE"""),"#17644")</f>
        <v>#17644</v>
      </c>
      <c r="C537" s="65" t="str">
        <f>IFERROR(__xludf.DUMMYFUNCTION("""COMPUTED_VALUE"""),"i.x.li@wustl.edu")</f>
        <v>i.x.li@wustl.edu</v>
      </c>
      <c r="D537" s="65">
        <f>IFERROR(__xludf.DUMMYFUNCTION("""COMPUTED_VALUE"""),5.572185472E9)</f>
        <v>5572185472</v>
      </c>
      <c r="E537" s="65" t="str">
        <f>IFERROR(__xludf.DUMMYFUNCTION("""COMPUTED_VALUE"""),"Isabella Li")</f>
        <v>Isabella Li</v>
      </c>
      <c r="F537" s="65" t="str">
        <f>IFERROR(__xludf.DUMMYFUNCTION("""COMPUTED_VALUE"""),"Isabella Xingyi li")</f>
        <v>Isabella Xingyi li</v>
      </c>
      <c r="G537" s="65" t="str">
        <f>IFERROR(__xludf.DUMMYFUNCTION("""COMPUTED_VALUE""")," 1 [Included with Registration] / Included Insurance   - ")</f>
        <v> 1 [Included with Registration] / Included Insurance   - </v>
      </c>
      <c r="H537" s="65" t="str">
        <f>IFERROR(__xludf.DUMMYFUNCTION("""COMPUTED_VALUE"""),"Danforth  ")</f>
        <v>Danforth  </v>
      </c>
      <c r="I537" s="65" t="str">
        <f>IFERROR(__xludf.DUMMYFUNCTION("""COMPUTED_VALUE"""),"2210A")</f>
        <v>2210A</v>
      </c>
      <c r="J537" s="108" t="str">
        <f>IFERROR(__xludf.DUMMYFUNCTION("""COMPUTED_VALUE"""),"01:00 PM to 03:00 PM  ")</f>
        <v>01:00 PM to 03:00 PM  </v>
      </c>
      <c r="K537" s="103">
        <f>IFERROR(__xludf.DUMMYFUNCTION("""COMPUTED_VALUE"""),46148.0)</f>
        <v>46148</v>
      </c>
      <c r="L537" s="65" t="str">
        <f>IFERROR(__xludf.DUMMYFUNCTION("""COMPUTED_VALUE""")," ")</f>
        <v> </v>
      </c>
      <c r="M537" s="65"/>
      <c r="N537" s="65" t="str">
        <f>IFERROR(__xludf.DUMMYFUNCTION("""COMPUTED_VALUE""")," ")</f>
        <v> </v>
      </c>
    </row>
    <row r="538">
      <c r="A538" s="99" t="str">
        <f>IFERROR(__xludf.DUMMYFUNCTION("""COMPUTED_VALUE"""),"https://utrucking.com/admin/orders/6429796270268")</f>
        <v>https://utrucking.com/admin/orders/6429796270268</v>
      </c>
      <c r="B538" s="61" t="str">
        <f>IFERROR(__xludf.DUMMYFUNCTION("""COMPUTED_VALUE"""),"#17645")</f>
        <v>#17645</v>
      </c>
      <c r="C538" s="61" t="str">
        <f>IFERROR(__xludf.DUMMYFUNCTION("""COMPUTED_VALUE"""),"alefkowitz@wustl.edu")</f>
        <v>alefkowitz@wustl.edu</v>
      </c>
      <c r="D538" s="61">
        <f>IFERROR(__xludf.DUMMYFUNCTION("""COMPUTED_VALUE"""),6.468724314E9)</f>
        <v>6468724314</v>
      </c>
      <c r="E538" s="61" t="str">
        <f>IFERROR(__xludf.DUMMYFUNCTION("""COMPUTED_VALUE"""),"Vicki Lefkowitz")</f>
        <v>Vicki Lefkowitz</v>
      </c>
      <c r="F538" s="61" t="str">
        <f>IFERROR(__xludf.DUMMYFUNCTION("""COMPUTED_VALUE"""),"Alexander Lefkowitz")</f>
        <v>Alexander Lefkowitz</v>
      </c>
      <c r="G538" s="61" t="str">
        <f>IFERROR(__xludf.DUMMYFUNCTION("""COMPUTED_VALUE""")," 1 [Included with Registration] / Included Insurance   - ")</f>
        <v> 1 [Included with Registration] / Included Insurance   - </v>
      </c>
      <c r="H538" s="61" t="str">
        <f>IFERROR(__xludf.DUMMYFUNCTION("""COMPUTED_VALUE"""),"Koenig  ")</f>
        <v>Koenig  </v>
      </c>
      <c r="I538" s="61" t="str">
        <f>IFERROR(__xludf.DUMMYFUNCTION("""COMPUTED_VALUE"""),"1109")</f>
        <v>1109</v>
      </c>
      <c r="J538" s="107" t="str">
        <f>IFERROR(__xludf.DUMMYFUNCTION("""COMPUTED_VALUE"""),"09:00 AM to 11:00 AM  ")</f>
        <v>09:00 AM to 11:00 AM  </v>
      </c>
      <c r="K538" s="100">
        <f>IFERROR(__xludf.DUMMYFUNCTION("""COMPUTED_VALUE"""),46147.0)</f>
        <v>46147</v>
      </c>
      <c r="L538" s="61" t="str">
        <f>IFERROR(__xludf.DUMMYFUNCTION("""COMPUTED_VALUE""")," ")</f>
        <v> </v>
      </c>
      <c r="M538" s="61"/>
      <c r="N538" s="61" t="str">
        <f>IFERROR(__xludf.DUMMYFUNCTION("""COMPUTED_VALUE""")," ")</f>
        <v> </v>
      </c>
    </row>
    <row r="539">
      <c r="A539" s="102" t="str">
        <f>IFERROR(__xludf.DUMMYFUNCTION("""COMPUTED_VALUE"""),"https://utrucking.com/admin/orders/6429832151228")</f>
        <v>https://utrucking.com/admin/orders/6429832151228</v>
      </c>
      <c r="B539" s="65" t="str">
        <f>IFERROR(__xludf.DUMMYFUNCTION("""COMPUTED_VALUE"""),"#17646")</f>
        <v>#17646</v>
      </c>
      <c r="C539" s="65" t="str">
        <f>IFERROR(__xludf.DUMMYFUNCTION("""COMPUTED_VALUE"""),"b.devorah@wustl.edu")</f>
        <v>b.devorah@wustl.edu</v>
      </c>
      <c r="D539" s="65">
        <f>IFERROR(__xludf.DUMMYFUNCTION("""COMPUTED_VALUE"""),3.052154001E9)</f>
        <v>3052154001</v>
      </c>
      <c r="E539" s="65" t="str">
        <f>IFERROR(__xludf.DUMMYFUNCTION("""COMPUTED_VALUE"""),"Ronald Benveniste")</f>
        <v>Ronald Benveniste</v>
      </c>
      <c r="F539" s="65" t="str">
        <f>IFERROR(__xludf.DUMMYFUNCTION("""COMPUTED_VALUE"""),"Devorah Benveniste")</f>
        <v>Devorah Benveniste</v>
      </c>
      <c r="G539" s="65" t="str">
        <f>IFERROR(__xludf.DUMMYFUNCTION("""COMPUTED_VALUE""")," 1 [Included with Registration] / Included Insurance   - ")</f>
        <v> 1 [Included with Registration] / Included Insurance   - </v>
      </c>
      <c r="H539" s="65" t="str">
        <f>IFERROR(__xludf.DUMMYFUNCTION("""COMPUTED_VALUE"""),"Park  ")</f>
        <v>Park  </v>
      </c>
      <c r="I539" s="65" t="str">
        <f>IFERROR(__xludf.DUMMYFUNCTION("""COMPUTED_VALUE"""),"460")</f>
        <v>460</v>
      </c>
      <c r="J539" s="108" t="str">
        <f>IFERROR(__xludf.DUMMYFUNCTION("""COMPUTED_VALUE"""),"09:00 AM to 11:00 AM  ")</f>
        <v>09:00 AM to 11:00 AM  </v>
      </c>
      <c r="K539" s="103">
        <f>IFERROR(__xludf.DUMMYFUNCTION("""COMPUTED_VALUE"""),46148.0)</f>
        <v>46148</v>
      </c>
      <c r="L539" s="65" t="str">
        <f>IFERROR(__xludf.DUMMYFUNCTION("""COMPUTED_VALUE""")," ")</f>
        <v> </v>
      </c>
      <c r="M539" s="65"/>
      <c r="N539" s="65" t="str">
        <f>IFERROR(__xludf.DUMMYFUNCTION("""COMPUTED_VALUE""")," ")</f>
        <v> </v>
      </c>
    </row>
    <row r="540">
      <c r="A540" s="99" t="str">
        <f>IFERROR(__xludf.DUMMYFUNCTION("""COMPUTED_VALUE"""),"https://utrucking.com/admin/orders/6429850468540")</f>
        <v>https://utrucking.com/admin/orders/6429850468540</v>
      </c>
      <c r="B540" s="61" t="str">
        <f>IFERROR(__xludf.DUMMYFUNCTION("""COMPUTED_VALUE"""),"#17647")</f>
        <v>#17647</v>
      </c>
      <c r="C540" s="61" t="str">
        <f>IFERROR(__xludf.DUMMYFUNCTION("""COMPUTED_VALUE"""),"aubreytalles@gmail.com")</f>
        <v>aubreytalles@gmail.com</v>
      </c>
      <c r="D540" s="61">
        <f>IFERROR(__xludf.DUMMYFUNCTION("""COMPUTED_VALUE"""),9.178819128E9)</f>
        <v>9178819128</v>
      </c>
      <c r="E540" s="61" t="str">
        <f>IFERROR(__xludf.DUMMYFUNCTION("""COMPUTED_VALUE"""),"Aubrey Talles")</f>
        <v>Aubrey Talles</v>
      </c>
      <c r="F540" s="61" t="str">
        <f>IFERROR(__xludf.DUMMYFUNCTION("""COMPUTED_VALUE"""),"Sienna Talles")</f>
        <v>Sienna Talles</v>
      </c>
      <c r="G540" s="61" t="str">
        <f>IFERROR(__xludf.DUMMYFUNCTION("""COMPUTED_VALUE""")," 3 / Included Insurance   - ")</f>
        <v> 3 / Included Insurance   - </v>
      </c>
      <c r="H540" s="61" t="str">
        <f>IFERROR(__xludf.DUMMYFUNCTION("""COMPUTED_VALUE"""),"Lopata  ")</f>
        <v>Lopata  </v>
      </c>
      <c r="I540" s="61" t="str">
        <f>IFERROR(__xludf.DUMMYFUNCTION("""COMPUTED_VALUE"""),"3033")</f>
        <v>3033</v>
      </c>
      <c r="J540" s="107" t="str">
        <f>IFERROR(__xludf.DUMMYFUNCTION("""COMPUTED_VALUE"""),"09:00 AM to 11:00 AM  ")</f>
        <v>09:00 AM to 11:00 AM  </v>
      </c>
      <c r="K540" s="100">
        <f>IFERROR(__xludf.DUMMYFUNCTION("""COMPUTED_VALUE"""),46149.0)</f>
        <v>46149</v>
      </c>
      <c r="L540" s="61" t="str">
        <f>IFERROR(__xludf.DUMMYFUNCTION("""COMPUTED_VALUE""")," ")</f>
        <v> </v>
      </c>
      <c r="M540" s="61"/>
      <c r="N540" s="61" t="str">
        <f>IFERROR(__xludf.DUMMYFUNCTION("""COMPUTED_VALUE""")," ")</f>
        <v> </v>
      </c>
    </row>
    <row r="541">
      <c r="A541" s="102" t="str">
        <f>IFERROR(__xludf.DUMMYFUNCTION("""COMPUTED_VALUE"""),"https://utrucking.com/admin/orders/6429925671100")</f>
        <v>https://utrucking.com/admin/orders/6429925671100</v>
      </c>
      <c r="B541" s="65" t="str">
        <f>IFERROR(__xludf.DUMMYFUNCTION("""COMPUTED_VALUE"""),"#17648")</f>
        <v>#17648</v>
      </c>
      <c r="C541" s="65" t="str">
        <f>IFERROR(__xludf.DUMMYFUNCTION("""COMPUTED_VALUE"""),"bella.lin@wustl.edu")</f>
        <v>bella.lin@wustl.edu</v>
      </c>
      <c r="D541" s="65">
        <f>IFERROR(__xludf.DUMMYFUNCTION("""COMPUTED_VALUE"""),3.146558325E9)</f>
        <v>3146558325</v>
      </c>
      <c r="E541" s="65" t="str">
        <f>IFERROR(__xludf.DUMMYFUNCTION("""COMPUTED_VALUE"""),"Bella Lin")</f>
        <v>Bella Lin</v>
      </c>
      <c r="F541" s="65" t="str">
        <f>IFERROR(__xludf.DUMMYFUNCTION("""COMPUTED_VALUE"""),"Bella Lin")</f>
        <v>Bella Lin</v>
      </c>
      <c r="G541" s="65" t="str">
        <f>IFERROR(__xludf.DUMMYFUNCTION("""COMPUTED_VALUE""")," 1 [Included with Registration] / Included Insurance   - ")</f>
        <v> 1 [Included with Registration] / Included Insurance   - </v>
      </c>
      <c r="H541" s="65" t="str">
        <f>IFERROR(__xludf.DUMMYFUNCTION("""COMPUTED_VALUE"""),"Zetcher  ")</f>
        <v>Zetcher  </v>
      </c>
      <c r="I541" s="65" t="str">
        <f>IFERROR(__xludf.DUMMYFUNCTION("""COMPUTED_VALUE"""),"3094")</f>
        <v>3094</v>
      </c>
      <c r="J541" s="108" t="str">
        <f>IFERROR(__xludf.DUMMYFUNCTION("""COMPUTED_VALUE"""),"01:00 PM to 03:00 PM  ")</f>
        <v>01:00 PM to 03:00 PM  </v>
      </c>
      <c r="K541" s="103">
        <f>IFERROR(__xludf.DUMMYFUNCTION("""COMPUTED_VALUE"""),46149.0)</f>
        <v>46149</v>
      </c>
      <c r="L541" s="65" t="str">
        <f>IFERROR(__xludf.DUMMYFUNCTION("""COMPUTED_VALUE""")," ")</f>
        <v> </v>
      </c>
      <c r="M541" s="65"/>
      <c r="N541" s="65" t="str">
        <f>IFERROR(__xludf.DUMMYFUNCTION("""COMPUTED_VALUE""")," ")</f>
        <v> </v>
      </c>
    </row>
    <row r="542">
      <c r="A542" s="99" t="str">
        <f>IFERROR(__xludf.DUMMYFUNCTION("""COMPUTED_VALUE"""),"https://utrucking.com/admin/orders/6429931634876")</f>
        <v>https://utrucking.com/admin/orders/6429931634876</v>
      </c>
      <c r="B542" s="61" t="str">
        <f>IFERROR(__xludf.DUMMYFUNCTION("""COMPUTED_VALUE"""),"#17649")</f>
        <v>#17649</v>
      </c>
      <c r="C542" s="61" t="str">
        <f>IFERROR(__xludf.DUMMYFUNCTION("""COMPUTED_VALUE"""),"anikaitbh@gmail.com")</f>
        <v>anikaitbh@gmail.com</v>
      </c>
      <c r="D542" s="61">
        <f>IFERROR(__xludf.DUMMYFUNCTION("""COMPUTED_VALUE"""),4.695362299E9)</f>
        <v>4695362299</v>
      </c>
      <c r="E542" s="61" t="str">
        <f>IFERROR(__xludf.DUMMYFUNCTION("""COMPUTED_VALUE"""),"Anikait Bharadwaj")</f>
        <v>Anikait Bharadwaj</v>
      </c>
      <c r="F542" s="61" t="str">
        <f>IFERROR(__xludf.DUMMYFUNCTION("""COMPUTED_VALUE"""),"Anikait Bharadwaj")</f>
        <v>Anikait Bharadwaj</v>
      </c>
      <c r="G542" s="61" t="str">
        <f>IFERROR(__xludf.DUMMYFUNCTION("""COMPUTED_VALUE""")," 1 [Included with Registration] / Included Insurance   - ")</f>
        <v> 1 [Included with Registration] / Included Insurance   - </v>
      </c>
      <c r="H542" s="61" t="str">
        <f>IFERROR(__xludf.DUMMYFUNCTION("""COMPUTED_VALUE"""),"Hitzeman  ")</f>
        <v>Hitzeman  </v>
      </c>
      <c r="I542" s="61" t="str">
        <f>IFERROR(__xludf.DUMMYFUNCTION("""COMPUTED_VALUE"""),"322")</f>
        <v>322</v>
      </c>
      <c r="J542" s="107" t="str">
        <f>IFERROR(__xludf.DUMMYFUNCTION("""COMPUTED_VALUE"""),"01:00 PM to 03:00 PM  ")</f>
        <v>01:00 PM to 03:00 PM  </v>
      </c>
      <c r="K542" s="100">
        <f>IFERROR(__xludf.DUMMYFUNCTION("""COMPUTED_VALUE"""),46148.0)</f>
        <v>46148</v>
      </c>
      <c r="L542" s="61" t="str">
        <f>IFERROR(__xludf.DUMMYFUNCTION("""COMPUTED_VALUE""")," ")</f>
        <v> </v>
      </c>
      <c r="M542" s="61"/>
      <c r="N542" s="61" t="str">
        <f>IFERROR(__xludf.DUMMYFUNCTION("""COMPUTED_VALUE""")," ")</f>
        <v> </v>
      </c>
    </row>
    <row r="543">
      <c r="A543" s="102" t="str">
        <f>IFERROR(__xludf.DUMMYFUNCTION("""COMPUTED_VALUE"""),"https://utrucking.com/admin/orders/6430137417916")</f>
        <v>https://utrucking.com/admin/orders/6430137417916</v>
      </c>
      <c r="B543" s="65" t="str">
        <f>IFERROR(__xludf.DUMMYFUNCTION("""COMPUTED_VALUE"""),"#17653")</f>
        <v>#17653</v>
      </c>
      <c r="C543" s="65" t="str">
        <f>IFERROR(__xludf.DUMMYFUNCTION("""COMPUTED_VALUE"""),"gjvitolo@gmail.com")</f>
        <v>gjvitolo@gmail.com</v>
      </c>
      <c r="D543" s="65">
        <f>IFERROR(__xludf.DUMMYFUNCTION("""COMPUTED_VALUE"""),9.17570488E9)</f>
        <v>9175704880</v>
      </c>
      <c r="E543" s="65" t="str">
        <f>IFERROR(__xludf.DUMMYFUNCTION("""COMPUTED_VALUE"""),"Elizabeth Ryu")</f>
        <v>Elizabeth Ryu</v>
      </c>
      <c r="F543" s="65" t="str">
        <f>IFERROR(__xludf.DUMMYFUNCTION("""COMPUTED_VALUE"""),"Giulia Vitolo")</f>
        <v>Giulia Vitolo</v>
      </c>
      <c r="G543" s="65" t="str">
        <f>IFERROR(__xludf.DUMMYFUNCTION("""COMPUTED_VALUE""")," 2 / Included Insurance   - ")</f>
        <v> 2 / Included Insurance   - </v>
      </c>
      <c r="H543" s="65" t="str">
        <f>IFERROR(__xludf.DUMMYFUNCTION("""COMPUTED_VALUE"""),"Hitzeman  ")</f>
        <v>Hitzeman  </v>
      </c>
      <c r="I543" s="65" t="str">
        <f>IFERROR(__xludf.DUMMYFUNCTION("""COMPUTED_VALUE"""),"23")</f>
        <v>23</v>
      </c>
      <c r="J543" s="108" t="str">
        <f>IFERROR(__xludf.DUMMYFUNCTION("""COMPUTED_VALUE"""),"12:00 PM to 02:00 PM  ")</f>
        <v>12:00 PM to 02:00 PM  </v>
      </c>
      <c r="K543" s="103">
        <f>IFERROR(__xludf.DUMMYFUNCTION("""COMPUTED_VALUE"""),46149.0)</f>
        <v>46149</v>
      </c>
      <c r="L543" s="65" t="str">
        <f>IFERROR(__xludf.DUMMYFUNCTION("""COMPUTED_VALUE""")," ")</f>
        <v> </v>
      </c>
      <c r="M543" s="65"/>
      <c r="N543" s="65" t="str">
        <f>IFERROR(__xludf.DUMMYFUNCTION("""COMPUTED_VALUE""")," ")</f>
        <v> </v>
      </c>
    </row>
    <row r="544">
      <c r="A544" s="99" t="str">
        <f>IFERROR(__xludf.DUMMYFUNCTION("""COMPUTED_VALUE"""),"https://utrucking.com/admin/orders/6430152196284")</f>
        <v>https://utrucking.com/admin/orders/6430152196284</v>
      </c>
      <c r="B544" s="61" t="str">
        <f>IFERROR(__xludf.DUMMYFUNCTION("""COMPUTED_VALUE"""),"#17654")</f>
        <v>#17654</v>
      </c>
      <c r="C544" s="61" t="str">
        <f>IFERROR(__xludf.DUMMYFUNCTION("""COMPUTED_VALUE"""),"g.e.samek@wustl.edu")</f>
        <v>g.e.samek@wustl.edu</v>
      </c>
      <c r="D544" s="61">
        <f>IFERROR(__xludf.DUMMYFUNCTION("""COMPUTED_VALUE"""),3.102463451E9)</f>
        <v>3102463451</v>
      </c>
      <c r="E544" s="61" t="str">
        <f>IFERROR(__xludf.DUMMYFUNCTION("""COMPUTED_VALUE"""),"Allison Samek")</f>
        <v>Allison Samek</v>
      </c>
      <c r="F544" s="61" t="str">
        <f>IFERROR(__xludf.DUMMYFUNCTION("""COMPUTED_VALUE"""),"Gabe")</f>
        <v>Gabe</v>
      </c>
      <c r="G544" s="61" t="str">
        <f>IFERROR(__xludf.DUMMYFUNCTION("""COMPUTED_VALUE""")," 2 / Included Insurance   - ")</f>
        <v> 2 / Included Insurance   - </v>
      </c>
      <c r="H544" s="61" t="str">
        <f>IFERROR(__xludf.DUMMYFUNCTION("""COMPUTED_VALUE"""),"Lee  ")</f>
        <v>Lee  </v>
      </c>
      <c r="I544" s="61" t="str">
        <f>IFERROR(__xludf.DUMMYFUNCTION("""COMPUTED_VALUE"""),"219")</f>
        <v>219</v>
      </c>
      <c r="J544" s="107" t="str">
        <f>IFERROR(__xludf.DUMMYFUNCTION("""COMPUTED_VALUE"""),"03:00 PM to 05:00 PM")</f>
        <v>03:00 PM to 05:00 PM</v>
      </c>
      <c r="K544" s="100">
        <f>IFERROR(__xludf.DUMMYFUNCTION("""COMPUTED_VALUE"""),46148.0)</f>
        <v>46148</v>
      </c>
      <c r="L544" s="61" t="str">
        <f>IFERROR(__xludf.DUMMYFUNCTION("""COMPUTED_VALUE""")," ")</f>
        <v> </v>
      </c>
      <c r="M544" s="61"/>
      <c r="N544" s="61" t="str">
        <f>IFERROR(__xludf.DUMMYFUNCTION("""COMPUTED_VALUE""")," ")</f>
        <v> </v>
      </c>
    </row>
    <row r="545">
      <c r="A545" s="102" t="str">
        <f>IFERROR(__xludf.DUMMYFUNCTION("""COMPUTED_VALUE"""),"https://utrucking.com/admin/orders/6430176149692")</f>
        <v>https://utrucking.com/admin/orders/6430176149692</v>
      </c>
      <c r="B545" s="65" t="str">
        <f>IFERROR(__xludf.DUMMYFUNCTION("""COMPUTED_VALUE"""),"#17655")</f>
        <v>#17655</v>
      </c>
      <c r="C545" s="65" t="str">
        <f>IFERROR(__xludf.DUMMYFUNCTION("""COMPUTED_VALUE"""),"e.d.linden@wustl.edu")</f>
        <v>e.d.linden@wustl.edu</v>
      </c>
      <c r="D545" s="65">
        <f>IFERROR(__xludf.DUMMYFUNCTION("""COMPUTED_VALUE"""),9.292909646E9)</f>
        <v>9292909646</v>
      </c>
      <c r="E545" s="65" t="str">
        <f>IFERROR(__xludf.DUMMYFUNCTION("""COMPUTED_VALUE"""),"Emmanuelle Linden")</f>
        <v>Emmanuelle Linden</v>
      </c>
      <c r="F545" s="65" t="str">
        <f>IFERROR(__xludf.DUMMYFUNCTION("""COMPUTED_VALUE"""),"Emmanuelle Linden")</f>
        <v>Emmanuelle Linden</v>
      </c>
      <c r="G545" s="65" t="str">
        <f>IFERROR(__xludf.DUMMYFUNCTION("""COMPUTED_VALUE""")," 1 [Included with Registration] / Included Insurance   - ")</f>
        <v> 1 [Included with Registration] / Included Insurance   - </v>
      </c>
      <c r="H545" s="65" t="str">
        <f>IFERROR(__xludf.DUMMYFUNCTION("""COMPUTED_VALUE"""),"Lopata  ")</f>
        <v>Lopata  </v>
      </c>
      <c r="I545" s="65" t="str">
        <f>IFERROR(__xludf.DUMMYFUNCTION("""COMPUTED_VALUE"""),"2031")</f>
        <v>2031</v>
      </c>
      <c r="J545" s="108" t="str">
        <f>IFERROR(__xludf.DUMMYFUNCTION("""COMPUTED_VALUE"""),"09:00 AM to 11:00 AM  ")</f>
        <v>09:00 AM to 11:00 AM  </v>
      </c>
      <c r="K545" s="103">
        <f>IFERROR(__xludf.DUMMYFUNCTION("""COMPUTED_VALUE"""),46148.0)</f>
        <v>46148</v>
      </c>
      <c r="L545" s="65" t="str">
        <f>IFERROR(__xludf.DUMMYFUNCTION("""COMPUTED_VALUE""")," ")</f>
        <v> </v>
      </c>
      <c r="M545" s="65"/>
      <c r="N545" s="65" t="str">
        <f>IFERROR(__xludf.DUMMYFUNCTION("""COMPUTED_VALUE""")," ")</f>
        <v> </v>
      </c>
    </row>
    <row r="546">
      <c r="A546" s="99" t="str">
        <f>IFERROR(__xludf.DUMMYFUNCTION("""COMPUTED_VALUE"""),"https://utrucking.com/admin/orders/6430213865660")</f>
        <v>https://utrucking.com/admin/orders/6430213865660</v>
      </c>
      <c r="B546" s="61" t="str">
        <f>IFERROR(__xludf.DUMMYFUNCTION("""COMPUTED_VALUE"""),"#17656")</f>
        <v>#17656</v>
      </c>
      <c r="C546" s="61" t="str">
        <f>IFERROR(__xludf.DUMMYFUNCTION("""COMPUTED_VALUE"""),"j.remache@wustl.edu")</f>
        <v>j.remache@wustl.edu</v>
      </c>
      <c r="D546" s="61">
        <f>IFERROR(__xludf.DUMMYFUNCTION("""COMPUTED_VALUE"""),9.294718915E9)</f>
        <v>9294718915</v>
      </c>
      <c r="E546" s="61" t="str">
        <f>IFERROR(__xludf.DUMMYFUNCTION("""COMPUTED_VALUE"""),"Carlos Remache")</f>
        <v>Carlos Remache</v>
      </c>
      <c r="F546" s="61" t="str">
        <f>IFERROR(__xludf.DUMMYFUNCTION("""COMPUTED_VALUE"""),"Julie Remache")</f>
        <v>Julie Remache</v>
      </c>
      <c r="G546" s="61" t="str">
        <f>IFERROR(__xludf.DUMMYFUNCTION("""COMPUTED_VALUE""")," 1 [Included with Registration] / Included Insurance   - ")</f>
        <v> 1 [Included with Registration] / Included Insurance   - </v>
      </c>
      <c r="H546" s="61" t="str">
        <f>IFERROR(__xludf.DUMMYFUNCTION("""COMPUTED_VALUE"""),"Hitzeman  ")</f>
        <v>Hitzeman  </v>
      </c>
      <c r="I546" s="61" t="str">
        <f>IFERROR(__xludf.DUMMYFUNCTION("""COMPUTED_VALUE"""),"424")</f>
        <v>424</v>
      </c>
      <c r="J546" s="107" t="str">
        <f>IFERROR(__xludf.DUMMYFUNCTION("""COMPUTED_VALUE"""),"09:00 AM to 11:00 AM  ")</f>
        <v>09:00 AM to 11:00 AM  </v>
      </c>
      <c r="K546" s="100">
        <f>IFERROR(__xludf.DUMMYFUNCTION("""COMPUTED_VALUE"""),46149.0)</f>
        <v>46149</v>
      </c>
      <c r="L546" s="61" t="str">
        <f>IFERROR(__xludf.DUMMYFUNCTION("""COMPUTED_VALUE""")," ")</f>
        <v> </v>
      </c>
      <c r="M546" s="61"/>
      <c r="N546" s="61" t="str">
        <f>IFERROR(__xludf.DUMMYFUNCTION("""COMPUTED_VALUE""")," ")</f>
        <v> </v>
      </c>
    </row>
    <row r="547">
      <c r="A547" s="102" t="str">
        <f>IFERROR(__xludf.DUMMYFUNCTION("""COMPUTED_VALUE"""),"https://utrucking.com/admin/orders/6430292934844")</f>
        <v>https://utrucking.com/admin/orders/6430292934844</v>
      </c>
      <c r="B547" s="65" t="str">
        <f>IFERROR(__xludf.DUMMYFUNCTION("""COMPUTED_VALUE"""),"#17657")</f>
        <v>#17657</v>
      </c>
      <c r="C547" s="65" t="str">
        <f>IFERROR(__xludf.DUMMYFUNCTION("""COMPUTED_VALUE"""),"c.langrui@wustl.edu")</f>
        <v>c.langrui@wustl.edu</v>
      </c>
      <c r="D547" s="65">
        <f>IFERROR(__xludf.DUMMYFUNCTION("""COMPUTED_VALUE"""),3.144371708E9)</f>
        <v>3144371708</v>
      </c>
      <c r="E547" s="65" t="str">
        <f>IFERROR(__xludf.DUMMYFUNCTION("""COMPUTED_VALUE"""),"Rain Cao")</f>
        <v>Rain Cao</v>
      </c>
      <c r="F547" s="65" t="str">
        <f>IFERROR(__xludf.DUMMYFUNCTION("""COMPUTED_VALUE"""),"Rain Cao")</f>
        <v>Rain Cao</v>
      </c>
      <c r="G547" s="65" t="str">
        <f>IFERROR(__xludf.DUMMYFUNCTION("""COMPUTED_VALUE""")," 1 [Included with Registration] / Included Insurance   - ")</f>
        <v> 1 [Included with Registration] / Included Insurance   - </v>
      </c>
      <c r="H547" s="65" t="str">
        <f>IFERROR(__xludf.DUMMYFUNCTION("""COMPUTED_VALUE"""),"Village House  ")</f>
        <v>Village House  </v>
      </c>
      <c r="I547" s="65" t="str">
        <f>IFERROR(__xludf.DUMMYFUNCTION("""COMPUTED_VALUE"""),"3032")</f>
        <v>3032</v>
      </c>
      <c r="J547" s="108" t="str">
        <f>IFERROR(__xludf.DUMMYFUNCTION("""COMPUTED_VALUE"""),"09:00 AM to 11:00 AM  ")</f>
        <v>09:00 AM to 11:00 AM  </v>
      </c>
      <c r="K547" s="103">
        <f>IFERROR(__xludf.DUMMYFUNCTION("""COMPUTED_VALUE"""),46146.0)</f>
        <v>46146</v>
      </c>
      <c r="L547" s="65" t="str">
        <f>IFERROR(__xludf.DUMMYFUNCTION("""COMPUTED_VALUE""")," ")</f>
        <v> </v>
      </c>
      <c r="M547" s="65"/>
      <c r="N547" s="65" t="str">
        <f>IFERROR(__xludf.DUMMYFUNCTION("""COMPUTED_VALUE""")," ")</f>
        <v> </v>
      </c>
    </row>
    <row r="548">
      <c r="A548" s="99" t="str">
        <f>IFERROR(__xludf.DUMMYFUNCTION("""COMPUTED_VALUE"""),"https://utrucking.com/admin/orders/6430398251196")</f>
        <v>https://utrucking.com/admin/orders/6430398251196</v>
      </c>
      <c r="B548" s="61" t="str">
        <f>IFERROR(__xludf.DUMMYFUNCTION("""COMPUTED_VALUE"""),"#17658")</f>
        <v>#17658</v>
      </c>
      <c r="C548" s="61" t="str">
        <f>IFERROR(__xludf.DUMMYFUNCTION("""COMPUTED_VALUE"""),"yanjyunh@gmail.com")</f>
        <v>yanjyunh@gmail.com</v>
      </c>
      <c r="D548" s="61">
        <f>IFERROR(__xludf.DUMMYFUNCTION("""COMPUTED_VALUE"""),3.142039831E9)</f>
        <v>3142039831</v>
      </c>
      <c r="E548" s="61" t="str">
        <f>IFERROR(__xludf.DUMMYFUNCTION("""COMPUTED_VALUE"""),"Brian Huang")</f>
        <v>Brian Huang</v>
      </c>
      <c r="F548" s="61" t="str">
        <f>IFERROR(__xludf.DUMMYFUNCTION("""COMPUTED_VALUE"""),"Brian Huang")</f>
        <v>Brian Huang</v>
      </c>
      <c r="G548" s="61" t="str">
        <f>IFERROR(__xludf.DUMMYFUNCTION("""COMPUTED_VALUE""")," 1 [Included with Registration] / Included Insurance   - ")</f>
        <v> 1 [Included with Registration] / Included Insurance   - </v>
      </c>
      <c r="H548" s="61" t="str">
        <f>IFERROR(__xludf.DUMMYFUNCTION("""COMPUTED_VALUE"""),"Hurd  ")</f>
        <v>Hurd  </v>
      </c>
      <c r="I548" s="61" t="str">
        <f>IFERROR(__xludf.DUMMYFUNCTION("""COMPUTED_VALUE"""),"212")</f>
        <v>212</v>
      </c>
      <c r="J548" s="107" t="str">
        <f>IFERROR(__xludf.DUMMYFUNCTION("""COMPUTED_VALUE"""),"09:00 AM to 11:00 AM  ")</f>
        <v>09:00 AM to 11:00 AM  </v>
      </c>
      <c r="K548" s="100">
        <f>IFERROR(__xludf.DUMMYFUNCTION("""COMPUTED_VALUE"""),46149.0)</f>
        <v>46149</v>
      </c>
      <c r="L548" s="61" t="str">
        <f>IFERROR(__xludf.DUMMYFUNCTION("""COMPUTED_VALUE""")," ")</f>
        <v> </v>
      </c>
      <c r="M548" s="61"/>
      <c r="N548" s="61" t="str">
        <f>IFERROR(__xludf.DUMMYFUNCTION("""COMPUTED_VALUE""")," ")</f>
        <v> </v>
      </c>
    </row>
    <row r="549">
      <c r="A549" s="102" t="str">
        <f>IFERROR(__xludf.DUMMYFUNCTION("""COMPUTED_VALUE"""),"https://utrucking.com/admin/orders/6430773608636")</f>
        <v>https://utrucking.com/admin/orders/6430773608636</v>
      </c>
      <c r="B549" s="65" t="str">
        <f>IFERROR(__xludf.DUMMYFUNCTION("""COMPUTED_VALUE"""),"#17660")</f>
        <v>#17660</v>
      </c>
      <c r="C549" s="65" t="str">
        <f>IFERROR(__xludf.DUMMYFUNCTION("""COMPUTED_VALUE"""),"Jackcarr113@gmail.com")</f>
        <v>Jackcarr113@gmail.com</v>
      </c>
      <c r="D549" s="65">
        <f>IFERROR(__xludf.DUMMYFUNCTION("""COMPUTED_VALUE"""),6.50250676E9)</f>
        <v>6502506760</v>
      </c>
      <c r="E549" s="65" t="str">
        <f>IFERROR(__xludf.DUMMYFUNCTION("""COMPUTED_VALUE"""),"Jacob Carr")</f>
        <v>Jacob Carr</v>
      </c>
      <c r="F549" s="65" t="str">
        <f>IFERROR(__xludf.DUMMYFUNCTION("""COMPUTED_VALUE"""),"Jack Carr")</f>
        <v>Jack Carr</v>
      </c>
      <c r="G549" s="65" t="str">
        <f>IFERROR(__xludf.DUMMYFUNCTION("""COMPUTED_VALUE""")," 1 [Included with Registration] / $500 of Additional Coverage   - ")</f>
        <v> 1 [Included with Registration] / $500 of Additional Coverage   - </v>
      </c>
      <c r="H549" s="65" t="str">
        <f>IFERROR(__xludf.DUMMYFUNCTION("""COMPUTED_VALUE"""),"Koenig  ")</f>
        <v>Koenig  </v>
      </c>
      <c r="I549" s="65" t="str">
        <f>IFERROR(__xludf.DUMMYFUNCTION("""COMPUTED_VALUE"""),"2217")</f>
        <v>2217</v>
      </c>
      <c r="J549" s="108" t="str">
        <f>IFERROR(__xludf.DUMMYFUNCTION("""COMPUTED_VALUE"""),"09:00 AM to 11:00 AM  ")</f>
        <v>09:00 AM to 11:00 AM  </v>
      </c>
      <c r="K549" s="103">
        <f>IFERROR(__xludf.DUMMYFUNCTION("""COMPUTED_VALUE"""),46147.0)</f>
        <v>46147</v>
      </c>
      <c r="L549" s="65" t="str">
        <f>IFERROR(__xludf.DUMMYFUNCTION("""COMPUTED_VALUE""")," ")</f>
        <v> </v>
      </c>
      <c r="M549" s="65"/>
      <c r="N549" s="65" t="str">
        <f>IFERROR(__xludf.DUMMYFUNCTION("""COMPUTED_VALUE""")," ")</f>
        <v> </v>
      </c>
    </row>
    <row r="550">
      <c r="A550" s="99" t="str">
        <f>IFERROR(__xludf.DUMMYFUNCTION("""COMPUTED_VALUE"""),"https://utrucking.com/admin/orders/6430805622972")</f>
        <v>https://utrucking.com/admin/orders/6430805622972</v>
      </c>
      <c r="B550" s="61" t="str">
        <f>IFERROR(__xludf.DUMMYFUNCTION("""COMPUTED_VALUE"""),"#17661")</f>
        <v>#17661</v>
      </c>
      <c r="C550" s="61" t="str">
        <f>IFERROR(__xludf.DUMMYFUNCTION("""COMPUTED_VALUE"""),"maryraue@gmail.com")</f>
        <v>maryraue@gmail.com</v>
      </c>
      <c r="D550" s="61">
        <f>IFERROR(__xludf.DUMMYFUNCTION("""COMPUTED_VALUE"""),7.033078619E9)</f>
        <v>7033078619</v>
      </c>
      <c r="E550" s="61" t="str">
        <f>IFERROR(__xludf.DUMMYFUNCTION("""COMPUTED_VALUE"""),"Mary Raue")</f>
        <v>Mary Raue</v>
      </c>
      <c r="F550" s="61" t="str">
        <f>IFERROR(__xludf.DUMMYFUNCTION("""COMPUTED_VALUE"""),"Megan Raue")</f>
        <v>Megan Raue</v>
      </c>
      <c r="G550" s="61" t="str">
        <f>IFERROR(__xludf.DUMMYFUNCTION("""COMPUTED_VALUE""")," 1 [Included with Registration] / Included Insurance   - ")</f>
        <v> 1 [Included with Registration] / Included Insurance   - </v>
      </c>
      <c r="H550" s="61" t="str">
        <f>IFERROR(__xludf.DUMMYFUNCTION("""COMPUTED_VALUE"""),"Dauten  ")</f>
        <v>Dauten  </v>
      </c>
      <c r="I550" s="61" t="str">
        <f>IFERROR(__xludf.DUMMYFUNCTION("""COMPUTED_VALUE"""),"442")</f>
        <v>442</v>
      </c>
      <c r="J550" s="107" t="str">
        <f>IFERROR(__xludf.DUMMYFUNCTION("""COMPUTED_VALUE"""),"09:00 AM to 11:00 AM  ")</f>
        <v>09:00 AM to 11:00 AM  </v>
      </c>
      <c r="K550" s="100">
        <f>IFERROR(__xludf.DUMMYFUNCTION("""COMPUTED_VALUE"""),46149.0)</f>
        <v>46149</v>
      </c>
      <c r="L550" s="61" t="str">
        <f>IFERROR(__xludf.DUMMYFUNCTION("""COMPUTED_VALUE""")," ")</f>
        <v> </v>
      </c>
      <c r="M550" s="61"/>
      <c r="N550" s="61" t="str">
        <f>IFERROR(__xludf.DUMMYFUNCTION("""COMPUTED_VALUE""")," ")</f>
        <v> </v>
      </c>
    </row>
    <row r="551">
      <c r="A551" s="102" t="str">
        <f>IFERROR(__xludf.DUMMYFUNCTION("""COMPUTED_VALUE"""),"https://utrucking.com/admin/orders/6432009486524")</f>
        <v>https://utrucking.com/admin/orders/6432009486524</v>
      </c>
      <c r="B551" s="65" t="str">
        <f>IFERROR(__xludf.DUMMYFUNCTION("""COMPUTED_VALUE"""),"#17662")</f>
        <v>#17662</v>
      </c>
      <c r="C551" s="65" t="str">
        <f>IFERROR(__xludf.DUMMYFUNCTION("""COMPUTED_VALUE"""),"fay.w@wustl.edu")</f>
        <v>fay.w@wustl.edu</v>
      </c>
      <c r="D551" s="65">
        <f>IFERROR(__xludf.DUMMYFUNCTION("""COMPUTED_VALUE"""),3.147289647E9)</f>
        <v>3147289647</v>
      </c>
      <c r="E551" s="65" t="str">
        <f>IFERROR(__xludf.DUMMYFUNCTION("""COMPUTED_VALUE"""),"Ki Fei Wong")</f>
        <v>Ki Fei Wong</v>
      </c>
      <c r="F551" s="65" t="str">
        <f>IFERROR(__xludf.DUMMYFUNCTION("""COMPUTED_VALUE"""),"Fay Wong")</f>
        <v>Fay Wong</v>
      </c>
      <c r="G551" s="65" t="str">
        <f>IFERROR(__xludf.DUMMYFUNCTION("""COMPUTED_VALUE""")," 1 [Included with Registration] / Included Insurance   - ")</f>
        <v> 1 [Included with Registration] / Included Insurance   - </v>
      </c>
      <c r="H551" s="65" t="str">
        <f>IFERROR(__xludf.DUMMYFUNCTION("""COMPUTED_VALUE"""),"Nemerov  ")</f>
        <v>Nemerov  </v>
      </c>
      <c r="I551" s="65" t="str">
        <f>IFERROR(__xludf.DUMMYFUNCTION("""COMPUTED_VALUE"""),"1001")</f>
        <v>1001</v>
      </c>
      <c r="J551" s="108" t="str">
        <f>IFERROR(__xludf.DUMMYFUNCTION("""COMPUTED_VALUE"""),"09:00 AM to 11:00 AM  ")</f>
        <v>09:00 AM to 11:00 AM  </v>
      </c>
      <c r="K551" s="103">
        <f>IFERROR(__xludf.DUMMYFUNCTION("""COMPUTED_VALUE"""),46148.0)</f>
        <v>46148</v>
      </c>
      <c r="L551" s="65" t="str">
        <f>IFERROR(__xludf.DUMMYFUNCTION("""COMPUTED_VALUE""")," ")</f>
        <v> </v>
      </c>
      <c r="M551" s="65"/>
      <c r="N551" s="65" t="str">
        <f>IFERROR(__xludf.DUMMYFUNCTION("""COMPUTED_VALUE""")," ")</f>
        <v> </v>
      </c>
    </row>
    <row r="552">
      <c r="A552" s="99" t="str">
        <f>IFERROR(__xludf.DUMMYFUNCTION("""COMPUTED_VALUE"""),"https://utrucking.com/admin/orders/6432065388732")</f>
        <v>https://utrucking.com/admin/orders/6432065388732</v>
      </c>
      <c r="B552" s="61" t="str">
        <f>IFERROR(__xludf.DUMMYFUNCTION("""COMPUTED_VALUE"""),"#17663")</f>
        <v>#17663</v>
      </c>
      <c r="C552" s="61" t="str">
        <f>IFERROR(__xludf.DUMMYFUNCTION("""COMPUTED_VALUE"""),"a.a.jaleel@wustl.edu")</f>
        <v>a.a.jaleel@wustl.edu</v>
      </c>
      <c r="D552" s="61">
        <f>IFERROR(__xludf.DUMMYFUNCTION("""COMPUTED_VALUE"""),2.145927361E9)</f>
        <v>2145927361</v>
      </c>
      <c r="E552" s="61" t="str">
        <f>IFERROR(__xludf.DUMMYFUNCTION("""COMPUTED_VALUE"""),"Aman Jaleel")</f>
        <v>Aman Jaleel</v>
      </c>
      <c r="F552" s="61" t="str">
        <f>IFERROR(__xludf.DUMMYFUNCTION("""COMPUTED_VALUE"""),"Aman Jaleel")</f>
        <v>Aman Jaleel</v>
      </c>
      <c r="G552" s="61" t="str">
        <f>IFERROR(__xludf.DUMMYFUNCTION("""COMPUTED_VALUE""")," 1 [Included with Registration] / Included Insurance   - ")</f>
        <v> 1 [Included with Registration] / Included Insurance   - </v>
      </c>
      <c r="H552" s="61" t="str">
        <f>IFERROR(__xludf.DUMMYFUNCTION("""COMPUTED_VALUE"""),"Danforth  ")</f>
        <v>Danforth  </v>
      </c>
      <c r="I552" s="61" t="str">
        <f>IFERROR(__xludf.DUMMYFUNCTION("""COMPUTED_VALUE"""),"3303")</f>
        <v>3303</v>
      </c>
      <c r="J552" s="107" t="str">
        <f>IFERROR(__xludf.DUMMYFUNCTION("""COMPUTED_VALUE"""),"09:00 AM to 11:00 AM  ")</f>
        <v>09:00 AM to 11:00 AM  </v>
      </c>
      <c r="K552" s="100">
        <f>IFERROR(__xludf.DUMMYFUNCTION("""COMPUTED_VALUE"""),46148.0)</f>
        <v>46148</v>
      </c>
      <c r="L552" s="61" t="str">
        <f>IFERROR(__xludf.DUMMYFUNCTION("""COMPUTED_VALUE""")," ")</f>
        <v> </v>
      </c>
      <c r="M552" s="61"/>
      <c r="N552" s="61" t="str">
        <f>IFERROR(__xludf.DUMMYFUNCTION("""COMPUTED_VALUE""")," ")</f>
        <v> </v>
      </c>
    </row>
    <row r="553">
      <c r="A553" s="102" t="str">
        <f>IFERROR(__xludf.DUMMYFUNCTION("""COMPUTED_VALUE"""),"https://utrucking.com/admin/orders/6432335659196")</f>
        <v>https://utrucking.com/admin/orders/6432335659196</v>
      </c>
      <c r="B553" s="65" t="str">
        <f>IFERROR(__xludf.DUMMYFUNCTION("""COMPUTED_VALUE"""),"#17666")</f>
        <v>#17666</v>
      </c>
      <c r="C553" s="65" t="str">
        <f>IFERROR(__xludf.DUMMYFUNCTION("""COMPUTED_VALUE"""),"yhliu0925@gmail.com")</f>
        <v>yhliu0925@gmail.com</v>
      </c>
      <c r="D553" s="65">
        <f>IFERROR(__xludf.DUMMYFUNCTION("""COMPUTED_VALUE"""),3.142558138E9)</f>
        <v>3142558138</v>
      </c>
      <c r="E553" s="65" t="str">
        <f>IFERROR(__xludf.DUMMYFUNCTION("""COMPUTED_VALUE"""),"Yu-Hsi Liu")</f>
        <v>Yu-Hsi Liu</v>
      </c>
      <c r="F553" s="65" t="str">
        <f>IFERROR(__xludf.DUMMYFUNCTION("""COMPUTED_VALUE"""),"Sigrid Liu")</f>
        <v>Sigrid Liu</v>
      </c>
      <c r="G553" s="65" t="str">
        <f>IFERROR(__xludf.DUMMYFUNCTION("""COMPUTED_VALUE""")," 1 [Included with Registration] / Included Insurance   - ")</f>
        <v> 1 [Included with Registration] / Included Insurance   - </v>
      </c>
      <c r="H553" s="65" t="str">
        <f>IFERROR(__xludf.DUMMYFUNCTION("""COMPUTED_VALUE"""),"Park  ")</f>
        <v>Park  </v>
      </c>
      <c r="I553" s="65" t="str">
        <f>IFERROR(__xludf.DUMMYFUNCTION("""COMPUTED_VALUE"""),"472")</f>
        <v>472</v>
      </c>
      <c r="J553" s="108" t="str">
        <f>IFERROR(__xludf.DUMMYFUNCTION("""COMPUTED_VALUE"""),"11:00 AM to 01:00 PM  ")</f>
        <v>11:00 AM to 01:00 PM  </v>
      </c>
      <c r="K553" s="103">
        <f>IFERROR(__xludf.DUMMYFUNCTION("""COMPUTED_VALUE"""),46148.0)</f>
        <v>46148</v>
      </c>
      <c r="L553" s="65" t="str">
        <f>IFERROR(__xludf.DUMMYFUNCTION("""COMPUTED_VALUE""")," ")</f>
        <v> </v>
      </c>
      <c r="M553" s="65"/>
      <c r="N553" s="65" t="str">
        <f>IFERROR(__xludf.DUMMYFUNCTION("""COMPUTED_VALUE""")," ")</f>
        <v> </v>
      </c>
    </row>
    <row r="554">
      <c r="A554" s="99" t="str">
        <f>IFERROR(__xludf.DUMMYFUNCTION("""COMPUTED_VALUE"""),"https://utrucking.com/admin/orders/6432402997436")</f>
        <v>https://utrucking.com/admin/orders/6432402997436</v>
      </c>
      <c r="B554" s="61" t="str">
        <f>IFERROR(__xludf.DUMMYFUNCTION("""COMPUTED_VALUE"""),"#17668")</f>
        <v>#17668</v>
      </c>
      <c r="C554" s="61" t="str">
        <f>IFERROR(__xludf.DUMMYFUNCTION("""COMPUTED_VALUE"""),"b.e.miller@wustl.edu")</f>
        <v>b.e.miller@wustl.edu</v>
      </c>
      <c r="D554" s="61">
        <f>IFERROR(__xludf.DUMMYFUNCTION("""COMPUTED_VALUE"""),1.6507879908E10)</f>
        <v>16507879908</v>
      </c>
      <c r="E554" s="61" t="str">
        <f>IFERROR(__xludf.DUMMYFUNCTION("""COMPUTED_VALUE"""),"Beckett Miller")</f>
        <v>Beckett Miller</v>
      </c>
      <c r="F554" s="61" t="str">
        <f>IFERROR(__xludf.DUMMYFUNCTION("""COMPUTED_VALUE"""),"Beckett Miller")</f>
        <v>Beckett Miller</v>
      </c>
      <c r="G554" s="61" t="str">
        <f>IFERROR(__xludf.DUMMYFUNCTION("""COMPUTED_VALUE""")," 1 [Included with Registration] / Included Insurance   - ")</f>
        <v> 1 [Included with Registration] / Included Insurance   - </v>
      </c>
      <c r="H554" s="61" t="str">
        <f>IFERROR(__xludf.DUMMYFUNCTION("""COMPUTED_VALUE"""),"Wheeler  ")</f>
        <v>Wheeler  </v>
      </c>
      <c r="I554" s="61" t="str">
        <f>IFERROR(__xludf.DUMMYFUNCTION("""COMPUTED_VALUE"""),"2090")</f>
        <v>2090</v>
      </c>
      <c r="J554" s="107" t="str">
        <f>IFERROR(__xludf.DUMMYFUNCTION("""COMPUTED_VALUE"""),"12:00 PM to 02:00 PM  ")</f>
        <v>12:00 PM to 02:00 PM  </v>
      </c>
      <c r="K554" s="100">
        <f>IFERROR(__xludf.DUMMYFUNCTION("""COMPUTED_VALUE"""),46140.0)</f>
        <v>46140</v>
      </c>
      <c r="L554" s="61" t="str">
        <f>IFERROR(__xludf.DUMMYFUNCTION("""COMPUTED_VALUE""")," ")</f>
        <v> </v>
      </c>
      <c r="M554" s="61"/>
      <c r="N554" s="61" t="str">
        <f>IFERROR(__xludf.DUMMYFUNCTION("""COMPUTED_VALUE""")," ")</f>
        <v> </v>
      </c>
    </row>
    <row r="555">
      <c r="A555" s="102" t="str">
        <f>IFERROR(__xludf.DUMMYFUNCTION("""COMPUTED_VALUE"""),"https://utrucking.com/admin/orders/6432416858300")</f>
        <v>https://utrucking.com/admin/orders/6432416858300</v>
      </c>
      <c r="B555" s="65" t="str">
        <f>IFERROR(__xludf.DUMMYFUNCTION("""COMPUTED_VALUE"""),"#17669")</f>
        <v>#17669</v>
      </c>
      <c r="C555" s="65" t="str">
        <f>IFERROR(__xludf.DUMMYFUNCTION("""COMPUTED_VALUE"""),"emilypoltorak@gmail.com")</f>
        <v>emilypoltorak@gmail.com</v>
      </c>
      <c r="D555" s="65">
        <f>IFERROR(__xludf.DUMMYFUNCTION("""COMPUTED_VALUE"""),3.102925626E9)</f>
        <v>3102925626</v>
      </c>
      <c r="E555" s="65" t="str">
        <f>IFERROR(__xludf.DUMMYFUNCTION("""COMPUTED_VALUE"""),"Emily Poltorak")</f>
        <v>Emily Poltorak</v>
      </c>
      <c r="F555" s="65" t="str">
        <f>IFERROR(__xludf.DUMMYFUNCTION("""COMPUTED_VALUE"""),"Emily Poltorak")</f>
        <v>Emily Poltorak</v>
      </c>
      <c r="G555" s="65" t="str">
        <f>IFERROR(__xludf.DUMMYFUNCTION("""COMPUTED_VALUE""")," 1 [Included with Registration] / Included Insurance   - ")</f>
        <v> 1 [Included with Registration] / Included Insurance   - </v>
      </c>
      <c r="H555" s="65" t="str">
        <f>IFERROR(__xludf.DUMMYFUNCTION("""COMPUTED_VALUE"""),"Nemerov  ")</f>
        <v>Nemerov  </v>
      </c>
      <c r="I555" s="65" t="str">
        <f>IFERROR(__xludf.DUMMYFUNCTION("""COMPUTED_VALUE"""),"2080")</f>
        <v>2080</v>
      </c>
      <c r="J555" s="108" t="str">
        <f>IFERROR(__xludf.DUMMYFUNCTION("""COMPUTED_VALUE"""),"02:00 PM to 04:00 PM")</f>
        <v>02:00 PM to 04:00 PM</v>
      </c>
      <c r="K555" s="103">
        <f>IFERROR(__xludf.DUMMYFUNCTION("""COMPUTED_VALUE"""),46149.0)</f>
        <v>46149</v>
      </c>
      <c r="L555" s="65" t="str">
        <f>IFERROR(__xludf.DUMMYFUNCTION("""COMPUTED_VALUE""")," ")</f>
        <v> </v>
      </c>
      <c r="M555" s="65"/>
      <c r="N555" s="65" t="str">
        <f>IFERROR(__xludf.DUMMYFUNCTION("""COMPUTED_VALUE""")," ")</f>
        <v> </v>
      </c>
    </row>
    <row r="556">
      <c r="A556" s="99" t="str">
        <f>IFERROR(__xludf.DUMMYFUNCTION("""COMPUTED_VALUE"""),"https://utrucking.com/admin/orders/6432441860284")</f>
        <v>https://utrucking.com/admin/orders/6432441860284</v>
      </c>
      <c r="B556" s="61" t="str">
        <f>IFERROR(__xludf.DUMMYFUNCTION("""COMPUTED_VALUE"""),"#17670")</f>
        <v>#17670</v>
      </c>
      <c r="C556" s="61" t="str">
        <f>IFERROR(__xludf.DUMMYFUNCTION("""COMPUTED_VALUE"""),"rogers.z@wustl.edu")</f>
        <v>rogers.z@wustl.edu</v>
      </c>
      <c r="D556" s="61">
        <f>IFERROR(__xludf.DUMMYFUNCTION("""COMPUTED_VALUE"""),2.039273986E9)</f>
        <v>2039273986</v>
      </c>
      <c r="E556" s="61" t="str">
        <f>IFERROR(__xludf.DUMMYFUNCTION("""COMPUTED_VALUE"""),"Joanna Rogers")</f>
        <v>Joanna Rogers</v>
      </c>
      <c r="F556" s="61" t="str">
        <f>IFERROR(__xludf.DUMMYFUNCTION("""COMPUTED_VALUE"""),"Zachary Rogers")</f>
        <v>Zachary Rogers</v>
      </c>
      <c r="G556" s="61" t="str">
        <f>IFERROR(__xludf.DUMMYFUNCTION("""COMPUTED_VALUE""")," 1 [Included with Registration] / Included Insurance   - ")</f>
        <v> 1 [Included with Registration] / Included Insurance   - </v>
      </c>
      <c r="H556" s="61" t="str">
        <f>IFERROR(__xludf.DUMMYFUNCTION("""COMPUTED_VALUE"""),"Lee  ")</f>
        <v>Lee  </v>
      </c>
      <c r="I556" s="61" t="str">
        <f>IFERROR(__xludf.DUMMYFUNCTION("""COMPUTED_VALUE"""),"301-b")</f>
        <v>301-b</v>
      </c>
      <c r="J556" s="107" t="str">
        <f>IFERROR(__xludf.DUMMYFUNCTION("""COMPUTED_VALUE"""),"09:00 AM to 11:00 AM  ")</f>
        <v>09:00 AM to 11:00 AM  </v>
      </c>
      <c r="K556" s="100">
        <f>IFERROR(__xludf.DUMMYFUNCTION("""COMPUTED_VALUE"""),46149.0)</f>
        <v>46149</v>
      </c>
      <c r="L556" s="61" t="str">
        <f>IFERROR(__xludf.DUMMYFUNCTION("""COMPUTED_VALUE""")," ")</f>
        <v> </v>
      </c>
      <c r="M556" s="61"/>
      <c r="N556" s="61" t="str">
        <f>IFERROR(__xludf.DUMMYFUNCTION("""COMPUTED_VALUE""")," ")</f>
        <v> </v>
      </c>
    </row>
    <row r="557">
      <c r="A557" s="102" t="str">
        <f>IFERROR(__xludf.DUMMYFUNCTION("""COMPUTED_VALUE"""),"https://utrucking.com/admin/orders/6432452870332")</f>
        <v>https://utrucking.com/admin/orders/6432452870332</v>
      </c>
      <c r="B557" s="65" t="str">
        <f>IFERROR(__xludf.DUMMYFUNCTION("""COMPUTED_VALUE"""),"#17671")</f>
        <v>#17671</v>
      </c>
      <c r="C557" s="65" t="str">
        <f>IFERROR(__xludf.DUMMYFUNCTION("""COMPUTED_VALUE"""),"ahuebner@wustl.edu")</f>
        <v>ahuebner@wustl.edu</v>
      </c>
      <c r="D557" s="65">
        <f>IFERROR(__xludf.DUMMYFUNCTION("""COMPUTED_VALUE"""),3.107795102E9)</f>
        <v>3107795102</v>
      </c>
      <c r="E557" s="65" t="str">
        <f>IFERROR(__xludf.DUMMYFUNCTION("""COMPUTED_VALUE"""),"Ashlynn Huebner")</f>
        <v>Ashlynn Huebner</v>
      </c>
      <c r="F557" s="65" t="str">
        <f>IFERROR(__xludf.DUMMYFUNCTION("""COMPUTED_VALUE"""),"Ashlynn Huebner")</f>
        <v>Ashlynn Huebner</v>
      </c>
      <c r="G557" s="65" t="str">
        <f>IFERROR(__xludf.DUMMYFUNCTION("""COMPUTED_VALUE""")," 1 [Included with Registration] / Included Insurance   - ")</f>
        <v> 1 [Included with Registration] / Included Insurance   - </v>
      </c>
      <c r="H557" s="65" t="str">
        <f>IFERROR(__xludf.DUMMYFUNCTION("""COMPUTED_VALUE"""),"Gregg  ")</f>
        <v>Gregg  </v>
      </c>
      <c r="I557" s="65" t="str">
        <f>IFERROR(__xludf.DUMMYFUNCTION("""COMPUTED_VALUE"""),"3104")</f>
        <v>3104</v>
      </c>
      <c r="J557" s="108" t="str">
        <f>IFERROR(__xludf.DUMMYFUNCTION("""COMPUTED_VALUE"""),"02:00 PM to 04:00 PM")</f>
        <v>02:00 PM to 04:00 PM</v>
      </c>
      <c r="K557" s="103">
        <f>IFERROR(__xludf.DUMMYFUNCTION("""COMPUTED_VALUE"""),46143.0)</f>
        <v>46143</v>
      </c>
      <c r="L557" s="65" t="str">
        <f>IFERROR(__xludf.DUMMYFUNCTION("""COMPUTED_VALUE""")," ")</f>
        <v> </v>
      </c>
      <c r="M557" s="65"/>
      <c r="N557" s="65" t="str">
        <f>IFERROR(__xludf.DUMMYFUNCTION("""COMPUTED_VALUE""")," ")</f>
        <v> </v>
      </c>
    </row>
    <row r="558">
      <c r="A558" s="99" t="str">
        <f>IFERROR(__xludf.DUMMYFUNCTION("""COMPUTED_VALUE"""),"https://utrucking.com/admin/orders/6432456016060")</f>
        <v>https://utrucking.com/admin/orders/6432456016060</v>
      </c>
      <c r="B558" s="61" t="str">
        <f>IFERROR(__xludf.DUMMYFUNCTION("""COMPUTED_VALUE"""),"#17672")</f>
        <v>#17672</v>
      </c>
      <c r="C558" s="61" t="str">
        <f>IFERROR(__xludf.DUMMYFUNCTION("""COMPUTED_VALUE"""),"jefflynas@gmail.com")</f>
        <v>jefflynas@gmail.com</v>
      </c>
      <c r="D558" s="61">
        <f>IFERROR(__xludf.DUMMYFUNCTION("""COMPUTED_VALUE"""),3.108498258E9)</f>
        <v>3108498258</v>
      </c>
      <c r="E558" s="61" t="str">
        <f>IFERROR(__xludf.DUMMYFUNCTION("""COMPUTED_VALUE"""),"Jeff Lynas")</f>
        <v>Jeff Lynas</v>
      </c>
      <c r="F558" s="61" t="str">
        <f>IFERROR(__xludf.DUMMYFUNCTION("""COMPUTED_VALUE"""),"Olivia Lynas")</f>
        <v>Olivia Lynas</v>
      </c>
      <c r="G558" s="61" t="str">
        <f>IFERROR(__xludf.DUMMYFUNCTION("""COMPUTED_VALUE""")," 1 [Included with Registration] / Included Insurance   - ")</f>
        <v> 1 [Included with Registration] / Included Insurance   - </v>
      </c>
      <c r="H558" s="61" t="str">
        <f>IFERROR(__xludf.DUMMYFUNCTION("""COMPUTED_VALUE"""),"Koenig  ")</f>
        <v>Koenig  </v>
      </c>
      <c r="I558" s="61" t="str">
        <f>IFERROR(__xludf.DUMMYFUNCTION("""COMPUTED_VALUE"""),"1107")</f>
        <v>1107</v>
      </c>
      <c r="J558" s="107" t="str">
        <f>IFERROR(__xludf.DUMMYFUNCTION("""COMPUTED_VALUE"""),"02:00 PM to 04:00 PM")</f>
        <v>02:00 PM to 04:00 PM</v>
      </c>
      <c r="K558" s="100">
        <f>IFERROR(__xludf.DUMMYFUNCTION("""COMPUTED_VALUE"""),46149.0)</f>
        <v>46149</v>
      </c>
      <c r="L558" s="61" t="str">
        <f>IFERROR(__xludf.DUMMYFUNCTION("""COMPUTED_VALUE""")," ")</f>
        <v> </v>
      </c>
      <c r="M558" s="61"/>
      <c r="N558" s="61" t="str">
        <f>IFERROR(__xludf.DUMMYFUNCTION("""COMPUTED_VALUE""")," 1.  Please drop off the packing material May 5 or no earlier than May 4.
2.  Olivia rented a 2 door fridge and Microwave that can be picked up and returned to you May 7
3.  Olivia must be out of her room by 1pm May 7, so pickup any time after that is goo"&amp;"d.
4.  We may decided to store 1-2 boxes over the summer with you and will let you know in advance of pickup")</f>
        <v> 1.  Please drop off the packing material May 5 or no earlier than May 4.
2.  Olivia rented a 2 door fridge and Microwave that can be picked up and returned to you May 7
3.  Olivia must be out of her room by 1pm May 7, so pickup any time after that is good.
4.  We may decided to store 1-2 boxes over the summer with you and will let you know in advance of pickup</v>
      </c>
    </row>
    <row r="559">
      <c r="A559" s="102" t="str">
        <f>IFERROR(__xludf.DUMMYFUNCTION("""COMPUTED_VALUE"""),"https://utrucking.com/admin/orders/6432495993020")</f>
        <v>https://utrucking.com/admin/orders/6432495993020</v>
      </c>
      <c r="B559" s="65" t="str">
        <f>IFERROR(__xludf.DUMMYFUNCTION("""COMPUTED_VALUE"""),"#17673")</f>
        <v>#17673</v>
      </c>
      <c r="C559" s="65" t="str">
        <f>IFERROR(__xludf.DUMMYFUNCTION("""COMPUTED_VALUE"""),"m.montana@wustl.edu")</f>
        <v>m.montana@wustl.edu</v>
      </c>
      <c r="D559" s="65">
        <f>IFERROR(__xludf.DUMMYFUNCTION("""COMPUTED_VALUE"""),8.139566708E9)</f>
        <v>8139566708</v>
      </c>
      <c r="E559" s="65" t="str">
        <f>IFERROR(__xludf.DUMMYFUNCTION("""COMPUTED_VALUE"""),"Montana Montayre")</f>
        <v>Montana Montayre</v>
      </c>
      <c r="F559" s="65" t="str">
        <f>IFERROR(__xludf.DUMMYFUNCTION("""COMPUTED_VALUE"""),"Montana Montayre")</f>
        <v>Montana Montayre</v>
      </c>
      <c r="G559" s="65" t="str">
        <f>IFERROR(__xludf.DUMMYFUNCTION("""COMPUTED_VALUE""")," 1 [Included with Registration] / Included Insurance   - ")</f>
        <v> 1 [Included with Registration] / Included Insurance   - </v>
      </c>
      <c r="H559" s="65" t="str">
        <f>IFERROR(__xludf.DUMMYFUNCTION("""COMPUTED_VALUE"""),"Lien  ")</f>
        <v>Lien  </v>
      </c>
      <c r="I559" s="65" t="str">
        <f>IFERROR(__xludf.DUMMYFUNCTION("""COMPUTED_VALUE"""),"3335")</f>
        <v>3335</v>
      </c>
      <c r="J559" s="108" t="str">
        <f>IFERROR(__xludf.DUMMYFUNCTION("""COMPUTED_VALUE"""),"12:00 PM to 02:00 PM  ")</f>
        <v>12:00 PM to 02:00 PM  </v>
      </c>
      <c r="K559" s="103">
        <f>IFERROR(__xludf.DUMMYFUNCTION("""COMPUTED_VALUE"""),46147.0)</f>
        <v>46147</v>
      </c>
      <c r="L559" s="65" t="str">
        <f>IFERROR(__xludf.DUMMYFUNCTION("""COMPUTED_VALUE""")," ")</f>
        <v> </v>
      </c>
      <c r="M559" s="65"/>
      <c r="N559" s="65" t="str">
        <f>IFERROR(__xludf.DUMMYFUNCTION("""COMPUTED_VALUE""")," ")</f>
        <v> </v>
      </c>
    </row>
    <row r="560">
      <c r="A560" s="99" t="str">
        <f>IFERROR(__xludf.DUMMYFUNCTION("""COMPUTED_VALUE"""),"https://utrucking.com/admin/orders/6432606421180")</f>
        <v>https://utrucking.com/admin/orders/6432606421180</v>
      </c>
      <c r="B560" s="61" t="str">
        <f>IFERROR(__xludf.DUMMYFUNCTION("""COMPUTED_VALUE"""),"#17676")</f>
        <v>#17676</v>
      </c>
      <c r="C560" s="61" t="str">
        <f>IFERROR(__xludf.DUMMYFUNCTION("""COMPUTED_VALUE"""),"giselerogers@hotmail.com")</f>
        <v>giselerogers@hotmail.com</v>
      </c>
      <c r="D560" s="61">
        <f>IFERROR(__xludf.DUMMYFUNCTION("""COMPUTED_VALUE"""),3.106124462E9)</f>
        <v>3106124462</v>
      </c>
      <c r="E560" s="61" t="str">
        <f>IFERROR(__xludf.DUMMYFUNCTION("""COMPUTED_VALUE"""),"Gisele Rogers")</f>
        <v>Gisele Rogers</v>
      </c>
      <c r="F560" s="61" t="str">
        <f>IFERROR(__xludf.DUMMYFUNCTION("""COMPUTED_VALUE"""),"Aiden Rogers")</f>
        <v>Aiden Rogers</v>
      </c>
      <c r="G560" s="61" t="str">
        <f>IFERROR(__xludf.DUMMYFUNCTION("""COMPUTED_VALUE""")," 1 [Included with Registration] / Included Insurance   - ")</f>
        <v> 1 [Included with Registration] / Included Insurance   - </v>
      </c>
      <c r="H560" s="61" t="str">
        <f>IFERROR(__xludf.DUMMYFUNCTION("""COMPUTED_VALUE"""),"Myers  ")</f>
        <v>Myers  </v>
      </c>
      <c r="I560" s="61" t="str">
        <f>IFERROR(__xludf.DUMMYFUNCTION("""COMPUTED_VALUE"""),"214")</f>
        <v>214</v>
      </c>
      <c r="J560" s="107" t="str">
        <f>IFERROR(__xludf.DUMMYFUNCTION("""COMPUTED_VALUE"""),"09:00 AM to 11:00 AM  ")</f>
        <v>09:00 AM to 11:00 AM  </v>
      </c>
      <c r="K560" s="100">
        <f>IFERROR(__xludf.DUMMYFUNCTION("""COMPUTED_VALUE"""),46149.0)</f>
        <v>46149</v>
      </c>
      <c r="L560" s="61" t="str">
        <f>IFERROR(__xludf.DUMMYFUNCTION("""COMPUTED_VALUE""")," ")</f>
        <v> </v>
      </c>
      <c r="M560" s="61"/>
      <c r="N560" s="61" t="str">
        <f>IFERROR(__xludf.DUMMYFUNCTION("""COMPUTED_VALUE""")," ")</f>
        <v> </v>
      </c>
    </row>
    <row r="561">
      <c r="A561" s="102" t="str">
        <f>IFERROR(__xludf.DUMMYFUNCTION("""COMPUTED_VALUE"""),"https://utrucking.com/admin/orders/6432834355388")</f>
        <v>https://utrucking.com/admin/orders/6432834355388</v>
      </c>
      <c r="B561" s="65" t="str">
        <f>IFERROR(__xludf.DUMMYFUNCTION("""COMPUTED_VALUE"""),"#17677")</f>
        <v>#17677</v>
      </c>
      <c r="C561" s="65" t="str">
        <f>IFERROR(__xludf.DUMMYFUNCTION("""COMPUTED_VALUE"""),"louquart1@gmail.com")</f>
        <v>louquart1@gmail.com</v>
      </c>
      <c r="D561" s="65">
        <f>IFERROR(__xludf.DUMMYFUNCTION("""COMPUTED_VALUE"""),2.016009548E9)</f>
        <v>2016009548</v>
      </c>
      <c r="E561" s="65" t="str">
        <f>IFERROR(__xludf.DUMMYFUNCTION("""COMPUTED_VALUE"""),"Louis Quartararo")</f>
        <v>Louis Quartararo</v>
      </c>
      <c r="F561" s="65" t="str">
        <f>IFERROR(__xludf.DUMMYFUNCTION("""COMPUTED_VALUE"""),"Louis Quartararo")</f>
        <v>Louis Quartararo</v>
      </c>
      <c r="G561" s="65" t="str">
        <f>IFERROR(__xludf.DUMMYFUNCTION("""COMPUTED_VALUE""")," 1 [Included with Registration] / Included Insurance   - ")</f>
        <v> 1 [Included with Registration] / Included Insurance   - </v>
      </c>
      <c r="H561" s="65" t="str">
        <f>IFERROR(__xludf.DUMMYFUNCTION("""COMPUTED_VALUE"""),"Mudd  ")</f>
        <v>Mudd  </v>
      </c>
      <c r="I561" s="65" t="str">
        <f>IFERROR(__xludf.DUMMYFUNCTION("""COMPUTED_VALUE"""),"124")</f>
        <v>124</v>
      </c>
      <c r="J561" s="108" t="str">
        <f>IFERROR(__xludf.DUMMYFUNCTION("""COMPUTED_VALUE"""),"03:00 PM to 05:00 PM")</f>
        <v>03:00 PM to 05:00 PM</v>
      </c>
      <c r="K561" s="103">
        <f>IFERROR(__xludf.DUMMYFUNCTION("""COMPUTED_VALUE"""),46143.0)</f>
        <v>46143</v>
      </c>
      <c r="L561" s="65" t="str">
        <f>IFERROR(__xludf.DUMMYFUNCTION("""COMPUTED_VALUE""")," ")</f>
        <v> </v>
      </c>
      <c r="M561" s="65"/>
      <c r="N561" s="65" t="str">
        <f>IFERROR(__xludf.DUMMYFUNCTION("""COMPUTED_VALUE""")," ")</f>
        <v> </v>
      </c>
    </row>
    <row r="562">
      <c r="A562" s="99" t="str">
        <f>IFERROR(__xludf.DUMMYFUNCTION("""COMPUTED_VALUE"""),"https://utrucking.com/admin/orders/6432858964156")</f>
        <v>https://utrucking.com/admin/orders/6432858964156</v>
      </c>
      <c r="B562" s="61" t="str">
        <f>IFERROR(__xludf.DUMMYFUNCTION("""COMPUTED_VALUE"""),"#17678")</f>
        <v>#17678</v>
      </c>
      <c r="C562" s="61" t="str">
        <f>IFERROR(__xludf.DUMMYFUNCTION("""COMPUTED_VALUE"""),"jane.spiro@wustl.edu")</f>
        <v>jane.spiro@wustl.edu</v>
      </c>
      <c r="D562" s="61">
        <f>IFERROR(__xludf.DUMMYFUNCTION("""COMPUTED_VALUE"""),9.146024774E9)</f>
        <v>9146024774</v>
      </c>
      <c r="E562" s="61" t="str">
        <f>IFERROR(__xludf.DUMMYFUNCTION("""COMPUTED_VALUE"""),"Jane Spiro")</f>
        <v>Jane Spiro</v>
      </c>
      <c r="F562" s="61" t="str">
        <f>IFERROR(__xludf.DUMMYFUNCTION("""COMPUTED_VALUE"""),"Jane Spiro")</f>
        <v>Jane Spiro</v>
      </c>
      <c r="G562" s="61" t="str">
        <f>IFERROR(__xludf.DUMMYFUNCTION("""COMPUTED_VALUE""")," 1 [Included with Registration] / Included Insurance   - ")</f>
        <v> 1 [Included with Registration] / Included Insurance   - </v>
      </c>
      <c r="H562" s="61" t="str">
        <f>IFERROR(__xludf.DUMMYFUNCTION("""COMPUTED_VALUE"""),"Millbrook Bldg. 3  ")</f>
        <v>Millbrook Bldg. 3  </v>
      </c>
      <c r="I562" s="61" t="str">
        <f>IFERROR(__xludf.DUMMYFUNCTION("""COMPUTED_VALUE"""),"301C")</f>
        <v>301C</v>
      </c>
      <c r="J562" s="107" t="str">
        <f>IFERROR(__xludf.DUMMYFUNCTION("""COMPUTED_VALUE"""),"09:00 AM to 11:00 AM  ")</f>
        <v>09:00 AM to 11:00 AM  </v>
      </c>
      <c r="K562" s="100">
        <f>IFERROR(__xludf.DUMMYFUNCTION("""COMPUTED_VALUE"""),46146.0)</f>
        <v>46146</v>
      </c>
      <c r="L562" s="61" t="str">
        <f>IFERROR(__xludf.DUMMYFUNCTION("""COMPUTED_VALUE""")," ")</f>
        <v> </v>
      </c>
      <c r="M562" s="61"/>
      <c r="N562" s="61" t="str">
        <f>IFERROR(__xludf.DUMMYFUNCTION("""COMPUTED_VALUE""")," ")</f>
        <v> </v>
      </c>
    </row>
    <row r="563">
      <c r="A563" s="102" t="str">
        <f>IFERROR(__xludf.DUMMYFUNCTION("""COMPUTED_VALUE"""),"https://utrucking.com/admin/orders/6432887079100")</f>
        <v>https://utrucking.com/admin/orders/6432887079100</v>
      </c>
      <c r="B563" s="65" t="str">
        <f>IFERROR(__xludf.DUMMYFUNCTION("""COMPUTED_VALUE"""),"#17679")</f>
        <v>#17679</v>
      </c>
      <c r="C563" s="65" t="str">
        <f>IFERROR(__xludf.DUMMYFUNCTION("""COMPUTED_VALUE"""),"h.henryrui@wustl.edu")</f>
        <v>h.henryrui@wustl.edu</v>
      </c>
      <c r="D563" s="65">
        <f>IFERROR(__xludf.DUMMYFUNCTION("""COMPUTED_VALUE"""),7.122061311E9)</f>
        <v>7122061311</v>
      </c>
      <c r="E563" s="65" t="str">
        <f>IFERROR(__xludf.DUMMYFUNCTION("""COMPUTED_VALUE"""),"Henry Rui He")</f>
        <v>Henry Rui He</v>
      </c>
      <c r="F563" s="65" t="str">
        <f>IFERROR(__xludf.DUMMYFUNCTION("""COMPUTED_VALUE"""),"Henry Rui He")</f>
        <v>Henry Rui He</v>
      </c>
      <c r="G563" s="65" t="str">
        <f>IFERROR(__xludf.DUMMYFUNCTION("""COMPUTED_VALUE""")," 1 [Included with Registration] / Included Insurance   - ")</f>
        <v> 1 [Included with Registration] / Included Insurance   - </v>
      </c>
      <c r="H563" s="65" t="str">
        <f>IFERROR(__xludf.DUMMYFUNCTION("""COMPUTED_VALUE"""),"Myers  ")</f>
        <v>Myers  </v>
      </c>
      <c r="I563" s="65" t="str">
        <f>IFERROR(__xludf.DUMMYFUNCTION("""COMPUTED_VALUE"""),"342")</f>
        <v>342</v>
      </c>
      <c r="J563" s="108" t="str">
        <f>IFERROR(__xludf.DUMMYFUNCTION("""COMPUTED_VALUE"""),"09:00 AM to 11:00 AM  ")</f>
        <v>09:00 AM to 11:00 AM  </v>
      </c>
      <c r="K563" s="103">
        <f>IFERROR(__xludf.DUMMYFUNCTION("""COMPUTED_VALUE"""),46149.0)</f>
        <v>46149</v>
      </c>
      <c r="L563" s="65" t="str">
        <f>IFERROR(__xludf.DUMMYFUNCTION("""COMPUTED_VALUE""")," ")</f>
        <v> </v>
      </c>
      <c r="M563" s="65"/>
      <c r="N563" s="65" t="str">
        <f>IFERROR(__xludf.DUMMYFUNCTION("""COMPUTED_VALUE""")," ")</f>
        <v> </v>
      </c>
    </row>
    <row r="564">
      <c r="A564" s="99" t="str">
        <f>IFERROR(__xludf.DUMMYFUNCTION("""COMPUTED_VALUE"""),"https://utrucking.com/admin/orders/6432947634364")</f>
        <v>https://utrucking.com/admin/orders/6432947634364</v>
      </c>
      <c r="B564" s="61" t="str">
        <f>IFERROR(__xludf.DUMMYFUNCTION("""COMPUTED_VALUE"""),"#17680")</f>
        <v>#17680</v>
      </c>
      <c r="C564" s="61" t="str">
        <f>IFERROR(__xludf.DUMMYFUNCTION("""COMPUTED_VALUE"""),"abraham.l@wustl.edu")</f>
        <v>abraham.l@wustl.edu</v>
      </c>
      <c r="D564" s="61">
        <f>IFERROR(__xludf.DUMMYFUNCTION("""COMPUTED_VALUE"""),3.143931477E9)</f>
        <v>3143931477</v>
      </c>
      <c r="E564" s="61" t="str">
        <f>IFERROR(__xludf.DUMMYFUNCTION("""COMPUTED_VALUE"""),"Abraham Lu")</f>
        <v>Abraham Lu</v>
      </c>
      <c r="F564" s="61" t="str">
        <f>IFERROR(__xludf.DUMMYFUNCTION("""COMPUTED_VALUE"""),"Abraham Lu")</f>
        <v>Abraham Lu</v>
      </c>
      <c r="G564" s="61" t="str">
        <f>IFERROR(__xludf.DUMMYFUNCTION("""COMPUTED_VALUE""")," 1 [Included with Registration] / Included Insurance   - ")</f>
        <v> 1 [Included with Registration] / Included Insurance   - </v>
      </c>
      <c r="H564" s="61" t="str">
        <f>IFERROR(__xludf.DUMMYFUNCTION("""COMPUTED_VALUE"""),"Umrath  ")</f>
        <v>Umrath  </v>
      </c>
      <c r="I564" s="61" t="str">
        <f>IFERROR(__xludf.DUMMYFUNCTION("""COMPUTED_VALUE"""),"4424")</f>
        <v>4424</v>
      </c>
      <c r="J564" s="107" t="str">
        <f>IFERROR(__xludf.DUMMYFUNCTION("""COMPUTED_VALUE"""),"03:00 PM to 05:00 PM")</f>
        <v>03:00 PM to 05:00 PM</v>
      </c>
      <c r="K564" s="100">
        <f>IFERROR(__xludf.DUMMYFUNCTION("""COMPUTED_VALUE"""),46147.0)</f>
        <v>46147</v>
      </c>
      <c r="L564" s="61" t="str">
        <f>IFERROR(__xludf.DUMMYFUNCTION("""COMPUTED_VALUE""")," ")</f>
        <v> </v>
      </c>
      <c r="M564" s="61"/>
      <c r="N564" s="61" t="str">
        <f>IFERROR(__xludf.DUMMYFUNCTION("""COMPUTED_VALUE""")," ")</f>
        <v> </v>
      </c>
    </row>
    <row r="565">
      <c r="A565" s="102" t="str">
        <f>IFERROR(__xludf.DUMMYFUNCTION("""COMPUTED_VALUE"""),"https://utrucking.com/admin/orders/6433211941052")</f>
        <v>https://utrucking.com/admin/orders/6433211941052</v>
      </c>
      <c r="B565" s="65" t="str">
        <f>IFERROR(__xludf.DUMMYFUNCTION("""COMPUTED_VALUE"""),"#17681")</f>
        <v>#17681</v>
      </c>
      <c r="C565" s="65" t="str">
        <f>IFERROR(__xludf.DUMMYFUNCTION("""COMPUTED_VALUE"""),"kailings@gmail.com")</f>
        <v>kailings@gmail.com</v>
      </c>
      <c r="D565" s="65">
        <f>IFERROR(__xludf.DUMMYFUNCTION("""COMPUTED_VALUE"""),9.14329242E9)</f>
        <v>9143292420</v>
      </c>
      <c r="E565" s="65" t="str">
        <f>IFERROR(__xludf.DUMMYFUNCTION("""COMPUTED_VALUE"""),"Kailing Wu")</f>
        <v>Kailing Wu</v>
      </c>
      <c r="F565" s="65" t="str">
        <f>IFERROR(__xludf.DUMMYFUNCTION("""COMPUTED_VALUE"""),"Ethan Y. Wu")</f>
        <v>Ethan Y. Wu</v>
      </c>
      <c r="G565" s="65" t="str">
        <f>IFERROR(__xludf.DUMMYFUNCTION("""COMPUTED_VALUE""")," 1 [Included with Registration] / Included Insurance   - ")</f>
        <v> 1 [Included with Registration] / Included Insurance   - </v>
      </c>
      <c r="H565" s="65" t="str">
        <f>IFERROR(__xludf.DUMMYFUNCTION("""COMPUTED_VALUE"""),"Eliot A (Thomas Eliot)")</f>
        <v>Eliot A (Thomas Eliot)</v>
      </c>
      <c r="I565" s="65" t="str">
        <f>IFERROR(__xludf.DUMMYFUNCTION("""COMPUTED_VALUE"""),"1032A")</f>
        <v>1032A</v>
      </c>
      <c r="J565" s="108" t="str">
        <f>IFERROR(__xludf.DUMMYFUNCTION("""COMPUTED_VALUE"""),"09:00 AM to 11:00 AM  ")</f>
        <v>09:00 AM to 11:00 AM  </v>
      </c>
      <c r="K565" s="103">
        <f>IFERROR(__xludf.DUMMYFUNCTION("""COMPUTED_VALUE"""),46149.0)</f>
        <v>46149</v>
      </c>
      <c r="L565" s="65" t="str">
        <f>IFERROR(__xludf.DUMMYFUNCTION("""COMPUTED_VALUE""")," ")</f>
        <v> </v>
      </c>
      <c r="M565" s="65"/>
      <c r="N565" s="65" t="str">
        <f>IFERROR(__xludf.DUMMYFUNCTION("""COMPUTED_VALUE""")," Pick up date may need to be adjusted.")</f>
        <v> Pick up date may need to be adjusted.</v>
      </c>
    </row>
    <row r="566">
      <c r="A566" s="99" t="str">
        <f>IFERROR(__xludf.DUMMYFUNCTION("""COMPUTED_VALUE"""),"https://utrucking.com/admin/orders/6433347403964")</f>
        <v>https://utrucking.com/admin/orders/6433347403964</v>
      </c>
      <c r="B566" s="61" t="str">
        <f>IFERROR(__xludf.DUMMYFUNCTION("""COMPUTED_VALUE"""),"#17685")</f>
        <v>#17685</v>
      </c>
      <c r="C566" s="61" t="str">
        <f>IFERROR(__xludf.DUMMYFUNCTION("""COMPUTED_VALUE"""),"kelly.z25006@gmail.com")</f>
        <v>kelly.z25006@gmail.com</v>
      </c>
      <c r="D566" s="61">
        <f>IFERROR(__xludf.DUMMYFUNCTION("""COMPUTED_VALUE"""),3.142242038E9)</f>
        <v>3142242038</v>
      </c>
      <c r="E566" s="61" t="str">
        <f>IFERROR(__xludf.DUMMYFUNCTION("""COMPUTED_VALUE"""),"Kelly Zhang")</f>
        <v>Kelly Zhang</v>
      </c>
      <c r="F566" s="61" t="str">
        <f>IFERROR(__xludf.DUMMYFUNCTION("""COMPUTED_VALUE"""),"Kelly Zhang")</f>
        <v>Kelly Zhang</v>
      </c>
      <c r="G566" s="61" t="str">
        <f>IFERROR(__xludf.DUMMYFUNCTION("""COMPUTED_VALUE""")," 1 [Included with Registration] / Included Insurance   - ")</f>
        <v> 1 [Included with Registration] / Included Insurance   - </v>
      </c>
      <c r="H566" s="61" t="str">
        <f>IFERROR(__xludf.DUMMYFUNCTION("""COMPUTED_VALUE"""),"Hitzeman  ")</f>
        <v>Hitzeman  </v>
      </c>
      <c r="I566" s="61" t="str">
        <f>IFERROR(__xludf.DUMMYFUNCTION("""COMPUTED_VALUE"""),"22")</f>
        <v>22</v>
      </c>
      <c r="J566" s="107" t="str">
        <f>IFERROR(__xludf.DUMMYFUNCTION("""COMPUTED_VALUE"""),"10:00 AM to 12:00 PM  ")</f>
        <v>10:00 AM to 12:00 PM  </v>
      </c>
      <c r="K566" s="100">
        <f>IFERROR(__xludf.DUMMYFUNCTION("""COMPUTED_VALUE"""),46137.0)</f>
        <v>46137</v>
      </c>
      <c r="L566" s="61" t="str">
        <f>IFERROR(__xludf.DUMMYFUNCTION("""COMPUTED_VALUE""")," ")</f>
        <v> </v>
      </c>
      <c r="M566" s="61"/>
      <c r="N566" s="61" t="str">
        <f>IFERROR(__xludf.DUMMYFUNCTION("""COMPUTED_VALUE""")," ")</f>
        <v> </v>
      </c>
    </row>
    <row r="567">
      <c r="A567" s="102" t="str">
        <f>IFERROR(__xludf.DUMMYFUNCTION("""COMPUTED_VALUE"""),"https://utrucking.com/admin/orders/6433411596476")</f>
        <v>https://utrucking.com/admin/orders/6433411596476</v>
      </c>
      <c r="B567" s="65" t="str">
        <f>IFERROR(__xludf.DUMMYFUNCTION("""COMPUTED_VALUE"""),"#17686")</f>
        <v>#17686</v>
      </c>
      <c r="C567" s="65" t="str">
        <f>IFERROR(__xludf.DUMMYFUNCTION("""COMPUTED_VALUE"""),"mishaeis@yahoo.com")</f>
        <v>mishaeis@yahoo.com</v>
      </c>
      <c r="D567" s="65">
        <f>IFERROR(__xludf.DUMMYFUNCTION("""COMPUTED_VALUE"""),3.038081617E9)</f>
        <v>3038081617</v>
      </c>
      <c r="E567" s="65" t="str">
        <f>IFERROR(__xludf.DUMMYFUNCTION("""COMPUTED_VALUE"""),"michelle draznin")</f>
        <v>michelle draznin</v>
      </c>
      <c r="F567" s="65" t="str">
        <f>IFERROR(__xludf.DUMMYFUNCTION("""COMPUTED_VALUE"""),"Sophia Eison")</f>
        <v>Sophia Eison</v>
      </c>
      <c r="G567" s="65" t="str">
        <f>IFERROR(__xludf.DUMMYFUNCTION("""COMPUTED_VALUE""")," 1 [Included with Registration] / Included Insurance   - ")</f>
        <v> 1 [Included with Registration] / Included Insurance   - </v>
      </c>
      <c r="H567" s="65" t="str">
        <f>IFERROR(__xludf.DUMMYFUNCTION("""COMPUTED_VALUE"""),"Danforth  ")</f>
        <v>Danforth  </v>
      </c>
      <c r="I567" s="65" t="str">
        <f>IFERROR(__xludf.DUMMYFUNCTION("""COMPUTED_VALUE"""),"3332")</f>
        <v>3332</v>
      </c>
      <c r="J567" s="108" t="str">
        <f>IFERROR(__xludf.DUMMYFUNCTION("""COMPUTED_VALUE"""),"12:00 PM to 02:00 PM  ")</f>
        <v>12:00 PM to 02:00 PM  </v>
      </c>
      <c r="K567" s="103">
        <f>IFERROR(__xludf.DUMMYFUNCTION("""COMPUTED_VALUE"""),46149.0)</f>
        <v>46149</v>
      </c>
      <c r="L567" s="65" t="str">
        <f>IFERROR(__xludf.DUMMYFUNCTION("""COMPUTED_VALUE""")," ")</f>
        <v> </v>
      </c>
      <c r="M567" s="65"/>
      <c r="N567" s="65" t="str">
        <f>IFERROR(__xludf.DUMMYFUNCTION("""COMPUTED_VALUE""")," We will be there waiting for you. Thank you.")</f>
        <v> We will be there waiting for you. Thank you.</v>
      </c>
    </row>
    <row r="568">
      <c r="A568" s="99" t="str">
        <f>IFERROR(__xludf.DUMMYFUNCTION("""COMPUTED_VALUE"""),"https://utrucking.com/admin/orders/6433413562556")</f>
        <v>https://utrucking.com/admin/orders/6433413562556</v>
      </c>
      <c r="B568" s="61" t="str">
        <f>IFERROR(__xludf.DUMMYFUNCTION("""COMPUTED_VALUE"""),"#17687")</f>
        <v>#17687</v>
      </c>
      <c r="C568" s="61" t="str">
        <f>IFERROR(__xludf.DUMMYFUNCTION("""COMPUTED_VALUE"""),"perkashmaya@gmail.com")</f>
        <v>perkashmaya@gmail.com</v>
      </c>
      <c r="D568" s="61">
        <f>IFERROR(__xludf.DUMMYFUNCTION("""COMPUTED_VALUE"""),6.505461756E9)</f>
        <v>6505461756</v>
      </c>
      <c r="E568" s="61" t="str">
        <f>IFERROR(__xludf.DUMMYFUNCTION("""COMPUTED_VALUE"""),"Maya Perkash")</f>
        <v>Maya Perkash</v>
      </c>
      <c r="F568" s="61" t="str">
        <f>IFERROR(__xludf.DUMMYFUNCTION("""COMPUTED_VALUE"""),"Maya Perkash")</f>
        <v>Maya Perkash</v>
      </c>
      <c r="G568" s="61" t="str">
        <f>IFERROR(__xludf.DUMMYFUNCTION("""COMPUTED_VALUE""")," 1 [Included with Registration] / Included Insurance   - ")</f>
        <v> 1 [Included with Registration] / Included Insurance   - </v>
      </c>
      <c r="H568" s="61" t="str">
        <f>IFERROR(__xludf.DUMMYFUNCTION("""COMPUTED_VALUE"""),"Mudd  ")</f>
        <v>Mudd  </v>
      </c>
      <c r="I568" s="61" t="str">
        <f>IFERROR(__xludf.DUMMYFUNCTION("""COMPUTED_VALUE"""),"213")</f>
        <v>213</v>
      </c>
      <c r="J568" s="107" t="str">
        <f>IFERROR(__xludf.DUMMYFUNCTION("""COMPUTED_VALUE"""),"11:00 AM to 01:00 PM  ")</f>
        <v>11:00 AM to 01:00 PM  </v>
      </c>
      <c r="K568" s="100">
        <f>IFERROR(__xludf.DUMMYFUNCTION("""COMPUTED_VALUE"""),46147.0)</f>
        <v>46147</v>
      </c>
      <c r="L568" s="61" t="str">
        <f>IFERROR(__xludf.DUMMYFUNCTION("""COMPUTED_VALUE""")," ")</f>
        <v> </v>
      </c>
      <c r="M568" s="61"/>
      <c r="N568" s="61" t="str">
        <f>IFERROR(__xludf.DUMMYFUNCTION("""COMPUTED_VALUE""")," ")</f>
        <v> </v>
      </c>
    </row>
    <row r="569">
      <c r="A569" s="102" t="str">
        <f>IFERROR(__xludf.DUMMYFUNCTION("""COMPUTED_VALUE"""),"https://utrucking.com/admin/orders/6433606992060")</f>
        <v>https://utrucking.com/admin/orders/6433606992060</v>
      </c>
      <c r="B569" s="65" t="str">
        <f>IFERROR(__xludf.DUMMYFUNCTION("""COMPUTED_VALUE"""),"#17688")</f>
        <v>#17688</v>
      </c>
      <c r="C569" s="65" t="str">
        <f>IFERROR(__xludf.DUMMYFUNCTION("""COMPUTED_VALUE"""),"daniabackal@gmail.com")</f>
        <v>daniabackal@gmail.com</v>
      </c>
      <c r="D569" s="65">
        <f>IFERROR(__xludf.DUMMYFUNCTION("""COMPUTED_VALUE"""),7.54251662E9)</f>
        <v>7542516620</v>
      </c>
      <c r="E569" s="65" t="str">
        <f>IFERROR(__xludf.DUMMYFUNCTION("""COMPUTED_VALUE"""),"Dania Backal")</f>
        <v>Dania Backal</v>
      </c>
      <c r="F569" s="65" t="str">
        <f>IFERROR(__xludf.DUMMYFUNCTION("""COMPUTED_VALUE"""),"Dania Backal")</f>
        <v>Dania Backal</v>
      </c>
      <c r="G569" s="65" t="str">
        <f>IFERROR(__xludf.DUMMYFUNCTION("""COMPUTED_VALUE""")," 1 [Included with Registration] / Included Insurance   - ")</f>
        <v> 1 [Included with Registration] / Included Insurance   - </v>
      </c>
      <c r="H569" s="65" t="str">
        <f>IFERROR(__xludf.DUMMYFUNCTION("""COMPUTED_VALUE"""),"Eliot B (Sophomore Dorm)")</f>
        <v>Eliot B (Sophomore Dorm)</v>
      </c>
      <c r="I569" s="65" t="str">
        <f>IFERROR(__xludf.DUMMYFUNCTION("""COMPUTED_VALUE"""),"3031")</f>
        <v>3031</v>
      </c>
      <c r="J569" s="108" t="str">
        <f>IFERROR(__xludf.DUMMYFUNCTION("""COMPUTED_VALUE"""),"11:00 AM to 01:00 PM  ")</f>
        <v>11:00 AM to 01:00 PM  </v>
      </c>
      <c r="K569" s="103">
        <f>IFERROR(__xludf.DUMMYFUNCTION("""COMPUTED_VALUE"""),46148.0)</f>
        <v>46148</v>
      </c>
      <c r="L569" s="65" t="str">
        <f>IFERROR(__xludf.DUMMYFUNCTION("""COMPUTED_VALUE""")," ")</f>
        <v> </v>
      </c>
      <c r="M569" s="65"/>
      <c r="N569" s="65" t="str">
        <f>IFERROR(__xludf.DUMMYFUNCTION("""COMPUTED_VALUE""")," ")</f>
        <v> </v>
      </c>
    </row>
    <row r="570">
      <c r="A570" s="99" t="str">
        <f>IFERROR(__xludf.DUMMYFUNCTION("""COMPUTED_VALUE"""),"https://utrucking.com/admin/orders/6433663713468")</f>
        <v>https://utrucking.com/admin/orders/6433663713468</v>
      </c>
      <c r="B570" s="61" t="str">
        <f>IFERROR(__xludf.DUMMYFUNCTION("""COMPUTED_VALUE"""),"#17689")</f>
        <v>#17689</v>
      </c>
      <c r="C570" s="61" t="str">
        <f>IFERROR(__xludf.DUMMYFUNCTION("""COMPUTED_VALUE"""),"lbkatriel@yahoo.com")</f>
        <v>lbkatriel@yahoo.com</v>
      </c>
      <c r="D570" s="61">
        <f>IFERROR(__xludf.DUMMYFUNCTION("""COMPUTED_VALUE"""),8.582435057E9)</f>
        <v>8582435057</v>
      </c>
      <c r="E570" s="61" t="str">
        <f>IFERROR(__xludf.DUMMYFUNCTION("""COMPUTED_VALUE"""),"Lisa Katriel")</f>
        <v>Lisa Katriel</v>
      </c>
      <c r="F570" s="61" t="str">
        <f>IFERROR(__xludf.DUMMYFUNCTION("""COMPUTED_VALUE"""),"Levi")</f>
        <v>Levi</v>
      </c>
      <c r="G570" s="61" t="str">
        <f>IFERROR(__xludf.DUMMYFUNCTION("""COMPUTED_VALUE""")," 2 / $1000 of Additional Coverage   - ")</f>
        <v> 2 / $1000 of Additional Coverage   - </v>
      </c>
      <c r="H570" s="61" t="str">
        <f>IFERROR(__xludf.DUMMYFUNCTION("""COMPUTED_VALUE"""),"House 7")</f>
        <v>House 7</v>
      </c>
      <c r="I570" s="61" t="str">
        <f>IFERROR(__xludf.DUMMYFUNCTION("""COMPUTED_VALUE"""),"203")</f>
        <v>203</v>
      </c>
      <c r="J570" s="107" t="str">
        <f>IFERROR(__xludf.DUMMYFUNCTION("""COMPUTED_VALUE"""),"09:00 AM to 11:00 AM  ")</f>
        <v>09:00 AM to 11:00 AM  </v>
      </c>
      <c r="K570" s="100">
        <f>IFERROR(__xludf.DUMMYFUNCTION("""COMPUTED_VALUE"""),46147.0)</f>
        <v>46147</v>
      </c>
      <c r="L570" s="61" t="str">
        <f>IFERROR(__xludf.DUMMYFUNCTION("""COMPUTED_VALUE""")," ")</f>
        <v> </v>
      </c>
      <c r="M570" s="61"/>
      <c r="N570" s="61" t="str">
        <f>IFERROR(__xludf.DUMMYFUNCTION("""COMPUTED_VALUE""")," Levi is leaving on the 5th early in the am, so will not be there during pick up. Is that ok? My understanding is boxes may be picked up after students leave? Please confirm. Thank you, Lisa")</f>
        <v> Levi is leaving on the 5th early in the am, so will not be there during pick up. Is that ok? My understanding is boxes may be picked up after students leave? Please confirm. Thank you, Lisa</v>
      </c>
    </row>
    <row r="571">
      <c r="A571" s="102" t="str">
        <f>IFERROR(__xludf.DUMMYFUNCTION("""COMPUTED_VALUE"""),"https://utrucking.com/admin/orders/6433680851132")</f>
        <v>https://utrucking.com/admin/orders/6433680851132</v>
      </c>
      <c r="B571" s="65" t="str">
        <f>IFERROR(__xludf.DUMMYFUNCTION("""COMPUTED_VALUE"""),"#17690")</f>
        <v>#17690</v>
      </c>
      <c r="C571" s="65" t="str">
        <f>IFERROR(__xludf.DUMMYFUNCTION("""COMPUTED_VALUE"""),"p.sihyun@wustl.edu")</f>
        <v>p.sihyun@wustl.edu</v>
      </c>
      <c r="D571" s="65">
        <f>IFERROR(__xludf.DUMMYFUNCTION("""COMPUTED_VALUE"""),4.843547426E9)</f>
        <v>4843547426</v>
      </c>
      <c r="E571" s="65" t="str">
        <f>IFERROR(__xludf.DUMMYFUNCTION("""COMPUTED_VALUE"""),"Sophia Park")</f>
        <v>Sophia Park</v>
      </c>
      <c r="F571" s="65" t="str">
        <f>IFERROR(__xludf.DUMMYFUNCTION("""COMPUTED_VALUE"""),"Sophia Park")</f>
        <v>Sophia Park</v>
      </c>
      <c r="G571" s="65" t="str">
        <f>IFERROR(__xludf.DUMMYFUNCTION("""COMPUTED_VALUE""")," 1 [Included with Registration] / Included Insurance   - ")</f>
        <v> 1 [Included with Registration] / Included Insurance   - </v>
      </c>
      <c r="H571" s="65" t="str">
        <f>IFERROR(__xludf.DUMMYFUNCTION("""COMPUTED_VALUE"""),"Lien  ")</f>
        <v>Lien  </v>
      </c>
      <c r="I571" s="65" t="str">
        <f>IFERROR(__xludf.DUMMYFUNCTION("""COMPUTED_VALUE"""),"2211")</f>
        <v>2211</v>
      </c>
      <c r="J571" s="108" t="str">
        <f>IFERROR(__xludf.DUMMYFUNCTION("""COMPUTED_VALUE"""),"09:00 AM to 11:00 AM  ")</f>
        <v>09:00 AM to 11:00 AM  </v>
      </c>
      <c r="K571" s="103">
        <f>IFERROR(__xludf.DUMMYFUNCTION("""COMPUTED_VALUE"""),46149.0)</f>
        <v>46149</v>
      </c>
      <c r="L571" s="65" t="str">
        <f>IFERROR(__xludf.DUMMYFUNCTION("""COMPUTED_VALUE""")," ")</f>
        <v> </v>
      </c>
      <c r="M571" s="65"/>
      <c r="N571" s="65" t="str">
        <f>IFERROR(__xludf.DUMMYFUNCTION("""COMPUTED_VALUE""")," ")</f>
        <v> </v>
      </c>
    </row>
    <row r="572">
      <c r="A572" s="99" t="str">
        <f>IFERROR(__xludf.DUMMYFUNCTION("""COMPUTED_VALUE"""),"https://utrucking.com/admin/orders/6433735606460")</f>
        <v>https://utrucking.com/admin/orders/6433735606460</v>
      </c>
      <c r="B572" s="61" t="str">
        <f>IFERROR(__xludf.DUMMYFUNCTION("""COMPUTED_VALUE"""),"#17692")</f>
        <v>#17692</v>
      </c>
      <c r="C572" s="61" t="str">
        <f>IFERROR(__xludf.DUMMYFUNCTION("""COMPUTED_VALUE"""),"n.sofia@wustl.edu")</f>
        <v>n.sofia@wustl.edu</v>
      </c>
      <c r="D572" s="61">
        <f>IFERROR(__xludf.DUMMYFUNCTION("""COMPUTED_VALUE"""),9.179022223E9)</f>
        <v>9179022223</v>
      </c>
      <c r="E572" s="61" t="str">
        <f>IFERROR(__xludf.DUMMYFUNCTION("""COMPUTED_VALUE"""),"Clinton Nossel")</f>
        <v>Clinton Nossel</v>
      </c>
      <c r="F572" s="61" t="str">
        <f>IFERROR(__xludf.DUMMYFUNCTION("""COMPUTED_VALUE"""),"Sofia Nossel")</f>
        <v>Sofia Nossel</v>
      </c>
      <c r="G572" s="61" t="str">
        <f>IFERROR(__xludf.DUMMYFUNCTION("""COMPUTED_VALUE""")," 1 [Included with Registration] / Included Insurance   - ")</f>
        <v> 1 [Included with Registration] / Included Insurance   - </v>
      </c>
      <c r="H572" s="61" t="str">
        <f>IFERROR(__xludf.DUMMYFUNCTION("""COMPUTED_VALUE"""),"Gregg  ")</f>
        <v>Gregg  </v>
      </c>
      <c r="I572" s="61" t="str">
        <f>IFERROR(__xludf.DUMMYFUNCTION("""COMPUTED_VALUE"""),"3133A")</f>
        <v>3133A</v>
      </c>
      <c r="J572" s="107" t="str">
        <f>IFERROR(__xludf.DUMMYFUNCTION("""COMPUTED_VALUE"""),"09:00 AM to 11:00 AM  ")</f>
        <v>09:00 AM to 11:00 AM  </v>
      </c>
      <c r="K572" s="100">
        <f>IFERROR(__xludf.DUMMYFUNCTION("""COMPUTED_VALUE"""),46149.0)</f>
        <v>46149</v>
      </c>
      <c r="L572" s="61" t="str">
        <f>IFERROR(__xludf.DUMMYFUNCTION("""COMPUTED_VALUE""")," ")</f>
        <v> </v>
      </c>
      <c r="M572" s="61"/>
      <c r="N572" s="61" t="str">
        <f>IFERROR(__xludf.DUMMYFUNCTION("""COMPUTED_VALUE""")," ")</f>
        <v> </v>
      </c>
    </row>
    <row r="573">
      <c r="A573" s="102" t="str">
        <f>IFERROR(__xludf.DUMMYFUNCTION("""COMPUTED_VALUE"""),"https://utrucking.com/admin/orders/6433772568764")</f>
        <v>https://utrucking.com/admin/orders/6433772568764</v>
      </c>
      <c r="B573" s="65" t="str">
        <f>IFERROR(__xludf.DUMMYFUNCTION("""COMPUTED_VALUE"""),"#17695")</f>
        <v>#17695</v>
      </c>
      <c r="C573" s="65" t="str">
        <f>IFERROR(__xludf.DUMMYFUNCTION("""COMPUTED_VALUE"""),"c.skatrud@wustl.edu")</f>
        <v>c.skatrud@wustl.edu</v>
      </c>
      <c r="D573" s="65">
        <f>IFERROR(__xludf.DUMMYFUNCTION("""COMPUTED_VALUE"""),7.816081973E9)</f>
        <v>7816081973</v>
      </c>
      <c r="E573" s="65" t="str">
        <f>IFERROR(__xludf.DUMMYFUNCTION("""COMPUTED_VALUE"""),"Michael Skatrud")</f>
        <v>Michael Skatrud</v>
      </c>
      <c r="F573" s="65" t="str">
        <f>IFERROR(__xludf.DUMMYFUNCTION("""COMPUTED_VALUE"""),"Claire Skatrud")</f>
        <v>Claire Skatrud</v>
      </c>
      <c r="G573" s="65" t="str">
        <f>IFERROR(__xludf.DUMMYFUNCTION("""COMPUTED_VALUE""")," 1 [Included with Registration] / Included Insurance   - ")</f>
        <v> 1 [Included with Registration] / Included Insurance   - </v>
      </c>
      <c r="H573" s="65" t="str">
        <f>IFERROR(__xludf.DUMMYFUNCTION("""COMPUTED_VALUE"""),"Village East  ")</f>
        <v>Village East  </v>
      </c>
      <c r="I573" s="65" t="str">
        <f>IFERROR(__xludf.DUMMYFUNCTION("""COMPUTED_VALUE"""),"2041")</f>
        <v>2041</v>
      </c>
      <c r="J573" s="108" t="str">
        <f>IFERROR(__xludf.DUMMYFUNCTION("""COMPUTED_VALUE"""),"09:00 AM to 11:00 AM  ")</f>
        <v>09:00 AM to 11:00 AM  </v>
      </c>
      <c r="K573" s="103">
        <f>IFERROR(__xludf.DUMMYFUNCTION("""COMPUTED_VALUE"""),46148.0)</f>
        <v>46148</v>
      </c>
      <c r="L573" s="65" t="str">
        <f>IFERROR(__xludf.DUMMYFUNCTION("""COMPUTED_VALUE""")," ")</f>
        <v> </v>
      </c>
      <c r="M573" s="65"/>
      <c r="N573" s="65" t="str">
        <f>IFERROR(__xludf.DUMMYFUNCTION("""COMPUTED_VALUE""")," ")</f>
        <v> </v>
      </c>
    </row>
    <row r="574">
      <c r="A574" s="99" t="str">
        <f>IFERROR(__xludf.DUMMYFUNCTION("""COMPUTED_VALUE"""),"https://utrucking.com/admin/orders/6433840922812")</f>
        <v>https://utrucking.com/admin/orders/6433840922812</v>
      </c>
      <c r="B574" s="61" t="str">
        <f>IFERROR(__xludf.DUMMYFUNCTION("""COMPUTED_VALUE"""),"#17697")</f>
        <v>#17697</v>
      </c>
      <c r="C574" s="61" t="str">
        <f>IFERROR(__xludf.DUMMYFUNCTION("""COMPUTED_VALUE"""),"shan.knisely@gmail.com")</f>
        <v>shan.knisely@gmail.com</v>
      </c>
      <c r="D574" s="61">
        <f>IFERROR(__xludf.DUMMYFUNCTION("""COMPUTED_VALUE"""),5.126995645E9)</f>
        <v>5126995645</v>
      </c>
      <c r="E574" s="61" t="str">
        <f>IFERROR(__xludf.DUMMYFUNCTION("""COMPUTED_VALUE"""),"Shannon Knisely")</f>
        <v>Shannon Knisely</v>
      </c>
      <c r="F574" s="61" t="str">
        <f>IFERROR(__xludf.DUMMYFUNCTION("""COMPUTED_VALUE"""),"Ashton Knisely")</f>
        <v>Ashton Knisely</v>
      </c>
      <c r="G574" s="61" t="str">
        <f>IFERROR(__xludf.DUMMYFUNCTION("""COMPUTED_VALUE""")," 1 [Included with Registration] / Included Insurance   - ")</f>
        <v> 1 [Included with Registration] / Included Insurance   - </v>
      </c>
      <c r="H574" s="61" t="str">
        <f>IFERROR(__xludf.DUMMYFUNCTION("""COMPUTED_VALUE"""),"Rutledge  ")</f>
        <v>Rutledge  </v>
      </c>
      <c r="I574" s="61" t="str">
        <f>IFERROR(__xludf.DUMMYFUNCTION("""COMPUTED_VALUE"""),"314")</f>
        <v>314</v>
      </c>
      <c r="J574" s="107" t="str">
        <f>IFERROR(__xludf.DUMMYFUNCTION("""COMPUTED_VALUE"""),"09:00 AM to 11:00 AM  ")</f>
        <v>09:00 AM to 11:00 AM  </v>
      </c>
      <c r="K574" s="100">
        <f>IFERROR(__xludf.DUMMYFUNCTION("""COMPUTED_VALUE"""),46148.0)</f>
        <v>46148</v>
      </c>
      <c r="L574" s="61" t="str">
        <f>IFERROR(__xludf.DUMMYFUNCTION("""COMPUTED_VALUE""")," ")</f>
        <v> </v>
      </c>
      <c r="M574" s="61"/>
      <c r="N574" s="61" t="str">
        <f>IFERROR(__xludf.DUMMYFUNCTION("""COMPUTED_VALUE""")," ")</f>
        <v> </v>
      </c>
    </row>
    <row r="575">
      <c r="A575" s="102" t="str">
        <f>IFERROR(__xludf.DUMMYFUNCTION("""COMPUTED_VALUE"""),"https://utrucking.com/admin/orders/6433858126012")</f>
        <v>https://utrucking.com/admin/orders/6433858126012</v>
      </c>
      <c r="B575" s="65" t="str">
        <f>IFERROR(__xludf.DUMMYFUNCTION("""COMPUTED_VALUE"""),"#17698")</f>
        <v>#17698</v>
      </c>
      <c r="C575" s="65" t="str">
        <f>IFERROR(__xludf.DUMMYFUNCTION("""COMPUTED_VALUE"""),"chengwei.s@wustl.edu")</f>
        <v>chengwei.s@wustl.edu</v>
      </c>
      <c r="D575" s="65">
        <f>IFERROR(__xludf.DUMMYFUNCTION("""COMPUTED_VALUE"""),3.14437011E9)</f>
        <v>3144370110</v>
      </c>
      <c r="E575" s="65" t="str">
        <f>IFERROR(__xludf.DUMMYFUNCTION("""COMPUTED_VALUE"""),"Chengwei Shang")</f>
        <v>Chengwei Shang</v>
      </c>
      <c r="F575" s="65" t="str">
        <f>IFERROR(__xludf.DUMMYFUNCTION("""COMPUTED_VALUE"""),"Chengwei Shang")</f>
        <v>Chengwei Shang</v>
      </c>
      <c r="G575" s="65" t="str">
        <f>IFERROR(__xludf.DUMMYFUNCTION("""COMPUTED_VALUE""")," 1 [Included with Registration] / Included Insurance   - ")</f>
        <v> 1 [Included with Registration] / Included Insurance   - </v>
      </c>
      <c r="H575" s="65" t="str">
        <f>IFERROR(__xludf.DUMMYFUNCTION("""COMPUTED_VALUE"""),"House 5")</f>
        <v>House 5</v>
      </c>
      <c r="I575" s="65" t="str">
        <f>IFERROR(__xludf.DUMMYFUNCTION("""COMPUTED_VALUE"""),"202")</f>
        <v>202</v>
      </c>
      <c r="J575" s="108" t="str">
        <f>IFERROR(__xludf.DUMMYFUNCTION("""COMPUTED_VALUE"""),"03:00 PM to 05:00 PM")</f>
        <v>03:00 PM to 05:00 PM</v>
      </c>
      <c r="K575" s="103">
        <f>IFERROR(__xludf.DUMMYFUNCTION("""COMPUTED_VALUE"""),46146.0)</f>
        <v>46146</v>
      </c>
      <c r="L575" s="65" t="str">
        <f>IFERROR(__xludf.DUMMYFUNCTION("""COMPUTED_VALUE""")," ")</f>
        <v> </v>
      </c>
      <c r="M575" s="65"/>
      <c r="N575" s="65" t="str">
        <f>IFERROR(__xludf.DUMMYFUNCTION("""COMPUTED_VALUE""")," ")</f>
        <v> </v>
      </c>
    </row>
    <row r="576">
      <c r="A576" s="99" t="str">
        <f>IFERROR(__xludf.DUMMYFUNCTION("""COMPUTED_VALUE"""),"https://utrucking.com/admin/orders/6433941061820")</f>
        <v>https://utrucking.com/admin/orders/6433941061820</v>
      </c>
      <c r="B576" s="61" t="str">
        <f>IFERROR(__xludf.DUMMYFUNCTION("""COMPUTED_VALUE"""),"#17700")</f>
        <v>#17700</v>
      </c>
      <c r="C576" s="61" t="str">
        <f>IFERROR(__xludf.DUMMYFUNCTION("""COMPUTED_VALUE"""),"claire.li@wustl.edu")</f>
        <v>claire.li@wustl.edu</v>
      </c>
      <c r="D576" s="61">
        <f>IFERROR(__xludf.DUMMYFUNCTION("""COMPUTED_VALUE"""),1.5011422749E10)</f>
        <v>15011422749</v>
      </c>
      <c r="E576" s="61" t="str">
        <f>IFERROR(__xludf.DUMMYFUNCTION("""COMPUTED_VALUE"""),"卓远 李")</f>
        <v>卓远 李</v>
      </c>
      <c r="F576" s="61" t="str">
        <f>IFERROR(__xludf.DUMMYFUNCTION("""COMPUTED_VALUE"""),"Claire Li")</f>
        <v>Claire Li</v>
      </c>
      <c r="G576" s="61" t="str">
        <f>IFERROR(__xludf.DUMMYFUNCTION("""COMPUTED_VALUE""")," 1 [Included with Registration] / Included Insurance   - ")</f>
        <v> 1 [Included with Registration] / Included Insurance   - </v>
      </c>
      <c r="H576" s="61" t="str">
        <f>IFERROR(__xludf.DUMMYFUNCTION("""COMPUTED_VALUE"""),"Koenig  ")</f>
        <v>Koenig  </v>
      </c>
      <c r="I576" s="61" t="str">
        <f>IFERROR(__xludf.DUMMYFUNCTION("""COMPUTED_VALUE"""),"3315")</f>
        <v>3315</v>
      </c>
      <c r="J576" s="107" t="str">
        <f>IFERROR(__xludf.DUMMYFUNCTION("""COMPUTED_VALUE"""),"03:00 PM to 05:00 PM")</f>
        <v>03:00 PM to 05:00 PM</v>
      </c>
      <c r="K576" s="100">
        <f>IFERROR(__xludf.DUMMYFUNCTION("""COMPUTED_VALUE"""),46147.0)</f>
        <v>46147</v>
      </c>
      <c r="L576" s="61" t="str">
        <f>IFERROR(__xludf.DUMMYFUNCTION("""COMPUTED_VALUE""")," ")</f>
        <v> </v>
      </c>
      <c r="M576" s="61"/>
      <c r="N576" s="61" t="str">
        <f>IFERROR(__xludf.DUMMYFUNCTION("""COMPUTED_VALUE""")," ")</f>
        <v> </v>
      </c>
    </row>
    <row r="577">
      <c r="A577" s="102" t="str">
        <f>IFERROR(__xludf.DUMMYFUNCTION("""COMPUTED_VALUE"""),"https://utrucking.com/admin/orders/6433947222204")</f>
        <v>https://utrucking.com/admin/orders/6433947222204</v>
      </c>
      <c r="B577" s="65" t="str">
        <f>IFERROR(__xludf.DUMMYFUNCTION("""COMPUTED_VALUE"""),"#17701")</f>
        <v>#17701</v>
      </c>
      <c r="C577" s="65" t="str">
        <f>IFERROR(__xludf.DUMMYFUNCTION("""COMPUTED_VALUE"""),"candace.rabinowitz@hotmail.com")</f>
        <v>candace.rabinowitz@hotmail.com</v>
      </c>
      <c r="D577" s="65">
        <f>IFERROR(__xludf.DUMMYFUNCTION("""COMPUTED_VALUE"""),9.178808249E9)</f>
        <v>9178808249</v>
      </c>
      <c r="E577" s="65" t="str">
        <f>IFERROR(__xludf.DUMMYFUNCTION("""COMPUTED_VALUE"""),"Jeffrey Rabinowitz")</f>
        <v>Jeffrey Rabinowitz</v>
      </c>
      <c r="F577" s="65" t="str">
        <f>IFERROR(__xludf.DUMMYFUNCTION("""COMPUTED_VALUE"""),"Brooke Rabinowitz")</f>
        <v>Brooke Rabinowitz</v>
      </c>
      <c r="G577" s="65" t="str">
        <f>IFERROR(__xludf.DUMMYFUNCTION("""COMPUTED_VALUE""")," 1 [Included with Registration] / Included Insurance   - ")</f>
        <v> 1 [Included with Registration] / Included Insurance   - </v>
      </c>
      <c r="H577" s="65" t="str">
        <f>IFERROR(__xludf.DUMMYFUNCTION("""COMPUTED_VALUE"""),"Park  ")</f>
        <v>Park  </v>
      </c>
      <c r="I577" s="65" t="str">
        <f>IFERROR(__xludf.DUMMYFUNCTION("""COMPUTED_VALUE"""),"471")</f>
        <v>471</v>
      </c>
      <c r="J577" s="108" t="str">
        <f>IFERROR(__xludf.DUMMYFUNCTION("""COMPUTED_VALUE"""),"03:00 PM to 05:00 PM")</f>
        <v>03:00 PM to 05:00 PM</v>
      </c>
      <c r="K577" s="103">
        <f>IFERROR(__xludf.DUMMYFUNCTION("""COMPUTED_VALUE"""),46144.0)</f>
        <v>46144</v>
      </c>
      <c r="L577" s="65" t="str">
        <f>IFERROR(__xludf.DUMMYFUNCTION("""COMPUTED_VALUE""")," ")</f>
        <v> </v>
      </c>
      <c r="M577" s="65"/>
      <c r="N577" s="65" t="str">
        <f>IFERROR(__xludf.DUMMYFUNCTION("""COMPUTED_VALUE""")," ")</f>
        <v> </v>
      </c>
    </row>
    <row r="578">
      <c r="A578" s="99" t="str">
        <f>IFERROR(__xludf.DUMMYFUNCTION("""COMPUTED_VALUE"""),"https://utrucking.com/admin/orders/6434107359420")</f>
        <v>https://utrucking.com/admin/orders/6434107359420</v>
      </c>
      <c r="B578" s="61" t="str">
        <f>IFERROR(__xludf.DUMMYFUNCTION("""COMPUTED_VALUE"""),"#17703")</f>
        <v>#17703</v>
      </c>
      <c r="C578" s="61" t="str">
        <f>IFERROR(__xludf.DUMMYFUNCTION("""COMPUTED_VALUE"""),"a.aram@wustl.edu")</f>
        <v>a.aram@wustl.edu</v>
      </c>
      <c r="D578" s="61">
        <f>IFERROR(__xludf.DUMMYFUNCTION("""COMPUTED_VALUE"""),2.092891888E9)</f>
        <v>2092891888</v>
      </c>
      <c r="E578" s="61" t="str">
        <f>IFERROR(__xludf.DUMMYFUNCTION("""COMPUTED_VALUE"""),"Aram Ashrafzadeh")</f>
        <v>Aram Ashrafzadeh</v>
      </c>
      <c r="F578" s="61" t="str">
        <f>IFERROR(__xludf.DUMMYFUNCTION("""COMPUTED_VALUE"""),"Aram Ashrafzadeh")</f>
        <v>Aram Ashrafzadeh</v>
      </c>
      <c r="G578" s="61" t="str">
        <f>IFERROR(__xludf.DUMMYFUNCTION("""COMPUTED_VALUE""")," 1 [Included with Registration] / Included Insurance   - ")</f>
        <v> 1 [Included with Registration] / Included Insurance   - </v>
      </c>
      <c r="H578" s="61" t="str">
        <f>IFERROR(__xludf.DUMMYFUNCTION("""COMPUTED_VALUE"""),"6057 Waterman Blvd")</f>
        <v>6057 Waterman Blvd</v>
      </c>
      <c r="I578" s="61" t="str">
        <f>IFERROR(__xludf.DUMMYFUNCTION("""COMPUTED_VALUE"""),"Apt 2S Room A")</f>
        <v>Apt 2S Room A</v>
      </c>
      <c r="J578" s="107" t="str">
        <f>IFERROR(__xludf.DUMMYFUNCTION("""COMPUTED_VALUE"""),"12:00 PM to 02:00 PM  ")</f>
        <v>12:00 PM to 02:00 PM  </v>
      </c>
      <c r="K578" s="100">
        <f>IFERROR(__xludf.DUMMYFUNCTION("""COMPUTED_VALUE"""),46143.0)</f>
        <v>46143</v>
      </c>
      <c r="L578" s="61" t="str">
        <f>IFERROR(__xludf.DUMMYFUNCTION("""COMPUTED_VALUE""")," ")</f>
        <v> </v>
      </c>
      <c r="M578" s="61"/>
      <c r="N578" s="61" t="str">
        <f>IFERROR(__xludf.DUMMYFUNCTION("""COMPUTED_VALUE""")," ")</f>
        <v> </v>
      </c>
    </row>
    <row r="579">
      <c r="A579" s="102" t="str">
        <f>IFERROR(__xludf.DUMMYFUNCTION("""COMPUTED_VALUE"""),"https://utrucking.com/admin/orders/6434124726460")</f>
        <v>https://utrucking.com/admin/orders/6434124726460</v>
      </c>
      <c r="B579" s="65" t="str">
        <f>IFERROR(__xludf.DUMMYFUNCTION("""COMPUTED_VALUE"""),"#17705")</f>
        <v>#17705</v>
      </c>
      <c r="C579" s="65" t="str">
        <f>IFERROR(__xludf.DUMMYFUNCTION("""COMPUTED_VALUE"""),"he.yining@wustl.edu")</f>
        <v>he.yining@wustl.edu</v>
      </c>
      <c r="D579" s="65">
        <f>IFERROR(__xludf.DUMMYFUNCTION("""COMPUTED_VALUE"""),3.142960885E9)</f>
        <v>3142960885</v>
      </c>
      <c r="E579" s="65" t="str">
        <f>IFERROR(__xludf.DUMMYFUNCTION("""COMPUTED_VALUE"""),"Yining He")</f>
        <v>Yining He</v>
      </c>
      <c r="F579" s="65" t="str">
        <f>IFERROR(__xludf.DUMMYFUNCTION("""COMPUTED_VALUE"""),"Yining He ")</f>
        <v>Yining He </v>
      </c>
      <c r="G579" s="65" t="str">
        <f>IFERROR(__xludf.DUMMYFUNCTION("""COMPUTED_VALUE""")," 2 / Included Insurance   - ")</f>
        <v> 2 / Included Insurance   - </v>
      </c>
      <c r="H579" s="65" t="str">
        <f>IFERROR(__xludf.DUMMYFUNCTION("""COMPUTED_VALUE"""),"Eliot A (Thomas Eliot)")</f>
        <v>Eliot A (Thomas Eliot)</v>
      </c>
      <c r="I579" s="65" t="str">
        <f>IFERROR(__xludf.DUMMYFUNCTION("""COMPUTED_VALUE"""),"2054")</f>
        <v>2054</v>
      </c>
      <c r="J579" s="108" t="str">
        <f>IFERROR(__xludf.DUMMYFUNCTION("""COMPUTED_VALUE"""),"09:00 AM to 11:00 AM  ")</f>
        <v>09:00 AM to 11:00 AM  </v>
      </c>
      <c r="K579" s="103">
        <f>IFERROR(__xludf.DUMMYFUNCTION("""COMPUTED_VALUE"""),46149.0)</f>
        <v>46149</v>
      </c>
      <c r="L579" s="65" t="str">
        <f>IFERROR(__xludf.DUMMYFUNCTION("""COMPUTED_VALUE""")," ")</f>
        <v> </v>
      </c>
      <c r="M579" s="65"/>
      <c r="N579" s="65" t="str">
        <f>IFERROR(__xludf.DUMMYFUNCTION("""COMPUTED_VALUE""")," ")</f>
        <v> </v>
      </c>
    </row>
    <row r="580">
      <c r="A580" s="99" t="str">
        <f>IFERROR(__xludf.DUMMYFUNCTION("""COMPUTED_VALUE"""),"https://utrucking.com/admin/orders/6434176237756")</f>
        <v>https://utrucking.com/admin/orders/6434176237756</v>
      </c>
      <c r="B580" s="61" t="str">
        <f>IFERROR(__xludf.DUMMYFUNCTION("""COMPUTED_VALUE"""),"#17706")</f>
        <v>#17706</v>
      </c>
      <c r="C580" s="61" t="str">
        <f>IFERROR(__xludf.DUMMYFUNCTION("""COMPUTED_VALUE"""),"huili.jin200@gmail.com")</f>
        <v>huili.jin200@gmail.com</v>
      </c>
      <c r="D580" s="61">
        <f>IFERROR(__xludf.DUMMYFUNCTION("""COMPUTED_VALUE"""),3.477073688E9)</f>
        <v>3477073688</v>
      </c>
      <c r="E580" s="61" t="str">
        <f>IFERROR(__xludf.DUMMYFUNCTION("""COMPUTED_VALUE"""),"Huili Jin")</f>
        <v>Huili Jin</v>
      </c>
      <c r="F580" s="61" t="str">
        <f>IFERROR(__xludf.DUMMYFUNCTION("""COMPUTED_VALUE"""),"Huili Jin")</f>
        <v>Huili Jin</v>
      </c>
      <c r="G580" s="61" t="str">
        <f>IFERROR(__xludf.DUMMYFUNCTION("""COMPUTED_VALUE""")," 1 [Included with Registration] / Included Insurance   - ")</f>
        <v> 1 [Included with Registration] / Included Insurance   - </v>
      </c>
      <c r="H580" s="61" t="str">
        <f>IFERROR(__xludf.DUMMYFUNCTION("""COMPUTED_VALUE"""),"Dardick  ")</f>
        <v>Dardick  </v>
      </c>
      <c r="I580" s="61" t="str">
        <f>IFERROR(__xludf.DUMMYFUNCTION("""COMPUTED_VALUE"""),"3325")</f>
        <v>3325</v>
      </c>
      <c r="J580" s="107" t="str">
        <f>IFERROR(__xludf.DUMMYFUNCTION("""COMPUTED_VALUE"""),"12:00 PM to 02:00 PM  ")</f>
        <v>12:00 PM to 02:00 PM  </v>
      </c>
      <c r="K580" s="100">
        <f>IFERROR(__xludf.DUMMYFUNCTION("""COMPUTED_VALUE"""),46146.0)</f>
        <v>46146</v>
      </c>
      <c r="L580" s="61" t="str">
        <f>IFERROR(__xludf.DUMMYFUNCTION("""COMPUTED_VALUE""")," ")</f>
        <v> </v>
      </c>
      <c r="M580" s="61"/>
      <c r="N580" s="61" t="str">
        <f>IFERROR(__xludf.DUMMYFUNCTION("""COMPUTED_VALUE""")," ")</f>
        <v> </v>
      </c>
    </row>
    <row r="581">
      <c r="A581" s="102" t="str">
        <f>IFERROR(__xludf.DUMMYFUNCTION("""COMPUTED_VALUE"""),"https://utrucking.com/admin/orders/6434235056316")</f>
        <v>https://utrucking.com/admin/orders/6434235056316</v>
      </c>
      <c r="B581" s="65" t="str">
        <f>IFERROR(__xludf.DUMMYFUNCTION("""COMPUTED_VALUE"""),"#17707")</f>
        <v>#17707</v>
      </c>
      <c r="C581" s="65" t="str">
        <f>IFERROR(__xludf.DUMMYFUNCTION("""COMPUTED_VALUE"""),"emi@wustl.edu")</f>
        <v>emi@wustl.edu</v>
      </c>
      <c r="D581" s="65">
        <f>IFERROR(__xludf.DUMMYFUNCTION("""COMPUTED_VALUE"""),8.087997037E9)</f>
        <v>8087997037</v>
      </c>
      <c r="E581" s="65" t="str">
        <f>IFERROR(__xludf.DUMMYFUNCTION("""COMPUTED_VALUE"""),"Emi Harstad")</f>
        <v>Emi Harstad</v>
      </c>
      <c r="F581" s="65" t="str">
        <f>IFERROR(__xludf.DUMMYFUNCTION("""COMPUTED_VALUE"""),"Emi Harstad")</f>
        <v>Emi Harstad</v>
      </c>
      <c r="G581" s="65" t="str">
        <f>IFERROR(__xludf.DUMMYFUNCTION("""COMPUTED_VALUE""")," 1 [Included with Registration] / Included Insurance   - ")</f>
        <v> 1 [Included with Registration] / Included Insurance   - </v>
      </c>
      <c r="H581" s="65" t="str">
        <f>IFERROR(__xludf.DUMMYFUNCTION("""COMPUTED_VALUE"""),"Danforth  ")</f>
        <v>Danforth  </v>
      </c>
      <c r="I581" s="65" t="str">
        <f>IFERROR(__xludf.DUMMYFUNCTION("""COMPUTED_VALUE"""),"3331")</f>
        <v>3331</v>
      </c>
      <c r="J581" s="108" t="str">
        <f>IFERROR(__xludf.DUMMYFUNCTION("""COMPUTED_VALUE"""),"09:00 AM to 11:00 AM  ")</f>
        <v>09:00 AM to 11:00 AM  </v>
      </c>
      <c r="K581" s="103">
        <f>IFERROR(__xludf.DUMMYFUNCTION("""COMPUTED_VALUE"""),46148.0)</f>
        <v>46148</v>
      </c>
      <c r="L581" s="65" t="str">
        <f>IFERROR(__xludf.DUMMYFUNCTION("""COMPUTED_VALUE""")," ")</f>
        <v> </v>
      </c>
      <c r="M581" s="65"/>
      <c r="N581" s="65" t="str">
        <f>IFERROR(__xludf.DUMMYFUNCTION("""COMPUTED_VALUE""")," ")</f>
        <v> </v>
      </c>
    </row>
    <row r="582">
      <c r="A582" s="99" t="str">
        <f>IFERROR(__xludf.DUMMYFUNCTION("""COMPUTED_VALUE"""),"https://utrucking.com/admin/orders/6434240037052")</f>
        <v>https://utrucking.com/admin/orders/6434240037052</v>
      </c>
      <c r="B582" s="61" t="str">
        <f>IFERROR(__xludf.DUMMYFUNCTION("""COMPUTED_VALUE"""),"#17708")</f>
        <v>#17708</v>
      </c>
      <c r="C582" s="61" t="str">
        <f>IFERROR(__xludf.DUMMYFUNCTION("""COMPUTED_VALUE"""),"l.mittal@wustl.edu")</f>
        <v>l.mittal@wustl.edu</v>
      </c>
      <c r="D582" s="61">
        <f>IFERROR(__xludf.DUMMYFUNCTION("""COMPUTED_VALUE"""),1.314267786E10)</f>
        <v>13142677860</v>
      </c>
      <c r="E582" s="61" t="str">
        <f>IFERROR(__xludf.DUMMYFUNCTION("""COMPUTED_VALUE"""),"Lakshya Mittal")</f>
        <v>Lakshya Mittal</v>
      </c>
      <c r="F582" s="61" t="str">
        <f>IFERROR(__xludf.DUMMYFUNCTION("""COMPUTED_VALUE"""),"Lakshya Mittal")</f>
        <v>Lakshya Mittal</v>
      </c>
      <c r="G582" s="61" t="str">
        <f>IFERROR(__xludf.DUMMYFUNCTION("""COMPUTED_VALUE""")," 2 / Included Insurance   - ")</f>
        <v> 2 / Included Insurance   - </v>
      </c>
      <c r="H582" s="61" t="str">
        <f>IFERROR(__xludf.DUMMYFUNCTION("""COMPUTED_VALUE"""),"Lien  ")</f>
        <v>Lien  </v>
      </c>
      <c r="I582" s="61" t="str">
        <f>IFERROR(__xludf.DUMMYFUNCTION("""COMPUTED_VALUE"""),"3005")</f>
        <v>3005</v>
      </c>
      <c r="J582" s="107" t="str">
        <f>IFERROR(__xludf.DUMMYFUNCTION("""COMPUTED_VALUE"""),"03:00 PM to 05:00 PM")</f>
        <v>03:00 PM to 05:00 PM</v>
      </c>
      <c r="K582" s="100">
        <f>IFERROR(__xludf.DUMMYFUNCTION("""COMPUTED_VALUE"""),46148.0)</f>
        <v>46148</v>
      </c>
      <c r="L582" s="61" t="str">
        <f>IFERROR(__xludf.DUMMYFUNCTION("""COMPUTED_VALUE""")," ")</f>
        <v> </v>
      </c>
      <c r="M582" s="61"/>
      <c r="N582" s="61" t="str">
        <f>IFERROR(__xludf.DUMMYFUNCTION("""COMPUTED_VALUE""")," ")</f>
        <v> </v>
      </c>
    </row>
    <row r="583">
      <c r="A583" s="102" t="str">
        <f>IFERROR(__xludf.DUMMYFUNCTION("""COMPUTED_VALUE"""),"https://utrucking.com/admin/orders/6434316681404")</f>
        <v>https://utrucking.com/admin/orders/6434316681404</v>
      </c>
      <c r="B583" s="65" t="str">
        <f>IFERROR(__xludf.DUMMYFUNCTION("""COMPUTED_VALUE"""),"#17709")</f>
        <v>#17709</v>
      </c>
      <c r="C583" s="65" t="str">
        <f>IFERROR(__xludf.DUMMYFUNCTION("""COMPUTED_VALUE"""),"jevin@wustl.edu")</f>
        <v>jevin@wustl.edu</v>
      </c>
      <c r="D583" s="65">
        <f>IFERROR(__xludf.DUMMYFUNCTION("""COMPUTED_VALUE"""),9.176609336E9)</f>
        <v>9176609336</v>
      </c>
      <c r="E583" s="65" t="str">
        <f>IFERROR(__xludf.DUMMYFUNCTION("""COMPUTED_VALUE"""),"Jevin Lin")</f>
        <v>Jevin Lin</v>
      </c>
      <c r="F583" s="65" t="str">
        <f>IFERROR(__xludf.DUMMYFUNCTION("""COMPUTED_VALUE"""),"Jevin Lin")</f>
        <v>Jevin Lin</v>
      </c>
      <c r="G583" s="65" t="str">
        <f>IFERROR(__xludf.DUMMYFUNCTION("""COMPUTED_VALUE""")," 1 [Included with Registration] / Included Insurance   - ")</f>
        <v> 1 [Included with Registration] / Included Insurance   - </v>
      </c>
      <c r="H583" s="65" t="str">
        <f>IFERROR(__xludf.DUMMYFUNCTION("""COMPUTED_VALUE"""),"Eliot B (Sophomore Dorm)")</f>
        <v>Eliot B (Sophomore Dorm)</v>
      </c>
      <c r="I583" s="65" t="str">
        <f>IFERROR(__xludf.DUMMYFUNCTION("""COMPUTED_VALUE"""),"2024")</f>
        <v>2024</v>
      </c>
      <c r="J583" s="108" t="str">
        <f>IFERROR(__xludf.DUMMYFUNCTION("""COMPUTED_VALUE"""),"11:00 AM to 01:00 PM  ")</f>
        <v>11:00 AM to 01:00 PM  </v>
      </c>
      <c r="K583" s="103">
        <f>IFERROR(__xludf.DUMMYFUNCTION("""COMPUTED_VALUE"""),46148.0)</f>
        <v>46148</v>
      </c>
      <c r="L583" s="65" t="str">
        <f>IFERROR(__xludf.DUMMYFUNCTION("""COMPUTED_VALUE""")," ")</f>
        <v> </v>
      </c>
      <c r="M583" s="65"/>
      <c r="N583" s="65" t="str">
        <f>IFERROR(__xludf.DUMMYFUNCTION("""COMPUTED_VALUE""")," ")</f>
        <v> </v>
      </c>
    </row>
    <row r="584">
      <c r="A584" s="99" t="str">
        <f>IFERROR(__xludf.DUMMYFUNCTION("""COMPUTED_VALUE"""),"https://utrucking.com/admin/orders/6434516369596")</f>
        <v>https://utrucking.com/admin/orders/6434516369596</v>
      </c>
      <c r="B584" s="61" t="str">
        <f>IFERROR(__xludf.DUMMYFUNCTION("""COMPUTED_VALUE"""),"#17710")</f>
        <v>#17710</v>
      </c>
      <c r="C584" s="61" t="str">
        <f>IFERROR(__xludf.DUMMYFUNCTION("""COMPUTED_VALUE"""),"g.krishna@wustl.edu")</f>
        <v>g.krishna@wustl.edu</v>
      </c>
      <c r="D584" s="61">
        <f>IFERROR(__xludf.DUMMYFUNCTION("""COMPUTED_VALUE"""),8.473385897E9)</f>
        <v>8473385897</v>
      </c>
      <c r="E584" s="61" t="str">
        <f>IFERROR(__xludf.DUMMYFUNCTION("""COMPUTED_VALUE"""),"Hetalben Gandhi")</f>
        <v>Hetalben Gandhi</v>
      </c>
      <c r="F584" s="61" t="str">
        <f>IFERROR(__xludf.DUMMYFUNCTION("""COMPUTED_VALUE"""),"Krishna Gandhi")</f>
        <v>Krishna Gandhi</v>
      </c>
      <c r="G584" s="61" t="str">
        <f>IFERROR(__xludf.DUMMYFUNCTION("""COMPUTED_VALUE""")," 1 [Included with Registration] / Included Insurance   - ")</f>
        <v> 1 [Included with Registration] / Included Insurance   - </v>
      </c>
      <c r="H584" s="61" t="str">
        <f>IFERROR(__xludf.DUMMYFUNCTION("""COMPUTED_VALUE"""),"Lien  ")</f>
        <v>Lien  </v>
      </c>
      <c r="I584" s="61" t="str">
        <f>IFERROR(__xludf.DUMMYFUNCTION("""COMPUTED_VALUE"""),"3322")</f>
        <v>3322</v>
      </c>
      <c r="J584" s="107" t="str">
        <f>IFERROR(__xludf.DUMMYFUNCTION("""COMPUTED_VALUE"""),"02:00 PM to 04:00 PM")</f>
        <v>02:00 PM to 04:00 PM</v>
      </c>
      <c r="K584" s="100">
        <f>IFERROR(__xludf.DUMMYFUNCTION("""COMPUTED_VALUE"""),46148.0)</f>
        <v>46148</v>
      </c>
      <c r="L584" s="61" t="str">
        <f>IFERROR(__xludf.DUMMYFUNCTION("""COMPUTED_VALUE""")," ")</f>
        <v> </v>
      </c>
      <c r="M584" s="61"/>
      <c r="N584" s="61" t="str">
        <f>IFERROR(__xludf.DUMMYFUNCTION("""COMPUTED_VALUE""")," ")</f>
        <v> </v>
      </c>
    </row>
    <row r="585">
      <c r="A585" s="102" t="str">
        <f>IFERROR(__xludf.DUMMYFUNCTION("""COMPUTED_VALUE"""),"https://utrucking.com/admin/orders/6434696855740")</f>
        <v>https://utrucking.com/admin/orders/6434696855740</v>
      </c>
      <c r="B585" s="65" t="str">
        <f>IFERROR(__xludf.DUMMYFUNCTION("""COMPUTED_VALUE"""),"#17711")</f>
        <v>#17711</v>
      </c>
      <c r="C585" s="65" t="str">
        <f>IFERROR(__xludf.DUMMYFUNCTION("""COMPUTED_VALUE"""),"f.j.poon@wustl.edu")</f>
        <v>f.j.poon@wustl.edu</v>
      </c>
      <c r="D585" s="65">
        <f>IFERROR(__xludf.DUMMYFUNCTION("""COMPUTED_VALUE"""),6.176344803E9)</f>
        <v>6176344803</v>
      </c>
      <c r="E585" s="65" t="str">
        <f>IFERROR(__xludf.DUMMYFUNCTION("""COMPUTED_VALUE"""),"Flannery Poon")</f>
        <v>Flannery Poon</v>
      </c>
      <c r="F585" s="65" t="str">
        <f>IFERROR(__xludf.DUMMYFUNCTION("""COMPUTED_VALUE"""),"Flannery Poon")</f>
        <v>Flannery Poon</v>
      </c>
      <c r="G585" s="65" t="str">
        <f>IFERROR(__xludf.DUMMYFUNCTION("""COMPUTED_VALUE""")," 1 [Included with Registration] / Included Insurance   - ")</f>
        <v> 1 [Included with Registration] / Included Insurance   - </v>
      </c>
      <c r="H585" s="65" t="str">
        <f>IFERROR(__xludf.DUMMYFUNCTION("""COMPUTED_VALUE"""),"Lien  ")</f>
        <v>Lien  </v>
      </c>
      <c r="I585" s="65" t="str">
        <f>IFERROR(__xludf.DUMMYFUNCTION("""COMPUTED_VALUE"""),"3323")</f>
        <v>3323</v>
      </c>
      <c r="J585" s="108" t="str">
        <f>IFERROR(__xludf.DUMMYFUNCTION("""COMPUTED_VALUE"""),"09:00 AM to 11:00 AM  ")</f>
        <v>09:00 AM to 11:00 AM  </v>
      </c>
      <c r="K585" s="103">
        <f>IFERROR(__xludf.DUMMYFUNCTION("""COMPUTED_VALUE"""),46147.0)</f>
        <v>46147</v>
      </c>
      <c r="L585" s="65" t="str">
        <f>IFERROR(__xludf.DUMMYFUNCTION("""COMPUTED_VALUE""")," ")</f>
        <v> </v>
      </c>
      <c r="M585" s="65"/>
      <c r="N585" s="65" t="str">
        <f>IFERROR(__xludf.DUMMYFUNCTION("""COMPUTED_VALUE""")," ")</f>
        <v> </v>
      </c>
    </row>
    <row r="586">
      <c r="A586" s="99" t="str">
        <f>IFERROR(__xludf.DUMMYFUNCTION("""COMPUTED_VALUE"""),"https://utrucking.com/admin/orders/6434697838780")</f>
        <v>https://utrucking.com/admin/orders/6434697838780</v>
      </c>
      <c r="B586" s="61" t="str">
        <f>IFERROR(__xludf.DUMMYFUNCTION("""COMPUTED_VALUE"""),"#17712")</f>
        <v>#17712</v>
      </c>
      <c r="C586" s="61" t="str">
        <f>IFERROR(__xludf.DUMMYFUNCTION("""COMPUTED_VALUE"""),"katecat13707@gmail.com")</f>
        <v>katecat13707@gmail.com</v>
      </c>
      <c r="D586" s="61">
        <f>IFERROR(__xludf.DUMMYFUNCTION("""COMPUTED_VALUE"""),2.677888031E9)</f>
        <v>2677888031</v>
      </c>
      <c r="E586" s="61" t="str">
        <f>IFERROR(__xludf.DUMMYFUNCTION("""COMPUTED_VALUE"""),"Kate Hussa")</f>
        <v>Kate Hussa</v>
      </c>
      <c r="F586" s="61" t="str">
        <f>IFERROR(__xludf.DUMMYFUNCTION("""COMPUTED_VALUE"""),"Kate Hussa")</f>
        <v>Kate Hussa</v>
      </c>
      <c r="G586" s="61" t="str">
        <f>IFERROR(__xludf.DUMMYFUNCTION("""COMPUTED_VALUE""")," 1 [Included with Registration] / Included Insurance   - ")</f>
        <v> 1 [Included with Registration] / Included Insurance   - </v>
      </c>
      <c r="H586" s="61" t="str">
        <f>IFERROR(__xludf.DUMMYFUNCTION("""COMPUTED_VALUE"""),"Lien  ")</f>
        <v>Lien  </v>
      </c>
      <c r="I586" s="61" t="str">
        <f>IFERROR(__xludf.DUMMYFUNCTION("""COMPUTED_VALUE"""),"3323")</f>
        <v>3323</v>
      </c>
      <c r="J586" s="107" t="str">
        <f>IFERROR(__xludf.DUMMYFUNCTION("""COMPUTED_VALUE"""),"10:00 AM to 12:00 PM  ")</f>
        <v>10:00 AM to 12:00 PM  </v>
      </c>
      <c r="K586" s="100">
        <f>IFERROR(__xludf.DUMMYFUNCTION("""COMPUTED_VALUE"""),46148.0)</f>
        <v>46148</v>
      </c>
      <c r="L586" s="61" t="str">
        <f>IFERROR(__xludf.DUMMYFUNCTION("""COMPUTED_VALUE""")," ")</f>
        <v> </v>
      </c>
      <c r="M586" s="61"/>
      <c r="N586" s="61" t="str">
        <f>IFERROR(__xludf.DUMMYFUNCTION("""COMPUTED_VALUE""")," ")</f>
        <v> </v>
      </c>
    </row>
    <row r="587">
      <c r="A587" s="102" t="str">
        <f>IFERROR(__xludf.DUMMYFUNCTION("""COMPUTED_VALUE"""),"https://utrucking.com/admin/orders/6434774253756")</f>
        <v>https://utrucking.com/admin/orders/6434774253756</v>
      </c>
      <c r="B587" s="65" t="str">
        <f>IFERROR(__xludf.DUMMYFUNCTION("""COMPUTED_VALUE"""),"#17713")</f>
        <v>#17713</v>
      </c>
      <c r="C587" s="65" t="str">
        <f>IFERROR(__xludf.DUMMYFUNCTION("""COMPUTED_VALUE"""),"i.komoroff@wustl.edu")</f>
        <v>i.komoroff@wustl.edu</v>
      </c>
      <c r="D587" s="65">
        <f>IFERROR(__xludf.DUMMYFUNCTION("""COMPUTED_VALUE"""),9.178628772E9)</f>
        <v>9178628772</v>
      </c>
      <c r="E587" s="65" t="str">
        <f>IFERROR(__xludf.DUMMYFUNCTION("""COMPUTED_VALUE"""),"Itai Komoroff")</f>
        <v>Itai Komoroff</v>
      </c>
      <c r="F587" s="65" t="str">
        <f>IFERROR(__xludf.DUMMYFUNCTION("""COMPUTED_VALUE"""),"Itai Komoroff")</f>
        <v>Itai Komoroff</v>
      </c>
      <c r="G587" s="65" t="str">
        <f>IFERROR(__xludf.DUMMYFUNCTION("""COMPUTED_VALUE""")," 1 [Included with Registration] / Included Insurance   - ")</f>
        <v> 1 [Included with Registration] / Included Insurance   - </v>
      </c>
      <c r="H587" s="65" t="str">
        <f>IFERROR(__xludf.DUMMYFUNCTION("""COMPUTED_VALUE"""),"House 21 (Alpha Epsilon Pi)  ")</f>
        <v>House 21 (Alpha Epsilon Pi)  </v>
      </c>
      <c r="I587" s="65" t="str">
        <f>IFERROR(__xludf.DUMMYFUNCTION("""COMPUTED_VALUE"""),"2071")</f>
        <v>2071</v>
      </c>
      <c r="J587" s="108" t="str">
        <f>IFERROR(__xludf.DUMMYFUNCTION("""COMPUTED_VALUE"""),"09:00 AM to 11:00 AM  ")</f>
        <v>09:00 AM to 11:00 AM  </v>
      </c>
      <c r="K587" s="103">
        <f>IFERROR(__xludf.DUMMYFUNCTION("""COMPUTED_VALUE"""),46144.0)</f>
        <v>46144</v>
      </c>
      <c r="L587" s="65" t="str">
        <f>IFERROR(__xludf.DUMMYFUNCTION("""COMPUTED_VALUE""")," ")</f>
        <v> </v>
      </c>
      <c r="M587" s="65"/>
      <c r="N587" s="65" t="str">
        <f>IFERROR(__xludf.DUMMYFUNCTION("""COMPUTED_VALUE""")," ")</f>
        <v> </v>
      </c>
    </row>
    <row r="588">
      <c r="A588" s="99" t="str">
        <f>IFERROR(__xludf.DUMMYFUNCTION("""COMPUTED_VALUE"""),"https://utrucking.com/admin/orders/6434839691452")</f>
        <v>https://utrucking.com/admin/orders/6434839691452</v>
      </c>
      <c r="B588" s="61" t="str">
        <f>IFERROR(__xludf.DUMMYFUNCTION("""COMPUTED_VALUE"""),"#17714")</f>
        <v>#17714</v>
      </c>
      <c r="C588" s="61" t="str">
        <f>IFERROR(__xludf.DUMMYFUNCTION("""COMPUTED_VALUE"""),"effrohsin@gmail.com")</f>
        <v>effrohsin@gmail.com</v>
      </c>
      <c r="D588" s="61">
        <f>IFERROR(__xludf.DUMMYFUNCTION("""COMPUTED_VALUE"""),2.058954063E9)</f>
        <v>2058954063</v>
      </c>
      <c r="E588" s="61" t="str">
        <f>IFERROR(__xludf.DUMMYFUNCTION("""COMPUTED_VALUE"""),"Elise Frohsin")</f>
        <v>Elise Frohsin</v>
      </c>
      <c r="F588" s="61" t="str">
        <f>IFERROR(__xludf.DUMMYFUNCTION("""COMPUTED_VALUE"""),"Evie Frohsin")</f>
        <v>Evie Frohsin</v>
      </c>
      <c r="G588" s="61" t="str">
        <f>IFERROR(__xludf.DUMMYFUNCTION("""COMPUTED_VALUE""")," 1 [Included with Registration] / Included Insurance   - ")</f>
        <v> 1 [Included with Registration] / Included Insurance   - </v>
      </c>
      <c r="H588" s="61" t="str">
        <f>IFERROR(__xludf.DUMMYFUNCTION("""COMPUTED_VALUE"""),"Dardick  ")</f>
        <v>Dardick  </v>
      </c>
      <c r="I588" s="61" t="str">
        <f>IFERROR(__xludf.DUMMYFUNCTION("""COMPUTED_VALUE"""),"4420")</f>
        <v>4420</v>
      </c>
      <c r="J588" s="107" t="str">
        <f>IFERROR(__xludf.DUMMYFUNCTION("""COMPUTED_VALUE"""),"12:00 PM to 02:00 PM  ")</f>
        <v>12:00 PM to 02:00 PM  </v>
      </c>
      <c r="K588" s="100">
        <f>IFERROR(__xludf.DUMMYFUNCTION("""COMPUTED_VALUE"""),46147.0)</f>
        <v>46147</v>
      </c>
      <c r="L588" s="61" t="str">
        <f>IFERROR(__xludf.DUMMYFUNCTION("""COMPUTED_VALUE""")," ")</f>
        <v> </v>
      </c>
      <c r="M588" s="61"/>
      <c r="N588" s="61" t="str">
        <f>IFERROR(__xludf.DUMMYFUNCTION("""COMPUTED_VALUE""")," ")</f>
        <v> </v>
      </c>
    </row>
    <row r="589">
      <c r="A589" s="102" t="str">
        <f>IFERROR(__xludf.DUMMYFUNCTION("""COMPUTED_VALUE"""),"https://utrucking.com/admin/orders/6434943860924")</f>
        <v>https://utrucking.com/admin/orders/6434943860924</v>
      </c>
      <c r="B589" s="65" t="str">
        <f>IFERROR(__xludf.DUMMYFUNCTION("""COMPUTED_VALUE"""),"#17715")</f>
        <v>#17715</v>
      </c>
      <c r="C589" s="65" t="str">
        <f>IFERROR(__xludf.DUMMYFUNCTION("""COMPUTED_VALUE"""),"jayden.c@wustl.edu")</f>
        <v>jayden.c@wustl.edu</v>
      </c>
      <c r="D589" s="65">
        <f>IFERROR(__xludf.DUMMYFUNCTION("""COMPUTED_VALUE"""),7.867170437E9)</f>
        <v>7867170437</v>
      </c>
      <c r="E589" s="65" t="str">
        <f>IFERROR(__xludf.DUMMYFUNCTION("""COMPUTED_VALUE"""),"Jayden Campbell")</f>
        <v>Jayden Campbell</v>
      </c>
      <c r="F589" s="65" t="str">
        <f>IFERROR(__xludf.DUMMYFUNCTION("""COMPUTED_VALUE"""),"Jayden Campbell")</f>
        <v>Jayden Campbell</v>
      </c>
      <c r="G589" s="65" t="str">
        <f>IFERROR(__xludf.DUMMYFUNCTION("""COMPUTED_VALUE""")," 1 [Included with Registration] / Included Insurance   - ")</f>
        <v> 1 [Included with Registration] / Included Insurance   - </v>
      </c>
      <c r="H589" s="65" t="str">
        <f>IFERROR(__xludf.DUMMYFUNCTION("""COMPUTED_VALUE"""),"Koenig  ")</f>
        <v>Koenig  </v>
      </c>
      <c r="I589" s="65" t="str">
        <f>IFERROR(__xludf.DUMMYFUNCTION("""COMPUTED_VALUE"""),"2222")</f>
        <v>2222</v>
      </c>
      <c r="J589" s="108" t="str">
        <f>IFERROR(__xludf.DUMMYFUNCTION("""COMPUTED_VALUE"""),"11:00 AM to 01:00 PM  ")</f>
        <v>11:00 AM to 01:00 PM  </v>
      </c>
      <c r="K589" s="103">
        <f>IFERROR(__xludf.DUMMYFUNCTION("""COMPUTED_VALUE"""),46148.0)</f>
        <v>46148</v>
      </c>
      <c r="L589" s="65" t="str">
        <f>IFERROR(__xludf.DUMMYFUNCTION("""COMPUTED_VALUE""")," ")</f>
        <v> </v>
      </c>
      <c r="M589" s="65"/>
      <c r="N589" s="65" t="str">
        <f>IFERROR(__xludf.DUMMYFUNCTION("""COMPUTED_VALUE""")," ")</f>
        <v> </v>
      </c>
    </row>
    <row r="590">
      <c r="A590" s="99" t="str">
        <f>IFERROR(__xludf.DUMMYFUNCTION("""COMPUTED_VALUE"""),"https://utrucking.com/admin/orders/6434974957756")</f>
        <v>https://utrucking.com/admin/orders/6434974957756</v>
      </c>
      <c r="B590" s="61" t="str">
        <f>IFERROR(__xludf.DUMMYFUNCTION("""COMPUTED_VALUE"""),"#17716")</f>
        <v>#17716</v>
      </c>
      <c r="C590" s="61" t="str">
        <f>IFERROR(__xludf.DUMMYFUNCTION("""COMPUTED_VALUE"""),"jordanalikhan78@gmail.com")</f>
        <v>jordanalikhan78@gmail.com</v>
      </c>
      <c r="D590" s="61">
        <f>IFERROR(__xludf.DUMMYFUNCTION("""COMPUTED_VALUE"""),4.165709784E9)</f>
        <v>4165709784</v>
      </c>
      <c r="E590" s="61" t="str">
        <f>IFERROR(__xludf.DUMMYFUNCTION("""COMPUTED_VALUE"""),"Zahra Nurmohamed")</f>
        <v>Zahra Nurmohamed</v>
      </c>
      <c r="F590" s="61" t="str">
        <f>IFERROR(__xludf.DUMMYFUNCTION("""COMPUTED_VALUE"""),"Jordan Ali Khan")</f>
        <v>Jordan Ali Khan</v>
      </c>
      <c r="G590" s="61" t="str">
        <f>IFERROR(__xludf.DUMMYFUNCTION("""COMPUTED_VALUE""")," 1 [Included with Registration] / Included Insurance   - ")</f>
        <v> 1 [Included with Registration] / Included Insurance   - </v>
      </c>
      <c r="H590" s="61" t="str">
        <f>IFERROR(__xludf.DUMMYFUNCTION("""COMPUTED_VALUE"""),"House 21 (Alpha Epsilon Pi)  ")</f>
        <v>House 21 (Alpha Epsilon Pi)  </v>
      </c>
      <c r="I590" s="61" t="str">
        <f>IFERROR(__xludf.DUMMYFUNCTION("""COMPUTED_VALUE"""),"X")</f>
        <v>X</v>
      </c>
      <c r="J590" s="107" t="str">
        <f>IFERROR(__xludf.DUMMYFUNCTION("""COMPUTED_VALUE"""),"10:00 AM to 12:00 PM  ")</f>
        <v>10:00 AM to 12:00 PM  </v>
      </c>
      <c r="K590" s="100">
        <f>IFERROR(__xludf.DUMMYFUNCTION("""COMPUTED_VALUE"""),46143.0)</f>
        <v>46143</v>
      </c>
      <c r="L590" s="61" t="str">
        <f>IFERROR(__xludf.DUMMYFUNCTION("""COMPUTED_VALUE""")," ")</f>
        <v> </v>
      </c>
      <c r="M590" s="61"/>
      <c r="N590" s="61" t="str">
        <f>IFERROR(__xludf.DUMMYFUNCTION("""COMPUTED_VALUE""")," ")</f>
        <v> </v>
      </c>
    </row>
    <row r="591">
      <c r="A591" s="102" t="str">
        <f>IFERROR(__xludf.DUMMYFUNCTION("""COMPUTED_VALUE"""),"https://utrucking.com/admin/orders/6435152462012")</f>
        <v>https://utrucking.com/admin/orders/6435152462012</v>
      </c>
      <c r="B591" s="65" t="str">
        <f>IFERROR(__xludf.DUMMYFUNCTION("""COMPUTED_VALUE"""),"#17719")</f>
        <v>#17719</v>
      </c>
      <c r="C591" s="65" t="str">
        <f>IFERROR(__xludf.DUMMYFUNCTION("""COMPUTED_VALUE"""),"sonireneis@gmail.com")</f>
        <v>sonireneis@gmail.com</v>
      </c>
      <c r="D591" s="65">
        <f>IFERROR(__xludf.DUMMYFUNCTION("""COMPUTED_VALUE"""),9.499109206E9)</f>
        <v>9499109206</v>
      </c>
      <c r="E591" s="65" t="str">
        <f>IFERROR(__xludf.DUMMYFUNCTION("""COMPUTED_VALUE"""),"Irene Son")</f>
        <v>Irene Son</v>
      </c>
      <c r="F591" s="65" t="str">
        <f>IFERROR(__xludf.DUMMYFUNCTION("""COMPUTED_VALUE"""),"Irene Son")</f>
        <v>Irene Son</v>
      </c>
      <c r="G591" s="65" t="str">
        <f>IFERROR(__xludf.DUMMYFUNCTION("""COMPUTED_VALUE""")," 1 [Included with Registration] / Included Insurance   - ")</f>
        <v> 1 [Included with Registration] / Included Insurance   - </v>
      </c>
      <c r="H591" s="65" t="str">
        <f>IFERROR(__xludf.DUMMYFUNCTION("""COMPUTED_VALUE"""),"Hurd  ")</f>
        <v>Hurd  </v>
      </c>
      <c r="I591" s="65" t="str">
        <f>IFERROR(__xludf.DUMMYFUNCTION("""COMPUTED_VALUE"""),"142")</f>
        <v>142</v>
      </c>
      <c r="J591" s="108" t="str">
        <f>IFERROR(__xludf.DUMMYFUNCTION("""COMPUTED_VALUE"""),"03:00 PM to 05:00 PM")</f>
        <v>03:00 PM to 05:00 PM</v>
      </c>
      <c r="K591" s="103">
        <f>IFERROR(__xludf.DUMMYFUNCTION("""COMPUTED_VALUE"""),46148.0)</f>
        <v>46148</v>
      </c>
      <c r="L591" s="65" t="str">
        <f>IFERROR(__xludf.DUMMYFUNCTION("""COMPUTED_VALUE""")," ")</f>
        <v> </v>
      </c>
      <c r="M591" s="65"/>
      <c r="N591" s="65" t="str">
        <f>IFERROR(__xludf.DUMMYFUNCTION("""COMPUTED_VALUE""")," ")</f>
        <v> </v>
      </c>
    </row>
    <row r="592">
      <c r="A592" s="99" t="str">
        <f>IFERROR(__xludf.DUMMYFUNCTION("""COMPUTED_VALUE"""),"https://utrucking.com/admin/orders/6435179724988")</f>
        <v>https://utrucking.com/admin/orders/6435179724988</v>
      </c>
      <c r="B592" s="61" t="str">
        <f>IFERROR(__xludf.DUMMYFUNCTION("""COMPUTED_VALUE"""),"#17720")</f>
        <v>#17720</v>
      </c>
      <c r="C592" s="61" t="str">
        <f>IFERROR(__xludf.DUMMYFUNCTION("""COMPUTED_VALUE"""),"kofiayartel@gmail.com")</f>
        <v>kofiayartel@gmail.com</v>
      </c>
      <c r="D592" s="61">
        <f>IFERROR(__xludf.DUMMYFUNCTION("""COMPUTED_VALUE"""),4.049520464E9)</f>
        <v>4049520464</v>
      </c>
      <c r="E592" s="61" t="str">
        <f>IFERROR(__xludf.DUMMYFUNCTION("""COMPUTED_VALUE"""),"Abako Yartel")</f>
        <v>Abako Yartel</v>
      </c>
      <c r="F592" s="61" t="str">
        <f>IFERROR(__xludf.DUMMYFUNCTION("""COMPUTED_VALUE"""),"Abako Yartel")</f>
        <v>Abako Yartel</v>
      </c>
      <c r="G592" s="61" t="str">
        <f>IFERROR(__xludf.DUMMYFUNCTION("""COMPUTED_VALUE""")," 1 [Included with Registration] / Included Insurance   - ")</f>
        <v> 1 [Included with Registration] / Included Insurance   - </v>
      </c>
      <c r="H592" s="61" t="str">
        <f>IFERROR(__xludf.DUMMYFUNCTION("""COMPUTED_VALUE"""),"Dardick  ")</f>
        <v>Dardick  </v>
      </c>
      <c r="I592" s="61" t="str">
        <f>IFERROR(__xludf.DUMMYFUNCTION("""COMPUTED_VALUE"""),"4418")</f>
        <v>4418</v>
      </c>
      <c r="J592" s="107" t="str">
        <f>IFERROR(__xludf.DUMMYFUNCTION("""COMPUTED_VALUE"""),"03:00 PM to 05:00 PM")</f>
        <v>03:00 PM to 05:00 PM</v>
      </c>
      <c r="K592" s="100">
        <f>IFERROR(__xludf.DUMMYFUNCTION("""COMPUTED_VALUE"""),46144.0)</f>
        <v>46144</v>
      </c>
      <c r="L592" s="61" t="str">
        <f>IFERROR(__xludf.DUMMYFUNCTION("""COMPUTED_VALUE""")," ")</f>
        <v> </v>
      </c>
      <c r="M592" s="61"/>
      <c r="N592" s="61" t="str">
        <f>IFERROR(__xludf.DUMMYFUNCTION("""COMPUTED_VALUE""")," ")</f>
        <v> </v>
      </c>
    </row>
    <row r="593">
      <c r="A593" s="102" t="str">
        <f>IFERROR(__xludf.DUMMYFUNCTION("""COMPUTED_VALUE"""),"https://utrucking.com/admin/orders/6435194503356")</f>
        <v>https://utrucking.com/admin/orders/6435194503356</v>
      </c>
      <c r="B593" s="65" t="str">
        <f>IFERROR(__xludf.DUMMYFUNCTION("""COMPUTED_VALUE"""),"#17721")</f>
        <v>#17721</v>
      </c>
      <c r="C593" s="65" t="str">
        <f>IFERROR(__xludf.DUMMYFUNCTION("""COMPUTED_VALUE"""),"cdaniela@wustl.edu")</f>
        <v>cdaniela@wustl.edu</v>
      </c>
      <c r="D593" s="65">
        <f>IFERROR(__xludf.DUMMYFUNCTION("""COMPUTED_VALUE"""),3.018280427E9)</f>
        <v>3018280427</v>
      </c>
      <c r="E593" s="65" t="str">
        <f>IFERROR(__xludf.DUMMYFUNCTION("""COMPUTED_VALUE"""),"Daniela Corona Shturman")</f>
        <v>Daniela Corona Shturman</v>
      </c>
      <c r="F593" s="65" t="str">
        <f>IFERROR(__xludf.DUMMYFUNCTION("""COMPUTED_VALUE"""),"Daniela  Corona Shturman ")</f>
        <v>Daniela  Corona Shturman </v>
      </c>
      <c r="G593" s="65" t="str">
        <f>IFERROR(__xludf.DUMMYFUNCTION("""COMPUTED_VALUE""")," 1 [Included with Registration] / Included Insurance   - ")</f>
        <v> 1 [Included with Registration] / Included Insurance   - </v>
      </c>
      <c r="H593" s="65" t="str">
        <f>IFERROR(__xludf.DUMMYFUNCTION("""COMPUTED_VALUE"""),"Park  ")</f>
        <v>Park  </v>
      </c>
      <c r="I593" s="65" t="str">
        <f>IFERROR(__xludf.DUMMYFUNCTION("""COMPUTED_VALUE"""),"492")</f>
        <v>492</v>
      </c>
      <c r="J593" s="108" t="str">
        <f>IFERROR(__xludf.DUMMYFUNCTION("""COMPUTED_VALUE"""),"09:00 AM to 11:00 AM  ")</f>
        <v>09:00 AM to 11:00 AM  </v>
      </c>
      <c r="K593" s="103">
        <f>IFERROR(__xludf.DUMMYFUNCTION("""COMPUTED_VALUE"""),46148.0)</f>
        <v>46148</v>
      </c>
      <c r="L593" s="65" t="str">
        <f>IFERROR(__xludf.DUMMYFUNCTION("""COMPUTED_VALUE""")," ")</f>
        <v> </v>
      </c>
      <c r="M593" s="65"/>
      <c r="N593" s="65" t="str">
        <f>IFERROR(__xludf.DUMMYFUNCTION("""COMPUTED_VALUE""")," ")</f>
        <v> </v>
      </c>
    </row>
    <row r="594">
      <c r="A594" s="99" t="str">
        <f>IFERROR(__xludf.DUMMYFUNCTION("""COMPUTED_VALUE"""),"https://utrucking.com/admin/orders/6435216588988")</f>
        <v>https://utrucking.com/admin/orders/6435216588988</v>
      </c>
      <c r="B594" s="61" t="str">
        <f>IFERROR(__xludf.DUMMYFUNCTION("""COMPUTED_VALUE"""),"#17722")</f>
        <v>#17722</v>
      </c>
      <c r="C594" s="61" t="str">
        <f>IFERROR(__xludf.DUMMYFUNCTION("""COMPUTED_VALUE"""),"d.r.wendler@wustl.edu")</f>
        <v>d.r.wendler@wustl.edu</v>
      </c>
      <c r="D594" s="61">
        <f>IFERROR(__xludf.DUMMYFUNCTION("""COMPUTED_VALUE"""),8.327211089E9)</f>
        <v>8327211089</v>
      </c>
      <c r="E594" s="61" t="str">
        <f>IFERROR(__xludf.DUMMYFUNCTION("""COMPUTED_VALUE"""),"Angela Wendler")</f>
        <v>Angela Wendler</v>
      </c>
      <c r="F594" s="61" t="str">
        <f>IFERROR(__xludf.DUMMYFUNCTION("""COMPUTED_VALUE"""),"Drew wendler")</f>
        <v>Drew wendler</v>
      </c>
      <c r="G594" s="61" t="str">
        <f>IFERROR(__xludf.DUMMYFUNCTION("""COMPUTED_VALUE""")," 3 / Included Insurance   - ")</f>
        <v> 3 / Included Insurance   - </v>
      </c>
      <c r="H594" s="61" t="str">
        <f>IFERROR(__xludf.DUMMYFUNCTION("""COMPUTED_VALUE"""),"House 4 (Theta Xi)  ")</f>
        <v>House 4 (Theta Xi)  </v>
      </c>
      <c r="I594" s="61" t="str">
        <f>IFERROR(__xludf.DUMMYFUNCTION("""COMPUTED_VALUE"""),"206")</f>
        <v>206</v>
      </c>
      <c r="J594" s="107" t="str">
        <f>IFERROR(__xludf.DUMMYFUNCTION("""COMPUTED_VALUE"""),"09:00 AM to 11:00 AM  ")</f>
        <v>09:00 AM to 11:00 AM  </v>
      </c>
      <c r="K594" s="100">
        <f>IFERROR(__xludf.DUMMYFUNCTION("""COMPUTED_VALUE"""),46151.0)</f>
        <v>46151</v>
      </c>
      <c r="L594" s="61" t="str">
        <f>IFERROR(__xludf.DUMMYFUNCTION("""COMPUTED_VALUE""")," ")</f>
        <v> </v>
      </c>
      <c r="M594" s="61"/>
      <c r="N594" s="61" t="str">
        <f>IFERROR(__xludf.DUMMYFUNCTION("""COMPUTED_VALUE""")," You are also picking up his fridge from this semester")</f>
        <v> You are also picking up his fridge from this semester</v>
      </c>
    </row>
    <row r="595">
      <c r="A595" s="102" t="str">
        <f>IFERROR(__xludf.DUMMYFUNCTION("""COMPUTED_VALUE"""),"https://utrucking.com/admin/orders/6435278454972")</f>
        <v>https://utrucking.com/admin/orders/6435278454972</v>
      </c>
      <c r="B595" s="65" t="str">
        <f>IFERROR(__xludf.DUMMYFUNCTION("""COMPUTED_VALUE"""),"#17723")</f>
        <v>#17723</v>
      </c>
      <c r="C595" s="65" t="str">
        <f>IFERROR(__xludf.DUMMYFUNCTION("""COMPUTED_VALUE"""),"kimtaehoon291@gmail.com")</f>
        <v>kimtaehoon291@gmail.com</v>
      </c>
      <c r="D595" s="65">
        <f>IFERROR(__xludf.DUMMYFUNCTION("""COMPUTED_VALUE"""),3.142248424E9)</f>
        <v>3142248424</v>
      </c>
      <c r="E595" s="65" t="str">
        <f>IFERROR(__xludf.DUMMYFUNCTION("""COMPUTED_VALUE"""),"Taehoon Kim")</f>
        <v>Taehoon Kim</v>
      </c>
      <c r="F595" s="65" t="str">
        <f>IFERROR(__xludf.DUMMYFUNCTION("""COMPUTED_VALUE"""),"Terry Kim")</f>
        <v>Terry Kim</v>
      </c>
      <c r="G595" s="65" t="str">
        <f>IFERROR(__xludf.DUMMYFUNCTION("""COMPUTED_VALUE""")," 1 [Included with Registration] / Included Insurance   - ")</f>
        <v> 1 [Included with Registration] / Included Insurance   - </v>
      </c>
      <c r="H595" s="65" t="str">
        <f>IFERROR(__xludf.DUMMYFUNCTION("""COMPUTED_VALUE"""),"Hurd  ")</f>
        <v>Hurd  </v>
      </c>
      <c r="I595" s="65" t="str">
        <f>IFERROR(__xludf.DUMMYFUNCTION("""COMPUTED_VALUE"""),"242")</f>
        <v>242</v>
      </c>
      <c r="J595" s="108" t="str">
        <f>IFERROR(__xludf.DUMMYFUNCTION("""COMPUTED_VALUE"""),"03:00 PM to 05:00 PM")</f>
        <v>03:00 PM to 05:00 PM</v>
      </c>
      <c r="K595" s="103">
        <f>IFERROR(__xludf.DUMMYFUNCTION("""COMPUTED_VALUE"""),46148.0)</f>
        <v>46148</v>
      </c>
      <c r="L595" s="65" t="str">
        <f>IFERROR(__xludf.DUMMYFUNCTION("""COMPUTED_VALUE""")," ")</f>
        <v> </v>
      </c>
      <c r="M595" s="65"/>
      <c r="N595" s="65" t="str">
        <f>IFERROR(__xludf.DUMMYFUNCTION("""COMPUTED_VALUE""")," ")</f>
        <v> </v>
      </c>
    </row>
    <row r="596">
      <c r="A596" s="99" t="str">
        <f>IFERROR(__xludf.DUMMYFUNCTION("""COMPUTED_VALUE"""),"https://utrucking.com/admin/orders/6435301458108")</f>
        <v>https://utrucking.com/admin/orders/6435301458108</v>
      </c>
      <c r="B596" s="61" t="str">
        <f>IFERROR(__xludf.DUMMYFUNCTION("""COMPUTED_VALUE"""),"#17724")</f>
        <v>#17724</v>
      </c>
      <c r="C596" s="61" t="str">
        <f>IFERROR(__xludf.DUMMYFUNCTION("""COMPUTED_VALUE"""),"a.i.pineda@wustl.edu")</f>
        <v>a.i.pineda@wustl.edu</v>
      </c>
      <c r="D596" s="61">
        <f>IFERROR(__xludf.DUMMYFUNCTION("""COMPUTED_VALUE"""),9.175021828E9)</f>
        <v>9175021828</v>
      </c>
      <c r="E596" s="61" t="str">
        <f>IFERROR(__xludf.DUMMYFUNCTION("""COMPUTED_VALUE"""),"Mayalen Uribe Zubiaga")</f>
        <v>Mayalen Uribe Zubiaga</v>
      </c>
      <c r="F596" s="61" t="str">
        <f>IFERROR(__xludf.DUMMYFUNCTION("""COMPUTED_VALUE"""),"Ander Pineda")</f>
        <v>Ander Pineda</v>
      </c>
      <c r="G596" s="61" t="str">
        <f>IFERROR(__xludf.DUMMYFUNCTION("""COMPUTED_VALUE""")," 1 [Included with Registration] / Included Insurance   - ")</f>
        <v> 1 [Included with Registration] / Included Insurance   - </v>
      </c>
      <c r="H596" s="61" t="str">
        <f>IFERROR(__xludf.DUMMYFUNCTION("""COMPUTED_VALUE"""),"House 21 (Alpha Epsilon Pi)  ")</f>
        <v>House 21 (Alpha Epsilon Pi)  </v>
      </c>
      <c r="I596" s="61" t="str">
        <f>IFERROR(__xludf.DUMMYFUNCTION("""COMPUTED_VALUE"""),"1040")</f>
        <v>1040</v>
      </c>
      <c r="J596" s="107" t="str">
        <f>IFERROR(__xludf.DUMMYFUNCTION("""COMPUTED_VALUE"""),"09:00 AM to 11:00 AM  ")</f>
        <v>09:00 AM to 11:00 AM  </v>
      </c>
      <c r="K596" s="100">
        <f>IFERROR(__xludf.DUMMYFUNCTION("""COMPUTED_VALUE"""),46146.0)</f>
        <v>46146</v>
      </c>
      <c r="L596" s="61" t="str">
        <f>IFERROR(__xludf.DUMMYFUNCTION("""COMPUTED_VALUE""")," ")</f>
        <v> </v>
      </c>
      <c r="M596" s="61"/>
      <c r="N596" s="61" t="str">
        <f>IFERROR(__xludf.DUMMYFUNCTION("""COMPUTED_VALUE""")," suite 1040")</f>
        <v> suite 1040</v>
      </c>
    </row>
    <row r="597">
      <c r="A597" s="102" t="str">
        <f>IFERROR(__xludf.DUMMYFUNCTION("""COMPUTED_VALUE"""),"https://utrucking.com/admin/orders/6435331244220")</f>
        <v>https://utrucking.com/admin/orders/6435331244220</v>
      </c>
      <c r="B597" s="65" t="str">
        <f>IFERROR(__xludf.DUMMYFUNCTION("""COMPUTED_VALUE"""),"#17725")</f>
        <v>#17725</v>
      </c>
      <c r="C597" s="65" t="str">
        <f>IFERROR(__xludf.DUMMYFUNCTION("""COMPUTED_VALUE"""),"petereiswert@gmail.com")</f>
        <v>petereiswert@gmail.com</v>
      </c>
      <c r="D597" s="65">
        <f>IFERROR(__xludf.DUMMYFUNCTION("""COMPUTED_VALUE"""),4.433813194E9)</f>
        <v>4433813194</v>
      </c>
      <c r="E597" s="65" t="str">
        <f>IFERROR(__xludf.DUMMYFUNCTION("""COMPUTED_VALUE"""),"Peter Eiswert")</f>
        <v>Peter Eiswert</v>
      </c>
      <c r="F597" s="65" t="str">
        <f>IFERROR(__xludf.DUMMYFUNCTION("""COMPUTED_VALUE"""),"Peter Eiswert")</f>
        <v>Peter Eiswert</v>
      </c>
      <c r="G597" s="65" t="str">
        <f>IFERROR(__xludf.DUMMYFUNCTION("""COMPUTED_VALUE""")," 1 [Included with Registration] / Included Insurance   - ")</f>
        <v> 1 [Included with Registration] / Included Insurance   - </v>
      </c>
      <c r="H597" s="65" t="str">
        <f>IFERROR(__xludf.DUMMYFUNCTION("""COMPUTED_VALUE"""),"Eliot A (Thomas Eliot)")</f>
        <v>Eliot A (Thomas Eliot)</v>
      </c>
      <c r="I597" s="65" t="str">
        <f>IFERROR(__xludf.DUMMYFUNCTION("""COMPUTED_VALUE"""),"3100")</f>
        <v>3100</v>
      </c>
      <c r="J597" s="108" t="str">
        <f>IFERROR(__xludf.DUMMYFUNCTION("""COMPUTED_VALUE"""),"09:00 AM to 11:00 AM  ")</f>
        <v>09:00 AM to 11:00 AM  </v>
      </c>
      <c r="K597" s="103">
        <f>IFERROR(__xludf.DUMMYFUNCTION("""COMPUTED_VALUE"""),46149.0)</f>
        <v>46149</v>
      </c>
      <c r="L597" s="65" t="str">
        <f>IFERROR(__xludf.DUMMYFUNCTION("""COMPUTED_VALUE""")," ")</f>
        <v> </v>
      </c>
      <c r="M597" s="65"/>
      <c r="N597" s="65" t="str">
        <f>IFERROR(__xludf.DUMMYFUNCTION("""COMPUTED_VALUE""")," ")</f>
        <v> </v>
      </c>
    </row>
    <row r="598">
      <c r="A598" s="99" t="str">
        <f>IFERROR(__xludf.DUMMYFUNCTION("""COMPUTED_VALUE"""),"https://utrucking.com/admin/orders/6435351756988")</f>
        <v>https://utrucking.com/admin/orders/6435351756988</v>
      </c>
      <c r="B598" s="61" t="str">
        <f>IFERROR(__xludf.DUMMYFUNCTION("""COMPUTED_VALUE"""),"#17726")</f>
        <v>#17726</v>
      </c>
      <c r="C598" s="61" t="str">
        <f>IFERROR(__xludf.DUMMYFUNCTION("""COMPUTED_VALUE"""),"wallacede24@gmail.com")</f>
        <v>wallacede24@gmail.com</v>
      </c>
      <c r="D598" s="61">
        <f>IFERROR(__xludf.DUMMYFUNCTION("""COMPUTED_VALUE"""),3.025216652E9)</f>
        <v>3025216652</v>
      </c>
      <c r="E598" s="61" t="str">
        <f>IFERROR(__xludf.DUMMYFUNCTION("""COMPUTED_VALUE"""),"Devin Wallace")</f>
        <v>Devin Wallace</v>
      </c>
      <c r="F598" s="61" t="str">
        <f>IFERROR(__xludf.DUMMYFUNCTION("""COMPUTED_VALUE"""),"Devin Wallace")</f>
        <v>Devin Wallace</v>
      </c>
      <c r="G598" s="61" t="str">
        <f>IFERROR(__xludf.DUMMYFUNCTION("""COMPUTED_VALUE""")," 2 / Included Insurance   - ")</f>
        <v> 2 / Included Insurance   - </v>
      </c>
      <c r="H598" s="61" t="str">
        <f>IFERROR(__xludf.DUMMYFUNCTION("""COMPUTED_VALUE"""),"Eliot B (Sophomore Dorm)")</f>
        <v>Eliot B (Sophomore Dorm)</v>
      </c>
      <c r="I598" s="61" t="str">
        <f>IFERROR(__xludf.DUMMYFUNCTION("""COMPUTED_VALUE"""),"4020")</f>
        <v>4020</v>
      </c>
      <c r="J598" s="107" t="str">
        <f>IFERROR(__xludf.DUMMYFUNCTION("""COMPUTED_VALUE"""),"10:00 AM to 12:00 PM  ")</f>
        <v>10:00 AM to 12:00 PM  </v>
      </c>
      <c r="K598" s="100">
        <f>IFERROR(__xludf.DUMMYFUNCTION("""COMPUTED_VALUE"""),46150.0)</f>
        <v>46150</v>
      </c>
      <c r="L598" s="61" t="str">
        <f>IFERROR(__xludf.DUMMYFUNCTION("""COMPUTED_VALUE""")," ")</f>
        <v> </v>
      </c>
      <c r="M598" s="61"/>
      <c r="N598" s="61" t="str">
        <f>IFERROR(__xludf.DUMMYFUNCTION("""COMPUTED_VALUE""")," ")</f>
        <v> </v>
      </c>
    </row>
    <row r="599">
      <c r="A599" s="102" t="str">
        <f>IFERROR(__xludf.DUMMYFUNCTION("""COMPUTED_VALUE"""),"https://utrucking.com/admin/orders/6435451044028")</f>
        <v>https://utrucking.com/admin/orders/6435451044028</v>
      </c>
      <c r="B599" s="65" t="str">
        <f>IFERROR(__xludf.DUMMYFUNCTION("""COMPUTED_VALUE"""),"#17727")</f>
        <v>#17727</v>
      </c>
      <c r="C599" s="65" t="str">
        <f>IFERROR(__xludf.DUMMYFUNCTION("""COMPUTED_VALUE"""),"v.f.walsh@wustl.edu")</f>
        <v>v.f.walsh@wustl.edu</v>
      </c>
      <c r="D599" s="65">
        <f>IFERROR(__xludf.DUMMYFUNCTION("""COMPUTED_VALUE"""),4.109255272E9)</f>
        <v>4109255272</v>
      </c>
      <c r="E599" s="65" t="str">
        <f>IFERROR(__xludf.DUMMYFUNCTION("""COMPUTED_VALUE"""),"Abbe Creaney")</f>
        <v>Abbe Creaney</v>
      </c>
      <c r="F599" s="65" t="str">
        <f>IFERROR(__xludf.DUMMYFUNCTION("""COMPUTED_VALUE"""),"Violet Walsh")</f>
        <v>Violet Walsh</v>
      </c>
      <c r="G599" s="65" t="str">
        <f>IFERROR(__xludf.DUMMYFUNCTION("""COMPUTED_VALUE""")," 1 [Included with Registration] / Included Insurance   - ")</f>
        <v> 1 [Included with Registration] / Included Insurance   - </v>
      </c>
      <c r="H599" s="65" t="str">
        <f>IFERROR(__xludf.DUMMYFUNCTION("""COMPUTED_VALUE"""),"Eliot A (Thomas Eliot)")</f>
        <v>Eliot A (Thomas Eliot)</v>
      </c>
      <c r="I599" s="65" t="str">
        <f>IFERROR(__xludf.DUMMYFUNCTION("""COMPUTED_VALUE"""),"2051")</f>
        <v>2051</v>
      </c>
      <c r="J599" s="108" t="str">
        <f>IFERROR(__xludf.DUMMYFUNCTION("""COMPUTED_VALUE"""),"02:00 PM to 04:00 PM")</f>
        <v>02:00 PM to 04:00 PM</v>
      </c>
      <c r="K599" s="103">
        <f>IFERROR(__xludf.DUMMYFUNCTION("""COMPUTED_VALUE"""),46147.0)</f>
        <v>46147</v>
      </c>
      <c r="L599" s="65" t="str">
        <f>IFERROR(__xludf.DUMMYFUNCTION("""COMPUTED_VALUE""")," ")</f>
        <v> </v>
      </c>
      <c r="M599" s="65"/>
      <c r="N599" s="65" t="str">
        <f>IFERROR(__xludf.DUMMYFUNCTION("""COMPUTED_VALUE""")," ")</f>
        <v> </v>
      </c>
    </row>
    <row r="600">
      <c r="A600" s="99" t="str">
        <f>IFERROR(__xludf.DUMMYFUNCTION("""COMPUTED_VALUE"""),"https://utrucking.com/admin/orders/6435467722940")</f>
        <v>https://utrucking.com/admin/orders/6435467722940</v>
      </c>
      <c r="B600" s="61" t="str">
        <f>IFERROR(__xludf.DUMMYFUNCTION("""COMPUTED_VALUE"""),"#17728")</f>
        <v>#17728</v>
      </c>
      <c r="C600" s="61" t="str">
        <f>IFERROR(__xludf.DUMMYFUNCTION("""COMPUTED_VALUE"""),"christabodin@yahoo.com")</f>
        <v>christabodin@yahoo.com</v>
      </c>
      <c r="D600" s="61">
        <f>IFERROR(__xludf.DUMMYFUNCTION("""COMPUTED_VALUE"""),9.179150686E9)</f>
        <v>9179150686</v>
      </c>
      <c r="E600" s="61" t="str">
        <f>IFERROR(__xludf.DUMMYFUNCTION("""COMPUTED_VALUE"""),"Christa Frey")</f>
        <v>Christa Frey</v>
      </c>
      <c r="F600" s="61" t="str">
        <f>IFERROR(__xludf.DUMMYFUNCTION("""COMPUTED_VALUE"""),"Tristan Frey")</f>
        <v>Tristan Frey</v>
      </c>
      <c r="G600" s="61" t="str">
        <f>IFERROR(__xludf.DUMMYFUNCTION("""COMPUTED_VALUE""")," 1 [Included with Registration] / Included Insurance   - ")</f>
        <v> 1 [Included with Registration] / Included Insurance   - </v>
      </c>
      <c r="H600" s="61" t="str">
        <f>IFERROR(__xludf.DUMMYFUNCTION("""COMPUTED_VALUE"""),"Koenig  ")</f>
        <v>Koenig  </v>
      </c>
      <c r="I600" s="61" t="str">
        <f>IFERROR(__xludf.DUMMYFUNCTION("""COMPUTED_VALUE"""),"1117")</f>
        <v>1117</v>
      </c>
      <c r="J600" s="107" t="str">
        <f>IFERROR(__xludf.DUMMYFUNCTION("""COMPUTED_VALUE"""),"09:00 AM to 11:00 AM  ")</f>
        <v>09:00 AM to 11:00 AM  </v>
      </c>
      <c r="K600" s="100">
        <f>IFERROR(__xludf.DUMMYFUNCTION("""COMPUTED_VALUE"""),46149.0)</f>
        <v>46149</v>
      </c>
      <c r="L600" s="61" t="str">
        <f>IFERROR(__xludf.DUMMYFUNCTION("""COMPUTED_VALUE""")," ")</f>
        <v> </v>
      </c>
      <c r="M600" s="61"/>
      <c r="N600" s="61" t="str">
        <f>IFERROR(__xludf.DUMMYFUNCTION("""COMPUTED_VALUE""")," Hello - For the summer storage order, can we store a small fridge and vacuum? They won't fit into the boxes. How do you handle these types of items? Thank you!")</f>
        <v> Hello - For the summer storage order, can we store a small fridge and vacuum? They won't fit into the boxes. How do you handle these types of items? Thank you!</v>
      </c>
    </row>
    <row r="601">
      <c r="A601" s="102" t="str">
        <f>IFERROR(__xludf.DUMMYFUNCTION("""COMPUTED_VALUE"""),"https://utrucking.com/admin/orders/6435617013948")</f>
        <v>https://utrucking.com/admin/orders/6435617013948</v>
      </c>
      <c r="B601" s="65" t="str">
        <f>IFERROR(__xludf.DUMMYFUNCTION("""COMPUTED_VALUE"""),"#17730")</f>
        <v>#17730</v>
      </c>
      <c r="C601" s="65" t="str">
        <f>IFERROR(__xludf.DUMMYFUNCTION("""COMPUTED_VALUE"""),"avielleshiller@gmail.com")</f>
        <v>avielleshiller@gmail.com</v>
      </c>
      <c r="D601" s="65">
        <f>IFERROR(__xludf.DUMMYFUNCTION("""COMPUTED_VALUE"""),9.144144368E9)</f>
        <v>9144144368</v>
      </c>
      <c r="E601" s="65" t="str">
        <f>IFERROR(__xludf.DUMMYFUNCTION("""COMPUTED_VALUE"""),"Avielle Shiller")</f>
        <v>Avielle Shiller</v>
      </c>
      <c r="F601" s="65" t="str">
        <f>IFERROR(__xludf.DUMMYFUNCTION("""COMPUTED_VALUE"""),"Avielle Shiller")</f>
        <v>Avielle Shiller</v>
      </c>
      <c r="G601" s="65" t="str">
        <f>IFERROR(__xludf.DUMMYFUNCTION("""COMPUTED_VALUE""")," 2 / Included Insurance   - ")</f>
        <v> 2 / Included Insurance   - </v>
      </c>
      <c r="H601" s="65" t="str">
        <f>IFERROR(__xludf.DUMMYFUNCTION("""COMPUTED_VALUE"""),"Park  ")</f>
        <v>Park  </v>
      </c>
      <c r="I601" s="65" t="str">
        <f>IFERROR(__xludf.DUMMYFUNCTION("""COMPUTED_VALUE"""),"460")</f>
        <v>460</v>
      </c>
      <c r="J601" s="108" t="str">
        <f>IFERROR(__xludf.DUMMYFUNCTION("""COMPUTED_VALUE"""),"03:00 PM to 05:00 PM")</f>
        <v>03:00 PM to 05:00 PM</v>
      </c>
      <c r="K601" s="103">
        <f>IFERROR(__xludf.DUMMYFUNCTION("""COMPUTED_VALUE"""),46149.0)</f>
        <v>46149</v>
      </c>
      <c r="L601" s="65" t="str">
        <f>IFERROR(__xludf.DUMMYFUNCTION("""COMPUTED_VALUE""")," ")</f>
        <v> </v>
      </c>
      <c r="M601" s="65"/>
      <c r="N601" s="65" t="str">
        <f>IFERROR(__xludf.DUMMYFUNCTION("""COMPUTED_VALUE""")," ")</f>
        <v> </v>
      </c>
    </row>
    <row r="602">
      <c r="A602" s="99" t="str">
        <f>IFERROR(__xludf.DUMMYFUNCTION("""COMPUTED_VALUE"""),"https://utrucking.com/admin/orders/6435670982844")</f>
        <v>https://utrucking.com/admin/orders/6435670982844</v>
      </c>
      <c r="B602" s="61" t="str">
        <f>IFERROR(__xludf.DUMMYFUNCTION("""COMPUTED_VALUE"""),"#17731")</f>
        <v>#17731</v>
      </c>
      <c r="C602" s="61" t="str">
        <f>IFERROR(__xludf.DUMMYFUNCTION("""COMPUTED_VALUE"""),"sagespark19@gmail.com")</f>
        <v>sagespark19@gmail.com</v>
      </c>
      <c r="D602" s="61">
        <f>IFERROR(__xludf.DUMMYFUNCTION("""COMPUTED_VALUE"""),6.692089376E9)</f>
        <v>6692089376</v>
      </c>
      <c r="E602" s="61" t="str">
        <f>IFERROR(__xludf.DUMMYFUNCTION("""COMPUTED_VALUE"""),"Sage Park")</f>
        <v>Sage Park</v>
      </c>
      <c r="F602" s="61" t="str">
        <f>IFERROR(__xludf.DUMMYFUNCTION("""COMPUTED_VALUE"""),"Sage Park")</f>
        <v>Sage Park</v>
      </c>
      <c r="G602" s="61" t="str">
        <f>IFERROR(__xludf.DUMMYFUNCTION("""COMPUTED_VALUE""")," 1 [Included with Registration] / Included Insurance   - ")</f>
        <v> 1 [Included with Registration] / Included Insurance   - </v>
      </c>
      <c r="H602" s="61" t="str">
        <f>IFERROR(__xludf.DUMMYFUNCTION("""COMPUTED_VALUE"""),"Koenig  ")</f>
        <v>Koenig  </v>
      </c>
      <c r="I602" s="61" t="str">
        <f>IFERROR(__xludf.DUMMYFUNCTION("""COMPUTED_VALUE"""),"2214")</f>
        <v>2214</v>
      </c>
      <c r="J602" s="107" t="str">
        <f>IFERROR(__xludf.DUMMYFUNCTION("""COMPUTED_VALUE"""),"09:00 AM to 11:00 AM  ")</f>
        <v>09:00 AM to 11:00 AM  </v>
      </c>
      <c r="K602" s="100">
        <f>IFERROR(__xludf.DUMMYFUNCTION("""COMPUTED_VALUE"""),46148.0)</f>
        <v>46148</v>
      </c>
      <c r="L602" s="61" t="str">
        <f>IFERROR(__xludf.DUMMYFUNCTION("""COMPUTED_VALUE""")," ")</f>
        <v> </v>
      </c>
      <c r="M602" s="61"/>
      <c r="N602" s="61" t="str">
        <f>IFERROR(__xludf.DUMMYFUNCTION("""COMPUTED_VALUE""")," ")</f>
        <v> </v>
      </c>
    </row>
    <row r="603">
      <c r="A603" s="102" t="str">
        <f>IFERROR(__xludf.DUMMYFUNCTION("""COMPUTED_VALUE"""),"https://utrucking.com/admin/orders/6436113350844")</f>
        <v>https://utrucking.com/admin/orders/6436113350844</v>
      </c>
      <c r="B603" s="65" t="str">
        <f>IFERROR(__xludf.DUMMYFUNCTION("""COMPUTED_VALUE"""),"#17732")</f>
        <v>#17732</v>
      </c>
      <c r="C603" s="65" t="str">
        <f>IFERROR(__xludf.DUMMYFUNCTION("""COMPUTED_VALUE"""),"ggenerett@gmail.com")</f>
        <v>ggenerett@gmail.com</v>
      </c>
      <c r="D603" s="65">
        <f>IFERROR(__xludf.DUMMYFUNCTION("""COMPUTED_VALUE"""),4.129135859E9)</f>
        <v>4129135859</v>
      </c>
      <c r="E603" s="65" t="str">
        <f>IFERROR(__xludf.DUMMYFUNCTION("""COMPUTED_VALUE"""),"Gretchen Generett")</f>
        <v>Gretchen Generett</v>
      </c>
      <c r="F603" s="65" t="str">
        <f>IFERROR(__xludf.DUMMYFUNCTION("""COMPUTED_VALUE"""),"Gabrielle Generett")</f>
        <v>Gabrielle Generett</v>
      </c>
      <c r="G603" s="65" t="str">
        <f>IFERROR(__xludf.DUMMYFUNCTION("""COMPUTED_VALUE""")," 1 [Included with Registration] / Included Insurance   - ")</f>
        <v> 1 [Included with Registration] / Included Insurance   - </v>
      </c>
      <c r="H603" s="65" t="str">
        <f>IFERROR(__xludf.DUMMYFUNCTION("""COMPUTED_VALUE"""),"Lien  ")</f>
        <v>Lien  </v>
      </c>
      <c r="I603" s="65" t="str">
        <f>IFERROR(__xludf.DUMMYFUNCTION("""COMPUTED_VALUE"""),"3303-A")</f>
        <v>3303-A</v>
      </c>
      <c r="J603" s="108" t="str">
        <f>IFERROR(__xludf.DUMMYFUNCTION("""COMPUTED_VALUE"""),"09:00 AM to 11:00 AM  ")</f>
        <v>09:00 AM to 11:00 AM  </v>
      </c>
      <c r="K603" s="103">
        <f>IFERROR(__xludf.DUMMYFUNCTION("""COMPUTED_VALUE"""),46148.0)</f>
        <v>46148</v>
      </c>
      <c r="L603" s="65" t="str">
        <f>IFERROR(__xludf.DUMMYFUNCTION("""COMPUTED_VALUE""")," ")</f>
        <v> </v>
      </c>
      <c r="M603" s="65"/>
      <c r="N603" s="65" t="str">
        <f>IFERROR(__xludf.DUMMYFUNCTION("""COMPUTED_VALUE""")," ")</f>
        <v> </v>
      </c>
    </row>
    <row r="604">
      <c r="A604" s="99" t="str">
        <f>IFERROR(__xludf.DUMMYFUNCTION("""COMPUTED_VALUE"""),"https://utrucking.com/admin/orders/6436190716092")</f>
        <v>https://utrucking.com/admin/orders/6436190716092</v>
      </c>
      <c r="B604" s="61" t="str">
        <f>IFERROR(__xludf.DUMMYFUNCTION("""COMPUTED_VALUE"""),"#17734")</f>
        <v>#17734</v>
      </c>
      <c r="C604" s="61" t="str">
        <f>IFERROR(__xludf.DUMMYFUNCTION("""COMPUTED_VALUE"""),"janine.p@wustl.edu")</f>
        <v>janine.p@wustl.edu</v>
      </c>
      <c r="D604" s="61">
        <f>IFERROR(__xludf.DUMMYFUNCTION("""COMPUTED_VALUE"""),2.538862379E9)</f>
        <v>2538862379</v>
      </c>
      <c r="E604" s="61" t="str">
        <f>IFERROR(__xludf.DUMMYFUNCTION("""COMPUTED_VALUE"""),"Janine Park")</f>
        <v>Janine Park</v>
      </c>
      <c r="F604" s="61" t="str">
        <f>IFERROR(__xludf.DUMMYFUNCTION("""COMPUTED_VALUE"""),"Janine Park")</f>
        <v>Janine Park</v>
      </c>
      <c r="G604" s="61" t="str">
        <f>IFERROR(__xludf.DUMMYFUNCTION("""COMPUTED_VALUE""")," 1 [Included with Registration] / Included Insurance   - ")</f>
        <v> 1 [Included with Registration] / Included Insurance   - </v>
      </c>
      <c r="H604" s="61" t="str">
        <f>IFERROR(__xludf.DUMMYFUNCTION("""COMPUTED_VALUE"""),"Loop Loft 6300  ")</f>
        <v>Loop Loft 6300  </v>
      </c>
      <c r="I604" s="61" t="str">
        <f>IFERROR(__xludf.DUMMYFUNCTION("""COMPUTED_VALUE"""),"320")</f>
        <v>320</v>
      </c>
      <c r="J604" s="107" t="str">
        <f>IFERROR(__xludf.DUMMYFUNCTION("""COMPUTED_VALUE"""),"09:00 AM to 11:00 AM  ")</f>
        <v>09:00 AM to 11:00 AM  </v>
      </c>
      <c r="K604" s="100">
        <f>IFERROR(__xludf.DUMMYFUNCTION("""COMPUTED_VALUE"""),46148.0)</f>
        <v>46148</v>
      </c>
      <c r="L604" s="61" t="str">
        <f>IFERROR(__xludf.DUMMYFUNCTION("""COMPUTED_VALUE""")," ")</f>
        <v> </v>
      </c>
      <c r="M604" s="61"/>
      <c r="N604" s="61" t="str">
        <f>IFERROR(__xludf.DUMMYFUNCTION("""COMPUTED_VALUE""")," ")</f>
        <v> </v>
      </c>
    </row>
    <row r="605">
      <c r="A605" s="102" t="str">
        <f>IFERROR(__xludf.DUMMYFUNCTION("""COMPUTED_VALUE"""),"https://utrucking.com/admin/orders/6436191568060")</f>
        <v>https://utrucking.com/admin/orders/6436191568060</v>
      </c>
      <c r="B605" s="65" t="str">
        <f>IFERROR(__xludf.DUMMYFUNCTION("""COMPUTED_VALUE"""),"#17735")</f>
        <v>#17735</v>
      </c>
      <c r="C605" s="65" t="str">
        <f>IFERROR(__xludf.DUMMYFUNCTION("""COMPUTED_VALUE"""),"cecijohnson4@gmail.com")</f>
        <v>cecijohnson4@gmail.com</v>
      </c>
      <c r="D605" s="65">
        <f>IFERROR(__xludf.DUMMYFUNCTION("""COMPUTED_VALUE"""),4.043745992E9)</f>
        <v>4043745992</v>
      </c>
      <c r="E605" s="65" t="str">
        <f>IFERROR(__xludf.DUMMYFUNCTION("""COMPUTED_VALUE"""),"Caroline Johnson")</f>
        <v>Caroline Johnson</v>
      </c>
      <c r="F605" s="65" t="str">
        <f>IFERROR(__xludf.DUMMYFUNCTION("""COMPUTED_VALUE"""),"Lucy Johnson")</f>
        <v>Lucy Johnson</v>
      </c>
      <c r="G605" s="65" t="str">
        <f>IFERROR(__xludf.DUMMYFUNCTION("""COMPUTED_VALUE""")," 1 [Included with Registration] / Included Insurance   - ")</f>
        <v> 1 [Included with Registration] / Included Insurance   - </v>
      </c>
      <c r="H605" s="65" t="str">
        <f>IFERROR(__xludf.DUMMYFUNCTION("""COMPUTED_VALUE"""),"Dauten  ")</f>
        <v>Dauten  </v>
      </c>
      <c r="I605" s="65" t="str">
        <f>IFERROR(__xludf.DUMMYFUNCTION("""COMPUTED_VALUE"""),"44")</f>
        <v>44</v>
      </c>
      <c r="J605" s="108" t="str">
        <f>IFERROR(__xludf.DUMMYFUNCTION("""COMPUTED_VALUE"""),"11:00 AM to 01:00 PM  ")</f>
        <v>11:00 AM to 01:00 PM  </v>
      </c>
      <c r="K605" s="103">
        <f>IFERROR(__xludf.DUMMYFUNCTION("""COMPUTED_VALUE"""),46146.0)</f>
        <v>46146</v>
      </c>
      <c r="L605" s="65" t="str">
        <f>IFERROR(__xludf.DUMMYFUNCTION("""COMPUTED_VALUE""")," ")</f>
        <v> </v>
      </c>
      <c r="M605" s="65"/>
      <c r="N605" s="65" t="str">
        <f>IFERROR(__xludf.DUMMYFUNCTION("""COMPUTED_VALUE""")," Lucy's last day on campus is Sunday, May 3rd.")</f>
        <v> Lucy's last day on campus is Sunday, May 3rd.</v>
      </c>
    </row>
    <row r="606">
      <c r="A606" s="99" t="str">
        <f>IFERROR(__xludf.DUMMYFUNCTION("""COMPUTED_VALUE"""),"https://utrucking.com/admin/orders/6436619354300")</f>
        <v>https://utrucking.com/admin/orders/6436619354300</v>
      </c>
      <c r="B606" s="61" t="str">
        <f>IFERROR(__xludf.DUMMYFUNCTION("""COMPUTED_VALUE"""),"#17736")</f>
        <v>#17736</v>
      </c>
      <c r="C606" s="61" t="str">
        <f>IFERROR(__xludf.DUMMYFUNCTION("""COMPUTED_VALUE"""),"roshea363@gmail.com")</f>
        <v>roshea363@gmail.com</v>
      </c>
      <c r="D606" s="61">
        <f>IFERROR(__xludf.DUMMYFUNCTION("""COMPUTED_VALUE"""),6.319035927E9)</f>
        <v>6319035927</v>
      </c>
      <c r="E606" s="61" t="str">
        <f>IFERROR(__xludf.DUMMYFUNCTION("""COMPUTED_VALUE"""),"Rory O'Shea")</f>
        <v>Rory O'Shea</v>
      </c>
      <c r="F606" s="61" t="str">
        <f>IFERROR(__xludf.DUMMYFUNCTION("""COMPUTED_VALUE"""),"Rory O'Shea")</f>
        <v>Rory O'Shea</v>
      </c>
      <c r="G606" s="61" t="str">
        <f>IFERROR(__xludf.DUMMYFUNCTION("""COMPUTED_VALUE""")," 2 / Included Insurance   - ")</f>
        <v> 2 / Included Insurance   - </v>
      </c>
      <c r="H606" s="61" t="str">
        <f>IFERROR(__xludf.DUMMYFUNCTION("""COMPUTED_VALUE"""),"Village House  ")</f>
        <v>Village House  </v>
      </c>
      <c r="I606" s="61" t="str">
        <f>IFERROR(__xludf.DUMMYFUNCTION("""COMPUTED_VALUE"""),"4012")</f>
        <v>4012</v>
      </c>
      <c r="J606" s="107" t="str">
        <f>IFERROR(__xludf.DUMMYFUNCTION("""COMPUTED_VALUE"""),"09:00 AM to 11:00 AM  ")</f>
        <v>09:00 AM to 11:00 AM  </v>
      </c>
      <c r="K606" s="100">
        <f>IFERROR(__xludf.DUMMYFUNCTION("""COMPUTED_VALUE"""),46149.0)</f>
        <v>46149</v>
      </c>
      <c r="L606" s="61" t="str">
        <f>IFERROR(__xludf.DUMMYFUNCTION("""COMPUTED_VALUE""")," ")</f>
        <v> </v>
      </c>
      <c r="M606" s="61"/>
      <c r="N606" s="61" t="str">
        <f>IFERROR(__xludf.DUMMYFUNCTION("""COMPUTED_VALUE""")," I will be moving into Village East the night of May 22 (apartment number TBD), so I would need temporary storage from May 7-22. I will move out of Village East on Aug 2, so I would also need boxes to be transported from Village East to my Fall semester h"&amp;"ousing (location TBD). I will move into my Fall semester housing the night of Aug 3 (early move in). ")</f>
        <v> I will be moving into Village East the night of May 22 (apartment number TBD), so I would need temporary storage from May 7-22. I will move out of Village East on Aug 2, so I would also need boxes to be transported from Village East to my Fall semester housing (location TBD). I will move into my Fall semester housing the night of Aug 3 (early move in). </v>
      </c>
    </row>
    <row r="607">
      <c r="A607" s="102" t="str">
        <f>IFERROR(__xludf.DUMMYFUNCTION("""COMPUTED_VALUE"""),"https://utrucking.com/admin/orders/6437606424764")</f>
        <v>https://utrucking.com/admin/orders/6437606424764</v>
      </c>
      <c r="B607" s="65" t="str">
        <f>IFERROR(__xludf.DUMMYFUNCTION("""COMPUTED_VALUE"""),"#17737")</f>
        <v>#17737</v>
      </c>
      <c r="C607" s="65" t="str">
        <f>IFERROR(__xludf.DUMMYFUNCTION("""COMPUTED_VALUE"""),"a.srishreya@wustl.edu")</f>
        <v>a.srishreya@wustl.edu</v>
      </c>
      <c r="D607" s="65">
        <f>IFERROR(__xludf.DUMMYFUNCTION("""COMPUTED_VALUE"""),9.257910313E9)</f>
        <v>9257910313</v>
      </c>
      <c r="E607" s="65" t="str">
        <f>IFERROR(__xludf.DUMMYFUNCTION("""COMPUTED_VALUE"""),"Srishreya Arunsaravanakumar")</f>
        <v>Srishreya Arunsaravanakumar</v>
      </c>
      <c r="F607" s="65" t="str">
        <f>IFERROR(__xludf.DUMMYFUNCTION("""COMPUTED_VALUE"""),"Srishreya Arunsaravanakumar")</f>
        <v>Srishreya Arunsaravanakumar</v>
      </c>
      <c r="G607" s="65" t="str">
        <f>IFERROR(__xludf.DUMMYFUNCTION("""COMPUTED_VALUE""")," 1 [Included with Registration] / Included Insurance   - ")</f>
        <v> 1 [Included with Registration] / Included Insurance   - </v>
      </c>
      <c r="H607" s="65" t="str">
        <f>IFERROR(__xludf.DUMMYFUNCTION("""COMPUTED_VALUE"""),"Danforth  ")</f>
        <v>Danforth  </v>
      </c>
      <c r="I607" s="65" t="str">
        <f>IFERROR(__xludf.DUMMYFUNCTION("""COMPUTED_VALUE"""),"2232")</f>
        <v>2232</v>
      </c>
      <c r="J607" s="108" t="str">
        <f>IFERROR(__xludf.DUMMYFUNCTION("""COMPUTED_VALUE"""),"09:00 AM to 11:00 AM  ")</f>
        <v>09:00 AM to 11:00 AM  </v>
      </c>
      <c r="K607" s="103">
        <f>IFERROR(__xludf.DUMMYFUNCTION("""COMPUTED_VALUE"""),46149.0)</f>
        <v>46149</v>
      </c>
      <c r="L607" s="65" t="str">
        <f>IFERROR(__xludf.DUMMYFUNCTION("""COMPUTED_VALUE""")," ")</f>
        <v> </v>
      </c>
      <c r="M607" s="65"/>
      <c r="N607" s="65" t="str">
        <f>IFERROR(__xludf.DUMMYFUNCTION("""COMPUTED_VALUE""")," ")</f>
        <v> </v>
      </c>
    </row>
    <row r="608">
      <c r="A608" s="99" t="str">
        <f>IFERROR(__xludf.DUMMYFUNCTION("""COMPUTED_VALUE"""),"https://utrucking.com/admin/orders/6437694439612")</f>
        <v>https://utrucking.com/admin/orders/6437694439612</v>
      </c>
      <c r="B608" s="61" t="str">
        <f>IFERROR(__xludf.DUMMYFUNCTION("""COMPUTED_VALUE"""),"#17738")</f>
        <v>#17738</v>
      </c>
      <c r="C608" s="61" t="str">
        <f>IFERROR(__xludf.DUMMYFUNCTION("""COMPUTED_VALUE"""),"h.jei@wustl.edu")</f>
        <v>h.jei@wustl.edu</v>
      </c>
      <c r="D608" s="61">
        <f>IFERROR(__xludf.DUMMYFUNCTION("""COMPUTED_VALUE"""),4.077143201E9)</f>
        <v>4077143201</v>
      </c>
      <c r="E608" s="61" t="str">
        <f>IFERROR(__xludf.DUMMYFUNCTION("""COMPUTED_VALUE"""),"Jei Han Hall")</f>
        <v>Jei Han Hall</v>
      </c>
      <c r="F608" s="61" t="str">
        <f>IFERROR(__xludf.DUMMYFUNCTION("""COMPUTED_VALUE"""),"Jei Han Hall")</f>
        <v>Jei Han Hall</v>
      </c>
      <c r="G608" s="61" t="str">
        <f>IFERROR(__xludf.DUMMYFUNCTION("""COMPUTED_VALUE""")," 1 [Included with Registration] / Included Insurance   - ")</f>
        <v> 1 [Included with Registration] / Included Insurance   - </v>
      </c>
      <c r="H608" s="61" t="str">
        <f>IFERROR(__xludf.DUMMYFUNCTION("""COMPUTED_VALUE"""),"Umrath  ")</f>
        <v>Umrath  </v>
      </c>
      <c r="I608" s="61" t="str">
        <f>IFERROR(__xludf.DUMMYFUNCTION("""COMPUTED_VALUE"""),"2240")</f>
        <v>2240</v>
      </c>
      <c r="J608" s="107" t="str">
        <f>IFERROR(__xludf.DUMMYFUNCTION("""COMPUTED_VALUE"""),"09:00 AM to 11:00 AM  ")</f>
        <v>09:00 AM to 11:00 AM  </v>
      </c>
      <c r="K608" s="100">
        <f>IFERROR(__xludf.DUMMYFUNCTION("""COMPUTED_VALUE"""),46155.0)</f>
        <v>46155</v>
      </c>
      <c r="L608" s="61" t="str">
        <f>IFERROR(__xludf.DUMMYFUNCTION("""COMPUTED_VALUE""")," ")</f>
        <v> </v>
      </c>
      <c r="M608" s="61"/>
      <c r="N608" s="61" t="str">
        <f>IFERROR(__xludf.DUMMYFUNCTION("""COMPUTED_VALUE""")," ")</f>
        <v> </v>
      </c>
    </row>
    <row r="609">
      <c r="A609" s="102" t="str">
        <f>IFERROR(__xludf.DUMMYFUNCTION("""COMPUTED_VALUE"""),"https://utrucking.com/admin/orders/6438022119612")</f>
        <v>https://utrucking.com/admin/orders/6438022119612</v>
      </c>
      <c r="B609" s="65" t="str">
        <f>IFERROR(__xludf.DUMMYFUNCTION("""COMPUTED_VALUE"""),"#17739")</f>
        <v>#17739</v>
      </c>
      <c r="C609" s="65" t="str">
        <f>IFERROR(__xludf.DUMMYFUNCTION("""COMPUTED_VALUE"""),"jroth1@yu.edu")</f>
        <v>jroth1@yu.edu</v>
      </c>
      <c r="D609" s="65">
        <f>IFERROR(__xludf.DUMMYFUNCTION("""COMPUTED_VALUE"""),6.462507591E9)</f>
        <v>6462507591</v>
      </c>
      <c r="E609" s="65" t="str">
        <f>IFERROR(__xludf.DUMMYFUNCTION("""COMPUTED_VALUE"""),"Jessica Roth")</f>
        <v>Jessica Roth</v>
      </c>
      <c r="F609" s="65" t="str">
        <f>IFERROR(__xludf.DUMMYFUNCTION("""COMPUTED_VALUE"""),"Lexi Lawsky")</f>
        <v>Lexi Lawsky</v>
      </c>
      <c r="G609" s="65" t="str">
        <f>IFERROR(__xludf.DUMMYFUNCTION("""COMPUTED_VALUE""")," 1 [Included with Registration] / Included Insurance   - ")</f>
        <v> 1 [Included with Registration] / Included Insurance   - </v>
      </c>
      <c r="H609" s="65" t="str">
        <f>IFERROR(__xludf.DUMMYFUNCTION("""COMPUTED_VALUE"""),"Danforth  ")</f>
        <v>Danforth  </v>
      </c>
      <c r="I609" s="65" t="str">
        <f>IFERROR(__xludf.DUMMYFUNCTION("""COMPUTED_VALUE"""),"4426")</f>
        <v>4426</v>
      </c>
      <c r="J609" s="108" t="str">
        <f>IFERROR(__xludf.DUMMYFUNCTION("""COMPUTED_VALUE"""),"09:00 AM to 11:00 AM  ")</f>
        <v>09:00 AM to 11:00 AM  </v>
      </c>
      <c r="K609" s="103">
        <f>IFERROR(__xludf.DUMMYFUNCTION("""COMPUTED_VALUE"""),46147.0)</f>
        <v>46147</v>
      </c>
      <c r="L609" s="65" t="str">
        <f>IFERROR(__xludf.DUMMYFUNCTION("""COMPUTED_VALUE""")," ")</f>
        <v> </v>
      </c>
      <c r="M609" s="65"/>
      <c r="N609" s="65" t="str">
        <f>IFERROR(__xludf.DUMMYFUNCTION("""COMPUTED_VALUE""")," I will also be shipping some boxes with U trucking.")</f>
        <v> I will also be shipping some boxes with U trucking.</v>
      </c>
    </row>
    <row r="610">
      <c r="A610" s="99" t="str">
        <f>IFERROR(__xludf.DUMMYFUNCTION("""COMPUTED_VALUE"""),"https://utrucking.com/admin/orders/6438407307452")</f>
        <v>https://utrucking.com/admin/orders/6438407307452</v>
      </c>
      <c r="B610" s="61" t="str">
        <f>IFERROR(__xludf.DUMMYFUNCTION("""COMPUTED_VALUE"""),"#17741")</f>
        <v>#17741</v>
      </c>
      <c r="C610" s="61" t="str">
        <f>IFERROR(__xludf.DUMMYFUNCTION("""COMPUTED_VALUE"""),"bkavya@wustl.edu")</f>
        <v>bkavya@wustl.edu</v>
      </c>
      <c r="D610" s="61">
        <f>IFERROR(__xludf.DUMMYFUNCTION("""COMPUTED_VALUE"""),3.479312069E9)</f>
        <v>3479312069</v>
      </c>
      <c r="E610" s="61" t="str">
        <f>IFERROR(__xludf.DUMMYFUNCTION("""COMPUTED_VALUE"""),"Kamal Bhatia")</f>
        <v>Kamal Bhatia</v>
      </c>
      <c r="F610" s="61" t="str">
        <f>IFERROR(__xludf.DUMMYFUNCTION("""COMPUTED_VALUE"""),"Kavya Bhatia")</f>
        <v>Kavya Bhatia</v>
      </c>
      <c r="G610" s="61" t="str">
        <f>IFERROR(__xludf.DUMMYFUNCTION("""COMPUTED_VALUE""")," 1 [Included with Registration] / Included Insurance   - ")</f>
        <v> 1 [Included with Registration] / Included Insurance   - </v>
      </c>
      <c r="H610" s="61" t="str">
        <f>IFERROR(__xludf.DUMMYFUNCTION("""COMPUTED_VALUE"""),"Umrath  ")</f>
        <v>Umrath  </v>
      </c>
      <c r="I610" s="61" t="str">
        <f>IFERROR(__xludf.DUMMYFUNCTION("""COMPUTED_VALUE"""),"2203")</f>
        <v>2203</v>
      </c>
      <c r="J610" s="107" t="str">
        <f>IFERROR(__xludf.DUMMYFUNCTION("""COMPUTED_VALUE"""),"03:00 PM to 05:00 PM")</f>
        <v>03:00 PM to 05:00 PM</v>
      </c>
      <c r="K610" s="100">
        <f>IFERROR(__xludf.DUMMYFUNCTION("""COMPUTED_VALUE"""),46148.0)</f>
        <v>46148</v>
      </c>
      <c r="L610" s="61" t="str">
        <f>IFERROR(__xludf.DUMMYFUNCTION("""COMPUTED_VALUE""")," ")</f>
        <v> </v>
      </c>
      <c r="M610" s="61"/>
      <c r="N610" s="61" t="str">
        <f>IFERROR(__xludf.DUMMYFUNCTION("""COMPUTED_VALUE""")," ")</f>
        <v> </v>
      </c>
    </row>
    <row r="611">
      <c r="A611" s="102" t="str">
        <f>IFERROR(__xludf.DUMMYFUNCTION("""COMPUTED_VALUE"""),"https://utrucking.com/admin/orders/6438912164028")</f>
        <v>https://utrucking.com/admin/orders/6438912164028</v>
      </c>
      <c r="B611" s="65" t="str">
        <f>IFERROR(__xludf.DUMMYFUNCTION("""COMPUTED_VALUE"""),"#17743")</f>
        <v>#17743</v>
      </c>
      <c r="C611" s="65" t="str">
        <f>IFERROR(__xludf.DUMMYFUNCTION("""COMPUTED_VALUE"""),"cristian.perez.student@gmail.com")</f>
        <v>cristian.perez.student@gmail.com</v>
      </c>
      <c r="D611" s="65">
        <f>IFERROR(__xludf.DUMMYFUNCTION("""COMPUTED_VALUE"""),3.233814895E9)</f>
        <v>3233814895</v>
      </c>
      <c r="E611" s="65" t="str">
        <f>IFERROR(__xludf.DUMMYFUNCTION("""COMPUTED_VALUE"""),"C Cristian Perez")</f>
        <v>C Cristian Perez</v>
      </c>
      <c r="F611" s="65" t="str">
        <f>IFERROR(__xludf.DUMMYFUNCTION("""COMPUTED_VALUE"""),"Cristian Perez")</f>
        <v>Cristian Perez</v>
      </c>
      <c r="G611" s="65" t="str">
        <f>IFERROR(__xludf.DUMMYFUNCTION("""COMPUTED_VALUE""")," 2 / Included Insurance   - ")</f>
        <v> 2 / Included Insurance   - </v>
      </c>
      <c r="H611" s="65" t="str">
        <f>IFERROR(__xludf.DUMMYFUNCTION("""COMPUTED_VALUE"""),"Umrath  ")</f>
        <v>Umrath  </v>
      </c>
      <c r="I611" s="65" t="str">
        <f>IFERROR(__xludf.DUMMYFUNCTION("""COMPUTED_VALUE"""),"2237")</f>
        <v>2237</v>
      </c>
      <c r="J611" s="108" t="str">
        <f>IFERROR(__xludf.DUMMYFUNCTION("""COMPUTED_VALUE"""),"09:00 AM to 11:00 AM  ")</f>
        <v>09:00 AM to 11:00 AM  </v>
      </c>
      <c r="K611" s="103">
        <f>IFERROR(__xludf.DUMMYFUNCTION("""COMPUTED_VALUE"""),46147.0)</f>
        <v>46147</v>
      </c>
      <c r="L611" s="65" t="str">
        <f>IFERROR(__xludf.DUMMYFUNCTION("""COMPUTED_VALUE""")," ")</f>
        <v> </v>
      </c>
      <c r="M611" s="65"/>
      <c r="N611" s="65" t="str">
        <f>IFERROR(__xludf.DUMMYFUNCTION("""COMPUTED_VALUE""")," ")</f>
        <v> </v>
      </c>
    </row>
    <row r="612">
      <c r="A612" s="99" t="str">
        <f>IFERROR(__xludf.DUMMYFUNCTION("""COMPUTED_VALUE"""),"https://utrucking.com/admin/orders/6439247970492")</f>
        <v>https://utrucking.com/admin/orders/6439247970492</v>
      </c>
      <c r="B612" s="61" t="str">
        <f>IFERROR(__xludf.DUMMYFUNCTION("""COMPUTED_VALUE"""),"#17744")</f>
        <v>#17744</v>
      </c>
      <c r="C612" s="61" t="str">
        <f>IFERROR(__xludf.DUMMYFUNCTION("""COMPUTED_VALUE"""),"brad.s.daisy123@gmail.com")</f>
        <v>brad.s.daisy123@gmail.com</v>
      </c>
      <c r="D612" s="61">
        <f>IFERROR(__xludf.DUMMYFUNCTION("""COMPUTED_VALUE"""),3.107954249E9)</f>
        <v>3107954249</v>
      </c>
      <c r="E612" s="61" t="str">
        <f>IFERROR(__xludf.DUMMYFUNCTION("""COMPUTED_VALUE"""),"Drew Shearer")</f>
        <v>Drew Shearer</v>
      </c>
      <c r="F612" s="61" t="str">
        <f>IFERROR(__xludf.DUMMYFUNCTION("""COMPUTED_VALUE"""),"Brad  Shearer")</f>
        <v>Brad  Shearer</v>
      </c>
      <c r="G612" s="61" t="str">
        <f>IFERROR(__xludf.DUMMYFUNCTION("""COMPUTED_VALUE""")," 1 [Included with Registration] / Included Insurance   - ")</f>
        <v> 1 [Included with Registration] / Included Insurance   - </v>
      </c>
      <c r="H612" s="61" t="str">
        <f>IFERROR(__xludf.DUMMYFUNCTION("""COMPUTED_VALUE"""),"Umrath  ")</f>
        <v>Umrath  </v>
      </c>
      <c r="I612" s="61" t="str">
        <f>IFERROR(__xludf.DUMMYFUNCTION("""COMPUTED_VALUE"""),"2225")</f>
        <v>2225</v>
      </c>
      <c r="J612" s="107" t="str">
        <f>IFERROR(__xludf.DUMMYFUNCTION("""COMPUTED_VALUE"""),"09:00 AM to 11:00 AM  ")</f>
        <v>09:00 AM to 11:00 AM  </v>
      </c>
      <c r="K612" s="100">
        <f>IFERROR(__xludf.DUMMYFUNCTION("""COMPUTED_VALUE"""),46146.0)</f>
        <v>46146</v>
      </c>
      <c r="L612" s="61" t="str">
        <f>IFERROR(__xludf.DUMMYFUNCTION("""COMPUTED_VALUE""")," ")</f>
        <v> </v>
      </c>
      <c r="M612" s="61"/>
      <c r="N612" s="61" t="str">
        <f>IFERROR(__xludf.DUMMYFUNCTION("""COMPUTED_VALUE""")," ")</f>
        <v> </v>
      </c>
    </row>
    <row r="613">
      <c r="A613" s="102" t="str">
        <f>IFERROR(__xludf.DUMMYFUNCTION("""COMPUTED_VALUE"""),"https://utrucking.com/admin/orders/6439383367868")</f>
        <v>https://utrucking.com/admin/orders/6439383367868</v>
      </c>
      <c r="B613" s="65" t="str">
        <f>IFERROR(__xludf.DUMMYFUNCTION("""COMPUTED_VALUE"""),"#17745")</f>
        <v>#17745</v>
      </c>
      <c r="C613" s="65" t="str">
        <f>IFERROR(__xludf.DUMMYFUNCTION("""COMPUTED_VALUE"""),"h.linsky@wustl.edu")</f>
        <v>h.linsky@wustl.edu</v>
      </c>
      <c r="D613" s="65">
        <f>IFERROR(__xludf.DUMMYFUNCTION("""COMPUTED_VALUE"""),9.172141935E9)</f>
        <v>9172141935</v>
      </c>
      <c r="E613" s="65" t="str">
        <f>IFERROR(__xludf.DUMMYFUNCTION("""COMPUTED_VALUE"""),"Hilary Linsky")</f>
        <v>Hilary Linsky</v>
      </c>
      <c r="F613" s="65" t="str">
        <f>IFERROR(__xludf.DUMMYFUNCTION("""COMPUTED_VALUE"""),"Hayden Linsky")</f>
        <v>Hayden Linsky</v>
      </c>
      <c r="G613" s="65" t="str">
        <f>IFERROR(__xludf.DUMMYFUNCTION("""COMPUTED_VALUE""")," 2 / $1000 of Additional Coverage   - ")</f>
        <v> 2 / $1000 of Additional Coverage   - </v>
      </c>
      <c r="H613" s="65" t="str">
        <f>IFERROR(__xludf.DUMMYFUNCTION("""COMPUTED_VALUE"""),"Danforth  ")</f>
        <v>Danforth  </v>
      </c>
      <c r="I613" s="65" t="str">
        <f>IFERROR(__xludf.DUMMYFUNCTION("""COMPUTED_VALUE"""),"3320")</f>
        <v>3320</v>
      </c>
      <c r="J613" s="108" t="str">
        <f>IFERROR(__xludf.DUMMYFUNCTION("""COMPUTED_VALUE"""),"09:00 AM to 11:00 AM  ")</f>
        <v>09:00 AM to 11:00 AM  </v>
      </c>
      <c r="K613" s="103">
        <f>IFERROR(__xludf.DUMMYFUNCTION("""COMPUTED_VALUE"""),46149.0)</f>
        <v>46149</v>
      </c>
      <c r="L613" s="65" t="str">
        <f>IFERROR(__xludf.DUMMYFUNCTION("""COMPUTED_VALUE""")," ")</f>
        <v> </v>
      </c>
      <c r="M613" s="65"/>
      <c r="N613" s="65" t="str">
        <f>IFERROR(__xludf.DUMMYFUNCTION("""COMPUTED_VALUE""")," Do you store small furniture - i.e. night tables ?")</f>
        <v> Do you store small furniture - i.e. night tables ?</v>
      </c>
    </row>
    <row r="614">
      <c r="A614" s="99" t="str">
        <f>IFERROR(__xludf.DUMMYFUNCTION("""COMPUTED_VALUE"""),"https://utrucking.com/admin/orders/6442028662972")</f>
        <v>https://utrucking.com/admin/orders/6442028662972</v>
      </c>
      <c r="B614" s="61" t="str">
        <f>IFERROR(__xludf.DUMMYFUNCTION("""COMPUTED_VALUE"""),"#17747")</f>
        <v>#17747</v>
      </c>
      <c r="C614" s="61" t="str">
        <f>IFERROR(__xludf.DUMMYFUNCTION("""COMPUTED_VALUE"""),"gloria.z@wustl.edu")</f>
        <v>gloria.z@wustl.edu</v>
      </c>
      <c r="D614" s="61">
        <f>IFERROR(__xludf.DUMMYFUNCTION("""COMPUTED_VALUE"""),5.572289675E9)</f>
        <v>5572289675</v>
      </c>
      <c r="E614" s="61" t="str">
        <f>IFERROR(__xludf.DUMMYFUNCTION("""COMPUTED_VALUE"""),"Gloria Zhang")</f>
        <v>Gloria Zhang</v>
      </c>
      <c r="F614" s="61" t="str">
        <f>IFERROR(__xludf.DUMMYFUNCTION("""COMPUTED_VALUE"""),"Gloria Zhang")</f>
        <v>Gloria Zhang</v>
      </c>
      <c r="G614" s="61" t="str">
        <f>IFERROR(__xludf.DUMMYFUNCTION("""COMPUTED_VALUE""")," 1 [Included with Registration] / Included Insurance   - ")</f>
        <v> 1 [Included with Registration] / Included Insurance   - </v>
      </c>
      <c r="H614" s="61" t="str">
        <f>IFERROR(__xludf.DUMMYFUNCTION("""COMPUTED_VALUE"""),"Hurd  ")</f>
        <v>Hurd  </v>
      </c>
      <c r="I614" s="61" t="str">
        <f>IFERROR(__xludf.DUMMYFUNCTION("""COMPUTED_VALUE"""),"224")</f>
        <v>224</v>
      </c>
      <c r="J614" s="107" t="str">
        <f>IFERROR(__xludf.DUMMYFUNCTION("""COMPUTED_VALUE"""),"09:00 AM to 11:00 AM  ")</f>
        <v>09:00 AM to 11:00 AM  </v>
      </c>
      <c r="K614" s="100">
        <f>IFERROR(__xludf.DUMMYFUNCTION("""COMPUTED_VALUE"""),46149.0)</f>
        <v>46149</v>
      </c>
      <c r="L614" s="61" t="str">
        <f>IFERROR(__xludf.DUMMYFUNCTION("""COMPUTED_VALUE""")," ")</f>
        <v> </v>
      </c>
      <c r="M614" s="61"/>
      <c r="N614" s="61" t="str">
        <f>IFERROR(__xludf.DUMMYFUNCTION("""COMPUTED_VALUE""")," ")</f>
        <v> </v>
      </c>
    </row>
    <row r="615">
      <c r="A615" s="102" t="str">
        <f>IFERROR(__xludf.DUMMYFUNCTION("""COMPUTED_VALUE"""),"https://utrucking.com/admin/orders/6442940825788")</f>
        <v>https://utrucking.com/admin/orders/6442940825788</v>
      </c>
      <c r="B615" s="65" t="str">
        <f>IFERROR(__xludf.DUMMYFUNCTION("""COMPUTED_VALUE"""),"#17748")</f>
        <v>#17748</v>
      </c>
      <c r="C615" s="65" t="str">
        <f>IFERROR(__xludf.DUMMYFUNCTION("""COMPUTED_VALUE"""),"c.minseok@wustl.edu")</f>
        <v>c.minseok@wustl.edu</v>
      </c>
      <c r="D615" s="65">
        <f>IFERROR(__xludf.DUMMYFUNCTION("""COMPUTED_VALUE"""),3.146590578E9)</f>
        <v>3146590578</v>
      </c>
      <c r="E615" s="65" t="str">
        <f>IFERROR(__xludf.DUMMYFUNCTION("""COMPUTED_VALUE"""),"Matt Choi")</f>
        <v>Matt Choi</v>
      </c>
      <c r="F615" s="65" t="str">
        <f>IFERROR(__xludf.DUMMYFUNCTION("""COMPUTED_VALUE"""),"Matt Choi")</f>
        <v>Matt Choi</v>
      </c>
      <c r="G615" s="65" t="str">
        <f>IFERROR(__xludf.DUMMYFUNCTION("""COMPUTED_VALUE""")," 1 [Included with Registration] / Included Insurance   - ")</f>
        <v> 1 [Included with Registration] / Included Insurance   - </v>
      </c>
      <c r="H615" s="65" t="str">
        <f>IFERROR(__xludf.DUMMYFUNCTION("""COMPUTED_VALUE"""),"Lopata  ")</f>
        <v>Lopata  </v>
      </c>
      <c r="I615" s="65" t="str">
        <f>IFERROR(__xludf.DUMMYFUNCTION("""COMPUTED_VALUE"""),"2083")</f>
        <v>2083</v>
      </c>
      <c r="J615" s="108" t="str">
        <f>IFERROR(__xludf.DUMMYFUNCTION("""COMPUTED_VALUE"""),"09:00 AM to 11:00 AM  ")</f>
        <v>09:00 AM to 11:00 AM  </v>
      </c>
      <c r="K615" s="103">
        <f>IFERROR(__xludf.DUMMYFUNCTION("""COMPUTED_VALUE"""),46148.0)</f>
        <v>46148</v>
      </c>
      <c r="L615" s="65" t="str">
        <f>IFERROR(__xludf.DUMMYFUNCTION("""COMPUTED_VALUE""")," ")</f>
        <v> </v>
      </c>
      <c r="M615" s="65"/>
      <c r="N615" s="65" t="str">
        <f>IFERROR(__xludf.DUMMYFUNCTION("""COMPUTED_VALUE""")," ")</f>
        <v> </v>
      </c>
    </row>
    <row r="616">
      <c r="A616" s="99" t="str">
        <f>IFERROR(__xludf.DUMMYFUNCTION("""COMPUTED_VALUE"""),"https://utrucking.com/admin/orders/6442972348604")</f>
        <v>https://utrucking.com/admin/orders/6442972348604</v>
      </c>
      <c r="B616" s="61" t="str">
        <f>IFERROR(__xludf.DUMMYFUNCTION("""COMPUTED_VALUE"""),"#17750")</f>
        <v>#17750</v>
      </c>
      <c r="C616" s="61" t="str">
        <f>IFERROR(__xludf.DUMMYFUNCTION("""COMPUTED_VALUE"""),"j.m.ross@wustl.edu")</f>
        <v>j.m.ross@wustl.edu</v>
      </c>
      <c r="D616" s="61">
        <f>IFERROR(__xludf.DUMMYFUNCTION("""COMPUTED_VALUE"""),5.083410848E9)</f>
        <v>5083410848</v>
      </c>
      <c r="E616" s="61" t="str">
        <f>IFERROR(__xludf.DUMMYFUNCTION("""COMPUTED_VALUE"""),"Amy B. Ross")</f>
        <v>Amy B. Ross</v>
      </c>
      <c r="F616" s="61" t="str">
        <f>IFERROR(__xludf.DUMMYFUNCTION("""COMPUTED_VALUE"""),"Jonathan Ross")</f>
        <v>Jonathan Ross</v>
      </c>
      <c r="G616" s="61" t="str">
        <f>IFERROR(__xludf.DUMMYFUNCTION("""COMPUTED_VALUE""")," 2 / Included Insurance   - ")</f>
        <v> 2 / Included Insurance   - </v>
      </c>
      <c r="H616" s="61" t="str">
        <f>IFERROR(__xludf.DUMMYFUNCTION("""COMPUTED_VALUE"""),"House 4 (Theta Xi)  ")</f>
        <v>House 4 (Theta Xi)  </v>
      </c>
      <c r="I616" s="61" t="str">
        <f>IFERROR(__xludf.DUMMYFUNCTION("""COMPUTED_VALUE"""),"3rd floor")</f>
        <v>3rd floor</v>
      </c>
      <c r="J616" s="107" t="str">
        <f>IFERROR(__xludf.DUMMYFUNCTION("""COMPUTED_VALUE"""),"10:00 AM to 12:00 PM  ")</f>
        <v>10:00 AM to 12:00 PM  </v>
      </c>
      <c r="K616" s="100">
        <f>IFERROR(__xludf.DUMMYFUNCTION("""COMPUTED_VALUE"""),46144.0)</f>
        <v>46144</v>
      </c>
      <c r="L616" s="61" t="str">
        <f>IFERROR(__xludf.DUMMYFUNCTION("""COMPUTED_VALUE""")," ")</f>
        <v> </v>
      </c>
      <c r="M616" s="61"/>
      <c r="N616" s="61" t="str">
        <f>IFERROR(__xludf.DUMMYFUNCTION("""COMPUTED_VALUE""")," When will the boxes be dropped off?")</f>
        <v> When will the boxes be dropped off?</v>
      </c>
    </row>
    <row r="617">
      <c r="A617" s="102" t="str">
        <f>IFERROR(__xludf.DUMMYFUNCTION("""COMPUTED_VALUE"""),"https://utrucking.com/admin/orders/6443137564860")</f>
        <v>https://utrucking.com/admin/orders/6443137564860</v>
      </c>
      <c r="B617" s="65" t="str">
        <f>IFERROR(__xludf.DUMMYFUNCTION("""COMPUTED_VALUE"""),"#17751")</f>
        <v>#17751</v>
      </c>
      <c r="C617" s="65" t="str">
        <f>IFERROR(__xludf.DUMMYFUNCTION("""COMPUTED_VALUE"""),"mayatylis05@gmail.com")</f>
        <v>mayatylis05@gmail.com</v>
      </c>
      <c r="D617" s="65">
        <f>IFERROR(__xludf.DUMMYFUNCTION("""COMPUTED_VALUE"""),3.47843139E9)</f>
        <v>3478431390</v>
      </c>
      <c r="E617" s="65" t="str">
        <f>IFERROR(__xludf.DUMMYFUNCTION("""COMPUTED_VALUE"""),"Maya Tylis")</f>
        <v>Maya Tylis</v>
      </c>
      <c r="F617" s="65" t="str">
        <f>IFERROR(__xludf.DUMMYFUNCTION("""COMPUTED_VALUE"""),"Maya Tylis")</f>
        <v>Maya Tylis</v>
      </c>
      <c r="G617" s="65" t="str">
        <f>IFERROR(__xludf.DUMMYFUNCTION("""COMPUTED_VALUE""")," 2 / Included Insurance   - ")</f>
        <v> 2 / Included Insurance   - </v>
      </c>
      <c r="H617" s="65"/>
      <c r="I617" s="65"/>
      <c r="J617" s="108" t="str">
        <f>IFERROR(__xludf.DUMMYFUNCTION("""COMPUTED_VALUE"""),"01:00 PM to 03:00 PM  ")</f>
        <v>01:00 PM to 03:00 PM  </v>
      </c>
      <c r="K617" s="103">
        <f>IFERROR(__xludf.DUMMYFUNCTION("""COMPUTED_VALUE"""),46256.0)</f>
        <v>46256</v>
      </c>
      <c r="L617" s="65" t="str">
        <f>IFERROR(__xludf.DUMMYFUNCTION("""COMPUTED_VALUE""")," ")</f>
        <v> </v>
      </c>
      <c r="M617" s="65" t="str">
        <f>IFERROR(__xludf.DUMMYFUNCTION("""COMPUTED_VALUE"""),"6105 Waterman Blvd")</f>
        <v>6105 Waterman Blvd</v>
      </c>
      <c r="N617" s="65" t="str">
        <f>IFERROR(__xludf.DUMMYFUNCTION("""COMPUTED_VALUE""")," ")</f>
        <v> </v>
      </c>
    </row>
    <row r="618">
      <c r="A618" s="99" t="str">
        <f>IFERROR(__xludf.DUMMYFUNCTION("""COMPUTED_VALUE"""),"https://utrucking.com/admin/orders/6443207590076")</f>
        <v>https://utrucking.com/admin/orders/6443207590076</v>
      </c>
      <c r="B618" s="61" t="str">
        <f>IFERROR(__xludf.DUMMYFUNCTION("""COMPUTED_VALUE"""),"#17752")</f>
        <v>#17752</v>
      </c>
      <c r="C618" s="61" t="str">
        <f>IFERROR(__xludf.DUMMYFUNCTION("""COMPUTED_VALUE"""),"Natalia.galicot18@gmail.com")</f>
        <v>Natalia.galicot18@gmail.com</v>
      </c>
      <c r="D618" s="61">
        <f>IFERROR(__xludf.DUMMYFUNCTION("""COMPUTED_VALUE"""),6.192549569E9)</f>
        <v>6192549569</v>
      </c>
      <c r="E618" s="61" t="str">
        <f>IFERROR(__xludf.DUMMYFUNCTION("""COMPUTED_VALUE"""),"Natalia Galicot")</f>
        <v>Natalia Galicot</v>
      </c>
      <c r="F618" s="61" t="str">
        <f>IFERROR(__xludf.DUMMYFUNCTION("""COMPUTED_VALUE"""),"Natalia Galicot")</f>
        <v>Natalia Galicot</v>
      </c>
      <c r="G618" s="61" t="str">
        <f>IFERROR(__xludf.DUMMYFUNCTION("""COMPUTED_VALUE""")," 1 [Included with Registration] / Included Insurance   - ")</f>
        <v> 1 [Included with Registration] / Included Insurance   - </v>
      </c>
      <c r="H618" s="61" t="str">
        <f>IFERROR(__xludf.DUMMYFUNCTION("""COMPUTED_VALUE"""),"Eliot A (Thomas Eliot)")</f>
        <v>Eliot A (Thomas Eliot)</v>
      </c>
      <c r="I618" s="61" t="str">
        <f>IFERROR(__xludf.DUMMYFUNCTION("""COMPUTED_VALUE"""),"1061")</f>
        <v>1061</v>
      </c>
      <c r="J618" s="107" t="str">
        <f>IFERROR(__xludf.DUMMYFUNCTION("""COMPUTED_VALUE"""),"09:00 AM to 11:00 AM  ")</f>
        <v>09:00 AM to 11:00 AM  </v>
      </c>
      <c r="K618" s="100">
        <f>IFERROR(__xludf.DUMMYFUNCTION("""COMPUTED_VALUE"""),46148.0)</f>
        <v>46148</v>
      </c>
      <c r="L618" s="61" t="str">
        <f>IFERROR(__xludf.DUMMYFUNCTION("""COMPUTED_VALUE""")," ")</f>
        <v> </v>
      </c>
      <c r="M618" s="61"/>
      <c r="N618" s="61" t="str">
        <f>IFERROR(__xludf.DUMMYFUNCTION("""COMPUTED_VALUE""")," ")</f>
        <v> </v>
      </c>
    </row>
    <row r="619">
      <c r="A619" s="102" t="str">
        <f>IFERROR(__xludf.DUMMYFUNCTION("""COMPUTED_VALUE"""),"https://utrucking.com/admin/orders/6443212767420")</f>
        <v>https://utrucking.com/admin/orders/6443212767420</v>
      </c>
      <c r="B619" s="65" t="str">
        <f>IFERROR(__xludf.DUMMYFUNCTION("""COMPUTED_VALUE"""),"#17753")</f>
        <v>#17753</v>
      </c>
      <c r="C619" s="65" t="str">
        <f>IFERROR(__xludf.DUMMYFUNCTION("""COMPUTED_VALUE"""),"i.r.sonneborn@wustl.edu")</f>
        <v>i.r.sonneborn@wustl.edu</v>
      </c>
      <c r="D619" s="65">
        <f>IFERROR(__xludf.DUMMYFUNCTION("""COMPUTED_VALUE"""),4.157474619E9)</f>
        <v>4157474619</v>
      </c>
      <c r="E619" s="65" t="str">
        <f>IFERROR(__xludf.DUMMYFUNCTION("""COMPUTED_VALUE"""),"Jon Sonneborn")</f>
        <v>Jon Sonneborn</v>
      </c>
      <c r="F619" s="65" t="str">
        <f>IFERROR(__xludf.DUMMYFUNCTION("""COMPUTED_VALUE"""),"Isabel Sonneborn")</f>
        <v>Isabel Sonneborn</v>
      </c>
      <c r="G619" s="65" t="str">
        <f>IFERROR(__xludf.DUMMYFUNCTION("""COMPUTED_VALUE""")," 1 [Included with Registration] / Included Insurance   - ")</f>
        <v> 1 [Included with Registration] / Included Insurance   - </v>
      </c>
      <c r="H619" s="65" t="str">
        <f>IFERROR(__xludf.DUMMYFUNCTION("""COMPUTED_VALUE"""),"Zetcher  ")</f>
        <v>Zetcher  </v>
      </c>
      <c r="I619" s="65" t="str">
        <f>IFERROR(__xludf.DUMMYFUNCTION("""COMPUTED_VALUE"""),"3070-3072")</f>
        <v>3070-3072</v>
      </c>
      <c r="J619" s="108" t="str">
        <f>IFERROR(__xludf.DUMMYFUNCTION("""COMPUTED_VALUE"""),"02:00 PM to 04:00 PM")</f>
        <v>02:00 PM to 04:00 PM</v>
      </c>
      <c r="K619" s="103">
        <f>IFERROR(__xludf.DUMMYFUNCTION("""COMPUTED_VALUE"""),46149.0)</f>
        <v>46149</v>
      </c>
      <c r="L619" s="65" t="str">
        <f>IFERROR(__xludf.DUMMYFUNCTION("""COMPUTED_VALUE""")," ")</f>
        <v> </v>
      </c>
      <c r="M619" s="65"/>
      <c r="N619" s="65" t="str">
        <f>IFERROR(__xludf.DUMMYFUNCTION("""COMPUTED_VALUE""")," ")</f>
        <v> </v>
      </c>
    </row>
    <row r="620">
      <c r="A620" s="99" t="str">
        <f>IFERROR(__xludf.DUMMYFUNCTION("""COMPUTED_VALUE"""),"https://utrucking.com/admin/orders/6443226267836")</f>
        <v>https://utrucking.com/admin/orders/6443226267836</v>
      </c>
      <c r="B620" s="61" t="str">
        <f>IFERROR(__xludf.DUMMYFUNCTION("""COMPUTED_VALUE"""),"#17755")</f>
        <v>#17755</v>
      </c>
      <c r="C620" s="61" t="str">
        <f>IFERROR(__xludf.DUMMYFUNCTION("""COMPUTED_VALUE"""),"s.g.wollitzer@wustl.edu")</f>
        <v>s.g.wollitzer@wustl.edu</v>
      </c>
      <c r="D620" s="61">
        <f>IFERROR(__xludf.DUMMYFUNCTION("""COMPUTED_VALUE"""),4.806949495E9)</f>
        <v>4806949495</v>
      </c>
      <c r="E620" s="61" t="str">
        <f>IFERROR(__xludf.DUMMYFUNCTION("""COMPUTED_VALUE"""),"Sophie Wollitzer")</f>
        <v>Sophie Wollitzer</v>
      </c>
      <c r="F620" s="61" t="str">
        <f>IFERROR(__xludf.DUMMYFUNCTION("""COMPUTED_VALUE"""),"Sophie Wollitzer")</f>
        <v>Sophie Wollitzer</v>
      </c>
      <c r="G620" s="61" t="str">
        <f>IFERROR(__xludf.DUMMYFUNCTION("""COMPUTED_VALUE""")," 1 [Included with Registration] / Included Insurance   - ")</f>
        <v> 1 [Included with Registration] / Included Insurance   - </v>
      </c>
      <c r="H620" s="61" t="str">
        <f>IFERROR(__xludf.DUMMYFUNCTION("""COMPUTED_VALUE"""),"Village East  ")</f>
        <v>Village East  </v>
      </c>
      <c r="I620" s="61" t="str">
        <f>IFERROR(__xludf.DUMMYFUNCTION("""COMPUTED_VALUE"""),"2044")</f>
        <v>2044</v>
      </c>
      <c r="J620" s="107" t="str">
        <f>IFERROR(__xludf.DUMMYFUNCTION("""COMPUTED_VALUE"""),"01:00 PM to 03:00 PM  ")</f>
        <v>01:00 PM to 03:00 PM  </v>
      </c>
      <c r="K620" s="100">
        <f>IFERROR(__xludf.DUMMYFUNCTION("""COMPUTED_VALUE"""),46148.0)</f>
        <v>46148</v>
      </c>
      <c r="L620" s="61" t="str">
        <f>IFERROR(__xludf.DUMMYFUNCTION("""COMPUTED_VALUE""")," ")</f>
        <v> </v>
      </c>
      <c r="M620" s="61"/>
      <c r="N620" s="61" t="str">
        <f>IFERROR(__xludf.DUMMYFUNCTION("""COMPUTED_VALUE""")," ")</f>
        <v> </v>
      </c>
    </row>
    <row r="621">
      <c r="A621" s="102" t="str">
        <f>IFERROR(__xludf.DUMMYFUNCTION("""COMPUTED_VALUE"""),"https://utrucking.com/admin/orders/6443229315260")</f>
        <v>https://utrucking.com/admin/orders/6443229315260</v>
      </c>
      <c r="B621" s="65" t="str">
        <f>IFERROR(__xludf.DUMMYFUNCTION("""COMPUTED_VALUE"""),"#17756")</f>
        <v>#17756</v>
      </c>
      <c r="C621" s="65" t="str">
        <f>IFERROR(__xludf.DUMMYFUNCTION("""COMPUTED_VALUE"""),"a.h.rosenberg@wustl.edu")</f>
        <v>a.h.rosenberg@wustl.edu</v>
      </c>
      <c r="D621" s="65">
        <f>IFERROR(__xludf.DUMMYFUNCTION("""COMPUTED_VALUE"""),3.124481629E9)</f>
        <v>3124481629</v>
      </c>
      <c r="E621" s="65" t="str">
        <f>IFERROR(__xludf.DUMMYFUNCTION("""COMPUTED_VALUE"""),"Andrew Rosenberg")</f>
        <v>Andrew Rosenberg</v>
      </c>
      <c r="F621" s="65" t="str">
        <f>IFERROR(__xludf.DUMMYFUNCTION("""COMPUTED_VALUE"""),"Drew Rosenberg")</f>
        <v>Drew Rosenberg</v>
      </c>
      <c r="G621" s="65" t="str">
        <f>IFERROR(__xludf.DUMMYFUNCTION("""COMPUTED_VALUE""")," 2 / Included Insurance   - ")</f>
        <v> 2 / Included Insurance   - </v>
      </c>
      <c r="H621" s="65" t="str">
        <f>IFERROR(__xludf.DUMMYFUNCTION("""COMPUTED_VALUE"""),"Greenway Apartments  ")</f>
        <v>Greenway Apartments  </v>
      </c>
      <c r="I621" s="65" t="str">
        <f>IFERROR(__xludf.DUMMYFUNCTION("""COMPUTED_VALUE"""),"012-C")</f>
        <v>012-C</v>
      </c>
      <c r="J621" s="108" t="str">
        <f>IFERROR(__xludf.DUMMYFUNCTION("""COMPUTED_VALUE"""),"09:00 AM to 11:00 AM  ")</f>
        <v>09:00 AM to 11:00 AM  </v>
      </c>
      <c r="K621" s="103">
        <f>IFERROR(__xludf.DUMMYFUNCTION("""COMPUTED_VALUE"""),46146.0)</f>
        <v>46146</v>
      </c>
      <c r="L621" s="65" t="str">
        <f>IFERROR(__xludf.DUMMYFUNCTION("""COMPUTED_VALUE""")," ")</f>
        <v> </v>
      </c>
      <c r="M621" s="65"/>
      <c r="N621" s="65" t="str">
        <f>IFERROR(__xludf.DUMMYFUNCTION("""COMPUTED_VALUE""")," Please deliver the kits by Thursday, May 1st")</f>
        <v> Please deliver the kits by Thursday, May 1st</v>
      </c>
    </row>
    <row r="622">
      <c r="A622" s="99" t="str">
        <f>IFERROR(__xludf.DUMMYFUNCTION("""COMPUTED_VALUE"""),"https://utrucking.com/admin/orders/6443250090172")</f>
        <v>https://utrucking.com/admin/orders/6443250090172</v>
      </c>
      <c r="B622" s="61" t="str">
        <f>IFERROR(__xludf.DUMMYFUNCTION("""COMPUTED_VALUE"""),"#17757")</f>
        <v>#17757</v>
      </c>
      <c r="C622" s="61" t="str">
        <f>IFERROR(__xludf.DUMMYFUNCTION("""COMPUTED_VALUE"""),"lucaminnich@gmail.com")</f>
        <v>lucaminnich@gmail.com</v>
      </c>
      <c r="D622" s="61">
        <f>IFERROR(__xludf.DUMMYFUNCTION("""COMPUTED_VALUE"""),1.9178288162E10)</f>
        <v>19178288162</v>
      </c>
      <c r="E622" s="61" t="str">
        <f>IFERROR(__xludf.DUMMYFUNCTION("""COMPUTED_VALUE"""),"Luca Minnich")</f>
        <v>Luca Minnich</v>
      </c>
      <c r="F622" s="61" t="str">
        <f>IFERROR(__xludf.DUMMYFUNCTION("""COMPUTED_VALUE"""),"Luca Minnich")</f>
        <v>Luca Minnich</v>
      </c>
      <c r="G622" s="61" t="str">
        <f>IFERROR(__xludf.DUMMYFUNCTION("""COMPUTED_VALUE""")," 1 [Included with Registration] / Included Insurance   - ")</f>
        <v> 1 [Included with Registration] / Included Insurance   - </v>
      </c>
      <c r="H622" s="61" t="str">
        <f>IFERROR(__xludf.DUMMYFUNCTION("""COMPUTED_VALUE"""),"Lien  ")</f>
        <v>Lien  </v>
      </c>
      <c r="I622" s="61" t="str">
        <f>IFERROR(__xludf.DUMMYFUNCTION("""COMPUTED_VALUE"""),"3312")</f>
        <v>3312</v>
      </c>
      <c r="J622" s="107" t="str">
        <f>IFERROR(__xludf.DUMMYFUNCTION("""COMPUTED_VALUE"""),"03:00 PM to 05:00 PM")</f>
        <v>03:00 PM to 05:00 PM</v>
      </c>
      <c r="K622" s="100">
        <f>IFERROR(__xludf.DUMMYFUNCTION("""COMPUTED_VALUE"""),46146.0)</f>
        <v>46146</v>
      </c>
      <c r="L622" s="61" t="str">
        <f>IFERROR(__xludf.DUMMYFUNCTION("""COMPUTED_VALUE""")," ")</f>
        <v> </v>
      </c>
      <c r="M622" s="61"/>
      <c r="N622" s="61" t="str">
        <f>IFERROR(__xludf.DUMMYFUNCTION("""COMPUTED_VALUE""")," ")</f>
        <v> </v>
      </c>
    </row>
    <row r="623">
      <c r="A623" s="102" t="str">
        <f>IFERROR(__xludf.DUMMYFUNCTION("""COMPUTED_VALUE"""),"https://utrucking.com/admin/orders/6443417796796")</f>
        <v>https://utrucking.com/admin/orders/6443417796796</v>
      </c>
      <c r="B623" s="65" t="str">
        <f>IFERROR(__xludf.DUMMYFUNCTION("""COMPUTED_VALUE"""),"#17759")</f>
        <v>#17759</v>
      </c>
      <c r="C623" s="65" t="str">
        <f>IFERROR(__xludf.DUMMYFUNCTION("""COMPUTED_VALUE"""),"avni.kajaria29@gmail.com")</f>
        <v>avni.kajaria29@gmail.com</v>
      </c>
      <c r="D623" s="65">
        <f>IFERROR(__xludf.DUMMYFUNCTION("""COMPUTED_VALUE"""),4.403642051E9)</f>
        <v>4403642051</v>
      </c>
      <c r="E623" s="65" t="str">
        <f>IFERROR(__xludf.DUMMYFUNCTION("""COMPUTED_VALUE"""),"Avni Kajaria")</f>
        <v>Avni Kajaria</v>
      </c>
      <c r="F623" s="65" t="str">
        <f>IFERROR(__xludf.DUMMYFUNCTION("""COMPUTED_VALUE"""),"Avni Kajaria")</f>
        <v>Avni Kajaria</v>
      </c>
      <c r="G623" s="65" t="str">
        <f>IFERROR(__xludf.DUMMYFUNCTION("""COMPUTED_VALUE""")," 2 / Included Insurance   - ")</f>
        <v> 2 / Included Insurance   - </v>
      </c>
      <c r="H623" s="65" t="str">
        <f>IFERROR(__xludf.DUMMYFUNCTION("""COMPUTED_VALUE"""),"Park  ")</f>
        <v>Park  </v>
      </c>
      <c r="I623" s="65" t="str">
        <f>IFERROR(__xludf.DUMMYFUNCTION("""COMPUTED_VALUE"""),"171")</f>
        <v>171</v>
      </c>
      <c r="J623" s="108" t="str">
        <f>IFERROR(__xludf.DUMMYFUNCTION("""COMPUTED_VALUE"""),"01:00 PM to 03:00 PM  ")</f>
        <v>01:00 PM to 03:00 PM  </v>
      </c>
      <c r="K623" s="103">
        <f>IFERROR(__xludf.DUMMYFUNCTION("""COMPUTED_VALUE"""),46146.0)</f>
        <v>46146</v>
      </c>
      <c r="L623" s="65" t="str">
        <f>IFERROR(__xludf.DUMMYFUNCTION("""COMPUTED_VALUE""")," ")</f>
        <v> </v>
      </c>
      <c r="M623" s="65"/>
      <c r="N623" s="65" t="str">
        <f>IFERROR(__xludf.DUMMYFUNCTION("""COMPUTED_VALUE""")," ")</f>
        <v> </v>
      </c>
    </row>
    <row r="624">
      <c r="A624" s="99" t="str">
        <f>IFERROR(__xludf.DUMMYFUNCTION("""COMPUTED_VALUE"""),"https://utrucking.com/admin/orders/6443545952444")</f>
        <v>https://utrucking.com/admin/orders/6443545952444</v>
      </c>
      <c r="B624" s="61" t="str">
        <f>IFERROR(__xludf.DUMMYFUNCTION("""COMPUTED_VALUE"""),"#17760")</f>
        <v>#17760</v>
      </c>
      <c r="C624" s="61" t="str">
        <f>IFERROR(__xludf.DUMMYFUNCTION("""COMPUTED_VALUE"""),"zihanz@wustl.edu")</f>
        <v>zihanz@wustl.edu</v>
      </c>
      <c r="D624" s="61">
        <f>IFERROR(__xludf.DUMMYFUNCTION("""COMPUTED_VALUE"""),3.143058028E9)</f>
        <v>3143058028</v>
      </c>
      <c r="E624" s="61" t="str">
        <f>IFERROR(__xludf.DUMMYFUNCTION("""COMPUTED_VALUE"""),"Rita Zhou")</f>
        <v>Rita Zhou</v>
      </c>
      <c r="F624" s="61" t="str">
        <f>IFERROR(__xludf.DUMMYFUNCTION("""COMPUTED_VALUE"""),"Rita Zhou")</f>
        <v>Rita Zhou</v>
      </c>
      <c r="G624" s="61" t="str">
        <f>IFERROR(__xludf.DUMMYFUNCTION("""COMPUTED_VALUE""")," 1 [Included with Registration] / Included Insurance   - ")</f>
        <v> 1 [Included with Registration] / Included Insurance   - </v>
      </c>
      <c r="H624" s="61" t="str">
        <f>IFERROR(__xludf.DUMMYFUNCTION("""COMPUTED_VALUE"""),"Umrath  ")</f>
        <v>Umrath  </v>
      </c>
      <c r="I624" s="61" t="str">
        <f>IFERROR(__xludf.DUMMYFUNCTION("""COMPUTED_VALUE"""),"3333")</f>
        <v>3333</v>
      </c>
      <c r="J624" s="107" t="str">
        <f>IFERROR(__xludf.DUMMYFUNCTION("""COMPUTED_VALUE"""),"09:00 AM to 11:00 AM  ")</f>
        <v>09:00 AM to 11:00 AM  </v>
      </c>
      <c r="K624" s="100">
        <f>IFERROR(__xludf.DUMMYFUNCTION("""COMPUTED_VALUE"""),46144.0)</f>
        <v>46144</v>
      </c>
      <c r="L624" s="61" t="str">
        <f>IFERROR(__xludf.DUMMYFUNCTION("""COMPUTED_VALUE""")," ")</f>
        <v> </v>
      </c>
      <c r="M624" s="61"/>
      <c r="N624" s="61" t="str">
        <f>IFERROR(__xludf.DUMMYFUNCTION("""COMPUTED_VALUE""")," ")</f>
        <v> </v>
      </c>
    </row>
    <row r="625">
      <c r="A625" s="102" t="str">
        <f>IFERROR(__xludf.DUMMYFUNCTION("""COMPUTED_VALUE"""),"https://utrucking.com/admin/orders/6443617714364")</f>
        <v>https://utrucking.com/admin/orders/6443617714364</v>
      </c>
      <c r="B625" s="65" t="str">
        <f>IFERROR(__xludf.DUMMYFUNCTION("""COMPUTED_VALUE"""),"#17761")</f>
        <v>#17761</v>
      </c>
      <c r="C625" s="65" t="str">
        <f>IFERROR(__xludf.DUMMYFUNCTION("""COMPUTED_VALUE"""),"dianazeldin@gmail.com")</f>
        <v>dianazeldin@gmail.com</v>
      </c>
      <c r="D625" s="65">
        <f>IFERROR(__xludf.DUMMYFUNCTION("""COMPUTED_VALUE"""),2.0244133E9)</f>
        <v>2024413300</v>
      </c>
      <c r="E625" s="65" t="str">
        <f>IFERROR(__xludf.DUMMYFUNCTION("""COMPUTED_VALUE"""),"Diana Zeldin")</f>
        <v>Diana Zeldin</v>
      </c>
      <c r="F625" s="65" t="str">
        <f>IFERROR(__xludf.DUMMYFUNCTION("""COMPUTED_VALUE"""),"Arianna Zeldin")</f>
        <v>Arianna Zeldin</v>
      </c>
      <c r="G625" s="65" t="str">
        <f>IFERROR(__xludf.DUMMYFUNCTION("""COMPUTED_VALUE""")," 1 [Included with Registration] / Included Insurance   - ")</f>
        <v> 1 [Included with Registration] / Included Insurance   - </v>
      </c>
      <c r="H625" s="65" t="str">
        <f>IFERROR(__xludf.DUMMYFUNCTION("""COMPUTED_VALUE"""),"Wheeler  ")</f>
        <v>Wheeler  </v>
      </c>
      <c r="I625" s="65" t="str">
        <f>IFERROR(__xludf.DUMMYFUNCTION("""COMPUTED_VALUE"""),"4071")</f>
        <v>4071</v>
      </c>
      <c r="J625" s="108" t="str">
        <f>IFERROR(__xludf.DUMMYFUNCTION("""COMPUTED_VALUE"""),"03:00 PM to 05:00 PM")</f>
        <v>03:00 PM to 05:00 PM</v>
      </c>
      <c r="K625" s="103">
        <f>IFERROR(__xludf.DUMMYFUNCTION("""COMPUTED_VALUE"""),46149.0)</f>
        <v>46149</v>
      </c>
      <c r="L625" s="65" t="str">
        <f>IFERROR(__xludf.DUMMYFUNCTION("""COMPUTED_VALUE""")," ")</f>
        <v> </v>
      </c>
      <c r="M625" s="65"/>
      <c r="N625" s="65" t="str">
        <f>IFERROR(__xludf.DUMMYFUNCTION("""COMPUTED_VALUE""")," ")</f>
        <v> </v>
      </c>
    </row>
    <row r="626">
      <c r="A626" s="99" t="str">
        <f>IFERROR(__xludf.DUMMYFUNCTION("""COMPUTED_VALUE"""),"https://utrucking.com/admin/orders/6443724636348")</f>
        <v>https://utrucking.com/admin/orders/6443724636348</v>
      </c>
      <c r="B626" s="61" t="str">
        <f>IFERROR(__xludf.DUMMYFUNCTION("""COMPUTED_VALUE"""),"#17763")</f>
        <v>#17763</v>
      </c>
      <c r="C626" s="61" t="str">
        <f>IFERROR(__xludf.DUMMYFUNCTION("""COMPUTED_VALUE"""),"ilanroi2618@gmail.com")</f>
        <v>ilanroi2618@gmail.com</v>
      </c>
      <c r="D626" s="61">
        <f>IFERROR(__xludf.DUMMYFUNCTION("""COMPUTED_VALUE"""),7.542650198E9)</f>
        <v>7542650198</v>
      </c>
      <c r="E626" s="61" t="str">
        <f>IFERROR(__xludf.DUMMYFUNCTION("""COMPUTED_VALUE"""),"Alan Roisenfeld")</f>
        <v>Alan Roisenfeld</v>
      </c>
      <c r="F626" s="61" t="str">
        <f>IFERROR(__xludf.DUMMYFUNCTION("""COMPUTED_VALUE"""),"Ilan Roisenfeld ")</f>
        <v>Ilan Roisenfeld </v>
      </c>
      <c r="G626" s="61" t="str">
        <f>IFERROR(__xludf.DUMMYFUNCTION("""COMPUTED_VALUE""")," 1 [Included with Registration] / Included Insurance   - ")</f>
        <v> 1 [Included with Registration] / Included Insurance   - </v>
      </c>
      <c r="H626" s="61" t="str">
        <f>IFERROR(__xludf.DUMMYFUNCTION("""COMPUTED_VALUE"""),"House 21 (Alpha Epsilon Pi)  ")</f>
        <v>House 21 (Alpha Epsilon Pi)  </v>
      </c>
      <c r="I626" s="61" t="str">
        <f>IFERROR(__xludf.DUMMYFUNCTION("""COMPUTED_VALUE"""),"1041")</f>
        <v>1041</v>
      </c>
      <c r="J626" s="107" t="str">
        <f>IFERROR(__xludf.DUMMYFUNCTION("""COMPUTED_VALUE"""),"09:00 AM to 11:00 AM  ")</f>
        <v>09:00 AM to 11:00 AM  </v>
      </c>
      <c r="K626" s="100">
        <f>IFERROR(__xludf.DUMMYFUNCTION("""COMPUTED_VALUE"""),46144.0)</f>
        <v>46144</v>
      </c>
      <c r="L626" s="61" t="str">
        <f>IFERROR(__xludf.DUMMYFUNCTION("""COMPUTED_VALUE""")," ")</f>
        <v> </v>
      </c>
      <c r="M626" s="61"/>
      <c r="N626" s="61" t="str">
        <f>IFERROR(__xludf.DUMMYFUNCTION("""COMPUTED_VALUE""")," ")</f>
        <v> </v>
      </c>
    </row>
    <row r="627">
      <c r="A627" s="102" t="str">
        <f>IFERROR(__xludf.DUMMYFUNCTION("""COMPUTED_VALUE"""),"https://utrucking.com/admin/orders/6443859607740")</f>
        <v>https://utrucking.com/admin/orders/6443859607740</v>
      </c>
      <c r="B627" s="65" t="str">
        <f>IFERROR(__xludf.DUMMYFUNCTION("""COMPUTED_VALUE"""),"#17764")</f>
        <v>#17764</v>
      </c>
      <c r="C627" s="65" t="str">
        <f>IFERROR(__xludf.DUMMYFUNCTION("""COMPUTED_VALUE"""),"h.yujin@wustl.edu")</f>
        <v>h.yujin@wustl.edu</v>
      </c>
      <c r="D627" s="65">
        <f>IFERROR(__xludf.DUMMYFUNCTION("""COMPUTED_VALUE"""),3.144377856E9)</f>
        <v>3144377856</v>
      </c>
      <c r="E627" s="65" t="str">
        <f>IFERROR(__xludf.DUMMYFUNCTION("""COMPUTED_VALUE"""),"Zerui Wang")</f>
        <v>Zerui Wang</v>
      </c>
      <c r="F627" s="65" t="str">
        <f>IFERROR(__xludf.DUMMYFUNCTION("""COMPUTED_VALUE"""),"Yujin He")</f>
        <v>Yujin He</v>
      </c>
      <c r="G627" s="65" t="str">
        <f>IFERROR(__xludf.DUMMYFUNCTION("""COMPUTED_VALUE""")," 0 / Included Insurance   - ")</f>
        <v> 0 / Included Insurance   - </v>
      </c>
      <c r="H627" s="65"/>
      <c r="I627" s="65"/>
      <c r="J627" s="108" t="str">
        <f>IFERROR(__xludf.DUMMYFUNCTION("""COMPUTED_VALUE"""),"12:00 PM to 02:00 PM  ")</f>
        <v>12:00 PM to 02:00 PM  </v>
      </c>
      <c r="K627" s="103">
        <f>IFERROR(__xludf.DUMMYFUNCTION("""COMPUTED_VALUE"""),46139.0)</f>
        <v>46139</v>
      </c>
      <c r="L627" s="65" t="str">
        <f>IFERROR(__xludf.DUMMYFUNCTION("""COMPUTED_VALUE""")," ")</f>
        <v> </v>
      </c>
      <c r="M627" s="65" t="str">
        <f>IFERROR(__xludf.DUMMYFUNCTION("""COMPUTED_VALUE"""),"605 Leland Ave, University City, MO, 63130; University Squares Apartment")</f>
        <v>605 Leland Ave, University City, MO, 63130; University Squares Apartment</v>
      </c>
      <c r="N627" s="65" t="str">
        <f>IFERROR(__xludf.DUMMYFUNCTION("""COMPUTED_VALUE""")," ")</f>
        <v> </v>
      </c>
    </row>
    <row r="628">
      <c r="A628" s="99" t="str">
        <f>IFERROR(__xludf.DUMMYFUNCTION("""COMPUTED_VALUE"""),"https://utrucking.com/admin/orders/6443924619452")</f>
        <v>https://utrucking.com/admin/orders/6443924619452</v>
      </c>
      <c r="B628" s="61" t="str">
        <f>IFERROR(__xludf.DUMMYFUNCTION("""COMPUTED_VALUE"""),"#17766")</f>
        <v>#17766</v>
      </c>
      <c r="C628" s="61" t="str">
        <f>IFERROR(__xludf.DUMMYFUNCTION("""COMPUTED_VALUE"""),"adrianryanpayne@gmail.com")</f>
        <v>adrianryanpayne@gmail.com</v>
      </c>
      <c r="D628" s="61">
        <f>IFERROR(__xludf.DUMMYFUNCTION("""COMPUTED_VALUE"""),5.512899879E9)</f>
        <v>5512899879</v>
      </c>
      <c r="E628" s="61" t="str">
        <f>IFERROR(__xludf.DUMMYFUNCTION("""COMPUTED_VALUE"""),"Adrian Payne")</f>
        <v>Adrian Payne</v>
      </c>
      <c r="F628" s="61" t="str">
        <f>IFERROR(__xludf.DUMMYFUNCTION("""COMPUTED_VALUE"""),"Adrian Payne")</f>
        <v>Adrian Payne</v>
      </c>
      <c r="G628" s="61" t="str">
        <f>IFERROR(__xludf.DUMMYFUNCTION("""COMPUTED_VALUE""")," 2 / Included Insurance   - ")</f>
        <v> 2 / Included Insurance   - </v>
      </c>
      <c r="H628" s="61" t="str">
        <f>IFERROR(__xludf.DUMMYFUNCTION("""COMPUTED_VALUE"""),"Lee  ")</f>
        <v>Lee  </v>
      </c>
      <c r="I628" s="61" t="str">
        <f>IFERROR(__xludf.DUMMYFUNCTION("""COMPUTED_VALUE"""),"205-a")</f>
        <v>205-a</v>
      </c>
      <c r="J628" s="107" t="str">
        <f>IFERROR(__xludf.DUMMYFUNCTION("""COMPUTED_VALUE"""),"09:00 AM to 11:00 AM  ")</f>
        <v>09:00 AM to 11:00 AM  </v>
      </c>
      <c r="K628" s="100">
        <f>IFERROR(__xludf.DUMMYFUNCTION("""COMPUTED_VALUE"""),46148.0)</f>
        <v>46148</v>
      </c>
      <c r="L628" s="61" t="str">
        <f>IFERROR(__xludf.DUMMYFUNCTION("""COMPUTED_VALUE""")," ")</f>
        <v> </v>
      </c>
      <c r="M628" s="61"/>
      <c r="N628" s="61" t="str">
        <f>IFERROR(__xludf.DUMMYFUNCTION("""COMPUTED_VALUE""")," ")</f>
        <v> </v>
      </c>
    </row>
    <row r="629">
      <c r="A629" s="102" t="str">
        <f>IFERROR(__xludf.DUMMYFUNCTION("""COMPUTED_VALUE"""),"https://utrucking.com/admin/orders/6444060049596")</f>
        <v>https://utrucking.com/admin/orders/6444060049596</v>
      </c>
      <c r="B629" s="65" t="str">
        <f>IFERROR(__xludf.DUMMYFUNCTION("""COMPUTED_VALUE"""),"#17768")</f>
        <v>#17768</v>
      </c>
      <c r="C629" s="65" t="str">
        <f>IFERROR(__xludf.DUMMYFUNCTION("""COMPUTED_VALUE"""),"rebeccagodoy802@gmail.com")</f>
        <v>rebeccagodoy802@gmail.com</v>
      </c>
      <c r="D629" s="65">
        <f>IFERROR(__xludf.DUMMYFUNCTION("""COMPUTED_VALUE"""),4.582195751E9)</f>
        <v>4582195751</v>
      </c>
      <c r="E629" s="65" t="str">
        <f>IFERROR(__xludf.DUMMYFUNCTION("""COMPUTED_VALUE"""),"Rebecca Godoy")</f>
        <v>Rebecca Godoy</v>
      </c>
      <c r="F629" s="65" t="str">
        <f>IFERROR(__xludf.DUMMYFUNCTION("""COMPUTED_VALUE"""),"Rebecca Godoy")</f>
        <v>Rebecca Godoy</v>
      </c>
      <c r="G629" s="65" t="str">
        <f>IFERROR(__xludf.DUMMYFUNCTION("""COMPUTED_VALUE""")," 1 [Included with Registration] / Included Insurance   - ")</f>
        <v> 1 [Included with Registration] / Included Insurance   - </v>
      </c>
      <c r="H629" s="65" t="str">
        <f>IFERROR(__xludf.DUMMYFUNCTION("""COMPUTED_VALUE"""),"Shanedling  ")</f>
        <v>Shanedling  </v>
      </c>
      <c r="I629" s="65" t="str">
        <f>IFERROR(__xludf.DUMMYFUNCTION("""COMPUTED_VALUE"""),"312")</f>
        <v>312</v>
      </c>
      <c r="J629" s="108" t="str">
        <f>IFERROR(__xludf.DUMMYFUNCTION("""COMPUTED_VALUE"""),"12:00 PM to 02:00 PM  ")</f>
        <v>12:00 PM to 02:00 PM  </v>
      </c>
      <c r="K629" s="103">
        <f>IFERROR(__xludf.DUMMYFUNCTION("""COMPUTED_VALUE"""),46148.0)</f>
        <v>46148</v>
      </c>
      <c r="L629" s="65" t="str">
        <f>IFERROR(__xludf.DUMMYFUNCTION("""COMPUTED_VALUE""")," ")</f>
        <v> </v>
      </c>
      <c r="M629" s="65"/>
      <c r="N629" s="65" t="str">
        <f>IFERROR(__xludf.DUMMYFUNCTION("""COMPUTED_VALUE""")," ")</f>
        <v> </v>
      </c>
    </row>
    <row r="630">
      <c r="A630" s="99" t="str">
        <f>IFERROR(__xludf.DUMMYFUNCTION("""COMPUTED_VALUE"""),"https://utrucking.com/admin/orders/6444082790588")</f>
        <v>https://utrucking.com/admin/orders/6444082790588</v>
      </c>
      <c r="B630" s="61" t="str">
        <f>IFERROR(__xludf.DUMMYFUNCTION("""COMPUTED_VALUE"""),"#17769")</f>
        <v>#17769</v>
      </c>
      <c r="C630" s="61" t="str">
        <f>IFERROR(__xludf.DUMMYFUNCTION("""COMPUTED_VALUE"""),"k.lucia@wustl.edu")</f>
        <v>k.lucia@wustl.edu</v>
      </c>
      <c r="D630" s="61">
        <f>IFERROR(__xludf.DUMMYFUNCTION("""COMPUTED_VALUE"""),7.73750107E9)</f>
        <v>7737501070</v>
      </c>
      <c r="E630" s="61" t="str">
        <f>IFERROR(__xludf.DUMMYFUNCTION("""COMPUTED_VALUE"""),"Julia Rodriguez")</f>
        <v>Julia Rodriguez</v>
      </c>
      <c r="F630" s="61" t="str">
        <f>IFERROR(__xludf.DUMMYFUNCTION("""COMPUTED_VALUE"""),"Lucia Kreimont")</f>
        <v>Lucia Kreimont</v>
      </c>
      <c r="G630" s="61" t="str">
        <f>IFERROR(__xludf.DUMMYFUNCTION("""COMPUTED_VALUE""")," 1 [Included with Registration] / Included Insurance   - ")</f>
        <v> 1 [Included with Registration] / Included Insurance   - </v>
      </c>
      <c r="H630" s="61" t="str">
        <f>IFERROR(__xludf.DUMMYFUNCTION("""COMPUTED_VALUE"""),"Mudd  ")</f>
        <v>Mudd  </v>
      </c>
      <c r="I630" s="61" t="str">
        <f>IFERROR(__xludf.DUMMYFUNCTION("""COMPUTED_VALUE"""),"351")</f>
        <v>351</v>
      </c>
      <c r="J630" s="107" t="str">
        <f>IFERROR(__xludf.DUMMYFUNCTION("""COMPUTED_VALUE"""),"03:00 PM to 05:00 PM")</f>
        <v>03:00 PM to 05:00 PM</v>
      </c>
      <c r="K630" s="100">
        <f>IFERROR(__xludf.DUMMYFUNCTION("""COMPUTED_VALUE"""),46143.0)</f>
        <v>46143</v>
      </c>
      <c r="L630" s="61" t="str">
        <f>IFERROR(__xludf.DUMMYFUNCTION("""COMPUTED_VALUE""")," ")</f>
        <v> </v>
      </c>
      <c r="M630" s="61"/>
      <c r="N630" s="61" t="str">
        <f>IFERROR(__xludf.DUMMYFUNCTION("""COMPUTED_VALUE""")," ")</f>
        <v> </v>
      </c>
    </row>
    <row r="631">
      <c r="A631" s="102" t="str">
        <f>IFERROR(__xludf.DUMMYFUNCTION("""COMPUTED_VALUE"""),"https://utrucking.com/admin/orders/6444089376956")</f>
        <v>https://utrucking.com/admin/orders/6444089376956</v>
      </c>
      <c r="B631" s="65" t="str">
        <f>IFERROR(__xludf.DUMMYFUNCTION("""COMPUTED_VALUE"""),"#17770")</f>
        <v>#17770</v>
      </c>
      <c r="C631" s="65" t="str">
        <f>IFERROR(__xludf.DUMMYFUNCTION("""COMPUTED_VALUE"""),"mxiaoyang@wustl.edu")</f>
        <v>mxiaoyang@wustl.edu</v>
      </c>
      <c r="D631" s="65">
        <f>IFERROR(__xludf.DUMMYFUNCTION("""COMPUTED_VALUE"""),3.14297997E9)</f>
        <v>3142979970</v>
      </c>
      <c r="E631" s="65" t="str">
        <f>IFERROR(__xludf.DUMMYFUNCTION("""COMPUTED_VALUE"""),"Xiaoyang Mao")</f>
        <v>Xiaoyang Mao</v>
      </c>
      <c r="F631" s="65" t="str">
        <f>IFERROR(__xludf.DUMMYFUNCTION("""COMPUTED_VALUE"""),"Mark Mao")</f>
        <v>Mark Mao</v>
      </c>
      <c r="G631" s="65" t="str">
        <f>IFERROR(__xludf.DUMMYFUNCTION("""COMPUTED_VALUE""")," 1 [Included with Registration] / Included Insurance   - ")</f>
        <v> 1 [Included with Registration] / Included Insurance   - </v>
      </c>
      <c r="H631" s="65" t="str">
        <f>IFERROR(__xludf.DUMMYFUNCTION("""COMPUTED_VALUE"""),"6053 Waterman Blvd")</f>
        <v>6053 Waterman Blvd</v>
      </c>
      <c r="I631" s="65" t="str">
        <f>IFERROR(__xludf.DUMMYFUNCTION("""COMPUTED_VALUE"""),"3N-A")</f>
        <v>3N-A</v>
      </c>
      <c r="J631" s="108" t="str">
        <f>IFERROR(__xludf.DUMMYFUNCTION("""COMPUTED_VALUE"""),"09:00 AM to 11:00 AM  ")</f>
        <v>09:00 AM to 11:00 AM  </v>
      </c>
      <c r="K631" s="103">
        <f>IFERROR(__xludf.DUMMYFUNCTION("""COMPUTED_VALUE"""),46144.0)</f>
        <v>46144</v>
      </c>
      <c r="L631" s="65" t="str">
        <f>IFERROR(__xludf.DUMMYFUNCTION("""COMPUTED_VALUE""")," ")</f>
        <v> </v>
      </c>
      <c r="M631" s="65"/>
      <c r="N631" s="65" t="str">
        <f>IFERROR(__xludf.DUMMYFUNCTION("""COMPUTED_VALUE""")," ")</f>
        <v> </v>
      </c>
    </row>
    <row r="632">
      <c r="A632" s="99" t="str">
        <f>IFERROR(__xludf.DUMMYFUNCTION("""COMPUTED_VALUE"""),"https://utrucking.com/admin/orders/6444142985404")</f>
        <v>https://utrucking.com/admin/orders/6444142985404</v>
      </c>
      <c r="B632" s="61" t="str">
        <f>IFERROR(__xludf.DUMMYFUNCTION("""COMPUTED_VALUE"""),"#17771")</f>
        <v>#17771</v>
      </c>
      <c r="C632" s="61" t="str">
        <f>IFERROR(__xludf.DUMMYFUNCTION("""COMPUTED_VALUE"""),"garciay@wustl.edu")</f>
        <v>garciay@wustl.edu</v>
      </c>
      <c r="D632" s="61">
        <f>IFERROR(__xludf.DUMMYFUNCTION("""COMPUTED_VALUE"""),9.158926375E9)</f>
        <v>9158926375</v>
      </c>
      <c r="E632" s="61" t="str">
        <f>IFERROR(__xludf.DUMMYFUNCTION("""COMPUTED_VALUE"""),"Yuridia Garcia")</f>
        <v>Yuridia Garcia</v>
      </c>
      <c r="F632" s="61" t="str">
        <f>IFERROR(__xludf.DUMMYFUNCTION("""COMPUTED_VALUE"""),"Yuridia Garcia")</f>
        <v>Yuridia Garcia</v>
      </c>
      <c r="G632" s="61" t="str">
        <f>IFERROR(__xludf.DUMMYFUNCTION("""COMPUTED_VALUE""")," 1 [Included with Registration] / Included Insurance   - ")</f>
        <v> 1 [Included with Registration] / Included Insurance   - </v>
      </c>
      <c r="H632" s="61" t="str">
        <f>IFERROR(__xludf.DUMMYFUNCTION("""COMPUTED_VALUE"""),"Lee  ")</f>
        <v>Lee  </v>
      </c>
      <c r="I632" s="61" t="str">
        <f>IFERROR(__xludf.DUMMYFUNCTION("""COMPUTED_VALUE"""),"214")</f>
        <v>214</v>
      </c>
      <c r="J632" s="107" t="str">
        <f>IFERROR(__xludf.DUMMYFUNCTION("""COMPUTED_VALUE"""),"09:00 AM to 11:00 AM  ")</f>
        <v>09:00 AM to 11:00 AM  </v>
      </c>
      <c r="K632" s="100">
        <f>IFERROR(__xludf.DUMMYFUNCTION("""COMPUTED_VALUE"""),46149.0)</f>
        <v>46149</v>
      </c>
      <c r="L632" s="61" t="str">
        <f>IFERROR(__xludf.DUMMYFUNCTION("""COMPUTED_VALUE""")," ")</f>
        <v> </v>
      </c>
      <c r="M632" s="61"/>
      <c r="N632" s="61" t="str">
        <f>IFERROR(__xludf.DUMMYFUNCTION("""COMPUTED_VALUE""")," ")</f>
        <v> </v>
      </c>
    </row>
    <row r="633">
      <c r="A633" s="102" t="str">
        <f>IFERROR(__xludf.DUMMYFUNCTION("""COMPUTED_VALUE"""),"https://utrucking.com/admin/orders/6444145770684")</f>
        <v>https://utrucking.com/admin/orders/6444145770684</v>
      </c>
      <c r="B633" s="65" t="str">
        <f>IFERROR(__xludf.DUMMYFUNCTION("""COMPUTED_VALUE"""),"#17772")</f>
        <v>#17772</v>
      </c>
      <c r="C633" s="65" t="str">
        <f>IFERROR(__xludf.DUMMYFUNCTION("""COMPUTED_VALUE"""),"ashayna@wustl.edu")</f>
        <v>ashayna@wustl.edu</v>
      </c>
      <c r="D633" s="65">
        <f>IFERROR(__xludf.DUMMYFUNCTION("""COMPUTED_VALUE"""),8.325204933E9)</f>
        <v>8325204933</v>
      </c>
      <c r="E633" s="65" t="str">
        <f>IFERROR(__xludf.DUMMYFUNCTION("""COMPUTED_VALUE"""),"Shayna Aidasani")</f>
        <v>Shayna Aidasani</v>
      </c>
      <c r="F633" s="65" t="str">
        <f>IFERROR(__xludf.DUMMYFUNCTION("""COMPUTED_VALUE"""),"Shayna Aidasani")</f>
        <v>Shayna Aidasani</v>
      </c>
      <c r="G633" s="65" t="str">
        <f>IFERROR(__xludf.DUMMYFUNCTION("""COMPUTED_VALUE""")," 2 / Included Insurance   - ")</f>
        <v> 2 / Included Insurance   - </v>
      </c>
      <c r="H633" s="65" t="str">
        <f>IFERROR(__xludf.DUMMYFUNCTION("""COMPUTED_VALUE"""),"Lien  ")</f>
        <v>Lien  </v>
      </c>
      <c r="I633" s="65" t="str">
        <f>IFERROR(__xludf.DUMMYFUNCTION("""COMPUTED_VALUE"""),"1110")</f>
        <v>1110</v>
      </c>
      <c r="J633" s="108" t="str">
        <f>IFERROR(__xludf.DUMMYFUNCTION("""COMPUTED_VALUE"""),"03:00 PM to 05:00 PM")</f>
        <v>03:00 PM to 05:00 PM</v>
      </c>
      <c r="K633" s="103">
        <f>IFERROR(__xludf.DUMMYFUNCTION("""COMPUTED_VALUE"""),46144.0)</f>
        <v>46144</v>
      </c>
      <c r="L633" s="65" t="str">
        <f>IFERROR(__xludf.DUMMYFUNCTION("""COMPUTED_VALUE""")," ")</f>
        <v> </v>
      </c>
      <c r="M633" s="65"/>
      <c r="N633" s="65" t="str">
        <f>IFERROR(__xludf.DUMMYFUNCTION("""COMPUTED_VALUE""")," ")</f>
        <v> </v>
      </c>
    </row>
    <row r="634">
      <c r="A634" s="99" t="str">
        <f>IFERROR(__xludf.DUMMYFUNCTION("""COMPUTED_VALUE"""),"https://utrucking.com/admin/orders/6444433408188")</f>
        <v>https://utrucking.com/admin/orders/6444433408188</v>
      </c>
      <c r="B634" s="61" t="str">
        <f>IFERROR(__xludf.DUMMYFUNCTION("""COMPUTED_VALUE"""),"#17774")</f>
        <v>#17774</v>
      </c>
      <c r="C634" s="61" t="str">
        <f>IFERROR(__xludf.DUMMYFUNCTION("""COMPUTED_VALUE"""),"c.winfrey@wustl.edu")</f>
        <v>c.winfrey@wustl.edu</v>
      </c>
      <c r="D634" s="61">
        <f>IFERROR(__xludf.DUMMYFUNCTION("""COMPUTED_VALUE"""),8.134516644E9)</f>
        <v>8134516644</v>
      </c>
      <c r="E634" s="61" t="str">
        <f>IFERROR(__xludf.DUMMYFUNCTION("""COMPUTED_VALUE"""),"Yeniley Winfrey")</f>
        <v>Yeniley Winfrey</v>
      </c>
      <c r="F634" s="61" t="str">
        <f>IFERROR(__xludf.DUMMYFUNCTION("""COMPUTED_VALUE"""),"Camila Winfrey")</f>
        <v>Camila Winfrey</v>
      </c>
      <c r="G634" s="61" t="str">
        <f>IFERROR(__xludf.DUMMYFUNCTION("""COMPUTED_VALUE""")," 1 [Included with Registration] / Included Insurance   - ")</f>
        <v> 1 [Included with Registration] / Included Insurance   - </v>
      </c>
      <c r="H634" s="61" t="str">
        <f>IFERROR(__xludf.DUMMYFUNCTION("""COMPUTED_VALUE"""),"Umrath  ")</f>
        <v>Umrath  </v>
      </c>
      <c r="I634" s="61" t="str">
        <f>IFERROR(__xludf.DUMMYFUNCTION("""COMPUTED_VALUE"""),"3309")</f>
        <v>3309</v>
      </c>
      <c r="J634" s="107" t="str">
        <f>IFERROR(__xludf.DUMMYFUNCTION("""COMPUTED_VALUE"""),"02:00 PM to 04:00 PM")</f>
        <v>02:00 PM to 04:00 PM</v>
      </c>
      <c r="K634" s="100">
        <f>IFERROR(__xludf.DUMMYFUNCTION("""COMPUTED_VALUE"""),46149.0)</f>
        <v>46149</v>
      </c>
      <c r="L634" s="61" t="str">
        <f>IFERROR(__xludf.DUMMYFUNCTION("""COMPUTED_VALUE""")," ")</f>
        <v> </v>
      </c>
      <c r="M634" s="61"/>
      <c r="N634" s="61" t="str">
        <f>IFERROR(__xludf.DUMMYFUNCTION("""COMPUTED_VALUE""")," ")</f>
        <v> </v>
      </c>
    </row>
    <row r="635">
      <c r="A635" s="102" t="str">
        <f>IFERROR(__xludf.DUMMYFUNCTION("""COMPUTED_VALUE"""),"https://utrucking.com/admin/orders/6444735168700")</f>
        <v>https://utrucking.com/admin/orders/6444735168700</v>
      </c>
      <c r="B635" s="65" t="str">
        <f>IFERROR(__xludf.DUMMYFUNCTION("""COMPUTED_VALUE"""),"#17776")</f>
        <v>#17776</v>
      </c>
      <c r="C635" s="65" t="str">
        <f>IFERROR(__xludf.DUMMYFUNCTION("""COMPUTED_VALUE"""),"a.burakiewicz@wustl.edu")</f>
        <v>a.burakiewicz@wustl.edu</v>
      </c>
      <c r="D635" s="65">
        <f>IFERROR(__xludf.DUMMYFUNCTION("""COMPUTED_VALUE"""),2.407516583E9)</f>
        <v>2407516583</v>
      </c>
      <c r="E635" s="65" t="str">
        <f>IFERROR(__xludf.DUMMYFUNCTION("""COMPUTED_VALUE"""),"Heidi Burakiewicz")</f>
        <v>Heidi Burakiewicz</v>
      </c>
      <c r="F635" s="65" t="str">
        <f>IFERROR(__xludf.DUMMYFUNCTION("""COMPUTED_VALUE"""),"Addison Burakiewicz")</f>
        <v>Addison Burakiewicz</v>
      </c>
      <c r="G635" s="65" t="str">
        <f>IFERROR(__xludf.DUMMYFUNCTION("""COMPUTED_VALUE""")," 1 [Included with Registration] / Included Insurance   - ")</f>
        <v> 1 [Included with Registration] / Included Insurance   - </v>
      </c>
      <c r="H635" s="65" t="str">
        <f>IFERROR(__xludf.DUMMYFUNCTION("""COMPUTED_VALUE"""),"Beaumont  ")</f>
        <v>Beaumont  </v>
      </c>
      <c r="I635" s="65" t="str">
        <f>IFERROR(__xludf.DUMMYFUNCTION("""COMPUTED_VALUE"""),"303")</f>
        <v>303</v>
      </c>
      <c r="J635" s="108" t="str">
        <f>IFERROR(__xludf.DUMMYFUNCTION("""COMPUTED_VALUE"""),"10:00 AM to 12:00 PM  ")</f>
        <v>10:00 AM to 12:00 PM  </v>
      </c>
      <c r="K635" s="103">
        <f>IFERROR(__xludf.DUMMYFUNCTION("""COMPUTED_VALUE"""),46155.0)</f>
        <v>46155</v>
      </c>
      <c r="L635" s="65" t="str">
        <f>IFERROR(__xludf.DUMMYFUNCTION("""COMPUTED_VALUE""")," ")</f>
        <v> </v>
      </c>
      <c r="M635" s="65"/>
      <c r="N635" s="65" t="str">
        <f>IFERROR(__xludf.DUMMYFUNCTION("""COMPUTED_VALUE""")," ")</f>
        <v> </v>
      </c>
    </row>
    <row r="636">
      <c r="A636" s="99" t="str">
        <f>IFERROR(__xludf.DUMMYFUNCTION("""COMPUTED_VALUE"""),"https://utrucking.com/admin/orders/6444743983292")</f>
        <v>https://utrucking.com/admin/orders/6444743983292</v>
      </c>
      <c r="B636" s="61" t="str">
        <f>IFERROR(__xludf.DUMMYFUNCTION("""COMPUTED_VALUE"""),"#17777")</f>
        <v>#17777</v>
      </c>
      <c r="C636" s="61" t="str">
        <f>IFERROR(__xludf.DUMMYFUNCTION("""COMPUTED_VALUE"""),"a.c.hansen@wustl.edu")</f>
        <v>a.c.hansen@wustl.edu</v>
      </c>
      <c r="D636" s="61">
        <f>IFERROR(__xludf.DUMMYFUNCTION("""COMPUTED_VALUE"""),5.132183219E9)</f>
        <v>5132183219</v>
      </c>
      <c r="E636" s="61" t="str">
        <f>IFERROR(__xludf.DUMMYFUNCTION("""COMPUTED_VALUE"""),"Andie Hansen")</f>
        <v>Andie Hansen</v>
      </c>
      <c r="F636" s="61" t="str">
        <f>IFERROR(__xludf.DUMMYFUNCTION("""COMPUTED_VALUE"""),"Andie Hansen")</f>
        <v>Andie Hansen</v>
      </c>
      <c r="G636" s="61" t="str">
        <f>IFERROR(__xludf.DUMMYFUNCTION("""COMPUTED_VALUE""")," 1 [Included with Registration] / Included Insurance   - ")</f>
        <v> 1 [Included with Registration] / Included Insurance   - </v>
      </c>
      <c r="H636" s="61" t="str">
        <f>IFERROR(__xludf.DUMMYFUNCTION("""COMPUTED_VALUE"""),"Gregg  ")</f>
        <v>Gregg  </v>
      </c>
      <c r="I636" s="61" t="str">
        <f>IFERROR(__xludf.DUMMYFUNCTION("""COMPUTED_VALUE"""),"3080")</f>
        <v>3080</v>
      </c>
      <c r="J636" s="107" t="str">
        <f>IFERROR(__xludf.DUMMYFUNCTION("""COMPUTED_VALUE"""),"11:00 AM to 01:00 PM  ")</f>
        <v>11:00 AM to 01:00 PM  </v>
      </c>
      <c r="K636" s="100">
        <f>IFERROR(__xludf.DUMMYFUNCTION("""COMPUTED_VALUE"""),46144.0)</f>
        <v>46144</v>
      </c>
      <c r="L636" s="61" t="str">
        <f>IFERROR(__xludf.DUMMYFUNCTION("""COMPUTED_VALUE""")," ")</f>
        <v> </v>
      </c>
      <c r="M636" s="61"/>
      <c r="N636" s="61" t="str">
        <f>IFERROR(__xludf.DUMMYFUNCTION("""COMPUTED_VALUE""")," ")</f>
        <v> </v>
      </c>
    </row>
    <row r="637">
      <c r="A637" s="102" t="str">
        <f>IFERROR(__xludf.DUMMYFUNCTION("""COMPUTED_VALUE"""),"https://admin.shopify.com/store/utrucking/orders/6444753060028?link_source=search")</f>
        <v>https://admin.shopify.com/store/utrucking/orders/6444753060028?link_source=search</v>
      </c>
      <c r="B637" s="65" t="str">
        <f>IFERROR(__xludf.DUMMYFUNCTION("""COMPUTED_VALUE"""),"#17778")</f>
        <v>#17778</v>
      </c>
      <c r="C637" s="65" t="str">
        <f>IFERROR(__xludf.DUMMYFUNCTION("""COMPUTED_VALUE"""),"coco.zhang@wustl.edu")</f>
        <v>coco.zhang@wustl.edu</v>
      </c>
      <c r="D637" s="65" t="str">
        <f>IFERROR(__xludf.DUMMYFUNCTION("""COMPUTED_VALUE"""),"314-240-0505")</f>
        <v>314-240-0505</v>
      </c>
      <c r="E637" s="65" t="str">
        <f>IFERROR(__xludf.DUMMYFUNCTION("""COMPUTED_VALUE"""),"Coco Zhang")</f>
        <v>Coco Zhang</v>
      </c>
      <c r="F637" s="65" t="str">
        <f>IFERROR(__xludf.DUMMYFUNCTION("""COMPUTED_VALUE"""),"Coco Zhang")</f>
        <v>Coco Zhang</v>
      </c>
      <c r="G637" s="65" t="str">
        <f>IFERROR(__xludf.DUMMYFUNCTION("""COMPUTED_VALUE""")," 1 [Included with Registration] / Included Insurance   - ")</f>
        <v> 1 [Included with Registration] / Included Insurance   - </v>
      </c>
      <c r="H637" s="65" t="str">
        <f>IFERROR(__xludf.DUMMYFUNCTION("""COMPUTED_VALUE"""),"Danforth")</f>
        <v>Danforth</v>
      </c>
      <c r="I637" s="65" t="str">
        <f>IFERROR(__xludf.DUMMYFUNCTION("""COMPUTED_VALUE"""),"4421")</f>
        <v>4421</v>
      </c>
      <c r="J637" s="108">
        <f>IFERROR(__xludf.DUMMYFUNCTION("""COMPUTED_VALUE"""),0.75)</f>
        <v>0.75</v>
      </c>
      <c r="K637" s="103">
        <f>IFERROR(__xludf.DUMMYFUNCTION("""COMPUTED_VALUE"""),46145.0)</f>
        <v>46145</v>
      </c>
      <c r="L637" s="65"/>
      <c r="M637" s="65"/>
      <c r="N637" s="65"/>
    </row>
    <row r="638">
      <c r="A638" s="99" t="str">
        <f>IFERROR(__xludf.DUMMYFUNCTION("""COMPUTED_VALUE"""),"https://utrucking.com/admin/orders/6444773867708")</f>
        <v>https://utrucking.com/admin/orders/6444773867708</v>
      </c>
      <c r="B638" s="61" t="str">
        <f>IFERROR(__xludf.DUMMYFUNCTION("""COMPUTED_VALUE"""),"#17779")</f>
        <v>#17779</v>
      </c>
      <c r="C638" s="61" t="str">
        <f>IFERROR(__xludf.DUMMYFUNCTION("""COMPUTED_VALUE"""),"l.mazeeva@wustl.edu")</f>
        <v>l.mazeeva@wustl.edu</v>
      </c>
      <c r="D638" s="61">
        <f>IFERROR(__xludf.DUMMYFUNCTION("""COMPUTED_VALUE"""),4.252731891E9)</f>
        <v>4252731891</v>
      </c>
      <c r="E638" s="61" t="str">
        <f>IFERROR(__xludf.DUMMYFUNCTION("""COMPUTED_VALUE"""),"Lydia Mazeeva")</f>
        <v>Lydia Mazeeva</v>
      </c>
      <c r="F638" s="61" t="str">
        <f>IFERROR(__xludf.DUMMYFUNCTION("""COMPUTED_VALUE"""),"Lydia Mazeeva")</f>
        <v>Lydia Mazeeva</v>
      </c>
      <c r="G638" s="61" t="str">
        <f>IFERROR(__xludf.DUMMYFUNCTION("""COMPUTED_VALUE""")," 2 / Included Insurance   - ")</f>
        <v> 2 / Included Insurance   - </v>
      </c>
      <c r="H638" s="61" t="str">
        <f>IFERROR(__xludf.DUMMYFUNCTION("""COMPUTED_VALUE"""),"6633 University Drive  ")</f>
        <v>6633 University Drive  </v>
      </c>
      <c r="I638" s="61" t="str">
        <f>IFERROR(__xludf.DUMMYFUNCTION("""COMPUTED_VALUE"""),"2W-C")</f>
        <v>2W-C</v>
      </c>
      <c r="J638" s="107" t="str">
        <f>IFERROR(__xludf.DUMMYFUNCTION("""COMPUTED_VALUE"""),"03:00 PM to 05:00 PM")</f>
        <v>03:00 PM to 05:00 PM</v>
      </c>
      <c r="K638" s="100">
        <f>IFERROR(__xludf.DUMMYFUNCTION("""COMPUTED_VALUE"""),46147.0)</f>
        <v>46147</v>
      </c>
      <c r="L638" s="61" t="str">
        <f>IFERROR(__xludf.DUMMYFUNCTION("""COMPUTED_VALUE""")," ")</f>
        <v> </v>
      </c>
      <c r="M638" s="61"/>
      <c r="N638" s="61" t="str">
        <f>IFERROR(__xludf.DUMMYFUNCTION("""COMPUTED_VALUE""")," ")</f>
        <v> </v>
      </c>
    </row>
    <row r="639">
      <c r="A639" s="102" t="str">
        <f>IFERROR(__xludf.DUMMYFUNCTION("""COMPUTED_VALUE"""),"https://utrucking.com/admin/orders/6444848513212")</f>
        <v>https://utrucking.com/admin/orders/6444848513212</v>
      </c>
      <c r="B639" s="65" t="str">
        <f>IFERROR(__xludf.DUMMYFUNCTION("""COMPUTED_VALUE"""),"#17782")</f>
        <v>#17782</v>
      </c>
      <c r="C639" s="65" t="str">
        <f>IFERROR(__xludf.DUMMYFUNCTION("""COMPUTED_VALUE"""),"sophiebongiorno@gmail.com")</f>
        <v>sophiebongiorno@gmail.com</v>
      </c>
      <c r="D639" s="65">
        <f>IFERROR(__xludf.DUMMYFUNCTION("""COMPUTED_VALUE"""),4.154079377E9)</f>
        <v>4154079377</v>
      </c>
      <c r="E639" s="65" t="str">
        <f>IFERROR(__xludf.DUMMYFUNCTION("""COMPUTED_VALUE"""),"Kelly Stiles")</f>
        <v>Kelly Stiles</v>
      </c>
      <c r="F639" s="65" t="str">
        <f>IFERROR(__xludf.DUMMYFUNCTION("""COMPUTED_VALUE"""),"Sophie Bongiorno")</f>
        <v>Sophie Bongiorno</v>
      </c>
      <c r="G639" s="65" t="str">
        <f>IFERROR(__xludf.DUMMYFUNCTION("""COMPUTED_VALUE""")," 2 / Included Insurance   - ")</f>
        <v> 2 / Included Insurance   - </v>
      </c>
      <c r="H639" s="65" t="str">
        <f>IFERROR(__xludf.DUMMYFUNCTION("""COMPUTED_VALUE"""),"Gregg  ")</f>
        <v>Gregg  </v>
      </c>
      <c r="I639" s="65" t="str">
        <f>IFERROR(__xludf.DUMMYFUNCTION("""COMPUTED_VALUE"""),"3142")</f>
        <v>3142</v>
      </c>
      <c r="J639" s="108" t="str">
        <f>IFERROR(__xludf.DUMMYFUNCTION("""COMPUTED_VALUE"""),"02:00 PM to 04:00 PM")</f>
        <v>02:00 PM to 04:00 PM</v>
      </c>
      <c r="K639" s="103">
        <f>IFERROR(__xludf.DUMMYFUNCTION("""COMPUTED_VALUE"""),46146.0)</f>
        <v>46146</v>
      </c>
      <c r="L639" s="65" t="str">
        <f>IFERROR(__xludf.DUMMYFUNCTION("""COMPUTED_VALUE""")," ")</f>
        <v> </v>
      </c>
      <c r="M639" s="65"/>
      <c r="N639" s="65" t="str">
        <f>IFERROR(__xludf.DUMMYFUNCTION("""COMPUTED_VALUE""")," ")</f>
        <v> </v>
      </c>
    </row>
    <row r="640">
      <c r="A640" s="99" t="str">
        <f>IFERROR(__xludf.DUMMYFUNCTION("""COMPUTED_VALUE"""),"https://utrucking.com/admin/orders/6444879413436")</f>
        <v>https://utrucking.com/admin/orders/6444879413436</v>
      </c>
      <c r="B640" s="61" t="str">
        <f>IFERROR(__xludf.DUMMYFUNCTION("""COMPUTED_VALUE"""),"#17783")</f>
        <v>#17783</v>
      </c>
      <c r="C640" s="61" t="str">
        <f>IFERROR(__xludf.DUMMYFUNCTION("""COMPUTED_VALUE"""),"a.r.victor@wustl.edu")</f>
        <v>a.r.victor@wustl.edu</v>
      </c>
      <c r="D640" s="61">
        <f>IFERROR(__xludf.DUMMYFUNCTION("""COMPUTED_VALUE"""),2.486729306E9)</f>
        <v>2486729306</v>
      </c>
      <c r="E640" s="61" t="str">
        <f>IFERROR(__xludf.DUMMYFUNCTION("""COMPUTED_VALUE"""),"Adin Victor")</f>
        <v>Adin Victor</v>
      </c>
      <c r="F640" s="61" t="str">
        <f>IFERROR(__xludf.DUMMYFUNCTION("""COMPUTED_VALUE"""),"Adin Victor")</f>
        <v>Adin Victor</v>
      </c>
      <c r="G640" s="61" t="str">
        <f>IFERROR(__xludf.DUMMYFUNCTION("""COMPUTED_VALUE""")," 1 [Included with Registration] / Included Insurance   - ")</f>
        <v> 1 [Included with Registration] / Included Insurance   - </v>
      </c>
      <c r="H640" s="61" t="str">
        <f>IFERROR(__xludf.DUMMYFUNCTION("""COMPUTED_VALUE"""),"Nemerov  ")</f>
        <v>Nemerov  </v>
      </c>
      <c r="I640" s="61" t="str">
        <f>IFERROR(__xludf.DUMMYFUNCTION("""COMPUTED_VALUE"""),"2080")</f>
        <v>2080</v>
      </c>
      <c r="J640" s="107" t="str">
        <f>IFERROR(__xludf.DUMMYFUNCTION("""COMPUTED_VALUE"""),"09:00 AM to 11:00 AM  ")</f>
        <v>09:00 AM to 11:00 AM  </v>
      </c>
      <c r="K640" s="100">
        <f>IFERROR(__xludf.DUMMYFUNCTION("""COMPUTED_VALUE"""),46148.0)</f>
        <v>46148</v>
      </c>
      <c r="L640" s="61" t="str">
        <f>IFERROR(__xludf.DUMMYFUNCTION("""COMPUTED_VALUE""")," ")</f>
        <v> </v>
      </c>
      <c r="M640" s="61"/>
      <c r="N640" s="61" t="str">
        <f>IFERROR(__xludf.DUMMYFUNCTION("""COMPUTED_VALUE""")," ")</f>
        <v> </v>
      </c>
    </row>
    <row r="641">
      <c r="A641" s="102" t="str">
        <f>IFERROR(__xludf.DUMMYFUNCTION("""COMPUTED_VALUE"""),"https://utrucking.com/admin/orders/6444906971324")</f>
        <v>https://utrucking.com/admin/orders/6444906971324</v>
      </c>
      <c r="B641" s="65" t="str">
        <f>IFERROR(__xludf.DUMMYFUNCTION("""COMPUTED_VALUE"""),"#17784")</f>
        <v>#17784</v>
      </c>
      <c r="C641" s="65" t="str">
        <f>IFERROR(__xludf.DUMMYFUNCTION("""COMPUTED_VALUE"""),"arynnseo123@gmail.com")</f>
        <v>arynnseo123@gmail.com</v>
      </c>
      <c r="D641" s="65">
        <f>IFERROR(__xludf.DUMMYFUNCTION("""COMPUTED_VALUE"""),4.695148918E9)</f>
        <v>4695148918</v>
      </c>
      <c r="E641" s="65" t="str">
        <f>IFERROR(__xludf.DUMMYFUNCTION("""COMPUTED_VALUE"""),"Arynn Seo")</f>
        <v>Arynn Seo</v>
      </c>
      <c r="F641" s="65" t="str">
        <f>IFERROR(__xludf.DUMMYFUNCTION("""COMPUTED_VALUE"""),"Arynn Seo")</f>
        <v>Arynn Seo</v>
      </c>
      <c r="G641" s="65" t="str">
        <f>IFERROR(__xludf.DUMMYFUNCTION("""COMPUTED_VALUE""")," 1 [Included with Registration] / Included Insurance   - ")</f>
        <v> 1 [Included with Registration] / Included Insurance   - </v>
      </c>
      <c r="H641" s="65" t="str">
        <f>IFERROR(__xludf.DUMMYFUNCTION("""COMPUTED_VALUE"""),"Loop Loft 6300  ")</f>
        <v>Loop Loft 6300  </v>
      </c>
      <c r="I641" s="65" t="str">
        <f>IFERROR(__xludf.DUMMYFUNCTION("""COMPUTED_VALUE"""),"214A")</f>
        <v>214A</v>
      </c>
      <c r="J641" s="108" t="str">
        <f>IFERROR(__xludf.DUMMYFUNCTION("""COMPUTED_VALUE"""),"09:00 AM to 11:00 AM  ")</f>
        <v>09:00 AM to 11:00 AM  </v>
      </c>
      <c r="K641" s="103">
        <f>IFERROR(__xludf.DUMMYFUNCTION("""COMPUTED_VALUE"""),46147.0)</f>
        <v>46147</v>
      </c>
      <c r="L641" s="65" t="str">
        <f>IFERROR(__xludf.DUMMYFUNCTION("""COMPUTED_VALUE""")," ")</f>
        <v> </v>
      </c>
      <c r="M641" s="65"/>
      <c r="N641" s="65" t="str">
        <f>IFERROR(__xludf.DUMMYFUNCTION("""COMPUTED_VALUE""")," Drop off at Everly on the Loop")</f>
        <v> Drop off at Everly on the Loop</v>
      </c>
    </row>
    <row r="642">
      <c r="A642" s="99" t="str">
        <f>IFERROR(__xludf.DUMMYFUNCTION("""COMPUTED_VALUE"""),"https://utrucking.com/admin/orders/6444917129404")</f>
        <v>https://utrucking.com/admin/orders/6444917129404</v>
      </c>
      <c r="B642" s="61" t="str">
        <f>IFERROR(__xludf.DUMMYFUNCTION("""COMPUTED_VALUE"""),"#17786")</f>
        <v>#17786</v>
      </c>
      <c r="C642" s="61" t="str">
        <f>IFERROR(__xludf.DUMMYFUNCTION("""COMPUTED_VALUE"""),"o.g.stokely@wustl.edu")</f>
        <v>o.g.stokely@wustl.edu</v>
      </c>
      <c r="D642" s="61">
        <f>IFERROR(__xludf.DUMMYFUNCTION("""COMPUTED_VALUE"""),7.858534708E9)</f>
        <v>7858534708</v>
      </c>
      <c r="E642" s="61" t="str">
        <f>IFERROR(__xludf.DUMMYFUNCTION("""COMPUTED_VALUE"""),"Olivia Stokely")</f>
        <v>Olivia Stokely</v>
      </c>
      <c r="F642" s="61" t="str">
        <f>IFERROR(__xludf.DUMMYFUNCTION("""COMPUTED_VALUE"""),"Olivia Stokely")</f>
        <v>Olivia Stokely</v>
      </c>
      <c r="G642" s="61" t="str">
        <f>IFERROR(__xludf.DUMMYFUNCTION("""COMPUTED_VALUE""")," 1 [Included with Registration] / Included Insurance   - ")</f>
        <v> 1 [Included with Registration] / Included Insurance   - </v>
      </c>
      <c r="H642" s="61" t="str">
        <f>IFERROR(__xludf.DUMMYFUNCTION("""COMPUTED_VALUE"""),"Nemerov  ")</f>
        <v>Nemerov  </v>
      </c>
      <c r="I642" s="61" t="str">
        <f>IFERROR(__xludf.DUMMYFUNCTION("""COMPUTED_VALUE"""),"3084")</f>
        <v>3084</v>
      </c>
      <c r="J642" s="107" t="str">
        <f>IFERROR(__xludf.DUMMYFUNCTION("""COMPUTED_VALUE"""),"09:00 AM to 11:00 AM  ")</f>
        <v>09:00 AM to 11:00 AM  </v>
      </c>
      <c r="K642" s="100">
        <f>IFERROR(__xludf.DUMMYFUNCTION("""COMPUTED_VALUE"""),46148.0)</f>
        <v>46148</v>
      </c>
      <c r="L642" s="61" t="str">
        <f>IFERROR(__xludf.DUMMYFUNCTION("""COMPUTED_VALUE""")," ")</f>
        <v> </v>
      </c>
      <c r="M642" s="61"/>
      <c r="N642" s="61" t="str">
        <f>IFERROR(__xludf.DUMMYFUNCTION("""COMPUTED_VALUE""")," ")</f>
        <v> </v>
      </c>
    </row>
    <row r="643">
      <c r="A643" s="102" t="str">
        <f>IFERROR(__xludf.DUMMYFUNCTION("""COMPUTED_VALUE"""),"https://utrucking.com/admin/orders/6444917620924")</f>
        <v>https://utrucking.com/admin/orders/6444917620924</v>
      </c>
      <c r="B643" s="65" t="str">
        <f>IFERROR(__xludf.DUMMYFUNCTION("""COMPUTED_VALUE"""),"#17787")</f>
        <v>#17787</v>
      </c>
      <c r="C643" s="65" t="str">
        <f>IFERROR(__xludf.DUMMYFUNCTION("""COMPUTED_VALUE"""),"hannah.seo@wustl.edu")</f>
        <v>hannah.seo@wustl.edu</v>
      </c>
      <c r="D643" s="65">
        <f>IFERROR(__xludf.DUMMYFUNCTION("""COMPUTED_VALUE"""),4.698918022E9)</f>
        <v>4698918022</v>
      </c>
      <c r="E643" s="65" t="str">
        <f>IFERROR(__xludf.DUMMYFUNCTION("""COMPUTED_VALUE"""),"Hannah Seo")</f>
        <v>Hannah Seo</v>
      </c>
      <c r="F643" s="65" t="str">
        <f>IFERROR(__xludf.DUMMYFUNCTION("""COMPUTED_VALUE"""),"Hannah Seo")</f>
        <v>Hannah Seo</v>
      </c>
      <c r="G643" s="65" t="str">
        <f>IFERROR(__xludf.DUMMYFUNCTION("""COMPUTED_VALUE""")," 1 [Included with Registration] / Included Insurance   - ")</f>
        <v> 1 [Included with Registration] / Included Insurance   - </v>
      </c>
      <c r="H643" s="65" t="str">
        <f>IFERROR(__xludf.DUMMYFUNCTION("""COMPUTED_VALUE"""),"Beaumont  ")</f>
        <v>Beaumont  </v>
      </c>
      <c r="I643" s="65" t="str">
        <f>IFERROR(__xludf.DUMMYFUNCTION("""COMPUTED_VALUE"""),"326")</f>
        <v>326</v>
      </c>
      <c r="J643" s="108" t="str">
        <f>IFERROR(__xludf.DUMMYFUNCTION("""COMPUTED_VALUE"""),"09:00 AM to 11:00 AM  ")</f>
        <v>09:00 AM to 11:00 AM  </v>
      </c>
      <c r="K643" s="103">
        <f>IFERROR(__xludf.DUMMYFUNCTION("""COMPUTED_VALUE"""),46146.0)</f>
        <v>46146</v>
      </c>
      <c r="L643" s="65" t="str">
        <f>IFERROR(__xludf.DUMMYFUNCTION("""COMPUTED_VALUE""")," ")</f>
        <v> </v>
      </c>
      <c r="M643" s="65"/>
      <c r="N643" s="65" t="str">
        <f>IFERROR(__xludf.DUMMYFUNCTION("""COMPUTED_VALUE""")," ")</f>
        <v> </v>
      </c>
    </row>
    <row r="644">
      <c r="A644" s="99" t="str">
        <f>IFERROR(__xludf.DUMMYFUNCTION("""COMPUTED_VALUE"""),"https://utrucking.com/admin/orders/6444939378876")</f>
        <v>https://utrucking.com/admin/orders/6444939378876</v>
      </c>
      <c r="B644" s="61" t="str">
        <f>IFERROR(__xludf.DUMMYFUNCTION("""COMPUTED_VALUE"""),"#17788")</f>
        <v>#17788</v>
      </c>
      <c r="C644" s="61" t="str">
        <f>IFERROR(__xludf.DUMMYFUNCTION("""COMPUTED_VALUE"""),"e.j.zimmerman@wustl.edu")</f>
        <v>e.j.zimmerman@wustl.edu</v>
      </c>
      <c r="D644" s="61">
        <f>IFERROR(__xludf.DUMMYFUNCTION("""COMPUTED_VALUE"""),5.163447738E9)</f>
        <v>5163447738</v>
      </c>
      <c r="E644" s="61" t="str">
        <f>IFERROR(__xludf.DUMMYFUNCTION("""COMPUTED_VALUE"""),"Eric Zimmerman")</f>
        <v>Eric Zimmerman</v>
      </c>
      <c r="F644" s="61" t="str">
        <f>IFERROR(__xludf.DUMMYFUNCTION("""COMPUTED_VALUE"""),"Eric Zimmerman")</f>
        <v>Eric Zimmerman</v>
      </c>
      <c r="G644" s="61" t="str">
        <f>IFERROR(__xludf.DUMMYFUNCTION("""COMPUTED_VALUE""")," 1 [Included with Registration] / Included Insurance   - ")</f>
        <v> 1 [Included with Registration] / Included Insurance   - </v>
      </c>
      <c r="H644" s="61" t="str">
        <f>IFERROR(__xludf.DUMMYFUNCTION("""COMPUTED_VALUE"""),"Loop Loft 6255  ")</f>
        <v>Loop Loft 6255  </v>
      </c>
      <c r="I644" s="61" t="str">
        <f>IFERROR(__xludf.DUMMYFUNCTION("""COMPUTED_VALUE"""),"416A")</f>
        <v>416A</v>
      </c>
      <c r="J644" s="107" t="str">
        <f>IFERROR(__xludf.DUMMYFUNCTION("""COMPUTED_VALUE"""),"09:00 AM to 11:00 AM  ")</f>
        <v>09:00 AM to 11:00 AM  </v>
      </c>
      <c r="K644" s="100">
        <f>IFERROR(__xludf.DUMMYFUNCTION("""COMPUTED_VALUE"""),46144.0)</f>
        <v>46144</v>
      </c>
      <c r="L644" s="61" t="str">
        <f>IFERROR(__xludf.DUMMYFUNCTION("""COMPUTED_VALUE""")," ")</f>
        <v> </v>
      </c>
      <c r="M644" s="61"/>
      <c r="N644" s="61" t="str">
        <f>IFERROR(__xludf.DUMMYFUNCTION("""COMPUTED_VALUE""")," ")</f>
        <v> </v>
      </c>
    </row>
    <row r="645">
      <c r="A645" s="102" t="str">
        <f>IFERROR(__xludf.DUMMYFUNCTION("""COMPUTED_VALUE"""),"https://utrucking.com/admin/orders/6444973260988")</f>
        <v>https://utrucking.com/admin/orders/6444973260988</v>
      </c>
      <c r="B645" s="65" t="str">
        <f>IFERROR(__xludf.DUMMYFUNCTION("""COMPUTED_VALUE"""),"#17789")</f>
        <v>#17789</v>
      </c>
      <c r="C645" s="65" t="str">
        <f>IFERROR(__xludf.DUMMYFUNCTION("""COMPUTED_VALUE"""),"ainlee330@gmail.com")</f>
        <v>ainlee330@gmail.com</v>
      </c>
      <c r="D645" s="65">
        <f>IFERROR(__xludf.DUMMYFUNCTION("""COMPUTED_VALUE"""),2.133043801E9)</f>
        <v>2133043801</v>
      </c>
      <c r="E645" s="65" t="str">
        <f>IFERROR(__xludf.DUMMYFUNCTION("""COMPUTED_VALUE"""),"Hayan Kim")</f>
        <v>Hayan Kim</v>
      </c>
      <c r="F645" s="65" t="str">
        <f>IFERROR(__xludf.DUMMYFUNCTION("""COMPUTED_VALUE"""),"Evelyn Lee")</f>
        <v>Evelyn Lee</v>
      </c>
      <c r="G645" s="65" t="str">
        <f>IFERROR(__xludf.DUMMYFUNCTION("""COMPUTED_VALUE""")," 2 / Included Insurance   - ")</f>
        <v> 2 / Included Insurance   - </v>
      </c>
      <c r="H645" s="65" t="str">
        <f>IFERROR(__xludf.DUMMYFUNCTION("""COMPUTED_VALUE"""),"Wheeler  ")</f>
        <v>Wheeler  </v>
      </c>
      <c r="I645" s="65" t="str">
        <f>IFERROR(__xludf.DUMMYFUNCTION("""COMPUTED_VALUE"""),"1011")</f>
        <v>1011</v>
      </c>
      <c r="J645" s="108" t="str">
        <f>IFERROR(__xludf.DUMMYFUNCTION("""COMPUTED_VALUE"""),"09:00 AM to 11:00 AM  ")</f>
        <v>09:00 AM to 11:00 AM  </v>
      </c>
      <c r="K645" s="103">
        <f>IFERROR(__xludf.DUMMYFUNCTION("""COMPUTED_VALUE"""),46149.0)</f>
        <v>46149</v>
      </c>
      <c r="L645" s="65" t="str">
        <f>IFERROR(__xludf.DUMMYFUNCTION("""COMPUTED_VALUE""")," ")</f>
        <v> </v>
      </c>
      <c r="M645" s="65"/>
      <c r="N645" s="65" t="str">
        <f>IFERROR(__xludf.DUMMYFUNCTION("""COMPUTED_VALUE""")," ")</f>
        <v> </v>
      </c>
    </row>
    <row r="646">
      <c r="A646" s="99" t="str">
        <f>IFERROR(__xludf.DUMMYFUNCTION("""COMPUTED_VALUE"""),"https://utrucking.com/admin/orders/6445020709052")</f>
        <v>https://utrucking.com/admin/orders/6445020709052</v>
      </c>
      <c r="B646" s="61" t="str">
        <f>IFERROR(__xludf.DUMMYFUNCTION("""COMPUTED_VALUE"""),"#17791")</f>
        <v>#17791</v>
      </c>
      <c r="C646" s="61" t="str">
        <f>IFERROR(__xludf.DUMMYFUNCTION("""COMPUTED_VALUE"""),"r.d.rivera@wustl.edu")</f>
        <v>r.d.rivera@wustl.edu</v>
      </c>
      <c r="D646" s="61">
        <f>IFERROR(__xludf.DUMMYFUNCTION("""COMPUTED_VALUE"""),8.084450492E9)</f>
        <v>8084450492</v>
      </c>
      <c r="E646" s="61" t="str">
        <f>IFERROR(__xludf.DUMMYFUNCTION("""COMPUTED_VALUE"""),"Ruel Ryan Rivera")</f>
        <v>Ruel Ryan Rivera</v>
      </c>
      <c r="F646" s="61" t="str">
        <f>IFERROR(__xludf.DUMMYFUNCTION("""COMPUTED_VALUE"""),"Ruel Ryan Rivera")</f>
        <v>Ruel Ryan Rivera</v>
      </c>
      <c r="G646" s="61" t="str">
        <f>IFERROR(__xludf.DUMMYFUNCTION("""COMPUTED_VALUE""")," 1 [Included with Registration] / Included Insurance   - ")</f>
        <v> 1 [Included with Registration] / Included Insurance   - </v>
      </c>
      <c r="H646" s="61" t="str">
        <f>IFERROR(__xludf.DUMMYFUNCTION("""COMPUTED_VALUE"""),"Millbrook Bldg. 2  ")</f>
        <v>Millbrook Bldg. 2  </v>
      </c>
      <c r="I646" s="61" t="str">
        <f>IFERROR(__xludf.DUMMYFUNCTION("""COMPUTED_VALUE"""),"203A")</f>
        <v>203A</v>
      </c>
      <c r="J646" s="107" t="str">
        <f>IFERROR(__xludf.DUMMYFUNCTION("""COMPUTED_VALUE"""),"09:00 AM to 11:00 AM  ")</f>
        <v>09:00 AM to 11:00 AM  </v>
      </c>
      <c r="K646" s="100">
        <f>IFERROR(__xludf.DUMMYFUNCTION("""COMPUTED_VALUE"""),46148.0)</f>
        <v>46148</v>
      </c>
      <c r="L646" s="61" t="str">
        <f>IFERROR(__xludf.DUMMYFUNCTION("""COMPUTED_VALUE""")," ")</f>
        <v> </v>
      </c>
      <c r="M646" s="61"/>
      <c r="N646" s="61" t="str">
        <f>IFERROR(__xludf.DUMMYFUNCTION("""COMPUTED_VALUE""")," ")</f>
        <v> </v>
      </c>
    </row>
    <row r="647">
      <c r="A647" s="102" t="str">
        <f>IFERROR(__xludf.DUMMYFUNCTION("""COMPUTED_VALUE"""),"https://utrucking.com/admin/orders/6445042663612")</f>
        <v>https://utrucking.com/admin/orders/6445042663612</v>
      </c>
      <c r="B647" s="65" t="str">
        <f>IFERROR(__xludf.DUMMYFUNCTION("""COMPUTED_VALUE"""),"#17792")</f>
        <v>#17792</v>
      </c>
      <c r="C647" s="65" t="str">
        <f>IFERROR(__xludf.DUMMYFUNCTION("""COMPUTED_VALUE"""),"katiefung11@gmail.com")</f>
        <v>katiefung11@gmail.com</v>
      </c>
      <c r="D647" s="65">
        <f>IFERROR(__xludf.DUMMYFUNCTION("""COMPUTED_VALUE"""),6.282134584E9)</f>
        <v>6282134584</v>
      </c>
      <c r="E647" s="65" t="str">
        <f>IFERROR(__xludf.DUMMYFUNCTION("""COMPUTED_VALUE"""),"Katie Fung")</f>
        <v>Katie Fung</v>
      </c>
      <c r="F647" s="65" t="str">
        <f>IFERROR(__xludf.DUMMYFUNCTION("""COMPUTED_VALUE"""),"Katie Fung")</f>
        <v>Katie Fung</v>
      </c>
      <c r="G647" s="65" t="str">
        <f>IFERROR(__xludf.DUMMYFUNCTION("""COMPUTED_VALUE""")," 1 [Included with Registration] / Included Insurance   - ")</f>
        <v> 1 [Included with Registration] / Included Insurance   - </v>
      </c>
      <c r="H647" s="65" t="str">
        <f>IFERROR(__xludf.DUMMYFUNCTION("""COMPUTED_VALUE"""),"Park  ")</f>
        <v>Park  </v>
      </c>
      <c r="I647" s="65" t="str">
        <f>IFERROR(__xludf.DUMMYFUNCTION("""COMPUTED_VALUE"""),"392")</f>
        <v>392</v>
      </c>
      <c r="J647" s="108" t="str">
        <f>IFERROR(__xludf.DUMMYFUNCTION("""COMPUTED_VALUE"""),"02:00 PM to 04:00 PM")</f>
        <v>02:00 PM to 04:00 PM</v>
      </c>
      <c r="K647" s="103">
        <f>IFERROR(__xludf.DUMMYFUNCTION("""COMPUTED_VALUE"""),46178.0)</f>
        <v>46178</v>
      </c>
      <c r="L647" s="65" t="str">
        <f>IFERROR(__xludf.DUMMYFUNCTION("""COMPUTED_VALUE""")," ")</f>
        <v> </v>
      </c>
      <c r="M647" s="65"/>
      <c r="N647" s="65" t="str">
        <f>IFERROR(__xludf.DUMMYFUNCTION("""COMPUTED_VALUE""")," ")</f>
        <v> </v>
      </c>
    </row>
    <row r="648">
      <c r="A648" s="99" t="str">
        <f>IFERROR(__xludf.DUMMYFUNCTION("""COMPUTED_VALUE"""),"https://utrucking.com/admin/orders/6445102858428")</f>
        <v>https://utrucking.com/admin/orders/6445102858428</v>
      </c>
      <c r="B648" s="61" t="str">
        <f>IFERROR(__xludf.DUMMYFUNCTION("""COMPUTED_VALUE"""),"#17793")</f>
        <v>#17793</v>
      </c>
      <c r="C648" s="61" t="str">
        <f>IFERROR(__xludf.DUMMYFUNCTION("""COMPUTED_VALUE"""),"leehyunseo0224@gmail.com")</f>
        <v>leehyunseo0224@gmail.com</v>
      </c>
      <c r="D648" s="61">
        <f>IFERROR(__xludf.DUMMYFUNCTION("""COMPUTED_VALUE"""),8.585887663E9)</f>
        <v>8585887663</v>
      </c>
      <c r="E648" s="61" t="str">
        <f>IFERROR(__xludf.DUMMYFUNCTION("""COMPUTED_VALUE"""),"Aileen Lee")</f>
        <v>Aileen Lee</v>
      </c>
      <c r="F648" s="61" t="str">
        <f>IFERROR(__xludf.DUMMYFUNCTION("""COMPUTED_VALUE"""),"Aileen Lee")</f>
        <v>Aileen Lee</v>
      </c>
      <c r="G648" s="61" t="str">
        <f>IFERROR(__xludf.DUMMYFUNCTION("""COMPUTED_VALUE""")," 1 [Included with Registration] / Included Insurance   - ")</f>
        <v> 1 [Included with Registration] / Included Insurance   - </v>
      </c>
      <c r="H648" s="61" t="str">
        <f>IFERROR(__xludf.DUMMYFUNCTION("""COMPUTED_VALUE"""),"Loop Loft 6300  ")</f>
        <v>Loop Loft 6300  </v>
      </c>
      <c r="I648" s="61" t="str">
        <f>IFERROR(__xludf.DUMMYFUNCTION("""COMPUTED_VALUE"""),"214")</f>
        <v>214</v>
      </c>
      <c r="J648" s="107" t="str">
        <f>IFERROR(__xludf.DUMMYFUNCTION("""COMPUTED_VALUE"""),"09:00 AM to 11:00 AM  ")</f>
        <v>09:00 AM to 11:00 AM  </v>
      </c>
      <c r="K648" s="100">
        <f>IFERROR(__xludf.DUMMYFUNCTION("""COMPUTED_VALUE"""),46147.0)</f>
        <v>46147</v>
      </c>
      <c r="L648" s="61" t="str">
        <f>IFERROR(__xludf.DUMMYFUNCTION("""COMPUTED_VALUE""")," ")</f>
        <v> </v>
      </c>
      <c r="M648" s="61"/>
      <c r="N648" s="61" t="str">
        <f>IFERROR(__xludf.DUMMYFUNCTION("""COMPUTED_VALUE""")," ")</f>
        <v> </v>
      </c>
    </row>
    <row r="649">
      <c r="A649" s="102" t="str">
        <f>IFERROR(__xludf.DUMMYFUNCTION("""COMPUTED_VALUE"""),"https://utrucking.com/admin/orders/6445168918716")</f>
        <v>https://utrucking.com/admin/orders/6445168918716</v>
      </c>
      <c r="B649" s="65" t="str">
        <f>IFERROR(__xludf.DUMMYFUNCTION("""COMPUTED_VALUE"""),"#17795")</f>
        <v>#17795</v>
      </c>
      <c r="C649" s="65" t="str">
        <f>IFERROR(__xludf.DUMMYFUNCTION("""COMPUTED_VALUE"""),"chwang1007@gmail.com")</f>
        <v>chwang1007@gmail.com</v>
      </c>
      <c r="D649" s="65">
        <f>IFERROR(__xludf.DUMMYFUNCTION("""COMPUTED_VALUE"""),2.01410082E9)</f>
        <v>2014100820</v>
      </c>
      <c r="E649" s="65" t="str">
        <f>IFERROR(__xludf.DUMMYFUNCTION("""COMPUTED_VALUE"""),"Chloe Hwang")</f>
        <v>Chloe Hwang</v>
      </c>
      <c r="F649" s="65" t="str">
        <f>IFERROR(__xludf.DUMMYFUNCTION("""COMPUTED_VALUE"""),"Chloe Hwang")</f>
        <v>Chloe Hwang</v>
      </c>
      <c r="G649" s="65" t="str">
        <f>IFERROR(__xludf.DUMMYFUNCTION("""COMPUTED_VALUE""")," 1 [Included with Registration] / Included Insurance   - ")</f>
        <v> 1 [Included with Registration] / Included Insurance   - </v>
      </c>
      <c r="H649" s="65" t="str">
        <f>IFERROR(__xludf.DUMMYFUNCTION("""COMPUTED_VALUE"""),"Danforth  ")</f>
        <v>Danforth  </v>
      </c>
      <c r="I649" s="65" t="str">
        <f>IFERROR(__xludf.DUMMYFUNCTION("""COMPUTED_VALUE"""),"2208")</f>
        <v>2208</v>
      </c>
      <c r="J649" s="108" t="str">
        <f>IFERROR(__xludf.DUMMYFUNCTION("""COMPUTED_VALUE"""),"09:00 AM to 11:00 AM  ")</f>
        <v>09:00 AM to 11:00 AM  </v>
      </c>
      <c r="K649" s="103">
        <f>IFERROR(__xludf.DUMMYFUNCTION("""COMPUTED_VALUE"""),46148.0)</f>
        <v>46148</v>
      </c>
      <c r="L649" s="65" t="str">
        <f>IFERROR(__xludf.DUMMYFUNCTION("""COMPUTED_VALUE""")," ")</f>
        <v> </v>
      </c>
      <c r="M649" s="65"/>
      <c r="N649" s="65" t="str">
        <f>IFERROR(__xludf.DUMMYFUNCTION("""COMPUTED_VALUE""")," ")</f>
        <v> </v>
      </c>
    </row>
    <row r="650">
      <c r="A650" s="99" t="str">
        <f>IFERROR(__xludf.DUMMYFUNCTION("""COMPUTED_VALUE"""),"https://utrucking.com/admin/orders/6445338919100")</f>
        <v>https://utrucking.com/admin/orders/6445338919100</v>
      </c>
      <c r="B650" s="61" t="str">
        <f>IFERROR(__xludf.DUMMYFUNCTION("""COMPUTED_VALUE"""),"#17797")</f>
        <v>#17797</v>
      </c>
      <c r="C650" s="61" t="str">
        <f>IFERROR(__xludf.DUMMYFUNCTION("""COMPUTED_VALUE"""),"davidwkritzer@gmail.com")</f>
        <v>davidwkritzer@gmail.com</v>
      </c>
      <c r="D650" s="61">
        <f>IFERROR(__xludf.DUMMYFUNCTION("""COMPUTED_VALUE"""),5.163805E9)</f>
        <v>5163805000</v>
      </c>
      <c r="E650" s="61" t="str">
        <f>IFERROR(__xludf.DUMMYFUNCTION("""COMPUTED_VALUE"""),"David Kritzer")</f>
        <v>David Kritzer</v>
      </c>
      <c r="F650" s="61" t="str">
        <f>IFERROR(__xludf.DUMMYFUNCTION("""COMPUTED_VALUE"""),"David Kritzer")</f>
        <v>David Kritzer</v>
      </c>
      <c r="G650" s="61" t="str">
        <f>IFERROR(__xludf.DUMMYFUNCTION("""COMPUTED_VALUE""")," 1 [Included with Registration] / Included Insurance   - ")</f>
        <v> 1 [Included with Registration] / Included Insurance   - </v>
      </c>
      <c r="H650" s="61"/>
      <c r="I650" s="61"/>
      <c r="J650" s="107" t="str">
        <f>IFERROR(__xludf.DUMMYFUNCTION("""COMPUTED_VALUE"""),"03:00 PM to 05:00 PM")</f>
        <v>03:00 PM to 05:00 PM</v>
      </c>
      <c r="K650" s="100">
        <f>IFERROR(__xludf.DUMMYFUNCTION("""COMPUTED_VALUE"""),46139.0)</f>
        <v>46139</v>
      </c>
      <c r="L650" s="61" t="str">
        <f>IFERROR(__xludf.DUMMYFUNCTION("""COMPUTED_VALUE""")," ")</f>
        <v> </v>
      </c>
      <c r="M650" s="61" t="str">
        <f>IFERROR(__xludf.DUMMYFUNCTION("""COMPUTED_VALUE"""),"7019 Northmoor drive ")</f>
        <v>7019 Northmoor drive </v>
      </c>
      <c r="N650" s="61" t="str">
        <f>IFERROR(__xludf.DUMMYFUNCTION("""COMPUTED_VALUE""")," ")</f>
        <v> </v>
      </c>
    </row>
    <row r="651">
      <c r="A651" s="102" t="str">
        <f>IFERROR(__xludf.DUMMYFUNCTION("""COMPUTED_VALUE"""),"https://utrucking.com/admin/orders/6445352222908")</f>
        <v>https://utrucking.com/admin/orders/6445352222908</v>
      </c>
      <c r="B651" s="65" t="str">
        <f>IFERROR(__xludf.DUMMYFUNCTION("""COMPUTED_VALUE"""),"#17798")</f>
        <v>#17798</v>
      </c>
      <c r="C651" s="65" t="str">
        <f>IFERROR(__xludf.DUMMYFUNCTION("""COMPUTED_VALUE"""),"michael.tianyue.zhang@gmail.com")</f>
        <v>michael.tianyue.zhang@gmail.com</v>
      </c>
      <c r="D651" s="65">
        <f>IFERROR(__xludf.DUMMYFUNCTION("""COMPUTED_VALUE"""),3.142037739E9)</f>
        <v>3142037739</v>
      </c>
      <c r="E651" s="65" t="str">
        <f>IFERROR(__xludf.DUMMYFUNCTION("""COMPUTED_VALUE"""),"MIchael Zhang")</f>
        <v>MIchael Zhang</v>
      </c>
      <c r="F651" s="65" t="str">
        <f>IFERROR(__xludf.DUMMYFUNCTION("""COMPUTED_VALUE"""),"Michael Zhang")</f>
        <v>Michael Zhang</v>
      </c>
      <c r="G651" s="65" t="str">
        <f>IFERROR(__xludf.DUMMYFUNCTION("""COMPUTED_VALUE""")," 1 [Included with Registration] / Included Insurance   - ")</f>
        <v> 1 [Included with Registration] / Included Insurance   - </v>
      </c>
      <c r="H651" s="65" t="str">
        <f>IFERROR(__xludf.DUMMYFUNCTION("""COMPUTED_VALUE"""),"Lee  ")</f>
        <v>Lee  </v>
      </c>
      <c r="I651" s="65" t="str">
        <f>IFERROR(__xludf.DUMMYFUNCTION("""COMPUTED_VALUE"""),"223")</f>
        <v>223</v>
      </c>
      <c r="J651" s="108" t="str">
        <f>IFERROR(__xludf.DUMMYFUNCTION("""COMPUTED_VALUE"""),"03:00 PM to 05:00 PM")</f>
        <v>03:00 PM to 05:00 PM</v>
      </c>
      <c r="K651" s="103">
        <f>IFERROR(__xludf.DUMMYFUNCTION("""COMPUTED_VALUE"""),46146.0)</f>
        <v>46146</v>
      </c>
      <c r="L651" s="65" t="str">
        <f>IFERROR(__xludf.DUMMYFUNCTION("""COMPUTED_VALUE""")," ")</f>
        <v> </v>
      </c>
      <c r="M651" s="65"/>
      <c r="N651" s="65" t="str">
        <f>IFERROR(__xludf.DUMMYFUNCTION("""COMPUTED_VALUE""")," Shepley - 3034 - a   is the dorm I live for the fall semester. Please deliver to that dorm.")</f>
        <v> Shepley - 3034 - a   is the dorm I live for the fall semester. Please deliver to that dorm.</v>
      </c>
    </row>
    <row r="652">
      <c r="A652" s="99" t="str">
        <f>IFERROR(__xludf.DUMMYFUNCTION("""COMPUTED_VALUE"""),"https://utrucking.com/admin/orders/6445425131708")</f>
        <v>https://utrucking.com/admin/orders/6445425131708</v>
      </c>
      <c r="B652" s="61" t="str">
        <f>IFERROR(__xludf.DUMMYFUNCTION("""COMPUTED_VALUE"""),"#17799")</f>
        <v>#17799</v>
      </c>
      <c r="C652" s="61" t="str">
        <f>IFERROR(__xludf.DUMMYFUNCTION("""COMPUTED_VALUE"""),"k.n.sharifi@wustl.edu")</f>
        <v>k.n.sharifi@wustl.edu</v>
      </c>
      <c r="D652" s="61">
        <f>IFERROR(__xludf.DUMMYFUNCTION("""COMPUTED_VALUE"""),3.109818861E9)</f>
        <v>3109818861</v>
      </c>
      <c r="E652" s="61" t="str">
        <f>IFERROR(__xludf.DUMMYFUNCTION("""COMPUTED_VALUE"""),"Ali Sharifi")</f>
        <v>Ali Sharifi</v>
      </c>
      <c r="F652" s="61" t="str">
        <f>IFERROR(__xludf.DUMMYFUNCTION("""COMPUTED_VALUE"""),"Kian Sharifi")</f>
        <v>Kian Sharifi</v>
      </c>
      <c r="G652" s="61" t="str">
        <f>IFERROR(__xludf.DUMMYFUNCTION("""COMPUTED_VALUE""")," 1 [Included with Registration] / Included Insurance   - ")</f>
        <v> 1 [Included with Registration] / Included Insurance   - </v>
      </c>
      <c r="H652" s="61" t="str">
        <f>IFERROR(__xludf.DUMMYFUNCTION("""COMPUTED_VALUE"""),"Wheeler  ")</f>
        <v>Wheeler  </v>
      </c>
      <c r="I652" s="61" t="str">
        <f>IFERROR(__xludf.DUMMYFUNCTION("""COMPUTED_VALUE"""),"3102")</f>
        <v>3102</v>
      </c>
      <c r="J652" s="107" t="str">
        <f>IFERROR(__xludf.DUMMYFUNCTION("""COMPUTED_VALUE"""),"12:00 PM to 02:00 PM  ")</f>
        <v>12:00 PM to 02:00 PM  </v>
      </c>
      <c r="K652" s="100">
        <f>IFERROR(__xludf.DUMMYFUNCTION("""COMPUTED_VALUE"""),46146.0)</f>
        <v>46146</v>
      </c>
      <c r="L652" s="61" t="str">
        <f>IFERROR(__xludf.DUMMYFUNCTION("""COMPUTED_VALUE""")," ")</f>
        <v> </v>
      </c>
      <c r="M652" s="61"/>
      <c r="N652" s="61" t="str">
        <f>IFERROR(__xludf.DUMMYFUNCTION("""COMPUTED_VALUE""")," ")</f>
        <v> </v>
      </c>
    </row>
    <row r="653">
      <c r="A653" s="102" t="str">
        <f>IFERROR(__xludf.DUMMYFUNCTION("""COMPUTED_VALUE"""),"https://utrucking.com/admin/orders/6445473464508")</f>
        <v>https://utrucking.com/admin/orders/6445473464508</v>
      </c>
      <c r="B653" s="65" t="str">
        <f>IFERROR(__xludf.DUMMYFUNCTION("""COMPUTED_VALUE"""),"#17800")</f>
        <v>#17800</v>
      </c>
      <c r="C653" s="65" t="str">
        <f>IFERROR(__xludf.DUMMYFUNCTION("""COMPUTED_VALUE"""),"heberrr.moralesss@gmail.com")</f>
        <v>heberrr.moralesss@gmail.com</v>
      </c>
      <c r="D653" s="65">
        <f>IFERROR(__xludf.DUMMYFUNCTION("""COMPUTED_VALUE"""),4.058216666E9)</f>
        <v>4058216666</v>
      </c>
      <c r="E653" s="65" t="str">
        <f>IFERROR(__xludf.DUMMYFUNCTION("""COMPUTED_VALUE"""),"Heber Morales")</f>
        <v>Heber Morales</v>
      </c>
      <c r="F653" s="65" t="str">
        <f>IFERROR(__xludf.DUMMYFUNCTION("""COMPUTED_VALUE"""),"Antonio Morales")</f>
        <v>Antonio Morales</v>
      </c>
      <c r="G653" s="65" t="str">
        <f>IFERROR(__xludf.DUMMYFUNCTION("""COMPUTED_VALUE""")," 1 [Included with Registration] / Included Insurance   - ")</f>
        <v> 1 [Included with Registration] / Included Insurance   - </v>
      </c>
      <c r="H653" s="65" t="str">
        <f>IFERROR(__xludf.DUMMYFUNCTION("""COMPUTED_VALUE"""),"Liggett  ")</f>
        <v>Liggett  </v>
      </c>
      <c r="I653" s="65" t="str">
        <f>IFERROR(__xludf.DUMMYFUNCTION("""COMPUTED_VALUE"""),"4524")</f>
        <v>4524</v>
      </c>
      <c r="J653" s="108" t="str">
        <f>IFERROR(__xludf.DUMMYFUNCTION("""COMPUTED_VALUE"""),"10:00 AM to 12:00 PM  ")</f>
        <v>10:00 AM to 12:00 PM  </v>
      </c>
      <c r="K653" s="103">
        <f>IFERROR(__xludf.DUMMYFUNCTION("""COMPUTED_VALUE"""),46149.0)</f>
        <v>46149</v>
      </c>
      <c r="L653" s="65" t="str">
        <f>IFERROR(__xludf.DUMMYFUNCTION("""COMPUTED_VALUE""")," ")</f>
        <v> </v>
      </c>
      <c r="M653" s="65"/>
      <c r="N653" s="65" t="str">
        <f>IFERROR(__xludf.DUMMYFUNCTION("""COMPUTED_VALUE""")," ")</f>
        <v> </v>
      </c>
    </row>
    <row r="654">
      <c r="A654" s="99" t="str">
        <f>IFERROR(__xludf.DUMMYFUNCTION("""COMPUTED_VALUE"""),"https://utrucking.com/admin/orders/6445839417532")</f>
        <v>https://utrucking.com/admin/orders/6445839417532</v>
      </c>
      <c r="B654" s="61" t="str">
        <f>IFERROR(__xludf.DUMMYFUNCTION("""COMPUTED_VALUE"""),"#17807")</f>
        <v>#17807</v>
      </c>
      <c r="C654" s="61" t="str">
        <f>IFERROR(__xludf.DUMMYFUNCTION("""COMPUTED_VALUE"""),"bgeneva@wustl.edu")</f>
        <v>bgeneva@wustl.edu</v>
      </c>
      <c r="D654" s="61">
        <f>IFERROR(__xludf.DUMMYFUNCTION("""COMPUTED_VALUE"""),6.178627945E9)</f>
        <v>6178627945</v>
      </c>
      <c r="E654" s="61" t="str">
        <f>IFERROR(__xludf.DUMMYFUNCTION("""COMPUTED_VALUE"""),"Gretchen McCarey")</f>
        <v>Gretchen McCarey</v>
      </c>
      <c r="F654" s="61" t="str">
        <f>IFERROR(__xludf.DUMMYFUNCTION("""COMPUTED_VALUE"""),"Geneva")</f>
        <v>Geneva</v>
      </c>
      <c r="G654" s="61" t="str">
        <f>IFERROR(__xludf.DUMMYFUNCTION("""COMPUTED_VALUE""")," 1 [Included with Registration] / Included Insurance   - ")</f>
        <v> 1 [Included with Registration] / Included Insurance   - </v>
      </c>
      <c r="H654" s="61" t="str">
        <f>IFERROR(__xludf.DUMMYFUNCTION("""COMPUTED_VALUE"""),"Zetcher  ")</f>
        <v>Zetcher  </v>
      </c>
      <c r="I654" s="61" t="str">
        <f>IFERROR(__xludf.DUMMYFUNCTION("""COMPUTED_VALUE"""),"X")</f>
        <v>X</v>
      </c>
      <c r="J654" s="107" t="str">
        <f>IFERROR(__xludf.DUMMYFUNCTION("""COMPUTED_VALUE"""),"09:00 AM to 11:00 AM  ")</f>
        <v>09:00 AM to 11:00 AM  </v>
      </c>
      <c r="K654" s="100">
        <f>IFERROR(__xludf.DUMMYFUNCTION("""COMPUTED_VALUE"""),46149.0)</f>
        <v>46149</v>
      </c>
      <c r="L654" s="61" t="str">
        <f>IFERROR(__xludf.DUMMYFUNCTION("""COMPUTED_VALUE""")," ")</f>
        <v> </v>
      </c>
      <c r="M654" s="61"/>
      <c r="N654" s="61" t="str">
        <f>IFERROR(__xludf.DUMMYFUNCTION("""COMPUTED_VALUE""")," ")</f>
        <v> </v>
      </c>
    </row>
    <row r="655">
      <c r="A655" s="102" t="str">
        <f>IFERROR(__xludf.DUMMYFUNCTION("""COMPUTED_VALUE"""),"https://utrucking.com/admin/orders/6445876904124")</f>
        <v>https://utrucking.com/admin/orders/6445876904124</v>
      </c>
      <c r="B655" s="65" t="str">
        <f>IFERROR(__xludf.DUMMYFUNCTION("""COMPUTED_VALUE"""),"#17820")</f>
        <v>#17820</v>
      </c>
      <c r="C655" s="65" t="str">
        <f>IFERROR(__xludf.DUMMYFUNCTION("""COMPUTED_VALUE"""),"ettalapatra@gmail.com")</f>
        <v>ettalapatra@gmail.com</v>
      </c>
      <c r="D655" s="65">
        <f>IFERROR(__xludf.DUMMYFUNCTION("""COMPUTED_VALUE"""),2.022954621E9)</f>
        <v>2022954621</v>
      </c>
      <c r="E655" s="65" t="str">
        <f>IFERROR(__xludf.DUMMYFUNCTION("""COMPUTED_VALUE"""),"Sunit Talapatra")</f>
        <v>Sunit Talapatra</v>
      </c>
      <c r="F655" s="65" t="str">
        <f>IFERROR(__xludf.DUMMYFUNCTION("""COMPUTED_VALUE"""),"Ethan Talapatra")</f>
        <v>Ethan Talapatra</v>
      </c>
      <c r="G655" s="65" t="str">
        <f>IFERROR(__xludf.DUMMYFUNCTION("""COMPUTED_VALUE""")," 1 [Included with Registration] / Included Insurance   - ")</f>
        <v> 1 [Included with Registration] / Included Insurance   - </v>
      </c>
      <c r="H655" s="65" t="str">
        <f>IFERROR(__xludf.DUMMYFUNCTION("""COMPUTED_VALUE"""),"Koenig  ")</f>
        <v>Koenig  </v>
      </c>
      <c r="I655" s="65" t="str">
        <f>IFERROR(__xludf.DUMMYFUNCTION("""COMPUTED_VALUE"""),"1112")</f>
        <v>1112</v>
      </c>
      <c r="J655" s="108" t="str">
        <f>IFERROR(__xludf.DUMMYFUNCTION("""COMPUTED_VALUE"""),"03:00 PM to 05:00 PM")</f>
        <v>03:00 PM to 05:00 PM</v>
      </c>
      <c r="K655" s="103">
        <f>IFERROR(__xludf.DUMMYFUNCTION("""COMPUTED_VALUE"""),46141.0)</f>
        <v>46141</v>
      </c>
      <c r="L655" s="65" t="str">
        <f>IFERROR(__xludf.DUMMYFUNCTION("""COMPUTED_VALUE""")," ")</f>
        <v> </v>
      </c>
      <c r="M655" s="65"/>
      <c r="N655" s="65" t="str">
        <f>IFERROR(__xludf.DUMMYFUNCTION("""COMPUTED_VALUE""")," ")</f>
        <v> </v>
      </c>
    </row>
    <row r="656">
      <c r="A656" s="99" t="str">
        <f>IFERROR(__xludf.DUMMYFUNCTION("""COMPUTED_VALUE"""),"https://utrucking.com/admin/orders/6445969244348")</f>
        <v>https://utrucking.com/admin/orders/6445969244348</v>
      </c>
      <c r="B656" s="61" t="str">
        <f>IFERROR(__xludf.DUMMYFUNCTION("""COMPUTED_VALUE"""),"#17835")</f>
        <v>#17835</v>
      </c>
      <c r="C656" s="61" t="str">
        <f>IFERROR(__xludf.DUMMYFUNCTION("""COMPUTED_VALUE"""),"l.e.lewis@wustl.edu")</f>
        <v>l.e.lewis@wustl.edu</v>
      </c>
      <c r="D656" s="61">
        <f>IFERROR(__xludf.DUMMYFUNCTION("""COMPUTED_VALUE"""),6.462295856E9)</f>
        <v>6462295856</v>
      </c>
      <c r="E656" s="61" t="str">
        <f>IFERROR(__xludf.DUMMYFUNCTION("""COMPUTED_VALUE"""),"Willow Sanchez")</f>
        <v>Willow Sanchez</v>
      </c>
      <c r="F656" s="61" t="str">
        <f>IFERROR(__xludf.DUMMYFUNCTION("""COMPUTED_VALUE"""),"Lana Lewis")</f>
        <v>Lana Lewis</v>
      </c>
      <c r="G656" s="61" t="str">
        <f>IFERROR(__xludf.DUMMYFUNCTION("""COMPUTED_VALUE""")," 1 [Included with Registration] / Included Insurance   - ")</f>
        <v> 1 [Included with Registration] / Included Insurance   - </v>
      </c>
      <c r="H656" s="61" t="str">
        <f>IFERROR(__xludf.DUMMYFUNCTION("""COMPUTED_VALUE"""),"Village East  ")</f>
        <v>Village East  </v>
      </c>
      <c r="I656" s="61" t="str">
        <f>IFERROR(__xludf.DUMMYFUNCTION("""COMPUTED_VALUE"""),"2013")</f>
        <v>2013</v>
      </c>
      <c r="J656" s="107" t="str">
        <f>IFERROR(__xludf.DUMMYFUNCTION("""COMPUTED_VALUE"""),"09:00 AM to 11:00 AM  ")</f>
        <v>09:00 AM to 11:00 AM  </v>
      </c>
      <c r="K656" s="100">
        <f>IFERROR(__xludf.DUMMYFUNCTION("""COMPUTED_VALUE"""),46150.0)</f>
        <v>46150</v>
      </c>
      <c r="L656" s="61" t="str">
        <f>IFERROR(__xludf.DUMMYFUNCTION("""COMPUTED_VALUE""")," ")</f>
        <v> </v>
      </c>
      <c r="M656" s="61"/>
      <c r="N656" s="61" t="str">
        <f>IFERROR(__xludf.DUMMYFUNCTION("""COMPUTED_VALUE""")," ")</f>
        <v> </v>
      </c>
    </row>
    <row r="657">
      <c r="A657" s="102" t="str">
        <f>IFERROR(__xludf.DUMMYFUNCTION("""COMPUTED_VALUE"""),"https://utrucking.com/admin/orders/6445987201212")</f>
        <v>https://utrucking.com/admin/orders/6445987201212</v>
      </c>
      <c r="B657" s="65" t="str">
        <f>IFERROR(__xludf.DUMMYFUNCTION("""COMPUTED_VALUE"""),"#17837")</f>
        <v>#17837</v>
      </c>
      <c r="C657" s="65" t="str">
        <f>IFERROR(__xludf.DUMMYFUNCTION("""COMPUTED_VALUE"""),"sophia_acker@icloud.com")</f>
        <v>sophia_acker@icloud.com</v>
      </c>
      <c r="D657" s="65">
        <f>IFERROR(__xludf.DUMMYFUNCTION("""COMPUTED_VALUE"""),4.159604245E9)</f>
        <v>4159604245</v>
      </c>
      <c r="E657" s="65" t="str">
        <f>IFERROR(__xludf.DUMMYFUNCTION("""COMPUTED_VALUE"""),"Christy Castro")</f>
        <v>Christy Castro</v>
      </c>
      <c r="F657" s="65" t="str">
        <f>IFERROR(__xludf.DUMMYFUNCTION("""COMPUTED_VALUE"""),"Sophia Acker")</f>
        <v>Sophia Acker</v>
      </c>
      <c r="G657" s="65" t="str">
        <f>IFERROR(__xludf.DUMMYFUNCTION("""COMPUTED_VALUE""")," 2 / Included Insurance   - ")</f>
        <v> 2 / Included Insurance   - </v>
      </c>
      <c r="H657" s="65" t="str">
        <f>IFERROR(__xludf.DUMMYFUNCTION("""COMPUTED_VALUE"""),"Village East  ")</f>
        <v>Village East  </v>
      </c>
      <c r="I657" s="65" t="str">
        <f>IFERROR(__xludf.DUMMYFUNCTION("""COMPUTED_VALUE"""),"2011")</f>
        <v>2011</v>
      </c>
      <c r="J657" s="108" t="str">
        <f>IFERROR(__xludf.DUMMYFUNCTION("""COMPUTED_VALUE"""),"09:00 AM to 11:00 AM  ")</f>
        <v>09:00 AM to 11:00 AM  </v>
      </c>
      <c r="K657" s="103">
        <f>IFERROR(__xludf.DUMMYFUNCTION("""COMPUTED_VALUE"""),46146.0)</f>
        <v>46146</v>
      </c>
      <c r="L657" s="65" t="str">
        <f>IFERROR(__xludf.DUMMYFUNCTION("""COMPUTED_VALUE""")," ")</f>
        <v> </v>
      </c>
      <c r="M657" s="65"/>
      <c r="N657" s="65" t="str">
        <f>IFERROR(__xludf.DUMMYFUNCTION("""COMPUTED_VALUE""")," ")</f>
        <v> </v>
      </c>
    </row>
    <row r="658">
      <c r="A658" s="99" t="str">
        <f>IFERROR(__xludf.DUMMYFUNCTION("""COMPUTED_VALUE"""),"https://utrucking.com/admin/orders/6446197276860")</f>
        <v>https://utrucking.com/admin/orders/6446197276860</v>
      </c>
      <c r="B658" s="61" t="str">
        <f>IFERROR(__xludf.DUMMYFUNCTION("""COMPUTED_VALUE"""),"#17849")</f>
        <v>#17849</v>
      </c>
      <c r="C658" s="61" t="str">
        <f>IFERROR(__xludf.DUMMYFUNCTION("""COMPUTED_VALUE"""),"24diyam@gmail.com")</f>
        <v>24diyam@gmail.com</v>
      </c>
      <c r="D658" s="61">
        <f>IFERROR(__xludf.DUMMYFUNCTION("""COMPUTED_VALUE"""),6.692044959E9)</f>
        <v>6692044959</v>
      </c>
      <c r="E658" s="61" t="str">
        <f>IFERROR(__xludf.DUMMYFUNCTION("""COMPUTED_VALUE"""),"Diya Mukherjee")</f>
        <v>Diya Mukherjee</v>
      </c>
      <c r="F658" s="61" t="str">
        <f>IFERROR(__xludf.DUMMYFUNCTION("""COMPUTED_VALUE"""),"Diya Mukherjee")</f>
        <v>Diya Mukherjee</v>
      </c>
      <c r="G658" s="61" t="str">
        <f>IFERROR(__xludf.DUMMYFUNCTION("""COMPUTED_VALUE""")," 1 [Included with Registration] / Included Insurance   - ")</f>
        <v> 1 [Included with Registration] / Included Insurance   - </v>
      </c>
      <c r="H658" s="61" t="str">
        <f>IFERROR(__xludf.DUMMYFUNCTION("""COMPUTED_VALUE"""),"Wheeler  ")</f>
        <v>Wheeler  </v>
      </c>
      <c r="I658" s="61" t="str">
        <f>IFERROR(__xludf.DUMMYFUNCTION("""COMPUTED_VALUE"""),"1040")</f>
        <v>1040</v>
      </c>
      <c r="J658" s="107" t="str">
        <f>IFERROR(__xludf.DUMMYFUNCTION("""COMPUTED_VALUE"""),"11:00 AM to 01:00 PM  ")</f>
        <v>11:00 AM to 01:00 PM  </v>
      </c>
      <c r="K658" s="100">
        <f>IFERROR(__xludf.DUMMYFUNCTION("""COMPUTED_VALUE"""),46148.0)</f>
        <v>46148</v>
      </c>
      <c r="L658" s="61" t="str">
        <f>IFERROR(__xludf.DUMMYFUNCTION("""COMPUTED_VALUE""")," ")</f>
        <v> </v>
      </c>
      <c r="M658" s="61"/>
      <c r="N658" s="61" t="str">
        <f>IFERROR(__xludf.DUMMYFUNCTION("""COMPUTED_VALUE""")," ")</f>
        <v> </v>
      </c>
    </row>
    <row r="659">
      <c r="A659" s="102" t="str">
        <f>IFERROR(__xludf.DUMMYFUNCTION("""COMPUTED_VALUE"""),"https://utrucking.com/admin/orders/6446266777788")</f>
        <v>https://utrucking.com/admin/orders/6446266777788</v>
      </c>
      <c r="B659" s="65" t="str">
        <f>IFERROR(__xludf.DUMMYFUNCTION("""COMPUTED_VALUE"""),"#17854")</f>
        <v>#17854</v>
      </c>
      <c r="C659" s="65" t="str">
        <f>IFERROR(__xludf.DUMMYFUNCTION("""COMPUTED_VALUE"""),"j.i.meyer@wustl.edu")</f>
        <v>j.i.meyer@wustl.edu</v>
      </c>
      <c r="D659" s="65">
        <f>IFERROR(__xludf.DUMMYFUNCTION("""COMPUTED_VALUE"""),6.503859175E9)</f>
        <v>6503859175</v>
      </c>
      <c r="E659" s="65" t="str">
        <f>IFERROR(__xludf.DUMMYFUNCTION("""COMPUTED_VALUE"""),"Jack Meyer")</f>
        <v>Jack Meyer</v>
      </c>
      <c r="F659" s="65" t="str">
        <f>IFERROR(__xludf.DUMMYFUNCTION("""COMPUTED_VALUE"""),"Jack Meyer")</f>
        <v>Jack Meyer</v>
      </c>
      <c r="G659" s="65" t="str">
        <f>IFERROR(__xludf.DUMMYFUNCTION("""COMPUTED_VALUE""")," 1 [Included with Registration] / Included Insurance   - ")</f>
        <v> 1 [Included with Registration] / Included Insurance   - </v>
      </c>
      <c r="H659" s="65" t="str">
        <f>IFERROR(__xludf.DUMMYFUNCTION("""COMPUTED_VALUE"""),"Liggett  ")</f>
        <v>Liggett  </v>
      </c>
      <c r="I659" s="65" t="str">
        <f>IFERROR(__xludf.DUMMYFUNCTION("""COMPUTED_VALUE"""),"Liggett 3361")</f>
        <v>Liggett 3361</v>
      </c>
      <c r="J659" s="108" t="str">
        <f>IFERROR(__xludf.DUMMYFUNCTION("""COMPUTED_VALUE"""),"10:00 AM to 12:00 PM  ")</f>
        <v>10:00 AM to 12:00 PM  </v>
      </c>
      <c r="K659" s="103">
        <f>IFERROR(__xludf.DUMMYFUNCTION("""COMPUTED_VALUE"""),46149.0)</f>
        <v>46149</v>
      </c>
      <c r="L659" s="65" t="str">
        <f>IFERROR(__xludf.DUMMYFUNCTION("""COMPUTED_VALUE""")," ")</f>
        <v> </v>
      </c>
      <c r="M659" s="65"/>
      <c r="N659" s="65" t="str">
        <f>IFERROR(__xludf.DUMMYFUNCTION("""COMPUTED_VALUE""")," ")</f>
        <v> </v>
      </c>
    </row>
    <row r="660">
      <c r="A660" s="99" t="str">
        <f>IFERROR(__xludf.DUMMYFUNCTION("""COMPUTED_VALUE"""),"https://utrucking.com/admin/orders/6446289682620")</f>
        <v>https://utrucking.com/admin/orders/6446289682620</v>
      </c>
      <c r="B660" s="61" t="str">
        <f>IFERROR(__xludf.DUMMYFUNCTION("""COMPUTED_VALUE"""),"#17859")</f>
        <v>#17859</v>
      </c>
      <c r="C660" s="61" t="str">
        <f>IFERROR(__xludf.DUMMYFUNCTION("""COMPUTED_VALUE"""),"keumriley@gmail.com")</f>
        <v>keumriley@gmail.com</v>
      </c>
      <c r="D660" s="61">
        <f>IFERROR(__xludf.DUMMYFUNCTION("""COMPUTED_VALUE"""),2.135980808E9)</f>
        <v>2135980808</v>
      </c>
      <c r="E660" s="61" t="str">
        <f>IFERROR(__xludf.DUMMYFUNCTION("""COMPUTED_VALUE"""),"Jimin Nam")</f>
        <v>Jimin Nam</v>
      </c>
      <c r="F660" s="61" t="str">
        <f>IFERROR(__xludf.DUMMYFUNCTION("""COMPUTED_VALUE"""),"Riley Keum ")</f>
        <v>Riley Keum </v>
      </c>
      <c r="G660" s="61" t="str">
        <f>IFERROR(__xludf.DUMMYFUNCTION("""COMPUTED_VALUE""")," 1 [Included with Registration] / Included Insurance   - ")</f>
        <v> 1 [Included with Registration] / Included Insurance   - </v>
      </c>
      <c r="H660" s="61" t="str">
        <f>IFERROR(__xludf.DUMMYFUNCTION("""COMPUTED_VALUE"""),"Lopata  ")</f>
        <v>Lopata  </v>
      </c>
      <c r="I660" s="61" t="str">
        <f>IFERROR(__xludf.DUMMYFUNCTION("""COMPUTED_VALUE"""),"2030")</f>
        <v>2030</v>
      </c>
      <c r="J660" s="107" t="str">
        <f>IFERROR(__xludf.DUMMYFUNCTION("""COMPUTED_VALUE"""),"09:00 AM to 11:00 AM  ")</f>
        <v>09:00 AM to 11:00 AM  </v>
      </c>
      <c r="K660" s="100">
        <f>IFERROR(__xludf.DUMMYFUNCTION("""COMPUTED_VALUE"""),46147.0)</f>
        <v>46147</v>
      </c>
      <c r="L660" s="61" t="str">
        <f>IFERROR(__xludf.DUMMYFUNCTION("""COMPUTED_VALUE""")," ")</f>
        <v> </v>
      </c>
      <c r="M660" s="61"/>
      <c r="N660" s="61" t="str">
        <f>IFERROR(__xludf.DUMMYFUNCTION("""COMPUTED_VALUE""")," ")</f>
        <v> </v>
      </c>
    </row>
    <row r="661">
      <c r="A661" s="102" t="str">
        <f>IFERROR(__xludf.DUMMYFUNCTION("""COMPUTED_VALUE"""),"https://utrucking.com/admin/orders/6446311538876")</f>
        <v>https://utrucking.com/admin/orders/6446311538876</v>
      </c>
      <c r="B661" s="65" t="str">
        <f>IFERROR(__xludf.DUMMYFUNCTION("""COMPUTED_VALUE"""),"#17865")</f>
        <v>#17865</v>
      </c>
      <c r="C661" s="65" t="str">
        <f>IFERROR(__xludf.DUMMYFUNCTION("""COMPUTED_VALUE"""),"murphy.n@wustl.edu")</f>
        <v>murphy.n@wustl.edu</v>
      </c>
      <c r="D661" s="65">
        <f>IFERROR(__xludf.DUMMYFUNCTION("""COMPUTED_VALUE"""),4.435588233E9)</f>
        <v>4435588233</v>
      </c>
      <c r="E661" s="65" t="str">
        <f>IFERROR(__xludf.DUMMYFUNCTION("""COMPUTED_VALUE"""),"Neil Murphy")</f>
        <v>Neil Murphy</v>
      </c>
      <c r="F661" s="65" t="str">
        <f>IFERROR(__xludf.DUMMYFUNCTION("""COMPUTED_VALUE"""),"Neil Murphy")</f>
        <v>Neil Murphy</v>
      </c>
      <c r="G661" s="65" t="str">
        <f>IFERROR(__xludf.DUMMYFUNCTION("""COMPUTED_VALUE""")," 1 [Included with Registration] / Included Insurance   - ")</f>
        <v> 1 [Included with Registration] / Included Insurance   - </v>
      </c>
      <c r="H661" s="65" t="str">
        <f>IFERROR(__xludf.DUMMYFUNCTION("""COMPUTED_VALUE"""),"Beaumont  ")</f>
        <v>Beaumont  </v>
      </c>
      <c r="I661" s="65" t="str">
        <f>IFERROR(__xludf.DUMMYFUNCTION("""COMPUTED_VALUE"""),"219")</f>
        <v>219</v>
      </c>
      <c r="J661" s="108" t="str">
        <f>IFERROR(__xludf.DUMMYFUNCTION("""COMPUTED_VALUE"""),"09:00 AM to 11:00 AM  ")</f>
        <v>09:00 AM to 11:00 AM  </v>
      </c>
      <c r="K661" s="103">
        <f>IFERROR(__xludf.DUMMYFUNCTION("""COMPUTED_VALUE"""),46149.0)</f>
        <v>46149</v>
      </c>
      <c r="L661" s="65" t="str">
        <f>IFERROR(__xludf.DUMMYFUNCTION("""COMPUTED_VALUE""")," ")</f>
        <v> </v>
      </c>
      <c r="M661" s="65"/>
      <c r="N661" s="65" t="str">
        <f>IFERROR(__xludf.DUMMYFUNCTION("""COMPUTED_VALUE""")," ")</f>
        <v> </v>
      </c>
    </row>
    <row r="662">
      <c r="A662" s="99" t="str">
        <f>IFERROR(__xludf.DUMMYFUNCTION("""COMPUTED_VALUE"""),"https://utrucking.com/admin/orders/6446318977212")</f>
        <v>https://utrucking.com/admin/orders/6446318977212</v>
      </c>
      <c r="B662" s="61" t="str">
        <f>IFERROR(__xludf.DUMMYFUNCTION("""COMPUTED_VALUE"""),"#17866")</f>
        <v>#17866</v>
      </c>
      <c r="C662" s="61" t="str">
        <f>IFERROR(__xludf.DUMMYFUNCTION("""COMPUTED_VALUE"""),"cao.kevin@wustl.edu")</f>
        <v>cao.kevin@wustl.edu</v>
      </c>
      <c r="D662" s="61">
        <f>IFERROR(__xludf.DUMMYFUNCTION("""COMPUTED_VALUE"""),3.146293735E9)</f>
        <v>3146293735</v>
      </c>
      <c r="E662" s="61" t="str">
        <f>IFERROR(__xludf.DUMMYFUNCTION("""COMPUTED_VALUE"""),"Kevin Cao")</f>
        <v>Kevin Cao</v>
      </c>
      <c r="F662" s="61" t="str">
        <f>IFERROR(__xludf.DUMMYFUNCTION("""COMPUTED_VALUE"""),"Kevin Cao")</f>
        <v>Kevin Cao</v>
      </c>
      <c r="G662" s="61" t="str">
        <f>IFERROR(__xludf.DUMMYFUNCTION("""COMPUTED_VALUE""")," 1 [Included with Registration] / Included Insurance   - ")</f>
        <v> 1 [Included with Registration] / Included Insurance   - </v>
      </c>
      <c r="H662" s="61" t="str">
        <f>IFERROR(__xludf.DUMMYFUNCTION("""COMPUTED_VALUE"""),"Rutledge  ")</f>
        <v>Rutledge  </v>
      </c>
      <c r="I662" s="61" t="str">
        <f>IFERROR(__xludf.DUMMYFUNCTION("""COMPUTED_VALUE"""),"33")</f>
        <v>33</v>
      </c>
      <c r="J662" s="107" t="str">
        <f>IFERROR(__xludf.DUMMYFUNCTION("""COMPUTED_VALUE"""),"02:00 PM to 04:00 PM")</f>
        <v>02:00 PM to 04:00 PM</v>
      </c>
      <c r="K662" s="100">
        <f>IFERROR(__xludf.DUMMYFUNCTION("""COMPUTED_VALUE"""),46147.0)</f>
        <v>46147</v>
      </c>
      <c r="L662" s="61" t="str">
        <f>IFERROR(__xludf.DUMMYFUNCTION("""COMPUTED_VALUE""")," ")</f>
        <v> </v>
      </c>
      <c r="M662" s="61"/>
      <c r="N662" s="61" t="str">
        <f>IFERROR(__xludf.DUMMYFUNCTION("""COMPUTED_VALUE""")," ")</f>
        <v> </v>
      </c>
    </row>
    <row r="663">
      <c r="A663" s="102" t="str">
        <f>IFERROR(__xludf.DUMMYFUNCTION("""COMPUTED_VALUE"""),"https://utrucking.com/admin/orders/6446354563260")</f>
        <v>https://utrucking.com/admin/orders/6446354563260</v>
      </c>
      <c r="B663" s="65" t="str">
        <f>IFERROR(__xludf.DUMMYFUNCTION("""COMPUTED_VALUE"""),"#17870")</f>
        <v>#17870</v>
      </c>
      <c r="C663" s="65" t="str">
        <f>IFERROR(__xludf.DUMMYFUNCTION("""COMPUTED_VALUE"""),"michelleherzlinger@gmail.com")</f>
        <v>michelleherzlinger@gmail.com</v>
      </c>
      <c r="D663" s="65">
        <f>IFERROR(__xludf.DUMMYFUNCTION("""COMPUTED_VALUE"""),9.179308115E9)</f>
        <v>9179308115</v>
      </c>
      <c r="E663" s="65" t="str">
        <f>IFERROR(__xludf.DUMMYFUNCTION("""COMPUTED_VALUE"""),"michelle herzlinger")</f>
        <v>michelle herzlinger</v>
      </c>
      <c r="F663" s="65" t="str">
        <f>IFERROR(__xludf.DUMMYFUNCTION("""COMPUTED_VALUE"""),"Gabriel Herzlinger")</f>
        <v>Gabriel Herzlinger</v>
      </c>
      <c r="G663" s="65" t="str">
        <f>IFERROR(__xludf.DUMMYFUNCTION("""COMPUTED_VALUE""")," 1 [Included with Registration] / Included Insurance   - ")</f>
        <v> 1 [Included with Registration] / Included Insurance   - </v>
      </c>
      <c r="H663" s="65" t="str">
        <f>IFERROR(__xludf.DUMMYFUNCTION("""COMPUTED_VALUE"""),"Wheeler  ")</f>
        <v>Wheeler  </v>
      </c>
      <c r="I663" s="65" t="str">
        <f>IFERROR(__xludf.DUMMYFUNCTION("""COMPUTED_VALUE"""),"1051")</f>
        <v>1051</v>
      </c>
      <c r="J663" s="108" t="str">
        <f>IFERROR(__xludf.DUMMYFUNCTION("""COMPUTED_VALUE"""),"03:00 PM to 05:00 PM")</f>
        <v>03:00 PM to 05:00 PM</v>
      </c>
      <c r="K663" s="103">
        <f>IFERROR(__xludf.DUMMYFUNCTION("""COMPUTED_VALUE"""),46149.0)</f>
        <v>46149</v>
      </c>
      <c r="L663" s="65" t="str">
        <f>IFERROR(__xludf.DUMMYFUNCTION("""COMPUTED_VALUE""")," ")</f>
        <v> </v>
      </c>
      <c r="M663" s="65"/>
      <c r="N663" s="65" t="str">
        <f>IFERROR(__xludf.DUMMYFUNCTION("""COMPUTED_VALUE""")," ")</f>
        <v> </v>
      </c>
    </row>
    <row r="664">
      <c r="A664" s="99" t="str">
        <f>IFERROR(__xludf.DUMMYFUNCTION("""COMPUTED_VALUE"""),"https://utrucking.com/admin/orders/6446360821948")</f>
        <v>https://utrucking.com/admin/orders/6446360821948</v>
      </c>
      <c r="B664" s="61" t="str">
        <f>IFERROR(__xludf.DUMMYFUNCTION("""COMPUTED_VALUE"""),"#17872")</f>
        <v>#17872</v>
      </c>
      <c r="C664" s="61" t="str">
        <f>IFERROR(__xludf.DUMMYFUNCTION("""COMPUTED_VALUE"""),"bani@wustl.edu")</f>
        <v>bani@wustl.edu</v>
      </c>
      <c r="D664" s="61">
        <f>IFERROR(__xludf.DUMMYFUNCTION("""COMPUTED_VALUE"""),8.605006445E9)</f>
        <v>8605006445</v>
      </c>
      <c r="E664" s="61" t="str">
        <f>IFERROR(__xludf.DUMMYFUNCTION("""COMPUTED_VALUE"""),"Bani Chandra")</f>
        <v>Bani Chandra</v>
      </c>
      <c r="F664" s="61" t="str">
        <f>IFERROR(__xludf.DUMMYFUNCTION("""COMPUTED_VALUE"""),"Bani Chandra ")</f>
        <v>Bani Chandra </v>
      </c>
      <c r="G664" s="61" t="str">
        <f>IFERROR(__xludf.DUMMYFUNCTION("""COMPUTED_VALUE""")," 1 [Included with Registration] / Included Insurance   - ")</f>
        <v> 1 [Included with Registration] / Included Insurance   - </v>
      </c>
      <c r="H664" s="61" t="str">
        <f>IFERROR(__xludf.DUMMYFUNCTION("""COMPUTED_VALUE"""),"Mudd  ")</f>
        <v>Mudd  </v>
      </c>
      <c r="I664" s="61" t="str">
        <f>IFERROR(__xludf.DUMMYFUNCTION("""COMPUTED_VALUE"""),"311")</f>
        <v>311</v>
      </c>
      <c r="J664" s="107" t="str">
        <f>IFERROR(__xludf.DUMMYFUNCTION("""COMPUTED_VALUE"""),"11:00 AM to 01:00 PM  ")</f>
        <v>11:00 AM to 01:00 PM  </v>
      </c>
      <c r="K664" s="100">
        <f>IFERROR(__xludf.DUMMYFUNCTION("""COMPUTED_VALUE"""),46149.0)</f>
        <v>46149</v>
      </c>
      <c r="L664" s="61" t="str">
        <f>IFERROR(__xludf.DUMMYFUNCTION("""COMPUTED_VALUE""")," ")</f>
        <v> </v>
      </c>
      <c r="M664" s="61"/>
      <c r="N664" s="61" t="str">
        <f>IFERROR(__xludf.DUMMYFUNCTION("""COMPUTED_VALUE""")," ")</f>
        <v> </v>
      </c>
    </row>
    <row r="665">
      <c r="A665" s="102" t="str">
        <f>IFERROR(__xludf.DUMMYFUNCTION("""COMPUTED_VALUE"""),"https://utrucking.com/admin/orders/6446361542844")</f>
        <v>https://utrucking.com/admin/orders/6446361542844</v>
      </c>
      <c r="B665" s="65" t="str">
        <f>IFERROR(__xludf.DUMMYFUNCTION("""COMPUTED_VALUE"""),"#17873")</f>
        <v>#17873</v>
      </c>
      <c r="C665" s="65" t="str">
        <f>IFERROR(__xludf.DUMMYFUNCTION("""COMPUTED_VALUE"""),"pshivam@wustl.edu")</f>
        <v>pshivam@wustl.edu</v>
      </c>
      <c r="D665" s="65">
        <f>IFERROR(__xludf.DUMMYFUNCTION("""COMPUTED_VALUE"""),6.308909563E9)</f>
        <v>6308909563</v>
      </c>
      <c r="E665" s="65" t="str">
        <f>IFERROR(__xludf.DUMMYFUNCTION("""COMPUTED_VALUE"""),"Shivam Purohit")</f>
        <v>Shivam Purohit</v>
      </c>
      <c r="F665" s="65" t="str">
        <f>IFERROR(__xludf.DUMMYFUNCTION("""COMPUTED_VALUE"""),"Shivam Purohit")</f>
        <v>Shivam Purohit</v>
      </c>
      <c r="G665" s="65" t="str">
        <f>IFERROR(__xludf.DUMMYFUNCTION("""COMPUTED_VALUE""")," 1 [Included with Registration] / Included Insurance   - ")</f>
        <v> 1 [Included with Registration] / Included Insurance   - </v>
      </c>
      <c r="H665" s="65" t="str">
        <f>IFERROR(__xludf.DUMMYFUNCTION("""COMPUTED_VALUE"""),"Zetcher  ")</f>
        <v>Zetcher  </v>
      </c>
      <c r="I665" s="65" t="str">
        <f>IFERROR(__xludf.DUMMYFUNCTION("""COMPUTED_VALUE"""),"4200 (my room is 4201)")</f>
        <v>4200 (my room is 4201)</v>
      </c>
      <c r="J665" s="108" t="str">
        <f>IFERROR(__xludf.DUMMYFUNCTION("""COMPUTED_VALUE"""),"03:00 PM to 05:00 PM")</f>
        <v>03:00 PM to 05:00 PM</v>
      </c>
      <c r="K665" s="103">
        <f>IFERROR(__xludf.DUMMYFUNCTION("""COMPUTED_VALUE"""),46144.0)</f>
        <v>46144</v>
      </c>
      <c r="L665" s="65" t="str">
        <f>IFERROR(__xludf.DUMMYFUNCTION("""COMPUTED_VALUE""")," ")</f>
        <v> </v>
      </c>
      <c r="M665" s="65"/>
      <c r="N665" s="65" t="str">
        <f>IFERROR(__xludf.DUMMYFUNCTION("""COMPUTED_VALUE""")," ")</f>
        <v> </v>
      </c>
    </row>
    <row r="666">
      <c r="A666" s="99" t="str">
        <f>IFERROR(__xludf.DUMMYFUNCTION("""COMPUTED_VALUE"""),"https://utrucking.com/admin/orders/6446362525884")</f>
        <v>https://utrucking.com/admin/orders/6446362525884</v>
      </c>
      <c r="B666" s="61" t="str">
        <f>IFERROR(__xludf.DUMMYFUNCTION("""COMPUTED_VALUE"""),"#17874")</f>
        <v>#17874</v>
      </c>
      <c r="C666" s="61" t="str">
        <f>IFERROR(__xludf.DUMMYFUNCTION("""COMPUTED_VALUE"""),"jeremy.friedman.wellisch@gmail.com")</f>
        <v>jeremy.friedman.wellisch@gmail.com</v>
      </c>
      <c r="D666" s="61">
        <f>IFERROR(__xludf.DUMMYFUNCTION("""COMPUTED_VALUE"""),6.179811518E9)</f>
        <v>6179811518</v>
      </c>
      <c r="E666" s="61" t="str">
        <f>IFERROR(__xludf.DUMMYFUNCTION("""COMPUTED_VALUE"""),"Jeremy Friedman-Wellisch")</f>
        <v>Jeremy Friedman-Wellisch</v>
      </c>
      <c r="F666" s="61" t="str">
        <f>IFERROR(__xludf.DUMMYFUNCTION("""COMPUTED_VALUE"""),"Jeremy Friedman-Wellisch")</f>
        <v>Jeremy Friedman-Wellisch</v>
      </c>
      <c r="G666" s="61" t="str">
        <f>IFERROR(__xludf.DUMMYFUNCTION("""COMPUTED_VALUE""")," 1 [Included with Registration] / Included Insurance   - ")</f>
        <v> 1 [Included with Registration] / Included Insurance   - </v>
      </c>
      <c r="H666" s="61" t="str">
        <f>IFERROR(__xludf.DUMMYFUNCTION("""COMPUTED_VALUE"""),"Lee  ")</f>
        <v>Lee  </v>
      </c>
      <c r="I666" s="61" t="str">
        <f>IFERROR(__xludf.DUMMYFUNCTION("""COMPUTED_VALUE"""),"203")</f>
        <v>203</v>
      </c>
      <c r="J666" s="107" t="str">
        <f>IFERROR(__xludf.DUMMYFUNCTION("""COMPUTED_VALUE"""),"10:00 AM to 12:00 PM  ")</f>
        <v>10:00 AM to 12:00 PM  </v>
      </c>
      <c r="K666" s="100">
        <f>IFERROR(__xludf.DUMMYFUNCTION("""COMPUTED_VALUE"""),46149.0)</f>
        <v>46149</v>
      </c>
      <c r="L666" s="61" t="str">
        <f>IFERROR(__xludf.DUMMYFUNCTION("""COMPUTED_VALUE""")," ")</f>
        <v> </v>
      </c>
      <c r="M666" s="61"/>
      <c r="N666" s="61" t="str">
        <f>IFERROR(__xludf.DUMMYFUNCTION("""COMPUTED_VALUE""")," ")</f>
        <v> </v>
      </c>
    </row>
    <row r="667">
      <c r="A667" s="102" t="str">
        <f>IFERROR(__xludf.DUMMYFUNCTION("""COMPUTED_VALUE"""),"https://utrucking.com/admin/orders/6446450933948")</f>
        <v>https://utrucking.com/admin/orders/6446450933948</v>
      </c>
      <c r="B667" s="65" t="str">
        <f>IFERROR(__xludf.DUMMYFUNCTION("""COMPUTED_VALUE"""),"#17895")</f>
        <v>#17895</v>
      </c>
      <c r="C667" s="65" t="str">
        <f>IFERROR(__xludf.DUMMYFUNCTION("""COMPUTED_VALUE"""),"c.b.merce@wustl.edu")</f>
        <v>c.b.merce@wustl.edu</v>
      </c>
      <c r="D667" s="65">
        <f>IFERROR(__xludf.DUMMYFUNCTION("""COMPUTED_VALUE"""),3.148104007E9)</f>
        <v>3148104007</v>
      </c>
      <c r="E667" s="65" t="str">
        <f>IFERROR(__xludf.DUMMYFUNCTION("""COMPUTED_VALUE"""),"Coleman Merce")</f>
        <v>Coleman Merce</v>
      </c>
      <c r="F667" s="65" t="str">
        <f>IFERROR(__xludf.DUMMYFUNCTION("""COMPUTED_VALUE"""),"Coleman Merce")</f>
        <v>Coleman Merce</v>
      </c>
      <c r="G667" s="65" t="str">
        <f>IFERROR(__xludf.DUMMYFUNCTION("""COMPUTED_VALUE""")," 2 / Included Insurance   - ")</f>
        <v> 2 / Included Insurance   - </v>
      </c>
      <c r="H667" s="65" t="str">
        <f>IFERROR(__xludf.DUMMYFUNCTION("""COMPUTED_VALUE"""),"Eliot B (Sophomore Dorm)")</f>
        <v>Eliot B (Sophomore Dorm)</v>
      </c>
      <c r="I667" s="65" t="str">
        <f>IFERROR(__xludf.DUMMYFUNCTION("""COMPUTED_VALUE"""),"2034")</f>
        <v>2034</v>
      </c>
      <c r="J667" s="108" t="str">
        <f>IFERROR(__xludf.DUMMYFUNCTION("""COMPUTED_VALUE"""),"09:00 AM to 11:00 AM  ")</f>
        <v>09:00 AM to 11:00 AM  </v>
      </c>
      <c r="K667" s="103">
        <f>IFERROR(__xludf.DUMMYFUNCTION("""COMPUTED_VALUE"""),46155.0)</f>
        <v>46155</v>
      </c>
      <c r="L667" s="65" t="str">
        <f>IFERROR(__xludf.DUMMYFUNCTION("""COMPUTED_VALUE""")," ")</f>
        <v> </v>
      </c>
      <c r="M667" s="65"/>
      <c r="N667" s="65" t="str">
        <f>IFERROR(__xludf.DUMMYFUNCTION("""COMPUTED_VALUE""")," ")</f>
        <v> </v>
      </c>
    </row>
    <row r="668">
      <c r="A668" s="99" t="str">
        <f>IFERROR(__xludf.DUMMYFUNCTION("""COMPUTED_VALUE"""),"https://utrucking.com/admin/orders/6446484095164")</f>
        <v>https://utrucking.com/admin/orders/6446484095164</v>
      </c>
      <c r="B668" s="61" t="str">
        <f>IFERROR(__xludf.DUMMYFUNCTION("""COMPUTED_VALUE"""),"#17898")</f>
        <v>#17898</v>
      </c>
      <c r="C668" s="61" t="str">
        <f>IFERROR(__xludf.DUMMYFUNCTION("""COMPUTED_VALUE"""),"russ_flicker@yahoo.com")</f>
        <v>russ_flicker@yahoo.com</v>
      </c>
      <c r="D668" s="61">
        <f>IFERROR(__xludf.DUMMYFUNCTION("""COMPUTED_VALUE"""),9.175728671E9)</f>
        <v>9175728671</v>
      </c>
      <c r="E668" s="61" t="str">
        <f>IFERROR(__xludf.DUMMYFUNCTION("""COMPUTED_VALUE"""),"Russell Flicker")</f>
        <v>Russell Flicker</v>
      </c>
      <c r="F668" s="61" t="str">
        <f>IFERROR(__xludf.DUMMYFUNCTION("""COMPUTED_VALUE"""),"Benjamin Flicker")</f>
        <v>Benjamin Flicker</v>
      </c>
      <c r="G668" s="61" t="str">
        <f>IFERROR(__xludf.DUMMYFUNCTION("""COMPUTED_VALUE""")," 1 [Included with Registration] / Included Insurance   - ")</f>
        <v> 1 [Included with Registration] / Included Insurance   - </v>
      </c>
      <c r="H668" s="61" t="str">
        <f>IFERROR(__xludf.DUMMYFUNCTION("""COMPUTED_VALUE"""),"House 6 (Sigma Alpha Epsilon)  ")</f>
        <v>House 6 (Sigma Alpha Epsilon)  </v>
      </c>
      <c r="I668" s="61" t="str">
        <f>IFERROR(__xludf.DUMMYFUNCTION("""COMPUTED_VALUE"""),"Benjamin Flicker")</f>
        <v>Benjamin Flicker</v>
      </c>
      <c r="J668" s="107" t="str">
        <f>IFERROR(__xludf.DUMMYFUNCTION("""COMPUTED_VALUE"""),"03:00 PM to 05:00 PM")</f>
        <v>03:00 PM to 05:00 PM</v>
      </c>
      <c r="K668" s="100">
        <f>IFERROR(__xludf.DUMMYFUNCTION("""COMPUTED_VALUE"""),46148.0)</f>
        <v>46148</v>
      </c>
      <c r="L668" s="61" t="str">
        <f>IFERROR(__xludf.DUMMYFUNCTION("""COMPUTED_VALUE""")," ")</f>
        <v> </v>
      </c>
      <c r="M668" s="61"/>
      <c r="N668" s="61" t="str">
        <f>IFERROR(__xludf.DUMMYFUNCTION("""COMPUTED_VALUE""")," ")</f>
        <v> </v>
      </c>
    </row>
    <row r="669">
      <c r="A669" s="102" t="str">
        <f>IFERROR(__xludf.DUMMYFUNCTION("""COMPUTED_VALUE"""),"https://utrucking.com/admin/orders/6446491599036")</f>
        <v>https://utrucking.com/admin/orders/6446491599036</v>
      </c>
      <c r="B669" s="65" t="str">
        <f>IFERROR(__xludf.DUMMYFUNCTION("""COMPUTED_VALUE"""),"#17901")</f>
        <v>#17901</v>
      </c>
      <c r="C669" s="65" t="str">
        <f>IFERROR(__xludf.DUMMYFUNCTION("""COMPUTED_VALUE"""),"ndecherney@gmail.com")</f>
        <v>ndecherney@gmail.com</v>
      </c>
      <c r="D669" s="65">
        <f>IFERROR(__xludf.DUMMYFUNCTION("""COMPUTED_VALUE"""),6.504749188E9)</f>
        <v>6504749188</v>
      </c>
      <c r="E669" s="65" t="str">
        <f>IFERROR(__xludf.DUMMYFUNCTION("""COMPUTED_VALUE"""),"Natalie DeCherney")</f>
        <v>Natalie DeCherney</v>
      </c>
      <c r="F669" s="65" t="str">
        <f>IFERROR(__xludf.DUMMYFUNCTION("""COMPUTED_VALUE"""),"Natalie DeCherney")</f>
        <v>Natalie DeCherney</v>
      </c>
      <c r="G669" s="65" t="str">
        <f>IFERROR(__xludf.DUMMYFUNCTION("""COMPUTED_VALUE""")," 1 [Included with Registration] / Included Insurance   - ")</f>
        <v> 1 [Included with Registration] / Included Insurance   - </v>
      </c>
      <c r="H669" s="65" t="str">
        <f>IFERROR(__xludf.DUMMYFUNCTION("""COMPUTED_VALUE"""),"Umrath  ")</f>
        <v>Umrath  </v>
      </c>
      <c r="I669" s="65" t="str">
        <f>IFERROR(__xludf.DUMMYFUNCTION("""COMPUTED_VALUE"""),"1239")</f>
        <v>1239</v>
      </c>
      <c r="J669" s="108" t="str">
        <f>IFERROR(__xludf.DUMMYFUNCTION("""COMPUTED_VALUE"""),"09:00 AM to 11:00 AM  ")</f>
        <v>09:00 AM to 11:00 AM  </v>
      </c>
      <c r="K669" s="103">
        <f>IFERROR(__xludf.DUMMYFUNCTION("""COMPUTED_VALUE"""),46149.0)</f>
        <v>46149</v>
      </c>
      <c r="L669" s="65" t="str">
        <f>IFERROR(__xludf.DUMMYFUNCTION("""COMPUTED_VALUE""")," ")</f>
        <v> </v>
      </c>
      <c r="M669" s="65"/>
      <c r="N669" s="65" t="str">
        <f>IFERROR(__xludf.DUMMYFUNCTION("""COMPUTED_VALUE""")," ")</f>
        <v> </v>
      </c>
    </row>
    <row r="670">
      <c r="A670" s="99" t="str">
        <f>IFERROR(__xludf.DUMMYFUNCTION("""COMPUTED_VALUE"""),"https://utrucking.com/admin/orders/6446502346940")</f>
        <v>https://utrucking.com/admin/orders/6446502346940</v>
      </c>
      <c r="B670" s="61" t="str">
        <f>IFERROR(__xludf.DUMMYFUNCTION("""COMPUTED_VALUE"""),"#17905")</f>
        <v>#17905</v>
      </c>
      <c r="C670" s="61" t="str">
        <f>IFERROR(__xludf.DUMMYFUNCTION("""COMPUTED_VALUE"""),"g.e.samek@wustl.edu")</f>
        <v>g.e.samek@wustl.edu</v>
      </c>
      <c r="D670" s="61">
        <f>IFERROR(__xludf.DUMMYFUNCTION("""COMPUTED_VALUE"""),3.108804805E9)</f>
        <v>3108804805</v>
      </c>
      <c r="E670" s="61" t="str">
        <f>IFERROR(__xludf.DUMMYFUNCTION("""COMPUTED_VALUE"""),"Gabe Samek")</f>
        <v>Gabe Samek</v>
      </c>
      <c r="F670" s="61" t="str">
        <f>IFERROR(__xludf.DUMMYFUNCTION("""COMPUTED_VALUE"""),"Gabe Samek")</f>
        <v>Gabe Samek</v>
      </c>
      <c r="G670" s="61" t="str">
        <f>IFERROR(__xludf.DUMMYFUNCTION("""COMPUTED_VALUE""")," 1 [Included with Registration] / Included Insurance   - ")</f>
        <v> 1 [Included with Registration] / Included Insurance   - </v>
      </c>
      <c r="H670" s="61" t="str">
        <f>IFERROR(__xludf.DUMMYFUNCTION("""COMPUTED_VALUE"""),"Lee  ")</f>
        <v>Lee  </v>
      </c>
      <c r="I670" s="61" t="str">
        <f>IFERROR(__xludf.DUMMYFUNCTION("""COMPUTED_VALUE"""),"219")</f>
        <v>219</v>
      </c>
      <c r="J670" s="107" t="str">
        <f>IFERROR(__xludf.DUMMYFUNCTION("""COMPUTED_VALUE"""),"03:00 PM to 05:00 PM")</f>
        <v>03:00 PM to 05:00 PM</v>
      </c>
      <c r="K670" s="100">
        <f>IFERROR(__xludf.DUMMYFUNCTION("""COMPUTED_VALUE"""),46148.0)</f>
        <v>46148</v>
      </c>
      <c r="L670" s="61" t="str">
        <f>IFERROR(__xludf.DUMMYFUNCTION("""COMPUTED_VALUE""")," ")</f>
        <v> </v>
      </c>
      <c r="M670" s="61"/>
      <c r="N670" s="61" t="str">
        <f>IFERROR(__xludf.DUMMYFUNCTION("""COMPUTED_VALUE""")," ")</f>
        <v> </v>
      </c>
    </row>
    <row r="671">
      <c r="A671" s="102" t="str">
        <f>IFERROR(__xludf.DUMMYFUNCTION("""COMPUTED_VALUE"""),"https://utrucking.com/admin/orders/6446549860540")</f>
        <v>https://utrucking.com/admin/orders/6446549860540</v>
      </c>
      <c r="B671" s="65" t="str">
        <f>IFERROR(__xludf.DUMMYFUNCTION("""COMPUTED_VALUE"""),"#17911")</f>
        <v>#17911</v>
      </c>
      <c r="C671" s="65" t="str">
        <f>IFERROR(__xludf.DUMMYFUNCTION("""COMPUTED_VALUE"""),"tiffanie.nielsen@gmail.com")</f>
        <v>tiffanie.nielsen@gmail.com</v>
      </c>
      <c r="D671" s="65">
        <f>IFERROR(__xludf.DUMMYFUNCTION("""COMPUTED_VALUE"""),2.06550942E9)</f>
        <v>2065509420</v>
      </c>
      <c r="E671" s="65" t="str">
        <f>IFERROR(__xludf.DUMMYFUNCTION("""COMPUTED_VALUE"""),"Tiffanie West")</f>
        <v>Tiffanie West</v>
      </c>
      <c r="F671" s="65" t="str">
        <f>IFERROR(__xludf.DUMMYFUNCTION("""COMPUTED_VALUE"""),"Talia West")</f>
        <v>Talia West</v>
      </c>
      <c r="G671" s="65" t="str">
        <f>IFERROR(__xludf.DUMMYFUNCTION("""COMPUTED_VALUE""")," 2 / Included Insurance   - ")</f>
        <v> 2 / Included Insurance   - </v>
      </c>
      <c r="H671" s="65" t="str">
        <f>IFERROR(__xludf.DUMMYFUNCTION("""COMPUTED_VALUE"""),"Danforth  ")</f>
        <v>Danforth  </v>
      </c>
      <c r="I671" s="65" t="str">
        <f>IFERROR(__xludf.DUMMYFUNCTION("""COMPUTED_VALUE"""),"4428")</f>
        <v>4428</v>
      </c>
      <c r="J671" s="108" t="str">
        <f>IFERROR(__xludf.DUMMYFUNCTION("""COMPUTED_VALUE"""),"09:00 AM to 11:00 AM  ")</f>
        <v>09:00 AM to 11:00 AM  </v>
      </c>
      <c r="K671" s="103">
        <f>IFERROR(__xludf.DUMMYFUNCTION("""COMPUTED_VALUE"""),46153.0)</f>
        <v>46153</v>
      </c>
      <c r="L671" s="65" t="str">
        <f>IFERROR(__xludf.DUMMYFUNCTION("""COMPUTED_VALUE""")," ")</f>
        <v> </v>
      </c>
      <c r="M671" s="65"/>
      <c r="N671" s="65" t="str">
        <f>IFERROR(__xludf.DUMMYFUNCTION("""COMPUTED_VALUE""")," ")</f>
        <v> </v>
      </c>
    </row>
    <row r="672">
      <c r="A672" s="99" t="str">
        <f>IFERROR(__xludf.DUMMYFUNCTION("""COMPUTED_VALUE"""),"https://utrucking.com/admin/orders/6446603894972")</f>
        <v>https://utrucking.com/admin/orders/6446603894972</v>
      </c>
      <c r="B672" s="61" t="str">
        <f>IFERROR(__xludf.DUMMYFUNCTION("""COMPUTED_VALUE"""),"#17916")</f>
        <v>#17916</v>
      </c>
      <c r="C672" s="61" t="str">
        <f>IFERROR(__xludf.DUMMYFUNCTION("""COMPUTED_VALUE"""),"p.song@wustl.edu")</f>
        <v>p.song@wustl.edu</v>
      </c>
      <c r="D672" s="61">
        <f>IFERROR(__xludf.DUMMYFUNCTION("""COMPUTED_VALUE"""),3.142034348E9)</f>
        <v>3142034348</v>
      </c>
      <c r="E672" s="61" t="str">
        <f>IFERROR(__xludf.DUMMYFUNCTION("""COMPUTED_VALUE"""),"Foliage Song")</f>
        <v>Foliage Song</v>
      </c>
      <c r="F672" s="61" t="str">
        <f>IFERROR(__xludf.DUMMYFUNCTION("""COMPUTED_VALUE"""),"Foliage Song")</f>
        <v>Foliage Song</v>
      </c>
      <c r="G672" s="61" t="str">
        <f>IFERROR(__xludf.DUMMYFUNCTION("""COMPUTED_VALUE""")," 1 [Included with Registration] / Included Insurance   - ")</f>
        <v> 1 [Included with Registration] / Included Insurance   - </v>
      </c>
      <c r="H672" s="61" t="str">
        <f>IFERROR(__xludf.DUMMYFUNCTION("""COMPUTED_VALUE"""),"Lopata  ")</f>
        <v>Lopata  </v>
      </c>
      <c r="I672" s="61" t="str">
        <f>IFERROR(__xludf.DUMMYFUNCTION("""COMPUTED_VALUE"""),"3134")</f>
        <v>3134</v>
      </c>
      <c r="J672" s="107" t="str">
        <f>IFERROR(__xludf.DUMMYFUNCTION("""COMPUTED_VALUE"""),"12:00 PM to 02:00 PM  ")</f>
        <v>12:00 PM to 02:00 PM  </v>
      </c>
      <c r="K672" s="100">
        <f>IFERROR(__xludf.DUMMYFUNCTION("""COMPUTED_VALUE"""),46149.0)</f>
        <v>46149</v>
      </c>
      <c r="L672" s="61" t="str">
        <f>IFERROR(__xludf.DUMMYFUNCTION("""COMPUTED_VALUE""")," ")</f>
        <v> </v>
      </c>
      <c r="M672" s="61"/>
      <c r="N672" s="61" t="str">
        <f>IFERROR(__xludf.DUMMYFUNCTION("""COMPUTED_VALUE""")," ")</f>
        <v> </v>
      </c>
    </row>
    <row r="673">
      <c r="A673" s="102" t="str">
        <f>IFERROR(__xludf.DUMMYFUNCTION("""COMPUTED_VALUE"""),"https://utrucking.com/admin/orders/6446617133244")</f>
        <v>https://utrucking.com/admin/orders/6446617133244</v>
      </c>
      <c r="B673" s="65" t="str">
        <f>IFERROR(__xludf.DUMMYFUNCTION("""COMPUTED_VALUE"""),"#17921")</f>
        <v>#17921</v>
      </c>
      <c r="C673" s="65" t="str">
        <f>IFERROR(__xludf.DUMMYFUNCTION("""COMPUTED_VALUE"""),"jasrd@verizon.net")</f>
        <v>jasrd@verizon.net</v>
      </c>
      <c r="D673" s="65">
        <f>IFERROR(__xludf.DUMMYFUNCTION("""COMPUTED_VALUE"""),4.10279228E9)</f>
        <v>4102792280</v>
      </c>
      <c r="E673" s="65" t="str">
        <f>IFERROR(__xludf.DUMMYFUNCTION("""COMPUTED_VALUE"""),"Natalie Stern")</f>
        <v>Natalie Stern</v>
      </c>
      <c r="F673" s="65" t="str">
        <f>IFERROR(__xludf.DUMMYFUNCTION("""COMPUTED_VALUE"""),"Lena Stern")</f>
        <v>Lena Stern</v>
      </c>
      <c r="G673" s="65" t="str">
        <f>IFERROR(__xludf.DUMMYFUNCTION("""COMPUTED_VALUE""")," 1 [Included with Registration] / Included Insurance   - ")</f>
        <v> 1 [Included with Registration] / Included Insurance   - </v>
      </c>
      <c r="H673" s="65" t="str">
        <f>IFERROR(__xludf.DUMMYFUNCTION("""COMPUTED_VALUE"""),"Zetcher  ")</f>
        <v>Zetcher  </v>
      </c>
      <c r="I673" s="65" t="str">
        <f>IFERROR(__xludf.DUMMYFUNCTION("""COMPUTED_VALUE"""),"3000")</f>
        <v>3000</v>
      </c>
      <c r="J673" s="108" t="str">
        <f>IFERROR(__xludf.DUMMYFUNCTION("""COMPUTED_VALUE"""),"09:00 AM to 11:00 AM  ")</f>
        <v>09:00 AM to 11:00 AM  </v>
      </c>
      <c r="K673" s="103">
        <f>IFERROR(__xludf.DUMMYFUNCTION("""COMPUTED_VALUE"""),46148.0)</f>
        <v>46148</v>
      </c>
      <c r="L673" s="65" t="str">
        <f>IFERROR(__xludf.DUMMYFUNCTION("""COMPUTED_VALUE""")," ")</f>
        <v> </v>
      </c>
      <c r="M673" s="65"/>
      <c r="N673" s="65" t="str">
        <f>IFERROR(__xludf.DUMMYFUNCTION("""COMPUTED_VALUE""")," ")</f>
        <v> </v>
      </c>
    </row>
    <row r="674">
      <c r="A674" s="99" t="str">
        <f>IFERROR(__xludf.DUMMYFUNCTION("""COMPUTED_VALUE"""),"https://utrucking.com/admin/orders/6446692335804")</f>
        <v>https://utrucking.com/admin/orders/6446692335804</v>
      </c>
      <c r="B674" s="61" t="str">
        <f>IFERROR(__xludf.DUMMYFUNCTION("""COMPUTED_VALUE"""),"#17927")</f>
        <v>#17927</v>
      </c>
      <c r="C674" s="61" t="str">
        <f>IFERROR(__xludf.DUMMYFUNCTION("""COMPUTED_VALUE"""),"naomika.raveendran16@gmail.com")</f>
        <v>naomika.raveendran16@gmail.com</v>
      </c>
      <c r="D674" s="61">
        <f>IFERROR(__xludf.DUMMYFUNCTION("""COMPUTED_VALUE"""),8.588666205E9)</f>
        <v>8588666205</v>
      </c>
      <c r="E674" s="61" t="str">
        <f>IFERROR(__xludf.DUMMYFUNCTION("""COMPUTED_VALUE"""),"Naomika Raveendran")</f>
        <v>Naomika Raveendran</v>
      </c>
      <c r="F674" s="61" t="str">
        <f>IFERROR(__xludf.DUMMYFUNCTION("""COMPUTED_VALUE"""),"Naomika Raveendran")</f>
        <v>Naomika Raveendran</v>
      </c>
      <c r="G674" s="61" t="str">
        <f>IFERROR(__xludf.DUMMYFUNCTION("""COMPUTED_VALUE""")," 1 [Included with Registration] / Included Insurance   - ")</f>
        <v> 1 [Included with Registration] / Included Insurance   - </v>
      </c>
      <c r="H674" s="61" t="str">
        <f>IFERROR(__xludf.DUMMYFUNCTION("""COMPUTED_VALUE"""),"Zetcher  ")</f>
        <v>Zetcher  </v>
      </c>
      <c r="I674" s="61" t="str">
        <f>IFERROR(__xludf.DUMMYFUNCTION("""COMPUTED_VALUE"""),"3134")</f>
        <v>3134</v>
      </c>
      <c r="J674" s="107" t="str">
        <f>IFERROR(__xludf.DUMMYFUNCTION("""COMPUTED_VALUE"""),"11:00 AM to 01:00 PM  ")</f>
        <v>11:00 AM to 01:00 PM  </v>
      </c>
      <c r="K674" s="100">
        <f>IFERROR(__xludf.DUMMYFUNCTION("""COMPUTED_VALUE"""),46148.0)</f>
        <v>46148</v>
      </c>
      <c r="L674" s="61" t="str">
        <f>IFERROR(__xludf.DUMMYFUNCTION("""COMPUTED_VALUE""")," ")</f>
        <v> </v>
      </c>
      <c r="M674" s="61"/>
      <c r="N674" s="61" t="str">
        <f>IFERROR(__xludf.DUMMYFUNCTION("""COMPUTED_VALUE""")," I don't know where I'll be living next semester yet, but I will know my specific address by July at the latest. I will contact UTrucking with the address for the boxes to be delivered to as soon as I get this information.")</f>
        <v> I don't know where I'll be living next semester yet, but I will know my specific address by July at the latest. I will contact UTrucking with the address for the boxes to be delivered to as soon as I get this information.</v>
      </c>
    </row>
    <row r="675">
      <c r="A675" s="102" t="str">
        <f>IFERROR(__xludf.DUMMYFUNCTION("""COMPUTED_VALUE"""),"https://utrucking.com/admin/orders/6446827831484")</f>
        <v>https://utrucking.com/admin/orders/6446827831484</v>
      </c>
      <c r="B675" s="65" t="str">
        <f>IFERROR(__xludf.DUMMYFUNCTION("""COMPUTED_VALUE"""),"#17932")</f>
        <v>#17932</v>
      </c>
      <c r="C675" s="65" t="str">
        <f>IFERROR(__xludf.DUMMYFUNCTION("""COMPUTED_VALUE"""),"jeeho@wustl.edu")</f>
        <v>jeeho@wustl.edu</v>
      </c>
      <c r="D675" s="65">
        <f>IFERROR(__xludf.DUMMYFUNCTION("""COMPUTED_VALUE"""),8.21065833994E11)</f>
        <v>821065833994</v>
      </c>
      <c r="E675" s="65" t="str">
        <f>IFERROR(__xludf.DUMMYFUNCTION("""COMPUTED_VALUE"""),"Jeeho Kang")</f>
        <v>Jeeho Kang</v>
      </c>
      <c r="F675" s="65" t="str">
        <f>IFERROR(__xludf.DUMMYFUNCTION("""COMPUTED_VALUE"""),"Jeeho Kang")</f>
        <v>Jeeho Kang</v>
      </c>
      <c r="G675" s="65" t="str">
        <f>IFERROR(__xludf.DUMMYFUNCTION("""COMPUTED_VALUE""")," 1 [Included with Registration] / Included Insurance   - ")</f>
        <v> 1 [Included with Registration] / Included Insurance   - </v>
      </c>
      <c r="H675" s="65" t="str">
        <f>IFERROR(__xludf.DUMMYFUNCTION("""COMPUTED_VALUE"""),"Loop Loft 6300  ")</f>
        <v>Loop Loft 6300  </v>
      </c>
      <c r="I675" s="65" t="str">
        <f>IFERROR(__xludf.DUMMYFUNCTION("""COMPUTED_VALUE"""),"206C-a")</f>
        <v>206C-a</v>
      </c>
      <c r="J675" s="108" t="str">
        <f>IFERROR(__xludf.DUMMYFUNCTION("""COMPUTED_VALUE"""),"09:00 AM to 11:00 AM  ")</f>
        <v>09:00 AM to 11:00 AM  </v>
      </c>
      <c r="K675" s="103">
        <f>IFERROR(__xludf.DUMMYFUNCTION("""COMPUTED_VALUE"""),46144.0)</f>
        <v>46144</v>
      </c>
      <c r="L675" s="65" t="str">
        <f>IFERROR(__xludf.DUMMYFUNCTION("""COMPUTED_VALUE""")," ")</f>
        <v> </v>
      </c>
      <c r="M675" s="65"/>
      <c r="N675" s="65" t="str">
        <f>IFERROR(__xludf.DUMMYFUNCTION("""COMPUTED_VALUE""")," ")</f>
        <v> </v>
      </c>
    </row>
    <row r="676">
      <c r="A676" s="99" t="str">
        <f>IFERROR(__xludf.DUMMYFUNCTION("""COMPUTED_VALUE"""),"https://utrucking.com/admin/orders/6446828224700")</f>
        <v>https://utrucking.com/admin/orders/6446828224700</v>
      </c>
      <c r="B676" s="61" t="str">
        <f>IFERROR(__xludf.DUMMYFUNCTION("""COMPUTED_VALUE"""),"#17933")</f>
        <v>#17933</v>
      </c>
      <c r="C676" s="61" t="str">
        <f>IFERROR(__xludf.DUMMYFUNCTION("""COMPUTED_VALUE"""),"j.man@wustl.edu")</f>
        <v>j.man@wustl.edu</v>
      </c>
      <c r="D676" s="61">
        <f>IFERROR(__xludf.DUMMYFUNCTION("""COMPUTED_VALUE"""),6.266786905E9)</f>
        <v>6266786905</v>
      </c>
      <c r="E676" s="61" t="str">
        <f>IFERROR(__xludf.DUMMYFUNCTION("""COMPUTED_VALUE"""),"Man Ju")</f>
        <v>Man Ju</v>
      </c>
      <c r="F676" s="61" t="str">
        <f>IFERROR(__xludf.DUMMYFUNCTION("""COMPUTED_VALUE"""),"Mandy Ju")</f>
        <v>Mandy Ju</v>
      </c>
      <c r="G676" s="61" t="str">
        <f>IFERROR(__xludf.DUMMYFUNCTION("""COMPUTED_VALUE""")," 1 [Included with Registration] / Included Insurance   - ")</f>
        <v> 1 [Included with Registration] / Included Insurance   - </v>
      </c>
      <c r="H676" s="61" t="str">
        <f>IFERROR(__xludf.DUMMYFUNCTION("""COMPUTED_VALUE"""),"Dardick  ")</f>
        <v>Dardick  </v>
      </c>
      <c r="I676" s="61" t="str">
        <f>IFERROR(__xludf.DUMMYFUNCTION("""COMPUTED_VALUE"""),"2208")</f>
        <v>2208</v>
      </c>
      <c r="J676" s="107" t="str">
        <f>IFERROR(__xludf.DUMMYFUNCTION("""COMPUTED_VALUE"""),"10:00 AM to 12:00 PM  ")</f>
        <v>10:00 AM to 12:00 PM  </v>
      </c>
      <c r="K676" s="100">
        <f>IFERROR(__xludf.DUMMYFUNCTION("""COMPUTED_VALUE"""),46149.0)</f>
        <v>46149</v>
      </c>
      <c r="L676" s="61" t="str">
        <f>IFERROR(__xludf.DUMMYFUNCTION("""COMPUTED_VALUE""")," ")</f>
        <v> </v>
      </c>
      <c r="M676" s="61"/>
      <c r="N676" s="61" t="str">
        <f>IFERROR(__xludf.DUMMYFUNCTION("""COMPUTED_VALUE""")," ")</f>
        <v> </v>
      </c>
    </row>
    <row r="677">
      <c r="A677" s="102" t="str">
        <f>IFERROR(__xludf.DUMMYFUNCTION("""COMPUTED_VALUE"""),"https://utrucking.com/admin/orders/6446857126076")</f>
        <v>https://utrucking.com/admin/orders/6446857126076</v>
      </c>
      <c r="B677" s="65" t="str">
        <f>IFERROR(__xludf.DUMMYFUNCTION("""COMPUTED_VALUE"""),"#17934")</f>
        <v>#17934</v>
      </c>
      <c r="C677" s="65" t="str">
        <f>IFERROR(__xludf.DUMMYFUNCTION("""COMPUTED_VALUE"""),"tjwls3291224@gmail.com")</f>
        <v>tjwls3291224@gmail.com</v>
      </c>
      <c r="D677" s="65">
        <f>IFERROR(__xludf.DUMMYFUNCTION("""COMPUTED_VALUE"""),3.145710865E9)</f>
        <v>3145710865</v>
      </c>
      <c r="E677" s="65" t="str">
        <f>IFERROR(__xludf.DUMMYFUNCTION("""COMPUTED_VALUE"""),"Seojin Kim")</f>
        <v>Seojin Kim</v>
      </c>
      <c r="F677" s="65" t="str">
        <f>IFERROR(__xludf.DUMMYFUNCTION("""COMPUTED_VALUE"""),"Kemi Kim")</f>
        <v>Kemi Kim</v>
      </c>
      <c r="G677" s="65" t="str">
        <f>IFERROR(__xludf.DUMMYFUNCTION("""COMPUTED_VALUE""")," 1 [Included with Registration] / Included Insurance   - ")</f>
        <v> 1 [Included with Registration] / Included Insurance   - </v>
      </c>
      <c r="H677" s="65" t="str">
        <f>IFERROR(__xludf.DUMMYFUNCTION("""COMPUTED_VALUE"""),"Danforth  ")</f>
        <v>Danforth  </v>
      </c>
      <c r="I677" s="65" t="str">
        <f>IFERROR(__xludf.DUMMYFUNCTION("""COMPUTED_VALUE"""),"2209")</f>
        <v>2209</v>
      </c>
      <c r="J677" s="108" t="str">
        <f>IFERROR(__xludf.DUMMYFUNCTION("""COMPUTED_VALUE"""),"11:00 AM to 01:00 PM  ")</f>
        <v>11:00 AM to 01:00 PM  </v>
      </c>
      <c r="K677" s="103">
        <f>IFERROR(__xludf.DUMMYFUNCTION("""COMPUTED_VALUE"""),46143.0)</f>
        <v>46143</v>
      </c>
      <c r="L677" s="65" t="str">
        <f>IFERROR(__xludf.DUMMYFUNCTION("""COMPUTED_VALUE""")," ")</f>
        <v> </v>
      </c>
      <c r="M677" s="65"/>
      <c r="N677" s="65" t="str">
        <f>IFERROR(__xludf.DUMMYFUNCTION("""COMPUTED_VALUE""")," ")</f>
        <v> </v>
      </c>
    </row>
    <row r="678">
      <c r="A678" s="99" t="str">
        <f>IFERROR(__xludf.DUMMYFUNCTION("""COMPUTED_VALUE"""),"https://utrucking.com/admin/orders/6446867120316")</f>
        <v>https://utrucking.com/admin/orders/6446867120316</v>
      </c>
      <c r="B678" s="61" t="str">
        <f>IFERROR(__xludf.DUMMYFUNCTION("""COMPUTED_VALUE"""),"#17935")</f>
        <v>#17935</v>
      </c>
      <c r="C678" s="61" t="str">
        <f>IFERROR(__xludf.DUMMYFUNCTION("""COMPUTED_VALUE"""),"c.yehyeon@wustl.edu")</f>
        <v>c.yehyeon@wustl.edu</v>
      </c>
      <c r="D678" s="61">
        <f>IFERROR(__xludf.DUMMYFUNCTION("""COMPUTED_VALUE"""),3.143931536E9)</f>
        <v>3143931536</v>
      </c>
      <c r="E678" s="61" t="str">
        <f>IFERROR(__xludf.DUMMYFUNCTION("""COMPUTED_VALUE"""),"ye hyeon chung")</f>
        <v>ye hyeon chung</v>
      </c>
      <c r="F678" s="61" t="str">
        <f>IFERROR(__xludf.DUMMYFUNCTION("""COMPUTED_VALUE"""),"ye hyeon ")</f>
        <v>ye hyeon </v>
      </c>
      <c r="G678" s="61" t="str">
        <f>IFERROR(__xludf.DUMMYFUNCTION("""COMPUTED_VALUE""")," 1 [Included with Registration] / Included Insurance   - ")</f>
        <v> 1 [Included with Registration] / Included Insurance   - </v>
      </c>
      <c r="H678" s="61" t="str">
        <f>IFERROR(__xludf.DUMMYFUNCTION("""COMPUTED_VALUE"""),"Park  ")</f>
        <v>Park  </v>
      </c>
      <c r="I678" s="61" t="str">
        <f>IFERROR(__xludf.DUMMYFUNCTION("""COMPUTED_VALUE"""),"190")</f>
        <v>190</v>
      </c>
      <c r="J678" s="107" t="str">
        <f>IFERROR(__xludf.DUMMYFUNCTION("""COMPUTED_VALUE"""),"09:00 AM to 11:00 AM  ")</f>
        <v>09:00 AM to 11:00 AM  </v>
      </c>
      <c r="K678" s="100">
        <f>IFERROR(__xludf.DUMMYFUNCTION("""COMPUTED_VALUE"""),46144.0)</f>
        <v>46144</v>
      </c>
      <c r="L678" s="61" t="str">
        <f>IFERROR(__xludf.DUMMYFUNCTION("""COMPUTED_VALUE""")," ")</f>
        <v> </v>
      </c>
      <c r="M678" s="61"/>
      <c r="N678" s="61" t="str">
        <f>IFERROR(__xludf.DUMMYFUNCTION("""COMPUTED_VALUE""")," ")</f>
        <v> </v>
      </c>
    </row>
    <row r="679">
      <c r="A679" s="102" t="str">
        <f>IFERROR(__xludf.DUMMYFUNCTION("""COMPUTED_VALUE"""),"https://utrucking.com/admin/orders/6447750447292")</f>
        <v>https://utrucking.com/admin/orders/6447750447292</v>
      </c>
      <c r="B679" s="65" t="str">
        <f>IFERROR(__xludf.DUMMYFUNCTION("""COMPUTED_VALUE"""),"#17978")</f>
        <v>#17978</v>
      </c>
      <c r="C679" s="65" t="str">
        <f>IFERROR(__xludf.DUMMYFUNCTION("""COMPUTED_VALUE"""),"lilybrecknock23@gmail.com")</f>
        <v>lilybrecknock23@gmail.com</v>
      </c>
      <c r="D679" s="65">
        <f>IFERROR(__xludf.DUMMYFUNCTION("""COMPUTED_VALUE"""),7.086393381E9)</f>
        <v>7086393381</v>
      </c>
      <c r="E679" s="65" t="str">
        <f>IFERROR(__xludf.DUMMYFUNCTION("""COMPUTED_VALUE"""),"Lily Brecknock")</f>
        <v>Lily Brecknock</v>
      </c>
      <c r="F679" s="65" t="str">
        <f>IFERROR(__xludf.DUMMYFUNCTION("""COMPUTED_VALUE"""),"Lily Brecknock")</f>
        <v>Lily Brecknock</v>
      </c>
      <c r="G679" s="65" t="str">
        <f>IFERROR(__xludf.DUMMYFUNCTION("""COMPUTED_VALUE""")," 1 [Included with Registration] / Included Insurance   - ")</f>
        <v> 1 [Included with Registration] / Included Insurance   - </v>
      </c>
      <c r="H679" s="65" t="str">
        <f>IFERROR(__xludf.DUMMYFUNCTION("""COMPUTED_VALUE"""),"Umrath  ")</f>
        <v>Umrath  </v>
      </c>
      <c r="I679" s="65" t="str">
        <f>IFERROR(__xludf.DUMMYFUNCTION("""COMPUTED_VALUE"""),"3324")</f>
        <v>3324</v>
      </c>
      <c r="J679" s="108" t="str">
        <f>IFERROR(__xludf.DUMMYFUNCTION("""COMPUTED_VALUE"""),"09:00 AM to 11:00 AM  ")</f>
        <v>09:00 AM to 11:00 AM  </v>
      </c>
      <c r="K679" s="103">
        <f>IFERROR(__xludf.DUMMYFUNCTION("""COMPUTED_VALUE"""),46160.0)</f>
        <v>46160</v>
      </c>
      <c r="L679" s="65" t="str">
        <f>IFERROR(__xludf.DUMMYFUNCTION("""COMPUTED_VALUE""")," ")</f>
        <v> </v>
      </c>
      <c r="M679" s="65"/>
      <c r="N679" s="65" t="str">
        <f>IFERROR(__xludf.DUMMYFUNCTION("""COMPUTED_VALUE""")," ")</f>
        <v> </v>
      </c>
    </row>
    <row r="680">
      <c r="A680" s="99" t="str">
        <f>IFERROR(__xludf.DUMMYFUNCTION("""COMPUTED_VALUE"""),"https://utrucking.com/admin/orders/6447823225020")</f>
        <v>https://utrucking.com/admin/orders/6447823225020</v>
      </c>
      <c r="B680" s="61" t="str">
        <f>IFERROR(__xludf.DUMMYFUNCTION("""COMPUTED_VALUE"""),"#17984")</f>
        <v>#17984</v>
      </c>
      <c r="C680" s="61" t="str">
        <f>IFERROR(__xludf.DUMMYFUNCTION("""COMPUTED_VALUE"""),"cslee0213@icloud.com")</f>
        <v>cslee0213@icloud.com</v>
      </c>
      <c r="D680" s="61">
        <f>IFERROR(__xludf.DUMMYFUNCTION("""COMPUTED_VALUE"""),7.706167204E9)</f>
        <v>7706167204</v>
      </c>
      <c r="E680" s="61" t="str">
        <f>IFERROR(__xludf.DUMMYFUNCTION("""COMPUTED_VALUE"""),"Soeun Lee")</f>
        <v>Soeun Lee</v>
      </c>
      <c r="F680" s="61" t="str">
        <f>IFERROR(__xludf.DUMMYFUNCTION("""COMPUTED_VALUE"""),"Soeun Lee")</f>
        <v>Soeun Lee</v>
      </c>
      <c r="G680" s="61" t="str">
        <f>IFERROR(__xludf.DUMMYFUNCTION("""COMPUTED_VALUE""")," 1 [Included with Registration] / Included Insurance   - ")</f>
        <v> 1 [Included with Registration] / Included Insurance   - </v>
      </c>
      <c r="H680" s="61" t="str">
        <f>IFERROR(__xludf.DUMMYFUNCTION("""COMPUTED_VALUE"""),"Zetcher  ")</f>
        <v>Zetcher  </v>
      </c>
      <c r="I680" s="61" t="str">
        <f>IFERROR(__xludf.DUMMYFUNCTION("""COMPUTED_VALUE"""),"2041")</f>
        <v>2041</v>
      </c>
      <c r="J680" s="107" t="str">
        <f>IFERROR(__xludf.DUMMYFUNCTION("""COMPUTED_VALUE"""),"10:00 AM to 12:00 PM  ")</f>
        <v>10:00 AM to 12:00 PM  </v>
      </c>
      <c r="K680" s="100">
        <f>IFERROR(__xludf.DUMMYFUNCTION("""COMPUTED_VALUE"""),46149.0)</f>
        <v>46149</v>
      </c>
      <c r="L680" s="61" t="str">
        <f>IFERROR(__xludf.DUMMYFUNCTION("""COMPUTED_VALUE""")," ")</f>
        <v> </v>
      </c>
      <c r="M680" s="61"/>
      <c r="N680" s="61" t="str">
        <f>IFERROR(__xludf.DUMMYFUNCTION("""COMPUTED_VALUE""")," ")</f>
        <v> </v>
      </c>
    </row>
    <row r="681">
      <c r="A681" s="102" t="str">
        <f>IFERROR(__xludf.DUMMYFUNCTION("""COMPUTED_VALUE"""),"https://utrucking.com/admin/orders/6447825420476")</f>
        <v>https://utrucking.com/admin/orders/6447825420476</v>
      </c>
      <c r="B681" s="65" t="str">
        <f>IFERROR(__xludf.DUMMYFUNCTION("""COMPUTED_VALUE"""),"#17985")</f>
        <v>#17985</v>
      </c>
      <c r="C681" s="65" t="str">
        <f>IFERROR(__xludf.DUMMYFUNCTION("""COMPUTED_VALUE"""),"ariellakapla@gmail.com")</f>
        <v>ariellakapla@gmail.com</v>
      </c>
      <c r="D681" s="65">
        <f>IFERROR(__xludf.DUMMYFUNCTION("""COMPUTED_VALUE"""),9.293752454E9)</f>
        <v>9293752454</v>
      </c>
      <c r="E681" s="65" t="str">
        <f>IFERROR(__xludf.DUMMYFUNCTION("""COMPUTED_VALUE"""),"Ariella Kaplan")</f>
        <v>Ariella Kaplan</v>
      </c>
      <c r="F681" s="65" t="str">
        <f>IFERROR(__xludf.DUMMYFUNCTION("""COMPUTED_VALUE"""),"Ariella Kaplan")</f>
        <v>Ariella Kaplan</v>
      </c>
      <c r="G681" s="65" t="str">
        <f>IFERROR(__xludf.DUMMYFUNCTION("""COMPUTED_VALUE""")," 1 [Included with Registration] / Included Insurance   - ")</f>
        <v> 1 [Included with Registration] / Included Insurance   - </v>
      </c>
      <c r="H681" s="65" t="str">
        <f>IFERROR(__xludf.DUMMYFUNCTION("""COMPUTED_VALUE"""),"Lopata  ")</f>
        <v>Lopata  </v>
      </c>
      <c r="I681" s="65" t="str">
        <f>IFERROR(__xludf.DUMMYFUNCTION("""COMPUTED_VALUE"""),"1113")</f>
        <v>1113</v>
      </c>
      <c r="J681" s="108" t="str">
        <f>IFERROR(__xludf.DUMMYFUNCTION("""COMPUTED_VALUE"""),"09:00 AM to 11:00 AM  ")</f>
        <v>09:00 AM to 11:00 AM  </v>
      </c>
      <c r="K681" s="103">
        <f>IFERROR(__xludf.DUMMYFUNCTION("""COMPUTED_VALUE"""),46150.0)</f>
        <v>46150</v>
      </c>
      <c r="L681" s="65" t="str">
        <f>IFERROR(__xludf.DUMMYFUNCTION("""COMPUTED_VALUE""")," ")</f>
        <v> </v>
      </c>
      <c r="M681" s="65"/>
      <c r="N681" s="65" t="str">
        <f>IFERROR(__xludf.DUMMYFUNCTION("""COMPUTED_VALUE""")," ")</f>
        <v> </v>
      </c>
    </row>
    <row r="682">
      <c r="A682" s="99" t="str">
        <f>IFERROR(__xludf.DUMMYFUNCTION("""COMPUTED_VALUE"""),"https://utrucking.com/admin/orders/6447859171516")</f>
        <v>https://utrucking.com/admin/orders/6447859171516</v>
      </c>
      <c r="B682" s="61" t="str">
        <f>IFERROR(__xludf.DUMMYFUNCTION("""COMPUTED_VALUE"""),"#17986")</f>
        <v>#17986</v>
      </c>
      <c r="C682" s="61" t="str">
        <f>IFERROR(__xludf.DUMMYFUNCTION("""COMPUTED_VALUE"""),"amking@hawaii.rr.com")</f>
        <v>amking@hawaii.rr.com</v>
      </c>
      <c r="D682" s="61">
        <f>IFERROR(__xludf.DUMMYFUNCTION("""COMPUTED_VALUE"""),8.086357064E9)</f>
        <v>8086357064</v>
      </c>
      <c r="E682" s="61" t="str">
        <f>IFERROR(__xludf.DUMMYFUNCTION("""COMPUTED_VALUE"""),"Monica King")</f>
        <v>Monica King</v>
      </c>
      <c r="F682" s="61" t="str">
        <f>IFERROR(__xludf.DUMMYFUNCTION("""COMPUTED_VALUE"""),"Max King")</f>
        <v>Max King</v>
      </c>
      <c r="G682" s="61" t="str">
        <f>IFERROR(__xludf.DUMMYFUNCTION("""COMPUTED_VALUE""")," 1 [Included with Registration] / Included Insurance   - ")</f>
        <v> 1 [Included with Registration] / Included Insurance   - </v>
      </c>
      <c r="H682" s="61"/>
      <c r="I682" s="61"/>
      <c r="J682" s="107" t="str">
        <f>IFERROR(__xludf.DUMMYFUNCTION("""COMPUTED_VALUE"""),"03:00 PM to 05:00 PM")</f>
        <v>03:00 PM to 05:00 PM</v>
      </c>
      <c r="K682" s="100">
        <f>IFERROR(__xludf.DUMMYFUNCTION("""COMPUTED_VALUE"""),46153.0)</f>
        <v>46153</v>
      </c>
      <c r="L682" s="61" t="str">
        <f>IFERROR(__xludf.DUMMYFUNCTION("""COMPUTED_VALUE""")," ")</f>
        <v> </v>
      </c>
      <c r="M682" s="61" t="str">
        <f>IFERROR(__xludf.DUMMYFUNCTION("""COMPUTED_VALUE"""),"736 Westgate Ave., Unit 3S")</f>
        <v>736 Westgate Ave., Unit 3S</v>
      </c>
      <c r="N682" s="61" t="str">
        <f>IFERROR(__xludf.DUMMYFUNCTION("""COMPUTED_VALUE""")," ")</f>
        <v> </v>
      </c>
    </row>
    <row r="683">
      <c r="A683" s="102" t="str">
        <f>IFERROR(__xludf.DUMMYFUNCTION("""COMPUTED_VALUE"""),"https://utrucking.com/admin/orders/6447872245948")</f>
        <v>https://utrucking.com/admin/orders/6447872245948</v>
      </c>
      <c r="B683" s="65" t="str">
        <f>IFERROR(__xludf.DUMMYFUNCTION("""COMPUTED_VALUE"""),"#17988")</f>
        <v>#17988</v>
      </c>
      <c r="C683" s="65" t="str">
        <f>IFERROR(__xludf.DUMMYFUNCTION("""COMPUTED_VALUE"""),"eliana.g@wustl.edu")</f>
        <v>eliana.g@wustl.edu</v>
      </c>
      <c r="D683" s="65">
        <f>IFERROR(__xludf.DUMMYFUNCTION("""COMPUTED_VALUE"""),2.407034219E9)</f>
        <v>2407034219</v>
      </c>
      <c r="E683" s="65" t="str">
        <f>IFERROR(__xludf.DUMMYFUNCTION("""COMPUTED_VALUE"""),"Eliana Green")</f>
        <v>Eliana Green</v>
      </c>
      <c r="F683" s="65" t="str">
        <f>IFERROR(__xludf.DUMMYFUNCTION("""COMPUTED_VALUE"""),"Eliana Green")</f>
        <v>Eliana Green</v>
      </c>
      <c r="G683" s="65" t="str">
        <f>IFERROR(__xludf.DUMMYFUNCTION("""COMPUTED_VALUE""")," 1 [Included with Registration] / Included Insurance   - ")</f>
        <v> 1 [Included with Registration] / Included Insurance   - </v>
      </c>
      <c r="H683" s="65" t="str">
        <f>IFERROR(__xludf.DUMMYFUNCTION("""COMPUTED_VALUE"""),"Lien  ")</f>
        <v>Lien  </v>
      </c>
      <c r="I683" s="65" t="str">
        <f>IFERROR(__xludf.DUMMYFUNCTION("""COMPUTED_VALUE"""),"1102")</f>
        <v>1102</v>
      </c>
      <c r="J683" s="108" t="str">
        <f>IFERROR(__xludf.DUMMYFUNCTION("""COMPUTED_VALUE"""),"09:00 AM to 11:00 AM  ")</f>
        <v>09:00 AM to 11:00 AM  </v>
      </c>
      <c r="K683" s="103">
        <f>IFERROR(__xludf.DUMMYFUNCTION("""COMPUTED_VALUE"""),46146.0)</f>
        <v>46146</v>
      </c>
      <c r="L683" s="65" t="str">
        <f>IFERROR(__xludf.DUMMYFUNCTION("""COMPUTED_VALUE""")," ")</f>
        <v> </v>
      </c>
      <c r="M683" s="65"/>
      <c r="N683" s="65" t="str">
        <f>IFERROR(__xludf.DUMMYFUNCTION("""COMPUTED_VALUE""")," ")</f>
        <v> </v>
      </c>
    </row>
    <row r="684">
      <c r="A684" s="99" t="str">
        <f>IFERROR(__xludf.DUMMYFUNCTION("""COMPUTED_VALUE"""),"https://utrucking.com/admin/orders/6447904227516")</f>
        <v>https://utrucking.com/admin/orders/6447904227516</v>
      </c>
      <c r="B684" s="61" t="str">
        <f>IFERROR(__xludf.DUMMYFUNCTION("""COMPUTED_VALUE"""),"#17991")</f>
        <v>#17991</v>
      </c>
      <c r="C684" s="61" t="str">
        <f>IFERROR(__xludf.DUMMYFUNCTION("""COMPUTED_VALUE"""),"sanayahkmf@gmail.com")</f>
        <v>sanayahkmf@gmail.com</v>
      </c>
      <c r="D684" s="61">
        <f>IFERROR(__xludf.DUMMYFUNCTION("""COMPUTED_VALUE"""),6.287778763E9)</f>
        <v>6287778763</v>
      </c>
      <c r="E684" s="61" t="str">
        <f>IFERROR(__xludf.DUMMYFUNCTION("""COMPUTED_VALUE"""),"Sanayah Mulla-Feroze")</f>
        <v>Sanayah Mulla-Feroze</v>
      </c>
      <c r="F684" s="61" t="str">
        <f>IFERROR(__xludf.DUMMYFUNCTION("""COMPUTED_VALUE"""),"Sanayah Mulla-Feroze")</f>
        <v>Sanayah Mulla-Feroze</v>
      </c>
      <c r="G684" s="61" t="str">
        <f>IFERROR(__xludf.DUMMYFUNCTION("""COMPUTED_VALUE""")," 1 [Included with Registration] / Included Insurance   - ")</f>
        <v> 1 [Included with Registration] / Included Insurance   - </v>
      </c>
      <c r="H684" s="61" t="str">
        <f>IFERROR(__xludf.DUMMYFUNCTION("""COMPUTED_VALUE"""),"Eliot B (Sophomore Dorm)")</f>
        <v>Eliot B (Sophomore Dorm)</v>
      </c>
      <c r="I684" s="61" t="str">
        <f>IFERROR(__xludf.DUMMYFUNCTION("""COMPUTED_VALUE"""),"2052")</f>
        <v>2052</v>
      </c>
      <c r="J684" s="107" t="str">
        <f>IFERROR(__xludf.DUMMYFUNCTION("""COMPUTED_VALUE"""),"09:00 AM to 11:00 AM  ")</f>
        <v>09:00 AM to 11:00 AM  </v>
      </c>
      <c r="K684" s="100">
        <f>IFERROR(__xludf.DUMMYFUNCTION("""COMPUTED_VALUE"""),46147.0)</f>
        <v>46147</v>
      </c>
      <c r="L684" s="61" t="str">
        <f>IFERROR(__xludf.DUMMYFUNCTION("""COMPUTED_VALUE""")," ")</f>
        <v> </v>
      </c>
      <c r="M684" s="61"/>
      <c r="N684" s="61" t="str">
        <f>IFERROR(__xludf.DUMMYFUNCTION("""COMPUTED_VALUE""")," ")</f>
        <v> </v>
      </c>
    </row>
    <row r="685">
      <c r="A685" s="102" t="str">
        <f>IFERROR(__xludf.DUMMYFUNCTION("""COMPUTED_VALUE"""),"https://utrucking.com/admin/orders/6447942795452")</f>
        <v>https://utrucking.com/admin/orders/6447942795452</v>
      </c>
      <c r="B685" s="65" t="str">
        <f>IFERROR(__xludf.DUMMYFUNCTION("""COMPUTED_VALUE"""),"#17994")</f>
        <v>#17994</v>
      </c>
      <c r="C685" s="65" t="str">
        <f>IFERROR(__xludf.DUMMYFUNCTION("""COMPUTED_VALUE"""),"liebermana@wustl.edu")</f>
        <v>liebermana@wustl.edu</v>
      </c>
      <c r="D685" s="65">
        <f>IFERROR(__xludf.DUMMYFUNCTION("""COMPUTED_VALUE"""),4.705503103E9)</f>
        <v>4705503103</v>
      </c>
      <c r="E685" s="65" t="str">
        <f>IFERROR(__xludf.DUMMYFUNCTION("""COMPUTED_VALUE"""),"Anna Lieberman")</f>
        <v>Anna Lieberman</v>
      </c>
      <c r="F685" s="65" t="str">
        <f>IFERROR(__xludf.DUMMYFUNCTION("""COMPUTED_VALUE"""),"Anna Lieberman")</f>
        <v>Anna Lieberman</v>
      </c>
      <c r="G685" s="65" t="str">
        <f>IFERROR(__xludf.DUMMYFUNCTION("""COMPUTED_VALUE""")," 2 / Included Insurance   - ")</f>
        <v> 2 / Included Insurance   - </v>
      </c>
      <c r="H685" s="65" t="str">
        <f>IFERROR(__xludf.DUMMYFUNCTION("""COMPUTED_VALUE"""),"Lien  ")</f>
        <v>Lien  </v>
      </c>
      <c r="I685" s="65" t="str">
        <f>IFERROR(__xludf.DUMMYFUNCTION("""COMPUTED_VALUE"""),"2206")</f>
        <v>2206</v>
      </c>
      <c r="J685" s="108" t="str">
        <f>IFERROR(__xludf.DUMMYFUNCTION("""COMPUTED_VALUE"""),"03:00 PM to 05:00 PM")</f>
        <v>03:00 PM to 05:00 PM</v>
      </c>
      <c r="K685" s="103">
        <f>IFERROR(__xludf.DUMMYFUNCTION("""COMPUTED_VALUE"""),46143.0)</f>
        <v>46143</v>
      </c>
      <c r="L685" s="65" t="str">
        <f>IFERROR(__xludf.DUMMYFUNCTION("""COMPUTED_VALUE""")," ")</f>
        <v> </v>
      </c>
      <c r="M685" s="65"/>
      <c r="N685" s="65" t="str">
        <f>IFERROR(__xludf.DUMMYFUNCTION("""COMPUTED_VALUE""")," ")</f>
        <v> </v>
      </c>
    </row>
    <row r="686">
      <c r="A686" s="99" t="str">
        <f>IFERROR(__xludf.DUMMYFUNCTION("""COMPUTED_VALUE"""),"https://utrucking.com/admin/orders/6447998927036")</f>
        <v>https://utrucking.com/admin/orders/6447998927036</v>
      </c>
      <c r="B686" s="61" t="str">
        <f>IFERROR(__xludf.DUMMYFUNCTION("""COMPUTED_VALUE"""),"#17998")</f>
        <v>#17998</v>
      </c>
      <c r="C686" s="61" t="str">
        <f>IFERROR(__xludf.DUMMYFUNCTION("""COMPUTED_VALUE"""),"moriarty123@comcast.net")</f>
        <v>moriarty123@comcast.net</v>
      </c>
      <c r="D686" s="61">
        <f>IFERROR(__xludf.DUMMYFUNCTION("""COMPUTED_VALUE"""),6.17529097E9)</f>
        <v>6175290970</v>
      </c>
      <c r="E686" s="61" t="str">
        <f>IFERROR(__xludf.DUMMYFUNCTION("""COMPUTED_VALUE"""),"Erin Moriarty")</f>
        <v>Erin Moriarty</v>
      </c>
      <c r="F686" s="61" t="str">
        <f>IFERROR(__xludf.DUMMYFUNCTION("""COMPUTED_VALUE"""),"David Moriarty ")</f>
        <v>David Moriarty </v>
      </c>
      <c r="G686" s="61" t="str">
        <f>IFERROR(__xludf.DUMMYFUNCTION("""COMPUTED_VALUE""")," 1 [Included with Registration] / Included Insurance   - ")</f>
        <v> 1 [Included with Registration] / Included Insurance   - </v>
      </c>
      <c r="H686" s="61"/>
      <c r="I686" s="61"/>
      <c r="J686" s="107" t="str">
        <f>IFERROR(__xludf.DUMMYFUNCTION("""COMPUTED_VALUE"""),"09:00 AM to 11:00 AM  ")</f>
        <v>09:00 AM to 11:00 AM  </v>
      </c>
      <c r="K686" s="100">
        <f>IFERROR(__xludf.DUMMYFUNCTION("""COMPUTED_VALUE"""),46148.0)</f>
        <v>46148</v>
      </c>
      <c r="L686" s="61" t="str">
        <f>IFERROR(__xludf.DUMMYFUNCTION("""COMPUTED_VALUE""")," ")</f>
        <v> </v>
      </c>
      <c r="M686" s="61" t="str">
        <f>IFERROR(__xludf.DUMMYFUNCTION("""COMPUTED_VALUE"""),"740 West gate ave at louis S1")</f>
        <v>740 West gate ave at louis S1</v>
      </c>
      <c r="N686" s="61" t="str">
        <f>IFERROR(__xludf.DUMMYFUNCTION("""COMPUTED_VALUE""")," looking to store till the end of August iam very confused on the pricing and if offer boxes and if tv needs to be wrapped. Thank yiy")</f>
        <v> looking to store till the end of August iam very confused on the pricing and if offer boxes and if tv needs to be wrapped. Thank yiy</v>
      </c>
    </row>
    <row r="687">
      <c r="A687" s="102" t="str">
        <f>IFERROR(__xludf.DUMMYFUNCTION("""COMPUTED_VALUE"""),"https://utrucking.com/admin/orders/6448048439484")</f>
        <v>https://utrucking.com/admin/orders/6448048439484</v>
      </c>
      <c r="B687" s="65" t="str">
        <f>IFERROR(__xludf.DUMMYFUNCTION("""COMPUTED_VALUE"""),"#18003")</f>
        <v>#18003</v>
      </c>
      <c r="C687" s="65" t="str">
        <f>IFERROR(__xludf.DUMMYFUNCTION("""COMPUTED_VALUE"""),"andrew.shane04@gmail.com")</f>
        <v>andrew.shane04@gmail.com</v>
      </c>
      <c r="D687" s="65">
        <f>IFERROR(__xludf.DUMMYFUNCTION("""COMPUTED_VALUE"""),9.143432526E9)</f>
        <v>9143432526</v>
      </c>
      <c r="E687" s="65" t="str">
        <f>IFERROR(__xludf.DUMMYFUNCTION("""COMPUTED_VALUE"""),"Andrew Shane")</f>
        <v>Andrew Shane</v>
      </c>
      <c r="F687" s="65" t="str">
        <f>IFERROR(__xludf.DUMMYFUNCTION("""COMPUTED_VALUE"""),"Andrew Shane")</f>
        <v>Andrew Shane</v>
      </c>
      <c r="G687" s="65" t="str">
        <f>IFERROR(__xludf.DUMMYFUNCTION("""COMPUTED_VALUE""")," 1 [Included with Registration] / Included Insurance   - ")</f>
        <v> 1 [Included with Registration] / Included Insurance   - </v>
      </c>
      <c r="H687" s="65" t="str">
        <f>IFERROR(__xludf.DUMMYFUNCTION("""COMPUTED_VALUE"""),"Village House  ")</f>
        <v>Village House  </v>
      </c>
      <c r="I687" s="65" t="str">
        <f>IFERROR(__xludf.DUMMYFUNCTION("""COMPUTED_VALUE"""),"3101 - a")</f>
        <v>3101 - a</v>
      </c>
      <c r="J687" s="108" t="str">
        <f>IFERROR(__xludf.DUMMYFUNCTION("""COMPUTED_VALUE"""),"09:00 AM to 11:00 AM  ")</f>
        <v>09:00 AM to 11:00 AM  </v>
      </c>
      <c r="K687" s="103">
        <f>IFERROR(__xludf.DUMMYFUNCTION("""COMPUTED_VALUE"""),46148.0)</f>
        <v>46148</v>
      </c>
      <c r="L687" s="65" t="str">
        <f>IFERROR(__xludf.DUMMYFUNCTION("""COMPUTED_VALUE""")," ")</f>
        <v> </v>
      </c>
      <c r="M687" s="65"/>
      <c r="N687" s="65" t="str">
        <f>IFERROR(__xludf.DUMMYFUNCTION("""COMPUTED_VALUE""")," ")</f>
        <v> </v>
      </c>
    </row>
    <row r="688">
      <c r="A688" s="99" t="str">
        <f>IFERROR(__xludf.DUMMYFUNCTION("""COMPUTED_VALUE"""),"https://utrucking.com/admin/orders/6448054993084")</f>
        <v>https://utrucking.com/admin/orders/6448054993084</v>
      </c>
      <c r="B688" s="61" t="str">
        <f>IFERROR(__xludf.DUMMYFUNCTION("""COMPUTED_VALUE"""),"#18004")</f>
        <v>#18004</v>
      </c>
      <c r="C688" s="61" t="str">
        <f>IFERROR(__xludf.DUMMYFUNCTION("""COMPUTED_VALUE"""),"shalam@wustl.edu")</f>
        <v>shalam@wustl.edu</v>
      </c>
      <c r="D688" s="61">
        <f>IFERROR(__xludf.DUMMYFUNCTION("""COMPUTED_VALUE"""),9.17767691E9)</f>
        <v>9177676910</v>
      </c>
      <c r="E688" s="61" t="str">
        <f>IFERROR(__xludf.DUMMYFUNCTION("""COMPUTED_VALUE"""),"Nathaniel Shalam")</f>
        <v>Nathaniel Shalam</v>
      </c>
      <c r="F688" s="61" t="str">
        <f>IFERROR(__xludf.DUMMYFUNCTION("""COMPUTED_VALUE"""),"Nathaniel Shalam")</f>
        <v>Nathaniel Shalam</v>
      </c>
      <c r="G688" s="61" t="str">
        <f>IFERROR(__xludf.DUMMYFUNCTION("""COMPUTED_VALUE""")," 2 / Included Insurance   - ")</f>
        <v> 2 / Included Insurance   - </v>
      </c>
      <c r="H688" s="61" t="str">
        <f>IFERROR(__xludf.DUMMYFUNCTION("""COMPUTED_VALUE"""),"Danforth  ")</f>
        <v>Danforth  </v>
      </c>
      <c r="I688" s="61" t="str">
        <f>IFERROR(__xludf.DUMMYFUNCTION("""COMPUTED_VALUE"""),"3314")</f>
        <v>3314</v>
      </c>
      <c r="J688" s="107" t="str">
        <f>IFERROR(__xludf.DUMMYFUNCTION("""COMPUTED_VALUE"""),"09:00 AM to 11:00 AM  ")</f>
        <v>09:00 AM to 11:00 AM  </v>
      </c>
      <c r="K688" s="100">
        <f>IFERROR(__xludf.DUMMYFUNCTION("""COMPUTED_VALUE"""),46147.0)</f>
        <v>46147</v>
      </c>
      <c r="L688" s="61" t="str">
        <f>IFERROR(__xludf.DUMMYFUNCTION("""COMPUTED_VALUE""")," ")</f>
        <v> </v>
      </c>
      <c r="M688" s="61"/>
      <c r="N688" s="61" t="str">
        <f>IFERROR(__xludf.DUMMYFUNCTION("""COMPUTED_VALUE""")," ")</f>
        <v> </v>
      </c>
    </row>
    <row r="689">
      <c r="A689" s="102" t="str">
        <f>IFERROR(__xludf.DUMMYFUNCTION("""COMPUTED_VALUE"""),"https://utrucking.com/admin/orders/6448060367036")</f>
        <v>https://utrucking.com/admin/orders/6448060367036</v>
      </c>
      <c r="B689" s="65" t="str">
        <f>IFERROR(__xludf.DUMMYFUNCTION("""COMPUTED_VALUE"""),"#18007")</f>
        <v>#18007</v>
      </c>
      <c r="C689" s="65" t="str">
        <f>IFERROR(__xludf.DUMMYFUNCTION("""COMPUTED_VALUE"""),"m.g.milord@wustl.edu")</f>
        <v>m.g.milord@wustl.edu</v>
      </c>
      <c r="D689" s="65">
        <f>IFERROR(__xludf.DUMMYFUNCTION("""COMPUTED_VALUE"""),9.73288368E9)</f>
        <v>9732883680</v>
      </c>
      <c r="E689" s="65" t="str">
        <f>IFERROR(__xludf.DUMMYFUNCTION("""COMPUTED_VALUE"""),"Midgee Milord")</f>
        <v>Midgee Milord</v>
      </c>
      <c r="F689" s="65" t="str">
        <f>IFERROR(__xludf.DUMMYFUNCTION("""COMPUTED_VALUE"""),"Mimi")</f>
        <v>Mimi</v>
      </c>
      <c r="G689" s="65" t="str">
        <f>IFERROR(__xludf.DUMMYFUNCTION("""COMPUTED_VALUE""")," 1 [Included with Registration] / Included Insurance   - ")</f>
        <v> 1 [Included with Registration] / Included Insurance   - </v>
      </c>
      <c r="H689" s="65" t="str">
        <f>IFERROR(__xludf.DUMMYFUNCTION("""COMPUTED_VALUE"""),"Nemerov  ")</f>
        <v>Nemerov  </v>
      </c>
      <c r="I689" s="65" t="str">
        <f>IFERROR(__xludf.DUMMYFUNCTION("""COMPUTED_VALUE"""),"3042")</f>
        <v>3042</v>
      </c>
      <c r="J689" s="108" t="str">
        <f>IFERROR(__xludf.DUMMYFUNCTION("""COMPUTED_VALUE"""),"09:00 AM to 11:00 AM  ")</f>
        <v>09:00 AM to 11:00 AM  </v>
      </c>
      <c r="K689" s="103">
        <f>IFERROR(__xludf.DUMMYFUNCTION("""COMPUTED_VALUE"""),46150.0)</f>
        <v>46150</v>
      </c>
      <c r="L689" s="65" t="str">
        <f>IFERROR(__xludf.DUMMYFUNCTION("""COMPUTED_VALUE""")," ")</f>
        <v> </v>
      </c>
      <c r="M689" s="65"/>
      <c r="N689" s="65" t="str">
        <f>IFERROR(__xludf.DUMMYFUNCTION("""COMPUTED_VALUE""")," ")</f>
        <v> </v>
      </c>
    </row>
    <row r="690">
      <c r="A690" s="99" t="str">
        <f>IFERROR(__xludf.DUMMYFUNCTION("""COMPUTED_VALUE"""),"https://utrucking.com/admin/orders/6448063840444")</f>
        <v>https://utrucking.com/admin/orders/6448063840444</v>
      </c>
      <c r="B690" s="61" t="str">
        <f>IFERROR(__xludf.DUMMYFUNCTION("""COMPUTED_VALUE"""),"#18009")</f>
        <v>#18009</v>
      </c>
      <c r="C690" s="61" t="str">
        <f>IFERROR(__xludf.DUMMYFUNCTION("""COMPUTED_VALUE"""),"malayahill30@gmail.com")</f>
        <v>malayahill30@gmail.com</v>
      </c>
      <c r="D690" s="61">
        <f>IFERROR(__xludf.DUMMYFUNCTION("""COMPUTED_VALUE"""),7.022929531E9)</f>
        <v>7022929531</v>
      </c>
      <c r="E690" s="61" t="str">
        <f>IFERROR(__xludf.DUMMYFUNCTION("""COMPUTED_VALUE"""),"Byron Hill")</f>
        <v>Byron Hill</v>
      </c>
      <c r="F690" s="61" t="str">
        <f>IFERROR(__xludf.DUMMYFUNCTION("""COMPUTED_VALUE"""),"Malaya hill")</f>
        <v>Malaya hill</v>
      </c>
      <c r="G690" s="61" t="str">
        <f>IFERROR(__xludf.DUMMYFUNCTION("""COMPUTED_VALUE""")," 1 [Included with Registration] / Included Insurance   - ")</f>
        <v> 1 [Included with Registration] / Included Insurance   - </v>
      </c>
      <c r="H690" s="61"/>
      <c r="I690" s="61"/>
      <c r="J690" s="107" t="str">
        <f>IFERROR(__xludf.DUMMYFUNCTION("""COMPUTED_VALUE"""),"09:00 AM to 11:00 AM  ")</f>
        <v>09:00 AM to 11:00 AM  </v>
      </c>
      <c r="K690" s="100">
        <f>IFERROR(__xludf.DUMMYFUNCTION("""COMPUTED_VALUE"""),46158.0)</f>
        <v>46158</v>
      </c>
      <c r="L690" s="61" t="str">
        <f>IFERROR(__xludf.DUMMYFUNCTION("""COMPUTED_VALUE""")," ")</f>
        <v> </v>
      </c>
      <c r="M690" s="61" t="str">
        <f>IFERROR(__xludf.DUMMYFUNCTION("""COMPUTED_VALUE"""),"5920 McPherson Ave")</f>
        <v>5920 McPherson Ave</v>
      </c>
      <c r="N690" s="61" t="str">
        <f>IFERROR(__xludf.DUMMYFUNCTION("""COMPUTED_VALUE""")," ")</f>
        <v> </v>
      </c>
    </row>
    <row r="691">
      <c r="A691" s="102" t="str">
        <f>IFERROR(__xludf.DUMMYFUNCTION("""COMPUTED_VALUE"""),"https://utrucking.com/admin/orders/6448184328380")</f>
        <v>https://utrucking.com/admin/orders/6448184328380</v>
      </c>
      <c r="B691" s="65" t="str">
        <f>IFERROR(__xludf.DUMMYFUNCTION("""COMPUTED_VALUE"""),"#18018")</f>
        <v>#18018</v>
      </c>
      <c r="C691" s="65" t="str">
        <f>IFERROR(__xludf.DUMMYFUNCTION("""COMPUTED_VALUE"""),"alyssabaick07@gmail.com")</f>
        <v>alyssabaick07@gmail.com</v>
      </c>
      <c r="D691" s="65">
        <f>IFERROR(__xludf.DUMMYFUNCTION("""COMPUTED_VALUE"""),2.017140733E9)</f>
        <v>2017140733</v>
      </c>
      <c r="E691" s="65" t="str">
        <f>IFERROR(__xludf.DUMMYFUNCTION("""COMPUTED_VALUE"""),"Alyssa Yim")</f>
        <v>Alyssa Yim</v>
      </c>
      <c r="F691" s="65" t="str">
        <f>IFERROR(__xludf.DUMMYFUNCTION("""COMPUTED_VALUE"""),"Alyssa Yim")</f>
        <v>Alyssa Yim</v>
      </c>
      <c r="G691" s="65" t="str">
        <f>IFERROR(__xludf.DUMMYFUNCTION("""COMPUTED_VALUE""")," 1 [Included with Registration] / Included Insurance   - ")</f>
        <v> 1 [Included with Registration] / Included Insurance   - </v>
      </c>
      <c r="H691" s="65" t="str">
        <f>IFERROR(__xludf.DUMMYFUNCTION("""COMPUTED_VALUE"""),"Eliot A (Thomas Eliot)")</f>
        <v>Eliot A (Thomas Eliot)</v>
      </c>
      <c r="I691" s="65" t="str">
        <f>IFERROR(__xludf.DUMMYFUNCTION("""COMPUTED_VALUE"""),"1090")</f>
        <v>1090</v>
      </c>
      <c r="J691" s="108" t="str">
        <f>IFERROR(__xludf.DUMMYFUNCTION("""COMPUTED_VALUE"""),"03:00 PM to 05:00 PM")</f>
        <v>03:00 PM to 05:00 PM</v>
      </c>
      <c r="K691" s="103">
        <f>IFERROR(__xludf.DUMMYFUNCTION("""COMPUTED_VALUE"""),46144.0)</f>
        <v>46144</v>
      </c>
      <c r="L691" s="65" t="str">
        <f>IFERROR(__xludf.DUMMYFUNCTION("""COMPUTED_VALUE""")," ")</f>
        <v> </v>
      </c>
      <c r="M691" s="65"/>
      <c r="N691" s="65" t="str">
        <f>IFERROR(__xludf.DUMMYFUNCTION("""COMPUTED_VALUE""")," ")</f>
        <v> </v>
      </c>
    </row>
    <row r="692">
      <c r="A692" s="99" t="str">
        <f>IFERROR(__xludf.DUMMYFUNCTION("""COMPUTED_VALUE"""),"https://utrucking.com/admin/orders/6448199925948")</f>
        <v>https://utrucking.com/admin/orders/6448199925948</v>
      </c>
      <c r="B692" s="61" t="str">
        <f>IFERROR(__xludf.DUMMYFUNCTION("""COMPUTED_VALUE"""),"#18020")</f>
        <v>#18020</v>
      </c>
      <c r="C692" s="61" t="str">
        <f>IFERROR(__xludf.DUMMYFUNCTION("""COMPUTED_VALUE"""),"he.yining@wustl.edu")</f>
        <v>he.yining@wustl.edu</v>
      </c>
      <c r="D692" s="61">
        <f>IFERROR(__xludf.DUMMYFUNCTION("""COMPUTED_VALUE"""),3.142960885E9)</f>
        <v>3142960885</v>
      </c>
      <c r="E692" s="61" t="str">
        <f>IFERROR(__xludf.DUMMYFUNCTION("""COMPUTED_VALUE"""),"yining he")</f>
        <v>yining he</v>
      </c>
      <c r="F692" s="61" t="str">
        <f>IFERROR(__xludf.DUMMYFUNCTION("""COMPUTED_VALUE"""),"Yining He")</f>
        <v>Yining He</v>
      </c>
      <c r="G692" s="61" t="str">
        <f>IFERROR(__xludf.DUMMYFUNCTION("""COMPUTED_VALUE""")," 2 / Included Insurance   - ")</f>
        <v> 2 / Included Insurance   - </v>
      </c>
      <c r="H692" s="61" t="str">
        <f>IFERROR(__xludf.DUMMYFUNCTION("""COMPUTED_VALUE"""),"Eliot A (Thomas Eliot)")</f>
        <v>Eliot A (Thomas Eliot)</v>
      </c>
      <c r="I692" s="61" t="str">
        <f>IFERROR(__xludf.DUMMYFUNCTION("""COMPUTED_VALUE"""),"2054")</f>
        <v>2054</v>
      </c>
      <c r="J692" s="107" t="str">
        <f>IFERROR(__xludf.DUMMYFUNCTION("""COMPUTED_VALUE"""),"01:00 PM to 03:00 PM  ")</f>
        <v>01:00 PM to 03:00 PM  </v>
      </c>
      <c r="K692" s="100">
        <f>IFERROR(__xludf.DUMMYFUNCTION("""COMPUTED_VALUE"""),46148.0)</f>
        <v>46148</v>
      </c>
      <c r="L692" s="61" t="str">
        <f>IFERROR(__xludf.DUMMYFUNCTION("""COMPUTED_VALUE""")," ")</f>
        <v> </v>
      </c>
      <c r="M692" s="61"/>
      <c r="N692" s="61" t="str">
        <f>IFERROR(__xludf.DUMMYFUNCTION("""COMPUTED_VALUE""")," ")</f>
        <v> </v>
      </c>
    </row>
    <row r="693">
      <c r="A693" s="102" t="str">
        <f>IFERROR(__xludf.DUMMYFUNCTION("""COMPUTED_VALUE"""),"https://utrucking.com/admin/orders/6448214638780")</f>
        <v>https://utrucking.com/admin/orders/6448214638780</v>
      </c>
      <c r="B693" s="65" t="str">
        <f>IFERROR(__xludf.DUMMYFUNCTION("""COMPUTED_VALUE"""),"#18022")</f>
        <v>#18022</v>
      </c>
      <c r="C693" s="65" t="str">
        <f>IFERROR(__xludf.DUMMYFUNCTION("""COMPUTED_VALUE"""),"andrewpark2004@gmail.com")</f>
        <v>andrewpark2004@gmail.com</v>
      </c>
      <c r="D693" s="65">
        <f>IFERROR(__xludf.DUMMYFUNCTION("""COMPUTED_VALUE"""),2.014480298E9)</f>
        <v>2014480298</v>
      </c>
      <c r="E693" s="65" t="str">
        <f>IFERROR(__xludf.DUMMYFUNCTION("""COMPUTED_VALUE"""),"Andrew Park")</f>
        <v>Andrew Park</v>
      </c>
      <c r="F693" s="65" t="str">
        <f>IFERROR(__xludf.DUMMYFUNCTION("""COMPUTED_VALUE"""),"Andrew Park")</f>
        <v>Andrew Park</v>
      </c>
      <c r="G693" s="65" t="str">
        <f>IFERROR(__xludf.DUMMYFUNCTION("""COMPUTED_VALUE""")," 1 [Included with Registration] / Included Insurance   - ")</f>
        <v> 1 [Included with Registration] / Included Insurance   - </v>
      </c>
      <c r="H693" s="65" t="str">
        <f>IFERROR(__xludf.DUMMYFUNCTION("""COMPUTED_VALUE"""),"House 22  (Beta Theta Pi)")</f>
        <v>House 22  (Beta Theta Pi)</v>
      </c>
      <c r="I693" s="65" t="str">
        <f>IFERROR(__xludf.DUMMYFUNCTION("""COMPUTED_VALUE"""),"3002a")</f>
        <v>3002a</v>
      </c>
      <c r="J693" s="108" t="str">
        <f>IFERROR(__xludf.DUMMYFUNCTION("""COMPUTED_VALUE"""),"03:00 PM to 05:00 PM")</f>
        <v>03:00 PM to 05:00 PM</v>
      </c>
      <c r="K693" s="103">
        <f>IFERROR(__xludf.DUMMYFUNCTION("""COMPUTED_VALUE"""),46147.0)</f>
        <v>46147</v>
      </c>
      <c r="L693" s="65" t="str">
        <f>IFERROR(__xludf.DUMMYFUNCTION("""COMPUTED_VALUE""")," ")</f>
        <v> </v>
      </c>
      <c r="M693" s="65"/>
      <c r="N693" s="65" t="str">
        <f>IFERROR(__xludf.DUMMYFUNCTION("""COMPUTED_VALUE""")," ")</f>
        <v> </v>
      </c>
    </row>
    <row r="694">
      <c r="A694" s="99" t="str">
        <f>IFERROR(__xludf.DUMMYFUNCTION("""COMPUTED_VALUE"""),"https://utrucking.com/admin/orders/6448228630716")</f>
        <v>https://utrucking.com/admin/orders/6448228630716</v>
      </c>
      <c r="B694" s="61" t="str">
        <f>IFERROR(__xludf.DUMMYFUNCTION("""COMPUTED_VALUE"""),"#18024")</f>
        <v>#18024</v>
      </c>
      <c r="C694" s="61" t="str">
        <f>IFERROR(__xludf.DUMMYFUNCTION("""COMPUTED_VALUE"""),"byrahul@gmail.com")</f>
        <v>byrahul@gmail.com</v>
      </c>
      <c r="D694" s="61">
        <f>IFERROR(__xludf.DUMMYFUNCTION("""COMPUTED_VALUE"""),4.085156677E9)</f>
        <v>4085156677</v>
      </c>
      <c r="E694" s="61" t="str">
        <f>IFERROR(__xludf.DUMMYFUNCTION("""COMPUTED_VALUE"""),"Rahul Tyagi")</f>
        <v>Rahul Tyagi</v>
      </c>
      <c r="F694" s="61" t="str">
        <f>IFERROR(__xludf.DUMMYFUNCTION("""COMPUTED_VALUE"""),"Aadi Tyagi")</f>
        <v>Aadi Tyagi</v>
      </c>
      <c r="G694" s="61" t="str">
        <f>IFERROR(__xludf.DUMMYFUNCTION("""COMPUTED_VALUE""")," 1 [Included with Registration] / Included Insurance   - ")</f>
        <v> 1 [Included with Registration] / Included Insurance   - </v>
      </c>
      <c r="H694" s="61" t="str">
        <f>IFERROR(__xludf.DUMMYFUNCTION("""COMPUTED_VALUE"""),"Eliot B (Sophomore Dorm)")</f>
        <v>Eliot B (Sophomore Dorm)</v>
      </c>
      <c r="I694" s="61" t="str">
        <f>IFERROR(__xludf.DUMMYFUNCTION("""COMPUTED_VALUE"""),"4070")</f>
        <v>4070</v>
      </c>
      <c r="J694" s="107" t="str">
        <f>IFERROR(__xludf.DUMMYFUNCTION("""COMPUTED_VALUE"""),"09:00 AM to 11:00 AM  ")</f>
        <v>09:00 AM to 11:00 AM  </v>
      </c>
      <c r="K694" s="100">
        <f>IFERROR(__xludf.DUMMYFUNCTION("""COMPUTED_VALUE"""),46149.0)</f>
        <v>46149</v>
      </c>
      <c r="L694" s="61" t="str">
        <f>IFERROR(__xludf.DUMMYFUNCTION("""COMPUTED_VALUE""")," ")</f>
        <v> </v>
      </c>
      <c r="M694" s="61"/>
      <c r="N694" s="61" t="str">
        <f>IFERROR(__xludf.DUMMYFUNCTION("""COMPUTED_VALUE""")," I have two box for storage.")</f>
        <v> I have two box for storage.</v>
      </c>
    </row>
    <row r="695">
      <c r="A695" s="102" t="str">
        <f>IFERROR(__xludf.DUMMYFUNCTION("""COMPUTED_VALUE"""),"https://utrucking.com/admin/orders/6448279093436")</f>
        <v>https://utrucking.com/admin/orders/6448279093436</v>
      </c>
      <c r="B695" s="65" t="str">
        <f>IFERROR(__xludf.DUMMYFUNCTION("""COMPUTED_VALUE"""),"#18030")</f>
        <v>#18030</v>
      </c>
      <c r="C695" s="65" t="str">
        <f>IFERROR(__xludf.DUMMYFUNCTION("""COMPUTED_VALUE"""),"haynesong@gmail.com")</f>
        <v>haynesong@gmail.com</v>
      </c>
      <c r="D695" s="65">
        <f>IFERROR(__xludf.DUMMYFUNCTION("""COMPUTED_VALUE"""),6.178933213E9)</f>
        <v>6178933213</v>
      </c>
      <c r="E695" s="65" t="str">
        <f>IFERROR(__xludf.DUMMYFUNCTION("""COMPUTED_VALUE"""),"Hayne Song")</f>
        <v>Hayne Song</v>
      </c>
      <c r="F695" s="65" t="str">
        <f>IFERROR(__xludf.DUMMYFUNCTION("""COMPUTED_VALUE"""),"Hayne Song")</f>
        <v>Hayne Song</v>
      </c>
      <c r="G695" s="65" t="str">
        <f>IFERROR(__xludf.DUMMYFUNCTION("""COMPUTED_VALUE""")," 1 [Included with Registration] / Included Insurance   - ")</f>
        <v> 1 [Included with Registration] / Included Insurance   - </v>
      </c>
      <c r="H695" s="65" t="str">
        <f>IFERROR(__xludf.DUMMYFUNCTION("""COMPUTED_VALUE"""),"Zetcher  ")</f>
        <v>Zetcher  </v>
      </c>
      <c r="I695" s="65" t="str">
        <f>IFERROR(__xludf.DUMMYFUNCTION("""COMPUTED_VALUE"""),"222")</f>
        <v>222</v>
      </c>
      <c r="J695" s="108" t="str">
        <f>IFERROR(__xludf.DUMMYFUNCTION("""COMPUTED_VALUE"""),"12:00 PM to 02:00 PM  ")</f>
        <v>12:00 PM to 02:00 PM  </v>
      </c>
      <c r="K695" s="103">
        <f>IFERROR(__xludf.DUMMYFUNCTION("""COMPUTED_VALUE"""),46147.0)</f>
        <v>46147</v>
      </c>
      <c r="L695" s="65" t="str">
        <f>IFERROR(__xludf.DUMMYFUNCTION("""COMPUTED_VALUE""")," ")</f>
        <v> </v>
      </c>
      <c r="M695" s="65"/>
      <c r="N695" s="65" t="str">
        <f>IFERROR(__xludf.DUMMYFUNCTION("""COMPUTED_VALUE""")," ")</f>
        <v> </v>
      </c>
    </row>
    <row r="696">
      <c r="A696" s="99" t="str">
        <f>IFERROR(__xludf.DUMMYFUNCTION("""COMPUTED_VALUE"""),"https://utrucking.com/admin/orders/6448289087676")</f>
        <v>https://utrucking.com/admin/orders/6448289087676</v>
      </c>
      <c r="B696" s="61" t="str">
        <f>IFERROR(__xludf.DUMMYFUNCTION("""COMPUTED_VALUE"""),"#18031")</f>
        <v>#18031</v>
      </c>
      <c r="C696" s="61" t="str">
        <f>IFERROR(__xludf.DUMMYFUNCTION("""COMPUTED_VALUE"""),"j.e.lari@wustl.edu")</f>
        <v>j.e.lari@wustl.edu</v>
      </c>
      <c r="D696" s="61">
        <f>IFERROR(__xludf.DUMMYFUNCTION("""COMPUTED_VALUE"""),3.108934482E9)</f>
        <v>3108934482</v>
      </c>
      <c r="E696" s="61" t="str">
        <f>IFERROR(__xludf.DUMMYFUNCTION("""COMPUTED_VALUE"""),"Jordan Lari")</f>
        <v>Jordan Lari</v>
      </c>
      <c r="F696" s="61" t="str">
        <f>IFERROR(__xludf.DUMMYFUNCTION("""COMPUTED_VALUE"""),"Jordan Lari")</f>
        <v>Jordan Lari</v>
      </c>
      <c r="G696" s="61" t="str">
        <f>IFERROR(__xludf.DUMMYFUNCTION("""COMPUTED_VALUE""")," 1 [Included with Registration] / Included Insurance   - ")</f>
        <v> 1 [Included with Registration] / Included Insurance   - </v>
      </c>
      <c r="H696" s="61" t="str">
        <f>IFERROR(__xludf.DUMMYFUNCTION("""COMPUTED_VALUE"""),"Zetcher  ")</f>
        <v>Zetcher  </v>
      </c>
      <c r="I696" s="61" t="str">
        <f>IFERROR(__xludf.DUMMYFUNCTION("""COMPUTED_VALUE"""),"4101")</f>
        <v>4101</v>
      </c>
      <c r="J696" s="107" t="str">
        <f>IFERROR(__xludf.DUMMYFUNCTION("""COMPUTED_VALUE"""),"11:00 AM to 01:00 PM  ")</f>
        <v>11:00 AM to 01:00 PM  </v>
      </c>
      <c r="K696" s="100">
        <f>IFERROR(__xludf.DUMMYFUNCTION("""COMPUTED_VALUE"""),46151.0)</f>
        <v>46151</v>
      </c>
      <c r="L696" s="61" t="str">
        <f>IFERROR(__xludf.DUMMYFUNCTION("""COMPUTED_VALUE""")," ")</f>
        <v> </v>
      </c>
      <c r="M696" s="61"/>
      <c r="N696" s="61" t="str">
        <f>IFERROR(__xludf.DUMMYFUNCTION("""COMPUTED_VALUE""")," ")</f>
        <v> </v>
      </c>
    </row>
    <row r="697">
      <c r="A697" s="102" t="str">
        <f>IFERROR(__xludf.DUMMYFUNCTION("""COMPUTED_VALUE"""),"https://utrucking.com/admin/orders/6448312025276")</f>
        <v>https://utrucking.com/admin/orders/6448312025276</v>
      </c>
      <c r="B697" s="65" t="str">
        <f>IFERROR(__xludf.DUMMYFUNCTION("""COMPUTED_VALUE"""),"#18032")</f>
        <v>#18032</v>
      </c>
      <c r="C697" s="65" t="str">
        <f>IFERROR(__xludf.DUMMYFUNCTION("""COMPUTED_VALUE"""),"m.sohn@wustl.edu")</f>
        <v>m.sohn@wustl.edu</v>
      </c>
      <c r="D697" s="65">
        <f>IFERROR(__xludf.DUMMYFUNCTION("""COMPUTED_VALUE"""),3.143798058E9)</f>
        <v>3143798058</v>
      </c>
      <c r="E697" s="65" t="str">
        <f>IFERROR(__xludf.DUMMYFUNCTION("""COMPUTED_VALUE"""),"Minjun Sohn")</f>
        <v>Minjun Sohn</v>
      </c>
      <c r="F697" s="65" t="str">
        <f>IFERROR(__xludf.DUMMYFUNCTION("""COMPUTED_VALUE"""),"Minjun Sohn")</f>
        <v>Minjun Sohn</v>
      </c>
      <c r="G697" s="65" t="str">
        <f>IFERROR(__xludf.DUMMYFUNCTION("""COMPUTED_VALUE""")," 1 [Included with Registration] / Included Insurance   - ")</f>
        <v> 1 [Included with Registration] / Included Insurance   - </v>
      </c>
      <c r="H697" s="65" t="str">
        <f>IFERROR(__xludf.DUMMYFUNCTION("""COMPUTED_VALUE"""),"Village House  ")</f>
        <v>Village House  </v>
      </c>
      <c r="I697" s="65" t="str">
        <f>IFERROR(__xludf.DUMMYFUNCTION("""COMPUTED_VALUE"""),"3121")</f>
        <v>3121</v>
      </c>
      <c r="J697" s="108" t="str">
        <f>IFERROR(__xludf.DUMMYFUNCTION("""COMPUTED_VALUE"""),"09:00 AM to 11:00 AM  ")</f>
        <v>09:00 AM to 11:00 AM  </v>
      </c>
      <c r="K697" s="103">
        <f>IFERROR(__xludf.DUMMYFUNCTION("""COMPUTED_VALUE"""),46150.0)</f>
        <v>46150</v>
      </c>
      <c r="L697" s="65" t="str">
        <f>IFERROR(__xludf.DUMMYFUNCTION("""COMPUTED_VALUE""")," ")</f>
        <v> </v>
      </c>
      <c r="M697" s="65"/>
      <c r="N697" s="65" t="str">
        <f>IFERROR(__xludf.DUMMYFUNCTION("""COMPUTED_VALUE""")," ")</f>
        <v> </v>
      </c>
    </row>
    <row r="698">
      <c r="A698" s="99" t="str">
        <f>IFERROR(__xludf.DUMMYFUNCTION("""COMPUTED_VALUE"""),"https://utrucking.com/admin/orders/6448415801532")</f>
        <v>https://utrucking.com/admin/orders/6448415801532</v>
      </c>
      <c r="B698" s="61" t="str">
        <f>IFERROR(__xludf.DUMMYFUNCTION("""COMPUTED_VALUE"""),"#18034")</f>
        <v>#18034</v>
      </c>
      <c r="C698" s="61" t="str">
        <f>IFERROR(__xludf.DUMMYFUNCTION("""COMPUTED_VALUE"""),"kriand600@gmail.com")</f>
        <v>kriand600@gmail.com</v>
      </c>
      <c r="D698" s="61">
        <f>IFERROR(__xludf.DUMMYFUNCTION("""COMPUTED_VALUE"""),3.022442857E9)</f>
        <v>3022442857</v>
      </c>
      <c r="E698" s="61" t="str">
        <f>IFERROR(__xludf.DUMMYFUNCTION("""COMPUTED_VALUE"""),"Krisney Andre")</f>
        <v>Krisney Andre</v>
      </c>
      <c r="F698" s="61" t="str">
        <f>IFERROR(__xludf.DUMMYFUNCTION("""COMPUTED_VALUE"""),"Krisney Andre")</f>
        <v>Krisney Andre</v>
      </c>
      <c r="G698" s="61" t="str">
        <f>IFERROR(__xludf.DUMMYFUNCTION("""COMPUTED_VALUE""")," 1 [Included with Registration] / Included Insurance   - ")</f>
        <v> 1 [Included with Registration] / Included Insurance   - </v>
      </c>
      <c r="H698" s="61" t="str">
        <f>IFERROR(__xludf.DUMMYFUNCTION("""COMPUTED_VALUE"""),"Umrath  ")</f>
        <v>Umrath  </v>
      </c>
      <c r="I698" s="61" t="str">
        <f>IFERROR(__xludf.DUMMYFUNCTION("""COMPUTED_VALUE"""),"4433")</f>
        <v>4433</v>
      </c>
      <c r="J698" s="107" t="str">
        <f>IFERROR(__xludf.DUMMYFUNCTION("""COMPUTED_VALUE"""),"11:00 AM to 01:00 PM  ")</f>
        <v>11:00 AM to 01:00 PM  </v>
      </c>
      <c r="K698" s="100">
        <f>IFERROR(__xludf.DUMMYFUNCTION("""COMPUTED_VALUE"""),46147.0)</f>
        <v>46147</v>
      </c>
      <c r="L698" s="61" t="str">
        <f>IFERROR(__xludf.DUMMYFUNCTION("""COMPUTED_VALUE""")," ")</f>
        <v> </v>
      </c>
      <c r="M698" s="61"/>
      <c r="N698" s="61" t="str">
        <f>IFERROR(__xludf.DUMMYFUNCTION("""COMPUTED_VALUE""")," ")</f>
        <v> </v>
      </c>
    </row>
    <row r="699">
      <c r="A699" s="102" t="str">
        <f>IFERROR(__xludf.DUMMYFUNCTION("""COMPUTED_VALUE"""),"https://utrucking.com/admin/orders/6448566337724")</f>
        <v>https://utrucking.com/admin/orders/6448566337724</v>
      </c>
      <c r="B699" s="65" t="str">
        <f>IFERROR(__xludf.DUMMYFUNCTION("""COMPUTED_VALUE"""),"#18036")</f>
        <v>#18036</v>
      </c>
      <c r="C699" s="65" t="str">
        <f>IFERROR(__xludf.DUMMYFUNCTION("""COMPUTED_VALUE"""),"lindsayfauntleroy@gmail.com")</f>
        <v>lindsayfauntleroy@gmail.com</v>
      </c>
      <c r="D699" s="65">
        <f>IFERROR(__xludf.DUMMYFUNCTION("""COMPUTED_VALUE"""),1.3476344188E10)</f>
        <v>13476344188</v>
      </c>
      <c r="E699" s="65" t="str">
        <f>IFERROR(__xludf.DUMMYFUNCTION("""COMPUTED_VALUE"""),"Lindsay Fauntleroy")</f>
        <v>Lindsay Fauntleroy</v>
      </c>
      <c r="F699" s="65" t="str">
        <f>IFERROR(__xludf.DUMMYFUNCTION("""COMPUTED_VALUE"""),"Merikessa Kinsey")</f>
        <v>Merikessa Kinsey</v>
      </c>
      <c r="G699" s="65" t="str">
        <f>IFERROR(__xludf.DUMMYFUNCTION("""COMPUTED_VALUE""")," 1 [Included with Registration] / Included Insurance   - ")</f>
        <v> 1 [Included with Registration] / Included Insurance   - </v>
      </c>
      <c r="H699" s="65" t="str">
        <f>IFERROR(__xludf.DUMMYFUNCTION("""COMPUTED_VALUE"""),"Lee  ")</f>
        <v>Lee  </v>
      </c>
      <c r="I699" s="65" t="str">
        <f>IFERROR(__xludf.DUMMYFUNCTION("""COMPUTED_VALUE"""),"306")</f>
        <v>306</v>
      </c>
      <c r="J699" s="108" t="str">
        <f>IFERROR(__xludf.DUMMYFUNCTION("""COMPUTED_VALUE"""),"03:00 PM to 05:00 PM")</f>
        <v>03:00 PM to 05:00 PM</v>
      </c>
      <c r="K699" s="103">
        <f>IFERROR(__xludf.DUMMYFUNCTION("""COMPUTED_VALUE"""),46148.0)</f>
        <v>46148</v>
      </c>
      <c r="L699" s="65" t="str">
        <f>IFERROR(__xludf.DUMMYFUNCTION("""COMPUTED_VALUE""")," ")</f>
        <v> </v>
      </c>
      <c r="M699" s="65"/>
      <c r="N699" s="65" t="str">
        <f>IFERROR(__xludf.DUMMYFUNCTION("""COMPUTED_VALUE""")," ")</f>
        <v> </v>
      </c>
    </row>
    <row r="700">
      <c r="A700" s="99" t="str">
        <f>IFERROR(__xludf.DUMMYFUNCTION("""COMPUTED_VALUE"""),"https://utrucking.com/admin/orders/6448702161084")</f>
        <v>https://utrucking.com/admin/orders/6448702161084</v>
      </c>
      <c r="B700" s="61" t="str">
        <f>IFERROR(__xludf.DUMMYFUNCTION("""COMPUTED_VALUE"""),"#18037")</f>
        <v>#18037</v>
      </c>
      <c r="C700" s="61" t="str">
        <f>IFERROR(__xludf.DUMMYFUNCTION("""COMPUTED_VALUE"""),"e.gloria@wustl.edu")</f>
        <v>e.gloria@wustl.edu</v>
      </c>
      <c r="D700" s="61">
        <f>IFERROR(__xludf.DUMMYFUNCTION("""COMPUTED_VALUE"""),6.467816801E9)</f>
        <v>6467816801</v>
      </c>
      <c r="E700" s="61" t="str">
        <f>IFERROR(__xludf.DUMMYFUNCTION("""COMPUTED_VALUE"""),"Gloria Eah")</f>
        <v>Gloria Eah</v>
      </c>
      <c r="F700" s="61" t="str">
        <f>IFERROR(__xludf.DUMMYFUNCTION("""COMPUTED_VALUE"""),"Gloria Eah")</f>
        <v>Gloria Eah</v>
      </c>
      <c r="G700" s="61" t="str">
        <f>IFERROR(__xludf.DUMMYFUNCTION("""COMPUTED_VALUE""")," 1 [Included with Registration] / Included Insurance   - ")</f>
        <v> 1 [Included with Registration] / Included Insurance   - </v>
      </c>
      <c r="H700" s="61" t="str">
        <f>IFERROR(__xludf.DUMMYFUNCTION("""COMPUTED_VALUE"""),"Beaumont  ")</f>
        <v>Beaumont  </v>
      </c>
      <c r="I700" s="61" t="str">
        <f>IFERROR(__xludf.DUMMYFUNCTION("""COMPUTED_VALUE"""),"222")</f>
        <v>222</v>
      </c>
      <c r="J700" s="107" t="str">
        <f>IFERROR(__xludf.DUMMYFUNCTION("""COMPUTED_VALUE"""),"09:00 AM to 11:00 AM  ")</f>
        <v>09:00 AM to 11:00 AM  </v>
      </c>
      <c r="K700" s="100">
        <f>IFERROR(__xludf.DUMMYFUNCTION("""COMPUTED_VALUE"""),46144.0)</f>
        <v>46144</v>
      </c>
      <c r="L700" s="61" t="str">
        <f>IFERROR(__xludf.DUMMYFUNCTION("""COMPUTED_VALUE""")," ")</f>
        <v> </v>
      </c>
      <c r="M700" s="61"/>
      <c r="N700" s="61" t="str">
        <f>IFERROR(__xludf.DUMMYFUNCTION("""COMPUTED_VALUE""")," ")</f>
        <v> </v>
      </c>
    </row>
    <row r="701">
      <c r="A701" s="102" t="str">
        <f>IFERROR(__xludf.DUMMYFUNCTION("""COMPUTED_VALUE"""),"https://utrucking.com/admin/orders/6448791453884")</f>
        <v>https://utrucking.com/admin/orders/6448791453884</v>
      </c>
      <c r="B701" s="65" t="str">
        <f>IFERROR(__xludf.DUMMYFUNCTION("""COMPUTED_VALUE"""),"#18039")</f>
        <v>#18039</v>
      </c>
      <c r="C701" s="65" t="str">
        <f>IFERROR(__xludf.DUMMYFUNCTION("""COMPUTED_VALUE"""),"mink7950@gmail.com")</f>
        <v>mink7950@gmail.com</v>
      </c>
      <c r="D701" s="65">
        <f>IFERROR(__xludf.DUMMYFUNCTION("""COMPUTED_VALUE"""),3.239255711E9)</f>
        <v>3239255711</v>
      </c>
      <c r="E701" s="65" t="str">
        <f>IFERROR(__xludf.DUMMYFUNCTION("""COMPUTED_VALUE"""),"Min Kim")</f>
        <v>Min Kim</v>
      </c>
      <c r="F701" s="65" t="str">
        <f>IFERROR(__xludf.DUMMYFUNCTION("""COMPUTED_VALUE"""),"Min Kim")</f>
        <v>Min Kim</v>
      </c>
      <c r="G701" s="65" t="str">
        <f>IFERROR(__xludf.DUMMYFUNCTION("""COMPUTED_VALUE""")," 1 [Included with Registration] / Included Insurance   - ")</f>
        <v> 1 [Included with Registration] / Included Insurance   - </v>
      </c>
      <c r="H701" s="65" t="str">
        <f>IFERROR(__xludf.DUMMYFUNCTION("""COMPUTED_VALUE"""),"Liggett  ")</f>
        <v>Liggett  </v>
      </c>
      <c r="I701" s="65" t="str">
        <f>IFERROR(__xludf.DUMMYFUNCTION("""COMPUTED_VALUE"""),"2321")</f>
        <v>2321</v>
      </c>
      <c r="J701" s="108" t="str">
        <f>IFERROR(__xludf.DUMMYFUNCTION("""COMPUTED_VALUE"""),"01:00 PM to 03:00 PM  ")</f>
        <v>01:00 PM to 03:00 PM  </v>
      </c>
      <c r="K701" s="103">
        <f>IFERROR(__xludf.DUMMYFUNCTION("""COMPUTED_VALUE"""),46149.0)</f>
        <v>46149</v>
      </c>
      <c r="L701" s="65" t="str">
        <f>IFERROR(__xludf.DUMMYFUNCTION("""COMPUTED_VALUE""")," ")</f>
        <v> </v>
      </c>
      <c r="M701" s="65"/>
      <c r="N701" s="65" t="str">
        <f>IFERROR(__xludf.DUMMYFUNCTION("""COMPUTED_VALUE""")," ")</f>
        <v> </v>
      </c>
    </row>
    <row r="702">
      <c r="A702" s="99" t="str">
        <f>IFERROR(__xludf.DUMMYFUNCTION("""COMPUTED_VALUE"""),"https://utrucking.com/admin/orders/6448818684092")</f>
        <v>https://utrucking.com/admin/orders/6448818684092</v>
      </c>
      <c r="B702" s="61" t="str">
        <f>IFERROR(__xludf.DUMMYFUNCTION("""COMPUTED_VALUE"""),"#18040")</f>
        <v>#18040</v>
      </c>
      <c r="C702" s="61" t="str">
        <f>IFERROR(__xludf.DUMMYFUNCTION("""COMPUTED_VALUE"""),"kelly@diattorney.com")</f>
        <v>kelly@diattorney.com</v>
      </c>
      <c r="D702" s="61">
        <f>IFERROR(__xludf.DUMMYFUNCTION("""COMPUTED_VALUE"""),9.548026083E9)</f>
        <v>9548026083</v>
      </c>
      <c r="E702" s="61" t="str">
        <f>IFERROR(__xludf.DUMMYFUNCTION("""COMPUTED_VALUE"""),"Kelly Dell")</f>
        <v>Kelly Dell</v>
      </c>
      <c r="F702" s="61" t="str">
        <f>IFERROR(__xludf.DUMMYFUNCTION("""COMPUTED_VALUE"""),"Shane dell")</f>
        <v>Shane dell</v>
      </c>
      <c r="G702" s="61" t="str">
        <f>IFERROR(__xludf.DUMMYFUNCTION("""COMPUTED_VALUE""")," 1 [Included with Registration] / Included Insurance   - ")</f>
        <v> 1 [Included with Registration] / Included Insurance   - </v>
      </c>
      <c r="H702" s="61" t="str">
        <f>IFERROR(__xludf.DUMMYFUNCTION("""COMPUTED_VALUE"""),"Park  ")</f>
        <v>Park  </v>
      </c>
      <c r="I702" s="61" t="str">
        <f>IFERROR(__xludf.DUMMYFUNCTION("""COMPUTED_VALUE"""),"160")</f>
        <v>160</v>
      </c>
      <c r="J702" s="107" t="str">
        <f>IFERROR(__xludf.DUMMYFUNCTION("""COMPUTED_VALUE"""),"03:00 PM to 05:00 PM")</f>
        <v>03:00 PM to 05:00 PM</v>
      </c>
      <c r="K702" s="100">
        <f>IFERROR(__xludf.DUMMYFUNCTION("""COMPUTED_VALUE"""),46143.0)</f>
        <v>46143</v>
      </c>
      <c r="L702" s="61" t="str">
        <f>IFERROR(__xludf.DUMMYFUNCTION("""COMPUTED_VALUE""")," ")</f>
        <v> </v>
      </c>
      <c r="M702" s="61"/>
      <c r="N702" s="61" t="str">
        <f>IFERROR(__xludf.DUMMYFUNCTION("""COMPUTED_VALUE""")," ")</f>
        <v> </v>
      </c>
    </row>
    <row r="703">
      <c r="A703" s="102" t="str">
        <f>IFERROR(__xludf.DUMMYFUNCTION("""COMPUTED_VALUE"""),"https://utrucking.com/admin/orders/6448853909692")</f>
        <v>https://utrucking.com/admin/orders/6448853909692</v>
      </c>
      <c r="B703" s="65" t="str">
        <f>IFERROR(__xludf.DUMMYFUNCTION("""COMPUTED_VALUE"""),"#18043")</f>
        <v>#18043</v>
      </c>
      <c r="C703" s="65" t="str">
        <f>IFERROR(__xludf.DUMMYFUNCTION("""COMPUTED_VALUE"""),"jiayizhao0406@gmail.com")</f>
        <v>jiayizhao0406@gmail.com</v>
      </c>
      <c r="D703" s="65">
        <f>IFERROR(__xludf.DUMMYFUNCTION("""COMPUTED_VALUE"""),7.372305749E9)</f>
        <v>7372305749</v>
      </c>
      <c r="E703" s="65" t="str">
        <f>IFERROR(__xludf.DUMMYFUNCTION("""COMPUTED_VALUE"""),"Jiayi Zhao")</f>
        <v>Jiayi Zhao</v>
      </c>
      <c r="F703" s="65" t="str">
        <f>IFERROR(__xludf.DUMMYFUNCTION("""COMPUTED_VALUE"""),"Jiayi Zhao")</f>
        <v>Jiayi Zhao</v>
      </c>
      <c r="G703" s="65" t="str">
        <f>IFERROR(__xludf.DUMMYFUNCTION("""COMPUTED_VALUE""")," 1 [Included with Registration] / Included Insurance   - ")</f>
        <v> 1 [Included with Registration] / Included Insurance   - </v>
      </c>
      <c r="H703" s="65" t="str">
        <f>IFERROR(__xludf.DUMMYFUNCTION("""COMPUTED_VALUE"""),"Koenig  ")</f>
        <v>Koenig  </v>
      </c>
      <c r="I703" s="65" t="str">
        <f>IFERROR(__xludf.DUMMYFUNCTION("""COMPUTED_VALUE"""),"2220")</f>
        <v>2220</v>
      </c>
      <c r="J703" s="108" t="str">
        <f>IFERROR(__xludf.DUMMYFUNCTION("""COMPUTED_VALUE"""),"03:00 PM to 05:00 PM")</f>
        <v>03:00 PM to 05:00 PM</v>
      </c>
      <c r="K703" s="103">
        <f>IFERROR(__xludf.DUMMYFUNCTION("""COMPUTED_VALUE"""),46147.0)</f>
        <v>46147</v>
      </c>
      <c r="L703" s="65" t="str">
        <f>IFERROR(__xludf.DUMMYFUNCTION("""COMPUTED_VALUE""")," ")</f>
        <v> </v>
      </c>
      <c r="M703" s="65"/>
      <c r="N703" s="65" t="str">
        <f>IFERROR(__xludf.DUMMYFUNCTION("""COMPUTED_VALUE""")," ")</f>
        <v> </v>
      </c>
    </row>
    <row r="704">
      <c r="A704" s="99" t="str">
        <f>IFERROR(__xludf.DUMMYFUNCTION("""COMPUTED_VALUE"""),"https://utrucking.com/admin/orders/6448941465788")</f>
        <v>https://utrucking.com/admin/orders/6448941465788</v>
      </c>
      <c r="B704" s="61" t="str">
        <f>IFERROR(__xludf.DUMMYFUNCTION("""COMPUTED_VALUE"""),"#18050")</f>
        <v>#18050</v>
      </c>
      <c r="C704" s="61" t="str">
        <f>IFERROR(__xludf.DUMMYFUNCTION("""COMPUTED_VALUE"""),"aimeemairs@comcast.net")</f>
        <v>aimeemairs@comcast.net</v>
      </c>
      <c r="D704" s="61">
        <f>IFERROR(__xludf.DUMMYFUNCTION("""COMPUTED_VALUE"""),6.129404964E9)</f>
        <v>6129404964</v>
      </c>
      <c r="E704" s="61" t="str">
        <f>IFERROR(__xludf.DUMMYFUNCTION("""COMPUTED_VALUE"""),"Aimee Mairs")</f>
        <v>Aimee Mairs</v>
      </c>
      <c r="F704" s="61" t="str">
        <f>IFERROR(__xludf.DUMMYFUNCTION("""COMPUTED_VALUE"""),"William")</f>
        <v>William</v>
      </c>
      <c r="G704" s="61" t="str">
        <f>IFERROR(__xludf.DUMMYFUNCTION("""COMPUTED_VALUE""")," 1 [Included with Registration] / Included Insurance   - ")</f>
        <v> 1 [Included with Registration] / Included Insurance   - </v>
      </c>
      <c r="H704" s="61" t="str">
        <f>IFERROR(__xludf.DUMMYFUNCTION("""COMPUTED_VALUE"""),"Greenway Apartments  ")</f>
        <v>Greenway Apartments  </v>
      </c>
      <c r="I704" s="61" t="str">
        <f>IFERROR(__xludf.DUMMYFUNCTION("""COMPUTED_VALUE"""),"138-B")</f>
        <v>138-B</v>
      </c>
      <c r="J704" s="107" t="str">
        <f>IFERROR(__xludf.DUMMYFUNCTION("""COMPUTED_VALUE"""),"09:00 AM to 11:00 AM  ")</f>
        <v>09:00 AM to 11:00 AM  </v>
      </c>
      <c r="K704" s="100">
        <f>IFERROR(__xludf.DUMMYFUNCTION("""COMPUTED_VALUE"""),46150.0)</f>
        <v>46150</v>
      </c>
      <c r="L704" s="61" t="str">
        <f>IFERROR(__xludf.DUMMYFUNCTION("""COMPUTED_VALUE""")," ")</f>
        <v> </v>
      </c>
      <c r="M704" s="61"/>
      <c r="N704" s="61" t="str">
        <f>IFERROR(__xludf.DUMMYFUNCTION("""COMPUTED_VALUE""")," ")</f>
        <v> </v>
      </c>
    </row>
    <row r="705">
      <c r="A705" s="102" t="str">
        <f>IFERROR(__xludf.DUMMYFUNCTION("""COMPUTED_VALUE"""),"https://utrucking.com/admin/orders/6448944414908")</f>
        <v>https://utrucking.com/admin/orders/6448944414908</v>
      </c>
      <c r="B705" s="65" t="str">
        <f>IFERROR(__xludf.DUMMYFUNCTION("""COMPUTED_VALUE"""),"#18051")</f>
        <v>#18051</v>
      </c>
      <c r="C705" s="65" t="str">
        <f>IFERROR(__xludf.DUMMYFUNCTION("""COMPUTED_VALUE"""),"danielkochen02@gmail.com")</f>
        <v>danielkochen02@gmail.com</v>
      </c>
      <c r="D705" s="65">
        <f>IFERROR(__xludf.DUMMYFUNCTION("""COMPUTED_VALUE"""),3.4667918236E10)</f>
        <v>34667918236</v>
      </c>
      <c r="E705" s="65" t="str">
        <f>IFERROR(__xludf.DUMMYFUNCTION("""COMPUTED_VALUE"""),"Arlet Gamboa")</f>
        <v>Arlet Gamboa</v>
      </c>
      <c r="F705" s="65" t="str">
        <f>IFERROR(__xludf.DUMMYFUNCTION("""COMPUTED_VALUE"""),"Daniel Kochen")</f>
        <v>Daniel Kochen</v>
      </c>
      <c r="G705" s="65" t="str">
        <f>IFERROR(__xludf.DUMMYFUNCTION("""COMPUTED_VALUE""")," 1 [Included with Registration] / Included Insurance   - ")</f>
        <v> 1 [Included with Registration] / Included Insurance   - </v>
      </c>
      <c r="H705" s="65" t="str">
        <f>IFERROR(__xludf.DUMMYFUNCTION("""COMPUTED_VALUE"""),"Lien  ")</f>
        <v>Lien  </v>
      </c>
      <c r="I705" s="65" t="str">
        <f>IFERROR(__xludf.DUMMYFUNCTION("""COMPUTED_VALUE"""),"1106")</f>
        <v>1106</v>
      </c>
      <c r="J705" s="108" t="str">
        <f>IFERROR(__xludf.DUMMYFUNCTION("""COMPUTED_VALUE"""),"03:00 PM to 05:00 PM")</f>
        <v>03:00 PM to 05:00 PM</v>
      </c>
      <c r="K705" s="103">
        <f>IFERROR(__xludf.DUMMYFUNCTION("""COMPUTED_VALUE"""),46147.0)</f>
        <v>46147</v>
      </c>
      <c r="L705" s="65" t="str">
        <f>IFERROR(__xludf.DUMMYFUNCTION("""COMPUTED_VALUE""")," ")</f>
        <v> </v>
      </c>
      <c r="M705" s="65"/>
      <c r="N705" s="65" t="str">
        <f>IFERROR(__xludf.DUMMYFUNCTION("""COMPUTED_VALUE""")," ")</f>
        <v> </v>
      </c>
    </row>
    <row r="706">
      <c r="A706" s="99" t="str">
        <f>IFERROR(__xludf.DUMMYFUNCTION("""COMPUTED_VALUE"""),"https://utrucking.com/admin/orders/6448949297340")</f>
        <v>https://utrucking.com/admin/orders/6448949297340</v>
      </c>
      <c r="B706" s="61" t="str">
        <f>IFERROR(__xludf.DUMMYFUNCTION("""COMPUTED_VALUE"""),"#18052")</f>
        <v>#18052</v>
      </c>
      <c r="C706" s="61" t="str">
        <f>IFERROR(__xludf.DUMMYFUNCTION("""COMPUTED_VALUE"""),"f.e.schneider@wustl.edu")</f>
        <v>f.e.schneider@wustl.edu</v>
      </c>
      <c r="D706" s="61">
        <f>IFERROR(__xludf.DUMMYFUNCTION("""COMPUTED_VALUE"""),6.468563561E9)</f>
        <v>6468563561</v>
      </c>
      <c r="E706" s="61" t="str">
        <f>IFERROR(__xludf.DUMMYFUNCTION("""COMPUTED_VALUE"""),"Fay Schneider")</f>
        <v>Fay Schneider</v>
      </c>
      <c r="F706" s="61" t="str">
        <f>IFERROR(__xludf.DUMMYFUNCTION("""COMPUTED_VALUE"""),"Fay Schneider")</f>
        <v>Fay Schneider</v>
      </c>
      <c r="G706" s="61" t="str">
        <f>IFERROR(__xludf.DUMMYFUNCTION("""COMPUTED_VALUE""")," 1 [Included with Registration] / Included Insurance   - ")</f>
        <v> 1 [Included with Registration] / Included Insurance   - </v>
      </c>
      <c r="H706" s="61" t="str">
        <f>IFERROR(__xludf.DUMMYFUNCTION("""COMPUTED_VALUE"""),"Lopata  ")</f>
        <v>Lopata  </v>
      </c>
      <c r="I706" s="61" t="str">
        <f>IFERROR(__xludf.DUMMYFUNCTION("""COMPUTED_VALUE"""),"1112")</f>
        <v>1112</v>
      </c>
      <c r="J706" s="107" t="str">
        <f>IFERROR(__xludf.DUMMYFUNCTION("""COMPUTED_VALUE"""),"01:00 PM to 03:00 PM  ")</f>
        <v>01:00 PM to 03:00 PM  </v>
      </c>
      <c r="K706" s="100">
        <f>IFERROR(__xludf.DUMMYFUNCTION("""COMPUTED_VALUE"""),46148.0)</f>
        <v>46148</v>
      </c>
      <c r="L706" s="61" t="str">
        <f>IFERROR(__xludf.DUMMYFUNCTION("""COMPUTED_VALUE""")," ")</f>
        <v> </v>
      </c>
      <c r="M706" s="61"/>
      <c r="N706" s="61" t="str">
        <f>IFERROR(__xludf.DUMMYFUNCTION("""COMPUTED_VALUE""")," ")</f>
        <v> </v>
      </c>
    </row>
    <row r="707">
      <c r="A707" s="102" t="str">
        <f>IFERROR(__xludf.DUMMYFUNCTION("""COMPUTED_VALUE"""),"https://utrucking.com/admin/orders/6448959750332")</f>
        <v>https://utrucking.com/admin/orders/6448959750332</v>
      </c>
      <c r="B707" s="65" t="str">
        <f>IFERROR(__xludf.DUMMYFUNCTION("""COMPUTED_VALUE"""),"#18054")</f>
        <v>#18054</v>
      </c>
      <c r="C707" s="65" t="str">
        <f>IFERROR(__xludf.DUMMYFUNCTION("""COMPUTED_VALUE"""),"noriha772004@gmail.com")</f>
        <v>noriha772004@gmail.com</v>
      </c>
      <c r="D707" s="65">
        <f>IFERROR(__xludf.DUMMYFUNCTION("""COMPUTED_VALUE"""),3.143203294E9)</f>
        <v>3143203294</v>
      </c>
      <c r="E707" s="65" t="str">
        <f>IFERROR(__xludf.DUMMYFUNCTION("""COMPUTED_VALUE"""),"Norah Alhusayni")</f>
        <v>Norah Alhusayni</v>
      </c>
      <c r="F707" s="65" t="str">
        <f>IFERROR(__xludf.DUMMYFUNCTION("""COMPUTED_VALUE"""),"Norah Alhusayni")</f>
        <v>Norah Alhusayni</v>
      </c>
      <c r="G707" s="65" t="str">
        <f>IFERROR(__xludf.DUMMYFUNCTION("""COMPUTED_VALUE""")," 1 [Included with Registration] / Included Insurance   - ")</f>
        <v> 1 [Included with Registration] / Included Insurance   - </v>
      </c>
      <c r="H707" s="65" t="str">
        <f>IFERROR(__xludf.DUMMYFUNCTION("""COMPUTED_VALUE"""),"Loop Loft 6200  ")</f>
        <v>Loop Loft 6200  </v>
      </c>
      <c r="I707" s="65" t="str">
        <f>IFERROR(__xludf.DUMMYFUNCTION("""COMPUTED_VALUE"""),"401A")</f>
        <v>401A</v>
      </c>
      <c r="J707" s="108" t="str">
        <f>IFERROR(__xludf.DUMMYFUNCTION("""COMPUTED_VALUE"""),"09:00 AM to 11:00 AM  ")</f>
        <v>09:00 AM to 11:00 AM  </v>
      </c>
      <c r="K707" s="103">
        <f>IFERROR(__xludf.DUMMYFUNCTION("""COMPUTED_VALUE"""),46158.0)</f>
        <v>46158</v>
      </c>
      <c r="L707" s="65" t="str">
        <f>IFERROR(__xludf.DUMMYFUNCTION("""COMPUTED_VALUE""")," ")</f>
        <v> </v>
      </c>
      <c r="M707" s="65"/>
      <c r="N707" s="65" t="str">
        <f>IFERROR(__xludf.DUMMYFUNCTION("""COMPUTED_VALUE""")," ")</f>
        <v> </v>
      </c>
    </row>
    <row r="708">
      <c r="A708" s="99" t="str">
        <f>IFERROR(__xludf.DUMMYFUNCTION("""COMPUTED_VALUE"""),"https://utrucking.com/admin/orders/6449008181436")</f>
        <v>https://utrucking.com/admin/orders/6449008181436</v>
      </c>
      <c r="B708" s="61" t="str">
        <f>IFERROR(__xludf.DUMMYFUNCTION("""COMPUTED_VALUE"""),"#18059")</f>
        <v>#18059</v>
      </c>
      <c r="C708" s="61" t="str">
        <f>IFERROR(__xludf.DUMMYFUNCTION("""COMPUTED_VALUE"""),"hera@wustl.edu")</f>
        <v>hera@wustl.edu</v>
      </c>
      <c r="D708" s="61">
        <f>IFERROR(__xludf.DUMMYFUNCTION("""COMPUTED_VALUE"""),7.032232616E9)</f>
        <v>7032232616</v>
      </c>
      <c r="E708" s="61" t="str">
        <f>IFERROR(__xludf.DUMMYFUNCTION("""COMPUTED_VALUE"""),"Hera Kim")</f>
        <v>Hera Kim</v>
      </c>
      <c r="F708" s="61" t="str">
        <f>IFERROR(__xludf.DUMMYFUNCTION("""COMPUTED_VALUE"""),"Hera")</f>
        <v>Hera</v>
      </c>
      <c r="G708" s="61" t="str">
        <f>IFERROR(__xludf.DUMMYFUNCTION("""COMPUTED_VALUE""")," 2 / Included Insurance   - ")</f>
        <v> 2 / Included Insurance   - </v>
      </c>
      <c r="H708" s="61" t="str">
        <f>IFERROR(__xludf.DUMMYFUNCTION("""COMPUTED_VALUE"""),"Gregg  ")</f>
        <v>Gregg  </v>
      </c>
      <c r="I708" s="61" t="str">
        <f>IFERROR(__xludf.DUMMYFUNCTION("""COMPUTED_VALUE"""),"3030")</f>
        <v>3030</v>
      </c>
      <c r="J708" s="107" t="str">
        <f>IFERROR(__xludf.DUMMYFUNCTION("""COMPUTED_VALUE"""),"09:00 AM to 11:00 AM  ")</f>
        <v>09:00 AM to 11:00 AM  </v>
      </c>
      <c r="K708" s="100">
        <f>IFERROR(__xludf.DUMMYFUNCTION("""COMPUTED_VALUE"""),46146.0)</f>
        <v>46146</v>
      </c>
      <c r="L708" s="61" t="str">
        <f>IFERROR(__xludf.DUMMYFUNCTION("""COMPUTED_VALUE""")," ")</f>
        <v> </v>
      </c>
      <c r="M708" s="61"/>
      <c r="N708" s="61" t="str">
        <f>IFERROR(__xludf.DUMMYFUNCTION("""COMPUTED_VALUE""")," ")</f>
        <v> </v>
      </c>
    </row>
    <row r="709">
      <c r="A709" s="102" t="str">
        <f>IFERROR(__xludf.DUMMYFUNCTION("""COMPUTED_VALUE"""),"https://utrucking.com/admin/orders/6449077387452")</f>
        <v>https://utrucking.com/admin/orders/6449077387452</v>
      </c>
      <c r="B709" s="65" t="str">
        <f>IFERROR(__xludf.DUMMYFUNCTION("""COMPUTED_VALUE"""),"#18061")</f>
        <v>#18061</v>
      </c>
      <c r="C709" s="65" t="str">
        <f>IFERROR(__xludf.DUMMYFUNCTION("""COMPUTED_VALUE"""),"hanallen1592@gmail.com")</f>
        <v>hanallen1592@gmail.com</v>
      </c>
      <c r="D709" s="65">
        <f>IFERROR(__xludf.DUMMYFUNCTION("""COMPUTED_VALUE"""),1.042821592E9)</f>
        <v>1042821592</v>
      </c>
      <c r="E709" s="65" t="str">
        <f>IFERROR(__xludf.DUMMYFUNCTION("""COMPUTED_VALUE"""),"Minhyuk Han")</f>
        <v>Minhyuk Han</v>
      </c>
      <c r="F709" s="65" t="str">
        <f>IFERROR(__xludf.DUMMYFUNCTION("""COMPUTED_VALUE"""),"Allen Han")</f>
        <v>Allen Han</v>
      </c>
      <c r="G709" s="65" t="str">
        <f>IFERROR(__xludf.DUMMYFUNCTION("""COMPUTED_VALUE""")," 1 [Included with Registration] / Included Insurance   - ")</f>
        <v> 1 [Included with Registration] / Included Insurance   - </v>
      </c>
      <c r="H709" s="65" t="str">
        <f>IFERROR(__xludf.DUMMYFUNCTION("""COMPUTED_VALUE"""),"Park  ")</f>
        <v>Park  </v>
      </c>
      <c r="I709" s="65" t="str">
        <f>IFERROR(__xludf.DUMMYFUNCTION("""COMPUTED_VALUE"""),"262")</f>
        <v>262</v>
      </c>
      <c r="J709" s="108" t="str">
        <f>IFERROR(__xludf.DUMMYFUNCTION("""COMPUTED_VALUE"""),"02:00 PM to 04:00 PM")</f>
        <v>02:00 PM to 04:00 PM</v>
      </c>
      <c r="K709" s="103">
        <f>IFERROR(__xludf.DUMMYFUNCTION("""COMPUTED_VALUE"""),46146.0)</f>
        <v>46146</v>
      </c>
      <c r="L709" s="65" t="str">
        <f>IFERROR(__xludf.DUMMYFUNCTION("""COMPUTED_VALUE""")," ")</f>
        <v> </v>
      </c>
      <c r="M709" s="65"/>
      <c r="N709" s="65" t="str">
        <f>IFERROR(__xludf.DUMMYFUNCTION("""COMPUTED_VALUE""")," ")</f>
        <v> </v>
      </c>
    </row>
    <row r="710">
      <c r="A710" s="99" t="str">
        <f>IFERROR(__xludf.DUMMYFUNCTION("""COMPUTED_VALUE"""),"https://utrucking.com/admin/orders/6449127129276")</f>
        <v>https://utrucking.com/admin/orders/6449127129276</v>
      </c>
      <c r="B710" s="61" t="str">
        <f>IFERROR(__xludf.DUMMYFUNCTION("""COMPUTED_VALUE"""),"#18062")</f>
        <v>#18062</v>
      </c>
      <c r="C710" s="61" t="str">
        <f>IFERROR(__xludf.DUMMYFUNCTION("""COMPUTED_VALUE"""),"bi.s@wustl.edu")</f>
        <v>bi.s@wustl.edu</v>
      </c>
      <c r="D710" s="61">
        <f>IFERROR(__xludf.DUMMYFUNCTION("""COMPUTED_VALUE"""),3.146655285E9)</f>
        <v>3146655285</v>
      </c>
      <c r="E710" s="61" t="str">
        <f>IFERROR(__xludf.DUMMYFUNCTION("""COMPUTED_VALUE"""),"Siyuan Bi")</f>
        <v>Siyuan Bi</v>
      </c>
      <c r="F710" s="61" t="str">
        <f>IFERROR(__xludf.DUMMYFUNCTION("""COMPUTED_VALUE"""),"Siyuan Bi")</f>
        <v>Siyuan Bi</v>
      </c>
      <c r="G710" s="61" t="str">
        <f>IFERROR(__xludf.DUMMYFUNCTION("""COMPUTED_VALUE""")," 1 [Included with Registration] / Included Insurance   - ")</f>
        <v> 1 [Included with Registration] / Included Insurance   - </v>
      </c>
      <c r="H710" s="61" t="str">
        <f>IFERROR(__xludf.DUMMYFUNCTION("""COMPUTED_VALUE"""),"Village House  ")</f>
        <v>Village House  </v>
      </c>
      <c r="I710" s="61" t="str">
        <f>IFERROR(__xludf.DUMMYFUNCTION("""COMPUTED_VALUE"""),"3033")</f>
        <v>3033</v>
      </c>
      <c r="J710" s="107" t="str">
        <f>IFERROR(__xludf.DUMMYFUNCTION("""COMPUTED_VALUE"""),"11:00 AM to 01:00 PM  ")</f>
        <v>11:00 AM to 01:00 PM  </v>
      </c>
      <c r="K710" s="100">
        <f>IFERROR(__xludf.DUMMYFUNCTION("""COMPUTED_VALUE"""),46150.0)</f>
        <v>46150</v>
      </c>
      <c r="L710" s="61" t="str">
        <f>IFERROR(__xludf.DUMMYFUNCTION("""COMPUTED_VALUE""")," ")</f>
        <v> </v>
      </c>
      <c r="M710" s="61"/>
      <c r="N710" s="61" t="str">
        <f>IFERROR(__xludf.DUMMYFUNCTION("""COMPUTED_VALUE""")," ")</f>
        <v> </v>
      </c>
    </row>
    <row r="711">
      <c r="A711" s="102" t="str">
        <f>IFERROR(__xludf.DUMMYFUNCTION("""COMPUTED_VALUE"""),"https://utrucking.com/admin/orders/6449143218364")</f>
        <v>https://utrucking.com/admin/orders/6449143218364</v>
      </c>
      <c r="B711" s="65" t="str">
        <f>IFERROR(__xludf.DUMMYFUNCTION("""COMPUTED_VALUE"""),"#18063")</f>
        <v>#18063</v>
      </c>
      <c r="C711" s="65" t="str">
        <f>IFERROR(__xludf.DUMMYFUNCTION("""COMPUTED_VALUE"""),"reinstein@wustl.edu")</f>
        <v>reinstein@wustl.edu</v>
      </c>
      <c r="D711" s="65">
        <f>IFERROR(__xludf.DUMMYFUNCTION("""COMPUTED_VALUE"""),2.407040006E9)</f>
        <v>2407040006</v>
      </c>
      <c r="E711" s="65" t="str">
        <f>IFERROR(__xludf.DUMMYFUNCTION("""COMPUTED_VALUE"""),"Todd Reinstein")</f>
        <v>Todd Reinstein</v>
      </c>
      <c r="F711" s="65" t="str">
        <f>IFERROR(__xludf.DUMMYFUNCTION("""COMPUTED_VALUE"""),"Rachel Reinstein")</f>
        <v>Rachel Reinstein</v>
      </c>
      <c r="G711" s="65" t="str">
        <f>IFERROR(__xludf.DUMMYFUNCTION("""COMPUTED_VALUE""")," 1 [Included with Registration] / Included Insurance   - ")</f>
        <v> 1 [Included with Registration] / Included Insurance   - </v>
      </c>
      <c r="H711" s="65" t="str">
        <f>IFERROR(__xludf.DUMMYFUNCTION("""COMPUTED_VALUE"""),"Hitzeman  ")</f>
        <v>Hitzeman  </v>
      </c>
      <c r="I711" s="65" t="str">
        <f>IFERROR(__xludf.DUMMYFUNCTION("""COMPUTED_VALUE"""),"431")</f>
        <v>431</v>
      </c>
      <c r="J711" s="108" t="str">
        <f>IFERROR(__xludf.DUMMYFUNCTION("""COMPUTED_VALUE"""),"03:00 PM to 05:00 PM")</f>
        <v>03:00 PM to 05:00 PM</v>
      </c>
      <c r="K711" s="103">
        <f>IFERROR(__xludf.DUMMYFUNCTION("""COMPUTED_VALUE"""),46147.0)</f>
        <v>46147</v>
      </c>
      <c r="L711" s="65" t="str">
        <f>IFERROR(__xludf.DUMMYFUNCTION("""COMPUTED_VALUE""")," ")</f>
        <v> </v>
      </c>
      <c r="M711" s="65"/>
      <c r="N711" s="65" t="str">
        <f>IFERROR(__xludf.DUMMYFUNCTION("""COMPUTED_VALUE"""),"  I have one door fridge, rolling cart, headboard, and plastic tower.")</f>
        <v>  I have one door fridge, rolling cart, headboard, and plastic tower.</v>
      </c>
    </row>
    <row r="712">
      <c r="A712" s="99" t="str">
        <f>IFERROR(__xludf.DUMMYFUNCTION("""COMPUTED_VALUE"""),"https://utrucking.com/admin/orders/6449636081852")</f>
        <v>https://utrucking.com/admin/orders/6449636081852</v>
      </c>
      <c r="B712" s="61" t="str">
        <f>IFERROR(__xludf.DUMMYFUNCTION("""COMPUTED_VALUE"""),"#18079")</f>
        <v>#18079</v>
      </c>
      <c r="C712" s="61" t="str">
        <f>IFERROR(__xludf.DUMMYFUNCTION("""COMPUTED_VALUE"""),"caseyference7@gmail.com")</f>
        <v>caseyference7@gmail.com</v>
      </c>
      <c r="D712" s="61">
        <f>IFERROR(__xludf.DUMMYFUNCTION("""COMPUTED_VALUE"""),9.17414012E9)</f>
        <v>9174140120</v>
      </c>
      <c r="E712" s="61" t="str">
        <f>IFERROR(__xludf.DUMMYFUNCTION("""COMPUTED_VALUE"""),"Michael Ference")</f>
        <v>Michael Ference</v>
      </c>
      <c r="F712" s="61" t="str">
        <f>IFERROR(__xludf.DUMMYFUNCTION("""COMPUTED_VALUE"""),"Casey Ference")</f>
        <v>Casey Ference</v>
      </c>
      <c r="G712" s="61" t="str">
        <f>IFERROR(__xludf.DUMMYFUNCTION("""COMPUTED_VALUE""")," 0 / Included Insurance   - ")</f>
        <v> 0 / Included Insurance   - </v>
      </c>
      <c r="H712" s="61" t="str">
        <f>IFERROR(__xludf.DUMMYFUNCTION("""COMPUTED_VALUE"""),"Park  ")</f>
        <v>Park  </v>
      </c>
      <c r="I712" s="61" t="str">
        <f>IFERROR(__xludf.DUMMYFUNCTION("""COMPUTED_VALUE"""),"162")</f>
        <v>162</v>
      </c>
      <c r="J712" s="107" t="str">
        <f>IFERROR(__xludf.DUMMYFUNCTION("""COMPUTED_VALUE"""),"09:00 AM to 11:00 AM  ")</f>
        <v>09:00 AM to 11:00 AM  </v>
      </c>
      <c r="K712" s="100">
        <f>IFERROR(__xludf.DUMMYFUNCTION("""COMPUTED_VALUE"""),46144.0)</f>
        <v>46144</v>
      </c>
      <c r="L712" s="61" t="str">
        <f>IFERROR(__xludf.DUMMYFUNCTION("""COMPUTED_VALUE""")," ")</f>
        <v> </v>
      </c>
      <c r="M712" s="61"/>
      <c r="N712" s="61" t="str">
        <f>IFERROR(__xludf.DUMMYFUNCTION("""COMPUTED_VALUE""")," ")</f>
        <v> </v>
      </c>
    </row>
    <row r="713">
      <c r="A713" s="102" t="str">
        <f>IFERROR(__xludf.DUMMYFUNCTION("""COMPUTED_VALUE"""),"https://utrucking.com/admin/orders/6449700274364")</f>
        <v>https://utrucking.com/admin/orders/6449700274364</v>
      </c>
      <c r="B713" s="65" t="str">
        <f>IFERROR(__xludf.DUMMYFUNCTION("""COMPUTED_VALUE"""),"#18080")</f>
        <v>#18080</v>
      </c>
      <c r="C713" s="65" t="str">
        <f>IFERROR(__xludf.DUMMYFUNCTION("""COMPUTED_VALUE"""),"j.pichardorico@wustl.edu")</f>
        <v>j.pichardorico@wustl.edu</v>
      </c>
      <c r="D713" s="65">
        <f>IFERROR(__xludf.DUMMYFUNCTION("""COMPUTED_VALUE"""),9.793308999E9)</f>
        <v>9793308999</v>
      </c>
      <c r="E713" s="65" t="str">
        <f>IFERROR(__xludf.DUMMYFUNCTION("""COMPUTED_VALUE"""),"Araceli Rico")</f>
        <v>Araceli Rico</v>
      </c>
      <c r="F713" s="65" t="str">
        <f>IFERROR(__xludf.DUMMYFUNCTION("""COMPUTED_VALUE"""),"Jaqueline Pichardo Rico")</f>
        <v>Jaqueline Pichardo Rico</v>
      </c>
      <c r="G713" s="65" t="str">
        <f>IFERROR(__xludf.DUMMYFUNCTION("""COMPUTED_VALUE""")," 1 [Included with Registration] / Included Insurance   - ")</f>
        <v> 1 [Included with Registration] / Included Insurance   - </v>
      </c>
      <c r="H713" s="65" t="str">
        <f>IFERROR(__xludf.DUMMYFUNCTION("""COMPUTED_VALUE"""),"Shepley  ")</f>
        <v>Shepley  </v>
      </c>
      <c r="I713" s="65" t="str">
        <f>IFERROR(__xludf.DUMMYFUNCTION("""COMPUTED_VALUE"""),"3082")</f>
        <v>3082</v>
      </c>
      <c r="J713" s="108" t="str">
        <f>IFERROR(__xludf.DUMMYFUNCTION("""COMPUTED_VALUE"""),"12:00 PM to 02:00 PM  ")</f>
        <v>12:00 PM to 02:00 PM  </v>
      </c>
      <c r="K713" s="103">
        <f>IFERROR(__xludf.DUMMYFUNCTION("""COMPUTED_VALUE"""),46149.0)</f>
        <v>46149</v>
      </c>
      <c r="L713" s="65" t="str">
        <f>IFERROR(__xludf.DUMMYFUNCTION("""COMPUTED_VALUE""")," ")</f>
        <v> </v>
      </c>
      <c r="M713" s="65"/>
      <c r="N713" s="65" t="str">
        <f>IFERROR(__xludf.DUMMYFUNCTION("""COMPUTED_VALUE""")," ")</f>
        <v> </v>
      </c>
    </row>
    <row r="714">
      <c r="A714" s="99" t="str">
        <f>IFERROR(__xludf.DUMMYFUNCTION("""COMPUTED_VALUE"""),"https://utrucking.com/admin/orders/6449715708092")</f>
        <v>https://utrucking.com/admin/orders/6449715708092</v>
      </c>
      <c r="B714" s="61" t="str">
        <f>IFERROR(__xludf.DUMMYFUNCTION("""COMPUTED_VALUE"""),"#18082")</f>
        <v>#18082</v>
      </c>
      <c r="C714" s="61" t="str">
        <f>IFERROR(__xludf.DUMMYFUNCTION("""COMPUTED_VALUE"""),"parolk06@gmail.com")</f>
        <v>parolk06@gmail.com</v>
      </c>
      <c r="D714" s="61">
        <f>IFERROR(__xludf.DUMMYFUNCTION("""COMPUTED_VALUE"""),9.95014677E8)</f>
        <v>995014677</v>
      </c>
      <c r="E714" s="61" t="str">
        <f>IFERROR(__xludf.DUMMYFUNCTION("""COMPUTED_VALUE"""),"Yaroslav Parashchiy")</f>
        <v>Yaroslav Parashchiy</v>
      </c>
      <c r="F714" s="61" t="str">
        <f>IFERROR(__xludf.DUMMYFUNCTION("""COMPUTED_VALUE"""),"Yaroslav Parashchiy")</f>
        <v>Yaroslav Parashchiy</v>
      </c>
      <c r="G714" s="61" t="str">
        <f>IFERROR(__xludf.DUMMYFUNCTION("""COMPUTED_VALUE""")," 1 [Included with Registration] / Included Insurance   - ")</f>
        <v> 1 [Included with Registration] / Included Insurance   - </v>
      </c>
      <c r="H714" s="61" t="str">
        <f>IFERROR(__xludf.DUMMYFUNCTION("""COMPUTED_VALUE"""),"House 1")</f>
        <v>House 1</v>
      </c>
      <c r="I714" s="61" t="str">
        <f>IFERROR(__xludf.DUMMYFUNCTION("""COMPUTED_VALUE"""),"307")</f>
        <v>307</v>
      </c>
      <c r="J714" s="107" t="str">
        <f>IFERROR(__xludf.DUMMYFUNCTION("""COMPUTED_VALUE"""),"09:00 AM to 11:00 AM  ")</f>
        <v>09:00 AM to 11:00 AM  </v>
      </c>
      <c r="K714" s="100">
        <f>IFERROR(__xludf.DUMMYFUNCTION("""COMPUTED_VALUE"""),46148.0)</f>
        <v>46148</v>
      </c>
      <c r="L714" s="61" t="str">
        <f>IFERROR(__xludf.DUMMYFUNCTION("""COMPUTED_VALUE""")," ")</f>
        <v> </v>
      </c>
      <c r="M714" s="61"/>
      <c r="N714" s="61" t="str">
        <f>IFERROR(__xludf.DUMMYFUNCTION("""COMPUTED_VALUE""")," ")</f>
        <v> </v>
      </c>
    </row>
    <row r="715">
      <c r="A715" s="102" t="str">
        <f>IFERROR(__xludf.DUMMYFUNCTION("""COMPUTED_VALUE"""),"https://utrucking.com/admin/orders/6450073272508")</f>
        <v>https://utrucking.com/admin/orders/6450073272508</v>
      </c>
      <c r="B715" s="65" t="str">
        <f>IFERROR(__xludf.DUMMYFUNCTION("""COMPUTED_VALUE"""),"#18086")</f>
        <v>#18086</v>
      </c>
      <c r="C715" s="65" t="str">
        <f>IFERROR(__xludf.DUMMYFUNCTION("""COMPUTED_VALUE"""),"libi@wustl.edu")</f>
        <v>libi@wustl.edu</v>
      </c>
      <c r="D715" s="65">
        <f>IFERROR(__xludf.DUMMYFUNCTION("""COMPUTED_VALUE"""),7.734262588E9)</f>
        <v>7734262588</v>
      </c>
      <c r="E715" s="65" t="str">
        <f>IFERROR(__xludf.DUMMYFUNCTION("""COMPUTED_VALUE"""),"Keren Horn")</f>
        <v>Keren Horn</v>
      </c>
      <c r="F715" s="65" t="str">
        <f>IFERROR(__xludf.DUMMYFUNCTION("""COMPUTED_VALUE"""),"Libi Horn")</f>
        <v>Libi Horn</v>
      </c>
      <c r="G715" s="65" t="str">
        <f>IFERROR(__xludf.DUMMYFUNCTION("""COMPUTED_VALUE""")," 1 [Included with Registration] / Included Insurance   - ")</f>
        <v> 1 [Included with Registration] / Included Insurance   - </v>
      </c>
      <c r="H715" s="65" t="str">
        <f>IFERROR(__xludf.DUMMYFUNCTION("""COMPUTED_VALUE"""),"Lee  ")</f>
        <v>Lee  </v>
      </c>
      <c r="I715" s="65" t="str">
        <f>IFERROR(__xludf.DUMMYFUNCTION("""COMPUTED_VALUE"""),"307")</f>
        <v>307</v>
      </c>
      <c r="J715" s="108" t="str">
        <f>IFERROR(__xludf.DUMMYFUNCTION("""COMPUTED_VALUE"""),"03:00 PM to 05:00 PM")</f>
        <v>03:00 PM to 05:00 PM</v>
      </c>
      <c r="K715" s="103">
        <f>IFERROR(__xludf.DUMMYFUNCTION("""COMPUTED_VALUE"""),46148.0)</f>
        <v>46148</v>
      </c>
      <c r="L715" s="65" t="str">
        <f>IFERROR(__xludf.DUMMYFUNCTION("""COMPUTED_VALUE""")," ")</f>
        <v> </v>
      </c>
      <c r="M715" s="65"/>
      <c r="N715" s="65" t="str">
        <f>IFERROR(__xludf.DUMMYFUNCTION("""COMPUTED_VALUE""")," ")</f>
        <v> </v>
      </c>
    </row>
    <row r="716">
      <c r="A716" s="99" t="str">
        <f>IFERROR(__xludf.DUMMYFUNCTION("""COMPUTED_VALUE"""),"https://utrucking.com/admin/orders/6450536775868")</f>
        <v>https://utrucking.com/admin/orders/6450536775868</v>
      </c>
      <c r="B716" s="61" t="str">
        <f>IFERROR(__xludf.DUMMYFUNCTION("""COMPUTED_VALUE"""),"#18095")</f>
        <v>#18095</v>
      </c>
      <c r="C716" s="61" t="str">
        <f>IFERROR(__xludf.DUMMYFUNCTION("""COMPUTED_VALUE"""),"m.d.pineda@wustl.edu")</f>
        <v>m.d.pineda@wustl.edu</v>
      </c>
      <c r="D716" s="61">
        <f>IFERROR(__xludf.DUMMYFUNCTION("""COMPUTED_VALUE"""),4.845877048E9)</f>
        <v>4845877048</v>
      </c>
      <c r="E716" s="61" t="str">
        <f>IFERROR(__xludf.DUMMYFUNCTION("""COMPUTED_VALUE"""),"Miranda Pineda")</f>
        <v>Miranda Pineda</v>
      </c>
      <c r="F716" s="61" t="str">
        <f>IFERROR(__xludf.DUMMYFUNCTION("""COMPUTED_VALUE"""),"Miranda Pineda")</f>
        <v>Miranda Pineda</v>
      </c>
      <c r="G716" s="61" t="str">
        <f>IFERROR(__xludf.DUMMYFUNCTION("""COMPUTED_VALUE""")," 0 / Included Insurance   - ")</f>
        <v> 0 / Included Insurance   - </v>
      </c>
      <c r="H716" s="61" t="str">
        <f>IFERROR(__xludf.DUMMYFUNCTION("""COMPUTED_VALUE"""),"Park  ")</f>
        <v>Park  </v>
      </c>
      <c r="I716" s="61" t="str">
        <f>IFERROR(__xludf.DUMMYFUNCTION("""COMPUTED_VALUE"""),"491")</f>
        <v>491</v>
      </c>
      <c r="J716" s="107" t="str">
        <f>IFERROR(__xludf.DUMMYFUNCTION("""COMPUTED_VALUE"""),"01:00 PM to 03:00 PM  ")</f>
        <v>01:00 PM to 03:00 PM  </v>
      </c>
      <c r="K716" s="100">
        <f>IFERROR(__xludf.DUMMYFUNCTION("""COMPUTED_VALUE"""),46146.0)</f>
        <v>46146</v>
      </c>
      <c r="L716" s="61" t="str">
        <f>IFERROR(__xludf.DUMMYFUNCTION("""COMPUTED_VALUE""")," ")</f>
        <v> </v>
      </c>
      <c r="M716" s="61"/>
      <c r="N716" s="61" t="str">
        <f>IFERROR(__xludf.DUMMYFUNCTION("""COMPUTED_VALUE""")," double door mini fridge")</f>
        <v> double door mini fridge</v>
      </c>
    </row>
    <row r="717">
      <c r="A717" s="102" t="str">
        <f>IFERROR(__xludf.DUMMYFUNCTION("""COMPUTED_VALUE"""),"https://utrucking.com/admin/orders/6450944966844")</f>
        <v>https://utrucking.com/admin/orders/6450944966844</v>
      </c>
      <c r="B717" s="65" t="str">
        <f>IFERROR(__xludf.DUMMYFUNCTION("""COMPUTED_VALUE"""),"#18101")</f>
        <v>#18101</v>
      </c>
      <c r="C717" s="65" t="str">
        <f>IFERROR(__xludf.DUMMYFUNCTION("""COMPUTED_VALUE"""),"shannonkay@usa.net")</f>
        <v>shannonkay@usa.net</v>
      </c>
      <c r="D717" s="65">
        <f>IFERROR(__xludf.DUMMYFUNCTION("""COMPUTED_VALUE"""),5.124612236E9)</f>
        <v>5124612236</v>
      </c>
      <c r="E717" s="65" t="str">
        <f>IFERROR(__xludf.DUMMYFUNCTION("""COMPUTED_VALUE"""),"Shannon Quisenberry")</f>
        <v>Shannon Quisenberry</v>
      </c>
      <c r="F717" s="65" t="str">
        <f>IFERROR(__xludf.DUMMYFUNCTION("""COMPUTED_VALUE"""),"Juliet Quisenberry ")</f>
        <v>Juliet Quisenberry </v>
      </c>
      <c r="G717" s="65" t="str">
        <f>IFERROR(__xludf.DUMMYFUNCTION("""COMPUTED_VALUE""")," 0 / Included Insurance   - ")</f>
        <v> 0 / Included Insurance   - </v>
      </c>
      <c r="H717" s="65" t="str">
        <f>IFERROR(__xludf.DUMMYFUNCTION("""COMPUTED_VALUE"""),"Eliot B (Sophomore Dorm)")</f>
        <v>Eliot B (Sophomore Dorm)</v>
      </c>
      <c r="I717" s="65" t="str">
        <f>IFERROR(__xludf.DUMMYFUNCTION("""COMPUTED_VALUE"""),"3060")</f>
        <v>3060</v>
      </c>
      <c r="J717" s="108" t="str">
        <f>IFERROR(__xludf.DUMMYFUNCTION("""COMPUTED_VALUE"""),"09:00 AM to 11:00 AM  ")</f>
        <v>09:00 AM to 11:00 AM  </v>
      </c>
      <c r="K717" s="103">
        <f>IFERROR(__xludf.DUMMYFUNCTION("""COMPUTED_VALUE"""),46144.0)</f>
        <v>46144</v>
      </c>
      <c r="L717" s="65" t="str">
        <f>IFERROR(__xludf.DUMMYFUNCTION("""COMPUTED_VALUE""")," ")</f>
        <v> </v>
      </c>
      <c r="M717" s="65"/>
      <c r="N717" s="65" t="str">
        <f>IFERROR(__xludf.DUMMYFUNCTION("""COMPUTED_VALUE""")," ")</f>
        <v> </v>
      </c>
    </row>
    <row r="718">
      <c r="A718" s="99" t="str">
        <f>IFERROR(__xludf.DUMMYFUNCTION("""COMPUTED_VALUE"""),"https://utrucking.com/admin/orders/6450986188988")</f>
        <v>https://utrucking.com/admin/orders/6450986188988</v>
      </c>
      <c r="B718" s="61" t="str">
        <f>IFERROR(__xludf.DUMMYFUNCTION("""COMPUTED_VALUE"""),"#18103")</f>
        <v>#18103</v>
      </c>
      <c r="C718" s="61" t="str">
        <f>IFERROR(__xludf.DUMMYFUNCTION("""COMPUTED_VALUE"""),"s.taryn@wustl.edu")</f>
        <v>s.taryn@wustl.edu</v>
      </c>
      <c r="D718" s="61">
        <f>IFERROR(__xludf.DUMMYFUNCTION("""COMPUTED_VALUE"""),8.057220816E9)</f>
        <v>8057220816</v>
      </c>
      <c r="E718" s="61" t="str">
        <f>IFERROR(__xludf.DUMMYFUNCTION("""COMPUTED_VALUE"""),"Taryn Sager")</f>
        <v>Taryn Sager</v>
      </c>
      <c r="F718" s="61" t="str">
        <f>IFERROR(__xludf.DUMMYFUNCTION("""COMPUTED_VALUE"""),"Taryn Sager")</f>
        <v>Taryn Sager</v>
      </c>
      <c r="G718" s="61" t="str">
        <f>IFERROR(__xludf.DUMMYFUNCTION("""COMPUTED_VALUE""")," 1 [Included with Registration] / Included Insurance   - ")</f>
        <v> 1 [Included with Registration] / Included Insurance   - </v>
      </c>
      <c r="H718" s="61" t="str">
        <f>IFERROR(__xludf.DUMMYFUNCTION("""COMPUTED_VALUE"""),"6811 University Drive")</f>
        <v>6811 University Drive</v>
      </c>
      <c r="I718" s="61" t="str">
        <f>IFERROR(__xludf.DUMMYFUNCTION("""COMPUTED_VALUE"""),"2E, Room A")</f>
        <v>2E, Room A</v>
      </c>
      <c r="J718" s="107" t="str">
        <f>IFERROR(__xludf.DUMMYFUNCTION("""COMPUTED_VALUE"""),"02:00 PM to 04:00 PM")</f>
        <v>02:00 PM to 04:00 PM</v>
      </c>
      <c r="K718" s="100">
        <f>IFERROR(__xludf.DUMMYFUNCTION("""COMPUTED_VALUE"""),46158.0)</f>
        <v>46158</v>
      </c>
      <c r="L718" s="61" t="str">
        <f>IFERROR(__xludf.DUMMYFUNCTION("""COMPUTED_VALUE""")," ")</f>
        <v> </v>
      </c>
      <c r="M718" s="61"/>
      <c r="N718" s="61" t="str">
        <f>IFERROR(__xludf.DUMMYFUNCTION("""COMPUTED_VALUE""")," ")</f>
        <v> </v>
      </c>
    </row>
    <row r="719">
      <c r="A719" s="102" t="str">
        <f>IFERROR(__xludf.DUMMYFUNCTION("""COMPUTED_VALUE"""),"https://utrucking.com/admin/orders/6451026165948")</f>
        <v>https://utrucking.com/admin/orders/6451026165948</v>
      </c>
      <c r="B719" s="65" t="str">
        <f>IFERROR(__xludf.DUMMYFUNCTION("""COMPUTED_VALUE"""),"#18105")</f>
        <v>#18105</v>
      </c>
      <c r="C719" s="65" t="str">
        <f>IFERROR(__xludf.DUMMYFUNCTION("""COMPUTED_VALUE"""),"tziporarebeccaguttman@gmail.com")</f>
        <v>tziporarebeccaguttman@gmail.com</v>
      </c>
      <c r="D719" s="65">
        <f>IFERROR(__xludf.DUMMYFUNCTION("""COMPUTED_VALUE"""),3.479795955E9)</f>
        <v>3479795955</v>
      </c>
      <c r="E719" s="65" t="str">
        <f>IFERROR(__xludf.DUMMYFUNCTION("""COMPUTED_VALUE"""),"Tzipora Guttman")</f>
        <v>Tzipora Guttman</v>
      </c>
      <c r="F719" s="65" t="str">
        <f>IFERROR(__xludf.DUMMYFUNCTION("""COMPUTED_VALUE"""),"Tzipora Guttman")</f>
        <v>Tzipora Guttman</v>
      </c>
      <c r="G719" s="65" t="str">
        <f>IFERROR(__xludf.DUMMYFUNCTION("""COMPUTED_VALUE""")," 1 [Included with Registration] / Included Insurance   - ")</f>
        <v> 1 [Included with Registration] / Included Insurance   - </v>
      </c>
      <c r="H719" s="65" t="str">
        <f>IFERROR(__xludf.DUMMYFUNCTION("""COMPUTED_VALUE"""),"Dauten  ")</f>
        <v>Dauten  </v>
      </c>
      <c r="I719" s="65" t="str">
        <f>IFERROR(__xludf.DUMMYFUNCTION("""COMPUTED_VALUE"""),"343")</f>
        <v>343</v>
      </c>
      <c r="J719" s="108" t="str">
        <f>IFERROR(__xludf.DUMMYFUNCTION("""COMPUTED_VALUE"""),"03:00 PM to 05:00 PM")</f>
        <v>03:00 PM to 05:00 PM</v>
      </c>
      <c r="K719" s="103">
        <f>IFERROR(__xludf.DUMMYFUNCTION("""COMPUTED_VALUE"""),46148.0)</f>
        <v>46148</v>
      </c>
      <c r="L719" s="65" t="str">
        <f>IFERROR(__xludf.DUMMYFUNCTION("""COMPUTED_VALUE""")," ")</f>
        <v> </v>
      </c>
      <c r="M719" s="65"/>
      <c r="N719" s="65" t="str">
        <f>IFERROR(__xludf.DUMMYFUNCTION("""COMPUTED_VALUE""")," ")</f>
        <v> </v>
      </c>
    </row>
    <row r="720">
      <c r="A720" s="99" t="str">
        <f>IFERROR(__xludf.DUMMYFUNCTION("""COMPUTED_VALUE"""),"https://utrucking.com/admin/orders/6451080233148")</f>
        <v>https://utrucking.com/admin/orders/6451080233148</v>
      </c>
      <c r="B720" s="61" t="str">
        <f>IFERROR(__xludf.DUMMYFUNCTION("""COMPUTED_VALUE"""),"#18106")</f>
        <v>#18106</v>
      </c>
      <c r="C720" s="61" t="str">
        <f>IFERROR(__xludf.DUMMYFUNCTION("""COMPUTED_VALUE"""),"ding.m.m@wustl.edu")</f>
        <v>ding.m.m@wustl.edu</v>
      </c>
      <c r="D720" s="61">
        <f>IFERROR(__xludf.DUMMYFUNCTION("""COMPUTED_VALUE"""),7.817955799E9)</f>
        <v>7817955799</v>
      </c>
      <c r="E720" s="61" t="str">
        <f>IFERROR(__xludf.DUMMYFUNCTION("""COMPUTED_VALUE"""),"Max Ding")</f>
        <v>Max Ding</v>
      </c>
      <c r="F720" s="61" t="str">
        <f>IFERROR(__xludf.DUMMYFUNCTION("""COMPUTED_VALUE"""),"Max Ding")</f>
        <v>Max Ding</v>
      </c>
      <c r="G720" s="61" t="str">
        <f>IFERROR(__xludf.DUMMYFUNCTION("""COMPUTED_VALUE""")," 1 [Included with Registration] / Included Insurance   - ")</f>
        <v> 1 [Included with Registration] / Included Insurance   - </v>
      </c>
      <c r="H720" s="61" t="str">
        <f>IFERROR(__xludf.DUMMYFUNCTION("""COMPUTED_VALUE"""),"Beaumont  ")</f>
        <v>Beaumont  </v>
      </c>
      <c r="I720" s="61" t="str">
        <f>IFERROR(__xludf.DUMMYFUNCTION("""COMPUTED_VALUE"""),"202")</f>
        <v>202</v>
      </c>
      <c r="J720" s="107" t="str">
        <f>IFERROR(__xludf.DUMMYFUNCTION("""COMPUTED_VALUE"""),"03:00 PM to 05:00 PM")</f>
        <v>03:00 PM to 05:00 PM</v>
      </c>
      <c r="K720" s="100">
        <f>IFERROR(__xludf.DUMMYFUNCTION("""COMPUTED_VALUE"""),46149.0)</f>
        <v>46149</v>
      </c>
      <c r="L720" s="61" t="str">
        <f>IFERROR(__xludf.DUMMYFUNCTION("""COMPUTED_VALUE""")," ")</f>
        <v> </v>
      </c>
      <c r="M720" s="61"/>
      <c r="N720" s="61" t="str">
        <f>IFERROR(__xludf.DUMMYFUNCTION("""COMPUTED_VALUE""")," ")</f>
        <v> </v>
      </c>
    </row>
    <row r="721">
      <c r="A721" s="102" t="str">
        <f>IFERROR(__xludf.DUMMYFUNCTION("""COMPUTED_VALUE"""),"https://utrucking.com/admin/orders/6451110576316")</f>
        <v>https://utrucking.com/admin/orders/6451110576316</v>
      </c>
      <c r="B721" s="65" t="str">
        <f>IFERROR(__xludf.DUMMYFUNCTION("""COMPUTED_VALUE"""),"#18107")</f>
        <v>#18107</v>
      </c>
      <c r="C721" s="65" t="str">
        <f>IFERROR(__xludf.DUMMYFUNCTION("""COMPUTED_VALUE"""),"h.nam@wustl.edu")</f>
        <v>h.nam@wustl.edu</v>
      </c>
      <c r="D721" s="65">
        <f>IFERROR(__xludf.DUMMYFUNCTION("""COMPUTED_VALUE"""),4.086232514E9)</f>
        <v>4086232514</v>
      </c>
      <c r="E721" s="65" t="str">
        <f>IFERROR(__xludf.DUMMYFUNCTION("""COMPUTED_VALUE"""),"Haeun Nam")</f>
        <v>Haeun Nam</v>
      </c>
      <c r="F721" s="65" t="str">
        <f>IFERROR(__xludf.DUMMYFUNCTION("""COMPUTED_VALUE"""),"Haeun Nam")</f>
        <v>Haeun Nam</v>
      </c>
      <c r="G721" s="65" t="str">
        <f>IFERROR(__xludf.DUMMYFUNCTION("""COMPUTED_VALUE""")," 1 [Included with Registration] / Included Insurance   - ")</f>
        <v> 1 [Included with Registration] / Included Insurance   - </v>
      </c>
      <c r="H721" s="65" t="str">
        <f>IFERROR(__xludf.DUMMYFUNCTION("""COMPUTED_VALUE"""),"Danforth  ")</f>
        <v>Danforth  </v>
      </c>
      <c r="I721" s="65" t="str">
        <f>IFERROR(__xludf.DUMMYFUNCTION("""COMPUTED_VALUE"""),"2209")</f>
        <v>2209</v>
      </c>
      <c r="J721" s="108" t="str">
        <f>IFERROR(__xludf.DUMMYFUNCTION("""COMPUTED_VALUE"""),"09:00 AM to 11:00 AM  ")</f>
        <v>09:00 AM to 11:00 AM  </v>
      </c>
      <c r="K721" s="103">
        <f>IFERROR(__xludf.DUMMYFUNCTION("""COMPUTED_VALUE"""),46148.0)</f>
        <v>46148</v>
      </c>
      <c r="L721" s="65" t="str">
        <f>IFERROR(__xludf.DUMMYFUNCTION("""COMPUTED_VALUE""")," ")</f>
        <v> </v>
      </c>
      <c r="M721" s="65"/>
      <c r="N721" s="65" t="str">
        <f>IFERROR(__xludf.DUMMYFUNCTION("""COMPUTED_VALUE""")," ")</f>
        <v> </v>
      </c>
    </row>
    <row r="722">
      <c r="A722" s="99" t="str">
        <f>IFERROR(__xludf.DUMMYFUNCTION("""COMPUTED_VALUE"""),"https://utrucking.com/admin/orders/6451128893628")</f>
        <v>https://utrucking.com/admin/orders/6451128893628</v>
      </c>
      <c r="B722" s="61" t="str">
        <f>IFERROR(__xludf.DUMMYFUNCTION("""COMPUTED_VALUE"""),"#18108")</f>
        <v>#18108</v>
      </c>
      <c r="C722" s="61" t="str">
        <f>IFERROR(__xludf.DUMMYFUNCTION("""COMPUTED_VALUE"""),"k.yerin@wustl.edu")</f>
        <v>k.yerin@wustl.edu</v>
      </c>
      <c r="D722" s="61">
        <f>IFERROR(__xludf.DUMMYFUNCTION("""COMPUTED_VALUE"""),3.142367799E9)</f>
        <v>3142367799</v>
      </c>
      <c r="E722" s="61" t="str">
        <f>IFERROR(__xludf.DUMMYFUNCTION("""COMPUTED_VALUE"""),"Yerin Kang")</f>
        <v>Yerin Kang</v>
      </c>
      <c r="F722" s="61" t="str">
        <f>IFERROR(__xludf.DUMMYFUNCTION("""COMPUTED_VALUE"""),"Yerin Kang")</f>
        <v>Yerin Kang</v>
      </c>
      <c r="G722" s="61" t="str">
        <f>IFERROR(__xludf.DUMMYFUNCTION("""COMPUTED_VALUE""")," 1 [Included with Registration] / Included Insurance   - ")</f>
        <v> 1 [Included with Registration] / Included Insurance   - </v>
      </c>
      <c r="H722" s="61"/>
      <c r="I722" s="61"/>
      <c r="J722" s="107" t="str">
        <f>IFERROR(__xludf.DUMMYFUNCTION("""COMPUTED_VALUE"""),"09:00 AM to 11:00 AM  ")</f>
        <v>09:00 AM to 11:00 AM  </v>
      </c>
      <c r="K722" s="100">
        <f>IFERROR(__xludf.DUMMYFUNCTION("""COMPUTED_VALUE"""),46156.0)</f>
        <v>46156</v>
      </c>
      <c r="L722" s="61" t="str">
        <f>IFERROR(__xludf.DUMMYFUNCTION("""COMPUTED_VALUE""")," ")</f>
        <v> </v>
      </c>
      <c r="M722" s="61" t="str">
        <f>IFERROR(__xludf.DUMMYFUNCTION("""COMPUTED_VALUE"""),"Apt 203
6105 Delmar Blvd
Saint Louis, MO 63112")</f>
        <v>Apt 203
6105 Delmar Blvd
Saint Louis, MO 63112</v>
      </c>
      <c r="N722" s="61" t="str">
        <f>IFERROR(__xludf.DUMMYFUNCTION("""COMPUTED_VALUE""")," I’m planning to use summer storage until mid-August and have my belongings shipped to my new apartment in New York. I’ll update the shipping address once it’s finalized.")</f>
        <v> I’m planning to use summer storage until mid-August and have my belongings shipped to my new apartment in New York. I’ll update the shipping address once it’s finalized.</v>
      </c>
    </row>
    <row r="723">
      <c r="A723" s="102" t="str">
        <f>IFERROR(__xludf.DUMMYFUNCTION("""COMPUTED_VALUE"""),"https://utrucking.com/admin/orders/6451175391420")</f>
        <v>https://utrucking.com/admin/orders/6451175391420</v>
      </c>
      <c r="B723" s="65" t="str">
        <f>IFERROR(__xludf.DUMMYFUNCTION("""COMPUTED_VALUE"""),"#18110")</f>
        <v>#18110</v>
      </c>
      <c r="C723" s="65" t="str">
        <f>IFERROR(__xludf.DUMMYFUNCTION("""COMPUTED_VALUE"""),"sarajacob53@gmail.com")</f>
        <v>sarajacob53@gmail.com</v>
      </c>
      <c r="D723" s="65">
        <f>IFERROR(__xludf.DUMMYFUNCTION("""COMPUTED_VALUE"""),3.142668878E9)</f>
        <v>3142668878</v>
      </c>
      <c r="E723" s="65" t="str">
        <f>IFERROR(__xludf.DUMMYFUNCTION("""COMPUTED_VALUE"""),"p p")</f>
        <v>p p</v>
      </c>
      <c r="F723" s="65" t="str">
        <f>IFERROR(__xludf.DUMMYFUNCTION("""COMPUTED_VALUE"""),"G.Philip")</f>
        <v>G.Philip</v>
      </c>
      <c r="G723" s="65" t="str">
        <f>IFERROR(__xludf.DUMMYFUNCTION("""COMPUTED_VALUE""")," 2 / Included Insurance   - ")</f>
        <v> 2 / Included Insurance   - </v>
      </c>
      <c r="H723" s="65" t="str">
        <f>IFERROR(__xludf.DUMMYFUNCTION("""COMPUTED_VALUE"""),"Gregg  ")</f>
        <v>Gregg  </v>
      </c>
      <c r="I723" s="65" t="str">
        <f>IFERROR(__xludf.DUMMYFUNCTION("""COMPUTED_VALUE"""),"2040")</f>
        <v>2040</v>
      </c>
      <c r="J723" s="108" t="str">
        <f>IFERROR(__xludf.DUMMYFUNCTION("""COMPUTED_VALUE"""),"03:00 PM to 05:00 PM")</f>
        <v>03:00 PM to 05:00 PM</v>
      </c>
      <c r="K723" s="103">
        <f>IFERROR(__xludf.DUMMYFUNCTION("""COMPUTED_VALUE"""),46150.0)</f>
        <v>46150</v>
      </c>
      <c r="L723" s="65" t="str">
        <f>IFERROR(__xludf.DUMMYFUNCTION("""COMPUTED_VALUE""")," ")</f>
        <v> </v>
      </c>
      <c r="M723" s="65"/>
      <c r="N723" s="65" t="str">
        <f>IFERROR(__xludf.DUMMYFUNCTION("""COMPUTED_VALUE""")," ")</f>
        <v> </v>
      </c>
    </row>
    <row r="724">
      <c r="A724" s="99" t="str">
        <f>IFERROR(__xludf.DUMMYFUNCTION("""COMPUTED_VALUE"""),"https://utrucking.com/admin/orders/6451304235196")</f>
        <v>https://utrucking.com/admin/orders/6451304235196</v>
      </c>
      <c r="B724" s="61" t="str">
        <f>IFERROR(__xludf.DUMMYFUNCTION("""COMPUTED_VALUE"""),"#18116")</f>
        <v>#18116</v>
      </c>
      <c r="C724" s="61" t="str">
        <f>IFERROR(__xludf.DUMMYFUNCTION("""COMPUTED_VALUE"""),"minkyutak29@gmail.com")</f>
        <v>minkyutak29@gmail.com</v>
      </c>
      <c r="D724" s="61">
        <f>IFERROR(__xludf.DUMMYFUNCTION("""COMPUTED_VALUE"""),8.582455089E9)</f>
        <v>8582455089</v>
      </c>
      <c r="E724" s="61" t="str">
        <f>IFERROR(__xludf.DUMMYFUNCTION("""COMPUTED_VALUE"""),"Minkyu Tak")</f>
        <v>Minkyu Tak</v>
      </c>
      <c r="F724" s="61" t="str">
        <f>IFERROR(__xludf.DUMMYFUNCTION("""COMPUTED_VALUE"""),"Minkyu Tak")</f>
        <v>Minkyu Tak</v>
      </c>
      <c r="G724" s="61" t="str">
        <f>IFERROR(__xludf.DUMMYFUNCTION("""COMPUTED_VALUE""")," 1 [Included with Registration] / Included Insurance   - ")</f>
        <v> 1 [Included with Registration] / Included Insurance   - </v>
      </c>
      <c r="H724" s="61" t="str">
        <f>IFERROR(__xludf.DUMMYFUNCTION("""COMPUTED_VALUE"""),"Shanedling  ")</f>
        <v>Shanedling  </v>
      </c>
      <c r="I724" s="61" t="str">
        <f>IFERROR(__xludf.DUMMYFUNCTION("""COMPUTED_VALUE"""),"442")</f>
        <v>442</v>
      </c>
      <c r="J724" s="107" t="str">
        <f>IFERROR(__xludf.DUMMYFUNCTION("""COMPUTED_VALUE"""),"09:00 AM to 11:00 AM  ")</f>
        <v>09:00 AM to 11:00 AM  </v>
      </c>
      <c r="K724" s="100">
        <f>IFERROR(__xludf.DUMMYFUNCTION("""COMPUTED_VALUE"""),46149.0)</f>
        <v>46149</v>
      </c>
      <c r="L724" s="61" t="str">
        <f>IFERROR(__xludf.DUMMYFUNCTION("""COMPUTED_VALUE""")," ")</f>
        <v> </v>
      </c>
      <c r="M724" s="61"/>
      <c r="N724" s="61" t="str">
        <f>IFERROR(__xludf.DUMMYFUNCTION("""COMPUTED_VALUE""")," ")</f>
        <v> </v>
      </c>
    </row>
    <row r="725">
      <c r="A725" s="102" t="str">
        <f>IFERROR(__xludf.DUMMYFUNCTION("""COMPUTED_VALUE"""),"https://utrucking.com/admin/orders/6451351126204")</f>
        <v>https://utrucking.com/admin/orders/6451351126204</v>
      </c>
      <c r="B725" s="65" t="str">
        <f>IFERROR(__xludf.DUMMYFUNCTION("""COMPUTED_VALUE"""),"#18119")</f>
        <v>#18119</v>
      </c>
      <c r="C725" s="65" t="str">
        <f>IFERROR(__xludf.DUMMYFUNCTION("""COMPUTED_VALUE"""),"irenesok.418@gmail.com")</f>
        <v>irenesok.418@gmail.com</v>
      </c>
      <c r="D725" s="65">
        <f>IFERROR(__xludf.DUMMYFUNCTION("""COMPUTED_VALUE"""),9.494419087E9)</f>
        <v>9494419087</v>
      </c>
      <c r="E725" s="65" t="str">
        <f>IFERROR(__xludf.DUMMYFUNCTION("""COMPUTED_VALUE"""),"Irene Sok")</f>
        <v>Irene Sok</v>
      </c>
      <c r="F725" s="65" t="str">
        <f>IFERROR(__xludf.DUMMYFUNCTION("""COMPUTED_VALUE"""),"Irene Sok")</f>
        <v>Irene Sok</v>
      </c>
      <c r="G725" s="65" t="str">
        <f>IFERROR(__xludf.DUMMYFUNCTION("""COMPUTED_VALUE""")," 2 / Included Insurance   - ")</f>
        <v> 2 / Included Insurance   - </v>
      </c>
      <c r="H725" s="65" t="str">
        <f>IFERROR(__xludf.DUMMYFUNCTION("""COMPUTED_VALUE"""),"Eliot B (Sophomore Dorm)")</f>
        <v>Eliot B (Sophomore Dorm)</v>
      </c>
      <c r="I725" s="65" t="str">
        <f>IFERROR(__xludf.DUMMYFUNCTION("""COMPUTED_VALUE"""),"2060")</f>
        <v>2060</v>
      </c>
      <c r="J725" s="108" t="str">
        <f>IFERROR(__xludf.DUMMYFUNCTION("""COMPUTED_VALUE"""),"03:00 PM to 05:00 PM")</f>
        <v>03:00 PM to 05:00 PM</v>
      </c>
      <c r="K725" s="103">
        <f>IFERROR(__xludf.DUMMYFUNCTION("""COMPUTED_VALUE"""),46149.0)</f>
        <v>46149</v>
      </c>
      <c r="L725" s="65" t="str">
        <f>IFERROR(__xludf.DUMMYFUNCTION("""COMPUTED_VALUE""")," ")</f>
        <v> </v>
      </c>
      <c r="M725" s="65"/>
      <c r="N725" s="65" t="str">
        <f>IFERROR(__xludf.DUMMYFUNCTION("""COMPUTED_VALUE""")," ")</f>
        <v> </v>
      </c>
    </row>
    <row r="726">
      <c r="A726" s="99" t="str">
        <f>IFERROR(__xludf.DUMMYFUNCTION("""COMPUTED_VALUE"""),"https://utrucking.com/admin/orders/6451396247740")</f>
        <v>https://utrucking.com/admin/orders/6451396247740</v>
      </c>
      <c r="B726" s="61" t="str">
        <f>IFERROR(__xludf.DUMMYFUNCTION("""COMPUTED_VALUE"""),"#18122")</f>
        <v>#18122</v>
      </c>
      <c r="C726" s="61" t="str">
        <f>IFERROR(__xludf.DUMMYFUNCTION("""COMPUTED_VALUE"""),"haow1@wustl.edu")</f>
        <v>haow1@wustl.edu</v>
      </c>
      <c r="D726" s="61">
        <f>IFERROR(__xludf.DUMMYFUNCTION("""COMPUTED_VALUE"""),6.46203634E9)</f>
        <v>6462036340</v>
      </c>
      <c r="E726" s="61" t="str">
        <f>IFERROR(__xludf.DUMMYFUNCTION("""COMPUTED_VALUE"""),"Ke Wang")</f>
        <v>Ke Wang</v>
      </c>
      <c r="F726" s="61" t="str">
        <f>IFERROR(__xludf.DUMMYFUNCTION("""COMPUTED_VALUE"""),"Hao")</f>
        <v>Hao</v>
      </c>
      <c r="G726" s="61" t="str">
        <f>IFERROR(__xludf.DUMMYFUNCTION("""COMPUTED_VALUE""")," 0 / Included Insurance   - ")</f>
        <v> 0 / Included Insurance   - </v>
      </c>
      <c r="H726" s="61" t="str">
        <f>IFERROR(__xludf.DUMMYFUNCTION("""COMPUTED_VALUE"""),"House 1")</f>
        <v>House 1</v>
      </c>
      <c r="I726" s="61" t="str">
        <f>IFERROR(__xludf.DUMMYFUNCTION("""COMPUTED_VALUE"""),"117")</f>
        <v>117</v>
      </c>
      <c r="J726" s="107" t="str">
        <f>IFERROR(__xludf.DUMMYFUNCTION("""COMPUTED_VALUE"""),"09:00 AM to 11:00 AM  ")</f>
        <v>09:00 AM to 11:00 AM  </v>
      </c>
      <c r="K726" s="100">
        <f>IFERROR(__xludf.DUMMYFUNCTION("""COMPUTED_VALUE"""),46150.0)</f>
        <v>46150</v>
      </c>
      <c r="L726" s="61" t="str">
        <f>IFERROR(__xludf.DUMMYFUNCTION("""COMPUTED_VALUE""")," ")</f>
        <v> </v>
      </c>
      <c r="M726" s="61"/>
      <c r="N726" s="61" t="str">
        <f>IFERROR(__xludf.DUMMYFUNCTION("""COMPUTED_VALUE""")," ")</f>
        <v> </v>
      </c>
    </row>
    <row r="727">
      <c r="A727" s="102" t="str">
        <f>IFERROR(__xludf.DUMMYFUNCTION("""COMPUTED_VALUE"""),"https://utrucking.com/admin/orders/6451448873148")</f>
        <v>https://utrucking.com/admin/orders/6451448873148</v>
      </c>
      <c r="B727" s="65" t="str">
        <f>IFERROR(__xludf.DUMMYFUNCTION("""COMPUTED_VALUE"""),"#18124")</f>
        <v>#18124</v>
      </c>
      <c r="C727" s="65" t="str">
        <f>IFERROR(__xludf.DUMMYFUNCTION("""COMPUTED_VALUE"""),"alexis.oloyede@gmail.com")</f>
        <v>alexis.oloyede@gmail.com</v>
      </c>
      <c r="D727" s="65">
        <f>IFERROR(__xludf.DUMMYFUNCTION("""COMPUTED_VALUE"""),7.13818382E9)</f>
        <v>7138183820</v>
      </c>
      <c r="E727" s="65" t="str">
        <f>IFERROR(__xludf.DUMMYFUNCTION("""COMPUTED_VALUE"""),"Opeoluwa Oloyede")</f>
        <v>Opeoluwa Oloyede</v>
      </c>
      <c r="F727" s="65" t="str">
        <f>IFERROR(__xludf.DUMMYFUNCTION("""COMPUTED_VALUE"""),"Lolu Oloyede")</f>
        <v>Lolu Oloyede</v>
      </c>
      <c r="G727" s="65" t="str">
        <f>IFERROR(__xludf.DUMMYFUNCTION("""COMPUTED_VALUE""")," 1 [Included with Registration] / Included Insurance   - ")</f>
        <v> 1 [Included with Registration] / Included Insurance   - </v>
      </c>
      <c r="H727" s="65" t="str">
        <f>IFERROR(__xludf.DUMMYFUNCTION("""COMPUTED_VALUE"""),"Park  ")</f>
        <v>Park  </v>
      </c>
      <c r="I727" s="65" t="str">
        <f>IFERROR(__xludf.DUMMYFUNCTION("""COMPUTED_VALUE"""),"330")</f>
        <v>330</v>
      </c>
      <c r="J727" s="108" t="str">
        <f>IFERROR(__xludf.DUMMYFUNCTION("""COMPUTED_VALUE"""),"03:00 PM to 05:00 PM")</f>
        <v>03:00 PM to 05:00 PM</v>
      </c>
      <c r="K727" s="103">
        <f>IFERROR(__xludf.DUMMYFUNCTION("""COMPUTED_VALUE"""),46148.0)</f>
        <v>46148</v>
      </c>
      <c r="L727" s="65" t="str">
        <f>IFERROR(__xludf.DUMMYFUNCTION("""COMPUTED_VALUE""")," ")</f>
        <v> </v>
      </c>
      <c r="M727" s="65"/>
      <c r="N727" s="65" t="str">
        <f>IFERROR(__xludf.DUMMYFUNCTION("""COMPUTED_VALUE""")," ")</f>
        <v> </v>
      </c>
    </row>
    <row r="728">
      <c r="A728" s="99" t="str">
        <f>IFERROR(__xludf.DUMMYFUNCTION("""COMPUTED_VALUE"""),"https://utrucking.com/admin/orders/6451979452604")</f>
        <v>https://utrucking.com/admin/orders/6451979452604</v>
      </c>
      <c r="B728" s="61" t="str">
        <f>IFERROR(__xludf.DUMMYFUNCTION("""COMPUTED_VALUE"""),"#18128")</f>
        <v>#18128</v>
      </c>
      <c r="C728" s="61" t="str">
        <f>IFERROR(__xludf.DUMMYFUNCTION("""COMPUTED_VALUE"""),"bart@sokols.net")</f>
        <v>bart@sokols.net</v>
      </c>
      <c r="D728" s="61">
        <f>IFERROR(__xludf.DUMMYFUNCTION("""COMPUTED_VALUE"""),9.142073828E9)</f>
        <v>9142073828</v>
      </c>
      <c r="E728" s="61" t="str">
        <f>IFERROR(__xludf.DUMMYFUNCTION("""COMPUTED_VALUE"""),"Noah Sokol")</f>
        <v>Noah Sokol</v>
      </c>
      <c r="F728" s="61" t="str">
        <f>IFERROR(__xludf.DUMMYFUNCTION("""COMPUTED_VALUE"""),"Noah Sokol")</f>
        <v>Noah Sokol</v>
      </c>
      <c r="G728" s="61" t="str">
        <f>IFERROR(__xludf.DUMMYFUNCTION("""COMPUTED_VALUE""")," 1 [Included with Registration] / Included Insurance   - ")</f>
        <v> 1 [Included with Registration] / Included Insurance   - </v>
      </c>
      <c r="H728" s="61" t="str">
        <f>IFERROR(__xludf.DUMMYFUNCTION("""COMPUTED_VALUE"""),"Danforth  ")</f>
        <v>Danforth  </v>
      </c>
      <c r="I728" s="61" t="str">
        <f>IFERROR(__xludf.DUMMYFUNCTION("""COMPUTED_VALUE"""),"3311")</f>
        <v>3311</v>
      </c>
      <c r="J728" s="107" t="str">
        <f>IFERROR(__xludf.DUMMYFUNCTION("""COMPUTED_VALUE"""),"09:00 AM to 11:00 AM  ")</f>
        <v>09:00 AM to 11:00 AM  </v>
      </c>
      <c r="K728" s="100">
        <f>IFERROR(__xludf.DUMMYFUNCTION("""COMPUTED_VALUE"""),46146.0)</f>
        <v>46146</v>
      </c>
      <c r="L728" s="61" t="str">
        <f>IFERROR(__xludf.DUMMYFUNCTION("""COMPUTED_VALUE""")," ")</f>
        <v> </v>
      </c>
      <c r="M728" s="61"/>
      <c r="N728" s="61" t="str">
        <f>IFERROR(__xludf.DUMMYFUNCTION("""COMPUTED_VALUE""")," ")</f>
        <v> </v>
      </c>
    </row>
    <row r="729">
      <c r="A729" s="102" t="str">
        <f>IFERROR(__xludf.DUMMYFUNCTION("""COMPUTED_VALUE"""),"https://utrucking.com/admin/orders/6452182057148")</f>
        <v>https://utrucking.com/admin/orders/6452182057148</v>
      </c>
      <c r="B729" s="65" t="str">
        <f>IFERROR(__xludf.DUMMYFUNCTION("""COMPUTED_VALUE"""),"#18130")</f>
        <v>#18130</v>
      </c>
      <c r="C729" s="65" t="str">
        <f>IFERROR(__xludf.DUMMYFUNCTION("""COMPUTED_VALUE"""),"vihaanbharwani12@gmail.com")</f>
        <v>vihaanbharwani12@gmail.com</v>
      </c>
      <c r="D729" s="65">
        <f>IFERROR(__xludf.DUMMYFUNCTION("""COMPUTED_VALUE"""),3.143984128E9)</f>
        <v>3143984128</v>
      </c>
      <c r="E729" s="65" t="str">
        <f>IFERROR(__xludf.DUMMYFUNCTION("""COMPUTED_VALUE"""),"Vihaan Bharwani")</f>
        <v>Vihaan Bharwani</v>
      </c>
      <c r="F729" s="65" t="str">
        <f>IFERROR(__xludf.DUMMYFUNCTION("""COMPUTED_VALUE"""),"Vihaan Bharwani")</f>
        <v>Vihaan Bharwani</v>
      </c>
      <c r="G729" s="65" t="str">
        <f>IFERROR(__xludf.DUMMYFUNCTION("""COMPUTED_VALUE""")," 1 [Included with Registration] / Included Insurance   - ")</f>
        <v> 1 [Included with Registration] / Included Insurance   - </v>
      </c>
      <c r="H729" s="65" t="str">
        <f>IFERROR(__xludf.DUMMYFUNCTION("""COMPUTED_VALUE"""),"Myers  ")</f>
        <v>Myers  </v>
      </c>
      <c r="I729" s="65" t="str">
        <f>IFERROR(__xludf.DUMMYFUNCTION("""COMPUTED_VALUE"""),"433")</f>
        <v>433</v>
      </c>
      <c r="J729" s="108" t="str">
        <f>IFERROR(__xludf.DUMMYFUNCTION("""COMPUTED_VALUE"""),"03:00 PM to 05:00 PM")</f>
        <v>03:00 PM to 05:00 PM</v>
      </c>
      <c r="K729" s="103">
        <f>IFERROR(__xludf.DUMMYFUNCTION("""COMPUTED_VALUE"""),46149.0)</f>
        <v>46149</v>
      </c>
      <c r="L729" s="65" t="str">
        <f>IFERROR(__xludf.DUMMYFUNCTION("""COMPUTED_VALUE""")," ")</f>
        <v> </v>
      </c>
      <c r="M729" s="65"/>
      <c r="N729" s="65" t="str">
        <f>IFERROR(__xludf.DUMMYFUNCTION("""COMPUTED_VALUE""")," ")</f>
        <v> </v>
      </c>
    </row>
    <row r="730">
      <c r="A730" s="99" t="str">
        <f>IFERROR(__xludf.DUMMYFUNCTION("""COMPUTED_VALUE"""),"https://utrucking.com/admin/orders/6452208009404")</f>
        <v>https://utrucking.com/admin/orders/6452208009404</v>
      </c>
      <c r="B730" s="61" t="str">
        <f>IFERROR(__xludf.DUMMYFUNCTION("""COMPUTED_VALUE"""),"#18131")</f>
        <v>#18131</v>
      </c>
      <c r="C730" s="61" t="str">
        <f>IFERROR(__xludf.DUMMYFUNCTION("""COMPUTED_VALUE"""),"brandon.n.partridge@gmail.com")</f>
        <v>brandon.n.partridge@gmail.com</v>
      </c>
      <c r="D730" s="61">
        <f>IFERROR(__xludf.DUMMYFUNCTION("""COMPUTED_VALUE"""),2.022626813E9)</f>
        <v>2022626813</v>
      </c>
      <c r="E730" s="61" t="str">
        <f>IFERROR(__xludf.DUMMYFUNCTION("""COMPUTED_VALUE"""),"Brandon Partridge")</f>
        <v>Brandon Partridge</v>
      </c>
      <c r="F730" s="61" t="str">
        <f>IFERROR(__xludf.DUMMYFUNCTION("""COMPUTED_VALUE"""),"Polly Partridge")</f>
        <v>Polly Partridge</v>
      </c>
      <c r="G730" s="61" t="str">
        <f>IFERROR(__xludf.DUMMYFUNCTION("""COMPUTED_VALUE""")," 2 / Included Insurance   - ")</f>
        <v> 2 / Included Insurance   - </v>
      </c>
      <c r="H730" s="61" t="str">
        <f>IFERROR(__xludf.DUMMYFUNCTION("""COMPUTED_VALUE"""),"Millbrook Bldg. 4  ")</f>
        <v>Millbrook Bldg. 4  </v>
      </c>
      <c r="I730" s="61" t="str">
        <f>IFERROR(__xludf.DUMMYFUNCTION("""COMPUTED_VALUE"""),"103")</f>
        <v>103</v>
      </c>
      <c r="J730" s="107" t="str">
        <f>IFERROR(__xludf.DUMMYFUNCTION("""COMPUTED_VALUE"""),"03:00 PM to 05:00 PM")</f>
        <v>03:00 PM to 05:00 PM</v>
      </c>
      <c r="K730" s="100">
        <f>IFERROR(__xludf.DUMMYFUNCTION("""COMPUTED_VALUE"""),46148.0)</f>
        <v>46148</v>
      </c>
      <c r="L730" s="61" t="str">
        <f>IFERROR(__xludf.DUMMYFUNCTION("""COMPUTED_VALUE""")," ")</f>
        <v> </v>
      </c>
      <c r="M730" s="61"/>
      <c r="N730" s="61" t="str">
        <f>IFERROR(__xludf.DUMMYFUNCTION("""COMPUTED_VALUE""")," ")</f>
        <v> </v>
      </c>
    </row>
    <row r="731">
      <c r="A731" s="102" t="str">
        <f>IFERROR(__xludf.DUMMYFUNCTION("""COMPUTED_VALUE"""),"https://utrucking.com/admin/orders/6452277477564")</f>
        <v>https://utrucking.com/admin/orders/6452277477564</v>
      </c>
      <c r="B731" s="65" t="str">
        <f>IFERROR(__xludf.DUMMYFUNCTION("""COMPUTED_VALUE"""),"#18133")</f>
        <v>#18133</v>
      </c>
      <c r="C731" s="65" t="str">
        <f>IFERROR(__xludf.DUMMYFUNCTION("""COMPUTED_VALUE"""),"huang.v.s@wustl.edu")</f>
        <v>huang.v.s@wustl.edu</v>
      </c>
      <c r="D731" s="65">
        <f>IFERROR(__xludf.DUMMYFUNCTION("""COMPUTED_VALUE"""),9.862196068E9)</f>
        <v>9862196068</v>
      </c>
      <c r="E731" s="65" t="str">
        <f>IFERROR(__xludf.DUMMYFUNCTION("""COMPUTED_VALUE"""),"Victor Huang")</f>
        <v>Victor Huang</v>
      </c>
      <c r="F731" s="65" t="str">
        <f>IFERROR(__xludf.DUMMYFUNCTION("""COMPUTED_VALUE"""),"Victor Huang")</f>
        <v>Victor Huang</v>
      </c>
      <c r="G731" s="65" t="str">
        <f>IFERROR(__xludf.DUMMYFUNCTION("""COMPUTED_VALUE""")," 1 [Included with Registration] / Included Insurance   - ")</f>
        <v> 1 [Included with Registration] / Included Insurance   - </v>
      </c>
      <c r="H731" s="65" t="str">
        <f>IFERROR(__xludf.DUMMYFUNCTION("""COMPUTED_VALUE"""),"Nemerov  ")</f>
        <v>Nemerov  </v>
      </c>
      <c r="I731" s="65" t="str">
        <f>IFERROR(__xludf.DUMMYFUNCTION("""COMPUTED_VALUE"""),"2034")</f>
        <v>2034</v>
      </c>
      <c r="J731" s="108" t="str">
        <f>IFERROR(__xludf.DUMMYFUNCTION("""COMPUTED_VALUE"""),"10:00 AM to 12:00 PM  ")</f>
        <v>10:00 AM to 12:00 PM  </v>
      </c>
      <c r="K731" s="103">
        <f>IFERROR(__xludf.DUMMYFUNCTION("""COMPUTED_VALUE"""),46149.0)</f>
        <v>46149</v>
      </c>
      <c r="L731" s="65" t="str">
        <f>IFERROR(__xludf.DUMMYFUNCTION("""COMPUTED_VALUE""")," ")</f>
        <v> </v>
      </c>
      <c r="M731" s="65"/>
      <c r="N731" s="65" t="str">
        <f>IFERROR(__xludf.DUMMYFUNCTION("""COMPUTED_VALUE""")," ")</f>
        <v> </v>
      </c>
    </row>
    <row r="732">
      <c r="A732" s="99" t="str">
        <f>IFERROR(__xludf.DUMMYFUNCTION("""COMPUTED_VALUE"""),"https://utrucking.com/admin/orders/6452277641404")</f>
        <v>https://utrucking.com/admin/orders/6452277641404</v>
      </c>
      <c r="B732" s="61" t="str">
        <f>IFERROR(__xludf.DUMMYFUNCTION("""COMPUTED_VALUE"""),"#18134")</f>
        <v>#18134</v>
      </c>
      <c r="C732" s="61" t="str">
        <f>IFERROR(__xludf.DUMMYFUNCTION("""COMPUTED_VALUE"""),"charlie.q@wustl.edu")</f>
        <v>charlie.q@wustl.edu</v>
      </c>
      <c r="D732" s="61">
        <f>IFERROR(__xludf.DUMMYFUNCTION("""COMPUTED_VALUE"""),3.142697772E9)</f>
        <v>3142697772</v>
      </c>
      <c r="E732" s="61" t="str">
        <f>IFERROR(__xludf.DUMMYFUNCTION("""COMPUTED_VALUE"""),"Charlie Qian")</f>
        <v>Charlie Qian</v>
      </c>
      <c r="F732" s="61" t="str">
        <f>IFERROR(__xludf.DUMMYFUNCTION("""COMPUTED_VALUE"""),"Charlie Qian")</f>
        <v>Charlie Qian</v>
      </c>
      <c r="G732" s="61" t="str">
        <f>IFERROR(__xludf.DUMMYFUNCTION("""COMPUTED_VALUE""")," 1 [Included with Registration] / Included Insurance   - ")</f>
        <v> 1 [Included with Registration] / Included Insurance   - </v>
      </c>
      <c r="H732" s="61" t="str">
        <f>IFERROR(__xludf.DUMMYFUNCTION("""COMPUTED_VALUE"""),"Danforth  ")</f>
        <v>Danforth  </v>
      </c>
      <c r="I732" s="61" t="str">
        <f>IFERROR(__xludf.DUMMYFUNCTION("""COMPUTED_VALUE"""),"2204")</f>
        <v>2204</v>
      </c>
      <c r="J732" s="107" t="str">
        <f>IFERROR(__xludf.DUMMYFUNCTION("""COMPUTED_VALUE"""),"03:00 PM to 05:00 PM")</f>
        <v>03:00 PM to 05:00 PM</v>
      </c>
      <c r="K732" s="100">
        <f>IFERROR(__xludf.DUMMYFUNCTION("""COMPUTED_VALUE"""),46149.0)</f>
        <v>46149</v>
      </c>
      <c r="L732" s="61" t="str">
        <f>IFERROR(__xludf.DUMMYFUNCTION("""COMPUTED_VALUE""")," ")</f>
        <v> </v>
      </c>
      <c r="M732" s="61"/>
      <c r="N732" s="61" t="str">
        <f>IFERROR(__xludf.DUMMYFUNCTION("""COMPUTED_VALUE""")," 2 suitcases + 2 boxes in total")</f>
        <v> 2 suitcases + 2 boxes in total</v>
      </c>
    </row>
    <row r="733">
      <c r="A733" s="102" t="str">
        <f>IFERROR(__xludf.DUMMYFUNCTION("""COMPUTED_VALUE"""),"https://utrucking.com/admin/orders/6452335673532")</f>
        <v>https://utrucking.com/admin/orders/6452335673532</v>
      </c>
      <c r="B733" s="65" t="str">
        <f>IFERROR(__xludf.DUMMYFUNCTION("""COMPUTED_VALUE"""),"#18135")</f>
        <v>#18135</v>
      </c>
      <c r="C733" s="65" t="str">
        <f>IFERROR(__xludf.DUMMYFUNCTION("""COMPUTED_VALUE"""),"sharonsotelolee@gmail.com")</f>
        <v>sharonsotelolee@gmail.com</v>
      </c>
      <c r="D733" s="65">
        <f>IFERROR(__xludf.DUMMYFUNCTION("""COMPUTED_VALUE"""),4.157703588E9)</f>
        <v>4157703588</v>
      </c>
      <c r="E733" s="65" t="str">
        <f>IFERROR(__xludf.DUMMYFUNCTION("""COMPUTED_VALUE"""),"Sharon Sotelo-Lee")</f>
        <v>Sharon Sotelo-Lee</v>
      </c>
      <c r="F733" s="65" t="str">
        <f>IFERROR(__xludf.DUMMYFUNCTION("""COMPUTED_VALUE"""),"Jacob (Jake) Lee")</f>
        <v>Jacob (Jake) Lee</v>
      </c>
      <c r="G733" s="65" t="str">
        <f>IFERROR(__xludf.DUMMYFUNCTION("""COMPUTED_VALUE""")," 1 [Included with Registration] / Included Insurance   - ")</f>
        <v> 1 [Included with Registration] / Included Insurance   - </v>
      </c>
      <c r="H733" s="65" t="str">
        <f>IFERROR(__xludf.DUMMYFUNCTION("""COMPUTED_VALUE"""),"Koenig  ")</f>
        <v>Koenig  </v>
      </c>
      <c r="I733" s="65" t="str">
        <f>IFERROR(__xludf.DUMMYFUNCTION("""COMPUTED_VALUE"""),"4407")</f>
        <v>4407</v>
      </c>
      <c r="J733" s="108" t="str">
        <f>IFERROR(__xludf.DUMMYFUNCTION("""COMPUTED_VALUE"""),"09:00 AM to 11:00 AM  ")</f>
        <v>09:00 AM to 11:00 AM  </v>
      </c>
      <c r="K733" s="103">
        <f>IFERROR(__xludf.DUMMYFUNCTION("""COMPUTED_VALUE"""),46149.0)</f>
        <v>46149</v>
      </c>
      <c r="L733" s="65" t="str">
        <f>IFERROR(__xludf.DUMMYFUNCTION("""COMPUTED_VALUE""")," ")</f>
        <v> </v>
      </c>
      <c r="M733" s="65"/>
      <c r="N733" s="65" t="str">
        <f>IFERROR(__xludf.DUMMYFUNCTION("""COMPUTED_VALUE""")," Please deliver in August to Village House 2052 A (sophomore dorm housing)
Pick up of 5 boxes including: 
2 Elfa Wire Underbed Drawers
1 Headboard
Steel Fridge Cabinet
Floor Lamp
Black Tall Narrow Drawer Chest 
3 Tier Black Rolling Cart
Beanbag
Orange Tra"&amp;"ffic Cone
Foldable Hanging Dryer Rack
Rolling Hamper
Shoe Rack
Duvet Insert
Euro/Square Pillow Insert
Long Rectangle Pillow Insert
Mattress Topper
Collapsible Laundry Baskets
Bins (Pantry)
Collapsibe Overdoor Organizer
Bins (Closet)
")</f>
        <v> Please deliver in August to Village House 2052 A (sophomore dorm housing)
Pick up of 5 boxes including: 
2 Elfa Wire Underbed Drawers
1 Headboard
Steel Fridge Cabinet
Floor Lamp
Black Tall Narrow Drawer Chest 
3 Tier Black Rolling Cart
Beanbag
Orange Traffic Cone
Foldable Hanging Dryer Rack
Rolling Hamper
Shoe Rack
Duvet Insert
Euro/Square Pillow Insert
Long Rectangle Pillow Insert
Mattress Topper
Collapsible Laundry Baskets
Bins (Pantry)
Collapsibe Overdoor Organizer
Bins (Closet)
</v>
      </c>
    </row>
    <row r="734">
      <c r="A734" s="99" t="str">
        <f>IFERROR(__xludf.DUMMYFUNCTION("""COMPUTED_VALUE"""),"https://utrucking.com/admin/orders/6452496302268")</f>
        <v>https://utrucking.com/admin/orders/6452496302268</v>
      </c>
      <c r="B734" s="61" t="str">
        <f>IFERROR(__xludf.DUMMYFUNCTION("""COMPUTED_VALUE"""),"#18140")</f>
        <v>#18140</v>
      </c>
      <c r="C734" s="61" t="str">
        <f>IFERROR(__xludf.DUMMYFUNCTION("""COMPUTED_VALUE"""),"lucasmls1460@gmail.com")</f>
        <v>lucasmls1460@gmail.com</v>
      </c>
      <c r="D734" s="61">
        <f>IFERROR(__xludf.DUMMYFUNCTION("""COMPUTED_VALUE"""),5.107081479E9)</f>
        <v>5107081479</v>
      </c>
      <c r="E734" s="61" t="str">
        <f>IFERROR(__xludf.DUMMYFUNCTION("""COMPUTED_VALUE"""),"Lucas Speier")</f>
        <v>Lucas Speier</v>
      </c>
      <c r="F734" s="61" t="str">
        <f>IFERROR(__xludf.DUMMYFUNCTION("""COMPUTED_VALUE"""),"Lucas Speier")</f>
        <v>Lucas Speier</v>
      </c>
      <c r="G734" s="61" t="str">
        <f>IFERROR(__xludf.DUMMYFUNCTION("""COMPUTED_VALUE""")," 2 / Included Insurance   - ")</f>
        <v> 2 / Included Insurance   - </v>
      </c>
      <c r="H734" s="61" t="str">
        <f>IFERROR(__xludf.DUMMYFUNCTION("""COMPUTED_VALUE"""),"Eliot B (Sophomore Dorm)")</f>
        <v>Eliot B (Sophomore Dorm)</v>
      </c>
      <c r="I734" s="61" t="str">
        <f>IFERROR(__xludf.DUMMYFUNCTION("""COMPUTED_VALUE"""),"4093")</f>
        <v>4093</v>
      </c>
      <c r="J734" s="107" t="str">
        <f>IFERROR(__xludf.DUMMYFUNCTION("""COMPUTED_VALUE"""),"09:00 AM to 11:00 AM  ")</f>
        <v>09:00 AM to 11:00 AM  </v>
      </c>
      <c r="K734" s="100">
        <f>IFERROR(__xludf.DUMMYFUNCTION("""COMPUTED_VALUE"""),46150.0)</f>
        <v>46150</v>
      </c>
      <c r="L734" s="61" t="str">
        <f>IFERROR(__xludf.DUMMYFUNCTION("""COMPUTED_VALUE""")," ")</f>
        <v> </v>
      </c>
      <c r="M734" s="61"/>
      <c r="N734" s="61" t="str">
        <f>IFERROR(__xludf.DUMMYFUNCTION("""COMPUTED_VALUE""")," ")</f>
        <v> </v>
      </c>
    </row>
    <row r="735">
      <c r="A735" s="102" t="str">
        <f>IFERROR(__xludf.DUMMYFUNCTION("""COMPUTED_VALUE"""),"https://utrucking.com/admin/orders/6452545323196")</f>
        <v>https://utrucking.com/admin/orders/6452545323196</v>
      </c>
      <c r="B735" s="65" t="str">
        <f>IFERROR(__xludf.DUMMYFUNCTION("""COMPUTED_VALUE"""),"#18142")</f>
        <v>#18142</v>
      </c>
      <c r="C735" s="65" t="str">
        <f>IFERROR(__xludf.DUMMYFUNCTION("""COMPUTED_VALUE"""),"utruckinga@jodam.net")</f>
        <v>utruckinga@jodam.net</v>
      </c>
      <c r="D735" s="65">
        <f>IFERROR(__xludf.DUMMYFUNCTION("""COMPUTED_VALUE"""),3.019800344E9)</f>
        <v>3019800344</v>
      </c>
      <c r="E735" s="65" t="str">
        <f>IFERROR(__xludf.DUMMYFUNCTION("""COMPUTED_VALUE"""),"Adam Daniel")</f>
        <v>Adam Daniel</v>
      </c>
      <c r="F735" s="65" t="str">
        <f>IFERROR(__xludf.DUMMYFUNCTION("""COMPUTED_VALUE"""),"Jonah Daniel")</f>
        <v>Jonah Daniel</v>
      </c>
      <c r="G735" s="65" t="str">
        <f>IFERROR(__xludf.DUMMYFUNCTION("""COMPUTED_VALUE""")," 1 [Included with Registration] / Included Insurance   - ")</f>
        <v> 1 [Included with Registration] / Included Insurance   - </v>
      </c>
      <c r="H735" s="65" t="str">
        <f>IFERROR(__xludf.DUMMYFUNCTION("""COMPUTED_VALUE"""),"Umrath  ")</f>
        <v>Umrath  </v>
      </c>
      <c r="I735" s="65" t="str">
        <f>IFERROR(__xludf.DUMMYFUNCTION("""COMPUTED_VALUE"""),"3304")</f>
        <v>3304</v>
      </c>
      <c r="J735" s="108" t="str">
        <f>IFERROR(__xludf.DUMMYFUNCTION("""COMPUTED_VALUE"""),"09:00 AM to 11:00 AM  ")</f>
        <v>09:00 AM to 11:00 AM  </v>
      </c>
      <c r="K735" s="103">
        <f>IFERROR(__xludf.DUMMYFUNCTION("""COMPUTED_VALUE"""),46147.0)</f>
        <v>46147</v>
      </c>
      <c r="L735" s="65" t="str">
        <f>IFERROR(__xludf.DUMMYFUNCTION("""COMPUTED_VALUE""")," ")</f>
        <v> </v>
      </c>
      <c r="M735" s="65"/>
      <c r="N735" s="65" t="str">
        <f>IFERROR(__xludf.DUMMYFUNCTION("""COMPUTED_VALUE""")," ")</f>
        <v> </v>
      </c>
    </row>
    <row r="736">
      <c r="A736" s="99" t="str">
        <f>IFERROR(__xludf.DUMMYFUNCTION("""COMPUTED_VALUE"""),"https://utrucking.com/admin/orders/6452575994044")</f>
        <v>https://utrucking.com/admin/orders/6452575994044</v>
      </c>
      <c r="B736" s="61" t="str">
        <f>IFERROR(__xludf.DUMMYFUNCTION("""COMPUTED_VALUE"""),"#18145")</f>
        <v>#18145</v>
      </c>
      <c r="C736" s="61" t="str">
        <f>IFERROR(__xludf.DUMMYFUNCTION("""COMPUTED_VALUE"""),"g.ross@wustl.edu")</f>
        <v>g.ross@wustl.edu</v>
      </c>
      <c r="D736" s="61">
        <f>IFERROR(__xludf.DUMMYFUNCTION("""COMPUTED_VALUE"""),3.10916677E9)</f>
        <v>3109166770</v>
      </c>
      <c r="E736" s="61" t="str">
        <f>IFERROR(__xludf.DUMMYFUNCTION("""COMPUTED_VALUE"""),"Ross Goldberg")</f>
        <v>Ross Goldberg</v>
      </c>
      <c r="F736" s="61" t="str">
        <f>IFERROR(__xludf.DUMMYFUNCTION("""COMPUTED_VALUE"""),"Ross")</f>
        <v>Ross</v>
      </c>
      <c r="G736" s="61" t="str">
        <f>IFERROR(__xludf.DUMMYFUNCTION("""COMPUTED_VALUE""")," 1 [Included with Registration] / Included Insurance   - ")</f>
        <v> 1 [Included with Registration] / Included Insurance   - </v>
      </c>
      <c r="H736" s="61" t="str">
        <f>IFERROR(__xludf.DUMMYFUNCTION("""COMPUTED_VALUE"""),"Zetcher  ")</f>
        <v>Zetcher  </v>
      </c>
      <c r="I736" s="61" t="str">
        <f>IFERROR(__xludf.DUMMYFUNCTION("""COMPUTED_VALUE"""),"2022")</f>
        <v>2022</v>
      </c>
      <c r="J736" s="107" t="str">
        <f>IFERROR(__xludf.DUMMYFUNCTION("""COMPUTED_VALUE"""),"09:00 AM to 11:00 AM  ")</f>
        <v>09:00 AM to 11:00 AM  </v>
      </c>
      <c r="K736" s="100">
        <f>IFERROR(__xludf.DUMMYFUNCTION("""COMPUTED_VALUE"""),46150.0)</f>
        <v>46150</v>
      </c>
      <c r="L736" s="61" t="str">
        <f>IFERROR(__xludf.DUMMYFUNCTION("""COMPUTED_VALUE""")," ")</f>
        <v> </v>
      </c>
      <c r="M736" s="61"/>
      <c r="N736" s="61" t="str">
        <f>IFERROR(__xludf.DUMMYFUNCTION("""COMPUTED_VALUE""")," ")</f>
        <v> </v>
      </c>
    </row>
    <row r="737">
      <c r="A737" s="102" t="str">
        <f>IFERROR(__xludf.DUMMYFUNCTION("""COMPUTED_VALUE"""),"https://utrucking.com/admin/orders/6452580286652")</f>
        <v>https://utrucking.com/admin/orders/6452580286652</v>
      </c>
      <c r="B737" s="65" t="str">
        <f>IFERROR(__xludf.DUMMYFUNCTION("""COMPUTED_VALUE"""),"#18146")</f>
        <v>#18146</v>
      </c>
      <c r="C737" s="65" t="str">
        <f>IFERROR(__xludf.DUMMYFUNCTION("""COMPUTED_VALUE"""),"swaggysloth98@gmail.com")</f>
        <v>swaggysloth98@gmail.com</v>
      </c>
      <c r="D737" s="65">
        <f>IFERROR(__xludf.DUMMYFUNCTION("""COMPUTED_VALUE"""),9.089777736E9)</f>
        <v>9089777736</v>
      </c>
      <c r="E737" s="65" t="str">
        <f>IFERROR(__xludf.DUMMYFUNCTION("""COMPUTED_VALUE"""),"Cristian Guaman")</f>
        <v>Cristian Guaman</v>
      </c>
      <c r="F737" s="65" t="str">
        <f>IFERROR(__xludf.DUMMYFUNCTION("""COMPUTED_VALUE"""),"Cristian")</f>
        <v>Cristian</v>
      </c>
      <c r="G737" s="65" t="str">
        <f>IFERROR(__xludf.DUMMYFUNCTION("""COMPUTED_VALUE""")," 1 [Included with Registration] / Included Insurance   - ")</f>
        <v> 1 [Included with Registration] / Included Insurance   - </v>
      </c>
      <c r="H737" s="65" t="str">
        <f>IFERROR(__xludf.DUMMYFUNCTION("""COMPUTED_VALUE"""),"Eliot B (Sophomore Dorm)")</f>
        <v>Eliot B (Sophomore Dorm)</v>
      </c>
      <c r="I737" s="65" t="str">
        <f>IFERROR(__xludf.DUMMYFUNCTION("""COMPUTED_VALUE"""),"2023")</f>
        <v>2023</v>
      </c>
      <c r="J737" s="108" t="str">
        <f>IFERROR(__xludf.DUMMYFUNCTION("""COMPUTED_VALUE"""),"11:00 AM to 01:00 PM  ")</f>
        <v>11:00 AM to 01:00 PM  </v>
      </c>
      <c r="K737" s="103">
        <f>IFERROR(__xludf.DUMMYFUNCTION("""COMPUTED_VALUE"""),46149.0)</f>
        <v>46149</v>
      </c>
      <c r="L737" s="65" t="str">
        <f>IFERROR(__xludf.DUMMYFUNCTION("""COMPUTED_VALUE""")," ")</f>
        <v> </v>
      </c>
      <c r="M737" s="65"/>
      <c r="N737" s="65" t="str">
        <f>IFERROR(__xludf.DUMMYFUNCTION("""COMPUTED_VALUE""")," ")</f>
        <v> </v>
      </c>
    </row>
    <row r="738">
      <c r="A738" s="99" t="str">
        <f>IFERROR(__xludf.DUMMYFUNCTION("""COMPUTED_VALUE"""),"https://utrucking.com/admin/orders/6452687241404")</f>
        <v>https://utrucking.com/admin/orders/6452687241404</v>
      </c>
      <c r="B738" s="61" t="str">
        <f>IFERROR(__xludf.DUMMYFUNCTION("""COMPUTED_VALUE"""),"#18150")</f>
        <v>#18150</v>
      </c>
      <c r="C738" s="61" t="str">
        <f>IFERROR(__xludf.DUMMYFUNCTION("""COMPUTED_VALUE"""),"fmoa0214@gmail.com")</f>
        <v>fmoa0214@gmail.com</v>
      </c>
      <c r="D738" s="61">
        <f>IFERROR(__xludf.DUMMYFUNCTION("""COMPUTED_VALUE"""),2.243003206E9)</f>
        <v>2243003206</v>
      </c>
      <c r="E738" s="61" t="str">
        <f>IFERROR(__xludf.DUMMYFUNCTION("""COMPUTED_VALUE"""),"Fallon Anderson")</f>
        <v>Fallon Anderson</v>
      </c>
      <c r="F738" s="61" t="str">
        <f>IFERROR(__xludf.DUMMYFUNCTION("""COMPUTED_VALUE"""),"Fallon Anderson")</f>
        <v>Fallon Anderson</v>
      </c>
      <c r="G738" s="61" t="str">
        <f>IFERROR(__xludf.DUMMYFUNCTION("""COMPUTED_VALUE""")," 1 [Included with Registration] / Included Insurance   - ")</f>
        <v> 1 [Included with Registration] / Included Insurance   - </v>
      </c>
      <c r="H738" s="61" t="str">
        <f>IFERROR(__xludf.DUMMYFUNCTION("""COMPUTED_VALUE"""),"Koenig  ")</f>
        <v>Koenig  </v>
      </c>
      <c r="I738" s="61" t="str">
        <f>IFERROR(__xludf.DUMMYFUNCTION("""COMPUTED_VALUE"""),"1119")</f>
        <v>1119</v>
      </c>
      <c r="J738" s="107" t="str">
        <f>IFERROR(__xludf.DUMMYFUNCTION("""COMPUTED_VALUE"""),"09:00 AM to 11:00 AM  ")</f>
        <v>09:00 AM to 11:00 AM  </v>
      </c>
      <c r="K738" s="100">
        <f>IFERROR(__xludf.DUMMYFUNCTION("""COMPUTED_VALUE"""),46146.0)</f>
        <v>46146</v>
      </c>
      <c r="L738" s="61" t="str">
        <f>IFERROR(__xludf.DUMMYFUNCTION("""COMPUTED_VALUE""")," ")</f>
        <v> </v>
      </c>
      <c r="M738" s="61"/>
      <c r="N738" s="61" t="str">
        <f>IFERROR(__xludf.DUMMYFUNCTION("""COMPUTED_VALUE""")," leaving on the 3rd, would like to have the boxes by the 2nd!!")</f>
        <v> leaving on the 3rd, would like to have the boxes by the 2nd!!</v>
      </c>
    </row>
    <row r="739">
      <c r="A739" s="102" t="str">
        <f>IFERROR(__xludf.DUMMYFUNCTION("""COMPUTED_VALUE"""),"https://utrucking.com/admin/orders/6452731248828")</f>
        <v>https://utrucking.com/admin/orders/6452731248828</v>
      </c>
      <c r="B739" s="65" t="str">
        <f>IFERROR(__xludf.DUMMYFUNCTION("""COMPUTED_VALUE"""),"#18154")</f>
        <v>#18154</v>
      </c>
      <c r="C739" s="65" t="str">
        <f>IFERROR(__xludf.DUMMYFUNCTION("""COMPUTED_VALUE"""),"catepferreira@gmail.com")</f>
        <v>catepferreira@gmail.com</v>
      </c>
      <c r="D739" s="65">
        <f>IFERROR(__xludf.DUMMYFUNCTION("""COMPUTED_VALUE"""),9.173700333E9)</f>
        <v>9173700333</v>
      </c>
      <c r="E739" s="65" t="str">
        <f>IFERROR(__xludf.DUMMYFUNCTION("""COMPUTED_VALUE"""),"Alison Smith")</f>
        <v>Alison Smith</v>
      </c>
      <c r="F739" s="65" t="str">
        <f>IFERROR(__xludf.DUMMYFUNCTION("""COMPUTED_VALUE"""),"Cate Ferreira")</f>
        <v>Cate Ferreira</v>
      </c>
      <c r="G739" s="65" t="str">
        <f>IFERROR(__xludf.DUMMYFUNCTION("""COMPUTED_VALUE""")," 2 / Included Insurance   - ")</f>
        <v> 2 / Included Insurance   - </v>
      </c>
      <c r="H739" s="65" t="str">
        <f>IFERROR(__xludf.DUMMYFUNCTION("""COMPUTED_VALUE"""),"Umrath  ")</f>
        <v>Umrath  </v>
      </c>
      <c r="I739" s="65" t="str">
        <f>IFERROR(__xludf.DUMMYFUNCTION("""COMPUTED_VALUE"""),"4407")</f>
        <v>4407</v>
      </c>
      <c r="J739" s="108" t="str">
        <f>IFERROR(__xludf.DUMMYFUNCTION("""COMPUTED_VALUE"""),"03:00 PM to 05:00 PM")</f>
        <v>03:00 PM to 05:00 PM</v>
      </c>
      <c r="K739" s="103">
        <f>IFERROR(__xludf.DUMMYFUNCTION("""COMPUTED_VALUE"""),46148.0)</f>
        <v>46148</v>
      </c>
      <c r="L739" s="65" t="str">
        <f>IFERROR(__xludf.DUMMYFUNCTION("""COMPUTED_VALUE""")," ")</f>
        <v> </v>
      </c>
      <c r="M739" s="65"/>
      <c r="N739" s="65" t="str">
        <f>IFERROR(__xludf.DUMMYFUNCTION("""COMPUTED_VALUE""")," ")</f>
        <v> </v>
      </c>
    </row>
    <row r="740">
      <c r="A740" s="99" t="str">
        <f>IFERROR(__xludf.DUMMYFUNCTION("""COMPUTED_VALUE"""),"https://utrucking.com/admin/orders/6452843282620")</f>
        <v>https://utrucking.com/admin/orders/6452843282620</v>
      </c>
      <c r="B740" s="61" t="str">
        <f>IFERROR(__xludf.DUMMYFUNCTION("""COMPUTED_VALUE"""),"#18157")</f>
        <v>#18157</v>
      </c>
      <c r="C740" s="61" t="str">
        <f>IFERROR(__xludf.DUMMYFUNCTION("""COMPUTED_VALUE"""),"donnad1604@gmail.com")</f>
        <v>donnad1604@gmail.com</v>
      </c>
      <c r="D740" s="61">
        <f>IFERROR(__xludf.DUMMYFUNCTION("""COMPUTED_VALUE"""),7.063126727E9)</f>
        <v>7063126727</v>
      </c>
      <c r="E740" s="61" t="str">
        <f>IFERROR(__xludf.DUMMYFUNCTION("""COMPUTED_VALUE"""),"Donna Do")</f>
        <v>Donna Do</v>
      </c>
      <c r="F740" s="61" t="str">
        <f>IFERROR(__xludf.DUMMYFUNCTION("""COMPUTED_VALUE"""),"Donna Do")</f>
        <v>Donna Do</v>
      </c>
      <c r="G740" s="61" t="str">
        <f>IFERROR(__xludf.DUMMYFUNCTION("""COMPUTED_VALUE""")," 2 / Included Insurance   - ")</f>
        <v> 2 / Included Insurance   - </v>
      </c>
      <c r="H740" s="61" t="str">
        <f>IFERROR(__xludf.DUMMYFUNCTION("""COMPUTED_VALUE"""),"Koenig  ")</f>
        <v>Koenig  </v>
      </c>
      <c r="I740" s="61" t="str">
        <f>IFERROR(__xludf.DUMMYFUNCTION("""COMPUTED_VALUE"""),"2208")</f>
        <v>2208</v>
      </c>
      <c r="J740" s="107" t="str">
        <f>IFERROR(__xludf.DUMMYFUNCTION("""COMPUTED_VALUE"""),"09:00 AM to 11:00 AM  ")</f>
        <v>09:00 AM to 11:00 AM  </v>
      </c>
      <c r="K740" s="100">
        <f>IFERROR(__xludf.DUMMYFUNCTION("""COMPUTED_VALUE"""),46149.0)</f>
        <v>46149</v>
      </c>
      <c r="L740" s="61" t="str">
        <f>IFERROR(__xludf.DUMMYFUNCTION("""COMPUTED_VALUE""")," ")</f>
        <v> </v>
      </c>
      <c r="M740" s="61"/>
      <c r="N740" s="61" t="str">
        <f>IFERROR(__xludf.DUMMYFUNCTION("""COMPUTED_VALUE""")," ")</f>
        <v> </v>
      </c>
    </row>
    <row r="741">
      <c r="A741" s="102" t="str">
        <f>IFERROR(__xludf.DUMMYFUNCTION("""COMPUTED_VALUE"""),"https://utrucking.com/admin/orders/6452946698428")</f>
        <v>https://utrucking.com/admin/orders/6452946698428</v>
      </c>
      <c r="B741" s="65" t="str">
        <f>IFERROR(__xludf.DUMMYFUNCTION("""COMPUTED_VALUE"""),"#18158")</f>
        <v>#18158</v>
      </c>
      <c r="C741" s="65" t="str">
        <f>IFERROR(__xludf.DUMMYFUNCTION("""COMPUTED_VALUE"""),"c.m.eddings@wustl.edu")</f>
        <v>c.m.eddings@wustl.edu</v>
      </c>
      <c r="D741" s="65">
        <f>IFERROR(__xludf.DUMMYFUNCTION("""COMPUTED_VALUE"""),3.016130363E9)</f>
        <v>3016130363</v>
      </c>
      <c r="E741" s="65" t="str">
        <f>IFERROR(__xludf.DUMMYFUNCTION("""COMPUTED_VALUE"""),"Cordell Eddings")</f>
        <v>Cordell Eddings</v>
      </c>
      <c r="F741" s="65" t="str">
        <f>IFERROR(__xludf.DUMMYFUNCTION("""COMPUTED_VALUE"""),"Cordell Eddings")</f>
        <v>Cordell Eddings</v>
      </c>
      <c r="G741" s="65" t="str">
        <f>IFERROR(__xludf.DUMMYFUNCTION("""COMPUTED_VALUE""")," 1 [Included with Registration] / Included Insurance   - ")</f>
        <v> 1 [Included with Registration] / Included Insurance   - </v>
      </c>
      <c r="H741" s="65" t="str">
        <f>IFERROR(__xludf.DUMMYFUNCTION("""COMPUTED_VALUE"""),"Zetcher  ")</f>
        <v>Zetcher  </v>
      </c>
      <c r="I741" s="65" t="str">
        <f>IFERROR(__xludf.DUMMYFUNCTION("""COMPUTED_VALUE"""),"3012")</f>
        <v>3012</v>
      </c>
      <c r="J741" s="108" t="str">
        <f>IFERROR(__xludf.DUMMYFUNCTION("""COMPUTED_VALUE"""),"02:00 PM to 04:00 PM")</f>
        <v>02:00 PM to 04:00 PM</v>
      </c>
      <c r="K741" s="103">
        <f>IFERROR(__xludf.DUMMYFUNCTION("""COMPUTED_VALUE"""),46149.0)</f>
        <v>46149</v>
      </c>
      <c r="L741" s="65" t="str">
        <f>IFERROR(__xludf.DUMMYFUNCTION("""COMPUTED_VALUE""")," ")</f>
        <v> </v>
      </c>
      <c r="M741" s="65"/>
      <c r="N741" s="65" t="str">
        <f>IFERROR(__xludf.DUMMYFUNCTION("""COMPUTED_VALUE""")," ")</f>
        <v> </v>
      </c>
    </row>
    <row r="742">
      <c r="A742" s="99" t="str">
        <f>IFERROR(__xludf.DUMMYFUNCTION("""COMPUTED_VALUE"""),"https://utrucking.com/admin/orders/6452994736316")</f>
        <v>https://utrucking.com/admin/orders/6452994736316</v>
      </c>
      <c r="B742" s="61" t="str">
        <f>IFERROR(__xludf.DUMMYFUNCTION("""COMPUTED_VALUE"""),"#18160")</f>
        <v>#18160</v>
      </c>
      <c r="C742" s="61" t="str">
        <f>IFERROR(__xludf.DUMMYFUNCTION("""COMPUTED_VALUE"""),"shaoruohan2007@outlook.com")</f>
        <v>shaoruohan2007@outlook.com</v>
      </c>
      <c r="D742" s="61">
        <f>IFERROR(__xludf.DUMMYFUNCTION("""COMPUTED_VALUE"""),3.143932318E9)</f>
        <v>3143932318</v>
      </c>
      <c r="E742" s="61" t="str">
        <f>IFERROR(__xludf.DUMMYFUNCTION("""COMPUTED_VALUE"""),"Ruohan Shao")</f>
        <v>Ruohan Shao</v>
      </c>
      <c r="F742" s="61" t="str">
        <f>IFERROR(__xludf.DUMMYFUNCTION("""COMPUTED_VALUE"""),"Ruohan Shao")</f>
        <v>Ruohan Shao</v>
      </c>
      <c r="G742" s="61" t="str">
        <f>IFERROR(__xludf.DUMMYFUNCTION("""COMPUTED_VALUE""")," 1 [Included with Registration] / Included Insurance   - ")</f>
        <v> 1 [Included with Registration] / Included Insurance   - </v>
      </c>
      <c r="H742" s="61" t="str">
        <f>IFERROR(__xludf.DUMMYFUNCTION("""COMPUTED_VALUE"""),"Koenig  ")</f>
        <v>Koenig  </v>
      </c>
      <c r="I742" s="61" t="str">
        <f>IFERROR(__xludf.DUMMYFUNCTION("""COMPUTED_VALUE"""),"3320")</f>
        <v>3320</v>
      </c>
      <c r="J742" s="107" t="str">
        <f>IFERROR(__xludf.DUMMYFUNCTION("""COMPUTED_VALUE"""),"10:00 AM to 12:00 PM  ")</f>
        <v>10:00 AM to 12:00 PM  </v>
      </c>
      <c r="K742" s="100">
        <f>IFERROR(__xludf.DUMMYFUNCTION("""COMPUTED_VALUE"""),46146.0)</f>
        <v>46146</v>
      </c>
      <c r="L742" s="61" t="str">
        <f>IFERROR(__xludf.DUMMYFUNCTION("""COMPUTED_VALUE""")," ")</f>
        <v> </v>
      </c>
      <c r="M742" s="61"/>
      <c r="N742" s="61" t="str">
        <f>IFERROR(__xludf.DUMMYFUNCTION("""COMPUTED_VALUE""")," ")</f>
        <v> </v>
      </c>
    </row>
    <row r="743">
      <c r="A743" s="102" t="str">
        <f>IFERROR(__xludf.DUMMYFUNCTION("""COMPUTED_VALUE"""),"https://utrucking.com/admin/orders/6453068759228")</f>
        <v>https://utrucking.com/admin/orders/6453068759228</v>
      </c>
      <c r="B743" s="65" t="str">
        <f>IFERROR(__xludf.DUMMYFUNCTION("""COMPUTED_VALUE"""),"#18165")</f>
        <v>#18165</v>
      </c>
      <c r="C743" s="65" t="str">
        <f>IFERROR(__xludf.DUMMYFUNCTION("""COMPUTED_VALUE"""),"a.c.oliver@wustl.edu")</f>
        <v>a.c.oliver@wustl.edu</v>
      </c>
      <c r="D743" s="65">
        <f>IFERROR(__xludf.DUMMYFUNCTION("""COMPUTED_VALUE"""),8.179445645E9)</f>
        <v>8179445645</v>
      </c>
      <c r="E743" s="65" t="str">
        <f>IFERROR(__xludf.DUMMYFUNCTION("""COMPUTED_VALUE"""),"Archer Oliver")</f>
        <v>Archer Oliver</v>
      </c>
      <c r="F743" s="65" t="str">
        <f>IFERROR(__xludf.DUMMYFUNCTION("""COMPUTED_VALUE"""),"Archer Campbell Oliver")</f>
        <v>Archer Campbell Oliver</v>
      </c>
      <c r="G743" s="65" t="str">
        <f>IFERROR(__xludf.DUMMYFUNCTION("""COMPUTED_VALUE""")," 1 [Included with Registration] / Included Insurance   - ")</f>
        <v> 1 [Included with Registration] / Included Insurance   - </v>
      </c>
      <c r="H743" s="65" t="str">
        <f>IFERROR(__xludf.DUMMYFUNCTION("""COMPUTED_VALUE"""),"Dardick  ")</f>
        <v>Dardick  </v>
      </c>
      <c r="I743" s="65" t="str">
        <f>IFERROR(__xludf.DUMMYFUNCTION("""COMPUTED_VALUE"""),"4417")</f>
        <v>4417</v>
      </c>
      <c r="J743" s="108" t="str">
        <f>IFERROR(__xludf.DUMMYFUNCTION("""COMPUTED_VALUE"""),"03:00 PM to 05:00 PM")</f>
        <v>03:00 PM to 05:00 PM</v>
      </c>
      <c r="K743" s="103">
        <f>IFERROR(__xludf.DUMMYFUNCTION("""COMPUTED_VALUE"""),46148.0)</f>
        <v>46148</v>
      </c>
      <c r="L743" s="65" t="str">
        <f>IFERROR(__xludf.DUMMYFUNCTION("""COMPUTED_VALUE""")," ")</f>
        <v> </v>
      </c>
      <c r="M743" s="65"/>
      <c r="N743" s="65" t="str">
        <f>IFERROR(__xludf.DUMMYFUNCTION("""COMPUTED_VALUE""")," ")</f>
        <v> </v>
      </c>
    </row>
    <row r="744">
      <c r="A744" s="99" t="str">
        <f>IFERROR(__xludf.DUMMYFUNCTION("""COMPUTED_VALUE"""),"https://utrucking.com/admin/orders/6453504966844")</f>
        <v>https://utrucking.com/admin/orders/6453504966844</v>
      </c>
      <c r="B744" s="61" t="str">
        <f>IFERROR(__xludf.DUMMYFUNCTION("""COMPUTED_VALUE"""),"#18168")</f>
        <v>#18168</v>
      </c>
      <c r="C744" s="61" t="str">
        <f>IFERROR(__xludf.DUMMYFUNCTION("""COMPUTED_VALUE"""),"mlhaider2007@icloud.com")</f>
        <v>mlhaider2007@icloud.com</v>
      </c>
      <c r="D744" s="61">
        <f>IFERROR(__xludf.DUMMYFUNCTION("""COMPUTED_VALUE"""),8.453763895E9)</f>
        <v>8453763895</v>
      </c>
      <c r="E744" s="61" t="str">
        <f>IFERROR(__xludf.DUMMYFUNCTION("""COMPUTED_VALUE"""),"Tariq Haider")</f>
        <v>Tariq Haider</v>
      </c>
      <c r="F744" s="61" t="str">
        <f>IFERROR(__xludf.DUMMYFUNCTION("""COMPUTED_VALUE"""),"Miles")</f>
        <v>Miles</v>
      </c>
      <c r="G744" s="61" t="str">
        <f>IFERROR(__xludf.DUMMYFUNCTION("""COMPUTED_VALUE""")," 1 [Included with Registration] / Included Insurance   - ")</f>
        <v> 1 [Included with Registration] / Included Insurance   - </v>
      </c>
      <c r="H744" s="61" t="str">
        <f>IFERROR(__xludf.DUMMYFUNCTION("""COMPUTED_VALUE"""),"Umrath  ")</f>
        <v>Umrath  </v>
      </c>
      <c r="I744" s="61" t="str">
        <f>IFERROR(__xludf.DUMMYFUNCTION("""COMPUTED_VALUE"""),"3341")</f>
        <v>3341</v>
      </c>
      <c r="J744" s="107" t="str">
        <f>IFERROR(__xludf.DUMMYFUNCTION("""COMPUTED_VALUE"""),"09:00 AM to 11:00 AM  ")</f>
        <v>09:00 AM to 11:00 AM  </v>
      </c>
      <c r="K744" s="100">
        <f>IFERROR(__xludf.DUMMYFUNCTION("""COMPUTED_VALUE"""),46149.0)</f>
        <v>46149</v>
      </c>
      <c r="L744" s="61" t="str">
        <f>IFERROR(__xludf.DUMMYFUNCTION("""COMPUTED_VALUE""")," ")</f>
        <v> </v>
      </c>
      <c r="M744" s="61"/>
      <c r="N744" s="61" t="str">
        <f>IFERROR(__xludf.DUMMYFUNCTION("""COMPUTED_VALUE""")," ")</f>
        <v> </v>
      </c>
    </row>
    <row r="745">
      <c r="A745" s="102" t="str">
        <f>IFERROR(__xludf.DUMMYFUNCTION("""COMPUTED_VALUE"""),"https://utrucking.com/admin/orders/6453607465148")</f>
        <v>https://utrucking.com/admin/orders/6453607465148</v>
      </c>
      <c r="B745" s="65" t="str">
        <f>IFERROR(__xludf.DUMMYFUNCTION("""COMPUTED_VALUE"""),"#18170")</f>
        <v>#18170</v>
      </c>
      <c r="C745" s="65" t="str">
        <f>IFERROR(__xludf.DUMMYFUNCTION("""COMPUTED_VALUE"""),"l.e.lewis@wustl.edu")</f>
        <v>l.e.lewis@wustl.edu</v>
      </c>
      <c r="D745" s="65">
        <f>IFERROR(__xludf.DUMMYFUNCTION("""COMPUTED_VALUE"""),6.462295856E9)</f>
        <v>6462295856</v>
      </c>
      <c r="E745" s="65" t="str">
        <f>IFERROR(__xludf.DUMMYFUNCTION("""COMPUTED_VALUE"""),"Willow Sanchez")</f>
        <v>Willow Sanchez</v>
      </c>
      <c r="F745" s="65" t="str">
        <f>IFERROR(__xludf.DUMMYFUNCTION("""COMPUTED_VALUE"""),"Lana Lewis")</f>
        <v>Lana Lewis</v>
      </c>
      <c r="G745" s="65" t="str">
        <f>IFERROR(__xludf.DUMMYFUNCTION("""COMPUTED_VALUE""")," 1 [Included with Registration] / Included Insurance   - ")</f>
        <v> 1 [Included with Registration] / Included Insurance   - </v>
      </c>
      <c r="H745" s="65" t="str">
        <f>IFERROR(__xludf.DUMMYFUNCTION("""COMPUTED_VALUE"""),"Village East  ")</f>
        <v>Village East  </v>
      </c>
      <c r="I745" s="65" t="str">
        <f>IFERROR(__xludf.DUMMYFUNCTION("""COMPUTED_VALUE"""),"2013")</f>
        <v>2013</v>
      </c>
      <c r="J745" s="108" t="str">
        <f>IFERROR(__xludf.DUMMYFUNCTION("""COMPUTED_VALUE"""),"09:00 AM to 11:00 AM  ")</f>
        <v>09:00 AM to 11:00 AM  </v>
      </c>
      <c r="K745" s="103">
        <f>IFERROR(__xludf.DUMMYFUNCTION("""COMPUTED_VALUE"""),46150.0)</f>
        <v>46150</v>
      </c>
      <c r="L745" s="65" t="str">
        <f>IFERROR(__xludf.DUMMYFUNCTION("""COMPUTED_VALUE""")," ")</f>
        <v> </v>
      </c>
      <c r="M745" s="65"/>
      <c r="N745" s="65" t="str">
        <f>IFERROR(__xludf.DUMMYFUNCTION("""COMPUTED_VALUE""")," ")</f>
        <v> </v>
      </c>
    </row>
    <row r="746">
      <c r="A746" s="99" t="str">
        <f>IFERROR(__xludf.DUMMYFUNCTION("""COMPUTED_VALUE"""),"https://utrucking.com/admin/orders/6453657698492")</f>
        <v>https://utrucking.com/admin/orders/6453657698492</v>
      </c>
      <c r="B746" s="61" t="str">
        <f>IFERROR(__xludf.DUMMYFUNCTION("""COMPUTED_VALUE"""),"#18172")</f>
        <v>#18172</v>
      </c>
      <c r="C746" s="61" t="str">
        <f>IFERROR(__xludf.DUMMYFUNCTION("""COMPUTED_VALUE"""),"vincenzo.theobald@gmail.com")</f>
        <v>vincenzo.theobald@gmail.com</v>
      </c>
      <c r="D746" s="61">
        <f>IFERROR(__xludf.DUMMYFUNCTION("""COMPUTED_VALUE"""),7.03901145E9)</f>
        <v>7039011450</v>
      </c>
      <c r="E746" s="61" t="str">
        <f>IFERROR(__xludf.DUMMYFUNCTION("""COMPUTED_VALUE"""),"Vincenzo Theobald")</f>
        <v>Vincenzo Theobald</v>
      </c>
      <c r="F746" s="61" t="str">
        <f>IFERROR(__xludf.DUMMYFUNCTION("""COMPUTED_VALUE"""),"Vincenzo Theobald")</f>
        <v>Vincenzo Theobald</v>
      </c>
      <c r="G746" s="61" t="str">
        <f>IFERROR(__xludf.DUMMYFUNCTION("""COMPUTED_VALUE""")," 1 [Included with Registration] / Included Insurance   - ")</f>
        <v> 1 [Included with Registration] / Included Insurance   - </v>
      </c>
      <c r="H746" s="61" t="str">
        <f>IFERROR(__xludf.DUMMYFUNCTION("""COMPUTED_VALUE"""),"Danforth  ")</f>
        <v>Danforth  </v>
      </c>
      <c r="I746" s="61" t="str">
        <f>IFERROR(__xludf.DUMMYFUNCTION("""COMPUTED_VALUE"""),"3314")</f>
        <v>3314</v>
      </c>
      <c r="J746" s="107" t="str">
        <f>IFERROR(__xludf.DUMMYFUNCTION("""COMPUTED_VALUE"""),"12:00 PM to 02:00 PM  ")</f>
        <v>12:00 PM to 02:00 PM  </v>
      </c>
      <c r="K746" s="100">
        <f>IFERROR(__xludf.DUMMYFUNCTION("""COMPUTED_VALUE"""),46147.0)</f>
        <v>46147</v>
      </c>
      <c r="L746" s="61" t="str">
        <f>IFERROR(__xludf.DUMMYFUNCTION("""COMPUTED_VALUE""")," ")</f>
        <v> </v>
      </c>
      <c r="M746" s="61"/>
      <c r="N746" s="61" t="str">
        <f>IFERROR(__xludf.DUMMYFUNCTION("""COMPUTED_VALUE""")," ")</f>
        <v> </v>
      </c>
    </row>
    <row r="747">
      <c r="A747" s="102" t="str">
        <f>IFERROR(__xludf.DUMMYFUNCTION("""COMPUTED_VALUE"""),"https://utrucking.com/admin/orders/6453730934972")</f>
        <v>https://utrucking.com/admin/orders/6453730934972</v>
      </c>
      <c r="B747" s="65" t="str">
        <f>IFERROR(__xludf.DUMMYFUNCTION("""COMPUTED_VALUE"""),"#18173")</f>
        <v>#18173</v>
      </c>
      <c r="C747" s="65" t="str">
        <f>IFERROR(__xludf.DUMMYFUNCTION("""COMPUTED_VALUE"""),"paulinasteinman@gmail.com")</f>
        <v>paulinasteinman@gmail.com</v>
      </c>
      <c r="D747" s="65">
        <f>IFERROR(__xludf.DUMMYFUNCTION("""COMPUTED_VALUE"""),3.475142278E9)</f>
        <v>3475142278</v>
      </c>
      <c r="E747" s="65" t="str">
        <f>IFERROR(__xludf.DUMMYFUNCTION("""COMPUTED_VALUE"""),"Robert Steinman")</f>
        <v>Robert Steinman</v>
      </c>
      <c r="F747" s="65" t="str">
        <f>IFERROR(__xludf.DUMMYFUNCTION("""COMPUTED_VALUE"""),"Paulina Steinman")</f>
        <v>Paulina Steinman</v>
      </c>
      <c r="G747" s="65" t="str">
        <f>IFERROR(__xludf.DUMMYFUNCTION("""COMPUTED_VALUE""")," 1 [Included with Registration] / Included Insurance   - ")</f>
        <v> 1 [Included with Registration] / Included Insurance   - </v>
      </c>
      <c r="H747" s="65" t="str">
        <f>IFERROR(__xludf.DUMMYFUNCTION("""COMPUTED_VALUE"""),"Nemerov  ")</f>
        <v>Nemerov  </v>
      </c>
      <c r="I747" s="65" t="str">
        <f>IFERROR(__xludf.DUMMYFUNCTION("""COMPUTED_VALUE"""),"2040")</f>
        <v>2040</v>
      </c>
      <c r="J747" s="108" t="str">
        <f>IFERROR(__xludf.DUMMYFUNCTION("""COMPUTED_VALUE"""),"09:00 AM to 11:00 AM  ")</f>
        <v>09:00 AM to 11:00 AM  </v>
      </c>
      <c r="K747" s="103">
        <f>IFERROR(__xludf.DUMMYFUNCTION("""COMPUTED_VALUE"""),46148.0)</f>
        <v>46148</v>
      </c>
      <c r="L747" s="65" t="str">
        <f>IFERROR(__xludf.DUMMYFUNCTION("""COMPUTED_VALUE""")," ")</f>
        <v> </v>
      </c>
      <c r="M747" s="65"/>
      <c r="N747" s="65" t="str">
        <f>IFERROR(__xludf.DUMMYFUNCTION("""COMPUTED_VALUE""")," I also have a table, lamp and some beanbag chairs. ")</f>
        <v> I also have a table, lamp and some beanbag chairs. </v>
      </c>
    </row>
    <row r="748">
      <c r="A748" s="99" t="str">
        <f>IFERROR(__xludf.DUMMYFUNCTION("""COMPUTED_VALUE"""),"https://utrucking.com/admin/orders/6453795979452")</f>
        <v>https://utrucking.com/admin/orders/6453795979452</v>
      </c>
      <c r="B748" s="61" t="str">
        <f>IFERROR(__xludf.DUMMYFUNCTION("""COMPUTED_VALUE"""),"#18175")</f>
        <v>#18175</v>
      </c>
      <c r="C748" s="61" t="str">
        <f>IFERROR(__xludf.DUMMYFUNCTION("""COMPUTED_VALUE"""),"skasirerteitelbaum@gmail.com")</f>
        <v>skasirerteitelbaum@gmail.com</v>
      </c>
      <c r="D748" s="61">
        <f>IFERROR(__xludf.DUMMYFUNCTION("""COMPUTED_VALUE"""),9.178484128E9)</f>
        <v>9178484128</v>
      </c>
      <c r="E748" s="61" t="str">
        <f>IFERROR(__xludf.DUMMYFUNCTION("""COMPUTED_VALUE"""),"Suri Kasirer")</f>
        <v>Suri Kasirer</v>
      </c>
      <c r="F748" s="61" t="str">
        <f>IFERROR(__xludf.DUMMYFUNCTION("""COMPUTED_VALUE"""),"Sophia Kasirer Teitelbaum")</f>
        <v>Sophia Kasirer Teitelbaum</v>
      </c>
      <c r="G748" s="61" t="str">
        <f>IFERROR(__xludf.DUMMYFUNCTION("""COMPUTED_VALUE""")," 1 [Included with Registration] / Included Insurance   - ")</f>
        <v> 1 [Included with Registration] / Included Insurance   - </v>
      </c>
      <c r="H748" s="61" t="str">
        <f>IFERROR(__xludf.DUMMYFUNCTION("""COMPUTED_VALUE"""),"Lee  ")</f>
        <v>Lee  </v>
      </c>
      <c r="I748" s="61" t="str">
        <f>IFERROR(__xludf.DUMMYFUNCTION("""COMPUTED_VALUE"""),"212")</f>
        <v>212</v>
      </c>
      <c r="J748" s="107" t="str">
        <f>IFERROR(__xludf.DUMMYFUNCTION("""COMPUTED_VALUE"""),"09:00 AM to 11:00 AM  ")</f>
        <v>09:00 AM to 11:00 AM  </v>
      </c>
      <c r="K748" s="100">
        <f>IFERROR(__xludf.DUMMYFUNCTION("""COMPUTED_VALUE"""),46148.0)</f>
        <v>46148</v>
      </c>
      <c r="L748" s="61" t="str">
        <f>IFERROR(__xludf.DUMMYFUNCTION("""COMPUTED_VALUE""")," ")</f>
        <v> </v>
      </c>
      <c r="M748" s="61"/>
      <c r="N748" s="61" t="str">
        <f>IFERROR(__xludf.DUMMYFUNCTION("""COMPUTED_VALUE""")," I also have additional items that won’t fit in the boxes, so I’ll label/tag them separately to be included in storage. They will also be in the room. ")</f>
        <v> I also have additional items that won’t fit in the boxes, so I’ll label/tag them separately to be included in storage. They will also be in the room. </v>
      </c>
    </row>
    <row r="749">
      <c r="A749" s="102" t="str">
        <f>IFERROR(__xludf.DUMMYFUNCTION("""COMPUTED_VALUE"""),"https://utrucking.com/admin/orders/6453824848060")</f>
        <v>https://utrucking.com/admin/orders/6453824848060</v>
      </c>
      <c r="B749" s="65" t="str">
        <f>IFERROR(__xludf.DUMMYFUNCTION("""COMPUTED_VALUE"""),"#18176")</f>
        <v>#18176</v>
      </c>
      <c r="C749" s="65" t="str">
        <f>IFERROR(__xludf.DUMMYFUNCTION("""COMPUTED_VALUE"""),"mia@touchetlaw.com")</f>
        <v>mia@touchetlaw.com</v>
      </c>
      <c r="D749" s="65">
        <f>IFERROR(__xludf.DUMMYFUNCTION("""COMPUTED_VALUE"""),5.054635464E9)</f>
        <v>5054635464</v>
      </c>
      <c r="E749" s="65" t="str">
        <f>IFERROR(__xludf.DUMMYFUNCTION("""COMPUTED_VALUE"""),"Maria Touchet")</f>
        <v>Maria Touchet</v>
      </c>
      <c r="F749" s="65" t="str">
        <f>IFERROR(__xludf.DUMMYFUNCTION("""COMPUTED_VALUE"""),"Sam Shiller")</f>
        <v>Sam Shiller</v>
      </c>
      <c r="G749" s="65" t="str">
        <f>IFERROR(__xludf.DUMMYFUNCTION("""COMPUTED_VALUE""")," 1 [Included with Registration] / Included Insurance   - ")</f>
        <v> 1 [Included with Registration] / Included Insurance   - </v>
      </c>
      <c r="H749" s="65" t="str">
        <f>IFERROR(__xludf.DUMMYFUNCTION("""COMPUTED_VALUE"""),"Eliot B (Sophomore Dorm)")</f>
        <v>Eliot B (Sophomore Dorm)</v>
      </c>
      <c r="I749" s="65" t="str">
        <f>IFERROR(__xludf.DUMMYFUNCTION("""COMPUTED_VALUE"""),"3090")</f>
        <v>3090</v>
      </c>
      <c r="J749" s="108" t="str">
        <f>IFERROR(__xludf.DUMMYFUNCTION("""COMPUTED_VALUE"""),"03:00 PM to 05:00 PM")</f>
        <v>03:00 PM to 05:00 PM</v>
      </c>
      <c r="K749" s="103">
        <f>IFERROR(__xludf.DUMMYFUNCTION("""COMPUTED_VALUE"""),46149.0)</f>
        <v>46149</v>
      </c>
      <c r="L749" s="65" t="str">
        <f>IFERROR(__xludf.DUMMYFUNCTION("""COMPUTED_VALUE""")," ")</f>
        <v> </v>
      </c>
      <c r="M749" s="65"/>
      <c r="N749" s="65" t="str">
        <f>IFERROR(__xludf.DUMMYFUNCTION("""COMPUTED_VALUE""")," ")</f>
        <v> </v>
      </c>
    </row>
    <row r="750">
      <c r="A750" s="99" t="str">
        <f>IFERROR(__xludf.DUMMYFUNCTION("""COMPUTED_VALUE"""),"https://utrucking.com/admin/orders/6453907751100")</f>
        <v>https://utrucking.com/admin/orders/6453907751100</v>
      </c>
      <c r="B750" s="61" t="str">
        <f>IFERROR(__xludf.DUMMYFUNCTION("""COMPUTED_VALUE"""),"#18177")</f>
        <v>#18177</v>
      </c>
      <c r="C750" s="61" t="str">
        <f>IFERROR(__xludf.DUMMYFUNCTION("""COMPUTED_VALUE"""),"jean061206@gmail.com")</f>
        <v>jean061206@gmail.com</v>
      </c>
      <c r="D750" s="61">
        <f>IFERROR(__xludf.DUMMYFUNCTION("""COMPUTED_VALUE"""),5.572289461E9)</f>
        <v>5572289461</v>
      </c>
      <c r="E750" s="61" t="str">
        <f>IFERROR(__xludf.DUMMYFUNCTION("""COMPUTED_VALUE"""),"Jean Kim")</f>
        <v>Jean Kim</v>
      </c>
      <c r="F750" s="61" t="str">
        <f>IFERROR(__xludf.DUMMYFUNCTION("""COMPUTED_VALUE"""),"Jean Kim")</f>
        <v>Jean Kim</v>
      </c>
      <c r="G750" s="61" t="str">
        <f>IFERROR(__xludf.DUMMYFUNCTION("""COMPUTED_VALUE""")," 2 / Included Insurance   - ")</f>
        <v> 2 / Included Insurance   - </v>
      </c>
      <c r="H750" s="61" t="str">
        <f>IFERROR(__xludf.DUMMYFUNCTION("""COMPUTED_VALUE"""),"Park  ")</f>
        <v>Park  </v>
      </c>
      <c r="I750" s="61" t="str">
        <f>IFERROR(__xludf.DUMMYFUNCTION("""COMPUTED_VALUE"""),"131")</f>
        <v>131</v>
      </c>
      <c r="J750" s="107" t="str">
        <f>IFERROR(__xludf.DUMMYFUNCTION("""COMPUTED_VALUE"""),"09:00 AM to 11:00 AM  ")</f>
        <v>09:00 AM to 11:00 AM  </v>
      </c>
      <c r="K750" s="100">
        <f>IFERROR(__xludf.DUMMYFUNCTION("""COMPUTED_VALUE"""),46149.0)</f>
        <v>46149</v>
      </c>
      <c r="L750" s="61" t="str">
        <f>IFERROR(__xludf.DUMMYFUNCTION("""COMPUTED_VALUE""")," ")</f>
        <v> </v>
      </c>
      <c r="M750" s="61"/>
      <c r="N750" s="61" t="str">
        <f>IFERROR(__xludf.DUMMYFUNCTION("""COMPUTED_VALUE""")," ")</f>
        <v> </v>
      </c>
    </row>
    <row r="751">
      <c r="A751" s="102" t="str">
        <f>IFERROR(__xludf.DUMMYFUNCTION("""COMPUTED_VALUE"""),"https://utrucking.com/admin/orders/6453997961404")</f>
        <v>https://utrucking.com/admin/orders/6453997961404</v>
      </c>
      <c r="B751" s="65" t="str">
        <f>IFERROR(__xludf.DUMMYFUNCTION("""COMPUTED_VALUE"""),"#18178")</f>
        <v>#18178</v>
      </c>
      <c r="C751" s="65" t="str">
        <f>IFERROR(__xludf.DUMMYFUNCTION("""COMPUTED_VALUE"""),"a.goodwin-maturino@wustl.edu")</f>
        <v>a.goodwin-maturino@wustl.edu</v>
      </c>
      <c r="D751" s="65">
        <f>IFERROR(__xludf.DUMMYFUNCTION("""COMPUTED_VALUE"""),4.042683403E9)</f>
        <v>4042683403</v>
      </c>
      <c r="E751" s="65" t="str">
        <f>IFERROR(__xludf.DUMMYFUNCTION("""COMPUTED_VALUE"""),"Alston Goodwin")</f>
        <v>Alston Goodwin</v>
      </c>
      <c r="F751" s="65" t="str">
        <f>IFERROR(__xludf.DUMMYFUNCTION("""COMPUTED_VALUE"""),"Alston")</f>
        <v>Alston</v>
      </c>
      <c r="G751" s="65" t="str">
        <f>IFERROR(__xludf.DUMMYFUNCTION("""COMPUTED_VALUE""")," 1 [Included with Registration] / Included Insurance   - ")</f>
        <v> 1 [Included with Registration] / Included Insurance   - </v>
      </c>
      <c r="H751" s="65" t="str">
        <f>IFERROR(__xludf.DUMMYFUNCTION("""COMPUTED_VALUE"""),"Lopata  ")</f>
        <v>Lopata  </v>
      </c>
      <c r="I751" s="65" t="str">
        <f>IFERROR(__xludf.DUMMYFUNCTION("""COMPUTED_VALUE"""),"3082")</f>
        <v>3082</v>
      </c>
      <c r="J751" s="108" t="str">
        <f>IFERROR(__xludf.DUMMYFUNCTION("""COMPUTED_VALUE"""),"01:00 PM to 03:00 PM  ")</f>
        <v>01:00 PM to 03:00 PM  </v>
      </c>
      <c r="K751" s="103">
        <f>IFERROR(__xludf.DUMMYFUNCTION("""COMPUTED_VALUE"""),46156.0)</f>
        <v>46156</v>
      </c>
      <c r="L751" s="65" t="str">
        <f>IFERROR(__xludf.DUMMYFUNCTION("""COMPUTED_VALUE""")," ")</f>
        <v> </v>
      </c>
      <c r="M751" s="65"/>
      <c r="N751" s="65" t="str">
        <f>IFERROR(__xludf.DUMMYFUNCTION("""COMPUTED_VALUE""")," ")</f>
        <v> </v>
      </c>
    </row>
    <row r="752">
      <c r="A752" s="99" t="str">
        <f>IFERROR(__xludf.DUMMYFUNCTION("""COMPUTED_VALUE"""),"https://utrucking.com/admin/orders/6454049046716")</f>
        <v>https://utrucking.com/admin/orders/6454049046716</v>
      </c>
      <c r="B752" s="61" t="str">
        <f>IFERROR(__xludf.DUMMYFUNCTION("""COMPUTED_VALUE"""),"#18180")</f>
        <v>#18180</v>
      </c>
      <c r="C752" s="61" t="str">
        <f>IFERROR(__xludf.DUMMYFUNCTION("""COMPUTED_VALUE"""),"utrucking.aversion405@passinbox.com")</f>
        <v>utrucking.aversion405@passinbox.com</v>
      </c>
      <c r="D752" s="61">
        <f>IFERROR(__xludf.DUMMYFUNCTION("""COMPUTED_VALUE"""),2.022775295E9)</f>
        <v>2022775295</v>
      </c>
      <c r="E752" s="61" t="str">
        <f>IFERROR(__xludf.DUMMYFUNCTION("""COMPUTED_VALUE"""),"Monica Zubler")</f>
        <v>Monica Zubler</v>
      </c>
      <c r="F752" s="61" t="str">
        <f>IFERROR(__xludf.DUMMYFUNCTION("""COMPUTED_VALUE"""),"Gregory Zubler")</f>
        <v>Gregory Zubler</v>
      </c>
      <c r="G752" s="61" t="str">
        <f>IFERROR(__xludf.DUMMYFUNCTION("""COMPUTED_VALUE""")," 2 / $500 of Additional Coverage   - ")</f>
        <v> 2 / $500 of Additional Coverage   - </v>
      </c>
      <c r="H752" s="61" t="str">
        <f>IFERROR(__xludf.DUMMYFUNCTION("""COMPUTED_VALUE"""),"House 3 (Alpha Delta Phi)")</f>
        <v>House 3 (Alpha Delta Phi)</v>
      </c>
      <c r="I752" s="61" t="str">
        <f>IFERROR(__xludf.DUMMYFUNCTION("""COMPUTED_VALUE"""),"205")</f>
        <v>205</v>
      </c>
      <c r="J752" s="107" t="str">
        <f>IFERROR(__xludf.DUMMYFUNCTION("""COMPUTED_VALUE"""),"09:00 AM to 11:00 AM  ")</f>
        <v>09:00 AM to 11:00 AM  </v>
      </c>
      <c r="K752" s="100">
        <f>IFERROR(__xludf.DUMMYFUNCTION("""COMPUTED_VALUE"""),46149.0)</f>
        <v>46149</v>
      </c>
      <c r="L752" s="61" t="str">
        <f>IFERROR(__xludf.DUMMYFUNCTION("""COMPUTED_VALUE""")," ")</f>
        <v> </v>
      </c>
      <c r="M752" s="61"/>
      <c r="N752" s="61" t="str">
        <f>IFERROR(__xludf.DUMMYFUNCTION("""COMPUTED_VALUE""")," ")</f>
        <v> </v>
      </c>
    </row>
    <row r="753">
      <c r="A753" s="102" t="str">
        <f>IFERROR(__xludf.DUMMYFUNCTION("""COMPUTED_VALUE"""),"https://utrucking.com/admin/orders/6454168813756")</f>
        <v>https://utrucking.com/admin/orders/6454168813756</v>
      </c>
      <c r="B753" s="65" t="str">
        <f>IFERROR(__xludf.DUMMYFUNCTION("""COMPUTED_VALUE"""),"#18183")</f>
        <v>#18183</v>
      </c>
      <c r="C753" s="65" t="str">
        <f>IFERROR(__xludf.DUMMYFUNCTION("""COMPUTED_VALUE"""),"xyuxuan@wustl.edu")</f>
        <v>xyuxuan@wustl.edu</v>
      </c>
      <c r="D753" s="65">
        <f>IFERROR(__xludf.DUMMYFUNCTION("""COMPUTED_VALUE"""),3.1429609E9)</f>
        <v>3142960900</v>
      </c>
      <c r="E753" s="65" t="str">
        <f>IFERROR(__xludf.DUMMYFUNCTION("""COMPUTED_VALUE"""),"Min Zhang")</f>
        <v>Min Zhang</v>
      </c>
      <c r="F753" s="65" t="str">
        <f>IFERROR(__xludf.DUMMYFUNCTION("""COMPUTED_VALUE"""),"Yuxuan Xu")</f>
        <v>Yuxuan Xu</v>
      </c>
      <c r="G753" s="65" t="str">
        <f>IFERROR(__xludf.DUMMYFUNCTION("""COMPUTED_VALUE""")," 0 / Included Insurance   - ")</f>
        <v> 0 / Included Insurance   - </v>
      </c>
      <c r="H753" s="65" t="str">
        <f>IFERROR(__xludf.DUMMYFUNCTION("""COMPUTED_VALUE"""),"Rutledge  ")</f>
        <v>Rutledge  </v>
      </c>
      <c r="I753" s="65" t="str">
        <f>IFERROR(__xludf.DUMMYFUNCTION("""COMPUTED_VALUE"""),"211")</f>
        <v>211</v>
      </c>
      <c r="J753" s="108" t="str">
        <f>IFERROR(__xludf.DUMMYFUNCTION("""COMPUTED_VALUE"""),"03:00 PM to 05:00 PM")</f>
        <v>03:00 PM to 05:00 PM</v>
      </c>
      <c r="K753" s="103">
        <f>IFERROR(__xludf.DUMMYFUNCTION("""COMPUTED_VALUE"""),46148.0)</f>
        <v>46148</v>
      </c>
      <c r="L753" s="65" t="str">
        <f>IFERROR(__xludf.DUMMYFUNCTION("""COMPUTED_VALUE""")," ")</f>
        <v> </v>
      </c>
      <c r="M753" s="65"/>
      <c r="N753" s="65" t="str">
        <f>IFERROR(__xludf.DUMMYFUNCTION("""COMPUTED_VALUE""")," ")</f>
        <v> </v>
      </c>
    </row>
    <row r="754">
      <c r="A754" s="99" t="str">
        <f>IFERROR(__xludf.DUMMYFUNCTION("""COMPUTED_VALUE"""),"https://utrucking.com/admin/orders/6454172745916")</f>
        <v>https://utrucking.com/admin/orders/6454172745916</v>
      </c>
      <c r="B754" s="61" t="str">
        <f>IFERROR(__xludf.DUMMYFUNCTION("""COMPUTED_VALUE"""),"#18184")</f>
        <v>#18184</v>
      </c>
      <c r="C754" s="61" t="str">
        <f>IFERROR(__xludf.DUMMYFUNCTION("""COMPUTED_VALUE"""),"pearlescentsakura@gmail.com")</f>
        <v>pearlescentsakura@gmail.com</v>
      </c>
      <c r="D754" s="61">
        <f>IFERROR(__xludf.DUMMYFUNCTION("""COMPUTED_VALUE"""),6.506707408E9)</f>
        <v>6506707408</v>
      </c>
      <c r="E754" s="61" t="str">
        <f>IFERROR(__xludf.DUMMYFUNCTION("""COMPUTED_VALUE"""),"Jin Zuo")</f>
        <v>Jin Zuo</v>
      </c>
      <c r="F754" s="61" t="str">
        <f>IFERROR(__xludf.DUMMYFUNCTION("""COMPUTED_VALUE"""),"Cindy Wu")</f>
        <v>Cindy Wu</v>
      </c>
      <c r="G754" s="61" t="str">
        <f>IFERROR(__xludf.DUMMYFUNCTION("""COMPUTED_VALUE""")," 1 [Included with Registration] / $1000 of Additional Coverage   - ")</f>
        <v> 1 [Included with Registration] / $1000 of Additional Coverage   - </v>
      </c>
      <c r="H754" s="61" t="str">
        <f>IFERROR(__xludf.DUMMYFUNCTION("""COMPUTED_VALUE"""),"Shanedling  ")</f>
        <v>Shanedling  </v>
      </c>
      <c r="I754" s="61" t="str">
        <f>IFERROR(__xludf.DUMMYFUNCTION("""COMPUTED_VALUE"""),"223")</f>
        <v>223</v>
      </c>
      <c r="J754" s="107" t="str">
        <f>IFERROR(__xludf.DUMMYFUNCTION("""COMPUTED_VALUE"""),"03:00 PM to 05:00 PM")</f>
        <v>03:00 PM to 05:00 PM</v>
      </c>
      <c r="K754" s="100">
        <f>IFERROR(__xludf.DUMMYFUNCTION("""COMPUTED_VALUE"""),46148.0)</f>
        <v>46148</v>
      </c>
      <c r="L754" s="61" t="str">
        <f>IFERROR(__xludf.DUMMYFUNCTION("""COMPUTED_VALUE""")," ")</f>
        <v> </v>
      </c>
      <c r="M754" s="61"/>
      <c r="N754" s="61" t="str">
        <f>IFERROR(__xludf.DUMMYFUNCTION("""COMPUTED_VALUE""")," ")</f>
        <v> </v>
      </c>
    </row>
    <row r="755">
      <c r="A755" s="102" t="str">
        <f>IFERROR(__xludf.DUMMYFUNCTION("""COMPUTED_VALUE"""),"https://utrucking.com/admin/orders/6454212853948")</f>
        <v>https://utrucking.com/admin/orders/6454212853948</v>
      </c>
      <c r="B755" s="65" t="str">
        <f>IFERROR(__xludf.DUMMYFUNCTION("""COMPUTED_VALUE"""),"#18185")</f>
        <v>#18185</v>
      </c>
      <c r="C755" s="65" t="str">
        <f>IFERROR(__xludf.DUMMYFUNCTION("""COMPUTED_VALUE"""),"gustavo.m@wustl.edu")</f>
        <v>gustavo.m@wustl.edu</v>
      </c>
      <c r="D755" s="65">
        <f>IFERROR(__xludf.DUMMYFUNCTION("""COMPUTED_VALUE"""),5.512408068E9)</f>
        <v>5512408068</v>
      </c>
      <c r="E755" s="65" t="str">
        <f>IFERROR(__xludf.DUMMYFUNCTION("""COMPUTED_VALUE"""),"Gustavo Martinez")</f>
        <v>Gustavo Martinez</v>
      </c>
      <c r="F755" s="65" t="str">
        <f>IFERROR(__xludf.DUMMYFUNCTION("""COMPUTED_VALUE"""),"Gustavo Martinez")</f>
        <v>Gustavo Martinez</v>
      </c>
      <c r="G755" s="65" t="str">
        <f>IFERROR(__xludf.DUMMYFUNCTION("""COMPUTED_VALUE""")," 1 [Included with Registration] / Included Insurance   - ")</f>
        <v> 1 [Included with Registration] / Included Insurance   - </v>
      </c>
      <c r="H755" s="65" t="str">
        <f>IFERROR(__xludf.DUMMYFUNCTION("""COMPUTED_VALUE"""),"Millbrook Bldg. 2  ")</f>
        <v>Millbrook Bldg. 2  </v>
      </c>
      <c r="I755" s="65" t="str">
        <f>IFERROR(__xludf.DUMMYFUNCTION("""COMPUTED_VALUE"""),"106C")</f>
        <v>106C</v>
      </c>
      <c r="J755" s="108" t="str">
        <f>IFERROR(__xludf.DUMMYFUNCTION("""COMPUTED_VALUE"""),"09:00 AM to 11:00 AM  ")</f>
        <v>09:00 AM to 11:00 AM  </v>
      </c>
      <c r="K755" s="103">
        <f>IFERROR(__xludf.DUMMYFUNCTION("""COMPUTED_VALUE"""),46148.0)</f>
        <v>46148</v>
      </c>
      <c r="L755" s="65" t="str">
        <f>IFERROR(__xludf.DUMMYFUNCTION("""COMPUTED_VALUE""")," ")</f>
        <v> </v>
      </c>
      <c r="M755" s="65"/>
      <c r="N755" s="65" t="str">
        <f>IFERROR(__xludf.DUMMYFUNCTION("""COMPUTED_VALUE""")," ")</f>
        <v> </v>
      </c>
    </row>
    <row r="756">
      <c r="A756" s="99" t="str">
        <f>IFERROR(__xludf.DUMMYFUNCTION("""COMPUTED_VALUE"""),"https://utrucking.com/admin/orders/6454305980604")</f>
        <v>https://utrucking.com/admin/orders/6454305980604</v>
      </c>
      <c r="B756" s="61" t="str">
        <f>IFERROR(__xludf.DUMMYFUNCTION("""COMPUTED_VALUE"""),"#18186")</f>
        <v>#18186</v>
      </c>
      <c r="C756" s="61" t="str">
        <f>IFERROR(__xludf.DUMMYFUNCTION("""COMPUTED_VALUE"""),"MoisesAbautista@gmail.com")</f>
        <v>MoisesAbautista@gmail.com</v>
      </c>
      <c r="D756" s="61">
        <f>IFERROR(__xludf.DUMMYFUNCTION("""COMPUTED_VALUE"""),4.806627888E9)</f>
        <v>4806627888</v>
      </c>
      <c r="E756" s="61" t="str">
        <f>IFERROR(__xludf.DUMMYFUNCTION("""COMPUTED_VALUE"""),"Moises Bautista")</f>
        <v>Moises Bautista</v>
      </c>
      <c r="F756" s="61" t="str">
        <f>IFERROR(__xludf.DUMMYFUNCTION("""COMPUTED_VALUE"""),"Moises Bautista Alvarado")</f>
        <v>Moises Bautista Alvarado</v>
      </c>
      <c r="G756" s="61" t="str">
        <f>IFERROR(__xludf.DUMMYFUNCTION("""COMPUTED_VALUE""")," 1 [Included with Registration] / Included Insurance   - ")</f>
        <v> 1 [Included with Registration] / Included Insurance   - </v>
      </c>
      <c r="H756" s="61" t="str">
        <f>IFERROR(__xludf.DUMMYFUNCTION("""COMPUTED_VALUE"""),"Lee  ")</f>
        <v>Lee  </v>
      </c>
      <c r="I756" s="61" t="str">
        <f>IFERROR(__xludf.DUMMYFUNCTION("""COMPUTED_VALUE"""),"203")</f>
        <v>203</v>
      </c>
      <c r="J756" s="107" t="str">
        <f>IFERROR(__xludf.DUMMYFUNCTION("""COMPUTED_VALUE"""),"03:00 PM to 05:00 PM")</f>
        <v>03:00 PM to 05:00 PM</v>
      </c>
      <c r="K756" s="100">
        <f>IFERROR(__xludf.DUMMYFUNCTION("""COMPUTED_VALUE"""),46147.0)</f>
        <v>46147</v>
      </c>
      <c r="L756" s="61" t="str">
        <f>IFERROR(__xludf.DUMMYFUNCTION("""COMPUTED_VALUE""")," ")</f>
        <v> </v>
      </c>
      <c r="M756" s="61"/>
      <c r="N756" s="61" t="str">
        <f>IFERROR(__xludf.DUMMYFUNCTION("""COMPUTED_VALUE""")," ")</f>
        <v> </v>
      </c>
    </row>
    <row r="757">
      <c r="A757" s="102" t="str">
        <f>IFERROR(__xludf.DUMMYFUNCTION("""COMPUTED_VALUE"""),"https://utrucking.com/admin/orders/6454463955132")</f>
        <v>https://utrucking.com/admin/orders/6454463955132</v>
      </c>
      <c r="B757" s="65" t="str">
        <f>IFERROR(__xludf.DUMMYFUNCTION("""COMPUTED_VALUE"""),"#18192")</f>
        <v>#18192</v>
      </c>
      <c r="C757" s="65" t="str">
        <f>IFERROR(__xludf.DUMMYFUNCTION("""COMPUTED_VALUE"""),"sara.a@wustl.edu")</f>
        <v>sara.a@wustl.edu</v>
      </c>
      <c r="D757" s="65">
        <f>IFERROR(__xludf.DUMMYFUNCTION("""COMPUTED_VALUE"""),3.146003038E9)</f>
        <v>3146003038</v>
      </c>
      <c r="E757" s="65" t="str">
        <f>IFERROR(__xludf.DUMMYFUNCTION("""COMPUTED_VALUE"""),"Sara Alfarhan")</f>
        <v>Sara Alfarhan</v>
      </c>
      <c r="F757" s="65" t="str">
        <f>IFERROR(__xludf.DUMMYFUNCTION("""COMPUTED_VALUE"""),"Sara Alfarhan")</f>
        <v>Sara Alfarhan</v>
      </c>
      <c r="G757" s="65" t="str">
        <f>IFERROR(__xludf.DUMMYFUNCTION("""COMPUTED_VALUE""")," 1 [Included with Registration] / Included Insurance   - ")</f>
        <v> 1 [Included with Registration] / Included Insurance   - </v>
      </c>
      <c r="H757" s="65" t="str">
        <f>IFERROR(__xludf.DUMMYFUNCTION("""COMPUTED_VALUE"""),"Lien  ")</f>
        <v>Lien  </v>
      </c>
      <c r="I757" s="65" t="str">
        <f>IFERROR(__xludf.DUMMYFUNCTION("""COMPUTED_VALUE"""),"2215")</f>
        <v>2215</v>
      </c>
      <c r="J757" s="108" t="str">
        <f>IFERROR(__xludf.DUMMYFUNCTION("""COMPUTED_VALUE"""),"09:00 AM to 11:00 AM  ")</f>
        <v>09:00 AM to 11:00 AM  </v>
      </c>
      <c r="K757" s="103">
        <f>IFERROR(__xludf.DUMMYFUNCTION("""COMPUTED_VALUE"""),46148.0)</f>
        <v>46148</v>
      </c>
      <c r="L757" s="65" t="str">
        <f>IFERROR(__xludf.DUMMYFUNCTION("""COMPUTED_VALUE""")," ")</f>
        <v> </v>
      </c>
      <c r="M757" s="65"/>
      <c r="N757" s="65" t="str">
        <f>IFERROR(__xludf.DUMMYFUNCTION("""COMPUTED_VALUE""")," do fridges fit in the boxes ?")</f>
        <v> do fridges fit in the boxes ?</v>
      </c>
    </row>
    <row r="758">
      <c r="A758" s="99" t="str">
        <f>IFERROR(__xludf.DUMMYFUNCTION("""COMPUTED_VALUE"""),"https://utrucking.com/admin/orders/6454497968316")</f>
        <v>https://utrucking.com/admin/orders/6454497968316</v>
      </c>
      <c r="B758" s="61" t="str">
        <f>IFERROR(__xludf.DUMMYFUNCTION("""COMPUTED_VALUE"""),"#18193")</f>
        <v>#18193</v>
      </c>
      <c r="C758" s="61" t="str">
        <f>IFERROR(__xludf.DUMMYFUNCTION("""COMPUTED_VALUE"""),"evelyn.bekker@gmail.com")</f>
        <v>evelyn.bekker@gmail.com</v>
      </c>
      <c r="D758" s="61">
        <f>IFERROR(__xludf.DUMMYFUNCTION("""COMPUTED_VALUE"""),9.495623722E9)</f>
        <v>9495623722</v>
      </c>
      <c r="E758" s="61" t="str">
        <f>IFERROR(__xludf.DUMMYFUNCTION("""COMPUTED_VALUE"""),"Evelyn Bekker")</f>
        <v>Evelyn Bekker</v>
      </c>
      <c r="F758" s="61" t="str">
        <f>IFERROR(__xludf.DUMMYFUNCTION("""COMPUTED_VALUE"""),"Evelyn Bekker")</f>
        <v>Evelyn Bekker</v>
      </c>
      <c r="G758" s="61" t="str">
        <f>IFERROR(__xludf.DUMMYFUNCTION("""COMPUTED_VALUE""")," 1 [Included with Registration] / Included Insurance   - ")</f>
        <v> 1 [Included with Registration] / Included Insurance   - </v>
      </c>
      <c r="H758" s="61" t="str">
        <f>IFERROR(__xludf.DUMMYFUNCTION("""COMPUTED_VALUE"""),"Rutledge  ")</f>
        <v>Rutledge  </v>
      </c>
      <c r="I758" s="61" t="str">
        <f>IFERROR(__xludf.DUMMYFUNCTION("""COMPUTED_VALUE"""),"322")</f>
        <v>322</v>
      </c>
      <c r="J758" s="107" t="str">
        <f>IFERROR(__xludf.DUMMYFUNCTION("""COMPUTED_VALUE"""),"09:00 AM to 11:00 AM  ")</f>
        <v>09:00 AM to 11:00 AM  </v>
      </c>
      <c r="K758" s="100">
        <f>IFERROR(__xludf.DUMMYFUNCTION("""COMPUTED_VALUE"""),46149.0)</f>
        <v>46149</v>
      </c>
      <c r="L758" s="61" t="str">
        <f>IFERROR(__xludf.DUMMYFUNCTION("""COMPUTED_VALUE""")," ")</f>
        <v> </v>
      </c>
      <c r="M758" s="61"/>
      <c r="N758" s="61" t="str">
        <f>IFERROR(__xludf.DUMMYFUNCTION("""COMPUTED_VALUE""")," ")</f>
        <v> </v>
      </c>
    </row>
    <row r="759">
      <c r="A759" s="102" t="str">
        <f>IFERROR(__xludf.DUMMYFUNCTION("""COMPUTED_VALUE"""),"https://utrucking.com/admin/orders/6454741696700")</f>
        <v>https://utrucking.com/admin/orders/6454741696700</v>
      </c>
      <c r="B759" s="65" t="str">
        <f>IFERROR(__xludf.DUMMYFUNCTION("""COMPUTED_VALUE"""),"#18195")</f>
        <v>#18195</v>
      </c>
      <c r="C759" s="65" t="str">
        <f>IFERROR(__xludf.DUMMYFUNCTION("""COMPUTED_VALUE"""),"amyhwang33@gmail.com")</f>
        <v>amyhwang33@gmail.com</v>
      </c>
      <c r="D759" s="65">
        <f>IFERROR(__xludf.DUMMYFUNCTION("""COMPUTED_VALUE"""),9.498120605E9)</f>
        <v>9498120605</v>
      </c>
      <c r="E759" s="65" t="str">
        <f>IFERROR(__xludf.DUMMYFUNCTION("""COMPUTED_VALUE"""),"Amy Hwang")</f>
        <v>Amy Hwang</v>
      </c>
      <c r="F759" s="65" t="str">
        <f>IFERROR(__xludf.DUMMYFUNCTION("""COMPUTED_VALUE"""),"Amy Hwang")</f>
        <v>Amy Hwang</v>
      </c>
      <c r="G759" s="65" t="str">
        <f>IFERROR(__xludf.DUMMYFUNCTION("""COMPUTED_VALUE""")," 1 [Included with Registration] / Included Insurance   - ")</f>
        <v> 1 [Included with Registration] / Included Insurance   - </v>
      </c>
      <c r="H759" s="65"/>
      <c r="I759" s="65"/>
      <c r="J759" s="108" t="str">
        <f>IFERROR(__xludf.DUMMYFUNCTION("""COMPUTED_VALUE"""),"09:00 AM to 11:00 AM  ")</f>
        <v>09:00 AM to 11:00 AM  </v>
      </c>
      <c r="K759" s="103">
        <f>IFERROR(__xludf.DUMMYFUNCTION("""COMPUTED_VALUE"""),46151.0)</f>
        <v>46151</v>
      </c>
      <c r="L759" s="65" t="str">
        <f>IFERROR(__xludf.DUMMYFUNCTION("""COMPUTED_VALUE""")," ")</f>
        <v> </v>
      </c>
      <c r="M759" s="65" t="str">
        <f>IFERROR(__xludf.DUMMYFUNCTION("""COMPUTED_VALUE"""),"6031-2 Westminster")</f>
        <v>6031-2 Westminster</v>
      </c>
      <c r="N759" s="65" t="str">
        <f>IFERROR(__xludf.DUMMYFUNCTION("""COMPUTED_VALUE""")," ")</f>
        <v> </v>
      </c>
    </row>
    <row r="760">
      <c r="A760" s="99" t="str">
        <f>IFERROR(__xludf.DUMMYFUNCTION("""COMPUTED_VALUE"""),"https://utrucking.com/admin/orders/6454795108540")</f>
        <v>https://utrucking.com/admin/orders/6454795108540</v>
      </c>
      <c r="B760" s="61" t="str">
        <f>IFERROR(__xludf.DUMMYFUNCTION("""COMPUTED_VALUE"""),"#18196")</f>
        <v>#18196</v>
      </c>
      <c r="C760" s="61" t="str">
        <f>IFERROR(__xludf.DUMMYFUNCTION("""COMPUTED_VALUE"""),"emmaxli.2005@gmail.com")</f>
        <v>emmaxli.2005@gmail.com</v>
      </c>
      <c r="D760" s="61">
        <f>IFERROR(__xludf.DUMMYFUNCTION("""COMPUTED_VALUE"""),2.156881756E9)</f>
        <v>2156881756</v>
      </c>
      <c r="E760" s="61" t="str">
        <f>IFERROR(__xludf.DUMMYFUNCTION("""COMPUTED_VALUE"""),"Emma Li")</f>
        <v>Emma Li</v>
      </c>
      <c r="F760" s="61" t="str">
        <f>IFERROR(__xludf.DUMMYFUNCTION("""COMPUTED_VALUE"""),"Emma Li")</f>
        <v>Emma Li</v>
      </c>
      <c r="G760" s="61" t="str">
        <f>IFERROR(__xludf.DUMMYFUNCTION("""COMPUTED_VALUE""")," 1 [Included with Registration] / Included Insurance   - ")</f>
        <v> 1 [Included with Registration] / Included Insurance   - </v>
      </c>
      <c r="H760" s="61" t="str">
        <f>IFERROR(__xludf.DUMMYFUNCTION("""COMPUTED_VALUE"""),"Wheeler  ")</f>
        <v>Wheeler  </v>
      </c>
      <c r="I760" s="61" t="str">
        <f>IFERROR(__xludf.DUMMYFUNCTION("""COMPUTED_VALUE"""),"2044")</f>
        <v>2044</v>
      </c>
      <c r="J760" s="107" t="str">
        <f>IFERROR(__xludf.DUMMYFUNCTION("""COMPUTED_VALUE"""),"11:00 AM to 01:00 PM  ")</f>
        <v>11:00 AM to 01:00 PM  </v>
      </c>
      <c r="K760" s="100">
        <f>IFERROR(__xludf.DUMMYFUNCTION("""COMPUTED_VALUE"""),46149.0)</f>
        <v>46149</v>
      </c>
      <c r="L760" s="61" t="str">
        <f>IFERROR(__xludf.DUMMYFUNCTION("""COMPUTED_VALUE""")," ")</f>
        <v> </v>
      </c>
      <c r="M760" s="61"/>
      <c r="N760" s="61" t="str">
        <f>IFERROR(__xludf.DUMMYFUNCTION("""COMPUTED_VALUE""")," ")</f>
        <v> </v>
      </c>
    </row>
    <row r="761">
      <c r="A761" s="102" t="str">
        <f>IFERROR(__xludf.DUMMYFUNCTION("""COMPUTED_VALUE"""),"https://utrucking.com/admin/orders/6454860447932")</f>
        <v>https://utrucking.com/admin/orders/6454860447932</v>
      </c>
      <c r="B761" s="65" t="str">
        <f>IFERROR(__xludf.DUMMYFUNCTION("""COMPUTED_VALUE"""),"#18197")</f>
        <v>#18197</v>
      </c>
      <c r="C761" s="65" t="str">
        <f>IFERROR(__xludf.DUMMYFUNCTION("""COMPUTED_VALUE"""),"tchukudebelu@gmail.com")</f>
        <v>tchukudebelu@gmail.com</v>
      </c>
      <c r="D761" s="65">
        <f>IFERROR(__xludf.DUMMYFUNCTION("""COMPUTED_VALUE"""),4.047490717E9)</f>
        <v>4047490717</v>
      </c>
      <c r="E761" s="65" t="str">
        <f>IFERROR(__xludf.DUMMYFUNCTION("""COMPUTED_VALUE"""),"Tobe Chukudebelu")</f>
        <v>Tobe Chukudebelu</v>
      </c>
      <c r="F761" s="65" t="str">
        <f>IFERROR(__xludf.DUMMYFUNCTION("""COMPUTED_VALUE"""),"Tobe Chukudebelu")</f>
        <v>Tobe Chukudebelu</v>
      </c>
      <c r="G761" s="65" t="str">
        <f>IFERROR(__xludf.DUMMYFUNCTION("""COMPUTED_VALUE""")," 1 [Included with Registration] / Included Insurance   - ")</f>
        <v> 1 [Included with Registration] / Included Insurance   - </v>
      </c>
      <c r="H761" s="65" t="str">
        <f>IFERROR(__xludf.DUMMYFUNCTION("""COMPUTED_VALUE"""),"Liggett  ")</f>
        <v>Liggett  </v>
      </c>
      <c r="I761" s="65" t="str">
        <f>IFERROR(__xludf.DUMMYFUNCTION("""COMPUTED_VALUE"""),"3364")</f>
        <v>3364</v>
      </c>
      <c r="J761" s="108" t="str">
        <f>IFERROR(__xludf.DUMMYFUNCTION("""COMPUTED_VALUE"""),"09:00 AM to 11:00 AM  ")</f>
        <v>09:00 AM to 11:00 AM  </v>
      </c>
      <c r="K761" s="103">
        <f>IFERROR(__xludf.DUMMYFUNCTION("""COMPUTED_VALUE"""),46150.0)</f>
        <v>46150</v>
      </c>
      <c r="L761" s="65" t="str">
        <f>IFERROR(__xludf.DUMMYFUNCTION("""COMPUTED_VALUE""")," ")</f>
        <v> </v>
      </c>
      <c r="M761" s="65"/>
      <c r="N761" s="65" t="str">
        <f>IFERROR(__xludf.DUMMYFUNCTION("""COMPUTED_VALUE""")," ")</f>
        <v> </v>
      </c>
    </row>
    <row r="762">
      <c r="A762" s="99" t="str">
        <f>IFERROR(__xludf.DUMMYFUNCTION("""COMPUTED_VALUE"""),"https://utrucking.com/admin/orders/6454872277180")</f>
        <v>https://utrucking.com/admin/orders/6454872277180</v>
      </c>
      <c r="B762" s="61" t="str">
        <f>IFERROR(__xludf.DUMMYFUNCTION("""COMPUTED_VALUE"""),"#18198")</f>
        <v>#18198</v>
      </c>
      <c r="C762" s="61" t="str">
        <f>IFERROR(__xludf.DUMMYFUNCTION("""COMPUTED_VALUE"""),"a.djalal@wustl.edu")</f>
        <v>a.djalal@wustl.edu</v>
      </c>
      <c r="D762" s="61">
        <f>IFERROR(__xludf.DUMMYFUNCTION("""COMPUTED_VALUE"""),5.106978914E9)</f>
        <v>5106978914</v>
      </c>
      <c r="E762" s="61" t="str">
        <f>IFERROR(__xludf.DUMMYFUNCTION("""COMPUTED_VALUE"""),"Alexa Djalal")</f>
        <v>Alexa Djalal</v>
      </c>
      <c r="F762" s="61" t="str">
        <f>IFERROR(__xludf.DUMMYFUNCTION("""COMPUTED_VALUE"""),"Alexa Djalal")</f>
        <v>Alexa Djalal</v>
      </c>
      <c r="G762" s="61" t="str">
        <f>IFERROR(__xludf.DUMMYFUNCTION("""COMPUTED_VALUE""")," 1 [Included with Registration] / Included Insurance   - ")</f>
        <v> 1 [Included with Registration] / Included Insurance   - </v>
      </c>
      <c r="H762" s="61" t="str">
        <f>IFERROR(__xludf.DUMMYFUNCTION("""COMPUTED_VALUE"""),"Gregg  ")</f>
        <v>Gregg  </v>
      </c>
      <c r="I762" s="61" t="str">
        <f>IFERROR(__xludf.DUMMYFUNCTION("""COMPUTED_VALUE"""),"1012")</f>
        <v>1012</v>
      </c>
      <c r="J762" s="107" t="str">
        <f>IFERROR(__xludf.DUMMYFUNCTION("""COMPUTED_VALUE"""),"09:00 AM to 11:00 AM  ")</f>
        <v>09:00 AM to 11:00 AM  </v>
      </c>
      <c r="K762" s="100">
        <f>IFERROR(__xludf.DUMMYFUNCTION("""COMPUTED_VALUE"""),46150.0)</f>
        <v>46150</v>
      </c>
      <c r="L762" s="61" t="str">
        <f>IFERROR(__xludf.DUMMYFUNCTION("""COMPUTED_VALUE""")," ")</f>
        <v> </v>
      </c>
      <c r="M762" s="61"/>
      <c r="N762" s="61" t="str">
        <f>IFERROR(__xludf.DUMMYFUNCTION("""COMPUTED_VALUE""")," ")</f>
        <v> </v>
      </c>
    </row>
    <row r="763">
      <c r="A763" s="102" t="str">
        <f>IFERROR(__xludf.DUMMYFUNCTION("""COMPUTED_VALUE"""),"https://utrucking.com/admin/orders/6454977855676")</f>
        <v>https://utrucking.com/admin/orders/6454977855676</v>
      </c>
      <c r="B763" s="65" t="str">
        <f>IFERROR(__xludf.DUMMYFUNCTION("""COMPUTED_VALUE"""),"#18199")</f>
        <v>#18199</v>
      </c>
      <c r="C763" s="65" t="str">
        <f>IFERROR(__xludf.DUMMYFUNCTION("""COMPUTED_VALUE"""),"namyagupta07@gmail.com")</f>
        <v>namyagupta07@gmail.com</v>
      </c>
      <c r="D763" s="65">
        <f>IFERROR(__xludf.DUMMYFUNCTION("""COMPUTED_VALUE"""),3.14665701E9)</f>
        <v>3146657010</v>
      </c>
      <c r="E763" s="65" t="str">
        <f>IFERROR(__xludf.DUMMYFUNCTION("""COMPUTED_VALUE"""),"Namya Gupta")</f>
        <v>Namya Gupta</v>
      </c>
      <c r="F763" s="65" t="str">
        <f>IFERROR(__xludf.DUMMYFUNCTION("""COMPUTED_VALUE"""),"Namya Gupta")</f>
        <v>Namya Gupta</v>
      </c>
      <c r="G763" s="65" t="str">
        <f>IFERROR(__xludf.DUMMYFUNCTION("""COMPUTED_VALUE""")," 2 / Included Insurance   - ")</f>
        <v> 2 / Included Insurance   - </v>
      </c>
      <c r="H763" s="65" t="str">
        <f>IFERROR(__xludf.DUMMYFUNCTION("""COMPUTED_VALUE"""),"Rutledge  ")</f>
        <v>Rutledge  </v>
      </c>
      <c r="I763" s="65" t="str">
        <f>IFERROR(__xludf.DUMMYFUNCTION("""COMPUTED_VALUE"""),"32")</f>
        <v>32</v>
      </c>
      <c r="J763" s="108" t="str">
        <f>IFERROR(__xludf.DUMMYFUNCTION("""COMPUTED_VALUE"""),"11:00 AM to 01:00 PM  ")</f>
        <v>11:00 AM to 01:00 PM  </v>
      </c>
      <c r="K763" s="103">
        <f>IFERROR(__xludf.DUMMYFUNCTION("""COMPUTED_VALUE"""),46149.0)</f>
        <v>46149</v>
      </c>
      <c r="L763" s="65" t="str">
        <f>IFERROR(__xludf.DUMMYFUNCTION("""COMPUTED_VALUE""")," ")</f>
        <v> </v>
      </c>
      <c r="M763" s="65"/>
      <c r="N763" s="65" t="str">
        <f>IFERROR(__xludf.DUMMYFUNCTION("""COMPUTED_VALUE""")," ")</f>
        <v> </v>
      </c>
    </row>
    <row r="764">
      <c r="A764" s="99" t="str">
        <f>IFERROR(__xludf.DUMMYFUNCTION("""COMPUTED_VALUE"""),"https://utrucking.com/admin/orders/6455160504508")</f>
        <v>https://utrucking.com/admin/orders/6455160504508</v>
      </c>
      <c r="B764" s="61" t="str">
        <f>IFERROR(__xludf.DUMMYFUNCTION("""COMPUTED_VALUE"""),"#18203")</f>
        <v>#18203</v>
      </c>
      <c r="C764" s="61" t="str">
        <f>IFERROR(__xludf.DUMMYFUNCTION("""COMPUTED_VALUE"""),"d.graziano@wustl.edu")</f>
        <v>d.graziano@wustl.edu</v>
      </c>
      <c r="D764" s="61">
        <f>IFERROR(__xludf.DUMMYFUNCTION("""COMPUTED_VALUE"""),5.514276405E9)</f>
        <v>5514276405</v>
      </c>
      <c r="E764" s="61" t="str">
        <f>IFERROR(__xludf.DUMMYFUNCTION("""COMPUTED_VALUE"""),"Andrea Graziano")</f>
        <v>Andrea Graziano</v>
      </c>
      <c r="F764" s="61" t="str">
        <f>IFERROR(__xludf.DUMMYFUNCTION("""COMPUTED_VALUE"""),"Danny Graziano ")</f>
        <v>Danny Graziano </v>
      </c>
      <c r="G764" s="61" t="str">
        <f>IFERROR(__xludf.DUMMYFUNCTION("""COMPUTED_VALUE""")," 1 [Included with Registration] / Included Insurance   - ")</f>
        <v> 1 [Included with Registration] / Included Insurance   - </v>
      </c>
      <c r="H764" s="61" t="str">
        <f>IFERROR(__xludf.DUMMYFUNCTION("""COMPUTED_VALUE"""),"Loop Loft 6255  ")</f>
        <v>Loop Loft 6255  </v>
      </c>
      <c r="I764" s="61" t="str">
        <f>IFERROR(__xludf.DUMMYFUNCTION("""COMPUTED_VALUE"""),"204B")</f>
        <v>204B</v>
      </c>
      <c r="J764" s="107" t="str">
        <f>IFERROR(__xludf.DUMMYFUNCTION("""COMPUTED_VALUE"""),"09:00 AM to 11:00 AM  ")</f>
        <v>09:00 AM to 11:00 AM  </v>
      </c>
      <c r="K764" s="100">
        <f>IFERROR(__xludf.DUMMYFUNCTION("""COMPUTED_VALUE"""),46158.0)</f>
        <v>46158</v>
      </c>
      <c r="L764" s="61" t="str">
        <f>IFERROR(__xludf.DUMMYFUNCTION("""COMPUTED_VALUE""")," ")</f>
        <v> </v>
      </c>
      <c r="M764" s="61"/>
      <c r="N764" s="61" t="str">
        <f>IFERROR(__xludf.DUMMYFUNCTION("""COMPUTED_VALUE""")," Will be in non university housing next year, still confirming address ")</f>
        <v> Will be in non university housing next year, still confirming address </v>
      </c>
    </row>
    <row r="765">
      <c r="A765" s="102" t="str">
        <f>IFERROR(__xludf.DUMMYFUNCTION("""COMPUTED_VALUE"""),"https://utrucking.com/admin/orders/6455207264444")</f>
        <v>https://utrucking.com/admin/orders/6455207264444</v>
      </c>
      <c r="B765" s="65" t="str">
        <f>IFERROR(__xludf.DUMMYFUNCTION("""COMPUTED_VALUE"""),"#18205")</f>
        <v>#18205</v>
      </c>
      <c r="C765" s="65" t="str">
        <f>IFERROR(__xludf.DUMMYFUNCTION("""COMPUTED_VALUE"""),"Spencerlincolnmd@gmail.com")</f>
        <v>Spencerlincolnmd@gmail.com</v>
      </c>
      <c r="D765" s="65">
        <f>IFERROR(__xludf.DUMMYFUNCTION("""COMPUTED_VALUE"""),6.505566773E9)</f>
        <v>6505566773</v>
      </c>
      <c r="E765" s="65" t="str">
        <f>IFERROR(__xludf.DUMMYFUNCTION("""COMPUTED_VALUE"""),"Spencer Morse-deBrier")</f>
        <v>Spencer Morse-deBrier</v>
      </c>
      <c r="F765" s="65" t="str">
        <f>IFERROR(__xludf.DUMMYFUNCTION("""COMPUTED_VALUE"""),"Spencer Morse-deBrier")</f>
        <v>Spencer Morse-deBrier</v>
      </c>
      <c r="G765" s="65" t="str">
        <f>IFERROR(__xludf.DUMMYFUNCTION("""COMPUTED_VALUE""")," 1 [Included with Registration] / Included Insurance   - ")</f>
        <v> 1 [Included with Registration] / Included Insurance   - </v>
      </c>
      <c r="H765" s="65" t="str">
        <f>IFERROR(__xludf.DUMMYFUNCTION("""COMPUTED_VALUE"""),"Umrath  ")</f>
        <v>Umrath  </v>
      </c>
      <c r="I765" s="65" t="str">
        <f>IFERROR(__xludf.DUMMYFUNCTION("""COMPUTED_VALUE"""),"1228")</f>
        <v>1228</v>
      </c>
      <c r="J765" s="108" t="str">
        <f>IFERROR(__xludf.DUMMYFUNCTION("""COMPUTED_VALUE"""),"10:00 AM to 12:00 PM  ")</f>
        <v>10:00 AM to 12:00 PM  </v>
      </c>
      <c r="K765" s="103">
        <f>IFERROR(__xludf.DUMMYFUNCTION("""COMPUTED_VALUE"""),46149.0)</f>
        <v>46149</v>
      </c>
      <c r="L765" s="65" t="str">
        <f>IFERROR(__xludf.DUMMYFUNCTION("""COMPUTED_VALUE""")," ")</f>
        <v> </v>
      </c>
      <c r="M765" s="65"/>
      <c r="N765" s="65" t="str">
        <f>IFERROR(__xludf.DUMMYFUNCTION("""COMPUTED_VALUE""")," ")</f>
        <v> </v>
      </c>
    </row>
    <row r="766">
      <c r="A766" s="99" t="str">
        <f>IFERROR(__xludf.DUMMYFUNCTION("""COMPUTED_VALUE"""),"https://utrucking.com/admin/orders/6455208149180")</f>
        <v>https://utrucking.com/admin/orders/6455208149180</v>
      </c>
      <c r="B766" s="61" t="str">
        <f>IFERROR(__xludf.DUMMYFUNCTION("""COMPUTED_VALUE"""),"#18206")</f>
        <v>#18206</v>
      </c>
      <c r="C766" s="61" t="str">
        <f>IFERROR(__xludf.DUMMYFUNCTION("""COMPUTED_VALUE"""),"a.sedeen@wustl.edu")</f>
        <v>a.sedeen@wustl.edu</v>
      </c>
      <c r="D766" s="61">
        <f>IFERROR(__xludf.DUMMYFUNCTION("""COMPUTED_VALUE"""),9.092623257E9)</f>
        <v>9092623257</v>
      </c>
      <c r="E766" s="61" t="str">
        <f>IFERROR(__xludf.DUMMYFUNCTION("""COMPUTED_VALUE"""),"Sedeen Alfityani")</f>
        <v>Sedeen Alfityani</v>
      </c>
      <c r="F766" s="61" t="str">
        <f>IFERROR(__xludf.DUMMYFUNCTION("""COMPUTED_VALUE"""),"Sedeen Alfityani ")</f>
        <v>Sedeen Alfityani </v>
      </c>
      <c r="G766" s="61" t="str">
        <f>IFERROR(__xludf.DUMMYFUNCTION("""COMPUTED_VALUE""")," 1 [Included with Registration] / Included Insurance   - ")</f>
        <v> 1 [Included with Registration] / Included Insurance   - </v>
      </c>
      <c r="H766" s="61" t="str">
        <f>IFERROR(__xludf.DUMMYFUNCTION("""COMPUTED_VALUE"""),"Lee  ")</f>
        <v>Lee  </v>
      </c>
      <c r="I766" s="61" t="str">
        <f>IFERROR(__xludf.DUMMYFUNCTION("""COMPUTED_VALUE"""),"107")</f>
        <v>107</v>
      </c>
      <c r="J766" s="107" t="str">
        <f>IFERROR(__xludf.DUMMYFUNCTION("""COMPUTED_VALUE"""),"09:00 AM to 11:00 AM  ")</f>
        <v>09:00 AM to 11:00 AM  </v>
      </c>
      <c r="K766" s="100">
        <f>IFERROR(__xludf.DUMMYFUNCTION("""COMPUTED_VALUE"""),46149.0)</f>
        <v>46149</v>
      </c>
      <c r="L766" s="61" t="str">
        <f>IFERROR(__xludf.DUMMYFUNCTION("""COMPUTED_VALUE""")," ")</f>
        <v> </v>
      </c>
      <c r="M766" s="61"/>
      <c r="N766" s="61" t="str">
        <f>IFERROR(__xludf.DUMMYFUNCTION("""COMPUTED_VALUE""")," ")</f>
        <v> </v>
      </c>
    </row>
    <row r="767">
      <c r="A767" s="102" t="str">
        <f>IFERROR(__xludf.DUMMYFUNCTION("""COMPUTED_VALUE"""),"https://utrucking.com/admin/orders/6455226106044")</f>
        <v>https://utrucking.com/admin/orders/6455226106044</v>
      </c>
      <c r="B767" s="65" t="str">
        <f>IFERROR(__xludf.DUMMYFUNCTION("""COMPUTED_VALUE"""),"#18207")</f>
        <v>#18207</v>
      </c>
      <c r="C767" s="65" t="str">
        <f>IFERROR(__xludf.DUMMYFUNCTION("""COMPUTED_VALUE"""),"m.e.mohanty@wustl.edu")</f>
        <v>m.e.mohanty@wustl.edu</v>
      </c>
      <c r="D767" s="65">
        <f>IFERROR(__xludf.DUMMYFUNCTION("""COMPUTED_VALUE"""),5.616351769E9)</f>
        <v>5616351769</v>
      </c>
      <c r="E767" s="65" t="str">
        <f>IFERROR(__xludf.DUMMYFUNCTION("""COMPUTED_VALUE"""),"Elizabeth Mohanty")</f>
        <v>Elizabeth Mohanty</v>
      </c>
      <c r="F767" s="65" t="str">
        <f>IFERROR(__xludf.DUMMYFUNCTION("""COMPUTED_VALUE"""),"Maya Mohanty")</f>
        <v>Maya Mohanty</v>
      </c>
      <c r="G767" s="65" t="str">
        <f>IFERROR(__xludf.DUMMYFUNCTION("""COMPUTED_VALUE""")," 1 [Included with Registration] / Included Insurance   - ")</f>
        <v> 1 [Included with Registration] / Included Insurance   - </v>
      </c>
      <c r="H767" s="65" t="str">
        <f>IFERROR(__xludf.DUMMYFUNCTION("""COMPUTED_VALUE"""),"Mudd  ")</f>
        <v>Mudd  </v>
      </c>
      <c r="I767" s="65" t="str">
        <f>IFERROR(__xludf.DUMMYFUNCTION("""COMPUTED_VALUE"""),"211")</f>
        <v>211</v>
      </c>
      <c r="J767" s="108" t="str">
        <f>IFERROR(__xludf.DUMMYFUNCTION("""COMPUTED_VALUE"""),"09:00 AM to 11:00 AM  ")</f>
        <v>09:00 AM to 11:00 AM  </v>
      </c>
      <c r="K767" s="103">
        <f>IFERROR(__xludf.DUMMYFUNCTION("""COMPUTED_VALUE"""),46150.0)</f>
        <v>46150</v>
      </c>
      <c r="L767" s="65" t="str">
        <f>IFERROR(__xludf.DUMMYFUNCTION("""COMPUTED_VALUE""")," ")</f>
        <v> </v>
      </c>
      <c r="M767" s="65"/>
      <c r="N767" s="65" t="str">
        <f>IFERROR(__xludf.DUMMYFUNCTION("""COMPUTED_VALUE""")," ")</f>
        <v> </v>
      </c>
    </row>
    <row r="768">
      <c r="A768" s="99" t="str">
        <f>IFERROR(__xludf.DUMMYFUNCTION("""COMPUTED_VALUE"""),"https://utrucking.com/admin/orders/6455235248316")</f>
        <v>https://utrucking.com/admin/orders/6455235248316</v>
      </c>
      <c r="B768" s="61" t="str">
        <f>IFERROR(__xludf.DUMMYFUNCTION("""COMPUTED_VALUE"""),"#18209")</f>
        <v>#18209</v>
      </c>
      <c r="C768" s="61" t="str">
        <f>IFERROR(__xludf.DUMMYFUNCTION("""COMPUTED_VALUE"""),"henson.l@wustl.edu")</f>
        <v>henson.l@wustl.edu</v>
      </c>
      <c r="D768" s="61">
        <f>IFERROR(__xludf.DUMMYFUNCTION("""COMPUTED_VALUE"""),6.312638028E9)</f>
        <v>6312638028</v>
      </c>
      <c r="E768" s="61" t="str">
        <f>IFERROR(__xludf.DUMMYFUNCTION("""COMPUTED_VALUE"""),"Liam Henson")</f>
        <v>Liam Henson</v>
      </c>
      <c r="F768" s="61" t="str">
        <f>IFERROR(__xludf.DUMMYFUNCTION("""COMPUTED_VALUE"""),"Liam Henson")</f>
        <v>Liam Henson</v>
      </c>
      <c r="G768" s="61" t="str">
        <f>IFERROR(__xludf.DUMMYFUNCTION("""COMPUTED_VALUE""")," 1 [Included with Registration] / Included Insurance   - ")</f>
        <v> 1 [Included with Registration] / Included Insurance   - </v>
      </c>
      <c r="H768" s="61" t="str">
        <f>IFERROR(__xludf.DUMMYFUNCTION("""COMPUTED_VALUE"""),"Village House  ")</f>
        <v>Village House  </v>
      </c>
      <c r="I768" s="61" t="str">
        <f>IFERROR(__xludf.DUMMYFUNCTION("""COMPUTED_VALUE"""),"3102")</f>
        <v>3102</v>
      </c>
      <c r="J768" s="107" t="str">
        <f>IFERROR(__xludf.DUMMYFUNCTION("""COMPUTED_VALUE"""),"09:00 AM to 11:00 AM  ")</f>
        <v>09:00 AM to 11:00 AM  </v>
      </c>
      <c r="K768" s="100">
        <f>IFERROR(__xludf.DUMMYFUNCTION("""COMPUTED_VALUE"""),46148.0)</f>
        <v>46148</v>
      </c>
      <c r="L768" s="61" t="str">
        <f>IFERROR(__xludf.DUMMYFUNCTION("""COMPUTED_VALUE""")," ")</f>
        <v> </v>
      </c>
      <c r="M768" s="61"/>
      <c r="N768" s="61" t="str">
        <f>IFERROR(__xludf.DUMMYFUNCTION("""COMPUTED_VALUE""")," ")</f>
        <v> </v>
      </c>
    </row>
    <row r="769">
      <c r="A769" s="102" t="str">
        <f>IFERROR(__xludf.DUMMYFUNCTION("""COMPUTED_VALUE"""),"https://utrucking.com/admin/orders/6455389028540")</f>
        <v>https://utrucking.com/admin/orders/6455389028540</v>
      </c>
      <c r="B769" s="65" t="str">
        <f>IFERROR(__xludf.DUMMYFUNCTION("""COMPUTED_VALUE"""),"#18213")</f>
        <v>#18213</v>
      </c>
      <c r="C769" s="65" t="str">
        <f>IFERROR(__xludf.DUMMYFUNCTION("""COMPUTED_VALUE"""),"e.samer@wustl.edu")</f>
        <v>e.samer@wustl.edu</v>
      </c>
      <c r="D769" s="65">
        <f>IFERROR(__xludf.DUMMYFUNCTION("""COMPUTED_VALUE"""),7.725300687E9)</f>
        <v>7725300687</v>
      </c>
      <c r="E769" s="65" t="str">
        <f>IFERROR(__xludf.DUMMYFUNCTION("""COMPUTED_VALUE"""),"Samer Elhoushy")</f>
        <v>Samer Elhoushy</v>
      </c>
      <c r="F769" s="65" t="str">
        <f>IFERROR(__xludf.DUMMYFUNCTION("""COMPUTED_VALUE"""),"Samer Elhoushy")</f>
        <v>Samer Elhoushy</v>
      </c>
      <c r="G769" s="65" t="str">
        <f>IFERROR(__xludf.DUMMYFUNCTION("""COMPUTED_VALUE""")," 1 [Included with Registration] / Included Insurance   - ")</f>
        <v> 1 [Included with Registration] / Included Insurance   - </v>
      </c>
      <c r="H769" s="65" t="str">
        <f>IFERROR(__xludf.DUMMYFUNCTION("""COMPUTED_VALUE"""),"Zetcher  ")</f>
        <v>Zetcher  </v>
      </c>
      <c r="I769" s="65" t="str">
        <f>IFERROR(__xludf.DUMMYFUNCTION("""COMPUTED_VALUE"""),"3120")</f>
        <v>3120</v>
      </c>
      <c r="J769" s="108" t="str">
        <f>IFERROR(__xludf.DUMMYFUNCTION("""COMPUTED_VALUE"""),"10:00 AM to 12:00 PM  ")</f>
        <v>10:00 AM to 12:00 PM  </v>
      </c>
      <c r="K769" s="103">
        <f>IFERROR(__xludf.DUMMYFUNCTION("""COMPUTED_VALUE"""),46149.0)</f>
        <v>46149</v>
      </c>
      <c r="L769" s="65" t="str">
        <f>IFERROR(__xludf.DUMMYFUNCTION("""COMPUTED_VALUE""")," ")</f>
        <v> </v>
      </c>
      <c r="M769" s="65"/>
      <c r="N769" s="65" t="str">
        <f>IFERROR(__xludf.DUMMYFUNCTION("""COMPUTED_VALUE""")," ")</f>
        <v> </v>
      </c>
    </row>
    <row r="770">
      <c r="A770" s="99" t="str">
        <f>IFERROR(__xludf.DUMMYFUNCTION("""COMPUTED_VALUE"""),"https://utrucking.com/admin/orders/6455492870332")</f>
        <v>https://utrucking.com/admin/orders/6455492870332</v>
      </c>
      <c r="B770" s="61" t="str">
        <f>IFERROR(__xludf.DUMMYFUNCTION("""COMPUTED_VALUE"""),"#18215")</f>
        <v>#18215</v>
      </c>
      <c r="C770" s="61" t="str">
        <f>IFERROR(__xludf.DUMMYFUNCTION("""COMPUTED_VALUE"""),"a.a.vaidya@wustl.edu")</f>
        <v>a.a.vaidya@wustl.edu</v>
      </c>
      <c r="D770" s="61">
        <f>IFERROR(__xludf.DUMMYFUNCTION("""COMPUTED_VALUE"""),6.467506269E9)</f>
        <v>6467506269</v>
      </c>
      <c r="E770" s="61" t="str">
        <f>IFERROR(__xludf.DUMMYFUNCTION("""COMPUTED_VALUE"""),"Aarav Vaidya")</f>
        <v>Aarav Vaidya</v>
      </c>
      <c r="F770" s="61" t="str">
        <f>IFERROR(__xludf.DUMMYFUNCTION("""COMPUTED_VALUE"""),"Aarav Vaidya")</f>
        <v>Aarav Vaidya</v>
      </c>
      <c r="G770" s="61" t="str">
        <f>IFERROR(__xludf.DUMMYFUNCTION("""COMPUTED_VALUE""")," 1 [Included with Registration] / Included Insurance   - ")</f>
        <v> 1 [Included with Registration] / Included Insurance   - </v>
      </c>
      <c r="H770" s="61" t="str">
        <f>IFERROR(__xludf.DUMMYFUNCTION("""COMPUTED_VALUE"""),"Wheeler  ")</f>
        <v>Wheeler  </v>
      </c>
      <c r="I770" s="61" t="str">
        <f>IFERROR(__xludf.DUMMYFUNCTION("""COMPUTED_VALUE"""),"4010")</f>
        <v>4010</v>
      </c>
      <c r="J770" s="107" t="str">
        <f>IFERROR(__xludf.DUMMYFUNCTION("""COMPUTED_VALUE"""),"09:00 AM to 11:00 AM  ")</f>
        <v>09:00 AM to 11:00 AM  </v>
      </c>
      <c r="K770" s="100">
        <f>IFERROR(__xludf.DUMMYFUNCTION("""COMPUTED_VALUE"""),46148.0)</f>
        <v>46148</v>
      </c>
      <c r="L770" s="61" t="str">
        <f>IFERROR(__xludf.DUMMYFUNCTION("""COMPUTED_VALUE""")," ")</f>
        <v> </v>
      </c>
      <c r="M770" s="61"/>
      <c r="N770" s="61" t="str">
        <f>IFERROR(__xludf.DUMMYFUNCTION("""COMPUTED_VALUE""")," ")</f>
        <v> </v>
      </c>
    </row>
    <row r="771">
      <c r="A771" s="102" t="str">
        <f>IFERROR(__xludf.DUMMYFUNCTION("""COMPUTED_VALUE"""),"https://utrucking.com/admin/orders/6455630495932")</f>
        <v>https://utrucking.com/admin/orders/6455630495932</v>
      </c>
      <c r="B771" s="65" t="str">
        <f>IFERROR(__xludf.DUMMYFUNCTION("""COMPUTED_VALUE"""),"#18220")</f>
        <v>#18220</v>
      </c>
      <c r="C771" s="65" t="str">
        <f>IFERROR(__xludf.DUMMYFUNCTION("""COMPUTED_VALUE"""),"pdriles@gmail.com")</f>
        <v>pdriles@gmail.com</v>
      </c>
      <c r="D771" s="65">
        <f>IFERROR(__xludf.DUMMYFUNCTION("""COMPUTED_VALUE"""),6.507733242E9)</f>
        <v>6507733242</v>
      </c>
      <c r="E771" s="65" t="str">
        <f>IFERROR(__xludf.DUMMYFUNCTION("""COMPUTED_VALUE"""),"Patrick Riley")</f>
        <v>Patrick Riley</v>
      </c>
      <c r="F771" s="65" t="str">
        <f>IFERROR(__xludf.DUMMYFUNCTION("""COMPUTED_VALUE"""),"Patrick Riley")</f>
        <v>Patrick Riley</v>
      </c>
      <c r="G771" s="65" t="str">
        <f>IFERROR(__xludf.DUMMYFUNCTION("""COMPUTED_VALUE""")," 1 [Included with Registration] / Included Insurance   - ")</f>
        <v> 1 [Included with Registration] / Included Insurance   - </v>
      </c>
      <c r="H771" s="65"/>
      <c r="I771" s="65"/>
      <c r="J771" s="108" t="str">
        <f>IFERROR(__xludf.DUMMYFUNCTION("""COMPUTED_VALUE"""),"11:00 AM to 01:00 PM  ")</f>
        <v>11:00 AM to 01:00 PM  </v>
      </c>
      <c r="K771" s="103">
        <f>IFERROR(__xludf.DUMMYFUNCTION("""COMPUTED_VALUE"""),46150.0)</f>
        <v>46150</v>
      </c>
      <c r="L771" s="65" t="str">
        <f>IFERROR(__xludf.DUMMYFUNCTION("""COMPUTED_VALUE""")," ")</f>
        <v> </v>
      </c>
      <c r="M771" s="65" t="str">
        <f>IFERROR(__xludf.DUMMYFUNCTION("""COMPUTED_VALUE"""),"6105 Delmar Boulevard, Apartment 1417")</f>
        <v>6105 Delmar Boulevard, Apartment 1417</v>
      </c>
      <c r="N771" s="65" t="str">
        <f>IFERROR(__xludf.DUMMYFUNCTION("""COMPUTED_VALUE""")," I live in Everly on the Loop")</f>
        <v> I live in Everly on the Loop</v>
      </c>
    </row>
    <row r="772">
      <c r="A772" s="99" t="str">
        <f>IFERROR(__xludf.DUMMYFUNCTION("""COMPUTED_VALUE"""),"https://utrucking.com/admin/orders/6455639933116")</f>
        <v>https://utrucking.com/admin/orders/6455639933116</v>
      </c>
      <c r="B772" s="61" t="str">
        <f>IFERROR(__xludf.DUMMYFUNCTION("""COMPUTED_VALUE"""),"#18222")</f>
        <v>#18222</v>
      </c>
      <c r="C772" s="61" t="str">
        <f>IFERROR(__xludf.DUMMYFUNCTION("""COMPUTED_VALUE"""),"alex.pang@wustl.edu")</f>
        <v>alex.pang@wustl.edu</v>
      </c>
      <c r="D772" s="61">
        <f>IFERROR(__xludf.DUMMYFUNCTION("""COMPUTED_VALUE"""),9.798377593E9)</f>
        <v>9798377593</v>
      </c>
      <c r="E772" s="61" t="str">
        <f>IFERROR(__xludf.DUMMYFUNCTION("""COMPUTED_VALUE"""),"Alex Pang")</f>
        <v>Alex Pang</v>
      </c>
      <c r="F772" s="61" t="str">
        <f>IFERROR(__xludf.DUMMYFUNCTION("""COMPUTED_VALUE"""),"Alex Pang")</f>
        <v>Alex Pang</v>
      </c>
      <c r="G772" s="61" t="str">
        <f>IFERROR(__xludf.DUMMYFUNCTION("""COMPUTED_VALUE""")," 1 [Included with Registration] / Included Insurance   - ")</f>
        <v> 1 [Included with Registration] / Included Insurance   - </v>
      </c>
      <c r="H772" s="61" t="str">
        <f>IFERROR(__xludf.DUMMYFUNCTION("""COMPUTED_VALUE"""),"Gregg  ")</f>
        <v>Gregg  </v>
      </c>
      <c r="I772" s="61" t="str">
        <f>IFERROR(__xludf.DUMMYFUNCTION("""COMPUTED_VALUE"""),"3121")</f>
        <v>3121</v>
      </c>
      <c r="J772" s="107" t="str">
        <f>IFERROR(__xludf.DUMMYFUNCTION("""COMPUTED_VALUE"""),"10:00 AM to 12:00 PM  ")</f>
        <v>10:00 AM to 12:00 PM  </v>
      </c>
      <c r="K772" s="100">
        <f>IFERROR(__xludf.DUMMYFUNCTION("""COMPUTED_VALUE"""),46149.0)</f>
        <v>46149</v>
      </c>
      <c r="L772" s="61" t="str">
        <f>IFERROR(__xludf.DUMMYFUNCTION("""COMPUTED_VALUE""")," ")</f>
        <v> </v>
      </c>
      <c r="M772" s="61"/>
      <c r="N772" s="61" t="str">
        <f>IFERROR(__xludf.DUMMYFUNCTION("""COMPUTED_VALUE""")," ")</f>
        <v> </v>
      </c>
    </row>
    <row r="773">
      <c r="A773" s="102" t="str">
        <f>IFERROR(__xludf.DUMMYFUNCTION("""COMPUTED_VALUE"""),"https://utrucking.com/admin/orders/6455760158908")</f>
        <v>https://utrucking.com/admin/orders/6455760158908</v>
      </c>
      <c r="B773" s="65" t="str">
        <f>IFERROR(__xludf.DUMMYFUNCTION("""COMPUTED_VALUE"""),"#18223")</f>
        <v>#18223</v>
      </c>
      <c r="C773" s="65" t="str">
        <f>IFERROR(__xludf.DUMMYFUNCTION("""COMPUTED_VALUE"""),"yishenz@wustl.edu")</f>
        <v>yishenz@wustl.edu</v>
      </c>
      <c r="D773" s="65">
        <f>IFERROR(__xludf.DUMMYFUNCTION("""COMPUTED_VALUE"""),5.715194057E9)</f>
        <v>5715194057</v>
      </c>
      <c r="E773" s="65" t="str">
        <f>IFERROR(__xludf.DUMMYFUNCTION("""COMPUTED_VALUE"""),"Eason Zhao")</f>
        <v>Eason Zhao</v>
      </c>
      <c r="F773" s="65" t="str">
        <f>IFERROR(__xludf.DUMMYFUNCTION("""COMPUTED_VALUE"""),"Eason Zhao")</f>
        <v>Eason Zhao</v>
      </c>
      <c r="G773" s="65" t="str">
        <f>IFERROR(__xludf.DUMMYFUNCTION("""COMPUTED_VALUE""")," 1 [Included with Registration] / Included Insurance   - ")</f>
        <v> 1 [Included with Registration] / Included Insurance   - </v>
      </c>
      <c r="H773" s="65" t="str">
        <f>IFERROR(__xludf.DUMMYFUNCTION("""COMPUTED_VALUE"""),"Lien  ")</f>
        <v>Lien  </v>
      </c>
      <c r="I773" s="65" t="str">
        <f>IFERROR(__xludf.DUMMYFUNCTION("""COMPUTED_VALUE"""),"2218")</f>
        <v>2218</v>
      </c>
      <c r="J773" s="108" t="str">
        <f>IFERROR(__xludf.DUMMYFUNCTION("""COMPUTED_VALUE"""),"03:00 PM to 05:00 PM")</f>
        <v>03:00 PM to 05:00 PM</v>
      </c>
      <c r="K773" s="103">
        <f>IFERROR(__xludf.DUMMYFUNCTION("""COMPUTED_VALUE"""),46146.0)</f>
        <v>46146</v>
      </c>
      <c r="L773" s="65" t="str">
        <f>IFERROR(__xludf.DUMMYFUNCTION("""COMPUTED_VALUE""")," ")</f>
        <v> </v>
      </c>
      <c r="M773" s="65"/>
      <c r="N773" s="65" t="str">
        <f>IFERROR(__xludf.DUMMYFUNCTION("""COMPUTED_VALUE""")," ")</f>
        <v> </v>
      </c>
    </row>
    <row r="774">
      <c r="A774" s="99" t="str">
        <f>IFERROR(__xludf.DUMMYFUNCTION("""COMPUTED_VALUE"""),"https://utrucking.com/admin/orders/6455780442300")</f>
        <v>https://utrucking.com/admin/orders/6455780442300</v>
      </c>
      <c r="B774" s="61" t="str">
        <f>IFERROR(__xludf.DUMMYFUNCTION("""COMPUTED_VALUE"""),"#18224")</f>
        <v>#18224</v>
      </c>
      <c r="C774" s="61" t="str">
        <f>IFERROR(__xludf.DUMMYFUNCTION("""COMPUTED_VALUE"""),"w.xinyang@wustl.edu")</f>
        <v>w.xinyang@wustl.edu</v>
      </c>
      <c r="D774" s="61">
        <f>IFERROR(__xludf.DUMMYFUNCTION("""COMPUTED_VALUE"""),8.618321716326E12)</f>
        <v>8618321716326</v>
      </c>
      <c r="E774" s="61" t="str">
        <f>IFERROR(__xludf.DUMMYFUNCTION("""COMPUTED_VALUE"""),"Xinyang Wu")</f>
        <v>Xinyang Wu</v>
      </c>
      <c r="F774" s="61" t="str">
        <f>IFERROR(__xludf.DUMMYFUNCTION("""COMPUTED_VALUE"""),"Xinyang Wu")</f>
        <v>Xinyang Wu</v>
      </c>
      <c r="G774" s="61" t="str">
        <f>IFERROR(__xludf.DUMMYFUNCTION("""COMPUTED_VALUE""")," 1 [Included with Registration] / Included Insurance   - ")</f>
        <v> 1 [Included with Registration] / Included Insurance   - </v>
      </c>
      <c r="H774" s="61" t="str">
        <f>IFERROR(__xludf.DUMMYFUNCTION("""COMPUTED_VALUE"""),"340 Rosedale Ave")</f>
        <v>340 Rosedale Ave</v>
      </c>
      <c r="I774" s="61" t="str">
        <f>IFERROR(__xludf.DUMMYFUNCTION("""COMPUTED_VALUE"""),"1-N-A")</f>
        <v>1-N-A</v>
      </c>
      <c r="J774" s="107" t="str">
        <f>IFERROR(__xludf.DUMMYFUNCTION("""COMPUTED_VALUE"""),"10:00 AM to 12:00 PM  ")</f>
        <v>10:00 AM to 12:00 PM  </v>
      </c>
      <c r="K774" s="100">
        <f>IFERROR(__xludf.DUMMYFUNCTION("""COMPUTED_VALUE"""),46149.0)</f>
        <v>46149</v>
      </c>
      <c r="L774" s="61" t="str">
        <f>IFERROR(__xludf.DUMMYFUNCTION("""COMPUTED_VALUE""")," ")</f>
        <v> </v>
      </c>
      <c r="M774" s="61"/>
      <c r="N774" s="61" t="str">
        <f>IFERROR(__xludf.DUMMYFUNCTION("""COMPUTED_VALUE""")," ")</f>
        <v> </v>
      </c>
    </row>
    <row r="775">
      <c r="A775" s="102" t="str">
        <f>IFERROR(__xludf.DUMMYFUNCTION("""COMPUTED_VALUE"""),"https://utrucking.com/admin/orders/6455825596604")</f>
        <v>https://utrucking.com/admin/orders/6455825596604</v>
      </c>
      <c r="B775" s="65" t="str">
        <f>IFERROR(__xludf.DUMMYFUNCTION("""COMPUTED_VALUE"""),"#18225")</f>
        <v>#18225</v>
      </c>
      <c r="C775" s="65" t="str">
        <f>IFERROR(__xludf.DUMMYFUNCTION("""COMPUTED_VALUE"""),"ytseo2020@gmail.com")</f>
        <v>ytseo2020@gmail.com</v>
      </c>
      <c r="D775" s="65">
        <f>IFERROR(__xludf.DUMMYFUNCTION("""COMPUTED_VALUE"""),3.139175855E9)</f>
        <v>3139175855</v>
      </c>
      <c r="E775" s="65" t="str">
        <f>IFERROR(__xludf.DUMMYFUNCTION("""COMPUTED_VALUE"""),"Youngtak Seo")</f>
        <v>Youngtak Seo</v>
      </c>
      <c r="F775" s="65" t="str">
        <f>IFERROR(__xludf.DUMMYFUNCTION("""COMPUTED_VALUE"""),"Youngtak Seo")</f>
        <v>Youngtak Seo</v>
      </c>
      <c r="G775" s="65" t="str">
        <f>IFERROR(__xludf.DUMMYFUNCTION("""COMPUTED_VALUE""")," 2 / $1000 of Additional Coverage   - ")</f>
        <v> 2 / $1000 of Additional Coverage   - </v>
      </c>
      <c r="H775" s="65"/>
      <c r="I775" s="65"/>
      <c r="J775" s="108" t="str">
        <f>IFERROR(__xludf.DUMMYFUNCTION("""COMPUTED_VALUE"""),"03:00 PM to 05:00 PM")</f>
        <v>03:00 PM to 05:00 PM</v>
      </c>
      <c r="K775" s="103">
        <f>IFERROR(__xludf.DUMMYFUNCTION("""COMPUTED_VALUE"""),46154.0)</f>
        <v>46154</v>
      </c>
      <c r="L775" s="65" t="str">
        <f>IFERROR(__xludf.DUMMYFUNCTION("""COMPUTED_VALUE""")," ")</f>
        <v> </v>
      </c>
      <c r="M775" s="65" t="str">
        <f>IFERROR(__xludf.DUMMYFUNCTION("""COMPUTED_VALUE"""),"6669 Washington Ave Apt 103
Saint Louis MO 63130")</f>
        <v>6669 Washington Ave Apt 103
Saint Louis MO 63130</v>
      </c>
      <c r="N775" s="65" t="str">
        <f>IFERROR(__xludf.DUMMYFUNCTION("""COMPUTED_VALUE""")," Please call when you arrive at the apartment. Also, there will be my PC and Monitor which are extremely fragile in one of the boxes I will mark as fragile, so please handle it with care. If possible, additional bubble wrap will be greatly appreciated.")</f>
        <v> Please call when you arrive at the apartment. Also, there will be my PC and Monitor which are extremely fragile in one of the boxes I will mark as fragile, so please handle it with care. If possible, additional bubble wrap will be greatly appreciated.</v>
      </c>
    </row>
    <row r="776">
      <c r="A776" s="99" t="str">
        <f>IFERROR(__xludf.DUMMYFUNCTION("""COMPUTED_VALUE"""),"https://utrucking.com/admin/orders/6456025743548")</f>
        <v>https://utrucking.com/admin/orders/6456025743548</v>
      </c>
      <c r="B776" s="61" t="str">
        <f>IFERROR(__xludf.DUMMYFUNCTION("""COMPUTED_VALUE"""),"#18230")</f>
        <v>#18230</v>
      </c>
      <c r="C776" s="61" t="str">
        <f>IFERROR(__xludf.DUMMYFUNCTION("""COMPUTED_VALUE"""),"j.j.sieben@wustl.edu")</f>
        <v>j.j.sieben@wustl.edu</v>
      </c>
      <c r="D776" s="61">
        <f>IFERROR(__xludf.DUMMYFUNCTION("""COMPUTED_VALUE"""),6.267311037E9)</f>
        <v>6267311037</v>
      </c>
      <c r="E776" s="61" t="str">
        <f>IFERROR(__xludf.DUMMYFUNCTION("""COMPUTED_VALUE"""),"Jeremy Sieben")</f>
        <v>Jeremy Sieben</v>
      </c>
      <c r="F776" s="61" t="str">
        <f>IFERROR(__xludf.DUMMYFUNCTION("""COMPUTED_VALUE"""),"Jeremy Sieben")</f>
        <v>Jeremy Sieben</v>
      </c>
      <c r="G776" s="61" t="str">
        <f>IFERROR(__xludf.DUMMYFUNCTION("""COMPUTED_VALUE""")," 1 [Included with Registration] / Included Insurance   - ")</f>
        <v> 1 [Included with Registration] / Included Insurance   - </v>
      </c>
      <c r="H776" s="61" t="str">
        <f>IFERROR(__xludf.DUMMYFUNCTION("""COMPUTED_VALUE"""),"Koenig  ")</f>
        <v>Koenig  </v>
      </c>
      <c r="I776" s="61" t="str">
        <f>IFERROR(__xludf.DUMMYFUNCTION("""COMPUTED_VALUE"""),"4412")</f>
        <v>4412</v>
      </c>
      <c r="J776" s="107" t="str">
        <f>IFERROR(__xludf.DUMMYFUNCTION("""COMPUTED_VALUE"""),"09:00 AM to 11:00 AM  ")</f>
        <v>09:00 AM to 11:00 AM  </v>
      </c>
      <c r="K776" s="100">
        <f>IFERROR(__xludf.DUMMYFUNCTION("""COMPUTED_VALUE"""),46162.0)</f>
        <v>46162</v>
      </c>
      <c r="L776" s="61" t="str">
        <f>IFERROR(__xludf.DUMMYFUNCTION("""COMPUTED_VALUE""")," ")</f>
        <v> </v>
      </c>
      <c r="M776" s="61"/>
      <c r="N776" s="61" t="str">
        <f>IFERROR(__xludf.DUMMYFUNCTION("""COMPUTED_VALUE""")," ")</f>
        <v> </v>
      </c>
    </row>
    <row r="777">
      <c r="A777" s="102" t="str">
        <f>IFERROR(__xludf.DUMMYFUNCTION("""COMPUTED_VALUE"""),"https://utrucking.com/admin/orders/6456148033724")</f>
        <v>https://utrucking.com/admin/orders/6456148033724</v>
      </c>
      <c r="B777" s="65" t="str">
        <f>IFERROR(__xludf.DUMMYFUNCTION("""COMPUTED_VALUE"""),"#18234")</f>
        <v>#18234</v>
      </c>
      <c r="C777" s="65" t="str">
        <f>IFERROR(__xludf.DUMMYFUNCTION("""COMPUTED_VALUE"""),"kdiemtins218@gmail.com")</f>
        <v>kdiemtins218@gmail.com</v>
      </c>
      <c r="D777" s="65">
        <f>IFERROR(__xludf.DUMMYFUNCTION("""COMPUTED_VALUE"""),8.033715949E9)</f>
        <v>8033715949</v>
      </c>
      <c r="E777" s="65" t="str">
        <f>IFERROR(__xludf.DUMMYFUNCTION("""COMPUTED_VALUE"""),"Kyla Tinsley")</f>
        <v>Kyla Tinsley</v>
      </c>
      <c r="F777" s="65" t="str">
        <f>IFERROR(__xludf.DUMMYFUNCTION("""COMPUTED_VALUE"""),"Kyla Tinsley")</f>
        <v>Kyla Tinsley</v>
      </c>
      <c r="G777" s="65" t="str">
        <f>IFERROR(__xludf.DUMMYFUNCTION("""COMPUTED_VALUE""")," 0 / Included Insurance   - ")</f>
        <v> 0 / Included Insurance   - </v>
      </c>
      <c r="H777" s="65" t="str">
        <f>IFERROR(__xludf.DUMMYFUNCTION("""COMPUTED_VALUE"""),"Koenig  ")</f>
        <v>Koenig  </v>
      </c>
      <c r="I777" s="65" t="str">
        <f>IFERROR(__xludf.DUMMYFUNCTION("""COMPUTED_VALUE"""),"1108")</f>
        <v>1108</v>
      </c>
      <c r="J777" s="108" t="str">
        <f>IFERROR(__xludf.DUMMYFUNCTION("""COMPUTED_VALUE"""),"03:00 PM to 05:00 PM")</f>
        <v>03:00 PM to 05:00 PM</v>
      </c>
      <c r="K777" s="103">
        <f>IFERROR(__xludf.DUMMYFUNCTION("""COMPUTED_VALUE"""),46148.0)</f>
        <v>46148</v>
      </c>
      <c r="L777" s="65" t="str">
        <f>IFERROR(__xludf.DUMMYFUNCTION("""COMPUTED_VALUE""")," ")</f>
        <v> </v>
      </c>
      <c r="M777" s="65"/>
      <c r="N777" s="65" t="str">
        <f>IFERROR(__xludf.DUMMYFUNCTION("""COMPUTED_VALUE""")," ")</f>
        <v> </v>
      </c>
    </row>
    <row r="778">
      <c r="A778" s="99" t="str">
        <f>IFERROR(__xludf.DUMMYFUNCTION("""COMPUTED_VALUE"""),"https://utrucking.com/admin/orders/6456323178684")</f>
        <v>https://utrucking.com/admin/orders/6456323178684</v>
      </c>
      <c r="B778" s="61" t="str">
        <f>IFERROR(__xludf.DUMMYFUNCTION("""COMPUTED_VALUE"""),"#18241")</f>
        <v>#18241</v>
      </c>
      <c r="C778" s="61" t="str">
        <f>IFERROR(__xludf.DUMMYFUNCTION("""COMPUTED_VALUE"""),"winklerr@wustl.edu")</f>
        <v>winklerr@wustl.edu</v>
      </c>
      <c r="D778" s="61">
        <f>IFERROR(__xludf.DUMMYFUNCTION("""COMPUTED_VALUE"""),8.477160903E9)</f>
        <v>8477160903</v>
      </c>
      <c r="E778" s="61" t="str">
        <f>IFERROR(__xludf.DUMMYFUNCTION("""COMPUTED_VALUE"""),"Rebecca Winkler")</f>
        <v>Rebecca Winkler</v>
      </c>
      <c r="F778" s="61" t="str">
        <f>IFERROR(__xludf.DUMMYFUNCTION("""COMPUTED_VALUE"""),"Rebecca Winkler")</f>
        <v>Rebecca Winkler</v>
      </c>
      <c r="G778" s="61" t="str">
        <f>IFERROR(__xludf.DUMMYFUNCTION("""COMPUTED_VALUE""")," 1 [Included with Registration] / Included Insurance   - ")</f>
        <v> 1 [Included with Registration] / Included Insurance   - </v>
      </c>
      <c r="H778" s="61" t="str">
        <f>IFERROR(__xludf.DUMMYFUNCTION("""COMPUTED_VALUE"""),"Danforth  ")</f>
        <v>Danforth  </v>
      </c>
      <c r="I778" s="61" t="str">
        <f>IFERROR(__xludf.DUMMYFUNCTION("""COMPUTED_VALUE"""),"4414")</f>
        <v>4414</v>
      </c>
      <c r="J778" s="107" t="str">
        <f>IFERROR(__xludf.DUMMYFUNCTION("""COMPUTED_VALUE"""),"09:00 AM to 11:00 AM  ")</f>
        <v>09:00 AM to 11:00 AM  </v>
      </c>
      <c r="K778" s="100">
        <f>IFERROR(__xludf.DUMMYFUNCTION("""COMPUTED_VALUE"""),46153.0)</f>
        <v>46153</v>
      </c>
      <c r="L778" s="61" t="str">
        <f>IFERROR(__xludf.DUMMYFUNCTION("""COMPUTED_VALUE""")," ")</f>
        <v> </v>
      </c>
      <c r="M778" s="61"/>
      <c r="N778" s="61" t="str">
        <f>IFERROR(__xludf.DUMMYFUNCTION("""COMPUTED_VALUE""")," ")</f>
        <v> </v>
      </c>
    </row>
    <row r="779">
      <c r="A779" s="102" t="str">
        <f>IFERROR(__xludf.DUMMYFUNCTION("""COMPUTED_VALUE"""),"https://utrucking.com/admin/orders/6456346181820")</f>
        <v>https://utrucking.com/admin/orders/6456346181820</v>
      </c>
      <c r="B779" s="65" t="str">
        <f>IFERROR(__xludf.DUMMYFUNCTION("""COMPUTED_VALUE"""),"#18242")</f>
        <v>#18242</v>
      </c>
      <c r="C779" s="65" t="str">
        <f>IFERROR(__xludf.DUMMYFUNCTION("""COMPUTED_VALUE"""),"spencereyamamoto@gmail.com")</f>
        <v>spencereyamamoto@gmail.com</v>
      </c>
      <c r="D779" s="65">
        <f>IFERROR(__xludf.DUMMYFUNCTION("""COMPUTED_VALUE"""),8.083695904E9)</f>
        <v>8083695904</v>
      </c>
      <c r="E779" s="65" t="str">
        <f>IFERROR(__xludf.DUMMYFUNCTION("""COMPUTED_VALUE"""),"Spencer Yamamoto")</f>
        <v>Spencer Yamamoto</v>
      </c>
      <c r="F779" s="65" t="str">
        <f>IFERROR(__xludf.DUMMYFUNCTION("""COMPUTED_VALUE"""),"Spencer Yamamoto ")</f>
        <v>Spencer Yamamoto </v>
      </c>
      <c r="G779" s="65" t="str">
        <f>IFERROR(__xludf.DUMMYFUNCTION("""COMPUTED_VALUE""")," 1 [Included with Registration] / Included Insurance   - ")</f>
        <v> 1 [Included with Registration] / Included Insurance   - </v>
      </c>
      <c r="H779" s="65" t="str">
        <f>IFERROR(__xludf.DUMMYFUNCTION("""COMPUTED_VALUE"""),"Eliot A (Thomas Eliot)")</f>
        <v>Eliot A (Thomas Eliot)</v>
      </c>
      <c r="I779" s="65" t="str">
        <f>IFERROR(__xludf.DUMMYFUNCTION("""COMPUTED_VALUE"""),"1031")</f>
        <v>1031</v>
      </c>
      <c r="J779" s="108" t="str">
        <f>IFERROR(__xludf.DUMMYFUNCTION("""COMPUTED_VALUE"""),"10:00 AM to 12:00 PM  ")</f>
        <v>10:00 AM to 12:00 PM  </v>
      </c>
      <c r="K779" s="103">
        <f>IFERROR(__xludf.DUMMYFUNCTION("""COMPUTED_VALUE"""),46155.0)</f>
        <v>46155</v>
      </c>
      <c r="L779" s="65" t="str">
        <f>IFERROR(__xludf.DUMMYFUNCTION("""COMPUTED_VALUE""")," ")</f>
        <v> </v>
      </c>
      <c r="M779" s="65"/>
      <c r="N779" s="65" t="str">
        <f>IFERROR(__xludf.DUMMYFUNCTION("""COMPUTED_VALUE""")," ")</f>
        <v> </v>
      </c>
    </row>
    <row r="780">
      <c r="A780" s="99" t="str">
        <f>IFERROR(__xludf.DUMMYFUNCTION("""COMPUTED_VALUE"""),"https://utrucking.com/admin/orders/6456358305980")</f>
        <v>https://utrucking.com/admin/orders/6456358305980</v>
      </c>
      <c r="B780" s="61" t="str">
        <f>IFERROR(__xludf.DUMMYFUNCTION("""COMPUTED_VALUE"""),"#18243")</f>
        <v>#18243</v>
      </c>
      <c r="C780" s="61" t="str">
        <f>IFERROR(__xludf.DUMMYFUNCTION("""COMPUTED_VALUE"""),"h.a.john@wustl.edu")</f>
        <v>h.a.john@wustl.edu</v>
      </c>
      <c r="D780" s="61">
        <f>IFERROR(__xludf.DUMMYFUNCTION("""COMPUTED_VALUE"""),4.752434614E9)</f>
        <v>4752434614</v>
      </c>
      <c r="E780" s="61" t="str">
        <f>IFERROR(__xludf.DUMMYFUNCTION("""COMPUTED_VALUE"""),"Amy John")</f>
        <v>Amy John</v>
      </c>
      <c r="F780" s="61" t="str">
        <f>IFERROR(__xludf.DUMMYFUNCTION("""COMPUTED_VALUE"""),"Harrison John")</f>
        <v>Harrison John</v>
      </c>
      <c r="G780" s="61" t="str">
        <f>IFERROR(__xludf.DUMMYFUNCTION("""COMPUTED_VALUE""")," 2 / Included Insurance   - ")</f>
        <v> 2 / Included Insurance   - </v>
      </c>
      <c r="H780" s="61" t="str">
        <f>IFERROR(__xludf.DUMMYFUNCTION("""COMPUTED_VALUE"""),"House 2 (Sigma Nu)  ")</f>
        <v>House 2 (Sigma Nu)  </v>
      </c>
      <c r="I780" s="61" t="str">
        <f>IFERROR(__xludf.DUMMYFUNCTION("""COMPUTED_VALUE"""),"205")</f>
        <v>205</v>
      </c>
      <c r="J780" s="107" t="str">
        <f>IFERROR(__xludf.DUMMYFUNCTION("""COMPUTED_VALUE"""),"01:00 PM to 03:00 PM  ")</f>
        <v>01:00 PM to 03:00 PM  </v>
      </c>
      <c r="K780" s="100">
        <f>IFERROR(__xludf.DUMMYFUNCTION("""COMPUTED_VALUE"""),46150.0)</f>
        <v>46150</v>
      </c>
      <c r="L780" s="61" t="str">
        <f>IFERROR(__xludf.DUMMYFUNCTION("""COMPUTED_VALUE""")," ")</f>
        <v> </v>
      </c>
      <c r="M780" s="61"/>
      <c r="N780" s="61" t="str">
        <f>IFERROR(__xludf.DUMMYFUNCTION("""COMPUTED_VALUE""")," ")</f>
        <v> </v>
      </c>
    </row>
    <row r="781">
      <c r="A781" s="102" t="str">
        <f>IFERROR(__xludf.DUMMYFUNCTION("""COMPUTED_VALUE"""),"https://utrucking.com/admin/orders/6456585388220")</f>
        <v>https://utrucking.com/admin/orders/6456585388220</v>
      </c>
      <c r="B781" s="65" t="str">
        <f>IFERROR(__xludf.DUMMYFUNCTION("""COMPUTED_VALUE"""),"#18249")</f>
        <v>#18249</v>
      </c>
      <c r="C781" s="65" t="str">
        <f>IFERROR(__xludf.DUMMYFUNCTION("""COMPUTED_VALUE"""),"bueno@wustl.edu")</f>
        <v>bueno@wustl.edu</v>
      </c>
      <c r="D781" s="65">
        <f>IFERROR(__xludf.DUMMYFUNCTION("""COMPUTED_VALUE"""),5.052979003E9)</f>
        <v>5052979003</v>
      </c>
      <c r="E781" s="65" t="str">
        <f>IFERROR(__xludf.DUMMYFUNCTION("""COMPUTED_VALUE"""),"Timothy Bueno")</f>
        <v>Timothy Bueno</v>
      </c>
      <c r="F781" s="65" t="str">
        <f>IFERROR(__xludf.DUMMYFUNCTION("""COMPUTED_VALUE"""),"Timothy Bueno")</f>
        <v>Timothy Bueno</v>
      </c>
      <c r="G781" s="65" t="str">
        <f>IFERROR(__xludf.DUMMYFUNCTION("""COMPUTED_VALUE""")," 1 [Included with Registration] / Included Insurance   - ")</f>
        <v> 1 [Included with Registration] / Included Insurance   - </v>
      </c>
      <c r="H781" s="65" t="str">
        <f>IFERROR(__xludf.DUMMYFUNCTION("""COMPUTED_VALUE"""),"Lopata  ")</f>
        <v>Lopata  </v>
      </c>
      <c r="I781" s="65" t="str">
        <f>IFERROR(__xludf.DUMMYFUNCTION("""COMPUTED_VALUE"""),"2082")</f>
        <v>2082</v>
      </c>
      <c r="J781" s="108" t="str">
        <f>IFERROR(__xludf.DUMMYFUNCTION("""COMPUTED_VALUE"""),"10:00 AM to 12:00 PM  ")</f>
        <v>10:00 AM to 12:00 PM  </v>
      </c>
      <c r="K781" s="103">
        <f>IFERROR(__xludf.DUMMYFUNCTION("""COMPUTED_VALUE"""),46149.0)</f>
        <v>46149</v>
      </c>
      <c r="L781" s="65" t="str">
        <f>IFERROR(__xludf.DUMMYFUNCTION("""COMPUTED_VALUE""")," ")</f>
        <v> </v>
      </c>
      <c r="M781" s="65"/>
      <c r="N781" s="65" t="str">
        <f>IFERROR(__xludf.DUMMYFUNCTION("""COMPUTED_VALUE""")," ")</f>
        <v> </v>
      </c>
    </row>
    <row r="782">
      <c r="A782" s="99" t="str">
        <f>IFERROR(__xludf.DUMMYFUNCTION("""COMPUTED_VALUE"""),"https://utrucking.com/admin/orders/6456755093692")</f>
        <v>https://utrucking.com/admin/orders/6456755093692</v>
      </c>
      <c r="B782" s="61" t="str">
        <f>IFERROR(__xludf.DUMMYFUNCTION("""COMPUTED_VALUE"""),"#18258")</f>
        <v>#18258</v>
      </c>
      <c r="C782" s="61" t="str">
        <f>IFERROR(__xludf.DUMMYFUNCTION("""COMPUTED_VALUE"""),"a.thadani@wustl.edu")</f>
        <v>a.thadani@wustl.edu</v>
      </c>
      <c r="D782" s="61">
        <f>IFERROR(__xludf.DUMMYFUNCTION("""COMPUTED_VALUE"""),9.143309695E9)</f>
        <v>9143309695</v>
      </c>
      <c r="E782" s="61" t="str">
        <f>IFERROR(__xludf.DUMMYFUNCTION("""COMPUTED_VALUE"""),"Amira Thadani")</f>
        <v>Amira Thadani</v>
      </c>
      <c r="F782" s="61" t="str">
        <f>IFERROR(__xludf.DUMMYFUNCTION("""COMPUTED_VALUE"""),"Amira Thadani")</f>
        <v>Amira Thadani</v>
      </c>
      <c r="G782" s="61" t="str">
        <f>IFERROR(__xludf.DUMMYFUNCTION("""COMPUTED_VALUE""")," 1 [Included with Registration] / Included Insurance   - ")</f>
        <v> 1 [Included with Registration] / Included Insurance   - </v>
      </c>
      <c r="H782" s="61" t="str">
        <f>IFERROR(__xludf.DUMMYFUNCTION("""COMPUTED_VALUE"""),"Shepley  ")</f>
        <v>Shepley  </v>
      </c>
      <c r="I782" s="61" t="str">
        <f>IFERROR(__xludf.DUMMYFUNCTION("""COMPUTED_VALUE"""),"4011")</f>
        <v>4011</v>
      </c>
      <c r="J782" s="107" t="str">
        <f>IFERROR(__xludf.DUMMYFUNCTION("""COMPUTED_VALUE"""),"03:00 PM to 05:00 PM")</f>
        <v>03:00 PM to 05:00 PM</v>
      </c>
      <c r="K782" s="100">
        <f>IFERROR(__xludf.DUMMYFUNCTION("""COMPUTED_VALUE"""),46149.0)</f>
        <v>46149</v>
      </c>
      <c r="L782" s="61" t="str">
        <f>IFERROR(__xludf.DUMMYFUNCTION("""COMPUTED_VALUE""")," ")</f>
        <v> </v>
      </c>
      <c r="M782" s="61"/>
      <c r="N782" s="61" t="str">
        <f>IFERROR(__xludf.DUMMYFUNCTION("""COMPUTED_VALUE""")," ")</f>
        <v> </v>
      </c>
    </row>
    <row r="783">
      <c r="A783" s="102" t="str">
        <f>IFERROR(__xludf.DUMMYFUNCTION("""COMPUTED_VALUE"""),"https://utrucking.com/admin/orders/6456869519548")</f>
        <v>https://utrucking.com/admin/orders/6456869519548</v>
      </c>
      <c r="B783" s="65" t="str">
        <f>IFERROR(__xludf.DUMMYFUNCTION("""COMPUTED_VALUE"""),"#18260")</f>
        <v>#18260</v>
      </c>
      <c r="C783" s="65" t="str">
        <f>IFERROR(__xludf.DUMMYFUNCTION("""COMPUTED_VALUE"""),"tianruiyang123@gmail.com")</f>
        <v>tianruiyang123@gmail.com</v>
      </c>
      <c r="D783" s="65">
        <f>IFERROR(__xludf.DUMMYFUNCTION("""COMPUTED_VALUE"""),8.577016012E9)</f>
        <v>8577016012</v>
      </c>
      <c r="E783" s="65" t="str">
        <f>IFERROR(__xludf.DUMMYFUNCTION("""COMPUTED_VALUE"""),"Tianrui Yang")</f>
        <v>Tianrui Yang</v>
      </c>
      <c r="F783" s="65" t="str">
        <f>IFERROR(__xludf.DUMMYFUNCTION("""COMPUTED_VALUE"""),"Aria Yang")</f>
        <v>Aria Yang</v>
      </c>
      <c r="G783" s="65" t="str">
        <f>IFERROR(__xludf.DUMMYFUNCTION("""COMPUTED_VALUE""")," 1 [Included with Registration] / Included Insurance   - ")</f>
        <v> 1 [Included with Registration] / Included Insurance   - </v>
      </c>
      <c r="H783" s="65" t="str">
        <f>IFERROR(__xludf.DUMMYFUNCTION("""COMPUTED_VALUE"""),"Dardick  ")</f>
        <v>Dardick  </v>
      </c>
      <c r="I783" s="65" t="str">
        <f>IFERROR(__xludf.DUMMYFUNCTION("""COMPUTED_VALUE"""),"2215")</f>
        <v>2215</v>
      </c>
      <c r="J783" s="108" t="str">
        <f>IFERROR(__xludf.DUMMYFUNCTION("""COMPUTED_VALUE"""),"12:00 PM to 02:00 PM  ")</f>
        <v>12:00 PM to 02:00 PM  </v>
      </c>
      <c r="K783" s="103">
        <f>IFERROR(__xludf.DUMMYFUNCTION("""COMPUTED_VALUE"""),46149.0)</f>
        <v>46149</v>
      </c>
      <c r="L783" s="65" t="str">
        <f>IFERROR(__xludf.DUMMYFUNCTION("""COMPUTED_VALUE""")," ")</f>
        <v> </v>
      </c>
      <c r="M783" s="65"/>
      <c r="N783" s="65" t="str">
        <f>IFERROR(__xludf.DUMMYFUNCTION("""COMPUTED_VALUE""")," ")</f>
        <v> </v>
      </c>
    </row>
    <row r="784">
      <c r="A784" s="99" t="str">
        <f>IFERROR(__xludf.DUMMYFUNCTION("""COMPUTED_VALUE"""),"https://utrucking.com/admin/orders/6456885018812")</f>
        <v>https://utrucking.com/admin/orders/6456885018812</v>
      </c>
      <c r="B784" s="61" t="str">
        <f>IFERROR(__xludf.DUMMYFUNCTION("""COMPUTED_VALUE"""),"#18262")</f>
        <v>#18262</v>
      </c>
      <c r="C784" s="61" t="str">
        <f>IFERROR(__xludf.DUMMYFUNCTION("""COMPUTED_VALUE"""),"lperki2020@gmail.com")</f>
        <v>lperki2020@gmail.com</v>
      </c>
      <c r="D784" s="61">
        <f>IFERROR(__xludf.DUMMYFUNCTION("""COMPUTED_VALUE"""),2.252187722E9)</f>
        <v>2252187722</v>
      </c>
      <c r="E784" s="61" t="str">
        <f>IFERROR(__xludf.DUMMYFUNCTION("""COMPUTED_VALUE"""),"Y Perkins")</f>
        <v>Y Perkins</v>
      </c>
      <c r="F784" s="61" t="str">
        <f>IFERROR(__xludf.DUMMYFUNCTION("""COMPUTED_VALUE"""),"Lauren Perkins")</f>
        <v>Lauren Perkins</v>
      </c>
      <c r="G784" s="61" t="str">
        <f>IFERROR(__xludf.DUMMYFUNCTION("""COMPUTED_VALUE""")," 1 [Included with Registration] / Included Insurance   - ")</f>
        <v> 1 [Included with Registration] / Included Insurance   - </v>
      </c>
      <c r="H784" s="61" t="str">
        <f>IFERROR(__xludf.DUMMYFUNCTION("""COMPUTED_VALUE"""),"Greenway Apartments  ")</f>
        <v>Greenway Apartments  </v>
      </c>
      <c r="I784" s="61" t="str">
        <f>IFERROR(__xludf.DUMMYFUNCTION("""COMPUTED_VALUE"""),"314")</f>
        <v>314</v>
      </c>
      <c r="J784" s="107" t="str">
        <f>IFERROR(__xludf.DUMMYFUNCTION("""COMPUTED_VALUE"""),"03:00 PM to 05:00 PM")</f>
        <v>03:00 PM to 05:00 PM</v>
      </c>
      <c r="K784" s="100">
        <f>IFERROR(__xludf.DUMMYFUNCTION("""COMPUTED_VALUE"""),46158.0)</f>
        <v>46158</v>
      </c>
      <c r="L784" s="61" t="str">
        <f>IFERROR(__xludf.DUMMYFUNCTION("""COMPUTED_VALUE""")," ")</f>
        <v> </v>
      </c>
      <c r="M784" s="61"/>
      <c r="N784" s="61" t="str">
        <f>IFERROR(__xludf.DUMMYFUNCTION("""COMPUTED_VALUE""")," ")</f>
        <v> </v>
      </c>
    </row>
    <row r="785">
      <c r="A785" s="102" t="str">
        <f>IFERROR(__xludf.DUMMYFUNCTION("""COMPUTED_VALUE"""),"https://utrucking.com/admin/orders/6457602506940")</f>
        <v>https://utrucking.com/admin/orders/6457602506940</v>
      </c>
      <c r="B785" s="65" t="str">
        <f>IFERROR(__xludf.DUMMYFUNCTION("""COMPUTED_VALUE"""),"#18267")</f>
        <v>#18267</v>
      </c>
      <c r="C785" s="65" t="str">
        <f>IFERROR(__xludf.DUMMYFUNCTION("""COMPUTED_VALUE"""),"june061206@gmail.com")</f>
        <v>june061206@gmail.com</v>
      </c>
      <c r="D785" s="65">
        <f>IFERROR(__xludf.DUMMYFUNCTION("""COMPUTED_VALUE"""),5.572289462E9)</f>
        <v>5572289462</v>
      </c>
      <c r="E785" s="65" t="str">
        <f>IFERROR(__xludf.DUMMYFUNCTION("""COMPUTED_VALUE"""),"June Kim")</f>
        <v>June Kim</v>
      </c>
      <c r="F785" s="65" t="str">
        <f>IFERROR(__xludf.DUMMYFUNCTION("""COMPUTED_VALUE"""),"June Kim")</f>
        <v>June Kim</v>
      </c>
      <c r="G785" s="65" t="str">
        <f>IFERROR(__xludf.DUMMYFUNCTION("""COMPUTED_VALUE""")," 1 [Included with Registration] / Included Insurance   - ")</f>
        <v> 1 [Included with Registration] / Included Insurance   - </v>
      </c>
      <c r="H785" s="65" t="str">
        <f>IFERROR(__xludf.DUMMYFUNCTION("""COMPUTED_VALUE"""),"Lien  ")</f>
        <v>Lien  </v>
      </c>
      <c r="I785" s="65" t="str">
        <f>IFERROR(__xludf.DUMMYFUNCTION("""COMPUTED_VALUE"""),"2201")</f>
        <v>2201</v>
      </c>
      <c r="J785" s="108" t="str">
        <f>IFERROR(__xludf.DUMMYFUNCTION("""COMPUTED_VALUE"""),"09:00 AM to 11:00 AM  ")</f>
        <v>09:00 AM to 11:00 AM  </v>
      </c>
      <c r="K785" s="103">
        <f>IFERROR(__xludf.DUMMYFUNCTION("""COMPUTED_VALUE"""),46149.0)</f>
        <v>46149</v>
      </c>
      <c r="L785" s="65" t="str">
        <f>IFERROR(__xludf.DUMMYFUNCTION("""COMPUTED_VALUE""")," ")</f>
        <v> </v>
      </c>
      <c r="M785" s="65"/>
      <c r="N785" s="65" t="str">
        <f>IFERROR(__xludf.DUMMYFUNCTION("""COMPUTED_VALUE""")," ")</f>
        <v> </v>
      </c>
    </row>
    <row r="786">
      <c r="A786" s="99" t="str">
        <f>IFERROR(__xludf.DUMMYFUNCTION("""COMPUTED_VALUE"""),"https://utrucking.com/admin/orders/6457716768956")</f>
        <v>https://utrucking.com/admin/orders/6457716768956</v>
      </c>
      <c r="B786" s="61" t="str">
        <f>IFERROR(__xludf.DUMMYFUNCTION("""COMPUTED_VALUE"""),"#18273")</f>
        <v>#18273</v>
      </c>
      <c r="C786" s="61" t="str">
        <f>IFERROR(__xludf.DUMMYFUNCTION("""COMPUTED_VALUE"""),"igoogl924@gmail.com")</f>
        <v>igoogl924@gmail.com</v>
      </c>
      <c r="D786" s="61">
        <f>IFERROR(__xludf.DUMMYFUNCTION("""COMPUTED_VALUE"""),3.147616366E9)</f>
        <v>3147616366</v>
      </c>
      <c r="E786" s="61" t="str">
        <f>IFERROR(__xludf.DUMMYFUNCTION("""COMPUTED_VALUE"""),"Sampath Pippala")</f>
        <v>Sampath Pippala</v>
      </c>
      <c r="F786" s="61" t="str">
        <f>IFERROR(__xludf.DUMMYFUNCTION("""COMPUTED_VALUE"""),"Nithya Pippala")</f>
        <v>Nithya Pippala</v>
      </c>
      <c r="G786" s="61" t="str">
        <f>IFERROR(__xludf.DUMMYFUNCTION("""COMPUTED_VALUE""")," 1 [Included with Registration] / Included Insurance   - ")</f>
        <v> 1 [Included with Registration] / Included Insurance   - </v>
      </c>
      <c r="H786" s="61" t="str">
        <f>IFERROR(__xludf.DUMMYFUNCTION("""COMPUTED_VALUE"""),"Village East  ")</f>
        <v>Village East  </v>
      </c>
      <c r="I786" s="61" t="str">
        <f>IFERROR(__xludf.DUMMYFUNCTION("""COMPUTED_VALUE"""),"3010")</f>
        <v>3010</v>
      </c>
      <c r="J786" s="107" t="str">
        <f>IFERROR(__xludf.DUMMYFUNCTION("""COMPUTED_VALUE"""),"11:00 AM to 01:00 PM  ")</f>
        <v>11:00 AM to 01:00 PM  </v>
      </c>
      <c r="K786" s="100">
        <f>IFERROR(__xludf.DUMMYFUNCTION("""COMPUTED_VALUE"""),46149.0)</f>
        <v>46149</v>
      </c>
      <c r="L786" s="61" t="str">
        <f>IFERROR(__xludf.DUMMYFUNCTION("""COMPUTED_VALUE""")," ")</f>
        <v> </v>
      </c>
      <c r="M786" s="61"/>
      <c r="N786" s="61" t="str">
        <f>IFERROR(__xludf.DUMMYFUNCTION("""COMPUTED_VALUE""")," ")</f>
        <v> </v>
      </c>
    </row>
    <row r="787">
      <c r="A787" s="102" t="str">
        <f>IFERROR(__xludf.DUMMYFUNCTION("""COMPUTED_VALUE"""),"https://utrucking.com/admin/orders/6457966854332")</f>
        <v>https://utrucking.com/admin/orders/6457966854332</v>
      </c>
      <c r="B787" s="65" t="str">
        <f>IFERROR(__xludf.DUMMYFUNCTION("""COMPUTED_VALUE"""),"#18280")</f>
        <v>#18280</v>
      </c>
      <c r="C787" s="65" t="str">
        <f>IFERROR(__xludf.DUMMYFUNCTION("""COMPUTED_VALUE"""),"y.tan@wustl.edu")</f>
        <v>y.tan@wustl.edu</v>
      </c>
      <c r="D787" s="65">
        <f>IFERROR(__xludf.DUMMYFUNCTION("""COMPUTED_VALUE"""),3.146295114E9)</f>
        <v>3146295114</v>
      </c>
      <c r="E787" s="65" t="str">
        <f>IFERROR(__xludf.DUMMYFUNCTION("""COMPUTED_VALUE"""),"Thomas Tan")</f>
        <v>Thomas Tan</v>
      </c>
      <c r="F787" s="65" t="str">
        <f>IFERROR(__xludf.DUMMYFUNCTION("""COMPUTED_VALUE"""),"Yuyang Tan")</f>
        <v>Yuyang Tan</v>
      </c>
      <c r="G787" s="65" t="str">
        <f>IFERROR(__xludf.DUMMYFUNCTION("""COMPUTED_VALUE""")," 2 / Included Insurance   - ")</f>
        <v> 2 / Included Insurance   - </v>
      </c>
      <c r="H787" s="65" t="str">
        <f>IFERROR(__xludf.DUMMYFUNCTION("""COMPUTED_VALUE"""),"House 7")</f>
        <v>House 7</v>
      </c>
      <c r="I787" s="65" t="str">
        <f>IFERROR(__xludf.DUMMYFUNCTION("""COMPUTED_VALUE"""),"206")</f>
        <v>206</v>
      </c>
      <c r="J787" s="108" t="str">
        <f>IFERROR(__xludf.DUMMYFUNCTION("""COMPUTED_VALUE"""),"09:00 AM to 11:00 AM  ")</f>
        <v>09:00 AM to 11:00 AM  </v>
      </c>
      <c r="K787" s="103">
        <f>IFERROR(__xludf.DUMMYFUNCTION("""COMPUTED_VALUE"""),46149.0)</f>
        <v>46149</v>
      </c>
      <c r="L787" s="65" t="str">
        <f>IFERROR(__xludf.DUMMYFUNCTION("""COMPUTED_VALUE""")," ")</f>
        <v> </v>
      </c>
      <c r="M787" s="65"/>
      <c r="N787" s="65" t="str">
        <f>IFERROR(__xludf.DUMMYFUNCTION("""COMPUTED_VALUE""")," ")</f>
        <v> </v>
      </c>
    </row>
    <row r="788">
      <c r="A788" s="99" t="str">
        <f>IFERROR(__xludf.DUMMYFUNCTION("""COMPUTED_VALUE"""),"https://utrucking.com/admin/orders/6458203537596")</f>
        <v>https://utrucking.com/admin/orders/6458203537596</v>
      </c>
      <c r="B788" s="61" t="str">
        <f>IFERROR(__xludf.DUMMYFUNCTION("""COMPUTED_VALUE"""),"#18288")</f>
        <v>#18288</v>
      </c>
      <c r="C788" s="61" t="str">
        <f>IFERROR(__xludf.DUMMYFUNCTION("""COMPUTED_VALUE"""),"jackl803@comcast.net")</f>
        <v>jackl803@comcast.net</v>
      </c>
      <c r="D788" s="61">
        <f>IFERROR(__xludf.DUMMYFUNCTION("""COMPUTED_VALUE"""),2.81660986E9)</f>
        <v>2816609860</v>
      </c>
      <c r="E788" s="61" t="str">
        <f>IFERROR(__xludf.DUMMYFUNCTION("""COMPUTED_VALUE"""),"John Link")</f>
        <v>John Link</v>
      </c>
      <c r="F788" s="61" t="str">
        <f>IFERROR(__xludf.DUMMYFUNCTION("""COMPUTED_VALUE"""),"John Link")</f>
        <v>John Link</v>
      </c>
      <c r="G788" s="61" t="str">
        <f>IFERROR(__xludf.DUMMYFUNCTION("""COMPUTED_VALUE""")," 1 [Included with Registration] / Included Insurance   - ")</f>
        <v> 1 [Included with Registration] / Included Insurance   - </v>
      </c>
      <c r="H788" s="61" t="str">
        <f>IFERROR(__xludf.DUMMYFUNCTION("""COMPUTED_VALUE"""),"Village House  ")</f>
        <v>Village House  </v>
      </c>
      <c r="I788" s="61" t="str">
        <f>IFERROR(__xludf.DUMMYFUNCTION("""COMPUTED_VALUE"""),"4141")</f>
        <v>4141</v>
      </c>
      <c r="J788" s="107" t="str">
        <f>IFERROR(__xludf.DUMMYFUNCTION("""COMPUTED_VALUE"""),"02:00 PM to 04:00 PM")</f>
        <v>02:00 PM to 04:00 PM</v>
      </c>
      <c r="K788" s="100">
        <f>IFERROR(__xludf.DUMMYFUNCTION("""COMPUTED_VALUE"""),46153.0)</f>
        <v>46153</v>
      </c>
      <c r="L788" s="61" t="str">
        <f>IFERROR(__xludf.DUMMYFUNCTION("""COMPUTED_VALUE""")," ")</f>
        <v> </v>
      </c>
      <c r="M788" s="61"/>
      <c r="N788" s="61" t="str">
        <f>IFERROR(__xludf.DUMMYFUNCTION("""COMPUTED_VALUE""")," ")</f>
        <v> </v>
      </c>
    </row>
    <row r="789">
      <c r="A789" s="102" t="str">
        <f>IFERROR(__xludf.DUMMYFUNCTION("""COMPUTED_VALUE"""),"https://utrucking.com/admin/orders/6458276151484")</f>
        <v>https://utrucking.com/admin/orders/6458276151484</v>
      </c>
      <c r="B789" s="65" t="str">
        <f>IFERROR(__xludf.DUMMYFUNCTION("""COMPUTED_VALUE"""),"#18289")</f>
        <v>#18289</v>
      </c>
      <c r="C789" s="65" t="str">
        <f>IFERROR(__xludf.DUMMYFUNCTION("""COMPUTED_VALUE"""),"crystal_s_bell@yahoo.com")</f>
        <v>crystal_s_bell@yahoo.com</v>
      </c>
      <c r="D789" s="65">
        <f>IFERROR(__xludf.DUMMYFUNCTION("""COMPUTED_VALUE"""),9.738688807E9)</f>
        <v>9738688807</v>
      </c>
      <c r="E789" s="65" t="str">
        <f>IFERROR(__xludf.DUMMYFUNCTION("""COMPUTED_VALUE"""),"Crystal Bell")</f>
        <v>Crystal Bell</v>
      </c>
      <c r="F789" s="65" t="str">
        <f>IFERROR(__xludf.DUMMYFUNCTION("""COMPUTED_VALUE"""),"Kendall Bell")</f>
        <v>Kendall Bell</v>
      </c>
      <c r="G789" s="65" t="str">
        <f>IFERROR(__xludf.DUMMYFUNCTION("""COMPUTED_VALUE""")," 0 / Included Insurance   - ")</f>
        <v> 0 / Included Insurance   - </v>
      </c>
      <c r="H789" s="65" t="str">
        <f>IFERROR(__xludf.DUMMYFUNCTION("""COMPUTED_VALUE"""),"Umrath  ")</f>
        <v>Umrath  </v>
      </c>
      <c r="I789" s="65" t="str">
        <f>IFERROR(__xludf.DUMMYFUNCTION("""COMPUTED_VALUE"""),"4423")</f>
        <v>4423</v>
      </c>
      <c r="J789" s="108" t="str">
        <f>IFERROR(__xludf.DUMMYFUNCTION("""COMPUTED_VALUE"""),"09:00 AM to 11:00 AM  ")</f>
        <v>09:00 AM to 11:00 AM  </v>
      </c>
      <c r="K789" s="103">
        <f>IFERROR(__xludf.DUMMYFUNCTION("""COMPUTED_VALUE"""),46150.0)</f>
        <v>46150</v>
      </c>
      <c r="L789" s="65" t="str">
        <f>IFERROR(__xludf.DUMMYFUNCTION("""COMPUTED_VALUE""")," ")</f>
        <v> </v>
      </c>
      <c r="M789" s="65"/>
      <c r="N789" s="65" t="str">
        <f>IFERROR(__xludf.DUMMYFUNCTION("""COMPUTED_VALUE""")," ")</f>
        <v> </v>
      </c>
    </row>
    <row r="790">
      <c r="A790" s="99" t="str">
        <f>IFERROR(__xludf.DUMMYFUNCTION("""COMPUTED_VALUE"""),"https://utrucking.com/admin/orders/6458384449724")</f>
        <v>https://utrucking.com/admin/orders/6458384449724</v>
      </c>
      <c r="B790" s="61" t="str">
        <f>IFERROR(__xludf.DUMMYFUNCTION("""COMPUTED_VALUE"""),"#18293")</f>
        <v>#18293</v>
      </c>
      <c r="C790" s="61" t="str">
        <f>IFERROR(__xludf.DUMMYFUNCTION("""COMPUTED_VALUE"""),"yangchloelee@gmail.com")</f>
        <v>yangchloelee@gmail.com</v>
      </c>
      <c r="D790" s="61">
        <f>IFERROR(__xludf.DUMMYFUNCTION("""COMPUTED_VALUE"""),3.323231785E9)</f>
        <v>3323231785</v>
      </c>
      <c r="E790" s="61" t="str">
        <f>IFERROR(__xludf.DUMMYFUNCTION("""COMPUTED_VALUE"""),"Chloe Yang")</f>
        <v>Chloe Yang</v>
      </c>
      <c r="F790" s="61" t="str">
        <f>IFERROR(__xludf.DUMMYFUNCTION("""COMPUTED_VALUE"""),"Chloe Yang")</f>
        <v>Chloe Yang</v>
      </c>
      <c r="G790" s="61" t="str">
        <f>IFERROR(__xludf.DUMMYFUNCTION("""COMPUTED_VALUE""")," 1 [Included with Registration] / Included Insurance   - ")</f>
        <v> 1 [Included with Registration] / Included Insurance   - </v>
      </c>
      <c r="H790" s="61" t="str">
        <f>IFERROR(__xludf.DUMMYFUNCTION("""COMPUTED_VALUE"""),"Shepley  ")</f>
        <v>Shepley  </v>
      </c>
      <c r="I790" s="61" t="str">
        <f>IFERROR(__xludf.DUMMYFUNCTION("""COMPUTED_VALUE"""),"1034")</f>
        <v>1034</v>
      </c>
      <c r="J790" s="107" t="str">
        <f>IFERROR(__xludf.DUMMYFUNCTION("""COMPUTED_VALUE"""),"11:00 AM to 01:00 PM  ")</f>
        <v>11:00 AM to 01:00 PM  </v>
      </c>
      <c r="K790" s="100">
        <f>IFERROR(__xludf.DUMMYFUNCTION("""COMPUTED_VALUE"""),46150.0)</f>
        <v>46150</v>
      </c>
      <c r="L790" s="61" t="str">
        <f>IFERROR(__xludf.DUMMYFUNCTION("""COMPUTED_VALUE""")," ")</f>
        <v> </v>
      </c>
      <c r="M790" s="61"/>
      <c r="N790" s="61" t="str">
        <f>IFERROR(__xludf.DUMMYFUNCTION("""COMPUTED_VALUE""")," ")</f>
        <v> </v>
      </c>
    </row>
    <row r="791">
      <c r="A791" s="102" t="str">
        <f>IFERROR(__xludf.DUMMYFUNCTION("""COMPUTED_VALUE"""),"https://utrucking.com/admin/orders/6458943832252")</f>
        <v>https://utrucking.com/admin/orders/6458943832252</v>
      </c>
      <c r="B791" s="65" t="str">
        <f>IFERROR(__xludf.DUMMYFUNCTION("""COMPUTED_VALUE"""),"#18301")</f>
        <v>#18301</v>
      </c>
      <c r="C791" s="65" t="str">
        <f>IFERROR(__xludf.DUMMYFUNCTION("""COMPUTED_VALUE"""),"maohua@wustl.edu")</f>
        <v>maohua@wustl.edu</v>
      </c>
      <c r="D791" s="65">
        <f>IFERROR(__xludf.DUMMYFUNCTION("""COMPUTED_VALUE"""),8.056375739E9)</f>
        <v>8056375739</v>
      </c>
      <c r="E791" s="65" t="str">
        <f>IFERROR(__xludf.DUMMYFUNCTION("""COMPUTED_VALUE"""),"Maohua Zhang")</f>
        <v>Maohua Zhang</v>
      </c>
      <c r="F791" s="65" t="str">
        <f>IFERROR(__xludf.DUMMYFUNCTION("""COMPUTED_VALUE"""),"Maohua Zhang")</f>
        <v>Maohua Zhang</v>
      </c>
      <c r="G791" s="65" t="str">
        <f>IFERROR(__xludf.DUMMYFUNCTION("""COMPUTED_VALUE""")," 1 [Included with Registration] / Included Insurance   - ")</f>
        <v> 1 [Included with Registration] / Included Insurance   - </v>
      </c>
      <c r="H791" s="65" t="str">
        <f>IFERROR(__xludf.DUMMYFUNCTION("""COMPUTED_VALUE"""),"House 7")</f>
        <v>House 7</v>
      </c>
      <c r="I791" s="65" t="str">
        <f>IFERROR(__xludf.DUMMYFUNCTION("""COMPUTED_VALUE"""),"202")</f>
        <v>202</v>
      </c>
      <c r="J791" s="108" t="str">
        <f>IFERROR(__xludf.DUMMYFUNCTION("""COMPUTED_VALUE"""),"10:00 AM to 12:00 PM  ")</f>
        <v>10:00 AM to 12:00 PM  </v>
      </c>
      <c r="K791" s="103">
        <f>IFERROR(__xludf.DUMMYFUNCTION("""COMPUTED_VALUE"""),46150.0)</f>
        <v>46150</v>
      </c>
      <c r="L791" s="65" t="str">
        <f>IFERROR(__xludf.DUMMYFUNCTION("""COMPUTED_VALUE""")," ")</f>
        <v> </v>
      </c>
      <c r="M791" s="65"/>
      <c r="N791" s="65" t="str">
        <f>IFERROR(__xludf.DUMMYFUNCTION("""COMPUTED_VALUE""")," ")</f>
        <v> </v>
      </c>
    </row>
    <row r="792">
      <c r="A792" s="99" t="str">
        <f>IFERROR(__xludf.DUMMYFUNCTION("""COMPUTED_VALUE"""),"https://utrucking.com/admin/orders/6459033682108")</f>
        <v>https://utrucking.com/admin/orders/6459033682108</v>
      </c>
      <c r="B792" s="61" t="str">
        <f>IFERROR(__xludf.DUMMYFUNCTION("""COMPUTED_VALUE"""),"#18307")</f>
        <v>#18307</v>
      </c>
      <c r="C792" s="61" t="str">
        <f>IFERROR(__xludf.DUMMYFUNCTION("""COMPUTED_VALUE"""),"elise.l.taylor@wustl.edu")</f>
        <v>elise.l.taylor@wustl.edu</v>
      </c>
      <c r="D792" s="61">
        <f>IFERROR(__xludf.DUMMYFUNCTION("""COMPUTED_VALUE"""),2.037257546E9)</f>
        <v>2037257546</v>
      </c>
      <c r="E792" s="61" t="str">
        <f>IFERROR(__xludf.DUMMYFUNCTION("""COMPUTED_VALUE"""),"Kevin Taylor")</f>
        <v>Kevin Taylor</v>
      </c>
      <c r="F792" s="61" t="str">
        <f>IFERROR(__xludf.DUMMYFUNCTION("""COMPUTED_VALUE"""),"Elise Taylor")</f>
        <v>Elise Taylor</v>
      </c>
      <c r="G792" s="61" t="str">
        <f>IFERROR(__xludf.DUMMYFUNCTION("""COMPUTED_VALUE""")," 2 / Included Insurance   - ")</f>
        <v> 2 / Included Insurance   - </v>
      </c>
      <c r="H792" s="61" t="str">
        <f>IFERROR(__xludf.DUMMYFUNCTION("""COMPUTED_VALUE"""),"Gregg  ")</f>
        <v>Gregg  </v>
      </c>
      <c r="I792" s="61" t="str">
        <f>IFERROR(__xludf.DUMMYFUNCTION("""COMPUTED_VALUE"""),"3140")</f>
        <v>3140</v>
      </c>
      <c r="J792" s="107" t="str">
        <f>IFERROR(__xludf.DUMMYFUNCTION("""COMPUTED_VALUE"""),"09:00 AM to 11:00 AM  ")</f>
        <v>09:00 AM to 11:00 AM  </v>
      </c>
      <c r="K792" s="100">
        <f>IFERROR(__xludf.DUMMYFUNCTION("""COMPUTED_VALUE"""),46150.0)</f>
        <v>46150</v>
      </c>
      <c r="L792" s="61" t="str">
        <f>IFERROR(__xludf.DUMMYFUNCTION("""COMPUTED_VALUE""")," ")</f>
        <v> </v>
      </c>
      <c r="M792" s="61"/>
      <c r="N792" s="61" t="str">
        <f>IFERROR(__xludf.DUMMYFUNCTION("""COMPUTED_VALUE""")," ")</f>
        <v> </v>
      </c>
    </row>
    <row r="793">
      <c r="A793" s="102" t="str">
        <f>IFERROR(__xludf.DUMMYFUNCTION("""COMPUTED_VALUE"""),"https://utrucking.com/admin/orders/6459105083580")</f>
        <v>https://utrucking.com/admin/orders/6459105083580</v>
      </c>
      <c r="B793" s="65" t="str">
        <f>IFERROR(__xludf.DUMMYFUNCTION("""COMPUTED_VALUE"""),"#18311")</f>
        <v>#18311</v>
      </c>
      <c r="C793" s="65" t="str">
        <f>IFERROR(__xludf.DUMMYFUNCTION("""COMPUTED_VALUE"""),"a.eleanor@wustl.edu")</f>
        <v>a.eleanor@wustl.edu</v>
      </c>
      <c r="D793" s="65">
        <f>IFERROR(__xludf.DUMMYFUNCTION("""COMPUTED_VALUE"""),1.8063493688E10)</f>
        <v>18063493688</v>
      </c>
      <c r="E793" s="65" t="str">
        <f>IFERROR(__xludf.DUMMYFUNCTION("""COMPUTED_VALUE"""),"Eleanor Archer")</f>
        <v>Eleanor Archer</v>
      </c>
      <c r="F793" s="65" t="str">
        <f>IFERROR(__xludf.DUMMYFUNCTION("""COMPUTED_VALUE"""),"Eleanor Archer")</f>
        <v>Eleanor Archer</v>
      </c>
      <c r="G793" s="65" t="str">
        <f>IFERROR(__xludf.DUMMYFUNCTION("""COMPUTED_VALUE""")," 1 [Included with Registration] / Included Insurance   - ")</f>
        <v> 1 [Included with Registration] / Included Insurance   - </v>
      </c>
      <c r="H793" s="65"/>
      <c r="I793" s="65"/>
      <c r="J793" s="108" t="str">
        <f>IFERROR(__xludf.DUMMYFUNCTION("""COMPUTED_VALUE"""),"09:00 AM to 11:00 AM  ")</f>
        <v>09:00 AM to 11:00 AM  </v>
      </c>
      <c r="K793" s="103">
        <f>IFERROR(__xludf.DUMMYFUNCTION("""COMPUTED_VALUE"""),46158.0)</f>
        <v>46158</v>
      </c>
      <c r="L793" s="65" t="str">
        <f>IFERROR(__xludf.DUMMYFUNCTION("""COMPUTED_VALUE""")," ")</f>
        <v> </v>
      </c>
      <c r="M793" s="65" t="str">
        <f>IFERROR(__xludf.DUMMYFUNCTION("""COMPUTED_VALUE"""),"6105 Delmar Blvd
St. Louis, MO 63112
Apt 714a")</f>
        <v>6105 Delmar Blvd
St. Louis, MO 63112
Apt 714a</v>
      </c>
      <c r="N793" s="65" t="str">
        <f>IFERROR(__xludf.DUMMYFUNCTION("""COMPUTED_VALUE""")," ")</f>
        <v> </v>
      </c>
    </row>
    <row r="794">
      <c r="A794" s="99" t="str">
        <f>IFERROR(__xludf.DUMMYFUNCTION("""COMPUTED_VALUE"""),"https://utrucking.com/admin/orders/6459223277756")</f>
        <v>https://utrucking.com/admin/orders/6459223277756</v>
      </c>
      <c r="B794" s="61" t="str">
        <f>IFERROR(__xludf.DUMMYFUNCTION("""COMPUTED_VALUE"""),"#18318")</f>
        <v>#18318</v>
      </c>
      <c r="C794" s="61" t="str">
        <f>IFERROR(__xludf.DUMMYFUNCTION("""COMPUTED_VALUE"""),"KarlaT5427@gmail.com")</f>
        <v>KarlaT5427@gmail.com</v>
      </c>
      <c r="D794" s="61">
        <f>IFERROR(__xludf.DUMMYFUNCTION("""COMPUTED_VALUE"""),6.578334872E9)</f>
        <v>6578334872</v>
      </c>
      <c r="E794" s="61" t="str">
        <f>IFERROR(__xludf.DUMMYFUNCTION("""COMPUTED_VALUE"""),"Jesus Flores")</f>
        <v>Jesus Flores</v>
      </c>
      <c r="F794" s="61" t="str">
        <f>IFERROR(__xludf.DUMMYFUNCTION("""COMPUTED_VALUE"""),"Karla Yadira Tiscareno")</f>
        <v>Karla Yadira Tiscareno</v>
      </c>
      <c r="G794" s="61" t="str">
        <f>IFERROR(__xludf.DUMMYFUNCTION("""COMPUTED_VALUE""")," 1 [Included with Registration] / Included Insurance   - ")</f>
        <v> 1 [Included with Registration] / Included Insurance   - </v>
      </c>
      <c r="H794" s="61" t="str">
        <f>IFERROR(__xludf.DUMMYFUNCTION("""COMPUTED_VALUE"""),"Village House  ")</f>
        <v>Village House  </v>
      </c>
      <c r="I794" s="61" t="str">
        <f>IFERROR(__xludf.DUMMYFUNCTION("""COMPUTED_VALUE"""),"2122")</f>
        <v>2122</v>
      </c>
      <c r="J794" s="107" t="str">
        <f>IFERROR(__xludf.DUMMYFUNCTION("""COMPUTED_VALUE"""),"12:00 PM to 02:00 PM  ")</f>
        <v>12:00 PM to 02:00 PM  </v>
      </c>
      <c r="K794" s="100">
        <f>IFERROR(__xludf.DUMMYFUNCTION("""COMPUTED_VALUE"""),46150.0)</f>
        <v>46150</v>
      </c>
      <c r="L794" s="61" t="str">
        <f>IFERROR(__xludf.DUMMYFUNCTION("""COMPUTED_VALUE""")," ")</f>
        <v> </v>
      </c>
      <c r="M794" s="61"/>
      <c r="N794" s="61" t="str">
        <f>IFERROR(__xludf.DUMMYFUNCTION("""COMPUTED_VALUE""")," ")</f>
        <v> </v>
      </c>
    </row>
    <row r="795">
      <c r="A795" s="102" t="str">
        <f>IFERROR(__xludf.DUMMYFUNCTION("""COMPUTED_VALUE"""),"https://utrucking.com/admin/orders/6459236679868")</f>
        <v>https://utrucking.com/admin/orders/6459236679868</v>
      </c>
      <c r="B795" s="65" t="str">
        <f>IFERROR(__xludf.DUMMYFUNCTION("""COMPUTED_VALUE"""),"#18319")</f>
        <v>#18319</v>
      </c>
      <c r="C795" s="65" t="str">
        <f>IFERROR(__xludf.DUMMYFUNCTION("""COMPUTED_VALUE"""),"namiadenle345@gmail.com")</f>
        <v>namiadenle345@gmail.com</v>
      </c>
      <c r="D795" s="65">
        <f>IFERROR(__xludf.DUMMYFUNCTION("""COMPUTED_VALUE"""),5.164272925E9)</f>
        <v>5164272925</v>
      </c>
      <c r="E795" s="65" t="str">
        <f>IFERROR(__xludf.DUMMYFUNCTION("""COMPUTED_VALUE"""),"Edward Shen")</f>
        <v>Edward Shen</v>
      </c>
      <c r="F795" s="65" t="str">
        <f>IFERROR(__xludf.DUMMYFUNCTION("""COMPUTED_VALUE"""),"Nami Adenle")</f>
        <v>Nami Adenle</v>
      </c>
      <c r="G795" s="65" t="str">
        <f>IFERROR(__xludf.DUMMYFUNCTION("""COMPUTED_VALUE""")," 1 [Included with Registration] / Included Insurance   - ")</f>
        <v> 1 [Included with Registration] / Included Insurance   - </v>
      </c>
      <c r="H795" s="65" t="str">
        <f>IFERROR(__xludf.DUMMYFUNCTION("""COMPUTED_VALUE"""),"Lien  ")</f>
        <v>Lien  </v>
      </c>
      <c r="I795" s="65" t="str">
        <f>IFERROR(__xludf.DUMMYFUNCTION("""COMPUTED_VALUE"""),"1113")</f>
        <v>1113</v>
      </c>
      <c r="J795" s="108" t="str">
        <f>IFERROR(__xludf.DUMMYFUNCTION("""COMPUTED_VALUE"""),"09:00 AM to 11:00 AM  ")</f>
        <v>09:00 AM to 11:00 AM  </v>
      </c>
      <c r="K795" s="103">
        <f>IFERROR(__xludf.DUMMYFUNCTION("""COMPUTED_VALUE"""),46149.0)</f>
        <v>46149</v>
      </c>
      <c r="L795" s="65" t="str">
        <f>IFERROR(__xludf.DUMMYFUNCTION("""COMPUTED_VALUE""")," ")</f>
        <v> </v>
      </c>
      <c r="M795" s="65"/>
      <c r="N795" s="65" t="str">
        <f>IFERROR(__xludf.DUMMYFUNCTION("""COMPUTED_VALUE""")," ")</f>
        <v> </v>
      </c>
    </row>
    <row r="796">
      <c r="A796" s="99" t="str">
        <f>IFERROR(__xludf.DUMMYFUNCTION("""COMPUTED_VALUE"""),"https://utrucking.com/admin/orders/6459498725564")</f>
        <v>https://utrucking.com/admin/orders/6459498725564</v>
      </c>
      <c r="B796" s="61" t="str">
        <f>IFERROR(__xludf.DUMMYFUNCTION("""COMPUTED_VALUE"""),"#18326")</f>
        <v>#18326</v>
      </c>
      <c r="C796" s="61" t="str">
        <f>IFERROR(__xludf.DUMMYFUNCTION("""COMPUTED_VALUE"""),"doq@wustl.edu")</f>
        <v>doq@wustl.edu</v>
      </c>
      <c r="D796" s="61">
        <f>IFERROR(__xludf.DUMMYFUNCTION("""COMPUTED_VALUE"""),6.304801301E9)</f>
        <v>6304801301</v>
      </c>
      <c r="E796" s="61" t="str">
        <f>IFERROR(__xludf.DUMMYFUNCTION("""COMPUTED_VALUE"""),"Quan Do")</f>
        <v>Quan Do</v>
      </c>
      <c r="F796" s="61" t="str">
        <f>IFERROR(__xludf.DUMMYFUNCTION("""COMPUTED_VALUE"""),"Quan Do")</f>
        <v>Quan Do</v>
      </c>
      <c r="G796" s="61" t="str">
        <f>IFERROR(__xludf.DUMMYFUNCTION("""COMPUTED_VALUE""")," 1 [Included with Registration] / Included Insurance   - ")</f>
        <v> 1 [Included with Registration] / Included Insurance   - </v>
      </c>
      <c r="H796" s="61" t="str">
        <f>IFERROR(__xludf.DUMMYFUNCTION("""COMPUTED_VALUE"""),"Dardick  ")</f>
        <v>Dardick  </v>
      </c>
      <c r="I796" s="61" t="str">
        <f>IFERROR(__xludf.DUMMYFUNCTION("""COMPUTED_VALUE"""),"2206")</f>
        <v>2206</v>
      </c>
      <c r="J796" s="107" t="str">
        <f>IFERROR(__xludf.DUMMYFUNCTION("""COMPUTED_VALUE"""),"09:00 AM to 11:00 AM  ")</f>
        <v>09:00 AM to 11:00 AM  </v>
      </c>
      <c r="K796" s="100">
        <f>IFERROR(__xludf.DUMMYFUNCTION("""COMPUTED_VALUE"""),46156.0)</f>
        <v>46156</v>
      </c>
      <c r="L796" s="61" t="str">
        <f>IFERROR(__xludf.DUMMYFUNCTION("""COMPUTED_VALUE""")," ")</f>
        <v> </v>
      </c>
      <c r="M796" s="61"/>
      <c r="N796" s="61" t="str">
        <f>IFERROR(__xludf.DUMMYFUNCTION("""COMPUTED_VALUE""")," ")</f>
        <v> </v>
      </c>
    </row>
    <row r="797">
      <c r="A797" s="102" t="str">
        <f>IFERROR(__xludf.DUMMYFUNCTION("""COMPUTED_VALUE"""),"https://utrucking.com/admin/orders/6459739308220")</f>
        <v>https://utrucking.com/admin/orders/6459739308220</v>
      </c>
      <c r="B797" s="65" t="str">
        <f>IFERROR(__xludf.DUMMYFUNCTION("""COMPUTED_VALUE"""),"#18333")</f>
        <v>#18333</v>
      </c>
      <c r="C797" s="65" t="str">
        <f>IFERROR(__xludf.DUMMYFUNCTION("""COMPUTED_VALUE"""),"aggarwal.i@wustl.edu")</f>
        <v>aggarwal.i@wustl.edu</v>
      </c>
      <c r="D797" s="65">
        <f>IFERROR(__xludf.DUMMYFUNCTION("""COMPUTED_VALUE"""),9.255968382E9)</f>
        <v>9255968382</v>
      </c>
      <c r="E797" s="65" t="str">
        <f>IFERROR(__xludf.DUMMYFUNCTION("""COMPUTED_VALUE"""),"Ishita Aggarwal")</f>
        <v>Ishita Aggarwal</v>
      </c>
      <c r="F797" s="65" t="str">
        <f>IFERROR(__xludf.DUMMYFUNCTION("""COMPUTED_VALUE"""),"Ishita Aggarwal")</f>
        <v>Ishita Aggarwal</v>
      </c>
      <c r="G797" s="65" t="str">
        <f>IFERROR(__xludf.DUMMYFUNCTION("""COMPUTED_VALUE""")," 1 [Included with Registration] / Included Insurance   - ")</f>
        <v> 1 [Included with Registration] / Included Insurance   - </v>
      </c>
      <c r="H797" s="65" t="str">
        <f>IFERROR(__xludf.DUMMYFUNCTION("""COMPUTED_VALUE"""),"Mudd  ")</f>
        <v>Mudd  </v>
      </c>
      <c r="I797" s="65" t="str">
        <f>IFERROR(__xludf.DUMMYFUNCTION("""COMPUTED_VALUE"""),"212")</f>
        <v>212</v>
      </c>
      <c r="J797" s="108" t="str">
        <f>IFERROR(__xludf.DUMMYFUNCTION("""COMPUTED_VALUE"""),"09:00 AM to 11:00 AM  ")</f>
        <v>09:00 AM to 11:00 AM  </v>
      </c>
      <c r="K797" s="103">
        <f>IFERROR(__xludf.DUMMYFUNCTION("""COMPUTED_VALUE"""),46151.0)</f>
        <v>46151</v>
      </c>
      <c r="L797" s="65" t="str">
        <f>IFERROR(__xludf.DUMMYFUNCTION("""COMPUTED_VALUE""")," ")</f>
        <v> </v>
      </c>
      <c r="M797" s="65"/>
      <c r="N797" s="65" t="str">
        <f>IFERROR(__xludf.DUMMYFUNCTION("""COMPUTED_VALUE""")," ")</f>
        <v> </v>
      </c>
    </row>
    <row r="798">
      <c r="A798" s="99" t="str">
        <f>IFERROR(__xludf.DUMMYFUNCTION("""COMPUTED_VALUE"""),"https://utrucking.com/admin/orders/6460072165564")</f>
        <v>https://utrucking.com/admin/orders/6460072165564</v>
      </c>
      <c r="B798" s="61" t="str">
        <f>IFERROR(__xludf.DUMMYFUNCTION("""COMPUTED_VALUE"""),"#18337")</f>
        <v>#18337</v>
      </c>
      <c r="C798" s="61" t="str">
        <f>IFERROR(__xludf.DUMMYFUNCTION("""COMPUTED_VALUE"""),"byron.l@wustl.edu")</f>
        <v>byron.l@wustl.edu</v>
      </c>
      <c r="D798" s="61">
        <f>IFERROR(__xludf.DUMMYFUNCTION("""COMPUTED_VALUE"""),3.148965537E9)</f>
        <v>3148965537</v>
      </c>
      <c r="E798" s="61" t="str">
        <f>IFERROR(__xludf.DUMMYFUNCTION("""COMPUTED_VALUE"""),"Peixuan Li")</f>
        <v>Peixuan Li</v>
      </c>
      <c r="F798" s="61" t="str">
        <f>IFERROR(__xludf.DUMMYFUNCTION("""COMPUTED_VALUE"""),"Byron Li")</f>
        <v>Byron Li</v>
      </c>
      <c r="G798" s="61" t="str">
        <f>IFERROR(__xludf.DUMMYFUNCTION("""COMPUTED_VALUE""")," 1 [Included with Registration] / Included Insurance   - ")</f>
        <v> 1 [Included with Registration] / Included Insurance   - </v>
      </c>
      <c r="H798" s="61" t="str">
        <f>IFERROR(__xludf.DUMMYFUNCTION("""COMPUTED_VALUE"""),"Lien  ")</f>
        <v>Lien  </v>
      </c>
      <c r="I798" s="61" t="str">
        <f>IFERROR(__xludf.DUMMYFUNCTION("""COMPUTED_VALUE"""),"2209")</f>
        <v>2209</v>
      </c>
      <c r="J798" s="107" t="str">
        <f>IFERROR(__xludf.DUMMYFUNCTION("""COMPUTED_VALUE"""),"09:00 AM to 11:00 AM  ")</f>
        <v>09:00 AM to 11:00 AM  </v>
      </c>
      <c r="K798" s="100">
        <f>IFERROR(__xludf.DUMMYFUNCTION("""COMPUTED_VALUE"""),46151.0)</f>
        <v>46151</v>
      </c>
      <c r="L798" s="61" t="str">
        <f>IFERROR(__xludf.DUMMYFUNCTION("""COMPUTED_VALUE""")," ")</f>
        <v> </v>
      </c>
      <c r="M798" s="61"/>
      <c r="N798" s="61" t="str">
        <f>IFERROR(__xludf.DUMMYFUNCTION("""COMPUTED_VALUE""")," ")</f>
        <v> </v>
      </c>
    </row>
    <row r="799">
      <c r="A799" s="102" t="str">
        <f>IFERROR(__xludf.DUMMYFUNCTION("""COMPUTED_VALUE"""),"https://utrucking.com/admin/orders/6460198912188")</f>
        <v>https://utrucking.com/admin/orders/6460198912188</v>
      </c>
      <c r="B799" s="65" t="str">
        <f>IFERROR(__xludf.DUMMYFUNCTION("""COMPUTED_VALUE"""),"#18338")</f>
        <v>#18338</v>
      </c>
      <c r="C799" s="65" t="str">
        <f>IFERROR(__xludf.DUMMYFUNCTION("""COMPUTED_VALUE"""),"kipfaison6@gmail.com")</f>
        <v>kipfaison6@gmail.com</v>
      </c>
      <c r="D799" s="65">
        <f>IFERROR(__xludf.DUMMYFUNCTION("""COMPUTED_VALUE"""),2.034825575E9)</f>
        <v>2034825575</v>
      </c>
      <c r="E799" s="65" t="str">
        <f>IFERROR(__xludf.DUMMYFUNCTION("""COMPUTED_VALUE"""),"Kip Faison")</f>
        <v>Kip Faison</v>
      </c>
      <c r="F799" s="65" t="str">
        <f>IFERROR(__xludf.DUMMYFUNCTION("""COMPUTED_VALUE"""),"Kip Faison")</f>
        <v>Kip Faison</v>
      </c>
      <c r="G799" s="65" t="str">
        <f>IFERROR(__xludf.DUMMYFUNCTION("""COMPUTED_VALUE""")," 1 [Included with Registration] / Included Insurance   - ")</f>
        <v> 1 [Included with Registration] / Included Insurance   - </v>
      </c>
      <c r="H799" s="65" t="str">
        <f>IFERROR(__xludf.DUMMYFUNCTION("""COMPUTED_VALUE"""),"Millbrook Bldg. 3  ")</f>
        <v>Millbrook Bldg. 3  </v>
      </c>
      <c r="I799" s="65" t="str">
        <f>IFERROR(__xludf.DUMMYFUNCTION("""COMPUTED_VALUE"""),"B-2G")</f>
        <v>B-2G</v>
      </c>
      <c r="J799" s="108" t="str">
        <f>IFERROR(__xludf.DUMMYFUNCTION("""COMPUTED_VALUE"""),"09:00 AM to 11:00 AM  ")</f>
        <v>09:00 AM to 11:00 AM  </v>
      </c>
      <c r="K799" s="103">
        <f>IFERROR(__xludf.DUMMYFUNCTION("""COMPUTED_VALUE"""),46151.0)</f>
        <v>46151</v>
      </c>
      <c r="L799" s="65" t="str">
        <f>IFERROR(__xludf.DUMMYFUNCTION("""COMPUTED_VALUE""")," ")</f>
        <v> </v>
      </c>
      <c r="M799" s="65"/>
      <c r="N799" s="65" t="str">
        <f>IFERROR(__xludf.DUMMYFUNCTION("""COMPUTED_VALUE""")," ")</f>
        <v> </v>
      </c>
    </row>
    <row r="800">
      <c r="A800" s="99" t="str">
        <f>IFERROR(__xludf.DUMMYFUNCTION("""COMPUTED_VALUE"""),"https://utrucking.com/admin/orders/6460203237564")</f>
        <v>https://utrucking.com/admin/orders/6460203237564</v>
      </c>
      <c r="B800" s="61" t="str">
        <f>IFERROR(__xludf.DUMMYFUNCTION("""COMPUTED_VALUE"""),"#18339")</f>
        <v>#18339</v>
      </c>
      <c r="C800" s="61" t="str">
        <f>IFERROR(__xludf.DUMMYFUNCTION("""COMPUTED_VALUE"""),"a.h.berman@wustl.edu")</f>
        <v>a.h.berman@wustl.edu</v>
      </c>
      <c r="D800" s="61">
        <f>IFERROR(__xludf.DUMMYFUNCTION("""COMPUTED_VALUE"""),3.013375219E9)</f>
        <v>3013375219</v>
      </c>
      <c r="E800" s="61" t="str">
        <f>IFERROR(__xludf.DUMMYFUNCTION("""COMPUTED_VALUE"""),"Allison Berman")</f>
        <v>Allison Berman</v>
      </c>
      <c r="F800" s="61" t="str">
        <f>IFERROR(__xludf.DUMMYFUNCTION("""COMPUTED_VALUE"""),"Allison Berman")</f>
        <v>Allison Berman</v>
      </c>
      <c r="G800" s="61" t="str">
        <f>IFERROR(__xludf.DUMMYFUNCTION("""COMPUTED_VALUE""")," 1 [Included with Registration] / Included Insurance   - ")</f>
        <v> 1 [Included with Registration] / Included Insurance   - </v>
      </c>
      <c r="H800" s="61"/>
      <c r="I800" s="61"/>
      <c r="J800" s="107" t="str">
        <f>IFERROR(__xludf.DUMMYFUNCTION("""COMPUTED_VALUE"""),"03:00 PM to 05:00 PM")</f>
        <v>03:00 PM to 05:00 PM</v>
      </c>
      <c r="K800" s="100">
        <f>IFERROR(__xludf.DUMMYFUNCTION("""COMPUTED_VALUE"""),46158.0)</f>
        <v>46158</v>
      </c>
      <c r="L800" s="61" t="str">
        <f>IFERROR(__xludf.DUMMYFUNCTION("""COMPUTED_VALUE""")," ")</f>
        <v> </v>
      </c>
      <c r="M800" s="61" t="str">
        <f>IFERROR(__xludf.DUMMYFUNCTION("""COMPUTED_VALUE"""),"6186 Waterman Blvd.")</f>
        <v>6186 Waterman Blvd.</v>
      </c>
      <c r="N800" s="61" t="str">
        <f>IFERROR(__xludf.DUMMYFUNCTION("""COMPUTED_VALUE""")," ")</f>
        <v> </v>
      </c>
    </row>
    <row r="801">
      <c r="A801" s="102" t="str">
        <f>IFERROR(__xludf.DUMMYFUNCTION("""COMPUTED_VALUE"""),"https://utrucking.com/admin/orders/6460440772796")</f>
        <v>https://utrucking.com/admin/orders/6460440772796</v>
      </c>
      <c r="B801" s="65" t="str">
        <f>IFERROR(__xludf.DUMMYFUNCTION("""COMPUTED_VALUE"""),"#18346")</f>
        <v>#18346</v>
      </c>
      <c r="C801" s="65" t="str">
        <f>IFERROR(__xludf.DUMMYFUNCTION("""COMPUTED_VALUE"""),"l.minh@wustl.edu")</f>
        <v>l.minh@wustl.edu</v>
      </c>
      <c r="D801" s="65">
        <f>IFERROR(__xludf.DUMMYFUNCTION("""COMPUTED_VALUE"""),6.18971428E9)</f>
        <v>6189714280</v>
      </c>
      <c r="E801" s="65" t="str">
        <f>IFERROR(__xludf.DUMMYFUNCTION("""COMPUTED_VALUE"""),"Minh La")</f>
        <v>Minh La</v>
      </c>
      <c r="F801" s="65" t="str">
        <f>IFERROR(__xludf.DUMMYFUNCTION("""COMPUTED_VALUE"""),"Minh La")</f>
        <v>Minh La</v>
      </c>
      <c r="G801" s="65" t="str">
        <f>IFERROR(__xludf.DUMMYFUNCTION("""COMPUTED_VALUE""")," 1 [Included with Registration] / Included Insurance   - ")</f>
        <v> 1 [Included with Registration] / Included Insurance   - </v>
      </c>
      <c r="H801" s="65"/>
      <c r="I801" s="65"/>
      <c r="J801" s="108" t="str">
        <f>IFERROR(__xludf.DUMMYFUNCTION("""COMPUTED_VALUE"""),"03:00 PM to 05:00 PM")</f>
        <v>03:00 PM to 05:00 PM</v>
      </c>
      <c r="K801" s="103">
        <f>IFERROR(__xludf.DUMMYFUNCTION("""COMPUTED_VALUE"""),46158.0)</f>
        <v>46158</v>
      </c>
      <c r="L801" s="65" t="str">
        <f>IFERROR(__xludf.DUMMYFUNCTION("""COMPUTED_VALUE""")," ")</f>
        <v> </v>
      </c>
      <c r="M801" s="65" t="str">
        <f>IFERROR(__xludf.DUMMYFUNCTION("""COMPUTED_VALUE"""),"720 Interdrive")</f>
        <v>720 Interdrive</v>
      </c>
      <c r="N801" s="65" t="str">
        <f>IFERROR(__xludf.DUMMYFUNCTION("""COMPUTED_VALUE""")," ")</f>
        <v> </v>
      </c>
    </row>
    <row r="802">
      <c r="A802" s="99" t="str">
        <f>IFERROR(__xludf.DUMMYFUNCTION("""COMPUTED_VALUE"""),"https://utrucking.com/admin/orders/6460774678716")</f>
        <v>https://utrucking.com/admin/orders/6460774678716</v>
      </c>
      <c r="B802" s="61" t="str">
        <f>IFERROR(__xludf.DUMMYFUNCTION("""COMPUTED_VALUE"""),"#18351")</f>
        <v>#18351</v>
      </c>
      <c r="C802" s="61" t="str">
        <f>IFERROR(__xludf.DUMMYFUNCTION("""COMPUTED_VALUE"""),"f.lucky@wustl.edu")</f>
        <v>f.lucky@wustl.edu</v>
      </c>
      <c r="D802" s="61">
        <f>IFERROR(__xludf.DUMMYFUNCTION("""COMPUTED_VALUE"""),1.3145163543E10)</f>
        <v>13145163543</v>
      </c>
      <c r="E802" s="61" t="str">
        <f>IFERROR(__xludf.DUMMYFUNCTION("""COMPUTED_VALUE"""),"Lucky Fei")</f>
        <v>Lucky Fei</v>
      </c>
      <c r="F802" s="61" t="str">
        <f>IFERROR(__xludf.DUMMYFUNCTION("""COMPUTED_VALUE"""),"Lucky Fei")</f>
        <v>Lucky Fei</v>
      </c>
      <c r="G802" s="61" t="str">
        <f>IFERROR(__xludf.DUMMYFUNCTION("""COMPUTED_VALUE""")," 0 / Included Insurance   - ")</f>
        <v> 0 / Included Insurance   - </v>
      </c>
      <c r="H802" s="61" t="str">
        <f>IFERROR(__xludf.DUMMYFUNCTION("""COMPUTED_VALUE"""),"Lopata  ")</f>
        <v>Lopata  </v>
      </c>
      <c r="I802" s="61" t="str">
        <f>IFERROR(__xludf.DUMMYFUNCTION("""COMPUTED_VALUE"""),"3162")</f>
        <v>3162</v>
      </c>
      <c r="J802" s="107" t="str">
        <f>IFERROR(__xludf.DUMMYFUNCTION("""COMPUTED_VALUE"""),"02:00 PM to 04:00 PM")</f>
        <v>02:00 PM to 04:00 PM</v>
      </c>
      <c r="K802" s="100">
        <f>IFERROR(__xludf.DUMMYFUNCTION("""COMPUTED_VALUE"""),46256.0)</f>
        <v>46256</v>
      </c>
      <c r="L802" s="61" t="str">
        <f>IFERROR(__xludf.DUMMYFUNCTION("""COMPUTED_VALUE""")," ")</f>
        <v> </v>
      </c>
      <c r="M802" s="61"/>
      <c r="N802" s="61" t="str">
        <f>IFERROR(__xludf.DUMMYFUNCTION("""COMPUTED_VALUE""")," I already have 3 utrucking boxes. I just need you to help me store these old boxes.")</f>
        <v> I already have 3 utrucking boxes. I just need you to help me store these old boxes.</v>
      </c>
    </row>
    <row r="803">
      <c r="A803" s="102" t="str">
        <f>IFERROR(__xludf.DUMMYFUNCTION("""COMPUTED_VALUE"""),"https://utrucking.com/admin/orders/6461467656380")</f>
        <v>https://utrucking.com/admin/orders/6461467656380</v>
      </c>
      <c r="B803" s="65" t="str">
        <f>IFERROR(__xludf.DUMMYFUNCTION("""COMPUTED_VALUE"""),"#18359")</f>
        <v>#18359</v>
      </c>
      <c r="C803" s="65" t="str">
        <f>IFERROR(__xludf.DUMMYFUNCTION("""COMPUTED_VALUE"""),"kenongnithiwat@gmail.com")</f>
        <v>kenongnithiwat@gmail.com</v>
      </c>
      <c r="D803" s="65">
        <f>IFERROR(__xludf.DUMMYFUNCTION("""COMPUTED_VALUE"""),6.6647951919E10)</f>
        <v>66647951919</v>
      </c>
      <c r="E803" s="65" t="str">
        <f>IFERROR(__xludf.DUMMYFUNCTION("""COMPUTED_VALUE"""),"Teichin Ongnithiwat")</f>
        <v>Teichin Ongnithiwat</v>
      </c>
      <c r="F803" s="65" t="str">
        <f>IFERROR(__xludf.DUMMYFUNCTION("""COMPUTED_VALUE"""),"Ken Ongnithiwat")</f>
        <v>Ken Ongnithiwat</v>
      </c>
      <c r="G803" s="65" t="str">
        <f>IFERROR(__xludf.DUMMYFUNCTION("""COMPUTED_VALUE""")," 1 [Included with Registration] / $500 of Additional Coverage   - ")</f>
        <v> 1 [Included with Registration] / $500 of Additional Coverage   - </v>
      </c>
      <c r="H803" s="65" t="str">
        <f>IFERROR(__xludf.DUMMYFUNCTION("""COMPUTED_VALUE"""),"Eliot A (Thomas Eliot)")</f>
        <v>Eliot A (Thomas Eliot)</v>
      </c>
      <c r="I803" s="65" t="str">
        <f>IFERROR(__xludf.DUMMYFUNCTION("""COMPUTED_VALUE"""),"3054")</f>
        <v>3054</v>
      </c>
      <c r="J803" s="108" t="str">
        <f>IFERROR(__xludf.DUMMYFUNCTION("""COMPUTED_VALUE"""),"03:00 PM to 05:00 PM")</f>
        <v>03:00 PM to 05:00 PM</v>
      </c>
      <c r="K803" s="103">
        <f>IFERROR(__xludf.DUMMYFUNCTION("""COMPUTED_VALUE"""),46155.0)</f>
        <v>46155</v>
      </c>
      <c r="L803" s="65" t="str">
        <f>IFERROR(__xludf.DUMMYFUNCTION("""COMPUTED_VALUE""")," ")</f>
        <v> </v>
      </c>
      <c r="M803" s="65"/>
      <c r="N803" s="65" t="str">
        <f>IFERROR(__xludf.DUMMYFUNCTION("""COMPUTED_VALUE""")," can i get the boxes earlier?
i have two fridges")</f>
        <v> can i get the boxes earlier?
i have two fridges</v>
      </c>
    </row>
    <row r="804">
      <c r="A804" s="99" t="str">
        <f>IFERROR(__xludf.DUMMYFUNCTION("""COMPUTED_VALUE"""),"https://utrucking.com/admin/orders/6462344102076")</f>
        <v>https://utrucking.com/admin/orders/6462344102076</v>
      </c>
      <c r="B804" s="61" t="str">
        <f>IFERROR(__xludf.DUMMYFUNCTION("""COMPUTED_VALUE"""),"#18365")</f>
        <v>#18365</v>
      </c>
      <c r="C804" s="61" t="str">
        <f>IFERROR(__xludf.DUMMYFUNCTION("""COMPUTED_VALUE"""),"clairejoy333@gmail.com")</f>
        <v>clairejoy333@gmail.com</v>
      </c>
      <c r="D804" s="61">
        <f>IFERROR(__xludf.DUMMYFUNCTION("""COMPUTED_VALUE"""),3.235071252E9)</f>
        <v>3235071252</v>
      </c>
      <c r="E804" s="61" t="str">
        <f>IFERROR(__xludf.DUMMYFUNCTION("""COMPUTED_VALUE"""),"Claire Yang")</f>
        <v>Claire Yang</v>
      </c>
      <c r="F804" s="61" t="str">
        <f>IFERROR(__xludf.DUMMYFUNCTION("""COMPUTED_VALUE"""),"Claire Yang")</f>
        <v>Claire Yang</v>
      </c>
      <c r="G804" s="61" t="str">
        <f>IFERROR(__xludf.DUMMYFUNCTION("""COMPUTED_VALUE""")," 1 [Included with Registration] / Included Insurance   - ")</f>
        <v> 1 [Included with Registration] / Included Insurance   - </v>
      </c>
      <c r="H804" s="61" t="str">
        <f>IFERROR(__xludf.DUMMYFUNCTION("""COMPUTED_VALUE"""),"Loop Loft 6255  ")</f>
        <v>Loop Loft 6255  </v>
      </c>
      <c r="I804" s="61" t="str">
        <f>IFERROR(__xludf.DUMMYFUNCTION("""COMPUTED_VALUE"""),"316A")</f>
        <v>316A</v>
      </c>
      <c r="J804" s="107" t="str">
        <f>IFERROR(__xludf.DUMMYFUNCTION("""COMPUTED_VALUE"""),"03:00 PM to 05:00 PM")</f>
        <v>03:00 PM to 05:00 PM</v>
      </c>
      <c r="K804" s="100">
        <f>IFERROR(__xludf.DUMMYFUNCTION("""COMPUTED_VALUE"""),46157.0)</f>
        <v>46157</v>
      </c>
      <c r="L804" s="61" t="str">
        <f>IFERROR(__xludf.DUMMYFUNCTION("""COMPUTED_VALUE""")," ")</f>
        <v> </v>
      </c>
      <c r="M804" s="61"/>
      <c r="N804" s="61" t="str">
        <f>IFERROR(__xludf.DUMMYFUNCTION("""COMPUTED_VALUE""")," ")</f>
        <v> </v>
      </c>
    </row>
    <row r="805">
      <c r="A805" s="102" t="str">
        <f>IFERROR(__xludf.DUMMYFUNCTION("""COMPUTED_VALUE"""),"https://utrucking.com/admin/orders/6462632951996")</f>
        <v>https://utrucking.com/admin/orders/6462632951996</v>
      </c>
      <c r="B805" s="65" t="str">
        <f>IFERROR(__xludf.DUMMYFUNCTION("""COMPUTED_VALUE"""),"#18368")</f>
        <v>#18368</v>
      </c>
      <c r="C805" s="65" t="str">
        <f>IFERROR(__xludf.DUMMYFUNCTION("""COMPUTED_VALUE"""),"aswhan66@gmail.com")</f>
        <v>aswhan66@gmail.com</v>
      </c>
      <c r="D805" s="65">
        <f>IFERROR(__xludf.DUMMYFUNCTION("""COMPUTED_VALUE"""),3.108740175E9)</f>
        <v>3108740175</v>
      </c>
      <c r="E805" s="65" t="str">
        <f>IFERROR(__xludf.DUMMYFUNCTION("""COMPUTED_VALUE"""),"Rob Hanning")</f>
        <v>Rob Hanning</v>
      </c>
      <c r="F805" s="65" t="str">
        <f>IFERROR(__xludf.DUMMYFUNCTION("""COMPUTED_VALUE"""),"Evan Hanning")</f>
        <v>Evan Hanning</v>
      </c>
      <c r="G805" s="65" t="str">
        <f>IFERROR(__xludf.DUMMYFUNCTION("""COMPUTED_VALUE""")," 1 [Included with Registration] / Included Insurance   - ")</f>
        <v> 1 [Included with Registration] / Included Insurance   - </v>
      </c>
      <c r="H805" s="65"/>
      <c r="I805" s="65"/>
      <c r="J805" s="108" t="str">
        <f>IFERROR(__xludf.DUMMYFUNCTION("""COMPUTED_VALUE"""),"02:00 PM to 04:00 PM")</f>
        <v>02:00 PM to 04:00 PM</v>
      </c>
      <c r="K805" s="103">
        <f>IFERROR(__xludf.DUMMYFUNCTION("""COMPUTED_VALUE"""),46155.0)</f>
        <v>46155</v>
      </c>
      <c r="L805" s="65" t="str">
        <f>IFERROR(__xludf.DUMMYFUNCTION("""COMPUTED_VALUE""")," ")</f>
        <v> </v>
      </c>
      <c r="M805" s="65" t="str">
        <f>IFERROR(__xludf.DUMMYFUNCTION("""COMPUTED_VALUE"""),"605 S Leland Avenue #609")</f>
        <v>605 S Leland Avenue #609</v>
      </c>
      <c r="N805" s="65" t="str">
        <f>IFERROR(__xludf.DUMMYFUNCTION("""COMPUTED_VALUE""")," ")</f>
        <v> </v>
      </c>
    </row>
    <row r="806">
      <c r="A806" s="99" t="str">
        <f>IFERROR(__xludf.DUMMYFUNCTION("""COMPUTED_VALUE"""),"https://utrucking.com/admin/orders/6464716079292")</f>
        <v>https://utrucking.com/admin/orders/6464716079292</v>
      </c>
      <c r="B806" s="61" t="str">
        <f>IFERROR(__xludf.DUMMYFUNCTION("""COMPUTED_VALUE"""),"#18377")</f>
        <v>#18377</v>
      </c>
      <c r="C806" s="61" t="str">
        <f>IFERROR(__xludf.DUMMYFUNCTION("""COMPUTED_VALUE"""),"bangoura@wustl.edu")</f>
        <v>bangoura@wustl.edu</v>
      </c>
      <c r="D806" s="61" t="str">
        <f>IFERROR(__xludf.DUMMYFUNCTION("""COMPUTED_VALUE"""),"(704) 340-2845")</f>
        <v>(704) 340-2845</v>
      </c>
      <c r="E806" s="61" t="str">
        <f>IFERROR(__xludf.DUMMYFUNCTION("""COMPUTED_VALUE"""),"Gabriel Bangoura")</f>
        <v>Gabriel Bangoura</v>
      </c>
      <c r="F806" s="61" t="str">
        <f>IFERROR(__xludf.DUMMYFUNCTION("""COMPUTED_VALUE"""),"Gabriel Bangoura ")</f>
        <v>Gabriel Bangoura </v>
      </c>
      <c r="G806" s="61" t="str">
        <f>IFERROR(__xludf.DUMMYFUNCTION("""COMPUTED_VALUE""")," 2 / $1000 of Additional Coverage   - ")</f>
        <v> 2 / $1000 of Additional Coverage   - </v>
      </c>
      <c r="H806" s="61" t="str">
        <f>IFERROR(__xludf.DUMMYFUNCTION("""COMPUTED_VALUE"""),"Loop Loft 6200  ")</f>
        <v>Loop Loft 6200  </v>
      </c>
      <c r="I806" s="61" t="str">
        <f>IFERROR(__xludf.DUMMYFUNCTION("""COMPUTED_VALUE"""),"313")</f>
        <v>313</v>
      </c>
      <c r="J806" s="107" t="str">
        <f>IFERROR(__xludf.DUMMYFUNCTION("""COMPUTED_VALUE"""),"09:00 AM to 11:00 AM  ")</f>
        <v>09:00 AM to 11:00 AM  </v>
      </c>
      <c r="K806" s="100">
        <f>IFERROR(__xludf.DUMMYFUNCTION("""COMPUTED_VALUE"""),46160.0)</f>
        <v>46160</v>
      </c>
      <c r="L806" s="61" t="str">
        <f>IFERROR(__xludf.DUMMYFUNCTION("""COMPUTED_VALUE""")," ")</f>
        <v> </v>
      </c>
      <c r="M806" s="61"/>
      <c r="N806" s="61" t="str">
        <f>IFERROR(__xludf.DUMMYFUNCTION("""COMPUTED_VALUE""")," ")</f>
        <v> </v>
      </c>
    </row>
    <row r="807">
      <c r="A807" s="102" t="str">
        <f>IFERROR(__xludf.DUMMYFUNCTION("""COMPUTED_VALUE"""),"https://utrucking.com/admin/orders/6469191991484")</f>
        <v>https://utrucking.com/admin/orders/6469191991484</v>
      </c>
      <c r="B807" s="65" t="str">
        <f>IFERROR(__xludf.DUMMYFUNCTION("""COMPUTED_VALUE"""),"#18389")</f>
        <v>#18389</v>
      </c>
      <c r="C807" s="65" t="str">
        <f>IFERROR(__xludf.DUMMYFUNCTION("""COMPUTED_VALUE"""),"rockinglakshmi8@gmail.com")</f>
        <v>rockinglakshmi8@gmail.com</v>
      </c>
      <c r="D807" s="65">
        <f>IFERROR(__xludf.DUMMYFUNCTION("""COMPUTED_VALUE"""),7.245445005E9)</f>
        <v>7245445005</v>
      </c>
      <c r="E807" s="65" t="str">
        <f>IFERROR(__xludf.DUMMYFUNCTION("""COMPUTED_VALUE"""),"Lakshmi Mulgund")</f>
        <v>Lakshmi Mulgund</v>
      </c>
      <c r="F807" s="65" t="str">
        <f>IFERROR(__xludf.DUMMYFUNCTION("""COMPUTED_VALUE"""),"Lakshmi Mulgund")</f>
        <v>Lakshmi Mulgund</v>
      </c>
      <c r="G807" s="65" t="str">
        <f>IFERROR(__xludf.DUMMYFUNCTION("""COMPUTED_VALUE""")," 1 [Included with Registration] / Included Insurance   - ")</f>
        <v> 1 [Included with Registration] / Included Insurance   - </v>
      </c>
      <c r="H807" s="65"/>
      <c r="I807" s="65"/>
      <c r="J807" s="108" t="str">
        <f>IFERROR(__xludf.DUMMYFUNCTION("""COMPUTED_VALUE"""),"03:00 PM to 05:00 PM")</f>
        <v>03:00 PM to 05:00 PM</v>
      </c>
      <c r="K807" s="103">
        <f>IFERROR(__xludf.DUMMYFUNCTION("""COMPUTED_VALUE"""),46160.0)</f>
        <v>46160</v>
      </c>
      <c r="L807" s="65" t="str">
        <f>IFERROR(__xludf.DUMMYFUNCTION("""COMPUTED_VALUE""")," ")</f>
        <v> </v>
      </c>
      <c r="M807" s="65" t="str">
        <f>IFERROR(__xludf.DUMMYFUNCTION("""COMPUTED_VALUE"""),"6006 Washington Blvd")</f>
        <v>6006 Washington Blvd</v>
      </c>
      <c r="N807" s="65" t="str">
        <f>IFERROR(__xludf.DUMMYFUNCTION("""COMPUTED_VALUE"""),"n/a ")</f>
        <v>n/a </v>
      </c>
    </row>
    <row r="808">
      <c r="A808" s="61"/>
      <c r="B808" s="61"/>
      <c r="C808" s="61"/>
      <c r="D808" s="61"/>
      <c r="E808" s="61"/>
      <c r="F808" s="61"/>
      <c r="G808" s="61"/>
      <c r="H808" s="61"/>
      <c r="I808" s="61"/>
      <c r="J808" s="107"/>
      <c r="K808" s="100"/>
      <c r="L808" s="61"/>
      <c r="M808" s="61"/>
      <c r="N808" s="61"/>
    </row>
    <row r="809">
      <c r="A809" s="65"/>
      <c r="B809" s="65"/>
      <c r="C809" s="65"/>
      <c r="D809" s="65"/>
      <c r="E809" s="65"/>
      <c r="F809" s="65"/>
      <c r="G809" s="65"/>
      <c r="H809" s="65"/>
      <c r="I809" s="65"/>
      <c r="J809" s="108"/>
      <c r="K809" s="103"/>
      <c r="L809" s="65"/>
      <c r="M809" s="65"/>
      <c r="N809" s="65"/>
    </row>
    <row r="810">
      <c r="A810" s="61"/>
      <c r="B810" s="61"/>
      <c r="C810" s="61"/>
      <c r="D810" s="61"/>
      <c r="E810" s="61"/>
      <c r="F810" s="61"/>
      <c r="G810" s="61"/>
      <c r="H810" s="61"/>
      <c r="I810" s="61"/>
      <c r="J810" s="107"/>
      <c r="K810" s="100"/>
      <c r="L810" s="61"/>
      <c r="M810" s="61"/>
      <c r="N810" s="61"/>
    </row>
    <row r="811">
      <c r="A811" s="65"/>
      <c r="B811" s="65"/>
      <c r="C811" s="65"/>
      <c r="D811" s="65"/>
      <c r="E811" s="65"/>
      <c r="F811" s="65"/>
      <c r="G811" s="65"/>
      <c r="H811" s="65"/>
      <c r="I811" s="65"/>
      <c r="J811" s="108"/>
      <c r="K811" s="103"/>
      <c r="L811" s="65"/>
      <c r="M811" s="65"/>
      <c r="N811" s="65"/>
    </row>
    <row r="812">
      <c r="A812" s="61"/>
      <c r="B812" s="61"/>
      <c r="C812" s="61"/>
      <c r="D812" s="61"/>
      <c r="E812" s="61"/>
      <c r="F812" s="61"/>
      <c r="G812" s="61"/>
      <c r="H812" s="61"/>
      <c r="I812" s="61"/>
      <c r="J812" s="107"/>
      <c r="K812" s="100"/>
      <c r="L812" s="61"/>
      <c r="M812" s="61"/>
      <c r="N812" s="61"/>
    </row>
    <row r="813">
      <c r="A813" s="65"/>
      <c r="B813" s="65"/>
      <c r="C813" s="65"/>
      <c r="D813" s="65"/>
      <c r="E813" s="65"/>
      <c r="F813" s="65"/>
      <c r="G813" s="65"/>
      <c r="H813" s="65"/>
      <c r="I813" s="65"/>
      <c r="J813" s="108"/>
      <c r="K813" s="103"/>
      <c r="L813" s="65"/>
      <c r="M813" s="65"/>
      <c r="N813" s="65"/>
    </row>
    <row r="814">
      <c r="A814" s="61"/>
      <c r="B814" s="61"/>
      <c r="C814" s="61"/>
      <c r="D814" s="61"/>
      <c r="E814" s="61"/>
      <c r="F814" s="61"/>
      <c r="G814" s="61"/>
      <c r="H814" s="61"/>
      <c r="I814" s="61"/>
      <c r="J814" s="107"/>
      <c r="K814" s="100"/>
      <c r="L814" s="61"/>
      <c r="M814" s="61"/>
      <c r="N814" s="61"/>
    </row>
    <row r="815">
      <c r="A815" s="65"/>
      <c r="B815" s="65"/>
      <c r="C815" s="65"/>
      <c r="D815" s="65"/>
      <c r="E815" s="65"/>
      <c r="F815" s="65"/>
      <c r="G815" s="65"/>
      <c r="H815" s="65"/>
      <c r="I815" s="65"/>
      <c r="J815" s="108"/>
      <c r="K815" s="103"/>
      <c r="L815" s="65"/>
      <c r="M815" s="65"/>
      <c r="N815" s="65"/>
    </row>
    <row r="816">
      <c r="A816" s="61"/>
      <c r="B816" s="61"/>
      <c r="C816" s="61"/>
      <c r="D816" s="61"/>
      <c r="E816" s="61"/>
      <c r="F816" s="61"/>
      <c r="G816" s="61"/>
      <c r="H816" s="61"/>
      <c r="I816" s="61"/>
      <c r="J816" s="107"/>
      <c r="K816" s="100"/>
      <c r="L816" s="61"/>
      <c r="M816" s="61"/>
      <c r="N816" s="61"/>
    </row>
    <row r="817">
      <c r="A817" s="65"/>
      <c r="B817" s="65"/>
      <c r="C817" s="65"/>
      <c r="D817" s="65"/>
      <c r="E817" s="65"/>
      <c r="F817" s="65"/>
      <c r="G817" s="65"/>
      <c r="H817" s="65"/>
      <c r="I817" s="65"/>
      <c r="J817" s="108"/>
      <c r="K817" s="103"/>
      <c r="L817" s="65"/>
      <c r="M817" s="65"/>
      <c r="N817" s="65"/>
    </row>
    <row r="818">
      <c r="A818" s="61"/>
      <c r="B818" s="61"/>
      <c r="C818" s="61"/>
      <c r="D818" s="61"/>
      <c r="E818" s="61"/>
      <c r="F818" s="61"/>
      <c r="G818" s="61"/>
      <c r="H818" s="61"/>
      <c r="I818" s="61"/>
      <c r="J818" s="107"/>
      <c r="K818" s="100"/>
      <c r="L818" s="61"/>
      <c r="M818" s="61"/>
      <c r="N818" s="61"/>
    </row>
    <row r="819">
      <c r="A819" s="65"/>
      <c r="B819" s="65"/>
      <c r="C819" s="65"/>
      <c r="D819" s="65"/>
      <c r="E819" s="65"/>
      <c r="F819" s="65"/>
      <c r="G819" s="65"/>
      <c r="H819" s="65"/>
      <c r="I819" s="65"/>
      <c r="J819" s="108"/>
      <c r="K819" s="103"/>
      <c r="L819" s="65"/>
      <c r="M819" s="65"/>
      <c r="N819" s="65"/>
    </row>
    <row r="820">
      <c r="A820" s="61"/>
      <c r="B820" s="61"/>
      <c r="C820" s="61"/>
      <c r="D820" s="61"/>
      <c r="E820" s="61"/>
      <c r="F820" s="61"/>
      <c r="G820" s="61"/>
      <c r="H820" s="61"/>
      <c r="I820" s="61"/>
      <c r="J820" s="107"/>
      <c r="K820" s="100"/>
      <c r="L820" s="61"/>
      <c r="M820" s="61"/>
      <c r="N820" s="61"/>
    </row>
    <row r="821">
      <c r="A821" s="65"/>
      <c r="B821" s="65"/>
      <c r="C821" s="65"/>
      <c r="D821" s="65"/>
      <c r="E821" s="65"/>
      <c r="F821" s="65"/>
      <c r="G821" s="65"/>
      <c r="H821" s="65"/>
      <c r="I821" s="65"/>
      <c r="J821" s="108"/>
      <c r="K821" s="103"/>
      <c r="L821" s="65"/>
      <c r="M821" s="65"/>
      <c r="N821" s="65"/>
    </row>
    <row r="822">
      <c r="A822" s="61"/>
      <c r="B822" s="61"/>
      <c r="C822" s="61"/>
      <c r="D822" s="61"/>
      <c r="E822" s="61"/>
      <c r="F822" s="61"/>
      <c r="G822" s="61"/>
      <c r="H822" s="61"/>
      <c r="I822" s="61"/>
      <c r="J822" s="107"/>
      <c r="K822" s="100"/>
      <c r="L822" s="61"/>
      <c r="M822" s="61"/>
      <c r="N822" s="61"/>
    </row>
    <row r="823">
      <c r="A823" s="65"/>
      <c r="B823" s="65"/>
      <c r="C823" s="65"/>
      <c r="D823" s="65"/>
      <c r="E823" s="65"/>
      <c r="F823" s="65"/>
      <c r="G823" s="65"/>
      <c r="H823" s="65"/>
      <c r="I823" s="65"/>
      <c r="J823" s="108"/>
      <c r="K823" s="103"/>
      <c r="L823" s="65"/>
      <c r="M823" s="65"/>
      <c r="N823" s="65"/>
    </row>
    <row r="824">
      <c r="A824" s="61"/>
      <c r="B824" s="61"/>
      <c r="C824" s="61"/>
      <c r="D824" s="61"/>
      <c r="E824" s="61"/>
      <c r="F824" s="61"/>
      <c r="G824" s="61"/>
      <c r="H824" s="61"/>
      <c r="I824" s="61"/>
      <c r="J824" s="107"/>
      <c r="K824" s="100"/>
      <c r="L824" s="61"/>
      <c r="M824" s="61"/>
      <c r="N824" s="61"/>
    </row>
    <row r="825">
      <c r="A825" s="65"/>
      <c r="B825" s="65"/>
      <c r="C825" s="65"/>
      <c r="D825" s="65"/>
      <c r="E825" s="65"/>
      <c r="F825" s="65"/>
      <c r="G825" s="65"/>
      <c r="H825" s="65"/>
      <c r="I825" s="65"/>
      <c r="J825" s="108"/>
      <c r="K825" s="103"/>
      <c r="L825" s="65"/>
      <c r="M825" s="65"/>
      <c r="N825" s="65"/>
    </row>
    <row r="826">
      <c r="A826" s="61"/>
      <c r="B826" s="61"/>
      <c r="C826" s="61"/>
      <c r="D826" s="61"/>
      <c r="E826" s="61"/>
      <c r="F826" s="61"/>
      <c r="G826" s="61"/>
      <c r="H826" s="61"/>
      <c r="I826" s="61"/>
      <c r="J826" s="107"/>
      <c r="K826" s="100"/>
      <c r="L826" s="61"/>
      <c r="M826" s="61"/>
      <c r="N826" s="61"/>
    </row>
    <row r="827">
      <c r="A827" s="65"/>
      <c r="B827" s="65"/>
      <c r="C827" s="65"/>
      <c r="D827" s="65"/>
      <c r="E827" s="65"/>
      <c r="F827" s="65"/>
      <c r="G827" s="65"/>
      <c r="H827" s="65"/>
      <c r="I827" s="65"/>
      <c r="J827" s="108"/>
      <c r="K827" s="103"/>
      <c r="L827" s="65"/>
      <c r="M827" s="65"/>
      <c r="N827" s="65"/>
    </row>
    <row r="828">
      <c r="A828" s="61"/>
      <c r="B828" s="61"/>
      <c r="C828" s="61"/>
      <c r="D828" s="61"/>
      <c r="E828" s="61"/>
      <c r="F828" s="61"/>
      <c r="G828" s="61"/>
      <c r="H828" s="61"/>
      <c r="I828" s="61"/>
      <c r="J828" s="107"/>
      <c r="K828" s="100"/>
      <c r="L828" s="61"/>
      <c r="M828" s="61"/>
      <c r="N828" s="61"/>
    </row>
    <row r="829">
      <c r="A829" s="65"/>
      <c r="B829" s="65"/>
      <c r="C829" s="65"/>
      <c r="D829" s="65"/>
      <c r="E829" s="65"/>
      <c r="F829" s="65"/>
      <c r="G829" s="65"/>
      <c r="H829" s="65"/>
      <c r="I829" s="65"/>
      <c r="J829" s="108"/>
      <c r="K829" s="103"/>
      <c r="L829" s="65"/>
      <c r="M829" s="65"/>
      <c r="N829" s="65"/>
    </row>
    <row r="830">
      <c r="A830" s="61"/>
      <c r="B830" s="61"/>
      <c r="C830" s="61"/>
      <c r="D830" s="61"/>
      <c r="E830" s="61"/>
      <c r="F830" s="61"/>
      <c r="G830" s="61"/>
      <c r="H830" s="61"/>
      <c r="I830" s="61"/>
      <c r="J830" s="107"/>
      <c r="K830" s="100"/>
      <c r="L830" s="61"/>
      <c r="M830" s="61"/>
      <c r="N830" s="61"/>
    </row>
    <row r="831">
      <c r="A831" s="65"/>
      <c r="B831" s="65"/>
      <c r="C831" s="65"/>
      <c r="D831" s="65"/>
      <c r="E831" s="65"/>
      <c r="F831" s="65"/>
      <c r="G831" s="65"/>
      <c r="H831" s="65"/>
      <c r="I831" s="65"/>
      <c r="J831" s="108"/>
      <c r="K831" s="103"/>
      <c r="L831" s="65"/>
      <c r="M831" s="65"/>
      <c r="N831" s="65"/>
    </row>
    <row r="832">
      <c r="A832" s="61"/>
      <c r="B832" s="61"/>
      <c r="C832" s="61"/>
      <c r="D832" s="61"/>
      <c r="E832" s="61"/>
      <c r="F832" s="61"/>
      <c r="G832" s="61"/>
      <c r="H832" s="61"/>
      <c r="I832" s="61"/>
      <c r="J832" s="107"/>
      <c r="K832" s="100"/>
      <c r="L832" s="61"/>
      <c r="M832" s="61"/>
      <c r="N832" s="61"/>
    </row>
    <row r="833">
      <c r="A833" s="65"/>
      <c r="B833" s="65"/>
      <c r="C833" s="65"/>
      <c r="D833" s="65"/>
      <c r="E833" s="65"/>
      <c r="F833" s="65"/>
      <c r="G833" s="65"/>
      <c r="H833" s="65"/>
      <c r="I833" s="65"/>
      <c r="J833" s="108"/>
      <c r="K833" s="103"/>
      <c r="L833" s="65"/>
      <c r="M833" s="65"/>
      <c r="N833" s="65"/>
    </row>
    <row r="834">
      <c r="A834" s="61"/>
      <c r="B834" s="61"/>
      <c r="C834" s="61"/>
      <c r="D834" s="61"/>
      <c r="E834" s="61"/>
      <c r="F834" s="61"/>
      <c r="G834" s="61"/>
      <c r="H834" s="61"/>
      <c r="I834" s="61"/>
      <c r="J834" s="107"/>
      <c r="K834" s="100"/>
      <c r="L834" s="61"/>
      <c r="M834" s="61"/>
      <c r="N834" s="61"/>
    </row>
    <row r="835">
      <c r="A835" s="65"/>
      <c r="B835" s="65"/>
      <c r="C835" s="65"/>
      <c r="D835" s="65"/>
      <c r="E835" s="65"/>
      <c r="F835" s="65"/>
      <c r="G835" s="65"/>
      <c r="H835" s="65"/>
      <c r="I835" s="65"/>
      <c r="J835" s="108"/>
      <c r="K835" s="103"/>
      <c r="L835" s="65"/>
      <c r="M835" s="65"/>
      <c r="N835" s="65"/>
    </row>
    <row r="836">
      <c r="A836" s="61"/>
      <c r="B836" s="61"/>
      <c r="C836" s="61"/>
      <c r="D836" s="61"/>
      <c r="E836" s="61"/>
      <c r="F836" s="61"/>
      <c r="G836" s="61"/>
      <c r="H836" s="61"/>
      <c r="I836" s="61"/>
      <c r="J836" s="107"/>
      <c r="K836" s="100"/>
      <c r="L836" s="61"/>
      <c r="M836" s="61"/>
      <c r="N836" s="61"/>
    </row>
    <row r="837">
      <c r="A837" s="65"/>
      <c r="B837" s="65"/>
      <c r="C837" s="65"/>
      <c r="D837" s="65"/>
      <c r="E837" s="65"/>
      <c r="F837" s="65"/>
      <c r="G837" s="65"/>
      <c r="H837" s="65"/>
      <c r="I837" s="65"/>
      <c r="J837" s="108"/>
      <c r="K837" s="103"/>
      <c r="L837" s="65"/>
      <c r="M837" s="65"/>
      <c r="N837" s="65"/>
    </row>
    <row r="838">
      <c r="A838" s="61"/>
      <c r="B838" s="61"/>
      <c r="C838" s="61"/>
      <c r="D838" s="61"/>
      <c r="E838" s="61"/>
      <c r="F838" s="61"/>
      <c r="G838" s="61"/>
      <c r="H838" s="61"/>
      <c r="I838" s="61"/>
      <c r="J838" s="107"/>
      <c r="K838" s="100"/>
      <c r="L838" s="61"/>
      <c r="M838" s="61"/>
      <c r="N838" s="61"/>
    </row>
    <row r="839">
      <c r="A839" s="65"/>
      <c r="B839" s="65"/>
      <c r="C839" s="65"/>
      <c r="D839" s="65"/>
      <c r="E839" s="65"/>
      <c r="F839" s="65"/>
      <c r="G839" s="65"/>
      <c r="H839" s="65"/>
      <c r="I839" s="65"/>
      <c r="J839" s="108"/>
      <c r="K839" s="103"/>
      <c r="L839" s="65"/>
      <c r="M839" s="65"/>
      <c r="N839" s="65"/>
    </row>
    <row r="840">
      <c r="A840" s="61"/>
      <c r="B840" s="61"/>
      <c r="C840" s="61"/>
      <c r="D840" s="61"/>
      <c r="E840" s="61"/>
      <c r="F840" s="61"/>
      <c r="G840" s="61"/>
      <c r="H840" s="61"/>
      <c r="I840" s="61"/>
      <c r="J840" s="107"/>
      <c r="K840" s="100"/>
      <c r="L840" s="61"/>
      <c r="M840" s="61"/>
      <c r="N840" s="61"/>
    </row>
    <row r="841">
      <c r="A841" s="65"/>
      <c r="B841" s="65"/>
      <c r="C841" s="65"/>
      <c r="D841" s="65"/>
      <c r="E841" s="65"/>
      <c r="F841" s="65"/>
      <c r="G841" s="65"/>
      <c r="H841" s="65"/>
      <c r="I841" s="65"/>
      <c r="J841" s="108"/>
      <c r="K841" s="103"/>
      <c r="L841" s="65"/>
      <c r="M841" s="65"/>
      <c r="N841" s="65"/>
    </row>
    <row r="842">
      <c r="A842" s="61"/>
      <c r="B842" s="61"/>
      <c r="C842" s="61"/>
      <c r="D842" s="61"/>
      <c r="E842" s="61"/>
      <c r="F842" s="61"/>
      <c r="G842" s="61"/>
      <c r="H842" s="61"/>
      <c r="I842" s="61"/>
      <c r="J842" s="107"/>
      <c r="K842" s="100"/>
      <c r="L842" s="61"/>
      <c r="M842" s="61"/>
      <c r="N842" s="61"/>
    </row>
    <row r="843">
      <c r="A843" s="65"/>
      <c r="B843" s="65"/>
      <c r="C843" s="65"/>
      <c r="D843" s="65"/>
      <c r="E843" s="65"/>
      <c r="F843" s="65"/>
      <c r="G843" s="65"/>
      <c r="H843" s="65"/>
      <c r="I843" s="65"/>
      <c r="J843" s="108"/>
      <c r="K843" s="103"/>
      <c r="L843" s="65"/>
      <c r="M843" s="65"/>
      <c r="N843" s="65"/>
    </row>
    <row r="844">
      <c r="A844" s="61"/>
      <c r="B844" s="61"/>
      <c r="C844" s="61"/>
      <c r="D844" s="61"/>
      <c r="E844" s="61"/>
      <c r="F844" s="61"/>
      <c r="G844" s="61"/>
      <c r="H844" s="61"/>
      <c r="I844" s="61"/>
      <c r="J844" s="107"/>
      <c r="K844" s="100"/>
      <c r="L844" s="61"/>
      <c r="M844" s="61"/>
      <c r="N844" s="61"/>
    </row>
    <row r="845">
      <c r="A845" s="65"/>
      <c r="B845" s="65"/>
      <c r="C845" s="65"/>
      <c r="D845" s="65"/>
      <c r="E845" s="65"/>
      <c r="F845" s="65"/>
      <c r="G845" s="65"/>
      <c r="H845" s="65"/>
      <c r="I845" s="65"/>
      <c r="J845" s="108"/>
      <c r="K845" s="103"/>
      <c r="L845" s="65"/>
      <c r="M845" s="65"/>
      <c r="N845" s="65"/>
    </row>
    <row r="846">
      <c r="A846" s="61"/>
      <c r="B846" s="61"/>
      <c r="C846" s="61"/>
      <c r="D846" s="61"/>
      <c r="E846" s="61"/>
      <c r="F846" s="61"/>
      <c r="G846" s="61"/>
      <c r="H846" s="61"/>
      <c r="I846" s="61"/>
      <c r="J846" s="107"/>
      <c r="K846" s="100"/>
      <c r="L846" s="61"/>
      <c r="M846" s="61"/>
      <c r="N846" s="61"/>
    </row>
    <row r="847">
      <c r="A847" s="65"/>
      <c r="B847" s="65"/>
      <c r="C847" s="65"/>
      <c r="D847" s="65"/>
      <c r="E847" s="65"/>
      <c r="F847" s="65"/>
      <c r="G847" s="65"/>
      <c r="H847" s="65"/>
      <c r="I847" s="65"/>
      <c r="J847" s="108"/>
      <c r="K847" s="103"/>
      <c r="L847" s="65"/>
      <c r="M847" s="65"/>
      <c r="N847" s="65"/>
    </row>
    <row r="848">
      <c r="A848" s="61"/>
      <c r="B848" s="61"/>
      <c r="C848" s="61"/>
      <c r="D848" s="61"/>
      <c r="E848" s="61"/>
      <c r="F848" s="61"/>
      <c r="G848" s="61"/>
      <c r="H848" s="61"/>
      <c r="I848" s="61"/>
      <c r="J848" s="107"/>
      <c r="K848" s="100"/>
      <c r="L848" s="61"/>
      <c r="M848" s="61"/>
      <c r="N848" s="61"/>
    </row>
    <row r="849">
      <c r="A849" s="65"/>
      <c r="B849" s="65"/>
      <c r="C849" s="65"/>
      <c r="D849" s="65"/>
      <c r="E849" s="65"/>
      <c r="F849" s="65"/>
      <c r="G849" s="65"/>
      <c r="H849" s="65"/>
      <c r="I849" s="65"/>
      <c r="J849" s="108"/>
      <c r="K849" s="103"/>
      <c r="L849" s="65"/>
      <c r="M849" s="65"/>
      <c r="N849" s="65"/>
    </row>
    <row r="850">
      <c r="A850" s="61"/>
      <c r="B850" s="61"/>
      <c r="C850" s="61"/>
      <c r="D850" s="61"/>
      <c r="E850" s="61"/>
      <c r="F850" s="61"/>
      <c r="G850" s="61"/>
      <c r="H850" s="61"/>
      <c r="I850" s="61"/>
      <c r="J850" s="107"/>
      <c r="K850" s="100"/>
      <c r="L850" s="61"/>
      <c r="M850" s="61"/>
      <c r="N850" s="61"/>
    </row>
    <row r="851">
      <c r="A851" s="65"/>
      <c r="B851" s="65"/>
      <c r="C851" s="65"/>
      <c r="D851" s="65"/>
      <c r="E851" s="65"/>
      <c r="F851" s="65"/>
      <c r="G851" s="65"/>
      <c r="H851" s="65"/>
      <c r="I851" s="65"/>
      <c r="J851" s="108"/>
      <c r="K851" s="103"/>
      <c r="L851" s="65"/>
      <c r="M851" s="65"/>
      <c r="N851" s="65"/>
    </row>
    <row r="852">
      <c r="A852" s="61"/>
      <c r="B852" s="61"/>
      <c r="C852" s="61"/>
      <c r="D852" s="61"/>
      <c r="E852" s="61"/>
      <c r="F852" s="61"/>
      <c r="G852" s="61"/>
      <c r="H852" s="61"/>
      <c r="I852" s="61"/>
      <c r="J852" s="107"/>
      <c r="K852" s="100"/>
      <c r="L852" s="61"/>
      <c r="M852" s="61"/>
      <c r="N852" s="61"/>
    </row>
    <row r="853">
      <c r="A853" s="65"/>
      <c r="B853" s="65"/>
      <c r="C853" s="65"/>
      <c r="D853" s="65"/>
      <c r="E853" s="65"/>
      <c r="F853" s="65"/>
      <c r="G853" s="65"/>
      <c r="H853" s="65"/>
      <c r="I853" s="65"/>
      <c r="J853" s="108"/>
      <c r="K853" s="103"/>
      <c r="L853" s="65"/>
      <c r="M853" s="65"/>
      <c r="N853" s="65"/>
    </row>
    <row r="854">
      <c r="A854" s="61"/>
      <c r="B854" s="61"/>
      <c r="C854" s="61"/>
      <c r="D854" s="61"/>
      <c r="E854" s="61"/>
      <c r="F854" s="61"/>
      <c r="G854" s="61"/>
      <c r="H854" s="61"/>
      <c r="I854" s="61"/>
      <c r="J854" s="107"/>
      <c r="K854" s="100"/>
      <c r="L854" s="61"/>
      <c r="M854" s="61"/>
      <c r="N854" s="61"/>
    </row>
    <row r="855">
      <c r="A855" s="65"/>
      <c r="B855" s="65"/>
      <c r="C855" s="65"/>
      <c r="D855" s="65"/>
      <c r="E855" s="65"/>
      <c r="F855" s="65"/>
      <c r="G855" s="65"/>
      <c r="H855" s="65"/>
      <c r="I855" s="65"/>
      <c r="J855" s="108"/>
      <c r="K855" s="103"/>
      <c r="L855" s="65"/>
      <c r="M855" s="65"/>
      <c r="N855" s="65"/>
    </row>
    <row r="856">
      <c r="A856" s="61"/>
      <c r="B856" s="61"/>
      <c r="C856" s="61"/>
      <c r="D856" s="61"/>
      <c r="E856" s="61"/>
      <c r="F856" s="61"/>
      <c r="G856" s="61"/>
      <c r="H856" s="61"/>
      <c r="I856" s="61"/>
      <c r="J856" s="107"/>
      <c r="K856" s="100"/>
      <c r="L856" s="61"/>
      <c r="M856" s="61"/>
      <c r="N856" s="61"/>
    </row>
    <row r="857">
      <c r="A857" s="65"/>
      <c r="B857" s="65"/>
      <c r="C857" s="65"/>
      <c r="D857" s="65"/>
      <c r="E857" s="65"/>
      <c r="F857" s="65"/>
      <c r="G857" s="65"/>
      <c r="H857" s="65"/>
      <c r="I857" s="65"/>
      <c r="J857" s="108"/>
      <c r="K857" s="103"/>
      <c r="L857" s="65"/>
      <c r="M857" s="65"/>
      <c r="N857" s="65"/>
    </row>
    <row r="858">
      <c r="A858" s="61"/>
      <c r="B858" s="61"/>
      <c r="C858" s="61"/>
      <c r="D858" s="61"/>
      <c r="E858" s="61"/>
      <c r="F858" s="61"/>
      <c r="G858" s="61"/>
      <c r="H858" s="61"/>
      <c r="I858" s="61"/>
      <c r="J858" s="107"/>
      <c r="K858" s="100"/>
      <c r="L858" s="61"/>
      <c r="M858" s="61"/>
      <c r="N858" s="61"/>
    </row>
    <row r="859">
      <c r="A859" s="65"/>
      <c r="B859" s="65"/>
      <c r="C859" s="65"/>
      <c r="D859" s="65"/>
      <c r="E859" s="65"/>
      <c r="F859" s="65"/>
      <c r="G859" s="65"/>
      <c r="H859" s="65"/>
      <c r="I859" s="65"/>
      <c r="J859" s="108"/>
      <c r="K859" s="103"/>
      <c r="L859" s="65"/>
      <c r="M859" s="65"/>
      <c r="N859" s="65"/>
    </row>
    <row r="860">
      <c r="A860" s="61"/>
      <c r="B860" s="61"/>
      <c r="C860" s="61"/>
      <c r="D860" s="61"/>
      <c r="E860" s="61"/>
      <c r="F860" s="61"/>
      <c r="G860" s="61"/>
      <c r="H860" s="61"/>
      <c r="I860" s="61"/>
      <c r="J860" s="107"/>
      <c r="K860" s="100"/>
      <c r="L860" s="61"/>
      <c r="M860" s="61"/>
      <c r="N860" s="61"/>
    </row>
    <row r="861">
      <c r="A861" s="65"/>
      <c r="B861" s="65"/>
      <c r="C861" s="65"/>
      <c r="D861" s="65"/>
      <c r="E861" s="65"/>
      <c r="F861" s="65"/>
      <c r="G861" s="65"/>
      <c r="H861" s="65"/>
      <c r="I861" s="65"/>
      <c r="J861" s="108"/>
      <c r="K861" s="103"/>
      <c r="L861" s="65"/>
      <c r="M861" s="65"/>
      <c r="N861" s="65"/>
    </row>
    <row r="862">
      <c r="A862" s="61"/>
      <c r="B862" s="61"/>
      <c r="C862" s="61"/>
      <c r="D862" s="61"/>
      <c r="E862" s="61"/>
      <c r="F862" s="61"/>
      <c r="G862" s="61"/>
      <c r="H862" s="61"/>
      <c r="I862" s="61"/>
      <c r="J862" s="107"/>
      <c r="K862" s="100"/>
      <c r="L862" s="61"/>
      <c r="M862" s="61"/>
      <c r="N862" s="61"/>
    </row>
    <row r="863">
      <c r="A863" s="65"/>
      <c r="B863" s="65"/>
      <c r="C863" s="65"/>
      <c r="D863" s="65"/>
      <c r="E863" s="65"/>
      <c r="F863" s="65"/>
      <c r="G863" s="65"/>
      <c r="H863" s="65"/>
      <c r="I863" s="65"/>
      <c r="J863" s="108"/>
      <c r="K863" s="103"/>
      <c r="L863" s="65"/>
      <c r="M863" s="65"/>
      <c r="N863" s="65"/>
    </row>
    <row r="864">
      <c r="A864" s="61"/>
      <c r="B864" s="61"/>
      <c r="C864" s="61"/>
      <c r="D864" s="61"/>
      <c r="E864" s="61"/>
      <c r="F864" s="61"/>
      <c r="G864" s="61"/>
      <c r="H864" s="61"/>
      <c r="I864" s="61"/>
      <c r="J864" s="107"/>
      <c r="K864" s="100"/>
      <c r="L864" s="61"/>
      <c r="M864" s="61"/>
      <c r="N864" s="61"/>
    </row>
    <row r="865">
      <c r="A865" s="65"/>
      <c r="B865" s="65"/>
      <c r="C865" s="65"/>
      <c r="D865" s="65"/>
      <c r="E865" s="65"/>
      <c r="F865" s="65"/>
      <c r="G865" s="65"/>
      <c r="H865" s="65"/>
      <c r="I865" s="65"/>
      <c r="J865" s="108"/>
      <c r="K865" s="103"/>
      <c r="L865" s="65"/>
      <c r="M865" s="65"/>
      <c r="N865" s="65"/>
    </row>
    <row r="866">
      <c r="A866" s="61"/>
      <c r="B866" s="61"/>
      <c r="C866" s="61"/>
      <c r="D866" s="61"/>
      <c r="E866" s="61"/>
      <c r="F866" s="61"/>
      <c r="G866" s="61"/>
      <c r="H866" s="61"/>
      <c r="I866" s="61"/>
      <c r="J866" s="107"/>
      <c r="K866" s="100"/>
      <c r="L866" s="61"/>
      <c r="M866" s="61"/>
      <c r="N866" s="61"/>
    </row>
    <row r="867">
      <c r="A867" s="65"/>
      <c r="B867" s="65"/>
      <c r="C867" s="65"/>
      <c r="D867" s="65"/>
      <c r="E867" s="65"/>
      <c r="F867" s="65"/>
      <c r="G867" s="65"/>
      <c r="H867" s="65"/>
      <c r="I867" s="65"/>
      <c r="J867" s="108"/>
      <c r="K867" s="103"/>
      <c r="L867" s="65"/>
      <c r="M867" s="65"/>
      <c r="N867" s="65"/>
    </row>
    <row r="868">
      <c r="A868" s="61"/>
      <c r="B868" s="61"/>
      <c r="C868" s="61"/>
      <c r="D868" s="61"/>
      <c r="E868" s="61"/>
      <c r="F868" s="61"/>
      <c r="G868" s="61"/>
      <c r="H868" s="61"/>
      <c r="I868" s="61"/>
      <c r="J868" s="107"/>
      <c r="K868" s="100"/>
      <c r="L868" s="61"/>
      <c r="M868" s="61"/>
      <c r="N868" s="61"/>
    </row>
    <row r="869">
      <c r="A869" s="65"/>
      <c r="B869" s="65"/>
      <c r="C869" s="65"/>
      <c r="D869" s="65"/>
      <c r="E869" s="65"/>
      <c r="F869" s="65"/>
      <c r="G869" s="65"/>
      <c r="H869" s="65"/>
      <c r="I869" s="65"/>
      <c r="J869" s="108"/>
      <c r="K869" s="103"/>
      <c r="L869" s="65"/>
      <c r="M869" s="65"/>
      <c r="N869" s="65"/>
    </row>
    <row r="870">
      <c r="A870" s="61"/>
      <c r="B870" s="61"/>
      <c r="C870" s="61"/>
      <c r="D870" s="61"/>
      <c r="E870" s="61"/>
      <c r="F870" s="61"/>
      <c r="G870" s="61"/>
      <c r="H870" s="61"/>
      <c r="I870" s="61"/>
      <c r="J870" s="107"/>
      <c r="K870" s="100"/>
      <c r="L870" s="61"/>
      <c r="M870" s="61"/>
      <c r="N870" s="61"/>
    </row>
    <row r="871">
      <c r="A871" s="65"/>
      <c r="B871" s="65"/>
      <c r="C871" s="65"/>
      <c r="D871" s="65"/>
      <c r="E871" s="65"/>
      <c r="F871" s="65"/>
      <c r="G871" s="65"/>
      <c r="H871" s="65"/>
      <c r="I871" s="65"/>
      <c r="J871" s="108"/>
      <c r="K871" s="103"/>
      <c r="L871" s="65"/>
      <c r="M871" s="65"/>
      <c r="N871" s="65"/>
    </row>
    <row r="872">
      <c r="A872" s="61"/>
      <c r="B872" s="61"/>
      <c r="C872" s="61"/>
      <c r="D872" s="61"/>
      <c r="E872" s="61"/>
      <c r="F872" s="61"/>
      <c r="G872" s="61"/>
      <c r="H872" s="61"/>
      <c r="I872" s="61"/>
      <c r="J872" s="107"/>
      <c r="K872" s="100"/>
      <c r="L872" s="61"/>
      <c r="M872" s="61"/>
      <c r="N872" s="61"/>
    </row>
    <row r="873">
      <c r="A873" s="65"/>
      <c r="B873" s="65"/>
      <c r="C873" s="65"/>
      <c r="D873" s="65"/>
      <c r="E873" s="65"/>
      <c r="F873" s="65"/>
      <c r="G873" s="65"/>
      <c r="H873" s="65"/>
      <c r="I873" s="65"/>
      <c r="J873" s="108"/>
      <c r="K873" s="103"/>
      <c r="L873" s="65"/>
      <c r="M873" s="65"/>
      <c r="N873" s="65"/>
    </row>
    <row r="874">
      <c r="A874" s="61"/>
      <c r="B874" s="61"/>
      <c r="C874" s="61"/>
      <c r="D874" s="61"/>
      <c r="E874" s="61"/>
      <c r="F874" s="61"/>
      <c r="G874" s="61"/>
      <c r="H874" s="61"/>
      <c r="I874" s="61"/>
      <c r="J874" s="107"/>
      <c r="K874" s="100"/>
      <c r="L874" s="61"/>
      <c r="M874" s="61"/>
      <c r="N874" s="61"/>
    </row>
    <row r="875">
      <c r="A875" s="65"/>
      <c r="B875" s="65"/>
      <c r="C875" s="65"/>
      <c r="D875" s="65"/>
      <c r="E875" s="65"/>
      <c r="F875" s="65"/>
      <c r="G875" s="65"/>
      <c r="H875" s="65"/>
      <c r="I875" s="65"/>
      <c r="J875" s="108"/>
      <c r="K875" s="103"/>
      <c r="L875" s="65"/>
      <c r="M875" s="65"/>
      <c r="N875" s="65"/>
    </row>
    <row r="876">
      <c r="A876" s="61"/>
      <c r="B876" s="61"/>
      <c r="C876" s="61"/>
      <c r="D876" s="61"/>
      <c r="E876" s="61"/>
      <c r="F876" s="61"/>
      <c r="G876" s="61"/>
      <c r="H876" s="61"/>
      <c r="I876" s="61"/>
      <c r="J876" s="107"/>
      <c r="K876" s="100"/>
      <c r="L876" s="61"/>
      <c r="M876" s="61"/>
      <c r="N876" s="61"/>
    </row>
    <row r="877">
      <c r="A877" s="65"/>
      <c r="B877" s="65"/>
      <c r="C877" s="65"/>
      <c r="D877" s="65"/>
      <c r="E877" s="65"/>
      <c r="F877" s="65"/>
      <c r="G877" s="65"/>
      <c r="H877" s="65"/>
      <c r="I877" s="65"/>
      <c r="J877" s="108"/>
      <c r="K877" s="103"/>
      <c r="L877" s="65"/>
      <c r="M877" s="65"/>
      <c r="N877" s="65"/>
    </row>
    <row r="878">
      <c r="A878" s="61"/>
      <c r="B878" s="61"/>
      <c r="C878" s="61"/>
      <c r="D878" s="61"/>
      <c r="E878" s="61"/>
      <c r="F878" s="61"/>
      <c r="G878" s="61"/>
      <c r="H878" s="61"/>
      <c r="I878" s="61"/>
      <c r="J878" s="107"/>
      <c r="K878" s="100"/>
      <c r="L878" s="61"/>
      <c r="M878" s="61"/>
      <c r="N878" s="61"/>
    </row>
    <row r="879">
      <c r="A879" s="65"/>
      <c r="B879" s="65"/>
      <c r="C879" s="65"/>
      <c r="D879" s="65"/>
      <c r="E879" s="65"/>
      <c r="F879" s="65"/>
      <c r="G879" s="65"/>
      <c r="H879" s="65"/>
      <c r="I879" s="65"/>
      <c r="J879" s="108"/>
      <c r="K879" s="103"/>
      <c r="L879" s="65"/>
      <c r="M879" s="65"/>
      <c r="N879" s="65"/>
    </row>
    <row r="880">
      <c r="A880" s="61"/>
      <c r="B880" s="61"/>
      <c r="C880" s="61"/>
      <c r="D880" s="61"/>
      <c r="E880" s="61"/>
      <c r="F880" s="61"/>
      <c r="G880" s="61"/>
      <c r="H880" s="61"/>
      <c r="I880" s="61"/>
      <c r="J880" s="107"/>
      <c r="K880" s="100"/>
      <c r="L880" s="61"/>
      <c r="M880" s="61"/>
      <c r="N880" s="61"/>
    </row>
    <row r="881">
      <c r="A881" s="65"/>
      <c r="B881" s="65"/>
      <c r="C881" s="65"/>
      <c r="D881" s="65"/>
      <c r="E881" s="65"/>
      <c r="F881" s="65"/>
      <c r="G881" s="65"/>
      <c r="H881" s="65"/>
      <c r="I881" s="65"/>
      <c r="J881" s="108"/>
      <c r="K881" s="103"/>
      <c r="L881" s="65"/>
      <c r="M881" s="65"/>
      <c r="N881" s="65"/>
    </row>
    <row r="882">
      <c r="A882" s="61"/>
      <c r="B882" s="61"/>
      <c r="C882" s="61"/>
      <c r="D882" s="61"/>
      <c r="E882" s="61"/>
      <c r="F882" s="61"/>
      <c r="G882" s="61"/>
      <c r="H882" s="61"/>
      <c r="I882" s="61"/>
      <c r="J882" s="107"/>
      <c r="K882" s="100"/>
      <c r="L882" s="61"/>
      <c r="M882" s="61"/>
      <c r="N882" s="61"/>
    </row>
    <row r="883">
      <c r="A883" s="65"/>
      <c r="B883" s="65"/>
      <c r="C883" s="65"/>
      <c r="D883" s="65"/>
      <c r="E883" s="65"/>
      <c r="F883" s="65"/>
      <c r="G883" s="65"/>
      <c r="H883" s="65"/>
      <c r="I883" s="65"/>
      <c r="J883" s="108"/>
      <c r="K883" s="103"/>
      <c r="L883" s="65"/>
      <c r="M883" s="65"/>
      <c r="N883" s="65"/>
    </row>
    <row r="884">
      <c r="A884" s="61"/>
      <c r="B884" s="61"/>
      <c r="C884" s="61"/>
      <c r="D884" s="61"/>
      <c r="E884" s="61"/>
      <c r="F884" s="61"/>
      <c r="G884" s="61"/>
      <c r="H884" s="61"/>
      <c r="I884" s="61"/>
      <c r="J884" s="107"/>
      <c r="K884" s="100"/>
      <c r="L884" s="61"/>
      <c r="M884" s="61"/>
      <c r="N884" s="61"/>
    </row>
    <row r="885">
      <c r="A885" s="65"/>
      <c r="B885" s="65"/>
      <c r="C885" s="65"/>
      <c r="D885" s="65"/>
      <c r="E885" s="65"/>
      <c r="F885" s="65"/>
      <c r="G885" s="65"/>
      <c r="H885" s="65"/>
      <c r="I885" s="65"/>
      <c r="J885" s="108"/>
      <c r="K885" s="103"/>
      <c r="L885" s="65"/>
      <c r="M885" s="65"/>
      <c r="N885" s="65"/>
    </row>
    <row r="886">
      <c r="A886" s="61"/>
      <c r="B886" s="61"/>
      <c r="C886" s="61"/>
      <c r="D886" s="61"/>
      <c r="E886" s="61"/>
      <c r="F886" s="61"/>
      <c r="G886" s="61"/>
      <c r="H886" s="61"/>
      <c r="I886" s="61"/>
      <c r="J886" s="107"/>
      <c r="K886" s="100"/>
      <c r="L886" s="61"/>
      <c r="M886" s="61"/>
      <c r="N886" s="61"/>
    </row>
    <row r="887">
      <c r="A887" s="65"/>
      <c r="B887" s="65"/>
      <c r="C887" s="65"/>
      <c r="D887" s="65"/>
      <c r="E887" s="65"/>
      <c r="F887" s="65"/>
      <c r="G887" s="65"/>
      <c r="H887" s="65"/>
      <c r="I887" s="65"/>
      <c r="J887" s="108"/>
      <c r="K887" s="103"/>
      <c r="L887" s="65"/>
      <c r="M887" s="65"/>
      <c r="N887" s="65"/>
    </row>
    <row r="888">
      <c r="A888" s="61"/>
      <c r="B888" s="61"/>
      <c r="C888" s="61"/>
      <c r="D888" s="61"/>
      <c r="E888" s="61"/>
      <c r="F888" s="61"/>
      <c r="G888" s="61"/>
      <c r="H888" s="61"/>
      <c r="I888" s="61"/>
      <c r="J888" s="107"/>
      <c r="K888" s="100"/>
      <c r="L888" s="61"/>
      <c r="M888" s="61"/>
      <c r="N888" s="61"/>
    </row>
    <row r="889">
      <c r="A889" s="65"/>
      <c r="B889" s="65"/>
      <c r="C889" s="65"/>
      <c r="D889" s="65"/>
      <c r="E889" s="65"/>
      <c r="F889" s="65"/>
      <c r="G889" s="65"/>
      <c r="H889" s="65"/>
      <c r="I889" s="65"/>
      <c r="J889" s="108"/>
      <c r="K889" s="103"/>
      <c r="L889" s="65"/>
      <c r="M889" s="65"/>
      <c r="N889" s="65"/>
    </row>
    <row r="890">
      <c r="A890" s="61"/>
      <c r="B890" s="61"/>
      <c r="C890" s="61"/>
      <c r="D890" s="61"/>
      <c r="E890" s="61"/>
      <c r="F890" s="61"/>
      <c r="G890" s="61"/>
      <c r="H890" s="61"/>
      <c r="I890" s="61"/>
      <c r="J890" s="107"/>
      <c r="K890" s="100"/>
      <c r="L890" s="61"/>
      <c r="M890" s="61"/>
      <c r="N890" s="61"/>
    </row>
    <row r="891">
      <c r="A891" s="65"/>
      <c r="B891" s="65"/>
      <c r="C891" s="65"/>
      <c r="D891" s="65"/>
      <c r="E891" s="65"/>
      <c r="F891" s="65"/>
      <c r="G891" s="65"/>
      <c r="H891" s="65"/>
      <c r="I891" s="65"/>
      <c r="J891" s="108"/>
      <c r="K891" s="103"/>
      <c r="L891" s="65"/>
      <c r="M891" s="65"/>
      <c r="N891" s="65"/>
    </row>
    <row r="892">
      <c r="A892" s="61"/>
      <c r="B892" s="61"/>
      <c r="C892" s="61"/>
      <c r="D892" s="61"/>
      <c r="E892" s="61"/>
      <c r="F892" s="61"/>
      <c r="G892" s="61"/>
      <c r="H892" s="61"/>
      <c r="I892" s="61"/>
      <c r="J892" s="107"/>
      <c r="K892" s="100"/>
      <c r="L892" s="61"/>
      <c r="M892" s="61"/>
      <c r="N892" s="61"/>
    </row>
    <row r="893">
      <c r="A893" s="65"/>
      <c r="B893" s="65"/>
      <c r="C893" s="65"/>
      <c r="D893" s="65"/>
      <c r="E893" s="65"/>
      <c r="F893" s="65"/>
      <c r="G893" s="65"/>
      <c r="H893" s="65"/>
      <c r="I893" s="65"/>
      <c r="J893" s="108"/>
      <c r="K893" s="103"/>
      <c r="L893" s="65"/>
      <c r="M893" s="65"/>
      <c r="N893" s="65"/>
    </row>
    <row r="894">
      <c r="A894" s="61"/>
      <c r="B894" s="61"/>
      <c r="C894" s="61"/>
      <c r="D894" s="61"/>
      <c r="E894" s="61"/>
      <c r="F894" s="61"/>
      <c r="G894" s="61"/>
      <c r="H894" s="61"/>
      <c r="I894" s="61"/>
      <c r="J894" s="107"/>
      <c r="K894" s="100"/>
      <c r="L894" s="61"/>
      <c r="M894" s="61"/>
      <c r="N894" s="61"/>
    </row>
    <row r="895">
      <c r="A895" s="65"/>
      <c r="B895" s="65"/>
      <c r="C895" s="65"/>
      <c r="D895" s="65"/>
      <c r="E895" s="65"/>
      <c r="F895" s="65"/>
      <c r="G895" s="65"/>
      <c r="H895" s="65"/>
      <c r="I895" s="65"/>
      <c r="J895" s="108"/>
      <c r="K895" s="103"/>
      <c r="L895" s="65"/>
      <c r="M895" s="65"/>
      <c r="N895" s="65"/>
    </row>
    <row r="896">
      <c r="A896" s="61"/>
      <c r="B896" s="61"/>
      <c r="C896" s="61"/>
      <c r="D896" s="61"/>
      <c r="E896" s="61"/>
      <c r="F896" s="61"/>
      <c r="G896" s="61"/>
      <c r="H896" s="61"/>
      <c r="I896" s="61"/>
      <c r="J896" s="107"/>
      <c r="K896" s="100"/>
      <c r="L896" s="61"/>
      <c r="M896" s="61"/>
      <c r="N896" s="61"/>
    </row>
    <row r="897">
      <c r="A897" s="65"/>
      <c r="B897" s="65"/>
      <c r="C897" s="65"/>
      <c r="D897" s="65"/>
      <c r="E897" s="65"/>
      <c r="F897" s="65"/>
      <c r="G897" s="65"/>
      <c r="H897" s="65"/>
      <c r="I897" s="65"/>
      <c r="J897" s="108"/>
      <c r="K897" s="103"/>
      <c r="L897" s="65"/>
      <c r="M897" s="65"/>
      <c r="N897" s="65"/>
    </row>
    <row r="898">
      <c r="A898" s="61"/>
      <c r="B898" s="61"/>
      <c r="C898" s="61"/>
      <c r="D898" s="61"/>
      <c r="E898" s="61"/>
      <c r="F898" s="61"/>
      <c r="G898" s="61"/>
      <c r="H898" s="61"/>
      <c r="I898" s="61"/>
      <c r="J898" s="107"/>
      <c r="K898" s="100"/>
      <c r="L898" s="61"/>
      <c r="M898" s="61"/>
      <c r="N898" s="61"/>
    </row>
    <row r="899">
      <c r="A899" s="65"/>
      <c r="B899" s="65"/>
      <c r="C899" s="65"/>
      <c r="D899" s="65"/>
      <c r="E899" s="65"/>
      <c r="F899" s="65"/>
      <c r="G899" s="65"/>
      <c r="H899" s="65"/>
      <c r="I899" s="65"/>
      <c r="J899" s="108"/>
      <c r="K899" s="103"/>
      <c r="L899" s="65"/>
      <c r="M899" s="65"/>
      <c r="N899" s="65"/>
    </row>
    <row r="900">
      <c r="A900" s="61"/>
      <c r="B900" s="61"/>
      <c r="C900" s="61"/>
      <c r="D900" s="61"/>
      <c r="E900" s="61"/>
      <c r="F900" s="61"/>
      <c r="G900" s="61"/>
      <c r="H900" s="61"/>
      <c r="I900" s="61"/>
      <c r="J900" s="107"/>
      <c r="K900" s="100"/>
      <c r="L900" s="61"/>
      <c r="M900" s="61"/>
      <c r="N900" s="61"/>
    </row>
    <row r="901">
      <c r="A901" s="65"/>
      <c r="B901" s="65"/>
      <c r="C901" s="65"/>
      <c r="D901" s="65"/>
      <c r="E901" s="65"/>
      <c r="F901" s="65"/>
      <c r="G901" s="65"/>
      <c r="H901" s="65"/>
      <c r="I901" s="65"/>
      <c r="J901" s="108"/>
      <c r="K901" s="103"/>
      <c r="L901" s="65"/>
      <c r="M901" s="65"/>
      <c r="N901" s="65"/>
    </row>
    <row r="902">
      <c r="A902" s="61"/>
      <c r="B902" s="61"/>
      <c r="C902" s="61"/>
      <c r="D902" s="61"/>
      <c r="E902" s="61"/>
      <c r="F902" s="61"/>
      <c r="G902" s="61"/>
      <c r="H902" s="61"/>
      <c r="I902" s="61"/>
      <c r="J902" s="107"/>
      <c r="K902" s="100"/>
      <c r="L902" s="61"/>
      <c r="M902" s="61"/>
      <c r="N902" s="61"/>
    </row>
    <row r="903">
      <c r="A903" s="65"/>
      <c r="B903" s="65"/>
      <c r="C903" s="65"/>
      <c r="D903" s="65"/>
      <c r="E903" s="65"/>
      <c r="F903" s="65"/>
      <c r="G903" s="65"/>
      <c r="H903" s="65"/>
      <c r="I903" s="65"/>
      <c r="J903" s="108"/>
      <c r="K903" s="103"/>
      <c r="L903" s="65"/>
      <c r="M903" s="65"/>
      <c r="N903" s="65"/>
    </row>
    <row r="904">
      <c r="A904" s="61"/>
      <c r="B904" s="61"/>
      <c r="C904" s="61"/>
      <c r="D904" s="61"/>
      <c r="E904" s="61"/>
      <c r="F904" s="61"/>
      <c r="G904" s="61"/>
      <c r="H904" s="61"/>
      <c r="I904" s="61"/>
      <c r="J904" s="107"/>
      <c r="K904" s="100"/>
      <c r="L904" s="61"/>
      <c r="M904" s="61"/>
      <c r="N904" s="61"/>
    </row>
    <row r="905">
      <c r="A905" s="65"/>
      <c r="B905" s="65"/>
      <c r="C905" s="65"/>
      <c r="D905" s="65"/>
      <c r="E905" s="65"/>
      <c r="F905" s="65"/>
      <c r="G905" s="65"/>
      <c r="H905" s="65"/>
      <c r="I905" s="65"/>
      <c r="J905" s="108"/>
      <c r="K905" s="103"/>
      <c r="L905" s="65"/>
      <c r="M905" s="65"/>
      <c r="N905" s="65"/>
    </row>
    <row r="906">
      <c r="A906" s="61"/>
      <c r="B906" s="61"/>
      <c r="C906" s="61"/>
      <c r="D906" s="61"/>
      <c r="E906" s="61"/>
      <c r="F906" s="61"/>
      <c r="G906" s="61"/>
      <c r="H906" s="61"/>
      <c r="I906" s="61"/>
      <c r="J906" s="107"/>
      <c r="K906" s="100"/>
      <c r="L906" s="61"/>
      <c r="M906" s="61"/>
      <c r="N906" s="61"/>
    </row>
    <row r="907">
      <c r="A907" s="65"/>
      <c r="B907" s="65"/>
      <c r="C907" s="65"/>
      <c r="D907" s="65"/>
      <c r="E907" s="65"/>
      <c r="F907" s="65"/>
      <c r="G907" s="65"/>
      <c r="H907" s="65"/>
      <c r="I907" s="65"/>
      <c r="J907" s="108"/>
      <c r="K907" s="103"/>
      <c r="L907" s="65"/>
      <c r="M907" s="65"/>
      <c r="N907" s="65"/>
    </row>
    <row r="908">
      <c r="A908" s="61"/>
      <c r="B908" s="61"/>
      <c r="C908" s="61"/>
      <c r="D908" s="61"/>
      <c r="E908" s="61"/>
      <c r="F908" s="61"/>
      <c r="G908" s="61"/>
      <c r="H908" s="61"/>
      <c r="I908" s="61"/>
      <c r="J908" s="107"/>
      <c r="K908" s="100"/>
      <c r="L908" s="61"/>
      <c r="M908" s="61"/>
      <c r="N908" s="61"/>
    </row>
    <row r="909">
      <c r="A909" s="65"/>
      <c r="B909" s="65"/>
      <c r="C909" s="65"/>
      <c r="D909" s="65"/>
      <c r="E909" s="65"/>
      <c r="F909" s="65"/>
      <c r="G909" s="65"/>
      <c r="H909" s="65"/>
      <c r="I909" s="65"/>
      <c r="J909" s="108"/>
      <c r="K909" s="103"/>
      <c r="L909" s="65"/>
      <c r="M909" s="65"/>
      <c r="N909" s="65"/>
    </row>
    <row r="910">
      <c r="A910" s="61"/>
      <c r="B910" s="61"/>
      <c r="C910" s="61"/>
      <c r="D910" s="61"/>
      <c r="E910" s="61"/>
      <c r="F910" s="61"/>
      <c r="G910" s="61"/>
      <c r="H910" s="61"/>
      <c r="I910" s="61"/>
      <c r="J910" s="107"/>
      <c r="K910" s="100"/>
      <c r="L910" s="61"/>
      <c r="M910" s="61"/>
      <c r="N910" s="61"/>
    </row>
    <row r="911">
      <c r="A911" s="65"/>
      <c r="B911" s="65"/>
      <c r="C911" s="65"/>
      <c r="D911" s="65"/>
      <c r="E911" s="65"/>
      <c r="F911" s="65"/>
      <c r="G911" s="65"/>
      <c r="H911" s="65"/>
      <c r="I911" s="65"/>
      <c r="J911" s="108"/>
      <c r="K911" s="103"/>
      <c r="L911" s="65"/>
      <c r="M911" s="65"/>
      <c r="N911" s="65"/>
    </row>
    <row r="912">
      <c r="A912" s="61"/>
      <c r="B912" s="61"/>
      <c r="C912" s="61"/>
      <c r="D912" s="61"/>
      <c r="E912" s="61"/>
      <c r="F912" s="61"/>
      <c r="G912" s="61"/>
      <c r="H912" s="61"/>
      <c r="I912" s="61"/>
      <c r="J912" s="107"/>
      <c r="K912" s="100"/>
      <c r="L912" s="61"/>
      <c r="M912" s="61"/>
      <c r="N912" s="61"/>
    </row>
    <row r="913">
      <c r="A913" s="65"/>
      <c r="B913" s="65"/>
      <c r="C913" s="65"/>
      <c r="D913" s="65"/>
      <c r="E913" s="65"/>
      <c r="F913" s="65"/>
      <c r="G913" s="65"/>
      <c r="H913" s="65"/>
      <c r="I913" s="65"/>
      <c r="J913" s="108"/>
      <c r="K913" s="103"/>
      <c r="L913" s="65"/>
      <c r="M913" s="65"/>
      <c r="N913" s="65"/>
    </row>
    <row r="914">
      <c r="A914" s="61"/>
      <c r="B914" s="61"/>
      <c r="C914" s="61"/>
      <c r="D914" s="61"/>
      <c r="E914" s="61"/>
      <c r="F914" s="61"/>
      <c r="G914" s="61"/>
      <c r="H914" s="61"/>
      <c r="I914" s="61"/>
      <c r="J914" s="107"/>
      <c r="K914" s="100"/>
      <c r="L914" s="61"/>
      <c r="M914" s="61"/>
      <c r="N914" s="61"/>
    </row>
    <row r="915">
      <c r="A915" s="65"/>
      <c r="B915" s="65"/>
      <c r="C915" s="65"/>
      <c r="D915" s="65"/>
      <c r="E915" s="65"/>
      <c r="F915" s="65"/>
      <c r="G915" s="65"/>
      <c r="H915" s="65"/>
      <c r="I915" s="65"/>
      <c r="J915" s="108"/>
      <c r="K915" s="103"/>
      <c r="L915" s="65"/>
      <c r="M915" s="65"/>
      <c r="N915" s="65"/>
    </row>
    <row r="916">
      <c r="A916" s="61"/>
      <c r="B916" s="61"/>
      <c r="C916" s="61"/>
      <c r="D916" s="61"/>
      <c r="E916" s="61"/>
      <c r="F916" s="61"/>
      <c r="G916" s="61"/>
      <c r="H916" s="61"/>
      <c r="I916" s="61"/>
      <c r="J916" s="107"/>
      <c r="K916" s="100"/>
      <c r="L916" s="61"/>
      <c r="M916" s="61"/>
      <c r="N916" s="61"/>
    </row>
    <row r="917">
      <c r="A917" s="65"/>
      <c r="B917" s="65"/>
      <c r="C917" s="65"/>
      <c r="D917" s="65"/>
      <c r="E917" s="65"/>
      <c r="F917" s="65"/>
      <c r="G917" s="65"/>
      <c r="H917" s="65"/>
      <c r="I917" s="65"/>
      <c r="J917" s="108"/>
      <c r="K917" s="103"/>
      <c r="L917" s="65"/>
      <c r="M917" s="65"/>
      <c r="N917" s="65"/>
    </row>
    <row r="918">
      <c r="A918" s="61"/>
      <c r="B918" s="61"/>
      <c r="C918" s="61"/>
      <c r="D918" s="61"/>
      <c r="E918" s="61"/>
      <c r="F918" s="61"/>
      <c r="G918" s="61"/>
      <c r="H918" s="61"/>
      <c r="I918" s="61"/>
      <c r="J918" s="107"/>
      <c r="K918" s="100"/>
      <c r="L918" s="61"/>
      <c r="M918" s="61"/>
      <c r="N918" s="61"/>
    </row>
    <row r="919">
      <c r="A919" s="65"/>
      <c r="B919" s="65"/>
      <c r="C919" s="65"/>
      <c r="D919" s="65"/>
      <c r="E919" s="65"/>
      <c r="F919" s="65"/>
      <c r="G919" s="65"/>
      <c r="H919" s="65"/>
      <c r="I919" s="65"/>
      <c r="J919" s="108"/>
      <c r="K919" s="103"/>
      <c r="L919" s="65"/>
      <c r="M919" s="65"/>
      <c r="N919" s="65"/>
    </row>
    <row r="920">
      <c r="A920" s="61"/>
      <c r="B920" s="61"/>
      <c r="C920" s="61"/>
      <c r="D920" s="61"/>
      <c r="E920" s="61"/>
      <c r="F920" s="61"/>
      <c r="G920" s="61"/>
      <c r="H920" s="61"/>
      <c r="I920" s="61"/>
      <c r="J920" s="107"/>
      <c r="K920" s="100"/>
      <c r="L920" s="61"/>
      <c r="M920" s="61"/>
      <c r="N920" s="61"/>
    </row>
    <row r="921">
      <c r="A921" s="65"/>
      <c r="B921" s="65"/>
      <c r="C921" s="65"/>
      <c r="D921" s="65"/>
      <c r="E921" s="65"/>
      <c r="F921" s="65"/>
      <c r="G921" s="65"/>
      <c r="H921" s="65"/>
      <c r="I921" s="65"/>
      <c r="J921" s="108"/>
      <c r="K921" s="103"/>
      <c r="L921" s="65"/>
      <c r="M921" s="65"/>
      <c r="N921" s="65"/>
    </row>
    <row r="922">
      <c r="A922" s="61"/>
      <c r="B922" s="61"/>
      <c r="C922" s="61"/>
      <c r="D922" s="61"/>
      <c r="E922" s="61"/>
      <c r="F922" s="61"/>
      <c r="G922" s="61"/>
      <c r="H922" s="61"/>
      <c r="I922" s="61"/>
      <c r="J922" s="107"/>
      <c r="K922" s="100"/>
      <c r="L922" s="61"/>
      <c r="M922" s="61"/>
      <c r="N922" s="61"/>
    </row>
    <row r="923">
      <c r="A923" s="65"/>
      <c r="B923" s="65"/>
      <c r="C923" s="65"/>
      <c r="D923" s="65"/>
      <c r="E923" s="65"/>
      <c r="F923" s="65"/>
      <c r="G923" s="65"/>
      <c r="H923" s="65"/>
      <c r="I923" s="65"/>
      <c r="J923" s="108"/>
      <c r="K923" s="103"/>
      <c r="L923" s="65"/>
      <c r="M923" s="65"/>
      <c r="N923" s="65"/>
    </row>
    <row r="924">
      <c r="A924" s="61"/>
      <c r="B924" s="61"/>
      <c r="C924" s="61"/>
      <c r="D924" s="61"/>
      <c r="E924" s="61"/>
      <c r="F924" s="61"/>
      <c r="G924" s="61"/>
      <c r="H924" s="61"/>
      <c r="I924" s="61"/>
      <c r="J924" s="107"/>
      <c r="K924" s="100"/>
      <c r="L924" s="61"/>
      <c r="M924" s="61"/>
      <c r="N924" s="61"/>
    </row>
    <row r="925">
      <c r="A925" s="65"/>
      <c r="B925" s="65"/>
      <c r="C925" s="65"/>
      <c r="D925" s="65"/>
      <c r="E925" s="65"/>
      <c r="F925" s="65"/>
      <c r="G925" s="65"/>
      <c r="H925" s="65"/>
      <c r="I925" s="65"/>
      <c r="J925" s="108"/>
      <c r="K925" s="103"/>
      <c r="L925" s="65"/>
      <c r="M925" s="65"/>
      <c r="N925" s="65"/>
    </row>
    <row r="926">
      <c r="A926" s="61"/>
      <c r="B926" s="61"/>
      <c r="C926" s="61"/>
      <c r="D926" s="61"/>
      <c r="E926" s="61"/>
      <c r="F926" s="61"/>
      <c r="G926" s="61"/>
      <c r="H926" s="61"/>
      <c r="I926" s="61"/>
      <c r="J926" s="107"/>
      <c r="K926" s="100"/>
      <c r="L926" s="61"/>
      <c r="M926" s="61"/>
      <c r="N926" s="61"/>
    </row>
    <row r="927">
      <c r="A927" s="65"/>
      <c r="B927" s="65"/>
      <c r="C927" s="65"/>
      <c r="D927" s="65"/>
      <c r="E927" s="65"/>
      <c r="F927" s="65"/>
      <c r="G927" s="65"/>
      <c r="H927" s="65"/>
      <c r="I927" s="65"/>
      <c r="J927" s="108"/>
      <c r="K927" s="103"/>
      <c r="L927" s="65"/>
      <c r="M927" s="65"/>
      <c r="N927" s="65"/>
    </row>
    <row r="928">
      <c r="A928" s="61"/>
      <c r="B928" s="61"/>
      <c r="C928" s="61"/>
      <c r="D928" s="61"/>
      <c r="E928" s="61"/>
      <c r="F928" s="61"/>
      <c r="G928" s="61"/>
      <c r="H928" s="61"/>
      <c r="I928" s="61"/>
      <c r="J928" s="107"/>
      <c r="K928" s="100"/>
      <c r="L928" s="61"/>
      <c r="M928" s="61"/>
      <c r="N928" s="61"/>
    </row>
    <row r="929">
      <c r="A929" s="65"/>
      <c r="B929" s="65"/>
      <c r="C929" s="65"/>
      <c r="D929" s="65"/>
      <c r="E929" s="65"/>
      <c r="F929" s="65"/>
      <c r="G929" s="65"/>
      <c r="H929" s="65"/>
      <c r="I929" s="65"/>
      <c r="J929" s="108"/>
      <c r="K929" s="103"/>
      <c r="L929" s="65"/>
      <c r="M929" s="65"/>
      <c r="N929" s="65"/>
    </row>
    <row r="930">
      <c r="A930" s="61"/>
      <c r="B930" s="61"/>
      <c r="C930" s="61"/>
      <c r="D930" s="61"/>
      <c r="E930" s="61"/>
      <c r="F930" s="61"/>
      <c r="G930" s="61"/>
      <c r="H930" s="61"/>
      <c r="I930" s="61"/>
      <c r="J930" s="107"/>
      <c r="K930" s="100"/>
      <c r="L930" s="61"/>
      <c r="M930" s="61"/>
      <c r="N930" s="61"/>
    </row>
    <row r="931">
      <c r="A931" s="65"/>
      <c r="B931" s="65"/>
      <c r="C931" s="65"/>
      <c r="D931" s="65"/>
      <c r="E931" s="65"/>
      <c r="F931" s="65"/>
      <c r="G931" s="65"/>
      <c r="H931" s="65"/>
      <c r="I931" s="65"/>
      <c r="J931" s="108"/>
      <c r="K931" s="103"/>
      <c r="L931" s="65"/>
      <c r="M931" s="65"/>
      <c r="N931" s="65"/>
    </row>
    <row r="932">
      <c r="A932" s="61"/>
      <c r="B932" s="61"/>
      <c r="C932" s="61"/>
      <c r="D932" s="61"/>
      <c r="E932" s="61"/>
      <c r="F932" s="61"/>
      <c r="G932" s="61"/>
      <c r="H932" s="61"/>
      <c r="I932" s="61"/>
      <c r="J932" s="107"/>
      <c r="K932" s="100"/>
      <c r="L932" s="61"/>
      <c r="M932" s="61"/>
      <c r="N932" s="61"/>
    </row>
    <row r="933">
      <c r="A933" s="65"/>
      <c r="B933" s="65"/>
      <c r="C933" s="65"/>
      <c r="D933" s="65"/>
      <c r="E933" s="65"/>
      <c r="F933" s="65"/>
      <c r="G933" s="65"/>
      <c r="H933" s="65"/>
      <c r="I933" s="65"/>
      <c r="J933" s="108"/>
      <c r="K933" s="103"/>
      <c r="L933" s="65"/>
      <c r="M933" s="65"/>
      <c r="N933" s="65"/>
    </row>
    <row r="934">
      <c r="A934" s="61"/>
      <c r="B934" s="61"/>
      <c r="C934" s="61"/>
      <c r="D934" s="61"/>
      <c r="E934" s="61"/>
      <c r="F934" s="61"/>
      <c r="G934" s="61"/>
      <c r="H934" s="61"/>
      <c r="I934" s="61"/>
      <c r="J934" s="107"/>
      <c r="K934" s="100"/>
      <c r="L934" s="61"/>
      <c r="M934" s="61"/>
      <c r="N934" s="61"/>
    </row>
    <row r="935">
      <c r="A935" s="65"/>
      <c r="B935" s="65"/>
      <c r="C935" s="65"/>
      <c r="D935" s="65"/>
      <c r="E935" s="65"/>
      <c r="F935" s="65"/>
      <c r="G935" s="65"/>
      <c r="H935" s="65"/>
      <c r="I935" s="65"/>
      <c r="J935" s="108"/>
      <c r="K935" s="103"/>
      <c r="L935" s="65"/>
      <c r="M935" s="65"/>
      <c r="N935" s="65"/>
    </row>
    <row r="936">
      <c r="A936" s="61"/>
      <c r="B936" s="61"/>
      <c r="C936" s="61"/>
      <c r="D936" s="61"/>
      <c r="E936" s="61"/>
      <c r="F936" s="61"/>
      <c r="G936" s="61"/>
      <c r="H936" s="61"/>
      <c r="I936" s="61"/>
      <c r="J936" s="107"/>
      <c r="K936" s="100"/>
      <c r="L936" s="61"/>
      <c r="M936" s="61"/>
      <c r="N936" s="61"/>
    </row>
    <row r="937">
      <c r="A937" s="65"/>
      <c r="B937" s="65"/>
      <c r="C937" s="65"/>
      <c r="D937" s="65"/>
      <c r="E937" s="65"/>
      <c r="F937" s="65"/>
      <c r="G937" s="65"/>
      <c r="H937" s="65"/>
      <c r="I937" s="65"/>
      <c r="J937" s="108"/>
      <c r="K937" s="103"/>
      <c r="L937" s="65"/>
      <c r="M937" s="65"/>
      <c r="N937" s="65"/>
    </row>
    <row r="938">
      <c r="A938" s="61"/>
      <c r="B938" s="61"/>
      <c r="C938" s="61"/>
      <c r="D938" s="61"/>
      <c r="E938" s="61"/>
      <c r="F938" s="61"/>
      <c r="G938" s="61"/>
      <c r="H938" s="61"/>
      <c r="I938" s="61"/>
      <c r="J938" s="107"/>
      <c r="K938" s="100"/>
      <c r="L938" s="61"/>
      <c r="M938" s="61"/>
      <c r="N938" s="61"/>
    </row>
    <row r="939">
      <c r="A939" s="65"/>
      <c r="B939" s="65"/>
      <c r="C939" s="65"/>
      <c r="D939" s="65"/>
      <c r="E939" s="65"/>
      <c r="F939" s="65"/>
      <c r="G939" s="65"/>
      <c r="H939" s="65"/>
      <c r="I939" s="65"/>
      <c r="J939" s="108"/>
      <c r="K939" s="103"/>
      <c r="L939" s="65"/>
      <c r="M939" s="65"/>
      <c r="N939" s="65"/>
    </row>
    <row r="940">
      <c r="A940" s="61"/>
      <c r="B940" s="61"/>
      <c r="C940" s="61"/>
      <c r="D940" s="61"/>
      <c r="E940" s="61"/>
      <c r="F940" s="61"/>
      <c r="G940" s="61"/>
      <c r="H940" s="61"/>
      <c r="I940" s="61"/>
      <c r="J940" s="107"/>
      <c r="K940" s="100"/>
      <c r="L940" s="61"/>
      <c r="M940" s="61"/>
      <c r="N940" s="61"/>
    </row>
    <row r="941">
      <c r="A941" s="65"/>
      <c r="B941" s="65"/>
      <c r="C941" s="65"/>
      <c r="D941" s="65"/>
      <c r="E941" s="65"/>
      <c r="F941" s="65"/>
      <c r="G941" s="65"/>
      <c r="H941" s="65"/>
      <c r="I941" s="65"/>
      <c r="J941" s="108"/>
      <c r="K941" s="103"/>
      <c r="L941" s="65"/>
      <c r="M941" s="65"/>
      <c r="N941" s="65"/>
    </row>
    <row r="942">
      <c r="A942" s="61"/>
      <c r="B942" s="61"/>
      <c r="C942" s="61"/>
      <c r="D942" s="61"/>
      <c r="E942" s="61"/>
      <c r="F942" s="61"/>
      <c r="G942" s="61"/>
      <c r="H942" s="61"/>
      <c r="I942" s="61"/>
      <c r="J942" s="107"/>
      <c r="K942" s="100"/>
      <c r="L942" s="61"/>
      <c r="M942" s="61"/>
      <c r="N942" s="61"/>
    </row>
    <row r="943">
      <c r="A943" s="65"/>
      <c r="B943" s="65"/>
      <c r="C943" s="65"/>
      <c r="D943" s="65"/>
      <c r="E943" s="65"/>
      <c r="F943" s="65"/>
      <c r="G943" s="65"/>
      <c r="H943" s="65"/>
      <c r="I943" s="65"/>
      <c r="J943" s="108"/>
      <c r="K943" s="103"/>
      <c r="L943" s="65"/>
      <c r="M943" s="65"/>
      <c r="N943" s="65"/>
    </row>
    <row r="944">
      <c r="A944" s="61"/>
      <c r="B944" s="61"/>
      <c r="C944" s="61"/>
      <c r="D944" s="61"/>
      <c r="E944" s="61"/>
      <c r="F944" s="61"/>
      <c r="G944" s="61"/>
      <c r="H944" s="61"/>
      <c r="I944" s="61"/>
      <c r="J944" s="107"/>
      <c r="K944" s="100"/>
      <c r="L944" s="61"/>
      <c r="M944" s="61"/>
      <c r="N944" s="61"/>
    </row>
    <row r="945">
      <c r="A945" s="65"/>
      <c r="B945" s="65"/>
      <c r="C945" s="65"/>
      <c r="D945" s="65"/>
      <c r="E945" s="65"/>
      <c r="F945" s="65"/>
      <c r="G945" s="65"/>
      <c r="H945" s="65"/>
      <c r="I945" s="65"/>
      <c r="J945" s="108"/>
      <c r="K945" s="103"/>
      <c r="L945" s="65"/>
      <c r="M945" s="65"/>
      <c r="N945" s="65"/>
    </row>
    <row r="946">
      <c r="A946" s="61"/>
      <c r="B946" s="61"/>
      <c r="C946" s="61"/>
      <c r="D946" s="61"/>
      <c r="E946" s="61"/>
      <c r="F946" s="61"/>
      <c r="G946" s="61"/>
      <c r="H946" s="61"/>
      <c r="I946" s="61"/>
      <c r="J946" s="107"/>
      <c r="K946" s="100"/>
      <c r="L946" s="61"/>
      <c r="M946" s="61"/>
      <c r="N946" s="61"/>
    </row>
    <row r="947">
      <c r="A947" s="65"/>
      <c r="B947" s="65"/>
      <c r="C947" s="65"/>
      <c r="D947" s="65"/>
      <c r="E947" s="65"/>
      <c r="F947" s="65"/>
      <c r="G947" s="65"/>
      <c r="H947" s="65"/>
      <c r="I947" s="65"/>
      <c r="J947" s="108"/>
      <c r="K947" s="103"/>
      <c r="L947" s="65"/>
      <c r="M947" s="65"/>
      <c r="N947" s="65"/>
    </row>
    <row r="948">
      <c r="A948" s="61"/>
      <c r="B948" s="61"/>
      <c r="C948" s="61"/>
      <c r="D948" s="61"/>
      <c r="E948" s="61"/>
      <c r="F948" s="61"/>
      <c r="G948" s="61"/>
      <c r="H948" s="61"/>
      <c r="I948" s="61"/>
      <c r="J948" s="107"/>
      <c r="K948" s="100"/>
      <c r="L948" s="61"/>
      <c r="M948" s="61"/>
      <c r="N948" s="61"/>
    </row>
    <row r="949">
      <c r="A949" s="65"/>
      <c r="B949" s="65"/>
      <c r="C949" s="65"/>
      <c r="D949" s="65"/>
      <c r="E949" s="65"/>
      <c r="F949" s="65"/>
      <c r="G949" s="65"/>
      <c r="H949" s="65"/>
      <c r="I949" s="65"/>
      <c r="J949" s="108"/>
      <c r="K949" s="103"/>
      <c r="L949" s="65"/>
      <c r="M949" s="65"/>
      <c r="N949" s="65"/>
    </row>
    <row r="950">
      <c r="A950" s="61"/>
      <c r="B950" s="61"/>
      <c r="C950" s="61"/>
      <c r="D950" s="61"/>
      <c r="E950" s="61"/>
      <c r="F950" s="61"/>
      <c r="G950" s="61"/>
      <c r="H950" s="61"/>
      <c r="I950" s="61"/>
      <c r="J950" s="107"/>
      <c r="K950" s="100"/>
      <c r="L950" s="61"/>
      <c r="M950" s="61"/>
      <c r="N950" s="61"/>
    </row>
    <row r="951">
      <c r="A951" s="65"/>
      <c r="B951" s="65"/>
      <c r="C951" s="65"/>
      <c r="D951" s="65"/>
      <c r="E951" s="65"/>
      <c r="F951" s="65"/>
      <c r="G951" s="65"/>
      <c r="H951" s="65"/>
      <c r="I951" s="65"/>
      <c r="J951" s="108"/>
      <c r="K951" s="103"/>
      <c r="L951" s="65"/>
      <c r="M951" s="65"/>
      <c r="N951" s="65"/>
    </row>
    <row r="952">
      <c r="A952" s="61"/>
      <c r="B952" s="61"/>
      <c r="C952" s="61"/>
      <c r="D952" s="61"/>
      <c r="E952" s="61"/>
      <c r="F952" s="61"/>
      <c r="G952" s="61"/>
      <c r="H952" s="61"/>
      <c r="I952" s="61"/>
      <c r="J952" s="107"/>
      <c r="K952" s="100"/>
      <c r="L952" s="61"/>
      <c r="M952" s="61"/>
      <c r="N952" s="61"/>
    </row>
    <row r="953">
      <c r="A953" s="65"/>
      <c r="B953" s="65"/>
      <c r="C953" s="65"/>
      <c r="D953" s="65"/>
      <c r="E953" s="65"/>
      <c r="F953" s="65"/>
      <c r="G953" s="65"/>
      <c r="H953" s="65"/>
      <c r="I953" s="65"/>
      <c r="J953" s="108"/>
      <c r="K953" s="103"/>
      <c r="L953" s="65"/>
      <c r="M953" s="65"/>
      <c r="N953" s="65"/>
    </row>
    <row r="954">
      <c r="A954" s="61"/>
      <c r="B954" s="61"/>
      <c r="C954" s="61"/>
      <c r="D954" s="61"/>
      <c r="E954" s="61"/>
      <c r="F954" s="61"/>
      <c r="G954" s="61"/>
      <c r="H954" s="61"/>
      <c r="I954" s="61"/>
      <c r="J954" s="107"/>
      <c r="K954" s="100"/>
      <c r="L954" s="61"/>
      <c r="M954" s="61"/>
      <c r="N954" s="61"/>
    </row>
    <row r="955">
      <c r="A955" s="65"/>
      <c r="B955" s="65"/>
      <c r="C955" s="65"/>
      <c r="D955" s="65"/>
      <c r="E955" s="65"/>
      <c r="F955" s="65"/>
      <c r="G955" s="65"/>
      <c r="H955" s="65"/>
      <c r="I955" s="65"/>
      <c r="J955" s="108"/>
      <c r="K955" s="103"/>
      <c r="L955" s="65"/>
      <c r="M955" s="65"/>
      <c r="N955" s="65"/>
    </row>
    <row r="956">
      <c r="A956" s="61"/>
      <c r="B956" s="61"/>
      <c r="C956" s="61"/>
      <c r="D956" s="61"/>
      <c r="E956" s="61"/>
      <c r="F956" s="61"/>
      <c r="G956" s="61"/>
      <c r="H956" s="61"/>
      <c r="I956" s="61"/>
      <c r="J956" s="107"/>
      <c r="K956" s="100"/>
      <c r="L956" s="61"/>
      <c r="M956" s="61"/>
      <c r="N956" s="61"/>
    </row>
    <row r="957">
      <c r="A957" s="65"/>
      <c r="B957" s="65"/>
      <c r="C957" s="65"/>
      <c r="D957" s="65"/>
      <c r="E957" s="65"/>
      <c r="F957" s="65"/>
      <c r="G957" s="65"/>
      <c r="H957" s="65"/>
      <c r="I957" s="65"/>
      <c r="J957" s="108"/>
      <c r="K957" s="103"/>
      <c r="L957" s="65"/>
      <c r="M957" s="65"/>
      <c r="N957" s="65"/>
    </row>
    <row r="958">
      <c r="A958" s="61"/>
      <c r="B958" s="61"/>
      <c r="C958" s="61"/>
      <c r="D958" s="61"/>
      <c r="E958" s="61"/>
      <c r="F958" s="61"/>
      <c r="G958" s="61"/>
      <c r="H958" s="61"/>
      <c r="I958" s="61"/>
      <c r="J958" s="107"/>
      <c r="K958" s="100"/>
      <c r="L958" s="61"/>
      <c r="M958" s="61"/>
      <c r="N958" s="61"/>
    </row>
    <row r="959">
      <c r="A959" s="65"/>
      <c r="B959" s="65"/>
      <c r="C959" s="65"/>
      <c r="D959" s="65"/>
      <c r="E959" s="65"/>
      <c r="F959" s="65"/>
      <c r="G959" s="65"/>
      <c r="H959" s="65"/>
      <c r="I959" s="65"/>
      <c r="J959" s="108"/>
      <c r="K959" s="103"/>
      <c r="L959" s="65"/>
      <c r="M959" s="65"/>
      <c r="N959" s="65"/>
    </row>
    <row r="960">
      <c r="A960" s="61"/>
      <c r="B960" s="61"/>
      <c r="C960" s="61"/>
      <c r="D960" s="61"/>
      <c r="E960" s="61"/>
      <c r="F960" s="61"/>
      <c r="G960" s="61"/>
      <c r="H960" s="61"/>
      <c r="I960" s="61"/>
      <c r="J960" s="107"/>
      <c r="K960" s="100"/>
      <c r="L960" s="61"/>
      <c r="M960" s="61"/>
      <c r="N960" s="61"/>
    </row>
    <row r="961">
      <c r="A961" s="65"/>
      <c r="B961" s="65"/>
      <c r="C961" s="65"/>
      <c r="D961" s="65"/>
      <c r="E961" s="65"/>
      <c r="F961" s="65"/>
      <c r="G961" s="65"/>
      <c r="H961" s="65"/>
      <c r="I961" s="65"/>
      <c r="J961" s="108"/>
      <c r="K961" s="103"/>
      <c r="L961" s="65"/>
      <c r="M961" s="65"/>
      <c r="N961" s="65"/>
    </row>
    <row r="962">
      <c r="A962" s="61"/>
      <c r="B962" s="61"/>
      <c r="C962" s="61"/>
      <c r="D962" s="61"/>
      <c r="E962" s="61"/>
      <c r="F962" s="61"/>
      <c r="G962" s="61"/>
      <c r="H962" s="61"/>
      <c r="I962" s="61"/>
      <c r="J962" s="107"/>
      <c r="K962" s="100"/>
      <c r="L962" s="61"/>
      <c r="M962" s="61"/>
      <c r="N962" s="61"/>
    </row>
    <row r="963">
      <c r="A963" s="65"/>
      <c r="B963" s="65"/>
      <c r="C963" s="65"/>
      <c r="D963" s="65"/>
      <c r="E963" s="65"/>
      <c r="F963" s="65"/>
      <c r="G963" s="65"/>
      <c r="H963" s="65"/>
      <c r="I963" s="65"/>
      <c r="J963" s="108"/>
      <c r="K963" s="103"/>
      <c r="L963" s="65"/>
      <c r="M963" s="65"/>
      <c r="N963" s="65"/>
    </row>
    <row r="964">
      <c r="A964" s="61"/>
      <c r="B964" s="61"/>
      <c r="C964" s="61"/>
      <c r="D964" s="61"/>
      <c r="E964" s="61"/>
      <c r="F964" s="61"/>
      <c r="G964" s="61"/>
      <c r="H964" s="61"/>
      <c r="I964" s="61"/>
      <c r="J964" s="107"/>
      <c r="K964" s="100"/>
      <c r="L964" s="61"/>
      <c r="M964" s="61"/>
      <c r="N964" s="61"/>
    </row>
    <row r="965">
      <c r="A965" s="65"/>
      <c r="B965" s="65"/>
      <c r="C965" s="65"/>
      <c r="D965" s="65"/>
      <c r="E965" s="65"/>
      <c r="F965" s="65"/>
      <c r="G965" s="65"/>
      <c r="H965" s="65"/>
      <c r="I965" s="65"/>
      <c r="J965" s="108"/>
      <c r="K965" s="103"/>
      <c r="L965" s="65"/>
      <c r="M965" s="65"/>
      <c r="N965" s="65"/>
    </row>
    <row r="966">
      <c r="A966" s="61"/>
      <c r="B966" s="61"/>
      <c r="C966" s="61"/>
      <c r="D966" s="61"/>
      <c r="E966" s="61"/>
      <c r="F966" s="61"/>
      <c r="G966" s="61"/>
      <c r="H966" s="61"/>
      <c r="I966" s="61"/>
      <c r="J966" s="107"/>
      <c r="K966" s="100"/>
      <c r="L966" s="61"/>
      <c r="M966" s="61"/>
      <c r="N966" s="61"/>
    </row>
    <row r="967">
      <c r="A967" s="65"/>
      <c r="B967" s="65"/>
      <c r="C967" s="65"/>
      <c r="D967" s="65"/>
      <c r="E967" s="65"/>
      <c r="F967" s="65"/>
      <c r="G967" s="65"/>
      <c r="H967" s="65"/>
      <c r="I967" s="65"/>
      <c r="J967" s="108"/>
      <c r="K967" s="103"/>
      <c r="L967" s="65"/>
      <c r="M967" s="65"/>
      <c r="N967" s="65"/>
    </row>
    <row r="968">
      <c r="A968" s="61"/>
      <c r="B968" s="61"/>
      <c r="C968" s="61"/>
      <c r="D968" s="61"/>
      <c r="E968" s="61"/>
      <c r="F968" s="61"/>
      <c r="G968" s="61"/>
      <c r="H968" s="61"/>
      <c r="I968" s="61"/>
      <c r="J968" s="107"/>
      <c r="K968" s="100"/>
      <c r="L968" s="61"/>
      <c r="M968" s="61"/>
      <c r="N968" s="61"/>
    </row>
    <row r="969">
      <c r="A969" s="65"/>
      <c r="B969" s="65"/>
      <c r="C969" s="65"/>
      <c r="D969" s="65"/>
      <c r="E969" s="65"/>
      <c r="F969" s="65"/>
      <c r="G969" s="65"/>
      <c r="H969" s="65"/>
      <c r="I969" s="65"/>
      <c r="J969" s="108"/>
      <c r="K969" s="103"/>
      <c r="L969" s="65"/>
      <c r="M969" s="65"/>
      <c r="N969" s="65"/>
    </row>
    <row r="970">
      <c r="A970" s="61"/>
      <c r="B970" s="61"/>
      <c r="C970" s="61"/>
      <c r="D970" s="61"/>
      <c r="E970" s="61"/>
      <c r="F970" s="61"/>
      <c r="G970" s="61"/>
      <c r="H970" s="61"/>
      <c r="I970" s="61"/>
      <c r="J970" s="107"/>
      <c r="K970" s="100"/>
      <c r="L970" s="61"/>
      <c r="M970" s="61"/>
      <c r="N970" s="61"/>
    </row>
    <row r="971">
      <c r="A971" s="65"/>
      <c r="B971" s="65"/>
      <c r="C971" s="65"/>
      <c r="D971" s="65"/>
      <c r="E971" s="65"/>
      <c r="F971" s="65"/>
      <c r="G971" s="65"/>
      <c r="H971" s="65"/>
      <c r="I971" s="65"/>
      <c r="J971" s="108"/>
      <c r="K971" s="103"/>
      <c r="L971" s="65"/>
      <c r="M971" s="65"/>
      <c r="N971" s="65"/>
    </row>
    <row r="972">
      <c r="A972" s="61"/>
      <c r="B972" s="61"/>
      <c r="C972" s="61"/>
      <c r="D972" s="61"/>
      <c r="E972" s="61"/>
      <c r="F972" s="61"/>
      <c r="G972" s="61"/>
      <c r="H972" s="61"/>
      <c r="I972" s="61"/>
      <c r="J972" s="107"/>
      <c r="K972" s="100"/>
      <c r="L972" s="61"/>
      <c r="M972" s="61"/>
      <c r="N972" s="61"/>
    </row>
    <row r="973">
      <c r="A973" s="65"/>
      <c r="B973" s="65"/>
      <c r="C973" s="65"/>
      <c r="D973" s="65"/>
      <c r="E973" s="65"/>
      <c r="F973" s="65"/>
      <c r="G973" s="65"/>
      <c r="H973" s="65"/>
      <c r="I973" s="65"/>
      <c r="J973" s="108"/>
      <c r="K973" s="103"/>
      <c r="L973" s="65"/>
      <c r="M973" s="65"/>
      <c r="N973" s="65"/>
    </row>
    <row r="974">
      <c r="A974" s="61"/>
      <c r="B974" s="61"/>
      <c r="C974" s="61"/>
      <c r="D974" s="61"/>
      <c r="E974" s="61"/>
      <c r="F974" s="61"/>
      <c r="G974" s="61"/>
      <c r="H974" s="61"/>
      <c r="I974" s="61"/>
      <c r="J974" s="107"/>
      <c r="K974" s="100"/>
      <c r="L974" s="61"/>
      <c r="M974" s="61"/>
      <c r="N974" s="61"/>
    </row>
    <row r="975">
      <c r="A975" s="65"/>
      <c r="B975" s="65"/>
      <c r="C975" s="65"/>
      <c r="D975" s="65"/>
      <c r="E975" s="65"/>
      <c r="F975" s="65"/>
      <c r="G975" s="65"/>
      <c r="H975" s="65"/>
      <c r="I975" s="65"/>
      <c r="J975" s="108"/>
      <c r="K975" s="103"/>
      <c r="L975" s="65"/>
      <c r="M975" s="65"/>
      <c r="N975" s="65"/>
    </row>
    <row r="976">
      <c r="A976" s="61"/>
      <c r="B976" s="61"/>
      <c r="C976" s="61"/>
      <c r="D976" s="61"/>
      <c r="E976" s="61"/>
      <c r="F976" s="61"/>
      <c r="G976" s="61"/>
      <c r="H976" s="61"/>
      <c r="I976" s="61"/>
      <c r="J976" s="107"/>
      <c r="K976" s="100"/>
      <c r="L976" s="61"/>
      <c r="M976" s="61"/>
      <c r="N976" s="61"/>
    </row>
    <row r="977">
      <c r="A977" s="65"/>
      <c r="B977" s="65"/>
      <c r="C977" s="65"/>
      <c r="D977" s="65"/>
      <c r="E977" s="65"/>
      <c r="F977" s="65"/>
      <c r="G977" s="65"/>
      <c r="H977" s="65"/>
      <c r="I977" s="65"/>
      <c r="J977" s="108"/>
      <c r="K977" s="103"/>
      <c r="L977" s="65"/>
      <c r="M977" s="65"/>
      <c r="N977" s="65"/>
    </row>
    <row r="978">
      <c r="A978" s="61"/>
      <c r="B978" s="61"/>
      <c r="C978" s="61"/>
      <c r="D978" s="61"/>
      <c r="E978" s="61"/>
      <c r="F978" s="61"/>
      <c r="G978" s="61"/>
      <c r="H978" s="61"/>
      <c r="I978" s="61"/>
      <c r="J978" s="107"/>
      <c r="K978" s="100"/>
      <c r="L978" s="61"/>
      <c r="M978" s="61"/>
      <c r="N978" s="61"/>
    </row>
    <row r="979">
      <c r="A979" s="65"/>
      <c r="B979" s="65"/>
      <c r="C979" s="65"/>
      <c r="D979" s="65"/>
      <c r="E979" s="65"/>
      <c r="F979" s="65"/>
      <c r="G979" s="65"/>
      <c r="H979" s="65"/>
      <c r="I979" s="65"/>
      <c r="J979" s="108"/>
      <c r="K979" s="103"/>
      <c r="L979" s="65"/>
      <c r="M979" s="65"/>
      <c r="N979" s="65"/>
    </row>
    <row r="980">
      <c r="A980" s="61"/>
      <c r="B980" s="61"/>
      <c r="C980" s="61"/>
      <c r="D980" s="61"/>
      <c r="E980" s="61"/>
      <c r="F980" s="61"/>
      <c r="G980" s="61"/>
      <c r="H980" s="61"/>
      <c r="I980" s="61"/>
      <c r="J980" s="107"/>
      <c r="K980" s="100"/>
      <c r="L980" s="61"/>
      <c r="M980" s="61"/>
      <c r="N980" s="61"/>
    </row>
    <row r="981">
      <c r="A981" s="65"/>
      <c r="B981" s="65"/>
      <c r="C981" s="65"/>
      <c r="D981" s="65"/>
      <c r="E981" s="65"/>
      <c r="F981" s="65"/>
      <c r="G981" s="65"/>
      <c r="H981" s="65"/>
      <c r="I981" s="65"/>
      <c r="J981" s="108"/>
      <c r="K981" s="103"/>
      <c r="L981" s="65"/>
      <c r="M981" s="65"/>
      <c r="N981" s="65"/>
    </row>
    <row r="982">
      <c r="A982" s="61"/>
      <c r="B982" s="61"/>
      <c r="C982" s="61"/>
      <c r="D982" s="61"/>
      <c r="E982" s="61"/>
      <c r="F982" s="61"/>
      <c r="G982" s="61"/>
      <c r="H982" s="61"/>
      <c r="I982" s="61"/>
      <c r="J982" s="107"/>
      <c r="K982" s="100"/>
      <c r="L982" s="61"/>
      <c r="M982" s="61"/>
      <c r="N982" s="61"/>
    </row>
    <row r="983">
      <c r="A983" s="65"/>
      <c r="B983" s="65"/>
      <c r="C983" s="65"/>
      <c r="D983" s="65"/>
      <c r="E983" s="65"/>
      <c r="F983" s="65"/>
      <c r="G983" s="65"/>
      <c r="H983" s="65"/>
      <c r="I983" s="65"/>
      <c r="J983" s="108"/>
      <c r="K983" s="103"/>
      <c r="L983" s="65"/>
      <c r="M983" s="65"/>
      <c r="N983" s="65"/>
    </row>
    <row r="984">
      <c r="A984" s="61"/>
      <c r="B984" s="61"/>
      <c r="C984" s="61"/>
      <c r="D984" s="61"/>
      <c r="E984" s="61"/>
      <c r="F984" s="61"/>
      <c r="G984" s="61"/>
      <c r="H984" s="61"/>
      <c r="I984" s="61"/>
      <c r="J984" s="107"/>
      <c r="K984" s="100"/>
      <c r="L984" s="61"/>
      <c r="M984" s="61"/>
      <c r="N984" s="61"/>
    </row>
    <row r="985">
      <c r="A985" s="65"/>
      <c r="B985" s="65"/>
      <c r="C985" s="65"/>
      <c r="D985" s="65"/>
      <c r="E985" s="65"/>
      <c r="F985" s="65"/>
      <c r="G985" s="65"/>
      <c r="H985" s="65"/>
      <c r="I985" s="65"/>
      <c r="J985" s="108"/>
      <c r="K985" s="103"/>
      <c r="L985" s="65"/>
      <c r="M985" s="65"/>
      <c r="N985" s="65"/>
    </row>
    <row r="986">
      <c r="A986" s="61"/>
      <c r="B986" s="61"/>
      <c r="C986" s="61"/>
      <c r="D986" s="61"/>
      <c r="E986" s="61"/>
      <c r="F986" s="61"/>
      <c r="G986" s="61"/>
      <c r="H986" s="61"/>
      <c r="I986" s="61"/>
      <c r="J986" s="107"/>
      <c r="K986" s="100"/>
      <c r="L986" s="61"/>
      <c r="M986" s="61"/>
      <c r="N986" s="61"/>
    </row>
    <row r="987">
      <c r="A987" s="65"/>
      <c r="B987" s="65"/>
      <c r="C987" s="65"/>
      <c r="D987" s="65"/>
      <c r="E987" s="65"/>
      <c r="F987" s="65"/>
      <c r="G987" s="65"/>
      <c r="H987" s="65"/>
      <c r="I987" s="65"/>
      <c r="J987" s="108"/>
      <c r="K987" s="103"/>
      <c r="L987" s="65"/>
      <c r="M987" s="65"/>
      <c r="N987" s="65"/>
    </row>
    <row r="988">
      <c r="A988" s="61"/>
      <c r="B988" s="61"/>
      <c r="C988" s="61"/>
      <c r="D988" s="61"/>
      <c r="E988" s="61"/>
      <c r="F988" s="61"/>
      <c r="G988" s="61"/>
      <c r="H988" s="61"/>
      <c r="I988" s="61"/>
      <c r="J988" s="107"/>
      <c r="K988" s="100"/>
      <c r="L988" s="61"/>
      <c r="M988" s="61"/>
      <c r="N988" s="61"/>
    </row>
    <row r="989">
      <c r="A989" s="65"/>
      <c r="B989" s="65"/>
      <c r="C989" s="65"/>
      <c r="D989" s="65"/>
      <c r="E989" s="65"/>
      <c r="F989" s="65"/>
      <c r="G989" s="65"/>
      <c r="H989" s="65"/>
      <c r="I989" s="65"/>
      <c r="J989" s="108"/>
      <c r="K989" s="103"/>
      <c r="L989" s="65"/>
      <c r="M989" s="65"/>
      <c r="N989" s="65"/>
    </row>
    <row r="990">
      <c r="A990" s="61"/>
      <c r="B990" s="61"/>
      <c r="C990" s="61"/>
      <c r="D990" s="61"/>
      <c r="E990" s="61"/>
      <c r="F990" s="61"/>
      <c r="G990" s="61"/>
      <c r="H990" s="61"/>
      <c r="I990" s="61"/>
      <c r="J990" s="107"/>
      <c r="K990" s="100"/>
      <c r="L990" s="61"/>
      <c r="M990" s="61"/>
      <c r="N990" s="61"/>
    </row>
    <row r="991">
      <c r="A991" s="65"/>
      <c r="B991" s="65"/>
      <c r="C991" s="65"/>
      <c r="D991" s="65"/>
      <c r="E991" s="65"/>
      <c r="F991" s="65"/>
      <c r="G991" s="65"/>
      <c r="H991" s="65"/>
      <c r="I991" s="65"/>
      <c r="J991" s="108"/>
      <c r="K991" s="103"/>
      <c r="L991" s="65"/>
      <c r="M991" s="65"/>
      <c r="N991" s="65"/>
    </row>
    <row r="992">
      <c r="A992" s="61"/>
      <c r="B992" s="61"/>
      <c r="C992" s="61"/>
      <c r="D992" s="61"/>
      <c r="E992" s="61"/>
      <c r="F992" s="61"/>
      <c r="G992" s="61"/>
      <c r="H992" s="61"/>
      <c r="I992" s="61"/>
      <c r="J992" s="107"/>
      <c r="K992" s="100"/>
      <c r="L992" s="61"/>
      <c r="M992" s="61"/>
      <c r="N992" s="61"/>
    </row>
    <row r="993">
      <c r="A993" s="65"/>
      <c r="B993" s="65"/>
      <c r="C993" s="65"/>
      <c r="D993" s="65"/>
      <c r="E993" s="65"/>
      <c r="F993" s="65"/>
      <c r="G993" s="65"/>
      <c r="H993" s="65"/>
      <c r="I993" s="65"/>
      <c r="J993" s="108"/>
      <c r="K993" s="103"/>
      <c r="L993" s="65"/>
      <c r="M993" s="65"/>
      <c r="N993" s="65"/>
    </row>
    <row r="994">
      <c r="A994" s="61"/>
      <c r="B994" s="61"/>
      <c r="C994" s="61"/>
      <c r="D994" s="61"/>
      <c r="E994" s="61"/>
      <c r="F994" s="61"/>
      <c r="G994" s="61"/>
      <c r="H994" s="61"/>
      <c r="I994" s="61"/>
      <c r="J994" s="107"/>
      <c r="K994" s="100"/>
      <c r="L994" s="61"/>
      <c r="M994" s="61"/>
      <c r="N994" s="61"/>
    </row>
    <row r="995">
      <c r="A995" s="65"/>
      <c r="B995" s="65"/>
      <c r="C995" s="65"/>
      <c r="D995" s="65"/>
      <c r="E995" s="65"/>
      <c r="F995" s="65"/>
      <c r="G995" s="65"/>
      <c r="H995" s="65"/>
      <c r="I995" s="65"/>
      <c r="J995" s="108"/>
      <c r="K995" s="103"/>
      <c r="L995" s="65"/>
      <c r="M995" s="65"/>
      <c r="N995" s="65"/>
    </row>
    <row r="996">
      <c r="A996" s="61"/>
      <c r="B996" s="61"/>
      <c r="C996" s="61"/>
      <c r="D996" s="61"/>
      <c r="E996" s="61"/>
      <c r="F996" s="61"/>
      <c r="G996" s="61"/>
      <c r="H996" s="61"/>
      <c r="I996" s="61"/>
      <c r="J996" s="107"/>
      <c r="K996" s="100"/>
      <c r="L996" s="61"/>
      <c r="M996" s="61"/>
      <c r="N996" s="61"/>
    </row>
    <row r="997">
      <c r="A997" s="65"/>
      <c r="B997" s="65"/>
      <c r="C997" s="65"/>
      <c r="D997" s="65"/>
      <c r="E997" s="65"/>
      <c r="F997" s="65"/>
      <c r="G997" s="65"/>
      <c r="H997" s="65"/>
      <c r="I997" s="65"/>
      <c r="J997" s="108"/>
      <c r="K997" s="103"/>
      <c r="L997" s="65"/>
      <c r="M997" s="65"/>
      <c r="N997" s="65"/>
    </row>
    <row r="998">
      <c r="A998" s="61"/>
      <c r="B998" s="61"/>
      <c r="C998" s="61"/>
      <c r="D998" s="61"/>
      <c r="E998" s="61"/>
      <c r="F998" s="61"/>
      <c r="G998" s="61"/>
      <c r="H998" s="61"/>
      <c r="I998" s="61"/>
      <c r="J998" s="107"/>
      <c r="K998" s="100"/>
      <c r="L998" s="61"/>
      <c r="M998" s="61"/>
      <c r="N998" s="61"/>
    </row>
    <row r="999">
      <c r="A999" s="65"/>
      <c r="B999" s="65"/>
      <c r="C999" s="65"/>
      <c r="D999" s="65"/>
      <c r="E999" s="65"/>
      <c r="F999" s="65"/>
      <c r="G999" s="65"/>
      <c r="H999" s="65"/>
      <c r="I999" s="65"/>
      <c r="J999" s="108"/>
      <c r="K999" s="103"/>
      <c r="L999" s="65"/>
      <c r="M999" s="65"/>
      <c r="N999" s="65"/>
    </row>
  </sheetData>
  <autoFilter ref="$A$1:$L$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 r:id="rId699" ref="A701"/>
    <hyperlink r:id="rId700" ref="A702"/>
    <hyperlink r:id="rId701" ref="A703"/>
    <hyperlink r:id="rId702" ref="A704"/>
    <hyperlink r:id="rId703" ref="A705"/>
    <hyperlink r:id="rId704" ref="A706"/>
    <hyperlink r:id="rId705" ref="A707"/>
    <hyperlink r:id="rId706" ref="A708"/>
    <hyperlink r:id="rId707" ref="A709"/>
    <hyperlink r:id="rId708" ref="A710"/>
    <hyperlink r:id="rId709" ref="A711"/>
    <hyperlink r:id="rId710" ref="A712"/>
    <hyperlink r:id="rId711" ref="A713"/>
    <hyperlink r:id="rId712" ref="A714"/>
    <hyperlink r:id="rId713" ref="A715"/>
    <hyperlink r:id="rId714" ref="A716"/>
    <hyperlink r:id="rId715" ref="A717"/>
    <hyperlink r:id="rId716" ref="A718"/>
    <hyperlink r:id="rId717" ref="A719"/>
    <hyperlink r:id="rId718" ref="A720"/>
    <hyperlink r:id="rId719" ref="A721"/>
    <hyperlink r:id="rId720" ref="A722"/>
    <hyperlink r:id="rId721" ref="A723"/>
    <hyperlink r:id="rId722" ref="A724"/>
    <hyperlink r:id="rId723" ref="A725"/>
    <hyperlink r:id="rId724" ref="A726"/>
    <hyperlink r:id="rId725" ref="A727"/>
    <hyperlink r:id="rId726" ref="A728"/>
    <hyperlink r:id="rId727" ref="A729"/>
    <hyperlink r:id="rId728" ref="A730"/>
    <hyperlink r:id="rId729" ref="A731"/>
    <hyperlink r:id="rId730" ref="A732"/>
    <hyperlink r:id="rId731" ref="A733"/>
    <hyperlink r:id="rId732" ref="A734"/>
    <hyperlink r:id="rId733" ref="A735"/>
    <hyperlink r:id="rId734" ref="A736"/>
    <hyperlink r:id="rId735" ref="A737"/>
    <hyperlink r:id="rId736" ref="A738"/>
    <hyperlink r:id="rId737" ref="A739"/>
    <hyperlink r:id="rId738" ref="A740"/>
    <hyperlink r:id="rId739" ref="A741"/>
    <hyperlink r:id="rId740" ref="A742"/>
    <hyperlink r:id="rId741" ref="A743"/>
    <hyperlink r:id="rId742" ref="A744"/>
    <hyperlink r:id="rId743" ref="A745"/>
    <hyperlink r:id="rId744" ref="A746"/>
    <hyperlink r:id="rId745" ref="A747"/>
    <hyperlink r:id="rId746" ref="A748"/>
    <hyperlink r:id="rId747" ref="A749"/>
    <hyperlink r:id="rId748" ref="A750"/>
    <hyperlink r:id="rId749" ref="A751"/>
    <hyperlink r:id="rId750" ref="A752"/>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s>
  <drawing r:id="rId80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7" width="19.5"/>
    <col customWidth="1" min="8" max="8" width="19.0"/>
    <col customWidth="1" min="9" max="9" width="29.5"/>
    <col customWidth="1" min="10" max="10" width="25.25"/>
    <col customWidth="1" min="11" max="11" width="17.5"/>
    <col customWidth="1" min="12" max="12" width="22.63"/>
    <col customWidth="1" min="14" max="14" width="26.63"/>
  </cols>
  <sheetData>
    <row r="1">
      <c r="A1" s="45" t="s">
        <v>14039</v>
      </c>
      <c r="B1" s="45" t="s">
        <v>14211</v>
      </c>
      <c r="C1" s="45" t="s">
        <v>2</v>
      </c>
      <c r="D1" s="45" t="s">
        <v>3</v>
      </c>
      <c r="E1" s="45" t="s">
        <v>14212</v>
      </c>
      <c r="F1" s="45" t="s">
        <v>35</v>
      </c>
      <c r="G1" s="45" t="s">
        <v>15210</v>
      </c>
      <c r="H1" s="45" t="s">
        <v>20</v>
      </c>
      <c r="I1" s="45" t="s">
        <v>14</v>
      </c>
      <c r="J1" s="45" t="s">
        <v>31</v>
      </c>
      <c r="K1" s="45" t="s">
        <v>14214</v>
      </c>
      <c r="L1" s="45" t="s">
        <v>33</v>
      </c>
      <c r="M1" s="97" t="s">
        <v>34</v>
      </c>
      <c r="N1" s="97" t="s">
        <v>15211</v>
      </c>
    </row>
    <row r="2">
      <c r="A2" s="99" t="str">
        <f>IFERROR(__xludf.DUMMYFUNCTION("ARRAYFORMULA(
  IFERROR(
    FILTER(
      {
        MAIN!A:A,
        MAIN!B:B,
        MAIN!C:C,
        IF(MAIN!D:D="""", MAIN!AM:AM, MAIN!D:D),
        MAIN!E:E,
        MAIN!AJ:AJ,
        MAIN!L:L,
        MAIN!U:U,
        MAIN!V:V,
        MAIN!AF"&amp;":AF,
        MAIN!AE:AE,
        MAIN!AH:AH,
        MAIN!AI:AI,
MAIN!R:R
      },
      MAIN!K:K=""Study Abroad Storage""
    )
  )
)"),"https://utrucking.com/admin/orders/6015786975420")</f>
        <v>https://utrucking.com/admin/orders/6015786975420</v>
      </c>
      <c r="B2" s="61" t="str">
        <f>IFERROR(__xludf.DUMMYFUNCTION("""COMPUTED_VALUE"""),"#16554")</f>
        <v>#16554</v>
      </c>
      <c r="C2" s="61" t="str">
        <f>IFERROR(__xludf.DUMMYFUNCTION("""COMPUTED_VALUE"""),"m.j.sreter@wustl.edu")</f>
        <v>m.j.sreter@wustl.edu</v>
      </c>
      <c r="D2" s="61">
        <f>IFERROR(__xludf.DUMMYFUNCTION("""COMPUTED_VALUE"""),1.9177165165E10)</f>
        <v>19177165165</v>
      </c>
      <c r="E2" s="61" t="str">
        <f>IFERROR(__xludf.DUMMYFUNCTION("""COMPUTED_VALUE"""),"lisa sreter")</f>
        <v>lisa sreter</v>
      </c>
      <c r="F2" s="61" t="str">
        <f>IFERROR(__xludf.DUMMYFUNCTION("""COMPUTED_VALUE"""),"Madison Sreter")</f>
        <v>Madison Sreter</v>
      </c>
      <c r="G2" s="61" t="str">
        <f>IFERROR(__xludf.DUMMYFUNCTION("""COMPUTED_VALUE""")," 2 / Included Insurance   - ")</f>
        <v> 2 / Included Insurance   - </v>
      </c>
      <c r="H2" s="61" t="str">
        <f>IFERROR(__xludf.DUMMYFUNCTION("""COMPUTED_VALUE"""),"Loop Loft 6255  ")</f>
        <v>Loop Loft 6255  </v>
      </c>
      <c r="I2" s="61" t="str">
        <f>IFERROR(__xludf.DUMMYFUNCTION("""COMPUTED_VALUE"""),"210C")</f>
        <v>210C</v>
      </c>
      <c r="J2" s="107" t="str">
        <f>IFERROR(__xludf.DUMMYFUNCTION("""COMPUTED_VALUE"""),"09:00 AM to 11:00 AM  ")</f>
        <v>09:00 AM to 11:00 AM  </v>
      </c>
      <c r="K2" s="100">
        <f>IFERROR(__xludf.DUMMYFUNCTION("""COMPUTED_VALUE"""),46008.0)</f>
        <v>46008</v>
      </c>
      <c r="L2" s="61" t="str">
        <f>IFERROR(__xludf.DUMMYFUNCTION("""COMPUTED_VALUE""")," ")</f>
        <v> </v>
      </c>
      <c r="M2" s="61"/>
      <c r="N2" s="61"/>
    </row>
    <row r="3">
      <c r="A3" s="102" t="str">
        <f>IFERROR(__xludf.DUMMYFUNCTION("""COMPUTED_VALUE"""),"https://utrucking.com/admin/orders/6020527259836")</f>
        <v>https://utrucking.com/admin/orders/6020527259836</v>
      </c>
      <c r="B3" s="65" t="str">
        <f>IFERROR(__xludf.DUMMYFUNCTION("""COMPUTED_VALUE"""),"#16555")</f>
        <v>#16555</v>
      </c>
      <c r="C3" s="65" t="str">
        <f>IFERROR(__xludf.DUMMYFUNCTION("""COMPUTED_VALUE"""),"jy4000546@gmail.com")</f>
        <v>jy4000546@gmail.com</v>
      </c>
      <c r="D3" s="65">
        <f>IFERROR(__xludf.DUMMYFUNCTION("""COMPUTED_VALUE"""),8.21088286268E11)</f>
        <v>821088286268</v>
      </c>
      <c r="E3" s="65" t="str">
        <f>IFERROR(__xludf.DUMMYFUNCTION("""COMPUTED_VALUE"""),"Jean Yoo")</f>
        <v>Jean Yoo</v>
      </c>
      <c r="F3" s="65" t="str">
        <f>IFERROR(__xludf.DUMMYFUNCTION("""COMPUTED_VALUE"""),"Jean Yoo")</f>
        <v>Jean Yoo</v>
      </c>
      <c r="G3" s="65" t="str">
        <f>IFERROR(__xludf.DUMMYFUNCTION("""COMPUTED_VALUE""")," 1 [Included with Registration] / Included Insurance   - ")</f>
        <v> 1 [Included with Registration] / Included Insurance   - </v>
      </c>
      <c r="H3" s="65" t="str">
        <f>IFERROR(__xludf.DUMMYFUNCTION("""COMPUTED_VALUE"""),"Shanedling  ")</f>
        <v>Shanedling  </v>
      </c>
      <c r="I3" s="65" t="str">
        <f>IFERROR(__xludf.DUMMYFUNCTION("""COMPUTED_VALUE"""),"111")</f>
        <v>111</v>
      </c>
      <c r="J3" s="108" t="str">
        <f>IFERROR(__xludf.DUMMYFUNCTION("""COMPUTED_VALUE"""),"09:00 AM to 11:00 AM  ")</f>
        <v>09:00 AM to 11:00 AM  </v>
      </c>
      <c r="K3" s="103">
        <f>IFERROR(__xludf.DUMMYFUNCTION("""COMPUTED_VALUE"""),45936.0)</f>
        <v>45936</v>
      </c>
      <c r="L3" s="65" t="str">
        <f>IFERROR(__xludf.DUMMYFUNCTION("""COMPUTED_VALUE""")," ")</f>
        <v> </v>
      </c>
      <c r="M3" s="65"/>
      <c r="N3" s="65"/>
    </row>
    <row r="4">
      <c r="A4" s="99" t="str">
        <f>IFERROR(__xludf.DUMMYFUNCTION("""COMPUTED_VALUE"""),"https://utrucking.com/admin/orders/6105079611580")</f>
        <v>https://utrucking.com/admin/orders/6105079611580</v>
      </c>
      <c r="B4" s="61" t="str">
        <f>IFERROR(__xludf.DUMMYFUNCTION("""COMPUTED_VALUE"""),"#16631")</f>
        <v>#16631</v>
      </c>
      <c r="C4" s="61" t="str">
        <f>IFERROR(__xludf.DUMMYFUNCTION("""COMPUTED_VALUE"""),"EmilyKobelski88@gmail.com")</f>
        <v>EmilyKobelski88@gmail.com</v>
      </c>
      <c r="D4" s="61">
        <f>IFERROR(__xludf.DUMMYFUNCTION("""COMPUTED_VALUE"""),9.788061822E9)</f>
        <v>9788061822</v>
      </c>
      <c r="E4" s="61" t="str">
        <f>IFERROR(__xludf.DUMMYFUNCTION("""COMPUTED_VALUE"""),"Emily Kobelski")</f>
        <v>Emily Kobelski</v>
      </c>
      <c r="F4" s="61" t="str">
        <f>IFERROR(__xludf.DUMMYFUNCTION("""COMPUTED_VALUE"""),"Emily Kobelski")</f>
        <v>Emily Kobelski</v>
      </c>
      <c r="G4" s="61" t="str">
        <f>IFERROR(__xludf.DUMMYFUNCTION("""COMPUTED_VALUE""")," 1 [Included with Registration] / Included Insurance   - ")</f>
        <v> 1 [Included with Registration] / Included Insurance   - </v>
      </c>
      <c r="H4" s="61" t="str">
        <f>IFERROR(__xludf.DUMMYFUNCTION("""COMPUTED_VALUE"""),"Village House  ")</f>
        <v>Village House  </v>
      </c>
      <c r="I4" s="61" t="str">
        <f>IFERROR(__xludf.DUMMYFUNCTION("""COMPUTED_VALUE"""),"4160 - a")</f>
        <v>4160 - a</v>
      </c>
      <c r="J4" s="107" t="str">
        <f>IFERROR(__xludf.DUMMYFUNCTION("""COMPUTED_VALUE"""),"09:00 AM to 11:00 AM  ")</f>
        <v>09:00 AM to 11:00 AM  </v>
      </c>
      <c r="K4" s="100">
        <f>IFERROR(__xludf.DUMMYFUNCTION("""COMPUTED_VALUE"""),45997.0)</f>
        <v>45997</v>
      </c>
      <c r="L4" s="61" t="str">
        <f>IFERROR(__xludf.DUMMYFUNCTION("""COMPUTED_VALUE""")," ")</f>
        <v> </v>
      </c>
      <c r="M4" s="61"/>
      <c r="N4" s="61"/>
    </row>
    <row r="5">
      <c r="A5" s="102" t="str">
        <f>IFERROR(__xludf.DUMMYFUNCTION("""COMPUTED_VALUE"""),"https://utrucking.com/admin/orders/6107310948540")</f>
        <v>https://utrucking.com/admin/orders/6107310948540</v>
      </c>
      <c r="B5" s="65" t="str">
        <f>IFERROR(__xludf.DUMMYFUNCTION("""COMPUTED_VALUE"""),"#16632")</f>
        <v>#16632</v>
      </c>
      <c r="C5" s="65"/>
      <c r="D5" s="65">
        <f>IFERROR(__xludf.DUMMYFUNCTION("""COMPUTED_VALUE"""),2.162584095E9)</f>
        <v>2162584095</v>
      </c>
      <c r="E5" s="65" t="str">
        <f>IFERROR(__xludf.DUMMYFUNCTION("""COMPUTED_VALUE"""),"Marianna Steele")</f>
        <v>Marianna Steele</v>
      </c>
      <c r="F5" s="65" t="str">
        <f>IFERROR(__xludf.DUMMYFUNCTION("""COMPUTED_VALUE"""),"Marianna Steele")</f>
        <v>Marianna Steele</v>
      </c>
      <c r="G5" s="65" t="str">
        <f>IFERROR(__xludf.DUMMYFUNCTION("""COMPUTED_VALUE""")," 2 / Included Insurance   - ")</f>
        <v> 2 / Included Insurance   - </v>
      </c>
      <c r="H5" s="65" t="str">
        <f>IFERROR(__xludf.DUMMYFUNCTION("""COMPUTED_VALUE"""),"Village East  ")</f>
        <v>Village East  </v>
      </c>
      <c r="I5" s="65" t="str">
        <f>IFERROR(__xludf.DUMMYFUNCTION("""COMPUTED_VALUE"""),"63")</f>
        <v>63</v>
      </c>
      <c r="J5" s="108" t="str">
        <f>IFERROR(__xludf.DUMMYFUNCTION("""COMPUTED_VALUE"""),"09:00 AM to 11:00 AM  ")</f>
        <v>09:00 AM to 11:00 AM  </v>
      </c>
      <c r="K5" s="103">
        <f>IFERROR(__xludf.DUMMYFUNCTION("""COMPUTED_VALUE"""),46008.0)</f>
        <v>46008</v>
      </c>
      <c r="L5" s="65" t="str">
        <f>IFERROR(__xludf.DUMMYFUNCTION("""COMPUTED_VALUE""")," ")</f>
        <v> </v>
      </c>
      <c r="M5" s="65"/>
      <c r="N5" s="65"/>
    </row>
    <row r="6">
      <c r="A6" s="99" t="str">
        <f>IFERROR(__xludf.DUMMYFUNCTION("""COMPUTED_VALUE"""),"https://utrucking.com/admin/orders/6108229959868")</f>
        <v>https://utrucking.com/admin/orders/6108229959868</v>
      </c>
      <c r="B6" s="61" t="str">
        <f>IFERROR(__xludf.DUMMYFUNCTION("""COMPUTED_VALUE"""),"#16633")</f>
        <v>#16633</v>
      </c>
      <c r="C6" s="61"/>
      <c r="D6" s="61">
        <f>IFERROR(__xludf.DUMMYFUNCTION("""COMPUTED_VALUE"""),6.103689007E9)</f>
        <v>6103689007</v>
      </c>
      <c r="E6" s="61" t="str">
        <f>IFERROR(__xludf.DUMMYFUNCTION("""COMPUTED_VALUE"""),"Joseph Lynch")</f>
        <v>Joseph Lynch</v>
      </c>
      <c r="F6" s="61" t="str">
        <f>IFERROR(__xludf.DUMMYFUNCTION("""COMPUTED_VALUE"""),"Joe Lynch")</f>
        <v>Joe Lynch</v>
      </c>
      <c r="G6" s="61" t="str">
        <f>IFERROR(__xludf.DUMMYFUNCTION("""COMPUTED_VALUE""")," 1 [Included with Registration] / Included Insurance   - ")</f>
        <v> 1 [Included with Registration] / Included Insurance   - </v>
      </c>
      <c r="H6" s="61" t="str">
        <f>IFERROR(__xludf.DUMMYFUNCTION("""COMPUTED_VALUE"""),"Nemerov  ")</f>
        <v>Nemerov  </v>
      </c>
      <c r="I6" s="61" t="str">
        <f>IFERROR(__xludf.DUMMYFUNCTION("""COMPUTED_VALUE"""),"3073")</f>
        <v>3073</v>
      </c>
      <c r="J6" s="107" t="str">
        <f>IFERROR(__xludf.DUMMYFUNCTION("""COMPUTED_VALUE"""),"09:00 AM to 11:00 AM  ")</f>
        <v>09:00 AM to 11:00 AM  </v>
      </c>
      <c r="K6" s="100">
        <f>IFERROR(__xludf.DUMMYFUNCTION("""COMPUTED_VALUE"""),46007.0)</f>
        <v>46007</v>
      </c>
      <c r="L6" s="61" t="str">
        <f>IFERROR(__xludf.DUMMYFUNCTION("""COMPUTED_VALUE""")," ")</f>
        <v> </v>
      </c>
      <c r="M6" s="61"/>
      <c r="N6" s="61"/>
    </row>
    <row r="7">
      <c r="A7" s="102" t="str">
        <f>IFERROR(__xludf.DUMMYFUNCTION("""COMPUTED_VALUE"""),"https://utrucking.com/admin/orders/6108968091836")</f>
        <v>https://utrucking.com/admin/orders/6108968091836</v>
      </c>
      <c r="B7" s="65" t="str">
        <f>IFERROR(__xludf.DUMMYFUNCTION("""COMPUTED_VALUE"""),"#16634")</f>
        <v>#16634</v>
      </c>
      <c r="C7" s="65" t="str">
        <f>IFERROR(__xludf.DUMMYFUNCTION("""COMPUTED_VALUE"""),"j.p.weil@wustl.edu")</f>
        <v>j.p.weil@wustl.edu</v>
      </c>
      <c r="D7" s="65">
        <f>IFERROR(__xludf.DUMMYFUNCTION("""COMPUTED_VALUE"""),4.156291757E9)</f>
        <v>4156291757</v>
      </c>
      <c r="E7" s="65" t="str">
        <f>IFERROR(__xludf.DUMMYFUNCTION("""COMPUTED_VALUE"""),"Joseph Weil")</f>
        <v>Joseph Weil</v>
      </c>
      <c r="F7" s="65" t="str">
        <f>IFERROR(__xludf.DUMMYFUNCTION("""COMPUTED_VALUE"""),"Joseph Weil")</f>
        <v>Joseph Weil</v>
      </c>
      <c r="G7" s="65" t="str">
        <f>IFERROR(__xludf.DUMMYFUNCTION("""COMPUTED_VALUE""")," 1 [Included with Registration] / Included Insurance   - ")</f>
        <v> 1 [Included with Registration] / Included Insurance   - </v>
      </c>
      <c r="H7" s="65" t="str">
        <f>IFERROR(__xludf.DUMMYFUNCTION("""COMPUTED_VALUE"""),"Millbrook Bldg. 4  ")</f>
        <v>Millbrook Bldg. 4  </v>
      </c>
      <c r="I7" s="65" t="str">
        <f>IFERROR(__xludf.DUMMYFUNCTION("""COMPUTED_VALUE"""),"304-E")</f>
        <v>304-E</v>
      </c>
      <c r="J7" s="108" t="str">
        <f>IFERROR(__xludf.DUMMYFUNCTION("""COMPUTED_VALUE"""),"10:00 AM to 12:00 PM  ")</f>
        <v>10:00 AM to 12:00 PM  </v>
      </c>
      <c r="K7" s="103">
        <f>IFERROR(__xludf.DUMMYFUNCTION("""COMPUTED_VALUE"""),46006.0)</f>
        <v>46006</v>
      </c>
      <c r="L7" s="65" t="str">
        <f>IFERROR(__xludf.DUMMYFUNCTION("""COMPUTED_VALUE""")," ")</f>
        <v> </v>
      </c>
      <c r="M7" s="65"/>
      <c r="N7" s="65"/>
    </row>
    <row r="8">
      <c r="A8" s="99" t="str">
        <f>IFERROR(__xludf.DUMMYFUNCTION("""COMPUTED_VALUE"""),"https://utrucking.com/admin/orders/6109667492028")</f>
        <v>https://utrucking.com/admin/orders/6109667492028</v>
      </c>
      <c r="B8" s="61" t="str">
        <f>IFERROR(__xludf.DUMMYFUNCTION("""COMPUTED_VALUE"""),"#16636")</f>
        <v>#16636</v>
      </c>
      <c r="C8" s="61" t="str">
        <f>IFERROR(__xludf.DUMMYFUNCTION("""COMPUTED_VALUE"""),"e.d.stulman@wustl.edu")</f>
        <v>e.d.stulman@wustl.edu</v>
      </c>
      <c r="D8" s="61">
        <f>IFERROR(__xludf.DUMMYFUNCTION("""COMPUTED_VALUE"""),6.469464044E9)</f>
        <v>6469464044</v>
      </c>
      <c r="E8" s="61" t="str">
        <f>IFERROR(__xludf.DUMMYFUNCTION("""COMPUTED_VALUE"""),"Stacy Bolton")</f>
        <v>Stacy Bolton</v>
      </c>
      <c r="F8" s="61" t="str">
        <f>IFERROR(__xludf.DUMMYFUNCTION("""COMPUTED_VALUE"""),"Eliza Stulman ")</f>
        <v>Eliza Stulman </v>
      </c>
      <c r="G8" s="61" t="str">
        <f>IFERROR(__xludf.DUMMYFUNCTION("""COMPUTED_VALUE""")," 1 [Included with Registration] / Included Insurance   - ")</f>
        <v> 1 [Included with Registration] / Included Insurance   - </v>
      </c>
      <c r="H8" s="61" t="str">
        <f>IFERROR(__xludf.DUMMYFUNCTION("""COMPUTED_VALUE"""),"Loop Loft 6200  ")</f>
        <v>Loop Loft 6200  </v>
      </c>
      <c r="I8" s="61" t="str">
        <f>IFERROR(__xludf.DUMMYFUNCTION("""COMPUTED_VALUE"""),"309b")</f>
        <v>309b</v>
      </c>
      <c r="J8" s="107" t="str">
        <f>IFERROR(__xludf.DUMMYFUNCTION("""COMPUTED_VALUE"""),"09:00 AM to 11:00 AM  ")</f>
        <v>09:00 AM to 11:00 AM  </v>
      </c>
      <c r="K8" s="100">
        <f>IFERROR(__xludf.DUMMYFUNCTION("""COMPUTED_VALUE"""),46008.0)</f>
        <v>46008</v>
      </c>
      <c r="L8" s="61" t="str">
        <f>IFERROR(__xludf.DUMMYFUNCTION("""COMPUTED_VALUE""")," ")</f>
        <v> </v>
      </c>
      <c r="M8" s="61"/>
      <c r="N8" s="61"/>
    </row>
    <row r="9">
      <c r="A9" s="102" t="str">
        <f>IFERROR(__xludf.DUMMYFUNCTION("""COMPUTED_VALUE"""),"https://utrucking.com/admin/orders/6111546212540")</f>
        <v>https://utrucking.com/admin/orders/6111546212540</v>
      </c>
      <c r="B9" s="65" t="str">
        <f>IFERROR(__xludf.DUMMYFUNCTION("""COMPUTED_VALUE"""),"#16637")</f>
        <v>#16637</v>
      </c>
      <c r="C9" s="65" t="str">
        <f>IFERROR(__xludf.DUMMYFUNCTION("""COMPUTED_VALUE"""),"maraperry63@gmail.com")</f>
        <v>maraperry63@gmail.com</v>
      </c>
      <c r="D9" s="65">
        <f>IFERROR(__xludf.DUMMYFUNCTION("""COMPUTED_VALUE"""),9.176136594E9)</f>
        <v>9176136594</v>
      </c>
      <c r="E9" s="65" t="str">
        <f>IFERROR(__xludf.DUMMYFUNCTION("""COMPUTED_VALUE"""),"Mara Perry")</f>
        <v>Mara Perry</v>
      </c>
      <c r="F9" s="65" t="str">
        <f>IFERROR(__xludf.DUMMYFUNCTION("""COMPUTED_VALUE"""),"Emily Schechter")</f>
        <v>Emily Schechter</v>
      </c>
      <c r="G9" s="65" t="str">
        <f>IFERROR(__xludf.DUMMYFUNCTION("""COMPUTED_VALUE""")," 1 [Included with Registration] / Included Insurance   - ")</f>
        <v> 1 [Included with Registration] / Included Insurance   - </v>
      </c>
      <c r="H9" s="65" t="str">
        <f>IFERROR(__xludf.DUMMYFUNCTION("""COMPUTED_VALUE"""),"Millbrook Bldg. 1  ")</f>
        <v>Millbrook Bldg. 1  </v>
      </c>
      <c r="I9" s="65" t="str">
        <f>IFERROR(__xludf.DUMMYFUNCTION("""COMPUTED_VALUE"""),"203")</f>
        <v>203</v>
      </c>
      <c r="J9" s="108" t="str">
        <f>IFERROR(__xludf.DUMMYFUNCTION("""COMPUTED_VALUE"""),"09:00 AM to 11:00 AM  ")</f>
        <v>09:00 AM to 11:00 AM  </v>
      </c>
      <c r="K9" s="103">
        <f>IFERROR(__xludf.DUMMYFUNCTION("""COMPUTED_VALUE"""),46008.0)</f>
        <v>46008</v>
      </c>
      <c r="L9" s="65" t="str">
        <f>IFERROR(__xludf.DUMMYFUNCTION("""COMPUTED_VALUE""")," ")</f>
        <v> </v>
      </c>
      <c r="M9" s="65"/>
      <c r="N9" s="65"/>
    </row>
    <row r="10">
      <c r="A10" s="99" t="str">
        <f>IFERROR(__xludf.DUMMYFUNCTION("""COMPUTED_VALUE"""),"https://utrucking.com/admin/orders/6111799607484")</f>
        <v>https://utrucking.com/admin/orders/6111799607484</v>
      </c>
      <c r="B10" s="61" t="str">
        <f>IFERROR(__xludf.DUMMYFUNCTION("""COMPUTED_VALUE"""),"#16638")</f>
        <v>#16638</v>
      </c>
      <c r="C10" s="61" t="str">
        <f>IFERROR(__xludf.DUMMYFUNCTION("""COMPUTED_VALUE"""),"c.ohare@wustl.edu")</f>
        <v>c.ohare@wustl.edu</v>
      </c>
      <c r="D10" s="61">
        <f>IFERROR(__xludf.DUMMYFUNCTION("""COMPUTED_VALUE"""),6.304858286E9)</f>
        <v>6304858286</v>
      </c>
      <c r="E10" s="61" t="str">
        <f>IFERROR(__xludf.DUMMYFUNCTION("""COMPUTED_VALUE"""),"Cayleigh O'Hare")</f>
        <v>Cayleigh O'Hare</v>
      </c>
      <c r="F10" s="61" t="str">
        <f>IFERROR(__xludf.DUMMYFUNCTION("""COMPUTED_VALUE"""),"Cayleigh O'Hare")</f>
        <v>Cayleigh O'Hare</v>
      </c>
      <c r="G10" s="61" t="str">
        <f>IFERROR(__xludf.DUMMYFUNCTION("""COMPUTED_VALUE""")," 1 [Included with Registration] / Included Insurance   - ")</f>
        <v> 1 [Included with Registration] / Included Insurance   - </v>
      </c>
      <c r="H10" s="61" t="str">
        <f>IFERROR(__xludf.DUMMYFUNCTION("""COMPUTED_VALUE"""),"Village East  ")</f>
        <v>Village East  </v>
      </c>
      <c r="I10" s="61" t="str">
        <f>IFERROR(__xludf.DUMMYFUNCTION("""COMPUTED_VALUE"""),"3121")</f>
        <v>3121</v>
      </c>
      <c r="J10" s="107" t="str">
        <f>IFERROR(__xludf.DUMMYFUNCTION("""COMPUTED_VALUE"""),"09:00 AM to 11:00 AM  ")</f>
        <v>09:00 AM to 11:00 AM  </v>
      </c>
      <c r="K10" s="100">
        <f>IFERROR(__xludf.DUMMYFUNCTION("""COMPUTED_VALUE"""),46008.0)</f>
        <v>46008</v>
      </c>
      <c r="L10" s="61" t="str">
        <f>IFERROR(__xludf.DUMMYFUNCTION("""COMPUTED_VALUE""")," ")</f>
        <v> </v>
      </c>
      <c r="M10" s="61"/>
      <c r="N10" s="61"/>
    </row>
    <row r="11">
      <c r="A11" s="102" t="str">
        <f>IFERROR(__xludf.DUMMYFUNCTION("""COMPUTED_VALUE"""),"https://utrucking.com/admin/orders/6111854690492")</f>
        <v>https://utrucking.com/admin/orders/6111854690492</v>
      </c>
      <c r="B11" s="65" t="str">
        <f>IFERROR(__xludf.DUMMYFUNCTION("""COMPUTED_VALUE"""),"#16639")</f>
        <v>#16639</v>
      </c>
      <c r="C11" s="65"/>
      <c r="D11" s="65">
        <f>IFERROR(__xludf.DUMMYFUNCTION("""COMPUTED_VALUE"""),2.014248765E9)</f>
        <v>2014248765</v>
      </c>
      <c r="E11" s="65" t="str">
        <f>IFERROR(__xludf.DUMMYFUNCTION("""COMPUTED_VALUE"""),"Loren Altshuler")</f>
        <v>Loren Altshuler</v>
      </c>
      <c r="F11" s="65" t="str">
        <f>IFERROR(__xludf.DUMMYFUNCTION("""COMPUTED_VALUE"""),"Abbie Sapira")</f>
        <v>Abbie Sapira</v>
      </c>
      <c r="G11" s="65" t="str">
        <f>IFERROR(__xludf.DUMMYFUNCTION("""COMPUTED_VALUE""")," 2 / Included Insurance   - ")</f>
        <v> 2 / Included Insurance   - </v>
      </c>
      <c r="H11" s="65" t="str">
        <f>IFERROR(__xludf.DUMMYFUNCTION("""COMPUTED_VALUE"""),"Loop Loft 6255  ")</f>
        <v>Loop Loft 6255  </v>
      </c>
      <c r="I11" s="65" t="str">
        <f>IFERROR(__xludf.DUMMYFUNCTION("""COMPUTED_VALUE"""),"304")</f>
        <v>304</v>
      </c>
      <c r="J11" s="108" t="str">
        <f>IFERROR(__xludf.DUMMYFUNCTION("""COMPUTED_VALUE"""),"02:00 PM to 04:00 PM")</f>
        <v>02:00 PM to 04:00 PM</v>
      </c>
      <c r="K11" s="103">
        <f>IFERROR(__xludf.DUMMYFUNCTION("""COMPUTED_VALUE"""),46009.0)</f>
        <v>46009</v>
      </c>
      <c r="L11" s="65" t="str">
        <f>IFERROR(__xludf.DUMMYFUNCTION("""COMPUTED_VALUE""")," ")</f>
        <v> </v>
      </c>
      <c r="M11" s="65"/>
      <c r="N11" s="65"/>
    </row>
    <row r="12">
      <c r="A12" s="99" t="str">
        <f>IFERROR(__xludf.DUMMYFUNCTION("""COMPUTED_VALUE"""),"https://utrucking.com/admin/orders/6117020795068")</f>
        <v>https://utrucking.com/admin/orders/6117020795068</v>
      </c>
      <c r="B12" s="61" t="str">
        <f>IFERROR(__xludf.DUMMYFUNCTION("""COMPUTED_VALUE"""),"#16641")</f>
        <v>#16641</v>
      </c>
      <c r="C12" s="61" t="str">
        <f>IFERROR(__xludf.DUMMYFUNCTION("""COMPUTED_VALUE"""),"c.r.rinke@wustl.edu")</f>
        <v>c.r.rinke@wustl.edu</v>
      </c>
      <c r="D12" s="61">
        <f>IFERROR(__xludf.DUMMYFUNCTION("""COMPUTED_VALUE"""),9.149878671E9)</f>
        <v>9149878671</v>
      </c>
      <c r="E12" s="61" t="str">
        <f>IFERROR(__xludf.DUMMYFUNCTION("""COMPUTED_VALUE"""),"Coby Rinke")</f>
        <v>Coby Rinke</v>
      </c>
      <c r="F12" s="61" t="str">
        <f>IFERROR(__xludf.DUMMYFUNCTION("""COMPUTED_VALUE"""),"Coby Rinke")</f>
        <v>Coby Rinke</v>
      </c>
      <c r="G12" s="61" t="str">
        <f>IFERROR(__xludf.DUMMYFUNCTION("""COMPUTED_VALUE""")," 1 [Included with Registration] / Included Insurance   - ")</f>
        <v> 1 [Included with Registration] / Included Insurance   - </v>
      </c>
      <c r="H12" s="61" t="str">
        <f>IFERROR(__xludf.DUMMYFUNCTION("""COMPUTED_VALUE"""),"Village House  ")</f>
        <v>Village House  </v>
      </c>
      <c r="I12" s="61" t="str">
        <f>IFERROR(__xludf.DUMMYFUNCTION("""COMPUTED_VALUE"""),"3101")</f>
        <v>3101</v>
      </c>
      <c r="J12" s="107" t="str">
        <f>IFERROR(__xludf.DUMMYFUNCTION("""COMPUTED_VALUE"""),"09:00 AM to 11:00 AM  ")</f>
        <v>09:00 AM to 11:00 AM  </v>
      </c>
      <c r="K12" s="100">
        <f>IFERROR(__xludf.DUMMYFUNCTION("""COMPUTED_VALUE"""),46009.0)</f>
        <v>46009</v>
      </c>
      <c r="L12" s="61" t="str">
        <f>IFERROR(__xludf.DUMMYFUNCTION("""COMPUTED_VALUE""")," ")</f>
        <v> </v>
      </c>
      <c r="M12" s="61"/>
      <c r="N12" s="61"/>
    </row>
    <row r="13">
      <c r="A13" s="102" t="str">
        <f>IFERROR(__xludf.DUMMYFUNCTION("""COMPUTED_VALUE"""),"https://utrucking.com/admin/orders/6135959552188")</f>
        <v>https://utrucking.com/admin/orders/6135959552188</v>
      </c>
      <c r="B13" s="65" t="str">
        <f>IFERROR(__xludf.DUMMYFUNCTION("""COMPUTED_VALUE"""),"#16643")</f>
        <v>#16643</v>
      </c>
      <c r="C13" s="65" t="str">
        <f>IFERROR(__xludf.DUMMYFUNCTION("""COMPUTED_VALUE"""),"brian.l@wustl.edu")</f>
        <v>brian.l@wustl.edu</v>
      </c>
      <c r="D13" s="65">
        <f>IFERROR(__xludf.DUMMYFUNCTION("""COMPUTED_VALUE"""),7.814589001E9)</f>
        <v>7814589001</v>
      </c>
      <c r="E13" s="65" t="str">
        <f>IFERROR(__xludf.DUMMYFUNCTION("""COMPUTED_VALUE"""),"Brian Liu")</f>
        <v>Brian Liu</v>
      </c>
      <c r="F13" s="65" t="str">
        <f>IFERROR(__xludf.DUMMYFUNCTION("""COMPUTED_VALUE"""),"Brian Liu")</f>
        <v>Brian Liu</v>
      </c>
      <c r="G13" s="65" t="str">
        <f>IFERROR(__xludf.DUMMYFUNCTION("""COMPUTED_VALUE""")," 1 [Included with Registration] / Included Insurance   - ")</f>
        <v> 1 [Included with Registration] / Included Insurance   - </v>
      </c>
      <c r="H13" s="65" t="str">
        <f>IFERROR(__xludf.DUMMYFUNCTION("""COMPUTED_VALUE"""),"Loop Loft 6300  ")</f>
        <v>Loop Loft 6300  </v>
      </c>
      <c r="I13" s="65" t="str">
        <f>IFERROR(__xludf.DUMMYFUNCTION("""COMPUTED_VALUE"""),"217A")</f>
        <v>217A</v>
      </c>
      <c r="J13" s="108" t="str">
        <f>IFERROR(__xludf.DUMMYFUNCTION("""COMPUTED_VALUE"""),"03:00 PM to 05:00 PM")</f>
        <v>03:00 PM to 05:00 PM</v>
      </c>
      <c r="K13" s="103">
        <f>IFERROR(__xludf.DUMMYFUNCTION("""COMPUTED_VALUE"""),46006.0)</f>
        <v>46006</v>
      </c>
      <c r="L13" s="65" t="str">
        <f>IFERROR(__xludf.DUMMYFUNCTION("""COMPUTED_VALUE""")," ")</f>
        <v> </v>
      </c>
      <c r="M13" s="65"/>
      <c r="N13" s="65"/>
    </row>
    <row r="14">
      <c r="A14" s="99" t="str">
        <f>IFERROR(__xludf.DUMMYFUNCTION("""COMPUTED_VALUE"""),"https://utrucking.com/admin/orders/6137330925756")</f>
        <v>https://utrucking.com/admin/orders/6137330925756</v>
      </c>
      <c r="B14" s="61" t="str">
        <f>IFERROR(__xludf.DUMMYFUNCTION("""COMPUTED_VALUE"""),"#16644")</f>
        <v>#16644</v>
      </c>
      <c r="C14" s="61" t="str">
        <f>IFERROR(__xludf.DUMMYFUNCTION("""COMPUTED_VALUE"""),"c.t.chen@wustl.edu")</f>
        <v>c.t.chen@wustl.edu</v>
      </c>
      <c r="D14" s="61">
        <f>IFERROR(__xludf.DUMMYFUNCTION("""COMPUTED_VALUE"""),5.137078259E9)</f>
        <v>5137078259</v>
      </c>
      <c r="E14" s="61" t="str">
        <f>IFERROR(__xludf.DUMMYFUNCTION("""COMPUTED_VALUE"""),"Clara Chen")</f>
        <v>Clara Chen</v>
      </c>
      <c r="F14" s="61" t="str">
        <f>IFERROR(__xludf.DUMMYFUNCTION("""COMPUTED_VALUE"""),"Clara Chen")</f>
        <v>Clara Chen</v>
      </c>
      <c r="G14" s="61" t="str">
        <f>IFERROR(__xludf.DUMMYFUNCTION("""COMPUTED_VALUE""")," 1 [Included with Registration] / Included Insurance   - ")</f>
        <v> 1 [Included with Registration] / Included Insurance   - </v>
      </c>
      <c r="H14" s="61" t="str">
        <f>IFERROR(__xludf.DUMMYFUNCTION("""COMPUTED_VALUE"""),"Village East  ")</f>
        <v>Village East  </v>
      </c>
      <c r="I14" s="61" t="str">
        <f>IFERROR(__xludf.DUMMYFUNCTION("""COMPUTED_VALUE"""),"0060/0061")</f>
        <v>0060/0061</v>
      </c>
      <c r="J14" s="107" t="str">
        <f>IFERROR(__xludf.DUMMYFUNCTION("""COMPUTED_VALUE"""),"09:00 AM to 11:00 AM  ")</f>
        <v>09:00 AM to 11:00 AM  </v>
      </c>
      <c r="K14" s="100">
        <f>IFERROR(__xludf.DUMMYFUNCTION("""COMPUTED_VALUE"""),46009.0)</f>
        <v>46009</v>
      </c>
      <c r="L14" s="61" t="str">
        <f>IFERROR(__xludf.DUMMYFUNCTION("""COMPUTED_VALUE""")," ")</f>
        <v> </v>
      </c>
      <c r="M14" s="61"/>
      <c r="N14" s="61"/>
    </row>
    <row r="15">
      <c r="A15" s="102" t="str">
        <f>IFERROR(__xludf.DUMMYFUNCTION("""COMPUTED_VALUE"""),"https://utrucking.com/admin/orders/6149526880444")</f>
        <v>https://utrucking.com/admin/orders/6149526880444</v>
      </c>
      <c r="B15" s="65" t="str">
        <f>IFERROR(__xludf.DUMMYFUNCTION("""COMPUTED_VALUE"""),"#16647")</f>
        <v>#16647</v>
      </c>
      <c r="C15" s="65" t="str">
        <f>IFERROR(__xludf.DUMMYFUNCTION("""COMPUTED_VALUE"""),"c.i.godwin@wustl.edu")</f>
        <v>c.i.godwin@wustl.edu</v>
      </c>
      <c r="D15" s="65">
        <f>IFERROR(__xludf.DUMMYFUNCTION("""COMPUTED_VALUE"""),2.03814425E9)</f>
        <v>2038144250</v>
      </c>
      <c r="E15" s="65" t="str">
        <f>IFERROR(__xludf.DUMMYFUNCTION("""COMPUTED_VALUE"""),"Sara Godwin")</f>
        <v>Sara Godwin</v>
      </c>
      <c r="F15" s="65" t="str">
        <f>IFERROR(__xludf.DUMMYFUNCTION("""COMPUTED_VALUE"""),"Cate Godwin")</f>
        <v>Cate Godwin</v>
      </c>
      <c r="G15" s="65" t="str">
        <f>IFERROR(__xludf.DUMMYFUNCTION("""COMPUTED_VALUE""")," 1 [Included with Registration] / Included Insurance   - ")</f>
        <v> 1 [Included with Registration] / Included Insurance   - </v>
      </c>
      <c r="H15" s="65" t="str">
        <f>IFERROR(__xludf.DUMMYFUNCTION("""COMPUTED_VALUE"""),"Village East  ")</f>
        <v>Village East  </v>
      </c>
      <c r="I15" s="65" t="str">
        <f>IFERROR(__xludf.DUMMYFUNCTION("""COMPUTED_VALUE"""),"1110")</f>
        <v>1110</v>
      </c>
      <c r="J15" s="108" t="str">
        <f>IFERROR(__xludf.DUMMYFUNCTION("""COMPUTED_VALUE"""),"09:00 AM to 11:00 AM  ")</f>
        <v>09:00 AM to 11:00 AM  </v>
      </c>
      <c r="K15" s="103">
        <f>IFERROR(__xludf.DUMMYFUNCTION("""COMPUTED_VALUE"""),46000.0)</f>
        <v>46000</v>
      </c>
      <c r="L15" s="65" t="str">
        <f>IFERROR(__xludf.DUMMYFUNCTION("""COMPUTED_VALUE""")," ")</f>
        <v> </v>
      </c>
      <c r="M15" s="65"/>
      <c r="N15" s="65"/>
    </row>
    <row r="16">
      <c r="A16" s="99" t="str">
        <f>IFERROR(__xludf.DUMMYFUNCTION("""COMPUTED_VALUE"""),"https://utrucking.com/admin/orders/6157326188732")</f>
        <v>https://utrucking.com/admin/orders/6157326188732</v>
      </c>
      <c r="B16" s="61" t="str">
        <f>IFERROR(__xludf.DUMMYFUNCTION("""COMPUTED_VALUE"""),"#16649")</f>
        <v>#16649</v>
      </c>
      <c r="C16" s="61" t="str">
        <f>IFERROR(__xludf.DUMMYFUNCTION("""COMPUTED_VALUE"""),"b.moses@wustl.edu")</f>
        <v>b.moses@wustl.edu</v>
      </c>
      <c r="D16" s="61">
        <f>IFERROR(__xludf.DUMMYFUNCTION("""COMPUTED_VALUE"""),9.176983349E9)</f>
        <v>9176983349</v>
      </c>
      <c r="E16" s="61" t="str">
        <f>IFERROR(__xludf.DUMMYFUNCTION("""COMPUTED_VALUE"""),"Joshua Bank")</f>
        <v>Joshua Bank</v>
      </c>
      <c r="F16" s="61" t="str">
        <f>IFERROR(__xludf.DUMMYFUNCTION("""COMPUTED_VALUE"""),"Moses Bank")</f>
        <v>Moses Bank</v>
      </c>
      <c r="G16" s="61" t="str">
        <f>IFERROR(__xludf.DUMMYFUNCTION("""COMPUTED_VALUE""")," 2 / Included Insurance   - ")</f>
        <v> 2 / Included Insurance   - </v>
      </c>
      <c r="H16" s="61" t="str">
        <f>IFERROR(__xludf.DUMMYFUNCTION("""COMPUTED_VALUE"""),"Village East  ")</f>
        <v>Village East  </v>
      </c>
      <c r="I16" s="61" t="str">
        <f>IFERROR(__xludf.DUMMYFUNCTION("""COMPUTED_VALUE"""),"1044")</f>
        <v>1044</v>
      </c>
      <c r="J16" s="107" t="str">
        <f>IFERROR(__xludf.DUMMYFUNCTION("""COMPUTED_VALUE"""),"12:00 PM to 02:00 PM  ")</f>
        <v>12:00 PM to 02:00 PM  </v>
      </c>
      <c r="K16" s="100">
        <f>IFERROR(__xludf.DUMMYFUNCTION("""COMPUTED_VALUE"""),46001.0)</f>
        <v>46001</v>
      </c>
      <c r="L16" s="61" t="str">
        <f>IFERROR(__xludf.DUMMYFUNCTION("""COMPUTED_VALUE""")," ")</f>
        <v> </v>
      </c>
      <c r="M16" s="61"/>
      <c r="N16" s="61"/>
    </row>
    <row r="17">
      <c r="A17" s="102" t="str">
        <f>IFERROR(__xludf.DUMMYFUNCTION("""COMPUTED_VALUE"""),"https://utrucking.com/admin/orders/6160620486844")</f>
        <v>https://utrucking.com/admin/orders/6160620486844</v>
      </c>
      <c r="B17" s="65" t="str">
        <f>IFERROR(__xludf.DUMMYFUNCTION("""COMPUTED_VALUE"""),"#16654")</f>
        <v>#16654</v>
      </c>
      <c r="C17" s="65"/>
      <c r="D17" s="65">
        <f>IFERROR(__xludf.DUMMYFUNCTION("""COMPUTED_VALUE"""),6.123250023E9)</f>
        <v>6123250023</v>
      </c>
      <c r="E17" s="65" t="str">
        <f>IFERROR(__xludf.DUMMYFUNCTION("""COMPUTED_VALUE"""),"Violetta Lacey")</f>
        <v>Violetta Lacey</v>
      </c>
      <c r="F17" s="65" t="str">
        <f>IFERROR(__xludf.DUMMYFUNCTION("""COMPUTED_VALUE"""),"Violetta Lacey")</f>
        <v>Violetta Lacey</v>
      </c>
      <c r="G17" s="65" t="str">
        <f>IFERROR(__xludf.DUMMYFUNCTION("""COMPUTED_VALUE""")," 1 [Included with Registration] / Included Insurance   - ")</f>
        <v> 1 [Included with Registration] / Included Insurance   - </v>
      </c>
      <c r="H17" s="65" t="str">
        <f>IFERROR(__xludf.DUMMYFUNCTION("""COMPUTED_VALUE"""),"Millbrook Bldg. 3  ")</f>
        <v>Millbrook Bldg. 3  </v>
      </c>
      <c r="I17" s="65" t="str">
        <f>IFERROR(__xludf.DUMMYFUNCTION("""COMPUTED_VALUE"""),"203D")</f>
        <v>203D</v>
      </c>
      <c r="J17" s="108" t="str">
        <f>IFERROR(__xludf.DUMMYFUNCTION("""COMPUTED_VALUE"""),"12:00 PM to 02:00 PM  ")</f>
        <v>12:00 PM to 02:00 PM  </v>
      </c>
      <c r="K17" s="103">
        <f>IFERROR(__xludf.DUMMYFUNCTION("""COMPUTED_VALUE"""),46008.0)</f>
        <v>46008</v>
      </c>
      <c r="L17" s="65" t="str">
        <f>IFERROR(__xludf.DUMMYFUNCTION("""COMPUTED_VALUE""")," ")</f>
        <v> </v>
      </c>
      <c r="M17" s="65"/>
      <c r="N17" s="65"/>
    </row>
    <row r="18">
      <c r="A18" s="99" t="str">
        <f>IFERROR(__xludf.DUMMYFUNCTION("""COMPUTED_VALUE"""),"https://utrucking.com/admin/orders/6165644214460")</f>
        <v>https://utrucking.com/admin/orders/6165644214460</v>
      </c>
      <c r="B18" s="61" t="str">
        <f>IFERROR(__xludf.DUMMYFUNCTION("""COMPUTED_VALUE"""),"#16679")</f>
        <v>#16679</v>
      </c>
      <c r="C18" s="61" t="str">
        <f>IFERROR(__xludf.DUMMYFUNCTION("""COMPUTED_VALUE"""),"acaitlin@wustl.edu")</f>
        <v>acaitlin@wustl.edu</v>
      </c>
      <c r="D18" s="61">
        <f>IFERROR(__xludf.DUMMYFUNCTION("""COMPUTED_VALUE"""),8.56630452E9)</f>
        <v>8566304520</v>
      </c>
      <c r="E18" s="61" t="str">
        <f>IFERROR(__xludf.DUMMYFUNCTION("""COMPUTED_VALUE"""),"Caitlin Alfaro")</f>
        <v>Caitlin Alfaro</v>
      </c>
      <c r="F18" s="61" t="str">
        <f>IFERROR(__xludf.DUMMYFUNCTION("""COMPUTED_VALUE"""),"Caitlin Alfaro")</f>
        <v>Caitlin Alfaro</v>
      </c>
      <c r="G18" s="61" t="str">
        <f>IFERROR(__xludf.DUMMYFUNCTION("""COMPUTED_VALUE""")," 1 [Included with Registration] / Included Insurance   - ")</f>
        <v> 1 [Included with Registration] / Included Insurance   - </v>
      </c>
      <c r="H18" s="61" t="str">
        <f>IFERROR(__xludf.DUMMYFUNCTION("""COMPUTED_VALUE"""),"Millbrook Bldg. 2  ")</f>
        <v>Millbrook Bldg. 2  </v>
      </c>
      <c r="I18" s="61" t="str">
        <f>IFERROR(__xludf.DUMMYFUNCTION("""COMPUTED_VALUE"""),"104C")</f>
        <v>104C</v>
      </c>
      <c r="J18" s="107" t="str">
        <f>IFERROR(__xludf.DUMMYFUNCTION("""COMPUTED_VALUE"""),"09:00 AM to 11:00 AM  ")</f>
        <v>09:00 AM to 11:00 AM  </v>
      </c>
      <c r="K18" s="100">
        <f>IFERROR(__xludf.DUMMYFUNCTION("""COMPUTED_VALUE"""),46010.0)</f>
        <v>46010</v>
      </c>
      <c r="L18" s="61" t="str">
        <f>IFERROR(__xludf.DUMMYFUNCTION("""COMPUTED_VALUE""")," ")</f>
        <v> </v>
      </c>
      <c r="M18" s="61"/>
      <c r="N18" s="61"/>
    </row>
    <row r="19">
      <c r="A19" s="102" t="str">
        <f>IFERROR(__xludf.DUMMYFUNCTION("""COMPUTED_VALUE"""),"https://utrucking.com/admin/orders/6166263038140")</f>
        <v>https://utrucking.com/admin/orders/6166263038140</v>
      </c>
      <c r="B19" s="65" t="str">
        <f>IFERROR(__xludf.DUMMYFUNCTION("""COMPUTED_VALUE"""),"#16680")</f>
        <v>#16680</v>
      </c>
      <c r="C19" s="65" t="str">
        <f>IFERROR(__xludf.DUMMYFUNCTION("""COMPUTED_VALUE"""),"lilymbrant@gmail.com")</f>
        <v>lilymbrant@gmail.com</v>
      </c>
      <c r="D19" s="65">
        <f>IFERROR(__xludf.DUMMYFUNCTION("""COMPUTED_VALUE"""),2.035244382E9)</f>
        <v>2035244382</v>
      </c>
      <c r="E19" s="65" t="str">
        <f>IFERROR(__xludf.DUMMYFUNCTION("""COMPUTED_VALUE"""),"Stephanie Brant")</f>
        <v>Stephanie Brant</v>
      </c>
      <c r="F19" s="65" t="str">
        <f>IFERROR(__xludf.DUMMYFUNCTION("""COMPUTED_VALUE"""),"Lily")</f>
        <v>Lily</v>
      </c>
      <c r="G19" s="65" t="str">
        <f>IFERROR(__xludf.DUMMYFUNCTION("""COMPUTED_VALUE""")," 2 / Included Insurance   - ")</f>
        <v> 2 / Included Insurance   - </v>
      </c>
      <c r="H19" s="65" t="str">
        <f>IFERROR(__xludf.DUMMYFUNCTION("""COMPUTED_VALUE"""),"Millbrook Bldg. 4  ")</f>
        <v>Millbrook Bldg. 4  </v>
      </c>
      <c r="I19" s="65" t="str">
        <f>IFERROR(__xludf.DUMMYFUNCTION("""COMPUTED_VALUE"""),"302")</f>
        <v>302</v>
      </c>
      <c r="J19" s="108" t="str">
        <f>IFERROR(__xludf.DUMMYFUNCTION("""COMPUTED_VALUE"""),"09:00 AM to 11:00 AM  ")</f>
        <v>09:00 AM to 11:00 AM  </v>
      </c>
      <c r="K19" s="103">
        <f>IFERROR(__xludf.DUMMYFUNCTION("""COMPUTED_VALUE"""),45997.0)</f>
        <v>45997</v>
      </c>
      <c r="L19" s="65" t="str">
        <f>IFERROR(__xludf.DUMMYFUNCTION("""COMPUTED_VALUE""")," ")</f>
        <v> </v>
      </c>
      <c r="M19" s="65"/>
      <c r="N19" s="65"/>
    </row>
    <row r="20">
      <c r="A20" s="99" t="str">
        <f>IFERROR(__xludf.DUMMYFUNCTION("""COMPUTED_VALUE"""),"https://utrucking.com/admin/orders/6171806400700")</f>
        <v>https://utrucking.com/admin/orders/6171806400700</v>
      </c>
      <c r="B20" s="61" t="str">
        <f>IFERROR(__xludf.DUMMYFUNCTION("""COMPUTED_VALUE"""),"#16684")</f>
        <v>#16684</v>
      </c>
      <c r="C20" s="61" t="str">
        <f>IFERROR(__xludf.DUMMYFUNCTION("""COMPUTED_VALUE"""),"rebjb74@hotmail.com")</f>
        <v>rebjb74@hotmail.com</v>
      </c>
      <c r="D20" s="61">
        <f>IFERROR(__xludf.DUMMYFUNCTION("""COMPUTED_VALUE"""),6.463428128E9)</f>
        <v>6463428128</v>
      </c>
      <c r="E20" s="61" t="str">
        <f>IFERROR(__xludf.DUMMYFUNCTION("""COMPUTED_VALUE"""),"Rebecca Alkon")</f>
        <v>Rebecca Alkon</v>
      </c>
      <c r="F20" s="61" t="str">
        <f>IFERROR(__xludf.DUMMYFUNCTION("""COMPUTED_VALUE"""),"Jake alkon ")</f>
        <v>Jake alkon </v>
      </c>
      <c r="G20" s="61" t="str">
        <f>IFERROR(__xludf.DUMMYFUNCTION("""COMPUTED_VALUE""")," 1 [Included with Registration] / Included Insurance   - ")</f>
        <v> 1 [Included with Registration] / Included Insurance   - </v>
      </c>
      <c r="H20" s="61" t="str">
        <f>IFERROR(__xludf.DUMMYFUNCTION("""COMPUTED_VALUE"""),"Village East  ")</f>
        <v>Village East  </v>
      </c>
      <c r="I20" s="61" t="str">
        <f>IFERROR(__xludf.DUMMYFUNCTION("""COMPUTED_VALUE"""),"1084 A east village ")</f>
        <v>1084 A east village </v>
      </c>
      <c r="J20" s="107" t="str">
        <f>IFERROR(__xludf.DUMMYFUNCTION("""COMPUTED_VALUE"""),"09:00 AM to 11:00 AM  ")</f>
        <v>09:00 AM to 11:00 AM  </v>
      </c>
      <c r="K20" s="100">
        <f>IFERROR(__xludf.DUMMYFUNCTION("""COMPUTED_VALUE"""),46007.0)</f>
        <v>46007</v>
      </c>
      <c r="L20" s="61" t="str">
        <f>IFERROR(__xludf.DUMMYFUNCTION("""COMPUTED_VALUE""")," ")</f>
        <v> </v>
      </c>
      <c r="M20" s="61"/>
      <c r="N20" s="61"/>
    </row>
    <row r="21">
      <c r="A21" s="102" t="str">
        <f>IFERROR(__xludf.DUMMYFUNCTION("""COMPUTED_VALUE"""),"https://utrucking.com/admin/orders/6171882848444")</f>
        <v>https://utrucking.com/admin/orders/6171882848444</v>
      </c>
      <c r="B21" s="65" t="str">
        <f>IFERROR(__xludf.DUMMYFUNCTION("""COMPUTED_VALUE"""),"#16685")</f>
        <v>#16685</v>
      </c>
      <c r="C21" s="65" t="str">
        <f>IFERROR(__xludf.DUMMYFUNCTION("""COMPUTED_VALUE"""),"gjamie@wustl.edu")</f>
        <v>gjamie@wustl.edu</v>
      </c>
      <c r="D21" s="65">
        <f>IFERROR(__xludf.DUMMYFUNCTION("""COMPUTED_VALUE"""),8.186204788E9)</f>
        <v>8186204788</v>
      </c>
      <c r="E21" s="65" t="str">
        <f>IFERROR(__xludf.DUMMYFUNCTION("""COMPUTED_VALUE"""),"Jamie Greenberg")</f>
        <v>Jamie Greenberg</v>
      </c>
      <c r="F21" s="65" t="str">
        <f>IFERROR(__xludf.DUMMYFUNCTION("""COMPUTED_VALUE"""),"Jamie Greenberg")</f>
        <v>Jamie Greenberg</v>
      </c>
      <c r="G21" s="65" t="str">
        <f>IFERROR(__xludf.DUMMYFUNCTION("""COMPUTED_VALUE""")," 1 [Included with Registration] / Included Insurance   - ")</f>
        <v> 1 [Included with Registration] / Included Insurance   - </v>
      </c>
      <c r="H21" s="65" t="str">
        <f>IFERROR(__xludf.DUMMYFUNCTION("""COMPUTED_VALUE"""),"Loop Loft 6300  ")</f>
        <v>Loop Loft 6300  </v>
      </c>
      <c r="I21" s="65" t="str">
        <f>IFERROR(__xludf.DUMMYFUNCTION("""COMPUTED_VALUE"""),"404c")</f>
        <v>404c</v>
      </c>
      <c r="J21" s="108" t="str">
        <f>IFERROR(__xludf.DUMMYFUNCTION("""COMPUTED_VALUE"""),"10:00 AM to 12:00 PM  ")</f>
        <v>10:00 AM to 12:00 PM  </v>
      </c>
      <c r="K21" s="103">
        <f>IFERROR(__xludf.DUMMYFUNCTION("""COMPUTED_VALUE"""),46009.0)</f>
        <v>46009</v>
      </c>
      <c r="L21" s="65" t="str">
        <f>IFERROR(__xludf.DUMMYFUNCTION("""COMPUTED_VALUE""")," ")</f>
        <v> </v>
      </c>
      <c r="M21" s="65"/>
      <c r="N21" s="65"/>
    </row>
    <row r="22">
      <c r="A22" s="99" t="str">
        <f>IFERROR(__xludf.DUMMYFUNCTION("""COMPUTED_VALUE"""),"https://utrucking.com/admin/orders/6172223635644")</f>
        <v>https://utrucking.com/admin/orders/6172223635644</v>
      </c>
      <c r="B22" s="61" t="str">
        <f>IFERROR(__xludf.DUMMYFUNCTION("""COMPUTED_VALUE"""),"#16686")</f>
        <v>#16686</v>
      </c>
      <c r="C22" s="61" t="str">
        <f>IFERROR(__xludf.DUMMYFUNCTION("""COMPUTED_VALUE"""),"boyer.j.l@wustl.edu")</f>
        <v>boyer.j.l@wustl.edu</v>
      </c>
      <c r="D22" s="61">
        <f>IFERROR(__xludf.DUMMYFUNCTION("""COMPUTED_VALUE"""),6.508689006E9)</f>
        <v>6508689006</v>
      </c>
      <c r="E22" s="61" t="str">
        <f>IFERROR(__xludf.DUMMYFUNCTION("""COMPUTED_VALUE"""),"Laure Boyer")</f>
        <v>Laure Boyer</v>
      </c>
      <c r="F22" s="61" t="str">
        <f>IFERROR(__xludf.DUMMYFUNCTION("""COMPUTED_VALUE"""),"Julie Boyer")</f>
        <v>Julie Boyer</v>
      </c>
      <c r="G22" s="61" t="str">
        <f>IFERROR(__xludf.DUMMYFUNCTION("""COMPUTED_VALUE""")," 1 [Included with Registration] / Included Insurance   - ")</f>
        <v> 1 [Included with Registration] / Included Insurance   - </v>
      </c>
      <c r="H22" s="61" t="str">
        <f>IFERROR(__xludf.DUMMYFUNCTION("""COMPUTED_VALUE"""),"Loop Loft 6255  ")</f>
        <v>Loop Loft 6255  </v>
      </c>
      <c r="I22" s="61" t="str">
        <f>IFERROR(__xludf.DUMMYFUNCTION("""COMPUTED_VALUE"""),"210A")</f>
        <v>210A</v>
      </c>
      <c r="J22" s="107" t="str">
        <f>IFERROR(__xludf.DUMMYFUNCTION("""COMPUTED_VALUE"""),"03:00 PM to 05:00 PM")</f>
        <v>03:00 PM to 05:00 PM</v>
      </c>
      <c r="K22" s="100">
        <f>IFERROR(__xludf.DUMMYFUNCTION("""COMPUTED_VALUE"""),46003.0)</f>
        <v>46003</v>
      </c>
      <c r="L22" s="61" t="str">
        <f>IFERROR(__xludf.DUMMYFUNCTION("""COMPUTED_VALUE""")," ")</f>
        <v> </v>
      </c>
      <c r="M22" s="61"/>
      <c r="N22" s="61"/>
    </row>
    <row r="23">
      <c r="A23" s="102" t="str">
        <f>IFERROR(__xludf.DUMMYFUNCTION("""COMPUTED_VALUE"""),"https://utrucking.com/admin/orders/6173728407740")</f>
        <v>https://utrucking.com/admin/orders/6173728407740</v>
      </c>
      <c r="B23" s="65" t="str">
        <f>IFERROR(__xludf.DUMMYFUNCTION("""COMPUTED_VALUE"""),"#16689")</f>
        <v>#16689</v>
      </c>
      <c r="C23" s="65" t="str">
        <f>IFERROR(__xludf.DUMMYFUNCTION("""COMPUTED_VALUE"""),"cyoonjk@gmail.com")</f>
        <v>cyoonjk@gmail.com</v>
      </c>
      <c r="D23" s="65">
        <f>IFERROR(__xludf.DUMMYFUNCTION("""COMPUTED_VALUE"""),3.106143925E9)</f>
        <v>3106143925</v>
      </c>
      <c r="E23" s="65" t="str">
        <f>IFERROR(__xludf.DUMMYFUNCTION("""COMPUTED_VALUE"""),"kara yoon")</f>
        <v>kara yoon</v>
      </c>
      <c r="F23" s="65" t="str">
        <f>IFERROR(__xludf.DUMMYFUNCTION("""COMPUTED_VALUE"""),"kara yoon")</f>
        <v>kara yoon</v>
      </c>
      <c r="G23" s="65" t="str">
        <f>IFERROR(__xludf.DUMMYFUNCTION("""COMPUTED_VALUE""")," 1 [Included with Registration] / Included Insurance   - ")</f>
        <v> 1 [Included with Registration] / Included Insurance   - </v>
      </c>
      <c r="H23" s="65" t="str">
        <f>IFERROR(__xludf.DUMMYFUNCTION("""COMPUTED_VALUE"""),"Millbrook Bldg. 1  ")</f>
        <v>Millbrook Bldg. 1  </v>
      </c>
      <c r="I23" s="65" t="str">
        <f>IFERROR(__xludf.DUMMYFUNCTION("""COMPUTED_VALUE"""),"203")</f>
        <v>203</v>
      </c>
      <c r="J23" s="108" t="str">
        <f>IFERROR(__xludf.DUMMYFUNCTION("""COMPUTED_VALUE"""),"12:00 PM to 02:00 PM  ")</f>
        <v>12:00 PM to 02:00 PM  </v>
      </c>
      <c r="K23" s="103">
        <f>IFERROR(__xludf.DUMMYFUNCTION("""COMPUTED_VALUE"""),46006.0)</f>
        <v>46006</v>
      </c>
      <c r="L23" s="65" t="str">
        <f>IFERROR(__xludf.DUMMYFUNCTION("""COMPUTED_VALUE""")," ")</f>
        <v> </v>
      </c>
      <c r="M23" s="65"/>
      <c r="N23" s="65"/>
    </row>
    <row r="24">
      <c r="A24" s="99" t="str">
        <f>IFERROR(__xludf.DUMMYFUNCTION("""COMPUTED_VALUE"""),"https://utrucking.com/admin/orders/6178377957564")</f>
        <v>https://utrucking.com/admin/orders/6178377957564</v>
      </c>
      <c r="B24" s="61" t="str">
        <f>IFERROR(__xludf.DUMMYFUNCTION("""COMPUTED_VALUE"""),"#16692")</f>
        <v>#16692</v>
      </c>
      <c r="C24" s="61" t="str">
        <f>IFERROR(__xludf.DUMMYFUNCTION("""COMPUTED_VALUE"""),"c.j.schwab@wustl.edu")</f>
        <v>c.j.schwab@wustl.edu</v>
      </c>
      <c r="D24" s="61">
        <f>IFERROR(__xludf.DUMMYFUNCTION("""COMPUTED_VALUE"""),3.10729396E9)</f>
        <v>3107293960</v>
      </c>
      <c r="E24" s="61" t="str">
        <f>IFERROR(__xludf.DUMMYFUNCTION("""COMPUTED_VALUE"""),"Camille Schwab")</f>
        <v>Camille Schwab</v>
      </c>
      <c r="F24" s="61" t="str">
        <f>IFERROR(__xludf.DUMMYFUNCTION("""COMPUTED_VALUE"""),"Camille Schwab")</f>
        <v>Camille Schwab</v>
      </c>
      <c r="G24" s="61" t="str">
        <f>IFERROR(__xludf.DUMMYFUNCTION("""COMPUTED_VALUE""")," 1 [Included with Registration] / Included Insurance   - ")</f>
        <v> 1 [Included with Registration] / Included Insurance   - </v>
      </c>
      <c r="H24" s="61" t="str">
        <f>IFERROR(__xludf.DUMMYFUNCTION("""COMPUTED_VALUE"""),"Loop Loft 6300  ")</f>
        <v>Loop Loft 6300  </v>
      </c>
      <c r="I24" s="61" t="str">
        <f>IFERROR(__xludf.DUMMYFUNCTION("""COMPUTED_VALUE"""),"213B")</f>
        <v>213B</v>
      </c>
      <c r="J24" s="107" t="str">
        <f>IFERROR(__xludf.DUMMYFUNCTION("""COMPUTED_VALUE"""),"09:00 AM to 11:00 AM  ")</f>
        <v>09:00 AM to 11:00 AM  </v>
      </c>
      <c r="K24" s="100">
        <f>IFERROR(__xludf.DUMMYFUNCTION("""COMPUTED_VALUE"""),46008.0)</f>
        <v>46008</v>
      </c>
      <c r="L24" s="61" t="str">
        <f>IFERROR(__xludf.DUMMYFUNCTION("""COMPUTED_VALUE""")," ")</f>
        <v> </v>
      </c>
      <c r="M24" s="61"/>
      <c r="N24" s="61"/>
    </row>
    <row r="25">
      <c r="A25" s="102" t="str">
        <f>IFERROR(__xludf.DUMMYFUNCTION("""COMPUTED_VALUE"""),"https://utrucking.com/admin/orders/6180185407676")</f>
        <v>https://utrucking.com/admin/orders/6180185407676</v>
      </c>
      <c r="B25" s="65" t="str">
        <f>IFERROR(__xludf.DUMMYFUNCTION("""COMPUTED_VALUE"""),"#16694")</f>
        <v>#16694</v>
      </c>
      <c r="C25" s="65" t="str">
        <f>IFERROR(__xludf.DUMMYFUNCTION("""COMPUTED_VALUE"""),"sarah.m.suleman@gmail.com")</f>
        <v>sarah.m.suleman@gmail.com</v>
      </c>
      <c r="D25" s="65">
        <f>IFERROR(__xludf.DUMMYFUNCTION("""COMPUTED_VALUE"""),6.464042721E9)</f>
        <v>6464042721</v>
      </c>
      <c r="E25" s="65" t="str">
        <f>IFERROR(__xludf.DUMMYFUNCTION("""COMPUTED_VALUE"""),"Sarah Suleman")</f>
        <v>Sarah Suleman</v>
      </c>
      <c r="F25" s="65" t="str">
        <f>IFERROR(__xludf.DUMMYFUNCTION("""COMPUTED_VALUE"""),"Myra Malik")</f>
        <v>Myra Malik</v>
      </c>
      <c r="G25" s="65" t="str">
        <f>IFERROR(__xludf.DUMMYFUNCTION("""COMPUTED_VALUE""")," 1 [Included with Registration] / Included Insurance   - ")</f>
        <v> 1 [Included with Registration] / Included Insurance   - </v>
      </c>
      <c r="H25" s="65" t="str">
        <f>IFERROR(__xludf.DUMMYFUNCTION("""COMPUTED_VALUE"""),"Loop Loft 6263  ")</f>
        <v>Loop Loft 6263  </v>
      </c>
      <c r="I25" s="65" t="str">
        <f>IFERROR(__xludf.DUMMYFUNCTION("""COMPUTED_VALUE"""),"209C")</f>
        <v>209C</v>
      </c>
      <c r="J25" s="108" t="str">
        <f>IFERROR(__xludf.DUMMYFUNCTION("""COMPUTED_VALUE"""),"11:00 AM to 01:00 PM  ")</f>
        <v>11:00 AM to 01:00 PM  </v>
      </c>
      <c r="K25" s="103">
        <f>IFERROR(__xludf.DUMMYFUNCTION("""COMPUTED_VALUE"""),46007.0)</f>
        <v>46007</v>
      </c>
      <c r="L25" s="65" t="str">
        <f>IFERROR(__xludf.DUMMYFUNCTION("""COMPUTED_VALUE""")," ")</f>
        <v> </v>
      </c>
      <c r="M25" s="65"/>
      <c r="N25" s="65"/>
    </row>
    <row r="26">
      <c r="A26" s="99" t="str">
        <f>IFERROR(__xludf.DUMMYFUNCTION("""COMPUTED_VALUE"""),"https://utrucking.com/admin/orders/6180202610876")</f>
        <v>https://utrucking.com/admin/orders/6180202610876</v>
      </c>
      <c r="B26" s="61" t="str">
        <f>IFERROR(__xludf.DUMMYFUNCTION("""COMPUTED_VALUE"""),"#16695")</f>
        <v>#16695</v>
      </c>
      <c r="C26" s="61" t="str">
        <f>IFERROR(__xludf.DUMMYFUNCTION("""COMPUTED_VALUE"""),"e.l.weiss@wustl.edu")</f>
        <v>e.l.weiss@wustl.edu</v>
      </c>
      <c r="D26" s="61" t="str">
        <f>IFERROR(__xludf.DUMMYFUNCTION("""COMPUTED_VALUE"""),"(310) 429-1277")</f>
        <v>(310) 429-1277</v>
      </c>
      <c r="E26" s="61" t="str">
        <f>IFERROR(__xludf.DUMMYFUNCTION("""COMPUTED_VALUE"""),"Julie Weiss")</f>
        <v>Julie Weiss</v>
      </c>
      <c r="F26" s="61" t="str">
        <f>IFERROR(__xludf.DUMMYFUNCTION("""COMPUTED_VALUE"""),"Ella Weiss ")</f>
        <v>Ella Weiss </v>
      </c>
      <c r="G26" s="61" t="str">
        <f>IFERROR(__xludf.DUMMYFUNCTION("""COMPUTED_VALUE""")," 1 [Included with Registration] / Included Insurance   - ")</f>
        <v> 1 [Included with Registration] / Included Insurance   - </v>
      </c>
      <c r="H26" s="61" t="str">
        <f>IFERROR(__xludf.DUMMYFUNCTION("""COMPUTED_VALUE"""),"Millbrook Bldg. 1  ")</f>
        <v>Millbrook Bldg. 1  </v>
      </c>
      <c r="I26" s="61" t="str">
        <f>IFERROR(__xludf.DUMMYFUNCTION("""COMPUTED_VALUE"""),"203B")</f>
        <v>203B</v>
      </c>
      <c r="J26" s="107" t="str">
        <f>IFERROR(__xludf.DUMMYFUNCTION("""COMPUTED_VALUE"""),"09:00 AM to 11:00 AM  ")</f>
        <v>09:00 AM to 11:00 AM  </v>
      </c>
      <c r="K26" s="100">
        <f>IFERROR(__xludf.DUMMYFUNCTION("""COMPUTED_VALUE"""),46009.0)</f>
        <v>46009</v>
      </c>
      <c r="L26" s="61" t="str">
        <f>IFERROR(__xludf.DUMMYFUNCTION("""COMPUTED_VALUE""")," ")</f>
        <v> </v>
      </c>
      <c r="M26" s="61"/>
      <c r="N26" s="61"/>
    </row>
    <row r="27">
      <c r="A27" s="102" t="str">
        <f>IFERROR(__xludf.DUMMYFUNCTION("""COMPUTED_VALUE"""),"https://utrucking.com/admin/orders/6186025353404")</f>
        <v>https://utrucking.com/admin/orders/6186025353404</v>
      </c>
      <c r="B27" s="65" t="str">
        <f>IFERROR(__xludf.DUMMYFUNCTION("""COMPUTED_VALUE"""),"#16704")</f>
        <v>#16704</v>
      </c>
      <c r="C27" s="65"/>
      <c r="D27" s="65">
        <f>IFERROR(__xludf.DUMMYFUNCTION("""COMPUTED_VALUE"""),5.713408186E9)</f>
        <v>5713408186</v>
      </c>
      <c r="E27" s="65" t="str">
        <f>IFERROR(__xludf.DUMMYFUNCTION("""COMPUTED_VALUE"""),"Isaac Fenster")</f>
        <v>Isaac Fenster</v>
      </c>
      <c r="F27" s="65" t="str">
        <f>IFERROR(__xludf.DUMMYFUNCTION("""COMPUTED_VALUE"""),"Isaac Fenster")</f>
        <v>Isaac Fenster</v>
      </c>
      <c r="G27" s="65" t="str">
        <f>IFERROR(__xludf.DUMMYFUNCTION("""COMPUTED_VALUE""")," 1 [Included with Registration] / Included Insurance   - ")</f>
        <v> 1 [Included with Registration] / Included Insurance   - </v>
      </c>
      <c r="H27" s="65" t="str">
        <f>IFERROR(__xludf.DUMMYFUNCTION("""COMPUTED_VALUE"""),"Loop Loft 6255  ")</f>
        <v>Loop Loft 6255  </v>
      </c>
      <c r="I27" s="65" t="str">
        <f>IFERROR(__xludf.DUMMYFUNCTION("""COMPUTED_VALUE"""),"413b")</f>
        <v>413b</v>
      </c>
      <c r="J27" s="108" t="str">
        <f>IFERROR(__xludf.DUMMYFUNCTION("""COMPUTED_VALUE"""),"09:00 AM to 11:00 AM  ")</f>
        <v>09:00 AM to 11:00 AM  </v>
      </c>
      <c r="K27" s="103">
        <f>IFERROR(__xludf.DUMMYFUNCTION("""COMPUTED_VALUE"""),46008.0)</f>
        <v>46008</v>
      </c>
      <c r="L27" s="65" t="str">
        <f>IFERROR(__xludf.DUMMYFUNCTION("""COMPUTED_VALUE""")," ")</f>
        <v> </v>
      </c>
      <c r="M27" s="65"/>
      <c r="N27" s="65"/>
    </row>
    <row r="28">
      <c r="A28" s="99" t="str">
        <f>IFERROR(__xludf.DUMMYFUNCTION("""COMPUTED_VALUE"""),"https://utrucking.com/admin/orders/6187090739388")</f>
        <v>https://utrucking.com/admin/orders/6187090739388</v>
      </c>
      <c r="B28" s="61" t="str">
        <f>IFERROR(__xludf.DUMMYFUNCTION("""COMPUTED_VALUE"""),"#16705")</f>
        <v>#16705</v>
      </c>
      <c r="C28" s="61" t="str">
        <f>IFERROR(__xludf.DUMMYFUNCTION("""COMPUTED_VALUE"""),"aschlanger42@gmail.com")</f>
        <v>aschlanger42@gmail.com</v>
      </c>
      <c r="D28" s="61">
        <f>IFERROR(__xludf.DUMMYFUNCTION("""COMPUTED_VALUE"""),9.179747536E9)</f>
        <v>9179747536</v>
      </c>
      <c r="E28" s="61" t="str">
        <f>IFERROR(__xludf.DUMMYFUNCTION("""COMPUTED_VALUE"""),"Ari Schlanger")</f>
        <v>Ari Schlanger</v>
      </c>
      <c r="F28" s="61" t="str">
        <f>IFERROR(__xludf.DUMMYFUNCTION("""COMPUTED_VALUE"""),"Ari Schlanger")</f>
        <v>Ari Schlanger</v>
      </c>
      <c r="G28" s="61" t="str">
        <f>IFERROR(__xludf.DUMMYFUNCTION("""COMPUTED_VALUE""")," 1 [Included with Registration] / Included Insurance   - ")</f>
        <v> 1 [Included with Registration] / Included Insurance   - </v>
      </c>
      <c r="H28" s="61"/>
      <c r="I28" s="61"/>
      <c r="J28" s="107" t="str">
        <f>IFERROR(__xludf.DUMMYFUNCTION("""COMPUTED_VALUE"""),"09:00 AM to 11:00 AM  ")</f>
        <v>09:00 AM to 11:00 AM  </v>
      </c>
      <c r="K28" s="100">
        <f>IFERROR(__xludf.DUMMYFUNCTION("""COMPUTED_VALUE"""),46007.0)</f>
        <v>46007</v>
      </c>
      <c r="L28" s="61" t="str">
        <f>IFERROR(__xludf.DUMMYFUNCTION("""COMPUTED_VALUE""")," ")</f>
        <v> </v>
      </c>
      <c r="M28" s="61"/>
      <c r="N28" s="61" t="str">
        <f>IFERROR(__xludf.DUMMYFUNCTION("""COMPUTED_VALUE"""),"6643 Kingsbury Blvd")</f>
        <v>6643 Kingsbury Blvd</v>
      </c>
    </row>
    <row r="29">
      <c r="A29" s="102" t="str">
        <f>IFERROR(__xludf.DUMMYFUNCTION("""COMPUTED_VALUE"""),"https://utrucking.com/admin/orders/6188259475644")</f>
        <v>https://utrucking.com/admin/orders/6188259475644</v>
      </c>
      <c r="B29" s="65" t="str">
        <f>IFERROR(__xludf.DUMMYFUNCTION("""COMPUTED_VALUE"""),"#16707")</f>
        <v>#16707</v>
      </c>
      <c r="C29" s="65" t="str">
        <f>IFERROR(__xludf.DUMMYFUNCTION("""COMPUTED_VALUE"""),"joshwiniarsky100@gmail.com")</f>
        <v>joshwiniarsky100@gmail.com</v>
      </c>
      <c r="D29" s="65">
        <f>IFERROR(__xludf.DUMMYFUNCTION("""COMPUTED_VALUE"""),5.166682454E9)</f>
        <v>5166682454</v>
      </c>
      <c r="E29" s="65" t="str">
        <f>IFERROR(__xludf.DUMMYFUNCTION("""COMPUTED_VALUE"""),"Raz Winiarski")</f>
        <v>Raz Winiarski</v>
      </c>
      <c r="F29" s="65" t="str">
        <f>IFERROR(__xludf.DUMMYFUNCTION("""COMPUTED_VALUE"""),"Joshua Winiarsky")</f>
        <v>Joshua Winiarsky</v>
      </c>
      <c r="G29" s="65" t="str">
        <f>IFERROR(__xludf.DUMMYFUNCTION("""COMPUTED_VALUE""")," 1 [Included with Registration] / Included Insurance   - ")</f>
        <v> 1 [Included with Registration] / Included Insurance   - </v>
      </c>
      <c r="H29" s="65" t="str">
        <f>IFERROR(__xludf.DUMMYFUNCTION("""COMPUTED_VALUE"""),"Loop Loft 6300  ")</f>
        <v>Loop Loft 6300  </v>
      </c>
      <c r="I29" s="65" t="str">
        <f>IFERROR(__xludf.DUMMYFUNCTION("""COMPUTED_VALUE"""),"301C")</f>
        <v>301C</v>
      </c>
      <c r="J29" s="108" t="str">
        <f>IFERROR(__xludf.DUMMYFUNCTION("""COMPUTED_VALUE"""),"01:00 PM to 03:00 PM  ")</f>
        <v>01:00 PM to 03:00 PM  </v>
      </c>
      <c r="K29" s="103">
        <f>IFERROR(__xludf.DUMMYFUNCTION("""COMPUTED_VALUE"""),46008.0)</f>
        <v>46008</v>
      </c>
      <c r="L29" s="65" t="str">
        <f>IFERROR(__xludf.DUMMYFUNCTION("""COMPUTED_VALUE""")," ")</f>
        <v> </v>
      </c>
      <c r="M29" s="65"/>
      <c r="N29" s="65"/>
    </row>
    <row r="30">
      <c r="A30" s="99" t="str">
        <f>IFERROR(__xludf.DUMMYFUNCTION("""COMPUTED_VALUE"""),"https://utrucking.com/admin/orders/6398298095804")</f>
        <v>https://utrucking.com/admin/orders/6398298095804</v>
      </c>
      <c r="B30" s="61" t="str">
        <f>IFERROR(__xludf.DUMMYFUNCTION("""COMPUTED_VALUE"""),"#17256")</f>
        <v>#17256</v>
      </c>
      <c r="C30" s="61"/>
      <c r="D30" s="61">
        <f>IFERROR(__xludf.DUMMYFUNCTION("""COMPUTED_VALUE"""),2.022765494E9)</f>
        <v>2022765494</v>
      </c>
      <c r="E30" s="61" t="str">
        <f>IFERROR(__xludf.DUMMYFUNCTION("""COMPUTED_VALUE"""),"Nathaniel Arundel")</f>
        <v>Nathaniel Arundel</v>
      </c>
      <c r="F30" s="61" t="str">
        <f>IFERROR(__xludf.DUMMYFUNCTION("""COMPUTED_VALUE"""),"Nathaniel Arundel")</f>
        <v>Nathaniel Arundel</v>
      </c>
      <c r="G30" s="61" t="str">
        <f>IFERROR(__xludf.DUMMYFUNCTION("""COMPUTED_VALUE""")," 1 [Included with Registration] / Included Insurance   - ")</f>
        <v> 1 [Included with Registration] / Included Insurance   - </v>
      </c>
      <c r="H30" s="61" t="str">
        <f>IFERROR(__xludf.DUMMYFUNCTION("""COMPUTED_VALUE"""),"Millbrook Bldg. 4  ")</f>
        <v>Millbrook Bldg. 4  </v>
      </c>
      <c r="I30" s="61" t="str">
        <f>IFERROR(__xludf.DUMMYFUNCTION("""COMPUTED_VALUE"""),"203-B")</f>
        <v>203-B</v>
      </c>
      <c r="J30" s="107" t="str">
        <f>IFERROR(__xludf.DUMMYFUNCTION("""COMPUTED_VALUE"""),"09:00 AM to 11:00 AM  ")</f>
        <v>09:00 AM to 11:00 AM  </v>
      </c>
      <c r="K30" s="100">
        <f>IFERROR(__xludf.DUMMYFUNCTION("""COMPUTED_VALUE"""),46147.0)</f>
        <v>46147</v>
      </c>
      <c r="L30" s="61" t="str">
        <f>IFERROR(__xludf.DUMMYFUNCTION("""COMPUTED_VALUE""")," ")</f>
        <v> </v>
      </c>
      <c r="M30" s="61"/>
      <c r="N30" s="61"/>
    </row>
    <row r="31">
      <c r="A31" s="102" t="str">
        <f>IFERROR(__xludf.DUMMYFUNCTION("""COMPUTED_VALUE"""),"https://utrucking.com/admin/orders/6403204350140")</f>
        <v>https://utrucking.com/admin/orders/6403204350140</v>
      </c>
      <c r="B31" s="65" t="str">
        <f>IFERROR(__xludf.DUMMYFUNCTION("""COMPUTED_VALUE"""),"#17294")</f>
        <v>#17294</v>
      </c>
      <c r="C31" s="65" t="str">
        <f>IFERROR(__xludf.DUMMYFUNCTION("""COMPUTED_VALUE"""),"paigeqian2@gmail.com")</f>
        <v>paigeqian2@gmail.com</v>
      </c>
      <c r="D31" s="65">
        <f>IFERROR(__xludf.DUMMYFUNCTION("""COMPUTED_VALUE"""),7.302268851E9)</f>
        <v>7302268851</v>
      </c>
      <c r="E31" s="65" t="str">
        <f>IFERROR(__xludf.DUMMYFUNCTION("""COMPUTED_VALUE"""),"paige Qian")</f>
        <v>paige Qian</v>
      </c>
      <c r="F31" s="65" t="str">
        <f>IFERROR(__xludf.DUMMYFUNCTION("""COMPUTED_VALUE"""),"Peiyu")</f>
        <v>Peiyu</v>
      </c>
      <c r="G31" s="65" t="str">
        <f>IFERROR(__xludf.DUMMYFUNCTION("""COMPUTED_VALUE""")," 1 [Included with Registration] / Included Insurance   - ")</f>
        <v> 1 [Included with Registration] / Included Insurance   - </v>
      </c>
      <c r="H31" s="65"/>
      <c r="I31" s="65"/>
      <c r="J31" s="108" t="str">
        <f>IFERROR(__xludf.DUMMYFUNCTION("""COMPUTED_VALUE"""),"09:00 AM to 11:00 AM  ")</f>
        <v>09:00 AM to 11:00 AM  </v>
      </c>
      <c r="K31" s="103">
        <f>IFERROR(__xludf.DUMMYFUNCTION("""COMPUTED_VALUE"""),46139.0)</f>
        <v>46139</v>
      </c>
      <c r="L31" s="65" t="str">
        <f>IFERROR(__xludf.DUMMYFUNCTION("""COMPUTED_VALUE""")," ")</f>
        <v> </v>
      </c>
      <c r="M31" s="65" t="str">
        <f>IFERROR(__xludf.DUMMYFUNCTION("""COMPUTED_VALUE"""),"212 S Meramec Ave Apt 2406, Clayton, MO 63105")</f>
        <v>212 S Meramec Ave Apt 2406, Clayton, MO 63105</v>
      </c>
      <c r="N31" s="65" t="str">
        <f>IFERROR(__xludf.DUMMYFUNCTION("""COMPUTED_VALUE"""),"212 S Meramec Ave Apt 2406, Clayton, MO 63105")</f>
        <v>212 S Meramec Ave Apt 2406, Clayton, MO 63105</v>
      </c>
    </row>
    <row r="32">
      <c r="A32" s="99" t="str">
        <f>IFERROR(__xludf.DUMMYFUNCTION("""COMPUTED_VALUE"""),"https://utrucking.com/admin/orders/6444179914940")</f>
        <v>https://utrucking.com/admin/orders/6444179914940</v>
      </c>
      <c r="B32" s="61" t="str">
        <f>IFERROR(__xludf.DUMMYFUNCTION("""COMPUTED_VALUE"""),"#17773")</f>
        <v>#17773</v>
      </c>
      <c r="C32" s="61" t="str">
        <f>IFERROR(__xludf.DUMMYFUNCTION("""COMPUTED_VALUE"""),"c.taina@wustl.edu")</f>
        <v>c.taina@wustl.edu</v>
      </c>
      <c r="D32" s="61">
        <f>IFERROR(__xludf.DUMMYFUNCTION("""COMPUTED_VALUE"""),3.473025156E9)</f>
        <v>3473025156</v>
      </c>
      <c r="E32" s="61" t="str">
        <f>IFERROR(__xludf.DUMMYFUNCTION("""COMPUTED_VALUE"""),"Taina Cepeda")</f>
        <v>Taina Cepeda</v>
      </c>
      <c r="F32" s="61" t="str">
        <f>IFERROR(__xludf.DUMMYFUNCTION("""COMPUTED_VALUE"""),"Taina Cepeda")</f>
        <v>Taina Cepeda</v>
      </c>
      <c r="G32" s="61" t="str">
        <f>IFERROR(__xludf.DUMMYFUNCTION("""COMPUTED_VALUE""")," 1 [Included with Registration] / Included Insurance   - ")</f>
        <v> 1 [Included with Registration] / Included Insurance   - </v>
      </c>
      <c r="H32" s="61" t="str">
        <f>IFERROR(__xludf.DUMMYFUNCTION("""COMPUTED_VALUE"""),"Nemerov  ")</f>
        <v>Nemerov  </v>
      </c>
      <c r="I32" s="61" t="str">
        <f>IFERROR(__xludf.DUMMYFUNCTION("""COMPUTED_VALUE"""),"3041")</f>
        <v>3041</v>
      </c>
      <c r="J32" s="107" t="str">
        <f>IFERROR(__xludf.DUMMYFUNCTION("""COMPUTED_VALUE"""),"09:00 AM to 11:00 AM  ")</f>
        <v>09:00 AM to 11:00 AM  </v>
      </c>
      <c r="K32" s="100">
        <f>IFERROR(__xludf.DUMMYFUNCTION("""COMPUTED_VALUE"""),46147.0)</f>
        <v>46147</v>
      </c>
      <c r="L32" s="61" t="str">
        <f>IFERROR(__xludf.DUMMYFUNCTION("""COMPUTED_VALUE""")," ")</f>
        <v> </v>
      </c>
      <c r="M32" s="61" t="str">
        <f>IFERROR(__xludf.DUMMYFUNCTION("""COMPUTED_VALUE""")," ")</f>
        <v> </v>
      </c>
      <c r="N32" s="61"/>
    </row>
    <row r="33">
      <c r="A33" s="102" t="str">
        <f>IFERROR(__xludf.DUMMYFUNCTION("""COMPUTED_VALUE"""),"https://utrucking.com/admin/orders/6446488518844")</f>
        <v>https://utrucking.com/admin/orders/6446488518844</v>
      </c>
      <c r="B33" s="65" t="str">
        <f>IFERROR(__xludf.DUMMYFUNCTION("""COMPUTED_VALUE"""),"#17900")</f>
        <v>#17900</v>
      </c>
      <c r="C33" s="65" t="str">
        <f>IFERROR(__xludf.DUMMYFUNCTION("""COMPUTED_VALUE"""),"e.j.skolnick@wustl.edu")</f>
        <v>e.j.skolnick@wustl.edu</v>
      </c>
      <c r="D33" s="65">
        <f>IFERROR(__xludf.DUMMYFUNCTION("""COMPUTED_VALUE"""),5.028885987E9)</f>
        <v>5028885987</v>
      </c>
      <c r="E33" s="65" t="str">
        <f>IFERROR(__xludf.DUMMYFUNCTION("""COMPUTED_VALUE"""),"Ethan Skolnick")</f>
        <v>Ethan Skolnick</v>
      </c>
      <c r="F33" s="65" t="str">
        <f>IFERROR(__xludf.DUMMYFUNCTION("""COMPUTED_VALUE"""),"Ethan Skolnick")</f>
        <v>Ethan Skolnick</v>
      </c>
      <c r="G33" s="65" t="str">
        <f>IFERROR(__xludf.DUMMYFUNCTION("""COMPUTED_VALUE""")," 1 [Included with Registration] / Included Insurance   - ")</f>
        <v> 1 [Included with Registration] / Included Insurance   - </v>
      </c>
      <c r="H33" s="65" t="str">
        <f>IFERROR(__xludf.DUMMYFUNCTION("""COMPUTED_VALUE"""),"Zetcher  ")</f>
        <v>Zetcher  </v>
      </c>
      <c r="I33" s="65" t="str">
        <f>IFERROR(__xludf.DUMMYFUNCTION("""COMPUTED_VALUE"""),"3042")</f>
        <v>3042</v>
      </c>
      <c r="J33" s="108" t="str">
        <f>IFERROR(__xludf.DUMMYFUNCTION("""COMPUTED_VALUE"""),"10:00 AM to 12:00 PM  ")</f>
        <v>10:00 AM to 12:00 PM  </v>
      </c>
      <c r="K33" s="103">
        <f>IFERROR(__xludf.DUMMYFUNCTION("""COMPUTED_VALUE"""),46149.0)</f>
        <v>46149</v>
      </c>
      <c r="L33" s="65" t="str">
        <f>IFERROR(__xludf.DUMMYFUNCTION("""COMPUTED_VALUE""")," ")</f>
        <v> </v>
      </c>
      <c r="M33" s="65" t="str">
        <f>IFERROR(__xludf.DUMMYFUNCTION("""COMPUTED_VALUE""")," ")</f>
        <v> </v>
      </c>
      <c r="N33" s="65"/>
    </row>
    <row r="34">
      <c r="A34" s="99" t="str">
        <f>IFERROR(__xludf.DUMMYFUNCTION("""COMPUTED_VALUE"""),"https://utrucking.com/admin/orders/6448253206716")</f>
        <v>https://utrucking.com/admin/orders/6448253206716</v>
      </c>
      <c r="B34" s="61" t="str">
        <f>IFERROR(__xludf.DUMMYFUNCTION("""COMPUTED_VALUE"""),"#18028")</f>
        <v>#18028</v>
      </c>
      <c r="C34" s="61" t="str">
        <f>IFERROR(__xludf.DUMMYFUNCTION("""COMPUTED_VALUE"""),"daya13villa@gmail.com")</f>
        <v>daya13villa@gmail.com</v>
      </c>
      <c r="D34" s="61">
        <f>IFERROR(__xludf.DUMMYFUNCTION("""COMPUTED_VALUE"""),7.13367085E9)</f>
        <v>7133670850</v>
      </c>
      <c r="E34" s="61" t="str">
        <f>IFERROR(__xludf.DUMMYFUNCTION("""COMPUTED_VALUE"""),"Dayana Villasano")</f>
        <v>Dayana Villasano</v>
      </c>
      <c r="F34" s="61" t="str">
        <f>IFERROR(__xludf.DUMMYFUNCTION("""COMPUTED_VALUE"""),"Dayana Villasano")</f>
        <v>Dayana Villasano</v>
      </c>
      <c r="G34" s="61" t="str">
        <f>IFERROR(__xludf.DUMMYFUNCTION("""COMPUTED_VALUE""")," 1 [Included with Registration] / Included Insurance   - ")</f>
        <v> 1 [Included with Registration] / Included Insurance   - </v>
      </c>
      <c r="H34" s="61" t="str">
        <f>IFERROR(__xludf.DUMMYFUNCTION("""COMPUTED_VALUE"""),"Loop Loft 6255  ")</f>
        <v>Loop Loft 6255  </v>
      </c>
      <c r="I34" s="61" t="str">
        <f>IFERROR(__xludf.DUMMYFUNCTION("""COMPUTED_VALUE"""),"211")</f>
        <v>211</v>
      </c>
      <c r="J34" s="107" t="str">
        <f>IFERROR(__xludf.DUMMYFUNCTION("""COMPUTED_VALUE"""),"09:00 AM to 11:00 AM  ")</f>
        <v>09:00 AM to 11:00 AM  </v>
      </c>
      <c r="K34" s="100">
        <f>IFERROR(__xludf.DUMMYFUNCTION("""COMPUTED_VALUE"""),46146.0)</f>
        <v>46146</v>
      </c>
      <c r="L34" s="61" t="str">
        <f>IFERROR(__xludf.DUMMYFUNCTION("""COMPUTED_VALUE""")," ")</f>
        <v> </v>
      </c>
      <c r="M34" s="61" t="str">
        <f>IFERROR(__xludf.DUMMYFUNCTION("""COMPUTED_VALUE""")," ")</f>
        <v> </v>
      </c>
      <c r="N34" s="61"/>
    </row>
    <row r="35">
      <c r="A35" s="102" t="str">
        <f>IFERROR(__xludf.DUMMYFUNCTION("""COMPUTED_VALUE"""),"https://utrucking.com/admin/orders/6449340743868")</f>
        <v>https://utrucking.com/admin/orders/6449340743868</v>
      </c>
      <c r="B35" s="65" t="str">
        <f>IFERROR(__xludf.DUMMYFUNCTION("""COMPUTED_VALUE"""),"#18071")</f>
        <v>#18071</v>
      </c>
      <c r="C35" s="65" t="str">
        <f>IFERROR(__xludf.DUMMYFUNCTION("""COMPUTED_VALUE"""),"h.sylver@wustl.edu")</f>
        <v>h.sylver@wustl.edu</v>
      </c>
      <c r="D35" s="65">
        <f>IFERROR(__xludf.DUMMYFUNCTION("""COMPUTED_VALUE"""),2.532133537E9)</f>
        <v>2532133537</v>
      </c>
      <c r="E35" s="65" t="str">
        <f>IFERROR(__xludf.DUMMYFUNCTION("""COMPUTED_VALUE"""),"Sylver Hart")</f>
        <v>Sylver Hart</v>
      </c>
      <c r="F35" s="65" t="str">
        <f>IFERROR(__xludf.DUMMYFUNCTION("""COMPUTED_VALUE"""),"Sylver Hart ")</f>
        <v>Sylver Hart </v>
      </c>
      <c r="G35" s="65" t="str">
        <f>IFERROR(__xludf.DUMMYFUNCTION("""COMPUTED_VALUE""")," 1 [Included with Registration] / Included Insurance   - ")</f>
        <v> 1 [Included with Registration] / Included Insurance   - </v>
      </c>
      <c r="H35" s="65" t="str">
        <f>IFERROR(__xludf.DUMMYFUNCTION("""COMPUTED_VALUE"""),"Loop Loft 6255  ")</f>
        <v>Loop Loft 6255  </v>
      </c>
      <c r="I35" s="65" t="str">
        <f>IFERROR(__xludf.DUMMYFUNCTION("""COMPUTED_VALUE"""),"302A ")</f>
        <v>302A </v>
      </c>
      <c r="J35" s="108" t="str">
        <f>IFERROR(__xludf.DUMMYFUNCTION("""COMPUTED_VALUE"""),"03:00 PM to 05:00 PM")</f>
        <v>03:00 PM to 05:00 PM</v>
      </c>
      <c r="K35" s="103">
        <f>IFERROR(__xludf.DUMMYFUNCTION("""COMPUTED_VALUE"""),46148.0)</f>
        <v>46148</v>
      </c>
      <c r="L35" s="65" t="str">
        <f>IFERROR(__xludf.DUMMYFUNCTION("""COMPUTED_VALUE""")," ")</f>
        <v> </v>
      </c>
      <c r="M35" s="65" t="str">
        <f>IFERROR(__xludf.DUMMYFUNCTION("""COMPUTED_VALUE""")," ")</f>
        <v> </v>
      </c>
      <c r="N35" s="65"/>
    </row>
    <row r="36">
      <c r="A36" s="99" t="str">
        <f>IFERROR(__xludf.DUMMYFUNCTION("""COMPUTED_VALUE"""),"https://utrucking.com/admin/orders/6459389247676")</f>
        <v>https://utrucking.com/admin/orders/6459389247676</v>
      </c>
      <c r="B36" s="61" t="str">
        <f>IFERROR(__xludf.DUMMYFUNCTION("""COMPUTED_VALUE"""),"#18322")</f>
        <v>#18322</v>
      </c>
      <c r="C36" s="61" t="str">
        <f>IFERROR(__xludf.DUMMYFUNCTION("""COMPUTED_VALUE"""),"quoyaschnell@icloud.com")</f>
        <v>quoyaschnell@icloud.com</v>
      </c>
      <c r="D36" s="61">
        <f>IFERROR(__xludf.DUMMYFUNCTION("""COMPUTED_VALUE"""),9.144678797E9)</f>
        <v>9144678797</v>
      </c>
      <c r="E36" s="61" t="str">
        <f>IFERROR(__xludf.DUMMYFUNCTION("""COMPUTED_VALUE"""),"Quoya Schnell")</f>
        <v>Quoya Schnell</v>
      </c>
      <c r="F36" s="61" t="str">
        <f>IFERROR(__xludf.DUMMYFUNCTION("""COMPUTED_VALUE"""),"Quoya Dory Schnell")</f>
        <v>Quoya Dory Schnell</v>
      </c>
      <c r="G36" s="61" t="str">
        <f>IFERROR(__xludf.DUMMYFUNCTION("""COMPUTED_VALUE""")," 1 [Included with Registration] / Included Insurance   - ")</f>
        <v> 1 [Included with Registration] / Included Insurance   - </v>
      </c>
      <c r="H36" s="61" t="str">
        <f>IFERROR(__xludf.DUMMYFUNCTION("""COMPUTED_VALUE"""),"6607 University Drive  ")</f>
        <v>6607 University Drive  </v>
      </c>
      <c r="I36" s="61" t="str">
        <f>IFERROR(__xludf.DUMMYFUNCTION("""COMPUTED_VALUE"""),"122")</f>
        <v>122</v>
      </c>
      <c r="J36" s="107" t="str">
        <f>IFERROR(__xludf.DUMMYFUNCTION("""COMPUTED_VALUE"""),"09:00 AM to 11:00 AM  ")</f>
        <v>09:00 AM to 11:00 AM  </v>
      </c>
      <c r="K36" s="100">
        <f>IFERROR(__xludf.DUMMYFUNCTION("""COMPUTED_VALUE"""),46150.0)</f>
        <v>46150</v>
      </c>
      <c r="L36" s="61" t="str">
        <f>IFERROR(__xludf.DUMMYFUNCTION("""COMPUTED_VALUE""")," ")</f>
        <v> </v>
      </c>
      <c r="M36" s="61" t="str">
        <f>IFERROR(__xludf.DUMMYFUNCTION("""COMPUTED_VALUE""")," ")</f>
        <v> </v>
      </c>
      <c r="N36" s="61"/>
    </row>
    <row r="37">
      <c r="A37" s="65"/>
      <c r="B37" s="65"/>
      <c r="C37" s="65"/>
      <c r="D37" s="65"/>
      <c r="E37" s="65"/>
      <c r="F37" s="65"/>
      <c r="G37" s="65"/>
      <c r="H37" s="65"/>
      <c r="I37" s="65"/>
      <c r="J37" s="108"/>
      <c r="K37" s="103"/>
      <c r="L37" s="65"/>
      <c r="M37" s="65"/>
      <c r="N37" s="65"/>
    </row>
    <row r="38">
      <c r="A38" s="61"/>
      <c r="B38" s="61"/>
      <c r="C38" s="61"/>
      <c r="D38" s="61"/>
      <c r="E38" s="61"/>
      <c r="F38" s="61"/>
      <c r="G38" s="61"/>
      <c r="H38" s="61"/>
      <c r="I38" s="61"/>
      <c r="J38" s="107"/>
      <c r="K38" s="100"/>
      <c r="L38" s="61"/>
      <c r="M38" s="61"/>
      <c r="N38" s="61"/>
    </row>
    <row r="39">
      <c r="A39" s="65"/>
      <c r="B39" s="65"/>
      <c r="C39" s="65"/>
      <c r="D39" s="65"/>
      <c r="E39" s="65"/>
      <c r="F39" s="65"/>
      <c r="G39" s="65"/>
      <c r="H39" s="65"/>
      <c r="I39" s="65"/>
      <c r="J39" s="108"/>
      <c r="K39" s="103"/>
      <c r="L39" s="65"/>
      <c r="M39" s="65"/>
      <c r="N39" s="65"/>
    </row>
    <row r="40">
      <c r="A40" s="61"/>
      <c r="B40" s="61"/>
      <c r="C40" s="61"/>
      <c r="D40" s="61"/>
      <c r="E40" s="61"/>
      <c r="F40" s="61"/>
      <c r="G40" s="61"/>
      <c r="H40" s="61"/>
      <c r="I40" s="61"/>
      <c r="J40" s="107"/>
      <c r="K40" s="100"/>
      <c r="L40" s="61"/>
      <c r="M40" s="61"/>
      <c r="N40" s="61"/>
    </row>
    <row r="41">
      <c r="A41" s="65"/>
      <c r="B41" s="65"/>
      <c r="C41" s="65"/>
      <c r="D41" s="65"/>
      <c r="E41" s="65"/>
      <c r="F41" s="65"/>
      <c r="G41" s="65"/>
      <c r="H41" s="65"/>
      <c r="I41" s="65"/>
      <c r="J41" s="108"/>
      <c r="K41" s="103"/>
      <c r="L41" s="65"/>
      <c r="M41" s="65"/>
      <c r="N41" s="65"/>
    </row>
    <row r="42">
      <c r="A42" s="61"/>
      <c r="B42" s="61"/>
      <c r="C42" s="61"/>
      <c r="D42" s="61"/>
      <c r="E42" s="61"/>
      <c r="F42" s="61"/>
      <c r="G42" s="61"/>
      <c r="H42" s="61"/>
      <c r="I42" s="61"/>
      <c r="J42" s="107"/>
      <c r="K42" s="100"/>
      <c r="L42" s="61"/>
      <c r="M42" s="61"/>
      <c r="N42" s="61"/>
    </row>
    <row r="43">
      <c r="A43" s="65"/>
      <c r="B43" s="65"/>
      <c r="C43" s="65"/>
      <c r="D43" s="65"/>
      <c r="E43" s="65"/>
      <c r="F43" s="65"/>
      <c r="G43" s="65"/>
      <c r="H43" s="65"/>
      <c r="I43" s="65"/>
      <c r="J43" s="108"/>
      <c r="K43" s="103"/>
      <c r="L43" s="65"/>
      <c r="M43" s="65"/>
      <c r="N43" s="65"/>
    </row>
    <row r="44">
      <c r="A44" s="61"/>
      <c r="B44" s="61"/>
      <c r="C44" s="61"/>
      <c r="D44" s="61"/>
      <c r="E44" s="61"/>
      <c r="F44" s="61"/>
      <c r="G44" s="61"/>
      <c r="H44" s="61"/>
      <c r="I44" s="61"/>
      <c r="J44" s="107"/>
      <c r="K44" s="100"/>
      <c r="L44" s="61"/>
      <c r="M44" s="61"/>
      <c r="N44" s="61"/>
    </row>
    <row r="45">
      <c r="A45" s="65"/>
      <c r="B45" s="65"/>
      <c r="C45" s="65"/>
      <c r="D45" s="65"/>
      <c r="E45" s="65"/>
      <c r="F45" s="65"/>
      <c r="G45" s="65"/>
      <c r="H45" s="65"/>
      <c r="I45" s="65"/>
      <c r="J45" s="108"/>
      <c r="K45" s="103"/>
      <c r="L45" s="65"/>
      <c r="M45" s="65"/>
      <c r="N45" s="65"/>
    </row>
    <row r="46">
      <c r="A46" s="61"/>
      <c r="B46" s="61"/>
      <c r="C46" s="61"/>
      <c r="D46" s="61"/>
      <c r="E46" s="61"/>
      <c r="F46" s="61"/>
      <c r="G46" s="61"/>
      <c r="H46" s="61"/>
      <c r="I46" s="61"/>
      <c r="J46" s="107"/>
      <c r="K46" s="100"/>
      <c r="L46" s="61"/>
      <c r="M46" s="61"/>
      <c r="N46" s="61"/>
    </row>
    <row r="47">
      <c r="A47" s="65"/>
      <c r="B47" s="65"/>
      <c r="C47" s="65"/>
      <c r="D47" s="65"/>
      <c r="E47" s="65"/>
      <c r="F47" s="65"/>
      <c r="G47" s="65"/>
      <c r="H47" s="65"/>
      <c r="I47" s="65"/>
      <c r="J47" s="108"/>
      <c r="K47" s="103"/>
      <c r="L47" s="65"/>
      <c r="M47" s="65"/>
      <c r="N47" s="65"/>
    </row>
    <row r="48">
      <c r="A48" s="61"/>
      <c r="B48" s="61"/>
      <c r="C48" s="61"/>
      <c r="D48" s="61"/>
      <c r="E48" s="61"/>
      <c r="F48" s="61"/>
      <c r="G48" s="61"/>
      <c r="H48" s="61"/>
      <c r="I48" s="61"/>
      <c r="J48" s="107"/>
      <c r="K48" s="100"/>
      <c r="L48" s="61"/>
      <c r="M48" s="61"/>
      <c r="N48" s="61"/>
    </row>
    <row r="49">
      <c r="A49" s="65"/>
      <c r="B49" s="65"/>
      <c r="C49" s="65"/>
      <c r="D49" s="65"/>
      <c r="E49" s="65"/>
      <c r="F49" s="65"/>
      <c r="G49" s="65"/>
      <c r="H49" s="65"/>
      <c r="I49" s="65"/>
      <c r="J49" s="108"/>
      <c r="K49" s="103"/>
      <c r="L49" s="65"/>
      <c r="M49" s="65"/>
      <c r="N49" s="65"/>
    </row>
    <row r="50">
      <c r="A50" s="61"/>
      <c r="B50" s="61"/>
      <c r="C50" s="61"/>
      <c r="D50" s="61"/>
      <c r="E50" s="61"/>
      <c r="F50" s="61"/>
      <c r="G50" s="61"/>
      <c r="H50" s="61"/>
      <c r="I50" s="61"/>
      <c r="J50" s="107"/>
      <c r="K50" s="100"/>
      <c r="L50" s="61"/>
      <c r="M50" s="61"/>
      <c r="N50" s="61"/>
    </row>
    <row r="51">
      <c r="A51" s="65"/>
      <c r="B51" s="65"/>
      <c r="C51" s="65"/>
      <c r="D51" s="65"/>
      <c r="E51" s="65"/>
      <c r="F51" s="65"/>
      <c r="G51" s="65"/>
      <c r="H51" s="65"/>
      <c r="I51" s="65"/>
      <c r="J51" s="108"/>
      <c r="K51" s="103"/>
      <c r="L51" s="65"/>
      <c r="M51" s="65"/>
      <c r="N51" s="65"/>
    </row>
    <row r="52">
      <c r="A52" s="61"/>
      <c r="B52" s="61"/>
      <c r="C52" s="61"/>
      <c r="D52" s="61"/>
      <c r="E52" s="61"/>
      <c r="F52" s="61"/>
      <c r="G52" s="61"/>
      <c r="H52" s="61"/>
      <c r="I52" s="61"/>
      <c r="J52" s="107"/>
      <c r="K52" s="100"/>
      <c r="L52" s="61"/>
      <c r="M52" s="61"/>
      <c r="N52" s="61"/>
    </row>
    <row r="53">
      <c r="A53" s="65"/>
      <c r="B53" s="65"/>
      <c r="C53" s="65"/>
      <c r="D53" s="65"/>
      <c r="E53" s="65"/>
      <c r="F53" s="65"/>
      <c r="G53" s="65"/>
      <c r="H53" s="65"/>
      <c r="I53" s="65"/>
      <c r="J53" s="108"/>
      <c r="K53" s="103"/>
      <c r="L53" s="65"/>
      <c r="M53" s="65"/>
      <c r="N53" s="65"/>
    </row>
    <row r="54">
      <c r="A54" s="61"/>
      <c r="B54" s="61"/>
      <c r="C54" s="61"/>
      <c r="D54" s="61"/>
      <c r="E54" s="61"/>
      <c r="F54" s="61"/>
      <c r="G54" s="61"/>
      <c r="H54" s="61"/>
      <c r="I54" s="61"/>
      <c r="J54" s="107"/>
      <c r="K54" s="100"/>
      <c r="L54" s="61"/>
      <c r="M54" s="61"/>
      <c r="N54" s="61"/>
    </row>
    <row r="55">
      <c r="A55" s="65"/>
      <c r="B55" s="65"/>
      <c r="C55" s="65"/>
      <c r="D55" s="65"/>
      <c r="E55" s="65"/>
      <c r="F55" s="65"/>
      <c r="G55" s="65"/>
      <c r="H55" s="65"/>
      <c r="I55" s="65"/>
      <c r="J55" s="108"/>
      <c r="K55" s="103"/>
      <c r="L55" s="65"/>
      <c r="M55" s="65"/>
      <c r="N55" s="65"/>
    </row>
    <row r="56">
      <c r="A56" s="61"/>
      <c r="B56" s="61"/>
      <c r="C56" s="61"/>
      <c r="D56" s="61"/>
      <c r="E56" s="61"/>
      <c r="F56" s="61"/>
      <c r="G56" s="61"/>
      <c r="H56" s="61"/>
      <c r="I56" s="61"/>
      <c r="J56" s="107"/>
      <c r="K56" s="100"/>
      <c r="L56" s="61"/>
      <c r="M56" s="61"/>
      <c r="N56" s="61"/>
    </row>
    <row r="57">
      <c r="A57" s="65"/>
      <c r="B57" s="65"/>
      <c r="C57" s="65"/>
      <c r="D57" s="65"/>
      <c r="E57" s="65"/>
      <c r="F57" s="65"/>
      <c r="G57" s="65"/>
      <c r="H57" s="65"/>
      <c r="I57" s="65"/>
      <c r="J57" s="108"/>
      <c r="K57" s="103"/>
      <c r="L57" s="65"/>
      <c r="M57" s="65"/>
      <c r="N57" s="65"/>
    </row>
    <row r="58">
      <c r="A58" s="61"/>
      <c r="B58" s="61"/>
      <c r="C58" s="61"/>
      <c r="D58" s="61"/>
      <c r="E58" s="61"/>
      <c r="F58" s="61"/>
      <c r="G58" s="61"/>
      <c r="H58" s="61"/>
      <c r="I58" s="61"/>
      <c r="J58" s="107"/>
      <c r="K58" s="100"/>
      <c r="L58" s="61"/>
      <c r="M58" s="61"/>
      <c r="N58" s="61"/>
    </row>
    <row r="59">
      <c r="A59" s="65"/>
      <c r="B59" s="65"/>
      <c r="C59" s="65"/>
      <c r="D59" s="65"/>
      <c r="E59" s="65"/>
      <c r="F59" s="65"/>
      <c r="G59" s="65"/>
      <c r="H59" s="65"/>
      <c r="I59" s="65"/>
      <c r="J59" s="108"/>
      <c r="K59" s="103"/>
      <c r="L59" s="65"/>
      <c r="M59" s="65"/>
      <c r="N59" s="65"/>
    </row>
    <row r="60">
      <c r="A60" s="61"/>
      <c r="B60" s="61"/>
      <c r="C60" s="61"/>
      <c r="D60" s="61"/>
      <c r="E60" s="61"/>
      <c r="F60" s="61"/>
      <c r="G60" s="61"/>
      <c r="H60" s="61"/>
      <c r="I60" s="61"/>
      <c r="J60" s="107"/>
      <c r="K60" s="100"/>
      <c r="L60" s="61"/>
      <c r="M60" s="61"/>
      <c r="N60" s="61"/>
    </row>
    <row r="61">
      <c r="A61" s="65"/>
      <c r="B61" s="65"/>
      <c r="C61" s="65"/>
      <c r="D61" s="65"/>
      <c r="E61" s="65"/>
      <c r="F61" s="65"/>
      <c r="G61" s="65"/>
      <c r="H61" s="65"/>
      <c r="I61" s="65"/>
      <c r="J61" s="108"/>
      <c r="K61" s="103"/>
      <c r="L61" s="65"/>
      <c r="M61" s="65"/>
      <c r="N61" s="65"/>
    </row>
    <row r="62">
      <c r="A62" s="61"/>
      <c r="B62" s="61"/>
      <c r="C62" s="61"/>
      <c r="D62" s="61"/>
      <c r="E62" s="61"/>
      <c r="F62" s="61"/>
      <c r="G62" s="61"/>
      <c r="H62" s="61"/>
      <c r="I62" s="61"/>
      <c r="J62" s="107"/>
      <c r="K62" s="100"/>
      <c r="L62" s="61"/>
      <c r="M62" s="61"/>
      <c r="N62" s="61"/>
    </row>
    <row r="63">
      <c r="A63" s="65"/>
      <c r="B63" s="65"/>
      <c r="C63" s="65"/>
      <c r="D63" s="65"/>
      <c r="E63" s="65"/>
      <c r="F63" s="65"/>
      <c r="G63" s="65"/>
      <c r="H63" s="65"/>
      <c r="I63" s="65"/>
      <c r="J63" s="108"/>
      <c r="K63" s="103"/>
      <c r="L63" s="65"/>
      <c r="M63" s="65"/>
      <c r="N63" s="65"/>
    </row>
    <row r="64">
      <c r="A64" s="61"/>
      <c r="B64" s="61"/>
      <c r="C64" s="61"/>
      <c r="D64" s="61"/>
      <c r="E64" s="61"/>
      <c r="F64" s="61"/>
      <c r="G64" s="61"/>
      <c r="H64" s="61"/>
      <c r="I64" s="61"/>
      <c r="J64" s="107"/>
      <c r="K64" s="100"/>
      <c r="L64" s="61"/>
      <c r="M64" s="61"/>
      <c r="N64" s="61"/>
    </row>
    <row r="65">
      <c r="A65" s="65"/>
      <c r="B65" s="65"/>
      <c r="C65" s="65"/>
      <c r="D65" s="65"/>
      <c r="E65" s="65"/>
      <c r="F65" s="65"/>
      <c r="G65" s="65"/>
      <c r="H65" s="65"/>
      <c r="I65" s="65"/>
      <c r="J65" s="108"/>
      <c r="K65" s="103"/>
      <c r="L65" s="65"/>
      <c r="M65" s="65"/>
      <c r="N65" s="65"/>
    </row>
    <row r="66">
      <c r="A66" s="61"/>
      <c r="B66" s="61"/>
      <c r="C66" s="61"/>
      <c r="D66" s="61"/>
      <c r="E66" s="61"/>
      <c r="F66" s="61"/>
      <c r="G66" s="61"/>
      <c r="H66" s="61"/>
      <c r="I66" s="61"/>
      <c r="J66" s="107"/>
      <c r="K66" s="100"/>
      <c r="L66" s="61"/>
      <c r="M66" s="61"/>
      <c r="N66" s="61"/>
    </row>
    <row r="67">
      <c r="A67" s="65"/>
      <c r="B67" s="65"/>
      <c r="C67" s="65"/>
      <c r="D67" s="65"/>
      <c r="E67" s="65"/>
      <c r="F67" s="65"/>
      <c r="G67" s="65"/>
      <c r="H67" s="65"/>
      <c r="I67" s="65"/>
      <c r="J67" s="108"/>
      <c r="K67" s="103"/>
      <c r="L67" s="65"/>
      <c r="M67" s="65"/>
      <c r="N67" s="65"/>
    </row>
    <row r="68">
      <c r="A68" s="61"/>
      <c r="B68" s="61"/>
      <c r="C68" s="61"/>
      <c r="D68" s="61"/>
      <c r="E68" s="61"/>
      <c r="F68" s="61"/>
      <c r="G68" s="61"/>
      <c r="H68" s="61"/>
      <c r="I68" s="61"/>
      <c r="J68" s="107"/>
      <c r="K68" s="100"/>
      <c r="L68" s="61"/>
      <c r="M68" s="61"/>
      <c r="N68" s="61"/>
    </row>
    <row r="69">
      <c r="A69" s="65"/>
      <c r="B69" s="65"/>
      <c r="C69" s="65"/>
      <c r="D69" s="65"/>
      <c r="E69" s="65"/>
      <c r="F69" s="65"/>
      <c r="G69" s="65"/>
      <c r="H69" s="65"/>
      <c r="I69" s="65"/>
      <c r="J69" s="108"/>
      <c r="K69" s="103"/>
      <c r="L69" s="65"/>
      <c r="M69" s="65"/>
      <c r="N69" s="65"/>
    </row>
    <row r="70">
      <c r="A70" s="61"/>
      <c r="B70" s="61"/>
      <c r="C70" s="61"/>
      <c r="D70" s="61"/>
      <c r="E70" s="61"/>
      <c r="F70" s="61"/>
      <c r="G70" s="61"/>
      <c r="H70" s="61"/>
      <c r="I70" s="61"/>
      <c r="J70" s="107"/>
      <c r="K70" s="100"/>
      <c r="L70" s="61"/>
      <c r="M70" s="61"/>
      <c r="N70" s="61"/>
    </row>
    <row r="71">
      <c r="A71" s="65"/>
      <c r="B71" s="65"/>
      <c r="C71" s="65"/>
      <c r="D71" s="65"/>
      <c r="E71" s="65"/>
      <c r="F71" s="65"/>
      <c r="G71" s="65"/>
      <c r="H71" s="65"/>
      <c r="I71" s="65"/>
      <c r="J71" s="108"/>
      <c r="K71" s="103"/>
      <c r="L71" s="65"/>
      <c r="M71" s="65"/>
      <c r="N71" s="65"/>
    </row>
    <row r="72">
      <c r="A72" s="61"/>
      <c r="B72" s="61"/>
      <c r="C72" s="61"/>
      <c r="D72" s="61"/>
      <c r="E72" s="61"/>
      <c r="F72" s="61"/>
      <c r="G72" s="61"/>
      <c r="H72" s="61"/>
      <c r="I72" s="61"/>
      <c r="J72" s="107"/>
      <c r="K72" s="100"/>
      <c r="L72" s="61"/>
      <c r="M72" s="61"/>
      <c r="N72" s="61"/>
    </row>
    <row r="73">
      <c r="A73" s="65"/>
      <c r="B73" s="65"/>
      <c r="C73" s="65"/>
      <c r="D73" s="65"/>
      <c r="E73" s="65"/>
      <c r="F73" s="65"/>
      <c r="G73" s="65"/>
      <c r="H73" s="65"/>
      <c r="I73" s="65"/>
      <c r="J73" s="108"/>
      <c r="K73" s="103"/>
      <c r="L73" s="65"/>
      <c r="M73" s="65"/>
      <c r="N73" s="65"/>
    </row>
    <row r="74">
      <c r="A74" s="61"/>
      <c r="B74" s="61"/>
      <c r="C74" s="61"/>
      <c r="D74" s="61"/>
      <c r="E74" s="61"/>
      <c r="F74" s="61"/>
      <c r="G74" s="61"/>
      <c r="H74" s="61"/>
      <c r="I74" s="61"/>
      <c r="J74" s="107"/>
      <c r="K74" s="100"/>
      <c r="L74" s="61"/>
      <c r="M74" s="61"/>
      <c r="N74" s="61"/>
    </row>
    <row r="75">
      <c r="A75" s="65"/>
      <c r="B75" s="65"/>
      <c r="C75" s="65"/>
      <c r="D75" s="65"/>
      <c r="E75" s="65"/>
      <c r="F75" s="65"/>
      <c r="G75" s="65"/>
      <c r="H75" s="65"/>
      <c r="I75" s="65"/>
      <c r="J75" s="108"/>
      <c r="K75" s="103"/>
      <c r="L75" s="65"/>
      <c r="M75" s="65"/>
      <c r="N75" s="65"/>
    </row>
    <row r="76">
      <c r="A76" s="61"/>
      <c r="B76" s="61"/>
      <c r="C76" s="61"/>
      <c r="D76" s="61"/>
      <c r="E76" s="61"/>
      <c r="F76" s="61"/>
      <c r="G76" s="61"/>
      <c r="H76" s="61"/>
      <c r="I76" s="61"/>
      <c r="J76" s="107"/>
      <c r="K76" s="100"/>
      <c r="L76" s="61"/>
      <c r="M76" s="61"/>
      <c r="N76" s="61"/>
    </row>
    <row r="77">
      <c r="A77" s="65"/>
      <c r="B77" s="65"/>
      <c r="C77" s="65"/>
      <c r="D77" s="65"/>
      <c r="E77" s="65"/>
      <c r="F77" s="65"/>
      <c r="G77" s="65"/>
      <c r="H77" s="65"/>
      <c r="I77" s="65"/>
      <c r="J77" s="108"/>
      <c r="K77" s="103"/>
      <c r="L77" s="65"/>
      <c r="M77" s="65"/>
      <c r="N77" s="65"/>
    </row>
    <row r="78">
      <c r="A78" s="61"/>
      <c r="B78" s="61"/>
      <c r="C78" s="61"/>
      <c r="D78" s="61"/>
      <c r="E78" s="61"/>
      <c r="F78" s="61"/>
      <c r="G78" s="61"/>
      <c r="H78" s="61"/>
      <c r="I78" s="61"/>
      <c r="J78" s="107"/>
      <c r="K78" s="100"/>
      <c r="L78" s="61"/>
      <c r="M78" s="61"/>
      <c r="N78" s="61"/>
    </row>
    <row r="79">
      <c r="A79" s="65"/>
      <c r="B79" s="65"/>
      <c r="C79" s="65"/>
      <c r="D79" s="65"/>
      <c r="E79" s="65"/>
      <c r="F79" s="65"/>
      <c r="G79" s="65"/>
      <c r="H79" s="65"/>
      <c r="I79" s="65"/>
      <c r="J79" s="108"/>
      <c r="K79" s="103"/>
      <c r="L79" s="65"/>
      <c r="M79" s="65"/>
      <c r="N79" s="65"/>
    </row>
    <row r="80">
      <c r="A80" s="61"/>
      <c r="B80" s="61"/>
      <c r="C80" s="61"/>
      <c r="D80" s="61"/>
      <c r="E80" s="61"/>
      <c r="F80" s="61"/>
      <c r="G80" s="61"/>
      <c r="H80" s="61"/>
      <c r="I80" s="61"/>
      <c r="J80" s="107"/>
      <c r="K80" s="100"/>
      <c r="L80" s="61"/>
      <c r="M80" s="61"/>
      <c r="N80" s="61"/>
    </row>
    <row r="81">
      <c r="A81" s="65"/>
      <c r="B81" s="65"/>
      <c r="C81" s="65"/>
      <c r="D81" s="65"/>
      <c r="E81" s="65"/>
      <c r="F81" s="65"/>
      <c r="G81" s="65"/>
      <c r="H81" s="65"/>
      <c r="I81" s="65"/>
      <c r="J81" s="108"/>
      <c r="K81" s="103"/>
      <c r="L81" s="65"/>
      <c r="M81" s="65"/>
      <c r="N81" s="65"/>
    </row>
    <row r="82">
      <c r="A82" s="61"/>
      <c r="B82" s="61"/>
      <c r="C82" s="61"/>
      <c r="D82" s="61"/>
      <c r="E82" s="61"/>
      <c r="F82" s="61"/>
      <c r="G82" s="61"/>
      <c r="H82" s="61"/>
      <c r="I82" s="61"/>
      <c r="J82" s="107"/>
      <c r="K82" s="100"/>
      <c r="L82" s="61"/>
      <c r="M82" s="61"/>
      <c r="N82" s="61"/>
    </row>
    <row r="83">
      <c r="A83" s="65"/>
      <c r="B83" s="65"/>
      <c r="C83" s="65"/>
      <c r="D83" s="65"/>
      <c r="E83" s="65"/>
      <c r="F83" s="65"/>
      <c r="G83" s="65"/>
      <c r="H83" s="65"/>
      <c r="I83" s="65"/>
      <c r="J83" s="108"/>
      <c r="K83" s="103"/>
      <c r="L83" s="65"/>
      <c r="M83" s="65"/>
      <c r="N83" s="65"/>
    </row>
    <row r="84">
      <c r="A84" s="61"/>
      <c r="B84" s="61"/>
      <c r="C84" s="61"/>
      <c r="D84" s="61"/>
      <c r="E84" s="61"/>
      <c r="F84" s="61"/>
      <c r="G84" s="61"/>
      <c r="H84" s="61"/>
      <c r="I84" s="61"/>
      <c r="J84" s="107"/>
      <c r="K84" s="100"/>
      <c r="L84" s="61"/>
      <c r="M84" s="61"/>
      <c r="N84" s="61"/>
    </row>
    <row r="85">
      <c r="A85" s="65"/>
      <c r="B85" s="65"/>
      <c r="C85" s="65"/>
      <c r="D85" s="65"/>
      <c r="E85" s="65"/>
      <c r="F85" s="65"/>
      <c r="G85" s="65"/>
      <c r="H85" s="65"/>
      <c r="I85" s="65"/>
      <c r="J85" s="108"/>
      <c r="K85" s="103"/>
      <c r="L85" s="65"/>
      <c r="M85" s="65"/>
      <c r="N85" s="65"/>
    </row>
    <row r="86">
      <c r="A86" s="61"/>
      <c r="B86" s="61"/>
      <c r="C86" s="61"/>
      <c r="D86" s="61"/>
      <c r="E86" s="61"/>
      <c r="F86" s="61"/>
      <c r="G86" s="61"/>
      <c r="H86" s="61"/>
      <c r="I86" s="61"/>
      <c r="J86" s="107"/>
      <c r="K86" s="100"/>
      <c r="L86" s="61"/>
      <c r="M86" s="61"/>
      <c r="N86" s="61"/>
    </row>
    <row r="87">
      <c r="A87" s="65"/>
      <c r="B87" s="65"/>
      <c r="C87" s="65"/>
      <c r="D87" s="65"/>
      <c r="E87" s="65"/>
      <c r="F87" s="65"/>
      <c r="G87" s="65"/>
      <c r="H87" s="65"/>
      <c r="I87" s="65"/>
      <c r="J87" s="108"/>
      <c r="K87" s="103"/>
      <c r="L87" s="65"/>
      <c r="M87" s="65"/>
      <c r="N87" s="65"/>
    </row>
    <row r="88">
      <c r="A88" s="61"/>
      <c r="B88" s="61"/>
      <c r="C88" s="61"/>
      <c r="D88" s="61"/>
      <c r="E88" s="61"/>
      <c r="F88" s="61"/>
      <c r="G88" s="61"/>
      <c r="H88" s="61"/>
      <c r="I88" s="61"/>
      <c r="J88" s="107"/>
      <c r="K88" s="100"/>
      <c r="L88" s="61"/>
      <c r="M88" s="61"/>
      <c r="N88" s="61"/>
    </row>
    <row r="89">
      <c r="A89" s="65"/>
      <c r="B89" s="65"/>
      <c r="C89" s="65"/>
      <c r="D89" s="65"/>
      <c r="E89" s="65"/>
      <c r="F89" s="65"/>
      <c r="G89" s="65"/>
      <c r="H89" s="65"/>
      <c r="I89" s="65"/>
      <c r="J89" s="108"/>
      <c r="K89" s="103"/>
      <c r="L89" s="65"/>
      <c r="M89" s="65"/>
      <c r="N89" s="65"/>
    </row>
    <row r="90">
      <c r="A90" s="61"/>
      <c r="B90" s="61"/>
      <c r="C90" s="61"/>
      <c r="D90" s="61"/>
      <c r="E90" s="61"/>
      <c r="F90" s="61"/>
      <c r="G90" s="61"/>
      <c r="H90" s="61"/>
      <c r="I90" s="61"/>
      <c r="J90" s="107"/>
      <c r="K90" s="100"/>
      <c r="L90" s="61"/>
      <c r="M90" s="61"/>
      <c r="N90" s="61"/>
    </row>
    <row r="91">
      <c r="A91" s="65"/>
      <c r="B91" s="65"/>
      <c r="C91" s="65"/>
      <c r="D91" s="65"/>
      <c r="E91" s="65"/>
      <c r="F91" s="65"/>
      <c r="G91" s="65"/>
      <c r="H91" s="65"/>
      <c r="I91" s="65"/>
      <c r="J91" s="108"/>
      <c r="K91" s="103"/>
      <c r="L91" s="65"/>
      <c r="M91" s="65"/>
      <c r="N91" s="65"/>
    </row>
    <row r="92">
      <c r="A92" s="61"/>
      <c r="B92" s="61"/>
      <c r="C92" s="61"/>
      <c r="D92" s="61"/>
      <c r="E92" s="61"/>
      <c r="F92" s="61"/>
      <c r="G92" s="61"/>
      <c r="H92" s="61"/>
      <c r="I92" s="61"/>
      <c r="J92" s="107"/>
      <c r="K92" s="100"/>
      <c r="L92" s="61"/>
      <c r="M92" s="61"/>
      <c r="N92" s="61"/>
    </row>
    <row r="93">
      <c r="A93" s="65"/>
      <c r="B93" s="65"/>
      <c r="C93" s="65"/>
      <c r="D93" s="65"/>
      <c r="E93" s="65"/>
      <c r="F93" s="65"/>
      <c r="G93" s="65"/>
      <c r="H93" s="65"/>
      <c r="I93" s="65"/>
      <c r="J93" s="108"/>
      <c r="K93" s="103"/>
      <c r="L93" s="65"/>
      <c r="M93" s="65"/>
      <c r="N93" s="65"/>
    </row>
    <row r="94">
      <c r="A94" s="61"/>
      <c r="B94" s="61"/>
      <c r="C94" s="61"/>
      <c r="D94" s="61"/>
      <c r="E94" s="61"/>
      <c r="F94" s="61"/>
      <c r="G94" s="61"/>
      <c r="H94" s="61"/>
      <c r="I94" s="61"/>
      <c r="J94" s="107"/>
      <c r="K94" s="100"/>
      <c r="L94" s="61"/>
      <c r="M94" s="61"/>
      <c r="N94" s="61"/>
    </row>
    <row r="95">
      <c r="A95" s="65"/>
      <c r="B95" s="65"/>
      <c r="C95" s="65"/>
      <c r="D95" s="65"/>
      <c r="E95" s="65"/>
      <c r="F95" s="65"/>
      <c r="G95" s="65"/>
      <c r="H95" s="65"/>
      <c r="I95" s="65"/>
      <c r="J95" s="108"/>
      <c r="K95" s="103"/>
      <c r="L95" s="65"/>
      <c r="M95" s="65"/>
      <c r="N95" s="65"/>
    </row>
    <row r="96">
      <c r="A96" s="61"/>
      <c r="B96" s="61"/>
      <c r="C96" s="61"/>
      <c r="D96" s="61"/>
      <c r="E96" s="61"/>
      <c r="F96" s="61"/>
      <c r="G96" s="61"/>
      <c r="H96" s="61"/>
      <c r="I96" s="61"/>
      <c r="J96" s="107"/>
      <c r="K96" s="100"/>
      <c r="L96" s="61"/>
      <c r="M96" s="61"/>
      <c r="N96" s="61"/>
    </row>
    <row r="97">
      <c r="A97" s="65"/>
      <c r="B97" s="65"/>
      <c r="C97" s="65"/>
      <c r="D97" s="65"/>
      <c r="E97" s="65"/>
      <c r="F97" s="65"/>
      <c r="G97" s="65"/>
      <c r="H97" s="65"/>
      <c r="I97" s="65"/>
      <c r="J97" s="108"/>
      <c r="K97" s="103"/>
      <c r="L97" s="65"/>
      <c r="M97" s="65"/>
      <c r="N97" s="65"/>
    </row>
    <row r="98">
      <c r="A98" s="61"/>
      <c r="B98" s="61"/>
      <c r="C98" s="61"/>
      <c r="D98" s="61"/>
      <c r="E98" s="61"/>
      <c r="F98" s="61"/>
      <c r="G98" s="61"/>
      <c r="H98" s="61"/>
      <c r="I98" s="61"/>
      <c r="J98" s="107"/>
      <c r="K98" s="100"/>
      <c r="L98" s="61"/>
      <c r="M98" s="61"/>
      <c r="N98" s="61"/>
    </row>
    <row r="99">
      <c r="A99" s="65"/>
      <c r="B99" s="65"/>
      <c r="C99" s="65"/>
      <c r="D99" s="65"/>
      <c r="E99" s="65"/>
      <c r="F99" s="65"/>
      <c r="G99" s="65"/>
      <c r="H99" s="65"/>
      <c r="I99" s="65"/>
      <c r="J99" s="108"/>
      <c r="K99" s="103"/>
      <c r="L99" s="65"/>
      <c r="M99" s="65"/>
      <c r="N99" s="65"/>
    </row>
    <row r="100">
      <c r="A100" s="61"/>
      <c r="B100" s="61"/>
      <c r="C100" s="61"/>
      <c r="D100" s="61"/>
      <c r="E100" s="61"/>
      <c r="F100" s="61"/>
      <c r="G100" s="61"/>
      <c r="H100" s="61"/>
      <c r="I100" s="61"/>
      <c r="J100" s="107"/>
      <c r="K100" s="100"/>
      <c r="L100" s="61"/>
      <c r="M100" s="61"/>
      <c r="N100" s="61"/>
    </row>
    <row r="101">
      <c r="A101" s="65"/>
      <c r="B101" s="65"/>
      <c r="C101" s="65"/>
      <c r="D101" s="65"/>
      <c r="E101" s="65"/>
      <c r="F101" s="65"/>
      <c r="G101" s="65"/>
      <c r="H101" s="65"/>
      <c r="I101" s="65"/>
      <c r="J101" s="108"/>
      <c r="K101" s="103"/>
      <c r="L101" s="65"/>
      <c r="M101" s="65"/>
      <c r="N101" s="65"/>
    </row>
    <row r="102">
      <c r="A102" s="61"/>
      <c r="B102" s="61"/>
      <c r="C102" s="61"/>
      <c r="D102" s="61"/>
      <c r="E102" s="61"/>
      <c r="F102" s="61"/>
      <c r="G102" s="61"/>
      <c r="H102" s="61"/>
      <c r="I102" s="61"/>
      <c r="J102" s="107"/>
      <c r="K102" s="100"/>
      <c r="L102" s="61"/>
      <c r="M102" s="61"/>
      <c r="N102" s="61"/>
    </row>
    <row r="103">
      <c r="A103" s="65"/>
      <c r="B103" s="65"/>
      <c r="C103" s="65"/>
      <c r="D103" s="65"/>
      <c r="E103" s="65"/>
      <c r="F103" s="65"/>
      <c r="G103" s="65"/>
      <c r="H103" s="65"/>
      <c r="I103" s="65"/>
      <c r="J103" s="108"/>
      <c r="K103" s="103"/>
      <c r="L103" s="65"/>
      <c r="M103" s="65"/>
      <c r="N103" s="65"/>
    </row>
    <row r="104">
      <c r="A104" s="61"/>
      <c r="B104" s="61"/>
      <c r="C104" s="61"/>
      <c r="D104" s="61"/>
      <c r="E104" s="61"/>
      <c r="F104" s="61"/>
      <c r="G104" s="61"/>
      <c r="H104" s="61"/>
      <c r="I104" s="61"/>
      <c r="J104" s="107"/>
      <c r="K104" s="100"/>
      <c r="L104" s="61"/>
      <c r="M104" s="61"/>
      <c r="N104" s="61"/>
    </row>
    <row r="105">
      <c r="A105" s="65"/>
      <c r="B105" s="65"/>
      <c r="C105" s="65"/>
      <c r="D105" s="65"/>
      <c r="E105" s="65"/>
      <c r="F105" s="65"/>
      <c r="G105" s="65"/>
      <c r="H105" s="65"/>
      <c r="I105" s="65"/>
      <c r="J105" s="108"/>
      <c r="K105" s="103"/>
      <c r="L105" s="65"/>
      <c r="M105" s="65"/>
      <c r="N105" s="65"/>
    </row>
    <row r="106">
      <c r="A106" s="61"/>
      <c r="B106" s="61"/>
      <c r="C106" s="61"/>
      <c r="D106" s="61"/>
      <c r="E106" s="61"/>
      <c r="F106" s="61"/>
      <c r="G106" s="61"/>
      <c r="H106" s="61"/>
      <c r="I106" s="61"/>
      <c r="J106" s="107"/>
      <c r="K106" s="100"/>
      <c r="L106" s="61"/>
      <c r="M106" s="61"/>
      <c r="N106" s="61"/>
    </row>
    <row r="107">
      <c r="A107" s="65"/>
      <c r="B107" s="65"/>
      <c r="C107" s="65"/>
      <c r="D107" s="65"/>
      <c r="E107" s="65"/>
      <c r="F107" s="65"/>
      <c r="G107" s="65"/>
      <c r="H107" s="65"/>
      <c r="I107" s="65"/>
      <c r="J107" s="108"/>
      <c r="K107" s="103"/>
      <c r="L107" s="65"/>
      <c r="M107" s="65"/>
      <c r="N107" s="65"/>
    </row>
    <row r="108">
      <c r="A108" s="61"/>
      <c r="B108" s="61"/>
      <c r="C108" s="61"/>
      <c r="D108" s="61"/>
      <c r="E108" s="61"/>
      <c r="F108" s="61"/>
      <c r="G108" s="61"/>
      <c r="H108" s="61"/>
      <c r="I108" s="61"/>
      <c r="J108" s="107"/>
      <c r="K108" s="100"/>
      <c r="L108" s="61"/>
      <c r="M108" s="61"/>
      <c r="N108" s="61"/>
    </row>
    <row r="109">
      <c r="A109" s="65"/>
      <c r="B109" s="65"/>
      <c r="C109" s="65"/>
      <c r="D109" s="65"/>
      <c r="E109" s="65"/>
      <c r="F109" s="65"/>
      <c r="G109" s="65"/>
      <c r="H109" s="65"/>
      <c r="I109" s="65"/>
      <c r="J109" s="108"/>
      <c r="K109" s="103"/>
      <c r="L109" s="65"/>
      <c r="M109" s="65"/>
      <c r="N109" s="65"/>
    </row>
    <row r="110">
      <c r="A110" s="61"/>
      <c r="B110" s="61"/>
      <c r="C110" s="61"/>
      <c r="D110" s="61"/>
      <c r="E110" s="61"/>
      <c r="F110" s="61"/>
      <c r="G110" s="61"/>
      <c r="H110" s="61"/>
      <c r="I110" s="61"/>
      <c r="J110" s="107"/>
      <c r="K110" s="100"/>
      <c r="L110" s="61"/>
      <c r="M110" s="61"/>
      <c r="N110" s="61"/>
    </row>
    <row r="111">
      <c r="A111" s="65"/>
      <c r="B111" s="65"/>
      <c r="C111" s="65"/>
      <c r="D111" s="65"/>
      <c r="E111" s="65"/>
      <c r="F111" s="65"/>
      <c r="G111" s="65"/>
      <c r="H111" s="65"/>
      <c r="I111" s="65"/>
      <c r="J111" s="108"/>
      <c r="K111" s="103"/>
      <c r="L111" s="65"/>
      <c r="M111" s="65"/>
      <c r="N111" s="65"/>
    </row>
    <row r="112">
      <c r="A112" s="61"/>
      <c r="B112" s="61"/>
      <c r="C112" s="61"/>
      <c r="D112" s="61"/>
      <c r="E112" s="61"/>
      <c r="F112" s="61"/>
      <c r="G112" s="61"/>
      <c r="H112" s="61"/>
      <c r="I112" s="61"/>
      <c r="J112" s="107"/>
      <c r="K112" s="100"/>
      <c r="L112" s="61"/>
      <c r="M112" s="61"/>
      <c r="N112" s="61"/>
    </row>
    <row r="113">
      <c r="A113" s="65"/>
      <c r="B113" s="65"/>
      <c r="C113" s="65"/>
      <c r="D113" s="65"/>
      <c r="E113" s="65"/>
      <c r="F113" s="65"/>
      <c r="G113" s="65"/>
      <c r="H113" s="65"/>
      <c r="I113" s="65"/>
      <c r="J113" s="108"/>
      <c r="K113" s="103"/>
      <c r="L113" s="65"/>
      <c r="M113" s="65"/>
      <c r="N113" s="65"/>
    </row>
    <row r="114">
      <c r="A114" s="61"/>
      <c r="B114" s="61"/>
      <c r="C114" s="61"/>
      <c r="D114" s="61"/>
      <c r="E114" s="61"/>
      <c r="F114" s="61"/>
      <c r="G114" s="61"/>
      <c r="H114" s="61"/>
      <c r="I114" s="61"/>
      <c r="J114" s="107"/>
      <c r="K114" s="100"/>
      <c r="L114" s="61"/>
      <c r="M114" s="61"/>
      <c r="N114" s="61"/>
    </row>
    <row r="115">
      <c r="A115" s="65"/>
      <c r="B115" s="65"/>
      <c r="C115" s="65"/>
      <c r="D115" s="65"/>
      <c r="E115" s="65"/>
      <c r="F115" s="65"/>
      <c r="G115" s="65"/>
      <c r="H115" s="65"/>
      <c r="I115" s="65"/>
      <c r="J115" s="108"/>
      <c r="K115" s="103"/>
      <c r="L115" s="65"/>
      <c r="M115" s="65"/>
      <c r="N115" s="65"/>
    </row>
    <row r="116">
      <c r="A116" s="61"/>
      <c r="B116" s="61"/>
      <c r="C116" s="61"/>
      <c r="D116" s="61"/>
      <c r="E116" s="61"/>
      <c r="F116" s="61"/>
      <c r="G116" s="61"/>
      <c r="H116" s="61"/>
      <c r="I116" s="61"/>
      <c r="J116" s="107"/>
      <c r="K116" s="100"/>
      <c r="L116" s="61"/>
      <c r="M116" s="61"/>
      <c r="N116" s="61"/>
    </row>
    <row r="117">
      <c r="A117" s="65"/>
      <c r="B117" s="65"/>
      <c r="C117" s="65"/>
      <c r="D117" s="65"/>
      <c r="E117" s="65"/>
      <c r="F117" s="65"/>
      <c r="G117" s="65"/>
      <c r="H117" s="65"/>
      <c r="I117" s="65"/>
      <c r="J117" s="108"/>
      <c r="K117" s="103"/>
      <c r="L117" s="65"/>
      <c r="M117" s="65"/>
      <c r="N117" s="65"/>
    </row>
    <row r="118">
      <c r="A118" s="61"/>
      <c r="B118" s="61"/>
      <c r="C118" s="61"/>
      <c r="D118" s="61"/>
      <c r="E118" s="61"/>
      <c r="F118" s="61"/>
      <c r="G118" s="61"/>
      <c r="H118" s="61"/>
      <c r="I118" s="61"/>
      <c r="J118" s="107"/>
      <c r="K118" s="100"/>
      <c r="L118" s="61"/>
      <c r="M118" s="61"/>
      <c r="N118" s="61"/>
    </row>
    <row r="119">
      <c r="A119" s="65"/>
      <c r="B119" s="65"/>
      <c r="C119" s="65"/>
      <c r="D119" s="65"/>
      <c r="E119" s="65"/>
      <c r="F119" s="65"/>
      <c r="G119" s="65"/>
      <c r="H119" s="65"/>
      <c r="I119" s="65"/>
      <c r="J119" s="108"/>
      <c r="K119" s="103"/>
      <c r="L119" s="65"/>
      <c r="M119" s="65"/>
      <c r="N119" s="65"/>
    </row>
    <row r="120">
      <c r="A120" s="61"/>
      <c r="B120" s="61"/>
      <c r="C120" s="61"/>
      <c r="D120" s="61"/>
      <c r="E120" s="61"/>
      <c r="F120" s="61"/>
      <c r="G120" s="61"/>
      <c r="H120" s="61"/>
      <c r="I120" s="61"/>
      <c r="J120" s="107"/>
      <c r="K120" s="100"/>
      <c r="L120" s="61"/>
      <c r="M120" s="61"/>
      <c r="N120" s="61"/>
    </row>
    <row r="121">
      <c r="A121" s="65"/>
      <c r="B121" s="65"/>
      <c r="C121" s="65"/>
      <c r="D121" s="65"/>
      <c r="E121" s="65"/>
      <c r="F121" s="65"/>
      <c r="G121" s="65"/>
      <c r="H121" s="65"/>
      <c r="I121" s="65"/>
      <c r="J121" s="108"/>
      <c r="K121" s="103"/>
      <c r="L121" s="65"/>
      <c r="M121" s="65"/>
      <c r="N121" s="65"/>
    </row>
    <row r="122">
      <c r="A122" s="61"/>
      <c r="B122" s="61"/>
      <c r="C122" s="61"/>
      <c r="D122" s="61"/>
      <c r="E122" s="61"/>
      <c r="F122" s="61"/>
      <c r="G122" s="61"/>
      <c r="H122" s="61"/>
      <c r="I122" s="61"/>
      <c r="J122" s="107"/>
      <c r="K122" s="100"/>
      <c r="L122" s="61"/>
      <c r="M122" s="61"/>
      <c r="N122" s="61"/>
    </row>
    <row r="123">
      <c r="A123" s="65"/>
      <c r="B123" s="65"/>
      <c r="C123" s="65"/>
      <c r="D123" s="65"/>
      <c r="E123" s="65"/>
      <c r="F123" s="65"/>
      <c r="G123" s="65"/>
      <c r="H123" s="65"/>
      <c r="I123" s="65"/>
      <c r="J123" s="108"/>
      <c r="K123" s="103"/>
      <c r="L123" s="65"/>
      <c r="M123" s="65"/>
      <c r="N123" s="65"/>
    </row>
    <row r="124">
      <c r="A124" s="61"/>
      <c r="B124" s="61"/>
      <c r="C124" s="61"/>
      <c r="D124" s="61"/>
      <c r="E124" s="61"/>
      <c r="F124" s="61"/>
      <c r="G124" s="61"/>
      <c r="H124" s="61"/>
      <c r="I124" s="61"/>
      <c r="J124" s="107"/>
      <c r="K124" s="100"/>
      <c r="L124" s="61"/>
      <c r="M124" s="61"/>
      <c r="N124" s="61"/>
    </row>
    <row r="125">
      <c r="A125" s="65"/>
      <c r="B125" s="65"/>
      <c r="C125" s="65"/>
      <c r="D125" s="65"/>
      <c r="E125" s="65"/>
      <c r="F125" s="65"/>
      <c r="G125" s="65"/>
      <c r="H125" s="65"/>
      <c r="I125" s="65"/>
      <c r="J125" s="108"/>
      <c r="K125" s="103"/>
      <c r="L125" s="65"/>
      <c r="M125" s="65"/>
      <c r="N125" s="65"/>
    </row>
    <row r="126">
      <c r="A126" s="61"/>
      <c r="B126" s="61"/>
      <c r="C126" s="61"/>
      <c r="D126" s="61"/>
      <c r="E126" s="61"/>
      <c r="F126" s="61"/>
      <c r="G126" s="61"/>
      <c r="H126" s="61"/>
      <c r="I126" s="61"/>
      <c r="J126" s="107"/>
      <c r="K126" s="100"/>
      <c r="L126" s="61"/>
      <c r="M126" s="61"/>
      <c r="N126" s="61"/>
    </row>
    <row r="127">
      <c r="A127" s="65"/>
      <c r="B127" s="65"/>
      <c r="C127" s="65"/>
      <c r="D127" s="65"/>
      <c r="E127" s="65"/>
      <c r="F127" s="65"/>
      <c r="G127" s="65"/>
      <c r="H127" s="65"/>
      <c r="I127" s="65"/>
      <c r="J127" s="108"/>
      <c r="K127" s="103"/>
      <c r="L127" s="65"/>
      <c r="M127" s="65"/>
      <c r="N127" s="65"/>
    </row>
    <row r="128">
      <c r="A128" s="61"/>
      <c r="B128" s="61"/>
      <c r="C128" s="61"/>
      <c r="D128" s="61"/>
      <c r="E128" s="61"/>
      <c r="F128" s="61"/>
      <c r="G128" s="61"/>
      <c r="H128" s="61"/>
      <c r="I128" s="61"/>
      <c r="J128" s="107"/>
      <c r="K128" s="100"/>
      <c r="L128" s="61"/>
      <c r="M128" s="61"/>
      <c r="N128" s="61"/>
    </row>
    <row r="129">
      <c r="A129" s="65"/>
      <c r="B129" s="65"/>
      <c r="C129" s="65"/>
      <c r="D129" s="65"/>
      <c r="E129" s="65"/>
      <c r="F129" s="65"/>
      <c r="G129" s="65"/>
      <c r="H129" s="65"/>
      <c r="I129" s="65"/>
      <c r="J129" s="108"/>
      <c r="K129" s="103"/>
      <c r="L129" s="65"/>
      <c r="M129" s="65"/>
      <c r="N129" s="65"/>
    </row>
    <row r="130">
      <c r="A130" s="61"/>
      <c r="B130" s="61"/>
      <c r="C130" s="61"/>
      <c r="D130" s="61"/>
      <c r="E130" s="61"/>
      <c r="F130" s="61"/>
      <c r="G130" s="61"/>
      <c r="H130" s="61"/>
      <c r="I130" s="61"/>
      <c r="J130" s="107"/>
      <c r="K130" s="100"/>
      <c r="L130" s="61"/>
      <c r="M130" s="61"/>
      <c r="N130" s="61"/>
    </row>
    <row r="131">
      <c r="A131" s="65"/>
      <c r="B131" s="65"/>
      <c r="C131" s="65"/>
      <c r="D131" s="65"/>
      <c r="E131" s="65"/>
      <c r="F131" s="65"/>
      <c r="G131" s="65"/>
      <c r="H131" s="65"/>
      <c r="I131" s="65"/>
      <c r="J131" s="108"/>
      <c r="K131" s="103"/>
      <c r="L131" s="65"/>
      <c r="M131" s="65"/>
      <c r="N131" s="65"/>
    </row>
    <row r="132">
      <c r="A132" s="61"/>
      <c r="B132" s="61"/>
      <c r="C132" s="61"/>
      <c r="D132" s="61"/>
      <c r="E132" s="61"/>
      <c r="F132" s="61"/>
      <c r="G132" s="61"/>
      <c r="H132" s="61"/>
      <c r="I132" s="61"/>
      <c r="J132" s="107"/>
      <c r="K132" s="100"/>
      <c r="L132" s="61"/>
      <c r="M132" s="61"/>
      <c r="N132" s="61"/>
    </row>
    <row r="133">
      <c r="A133" s="65"/>
      <c r="B133" s="65"/>
      <c r="C133" s="65"/>
      <c r="D133" s="65"/>
      <c r="E133" s="65"/>
      <c r="F133" s="65"/>
      <c r="G133" s="65"/>
      <c r="H133" s="65"/>
      <c r="I133" s="65"/>
      <c r="J133" s="108"/>
      <c r="K133" s="103"/>
      <c r="L133" s="65"/>
      <c r="M133" s="65"/>
      <c r="N133" s="65"/>
    </row>
    <row r="134">
      <c r="A134" s="61"/>
      <c r="B134" s="61"/>
      <c r="C134" s="61"/>
      <c r="D134" s="61"/>
      <c r="E134" s="61"/>
      <c r="F134" s="61"/>
      <c r="G134" s="61"/>
      <c r="H134" s="61"/>
      <c r="I134" s="61"/>
      <c r="J134" s="107"/>
      <c r="K134" s="100"/>
      <c r="L134" s="61"/>
      <c r="M134" s="61"/>
      <c r="N134" s="61"/>
    </row>
    <row r="135">
      <c r="A135" s="65"/>
      <c r="B135" s="65"/>
      <c r="C135" s="65"/>
      <c r="D135" s="65"/>
      <c r="E135" s="65"/>
      <c r="F135" s="65"/>
      <c r="G135" s="65"/>
      <c r="H135" s="65"/>
      <c r="I135" s="65"/>
      <c r="J135" s="108"/>
      <c r="K135" s="103"/>
      <c r="L135" s="65"/>
      <c r="M135" s="65"/>
      <c r="N135" s="65"/>
    </row>
    <row r="136">
      <c r="A136" s="61"/>
      <c r="B136" s="61"/>
      <c r="C136" s="61"/>
      <c r="D136" s="61"/>
      <c r="E136" s="61"/>
      <c r="F136" s="61"/>
      <c r="G136" s="61"/>
      <c r="H136" s="61"/>
      <c r="I136" s="61"/>
      <c r="J136" s="107"/>
      <c r="K136" s="100"/>
      <c r="L136" s="61"/>
      <c r="M136" s="61"/>
      <c r="N136" s="61"/>
    </row>
    <row r="137">
      <c r="A137" s="65"/>
      <c r="B137" s="65"/>
      <c r="C137" s="65"/>
      <c r="D137" s="65"/>
      <c r="E137" s="65"/>
      <c r="F137" s="65"/>
      <c r="G137" s="65"/>
      <c r="H137" s="65"/>
      <c r="I137" s="65"/>
      <c r="J137" s="108"/>
      <c r="K137" s="103"/>
      <c r="L137" s="65"/>
      <c r="M137" s="65"/>
      <c r="N137" s="65"/>
    </row>
    <row r="138">
      <c r="A138" s="61"/>
      <c r="B138" s="61"/>
      <c r="C138" s="61"/>
      <c r="D138" s="61"/>
      <c r="E138" s="61"/>
      <c r="F138" s="61"/>
      <c r="G138" s="61"/>
      <c r="H138" s="61"/>
      <c r="I138" s="61"/>
      <c r="J138" s="107"/>
      <c r="K138" s="100"/>
      <c r="L138" s="61"/>
      <c r="M138" s="61"/>
      <c r="N138" s="61"/>
    </row>
    <row r="139">
      <c r="A139" s="65"/>
      <c r="B139" s="65"/>
      <c r="C139" s="65"/>
      <c r="D139" s="65"/>
      <c r="E139" s="65"/>
      <c r="F139" s="65"/>
      <c r="G139" s="65"/>
      <c r="H139" s="65"/>
      <c r="I139" s="65"/>
      <c r="J139" s="108"/>
      <c r="K139" s="103"/>
      <c r="L139" s="65"/>
      <c r="M139" s="65"/>
      <c r="N139" s="65"/>
    </row>
    <row r="140">
      <c r="A140" s="61"/>
      <c r="B140" s="61"/>
      <c r="C140" s="61"/>
      <c r="D140" s="61"/>
      <c r="E140" s="61"/>
      <c r="F140" s="61"/>
      <c r="G140" s="61"/>
      <c r="H140" s="61"/>
      <c r="I140" s="61"/>
      <c r="J140" s="107"/>
      <c r="K140" s="100"/>
      <c r="L140" s="61"/>
      <c r="M140" s="61"/>
      <c r="N140" s="61"/>
    </row>
    <row r="141">
      <c r="A141" s="65"/>
      <c r="B141" s="65"/>
      <c r="C141" s="65"/>
      <c r="D141" s="65"/>
      <c r="E141" s="65"/>
      <c r="F141" s="65"/>
      <c r="G141" s="65"/>
      <c r="H141" s="65"/>
      <c r="I141" s="65"/>
      <c r="J141" s="108"/>
      <c r="K141" s="103"/>
      <c r="L141" s="65"/>
      <c r="M141" s="65"/>
      <c r="N141" s="65"/>
    </row>
    <row r="142">
      <c r="A142" s="61"/>
      <c r="B142" s="61"/>
      <c r="C142" s="61"/>
      <c r="D142" s="61"/>
      <c r="E142" s="61"/>
      <c r="F142" s="61"/>
      <c r="G142" s="61"/>
      <c r="H142" s="61"/>
      <c r="I142" s="61"/>
      <c r="J142" s="107"/>
      <c r="K142" s="100"/>
      <c r="L142" s="61"/>
      <c r="M142" s="61"/>
      <c r="N142" s="61"/>
    </row>
    <row r="143">
      <c r="A143" s="65"/>
      <c r="B143" s="65"/>
      <c r="C143" s="65"/>
      <c r="D143" s="65"/>
      <c r="E143" s="65"/>
      <c r="F143" s="65"/>
      <c r="G143" s="65"/>
      <c r="H143" s="65"/>
      <c r="I143" s="65"/>
      <c r="J143" s="108"/>
      <c r="K143" s="103"/>
      <c r="L143" s="65"/>
      <c r="M143" s="65"/>
      <c r="N143" s="65"/>
    </row>
    <row r="144">
      <c r="A144" s="61"/>
      <c r="B144" s="61"/>
      <c r="C144" s="61"/>
      <c r="D144" s="61"/>
      <c r="E144" s="61"/>
      <c r="F144" s="61"/>
      <c r="G144" s="61"/>
      <c r="H144" s="61"/>
      <c r="I144" s="61"/>
      <c r="J144" s="107"/>
      <c r="K144" s="100"/>
      <c r="L144" s="61"/>
      <c r="M144" s="61"/>
      <c r="N144" s="61"/>
    </row>
    <row r="145">
      <c r="A145" s="65"/>
      <c r="B145" s="65"/>
      <c r="C145" s="65"/>
      <c r="D145" s="65"/>
      <c r="E145" s="65"/>
      <c r="F145" s="65"/>
      <c r="G145" s="65"/>
      <c r="H145" s="65"/>
      <c r="I145" s="65"/>
      <c r="J145" s="108"/>
      <c r="K145" s="103"/>
      <c r="L145" s="65"/>
      <c r="M145" s="65"/>
      <c r="N145" s="65"/>
    </row>
    <row r="146">
      <c r="A146" s="61"/>
      <c r="B146" s="61"/>
      <c r="C146" s="61"/>
      <c r="D146" s="61"/>
      <c r="E146" s="61"/>
      <c r="F146" s="61"/>
      <c r="G146" s="61"/>
      <c r="H146" s="61"/>
      <c r="I146" s="61"/>
      <c r="J146" s="107"/>
      <c r="K146" s="100"/>
      <c r="L146" s="61"/>
      <c r="M146" s="61"/>
      <c r="N146" s="61"/>
    </row>
    <row r="147">
      <c r="A147" s="65"/>
      <c r="B147" s="65"/>
      <c r="C147" s="65"/>
      <c r="D147" s="65"/>
      <c r="E147" s="65"/>
      <c r="F147" s="65"/>
      <c r="G147" s="65"/>
      <c r="H147" s="65"/>
      <c r="I147" s="65"/>
      <c r="J147" s="108"/>
      <c r="K147" s="103"/>
      <c r="L147" s="65"/>
      <c r="M147" s="65"/>
      <c r="N147" s="65"/>
    </row>
    <row r="148">
      <c r="A148" s="61"/>
      <c r="B148" s="61"/>
      <c r="C148" s="61"/>
      <c r="D148" s="61"/>
      <c r="E148" s="61"/>
      <c r="F148" s="61"/>
      <c r="G148" s="61"/>
      <c r="H148" s="61"/>
      <c r="I148" s="61"/>
      <c r="J148" s="107"/>
      <c r="K148" s="100"/>
      <c r="L148" s="61"/>
      <c r="M148" s="61"/>
      <c r="N148" s="61"/>
    </row>
    <row r="149">
      <c r="A149" s="65"/>
      <c r="B149" s="65"/>
      <c r="C149" s="65"/>
      <c r="D149" s="65"/>
      <c r="E149" s="65"/>
      <c r="F149" s="65"/>
      <c r="G149" s="65"/>
      <c r="H149" s="65"/>
      <c r="I149" s="65"/>
      <c r="J149" s="108"/>
      <c r="K149" s="103"/>
      <c r="L149" s="65"/>
      <c r="M149" s="65"/>
      <c r="N149" s="65"/>
    </row>
    <row r="150">
      <c r="A150" s="61"/>
      <c r="B150" s="61"/>
      <c r="C150" s="61"/>
      <c r="D150" s="61"/>
      <c r="E150" s="61"/>
      <c r="F150" s="61"/>
      <c r="G150" s="61"/>
      <c r="H150" s="61"/>
      <c r="I150" s="61"/>
      <c r="J150" s="107"/>
      <c r="K150" s="100"/>
      <c r="L150" s="61"/>
      <c r="M150" s="61"/>
      <c r="N150" s="61"/>
    </row>
    <row r="151">
      <c r="A151" s="65"/>
      <c r="B151" s="65"/>
      <c r="C151" s="65"/>
      <c r="D151" s="65"/>
      <c r="E151" s="65"/>
      <c r="F151" s="65"/>
      <c r="G151" s="65"/>
      <c r="H151" s="65"/>
      <c r="I151" s="65"/>
      <c r="J151" s="108"/>
      <c r="K151" s="103"/>
      <c r="L151" s="65"/>
      <c r="M151" s="65"/>
      <c r="N151" s="65"/>
    </row>
    <row r="152">
      <c r="A152" s="61"/>
      <c r="B152" s="61"/>
      <c r="C152" s="61"/>
      <c r="D152" s="61"/>
      <c r="E152" s="61"/>
      <c r="F152" s="61"/>
      <c r="G152" s="61"/>
      <c r="H152" s="61"/>
      <c r="I152" s="61"/>
      <c r="J152" s="107"/>
      <c r="K152" s="100"/>
      <c r="L152" s="61"/>
      <c r="M152" s="61"/>
      <c r="N152" s="61"/>
    </row>
    <row r="153">
      <c r="A153" s="65"/>
      <c r="B153" s="65"/>
      <c r="C153" s="65"/>
      <c r="D153" s="65"/>
      <c r="E153" s="65"/>
      <c r="F153" s="65"/>
      <c r="G153" s="65"/>
      <c r="H153" s="65"/>
      <c r="I153" s="65"/>
      <c r="J153" s="108"/>
      <c r="K153" s="103"/>
      <c r="L153" s="65"/>
      <c r="M153" s="65"/>
      <c r="N153" s="65"/>
    </row>
    <row r="154">
      <c r="A154" s="61"/>
      <c r="B154" s="61"/>
      <c r="C154" s="61"/>
      <c r="D154" s="61"/>
      <c r="E154" s="61"/>
      <c r="F154" s="61"/>
      <c r="G154" s="61"/>
      <c r="H154" s="61"/>
      <c r="I154" s="61"/>
      <c r="J154" s="107"/>
      <c r="K154" s="100"/>
      <c r="L154" s="61"/>
      <c r="M154" s="61"/>
      <c r="N154" s="61"/>
    </row>
    <row r="155">
      <c r="A155" s="65"/>
      <c r="B155" s="65"/>
      <c r="C155" s="65"/>
      <c r="D155" s="65"/>
      <c r="E155" s="65"/>
      <c r="F155" s="65"/>
      <c r="G155" s="65"/>
      <c r="H155" s="65"/>
      <c r="I155" s="65"/>
      <c r="J155" s="108"/>
      <c r="K155" s="103"/>
      <c r="L155" s="65"/>
      <c r="M155" s="65"/>
      <c r="N155" s="65"/>
    </row>
    <row r="156">
      <c r="A156" s="61"/>
      <c r="B156" s="61"/>
      <c r="C156" s="61"/>
      <c r="D156" s="61"/>
      <c r="E156" s="61"/>
      <c r="F156" s="61"/>
      <c r="G156" s="61"/>
      <c r="H156" s="61"/>
      <c r="I156" s="61"/>
      <c r="J156" s="107"/>
      <c r="K156" s="100"/>
      <c r="L156" s="61"/>
      <c r="M156" s="61"/>
      <c r="N156" s="61"/>
    </row>
    <row r="157">
      <c r="A157" s="65"/>
      <c r="B157" s="65"/>
      <c r="C157" s="65"/>
      <c r="D157" s="65"/>
      <c r="E157" s="65"/>
      <c r="F157" s="65"/>
      <c r="G157" s="65"/>
      <c r="H157" s="65"/>
      <c r="I157" s="65"/>
      <c r="J157" s="108"/>
      <c r="K157" s="103"/>
      <c r="L157" s="65"/>
      <c r="M157" s="65"/>
      <c r="N157" s="65"/>
    </row>
    <row r="158">
      <c r="A158" s="61"/>
      <c r="B158" s="61"/>
      <c r="C158" s="61"/>
      <c r="D158" s="61"/>
      <c r="E158" s="61"/>
      <c r="F158" s="61"/>
      <c r="G158" s="61"/>
      <c r="H158" s="61"/>
      <c r="I158" s="61"/>
      <c r="J158" s="107"/>
      <c r="K158" s="100"/>
      <c r="L158" s="61"/>
      <c r="M158" s="61"/>
      <c r="N158" s="61"/>
    </row>
    <row r="159">
      <c r="A159" s="65"/>
      <c r="B159" s="65"/>
      <c r="C159" s="65"/>
      <c r="D159" s="65"/>
      <c r="E159" s="65"/>
      <c r="F159" s="65"/>
      <c r="G159" s="65"/>
      <c r="H159" s="65"/>
      <c r="I159" s="65"/>
      <c r="J159" s="108"/>
      <c r="K159" s="103"/>
      <c r="L159" s="65"/>
      <c r="M159" s="65"/>
      <c r="N159" s="65"/>
    </row>
    <row r="160">
      <c r="A160" s="61"/>
      <c r="B160" s="61"/>
      <c r="C160" s="61"/>
      <c r="D160" s="61"/>
      <c r="E160" s="61"/>
      <c r="F160" s="61"/>
      <c r="G160" s="61"/>
      <c r="H160" s="61"/>
      <c r="I160" s="61"/>
      <c r="J160" s="107"/>
      <c r="K160" s="100"/>
      <c r="L160" s="61"/>
      <c r="M160" s="61"/>
      <c r="N160" s="61"/>
    </row>
    <row r="161">
      <c r="A161" s="65"/>
      <c r="B161" s="65"/>
      <c r="C161" s="65"/>
      <c r="D161" s="65"/>
      <c r="E161" s="65"/>
      <c r="F161" s="65"/>
      <c r="G161" s="65"/>
      <c r="H161" s="65"/>
      <c r="I161" s="65"/>
      <c r="J161" s="108"/>
      <c r="K161" s="103"/>
      <c r="L161" s="65"/>
      <c r="M161" s="65"/>
      <c r="N161" s="65"/>
    </row>
    <row r="162">
      <c r="A162" s="61"/>
      <c r="B162" s="61"/>
      <c r="C162" s="61"/>
      <c r="D162" s="61"/>
      <c r="E162" s="61"/>
      <c r="F162" s="61"/>
      <c r="G162" s="61"/>
      <c r="H162" s="61"/>
      <c r="I162" s="61"/>
      <c r="J162" s="107"/>
      <c r="K162" s="100"/>
      <c r="L162" s="61"/>
      <c r="M162" s="61"/>
      <c r="N162" s="61"/>
    </row>
    <row r="163">
      <c r="A163" s="65"/>
      <c r="B163" s="65"/>
      <c r="C163" s="65"/>
      <c r="D163" s="65"/>
      <c r="E163" s="65"/>
      <c r="F163" s="65"/>
      <c r="G163" s="65"/>
      <c r="H163" s="65"/>
      <c r="I163" s="65"/>
      <c r="J163" s="108"/>
      <c r="K163" s="103"/>
      <c r="L163" s="65"/>
      <c r="M163" s="65"/>
      <c r="N163" s="65"/>
    </row>
    <row r="164">
      <c r="A164" s="61"/>
      <c r="B164" s="61"/>
      <c r="C164" s="61"/>
      <c r="D164" s="61"/>
      <c r="E164" s="61"/>
      <c r="F164" s="61"/>
      <c r="G164" s="61"/>
      <c r="H164" s="61"/>
      <c r="I164" s="61"/>
      <c r="J164" s="107"/>
      <c r="K164" s="100"/>
      <c r="L164" s="61"/>
      <c r="M164" s="61"/>
      <c r="N164" s="61"/>
    </row>
    <row r="165">
      <c r="A165" s="65"/>
      <c r="B165" s="65"/>
      <c r="C165" s="65"/>
      <c r="D165" s="65"/>
      <c r="E165" s="65"/>
      <c r="F165" s="65"/>
      <c r="G165" s="65"/>
      <c r="H165" s="65"/>
      <c r="I165" s="65"/>
      <c r="J165" s="108"/>
      <c r="K165" s="103"/>
      <c r="L165" s="65"/>
      <c r="M165" s="65"/>
      <c r="N165" s="65"/>
    </row>
    <row r="166">
      <c r="A166" s="61"/>
      <c r="B166" s="61"/>
      <c r="C166" s="61"/>
      <c r="D166" s="61"/>
      <c r="E166" s="61"/>
      <c r="F166" s="61"/>
      <c r="G166" s="61"/>
      <c r="H166" s="61"/>
      <c r="I166" s="61"/>
      <c r="J166" s="107"/>
      <c r="K166" s="100"/>
      <c r="L166" s="61"/>
      <c r="M166" s="61"/>
      <c r="N166" s="61"/>
    </row>
    <row r="167">
      <c r="A167" s="65"/>
      <c r="B167" s="65"/>
      <c r="C167" s="65"/>
      <c r="D167" s="65"/>
      <c r="E167" s="65"/>
      <c r="F167" s="65"/>
      <c r="G167" s="65"/>
      <c r="H167" s="65"/>
      <c r="I167" s="65"/>
      <c r="J167" s="108"/>
      <c r="K167" s="103"/>
      <c r="L167" s="65"/>
      <c r="M167" s="65"/>
      <c r="N167" s="65"/>
    </row>
    <row r="168">
      <c r="A168" s="61"/>
      <c r="B168" s="61"/>
      <c r="C168" s="61"/>
      <c r="D168" s="61"/>
      <c r="E168" s="61"/>
      <c r="F168" s="61"/>
      <c r="G168" s="61"/>
      <c r="H168" s="61"/>
      <c r="I168" s="61"/>
      <c r="J168" s="107"/>
      <c r="K168" s="100"/>
      <c r="L168" s="61"/>
      <c r="M168" s="61"/>
      <c r="N168" s="61"/>
    </row>
    <row r="169">
      <c r="A169" s="65"/>
      <c r="B169" s="65"/>
      <c r="C169" s="65"/>
      <c r="D169" s="65"/>
      <c r="E169" s="65"/>
      <c r="F169" s="65"/>
      <c r="G169" s="65"/>
      <c r="H169" s="65"/>
      <c r="I169" s="65"/>
      <c r="J169" s="108"/>
      <c r="K169" s="103"/>
      <c r="L169" s="65"/>
      <c r="M169" s="65"/>
      <c r="N169" s="65"/>
    </row>
    <row r="170">
      <c r="A170" s="61"/>
      <c r="B170" s="61"/>
      <c r="C170" s="61"/>
      <c r="D170" s="61"/>
      <c r="E170" s="61"/>
      <c r="F170" s="61"/>
      <c r="G170" s="61"/>
      <c r="H170" s="61"/>
      <c r="I170" s="61"/>
      <c r="J170" s="107"/>
      <c r="K170" s="100"/>
      <c r="L170" s="61"/>
      <c r="M170" s="61"/>
      <c r="N170" s="61"/>
    </row>
    <row r="171">
      <c r="A171" s="65"/>
      <c r="B171" s="65"/>
      <c r="C171" s="65"/>
      <c r="D171" s="65"/>
      <c r="E171" s="65"/>
      <c r="F171" s="65"/>
      <c r="G171" s="65"/>
      <c r="H171" s="65"/>
      <c r="I171" s="65"/>
      <c r="J171" s="108"/>
      <c r="K171" s="103"/>
      <c r="L171" s="65"/>
      <c r="M171" s="65"/>
      <c r="N171" s="65"/>
    </row>
    <row r="172">
      <c r="A172" s="61"/>
      <c r="B172" s="61"/>
      <c r="C172" s="61"/>
      <c r="D172" s="61"/>
      <c r="E172" s="61"/>
      <c r="F172" s="61"/>
      <c r="G172" s="61"/>
      <c r="H172" s="61"/>
      <c r="I172" s="61"/>
      <c r="J172" s="107"/>
      <c r="K172" s="100"/>
      <c r="L172" s="61"/>
      <c r="M172" s="61"/>
      <c r="N172" s="61"/>
    </row>
    <row r="173">
      <c r="A173" s="65"/>
      <c r="B173" s="65"/>
      <c r="C173" s="65"/>
      <c r="D173" s="65"/>
      <c r="E173" s="65"/>
      <c r="F173" s="65"/>
      <c r="G173" s="65"/>
      <c r="H173" s="65"/>
      <c r="I173" s="65"/>
      <c r="J173" s="108"/>
      <c r="K173" s="103"/>
      <c r="L173" s="65"/>
      <c r="M173" s="65"/>
      <c r="N173" s="65"/>
    </row>
    <row r="174">
      <c r="A174" s="61"/>
      <c r="B174" s="61"/>
      <c r="C174" s="61"/>
      <c r="D174" s="61"/>
      <c r="E174" s="61"/>
      <c r="F174" s="61"/>
      <c r="G174" s="61"/>
      <c r="H174" s="61"/>
      <c r="I174" s="61"/>
      <c r="J174" s="107"/>
      <c r="K174" s="100"/>
      <c r="L174" s="61"/>
      <c r="M174" s="61"/>
      <c r="N174" s="61"/>
    </row>
    <row r="175">
      <c r="A175" s="65"/>
      <c r="B175" s="65"/>
      <c r="C175" s="65"/>
      <c r="D175" s="65"/>
      <c r="E175" s="65"/>
      <c r="F175" s="65"/>
      <c r="G175" s="65"/>
      <c r="H175" s="65"/>
      <c r="I175" s="65"/>
      <c r="J175" s="108"/>
      <c r="K175" s="103"/>
      <c r="L175" s="65"/>
      <c r="M175" s="65"/>
      <c r="N175" s="65"/>
    </row>
    <row r="176">
      <c r="A176" s="61"/>
      <c r="B176" s="61"/>
      <c r="C176" s="61"/>
      <c r="D176" s="61"/>
      <c r="E176" s="61"/>
      <c r="F176" s="61"/>
      <c r="G176" s="61"/>
      <c r="H176" s="61"/>
      <c r="I176" s="61"/>
      <c r="J176" s="107"/>
      <c r="K176" s="100"/>
      <c r="L176" s="61"/>
      <c r="M176" s="61"/>
      <c r="N176" s="61"/>
    </row>
    <row r="177">
      <c r="A177" s="65"/>
      <c r="B177" s="65"/>
      <c r="C177" s="65"/>
      <c r="D177" s="65"/>
      <c r="E177" s="65"/>
      <c r="F177" s="65"/>
      <c r="G177" s="65"/>
      <c r="H177" s="65"/>
      <c r="I177" s="65"/>
      <c r="J177" s="108"/>
      <c r="K177" s="103"/>
      <c r="L177" s="65"/>
      <c r="M177" s="65"/>
      <c r="N177" s="65"/>
    </row>
    <row r="178">
      <c r="A178" s="61"/>
      <c r="B178" s="61"/>
      <c r="C178" s="61"/>
      <c r="D178" s="61"/>
      <c r="E178" s="61"/>
      <c r="F178" s="61"/>
      <c r="G178" s="61"/>
      <c r="H178" s="61"/>
      <c r="I178" s="61"/>
      <c r="J178" s="107"/>
      <c r="K178" s="100"/>
      <c r="L178" s="61"/>
      <c r="M178" s="61"/>
      <c r="N178" s="61"/>
    </row>
    <row r="179">
      <c r="A179" s="65"/>
      <c r="B179" s="65"/>
      <c r="C179" s="65"/>
      <c r="D179" s="65"/>
      <c r="E179" s="65"/>
      <c r="F179" s="65"/>
      <c r="G179" s="65"/>
      <c r="H179" s="65"/>
      <c r="I179" s="65"/>
      <c r="J179" s="108"/>
      <c r="K179" s="103"/>
      <c r="L179" s="65"/>
      <c r="M179" s="65"/>
      <c r="N179" s="65"/>
    </row>
    <row r="180">
      <c r="A180" s="61"/>
      <c r="B180" s="61"/>
      <c r="C180" s="61"/>
      <c r="D180" s="61"/>
      <c r="E180" s="61"/>
      <c r="F180" s="61"/>
      <c r="G180" s="61"/>
      <c r="H180" s="61"/>
      <c r="I180" s="61"/>
      <c r="J180" s="107"/>
      <c r="K180" s="100"/>
      <c r="L180" s="61"/>
      <c r="M180" s="61"/>
      <c r="N180" s="61"/>
    </row>
    <row r="181">
      <c r="A181" s="65"/>
      <c r="B181" s="65"/>
      <c r="C181" s="65"/>
      <c r="D181" s="65"/>
      <c r="E181" s="65"/>
      <c r="F181" s="65"/>
      <c r="G181" s="65"/>
      <c r="H181" s="65"/>
      <c r="I181" s="65"/>
      <c r="J181" s="108"/>
      <c r="K181" s="103"/>
      <c r="L181" s="65"/>
      <c r="M181" s="65"/>
      <c r="N181" s="65"/>
    </row>
    <row r="182">
      <c r="A182" s="61"/>
      <c r="B182" s="61"/>
      <c r="C182" s="61"/>
      <c r="D182" s="61"/>
      <c r="E182" s="61"/>
      <c r="F182" s="61"/>
      <c r="G182" s="61"/>
      <c r="H182" s="61"/>
      <c r="I182" s="61"/>
      <c r="J182" s="107"/>
      <c r="K182" s="100"/>
      <c r="L182" s="61"/>
      <c r="M182" s="61"/>
      <c r="N182" s="61"/>
    </row>
    <row r="183">
      <c r="A183" s="65"/>
      <c r="B183" s="65"/>
      <c r="C183" s="65"/>
      <c r="D183" s="65"/>
      <c r="E183" s="65"/>
      <c r="F183" s="65"/>
      <c r="G183" s="65"/>
      <c r="H183" s="65"/>
      <c r="I183" s="65"/>
      <c r="J183" s="108"/>
      <c r="K183" s="103"/>
      <c r="L183" s="65"/>
      <c r="M183" s="65"/>
      <c r="N183" s="65"/>
    </row>
    <row r="184">
      <c r="A184" s="61"/>
      <c r="B184" s="61"/>
      <c r="C184" s="61"/>
      <c r="D184" s="61"/>
      <c r="E184" s="61"/>
      <c r="F184" s="61"/>
      <c r="G184" s="61"/>
      <c r="H184" s="61"/>
      <c r="I184" s="61"/>
      <c r="J184" s="107"/>
      <c r="K184" s="100"/>
      <c r="L184" s="61"/>
      <c r="M184" s="61"/>
      <c r="N184" s="61"/>
    </row>
    <row r="185">
      <c r="A185" s="65"/>
      <c r="B185" s="65"/>
      <c r="C185" s="65"/>
      <c r="D185" s="65"/>
      <c r="E185" s="65"/>
      <c r="F185" s="65"/>
      <c r="G185" s="65"/>
      <c r="H185" s="65"/>
      <c r="I185" s="65"/>
      <c r="J185" s="108"/>
      <c r="K185" s="103"/>
      <c r="L185" s="65"/>
      <c r="M185" s="65"/>
      <c r="N185" s="65"/>
    </row>
    <row r="186">
      <c r="A186" s="61"/>
      <c r="B186" s="61"/>
      <c r="C186" s="61"/>
      <c r="D186" s="61"/>
      <c r="E186" s="61"/>
      <c r="F186" s="61"/>
      <c r="G186" s="61"/>
      <c r="H186" s="61"/>
      <c r="I186" s="61"/>
      <c r="J186" s="107"/>
      <c r="K186" s="100"/>
      <c r="L186" s="61"/>
      <c r="M186" s="61"/>
      <c r="N186" s="61"/>
    </row>
    <row r="187">
      <c r="A187" s="65"/>
      <c r="B187" s="65"/>
      <c r="C187" s="65"/>
      <c r="D187" s="65"/>
      <c r="E187" s="65"/>
      <c r="F187" s="65"/>
      <c r="G187" s="65"/>
      <c r="H187" s="65"/>
      <c r="I187" s="65"/>
      <c r="J187" s="108"/>
      <c r="K187" s="103"/>
      <c r="L187" s="65"/>
      <c r="M187" s="65"/>
      <c r="N187" s="65"/>
    </row>
    <row r="188">
      <c r="A188" s="61"/>
      <c r="B188" s="61"/>
      <c r="C188" s="61"/>
      <c r="D188" s="61"/>
      <c r="E188" s="61"/>
      <c r="F188" s="61"/>
      <c r="G188" s="61"/>
      <c r="H188" s="61"/>
      <c r="I188" s="61"/>
      <c r="J188" s="107"/>
      <c r="K188" s="100"/>
      <c r="L188" s="61"/>
      <c r="M188" s="61"/>
      <c r="N188" s="61"/>
    </row>
    <row r="189">
      <c r="A189" s="65"/>
      <c r="B189" s="65"/>
      <c r="C189" s="65"/>
      <c r="D189" s="65"/>
      <c r="E189" s="65"/>
      <c r="F189" s="65"/>
      <c r="G189" s="65"/>
      <c r="H189" s="65"/>
      <c r="I189" s="65"/>
      <c r="J189" s="108"/>
      <c r="K189" s="103"/>
      <c r="L189" s="65"/>
      <c r="M189" s="65"/>
      <c r="N189" s="65"/>
    </row>
    <row r="190">
      <c r="A190" s="61"/>
      <c r="B190" s="61"/>
      <c r="C190" s="61"/>
      <c r="D190" s="61"/>
      <c r="E190" s="61"/>
      <c r="F190" s="61"/>
      <c r="G190" s="61"/>
      <c r="H190" s="61"/>
      <c r="I190" s="61"/>
      <c r="J190" s="107"/>
      <c r="K190" s="100"/>
      <c r="L190" s="61"/>
      <c r="M190" s="61"/>
      <c r="N190" s="61"/>
    </row>
    <row r="191">
      <c r="A191" s="65"/>
      <c r="B191" s="65"/>
      <c r="C191" s="65"/>
      <c r="D191" s="65"/>
      <c r="E191" s="65"/>
      <c r="F191" s="65"/>
      <c r="G191" s="65"/>
      <c r="H191" s="65"/>
      <c r="I191" s="65"/>
      <c r="J191" s="108"/>
      <c r="K191" s="103"/>
      <c r="L191" s="65"/>
      <c r="M191" s="65"/>
      <c r="N191" s="65"/>
    </row>
    <row r="192">
      <c r="A192" s="61"/>
      <c r="B192" s="61"/>
      <c r="C192" s="61"/>
      <c r="D192" s="61"/>
      <c r="E192" s="61"/>
      <c r="F192" s="61"/>
      <c r="G192" s="61"/>
      <c r="H192" s="61"/>
      <c r="I192" s="61"/>
      <c r="J192" s="107"/>
      <c r="K192" s="100"/>
      <c r="L192" s="61"/>
      <c r="M192" s="61"/>
      <c r="N192" s="61"/>
    </row>
    <row r="193">
      <c r="A193" s="65"/>
      <c r="B193" s="65"/>
      <c r="C193" s="65"/>
      <c r="D193" s="65"/>
      <c r="E193" s="65"/>
      <c r="F193" s="65"/>
      <c r="G193" s="65"/>
      <c r="H193" s="65"/>
      <c r="I193" s="65"/>
      <c r="J193" s="108"/>
      <c r="K193" s="103"/>
      <c r="L193" s="65"/>
      <c r="M193" s="65"/>
      <c r="N193" s="65"/>
    </row>
    <row r="194">
      <c r="A194" s="61"/>
      <c r="B194" s="61"/>
      <c r="C194" s="61"/>
      <c r="D194" s="61"/>
      <c r="E194" s="61"/>
      <c r="F194" s="61"/>
      <c r="G194" s="61"/>
      <c r="H194" s="61"/>
      <c r="I194" s="61"/>
      <c r="J194" s="107"/>
      <c r="K194" s="100"/>
      <c r="L194" s="61"/>
      <c r="M194" s="61"/>
      <c r="N194" s="61"/>
    </row>
    <row r="195">
      <c r="A195" s="65"/>
      <c r="B195" s="65"/>
      <c r="C195" s="65"/>
      <c r="D195" s="65"/>
      <c r="E195" s="65"/>
      <c r="F195" s="65"/>
      <c r="G195" s="65"/>
      <c r="H195" s="65"/>
      <c r="I195" s="65"/>
      <c r="J195" s="108"/>
      <c r="K195" s="103"/>
      <c r="L195" s="65"/>
      <c r="M195" s="65"/>
      <c r="N195" s="65"/>
    </row>
    <row r="196">
      <c r="A196" s="61"/>
      <c r="B196" s="61"/>
      <c r="C196" s="61"/>
      <c r="D196" s="61"/>
      <c r="E196" s="61"/>
      <c r="F196" s="61"/>
      <c r="G196" s="61"/>
      <c r="H196" s="61"/>
      <c r="I196" s="61"/>
      <c r="J196" s="107"/>
      <c r="K196" s="100"/>
      <c r="L196" s="61"/>
      <c r="M196" s="61"/>
      <c r="N196" s="61"/>
    </row>
    <row r="197">
      <c r="A197" s="65"/>
      <c r="B197" s="65"/>
      <c r="C197" s="65"/>
      <c r="D197" s="65"/>
      <c r="E197" s="65"/>
      <c r="F197" s="65"/>
      <c r="G197" s="65"/>
      <c r="H197" s="65"/>
      <c r="I197" s="65"/>
      <c r="J197" s="108"/>
      <c r="K197" s="103"/>
      <c r="L197" s="65"/>
      <c r="M197" s="65"/>
      <c r="N197" s="65"/>
    </row>
    <row r="198">
      <c r="A198" s="61"/>
      <c r="B198" s="61"/>
      <c r="C198" s="61"/>
      <c r="D198" s="61"/>
      <c r="E198" s="61"/>
      <c r="F198" s="61"/>
      <c r="G198" s="61"/>
      <c r="H198" s="61"/>
      <c r="I198" s="61"/>
      <c r="J198" s="107"/>
      <c r="K198" s="100"/>
      <c r="L198" s="61"/>
      <c r="M198" s="61"/>
      <c r="N198" s="61"/>
    </row>
    <row r="199">
      <c r="A199" s="65"/>
      <c r="B199" s="65"/>
      <c r="C199" s="65"/>
      <c r="D199" s="65"/>
      <c r="E199" s="65"/>
      <c r="F199" s="65"/>
      <c r="G199" s="65"/>
      <c r="H199" s="65"/>
      <c r="I199" s="65"/>
      <c r="J199" s="108"/>
      <c r="K199" s="103"/>
      <c r="L199" s="65"/>
      <c r="M199" s="65"/>
      <c r="N199" s="65"/>
    </row>
    <row r="200">
      <c r="A200" s="61"/>
      <c r="B200" s="61"/>
      <c r="C200" s="61"/>
      <c r="D200" s="61"/>
      <c r="E200" s="61"/>
      <c r="F200" s="61"/>
      <c r="G200" s="61"/>
      <c r="H200" s="61"/>
      <c r="I200" s="61"/>
      <c r="J200" s="107"/>
      <c r="K200" s="100"/>
      <c r="L200" s="61"/>
      <c r="M200" s="61"/>
      <c r="N200" s="61"/>
    </row>
    <row r="201">
      <c r="A201" s="65"/>
      <c r="B201" s="65"/>
      <c r="C201" s="65"/>
      <c r="D201" s="65"/>
      <c r="E201" s="65"/>
      <c r="F201" s="65"/>
      <c r="G201" s="65"/>
      <c r="H201" s="65"/>
      <c r="I201" s="65"/>
      <c r="J201" s="108"/>
      <c r="K201" s="103"/>
      <c r="L201" s="65"/>
      <c r="M201" s="65"/>
      <c r="N201" s="65"/>
    </row>
    <row r="202">
      <c r="A202" s="61"/>
      <c r="B202" s="61"/>
      <c r="C202" s="61"/>
      <c r="D202" s="61"/>
      <c r="E202" s="61"/>
      <c r="F202" s="61"/>
      <c r="G202" s="61"/>
      <c r="H202" s="61"/>
      <c r="I202" s="61"/>
      <c r="J202" s="107"/>
      <c r="K202" s="100"/>
      <c r="L202" s="61"/>
      <c r="M202" s="61"/>
      <c r="N202" s="61"/>
    </row>
    <row r="203">
      <c r="A203" s="65"/>
      <c r="B203" s="65"/>
      <c r="C203" s="65"/>
      <c r="D203" s="65"/>
      <c r="E203" s="65"/>
      <c r="F203" s="65"/>
      <c r="G203" s="65"/>
      <c r="H203" s="65"/>
      <c r="I203" s="65"/>
      <c r="J203" s="108"/>
      <c r="K203" s="103"/>
      <c r="L203" s="65"/>
      <c r="M203" s="65"/>
      <c r="N203" s="65"/>
    </row>
    <row r="204">
      <c r="A204" s="61"/>
      <c r="B204" s="61"/>
      <c r="C204" s="61"/>
      <c r="D204" s="61"/>
      <c r="E204" s="61"/>
      <c r="F204" s="61"/>
      <c r="G204" s="61"/>
      <c r="H204" s="61"/>
      <c r="I204" s="61"/>
      <c r="J204" s="107"/>
      <c r="K204" s="100"/>
      <c r="L204" s="61"/>
      <c r="M204" s="61"/>
      <c r="N204" s="61"/>
    </row>
    <row r="205">
      <c r="A205" s="65"/>
      <c r="B205" s="65"/>
      <c r="C205" s="65"/>
      <c r="D205" s="65"/>
      <c r="E205" s="65"/>
      <c r="F205" s="65"/>
      <c r="G205" s="65"/>
      <c r="H205" s="65"/>
      <c r="I205" s="65"/>
      <c r="J205" s="108"/>
      <c r="K205" s="103"/>
      <c r="L205" s="65"/>
      <c r="M205" s="65"/>
      <c r="N205" s="65"/>
    </row>
    <row r="206">
      <c r="A206" s="61"/>
      <c r="B206" s="61"/>
      <c r="C206" s="61"/>
      <c r="D206" s="61"/>
      <c r="E206" s="61"/>
      <c r="F206" s="61"/>
      <c r="G206" s="61"/>
      <c r="H206" s="61"/>
      <c r="I206" s="61"/>
      <c r="J206" s="107"/>
      <c r="K206" s="100"/>
      <c r="L206" s="61"/>
      <c r="M206" s="61"/>
      <c r="N206" s="61"/>
    </row>
    <row r="207">
      <c r="A207" s="65"/>
      <c r="B207" s="65"/>
      <c r="C207" s="65"/>
      <c r="D207" s="65"/>
      <c r="E207" s="65"/>
      <c r="F207" s="65"/>
      <c r="G207" s="65"/>
      <c r="H207" s="65"/>
      <c r="I207" s="65"/>
      <c r="J207" s="108"/>
      <c r="K207" s="103"/>
      <c r="L207" s="65"/>
      <c r="M207" s="65"/>
      <c r="N207" s="65"/>
    </row>
    <row r="208">
      <c r="A208" s="61"/>
      <c r="B208" s="61"/>
      <c r="C208" s="61"/>
      <c r="D208" s="61"/>
      <c r="E208" s="61"/>
      <c r="F208" s="61"/>
      <c r="G208" s="61"/>
      <c r="H208" s="61"/>
      <c r="I208" s="61"/>
      <c r="J208" s="107"/>
      <c r="K208" s="100"/>
      <c r="L208" s="61"/>
      <c r="M208" s="61"/>
      <c r="N208" s="61"/>
    </row>
    <row r="209">
      <c r="A209" s="65"/>
      <c r="B209" s="65"/>
      <c r="C209" s="65"/>
      <c r="D209" s="65"/>
      <c r="E209" s="65"/>
      <c r="F209" s="65"/>
      <c r="G209" s="65"/>
      <c r="H209" s="65"/>
      <c r="I209" s="65"/>
      <c r="J209" s="108"/>
      <c r="K209" s="103"/>
      <c r="L209" s="65"/>
      <c r="M209" s="65"/>
      <c r="N209" s="65"/>
    </row>
    <row r="210">
      <c r="A210" s="61"/>
      <c r="B210" s="61"/>
      <c r="C210" s="61"/>
      <c r="D210" s="61"/>
      <c r="E210" s="61"/>
      <c r="F210" s="61"/>
      <c r="G210" s="61"/>
      <c r="H210" s="61"/>
      <c r="I210" s="61"/>
      <c r="J210" s="107"/>
      <c r="K210" s="100"/>
      <c r="L210" s="61"/>
      <c r="M210" s="61"/>
      <c r="N210" s="61"/>
    </row>
    <row r="211">
      <c r="A211" s="65"/>
      <c r="B211" s="65"/>
      <c r="C211" s="65"/>
      <c r="D211" s="65"/>
      <c r="E211" s="65"/>
      <c r="F211" s="65"/>
      <c r="G211" s="65"/>
      <c r="H211" s="65"/>
      <c r="I211" s="65"/>
      <c r="J211" s="108"/>
      <c r="K211" s="103"/>
      <c r="L211" s="65"/>
      <c r="M211" s="65"/>
      <c r="N211" s="65"/>
    </row>
    <row r="212">
      <c r="A212" s="61"/>
      <c r="B212" s="61"/>
      <c r="C212" s="61"/>
      <c r="D212" s="61"/>
      <c r="E212" s="61"/>
      <c r="F212" s="61"/>
      <c r="G212" s="61"/>
      <c r="H212" s="61"/>
      <c r="I212" s="61"/>
      <c r="J212" s="107"/>
      <c r="K212" s="100"/>
      <c r="L212" s="61"/>
      <c r="M212" s="61"/>
      <c r="N212" s="61"/>
    </row>
    <row r="213">
      <c r="A213" s="65"/>
      <c r="B213" s="65"/>
      <c r="C213" s="65"/>
      <c r="D213" s="65"/>
      <c r="E213" s="65"/>
      <c r="F213" s="65"/>
      <c r="G213" s="65"/>
      <c r="H213" s="65"/>
      <c r="I213" s="65"/>
      <c r="J213" s="108"/>
      <c r="K213" s="103"/>
      <c r="L213" s="65"/>
      <c r="M213" s="65"/>
      <c r="N213" s="65"/>
    </row>
    <row r="214">
      <c r="A214" s="61"/>
      <c r="B214" s="61"/>
      <c r="C214" s="61"/>
      <c r="D214" s="61"/>
      <c r="E214" s="61"/>
      <c r="F214" s="61"/>
      <c r="G214" s="61"/>
      <c r="H214" s="61"/>
      <c r="I214" s="61"/>
      <c r="J214" s="107"/>
      <c r="K214" s="100"/>
      <c r="L214" s="61"/>
      <c r="M214" s="61"/>
      <c r="N214" s="61"/>
    </row>
    <row r="215">
      <c r="A215" s="65"/>
      <c r="B215" s="65"/>
      <c r="C215" s="65"/>
      <c r="D215" s="65"/>
      <c r="E215" s="65"/>
      <c r="F215" s="65"/>
      <c r="G215" s="65"/>
      <c r="H215" s="65"/>
      <c r="I215" s="65"/>
      <c r="J215" s="108"/>
      <c r="K215" s="103"/>
      <c r="L215" s="65"/>
      <c r="M215" s="65"/>
      <c r="N215" s="65"/>
    </row>
    <row r="216">
      <c r="A216" s="61"/>
      <c r="B216" s="61"/>
      <c r="C216" s="61"/>
      <c r="D216" s="61"/>
      <c r="E216" s="61"/>
      <c r="F216" s="61"/>
      <c r="G216" s="61"/>
      <c r="H216" s="61"/>
      <c r="I216" s="61"/>
      <c r="J216" s="107"/>
      <c r="K216" s="100"/>
      <c r="L216" s="61"/>
      <c r="M216" s="61"/>
      <c r="N216" s="61"/>
    </row>
    <row r="217">
      <c r="A217" s="65"/>
      <c r="B217" s="65"/>
      <c r="C217" s="65"/>
      <c r="D217" s="65"/>
      <c r="E217" s="65"/>
      <c r="F217" s="65"/>
      <c r="G217" s="65"/>
      <c r="H217" s="65"/>
      <c r="I217" s="65"/>
      <c r="J217" s="108"/>
      <c r="K217" s="103"/>
      <c r="L217" s="65"/>
      <c r="M217" s="65"/>
      <c r="N217" s="65"/>
    </row>
    <row r="218">
      <c r="A218" s="61"/>
      <c r="B218" s="61"/>
      <c r="C218" s="61"/>
      <c r="D218" s="61"/>
      <c r="E218" s="61"/>
      <c r="F218" s="61"/>
      <c r="G218" s="61"/>
      <c r="H218" s="61"/>
      <c r="I218" s="61"/>
      <c r="J218" s="107"/>
      <c r="K218" s="100"/>
      <c r="L218" s="61"/>
      <c r="M218" s="61"/>
      <c r="N218" s="61"/>
    </row>
    <row r="219">
      <c r="A219" s="65"/>
      <c r="B219" s="65"/>
      <c r="C219" s="65"/>
      <c r="D219" s="65"/>
      <c r="E219" s="65"/>
      <c r="F219" s="65"/>
      <c r="G219" s="65"/>
      <c r="H219" s="65"/>
      <c r="I219" s="65"/>
      <c r="J219" s="108"/>
      <c r="K219" s="103"/>
      <c r="L219" s="65"/>
      <c r="M219" s="65"/>
      <c r="N219" s="65"/>
    </row>
    <row r="220">
      <c r="A220" s="61"/>
      <c r="B220" s="61"/>
      <c r="C220" s="61"/>
      <c r="D220" s="61"/>
      <c r="E220" s="61"/>
      <c r="F220" s="61"/>
      <c r="G220" s="61"/>
      <c r="H220" s="61"/>
      <c r="I220" s="61"/>
      <c r="J220" s="107"/>
      <c r="K220" s="100"/>
      <c r="L220" s="61"/>
      <c r="M220" s="61"/>
      <c r="N220" s="61"/>
    </row>
    <row r="221">
      <c r="A221" s="65"/>
      <c r="B221" s="65"/>
      <c r="C221" s="65"/>
      <c r="D221" s="65"/>
      <c r="E221" s="65"/>
      <c r="F221" s="65"/>
      <c r="G221" s="65"/>
      <c r="H221" s="65"/>
      <c r="I221" s="65"/>
      <c r="J221" s="108"/>
      <c r="K221" s="103"/>
      <c r="L221" s="65"/>
      <c r="M221" s="65"/>
      <c r="N221" s="65"/>
    </row>
    <row r="222">
      <c r="A222" s="61"/>
      <c r="B222" s="61"/>
      <c r="C222" s="61"/>
      <c r="D222" s="61"/>
      <c r="E222" s="61"/>
      <c r="F222" s="61"/>
      <c r="G222" s="61"/>
      <c r="H222" s="61"/>
      <c r="I222" s="61"/>
      <c r="J222" s="107"/>
      <c r="K222" s="100"/>
      <c r="L222" s="61"/>
      <c r="M222" s="61"/>
      <c r="N222" s="61"/>
    </row>
    <row r="223">
      <c r="A223" s="65"/>
      <c r="B223" s="65"/>
      <c r="C223" s="65"/>
      <c r="D223" s="65"/>
      <c r="E223" s="65"/>
      <c r="F223" s="65"/>
      <c r="G223" s="65"/>
      <c r="H223" s="65"/>
      <c r="I223" s="65"/>
      <c r="J223" s="108"/>
      <c r="K223" s="103"/>
      <c r="L223" s="65"/>
      <c r="M223" s="65"/>
      <c r="N223" s="65"/>
    </row>
    <row r="224">
      <c r="A224" s="61"/>
      <c r="B224" s="61"/>
      <c r="C224" s="61"/>
      <c r="D224" s="61"/>
      <c r="E224" s="61"/>
      <c r="F224" s="61"/>
      <c r="G224" s="61"/>
      <c r="H224" s="61"/>
      <c r="I224" s="61"/>
      <c r="J224" s="107"/>
      <c r="K224" s="100"/>
      <c r="L224" s="61"/>
      <c r="M224" s="61"/>
      <c r="N224" s="61"/>
    </row>
    <row r="225">
      <c r="A225" s="65"/>
      <c r="B225" s="65"/>
      <c r="C225" s="65"/>
      <c r="D225" s="65"/>
      <c r="E225" s="65"/>
      <c r="F225" s="65"/>
      <c r="G225" s="65"/>
      <c r="H225" s="65"/>
      <c r="I225" s="65"/>
      <c r="J225" s="108"/>
      <c r="K225" s="103"/>
      <c r="L225" s="65"/>
      <c r="M225" s="65"/>
      <c r="N225" s="65"/>
    </row>
    <row r="226">
      <c r="A226" s="61"/>
      <c r="B226" s="61"/>
      <c r="C226" s="61"/>
      <c r="D226" s="61"/>
      <c r="E226" s="61"/>
      <c r="F226" s="61"/>
      <c r="G226" s="61"/>
      <c r="H226" s="61"/>
      <c r="I226" s="61"/>
      <c r="J226" s="107"/>
      <c r="K226" s="100"/>
      <c r="L226" s="61"/>
      <c r="M226" s="61"/>
      <c r="N226" s="61"/>
    </row>
    <row r="227">
      <c r="A227" s="65"/>
      <c r="B227" s="65"/>
      <c r="C227" s="65"/>
      <c r="D227" s="65"/>
      <c r="E227" s="65"/>
      <c r="F227" s="65"/>
      <c r="G227" s="65"/>
      <c r="H227" s="65"/>
      <c r="I227" s="65"/>
      <c r="J227" s="108"/>
      <c r="K227" s="103"/>
      <c r="L227" s="65"/>
      <c r="M227" s="65"/>
      <c r="N227" s="65"/>
    </row>
    <row r="228">
      <c r="A228" s="61"/>
      <c r="B228" s="61"/>
      <c r="C228" s="61"/>
      <c r="D228" s="61"/>
      <c r="E228" s="61"/>
      <c r="F228" s="61"/>
      <c r="G228" s="61"/>
      <c r="H228" s="61"/>
      <c r="I228" s="61"/>
      <c r="J228" s="107"/>
      <c r="K228" s="100"/>
      <c r="L228" s="61"/>
      <c r="M228" s="61"/>
      <c r="N228" s="61"/>
    </row>
    <row r="229">
      <c r="A229" s="65"/>
      <c r="B229" s="65"/>
      <c r="C229" s="65"/>
      <c r="D229" s="65"/>
      <c r="E229" s="65"/>
      <c r="F229" s="65"/>
      <c r="G229" s="65"/>
      <c r="H229" s="65"/>
      <c r="I229" s="65"/>
      <c r="J229" s="108"/>
      <c r="K229" s="103"/>
      <c r="L229" s="65"/>
      <c r="M229" s="65"/>
      <c r="N229" s="65"/>
    </row>
    <row r="230">
      <c r="A230" s="61"/>
      <c r="B230" s="61"/>
      <c r="C230" s="61"/>
      <c r="D230" s="61"/>
      <c r="E230" s="61"/>
      <c r="F230" s="61"/>
      <c r="G230" s="61"/>
      <c r="H230" s="61"/>
      <c r="I230" s="61"/>
      <c r="J230" s="107"/>
      <c r="K230" s="100"/>
      <c r="L230" s="61"/>
      <c r="M230" s="61"/>
      <c r="N230" s="61"/>
    </row>
    <row r="231">
      <c r="A231" s="65"/>
      <c r="B231" s="65"/>
      <c r="C231" s="65"/>
      <c r="D231" s="65"/>
      <c r="E231" s="65"/>
      <c r="F231" s="65"/>
      <c r="G231" s="65"/>
      <c r="H231" s="65"/>
      <c r="I231" s="65"/>
      <c r="J231" s="108"/>
      <c r="K231" s="103"/>
      <c r="L231" s="65"/>
      <c r="M231" s="65"/>
      <c r="N231" s="65"/>
    </row>
    <row r="232">
      <c r="A232" s="61"/>
      <c r="B232" s="61"/>
      <c r="C232" s="61"/>
      <c r="D232" s="61"/>
      <c r="E232" s="61"/>
      <c r="F232" s="61"/>
      <c r="G232" s="61"/>
      <c r="H232" s="61"/>
      <c r="I232" s="61"/>
      <c r="J232" s="107"/>
      <c r="K232" s="100"/>
      <c r="L232" s="61"/>
      <c r="M232" s="61"/>
      <c r="N232" s="61"/>
    </row>
    <row r="233">
      <c r="A233" s="65"/>
      <c r="B233" s="65"/>
      <c r="C233" s="65"/>
      <c r="D233" s="65"/>
      <c r="E233" s="65"/>
      <c r="F233" s="65"/>
      <c r="G233" s="65"/>
      <c r="H233" s="65"/>
      <c r="I233" s="65"/>
      <c r="J233" s="108"/>
      <c r="K233" s="103"/>
      <c r="L233" s="65"/>
      <c r="M233" s="65"/>
      <c r="N233" s="65"/>
    </row>
    <row r="234">
      <c r="A234" s="61"/>
      <c r="B234" s="61"/>
      <c r="C234" s="61"/>
      <c r="D234" s="61"/>
      <c r="E234" s="61"/>
      <c r="F234" s="61"/>
      <c r="G234" s="61"/>
      <c r="H234" s="61"/>
      <c r="I234" s="61"/>
      <c r="J234" s="107"/>
      <c r="K234" s="100"/>
      <c r="L234" s="61"/>
      <c r="M234" s="61"/>
      <c r="N234" s="61"/>
    </row>
    <row r="235">
      <c r="A235" s="65"/>
      <c r="B235" s="65"/>
      <c r="C235" s="65"/>
      <c r="D235" s="65"/>
      <c r="E235" s="65"/>
      <c r="F235" s="65"/>
      <c r="G235" s="65"/>
      <c r="H235" s="65"/>
      <c r="I235" s="65"/>
      <c r="J235" s="108"/>
      <c r="K235" s="103"/>
      <c r="L235" s="65"/>
      <c r="M235" s="65"/>
      <c r="N235" s="65"/>
    </row>
    <row r="236">
      <c r="A236" s="61"/>
      <c r="B236" s="61"/>
      <c r="C236" s="61"/>
      <c r="D236" s="61"/>
      <c r="E236" s="61"/>
      <c r="F236" s="61"/>
      <c r="G236" s="61"/>
      <c r="H236" s="61"/>
      <c r="I236" s="61"/>
      <c r="J236" s="107"/>
      <c r="K236" s="100"/>
      <c r="L236" s="61"/>
      <c r="M236" s="61"/>
      <c r="N236" s="61"/>
    </row>
    <row r="237">
      <c r="A237" s="65"/>
      <c r="B237" s="65"/>
      <c r="C237" s="65"/>
      <c r="D237" s="65"/>
      <c r="E237" s="65"/>
      <c r="F237" s="65"/>
      <c r="G237" s="65"/>
      <c r="H237" s="65"/>
      <c r="I237" s="65"/>
      <c r="J237" s="108"/>
      <c r="K237" s="103"/>
      <c r="L237" s="65"/>
      <c r="M237" s="65"/>
      <c r="N237" s="65"/>
    </row>
    <row r="238">
      <c r="A238" s="61"/>
      <c r="B238" s="61"/>
      <c r="C238" s="61"/>
      <c r="D238" s="61"/>
      <c r="E238" s="61"/>
      <c r="F238" s="61"/>
      <c r="G238" s="61"/>
      <c r="H238" s="61"/>
      <c r="I238" s="61"/>
      <c r="J238" s="107"/>
      <c r="K238" s="100"/>
      <c r="L238" s="61"/>
      <c r="M238" s="61"/>
      <c r="N238" s="61"/>
    </row>
    <row r="239">
      <c r="A239" s="65"/>
      <c r="B239" s="65"/>
      <c r="C239" s="65"/>
      <c r="D239" s="65"/>
      <c r="E239" s="65"/>
      <c r="F239" s="65"/>
      <c r="G239" s="65"/>
      <c r="H239" s="65"/>
      <c r="I239" s="65"/>
      <c r="J239" s="108"/>
      <c r="K239" s="103"/>
      <c r="L239" s="65"/>
      <c r="M239" s="65"/>
      <c r="N239" s="65"/>
    </row>
    <row r="240">
      <c r="A240" s="61"/>
      <c r="B240" s="61"/>
      <c r="C240" s="61"/>
      <c r="D240" s="61"/>
      <c r="E240" s="61"/>
      <c r="F240" s="61"/>
      <c r="G240" s="61"/>
      <c r="H240" s="61"/>
      <c r="I240" s="61"/>
      <c r="J240" s="107"/>
      <c r="K240" s="100"/>
      <c r="L240" s="61"/>
      <c r="M240" s="61"/>
      <c r="N240" s="61"/>
    </row>
    <row r="241">
      <c r="A241" s="65"/>
      <c r="B241" s="65"/>
      <c r="C241" s="65"/>
      <c r="D241" s="65"/>
      <c r="E241" s="65"/>
      <c r="F241" s="65"/>
      <c r="G241" s="65"/>
      <c r="H241" s="65"/>
      <c r="I241" s="65"/>
      <c r="J241" s="108"/>
      <c r="K241" s="103"/>
      <c r="L241" s="65"/>
      <c r="M241" s="65"/>
      <c r="N241" s="65"/>
    </row>
    <row r="242">
      <c r="A242" s="61"/>
      <c r="B242" s="61"/>
      <c r="C242" s="61"/>
      <c r="D242" s="61"/>
      <c r="E242" s="61"/>
      <c r="F242" s="61"/>
      <c r="G242" s="61"/>
      <c r="H242" s="61"/>
      <c r="I242" s="61"/>
      <c r="J242" s="107"/>
      <c r="K242" s="100"/>
      <c r="L242" s="61"/>
      <c r="M242" s="61"/>
      <c r="N242" s="61"/>
    </row>
    <row r="243">
      <c r="A243" s="65"/>
      <c r="B243" s="65"/>
      <c r="C243" s="65"/>
      <c r="D243" s="65"/>
      <c r="E243" s="65"/>
      <c r="F243" s="65"/>
      <c r="G243" s="65"/>
      <c r="H243" s="65"/>
      <c r="I243" s="65"/>
      <c r="J243" s="108"/>
      <c r="K243" s="103"/>
      <c r="L243" s="65"/>
      <c r="M243" s="65"/>
      <c r="N243" s="65"/>
    </row>
    <row r="244">
      <c r="A244" s="61"/>
      <c r="B244" s="61"/>
      <c r="C244" s="61"/>
      <c r="D244" s="61"/>
      <c r="E244" s="61"/>
      <c r="F244" s="61"/>
      <c r="G244" s="61"/>
      <c r="H244" s="61"/>
      <c r="I244" s="61"/>
      <c r="J244" s="107"/>
      <c r="K244" s="100"/>
      <c r="L244" s="61"/>
      <c r="M244" s="61"/>
      <c r="N244" s="61"/>
    </row>
    <row r="245">
      <c r="A245" s="65"/>
      <c r="B245" s="65"/>
      <c r="C245" s="65"/>
      <c r="D245" s="65"/>
      <c r="E245" s="65"/>
      <c r="F245" s="65"/>
      <c r="G245" s="65"/>
      <c r="H245" s="65"/>
      <c r="I245" s="65"/>
      <c r="J245" s="108"/>
      <c r="K245" s="103"/>
      <c r="L245" s="65"/>
      <c r="M245" s="65"/>
      <c r="N245" s="65"/>
    </row>
    <row r="246">
      <c r="A246" s="61"/>
      <c r="B246" s="61"/>
      <c r="C246" s="61"/>
      <c r="D246" s="61"/>
      <c r="E246" s="61"/>
      <c r="F246" s="61"/>
      <c r="G246" s="61"/>
      <c r="H246" s="61"/>
      <c r="I246" s="61"/>
      <c r="J246" s="107"/>
      <c r="K246" s="100"/>
      <c r="L246" s="61"/>
      <c r="M246" s="61"/>
      <c r="N246" s="61"/>
    </row>
    <row r="247">
      <c r="A247" s="65"/>
      <c r="B247" s="65"/>
      <c r="C247" s="65"/>
      <c r="D247" s="65"/>
      <c r="E247" s="65"/>
      <c r="F247" s="65"/>
      <c r="G247" s="65"/>
      <c r="H247" s="65"/>
      <c r="I247" s="65"/>
      <c r="J247" s="108"/>
      <c r="K247" s="103"/>
      <c r="L247" s="65"/>
      <c r="M247" s="65"/>
      <c r="N247" s="65"/>
    </row>
    <row r="248">
      <c r="A248" s="61"/>
      <c r="B248" s="61"/>
      <c r="C248" s="61"/>
      <c r="D248" s="61"/>
      <c r="E248" s="61"/>
      <c r="F248" s="61"/>
      <c r="G248" s="61"/>
      <c r="H248" s="61"/>
      <c r="I248" s="61"/>
      <c r="J248" s="107"/>
      <c r="K248" s="100"/>
      <c r="L248" s="61"/>
      <c r="M248" s="61"/>
      <c r="N248" s="61"/>
    </row>
    <row r="249">
      <c r="A249" s="65"/>
      <c r="B249" s="65"/>
      <c r="C249" s="65"/>
      <c r="D249" s="65"/>
      <c r="E249" s="65"/>
      <c r="F249" s="65"/>
      <c r="G249" s="65"/>
      <c r="H249" s="65"/>
      <c r="I249" s="65"/>
      <c r="J249" s="108"/>
      <c r="K249" s="103"/>
      <c r="L249" s="65"/>
      <c r="M249" s="65"/>
      <c r="N249" s="65"/>
    </row>
    <row r="250">
      <c r="A250" s="61"/>
      <c r="B250" s="61"/>
      <c r="C250" s="61"/>
      <c r="D250" s="61"/>
      <c r="E250" s="61"/>
      <c r="F250" s="61"/>
      <c r="G250" s="61"/>
      <c r="H250" s="61"/>
      <c r="I250" s="61"/>
      <c r="J250" s="107"/>
      <c r="K250" s="100"/>
      <c r="L250" s="61"/>
      <c r="M250" s="61"/>
      <c r="N250" s="61"/>
    </row>
    <row r="251">
      <c r="A251" s="65"/>
      <c r="B251" s="65"/>
      <c r="C251" s="65"/>
      <c r="D251" s="65"/>
      <c r="E251" s="65"/>
      <c r="F251" s="65"/>
      <c r="G251" s="65"/>
      <c r="H251" s="65"/>
      <c r="I251" s="65"/>
      <c r="J251" s="108"/>
      <c r="K251" s="103"/>
      <c r="L251" s="65"/>
      <c r="M251" s="65"/>
      <c r="N251" s="65"/>
    </row>
    <row r="252">
      <c r="A252" s="61"/>
      <c r="B252" s="61"/>
      <c r="C252" s="61"/>
      <c r="D252" s="61"/>
      <c r="E252" s="61"/>
      <c r="F252" s="61"/>
      <c r="G252" s="61"/>
      <c r="H252" s="61"/>
      <c r="I252" s="61"/>
      <c r="J252" s="107"/>
      <c r="K252" s="100"/>
      <c r="L252" s="61"/>
      <c r="M252" s="61"/>
      <c r="N252" s="61"/>
    </row>
    <row r="253">
      <c r="A253" s="65"/>
      <c r="B253" s="65"/>
      <c r="C253" s="65"/>
      <c r="D253" s="65"/>
      <c r="E253" s="65"/>
      <c r="F253" s="65"/>
      <c r="G253" s="65"/>
      <c r="H253" s="65"/>
      <c r="I253" s="65"/>
      <c r="J253" s="108"/>
      <c r="K253" s="103"/>
      <c r="L253" s="65"/>
      <c r="M253" s="65"/>
      <c r="N253" s="65"/>
    </row>
    <row r="254">
      <c r="A254" s="61"/>
      <c r="B254" s="61"/>
      <c r="C254" s="61"/>
      <c r="D254" s="61"/>
      <c r="E254" s="61"/>
      <c r="F254" s="61"/>
      <c r="G254" s="61"/>
      <c r="H254" s="61"/>
      <c r="I254" s="61"/>
      <c r="J254" s="107"/>
      <c r="K254" s="100"/>
      <c r="L254" s="61"/>
      <c r="M254" s="61"/>
      <c r="N254" s="61"/>
    </row>
    <row r="255">
      <c r="A255" s="65"/>
      <c r="B255" s="65"/>
      <c r="C255" s="65"/>
      <c r="D255" s="65"/>
      <c r="E255" s="65"/>
      <c r="F255" s="65"/>
      <c r="G255" s="65"/>
      <c r="H255" s="65"/>
      <c r="I255" s="65"/>
      <c r="J255" s="108"/>
      <c r="K255" s="103"/>
      <c r="L255" s="65"/>
      <c r="M255" s="65"/>
      <c r="N255" s="65"/>
    </row>
    <row r="256">
      <c r="A256" s="61"/>
      <c r="B256" s="61"/>
      <c r="C256" s="61"/>
      <c r="D256" s="61"/>
      <c r="E256" s="61"/>
      <c r="F256" s="61"/>
      <c r="G256" s="61"/>
      <c r="H256" s="61"/>
      <c r="I256" s="61"/>
      <c r="J256" s="107"/>
      <c r="K256" s="100"/>
      <c r="L256" s="61"/>
      <c r="M256" s="61"/>
      <c r="N256" s="61"/>
    </row>
    <row r="257">
      <c r="A257" s="65"/>
      <c r="B257" s="65"/>
      <c r="C257" s="65"/>
      <c r="D257" s="65"/>
      <c r="E257" s="65"/>
      <c r="F257" s="65"/>
      <c r="G257" s="65"/>
      <c r="H257" s="65"/>
      <c r="I257" s="65"/>
      <c r="J257" s="108"/>
      <c r="K257" s="103"/>
      <c r="L257" s="65"/>
      <c r="M257" s="65"/>
      <c r="N257" s="65"/>
    </row>
    <row r="258">
      <c r="A258" s="61"/>
      <c r="B258" s="61"/>
      <c r="C258" s="61"/>
      <c r="D258" s="61"/>
      <c r="E258" s="61"/>
      <c r="F258" s="61"/>
      <c r="G258" s="61"/>
      <c r="H258" s="61"/>
      <c r="I258" s="61"/>
      <c r="J258" s="107"/>
      <c r="K258" s="100"/>
      <c r="L258" s="61"/>
      <c r="M258" s="61"/>
      <c r="N258" s="61"/>
    </row>
    <row r="259">
      <c r="A259" s="65"/>
      <c r="B259" s="65"/>
      <c r="C259" s="65"/>
      <c r="D259" s="65"/>
      <c r="E259" s="65"/>
      <c r="F259" s="65"/>
      <c r="G259" s="65"/>
      <c r="H259" s="65"/>
      <c r="I259" s="65"/>
      <c r="J259" s="108"/>
      <c r="K259" s="103"/>
      <c r="L259" s="65"/>
      <c r="M259" s="65"/>
      <c r="N259" s="65"/>
    </row>
    <row r="260">
      <c r="A260" s="61"/>
      <c r="B260" s="61"/>
      <c r="C260" s="61"/>
      <c r="D260" s="61"/>
      <c r="E260" s="61"/>
      <c r="F260" s="61"/>
      <c r="G260" s="61"/>
      <c r="H260" s="61"/>
      <c r="I260" s="61"/>
      <c r="J260" s="107"/>
      <c r="K260" s="100"/>
      <c r="L260" s="61"/>
      <c r="M260" s="61"/>
      <c r="N260" s="61"/>
    </row>
    <row r="261">
      <c r="A261" s="65"/>
      <c r="B261" s="65"/>
      <c r="C261" s="65"/>
      <c r="D261" s="65"/>
      <c r="E261" s="65"/>
      <c r="F261" s="65"/>
      <c r="G261" s="65"/>
      <c r="H261" s="65"/>
      <c r="I261" s="65"/>
      <c r="J261" s="108"/>
      <c r="K261" s="103"/>
      <c r="L261" s="65"/>
      <c r="M261" s="65"/>
      <c r="N261" s="65"/>
    </row>
    <row r="262">
      <c r="A262" s="61"/>
      <c r="B262" s="61"/>
      <c r="C262" s="61"/>
      <c r="D262" s="61"/>
      <c r="E262" s="61"/>
      <c r="F262" s="61"/>
      <c r="G262" s="61"/>
      <c r="H262" s="61"/>
      <c r="I262" s="61"/>
      <c r="J262" s="107"/>
      <c r="K262" s="100"/>
      <c r="L262" s="61"/>
      <c r="M262" s="61"/>
      <c r="N262" s="61"/>
    </row>
    <row r="263">
      <c r="A263" s="65"/>
      <c r="B263" s="65"/>
      <c r="C263" s="65"/>
      <c r="D263" s="65"/>
      <c r="E263" s="65"/>
      <c r="F263" s="65"/>
      <c r="G263" s="65"/>
      <c r="H263" s="65"/>
      <c r="I263" s="65"/>
      <c r="J263" s="108"/>
      <c r="K263" s="103"/>
      <c r="L263" s="65"/>
      <c r="M263" s="65"/>
      <c r="N263" s="65"/>
    </row>
    <row r="264">
      <c r="A264" s="61"/>
      <c r="B264" s="61"/>
      <c r="C264" s="61"/>
      <c r="D264" s="61"/>
      <c r="E264" s="61"/>
      <c r="F264" s="61"/>
      <c r="G264" s="61"/>
      <c r="H264" s="61"/>
      <c r="I264" s="61"/>
      <c r="J264" s="107"/>
      <c r="K264" s="100"/>
      <c r="L264" s="61"/>
      <c r="M264" s="61"/>
      <c r="N264" s="61"/>
    </row>
    <row r="265">
      <c r="A265" s="65"/>
      <c r="B265" s="65"/>
      <c r="C265" s="65"/>
      <c r="D265" s="65"/>
      <c r="E265" s="65"/>
      <c r="F265" s="65"/>
      <c r="G265" s="65"/>
      <c r="H265" s="65"/>
      <c r="I265" s="65"/>
      <c r="J265" s="108"/>
      <c r="K265" s="103"/>
      <c r="L265" s="65"/>
      <c r="M265" s="65"/>
      <c r="N265" s="65"/>
    </row>
    <row r="266">
      <c r="A266" s="61"/>
      <c r="B266" s="61"/>
      <c r="C266" s="61"/>
      <c r="D266" s="61"/>
      <c r="E266" s="61"/>
      <c r="F266" s="61"/>
      <c r="G266" s="61"/>
      <c r="H266" s="61"/>
      <c r="I266" s="61"/>
      <c r="J266" s="107"/>
      <c r="K266" s="100"/>
      <c r="L266" s="61"/>
      <c r="M266" s="61"/>
      <c r="N266" s="61"/>
    </row>
    <row r="267">
      <c r="A267" s="65"/>
      <c r="B267" s="65"/>
      <c r="C267" s="65"/>
      <c r="D267" s="65"/>
      <c r="E267" s="65"/>
      <c r="F267" s="65"/>
      <c r="G267" s="65"/>
      <c r="H267" s="65"/>
      <c r="I267" s="65"/>
      <c r="J267" s="108"/>
      <c r="K267" s="103"/>
      <c r="L267" s="65"/>
      <c r="M267" s="65"/>
      <c r="N267" s="65"/>
    </row>
    <row r="268">
      <c r="A268" s="61"/>
      <c r="B268" s="61"/>
      <c r="C268" s="61"/>
      <c r="D268" s="61"/>
      <c r="E268" s="61"/>
      <c r="F268" s="61"/>
      <c r="G268" s="61"/>
      <c r="H268" s="61"/>
      <c r="I268" s="61"/>
      <c r="J268" s="107"/>
      <c r="K268" s="100"/>
      <c r="L268" s="61"/>
      <c r="M268" s="61"/>
      <c r="N268" s="61"/>
    </row>
    <row r="269">
      <c r="A269" s="65"/>
      <c r="B269" s="65"/>
      <c r="C269" s="65"/>
      <c r="D269" s="65"/>
      <c r="E269" s="65"/>
      <c r="F269" s="65"/>
      <c r="G269" s="65"/>
      <c r="H269" s="65"/>
      <c r="I269" s="65"/>
      <c r="J269" s="108"/>
      <c r="K269" s="103"/>
      <c r="L269" s="65"/>
      <c r="M269" s="65"/>
      <c r="N269" s="65"/>
    </row>
    <row r="270">
      <c r="A270" s="61"/>
      <c r="B270" s="61"/>
      <c r="C270" s="61"/>
      <c r="D270" s="61"/>
      <c r="E270" s="61"/>
      <c r="F270" s="61"/>
      <c r="G270" s="61"/>
      <c r="H270" s="61"/>
      <c r="I270" s="61"/>
      <c r="J270" s="107"/>
      <c r="K270" s="100"/>
      <c r="L270" s="61"/>
      <c r="M270" s="61"/>
      <c r="N270" s="61"/>
    </row>
    <row r="271">
      <c r="A271" s="65"/>
      <c r="B271" s="65"/>
      <c r="C271" s="65"/>
      <c r="D271" s="65"/>
      <c r="E271" s="65"/>
      <c r="F271" s="65"/>
      <c r="G271" s="65"/>
      <c r="H271" s="65"/>
      <c r="I271" s="65"/>
      <c r="J271" s="108"/>
      <c r="K271" s="103"/>
      <c r="L271" s="65"/>
      <c r="M271" s="65"/>
      <c r="N271" s="65"/>
    </row>
    <row r="272">
      <c r="A272" s="61"/>
      <c r="B272" s="61"/>
      <c r="C272" s="61"/>
      <c r="D272" s="61"/>
      <c r="E272" s="61"/>
      <c r="F272" s="61"/>
      <c r="G272" s="61"/>
      <c r="H272" s="61"/>
      <c r="I272" s="61"/>
      <c r="J272" s="107"/>
      <c r="K272" s="100"/>
      <c r="L272" s="61"/>
      <c r="M272" s="61"/>
      <c r="N272" s="61"/>
    </row>
    <row r="273">
      <c r="A273" s="65"/>
      <c r="B273" s="65"/>
      <c r="C273" s="65"/>
      <c r="D273" s="65"/>
      <c r="E273" s="65"/>
      <c r="F273" s="65"/>
      <c r="G273" s="65"/>
      <c r="H273" s="65"/>
      <c r="I273" s="65"/>
      <c r="J273" s="108"/>
      <c r="K273" s="103"/>
      <c r="L273" s="65"/>
      <c r="M273" s="65"/>
      <c r="N273" s="65"/>
    </row>
    <row r="274">
      <c r="A274" s="61"/>
      <c r="B274" s="61"/>
      <c r="C274" s="61"/>
      <c r="D274" s="61"/>
      <c r="E274" s="61"/>
      <c r="F274" s="61"/>
      <c r="G274" s="61"/>
      <c r="H274" s="61"/>
      <c r="I274" s="61"/>
      <c r="J274" s="107"/>
      <c r="K274" s="100"/>
      <c r="L274" s="61"/>
      <c r="M274" s="61"/>
      <c r="N274" s="61"/>
    </row>
    <row r="275">
      <c r="A275" s="65"/>
      <c r="B275" s="65"/>
      <c r="C275" s="65"/>
      <c r="D275" s="65"/>
      <c r="E275" s="65"/>
      <c r="F275" s="65"/>
      <c r="G275" s="65"/>
      <c r="H275" s="65"/>
      <c r="I275" s="65"/>
      <c r="J275" s="108"/>
      <c r="K275" s="103"/>
      <c r="L275" s="65"/>
      <c r="M275" s="65"/>
      <c r="N275" s="65"/>
    </row>
    <row r="276">
      <c r="A276" s="61"/>
      <c r="B276" s="61"/>
      <c r="C276" s="61"/>
      <c r="D276" s="61"/>
      <c r="E276" s="61"/>
      <c r="F276" s="61"/>
      <c r="G276" s="61"/>
      <c r="H276" s="61"/>
      <c r="I276" s="61"/>
      <c r="J276" s="107"/>
      <c r="K276" s="100"/>
      <c r="L276" s="61"/>
      <c r="M276" s="61"/>
      <c r="N276" s="61"/>
    </row>
    <row r="277">
      <c r="A277" s="65"/>
      <c r="B277" s="65"/>
      <c r="C277" s="65"/>
      <c r="D277" s="65"/>
      <c r="E277" s="65"/>
      <c r="F277" s="65"/>
      <c r="G277" s="65"/>
      <c r="H277" s="65"/>
      <c r="I277" s="65"/>
      <c r="J277" s="108"/>
      <c r="K277" s="103"/>
      <c r="L277" s="65"/>
      <c r="M277" s="65"/>
      <c r="N277" s="65"/>
    </row>
    <row r="278">
      <c r="A278" s="61"/>
      <c r="B278" s="61"/>
      <c r="C278" s="61"/>
      <c r="D278" s="61"/>
      <c r="E278" s="61"/>
      <c r="F278" s="61"/>
      <c r="G278" s="61"/>
      <c r="H278" s="61"/>
      <c r="I278" s="61"/>
      <c r="J278" s="107"/>
      <c r="K278" s="100"/>
      <c r="L278" s="61"/>
      <c r="M278" s="61"/>
      <c r="N278" s="61"/>
    </row>
    <row r="279">
      <c r="A279" s="65"/>
      <c r="B279" s="65"/>
      <c r="C279" s="65"/>
      <c r="D279" s="65"/>
      <c r="E279" s="65"/>
      <c r="F279" s="65"/>
      <c r="G279" s="65"/>
      <c r="H279" s="65"/>
      <c r="I279" s="65"/>
      <c r="J279" s="108"/>
      <c r="K279" s="103"/>
      <c r="L279" s="65"/>
      <c r="M279" s="65"/>
      <c r="N279" s="65"/>
    </row>
    <row r="280">
      <c r="A280" s="61"/>
      <c r="B280" s="61"/>
      <c r="C280" s="61"/>
      <c r="D280" s="61"/>
      <c r="E280" s="61"/>
      <c r="F280" s="61"/>
      <c r="G280" s="61"/>
      <c r="H280" s="61"/>
      <c r="I280" s="61"/>
      <c r="J280" s="107"/>
      <c r="K280" s="100"/>
      <c r="L280" s="61"/>
      <c r="M280" s="61"/>
      <c r="N280" s="61"/>
    </row>
    <row r="281">
      <c r="A281" s="65"/>
      <c r="B281" s="65"/>
      <c r="C281" s="65"/>
      <c r="D281" s="65"/>
      <c r="E281" s="65"/>
      <c r="F281" s="65"/>
      <c r="G281" s="65"/>
      <c r="H281" s="65"/>
      <c r="I281" s="65"/>
      <c r="J281" s="108"/>
      <c r="K281" s="103"/>
      <c r="L281" s="65"/>
      <c r="M281" s="65"/>
      <c r="N281" s="65"/>
    </row>
    <row r="282">
      <c r="A282" s="61"/>
      <c r="B282" s="61"/>
      <c r="C282" s="61"/>
      <c r="D282" s="61"/>
      <c r="E282" s="61"/>
      <c r="F282" s="61"/>
      <c r="G282" s="61"/>
      <c r="H282" s="61"/>
      <c r="I282" s="61"/>
      <c r="J282" s="107"/>
      <c r="K282" s="100"/>
      <c r="L282" s="61"/>
      <c r="M282" s="61"/>
      <c r="N282" s="61"/>
    </row>
    <row r="283">
      <c r="A283" s="65"/>
      <c r="B283" s="65"/>
      <c r="C283" s="65"/>
      <c r="D283" s="65"/>
      <c r="E283" s="65"/>
      <c r="F283" s="65"/>
      <c r="G283" s="65"/>
      <c r="H283" s="65"/>
      <c r="I283" s="65"/>
      <c r="J283" s="108"/>
      <c r="K283" s="103"/>
      <c r="L283" s="65"/>
      <c r="M283" s="65"/>
      <c r="N283" s="65"/>
    </row>
    <row r="284">
      <c r="A284" s="61"/>
      <c r="B284" s="61"/>
      <c r="C284" s="61"/>
      <c r="D284" s="61"/>
      <c r="E284" s="61"/>
      <c r="F284" s="61"/>
      <c r="G284" s="61"/>
      <c r="H284" s="61"/>
      <c r="I284" s="61"/>
      <c r="J284" s="107"/>
      <c r="K284" s="100"/>
      <c r="L284" s="61"/>
      <c r="M284" s="61"/>
      <c r="N284" s="61"/>
    </row>
    <row r="285">
      <c r="A285" s="65"/>
      <c r="B285" s="65"/>
      <c r="C285" s="65"/>
      <c r="D285" s="65"/>
      <c r="E285" s="65"/>
      <c r="F285" s="65"/>
      <c r="G285" s="65"/>
      <c r="H285" s="65"/>
      <c r="I285" s="65"/>
      <c r="J285" s="108"/>
      <c r="K285" s="103"/>
      <c r="L285" s="65"/>
      <c r="M285" s="65"/>
      <c r="N285" s="65"/>
    </row>
    <row r="286">
      <c r="A286" s="61"/>
      <c r="B286" s="61"/>
      <c r="C286" s="61"/>
      <c r="D286" s="61"/>
      <c r="E286" s="61"/>
      <c r="F286" s="61"/>
      <c r="G286" s="61"/>
      <c r="H286" s="61"/>
      <c r="I286" s="61"/>
      <c r="J286" s="107"/>
      <c r="K286" s="100"/>
      <c r="L286" s="61"/>
      <c r="M286" s="61"/>
      <c r="N286" s="61"/>
    </row>
    <row r="287">
      <c r="A287" s="65"/>
      <c r="B287" s="65"/>
      <c r="C287" s="65"/>
      <c r="D287" s="65"/>
      <c r="E287" s="65"/>
      <c r="F287" s="65"/>
      <c r="G287" s="65"/>
      <c r="H287" s="65"/>
      <c r="I287" s="65"/>
      <c r="J287" s="108"/>
      <c r="K287" s="103"/>
      <c r="L287" s="65"/>
      <c r="M287" s="65"/>
      <c r="N287" s="65"/>
    </row>
    <row r="288">
      <c r="A288" s="61"/>
      <c r="B288" s="61"/>
      <c r="C288" s="61"/>
      <c r="D288" s="61"/>
      <c r="E288" s="61"/>
      <c r="F288" s="61"/>
      <c r="G288" s="61"/>
      <c r="H288" s="61"/>
      <c r="I288" s="61"/>
      <c r="J288" s="107"/>
      <c r="K288" s="100"/>
      <c r="L288" s="61"/>
      <c r="M288" s="61"/>
      <c r="N288" s="61"/>
    </row>
    <row r="289">
      <c r="A289" s="65"/>
      <c r="B289" s="65"/>
      <c r="C289" s="65"/>
      <c r="D289" s="65"/>
      <c r="E289" s="65"/>
      <c r="F289" s="65"/>
      <c r="G289" s="65"/>
      <c r="H289" s="65"/>
      <c r="I289" s="65"/>
      <c r="J289" s="108"/>
      <c r="K289" s="103"/>
      <c r="L289" s="65"/>
      <c r="M289" s="65"/>
      <c r="N289" s="65"/>
    </row>
    <row r="290">
      <c r="A290" s="61"/>
      <c r="B290" s="61"/>
      <c r="C290" s="61"/>
      <c r="D290" s="61"/>
      <c r="E290" s="61"/>
      <c r="F290" s="61"/>
      <c r="G290" s="61"/>
      <c r="H290" s="61"/>
      <c r="I290" s="61"/>
      <c r="J290" s="107"/>
      <c r="K290" s="100"/>
      <c r="L290" s="61"/>
      <c r="M290" s="61"/>
      <c r="N290" s="61"/>
    </row>
    <row r="291">
      <c r="A291" s="65"/>
      <c r="B291" s="65"/>
      <c r="C291" s="65"/>
      <c r="D291" s="65"/>
      <c r="E291" s="65"/>
      <c r="F291" s="65"/>
      <c r="G291" s="65"/>
      <c r="H291" s="65"/>
      <c r="I291" s="65"/>
      <c r="J291" s="108"/>
      <c r="K291" s="103"/>
      <c r="L291" s="65"/>
      <c r="M291" s="65"/>
      <c r="N291" s="65"/>
    </row>
    <row r="292">
      <c r="A292" s="61"/>
      <c r="B292" s="61"/>
      <c r="C292" s="61"/>
      <c r="D292" s="61"/>
      <c r="E292" s="61"/>
      <c r="F292" s="61"/>
      <c r="G292" s="61"/>
      <c r="H292" s="61"/>
      <c r="I292" s="61"/>
      <c r="J292" s="107"/>
      <c r="K292" s="100"/>
      <c r="L292" s="61"/>
      <c r="M292" s="61"/>
      <c r="N292" s="61"/>
    </row>
    <row r="293">
      <c r="A293" s="65"/>
      <c r="B293" s="65"/>
      <c r="C293" s="65"/>
      <c r="D293" s="65"/>
      <c r="E293" s="65"/>
      <c r="F293" s="65"/>
      <c r="G293" s="65"/>
      <c r="H293" s="65"/>
      <c r="I293" s="65"/>
      <c r="J293" s="108"/>
      <c r="K293" s="103"/>
      <c r="L293" s="65"/>
      <c r="M293" s="65"/>
      <c r="N293" s="65"/>
    </row>
    <row r="294">
      <c r="A294" s="61"/>
      <c r="B294" s="61"/>
      <c r="C294" s="61"/>
      <c r="D294" s="61"/>
      <c r="E294" s="61"/>
      <c r="F294" s="61"/>
      <c r="G294" s="61"/>
      <c r="H294" s="61"/>
      <c r="I294" s="61"/>
      <c r="J294" s="107"/>
      <c r="K294" s="100"/>
      <c r="L294" s="61"/>
      <c r="M294" s="61"/>
      <c r="N294" s="61"/>
    </row>
    <row r="295">
      <c r="A295" s="65"/>
      <c r="B295" s="65"/>
      <c r="C295" s="65"/>
      <c r="D295" s="65"/>
      <c r="E295" s="65"/>
      <c r="F295" s="65"/>
      <c r="G295" s="65"/>
      <c r="H295" s="65"/>
      <c r="I295" s="65"/>
      <c r="J295" s="108"/>
      <c r="K295" s="103"/>
      <c r="L295" s="65"/>
      <c r="M295" s="65"/>
      <c r="N295" s="65"/>
    </row>
    <row r="296">
      <c r="A296" s="61"/>
      <c r="B296" s="61"/>
      <c r="C296" s="61"/>
      <c r="D296" s="61"/>
      <c r="E296" s="61"/>
      <c r="F296" s="61"/>
      <c r="G296" s="61"/>
      <c r="H296" s="61"/>
      <c r="I296" s="61"/>
      <c r="J296" s="107"/>
      <c r="K296" s="100"/>
      <c r="L296" s="61"/>
      <c r="M296" s="61"/>
      <c r="N296" s="61"/>
    </row>
    <row r="297">
      <c r="A297" s="65"/>
      <c r="B297" s="65"/>
      <c r="C297" s="65"/>
      <c r="D297" s="65"/>
      <c r="E297" s="65"/>
      <c r="F297" s="65"/>
      <c r="G297" s="65"/>
      <c r="H297" s="65"/>
      <c r="I297" s="65"/>
      <c r="J297" s="108"/>
      <c r="K297" s="103"/>
      <c r="L297" s="65"/>
      <c r="M297" s="65"/>
      <c r="N297" s="65"/>
    </row>
    <row r="298">
      <c r="A298" s="61"/>
      <c r="B298" s="61"/>
      <c r="C298" s="61"/>
      <c r="D298" s="61"/>
      <c r="E298" s="61"/>
      <c r="F298" s="61"/>
      <c r="G298" s="61"/>
      <c r="H298" s="61"/>
      <c r="I298" s="61"/>
      <c r="J298" s="107"/>
      <c r="K298" s="100"/>
      <c r="L298" s="61"/>
      <c r="M298" s="61"/>
      <c r="N298" s="61"/>
    </row>
    <row r="299">
      <c r="A299" s="65"/>
      <c r="B299" s="65"/>
      <c r="C299" s="65"/>
      <c r="D299" s="65"/>
      <c r="E299" s="65"/>
      <c r="F299" s="65"/>
      <c r="G299" s="65"/>
      <c r="H299" s="65"/>
      <c r="I299" s="65"/>
      <c r="J299" s="108"/>
      <c r="K299" s="103"/>
      <c r="L299" s="65"/>
      <c r="M299" s="65"/>
      <c r="N299" s="65"/>
    </row>
    <row r="300">
      <c r="A300" s="61"/>
      <c r="B300" s="61"/>
      <c r="C300" s="61"/>
      <c r="D300" s="61"/>
      <c r="E300" s="61"/>
      <c r="F300" s="61"/>
      <c r="G300" s="61"/>
      <c r="H300" s="61"/>
      <c r="I300" s="61"/>
      <c r="J300" s="107"/>
      <c r="K300" s="100"/>
      <c r="L300" s="61"/>
      <c r="M300" s="61"/>
      <c r="N300" s="61"/>
    </row>
    <row r="301">
      <c r="A301" s="65"/>
      <c r="B301" s="65"/>
      <c r="C301" s="65"/>
      <c r="D301" s="65"/>
      <c r="E301" s="65"/>
      <c r="F301" s="65"/>
      <c r="G301" s="65"/>
      <c r="H301" s="65"/>
      <c r="I301" s="65"/>
      <c r="J301" s="108"/>
      <c r="K301" s="103"/>
      <c r="L301" s="65"/>
      <c r="M301" s="65"/>
      <c r="N301" s="65"/>
    </row>
    <row r="302">
      <c r="A302" s="61"/>
      <c r="B302" s="61"/>
      <c r="C302" s="61"/>
      <c r="D302" s="61"/>
      <c r="E302" s="61"/>
      <c r="F302" s="61"/>
      <c r="G302" s="61"/>
      <c r="H302" s="61"/>
      <c r="I302" s="61"/>
      <c r="J302" s="107"/>
      <c r="K302" s="100"/>
      <c r="L302" s="61"/>
      <c r="M302" s="61"/>
      <c r="N302" s="61"/>
    </row>
    <row r="303">
      <c r="A303" s="65"/>
      <c r="B303" s="65"/>
      <c r="C303" s="65"/>
      <c r="D303" s="65"/>
      <c r="E303" s="65"/>
      <c r="F303" s="65"/>
      <c r="G303" s="65"/>
      <c r="H303" s="65"/>
      <c r="I303" s="65"/>
      <c r="J303" s="108"/>
      <c r="K303" s="103"/>
      <c r="L303" s="65"/>
      <c r="M303" s="65"/>
      <c r="N303" s="65"/>
    </row>
    <row r="304">
      <c r="A304" s="61"/>
      <c r="B304" s="61"/>
      <c r="C304" s="61"/>
      <c r="D304" s="61"/>
      <c r="E304" s="61"/>
      <c r="F304" s="61"/>
      <c r="G304" s="61"/>
      <c r="H304" s="61"/>
      <c r="I304" s="61"/>
      <c r="J304" s="107"/>
      <c r="K304" s="100"/>
      <c r="L304" s="61"/>
      <c r="M304" s="61"/>
      <c r="N304" s="61"/>
    </row>
    <row r="305">
      <c r="A305" s="65"/>
      <c r="B305" s="65"/>
      <c r="C305" s="65"/>
      <c r="D305" s="65"/>
      <c r="E305" s="65"/>
      <c r="F305" s="65"/>
      <c r="G305" s="65"/>
      <c r="H305" s="65"/>
      <c r="I305" s="65"/>
      <c r="J305" s="108"/>
      <c r="K305" s="103"/>
      <c r="L305" s="65"/>
      <c r="M305" s="65"/>
      <c r="N305" s="65"/>
    </row>
    <row r="306">
      <c r="A306" s="61"/>
      <c r="B306" s="61"/>
      <c r="C306" s="61"/>
      <c r="D306" s="61"/>
      <c r="E306" s="61"/>
      <c r="F306" s="61"/>
      <c r="G306" s="61"/>
      <c r="H306" s="61"/>
      <c r="I306" s="61"/>
      <c r="J306" s="107"/>
      <c r="K306" s="100"/>
      <c r="L306" s="61"/>
      <c r="M306" s="61"/>
      <c r="N306" s="61"/>
    </row>
    <row r="307">
      <c r="A307" s="65"/>
      <c r="B307" s="65"/>
      <c r="C307" s="65"/>
      <c r="D307" s="65"/>
      <c r="E307" s="65"/>
      <c r="F307" s="65"/>
      <c r="G307" s="65"/>
      <c r="H307" s="65"/>
      <c r="I307" s="65"/>
      <c r="J307" s="108"/>
      <c r="K307" s="103"/>
      <c r="L307" s="65"/>
      <c r="M307" s="65"/>
      <c r="N307" s="65"/>
    </row>
    <row r="308">
      <c r="A308" s="61"/>
      <c r="B308" s="61"/>
      <c r="C308" s="61"/>
      <c r="D308" s="61"/>
      <c r="E308" s="61"/>
      <c r="F308" s="61"/>
      <c r="G308" s="61"/>
      <c r="H308" s="61"/>
      <c r="I308" s="61"/>
      <c r="J308" s="107"/>
      <c r="K308" s="100"/>
      <c r="L308" s="61"/>
      <c r="M308" s="61"/>
      <c r="N308" s="61"/>
    </row>
    <row r="309">
      <c r="A309" s="65"/>
      <c r="B309" s="65"/>
      <c r="C309" s="65"/>
      <c r="D309" s="65"/>
      <c r="E309" s="65"/>
      <c r="F309" s="65"/>
      <c r="G309" s="65"/>
      <c r="H309" s="65"/>
      <c r="I309" s="65"/>
      <c r="J309" s="108"/>
      <c r="K309" s="103"/>
      <c r="L309" s="65"/>
      <c r="M309" s="65"/>
      <c r="N309" s="65"/>
    </row>
    <row r="310">
      <c r="A310" s="61"/>
      <c r="B310" s="61"/>
      <c r="C310" s="61"/>
      <c r="D310" s="61"/>
      <c r="E310" s="61"/>
      <c r="F310" s="61"/>
      <c r="G310" s="61"/>
      <c r="H310" s="61"/>
      <c r="I310" s="61"/>
      <c r="J310" s="107"/>
      <c r="K310" s="100"/>
      <c r="L310" s="61"/>
      <c r="M310" s="61"/>
      <c r="N310" s="61"/>
    </row>
    <row r="311">
      <c r="A311" s="65"/>
      <c r="B311" s="65"/>
      <c r="C311" s="65"/>
      <c r="D311" s="65"/>
      <c r="E311" s="65"/>
      <c r="F311" s="65"/>
      <c r="G311" s="65"/>
      <c r="H311" s="65"/>
      <c r="I311" s="65"/>
      <c r="J311" s="108"/>
      <c r="K311" s="103"/>
      <c r="L311" s="65"/>
      <c r="M311" s="65"/>
      <c r="N311" s="65"/>
    </row>
    <row r="312">
      <c r="A312" s="61"/>
      <c r="B312" s="61"/>
      <c r="C312" s="61"/>
      <c r="D312" s="61"/>
      <c r="E312" s="61"/>
      <c r="F312" s="61"/>
      <c r="G312" s="61"/>
      <c r="H312" s="61"/>
      <c r="I312" s="61"/>
      <c r="J312" s="107"/>
      <c r="K312" s="100"/>
      <c r="L312" s="61"/>
      <c r="M312" s="61"/>
      <c r="N312" s="61"/>
    </row>
    <row r="313">
      <c r="A313" s="65"/>
      <c r="B313" s="65"/>
      <c r="C313" s="65"/>
      <c r="D313" s="65"/>
      <c r="E313" s="65"/>
      <c r="F313" s="65"/>
      <c r="G313" s="65"/>
      <c r="H313" s="65"/>
      <c r="I313" s="65"/>
      <c r="J313" s="108"/>
      <c r="K313" s="103"/>
      <c r="L313" s="65"/>
      <c r="M313" s="65"/>
      <c r="N313" s="65"/>
    </row>
    <row r="314">
      <c r="A314" s="61"/>
      <c r="B314" s="61"/>
      <c r="C314" s="61"/>
      <c r="D314" s="61"/>
      <c r="E314" s="61"/>
      <c r="F314" s="61"/>
      <c r="G314" s="61"/>
      <c r="H314" s="61"/>
      <c r="I314" s="61"/>
      <c r="J314" s="107"/>
      <c r="K314" s="100"/>
      <c r="L314" s="61"/>
      <c r="M314" s="61"/>
      <c r="N314" s="61"/>
    </row>
    <row r="315">
      <c r="A315" s="65"/>
      <c r="B315" s="65"/>
      <c r="C315" s="65"/>
      <c r="D315" s="65"/>
      <c r="E315" s="65"/>
      <c r="F315" s="65"/>
      <c r="G315" s="65"/>
      <c r="H315" s="65"/>
      <c r="I315" s="65"/>
      <c r="J315" s="108"/>
      <c r="K315" s="103"/>
      <c r="L315" s="65"/>
      <c r="M315" s="65"/>
      <c r="N315" s="65"/>
    </row>
    <row r="316">
      <c r="A316" s="61"/>
      <c r="B316" s="61"/>
      <c r="C316" s="61"/>
      <c r="D316" s="61"/>
      <c r="E316" s="61"/>
      <c r="F316" s="61"/>
      <c r="G316" s="61"/>
      <c r="H316" s="61"/>
      <c r="I316" s="61"/>
      <c r="J316" s="107"/>
      <c r="K316" s="100"/>
      <c r="L316" s="61"/>
      <c r="M316" s="61"/>
      <c r="N316" s="61"/>
    </row>
    <row r="317">
      <c r="A317" s="65"/>
      <c r="B317" s="65"/>
      <c r="C317" s="65"/>
      <c r="D317" s="65"/>
      <c r="E317" s="65"/>
      <c r="F317" s="65"/>
      <c r="G317" s="65"/>
      <c r="H317" s="65"/>
      <c r="I317" s="65"/>
      <c r="J317" s="108"/>
      <c r="K317" s="103"/>
      <c r="L317" s="65"/>
      <c r="M317" s="65"/>
      <c r="N317" s="65"/>
    </row>
    <row r="318">
      <c r="A318" s="61"/>
      <c r="B318" s="61"/>
      <c r="C318" s="61"/>
      <c r="D318" s="61"/>
      <c r="E318" s="61"/>
      <c r="F318" s="61"/>
      <c r="G318" s="61"/>
      <c r="H318" s="61"/>
      <c r="I318" s="61"/>
      <c r="J318" s="107"/>
      <c r="K318" s="100"/>
      <c r="L318" s="61"/>
      <c r="M318" s="61"/>
      <c r="N318" s="61"/>
    </row>
    <row r="319">
      <c r="A319" s="65"/>
      <c r="B319" s="65"/>
      <c r="C319" s="65"/>
      <c r="D319" s="65"/>
      <c r="E319" s="65"/>
      <c r="F319" s="65"/>
      <c r="G319" s="65"/>
      <c r="H319" s="65"/>
      <c r="I319" s="65"/>
      <c r="J319" s="108"/>
      <c r="K319" s="103"/>
      <c r="L319" s="65"/>
      <c r="M319" s="65"/>
      <c r="N319" s="65"/>
    </row>
    <row r="320">
      <c r="A320" s="61"/>
      <c r="B320" s="61"/>
      <c r="C320" s="61"/>
      <c r="D320" s="61"/>
      <c r="E320" s="61"/>
      <c r="F320" s="61"/>
      <c r="G320" s="61"/>
      <c r="H320" s="61"/>
      <c r="I320" s="61"/>
      <c r="J320" s="107"/>
      <c r="K320" s="100"/>
      <c r="L320" s="61"/>
      <c r="M320" s="61"/>
      <c r="N320" s="61"/>
    </row>
    <row r="321">
      <c r="A321" s="65"/>
      <c r="B321" s="65"/>
      <c r="C321" s="65"/>
      <c r="D321" s="65"/>
      <c r="E321" s="65"/>
      <c r="F321" s="65"/>
      <c r="G321" s="65"/>
      <c r="H321" s="65"/>
      <c r="I321" s="65"/>
      <c r="J321" s="108"/>
      <c r="K321" s="103"/>
      <c r="L321" s="65"/>
      <c r="M321" s="65"/>
      <c r="N321" s="65"/>
    </row>
    <row r="322">
      <c r="A322" s="61"/>
      <c r="B322" s="61"/>
      <c r="C322" s="61"/>
      <c r="D322" s="61"/>
      <c r="E322" s="61"/>
      <c r="F322" s="61"/>
      <c r="G322" s="61"/>
      <c r="H322" s="61"/>
      <c r="I322" s="61"/>
      <c r="J322" s="107"/>
      <c r="K322" s="100"/>
      <c r="L322" s="61"/>
      <c r="M322" s="61"/>
      <c r="N322" s="61"/>
    </row>
    <row r="323">
      <c r="A323" s="65"/>
      <c r="B323" s="65"/>
      <c r="C323" s="65"/>
      <c r="D323" s="65"/>
      <c r="E323" s="65"/>
      <c r="F323" s="65"/>
      <c r="G323" s="65"/>
      <c r="H323" s="65"/>
      <c r="I323" s="65"/>
      <c r="J323" s="108"/>
      <c r="K323" s="103"/>
      <c r="L323" s="65"/>
      <c r="M323" s="65"/>
      <c r="N323" s="65"/>
    </row>
    <row r="324">
      <c r="A324" s="61"/>
      <c r="B324" s="61"/>
      <c r="C324" s="61"/>
      <c r="D324" s="61"/>
      <c r="E324" s="61"/>
      <c r="F324" s="61"/>
      <c r="G324" s="61"/>
      <c r="H324" s="61"/>
      <c r="I324" s="61"/>
      <c r="J324" s="107"/>
      <c r="K324" s="100"/>
      <c r="L324" s="61"/>
      <c r="M324" s="61"/>
      <c r="N324" s="61"/>
    </row>
    <row r="325">
      <c r="A325" s="65"/>
      <c r="B325" s="65"/>
      <c r="C325" s="65"/>
      <c r="D325" s="65"/>
      <c r="E325" s="65"/>
      <c r="F325" s="65"/>
      <c r="G325" s="65"/>
      <c r="H325" s="65"/>
      <c r="I325" s="65"/>
      <c r="J325" s="108"/>
      <c r="K325" s="103"/>
      <c r="L325" s="65"/>
      <c r="M325" s="65"/>
      <c r="N325" s="65"/>
    </row>
    <row r="326">
      <c r="A326" s="61"/>
      <c r="B326" s="61"/>
      <c r="C326" s="61"/>
      <c r="D326" s="61"/>
      <c r="E326" s="61"/>
      <c r="F326" s="61"/>
      <c r="G326" s="61"/>
      <c r="H326" s="61"/>
      <c r="I326" s="61"/>
      <c r="J326" s="107"/>
      <c r="K326" s="100"/>
      <c r="L326" s="61"/>
      <c r="M326" s="61"/>
      <c r="N326" s="61"/>
    </row>
    <row r="327">
      <c r="A327" s="65"/>
      <c r="B327" s="65"/>
      <c r="C327" s="65"/>
      <c r="D327" s="65"/>
      <c r="E327" s="65"/>
      <c r="F327" s="65"/>
      <c r="G327" s="65"/>
      <c r="H327" s="65"/>
      <c r="I327" s="65"/>
      <c r="J327" s="108"/>
      <c r="K327" s="103"/>
      <c r="L327" s="65"/>
      <c r="M327" s="65"/>
      <c r="N327" s="65"/>
    </row>
    <row r="328">
      <c r="A328" s="61"/>
      <c r="B328" s="61"/>
      <c r="C328" s="61"/>
      <c r="D328" s="61"/>
      <c r="E328" s="61"/>
      <c r="F328" s="61"/>
      <c r="G328" s="61"/>
      <c r="H328" s="61"/>
      <c r="I328" s="61"/>
      <c r="J328" s="107"/>
      <c r="K328" s="100"/>
      <c r="L328" s="61"/>
      <c r="M328" s="61"/>
      <c r="N328" s="61"/>
    </row>
    <row r="329">
      <c r="A329" s="65"/>
      <c r="B329" s="65"/>
      <c r="C329" s="65"/>
      <c r="D329" s="65"/>
      <c r="E329" s="65"/>
      <c r="F329" s="65"/>
      <c r="G329" s="65"/>
      <c r="H329" s="65"/>
      <c r="I329" s="65"/>
      <c r="J329" s="108"/>
      <c r="K329" s="103"/>
      <c r="L329" s="65"/>
      <c r="M329" s="65"/>
      <c r="N329" s="65"/>
    </row>
    <row r="330">
      <c r="A330" s="61"/>
      <c r="B330" s="61"/>
      <c r="C330" s="61"/>
      <c r="D330" s="61"/>
      <c r="E330" s="61"/>
      <c r="F330" s="61"/>
      <c r="G330" s="61"/>
      <c r="H330" s="61"/>
      <c r="I330" s="61"/>
      <c r="J330" s="107"/>
      <c r="K330" s="100"/>
      <c r="L330" s="61"/>
      <c r="M330" s="61"/>
      <c r="N330" s="61"/>
    </row>
    <row r="331">
      <c r="A331" s="65"/>
      <c r="B331" s="65"/>
      <c r="C331" s="65"/>
      <c r="D331" s="65"/>
      <c r="E331" s="65"/>
      <c r="F331" s="65"/>
      <c r="G331" s="65"/>
      <c r="H331" s="65"/>
      <c r="I331" s="65"/>
      <c r="J331" s="108"/>
      <c r="K331" s="103"/>
      <c r="L331" s="65"/>
      <c r="M331" s="65"/>
      <c r="N331" s="65"/>
    </row>
    <row r="332">
      <c r="A332" s="61"/>
      <c r="B332" s="61"/>
      <c r="C332" s="61"/>
      <c r="D332" s="61"/>
      <c r="E332" s="61"/>
      <c r="F332" s="61"/>
      <c r="G332" s="61"/>
      <c r="H332" s="61"/>
      <c r="I332" s="61"/>
      <c r="J332" s="107"/>
      <c r="K332" s="100"/>
      <c r="L332" s="61"/>
      <c r="M332" s="61"/>
      <c r="N332" s="61"/>
    </row>
    <row r="333">
      <c r="A333" s="65"/>
      <c r="B333" s="65"/>
      <c r="C333" s="65"/>
      <c r="D333" s="65"/>
      <c r="E333" s="65"/>
      <c r="F333" s="65"/>
      <c r="G333" s="65"/>
      <c r="H333" s="65"/>
      <c r="I333" s="65"/>
      <c r="J333" s="108"/>
      <c r="K333" s="103"/>
      <c r="L333" s="65"/>
      <c r="M333" s="65"/>
      <c r="N333" s="65"/>
    </row>
    <row r="334">
      <c r="A334" s="61"/>
      <c r="B334" s="61"/>
      <c r="C334" s="61"/>
      <c r="D334" s="61"/>
      <c r="E334" s="61"/>
      <c r="F334" s="61"/>
      <c r="G334" s="61"/>
      <c r="H334" s="61"/>
      <c r="I334" s="61"/>
      <c r="J334" s="107"/>
      <c r="K334" s="100"/>
      <c r="L334" s="61"/>
      <c r="M334" s="61"/>
      <c r="N334" s="61"/>
    </row>
    <row r="335">
      <c r="A335" s="65"/>
      <c r="B335" s="65"/>
      <c r="C335" s="65"/>
      <c r="D335" s="65"/>
      <c r="E335" s="65"/>
      <c r="F335" s="65"/>
      <c r="G335" s="65"/>
      <c r="H335" s="65"/>
      <c r="I335" s="65"/>
      <c r="J335" s="108"/>
      <c r="K335" s="103"/>
      <c r="L335" s="65"/>
      <c r="M335" s="65"/>
      <c r="N335" s="65"/>
    </row>
    <row r="336">
      <c r="A336" s="61"/>
      <c r="B336" s="61"/>
      <c r="C336" s="61"/>
      <c r="D336" s="61"/>
      <c r="E336" s="61"/>
      <c r="F336" s="61"/>
      <c r="G336" s="61"/>
      <c r="H336" s="61"/>
      <c r="I336" s="61"/>
      <c r="J336" s="107"/>
      <c r="K336" s="100"/>
      <c r="L336" s="61"/>
      <c r="M336" s="61"/>
      <c r="N336" s="61"/>
    </row>
    <row r="337">
      <c r="A337" s="65"/>
      <c r="B337" s="65"/>
      <c r="C337" s="65"/>
      <c r="D337" s="65"/>
      <c r="E337" s="65"/>
      <c r="F337" s="65"/>
      <c r="G337" s="65"/>
      <c r="H337" s="65"/>
      <c r="I337" s="65"/>
      <c r="J337" s="108"/>
      <c r="K337" s="103"/>
      <c r="L337" s="65"/>
      <c r="M337" s="65"/>
      <c r="N337" s="65"/>
    </row>
    <row r="338">
      <c r="A338" s="61"/>
      <c r="B338" s="61"/>
      <c r="C338" s="61"/>
      <c r="D338" s="61"/>
      <c r="E338" s="61"/>
      <c r="F338" s="61"/>
      <c r="G338" s="61"/>
      <c r="H338" s="61"/>
      <c r="I338" s="61"/>
      <c r="J338" s="107"/>
      <c r="K338" s="100"/>
      <c r="L338" s="61"/>
      <c r="M338" s="61"/>
      <c r="N338" s="61"/>
    </row>
    <row r="339">
      <c r="A339" s="65"/>
      <c r="B339" s="65"/>
      <c r="C339" s="65"/>
      <c r="D339" s="65"/>
      <c r="E339" s="65"/>
      <c r="F339" s="65"/>
      <c r="G339" s="65"/>
      <c r="H339" s="65"/>
      <c r="I339" s="65"/>
      <c r="J339" s="108"/>
      <c r="K339" s="103"/>
      <c r="L339" s="65"/>
      <c r="M339" s="65"/>
      <c r="N339" s="65"/>
    </row>
    <row r="340">
      <c r="A340" s="61"/>
      <c r="B340" s="61"/>
      <c r="C340" s="61"/>
      <c r="D340" s="61"/>
      <c r="E340" s="61"/>
      <c r="F340" s="61"/>
      <c r="G340" s="61"/>
      <c r="H340" s="61"/>
      <c r="I340" s="61"/>
      <c r="J340" s="107"/>
      <c r="K340" s="100"/>
      <c r="L340" s="61"/>
      <c r="M340" s="61"/>
      <c r="N340" s="61"/>
    </row>
    <row r="341">
      <c r="A341" s="65"/>
      <c r="B341" s="65"/>
      <c r="C341" s="65"/>
      <c r="D341" s="65"/>
      <c r="E341" s="65"/>
      <c r="F341" s="65"/>
      <c r="G341" s="65"/>
      <c r="H341" s="65"/>
      <c r="I341" s="65"/>
      <c r="J341" s="108"/>
      <c r="K341" s="103"/>
      <c r="L341" s="65"/>
      <c r="M341" s="65"/>
      <c r="N341" s="65"/>
    </row>
    <row r="342">
      <c r="A342" s="61"/>
      <c r="B342" s="61"/>
      <c r="C342" s="61"/>
      <c r="D342" s="61"/>
      <c r="E342" s="61"/>
      <c r="F342" s="61"/>
      <c r="G342" s="61"/>
      <c r="H342" s="61"/>
      <c r="I342" s="61"/>
      <c r="J342" s="107"/>
      <c r="K342" s="100"/>
      <c r="L342" s="61"/>
      <c r="M342" s="61"/>
      <c r="N342" s="61"/>
    </row>
    <row r="343">
      <c r="A343" s="65"/>
      <c r="B343" s="65"/>
      <c r="C343" s="65"/>
      <c r="D343" s="65"/>
      <c r="E343" s="65"/>
      <c r="F343" s="65"/>
      <c r="G343" s="65"/>
      <c r="H343" s="65"/>
      <c r="I343" s="65"/>
      <c r="J343" s="108"/>
      <c r="K343" s="103"/>
      <c r="L343" s="65"/>
      <c r="M343" s="65"/>
      <c r="N343" s="65"/>
    </row>
    <row r="344">
      <c r="A344" s="61"/>
      <c r="B344" s="61"/>
      <c r="C344" s="61"/>
      <c r="D344" s="61"/>
      <c r="E344" s="61"/>
      <c r="F344" s="61"/>
      <c r="G344" s="61"/>
      <c r="H344" s="61"/>
      <c r="I344" s="61"/>
      <c r="J344" s="107"/>
      <c r="K344" s="100"/>
      <c r="L344" s="61"/>
      <c r="M344" s="61"/>
      <c r="N344" s="61"/>
    </row>
    <row r="345">
      <c r="A345" s="65"/>
      <c r="B345" s="65"/>
      <c r="C345" s="65"/>
      <c r="D345" s="65"/>
      <c r="E345" s="65"/>
      <c r="F345" s="65"/>
      <c r="G345" s="65"/>
      <c r="H345" s="65"/>
      <c r="I345" s="65"/>
      <c r="J345" s="108"/>
      <c r="K345" s="103"/>
      <c r="L345" s="65"/>
      <c r="M345" s="65"/>
      <c r="N345" s="65"/>
    </row>
    <row r="346">
      <c r="A346" s="61"/>
      <c r="B346" s="61"/>
      <c r="C346" s="61"/>
      <c r="D346" s="61"/>
      <c r="E346" s="61"/>
      <c r="F346" s="61"/>
      <c r="G346" s="61"/>
      <c r="H346" s="61"/>
      <c r="I346" s="61"/>
      <c r="J346" s="107"/>
      <c r="K346" s="100"/>
      <c r="L346" s="61"/>
      <c r="M346" s="61"/>
      <c r="N346" s="61"/>
    </row>
    <row r="347">
      <c r="A347" s="65"/>
      <c r="B347" s="65"/>
      <c r="C347" s="65"/>
      <c r="D347" s="65"/>
      <c r="E347" s="65"/>
      <c r="F347" s="65"/>
      <c r="G347" s="65"/>
      <c r="H347" s="65"/>
      <c r="I347" s="65"/>
      <c r="J347" s="108"/>
      <c r="K347" s="103"/>
      <c r="L347" s="65"/>
      <c r="M347" s="65"/>
      <c r="N347" s="65"/>
    </row>
    <row r="348">
      <c r="A348" s="61"/>
      <c r="B348" s="61"/>
      <c r="C348" s="61"/>
      <c r="D348" s="61"/>
      <c r="E348" s="61"/>
      <c r="F348" s="61"/>
      <c r="G348" s="61"/>
      <c r="H348" s="61"/>
      <c r="I348" s="61"/>
      <c r="J348" s="107"/>
      <c r="K348" s="100"/>
      <c r="L348" s="61"/>
      <c r="M348" s="61"/>
      <c r="N348" s="61"/>
    </row>
    <row r="349">
      <c r="A349" s="65"/>
      <c r="B349" s="65"/>
      <c r="C349" s="65"/>
      <c r="D349" s="65"/>
      <c r="E349" s="65"/>
      <c r="F349" s="65"/>
      <c r="G349" s="65"/>
      <c r="H349" s="65"/>
      <c r="I349" s="65"/>
      <c r="J349" s="108"/>
      <c r="K349" s="103"/>
      <c r="L349" s="65"/>
      <c r="M349" s="65"/>
      <c r="N349" s="65"/>
    </row>
    <row r="350">
      <c r="A350" s="61"/>
      <c r="B350" s="61"/>
      <c r="C350" s="61"/>
      <c r="D350" s="61"/>
      <c r="E350" s="61"/>
      <c r="F350" s="61"/>
      <c r="G350" s="61"/>
      <c r="H350" s="61"/>
      <c r="I350" s="61"/>
      <c r="J350" s="107"/>
      <c r="K350" s="100"/>
      <c r="L350" s="61"/>
      <c r="M350" s="61"/>
      <c r="N350" s="61"/>
    </row>
    <row r="351">
      <c r="A351" s="65"/>
      <c r="B351" s="65"/>
      <c r="C351" s="65"/>
      <c r="D351" s="65"/>
      <c r="E351" s="65"/>
      <c r="F351" s="65"/>
      <c r="G351" s="65"/>
      <c r="H351" s="65"/>
      <c r="I351" s="65"/>
      <c r="J351" s="108"/>
      <c r="K351" s="103"/>
      <c r="L351" s="65"/>
      <c r="M351" s="65"/>
      <c r="N351" s="65"/>
    </row>
    <row r="352">
      <c r="A352" s="61"/>
      <c r="B352" s="61"/>
      <c r="C352" s="61"/>
      <c r="D352" s="61"/>
      <c r="E352" s="61"/>
      <c r="F352" s="61"/>
      <c r="G352" s="61"/>
      <c r="H352" s="61"/>
      <c r="I352" s="61"/>
      <c r="J352" s="107"/>
      <c r="K352" s="100"/>
      <c r="L352" s="61"/>
      <c r="M352" s="61"/>
      <c r="N352" s="61"/>
    </row>
    <row r="353">
      <c r="A353" s="65"/>
      <c r="B353" s="65"/>
      <c r="C353" s="65"/>
      <c r="D353" s="65"/>
      <c r="E353" s="65"/>
      <c r="F353" s="65"/>
      <c r="G353" s="65"/>
      <c r="H353" s="65"/>
      <c r="I353" s="65"/>
      <c r="J353" s="108"/>
      <c r="K353" s="103"/>
      <c r="L353" s="65"/>
      <c r="M353" s="65"/>
      <c r="N353" s="65"/>
    </row>
    <row r="354">
      <c r="A354" s="61"/>
      <c r="B354" s="61"/>
      <c r="C354" s="61"/>
      <c r="D354" s="61"/>
      <c r="E354" s="61"/>
      <c r="F354" s="61"/>
      <c r="G354" s="61"/>
      <c r="H354" s="61"/>
      <c r="I354" s="61"/>
      <c r="J354" s="107"/>
      <c r="K354" s="100"/>
      <c r="L354" s="61"/>
      <c r="M354" s="61"/>
      <c r="N354" s="61"/>
    </row>
    <row r="355">
      <c r="A355" s="65"/>
      <c r="B355" s="65"/>
      <c r="C355" s="65"/>
      <c r="D355" s="65"/>
      <c r="E355" s="65"/>
      <c r="F355" s="65"/>
      <c r="G355" s="65"/>
      <c r="H355" s="65"/>
      <c r="I355" s="65"/>
      <c r="J355" s="108"/>
      <c r="K355" s="103"/>
      <c r="L355" s="65"/>
      <c r="M355" s="65"/>
      <c r="N355" s="65"/>
    </row>
    <row r="356">
      <c r="A356" s="61"/>
      <c r="B356" s="61"/>
      <c r="C356" s="61"/>
      <c r="D356" s="61"/>
      <c r="E356" s="61"/>
      <c r="F356" s="61"/>
      <c r="G356" s="61"/>
      <c r="H356" s="61"/>
      <c r="I356" s="61"/>
      <c r="J356" s="107"/>
      <c r="K356" s="100"/>
      <c r="L356" s="61"/>
      <c r="M356" s="61"/>
      <c r="N356" s="61"/>
    </row>
    <row r="357">
      <c r="A357" s="65"/>
      <c r="B357" s="65"/>
      <c r="C357" s="65"/>
      <c r="D357" s="65"/>
      <c r="E357" s="65"/>
      <c r="F357" s="65"/>
      <c r="G357" s="65"/>
      <c r="H357" s="65"/>
      <c r="I357" s="65"/>
      <c r="J357" s="108"/>
      <c r="K357" s="103"/>
      <c r="L357" s="65"/>
      <c r="M357" s="65"/>
      <c r="N357" s="65"/>
    </row>
    <row r="358">
      <c r="A358" s="61"/>
      <c r="B358" s="61"/>
      <c r="C358" s="61"/>
      <c r="D358" s="61"/>
      <c r="E358" s="61"/>
      <c r="F358" s="61"/>
      <c r="G358" s="61"/>
      <c r="H358" s="61"/>
      <c r="I358" s="61"/>
      <c r="J358" s="107"/>
      <c r="K358" s="100"/>
      <c r="L358" s="61"/>
      <c r="M358" s="61"/>
      <c r="N358" s="61"/>
    </row>
    <row r="359">
      <c r="A359" s="65"/>
      <c r="B359" s="65"/>
      <c r="C359" s="65"/>
      <c r="D359" s="65"/>
      <c r="E359" s="65"/>
      <c r="F359" s="65"/>
      <c r="G359" s="65"/>
      <c r="H359" s="65"/>
      <c r="I359" s="65"/>
      <c r="J359" s="108"/>
      <c r="K359" s="103"/>
      <c r="L359" s="65"/>
      <c r="M359" s="65"/>
      <c r="N359" s="65"/>
    </row>
    <row r="360">
      <c r="A360" s="61"/>
      <c r="B360" s="61"/>
      <c r="C360" s="61"/>
      <c r="D360" s="61"/>
      <c r="E360" s="61"/>
      <c r="F360" s="61"/>
      <c r="G360" s="61"/>
      <c r="H360" s="61"/>
      <c r="I360" s="61"/>
      <c r="J360" s="107"/>
      <c r="K360" s="100"/>
      <c r="L360" s="61"/>
      <c r="M360" s="61"/>
      <c r="N360" s="61"/>
    </row>
    <row r="361">
      <c r="A361" s="65"/>
      <c r="B361" s="65"/>
      <c r="C361" s="65"/>
      <c r="D361" s="65"/>
      <c r="E361" s="65"/>
      <c r="F361" s="65"/>
      <c r="G361" s="65"/>
      <c r="H361" s="65"/>
      <c r="I361" s="65"/>
      <c r="J361" s="108"/>
      <c r="K361" s="103"/>
      <c r="L361" s="65"/>
      <c r="M361" s="65"/>
      <c r="N361" s="65"/>
    </row>
    <row r="362">
      <c r="A362" s="61"/>
      <c r="B362" s="61"/>
      <c r="C362" s="61"/>
      <c r="D362" s="61"/>
      <c r="E362" s="61"/>
      <c r="F362" s="61"/>
      <c r="G362" s="61"/>
      <c r="H362" s="61"/>
      <c r="I362" s="61"/>
      <c r="J362" s="107"/>
      <c r="K362" s="100"/>
      <c r="L362" s="61"/>
      <c r="M362" s="61"/>
      <c r="N362" s="61"/>
    </row>
    <row r="363">
      <c r="A363" s="65"/>
      <c r="B363" s="65"/>
      <c r="C363" s="65"/>
      <c r="D363" s="65"/>
      <c r="E363" s="65"/>
      <c r="F363" s="65"/>
      <c r="G363" s="65"/>
      <c r="H363" s="65"/>
      <c r="I363" s="65"/>
      <c r="J363" s="108"/>
      <c r="K363" s="103"/>
      <c r="L363" s="65"/>
      <c r="M363" s="65"/>
      <c r="N363" s="65"/>
    </row>
    <row r="364">
      <c r="A364" s="61"/>
      <c r="B364" s="61"/>
      <c r="C364" s="61"/>
      <c r="D364" s="61"/>
      <c r="E364" s="61"/>
      <c r="F364" s="61"/>
      <c r="G364" s="61"/>
      <c r="H364" s="61"/>
      <c r="I364" s="61"/>
      <c r="J364" s="107"/>
      <c r="K364" s="100"/>
      <c r="L364" s="61"/>
      <c r="M364" s="61"/>
      <c r="N364" s="61"/>
    </row>
    <row r="365">
      <c r="A365" s="65"/>
      <c r="B365" s="65"/>
      <c r="C365" s="65"/>
      <c r="D365" s="65"/>
      <c r="E365" s="65"/>
      <c r="F365" s="65"/>
      <c r="G365" s="65"/>
      <c r="H365" s="65"/>
      <c r="I365" s="65"/>
      <c r="J365" s="108"/>
      <c r="K365" s="103"/>
      <c r="L365" s="65"/>
      <c r="M365" s="65"/>
      <c r="N365" s="65"/>
    </row>
    <row r="366">
      <c r="A366" s="61"/>
      <c r="B366" s="61"/>
      <c r="C366" s="61"/>
      <c r="D366" s="61"/>
      <c r="E366" s="61"/>
      <c r="F366" s="61"/>
      <c r="G366" s="61"/>
      <c r="H366" s="61"/>
      <c r="I366" s="61"/>
      <c r="J366" s="107"/>
      <c r="K366" s="100"/>
      <c r="L366" s="61"/>
      <c r="M366" s="61"/>
      <c r="N366" s="61"/>
    </row>
    <row r="367">
      <c r="A367" s="65"/>
      <c r="B367" s="65"/>
      <c r="C367" s="65"/>
      <c r="D367" s="65"/>
      <c r="E367" s="65"/>
      <c r="F367" s="65"/>
      <c r="G367" s="65"/>
      <c r="H367" s="65"/>
      <c r="I367" s="65"/>
      <c r="J367" s="108"/>
      <c r="K367" s="103"/>
      <c r="L367" s="65"/>
      <c r="M367" s="65"/>
      <c r="N367" s="65"/>
    </row>
    <row r="368">
      <c r="A368" s="61"/>
      <c r="B368" s="61"/>
      <c r="C368" s="61"/>
      <c r="D368" s="61"/>
      <c r="E368" s="61"/>
      <c r="F368" s="61"/>
      <c r="G368" s="61"/>
      <c r="H368" s="61"/>
      <c r="I368" s="61"/>
      <c r="J368" s="107"/>
      <c r="K368" s="100"/>
      <c r="L368" s="61"/>
      <c r="M368" s="61"/>
      <c r="N368" s="61"/>
    </row>
    <row r="369">
      <c r="A369" s="65"/>
      <c r="B369" s="65"/>
      <c r="C369" s="65"/>
      <c r="D369" s="65"/>
      <c r="E369" s="65"/>
      <c r="F369" s="65"/>
      <c r="G369" s="65"/>
      <c r="H369" s="65"/>
      <c r="I369" s="65"/>
      <c r="J369" s="108"/>
      <c r="K369" s="103"/>
      <c r="L369" s="65"/>
      <c r="M369" s="65"/>
      <c r="N369" s="65"/>
    </row>
    <row r="370">
      <c r="A370" s="61"/>
      <c r="B370" s="61"/>
      <c r="C370" s="61"/>
      <c r="D370" s="61"/>
      <c r="E370" s="61"/>
      <c r="F370" s="61"/>
      <c r="G370" s="61"/>
      <c r="H370" s="61"/>
      <c r="I370" s="61"/>
      <c r="J370" s="107"/>
      <c r="K370" s="100"/>
      <c r="L370" s="61"/>
      <c r="M370" s="61"/>
      <c r="N370" s="61"/>
    </row>
    <row r="371">
      <c r="A371" s="65"/>
      <c r="B371" s="65"/>
      <c r="C371" s="65"/>
      <c r="D371" s="65"/>
      <c r="E371" s="65"/>
      <c r="F371" s="65"/>
      <c r="G371" s="65"/>
      <c r="H371" s="65"/>
      <c r="I371" s="65"/>
      <c r="J371" s="108"/>
      <c r="K371" s="103"/>
      <c r="L371" s="65"/>
      <c r="M371" s="65"/>
      <c r="N371" s="65"/>
    </row>
    <row r="372">
      <c r="A372" s="61"/>
      <c r="B372" s="61"/>
      <c r="C372" s="61"/>
      <c r="D372" s="61"/>
      <c r="E372" s="61"/>
      <c r="F372" s="61"/>
      <c r="G372" s="61"/>
      <c r="H372" s="61"/>
      <c r="I372" s="61"/>
      <c r="J372" s="107"/>
      <c r="K372" s="100"/>
      <c r="L372" s="61"/>
      <c r="M372" s="61"/>
      <c r="N372" s="61"/>
    </row>
    <row r="373">
      <c r="A373" s="65"/>
      <c r="B373" s="65"/>
      <c r="C373" s="65"/>
      <c r="D373" s="65"/>
      <c r="E373" s="65"/>
      <c r="F373" s="65"/>
      <c r="G373" s="65"/>
      <c r="H373" s="65"/>
      <c r="I373" s="65"/>
      <c r="J373" s="108"/>
      <c r="K373" s="103"/>
      <c r="L373" s="65"/>
      <c r="M373" s="65"/>
      <c r="N373" s="65"/>
    </row>
    <row r="374">
      <c r="A374" s="61"/>
      <c r="B374" s="61"/>
      <c r="C374" s="61"/>
      <c r="D374" s="61"/>
      <c r="E374" s="61"/>
      <c r="F374" s="61"/>
      <c r="G374" s="61"/>
      <c r="H374" s="61"/>
      <c r="I374" s="61"/>
      <c r="J374" s="107"/>
      <c r="K374" s="100"/>
      <c r="L374" s="61"/>
      <c r="M374" s="61"/>
      <c r="N374" s="61"/>
    </row>
    <row r="375">
      <c r="A375" s="65"/>
      <c r="B375" s="65"/>
      <c r="C375" s="65"/>
      <c r="D375" s="65"/>
      <c r="E375" s="65"/>
      <c r="F375" s="65"/>
      <c r="G375" s="65"/>
      <c r="H375" s="65"/>
      <c r="I375" s="65"/>
      <c r="J375" s="108"/>
      <c r="K375" s="103"/>
      <c r="L375" s="65"/>
      <c r="M375" s="65"/>
      <c r="N375" s="65"/>
    </row>
    <row r="376">
      <c r="A376" s="61"/>
      <c r="B376" s="61"/>
      <c r="C376" s="61"/>
      <c r="D376" s="61"/>
      <c r="E376" s="61"/>
      <c r="F376" s="61"/>
      <c r="G376" s="61"/>
      <c r="H376" s="61"/>
      <c r="I376" s="61"/>
      <c r="J376" s="107"/>
      <c r="K376" s="100"/>
      <c r="L376" s="61"/>
      <c r="M376" s="61"/>
      <c r="N376" s="61"/>
    </row>
    <row r="377">
      <c r="A377" s="65"/>
      <c r="B377" s="65"/>
      <c r="C377" s="65"/>
      <c r="D377" s="65"/>
      <c r="E377" s="65"/>
      <c r="F377" s="65"/>
      <c r="G377" s="65"/>
      <c r="H377" s="65"/>
      <c r="I377" s="65"/>
      <c r="J377" s="108"/>
      <c r="K377" s="103"/>
      <c r="L377" s="65"/>
      <c r="M377" s="65"/>
      <c r="N377" s="65"/>
    </row>
    <row r="378">
      <c r="A378" s="61"/>
      <c r="B378" s="61"/>
      <c r="C378" s="61"/>
      <c r="D378" s="61"/>
      <c r="E378" s="61"/>
      <c r="F378" s="61"/>
      <c r="G378" s="61"/>
      <c r="H378" s="61"/>
      <c r="I378" s="61"/>
      <c r="J378" s="107"/>
      <c r="K378" s="100"/>
      <c r="L378" s="61"/>
      <c r="M378" s="61"/>
      <c r="N378" s="61"/>
    </row>
    <row r="379">
      <c r="A379" s="65"/>
      <c r="B379" s="65"/>
      <c r="C379" s="65"/>
      <c r="D379" s="65"/>
      <c r="E379" s="65"/>
      <c r="F379" s="65"/>
      <c r="G379" s="65"/>
      <c r="H379" s="65"/>
      <c r="I379" s="65"/>
      <c r="J379" s="108"/>
      <c r="K379" s="103"/>
      <c r="L379" s="65"/>
      <c r="M379" s="65"/>
      <c r="N379" s="65"/>
    </row>
    <row r="380">
      <c r="A380" s="61"/>
      <c r="B380" s="61"/>
      <c r="C380" s="61"/>
      <c r="D380" s="61"/>
      <c r="E380" s="61"/>
      <c r="F380" s="61"/>
      <c r="G380" s="61"/>
      <c r="H380" s="61"/>
      <c r="I380" s="61"/>
      <c r="J380" s="107"/>
      <c r="K380" s="100"/>
      <c r="L380" s="61"/>
      <c r="M380" s="61"/>
      <c r="N380" s="61"/>
    </row>
    <row r="381">
      <c r="A381" s="65"/>
      <c r="B381" s="65"/>
      <c r="C381" s="65"/>
      <c r="D381" s="65"/>
      <c r="E381" s="65"/>
      <c r="F381" s="65"/>
      <c r="G381" s="65"/>
      <c r="H381" s="65"/>
      <c r="I381" s="65"/>
      <c r="J381" s="108"/>
      <c r="K381" s="103"/>
      <c r="L381" s="65"/>
      <c r="M381" s="65"/>
      <c r="N381" s="65"/>
    </row>
    <row r="382">
      <c r="A382" s="61"/>
      <c r="B382" s="61"/>
      <c r="C382" s="61"/>
      <c r="D382" s="61"/>
      <c r="E382" s="61"/>
      <c r="F382" s="61"/>
      <c r="G382" s="61"/>
      <c r="H382" s="61"/>
      <c r="I382" s="61"/>
      <c r="J382" s="107"/>
      <c r="K382" s="100"/>
      <c r="L382" s="61"/>
      <c r="M382" s="61"/>
      <c r="N382" s="61"/>
    </row>
    <row r="383">
      <c r="A383" s="65"/>
      <c r="B383" s="65"/>
      <c r="C383" s="65"/>
      <c r="D383" s="65"/>
      <c r="E383" s="65"/>
      <c r="F383" s="65"/>
      <c r="G383" s="65"/>
      <c r="H383" s="65"/>
      <c r="I383" s="65"/>
      <c r="J383" s="108"/>
      <c r="K383" s="103"/>
      <c r="L383" s="65"/>
      <c r="M383" s="65"/>
      <c r="N383" s="65"/>
    </row>
    <row r="384">
      <c r="A384" s="61"/>
      <c r="B384" s="61"/>
      <c r="C384" s="61"/>
      <c r="D384" s="61"/>
      <c r="E384" s="61"/>
      <c r="F384" s="61"/>
      <c r="G384" s="61"/>
      <c r="H384" s="61"/>
      <c r="I384" s="61"/>
      <c r="J384" s="107"/>
      <c r="K384" s="100"/>
      <c r="L384" s="61"/>
      <c r="M384" s="61"/>
      <c r="N384" s="61"/>
    </row>
    <row r="385">
      <c r="A385" s="65"/>
      <c r="B385" s="65"/>
      <c r="C385" s="65"/>
      <c r="D385" s="65"/>
      <c r="E385" s="65"/>
      <c r="F385" s="65"/>
      <c r="G385" s="65"/>
      <c r="H385" s="65"/>
      <c r="I385" s="65"/>
      <c r="J385" s="108"/>
      <c r="K385" s="103"/>
      <c r="L385" s="65"/>
      <c r="M385" s="65"/>
      <c r="N385" s="65"/>
    </row>
    <row r="386">
      <c r="A386" s="61"/>
      <c r="B386" s="61"/>
      <c r="C386" s="61"/>
      <c r="D386" s="61"/>
      <c r="E386" s="61"/>
      <c r="F386" s="61"/>
      <c r="G386" s="61"/>
      <c r="H386" s="61"/>
      <c r="I386" s="61"/>
      <c r="J386" s="107"/>
      <c r="K386" s="100"/>
      <c r="L386" s="61"/>
      <c r="M386" s="61"/>
      <c r="N386" s="61"/>
    </row>
    <row r="387">
      <c r="A387" s="65"/>
      <c r="B387" s="65"/>
      <c r="C387" s="65"/>
      <c r="D387" s="65"/>
      <c r="E387" s="65"/>
      <c r="F387" s="65"/>
      <c r="G387" s="65"/>
      <c r="H387" s="65"/>
      <c r="I387" s="65"/>
      <c r="J387" s="108"/>
      <c r="K387" s="103"/>
      <c r="L387" s="65"/>
      <c r="M387" s="65"/>
      <c r="N387" s="65"/>
    </row>
    <row r="388">
      <c r="A388" s="61"/>
      <c r="B388" s="61"/>
      <c r="C388" s="61"/>
      <c r="D388" s="61"/>
      <c r="E388" s="61"/>
      <c r="F388" s="61"/>
      <c r="G388" s="61"/>
      <c r="H388" s="61"/>
      <c r="I388" s="61"/>
      <c r="J388" s="107"/>
      <c r="K388" s="100"/>
      <c r="L388" s="61"/>
      <c r="M388" s="61"/>
      <c r="N388" s="61"/>
    </row>
    <row r="389">
      <c r="A389" s="65"/>
      <c r="B389" s="65"/>
      <c r="C389" s="65"/>
      <c r="D389" s="65"/>
      <c r="E389" s="65"/>
      <c r="F389" s="65"/>
      <c r="G389" s="65"/>
      <c r="H389" s="65"/>
      <c r="I389" s="65"/>
      <c r="J389" s="108"/>
      <c r="K389" s="103"/>
      <c r="L389" s="65"/>
      <c r="M389" s="65"/>
      <c r="N389" s="65"/>
    </row>
    <row r="390">
      <c r="A390" s="61"/>
      <c r="B390" s="61"/>
      <c r="C390" s="61"/>
      <c r="D390" s="61"/>
      <c r="E390" s="61"/>
      <c r="F390" s="61"/>
      <c r="G390" s="61"/>
      <c r="H390" s="61"/>
      <c r="I390" s="61"/>
      <c r="J390" s="107"/>
      <c r="K390" s="100"/>
      <c r="L390" s="61"/>
      <c r="M390" s="61"/>
      <c r="N390" s="61"/>
    </row>
    <row r="391">
      <c r="A391" s="65"/>
      <c r="B391" s="65"/>
      <c r="C391" s="65"/>
      <c r="D391" s="65"/>
      <c r="E391" s="65"/>
      <c r="F391" s="65"/>
      <c r="G391" s="65"/>
      <c r="H391" s="65"/>
      <c r="I391" s="65"/>
      <c r="J391" s="108"/>
      <c r="K391" s="103"/>
      <c r="L391" s="65"/>
      <c r="M391" s="65"/>
      <c r="N391" s="65"/>
    </row>
    <row r="392">
      <c r="A392" s="61"/>
      <c r="B392" s="61"/>
      <c r="C392" s="61"/>
      <c r="D392" s="61"/>
      <c r="E392" s="61"/>
      <c r="F392" s="61"/>
      <c r="G392" s="61"/>
      <c r="H392" s="61"/>
      <c r="I392" s="61"/>
      <c r="J392" s="107"/>
      <c r="K392" s="100"/>
      <c r="L392" s="61"/>
      <c r="M392" s="61"/>
      <c r="N392" s="61"/>
    </row>
    <row r="393">
      <c r="A393" s="65"/>
      <c r="B393" s="65"/>
      <c r="C393" s="65"/>
      <c r="D393" s="65"/>
      <c r="E393" s="65"/>
      <c r="F393" s="65"/>
      <c r="G393" s="65"/>
      <c r="H393" s="65"/>
      <c r="I393" s="65"/>
      <c r="J393" s="108"/>
      <c r="K393" s="103"/>
      <c r="L393" s="65"/>
      <c r="M393" s="65"/>
      <c r="N393" s="65"/>
    </row>
    <row r="394">
      <c r="A394" s="61"/>
      <c r="B394" s="61"/>
      <c r="C394" s="61"/>
      <c r="D394" s="61"/>
      <c r="E394" s="61"/>
      <c r="F394" s="61"/>
      <c r="G394" s="61"/>
      <c r="H394" s="61"/>
      <c r="I394" s="61"/>
      <c r="J394" s="107"/>
      <c r="K394" s="100"/>
      <c r="L394" s="61"/>
      <c r="M394" s="61"/>
      <c r="N394" s="61"/>
    </row>
    <row r="395">
      <c r="A395" s="65"/>
      <c r="B395" s="65"/>
      <c r="C395" s="65"/>
      <c r="D395" s="65"/>
      <c r="E395" s="65"/>
      <c r="F395" s="65"/>
      <c r="G395" s="65"/>
      <c r="H395" s="65"/>
      <c r="I395" s="65"/>
      <c r="J395" s="108"/>
      <c r="K395" s="103"/>
      <c r="L395" s="65"/>
      <c r="M395" s="65"/>
      <c r="N395" s="65"/>
    </row>
    <row r="396">
      <c r="A396" s="61"/>
      <c r="B396" s="61"/>
      <c r="C396" s="61"/>
      <c r="D396" s="61"/>
      <c r="E396" s="61"/>
      <c r="F396" s="61"/>
      <c r="G396" s="61"/>
      <c r="H396" s="61"/>
      <c r="I396" s="61"/>
      <c r="J396" s="107"/>
      <c r="K396" s="100"/>
      <c r="L396" s="61"/>
      <c r="M396" s="61"/>
      <c r="N396" s="61"/>
    </row>
    <row r="397">
      <c r="A397" s="65"/>
      <c r="B397" s="65"/>
      <c r="C397" s="65"/>
      <c r="D397" s="65"/>
      <c r="E397" s="65"/>
      <c r="F397" s="65"/>
      <c r="G397" s="65"/>
      <c r="H397" s="65"/>
      <c r="I397" s="65"/>
      <c r="J397" s="108"/>
      <c r="K397" s="103"/>
      <c r="L397" s="65"/>
      <c r="M397" s="65"/>
      <c r="N397" s="65"/>
    </row>
    <row r="398">
      <c r="A398" s="61"/>
      <c r="B398" s="61"/>
      <c r="C398" s="61"/>
      <c r="D398" s="61"/>
      <c r="E398" s="61"/>
      <c r="F398" s="61"/>
      <c r="G398" s="61"/>
      <c r="H398" s="61"/>
      <c r="I398" s="61"/>
      <c r="J398" s="107"/>
      <c r="K398" s="100"/>
      <c r="L398" s="61"/>
      <c r="M398" s="61"/>
      <c r="N398" s="61"/>
    </row>
    <row r="399">
      <c r="A399" s="65"/>
      <c r="B399" s="65"/>
      <c r="C399" s="65"/>
      <c r="D399" s="65"/>
      <c r="E399" s="65"/>
      <c r="F399" s="65"/>
      <c r="G399" s="65"/>
      <c r="H399" s="65"/>
      <c r="I399" s="65"/>
      <c r="J399" s="108"/>
      <c r="K399" s="103"/>
      <c r="L399" s="65"/>
      <c r="M399" s="65"/>
      <c r="N399" s="65"/>
    </row>
    <row r="400">
      <c r="A400" s="61"/>
      <c r="B400" s="61"/>
      <c r="C400" s="61"/>
      <c r="D400" s="61"/>
      <c r="E400" s="61"/>
      <c r="F400" s="61"/>
      <c r="G400" s="61"/>
      <c r="H400" s="61"/>
      <c r="I400" s="61"/>
      <c r="J400" s="107"/>
      <c r="K400" s="100"/>
      <c r="L400" s="61"/>
      <c r="M400" s="61"/>
      <c r="N400" s="61"/>
    </row>
    <row r="401">
      <c r="A401" s="65"/>
      <c r="B401" s="65"/>
      <c r="C401" s="65"/>
      <c r="D401" s="65"/>
      <c r="E401" s="65"/>
      <c r="F401" s="65"/>
      <c r="G401" s="65"/>
      <c r="H401" s="65"/>
      <c r="I401" s="65"/>
      <c r="J401" s="108"/>
      <c r="K401" s="103"/>
      <c r="L401" s="65"/>
      <c r="M401" s="65"/>
      <c r="N401" s="65"/>
    </row>
    <row r="402">
      <c r="A402" s="61"/>
      <c r="B402" s="61"/>
      <c r="C402" s="61"/>
      <c r="D402" s="61"/>
      <c r="E402" s="61"/>
      <c r="F402" s="61"/>
      <c r="G402" s="61"/>
      <c r="H402" s="61"/>
      <c r="I402" s="61"/>
      <c r="J402" s="107"/>
      <c r="K402" s="100"/>
      <c r="L402" s="61"/>
      <c r="M402" s="61"/>
      <c r="N402" s="61"/>
    </row>
    <row r="403">
      <c r="A403" s="65"/>
      <c r="B403" s="65"/>
      <c r="C403" s="65"/>
      <c r="D403" s="65"/>
      <c r="E403" s="65"/>
      <c r="F403" s="65"/>
      <c r="G403" s="65"/>
      <c r="H403" s="65"/>
      <c r="I403" s="65"/>
      <c r="J403" s="108"/>
      <c r="K403" s="103"/>
      <c r="L403" s="65"/>
      <c r="M403" s="65"/>
      <c r="N403" s="65"/>
    </row>
    <row r="404">
      <c r="A404" s="61"/>
      <c r="B404" s="61"/>
      <c r="C404" s="61"/>
      <c r="D404" s="61"/>
      <c r="E404" s="61"/>
      <c r="F404" s="61"/>
      <c r="G404" s="61"/>
      <c r="H404" s="61"/>
      <c r="I404" s="61"/>
      <c r="J404" s="107"/>
      <c r="K404" s="100"/>
      <c r="L404" s="61"/>
      <c r="M404" s="61"/>
      <c r="N404" s="61"/>
    </row>
    <row r="405">
      <c r="A405" s="65"/>
      <c r="B405" s="65"/>
      <c r="C405" s="65"/>
      <c r="D405" s="65"/>
      <c r="E405" s="65"/>
      <c r="F405" s="65"/>
      <c r="G405" s="65"/>
      <c r="H405" s="65"/>
      <c r="I405" s="65"/>
      <c r="J405" s="108"/>
      <c r="K405" s="103"/>
      <c r="L405" s="65"/>
      <c r="M405" s="65"/>
      <c r="N405" s="65"/>
    </row>
    <row r="406">
      <c r="A406" s="61"/>
      <c r="B406" s="61"/>
      <c r="C406" s="61"/>
      <c r="D406" s="61"/>
      <c r="E406" s="61"/>
      <c r="F406" s="61"/>
      <c r="G406" s="61"/>
      <c r="H406" s="61"/>
      <c r="I406" s="61"/>
      <c r="J406" s="107"/>
      <c r="K406" s="100"/>
      <c r="L406" s="61"/>
      <c r="M406" s="61"/>
      <c r="N406" s="61"/>
    </row>
    <row r="407">
      <c r="A407" s="65"/>
      <c r="B407" s="65"/>
      <c r="C407" s="65"/>
      <c r="D407" s="65"/>
      <c r="E407" s="65"/>
      <c r="F407" s="65"/>
      <c r="G407" s="65"/>
      <c r="H407" s="65"/>
      <c r="I407" s="65"/>
      <c r="J407" s="108"/>
      <c r="K407" s="103"/>
      <c r="L407" s="65"/>
      <c r="M407" s="65"/>
      <c r="N407" s="65"/>
    </row>
    <row r="408">
      <c r="A408" s="61"/>
      <c r="B408" s="61"/>
      <c r="C408" s="61"/>
      <c r="D408" s="61"/>
      <c r="E408" s="61"/>
      <c r="F408" s="61"/>
      <c r="G408" s="61"/>
      <c r="H408" s="61"/>
      <c r="I408" s="61"/>
      <c r="J408" s="107"/>
      <c r="K408" s="100"/>
      <c r="L408" s="61"/>
      <c r="M408" s="61"/>
      <c r="N408" s="61"/>
    </row>
    <row r="409">
      <c r="A409" s="65"/>
      <c r="B409" s="65"/>
      <c r="C409" s="65"/>
      <c r="D409" s="65"/>
      <c r="E409" s="65"/>
      <c r="F409" s="65"/>
      <c r="G409" s="65"/>
      <c r="H409" s="65"/>
      <c r="I409" s="65"/>
      <c r="J409" s="108"/>
      <c r="K409" s="103"/>
      <c r="L409" s="65"/>
      <c r="M409" s="65"/>
      <c r="N409" s="65"/>
    </row>
    <row r="410">
      <c r="A410" s="61"/>
      <c r="B410" s="61"/>
      <c r="C410" s="61"/>
      <c r="D410" s="61"/>
      <c r="E410" s="61"/>
      <c r="F410" s="61"/>
      <c r="G410" s="61"/>
      <c r="H410" s="61"/>
      <c r="I410" s="61"/>
      <c r="J410" s="107"/>
      <c r="K410" s="100"/>
      <c r="L410" s="61"/>
      <c r="M410" s="61"/>
      <c r="N410" s="61"/>
    </row>
    <row r="411">
      <c r="A411" s="65"/>
      <c r="B411" s="65"/>
      <c r="C411" s="65"/>
      <c r="D411" s="65"/>
      <c r="E411" s="65"/>
      <c r="F411" s="65"/>
      <c r="G411" s="65"/>
      <c r="H411" s="65"/>
      <c r="I411" s="65"/>
      <c r="J411" s="108"/>
      <c r="K411" s="103"/>
      <c r="L411" s="65"/>
      <c r="M411" s="65"/>
      <c r="N411" s="65"/>
    </row>
    <row r="412">
      <c r="A412" s="61"/>
      <c r="B412" s="61"/>
      <c r="C412" s="61"/>
      <c r="D412" s="61"/>
      <c r="E412" s="61"/>
      <c r="F412" s="61"/>
      <c r="G412" s="61"/>
      <c r="H412" s="61"/>
      <c r="I412" s="61"/>
      <c r="J412" s="107"/>
      <c r="K412" s="100"/>
      <c r="L412" s="61"/>
      <c r="M412" s="61"/>
      <c r="N412" s="61"/>
    </row>
    <row r="413">
      <c r="A413" s="65"/>
      <c r="B413" s="65"/>
      <c r="C413" s="65"/>
      <c r="D413" s="65"/>
      <c r="E413" s="65"/>
      <c r="F413" s="65"/>
      <c r="G413" s="65"/>
      <c r="H413" s="65"/>
      <c r="I413" s="65"/>
      <c r="J413" s="108"/>
      <c r="K413" s="103"/>
      <c r="L413" s="65"/>
      <c r="M413" s="65"/>
      <c r="N413" s="65"/>
    </row>
    <row r="414">
      <c r="A414" s="61"/>
      <c r="B414" s="61"/>
      <c r="C414" s="61"/>
      <c r="D414" s="61"/>
      <c r="E414" s="61"/>
      <c r="F414" s="61"/>
      <c r="G414" s="61"/>
      <c r="H414" s="61"/>
      <c r="I414" s="61"/>
      <c r="J414" s="107"/>
      <c r="K414" s="100"/>
      <c r="L414" s="61"/>
      <c r="M414" s="61"/>
      <c r="N414" s="61"/>
    </row>
    <row r="415">
      <c r="A415" s="65"/>
      <c r="B415" s="65"/>
      <c r="C415" s="65"/>
      <c r="D415" s="65"/>
      <c r="E415" s="65"/>
      <c r="F415" s="65"/>
      <c r="G415" s="65"/>
      <c r="H415" s="65"/>
      <c r="I415" s="65"/>
      <c r="J415" s="108"/>
      <c r="K415" s="103"/>
      <c r="L415" s="65"/>
      <c r="M415" s="65"/>
      <c r="N415" s="65"/>
    </row>
    <row r="416">
      <c r="A416" s="61"/>
      <c r="B416" s="61"/>
      <c r="C416" s="61"/>
      <c r="D416" s="61"/>
      <c r="E416" s="61"/>
      <c r="F416" s="61"/>
      <c r="G416" s="61"/>
      <c r="H416" s="61"/>
      <c r="I416" s="61"/>
      <c r="J416" s="107"/>
      <c r="K416" s="100"/>
      <c r="L416" s="61"/>
      <c r="M416" s="61"/>
      <c r="N416" s="61"/>
    </row>
    <row r="417">
      <c r="A417" s="65"/>
      <c r="B417" s="65"/>
      <c r="C417" s="65"/>
      <c r="D417" s="65"/>
      <c r="E417" s="65"/>
      <c r="F417" s="65"/>
      <c r="G417" s="65"/>
      <c r="H417" s="65"/>
      <c r="I417" s="65"/>
      <c r="J417" s="108"/>
      <c r="K417" s="103"/>
      <c r="L417" s="65"/>
      <c r="M417" s="65"/>
      <c r="N417" s="65"/>
    </row>
    <row r="418">
      <c r="A418" s="61"/>
      <c r="B418" s="61"/>
      <c r="C418" s="61"/>
      <c r="D418" s="61"/>
      <c r="E418" s="61"/>
      <c r="F418" s="61"/>
      <c r="G418" s="61"/>
      <c r="H418" s="61"/>
      <c r="I418" s="61"/>
      <c r="J418" s="107"/>
      <c r="K418" s="100"/>
      <c r="L418" s="61"/>
      <c r="M418" s="61"/>
      <c r="N418" s="61"/>
    </row>
    <row r="419">
      <c r="A419" s="65"/>
      <c r="B419" s="65"/>
      <c r="C419" s="65"/>
      <c r="D419" s="65"/>
      <c r="E419" s="65"/>
      <c r="F419" s="65"/>
      <c r="G419" s="65"/>
      <c r="H419" s="65"/>
      <c r="I419" s="65"/>
      <c r="J419" s="108"/>
      <c r="K419" s="103"/>
      <c r="L419" s="65"/>
      <c r="M419" s="65"/>
      <c r="N419" s="65"/>
    </row>
    <row r="420">
      <c r="A420" s="61"/>
      <c r="B420" s="61"/>
      <c r="C420" s="61"/>
      <c r="D420" s="61"/>
      <c r="E420" s="61"/>
      <c r="F420" s="61"/>
      <c r="G420" s="61"/>
      <c r="H420" s="61"/>
      <c r="I420" s="61"/>
      <c r="J420" s="107"/>
      <c r="K420" s="100"/>
      <c r="L420" s="61"/>
      <c r="M420" s="61"/>
      <c r="N420" s="61"/>
    </row>
    <row r="421">
      <c r="A421" s="65"/>
      <c r="B421" s="65"/>
      <c r="C421" s="65"/>
      <c r="D421" s="65"/>
      <c r="E421" s="65"/>
      <c r="F421" s="65"/>
      <c r="G421" s="65"/>
      <c r="H421" s="65"/>
      <c r="I421" s="65"/>
      <c r="J421" s="108"/>
      <c r="K421" s="103"/>
      <c r="L421" s="65"/>
      <c r="M421" s="65"/>
      <c r="N421" s="65"/>
    </row>
    <row r="422">
      <c r="A422" s="61"/>
      <c r="B422" s="61"/>
      <c r="C422" s="61"/>
      <c r="D422" s="61"/>
      <c r="E422" s="61"/>
      <c r="F422" s="61"/>
      <c r="G422" s="61"/>
      <c r="H422" s="61"/>
      <c r="I422" s="61"/>
      <c r="J422" s="107"/>
      <c r="K422" s="100"/>
      <c r="L422" s="61"/>
      <c r="M422" s="61"/>
      <c r="N422" s="61"/>
    </row>
    <row r="423">
      <c r="A423" s="65"/>
      <c r="B423" s="65"/>
      <c r="C423" s="65"/>
      <c r="D423" s="65"/>
      <c r="E423" s="65"/>
      <c r="F423" s="65"/>
      <c r="G423" s="65"/>
      <c r="H423" s="65"/>
      <c r="I423" s="65"/>
      <c r="J423" s="108"/>
      <c r="K423" s="103"/>
      <c r="L423" s="65"/>
      <c r="M423" s="65"/>
      <c r="N423" s="65"/>
    </row>
    <row r="424">
      <c r="A424" s="61"/>
      <c r="B424" s="61"/>
      <c r="C424" s="61"/>
      <c r="D424" s="61"/>
      <c r="E424" s="61"/>
      <c r="F424" s="61"/>
      <c r="G424" s="61"/>
      <c r="H424" s="61"/>
      <c r="I424" s="61"/>
      <c r="J424" s="107"/>
      <c r="K424" s="100"/>
      <c r="L424" s="61"/>
      <c r="M424" s="61"/>
      <c r="N424" s="61"/>
    </row>
    <row r="425">
      <c r="A425" s="65"/>
      <c r="B425" s="65"/>
      <c r="C425" s="65"/>
      <c r="D425" s="65"/>
      <c r="E425" s="65"/>
      <c r="F425" s="65"/>
      <c r="G425" s="65"/>
      <c r="H425" s="65"/>
      <c r="I425" s="65"/>
      <c r="J425" s="108"/>
      <c r="K425" s="103"/>
      <c r="L425" s="65"/>
      <c r="M425" s="65"/>
      <c r="N425" s="65"/>
    </row>
    <row r="426">
      <c r="A426" s="61"/>
      <c r="B426" s="61"/>
      <c r="C426" s="61"/>
      <c r="D426" s="61"/>
      <c r="E426" s="61"/>
      <c r="F426" s="61"/>
      <c r="G426" s="61"/>
      <c r="H426" s="61"/>
      <c r="I426" s="61"/>
      <c r="J426" s="107"/>
      <c r="K426" s="100"/>
      <c r="L426" s="61"/>
      <c r="M426" s="61"/>
      <c r="N426" s="61"/>
    </row>
    <row r="427">
      <c r="A427" s="65"/>
      <c r="B427" s="65"/>
      <c r="C427" s="65"/>
      <c r="D427" s="65"/>
      <c r="E427" s="65"/>
      <c r="F427" s="65"/>
      <c r="G427" s="65"/>
      <c r="H427" s="65"/>
      <c r="I427" s="65"/>
      <c r="J427" s="108"/>
      <c r="K427" s="103"/>
      <c r="L427" s="65"/>
      <c r="M427" s="65"/>
      <c r="N427" s="65"/>
    </row>
    <row r="428">
      <c r="A428" s="61"/>
      <c r="B428" s="61"/>
      <c r="C428" s="61"/>
      <c r="D428" s="61"/>
      <c r="E428" s="61"/>
      <c r="F428" s="61"/>
      <c r="G428" s="61"/>
      <c r="H428" s="61"/>
      <c r="I428" s="61"/>
      <c r="J428" s="107"/>
      <c r="K428" s="100"/>
      <c r="L428" s="61"/>
      <c r="M428" s="61"/>
      <c r="N428" s="61"/>
    </row>
    <row r="429">
      <c r="A429" s="65"/>
      <c r="B429" s="65"/>
      <c r="C429" s="65"/>
      <c r="D429" s="65"/>
      <c r="E429" s="65"/>
      <c r="F429" s="65"/>
      <c r="G429" s="65"/>
      <c r="H429" s="65"/>
      <c r="I429" s="65"/>
      <c r="J429" s="108"/>
      <c r="K429" s="103"/>
      <c r="L429" s="65"/>
      <c r="M429" s="65"/>
      <c r="N429" s="65"/>
    </row>
    <row r="430">
      <c r="A430" s="61"/>
      <c r="B430" s="61"/>
      <c r="C430" s="61"/>
      <c r="D430" s="61"/>
      <c r="E430" s="61"/>
      <c r="F430" s="61"/>
      <c r="G430" s="61"/>
      <c r="H430" s="61"/>
      <c r="I430" s="61"/>
      <c r="J430" s="107"/>
      <c r="K430" s="100"/>
      <c r="L430" s="61"/>
      <c r="M430" s="61"/>
      <c r="N430" s="61"/>
    </row>
    <row r="431">
      <c r="A431" s="65"/>
      <c r="B431" s="65"/>
      <c r="C431" s="65"/>
      <c r="D431" s="65"/>
      <c r="E431" s="65"/>
      <c r="F431" s="65"/>
      <c r="G431" s="65"/>
      <c r="H431" s="65"/>
      <c r="I431" s="65"/>
      <c r="J431" s="108"/>
      <c r="K431" s="103"/>
      <c r="L431" s="65"/>
      <c r="M431" s="65"/>
      <c r="N431" s="65"/>
    </row>
    <row r="432">
      <c r="A432" s="61"/>
      <c r="B432" s="61"/>
      <c r="C432" s="61"/>
      <c r="D432" s="61"/>
      <c r="E432" s="61"/>
      <c r="F432" s="61"/>
      <c r="G432" s="61"/>
      <c r="H432" s="61"/>
      <c r="I432" s="61"/>
      <c r="J432" s="107"/>
      <c r="K432" s="100"/>
      <c r="L432" s="61"/>
      <c r="M432" s="61"/>
      <c r="N432" s="61"/>
    </row>
    <row r="433">
      <c r="A433" s="65"/>
      <c r="B433" s="65"/>
      <c r="C433" s="65"/>
      <c r="D433" s="65"/>
      <c r="E433" s="65"/>
      <c r="F433" s="65"/>
      <c r="G433" s="65"/>
      <c r="H433" s="65"/>
      <c r="I433" s="65"/>
      <c r="J433" s="108"/>
      <c r="K433" s="103"/>
      <c r="L433" s="65"/>
      <c r="M433" s="65"/>
      <c r="N433" s="65"/>
    </row>
    <row r="434">
      <c r="A434" s="61"/>
      <c r="B434" s="61"/>
      <c r="C434" s="61"/>
      <c r="D434" s="61"/>
      <c r="E434" s="61"/>
      <c r="F434" s="61"/>
      <c r="G434" s="61"/>
      <c r="H434" s="61"/>
      <c r="I434" s="61"/>
      <c r="J434" s="107"/>
      <c r="K434" s="100"/>
      <c r="L434" s="61"/>
      <c r="M434" s="61"/>
      <c r="N434" s="61"/>
    </row>
    <row r="435">
      <c r="A435" s="65"/>
      <c r="B435" s="65"/>
      <c r="C435" s="65"/>
      <c r="D435" s="65"/>
      <c r="E435" s="65"/>
      <c r="F435" s="65"/>
      <c r="G435" s="65"/>
      <c r="H435" s="65"/>
      <c r="I435" s="65"/>
      <c r="J435" s="108"/>
      <c r="K435" s="103"/>
      <c r="L435" s="65"/>
      <c r="M435" s="65"/>
      <c r="N435" s="65"/>
    </row>
    <row r="436">
      <c r="A436" s="61"/>
      <c r="B436" s="61"/>
      <c r="C436" s="61"/>
      <c r="D436" s="61"/>
      <c r="E436" s="61"/>
      <c r="F436" s="61"/>
      <c r="G436" s="61"/>
      <c r="H436" s="61"/>
      <c r="I436" s="61"/>
      <c r="J436" s="107"/>
      <c r="K436" s="100"/>
      <c r="L436" s="61"/>
      <c r="M436" s="61"/>
      <c r="N436" s="61"/>
    </row>
    <row r="437">
      <c r="A437" s="65"/>
      <c r="B437" s="65"/>
      <c r="C437" s="65"/>
      <c r="D437" s="65"/>
      <c r="E437" s="65"/>
      <c r="F437" s="65"/>
      <c r="G437" s="65"/>
      <c r="H437" s="65"/>
      <c r="I437" s="65"/>
      <c r="J437" s="108"/>
      <c r="K437" s="103"/>
      <c r="L437" s="65"/>
      <c r="M437" s="65"/>
      <c r="N437" s="65"/>
    </row>
    <row r="438">
      <c r="A438" s="61"/>
      <c r="B438" s="61"/>
      <c r="C438" s="61"/>
      <c r="D438" s="61"/>
      <c r="E438" s="61"/>
      <c r="F438" s="61"/>
      <c r="G438" s="61"/>
      <c r="H438" s="61"/>
      <c r="I438" s="61"/>
      <c r="J438" s="107"/>
      <c r="K438" s="100"/>
      <c r="L438" s="61"/>
      <c r="M438" s="61"/>
      <c r="N438" s="61"/>
    </row>
    <row r="439">
      <c r="A439" s="65"/>
      <c r="B439" s="65"/>
      <c r="C439" s="65"/>
      <c r="D439" s="65"/>
      <c r="E439" s="65"/>
      <c r="F439" s="65"/>
      <c r="G439" s="65"/>
      <c r="H439" s="65"/>
      <c r="I439" s="65"/>
      <c r="J439" s="108"/>
      <c r="K439" s="103"/>
      <c r="L439" s="65"/>
      <c r="M439" s="65"/>
      <c r="N439" s="65"/>
    </row>
    <row r="440">
      <c r="A440" s="61"/>
      <c r="B440" s="61"/>
      <c r="C440" s="61"/>
      <c r="D440" s="61"/>
      <c r="E440" s="61"/>
      <c r="F440" s="61"/>
      <c r="G440" s="61"/>
      <c r="H440" s="61"/>
      <c r="I440" s="61"/>
      <c r="J440" s="107"/>
      <c r="K440" s="100"/>
      <c r="L440" s="61"/>
      <c r="M440" s="61"/>
      <c r="N440" s="61"/>
    </row>
    <row r="441">
      <c r="A441" s="65"/>
      <c r="B441" s="65"/>
      <c r="C441" s="65"/>
      <c r="D441" s="65"/>
      <c r="E441" s="65"/>
      <c r="F441" s="65"/>
      <c r="G441" s="65"/>
      <c r="H441" s="65"/>
      <c r="I441" s="65"/>
      <c r="J441" s="108"/>
      <c r="K441" s="103"/>
      <c r="L441" s="65"/>
      <c r="M441" s="65"/>
      <c r="N441" s="65"/>
    </row>
    <row r="442">
      <c r="A442" s="61"/>
      <c r="B442" s="61"/>
      <c r="C442" s="61"/>
      <c r="D442" s="61"/>
      <c r="E442" s="61"/>
      <c r="F442" s="61"/>
      <c r="G442" s="61"/>
      <c r="H442" s="61"/>
      <c r="I442" s="61"/>
      <c r="J442" s="107"/>
      <c r="K442" s="100"/>
      <c r="L442" s="61"/>
      <c r="M442" s="61"/>
      <c r="N442" s="61"/>
    </row>
    <row r="443">
      <c r="A443" s="65"/>
      <c r="B443" s="65"/>
      <c r="C443" s="65"/>
      <c r="D443" s="65"/>
      <c r="E443" s="65"/>
      <c r="F443" s="65"/>
      <c r="G443" s="65"/>
      <c r="H443" s="65"/>
      <c r="I443" s="65"/>
      <c r="J443" s="108"/>
      <c r="K443" s="103"/>
      <c r="L443" s="65"/>
      <c r="M443" s="65"/>
      <c r="N443" s="65"/>
    </row>
    <row r="444">
      <c r="A444" s="61"/>
      <c r="B444" s="61"/>
      <c r="C444" s="61"/>
      <c r="D444" s="61"/>
      <c r="E444" s="61"/>
      <c r="F444" s="61"/>
      <c r="G444" s="61"/>
      <c r="H444" s="61"/>
      <c r="I444" s="61"/>
      <c r="J444" s="107"/>
      <c r="K444" s="100"/>
      <c r="L444" s="61"/>
      <c r="M444" s="61"/>
      <c r="N444" s="61"/>
    </row>
    <row r="445">
      <c r="A445" s="65"/>
      <c r="B445" s="65"/>
      <c r="C445" s="65"/>
      <c r="D445" s="65"/>
      <c r="E445" s="65"/>
      <c r="F445" s="65"/>
      <c r="G445" s="65"/>
      <c r="H445" s="65"/>
      <c r="I445" s="65"/>
      <c r="J445" s="108"/>
      <c r="K445" s="103"/>
      <c r="L445" s="65"/>
      <c r="M445" s="65"/>
      <c r="N445" s="65"/>
    </row>
    <row r="446">
      <c r="A446" s="61"/>
      <c r="B446" s="61"/>
      <c r="C446" s="61"/>
      <c r="D446" s="61"/>
      <c r="E446" s="61"/>
      <c r="F446" s="61"/>
      <c r="G446" s="61"/>
      <c r="H446" s="61"/>
      <c r="I446" s="61"/>
      <c r="J446" s="107"/>
      <c r="K446" s="100"/>
      <c r="L446" s="61"/>
      <c r="M446" s="61"/>
      <c r="N446" s="61"/>
    </row>
    <row r="447">
      <c r="A447" s="65"/>
      <c r="B447" s="65"/>
      <c r="C447" s="65"/>
      <c r="D447" s="65"/>
      <c r="E447" s="65"/>
      <c r="F447" s="65"/>
      <c r="G447" s="65"/>
      <c r="H447" s="65"/>
      <c r="I447" s="65"/>
      <c r="J447" s="108"/>
      <c r="K447" s="103"/>
      <c r="L447" s="65"/>
      <c r="M447" s="65"/>
      <c r="N447" s="65"/>
    </row>
    <row r="448">
      <c r="A448" s="61"/>
      <c r="B448" s="61"/>
      <c r="C448" s="61"/>
      <c r="D448" s="61"/>
      <c r="E448" s="61"/>
      <c r="F448" s="61"/>
      <c r="G448" s="61"/>
      <c r="H448" s="61"/>
      <c r="I448" s="61"/>
      <c r="J448" s="107"/>
      <c r="K448" s="100"/>
      <c r="L448" s="61"/>
      <c r="M448" s="61"/>
      <c r="N448" s="61"/>
    </row>
    <row r="449">
      <c r="A449" s="65"/>
      <c r="B449" s="65"/>
      <c r="C449" s="65"/>
      <c r="D449" s="65"/>
      <c r="E449" s="65"/>
      <c r="F449" s="65"/>
      <c r="G449" s="65"/>
      <c r="H449" s="65"/>
      <c r="I449" s="65"/>
      <c r="J449" s="108"/>
      <c r="K449" s="103"/>
      <c r="L449" s="65"/>
      <c r="M449" s="65"/>
      <c r="N449" s="65"/>
    </row>
    <row r="450">
      <c r="A450" s="61"/>
      <c r="B450" s="61"/>
      <c r="C450" s="61"/>
      <c r="D450" s="61"/>
      <c r="E450" s="61"/>
      <c r="F450" s="61"/>
      <c r="G450" s="61"/>
      <c r="H450" s="61"/>
      <c r="I450" s="61"/>
      <c r="J450" s="107"/>
      <c r="K450" s="100"/>
      <c r="L450" s="61"/>
      <c r="M450" s="61"/>
      <c r="N450" s="61"/>
    </row>
    <row r="451">
      <c r="A451" s="65"/>
      <c r="B451" s="65"/>
      <c r="C451" s="65"/>
      <c r="D451" s="65"/>
      <c r="E451" s="65"/>
      <c r="F451" s="65"/>
      <c r="G451" s="65"/>
      <c r="H451" s="65"/>
      <c r="I451" s="65"/>
      <c r="J451" s="108"/>
      <c r="K451" s="103"/>
      <c r="L451" s="65"/>
      <c r="M451" s="65"/>
      <c r="N451" s="65"/>
    </row>
    <row r="452">
      <c r="A452" s="61"/>
      <c r="B452" s="61"/>
      <c r="C452" s="61"/>
      <c r="D452" s="61"/>
      <c r="E452" s="61"/>
      <c r="F452" s="61"/>
      <c r="G452" s="61"/>
      <c r="H452" s="61"/>
      <c r="I452" s="61"/>
      <c r="J452" s="107"/>
      <c r="K452" s="100"/>
      <c r="L452" s="61"/>
      <c r="M452" s="61"/>
      <c r="N452" s="61"/>
    </row>
    <row r="453">
      <c r="A453" s="65"/>
      <c r="B453" s="65"/>
      <c r="C453" s="65"/>
      <c r="D453" s="65"/>
      <c r="E453" s="65"/>
      <c r="F453" s="65"/>
      <c r="G453" s="65"/>
      <c r="H453" s="65"/>
      <c r="I453" s="65"/>
      <c r="J453" s="108"/>
      <c r="K453" s="103"/>
      <c r="L453" s="65"/>
      <c r="M453" s="65"/>
      <c r="N453" s="65"/>
    </row>
    <row r="454">
      <c r="A454" s="61"/>
      <c r="B454" s="61"/>
      <c r="C454" s="61"/>
      <c r="D454" s="61"/>
      <c r="E454" s="61"/>
      <c r="F454" s="61"/>
      <c r="G454" s="61"/>
      <c r="H454" s="61"/>
      <c r="I454" s="61"/>
      <c r="J454" s="107"/>
      <c r="K454" s="100"/>
      <c r="L454" s="61"/>
      <c r="M454" s="61"/>
      <c r="N454" s="61"/>
    </row>
    <row r="455">
      <c r="A455" s="65"/>
      <c r="B455" s="65"/>
      <c r="C455" s="65"/>
      <c r="D455" s="65"/>
      <c r="E455" s="65"/>
      <c r="F455" s="65"/>
      <c r="G455" s="65"/>
      <c r="H455" s="65"/>
      <c r="I455" s="65"/>
      <c r="J455" s="108"/>
      <c r="K455" s="103"/>
      <c r="L455" s="65"/>
      <c r="M455" s="65"/>
      <c r="N455" s="65"/>
    </row>
    <row r="456">
      <c r="A456" s="61"/>
      <c r="B456" s="61"/>
      <c r="C456" s="61"/>
      <c r="D456" s="61"/>
      <c r="E456" s="61"/>
      <c r="F456" s="61"/>
      <c r="G456" s="61"/>
      <c r="H456" s="61"/>
      <c r="I456" s="61"/>
      <c r="J456" s="107"/>
      <c r="K456" s="100"/>
      <c r="L456" s="61"/>
      <c r="M456" s="61"/>
      <c r="N456" s="61"/>
    </row>
    <row r="457">
      <c r="A457" s="65"/>
      <c r="B457" s="65"/>
      <c r="C457" s="65"/>
      <c r="D457" s="65"/>
      <c r="E457" s="65"/>
      <c r="F457" s="65"/>
      <c r="G457" s="65"/>
      <c r="H457" s="65"/>
      <c r="I457" s="65"/>
      <c r="J457" s="108"/>
      <c r="K457" s="103"/>
      <c r="L457" s="65"/>
      <c r="M457" s="65"/>
      <c r="N457" s="65"/>
    </row>
    <row r="458">
      <c r="A458" s="61"/>
      <c r="B458" s="61"/>
      <c r="C458" s="61"/>
      <c r="D458" s="61"/>
      <c r="E458" s="61"/>
      <c r="F458" s="61"/>
      <c r="G458" s="61"/>
      <c r="H458" s="61"/>
      <c r="I458" s="61"/>
      <c r="J458" s="107"/>
      <c r="K458" s="100"/>
      <c r="L458" s="61"/>
      <c r="M458" s="61"/>
      <c r="N458" s="61"/>
    </row>
    <row r="459">
      <c r="A459" s="65"/>
      <c r="B459" s="65"/>
      <c r="C459" s="65"/>
      <c r="D459" s="65"/>
      <c r="E459" s="65"/>
      <c r="F459" s="65"/>
      <c r="G459" s="65"/>
      <c r="H459" s="65"/>
      <c r="I459" s="65"/>
      <c r="J459" s="108"/>
      <c r="K459" s="103"/>
      <c r="L459" s="65"/>
      <c r="M459" s="65"/>
      <c r="N459" s="65"/>
    </row>
    <row r="460">
      <c r="A460" s="61"/>
      <c r="B460" s="61"/>
      <c r="C460" s="61"/>
      <c r="D460" s="61"/>
      <c r="E460" s="61"/>
      <c r="F460" s="61"/>
      <c r="G460" s="61"/>
      <c r="H460" s="61"/>
      <c r="I460" s="61"/>
      <c r="J460" s="107"/>
      <c r="K460" s="100"/>
      <c r="L460" s="61"/>
      <c r="M460" s="61"/>
      <c r="N460" s="61"/>
    </row>
    <row r="461">
      <c r="A461" s="65"/>
      <c r="B461" s="65"/>
      <c r="C461" s="65"/>
      <c r="D461" s="65"/>
      <c r="E461" s="65"/>
      <c r="F461" s="65"/>
      <c r="G461" s="65"/>
      <c r="H461" s="65"/>
      <c r="I461" s="65"/>
      <c r="J461" s="108"/>
      <c r="K461" s="103"/>
      <c r="L461" s="65"/>
      <c r="M461" s="65"/>
      <c r="N461" s="65"/>
    </row>
    <row r="462">
      <c r="A462" s="61"/>
      <c r="B462" s="61"/>
      <c r="C462" s="61"/>
      <c r="D462" s="61"/>
      <c r="E462" s="61"/>
      <c r="F462" s="61"/>
      <c r="G462" s="61"/>
      <c r="H462" s="61"/>
      <c r="I462" s="61"/>
      <c r="J462" s="107"/>
      <c r="K462" s="100"/>
      <c r="L462" s="61"/>
      <c r="M462" s="61"/>
      <c r="N462" s="61"/>
    </row>
    <row r="463">
      <c r="A463" s="65"/>
      <c r="B463" s="65"/>
      <c r="C463" s="65"/>
      <c r="D463" s="65"/>
      <c r="E463" s="65"/>
      <c r="F463" s="65"/>
      <c r="G463" s="65"/>
      <c r="H463" s="65"/>
      <c r="I463" s="65"/>
      <c r="J463" s="108"/>
      <c r="K463" s="103"/>
      <c r="L463" s="65"/>
      <c r="M463" s="65"/>
      <c r="N463" s="65"/>
    </row>
    <row r="464">
      <c r="A464" s="61"/>
      <c r="B464" s="61"/>
      <c r="C464" s="61"/>
      <c r="D464" s="61"/>
      <c r="E464" s="61"/>
      <c r="F464" s="61"/>
      <c r="G464" s="61"/>
      <c r="H464" s="61"/>
      <c r="I464" s="61"/>
      <c r="J464" s="107"/>
      <c r="K464" s="100"/>
      <c r="L464" s="61"/>
      <c r="M464" s="61"/>
      <c r="N464" s="61"/>
    </row>
    <row r="465">
      <c r="A465" s="65"/>
      <c r="B465" s="65"/>
      <c r="C465" s="65"/>
      <c r="D465" s="65"/>
      <c r="E465" s="65"/>
      <c r="F465" s="65"/>
      <c r="G465" s="65"/>
      <c r="H465" s="65"/>
      <c r="I465" s="65"/>
      <c r="J465" s="108"/>
      <c r="K465" s="103"/>
      <c r="L465" s="65"/>
      <c r="M465" s="65"/>
      <c r="N465" s="65"/>
    </row>
    <row r="466">
      <c r="A466" s="61"/>
      <c r="B466" s="61"/>
      <c r="C466" s="61"/>
      <c r="D466" s="61"/>
      <c r="E466" s="61"/>
      <c r="F466" s="61"/>
      <c r="G466" s="61"/>
      <c r="H466" s="61"/>
      <c r="I466" s="61"/>
      <c r="J466" s="107"/>
      <c r="K466" s="100"/>
      <c r="L466" s="61"/>
      <c r="M466" s="61"/>
      <c r="N466" s="61"/>
    </row>
    <row r="467">
      <c r="A467" s="65"/>
      <c r="B467" s="65"/>
      <c r="C467" s="65"/>
      <c r="D467" s="65"/>
      <c r="E467" s="65"/>
      <c r="F467" s="65"/>
      <c r="G467" s="65"/>
      <c r="H467" s="65"/>
      <c r="I467" s="65"/>
      <c r="J467" s="108"/>
      <c r="K467" s="103"/>
      <c r="L467" s="65"/>
      <c r="M467" s="65"/>
      <c r="N467" s="65"/>
    </row>
    <row r="468">
      <c r="A468" s="61"/>
      <c r="B468" s="61"/>
      <c r="C468" s="61"/>
      <c r="D468" s="61"/>
      <c r="E468" s="61"/>
      <c r="F468" s="61"/>
      <c r="G468" s="61"/>
      <c r="H468" s="61"/>
      <c r="I468" s="61"/>
      <c r="J468" s="107"/>
      <c r="K468" s="100"/>
      <c r="L468" s="61"/>
      <c r="M468" s="61"/>
      <c r="N468" s="61"/>
    </row>
    <row r="469">
      <c r="A469" s="65"/>
      <c r="B469" s="65"/>
      <c r="C469" s="65"/>
      <c r="D469" s="65"/>
      <c r="E469" s="65"/>
      <c r="F469" s="65"/>
      <c r="G469" s="65"/>
      <c r="H469" s="65"/>
      <c r="I469" s="65"/>
      <c r="J469" s="108"/>
      <c r="K469" s="103"/>
      <c r="L469" s="65"/>
      <c r="M469" s="65"/>
      <c r="N469" s="65"/>
    </row>
    <row r="470">
      <c r="A470" s="61"/>
      <c r="B470" s="61"/>
      <c r="C470" s="61"/>
      <c r="D470" s="61"/>
      <c r="E470" s="61"/>
      <c r="F470" s="61"/>
      <c r="G470" s="61"/>
      <c r="H470" s="61"/>
      <c r="I470" s="61"/>
      <c r="J470" s="107"/>
      <c r="K470" s="100"/>
      <c r="L470" s="61"/>
      <c r="M470" s="61"/>
      <c r="N470" s="61"/>
    </row>
    <row r="471">
      <c r="A471" s="65"/>
      <c r="B471" s="65"/>
      <c r="C471" s="65"/>
      <c r="D471" s="65"/>
      <c r="E471" s="65"/>
      <c r="F471" s="65"/>
      <c r="G471" s="65"/>
      <c r="H471" s="65"/>
      <c r="I471" s="65"/>
      <c r="J471" s="108"/>
      <c r="K471" s="103"/>
      <c r="L471" s="65"/>
      <c r="M471" s="65"/>
      <c r="N471" s="65"/>
    </row>
    <row r="472">
      <c r="A472" s="61"/>
      <c r="B472" s="61"/>
      <c r="C472" s="61"/>
      <c r="D472" s="61"/>
      <c r="E472" s="61"/>
      <c r="F472" s="61"/>
      <c r="G472" s="61"/>
      <c r="H472" s="61"/>
      <c r="I472" s="61"/>
      <c r="J472" s="107"/>
      <c r="K472" s="100"/>
      <c r="L472" s="61"/>
      <c r="M472" s="61"/>
      <c r="N472" s="61"/>
    </row>
    <row r="473">
      <c r="A473" s="65"/>
      <c r="B473" s="65"/>
      <c r="C473" s="65"/>
      <c r="D473" s="65"/>
      <c r="E473" s="65"/>
      <c r="F473" s="65"/>
      <c r="G473" s="65"/>
      <c r="H473" s="65"/>
      <c r="I473" s="65"/>
      <c r="J473" s="108"/>
      <c r="K473" s="103"/>
      <c r="L473" s="65"/>
      <c r="M473" s="65"/>
      <c r="N473" s="65"/>
    </row>
    <row r="474">
      <c r="A474" s="61"/>
      <c r="B474" s="61"/>
      <c r="C474" s="61"/>
      <c r="D474" s="61"/>
      <c r="E474" s="61"/>
      <c r="F474" s="61"/>
      <c r="G474" s="61"/>
      <c r="H474" s="61"/>
      <c r="I474" s="61"/>
      <c r="J474" s="107"/>
      <c r="K474" s="100"/>
      <c r="L474" s="61"/>
      <c r="M474" s="61"/>
      <c r="N474" s="61"/>
    </row>
    <row r="475">
      <c r="A475" s="65"/>
      <c r="B475" s="65"/>
      <c r="C475" s="65"/>
      <c r="D475" s="65"/>
      <c r="E475" s="65"/>
      <c r="F475" s="65"/>
      <c r="G475" s="65"/>
      <c r="H475" s="65"/>
      <c r="I475" s="65"/>
      <c r="J475" s="108"/>
      <c r="K475" s="103"/>
      <c r="L475" s="65"/>
      <c r="M475" s="65"/>
      <c r="N475" s="65"/>
    </row>
    <row r="476">
      <c r="A476" s="61"/>
      <c r="B476" s="61"/>
      <c r="C476" s="61"/>
      <c r="D476" s="61"/>
      <c r="E476" s="61"/>
      <c r="F476" s="61"/>
      <c r="G476" s="61"/>
      <c r="H476" s="61"/>
      <c r="I476" s="61"/>
      <c r="J476" s="107"/>
      <c r="K476" s="100"/>
      <c r="L476" s="61"/>
      <c r="M476" s="61"/>
      <c r="N476" s="61"/>
    </row>
    <row r="477">
      <c r="A477" s="65"/>
      <c r="B477" s="65"/>
      <c r="C477" s="65"/>
      <c r="D477" s="65"/>
      <c r="E477" s="65"/>
      <c r="F477" s="65"/>
      <c r="G477" s="65"/>
      <c r="H477" s="65"/>
      <c r="I477" s="65"/>
      <c r="J477" s="108"/>
      <c r="K477" s="103"/>
      <c r="L477" s="65"/>
      <c r="M477" s="65"/>
      <c r="N477" s="65"/>
    </row>
    <row r="478">
      <c r="A478" s="61"/>
      <c r="B478" s="61"/>
      <c r="C478" s="61"/>
      <c r="D478" s="61"/>
      <c r="E478" s="61"/>
      <c r="F478" s="61"/>
      <c r="G478" s="61"/>
      <c r="H478" s="61"/>
      <c r="I478" s="61"/>
      <c r="J478" s="107"/>
      <c r="K478" s="100"/>
      <c r="L478" s="61"/>
      <c r="M478" s="61"/>
      <c r="N478" s="61"/>
    </row>
    <row r="479">
      <c r="A479" s="65"/>
      <c r="B479" s="65"/>
      <c r="C479" s="65"/>
      <c r="D479" s="65"/>
      <c r="E479" s="65"/>
      <c r="F479" s="65"/>
      <c r="G479" s="65"/>
      <c r="H479" s="65"/>
      <c r="I479" s="65"/>
      <c r="J479" s="108"/>
      <c r="K479" s="103"/>
      <c r="L479" s="65"/>
      <c r="M479" s="65"/>
      <c r="N479" s="65"/>
    </row>
    <row r="480">
      <c r="A480" s="61"/>
      <c r="B480" s="61"/>
      <c r="C480" s="61"/>
      <c r="D480" s="61"/>
      <c r="E480" s="61"/>
      <c r="F480" s="61"/>
      <c r="G480" s="61"/>
      <c r="H480" s="61"/>
      <c r="I480" s="61"/>
      <c r="J480" s="107"/>
      <c r="K480" s="100"/>
      <c r="L480" s="61"/>
      <c r="M480" s="61"/>
      <c r="N480" s="61"/>
    </row>
    <row r="481">
      <c r="A481" s="65"/>
      <c r="B481" s="65"/>
      <c r="C481" s="65"/>
      <c r="D481" s="65"/>
      <c r="E481" s="65"/>
      <c r="F481" s="65"/>
      <c r="G481" s="65"/>
      <c r="H481" s="65"/>
      <c r="I481" s="65"/>
      <c r="J481" s="108"/>
      <c r="K481" s="103"/>
      <c r="L481" s="65"/>
      <c r="M481" s="65"/>
      <c r="N481" s="65"/>
    </row>
    <row r="482">
      <c r="A482" s="61"/>
      <c r="B482" s="61"/>
      <c r="C482" s="61"/>
      <c r="D482" s="61"/>
      <c r="E482" s="61"/>
      <c r="F482" s="61"/>
      <c r="G482" s="61"/>
      <c r="H482" s="61"/>
      <c r="I482" s="61"/>
      <c r="J482" s="107"/>
      <c r="K482" s="100"/>
      <c r="L482" s="61"/>
      <c r="M482" s="61"/>
      <c r="N482" s="61"/>
    </row>
    <row r="483">
      <c r="A483" s="65"/>
      <c r="B483" s="65"/>
      <c r="C483" s="65"/>
      <c r="D483" s="65"/>
      <c r="E483" s="65"/>
      <c r="F483" s="65"/>
      <c r="G483" s="65"/>
      <c r="H483" s="65"/>
      <c r="I483" s="65"/>
      <c r="J483" s="108"/>
      <c r="K483" s="103"/>
      <c r="L483" s="65"/>
      <c r="M483" s="65"/>
      <c r="N483" s="65"/>
    </row>
    <row r="484">
      <c r="A484" s="61"/>
      <c r="B484" s="61"/>
      <c r="C484" s="61"/>
      <c r="D484" s="61"/>
      <c r="E484" s="61"/>
      <c r="F484" s="61"/>
      <c r="G484" s="61"/>
      <c r="H484" s="61"/>
      <c r="I484" s="61"/>
      <c r="J484" s="107"/>
      <c r="K484" s="100"/>
      <c r="L484" s="61"/>
      <c r="M484" s="61"/>
      <c r="N484" s="61"/>
    </row>
    <row r="485">
      <c r="A485" s="65"/>
      <c r="B485" s="65"/>
      <c r="C485" s="65"/>
      <c r="D485" s="65"/>
      <c r="E485" s="65"/>
      <c r="F485" s="65"/>
      <c r="G485" s="65"/>
      <c r="H485" s="65"/>
      <c r="I485" s="65"/>
      <c r="J485" s="108"/>
      <c r="K485" s="103"/>
      <c r="L485" s="65"/>
      <c r="M485" s="65"/>
      <c r="N485" s="65"/>
    </row>
    <row r="486">
      <c r="A486" s="61"/>
      <c r="B486" s="61"/>
      <c r="C486" s="61"/>
      <c r="D486" s="61"/>
      <c r="E486" s="61"/>
      <c r="F486" s="61"/>
      <c r="G486" s="61"/>
      <c r="H486" s="61"/>
      <c r="I486" s="61"/>
      <c r="J486" s="107"/>
      <c r="K486" s="100"/>
      <c r="L486" s="61"/>
      <c r="M486" s="61"/>
      <c r="N486" s="61"/>
    </row>
    <row r="487">
      <c r="A487" s="65"/>
      <c r="B487" s="65"/>
      <c r="C487" s="65"/>
      <c r="D487" s="65"/>
      <c r="E487" s="65"/>
      <c r="F487" s="65"/>
      <c r="G487" s="65"/>
      <c r="H487" s="65"/>
      <c r="I487" s="65"/>
      <c r="J487" s="108"/>
      <c r="K487" s="103"/>
      <c r="L487" s="65"/>
      <c r="M487" s="65"/>
      <c r="N487" s="65"/>
    </row>
    <row r="488">
      <c r="A488" s="61"/>
      <c r="B488" s="61"/>
      <c r="C488" s="61"/>
      <c r="D488" s="61"/>
      <c r="E488" s="61"/>
      <c r="F488" s="61"/>
      <c r="G488" s="61"/>
      <c r="H488" s="61"/>
      <c r="I488" s="61"/>
      <c r="J488" s="107"/>
      <c r="K488" s="100"/>
      <c r="L488" s="61"/>
      <c r="M488" s="61"/>
      <c r="N488" s="61"/>
    </row>
    <row r="489">
      <c r="A489" s="65"/>
      <c r="B489" s="65"/>
      <c r="C489" s="65"/>
      <c r="D489" s="65"/>
      <c r="E489" s="65"/>
      <c r="F489" s="65"/>
      <c r="G489" s="65"/>
      <c r="H489" s="65"/>
      <c r="I489" s="65"/>
      <c r="J489" s="108"/>
      <c r="K489" s="103"/>
      <c r="L489" s="65"/>
      <c r="M489" s="65"/>
      <c r="N489" s="65"/>
    </row>
    <row r="490">
      <c r="A490" s="61"/>
      <c r="B490" s="61"/>
      <c r="C490" s="61"/>
      <c r="D490" s="61"/>
      <c r="E490" s="61"/>
      <c r="F490" s="61"/>
      <c r="G490" s="61"/>
      <c r="H490" s="61"/>
      <c r="I490" s="61"/>
      <c r="J490" s="107"/>
      <c r="K490" s="100"/>
      <c r="L490" s="61"/>
      <c r="M490" s="61"/>
      <c r="N490" s="61"/>
    </row>
    <row r="491">
      <c r="A491" s="65"/>
      <c r="B491" s="65"/>
      <c r="C491" s="65"/>
      <c r="D491" s="65"/>
      <c r="E491" s="65"/>
      <c r="F491" s="65"/>
      <c r="G491" s="65"/>
      <c r="H491" s="65"/>
      <c r="I491" s="65"/>
      <c r="J491" s="108"/>
      <c r="K491" s="103"/>
      <c r="L491" s="65"/>
      <c r="M491" s="65"/>
      <c r="N491" s="65"/>
    </row>
    <row r="492">
      <c r="A492" s="61"/>
      <c r="B492" s="61"/>
      <c r="C492" s="61"/>
      <c r="D492" s="61"/>
      <c r="E492" s="61"/>
      <c r="F492" s="61"/>
      <c r="G492" s="61"/>
      <c r="H492" s="61"/>
      <c r="I492" s="61"/>
      <c r="J492" s="107"/>
      <c r="K492" s="100"/>
      <c r="L492" s="61"/>
      <c r="M492" s="61"/>
      <c r="N492" s="61"/>
    </row>
    <row r="493">
      <c r="A493" s="65"/>
      <c r="B493" s="65"/>
      <c r="C493" s="65"/>
      <c r="D493" s="65"/>
      <c r="E493" s="65"/>
      <c r="F493" s="65"/>
      <c r="G493" s="65"/>
      <c r="H493" s="65"/>
      <c r="I493" s="65"/>
      <c r="J493" s="108"/>
      <c r="K493" s="103"/>
      <c r="L493" s="65"/>
      <c r="M493" s="65"/>
      <c r="N493" s="65"/>
    </row>
    <row r="494">
      <c r="A494" s="61"/>
      <c r="B494" s="61"/>
      <c r="C494" s="61"/>
      <c r="D494" s="61"/>
      <c r="E494" s="61"/>
      <c r="F494" s="61"/>
      <c r="G494" s="61"/>
      <c r="H494" s="61"/>
      <c r="I494" s="61"/>
      <c r="J494" s="107"/>
      <c r="K494" s="100"/>
      <c r="L494" s="61"/>
      <c r="M494" s="61"/>
      <c r="N494" s="61"/>
    </row>
    <row r="495">
      <c r="A495" s="65"/>
      <c r="B495" s="65"/>
      <c r="C495" s="65"/>
      <c r="D495" s="65"/>
      <c r="E495" s="65"/>
      <c r="F495" s="65"/>
      <c r="G495" s="65"/>
      <c r="H495" s="65"/>
      <c r="I495" s="65"/>
      <c r="J495" s="108"/>
      <c r="K495" s="103"/>
      <c r="L495" s="65"/>
      <c r="M495" s="65"/>
      <c r="N495" s="65"/>
    </row>
    <row r="496">
      <c r="A496" s="61"/>
      <c r="B496" s="61"/>
      <c r="C496" s="61"/>
      <c r="D496" s="61"/>
      <c r="E496" s="61"/>
      <c r="F496" s="61"/>
      <c r="G496" s="61"/>
      <c r="H496" s="61"/>
      <c r="I496" s="61"/>
      <c r="J496" s="107"/>
      <c r="K496" s="100"/>
      <c r="L496" s="61"/>
      <c r="M496" s="61"/>
      <c r="N496" s="61"/>
    </row>
    <row r="497">
      <c r="A497" s="65"/>
      <c r="B497" s="65"/>
      <c r="C497" s="65"/>
      <c r="D497" s="65"/>
      <c r="E497" s="65"/>
      <c r="F497" s="65"/>
      <c r="G497" s="65"/>
      <c r="H497" s="65"/>
      <c r="I497" s="65"/>
      <c r="J497" s="108"/>
      <c r="K497" s="103"/>
      <c r="L497" s="65"/>
      <c r="M497" s="65"/>
      <c r="N497" s="65"/>
    </row>
    <row r="498">
      <c r="A498" s="61"/>
      <c r="B498" s="61"/>
      <c r="C498" s="61"/>
      <c r="D498" s="61"/>
      <c r="E498" s="61"/>
      <c r="F498" s="61"/>
      <c r="G498" s="61"/>
      <c r="H498" s="61"/>
      <c r="I498" s="61"/>
      <c r="J498" s="107"/>
      <c r="K498" s="100"/>
      <c r="L498" s="61"/>
      <c r="M498" s="61"/>
      <c r="N498" s="61"/>
    </row>
    <row r="499">
      <c r="A499" s="65"/>
      <c r="B499" s="65"/>
      <c r="C499" s="65"/>
      <c r="D499" s="65"/>
      <c r="E499" s="65"/>
      <c r="F499" s="65"/>
      <c r="G499" s="65"/>
      <c r="H499" s="65"/>
      <c r="I499" s="65"/>
      <c r="J499" s="108"/>
      <c r="K499" s="103"/>
      <c r="L499" s="65"/>
      <c r="M499" s="65"/>
      <c r="N499" s="65"/>
    </row>
    <row r="500">
      <c r="A500" s="61"/>
      <c r="B500" s="61"/>
      <c r="C500" s="61"/>
      <c r="D500" s="61"/>
      <c r="E500" s="61"/>
      <c r="F500" s="61"/>
      <c r="G500" s="61"/>
      <c r="H500" s="61"/>
      <c r="I500" s="61"/>
      <c r="J500" s="107"/>
      <c r="K500" s="100"/>
      <c r="L500" s="61"/>
      <c r="M500" s="61"/>
      <c r="N500" s="61"/>
    </row>
    <row r="501">
      <c r="A501" s="65"/>
      <c r="B501" s="65"/>
      <c r="C501" s="65"/>
      <c r="D501" s="65"/>
      <c r="E501" s="65"/>
      <c r="F501" s="65"/>
      <c r="G501" s="65"/>
      <c r="H501" s="65"/>
      <c r="I501" s="65"/>
      <c r="J501" s="108"/>
      <c r="K501" s="103"/>
      <c r="L501" s="65"/>
      <c r="M501" s="65"/>
      <c r="N501" s="65"/>
    </row>
    <row r="502">
      <c r="A502" s="61"/>
      <c r="B502" s="61"/>
      <c r="C502" s="61"/>
      <c r="D502" s="61"/>
      <c r="E502" s="61"/>
      <c r="F502" s="61"/>
      <c r="G502" s="61"/>
      <c r="H502" s="61"/>
      <c r="I502" s="61"/>
      <c r="J502" s="107"/>
      <c r="K502" s="100"/>
      <c r="L502" s="61"/>
      <c r="M502" s="61"/>
      <c r="N502" s="61"/>
    </row>
    <row r="503">
      <c r="A503" s="65"/>
      <c r="B503" s="65"/>
      <c r="C503" s="65"/>
      <c r="D503" s="65"/>
      <c r="E503" s="65"/>
      <c r="F503" s="65"/>
      <c r="G503" s="65"/>
      <c r="H503" s="65"/>
      <c r="I503" s="65"/>
      <c r="J503" s="108"/>
      <c r="K503" s="103"/>
      <c r="L503" s="65"/>
      <c r="M503" s="65"/>
      <c r="N503" s="65"/>
    </row>
    <row r="504">
      <c r="A504" s="61"/>
      <c r="B504" s="61"/>
      <c r="C504" s="61"/>
      <c r="D504" s="61"/>
      <c r="E504" s="61"/>
      <c r="F504" s="61"/>
      <c r="G504" s="61"/>
      <c r="H504" s="61"/>
      <c r="I504" s="61"/>
      <c r="J504" s="107"/>
      <c r="K504" s="100"/>
      <c r="L504" s="61"/>
      <c r="M504" s="61"/>
      <c r="N504" s="61"/>
    </row>
    <row r="505">
      <c r="A505" s="65"/>
      <c r="B505" s="65"/>
      <c r="C505" s="65"/>
      <c r="D505" s="65"/>
      <c r="E505" s="65"/>
      <c r="F505" s="65"/>
      <c r="G505" s="65"/>
      <c r="H505" s="65"/>
      <c r="I505" s="65"/>
      <c r="J505" s="108"/>
      <c r="K505" s="103"/>
      <c r="L505" s="65"/>
      <c r="M505" s="65"/>
      <c r="N505" s="65"/>
    </row>
    <row r="506">
      <c r="A506" s="61"/>
      <c r="B506" s="61"/>
      <c r="C506" s="61"/>
      <c r="D506" s="61"/>
      <c r="E506" s="61"/>
      <c r="F506" s="61"/>
      <c r="G506" s="61"/>
      <c r="H506" s="61"/>
      <c r="I506" s="61"/>
      <c r="J506" s="107"/>
      <c r="K506" s="100"/>
      <c r="L506" s="61"/>
      <c r="M506" s="61"/>
      <c r="N506" s="61"/>
    </row>
    <row r="507">
      <c r="A507" s="65"/>
      <c r="B507" s="65"/>
      <c r="C507" s="65"/>
      <c r="D507" s="65"/>
      <c r="E507" s="65"/>
      <c r="F507" s="65"/>
      <c r="G507" s="65"/>
      <c r="H507" s="65"/>
      <c r="I507" s="65"/>
      <c r="J507" s="108"/>
      <c r="K507" s="103"/>
      <c r="L507" s="65"/>
      <c r="M507" s="65"/>
      <c r="N507" s="65"/>
    </row>
    <row r="508">
      <c r="A508" s="61"/>
      <c r="B508" s="61"/>
      <c r="C508" s="61"/>
      <c r="D508" s="61"/>
      <c r="E508" s="61"/>
      <c r="F508" s="61"/>
      <c r="G508" s="61"/>
      <c r="H508" s="61"/>
      <c r="I508" s="61"/>
      <c r="J508" s="107"/>
      <c r="K508" s="100"/>
      <c r="L508" s="61"/>
      <c r="M508" s="61"/>
      <c r="N508" s="61"/>
    </row>
    <row r="509">
      <c r="A509" s="65"/>
      <c r="B509" s="65"/>
      <c r="C509" s="65"/>
      <c r="D509" s="65"/>
      <c r="E509" s="65"/>
      <c r="F509" s="65"/>
      <c r="G509" s="65"/>
      <c r="H509" s="65"/>
      <c r="I509" s="65"/>
      <c r="J509" s="108"/>
      <c r="K509" s="103"/>
      <c r="L509" s="65"/>
      <c r="M509" s="65"/>
      <c r="N509" s="65"/>
    </row>
    <row r="510">
      <c r="A510" s="61"/>
      <c r="B510" s="61"/>
      <c r="C510" s="61"/>
      <c r="D510" s="61"/>
      <c r="E510" s="61"/>
      <c r="F510" s="61"/>
      <c r="G510" s="61"/>
      <c r="H510" s="61"/>
      <c r="I510" s="61"/>
      <c r="J510" s="107"/>
      <c r="K510" s="100"/>
      <c r="L510" s="61"/>
      <c r="M510" s="61"/>
      <c r="N510" s="61"/>
    </row>
    <row r="511">
      <c r="A511" s="65"/>
      <c r="B511" s="65"/>
      <c r="C511" s="65"/>
      <c r="D511" s="65"/>
      <c r="E511" s="65"/>
      <c r="F511" s="65"/>
      <c r="G511" s="65"/>
      <c r="H511" s="65"/>
      <c r="I511" s="65"/>
      <c r="J511" s="108"/>
      <c r="K511" s="103"/>
      <c r="L511" s="65"/>
      <c r="M511" s="65"/>
      <c r="N511" s="65"/>
    </row>
    <row r="512">
      <c r="A512" s="61"/>
      <c r="B512" s="61"/>
      <c r="C512" s="61"/>
      <c r="D512" s="61"/>
      <c r="E512" s="61"/>
      <c r="F512" s="61"/>
      <c r="G512" s="61"/>
      <c r="H512" s="61"/>
      <c r="I512" s="61"/>
      <c r="J512" s="107"/>
      <c r="K512" s="100"/>
      <c r="L512" s="61"/>
      <c r="M512" s="61"/>
      <c r="N512" s="61"/>
    </row>
    <row r="513">
      <c r="A513" s="65"/>
      <c r="B513" s="65"/>
      <c r="C513" s="65"/>
      <c r="D513" s="65"/>
      <c r="E513" s="65"/>
      <c r="F513" s="65"/>
      <c r="G513" s="65"/>
      <c r="H513" s="65"/>
      <c r="I513" s="65"/>
      <c r="J513" s="108"/>
      <c r="K513" s="103"/>
      <c r="L513" s="65"/>
      <c r="M513" s="65"/>
      <c r="N513" s="65"/>
    </row>
    <row r="514">
      <c r="A514" s="61"/>
      <c r="B514" s="61"/>
      <c r="C514" s="61"/>
      <c r="D514" s="61"/>
      <c r="E514" s="61"/>
      <c r="F514" s="61"/>
      <c r="G514" s="61"/>
      <c r="H514" s="61"/>
      <c r="I514" s="61"/>
      <c r="J514" s="107"/>
      <c r="K514" s="100"/>
      <c r="L514" s="61"/>
      <c r="M514" s="61"/>
      <c r="N514" s="61"/>
    </row>
    <row r="515">
      <c r="A515" s="65"/>
      <c r="B515" s="65"/>
      <c r="C515" s="65"/>
      <c r="D515" s="65"/>
      <c r="E515" s="65"/>
      <c r="F515" s="65"/>
      <c r="G515" s="65"/>
      <c r="H515" s="65"/>
      <c r="I515" s="65"/>
      <c r="J515" s="108"/>
      <c r="K515" s="103"/>
      <c r="L515" s="65"/>
      <c r="M515" s="65"/>
      <c r="N515" s="65"/>
    </row>
    <row r="516">
      <c r="A516" s="61"/>
      <c r="B516" s="61"/>
      <c r="C516" s="61"/>
      <c r="D516" s="61"/>
      <c r="E516" s="61"/>
      <c r="F516" s="61"/>
      <c r="G516" s="61"/>
      <c r="H516" s="61"/>
      <c r="I516" s="61"/>
      <c r="J516" s="107"/>
      <c r="K516" s="100"/>
      <c r="L516" s="61"/>
      <c r="M516" s="61"/>
      <c r="N516" s="61"/>
    </row>
    <row r="517">
      <c r="A517" s="65"/>
      <c r="B517" s="65"/>
      <c r="C517" s="65"/>
      <c r="D517" s="65"/>
      <c r="E517" s="65"/>
      <c r="F517" s="65"/>
      <c r="G517" s="65"/>
      <c r="H517" s="65"/>
      <c r="I517" s="65"/>
      <c r="J517" s="108"/>
      <c r="K517" s="103"/>
      <c r="L517" s="65"/>
      <c r="M517" s="65"/>
      <c r="N517" s="65"/>
    </row>
    <row r="518">
      <c r="A518" s="61"/>
      <c r="B518" s="61"/>
      <c r="C518" s="61"/>
      <c r="D518" s="61"/>
      <c r="E518" s="61"/>
      <c r="F518" s="61"/>
      <c r="G518" s="61"/>
      <c r="H518" s="61"/>
      <c r="I518" s="61"/>
      <c r="J518" s="107"/>
      <c r="K518" s="100"/>
      <c r="L518" s="61"/>
      <c r="M518" s="61"/>
      <c r="N518" s="61"/>
    </row>
    <row r="519">
      <c r="A519" s="65"/>
      <c r="B519" s="65"/>
      <c r="C519" s="65"/>
      <c r="D519" s="65"/>
      <c r="E519" s="65"/>
      <c r="F519" s="65"/>
      <c r="G519" s="65"/>
      <c r="H519" s="65"/>
      <c r="I519" s="65"/>
      <c r="J519" s="108"/>
      <c r="K519" s="103"/>
      <c r="L519" s="65"/>
      <c r="M519" s="65"/>
      <c r="N519" s="65"/>
    </row>
    <row r="520">
      <c r="A520" s="61"/>
      <c r="B520" s="61"/>
      <c r="C520" s="61"/>
      <c r="D520" s="61"/>
      <c r="E520" s="61"/>
      <c r="F520" s="61"/>
      <c r="G520" s="61"/>
      <c r="H520" s="61"/>
      <c r="I520" s="61"/>
      <c r="J520" s="107"/>
      <c r="K520" s="100"/>
      <c r="L520" s="61"/>
      <c r="M520" s="61"/>
      <c r="N520" s="61"/>
    </row>
    <row r="521">
      <c r="A521" s="65"/>
      <c r="B521" s="65"/>
      <c r="C521" s="65"/>
      <c r="D521" s="65"/>
      <c r="E521" s="65"/>
      <c r="F521" s="65"/>
      <c r="G521" s="65"/>
      <c r="H521" s="65"/>
      <c r="I521" s="65"/>
      <c r="J521" s="108"/>
      <c r="K521" s="103"/>
      <c r="L521" s="65"/>
      <c r="M521" s="65"/>
      <c r="N521" s="65"/>
    </row>
    <row r="522">
      <c r="A522" s="61"/>
      <c r="B522" s="61"/>
      <c r="C522" s="61"/>
      <c r="D522" s="61"/>
      <c r="E522" s="61"/>
      <c r="F522" s="61"/>
      <c r="G522" s="61"/>
      <c r="H522" s="61"/>
      <c r="I522" s="61"/>
      <c r="J522" s="107"/>
      <c r="K522" s="100"/>
      <c r="L522" s="61"/>
      <c r="M522" s="61"/>
      <c r="N522" s="61"/>
    </row>
    <row r="523">
      <c r="A523" s="65"/>
      <c r="B523" s="65"/>
      <c r="C523" s="65"/>
      <c r="D523" s="65"/>
      <c r="E523" s="65"/>
      <c r="F523" s="65"/>
      <c r="G523" s="65"/>
      <c r="H523" s="65"/>
      <c r="I523" s="65"/>
      <c r="J523" s="108"/>
      <c r="K523" s="103"/>
      <c r="L523" s="65"/>
      <c r="M523" s="65"/>
      <c r="N523" s="65"/>
    </row>
    <row r="524">
      <c r="A524" s="61"/>
      <c r="B524" s="61"/>
      <c r="C524" s="61"/>
      <c r="D524" s="61"/>
      <c r="E524" s="61"/>
      <c r="F524" s="61"/>
      <c r="G524" s="61"/>
      <c r="H524" s="61"/>
      <c r="I524" s="61"/>
      <c r="J524" s="107"/>
      <c r="K524" s="100"/>
      <c r="L524" s="61"/>
      <c r="M524" s="61"/>
      <c r="N524" s="61"/>
    </row>
    <row r="525">
      <c r="A525" s="65"/>
      <c r="B525" s="65"/>
      <c r="C525" s="65"/>
      <c r="D525" s="65"/>
      <c r="E525" s="65"/>
      <c r="F525" s="65"/>
      <c r="G525" s="65"/>
      <c r="H525" s="65"/>
      <c r="I525" s="65"/>
      <c r="J525" s="108"/>
      <c r="K525" s="103"/>
      <c r="L525" s="65"/>
      <c r="M525" s="65"/>
      <c r="N525" s="65"/>
    </row>
    <row r="526">
      <c r="A526" s="61"/>
      <c r="B526" s="61"/>
      <c r="C526" s="61"/>
      <c r="D526" s="61"/>
      <c r="E526" s="61"/>
      <c r="F526" s="61"/>
      <c r="G526" s="61"/>
      <c r="H526" s="61"/>
      <c r="I526" s="61"/>
      <c r="J526" s="107"/>
      <c r="K526" s="100"/>
      <c r="L526" s="61"/>
      <c r="M526" s="61"/>
      <c r="N526" s="61"/>
    </row>
    <row r="527">
      <c r="A527" s="65"/>
      <c r="B527" s="65"/>
      <c r="C527" s="65"/>
      <c r="D527" s="65"/>
      <c r="E527" s="65"/>
      <c r="F527" s="65"/>
      <c r="G527" s="65"/>
      <c r="H527" s="65"/>
      <c r="I527" s="65"/>
      <c r="J527" s="108"/>
      <c r="K527" s="103"/>
      <c r="L527" s="65"/>
      <c r="M527" s="65"/>
      <c r="N527" s="65"/>
    </row>
    <row r="528">
      <c r="A528" s="61"/>
      <c r="B528" s="61"/>
      <c r="C528" s="61"/>
      <c r="D528" s="61"/>
      <c r="E528" s="61"/>
      <c r="F528" s="61"/>
      <c r="G528" s="61"/>
      <c r="H528" s="61"/>
      <c r="I528" s="61"/>
      <c r="J528" s="107"/>
      <c r="K528" s="100"/>
      <c r="L528" s="61"/>
      <c r="M528" s="61"/>
      <c r="N528" s="61"/>
    </row>
    <row r="529">
      <c r="A529" s="65"/>
      <c r="B529" s="65"/>
      <c r="C529" s="65"/>
      <c r="D529" s="65"/>
      <c r="E529" s="65"/>
      <c r="F529" s="65"/>
      <c r="G529" s="65"/>
      <c r="H529" s="65"/>
      <c r="I529" s="65"/>
      <c r="J529" s="108"/>
      <c r="K529" s="103"/>
      <c r="L529" s="65"/>
      <c r="M529" s="65"/>
      <c r="N529" s="65"/>
    </row>
    <row r="530">
      <c r="A530" s="61"/>
      <c r="B530" s="61"/>
      <c r="C530" s="61"/>
      <c r="D530" s="61"/>
      <c r="E530" s="61"/>
      <c r="F530" s="61"/>
      <c r="G530" s="61"/>
      <c r="H530" s="61"/>
      <c r="I530" s="61"/>
      <c r="J530" s="107"/>
      <c r="K530" s="100"/>
      <c r="L530" s="61"/>
      <c r="M530" s="61"/>
      <c r="N530" s="61"/>
    </row>
    <row r="531">
      <c r="A531" s="65"/>
      <c r="B531" s="65"/>
      <c r="C531" s="65"/>
      <c r="D531" s="65"/>
      <c r="E531" s="65"/>
      <c r="F531" s="65"/>
      <c r="G531" s="65"/>
      <c r="H531" s="65"/>
      <c r="I531" s="65"/>
      <c r="J531" s="108"/>
      <c r="K531" s="103"/>
      <c r="L531" s="65"/>
      <c r="M531" s="65"/>
      <c r="N531" s="65"/>
    </row>
    <row r="532">
      <c r="A532" s="61"/>
      <c r="B532" s="61"/>
      <c r="C532" s="61"/>
      <c r="D532" s="61"/>
      <c r="E532" s="61"/>
      <c r="F532" s="61"/>
      <c r="G532" s="61"/>
      <c r="H532" s="61"/>
      <c r="I532" s="61"/>
      <c r="J532" s="107"/>
      <c r="K532" s="100"/>
      <c r="L532" s="61"/>
      <c r="M532" s="61"/>
      <c r="N532" s="61"/>
    </row>
    <row r="533">
      <c r="A533" s="65"/>
      <c r="B533" s="65"/>
      <c r="C533" s="65"/>
      <c r="D533" s="65"/>
      <c r="E533" s="65"/>
      <c r="F533" s="65"/>
      <c r="G533" s="65"/>
      <c r="H533" s="65"/>
      <c r="I533" s="65"/>
      <c r="J533" s="108"/>
      <c r="K533" s="103"/>
      <c r="L533" s="65"/>
      <c r="M533" s="65"/>
      <c r="N533" s="65"/>
    </row>
    <row r="534">
      <c r="A534" s="61"/>
      <c r="B534" s="61"/>
      <c r="C534" s="61"/>
      <c r="D534" s="61"/>
      <c r="E534" s="61"/>
      <c r="F534" s="61"/>
      <c r="G534" s="61"/>
      <c r="H534" s="61"/>
      <c r="I534" s="61"/>
      <c r="J534" s="107"/>
      <c r="K534" s="100"/>
      <c r="L534" s="61"/>
      <c r="M534" s="61"/>
      <c r="N534" s="61"/>
    </row>
    <row r="535">
      <c r="A535" s="65"/>
      <c r="B535" s="65"/>
      <c r="C535" s="65"/>
      <c r="D535" s="65"/>
      <c r="E535" s="65"/>
      <c r="F535" s="65"/>
      <c r="G535" s="65"/>
      <c r="H535" s="65"/>
      <c r="I535" s="65"/>
      <c r="J535" s="108"/>
      <c r="K535" s="103"/>
      <c r="L535" s="65"/>
      <c r="M535" s="65"/>
      <c r="N535" s="65"/>
    </row>
    <row r="536">
      <c r="A536" s="61"/>
      <c r="B536" s="61"/>
      <c r="C536" s="61"/>
      <c r="D536" s="61"/>
      <c r="E536" s="61"/>
      <c r="F536" s="61"/>
      <c r="G536" s="61"/>
      <c r="H536" s="61"/>
      <c r="I536" s="61"/>
      <c r="J536" s="107"/>
      <c r="K536" s="100"/>
      <c r="L536" s="61"/>
      <c r="M536" s="61"/>
      <c r="N536" s="61"/>
    </row>
    <row r="537">
      <c r="A537" s="65"/>
      <c r="B537" s="65"/>
      <c r="C537" s="65"/>
      <c r="D537" s="65"/>
      <c r="E537" s="65"/>
      <c r="F537" s="65"/>
      <c r="G537" s="65"/>
      <c r="H537" s="65"/>
      <c r="I537" s="65"/>
      <c r="J537" s="108"/>
      <c r="K537" s="103"/>
      <c r="L537" s="65"/>
      <c r="M537" s="65"/>
      <c r="N537" s="65"/>
    </row>
    <row r="538">
      <c r="A538" s="61"/>
      <c r="B538" s="61"/>
      <c r="C538" s="61"/>
      <c r="D538" s="61"/>
      <c r="E538" s="61"/>
      <c r="F538" s="61"/>
      <c r="G538" s="61"/>
      <c r="H538" s="61"/>
      <c r="I538" s="61"/>
      <c r="J538" s="107"/>
      <c r="K538" s="100"/>
      <c r="L538" s="61"/>
      <c r="M538" s="61"/>
      <c r="N538" s="61"/>
    </row>
    <row r="539">
      <c r="A539" s="65"/>
      <c r="B539" s="65"/>
      <c r="C539" s="65"/>
      <c r="D539" s="65"/>
      <c r="E539" s="65"/>
      <c r="F539" s="65"/>
      <c r="G539" s="65"/>
      <c r="H539" s="65"/>
      <c r="I539" s="65"/>
      <c r="J539" s="108"/>
      <c r="K539" s="103"/>
      <c r="L539" s="65"/>
      <c r="M539" s="65"/>
      <c r="N539" s="65"/>
    </row>
    <row r="540">
      <c r="A540" s="61"/>
      <c r="B540" s="61"/>
      <c r="C540" s="61"/>
      <c r="D540" s="61"/>
      <c r="E540" s="61"/>
      <c r="F540" s="61"/>
      <c r="G540" s="61"/>
      <c r="H540" s="61"/>
      <c r="I540" s="61"/>
      <c r="J540" s="107"/>
      <c r="K540" s="100"/>
      <c r="L540" s="61"/>
      <c r="M540" s="61"/>
      <c r="N540" s="61"/>
    </row>
    <row r="541">
      <c r="A541" s="65"/>
      <c r="B541" s="65"/>
      <c r="C541" s="65"/>
      <c r="D541" s="65"/>
      <c r="E541" s="65"/>
      <c r="F541" s="65"/>
      <c r="G541" s="65"/>
      <c r="H541" s="65"/>
      <c r="I541" s="65"/>
      <c r="J541" s="108"/>
      <c r="K541" s="103"/>
      <c r="L541" s="65"/>
      <c r="M541" s="65"/>
      <c r="N541" s="65"/>
    </row>
    <row r="542">
      <c r="A542" s="61"/>
      <c r="B542" s="61"/>
      <c r="C542" s="61"/>
      <c r="D542" s="61"/>
      <c r="E542" s="61"/>
      <c r="F542" s="61"/>
      <c r="G542" s="61"/>
      <c r="H542" s="61"/>
      <c r="I542" s="61"/>
      <c r="J542" s="107"/>
      <c r="K542" s="100"/>
      <c r="L542" s="61"/>
      <c r="M542" s="61"/>
      <c r="N542" s="61"/>
    </row>
    <row r="543">
      <c r="A543" s="65"/>
      <c r="B543" s="65"/>
      <c r="C543" s="65"/>
      <c r="D543" s="65"/>
      <c r="E543" s="65"/>
      <c r="F543" s="65"/>
      <c r="G543" s="65"/>
      <c r="H543" s="65"/>
      <c r="I543" s="65"/>
      <c r="J543" s="108"/>
      <c r="K543" s="103"/>
      <c r="L543" s="65"/>
      <c r="M543" s="65"/>
      <c r="N543" s="65"/>
    </row>
    <row r="544">
      <c r="A544" s="61"/>
      <c r="B544" s="61"/>
      <c r="C544" s="61"/>
      <c r="D544" s="61"/>
      <c r="E544" s="61"/>
      <c r="F544" s="61"/>
      <c r="G544" s="61"/>
      <c r="H544" s="61"/>
      <c r="I544" s="61"/>
      <c r="J544" s="107"/>
      <c r="K544" s="100"/>
      <c r="L544" s="61"/>
      <c r="M544" s="61"/>
      <c r="N544" s="61"/>
    </row>
    <row r="545">
      <c r="A545" s="65"/>
      <c r="B545" s="65"/>
      <c r="C545" s="65"/>
      <c r="D545" s="65"/>
      <c r="E545" s="65"/>
      <c r="F545" s="65"/>
      <c r="G545" s="65"/>
      <c r="H545" s="65"/>
      <c r="I545" s="65"/>
      <c r="J545" s="108"/>
      <c r="K545" s="103"/>
      <c r="L545" s="65"/>
      <c r="M545" s="65"/>
      <c r="N545" s="65"/>
    </row>
    <row r="546">
      <c r="A546" s="61"/>
      <c r="B546" s="61"/>
      <c r="C546" s="61"/>
      <c r="D546" s="61"/>
      <c r="E546" s="61"/>
      <c r="F546" s="61"/>
      <c r="G546" s="61"/>
      <c r="H546" s="61"/>
      <c r="I546" s="61"/>
      <c r="J546" s="107"/>
      <c r="K546" s="100"/>
      <c r="L546" s="61"/>
      <c r="M546" s="61"/>
      <c r="N546" s="61"/>
    </row>
    <row r="547">
      <c r="A547" s="65"/>
      <c r="B547" s="65"/>
      <c r="C547" s="65"/>
      <c r="D547" s="65"/>
      <c r="E547" s="65"/>
      <c r="F547" s="65"/>
      <c r="G547" s="65"/>
      <c r="H547" s="65"/>
      <c r="I547" s="65"/>
      <c r="J547" s="108"/>
      <c r="K547" s="103"/>
      <c r="L547" s="65"/>
      <c r="M547" s="65"/>
      <c r="N547" s="65"/>
    </row>
    <row r="548">
      <c r="A548" s="61"/>
      <c r="B548" s="61"/>
      <c r="C548" s="61"/>
      <c r="D548" s="61"/>
      <c r="E548" s="61"/>
      <c r="F548" s="61"/>
      <c r="G548" s="61"/>
      <c r="H548" s="61"/>
      <c r="I548" s="61"/>
      <c r="J548" s="107"/>
      <c r="K548" s="100"/>
      <c r="L548" s="61"/>
      <c r="M548" s="61"/>
      <c r="N548" s="61"/>
    </row>
    <row r="549">
      <c r="A549" s="65"/>
      <c r="B549" s="65"/>
      <c r="C549" s="65"/>
      <c r="D549" s="65"/>
      <c r="E549" s="65"/>
      <c r="F549" s="65"/>
      <c r="G549" s="65"/>
      <c r="H549" s="65"/>
      <c r="I549" s="65"/>
      <c r="J549" s="108"/>
      <c r="K549" s="103"/>
      <c r="L549" s="65"/>
      <c r="M549" s="65"/>
      <c r="N549" s="65"/>
    </row>
    <row r="550">
      <c r="A550" s="61"/>
      <c r="B550" s="61"/>
      <c r="C550" s="61"/>
      <c r="D550" s="61"/>
      <c r="E550" s="61"/>
      <c r="F550" s="61"/>
      <c r="G550" s="61"/>
      <c r="H550" s="61"/>
      <c r="I550" s="61"/>
      <c r="J550" s="107"/>
      <c r="K550" s="100"/>
      <c r="L550" s="61"/>
      <c r="M550" s="61"/>
      <c r="N550" s="61"/>
    </row>
    <row r="551">
      <c r="A551" s="65"/>
      <c r="B551" s="65"/>
      <c r="C551" s="65"/>
      <c r="D551" s="65"/>
      <c r="E551" s="65"/>
      <c r="F551" s="65"/>
      <c r="G551" s="65"/>
      <c r="H551" s="65"/>
      <c r="I551" s="65"/>
      <c r="J551" s="108"/>
      <c r="K551" s="103"/>
      <c r="L551" s="65"/>
      <c r="M551" s="65"/>
      <c r="N551" s="65"/>
    </row>
    <row r="552">
      <c r="A552" s="61"/>
      <c r="B552" s="61"/>
      <c r="C552" s="61"/>
      <c r="D552" s="61"/>
      <c r="E552" s="61"/>
      <c r="F552" s="61"/>
      <c r="G552" s="61"/>
      <c r="H552" s="61"/>
      <c r="I552" s="61"/>
      <c r="J552" s="107"/>
      <c r="K552" s="100"/>
      <c r="L552" s="61"/>
      <c r="M552" s="61"/>
      <c r="N552" s="61"/>
    </row>
    <row r="553">
      <c r="A553" s="65"/>
      <c r="B553" s="65"/>
      <c r="C553" s="65"/>
      <c r="D553" s="65"/>
      <c r="E553" s="65"/>
      <c r="F553" s="65"/>
      <c r="G553" s="65"/>
      <c r="H553" s="65"/>
      <c r="I553" s="65"/>
      <c r="J553" s="108"/>
      <c r="K553" s="103"/>
      <c r="L553" s="65"/>
      <c r="M553" s="65"/>
      <c r="N553" s="65"/>
    </row>
    <row r="554">
      <c r="A554" s="61"/>
      <c r="B554" s="61"/>
      <c r="C554" s="61"/>
      <c r="D554" s="61"/>
      <c r="E554" s="61"/>
      <c r="F554" s="61"/>
      <c r="G554" s="61"/>
      <c r="H554" s="61"/>
      <c r="I554" s="61"/>
      <c r="J554" s="107"/>
      <c r="K554" s="100"/>
      <c r="L554" s="61"/>
      <c r="M554" s="61"/>
      <c r="N554" s="61"/>
    </row>
    <row r="555">
      <c r="A555" s="65"/>
      <c r="B555" s="65"/>
      <c r="C555" s="65"/>
      <c r="D555" s="65"/>
      <c r="E555" s="65"/>
      <c r="F555" s="65"/>
      <c r="G555" s="65"/>
      <c r="H555" s="65"/>
      <c r="I555" s="65"/>
      <c r="J555" s="108"/>
      <c r="K555" s="103"/>
      <c r="L555" s="65"/>
      <c r="M555" s="65"/>
      <c r="N555" s="65"/>
    </row>
    <row r="556">
      <c r="A556" s="61"/>
      <c r="B556" s="61"/>
      <c r="C556" s="61"/>
      <c r="D556" s="61"/>
      <c r="E556" s="61"/>
      <c r="F556" s="61"/>
      <c r="G556" s="61"/>
      <c r="H556" s="61"/>
      <c r="I556" s="61"/>
      <c r="J556" s="107"/>
      <c r="K556" s="100"/>
      <c r="L556" s="61"/>
      <c r="M556" s="61"/>
      <c r="N556" s="61"/>
    </row>
    <row r="557">
      <c r="A557" s="65"/>
      <c r="B557" s="65"/>
      <c r="C557" s="65"/>
      <c r="D557" s="65"/>
      <c r="E557" s="65"/>
      <c r="F557" s="65"/>
      <c r="G557" s="65"/>
      <c r="H557" s="65"/>
      <c r="I557" s="65"/>
      <c r="J557" s="108"/>
      <c r="K557" s="103"/>
      <c r="L557" s="65"/>
      <c r="M557" s="65"/>
      <c r="N557" s="65"/>
    </row>
    <row r="558">
      <c r="A558" s="61"/>
      <c r="B558" s="61"/>
      <c r="C558" s="61"/>
      <c r="D558" s="61"/>
      <c r="E558" s="61"/>
      <c r="F558" s="61"/>
      <c r="G558" s="61"/>
      <c r="H558" s="61"/>
      <c r="I558" s="61"/>
      <c r="J558" s="107"/>
      <c r="K558" s="100"/>
      <c r="L558" s="61"/>
      <c r="M558" s="61"/>
      <c r="N558" s="61"/>
    </row>
    <row r="559">
      <c r="A559" s="65"/>
      <c r="B559" s="65"/>
      <c r="C559" s="65"/>
      <c r="D559" s="65"/>
      <c r="E559" s="65"/>
      <c r="F559" s="65"/>
      <c r="G559" s="65"/>
      <c r="H559" s="65"/>
      <c r="I559" s="65"/>
      <c r="J559" s="108"/>
      <c r="K559" s="103"/>
      <c r="L559" s="65"/>
      <c r="M559" s="65"/>
      <c r="N559" s="65"/>
    </row>
    <row r="560">
      <c r="A560" s="61"/>
      <c r="B560" s="61"/>
      <c r="C560" s="61"/>
      <c r="D560" s="61"/>
      <c r="E560" s="61"/>
      <c r="F560" s="61"/>
      <c r="G560" s="61"/>
      <c r="H560" s="61"/>
      <c r="I560" s="61"/>
      <c r="J560" s="107"/>
      <c r="K560" s="100"/>
      <c r="L560" s="61"/>
      <c r="M560" s="61"/>
      <c r="N560" s="61"/>
    </row>
    <row r="561">
      <c r="A561" s="65"/>
      <c r="B561" s="65"/>
      <c r="C561" s="65"/>
      <c r="D561" s="65"/>
      <c r="E561" s="65"/>
      <c r="F561" s="65"/>
      <c r="G561" s="65"/>
      <c r="H561" s="65"/>
      <c r="I561" s="65"/>
      <c r="J561" s="108"/>
      <c r="K561" s="103"/>
      <c r="L561" s="65"/>
      <c r="M561" s="65"/>
      <c r="N561" s="65"/>
    </row>
    <row r="562">
      <c r="A562" s="61"/>
      <c r="B562" s="61"/>
      <c r="C562" s="61"/>
      <c r="D562" s="61"/>
      <c r="E562" s="61"/>
      <c r="F562" s="61"/>
      <c r="G562" s="61"/>
      <c r="H562" s="61"/>
      <c r="I562" s="61"/>
      <c r="J562" s="107"/>
      <c r="K562" s="100"/>
      <c r="L562" s="61"/>
      <c r="M562" s="61"/>
      <c r="N562" s="61"/>
    </row>
    <row r="563">
      <c r="A563" s="65"/>
      <c r="B563" s="65"/>
      <c r="C563" s="65"/>
      <c r="D563" s="65"/>
      <c r="E563" s="65"/>
      <c r="F563" s="65"/>
      <c r="G563" s="65"/>
      <c r="H563" s="65"/>
      <c r="I563" s="65"/>
      <c r="J563" s="108"/>
      <c r="K563" s="103"/>
      <c r="L563" s="65"/>
      <c r="M563" s="65"/>
      <c r="N563" s="65"/>
    </row>
    <row r="564">
      <c r="A564" s="61"/>
      <c r="B564" s="61"/>
      <c r="C564" s="61"/>
      <c r="D564" s="61"/>
      <c r="E564" s="61"/>
      <c r="F564" s="61"/>
      <c r="G564" s="61"/>
      <c r="H564" s="61"/>
      <c r="I564" s="61"/>
      <c r="J564" s="107"/>
      <c r="K564" s="100"/>
      <c r="L564" s="61"/>
      <c r="M564" s="61"/>
      <c r="N564" s="61"/>
    </row>
    <row r="565">
      <c r="A565" s="65"/>
      <c r="B565" s="65"/>
      <c r="C565" s="65"/>
      <c r="D565" s="65"/>
      <c r="E565" s="65"/>
      <c r="F565" s="65"/>
      <c r="G565" s="65"/>
      <c r="H565" s="65"/>
      <c r="I565" s="65"/>
      <c r="J565" s="108"/>
      <c r="K565" s="103"/>
      <c r="L565" s="65"/>
      <c r="M565" s="65"/>
      <c r="N565" s="65"/>
    </row>
    <row r="566">
      <c r="A566" s="61"/>
      <c r="B566" s="61"/>
      <c r="C566" s="61"/>
      <c r="D566" s="61"/>
      <c r="E566" s="61"/>
      <c r="F566" s="61"/>
      <c r="G566" s="61"/>
      <c r="H566" s="61"/>
      <c r="I566" s="61"/>
      <c r="J566" s="107"/>
      <c r="K566" s="100"/>
      <c r="L566" s="61"/>
      <c r="M566" s="61"/>
      <c r="N566" s="61"/>
    </row>
    <row r="567">
      <c r="A567" s="65"/>
      <c r="B567" s="65"/>
      <c r="C567" s="65"/>
      <c r="D567" s="65"/>
      <c r="E567" s="65"/>
      <c r="F567" s="65"/>
      <c r="G567" s="65"/>
      <c r="H567" s="65"/>
      <c r="I567" s="65"/>
      <c r="J567" s="108"/>
      <c r="K567" s="103"/>
      <c r="L567" s="65"/>
      <c r="M567" s="65"/>
      <c r="N567" s="65"/>
    </row>
    <row r="568">
      <c r="A568" s="61"/>
      <c r="B568" s="61"/>
      <c r="C568" s="61"/>
      <c r="D568" s="61"/>
      <c r="E568" s="61"/>
      <c r="F568" s="61"/>
      <c r="G568" s="61"/>
      <c r="H568" s="61"/>
      <c r="I568" s="61"/>
      <c r="J568" s="107"/>
      <c r="K568" s="100"/>
      <c r="L568" s="61"/>
      <c r="M568" s="61"/>
      <c r="N568" s="61"/>
    </row>
    <row r="569">
      <c r="A569" s="65"/>
      <c r="B569" s="65"/>
      <c r="C569" s="65"/>
      <c r="D569" s="65"/>
      <c r="E569" s="65"/>
      <c r="F569" s="65"/>
      <c r="G569" s="65"/>
      <c r="H569" s="65"/>
      <c r="I569" s="65"/>
      <c r="J569" s="108"/>
      <c r="K569" s="103"/>
      <c r="L569" s="65"/>
      <c r="M569" s="65"/>
      <c r="N569" s="65"/>
    </row>
    <row r="570">
      <c r="A570" s="61"/>
      <c r="B570" s="61"/>
      <c r="C570" s="61"/>
      <c r="D570" s="61"/>
      <c r="E570" s="61"/>
      <c r="F570" s="61"/>
      <c r="G570" s="61"/>
      <c r="H570" s="61"/>
      <c r="I570" s="61"/>
      <c r="J570" s="107"/>
      <c r="K570" s="100"/>
      <c r="L570" s="61"/>
      <c r="M570" s="61"/>
      <c r="N570" s="61"/>
    </row>
    <row r="571">
      <c r="A571" s="65"/>
      <c r="B571" s="65"/>
      <c r="C571" s="65"/>
      <c r="D571" s="65"/>
      <c r="E571" s="65"/>
      <c r="F571" s="65"/>
      <c r="G571" s="65"/>
      <c r="H571" s="65"/>
      <c r="I571" s="65"/>
      <c r="J571" s="108"/>
      <c r="K571" s="103"/>
      <c r="L571" s="65"/>
      <c r="M571" s="65"/>
      <c r="N571" s="65"/>
    </row>
    <row r="572">
      <c r="A572" s="61"/>
      <c r="B572" s="61"/>
      <c r="C572" s="61"/>
      <c r="D572" s="61"/>
      <c r="E572" s="61"/>
      <c r="F572" s="61"/>
      <c r="G572" s="61"/>
      <c r="H572" s="61"/>
      <c r="I572" s="61"/>
      <c r="J572" s="107"/>
      <c r="K572" s="100"/>
      <c r="L572" s="61"/>
      <c r="M572" s="61"/>
      <c r="N572" s="61"/>
    </row>
    <row r="573">
      <c r="A573" s="65"/>
      <c r="B573" s="65"/>
      <c r="C573" s="65"/>
      <c r="D573" s="65"/>
      <c r="E573" s="65"/>
      <c r="F573" s="65"/>
      <c r="G573" s="65"/>
      <c r="H573" s="65"/>
      <c r="I573" s="65"/>
      <c r="J573" s="108"/>
      <c r="K573" s="103"/>
      <c r="L573" s="65"/>
      <c r="M573" s="65"/>
      <c r="N573" s="65"/>
    </row>
    <row r="574">
      <c r="A574" s="61"/>
      <c r="B574" s="61"/>
      <c r="C574" s="61"/>
      <c r="D574" s="61"/>
      <c r="E574" s="61"/>
      <c r="F574" s="61"/>
      <c r="G574" s="61"/>
      <c r="H574" s="61"/>
      <c r="I574" s="61"/>
      <c r="J574" s="107"/>
      <c r="K574" s="100"/>
      <c r="L574" s="61"/>
      <c r="M574" s="61"/>
      <c r="N574" s="61"/>
    </row>
    <row r="575">
      <c r="A575" s="65"/>
      <c r="B575" s="65"/>
      <c r="C575" s="65"/>
      <c r="D575" s="65"/>
      <c r="E575" s="65"/>
      <c r="F575" s="65"/>
      <c r="G575" s="65"/>
      <c r="H575" s="65"/>
      <c r="I575" s="65"/>
      <c r="J575" s="108"/>
      <c r="K575" s="103"/>
      <c r="L575" s="65"/>
      <c r="M575" s="65"/>
      <c r="N575" s="65"/>
    </row>
    <row r="576">
      <c r="A576" s="61"/>
      <c r="B576" s="61"/>
      <c r="C576" s="61"/>
      <c r="D576" s="61"/>
      <c r="E576" s="61"/>
      <c r="F576" s="61"/>
      <c r="G576" s="61"/>
      <c r="H576" s="61"/>
      <c r="I576" s="61"/>
      <c r="J576" s="107"/>
      <c r="K576" s="100"/>
      <c r="L576" s="61"/>
      <c r="M576" s="61"/>
      <c r="N576" s="61"/>
    </row>
    <row r="577">
      <c r="A577" s="65"/>
      <c r="B577" s="65"/>
      <c r="C577" s="65"/>
      <c r="D577" s="65"/>
      <c r="E577" s="65"/>
      <c r="F577" s="65"/>
      <c r="G577" s="65"/>
      <c r="H577" s="65"/>
      <c r="I577" s="65"/>
      <c r="J577" s="108"/>
      <c r="K577" s="103"/>
      <c r="L577" s="65"/>
      <c r="M577" s="65"/>
      <c r="N577" s="65"/>
    </row>
    <row r="578">
      <c r="A578" s="61"/>
      <c r="B578" s="61"/>
      <c r="C578" s="61"/>
      <c r="D578" s="61"/>
      <c r="E578" s="61"/>
      <c r="F578" s="61"/>
      <c r="G578" s="61"/>
      <c r="H578" s="61"/>
      <c r="I578" s="61"/>
      <c r="J578" s="107"/>
      <c r="K578" s="100"/>
      <c r="L578" s="61"/>
      <c r="M578" s="61"/>
      <c r="N578" s="61"/>
    </row>
    <row r="579">
      <c r="A579" s="65"/>
      <c r="B579" s="65"/>
      <c r="C579" s="65"/>
      <c r="D579" s="65"/>
      <c r="E579" s="65"/>
      <c r="F579" s="65"/>
      <c r="G579" s="65"/>
      <c r="H579" s="65"/>
      <c r="I579" s="65"/>
      <c r="J579" s="108"/>
      <c r="K579" s="103"/>
      <c r="L579" s="65"/>
      <c r="M579" s="65"/>
      <c r="N579" s="65"/>
    </row>
    <row r="580">
      <c r="A580" s="61"/>
      <c r="B580" s="61"/>
      <c r="C580" s="61"/>
      <c r="D580" s="61"/>
      <c r="E580" s="61"/>
      <c r="F580" s="61"/>
      <c r="G580" s="61"/>
      <c r="H580" s="61"/>
      <c r="I580" s="61"/>
      <c r="J580" s="107"/>
      <c r="K580" s="100"/>
      <c r="L580" s="61"/>
      <c r="M580" s="61"/>
      <c r="N580" s="61"/>
    </row>
    <row r="581">
      <c r="A581" s="65"/>
      <c r="B581" s="65"/>
      <c r="C581" s="65"/>
      <c r="D581" s="65"/>
      <c r="E581" s="65"/>
      <c r="F581" s="65"/>
      <c r="G581" s="65"/>
      <c r="H581" s="65"/>
      <c r="I581" s="65"/>
      <c r="J581" s="108"/>
      <c r="K581" s="103"/>
      <c r="L581" s="65"/>
      <c r="M581" s="65"/>
      <c r="N581" s="65"/>
    </row>
    <row r="582">
      <c r="A582" s="61"/>
      <c r="B582" s="61"/>
      <c r="C582" s="61"/>
      <c r="D582" s="61"/>
      <c r="E582" s="61"/>
      <c r="F582" s="61"/>
      <c r="G582" s="61"/>
      <c r="H582" s="61"/>
      <c r="I582" s="61"/>
      <c r="J582" s="107"/>
      <c r="K582" s="100"/>
      <c r="L582" s="61"/>
      <c r="M582" s="61"/>
      <c r="N582" s="61"/>
    </row>
    <row r="583">
      <c r="A583" s="65"/>
      <c r="B583" s="65"/>
      <c r="C583" s="65"/>
      <c r="D583" s="65"/>
      <c r="E583" s="65"/>
      <c r="F583" s="65"/>
      <c r="G583" s="65"/>
      <c r="H583" s="65"/>
      <c r="I583" s="65"/>
      <c r="J583" s="108"/>
      <c r="K583" s="103"/>
      <c r="L583" s="65"/>
      <c r="M583" s="65"/>
      <c r="N583" s="65"/>
    </row>
    <row r="584">
      <c r="A584" s="61"/>
      <c r="B584" s="61"/>
      <c r="C584" s="61"/>
      <c r="D584" s="61"/>
      <c r="E584" s="61"/>
      <c r="F584" s="61"/>
      <c r="G584" s="61"/>
      <c r="H584" s="61"/>
      <c r="I584" s="61"/>
      <c r="J584" s="107"/>
      <c r="K584" s="100"/>
      <c r="L584" s="61"/>
      <c r="M584" s="61"/>
      <c r="N584" s="61"/>
    </row>
    <row r="585">
      <c r="A585" s="65"/>
      <c r="B585" s="65"/>
      <c r="C585" s="65"/>
      <c r="D585" s="65"/>
      <c r="E585" s="65"/>
      <c r="F585" s="65"/>
      <c r="G585" s="65"/>
      <c r="H585" s="65"/>
      <c r="I585" s="65"/>
      <c r="J585" s="108"/>
      <c r="K585" s="103"/>
      <c r="L585" s="65"/>
      <c r="M585" s="65"/>
      <c r="N585" s="65"/>
    </row>
    <row r="586">
      <c r="A586" s="61"/>
      <c r="B586" s="61"/>
      <c r="C586" s="61"/>
      <c r="D586" s="61"/>
      <c r="E586" s="61"/>
      <c r="F586" s="61"/>
      <c r="G586" s="61"/>
      <c r="H586" s="61"/>
      <c r="I586" s="61"/>
      <c r="J586" s="107"/>
      <c r="K586" s="100"/>
      <c r="L586" s="61"/>
      <c r="M586" s="61"/>
      <c r="N586" s="61"/>
    </row>
    <row r="587">
      <c r="A587" s="65"/>
      <c r="B587" s="65"/>
      <c r="C587" s="65"/>
      <c r="D587" s="65"/>
      <c r="E587" s="65"/>
      <c r="F587" s="65"/>
      <c r="G587" s="65"/>
      <c r="H587" s="65"/>
      <c r="I587" s="65"/>
      <c r="J587" s="108"/>
      <c r="K587" s="103"/>
      <c r="L587" s="65"/>
      <c r="M587" s="65"/>
      <c r="N587" s="65"/>
    </row>
    <row r="588">
      <c r="A588" s="61"/>
      <c r="B588" s="61"/>
      <c r="C588" s="61"/>
      <c r="D588" s="61"/>
      <c r="E588" s="61"/>
      <c r="F588" s="61"/>
      <c r="G588" s="61"/>
      <c r="H588" s="61"/>
      <c r="I588" s="61"/>
      <c r="J588" s="107"/>
      <c r="K588" s="100"/>
      <c r="L588" s="61"/>
      <c r="M588" s="61"/>
      <c r="N588" s="61"/>
    </row>
    <row r="589">
      <c r="A589" s="65"/>
      <c r="B589" s="65"/>
      <c r="C589" s="65"/>
      <c r="D589" s="65"/>
      <c r="E589" s="65"/>
      <c r="F589" s="65"/>
      <c r="G589" s="65"/>
      <c r="H589" s="65"/>
      <c r="I589" s="65"/>
      <c r="J589" s="108"/>
      <c r="K589" s="103"/>
      <c r="L589" s="65"/>
      <c r="M589" s="65"/>
      <c r="N589" s="65"/>
    </row>
    <row r="590">
      <c r="A590" s="61"/>
      <c r="B590" s="61"/>
      <c r="C590" s="61"/>
      <c r="D590" s="61"/>
      <c r="E590" s="61"/>
      <c r="F590" s="61"/>
      <c r="G590" s="61"/>
      <c r="H590" s="61"/>
      <c r="I590" s="61"/>
      <c r="J590" s="107"/>
      <c r="K590" s="100"/>
      <c r="L590" s="61"/>
      <c r="M590" s="61"/>
      <c r="N590" s="61"/>
    </row>
    <row r="591">
      <c r="A591" s="65"/>
      <c r="B591" s="65"/>
      <c r="C591" s="65"/>
      <c r="D591" s="65"/>
      <c r="E591" s="65"/>
      <c r="F591" s="65"/>
      <c r="G591" s="65"/>
      <c r="H591" s="65"/>
      <c r="I591" s="65"/>
      <c r="J591" s="108"/>
      <c r="K591" s="103"/>
      <c r="L591" s="65"/>
      <c r="M591" s="65"/>
      <c r="N591" s="65"/>
    </row>
    <row r="592">
      <c r="A592" s="61"/>
      <c r="B592" s="61"/>
      <c r="C592" s="61"/>
      <c r="D592" s="61"/>
      <c r="E592" s="61"/>
      <c r="F592" s="61"/>
      <c r="G592" s="61"/>
      <c r="H592" s="61"/>
      <c r="I592" s="61"/>
      <c r="J592" s="107"/>
      <c r="K592" s="100"/>
      <c r="L592" s="61"/>
      <c r="M592" s="61"/>
      <c r="N592" s="61"/>
    </row>
    <row r="593">
      <c r="A593" s="65"/>
      <c r="B593" s="65"/>
      <c r="C593" s="65"/>
      <c r="D593" s="65"/>
      <c r="E593" s="65"/>
      <c r="F593" s="65"/>
      <c r="G593" s="65"/>
      <c r="H593" s="65"/>
      <c r="I593" s="65"/>
      <c r="J593" s="108"/>
      <c r="K593" s="103"/>
      <c r="L593" s="65"/>
      <c r="M593" s="65"/>
      <c r="N593" s="65"/>
    </row>
    <row r="594">
      <c r="A594" s="61"/>
      <c r="B594" s="61"/>
      <c r="C594" s="61"/>
      <c r="D594" s="61"/>
      <c r="E594" s="61"/>
      <c r="F594" s="61"/>
      <c r="G594" s="61"/>
      <c r="H594" s="61"/>
      <c r="I594" s="61"/>
      <c r="J594" s="107"/>
      <c r="K594" s="100"/>
      <c r="L594" s="61"/>
      <c r="M594" s="61"/>
      <c r="N594" s="61"/>
    </row>
    <row r="595">
      <c r="A595" s="65"/>
      <c r="B595" s="65"/>
      <c r="C595" s="65"/>
      <c r="D595" s="65"/>
      <c r="E595" s="65"/>
      <c r="F595" s="65"/>
      <c r="G595" s="65"/>
      <c r="H595" s="65"/>
      <c r="I595" s="65"/>
      <c r="J595" s="108"/>
      <c r="K595" s="103"/>
      <c r="L595" s="65"/>
      <c r="M595" s="65"/>
      <c r="N595" s="65"/>
    </row>
    <row r="596">
      <c r="A596" s="61"/>
      <c r="B596" s="61"/>
      <c r="C596" s="61"/>
      <c r="D596" s="61"/>
      <c r="E596" s="61"/>
      <c r="F596" s="61"/>
      <c r="G596" s="61"/>
      <c r="H596" s="61"/>
      <c r="I596" s="61"/>
      <c r="J596" s="107"/>
      <c r="K596" s="100"/>
      <c r="L596" s="61"/>
      <c r="M596" s="61"/>
      <c r="N596" s="61"/>
    </row>
    <row r="597">
      <c r="A597" s="65"/>
      <c r="B597" s="65"/>
      <c r="C597" s="65"/>
      <c r="D597" s="65"/>
      <c r="E597" s="65"/>
      <c r="F597" s="65"/>
      <c r="G597" s="65"/>
      <c r="H597" s="65"/>
      <c r="I597" s="65"/>
      <c r="J597" s="108"/>
      <c r="K597" s="103"/>
      <c r="L597" s="65"/>
      <c r="M597" s="65"/>
      <c r="N597" s="65"/>
    </row>
    <row r="598">
      <c r="A598" s="61"/>
      <c r="B598" s="61"/>
      <c r="C598" s="61"/>
      <c r="D598" s="61"/>
      <c r="E598" s="61"/>
      <c r="F598" s="61"/>
      <c r="G598" s="61"/>
      <c r="H598" s="61"/>
      <c r="I598" s="61"/>
      <c r="J598" s="107"/>
      <c r="K598" s="100"/>
      <c r="L598" s="61"/>
      <c r="M598" s="61"/>
      <c r="N598" s="61"/>
    </row>
    <row r="599">
      <c r="A599" s="65"/>
      <c r="B599" s="65"/>
      <c r="C599" s="65"/>
      <c r="D599" s="65"/>
      <c r="E599" s="65"/>
      <c r="F599" s="65"/>
      <c r="G599" s="65"/>
      <c r="H599" s="65"/>
      <c r="I599" s="65"/>
      <c r="J599" s="108"/>
      <c r="K599" s="103"/>
      <c r="L599" s="65"/>
      <c r="M599" s="65"/>
      <c r="N599" s="65"/>
    </row>
    <row r="600">
      <c r="A600" s="61"/>
      <c r="B600" s="61"/>
      <c r="C600" s="61"/>
      <c r="D600" s="61"/>
      <c r="E600" s="61"/>
      <c r="F600" s="61"/>
      <c r="G600" s="61"/>
      <c r="H600" s="61"/>
      <c r="I600" s="61"/>
      <c r="J600" s="107"/>
      <c r="K600" s="100"/>
      <c r="L600" s="61"/>
      <c r="M600" s="61"/>
      <c r="N600" s="61"/>
    </row>
    <row r="601">
      <c r="A601" s="65"/>
      <c r="B601" s="65"/>
      <c r="C601" s="65"/>
      <c r="D601" s="65"/>
      <c r="E601" s="65"/>
      <c r="F601" s="65"/>
      <c r="G601" s="65"/>
      <c r="H601" s="65"/>
      <c r="I601" s="65"/>
      <c r="J601" s="108"/>
      <c r="K601" s="103"/>
      <c r="L601" s="65"/>
      <c r="M601" s="65"/>
      <c r="N601" s="65"/>
    </row>
    <row r="602">
      <c r="A602" s="61"/>
      <c r="B602" s="61"/>
      <c r="C602" s="61"/>
      <c r="D602" s="61"/>
      <c r="E602" s="61"/>
      <c r="F602" s="61"/>
      <c r="G602" s="61"/>
      <c r="H602" s="61"/>
      <c r="I602" s="61"/>
      <c r="J602" s="107"/>
      <c r="K602" s="100"/>
      <c r="L602" s="61"/>
      <c r="M602" s="61"/>
      <c r="N602" s="61"/>
    </row>
    <row r="603">
      <c r="A603" s="65"/>
      <c r="B603" s="65"/>
      <c r="C603" s="65"/>
      <c r="D603" s="65"/>
      <c r="E603" s="65"/>
      <c r="F603" s="65"/>
      <c r="G603" s="65"/>
      <c r="H603" s="65"/>
      <c r="I603" s="65"/>
      <c r="J603" s="108"/>
      <c r="K603" s="103"/>
      <c r="L603" s="65"/>
      <c r="M603" s="65"/>
      <c r="N603" s="65"/>
    </row>
    <row r="604">
      <c r="A604" s="61"/>
      <c r="B604" s="61"/>
      <c r="C604" s="61"/>
      <c r="D604" s="61"/>
      <c r="E604" s="61"/>
      <c r="F604" s="61"/>
      <c r="G604" s="61"/>
      <c r="H604" s="61"/>
      <c r="I604" s="61"/>
      <c r="J604" s="107"/>
      <c r="K604" s="100"/>
      <c r="L604" s="61"/>
      <c r="M604" s="61"/>
      <c r="N604" s="61"/>
    </row>
    <row r="605">
      <c r="A605" s="65"/>
      <c r="B605" s="65"/>
      <c r="C605" s="65"/>
      <c r="D605" s="65"/>
      <c r="E605" s="65"/>
      <c r="F605" s="65"/>
      <c r="G605" s="65"/>
      <c r="H605" s="65"/>
      <c r="I605" s="65"/>
      <c r="J605" s="108"/>
      <c r="K605" s="103"/>
      <c r="L605" s="65"/>
      <c r="M605" s="65"/>
      <c r="N605" s="65"/>
    </row>
    <row r="606">
      <c r="A606" s="61"/>
      <c r="B606" s="61"/>
      <c r="C606" s="61"/>
      <c r="D606" s="61"/>
      <c r="E606" s="61"/>
      <c r="F606" s="61"/>
      <c r="G606" s="61"/>
      <c r="H606" s="61"/>
      <c r="I606" s="61"/>
      <c r="J606" s="107"/>
      <c r="K606" s="100"/>
      <c r="L606" s="61"/>
      <c r="M606" s="61"/>
      <c r="N606" s="61"/>
    </row>
    <row r="607">
      <c r="A607" s="65"/>
      <c r="B607" s="65"/>
      <c r="C607" s="65"/>
      <c r="D607" s="65"/>
      <c r="E607" s="65"/>
      <c r="F607" s="65"/>
      <c r="G607" s="65"/>
      <c r="H607" s="65"/>
      <c r="I607" s="65"/>
      <c r="J607" s="108"/>
      <c r="K607" s="103"/>
      <c r="L607" s="65"/>
      <c r="M607" s="65"/>
      <c r="N607" s="65"/>
    </row>
    <row r="608">
      <c r="A608" s="61"/>
      <c r="B608" s="61"/>
      <c r="C608" s="61"/>
      <c r="D608" s="61"/>
      <c r="E608" s="61"/>
      <c r="F608" s="61"/>
      <c r="G608" s="61"/>
      <c r="H608" s="61"/>
      <c r="I608" s="61"/>
      <c r="J608" s="107"/>
      <c r="K608" s="100"/>
      <c r="L608" s="61"/>
      <c r="M608" s="61"/>
      <c r="N608" s="61"/>
    </row>
    <row r="609">
      <c r="A609" s="65"/>
      <c r="B609" s="65"/>
      <c r="C609" s="65"/>
      <c r="D609" s="65"/>
      <c r="E609" s="65"/>
      <c r="F609" s="65"/>
      <c r="G609" s="65"/>
      <c r="H609" s="65"/>
      <c r="I609" s="65"/>
      <c r="J609" s="108"/>
      <c r="K609" s="103"/>
      <c r="L609" s="65"/>
      <c r="M609" s="65"/>
      <c r="N609" s="65"/>
    </row>
    <row r="610">
      <c r="A610" s="61"/>
      <c r="B610" s="61"/>
      <c r="C610" s="61"/>
      <c r="D610" s="61"/>
      <c r="E610" s="61"/>
      <c r="F610" s="61"/>
      <c r="G610" s="61"/>
      <c r="H610" s="61"/>
      <c r="I610" s="61"/>
      <c r="J610" s="107"/>
      <c r="K610" s="100"/>
      <c r="L610" s="61"/>
      <c r="M610" s="61"/>
      <c r="N610" s="61"/>
    </row>
    <row r="611">
      <c r="A611" s="65"/>
      <c r="B611" s="65"/>
      <c r="C611" s="65"/>
      <c r="D611" s="65"/>
      <c r="E611" s="65"/>
      <c r="F611" s="65"/>
      <c r="G611" s="65"/>
      <c r="H611" s="65"/>
      <c r="I611" s="65"/>
      <c r="J611" s="108"/>
      <c r="K611" s="103"/>
      <c r="L611" s="65"/>
      <c r="M611" s="65"/>
      <c r="N611" s="65"/>
    </row>
    <row r="612">
      <c r="A612" s="61"/>
      <c r="B612" s="61"/>
      <c r="C612" s="61"/>
      <c r="D612" s="61"/>
      <c r="E612" s="61"/>
      <c r="F612" s="61"/>
      <c r="G612" s="61"/>
      <c r="H612" s="61"/>
      <c r="I612" s="61"/>
      <c r="J612" s="107"/>
      <c r="K612" s="100"/>
      <c r="L612" s="61"/>
      <c r="M612" s="61"/>
      <c r="N612" s="61"/>
    </row>
    <row r="613">
      <c r="A613" s="65"/>
      <c r="B613" s="65"/>
      <c r="C613" s="65"/>
      <c r="D613" s="65"/>
      <c r="E613" s="65"/>
      <c r="F613" s="65"/>
      <c r="G613" s="65"/>
      <c r="H613" s="65"/>
      <c r="I613" s="65"/>
      <c r="J613" s="108"/>
      <c r="K613" s="103"/>
      <c r="L613" s="65"/>
      <c r="M613" s="65"/>
      <c r="N613" s="65"/>
    </row>
    <row r="614">
      <c r="A614" s="61"/>
      <c r="B614" s="61"/>
      <c r="C614" s="61"/>
      <c r="D614" s="61"/>
      <c r="E614" s="61"/>
      <c r="F614" s="61"/>
      <c r="G614" s="61"/>
      <c r="H614" s="61"/>
      <c r="I614" s="61"/>
      <c r="J614" s="107"/>
      <c r="K614" s="100"/>
      <c r="L614" s="61"/>
      <c r="M614" s="61"/>
      <c r="N614" s="61"/>
    </row>
    <row r="615">
      <c r="A615" s="65"/>
      <c r="B615" s="65"/>
      <c r="C615" s="65"/>
      <c r="D615" s="65"/>
      <c r="E615" s="65"/>
      <c r="F615" s="65"/>
      <c r="G615" s="65"/>
      <c r="H615" s="65"/>
      <c r="I615" s="65"/>
      <c r="J615" s="108"/>
      <c r="K615" s="103"/>
      <c r="L615" s="65"/>
      <c r="M615" s="65"/>
      <c r="N615" s="65"/>
    </row>
    <row r="616">
      <c r="A616" s="61"/>
      <c r="B616" s="61"/>
      <c r="C616" s="61"/>
      <c r="D616" s="61"/>
      <c r="E616" s="61"/>
      <c r="F616" s="61"/>
      <c r="G616" s="61"/>
      <c r="H616" s="61"/>
      <c r="I616" s="61"/>
      <c r="J616" s="107"/>
      <c r="K616" s="100"/>
      <c r="L616" s="61"/>
      <c r="M616" s="61"/>
      <c r="N616" s="61"/>
    </row>
    <row r="617">
      <c r="A617" s="65"/>
      <c r="B617" s="65"/>
      <c r="C617" s="65"/>
      <c r="D617" s="65"/>
      <c r="E617" s="65"/>
      <c r="F617" s="65"/>
      <c r="G617" s="65"/>
      <c r="H617" s="65"/>
      <c r="I617" s="65"/>
      <c r="J617" s="108"/>
      <c r="K617" s="103"/>
      <c r="L617" s="65"/>
      <c r="M617" s="65"/>
      <c r="N617" s="65"/>
    </row>
    <row r="618">
      <c r="A618" s="61"/>
      <c r="B618" s="61"/>
      <c r="C618" s="61"/>
      <c r="D618" s="61"/>
      <c r="E618" s="61"/>
      <c r="F618" s="61"/>
      <c r="G618" s="61"/>
      <c r="H618" s="61"/>
      <c r="I618" s="61"/>
      <c r="J618" s="107"/>
      <c r="K618" s="100"/>
      <c r="L618" s="61"/>
      <c r="M618" s="61"/>
      <c r="N618" s="61"/>
    </row>
    <row r="619">
      <c r="A619" s="65"/>
      <c r="B619" s="65"/>
      <c r="C619" s="65"/>
      <c r="D619" s="65"/>
      <c r="E619" s="65"/>
      <c r="F619" s="65"/>
      <c r="G619" s="65"/>
      <c r="H619" s="65"/>
      <c r="I619" s="65"/>
      <c r="J619" s="108"/>
      <c r="K619" s="103"/>
      <c r="L619" s="65"/>
      <c r="M619" s="65"/>
      <c r="N619" s="65"/>
    </row>
    <row r="620">
      <c r="A620" s="61"/>
      <c r="B620" s="61"/>
      <c r="C620" s="61"/>
      <c r="D620" s="61"/>
      <c r="E620" s="61"/>
      <c r="F620" s="61"/>
      <c r="G620" s="61"/>
      <c r="H620" s="61"/>
      <c r="I620" s="61"/>
      <c r="J620" s="107"/>
      <c r="K620" s="100"/>
      <c r="L620" s="61"/>
      <c r="M620" s="61"/>
      <c r="N620" s="61"/>
    </row>
    <row r="621">
      <c r="A621" s="65"/>
      <c r="B621" s="65"/>
      <c r="C621" s="65"/>
      <c r="D621" s="65"/>
      <c r="E621" s="65"/>
      <c r="F621" s="65"/>
      <c r="G621" s="65"/>
      <c r="H621" s="65"/>
      <c r="I621" s="65"/>
      <c r="J621" s="108"/>
      <c r="K621" s="103"/>
      <c r="L621" s="65"/>
      <c r="M621" s="65"/>
      <c r="N621" s="65"/>
    </row>
    <row r="622">
      <c r="A622" s="61"/>
      <c r="B622" s="61"/>
      <c r="C622" s="61"/>
      <c r="D622" s="61"/>
      <c r="E622" s="61"/>
      <c r="F622" s="61"/>
      <c r="G622" s="61"/>
      <c r="H622" s="61"/>
      <c r="I622" s="61"/>
      <c r="J622" s="107"/>
      <c r="K622" s="100"/>
      <c r="L622" s="61"/>
      <c r="M622" s="61"/>
      <c r="N622" s="61"/>
    </row>
    <row r="623">
      <c r="A623" s="65"/>
      <c r="B623" s="65"/>
      <c r="C623" s="65"/>
      <c r="D623" s="65"/>
      <c r="E623" s="65"/>
      <c r="F623" s="65"/>
      <c r="G623" s="65"/>
      <c r="H623" s="65"/>
      <c r="I623" s="65"/>
      <c r="J623" s="108"/>
      <c r="K623" s="103"/>
      <c r="L623" s="65"/>
      <c r="M623" s="65"/>
      <c r="N623" s="65"/>
    </row>
    <row r="624">
      <c r="A624" s="61"/>
      <c r="B624" s="61"/>
      <c r="C624" s="61"/>
      <c r="D624" s="61"/>
      <c r="E624" s="61"/>
      <c r="F624" s="61"/>
      <c r="G624" s="61"/>
      <c r="H624" s="61"/>
      <c r="I624" s="61"/>
      <c r="J624" s="107"/>
      <c r="K624" s="100"/>
      <c r="L624" s="61"/>
      <c r="M624" s="61"/>
      <c r="N624" s="61"/>
    </row>
    <row r="625">
      <c r="A625" s="65"/>
      <c r="B625" s="65"/>
      <c r="C625" s="65"/>
      <c r="D625" s="65"/>
      <c r="E625" s="65"/>
      <c r="F625" s="65"/>
      <c r="G625" s="65"/>
      <c r="H625" s="65"/>
      <c r="I625" s="65"/>
      <c r="J625" s="108"/>
      <c r="K625" s="103"/>
      <c r="L625" s="65"/>
      <c r="M625" s="65"/>
      <c r="N625" s="65"/>
    </row>
    <row r="626">
      <c r="A626" s="61"/>
      <c r="B626" s="61"/>
      <c r="C626" s="61"/>
      <c r="D626" s="61"/>
      <c r="E626" s="61"/>
      <c r="F626" s="61"/>
      <c r="G626" s="61"/>
      <c r="H626" s="61"/>
      <c r="I626" s="61"/>
      <c r="J626" s="107"/>
      <c r="K626" s="100"/>
      <c r="L626" s="61"/>
      <c r="M626" s="61"/>
      <c r="N626" s="61"/>
    </row>
    <row r="627">
      <c r="A627" s="65"/>
      <c r="B627" s="65"/>
      <c r="C627" s="65"/>
      <c r="D627" s="65"/>
      <c r="E627" s="65"/>
      <c r="F627" s="65"/>
      <c r="G627" s="65"/>
      <c r="H627" s="65"/>
      <c r="I627" s="65"/>
      <c r="J627" s="108"/>
      <c r="K627" s="103"/>
      <c r="L627" s="65"/>
      <c r="M627" s="65"/>
      <c r="N627" s="65"/>
    </row>
    <row r="628">
      <c r="A628" s="61"/>
      <c r="B628" s="61"/>
      <c r="C628" s="61"/>
      <c r="D628" s="61"/>
      <c r="E628" s="61"/>
      <c r="F628" s="61"/>
      <c r="G628" s="61"/>
      <c r="H628" s="61"/>
      <c r="I628" s="61"/>
      <c r="J628" s="107"/>
      <c r="K628" s="100"/>
      <c r="L628" s="61"/>
      <c r="M628" s="61"/>
      <c r="N628" s="61"/>
    </row>
    <row r="629">
      <c r="A629" s="65"/>
      <c r="B629" s="65"/>
      <c r="C629" s="65"/>
      <c r="D629" s="65"/>
      <c r="E629" s="65"/>
      <c r="F629" s="65"/>
      <c r="G629" s="65"/>
      <c r="H629" s="65"/>
      <c r="I629" s="65"/>
      <c r="J629" s="108"/>
      <c r="K629" s="103"/>
      <c r="L629" s="65"/>
      <c r="M629" s="65"/>
      <c r="N629" s="65"/>
    </row>
    <row r="630">
      <c r="A630" s="61"/>
      <c r="B630" s="61"/>
      <c r="C630" s="61"/>
      <c r="D630" s="61"/>
      <c r="E630" s="61"/>
      <c r="F630" s="61"/>
      <c r="G630" s="61"/>
      <c r="H630" s="61"/>
      <c r="I630" s="61"/>
      <c r="J630" s="107"/>
      <c r="K630" s="100"/>
      <c r="L630" s="61"/>
      <c r="M630" s="61"/>
      <c r="N630" s="61"/>
    </row>
    <row r="631">
      <c r="A631" s="65"/>
      <c r="B631" s="65"/>
      <c r="C631" s="65"/>
      <c r="D631" s="65"/>
      <c r="E631" s="65"/>
      <c r="F631" s="65"/>
      <c r="G631" s="65"/>
      <c r="H631" s="65"/>
      <c r="I631" s="65"/>
      <c r="J631" s="108"/>
      <c r="K631" s="103"/>
      <c r="L631" s="65"/>
      <c r="M631" s="65"/>
      <c r="N631" s="65"/>
    </row>
    <row r="632">
      <c r="A632" s="61"/>
      <c r="B632" s="61"/>
      <c r="C632" s="61"/>
      <c r="D632" s="61"/>
      <c r="E632" s="61"/>
      <c r="F632" s="61"/>
      <c r="G632" s="61"/>
      <c r="H632" s="61"/>
      <c r="I632" s="61"/>
      <c r="J632" s="107"/>
      <c r="K632" s="100"/>
      <c r="L632" s="61"/>
      <c r="M632" s="61"/>
      <c r="N632" s="61"/>
    </row>
    <row r="633">
      <c r="A633" s="65"/>
      <c r="B633" s="65"/>
      <c r="C633" s="65"/>
      <c r="D633" s="65"/>
      <c r="E633" s="65"/>
      <c r="F633" s="65"/>
      <c r="G633" s="65"/>
      <c r="H633" s="65"/>
      <c r="I633" s="65"/>
      <c r="J633" s="108"/>
      <c r="K633" s="103"/>
      <c r="L633" s="65"/>
      <c r="M633" s="65"/>
      <c r="N633" s="65"/>
    </row>
    <row r="634">
      <c r="A634" s="61"/>
      <c r="B634" s="61"/>
      <c r="C634" s="61"/>
      <c r="D634" s="61"/>
      <c r="E634" s="61"/>
      <c r="F634" s="61"/>
      <c r="G634" s="61"/>
      <c r="H634" s="61"/>
      <c r="I634" s="61"/>
      <c r="J634" s="107"/>
      <c r="K634" s="100"/>
      <c r="L634" s="61"/>
      <c r="M634" s="61"/>
      <c r="N634" s="61"/>
    </row>
    <row r="635">
      <c r="A635" s="65"/>
      <c r="B635" s="65"/>
      <c r="C635" s="65"/>
      <c r="D635" s="65"/>
      <c r="E635" s="65"/>
      <c r="F635" s="65"/>
      <c r="G635" s="65"/>
      <c r="H635" s="65"/>
      <c r="I635" s="65"/>
      <c r="J635" s="108"/>
      <c r="K635" s="103"/>
      <c r="L635" s="65"/>
      <c r="M635" s="65"/>
      <c r="N635" s="65"/>
    </row>
    <row r="636">
      <c r="A636" s="61"/>
      <c r="B636" s="61"/>
      <c r="C636" s="61"/>
      <c r="D636" s="61"/>
      <c r="E636" s="61"/>
      <c r="F636" s="61"/>
      <c r="G636" s="61"/>
      <c r="H636" s="61"/>
      <c r="I636" s="61"/>
      <c r="J636" s="107"/>
      <c r="K636" s="100"/>
      <c r="L636" s="61"/>
      <c r="M636" s="61"/>
      <c r="N636" s="61"/>
    </row>
    <row r="637">
      <c r="A637" s="65"/>
      <c r="B637" s="65"/>
      <c r="C637" s="65"/>
      <c r="D637" s="65"/>
      <c r="E637" s="65"/>
      <c r="F637" s="65"/>
      <c r="G637" s="65"/>
      <c r="H637" s="65"/>
      <c r="I637" s="65"/>
      <c r="J637" s="108"/>
      <c r="K637" s="103"/>
      <c r="L637" s="65"/>
      <c r="M637" s="65"/>
      <c r="N637" s="65"/>
    </row>
    <row r="638">
      <c r="A638" s="61"/>
      <c r="B638" s="61"/>
      <c r="C638" s="61"/>
      <c r="D638" s="61"/>
      <c r="E638" s="61"/>
      <c r="F638" s="61"/>
      <c r="G638" s="61"/>
      <c r="H638" s="61"/>
      <c r="I638" s="61"/>
      <c r="J638" s="107"/>
      <c r="K638" s="100"/>
      <c r="L638" s="61"/>
      <c r="M638" s="61"/>
      <c r="N638" s="61"/>
    </row>
    <row r="639">
      <c r="A639" s="65"/>
      <c r="B639" s="65"/>
      <c r="C639" s="65"/>
      <c r="D639" s="65"/>
      <c r="E639" s="65"/>
      <c r="F639" s="65"/>
      <c r="G639" s="65"/>
      <c r="H639" s="65"/>
      <c r="I639" s="65"/>
      <c r="J639" s="108"/>
      <c r="K639" s="103"/>
      <c r="L639" s="65"/>
      <c r="M639" s="65"/>
      <c r="N639" s="65"/>
    </row>
    <row r="640">
      <c r="A640" s="61"/>
      <c r="B640" s="61"/>
      <c r="C640" s="61"/>
      <c r="D640" s="61"/>
      <c r="E640" s="61"/>
      <c r="F640" s="61"/>
      <c r="G640" s="61"/>
      <c r="H640" s="61"/>
      <c r="I640" s="61"/>
      <c r="J640" s="107"/>
      <c r="K640" s="100"/>
      <c r="L640" s="61"/>
      <c r="M640" s="61"/>
      <c r="N640" s="61"/>
    </row>
    <row r="641">
      <c r="A641" s="65"/>
      <c r="B641" s="65"/>
      <c r="C641" s="65"/>
      <c r="D641" s="65"/>
      <c r="E641" s="65"/>
      <c r="F641" s="65"/>
      <c r="G641" s="65"/>
      <c r="H641" s="65"/>
      <c r="I641" s="65"/>
      <c r="J641" s="108"/>
      <c r="K641" s="103"/>
      <c r="L641" s="65"/>
      <c r="M641" s="65"/>
      <c r="N641" s="65"/>
    </row>
    <row r="642">
      <c r="A642" s="61"/>
      <c r="B642" s="61"/>
      <c r="C642" s="61"/>
      <c r="D642" s="61"/>
      <c r="E642" s="61"/>
      <c r="F642" s="61"/>
      <c r="G642" s="61"/>
      <c r="H642" s="61"/>
      <c r="I642" s="61"/>
      <c r="J642" s="107"/>
      <c r="K642" s="100"/>
      <c r="L642" s="61"/>
      <c r="M642" s="61"/>
      <c r="N642" s="61"/>
    </row>
    <row r="643">
      <c r="A643" s="65"/>
      <c r="B643" s="65"/>
      <c r="C643" s="65"/>
      <c r="D643" s="65"/>
      <c r="E643" s="65"/>
      <c r="F643" s="65"/>
      <c r="G643" s="65"/>
      <c r="H643" s="65"/>
      <c r="I643" s="65"/>
      <c r="J643" s="108"/>
      <c r="K643" s="103"/>
      <c r="L643" s="65"/>
      <c r="M643" s="65"/>
      <c r="N643" s="65"/>
    </row>
    <row r="644">
      <c r="A644" s="61"/>
      <c r="B644" s="61"/>
      <c r="C644" s="61"/>
      <c r="D644" s="61"/>
      <c r="E644" s="61"/>
      <c r="F644" s="61"/>
      <c r="G644" s="61"/>
      <c r="H644" s="61"/>
      <c r="I644" s="61"/>
      <c r="J644" s="107"/>
      <c r="K644" s="100"/>
      <c r="L644" s="61"/>
      <c r="M644" s="61"/>
      <c r="N644" s="61"/>
    </row>
    <row r="645">
      <c r="A645" s="65"/>
      <c r="B645" s="65"/>
      <c r="C645" s="65"/>
      <c r="D645" s="65"/>
      <c r="E645" s="65"/>
      <c r="F645" s="65"/>
      <c r="G645" s="65"/>
      <c r="H645" s="65"/>
      <c r="I645" s="65"/>
      <c r="J645" s="108"/>
      <c r="K645" s="103"/>
      <c r="L645" s="65"/>
      <c r="M645" s="65"/>
      <c r="N645" s="65"/>
    </row>
    <row r="646">
      <c r="A646" s="61"/>
      <c r="B646" s="61"/>
      <c r="C646" s="61"/>
      <c r="D646" s="61"/>
      <c r="E646" s="61"/>
      <c r="F646" s="61"/>
      <c r="G646" s="61"/>
      <c r="H646" s="61"/>
      <c r="I646" s="61"/>
      <c r="J646" s="107"/>
      <c r="K646" s="100"/>
      <c r="L646" s="61"/>
      <c r="M646" s="61"/>
      <c r="N646" s="61"/>
    </row>
    <row r="647">
      <c r="A647" s="65"/>
      <c r="B647" s="65"/>
      <c r="C647" s="65"/>
      <c r="D647" s="65"/>
      <c r="E647" s="65"/>
      <c r="F647" s="65"/>
      <c r="G647" s="65"/>
      <c r="H647" s="65"/>
      <c r="I647" s="65"/>
      <c r="J647" s="108"/>
      <c r="K647" s="103"/>
      <c r="L647" s="65"/>
      <c r="M647" s="65"/>
      <c r="N647" s="65"/>
    </row>
    <row r="648">
      <c r="A648" s="61"/>
      <c r="B648" s="61"/>
      <c r="C648" s="61"/>
      <c r="D648" s="61"/>
      <c r="E648" s="61"/>
      <c r="F648" s="61"/>
      <c r="G648" s="61"/>
      <c r="H648" s="61"/>
      <c r="I648" s="61"/>
      <c r="J648" s="107"/>
      <c r="K648" s="100"/>
      <c r="L648" s="61"/>
      <c r="M648" s="61"/>
      <c r="N648" s="61"/>
    </row>
    <row r="649">
      <c r="A649" s="65"/>
      <c r="B649" s="65"/>
      <c r="C649" s="65"/>
      <c r="D649" s="65"/>
      <c r="E649" s="65"/>
      <c r="F649" s="65"/>
      <c r="G649" s="65"/>
      <c r="H649" s="65"/>
      <c r="I649" s="65"/>
      <c r="J649" s="108"/>
      <c r="K649" s="103"/>
      <c r="L649" s="65"/>
      <c r="M649" s="65"/>
      <c r="N649" s="65"/>
    </row>
    <row r="650">
      <c r="A650" s="61"/>
      <c r="B650" s="61"/>
      <c r="C650" s="61"/>
      <c r="D650" s="61"/>
      <c r="E650" s="61"/>
      <c r="F650" s="61"/>
      <c r="G650" s="61"/>
      <c r="H650" s="61"/>
      <c r="I650" s="61"/>
      <c r="J650" s="107"/>
      <c r="K650" s="100"/>
      <c r="L650" s="61"/>
      <c r="M650" s="61"/>
      <c r="N650" s="61"/>
    </row>
    <row r="651">
      <c r="A651" s="65"/>
      <c r="B651" s="65"/>
      <c r="C651" s="65"/>
      <c r="D651" s="65"/>
      <c r="E651" s="65"/>
      <c r="F651" s="65"/>
      <c r="G651" s="65"/>
      <c r="H651" s="65"/>
      <c r="I651" s="65"/>
      <c r="J651" s="108"/>
      <c r="K651" s="103"/>
      <c r="L651" s="65"/>
      <c r="M651" s="65"/>
      <c r="N651" s="65"/>
    </row>
    <row r="652">
      <c r="A652" s="61"/>
      <c r="B652" s="61"/>
      <c r="C652" s="61"/>
      <c r="D652" s="61"/>
      <c r="E652" s="61"/>
      <c r="F652" s="61"/>
      <c r="G652" s="61"/>
      <c r="H652" s="61"/>
      <c r="I652" s="61"/>
      <c r="J652" s="107"/>
      <c r="K652" s="100"/>
      <c r="L652" s="61"/>
      <c r="M652" s="61"/>
      <c r="N652" s="61"/>
    </row>
    <row r="653">
      <c r="A653" s="65"/>
      <c r="B653" s="65"/>
      <c r="C653" s="65"/>
      <c r="D653" s="65"/>
      <c r="E653" s="65"/>
      <c r="F653" s="65"/>
      <c r="G653" s="65"/>
      <c r="H653" s="65"/>
      <c r="I653" s="65"/>
      <c r="J653" s="108"/>
      <c r="K653" s="103"/>
      <c r="L653" s="65"/>
      <c r="M653" s="65"/>
      <c r="N653" s="65"/>
    </row>
    <row r="654">
      <c r="A654" s="61"/>
      <c r="B654" s="61"/>
      <c r="C654" s="61"/>
      <c r="D654" s="61"/>
      <c r="E654" s="61"/>
      <c r="F654" s="61"/>
      <c r="G654" s="61"/>
      <c r="H654" s="61"/>
      <c r="I654" s="61"/>
      <c r="J654" s="107"/>
      <c r="K654" s="100"/>
      <c r="L654" s="61"/>
      <c r="M654" s="61"/>
      <c r="N654" s="61"/>
    </row>
    <row r="655">
      <c r="A655" s="65"/>
      <c r="B655" s="65"/>
      <c r="C655" s="65"/>
      <c r="D655" s="65"/>
      <c r="E655" s="65"/>
      <c r="F655" s="65"/>
      <c r="G655" s="65"/>
      <c r="H655" s="65"/>
      <c r="I655" s="65"/>
      <c r="J655" s="108"/>
      <c r="K655" s="103"/>
      <c r="L655" s="65"/>
      <c r="M655" s="65"/>
      <c r="N655" s="65"/>
    </row>
    <row r="656">
      <c r="A656" s="61"/>
      <c r="B656" s="61"/>
      <c r="C656" s="61"/>
      <c r="D656" s="61"/>
      <c r="E656" s="61"/>
      <c r="F656" s="61"/>
      <c r="G656" s="61"/>
      <c r="H656" s="61"/>
      <c r="I656" s="61"/>
      <c r="J656" s="107"/>
      <c r="K656" s="100"/>
      <c r="L656" s="61"/>
      <c r="M656" s="61"/>
      <c r="N656" s="61"/>
    </row>
    <row r="657">
      <c r="A657" s="65"/>
      <c r="B657" s="65"/>
      <c r="C657" s="65"/>
      <c r="D657" s="65"/>
      <c r="E657" s="65"/>
      <c r="F657" s="65"/>
      <c r="G657" s="65"/>
      <c r="H657" s="65"/>
      <c r="I657" s="65"/>
      <c r="J657" s="108"/>
      <c r="K657" s="103"/>
      <c r="L657" s="65"/>
      <c r="M657" s="65"/>
      <c r="N657" s="65"/>
    </row>
    <row r="658">
      <c r="A658" s="61"/>
      <c r="B658" s="61"/>
      <c r="C658" s="61"/>
      <c r="D658" s="61"/>
      <c r="E658" s="61"/>
      <c r="F658" s="61"/>
      <c r="G658" s="61"/>
      <c r="H658" s="61"/>
      <c r="I658" s="61"/>
      <c r="J658" s="107"/>
      <c r="K658" s="100"/>
      <c r="L658" s="61"/>
      <c r="M658" s="61"/>
      <c r="N658" s="61"/>
    </row>
    <row r="659">
      <c r="A659" s="65"/>
      <c r="B659" s="65"/>
      <c r="C659" s="65"/>
      <c r="D659" s="65"/>
      <c r="E659" s="65"/>
      <c r="F659" s="65"/>
      <c r="G659" s="65"/>
      <c r="H659" s="65"/>
      <c r="I659" s="65"/>
      <c r="J659" s="108"/>
      <c r="K659" s="103"/>
      <c r="L659" s="65"/>
      <c r="M659" s="65"/>
      <c r="N659" s="65"/>
    </row>
    <row r="660">
      <c r="A660" s="61"/>
      <c r="B660" s="61"/>
      <c r="C660" s="61"/>
      <c r="D660" s="61"/>
      <c r="E660" s="61"/>
      <c r="F660" s="61"/>
      <c r="G660" s="61"/>
      <c r="H660" s="61"/>
      <c r="I660" s="61"/>
      <c r="J660" s="107"/>
      <c r="K660" s="100"/>
      <c r="L660" s="61"/>
      <c r="M660" s="61"/>
      <c r="N660" s="61"/>
    </row>
    <row r="661">
      <c r="A661" s="65"/>
      <c r="B661" s="65"/>
      <c r="C661" s="65"/>
      <c r="D661" s="65"/>
      <c r="E661" s="65"/>
      <c r="F661" s="65"/>
      <c r="G661" s="65"/>
      <c r="H661" s="65"/>
      <c r="I661" s="65"/>
      <c r="J661" s="108"/>
      <c r="K661" s="103"/>
      <c r="L661" s="65"/>
      <c r="M661" s="65"/>
      <c r="N661" s="65"/>
    </row>
    <row r="662">
      <c r="A662" s="61"/>
      <c r="B662" s="61"/>
      <c r="C662" s="61"/>
      <c r="D662" s="61"/>
      <c r="E662" s="61"/>
      <c r="F662" s="61"/>
      <c r="G662" s="61"/>
      <c r="H662" s="61"/>
      <c r="I662" s="61"/>
      <c r="J662" s="107"/>
      <c r="K662" s="100"/>
      <c r="L662" s="61"/>
      <c r="M662" s="61"/>
      <c r="N662" s="61"/>
    </row>
    <row r="663">
      <c r="A663" s="65"/>
      <c r="B663" s="65"/>
      <c r="C663" s="65"/>
      <c r="D663" s="65"/>
      <c r="E663" s="65"/>
      <c r="F663" s="65"/>
      <c r="G663" s="65"/>
      <c r="H663" s="65"/>
      <c r="I663" s="65"/>
      <c r="J663" s="108"/>
      <c r="K663" s="103"/>
      <c r="L663" s="65"/>
      <c r="M663" s="65"/>
      <c r="N663" s="65"/>
    </row>
    <row r="664">
      <c r="A664" s="61"/>
      <c r="B664" s="61"/>
      <c r="C664" s="61"/>
      <c r="D664" s="61"/>
      <c r="E664" s="61"/>
      <c r="F664" s="61"/>
      <c r="G664" s="61"/>
      <c r="H664" s="61"/>
      <c r="I664" s="61"/>
      <c r="J664" s="107"/>
      <c r="K664" s="100"/>
      <c r="L664" s="61"/>
      <c r="M664" s="61"/>
      <c r="N664" s="61"/>
    </row>
    <row r="665">
      <c r="A665" s="65"/>
      <c r="B665" s="65"/>
      <c r="C665" s="65"/>
      <c r="D665" s="65"/>
      <c r="E665" s="65"/>
      <c r="F665" s="65"/>
      <c r="G665" s="65"/>
      <c r="H665" s="65"/>
      <c r="I665" s="65"/>
      <c r="J665" s="108"/>
      <c r="K665" s="103"/>
      <c r="L665" s="65"/>
      <c r="M665" s="65"/>
      <c r="N665" s="65"/>
    </row>
    <row r="666">
      <c r="A666" s="61"/>
      <c r="B666" s="61"/>
      <c r="C666" s="61"/>
      <c r="D666" s="61"/>
      <c r="E666" s="61"/>
      <c r="F666" s="61"/>
      <c r="G666" s="61"/>
      <c r="H666" s="61"/>
      <c r="I666" s="61"/>
      <c r="J666" s="107"/>
      <c r="K666" s="100"/>
      <c r="L666" s="61"/>
      <c r="M666" s="61"/>
      <c r="N666" s="61"/>
    </row>
    <row r="667">
      <c r="A667" s="65"/>
      <c r="B667" s="65"/>
      <c r="C667" s="65"/>
      <c r="D667" s="65"/>
      <c r="E667" s="65"/>
      <c r="F667" s="65"/>
      <c r="G667" s="65"/>
      <c r="H667" s="65"/>
      <c r="I667" s="65"/>
      <c r="J667" s="108"/>
      <c r="K667" s="103"/>
      <c r="L667" s="65"/>
      <c r="M667" s="65"/>
      <c r="N667" s="65"/>
    </row>
    <row r="668">
      <c r="A668" s="61"/>
      <c r="B668" s="61"/>
      <c r="C668" s="61"/>
      <c r="D668" s="61"/>
      <c r="E668" s="61"/>
      <c r="F668" s="61"/>
      <c r="G668" s="61"/>
      <c r="H668" s="61"/>
      <c r="I668" s="61"/>
      <c r="J668" s="107"/>
      <c r="K668" s="100"/>
      <c r="L668" s="61"/>
      <c r="M668" s="61"/>
      <c r="N668" s="61"/>
    </row>
    <row r="669">
      <c r="A669" s="65"/>
      <c r="B669" s="65"/>
      <c r="C669" s="65"/>
      <c r="D669" s="65"/>
      <c r="E669" s="65"/>
      <c r="F669" s="65"/>
      <c r="G669" s="65"/>
      <c r="H669" s="65"/>
      <c r="I669" s="65"/>
      <c r="J669" s="108"/>
      <c r="K669" s="103"/>
      <c r="L669" s="65"/>
      <c r="M669" s="65"/>
      <c r="N669" s="65"/>
    </row>
    <row r="670">
      <c r="A670" s="61"/>
      <c r="B670" s="61"/>
      <c r="C670" s="61"/>
      <c r="D670" s="61"/>
      <c r="E670" s="61"/>
      <c r="F670" s="61"/>
      <c r="G670" s="61"/>
      <c r="H670" s="61"/>
      <c r="I670" s="61"/>
      <c r="J670" s="107"/>
      <c r="K670" s="100"/>
      <c r="L670" s="61"/>
      <c r="M670" s="61"/>
      <c r="N670" s="61"/>
    </row>
    <row r="671">
      <c r="A671" s="65"/>
      <c r="B671" s="65"/>
      <c r="C671" s="65"/>
      <c r="D671" s="65"/>
      <c r="E671" s="65"/>
      <c r="F671" s="65"/>
      <c r="G671" s="65"/>
      <c r="H671" s="65"/>
      <c r="I671" s="65"/>
      <c r="J671" s="108"/>
      <c r="K671" s="103"/>
      <c r="L671" s="65"/>
      <c r="M671" s="65"/>
      <c r="N671" s="65"/>
    </row>
    <row r="672">
      <c r="A672" s="61"/>
      <c r="B672" s="61"/>
      <c r="C672" s="61"/>
      <c r="D672" s="61"/>
      <c r="E672" s="61"/>
      <c r="F672" s="61"/>
      <c r="G672" s="61"/>
      <c r="H672" s="61"/>
      <c r="I672" s="61"/>
      <c r="J672" s="107"/>
      <c r="K672" s="100"/>
      <c r="L672" s="61"/>
      <c r="M672" s="61"/>
      <c r="N672" s="61"/>
    </row>
    <row r="673">
      <c r="A673" s="65"/>
      <c r="B673" s="65"/>
      <c r="C673" s="65"/>
      <c r="D673" s="65"/>
      <c r="E673" s="65"/>
      <c r="F673" s="65"/>
      <c r="G673" s="65"/>
      <c r="H673" s="65"/>
      <c r="I673" s="65"/>
      <c r="J673" s="108"/>
      <c r="K673" s="103"/>
      <c r="L673" s="65"/>
      <c r="M673" s="65"/>
      <c r="N673" s="65"/>
    </row>
    <row r="674">
      <c r="A674" s="61"/>
      <c r="B674" s="61"/>
      <c r="C674" s="61"/>
      <c r="D674" s="61"/>
      <c r="E674" s="61"/>
      <c r="F674" s="61"/>
      <c r="G674" s="61"/>
      <c r="H674" s="61"/>
      <c r="I674" s="61"/>
      <c r="J674" s="107"/>
      <c r="K674" s="100"/>
      <c r="L674" s="61"/>
      <c r="M674" s="61"/>
      <c r="N674" s="61"/>
    </row>
    <row r="675">
      <c r="A675" s="65"/>
      <c r="B675" s="65"/>
      <c r="C675" s="65"/>
      <c r="D675" s="65"/>
      <c r="E675" s="65"/>
      <c r="F675" s="65"/>
      <c r="G675" s="65"/>
      <c r="H675" s="65"/>
      <c r="I675" s="65"/>
      <c r="J675" s="108"/>
      <c r="K675" s="103"/>
      <c r="L675" s="65"/>
      <c r="M675" s="65"/>
      <c r="N675" s="65"/>
    </row>
    <row r="676">
      <c r="A676" s="61"/>
      <c r="B676" s="61"/>
      <c r="C676" s="61"/>
      <c r="D676" s="61"/>
      <c r="E676" s="61"/>
      <c r="F676" s="61"/>
      <c r="G676" s="61"/>
      <c r="H676" s="61"/>
      <c r="I676" s="61"/>
      <c r="J676" s="107"/>
      <c r="K676" s="100"/>
      <c r="L676" s="61"/>
      <c r="M676" s="61"/>
      <c r="N676" s="61"/>
    </row>
    <row r="677">
      <c r="A677" s="65"/>
      <c r="B677" s="65"/>
      <c r="C677" s="65"/>
      <c r="D677" s="65"/>
      <c r="E677" s="65"/>
      <c r="F677" s="65"/>
      <c r="G677" s="65"/>
      <c r="H677" s="65"/>
      <c r="I677" s="65"/>
      <c r="J677" s="108"/>
      <c r="K677" s="103"/>
      <c r="L677" s="65"/>
      <c r="M677" s="65"/>
      <c r="N677" s="65"/>
    </row>
    <row r="678">
      <c r="A678" s="61"/>
      <c r="B678" s="61"/>
      <c r="C678" s="61"/>
      <c r="D678" s="61"/>
      <c r="E678" s="61"/>
      <c r="F678" s="61"/>
      <c r="G678" s="61"/>
      <c r="H678" s="61"/>
      <c r="I678" s="61"/>
      <c r="J678" s="107"/>
      <c r="K678" s="100"/>
      <c r="L678" s="61"/>
      <c r="M678" s="61"/>
      <c r="N678" s="61"/>
    </row>
    <row r="679">
      <c r="A679" s="65"/>
      <c r="B679" s="65"/>
      <c r="C679" s="65"/>
      <c r="D679" s="65"/>
      <c r="E679" s="65"/>
      <c r="F679" s="65"/>
      <c r="G679" s="65"/>
      <c r="H679" s="65"/>
      <c r="I679" s="65"/>
      <c r="J679" s="108"/>
      <c r="K679" s="103"/>
      <c r="L679" s="65"/>
      <c r="M679" s="65"/>
      <c r="N679" s="65"/>
    </row>
    <row r="680">
      <c r="A680" s="61"/>
      <c r="B680" s="61"/>
      <c r="C680" s="61"/>
      <c r="D680" s="61"/>
      <c r="E680" s="61"/>
      <c r="F680" s="61"/>
      <c r="G680" s="61"/>
      <c r="H680" s="61"/>
      <c r="I680" s="61"/>
      <c r="J680" s="107"/>
      <c r="K680" s="100"/>
      <c r="L680" s="61"/>
      <c r="M680" s="61"/>
      <c r="N680" s="61"/>
    </row>
    <row r="681">
      <c r="A681" s="65"/>
      <c r="B681" s="65"/>
      <c r="C681" s="65"/>
      <c r="D681" s="65"/>
      <c r="E681" s="65"/>
      <c r="F681" s="65"/>
      <c r="G681" s="65"/>
      <c r="H681" s="65"/>
      <c r="I681" s="65"/>
      <c r="J681" s="108"/>
      <c r="K681" s="103"/>
      <c r="L681" s="65"/>
      <c r="M681" s="65"/>
      <c r="N681" s="65"/>
    </row>
    <row r="682">
      <c r="A682" s="61"/>
      <c r="B682" s="61"/>
      <c r="C682" s="61"/>
      <c r="D682" s="61"/>
      <c r="E682" s="61"/>
      <c r="F682" s="61"/>
      <c r="G682" s="61"/>
      <c r="H682" s="61"/>
      <c r="I682" s="61"/>
      <c r="J682" s="107"/>
      <c r="K682" s="100"/>
      <c r="L682" s="61"/>
      <c r="M682" s="61"/>
      <c r="N682" s="61"/>
    </row>
    <row r="683">
      <c r="A683" s="65"/>
      <c r="B683" s="65"/>
      <c r="C683" s="65"/>
      <c r="D683" s="65"/>
      <c r="E683" s="65"/>
      <c r="F683" s="65"/>
      <c r="G683" s="65"/>
      <c r="H683" s="65"/>
      <c r="I683" s="65"/>
      <c r="J683" s="108"/>
      <c r="K683" s="103"/>
      <c r="L683" s="65"/>
      <c r="M683" s="65"/>
      <c r="N683" s="65"/>
    </row>
    <row r="684">
      <c r="A684" s="61"/>
      <c r="B684" s="61"/>
      <c r="C684" s="61"/>
      <c r="D684" s="61"/>
      <c r="E684" s="61"/>
      <c r="F684" s="61"/>
      <c r="G684" s="61"/>
      <c r="H684" s="61"/>
      <c r="I684" s="61"/>
      <c r="J684" s="107"/>
      <c r="K684" s="100"/>
      <c r="L684" s="61"/>
      <c r="M684" s="61"/>
      <c r="N684" s="61"/>
    </row>
    <row r="685">
      <c r="A685" s="65"/>
      <c r="B685" s="65"/>
      <c r="C685" s="65"/>
      <c r="D685" s="65"/>
      <c r="E685" s="65"/>
      <c r="F685" s="65"/>
      <c r="G685" s="65"/>
      <c r="H685" s="65"/>
      <c r="I685" s="65"/>
      <c r="J685" s="108"/>
      <c r="K685" s="103"/>
      <c r="L685" s="65"/>
      <c r="M685" s="65"/>
      <c r="N685" s="65"/>
    </row>
    <row r="686">
      <c r="A686" s="61"/>
      <c r="B686" s="61"/>
      <c r="C686" s="61"/>
      <c r="D686" s="61"/>
      <c r="E686" s="61"/>
      <c r="F686" s="61"/>
      <c r="G686" s="61"/>
      <c r="H686" s="61"/>
      <c r="I686" s="61"/>
      <c r="J686" s="107"/>
      <c r="K686" s="100"/>
      <c r="L686" s="61"/>
      <c r="M686" s="61"/>
      <c r="N686" s="61"/>
    </row>
    <row r="687">
      <c r="A687" s="65"/>
      <c r="B687" s="65"/>
      <c r="C687" s="65"/>
      <c r="D687" s="65"/>
      <c r="E687" s="65"/>
      <c r="F687" s="65"/>
      <c r="G687" s="65"/>
      <c r="H687" s="65"/>
      <c r="I687" s="65"/>
      <c r="J687" s="108"/>
      <c r="K687" s="103"/>
      <c r="L687" s="65"/>
      <c r="M687" s="65"/>
      <c r="N687" s="65"/>
    </row>
    <row r="688">
      <c r="A688" s="61"/>
      <c r="B688" s="61"/>
      <c r="C688" s="61"/>
      <c r="D688" s="61"/>
      <c r="E688" s="61"/>
      <c r="F688" s="61"/>
      <c r="G688" s="61"/>
      <c r="H688" s="61"/>
      <c r="I688" s="61"/>
      <c r="J688" s="107"/>
      <c r="K688" s="100"/>
      <c r="L688" s="61"/>
      <c r="M688" s="61"/>
      <c r="N688" s="61"/>
    </row>
    <row r="689">
      <c r="A689" s="65"/>
      <c r="B689" s="65"/>
      <c r="C689" s="65"/>
      <c r="D689" s="65"/>
      <c r="E689" s="65"/>
      <c r="F689" s="65"/>
      <c r="G689" s="65"/>
      <c r="H689" s="65"/>
      <c r="I689" s="65"/>
      <c r="J689" s="108"/>
      <c r="K689" s="103"/>
      <c r="L689" s="65"/>
      <c r="M689" s="65"/>
      <c r="N689" s="65"/>
    </row>
    <row r="690">
      <c r="A690" s="61"/>
      <c r="B690" s="61"/>
      <c r="C690" s="61"/>
      <c r="D690" s="61"/>
      <c r="E690" s="61"/>
      <c r="F690" s="61"/>
      <c r="G690" s="61"/>
      <c r="H690" s="61"/>
      <c r="I690" s="61"/>
      <c r="J690" s="107"/>
      <c r="K690" s="100"/>
      <c r="L690" s="61"/>
      <c r="M690" s="61"/>
      <c r="N690" s="61"/>
    </row>
    <row r="691">
      <c r="A691" s="65"/>
      <c r="B691" s="65"/>
      <c r="C691" s="65"/>
      <c r="D691" s="65"/>
      <c r="E691" s="65"/>
      <c r="F691" s="65"/>
      <c r="G691" s="65"/>
      <c r="H691" s="65"/>
      <c r="I691" s="65"/>
      <c r="J691" s="108"/>
      <c r="K691" s="103"/>
      <c r="L691" s="65"/>
      <c r="M691" s="65"/>
      <c r="N691" s="65"/>
    </row>
    <row r="692">
      <c r="A692" s="61"/>
      <c r="B692" s="61"/>
      <c r="C692" s="61"/>
      <c r="D692" s="61"/>
      <c r="E692" s="61"/>
      <c r="F692" s="61"/>
      <c r="G692" s="61"/>
      <c r="H692" s="61"/>
      <c r="I692" s="61"/>
      <c r="J692" s="107"/>
      <c r="K692" s="100"/>
      <c r="L692" s="61"/>
      <c r="M692" s="61"/>
      <c r="N692" s="61"/>
    </row>
    <row r="693">
      <c r="A693" s="65"/>
      <c r="B693" s="65"/>
      <c r="C693" s="65"/>
      <c r="D693" s="65"/>
      <c r="E693" s="65"/>
      <c r="F693" s="65"/>
      <c r="G693" s="65"/>
      <c r="H693" s="65"/>
      <c r="I693" s="65"/>
      <c r="J693" s="108"/>
      <c r="K693" s="103"/>
      <c r="L693" s="65"/>
      <c r="M693" s="65"/>
      <c r="N693" s="65"/>
    </row>
    <row r="694">
      <c r="A694" s="61"/>
      <c r="B694" s="61"/>
      <c r="C694" s="61"/>
      <c r="D694" s="61"/>
      <c r="E694" s="61"/>
      <c r="F694" s="61"/>
      <c r="G694" s="61"/>
      <c r="H694" s="61"/>
      <c r="I694" s="61"/>
      <c r="J694" s="107"/>
      <c r="K694" s="100"/>
      <c r="L694" s="61"/>
      <c r="M694" s="61"/>
      <c r="N694" s="61"/>
    </row>
    <row r="695">
      <c r="A695" s="65"/>
      <c r="B695" s="65"/>
      <c r="C695" s="65"/>
      <c r="D695" s="65"/>
      <c r="E695" s="65"/>
      <c r="F695" s="65"/>
      <c r="G695" s="65"/>
      <c r="H695" s="65"/>
      <c r="I695" s="65"/>
      <c r="J695" s="108"/>
      <c r="K695" s="103"/>
      <c r="L695" s="65"/>
      <c r="M695" s="65"/>
      <c r="N695" s="65"/>
    </row>
    <row r="696">
      <c r="A696" s="61"/>
      <c r="B696" s="61"/>
      <c r="C696" s="61"/>
      <c r="D696" s="61"/>
      <c r="E696" s="61"/>
      <c r="F696" s="61"/>
      <c r="G696" s="61"/>
      <c r="H696" s="61"/>
      <c r="I696" s="61"/>
      <c r="J696" s="107"/>
      <c r="K696" s="100"/>
      <c r="L696" s="61"/>
      <c r="M696" s="61"/>
      <c r="N696" s="61"/>
    </row>
    <row r="697">
      <c r="A697" s="65"/>
      <c r="B697" s="65"/>
      <c r="C697" s="65"/>
      <c r="D697" s="65"/>
      <c r="E697" s="65"/>
      <c r="F697" s="65"/>
      <c r="G697" s="65"/>
      <c r="H697" s="65"/>
      <c r="I697" s="65"/>
      <c r="J697" s="108"/>
      <c r="K697" s="103"/>
      <c r="L697" s="65"/>
      <c r="M697" s="65"/>
      <c r="N697" s="65"/>
    </row>
    <row r="698">
      <c r="A698" s="61"/>
      <c r="B698" s="61"/>
      <c r="C698" s="61"/>
      <c r="D698" s="61"/>
      <c r="E698" s="61"/>
      <c r="F698" s="61"/>
      <c r="G698" s="61"/>
      <c r="H698" s="61"/>
      <c r="I698" s="61"/>
      <c r="J698" s="107"/>
      <c r="K698" s="100"/>
      <c r="L698" s="61"/>
      <c r="M698" s="61"/>
      <c r="N698" s="61"/>
    </row>
    <row r="699">
      <c r="A699" s="65"/>
      <c r="B699" s="65"/>
      <c r="C699" s="65"/>
      <c r="D699" s="65"/>
      <c r="E699" s="65"/>
      <c r="F699" s="65"/>
      <c r="G699" s="65"/>
      <c r="H699" s="65"/>
      <c r="I699" s="65"/>
      <c r="J699" s="108"/>
      <c r="K699" s="103"/>
      <c r="L699" s="65"/>
      <c r="M699" s="65"/>
      <c r="N699" s="65"/>
    </row>
    <row r="700">
      <c r="A700" s="61"/>
      <c r="B700" s="61"/>
      <c r="C700" s="61"/>
      <c r="D700" s="61"/>
      <c r="E700" s="61"/>
      <c r="F700" s="61"/>
      <c r="G700" s="61"/>
      <c r="H700" s="61"/>
      <c r="I700" s="61"/>
      <c r="J700" s="107"/>
      <c r="K700" s="100"/>
      <c r="L700" s="61"/>
      <c r="M700" s="61"/>
      <c r="N700" s="61"/>
    </row>
    <row r="701">
      <c r="A701" s="65"/>
      <c r="B701" s="65"/>
      <c r="C701" s="65"/>
      <c r="D701" s="65"/>
      <c r="E701" s="65"/>
      <c r="F701" s="65"/>
      <c r="G701" s="65"/>
      <c r="H701" s="65"/>
      <c r="I701" s="65"/>
      <c r="J701" s="108"/>
      <c r="K701" s="103"/>
      <c r="L701" s="65"/>
      <c r="M701" s="65"/>
      <c r="N701" s="65"/>
    </row>
    <row r="702">
      <c r="A702" s="61"/>
      <c r="B702" s="61"/>
      <c r="C702" s="61"/>
      <c r="D702" s="61"/>
      <c r="E702" s="61"/>
      <c r="F702" s="61"/>
      <c r="G702" s="61"/>
      <c r="H702" s="61"/>
      <c r="I702" s="61"/>
      <c r="J702" s="107"/>
      <c r="K702" s="100"/>
      <c r="L702" s="61"/>
      <c r="M702" s="61"/>
      <c r="N702" s="61"/>
    </row>
    <row r="703">
      <c r="A703" s="65"/>
      <c r="B703" s="65"/>
      <c r="C703" s="65"/>
      <c r="D703" s="65"/>
      <c r="E703" s="65"/>
      <c r="F703" s="65"/>
      <c r="G703" s="65"/>
      <c r="H703" s="65"/>
      <c r="I703" s="65"/>
      <c r="J703" s="108"/>
      <c r="K703" s="103"/>
      <c r="L703" s="65"/>
      <c r="M703" s="65"/>
      <c r="N703" s="65"/>
    </row>
    <row r="704">
      <c r="A704" s="61"/>
      <c r="B704" s="61"/>
      <c r="C704" s="61"/>
      <c r="D704" s="61"/>
      <c r="E704" s="61"/>
      <c r="F704" s="61"/>
      <c r="G704" s="61"/>
      <c r="H704" s="61"/>
      <c r="I704" s="61"/>
      <c r="J704" s="107"/>
      <c r="K704" s="100"/>
      <c r="L704" s="61"/>
      <c r="M704" s="61"/>
      <c r="N704" s="61"/>
    </row>
    <row r="705">
      <c r="A705" s="65"/>
      <c r="B705" s="65"/>
      <c r="C705" s="65"/>
      <c r="D705" s="65"/>
      <c r="E705" s="65"/>
      <c r="F705" s="65"/>
      <c r="G705" s="65"/>
      <c r="H705" s="65"/>
      <c r="I705" s="65"/>
      <c r="J705" s="108"/>
      <c r="K705" s="103"/>
      <c r="L705" s="65"/>
      <c r="M705" s="65"/>
      <c r="N705" s="65"/>
    </row>
    <row r="706">
      <c r="A706" s="61"/>
      <c r="B706" s="61"/>
      <c r="C706" s="61"/>
      <c r="D706" s="61"/>
      <c r="E706" s="61"/>
      <c r="F706" s="61"/>
      <c r="G706" s="61"/>
      <c r="H706" s="61"/>
      <c r="I706" s="61"/>
      <c r="J706" s="107"/>
      <c r="K706" s="100"/>
      <c r="L706" s="61"/>
      <c r="M706" s="61"/>
      <c r="N706" s="61"/>
    </row>
    <row r="707">
      <c r="A707" s="65"/>
      <c r="B707" s="65"/>
      <c r="C707" s="65"/>
      <c r="D707" s="65"/>
      <c r="E707" s="65"/>
      <c r="F707" s="65"/>
      <c r="G707" s="65"/>
      <c r="H707" s="65"/>
      <c r="I707" s="65"/>
      <c r="J707" s="108"/>
      <c r="K707" s="103"/>
      <c r="L707" s="65"/>
      <c r="M707" s="65"/>
      <c r="N707" s="65"/>
    </row>
    <row r="708">
      <c r="A708" s="61"/>
      <c r="B708" s="61"/>
      <c r="C708" s="61"/>
      <c r="D708" s="61"/>
      <c r="E708" s="61"/>
      <c r="F708" s="61"/>
      <c r="G708" s="61"/>
      <c r="H708" s="61"/>
      <c r="I708" s="61"/>
      <c r="J708" s="107"/>
      <c r="K708" s="100"/>
      <c r="L708" s="61"/>
      <c r="M708" s="61"/>
      <c r="N708" s="61"/>
    </row>
    <row r="709">
      <c r="A709" s="65"/>
      <c r="B709" s="65"/>
      <c r="C709" s="65"/>
      <c r="D709" s="65"/>
      <c r="E709" s="65"/>
      <c r="F709" s="65"/>
      <c r="G709" s="65"/>
      <c r="H709" s="65"/>
      <c r="I709" s="65"/>
      <c r="J709" s="108"/>
      <c r="K709" s="103"/>
      <c r="L709" s="65"/>
      <c r="M709" s="65"/>
      <c r="N709" s="65"/>
    </row>
    <row r="710">
      <c r="A710" s="61"/>
      <c r="B710" s="61"/>
      <c r="C710" s="61"/>
      <c r="D710" s="61"/>
      <c r="E710" s="61"/>
      <c r="F710" s="61"/>
      <c r="G710" s="61"/>
      <c r="H710" s="61"/>
      <c r="I710" s="61"/>
      <c r="J710" s="107"/>
      <c r="K710" s="100"/>
      <c r="L710" s="61"/>
      <c r="M710" s="61"/>
      <c r="N710" s="61"/>
    </row>
    <row r="711">
      <c r="A711" s="65"/>
      <c r="B711" s="65"/>
      <c r="C711" s="65"/>
      <c r="D711" s="65"/>
      <c r="E711" s="65"/>
      <c r="F711" s="65"/>
      <c r="G711" s="65"/>
      <c r="H711" s="65"/>
      <c r="I711" s="65"/>
      <c r="J711" s="108"/>
      <c r="K711" s="103"/>
      <c r="L711" s="65"/>
      <c r="M711" s="65"/>
      <c r="N711" s="65"/>
    </row>
    <row r="712">
      <c r="A712" s="61"/>
      <c r="B712" s="61"/>
      <c r="C712" s="61"/>
      <c r="D712" s="61"/>
      <c r="E712" s="61"/>
      <c r="F712" s="61"/>
      <c r="G712" s="61"/>
      <c r="H712" s="61"/>
      <c r="I712" s="61"/>
      <c r="J712" s="107"/>
      <c r="K712" s="100"/>
      <c r="L712" s="61"/>
      <c r="M712" s="61"/>
      <c r="N712" s="61"/>
    </row>
    <row r="713">
      <c r="A713" s="65"/>
      <c r="B713" s="65"/>
      <c r="C713" s="65"/>
      <c r="D713" s="65"/>
      <c r="E713" s="65"/>
      <c r="F713" s="65"/>
      <c r="G713" s="65"/>
      <c r="H713" s="65"/>
      <c r="I713" s="65"/>
      <c r="J713" s="108"/>
      <c r="K713" s="103"/>
      <c r="L713" s="65"/>
      <c r="M713" s="65"/>
      <c r="N713" s="65"/>
    </row>
    <row r="714">
      <c r="A714" s="61"/>
      <c r="B714" s="61"/>
      <c r="C714" s="61"/>
      <c r="D714" s="61"/>
      <c r="E714" s="61"/>
      <c r="F714" s="61"/>
      <c r="G714" s="61"/>
      <c r="H714" s="61"/>
      <c r="I714" s="61"/>
      <c r="J714" s="107"/>
      <c r="K714" s="100"/>
      <c r="L714" s="61"/>
      <c r="M714" s="61"/>
      <c r="N714" s="61"/>
    </row>
    <row r="715">
      <c r="A715" s="65"/>
      <c r="B715" s="65"/>
      <c r="C715" s="65"/>
      <c r="D715" s="65"/>
      <c r="E715" s="65"/>
      <c r="F715" s="65"/>
      <c r="G715" s="65"/>
      <c r="H715" s="65"/>
      <c r="I715" s="65"/>
      <c r="J715" s="108"/>
      <c r="K715" s="103"/>
      <c r="L715" s="65"/>
      <c r="M715" s="65"/>
      <c r="N715" s="65"/>
    </row>
    <row r="716">
      <c r="A716" s="61"/>
      <c r="B716" s="61"/>
      <c r="C716" s="61"/>
      <c r="D716" s="61"/>
      <c r="E716" s="61"/>
      <c r="F716" s="61"/>
      <c r="G716" s="61"/>
      <c r="H716" s="61"/>
      <c r="I716" s="61"/>
      <c r="J716" s="107"/>
      <c r="K716" s="100"/>
      <c r="L716" s="61"/>
      <c r="M716" s="61"/>
      <c r="N716" s="61"/>
    </row>
    <row r="717">
      <c r="A717" s="65"/>
      <c r="B717" s="65"/>
      <c r="C717" s="65"/>
      <c r="D717" s="65"/>
      <c r="E717" s="65"/>
      <c r="F717" s="65"/>
      <c r="G717" s="65"/>
      <c r="H717" s="65"/>
      <c r="I717" s="65"/>
      <c r="J717" s="108"/>
      <c r="K717" s="103"/>
      <c r="L717" s="65"/>
      <c r="M717" s="65"/>
      <c r="N717" s="65"/>
    </row>
    <row r="718">
      <c r="A718" s="61"/>
      <c r="B718" s="61"/>
      <c r="C718" s="61"/>
      <c r="D718" s="61"/>
      <c r="E718" s="61"/>
      <c r="F718" s="61"/>
      <c r="G718" s="61"/>
      <c r="H718" s="61"/>
      <c r="I718" s="61"/>
      <c r="J718" s="107"/>
      <c r="K718" s="100"/>
      <c r="L718" s="61"/>
      <c r="M718" s="61"/>
      <c r="N718" s="61"/>
    </row>
    <row r="719">
      <c r="A719" s="65"/>
      <c r="B719" s="65"/>
      <c r="C719" s="65"/>
      <c r="D719" s="65"/>
      <c r="E719" s="65"/>
      <c r="F719" s="65"/>
      <c r="G719" s="65"/>
      <c r="H719" s="65"/>
      <c r="I719" s="65"/>
      <c r="J719" s="108"/>
      <c r="K719" s="103"/>
      <c r="L719" s="65"/>
      <c r="M719" s="65"/>
      <c r="N719" s="65"/>
    </row>
    <row r="720">
      <c r="A720" s="61"/>
      <c r="B720" s="61"/>
      <c r="C720" s="61"/>
      <c r="D720" s="61"/>
      <c r="E720" s="61"/>
      <c r="F720" s="61"/>
      <c r="G720" s="61"/>
      <c r="H720" s="61"/>
      <c r="I720" s="61"/>
      <c r="J720" s="107"/>
      <c r="K720" s="100"/>
      <c r="L720" s="61"/>
      <c r="M720" s="61"/>
      <c r="N720" s="61"/>
    </row>
    <row r="721">
      <c r="A721" s="65"/>
      <c r="B721" s="65"/>
      <c r="C721" s="65"/>
      <c r="D721" s="65"/>
      <c r="E721" s="65"/>
      <c r="F721" s="65"/>
      <c r="G721" s="65"/>
      <c r="H721" s="65"/>
      <c r="I721" s="65"/>
      <c r="J721" s="108"/>
      <c r="K721" s="103"/>
      <c r="L721" s="65"/>
      <c r="M721" s="65"/>
      <c r="N721" s="65"/>
    </row>
    <row r="722">
      <c r="A722" s="61"/>
      <c r="B722" s="61"/>
      <c r="C722" s="61"/>
      <c r="D722" s="61"/>
      <c r="E722" s="61"/>
      <c r="F722" s="61"/>
      <c r="G722" s="61"/>
      <c r="H722" s="61"/>
      <c r="I722" s="61"/>
      <c r="J722" s="107"/>
      <c r="K722" s="100"/>
      <c r="L722" s="61"/>
      <c r="M722" s="61"/>
      <c r="N722" s="61"/>
    </row>
    <row r="723">
      <c r="A723" s="65"/>
      <c r="B723" s="65"/>
      <c r="C723" s="65"/>
      <c r="D723" s="65"/>
      <c r="E723" s="65"/>
      <c r="F723" s="65"/>
      <c r="G723" s="65"/>
      <c r="H723" s="65"/>
      <c r="I723" s="65"/>
      <c r="J723" s="108"/>
      <c r="K723" s="103"/>
      <c r="L723" s="65"/>
      <c r="M723" s="65"/>
      <c r="N723" s="65"/>
    </row>
    <row r="724">
      <c r="A724" s="61"/>
      <c r="B724" s="61"/>
      <c r="C724" s="61"/>
      <c r="D724" s="61"/>
      <c r="E724" s="61"/>
      <c r="F724" s="61"/>
      <c r="G724" s="61"/>
      <c r="H724" s="61"/>
      <c r="I724" s="61"/>
      <c r="J724" s="107"/>
      <c r="K724" s="100"/>
      <c r="L724" s="61"/>
      <c r="M724" s="61"/>
      <c r="N724" s="61"/>
    </row>
    <row r="725">
      <c r="A725" s="65"/>
      <c r="B725" s="65"/>
      <c r="C725" s="65"/>
      <c r="D725" s="65"/>
      <c r="E725" s="65"/>
      <c r="F725" s="65"/>
      <c r="G725" s="65"/>
      <c r="H725" s="65"/>
      <c r="I725" s="65"/>
      <c r="J725" s="108"/>
      <c r="K725" s="103"/>
      <c r="L725" s="65"/>
      <c r="M725" s="65"/>
      <c r="N725" s="65"/>
    </row>
    <row r="726">
      <c r="A726" s="61"/>
      <c r="B726" s="61"/>
      <c r="C726" s="61"/>
      <c r="D726" s="61"/>
      <c r="E726" s="61"/>
      <c r="F726" s="61"/>
      <c r="G726" s="61"/>
      <c r="H726" s="61"/>
      <c r="I726" s="61"/>
      <c r="J726" s="107"/>
      <c r="K726" s="100"/>
      <c r="L726" s="61"/>
      <c r="M726" s="61"/>
      <c r="N726" s="61"/>
    </row>
    <row r="727">
      <c r="A727" s="65"/>
      <c r="B727" s="65"/>
      <c r="C727" s="65"/>
      <c r="D727" s="65"/>
      <c r="E727" s="65"/>
      <c r="F727" s="65"/>
      <c r="G727" s="65"/>
      <c r="H727" s="65"/>
      <c r="I727" s="65"/>
      <c r="J727" s="108"/>
      <c r="K727" s="103"/>
      <c r="L727" s="65"/>
      <c r="M727" s="65"/>
      <c r="N727" s="65"/>
    </row>
    <row r="728">
      <c r="A728" s="61"/>
      <c r="B728" s="61"/>
      <c r="C728" s="61"/>
      <c r="D728" s="61"/>
      <c r="E728" s="61"/>
      <c r="F728" s="61"/>
      <c r="G728" s="61"/>
      <c r="H728" s="61"/>
      <c r="I728" s="61"/>
      <c r="J728" s="107"/>
      <c r="K728" s="100"/>
      <c r="L728" s="61"/>
      <c r="M728" s="61"/>
      <c r="N728" s="61"/>
    </row>
    <row r="729">
      <c r="A729" s="65"/>
      <c r="B729" s="65"/>
      <c r="C729" s="65"/>
      <c r="D729" s="65"/>
      <c r="E729" s="65"/>
      <c r="F729" s="65"/>
      <c r="G729" s="65"/>
      <c r="H729" s="65"/>
      <c r="I729" s="65"/>
      <c r="J729" s="108"/>
      <c r="K729" s="103"/>
      <c r="L729" s="65"/>
      <c r="M729" s="65"/>
      <c r="N729" s="65"/>
    </row>
    <row r="730">
      <c r="A730" s="61"/>
      <c r="B730" s="61"/>
      <c r="C730" s="61"/>
      <c r="D730" s="61"/>
      <c r="E730" s="61"/>
      <c r="F730" s="61"/>
      <c r="G730" s="61"/>
      <c r="H730" s="61"/>
      <c r="I730" s="61"/>
      <c r="J730" s="107"/>
      <c r="K730" s="100"/>
      <c r="L730" s="61"/>
      <c r="M730" s="61"/>
      <c r="N730" s="61"/>
    </row>
    <row r="731">
      <c r="A731" s="65"/>
      <c r="B731" s="65"/>
      <c r="C731" s="65"/>
      <c r="D731" s="65"/>
      <c r="E731" s="65"/>
      <c r="F731" s="65"/>
      <c r="G731" s="65"/>
      <c r="H731" s="65"/>
      <c r="I731" s="65"/>
      <c r="J731" s="108"/>
      <c r="K731" s="103"/>
      <c r="L731" s="65"/>
      <c r="M731" s="65"/>
      <c r="N731" s="65"/>
    </row>
    <row r="732">
      <c r="A732" s="61"/>
      <c r="B732" s="61"/>
      <c r="C732" s="61"/>
      <c r="D732" s="61"/>
      <c r="E732" s="61"/>
      <c r="F732" s="61"/>
      <c r="G732" s="61"/>
      <c r="H732" s="61"/>
      <c r="I732" s="61"/>
      <c r="J732" s="107"/>
      <c r="K732" s="100"/>
      <c r="L732" s="61"/>
      <c r="M732" s="61"/>
      <c r="N732" s="61"/>
    </row>
    <row r="733">
      <c r="A733" s="65"/>
      <c r="B733" s="65"/>
      <c r="C733" s="65"/>
      <c r="D733" s="65"/>
      <c r="E733" s="65"/>
      <c r="F733" s="65"/>
      <c r="G733" s="65"/>
      <c r="H733" s="65"/>
      <c r="I733" s="65"/>
      <c r="J733" s="108"/>
      <c r="K733" s="103"/>
      <c r="L733" s="65"/>
      <c r="M733" s="65"/>
      <c r="N733" s="65"/>
    </row>
    <row r="734">
      <c r="A734" s="61"/>
      <c r="B734" s="61"/>
      <c r="C734" s="61"/>
      <c r="D734" s="61"/>
      <c r="E734" s="61"/>
      <c r="F734" s="61"/>
      <c r="G734" s="61"/>
      <c r="H734" s="61"/>
      <c r="I734" s="61"/>
      <c r="J734" s="107"/>
      <c r="K734" s="100"/>
      <c r="L734" s="61"/>
      <c r="M734" s="61"/>
      <c r="N734" s="61"/>
    </row>
    <row r="735">
      <c r="A735" s="65"/>
      <c r="B735" s="65"/>
      <c r="C735" s="65"/>
      <c r="D735" s="65"/>
      <c r="E735" s="65"/>
      <c r="F735" s="65"/>
      <c r="G735" s="65"/>
      <c r="H735" s="65"/>
      <c r="I735" s="65"/>
      <c r="J735" s="108"/>
      <c r="K735" s="103"/>
      <c r="L735" s="65"/>
      <c r="M735" s="65"/>
      <c r="N735" s="65"/>
    </row>
    <row r="736">
      <c r="A736" s="61"/>
      <c r="B736" s="61"/>
      <c r="C736" s="61"/>
      <c r="D736" s="61"/>
      <c r="E736" s="61"/>
      <c r="F736" s="61"/>
      <c r="G736" s="61"/>
      <c r="H736" s="61"/>
      <c r="I736" s="61"/>
      <c r="J736" s="107"/>
      <c r="K736" s="100"/>
      <c r="L736" s="61"/>
      <c r="M736" s="61"/>
      <c r="N736" s="61"/>
    </row>
    <row r="737">
      <c r="A737" s="65"/>
      <c r="B737" s="65"/>
      <c r="C737" s="65"/>
      <c r="D737" s="65"/>
      <c r="E737" s="65"/>
      <c r="F737" s="65"/>
      <c r="G737" s="65"/>
      <c r="H737" s="65"/>
      <c r="I737" s="65"/>
      <c r="J737" s="108"/>
      <c r="K737" s="103"/>
      <c r="L737" s="65"/>
      <c r="M737" s="65"/>
      <c r="N737" s="65"/>
    </row>
    <row r="738">
      <c r="A738" s="61"/>
      <c r="B738" s="61"/>
      <c r="C738" s="61"/>
      <c r="D738" s="61"/>
      <c r="E738" s="61"/>
      <c r="F738" s="61"/>
      <c r="G738" s="61"/>
      <c r="H738" s="61"/>
      <c r="I738" s="61"/>
      <c r="J738" s="107"/>
      <c r="K738" s="100"/>
      <c r="L738" s="61"/>
      <c r="M738" s="61"/>
      <c r="N738" s="61"/>
    </row>
    <row r="739">
      <c r="A739" s="65"/>
      <c r="B739" s="65"/>
      <c r="C739" s="65"/>
      <c r="D739" s="65"/>
      <c r="E739" s="65"/>
      <c r="F739" s="65"/>
      <c r="G739" s="65"/>
      <c r="H739" s="65"/>
      <c r="I739" s="65"/>
      <c r="J739" s="108"/>
      <c r="K739" s="103"/>
      <c r="L739" s="65"/>
      <c r="M739" s="65"/>
      <c r="N739" s="65"/>
    </row>
    <row r="740">
      <c r="A740" s="61"/>
      <c r="B740" s="61"/>
      <c r="C740" s="61"/>
      <c r="D740" s="61"/>
      <c r="E740" s="61"/>
      <c r="F740" s="61"/>
      <c r="G740" s="61"/>
      <c r="H740" s="61"/>
      <c r="I740" s="61"/>
      <c r="J740" s="107"/>
      <c r="K740" s="100"/>
      <c r="L740" s="61"/>
      <c r="M740" s="61"/>
      <c r="N740" s="61"/>
    </row>
    <row r="741">
      <c r="A741" s="65"/>
      <c r="B741" s="65"/>
      <c r="C741" s="65"/>
      <c r="D741" s="65"/>
      <c r="E741" s="65"/>
      <c r="F741" s="65"/>
      <c r="G741" s="65"/>
      <c r="H741" s="65"/>
      <c r="I741" s="65"/>
      <c r="J741" s="108"/>
      <c r="K741" s="103"/>
      <c r="L741" s="65"/>
      <c r="M741" s="65"/>
      <c r="N741" s="65"/>
    </row>
    <row r="742">
      <c r="A742" s="61"/>
      <c r="B742" s="61"/>
      <c r="C742" s="61"/>
      <c r="D742" s="61"/>
      <c r="E742" s="61"/>
      <c r="F742" s="61"/>
      <c r="G742" s="61"/>
      <c r="H742" s="61"/>
      <c r="I742" s="61"/>
      <c r="J742" s="107"/>
      <c r="K742" s="100"/>
      <c r="L742" s="61"/>
      <c r="M742" s="61"/>
      <c r="N742" s="61"/>
    </row>
    <row r="743">
      <c r="A743" s="65"/>
      <c r="B743" s="65"/>
      <c r="C743" s="65"/>
      <c r="D743" s="65"/>
      <c r="E743" s="65"/>
      <c r="F743" s="65"/>
      <c r="G743" s="65"/>
      <c r="H743" s="65"/>
      <c r="I743" s="65"/>
      <c r="J743" s="108"/>
      <c r="K743" s="103"/>
      <c r="L743" s="65"/>
      <c r="M743" s="65"/>
      <c r="N743" s="65"/>
    </row>
    <row r="744">
      <c r="A744" s="61"/>
      <c r="B744" s="61"/>
      <c r="C744" s="61"/>
      <c r="D744" s="61"/>
      <c r="E744" s="61"/>
      <c r="F744" s="61"/>
      <c r="G744" s="61"/>
      <c r="H744" s="61"/>
      <c r="I744" s="61"/>
      <c r="J744" s="107"/>
      <c r="K744" s="100"/>
      <c r="L744" s="61"/>
      <c r="M744" s="61"/>
      <c r="N744" s="61"/>
    </row>
    <row r="745">
      <c r="A745" s="65"/>
      <c r="B745" s="65"/>
      <c r="C745" s="65"/>
      <c r="D745" s="65"/>
      <c r="E745" s="65"/>
      <c r="F745" s="65"/>
      <c r="G745" s="65"/>
      <c r="H745" s="65"/>
      <c r="I745" s="65"/>
      <c r="J745" s="108"/>
      <c r="K745" s="103"/>
      <c r="L745" s="65"/>
      <c r="M745" s="65"/>
      <c r="N745" s="65"/>
    </row>
    <row r="746">
      <c r="A746" s="61"/>
      <c r="B746" s="61"/>
      <c r="C746" s="61"/>
      <c r="D746" s="61"/>
      <c r="E746" s="61"/>
      <c r="F746" s="61"/>
      <c r="G746" s="61"/>
      <c r="H746" s="61"/>
      <c r="I746" s="61"/>
      <c r="J746" s="107"/>
      <c r="K746" s="100"/>
      <c r="L746" s="61"/>
      <c r="M746" s="61"/>
      <c r="N746" s="61"/>
    </row>
    <row r="747">
      <c r="A747" s="65"/>
      <c r="B747" s="65"/>
      <c r="C747" s="65"/>
      <c r="D747" s="65"/>
      <c r="E747" s="65"/>
      <c r="F747" s="65"/>
      <c r="G747" s="65"/>
      <c r="H747" s="65"/>
      <c r="I747" s="65"/>
      <c r="J747" s="108"/>
      <c r="K747" s="103"/>
      <c r="L747" s="65"/>
      <c r="M747" s="65"/>
      <c r="N747" s="65"/>
    </row>
    <row r="748">
      <c r="A748" s="61"/>
      <c r="B748" s="61"/>
      <c r="C748" s="61"/>
      <c r="D748" s="61"/>
      <c r="E748" s="61"/>
      <c r="F748" s="61"/>
      <c r="G748" s="61"/>
      <c r="H748" s="61"/>
      <c r="I748" s="61"/>
      <c r="J748" s="107"/>
      <c r="K748" s="100"/>
      <c r="L748" s="61"/>
      <c r="M748" s="61"/>
      <c r="N748" s="61"/>
    </row>
    <row r="749">
      <c r="A749" s="65"/>
      <c r="B749" s="65"/>
      <c r="C749" s="65"/>
      <c r="D749" s="65"/>
      <c r="E749" s="65"/>
      <c r="F749" s="65"/>
      <c r="G749" s="65"/>
      <c r="H749" s="65"/>
      <c r="I749" s="65"/>
      <c r="J749" s="108"/>
      <c r="K749" s="103"/>
      <c r="L749" s="65"/>
      <c r="M749" s="65"/>
      <c r="N749" s="65"/>
    </row>
    <row r="750">
      <c r="A750" s="61"/>
      <c r="B750" s="61"/>
      <c r="C750" s="61"/>
      <c r="D750" s="61"/>
      <c r="E750" s="61"/>
      <c r="F750" s="61"/>
      <c r="G750" s="61"/>
      <c r="H750" s="61"/>
      <c r="I750" s="61"/>
      <c r="J750" s="107"/>
      <c r="K750" s="100"/>
      <c r="L750" s="61"/>
      <c r="M750" s="61"/>
      <c r="N750" s="61"/>
    </row>
    <row r="751">
      <c r="A751" s="65"/>
      <c r="B751" s="65"/>
      <c r="C751" s="65"/>
      <c r="D751" s="65"/>
      <c r="E751" s="65"/>
      <c r="F751" s="65"/>
      <c r="G751" s="65"/>
      <c r="H751" s="65"/>
      <c r="I751" s="65"/>
      <c r="J751" s="108"/>
      <c r="K751" s="103"/>
      <c r="L751" s="65"/>
      <c r="M751" s="65"/>
      <c r="N751" s="65"/>
    </row>
    <row r="752">
      <c r="A752" s="61"/>
      <c r="B752" s="61"/>
      <c r="C752" s="61"/>
      <c r="D752" s="61"/>
      <c r="E752" s="61"/>
      <c r="F752" s="61"/>
      <c r="G752" s="61"/>
      <c r="H752" s="61"/>
      <c r="I752" s="61"/>
      <c r="J752" s="107"/>
      <c r="K752" s="100"/>
      <c r="L752" s="61"/>
      <c r="M752" s="61"/>
      <c r="N752" s="61"/>
    </row>
    <row r="753">
      <c r="A753" s="65"/>
      <c r="B753" s="65"/>
      <c r="C753" s="65"/>
      <c r="D753" s="65"/>
      <c r="E753" s="65"/>
      <c r="F753" s="65"/>
      <c r="G753" s="65"/>
      <c r="H753" s="65"/>
      <c r="I753" s="65"/>
      <c r="J753" s="108"/>
      <c r="K753" s="103"/>
      <c r="L753" s="65"/>
      <c r="M753" s="65"/>
      <c r="N753" s="65"/>
    </row>
    <row r="754">
      <c r="A754" s="61"/>
      <c r="B754" s="61"/>
      <c r="C754" s="61"/>
      <c r="D754" s="61"/>
      <c r="E754" s="61"/>
      <c r="F754" s="61"/>
      <c r="G754" s="61"/>
      <c r="H754" s="61"/>
      <c r="I754" s="61"/>
      <c r="J754" s="107"/>
      <c r="K754" s="100"/>
      <c r="L754" s="61"/>
      <c r="M754" s="61"/>
      <c r="N754" s="61"/>
    </row>
    <row r="755">
      <c r="A755" s="65"/>
      <c r="B755" s="65"/>
      <c r="C755" s="65"/>
      <c r="D755" s="65"/>
      <c r="E755" s="65"/>
      <c r="F755" s="65"/>
      <c r="G755" s="65"/>
      <c r="H755" s="65"/>
      <c r="I755" s="65"/>
      <c r="J755" s="108"/>
      <c r="K755" s="103"/>
      <c r="L755" s="65"/>
      <c r="M755" s="65"/>
      <c r="N755" s="65"/>
    </row>
    <row r="756">
      <c r="A756" s="61"/>
      <c r="B756" s="61"/>
      <c r="C756" s="61"/>
      <c r="D756" s="61"/>
      <c r="E756" s="61"/>
      <c r="F756" s="61"/>
      <c r="G756" s="61"/>
      <c r="H756" s="61"/>
      <c r="I756" s="61"/>
      <c r="J756" s="107"/>
      <c r="K756" s="100"/>
      <c r="L756" s="61"/>
      <c r="M756" s="61"/>
      <c r="N756" s="61"/>
    </row>
    <row r="757">
      <c r="A757" s="65"/>
      <c r="B757" s="65"/>
      <c r="C757" s="65"/>
      <c r="D757" s="65"/>
      <c r="E757" s="65"/>
      <c r="F757" s="65"/>
      <c r="G757" s="65"/>
      <c r="H757" s="65"/>
      <c r="I757" s="65"/>
      <c r="J757" s="108"/>
      <c r="K757" s="103"/>
      <c r="L757" s="65"/>
      <c r="M757" s="65"/>
      <c r="N757" s="65"/>
    </row>
    <row r="758">
      <c r="A758" s="61"/>
      <c r="B758" s="61"/>
      <c r="C758" s="61"/>
      <c r="D758" s="61"/>
      <c r="E758" s="61"/>
      <c r="F758" s="61"/>
      <c r="G758" s="61"/>
      <c r="H758" s="61"/>
      <c r="I758" s="61"/>
      <c r="J758" s="107"/>
      <c r="K758" s="100"/>
      <c r="L758" s="61"/>
      <c r="M758" s="61"/>
      <c r="N758" s="61"/>
    </row>
    <row r="759">
      <c r="A759" s="65"/>
      <c r="B759" s="65"/>
      <c r="C759" s="65"/>
      <c r="D759" s="65"/>
      <c r="E759" s="65"/>
      <c r="F759" s="65"/>
      <c r="G759" s="65"/>
      <c r="H759" s="65"/>
      <c r="I759" s="65"/>
      <c r="J759" s="108"/>
      <c r="K759" s="103"/>
      <c r="L759" s="65"/>
      <c r="M759" s="65"/>
      <c r="N759" s="65"/>
    </row>
    <row r="760">
      <c r="A760" s="61"/>
      <c r="B760" s="61"/>
      <c r="C760" s="61"/>
      <c r="D760" s="61"/>
      <c r="E760" s="61"/>
      <c r="F760" s="61"/>
      <c r="G760" s="61"/>
      <c r="H760" s="61"/>
      <c r="I760" s="61"/>
      <c r="J760" s="107"/>
      <c r="K760" s="100"/>
      <c r="L760" s="61"/>
      <c r="M760" s="61"/>
      <c r="N760" s="61"/>
    </row>
    <row r="761">
      <c r="A761" s="65"/>
      <c r="B761" s="65"/>
      <c r="C761" s="65"/>
      <c r="D761" s="65"/>
      <c r="E761" s="65"/>
      <c r="F761" s="65"/>
      <c r="G761" s="65"/>
      <c r="H761" s="65"/>
      <c r="I761" s="65"/>
      <c r="J761" s="108"/>
      <c r="K761" s="103"/>
      <c r="L761" s="65"/>
      <c r="M761" s="65"/>
      <c r="N761" s="65"/>
    </row>
    <row r="762">
      <c r="A762" s="61"/>
      <c r="B762" s="61"/>
      <c r="C762" s="61"/>
      <c r="D762" s="61"/>
      <c r="E762" s="61"/>
      <c r="F762" s="61"/>
      <c r="G762" s="61"/>
      <c r="H762" s="61"/>
      <c r="I762" s="61"/>
      <c r="J762" s="107"/>
      <c r="K762" s="100"/>
      <c r="L762" s="61"/>
      <c r="M762" s="61"/>
      <c r="N762" s="61"/>
    </row>
    <row r="763">
      <c r="A763" s="65"/>
      <c r="B763" s="65"/>
      <c r="C763" s="65"/>
      <c r="D763" s="65"/>
      <c r="E763" s="65"/>
      <c r="F763" s="65"/>
      <c r="G763" s="65"/>
      <c r="H763" s="65"/>
      <c r="I763" s="65"/>
      <c r="J763" s="108"/>
      <c r="K763" s="103"/>
      <c r="L763" s="65"/>
      <c r="M763" s="65"/>
      <c r="N763" s="65"/>
    </row>
    <row r="764">
      <c r="A764" s="61"/>
      <c r="B764" s="61"/>
      <c r="C764" s="61"/>
      <c r="D764" s="61"/>
      <c r="E764" s="61"/>
      <c r="F764" s="61"/>
      <c r="G764" s="61"/>
      <c r="H764" s="61"/>
      <c r="I764" s="61"/>
      <c r="J764" s="107"/>
      <c r="K764" s="100"/>
      <c r="L764" s="61"/>
      <c r="M764" s="61"/>
      <c r="N764" s="61"/>
    </row>
    <row r="765">
      <c r="A765" s="65"/>
      <c r="B765" s="65"/>
      <c r="C765" s="65"/>
      <c r="D765" s="65"/>
      <c r="E765" s="65"/>
      <c r="F765" s="65"/>
      <c r="G765" s="65"/>
      <c r="H765" s="65"/>
      <c r="I765" s="65"/>
      <c r="J765" s="108"/>
      <c r="K765" s="103"/>
      <c r="L765" s="65"/>
      <c r="M765" s="65"/>
      <c r="N765" s="65"/>
    </row>
    <row r="766">
      <c r="A766" s="61"/>
      <c r="B766" s="61"/>
      <c r="C766" s="61"/>
      <c r="D766" s="61"/>
      <c r="E766" s="61"/>
      <c r="F766" s="61"/>
      <c r="G766" s="61"/>
      <c r="H766" s="61"/>
      <c r="I766" s="61"/>
      <c r="J766" s="107"/>
      <c r="K766" s="100"/>
      <c r="L766" s="61"/>
      <c r="M766" s="61"/>
      <c r="N766" s="61"/>
    </row>
    <row r="767">
      <c r="A767" s="65"/>
      <c r="B767" s="65"/>
      <c r="C767" s="65"/>
      <c r="D767" s="65"/>
      <c r="E767" s="65"/>
      <c r="F767" s="65"/>
      <c r="G767" s="65"/>
      <c r="H767" s="65"/>
      <c r="I767" s="65"/>
      <c r="J767" s="108"/>
      <c r="K767" s="103"/>
      <c r="L767" s="65"/>
      <c r="M767" s="65"/>
      <c r="N767" s="65"/>
    </row>
    <row r="768">
      <c r="A768" s="61"/>
      <c r="B768" s="61"/>
      <c r="C768" s="61"/>
      <c r="D768" s="61"/>
      <c r="E768" s="61"/>
      <c r="F768" s="61"/>
      <c r="G768" s="61"/>
      <c r="H768" s="61"/>
      <c r="I768" s="61"/>
      <c r="J768" s="107"/>
      <c r="K768" s="100"/>
      <c r="L768" s="61"/>
      <c r="M768" s="61"/>
      <c r="N768" s="61"/>
    </row>
    <row r="769">
      <c r="A769" s="65"/>
      <c r="B769" s="65"/>
      <c r="C769" s="65"/>
      <c r="D769" s="65"/>
      <c r="E769" s="65"/>
      <c r="F769" s="65"/>
      <c r="G769" s="65"/>
      <c r="H769" s="65"/>
      <c r="I769" s="65"/>
      <c r="J769" s="108"/>
      <c r="K769" s="103"/>
      <c r="L769" s="65"/>
      <c r="M769" s="65"/>
      <c r="N769" s="65"/>
    </row>
    <row r="770">
      <c r="A770" s="61"/>
      <c r="B770" s="61"/>
      <c r="C770" s="61"/>
      <c r="D770" s="61"/>
      <c r="E770" s="61"/>
      <c r="F770" s="61"/>
      <c r="G770" s="61"/>
      <c r="H770" s="61"/>
      <c r="I770" s="61"/>
      <c r="J770" s="107"/>
      <c r="K770" s="100"/>
      <c r="L770" s="61"/>
      <c r="M770" s="61"/>
      <c r="N770" s="61"/>
    </row>
    <row r="771">
      <c r="A771" s="65"/>
      <c r="B771" s="65"/>
      <c r="C771" s="65"/>
      <c r="D771" s="65"/>
      <c r="E771" s="65"/>
      <c r="F771" s="65"/>
      <c r="G771" s="65"/>
      <c r="H771" s="65"/>
      <c r="I771" s="65"/>
      <c r="J771" s="108"/>
      <c r="K771" s="103"/>
      <c r="L771" s="65"/>
      <c r="M771" s="65"/>
      <c r="N771" s="65"/>
    </row>
    <row r="772">
      <c r="A772" s="61"/>
      <c r="B772" s="61"/>
      <c r="C772" s="61"/>
      <c r="D772" s="61"/>
      <c r="E772" s="61"/>
      <c r="F772" s="61"/>
      <c r="G772" s="61"/>
      <c r="H772" s="61"/>
      <c r="I772" s="61"/>
      <c r="J772" s="107"/>
      <c r="K772" s="100"/>
      <c r="L772" s="61"/>
      <c r="M772" s="61"/>
      <c r="N772" s="61"/>
    </row>
    <row r="773">
      <c r="A773" s="65"/>
      <c r="B773" s="65"/>
      <c r="C773" s="65"/>
      <c r="D773" s="65"/>
      <c r="E773" s="65"/>
      <c r="F773" s="65"/>
      <c r="G773" s="65"/>
      <c r="H773" s="65"/>
      <c r="I773" s="65"/>
      <c r="J773" s="108"/>
      <c r="K773" s="103"/>
      <c r="L773" s="65"/>
      <c r="M773" s="65"/>
      <c r="N773" s="65"/>
    </row>
    <row r="774">
      <c r="A774" s="61"/>
      <c r="B774" s="61"/>
      <c r="C774" s="61"/>
      <c r="D774" s="61"/>
      <c r="E774" s="61"/>
      <c r="F774" s="61"/>
      <c r="G774" s="61"/>
      <c r="H774" s="61"/>
      <c r="I774" s="61"/>
      <c r="J774" s="107"/>
      <c r="K774" s="100"/>
      <c r="L774" s="61"/>
      <c r="M774" s="61"/>
      <c r="N774" s="61"/>
    </row>
    <row r="775">
      <c r="A775" s="65"/>
      <c r="B775" s="65"/>
      <c r="C775" s="65"/>
      <c r="D775" s="65"/>
      <c r="E775" s="65"/>
      <c r="F775" s="65"/>
      <c r="G775" s="65"/>
      <c r="H775" s="65"/>
      <c r="I775" s="65"/>
      <c r="J775" s="108"/>
      <c r="K775" s="103"/>
      <c r="L775" s="65"/>
      <c r="M775" s="65"/>
      <c r="N775" s="65"/>
    </row>
    <row r="776">
      <c r="A776" s="61"/>
      <c r="B776" s="61"/>
      <c r="C776" s="61"/>
      <c r="D776" s="61"/>
      <c r="E776" s="61"/>
      <c r="F776" s="61"/>
      <c r="G776" s="61"/>
      <c r="H776" s="61"/>
      <c r="I776" s="61"/>
      <c r="J776" s="107"/>
      <c r="K776" s="100"/>
      <c r="L776" s="61"/>
      <c r="M776" s="61"/>
      <c r="N776" s="61"/>
    </row>
    <row r="777">
      <c r="A777" s="65"/>
      <c r="B777" s="65"/>
      <c r="C777" s="65"/>
      <c r="D777" s="65"/>
      <c r="E777" s="65"/>
      <c r="F777" s="65"/>
      <c r="G777" s="65"/>
      <c r="H777" s="65"/>
      <c r="I777" s="65"/>
      <c r="J777" s="108"/>
      <c r="K777" s="103"/>
      <c r="L777" s="65"/>
      <c r="M777" s="65"/>
      <c r="N777" s="65"/>
    </row>
    <row r="778">
      <c r="A778" s="61"/>
      <c r="B778" s="61"/>
      <c r="C778" s="61"/>
      <c r="D778" s="61"/>
      <c r="E778" s="61"/>
      <c r="F778" s="61"/>
      <c r="G778" s="61"/>
      <c r="H778" s="61"/>
      <c r="I778" s="61"/>
      <c r="J778" s="107"/>
      <c r="K778" s="100"/>
      <c r="L778" s="61"/>
      <c r="M778" s="61"/>
      <c r="N778" s="61"/>
    </row>
    <row r="779">
      <c r="A779" s="65"/>
      <c r="B779" s="65"/>
      <c r="C779" s="65"/>
      <c r="D779" s="65"/>
      <c r="E779" s="65"/>
      <c r="F779" s="65"/>
      <c r="G779" s="65"/>
      <c r="H779" s="65"/>
      <c r="I779" s="65"/>
      <c r="J779" s="108"/>
      <c r="K779" s="103"/>
      <c r="L779" s="65"/>
      <c r="M779" s="65"/>
      <c r="N779" s="65"/>
    </row>
    <row r="780">
      <c r="A780" s="61"/>
      <c r="B780" s="61"/>
      <c r="C780" s="61"/>
      <c r="D780" s="61"/>
      <c r="E780" s="61"/>
      <c r="F780" s="61"/>
      <c r="G780" s="61"/>
      <c r="H780" s="61"/>
      <c r="I780" s="61"/>
      <c r="J780" s="107"/>
      <c r="K780" s="100"/>
      <c r="L780" s="61"/>
      <c r="M780" s="61"/>
      <c r="N780" s="61"/>
    </row>
    <row r="781">
      <c r="A781" s="65"/>
      <c r="B781" s="65"/>
      <c r="C781" s="65"/>
      <c r="D781" s="65"/>
      <c r="E781" s="65"/>
      <c r="F781" s="65"/>
      <c r="G781" s="65"/>
      <c r="H781" s="65"/>
      <c r="I781" s="65"/>
      <c r="J781" s="108"/>
      <c r="K781" s="103"/>
      <c r="L781" s="65"/>
      <c r="M781" s="65"/>
      <c r="N781" s="65"/>
    </row>
    <row r="782">
      <c r="A782" s="61"/>
      <c r="B782" s="61"/>
      <c r="C782" s="61"/>
      <c r="D782" s="61"/>
      <c r="E782" s="61"/>
      <c r="F782" s="61"/>
      <c r="G782" s="61"/>
      <c r="H782" s="61"/>
      <c r="I782" s="61"/>
      <c r="J782" s="107"/>
      <c r="K782" s="100"/>
      <c r="L782" s="61"/>
      <c r="M782" s="61"/>
      <c r="N782" s="61"/>
    </row>
    <row r="783">
      <c r="A783" s="65"/>
      <c r="B783" s="65"/>
      <c r="C783" s="65"/>
      <c r="D783" s="65"/>
      <c r="E783" s="65"/>
      <c r="F783" s="65"/>
      <c r="G783" s="65"/>
      <c r="H783" s="65"/>
      <c r="I783" s="65"/>
      <c r="J783" s="108"/>
      <c r="K783" s="103"/>
      <c r="L783" s="65"/>
      <c r="M783" s="65"/>
      <c r="N783" s="65"/>
    </row>
    <row r="784">
      <c r="A784" s="61"/>
      <c r="B784" s="61"/>
      <c r="C784" s="61"/>
      <c r="D784" s="61"/>
      <c r="E784" s="61"/>
      <c r="F784" s="61"/>
      <c r="G784" s="61"/>
      <c r="H784" s="61"/>
      <c r="I784" s="61"/>
      <c r="J784" s="107"/>
      <c r="K784" s="100"/>
      <c r="L784" s="61"/>
      <c r="M784" s="61"/>
      <c r="N784" s="61"/>
    </row>
    <row r="785">
      <c r="A785" s="65"/>
      <c r="B785" s="65"/>
      <c r="C785" s="65"/>
      <c r="D785" s="65"/>
      <c r="E785" s="65"/>
      <c r="F785" s="65"/>
      <c r="G785" s="65"/>
      <c r="H785" s="65"/>
      <c r="I785" s="65"/>
      <c r="J785" s="108"/>
      <c r="K785" s="103"/>
      <c r="L785" s="65"/>
      <c r="M785" s="65"/>
      <c r="N785" s="65"/>
    </row>
    <row r="786">
      <c r="A786" s="61"/>
      <c r="B786" s="61"/>
      <c r="C786" s="61"/>
      <c r="D786" s="61"/>
      <c r="E786" s="61"/>
      <c r="F786" s="61"/>
      <c r="G786" s="61"/>
      <c r="H786" s="61"/>
      <c r="I786" s="61"/>
      <c r="J786" s="107"/>
      <c r="K786" s="100"/>
      <c r="L786" s="61"/>
      <c r="M786" s="61"/>
      <c r="N786" s="61"/>
    </row>
    <row r="787">
      <c r="A787" s="65"/>
      <c r="B787" s="65"/>
      <c r="C787" s="65"/>
      <c r="D787" s="65"/>
      <c r="E787" s="65"/>
      <c r="F787" s="65"/>
      <c r="G787" s="65"/>
      <c r="H787" s="65"/>
      <c r="I787" s="65"/>
      <c r="J787" s="108"/>
      <c r="K787" s="103"/>
      <c r="L787" s="65"/>
      <c r="M787" s="65"/>
      <c r="N787" s="65"/>
    </row>
    <row r="788">
      <c r="A788" s="61"/>
      <c r="B788" s="61"/>
      <c r="C788" s="61"/>
      <c r="D788" s="61"/>
      <c r="E788" s="61"/>
      <c r="F788" s="61"/>
      <c r="G788" s="61"/>
      <c r="H788" s="61"/>
      <c r="I788" s="61"/>
      <c r="J788" s="107"/>
      <c r="K788" s="100"/>
      <c r="L788" s="61"/>
      <c r="M788" s="61"/>
      <c r="N788" s="61"/>
    </row>
    <row r="789">
      <c r="A789" s="65"/>
      <c r="B789" s="65"/>
      <c r="C789" s="65"/>
      <c r="D789" s="65"/>
      <c r="E789" s="65"/>
      <c r="F789" s="65"/>
      <c r="G789" s="65"/>
      <c r="H789" s="65"/>
      <c r="I789" s="65"/>
      <c r="J789" s="108"/>
      <c r="K789" s="103"/>
      <c r="L789" s="65"/>
      <c r="M789" s="65"/>
      <c r="N789" s="65"/>
    </row>
    <row r="790">
      <c r="A790" s="61"/>
      <c r="B790" s="61"/>
      <c r="C790" s="61"/>
      <c r="D790" s="61"/>
      <c r="E790" s="61"/>
      <c r="F790" s="61"/>
      <c r="G790" s="61"/>
      <c r="H790" s="61"/>
      <c r="I790" s="61"/>
      <c r="J790" s="107"/>
      <c r="K790" s="100"/>
      <c r="L790" s="61"/>
      <c r="M790" s="61"/>
      <c r="N790" s="61"/>
    </row>
    <row r="791">
      <c r="A791" s="65"/>
      <c r="B791" s="65"/>
      <c r="C791" s="65"/>
      <c r="D791" s="65"/>
      <c r="E791" s="65"/>
      <c r="F791" s="65"/>
      <c r="G791" s="65"/>
      <c r="H791" s="65"/>
      <c r="I791" s="65"/>
      <c r="J791" s="108"/>
      <c r="K791" s="103"/>
      <c r="L791" s="65"/>
      <c r="M791" s="65"/>
      <c r="N791" s="65"/>
    </row>
    <row r="792">
      <c r="A792" s="61"/>
      <c r="B792" s="61"/>
      <c r="C792" s="61"/>
      <c r="D792" s="61"/>
      <c r="E792" s="61"/>
      <c r="F792" s="61"/>
      <c r="G792" s="61"/>
      <c r="H792" s="61"/>
      <c r="I792" s="61"/>
      <c r="J792" s="107"/>
      <c r="K792" s="100"/>
      <c r="L792" s="61"/>
      <c r="M792" s="61"/>
      <c r="N792" s="61"/>
    </row>
    <row r="793">
      <c r="A793" s="65"/>
      <c r="B793" s="65"/>
      <c r="C793" s="65"/>
      <c r="D793" s="65"/>
      <c r="E793" s="65"/>
      <c r="F793" s="65"/>
      <c r="G793" s="65"/>
      <c r="H793" s="65"/>
      <c r="I793" s="65"/>
      <c r="J793" s="108"/>
      <c r="K793" s="103"/>
      <c r="L793" s="65"/>
      <c r="M793" s="65"/>
      <c r="N793" s="65"/>
    </row>
    <row r="794">
      <c r="A794" s="61"/>
      <c r="B794" s="61"/>
      <c r="C794" s="61"/>
      <c r="D794" s="61"/>
      <c r="E794" s="61"/>
      <c r="F794" s="61"/>
      <c r="G794" s="61"/>
      <c r="H794" s="61"/>
      <c r="I794" s="61"/>
      <c r="J794" s="107"/>
      <c r="K794" s="100"/>
      <c r="L794" s="61"/>
      <c r="M794" s="61"/>
      <c r="N794" s="61"/>
    </row>
    <row r="795">
      <c r="A795" s="65"/>
      <c r="B795" s="65"/>
      <c r="C795" s="65"/>
      <c r="D795" s="65"/>
      <c r="E795" s="65"/>
      <c r="F795" s="65"/>
      <c r="G795" s="65"/>
      <c r="H795" s="65"/>
      <c r="I795" s="65"/>
      <c r="J795" s="108"/>
      <c r="K795" s="103"/>
      <c r="L795" s="65"/>
      <c r="M795" s="65"/>
      <c r="N795" s="65"/>
    </row>
    <row r="796">
      <c r="A796" s="61"/>
      <c r="B796" s="61"/>
      <c r="C796" s="61"/>
      <c r="D796" s="61"/>
      <c r="E796" s="61"/>
      <c r="F796" s="61"/>
      <c r="G796" s="61"/>
      <c r="H796" s="61"/>
      <c r="I796" s="61"/>
      <c r="J796" s="107"/>
      <c r="K796" s="100"/>
      <c r="L796" s="61"/>
      <c r="M796" s="61"/>
      <c r="N796" s="61"/>
    </row>
    <row r="797">
      <c r="A797" s="65"/>
      <c r="B797" s="65"/>
      <c r="C797" s="65"/>
      <c r="D797" s="65"/>
      <c r="E797" s="65"/>
      <c r="F797" s="65"/>
      <c r="G797" s="65"/>
      <c r="H797" s="65"/>
      <c r="I797" s="65"/>
      <c r="J797" s="108"/>
      <c r="K797" s="103"/>
      <c r="L797" s="65"/>
      <c r="M797" s="65"/>
      <c r="N797" s="65"/>
    </row>
    <row r="798">
      <c r="A798" s="61"/>
      <c r="B798" s="61"/>
      <c r="C798" s="61"/>
      <c r="D798" s="61"/>
      <c r="E798" s="61"/>
      <c r="F798" s="61"/>
      <c r="G798" s="61"/>
      <c r="H798" s="61"/>
      <c r="I798" s="61"/>
      <c r="J798" s="107"/>
      <c r="K798" s="100"/>
      <c r="L798" s="61"/>
      <c r="M798" s="61"/>
      <c r="N798" s="61"/>
    </row>
    <row r="799">
      <c r="A799" s="65"/>
      <c r="B799" s="65"/>
      <c r="C799" s="65"/>
      <c r="D799" s="65"/>
      <c r="E799" s="65"/>
      <c r="F799" s="65"/>
      <c r="G799" s="65"/>
      <c r="H799" s="65"/>
      <c r="I799" s="65"/>
      <c r="J799" s="108"/>
      <c r="K799" s="103"/>
      <c r="L799" s="65"/>
      <c r="M799" s="65"/>
      <c r="N799" s="65"/>
    </row>
    <row r="800">
      <c r="A800" s="61"/>
      <c r="B800" s="61"/>
      <c r="C800" s="61"/>
      <c r="D800" s="61"/>
      <c r="E800" s="61"/>
      <c r="F800" s="61"/>
      <c r="G800" s="61"/>
      <c r="H800" s="61"/>
      <c r="I800" s="61"/>
      <c r="J800" s="107"/>
      <c r="K800" s="100"/>
      <c r="L800" s="61"/>
      <c r="M800" s="61"/>
      <c r="N800" s="61"/>
    </row>
    <row r="801">
      <c r="A801" s="65"/>
      <c r="B801" s="65"/>
      <c r="C801" s="65"/>
      <c r="D801" s="65"/>
      <c r="E801" s="65"/>
      <c r="F801" s="65"/>
      <c r="G801" s="65"/>
      <c r="H801" s="65"/>
      <c r="I801" s="65"/>
      <c r="J801" s="108"/>
      <c r="K801" s="103"/>
      <c r="L801" s="65"/>
      <c r="M801" s="65"/>
      <c r="N801" s="65"/>
    </row>
    <row r="802">
      <c r="A802" s="61"/>
      <c r="B802" s="61"/>
      <c r="C802" s="61"/>
      <c r="D802" s="61"/>
      <c r="E802" s="61"/>
      <c r="F802" s="61"/>
      <c r="G802" s="61"/>
      <c r="H802" s="61"/>
      <c r="I802" s="61"/>
      <c r="J802" s="107"/>
      <c r="K802" s="100"/>
      <c r="L802" s="61"/>
      <c r="M802" s="61"/>
      <c r="N802" s="61"/>
    </row>
    <row r="803">
      <c r="A803" s="65"/>
      <c r="B803" s="65"/>
      <c r="C803" s="65"/>
      <c r="D803" s="65"/>
      <c r="E803" s="65"/>
      <c r="F803" s="65"/>
      <c r="G803" s="65"/>
      <c r="H803" s="65"/>
      <c r="I803" s="65"/>
      <c r="J803" s="108"/>
      <c r="K803" s="103"/>
      <c r="L803" s="65"/>
      <c r="M803" s="65"/>
      <c r="N803" s="65"/>
    </row>
    <row r="804">
      <c r="A804" s="61"/>
      <c r="B804" s="61"/>
      <c r="C804" s="61"/>
      <c r="D804" s="61"/>
      <c r="E804" s="61"/>
      <c r="F804" s="61"/>
      <c r="G804" s="61"/>
      <c r="H804" s="61"/>
      <c r="I804" s="61"/>
      <c r="J804" s="107"/>
      <c r="K804" s="100"/>
      <c r="L804" s="61"/>
      <c r="M804" s="61"/>
      <c r="N804" s="61"/>
    </row>
    <row r="805">
      <c r="A805" s="65"/>
      <c r="B805" s="65"/>
      <c r="C805" s="65"/>
      <c r="D805" s="65"/>
      <c r="E805" s="65"/>
      <c r="F805" s="65"/>
      <c r="G805" s="65"/>
      <c r="H805" s="65"/>
      <c r="I805" s="65"/>
      <c r="J805" s="108"/>
      <c r="K805" s="103"/>
      <c r="L805" s="65"/>
      <c r="M805" s="65"/>
      <c r="N805" s="65"/>
    </row>
    <row r="806">
      <c r="A806" s="61"/>
      <c r="B806" s="61"/>
      <c r="C806" s="61"/>
      <c r="D806" s="61"/>
      <c r="E806" s="61"/>
      <c r="F806" s="61"/>
      <c r="G806" s="61"/>
      <c r="H806" s="61"/>
      <c r="I806" s="61"/>
      <c r="J806" s="107"/>
      <c r="K806" s="100"/>
      <c r="L806" s="61"/>
      <c r="M806" s="61"/>
      <c r="N806" s="61"/>
    </row>
    <row r="807">
      <c r="A807" s="65"/>
      <c r="B807" s="65"/>
      <c r="C807" s="65"/>
      <c r="D807" s="65"/>
      <c r="E807" s="65"/>
      <c r="F807" s="65"/>
      <c r="G807" s="65"/>
      <c r="H807" s="65"/>
      <c r="I807" s="65"/>
      <c r="J807" s="108"/>
      <c r="K807" s="103"/>
      <c r="L807" s="65"/>
      <c r="M807" s="65"/>
      <c r="N807" s="65"/>
    </row>
    <row r="808">
      <c r="A808" s="61"/>
      <c r="B808" s="61"/>
      <c r="C808" s="61"/>
      <c r="D808" s="61"/>
      <c r="E808" s="61"/>
      <c r="F808" s="61"/>
      <c r="G808" s="61"/>
      <c r="H808" s="61"/>
      <c r="I808" s="61"/>
      <c r="J808" s="107"/>
      <c r="K808" s="100"/>
      <c r="L808" s="61"/>
      <c r="M808" s="61"/>
      <c r="N808" s="61"/>
    </row>
    <row r="809">
      <c r="A809" s="65"/>
      <c r="B809" s="65"/>
      <c r="C809" s="65"/>
      <c r="D809" s="65"/>
      <c r="E809" s="65"/>
      <c r="F809" s="65"/>
      <c r="G809" s="65"/>
      <c r="H809" s="65"/>
      <c r="I809" s="65"/>
      <c r="J809" s="108"/>
      <c r="K809" s="103"/>
      <c r="L809" s="65"/>
      <c r="M809" s="65"/>
      <c r="N809" s="65"/>
    </row>
    <row r="810">
      <c r="A810" s="61"/>
      <c r="B810" s="61"/>
      <c r="C810" s="61"/>
      <c r="D810" s="61"/>
      <c r="E810" s="61"/>
      <c r="F810" s="61"/>
      <c r="G810" s="61"/>
      <c r="H810" s="61"/>
      <c r="I810" s="61"/>
      <c r="J810" s="107"/>
      <c r="K810" s="100"/>
      <c r="L810" s="61"/>
      <c r="M810" s="61"/>
      <c r="N810" s="61"/>
    </row>
    <row r="811">
      <c r="A811" s="65"/>
      <c r="B811" s="65"/>
      <c r="C811" s="65"/>
      <c r="D811" s="65"/>
      <c r="E811" s="65"/>
      <c r="F811" s="65"/>
      <c r="G811" s="65"/>
      <c r="H811" s="65"/>
      <c r="I811" s="65"/>
      <c r="J811" s="108"/>
      <c r="K811" s="103"/>
      <c r="L811" s="65"/>
      <c r="M811" s="65"/>
      <c r="N811" s="65"/>
    </row>
    <row r="812">
      <c r="A812" s="61"/>
      <c r="B812" s="61"/>
      <c r="C812" s="61"/>
      <c r="D812" s="61"/>
      <c r="E812" s="61"/>
      <c r="F812" s="61"/>
      <c r="G812" s="61"/>
      <c r="H812" s="61"/>
      <c r="I812" s="61"/>
      <c r="J812" s="107"/>
      <c r="K812" s="100"/>
      <c r="L812" s="61"/>
      <c r="M812" s="61"/>
      <c r="N812" s="61"/>
    </row>
    <row r="813">
      <c r="A813" s="65"/>
      <c r="B813" s="65"/>
      <c r="C813" s="65"/>
      <c r="D813" s="65"/>
      <c r="E813" s="65"/>
      <c r="F813" s="65"/>
      <c r="G813" s="65"/>
      <c r="H813" s="65"/>
      <c r="I813" s="65"/>
      <c r="J813" s="108"/>
      <c r="K813" s="103"/>
      <c r="L813" s="65"/>
      <c r="M813" s="65"/>
      <c r="N813" s="65"/>
    </row>
    <row r="814">
      <c r="A814" s="61"/>
      <c r="B814" s="61"/>
      <c r="C814" s="61"/>
      <c r="D814" s="61"/>
      <c r="E814" s="61"/>
      <c r="F814" s="61"/>
      <c r="G814" s="61"/>
      <c r="H814" s="61"/>
      <c r="I814" s="61"/>
      <c r="J814" s="107"/>
      <c r="K814" s="100"/>
      <c r="L814" s="61"/>
      <c r="M814" s="61"/>
      <c r="N814" s="61"/>
    </row>
    <row r="815">
      <c r="A815" s="65"/>
      <c r="B815" s="65"/>
      <c r="C815" s="65"/>
      <c r="D815" s="65"/>
      <c r="E815" s="65"/>
      <c r="F815" s="65"/>
      <c r="G815" s="65"/>
      <c r="H815" s="65"/>
      <c r="I815" s="65"/>
      <c r="J815" s="108"/>
      <c r="K815" s="103"/>
      <c r="L815" s="65"/>
      <c r="M815" s="65"/>
      <c r="N815" s="65"/>
    </row>
    <row r="816">
      <c r="A816" s="61"/>
      <c r="B816" s="61"/>
      <c r="C816" s="61"/>
      <c r="D816" s="61"/>
      <c r="E816" s="61"/>
      <c r="F816" s="61"/>
      <c r="G816" s="61"/>
      <c r="H816" s="61"/>
      <c r="I816" s="61"/>
      <c r="J816" s="107"/>
      <c r="K816" s="100"/>
      <c r="L816" s="61"/>
      <c r="M816" s="61"/>
      <c r="N816" s="61"/>
    </row>
    <row r="817">
      <c r="A817" s="65"/>
      <c r="B817" s="65"/>
      <c r="C817" s="65"/>
      <c r="D817" s="65"/>
      <c r="E817" s="65"/>
      <c r="F817" s="65"/>
      <c r="G817" s="65"/>
      <c r="H817" s="65"/>
      <c r="I817" s="65"/>
      <c r="J817" s="108"/>
      <c r="K817" s="103"/>
      <c r="L817" s="65"/>
      <c r="M817" s="65"/>
      <c r="N817" s="65"/>
    </row>
    <row r="818">
      <c r="A818" s="61"/>
      <c r="B818" s="61"/>
      <c r="C818" s="61"/>
      <c r="D818" s="61"/>
      <c r="E818" s="61"/>
      <c r="F818" s="61"/>
      <c r="G818" s="61"/>
      <c r="H818" s="61"/>
      <c r="I818" s="61"/>
      <c r="J818" s="107"/>
      <c r="K818" s="100"/>
      <c r="L818" s="61"/>
      <c r="M818" s="61"/>
      <c r="N818" s="61"/>
    </row>
    <row r="819">
      <c r="A819" s="65"/>
      <c r="B819" s="65"/>
      <c r="C819" s="65"/>
      <c r="D819" s="65"/>
      <c r="E819" s="65"/>
      <c r="F819" s="65"/>
      <c r="G819" s="65"/>
      <c r="H819" s="65"/>
      <c r="I819" s="65"/>
      <c r="J819" s="108"/>
      <c r="K819" s="103"/>
      <c r="L819" s="65"/>
      <c r="M819" s="65"/>
      <c r="N819" s="65"/>
    </row>
    <row r="820">
      <c r="A820" s="61"/>
      <c r="B820" s="61"/>
      <c r="C820" s="61"/>
      <c r="D820" s="61"/>
      <c r="E820" s="61"/>
      <c r="F820" s="61"/>
      <c r="G820" s="61"/>
      <c r="H820" s="61"/>
      <c r="I820" s="61"/>
      <c r="J820" s="107"/>
      <c r="K820" s="100"/>
      <c r="L820" s="61"/>
      <c r="M820" s="61"/>
      <c r="N820" s="61"/>
    </row>
    <row r="821">
      <c r="A821" s="65"/>
      <c r="B821" s="65"/>
      <c r="C821" s="65"/>
      <c r="D821" s="65"/>
      <c r="E821" s="65"/>
      <c r="F821" s="65"/>
      <c r="G821" s="65"/>
      <c r="H821" s="65"/>
      <c r="I821" s="65"/>
      <c r="J821" s="108"/>
      <c r="K821" s="103"/>
      <c r="L821" s="65"/>
      <c r="M821" s="65"/>
      <c r="N821" s="65"/>
    </row>
    <row r="822">
      <c r="A822" s="61"/>
      <c r="B822" s="61"/>
      <c r="C822" s="61"/>
      <c r="D822" s="61"/>
      <c r="E822" s="61"/>
      <c r="F822" s="61"/>
      <c r="G822" s="61"/>
      <c r="H822" s="61"/>
      <c r="I822" s="61"/>
      <c r="J822" s="107"/>
      <c r="K822" s="100"/>
      <c r="L822" s="61"/>
      <c r="M822" s="61"/>
      <c r="N822" s="61"/>
    </row>
    <row r="823">
      <c r="A823" s="65"/>
      <c r="B823" s="65"/>
      <c r="C823" s="65"/>
      <c r="D823" s="65"/>
      <c r="E823" s="65"/>
      <c r="F823" s="65"/>
      <c r="G823" s="65"/>
      <c r="H823" s="65"/>
      <c r="I823" s="65"/>
      <c r="J823" s="108"/>
      <c r="K823" s="103"/>
      <c r="L823" s="65"/>
      <c r="M823" s="65"/>
      <c r="N823" s="65"/>
    </row>
    <row r="824">
      <c r="A824" s="61"/>
      <c r="B824" s="61"/>
      <c r="C824" s="61"/>
      <c r="D824" s="61"/>
      <c r="E824" s="61"/>
      <c r="F824" s="61"/>
      <c r="G824" s="61"/>
      <c r="H824" s="61"/>
      <c r="I824" s="61"/>
      <c r="J824" s="107"/>
      <c r="K824" s="100"/>
      <c r="L824" s="61"/>
      <c r="M824" s="61"/>
      <c r="N824" s="61"/>
    </row>
    <row r="825">
      <c r="A825" s="65"/>
      <c r="B825" s="65"/>
      <c r="C825" s="65"/>
      <c r="D825" s="65"/>
      <c r="E825" s="65"/>
      <c r="F825" s="65"/>
      <c r="G825" s="65"/>
      <c r="H825" s="65"/>
      <c r="I825" s="65"/>
      <c r="J825" s="108"/>
      <c r="K825" s="103"/>
      <c r="L825" s="65"/>
      <c r="M825" s="65"/>
      <c r="N825" s="65"/>
    </row>
    <row r="826">
      <c r="A826" s="61"/>
      <c r="B826" s="61"/>
      <c r="C826" s="61"/>
      <c r="D826" s="61"/>
      <c r="E826" s="61"/>
      <c r="F826" s="61"/>
      <c r="G826" s="61"/>
      <c r="H826" s="61"/>
      <c r="I826" s="61"/>
      <c r="J826" s="107"/>
      <c r="K826" s="100"/>
      <c r="L826" s="61"/>
      <c r="M826" s="61"/>
      <c r="N826" s="61"/>
    </row>
    <row r="827">
      <c r="A827" s="65"/>
      <c r="B827" s="65"/>
      <c r="C827" s="65"/>
      <c r="D827" s="65"/>
      <c r="E827" s="65"/>
      <c r="F827" s="65"/>
      <c r="G827" s="65"/>
      <c r="H827" s="65"/>
      <c r="I827" s="65"/>
      <c r="J827" s="108"/>
      <c r="K827" s="103"/>
      <c r="L827" s="65"/>
      <c r="M827" s="65"/>
      <c r="N827" s="65"/>
    </row>
    <row r="828">
      <c r="A828" s="61"/>
      <c r="B828" s="61"/>
      <c r="C828" s="61"/>
      <c r="D828" s="61"/>
      <c r="E828" s="61"/>
      <c r="F828" s="61"/>
      <c r="G828" s="61"/>
      <c r="H828" s="61"/>
      <c r="I828" s="61"/>
      <c r="J828" s="107"/>
      <c r="K828" s="100"/>
      <c r="L828" s="61"/>
      <c r="M828" s="61"/>
      <c r="N828" s="61"/>
    </row>
    <row r="829">
      <c r="A829" s="65"/>
      <c r="B829" s="65"/>
      <c r="C829" s="65"/>
      <c r="D829" s="65"/>
      <c r="E829" s="65"/>
      <c r="F829" s="65"/>
      <c r="G829" s="65"/>
      <c r="H829" s="65"/>
      <c r="I829" s="65"/>
      <c r="J829" s="108"/>
      <c r="K829" s="103"/>
      <c r="L829" s="65"/>
      <c r="M829" s="65"/>
      <c r="N829" s="65"/>
    </row>
    <row r="830">
      <c r="A830" s="61"/>
      <c r="B830" s="61"/>
      <c r="C830" s="61"/>
      <c r="D830" s="61"/>
      <c r="E830" s="61"/>
      <c r="F830" s="61"/>
      <c r="G830" s="61"/>
      <c r="H830" s="61"/>
      <c r="I830" s="61"/>
      <c r="J830" s="107"/>
      <c r="K830" s="100"/>
      <c r="L830" s="61"/>
      <c r="M830" s="61"/>
      <c r="N830" s="61"/>
    </row>
    <row r="831">
      <c r="A831" s="65"/>
      <c r="B831" s="65"/>
      <c r="C831" s="65"/>
      <c r="D831" s="65"/>
      <c r="E831" s="65"/>
      <c r="F831" s="65"/>
      <c r="G831" s="65"/>
      <c r="H831" s="65"/>
      <c r="I831" s="65"/>
      <c r="J831" s="108"/>
      <c r="K831" s="103"/>
      <c r="L831" s="65"/>
      <c r="M831" s="65"/>
      <c r="N831" s="65"/>
    </row>
    <row r="832">
      <c r="A832" s="61"/>
      <c r="B832" s="61"/>
      <c r="C832" s="61"/>
      <c r="D832" s="61"/>
      <c r="E832" s="61"/>
      <c r="F832" s="61"/>
      <c r="G832" s="61"/>
      <c r="H832" s="61"/>
      <c r="I832" s="61"/>
      <c r="J832" s="107"/>
      <c r="K832" s="100"/>
      <c r="L832" s="61"/>
      <c r="M832" s="61"/>
      <c r="N832" s="61"/>
    </row>
    <row r="833">
      <c r="A833" s="65"/>
      <c r="B833" s="65"/>
      <c r="C833" s="65"/>
      <c r="D833" s="65"/>
      <c r="E833" s="65"/>
      <c r="F833" s="65"/>
      <c r="G833" s="65"/>
      <c r="H833" s="65"/>
      <c r="I833" s="65"/>
      <c r="J833" s="108"/>
      <c r="K833" s="103"/>
      <c r="L833" s="65"/>
      <c r="M833" s="65"/>
      <c r="N833" s="65"/>
    </row>
    <row r="834">
      <c r="A834" s="61"/>
      <c r="B834" s="61"/>
      <c r="C834" s="61"/>
      <c r="D834" s="61"/>
      <c r="E834" s="61"/>
      <c r="F834" s="61"/>
      <c r="G834" s="61"/>
      <c r="H834" s="61"/>
      <c r="I834" s="61"/>
      <c r="J834" s="107"/>
      <c r="K834" s="100"/>
      <c r="L834" s="61"/>
      <c r="M834" s="61"/>
      <c r="N834" s="61"/>
    </row>
    <row r="835">
      <c r="A835" s="65"/>
      <c r="B835" s="65"/>
      <c r="C835" s="65"/>
      <c r="D835" s="65"/>
      <c r="E835" s="65"/>
      <c r="F835" s="65"/>
      <c r="G835" s="65"/>
      <c r="H835" s="65"/>
      <c r="I835" s="65"/>
      <c r="J835" s="108"/>
      <c r="K835" s="103"/>
      <c r="L835" s="65"/>
      <c r="M835" s="65"/>
      <c r="N835" s="65"/>
    </row>
    <row r="836">
      <c r="A836" s="61"/>
      <c r="B836" s="61"/>
      <c r="C836" s="61"/>
      <c r="D836" s="61"/>
      <c r="E836" s="61"/>
      <c r="F836" s="61"/>
      <c r="G836" s="61"/>
      <c r="H836" s="61"/>
      <c r="I836" s="61"/>
      <c r="J836" s="107"/>
      <c r="K836" s="100"/>
      <c r="L836" s="61"/>
      <c r="M836" s="61"/>
      <c r="N836" s="61"/>
    </row>
    <row r="837">
      <c r="A837" s="65"/>
      <c r="B837" s="65"/>
      <c r="C837" s="65"/>
      <c r="D837" s="65"/>
      <c r="E837" s="65"/>
      <c r="F837" s="65"/>
      <c r="G837" s="65"/>
      <c r="H837" s="65"/>
      <c r="I837" s="65"/>
      <c r="J837" s="108"/>
      <c r="K837" s="103"/>
      <c r="L837" s="65"/>
      <c r="M837" s="65"/>
      <c r="N837" s="65"/>
    </row>
    <row r="838">
      <c r="A838" s="61"/>
      <c r="B838" s="61"/>
      <c r="C838" s="61"/>
      <c r="D838" s="61"/>
      <c r="E838" s="61"/>
      <c r="F838" s="61"/>
      <c r="G838" s="61"/>
      <c r="H838" s="61"/>
      <c r="I838" s="61"/>
      <c r="J838" s="107"/>
      <c r="K838" s="100"/>
      <c r="L838" s="61"/>
      <c r="M838" s="61"/>
      <c r="N838" s="61"/>
    </row>
    <row r="839">
      <c r="A839" s="65"/>
      <c r="B839" s="65"/>
      <c r="C839" s="65"/>
      <c r="D839" s="65"/>
      <c r="E839" s="65"/>
      <c r="F839" s="65"/>
      <c r="G839" s="65"/>
      <c r="H839" s="65"/>
      <c r="I839" s="65"/>
      <c r="J839" s="108"/>
      <c r="K839" s="103"/>
      <c r="L839" s="65"/>
      <c r="M839" s="65"/>
      <c r="N839" s="65"/>
    </row>
    <row r="840">
      <c r="A840" s="61"/>
      <c r="B840" s="61"/>
      <c r="C840" s="61"/>
      <c r="D840" s="61"/>
      <c r="E840" s="61"/>
      <c r="F840" s="61"/>
      <c r="G840" s="61"/>
      <c r="H840" s="61"/>
      <c r="I840" s="61"/>
      <c r="J840" s="107"/>
      <c r="K840" s="100"/>
      <c r="L840" s="61"/>
      <c r="M840" s="61"/>
      <c r="N840" s="61"/>
    </row>
    <row r="841">
      <c r="A841" s="65"/>
      <c r="B841" s="65"/>
      <c r="C841" s="65"/>
      <c r="D841" s="65"/>
      <c r="E841" s="65"/>
      <c r="F841" s="65"/>
      <c r="G841" s="65"/>
      <c r="H841" s="65"/>
      <c r="I841" s="65"/>
      <c r="J841" s="108"/>
      <c r="K841" s="103"/>
      <c r="L841" s="65"/>
      <c r="M841" s="65"/>
      <c r="N841" s="65"/>
    </row>
    <row r="842">
      <c r="A842" s="61"/>
      <c r="B842" s="61"/>
      <c r="C842" s="61"/>
      <c r="D842" s="61"/>
      <c r="E842" s="61"/>
      <c r="F842" s="61"/>
      <c r="G842" s="61"/>
      <c r="H842" s="61"/>
      <c r="I842" s="61"/>
      <c r="J842" s="107"/>
      <c r="K842" s="100"/>
      <c r="L842" s="61"/>
      <c r="M842" s="61"/>
      <c r="N842" s="61"/>
    </row>
    <row r="843">
      <c r="A843" s="65"/>
      <c r="B843" s="65"/>
      <c r="C843" s="65"/>
      <c r="D843" s="65"/>
      <c r="E843" s="65"/>
      <c r="F843" s="65"/>
      <c r="G843" s="65"/>
      <c r="H843" s="65"/>
      <c r="I843" s="65"/>
      <c r="J843" s="108"/>
      <c r="K843" s="103"/>
      <c r="L843" s="65"/>
      <c r="M843" s="65"/>
      <c r="N843" s="65"/>
    </row>
    <row r="844">
      <c r="A844" s="61"/>
      <c r="B844" s="61"/>
      <c r="C844" s="61"/>
      <c r="D844" s="61"/>
      <c r="E844" s="61"/>
      <c r="F844" s="61"/>
      <c r="G844" s="61"/>
      <c r="H844" s="61"/>
      <c r="I844" s="61"/>
      <c r="J844" s="107"/>
      <c r="K844" s="100"/>
      <c r="L844" s="61"/>
      <c r="M844" s="61"/>
      <c r="N844" s="61"/>
    </row>
    <row r="845">
      <c r="A845" s="65"/>
      <c r="B845" s="65"/>
      <c r="C845" s="65"/>
      <c r="D845" s="65"/>
      <c r="E845" s="65"/>
      <c r="F845" s="65"/>
      <c r="G845" s="65"/>
      <c r="H845" s="65"/>
      <c r="I845" s="65"/>
      <c r="J845" s="108"/>
      <c r="K845" s="103"/>
      <c r="L845" s="65"/>
      <c r="M845" s="65"/>
      <c r="N845" s="65"/>
    </row>
    <row r="846">
      <c r="A846" s="61"/>
      <c r="B846" s="61"/>
      <c r="C846" s="61"/>
      <c r="D846" s="61"/>
      <c r="E846" s="61"/>
      <c r="F846" s="61"/>
      <c r="G846" s="61"/>
      <c r="H846" s="61"/>
      <c r="I846" s="61"/>
      <c r="J846" s="107"/>
      <c r="K846" s="100"/>
      <c r="L846" s="61"/>
      <c r="M846" s="61"/>
      <c r="N846" s="61"/>
    </row>
    <row r="847">
      <c r="A847" s="65"/>
      <c r="B847" s="65"/>
      <c r="C847" s="65"/>
      <c r="D847" s="65"/>
      <c r="E847" s="65"/>
      <c r="F847" s="65"/>
      <c r="G847" s="65"/>
      <c r="H847" s="65"/>
      <c r="I847" s="65"/>
      <c r="J847" s="108"/>
      <c r="K847" s="103"/>
      <c r="L847" s="65"/>
      <c r="M847" s="65"/>
      <c r="N847" s="65"/>
    </row>
    <row r="848">
      <c r="A848" s="61"/>
      <c r="B848" s="61"/>
      <c r="C848" s="61"/>
      <c r="D848" s="61"/>
      <c r="E848" s="61"/>
      <c r="F848" s="61"/>
      <c r="G848" s="61"/>
      <c r="H848" s="61"/>
      <c r="I848" s="61"/>
      <c r="J848" s="107"/>
      <c r="K848" s="100"/>
      <c r="L848" s="61"/>
      <c r="M848" s="61"/>
      <c r="N848" s="61"/>
    </row>
    <row r="849">
      <c r="A849" s="65"/>
      <c r="B849" s="65"/>
      <c r="C849" s="65"/>
      <c r="D849" s="65"/>
      <c r="E849" s="65"/>
      <c r="F849" s="65"/>
      <c r="G849" s="65"/>
      <c r="H849" s="65"/>
      <c r="I849" s="65"/>
      <c r="J849" s="108"/>
      <c r="K849" s="103"/>
      <c r="L849" s="65"/>
      <c r="M849" s="65"/>
      <c r="N849" s="65"/>
    </row>
    <row r="850">
      <c r="A850" s="61"/>
      <c r="B850" s="61"/>
      <c r="C850" s="61"/>
      <c r="D850" s="61"/>
      <c r="E850" s="61"/>
      <c r="F850" s="61"/>
      <c r="G850" s="61"/>
      <c r="H850" s="61"/>
      <c r="I850" s="61"/>
      <c r="J850" s="107"/>
      <c r="K850" s="100"/>
      <c r="L850" s="61"/>
      <c r="M850" s="61"/>
      <c r="N850" s="61"/>
    </row>
    <row r="851">
      <c r="A851" s="65"/>
      <c r="B851" s="65"/>
      <c r="C851" s="65"/>
      <c r="D851" s="65"/>
      <c r="E851" s="65"/>
      <c r="F851" s="65"/>
      <c r="G851" s="65"/>
      <c r="H851" s="65"/>
      <c r="I851" s="65"/>
      <c r="J851" s="108"/>
      <c r="K851" s="103"/>
      <c r="L851" s="65"/>
      <c r="M851" s="65"/>
      <c r="N851" s="65"/>
    </row>
    <row r="852">
      <c r="A852" s="61"/>
      <c r="B852" s="61"/>
      <c r="C852" s="61"/>
      <c r="D852" s="61"/>
      <c r="E852" s="61"/>
      <c r="F852" s="61"/>
      <c r="G852" s="61"/>
      <c r="H852" s="61"/>
      <c r="I852" s="61"/>
      <c r="J852" s="107"/>
      <c r="K852" s="100"/>
      <c r="L852" s="61"/>
      <c r="M852" s="61"/>
      <c r="N852" s="61"/>
    </row>
    <row r="853">
      <c r="A853" s="65"/>
      <c r="B853" s="65"/>
      <c r="C853" s="65"/>
      <c r="D853" s="65"/>
      <c r="E853" s="65"/>
      <c r="F853" s="65"/>
      <c r="G853" s="65"/>
      <c r="H853" s="65"/>
      <c r="I853" s="65"/>
      <c r="J853" s="108"/>
      <c r="K853" s="103"/>
      <c r="L853" s="65"/>
      <c r="M853" s="65"/>
      <c r="N853" s="65"/>
    </row>
    <row r="854">
      <c r="A854" s="61"/>
      <c r="B854" s="61"/>
      <c r="C854" s="61"/>
      <c r="D854" s="61"/>
      <c r="E854" s="61"/>
      <c r="F854" s="61"/>
      <c r="G854" s="61"/>
      <c r="H854" s="61"/>
      <c r="I854" s="61"/>
      <c r="J854" s="107"/>
      <c r="K854" s="100"/>
      <c r="L854" s="61"/>
      <c r="M854" s="61"/>
      <c r="N854" s="61"/>
    </row>
    <row r="855">
      <c r="A855" s="65"/>
      <c r="B855" s="65"/>
      <c r="C855" s="65"/>
      <c r="D855" s="65"/>
      <c r="E855" s="65"/>
      <c r="F855" s="65"/>
      <c r="G855" s="65"/>
      <c r="H855" s="65"/>
      <c r="I855" s="65"/>
      <c r="J855" s="108"/>
      <c r="K855" s="103"/>
      <c r="L855" s="65"/>
      <c r="M855" s="65"/>
      <c r="N855" s="65"/>
    </row>
    <row r="856">
      <c r="A856" s="61"/>
      <c r="B856" s="61"/>
      <c r="C856" s="61"/>
      <c r="D856" s="61"/>
      <c r="E856" s="61"/>
      <c r="F856" s="61"/>
      <c r="G856" s="61"/>
      <c r="H856" s="61"/>
      <c r="I856" s="61"/>
      <c r="J856" s="107"/>
      <c r="K856" s="100"/>
      <c r="L856" s="61"/>
      <c r="M856" s="61"/>
      <c r="N856" s="61"/>
    </row>
    <row r="857">
      <c r="A857" s="65"/>
      <c r="B857" s="65"/>
      <c r="C857" s="65"/>
      <c r="D857" s="65"/>
      <c r="E857" s="65"/>
      <c r="F857" s="65"/>
      <c r="G857" s="65"/>
      <c r="H857" s="65"/>
      <c r="I857" s="65"/>
      <c r="J857" s="108"/>
      <c r="K857" s="103"/>
      <c r="L857" s="65"/>
      <c r="M857" s="65"/>
      <c r="N857" s="65"/>
    </row>
    <row r="858">
      <c r="A858" s="61"/>
      <c r="B858" s="61"/>
      <c r="C858" s="61"/>
      <c r="D858" s="61"/>
      <c r="E858" s="61"/>
      <c r="F858" s="61"/>
      <c r="G858" s="61"/>
      <c r="H858" s="61"/>
      <c r="I858" s="61"/>
      <c r="J858" s="107"/>
      <c r="K858" s="100"/>
      <c r="L858" s="61"/>
      <c r="M858" s="61"/>
      <c r="N858" s="61"/>
    </row>
    <row r="859">
      <c r="A859" s="65"/>
      <c r="B859" s="65"/>
      <c r="C859" s="65"/>
      <c r="D859" s="65"/>
      <c r="E859" s="65"/>
      <c r="F859" s="65"/>
      <c r="G859" s="65"/>
      <c r="H859" s="65"/>
      <c r="I859" s="65"/>
      <c r="J859" s="108"/>
      <c r="K859" s="103"/>
      <c r="L859" s="65"/>
      <c r="M859" s="65"/>
      <c r="N859" s="65"/>
    </row>
    <row r="860">
      <c r="A860" s="61"/>
      <c r="B860" s="61"/>
      <c r="C860" s="61"/>
      <c r="D860" s="61"/>
      <c r="E860" s="61"/>
      <c r="F860" s="61"/>
      <c r="G860" s="61"/>
      <c r="H860" s="61"/>
      <c r="I860" s="61"/>
      <c r="J860" s="107"/>
      <c r="K860" s="100"/>
      <c r="L860" s="61"/>
      <c r="M860" s="61"/>
      <c r="N860" s="61"/>
    </row>
    <row r="861">
      <c r="A861" s="65"/>
      <c r="B861" s="65"/>
      <c r="C861" s="65"/>
      <c r="D861" s="65"/>
      <c r="E861" s="65"/>
      <c r="F861" s="65"/>
      <c r="G861" s="65"/>
      <c r="H861" s="65"/>
      <c r="I861" s="65"/>
      <c r="J861" s="108"/>
      <c r="K861" s="103"/>
      <c r="L861" s="65"/>
      <c r="M861" s="65"/>
      <c r="N861" s="65"/>
    </row>
    <row r="862">
      <c r="A862" s="61"/>
      <c r="B862" s="61"/>
      <c r="C862" s="61"/>
      <c r="D862" s="61"/>
      <c r="E862" s="61"/>
      <c r="F862" s="61"/>
      <c r="G862" s="61"/>
      <c r="H862" s="61"/>
      <c r="I862" s="61"/>
      <c r="J862" s="107"/>
      <c r="K862" s="100"/>
      <c r="L862" s="61"/>
      <c r="M862" s="61"/>
      <c r="N862" s="61"/>
    </row>
    <row r="863">
      <c r="A863" s="65"/>
      <c r="B863" s="65"/>
      <c r="C863" s="65"/>
      <c r="D863" s="65"/>
      <c r="E863" s="65"/>
      <c r="F863" s="65"/>
      <c r="G863" s="65"/>
      <c r="H863" s="65"/>
      <c r="I863" s="65"/>
      <c r="J863" s="108"/>
      <c r="K863" s="103"/>
      <c r="L863" s="65"/>
      <c r="M863" s="65"/>
      <c r="N863" s="65"/>
    </row>
    <row r="864">
      <c r="A864" s="61"/>
      <c r="B864" s="61"/>
      <c r="C864" s="61"/>
      <c r="D864" s="61"/>
      <c r="E864" s="61"/>
      <c r="F864" s="61"/>
      <c r="G864" s="61"/>
      <c r="H864" s="61"/>
      <c r="I864" s="61"/>
      <c r="J864" s="107"/>
      <c r="K864" s="100"/>
      <c r="L864" s="61"/>
      <c r="M864" s="61"/>
      <c r="N864" s="61"/>
    </row>
    <row r="865">
      <c r="A865" s="65"/>
      <c r="B865" s="65"/>
      <c r="C865" s="65"/>
      <c r="D865" s="65"/>
      <c r="E865" s="65"/>
      <c r="F865" s="65"/>
      <c r="G865" s="65"/>
      <c r="H865" s="65"/>
      <c r="I865" s="65"/>
      <c r="J865" s="108"/>
      <c r="K865" s="103"/>
      <c r="L865" s="65"/>
      <c r="M865" s="65"/>
      <c r="N865" s="65"/>
    </row>
    <row r="866">
      <c r="A866" s="61"/>
      <c r="B866" s="61"/>
      <c r="C866" s="61"/>
      <c r="D866" s="61"/>
      <c r="E866" s="61"/>
      <c r="F866" s="61"/>
      <c r="G866" s="61"/>
      <c r="H866" s="61"/>
      <c r="I866" s="61"/>
      <c r="J866" s="107"/>
      <c r="K866" s="100"/>
      <c r="L866" s="61"/>
      <c r="M866" s="61"/>
      <c r="N866" s="61"/>
    </row>
    <row r="867">
      <c r="A867" s="65"/>
      <c r="B867" s="65"/>
      <c r="C867" s="65"/>
      <c r="D867" s="65"/>
      <c r="E867" s="65"/>
      <c r="F867" s="65"/>
      <c r="G867" s="65"/>
      <c r="H867" s="65"/>
      <c r="I867" s="65"/>
      <c r="J867" s="108"/>
      <c r="K867" s="103"/>
      <c r="L867" s="65"/>
      <c r="M867" s="65"/>
      <c r="N867" s="65"/>
    </row>
    <row r="868">
      <c r="A868" s="61"/>
      <c r="B868" s="61"/>
      <c r="C868" s="61"/>
      <c r="D868" s="61"/>
      <c r="E868" s="61"/>
      <c r="F868" s="61"/>
      <c r="G868" s="61"/>
      <c r="H868" s="61"/>
      <c r="I868" s="61"/>
      <c r="J868" s="107"/>
      <c r="K868" s="100"/>
      <c r="L868" s="61"/>
      <c r="M868" s="61"/>
      <c r="N868" s="61"/>
    </row>
    <row r="869">
      <c r="A869" s="65"/>
      <c r="B869" s="65"/>
      <c r="C869" s="65"/>
      <c r="D869" s="65"/>
      <c r="E869" s="65"/>
      <c r="F869" s="65"/>
      <c r="G869" s="65"/>
      <c r="H869" s="65"/>
      <c r="I869" s="65"/>
      <c r="J869" s="108"/>
      <c r="K869" s="103"/>
      <c r="L869" s="65"/>
      <c r="M869" s="65"/>
      <c r="N869" s="65"/>
    </row>
    <row r="870">
      <c r="A870" s="61"/>
      <c r="B870" s="61"/>
      <c r="C870" s="61"/>
      <c r="D870" s="61"/>
      <c r="E870" s="61"/>
      <c r="F870" s="61"/>
      <c r="G870" s="61"/>
      <c r="H870" s="61"/>
      <c r="I870" s="61"/>
      <c r="J870" s="107"/>
      <c r="K870" s="100"/>
      <c r="L870" s="61"/>
      <c r="M870" s="61"/>
      <c r="N870" s="61"/>
    </row>
    <row r="871">
      <c r="A871" s="65"/>
      <c r="B871" s="65"/>
      <c r="C871" s="65"/>
      <c r="D871" s="65"/>
      <c r="E871" s="65"/>
      <c r="F871" s="65"/>
      <c r="G871" s="65"/>
      <c r="H871" s="65"/>
      <c r="I871" s="65"/>
      <c r="J871" s="108"/>
      <c r="K871" s="103"/>
      <c r="L871" s="65"/>
      <c r="M871" s="65"/>
      <c r="N871" s="65"/>
    </row>
    <row r="872">
      <c r="A872" s="61"/>
      <c r="B872" s="61"/>
      <c r="C872" s="61"/>
      <c r="D872" s="61"/>
      <c r="E872" s="61"/>
      <c r="F872" s="61"/>
      <c r="G872" s="61"/>
      <c r="H872" s="61"/>
      <c r="I872" s="61"/>
      <c r="J872" s="107"/>
      <c r="K872" s="100"/>
      <c r="L872" s="61"/>
      <c r="M872" s="61"/>
      <c r="N872" s="61"/>
    </row>
    <row r="873">
      <c r="A873" s="65"/>
      <c r="B873" s="65"/>
      <c r="C873" s="65"/>
      <c r="D873" s="65"/>
      <c r="E873" s="65"/>
      <c r="F873" s="65"/>
      <c r="G873" s="65"/>
      <c r="H873" s="65"/>
      <c r="I873" s="65"/>
      <c r="J873" s="108"/>
      <c r="K873" s="103"/>
      <c r="L873" s="65"/>
      <c r="M873" s="65"/>
      <c r="N873" s="65"/>
    </row>
    <row r="874">
      <c r="A874" s="61"/>
      <c r="B874" s="61"/>
      <c r="C874" s="61"/>
      <c r="D874" s="61"/>
      <c r="E874" s="61"/>
      <c r="F874" s="61"/>
      <c r="G874" s="61"/>
      <c r="H874" s="61"/>
      <c r="I874" s="61"/>
      <c r="J874" s="107"/>
      <c r="K874" s="100"/>
      <c r="L874" s="61"/>
      <c r="M874" s="61"/>
      <c r="N874" s="61"/>
    </row>
    <row r="875">
      <c r="A875" s="65"/>
      <c r="B875" s="65"/>
      <c r="C875" s="65"/>
      <c r="D875" s="65"/>
      <c r="E875" s="65"/>
      <c r="F875" s="65"/>
      <c r="G875" s="65"/>
      <c r="H875" s="65"/>
      <c r="I875" s="65"/>
      <c r="J875" s="108"/>
      <c r="K875" s="103"/>
      <c r="L875" s="65"/>
      <c r="M875" s="65"/>
      <c r="N875" s="65"/>
    </row>
    <row r="876">
      <c r="A876" s="61"/>
      <c r="B876" s="61"/>
      <c r="C876" s="61"/>
      <c r="D876" s="61"/>
      <c r="E876" s="61"/>
      <c r="F876" s="61"/>
      <c r="G876" s="61"/>
      <c r="H876" s="61"/>
      <c r="I876" s="61"/>
      <c r="J876" s="107"/>
      <c r="K876" s="100"/>
      <c r="L876" s="61"/>
      <c r="M876" s="61"/>
      <c r="N876" s="61"/>
    </row>
    <row r="877">
      <c r="A877" s="65"/>
      <c r="B877" s="65"/>
      <c r="C877" s="65"/>
      <c r="D877" s="65"/>
      <c r="E877" s="65"/>
      <c r="F877" s="65"/>
      <c r="G877" s="65"/>
      <c r="H877" s="65"/>
      <c r="I877" s="65"/>
      <c r="J877" s="108"/>
      <c r="K877" s="103"/>
      <c r="L877" s="65"/>
      <c r="M877" s="65"/>
      <c r="N877" s="65"/>
    </row>
    <row r="878">
      <c r="A878" s="61"/>
      <c r="B878" s="61"/>
      <c r="C878" s="61"/>
      <c r="D878" s="61"/>
      <c r="E878" s="61"/>
      <c r="F878" s="61"/>
      <c r="G878" s="61"/>
      <c r="H878" s="61"/>
      <c r="I878" s="61"/>
      <c r="J878" s="107"/>
      <c r="K878" s="100"/>
      <c r="L878" s="61"/>
      <c r="M878" s="61"/>
      <c r="N878" s="61"/>
    </row>
    <row r="879">
      <c r="A879" s="65"/>
      <c r="B879" s="65"/>
      <c r="C879" s="65"/>
      <c r="D879" s="65"/>
      <c r="E879" s="65"/>
      <c r="F879" s="65"/>
      <c r="G879" s="65"/>
      <c r="H879" s="65"/>
      <c r="I879" s="65"/>
      <c r="J879" s="108"/>
      <c r="K879" s="103"/>
      <c r="L879" s="65"/>
      <c r="M879" s="65"/>
      <c r="N879" s="65"/>
    </row>
    <row r="880">
      <c r="A880" s="61"/>
      <c r="B880" s="61"/>
      <c r="C880" s="61"/>
      <c r="D880" s="61"/>
      <c r="E880" s="61"/>
      <c r="F880" s="61"/>
      <c r="G880" s="61"/>
      <c r="H880" s="61"/>
      <c r="I880" s="61"/>
      <c r="J880" s="107"/>
      <c r="K880" s="100"/>
      <c r="L880" s="61"/>
      <c r="M880" s="61"/>
      <c r="N880" s="61"/>
    </row>
    <row r="881">
      <c r="A881" s="65"/>
      <c r="B881" s="65"/>
      <c r="C881" s="65"/>
      <c r="D881" s="65"/>
      <c r="E881" s="65"/>
      <c r="F881" s="65"/>
      <c r="G881" s="65"/>
      <c r="H881" s="65"/>
      <c r="I881" s="65"/>
      <c r="J881" s="108"/>
      <c r="K881" s="103"/>
      <c r="L881" s="65"/>
      <c r="M881" s="65"/>
      <c r="N881" s="65"/>
    </row>
    <row r="882">
      <c r="A882" s="61"/>
      <c r="B882" s="61"/>
      <c r="C882" s="61"/>
      <c r="D882" s="61"/>
      <c r="E882" s="61"/>
      <c r="F882" s="61"/>
      <c r="G882" s="61"/>
      <c r="H882" s="61"/>
      <c r="I882" s="61"/>
      <c r="J882" s="107"/>
      <c r="K882" s="100"/>
      <c r="L882" s="61"/>
      <c r="M882" s="61"/>
      <c r="N882" s="61"/>
    </row>
    <row r="883">
      <c r="A883" s="65"/>
      <c r="B883" s="65"/>
      <c r="C883" s="65"/>
      <c r="D883" s="65"/>
      <c r="E883" s="65"/>
      <c r="F883" s="65"/>
      <c r="G883" s="65"/>
      <c r="H883" s="65"/>
      <c r="I883" s="65"/>
      <c r="J883" s="108"/>
      <c r="K883" s="103"/>
      <c r="L883" s="65"/>
      <c r="M883" s="65"/>
      <c r="N883" s="65"/>
    </row>
    <row r="884">
      <c r="A884" s="61"/>
      <c r="B884" s="61"/>
      <c r="C884" s="61"/>
      <c r="D884" s="61"/>
      <c r="E884" s="61"/>
      <c r="F884" s="61"/>
      <c r="G884" s="61"/>
      <c r="H884" s="61"/>
      <c r="I884" s="61"/>
      <c r="J884" s="107"/>
      <c r="K884" s="100"/>
      <c r="L884" s="61"/>
      <c r="M884" s="61"/>
      <c r="N884" s="61"/>
    </row>
    <row r="885">
      <c r="A885" s="65"/>
      <c r="B885" s="65"/>
      <c r="C885" s="65"/>
      <c r="D885" s="65"/>
      <c r="E885" s="65"/>
      <c r="F885" s="65"/>
      <c r="G885" s="65"/>
      <c r="H885" s="65"/>
      <c r="I885" s="65"/>
      <c r="J885" s="108"/>
      <c r="K885" s="103"/>
      <c r="L885" s="65"/>
      <c r="M885" s="65"/>
      <c r="N885" s="65"/>
    </row>
    <row r="886">
      <c r="A886" s="61"/>
      <c r="B886" s="61"/>
      <c r="C886" s="61"/>
      <c r="D886" s="61"/>
      <c r="E886" s="61"/>
      <c r="F886" s="61"/>
      <c r="G886" s="61"/>
      <c r="H886" s="61"/>
      <c r="I886" s="61"/>
      <c r="J886" s="107"/>
      <c r="K886" s="100"/>
      <c r="L886" s="61"/>
      <c r="M886" s="61"/>
      <c r="N886" s="61"/>
    </row>
    <row r="887">
      <c r="A887" s="65"/>
      <c r="B887" s="65"/>
      <c r="C887" s="65"/>
      <c r="D887" s="65"/>
      <c r="E887" s="65"/>
      <c r="F887" s="65"/>
      <c r="G887" s="65"/>
      <c r="H887" s="65"/>
      <c r="I887" s="65"/>
      <c r="J887" s="108"/>
      <c r="K887" s="103"/>
      <c r="L887" s="65"/>
      <c r="M887" s="65"/>
      <c r="N887" s="65"/>
    </row>
    <row r="888">
      <c r="A888" s="61"/>
      <c r="B888" s="61"/>
      <c r="C888" s="61"/>
      <c r="D888" s="61"/>
      <c r="E888" s="61"/>
      <c r="F888" s="61"/>
      <c r="G888" s="61"/>
      <c r="H888" s="61"/>
      <c r="I888" s="61"/>
      <c r="J888" s="107"/>
      <c r="K888" s="100"/>
      <c r="L888" s="61"/>
      <c r="M888" s="61"/>
      <c r="N888" s="61"/>
    </row>
    <row r="889">
      <c r="A889" s="65"/>
      <c r="B889" s="65"/>
      <c r="C889" s="65"/>
      <c r="D889" s="65"/>
      <c r="E889" s="65"/>
      <c r="F889" s="65"/>
      <c r="G889" s="65"/>
      <c r="H889" s="65"/>
      <c r="I889" s="65"/>
      <c r="J889" s="108"/>
      <c r="K889" s="103"/>
      <c r="L889" s="65"/>
      <c r="M889" s="65"/>
      <c r="N889" s="65"/>
    </row>
    <row r="890">
      <c r="A890" s="61"/>
      <c r="B890" s="61"/>
      <c r="C890" s="61"/>
      <c r="D890" s="61"/>
      <c r="E890" s="61"/>
      <c r="F890" s="61"/>
      <c r="G890" s="61"/>
      <c r="H890" s="61"/>
      <c r="I890" s="61"/>
      <c r="J890" s="107"/>
      <c r="K890" s="100"/>
      <c r="L890" s="61"/>
      <c r="M890" s="61"/>
      <c r="N890" s="61"/>
    </row>
    <row r="891">
      <c r="A891" s="65"/>
      <c r="B891" s="65"/>
      <c r="C891" s="65"/>
      <c r="D891" s="65"/>
      <c r="E891" s="65"/>
      <c r="F891" s="65"/>
      <c r="G891" s="65"/>
      <c r="H891" s="65"/>
      <c r="I891" s="65"/>
      <c r="J891" s="108"/>
      <c r="K891" s="103"/>
      <c r="L891" s="65"/>
      <c r="M891" s="65"/>
      <c r="N891" s="65"/>
    </row>
    <row r="892">
      <c r="A892" s="61"/>
      <c r="B892" s="61"/>
      <c r="C892" s="61"/>
      <c r="D892" s="61"/>
      <c r="E892" s="61"/>
      <c r="F892" s="61"/>
      <c r="G892" s="61"/>
      <c r="H892" s="61"/>
      <c r="I892" s="61"/>
      <c r="J892" s="107"/>
      <c r="K892" s="100"/>
      <c r="L892" s="61"/>
      <c r="M892" s="61"/>
      <c r="N892" s="61"/>
    </row>
    <row r="893">
      <c r="A893" s="65"/>
      <c r="B893" s="65"/>
      <c r="C893" s="65"/>
      <c r="D893" s="65"/>
      <c r="E893" s="65"/>
      <c r="F893" s="65"/>
      <c r="G893" s="65"/>
      <c r="H893" s="65"/>
      <c r="I893" s="65"/>
      <c r="J893" s="108"/>
      <c r="K893" s="103"/>
      <c r="L893" s="65"/>
      <c r="M893" s="65"/>
      <c r="N893" s="65"/>
    </row>
    <row r="894">
      <c r="A894" s="61"/>
      <c r="B894" s="61"/>
      <c r="C894" s="61"/>
      <c r="D894" s="61"/>
      <c r="E894" s="61"/>
      <c r="F894" s="61"/>
      <c r="G894" s="61"/>
      <c r="H894" s="61"/>
      <c r="I894" s="61"/>
      <c r="J894" s="107"/>
      <c r="K894" s="100"/>
      <c r="L894" s="61"/>
      <c r="M894" s="61"/>
      <c r="N894" s="61"/>
    </row>
    <row r="895">
      <c r="A895" s="65"/>
      <c r="B895" s="65"/>
      <c r="C895" s="65"/>
      <c r="D895" s="65"/>
      <c r="E895" s="65"/>
      <c r="F895" s="65"/>
      <c r="G895" s="65"/>
      <c r="H895" s="65"/>
      <c r="I895" s="65"/>
      <c r="J895" s="108"/>
      <c r="K895" s="103"/>
      <c r="L895" s="65"/>
      <c r="M895" s="65"/>
      <c r="N895" s="65"/>
    </row>
    <row r="896">
      <c r="A896" s="61"/>
      <c r="B896" s="61"/>
      <c r="C896" s="61"/>
      <c r="D896" s="61"/>
      <c r="E896" s="61"/>
      <c r="F896" s="61"/>
      <c r="G896" s="61"/>
      <c r="H896" s="61"/>
      <c r="I896" s="61"/>
      <c r="J896" s="107"/>
      <c r="K896" s="100"/>
      <c r="L896" s="61"/>
      <c r="M896" s="61"/>
      <c r="N896" s="61"/>
    </row>
    <row r="897">
      <c r="A897" s="65"/>
      <c r="B897" s="65"/>
      <c r="C897" s="65"/>
      <c r="D897" s="65"/>
      <c r="E897" s="65"/>
      <c r="F897" s="65"/>
      <c r="G897" s="65"/>
      <c r="H897" s="65"/>
      <c r="I897" s="65"/>
      <c r="J897" s="108"/>
      <c r="K897" s="103"/>
      <c r="L897" s="65"/>
      <c r="M897" s="65"/>
      <c r="N897" s="65"/>
    </row>
    <row r="898">
      <c r="A898" s="61"/>
      <c r="B898" s="61"/>
      <c r="C898" s="61"/>
      <c r="D898" s="61"/>
      <c r="E898" s="61"/>
      <c r="F898" s="61"/>
      <c r="G898" s="61"/>
      <c r="H898" s="61"/>
      <c r="I898" s="61"/>
      <c r="J898" s="107"/>
      <c r="K898" s="100"/>
      <c r="L898" s="61"/>
      <c r="M898" s="61"/>
      <c r="N898" s="61"/>
    </row>
    <row r="899">
      <c r="A899" s="65"/>
      <c r="B899" s="65"/>
      <c r="C899" s="65"/>
      <c r="D899" s="65"/>
      <c r="E899" s="65"/>
      <c r="F899" s="65"/>
      <c r="G899" s="65"/>
      <c r="H899" s="65"/>
      <c r="I899" s="65"/>
      <c r="J899" s="108"/>
      <c r="K899" s="103"/>
      <c r="L899" s="65"/>
      <c r="M899" s="65"/>
      <c r="N899" s="65"/>
    </row>
    <row r="900">
      <c r="A900" s="61"/>
      <c r="B900" s="61"/>
      <c r="C900" s="61"/>
      <c r="D900" s="61"/>
      <c r="E900" s="61"/>
      <c r="F900" s="61"/>
      <c r="G900" s="61"/>
      <c r="H900" s="61"/>
      <c r="I900" s="61"/>
      <c r="J900" s="107"/>
      <c r="K900" s="100"/>
      <c r="L900" s="61"/>
      <c r="M900" s="61"/>
      <c r="N900" s="61"/>
    </row>
    <row r="901">
      <c r="A901" s="65"/>
      <c r="B901" s="65"/>
      <c r="C901" s="65"/>
      <c r="D901" s="65"/>
      <c r="E901" s="65"/>
      <c r="F901" s="65"/>
      <c r="G901" s="65"/>
      <c r="H901" s="65"/>
      <c r="I901" s="65"/>
      <c r="J901" s="108"/>
      <c r="K901" s="103"/>
      <c r="L901" s="65"/>
      <c r="M901" s="65"/>
      <c r="N901" s="65"/>
    </row>
    <row r="902">
      <c r="A902" s="61"/>
      <c r="B902" s="61"/>
      <c r="C902" s="61"/>
      <c r="D902" s="61"/>
      <c r="E902" s="61"/>
      <c r="F902" s="61"/>
      <c r="G902" s="61"/>
      <c r="H902" s="61"/>
      <c r="I902" s="61"/>
      <c r="J902" s="107"/>
      <c r="K902" s="100"/>
      <c r="L902" s="61"/>
      <c r="M902" s="61"/>
      <c r="N902" s="61"/>
    </row>
    <row r="903">
      <c r="A903" s="65"/>
      <c r="B903" s="65"/>
      <c r="C903" s="65"/>
      <c r="D903" s="65"/>
      <c r="E903" s="65"/>
      <c r="F903" s="65"/>
      <c r="G903" s="65"/>
      <c r="H903" s="65"/>
      <c r="I903" s="65"/>
      <c r="J903" s="108"/>
      <c r="K903" s="103"/>
      <c r="L903" s="65"/>
      <c r="M903" s="65"/>
      <c r="N903" s="65"/>
    </row>
    <row r="904">
      <c r="A904" s="61"/>
      <c r="B904" s="61"/>
      <c r="C904" s="61"/>
      <c r="D904" s="61"/>
      <c r="E904" s="61"/>
      <c r="F904" s="61"/>
      <c r="G904" s="61"/>
      <c r="H904" s="61"/>
      <c r="I904" s="61"/>
      <c r="J904" s="107"/>
      <c r="K904" s="100"/>
      <c r="L904" s="61"/>
      <c r="M904" s="61"/>
      <c r="N904" s="61"/>
    </row>
    <row r="905">
      <c r="A905" s="65"/>
      <c r="B905" s="65"/>
      <c r="C905" s="65"/>
      <c r="D905" s="65"/>
      <c r="E905" s="65"/>
      <c r="F905" s="65"/>
      <c r="G905" s="65"/>
      <c r="H905" s="65"/>
      <c r="I905" s="65"/>
      <c r="J905" s="108"/>
      <c r="K905" s="103"/>
      <c r="L905" s="65"/>
      <c r="M905" s="65"/>
      <c r="N905" s="65"/>
    </row>
    <row r="906">
      <c r="A906" s="61"/>
      <c r="B906" s="61"/>
      <c r="C906" s="61"/>
      <c r="D906" s="61"/>
      <c r="E906" s="61"/>
      <c r="F906" s="61"/>
      <c r="G906" s="61"/>
      <c r="H906" s="61"/>
      <c r="I906" s="61"/>
      <c r="J906" s="107"/>
      <c r="K906" s="100"/>
      <c r="L906" s="61"/>
      <c r="M906" s="61"/>
      <c r="N906" s="61"/>
    </row>
    <row r="907">
      <c r="A907" s="65"/>
      <c r="B907" s="65"/>
      <c r="C907" s="65"/>
      <c r="D907" s="65"/>
      <c r="E907" s="65"/>
      <c r="F907" s="65"/>
      <c r="G907" s="65"/>
      <c r="H907" s="65"/>
      <c r="I907" s="65"/>
      <c r="J907" s="108"/>
      <c r="K907" s="103"/>
      <c r="L907" s="65"/>
      <c r="M907" s="65"/>
      <c r="N907" s="65"/>
    </row>
    <row r="908">
      <c r="A908" s="61"/>
      <c r="B908" s="61"/>
      <c r="C908" s="61"/>
      <c r="D908" s="61"/>
      <c r="E908" s="61"/>
      <c r="F908" s="61"/>
      <c r="G908" s="61"/>
      <c r="H908" s="61"/>
      <c r="I908" s="61"/>
      <c r="J908" s="107"/>
      <c r="K908" s="100"/>
      <c r="L908" s="61"/>
      <c r="M908" s="61"/>
      <c r="N908" s="61"/>
    </row>
    <row r="909">
      <c r="A909" s="65"/>
      <c r="B909" s="65"/>
      <c r="C909" s="65"/>
      <c r="D909" s="65"/>
      <c r="E909" s="65"/>
      <c r="F909" s="65"/>
      <c r="G909" s="65"/>
      <c r="H909" s="65"/>
      <c r="I909" s="65"/>
      <c r="J909" s="108"/>
      <c r="K909" s="103"/>
      <c r="L909" s="65"/>
      <c r="M909" s="65"/>
      <c r="N909" s="65"/>
    </row>
    <row r="910">
      <c r="A910" s="61"/>
      <c r="B910" s="61"/>
      <c r="C910" s="61"/>
      <c r="D910" s="61"/>
      <c r="E910" s="61"/>
      <c r="F910" s="61"/>
      <c r="G910" s="61"/>
      <c r="H910" s="61"/>
      <c r="I910" s="61"/>
      <c r="J910" s="107"/>
      <c r="K910" s="100"/>
      <c r="L910" s="61"/>
      <c r="M910" s="61"/>
      <c r="N910" s="61"/>
    </row>
    <row r="911">
      <c r="A911" s="65"/>
      <c r="B911" s="65"/>
      <c r="C911" s="65"/>
      <c r="D911" s="65"/>
      <c r="E911" s="65"/>
      <c r="F911" s="65"/>
      <c r="G911" s="65"/>
      <c r="H911" s="65"/>
      <c r="I911" s="65"/>
      <c r="J911" s="108"/>
      <c r="K911" s="103"/>
      <c r="L911" s="65"/>
      <c r="M911" s="65"/>
      <c r="N911" s="65"/>
    </row>
    <row r="912">
      <c r="A912" s="61"/>
      <c r="B912" s="61"/>
      <c r="C912" s="61"/>
      <c r="D912" s="61"/>
      <c r="E912" s="61"/>
      <c r="F912" s="61"/>
      <c r="G912" s="61"/>
      <c r="H912" s="61"/>
      <c r="I912" s="61"/>
      <c r="J912" s="107"/>
      <c r="K912" s="100"/>
      <c r="L912" s="61"/>
      <c r="M912" s="61"/>
      <c r="N912" s="61"/>
    </row>
    <row r="913">
      <c r="A913" s="65"/>
      <c r="B913" s="65"/>
      <c r="C913" s="65"/>
      <c r="D913" s="65"/>
      <c r="E913" s="65"/>
      <c r="F913" s="65"/>
      <c r="G913" s="65"/>
      <c r="H913" s="65"/>
      <c r="I913" s="65"/>
      <c r="J913" s="108"/>
      <c r="K913" s="103"/>
      <c r="L913" s="65"/>
      <c r="M913" s="65"/>
      <c r="N913" s="65"/>
    </row>
    <row r="914">
      <c r="A914" s="61"/>
      <c r="B914" s="61"/>
      <c r="C914" s="61"/>
      <c r="D914" s="61"/>
      <c r="E914" s="61"/>
      <c r="F914" s="61"/>
      <c r="G914" s="61"/>
      <c r="H914" s="61"/>
      <c r="I914" s="61"/>
      <c r="J914" s="107"/>
      <c r="K914" s="100"/>
      <c r="L914" s="61"/>
      <c r="M914" s="61"/>
      <c r="N914" s="61"/>
    </row>
    <row r="915">
      <c r="A915" s="65"/>
      <c r="B915" s="65"/>
      <c r="C915" s="65"/>
      <c r="D915" s="65"/>
      <c r="E915" s="65"/>
      <c r="F915" s="65"/>
      <c r="G915" s="65"/>
      <c r="H915" s="65"/>
      <c r="I915" s="65"/>
      <c r="J915" s="108"/>
      <c r="K915" s="103"/>
      <c r="L915" s="65"/>
      <c r="M915" s="65"/>
      <c r="N915" s="65"/>
    </row>
    <row r="916">
      <c r="A916" s="61"/>
      <c r="B916" s="61"/>
      <c r="C916" s="61"/>
      <c r="D916" s="61"/>
      <c r="E916" s="61"/>
      <c r="F916" s="61"/>
      <c r="G916" s="61"/>
      <c r="H916" s="61"/>
      <c r="I916" s="61"/>
      <c r="J916" s="107"/>
      <c r="K916" s="100"/>
      <c r="L916" s="61"/>
      <c r="M916" s="61"/>
      <c r="N916" s="61"/>
    </row>
    <row r="917">
      <c r="A917" s="65"/>
      <c r="B917" s="65"/>
      <c r="C917" s="65"/>
      <c r="D917" s="65"/>
      <c r="E917" s="65"/>
      <c r="F917" s="65"/>
      <c r="G917" s="65"/>
      <c r="H917" s="65"/>
      <c r="I917" s="65"/>
      <c r="J917" s="108"/>
      <c r="K917" s="103"/>
      <c r="L917" s="65"/>
      <c r="M917" s="65"/>
      <c r="N917" s="65"/>
    </row>
    <row r="918">
      <c r="A918" s="61"/>
      <c r="B918" s="61"/>
      <c r="C918" s="61"/>
      <c r="D918" s="61"/>
      <c r="E918" s="61"/>
      <c r="F918" s="61"/>
      <c r="G918" s="61"/>
      <c r="H918" s="61"/>
      <c r="I918" s="61"/>
      <c r="J918" s="107"/>
      <c r="K918" s="100"/>
      <c r="L918" s="61"/>
      <c r="M918" s="61"/>
      <c r="N918" s="61"/>
    </row>
    <row r="919">
      <c r="A919" s="65"/>
      <c r="B919" s="65"/>
      <c r="C919" s="65"/>
      <c r="D919" s="65"/>
      <c r="E919" s="65"/>
      <c r="F919" s="65"/>
      <c r="G919" s="65"/>
      <c r="H919" s="65"/>
      <c r="I919" s="65"/>
      <c r="J919" s="108"/>
      <c r="K919" s="103"/>
      <c r="L919" s="65"/>
      <c r="M919" s="65"/>
      <c r="N919" s="65"/>
    </row>
    <row r="920">
      <c r="A920" s="61"/>
      <c r="B920" s="61"/>
      <c r="C920" s="61"/>
      <c r="D920" s="61"/>
      <c r="E920" s="61"/>
      <c r="F920" s="61"/>
      <c r="G920" s="61"/>
      <c r="H920" s="61"/>
      <c r="I920" s="61"/>
      <c r="J920" s="107"/>
      <c r="K920" s="100"/>
      <c r="L920" s="61"/>
      <c r="M920" s="61"/>
      <c r="N920" s="61"/>
    </row>
    <row r="921">
      <c r="A921" s="65"/>
      <c r="B921" s="65"/>
      <c r="C921" s="65"/>
      <c r="D921" s="65"/>
      <c r="E921" s="65"/>
      <c r="F921" s="65"/>
      <c r="G921" s="65"/>
      <c r="H921" s="65"/>
      <c r="I921" s="65"/>
      <c r="J921" s="108"/>
      <c r="K921" s="103"/>
      <c r="L921" s="65"/>
      <c r="M921" s="65"/>
      <c r="N921" s="65"/>
    </row>
    <row r="922">
      <c r="A922" s="61"/>
      <c r="B922" s="61"/>
      <c r="C922" s="61"/>
      <c r="D922" s="61"/>
      <c r="E922" s="61"/>
      <c r="F922" s="61"/>
      <c r="G922" s="61"/>
      <c r="H922" s="61"/>
      <c r="I922" s="61"/>
      <c r="J922" s="107"/>
      <c r="K922" s="100"/>
      <c r="L922" s="61"/>
      <c r="M922" s="61"/>
      <c r="N922" s="61"/>
    </row>
    <row r="923">
      <c r="A923" s="65"/>
      <c r="B923" s="65"/>
      <c r="C923" s="65"/>
      <c r="D923" s="65"/>
      <c r="E923" s="65"/>
      <c r="F923" s="65"/>
      <c r="G923" s="65"/>
      <c r="H923" s="65"/>
      <c r="I923" s="65"/>
      <c r="J923" s="108"/>
      <c r="K923" s="103"/>
      <c r="L923" s="65"/>
      <c r="M923" s="65"/>
      <c r="N923" s="65"/>
    </row>
    <row r="924">
      <c r="A924" s="61"/>
      <c r="B924" s="61"/>
      <c r="C924" s="61"/>
      <c r="D924" s="61"/>
      <c r="E924" s="61"/>
      <c r="F924" s="61"/>
      <c r="G924" s="61"/>
      <c r="H924" s="61"/>
      <c r="I924" s="61"/>
      <c r="J924" s="107"/>
      <c r="K924" s="100"/>
      <c r="L924" s="61"/>
      <c r="M924" s="61"/>
      <c r="N924" s="61"/>
    </row>
    <row r="925">
      <c r="A925" s="65"/>
      <c r="B925" s="65"/>
      <c r="C925" s="65"/>
      <c r="D925" s="65"/>
      <c r="E925" s="65"/>
      <c r="F925" s="65"/>
      <c r="G925" s="65"/>
      <c r="H925" s="65"/>
      <c r="I925" s="65"/>
      <c r="J925" s="108"/>
      <c r="K925" s="103"/>
      <c r="L925" s="65"/>
      <c r="M925" s="65"/>
      <c r="N925" s="65"/>
    </row>
    <row r="926">
      <c r="A926" s="61"/>
      <c r="B926" s="61"/>
      <c r="C926" s="61"/>
      <c r="D926" s="61"/>
      <c r="E926" s="61"/>
      <c r="F926" s="61"/>
      <c r="G926" s="61"/>
      <c r="H926" s="61"/>
      <c r="I926" s="61"/>
      <c r="J926" s="107"/>
      <c r="K926" s="100"/>
      <c r="L926" s="61"/>
      <c r="M926" s="61"/>
      <c r="N926" s="61"/>
    </row>
    <row r="927">
      <c r="A927" s="65"/>
      <c r="B927" s="65"/>
      <c r="C927" s="65"/>
      <c r="D927" s="65"/>
      <c r="E927" s="65"/>
      <c r="F927" s="65"/>
      <c r="G927" s="65"/>
      <c r="H927" s="65"/>
      <c r="I927" s="65"/>
      <c r="J927" s="108"/>
      <c r="K927" s="103"/>
      <c r="L927" s="65"/>
      <c r="M927" s="65"/>
      <c r="N927" s="65"/>
    </row>
    <row r="928">
      <c r="A928" s="61"/>
      <c r="B928" s="61"/>
      <c r="C928" s="61"/>
      <c r="D928" s="61"/>
      <c r="E928" s="61"/>
      <c r="F928" s="61"/>
      <c r="G928" s="61"/>
      <c r="H928" s="61"/>
      <c r="I928" s="61"/>
      <c r="J928" s="107"/>
      <c r="K928" s="100"/>
      <c r="L928" s="61"/>
      <c r="M928" s="61"/>
      <c r="N928" s="61"/>
    </row>
    <row r="929">
      <c r="A929" s="65"/>
      <c r="B929" s="65"/>
      <c r="C929" s="65"/>
      <c r="D929" s="65"/>
      <c r="E929" s="65"/>
      <c r="F929" s="65"/>
      <c r="G929" s="65"/>
      <c r="H929" s="65"/>
      <c r="I929" s="65"/>
      <c r="J929" s="108"/>
      <c r="K929" s="103"/>
      <c r="L929" s="65"/>
      <c r="M929" s="65"/>
      <c r="N929" s="65"/>
    </row>
    <row r="930">
      <c r="A930" s="61"/>
      <c r="B930" s="61"/>
      <c r="C930" s="61"/>
      <c r="D930" s="61"/>
      <c r="E930" s="61"/>
      <c r="F930" s="61"/>
      <c r="G930" s="61"/>
      <c r="H930" s="61"/>
      <c r="I930" s="61"/>
      <c r="J930" s="107"/>
      <c r="K930" s="100"/>
      <c r="L930" s="61"/>
      <c r="M930" s="61"/>
      <c r="N930" s="61"/>
    </row>
    <row r="931">
      <c r="A931" s="65"/>
      <c r="B931" s="65"/>
      <c r="C931" s="65"/>
      <c r="D931" s="65"/>
      <c r="E931" s="65"/>
      <c r="F931" s="65"/>
      <c r="G931" s="65"/>
      <c r="H931" s="65"/>
      <c r="I931" s="65"/>
      <c r="J931" s="108"/>
      <c r="K931" s="103"/>
      <c r="L931" s="65"/>
      <c r="M931" s="65"/>
      <c r="N931" s="65"/>
    </row>
    <row r="932">
      <c r="A932" s="61"/>
      <c r="B932" s="61"/>
      <c r="C932" s="61"/>
      <c r="D932" s="61"/>
      <c r="E932" s="61"/>
      <c r="F932" s="61"/>
      <c r="G932" s="61"/>
      <c r="H932" s="61"/>
      <c r="I932" s="61"/>
      <c r="J932" s="107"/>
      <c r="K932" s="100"/>
      <c r="L932" s="61"/>
      <c r="M932" s="61"/>
      <c r="N932" s="61"/>
    </row>
    <row r="933">
      <c r="A933" s="65"/>
      <c r="B933" s="65"/>
      <c r="C933" s="65"/>
      <c r="D933" s="65"/>
      <c r="E933" s="65"/>
      <c r="F933" s="65"/>
      <c r="G933" s="65"/>
      <c r="H933" s="65"/>
      <c r="I933" s="65"/>
      <c r="J933" s="108"/>
      <c r="K933" s="103"/>
      <c r="L933" s="65"/>
      <c r="M933" s="65"/>
      <c r="N933" s="65"/>
    </row>
    <row r="934">
      <c r="A934" s="61"/>
      <c r="B934" s="61"/>
      <c r="C934" s="61"/>
      <c r="D934" s="61"/>
      <c r="E934" s="61"/>
      <c r="F934" s="61"/>
      <c r="G934" s="61"/>
      <c r="H934" s="61"/>
      <c r="I934" s="61"/>
      <c r="J934" s="107"/>
      <c r="K934" s="100"/>
      <c r="L934" s="61"/>
      <c r="M934" s="61"/>
      <c r="N934" s="61"/>
    </row>
    <row r="935">
      <c r="A935" s="65"/>
      <c r="B935" s="65"/>
      <c r="C935" s="65"/>
      <c r="D935" s="65"/>
      <c r="E935" s="65"/>
      <c r="F935" s="65"/>
      <c r="G935" s="65"/>
      <c r="H935" s="65"/>
      <c r="I935" s="65"/>
      <c r="J935" s="108"/>
      <c r="K935" s="103"/>
      <c r="L935" s="65"/>
      <c r="M935" s="65"/>
      <c r="N935" s="65"/>
    </row>
    <row r="936">
      <c r="A936" s="61"/>
      <c r="B936" s="61"/>
      <c r="C936" s="61"/>
      <c r="D936" s="61"/>
      <c r="E936" s="61"/>
      <c r="F936" s="61"/>
      <c r="G936" s="61"/>
      <c r="H936" s="61"/>
      <c r="I936" s="61"/>
      <c r="J936" s="107"/>
      <c r="K936" s="100"/>
      <c r="L936" s="61"/>
      <c r="M936" s="61"/>
      <c r="N936" s="61"/>
    </row>
    <row r="937">
      <c r="A937" s="65"/>
      <c r="B937" s="65"/>
      <c r="C937" s="65"/>
      <c r="D937" s="65"/>
      <c r="E937" s="65"/>
      <c r="F937" s="65"/>
      <c r="G937" s="65"/>
      <c r="H937" s="65"/>
      <c r="I937" s="65"/>
      <c r="J937" s="108"/>
      <c r="K937" s="103"/>
      <c r="L937" s="65"/>
      <c r="M937" s="65"/>
      <c r="N937" s="65"/>
    </row>
    <row r="938">
      <c r="A938" s="61"/>
      <c r="B938" s="61"/>
      <c r="C938" s="61"/>
      <c r="D938" s="61"/>
      <c r="E938" s="61"/>
      <c r="F938" s="61"/>
      <c r="G938" s="61"/>
      <c r="H938" s="61"/>
      <c r="I938" s="61"/>
      <c r="J938" s="107"/>
      <c r="K938" s="100"/>
      <c r="L938" s="61"/>
      <c r="M938" s="61"/>
      <c r="N938" s="61"/>
    </row>
    <row r="939">
      <c r="A939" s="65"/>
      <c r="B939" s="65"/>
      <c r="C939" s="65"/>
      <c r="D939" s="65"/>
      <c r="E939" s="65"/>
      <c r="F939" s="65"/>
      <c r="G939" s="65"/>
      <c r="H939" s="65"/>
      <c r="I939" s="65"/>
      <c r="J939" s="108"/>
      <c r="K939" s="103"/>
      <c r="L939" s="65"/>
      <c r="M939" s="65"/>
      <c r="N939" s="65"/>
    </row>
    <row r="940">
      <c r="A940" s="61"/>
      <c r="B940" s="61"/>
      <c r="C940" s="61"/>
      <c r="D940" s="61"/>
      <c r="E940" s="61"/>
      <c r="F940" s="61"/>
      <c r="G940" s="61"/>
      <c r="H940" s="61"/>
      <c r="I940" s="61"/>
      <c r="J940" s="107"/>
      <c r="K940" s="100"/>
      <c r="L940" s="61"/>
      <c r="M940" s="61"/>
      <c r="N940" s="61"/>
    </row>
    <row r="941">
      <c r="A941" s="65"/>
      <c r="B941" s="65"/>
      <c r="C941" s="65"/>
      <c r="D941" s="65"/>
      <c r="E941" s="65"/>
      <c r="F941" s="65"/>
      <c r="G941" s="65"/>
      <c r="H941" s="65"/>
      <c r="I941" s="65"/>
      <c r="J941" s="108"/>
      <c r="K941" s="103"/>
      <c r="L941" s="65"/>
      <c r="M941" s="65"/>
      <c r="N941" s="65"/>
    </row>
    <row r="942">
      <c r="A942" s="61"/>
      <c r="B942" s="61"/>
      <c r="C942" s="61"/>
      <c r="D942" s="61"/>
      <c r="E942" s="61"/>
      <c r="F942" s="61"/>
      <c r="G942" s="61"/>
      <c r="H942" s="61"/>
      <c r="I942" s="61"/>
      <c r="J942" s="107"/>
      <c r="K942" s="100"/>
      <c r="L942" s="61"/>
      <c r="M942" s="61"/>
      <c r="N942" s="61"/>
    </row>
    <row r="943">
      <c r="A943" s="65"/>
      <c r="B943" s="65"/>
      <c r="C943" s="65"/>
      <c r="D943" s="65"/>
      <c r="E943" s="65"/>
      <c r="F943" s="65"/>
      <c r="G943" s="65"/>
      <c r="H943" s="65"/>
      <c r="I943" s="65"/>
      <c r="J943" s="108"/>
      <c r="K943" s="103"/>
      <c r="L943" s="65"/>
      <c r="M943" s="65"/>
      <c r="N943" s="65"/>
    </row>
    <row r="944">
      <c r="A944" s="61"/>
      <c r="B944" s="61"/>
      <c r="C944" s="61"/>
      <c r="D944" s="61"/>
      <c r="E944" s="61"/>
      <c r="F944" s="61"/>
      <c r="G944" s="61"/>
      <c r="H944" s="61"/>
      <c r="I944" s="61"/>
      <c r="J944" s="107"/>
      <c r="K944" s="100"/>
      <c r="L944" s="61"/>
      <c r="M944" s="61"/>
      <c r="N944" s="61"/>
    </row>
    <row r="945">
      <c r="A945" s="65"/>
      <c r="B945" s="65"/>
      <c r="C945" s="65"/>
      <c r="D945" s="65"/>
      <c r="E945" s="65"/>
      <c r="F945" s="65"/>
      <c r="G945" s="65"/>
      <c r="H945" s="65"/>
      <c r="I945" s="65"/>
      <c r="J945" s="108"/>
      <c r="K945" s="103"/>
      <c r="L945" s="65"/>
      <c r="M945" s="65"/>
      <c r="N945" s="65"/>
    </row>
    <row r="946">
      <c r="A946" s="61"/>
      <c r="B946" s="61"/>
      <c r="C946" s="61"/>
      <c r="D946" s="61"/>
      <c r="E946" s="61"/>
      <c r="F946" s="61"/>
      <c r="G946" s="61"/>
      <c r="H946" s="61"/>
      <c r="I946" s="61"/>
      <c r="J946" s="107"/>
      <c r="K946" s="100"/>
      <c r="L946" s="61"/>
      <c r="M946" s="61"/>
      <c r="N946" s="61"/>
    </row>
    <row r="947">
      <c r="A947" s="65"/>
      <c r="B947" s="65"/>
      <c r="C947" s="65"/>
      <c r="D947" s="65"/>
      <c r="E947" s="65"/>
      <c r="F947" s="65"/>
      <c r="G947" s="65"/>
      <c r="H947" s="65"/>
      <c r="I947" s="65"/>
      <c r="J947" s="108"/>
      <c r="K947" s="103"/>
      <c r="L947" s="65"/>
      <c r="M947" s="65"/>
      <c r="N947" s="65"/>
    </row>
    <row r="948">
      <c r="A948" s="61"/>
      <c r="B948" s="61"/>
      <c r="C948" s="61"/>
      <c r="D948" s="61"/>
      <c r="E948" s="61"/>
      <c r="F948" s="61"/>
      <c r="G948" s="61"/>
      <c r="H948" s="61"/>
      <c r="I948" s="61"/>
      <c r="J948" s="107"/>
      <c r="K948" s="100"/>
      <c r="L948" s="61"/>
      <c r="M948" s="61"/>
      <c r="N948" s="61"/>
    </row>
    <row r="949">
      <c r="A949" s="65"/>
      <c r="B949" s="65"/>
      <c r="C949" s="65"/>
      <c r="D949" s="65"/>
      <c r="E949" s="65"/>
      <c r="F949" s="65"/>
      <c r="G949" s="65"/>
      <c r="H949" s="65"/>
      <c r="I949" s="65"/>
      <c r="J949" s="108"/>
      <c r="K949" s="103"/>
      <c r="L949" s="65"/>
      <c r="M949" s="65"/>
      <c r="N949" s="65"/>
    </row>
    <row r="950">
      <c r="A950" s="61"/>
      <c r="B950" s="61"/>
      <c r="C950" s="61"/>
      <c r="D950" s="61"/>
      <c r="E950" s="61"/>
      <c r="F950" s="61"/>
      <c r="G950" s="61"/>
      <c r="H950" s="61"/>
      <c r="I950" s="61"/>
      <c r="J950" s="107"/>
      <c r="K950" s="100"/>
      <c r="L950" s="61"/>
      <c r="M950" s="61"/>
      <c r="N950" s="61"/>
    </row>
    <row r="951">
      <c r="A951" s="65"/>
      <c r="B951" s="65"/>
      <c r="C951" s="65"/>
      <c r="D951" s="65"/>
      <c r="E951" s="65"/>
      <c r="F951" s="65"/>
      <c r="G951" s="65"/>
      <c r="H951" s="65"/>
      <c r="I951" s="65"/>
      <c r="J951" s="108"/>
      <c r="K951" s="103"/>
      <c r="L951" s="65"/>
      <c r="M951" s="65"/>
      <c r="N951" s="65"/>
    </row>
    <row r="952">
      <c r="A952" s="61"/>
      <c r="B952" s="61"/>
      <c r="C952" s="61"/>
      <c r="D952" s="61"/>
      <c r="E952" s="61"/>
      <c r="F952" s="61"/>
      <c r="G952" s="61"/>
      <c r="H952" s="61"/>
      <c r="I952" s="61"/>
      <c r="J952" s="107"/>
      <c r="K952" s="100"/>
      <c r="L952" s="61"/>
      <c r="M952" s="61"/>
      <c r="N952" s="61"/>
    </row>
    <row r="953">
      <c r="A953" s="65"/>
      <c r="B953" s="65"/>
      <c r="C953" s="65"/>
      <c r="D953" s="65"/>
      <c r="E953" s="65"/>
      <c r="F953" s="65"/>
      <c r="G953" s="65"/>
      <c r="H953" s="65"/>
      <c r="I953" s="65"/>
      <c r="J953" s="108"/>
      <c r="K953" s="103"/>
      <c r="L953" s="65"/>
      <c r="M953" s="65"/>
      <c r="N953" s="65"/>
    </row>
    <row r="954">
      <c r="A954" s="61"/>
      <c r="B954" s="61"/>
      <c r="C954" s="61"/>
      <c r="D954" s="61"/>
      <c r="E954" s="61"/>
      <c r="F954" s="61"/>
      <c r="G954" s="61"/>
      <c r="H954" s="61"/>
      <c r="I954" s="61"/>
      <c r="J954" s="107"/>
      <c r="K954" s="100"/>
      <c r="L954" s="61"/>
      <c r="M954" s="61"/>
      <c r="N954" s="61"/>
    </row>
    <row r="955">
      <c r="A955" s="65"/>
      <c r="B955" s="65"/>
      <c r="C955" s="65"/>
      <c r="D955" s="65"/>
      <c r="E955" s="65"/>
      <c r="F955" s="65"/>
      <c r="G955" s="65"/>
      <c r="H955" s="65"/>
      <c r="I955" s="65"/>
      <c r="J955" s="108"/>
      <c r="K955" s="103"/>
      <c r="L955" s="65"/>
      <c r="M955" s="65"/>
      <c r="N955" s="65"/>
    </row>
    <row r="956">
      <c r="A956" s="61"/>
      <c r="B956" s="61"/>
      <c r="C956" s="61"/>
      <c r="D956" s="61"/>
      <c r="E956" s="61"/>
      <c r="F956" s="61"/>
      <c r="G956" s="61"/>
      <c r="H956" s="61"/>
      <c r="I956" s="61"/>
      <c r="J956" s="107"/>
      <c r="K956" s="100"/>
      <c r="L956" s="61"/>
      <c r="M956" s="61"/>
      <c r="N956" s="61"/>
    </row>
    <row r="957">
      <c r="A957" s="65"/>
      <c r="B957" s="65"/>
      <c r="C957" s="65"/>
      <c r="D957" s="65"/>
      <c r="E957" s="65"/>
      <c r="F957" s="65"/>
      <c r="G957" s="65"/>
      <c r="H957" s="65"/>
      <c r="I957" s="65"/>
      <c r="J957" s="108"/>
      <c r="K957" s="103"/>
      <c r="L957" s="65"/>
      <c r="M957" s="65"/>
      <c r="N957" s="65"/>
    </row>
    <row r="958">
      <c r="A958" s="61"/>
      <c r="B958" s="61"/>
      <c r="C958" s="61"/>
      <c r="D958" s="61"/>
      <c r="E958" s="61"/>
      <c r="F958" s="61"/>
      <c r="G958" s="61"/>
      <c r="H958" s="61"/>
      <c r="I958" s="61"/>
      <c r="J958" s="107"/>
      <c r="K958" s="100"/>
      <c r="L958" s="61"/>
      <c r="M958" s="61"/>
      <c r="N958" s="61"/>
    </row>
    <row r="959">
      <c r="A959" s="65"/>
      <c r="B959" s="65"/>
      <c r="C959" s="65"/>
      <c r="D959" s="65"/>
      <c r="E959" s="65"/>
      <c r="F959" s="65"/>
      <c r="G959" s="65"/>
      <c r="H959" s="65"/>
      <c r="I959" s="65"/>
      <c r="J959" s="108"/>
      <c r="K959" s="103"/>
      <c r="L959" s="65"/>
      <c r="M959" s="65"/>
      <c r="N959" s="65"/>
    </row>
    <row r="960">
      <c r="A960" s="61"/>
      <c r="B960" s="61"/>
      <c r="C960" s="61"/>
      <c r="D960" s="61"/>
      <c r="E960" s="61"/>
      <c r="F960" s="61"/>
      <c r="G960" s="61"/>
      <c r="H960" s="61"/>
      <c r="I960" s="61"/>
      <c r="J960" s="107"/>
      <c r="K960" s="100"/>
      <c r="L960" s="61"/>
      <c r="M960" s="61"/>
      <c r="N960" s="61"/>
    </row>
    <row r="961">
      <c r="A961" s="65"/>
      <c r="B961" s="65"/>
      <c r="C961" s="65"/>
      <c r="D961" s="65"/>
      <c r="E961" s="65"/>
      <c r="F961" s="65"/>
      <c r="G961" s="65"/>
      <c r="H961" s="65"/>
      <c r="I961" s="65"/>
      <c r="J961" s="108"/>
      <c r="K961" s="103"/>
      <c r="L961" s="65"/>
      <c r="M961" s="65"/>
      <c r="N961" s="65"/>
    </row>
    <row r="962">
      <c r="A962" s="61"/>
      <c r="B962" s="61"/>
      <c r="C962" s="61"/>
      <c r="D962" s="61"/>
      <c r="E962" s="61"/>
      <c r="F962" s="61"/>
      <c r="G962" s="61"/>
      <c r="H962" s="61"/>
      <c r="I962" s="61"/>
      <c r="J962" s="107"/>
      <c r="K962" s="100"/>
      <c r="L962" s="61"/>
      <c r="M962" s="61"/>
      <c r="N962" s="61"/>
    </row>
    <row r="963">
      <c r="A963" s="65"/>
      <c r="B963" s="65"/>
      <c r="C963" s="65"/>
      <c r="D963" s="65"/>
      <c r="E963" s="65"/>
      <c r="F963" s="65"/>
      <c r="G963" s="65"/>
      <c r="H963" s="65"/>
      <c r="I963" s="65"/>
      <c r="J963" s="108"/>
      <c r="K963" s="103"/>
      <c r="L963" s="65"/>
      <c r="M963" s="65"/>
      <c r="N963" s="65"/>
    </row>
    <row r="964">
      <c r="A964" s="61"/>
      <c r="B964" s="61"/>
      <c r="C964" s="61"/>
      <c r="D964" s="61"/>
      <c r="E964" s="61"/>
      <c r="F964" s="61"/>
      <c r="G964" s="61"/>
      <c r="H964" s="61"/>
      <c r="I964" s="61"/>
      <c r="J964" s="107"/>
      <c r="K964" s="100"/>
      <c r="L964" s="61"/>
      <c r="M964" s="61"/>
      <c r="N964" s="61"/>
    </row>
    <row r="965">
      <c r="A965" s="65"/>
      <c r="B965" s="65"/>
      <c r="C965" s="65"/>
      <c r="D965" s="65"/>
      <c r="E965" s="65"/>
      <c r="F965" s="65"/>
      <c r="G965" s="65"/>
      <c r="H965" s="65"/>
      <c r="I965" s="65"/>
      <c r="J965" s="108"/>
      <c r="K965" s="103"/>
      <c r="L965" s="65"/>
      <c r="M965" s="65"/>
      <c r="N965" s="65"/>
    </row>
    <row r="966">
      <c r="A966" s="61"/>
      <c r="B966" s="61"/>
      <c r="C966" s="61"/>
      <c r="D966" s="61"/>
      <c r="E966" s="61"/>
      <c r="F966" s="61"/>
      <c r="G966" s="61"/>
      <c r="H966" s="61"/>
      <c r="I966" s="61"/>
      <c r="J966" s="107"/>
      <c r="K966" s="100"/>
      <c r="L966" s="61"/>
      <c r="M966" s="61"/>
      <c r="N966" s="61"/>
    </row>
    <row r="967">
      <c r="A967" s="65"/>
      <c r="B967" s="65"/>
      <c r="C967" s="65"/>
      <c r="D967" s="65"/>
      <c r="E967" s="65"/>
      <c r="F967" s="65"/>
      <c r="G967" s="65"/>
      <c r="H967" s="65"/>
      <c r="I967" s="65"/>
      <c r="J967" s="108"/>
      <c r="K967" s="103"/>
      <c r="L967" s="65"/>
      <c r="M967" s="65"/>
      <c r="N967" s="65"/>
    </row>
    <row r="968">
      <c r="A968" s="61"/>
      <c r="B968" s="61"/>
      <c r="C968" s="61"/>
      <c r="D968" s="61"/>
      <c r="E968" s="61"/>
      <c r="F968" s="61"/>
      <c r="G968" s="61"/>
      <c r="H968" s="61"/>
      <c r="I968" s="61"/>
      <c r="J968" s="107"/>
      <c r="K968" s="100"/>
      <c r="L968" s="61"/>
      <c r="M968" s="61"/>
      <c r="N968" s="61"/>
    </row>
    <row r="969">
      <c r="A969" s="65"/>
      <c r="B969" s="65"/>
      <c r="C969" s="65"/>
      <c r="D969" s="65"/>
      <c r="E969" s="65"/>
      <c r="F969" s="65"/>
      <c r="G969" s="65"/>
      <c r="H969" s="65"/>
      <c r="I969" s="65"/>
      <c r="J969" s="108"/>
      <c r="K969" s="103"/>
      <c r="L969" s="65"/>
      <c r="M969" s="65"/>
      <c r="N969" s="65"/>
    </row>
    <row r="970">
      <c r="A970" s="61"/>
      <c r="B970" s="61"/>
      <c r="C970" s="61"/>
      <c r="D970" s="61"/>
      <c r="E970" s="61"/>
      <c r="F970" s="61"/>
      <c r="G970" s="61"/>
      <c r="H970" s="61"/>
      <c r="I970" s="61"/>
      <c r="J970" s="107"/>
      <c r="K970" s="100"/>
      <c r="L970" s="61"/>
      <c r="M970" s="61"/>
      <c r="N970" s="61"/>
    </row>
    <row r="971">
      <c r="A971" s="65"/>
      <c r="B971" s="65"/>
      <c r="C971" s="65"/>
      <c r="D971" s="65"/>
      <c r="E971" s="65"/>
      <c r="F971" s="65"/>
      <c r="G971" s="65"/>
      <c r="H971" s="65"/>
      <c r="I971" s="65"/>
      <c r="J971" s="108"/>
      <c r="K971" s="103"/>
      <c r="L971" s="65"/>
      <c r="M971" s="65"/>
      <c r="N971" s="65"/>
    </row>
    <row r="972">
      <c r="A972" s="61"/>
      <c r="B972" s="61"/>
      <c r="C972" s="61"/>
      <c r="D972" s="61"/>
      <c r="E972" s="61"/>
      <c r="F972" s="61"/>
      <c r="G972" s="61"/>
      <c r="H972" s="61"/>
      <c r="I972" s="61"/>
      <c r="J972" s="107"/>
      <c r="K972" s="100"/>
      <c r="L972" s="61"/>
      <c r="M972" s="61"/>
      <c r="N972" s="61"/>
    </row>
    <row r="973">
      <c r="A973" s="65"/>
      <c r="B973" s="65"/>
      <c r="C973" s="65"/>
      <c r="D973" s="65"/>
      <c r="E973" s="65"/>
      <c r="F973" s="65"/>
      <c r="G973" s="65"/>
      <c r="H973" s="65"/>
      <c r="I973" s="65"/>
      <c r="J973" s="108"/>
      <c r="K973" s="103"/>
      <c r="L973" s="65"/>
      <c r="M973" s="65"/>
      <c r="N973" s="65"/>
    </row>
    <row r="974">
      <c r="A974" s="61"/>
      <c r="B974" s="61"/>
      <c r="C974" s="61"/>
      <c r="D974" s="61"/>
      <c r="E974" s="61"/>
      <c r="F974" s="61"/>
      <c r="G974" s="61"/>
      <c r="H974" s="61"/>
      <c r="I974" s="61"/>
      <c r="J974" s="107"/>
      <c r="K974" s="100"/>
      <c r="L974" s="61"/>
      <c r="M974" s="61"/>
      <c r="N974" s="61"/>
    </row>
    <row r="975">
      <c r="A975" s="65"/>
      <c r="B975" s="65"/>
      <c r="C975" s="65"/>
      <c r="D975" s="65"/>
      <c r="E975" s="65"/>
      <c r="F975" s="65"/>
      <c r="G975" s="65"/>
      <c r="H975" s="65"/>
      <c r="I975" s="65"/>
      <c r="J975" s="108"/>
      <c r="K975" s="103"/>
      <c r="L975" s="65"/>
      <c r="M975" s="65"/>
      <c r="N975" s="65"/>
    </row>
    <row r="976">
      <c r="A976" s="61"/>
      <c r="B976" s="61"/>
      <c r="C976" s="61"/>
      <c r="D976" s="61"/>
      <c r="E976" s="61"/>
      <c r="F976" s="61"/>
      <c r="G976" s="61"/>
      <c r="H976" s="61"/>
      <c r="I976" s="61"/>
      <c r="J976" s="107"/>
      <c r="K976" s="100"/>
      <c r="L976" s="61"/>
      <c r="M976" s="61"/>
      <c r="N976" s="61"/>
    </row>
    <row r="977">
      <c r="A977" s="65"/>
      <c r="B977" s="65"/>
      <c r="C977" s="65"/>
      <c r="D977" s="65"/>
      <c r="E977" s="65"/>
      <c r="F977" s="65"/>
      <c r="G977" s="65"/>
      <c r="H977" s="65"/>
      <c r="I977" s="65"/>
      <c r="J977" s="108"/>
      <c r="K977" s="103"/>
      <c r="L977" s="65"/>
      <c r="M977" s="65"/>
      <c r="N977" s="65"/>
    </row>
    <row r="978">
      <c r="A978" s="61"/>
      <c r="B978" s="61"/>
      <c r="C978" s="61"/>
      <c r="D978" s="61"/>
      <c r="E978" s="61"/>
      <c r="F978" s="61"/>
      <c r="G978" s="61"/>
      <c r="H978" s="61"/>
      <c r="I978" s="61"/>
      <c r="J978" s="107"/>
      <c r="K978" s="100"/>
      <c r="L978" s="61"/>
      <c r="M978" s="61"/>
      <c r="N978" s="61"/>
    </row>
    <row r="979">
      <c r="A979" s="65"/>
      <c r="B979" s="65"/>
      <c r="C979" s="65"/>
      <c r="D979" s="65"/>
      <c r="E979" s="65"/>
      <c r="F979" s="65"/>
      <c r="G979" s="65"/>
      <c r="H979" s="65"/>
      <c r="I979" s="65"/>
      <c r="J979" s="108"/>
      <c r="K979" s="103"/>
      <c r="L979" s="65"/>
      <c r="M979" s="65"/>
      <c r="N979" s="65"/>
    </row>
    <row r="980">
      <c r="A980" s="61"/>
      <c r="B980" s="61"/>
      <c r="C980" s="61"/>
      <c r="D980" s="61"/>
      <c r="E980" s="61"/>
      <c r="F980" s="61"/>
      <c r="G980" s="61"/>
      <c r="H980" s="61"/>
      <c r="I980" s="61"/>
      <c r="J980" s="107"/>
      <c r="K980" s="100"/>
      <c r="L980" s="61"/>
      <c r="M980" s="61"/>
      <c r="N980" s="61"/>
    </row>
    <row r="981">
      <c r="A981" s="65"/>
      <c r="B981" s="65"/>
      <c r="C981" s="65"/>
      <c r="D981" s="65"/>
      <c r="E981" s="65"/>
      <c r="F981" s="65"/>
      <c r="G981" s="65"/>
      <c r="H981" s="65"/>
      <c r="I981" s="65"/>
      <c r="J981" s="108"/>
      <c r="K981" s="103"/>
      <c r="L981" s="65"/>
      <c r="M981" s="65"/>
      <c r="N981" s="65"/>
    </row>
    <row r="982">
      <c r="A982" s="61"/>
      <c r="B982" s="61"/>
      <c r="C982" s="61"/>
      <c r="D982" s="61"/>
      <c r="E982" s="61"/>
      <c r="F982" s="61"/>
      <c r="G982" s="61"/>
      <c r="H982" s="61"/>
      <c r="I982" s="61"/>
      <c r="J982" s="107"/>
      <c r="K982" s="100"/>
      <c r="L982" s="61"/>
      <c r="M982" s="61"/>
      <c r="N982" s="61"/>
    </row>
    <row r="983">
      <c r="A983" s="65"/>
      <c r="B983" s="65"/>
      <c r="C983" s="65"/>
      <c r="D983" s="65"/>
      <c r="E983" s="65"/>
      <c r="F983" s="65"/>
      <c r="G983" s="65"/>
      <c r="H983" s="65"/>
      <c r="I983" s="65"/>
      <c r="J983" s="108"/>
      <c r="K983" s="103"/>
      <c r="L983" s="65"/>
      <c r="M983" s="65"/>
      <c r="N983" s="65"/>
    </row>
    <row r="984">
      <c r="A984" s="61"/>
      <c r="B984" s="61"/>
      <c r="C984" s="61"/>
      <c r="D984" s="61"/>
      <c r="E984" s="61"/>
      <c r="F984" s="61"/>
      <c r="G984" s="61"/>
      <c r="H984" s="61"/>
      <c r="I984" s="61"/>
      <c r="J984" s="107"/>
      <c r="K984" s="100"/>
      <c r="L984" s="61"/>
      <c r="M984" s="61"/>
      <c r="N984" s="61"/>
    </row>
    <row r="985">
      <c r="A985" s="65"/>
      <c r="B985" s="65"/>
      <c r="C985" s="65"/>
      <c r="D985" s="65"/>
      <c r="E985" s="65"/>
      <c r="F985" s="65"/>
      <c r="G985" s="65"/>
      <c r="H985" s="65"/>
      <c r="I985" s="65"/>
      <c r="J985" s="108"/>
      <c r="K985" s="103"/>
      <c r="L985" s="65"/>
      <c r="M985" s="65"/>
      <c r="N985" s="65"/>
    </row>
    <row r="986">
      <c r="A986" s="61"/>
      <c r="B986" s="61"/>
      <c r="C986" s="61"/>
      <c r="D986" s="61"/>
      <c r="E986" s="61"/>
      <c r="F986" s="61"/>
      <c r="G986" s="61"/>
      <c r="H986" s="61"/>
      <c r="I986" s="61"/>
      <c r="J986" s="107"/>
      <c r="K986" s="100"/>
      <c r="L986" s="61"/>
      <c r="M986" s="61"/>
      <c r="N986" s="61"/>
    </row>
    <row r="987">
      <c r="A987" s="65"/>
      <c r="B987" s="65"/>
      <c r="C987" s="65"/>
      <c r="D987" s="65"/>
      <c r="E987" s="65"/>
      <c r="F987" s="65"/>
      <c r="G987" s="65"/>
      <c r="H987" s="65"/>
      <c r="I987" s="65"/>
      <c r="J987" s="108"/>
      <c r="K987" s="103"/>
      <c r="L987" s="65"/>
      <c r="M987" s="65"/>
      <c r="N987" s="65"/>
    </row>
    <row r="988">
      <c r="A988" s="61"/>
      <c r="B988" s="61"/>
      <c r="C988" s="61"/>
      <c r="D988" s="61"/>
      <c r="E988" s="61"/>
      <c r="F988" s="61"/>
      <c r="G988" s="61"/>
      <c r="H988" s="61"/>
      <c r="I988" s="61"/>
      <c r="J988" s="107"/>
      <c r="K988" s="100"/>
      <c r="L988" s="61"/>
      <c r="M988" s="61"/>
      <c r="N988" s="61"/>
    </row>
    <row r="989">
      <c r="A989" s="65"/>
      <c r="B989" s="65"/>
      <c r="C989" s="65"/>
      <c r="D989" s="65"/>
      <c r="E989" s="65"/>
      <c r="F989" s="65"/>
      <c r="G989" s="65"/>
      <c r="H989" s="65"/>
      <c r="I989" s="65"/>
      <c r="J989" s="108"/>
      <c r="K989" s="103"/>
      <c r="L989" s="65"/>
      <c r="M989" s="65"/>
      <c r="N989" s="65"/>
    </row>
    <row r="990">
      <c r="A990" s="61"/>
      <c r="B990" s="61"/>
      <c r="C990" s="61"/>
      <c r="D990" s="61"/>
      <c r="E990" s="61"/>
      <c r="F990" s="61"/>
      <c r="G990" s="61"/>
      <c r="H990" s="61"/>
      <c r="I990" s="61"/>
      <c r="J990" s="107"/>
      <c r="K990" s="100"/>
      <c r="L990" s="61"/>
      <c r="M990" s="61"/>
      <c r="N990" s="61"/>
    </row>
    <row r="991">
      <c r="A991" s="65"/>
      <c r="B991" s="65"/>
      <c r="C991" s="65"/>
      <c r="D991" s="65"/>
      <c r="E991" s="65"/>
      <c r="F991" s="65"/>
      <c r="G991" s="65"/>
      <c r="H991" s="65"/>
      <c r="I991" s="65"/>
      <c r="J991" s="108"/>
      <c r="K991" s="103"/>
      <c r="L991" s="65"/>
      <c r="M991" s="65"/>
      <c r="N991" s="65"/>
    </row>
    <row r="992">
      <c r="A992" s="61"/>
      <c r="B992" s="61"/>
      <c r="C992" s="61"/>
      <c r="D992" s="61"/>
      <c r="E992" s="61"/>
      <c r="F992" s="61"/>
      <c r="G992" s="61"/>
      <c r="H992" s="61"/>
      <c r="I992" s="61"/>
      <c r="J992" s="107"/>
      <c r="K992" s="100"/>
      <c r="L992" s="61"/>
      <c r="M992" s="61"/>
      <c r="N992" s="61"/>
    </row>
    <row r="993">
      <c r="A993" s="65"/>
      <c r="B993" s="65"/>
      <c r="C993" s="65"/>
      <c r="D993" s="65"/>
      <c r="E993" s="65"/>
      <c r="F993" s="65"/>
      <c r="G993" s="65"/>
      <c r="H993" s="65"/>
      <c r="I993" s="65"/>
      <c r="J993" s="108"/>
      <c r="K993" s="103"/>
      <c r="L993" s="65"/>
      <c r="M993" s="65"/>
      <c r="N993" s="65"/>
    </row>
    <row r="994">
      <c r="A994" s="61"/>
      <c r="B994" s="61"/>
      <c r="C994" s="61"/>
      <c r="D994" s="61"/>
      <c r="E994" s="61"/>
      <c r="F994" s="61"/>
      <c r="G994" s="61"/>
      <c r="H994" s="61"/>
      <c r="I994" s="61"/>
      <c r="J994" s="107"/>
      <c r="K994" s="100"/>
      <c r="L994" s="61"/>
      <c r="M994" s="61"/>
      <c r="N994" s="61"/>
    </row>
    <row r="995">
      <c r="A995" s="65"/>
      <c r="B995" s="65"/>
      <c r="C995" s="65"/>
      <c r="D995" s="65"/>
      <c r="E995" s="65"/>
      <c r="F995" s="65"/>
      <c r="G995" s="65"/>
      <c r="H995" s="65"/>
      <c r="I995" s="65"/>
      <c r="J995" s="108"/>
      <c r="K995" s="103"/>
      <c r="L995" s="65"/>
      <c r="M995" s="65"/>
      <c r="N995" s="65"/>
    </row>
    <row r="996">
      <c r="A996" s="61"/>
      <c r="B996" s="61"/>
      <c r="C996" s="61"/>
      <c r="D996" s="61"/>
      <c r="E996" s="61"/>
      <c r="F996" s="61"/>
      <c r="G996" s="61"/>
      <c r="H996" s="61"/>
      <c r="I996" s="61"/>
      <c r="J996" s="107"/>
      <c r="K996" s="100"/>
      <c r="L996" s="61"/>
      <c r="M996" s="61"/>
      <c r="N996" s="61"/>
    </row>
    <row r="997">
      <c r="A997" s="65"/>
      <c r="B997" s="65"/>
      <c r="C997" s="65"/>
      <c r="D997" s="65"/>
      <c r="E997" s="65"/>
      <c r="F997" s="65"/>
      <c r="G997" s="65"/>
      <c r="H997" s="65"/>
      <c r="I997" s="65"/>
      <c r="J997" s="108"/>
      <c r="K997" s="103"/>
      <c r="L997" s="65"/>
      <c r="M997" s="65"/>
      <c r="N997" s="65"/>
    </row>
    <row r="998">
      <c r="A998" s="61"/>
      <c r="B998" s="61"/>
      <c r="C998" s="61"/>
      <c r="D998" s="61"/>
      <c r="E998" s="61"/>
      <c r="F998" s="61"/>
      <c r="G998" s="61"/>
      <c r="H998" s="61"/>
      <c r="I998" s="61"/>
      <c r="J998" s="107"/>
      <c r="K998" s="100"/>
      <c r="L998" s="61"/>
      <c r="M998" s="61"/>
      <c r="N998" s="61"/>
    </row>
    <row r="999">
      <c r="A999" s="65"/>
      <c r="B999" s="65"/>
      <c r="C999" s="65"/>
      <c r="D999" s="65"/>
      <c r="E999" s="65"/>
      <c r="F999" s="65"/>
      <c r="G999" s="65"/>
      <c r="H999" s="65"/>
      <c r="I999" s="65"/>
      <c r="J999" s="108"/>
      <c r="K999" s="103"/>
      <c r="L999" s="65"/>
      <c r="M999" s="65"/>
      <c r="N999" s="65"/>
    </row>
  </sheetData>
  <autoFilter ref="$A$1:$L$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s>
  <drawing r:id="rId3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7" width="19.5"/>
    <col customWidth="1" min="8" max="8" width="19.0"/>
    <col customWidth="1" min="9" max="9" width="29.5"/>
    <col customWidth="1" min="10" max="10" width="25.25"/>
    <col customWidth="1" min="11" max="11" width="17.5"/>
    <col customWidth="1" min="12" max="12" width="22.63"/>
  </cols>
  <sheetData>
    <row r="1">
      <c r="A1" s="45" t="s">
        <v>14039</v>
      </c>
      <c r="B1" s="45" t="s">
        <v>14211</v>
      </c>
      <c r="C1" s="45" t="s">
        <v>2</v>
      </c>
      <c r="D1" s="45" t="s">
        <v>3</v>
      </c>
      <c r="E1" s="45" t="s">
        <v>14212</v>
      </c>
      <c r="F1" s="45" t="s">
        <v>35</v>
      </c>
      <c r="G1" s="45" t="s">
        <v>15210</v>
      </c>
      <c r="H1" s="45" t="s">
        <v>20</v>
      </c>
      <c r="I1" s="45" t="s">
        <v>14</v>
      </c>
      <c r="J1" s="45" t="s">
        <v>31</v>
      </c>
      <c r="K1" s="45" t="s">
        <v>14214</v>
      </c>
      <c r="L1" s="45" t="s">
        <v>33</v>
      </c>
      <c r="M1" s="97" t="s">
        <v>34</v>
      </c>
    </row>
    <row r="2">
      <c r="A2" s="99" t="str">
        <f>IFERROR(__xludf.DUMMYFUNCTION("ARRAYFORMULA(
  IFERROR(
    FILTER(
      {
        MAIN!A:A,
        MAIN!B:B,
        MAIN!C:C,
        IF(MAIN!D:D="""", MAIN!AM:AM, MAIN!D:D),
        MAIN!E:E,
        MAIN!AJ:AJ,
        MAIN!L:L,
        MAIN!U:U,
        MAIN!V:V,
        MAIN!AF"&amp;":AF,
        MAIN!AE:AE,
        MAIN!AH:AH,
        MAIN!AI:AI
      },
      MAIN!K:K=""Leave of Absence Storage""
    )
  )
)"),"https://utrucking.com/admin/orders/5926827786428")</f>
        <v>https://utrucking.com/admin/orders/5926827786428</v>
      </c>
      <c r="B2" s="61" t="str">
        <f>IFERROR(__xludf.DUMMYFUNCTION("""COMPUTED_VALUE"""),"#16020")</f>
        <v>#16020</v>
      </c>
      <c r="C2" s="61" t="str">
        <f>IFERROR(__xludf.DUMMYFUNCTION("""COMPUTED_VALUE"""),"jmcota@ontica.org")</f>
        <v>jmcota@ontica.org</v>
      </c>
      <c r="D2" s="61">
        <f>IFERROR(__xludf.DUMMYFUNCTION("""COMPUTED_VALUE"""),4.124822633E9)</f>
        <v>4124822633</v>
      </c>
      <c r="E2" s="61" t="str">
        <f>IFERROR(__xludf.DUMMYFUNCTION("""COMPUTED_VALUE"""),"Jose M Cota Valdivia")</f>
        <v>Jose M Cota Valdivia</v>
      </c>
      <c r="F2" s="61"/>
      <c r="G2" s="61" t="str">
        <f>IFERROR(__xludf.DUMMYFUNCTION("""COMPUTED_VALUE""")," 0 / Included Insurance   -  - ")</f>
        <v> 0 / Included Insurance   -  - </v>
      </c>
      <c r="H2" s="61"/>
      <c r="I2" s="61"/>
      <c r="J2" s="107" t="str">
        <f>IFERROR(__xludf.DUMMYFUNCTION("""COMPUTED_VALUE"""),"11:00 AM to 01:00 PM  ")</f>
        <v>11:00 AM to 01:00 PM  </v>
      </c>
      <c r="K2" s="100">
        <f>IFERROR(__xludf.DUMMYFUNCTION("""COMPUTED_VALUE"""),45883.0)</f>
        <v>45883</v>
      </c>
      <c r="L2" s="61" t="str">
        <f>IFERROR(__xludf.DUMMYFUNCTION("""COMPUTED_VALUE""")," ")</f>
        <v> </v>
      </c>
      <c r="M2" s="61"/>
    </row>
    <row r="3">
      <c r="A3" s="102" t="str">
        <f>IFERROR(__xludf.DUMMYFUNCTION("""COMPUTED_VALUE"""),"https://utrucking.com/admin/orders/5971564363964")</f>
        <v>https://utrucking.com/admin/orders/5971564363964</v>
      </c>
      <c r="B3" s="65" t="str">
        <f>IFERROR(__xludf.DUMMYFUNCTION("""COMPUTED_VALUE"""),"#16546")</f>
        <v>#16546</v>
      </c>
      <c r="C3" s="65" t="str">
        <f>IFERROR(__xludf.DUMMYFUNCTION("""COMPUTED_VALUE"""),"Andrea.Glenn.Loigman@gmail.com")</f>
        <v>Andrea.Glenn.Loigman@gmail.com</v>
      </c>
      <c r="D3" s="65">
        <f>IFERROR(__xludf.DUMMYFUNCTION("""COMPUTED_VALUE"""),9.175334035E9)</f>
        <v>9175334035</v>
      </c>
      <c r="E3" s="65" t="str">
        <f>IFERROR(__xludf.DUMMYFUNCTION("""COMPUTED_VALUE"""),"Andrea Loigman")</f>
        <v>Andrea Loigman</v>
      </c>
      <c r="F3" s="65" t="str">
        <f>IFERROR(__xludf.DUMMYFUNCTION("""COMPUTED_VALUE"""),"Georgia Loigman ")</f>
        <v>Georgia Loigman </v>
      </c>
      <c r="G3" s="65" t="str">
        <f>IFERROR(__xludf.DUMMYFUNCTION("""COMPUTED_VALUE""")," 1 [Included with Registration] / Included Insurance   - ")</f>
        <v> 1 [Included with Registration] / Included Insurance   - </v>
      </c>
      <c r="H3" s="65" t="str">
        <f>IFERROR(__xludf.DUMMYFUNCTION("""COMPUTED_VALUE"""),"Lopata  ")</f>
        <v>Lopata  </v>
      </c>
      <c r="I3" s="65" t="str">
        <f>IFERROR(__xludf.DUMMYFUNCTION("""COMPUTED_VALUE"""),"3030")</f>
        <v>3030</v>
      </c>
      <c r="J3" s="108" t="str">
        <f>IFERROR(__xludf.DUMMYFUNCTION("""COMPUTED_VALUE"""),"11:00 AM to 01:00 PM  ")</f>
        <v>11:00 AM to 01:00 PM  </v>
      </c>
      <c r="K3" s="103">
        <f>IFERROR(__xludf.DUMMYFUNCTION("""COMPUTED_VALUE"""),45911.0)</f>
        <v>45911</v>
      </c>
      <c r="L3" s="65" t="str">
        <f>IFERROR(__xludf.DUMMYFUNCTION("""COMPUTED_VALUE""")," ")</f>
        <v> </v>
      </c>
      <c r="M3" s="65"/>
    </row>
    <row r="4">
      <c r="A4" s="99" t="str">
        <f>IFERROR(__xludf.DUMMYFUNCTION("""COMPUTED_VALUE"""),"https://utrucking.com/admin/orders/6152740012220")</f>
        <v>https://utrucking.com/admin/orders/6152740012220</v>
      </c>
      <c r="B4" s="61" t="str">
        <f>IFERROR(__xludf.DUMMYFUNCTION("""COMPUTED_VALUE"""),"#16648")</f>
        <v>#16648</v>
      </c>
      <c r="C4" s="61"/>
      <c r="D4" s="61">
        <f>IFERROR(__xludf.DUMMYFUNCTION("""COMPUTED_VALUE"""),6.576312278E9)</f>
        <v>6576312278</v>
      </c>
      <c r="E4" s="61" t="str">
        <f>IFERROR(__xludf.DUMMYFUNCTION("""COMPUTED_VALUE"""),"Ella Jang")</f>
        <v>Ella Jang</v>
      </c>
      <c r="F4" s="61" t="str">
        <f>IFERROR(__xludf.DUMMYFUNCTION("""COMPUTED_VALUE"""),"Ella Jang")</f>
        <v>Ella Jang</v>
      </c>
      <c r="G4" s="61" t="str">
        <f>IFERROR(__xludf.DUMMYFUNCTION("""COMPUTED_VALUE""")," 1 [Included with Registration] / Included Insurance   - ")</f>
        <v> 1 [Included with Registration] / Included Insurance   - </v>
      </c>
      <c r="H4" s="61" t="str">
        <f>IFERROR(__xludf.DUMMYFUNCTION("""COMPUTED_VALUE"""),"Village East  ")</f>
        <v>Village East  </v>
      </c>
      <c r="I4" s="61" t="str">
        <f>IFERROR(__xludf.DUMMYFUNCTION("""COMPUTED_VALUE"""),"2074")</f>
        <v>2074</v>
      </c>
      <c r="J4" s="107" t="str">
        <f>IFERROR(__xludf.DUMMYFUNCTION("""COMPUTED_VALUE"""),"09:00 AM to 11:00 AM  ")</f>
        <v>09:00 AM to 11:00 AM  </v>
      </c>
      <c r="K4" s="100">
        <f>IFERROR(__xludf.DUMMYFUNCTION("""COMPUTED_VALUE"""),46006.0)</f>
        <v>46006</v>
      </c>
      <c r="L4" s="61" t="str">
        <f>IFERROR(__xludf.DUMMYFUNCTION("""COMPUTED_VALUE""")," ")</f>
        <v> </v>
      </c>
      <c r="M4" s="61"/>
    </row>
    <row r="5">
      <c r="A5" s="102" t="str">
        <f>IFERROR(__xludf.DUMMYFUNCTION("""COMPUTED_VALUE"""),"https://utrucking.com/admin/orders/6227897221308")</f>
        <v>https://utrucking.com/admin/orders/6227897221308</v>
      </c>
      <c r="B5" s="65" t="str">
        <f>IFERROR(__xludf.DUMMYFUNCTION("""COMPUTED_VALUE"""),"#16773")</f>
        <v>#16773</v>
      </c>
      <c r="C5" s="65" t="str">
        <f>IFERROR(__xludf.DUMMYFUNCTION("""COMPUTED_VALUE"""),"n.paris@wustl.edu")</f>
        <v>n.paris@wustl.edu</v>
      </c>
      <c r="D5" s="65">
        <f>IFERROR(__xludf.DUMMYFUNCTION("""COMPUTED_VALUE"""),2.012804707E9)</f>
        <v>2012804707</v>
      </c>
      <c r="E5" s="65" t="str">
        <f>IFERROR(__xludf.DUMMYFUNCTION("""COMPUTED_VALUE"""),"Paris Navas")</f>
        <v>Paris Navas</v>
      </c>
      <c r="F5" s="65" t="str">
        <f>IFERROR(__xludf.DUMMYFUNCTION("""COMPUTED_VALUE"""),"Paris Navas")</f>
        <v>Paris Navas</v>
      </c>
      <c r="G5" s="65" t="str">
        <f>IFERROR(__xludf.DUMMYFUNCTION("""COMPUTED_VALUE""")," 0 / Included Insurance   - ")</f>
        <v> 0 / Included Insurance   - </v>
      </c>
      <c r="H5" s="65" t="str">
        <f>IFERROR(__xludf.DUMMYFUNCTION("""COMPUTED_VALUE"""),"Eliot B (Sophomore Dorm)")</f>
        <v>Eliot B (Sophomore Dorm)</v>
      </c>
      <c r="I5" s="65" t="str">
        <f>IFERROR(__xludf.DUMMYFUNCTION("""COMPUTED_VALUE"""),"4040")</f>
        <v>4040</v>
      </c>
      <c r="J5" s="108" t="str">
        <f>IFERROR(__xludf.DUMMYFUNCTION("""COMPUTED_VALUE"""),"09:00 AM to 11:00 AM  ")</f>
        <v>09:00 AM to 11:00 AM  </v>
      </c>
      <c r="K5" s="103">
        <f>IFERROR(__xludf.DUMMYFUNCTION("""COMPUTED_VALUE"""),46034.0)</f>
        <v>46034</v>
      </c>
      <c r="L5" s="65" t="str">
        <f>IFERROR(__xludf.DUMMYFUNCTION("""COMPUTED_VALUE""")," ")</f>
        <v> </v>
      </c>
      <c r="M5" s="65"/>
    </row>
    <row r="6">
      <c r="A6" s="99" t="str">
        <f>IFERROR(__xludf.DUMMYFUNCTION("""COMPUTED_VALUE"""),"https://utrucking.com/admin/orders/6230137438396")</f>
        <v>https://utrucking.com/admin/orders/6230137438396</v>
      </c>
      <c r="B6" s="61" t="str">
        <f>IFERROR(__xludf.DUMMYFUNCTION("""COMPUTED_VALUE"""),"#16778")</f>
        <v>#16778</v>
      </c>
      <c r="C6" s="61"/>
      <c r="D6" s="61">
        <f>IFERROR(__xludf.DUMMYFUNCTION("""COMPUTED_VALUE"""),8.572250313E9)</f>
        <v>8572250313</v>
      </c>
      <c r="E6" s="61" t="str">
        <f>IFERROR(__xludf.DUMMYFUNCTION("""COMPUTED_VALUE"""),"Sara Schutzman")</f>
        <v>Sara Schutzman</v>
      </c>
      <c r="F6" s="61" t="str">
        <f>IFERROR(__xludf.DUMMYFUNCTION("""COMPUTED_VALUE"""),"Yael Margolis")</f>
        <v>Yael Margolis</v>
      </c>
      <c r="G6" s="61" t="str">
        <f>IFERROR(__xludf.DUMMYFUNCTION("""COMPUTED_VALUE""")," 1 [Included with Registration] / Included Insurance   - ")</f>
        <v> 1 [Included with Registration] / Included Insurance   - </v>
      </c>
      <c r="H6" s="61" t="str">
        <f>IFERROR(__xludf.DUMMYFUNCTION("""COMPUTED_VALUE"""),"Village East  ")</f>
        <v>Village East  </v>
      </c>
      <c r="I6" s="61" t="str">
        <f>IFERROR(__xludf.DUMMYFUNCTION("""COMPUTED_VALUE"""),"2111")</f>
        <v>2111</v>
      </c>
      <c r="J6" s="107" t="str">
        <f>IFERROR(__xludf.DUMMYFUNCTION("""COMPUTED_VALUE"""),"11:00 AM to 01:00 PM  ")</f>
        <v>11:00 AM to 01:00 PM  </v>
      </c>
      <c r="K6" s="100">
        <f>IFERROR(__xludf.DUMMYFUNCTION("""COMPUTED_VALUE"""),46036.0)</f>
        <v>46036</v>
      </c>
      <c r="L6" s="61" t="str">
        <f>IFERROR(__xludf.DUMMYFUNCTION("""COMPUTED_VALUE""")," ")</f>
        <v> </v>
      </c>
      <c r="M6" s="61"/>
    </row>
    <row r="7">
      <c r="A7" s="102" t="str">
        <f>IFERROR(__xludf.DUMMYFUNCTION("""COMPUTED_VALUE"""),"https://utrucking.com/admin/orders/6273753710780")</f>
        <v>https://utrucking.com/admin/orders/6273753710780</v>
      </c>
      <c r="B7" s="65" t="str">
        <f>IFERROR(__xludf.DUMMYFUNCTION("""COMPUTED_VALUE"""),"#16781")</f>
        <v>#16781</v>
      </c>
      <c r="C7" s="65" t="str">
        <f>IFERROR(__xludf.DUMMYFUNCTION("""COMPUTED_VALUE"""),"andrea@veritasleadershipllc.com")</f>
        <v>andrea@veritasleadershipllc.com</v>
      </c>
      <c r="D7" s="65">
        <f>IFERROR(__xludf.DUMMYFUNCTION("""COMPUTED_VALUE"""),9.17282103E9)</f>
        <v>9172821030</v>
      </c>
      <c r="E7" s="65" t="str">
        <f>IFERROR(__xludf.DUMMYFUNCTION("""COMPUTED_VALUE"""),"Andrea Miller")</f>
        <v>Andrea Miller</v>
      </c>
      <c r="F7" s="65" t="str">
        <f>IFERROR(__xludf.DUMMYFUNCTION("""COMPUTED_VALUE"""),"Sophie Miller")</f>
        <v>Sophie Miller</v>
      </c>
      <c r="G7" s="65" t="str">
        <f>IFERROR(__xludf.DUMMYFUNCTION("""COMPUTED_VALUE""")," 3 / Included Insurance   - ")</f>
        <v> 3 / Included Insurance   - </v>
      </c>
      <c r="H7" s="65" t="str">
        <f>IFERROR(__xludf.DUMMYFUNCTION("""COMPUTED_VALUE"""),"Lopata  ")</f>
        <v>Lopata  </v>
      </c>
      <c r="I7" s="65" t="str">
        <f>IFERROR(__xludf.DUMMYFUNCTION("""COMPUTED_VALUE"""),"3122")</f>
        <v>3122</v>
      </c>
      <c r="J7" s="108" t="str">
        <f>IFERROR(__xludf.DUMMYFUNCTION("""COMPUTED_VALUE"""),"09:00 AM to 11:00 AM  ")</f>
        <v>09:00 AM to 11:00 AM  </v>
      </c>
      <c r="K7" s="103">
        <f>IFERROR(__xludf.DUMMYFUNCTION("""COMPUTED_VALUE"""),46041.0)</f>
        <v>46041</v>
      </c>
      <c r="L7" s="65" t="str">
        <f>IFERROR(__xludf.DUMMYFUNCTION("""COMPUTED_VALUE""")," ")</f>
        <v> </v>
      </c>
      <c r="M7" s="65"/>
    </row>
    <row r="8">
      <c r="A8" s="99" t="str">
        <f>IFERROR(__xludf.DUMMYFUNCTION("""COMPUTED_VALUE"""),"https://utrucking.com/admin/orders/6308447191228")</f>
        <v>https://utrucking.com/admin/orders/6308447191228</v>
      </c>
      <c r="B8" s="61" t="str">
        <f>IFERROR(__xludf.DUMMYFUNCTION("""COMPUTED_VALUE"""),"#16828")</f>
        <v>#16828</v>
      </c>
      <c r="C8" s="61" t="str">
        <f>IFERROR(__xludf.DUMMYFUNCTION("""COMPUTED_VALUE"""),"j.m.west@wustl.edu")</f>
        <v>j.m.west@wustl.edu</v>
      </c>
      <c r="D8" s="61">
        <f>IFERROR(__xludf.DUMMYFUNCTION("""COMPUTED_VALUE"""),3.475867319E9)</f>
        <v>3475867319</v>
      </c>
      <c r="E8" s="61" t="str">
        <f>IFERROR(__xludf.DUMMYFUNCTION("""COMPUTED_VALUE"""),"James West")</f>
        <v>James West</v>
      </c>
      <c r="F8" s="61" t="str">
        <f>IFERROR(__xludf.DUMMYFUNCTION("""COMPUTED_VALUE"""),"James Wesf")</f>
        <v>James Wesf</v>
      </c>
      <c r="G8" s="61" t="str">
        <f>IFERROR(__xludf.DUMMYFUNCTION("""COMPUTED_VALUE""")," 1 [Included with Registration] / $500 of Additional Coverage   - ")</f>
        <v> 1 [Included with Registration] / $500 of Additional Coverage   - </v>
      </c>
      <c r="H8" s="61" t="str">
        <f>IFERROR(__xludf.DUMMYFUNCTION("""COMPUTED_VALUE"""),"6649 University Drive  ")</f>
        <v>6649 University Drive  </v>
      </c>
      <c r="I8" s="61" t="str">
        <f>IFERROR(__xludf.DUMMYFUNCTION("""COMPUTED_VALUE"""),"2E-C")</f>
        <v>2E-C</v>
      </c>
      <c r="J8" s="107" t="str">
        <f>IFERROR(__xludf.DUMMYFUNCTION("""COMPUTED_VALUE"""),"09:00 AM to 11:00 AM  ")</f>
        <v>09:00 AM to 11:00 AM  </v>
      </c>
      <c r="K8" s="100">
        <f>IFERROR(__xludf.DUMMYFUNCTION("""COMPUTED_VALUE"""),46062.0)</f>
        <v>46062</v>
      </c>
      <c r="L8" s="61" t="str">
        <f>IFERROR(__xludf.DUMMYFUNCTION("""COMPUTED_VALUE""")," ")</f>
        <v> </v>
      </c>
      <c r="M8" s="61"/>
    </row>
    <row r="9">
      <c r="A9" s="102" t="str">
        <f>IFERROR(__xludf.DUMMYFUNCTION("""COMPUTED_VALUE"""),"https://utrucking.com/admin/orders/6469237473468")</f>
        <v>https://utrucking.com/admin/orders/6469237473468</v>
      </c>
      <c r="B9" s="65" t="str">
        <f>IFERROR(__xludf.DUMMYFUNCTION("""COMPUTED_VALUE"""),"#18391")</f>
        <v>#18391</v>
      </c>
      <c r="C9" s="65" t="str">
        <f>IFERROR(__xludf.DUMMYFUNCTION("""COMPUTED_VALUE"""),"qiaochuhan1@gmail.com")</f>
        <v>qiaochuhan1@gmail.com</v>
      </c>
      <c r="D9" s="65">
        <f>IFERROR(__xludf.DUMMYFUNCTION("""COMPUTED_VALUE"""),5.577779605E9)</f>
        <v>5577779605</v>
      </c>
      <c r="E9" s="65" t="str">
        <f>IFERROR(__xludf.DUMMYFUNCTION("""COMPUTED_VALUE"""),"chuhan qiao")</f>
        <v>chuhan qiao</v>
      </c>
      <c r="F9" s="65" t="str">
        <f>IFERROR(__xludf.DUMMYFUNCTION("""COMPUTED_VALUE"""),"Chuhan Qiao")</f>
        <v>Chuhan Qiao</v>
      </c>
      <c r="G9" s="65" t="str">
        <f>IFERROR(__xludf.DUMMYFUNCTION("""COMPUTED_VALUE""")," 0 / Included Insurance   - ")</f>
        <v> 0 / Included Insurance   - </v>
      </c>
      <c r="H9" s="65" t="str">
        <f>IFERROR(__xludf.DUMMYFUNCTION("""COMPUTED_VALUE"""),"340 Rosedale Ave")</f>
        <v>340 Rosedale Ave</v>
      </c>
      <c r="I9" s="65" t="str">
        <f>IFERROR(__xludf.DUMMYFUNCTION("""COMPUTED_VALUE"""),"340-1N-B")</f>
        <v>340-1N-B</v>
      </c>
      <c r="J9" s="108" t="str">
        <f>IFERROR(__xludf.DUMMYFUNCTION("""COMPUTED_VALUE"""),"01:00 PM to 03:00 PM  ")</f>
        <v>01:00 PM to 03:00 PM  </v>
      </c>
      <c r="K9" s="103">
        <f>IFERROR(__xludf.DUMMYFUNCTION("""COMPUTED_VALUE"""),46157.0)</f>
        <v>46157</v>
      </c>
      <c r="L9" s="65" t="str">
        <f>IFERROR(__xludf.DUMMYFUNCTION("""COMPUTED_VALUE""")," ")</f>
        <v> </v>
      </c>
      <c r="M9" s="65" t="str">
        <f>IFERROR(__xludf.DUMMYFUNCTION("""COMPUTED_VALUE""")," ")</f>
        <v> </v>
      </c>
    </row>
    <row r="10">
      <c r="A10" s="61"/>
      <c r="B10" s="61"/>
      <c r="C10" s="61"/>
      <c r="D10" s="61"/>
      <c r="E10" s="61"/>
      <c r="F10" s="61"/>
      <c r="G10" s="61"/>
      <c r="H10" s="61"/>
      <c r="I10" s="61"/>
      <c r="J10" s="107"/>
      <c r="K10" s="100"/>
      <c r="L10" s="61"/>
      <c r="M10" s="61"/>
    </row>
    <row r="11">
      <c r="A11" s="65"/>
      <c r="B11" s="65"/>
      <c r="C11" s="65"/>
      <c r="D11" s="65"/>
      <c r="E11" s="65"/>
      <c r="F11" s="65"/>
      <c r="G11" s="65"/>
      <c r="H11" s="65"/>
      <c r="I11" s="65"/>
      <c r="J11" s="108"/>
      <c r="K11" s="103"/>
      <c r="L11" s="65"/>
      <c r="M11" s="65"/>
    </row>
    <row r="12">
      <c r="A12" s="61"/>
      <c r="B12" s="61"/>
      <c r="C12" s="61"/>
      <c r="D12" s="61"/>
      <c r="E12" s="61"/>
      <c r="F12" s="61"/>
      <c r="G12" s="61"/>
      <c r="H12" s="61"/>
      <c r="I12" s="61"/>
      <c r="J12" s="107"/>
      <c r="K12" s="100"/>
      <c r="L12" s="61"/>
      <c r="M12" s="61"/>
    </row>
    <row r="13">
      <c r="A13" s="65"/>
      <c r="B13" s="65"/>
      <c r="C13" s="65"/>
      <c r="D13" s="65"/>
      <c r="E13" s="65"/>
      <c r="F13" s="65"/>
      <c r="G13" s="65"/>
      <c r="H13" s="65"/>
      <c r="I13" s="65"/>
      <c r="J13" s="108"/>
      <c r="K13" s="103"/>
      <c r="L13" s="65"/>
      <c r="M13" s="65"/>
    </row>
    <row r="14">
      <c r="A14" s="61"/>
      <c r="B14" s="61"/>
      <c r="C14" s="61"/>
      <c r="D14" s="61"/>
      <c r="E14" s="61"/>
      <c r="F14" s="61"/>
      <c r="G14" s="61"/>
      <c r="H14" s="61"/>
      <c r="I14" s="61"/>
      <c r="J14" s="107"/>
      <c r="K14" s="100"/>
      <c r="L14" s="61"/>
      <c r="M14" s="61"/>
    </row>
    <row r="15">
      <c r="A15" s="65"/>
      <c r="B15" s="65"/>
      <c r="C15" s="65"/>
      <c r="D15" s="65"/>
      <c r="E15" s="65"/>
      <c r="F15" s="65"/>
      <c r="G15" s="65"/>
      <c r="H15" s="65"/>
      <c r="I15" s="65"/>
      <c r="J15" s="108"/>
      <c r="K15" s="103"/>
      <c r="L15" s="65"/>
      <c r="M15" s="65"/>
    </row>
    <row r="16">
      <c r="A16" s="61"/>
      <c r="B16" s="61"/>
      <c r="C16" s="61"/>
      <c r="D16" s="61"/>
      <c r="E16" s="61"/>
      <c r="F16" s="61"/>
      <c r="G16" s="61"/>
      <c r="H16" s="61"/>
      <c r="I16" s="61"/>
      <c r="J16" s="107"/>
      <c r="K16" s="100"/>
      <c r="L16" s="61"/>
      <c r="M16" s="61"/>
    </row>
    <row r="17">
      <c r="A17" s="65"/>
      <c r="B17" s="65"/>
      <c r="C17" s="65"/>
      <c r="D17" s="65"/>
      <c r="E17" s="65"/>
      <c r="F17" s="65"/>
      <c r="G17" s="65"/>
      <c r="H17" s="65"/>
      <c r="I17" s="65"/>
      <c r="J17" s="108"/>
      <c r="K17" s="103"/>
      <c r="L17" s="65"/>
      <c r="M17" s="65"/>
    </row>
    <row r="18">
      <c r="A18" s="61"/>
      <c r="B18" s="61"/>
      <c r="C18" s="61"/>
      <c r="D18" s="61"/>
      <c r="E18" s="61"/>
      <c r="F18" s="61"/>
      <c r="G18" s="61"/>
      <c r="H18" s="61"/>
      <c r="I18" s="61"/>
      <c r="J18" s="107"/>
      <c r="K18" s="100"/>
      <c r="L18" s="61"/>
      <c r="M18" s="61"/>
    </row>
    <row r="19">
      <c r="A19" s="65"/>
      <c r="B19" s="65"/>
      <c r="C19" s="65"/>
      <c r="D19" s="65"/>
      <c r="E19" s="65"/>
      <c r="F19" s="65"/>
      <c r="G19" s="65"/>
      <c r="H19" s="65"/>
      <c r="I19" s="65"/>
      <c r="J19" s="108"/>
      <c r="K19" s="103"/>
      <c r="L19" s="65"/>
      <c r="M19" s="65"/>
    </row>
    <row r="20">
      <c r="A20" s="61"/>
      <c r="B20" s="61"/>
      <c r="C20" s="61"/>
      <c r="D20" s="61"/>
      <c r="E20" s="61"/>
      <c r="F20" s="61"/>
      <c r="G20" s="61"/>
      <c r="H20" s="61"/>
      <c r="I20" s="61"/>
      <c r="J20" s="107"/>
      <c r="K20" s="100"/>
      <c r="L20" s="61"/>
      <c r="M20" s="61"/>
    </row>
    <row r="21">
      <c r="A21" s="65"/>
      <c r="B21" s="65"/>
      <c r="C21" s="65"/>
      <c r="D21" s="65"/>
      <c r="E21" s="65"/>
      <c r="F21" s="65"/>
      <c r="G21" s="65"/>
      <c r="H21" s="65"/>
      <c r="I21" s="65"/>
      <c r="J21" s="108"/>
      <c r="K21" s="103"/>
      <c r="L21" s="65"/>
      <c r="M21" s="65"/>
    </row>
    <row r="22">
      <c r="A22" s="61"/>
      <c r="B22" s="61"/>
      <c r="C22" s="61"/>
      <c r="D22" s="61"/>
      <c r="E22" s="61"/>
      <c r="F22" s="61"/>
      <c r="G22" s="61"/>
      <c r="H22" s="61"/>
      <c r="I22" s="61"/>
      <c r="J22" s="107"/>
      <c r="K22" s="100"/>
      <c r="L22" s="61"/>
      <c r="M22" s="61"/>
    </row>
    <row r="23">
      <c r="A23" s="65"/>
      <c r="B23" s="65"/>
      <c r="C23" s="65"/>
      <c r="D23" s="65"/>
      <c r="E23" s="65"/>
      <c r="F23" s="65"/>
      <c r="G23" s="65"/>
      <c r="H23" s="65"/>
      <c r="I23" s="65"/>
      <c r="J23" s="108"/>
      <c r="K23" s="103"/>
      <c r="L23" s="65"/>
      <c r="M23" s="65"/>
    </row>
    <row r="24">
      <c r="A24" s="61"/>
      <c r="B24" s="61"/>
      <c r="C24" s="61"/>
      <c r="D24" s="61"/>
      <c r="E24" s="61"/>
      <c r="F24" s="61"/>
      <c r="G24" s="61"/>
      <c r="H24" s="61"/>
      <c r="I24" s="61"/>
      <c r="J24" s="107"/>
      <c r="K24" s="100"/>
      <c r="L24" s="61"/>
      <c r="M24" s="61"/>
    </row>
    <row r="25">
      <c r="A25" s="65"/>
      <c r="B25" s="65"/>
      <c r="C25" s="65"/>
      <c r="D25" s="65"/>
      <c r="E25" s="65"/>
      <c r="F25" s="65"/>
      <c r="G25" s="65"/>
      <c r="H25" s="65"/>
      <c r="I25" s="65"/>
      <c r="J25" s="108"/>
      <c r="K25" s="103"/>
      <c r="L25" s="65"/>
      <c r="M25" s="65"/>
    </row>
    <row r="26">
      <c r="A26" s="61"/>
      <c r="B26" s="61"/>
      <c r="C26" s="61"/>
      <c r="D26" s="61"/>
      <c r="E26" s="61"/>
      <c r="F26" s="61"/>
      <c r="G26" s="61"/>
      <c r="H26" s="61"/>
      <c r="I26" s="61"/>
      <c r="J26" s="107"/>
      <c r="K26" s="100"/>
      <c r="L26" s="61"/>
      <c r="M26" s="61"/>
    </row>
    <row r="27">
      <c r="A27" s="65"/>
      <c r="B27" s="65"/>
      <c r="C27" s="65"/>
      <c r="D27" s="65"/>
      <c r="E27" s="65"/>
      <c r="F27" s="65"/>
      <c r="G27" s="65"/>
      <c r="H27" s="65"/>
      <c r="I27" s="65"/>
      <c r="J27" s="108"/>
      <c r="K27" s="103"/>
      <c r="L27" s="65"/>
      <c r="M27" s="65"/>
    </row>
    <row r="28">
      <c r="A28" s="61"/>
      <c r="B28" s="61"/>
      <c r="C28" s="61"/>
      <c r="D28" s="61"/>
      <c r="E28" s="61"/>
      <c r="F28" s="61"/>
      <c r="G28" s="61"/>
      <c r="H28" s="61"/>
      <c r="I28" s="61"/>
      <c r="J28" s="107"/>
      <c r="K28" s="100"/>
      <c r="L28" s="61"/>
      <c r="M28" s="61"/>
    </row>
    <row r="29">
      <c r="A29" s="65"/>
      <c r="B29" s="65"/>
      <c r="C29" s="65"/>
      <c r="D29" s="65"/>
      <c r="E29" s="65"/>
      <c r="F29" s="65"/>
      <c r="G29" s="65"/>
      <c r="H29" s="65"/>
      <c r="I29" s="65"/>
      <c r="J29" s="108"/>
      <c r="K29" s="103"/>
      <c r="L29" s="65"/>
      <c r="M29" s="65"/>
    </row>
    <row r="30">
      <c r="A30" s="61"/>
      <c r="B30" s="61"/>
      <c r="C30" s="61"/>
      <c r="D30" s="61"/>
      <c r="E30" s="61"/>
      <c r="F30" s="61"/>
      <c r="G30" s="61"/>
      <c r="H30" s="61"/>
      <c r="I30" s="61"/>
      <c r="J30" s="107"/>
      <c r="K30" s="100"/>
      <c r="L30" s="61"/>
      <c r="M30" s="61"/>
    </row>
    <row r="31">
      <c r="A31" s="65"/>
      <c r="B31" s="65"/>
      <c r="C31" s="65"/>
      <c r="D31" s="65"/>
      <c r="E31" s="65"/>
      <c r="F31" s="65"/>
      <c r="G31" s="65"/>
      <c r="H31" s="65"/>
      <c r="I31" s="65"/>
      <c r="J31" s="108"/>
      <c r="K31" s="103"/>
      <c r="L31" s="65"/>
      <c r="M31" s="65"/>
    </row>
    <row r="32">
      <c r="A32" s="61"/>
      <c r="B32" s="61"/>
      <c r="C32" s="61"/>
      <c r="D32" s="61"/>
      <c r="E32" s="61"/>
      <c r="F32" s="61"/>
      <c r="G32" s="61"/>
      <c r="H32" s="61"/>
      <c r="I32" s="61"/>
      <c r="J32" s="107"/>
      <c r="K32" s="100"/>
      <c r="L32" s="61"/>
      <c r="M32" s="61"/>
    </row>
    <row r="33">
      <c r="A33" s="65"/>
      <c r="B33" s="65"/>
      <c r="C33" s="65"/>
      <c r="D33" s="65"/>
      <c r="E33" s="65"/>
      <c r="F33" s="65"/>
      <c r="G33" s="65"/>
      <c r="H33" s="65"/>
      <c r="I33" s="65"/>
      <c r="J33" s="108"/>
      <c r="K33" s="103"/>
      <c r="L33" s="65"/>
      <c r="M33" s="65"/>
    </row>
    <row r="34">
      <c r="A34" s="61"/>
      <c r="B34" s="61"/>
      <c r="C34" s="61"/>
      <c r="D34" s="61"/>
      <c r="E34" s="61"/>
      <c r="F34" s="61"/>
      <c r="G34" s="61"/>
      <c r="H34" s="61"/>
      <c r="I34" s="61"/>
      <c r="J34" s="107"/>
      <c r="K34" s="100"/>
      <c r="L34" s="61"/>
      <c r="M34" s="61"/>
    </row>
    <row r="35">
      <c r="A35" s="65"/>
      <c r="B35" s="65"/>
      <c r="C35" s="65"/>
      <c r="D35" s="65"/>
      <c r="E35" s="65"/>
      <c r="F35" s="65"/>
      <c r="G35" s="65"/>
      <c r="H35" s="65"/>
      <c r="I35" s="65"/>
      <c r="J35" s="108"/>
      <c r="K35" s="103"/>
      <c r="L35" s="65"/>
      <c r="M35" s="65"/>
    </row>
    <row r="36">
      <c r="A36" s="61"/>
      <c r="B36" s="61"/>
      <c r="C36" s="61"/>
      <c r="D36" s="61"/>
      <c r="E36" s="61"/>
      <c r="F36" s="61"/>
      <c r="G36" s="61"/>
      <c r="H36" s="61"/>
      <c r="I36" s="61"/>
      <c r="J36" s="107"/>
      <c r="K36" s="100"/>
      <c r="L36" s="61"/>
      <c r="M36" s="61"/>
    </row>
    <row r="37">
      <c r="A37" s="65"/>
      <c r="B37" s="65"/>
      <c r="C37" s="65"/>
      <c r="D37" s="65"/>
      <c r="E37" s="65"/>
      <c r="F37" s="65"/>
      <c r="G37" s="65"/>
      <c r="H37" s="65"/>
      <c r="I37" s="65"/>
      <c r="J37" s="108"/>
      <c r="K37" s="103"/>
      <c r="L37" s="65"/>
      <c r="M37" s="65"/>
    </row>
    <row r="38">
      <c r="A38" s="61"/>
      <c r="B38" s="61"/>
      <c r="C38" s="61"/>
      <c r="D38" s="61"/>
      <c r="E38" s="61"/>
      <c r="F38" s="61"/>
      <c r="G38" s="61"/>
      <c r="H38" s="61"/>
      <c r="I38" s="61"/>
      <c r="J38" s="107"/>
      <c r="K38" s="100"/>
      <c r="L38" s="61"/>
      <c r="M38" s="61"/>
    </row>
    <row r="39">
      <c r="A39" s="65"/>
      <c r="B39" s="65"/>
      <c r="C39" s="65"/>
      <c r="D39" s="65"/>
      <c r="E39" s="65"/>
      <c r="F39" s="65"/>
      <c r="G39" s="65"/>
      <c r="H39" s="65"/>
      <c r="I39" s="65"/>
      <c r="J39" s="108"/>
      <c r="K39" s="103"/>
      <c r="L39" s="65"/>
      <c r="M39" s="65"/>
    </row>
    <row r="40">
      <c r="A40" s="61"/>
      <c r="B40" s="61"/>
      <c r="C40" s="61"/>
      <c r="D40" s="61"/>
      <c r="E40" s="61"/>
      <c r="F40" s="61"/>
      <c r="G40" s="61"/>
      <c r="H40" s="61"/>
      <c r="I40" s="61"/>
      <c r="J40" s="107"/>
      <c r="K40" s="100"/>
      <c r="L40" s="61"/>
      <c r="M40" s="61"/>
    </row>
    <row r="41">
      <c r="A41" s="65"/>
      <c r="B41" s="65"/>
      <c r="C41" s="65"/>
      <c r="D41" s="65"/>
      <c r="E41" s="65"/>
      <c r="F41" s="65"/>
      <c r="G41" s="65"/>
      <c r="H41" s="65"/>
      <c r="I41" s="65"/>
      <c r="J41" s="108"/>
      <c r="K41" s="103"/>
      <c r="L41" s="65"/>
      <c r="M41" s="65"/>
    </row>
    <row r="42">
      <c r="A42" s="61"/>
      <c r="B42" s="61"/>
      <c r="C42" s="61"/>
      <c r="D42" s="61"/>
      <c r="E42" s="61"/>
      <c r="F42" s="61"/>
      <c r="G42" s="61"/>
      <c r="H42" s="61"/>
      <c r="I42" s="61"/>
      <c r="J42" s="107"/>
      <c r="K42" s="100"/>
      <c r="L42" s="61"/>
      <c r="M42" s="61"/>
    </row>
    <row r="43">
      <c r="A43" s="65"/>
      <c r="B43" s="65"/>
      <c r="C43" s="65"/>
      <c r="D43" s="65"/>
      <c r="E43" s="65"/>
      <c r="F43" s="65"/>
      <c r="G43" s="65"/>
      <c r="H43" s="65"/>
      <c r="I43" s="65"/>
      <c r="J43" s="108"/>
      <c r="K43" s="103"/>
      <c r="L43" s="65"/>
      <c r="M43" s="65"/>
    </row>
    <row r="44">
      <c r="A44" s="61"/>
      <c r="B44" s="61"/>
      <c r="C44" s="61"/>
      <c r="D44" s="61"/>
      <c r="E44" s="61"/>
      <c r="F44" s="61"/>
      <c r="G44" s="61"/>
      <c r="H44" s="61"/>
      <c r="I44" s="61"/>
      <c r="J44" s="107"/>
      <c r="K44" s="100"/>
      <c r="L44" s="61"/>
      <c r="M44" s="61"/>
    </row>
    <row r="45">
      <c r="A45" s="65"/>
      <c r="B45" s="65"/>
      <c r="C45" s="65"/>
      <c r="D45" s="65"/>
      <c r="E45" s="65"/>
      <c r="F45" s="65"/>
      <c r="G45" s="65"/>
      <c r="H45" s="65"/>
      <c r="I45" s="65"/>
      <c r="J45" s="108"/>
      <c r="K45" s="103"/>
      <c r="L45" s="65"/>
      <c r="M45" s="65"/>
    </row>
    <row r="46">
      <c r="A46" s="61"/>
      <c r="B46" s="61"/>
      <c r="C46" s="61"/>
      <c r="D46" s="61"/>
      <c r="E46" s="61"/>
      <c r="F46" s="61"/>
      <c r="G46" s="61"/>
      <c r="H46" s="61"/>
      <c r="I46" s="61"/>
      <c r="J46" s="107"/>
      <c r="K46" s="100"/>
      <c r="L46" s="61"/>
      <c r="M46" s="61"/>
    </row>
    <row r="47">
      <c r="A47" s="65"/>
      <c r="B47" s="65"/>
      <c r="C47" s="65"/>
      <c r="D47" s="65"/>
      <c r="E47" s="65"/>
      <c r="F47" s="65"/>
      <c r="G47" s="65"/>
      <c r="H47" s="65"/>
      <c r="I47" s="65"/>
      <c r="J47" s="108"/>
      <c r="K47" s="103"/>
      <c r="L47" s="65"/>
      <c r="M47" s="65"/>
    </row>
    <row r="48">
      <c r="A48" s="61"/>
      <c r="B48" s="61"/>
      <c r="C48" s="61"/>
      <c r="D48" s="61"/>
      <c r="E48" s="61"/>
      <c r="F48" s="61"/>
      <c r="G48" s="61"/>
      <c r="H48" s="61"/>
      <c r="I48" s="61"/>
      <c r="J48" s="107"/>
      <c r="K48" s="100"/>
      <c r="L48" s="61"/>
      <c r="M48" s="61"/>
    </row>
    <row r="49">
      <c r="A49" s="65"/>
      <c r="B49" s="65"/>
      <c r="C49" s="65"/>
      <c r="D49" s="65"/>
      <c r="E49" s="65"/>
      <c r="F49" s="65"/>
      <c r="G49" s="65"/>
      <c r="H49" s="65"/>
      <c r="I49" s="65"/>
      <c r="J49" s="108"/>
      <c r="K49" s="103"/>
      <c r="L49" s="65"/>
      <c r="M49" s="65"/>
    </row>
    <row r="50">
      <c r="A50" s="61"/>
      <c r="B50" s="61"/>
      <c r="C50" s="61"/>
      <c r="D50" s="61"/>
      <c r="E50" s="61"/>
      <c r="F50" s="61"/>
      <c r="G50" s="61"/>
      <c r="H50" s="61"/>
      <c r="I50" s="61"/>
      <c r="J50" s="107"/>
      <c r="K50" s="100"/>
      <c r="L50" s="61"/>
      <c r="M50" s="61"/>
    </row>
    <row r="51">
      <c r="A51" s="65"/>
      <c r="B51" s="65"/>
      <c r="C51" s="65"/>
      <c r="D51" s="65"/>
      <c r="E51" s="65"/>
      <c r="F51" s="65"/>
      <c r="G51" s="65"/>
      <c r="H51" s="65"/>
      <c r="I51" s="65"/>
      <c r="J51" s="108"/>
      <c r="K51" s="103"/>
      <c r="L51" s="65"/>
      <c r="M51" s="65"/>
    </row>
    <row r="52">
      <c r="A52" s="61"/>
      <c r="B52" s="61"/>
      <c r="C52" s="61"/>
      <c r="D52" s="61"/>
      <c r="E52" s="61"/>
      <c r="F52" s="61"/>
      <c r="G52" s="61"/>
      <c r="H52" s="61"/>
      <c r="I52" s="61"/>
      <c r="J52" s="107"/>
      <c r="K52" s="100"/>
      <c r="L52" s="61"/>
      <c r="M52" s="61"/>
    </row>
    <row r="53">
      <c r="A53" s="65"/>
      <c r="B53" s="65"/>
      <c r="C53" s="65"/>
      <c r="D53" s="65"/>
      <c r="E53" s="65"/>
      <c r="F53" s="65"/>
      <c r="G53" s="65"/>
      <c r="H53" s="65"/>
      <c r="I53" s="65"/>
      <c r="J53" s="108"/>
      <c r="K53" s="103"/>
      <c r="L53" s="65"/>
      <c r="M53" s="65"/>
    </row>
    <row r="54">
      <c r="A54" s="61"/>
      <c r="B54" s="61"/>
      <c r="C54" s="61"/>
      <c r="D54" s="61"/>
      <c r="E54" s="61"/>
      <c r="F54" s="61"/>
      <c r="G54" s="61"/>
      <c r="H54" s="61"/>
      <c r="I54" s="61"/>
      <c r="J54" s="107"/>
      <c r="K54" s="100"/>
      <c r="L54" s="61"/>
      <c r="M54" s="61"/>
    </row>
    <row r="55">
      <c r="A55" s="65"/>
      <c r="B55" s="65"/>
      <c r="C55" s="65"/>
      <c r="D55" s="65"/>
      <c r="E55" s="65"/>
      <c r="F55" s="65"/>
      <c r="G55" s="65"/>
      <c r="H55" s="65"/>
      <c r="I55" s="65"/>
      <c r="J55" s="108"/>
      <c r="K55" s="103"/>
      <c r="L55" s="65"/>
      <c r="M55" s="65"/>
    </row>
    <row r="56">
      <c r="A56" s="61"/>
      <c r="B56" s="61"/>
      <c r="C56" s="61"/>
      <c r="D56" s="61"/>
      <c r="E56" s="61"/>
      <c r="F56" s="61"/>
      <c r="G56" s="61"/>
      <c r="H56" s="61"/>
      <c r="I56" s="61"/>
      <c r="J56" s="107"/>
      <c r="K56" s="100"/>
      <c r="L56" s="61"/>
      <c r="M56" s="61"/>
    </row>
    <row r="57">
      <c r="A57" s="65"/>
      <c r="B57" s="65"/>
      <c r="C57" s="65"/>
      <c r="D57" s="65"/>
      <c r="E57" s="65"/>
      <c r="F57" s="65"/>
      <c r="G57" s="65"/>
      <c r="H57" s="65"/>
      <c r="I57" s="65"/>
      <c r="J57" s="108"/>
      <c r="K57" s="103"/>
      <c r="L57" s="65"/>
      <c r="M57" s="65"/>
    </row>
    <row r="58">
      <c r="A58" s="61"/>
      <c r="B58" s="61"/>
      <c r="C58" s="61"/>
      <c r="D58" s="61"/>
      <c r="E58" s="61"/>
      <c r="F58" s="61"/>
      <c r="G58" s="61"/>
      <c r="H58" s="61"/>
      <c r="I58" s="61"/>
      <c r="J58" s="107"/>
      <c r="K58" s="100"/>
      <c r="L58" s="61"/>
      <c r="M58" s="61"/>
    </row>
    <row r="59">
      <c r="A59" s="65"/>
      <c r="B59" s="65"/>
      <c r="C59" s="65"/>
      <c r="D59" s="65"/>
      <c r="E59" s="65"/>
      <c r="F59" s="65"/>
      <c r="G59" s="65"/>
      <c r="H59" s="65"/>
      <c r="I59" s="65"/>
      <c r="J59" s="108"/>
      <c r="K59" s="103"/>
      <c r="L59" s="65"/>
      <c r="M59" s="65"/>
    </row>
    <row r="60">
      <c r="A60" s="61"/>
      <c r="B60" s="61"/>
      <c r="C60" s="61"/>
      <c r="D60" s="61"/>
      <c r="E60" s="61"/>
      <c r="F60" s="61"/>
      <c r="G60" s="61"/>
      <c r="H60" s="61"/>
      <c r="I60" s="61"/>
      <c r="J60" s="107"/>
      <c r="K60" s="100"/>
      <c r="L60" s="61"/>
      <c r="M60" s="61"/>
    </row>
    <row r="61">
      <c r="A61" s="65"/>
      <c r="B61" s="65"/>
      <c r="C61" s="65"/>
      <c r="D61" s="65"/>
      <c r="E61" s="65"/>
      <c r="F61" s="65"/>
      <c r="G61" s="65"/>
      <c r="H61" s="65"/>
      <c r="I61" s="65"/>
      <c r="J61" s="108"/>
      <c r="K61" s="103"/>
      <c r="L61" s="65"/>
      <c r="M61" s="65"/>
    </row>
    <row r="62">
      <c r="A62" s="61"/>
      <c r="B62" s="61"/>
      <c r="C62" s="61"/>
      <c r="D62" s="61"/>
      <c r="E62" s="61"/>
      <c r="F62" s="61"/>
      <c r="G62" s="61"/>
      <c r="H62" s="61"/>
      <c r="I62" s="61"/>
      <c r="J62" s="107"/>
      <c r="K62" s="100"/>
      <c r="L62" s="61"/>
      <c r="M62" s="61"/>
    </row>
    <row r="63">
      <c r="A63" s="65"/>
      <c r="B63" s="65"/>
      <c r="C63" s="65"/>
      <c r="D63" s="65"/>
      <c r="E63" s="65"/>
      <c r="F63" s="65"/>
      <c r="G63" s="65"/>
      <c r="H63" s="65"/>
      <c r="I63" s="65"/>
      <c r="J63" s="108"/>
      <c r="K63" s="103"/>
      <c r="L63" s="65"/>
      <c r="M63" s="65"/>
    </row>
    <row r="64">
      <c r="A64" s="61"/>
      <c r="B64" s="61"/>
      <c r="C64" s="61"/>
      <c r="D64" s="61"/>
      <c r="E64" s="61"/>
      <c r="F64" s="61"/>
      <c r="G64" s="61"/>
      <c r="H64" s="61"/>
      <c r="I64" s="61"/>
      <c r="J64" s="107"/>
      <c r="K64" s="100"/>
      <c r="L64" s="61"/>
      <c r="M64" s="61"/>
    </row>
    <row r="65">
      <c r="A65" s="65"/>
      <c r="B65" s="65"/>
      <c r="C65" s="65"/>
      <c r="D65" s="65"/>
      <c r="E65" s="65"/>
      <c r="F65" s="65"/>
      <c r="G65" s="65"/>
      <c r="H65" s="65"/>
      <c r="I65" s="65"/>
      <c r="J65" s="108"/>
      <c r="K65" s="103"/>
      <c r="L65" s="65"/>
      <c r="M65" s="65"/>
    </row>
    <row r="66">
      <c r="A66" s="61"/>
      <c r="B66" s="61"/>
      <c r="C66" s="61"/>
      <c r="D66" s="61"/>
      <c r="E66" s="61"/>
      <c r="F66" s="61"/>
      <c r="G66" s="61"/>
      <c r="H66" s="61"/>
      <c r="I66" s="61"/>
      <c r="J66" s="107"/>
      <c r="K66" s="100"/>
      <c r="L66" s="61"/>
      <c r="M66" s="61"/>
    </row>
    <row r="67">
      <c r="A67" s="65"/>
      <c r="B67" s="65"/>
      <c r="C67" s="65"/>
      <c r="D67" s="65"/>
      <c r="E67" s="65"/>
      <c r="F67" s="65"/>
      <c r="G67" s="65"/>
      <c r="H67" s="65"/>
      <c r="I67" s="65"/>
      <c r="J67" s="108"/>
      <c r="K67" s="103"/>
      <c r="L67" s="65"/>
      <c r="M67" s="65"/>
    </row>
    <row r="68">
      <c r="A68" s="61"/>
      <c r="B68" s="61"/>
      <c r="C68" s="61"/>
      <c r="D68" s="61"/>
      <c r="E68" s="61"/>
      <c r="F68" s="61"/>
      <c r="G68" s="61"/>
      <c r="H68" s="61"/>
      <c r="I68" s="61"/>
      <c r="J68" s="107"/>
      <c r="K68" s="100"/>
      <c r="L68" s="61"/>
      <c r="M68" s="61"/>
    </row>
    <row r="69">
      <c r="A69" s="65"/>
      <c r="B69" s="65"/>
      <c r="C69" s="65"/>
      <c r="D69" s="65"/>
      <c r="E69" s="65"/>
      <c r="F69" s="65"/>
      <c r="G69" s="65"/>
      <c r="H69" s="65"/>
      <c r="I69" s="65"/>
      <c r="J69" s="108"/>
      <c r="K69" s="103"/>
      <c r="L69" s="65"/>
      <c r="M69" s="65"/>
    </row>
    <row r="70">
      <c r="A70" s="61"/>
      <c r="B70" s="61"/>
      <c r="C70" s="61"/>
      <c r="D70" s="61"/>
      <c r="E70" s="61"/>
      <c r="F70" s="61"/>
      <c r="G70" s="61"/>
      <c r="H70" s="61"/>
      <c r="I70" s="61"/>
      <c r="J70" s="107"/>
      <c r="K70" s="100"/>
      <c r="L70" s="61"/>
      <c r="M70" s="61"/>
    </row>
    <row r="71">
      <c r="A71" s="65"/>
      <c r="B71" s="65"/>
      <c r="C71" s="65"/>
      <c r="D71" s="65"/>
      <c r="E71" s="65"/>
      <c r="F71" s="65"/>
      <c r="G71" s="65"/>
      <c r="H71" s="65"/>
      <c r="I71" s="65"/>
      <c r="J71" s="108"/>
      <c r="K71" s="103"/>
      <c r="L71" s="65"/>
      <c r="M71" s="65"/>
    </row>
    <row r="72">
      <c r="A72" s="61"/>
      <c r="B72" s="61"/>
      <c r="C72" s="61"/>
      <c r="D72" s="61"/>
      <c r="E72" s="61"/>
      <c r="F72" s="61"/>
      <c r="G72" s="61"/>
      <c r="H72" s="61"/>
      <c r="I72" s="61"/>
      <c r="J72" s="107"/>
      <c r="K72" s="100"/>
      <c r="L72" s="61"/>
      <c r="M72" s="61"/>
    </row>
    <row r="73">
      <c r="A73" s="65"/>
      <c r="B73" s="65"/>
      <c r="C73" s="65"/>
      <c r="D73" s="65"/>
      <c r="E73" s="65"/>
      <c r="F73" s="65"/>
      <c r="G73" s="65"/>
      <c r="H73" s="65"/>
      <c r="I73" s="65"/>
      <c r="J73" s="108"/>
      <c r="K73" s="103"/>
      <c r="L73" s="65"/>
      <c r="M73" s="65"/>
    </row>
    <row r="74">
      <c r="A74" s="61"/>
      <c r="B74" s="61"/>
      <c r="C74" s="61"/>
      <c r="D74" s="61"/>
      <c r="E74" s="61"/>
      <c r="F74" s="61"/>
      <c r="G74" s="61"/>
      <c r="H74" s="61"/>
      <c r="I74" s="61"/>
      <c r="J74" s="107"/>
      <c r="K74" s="100"/>
      <c r="L74" s="61"/>
      <c r="M74" s="61"/>
    </row>
    <row r="75">
      <c r="A75" s="65"/>
      <c r="B75" s="65"/>
      <c r="C75" s="65"/>
      <c r="D75" s="65"/>
      <c r="E75" s="65"/>
      <c r="F75" s="65"/>
      <c r="G75" s="65"/>
      <c r="H75" s="65"/>
      <c r="I75" s="65"/>
      <c r="J75" s="108"/>
      <c r="K75" s="103"/>
      <c r="L75" s="65"/>
      <c r="M75" s="65"/>
    </row>
    <row r="76">
      <c r="A76" s="61"/>
      <c r="B76" s="61"/>
      <c r="C76" s="61"/>
      <c r="D76" s="61"/>
      <c r="E76" s="61"/>
      <c r="F76" s="61"/>
      <c r="G76" s="61"/>
      <c r="H76" s="61"/>
      <c r="I76" s="61"/>
      <c r="J76" s="107"/>
      <c r="K76" s="100"/>
      <c r="L76" s="61"/>
      <c r="M76" s="61"/>
    </row>
    <row r="77">
      <c r="A77" s="65"/>
      <c r="B77" s="65"/>
      <c r="C77" s="65"/>
      <c r="D77" s="65"/>
      <c r="E77" s="65"/>
      <c r="F77" s="65"/>
      <c r="G77" s="65"/>
      <c r="H77" s="65"/>
      <c r="I77" s="65"/>
      <c r="J77" s="108"/>
      <c r="K77" s="103"/>
      <c r="L77" s="65"/>
      <c r="M77" s="65"/>
    </row>
    <row r="78">
      <c r="A78" s="61"/>
      <c r="B78" s="61"/>
      <c r="C78" s="61"/>
      <c r="D78" s="61"/>
      <c r="E78" s="61"/>
      <c r="F78" s="61"/>
      <c r="G78" s="61"/>
      <c r="H78" s="61"/>
      <c r="I78" s="61"/>
      <c r="J78" s="107"/>
      <c r="K78" s="100"/>
      <c r="L78" s="61"/>
      <c r="M78" s="61"/>
    </row>
    <row r="79">
      <c r="A79" s="65"/>
      <c r="B79" s="65"/>
      <c r="C79" s="65"/>
      <c r="D79" s="65"/>
      <c r="E79" s="65"/>
      <c r="F79" s="65"/>
      <c r="G79" s="65"/>
      <c r="H79" s="65"/>
      <c r="I79" s="65"/>
      <c r="J79" s="108"/>
      <c r="K79" s="103"/>
      <c r="L79" s="65"/>
      <c r="M79" s="65"/>
    </row>
    <row r="80">
      <c r="A80" s="61"/>
      <c r="B80" s="61"/>
      <c r="C80" s="61"/>
      <c r="D80" s="61"/>
      <c r="E80" s="61"/>
      <c r="F80" s="61"/>
      <c r="G80" s="61"/>
      <c r="H80" s="61"/>
      <c r="I80" s="61"/>
      <c r="J80" s="107"/>
      <c r="K80" s="100"/>
      <c r="L80" s="61"/>
      <c r="M80" s="61"/>
    </row>
    <row r="81">
      <c r="A81" s="65"/>
      <c r="B81" s="65"/>
      <c r="C81" s="65"/>
      <c r="D81" s="65"/>
      <c r="E81" s="65"/>
      <c r="F81" s="65"/>
      <c r="G81" s="65"/>
      <c r="H81" s="65"/>
      <c r="I81" s="65"/>
      <c r="J81" s="108"/>
      <c r="K81" s="103"/>
      <c r="L81" s="65"/>
      <c r="M81" s="65"/>
    </row>
    <row r="82">
      <c r="A82" s="61"/>
      <c r="B82" s="61"/>
      <c r="C82" s="61"/>
      <c r="D82" s="61"/>
      <c r="E82" s="61"/>
      <c r="F82" s="61"/>
      <c r="G82" s="61"/>
      <c r="H82" s="61"/>
      <c r="I82" s="61"/>
      <c r="J82" s="107"/>
      <c r="K82" s="100"/>
      <c r="L82" s="61"/>
      <c r="M82" s="61"/>
    </row>
    <row r="83">
      <c r="A83" s="65"/>
      <c r="B83" s="65"/>
      <c r="C83" s="65"/>
      <c r="D83" s="65"/>
      <c r="E83" s="65"/>
      <c r="F83" s="65"/>
      <c r="G83" s="65"/>
      <c r="H83" s="65"/>
      <c r="I83" s="65"/>
      <c r="J83" s="108"/>
      <c r="K83" s="103"/>
      <c r="L83" s="65"/>
      <c r="M83" s="65"/>
    </row>
    <row r="84">
      <c r="A84" s="61"/>
      <c r="B84" s="61"/>
      <c r="C84" s="61"/>
      <c r="D84" s="61"/>
      <c r="E84" s="61"/>
      <c r="F84" s="61"/>
      <c r="G84" s="61"/>
      <c r="H84" s="61"/>
      <c r="I84" s="61"/>
      <c r="J84" s="107"/>
      <c r="K84" s="100"/>
      <c r="L84" s="61"/>
      <c r="M84" s="61"/>
    </row>
    <row r="85">
      <c r="A85" s="65"/>
      <c r="B85" s="65"/>
      <c r="C85" s="65"/>
      <c r="D85" s="65"/>
      <c r="E85" s="65"/>
      <c r="F85" s="65"/>
      <c r="G85" s="65"/>
      <c r="H85" s="65"/>
      <c r="I85" s="65"/>
      <c r="J85" s="108"/>
      <c r="K85" s="103"/>
      <c r="L85" s="65"/>
      <c r="M85" s="65"/>
    </row>
    <row r="86">
      <c r="A86" s="61"/>
      <c r="B86" s="61"/>
      <c r="C86" s="61"/>
      <c r="D86" s="61"/>
      <c r="E86" s="61"/>
      <c r="F86" s="61"/>
      <c r="G86" s="61"/>
      <c r="H86" s="61"/>
      <c r="I86" s="61"/>
      <c r="J86" s="107"/>
      <c r="K86" s="100"/>
      <c r="L86" s="61"/>
      <c r="M86" s="61"/>
    </row>
    <row r="87">
      <c r="A87" s="65"/>
      <c r="B87" s="65"/>
      <c r="C87" s="65"/>
      <c r="D87" s="65"/>
      <c r="E87" s="65"/>
      <c r="F87" s="65"/>
      <c r="G87" s="65"/>
      <c r="H87" s="65"/>
      <c r="I87" s="65"/>
      <c r="J87" s="108"/>
      <c r="K87" s="103"/>
      <c r="L87" s="65"/>
      <c r="M87" s="65"/>
    </row>
    <row r="88">
      <c r="A88" s="61"/>
      <c r="B88" s="61"/>
      <c r="C88" s="61"/>
      <c r="D88" s="61"/>
      <c r="E88" s="61"/>
      <c r="F88" s="61"/>
      <c r="G88" s="61"/>
      <c r="H88" s="61"/>
      <c r="I88" s="61"/>
      <c r="J88" s="107"/>
      <c r="K88" s="100"/>
      <c r="L88" s="61"/>
      <c r="M88" s="61"/>
    </row>
    <row r="89">
      <c r="A89" s="65"/>
      <c r="B89" s="65"/>
      <c r="C89" s="65"/>
      <c r="D89" s="65"/>
      <c r="E89" s="65"/>
      <c r="F89" s="65"/>
      <c r="G89" s="65"/>
      <c r="H89" s="65"/>
      <c r="I89" s="65"/>
      <c r="J89" s="108"/>
      <c r="K89" s="103"/>
      <c r="L89" s="65"/>
      <c r="M89" s="65"/>
    </row>
    <row r="90">
      <c r="A90" s="61"/>
      <c r="B90" s="61"/>
      <c r="C90" s="61"/>
      <c r="D90" s="61"/>
      <c r="E90" s="61"/>
      <c r="F90" s="61"/>
      <c r="G90" s="61"/>
      <c r="H90" s="61"/>
      <c r="I90" s="61"/>
      <c r="J90" s="107"/>
      <c r="K90" s="100"/>
      <c r="L90" s="61"/>
      <c r="M90" s="61"/>
    </row>
    <row r="91">
      <c r="A91" s="65"/>
      <c r="B91" s="65"/>
      <c r="C91" s="65"/>
      <c r="D91" s="65"/>
      <c r="E91" s="65"/>
      <c r="F91" s="65"/>
      <c r="G91" s="65"/>
      <c r="H91" s="65"/>
      <c r="I91" s="65"/>
      <c r="J91" s="108"/>
      <c r="K91" s="103"/>
      <c r="L91" s="65"/>
      <c r="M91" s="65"/>
    </row>
    <row r="92">
      <c r="A92" s="61"/>
      <c r="B92" s="61"/>
      <c r="C92" s="61"/>
      <c r="D92" s="61"/>
      <c r="E92" s="61"/>
      <c r="F92" s="61"/>
      <c r="G92" s="61"/>
      <c r="H92" s="61"/>
      <c r="I92" s="61"/>
      <c r="J92" s="107"/>
      <c r="K92" s="100"/>
      <c r="L92" s="61"/>
      <c r="M92" s="61"/>
    </row>
    <row r="93">
      <c r="A93" s="65"/>
      <c r="B93" s="65"/>
      <c r="C93" s="65"/>
      <c r="D93" s="65"/>
      <c r="E93" s="65"/>
      <c r="F93" s="65"/>
      <c r="G93" s="65"/>
      <c r="H93" s="65"/>
      <c r="I93" s="65"/>
      <c r="J93" s="108"/>
      <c r="K93" s="103"/>
      <c r="L93" s="65"/>
      <c r="M93" s="65"/>
    </row>
    <row r="94">
      <c r="A94" s="61"/>
      <c r="B94" s="61"/>
      <c r="C94" s="61"/>
      <c r="D94" s="61"/>
      <c r="E94" s="61"/>
      <c r="F94" s="61"/>
      <c r="G94" s="61"/>
      <c r="H94" s="61"/>
      <c r="I94" s="61"/>
      <c r="J94" s="107"/>
      <c r="K94" s="100"/>
      <c r="L94" s="61"/>
      <c r="M94" s="61"/>
    </row>
    <row r="95">
      <c r="A95" s="65"/>
      <c r="B95" s="65"/>
      <c r="C95" s="65"/>
      <c r="D95" s="65"/>
      <c r="E95" s="65"/>
      <c r="F95" s="65"/>
      <c r="G95" s="65"/>
      <c r="H95" s="65"/>
      <c r="I95" s="65"/>
      <c r="J95" s="108"/>
      <c r="K95" s="103"/>
      <c r="L95" s="65"/>
      <c r="M95" s="65"/>
    </row>
    <row r="96">
      <c r="A96" s="61"/>
      <c r="B96" s="61"/>
      <c r="C96" s="61"/>
      <c r="D96" s="61"/>
      <c r="E96" s="61"/>
      <c r="F96" s="61"/>
      <c r="G96" s="61"/>
      <c r="H96" s="61"/>
      <c r="I96" s="61"/>
      <c r="J96" s="107"/>
      <c r="K96" s="100"/>
      <c r="L96" s="61"/>
      <c r="M96" s="61"/>
    </row>
    <row r="97">
      <c r="A97" s="65"/>
      <c r="B97" s="65"/>
      <c r="C97" s="65"/>
      <c r="D97" s="65"/>
      <c r="E97" s="65"/>
      <c r="F97" s="65"/>
      <c r="G97" s="65"/>
      <c r="H97" s="65"/>
      <c r="I97" s="65"/>
      <c r="J97" s="108"/>
      <c r="K97" s="103"/>
      <c r="L97" s="65"/>
      <c r="M97" s="65"/>
    </row>
    <row r="98">
      <c r="A98" s="61"/>
      <c r="B98" s="61"/>
      <c r="C98" s="61"/>
      <c r="D98" s="61"/>
      <c r="E98" s="61"/>
      <c r="F98" s="61"/>
      <c r="G98" s="61"/>
      <c r="H98" s="61"/>
      <c r="I98" s="61"/>
      <c r="J98" s="107"/>
      <c r="K98" s="100"/>
      <c r="L98" s="61"/>
      <c r="M98" s="61"/>
    </row>
    <row r="99">
      <c r="A99" s="65"/>
      <c r="B99" s="65"/>
      <c r="C99" s="65"/>
      <c r="D99" s="65"/>
      <c r="E99" s="65"/>
      <c r="F99" s="65"/>
      <c r="G99" s="65"/>
      <c r="H99" s="65"/>
      <c r="I99" s="65"/>
      <c r="J99" s="108"/>
      <c r="K99" s="103"/>
      <c r="L99" s="65"/>
      <c r="M99" s="65"/>
    </row>
    <row r="100">
      <c r="A100" s="61"/>
      <c r="B100" s="61"/>
      <c r="C100" s="61"/>
      <c r="D100" s="61"/>
      <c r="E100" s="61"/>
      <c r="F100" s="61"/>
      <c r="G100" s="61"/>
      <c r="H100" s="61"/>
      <c r="I100" s="61"/>
      <c r="J100" s="107"/>
      <c r="K100" s="100"/>
      <c r="L100" s="61"/>
      <c r="M100" s="61"/>
    </row>
    <row r="101">
      <c r="A101" s="65"/>
      <c r="B101" s="65"/>
      <c r="C101" s="65"/>
      <c r="D101" s="65"/>
      <c r="E101" s="65"/>
      <c r="F101" s="65"/>
      <c r="G101" s="65"/>
      <c r="H101" s="65"/>
      <c r="I101" s="65"/>
      <c r="J101" s="108"/>
      <c r="K101" s="103"/>
      <c r="L101" s="65"/>
      <c r="M101" s="65"/>
    </row>
    <row r="102">
      <c r="A102" s="61"/>
      <c r="B102" s="61"/>
      <c r="C102" s="61"/>
      <c r="D102" s="61"/>
      <c r="E102" s="61"/>
      <c r="F102" s="61"/>
      <c r="G102" s="61"/>
      <c r="H102" s="61"/>
      <c r="I102" s="61"/>
      <c r="J102" s="107"/>
      <c r="K102" s="100"/>
      <c r="L102" s="61"/>
      <c r="M102" s="61"/>
    </row>
    <row r="103">
      <c r="A103" s="65"/>
      <c r="B103" s="65"/>
      <c r="C103" s="65"/>
      <c r="D103" s="65"/>
      <c r="E103" s="65"/>
      <c r="F103" s="65"/>
      <c r="G103" s="65"/>
      <c r="H103" s="65"/>
      <c r="I103" s="65"/>
      <c r="J103" s="108"/>
      <c r="K103" s="103"/>
      <c r="L103" s="65"/>
      <c r="M103" s="65"/>
    </row>
    <row r="104">
      <c r="A104" s="61"/>
      <c r="B104" s="61"/>
      <c r="C104" s="61"/>
      <c r="D104" s="61"/>
      <c r="E104" s="61"/>
      <c r="F104" s="61"/>
      <c r="G104" s="61"/>
      <c r="H104" s="61"/>
      <c r="I104" s="61"/>
      <c r="J104" s="107"/>
      <c r="K104" s="100"/>
      <c r="L104" s="61"/>
      <c r="M104" s="61"/>
    </row>
    <row r="105">
      <c r="A105" s="65"/>
      <c r="B105" s="65"/>
      <c r="C105" s="65"/>
      <c r="D105" s="65"/>
      <c r="E105" s="65"/>
      <c r="F105" s="65"/>
      <c r="G105" s="65"/>
      <c r="H105" s="65"/>
      <c r="I105" s="65"/>
      <c r="J105" s="108"/>
      <c r="K105" s="103"/>
      <c r="L105" s="65"/>
      <c r="M105" s="65"/>
    </row>
    <row r="106">
      <c r="A106" s="61"/>
      <c r="B106" s="61"/>
      <c r="C106" s="61"/>
      <c r="D106" s="61"/>
      <c r="E106" s="61"/>
      <c r="F106" s="61"/>
      <c r="G106" s="61"/>
      <c r="H106" s="61"/>
      <c r="I106" s="61"/>
      <c r="J106" s="107"/>
      <c r="K106" s="100"/>
      <c r="L106" s="61"/>
      <c r="M106" s="61"/>
    </row>
    <row r="107">
      <c r="A107" s="65"/>
      <c r="B107" s="65"/>
      <c r="C107" s="65"/>
      <c r="D107" s="65"/>
      <c r="E107" s="65"/>
      <c r="F107" s="65"/>
      <c r="G107" s="65"/>
      <c r="H107" s="65"/>
      <c r="I107" s="65"/>
      <c r="J107" s="108"/>
      <c r="K107" s="103"/>
      <c r="L107" s="65"/>
      <c r="M107" s="65"/>
    </row>
    <row r="108">
      <c r="A108" s="61"/>
      <c r="B108" s="61"/>
      <c r="C108" s="61"/>
      <c r="D108" s="61"/>
      <c r="E108" s="61"/>
      <c r="F108" s="61"/>
      <c r="G108" s="61"/>
      <c r="H108" s="61"/>
      <c r="I108" s="61"/>
      <c r="J108" s="107"/>
      <c r="K108" s="100"/>
      <c r="L108" s="61"/>
      <c r="M108" s="61"/>
    </row>
    <row r="109">
      <c r="A109" s="65"/>
      <c r="B109" s="65"/>
      <c r="C109" s="65"/>
      <c r="D109" s="65"/>
      <c r="E109" s="65"/>
      <c r="F109" s="65"/>
      <c r="G109" s="65"/>
      <c r="H109" s="65"/>
      <c r="I109" s="65"/>
      <c r="J109" s="108"/>
      <c r="K109" s="103"/>
      <c r="L109" s="65"/>
      <c r="M109" s="65"/>
    </row>
    <row r="110">
      <c r="A110" s="61"/>
      <c r="B110" s="61"/>
      <c r="C110" s="61"/>
      <c r="D110" s="61"/>
      <c r="E110" s="61"/>
      <c r="F110" s="61"/>
      <c r="G110" s="61"/>
      <c r="H110" s="61"/>
      <c r="I110" s="61"/>
      <c r="J110" s="107"/>
      <c r="K110" s="100"/>
      <c r="L110" s="61"/>
      <c r="M110" s="61"/>
    </row>
    <row r="111">
      <c r="A111" s="65"/>
      <c r="B111" s="65"/>
      <c r="C111" s="65"/>
      <c r="D111" s="65"/>
      <c r="E111" s="65"/>
      <c r="F111" s="65"/>
      <c r="G111" s="65"/>
      <c r="H111" s="65"/>
      <c r="I111" s="65"/>
      <c r="J111" s="108"/>
      <c r="K111" s="103"/>
      <c r="L111" s="65"/>
      <c r="M111" s="65"/>
    </row>
    <row r="112">
      <c r="A112" s="61"/>
      <c r="B112" s="61"/>
      <c r="C112" s="61"/>
      <c r="D112" s="61"/>
      <c r="E112" s="61"/>
      <c r="F112" s="61"/>
      <c r="G112" s="61"/>
      <c r="H112" s="61"/>
      <c r="I112" s="61"/>
      <c r="J112" s="107"/>
      <c r="K112" s="100"/>
      <c r="L112" s="61"/>
      <c r="M112" s="61"/>
    </row>
    <row r="113">
      <c r="A113" s="65"/>
      <c r="B113" s="65"/>
      <c r="C113" s="65"/>
      <c r="D113" s="65"/>
      <c r="E113" s="65"/>
      <c r="F113" s="65"/>
      <c r="G113" s="65"/>
      <c r="H113" s="65"/>
      <c r="I113" s="65"/>
      <c r="J113" s="108"/>
      <c r="K113" s="103"/>
      <c r="L113" s="65"/>
      <c r="M113" s="65"/>
    </row>
    <row r="114">
      <c r="A114" s="61"/>
      <c r="B114" s="61"/>
      <c r="C114" s="61"/>
      <c r="D114" s="61"/>
      <c r="E114" s="61"/>
      <c r="F114" s="61"/>
      <c r="G114" s="61"/>
      <c r="H114" s="61"/>
      <c r="I114" s="61"/>
      <c r="J114" s="107"/>
      <c r="K114" s="100"/>
      <c r="L114" s="61"/>
      <c r="M114" s="61"/>
    </row>
    <row r="115">
      <c r="A115" s="65"/>
      <c r="B115" s="65"/>
      <c r="C115" s="65"/>
      <c r="D115" s="65"/>
      <c r="E115" s="65"/>
      <c r="F115" s="65"/>
      <c r="G115" s="65"/>
      <c r="H115" s="65"/>
      <c r="I115" s="65"/>
      <c r="J115" s="108"/>
      <c r="K115" s="103"/>
      <c r="L115" s="65"/>
      <c r="M115" s="65"/>
    </row>
    <row r="116">
      <c r="A116" s="61"/>
      <c r="B116" s="61"/>
      <c r="C116" s="61"/>
      <c r="D116" s="61"/>
      <c r="E116" s="61"/>
      <c r="F116" s="61"/>
      <c r="G116" s="61"/>
      <c r="H116" s="61"/>
      <c r="I116" s="61"/>
      <c r="J116" s="107"/>
      <c r="K116" s="100"/>
      <c r="L116" s="61"/>
      <c r="M116" s="61"/>
    </row>
    <row r="117">
      <c r="A117" s="65"/>
      <c r="B117" s="65"/>
      <c r="C117" s="65"/>
      <c r="D117" s="65"/>
      <c r="E117" s="65"/>
      <c r="F117" s="65"/>
      <c r="G117" s="65"/>
      <c r="H117" s="65"/>
      <c r="I117" s="65"/>
      <c r="J117" s="108"/>
      <c r="K117" s="103"/>
      <c r="L117" s="65"/>
      <c r="M117" s="65"/>
    </row>
    <row r="118">
      <c r="A118" s="61"/>
      <c r="B118" s="61"/>
      <c r="C118" s="61"/>
      <c r="D118" s="61"/>
      <c r="E118" s="61"/>
      <c r="F118" s="61"/>
      <c r="G118" s="61"/>
      <c r="H118" s="61"/>
      <c r="I118" s="61"/>
      <c r="J118" s="107"/>
      <c r="K118" s="100"/>
      <c r="L118" s="61"/>
      <c r="M118" s="61"/>
    </row>
    <row r="119">
      <c r="A119" s="65"/>
      <c r="B119" s="65"/>
      <c r="C119" s="65"/>
      <c r="D119" s="65"/>
      <c r="E119" s="65"/>
      <c r="F119" s="65"/>
      <c r="G119" s="65"/>
      <c r="H119" s="65"/>
      <c r="I119" s="65"/>
      <c r="J119" s="108"/>
      <c r="K119" s="103"/>
      <c r="L119" s="65"/>
      <c r="M119" s="65"/>
    </row>
    <row r="120">
      <c r="A120" s="61"/>
      <c r="B120" s="61"/>
      <c r="C120" s="61"/>
      <c r="D120" s="61"/>
      <c r="E120" s="61"/>
      <c r="F120" s="61"/>
      <c r="G120" s="61"/>
      <c r="H120" s="61"/>
      <c r="I120" s="61"/>
      <c r="J120" s="107"/>
      <c r="K120" s="100"/>
      <c r="L120" s="61"/>
      <c r="M120" s="61"/>
    </row>
    <row r="121">
      <c r="A121" s="65"/>
      <c r="B121" s="65"/>
      <c r="C121" s="65"/>
      <c r="D121" s="65"/>
      <c r="E121" s="65"/>
      <c r="F121" s="65"/>
      <c r="G121" s="65"/>
      <c r="H121" s="65"/>
      <c r="I121" s="65"/>
      <c r="J121" s="108"/>
      <c r="K121" s="103"/>
      <c r="L121" s="65"/>
      <c r="M121" s="65"/>
    </row>
    <row r="122">
      <c r="A122" s="61"/>
      <c r="B122" s="61"/>
      <c r="C122" s="61"/>
      <c r="D122" s="61"/>
      <c r="E122" s="61"/>
      <c r="F122" s="61"/>
      <c r="G122" s="61"/>
      <c r="H122" s="61"/>
      <c r="I122" s="61"/>
      <c r="J122" s="107"/>
      <c r="K122" s="100"/>
      <c r="L122" s="61"/>
      <c r="M122" s="61"/>
    </row>
    <row r="123">
      <c r="A123" s="65"/>
      <c r="B123" s="65"/>
      <c r="C123" s="65"/>
      <c r="D123" s="65"/>
      <c r="E123" s="65"/>
      <c r="F123" s="65"/>
      <c r="G123" s="65"/>
      <c r="H123" s="65"/>
      <c r="I123" s="65"/>
      <c r="J123" s="108"/>
      <c r="K123" s="103"/>
      <c r="L123" s="65"/>
      <c r="M123" s="65"/>
    </row>
    <row r="124">
      <c r="A124" s="61"/>
      <c r="B124" s="61"/>
      <c r="C124" s="61"/>
      <c r="D124" s="61"/>
      <c r="E124" s="61"/>
      <c r="F124" s="61"/>
      <c r="G124" s="61"/>
      <c r="H124" s="61"/>
      <c r="I124" s="61"/>
      <c r="J124" s="107"/>
      <c r="K124" s="100"/>
      <c r="L124" s="61"/>
      <c r="M124" s="61"/>
    </row>
    <row r="125">
      <c r="A125" s="65"/>
      <c r="B125" s="65"/>
      <c r="C125" s="65"/>
      <c r="D125" s="65"/>
      <c r="E125" s="65"/>
      <c r="F125" s="65"/>
      <c r="G125" s="65"/>
      <c r="H125" s="65"/>
      <c r="I125" s="65"/>
      <c r="J125" s="108"/>
      <c r="K125" s="103"/>
      <c r="L125" s="65"/>
      <c r="M125" s="65"/>
    </row>
    <row r="126">
      <c r="A126" s="61"/>
      <c r="B126" s="61"/>
      <c r="C126" s="61"/>
      <c r="D126" s="61"/>
      <c r="E126" s="61"/>
      <c r="F126" s="61"/>
      <c r="G126" s="61"/>
      <c r="H126" s="61"/>
      <c r="I126" s="61"/>
      <c r="J126" s="107"/>
      <c r="K126" s="100"/>
      <c r="L126" s="61"/>
      <c r="M126" s="61"/>
    </row>
    <row r="127">
      <c r="A127" s="65"/>
      <c r="B127" s="65"/>
      <c r="C127" s="65"/>
      <c r="D127" s="65"/>
      <c r="E127" s="65"/>
      <c r="F127" s="65"/>
      <c r="G127" s="65"/>
      <c r="H127" s="65"/>
      <c r="I127" s="65"/>
      <c r="J127" s="108"/>
      <c r="K127" s="103"/>
      <c r="L127" s="65"/>
      <c r="M127" s="65"/>
    </row>
    <row r="128">
      <c r="A128" s="61"/>
      <c r="B128" s="61"/>
      <c r="C128" s="61"/>
      <c r="D128" s="61"/>
      <c r="E128" s="61"/>
      <c r="F128" s="61"/>
      <c r="G128" s="61"/>
      <c r="H128" s="61"/>
      <c r="I128" s="61"/>
      <c r="J128" s="107"/>
      <c r="K128" s="100"/>
      <c r="L128" s="61"/>
      <c r="M128" s="61"/>
    </row>
    <row r="129">
      <c r="A129" s="65"/>
      <c r="B129" s="65"/>
      <c r="C129" s="65"/>
      <c r="D129" s="65"/>
      <c r="E129" s="65"/>
      <c r="F129" s="65"/>
      <c r="G129" s="65"/>
      <c r="H129" s="65"/>
      <c r="I129" s="65"/>
      <c r="J129" s="108"/>
      <c r="K129" s="103"/>
      <c r="L129" s="65"/>
      <c r="M129" s="65"/>
    </row>
    <row r="130">
      <c r="A130" s="61"/>
      <c r="B130" s="61"/>
      <c r="C130" s="61"/>
      <c r="D130" s="61"/>
      <c r="E130" s="61"/>
      <c r="F130" s="61"/>
      <c r="G130" s="61"/>
      <c r="H130" s="61"/>
      <c r="I130" s="61"/>
      <c r="J130" s="107"/>
      <c r="K130" s="100"/>
      <c r="L130" s="61"/>
      <c r="M130" s="61"/>
    </row>
    <row r="131">
      <c r="A131" s="65"/>
      <c r="B131" s="65"/>
      <c r="C131" s="65"/>
      <c r="D131" s="65"/>
      <c r="E131" s="65"/>
      <c r="F131" s="65"/>
      <c r="G131" s="65"/>
      <c r="H131" s="65"/>
      <c r="I131" s="65"/>
      <c r="J131" s="108"/>
      <c r="K131" s="103"/>
      <c r="L131" s="65"/>
      <c r="M131" s="65"/>
    </row>
    <row r="132">
      <c r="A132" s="61"/>
      <c r="B132" s="61"/>
      <c r="C132" s="61"/>
      <c r="D132" s="61"/>
      <c r="E132" s="61"/>
      <c r="F132" s="61"/>
      <c r="G132" s="61"/>
      <c r="H132" s="61"/>
      <c r="I132" s="61"/>
      <c r="J132" s="107"/>
      <c r="K132" s="100"/>
      <c r="L132" s="61"/>
      <c r="M132" s="61"/>
    </row>
    <row r="133">
      <c r="A133" s="65"/>
      <c r="B133" s="65"/>
      <c r="C133" s="65"/>
      <c r="D133" s="65"/>
      <c r="E133" s="65"/>
      <c r="F133" s="65"/>
      <c r="G133" s="65"/>
      <c r="H133" s="65"/>
      <c r="I133" s="65"/>
      <c r="J133" s="108"/>
      <c r="K133" s="103"/>
      <c r="L133" s="65"/>
      <c r="M133" s="65"/>
    </row>
    <row r="134">
      <c r="A134" s="61"/>
      <c r="B134" s="61"/>
      <c r="C134" s="61"/>
      <c r="D134" s="61"/>
      <c r="E134" s="61"/>
      <c r="F134" s="61"/>
      <c r="G134" s="61"/>
      <c r="H134" s="61"/>
      <c r="I134" s="61"/>
      <c r="J134" s="107"/>
      <c r="K134" s="100"/>
      <c r="L134" s="61"/>
      <c r="M134" s="61"/>
    </row>
    <row r="135">
      <c r="A135" s="65"/>
      <c r="B135" s="65"/>
      <c r="C135" s="65"/>
      <c r="D135" s="65"/>
      <c r="E135" s="65"/>
      <c r="F135" s="65"/>
      <c r="G135" s="65"/>
      <c r="H135" s="65"/>
      <c r="I135" s="65"/>
      <c r="J135" s="108"/>
      <c r="K135" s="103"/>
      <c r="L135" s="65"/>
      <c r="M135" s="65"/>
    </row>
    <row r="136">
      <c r="A136" s="61"/>
      <c r="B136" s="61"/>
      <c r="C136" s="61"/>
      <c r="D136" s="61"/>
      <c r="E136" s="61"/>
      <c r="F136" s="61"/>
      <c r="G136" s="61"/>
      <c r="H136" s="61"/>
      <c r="I136" s="61"/>
      <c r="J136" s="107"/>
      <c r="K136" s="100"/>
      <c r="L136" s="61"/>
      <c r="M136" s="61"/>
    </row>
    <row r="137">
      <c r="A137" s="65"/>
      <c r="B137" s="65"/>
      <c r="C137" s="65"/>
      <c r="D137" s="65"/>
      <c r="E137" s="65"/>
      <c r="F137" s="65"/>
      <c r="G137" s="65"/>
      <c r="H137" s="65"/>
      <c r="I137" s="65"/>
      <c r="J137" s="108"/>
      <c r="K137" s="103"/>
      <c r="L137" s="65"/>
      <c r="M137" s="65"/>
    </row>
    <row r="138">
      <c r="A138" s="61"/>
      <c r="B138" s="61"/>
      <c r="C138" s="61"/>
      <c r="D138" s="61"/>
      <c r="E138" s="61"/>
      <c r="F138" s="61"/>
      <c r="G138" s="61"/>
      <c r="H138" s="61"/>
      <c r="I138" s="61"/>
      <c r="J138" s="107"/>
      <c r="K138" s="100"/>
      <c r="L138" s="61"/>
      <c r="M138" s="61"/>
    </row>
    <row r="139">
      <c r="A139" s="65"/>
      <c r="B139" s="65"/>
      <c r="C139" s="65"/>
      <c r="D139" s="65"/>
      <c r="E139" s="65"/>
      <c r="F139" s="65"/>
      <c r="G139" s="65"/>
      <c r="H139" s="65"/>
      <c r="I139" s="65"/>
      <c r="J139" s="108"/>
      <c r="K139" s="103"/>
      <c r="L139" s="65"/>
      <c r="M139" s="65"/>
    </row>
    <row r="140">
      <c r="A140" s="61"/>
      <c r="B140" s="61"/>
      <c r="C140" s="61"/>
      <c r="D140" s="61"/>
      <c r="E140" s="61"/>
      <c r="F140" s="61"/>
      <c r="G140" s="61"/>
      <c r="H140" s="61"/>
      <c r="I140" s="61"/>
      <c r="J140" s="107"/>
      <c r="K140" s="100"/>
      <c r="L140" s="61"/>
      <c r="M140" s="61"/>
    </row>
    <row r="141">
      <c r="A141" s="65"/>
      <c r="B141" s="65"/>
      <c r="C141" s="65"/>
      <c r="D141" s="65"/>
      <c r="E141" s="65"/>
      <c r="F141" s="65"/>
      <c r="G141" s="65"/>
      <c r="H141" s="65"/>
      <c r="I141" s="65"/>
      <c r="J141" s="108"/>
      <c r="K141" s="103"/>
      <c r="L141" s="65"/>
      <c r="M141" s="65"/>
    </row>
    <row r="142">
      <c r="A142" s="61"/>
      <c r="B142" s="61"/>
      <c r="C142" s="61"/>
      <c r="D142" s="61"/>
      <c r="E142" s="61"/>
      <c r="F142" s="61"/>
      <c r="G142" s="61"/>
      <c r="H142" s="61"/>
      <c r="I142" s="61"/>
      <c r="J142" s="107"/>
      <c r="K142" s="100"/>
      <c r="L142" s="61"/>
      <c r="M142" s="61"/>
    </row>
    <row r="143">
      <c r="A143" s="65"/>
      <c r="B143" s="65"/>
      <c r="C143" s="65"/>
      <c r="D143" s="65"/>
      <c r="E143" s="65"/>
      <c r="F143" s="65"/>
      <c r="G143" s="65"/>
      <c r="H143" s="65"/>
      <c r="I143" s="65"/>
      <c r="J143" s="108"/>
      <c r="K143" s="103"/>
      <c r="L143" s="65"/>
      <c r="M143" s="65"/>
    </row>
    <row r="144">
      <c r="A144" s="61"/>
      <c r="B144" s="61"/>
      <c r="C144" s="61"/>
      <c r="D144" s="61"/>
      <c r="E144" s="61"/>
      <c r="F144" s="61"/>
      <c r="G144" s="61"/>
      <c r="H144" s="61"/>
      <c r="I144" s="61"/>
      <c r="J144" s="107"/>
      <c r="K144" s="100"/>
      <c r="L144" s="61"/>
      <c r="M144" s="61"/>
    </row>
    <row r="145">
      <c r="A145" s="65"/>
      <c r="B145" s="65"/>
      <c r="C145" s="65"/>
      <c r="D145" s="65"/>
      <c r="E145" s="65"/>
      <c r="F145" s="65"/>
      <c r="G145" s="65"/>
      <c r="H145" s="65"/>
      <c r="I145" s="65"/>
      <c r="J145" s="108"/>
      <c r="K145" s="103"/>
      <c r="L145" s="65"/>
      <c r="M145" s="65"/>
    </row>
    <row r="146">
      <c r="A146" s="61"/>
      <c r="B146" s="61"/>
      <c r="C146" s="61"/>
      <c r="D146" s="61"/>
      <c r="E146" s="61"/>
      <c r="F146" s="61"/>
      <c r="G146" s="61"/>
      <c r="H146" s="61"/>
      <c r="I146" s="61"/>
      <c r="J146" s="107"/>
      <c r="K146" s="100"/>
      <c r="L146" s="61"/>
      <c r="M146" s="61"/>
    </row>
    <row r="147">
      <c r="A147" s="65"/>
      <c r="B147" s="65"/>
      <c r="C147" s="65"/>
      <c r="D147" s="65"/>
      <c r="E147" s="65"/>
      <c r="F147" s="65"/>
      <c r="G147" s="65"/>
      <c r="H147" s="65"/>
      <c r="I147" s="65"/>
      <c r="J147" s="108"/>
      <c r="K147" s="103"/>
      <c r="L147" s="65"/>
      <c r="M147" s="65"/>
    </row>
    <row r="148">
      <c r="A148" s="61"/>
      <c r="B148" s="61"/>
      <c r="C148" s="61"/>
      <c r="D148" s="61"/>
      <c r="E148" s="61"/>
      <c r="F148" s="61"/>
      <c r="G148" s="61"/>
      <c r="H148" s="61"/>
      <c r="I148" s="61"/>
      <c r="J148" s="107"/>
      <c r="K148" s="100"/>
      <c r="L148" s="61"/>
      <c r="M148" s="61"/>
    </row>
    <row r="149">
      <c r="A149" s="65"/>
      <c r="B149" s="65"/>
      <c r="C149" s="65"/>
      <c r="D149" s="65"/>
      <c r="E149" s="65"/>
      <c r="F149" s="65"/>
      <c r="G149" s="65"/>
      <c r="H149" s="65"/>
      <c r="I149" s="65"/>
      <c r="J149" s="108"/>
      <c r="K149" s="103"/>
      <c r="L149" s="65"/>
      <c r="M149" s="65"/>
    </row>
    <row r="150">
      <c r="A150" s="61"/>
      <c r="B150" s="61"/>
      <c r="C150" s="61"/>
      <c r="D150" s="61"/>
      <c r="E150" s="61"/>
      <c r="F150" s="61"/>
      <c r="G150" s="61"/>
      <c r="H150" s="61"/>
      <c r="I150" s="61"/>
      <c r="J150" s="107"/>
      <c r="K150" s="100"/>
      <c r="L150" s="61"/>
      <c r="M150" s="61"/>
    </row>
    <row r="151">
      <c r="A151" s="65"/>
      <c r="B151" s="65"/>
      <c r="C151" s="65"/>
      <c r="D151" s="65"/>
      <c r="E151" s="65"/>
      <c r="F151" s="65"/>
      <c r="G151" s="65"/>
      <c r="H151" s="65"/>
      <c r="I151" s="65"/>
      <c r="J151" s="108"/>
      <c r="K151" s="103"/>
      <c r="L151" s="65"/>
      <c r="M151" s="65"/>
    </row>
    <row r="152">
      <c r="A152" s="61"/>
      <c r="B152" s="61"/>
      <c r="C152" s="61"/>
      <c r="D152" s="61"/>
      <c r="E152" s="61"/>
      <c r="F152" s="61"/>
      <c r="G152" s="61"/>
      <c r="H152" s="61"/>
      <c r="I152" s="61"/>
      <c r="J152" s="107"/>
      <c r="K152" s="100"/>
      <c r="L152" s="61"/>
      <c r="M152" s="61"/>
    </row>
    <row r="153">
      <c r="A153" s="65"/>
      <c r="B153" s="65"/>
      <c r="C153" s="65"/>
      <c r="D153" s="65"/>
      <c r="E153" s="65"/>
      <c r="F153" s="65"/>
      <c r="G153" s="65"/>
      <c r="H153" s="65"/>
      <c r="I153" s="65"/>
      <c r="J153" s="108"/>
      <c r="K153" s="103"/>
      <c r="L153" s="65"/>
      <c r="M153" s="65"/>
    </row>
    <row r="154">
      <c r="A154" s="61"/>
      <c r="B154" s="61"/>
      <c r="C154" s="61"/>
      <c r="D154" s="61"/>
      <c r="E154" s="61"/>
      <c r="F154" s="61"/>
      <c r="G154" s="61"/>
      <c r="H154" s="61"/>
      <c r="I154" s="61"/>
      <c r="J154" s="107"/>
      <c r="K154" s="100"/>
      <c r="L154" s="61"/>
      <c r="M154" s="61"/>
    </row>
    <row r="155">
      <c r="A155" s="65"/>
      <c r="B155" s="65"/>
      <c r="C155" s="65"/>
      <c r="D155" s="65"/>
      <c r="E155" s="65"/>
      <c r="F155" s="65"/>
      <c r="G155" s="65"/>
      <c r="H155" s="65"/>
      <c r="I155" s="65"/>
      <c r="J155" s="108"/>
      <c r="K155" s="103"/>
      <c r="L155" s="65"/>
      <c r="M155" s="65"/>
    </row>
    <row r="156">
      <c r="A156" s="61"/>
      <c r="B156" s="61"/>
      <c r="C156" s="61"/>
      <c r="D156" s="61"/>
      <c r="E156" s="61"/>
      <c r="F156" s="61"/>
      <c r="G156" s="61"/>
      <c r="H156" s="61"/>
      <c r="I156" s="61"/>
      <c r="J156" s="107"/>
      <c r="K156" s="100"/>
      <c r="L156" s="61"/>
      <c r="M156" s="61"/>
    </row>
    <row r="157">
      <c r="A157" s="65"/>
      <c r="B157" s="65"/>
      <c r="C157" s="65"/>
      <c r="D157" s="65"/>
      <c r="E157" s="65"/>
      <c r="F157" s="65"/>
      <c r="G157" s="65"/>
      <c r="H157" s="65"/>
      <c r="I157" s="65"/>
      <c r="J157" s="108"/>
      <c r="K157" s="103"/>
      <c r="L157" s="65"/>
      <c r="M157" s="65"/>
    </row>
    <row r="158">
      <c r="A158" s="61"/>
      <c r="B158" s="61"/>
      <c r="C158" s="61"/>
      <c r="D158" s="61"/>
      <c r="E158" s="61"/>
      <c r="F158" s="61"/>
      <c r="G158" s="61"/>
      <c r="H158" s="61"/>
      <c r="I158" s="61"/>
      <c r="J158" s="107"/>
      <c r="K158" s="100"/>
      <c r="L158" s="61"/>
      <c r="M158" s="61"/>
    </row>
    <row r="159">
      <c r="A159" s="65"/>
      <c r="B159" s="65"/>
      <c r="C159" s="65"/>
      <c r="D159" s="65"/>
      <c r="E159" s="65"/>
      <c r="F159" s="65"/>
      <c r="G159" s="65"/>
      <c r="H159" s="65"/>
      <c r="I159" s="65"/>
      <c r="J159" s="108"/>
      <c r="K159" s="103"/>
      <c r="L159" s="65"/>
      <c r="M159" s="65"/>
    </row>
    <row r="160">
      <c r="A160" s="61"/>
      <c r="B160" s="61"/>
      <c r="C160" s="61"/>
      <c r="D160" s="61"/>
      <c r="E160" s="61"/>
      <c r="F160" s="61"/>
      <c r="G160" s="61"/>
      <c r="H160" s="61"/>
      <c r="I160" s="61"/>
      <c r="J160" s="107"/>
      <c r="K160" s="100"/>
      <c r="L160" s="61"/>
      <c r="M160" s="61"/>
    </row>
    <row r="161">
      <c r="A161" s="65"/>
      <c r="B161" s="65"/>
      <c r="C161" s="65"/>
      <c r="D161" s="65"/>
      <c r="E161" s="65"/>
      <c r="F161" s="65"/>
      <c r="G161" s="65"/>
      <c r="H161" s="65"/>
      <c r="I161" s="65"/>
      <c r="J161" s="108"/>
      <c r="K161" s="103"/>
      <c r="L161" s="65"/>
      <c r="M161" s="65"/>
    </row>
    <row r="162">
      <c r="A162" s="61"/>
      <c r="B162" s="61"/>
      <c r="C162" s="61"/>
      <c r="D162" s="61"/>
      <c r="E162" s="61"/>
      <c r="F162" s="61"/>
      <c r="G162" s="61"/>
      <c r="H162" s="61"/>
      <c r="I162" s="61"/>
      <c r="J162" s="107"/>
      <c r="K162" s="100"/>
      <c r="L162" s="61"/>
      <c r="M162" s="61"/>
    </row>
    <row r="163">
      <c r="A163" s="65"/>
      <c r="B163" s="65"/>
      <c r="C163" s="65"/>
      <c r="D163" s="65"/>
      <c r="E163" s="65"/>
      <c r="F163" s="65"/>
      <c r="G163" s="65"/>
      <c r="H163" s="65"/>
      <c r="I163" s="65"/>
      <c r="J163" s="108"/>
      <c r="K163" s="103"/>
      <c r="L163" s="65"/>
      <c r="M163" s="65"/>
    </row>
    <row r="164">
      <c r="A164" s="61"/>
      <c r="B164" s="61"/>
      <c r="C164" s="61"/>
      <c r="D164" s="61"/>
      <c r="E164" s="61"/>
      <c r="F164" s="61"/>
      <c r="G164" s="61"/>
      <c r="H164" s="61"/>
      <c r="I164" s="61"/>
      <c r="J164" s="107"/>
      <c r="K164" s="100"/>
      <c r="L164" s="61"/>
      <c r="M164" s="61"/>
    </row>
    <row r="165">
      <c r="A165" s="65"/>
      <c r="B165" s="65"/>
      <c r="C165" s="65"/>
      <c r="D165" s="65"/>
      <c r="E165" s="65"/>
      <c r="F165" s="65"/>
      <c r="G165" s="65"/>
      <c r="H165" s="65"/>
      <c r="I165" s="65"/>
      <c r="J165" s="108"/>
      <c r="K165" s="103"/>
      <c r="L165" s="65"/>
      <c r="M165" s="65"/>
    </row>
    <row r="166">
      <c r="A166" s="61"/>
      <c r="B166" s="61"/>
      <c r="C166" s="61"/>
      <c r="D166" s="61"/>
      <c r="E166" s="61"/>
      <c r="F166" s="61"/>
      <c r="G166" s="61"/>
      <c r="H166" s="61"/>
      <c r="I166" s="61"/>
      <c r="J166" s="107"/>
      <c r="K166" s="100"/>
      <c r="L166" s="61"/>
      <c r="M166" s="61"/>
    </row>
    <row r="167">
      <c r="A167" s="65"/>
      <c r="B167" s="65"/>
      <c r="C167" s="65"/>
      <c r="D167" s="65"/>
      <c r="E167" s="65"/>
      <c r="F167" s="65"/>
      <c r="G167" s="65"/>
      <c r="H167" s="65"/>
      <c r="I167" s="65"/>
      <c r="J167" s="108"/>
      <c r="K167" s="103"/>
      <c r="L167" s="65"/>
      <c r="M167" s="65"/>
    </row>
    <row r="168">
      <c r="A168" s="61"/>
      <c r="B168" s="61"/>
      <c r="C168" s="61"/>
      <c r="D168" s="61"/>
      <c r="E168" s="61"/>
      <c r="F168" s="61"/>
      <c r="G168" s="61"/>
      <c r="H168" s="61"/>
      <c r="I168" s="61"/>
      <c r="J168" s="107"/>
      <c r="K168" s="100"/>
      <c r="L168" s="61"/>
      <c r="M168" s="61"/>
    </row>
    <row r="169">
      <c r="A169" s="65"/>
      <c r="B169" s="65"/>
      <c r="C169" s="65"/>
      <c r="D169" s="65"/>
      <c r="E169" s="65"/>
      <c r="F169" s="65"/>
      <c r="G169" s="65"/>
      <c r="H169" s="65"/>
      <c r="I169" s="65"/>
      <c r="J169" s="108"/>
      <c r="K169" s="103"/>
      <c r="L169" s="65"/>
      <c r="M169" s="65"/>
    </row>
    <row r="170">
      <c r="A170" s="61"/>
      <c r="B170" s="61"/>
      <c r="C170" s="61"/>
      <c r="D170" s="61"/>
      <c r="E170" s="61"/>
      <c r="F170" s="61"/>
      <c r="G170" s="61"/>
      <c r="H170" s="61"/>
      <c r="I170" s="61"/>
      <c r="J170" s="107"/>
      <c r="K170" s="100"/>
      <c r="L170" s="61"/>
      <c r="M170" s="61"/>
    </row>
    <row r="171">
      <c r="A171" s="65"/>
      <c r="B171" s="65"/>
      <c r="C171" s="65"/>
      <c r="D171" s="65"/>
      <c r="E171" s="65"/>
      <c r="F171" s="65"/>
      <c r="G171" s="65"/>
      <c r="H171" s="65"/>
      <c r="I171" s="65"/>
      <c r="J171" s="108"/>
      <c r="K171" s="103"/>
      <c r="L171" s="65"/>
      <c r="M171" s="65"/>
    </row>
    <row r="172">
      <c r="A172" s="61"/>
      <c r="B172" s="61"/>
      <c r="C172" s="61"/>
      <c r="D172" s="61"/>
      <c r="E172" s="61"/>
      <c r="F172" s="61"/>
      <c r="G172" s="61"/>
      <c r="H172" s="61"/>
      <c r="I172" s="61"/>
      <c r="J172" s="107"/>
      <c r="K172" s="100"/>
      <c r="L172" s="61"/>
      <c r="M172" s="61"/>
    </row>
    <row r="173">
      <c r="A173" s="65"/>
      <c r="B173" s="65"/>
      <c r="C173" s="65"/>
      <c r="D173" s="65"/>
      <c r="E173" s="65"/>
      <c r="F173" s="65"/>
      <c r="G173" s="65"/>
      <c r="H173" s="65"/>
      <c r="I173" s="65"/>
      <c r="J173" s="108"/>
      <c r="K173" s="103"/>
      <c r="L173" s="65"/>
      <c r="M173" s="65"/>
    </row>
    <row r="174">
      <c r="A174" s="61"/>
      <c r="B174" s="61"/>
      <c r="C174" s="61"/>
      <c r="D174" s="61"/>
      <c r="E174" s="61"/>
      <c r="F174" s="61"/>
      <c r="G174" s="61"/>
      <c r="H174" s="61"/>
      <c r="I174" s="61"/>
      <c r="J174" s="107"/>
      <c r="K174" s="100"/>
      <c r="L174" s="61"/>
      <c r="M174" s="61"/>
    </row>
    <row r="175">
      <c r="A175" s="65"/>
      <c r="B175" s="65"/>
      <c r="C175" s="65"/>
      <c r="D175" s="65"/>
      <c r="E175" s="65"/>
      <c r="F175" s="65"/>
      <c r="G175" s="65"/>
      <c r="H175" s="65"/>
      <c r="I175" s="65"/>
      <c r="J175" s="108"/>
      <c r="K175" s="103"/>
      <c r="L175" s="65"/>
      <c r="M175" s="65"/>
    </row>
    <row r="176">
      <c r="A176" s="61"/>
      <c r="B176" s="61"/>
      <c r="C176" s="61"/>
      <c r="D176" s="61"/>
      <c r="E176" s="61"/>
      <c r="F176" s="61"/>
      <c r="G176" s="61"/>
      <c r="H176" s="61"/>
      <c r="I176" s="61"/>
      <c r="J176" s="107"/>
      <c r="K176" s="100"/>
      <c r="L176" s="61"/>
      <c r="M176" s="61"/>
    </row>
    <row r="177">
      <c r="A177" s="65"/>
      <c r="B177" s="65"/>
      <c r="C177" s="65"/>
      <c r="D177" s="65"/>
      <c r="E177" s="65"/>
      <c r="F177" s="65"/>
      <c r="G177" s="65"/>
      <c r="H177" s="65"/>
      <c r="I177" s="65"/>
      <c r="J177" s="108"/>
      <c r="K177" s="103"/>
      <c r="L177" s="65"/>
      <c r="M177" s="65"/>
    </row>
    <row r="178">
      <c r="A178" s="61"/>
      <c r="B178" s="61"/>
      <c r="C178" s="61"/>
      <c r="D178" s="61"/>
      <c r="E178" s="61"/>
      <c r="F178" s="61"/>
      <c r="G178" s="61"/>
      <c r="H178" s="61"/>
      <c r="I178" s="61"/>
      <c r="J178" s="107"/>
      <c r="K178" s="100"/>
      <c r="L178" s="61"/>
      <c r="M178" s="61"/>
    </row>
    <row r="179">
      <c r="A179" s="65"/>
      <c r="B179" s="65"/>
      <c r="C179" s="65"/>
      <c r="D179" s="65"/>
      <c r="E179" s="65"/>
      <c r="F179" s="65"/>
      <c r="G179" s="65"/>
      <c r="H179" s="65"/>
      <c r="I179" s="65"/>
      <c r="J179" s="108"/>
      <c r="K179" s="103"/>
      <c r="L179" s="65"/>
      <c r="M179" s="65"/>
    </row>
    <row r="180">
      <c r="A180" s="61"/>
      <c r="B180" s="61"/>
      <c r="C180" s="61"/>
      <c r="D180" s="61"/>
      <c r="E180" s="61"/>
      <c r="F180" s="61"/>
      <c r="G180" s="61"/>
      <c r="H180" s="61"/>
      <c r="I180" s="61"/>
      <c r="J180" s="107"/>
      <c r="K180" s="100"/>
      <c r="L180" s="61"/>
      <c r="M180" s="61"/>
    </row>
    <row r="181">
      <c r="A181" s="65"/>
      <c r="B181" s="65"/>
      <c r="C181" s="65"/>
      <c r="D181" s="65"/>
      <c r="E181" s="65"/>
      <c r="F181" s="65"/>
      <c r="G181" s="65"/>
      <c r="H181" s="65"/>
      <c r="I181" s="65"/>
      <c r="J181" s="108"/>
      <c r="K181" s="103"/>
      <c r="L181" s="65"/>
      <c r="M181" s="65"/>
    </row>
    <row r="182">
      <c r="A182" s="61"/>
      <c r="B182" s="61"/>
      <c r="C182" s="61"/>
      <c r="D182" s="61"/>
      <c r="E182" s="61"/>
      <c r="F182" s="61"/>
      <c r="G182" s="61"/>
      <c r="H182" s="61"/>
      <c r="I182" s="61"/>
      <c r="J182" s="107"/>
      <c r="K182" s="100"/>
      <c r="L182" s="61"/>
      <c r="M182" s="61"/>
    </row>
    <row r="183">
      <c r="A183" s="65"/>
      <c r="B183" s="65"/>
      <c r="C183" s="65"/>
      <c r="D183" s="65"/>
      <c r="E183" s="65"/>
      <c r="F183" s="65"/>
      <c r="G183" s="65"/>
      <c r="H183" s="65"/>
      <c r="I183" s="65"/>
      <c r="J183" s="108"/>
      <c r="K183" s="103"/>
      <c r="L183" s="65"/>
      <c r="M183" s="65"/>
    </row>
    <row r="184">
      <c r="A184" s="61"/>
      <c r="B184" s="61"/>
      <c r="C184" s="61"/>
      <c r="D184" s="61"/>
      <c r="E184" s="61"/>
      <c r="F184" s="61"/>
      <c r="G184" s="61"/>
      <c r="H184" s="61"/>
      <c r="I184" s="61"/>
      <c r="J184" s="107"/>
      <c r="K184" s="100"/>
      <c r="L184" s="61"/>
      <c r="M184" s="61"/>
    </row>
    <row r="185">
      <c r="A185" s="65"/>
      <c r="B185" s="65"/>
      <c r="C185" s="65"/>
      <c r="D185" s="65"/>
      <c r="E185" s="65"/>
      <c r="F185" s="65"/>
      <c r="G185" s="65"/>
      <c r="H185" s="65"/>
      <c r="I185" s="65"/>
      <c r="J185" s="108"/>
      <c r="K185" s="103"/>
      <c r="L185" s="65"/>
      <c r="M185" s="65"/>
    </row>
    <row r="186">
      <c r="A186" s="61"/>
      <c r="B186" s="61"/>
      <c r="C186" s="61"/>
      <c r="D186" s="61"/>
      <c r="E186" s="61"/>
      <c r="F186" s="61"/>
      <c r="G186" s="61"/>
      <c r="H186" s="61"/>
      <c r="I186" s="61"/>
      <c r="J186" s="107"/>
      <c r="K186" s="100"/>
      <c r="L186" s="61"/>
      <c r="M186" s="61"/>
    </row>
    <row r="187">
      <c r="A187" s="65"/>
      <c r="B187" s="65"/>
      <c r="C187" s="65"/>
      <c r="D187" s="65"/>
      <c r="E187" s="65"/>
      <c r="F187" s="65"/>
      <c r="G187" s="65"/>
      <c r="H187" s="65"/>
      <c r="I187" s="65"/>
      <c r="J187" s="108"/>
      <c r="K187" s="103"/>
      <c r="L187" s="65"/>
      <c r="M187" s="65"/>
    </row>
    <row r="188">
      <c r="A188" s="61"/>
      <c r="B188" s="61"/>
      <c r="C188" s="61"/>
      <c r="D188" s="61"/>
      <c r="E188" s="61"/>
      <c r="F188" s="61"/>
      <c r="G188" s="61"/>
      <c r="H188" s="61"/>
      <c r="I188" s="61"/>
      <c r="J188" s="107"/>
      <c r="K188" s="100"/>
      <c r="L188" s="61"/>
      <c r="M188" s="61"/>
    </row>
    <row r="189">
      <c r="A189" s="65"/>
      <c r="B189" s="65"/>
      <c r="C189" s="65"/>
      <c r="D189" s="65"/>
      <c r="E189" s="65"/>
      <c r="F189" s="65"/>
      <c r="G189" s="65"/>
      <c r="H189" s="65"/>
      <c r="I189" s="65"/>
      <c r="J189" s="108"/>
      <c r="K189" s="103"/>
      <c r="L189" s="65"/>
      <c r="M189" s="65"/>
    </row>
    <row r="190">
      <c r="A190" s="61"/>
      <c r="B190" s="61"/>
      <c r="C190" s="61"/>
      <c r="D190" s="61"/>
      <c r="E190" s="61"/>
      <c r="F190" s="61"/>
      <c r="G190" s="61"/>
      <c r="H190" s="61"/>
      <c r="I190" s="61"/>
      <c r="J190" s="107"/>
      <c r="K190" s="100"/>
      <c r="L190" s="61"/>
      <c r="M190" s="61"/>
    </row>
    <row r="191">
      <c r="A191" s="65"/>
      <c r="B191" s="65"/>
      <c r="C191" s="65"/>
      <c r="D191" s="65"/>
      <c r="E191" s="65"/>
      <c r="F191" s="65"/>
      <c r="G191" s="65"/>
      <c r="H191" s="65"/>
      <c r="I191" s="65"/>
      <c r="J191" s="108"/>
      <c r="K191" s="103"/>
      <c r="L191" s="65"/>
      <c r="M191" s="65"/>
    </row>
    <row r="192">
      <c r="A192" s="61"/>
      <c r="B192" s="61"/>
      <c r="C192" s="61"/>
      <c r="D192" s="61"/>
      <c r="E192" s="61"/>
      <c r="F192" s="61"/>
      <c r="G192" s="61"/>
      <c r="H192" s="61"/>
      <c r="I192" s="61"/>
      <c r="J192" s="107"/>
      <c r="K192" s="100"/>
      <c r="L192" s="61"/>
      <c r="M192" s="61"/>
    </row>
    <row r="193">
      <c r="A193" s="65"/>
      <c r="B193" s="65"/>
      <c r="C193" s="65"/>
      <c r="D193" s="65"/>
      <c r="E193" s="65"/>
      <c r="F193" s="65"/>
      <c r="G193" s="65"/>
      <c r="H193" s="65"/>
      <c r="I193" s="65"/>
      <c r="J193" s="108"/>
      <c r="K193" s="103"/>
      <c r="L193" s="65"/>
      <c r="M193" s="65"/>
    </row>
    <row r="194">
      <c r="A194" s="61"/>
      <c r="B194" s="61"/>
      <c r="C194" s="61"/>
      <c r="D194" s="61"/>
      <c r="E194" s="61"/>
      <c r="F194" s="61"/>
      <c r="G194" s="61"/>
      <c r="H194" s="61"/>
      <c r="I194" s="61"/>
      <c r="J194" s="107"/>
      <c r="K194" s="100"/>
      <c r="L194" s="61"/>
      <c r="M194" s="61"/>
    </row>
    <row r="195">
      <c r="A195" s="65"/>
      <c r="B195" s="65"/>
      <c r="C195" s="65"/>
      <c r="D195" s="65"/>
      <c r="E195" s="65"/>
      <c r="F195" s="65"/>
      <c r="G195" s="65"/>
      <c r="H195" s="65"/>
      <c r="I195" s="65"/>
      <c r="J195" s="108"/>
      <c r="K195" s="103"/>
      <c r="L195" s="65"/>
      <c r="M195" s="65"/>
    </row>
    <row r="196">
      <c r="A196" s="61"/>
      <c r="B196" s="61"/>
      <c r="C196" s="61"/>
      <c r="D196" s="61"/>
      <c r="E196" s="61"/>
      <c r="F196" s="61"/>
      <c r="G196" s="61"/>
      <c r="H196" s="61"/>
      <c r="I196" s="61"/>
      <c r="J196" s="107"/>
      <c r="K196" s="100"/>
      <c r="L196" s="61"/>
      <c r="M196" s="61"/>
    </row>
    <row r="197">
      <c r="A197" s="65"/>
      <c r="B197" s="65"/>
      <c r="C197" s="65"/>
      <c r="D197" s="65"/>
      <c r="E197" s="65"/>
      <c r="F197" s="65"/>
      <c r="G197" s="65"/>
      <c r="H197" s="65"/>
      <c r="I197" s="65"/>
      <c r="J197" s="108"/>
      <c r="K197" s="103"/>
      <c r="L197" s="65"/>
      <c r="M197" s="65"/>
    </row>
    <row r="198">
      <c r="A198" s="61"/>
      <c r="B198" s="61"/>
      <c r="C198" s="61"/>
      <c r="D198" s="61"/>
      <c r="E198" s="61"/>
      <c r="F198" s="61"/>
      <c r="G198" s="61"/>
      <c r="H198" s="61"/>
      <c r="I198" s="61"/>
      <c r="J198" s="107"/>
      <c r="K198" s="100"/>
      <c r="L198" s="61"/>
      <c r="M198" s="61"/>
    </row>
    <row r="199">
      <c r="A199" s="65"/>
      <c r="B199" s="65"/>
      <c r="C199" s="65"/>
      <c r="D199" s="65"/>
      <c r="E199" s="65"/>
      <c r="F199" s="65"/>
      <c r="G199" s="65"/>
      <c r="H199" s="65"/>
      <c r="I199" s="65"/>
      <c r="J199" s="108"/>
      <c r="K199" s="103"/>
      <c r="L199" s="65"/>
      <c r="M199" s="65"/>
    </row>
    <row r="200">
      <c r="A200" s="61"/>
      <c r="B200" s="61"/>
      <c r="C200" s="61"/>
      <c r="D200" s="61"/>
      <c r="E200" s="61"/>
      <c r="F200" s="61"/>
      <c r="G200" s="61"/>
      <c r="H200" s="61"/>
      <c r="I200" s="61"/>
      <c r="J200" s="107"/>
      <c r="K200" s="100"/>
      <c r="L200" s="61"/>
      <c r="M200" s="61"/>
    </row>
    <row r="201">
      <c r="A201" s="65"/>
      <c r="B201" s="65"/>
      <c r="C201" s="65"/>
      <c r="D201" s="65"/>
      <c r="E201" s="65"/>
      <c r="F201" s="65"/>
      <c r="G201" s="65"/>
      <c r="H201" s="65"/>
      <c r="I201" s="65"/>
      <c r="J201" s="108"/>
      <c r="K201" s="103"/>
      <c r="L201" s="65"/>
      <c r="M201" s="65"/>
    </row>
    <row r="202">
      <c r="A202" s="61"/>
      <c r="B202" s="61"/>
      <c r="C202" s="61"/>
      <c r="D202" s="61"/>
      <c r="E202" s="61"/>
      <c r="F202" s="61"/>
      <c r="G202" s="61"/>
      <c r="H202" s="61"/>
      <c r="I202" s="61"/>
      <c r="J202" s="107"/>
      <c r="K202" s="100"/>
      <c r="L202" s="61"/>
      <c r="M202" s="61"/>
    </row>
    <row r="203">
      <c r="A203" s="65"/>
      <c r="B203" s="65"/>
      <c r="C203" s="65"/>
      <c r="D203" s="65"/>
      <c r="E203" s="65"/>
      <c r="F203" s="65"/>
      <c r="G203" s="65"/>
      <c r="H203" s="65"/>
      <c r="I203" s="65"/>
      <c r="J203" s="108"/>
      <c r="K203" s="103"/>
      <c r="L203" s="65"/>
      <c r="M203" s="65"/>
    </row>
    <row r="204">
      <c r="A204" s="61"/>
      <c r="B204" s="61"/>
      <c r="C204" s="61"/>
      <c r="D204" s="61"/>
      <c r="E204" s="61"/>
      <c r="F204" s="61"/>
      <c r="G204" s="61"/>
      <c r="H204" s="61"/>
      <c r="I204" s="61"/>
      <c r="J204" s="107"/>
      <c r="K204" s="100"/>
      <c r="L204" s="61"/>
      <c r="M204" s="61"/>
    </row>
    <row r="205">
      <c r="A205" s="65"/>
      <c r="B205" s="65"/>
      <c r="C205" s="65"/>
      <c r="D205" s="65"/>
      <c r="E205" s="65"/>
      <c r="F205" s="65"/>
      <c r="G205" s="65"/>
      <c r="H205" s="65"/>
      <c r="I205" s="65"/>
      <c r="J205" s="108"/>
      <c r="K205" s="103"/>
      <c r="L205" s="65"/>
      <c r="M205" s="65"/>
    </row>
    <row r="206">
      <c r="A206" s="61"/>
      <c r="B206" s="61"/>
      <c r="C206" s="61"/>
      <c r="D206" s="61"/>
      <c r="E206" s="61"/>
      <c r="F206" s="61"/>
      <c r="G206" s="61"/>
      <c r="H206" s="61"/>
      <c r="I206" s="61"/>
      <c r="J206" s="107"/>
      <c r="K206" s="100"/>
      <c r="L206" s="61"/>
      <c r="M206" s="61"/>
    </row>
    <row r="207">
      <c r="A207" s="65"/>
      <c r="B207" s="65"/>
      <c r="C207" s="65"/>
      <c r="D207" s="65"/>
      <c r="E207" s="65"/>
      <c r="F207" s="65"/>
      <c r="G207" s="65"/>
      <c r="H207" s="65"/>
      <c r="I207" s="65"/>
      <c r="J207" s="108"/>
      <c r="K207" s="103"/>
      <c r="L207" s="65"/>
      <c r="M207" s="65"/>
    </row>
    <row r="208">
      <c r="A208" s="61"/>
      <c r="B208" s="61"/>
      <c r="C208" s="61"/>
      <c r="D208" s="61"/>
      <c r="E208" s="61"/>
      <c r="F208" s="61"/>
      <c r="G208" s="61"/>
      <c r="H208" s="61"/>
      <c r="I208" s="61"/>
      <c r="J208" s="107"/>
      <c r="K208" s="100"/>
      <c r="L208" s="61"/>
      <c r="M208" s="61"/>
    </row>
    <row r="209">
      <c r="A209" s="65"/>
      <c r="B209" s="65"/>
      <c r="C209" s="65"/>
      <c r="D209" s="65"/>
      <c r="E209" s="65"/>
      <c r="F209" s="65"/>
      <c r="G209" s="65"/>
      <c r="H209" s="65"/>
      <c r="I209" s="65"/>
      <c r="J209" s="108"/>
      <c r="K209" s="103"/>
      <c r="L209" s="65"/>
      <c r="M209" s="65"/>
    </row>
    <row r="210">
      <c r="A210" s="61"/>
      <c r="B210" s="61"/>
      <c r="C210" s="61"/>
      <c r="D210" s="61"/>
      <c r="E210" s="61"/>
      <c r="F210" s="61"/>
      <c r="G210" s="61"/>
      <c r="H210" s="61"/>
      <c r="I210" s="61"/>
      <c r="J210" s="107"/>
      <c r="K210" s="100"/>
      <c r="L210" s="61"/>
      <c r="M210" s="61"/>
    </row>
    <row r="211">
      <c r="A211" s="65"/>
      <c r="B211" s="65"/>
      <c r="C211" s="65"/>
      <c r="D211" s="65"/>
      <c r="E211" s="65"/>
      <c r="F211" s="65"/>
      <c r="G211" s="65"/>
      <c r="H211" s="65"/>
      <c r="I211" s="65"/>
      <c r="J211" s="108"/>
      <c r="K211" s="103"/>
      <c r="L211" s="65"/>
      <c r="M211" s="65"/>
    </row>
    <row r="212">
      <c r="A212" s="61"/>
      <c r="B212" s="61"/>
      <c r="C212" s="61"/>
      <c r="D212" s="61"/>
      <c r="E212" s="61"/>
      <c r="F212" s="61"/>
      <c r="G212" s="61"/>
      <c r="H212" s="61"/>
      <c r="I212" s="61"/>
      <c r="J212" s="107"/>
      <c r="K212" s="100"/>
      <c r="L212" s="61"/>
      <c r="M212" s="61"/>
    </row>
    <row r="213">
      <c r="A213" s="65"/>
      <c r="B213" s="65"/>
      <c r="C213" s="65"/>
      <c r="D213" s="65"/>
      <c r="E213" s="65"/>
      <c r="F213" s="65"/>
      <c r="G213" s="65"/>
      <c r="H213" s="65"/>
      <c r="I213" s="65"/>
      <c r="J213" s="108"/>
      <c r="K213" s="103"/>
      <c r="L213" s="65"/>
      <c r="M213" s="65"/>
    </row>
    <row r="214">
      <c r="A214" s="61"/>
      <c r="B214" s="61"/>
      <c r="C214" s="61"/>
      <c r="D214" s="61"/>
      <c r="E214" s="61"/>
      <c r="F214" s="61"/>
      <c r="G214" s="61"/>
      <c r="H214" s="61"/>
      <c r="I214" s="61"/>
      <c r="J214" s="107"/>
      <c r="K214" s="100"/>
      <c r="L214" s="61"/>
      <c r="M214" s="61"/>
    </row>
    <row r="215">
      <c r="A215" s="65"/>
      <c r="B215" s="65"/>
      <c r="C215" s="65"/>
      <c r="D215" s="65"/>
      <c r="E215" s="65"/>
      <c r="F215" s="65"/>
      <c r="G215" s="65"/>
      <c r="H215" s="65"/>
      <c r="I215" s="65"/>
      <c r="J215" s="108"/>
      <c r="K215" s="103"/>
      <c r="L215" s="65"/>
      <c r="M215" s="65"/>
    </row>
    <row r="216">
      <c r="A216" s="61"/>
      <c r="B216" s="61"/>
      <c r="C216" s="61"/>
      <c r="D216" s="61"/>
      <c r="E216" s="61"/>
      <c r="F216" s="61"/>
      <c r="G216" s="61"/>
      <c r="H216" s="61"/>
      <c r="I216" s="61"/>
      <c r="J216" s="107"/>
      <c r="K216" s="100"/>
      <c r="L216" s="61"/>
      <c r="M216" s="61"/>
    </row>
    <row r="217">
      <c r="A217" s="65"/>
      <c r="B217" s="65"/>
      <c r="C217" s="65"/>
      <c r="D217" s="65"/>
      <c r="E217" s="65"/>
      <c r="F217" s="65"/>
      <c r="G217" s="65"/>
      <c r="H217" s="65"/>
      <c r="I217" s="65"/>
      <c r="J217" s="108"/>
      <c r="K217" s="103"/>
      <c r="L217" s="65"/>
      <c r="M217" s="65"/>
    </row>
    <row r="218">
      <c r="A218" s="61"/>
      <c r="B218" s="61"/>
      <c r="C218" s="61"/>
      <c r="D218" s="61"/>
      <c r="E218" s="61"/>
      <c r="F218" s="61"/>
      <c r="G218" s="61"/>
      <c r="H218" s="61"/>
      <c r="I218" s="61"/>
      <c r="J218" s="107"/>
      <c r="K218" s="100"/>
      <c r="L218" s="61"/>
      <c r="M218" s="61"/>
    </row>
    <row r="219">
      <c r="A219" s="65"/>
      <c r="B219" s="65"/>
      <c r="C219" s="65"/>
      <c r="D219" s="65"/>
      <c r="E219" s="65"/>
      <c r="F219" s="65"/>
      <c r="G219" s="65"/>
      <c r="H219" s="65"/>
      <c r="I219" s="65"/>
      <c r="J219" s="108"/>
      <c r="K219" s="103"/>
      <c r="L219" s="65"/>
      <c r="M219" s="65"/>
    </row>
    <row r="220">
      <c r="A220" s="61"/>
      <c r="B220" s="61"/>
      <c r="C220" s="61"/>
      <c r="D220" s="61"/>
      <c r="E220" s="61"/>
      <c r="F220" s="61"/>
      <c r="G220" s="61"/>
      <c r="H220" s="61"/>
      <c r="I220" s="61"/>
      <c r="J220" s="107"/>
      <c r="K220" s="100"/>
      <c r="L220" s="61"/>
      <c r="M220" s="61"/>
    </row>
    <row r="221">
      <c r="A221" s="65"/>
      <c r="B221" s="65"/>
      <c r="C221" s="65"/>
      <c r="D221" s="65"/>
      <c r="E221" s="65"/>
      <c r="F221" s="65"/>
      <c r="G221" s="65"/>
      <c r="H221" s="65"/>
      <c r="I221" s="65"/>
      <c r="J221" s="108"/>
      <c r="K221" s="103"/>
      <c r="L221" s="65"/>
      <c r="M221" s="65"/>
    </row>
    <row r="222">
      <c r="A222" s="61"/>
      <c r="B222" s="61"/>
      <c r="C222" s="61"/>
      <c r="D222" s="61"/>
      <c r="E222" s="61"/>
      <c r="F222" s="61"/>
      <c r="G222" s="61"/>
      <c r="H222" s="61"/>
      <c r="I222" s="61"/>
      <c r="J222" s="107"/>
      <c r="K222" s="100"/>
      <c r="L222" s="61"/>
      <c r="M222" s="61"/>
    </row>
    <row r="223">
      <c r="A223" s="65"/>
      <c r="B223" s="65"/>
      <c r="C223" s="65"/>
      <c r="D223" s="65"/>
      <c r="E223" s="65"/>
      <c r="F223" s="65"/>
      <c r="G223" s="65"/>
      <c r="H223" s="65"/>
      <c r="I223" s="65"/>
      <c r="J223" s="108"/>
      <c r="K223" s="103"/>
      <c r="L223" s="65"/>
      <c r="M223" s="65"/>
    </row>
    <row r="224">
      <c r="A224" s="61"/>
      <c r="B224" s="61"/>
      <c r="C224" s="61"/>
      <c r="D224" s="61"/>
      <c r="E224" s="61"/>
      <c r="F224" s="61"/>
      <c r="G224" s="61"/>
      <c r="H224" s="61"/>
      <c r="I224" s="61"/>
      <c r="J224" s="107"/>
      <c r="K224" s="100"/>
      <c r="L224" s="61"/>
      <c r="M224" s="61"/>
    </row>
    <row r="225">
      <c r="A225" s="65"/>
      <c r="B225" s="65"/>
      <c r="C225" s="65"/>
      <c r="D225" s="65"/>
      <c r="E225" s="65"/>
      <c r="F225" s="65"/>
      <c r="G225" s="65"/>
      <c r="H225" s="65"/>
      <c r="I225" s="65"/>
      <c r="J225" s="108"/>
      <c r="K225" s="103"/>
      <c r="L225" s="65"/>
      <c r="M225" s="65"/>
    </row>
    <row r="226">
      <c r="A226" s="61"/>
      <c r="B226" s="61"/>
      <c r="C226" s="61"/>
      <c r="D226" s="61"/>
      <c r="E226" s="61"/>
      <c r="F226" s="61"/>
      <c r="G226" s="61"/>
      <c r="H226" s="61"/>
      <c r="I226" s="61"/>
      <c r="J226" s="107"/>
      <c r="K226" s="100"/>
      <c r="L226" s="61"/>
      <c r="M226" s="61"/>
    </row>
    <row r="227">
      <c r="A227" s="65"/>
      <c r="B227" s="65"/>
      <c r="C227" s="65"/>
      <c r="D227" s="65"/>
      <c r="E227" s="65"/>
      <c r="F227" s="65"/>
      <c r="G227" s="65"/>
      <c r="H227" s="65"/>
      <c r="I227" s="65"/>
      <c r="J227" s="108"/>
      <c r="K227" s="103"/>
      <c r="L227" s="65"/>
      <c r="M227" s="65"/>
    </row>
    <row r="228">
      <c r="A228" s="61"/>
      <c r="B228" s="61"/>
      <c r="C228" s="61"/>
      <c r="D228" s="61"/>
      <c r="E228" s="61"/>
      <c r="F228" s="61"/>
      <c r="G228" s="61"/>
      <c r="H228" s="61"/>
      <c r="I228" s="61"/>
      <c r="J228" s="107"/>
      <c r="K228" s="100"/>
      <c r="L228" s="61"/>
      <c r="M228" s="61"/>
    </row>
    <row r="229">
      <c r="A229" s="65"/>
      <c r="B229" s="65"/>
      <c r="C229" s="65"/>
      <c r="D229" s="65"/>
      <c r="E229" s="65"/>
      <c r="F229" s="65"/>
      <c r="G229" s="65"/>
      <c r="H229" s="65"/>
      <c r="I229" s="65"/>
      <c r="J229" s="108"/>
      <c r="K229" s="103"/>
      <c r="L229" s="65"/>
      <c r="M229" s="65"/>
    </row>
    <row r="230">
      <c r="A230" s="61"/>
      <c r="B230" s="61"/>
      <c r="C230" s="61"/>
      <c r="D230" s="61"/>
      <c r="E230" s="61"/>
      <c r="F230" s="61"/>
      <c r="G230" s="61"/>
      <c r="H230" s="61"/>
      <c r="I230" s="61"/>
      <c r="J230" s="107"/>
      <c r="K230" s="100"/>
      <c r="L230" s="61"/>
      <c r="M230" s="61"/>
    </row>
    <row r="231">
      <c r="A231" s="65"/>
      <c r="B231" s="65"/>
      <c r="C231" s="65"/>
      <c r="D231" s="65"/>
      <c r="E231" s="65"/>
      <c r="F231" s="65"/>
      <c r="G231" s="65"/>
      <c r="H231" s="65"/>
      <c r="I231" s="65"/>
      <c r="J231" s="108"/>
      <c r="K231" s="103"/>
      <c r="L231" s="65"/>
      <c r="M231" s="65"/>
    </row>
    <row r="232">
      <c r="A232" s="61"/>
      <c r="B232" s="61"/>
      <c r="C232" s="61"/>
      <c r="D232" s="61"/>
      <c r="E232" s="61"/>
      <c r="F232" s="61"/>
      <c r="G232" s="61"/>
      <c r="H232" s="61"/>
      <c r="I232" s="61"/>
      <c r="J232" s="107"/>
      <c r="K232" s="100"/>
      <c r="L232" s="61"/>
      <c r="M232" s="61"/>
    </row>
    <row r="233">
      <c r="A233" s="65"/>
      <c r="B233" s="65"/>
      <c r="C233" s="65"/>
      <c r="D233" s="65"/>
      <c r="E233" s="65"/>
      <c r="F233" s="65"/>
      <c r="G233" s="65"/>
      <c r="H233" s="65"/>
      <c r="I233" s="65"/>
      <c r="J233" s="108"/>
      <c r="K233" s="103"/>
      <c r="L233" s="65"/>
      <c r="M233" s="65"/>
    </row>
    <row r="234">
      <c r="A234" s="61"/>
      <c r="B234" s="61"/>
      <c r="C234" s="61"/>
      <c r="D234" s="61"/>
      <c r="E234" s="61"/>
      <c r="F234" s="61"/>
      <c r="G234" s="61"/>
      <c r="H234" s="61"/>
      <c r="I234" s="61"/>
      <c r="J234" s="107"/>
      <c r="K234" s="100"/>
      <c r="L234" s="61"/>
      <c r="M234" s="61"/>
    </row>
    <row r="235">
      <c r="A235" s="65"/>
      <c r="B235" s="65"/>
      <c r="C235" s="65"/>
      <c r="D235" s="65"/>
      <c r="E235" s="65"/>
      <c r="F235" s="65"/>
      <c r="G235" s="65"/>
      <c r="H235" s="65"/>
      <c r="I235" s="65"/>
      <c r="J235" s="108"/>
      <c r="K235" s="103"/>
      <c r="L235" s="65"/>
      <c r="M235" s="65"/>
    </row>
    <row r="236">
      <c r="A236" s="61"/>
      <c r="B236" s="61"/>
      <c r="C236" s="61"/>
      <c r="D236" s="61"/>
      <c r="E236" s="61"/>
      <c r="F236" s="61"/>
      <c r="G236" s="61"/>
      <c r="H236" s="61"/>
      <c r="I236" s="61"/>
      <c r="J236" s="107"/>
      <c r="K236" s="100"/>
      <c r="L236" s="61"/>
      <c r="M236" s="61"/>
    </row>
    <row r="237">
      <c r="A237" s="65"/>
      <c r="B237" s="65"/>
      <c r="C237" s="65"/>
      <c r="D237" s="65"/>
      <c r="E237" s="65"/>
      <c r="F237" s="65"/>
      <c r="G237" s="65"/>
      <c r="H237" s="65"/>
      <c r="I237" s="65"/>
      <c r="J237" s="108"/>
      <c r="K237" s="103"/>
      <c r="L237" s="65"/>
      <c r="M237" s="65"/>
    </row>
    <row r="238">
      <c r="A238" s="61"/>
      <c r="B238" s="61"/>
      <c r="C238" s="61"/>
      <c r="D238" s="61"/>
      <c r="E238" s="61"/>
      <c r="F238" s="61"/>
      <c r="G238" s="61"/>
      <c r="H238" s="61"/>
      <c r="I238" s="61"/>
      <c r="J238" s="107"/>
      <c r="K238" s="100"/>
      <c r="L238" s="61"/>
      <c r="M238" s="61"/>
    </row>
    <row r="239">
      <c r="A239" s="65"/>
      <c r="B239" s="65"/>
      <c r="C239" s="65"/>
      <c r="D239" s="65"/>
      <c r="E239" s="65"/>
      <c r="F239" s="65"/>
      <c r="G239" s="65"/>
      <c r="H239" s="65"/>
      <c r="I239" s="65"/>
      <c r="J239" s="108"/>
      <c r="K239" s="103"/>
      <c r="L239" s="65"/>
      <c r="M239" s="65"/>
    </row>
    <row r="240">
      <c r="A240" s="61"/>
      <c r="B240" s="61"/>
      <c r="C240" s="61"/>
      <c r="D240" s="61"/>
      <c r="E240" s="61"/>
      <c r="F240" s="61"/>
      <c r="G240" s="61"/>
      <c r="H240" s="61"/>
      <c r="I240" s="61"/>
      <c r="J240" s="107"/>
      <c r="K240" s="100"/>
      <c r="L240" s="61"/>
      <c r="M240" s="61"/>
    </row>
    <row r="241">
      <c r="A241" s="65"/>
      <c r="B241" s="65"/>
      <c r="C241" s="65"/>
      <c r="D241" s="65"/>
      <c r="E241" s="65"/>
      <c r="F241" s="65"/>
      <c r="G241" s="65"/>
      <c r="H241" s="65"/>
      <c r="I241" s="65"/>
      <c r="J241" s="108"/>
      <c r="K241" s="103"/>
      <c r="L241" s="65"/>
      <c r="M241" s="65"/>
    </row>
    <row r="242">
      <c r="A242" s="61"/>
      <c r="B242" s="61"/>
      <c r="C242" s="61"/>
      <c r="D242" s="61"/>
      <c r="E242" s="61"/>
      <c r="F242" s="61"/>
      <c r="G242" s="61"/>
      <c r="H242" s="61"/>
      <c r="I242" s="61"/>
      <c r="J242" s="107"/>
      <c r="K242" s="100"/>
      <c r="L242" s="61"/>
      <c r="M242" s="61"/>
    </row>
    <row r="243">
      <c r="A243" s="65"/>
      <c r="B243" s="65"/>
      <c r="C243" s="65"/>
      <c r="D243" s="65"/>
      <c r="E243" s="65"/>
      <c r="F243" s="65"/>
      <c r="G243" s="65"/>
      <c r="H243" s="65"/>
      <c r="I243" s="65"/>
      <c r="J243" s="108"/>
      <c r="K243" s="103"/>
      <c r="L243" s="65"/>
      <c r="M243" s="65"/>
    </row>
    <row r="244">
      <c r="A244" s="61"/>
      <c r="B244" s="61"/>
      <c r="C244" s="61"/>
      <c r="D244" s="61"/>
      <c r="E244" s="61"/>
      <c r="F244" s="61"/>
      <c r="G244" s="61"/>
      <c r="H244" s="61"/>
      <c r="I244" s="61"/>
      <c r="J244" s="107"/>
      <c r="K244" s="100"/>
      <c r="L244" s="61"/>
      <c r="M244" s="61"/>
    </row>
    <row r="245">
      <c r="A245" s="65"/>
      <c r="B245" s="65"/>
      <c r="C245" s="65"/>
      <c r="D245" s="65"/>
      <c r="E245" s="65"/>
      <c r="F245" s="65"/>
      <c r="G245" s="65"/>
      <c r="H245" s="65"/>
      <c r="I245" s="65"/>
      <c r="J245" s="108"/>
      <c r="K245" s="103"/>
      <c r="L245" s="65"/>
      <c r="M245" s="65"/>
    </row>
    <row r="246">
      <c r="A246" s="61"/>
      <c r="B246" s="61"/>
      <c r="C246" s="61"/>
      <c r="D246" s="61"/>
      <c r="E246" s="61"/>
      <c r="F246" s="61"/>
      <c r="G246" s="61"/>
      <c r="H246" s="61"/>
      <c r="I246" s="61"/>
      <c r="J246" s="107"/>
      <c r="K246" s="100"/>
      <c r="L246" s="61"/>
      <c r="M246" s="61"/>
    </row>
    <row r="247">
      <c r="A247" s="65"/>
      <c r="B247" s="65"/>
      <c r="C247" s="65"/>
      <c r="D247" s="65"/>
      <c r="E247" s="65"/>
      <c r="F247" s="65"/>
      <c r="G247" s="65"/>
      <c r="H247" s="65"/>
      <c r="I247" s="65"/>
      <c r="J247" s="108"/>
      <c r="K247" s="103"/>
      <c r="L247" s="65"/>
      <c r="M247" s="65"/>
    </row>
    <row r="248">
      <c r="A248" s="61"/>
      <c r="B248" s="61"/>
      <c r="C248" s="61"/>
      <c r="D248" s="61"/>
      <c r="E248" s="61"/>
      <c r="F248" s="61"/>
      <c r="G248" s="61"/>
      <c r="H248" s="61"/>
      <c r="I248" s="61"/>
      <c r="J248" s="107"/>
      <c r="K248" s="100"/>
      <c r="L248" s="61"/>
      <c r="M248" s="61"/>
    </row>
    <row r="249">
      <c r="A249" s="65"/>
      <c r="B249" s="65"/>
      <c r="C249" s="65"/>
      <c r="D249" s="65"/>
      <c r="E249" s="65"/>
      <c r="F249" s="65"/>
      <c r="G249" s="65"/>
      <c r="H249" s="65"/>
      <c r="I249" s="65"/>
      <c r="J249" s="108"/>
      <c r="K249" s="103"/>
      <c r="L249" s="65"/>
      <c r="M249" s="65"/>
    </row>
    <row r="250">
      <c r="A250" s="61"/>
      <c r="B250" s="61"/>
      <c r="C250" s="61"/>
      <c r="D250" s="61"/>
      <c r="E250" s="61"/>
      <c r="F250" s="61"/>
      <c r="G250" s="61"/>
      <c r="H250" s="61"/>
      <c r="I250" s="61"/>
      <c r="J250" s="107"/>
      <c r="K250" s="100"/>
      <c r="L250" s="61"/>
      <c r="M250" s="61"/>
    </row>
    <row r="251">
      <c r="A251" s="65"/>
      <c r="B251" s="65"/>
      <c r="C251" s="65"/>
      <c r="D251" s="65"/>
      <c r="E251" s="65"/>
      <c r="F251" s="65"/>
      <c r="G251" s="65"/>
      <c r="H251" s="65"/>
      <c r="I251" s="65"/>
      <c r="J251" s="108"/>
      <c r="K251" s="103"/>
      <c r="L251" s="65"/>
      <c r="M251" s="65"/>
    </row>
    <row r="252">
      <c r="A252" s="61"/>
      <c r="B252" s="61"/>
      <c r="C252" s="61"/>
      <c r="D252" s="61"/>
      <c r="E252" s="61"/>
      <c r="F252" s="61"/>
      <c r="G252" s="61"/>
      <c r="H252" s="61"/>
      <c r="I252" s="61"/>
      <c r="J252" s="107"/>
      <c r="K252" s="100"/>
      <c r="L252" s="61"/>
      <c r="M252" s="61"/>
    </row>
    <row r="253">
      <c r="A253" s="65"/>
      <c r="B253" s="65"/>
      <c r="C253" s="65"/>
      <c r="D253" s="65"/>
      <c r="E253" s="65"/>
      <c r="F253" s="65"/>
      <c r="G253" s="65"/>
      <c r="H253" s="65"/>
      <c r="I253" s="65"/>
      <c r="J253" s="108"/>
      <c r="K253" s="103"/>
      <c r="L253" s="65"/>
      <c r="M253" s="65"/>
    </row>
    <row r="254">
      <c r="A254" s="61"/>
      <c r="B254" s="61"/>
      <c r="C254" s="61"/>
      <c r="D254" s="61"/>
      <c r="E254" s="61"/>
      <c r="F254" s="61"/>
      <c r="G254" s="61"/>
      <c r="H254" s="61"/>
      <c r="I254" s="61"/>
      <c r="J254" s="107"/>
      <c r="K254" s="100"/>
      <c r="L254" s="61"/>
      <c r="M254" s="61"/>
    </row>
    <row r="255">
      <c r="A255" s="65"/>
      <c r="B255" s="65"/>
      <c r="C255" s="65"/>
      <c r="D255" s="65"/>
      <c r="E255" s="65"/>
      <c r="F255" s="65"/>
      <c r="G255" s="65"/>
      <c r="H255" s="65"/>
      <c r="I255" s="65"/>
      <c r="J255" s="108"/>
      <c r="K255" s="103"/>
      <c r="L255" s="65"/>
      <c r="M255" s="65"/>
    </row>
    <row r="256">
      <c r="A256" s="61"/>
      <c r="B256" s="61"/>
      <c r="C256" s="61"/>
      <c r="D256" s="61"/>
      <c r="E256" s="61"/>
      <c r="F256" s="61"/>
      <c r="G256" s="61"/>
      <c r="H256" s="61"/>
      <c r="I256" s="61"/>
      <c r="J256" s="107"/>
      <c r="K256" s="100"/>
      <c r="L256" s="61"/>
      <c r="M256" s="61"/>
    </row>
    <row r="257">
      <c r="A257" s="65"/>
      <c r="B257" s="65"/>
      <c r="C257" s="65"/>
      <c r="D257" s="65"/>
      <c r="E257" s="65"/>
      <c r="F257" s="65"/>
      <c r="G257" s="65"/>
      <c r="H257" s="65"/>
      <c r="I257" s="65"/>
      <c r="J257" s="108"/>
      <c r="K257" s="103"/>
      <c r="L257" s="65"/>
      <c r="M257" s="65"/>
    </row>
    <row r="258">
      <c r="A258" s="61"/>
      <c r="B258" s="61"/>
      <c r="C258" s="61"/>
      <c r="D258" s="61"/>
      <c r="E258" s="61"/>
      <c r="F258" s="61"/>
      <c r="G258" s="61"/>
      <c r="H258" s="61"/>
      <c r="I258" s="61"/>
      <c r="J258" s="107"/>
      <c r="K258" s="100"/>
      <c r="L258" s="61"/>
      <c r="M258" s="61"/>
    </row>
    <row r="259">
      <c r="A259" s="65"/>
      <c r="B259" s="65"/>
      <c r="C259" s="65"/>
      <c r="D259" s="65"/>
      <c r="E259" s="65"/>
      <c r="F259" s="65"/>
      <c r="G259" s="65"/>
      <c r="H259" s="65"/>
      <c r="I259" s="65"/>
      <c r="J259" s="108"/>
      <c r="K259" s="103"/>
      <c r="L259" s="65"/>
      <c r="M259" s="65"/>
    </row>
    <row r="260">
      <c r="A260" s="61"/>
      <c r="B260" s="61"/>
      <c r="C260" s="61"/>
      <c r="D260" s="61"/>
      <c r="E260" s="61"/>
      <c r="F260" s="61"/>
      <c r="G260" s="61"/>
      <c r="H260" s="61"/>
      <c r="I260" s="61"/>
      <c r="J260" s="107"/>
      <c r="K260" s="100"/>
      <c r="L260" s="61"/>
      <c r="M260" s="61"/>
    </row>
    <row r="261">
      <c r="A261" s="65"/>
      <c r="B261" s="65"/>
      <c r="C261" s="65"/>
      <c r="D261" s="65"/>
      <c r="E261" s="65"/>
      <c r="F261" s="65"/>
      <c r="G261" s="65"/>
      <c r="H261" s="65"/>
      <c r="I261" s="65"/>
      <c r="J261" s="108"/>
      <c r="K261" s="103"/>
      <c r="L261" s="65"/>
      <c r="M261" s="65"/>
    </row>
    <row r="262">
      <c r="A262" s="61"/>
      <c r="B262" s="61"/>
      <c r="C262" s="61"/>
      <c r="D262" s="61"/>
      <c r="E262" s="61"/>
      <c r="F262" s="61"/>
      <c r="G262" s="61"/>
      <c r="H262" s="61"/>
      <c r="I262" s="61"/>
      <c r="J262" s="107"/>
      <c r="K262" s="100"/>
      <c r="L262" s="61"/>
      <c r="M262" s="61"/>
    </row>
    <row r="263">
      <c r="A263" s="65"/>
      <c r="B263" s="65"/>
      <c r="C263" s="65"/>
      <c r="D263" s="65"/>
      <c r="E263" s="65"/>
      <c r="F263" s="65"/>
      <c r="G263" s="65"/>
      <c r="H263" s="65"/>
      <c r="I263" s="65"/>
      <c r="J263" s="108"/>
      <c r="K263" s="103"/>
      <c r="L263" s="65"/>
      <c r="M263" s="65"/>
    </row>
    <row r="264">
      <c r="A264" s="61"/>
      <c r="B264" s="61"/>
      <c r="C264" s="61"/>
      <c r="D264" s="61"/>
      <c r="E264" s="61"/>
      <c r="F264" s="61"/>
      <c r="G264" s="61"/>
      <c r="H264" s="61"/>
      <c r="I264" s="61"/>
      <c r="J264" s="107"/>
      <c r="K264" s="100"/>
      <c r="L264" s="61"/>
      <c r="M264" s="61"/>
    </row>
    <row r="265">
      <c r="A265" s="65"/>
      <c r="B265" s="65"/>
      <c r="C265" s="65"/>
      <c r="D265" s="65"/>
      <c r="E265" s="65"/>
      <c r="F265" s="65"/>
      <c r="G265" s="65"/>
      <c r="H265" s="65"/>
      <c r="I265" s="65"/>
      <c r="J265" s="108"/>
      <c r="K265" s="103"/>
      <c r="L265" s="65"/>
      <c r="M265" s="65"/>
    </row>
    <row r="266">
      <c r="A266" s="61"/>
      <c r="B266" s="61"/>
      <c r="C266" s="61"/>
      <c r="D266" s="61"/>
      <c r="E266" s="61"/>
      <c r="F266" s="61"/>
      <c r="G266" s="61"/>
      <c r="H266" s="61"/>
      <c r="I266" s="61"/>
      <c r="J266" s="107"/>
      <c r="K266" s="100"/>
      <c r="L266" s="61"/>
      <c r="M266" s="61"/>
    </row>
    <row r="267">
      <c r="A267" s="65"/>
      <c r="B267" s="65"/>
      <c r="C267" s="65"/>
      <c r="D267" s="65"/>
      <c r="E267" s="65"/>
      <c r="F267" s="65"/>
      <c r="G267" s="65"/>
      <c r="H267" s="65"/>
      <c r="I267" s="65"/>
      <c r="J267" s="108"/>
      <c r="K267" s="103"/>
      <c r="L267" s="65"/>
      <c r="M267" s="65"/>
    </row>
    <row r="268">
      <c r="A268" s="61"/>
      <c r="B268" s="61"/>
      <c r="C268" s="61"/>
      <c r="D268" s="61"/>
      <c r="E268" s="61"/>
      <c r="F268" s="61"/>
      <c r="G268" s="61"/>
      <c r="H268" s="61"/>
      <c r="I268" s="61"/>
      <c r="J268" s="107"/>
      <c r="K268" s="100"/>
      <c r="L268" s="61"/>
      <c r="M268" s="61"/>
    </row>
    <row r="269">
      <c r="A269" s="65"/>
      <c r="B269" s="65"/>
      <c r="C269" s="65"/>
      <c r="D269" s="65"/>
      <c r="E269" s="65"/>
      <c r="F269" s="65"/>
      <c r="G269" s="65"/>
      <c r="H269" s="65"/>
      <c r="I269" s="65"/>
      <c r="J269" s="108"/>
      <c r="K269" s="103"/>
      <c r="L269" s="65"/>
      <c r="M269" s="65"/>
    </row>
    <row r="270">
      <c r="A270" s="61"/>
      <c r="B270" s="61"/>
      <c r="C270" s="61"/>
      <c r="D270" s="61"/>
      <c r="E270" s="61"/>
      <c r="F270" s="61"/>
      <c r="G270" s="61"/>
      <c r="H270" s="61"/>
      <c r="I270" s="61"/>
      <c r="J270" s="107"/>
      <c r="K270" s="100"/>
      <c r="L270" s="61"/>
      <c r="M270" s="61"/>
    </row>
    <row r="271">
      <c r="A271" s="65"/>
      <c r="B271" s="65"/>
      <c r="C271" s="65"/>
      <c r="D271" s="65"/>
      <c r="E271" s="65"/>
      <c r="F271" s="65"/>
      <c r="G271" s="65"/>
      <c r="H271" s="65"/>
      <c r="I271" s="65"/>
      <c r="J271" s="108"/>
      <c r="K271" s="103"/>
      <c r="L271" s="65"/>
      <c r="M271" s="65"/>
    </row>
    <row r="272">
      <c r="A272" s="61"/>
      <c r="B272" s="61"/>
      <c r="C272" s="61"/>
      <c r="D272" s="61"/>
      <c r="E272" s="61"/>
      <c r="F272" s="61"/>
      <c r="G272" s="61"/>
      <c r="H272" s="61"/>
      <c r="I272" s="61"/>
      <c r="J272" s="107"/>
      <c r="K272" s="100"/>
      <c r="L272" s="61"/>
      <c r="M272" s="61"/>
    </row>
    <row r="273">
      <c r="A273" s="65"/>
      <c r="B273" s="65"/>
      <c r="C273" s="65"/>
      <c r="D273" s="65"/>
      <c r="E273" s="65"/>
      <c r="F273" s="65"/>
      <c r="G273" s="65"/>
      <c r="H273" s="65"/>
      <c r="I273" s="65"/>
      <c r="J273" s="108"/>
      <c r="K273" s="103"/>
      <c r="L273" s="65"/>
      <c r="M273" s="65"/>
    </row>
    <row r="274">
      <c r="A274" s="61"/>
      <c r="B274" s="61"/>
      <c r="C274" s="61"/>
      <c r="D274" s="61"/>
      <c r="E274" s="61"/>
      <c r="F274" s="61"/>
      <c r="G274" s="61"/>
      <c r="H274" s="61"/>
      <c r="I274" s="61"/>
      <c r="J274" s="107"/>
      <c r="K274" s="100"/>
      <c r="L274" s="61"/>
      <c r="M274" s="61"/>
    </row>
    <row r="275">
      <c r="A275" s="65"/>
      <c r="B275" s="65"/>
      <c r="C275" s="65"/>
      <c r="D275" s="65"/>
      <c r="E275" s="65"/>
      <c r="F275" s="65"/>
      <c r="G275" s="65"/>
      <c r="H275" s="65"/>
      <c r="I275" s="65"/>
      <c r="J275" s="108"/>
      <c r="K275" s="103"/>
      <c r="L275" s="65"/>
      <c r="M275" s="65"/>
    </row>
    <row r="276">
      <c r="A276" s="61"/>
      <c r="B276" s="61"/>
      <c r="C276" s="61"/>
      <c r="D276" s="61"/>
      <c r="E276" s="61"/>
      <c r="F276" s="61"/>
      <c r="G276" s="61"/>
      <c r="H276" s="61"/>
      <c r="I276" s="61"/>
      <c r="J276" s="107"/>
      <c r="K276" s="100"/>
      <c r="L276" s="61"/>
      <c r="M276" s="61"/>
    </row>
    <row r="277">
      <c r="A277" s="65"/>
      <c r="B277" s="65"/>
      <c r="C277" s="65"/>
      <c r="D277" s="65"/>
      <c r="E277" s="65"/>
      <c r="F277" s="65"/>
      <c r="G277" s="65"/>
      <c r="H277" s="65"/>
      <c r="I277" s="65"/>
      <c r="J277" s="108"/>
      <c r="K277" s="103"/>
      <c r="L277" s="65"/>
      <c r="M277" s="65"/>
    </row>
    <row r="278">
      <c r="A278" s="61"/>
      <c r="B278" s="61"/>
      <c r="C278" s="61"/>
      <c r="D278" s="61"/>
      <c r="E278" s="61"/>
      <c r="F278" s="61"/>
      <c r="G278" s="61"/>
      <c r="H278" s="61"/>
      <c r="I278" s="61"/>
      <c r="J278" s="107"/>
      <c r="K278" s="100"/>
      <c r="L278" s="61"/>
      <c r="M278" s="61"/>
    </row>
    <row r="279">
      <c r="A279" s="65"/>
      <c r="B279" s="65"/>
      <c r="C279" s="65"/>
      <c r="D279" s="65"/>
      <c r="E279" s="65"/>
      <c r="F279" s="65"/>
      <c r="G279" s="65"/>
      <c r="H279" s="65"/>
      <c r="I279" s="65"/>
      <c r="J279" s="108"/>
      <c r="K279" s="103"/>
      <c r="L279" s="65"/>
      <c r="M279" s="65"/>
    </row>
    <row r="280">
      <c r="A280" s="61"/>
      <c r="B280" s="61"/>
      <c r="C280" s="61"/>
      <c r="D280" s="61"/>
      <c r="E280" s="61"/>
      <c r="F280" s="61"/>
      <c r="G280" s="61"/>
      <c r="H280" s="61"/>
      <c r="I280" s="61"/>
      <c r="J280" s="107"/>
      <c r="K280" s="100"/>
      <c r="L280" s="61"/>
      <c r="M280" s="61"/>
    </row>
    <row r="281">
      <c r="A281" s="65"/>
      <c r="B281" s="65"/>
      <c r="C281" s="65"/>
      <c r="D281" s="65"/>
      <c r="E281" s="65"/>
      <c r="F281" s="65"/>
      <c r="G281" s="65"/>
      <c r="H281" s="65"/>
      <c r="I281" s="65"/>
      <c r="J281" s="108"/>
      <c r="K281" s="103"/>
      <c r="L281" s="65"/>
      <c r="M281" s="65"/>
    </row>
    <row r="282">
      <c r="A282" s="61"/>
      <c r="B282" s="61"/>
      <c r="C282" s="61"/>
      <c r="D282" s="61"/>
      <c r="E282" s="61"/>
      <c r="F282" s="61"/>
      <c r="G282" s="61"/>
      <c r="H282" s="61"/>
      <c r="I282" s="61"/>
      <c r="J282" s="107"/>
      <c r="K282" s="100"/>
      <c r="L282" s="61"/>
      <c r="M282" s="61"/>
    </row>
    <row r="283">
      <c r="A283" s="65"/>
      <c r="B283" s="65"/>
      <c r="C283" s="65"/>
      <c r="D283" s="65"/>
      <c r="E283" s="65"/>
      <c r="F283" s="65"/>
      <c r="G283" s="65"/>
      <c r="H283" s="65"/>
      <c r="I283" s="65"/>
      <c r="J283" s="108"/>
      <c r="K283" s="103"/>
      <c r="L283" s="65"/>
      <c r="M283" s="65"/>
    </row>
    <row r="284">
      <c r="A284" s="61"/>
      <c r="B284" s="61"/>
      <c r="C284" s="61"/>
      <c r="D284" s="61"/>
      <c r="E284" s="61"/>
      <c r="F284" s="61"/>
      <c r="G284" s="61"/>
      <c r="H284" s="61"/>
      <c r="I284" s="61"/>
      <c r="J284" s="107"/>
      <c r="K284" s="100"/>
      <c r="L284" s="61"/>
      <c r="M284" s="61"/>
    </row>
    <row r="285">
      <c r="A285" s="65"/>
      <c r="B285" s="65"/>
      <c r="C285" s="65"/>
      <c r="D285" s="65"/>
      <c r="E285" s="65"/>
      <c r="F285" s="65"/>
      <c r="G285" s="65"/>
      <c r="H285" s="65"/>
      <c r="I285" s="65"/>
      <c r="J285" s="108"/>
      <c r="K285" s="103"/>
      <c r="L285" s="65"/>
      <c r="M285" s="65"/>
    </row>
    <row r="286">
      <c r="A286" s="61"/>
      <c r="B286" s="61"/>
      <c r="C286" s="61"/>
      <c r="D286" s="61"/>
      <c r="E286" s="61"/>
      <c r="F286" s="61"/>
      <c r="G286" s="61"/>
      <c r="H286" s="61"/>
      <c r="I286" s="61"/>
      <c r="J286" s="107"/>
      <c r="K286" s="100"/>
      <c r="L286" s="61"/>
      <c r="M286" s="61"/>
    </row>
    <row r="287">
      <c r="A287" s="65"/>
      <c r="B287" s="65"/>
      <c r="C287" s="65"/>
      <c r="D287" s="65"/>
      <c r="E287" s="65"/>
      <c r="F287" s="65"/>
      <c r="G287" s="65"/>
      <c r="H287" s="65"/>
      <c r="I287" s="65"/>
      <c r="J287" s="108"/>
      <c r="K287" s="103"/>
      <c r="L287" s="65"/>
      <c r="M287" s="65"/>
    </row>
    <row r="288">
      <c r="A288" s="61"/>
      <c r="B288" s="61"/>
      <c r="C288" s="61"/>
      <c r="D288" s="61"/>
      <c r="E288" s="61"/>
      <c r="F288" s="61"/>
      <c r="G288" s="61"/>
      <c r="H288" s="61"/>
      <c r="I288" s="61"/>
      <c r="J288" s="107"/>
      <c r="K288" s="100"/>
      <c r="L288" s="61"/>
      <c r="M288" s="61"/>
    </row>
    <row r="289">
      <c r="A289" s="65"/>
      <c r="B289" s="65"/>
      <c r="C289" s="65"/>
      <c r="D289" s="65"/>
      <c r="E289" s="65"/>
      <c r="F289" s="65"/>
      <c r="G289" s="65"/>
      <c r="H289" s="65"/>
      <c r="I289" s="65"/>
      <c r="J289" s="108"/>
      <c r="K289" s="103"/>
      <c r="L289" s="65"/>
      <c r="M289" s="65"/>
    </row>
    <row r="290">
      <c r="A290" s="61"/>
      <c r="B290" s="61"/>
      <c r="C290" s="61"/>
      <c r="D290" s="61"/>
      <c r="E290" s="61"/>
      <c r="F290" s="61"/>
      <c r="G290" s="61"/>
      <c r="H290" s="61"/>
      <c r="I290" s="61"/>
      <c r="J290" s="107"/>
      <c r="K290" s="100"/>
      <c r="L290" s="61"/>
      <c r="M290" s="61"/>
    </row>
    <row r="291">
      <c r="A291" s="65"/>
      <c r="B291" s="65"/>
      <c r="C291" s="65"/>
      <c r="D291" s="65"/>
      <c r="E291" s="65"/>
      <c r="F291" s="65"/>
      <c r="G291" s="65"/>
      <c r="H291" s="65"/>
      <c r="I291" s="65"/>
      <c r="J291" s="108"/>
      <c r="K291" s="103"/>
      <c r="L291" s="65"/>
      <c r="M291" s="65"/>
    </row>
    <row r="292">
      <c r="A292" s="61"/>
      <c r="B292" s="61"/>
      <c r="C292" s="61"/>
      <c r="D292" s="61"/>
      <c r="E292" s="61"/>
      <c r="F292" s="61"/>
      <c r="G292" s="61"/>
      <c r="H292" s="61"/>
      <c r="I292" s="61"/>
      <c r="J292" s="107"/>
      <c r="K292" s="100"/>
      <c r="L292" s="61"/>
      <c r="M292" s="61"/>
    </row>
    <row r="293">
      <c r="A293" s="65"/>
      <c r="B293" s="65"/>
      <c r="C293" s="65"/>
      <c r="D293" s="65"/>
      <c r="E293" s="65"/>
      <c r="F293" s="65"/>
      <c r="G293" s="65"/>
      <c r="H293" s="65"/>
      <c r="I293" s="65"/>
      <c r="J293" s="108"/>
      <c r="K293" s="103"/>
      <c r="L293" s="65"/>
      <c r="M293" s="65"/>
    </row>
    <row r="294">
      <c r="A294" s="61"/>
      <c r="B294" s="61"/>
      <c r="C294" s="61"/>
      <c r="D294" s="61"/>
      <c r="E294" s="61"/>
      <c r="F294" s="61"/>
      <c r="G294" s="61"/>
      <c r="H294" s="61"/>
      <c r="I294" s="61"/>
      <c r="J294" s="107"/>
      <c r="K294" s="100"/>
      <c r="L294" s="61"/>
      <c r="M294" s="61"/>
    </row>
    <row r="295">
      <c r="A295" s="65"/>
      <c r="B295" s="65"/>
      <c r="C295" s="65"/>
      <c r="D295" s="65"/>
      <c r="E295" s="65"/>
      <c r="F295" s="65"/>
      <c r="G295" s="65"/>
      <c r="H295" s="65"/>
      <c r="I295" s="65"/>
      <c r="J295" s="108"/>
      <c r="K295" s="103"/>
      <c r="L295" s="65"/>
      <c r="M295" s="65"/>
    </row>
    <row r="296">
      <c r="A296" s="61"/>
      <c r="B296" s="61"/>
      <c r="C296" s="61"/>
      <c r="D296" s="61"/>
      <c r="E296" s="61"/>
      <c r="F296" s="61"/>
      <c r="G296" s="61"/>
      <c r="H296" s="61"/>
      <c r="I296" s="61"/>
      <c r="J296" s="107"/>
      <c r="K296" s="100"/>
      <c r="L296" s="61"/>
      <c r="M296" s="61"/>
    </row>
    <row r="297">
      <c r="A297" s="65"/>
      <c r="B297" s="65"/>
      <c r="C297" s="65"/>
      <c r="D297" s="65"/>
      <c r="E297" s="65"/>
      <c r="F297" s="65"/>
      <c r="G297" s="65"/>
      <c r="H297" s="65"/>
      <c r="I297" s="65"/>
      <c r="J297" s="108"/>
      <c r="K297" s="103"/>
      <c r="L297" s="65"/>
      <c r="M297" s="65"/>
    </row>
    <row r="298">
      <c r="A298" s="61"/>
      <c r="B298" s="61"/>
      <c r="C298" s="61"/>
      <c r="D298" s="61"/>
      <c r="E298" s="61"/>
      <c r="F298" s="61"/>
      <c r="G298" s="61"/>
      <c r="H298" s="61"/>
      <c r="I298" s="61"/>
      <c r="J298" s="107"/>
      <c r="K298" s="100"/>
      <c r="L298" s="61"/>
      <c r="M298" s="61"/>
    </row>
    <row r="299">
      <c r="A299" s="65"/>
      <c r="B299" s="65"/>
      <c r="C299" s="65"/>
      <c r="D299" s="65"/>
      <c r="E299" s="65"/>
      <c r="F299" s="65"/>
      <c r="G299" s="65"/>
      <c r="H299" s="65"/>
      <c r="I299" s="65"/>
      <c r="J299" s="108"/>
      <c r="K299" s="103"/>
      <c r="L299" s="65"/>
      <c r="M299" s="65"/>
    </row>
    <row r="300">
      <c r="A300" s="61"/>
      <c r="B300" s="61"/>
      <c r="C300" s="61"/>
      <c r="D300" s="61"/>
      <c r="E300" s="61"/>
      <c r="F300" s="61"/>
      <c r="G300" s="61"/>
      <c r="H300" s="61"/>
      <c r="I300" s="61"/>
      <c r="J300" s="107"/>
      <c r="K300" s="100"/>
      <c r="L300" s="61"/>
      <c r="M300" s="61"/>
    </row>
    <row r="301">
      <c r="A301" s="65"/>
      <c r="B301" s="65"/>
      <c r="C301" s="65"/>
      <c r="D301" s="65"/>
      <c r="E301" s="65"/>
      <c r="F301" s="65"/>
      <c r="G301" s="65"/>
      <c r="H301" s="65"/>
      <c r="I301" s="65"/>
      <c r="J301" s="108"/>
      <c r="K301" s="103"/>
      <c r="L301" s="65"/>
      <c r="M301" s="65"/>
    </row>
    <row r="302">
      <c r="A302" s="61"/>
      <c r="B302" s="61"/>
      <c r="C302" s="61"/>
      <c r="D302" s="61"/>
      <c r="E302" s="61"/>
      <c r="F302" s="61"/>
      <c r="G302" s="61"/>
      <c r="H302" s="61"/>
      <c r="I302" s="61"/>
      <c r="J302" s="107"/>
      <c r="K302" s="100"/>
      <c r="L302" s="61"/>
      <c r="M302" s="61"/>
    </row>
    <row r="303">
      <c r="A303" s="65"/>
      <c r="B303" s="65"/>
      <c r="C303" s="65"/>
      <c r="D303" s="65"/>
      <c r="E303" s="65"/>
      <c r="F303" s="65"/>
      <c r="G303" s="65"/>
      <c r="H303" s="65"/>
      <c r="I303" s="65"/>
      <c r="J303" s="108"/>
      <c r="K303" s="103"/>
      <c r="L303" s="65"/>
      <c r="M303" s="65"/>
    </row>
    <row r="304">
      <c r="A304" s="61"/>
      <c r="B304" s="61"/>
      <c r="C304" s="61"/>
      <c r="D304" s="61"/>
      <c r="E304" s="61"/>
      <c r="F304" s="61"/>
      <c r="G304" s="61"/>
      <c r="H304" s="61"/>
      <c r="I304" s="61"/>
      <c r="J304" s="107"/>
      <c r="K304" s="100"/>
      <c r="L304" s="61"/>
      <c r="M304" s="61"/>
    </row>
    <row r="305">
      <c r="A305" s="65"/>
      <c r="B305" s="65"/>
      <c r="C305" s="65"/>
      <c r="D305" s="65"/>
      <c r="E305" s="65"/>
      <c r="F305" s="65"/>
      <c r="G305" s="65"/>
      <c r="H305" s="65"/>
      <c r="I305" s="65"/>
      <c r="J305" s="108"/>
      <c r="K305" s="103"/>
      <c r="L305" s="65"/>
      <c r="M305" s="65"/>
    </row>
    <row r="306">
      <c r="A306" s="61"/>
      <c r="B306" s="61"/>
      <c r="C306" s="61"/>
      <c r="D306" s="61"/>
      <c r="E306" s="61"/>
      <c r="F306" s="61"/>
      <c r="G306" s="61"/>
      <c r="H306" s="61"/>
      <c r="I306" s="61"/>
      <c r="J306" s="107"/>
      <c r="K306" s="100"/>
      <c r="L306" s="61"/>
      <c r="M306" s="61"/>
    </row>
    <row r="307">
      <c r="A307" s="65"/>
      <c r="B307" s="65"/>
      <c r="C307" s="65"/>
      <c r="D307" s="65"/>
      <c r="E307" s="65"/>
      <c r="F307" s="65"/>
      <c r="G307" s="65"/>
      <c r="H307" s="65"/>
      <c r="I307" s="65"/>
      <c r="J307" s="108"/>
      <c r="K307" s="103"/>
      <c r="L307" s="65"/>
      <c r="M307" s="65"/>
    </row>
    <row r="308">
      <c r="A308" s="61"/>
      <c r="B308" s="61"/>
      <c r="C308" s="61"/>
      <c r="D308" s="61"/>
      <c r="E308" s="61"/>
      <c r="F308" s="61"/>
      <c r="G308" s="61"/>
      <c r="H308" s="61"/>
      <c r="I308" s="61"/>
      <c r="J308" s="107"/>
      <c r="K308" s="100"/>
      <c r="L308" s="61"/>
      <c r="M308" s="61"/>
    </row>
    <row r="309">
      <c r="A309" s="65"/>
      <c r="B309" s="65"/>
      <c r="C309" s="65"/>
      <c r="D309" s="65"/>
      <c r="E309" s="65"/>
      <c r="F309" s="65"/>
      <c r="G309" s="65"/>
      <c r="H309" s="65"/>
      <c r="I309" s="65"/>
      <c r="J309" s="108"/>
      <c r="K309" s="103"/>
      <c r="L309" s="65"/>
      <c r="M309" s="65"/>
    </row>
    <row r="310">
      <c r="A310" s="61"/>
      <c r="B310" s="61"/>
      <c r="C310" s="61"/>
      <c r="D310" s="61"/>
      <c r="E310" s="61"/>
      <c r="F310" s="61"/>
      <c r="G310" s="61"/>
      <c r="H310" s="61"/>
      <c r="I310" s="61"/>
      <c r="J310" s="107"/>
      <c r="K310" s="100"/>
      <c r="L310" s="61"/>
      <c r="M310" s="61"/>
    </row>
    <row r="311">
      <c r="A311" s="65"/>
      <c r="B311" s="65"/>
      <c r="C311" s="65"/>
      <c r="D311" s="65"/>
      <c r="E311" s="65"/>
      <c r="F311" s="65"/>
      <c r="G311" s="65"/>
      <c r="H311" s="65"/>
      <c r="I311" s="65"/>
      <c r="J311" s="108"/>
      <c r="K311" s="103"/>
      <c r="L311" s="65"/>
      <c r="M311" s="65"/>
    </row>
    <row r="312">
      <c r="A312" s="61"/>
      <c r="B312" s="61"/>
      <c r="C312" s="61"/>
      <c r="D312" s="61"/>
      <c r="E312" s="61"/>
      <c r="F312" s="61"/>
      <c r="G312" s="61"/>
      <c r="H312" s="61"/>
      <c r="I312" s="61"/>
      <c r="J312" s="107"/>
      <c r="K312" s="100"/>
      <c r="L312" s="61"/>
      <c r="M312" s="61"/>
    </row>
    <row r="313">
      <c r="A313" s="65"/>
      <c r="B313" s="65"/>
      <c r="C313" s="65"/>
      <c r="D313" s="65"/>
      <c r="E313" s="65"/>
      <c r="F313" s="65"/>
      <c r="G313" s="65"/>
      <c r="H313" s="65"/>
      <c r="I313" s="65"/>
      <c r="J313" s="108"/>
      <c r="K313" s="103"/>
      <c r="L313" s="65"/>
      <c r="M313" s="65"/>
    </row>
    <row r="314">
      <c r="A314" s="61"/>
      <c r="B314" s="61"/>
      <c r="C314" s="61"/>
      <c r="D314" s="61"/>
      <c r="E314" s="61"/>
      <c r="F314" s="61"/>
      <c r="G314" s="61"/>
      <c r="H314" s="61"/>
      <c r="I314" s="61"/>
      <c r="J314" s="107"/>
      <c r="K314" s="100"/>
      <c r="L314" s="61"/>
      <c r="M314" s="61"/>
    </row>
    <row r="315">
      <c r="A315" s="65"/>
      <c r="B315" s="65"/>
      <c r="C315" s="65"/>
      <c r="D315" s="65"/>
      <c r="E315" s="65"/>
      <c r="F315" s="65"/>
      <c r="G315" s="65"/>
      <c r="H315" s="65"/>
      <c r="I315" s="65"/>
      <c r="J315" s="108"/>
      <c r="K315" s="103"/>
      <c r="L315" s="65"/>
      <c r="M315" s="65"/>
    </row>
    <row r="316">
      <c r="A316" s="61"/>
      <c r="B316" s="61"/>
      <c r="C316" s="61"/>
      <c r="D316" s="61"/>
      <c r="E316" s="61"/>
      <c r="F316" s="61"/>
      <c r="G316" s="61"/>
      <c r="H316" s="61"/>
      <c r="I316" s="61"/>
      <c r="J316" s="107"/>
      <c r="K316" s="100"/>
      <c r="L316" s="61"/>
      <c r="M316" s="61"/>
    </row>
    <row r="317">
      <c r="A317" s="65"/>
      <c r="B317" s="65"/>
      <c r="C317" s="65"/>
      <c r="D317" s="65"/>
      <c r="E317" s="65"/>
      <c r="F317" s="65"/>
      <c r="G317" s="65"/>
      <c r="H317" s="65"/>
      <c r="I317" s="65"/>
      <c r="J317" s="108"/>
      <c r="K317" s="103"/>
      <c r="L317" s="65"/>
      <c r="M317" s="65"/>
    </row>
    <row r="318">
      <c r="A318" s="61"/>
      <c r="B318" s="61"/>
      <c r="C318" s="61"/>
      <c r="D318" s="61"/>
      <c r="E318" s="61"/>
      <c r="F318" s="61"/>
      <c r="G318" s="61"/>
      <c r="H318" s="61"/>
      <c r="I318" s="61"/>
      <c r="J318" s="107"/>
      <c r="K318" s="100"/>
      <c r="L318" s="61"/>
      <c r="M318" s="61"/>
    </row>
    <row r="319">
      <c r="A319" s="65"/>
      <c r="B319" s="65"/>
      <c r="C319" s="65"/>
      <c r="D319" s="65"/>
      <c r="E319" s="65"/>
      <c r="F319" s="65"/>
      <c r="G319" s="65"/>
      <c r="H319" s="65"/>
      <c r="I319" s="65"/>
      <c r="J319" s="108"/>
      <c r="K319" s="103"/>
      <c r="L319" s="65"/>
      <c r="M319" s="65"/>
    </row>
    <row r="320">
      <c r="A320" s="61"/>
      <c r="B320" s="61"/>
      <c r="C320" s="61"/>
      <c r="D320" s="61"/>
      <c r="E320" s="61"/>
      <c r="F320" s="61"/>
      <c r="G320" s="61"/>
      <c r="H320" s="61"/>
      <c r="I320" s="61"/>
      <c r="J320" s="107"/>
      <c r="K320" s="100"/>
      <c r="L320" s="61"/>
      <c r="M320" s="61"/>
    </row>
    <row r="321">
      <c r="A321" s="65"/>
      <c r="B321" s="65"/>
      <c r="C321" s="65"/>
      <c r="D321" s="65"/>
      <c r="E321" s="65"/>
      <c r="F321" s="65"/>
      <c r="G321" s="65"/>
      <c r="H321" s="65"/>
      <c r="I321" s="65"/>
      <c r="J321" s="108"/>
      <c r="K321" s="103"/>
      <c r="L321" s="65"/>
      <c r="M321" s="65"/>
    </row>
    <row r="322">
      <c r="A322" s="61"/>
      <c r="B322" s="61"/>
      <c r="C322" s="61"/>
      <c r="D322" s="61"/>
      <c r="E322" s="61"/>
      <c r="F322" s="61"/>
      <c r="G322" s="61"/>
      <c r="H322" s="61"/>
      <c r="I322" s="61"/>
      <c r="J322" s="107"/>
      <c r="K322" s="100"/>
      <c r="L322" s="61"/>
      <c r="M322" s="61"/>
    </row>
    <row r="323">
      <c r="A323" s="65"/>
      <c r="B323" s="65"/>
      <c r="C323" s="65"/>
      <c r="D323" s="65"/>
      <c r="E323" s="65"/>
      <c r="F323" s="65"/>
      <c r="G323" s="65"/>
      <c r="H323" s="65"/>
      <c r="I323" s="65"/>
      <c r="J323" s="108"/>
      <c r="K323" s="103"/>
      <c r="L323" s="65"/>
      <c r="M323" s="65"/>
    </row>
    <row r="324">
      <c r="A324" s="61"/>
      <c r="B324" s="61"/>
      <c r="C324" s="61"/>
      <c r="D324" s="61"/>
      <c r="E324" s="61"/>
      <c r="F324" s="61"/>
      <c r="G324" s="61"/>
      <c r="H324" s="61"/>
      <c r="I324" s="61"/>
      <c r="J324" s="107"/>
      <c r="K324" s="100"/>
      <c r="L324" s="61"/>
      <c r="M324" s="61"/>
    </row>
    <row r="325">
      <c r="A325" s="65"/>
      <c r="B325" s="65"/>
      <c r="C325" s="65"/>
      <c r="D325" s="65"/>
      <c r="E325" s="65"/>
      <c r="F325" s="65"/>
      <c r="G325" s="65"/>
      <c r="H325" s="65"/>
      <c r="I325" s="65"/>
      <c r="J325" s="108"/>
      <c r="K325" s="103"/>
      <c r="L325" s="65"/>
      <c r="M325" s="65"/>
    </row>
    <row r="326">
      <c r="A326" s="61"/>
      <c r="B326" s="61"/>
      <c r="C326" s="61"/>
      <c r="D326" s="61"/>
      <c r="E326" s="61"/>
      <c r="F326" s="61"/>
      <c r="G326" s="61"/>
      <c r="H326" s="61"/>
      <c r="I326" s="61"/>
      <c r="J326" s="107"/>
      <c r="K326" s="100"/>
      <c r="L326" s="61"/>
      <c r="M326" s="61"/>
    </row>
    <row r="327">
      <c r="A327" s="65"/>
      <c r="B327" s="65"/>
      <c r="C327" s="65"/>
      <c r="D327" s="65"/>
      <c r="E327" s="65"/>
      <c r="F327" s="65"/>
      <c r="G327" s="65"/>
      <c r="H327" s="65"/>
      <c r="I327" s="65"/>
      <c r="J327" s="108"/>
      <c r="K327" s="103"/>
      <c r="L327" s="65"/>
      <c r="M327" s="65"/>
    </row>
    <row r="328">
      <c r="A328" s="61"/>
      <c r="B328" s="61"/>
      <c r="C328" s="61"/>
      <c r="D328" s="61"/>
      <c r="E328" s="61"/>
      <c r="F328" s="61"/>
      <c r="G328" s="61"/>
      <c r="H328" s="61"/>
      <c r="I328" s="61"/>
      <c r="J328" s="107"/>
      <c r="K328" s="100"/>
      <c r="L328" s="61"/>
      <c r="M328" s="61"/>
    </row>
    <row r="329">
      <c r="A329" s="65"/>
      <c r="B329" s="65"/>
      <c r="C329" s="65"/>
      <c r="D329" s="65"/>
      <c r="E329" s="65"/>
      <c r="F329" s="65"/>
      <c r="G329" s="65"/>
      <c r="H329" s="65"/>
      <c r="I329" s="65"/>
      <c r="J329" s="108"/>
      <c r="K329" s="103"/>
      <c r="L329" s="65"/>
      <c r="M329" s="65"/>
    </row>
    <row r="330">
      <c r="A330" s="61"/>
      <c r="B330" s="61"/>
      <c r="C330" s="61"/>
      <c r="D330" s="61"/>
      <c r="E330" s="61"/>
      <c r="F330" s="61"/>
      <c r="G330" s="61"/>
      <c r="H330" s="61"/>
      <c r="I330" s="61"/>
      <c r="J330" s="107"/>
      <c r="K330" s="100"/>
      <c r="L330" s="61"/>
      <c r="M330" s="61"/>
    </row>
    <row r="331">
      <c r="A331" s="65"/>
      <c r="B331" s="65"/>
      <c r="C331" s="65"/>
      <c r="D331" s="65"/>
      <c r="E331" s="65"/>
      <c r="F331" s="65"/>
      <c r="G331" s="65"/>
      <c r="H331" s="65"/>
      <c r="I331" s="65"/>
      <c r="J331" s="108"/>
      <c r="K331" s="103"/>
      <c r="L331" s="65"/>
      <c r="M331" s="65"/>
    </row>
    <row r="332">
      <c r="A332" s="61"/>
      <c r="B332" s="61"/>
      <c r="C332" s="61"/>
      <c r="D332" s="61"/>
      <c r="E332" s="61"/>
      <c r="F332" s="61"/>
      <c r="G332" s="61"/>
      <c r="H332" s="61"/>
      <c r="I332" s="61"/>
      <c r="J332" s="107"/>
      <c r="K332" s="100"/>
      <c r="L332" s="61"/>
      <c r="M332" s="61"/>
    </row>
    <row r="333">
      <c r="A333" s="65"/>
      <c r="B333" s="65"/>
      <c r="C333" s="65"/>
      <c r="D333" s="65"/>
      <c r="E333" s="65"/>
      <c r="F333" s="65"/>
      <c r="G333" s="65"/>
      <c r="H333" s="65"/>
      <c r="I333" s="65"/>
      <c r="J333" s="108"/>
      <c r="K333" s="103"/>
      <c r="L333" s="65"/>
      <c r="M333" s="65"/>
    </row>
    <row r="334">
      <c r="A334" s="61"/>
      <c r="B334" s="61"/>
      <c r="C334" s="61"/>
      <c r="D334" s="61"/>
      <c r="E334" s="61"/>
      <c r="F334" s="61"/>
      <c r="G334" s="61"/>
      <c r="H334" s="61"/>
      <c r="I334" s="61"/>
      <c r="J334" s="107"/>
      <c r="K334" s="100"/>
      <c r="L334" s="61"/>
      <c r="M334" s="61"/>
    </row>
    <row r="335">
      <c r="A335" s="65"/>
      <c r="B335" s="65"/>
      <c r="C335" s="65"/>
      <c r="D335" s="65"/>
      <c r="E335" s="65"/>
      <c r="F335" s="65"/>
      <c r="G335" s="65"/>
      <c r="H335" s="65"/>
      <c r="I335" s="65"/>
      <c r="J335" s="108"/>
      <c r="K335" s="103"/>
      <c r="L335" s="65"/>
      <c r="M335" s="65"/>
    </row>
    <row r="336">
      <c r="A336" s="61"/>
      <c r="B336" s="61"/>
      <c r="C336" s="61"/>
      <c r="D336" s="61"/>
      <c r="E336" s="61"/>
      <c r="F336" s="61"/>
      <c r="G336" s="61"/>
      <c r="H336" s="61"/>
      <c r="I336" s="61"/>
      <c r="J336" s="107"/>
      <c r="K336" s="100"/>
      <c r="L336" s="61"/>
      <c r="M336" s="61"/>
    </row>
    <row r="337">
      <c r="A337" s="65"/>
      <c r="B337" s="65"/>
      <c r="C337" s="65"/>
      <c r="D337" s="65"/>
      <c r="E337" s="65"/>
      <c r="F337" s="65"/>
      <c r="G337" s="65"/>
      <c r="H337" s="65"/>
      <c r="I337" s="65"/>
      <c r="J337" s="108"/>
      <c r="K337" s="103"/>
      <c r="L337" s="65"/>
      <c r="M337" s="65"/>
    </row>
    <row r="338">
      <c r="A338" s="61"/>
      <c r="B338" s="61"/>
      <c r="C338" s="61"/>
      <c r="D338" s="61"/>
      <c r="E338" s="61"/>
      <c r="F338" s="61"/>
      <c r="G338" s="61"/>
      <c r="H338" s="61"/>
      <c r="I338" s="61"/>
      <c r="J338" s="107"/>
      <c r="K338" s="100"/>
      <c r="L338" s="61"/>
      <c r="M338" s="61"/>
    </row>
    <row r="339">
      <c r="A339" s="65"/>
      <c r="B339" s="65"/>
      <c r="C339" s="65"/>
      <c r="D339" s="65"/>
      <c r="E339" s="65"/>
      <c r="F339" s="65"/>
      <c r="G339" s="65"/>
      <c r="H339" s="65"/>
      <c r="I339" s="65"/>
      <c r="J339" s="108"/>
      <c r="K339" s="103"/>
      <c r="L339" s="65"/>
      <c r="M339" s="65"/>
    </row>
    <row r="340">
      <c r="A340" s="61"/>
      <c r="B340" s="61"/>
      <c r="C340" s="61"/>
      <c r="D340" s="61"/>
      <c r="E340" s="61"/>
      <c r="F340" s="61"/>
      <c r="G340" s="61"/>
      <c r="H340" s="61"/>
      <c r="I340" s="61"/>
      <c r="J340" s="107"/>
      <c r="K340" s="100"/>
      <c r="L340" s="61"/>
      <c r="M340" s="61"/>
    </row>
    <row r="341">
      <c r="A341" s="65"/>
      <c r="B341" s="65"/>
      <c r="C341" s="65"/>
      <c r="D341" s="65"/>
      <c r="E341" s="65"/>
      <c r="F341" s="65"/>
      <c r="G341" s="65"/>
      <c r="H341" s="65"/>
      <c r="I341" s="65"/>
      <c r="J341" s="108"/>
      <c r="K341" s="103"/>
      <c r="L341" s="65"/>
      <c r="M341" s="65"/>
    </row>
    <row r="342">
      <c r="A342" s="61"/>
      <c r="B342" s="61"/>
      <c r="C342" s="61"/>
      <c r="D342" s="61"/>
      <c r="E342" s="61"/>
      <c r="F342" s="61"/>
      <c r="G342" s="61"/>
      <c r="H342" s="61"/>
      <c r="I342" s="61"/>
      <c r="J342" s="107"/>
      <c r="K342" s="100"/>
      <c r="L342" s="61"/>
      <c r="M342" s="61"/>
    </row>
    <row r="343">
      <c r="A343" s="65"/>
      <c r="B343" s="65"/>
      <c r="C343" s="65"/>
      <c r="D343" s="65"/>
      <c r="E343" s="65"/>
      <c r="F343" s="65"/>
      <c r="G343" s="65"/>
      <c r="H343" s="65"/>
      <c r="I343" s="65"/>
      <c r="J343" s="108"/>
      <c r="K343" s="103"/>
      <c r="L343" s="65"/>
      <c r="M343" s="65"/>
    </row>
    <row r="344">
      <c r="A344" s="61"/>
      <c r="B344" s="61"/>
      <c r="C344" s="61"/>
      <c r="D344" s="61"/>
      <c r="E344" s="61"/>
      <c r="F344" s="61"/>
      <c r="G344" s="61"/>
      <c r="H344" s="61"/>
      <c r="I344" s="61"/>
      <c r="J344" s="107"/>
      <c r="K344" s="100"/>
      <c r="L344" s="61"/>
      <c r="M344" s="61"/>
    </row>
    <row r="345">
      <c r="A345" s="65"/>
      <c r="B345" s="65"/>
      <c r="C345" s="65"/>
      <c r="D345" s="65"/>
      <c r="E345" s="65"/>
      <c r="F345" s="65"/>
      <c r="G345" s="65"/>
      <c r="H345" s="65"/>
      <c r="I345" s="65"/>
      <c r="J345" s="108"/>
      <c r="K345" s="103"/>
      <c r="L345" s="65"/>
      <c r="M345" s="65"/>
    </row>
    <row r="346">
      <c r="A346" s="61"/>
      <c r="B346" s="61"/>
      <c r="C346" s="61"/>
      <c r="D346" s="61"/>
      <c r="E346" s="61"/>
      <c r="F346" s="61"/>
      <c r="G346" s="61"/>
      <c r="H346" s="61"/>
      <c r="I346" s="61"/>
      <c r="J346" s="107"/>
      <c r="K346" s="100"/>
      <c r="L346" s="61"/>
      <c r="M346" s="61"/>
    </row>
    <row r="347">
      <c r="A347" s="65"/>
      <c r="B347" s="65"/>
      <c r="C347" s="65"/>
      <c r="D347" s="65"/>
      <c r="E347" s="65"/>
      <c r="F347" s="65"/>
      <c r="G347" s="65"/>
      <c r="H347" s="65"/>
      <c r="I347" s="65"/>
      <c r="J347" s="108"/>
      <c r="K347" s="103"/>
      <c r="L347" s="65"/>
      <c r="M347" s="65"/>
    </row>
    <row r="348">
      <c r="A348" s="61"/>
      <c r="B348" s="61"/>
      <c r="C348" s="61"/>
      <c r="D348" s="61"/>
      <c r="E348" s="61"/>
      <c r="F348" s="61"/>
      <c r="G348" s="61"/>
      <c r="H348" s="61"/>
      <c r="I348" s="61"/>
      <c r="J348" s="107"/>
      <c r="K348" s="100"/>
      <c r="L348" s="61"/>
      <c r="M348" s="61"/>
    </row>
    <row r="349">
      <c r="A349" s="65"/>
      <c r="B349" s="65"/>
      <c r="C349" s="65"/>
      <c r="D349" s="65"/>
      <c r="E349" s="65"/>
      <c r="F349" s="65"/>
      <c r="G349" s="65"/>
      <c r="H349" s="65"/>
      <c r="I349" s="65"/>
      <c r="J349" s="108"/>
      <c r="K349" s="103"/>
      <c r="L349" s="65"/>
      <c r="M349" s="65"/>
    </row>
    <row r="350">
      <c r="A350" s="61"/>
      <c r="B350" s="61"/>
      <c r="C350" s="61"/>
      <c r="D350" s="61"/>
      <c r="E350" s="61"/>
      <c r="F350" s="61"/>
      <c r="G350" s="61"/>
      <c r="H350" s="61"/>
      <c r="I350" s="61"/>
      <c r="J350" s="107"/>
      <c r="K350" s="100"/>
      <c r="L350" s="61"/>
      <c r="M350" s="61"/>
    </row>
    <row r="351">
      <c r="A351" s="65"/>
      <c r="B351" s="65"/>
      <c r="C351" s="65"/>
      <c r="D351" s="65"/>
      <c r="E351" s="65"/>
      <c r="F351" s="65"/>
      <c r="G351" s="65"/>
      <c r="H351" s="65"/>
      <c r="I351" s="65"/>
      <c r="J351" s="108"/>
      <c r="K351" s="103"/>
      <c r="L351" s="65"/>
      <c r="M351" s="65"/>
    </row>
    <row r="352">
      <c r="A352" s="61"/>
      <c r="B352" s="61"/>
      <c r="C352" s="61"/>
      <c r="D352" s="61"/>
      <c r="E352" s="61"/>
      <c r="F352" s="61"/>
      <c r="G352" s="61"/>
      <c r="H352" s="61"/>
      <c r="I352" s="61"/>
      <c r="J352" s="107"/>
      <c r="K352" s="100"/>
      <c r="L352" s="61"/>
      <c r="M352" s="61"/>
    </row>
    <row r="353">
      <c r="A353" s="65"/>
      <c r="B353" s="65"/>
      <c r="C353" s="65"/>
      <c r="D353" s="65"/>
      <c r="E353" s="65"/>
      <c r="F353" s="65"/>
      <c r="G353" s="65"/>
      <c r="H353" s="65"/>
      <c r="I353" s="65"/>
      <c r="J353" s="108"/>
      <c r="K353" s="103"/>
      <c r="L353" s="65"/>
      <c r="M353" s="65"/>
    </row>
    <row r="354">
      <c r="A354" s="61"/>
      <c r="B354" s="61"/>
      <c r="C354" s="61"/>
      <c r="D354" s="61"/>
      <c r="E354" s="61"/>
      <c r="F354" s="61"/>
      <c r="G354" s="61"/>
      <c r="H354" s="61"/>
      <c r="I354" s="61"/>
      <c r="J354" s="107"/>
      <c r="K354" s="100"/>
      <c r="L354" s="61"/>
      <c r="M354" s="61"/>
    </row>
    <row r="355">
      <c r="A355" s="65"/>
      <c r="B355" s="65"/>
      <c r="C355" s="65"/>
      <c r="D355" s="65"/>
      <c r="E355" s="65"/>
      <c r="F355" s="65"/>
      <c r="G355" s="65"/>
      <c r="H355" s="65"/>
      <c r="I355" s="65"/>
      <c r="J355" s="108"/>
      <c r="K355" s="103"/>
      <c r="L355" s="65"/>
      <c r="M355" s="65"/>
    </row>
    <row r="356">
      <c r="A356" s="61"/>
      <c r="B356" s="61"/>
      <c r="C356" s="61"/>
      <c r="D356" s="61"/>
      <c r="E356" s="61"/>
      <c r="F356" s="61"/>
      <c r="G356" s="61"/>
      <c r="H356" s="61"/>
      <c r="I356" s="61"/>
      <c r="J356" s="107"/>
      <c r="K356" s="100"/>
      <c r="L356" s="61"/>
      <c r="M356" s="61"/>
    </row>
    <row r="357">
      <c r="A357" s="65"/>
      <c r="B357" s="65"/>
      <c r="C357" s="65"/>
      <c r="D357" s="65"/>
      <c r="E357" s="65"/>
      <c r="F357" s="65"/>
      <c r="G357" s="65"/>
      <c r="H357" s="65"/>
      <c r="I357" s="65"/>
      <c r="J357" s="108"/>
      <c r="K357" s="103"/>
      <c r="L357" s="65"/>
      <c r="M357" s="65"/>
    </row>
    <row r="358">
      <c r="A358" s="61"/>
      <c r="B358" s="61"/>
      <c r="C358" s="61"/>
      <c r="D358" s="61"/>
      <c r="E358" s="61"/>
      <c r="F358" s="61"/>
      <c r="G358" s="61"/>
      <c r="H358" s="61"/>
      <c r="I358" s="61"/>
      <c r="J358" s="107"/>
      <c r="K358" s="100"/>
      <c r="L358" s="61"/>
      <c r="M358" s="61"/>
    </row>
    <row r="359">
      <c r="A359" s="65"/>
      <c r="B359" s="65"/>
      <c r="C359" s="65"/>
      <c r="D359" s="65"/>
      <c r="E359" s="65"/>
      <c r="F359" s="65"/>
      <c r="G359" s="65"/>
      <c r="H359" s="65"/>
      <c r="I359" s="65"/>
      <c r="J359" s="108"/>
      <c r="K359" s="103"/>
      <c r="L359" s="65"/>
      <c r="M359" s="65"/>
    </row>
    <row r="360">
      <c r="A360" s="61"/>
      <c r="B360" s="61"/>
      <c r="C360" s="61"/>
      <c r="D360" s="61"/>
      <c r="E360" s="61"/>
      <c r="F360" s="61"/>
      <c r="G360" s="61"/>
      <c r="H360" s="61"/>
      <c r="I360" s="61"/>
      <c r="J360" s="107"/>
      <c r="K360" s="100"/>
      <c r="L360" s="61"/>
      <c r="M360" s="61"/>
    </row>
    <row r="361">
      <c r="A361" s="65"/>
      <c r="B361" s="65"/>
      <c r="C361" s="65"/>
      <c r="D361" s="65"/>
      <c r="E361" s="65"/>
      <c r="F361" s="65"/>
      <c r="G361" s="65"/>
      <c r="H361" s="65"/>
      <c r="I361" s="65"/>
      <c r="J361" s="108"/>
      <c r="K361" s="103"/>
      <c r="L361" s="65"/>
      <c r="M361" s="65"/>
    </row>
    <row r="362">
      <c r="A362" s="61"/>
      <c r="B362" s="61"/>
      <c r="C362" s="61"/>
      <c r="D362" s="61"/>
      <c r="E362" s="61"/>
      <c r="F362" s="61"/>
      <c r="G362" s="61"/>
      <c r="H362" s="61"/>
      <c r="I362" s="61"/>
      <c r="J362" s="107"/>
      <c r="K362" s="100"/>
      <c r="L362" s="61"/>
      <c r="M362" s="61"/>
    </row>
    <row r="363">
      <c r="A363" s="65"/>
      <c r="B363" s="65"/>
      <c r="C363" s="65"/>
      <c r="D363" s="65"/>
      <c r="E363" s="65"/>
      <c r="F363" s="65"/>
      <c r="G363" s="65"/>
      <c r="H363" s="65"/>
      <c r="I363" s="65"/>
      <c r="J363" s="108"/>
      <c r="K363" s="103"/>
      <c r="L363" s="65"/>
      <c r="M363" s="65"/>
    </row>
    <row r="364">
      <c r="A364" s="61"/>
      <c r="B364" s="61"/>
      <c r="C364" s="61"/>
      <c r="D364" s="61"/>
      <c r="E364" s="61"/>
      <c r="F364" s="61"/>
      <c r="G364" s="61"/>
      <c r="H364" s="61"/>
      <c r="I364" s="61"/>
      <c r="J364" s="107"/>
      <c r="K364" s="100"/>
      <c r="L364" s="61"/>
      <c r="M364" s="61"/>
    </row>
    <row r="365">
      <c r="A365" s="65"/>
      <c r="B365" s="65"/>
      <c r="C365" s="65"/>
      <c r="D365" s="65"/>
      <c r="E365" s="65"/>
      <c r="F365" s="65"/>
      <c r="G365" s="65"/>
      <c r="H365" s="65"/>
      <c r="I365" s="65"/>
      <c r="J365" s="108"/>
      <c r="K365" s="103"/>
      <c r="L365" s="65"/>
      <c r="M365" s="65"/>
    </row>
    <row r="366">
      <c r="A366" s="61"/>
      <c r="B366" s="61"/>
      <c r="C366" s="61"/>
      <c r="D366" s="61"/>
      <c r="E366" s="61"/>
      <c r="F366" s="61"/>
      <c r="G366" s="61"/>
      <c r="H366" s="61"/>
      <c r="I366" s="61"/>
      <c r="J366" s="107"/>
      <c r="K366" s="100"/>
      <c r="L366" s="61"/>
      <c r="M366" s="61"/>
    </row>
    <row r="367">
      <c r="A367" s="65"/>
      <c r="B367" s="65"/>
      <c r="C367" s="65"/>
      <c r="D367" s="65"/>
      <c r="E367" s="65"/>
      <c r="F367" s="65"/>
      <c r="G367" s="65"/>
      <c r="H367" s="65"/>
      <c r="I367" s="65"/>
      <c r="J367" s="108"/>
      <c r="K367" s="103"/>
      <c r="L367" s="65"/>
      <c r="M367" s="65"/>
    </row>
    <row r="368">
      <c r="A368" s="61"/>
      <c r="B368" s="61"/>
      <c r="C368" s="61"/>
      <c r="D368" s="61"/>
      <c r="E368" s="61"/>
      <c r="F368" s="61"/>
      <c r="G368" s="61"/>
      <c r="H368" s="61"/>
      <c r="I368" s="61"/>
      <c r="J368" s="107"/>
      <c r="K368" s="100"/>
      <c r="L368" s="61"/>
      <c r="M368" s="61"/>
    </row>
    <row r="369">
      <c r="A369" s="65"/>
      <c r="B369" s="65"/>
      <c r="C369" s="65"/>
      <c r="D369" s="65"/>
      <c r="E369" s="65"/>
      <c r="F369" s="65"/>
      <c r="G369" s="65"/>
      <c r="H369" s="65"/>
      <c r="I369" s="65"/>
      <c r="J369" s="108"/>
      <c r="K369" s="103"/>
      <c r="L369" s="65"/>
      <c r="M369" s="65"/>
    </row>
    <row r="370">
      <c r="A370" s="61"/>
      <c r="B370" s="61"/>
      <c r="C370" s="61"/>
      <c r="D370" s="61"/>
      <c r="E370" s="61"/>
      <c r="F370" s="61"/>
      <c r="G370" s="61"/>
      <c r="H370" s="61"/>
      <c r="I370" s="61"/>
      <c r="J370" s="107"/>
      <c r="K370" s="100"/>
      <c r="L370" s="61"/>
      <c r="M370" s="61"/>
    </row>
    <row r="371">
      <c r="A371" s="65"/>
      <c r="B371" s="65"/>
      <c r="C371" s="65"/>
      <c r="D371" s="65"/>
      <c r="E371" s="65"/>
      <c r="F371" s="65"/>
      <c r="G371" s="65"/>
      <c r="H371" s="65"/>
      <c r="I371" s="65"/>
      <c r="J371" s="108"/>
      <c r="K371" s="103"/>
      <c r="L371" s="65"/>
      <c r="M371" s="65"/>
    </row>
    <row r="372">
      <c r="A372" s="61"/>
      <c r="B372" s="61"/>
      <c r="C372" s="61"/>
      <c r="D372" s="61"/>
      <c r="E372" s="61"/>
      <c r="F372" s="61"/>
      <c r="G372" s="61"/>
      <c r="H372" s="61"/>
      <c r="I372" s="61"/>
      <c r="J372" s="107"/>
      <c r="K372" s="100"/>
      <c r="L372" s="61"/>
      <c r="M372" s="61"/>
    </row>
    <row r="373">
      <c r="A373" s="65"/>
      <c r="B373" s="65"/>
      <c r="C373" s="65"/>
      <c r="D373" s="65"/>
      <c r="E373" s="65"/>
      <c r="F373" s="65"/>
      <c r="G373" s="65"/>
      <c r="H373" s="65"/>
      <c r="I373" s="65"/>
      <c r="J373" s="108"/>
      <c r="K373" s="103"/>
      <c r="L373" s="65"/>
      <c r="M373" s="65"/>
    </row>
    <row r="374">
      <c r="A374" s="61"/>
      <c r="B374" s="61"/>
      <c r="C374" s="61"/>
      <c r="D374" s="61"/>
      <c r="E374" s="61"/>
      <c r="F374" s="61"/>
      <c r="G374" s="61"/>
      <c r="H374" s="61"/>
      <c r="I374" s="61"/>
      <c r="J374" s="107"/>
      <c r="K374" s="100"/>
      <c r="L374" s="61"/>
      <c r="M374" s="61"/>
    </row>
    <row r="375">
      <c r="A375" s="65"/>
      <c r="B375" s="65"/>
      <c r="C375" s="65"/>
      <c r="D375" s="65"/>
      <c r="E375" s="65"/>
      <c r="F375" s="65"/>
      <c r="G375" s="65"/>
      <c r="H375" s="65"/>
      <c r="I375" s="65"/>
      <c r="J375" s="108"/>
      <c r="K375" s="103"/>
      <c r="L375" s="65"/>
      <c r="M375" s="65"/>
    </row>
    <row r="376">
      <c r="A376" s="61"/>
      <c r="B376" s="61"/>
      <c r="C376" s="61"/>
      <c r="D376" s="61"/>
      <c r="E376" s="61"/>
      <c r="F376" s="61"/>
      <c r="G376" s="61"/>
      <c r="H376" s="61"/>
      <c r="I376" s="61"/>
      <c r="J376" s="107"/>
      <c r="K376" s="100"/>
      <c r="L376" s="61"/>
      <c r="M376" s="61"/>
    </row>
    <row r="377">
      <c r="A377" s="65"/>
      <c r="B377" s="65"/>
      <c r="C377" s="65"/>
      <c r="D377" s="65"/>
      <c r="E377" s="65"/>
      <c r="F377" s="65"/>
      <c r="G377" s="65"/>
      <c r="H377" s="65"/>
      <c r="I377" s="65"/>
      <c r="J377" s="108"/>
      <c r="K377" s="103"/>
      <c r="L377" s="65"/>
      <c r="M377" s="65"/>
    </row>
    <row r="378">
      <c r="A378" s="61"/>
      <c r="B378" s="61"/>
      <c r="C378" s="61"/>
      <c r="D378" s="61"/>
      <c r="E378" s="61"/>
      <c r="F378" s="61"/>
      <c r="G378" s="61"/>
      <c r="H378" s="61"/>
      <c r="I378" s="61"/>
      <c r="J378" s="107"/>
      <c r="K378" s="100"/>
      <c r="L378" s="61"/>
      <c r="M378" s="61"/>
    </row>
    <row r="379">
      <c r="A379" s="65"/>
      <c r="B379" s="65"/>
      <c r="C379" s="65"/>
      <c r="D379" s="65"/>
      <c r="E379" s="65"/>
      <c r="F379" s="65"/>
      <c r="G379" s="65"/>
      <c r="H379" s="65"/>
      <c r="I379" s="65"/>
      <c r="J379" s="108"/>
      <c r="K379" s="103"/>
      <c r="L379" s="65"/>
      <c r="M379" s="65"/>
    </row>
    <row r="380">
      <c r="A380" s="61"/>
      <c r="B380" s="61"/>
      <c r="C380" s="61"/>
      <c r="D380" s="61"/>
      <c r="E380" s="61"/>
      <c r="F380" s="61"/>
      <c r="G380" s="61"/>
      <c r="H380" s="61"/>
      <c r="I380" s="61"/>
      <c r="J380" s="107"/>
      <c r="K380" s="100"/>
      <c r="L380" s="61"/>
      <c r="M380" s="61"/>
    </row>
    <row r="381">
      <c r="A381" s="65"/>
      <c r="B381" s="65"/>
      <c r="C381" s="65"/>
      <c r="D381" s="65"/>
      <c r="E381" s="65"/>
      <c r="F381" s="65"/>
      <c r="G381" s="65"/>
      <c r="H381" s="65"/>
      <c r="I381" s="65"/>
      <c r="J381" s="108"/>
      <c r="K381" s="103"/>
      <c r="L381" s="65"/>
      <c r="M381" s="65"/>
    </row>
    <row r="382">
      <c r="A382" s="61"/>
      <c r="B382" s="61"/>
      <c r="C382" s="61"/>
      <c r="D382" s="61"/>
      <c r="E382" s="61"/>
      <c r="F382" s="61"/>
      <c r="G382" s="61"/>
      <c r="H382" s="61"/>
      <c r="I382" s="61"/>
      <c r="J382" s="107"/>
      <c r="K382" s="100"/>
      <c r="L382" s="61"/>
      <c r="M382" s="61"/>
    </row>
    <row r="383">
      <c r="A383" s="65"/>
      <c r="B383" s="65"/>
      <c r="C383" s="65"/>
      <c r="D383" s="65"/>
      <c r="E383" s="65"/>
      <c r="F383" s="65"/>
      <c r="G383" s="65"/>
      <c r="H383" s="65"/>
      <c r="I383" s="65"/>
      <c r="J383" s="108"/>
      <c r="K383" s="103"/>
      <c r="L383" s="65"/>
      <c r="M383" s="65"/>
    </row>
    <row r="384">
      <c r="A384" s="61"/>
      <c r="B384" s="61"/>
      <c r="C384" s="61"/>
      <c r="D384" s="61"/>
      <c r="E384" s="61"/>
      <c r="F384" s="61"/>
      <c r="G384" s="61"/>
      <c r="H384" s="61"/>
      <c r="I384" s="61"/>
      <c r="J384" s="107"/>
      <c r="K384" s="100"/>
      <c r="L384" s="61"/>
      <c r="M384" s="61"/>
    </row>
    <row r="385">
      <c r="A385" s="65"/>
      <c r="B385" s="65"/>
      <c r="C385" s="65"/>
      <c r="D385" s="65"/>
      <c r="E385" s="65"/>
      <c r="F385" s="65"/>
      <c r="G385" s="65"/>
      <c r="H385" s="65"/>
      <c r="I385" s="65"/>
      <c r="J385" s="108"/>
      <c r="K385" s="103"/>
      <c r="L385" s="65"/>
      <c r="M385" s="65"/>
    </row>
    <row r="386">
      <c r="A386" s="61"/>
      <c r="B386" s="61"/>
      <c r="C386" s="61"/>
      <c r="D386" s="61"/>
      <c r="E386" s="61"/>
      <c r="F386" s="61"/>
      <c r="G386" s="61"/>
      <c r="H386" s="61"/>
      <c r="I386" s="61"/>
      <c r="J386" s="107"/>
      <c r="K386" s="100"/>
      <c r="L386" s="61"/>
      <c r="M386" s="61"/>
    </row>
    <row r="387">
      <c r="A387" s="65"/>
      <c r="B387" s="65"/>
      <c r="C387" s="65"/>
      <c r="D387" s="65"/>
      <c r="E387" s="65"/>
      <c r="F387" s="65"/>
      <c r="G387" s="65"/>
      <c r="H387" s="65"/>
      <c r="I387" s="65"/>
      <c r="J387" s="108"/>
      <c r="K387" s="103"/>
      <c r="L387" s="65"/>
      <c r="M387" s="65"/>
    </row>
    <row r="388">
      <c r="A388" s="61"/>
      <c r="B388" s="61"/>
      <c r="C388" s="61"/>
      <c r="D388" s="61"/>
      <c r="E388" s="61"/>
      <c r="F388" s="61"/>
      <c r="G388" s="61"/>
      <c r="H388" s="61"/>
      <c r="I388" s="61"/>
      <c r="J388" s="107"/>
      <c r="K388" s="100"/>
      <c r="L388" s="61"/>
      <c r="M388" s="61"/>
    </row>
    <row r="389">
      <c r="A389" s="65"/>
      <c r="B389" s="65"/>
      <c r="C389" s="65"/>
      <c r="D389" s="65"/>
      <c r="E389" s="65"/>
      <c r="F389" s="65"/>
      <c r="G389" s="65"/>
      <c r="H389" s="65"/>
      <c r="I389" s="65"/>
      <c r="J389" s="108"/>
      <c r="K389" s="103"/>
      <c r="L389" s="65"/>
      <c r="M389" s="65"/>
    </row>
    <row r="390">
      <c r="A390" s="61"/>
      <c r="B390" s="61"/>
      <c r="C390" s="61"/>
      <c r="D390" s="61"/>
      <c r="E390" s="61"/>
      <c r="F390" s="61"/>
      <c r="G390" s="61"/>
      <c r="H390" s="61"/>
      <c r="I390" s="61"/>
      <c r="J390" s="107"/>
      <c r="K390" s="100"/>
      <c r="L390" s="61"/>
      <c r="M390" s="61"/>
    </row>
    <row r="391">
      <c r="A391" s="65"/>
      <c r="B391" s="65"/>
      <c r="C391" s="65"/>
      <c r="D391" s="65"/>
      <c r="E391" s="65"/>
      <c r="F391" s="65"/>
      <c r="G391" s="65"/>
      <c r="H391" s="65"/>
      <c r="I391" s="65"/>
      <c r="J391" s="108"/>
      <c r="K391" s="103"/>
      <c r="L391" s="65"/>
      <c r="M391" s="65"/>
    </row>
    <row r="392">
      <c r="A392" s="61"/>
      <c r="B392" s="61"/>
      <c r="C392" s="61"/>
      <c r="D392" s="61"/>
      <c r="E392" s="61"/>
      <c r="F392" s="61"/>
      <c r="G392" s="61"/>
      <c r="H392" s="61"/>
      <c r="I392" s="61"/>
      <c r="J392" s="107"/>
      <c r="K392" s="100"/>
      <c r="L392" s="61"/>
      <c r="M392" s="61"/>
    </row>
    <row r="393">
      <c r="A393" s="65"/>
      <c r="B393" s="65"/>
      <c r="C393" s="65"/>
      <c r="D393" s="65"/>
      <c r="E393" s="65"/>
      <c r="F393" s="65"/>
      <c r="G393" s="65"/>
      <c r="H393" s="65"/>
      <c r="I393" s="65"/>
      <c r="J393" s="108"/>
      <c r="K393" s="103"/>
      <c r="L393" s="65"/>
      <c r="M393" s="65"/>
    </row>
    <row r="394">
      <c r="A394" s="61"/>
      <c r="B394" s="61"/>
      <c r="C394" s="61"/>
      <c r="D394" s="61"/>
      <c r="E394" s="61"/>
      <c r="F394" s="61"/>
      <c r="G394" s="61"/>
      <c r="H394" s="61"/>
      <c r="I394" s="61"/>
      <c r="J394" s="107"/>
      <c r="K394" s="100"/>
      <c r="L394" s="61"/>
      <c r="M394" s="61"/>
    </row>
    <row r="395">
      <c r="A395" s="65"/>
      <c r="B395" s="65"/>
      <c r="C395" s="65"/>
      <c r="D395" s="65"/>
      <c r="E395" s="65"/>
      <c r="F395" s="65"/>
      <c r="G395" s="65"/>
      <c r="H395" s="65"/>
      <c r="I395" s="65"/>
      <c r="J395" s="108"/>
      <c r="K395" s="103"/>
      <c r="L395" s="65"/>
      <c r="M395" s="65"/>
    </row>
    <row r="396">
      <c r="A396" s="61"/>
      <c r="B396" s="61"/>
      <c r="C396" s="61"/>
      <c r="D396" s="61"/>
      <c r="E396" s="61"/>
      <c r="F396" s="61"/>
      <c r="G396" s="61"/>
      <c r="H396" s="61"/>
      <c r="I396" s="61"/>
      <c r="J396" s="107"/>
      <c r="K396" s="100"/>
      <c r="L396" s="61"/>
      <c r="M396" s="61"/>
    </row>
    <row r="397">
      <c r="A397" s="65"/>
      <c r="B397" s="65"/>
      <c r="C397" s="65"/>
      <c r="D397" s="65"/>
      <c r="E397" s="65"/>
      <c r="F397" s="65"/>
      <c r="G397" s="65"/>
      <c r="H397" s="65"/>
      <c r="I397" s="65"/>
      <c r="J397" s="108"/>
      <c r="K397" s="103"/>
      <c r="L397" s="65"/>
      <c r="M397" s="65"/>
    </row>
    <row r="398">
      <c r="A398" s="61"/>
      <c r="B398" s="61"/>
      <c r="C398" s="61"/>
      <c r="D398" s="61"/>
      <c r="E398" s="61"/>
      <c r="F398" s="61"/>
      <c r="G398" s="61"/>
      <c r="H398" s="61"/>
      <c r="I398" s="61"/>
      <c r="J398" s="107"/>
      <c r="K398" s="100"/>
      <c r="L398" s="61"/>
      <c r="M398" s="61"/>
    </row>
    <row r="399">
      <c r="A399" s="65"/>
      <c r="B399" s="65"/>
      <c r="C399" s="65"/>
      <c r="D399" s="65"/>
      <c r="E399" s="65"/>
      <c r="F399" s="65"/>
      <c r="G399" s="65"/>
      <c r="H399" s="65"/>
      <c r="I399" s="65"/>
      <c r="J399" s="108"/>
      <c r="K399" s="103"/>
      <c r="L399" s="65"/>
      <c r="M399" s="65"/>
    </row>
    <row r="400">
      <c r="A400" s="61"/>
      <c r="B400" s="61"/>
      <c r="C400" s="61"/>
      <c r="D400" s="61"/>
      <c r="E400" s="61"/>
      <c r="F400" s="61"/>
      <c r="G400" s="61"/>
      <c r="H400" s="61"/>
      <c r="I400" s="61"/>
      <c r="J400" s="107"/>
      <c r="K400" s="100"/>
      <c r="L400" s="61"/>
      <c r="M400" s="61"/>
    </row>
    <row r="401">
      <c r="A401" s="65"/>
      <c r="B401" s="65"/>
      <c r="C401" s="65"/>
      <c r="D401" s="65"/>
      <c r="E401" s="65"/>
      <c r="F401" s="65"/>
      <c r="G401" s="65"/>
      <c r="H401" s="65"/>
      <c r="I401" s="65"/>
      <c r="J401" s="108"/>
      <c r="K401" s="103"/>
      <c r="L401" s="65"/>
      <c r="M401" s="65"/>
    </row>
    <row r="402">
      <c r="A402" s="61"/>
      <c r="B402" s="61"/>
      <c r="C402" s="61"/>
      <c r="D402" s="61"/>
      <c r="E402" s="61"/>
      <c r="F402" s="61"/>
      <c r="G402" s="61"/>
      <c r="H402" s="61"/>
      <c r="I402" s="61"/>
      <c r="J402" s="107"/>
      <c r="K402" s="100"/>
      <c r="L402" s="61"/>
      <c r="M402" s="61"/>
    </row>
    <row r="403">
      <c r="A403" s="65"/>
      <c r="B403" s="65"/>
      <c r="C403" s="65"/>
      <c r="D403" s="65"/>
      <c r="E403" s="65"/>
      <c r="F403" s="65"/>
      <c r="G403" s="65"/>
      <c r="H403" s="65"/>
      <c r="I403" s="65"/>
      <c r="J403" s="108"/>
      <c r="K403" s="103"/>
      <c r="L403" s="65"/>
      <c r="M403" s="65"/>
    </row>
    <row r="404">
      <c r="A404" s="61"/>
      <c r="B404" s="61"/>
      <c r="C404" s="61"/>
      <c r="D404" s="61"/>
      <c r="E404" s="61"/>
      <c r="F404" s="61"/>
      <c r="G404" s="61"/>
      <c r="H404" s="61"/>
      <c r="I404" s="61"/>
      <c r="J404" s="107"/>
      <c r="K404" s="100"/>
      <c r="L404" s="61"/>
      <c r="M404" s="61"/>
    </row>
    <row r="405">
      <c r="A405" s="65"/>
      <c r="B405" s="65"/>
      <c r="C405" s="65"/>
      <c r="D405" s="65"/>
      <c r="E405" s="65"/>
      <c r="F405" s="65"/>
      <c r="G405" s="65"/>
      <c r="H405" s="65"/>
      <c r="I405" s="65"/>
      <c r="J405" s="108"/>
      <c r="K405" s="103"/>
      <c r="L405" s="65"/>
      <c r="M405" s="65"/>
    </row>
    <row r="406">
      <c r="A406" s="61"/>
      <c r="B406" s="61"/>
      <c r="C406" s="61"/>
      <c r="D406" s="61"/>
      <c r="E406" s="61"/>
      <c r="F406" s="61"/>
      <c r="G406" s="61"/>
      <c r="H406" s="61"/>
      <c r="I406" s="61"/>
      <c r="J406" s="107"/>
      <c r="K406" s="100"/>
      <c r="L406" s="61"/>
      <c r="M406" s="61"/>
    </row>
    <row r="407">
      <c r="A407" s="65"/>
      <c r="B407" s="65"/>
      <c r="C407" s="65"/>
      <c r="D407" s="65"/>
      <c r="E407" s="65"/>
      <c r="F407" s="65"/>
      <c r="G407" s="65"/>
      <c r="H407" s="65"/>
      <c r="I407" s="65"/>
      <c r="J407" s="108"/>
      <c r="K407" s="103"/>
      <c r="L407" s="65"/>
      <c r="M407" s="65"/>
    </row>
    <row r="408">
      <c r="A408" s="61"/>
      <c r="B408" s="61"/>
      <c r="C408" s="61"/>
      <c r="D408" s="61"/>
      <c r="E408" s="61"/>
      <c r="F408" s="61"/>
      <c r="G408" s="61"/>
      <c r="H408" s="61"/>
      <c r="I408" s="61"/>
      <c r="J408" s="107"/>
      <c r="K408" s="100"/>
      <c r="L408" s="61"/>
      <c r="M408" s="61"/>
    </row>
    <row r="409">
      <c r="A409" s="65"/>
      <c r="B409" s="65"/>
      <c r="C409" s="65"/>
      <c r="D409" s="65"/>
      <c r="E409" s="65"/>
      <c r="F409" s="65"/>
      <c r="G409" s="65"/>
      <c r="H409" s="65"/>
      <c r="I409" s="65"/>
      <c r="J409" s="108"/>
      <c r="K409" s="103"/>
      <c r="L409" s="65"/>
      <c r="M409" s="65"/>
    </row>
    <row r="410">
      <c r="A410" s="61"/>
      <c r="B410" s="61"/>
      <c r="C410" s="61"/>
      <c r="D410" s="61"/>
      <c r="E410" s="61"/>
      <c r="F410" s="61"/>
      <c r="G410" s="61"/>
      <c r="H410" s="61"/>
      <c r="I410" s="61"/>
      <c r="J410" s="107"/>
      <c r="K410" s="100"/>
      <c r="L410" s="61"/>
      <c r="M410" s="61"/>
    </row>
    <row r="411">
      <c r="A411" s="65"/>
      <c r="B411" s="65"/>
      <c r="C411" s="65"/>
      <c r="D411" s="65"/>
      <c r="E411" s="65"/>
      <c r="F411" s="65"/>
      <c r="G411" s="65"/>
      <c r="H411" s="65"/>
      <c r="I411" s="65"/>
      <c r="J411" s="108"/>
      <c r="K411" s="103"/>
      <c r="L411" s="65"/>
      <c r="M411" s="65"/>
    </row>
    <row r="412">
      <c r="A412" s="61"/>
      <c r="B412" s="61"/>
      <c r="C412" s="61"/>
      <c r="D412" s="61"/>
      <c r="E412" s="61"/>
      <c r="F412" s="61"/>
      <c r="G412" s="61"/>
      <c r="H412" s="61"/>
      <c r="I412" s="61"/>
      <c r="J412" s="107"/>
      <c r="K412" s="100"/>
      <c r="L412" s="61"/>
      <c r="M412" s="61"/>
    </row>
    <row r="413">
      <c r="A413" s="65"/>
      <c r="B413" s="65"/>
      <c r="C413" s="65"/>
      <c r="D413" s="65"/>
      <c r="E413" s="65"/>
      <c r="F413" s="65"/>
      <c r="G413" s="65"/>
      <c r="H413" s="65"/>
      <c r="I413" s="65"/>
      <c r="J413" s="108"/>
      <c r="K413" s="103"/>
      <c r="L413" s="65"/>
      <c r="M413" s="65"/>
    </row>
    <row r="414">
      <c r="A414" s="61"/>
      <c r="B414" s="61"/>
      <c r="C414" s="61"/>
      <c r="D414" s="61"/>
      <c r="E414" s="61"/>
      <c r="F414" s="61"/>
      <c r="G414" s="61"/>
      <c r="H414" s="61"/>
      <c r="I414" s="61"/>
      <c r="J414" s="107"/>
      <c r="K414" s="100"/>
      <c r="L414" s="61"/>
      <c r="M414" s="61"/>
    </row>
    <row r="415">
      <c r="A415" s="65"/>
      <c r="B415" s="65"/>
      <c r="C415" s="65"/>
      <c r="D415" s="65"/>
      <c r="E415" s="65"/>
      <c r="F415" s="65"/>
      <c r="G415" s="65"/>
      <c r="H415" s="65"/>
      <c r="I415" s="65"/>
      <c r="J415" s="108"/>
      <c r="K415" s="103"/>
      <c r="L415" s="65"/>
      <c r="M415" s="65"/>
    </row>
    <row r="416">
      <c r="A416" s="61"/>
      <c r="B416" s="61"/>
      <c r="C416" s="61"/>
      <c r="D416" s="61"/>
      <c r="E416" s="61"/>
      <c r="F416" s="61"/>
      <c r="G416" s="61"/>
      <c r="H416" s="61"/>
      <c r="I416" s="61"/>
      <c r="J416" s="107"/>
      <c r="K416" s="100"/>
      <c r="L416" s="61"/>
      <c r="M416" s="61"/>
    </row>
    <row r="417">
      <c r="A417" s="65"/>
      <c r="B417" s="65"/>
      <c r="C417" s="65"/>
      <c r="D417" s="65"/>
      <c r="E417" s="65"/>
      <c r="F417" s="65"/>
      <c r="G417" s="65"/>
      <c r="H417" s="65"/>
      <c r="I417" s="65"/>
      <c r="J417" s="108"/>
      <c r="K417" s="103"/>
      <c r="L417" s="65"/>
      <c r="M417" s="65"/>
    </row>
    <row r="418">
      <c r="A418" s="61"/>
      <c r="B418" s="61"/>
      <c r="C418" s="61"/>
      <c r="D418" s="61"/>
      <c r="E418" s="61"/>
      <c r="F418" s="61"/>
      <c r="G418" s="61"/>
      <c r="H418" s="61"/>
      <c r="I418" s="61"/>
      <c r="J418" s="107"/>
      <c r="K418" s="100"/>
      <c r="L418" s="61"/>
      <c r="M418" s="61"/>
    </row>
    <row r="419">
      <c r="A419" s="65"/>
      <c r="B419" s="65"/>
      <c r="C419" s="65"/>
      <c r="D419" s="65"/>
      <c r="E419" s="65"/>
      <c r="F419" s="65"/>
      <c r="G419" s="65"/>
      <c r="H419" s="65"/>
      <c r="I419" s="65"/>
      <c r="J419" s="108"/>
      <c r="K419" s="103"/>
      <c r="L419" s="65"/>
      <c r="M419" s="65"/>
    </row>
    <row r="420">
      <c r="A420" s="61"/>
      <c r="B420" s="61"/>
      <c r="C420" s="61"/>
      <c r="D420" s="61"/>
      <c r="E420" s="61"/>
      <c r="F420" s="61"/>
      <c r="G420" s="61"/>
      <c r="H420" s="61"/>
      <c r="I420" s="61"/>
      <c r="J420" s="107"/>
      <c r="K420" s="100"/>
      <c r="L420" s="61"/>
      <c r="M420" s="61"/>
    </row>
    <row r="421">
      <c r="A421" s="65"/>
      <c r="B421" s="65"/>
      <c r="C421" s="65"/>
      <c r="D421" s="65"/>
      <c r="E421" s="65"/>
      <c r="F421" s="65"/>
      <c r="G421" s="65"/>
      <c r="H421" s="65"/>
      <c r="I421" s="65"/>
      <c r="J421" s="108"/>
      <c r="K421" s="103"/>
      <c r="L421" s="65"/>
      <c r="M421" s="65"/>
    </row>
    <row r="422">
      <c r="A422" s="61"/>
      <c r="B422" s="61"/>
      <c r="C422" s="61"/>
      <c r="D422" s="61"/>
      <c r="E422" s="61"/>
      <c r="F422" s="61"/>
      <c r="G422" s="61"/>
      <c r="H422" s="61"/>
      <c r="I422" s="61"/>
      <c r="J422" s="107"/>
      <c r="K422" s="100"/>
      <c r="L422" s="61"/>
      <c r="M422" s="61"/>
    </row>
    <row r="423">
      <c r="A423" s="65"/>
      <c r="B423" s="65"/>
      <c r="C423" s="65"/>
      <c r="D423" s="65"/>
      <c r="E423" s="65"/>
      <c r="F423" s="65"/>
      <c r="G423" s="65"/>
      <c r="H423" s="65"/>
      <c r="I423" s="65"/>
      <c r="J423" s="108"/>
      <c r="K423" s="103"/>
      <c r="L423" s="65"/>
      <c r="M423" s="65"/>
    </row>
    <row r="424">
      <c r="A424" s="61"/>
      <c r="B424" s="61"/>
      <c r="C424" s="61"/>
      <c r="D424" s="61"/>
      <c r="E424" s="61"/>
      <c r="F424" s="61"/>
      <c r="G424" s="61"/>
      <c r="H424" s="61"/>
      <c r="I424" s="61"/>
      <c r="J424" s="107"/>
      <c r="K424" s="100"/>
      <c r="L424" s="61"/>
      <c r="M424" s="61"/>
    </row>
    <row r="425">
      <c r="A425" s="65"/>
      <c r="B425" s="65"/>
      <c r="C425" s="65"/>
      <c r="D425" s="65"/>
      <c r="E425" s="65"/>
      <c r="F425" s="65"/>
      <c r="G425" s="65"/>
      <c r="H425" s="65"/>
      <c r="I425" s="65"/>
      <c r="J425" s="108"/>
      <c r="K425" s="103"/>
      <c r="L425" s="65"/>
      <c r="M425" s="65"/>
    </row>
    <row r="426">
      <c r="A426" s="61"/>
      <c r="B426" s="61"/>
      <c r="C426" s="61"/>
      <c r="D426" s="61"/>
      <c r="E426" s="61"/>
      <c r="F426" s="61"/>
      <c r="G426" s="61"/>
      <c r="H426" s="61"/>
      <c r="I426" s="61"/>
      <c r="J426" s="107"/>
      <c r="K426" s="100"/>
      <c r="L426" s="61"/>
      <c r="M426" s="61"/>
    </row>
    <row r="427">
      <c r="A427" s="65"/>
      <c r="B427" s="65"/>
      <c r="C427" s="65"/>
      <c r="D427" s="65"/>
      <c r="E427" s="65"/>
      <c r="F427" s="65"/>
      <c r="G427" s="65"/>
      <c r="H427" s="65"/>
      <c r="I427" s="65"/>
      <c r="J427" s="108"/>
      <c r="K427" s="103"/>
      <c r="L427" s="65"/>
      <c r="M427" s="65"/>
    </row>
    <row r="428">
      <c r="A428" s="61"/>
      <c r="B428" s="61"/>
      <c r="C428" s="61"/>
      <c r="D428" s="61"/>
      <c r="E428" s="61"/>
      <c r="F428" s="61"/>
      <c r="G428" s="61"/>
      <c r="H428" s="61"/>
      <c r="I428" s="61"/>
      <c r="J428" s="107"/>
      <c r="K428" s="100"/>
      <c r="L428" s="61"/>
      <c r="M428" s="61"/>
    </row>
    <row r="429">
      <c r="A429" s="65"/>
      <c r="B429" s="65"/>
      <c r="C429" s="65"/>
      <c r="D429" s="65"/>
      <c r="E429" s="65"/>
      <c r="F429" s="65"/>
      <c r="G429" s="65"/>
      <c r="H429" s="65"/>
      <c r="I429" s="65"/>
      <c r="J429" s="108"/>
      <c r="K429" s="103"/>
      <c r="L429" s="65"/>
      <c r="M429" s="65"/>
    </row>
    <row r="430">
      <c r="A430" s="61"/>
      <c r="B430" s="61"/>
      <c r="C430" s="61"/>
      <c r="D430" s="61"/>
      <c r="E430" s="61"/>
      <c r="F430" s="61"/>
      <c r="G430" s="61"/>
      <c r="H430" s="61"/>
      <c r="I430" s="61"/>
      <c r="J430" s="107"/>
      <c r="K430" s="100"/>
      <c r="L430" s="61"/>
      <c r="M430" s="61"/>
    </row>
    <row r="431">
      <c r="A431" s="65"/>
      <c r="B431" s="65"/>
      <c r="C431" s="65"/>
      <c r="D431" s="65"/>
      <c r="E431" s="65"/>
      <c r="F431" s="65"/>
      <c r="G431" s="65"/>
      <c r="H431" s="65"/>
      <c r="I431" s="65"/>
      <c r="J431" s="108"/>
      <c r="K431" s="103"/>
      <c r="L431" s="65"/>
      <c r="M431" s="65"/>
    </row>
    <row r="432">
      <c r="A432" s="61"/>
      <c r="B432" s="61"/>
      <c r="C432" s="61"/>
      <c r="D432" s="61"/>
      <c r="E432" s="61"/>
      <c r="F432" s="61"/>
      <c r="G432" s="61"/>
      <c r="H432" s="61"/>
      <c r="I432" s="61"/>
      <c r="J432" s="107"/>
      <c r="K432" s="100"/>
      <c r="L432" s="61"/>
      <c r="M432" s="61"/>
    </row>
    <row r="433">
      <c r="A433" s="65"/>
      <c r="B433" s="65"/>
      <c r="C433" s="65"/>
      <c r="D433" s="65"/>
      <c r="E433" s="65"/>
      <c r="F433" s="65"/>
      <c r="G433" s="65"/>
      <c r="H433" s="65"/>
      <c r="I433" s="65"/>
      <c r="J433" s="108"/>
      <c r="K433" s="103"/>
      <c r="L433" s="65"/>
      <c r="M433" s="65"/>
    </row>
    <row r="434">
      <c r="A434" s="61"/>
      <c r="B434" s="61"/>
      <c r="C434" s="61"/>
      <c r="D434" s="61"/>
      <c r="E434" s="61"/>
      <c r="F434" s="61"/>
      <c r="G434" s="61"/>
      <c r="H434" s="61"/>
      <c r="I434" s="61"/>
      <c r="J434" s="107"/>
      <c r="K434" s="100"/>
      <c r="L434" s="61"/>
      <c r="M434" s="61"/>
    </row>
    <row r="435">
      <c r="A435" s="65"/>
      <c r="B435" s="65"/>
      <c r="C435" s="65"/>
      <c r="D435" s="65"/>
      <c r="E435" s="65"/>
      <c r="F435" s="65"/>
      <c r="G435" s="65"/>
      <c r="H435" s="65"/>
      <c r="I435" s="65"/>
      <c r="J435" s="108"/>
      <c r="K435" s="103"/>
      <c r="L435" s="65"/>
      <c r="M435" s="65"/>
    </row>
    <row r="436">
      <c r="A436" s="61"/>
      <c r="B436" s="61"/>
      <c r="C436" s="61"/>
      <c r="D436" s="61"/>
      <c r="E436" s="61"/>
      <c r="F436" s="61"/>
      <c r="G436" s="61"/>
      <c r="H436" s="61"/>
      <c r="I436" s="61"/>
      <c r="J436" s="107"/>
      <c r="K436" s="100"/>
      <c r="L436" s="61"/>
      <c r="M436" s="61"/>
    </row>
    <row r="437">
      <c r="A437" s="65"/>
      <c r="B437" s="65"/>
      <c r="C437" s="65"/>
      <c r="D437" s="65"/>
      <c r="E437" s="65"/>
      <c r="F437" s="65"/>
      <c r="G437" s="65"/>
      <c r="H437" s="65"/>
      <c r="I437" s="65"/>
      <c r="J437" s="108"/>
      <c r="K437" s="103"/>
      <c r="L437" s="65"/>
      <c r="M437" s="65"/>
    </row>
    <row r="438">
      <c r="A438" s="61"/>
      <c r="B438" s="61"/>
      <c r="C438" s="61"/>
      <c r="D438" s="61"/>
      <c r="E438" s="61"/>
      <c r="F438" s="61"/>
      <c r="G438" s="61"/>
      <c r="H438" s="61"/>
      <c r="I438" s="61"/>
      <c r="J438" s="107"/>
      <c r="K438" s="100"/>
      <c r="L438" s="61"/>
      <c r="M438" s="61"/>
    </row>
    <row r="439">
      <c r="A439" s="65"/>
      <c r="B439" s="65"/>
      <c r="C439" s="65"/>
      <c r="D439" s="65"/>
      <c r="E439" s="65"/>
      <c r="F439" s="65"/>
      <c r="G439" s="65"/>
      <c r="H439" s="65"/>
      <c r="I439" s="65"/>
      <c r="J439" s="108"/>
      <c r="K439" s="103"/>
      <c r="L439" s="65"/>
      <c r="M439" s="65"/>
    </row>
    <row r="440">
      <c r="A440" s="61"/>
      <c r="B440" s="61"/>
      <c r="C440" s="61"/>
      <c r="D440" s="61"/>
      <c r="E440" s="61"/>
      <c r="F440" s="61"/>
      <c r="G440" s="61"/>
      <c r="H440" s="61"/>
      <c r="I440" s="61"/>
      <c r="J440" s="107"/>
      <c r="K440" s="100"/>
      <c r="L440" s="61"/>
      <c r="M440" s="61"/>
    </row>
    <row r="441">
      <c r="A441" s="65"/>
      <c r="B441" s="65"/>
      <c r="C441" s="65"/>
      <c r="D441" s="65"/>
      <c r="E441" s="65"/>
      <c r="F441" s="65"/>
      <c r="G441" s="65"/>
      <c r="H441" s="65"/>
      <c r="I441" s="65"/>
      <c r="J441" s="108"/>
      <c r="K441" s="103"/>
      <c r="L441" s="65"/>
      <c r="M441" s="65"/>
    </row>
    <row r="442">
      <c r="A442" s="61"/>
      <c r="B442" s="61"/>
      <c r="C442" s="61"/>
      <c r="D442" s="61"/>
      <c r="E442" s="61"/>
      <c r="F442" s="61"/>
      <c r="G442" s="61"/>
      <c r="H442" s="61"/>
      <c r="I442" s="61"/>
      <c r="J442" s="107"/>
      <c r="K442" s="100"/>
      <c r="L442" s="61"/>
      <c r="M442" s="61"/>
    </row>
    <row r="443">
      <c r="A443" s="65"/>
      <c r="B443" s="65"/>
      <c r="C443" s="65"/>
      <c r="D443" s="65"/>
      <c r="E443" s="65"/>
      <c r="F443" s="65"/>
      <c r="G443" s="65"/>
      <c r="H443" s="65"/>
      <c r="I443" s="65"/>
      <c r="J443" s="108"/>
      <c r="K443" s="103"/>
      <c r="L443" s="65"/>
      <c r="M443" s="65"/>
    </row>
    <row r="444">
      <c r="A444" s="61"/>
      <c r="B444" s="61"/>
      <c r="C444" s="61"/>
      <c r="D444" s="61"/>
      <c r="E444" s="61"/>
      <c r="F444" s="61"/>
      <c r="G444" s="61"/>
      <c r="H444" s="61"/>
      <c r="I444" s="61"/>
      <c r="J444" s="107"/>
      <c r="K444" s="100"/>
      <c r="L444" s="61"/>
      <c r="M444" s="61"/>
    </row>
    <row r="445">
      <c r="A445" s="65"/>
      <c r="B445" s="65"/>
      <c r="C445" s="65"/>
      <c r="D445" s="65"/>
      <c r="E445" s="65"/>
      <c r="F445" s="65"/>
      <c r="G445" s="65"/>
      <c r="H445" s="65"/>
      <c r="I445" s="65"/>
      <c r="J445" s="108"/>
      <c r="K445" s="103"/>
      <c r="L445" s="65"/>
      <c r="M445" s="65"/>
    </row>
    <row r="446">
      <c r="A446" s="61"/>
      <c r="B446" s="61"/>
      <c r="C446" s="61"/>
      <c r="D446" s="61"/>
      <c r="E446" s="61"/>
      <c r="F446" s="61"/>
      <c r="G446" s="61"/>
      <c r="H446" s="61"/>
      <c r="I446" s="61"/>
      <c r="J446" s="107"/>
      <c r="K446" s="100"/>
      <c r="L446" s="61"/>
      <c r="M446" s="61"/>
    </row>
    <row r="447">
      <c r="A447" s="65"/>
      <c r="B447" s="65"/>
      <c r="C447" s="65"/>
      <c r="D447" s="65"/>
      <c r="E447" s="65"/>
      <c r="F447" s="65"/>
      <c r="G447" s="65"/>
      <c r="H447" s="65"/>
      <c r="I447" s="65"/>
      <c r="J447" s="108"/>
      <c r="K447" s="103"/>
      <c r="L447" s="65"/>
      <c r="M447" s="65"/>
    </row>
    <row r="448">
      <c r="A448" s="61"/>
      <c r="B448" s="61"/>
      <c r="C448" s="61"/>
      <c r="D448" s="61"/>
      <c r="E448" s="61"/>
      <c r="F448" s="61"/>
      <c r="G448" s="61"/>
      <c r="H448" s="61"/>
      <c r="I448" s="61"/>
      <c r="J448" s="107"/>
      <c r="K448" s="100"/>
      <c r="L448" s="61"/>
      <c r="M448" s="61"/>
    </row>
    <row r="449">
      <c r="A449" s="65"/>
      <c r="B449" s="65"/>
      <c r="C449" s="65"/>
      <c r="D449" s="65"/>
      <c r="E449" s="65"/>
      <c r="F449" s="65"/>
      <c r="G449" s="65"/>
      <c r="H449" s="65"/>
      <c r="I449" s="65"/>
      <c r="J449" s="108"/>
      <c r="K449" s="103"/>
      <c r="L449" s="65"/>
      <c r="M449" s="65"/>
    </row>
    <row r="450">
      <c r="A450" s="61"/>
      <c r="B450" s="61"/>
      <c r="C450" s="61"/>
      <c r="D450" s="61"/>
      <c r="E450" s="61"/>
      <c r="F450" s="61"/>
      <c r="G450" s="61"/>
      <c r="H450" s="61"/>
      <c r="I450" s="61"/>
      <c r="J450" s="107"/>
      <c r="K450" s="100"/>
      <c r="L450" s="61"/>
      <c r="M450" s="61"/>
    </row>
    <row r="451">
      <c r="A451" s="65"/>
      <c r="B451" s="65"/>
      <c r="C451" s="65"/>
      <c r="D451" s="65"/>
      <c r="E451" s="65"/>
      <c r="F451" s="65"/>
      <c r="G451" s="65"/>
      <c r="H451" s="65"/>
      <c r="I451" s="65"/>
      <c r="J451" s="108"/>
      <c r="K451" s="103"/>
      <c r="L451" s="65"/>
      <c r="M451" s="65"/>
    </row>
    <row r="452">
      <c r="A452" s="61"/>
      <c r="B452" s="61"/>
      <c r="C452" s="61"/>
      <c r="D452" s="61"/>
      <c r="E452" s="61"/>
      <c r="F452" s="61"/>
      <c r="G452" s="61"/>
      <c r="H452" s="61"/>
      <c r="I452" s="61"/>
      <c r="J452" s="107"/>
      <c r="K452" s="100"/>
      <c r="L452" s="61"/>
      <c r="M452" s="61"/>
    </row>
    <row r="453">
      <c r="A453" s="65"/>
      <c r="B453" s="65"/>
      <c r="C453" s="65"/>
      <c r="D453" s="65"/>
      <c r="E453" s="65"/>
      <c r="F453" s="65"/>
      <c r="G453" s="65"/>
      <c r="H453" s="65"/>
      <c r="I453" s="65"/>
      <c r="J453" s="108"/>
      <c r="K453" s="103"/>
      <c r="L453" s="65"/>
      <c r="M453" s="65"/>
    </row>
    <row r="454">
      <c r="A454" s="61"/>
      <c r="B454" s="61"/>
      <c r="C454" s="61"/>
      <c r="D454" s="61"/>
      <c r="E454" s="61"/>
      <c r="F454" s="61"/>
      <c r="G454" s="61"/>
      <c r="H454" s="61"/>
      <c r="I454" s="61"/>
      <c r="J454" s="107"/>
      <c r="K454" s="100"/>
      <c r="L454" s="61"/>
      <c r="M454" s="61"/>
    </row>
    <row r="455">
      <c r="A455" s="65"/>
      <c r="B455" s="65"/>
      <c r="C455" s="65"/>
      <c r="D455" s="65"/>
      <c r="E455" s="65"/>
      <c r="F455" s="65"/>
      <c r="G455" s="65"/>
      <c r="H455" s="65"/>
      <c r="I455" s="65"/>
      <c r="J455" s="108"/>
      <c r="K455" s="103"/>
      <c r="L455" s="65"/>
      <c r="M455" s="65"/>
    </row>
    <row r="456">
      <c r="A456" s="61"/>
      <c r="B456" s="61"/>
      <c r="C456" s="61"/>
      <c r="D456" s="61"/>
      <c r="E456" s="61"/>
      <c r="F456" s="61"/>
      <c r="G456" s="61"/>
      <c r="H456" s="61"/>
      <c r="I456" s="61"/>
      <c r="J456" s="107"/>
      <c r="K456" s="100"/>
      <c r="L456" s="61"/>
      <c r="M456" s="61"/>
    </row>
    <row r="457">
      <c r="A457" s="65"/>
      <c r="B457" s="65"/>
      <c r="C457" s="65"/>
      <c r="D457" s="65"/>
      <c r="E457" s="65"/>
      <c r="F457" s="65"/>
      <c r="G457" s="65"/>
      <c r="H457" s="65"/>
      <c r="I457" s="65"/>
      <c r="J457" s="108"/>
      <c r="K457" s="103"/>
      <c r="L457" s="65"/>
      <c r="M457" s="65"/>
    </row>
    <row r="458">
      <c r="A458" s="61"/>
      <c r="B458" s="61"/>
      <c r="C458" s="61"/>
      <c r="D458" s="61"/>
      <c r="E458" s="61"/>
      <c r="F458" s="61"/>
      <c r="G458" s="61"/>
      <c r="H458" s="61"/>
      <c r="I458" s="61"/>
      <c r="J458" s="107"/>
      <c r="K458" s="100"/>
      <c r="L458" s="61"/>
      <c r="M458" s="61"/>
    </row>
    <row r="459">
      <c r="A459" s="65"/>
      <c r="B459" s="65"/>
      <c r="C459" s="65"/>
      <c r="D459" s="65"/>
      <c r="E459" s="65"/>
      <c r="F459" s="65"/>
      <c r="G459" s="65"/>
      <c r="H459" s="65"/>
      <c r="I459" s="65"/>
      <c r="J459" s="108"/>
      <c r="K459" s="103"/>
      <c r="L459" s="65"/>
      <c r="M459" s="65"/>
    </row>
    <row r="460">
      <c r="A460" s="61"/>
      <c r="B460" s="61"/>
      <c r="C460" s="61"/>
      <c r="D460" s="61"/>
      <c r="E460" s="61"/>
      <c r="F460" s="61"/>
      <c r="G460" s="61"/>
      <c r="H460" s="61"/>
      <c r="I460" s="61"/>
      <c r="J460" s="107"/>
      <c r="K460" s="100"/>
      <c r="L460" s="61"/>
      <c r="M460" s="61"/>
    </row>
    <row r="461">
      <c r="A461" s="65"/>
      <c r="B461" s="65"/>
      <c r="C461" s="65"/>
      <c r="D461" s="65"/>
      <c r="E461" s="65"/>
      <c r="F461" s="65"/>
      <c r="G461" s="65"/>
      <c r="H461" s="65"/>
      <c r="I461" s="65"/>
      <c r="J461" s="108"/>
      <c r="K461" s="103"/>
      <c r="L461" s="65"/>
      <c r="M461" s="65"/>
    </row>
    <row r="462">
      <c r="A462" s="61"/>
      <c r="B462" s="61"/>
      <c r="C462" s="61"/>
      <c r="D462" s="61"/>
      <c r="E462" s="61"/>
      <c r="F462" s="61"/>
      <c r="G462" s="61"/>
      <c r="H462" s="61"/>
      <c r="I462" s="61"/>
      <c r="J462" s="107"/>
      <c r="K462" s="100"/>
      <c r="L462" s="61"/>
      <c r="M462" s="61"/>
    </row>
    <row r="463">
      <c r="A463" s="65"/>
      <c r="B463" s="65"/>
      <c r="C463" s="65"/>
      <c r="D463" s="65"/>
      <c r="E463" s="65"/>
      <c r="F463" s="65"/>
      <c r="G463" s="65"/>
      <c r="H463" s="65"/>
      <c r="I463" s="65"/>
      <c r="J463" s="108"/>
      <c r="K463" s="103"/>
      <c r="L463" s="65"/>
      <c r="M463" s="65"/>
    </row>
    <row r="464">
      <c r="A464" s="61"/>
      <c r="B464" s="61"/>
      <c r="C464" s="61"/>
      <c r="D464" s="61"/>
      <c r="E464" s="61"/>
      <c r="F464" s="61"/>
      <c r="G464" s="61"/>
      <c r="H464" s="61"/>
      <c r="I464" s="61"/>
      <c r="J464" s="107"/>
      <c r="K464" s="100"/>
      <c r="L464" s="61"/>
      <c r="M464" s="61"/>
    </row>
    <row r="465">
      <c r="A465" s="65"/>
      <c r="B465" s="65"/>
      <c r="C465" s="65"/>
      <c r="D465" s="65"/>
      <c r="E465" s="65"/>
      <c r="F465" s="65"/>
      <c r="G465" s="65"/>
      <c r="H465" s="65"/>
      <c r="I465" s="65"/>
      <c r="J465" s="108"/>
      <c r="K465" s="103"/>
      <c r="L465" s="65"/>
      <c r="M465" s="65"/>
    </row>
    <row r="466">
      <c r="A466" s="61"/>
      <c r="B466" s="61"/>
      <c r="C466" s="61"/>
      <c r="D466" s="61"/>
      <c r="E466" s="61"/>
      <c r="F466" s="61"/>
      <c r="G466" s="61"/>
      <c r="H466" s="61"/>
      <c r="I466" s="61"/>
      <c r="J466" s="107"/>
      <c r="K466" s="100"/>
      <c r="L466" s="61"/>
      <c r="M466" s="61"/>
    </row>
    <row r="467">
      <c r="A467" s="65"/>
      <c r="B467" s="65"/>
      <c r="C467" s="65"/>
      <c r="D467" s="65"/>
      <c r="E467" s="65"/>
      <c r="F467" s="65"/>
      <c r="G467" s="65"/>
      <c r="H467" s="65"/>
      <c r="I467" s="65"/>
      <c r="J467" s="108"/>
      <c r="K467" s="103"/>
      <c r="L467" s="65"/>
      <c r="M467" s="65"/>
    </row>
    <row r="468">
      <c r="A468" s="61"/>
      <c r="B468" s="61"/>
      <c r="C468" s="61"/>
      <c r="D468" s="61"/>
      <c r="E468" s="61"/>
      <c r="F468" s="61"/>
      <c r="G468" s="61"/>
      <c r="H468" s="61"/>
      <c r="I468" s="61"/>
      <c r="J468" s="107"/>
      <c r="K468" s="100"/>
      <c r="L468" s="61"/>
      <c r="M468" s="61"/>
    </row>
    <row r="469">
      <c r="A469" s="65"/>
      <c r="B469" s="65"/>
      <c r="C469" s="65"/>
      <c r="D469" s="65"/>
      <c r="E469" s="65"/>
      <c r="F469" s="65"/>
      <c r="G469" s="65"/>
      <c r="H469" s="65"/>
      <c r="I469" s="65"/>
      <c r="J469" s="108"/>
      <c r="K469" s="103"/>
      <c r="L469" s="65"/>
      <c r="M469" s="65"/>
    </row>
    <row r="470">
      <c r="A470" s="61"/>
      <c r="B470" s="61"/>
      <c r="C470" s="61"/>
      <c r="D470" s="61"/>
      <c r="E470" s="61"/>
      <c r="F470" s="61"/>
      <c r="G470" s="61"/>
      <c r="H470" s="61"/>
      <c r="I470" s="61"/>
      <c r="J470" s="107"/>
      <c r="K470" s="100"/>
      <c r="L470" s="61"/>
      <c r="M470" s="61"/>
    </row>
    <row r="471">
      <c r="A471" s="65"/>
      <c r="B471" s="65"/>
      <c r="C471" s="65"/>
      <c r="D471" s="65"/>
      <c r="E471" s="65"/>
      <c r="F471" s="65"/>
      <c r="G471" s="65"/>
      <c r="H471" s="65"/>
      <c r="I471" s="65"/>
      <c r="J471" s="108"/>
      <c r="K471" s="103"/>
      <c r="L471" s="65"/>
      <c r="M471" s="65"/>
    </row>
    <row r="472">
      <c r="A472" s="61"/>
      <c r="B472" s="61"/>
      <c r="C472" s="61"/>
      <c r="D472" s="61"/>
      <c r="E472" s="61"/>
      <c r="F472" s="61"/>
      <c r="G472" s="61"/>
      <c r="H472" s="61"/>
      <c r="I472" s="61"/>
      <c r="J472" s="107"/>
      <c r="K472" s="100"/>
      <c r="L472" s="61"/>
      <c r="M472" s="61"/>
    </row>
    <row r="473">
      <c r="A473" s="65"/>
      <c r="B473" s="65"/>
      <c r="C473" s="65"/>
      <c r="D473" s="65"/>
      <c r="E473" s="65"/>
      <c r="F473" s="65"/>
      <c r="G473" s="65"/>
      <c r="H473" s="65"/>
      <c r="I473" s="65"/>
      <c r="J473" s="108"/>
      <c r="K473" s="103"/>
      <c r="L473" s="65"/>
      <c r="M473" s="65"/>
    </row>
    <row r="474">
      <c r="A474" s="61"/>
      <c r="B474" s="61"/>
      <c r="C474" s="61"/>
      <c r="D474" s="61"/>
      <c r="E474" s="61"/>
      <c r="F474" s="61"/>
      <c r="G474" s="61"/>
      <c r="H474" s="61"/>
      <c r="I474" s="61"/>
      <c r="J474" s="107"/>
      <c r="K474" s="100"/>
      <c r="L474" s="61"/>
      <c r="M474" s="61"/>
    </row>
    <row r="475">
      <c r="A475" s="65"/>
      <c r="B475" s="65"/>
      <c r="C475" s="65"/>
      <c r="D475" s="65"/>
      <c r="E475" s="65"/>
      <c r="F475" s="65"/>
      <c r="G475" s="65"/>
      <c r="H475" s="65"/>
      <c r="I475" s="65"/>
      <c r="J475" s="108"/>
      <c r="K475" s="103"/>
      <c r="L475" s="65"/>
      <c r="M475" s="65"/>
    </row>
    <row r="476">
      <c r="A476" s="61"/>
      <c r="B476" s="61"/>
      <c r="C476" s="61"/>
      <c r="D476" s="61"/>
      <c r="E476" s="61"/>
      <c r="F476" s="61"/>
      <c r="G476" s="61"/>
      <c r="H476" s="61"/>
      <c r="I476" s="61"/>
      <c r="J476" s="107"/>
      <c r="K476" s="100"/>
      <c r="L476" s="61"/>
      <c r="M476" s="61"/>
    </row>
    <row r="477">
      <c r="A477" s="65"/>
      <c r="B477" s="65"/>
      <c r="C477" s="65"/>
      <c r="D477" s="65"/>
      <c r="E477" s="65"/>
      <c r="F477" s="65"/>
      <c r="G477" s="65"/>
      <c r="H477" s="65"/>
      <c r="I477" s="65"/>
      <c r="J477" s="108"/>
      <c r="K477" s="103"/>
      <c r="L477" s="65"/>
      <c r="M477" s="65"/>
    </row>
    <row r="478">
      <c r="A478" s="61"/>
      <c r="B478" s="61"/>
      <c r="C478" s="61"/>
      <c r="D478" s="61"/>
      <c r="E478" s="61"/>
      <c r="F478" s="61"/>
      <c r="G478" s="61"/>
      <c r="H478" s="61"/>
      <c r="I478" s="61"/>
      <c r="J478" s="107"/>
      <c r="K478" s="100"/>
      <c r="L478" s="61"/>
      <c r="M478" s="61"/>
    </row>
    <row r="479">
      <c r="A479" s="65"/>
      <c r="B479" s="65"/>
      <c r="C479" s="65"/>
      <c r="D479" s="65"/>
      <c r="E479" s="65"/>
      <c r="F479" s="65"/>
      <c r="G479" s="65"/>
      <c r="H479" s="65"/>
      <c r="I479" s="65"/>
      <c r="J479" s="108"/>
      <c r="K479" s="103"/>
      <c r="L479" s="65"/>
      <c r="M479" s="65"/>
    </row>
    <row r="480">
      <c r="A480" s="61"/>
      <c r="B480" s="61"/>
      <c r="C480" s="61"/>
      <c r="D480" s="61"/>
      <c r="E480" s="61"/>
      <c r="F480" s="61"/>
      <c r="G480" s="61"/>
      <c r="H480" s="61"/>
      <c r="I480" s="61"/>
      <c r="J480" s="107"/>
      <c r="K480" s="100"/>
      <c r="L480" s="61"/>
      <c r="M480" s="61"/>
    </row>
    <row r="481">
      <c r="A481" s="65"/>
      <c r="B481" s="65"/>
      <c r="C481" s="65"/>
      <c r="D481" s="65"/>
      <c r="E481" s="65"/>
      <c r="F481" s="65"/>
      <c r="G481" s="65"/>
      <c r="H481" s="65"/>
      <c r="I481" s="65"/>
      <c r="J481" s="108"/>
      <c r="K481" s="103"/>
      <c r="L481" s="65"/>
      <c r="M481" s="65"/>
    </row>
    <row r="482">
      <c r="A482" s="61"/>
      <c r="B482" s="61"/>
      <c r="C482" s="61"/>
      <c r="D482" s="61"/>
      <c r="E482" s="61"/>
      <c r="F482" s="61"/>
      <c r="G482" s="61"/>
      <c r="H482" s="61"/>
      <c r="I482" s="61"/>
      <c r="J482" s="107"/>
      <c r="K482" s="100"/>
      <c r="L482" s="61"/>
      <c r="M482" s="61"/>
    </row>
    <row r="483">
      <c r="A483" s="65"/>
      <c r="B483" s="65"/>
      <c r="C483" s="65"/>
      <c r="D483" s="65"/>
      <c r="E483" s="65"/>
      <c r="F483" s="65"/>
      <c r="G483" s="65"/>
      <c r="H483" s="65"/>
      <c r="I483" s="65"/>
      <c r="J483" s="108"/>
      <c r="K483" s="103"/>
      <c r="L483" s="65"/>
      <c r="M483" s="65"/>
    </row>
    <row r="484">
      <c r="A484" s="61"/>
      <c r="B484" s="61"/>
      <c r="C484" s="61"/>
      <c r="D484" s="61"/>
      <c r="E484" s="61"/>
      <c r="F484" s="61"/>
      <c r="G484" s="61"/>
      <c r="H484" s="61"/>
      <c r="I484" s="61"/>
      <c r="J484" s="107"/>
      <c r="K484" s="100"/>
      <c r="L484" s="61"/>
      <c r="M484" s="61"/>
    </row>
    <row r="485">
      <c r="A485" s="65"/>
      <c r="B485" s="65"/>
      <c r="C485" s="65"/>
      <c r="D485" s="65"/>
      <c r="E485" s="65"/>
      <c r="F485" s="65"/>
      <c r="G485" s="65"/>
      <c r="H485" s="65"/>
      <c r="I485" s="65"/>
      <c r="J485" s="108"/>
      <c r="K485" s="103"/>
      <c r="L485" s="65"/>
      <c r="M485" s="65"/>
    </row>
    <row r="486">
      <c r="A486" s="61"/>
      <c r="B486" s="61"/>
      <c r="C486" s="61"/>
      <c r="D486" s="61"/>
      <c r="E486" s="61"/>
      <c r="F486" s="61"/>
      <c r="G486" s="61"/>
      <c r="H486" s="61"/>
      <c r="I486" s="61"/>
      <c r="J486" s="107"/>
      <c r="K486" s="100"/>
      <c r="L486" s="61"/>
      <c r="M486" s="61"/>
    </row>
    <row r="487">
      <c r="A487" s="65"/>
      <c r="B487" s="65"/>
      <c r="C487" s="65"/>
      <c r="D487" s="65"/>
      <c r="E487" s="65"/>
      <c r="F487" s="65"/>
      <c r="G487" s="65"/>
      <c r="H487" s="65"/>
      <c r="I487" s="65"/>
      <c r="J487" s="108"/>
      <c r="K487" s="103"/>
      <c r="L487" s="65"/>
      <c r="M487" s="65"/>
    </row>
    <row r="488">
      <c r="A488" s="61"/>
      <c r="B488" s="61"/>
      <c r="C488" s="61"/>
      <c r="D488" s="61"/>
      <c r="E488" s="61"/>
      <c r="F488" s="61"/>
      <c r="G488" s="61"/>
      <c r="H488" s="61"/>
      <c r="I488" s="61"/>
      <c r="J488" s="107"/>
      <c r="K488" s="100"/>
      <c r="L488" s="61"/>
      <c r="M488" s="61"/>
    </row>
    <row r="489">
      <c r="A489" s="65"/>
      <c r="B489" s="65"/>
      <c r="C489" s="65"/>
      <c r="D489" s="65"/>
      <c r="E489" s="65"/>
      <c r="F489" s="65"/>
      <c r="G489" s="65"/>
      <c r="H489" s="65"/>
      <c r="I489" s="65"/>
      <c r="J489" s="108"/>
      <c r="K489" s="103"/>
      <c r="L489" s="65"/>
      <c r="M489" s="65"/>
    </row>
    <row r="490">
      <c r="A490" s="61"/>
      <c r="B490" s="61"/>
      <c r="C490" s="61"/>
      <c r="D490" s="61"/>
      <c r="E490" s="61"/>
      <c r="F490" s="61"/>
      <c r="G490" s="61"/>
      <c r="H490" s="61"/>
      <c r="I490" s="61"/>
      <c r="J490" s="107"/>
      <c r="K490" s="100"/>
      <c r="L490" s="61"/>
      <c r="M490" s="61"/>
    </row>
    <row r="491">
      <c r="A491" s="65"/>
      <c r="B491" s="65"/>
      <c r="C491" s="65"/>
      <c r="D491" s="65"/>
      <c r="E491" s="65"/>
      <c r="F491" s="65"/>
      <c r="G491" s="65"/>
      <c r="H491" s="65"/>
      <c r="I491" s="65"/>
      <c r="J491" s="108"/>
      <c r="K491" s="103"/>
      <c r="L491" s="65"/>
      <c r="M491" s="65"/>
    </row>
    <row r="492">
      <c r="A492" s="61"/>
      <c r="B492" s="61"/>
      <c r="C492" s="61"/>
      <c r="D492" s="61"/>
      <c r="E492" s="61"/>
      <c r="F492" s="61"/>
      <c r="G492" s="61"/>
      <c r="H492" s="61"/>
      <c r="I492" s="61"/>
      <c r="J492" s="107"/>
      <c r="K492" s="100"/>
      <c r="L492" s="61"/>
      <c r="M492" s="61"/>
    </row>
    <row r="493">
      <c r="A493" s="65"/>
      <c r="B493" s="65"/>
      <c r="C493" s="65"/>
      <c r="D493" s="65"/>
      <c r="E493" s="65"/>
      <c r="F493" s="65"/>
      <c r="G493" s="65"/>
      <c r="H493" s="65"/>
      <c r="I493" s="65"/>
      <c r="J493" s="108"/>
      <c r="K493" s="103"/>
      <c r="L493" s="65"/>
      <c r="M493" s="65"/>
    </row>
    <row r="494">
      <c r="A494" s="61"/>
      <c r="B494" s="61"/>
      <c r="C494" s="61"/>
      <c r="D494" s="61"/>
      <c r="E494" s="61"/>
      <c r="F494" s="61"/>
      <c r="G494" s="61"/>
      <c r="H494" s="61"/>
      <c r="I494" s="61"/>
      <c r="J494" s="107"/>
      <c r="K494" s="100"/>
      <c r="L494" s="61"/>
      <c r="M494" s="61"/>
    </row>
    <row r="495">
      <c r="A495" s="65"/>
      <c r="B495" s="65"/>
      <c r="C495" s="65"/>
      <c r="D495" s="65"/>
      <c r="E495" s="65"/>
      <c r="F495" s="65"/>
      <c r="G495" s="65"/>
      <c r="H495" s="65"/>
      <c r="I495" s="65"/>
      <c r="J495" s="108"/>
      <c r="K495" s="103"/>
      <c r="L495" s="65"/>
      <c r="M495" s="65"/>
    </row>
    <row r="496">
      <c r="A496" s="61"/>
      <c r="B496" s="61"/>
      <c r="C496" s="61"/>
      <c r="D496" s="61"/>
      <c r="E496" s="61"/>
      <c r="F496" s="61"/>
      <c r="G496" s="61"/>
      <c r="H496" s="61"/>
      <c r="I496" s="61"/>
      <c r="J496" s="107"/>
      <c r="K496" s="100"/>
      <c r="L496" s="61"/>
      <c r="M496" s="61"/>
    </row>
    <row r="497">
      <c r="A497" s="65"/>
      <c r="B497" s="65"/>
      <c r="C497" s="65"/>
      <c r="D497" s="65"/>
      <c r="E497" s="65"/>
      <c r="F497" s="65"/>
      <c r="G497" s="65"/>
      <c r="H497" s="65"/>
      <c r="I497" s="65"/>
      <c r="J497" s="108"/>
      <c r="K497" s="103"/>
      <c r="L497" s="65"/>
      <c r="M497" s="65"/>
    </row>
    <row r="498">
      <c r="A498" s="61"/>
      <c r="B498" s="61"/>
      <c r="C498" s="61"/>
      <c r="D498" s="61"/>
      <c r="E498" s="61"/>
      <c r="F498" s="61"/>
      <c r="G498" s="61"/>
      <c r="H498" s="61"/>
      <c r="I498" s="61"/>
      <c r="J498" s="107"/>
      <c r="K498" s="100"/>
      <c r="L498" s="61"/>
      <c r="M498" s="61"/>
    </row>
    <row r="499">
      <c r="A499" s="65"/>
      <c r="B499" s="65"/>
      <c r="C499" s="65"/>
      <c r="D499" s="65"/>
      <c r="E499" s="65"/>
      <c r="F499" s="65"/>
      <c r="G499" s="65"/>
      <c r="H499" s="65"/>
      <c r="I499" s="65"/>
      <c r="J499" s="108"/>
      <c r="K499" s="103"/>
      <c r="L499" s="65"/>
      <c r="M499" s="65"/>
    </row>
    <row r="500">
      <c r="A500" s="61"/>
      <c r="B500" s="61"/>
      <c r="C500" s="61"/>
      <c r="D500" s="61"/>
      <c r="E500" s="61"/>
      <c r="F500" s="61"/>
      <c r="G500" s="61"/>
      <c r="H500" s="61"/>
      <c r="I500" s="61"/>
      <c r="J500" s="107"/>
      <c r="K500" s="100"/>
      <c r="L500" s="61"/>
      <c r="M500" s="61"/>
    </row>
    <row r="501">
      <c r="A501" s="65"/>
      <c r="B501" s="65"/>
      <c r="C501" s="65"/>
      <c r="D501" s="65"/>
      <c r="E501" s="65"/>
      <c r="F501" s="65"/>
      <c r="G501" s="65"/>
      <c r="H501" s="65"/>
      <c r="I501" s="65"/>
      <c r="J501" s="108"/>
      <c r="K501" s="103"/>
      <c r="L501" s="65"/>
      <c r="M501" s="65"/>
    </row>
    <row r="502">
      <c r="A502" s="61"/>
      <c r="B502" s="61"/>
      <c r="C502" s="61"/>
      <c r="D502" s="61"/>
      <c r="E502" s="61"/>
      <c r="F502" s="61"/>
      <c r="G502" s="61"/>
      <c r="H502" s="61"/>
      <c r="I502" s="61"/>
      <c r="J502" s="107"/>
      <c r="K502" s="100"/>
      <c r="L502" s="61"/>
      <c r="M502" s="61"/>
    </row>
    <row r="503">
      <c r="A503" s="65"/>
      <c r="B503" s="65"/>
      <c r="C503" s="65"/>
      <c r="D503" s="65"/>
      <c r="E503" s="65"/>
      <c r="F503" s="65"/>
      <c r="G503" s="65"/>
      <c r="H503" s="65"/>
      <c r="I503" s="65"/>
      <c r="J503" s="108"/>
      <c r="K503" s="103"/>
      <c r="L503" s="65"/>
      <c r="M503" s="65"/>
    </row>
    <row r="504">
      <c r="A504" s="61"/>
      <c r="B504" s="61"/>
      <c r="C504" s="61"/>
      <c r="D504" s="61"/>
      <c r="E504" s="61"/>
      <c r="F504" s="61"/>
      <c r="G504" s="61"/>
      <c r="H504" s="61"/>
      <c r="I504" s="61"/>
      <c r="J504" s="107"/>
      <c r="K504" s="100"/>
      <c r="L504" s="61"/>
      <c r="M504" s="61"/>
    </row>
    <row r="505">
      <c r="A505" s="65"/>
      <c r="B505" s="65"/>
      <c r="C505" s="65"/>
      <c r="D505" s="65"/>
      <c r="E505" s="65"/>
      <c r="F505" s="65"/>
      <c r="G505" s="65"/>
      <c r="H505" s="65"/>
      <c r="I505" s="65"/>
      <c r="J505" s="108"/>
      <c r="K505" s="103"/>
      <c r="L505" s="65"/>
      <c r="M505" s="65"/>
    </row>
    <row r="506">
      <c r="A506" s="61"/>
      <c r="B506" s="61"/>
      <c r="C506" s="61"/>
      <c r="D506" s="61"/>
      <c r="E506" s="61"/>
      <c r="F506" s="61"/>
      <c r="G506" s="61"/>
      <c r="H506" s="61"/>
      <c r="I506" s="61"/>
      <c r="J506" s="107"/>
      <c r="K506" s="100"/>
      <c r="L506" s="61"/>
      <c r="M506" s="61"/>
    </row>
    <row r="507">
      <c r="A507" s="65"/>
      <c r="B507" s="65"/>
      <c r="C507" s="65"/>
      <c r="D507" s="65"/>
      <c r="E507" s="65"/>
      <c r="F507" s="65"/>
      <c r="G507" s="65"/>
      <c r="H507" s="65"/>
      <c r="I507" s="65"/>
      <c r="J507" s="108"/>
      <c r="K507" s="103"/>
      <c r="L507" s="65"/>
      <c r="M507" s="65"/>
    </row>
    <row r="508">
      <c r="A508" s="61"/>
      <c r="B508" s="61"/>
      <c r="C508" s="61"/>
      <c r="D508" s="61"/>
      <c r="E508" s="61"/>
      <c r="F508" s="61"/>
      <c r="G508" s="61"/>
      <c r="H508" s="61"/>
      <c r="I508" s="61"/>
      <c r="J508" s="107"/>
      <c r="K508" s="100"/>
      <c r="L508" s="61"/>
      <c r="M508" s="61"/>
    </row>
    <row r="509">
      <c r="A509" s="65"/>
      <c r="B509" s="65"/>
      <c r="C509" s="65"/>
      <c r="D509" s="65"/>
      <c r="E509" s="65"/>
      <c r="F509" s="65"/>
      <c r="G509" s="65"/>
      <c r="H509" s="65"/>
      <c r="I509" s="65"/>
      <c r="J509" s="108"/>
      <c r="K509" s="103"/>
      <c r="L509" s="65"/>
      <c r="M509" s="65"/>
    </row>
    <row r="510">
      <c r="A510" s="61"/>
      <c r="B510" s="61"/>
      <c r="C510" s="61"/>
      <c r="D510" s="61"/>
      <c r="E510" s="61"/>
      <c r="F510" s="61"/>
      <c r="G510" s="61"/>
      <c r="H510" s="61"/>
      <c r="I510" s="61"/>
      <c r="J510" s="107"/>
      <c r="K510" s="100"/>
      <c r="L510" s="61"/>
      <c r="M510" s="61"/>
    </row>
    <row r="511">
      <c r="A511" s="65"/>
      <c r="B511" s="65"/>
      <c r="C511" s="65"/>
      <c r="D511" s="65"/>
      <c r="E511" s="65"/>
      <c r="F511" s="65"/>
      <c r="G511" s="65"/>
      <c r="H511" s="65"/>
      <c r="I511" s="65"/>
      <c r="J511" s="108"/>
      <c r="K511" s="103"/>
      <c r="L511" s="65"/>
      <c r="M511" s="65"/>
    </row>
    <row r="512">
      <c r="A512" s="61"/>
      <c r="B512" s="61"/>
      <c r="C512" s="61"/>
      <c r="D512" s="61"/>
      <c r="E512" s="61"/>
      <c r="F512" s="61"/>
      <c r="G512" s="61"/>
      <c r="H512" s="61"/>
      <c r="I512" s="61"/>
      <c r="J512" s="107"/>
      <c r="K512" s="100"/>
      <c r="L512" s="61"/>
      <c r="M512" s="61"/>
    </row>
    <row r="513">
      <c r="A513" s="65"/>
      <c r="B513" s="65"/>
      <c r="C513" s="65"/>
      <c r="D513" s="65"/>
      <c r="E513" s="65"/>
      <c r="F513" s="65"/>
      <c r="G513" s="65"/>
      <c r="H513" s="65"/>
      <c r="I513" s="65"/>
      <c r="J513" s="108"/>
      <c r="K513" s="103"/>
      <c r="L513" s="65"/>
      <c r="M513" s="65"/>
    </row>
    <row r="514">
      <c r="A514" s="61"/>
      <c r="B514" s="61"/>
      <c r="C514" s="61"/>
      <c r="D514" s="61"/>
      <c r="E514" s="61"/>
      <c r="F514" s="61"/>
      <c r="G514" s="61"/>
      <c r="H514" s="61"/>
      <c r="I514" s="61"/>
      <c r="J514" s="107"/>
      <c r="K514" s="100"/>
      <c r="L514" s="61"/>
      <c r="M514" s="61"/>
    </row>
    <row r="515">
      <c r="A515" s="65"/>
      <c r="B515" s="65"/>
      <c r="C515" s="65"/>
      <c r="D515" s="65"/>
      <c r="E515" s="65"/>
      <c r="F515" s="65"/>
      <c r="G515" s="65"/>
      <c r="H515" s="65"/>
      <c r="I515" s="65"/>
      <c r="J515" s="108"/>
      <c r="K515" s="103"/>
      <c r="L515" s="65"/>
      <c r="M515" s="65"/>
    </row>
    <row r="516">
      <c r="A516" s="61"/>
      <c r="B516" s="61"/>
      <c r="C516" s="61"/>
      <c r="D516" s="61"/>
      <c r="E516" s="61"/>
      <c r="F516" s="61"/>
      <c r="G516" s="61"/>
      <c r="H516" s="61"/>
      <c r="I516" s="61"/>
      <c r="J516" s="107"/>
      <c r="K516" s="100"/>
      <c r="L516" s="61"/>
      <c r="M516" s="61"/>
    </row>
    <row r="517">
      <c r="A517" s="65"/>
      <c r="B517" s="65"/>
      <c r="C517" s="65"/>
      <c r="D517" s="65"/>
      <c r="E517" s="65"/>
      <c r="F517" s="65"/>
      <c r="G517" s="65"/>
      <c r="H517" s="65"/>
      <c r="I517" s="65"/>
      <c r="J517" s="108"/>
      <c r="K517" s="103"/>
      <c r="L517" s="65"/>
      <c r="M517" s="65"/>
    </row>
    <row r="518">
      <c r="A518" s="61"/>
      <c r="B518" s="61"/>
      <c r="C518" s="61"/>
      <c r="D518" s="61"/>
      <c r="E518" s="61"/>
      <c r="F518" s="61"/>
      <c r="G518" s="61"/>
      <c r="H518" s="61"/>
      <c r="I518" s="61"/>
      <c r="J518" s="107"/>
      <c r="K518" s="100"/>
      <c r="L518" s="61"/>
      <c r="M518" s="61"/>
    </row>
    <row r="519">
      <c r="A519" s="65"/>
      <c r="B519" s="65"/>
      <c r="C519" s="65"/>
      <c r="D519" s="65"/>
      <c r="E519" s="65"/>
      <c r="F519" s="65"/>
      <c r="G519" s="65"/>
      <c r="H519" s="65"/>
      <c r="I519" s="65"/>
      <c r="J519" s="108"/>
      <c r="K519" s="103"/>
      <c r="L519" s="65"/>
      <c r="M519" s="65"/>
    </row>
    <row r="520">
      <c r="A520" s="61"/>
      <c r="B520" s="61"/>
      <c r="C520" s="61"/>
      <c r="D520" s="61"/>
      <c r="E520" s="61"/>
      <c r="F520" s="61"/>
      <c r="G520" s="61"/>
      <c r="H520" s="61"/>
      <c r="I520" s="61"/>
      <c r="J520" s="107"/>
      <c r="K520" s="100"/>
      <c r="L520" s="61"/>
      <c r="M520" s="61"/>
    </row>
    <row r="521">
      <c r="A521" s="65"/>
      <c r="B521" s="65"/>
      <c r="C521" s="65"/>
      <c r="D521" s="65"/>
      <c r="E521" s="65"/>
      <c r="F521" s="65"/>
      <c r="G521" s="65"/>
      <c r="H521" s="65"/>
      <c r="I521" s="65"/>
      <c r="J521" s="108"/>
      <c r="K521" s="103"/>
      <c r="L521" s="65"/>
      <c r="M521" s="65"/>
    </row>
    <row r="522">
      <c r="A522" s="61"/>
      <c r="B522" s="61"/>
      <c r="C522" s="61"/>
      <c r="D522" s="61"/>
      <c r="E522" s="61"/>
      <c r="F522" s="61"/>
      <c r="G522" s="61"/>
      <c r="H522" s="61"/>
      <c r="I522" s="61"/>
      <c r="J522" s="107"/>
      <c r="K522" s="100"/>
      <c r="L522" s="61"/>
      <c r="M522" s="61"/>
    </row>
    <row r="523">
      <c r="A523" s="65"/>
      <c r="B523" s="65"/>
      <c r="C523" s="65"/>
      <c r="D523" s="65"/>
      <c r="E523" s="65"/>
      <c r="F523" s="65"/>
      <c r="G523" s="65"/>
      <c r="H523" s="65"/>
      <c r="I523" s="65"/>
      <c r="J523" s="108"/>
      <c r="K523" s="103"/>
      <c r="L523" s="65"/>
      <c r="M523" s="65"/>
    </row>
    <row r="524">
      <c r="A524" s="61"/>
      <c r="B524" s="61"/>
      <c r="C524" s="61"/>
      <c r="D524" s="61"/>
      <c r="E524" s="61"/>
      <c r="F524" s="61"/>
      <c r="G524" s="61"/>
      <c r="H524" s="61"/>
      <c r="I524" s="61"/>
      <c r="J524" s="107"/>
      <c r="K524" s="100"/>
      <c r="L524" s="61"/>
      <c r="M524" s="61"/>
    </row>
    <row r="525">
      <c r="A525" s="65"/>
      <c r="B525" s="65"/>
      <c r="C525" s="65"/>
      <c r="D525" s="65"/>
      <c r="E525" s="65"/>
      <c r="F525" s="65"/>
      <c r="G525" s="65"/>
      <c r="H525" s="65"/>
      <c r="I525" s="65"/>
      <c r="J525" s="108"/>
      <c r="K525" s="103"/>
      <c r="L525" s="65"/>
      <c r="M525" s="65"/>
    </row>
    <row r="526">
      <c r="A526" s="61"/>
      <c r="B526" s="61"/>
      <c r="C526" s="61"/>
      <c r="D526" s="61"/>
      <c r="E526" s="61"/>
      <c r="F526" s="61"/>
      <c r="G526" s="61"/>
      <c r="H526" s="61"/>
      <c r="I526" s="61"/>
      <c r="J526" s="107"/>
      <c r="K526" s="100"/>
      <c r="L526" s="61"/>
      <c r="M526" s="61"/>
    </row>
    <row r="527">
      <c r="A527" s="65"/>
      <c r="B527" s="65"/>
      <c r="C527" s="65"/>
      <c r="D527" s="65"/>
      <c r="E527" s="65"/>
      <c r="F527" s="65"/>
      <c r="G527" s="65"/>
      <c r="H527" s="65"/>
      <c r="I527" s="65"/>
      <c r="J527" s="108"/>
      <c r="K527" s="103"/>
      <c r="L527" s="65"/>
      <c r="M527" s="65"/>
    </row>
    <row r="528">
      <c r="A528" s="61"/>
      <c r="B528" s="61"/>
      <c r="C528" s="61"/>
      <c r="D528" s="61"/>
      <c r="E528" s="61"/>
      <c r="F528" s="61"/>
      <c r="G528" s="61"/>
      <c r="H528" s="61"/>
      <c r="I528" s="61"/>
      <c r="J528" s="107"/>
      <c r="K528" s="100"/>
      <c r="L528" s="61"/>
      <c r="M528" s="61"/>
    </row>
    <row r="529">
      <c r="A529" s="65"/>
      <c r="B529" s="65"/>
      <c r="C529" s="65"/>
      <c r="D529" s="65"/>
      <c r="E529" s="65"/>
      <c r="F529" s="65"/>
      <c r="G529" s="65"/>
      <c r="H529" s="65"/>
      <c r="I529" s="65"/>
      <c r="J529" s="108"/>
      <c r="K529" s="103"/>
      <c r="L529" s="65"/>
      <c r="M529" s="65"/>
    </row>
    <row r="530">
      <c r="A530" s="61"/>
      <c r="B530" s="61"/>
      <c r="C530" s="61"/>
      <c r="D530" s="61"/>
      <c r="E530" s="61"/>
      <c r="F530" s="61"/>
      <c r="G530" s="61"/>
      <c r="H530" s="61"/>
      <c r="I530" s="61"/>
      <c r="J530" s="107"/>
      <c r="K530" s="100"/>
      <c r="L530" s="61"/>
      <c r="M530" s="61"/>
    </row>
    <row r="531">
      <c r="A531" s="65"/>
      <c r="B531" s="65"/>
      <c r="C531" s="65"/>
      <c r="D531" s="65"/>
      <c r="E531" s="65"/>
      <c r="F531" s="65"/>
      <c r="G531" s="65"/>
      <c r="H531" s="65"/>
      <c r="I531" s="65"/>
      <c r="J531" s="108"/>
      <c r="K531" s="103"/>
      <c r="L531" s="65"/>
      <c r="M531" s="65"/>
    </row>
    <row r="532">
      <c r="A532" s="61"/>
      <c r="B532" s="61"/>
      <c r="C532" s="61"/>
      <c r="D532" s="61"/>
      <c r="E532" s="61"/>
      <c r="F532" s="61"/>
      <c r="G532" s="61"/>
      <c r="H532" s="61"/>
      <c r="I532" s="61"/>
      <c r="J532" s="107"/>
      <c r="K532" s="100"/>
      <c r="L532" s="61"/>
      <c r="M532" s="61"/>
    </row>
    <row r="533">
      <c r="A533" s="65"/>
      <c r="B533" s="65"/>
      <c r="C533" s="65"/>
      <c r="D533" s="65"/>
      <c r="E533" s="65"/>
      <c r="F533" s="65"/>
      <c r="G533" s="65"/>
      <c r="H533" s="65"/>
      <c r="I533" s="65"/>
      <c r="J533" s="108"/>
      <c r="K533" s="103"/>
      <c r="L533" s="65"/>
      <c r="M533" s="65"/>
    </row>
    <row r="534">
      <c r="A534" s="61"/>
      <c r="B534" s="61"/>
      <c r="C534" s="61"/>
      <c r="D534" s="61"/>
      <c r="E534" s="61"/>
      <c r="F534" s="61"/>
      <c r="G534" s="61"/>
      <c r="H534" s="61"/>
      <c r="I534" s="61"/>
      <c r="J534" s="107"/>
      <c r="K534" s="100"/>
      <c r="L534" s="61"/>
      <c r="M534" s="61"/>
    </row>
    <row r="535">
      <c r="A535" s="65"/>
      <c r="B535" s="65"/>
      <c r="C535" s="65"/>
      <c r="D535" s="65"/>
      <c r="E535" s="65"/>
      <c r="F535" s="65"/>
      <c r="G535" s="65"/>
      <c r="H535" s="65"/>
      <c r="I535" s="65"/>
      <c r="J535" s="108"/>
      <c r="K535" s="103"/>
      <c r="L535" s="65"/>
      <c r="M535" s="65"/>
    </row>
    <row r="536">
      <c r="A536" s="61"/>
      <c r="B536" s="61"/>
      <c r="C536" s="61"/>
      <c r="D536" s="61"/>
      <c r="E536" s="61"/>
      <c r="F536" s="61"/>
      <c r="G536" s="61"/>
      <c r="H536" s="61"/>
      <c r="I536" s="61"/>
      <c r="J536" s="107"/>
      <c r="K536" s="100"/>
      <c r="L536" s="61"/>
      <c r="M536" s="61"/>
    </row>
    <row r="537">
      <c r="A537" s="65"/>
      <c r="B537" s="65"/>
      <c r="C537" s="65"/>
      <c r="D537" s="65"/>
      <c r="E537" s="65"/>
      <c r="F537" s="65"/>
      <c r="G537" s="65"/>
      <c r="H537" s="65"/>
      <c r="I537" s="65"/>
      <c r="J537" s="108"/>
      <c r="K537" s="103"/>
      <c r="L537" s="65"/>
      <c r="M537" s="65"/>
    </row>
    <row r="538">
      <c r="A538" s="61"/>
      <c r="B538" s="61"/>
      <c r="C538" s="61"/>
      <c r="D538" s="61"/>
      <c r="E538" s="61"/>
      <c r="F538" s="61"/>
      <c r="G538" s="61"/>
      <c r="H538" s="61"/>
      <c r="I538" s="61"/>
      <c r="J538" s="107"/>
      <c r="K538" s="100"/>
      <c r="L538" s="61"/>
      <c r="M538" s="61"/>
    </row>
    <row r="539">
      <c r="A539" s="65"/>
      <c r="B539" s="65"/>
      <c r="C539" s="65"/>
      <c r="D539" s="65"/>
      <c r="E539" s="65"/>
      <c r="F539" s="65"/>
      <c r="G539" s="65"/>
      <c r="H539" s="65"/>
      <c r="I539" s="65"/>
      <c r="J539" s="108"/>
      <c r="K539" s="103"/>
      <c r="L539" s="65"/>
      <c r="M539" s="65"/>
    </row>
    <row r="540">
      <c r="A540" s="61"/>
      <c r="B540" s="61"/>
      <c r="C540" s="61"/>
      <c r="D540" s="61"/>
      <c r="E540" s="61"/>
      <c r="F540" s="61"/>
      <c r="G540" s="61"/>
      <c r="H540" s="61"/>
      <c r="I540" s="61"/>
      <c r="J540" s="107"/>
      <c r="K540" s="100"/>
      <c r="L540" s="61"/>
      <c r="M540" s="61"/>
    </row>
    <row r="541">
      <c r="A541" s="65"/>
      <c r="B541" s="65"/>
      <c r="C541" s="65"/>
      <c r="D541" s="65"/>
      <c r="E541" s="65"/>
      <c r="F541" s="65"/>
      <c r="G541" s="65"/>
      <c r="H541" s="65"/>
      <c r="I541" s="65"/>
      <c r="J541" s="108"/>
      <c r="K541" s="103"/>
      <c r="L541" s="65"/>
      <c r="M541" s="65"/>
    </row>
    <row r="542">
      <c r="A542" s="61"/>
      <c r="B542" s="61"/>
      <c r="C542" s="61"/>
      <c r="D542" s="61"/>
      <c r="E542" s="61"/>
      <c r="F542" s="61"/>
      <c r="G542" s="61"/>
      <c r="H542" s="61"/>
      <c r="I542" s="61"/>
      <c r="J542" s="107"/>
      <c r="K542" s="100"/>
      <c r="L542" s="61"/>
      <c r="M542" s="61"/>
    </row>
    <row r="543">
      <c r="A543" s="65"/>
      <c r="B543" s="65"/>
      <c r="C543" s="65"/>
      <c r="D543" s="65"/>
      <c r="E543" s="65"/>
      <c r="F543" s="65"/>
      <c r="G543" s="65"/>
      <c r="H543" s="65"/>
      <c r="I543" s="65"/>
      <c r="J543" s="108"/>
      <c r="K543" s="103"/>
      <c r="L543" s="65"/>
      <c r="M543" s="65"/>
    </row>
    <row r="544">
      <c r="A544" s="61"/>
      <c r="B544" s="61"/>
      <c r="C544" s="61"/>
      <c r="D544" s="61"/>
      <c r="E544" s="61"/>
      <c r="F544" s="61"/>
      <c r="G544" s="61"/>
      <c r="H544" s="61"/>
      <c r="I544" s="61"/>
      <c r="J544" s="107"/>
      <c r="K544" s="100"/>
      <c r="L544" s="61"/>
      <c r="M544" s="61"/>
    </row>
    <row r="545">
      <c r="A545" s="65"/>
      <c r="B545" s="65"/>
      <c r="C545" s="65"/>
      <c r="D545" s="65"/>
      <c r="E545" s="65"/>
      <c r="F545" s="65"/>
      <c r="G545" s="65"/>
      <c r="H545" s="65"/>
      <c r="I545" s="65"/>
      <c r="J545" s="108"/>
      <c r="K545" s="103"/>
      <c r="L545" s="65"/>
      <c r="M545" s="65"/>
    </row>
    <row r="546">
      <c r="A546" s="61"/>
      <c r="B546" s="61"/>
      <c r="C546" s="61"/>
      <c r="D546" s="61"/>
      <c r="E546" s="61"/>
      <c r="F546" s="61"/>
      <c r="G546" s="61"/>
      <c r="H546" s="61"/>
      <c r="I546" s="61"/>
      <c r="J546" s="107"/>
      <c r="K546" s="100"/>
      <c r="L546" s="61"/>
      <c r="M546" s="61"/>
    </row>
    <row r="547">
      <c r="A547" s="65"/>
      <c r="B547" s="65"/>
      <c r="C547" s="65"/>
      <c r="D547" s="65"/>
      <c r="E547" s="65"/>
      <c r="F547" s="65"/>
      <c r="G547" s="65"/>
      <c r="H547" s="65"/>
      <c r="I547" s="65"/>
      <c r="J547" s="108"/>
      <c r="K547" s="103"/>
      <c r="L547" s="65"/>
      <c r="M547" s="65"/>
    </row>
    <row r="548">
      <c r="A548" s="61"/>
      <c r="B548" s="61"/>
      <c r="C548" s="61"/>
      <c r="D548" s="61"/>
      <c r="E548" s="61"/>
      <c r="F548" s="61"/>
      <c r="G548" s="61"/>
      <c r="H548" s="61"/>
      <c r="I548" s="61"/>
      <c r="J548" s="107"/>
      <c r="K548" s="100"/>
      <c r="L548" s="61"/>
      <c r="M548" s="61"/>
    </row>
    <row r="549">
      <c r="A549" s="65"/>
      <c r="B549" s="65"/>
      <c r="C549" s="65"/>
      <c r="D549" s="65"/>
      <c r="E549" s="65"/>
      <c r="F549" s="65"/>
      <c r="G549" s="65"/>
      <c r="H549" s="65"/>
      <c r="I549" s="65"/>
      <c r="J549" s="108"/>
      <c r="K549" s="103"/>
      <c r="L549" s="65"/>
      <c r="M549" s="65"/>
    </row>
    <row r="550">
      <c r="A550" s="61"/>
      <c r="B550" s="61"/>
      <c r="C550" s="61"/>
      <c r="D550" s="61"/>
      <c r="E550" s="61"/>
      <c r="F550" s="61"/>
      <c r="G550" s="61"/>
      <c r="H550" s="61"/>
      <c r="I550" s="61"/>
      <c r="J550" s="107"/>
      <c r="K550" s="100"/>
      <c r="L550" s="61"/>
      <c r="M550" s="61"/>
    </row>
    <row r="551">
      <c r="A551" s="65"/>
      <c r="B551" s="65"/>
      <c r="C551" s="65"/>
      <c r="D551" s="65"/>
      <c r="E551" s="65"/>
      <c r="F551" s="65"/>
      <c r="G551" s="65"/>
      <c r="H551" s="65"/>
      <c r="I551" s="65"/>
      <c r="J551" s="108"/>
      <c r="K551" s="103"/>
      <c r="L551" s="65"/>
      <c r="M551" s="65"/>
    </row>
    <row r="552">
      <c r="A552" s="61"/>
      <c r="B552" s="61"/>
      <c r="C552" s="61"/>
      <c r="D552" s="61"/>
      <c r="E552" s="61"/>
      <c r="F552" s="61"/>
      <c r="G552" s="61"/>
      <c r="H552" s="61"/>
      <c r="I552" s="61"/>
      <c r="J552" s="107"/>
      <c r="K552" s="100"/>
      <c r="L552" s="61"/>
      <c r="M552" s="61"/>
    </row>
    <row r="553">
      <c r="A553" s="65"/>
      <c r="B553" s="65"/>
      <c r="C553" s="65"/>
      <c r="D553" s="65"/>
      <c r="E553" s="65"/>
      <c r="F553" s="65"/>
      <c r="G553" s="65"/>
      <c r="H553" s="65"/>
      <c r="I553" s="65"/>
      <c r="J553" s="108"/>
      <c r="K553" s="103"/>
      <c r="L553" s="65"/>
      <c r="M553" s="65"/>
    </row>
    <row r="554">
      <c r="A554" s="61"/>
      <c r="B554" s="61"/>
      <c r="C554" s="61"/>
      <c r="D554" s="61"/>
      <c r="E554" s="61"/>
      <c r="F554" s="61"/>
      <c r="G554" s="61"/>
      <c r="H554" s="61"/>
      <c r="I554" s="61"/>
      <c r="J554" s="107"/>
      <c r="K554" s="100"/>
      <c r="L554" s="61"/>
      <c r="M554" s="61"/>
    </row>
    <row r="555">
      <c r="A555" s="65"/>
      <c r="B555" s="65"/>
      <c r="C555" s="65"/>
      <c r="D555" s="65"/>
      <c r="E555" s="65"/>
      <c r="F555" s="65"/>
      <c r="G555" s="65"/>
      <c r="H555" s="65"/>
      <c r="I555" s="65"/>
      <c r="J555" s="108"/>
      <c r="K555" s="103"/>
      <c r="L555" s="65"/>
      <c r="M555" s="65"/>
    </row>
    <row r="556">
      <c r="A556" s="61"/>
      <c r="B556" s="61"/>
      <c r="C556" s="61"/>
      <c r="D556" s="61"/>
      <c r="E556" s="61"/>
      <c r="F556" s="61"/>
      <c r="G556" s="61"/>
      <c r="H556" s="61"/>
      <c r="I556" s="61"/>
      <c r="J556" s="107"/>
      <c r="K556" s="100"/>
      <c r="L556" s="61"/>
      <c r="M556" s="61"/>
    </row>
    <row r="557">
      <c r="A557" s="65"/>
      <c r="B557" s="65"/>
      <c r="C557" s="65"/>
      <c r="D557" s="65"/>
      <c r="E557" s="65"/>
      <c r="F557" s="65"/>
      <c r="G557" s="65"/>
      <c r="H557" s="65"/>
      <c r="I557" s="65"/>
      <c r="J557" s="108"/>
      <c r="K557" s="103"/>
      <c r="L557" s="65"/>
      <c r="M557" s="65"/>
    </row>
    <row r="558">
      <c r="A558" s="61"/>
      <c r="B558" s="61"/>
      <c r="C558" s="61"/>
      <c r="D558" s="61"/>
      <c r="E558" s="61"/>
      <c r="F558" s="61"/>
      <c r="G558" s="61"/>
      <c r="H558" s="61"/>
      <c r="I558" s="61"/>
      <c r="J558" s="107"/>
      <c r="K558" s="100"/>
      <c r="L558" s="61"/>
      <c r="M558" s="61"/>
    </row>
    <row r="559">
      <c r="A559" s="65"/>
      <c r="B559" s="65"/>
      <c r="C559" s="65"/>
      <c r="D559" s="65"/>
      <c r="E559" s="65"/>
      <c r="F559" s="65"/>
      <c r="G559" s="65"/>
      <c r="H559" s="65"/>
      <c r="I559" s="65"/>
      <c r="J559" s="108"/>
      <c r="K559" s="103"/>
      <c r="L559" s="65"/>
      <c r="M559" s="65"/>
    </row>
    <row r="560">
      <c r="A560" s="61"/>
      <c r="B560" s="61"/>
      <c r="C560" s="61"/>
      <c r="D560" s="61"/>
      <c r="E560" s="61"/>
      <c r="F560" s="61"/>
      <c r="G560" s="61"/>
      <c r="H560" s="61"/>
      <c r="I560" s="61"/>
      <c r="J560" s="107"/>
      <c r="K560" s="100"/>
      <c r="L560" s="61"/>
      <c r="M560" s="61"/>
    </row>
    <row r="561">
      <c r="A561" s="65"/>
      <c r="B561" s="65"/>
      <c r="C561" s="65"/>
      <c r="D561" s="65"/>
      <c r="E561" s="65"/>
      <c r="F561" s="65"/>
      <c r="G561" s="65"/>
      <c r="H561" s="65"/>
      <c r="I561" s="65"/>
      <c r="J561" s="108"/>
      <c r="K561" s="103"/>
      <c r="L561" s="65"/>
      <c r="M561" s="65"/>
    </row>
    <row r="562">
      <c r="A562" s="61"/>
      <c r="B562" s="61"/>
      <c r="C562" s="61"/>
      <c r="D562" s="61"/>
      <c r="E562" s="61"/>
      <c r="F562" s="61"/>
      <c r="G562" s="61"/>
      <c r="H562" s="61"/>
      <c r="I562" s="61"/>
      <c r="J562" s="107"/>
      <c r="K562" s="100"/>
      <c r="L562" s="61"/>
      <c r="M562" s="61"/>
    </row>
    <row r="563">
      <c r="A563" s="65"/>
      <c r="B563" s="65"/>
      <c r="C563" s="65"/>
      <c r="D563" s="65"/>
      <c r="E563" s="65"/>
      <c r="F563" s="65"/>
      <c r="G563" s="65"/>
      <c r="H563" s="65"/>
      <c r="I563" s="65"/>
      <c r="J563" s="108"/>
      <c r="K563" s="103"/>
      <c r="L563" s="65"/>
      <c r="M563" s="65"/>
    </row>
    <row r="564">
      <c r="A564" s="61"/>
      <c r="B564" s="61"/>
      <c r="C564" s="61"/>
      <c r="D564" s="61"/>
      <c r="E564" s="61"/>
      <c r="F564" s="61"/>
      <c r="G564" s="61"/>
      <c r="H564" s="61"/>
      <c r="I564" s="61"/>
      <c r="J564" s="107"/>
      <c r="K564" s="100"/>
      <c r="L564" s="61"/>
      <c r="M564" s="61"/>
    </row>
    <row r="565">
      <c r="A565" s="65"/>
      <c r="B565" s="65"/>
      <c r="C565" s="65"/>
      <c r="D565" s="65"/>
      <c r="E565" s="65"/>
      <c r="F565" s="65"/>
      <c r="G565" s="65"/>
      <c r="H565" s="65"/>
      <c r="I565" s="65"/>
      <c r="J565" s="108"/>
      <c r="K565" s="103"/>
      <c r="L565" s="65"/>
      <c r="M565" s="65"/>
    </row>
    <row r="566">
      <c r="A566" s="61"/>
      <c r="B566" s="61"/>
      <c r="C566" s="61"/>
      <c r="D566" s="61"/>
      <c r="E566" s="61"/>
      <c r="F566" s="61"/>
      <c r="G566" s="61"/>
      <c r="H566" s="61"/>
      <c r="I566" s="61"/>
      <c r="J566" s="107"/>
      <c r="K566" s="100"/>
      <c r="L566" s="61"/>
      <c r="M566" s="61"/>
    </row>
    <row r="567">
      <c r="A567" s="65"/>
      <c r="B567" s="65"/>
      <c r="C567" s="65"/>
      <c r="D567" s="65"/>
      <c r="E567" s="65"/>
      <c r="F567" s="65"/>
      <c r="G567" s="65"/>
      <c r="H567" s="65"/>
      <c r="I567" s="65"/>
      <c r="J567" s="108"/>
      <c r="K567" s="103"/>
      <c r="L567" s="65"/>
      <c r="M567" s="65"/>
    </row>
    <row r="568">
      <c r="A568" s="61"/>
      <c r="B568" s="61"/>
      <c r="C568" s="61"/>
      <c r="D568" s="61"/>
      <c r="E568" s="61"/>
      <c r="F568" s="61"/>
      <c r="G568" s="61"/>
      <c r="H568" s="61"/>
      <c r="I568" s="61"/>
      <c r="J568" s="107"/>
      <c r="K568" s="100"/>
      <c r="L568" s="61"/>
      <c r="M568" s="61"/>
    </row>
    <row r="569">
      <c r="A569" s="65"/>
      <c r="B569" s="65"/>
      <c r="C569" s="65"/>
      <c r="D569" s="65"/>
      <c r="E569" s="65"/>
      <c r="F569" s="65"/>
      <c r="G569" s="65"/>
      <c r="H569" s="65"/>
      <c r="I569" s="65"/>
      <c r="J569" s="108"/>
      <c r="K569" s="103"/>
      <c r="L569" s="65"/>
      <c r="M569" s="65"/>
    </row>
    <row r="570">
      <c r="A570" s="61"/>
      <c r="B570" s="61"/>
      <c r="C570" s="61"/>
      <c r="D570" s="61"/>
      <c r="E570" s="61"/>
      <c r="F570" s="61"/>
      <c r="G570" s="61"/>
      <c r="H570" s="61"/>
      <c r="I570" s="61"/>
      <c r="J570" s="107"/>
      <c r="K570" s="100"/>
      <c r="L570" s="61"/>
      <c r="M570" s="61"/>
    </row>
    <row r="571">
      <c r="A571" s="65"/>
      <c r="B571" s="65"/>
      <c r="C571" s="65"/>
      <c r="D571" s="65"/>
      <c r="E571" s="65"/>
      <c r="F571" s="65"/>
      <c r="G571" s="65"/>
      <c r="H571" s="65"/>
      <c r="I571" s="65"/>
      <c r="J571" s="108"/>
      <c r="K571" s="103"/>
      <c r="L571" s="65"/>
      <c r="M571" s="65"/>
    </row>
    <row r="572">
      <c r="A572" s="61"/>
      <c r="B572" s="61"/>
      <c r="C572" s="61"/>
      <c r="D572" s="61"/>
      <c r="E572" s="61"/>
      <c r="F572" s="61"/>
      <c r="G572" s="61"/>
      <c r="H572" s="61"/>
      <c r="I572" s="61"/>
      <c r="J572" s="107"/>
      <c r="K572" s="100"/>
      <c r="L572" s="61"/>
      <c r="M572" s="61"/>
    </row>
    <row r="573">
      <c r="A573" s="65"/>
      <c r="B573" s="65"/>
      <c r="C573" s="65"/>
      <c r="D573" s="65"/>
      <c r="E573" s="65"/>
      <c r="F573" s="65"/>
      <c r="G573" s="65"/>
      <c r="H573" s="65"/>
      <c r="I573" s="65"/>
      <c r="J573" s="108"/>
      <c r="K573" s="103"/>
      <c r="L573" s="65"/>
      <c r="M573" s="65"/>
    </row>
    <row r="574">
      <c r="A574" s="61"/>
      <c r="B574" s="61"/>
      <c r="C574" s="61"/>
      <c r="D574" s="61"/>
      <c r="E574" s="61"/>
      <c r="F574" s="61"/>
      <c r="G574" s="61"/>
      <c r="H574" s="61"/>
      <c r="I574" s="61"/>
      <c r="J574" s="107"/>
      <c r="K574" s="100"/>
      <c r="L574" s="61"/>
      <c r="M574" s="61"/>
    </row>
    <row r="575">
      <c r="A575" s="65"/>
      <c r="B575" s="65"/>
      <c r="C575" s="65"/>
      <c r="D575" s="65"/>
      <c r="E575" s="65"/>
      <c r="F575" s="65"/>
      <c r="G575" s="65"/>
      <c r="H575" s="65"/>
      <c r="I575" s="65"/>
      <c r="J575" s="108"/>
      <c r="K575" s="103"/>
      <c r="L575" s="65"/>
      <c r="M575" s="65"/>
    </row>
    <row r="576">
      <c r="A576" s="61"/>
      <c r="B576" s="61"/>
      <c r="C576" s="61"/>
      <c r="D576" s="61"/>
      <c r="E576" s="61"/>
      <c r="F576" s="61"/>
      <c r="G576" s="61"/>
      <c r="H576" s="61"/>
      <c r="I576" s="61"/>
      <c r="J576" s="107"/>
      <c r="K576" s="100"/>
      <c r="L576" s="61"/>
      <c r="M576" s="61"/>
    </row>
    <row r="577">
      <c r="A577" s="65"/>
      <c r="B577" s="65"/>
      <c r="C577" s="65"/>
      <c r="D577" s="65"/>
      <c r="E577" s="65"/>
      <c r="F577" s="65"/>
      <c r="G577" s="65"/>
      <c r="H577" s="65"/>
      <c r="I577" s="65"/>
      <c r="J577" s="108"/>
      <c r="K577" s="103"/>
      <c r="L577" s="65"/>
      <c r="M577" s="65"/>
    </row>
    <row r="578">
      <c r="A578" s="61"/>
      <c r="B578" s="61"/>
      <c r="C578" s="61"/>
      <c r="D578" s="61"/>
      <c r="E578" s="61"/>
      <c r="F578" s="61"/>
      <c r="G578" s="61"/>
      <c r="H578" s="61"/>
      <c r="I578" s="61"/>
      <c r="J578" s="107"/>
      <c r="K578" s="100"/>
      <c r="L578" s="61"/>
      <c r="M578" s="61"/>
    </row>
    <row r="579">
      <c r="A579" s="65"/>
      <c r="B579" s="65"/>
      <c r="C579" s="65"/>
      <c r="D579" s="65"/>
      <c r="E579" s="65"/>
      <c r="F579" s="65"/>
      <c r="G579" s="65"/>
      <c r="H579" s="65"/>
      <c r="I579" s="65"/>
      <c r="J579" s="108"/>
      <c r="K579" s="103"/>
      <c r="L579" s="65"/>
      <c r="M579" s="65"/>
    </row>
    <row r="580">
      <c r="A580" s="61"/>
      <c r="B580" s="61"/>
      <c r="C580" s="61"/>
      <c r="D580" s="61"/>
      <c r="E580" s="61"/>
      <c r="F580" s="61"/>
      <c r="G580" s="61"/>
      <c r="H580" s="61"/>
      <c r="I580" s="61"/>
      <c r="J580" s="107"/>
      <c r="K580" s="100"/>
      <c r="L580" s="61"/>
      <c r="M580" s="61"/>
    </row>
    <row r="581">
      <c r="A581" s="65"/>
      <c r="B581" s="65"/>
      <c r="C581" s="65"/>
      <c r="D581" s="65"/>
      <c r="E581" s="65"/>
      <c r="F581" s="65"/>
      <c r="G581" s="65"/>
      <c r="H581" s="65"/>
      <c r="I581" s="65"/>
      <c r="J581" s="108"/>
      <c r="K581" s="103"/>
      <c r="L581" s="65"/>
      <c r="M581" s="65"/>
    </row>
    <row r="582">
      <c r="A582" s="61"/>
      <c r="B582" s="61"/>
      <c r="C582" s="61"/>
      <c r="D582" s="61"/>
      <c r="E582" s="61"/>
      <c r="F582" s="61"/>
      <c r="G582" s="61"/>
      <c r="H582" s="61"/>
      <c r="I582" s="61"/>
      <c r="J582" s="107"/>
      <c r="K582" s="100"/>
      <c r="L582" s="61"/>
      <c r="M582" s="61"/>
    </row>
    <row r="583">
      <c r="A583" s="65"/>
      <c r="B583" s="65"/>
      <c r="C583" s="65"/>
      <c r="D583" s="65"/>
      <c r="E583" s="65"/>
      <c r="F583" s="65"/>
      <c r="G583" s="65"/>
      <c r="H583" s="65"/>
      <c r="I583" s="65"/>
      <c r="J583" s="108"/>
      <c r="K583" s="103"/>
      <c r="L583" s="65"/>
      <c r="M583" s="65"/>
    </row>
    <row r="584">
      <c r="A584" s="61"/>
      <c r="B584" s="61"/>
      <c r="C584" s="61"/>
      <c r="D584" s="61"/>
      <c r="E584" s="61"/>
      <c r="F584" s="61"/>
      <c r="G584" s="61"/>
      <c r="H584" s="61"/>
      <c r="I584" s="61"/>
      <c r="J584" s="107"/>
      <c r="K584" s="100"/>
      <c r="L584" s="61"/>
      <c r="M584" s="61"/>
    </row>
    <row r="585">
      <c r="A585" s="65"/>
      <c r="B585" s="65"/>
      <c r="C585" s="65"/>
      <c r="D585" s="65"/>
      <c r="E585" s="65"/>
      <c r="F585" s="65"/>
      <c r="G585" s="65"/>
      <c r="H585" s="65"/>
      <c r="I585" s="65"/>
      <c r="J585" s="108"/>
      <c r="K585" s="103"/>
      <c r="L585" s="65"/>
      <c r="M585" s="65"/>
    </row>
    <row r="586">
      <c r="A586" s="61"/>
      <c r="B586" s="61"/>
      <c r="C586" s="61"/>
      <c r="D586" s="61"/>
      <c r="E586" s="61"/>
      <c r="F586" s="61"/>
      <c r="G586" s="61"/>
      <c r="H586" s="61"/>
      <c r="I586" s="61"/>
      <c r="J586" s="107"/>
      <c r="K586" s="100"/>
      <c r="L586" s="61"/>
      <c r="M586" s="61"/>
    </row>
    <row r="587">
      <c r="A587" s="65"/>
      <c r="B587" s="65"/>
      <c r="C587" s="65"/>
      <c r="D587" s="65"/>
      <c r="E587" s="65"/>
      <c r="F587" s="65"/>
      <c r="G587" s="65"/>
      <c r="H587" s="65"/>
      <c r="I587" s="65"/>
      <c r="J587" s="108"/>
      <c r="K587" s="103"/>
      <c r="L587" s="65"/>
      <c r="M587" s="65"/>
    </row>
    <row r="588">
      <c r="A588" s="61"/>
      <c r="B588" s="61"/>
      <c r="C588" s="61"/>
      <c r="D588" s="61"/>
      <c r="E588" s="61"/>
      <c r="F588" s="61"/>
      <c r="G588" s="61"/>
      <c r="H588" s="61"/>
      <c r="I588" s="61"/>
      <c r="J588" s="107"/>
      <c r="K588" s="100"/>
      <c r="L588" s="61"/>
      <c r="M588" s="61"/>
    </row>
    <row r="589">
      <c r="A589" s="65"/>
      <c r="B589" s="65"/>
      <c r="C589" s="65"/>
      <c r="D589" s="65"/>
      <c r="E589" s="65"/>
      <c r="F589" s="65"/>
      <c r="G589" s="65"/>
      <c r="H589" s="65"/>
      <c r="I589" s="65"/>
      <c r="J589" s="108"/>
      <c r="K589" s="103"/>
      <c r="L589" s="65"/>
      <c r="M589" s="65"/>
    </row>
    <row r="590">
      <c r="A590" s="61"/>
      <c r="B590" s="61"/>
      <c r="C590" s="61"/>
      <c r="D590" s="61"/>
      <c r="E590" s="61"/>
      <c r="F590" s="61"/>
      <c r="G590" s="61"/>
      <c r="H590" s="61"/>
      <c r="I590" s="61"/>
      <c r="J590" s="107"/>
      <c r="K590" s="100"/>
      <c r="L590" s="61"/>
      <c r="M590" s="61"/>
    </row>
    <row r="591">
      <c r="A591" s="65"/>
      <c r="B591" s="65"/>
      <c r="C591" s="65"/>
      <c r="D591" s="65"/>
      <c r="E591" s="65"/>
      <c r="F591" s="65"/>
      <c r="G591" s="65"/>
      <c r="H591" s="65"/>
      <c r="I591" s="65"/>
      <c r="J591" s="108"/>
      <c r="K591" s="103"/>
      <c r="L591" s="65"/>
      <c r="M591" s="65"/>
    </row>
    <row r="592">
      <c r="A592" s="61"/>
      <c r="B592" s="61"/>
      <c r="C592" s="61"/>
      <c r="D592" s="61"/>
      <c r="E592" s="61"/>
      <c r="F592" s="61"/>
      <c r="G592" s="61"/>
      <c r="H592" s="61"/>
      <c r="I592" s="61"/>
      <c r="J592" s="107"/>
      <c r="K592" s="100"/>
      <c r="L592" s="61"/>
      <c r="M592" s="61"/>
    </row>
    <row r="593">
      <c r="A593" s="65"/>
      <c r="B593" s="65"/>
      <c r="C593" s="65"/>
      <c r="D593" s="65"/>
      <c r="E593" s="65"/>
      <c r="F593" s="65"/>
      <c r="G593" s="65"/>
      <c r="H593" s="65"/>
      <c r="I593" s="65"/>
      <c r="J593" s="108"/>
      <c r="K593" s="103"/>
      <c r="L593" s="65"/>
      <c r="M593" s="65"/>
    </row>
    <row r="594">
      <c r="A594" s="61"/>
      <c r="B594" s="61"/>
      <c r="C594" s="61"/>
      <c r="D594" s="61"/>
      <c r="E594" s="61"/>
      <c r="F594" s="61"/>
      <c r="G594" s="61"/>
      <c r="H594" s="61"/>
      <c r="I594" s="61"/>
      <c r="J594" s="107"/>
      <c r="K594" s="100"/>
      <c r="L594" s="61"/>
      <c r="M594" s="61"/>
    </row>
    <row r="595">
      <c r="A595" s="65"/>
      <c r="B595" s="65"/>
      <c r="C595" s="65"/>
      <c r="D595" s="65"/>
      <c r="E595" s="65"/>
      <c r="F595" s="65"/>
      <c r="G595" s="65"/>
      <c r="H595" s="65"/>
      <c r="I595" s="65"/>
      <c r="J595" s="108"/>
      <c r="K595" s="103"/>
      <c r="L595" s="65"/>
      <c r="M595" s="65"/>
    </row>
    <row r="596">
      <c r="A596" s="61"/>
      <c r="B596" s="61"/>
      <c r="C596" s="61"/>
      <c r="D596" s="61"/>
      <c r="E596" s="61"/>
      <c r="F596" s="61"/>
      <c r="G596" s="61"/>
      <c r="H596" s="61"/>
      <c r="I596" s="61"/>
      <c r="J596" s="107"/>
      <c r="K596" s="100"/>
      <c r="L596" s="61"/>
      <c r="M596" s="61"/>
    </row>
    <row r="597">
      <c r="A597" s="65"/>
      <c r="B597" s="65"/>
      <c r="C597" s="65"/>
      <c r="D597" s="65"/>
      <c r="E597" s="65"/>
      <c r="F597" s="65"/>
      <c r="G597" s="65"/>
      <c r="H597" s="65"/>
      <c r="I597" s="65"/>
      <c r="J597" s="108"/>
      <c r="K597" s="103"/>
      <c r="L597" s="65"/>
      <c r="M597" s="65"/>
    </row>
    <row r="598">
      <c r="A598" s="61"/>
      <c r="B598" s="61"/>
      <c r="C598" s="61"/>
      <c r="D598" s="61"/>
      <c r="E598" s="61"/>
      <c r="F598" s="61"/>
      <c r="G598" s="61"/>
      <c r="H598" s="61"/>
      <c r="I598" s="61"/>
      <c r="J598" s="107"/>
      <c r="K598" s="100"/>
      <c r="L598" s="61"/>
      <c r="M598" s="61"/>
    </row>
    <row r="599">
      <c r="A599" s="65"/>
      <c r="B599" s="65"/>
      <c r="C599" s="65"/>
      <c r="D599" s="65"/>
      <c r="E599" s="65"/>
      <c r="F599" s="65"/>
      <c r="G599" s="65"/>
      <c r="H599" s="65"/>
      <c r="I599" s="65"/>
      <c r="J599" s="108"/>
      <c r="K599" s="103"/>
      <c r="L599" s="65"/>
      <c r="M599" s="65"/>
    </row>
    <row r="600">
      <c r="A600" s="61"/>
      <c r="B600" s="61"/>
      <c r="C600" s="61"/>
      <c r="D600" s="61"/>
      <c r="E600" s="61"/>
      <c r="F600" s="61"/>
      <c r="G600" s="61"/>
      <c r="H600" s="61"/>
      <c r="I600" s="61"/>
      <c r="J600" s="107"/>
      <c r="K600" s="100"/>
      <c r="L600" s="61"/>
      <c r="M600" s="61"/>
    </row>
    <row r="601">
      <c r="A601" s="65"/>
      <c r="B601" s="65"/>
      <c r="C601" s="65"/>
      <c r="D601" s="65"/>
      <c r="E601" s="65"/>
      <c r="F601" s="65"/>
      <c r="G601" s="65"/>
      <c r="H601" s="65"/>
      <c r="I601" s="65"/>
      <c r="J601" s="108"/>
      <c r="K601" s="103"/>
      <c r="L601" s="65"/>
      <c r="M601" s="65"/>
    </row>
    <row r="602">
      <c r="A602" s="61"/>
      <c r="B602" s="61"/>
      <c r="C602" s="61"/>
      <c r="D602" s="61"/>
      <c r="E602" s="61"/>
      <c r="F602" s="61"/>
      <c r="G602" s="61"/>
      <c r="H602" s="61"/>
      <c r="I602" s="61"/>
      <c r="J602" s="107"/>
      <c r="K602" s="100"/>
      <c r="L602" s="61"/>
      <c r="M602" s="61"/>
    </row>
    <row r="603">
      <c r="A603" s="65"/>
      <c r="B603" s="65"/>
      <c r="C603" s="65"/>
      <c r="D603" s="65"/>
      <c r="E603" s="65"/>
      <c r="F603" s="65"/>
      <c r="G603" s="65"/>
      <c r="H603" s="65"/>
      <c r="I603" s="65"/>
      <c r="J603" s="108"/>
      <c r="K603" s="103"/>
      <c r="L603" s="65"/>
      <c r="M603" s="65"/>
    </row>
    <row r="604">
      <c r="A604" s="61"/>
      <c r="B604" s="61"/>
      <c r="C604" s="61"/>
      <c r="D604" s="61"/>
      <c r="E604" s="61"/>
      <c r="F604" s="61"/>
      <c r="G604" s="61"/>
      <c r="H604" s="61"/>
      <c r="I604" s="61"/>
      <c r="J604" s="107"/>
      <c r="K604" s="100"/>
      <c r="L604" s="61"/>
      <c r="M604" s="61"/>
    </row>
    <row r="605">
      <c r="A605" s="65"/>
      <c r="B605" s="65"/>
      <c r="C605" s="65"/>
      <c r="D605" s="65"/>
      <c r="E605" s="65"/>
      <c r="F605" s="65"/>
      <c r="G605" s="65"/>
      <c r="H605" s="65"/>
      <c r="I605" s="65"/>
      <c r="J605" s="108"/>
      <c r="K605" s="103"/>
      <c r="L605" s="65"/>
      <c r="M605" s="65"/>
    </row>
    <row r="606">
      <c r="A606" s="61"/>
      <c r="B606" s="61"/>
      <c r="C606" s="61"/>
      <c r="D606" s="61"/>
      <c r="E606" s="61"/>
      <c r="F606" s="61"/>
      <c r="G606" s="61"/>
      <c r="H606" s="61"/>
      <c r="I606" s="61"/>
      <c r="J606" s="107"/>
      <c r="K606" s="100"/>
      <c r="L606" s="61"/>
      <c r="M606" s="61"/>
    </row>
    <row r="607">
      <c r="A607" s="65"/>
      <c r="B607" s="65"/>
      <c r="C607" s="65"/>
      <c r="D607" s="65"/>
      <c r="E607" s="65"/>
      <c r="F607" s="65"/>
      <c r="G607" s="65"/>
      <c r="H607" s="65"/>
      <c r="I607" s="65"/>
      <c r="J607" s="108"/>
      <c r="K607" s="103"/>
      <c r="L607" s="65"/>
      <c r="M607" s="65"/>
    </row>
    <row r="608">
      <c r="A608" s="61"/>
      <c r="B608" s="61"/>
      <c r="C608" s="61"/>
      <c r="D608" s="61"/>
      <c r="E608" s="61"/>
      <c r="F608" s="61"/>
      <c r="G608" s="61"/>
      <c r="H608" s="61"/>
      <c r="I608" s="61"/>
      <c r="J608" s="107"/>
      <c r="K608" s="100"/>
      <c r="L608" s="61"/>
      <c r="M608" s="61"/>
    </row>
    <row r="609">
      <c r="A609" s="65"/>
      <c r="B609" s="65"/>
      <c r="C609" s="65"/>
      <c r="D609" s="65"/>
      <c r="E609" s="65"/>
      <c r="F609" s="65"/>
      <c r="G609" s="65"/>
      <c r="H609" s="65"/>
      <c r="I609" s="65"/>
      <c r="J609" s="108"/>
      <c r="K609" s="103"/>
      <c r="L609" s="65"/>
      <c r="M609" s="65"/>
    </row>
    <row r="610">
      <c r="A610" s="61"/>
      <c r="B610" s="61"/>
      <c r="C610" s="61"/>
      <c r="D610" s="61"/>
      <c r="E610" s="61"/>
      <c r="F610" s="61"/>
      <c r="G610" s="61"/>
      <c r="H610" s="61"/>
      <c r="I610" s="61"/>
      <c r="J610" s="107"/>
      <c r="K610" s="100"/>
      <c r="L610" s="61"/>
      <c r="M610" s="61"/>
    </row>
    <row r="611">
      <c r="A611" s="65"/>
      <c r="B611" s="65"/>
      <c r="C611" s="65"/>
      <c r="D611" s="65"/>
      <c r="E611" s="65"/>
      <c r="F611" s="65"/>
      <c r="G611" s="65"/>
      <c r="H611" s="65"/>
      <c r="I611" s="65"/>
      <c r="J611" s="108"/>
      <c r="K611" s="103"/>
      <c r="L611" s="65"/>
      <c r="M611" s="65"/>
    </row>
    <row r="612">
      <c r="A612" s="61"/>
      <c r="B612" s="61"/>
      <c r="C612" s="61"/>
      <c r="D612" s="61"/>
      <c r="E612" s="61"/>
      <c r="F612" s="61"/>
      <c r="G612" s="61"/>
      <c r="H612" s="61"/>
      <c r="I612" s="61"/>
      <c r="J612" s="107"/>
      <c r="K612" s="100"/>
      <c r="L612" s="61"/>
      <c r="M612" s="61"/>
    </row>
    <row r="613">
      <c r="A613" s="65"/>
      <c r="B613" s="65"/>
      <c r="C613" s="65"/>
      <c r="D613" s="65"/>
      <c r="E613" s="65"/>
      <c r="F613" s="65"/>
      <c r="G613" s="65"/>
      <c r="H613" s="65"/>
      <c r="I613" s="65"/>
      <c r="J613" s="108"/>
      <c r="K613" s="103"/>
      <c r="L613" s="65"/>
      <c r="M613" s="65"/>
    </row>
    <row r="614">
      <c r="A614" s="61"/>
      <c r="B614" s="61"/>
      <c r="C614" s="61"/>
      <c r="D614" s="61"/>
      <c r="E614" s="61"/>
      <c r="F614" s="61"/>
      <c r="G614" s="61"/>
      <c r="H614" s="61"/>
      <c r="I614" s="61"/>
      <c r="J614" s="107"/>
      <c r="K614" s="100"/>
      <c r="L614" s="61"/>
      <c r="M614" s="61"/>
    </row>
    <row r="615">
      <c r="A615" s="65"/>
      <c r="B615" s="65"/>
      <c r="C615" s="65"/>
      <c r="D615" s="65"/>
      <c r="E615" s="65"/>
      <c r="F615" s="65"/>
      <c r="G615" s="65"/>
      <c r="H615" s="65"/>
      <c r="I615" s="65"/>
      <c r="J615" s="108"/>
      <c r="K615" s="103"/>
      <c r="L615" s="65"/>
      <c r="M615" s="65"/>
    </row>
    <row r="616">
      <c r="A616" s="61"/>
      <c r="B616" s="61"/>
      <c r="C616" s="61"/>
      <c r="D616" s="61"/>
      <c r="E616" s="61"/>
      <c r="F616" s="61"/>
      <c r="G616" s="61"/>
      <c r="H616" s="61"/>
      <c r="I616" s="61"/>
      <c r="J616" s="107"/>
      <c r="K616" s="100"/>
      <c r="L616" s="61"/>
      <c r="M616" s="61"/>
    </row>
    <row r="617">
      <c r="A617" s="65"/>
      <c r="B617" s="65"/>
      <c r="C617" s="65"/>
      <c r="D617" s="65"/>
      <c r="E617" s="65"/>
      <c r="F617" s="65"/>
      <c r="G617" s="65"/>
      <c r="H617" s="65"/>
      <c r="I617" s="65"/>
      <c r="J617" s="108"/>
      <c r="K617" s="103"/>
      <c r="L617" s="65"/>
      <c r="M617" s="65"/>
    </row>
    <row r="618">
      <c r="A618" s="61"/>
      <c r="B618" s="61"/>
      <c r="C618" s="61"/>
      <c r="D618" s="61"/>
      <c r="E618" s="61"/>
      <c r="F618" s="61"/>
      <c r="G618" s="61"/>
      <c r="H618" s="61"/>
      <c r="I618" s="61"/>
      <c r="J618" s="107"/>
      <c r="K618" s="100"/>
      <c r="L618" s="61"/>
      <c r="M618" s="61"/>
    </row>
    <row r="619">
      <c r="A619" s="65"/>
      <c r="B619" s="65"/>
      <c r="C619" s="65"/>
      <c r="D619" s="65"/>
      <c r="E619" s="65"/>
      <c r="F619" s="65"/>
      <c r="G619" s="65"/>
      <c r="H619" s="65"/>
      <c r="I619" s="65"/>
      <c r="J619" s="108"/>
      <c r="K619" s="103"/>
      <c r="L619" s="65"/>
      <c r="M619" s="65"/>
    </row>
    <row r="620">
      <c r="A620" s="61"/>
      <c r="B620" s="61"/>
      <c r="C620" s="61"/>
      <c r="D620" s="61"/>
      <c r="E620" s="61"/>
      <c r="F620" s="61"/>
      <c r="G620" s="61"/>
      <c r="H620" s="61"/>
      <c r="I620" s="61"/>
      <c r="J620" s="107"/>
      <c r="K620" s="100"/>
      <c r="L620" s="61"/>
      <c r="M620" s="61"/>
    </row>
    <row r="621">
      <c r="A621" s="65"/>
      <c r="B621" s="65"/>
      <c r="C621" s="65"/>
      <c r="D621" s="65"/>
      <c r="E621" s="65"/>
      <c r="F621" s="65"/>
      <c r="G621" s="65"/>
      <c r="H621" s="65"/>
      <c r="I621" s="65"/>
      <c r="J621" s="108"/>
      <c r="K621" s="103"/>
      <c r="L621" s="65"/>
      <c r="M621" s="65"/>
    </row>
    <row r="622">
      <c r="A622" s="61"/>
      <c r="B622" s="61"/>
      <c r="C622" s="61"/>
      <c r="D622" s="61"/>
      <c r="E622" s="61"/>
      <c r="F622" s="61"/>
      <c r="G622" s="61"/>
      <c r="H622" s="61"/>
      <c r="I622" s="61"/>
      <c r="J622" s="107"/>
      <c r="K622" s="100"/>
      <c r="L622" s="61"/>
      <c r="M622" s="61"/>
    </row>
    <row r="623">
      <c r="A623" s="65"/>
      <c r="B623" s="65"/>
      <c r="C623" s="65"/>
      <c r="D623" s="65"/>
      <c r="E623" s="65"/>
      <c r="F623" s="65"/>
      <c r="G623" s="65"/>
      <c r="H623" s="65"/>
      <c r="I623" s="65"/>
      <c r="J623" s="108"/>
      <c r="K623" s="103"/>
      <c r="L623" s="65"/>
      <c r="M623" s="65"/>
    </row>
    <row r="624">
      <c r="A624" s="61"/>
      <c r="B624" s="61"/>
      <c r="C624" s="61"/>
      <c r="D624" s="61"/>
      <c r="E624" s="61"/>
      <c r="F624" s="61"/>
      <c r="G624" s="61"/>
      <c r="H624" s="61"/>
      <c r="I624" s="61"/>
      <c r="J624" s="107"/>
      <c r="K624" s="100"/>
      <c r="L624" s="61"/>
      <c r="M624" s="61"/>
    </row>
    <row r="625">
      <c r="A625" s="65"/>
      <c r="B625" s="65"/>
      <c r="C625" s="65"/>
      <c r="D625" s="65"/>
      <c r="E625" s="65"/>
      <c r="F625" s="65"/>
      <c r="G625" s="65"/>
      <c r="H625" s="65"/>
      <c r="I625" s="65"/>
      <c r="J625" s="108"/>
      <c r="K625" s="103"/>
      <c r="L625" s="65"/>
      <c r="M625" s="65"/>
    </row>
    <row r="626">
      <c r="A626" s="61"/>
      <c r="B626" s="61"/>
      <c r="C626" s="61"/>
      <c r="D626" s="61"/>
      <c r="E626" s="61"/>
      <c r="F626" s="61"/>
      <c r="G626" s="61"/>
      <c r="H626" s="61"/>
      <c r="I626" s="61"/>
      <c r="J626" s="107"/>
      <c r="K626" s="100"/>
      <c r="L626" s="61"/>
      <c r="M626" s="61"/>
    </row>
    <row r="627">
      <c r="A627" s="65"/>
      <c r="B627" s="65"/>
      <c r="C627" s="65"/>
      <c r="D627" s="65"/>
      <c r="E627" s="65"/>
      <c r="F627" s="65"/>
      <c r="G627" s="65"/>
      <c r="H627" s="65"/>
      <c r="I627" s="65"/>
      <c r="J627" s="108"/>
      <c r="K627" s="103"/>
      <c r="L627" s="65"/>
      <c r="M627" s="65"/>
    </row>
    <row r="628">
      <c r="A628" s="61"/>
      <c r="B628" s="61"/>
      <c r="C628" s="61"/>
      <c r="D628" s="61"/>
      <c r="E628" s="61"/>
      <c r="F628" s="61"/>
      <c r="G628" s="61"/>
      <c r="H628" s="61"/>
      <c r="I628" s="61"/>
      <c r="J628" s="107"/>
      <c r="K628" s="100"/>
      <c r="L628" s="61"/>
      <c r="M628" s="61"/>
    </row>
    <row r="629">
      <c r="A629" s="65"/>
      <c r="B629" s="65"/>
      <c r="C629" s="65"/>
      <c r="D629" s="65"/>
      <c r="E629" s="65"/>
      <c r="F629" s="65"/>
      <c r="G629" s="65"/>
      <c r="H629" s="65"/>
      <c r="I629" s="65"/>
      <c r="J629" s="108"/>
      <c r="K629" s="103"/>
      <c r="L629" s="65"/>
      <c r="M629" s="65"/>
    </row>
    <row r="630">
      <c r="A630" s="61"/>
      <c r="B630" s="61"/>
      <c r="C630" s="61"/>
      <c r="D630" s="61"/>
      <c r="E630" s="61"/>
      <c r="F630" s="61"/>
      <c r="G630" s="61"/>
      <c r="H630" s="61"/>
      <c r="I630" s="61"/>
      <c r="J630" s="107"/>
      <c r="K630" s="100"/>
      <c r="L630" s="61"/>
      <c r="M630" s="61"/>
    </row>
    <row r="631">
      <c r="A631" s="65"/>
      <c r="B631" s="65"/>
      <c r="C631" s="65"/>
      <c r="D631" s="65"/>
      <c r="E631" s="65"/>
      <c r="F631" s="65"/>
      <c r="G631" s="65"/>
      <c r="H631" s="65"/>
      <c r="I631" s="65"/>
      <c r="J631" s="108"/>
      <c r="K631" s="103"/>
      <c r="L631" s="65"/>
      <c r="M631" s="65"/>
    </row>
    <row r="632">
      <c r="A632" s="61"/>
      <c r="B632" s="61"/>
      <c r="C632" s="61"/>
      <c r="D632" s="61"/>
      <c r="E632" s="61"/>
      <c r="F632" s="61"/>
      <c r="G632" s="61"/>
      <c r="H632" s="61"/>
      <c r="I632" s="61"/>
      <c r="J632" s="107"/>
      <c r="K632" s="100"/>
      <c r="L632" s="61"/>
      <c r="M632" s="61"/>
    </row>
    <row r="633">
      <c r="A633" s="65"/>
      <c r="B633" s="65"/>
      <c r="C633" s="65"/>
      <c r="D633" s="65"/>
      <c r="E633" s="65"/>
      <c r="F633" s="65"/>
      <c r="G633" s="65"/>
      <c r="H633" s="65"/>
      <c r="I633" s="65"/>
      <c r="J633" s="108"/>
      <c r="K633" s="103"/>
      <c r="L633" s="65"/>
      <c r="M633" s="65"/>
    </row>
    <row r="634">
      <c r="A634" s="61"/>
      <c r="B634" s="61"/>
      <c r="C634" s="61"/>
      <c r="D634" s="61"/>
      <c r="E634" s="61"/>
      <c r="F634" s="61"/>
      <c r="G634" s="61"/>
      <c r="H634" s="61"/>
      <c r="I634" s="61"/>
      <c r="J634" s="107"/>
      <c r="K634" s="100"/>
      <c r="L634" s="61"/>
      <c r="M634" s="61"/>
    </row>
    <row r="635">
      <c r="A635" s="65"/>
      <c r="B635" s="65"/>
      <c r="C635" s="65"/>
      <c r="D635" s="65"/>
      <c r="E635" s="65"/>
      <c r="F635" s="65"/>
      <c r="G635" s="65"/>
      <c r="H635" s="65"/>
      <c r="I635" s="65"/>
      <c r="J635" s="108"/>
      <c r="K635" s="103"/>
      <c r="L635" s="65"/>
      <c r="M635" s="65"/>
    </row>
    <row r="636">
      <c r="A636" s="61"/>
      <c r="B636" s="61"/>
      <c r="C636" s="61"/>
      <c r="D636" s="61"/>
      <c r="E636" s="61"/>
      <c r="F636" s="61"/>
      <c r="G636" s="61"/>
      <c r="H636" s="61"/>
      <c r="I636" s="61"/>
      <c r="J636" s="107"/>
      <c r="K636" s="100"/>
      <c r="L636" s="61"/>
      <c r="M636" s="61"/>
    </row>
    <row r="637">
      <c r="A637" s="65"/>
      <c r="B637" s="65"/>
      <c r="C637" s="65"/>
      <c r="D637" s="65"/>
      <c r="E637" s="65"/>
      <c r="F637" s="65"/>
      <c r="G637" s="65"/>
      <c r="H637" s="65"/>
      <c r="I637" s="65"/>
      <c r="J637" s="108"/>
      <c r="K637" s="103"/>
      <c r="L637" s="65"/>
      <c r="M637" s="65"/>
    </row>
    <row r="638">
      <c r="A638" s="61"/>
      <c r="B638" s="61"/>
      <c r="C638" s="61"/>
      <c r="D638" s="61"/>
      <c r="E638" s="61"/>
      <c r="F638" s="61"/>
      <c r="G638" s="61"/>
      <c r="H638" s="61"/>
      <c r="I638" s="61"/>
      <c r="J638" s="107"/>
      <c r="K638" s="100"/>
      <c r="L638" s="61"/>
      <c r="M638" s="61"/>
    </row>
    <row r="639">
      <c r="A639" s="65"/>
      <c r="B639" s="65"/>
      <c r="C639" s="65"/>
      <c r="D639" s="65"/>
      <c r="E639" s="65"/>
      <c r="F639" s="65"/>
      <c r="G639" s="65"/>
      <c r="H639" s="65"/>
      <c r="I639" s="65"/>
      <c r="J639" s="108"/>
      <c r="K639" s="103"/>
      <c r="L639" s="65"/>
      <c r="M639" s="65"/>
    </row>
    <row r="640">
      <c r="A640" s="61"/>
      <c r="B640" s="61"/>
      <c r="C640" s="61"/>
      <c r="D640" s="61"/>
      <c r="E640" s="61"/>
      <c r="F640" s="61"/>
      <c r="G640" s="61"/>
      <c r="H640" s="61"/>
      <c r="I640" s="61"/>
      <c r="J640" s="107"/>
      <c r="K640" s="100"/>
      <c r="L640" s="61"/>
      <c r="M640" s="61"/>
    </row>
    <row r="641">
      <c r="A641" s="65"/>
      <c r="B641" s="65"/>
      <c r="C641" s="65"/>
      <c r="D641" s="65"/>
      <c r="E641" s="65"/>
      <c r="F641" s="65"/>
      <c r="G641" s="65"/>
      <c r="H641" s="65"/>
      <c r="I641" s="65"/>
      <c r="J641" s="108"/>
      <c r="K641" s="103"/>
      <c r="L641" s="65"/>
      <c r="M641" s="65"/>
    </row>
    <row r="642">
      <c r="A642" s="61"/>
      <c r="B642" s="61"/>
      <c r="C642" s="61"/>
      <c r="D642" s="61"/>
      <c r="E642" s="61"/>
      <c r="F642" s="61"/>
      <c r="G642" s="61"/>
      <c r="H642" s="61"/>
      <c r="I642" s="61"/>
      <c r="J642" s="107"/>
      <c r="K642" s="100"/>
      <c r="L642" s="61"/>
      <c r="M642" s="61"/>
    </row>
    <row r="643">
      <c r="A643" s="65"/>
      <c r="B643" s="65"/>
      <c r="C643" s="65"/>
      <c r="D643" s="65"/>
      <c r="E643" s="65"/>
      <c r="F643" s="65"/>
      <c r="G643" s="65"/>
      <c r="H643" s="65"/>
      <c r="I643" s="65"/>
      <c r="J643" s="108"/>
      <c r="K643" s="103"/>
      <c r="L643" s="65"/>
      <c r="M643" s="65"/>
    </row>
    <row r="644">
      <c r="A644" s="61"/>
      <c r="B644" s="61"/>
      <c r="C644" s="61"/>
      <c r="D644" s="61"/>
      <c r="E644" s="61"/>
      <c r="F644" s="61"/>
      <c r="G644" s="61"/>
      <c r="H644" s="61"/>
      <c r="I644" s="61"/>
      <c r="J644" s="107"/>
      <c r="K644" s="100"/>
      <c r="L644" s="61"/>
      <c r="M644" s="61"/>
    </row>
    <row r="645">
      <c r="A645" s="65"/>
      <c r="B645" s="65"/>
      <c r="C645" s="65"/>
      <c r="D645" s="65"/>
      <c r="E645" s="65"/>
      <c r="F645" s="65"/>
      <c r="G645" s="65"/>
      <c r="H645" s="65"/>
      <c r="I645" s="65"/>
      <c r="J645" s="108"/>
      <c r="K645" s="103"/>
      <c r="L645" s="65"/>
      <c r="M645" s="65"/>
    </row>
    <row r="646">
      <c r="A646" s="61"/>
      <c r="B646" s="61"/>
      <c r="C646" s="61"/>
      <c r="D646" s="61"/>
      <c r="E646" s="61"/>
      <c r="F646" s="61"/>
      <c r="G646" s="61"/>
      <c r="H646" s="61"/>
      <c r="I646" s="61"/>
      <c r="J646" s="107"/>
      <c r="K646" s="100"/>
      <c r="L646" s="61"/>
      <c r="M646" s="61"/>
    </row>
    <row r="647">
      <c r="A647" s="65"/>
      <c r="B647" s="65"/>
      <c r="C647" s="65"/>
      <c r="D647" s="65"/>
      <c r="E647" s="65"/>
      <c r="F647" s="65"/>
      <c r="G647" s="65"/>
      <c r="H647" s="65"/>
      <c r="I647" s="65"/>
      <c r="J647" s="108"/>
      <c r="K647" s="103"/>
      <c r="L647" s="65"/>
      <c r="M647" s="65"/>
    </row>
    <row r="648">
      <c r="A648" s="61"/>
      <c r="B648" s="61"/>
      <c r="C648" s="61"/>
      <c r="D648" s="61"/>
      <c r="E648" s="61"/>
      <c r="F648" s="61"/>
      <c r="G648" s="61"/>
      <c r="H648" s="61"/>
      <c r="I648" s="61"/>
      <c r="J648" s="107"/>
      <c r="K648" s="100"/>
      <c r="L648" s="61"/>
      <c r="M648" s="61"/>
    </row>
    <row r="649">
      <c r="A649" s="65"/>
      <c r="B649" s="65"/>
      <c r="C649" s="65"/>
      <c r="D649" s="65"/>
      <c r="E649" s="65"/>
      <c r="F649" s="65"/>
      <c r="G649" s="65"/>
      <c r="H649" s="65"/>
      <c r="I649" s="65"/>
      <c r="J649" s="108"/>
      <c r="K649" s="103"/>
      <c r="L649" s="65"/>
      <c r="M649" s="65"/>
    </row>
    <row r="650">
      <c r="A650" s="61"/>
      <c r="B650" s="61"/>
      <c r="C650" s="61"/>
      <c r="D650" s="61"/>
      <c r="E650" s="61"/>
      <c r="F650" s="61"/>
      <c r="G650" s="61"/>
      <c r="H650" s="61"/>
      <c r="I650" s="61"/>
      <c r="J650" s="107"/>
      <c r="K650" s="100"/>
      <c r="L650" s="61"/>
      <c r="M650" s="61"/>
    </row>
    <row r="651">
      <c r="A651" s="65"/>
      <c r="B651" s="65"/>
      <c r="C651" s="65"/>
      <c r="D651" s="65"/>
      <c r="E651" s="65"/>
      <c r="F651" s="65"/>
      <c r="G651" s="65"/>
      <c r="H651" s="65"/>
      <c r="I651" s="65"/>
      <c r="J651" s="108"/>
      <c r="K651" s="103"/>
      <c r="L651" s="65"/>
      <c r="M651" s="65"/>
    </row>
    <row r="652">
      <c r="A652" s="61"/>
      <c r="B652" s="61"/>
      <c r="C652" s="61"/>
      <c r="D652" s="61"/>
      <c r="E652" s="61"/>
      <c r="F652" s="61"/>
      <c r="G652" s="61"/>
      <c r="H652" s="61"/>
      <c r="I652" s="61"/>
      <c r="J652" s="107"/>
      <c r="K652" s="100"/>
      <c r="L652" s="61"/>
      <c r="M652" s="61"/>
    </row>
    <row r="653">
      <c r="A653" s="65"/>
      <c r="B653" s="65"/>
      <c r="C653" s="65"/>
      <c r="D653" s="65"/>
      <c r="E653" s="65"/>
      <c r="F653" s="65"/>
      <c r="G653" s="65"/>
      <c r="H653" s="65"/>
      <c r="I653" s="65"/>
      <c r="J653" s="108"/>
      <c r="K653" s="103"/>
      <c r="L653" s="65"/>
      <c r="M653" s="65"/>
    </row>
    <row r="654">
      <c r="A654" s="61"/>
      <c r="B654" s="61"/>
      <c r="C654" s="61"/>
      <c r="D654" s="61"/>
      <c r="E654" s="61"/>
      <c r="F654" s="61"/>
      <c r="G654" s="61"/>
      <c r="H654" s="61"/>
      <c r="I654" s="61"/>
      <c r="J654" s="107"/>
      <c r="K654" s="100"/>
      <c r="L654" s="61"/>
      <c r="M654" s="61"/>
    </row>
    <row r="655">
      <c r="A655" s="65"/>
      <c r="B655" s="65"/>
      <c r="C655" s="65"/>
      <c r="D655" s="65"/>
      <c r="E655" s="65"/>
      <c r="F655" s="65"/>
      <c r="G655" s="65"/>
      <c r="H655" s="65"/>
      <c r="I655" s="65"/>
      <c r="J655" s="108"/>
      <c r="K655" s="103"/>
      <c r="L655" s="65"/>
      <c r="M655" s="65"/>
    </row>
    <row r="656">
      <c r="A656" s="61"/>
      <c r="B656" s="61"/>
      <c r="C656" s="61"/>
      <c r="D656" s="61"/>
      <c r="E656" s="61"/>
      <c r="F656" s="61"/>
      <c r="G656" s="61"/>
      <c r="H656" s="61"/>
      <c r="I656" s="61"/>
      <c r="J656" s="107"/>
      <c r="K656" s="100"/>
      <c r="L656" s="61"/>
      <c r="M656" s="61"/>
    </row>
    <row r="657">
      <c r="A657" s="65"/>
      <c r="B657" s="65"/>
      <c r="C657" s="65"/>
      <c r="D657" s="65"/>
      <c r="E657" s="65"/>
      <c r="F657" s="65"/>
      <c r="G657" s="65"/>
      <c r="H657" s="65"/>
      <c r="I657" s="65"/>
      <c r="J657" s="108"/>
      <c r="K657" s="103"/>
      <c r="L657" s="65"/>
      <c r="M657" s="65"/>
    </row>
    <row r="658">
      <c r="A658" s="61"/>
      <c r="B658" s="61"/>
      <c r="C658" s="61"/>
      <c r="D658" s="61"/>
      <c r="E658" s="61"/>
      <c r="F658" s="61"/>
      <c r="G658" s="61"/>
      <c r="H658" s="61"/>
      <c r="I658" s="61"/>
      <c r="J658" s="107"/>
      <c r="K658" s="100"/>
      <c r="L658" s="61"/>
      <c r="M658" s="61"/>
    </row>
    <row r="659">
      <c r="A659" s="65"/>
      <c r="B659" s="65"/>
      <c r="C659" s="65"/>
      <c r="D659" s="65"/>
      <c r="E659" s="65"/>
      <c r="F659" s="65"/>
      <c r="G659" s="65"/>
      <c r="H659" s="65"/>
      <c r="I659" s="65"/>
      <c r="J659" s="108"/>
      <c r="K659" s="103"/>
      <c r="L659" s="65"/>
      <c r="M659" s="65"/>
    </row>
    <row r="660">
      <c r="A660" s="61"/>
      <c r="B660" s="61"/>
      <c r="C660" s="61"/>
      <c r="D660" s="61"/>
      <c r="E660" s="61"/>
      <c r="F660" s="61"/>
      <c r="G660" s="61"/>
      <c r="H660" s="61"/>
      <c r="I660" s="61"/>
      <c r="J660" s="107"/>
      <c r="K660" s="100"/>
      <c r="L660" s="61"/>
      <c r="M660" s="61"/>
    </row>
    <row r="661">
      <c r="A661" s="65"/>
      <c r="B661" s="65"/>
      <c r="C661" s="65"/>
      <c r="D661" s="65"/>
      <c r="E661" s="65"/>
      <c r="F661" s="65"/>
      <c r="G661" s="65"/>
      <c r="H661" s="65"/>
      <c r="I661" s="65"/>
      <c r="J661" s="108"/>
      <c r="K661" s="103"/>
      <c r="L661" s="65"/>
      <c r="M661" s="65"/>
    </row>
    <row r="662">
      <c r="A662" s="61"/>
      <c r="B662" s="61"/>
      <c r="C662" s="61"/>
      <c r="D662" s="61"/>
      <c r="E662" s="61"/>
      <c r="F662" s="61"/>
      <c r="G662" s="61"/>
      <c r="H662" s="61"/>
      <c r="I662" s="61"/>
      <c r="J662" s="107"/>
      <c r="K662" s="100"/>
      <c r="L662" s="61"/>
      <c r="M662" s="61"/>
    </row>
    <row r="663">
      <c r="A663" s="65"/>
      <c r="B663" s="65"/>
      <c r="C663" s="65"/>
      <c r="D663" s="65"/>
      <c r="E663" s="65"/>
      <c r="F663" s="65"/>
      <c r="G663" s="65"/>
      <c r="H663" s="65"/>
      <c r="I663" s="65"/>
      <c r="J663" s="108"/>
      <c r="K663" s="103"/>
      <c r="L663" s="65"/>
      <c r="M663" s="65"/>
    </row>
    <row r="664">
      <c r="A664" s="61"/>
      <c r="B664" s="61"/>
      <c r="C664" s="61"/>
      <c r="D664" s="61"/>
      <c r="E664" s="61"/>
      <c r="F664" s="61"/>
      <c r="G664" s="61"/>
      <c r="H664" s="61"/>
      <c r="I664" s="61"/>
      <c r="J664" s="107"/>
      <c r="K664" s="100"/>
      <c r="L664" s="61"/>
      <c r="M664" s="61"/>
    </row>
    <row r="665">
      <c r="A665" s="65"/>
      <c r="B665" s="65"/>
      <c r="C665" s="65"/>
      <c r="D665" s="65"/>
      <c r="E665" s="65"/>
      <c r="F665" s="65"/>
      <c r="G665" s="65"/>
      <c r="H665" s="65"/>
      <c r="I665" s="65"/>
      <c r="J665" s="108"/>
      <c r="K665" s="103"/>
      <c r="L665" s="65"/>
      <c r="M665" s="65"/>
    </row>
    <row r="666">
      <c r="A666" s="61"/>
      <c r="B666" s="61"/>
      <c r="C666" s="61"/>
      <c r="D666" s="61"/>
      <c r="E666" s="61"/>
      <c r="F666" s="61"/>
      <c r="G666" s="61"/>
      <c r="H666" s="61"/>
      <c r="I666" s="61"/>
      <c r="J666" s="107"/>
      <c r="K666" s="100"/>
      <c r="L666" s="61"/>
      <c r="M666" s="61"/>
    </row>
    <row r="667">
      <c r="A667" s="65"/>
      <c r="B667" s="65"/>
      <c r="C667" s="65"/>
      <c r="D667" s="65"/>
      <c r="E667" s="65"/>
      <c r="F667" s="65"/>
      <c r="G667" s="65"/>
      <c r="H667" s="65"/>
      <c r="I667" s="65"/>
      <c r="J667" s="108"/>
      <c r="K667" s="103"/>
      <c r="L667" s="65"/>
      <c r="M667" s="65"/>
    </row>
    <row r="668">
      <c r="A668" s="61"/>
      <c r="B668" s="61"/>
      <c r="C668" s="61"/>
      <c r="D668" s="61"/>
      <c r="E668" s="61"/>
      <c r="F668" s="61"/>
      <c r="G668" s="61"/>
      <c r="H668" s="61"/>
      <c r="I668" s="61"/>
      <c r="J668" s="107"/>
      <c r="K668" s="100"/>
      <c r="L668" s="61"/>
      <c r="M668" s="61"/>
    </row>
    <row r="669">
      <c r="A669" s="65"/>
      <c r="B669" s="65"/>
      <c r="C669" s="65"/>
      <c r="D669" s="65"/>
      <c r="E669" s="65"/>
      <c r="F669" s="65"/>
      <c r="G669" s="65"/>
      <c r="H669" s="65"/>
      <c r="I669" s="65"/>
      <c r="J669" s="108"/>
      <c r="K669" s="103"/>
      <c r="L669" s="65"/>
      <c r="M669" s="65"/>
    </row>
    <row r="670">
      <c r="A670" s="61"/>
      <c r="B670" s="61"/>
      <c r="C670" s="61"/>
      <c r="D670" s="61"/>
      <c r="E670" s="61"/>
      <c r="F670" s="61"/>
      <c r="G670" s="61"/>
      <c r="H670" s="61"/>
      <c r="I670" s="61"/>
      <c r="J670" s="107"/>
      <c r="K670" s="100"/>
      <c r="L670" s="61"/>
      <c r="M670" s="61"/>
    </row>
    <row r="671">
      <c r="A671" s="65"/>
      <c r="B671" s="65"/>
      <c r="C671" s="65"/>
      <c r="D671" s="65"/>
      <c r="E671" s="65"/>
      <c r="F671" s="65"/>
      <c r="G671" s="65"/>
      <c r="H671" s="65"/>
      <c r="I671" s="65"/>
      <c r="J671" s="108"/>
      <c r="K671" s="103"/>
      <c r="L671" s="65"/>
      <c r="M671" s="65"/>
    </row>
    <row r="672">
      <c r="A672" s="61"/>
      <c r="B672" s="61"/>
      <c r="C672" s="61"/>
      <c r="D672" s="61"/>
      <c r="E672" s="61"/>
      <c r="F672" s="61"/>
      <c r="G672" s="61"/>
      <c r="H672" s="61"/>
      <c r="I672" s="61"/>
      <c r="J672" s="107"/>
      <c r="K672" s="100"/>
      <c r="L672" s="61"/>
      <c r="M672" s="61"/>
    </row>
    <row r="673">
      <c r="A673" s="65"/>
      <c r="B673" s="65"/>
      <c r="C673" s="65"/>
      <c r="D673" s="65"/>
      <c r="E673" s="65"/>
      <c r="F673" s="65"/>
      <c r="G673" s="65"/>
      <c r="H673" s="65"/>
      <c r="I673" s="65"/>
      <c r="J673" s="108"/>
      <c r="K673" s="103"/>
      <c r="L673" s="65"/>
      <c r="M673" s="65"/>
    </row>
    <row r="674">
      <c r="A674" s="61"/>
      <c r="B674" s="61"/>
      <c r="C674" s="61"/>
      <c r="D674" s="61"/>
      <c r="E674" s="61"/>
      <c r="F674" s="61"/>
      <c r="G674" s="61"/>
      <c r="H674" s="61"/>
      <c r="I674" s="61"/>
      <c r="J674" s="107"/>
      <c r="K674" s="100"/>
      <c r="L674" s="61"/>
      <c r="M674" s="61"/>
    </row>
    <row r="675">
      <c r="A675" s="65"/>
      <c r="B675" s="65"/>
      <c r="C675" s="65"/>
      <c r="D675" s="65"/>
      <c r="E675" s="65"/>
      <c r="F675" s="65"/>
      <c r="G675" s="65"/>
      <c r="H675" s="65"/>
      <c r="I675" s="65"/>
      <c r="J675" s="108"/>
      <c r="K675" s="103"/>
      <c r="L675" s="65"/>
      <c r="M675" s="65"/>
    </row>
    <row r="676">
      <c r="A676" s="61"/>
      <c r="B676" s="61"/>
      <c r="C676" s="61"/>
      <c r="D676" s="61"/>
      <c r="E676" s="61"/>
      <c r="F676" s="61"/>
      <c r="G676" s="61"/>
      <c r="H676" s="61"/>
      <c r="I676" s="61"/>
      <c r="J676" s="107"/>
      <c r="K676" s="100"/>
      <c r="L676" s="61"/>
      <c r="M676" s="61"/>
    </row>
    <row r="677">
      <c r="A677" s="65"/>
      <c r="B677" s="65"/>
      <c r="C677" s="65"/>
      <c r="D677" s="65"/>
      <c r="E677" s="65"/>
      <c r="F677" s="65"/>
      <c r="G677" s="65"/>
      <c r="H677" s="65"/>
      <c r="I677" s="65"/>
      <c r="J677" s="108"/>
      <c r="K677" s="103"/>
      <c r="L677" s="65"/>
      <c r="M677" s="65"/>
    </row>
    <row r="678">
      <c r="A678" s="61"/>
      <c r="B678" s="61"/>
      <c r="C678" s="61"/>
      <c r="D678" s="61"/>
      <c r="E678" s="61"/>
      <c r="F678" s="61"/>
      <c r="G678" s="61"/>
      <c r="H678" s="61"/>
      <c r="I678" s="61"/>
      <c r="J678" s="107"/>
      <c r="K678" s="100"/>
      <c r="L678" s="61"/>
      <c r="M678" s="61"/>
    </row>
    <row r="679">
      <c r="A679" s="65"/>
      <c r="B679" s="65"/>
      <c r="C679" s="65"/>
      <c r="D679" s="65"/>
      <c r="E679" s="65"/>
      <c r="F679" s="65"/>
      <c r="G679" s="65"/>
      <c r="H679" s="65"/>
      <c r="I679" s="65"/>
      <c r="J679" s="108"/>
      <c r="K679" s="103"/>
      <c r="L679" s="65"/>
      <c r="M679" s="65"/>
    </row>
    <row r="680">
      <c r="A680" s="61"/>
      <c r="B680" s="61"/>
      <c r="C680" s="61"/>
      <c r="D680" s="61"/>
      <c r="E680" s="61"/>
      <c r="F680" s="61"/>
      <c r="G680" s="61"/>
      <c r="H680" s="61"/>
      <c r="I680" s="61"/>
      <c r="J680" s="107"/>
      <c r="K680" s="100"/>
      <c r="L680" s="61"/>
      <c r="M680" s="61"/>
    </row>
    <row r="681">
      <c r="A681" s="65"/>
      <c r="B681" s="65"/>
      <c r="C681" s="65"/>
      <c r="D681" s="65"/>
      <c r="E681" s="65"/>
      <c r="F681" s="65"/>
      <c r="G681" s="65"/>
      <c r="H681" s="65"/>
      <c r="I681" s="65"/>
      <c r="J681" s="108"/>
      <c r="K681" s="103"/>
      <c r="L681" s="65"/>
      <c r="M681" s="65"/>
    </row>
    <row r="682">
      <c r="A682" s="61"/>
      <c r="B682" s="61"/>
      <c r="C682" s="61"/>
      <c r="D682" s="61"/>
      <c r="E682" s="61"/>
      <c r="F682" s="61"/>
      <c r="G682" s="61"/>
      <c r="H682" s="61"/>
      <c r="I682" s="61"/>
      <c r="J682" s="107"/>
      <c r="K682" s="100"/>
      <c r="L682" s="61"/>
      <c r="M682" s="61"/>
    </row>
    <row r="683">
      <c r="A683" s="65"/>
      <c r="B683" s="65"/>
      <c r="C683" s="65"/>
      <c r="D683" s="65"/>
      <c r="E683" s="65"/>
      <c r="F683" s="65"/>
      <c r="G683" s="65"/>
      <c r="H683" s="65"/>
      <c r="I683" s="65"/>
      <c r="J683" s="108"/>
      <c r="K683" s="103"/>
      <c r="L683" s="65"/>
      <c r="M683" s="65"/>
    </row>
    <row r="684">
      <c r="A684" s="61"/>
      <c r="B684" s="61"/>
      <c r="C684" s="61"/>
      <c r="D684" s="61"/>
      <c r="E684" s="61"/>
      <c r="F684" s="61"/>
      <c r="G684" s="61"/>
      <c r="H684" s="61"/>
      <c r="I684" s="61"/>
      <c r="J684" s="107"/>
      <c r="K684" s="100"/>
      <c r="L684" s="61"/>
      <c r="M684" s="61"/>
    </row>
    <row r="685">
      <c r="A685" s="65"/>
      <c r="B685" s="65"/>
      <c r="C685" s="65"/>
      <c r="D685" s="65"/>
      <c r="E685" s="65"/>
      <c r="F685" s="65"/>
      <c r="G685" s="65"/>
      <c r="H685" s="65"/>
      <c r="I685" s="65"/>
      <c r="J685" s="108"/>
      <c r="K685" s="103"/>
      <c r="L685" s="65"/>
      <c r="M685" s="65"/>
    </row>
    <row r="686">
      <c r="A686" s="61"/>
      <c r="B686" s="61"/>
      <c r="C686" s="61"/>
      <c r="D686" s="61"/>
      <c r="E686" s="61"/>
      <c r="F686" s="61"/>
      <c r="G686" s="61"/>
      <c r="H686" s="61"/>
      <c r="I686" s="61"/>
      <c r="J686" s="107"/>
      <c r="K686" s="100"/>
      <c r="L686" s="61"/>
      <c r="M686" s="61"/>
    </row>
    <row r="687">
      <c r="A687" s="65"/>
      <c r="B687" s="65"/>
      <c r="C687" s="65"/>
      <c r="D687" s="65"/>
      <c r="E687" s="65"/>
      <c r="F687" s="65"/>
      <c r="G687" s="65"/>
      <c r="H687" s="65"/>
      <c r="I687" s="65"/>
      <c r="J687" s="108"/>
      <c r="K687" s="103"/>
      <c r="L687" s="65"/>
      <c r="M687" s="65"/>
    </row>
    <row r="688">
      <c r="A688" s="61"/>
      <c r="B688" s="61"/>
      <c r="C688" s="61"/>
      <c r="D688" s="61"/>
      <c r="E688" s="61"/>
      <c r="F688" s="61"/>
      <c r="G688" s="61"/>
      <c r="H688" s="61"/>
      <c r="I688" s="61"/>
      <c r="J688" s="107"/>
      <c r="K688" s="100"/>
      <c r="L688" s="61"/>
      <c r="M688" s="61"/>
    </row>
    <row r="689">
      <c r="A689" s="65"/>
      <c r="B689" s="65"/>
      <c r="C689" s="65"/>
      <c r="D689" s="65"/>
      <c r="E689" s="65"/>
      <c r="F689" s="65"/>
      <c r="G689" s="65"/>
      <c r="H689" s="65"/>
      <c r="I689" s="65"/>
      <c r="J689" s="108"/>
      <c r="K689" s="103"/>
      <c r="L689" s="65"/>
      <c r="M689" s="65"/>
    </row>
    <row r="690">
      <c r="A690" s="61"/>
      <c r="B690" s="61"/>
      <c r="C690" s="61"/>
      <c r="D690" s="61"/>
      <c r="E690" s="61"/>
      <c r="F690" s="61"/>
      <c r="G690" s="61"/>
      <c r="H690" s="61"/>
      <c r="I690" s="61"/>
      <c r="J690" s="107"/>
      <c r="K690" s="100"/>
      <c r="L690" s="61"/>
      <c r="M690" s="61"/>
    </row>
    <row r="691">
      <c r="A691" s="65"/>
      <c r="B691" s="65"/>
      <c r="C691" s="65"/>
      <c r="D691" s="65"/>
      <c r="E691" s="65"/>
      <c r="F691" s="65"/>
      <c r="G691" s="65"/>
      <c r="H691" s="65"/>
      <c r="I691" s="65"/>
      <c r="J691" s="108"/>
      <c r="K691" s="103"/>
      <c r="L691" s="65"/>
      <c r="M691" s="65"/>
    </row>
    <row r="692">
      <c r="A692" s="61"/>
      <c r="B692" s="61"/>
      <c r="C692" s="61"/>
      <c r="D692" s="61"/>
      <c r="E692" s="61"/>
      <c r="F692" s="61"/>
      <c r="G692" s="61"/>
      <c r="H692" s="61"/>
      <c r="I692" s="61"/>
      <c r="J692" s="107"/>
      <c r="K692" s="100"/>
      <c r="L692" s="61"/>
      <c r="M692" s="61"/>
    </row>
    <row r="693">
      <c r="A693" s="65"/>
      <c r="B693" s="65"/>
      <c r="C693" s="65"/>
      <c r="D693" s="65"/>
      <c r="E693" s="65"/>
      <c r="F693" s="65"/>
      <c r="G693" s="65"/>
      <c r="H693" s="65"/>
      <c r="I693" s="65"/>
      <c r="J693" s="108"/>
      <c r="K693" s="103"/>
      <c r="L693" s="65"/>
      <c r="M693" s="65"/>
    </row>
    <row r="694">
      <c r="A694" s="61"/>
      <c r="B694" s="61"/>
      <c r="C694" s="61"/>
      <c r="D694" s="61"/>
      <c r="E694" s="61"/>
      <c r="F694" s="61"/>
      <c r="G694" s="61"/>
      <c r="H694" s="61"/>
      <c r="I694" s="61"/>
      <c r="J694" s="107"/>
      <c r="K694" s="100"/>
      <c r="L694" s="61"/>
      <c r="M694" s="61"/>
    </row>
    <row r="695">
      <c r="A695" s="65"/>
      <c r="B695" s="65"/>
      <c r="C695" s="65"/>
      <c r="D695" s="65"/>
      <c r="E695" s="65"/>
      <c r="F695" s="65"/>
      <c r="G695" s="65"/>
      <c r="H695" s="65"/>
      <c r="I695" s="65"/>
      <c r="J695" s="108"/>
      <c r="K695" s="103"/>
      <c r="L695" s="65"/>
      <c r="M695" s="65"/>
    </row>
    <row r="696">
      <c r="A696" s="61"/>
      <c r="B696" s="61"/>
      <c r="C696" s="61"/>
      <c r="D696" s="61"/>
      <c r="E696" s="61"/>
      <c r="F696" s="61"/>
      <c r="G696" s="61"/>
      <c r="H696" s="61"/>
      <c r="I696" s="61"/>
      <c r="J696" s="107"/>
      <c r="K696" s="100"/>
      <c r="L696" s="61"/>
      <c r="M696" s="61"/>
    </row>
    <row r="697">
      <c r="A697" s="65"/>
      <c r="B697" s="65"/>
      <c r="C697" s="65"/>
      <c r="D697" s="65"/>
      <c r="E697" s="65"/>
      <c r="F697" s="65"/>
      <c r="G697" s="65"/>
      <c r="H697" s="65"/>
      <c r="I697" s="65"/>
      <c r="J697" s="108"/>
      <c r="K697" s="103"/>
      <c r="L697" s="65"/>
      <c r="M697" s="65"/>
    </row>
    <row r="698">
      <c r="A698" s="61"/>
      <c r="B698" s="61"/>
      <c r="C698" s="61"/>
      <c r="D698" s="61"/>
      <c r="E698" s="61"/>
      <c r="F698" s="61"/>
      <c r="G698" s="61"/>
      <c r="H698" s="61"/>
      <c r="I698" s="61"/>
      <c r="J698" s="107"/>
      <c r="K698" s="100"/>
      <c r="L698" s="61"/>
      <c r="M698" s="61"/>
    </row>
    <row r="699">
      <c r="A699" s="65"/>
      <c r="B699" s="65"/>
      <c r="C699" s="65"/>
      <c r="D699" s="65"/>
      <c r="E699" s="65"/>
      <c r="F699" s="65"/>
      <c r="G699" s="65"/>
      <c r="H699" s="65"/>
      <c r="I699" s="65"/>
      <c r="J699" s="108"/>
      <c r="K699" s="103"/>
      <c r="L699" s="65"/>
      <c r="M699" s="65"/>
    </row>
    <row r="700">
      <c r="A700" s="61"/>
      <c r="B700" s="61"/>
      <c r="C700" s="61"/>
      <c r="D700" s="61"/>
      <c r="E700" s="61"/>
      <c r="F700" s="61"/>
      <c r="G700" s="61"/>
      <c r="H700" s="61"/>
      <c r="I700" s="61"/>
      <c r="J700" s="107"/>
      <c r="K700" s="100"/>
      <c r="L700" s="61"/>
      <c r="M700" s="61"/>
    </row>
    <row r="701">
      <c r="A701" s="65"/>
      <c r="B701" s="65"/>
      <c r="C701" s="65"/>
      <c r="D701" s="65"/>
      <c r="E701" s="65"/>
      <c r="F701" s="65"/>
      <c r="G701" s="65"/>
      <c r="H701" s="65"/>
      <c r="I701" s="65"/>
      <c r="J701" s="108"/>
      <c r="K701" s="103"/>
      <c r="L701" s="65"/>
      <c r="M701" s="65"/>
    </row>
    <row r="702">
      <c r="A702" s="61"/>
      <c r="B702" s="61"/>
      <c r="C702" s="61"/>
      <c r="D702" s="61"/>
      <c r="E702" s="61"/>
      <c r="F702" s="61"/>
      <c r="G702" s="61"/>
      <c r="H702" s="61"/>
      <c r="I702" s="61"/>
      <c r="J702" s="107"/>
      <c r="K702" s="100"/>
      <c r="L702" s="61"/>
      <c r="M702" s="61"/>
    </row>
    <row r="703">
      <c r="A703" s="65"/>
      <c r="B703" s="65"/>
      <c r="C703" s="65"/>
      <c r="D703" s="65"/>
      <c r="E703" s="65"/>
      <c r="F703" s="65"/>
      <c r="G703" s="65"/>
      <c r="H703" s="65"/>
      <c r="I703" s="65"/>
      <c r="J703" s="108"/>
      <c r="K703" s="103"/>
      <c r="L703" s="65"/>
      <c r="M703" s="65"/>
    </row>
    <row r="704">
      <c r="A704" s="61"/>
      <c r="B704" s="61"/>
      <c r="C704" s="61"/>
      <c r="D704" s="61"/>
      <c r="E704" s="61"/>
      <c r="F704" s="61"/>
      <c r="G704" s="61"/>
      <c r="H704" s="61"/>
      <c r="I704" s="61"/>
      <c r="J704" s="107"/>
      <c r="K704" s="100"/>
      <c r="L704" s="61"/>
      <c r="M704" s="61"/>
    </row>
    <row r="705">
      <c r="A705" s="65"/>
      <c r="B705" s="65"/>
      <c r="C705" s="65"/>
      <c r="D705" s="65"/>
      <c r="E705" s="65"/>
      <c r="F705" s="65"/>
      <c r="G705" s="65"/>
      <c r="H705" s="65"/>
      <c r="I705" s="65"/>
      <c r="J705" s="108"/>
      <c r="K705" s="103"/>
      <c r="L705" s="65"/>
      <c r="M705" s="65"/>
    </row>
    <row r="706">
      <c r="A706" s="61"/>
      <c r="B706" s="61"/>
      <c r="C706" s="61"/>
      <c r="D706" s="61"/>
      <c r="E706" s="61"/>
      <c r="F706" s="61"/>
      <c r="G706" s="61"/>
      <c r="H706" s="61"/>
      <c r="I706" s="61"/>
      <c r="J706" s="107"/>
      <c r="K706" s="100"/>
      <c r="L706" s="61"/>
      <c r="M706" s="61"/>
    </row>
    <row r="707">
      <c r="A707" s="65"/>
      <c r="B707" s="65"/>
      <c r="C707" s="65"/>
      <c r="D707" s="65"/>
      <c r="E707" s="65"/>
      <c r="F707" s="65"/>
      <c r="G707" s="65"/>
      <c r="H707" s="65"/>
      <c r="I707" s="65"/>
      <c r="J707" s="108"/>
      <c r="K707" s="103"/>
      <c r="L707" s="65"/>
      <c r="M707" s="65"/>
    </row>
    <row r="708">
      <c r="A708" s="61"/>
      <c r="B708" s="61"/>
      <c r="C708" s="61"/>
      <c r="D708" s="61"/>
      <c r="E708" s="61"/>
      <c r="F708" s="61"/>
      <c r="G708" s="61"/>
      <c r="H708" s="61"/>
      <c r="I708" s="61"/>
      <c r="J708" s="107"/>
      <c r="K708" s="100"/>
      <c r="L708" s="61"/>
      <c r="M708" s="61"/>
    </row>
    <row r="709">
      <c r="A709" s="65"/>
      <c r="B709" s="65"/>
      <c r="C709" s="65"/>
      <c r="D709" s="65"/>
      <c r="E709" s="65"/>
      <c r="F709" s="65"/>
      <c r="G709" s="65"/>
      <c r="H709" s="65"/>
      <c r="I709" s="65"/>
      <c r="J709" s="108"/>
      <c r="K709" s="103"/>
      <c r="L709" s="65"/>
      <c r="M709" s="65"/>
    </row>
    <row r="710">
      <c r="A710" s="61"/>
      <c r="B710" s="61"/>
      <c r="C710" s="61"/>
      <c r="D710" s="61"/>
      <c r="E710" s="61"/>
      <c r="F710" s="61"/>
      <c r="G710" s="61"/>
      <c r="H710" s="61"/>
      <c r="I710" s="61"/>
      <c r="J710" s="107"/>
      <c r="K710" s="100"/>
      <c r="L710" s="61"/>
      <c r="M710" s="61"/>
    </row>
    <row r="711">
      <c r="A711" s="65"/>
      <c r="B711" s="65"/>
      <c r="C711" s="65"/>
      <c r="D711" s="65"/>
      <c r="E711" s="65"/>
      <c r="F711" s="65"/>
      <c r="G711" s="65"/>
      <c r="H711" s="65"/>
      <c r="I711" s="65"/>
      <c r="J711" s="108"/>
      <c r="K711" s="103"/>
      <c r="L711" s="65"/>
      <c r="M711" s="65"/>
    </row>
    <row r="712">
      <c r="A712" s="61"/>
      <c r="B712" s="61"/>
      <c r="C712" s="61"/>
      <c r="D712" s="61"/>
      <c r="E712" s="61"/>
      <c r="F712" s="61"/>
      <c r="G712" s="61"/>
      <c r="H712" s="61"/>
      <c r="I712" s="61"/>
      <c r="J712" s="107"/>
      <c r="K712" s="100"/>
      <c r="L712" s="61"/>
      <c r="M712" s="61"/>
    </row>
    <row r="713">
      <c r="A713" s="65"/>
      <c r="B713" s="65"/>
      <c r="C713" s="65"/>
      <c r="D713" s="65"/>
      <c r="E713" s="65"/>
      <c r="F713" s="65"/>
      <c r="G713" s="65"/>
      <c r="H713" s="65"/>
      <c r="I713" s="65"/>
      <c r="J713" s="108"/>
      <c r="K713" s="103"/>
      <c r="L713" s="65"/>
      <c r="M713" s="65"/>
    </row>
    <row r="714">
      <c r="A714" s="61"/>
      <c r="B714" s="61"/>
      <c r="C714" s="61"/>
      <c r="D714" s="61"/>
      <c r="E714" s="61"/>
      <c r="F714" s="61"/>
      <c r="G714" s="61"/>
      <c r="H714" s="61"/>
      <c r="I714" s="61"/>
      <c r="J714" s="107"/>
      <c r="K714" s="100"/>
      <c r="L714" s="61"/>
      <c r="M714" s="61"/>
    </row>
    <row r="715">
      <c r="A715" s="65"/>
      <c r="B715" s="65"/>
      <c r="C715" s="65"/>
      <c r="D715" s="65"/>
      <c r="E715" s="65"/>
      <c r="F715" s="65"/>
      <c r="G715" s="65"/>
      <c r="H715" s="65"/>
      <c r="I715" s="65"/>
      <c r="J715" s="108"/>
      <c r="K715" s="103"/>
      <c r="L715" s="65"/>
      <c r="M715" s="65"/>
    </row>
    <row r="716">
      <c r="A716" s="61"/>
      <c r="B716" s="61"/>
      <c r="C716" s="61"/>
      <c r="D716" s="61"/>
      <c r="E716" s="61"/>
      <c r="F716" s="61"/>
      <c r="G716" s="61"/>
      <c r="H716" s="61"/>
      <c r="I716" s="61"/>
      <c r="J716" s="107"/>
      <c r="K716" s="100"/>
      <c r="L716" s="61"/>
      <c r="M716" s="61"/>
    </row>
    <row r="717">
      <c r="A717" s="65"/>
      <c r="B717" s="65"/>
      <c r="C717" s="65"/>
      <c r="D717" s="65"/>
      <c r="E717" s="65"/>
      <c r="F717" s="65"/>
      <c r="G717" s="65"/>
      <c r="H717" s="65"/>
      <c r="I717" s="65"/>
      <c r="J717" s="108"/>
      <c r="K717" s="103"/>
      <c r="L717" s="65"/>
      <c r="M717" s="65"/>
    </row>
    <row r="718">
      <c r="A718" s="61"/>
      <c r="B718" s="61"/>
      <c r="C718" s="61"/>
      <c r="D718" s="61"/>
      <c r="E718" s="61"/>
      <c r="F718" s="61"/>
      <c r="G718" s="61"/>
      <c r="H718" s="61"/>
      <c r="I718" s="61"/>
      <c r="J718" s="107"/>
      <c r="K718" s="100"/>
      <c r="L718" s="61"/>
      <c r="M718" s="61"/>
    </row>
    <row r="719">
      <c r="A719" s="65"/>
      <c r="B719" s="65"/>
      <c r="C719" s="65"/>
      <c r="D719" s="65"/>
      <c r="E719" s="65"/>
      <c r="F719" s="65"/>
      <c r="G719" s="65"/>
      <c r="H719" s="65"/>
      <c r="I719" s="65"/>
      <c r="J719" s="108"/>
      <c r="K719" s="103"/>
      <c r="L719" s="65"/>
      <c r="M719" s="65"/>
    </row>
    <row r="720">
      <c r="A720" s="61"/>
      <c r="B720" s="61"/>
      <c r="C720" s="61"/>
      <c r="D720" s="61"/>
      <c r="E720" s="61"/>
      <c r="F720" s="61"/>
      <c r="G720" s="61"/>
      <c r="H720" s="61"/>
      <c r="I720" s="61"/>
      <c r="J720" s="107"/>
      <c r="K720" s="100"/>
      <c r="L720" s="61"/>
      <c r="M720" s="61"/>
    </row>
    <row r="721">
      <c r="A721" s="65"/>
      <c r="B721" s="65"/>
      <c r="C721" s="65"/>
      <c r="D721" s="65"/>
      <c r="E721" s="65"/>
      <c r="F721" s="65"/>
      <c r="G721" s="65"/>
      <c r="H721" s="65"/>
      <c r="I721" s="65"/>
      <c r="J721" s="108"/>
      <c r="K721" s="103"/>
      <c r="L721" s="65"/>
      <c r="M721" s="65"/>
    </row>
    <row r="722">
      <c r="A722" s="61"/>
      <c r="B722" s="61"/>
      <c r="C722" s="61"/>
      <c r="D722" s="61"/>
      <c r="E722" s="61"/>
      <c r="F722" s="61"/>
      <c r="G722" s="61"/>
      <c r="H722" s="61"/>
      <c r="I722" s="61"/>
      <c r="J722" s="107"/>
      <c r="K722" s="100"/>
      <c r="L722" s="61"/>
      <c r="M722" s="61"/>
    </row>
    <row r="723">
      <c r="A723" s="65"/>
      <c r="B723" s="65"/>
      <c r="C723" s="65"/>
      <c r="D723" s="65"/>
      <c r="E723" s="65"/>
      <c r="F723" s="65"/>
      <c r="G723" s="65"/>
      <c r="H723" s="65"/>
      <c r="I723" s="65"/>
      <c r="J723" s="108"/>
      <c r="K723" s="103"/>
      <c r="L723" s="65"/>
      <c r="M723" s="65"/>
    </row>
    <row r="724">
      <c r="A724" s="61"/>
      <c r="B724" s="61"/>
      <c r="C724" s="61"/>
      <c r="D724" s="61"/>
      <c r="E724" s="61"/>
      <c r="F724" s="61"/>
      <c r="G724" s="61"/>
      <c r="H724" s="61"/>
      <c r="I724" s="61"/>
      <c r="J724" s="107"/>
      <c r="K724" s="100"/>
      <c r="L724" s="61"/>
      <c r="M724" s="61"/>
    </row>
    <row r="725">
      <c r="A725" s="65"/>
      <c r="B725" s="65"/>
      <c r="C725" s="65"/>
      <c r="D725" s="65"/>
      <c r="E725" s="65"/>
      <c r="F725" s="65"/>
      <c r="G725" s="65"/>
      <c r="H725" s="65"/>
      <c r="I725" s="65"/>
      <c r="J725" s="108"/>
      <c r="K725" s="103"/>
      <c r="L725" s="65"/>
      <c r="M725" s="65"/>
    </row>
    <row r="726">
      <c r="A726" s="61"/>
      <c r="B726" s="61"/>
      <c r="C726" s="61"/>
      <c r="D726" s="61"/>
      <c r="E726" s="61"/>
      <c r="F726" s="61"/>
      <c r="G726" s="61"/>
      <c r="H726" s="61"/>
      <c r="I726" s="61"/>
      <c r="J726" s="107"/>
      <c r="K726" s="100"/>
      <c r="L726" s="61"/>
      <c r="M726" s="61"/>
    </row>
    <row r="727">
      <c r="A727" s="65"/>
      <c r="B727" s="65"/>
      <c r="C727" s="65"/>
      <c r="D727" s="65"/>
      <c r="E727" s="65"/>
      <c r="F727" s="65"/>
      <c r="G727" s="65"/>
      <c r="H727" s="65"/>
      <c r="I727" s="65"/>
      <c r="J727" s="108"/>
      <c r="K727" s="103"/>
      <c r="L727" s="65"/>
      <c r="M727" s="65"/>
    </row>
    <row r="728">
      <c r="A728" s="61"/>
      <c r="B728" s="61"/>
      <c r="C728" s="61"/>
      <c r="D728" s="61"/>
      <c r="E728" s="61"/>
      <c r="F728" s="61"/>
      <c r="G728" s="61"/>
      <c r="H728" s="61"/>
      <c r="I728" s="61"/>
      <c r="J728" s="107"/>
      <c r="K728" s="100"/>
      <c r="L728" s="61"/>
      <c r="M728" s="61"/>
    </row>
    <row r="729">
      <c r="A729" s="65"/>
      <c r="B729" s="65"/>
      <c r="C729" s="65"/>
      <c r="D729" s="65"/>
      <c r="E729" s="65"/>
      <c r="F729" s="65"/>
      <c r="G729" s="65"/>
      <c r="H729" s="65"/>
      <c r="I729" s="65"/>
      <c r="J729" s="108"/>
      <c r="K729" s="103"/>
      <c r="L729" s="65"/>
      <c r="M729" s="65"/>
    </row>
    <row r="730">
      <c r="A730" s="61"/>
      <c r="B730" s="61"/>
      <c r="C730" s="61"/>
      <c r="D730" s="61"/>
      <c r="E730" s="61"/>
      <c r="F730" s="61"/>
      <c r="G730" s="61"/>
      <c r="H730" s="61"/>
      <c r="I730" s="61"/>
      <c r="J730" s="107"/>
      <c r="K730" s="100"/>
      <c r="L730" s="61"/>
      <c r="M730" s="61"/>
    </row>
    <row r="731">
      <c r="A731" s="65"/>
      <c r="B731" s="65"/>
      <c r="C731" s="65"/>
      <c r="D731" s="65"/>
      <c r="E731" s="65"/>
      <c r="F731" s="65"/>
      <c r="G731" s="65"/>
      <c r="H731" s="65"/>
      <c r="I731" s="65"/>
      <c r="J731" s="108"/>
      <c r="K731" s="103"/>
      <c r="L731" s="65"/>
      <c r="M731" s="65"/>
    </row>
    <row r="732">
      <c r="A732" s="61"/>
      <c r="B732" s="61"/>
      <c r="C732" s="61"/>
      <c r="D732" s="61"/>
      <c r="E732" s="61"/>
      <c r="F732" s="61"/>
      <c r="G732" s="61"/>
      <c r="H732" s="61"/>
      <c r="I732" s="61"/>
      <c r="J732" s="107"/>
      <c r="K732" s="100"/>
      <c r="L732" s="61"/>
      <c r="M732" s="61"/>
    </row>
    <row r="733">
      <c r="A733" s="65"/>
      <c r="B733" s="65"/>
      <c r="C733" s="65"/>
      <c r="D733" s="65"/>
      <c r="E733" s="65"/>
      <c r="F733" s="65"/>
      <c r="G733" s="65"/>
      <c r="H733" s="65"/>
      <c r="I733" s="65"/>
      <c r="J733" s="108"/>
      <c r="K733" s="103"/>
      <c r="L733" s="65"/>
      <c r="M733" s="65"/>
    </row>
    <row r="734">
      <c r="A734" s="61"/>
      <c r="B734" s="61"/>
      <c r="C734" s="61"/>
      <c r="D734" s="61"/>
      <c r="E734" s="61"/>
      <c r="F734" s="61"/>
      <c r="G734" s="61"/>
      <c r="H734" s="61"/>
      <c r="I734" s="61"/>
      <c r="J734" s="107"/>
      <c r="K734" s="100"/>
      <c r="L734" s="61"/>
      <c r="M734" s="61"/>
    </row>
    <row r="735">
      <c r="A735" s="65"/>
      <c r="B735" s="65"/>
      <c r="C735" s="65"/>
      <c r="D735" s="65"/>
      <c r="E735" s="65"/>
      <c r="F735" s="65"/>
      <c r="G735" s="65"/>
      <c r="H735" s="65"/>
      <c r="I735" s="65"/>
      <c r="J735" s="108"/>
      <c r="K735" s="103"/>
      <c r="L735" s="65"/>
      <c r="M735" s="65"/>
    </row>
    <row r="736">
      <c r="A736" s="61"/>
      <c r="B736" s="61"/>
      <c r="C736" s="61"/>
      <c r="D736" s="61"/>
      <c r="E736" s="61"/>
      <c r="F736" s="61"/>
      <c r="G736" s="61"/>
      <c r="H736" s="61"/>
      <c r="I736" s="61"/>
      <c r="J736" s="107"/>
      <c r="K736" s="100"/>
      <c r="L736" s="61"/>
      <c r="M736" s="61"/>
    </row>
    <row r="737">
      <c r="A737" s="65"/>
      <c r="B737" s="65"/>
      <c r="C737" s="65"/>
      <c r="D737" s="65"/>
      <c r="E737" s="65"/>
      <c r="F737" s="65"/>
      <c r="G737" s="65"/>
      <c r="H737" s="65"/>
      <c r="I737" s="65"/>
      <c r="J737" s="108"/>
      <c r="K737" s="103"/>
      <c r="L737" s="65"/>
      <c r="M737" s="65"/>
    </row>
    <row r="738">
      <c r="A738" s="61"/>
      <c r="B738" s="61"/>
      <c r="C738" s="61"/>
      <c r="D738" s="61"/>
      <c r="E738" s="61"/>
      <c r="F738" s="61"/>
      <c r="G738" s="61"/>
      <c r="H738" s="61"/>
      <c r="I738" s="61"/>
      <c r="J738" s="107"/>
      <c r="K738" s="100"/>
      <c r="L738" s="61"/>
      <c r="M738" s="61"/>
    </row>
    <row r="739">
      <c r="A739" s="65"/>
      <c r="B739" s="65"/>
      <c r="C739" s="65"/>
      <c r="D739" s="65"/>
      <c r="E739" s="65"/>
      <c r="F739" s="65"/>
      <c r="G739" s="65"/>
      <c r="H739" s="65"/>
      <c r="I739" s="65"/>
      <c r="J739" s="108"/>
      <c r="K739" s="103"/>
      <c r="L739" s="65"/>
      <c r="M739" s="65"/>
    </row>
    <row r="740">
      <c r="A740" s="61"/>
      <c r="B740" s="61"/>
      <c r="C740" s="61"/>
      <c r="D740" s="61"/>
      <c r="E740" s="61"/>
      <c r="F740" s="61"/>
      <c r="G740" s="61"/>
      <c r="H740" s="61"/>
      <c r="I740" s="61"/>
      <c r="J740" s="107"/>
      <c r="K740" s="100"/>
      <c r="L740" s="61"/>
      <c r="M740" s="61"/>
    </row>
    <row r="741">
      <c r="A741" s="65"/>
      <c r="B741" s="65"/>
      <c r="C741" s="65"/>
      <c r="D741" s="65"/>
      <c r="E741" s="65"/>
      <c r="F741" s="65"/>
      <c r="G741" s="65"/>
      <c r="H741" s="65"/>
      <c r="I741" s="65"/>
      <c r="J741" s="108"/>
      <c r="K741" s="103"/>
      <c r="L741" s="65"/>
      <c r="M741" s="65"/>
    </row>
    <row r="742">
      <c r="A742" s="61"/>
      <c r="B742" s="61"/>
      <c r="C742" s="61"/>
      <c r="D742" s="61"/>
      <c r="E742" s="61"/>
      <c r="F742" s="61"/>
      <c r="G742" s="61"/>
      <c r="H742" s="61"/>
      <c r="I742" s="61"/>
      <c r="J742" s="107"/>
      <c r="K742" s="100"/>
      <c r="L742" s="61"/>
      <c r="M742" s="61"/>
    </row>
    <row r="743">
      <c r="A743" s="65"/>
      <c r="B743" s="65"/>
      <c r="C743" s="65"/>
      <c r="D743" s="65"/>
      <c r="E743" s="65"/>
      <c r="F743" s="65"/>
      <c r="G743" s="65"/>
      <c r="H743" s="65"/>
      <c r="I743" s="65"/>
      <c r="J743" s="108"/>
      <c r="K743" s="103"/>
      <c r="L743" s="65"/>
      <c r="M743" s="65"/>
    </row>
    <row r="744">
      <c r="A744" s="61"/>
      <c r="B744" s="61"/>
      <c r="C744" s="61"/>
      <c r="D744" s="61"/>
      <c r="E744" s="61"/>
      <c r="F744" s="61"/>
      <c r="G744" s="61"/>
      <c r="H744" s="61"/>
      <c r="I744" s="61"/>
      <c r="J744" s="107"/>
      <c r="K744" s="100"/>
      <c r="L744" s="61"/>
      <c r="M744" s="61"/>
    </row>
    <row r="745">
      <c r="A745" s="65"/>
      <c r="B745" s="65"/>
      <c r="C745" s="65"/>
      <c r="D745" s="65"/>
      <c r="E745" s="65"/>
      <c r="F745" s="65"/>
      <c r="G745" s="65"/>
      <c r="H745" s="65"/>
      <c r="I745" s="65"/>
      <c r="J745" s="108"/>
      <c r="K745" s="103"/>
      <c r="L745" s="65"/>
      <c r="M745" s="65"/>
    </row>
    <row r="746">
      <c r="A746" s="61"/>
      <c r="B746" s="61"/>
      <c r="C746" s="61"/>
      <c r="D746" s="61"/>
      <c r="E746" s="61"/>
      <c r="F746" s="61"/>
      <c r="G746" s="61"/>
      <c r="H746" s="61"/>
      <c r="I746" s="61"/>
      <c r="J746" s="107"/>
      <c r="K746" s="100"/>
      <c r="L746" s="61"/>
      <c r="M746" s="61"/>
    </row>
    <row r="747">
      <c r="A747" s="65"/>
      <c r="B747" s="65"/>
      <c r="C747" s="65"/>
      <c r="D747" s="65"/>
      <c r="E747" s="65"/>
      <c r="F747" s="65"/>
      <c r="G747" s="65"/>
      <c r="H747" s="65"/>
      <c r="I747" s="65"/>
      <c r="J747" s="108"/>
      <c r="K747" s="103"/>
      <c r="L747" s="65"/>
      <c r="M747" s="65"/>
    </row>
    <row r="748">
      <c r="A748" s="61"/>
      <c r="B748" s="61"/>
      <c r="C748" s="61"/>
      <c r="D748" s="61"/>
      <c r="E748" s="61"/>
      <c r="F748" s="61"/>
      <c r="G748" s="61"/>
      <c r="H748" s="61"/>
      <c r="I748" s="61"/>
      <c r="J748" s="107"/>
      <c r="K748" s="100"/>
      <c r="L748" s="61"/>
      <c r="M748" s="61"/>
    </row>
    <row r="749">
      <c r="A749" s="65"/>
      <c r="B749" s="65"/>
      <c r="C749" s="65"/>
      <c r="D749" s="65"/>
      <c r="E749" s="65"/>
      <c r="F749" s="65"/>
      <c r="G749" s="65"/>
      <c r="H749" s="65"/>
      <c r="I749" s="65"/>
      <c r="J749" s="108"/>
      <c r="K749" s="103"/>
      <c r="L749" s="65"/>
      <c r="M749" s="65"/>
    </row>
    <row r="750">
      <c r="A750" s="61"/>
      <c r="B750" s="61"/>
      <c r="C750" s="61"/>
      <c r="D750" s="61"/>
      <c r="E750" s="61"/>
      <c r="F750" s="61"/>
      <c r="G750" s="61"/>
      <c r="H750" s="61"/>
      <c r="I750" s="61"/>
      <c r="J750" s="107"/>
      <c r="K750" s="100"/>
      <c r="L750" s="61"/>
      <c r="M750" s="61"/>
    </row>
    <row r="751">
      <c r="A751" s="65"/>
      <c r="B751" s="65"/>
      <c r="C751" s="65"/>
      <c r="D751" s="65"/>
      <c r="E751" s="65"/>
      <c r="F751" s="65"/>
      <c r="G751" s="65"/>
      <c r="H751" s="65"/>
      <c r="I751" s="65"/>
      <c r="J751" s="108"/>
      <c r="K751" s="103"/>
      <c r="L751" s="65"/>
      <c r="M751" s="65"/>
    </row>
    <row r="752">
      <c r="A752" s="61"/>
      <c r="B752" s="61"/>
      <c r="C752" s="61"/>
      <c r="D752" s="61"/>
      <c r="E752" s="61"/>
      <c r="F752" s="61"/>
      <c r="G752" s="61"/>
      <c r="H752" s="61"/>
      <c r="I752" s="61"/>
      <c r="J752" s="107"/>
      <c r="K752" s="100"/>
      <c r="L752" s="61"/>
      <c r="M752" s="61"/>
    </row>
    <row r="753">
      <c r="A753" s="65"/>
      <c r="B753" s="65"/>
      <c r="C753" s="65"/>
      <c r="D753" s="65"/>
      <c r="E753" s="65"/>
      <c r="F753" s="65"/>
      <c r="G753" s="65"/>
      <c r="H753" s="65"/>
      <c r="I753" s="65"/>
      <c r="J753" s="108"/>
      <c r="K753" s="103"/>
      <c r="L753" s="65"/>
      <c r="M753" s="65"/>
    </row>
    <row r="754">
      <c r="A754" s="61"/>
      <c r="B754" s="61"/>
      <c r="C754" s="61"/>
      <c r="D754" s="61"/>
      <c r="E754" s="61"/>
      <c r="F754" s="61"/>
      <c r="G754" s="61"/>
      <c r="H754" s="61"/>
      <c r="I754" s="61"/>
      <c r="J754" s="107"/>
      <c r="K754" s="100"/>
      <c r="L754" s="61"/>
      <c r="M754" s="61"/>
    </row>
    <row r="755">
      <c r="A755" s="65"/>
      <c r="B755" s="65"/>
      <c r="C755" s="65"/>
      <c r="D755" s="65"/>
      <c r="E755" s="65"/>
      <c r="F755" s="65"/>
      <c r="G755" s="65"/>
      <c r="H755" s="65"/>
      <c r="I755" s="65"/>
      <c r="J755" s="108"/>
      <c r="K755" s="103"/>
      <c r="L755" s="65"/>
      <c r="M755" s="65"/>
    </row>
    <row r="756">
      <c r="A756" s="61"/>
      <c r="B756" s="61"/>
      <c r="C756" s="61"/>
      <c r="D756" s="61"/>
      <c r="E756" s="61"/>
      <c r="F756" s="61"/>
      <c r="G756" s="61"/>
      <c r="H756" s="61"/>
      <c r="I756" s="61"/>
      <c r="J756" s="107"/>
      <c r="K756" s="100"/>
      <c r="L756" s="61"/>
      <c r="M756" s="61"/>
    </row>
    <row r="757">
      <c r="A757" s="65"/>
      <c r="B757" s="65"/>
      <c r="C757" s="65"/>
      <c r="D757" s="65"/>
      <c r="E757" s="65"/>
      <c r="F757" s="65"/>
      <c r="G757" s="65"/>
      <c r="H757" s="65"/>
      <c r="I757" s="65"/>
      <c r="J757" s="108"/>
      <c r="K757" s="103"/>
      <c r="L757" s="65"/>
      <c r="M757" s="65"/>
    </row>
    <row r="758">
      <c r="A758" s="61"/>
      <c r="B758" s="61"/>
      <c r="C758" s="61"/>
      <c r="D758" s="61"/>
      <c r="E758" s="61"/>
      <c r="F758" s="61"/>
      <c r="G758" s="61"/>
      <c r="H758" s="61"/>
      <c r="I758" s="61"/>
      <c r="J758" s="107"/>
      <c r="K758" s="100"/>
      <c r="L758" s="61"/>
      <c r="M758" s="61"/>
    </row>
    <row r="759">
      <c r="A759" s="65"/>
      <c r="B759" s="65"/>
      <c r="C759" s="65"/>
      <c r="D759" s="65"/>
      <c r="E759" s="65"/>
      <c r="F759" s="65"/>
      <c r="G759" s="65"/>
      <c r="H759" s="65"/>
      <c r="I759" s="65"/>
      <c r="J759" s="108"/>
      <c r="K759" s="103"/>
      <c r="L759" s="65"/>
      <c r="M759" s="65"/>
    </row>
    <row r="760">
      <c r="A760" s="61"/>
      <c r="B760" s="61"/>
      <c r="C760" s="61"/>
      <c r="D760" s="61"/>
      <c r="E760" s="61"/>
      <c r="F760" s="61"/>
      <c r="G760" s="61"/>
      <c r="H760" s="61"/>
      <c r="I760" s="61"/>
      <c r="J760" s="107"/>
      <c r="K760" s="100"/>
      <c r="L760" s="61"/>
      <c r="M760" s="61"/>
    </row>
    <row r="761">
      <c r="A761" s="65"/>
      <c r="B761" s="65"/>
      <c r="C761" s="65"/>
      <c r="D761" s="65"/>
      <c r="E761" s="65"/>
      <c r="F761" s="65"/>
      <c r="G761" s="65"/>
      <c r="H761" s="65"/>
      <c r="I761" s="65"/>
      <c r="J761" s="108"/>
      <c r="K761" s="103"/>
      <c r="L761" s="65"/>
      <c r="M761" s="65"/>
    </row>
    <row r="762">
      <c r="A762" s="61"/>
      <c r="B762" s="61"/>
      <c r="C762" s="61"/>
      <c r="D762" s="61"/>
      <c r="E762" s="61"/>
      <c r="F762" s="61"/>
      <c r="G762" s="61"/>
      <c r="H762" s="61"/>
      <c r="I762" s="61"/>
      <c r="J762" s="107"/>
      <c r="K762" s="100"/>
      <c r="L762" s="61"/>
      <c r="M762" s="61"/>
    </row>
    <row r="763">
      <c r="A763" s="65"/>
      <c r="B763" s="65"/>
      <c r="C763" s="65"/>
      <c r="D763" s="65"/>
      <c r="E763" s="65"/>
      <c r="F763" s="65"/>
      <c r="G763" s="65"/>
      <c r="H763" s="65"/>
      <c r="I763" s="65"/>
      <c r="J763" s="108"/>
      <c r="K763" s="103"/>
      <c r="L763" s="65"/>
      <c r="M763" s="65"/>
    </row>
    <row r="764">
      <c r="A764" s="61"/>
      <c r="B764" s="61"/>
      <c r="C764" s="61"/>
      <c r="D764" s="61"/>
      <c r="E764" s="61"/>
      <c r="F764" s="61"/>
      <c r="G764" s="61"/>
      <c r="H764" s="61"/>
      <c r="I764" s="61"/>
      <c r="J764" s="107"/>
      <c r="K764" s="100"/>
      <c r="L764" s="61"/>
      <c r="M764" s="61"/>
    </row>
    <row r="765">
      <c r="A765" s="65"/>
      <c r="B765" s="65"/>
      <c r="C765" s="65"/>
      <c r="D765" s="65"/>
      <c r="E765" s="65"/>
      <c r="F765" s="65"/>
      <c r="G765" s="65"/>
      <c r="H765" s="65"/>
      <c r="I765" s="65"/>
      <c r="J765" s="108"/>
      <c r="K765" s="103"/>
      <c r="L765" s="65"/>
      <c r="M765" s="65"/>
    </row>
    <row r="766">
      <c r="A766" s="61"/>
      <c r="B766" s="61"/>
      <c r="C766" s="61"/>
      <c r="D766" s="61"/>
      <c r="E766" s="61"/>
      <c r="F766" s="61"/>
      <c r="G766" s="61"/>
      <c r="H766" s="61"/>
      <c r="I766" s="61"/>
      <c r="J766" s="107"/>
      <c r="K766" s="100"/>
      <c r="L766" s="61"/>
      <c r="M766" s="61"/>
    </row>
    <row r="767">
      <c r="A767" s="65"/>
      <c r="B767" s="65"/>
      <c r="C767" s="65"/>
      <c r="D767" s="65"/>
      <c r="E767" s="65"/>
      <c r="F767" s="65"/>
      <c r="G767" s="65"/>
      <c r="H767" s="65"/>
      <c r="I767" s="65"/>
      <c r="J767" s="108"/>
      <c r="K767" s="103"/>
      <c r="L767" s="65"/>
      <c r="M767" s="65"/>
    </row>
    <row r="768">
      <c r="A768" s="61"/>
      <c r="B768" s="61"/>
      <c r="C768" s="61"/>
      <c r="D768" s="61"/>
      <c r="E768" s="61"/>
      <c r="F768" s="61"/>
      <c r="G768" s="61"/>
      <c r="H768" s="61"/>
      <c r="I768" s="61"/>
      <c r="J768" s="107"/>
      <c r="K768" s="100"/>
      <c r="L768" s="61"/>
      <c r="M768" s="61"/>
    </row>
    <row r="769">
      <c r="A769" s="65"/>
      <c r="B769" s="65"/>
      <c r="C769" s="65"/>
      <c r="D769" s="65"/>
      <c r="E769" s="65"/>
      <c r="F769" s="65"/>
      <c r="G769" s="65"/>
      <c r="H769" s="65"/>
      <c r="I769" s="65"/>
      <c r="J769" s="108"/>
      <c r="K769" s="103"/>
      <c r="L769" s="65"/>
      <c r="M769" s="65"/>
    </row>
    <row r="770">
      <c r="A770" s="61"/>
      <c r="B770" s="61"/>
      <c r="C770" s="61"/>
      <c r="D770" s="61"/>
      <c r="E770" s="61"/>
      <c r="F770" s="61"/>
      <c r="G770" s="61"/>
      <c r="H770" s="61"/>
      <c r="I770" s="61"/>
      <c r="J770" s="107"/>
      <c r="K770" s="100"/>
      <c r="L770" s="61"/>
      <c r="M770" s="61"/>
    </row>
    <row r="771">
      <c r="A771" s="65"/>
      <c r="B771" s="65"/>
      <c r="C771" s="65"/>
      <c r="D771" s="65"/>
      <c r="E771" s="65"/>
      <c r="F771" s="65"/>
      <c r="G771" s="65"/>
      <c r="H771" s="65"/>
      <c r="I771" s="65"/>
      <c r="J771" s="108"/>
      <c r="K771" s="103"/>
      <c r="L771" s="65"/>
      <c r="M771" s="65"/>
    </row>
    <row r="772">
      <c r="A772" s="61"/>
      <c r="B772" s="61"/>
      <c r="C772" s="61"/>
      <c r="D772" s="61"/>
      <c r="E772" s="61"/>
      <c r="F772" s="61"/>
      <c r="G772" s="61"/>
      <c r="H772" s="61"/>
      <c r="I772" s="61"/>
      <c r="J772" s="107"/>
      <c r="K772" s="100"/>
      <c r="L772" s="61"/>
      <c r="M772" s="61"/>
    </row>
    <row r="773">
      <c r="A773" s="65"/>
      <c r="B773" s="65"/>
      <c r="C773" s="65"/>
      <c r="D773" s="65"/>
      <c r="E773" s="65"/>
      <c r="F773" s="65"/>
      <c r="G773" s="65"/>
      <c r="H773" s="65"/>
      <c r="I773" s="65"/>
      <c r="J773" s="108"/>
      <c r="K773" s="103"/>
      <c r="L773" s="65"/>
      <c r="M773" s="65"/>
    </row>
    <row r="774">
      <c r="A774" s="61"/>
      <c r="B774" s="61"/>
      <c r="C774" s="61"/>
      <c r="D774" s="61"/>
      <c r="E774" s="61"/>
      <c r="F774" s="61"/>
      <c r="G774" s="61"/>
      <c r="H774" s="61"/>
      <c r="I774" s="61"/>
      <c r="J774" s="107"/>
      <c r="K774" s="100"/>
      <c r="L774" s="61"/>
      <c r="M774" s="61"/>
    </row>
    <row r="775">
      <c r="A775" s="65"/>
      <c r="B775" s="65"/>
      <c r="C775" s="65"/>
      <c r="D775" s="65"/>
      <c r="E775" s="65"/>
      <c r="F775" s="65"/>
      <c r="G775" s="65"/>
      <c r="H775" s="65"/>
      <c r="I775" s="65"/>
      <c r="J775" s="108"/>
      <c r="K775" s="103"/>
      <c r="L775" s="65"/>
      <c r="M775" s="65"/>
    </row>
    <row r="776">
      <c r="A776" s="61"/>
      <c r="B776" s="61"/>
      <c r="C776" s="61"/>
      <c r="D776" s="61"/>
      <c r="E776" s="61"/>
      <c r="F776" s="61"/>
      <c r="G776" s="61"/>
      <c r="H776" s="61"/>
      <c r="I776" s="61"/>
      <c r="J776" s="107"/>
      <c r="K776" s="100"/>
      <c r="L776" s="61"/>
      <c r="M776" s="61"/>
    </row>
    <row r="777">
      <c r="A777" s="65"/>
      <c r="B777" s="65"/>
      <c r="C777" s="65"/>
      <c r="D777" s="65"/>
      <c r="E777" s="65"/>
      <c r="F777" s="65"/>
      <c r="G777" s="65"/>
      <c r="H777" s="65"/>
      <c r="I777" s="65"/>
      <c r="J777" s="108"/>
      <c r="K777" s="103"/>
      <c r="L777" s="65"/>
      <c r="M777" s="65"/>
    </row>
    <row r="778">
      <c r="A778" s="61"/>
      <c r="B778" s="61"/>
      <c r="C778" s="61"/>
      <c r="D778" s="61"/>
      <c r="E778" s="61"/>
      <c r="F778" s="61"/>
      <c r="G778" s="61"/>
      <c r="H778" s="61"/>
      <c r="I778" s="61"/>
      <c r="J778" s="107"/>
      <c r="K778" s="100"/>
      <c r="L778" s="61"/>
      <c r="M778" s="61"/>
    </row>
    <row r="779">
      <c r="A779" s="65"/>
      <c r="B779" s="65"/>
      <c r="C779" s="65"/>
      <c r="D779" s="65"/>
      <c r="E779" s="65"/>
      <c r="F779" s="65"/>
      <c r="G779" s="65"/>
      <c r="H779" s="65"/>
      <c r="I779" s="65"/>
      <c r="J779" s="108"/>
      <c r="K779" s="103"/>
      <c r="L779" s="65"/>
      <c r="M779" s="65"/>
    </row>
    <row r="780">
      <c r="A780" s="61"/>
      <c r="B780" s="61"/>
      <c r="C780" s="61"/>
      <c r="D780" s="61"/>
      <c r="E780" s="61"/>
      <c r="F780" s="61"/>
      <c r="G780" s="61"/>
      <c r="H780" s="61"/>
      <c r="I780" s="61"/>
      <c r="J780" s="107"/>
      <c r="K780" s="100"/>
      <c r="L780" s="61"/>
      <c r="M780" s="61"/>
    </row>
    <row r="781">
      <c r="A781" s="65"/>
      <c r="B781" s="65"/>
      <c r="C781" s="65"/>
      <c r="D781" s="65"/>
      <c r="E781" s="65"/>
      <c r="F781" s="65"/>
      <c r="G781" s="65"/>
      <c r="H781" s="65"/>
      <c r="I781" s="65"/>
      <c r="J781" s="108"/>
      <c r="K781" s="103"/>
      <c r="L781" s="65"/>
      <c r="M781" s="65"/>
    </row>
    <row r="782">
      <c r="A782" s="61"/>
      <c r="B782" s="61"/>
      <c r="C782" s="61"/>
      <c r="D782" s="61"/>
      <c r="E782" s="61"/>
      <c r="F782" s="61"/>
      <c r="G782" s="61"/>
      <c r="H782" s="61"/>
      <c r="I782" s="61"/>
      <c r="J782" s="107"/>
      <c r="K782" s="100"/>
      <c r="L782" s="61"/>
      <c r="M782" s="61"/>
    </row>
    <row r="783">
      <c r="A783" s="65"/>
      <c r="B783" s="65"/>
      <c r="C783" s="65"/>
      <c r="D783" s="65"/>
      <c r="E783" s="65"/>
      <c r="F783" s="65"/>
      <c r="G783" s="65"/>
      <c r="H783" s="65"/>
      <c r="I783" s="65"/>
      <c r="J783" s="108"/>
      <c r="K783" s="103"/>
      <c r="L783" s="65"/>
      <c r="M783" s="65"/>
    </row>
    <row r="784">
      <c r="A784" s="61"/>
      <c r="B784" s="61"/>
      <c r="C784" s="61"/>
      <c r="D784" s="61"/>
      <c r="E784" s="61"/>
      <c r="F784" s="61"/>
      <c r="G784" s="61"/>
      <c r="H784" s="61"/>
      <c r="I784" s="61"/>
      <c r="J784" s="107"/>
      <c r="K784" s="100"/>
      <c r="L784" s="61"/>
      <c r="M784" s="61"/>
    </row>
    <row r="785">
      <c r="A785" s="65"/>
      <c r="B785" s="65"/>
      <c r="C785" s="65"/>
      <c r="D785" s="65"/>
      <c r="E785" s="65"/>
      <c r="F785" s="65"/>
      <c r="G785" s="65"/>
      <c r="H785" s="65"/>
      <c r="I785" s="65"/>
      <c r="J785" s="108"/>
      <c r="K785" s="103"/>
      <c r="L785" s="65"/>
      <c r="M785" s="65"/>
    </row>
    <row r="786">
      <c r="A786" s="61"/>
      <c r="B786" s="61"/>
      <c r="C786" s="61"/>
      <c r="D786" s="61"/>
      <c r="E786" s="61"/>
      <c r="F786" s="61"/>
      <c r="G786" s="61"/>
      <c r="H786" s="61"/>
      <c r="I786" s="61"/>
      <c r="J786" s="107"/>
      <c r="K786" s="100"/>
      <c r="L786" s="61"/>
      <c r="M786" s="61"/>
    </row>
    <row r="787">
      <c r="A787" s="65"/>
      <c r="B787" s="65"/>
      <c r="C787" s="65"/>
      <c r="D787" s="65"/>
      <c r="E787" s="65"/>
      <c r="F787" s="65"/>
      <c r="G787" s="65"/>
      <c r="H787" s="65"/>
      <c r="I787" s="65"/>
      <c r="J787" s="108"/>
      <c r="K787" s="103"/>
      <c r="L787" s="65"/>
      <c r="M787" s="65"/>
    </row>
    <row r="788">
      <c r="A788" s="61"/>
      <c r="B788" s="61"/>
      <c r="C788" s="61"/>
      <c r="D788" s="61"/>
      <c r="E788" s="61"/>
      <c r="F788" s="61"/>
      <c r="G788" s="61"/>
      <c r="H788" s="61"/>
      <c r="I788" s="61"/>
      <c r="J788" s="107"/>
      <c r="K788" s="100"/>
      <c r="L788" s="61"/>
      <c r="M788" s="61"/>
    </row>
    <row r="789">
      <c r="A789" s="65"/>
      <c r="B789" s="65"/>
      <c r="C789" s="65"/>
      <c r="D789" s="65"/>
      <c r="E789" s="65"/>
      <c r="F789" s="65"/>
      <c r="G789" s="65"/>
      <c r="H789" s="65"/>
      <c r="I789" s="65"/>
      <c r="J789" s="108"/>
      <c r="K789" s="103"/>
      <c r="L789" s="65"/>
      <c r="M789" s="65"/>
    </row>
    <row r="790">
      <c r="A790" s="61"/>
      <c r="B790" s="61"/>
      <c r="C790" s="61"/>
      <c r="D790" s="61"/>
      <c r="E790" s="61"/>
      <c r="F790" s="61"/>
      <c r="G790" s="61"/>
      <c r="H790" s="61"/>
      <c r="I790" s="61"/>
      <c r="J790" s="107"/>
      <c r="K790" s="100"/>
      <c r="L790" s="61"/>
      <c r="M790" s="61"/>
    </row>
    <row r="791">
      <c r="A791" s="65"/>
      <c r="B791" s="65"/>
      <c r="C791" s="65"/>
      <c r="D791" s="65"/>
      <c r="E791" s="65"/>
      <c r="F791" s="65"/>
      <c r="G791" s="65"/>
      <c r="H791" s="65"/>
      <c r="I791" s="65"/>
      <c r="J791" s="108"/>
      <c r="K791" s="103"/>
      <c r="L791" s="65"/>
      <c r="M791" s="65"/>
    </row>
    <row r="792">
      <c r="A792" s="61"/>
      <c r="B792" s="61"/>
      <c r="C792" s="61"/>
      <c r="D792" s="61"/>
      <c r="E792" s="61"/>
      <c r="F792" s="61"/>
      <c r="G792" s="61"/>
      <c r="H792" s="61"/>
      <c r="I792" s="61"/>
      <c r="J792" s="107"/>
      <c r="K792" s="100"/>
      <c r="L792" s="61"/>
      <c r="M792" s="61"/>
    </row>
    <row r="793">
      <c r="A793" s="65"/>
      <c r="B793" s="65"/>
      <c r="C793" s="65"/>
      <c r="D793" s="65"/>
      <c r="E793" s="65"/>
      <c r="F793" s="65"/>
      <c r="G793" s="65"/>
      <c r="H793" s="65"/>
      <c r="I793" s="65"/>
      <c r="J793" s="108"/>
      <c r="K793" s="103"/>
      <c r="L793" s="65"/>
      <c r="M793" s="65"/>
    </row>
    <row r="794">
      <c r="A794" s="61"/>
      <c r="B794" s="61"/>
      <c r="C794" s="61"/>
      <c r="D794" s="61"/>
      <c r="E794" s="61"/>
      <c r="F794" s="61"/>
      <c r="G794" s="61"/>
      <c r="H794" s="61"/>
      <c r="I794" s="61"/>
      <c r="J794" s="107"/>
      <c r="K794" s="100"/>
      <c r="L794" s="61"/>
      <c r="M794" s="61"/>
    </row>
    <row r="795">
      <c r="A795" s="65"/>
      <c r="B795" s="65"/>
      <c r="C795" s="65"/>
      <c r="D795" s="65"/>
      <c r="E795" s="65"/>
      <c r="F795" s="65"/>
      <c r="G795" s="65"/>
      <c r="H795" s="65"/>
      <c r="I795" s="65"/>
      <c r="J795" s="108"/>
      <c r="K795" s="103"/>
      <c r="L795" s="65"/>
      <c r="M795" s="65"/>
    </row>
    <row r="796">
      <c r="A796" s="61"/>
      <c r="B796" s="61"/>
      <c r="C796" s="61"/>
      <c r="D796" s="61"/>
      <c r="E796" s="61"/>
      <c r="F796" s="61"/>
      <c r="G796" s="61"/>
      <c r="H796" s="61"/>
      <c r="I796" s="61"/>
      <c r="J796" s="107"/>
      <c r="K796" s="100"/>
      <c r="L796" s="61"/>
      <c r="M796" s="61"/>
    </row>
    <row r="797">
      <c r="A797" s="65"/>
      <c r="B797" s="65"/>
      <c r="C797" s="65"/>
      <c r="D797" s="65"/>
      <c r="E797" s="65"/>
      <c r="F797" s="65"/>
      <c r="G797" s="65"/>
      <c r="H797" s="65"/>
      <c r="I797" s="65"/>
      <c r="J797" s="108"/>
      <c r="K797" s="103"/>
      <c r="L797" s="65"/>
      <c r="M797" s="65"/>
    </row>
    <row r="798">
      <c r="A798" s="61"/>
      <c r="B798" s="61"/>
      <c r="C798" s="61"/>
      <c r="D798" s="61"/>
      <c r="E798" s="61"/>
      <c r="F798" s="61"/>
      <c r="G798" s="61"/>
      <c r="H798" s="61"/>
      <c r="I798" s="61"/>
      <c r="J798" s="107"/>
      <c r="K798" s="100"/>
      <c r="L798" s="61"/>
      <c r="M798" s="61"/>
    </row>
    <row r="799">
      <c r="A799" s="65"/>
      <c r="B799" s="65"/>
      <c r="C799" s="65"/>
      <c r="D799" s="65"/>
      <c r="E799" s="65"/>
      <c r="F799" s="65"/>
      <c r="G799" s="65"/>
      <c r="H799" s="65"/>
      <c r="I799" s="65"/>
      <c r="J799" s="108"/>
      <c r="K799" s="103"/>
      <c r="L799" s="65"/>
      <c r="M799" s="65"/>
    </row>
    <row r="800">
      <c r="A800" s="61"/>
      <c r="B800" s="61"/>
      <c r="C800" s="61"/>
      <c r="D800" s="61"/>
      <c r="E800" s="61"/>
      <c r="F800" s="61"/>
      <c r="G800" s="61"/>
      <c r="H800" s="61"/>
      <c r="I800" s="61"/>
      <c r="J800" s="107"/>
      <c r="K800" s="100"/>
      <c r="L800" s="61"/>
      <c r="M800" s="61"/>
    </row>
    <row r="801">
      <c r="A801" s="65"/>
      <c r="B801" s="65"/>
      <c r="C801" s="65"/>
      <c r="D801" s="65"/>
      <c r="E801" s="65"/>
      <c r="F801" s="65"/>
      <c r="G801" s="65"/>
      <c r="H801" s="65"/>
      <c r="I801" s="65"/>
      <c r="J801" s="108"/>
      <c r="K801" s="103"/>
      <c r="L801" s="65"/>
      <c r="M801" s="65"/>
    </row>
    <row r="802">
      <c r="A802" s="61"/>
      <c r="B802" s="61"/>
      <c r="C802" s="61"/>
      <c r="D802" s="61"/>
      <c r="E802" s="61"/>
      <c r="F802" s="61"/>
      <c r="G802" s="61"/>
      <c r="H802" s="61"/>
      <c r="I802" s="61"/>
      <c r="J802" s="107"/>
      <c r="K802" s="100"/>
      <c r="L802" s="61"/>
      <c r="M802" s="61"/>
    </row>
    <row r="803">
      <c r="A803" s="65"/>
      <c r="B803" s="65"/>
      <c r="C803" s="65"/>
      <c r="D803" s="65"/>
      <c r="E803" s="65"/>
      <c r="F803" s="65"/>
      <c r="G803" s="65"/>
      <c r="H803" s="65"/>
      <c r="I803" s="65"/>
      <c r="J803" s="108"/>
      <c r="K803" s="103"/>
      <c r="L803" s="65"/>
      <c r="M803" s="65"/>
    </row>
    <row r="804">
      <c r="A804" s="61"/>
      <c r="B804" s="61"/>
      <c r="C804" s="61"/>
      <c r="D804" s="61"/>
      <c r="E804" s="61"/>
      <c r="F804" s="61"/>
      <c r="G804" s="61"/>
      <c r="H804" s="61"/>
      <c r="I804" s="61"/>
      <c r="J804" s="107"/>
      <c r="K804" s="100"/>
      <c r="L804" s="61"/>
      <c r="M804" s="61"/>
    </row>
    <row r="805">
      <c r="A805" s="65"/>
      <c r="B805" s="65"/>
      <c r="C805" s="65"/>
      <c r="D805" s="65"/>
      <c r="E805" s="65"/>
      <c r="F805" s="65"/>
      <c r="G805" s="65"/>
      <c r="H805" s="65"/>
      <c r="I805" s="65"/>
      <c r="J805" s="108"/>
      <c r="K805" s="103"/>
      <c r="L805" s="65"/>
      <c r="M805" s="65"/>
    </row>
    <row r="806">
      <c r="A806" s="61"/>
      <c r="B806" s="61"/>
      <c r="C806" s="61"/>
      <c r="D806" s="61"/>
      <c r="E806" s="61"/>
      <c r="F806" s="61"/>
      <c r="G806" s="61"/>
      <c r="H806" s="61"/>
      <c r="I806" s="61"/>
      <c r="J806" s="107"/>
      <c r="K806" s="100"/>
      <c r="L806" s="61"/>
      <c r="M806" s="61"/>
    </row>
    <row r="807">
      <c r="A807" s="65"/>
      <c r="B807" s="65"/>
      <c r="C807" s="65"/>
      <c r="D807" s="65"/>
      <c r="E807" s="65"/>
      <c r="F807" s="65"/>
      <c r="G807" s="65"/>
      <c r="H807" s="65"/>
      <c r="I807" s="65"/>
      <c r="J807" s="108"/>
      <c r="K807" s="103"/>
      <c r="L807" s="65"/>
      <c r="M807" s="65"/>
    </row>
    <row r="808">
      <c r="A808" s="61"/>
      <c r="B808" s="61"/>
      <c r="C808" s="61"/>
      <c r="D808" s="61"/>
      <c r="E808" s="61"/>
      <c r="F808" s="61"/>
      <c r="G808" s="61"/>
      <c r="H808" s="61"/>
      <c r="I808" s="61"/>
      <c r="J808" s="107"/>
      <c r="K808" s="100"/>
      <c r="L808" s="61"/>
      <c r="M808" s="61"/>
    </row>
    <row r="809">
      <c r="A809" s="65"/>
      <c r="B809" s="65"/>
      <c r="C809" s="65"/>
      <c r="D809" s="65"/>
      <c r="E809" s="65"/>
      <c r="F809" s="65"/>
      <c r="G809" s="65"/>
      <c r="H809" s="65"/>
      <c r="I809" s="65"/>
      <c r="J809" s="108"/>
      <c r="K809" s="103"/>
      <c r="L809" s="65"/>
      <c r="M809" s="65"/>
    </row>
    <row r="810">
      <c r="A810" s="61"/>
      <c r="B810" s="61"/>
      <c r="C810" s="61"/>
      <c r="D810" s="61"/>
      <c r="E810" s="61"/>
      <c r="F810" s="61"/>
      <c r="G810" s="61"/>
      <c r="H810" s="61"/>
      <c r="I810" s="61"/>
      <c r="J810" s="107"/>
      <c r="K810" s="100"/>
      <c r="L810" s="61"/>
      <c r="M810" s="61"/>
    </row>
    <row r="811">
      <c r="A811" s="65"/>
      <c r="B811" s="65"/>
      <c r="C811" s="65"/>
      <c r="D811" s="65"/>
      <c r="E811" s="65"/>
      <c r="F811" s="65"/>
      <c r="G811" s="65"/>
      <c r="H811" s="65"/>
      <c r="I811" s="65"/>
      <c r="J811" s="108"/>
      <c r="K811" s="103"/>
      <c r="L811" s="65"/>
      <c r="M811" s="65"/>
    </row>
    <row r="812">
      <c r="A812" s="61"/>
      <c r="B812" s="61"/>
      <c r="C812" s="61"/>
      <c r="D812" s="61"/>
      <c r="E812" s="61"/>
      <c r="F812" s="61"/>
      <c r="G812" s="61"/>
      <c r="H812" s="61"/>
      <c r="I812" s="61"/>
      <c r="J812" s="107"/>
      <c r="K812" s="100"/>
      <c r="L812" s="61"/>
      <c r="M812" s="61"/>
    </row>
    <row r="813">
      <c r="A813" s="65"/>
      <c r="B813" s="65"/>
      <c r="C813" s="65"/>
      <c r="D813" s="65"/>
      <c r="E813" s="65"/>
      <c r="F813" s="65"/>
      <c r="G813" s="65"/>
      <c r="H813" s="65"/>
      <c r="I813" s="65"/>
      <c r="J813" s="108"/>
      <c r="K813" s="103"/>
      <c r="L813" s="65"/>
      <c r="M813" s="65"/>
    </row>
    <row r="814">
      <c r="A814" s="61"/>
      <c r="B814" s="61"/>
      <c r="C814" s="61"/>
      <c r="D814" s="61"/>
      <c r="E814" s="61"/>
      <c r="F814" s="61"/>
      <c r="G814" s="61"/>
      <c r="H814" s="61"/>
      <c r="I814" s="61"/>
      <c r="J814" s="107"/>
      <c r="K814" s="100"/>
      <c r="L814" s="61"/>
      <c r="M814" s="61"/>
    </row>
    <row r="815">
      <c r="A815" s="65"/>
      <c r="B815" s="65"/>
      <c r="C815" s="65"/>
      <c r="D815" s="65"/>
      <c r="E815" s="65"/>
      <c r="F815" s="65"/>
      <c r="G815" s="65"/>
      <c r="H815" s="65"/>
      <c r="I815" s="65"/>
      <c r="J815" s="108"/>
      <c r="K815" s="103"/>
      <c r="L815" s="65"/>
      <c r="M815" s="65"/>
    </row>
    <row r="816">
      <c r="A816" s="61"/>
      <c r="B816" s="61"/>
      <c r="C816" s="61"/>
      <c r="D816" s="61"/>
      <c r="E816" s="61"/>
      <c r="F816" s="61"/>
      <c r="G816" s="61"/>
      <c r="H816" s="61"/>
      <c r="I816" s="61"/>
      <c r="J816" s="107"/>
      <c r="K816" s="100"/>
      <c r="L816" s="61"/>
      <c r="M816" s="61"/>
    </row>
    <row r="817">
      <c r="A817" s="65"/>
      <c r="B817" s="65"/>
      <c r="C817" s="65"/>
      <c r="D817" s="65"/>
      <c r="E817" s="65"/>
      <c r="F817" s="65"/>
      <c r="G817" s="65"/>
      <c r="H817" s="65"/>
      <c r="I817" s="65"/>
      <c r="J817" s="108"/>
      <c r="K817" s="103"/>
      <c r="L817" s="65"/>
      <c r="M817" s="65"/>
    </row>
    <row r="818">
      <c r="A818" s="61"/>
      <c r="B818" s="61"/>
      <c r="C818" s="61"/>
      <c r="D818" s="61"/>
      <c r="E818" s="61"/>
      <c r="F818" s="61"/>
      <c r="G818" s="61"/>
      <c r="H818" s="61"/>
      <c r="I818" s="61"/>
      <c r="J818" s="107"/>
      <c r="K818" s="100"/>
      <c r="L818" s="61"/>
      <c r="M818" s="61"/>
    </row>
    <row r="819">
      <c r="A819" s="65"/>
      <c r="B819" s="65"/>
      <c r="C819" s="65"/>
      <c r="D819" s="65"/>
      <c r="E819" s="65"/>
      <c r="F819" s="65"/>
      <c r="G819" s="65"/>
      <c r="H819" s="65"/>
      <c r="I819" s="65"/>
      <c r="J819" s="108"/>
      <c r="K819" s="103"/>
      <c r="L819" s="65"/>
      <c r="M819" s="65"/>
    </row>
    <row r="820">
      <c r="A820" s="61"/>
      <c r="B820" s="61"/>
      <c r="C820" s="61"/>
      <c r="D820" s="61"/>
      <c r="E820" s="61"/>
      <c r="F820" s="61"/>
      <c r="G820" s="61"/>
      <c r="H820" s="61"/>
      <c r="I820" s="61"/>
      <c r="J820" s="107"/>
      <c r="K820" s="100"/>
      <c r="L820" s="61"/>
      <c r="M820" s="61"/>
    </row>
    <row r="821">
      <c r="A821" s="65"/>
      <c r="B821" s="65"/>
      <c r="C821" s="65"/>
      <c r="D821" s="65"/>
      <c r="E821" s="65"/>
      <c r="F821" s="65"/>
      <c r="G821" s="65"/>
      <c r="H821" s="65"/>
      <c r="I821" s="65"/>
      <c r="J821" s="108"/>
      <c r="K821" s="103"/>
      <c r="L821" s="65"/>
      <c r="M821" s="65"/>
    </row>
    <row r="822">
      <c r="A822" s="61"/>
      <c r="B822" s="61"/>
      <c r="C822" s="61"/>
      <c r="D822" s="61"/>
      <c r="E822" s="61"/>
      <c r="F822" s="61"/>
      <c r="G822" s="61"/>
      <c r="H822" s="61"/>
      <c r="I822" s="61"/>
      <c r="J822" s="107"/>
      <c r="K822" s="100"/>
      <c r="L822" s="61"/>
      <c r="M822" s="61"/>
    </row>
    <row r="823">
      <c r="A823" s="65"/>
      <c r="B823" s="65"/>
      <c r="C823" s="65"/>
      <c r="D823" s="65"/>
      <c r="E823" s="65"/>
      <c r="F823" s="65"/>
      <c r="G823" s="65"/>
      <c r="H823" s="65"/>
      <c r="I823" s="65"/>
      <c r="J823" s="108"/>
      <c r="K823" s="103"/>
      <c r="L823" s="65"/>
      <c r="M823" s="65"/>
    </row>
    <row r="824">
      <c r="A824" s="61"/>
      <c r="B824" s="61"/>
      <c r="C824" s="61"/>
      <c r="D824" s="61"/>
      <c r="E824" s="61"/>
      <c r="F824" s="61"/>
      <c r="G824" s="61"/>
      <c r="H824" s="61"/>
      <c r="I824" s="61"/>
      <c r="J824" s="107"/>
      <c r="K824" s="100"/>
      <c r="L824" s="61"/>
      <c r="M824" s="61"/>
    </row>
    <row r="825">
      <c r="A825" s="65"/>
      <c r="B825" s="65"/>
      <c r="C825" s="65"/>
      <c r="D825" s="65"/>
      <c r="E825" s="65"/>
      <c r="F825" s="65"/>
      <c r="G825" s="65"/>
      <c r="H825" s="65"/>
      <c r="I825" s="65"/>
      <c r="J825" s="108"/>
      <c r="K825" s="103"/>
      <c r="L825" s="65"/>
      <c r="M825" s="65"/>
    </row>
    <row r="826">
      <c r="A826" s="61"/>
      <c r="B826" s="61"/>
      <c r="C826" s="61"/>
      <c r="D826" s="61"/>
      <c r="E826" s="61"/>
      <c r="F826" s="61"/>
      <c r="G826" s="61"/>
      <c r="H826" s="61"/>
      <c r="I826" s="61"/>
      <c r="J826" s="107"/>
      <c r="K826" s="100"/>
      <c r="L826" s="61"/>
      <c r="M826" s="61"/>
    </row>
    <row r="827">
      <c r="A827" s="65"/>
      <c r="B827" s="65"/>
      <c r="C827" s="65"/>
      <c r="D827" s="65"/>
      <c r="E827" s="65"/>
      <c r="F827" s="65"/>
      <c r="G827" s="65"/>
      <c r="H827" s="65"/>
      <c r="I827" s="65"/>
      <c r="J827" s="108"/>
      <c r="K827" s="103"/>
      <c r="L827" s="65"/>
      <c r="M827" s="65"/>
    </row>
    <row r="828">
      <c r="A828" s="61"/>
      <c r="B828" s="61"/>
      <c r="C828" s="61"/>
      <c r="D828" s="61"/>
      <c r="E828" s="61"/>
      <c r="F828" s="61"/>
      <c r="G828" s="61"/>
      <c r="H828" s="61"/>
      <c r="I828" s="61"/>
      <c r="J828" s="107"/>
      <c r="K828" s="100"/>
      <c r="L828" s="61"/>
      <c r="M828" s="61"/>
    </row>
    <row r="829">
      <c r="A829" s="65"/>
      <c r="B829" s="65"/>
      <c r="C829" s="65"/>
      <c r="D829" s="65"/>
      <c r="E829" s="65"/>
      <c r="F829" s="65"/>
      <c r="G829" s="65"/>
      <c r="H829" s="65"/>
      <c r="I829" s="65"/>
      <c r="J829" s="108"/>
      <c r="K829" s="103"/>
      <c r="L829" s="65"/>
      <c r="M829" s="65"/>
    </row>
    <row r="830">
      <c r="A830" s="61"/>
      <c r="B830" s="61"/>
      <c r="C830" s="61"/>
      <c r="D830" s="61"/>
      <c r="E830" s="61"/>
      <c r="F830" s="61"/>
      <c r="G830" s="61"/>
      <c r="H830" s="61"/>
      <c r="I830" s="61"/>
      <c r="J830" s="107"/>
      <c r="K830" s="100"/>
      <c r="L830" s="61"/>
      <c r="M830" s="61"/>
    </row>
    <row r="831">
      <c r="A831" s="65"/>
      <c r="B831" s="65"/>
      <c r="C831" s="65"/>
      <c r="D831" s="65"/>
      <c r="E831" s="65"/>
      <c r="F831" s="65"/>
      <c r="G831" s="65"/>
      <c r="H831" s="65"/>
      <c r="I831" s="65"/>
      <c r="J831" s="108"/>
      <c r="K831" s="103"/>
      <c r="L831" s="65"/>
      <c r="M831" s="65"/>
    </row>
    <row r="832">
      <c r="A832" s="61"/>
      <c r="B832" s="61"/>
      <c r="C832" s="61"/>
      <c r="D832" s="61"/>
      <c r="E832" s="61"/>
      <c r="F832" s="61"/>
      <c r="G832" s="61"/>
      <c r="H832" s="61"/>
      <c r="I832" s="61"/>
      <c r="J832" s="107"/>
      <c r="K832" s="100"/>
      <c r="L832" s="61"/>
      <c r="M832" s="61"/>
    </row>
    <row r="833">
      <c r="A833" s="65"/>
      <c r="B833" s="65"/>
      <c r="C833" s="65"/>
      <c r="D833" s="65"/>
      <c r="E833" s="65"/>
      <c r="F833" s="65"/>
      <c r="G833" s="65"/>
      <c r="H833" s="65"/>
      <c r="I833" s="65"/>
      <c r="J833" s="108"/>
      <c r="K833" s="103"/>
      <c r="L833" s="65"/>
      <c r="M833" s="65"/>
    </row>
    <row r="834">
      <c r="A834" s="61"/>
      <c r="B834" s="61"/>
      <c r="C834" s="61"/>
      <c r="D834" s="61"/>
      <c r="E834" s="61"/>
      <c r="F834" s="61"/>
      <c r="G834" s="61"/>
      <c r="H834" s="61"/>
      <c r="I834" s="61"/>
      <c r="J834" s="107"/>
      <c r="K834" s="100"/>
      <c r="L834" s="61"/>
      <c r="M834" s="61"/>
    </row>
    <row r="835">
      <c r="A835" s="65"/>
      <c r="B835" s="65"/>
      <c r="C835" s="65"/>
      <c r="D835" s="65"/>
      <c r="E835" s="65"/>
      <c r="F835" s="65"/>
      <c r="G835" s="65"/>
      <c r="H835" s="65"/>
      <c r="I835" s="65"/>
      <c r="J835" s="108"/>
      <c r="K835" s="103"/>
      <c r="L835" s="65"/>
      <c r="M835" s="65"/>
    </row>
    <row r="836">
      <c r="A836" s="61"/>
      <c r="B836" s="61"/>
      <c r="C836" s="61"/>
      <c r="D836" s="61"/>
      <c r="E836" s="61"/>
      <c r="F836" s="61"/>
      <c r="G836" s="61"/>
      <c r="H836" s="61"/>
      <c r="I836" s="61"/>
      <c r="J836" s="107"/>
      <c r="K836" s="100"/>
      <c r="L836" s="61"/>
      <c r="M836" s="61"/>
    </row>
    <row r="837">
      <c r="A837" s="65"/>
      <c r="B837" s="65"/>
      <c r="C837" s="65"/>
      <c r="D837" s="65"/>
      <c r="E837" s="65"/>
      <c r="F837" s="65"/>
      <c r="G837" s="65"/>
      <c r="H837" s="65"/>
      <c r="I837" s="65"/>
      <c r="J837" s="108"/>
      <c r="K837" s="103"/>
      <c r="L837" s="65"/>
      <c r="M837" s="65"/>
    </row>
    <row r="838">
      <c r="A838" s="61"/>
      <c r="B838" s="61"/>
      <c r="C838" s="61"/>
      <c r="D838" s="61"/>
      <c r="E838" s="61"/>
      <c r="F838" s="61"/>
      <c r="G838" s="61"/>
      <c r="H838" s="61"/>
      <c r="I838" s="61"/>
      <c r="J838" s="107"/>
      <c r="K838" s="100"/>
      <c r="L838" s="61"/>
      <c r="M838" s="61"/>
    </row>
    <row r="839">
      <c r="A839" s="65"/>
      <c r="B839" s="65"/>
      <c r="C839" s="65"/>
      <c r="D839" s="65"/>
      <c r="E839" s="65"/>
      <c r="F839" s="65"/>
      <c r="G839" s="65"/>
      <c r="H839" s="65"/>
      <c r="I839" s="65"/>
      <c r="J839" s="108"/>
      <c r="K839" s="103"/>
      <c r="L839" s="65"/>
      <c r="M839" s="65"/>
    </row>
    <row r="840">
      <c r="A840" s="61"/>
      <c r="B840" s="61"/>
      <c r="C840" s="61"/>
      <c r="D840" s="61"/>
      <c r="E840" s="61"/>
      <c r="F840" s="61"/>
      <c r="G840" s="61"/>
      <c r="H840" s="61"/>
      <c r="I840" s="61"/>
      <c r="J840" s="107"/>
      <c r="K840" s="100"/>
      <c r="L840" s="61"/>
      <c r="M840" s="61"/>
    </row>
    <row r="841">
      <c r="A841" s="65"/>
      <c r="B841" s="65"/>
      <c r="C841" s="65"/>
      <c r="D841" s="65"/>
      <c r="E841" s="65"/>
      <c r="F841" s="65"/>
      <c r="G841" s="65"/>
      <c r="H841" s="65"/>
      <c r="I841" s="65"/>
      <c r="J841" s="108"/>
      <c r="K841" s="103"/>
      <c r="L841" s="65"/>
      <c r="M841" s="65"/>
    </row>
    <row r="842">
      <c r="A842" s="61"/>
      <c r="B842" s="61"/>
      <c r="C842" s="61"/>
      <c r="D842" s="61"/>
      <c r="E842" s="61"/>
      <c r="F842" s="61"/>
      <c r="G842" s="61"/>
      <c r="H842" s="61"/>
      <c r="I842" s="61"/>
      <c r="J842" s="107"/>
      <c r="K842" s="100"/>
      <c r="L842" s="61"/>
      <c r="M842" s="61"/>
    </row>
    <row r="843">
      <c r="A843" s="65"/>
      <c r="B843" s="65"/>
      <c r="C843" s="65"/>
      <c r="D843" s="65"/>
      <c r="E843" s="65"/>
      <c r="F843" s="65"/>
      <c r="G843" s="65"/>
      <c r="H843" s="65"/>
      <c r="I843" s="65"/>
      <c r="J843" s="108"/>
      <c r="K843" s="103"/>
      <c r="L843" s="65"/>
      <c r="M843" s="65"/>
    </row>
    <row r="844">
      <c r="A844" s="61"/>
      <c r="B844" s="61"/>
      <c r="C844" s="61"/>
      <c r="D844" s="61"/>
      <c r="E844" s="61"/>
      <c r="F844" s="61"/>
      <c r="G844" s="61"/>
      <c r="H844" s="61"/>
      <c r="I844" s="61"/>
      <c r="J844" s="107"/>
      <c r="K844" s="100"/>
      <c r="L844" s="61"/>
      <c r="M844" s="61"/>
    </row>
    <row r="845">
      <c r="A845" s="65"/>
      <c r="B845" s="65"/>
      <c r="C845" s="65"/>
      <c r="D845" s="65"/>
      <c r="E845" s="65"/>
      <c r="F845" s="65"/>
      <c r="G845" s="65"/>
      <c r="H845" s="65"/>
      <c r="I845" s="65"/>
      <c r="J845" s="108"/>
      <c r="K845" s="103"/>
      <c r="L845" s="65"/>
      <c r="M845" s="65"/>
    </row>
    <row r="846">
      <c r="A846" s="61"/>
      <c r="B846" s="61"/>
      <c r="C846" s="61"/>
      <c r="D846" s="61"/>
      <c r="E846" s="61"/>
      <c r="F846" s="61"/>
      <c r="G846" s="61"/>
      <c r="H846" s="61"/>
      <c r="I846" s="61"/>
      <c r="J846" s="107"/>
      <c r="K846" s="100"/>
      <c r="L846" s="61"/>
      <c r="M846" s="61"/>
    </row>
    <row r="847">
      <c r="A847" s="65"/>
      <c r="B847" s="65"/>
      <c r="C847" s="65"/>
      <c r="D847" s="65"/>
      <c r="E847" s="65"/>
      <c r="F847" s="65"/>
      <c r="G847" s="65"/>
      <c r="H847" s="65"/>
      <c r="I847" s="65"/>
      <c r="J847" s="108"/>
      <c r="K847" s="103"/>
      <c r="L847" s="65"/>
      <c r="M847" s="65"/>
    </row>
    <row r="848">
      <c r="A848" s="61"/>
      <c r="B848" s="61"/>
      <c r="C848" s="61"/>
      <c r="D848" s="61"/>
      <c r="E848" s="61"/>
      <c r="F848" s="61"/>
      <c r="G848" s="61"/>
      <c r="H848" s="61"/>
      <c r="I848" s="61"/>
      <c r="J848" s="107"/>
      <c r="K848" s="100"/>
      <c r="L848" s="61"/>
      <c r="M848" s="61"/>
    </row>
    <row r="849">
      <c r="A849" s="65"/>
      <c r="B849" s="65"/>
      <c r="C849" s="65"/>
      <c r="D849" s="65"/>
      <c r="E849" s="65"/>
      <c r="F849" s="65"/>
      <c r="G849" s="65"/>
      <c r="H849" s="65"/>
      <c r="I849" s="65"/>
      <c r="J849" s="108"/>
      <c r="K849" s="103"/>
      <c r="L849" s="65"/>
      <c r="M849" s="65"/>
    </row>
    <row r="850">
      <c r="A850" s="61"/>
      <c r="B850" s="61"/>
      <c r="C850" s="61"/>
      <c r="D850" s="61"/>
      <c r="E850" s="61"/>
      <c r="F850" s="61"/>
      <c r="G850" s="61"/>
      <c r="H850" s="61"/>
      <c r="I850" s="61"/>
      <c r="J850" s="107"/>
      <c r="K850" s="100"/>
      <c r="L850" s="61"/>
      <c r="M850" s="61"/>
    </row>
    <row r="851">
      <c r="A851" s="65"/>
      <c r="B851" s="65"/>
      <c r="C851" s="65"/>
      <c r="D851" s="65"/>
      <c r="E851" s="65"/>
      <c r="F851" s="65"/>
      <c r="G851" s="65"/>
      <c r="H851" s="65"/>
      <c r="I851" s="65"/>
      <c r="J851" s="108"/>
      <c r="K851" s="103"/>
      <c r="L851" s="65"/>
      <c r="M851" s="65"/>
    </row>
    <row r="852">
      <c r="A852" s="61"/>
      <c r="B852" s="61"/>
      <c r="C852" s="61"/>
      <c r="D852" s="61"/>
      <c r="E852" s="61"/>
      <c r="F852" s="61"/>
      <c r="G852" s="61"/>
      <c r="H852" s="61"/>
      <c r="I852" s="61"/>
      <c r="J852" s="107"/>
      <c r="K852" s="100"/>
      <c r="L852" s="61"/>
      <c r="M852" s="61"/>
    </row>
    <row r="853">
      <c r="A853" s="65"/>
      <c r="B853" s="65"/>
      <c r="C853" s="65"/>
      <c r="D853" s="65"/>
      <c r="E853" s="65"/>
      <c r="F853" s="65"/>
      <c r="G853" s="65"/>
      <c r="H853" s="65"/>
      <c r="I853" s="65"/>
      <c r="J853" s="108"/>
      <c r="K853" s="103"/>
      <c r="L853" s="65"/>
      <c r="M853" s="65"/>
    </row>
    <row r="854">
      <c r="A854" s="61"/>
      <c r="B854" s="61"/>
      <c r="C854" s="61"/>
      <c r="D854" s="61"/>
      <c r="E854" s="61"/>
      <c r="F854" s="61"/>
      <c r="G854" s="61"/>
      <c r="H854" s="61"/>
      <c r="I854" s="61"/>
      <c r="J854" s="107"/>
      <c r="K854" s="100"/>
      <c r="L854" s="61"/>
      <c r="M854" s="61"/>
    </row>
    <row r="855">
      <c r="A855" s="65"/>
      <c r="B855" s="65"/>
      <c r="C855" s="65"/>
      <c r="D855" s="65"/>
      <c r="E855" s="65"/>
      <c r="F855" s="65"/>
      <c r="G855" s="65"/>
      <c r="H855" s="65"/>
      <c r="I855" s="65"/>
      <c r="J855" s="108"/>
      <c r="K855" s="103"/>
      <c r="L855" s="65"/>
      <c r="M855" s="65"/>
    </row>
    <row r="856">
      <c r="A856" s="61"/>
      <c r="B856" s="61"/>
      <c r="C856" s="61"/>
      <c r="D856" s="61"/>
      <c r="E856" s="61"/>
      <c r="F856" s="61"/>
      <c r="G856" s="61"/>
      <c r="H856" s="61"/>
      <c r="I856" s="61"/>
      <c r="J856" s="107"/>
      <c r="K856" s="100"/>
      <c r="L856" s="61"/>
      <c r="M856" s="61"/>
    </row>
    <row r="857">
      <c r="A857" s="65"/>
      <c r="B857" s="65"/>
      <c r="C857" s="65"/>
      <c r="D857" s="65"/>
      <c r="E857" s="65"/>
      <c r="F857" s="65"/>
      <c r="G857" s="65"/>
      <c r="H857" s="65"/>
      <c r="I857" s="65"/>
      <c r="J857" s="108"/>
      <c r="K857" s="103"/>
      <c r="L857" s="65"/>
      <c r="M857" s="65"/>
    </row>
    <row r="858">
      <c r="A858" s="61"/>
      <c r="B858" s="61"/>
      <c r="C858" s="61"/>
      <c r="D858" s="61"/>
      <c r="E858" s="61"/>
      <c r="F858" s="61"/>
      <c r="G858" s="61"/>
      <c r="H858" s="61"/>
      <c r="I858" s="61"/>
      <c r="J858" s="107"/>
      <c r="K858" s="100"/>
      <c r="L858" s="61"/>
      <c r="M858" s="61"/>
    </row>
    <row r="859">
      <c r="A859" s="65"/>
      <c r="B859" s="65"/>
      <c r="C859" s="65"/>
      <c r="D859" s="65"/>
      <c r="E859" s="65"/>
      <c r="F859" s="65"/>
      <c r="G859" s="65"/>
      <c r="H859" s="65"/>
      <c r="I859" s="65"/>
      <c r="J859" s="108"/>
      <c r="K859" s="103"/>
      <c r="L859" s="65"/>
      <c r="M859" s="65"/>
    </row>
    <row r="860">
      <c r="A860" s="61"/>
      <c r="B860" s="61"/>
      <c r="C860" s="61"/>
      <c r="D860" s="61"/>
      <c r="E860" s="61"/>
      <c r="F860" s="61"/>
      <c r="G860" s="61"/>
      <c r="H860" s="61"/>
      <c r="I860" s="61"/>
      <c r="J860" s="107"/>
      <c r="K860" s="100"/>
      <c r="L860" s="61"/>
      <c r="M860" s="61"/>
    </row>
    <row r="861">
      <c r="A861" s="65"/>
      <c r="B861" s="65"/>
      <c r="C861" s="65"/>
      <c r="D861" s="65"/>
      <c r="E861" s="65"/>
      <c r="F861" s="65"/>
      <c r="G861" s="65"/>
      <c r="H861" s="65"/>
      <c r="I861" s="65"/>
      <c r="J861" s="108"/>
      <c r="K861" s="103"/>
      <c r="L861" s="65"/>
      <c r="M861" s="65"/>
    </row>
    <row r="862">
      <c r="A862" s="61"/>
      <c r="B862" s="61"/>
      <c r="C862" s="61"/>
      <c r="D862" s="61"/>
      <c r="E862" s="61"/>
      <c r="F862" s="61"/>
      <c r="G862" s="61"/>
      <c r="H862" s="61"/>
      <c r="I862" s="61"/>
      <c r="J862" s="107"/>
      <c r="K862" s="100"/>
      <c r="L862" s="61"/>
      <c r="M862" s="61"/>
    </row>
    <row r="863">
      <c r="A863" s="65"/>
      <c r="B863" s="65"/>
      <c r="C863" s="65"/>
      <c r="D863" s="65"/>
      <c r="E863" s="65"/>
      <c r="F863" s="65"/>
      <c r="G863" s="65"/>
      <c r="H863" s="65"/>
      <c r="I863" s="65"/>
      <c r="J863" s="108"/>
      <c r="K863" s="103"/>
      <c r="L863" s="65"/>
      <c r="M863" s="65"/>
    </row>
    <row r="864">
      <c r="A864" s="61"/>
      <c r="B864" s="61"/>
      <c r="C864" s="61"/>
      <c r="D864" s="61"/>
      <c r="E864" s="61"/>
      <c r="F864" s="61"/>
      <c r="G864" s="61"/>
      <c r="H864" s="61"/>
      <c r="I864" s="61"/>
      <c r="J864" s="107"/>
      <c r="K864" s="100"/>
      <c r="L864" s="61"/>
      <c r="M864" s="61"/>
    </row>
    <row r="865">
      <c r="A865" s="65"/>
      <c r="B865" s="65"/>
      <c r="C865" s="65"/>
      <c r="D865" s="65"/>
      <c r="E865" s="65"/>
      <c r="F865" s="65"/>
      <c r="G865" s="65"/>
      <c r="H865" s="65"/>
      <c r="I865" s="65"/>
      <c r="J865" s="108"/>
      <c r="K865" s="103"/>
      <c r="L865" s="65"/>
      <c r="M865" s="65"/>
    </row>
    <row r="866">
      <c r="A866" s="61"/>
      <c r="B866" s="61"/>
      <c r="C866" s="61"/>
      <c r="D866" s="61"/>
      <c r="E866" s="61"/>
      <c r="F866" s="61"/>
      <c r="G866" s="61"/>
      <c r="H866" s="61"/>
      <c r="I866" s="61"/>
      <c r="J866" s="107"/>
      <c r="K866" s="100"/>
      <c r="L866" s="61"/>
      <c r="M866" s="61"/>
    </row>
    <row r="867">
      <c r="A867" s="65"/>
      <c r="B867" s="65"/>
      <c r="C867" s="65"/>
      <c r="D867" s="65"/>
      <c r="E867" s="65"/>
      <c r="F867" s="65"/>
      <c r="G867" s="65"/>
      <c r="H867" s="65"/>
      <c r="I867" s="65"/>
      <c r="J867" s="108"/>
      <c r="K867" s="103"/>
      <c r="L867" s="65"/>
      <c r="M867" s="65"/>
    </row>
    <row r="868">
      <c r="A868" s="61"/>
      <c r="B868" s="61"/>
      <c r="C868" s="61"/>
      <c r="D868" s="61"/>
      <c r="E868" s="61"/>
      <c r="F868" s="61"/>
      <c r="G868" s="61"/>
      <c r="H868" s="61"/>
      <c r="I868" s="61"/>
      <c r="J868" s="107"/>
      <c r="K868" s="100"/>
      <c r="L868" s="61"/>
      <c r="M868" s="61"/>
    </row>
    <row r="869">
      <c r="A869" s="65"/>
      <c r="B869" s="65"/>
      <c r="C869" s="65"/>
      <c r="D869" s="65"/>
      <c r="E869" s="65"/>
      <c r="F869" s="65"/>
      <c r="G869" s="65"/>
      <c r="H869" s="65"/>
      <c r="I869" s="65"/>
      <c r="J869" s="108"/>
      <c r="K869" s="103"/>
      <c r="L869" s="65"/>
      <c r="M869" s="65"/>
    </row>
    <row r="870">
      <c r="A870" s="61"/>
      <c r="B870" s="61"/>
      <c r="C870" s="61"/>
      <c r="D870" s="61"/>
      <c r="E870" s="61"/>
      <c r="F870" s="61"/>
      <c r="G870" s="61"/>
      <c r="H870" s="61"/>
      <c r="I870" s="61"/>
      <c r="J870" s="107"/>
      <c r="K870" s="100"/>
      <c r="L870" s="61"/>
      <c r="M870" s="61"/>
    </row>
    <row r="871">
      <c r="A871" s="65"/>
      <c r="B871" s="65"/>
      <c r="C871" s="65"/>
      <c r="D871" s="65"/>
      <c r="E871" s="65"/>
      <c r="F871" s="65"/>
      <c r="G871" s="65"/>
      <c r="H871" s="65"/>
      <c r="I871" s="65"/>
      <c r="J871" s="108"/>
      <c r="K871" s="103"/>
      <c r="L871" s="65"/>
      <c r="M871" s="65"/>
    </row>
    <row r="872">
      <c r="A872" s="61"/>
      <c r="B872" s="61"/>
      <c r="C872" s="61"/>
      <c r="D872" s="61"/>
      <c r="E872" s="61"/>
      <c r="F872" s="61"/>
      <c r="G872" s="61"/>
      <c r="H872" s="61"/>
      <c r="I872" s="61"/>
      <c r="J872" s="107"/>
      <c r="K872" s="100"/>
      <c r="L872" s="61"/>
      <c r="M872" s="61"/>
    </row>
    <row r="873">
      <c r="A873" s="65"/>
      <c r="B873" s="65"/>
      <c r="C873" s="65"/>
      <c r="D873" s="65"/>
      <c r="E873" s="65"/>
      <c r="F873" s="65"/>
      <c r="G873" s="65"/>
      <c r="H873" s="65"/>
      <c r="I873" s="65"/>
      <c r="J873" s="108"/>
      <c r="K873" s="103"/>
      <c r="L873" s="65"/>
      <c r="M873" s="65"/>
    </row>
    <row r="874">
      <c r="A874" s="61"/>
      <c r="B874" s="61"/>
      <c r="C874" s="61"/>
      <c r="D874" s="61"/>
      <c r="E874" s="61"/>
      <c r="F874" s="61"/>
      <c r="G874" s="61"/>
      <c r="H874" s="61"/>
      <c r="I874" s="61"/>
      <c r="J874" s="107"/>
      <c r="K874" s="100"/>
      <c r="L874" s="61"/>
      <c r="M874" s="61"/>
    </row>
    <row r="875">
      <c r="A875" s="65"/>
      <c r="B875" s="65"/>
      <c r="C875" s="65"/>
      <c r="D875" s="65"/>
      <c r="E875" s="65"/>
      <c r="F875" s="65"/>
      <c r="G875" s="65"/>
      <c r="H875" s="65"/>
      <c r="I875" s="65"/>
      <c r="J875" s="108"/>
      <c r="K875" s="103"/>
      <c r="L875" s="65"/>
      <c r="M875" s="65"/>
    </row>
    <row r="876">
      <c r="A876" s="61"/>
      <c r="B876" s="61"/>
      <c r="C876" s="61"/>
      <c r="D876" s="61"/>
      <c r="E876" s="61"/>
      <c r="F876" s="61"/>
      <c r="G876" s="61"/>
      <c r="H876" s="61"/>
      <c r="I876" s="61"/>
      <c r="J876" s="107"/>
      <c r="K876" s="100"/>
      <c r="L876" s="61"/>
      <c r="M876" s="61"/>
    </row>
    <row r="877">
      <c r="A877" s="65"/>
      <c r="B877" s="65"/>
      <c r="C877" s="65"/>
      <c r="D877" s="65"/>
      <c r="E877" s="65"/>
      <c r="F877" s="65"/>
      <c r="G877" s="65"/>
      <c r="H877" s="65"/>
      <c r="I877" s="65"/>
      <c r="J877" s="108"/>
      <c r="K877" s="103"/>
      <c r="L877" s="65"/>
      <c r="M877" s="65"/>
    </row>
    <row r="878">
      <c r="A878" s="61"/>
      <c r="B878" s="61"/>
      <c r="C878" s="61"/>
      <c r="D878" s="61"/>
      <c r="E878" s="61"/>
      <c r="F878" s="61"/>
      <c r="G878" s="61"/>
      <c r="H878" s="61"/>
      <c r="I878" s="61"/>
      <c r="J878" s="107"/>
      <c r="K878" s="100"/>
      <c r="L878" s="61"/>
      <c r="M878" s="61"/>
    </row>
    <row r="879">
      <c r="A879" s="65"/>
      <c r="B879" s="65"/>
      <c r="C879" s="65"/>
      <c r="D879" s="65"/>
      <c r="E879" s="65"/>
      <c r="F879" s="65"/>
      <c r="G879" s="65"/>
      <c r="H879" s="65"/>
      <c r="I879" s="65"/>
      <c r="J879" s="108"/>
      <c r="K879" s="103"/>
      <c r="L879" s="65"/>
      <c r="M879" s="65"/>
    </row>
    <row r="880">
      <c r="A880" s="61"/>
      <c r="B880" s="61"/>
      <c r="C880" s="61"/>
      <c r="D880" s="61"/>
      <c r="E880" s="61"/>
      <c r="F880" s="61"/>
      <c r="G880" s="61"/>
      <c r="H880" s="61"/>
      <c r="I880" s="61"/>
      <c r="J880" s="107"/>
      <c r="K880" s="100"/>
      <c r="L880" s="61"/>
      <c r="M880" s="61"/>
    </row>
    <row r="881">
      <c r="A881" s="65"/>
      <c r="B881" s="65"/>
      <c r="C881" s="65"/>
      <c r="D881" s="65"/>
      <c r="E881" s="65"/>
      <c r="F881" s="65"/>
      <c r="G881" s="65"/>
      <c r="H881" s="65"/>
      <c r="I881" s="65"/>
      <c r="J881" s="108"/>
      <c r="K881" s="103"/>
      <c r="L881" s="65"/>
      <c r="M881" s="65"/>
    </row>
    <row r="882">
      <c r="A882" s="61"/>
      <c r="B882" s="61"/>
      <c r="C882" s="61"/>
      <c r="D882" s="61"/>
      <c r="E882" s="61"/>
      <c r="F882" s="61"/>
      <c r="G882" s="61"/>
      <c r="H882" s="61"/>
      <c r="I882" s="61"/>
      <c r="J882" s="107"/>
      <c r="K882" s="100"/>
      <c r="L882" s="61"/>
      <c r="M882" s="61"/>
    </row>
    <row r="883">
      <c r="A883" s="65"/>
      <c r="B883" s="65"/>
      <c r="C883" s="65"/>
      <c r="D883" s="65"/>
      <c r="E883" s="65"/>
      <c r="F883" s="65"/>
      <c r="G883" s="65"/>
      <c r="H883" s="65"/>
      <c r="I883" s="65"/>
      <c r="J883" s="108"/>
      <c r="K883" s="103"/>
      <c r="L883" s="65"/>
      <c r="M883" s="65"/>
    </row>
    <row r="884">
      <c r="A884" s="61"/>
      <c r="B884" s="61"/>
      <c r="C884" s="61"/>
      <c r="D884" s="61"/>
      <c r="E884" s="61"/>
      <c r="F884" s="61"/>
      <c r="G884" s="61"/>
      <c r="H884" s="61"/>
      <c r="I884" s="61"/>
      <c r="J884" s="107"/>
      <c r="K884" s="100"/>
      <c r="L884" s="61"/>
      <c r="M884" s="61"/>
    </row>
    <row r="885">
      <c r="A885" s="65"/>
      <c r="B885" s="65"/>
      <c r="C885" s="65"/>
      <c r="D885" s="65"/>
      <c r="E885" s="65"/>
      <c r="F885" s="65"/>
      <c r="G885" s="65"/>
      <c r="H885" s="65"/>
      <c r="I885" s="65"/>
      <c r="J885" s="108"/>
      <c r="K885" s="103"/>
      <c r="L885" s="65"/>
      <c r="M885" s="65"/>
    </row>
    <row r="886">
      <c r="A886" s="61"/>
      <c r="B886" s="61"/>
      <c r="C886" s="61"/>
      <c r="D886" s="61"/>
      <c r="E886" s="61"/>
      <c r="F886" s="61"/>
      <c r="G886" s="61"/>
      <c r="H886" s="61"/>
      <c r="I886" s="61"/>
      <c r="J886" s="107"/>
      <c r="K886" s="100"/>
      <c r="L886" s="61"/>
      <c r="M886" s="61"/>
    </row>
    <row r="887">
      <c r="A887" s="65"/>
      <c r="B887" s="65"/>
      <c r="C887" s="65"/>
      <c r="D887" s="65"/>
      <c r="E887" s="65"/>
      <c r="F887" s="65"/>
      <c r="G887" s="65"/>
      <c r="H887" s="65"/>
      <c r="I887" s="65"/>
      <c r="J887" s="108"/>
      <c r="K887" s="103"/>
      <c r="L887" s="65"/>
      <c r="M887" s="65"/>
    </row>
    <row r="888">
      <c r="A888" s="61"/>
      <c r="B888" s="61"/>
      <c r="C888" s="61"/>
      <c r="D888" s="61"/>
      <c r="E888" s="61"/>
      <c r="F888" s="61"/>
      <c r="G888" s="61"/>
      <c r="H888" s="61"/>
      <c r="I888" s="61"/>
      <c r="J888" s="107"/>
      <c r="K888" s="100"/>
      <c r="L888" s="61"/>
      <c r="M888" s="61"/>
    </row>
    <row r="889">
      <c r="A889" s="65"/>
      <c r="B889" s="65"/>
      <c r="C889" s="65"/>
      <c r="D889" s="65"/>
      <c r="E889" s="65"/>
      <c r="F889" s="65"/>
      <c r="G889" s="65"/>
      <c r="H889" s="65"/>
      <c r="I889" s="65"/>
      <c r="J889" s="108"/>
      <c r="K889" s="103"/>
      <c r="L889" s="65"/>
      <c r="M889" s="65"/>
    </row>
    <row r="890">
      <c r="A890" s="61"/>
      <c r="B890" s="61"/>
      <c r="C890" s="61"/>
      <c r="D890" s="61"/>
      <c r="E890" s="61"/>
      <c r="F890" s="61"/>
      <c r="G890" s="61"/>
      <c r="H890" s="61"/>
      <c r="I890" s="61"/>
      <c r="J890" s="107"/>
      <c r="K890" s="100"/>
      <c r="L890" s="61"/>
      <c r="M890" s="61"/>
    </row>
    <row r="891">
      <c r="A891" s="65"/>
      <c r="B891" s="65"/>
      <c r="C891" s="65"/>
      <c r="D891" s="65"/>
      <c r="E891" s="65"/>
      <c r="F891" s="65"/>
      <c r="G891" s="65"/>
      <c r="H891" s="65"/>
      <c r="I891" s="65"/>
      <c r="J891" s="108"/>
      <c r="K891" s="103"/>
      <c r="L891" s="65"/>
      <c r="M891" s="65"/>
    </row>
    <row r="892">
      <c r="A892" s="61"/>
      <c r="B892" s="61"/>
      <c r="C892" s="61"/>
      <c r="D892" s="61"/>
      <c r="E892" s="61"/>
      <c r="F892" s="61"/>
      <c r="G892" s="61"/>
      <c r="H892" s="61"/>
      <c r="I892" s="61"/>
      <c r="J892" s="107"/>
      <c r="K892" s="100"/>
      <c r="L892" s="61"/>
      <c r="M892" s="61"/>
    </row>
    <row r="893">
      <c r="A893" s="65"/>
      <c r="B893" s="65"/>
      <c r="C893" s="65"/>
      <c r="D893" s="65"/>
      <c r="E893" s="65"/>
      <c r="F893" s="65"/>
      <c r="G893" s="65"/>
      <c r="H893" s="65"/>
      <c r="I893" s="65"/>
      <c r="J893" s="108"/>
      <c r="K893" s="103"/>
      <c r="L893" s="65"/>
      <c r="M893" s="65"/>
    </row>
    <row r="894">
      <c r="A894" s="61"/>
      <c r="B894" s="61"/>
      <c r="C894" s="61"/>
      <c r="D894" s="61"/>
      <c r="E894" s="61"/>
      <c r="F894" s="61"/>
      <c r="G894" s="61"/>
      <c r="H894" s="61"/>
      <c r="I894" s="61"/>
      <c r="J894" s="107"/>
      <c r="K894" s="100"/>
      <c r="L894" s="61"/>
      <c r="M894" s="61"/>
    </row>
    <row r="895">
      <c r="A895" s="65"/>
      <c r="B895" s="65"/>
      <c r="C895" s="65"/>
      <c r="D895" s="65"/>
      <c r="E895" s="65"/>
      <c r="F895" s="65"/>
      <c r="G895" s="65"/>
      <c r="H895" s="65"/>
      <c r="I895" s="65"/>
      <c r="J895" s="108"/>
      <c r="K895" s="103"/>
      <c r="L895" s="65"/>
      <c r="M895" s="65"/>
    </row>
    <row r="896">
      <c r="A896" s="61"/>
      <c r="B896" s="61"/>
      <c r="C896" s="61"/>
      <c r="D896" s="61"/>
      <c r="E896" s="61"/>
      <c r="F896" s="61"/>
      <c r="G896" s="61"/>
      <c r="H896" s="61"/>
      <c r="I896" s="61"/>
      <c r="J896" s="107"/>
      <c r="K896" s="100"/>
      <c r="L896" s="61"/>
      <c r="M896" s="61"/>
    </row>
    <row r="897">
      <c r="A897" s="65"/>
      <c r="B897" s="65"/>
      <c r="C897" s="65"/>
      <c r="D897" s="65"/>
      <c r="E897" s="65"/>
      <c r="F897" s="65"/>
      <c r="G897" s="65"/>
      <c r="H897" s="65"/>
      <c r="I897" s="65"/>
      <c r="J897" s="108"/>
      <c r="K897" s="103"/>
      <c r="L897" s="65"/>
      <c r="M897" s="65"/>
    </row>
    <row r="898">
      <c r="A898" s="61"/>
      <c r="B898" s="61"/>
      <c r="C898" s="61"/>
      <c r="D898" s="61"/>
      <c r="E898" s="61"/>
      <c r="F898" s="61"/>
      <c r="G898" s="61"/>
      <c r="H898" s="61"/>
      <c r="I898" s="61"/>
      <c r="J898" s="107"/>
      <c r="K898" s="100"/>
      <c r="L898" s="61"/>
      <c r="M898" s="61"/>
    </row>
    <row r="899">
      <c r="A899" s="65"/>
      <c r="B899" s="65"/>
      <c r="C899" s="65"/>
      <c r="D899" s="65"/>
      <c r="E899" s="65"/>
      <c r="F899" s="65"/>
      <c r="G899" s="65"/>
      <c r="H899" s="65"/>
      <c r="I899" s="65"/>
      <c r="J899" s="108"/>
      <c r="K899" s="103"/>
      <c r="L899" s="65"/>
      <c r="M899" s="65"/>
    </row>
    <row r="900">
      <c r="A900" s="61"/>
      <c r="B900" s="61"/>
      <c r="C900" s="61"/>
      <c r="D900" s="61"/>
      <c r="E900" s="61"/>
      <c r="F900" s="61"/>
      <c r="G900" s="61"/>
      <c r="H900" s="61"/>
      <c r="I900" s="61"/>
      <c r="J900" s="107"/>
      <c r="K900" s="100"/>
      <c r="L900" s="61"/>
      <c r="M900" s="61"/>
    </row>
    <row r="901">
      <c r="A901" s="65"/>
      <c r="B901" s="65"/>
      <c r="C901" s="65"/>
      <c r="D901" s="65"/>
      <c r="E901" s="65"/>
      <c r="F901" s="65"/>
      <c r="G901" s="65"/>
      <c r="H901" s="65"/>
      <c r="I901" s="65"/>
      <c r="J901" s="108"/>
      <c r="K901" s="103"/>
      <c r="L901" s="65"/>
      <c r="M901" s="65"/>
    </row>
    <row r="902">
      <c r="A902" s="61"/>
      <c r="B902" s="61"/>
      <c r="C902" s="61"/>
      <c r="D902" s="61"/>
      <c r="E902" s="61"/>
      <c r="F902" s="61"/>
      <c r="G902" s="61"/>
      <c r="H902" s="61"/>
      <c r="I902" s="61"/>
      <c r="J902" s="107"/>
      <c r="K902" s="100"/>
      <c r="L902" s="61"/>
      <c r="M902" s="61"/>
    </row>
    <row r="903">
      <c r="A903" s="65"/>
      <c r="B903" s="65"/>
      <c r="C903" s="65"/>
      <c r="D903" s="65"/>
      <c r="E903" s="65"/>
      <c r="F903" s="65"/>
      <c r="G903" s="65"/>
      <c r="H903" s="65"/>
      <c r="I903" s="65"/>
      <c r="J903" s="108"/>
      <c r="K903" s="103"/>
      <c r="L903" s="65"/>
      <c r="M903" s="65"/>
    </row>
    <row r="904">
      <c r="A904" s="61"/>
      <c r="B904" s="61"/>
      <c r="C904" s="61"/>
      <c r="D904" s="61"/>
      <c r="E904" s="61"/>
      <c r="F904" s="61"/>
      <c r="G904" s="61"/>
      <c r="H904" s="61"/>
      <c r="I904" s="61"/>
      <c r="J904" s="107"/>
      <c r="K904" s="100"/>
      <c r="L904" s="61"/>
      <c r="M904" s="61"/>
    </row>
    <row r="905">
      <c r="A905" s="65"/>
      <c r="B905" s="65"/>
      <c r="C905" s="65"/>
      <c r="D905" s="65"/>
      <c r="E905" s="65"/>
      <c r="F905" s="65"/>
      <c r="G905" s="65"/>
      <c r="H905" s="65"/>
      <c r="I905" s="65"/>
      <c r="J905" s="108"/>
      <c r="K905" s="103"/>
      <c r="L905" s="65"/>
      <c r="M905" s="65"/>
    </row>
    <row r="906">
      <c r="A906" s="61"/>
      <c r="B906" s="61"/>
      <c r="C906" s="61"/>
      <c r="D906" s="61"/>
      <c r="E906" s="61"/>
      <c r="F906" s="61"/>
      <c r="G906" s="61"/>
      <c r="H906" s="61"/>
      <c r="I906" s="61"/>
      <c r="J906" s="107"/>
      <c r="K906" s="100"/>
      <c r="L906" s="61"/>
      <c r="M906" s="61"/>
    </row>
    <row r="907">
      <c r="A907" s="65"/>
      <c r="B907" s="65"/>
      <c r="C907" s="65"/>
      <c r="D907" s="65"/>
      <c r="E907" s="65"/>
      <c r="F907" s="65"/>
      <c r="G907" s="65"/>
      <c r="H907" s="65"/>
      <c r="I907" s="65"/>
      <c r="J907" s="108"/>
      <c r="K907" s="103"/>
      <c r="L907" s="65"/>
      <c r="M907" s="65"/>
    </row>
    <row r="908">
      <c r="A908" s="61"/>
      <c r="B908" s="61"/>
      <c r="C908" s="61"/>
      <c r="D908" s="61"/>
      <c r="E908" s="61"/>
      <c r="F908" s="61"/>
      <c r="G908" s="61"/>
      <c r="H908" s="61"/>
      <c r="I908" s="61"/>
      <c r="J908" s="107"/>
      <c r="K908" s="100"/>
      <c r="L908" s="61"/>
      <c r="M908" s="61"/>
    </row>
    <row r="909">
      <c r="A909" s="65"/>
      <c r="B909" s="65"/>
      <c r="C909" s="65"/>
      <c r="D909" s="65"/>
      <c r="E909" s="65"/>
      <c r="F909" s="65"/>
      <c r="G909" s="65"/>
      <c r="H909" s="65"/>
      <c r="I909" s="65"/>
      <c r="J909" s="108"/>
      <c r="K909" s="103"/>
      <c r="L909" s="65"/>
      <c r="M909" s="65"/>
    </row>
    <row r="910">
      <c r="A910" s="61"/>
      <c r="B910" s="61"/>
      <c r="C910" s="61"/>
      <c r="D910" s="61"/>
      <c r="E910" s="61"/>
      <c r="F910" s="61"/>
      <c r="G910" s="61"/>
      <c r="H910" s="61"/>
      <c r="I910" s="61"/>
      <c r="J910" s="107"/>
      <c r="K910" s="100"/>
      <c r="L910" s="61"/>
      <c r="M910" s="61"/>
    </row>
    <row r="911">
      <c r="A911" s="65"/>
      <c r="B911" s="65"/>
      <c r="C911" s="65"/>
      <c r="D911" s="65"/>
      <c r="E911" s="65"/>
      <c r="F911" s="65"/>
      <c r="G911" s="65"/>
      <c r="H911" s="65"/>
      <c r="I911" s="65"/>
      <c r="J911" s="108"/>
      <c r="K911" s="103"/>
      <c r="L911" s="65"/>
      <c r="M911" s="65"/>
    </row>
    <row r="912">
      <c r="A912" s="61"/>
      <c r="B912" s="61"/>
      <c r="C912" s="61"/>
      <c r="D912" s="61"/>
      <c r="E912" s="61"/>
      <c r="F912" s="61"/>
      <c r="G912" s="61"/>
      <c r="H912" s="61"/>
      <c r="I912" s="61"/>
      <c r="J912" s="107"/>
      <c r="K912" s="100"/>
      <c r="L912" s="61"/>
      <c r="M912" s="61"/>
    </row>
    <row r="913">
      <c r="A913" s="65"/>
      <c r="B913" s="65"/>
      <c r="C913" s="65"/>
      <c r="D913" s="65"/>
      <c r="E913" s="65"/>
      <c r="F913" s="65"/>
      <c r="G913" s="65"/>
      <c r="H913" s="65"/>
      <c r="I913" s="65"/>
      <c r="J913" s="108"/>
      <c r="K913" s="103"/>
      <c r="L913" s="65"/>
      <c r="M913" s="65"/>
    </row>
    <row r="914">
      <c r="A914" s="61"/>
      <c r="B914" s="61"/>
      <c r="C914" s="61"/>
      <c r="D914" s="61"/>
      <c r="E914" s="61"/>
      <c r="F914" s="61"/>
      <c r="G914" s="61"/>
      <c r="H914" s="61"/>
      <c r="I914" s="61"/>
      <c r="J914" s="107"/>
      <c r="K914" s="100"/>
      <c r="L914" s="61"/>
      <c r="M914" s="61"/>
    </row>
    <row r="915">
      <c r="A915" s="65"/>
      <c r="B915" s="65"/>
      <c r="C915" s="65"/>
      <c r="D915" s="65"/>
      <c r="E915" s="65"/>
      <c r="F915" s="65"/>
      <c r="G915" s="65"/>
      <c r="H915" s="65"/>
      <c r="I915" s="65"/>
      <c r="J915" s="108"/>
      <c r="K915" s="103"/>
      <c r="L915" s="65"/>
      <c r="M915" s="65"/>
    </row>
    <row r="916">
      <c r="A916" s="61"/>
      <c r="B916" s="61"/>
      <c r="C916" s="61"/>
      <c r="D916" s="61"/>
      <c r="E916" s="61"/>
      <c r="F916" s="61"/>
      <c r="G916" s="61"/>
      <c r="H916" s="61"/>
      <c r="I916" s="61"/>
      <c r="J916" s="107"/>
      <c r="K916" s="100"/>
      <c r="L916" s="61"/>
      <c r="M916" s="61"/>
    </row>
    <row r="917">
      <c r="A917" s="65"/>
      <c r="B917" s="65"/>
      <c r="C917" s="65"/>
      <c r="D917" s="65"/>
      <c r="E917" s="65"/>
      <c r="F917" s="65"/>
      <c r="G917" s="65"/>
      <c r="H917" s="65"/>
      <c r="I917" s="65"/>
      <c r="J917" s="108"/>
      <c r="K917" s="103"/>
      <c r="L917" s="65"/>
      <c r="M917" s="65"/>
    </row>
    <row r="918">
      <c r="A918" s="61"/>
      <c r="B918" s="61"/>
      <c r="C918" s="61"/>
      <c r="D918" s="61"/>
      <c r="E918" s="61"/>
      <c r="F918" s="61"/>
      <c r="G918" s="61"/>
      <c r="H918" s="61"/>
      <c r="I918" s="61"/>
      <c r="J918" s="107"/>
      <c r="K918" s="100"/>
      <c r="L918" s="61"/>
      <c r="M918" s="61"/>
    </row>
    <row r="919">
      <c r="A919" s="65"/>
      <c r="B919" s="65"/>
      <c r="C919" s="65"/>
      <c r="D919" s="65"/>
      <c r="E919" s="65"/>
      <c r="F919" s="65"/>
      <c r="G919" s="65"/>
      <c r="H919" s="65"/>
      <c r="I919" s="65"/>
      <c r="J919" s="108"/>
      <c r="K919" s="103"/>
      <c r="L919" s="65"/>
      <c r="M919" s="65"/>
    </row>
    <row r="920">
      <c r="A920" s="61"/>
      <c r="B920" s="61"/>
      <c r="C920" s="61"/>
      <c r="D920" s="61"/>
      <c r="E920" s="61"/>
      <c r="F920" s="61"/>
      <c r="G920" s="61"/>
      <c r="H920" s="61"/>
      <c r="I920" s="61"/>
      <c r="J920" s="107"/>
      <c r="K920" s="100"/>
      <c r="L920" s="61"/>
      <c r="M920" s="61"/>
    </row>
    <row r="921">
      <c r="A921" s="65"/>
      <c r="B921" s="65"/>
      <c r="C921" s="65"/>
      <c r="D921" s="65"/>
      <c r="E921" s="65"/>
      <c r="F921" s="65"/>
      <c r="G921" s="65"/>
      <c r="H921" s="65"/>
      <c r="I921" s="65"/>
      <c r="J921" s="108"/>
      <c r="K921" s="103"/>
      <c r="L921" s="65"/>
      <c r="M921" s="65"/>
    </row>
    <row r="922">
      <c r="A922" s="61"/>
      <c r="B922" s="61"/>
      <c r="C922" s="61"/>
      <c r="D922" s="61"/>
      <c r="E922" s="61"/>
      <c r="F922" s="61"/>
      <c r="G922" s="61"/>
      <c r="H922" s="61"/>
      <c r="I922" s="61"/>
      <c r="J922" s="107"/>
      <c r="K922" s="100"/>
      <c r="L922" s="61"/>
      <c r="M922" s="61"/>
    </row>
    <row r="923">
      <c r="A923" s="65"/>
      <c r="B923" s="65"/>
      <c r="C923" s="65"/>
      <c r="D923" s="65"/>
      <c r="E923" s="65"/>
      <c r="F923" s="65"/>
      <c r="G923" s="65"/>
      <c r="H923" s="65"/>
      <c r="I923" s="65"/>
      <c r="J923" s="108"/>
      <c r="K923" s="103"/>
      <c r="L923" s="65"/>
      <c r="M923" s="65"/>
    </row>
    <row r="924">
      <c r="A924" s="61"/>
      <c r="B924" s="61"/>
      <c r="C924" s="61"/>
      <c r="D924" s="61"/>
      <c r="E924" s="61"/>
      <c r="F924" s="61"/>
      <c r="G924" s="61"/>
      <c r="H924" s="61"/>
      <c r="I924" s="61"/>
      <c r="J924" s="107"/>
      <c r="K924" s="100"/>
      <c r="L924" s="61"/>
      <c r="M924" s="61"/>
    </row>
    <row r="925">
      <c r="A925" s="65"/>
      <c r="B925" s="65"/>
      <c r="C925" s="65"/>
      <c r="D925" s="65"/>
      <c r="E925" s="65"/>
      <c r="F925" s="65"/>
      <c r="G925" s="65"/>
      <c r="H925" s="65"/>
      <c r="I925" s="65"/>
      <c r="J925" s="108"/>
      <c r="K925" s="103"/>
      <c r="L925" s="65"/>
      <c r="M925" s="65"/>
    </row>
    <row r="926">
      <c r="A926" s="61"/>
      <c r="B926" s="61"/>
      <c r="C926" s="61"/>
      <c r="D926" s="61"/>
      <c r="E926" s="61"/>
      <c r="F926" s="61"/>
      <c r="G926" s="61"/>
      <c r="H926" s="61"/>
      <c r="I926" s="61"/>
      <c r="J926" s="107"/>
      <c r="K926" s="100"/>
      <c r="L926" s="61"/>
      <c r="M926" s="61"/>
    </row>
    <row r="927">
      <c r="A927" s="65"/>
      <c r="B927" s="65"/>
      <c r="C927" s="65"/>
      <c r="D927" s="65"/>
      <c r="E927" s="65"/>
      <c r="F927" s="65"/>
      <c r="G927" s="65"/>
      <c r="H927" s="65"/>
      <c r="I927" s="65"/>
      <c r="J927" s="108"/>
      <c r="K927" s="103"/>
      <c r="L927" s="65"/>
      <c r="M927" s="65"/>
    </row>
    <row r="928">
      <c r="A928" s="61"/>
      <c r="B928" s="61"/>
      <c r="C928" s="61"/>
      <c r="D928" s="61"/>
      <c r="E928" s="61"/>
      <c r="F928" s="61"/>
      <c r="G928" s="61"/>
      <c r="H928" s="61"/>
      <c r="I928" s="61"/>
      <c r="J928" s="107"/>
      <c r="K928" s="100"/>
      <c r="L928" s="61"/>
      <c r="M928" s="61"/>
    </row>
    <row r="929">
      <c r="A929" s="65"/>
      <c r="B929" s="65"/>
      <c r="C929" s="65"/>
      <c r="D929" s="65"/>
      <c r="E929" s="65"/>
      <c r="F929" s="65"/>
      <c r="G929" s="65"/>
      <c r="H929" s="65"/>
      <c r="I929" s="65"/>
      <c r="J929" s="108"/>
      <c r="K929" s="103"/>
      <c r="L929" s="65"/>
      <c r="M929" s="65"/>
    </row>
    <row r="930">
      <c r="A930" s="61"/>
      <c r="B930" s="61"/>
      <c r="C930" s="61"/>
      <c r="D930" s="61"/>
      <c r="E930" s="61"/>
      <c r="F930" s="61"/>
      <c r="G930" s="61"/>
      <c r="H930" s="61"/>
      <c r="I930" s="61"/>
      <c r="J930" s="107"/>
      <c r="K930" s="100"/>
      <c r="L930" s="61"/>
      <c r="M930" s="61"/>
    </row>
    <row r="931">
      <c r="A931" s="65"/>
      <c r="B931" s="65"/>
      <c r="C931" s="65"/>
      <c r="D931" s="65"/>
      <c r="E931" s="65"/>
      <c r="F931" s="65"/>
      <c r="G931" s="65"/>
      <c r="H931" s="65"/>
      <c r="I931" s="65"/>
      <c r="J931" s="108"/>
      <c r="K931" s="103"/>
      <c r="L931" s="65"/>
      <c r="M931" s="65"/>
    </row>
    <row r="932">
      <c r="A932" s="61"/>
      <c r="B932" s="61"/>
      <c r="C932" s="61"/>
      <c r="D932" s="61"/>
      <c r="E932" s="61"/>
      <c r="F932" s="61"/>
      <c r="G932" s="61"/>
      <c r="H932" s="61"/>
      <c r="I932" s="61"/>
      <c r="J932" s="107"/>
      <c r="K932" s="100"/>
      <c r="L932" s="61"/>
      <c r="M932" s="61"/>
    </row>
    <row r="933">
      <c r="A933" s="65"/>
      <c r="B933" s="65"/>
      <c r="C933" s="65"/>
      <c r="D933" s="65"/>
      <c r="E933" s="65"/>
      <c r="F933" s="65"/>
      <c r="G933" s="65"/>
      <c r="H933" s="65"/>
      <c r="I933" s="65"/>
      <c r="J933" s="108"/>
      <c r="K933" s="103"/>
      <c r="L933" s="65"/>
      <c r="M933" s="65"/>
    </row>
    <row r="934">
      <c r="A934" s="61"/>
      <c r="B934" s="61"/>
      <c r="C934" s="61"/>
      <c r="D934" s="61"/>
      <c r="E934" s="61"/>
      <c r="F934" s="61"/>
      <c r="G934" s="61"/>
      <c r="H934" s="61"/>
      <c r="I934" s="61"/>
      <c r="J934" s="107"/>
      <c r="K934" s="100"/>
      <c r="L934" s="61"/>
      <c r="M934" s="61"/>
    </row>
    <row r="935">
      <c r="A935" s="65"/>
      <c r="B935" s="65"/>
      <c r="C935" s="65"/>
      <c r="D935" s="65"/>
      <c r="E935" s="65"/>
      <c r="F935" s="65"/>
      <c r="G935" s="65"/>
      <c r="H935" s="65"/>
      <c r="I935" s="65"/>
      <c r="J935" s="108"/>
      <c r="K935" s="103"/>
      <c r="L935" s="65"/>
      <c r="M935" s="65"/>
    </row>
    <row r="936">
      <c r="A936" s="61"/>
      <c r="B936" s="61"/>
      <c r="C936" s="61"/>
      <c r="D936" s="61"/>
      <c r="E936" s="61"/>
      <c r="F936" s="61"/>
      <c r="G936" s="61"/>
      <c r="H936" s="61"/>
      <c r="I936" s="61"/>
      <c r="J936" s="107"/>
      <c r="K936" s="100"/>
      <c r="L936" s="61"/>
      <c r="M936" s="61"/>
    </row>
    <row r="937">
      <c r="A937" s="65"/>
      <c r="B937" s="65"/>
      <c r="C937" s="65"/>
      <c r="D937" s="65"/>
      <c r="E937" s="65"/>
      <c r="F937" s="65"/>
      <c r="G937" s="65"/>
      <c r="H937" s="65"/>
      <c r="I937" s="65"/>
      <c r="J937" s="108"/>
      <c r="K937" s="103"/>
      <c r="L937" s="65"/>
      <c r="M937" s="65"/>
    </row>
    <row r="938">
      <c r="A938" s="61"/>
      <c r="B938" s="61"/>
      <c r="C938" s="61"/>
      <c r="D938" s="61"/>
      <c r="E938" s="61"/>
      <c r="F938" s="61"/>
      <c r="G938" s="61"/>
      <c r="H938" s="61"/>
      <c r="I938" s="61"/>
      <c r="J938" s="107"/>
      <c r="K938" s="100"/>
      <c r="L938" s="61"/>
      <c r="M938" s="61"/>
    </row>
    <row r="939">
      <c r="A939" s="65"/>
      <c r="B939" s="65"/>
      <c r="C939" s="65"/>
      <c r="D939" s="65"/>
      <c r="E939" s="65"/>
      <c r="F939" s="65"/>
      <c r="G939" s="65"/>
      <c r="H939" s="65"/>
      <c r="I939" s="65"/>
      <c r="J939" s="108"/>
      <c r="K939" s="103"/>
      <c r="L939" s="65"/>
      <c r="M939" s="65"/>
    </row>
    <row r="940">
      <c r="A940" s="61"/>
      <c r="B940" s="61"/>
      <c r="C940" s="61"/>
      <c r="D940" s="61"/>
      <c r="E940" s="61"/>
      <c r="F940" s="61"/>
      <c r="G940" s="61"/>
      <c r="H940" s="61"/>
      <c r="I940" s="61"/>
      <c r="J940" s="107"/>
      <c r="K940" s="100"/>
      <c r="L940" s="61"/>
      <c r="M940" s="61"/>
    </row>
    <row r="941">
      <c r="A941" s="65"/>
      <c r="B941" s="65"/>
      <c r="C941" s="65"/>
      <c r="D941" s="65"/>
      <c r="E941" s="65"/>
      <c r="F941" s="65"/>
      <c r="G941" s="65"/>
      <c r="H941" s="65"/>
      <c r="I941" s="65"/>
      <c r="J941" s="108"/>
      <c r="K941" s="103"/>
      <c r="L941" s="65"/>
      <c r="M941" s="65"/>
    </row>
    <row r="942">
      <c r="A942" s="61"/>
      <c r="B942" s="61"/>
      <c r="C942" s="61"/>
      <c r="D942" s="61"/>
      <c r="E942" s="61"/>
      <c r="F942" s="61"/>
      <c r="G942" s="61"/>
      <c r="H942" s="61"/>
      <c r="I942" s="61"/>
      <c r="J942" s="107"/>
      <c r="K942" s="100"/>
      <c r="L942" s="61"/>
      <c r="M942" s="61"/>
    </row>
    <row r="943">
      <c r="A943" s="65"/>
      <c r="B943" s="65"/>
      <c r="C943" s="65"/>
      <c r="D943" s="65"/>
      <c r="E943" s="65"/>
      <c r="F943" s="65"/>
      <c r="G943" s="65"/>
      <c r="H943" s="65"/>
      <c r="I943" s="65"/>
      <c r="J943" s="108"/>
      <c r="K943" s="103"/>
      <c r="L943" s="65"/>
      <c r="M943" s="65"/>
    </row>
    <row r="944">
      <c r="A944" s="61"/>
      <c r="B944" s="61"/>
      <c r="C944" s="61"/>
      <c r="D944" s="61"/>
      <c r="E944" s="61"/>
      <c r="F944" s="61"/>
      <c r="G944" s="61"/>
      <c r="H944" s="61"/>
      <c r="I944" s="61"/>
      <c r="J944" s="107"/>
      <c r="K944" s="100"/>
      <c r="L944" s="61"/>
      <c r="M944" s="61"/>
    </row>
    <row r="945">
      <c r="A945" s="65"/>
      <c r="B945" s="65"/>
      <c r="C945" s="65"/>
      <c r="D945" s="65"/>
      <c r="E945" s="65"/>
      <c r="F945" s="65"/>
      <c r="G945" s="65"/>
      <c r="H945" s="65"/>
      <c r="I945" s="65"/>
      <c r="J945" s="108"/>
      <c r="K945" s="103"/>
      <c r="L945" s="65"/>
      <c r="M945" s="65"/>
    </row>
    <row r="946">
      <c r="A946" s="61"/>
      <c r="B946" s="61"/>
      <c r="C946" s="61"/>
      <c r="D946" s="61"/>
      <c r="E946" s="61"/>
      <c r="F946" s="61"/>
      <c r="G946" s="61"/>
      <c r="H946" s="61"/>
      <c r="I946" s="61"/>
      <c r="J946" s="107"/>
      <c r="K946" s="100"/>
      <c r="L946" s="61"/>
      <c r="M946" s="61"/>
    </row>
    <row r="947">
      <c r="A947" s="65"/>
      <c r="B947" s="65"/>
      <c r="C947" s="65"/>
      <c r="D947" s="65"/>
      <c r="E947" s="65"/>
      <c r="F947" s="65"/>
      <c r="G947" s="65"/>
      <c r="H947" s="65"/>
      <c r="I947" s="65"/>
      <c r="J947" s="108"/>
      <c r="K947" s="103"/>
      <c r="L947" s="65"/>
      <c r="M947" s="65"/>
    </row>
    <row r="948">
      <c r="A948" s="61"/>
      <c r="B948" s="61"/>
      <c r="C948" s="61"/>
      <c r="D948" s="61"/>
      <c r="E948" s="61"/>
      <c r="F948" s="61"/>
      <c r="G948" s="61"/>
      <c r="H948" s="61"/>
      <c r="I948" s="61"/>
      <c r="J948" s="107"/>
      <c r="K948" s="100"/>
      <c r="L948" s="61"/>
      <c r="M948" s="61"/>
    </row>
    <row r="949">
      <c r="A949" s="65"/>
      <c r="B949" s="65"/>
      <c r="C949" s="65"/>
      <c r="D949" s="65"/>
      <c r="E949" s="65"/>
      <c r="F949" s="65"/>
      <c r="G949" s="65"/>
      <c r="H949" s="65"/>
      <c r="I949" s="65"/>
      <c r="J949" s="108"/>
      <c r="K949" s="103"/>
      <c r="L949" s="65"/>
      <c r="M949" s="65"/>
    </row>
    <row r="950">
      <c r="A950" s="61"/>
      <c r="B950" s="61"/>
      <c r="C950" s="61"/>
      <c r="D950" s="61"/>
      <c r="E950" s="61"/>
      <c r="F950" s="61"/>
      <c r="G950" s="61"/>
      <c r="H950" s="61"/>
      <c r="I950" s="61"/>
      <c r="J950" s="107"/>
      <c r="K950" s="100"/>
      <c r="L950" s="61"/>
      <c r="M950" s="61"/>
    </row>
    <row r="951">
      <c r="A951" s="65"/>
      <c r="B951" s="65"/>
      <c r="C951" s="65"/>
      <c r="D951" s="65"/>
      <c r="E951" s="65"/>
      <c r="F951" s="65"/>
      <c r="G951" s="65"/>
      <c r="H951" s="65"/>
      <c r="I951" s="65"/>
      <c r="J951" s="108"/>
      <c r="K951" s="103"/>
      <c r="L951" s="65"/>
      <c r="M951" s="65"/>
    </row>
    <row r="952">
      <c r="A952" s="61"/>
      <c r="B952" s="61"/>
      <c r="C952" s="61"/>
      <c r="D952" s="61"/>
      <c r="E952" s="61"/>
      <c r="F952" s="61"/>
      <c r="G952" s="61"/>
      <c r="H952" s="61"/>
      <c r="I952" s="61"/>
      <c r="J952" s="107"/>
      <c r="K952" s="100"/>
      <c r="L952" s="61"/>
      <c r="M952" s="61"/>
    </row>
    <row r="953">
      <c r="A953" s="65"/>
      <c r="B953" s="65"/>
      <c r="C953" s="65"/>
      <c r="D953" s="65"/>
      <c r="E953" s="65"/>
      <c r="F953" s="65"/>
      <c r="G953" s="65"/>
      <c r="H953" s="65"/>
      <c r="I953" s="65"/>
      <c r="J953" s="108"/>
      <c r="K953" s="103"/>
      <c r="L953" s="65"/>
      <c r="M953" s="65"/>
    </row>
    <row r="954">
      <c r="A954" s="61"/>
      <c r="B954" s="61"/>
      <c r="C954" s="61"/>
      <c r="D954" s="61"/>
      <c r="E954" s="61"/>
      <c r="F954" s="61"/>
      <c r="G954" s="61"/>
      <c r="H954" s="61"/>
      <c r="I954" s="61"/>
      <c r="J954" s="107"/>
      <c r="K954" s="100"/>
      <c r="L954" s="61"/>
      <c r="M954" s="61"/>
    </row>
    <row r="955">
      <c r="A955" s="65"/>
      <c r="B955" s="65"/>
      <c r="C955" s="65"/>
      <c r="D955" s="65"/>
      <c r="E955" s="65"/>
      <c r="F955" s="65"/>
      <c r="G955" s="65"/>
      <c r="H955" s="65"/>
      <c r="I955" s="65"/>
      <c r="J955" s="108"/>
      <c r="K955" s="103"/>
      <c r="L955" s="65"/>
      <c r="M955" s="65"/>
    </row>
    <row r="956">
      <c r="A956" s="61"/>
      <c r="B956" s="61"/>
      <c r="C956" s="61"/>
      <c r="D956" s="61"/>
      <c r="E956" s="61"/>
      <c r="F956" s="61"/>
      <c r="G956" s="61"/>
      <c r="H956" s="61"/>
      <c r="I956" s="61"/>
      <c r="J956" s="107"/>
      <c r="K956" s="100"/>
      <c r="L956" s="61"/>
      <c r="M956" s="61"/>
    </row>
    <row r="957">
      <c r="A957" s="65"/>
      <c r="B957" s="65"/>
      <c r="C957" s="65"/>
      <c r="D957" s="65"/>
      <c r="E957" s="65"/>
      <c r="F957" s="65"/>
      <c r="G957" s="65"/>
      <c r="H957" s="65"/>
      <c r="I957" s="65"/>
      <c r="J957" s="108"/>
      <c r="K957" s="103"/>
      <c r="L957" s="65"/>
      <c r="M957" s="65"/>
    </row>
    <row r="958">
      <c r="A958" s="61"/>
      <c r="B958" s="61"/>
      <c r="C958" s="61"/>
      <c r="D958" s="61"/>
      <c r="E958" s="61"/>
      <c r="F958" s="61"/>
      <c r="G958" s="61"/>
      <c r="H958" s="61"/>
      <c r="I958" s="61"/>
      <c r="J958" s="107"/>
      <c r="K958" s="100"/>
      <c r="L958" s="61"/>
      <c r="M958" s="61"/>
    </row>
    <row r="959">
      <c r="A959" s="65"/>
      <c r="B959" s="65"/>
      <c r="C959" s="65"/>
      <c r="D959" s="65"/>
      <c r="E959" s="65"/>
      <c r="F959" s="65"/>
      <c r="G959" s="65"/>
      <c r="H959" s="65"/>
      <c r="I959" s="65"/>
      <c r="J959" s="108"/>
      <c r="K959" s="103"/>
      <c r="L959" s="65"/>
      <c r="M959" s="65"/>
    </row>
    <row r="960">
      <c r="A960" s="61"/>
      <c r="B960" s="61"/>
      <c r="C960" s="61"/>
      <c r="D960" s="61"/>
      <c r="E960" s="61"/>
      <c r="F960" s="61"/>
      <c r="G960" s="61"/>
      <c r="H960" s="61"/>
      <c r="I960" s="61"/>
      <c r="J960" s="107"/>
      <c r="K960" s="100"/>
      <c r="L960" s="61"/>
      <c r="M960" s="61"/>
    </row>
    <row r="961">
      <c r="A961" s="65"/>
      <c r="B961" s="65"/>
      <c r="C961" s="65"/>
      <c r="D961" s="65"/>
      <c r="E961" s="65"/>
      <c r="F961" s="65"/>
      <c r="G961" s="65"/>
      <c r="H961" s="65"/>
      <c r="I961" s="65"/>
      <c r="J961" s="108"/>
      <c r="K961" s="103"/>
      <c r="L961" s="65"/>
      <c r="M961" s="65"/>
    </row>
    <row r="962">
      <c r="A962" s="61"/>
      <c r="B962" s="61"/>
      <c r="C962" s="61"/>
      <c r="D962" s="61"/>
      <c r="E962" s="61"/>
      <c r="F962" s="61"/>
      <c r="G962" s="61"/>
      <c r="H962" s="61"/>
      <c r="I962" s="61"/>
      <c r="J962" s="107"/>
      <c r="K962" s="100"/>
      <c r="L962" s="61"/>
      <c r="M962" s="61"/>
    </row>
    <row r="963">
      <c r="A963" s="65"/>
      <c r="B963" s="65"/>
      <c r="C963" s="65"/>
      <c r="D963" s="65"/>
      <c r="E963" s="65"/>
      <c r="F963" s="65"/>
      <c r="G963" s="65"/>
      <c r="H963" s="65"/>
      <c r="I963" s="65"/>
      <c r="J963" s="108"/>
      <c r="K963" s="103"/>
      <c r="L963" s="65"/>
      <c r="M963" s="65"/>
    </row>
    <row r="964">
      <c r="A964" s="61"/>
      <c r="B964" s="61"/>
      <c r="C964" s="61"/>
      <c r="D964" s="61"/>
      <c r="E964" s="61"/>
      <c r="F964" s="61"/>
      <c r="G964" s="61"/>
      <c r="H964" s="61"/>
      <c r="I964" s="61"/>
      <c r="J964" s="107"/>
      <c r="K964" s="100"/>
      <c r="L964" s="61"/>
      <c r="M964" s="61"/>
    </row>
    <row r="965">
      <c r="A965" s="65"/>
      <c r="B965" s="65"/>
      <c r="C965" s="65"/>
      <c r="D965" s="65"/>
      <c r="E965" s="65"/>
      <c r="F965" s="65"/>
      <c r="G965" s="65"/>
      <c r="H965" s="65"/>
      <c r="I965" s="65"/>
      <c r="J965" s="108"/>
      <c r="K965" s="103"/>
      <c r="L965" s="65"/>
      <c r="M965" s="65"/>
    </row>
    <row r="966">
      <c r="A966" s="61"/>
      <c r="B966" s="61"/>
      <c r="C966" s="61"/>
      <c r="D966" s="61"/>
      <c r="E966" s="61"/>
      <c r="F966" s="61"/>
      <c r="G966" s="61"/>
      <c r="H966" s="61"/>
      <c r="I966" s="61"/>
      <c r="J966" s="107"/>
      <c r="K966" s="100"/>
      <c r="L966" s="61"/>
      <c r="M966" s="61"/>
    </row>
    <row r="967">
      <c r="A967" s="65"/>
      <c r="B967" s="65"/>
      <c r="C967" s="65"/>
      <c r="D967" s="65"/>
      <c r="E967" s="65"/>
      <c r="F967" s="65"/>
      <c r="G967" s="65"/>
      <c r="H967" s="65"/>
      <c r="I967" s="65"/>
      <c r="J967" s="108"/>
      <c r="K967" s="103"/>
      <c r="L967" s="65"/>
      <c r="M967" s="65"/>
    </row>
    <row r="968">
      <c r="A968" s="61"/>
      <c r="B968" s="61"/>
      <c r="C968" s="61"/>
      <c r="D968" s="61"/>
      <c r="E968" s="61"/>
      <c r="F968" s="61"/>
      <c r="G968" s="61"/>
      <c r="H968" s="61"/>
      <c r="I968" s="61"/>
      <c r="J968" s="107"/>
      <c r="K968" s="100"/>
      <c r="L968" s="61"/>
      <c r="M968" s="61"/>
    </row>
    <row r="969">
      <c r="A969" s="65"/>
      <c r="B969" s="65"/>
      <c r="C969" s="65"/>
      <c r="D969" s="65"/>
      <c r="E969" s="65"/>
      <c r="F969" s="65"/>
      <c r="G969" s="65"/>
      <c r="H969" s="65"/>
      <c r="I969" s="65"/>
      <c r="J969" s="108"/>
      <c r="K969" s="103"/>
      <c r="L969" s="65"/>
      <c r="M969" s="65"/>
    </row>
    <row r="970">
      <c r="A970" s="61"/>
      <c r="B970" s="61"/>
      <c r="C970" s="61"/>
      <c r="D970" s="61"/>
      <c r="E970" s="61"/>
      <c r="F970" s="61"/>
      <c r="G970" s="61"/>
      <c r="H970" s="61"/>
      <c r="I970" s="61"/>
      <c r="J970" s="107"/>
      <c r="K970" s="100"/>
      <c r="L970" s="61"/>
      <c r="M970" s="61"/>
    </row>
    <row r="971">
      <c r="A971" s="65"/>
      <c r="B971" s="65"/>
      <c r="C971" s="65"/>
      <c r="D971" s="65"/>
      <c r="E971" s="65"/>
      <c r="F971" s="65"/>
      <c r="G971" s="65"/>
      <c r="H971" s="65"/>
      <c r="I971" s="65"/>
      <c r="J971" s="108"/>
      <c r="K971" s="103"/>
      <c r="L971" s="65"/>
      <c r="M971" s="65"/>
    </row>
    <row r="972">
      <c r="A972" s="61"/>
      <c r="B972" s="61"/>
      <c r="C972" s="61"/>
      <c r="D972" s="61"/>
      <c r="E972" s="61"/>
      <c r="F972" s="61"/>
      <c r="G972" s="61"/>
      <c r="H972" s="61"/>
      <c r="I972" s="61"/>
      <c r="J972" s="107"/>
      <c r="K972" s="100"/>
      <c r="L972" s="61"/>
      <c r="M972" s="61"/>
    </row>
    <row r="973">
      <c r="A973" s="65"/>
      <c r="B973" s="65"/>
      <c r="C973" s="65"/>
      <c r="D973" s="65"/>
      <c r="E973" s="65"/>
      <c r="F973" s="65"/>
      <c r="G973" s="65"/>
      <c r="H973" s="65"/>
      <c r="I973" s="65"/>
      <c r="J973" s="108"/>
      <c r="K973" s="103"/>
      <c r="L973" s="65"/>
      <c r="M973" s="65"/>
    </row>
    <row r="974">
      <c r="A974" s="61"/>
      <c r="B974" s="61"/>
      <c r="C974" s="61"/>
      <c r="D974" s="61"/>
      <c r="E974" s="61"/>
      <c r="F974" s="61"/>
      <c r="G974" s="61"/>
      <c r="H974" s="61"/>
      <c r="I974" s="61"/>
      <c r="J974" s="107"/>
      <c r="K974" s="100"/>
      <c r="L974" s="61"/>
      <c r="M974" s="61"/>
    </row>
    <row r="975">
      <c r="A975" s="65"/>
      <c r="B975" s="65"/>
      <c r="C975" s="65"/>
      <c r="D975" s="65"/>
      <c r="E975" s="65"/>
      <c r="F975" s="65"/>
      <c r="G975" s="65"/>
      <c r="H975" s="65"/>
      <c r="I975" s="65"/>
      <c r="J975" s="108"/>
      <c r="K975" s="103"/>
      <c r="L975" s="65"/>
      <c r="M975" s="65"/>
    </row>
    <row r="976">
      <c r="A976" s="61"/>
      <c r="B976" s="61"/>
      <c r="C976" s="61"/>
      <c r="D976" s="61"/>
      <c r="E976" s="61"/>
      <c r="F976" s="61"/>
      <c r="G976" s="61"/>
      <c r="H976" s="61"/>
      <c r="I976" s="61"/>
      <c r="J976" s="107"/>
      <c r="K976" s="100"/>
      <c r="L976" s="61"/>
      <c r="M976" s="61"/>
    </row>
    <row r="977">
      <c r="A977" s="65"/>
      <c r="B977" s="65"/>
      <c r="C977" s="65"/>
      <c r="D977" s="65"/>
      <c r="E977" s="65"/>
      <c r="F977" s="65"/>
      <c r="G977" s="65"/>
      <c r="H977" s="65"/>
      <c r="I977" s="65"/>
      <c r="J977" s="108"/>
      <c r="K977" s="103"/>
      <c r="L977" s="65"/>
      <c r="M977" s="65"/>
    </row>
    <row r="978">
      <c r="A978" s="61"/>
      <c r="B978" s="61"/>
      <c r="C978" s="61"/>
      <c r="D978" s="61"/>
      <c r="E978" s="61"/>
      <c r="F978" s="61"/>
      <c r="G978" s="61"/>
      <c r="H978" s="61"/>
      <c r="I978" s="61"/>
      <c r="J978" s="107"/>
      <c r="K978" s="100"/>
      <c r="L978" s="61"/>
      <c r="M978" s="61"/>
    </row>
    <row r="979">
      <c r="A979" s="65"/>
      <c r="B979" s="65"/>
      <c r="C979" s="65"/>
      <c r="D979" s="65"/>
      <c r="E979" s="65"/>
      <c r="F979" s="65"/>
      <c r="G979" s="65"/>
      <c r="H979" s="65"/>
      <c r="I979" s="65"/>
      <c r="J979" s="108"/>
      <c r="K979" s="103"/>
      <c r="L979" s="65"/>
      <c r="M979" s="65"/>
    </row>
    <row r="980">
      <c r="A980" s="61"/>
      <c r="B980" s="61"/>
      <c r="C980" s="61"/>
      <c r="D980" s="61"/>
      <c r="E980" s="61"/>
      <c r="F980" s="61"/>
      <c r="G980" s="61"/>
      <c r="H980" s="61"/>
      <c r="I980" s="61"/>
      <c r="J980" s="107"/>
      <c r="K980" s="100"/>
      <c r="L980" s="61"/>
      <c r="M980" s="61"/>
    </row>
    <row r="981">
      <c r="A981" s="65"/>
      <c r="B981" s="65"/>
      <c r="C981" s="65"/>
      <c r="D981" s="65"/>
      <c r="E981" s="65"/>
      <c r="F981" s="65"/>
      <c r="G981" s="65"/>
      <c r="H981" s="65"/>
      <c r="I981" s="65"/>
      <c r="J981" s="108"/>
      <c r="K981" s="103"/>
      <c r="L981" s="65"/>
      <c r="M981" s="65"/>
    </row>
    <row r="982">
      <c r="A982" s="61"/>
      <c r="B982" s="61"/>
      <c r="C982" s="61"/>
      <c r="D982" s="61"/>
      <c r="E982" s="61"/>
      <c r="F982" s="61"/>
      <c r="G982" s="61"/>
      <c r="H982" s="61"/>
      <c r="I982" s="61"/>
      <c r="J982" s="107"/>
      <c r="K982" s="100"/>
      <c r="L982" s="61"/>
      <c r="M982" s="61"/>
    </row>
    <row r="983">
      <c r="A983" s="65"/>
      <c r="B983" s="65"/>
      <c r="C983" s="65"/>
      <c r="D983" s="65"/>
      <c r="E983" s="65"/>
      <c r="F983" s="65"/>
      <c r="G983" s="65"/>
      <c r="H983" s="65"/>
      <c r="I983" s="65"/>
      <c r="J983" s="108"/>
      <c r="K983" s="103"/>
      <c r="L983" s="65"/>
      <c r="M983" s="65"/>
    </row>
    <row r="984">
      <c r="A984" s="61"/>
      <c r="B984" s="61"/>
      <c r="C984" s="61"/>
      <c r="D984" s="61"/>
      <c r="E984" s="61"/>
      <c r="F984" s="61"/>
      <c r="G984" s="61"/>
      <c r="H984" s="61"/>
      <c r="I984" s="61"/>
      <c r="J984" s="107"/>
      <c r="K984" s="100"/>
      <c r="L984" s="61"/>
      <c r="M984" s="61"/>
    </row>
    <row r="985">
      <c r="A985" s="65"/>
      <c r="B985" s="65"/>
      <c r="C985" s="65"/>
      <c r="D985" s="65"/>
      <c r="E985" s="65"/>
      <c r="F985" s="65"/>
      <c r="G985" s="65"/>
      <c r="H985" s="65"/>
      <c r="I985" s="65"/>
      <c r="J985" s="108"/>
      <c r="K985" s="103"/>
      <c r="L985" s="65"/>
      <c r="M985" s="65"/>
    </row>
    <row r="986">
      <c r="A986" s="61"/>
      <c r="B986" s="61"/>
      <c r="C986" s="61"/>
      <c r="D986" s="61"/>
      <c r="E986" s="61"/>
      <c r="F986" s="61"/>
      <c r="G986" s="61"/>
      <c r="H986" s="61"/>
      <c r="I986" s="61"/>
      <c r="J986" s="107"/>
      <c r="K986" s="100"/>
      <c r="L986" s="61"/>
      <c r="M986" s="61"/>
    </row>
    <row r="987">
      <c r="A987" s="65"/>
      <c r="B987" s="65"/>
      <c r="C987" s="65"/>
      <c r="D987" s="65"/>
      <c r="E987" s="65"/>
      <c r="F987" s="65"/>
      <c r="G987" s="65"/>
      <c r="H987" s="65"/>
      <c r="I987" s="65"/>
      <c r="J987" s="108"/>
      <c r="K987" s="103"/>
      <c r="L987" s="65"/>
      <c r="M987" s="65"/>
    </row>
    <row r="988">
      <c r="A988" s="61"/>
      <c r="B988" s="61"/>
      <c r="C988" s="61"/>
      <c r="D988" s="61"/>
      <c r="E988" s="61"/>
      <c r="F988" s="61"/>
      <c r="G988" s="61"/>
      <c r="H988" s="61"/>
      <c r="I988" s="61"/>
      <c r="J988" s="107"/>
      <c r="K988" s="100"/>
      <c r="L988" s="61"/>
      <c r="M988" s="61"/>
    </row>
    <row r="989">
      <c r="A989" s="65"/>
      <c r="B989" s="65"/>
      <c r="C989" s="65"/>
      <c r="D989" s="65"/>
      <c r="E989" s="65"/>
      <c r="F989" s="65"/>
      <c r="G989" s="65"/>
      <c r="H989" s="65"/>
      <c r="I989" s="65"/>
      <c r="J989" s="108"/>
      <c r="K989" s="103"/>
      <c r="L989" s="65"/>
      <c r="M989" s="65"/>
    </row>
    <row r="990">
      <c r="A990" s="61"/>
      <c r="B990" s="61"/>
      <c r="C990" s="61"/>
      <c r="D990" s="61"/>
      <c r="E990" s="61"/>
      <c r="F990" s="61"/>
      <c r="G990" s="61"/>
      <c r="H990" s="61"/>
      <c r="I990" s="61"/>
      <c r="J990" s="107"/>
      <c r="K990" s="100"/>
      <c r="L990" s="61"/>
      <c r="M990" s="61"/>
    </row>
    <row r="991">
      <c r="A991" s="65"/>
      <c r="B991" s="65"/>
      <c r="C991" s="65"/>
      <c r="D991" s="65"/>
      <c r="E991" s="65"/>
      <c r="F991" s="65"/>
      <c r="G991" s="65"/>
      <c r="H991" s="65"/>
      <c r="I991" s="65"/>
      <c r="J991" s="108"/>
      <c r="K991" s="103"/>
      <c r="L991" s="65"/>
      <c r="M991" s="65"/>
    </row>
    <row r="992">
      <c r="A992" s="61"/>
      <c r="B992" s="61"/>
      <c r="C992" s="61"/>
      <c r="D992" s="61"/>
      <c r="E992" s="61"/>
      <c r="F992" s="61"/>
      <c r="G992" s="61"/>
      <c r="H992" s="61"/>
      <c r="I992" s="61"/>
      <c r="J992" s="107"/>
      <c r="K992" s="100"/>
      <c r="L992" s="61"/>
      <c r="M992" s="61"/>
    </row>
    <row r="993">
      <c r="A993" s="65"/>
      <c r="B993" s="65"/>
      <c r="C993" s="65"/>
      <c r="D993" s="65"/>
      <c r="E993" s="65"/>
      <c r="F993" s="65"/>
      <c r="G993" s="65"/>
      <c r="H993" s="65"/>
      <c r="I993" s="65"/>
      <c r="J993" s="108"/>
      <c r="K993" s="103"/>
      <c r="L993" s="65"/>
      <c r="M993" s="65"/>
    </row>
    <row r="994">
      <c r="A994" s="61"/>
      <c r="B994" s="61"/>
      <c r="C994" s="61"/>
      <c r="D994" s="61"/>
      <c r="E994" s="61"/>
      <c r="F994" s="61"/>
      <c r="G994" s="61"/>
      <c r="H994" s="61"/>
      <c r="I994" s="61"/>
      <c r="J994" s="107"/>
      <c r="K994" s="100"/>
      <c r="L994" s="61"/>
      <c r="M994" s="61"/>
    </row>
    <row r="995">
      <c r="A995" s="65"/>
      <c r="B995" s="65"/>
      <c r="C995" s="65"/>
      <c r="D995" s="65"/>
      <c r="E995" s="65"/>
      <c r="F995" s="65"/>
      <c r="G995" s="65"/>
      <c r="H995" s="65"/>
      <c r="I995" s="65"/>
      <c r="J995" s="108"/>
      <c r="K995" s="103"/>
      <c r="L995" s="65"/>
      <c r="M995" s="65"/>
    </row>
    <row r="996">
      <c r="A996" s="61"/>
      <c r="B996" s="61"/>
      <c r="C996" s="61"/>
      <c r="D996" s="61"/>
      <c r="E996" s="61"/>
      <c r="F996" s="61"/>
      <c r="G996" s="61"/>
      <c r="H996" s="61"/>
      <c r="I996" s="61"/>
      <c r="J996" s="107"/>
      <c r="K996" s="100"/>
      <c r="L996" s="61"/>
      <c r="M996" s="61"/>
    </row>
    <row r="997">
      <c r="A997" s="65"/>
      <c r="B997" s="65"/>
      <c r="C997" s="65"/>
      <c r="D997" s="65"/>
      <c r="E997" s="65"/>
      <c r="F997" s="65"/>
      <c r="G997" s="65"/>
      <c r="H997" s="65"/>
      <c r="I997" s="65"/>
      <c r="J997" s="108"/>
      <c r="K997" s="103"/>
      <c r="L997" s="65"/>
      <c r="M997" s="65"/>
    </row>
    <row r="998">
      <c r="A998" s="61"/>
      <c r="B998" s="61"/>
      <c r="C998" s="61"/>
      <c r="D998" s="61"/>
      <c r="E998" s="61"/>
      <c r="F998" s="61"/>
      <c r="G998" s="61"/>
      <c r="H998" s="61"/>
      <c r="I998" s="61"/>
      <c r="J998" s="107"/>
      <c r="K998" s="100"/>
      <c r="L998" s="61"/>
      <c r="M998" s="61"/>
    </row>
    <row r="999">
      <c r="A999" s="65"/>
      <c r="B999" s="65"/>
      <c r="C999" s="65"/>
      <c r="D999" s="65"/>
      <c r="E999" s="65"/>
      <c r="F999" s="65"/>
      <c r="G999" s="65"/>
      <c r="H999" s="65"/>
      <c r="I999" s="65"/>
      <c r="J999" s="108"/>
      <c r="K999" s="103"/>
      <c r="L999" s="65"/>
      <c r="M999" s="65"/>
    </row>
  </sheetData>
  <autoFilter ref="$A$1:$L$999"/>
  <hyperlinks>
    <hyperlink r:id="rId1" ref="A3"/>
    <hyperlink r:id="rId2" ref="A4"/>
    <hyperlink r:id="rId3" ref="A5"/>
    <hyperlink r:id="rId4" ref="A6"/>
    <hyperlink r:id="rId5" ref="A7"/>
    <hyperlink r:id="rId6" ref="A8"/>
    <hyperlink r:id="rId7" ref="A9"/>
  </hyperlinks>
  <drawing r:id="rId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7" width="22.38"/>
    <col customWidth="1" min="8" max="8" width="19.0"/>
    <col customWidth="1" min="9" max="9" width="29.5"/>
    <col customWidth="1" min="10" max="10" width="44.13"/>
    <col customWidth="1" min="11" max="11" width="17.5"/>
    <col customWidth="1" min="12" max="12" width="40.0"/>
  </cols>
  <sheetData>
    <row r="1">
      <c r="A1" s="45" t="s">
        <v>14039</v>
      </c>
      <c r="B1" s="45" t="s">
        <v>14211</v>
      </c>
      <c r="C1" s="45" t="s">
        <v>2</v>
      </c>
      <c r="D1" s="45" t="s">
        <v>3</v>
      </c>
      <c r="E1" s="45" t="s">
        <v>14212</v>
      </c>
      <c r="F1" s="45" t="s">
        <v>36</v>
      </c>
      <c r="G1" s="45" t="s">
        <v>15212</v>
      </c>
      <c r="H1" s="45" t="s">
        <v>20</v>
      </c>
      <c r="I1" s="45" t="s">
        <v>14</v>
      </c>
      <c r="J1" s="45" t="s">
        <v>28</v>
      </c>
      <c r="K1" s="45" t="s">
        <v>14214</v>
      </c>
      <c r="L1" s="45" t="s">
        <v>33</v>
      </c>
      <c r="M1" s="97" t="s">
        <v>34</v>
      </c>
    </row>
    <row r="2">
      <c r="A2" s="99" t="str">
        <f>IFERROR(__xludf.DUMMYFUNCTION("ARRAYFORMULA(
  IFERROR(
    FILTER(
      {
        MAIN!A:A,
        MAIN!B:B,
        MAIN!C:C,
        IF(MAIN!D:D="""", MAIN!AM:AM, MAIN!D:D),
        MAIN!E:E,
        MAIN!AK:AK,
        MAIN!L:L,
        MAIN!U:U,
        MAIN!V:V,
        MAIN!AC"&amp;":AC,
        MAIN!AE:AE,
        MAIN!AH:AH,
        MAIN!AI:AI
      },
      (MAIN!K:K=""Apartment Moves"")+(MAIN!K:K=""General Moving Service"")+(MAIN!K:K=""General Moving Services"")
    )
  )
)"),"https://utrucking.myshopify.com/admin/orders?query=14194")</f>
        <v>https://utrucking.myshopify.com/admin/orders?query=14194</v>
      </c>
      <c r="B2" s="61" t="str">
        <f>IFERROR(__xludf.DUMMYFUNCTION("""COMPUTED_VALUE"""),"#14194")</f>
        <v>#14194</v>
      </c>
      <c r="C2" s="61" t="str">
        <f>IFERROR(__xludf.DUMMYFUNCTION("""COMPUTED_VALUE"""),"cindyhellman1204@gmail.com")</f>
        <v>cindyhellman1204@gmail.com</v>
      </c>
      <c r="D2" s="61" t="str">
        <f>IFERROR(__xludf.DUMMYFUNCTION("""COMPUTED_VALUE"""),"(516) 508-8030")</f>
        <v>(516) 508-8030</v>
      </c>
      <c r="E2" s="61" t="str">
        <f>IFERROR(__xludf.DUMMYFUNCTION("""COMPUTED_VALUE"""),"cindy hellman")</f>
        <v>cindy hellman</v>
      </c>
      <c r="F2" s="61"/>
      <c r="G2" s="61" t="str">
        <f>IFERROR(__xludf.DUMMYFUNCTION("""COMPUTED_VALUE"""),"1 [Included with Registration]")</f>
        <v>1 [Included with Registration]</v>
      </c>
      <c r="H2" s="61"/>
      <c r="I2" s="61"/>
      <c r="J2" s="107" t="str">
        <f>IFERROR(__xludf.DUMMYFUNCTION("""COMPUTED_VALUE"""),"the everly 6105 delmar blvd st louis mo 63112 apt 1321")</f>
        <v>the everly 6105 delmar blvd st louis mo 63112 apt 1321</v>
      </c>
      <c r="K2" s="100">
        <f>IFERROR(__xludf.DUMMYFUNCTION("""COMPUTED_VALUE"""),45857.0)</f>
        <v>45857</v>
      </c>
      <c r="L2" s="61"/>
      <c r="M2" s="61" t="str">
        <f>IFERROR(__xludf.DUMMYFUNCTION("""COMPUTED_VALUE"""),"moving to  citizens park 4643 lindell blvd st louis mo 63108  apt 1110   ***    CAN YOU PLEASE DROP OFF the BOXES ON MONDAY APRIL 28th *** contact phone 516-508-8030 MARISA BENJAMIN****")</f>
        <v>moving to  citizens park 4643 lindell blvd st louis mo 63108  apt 1110   ***    CAN YOU PLEASE DROP OFF the BOXES ON MONDAY APRIL 28th *** contact phone 516-508-8030 MARISA BENJAMIN****</v>
      </c>
    </row>
    <row r="3">
      <c r="A3" s="102" t="str">
        <f>IFERROR(__xludf.DUMMYFUNCTION("""COMPUTED_VALUE"""),"https://admin.shopify.com/store/utrucking/orders/5898534977724?link_source=search")</f>
        <v>https://admin.shopify.com/store/utrucking/orders/5898534977724?link_source=search</v>
      </c>
      <c r="B3" s="65" t="str">
        <f>IFERROR(__xludf.DUMMYFUNCTION("""COMPUTED_VALUE"""),"#15233")</f>
        <v>#15233</v>
      </c>
      <c r="C3" s="65" t="str">
        <f>IFERROR(__xludf.DUMMYFUNCTION("""COMPUTED_VALUE"""),"oliviacq@icloud.com")</f>
        <v>oliviacq@icloud.com</v>
      </c>
      <c r="D3" s="65" t="str">
        <f>IFERROR(__xludf.DUMMYFUNCTION("""COMPUTED_VALUE"""),"872-230-1759")</f>
        <v>872-230-1759</v>
      </c>
      <c r="E3" s="65" t="str">
        <f>IFERROR(__xludf.DUMMYFUNCTION("""COMPUTED_VALUE"""),"Olivia Quinn")</f>
        <v>Olivia Quinn</v>
      </c>
      <c r="F3" s="65"/>
      <c r="G3" s="65"/>
      <c r="H3" s="65"/>
      <c r="I3" s="65"/>
      <c r="J3" s="108" t="str">
        <f>IFERROR(__xludf.DUMMYFUNCTION("""COMPUTED_VALUE"""),"1242 N Lake Shore Dr")</f>
        <v>1242 N Lake Shore Dr</v>
      </c>
      <c r="K3" s="103">
        <f>IFERROR(__xludf.DUMMYFUNCTION("""COMPUTED_VALUE"""),45882.0)</f>
        <v>45882</v>
      </c>
      <c r="L3" s="65"/>
      <c r="M3" s="65"/>
    </row>
    <row r="4">
      <c r="A4" s="99" t="str">
        <f>IFERROR(__xludf.DUMMYFUNCTION("""COMPUTED_VALUE"""),"https://utrucking.com/admin/orders/5905565909180")</f>
        <v>https://utrucking.com/admin/orders/5905565909180</v>
      </c>
      <c r="B4" s="61" t="str">
        <f>IFERROR(__xludf.DUMMYFUNCTION("""COMPUTED_VALUE"""),"#15365")</f>
        <v>#15365</v>
      </c>
      <c r="C4" s="61"/>
      <c r="D4" s="61">
        <f>IFERROR(__xludf.DUMMYFUNCTION("""COMPUTED_VALUE"""),3.147326554E9)</f>
        <v>3147326554</v>
      </c>
      <c r="E4" s="61" t="str">
        <f>IFERROR(__xludf.DUMMYFUNCTION("""COMPUTED_VALUE"""),"Yian Sun")</f>
        <v>Yian Sun</v>
      </c>
      <c r="F4" s="61"/>
      <c r="G4" s="61" t="str">
        <f>IFERROR(__xludf.DUMMYFUNCTION("""COMPUTED_VALUE"""),"Residential Home")</f>
        <v>Residential Home</v>
      </c>
      <c r="H4" s="61" t="str">
        <f>IFERROR(__xludf.DUMMYFUNCTION("""COMPUTED_VALUE"""),"Zetcher")</f>
        <v>Zetcher</v>
      </c>
      <c r="I4" s="61"/>
      <c r="J4" s="107" t="str">
        <f>IFERROR(__xludf.DUMMYFUNCTION("""COMPUTED_VALUE"""),"6144 Waterman Blvd")</f>
        <v>6144 Waterman Blvd</v>
      </c>
      <c r="K4" s="100">
        <f>IFERROR(__xludf.DUMMYFUNCTION("""COMPUTED_VALUE"""),45891.0)</f>
        <v>45891</v>
      </c>
      <c r="L4" s="61" t="str">
        <f>IFERROR(__xludf.DUMMYFUNCTION("""COMPUTED_VALUE"""),"6618 Shepley Dr (Zetcher 3rd Floor)")</f>
        <v>6618 Shepley Dr (Zetcher 3rd Floor)</v>
      </c>
      <c r="M4" s="61"/>
    </row>
    <row r="5">
      <c r="A5" s="102" t="str">
        <f>IFERROR(__xludf.DUMMYFUNCTION("""COMPUTED_VALUE"""),"https://utrucking.com/admin/orders/5916675342524")</f>
        <v>https://utrucking.com/admin/orders/5916675342524</v>
      </c>
      <c r="B5" s="65" t="str">
        <f>IFERROR(__xludf.DUMMYFUNCTION("""COMPUTED_VALUE"""),"#15716")</f>
        <v>#15716</v>
      </c>
      <c r="C5" s="65" t="str">
        <f>IFERROR(__xludf.DUMMYFUNCTION("""COMPUTED_VALUE"""),"elieshapiro@icloud.com")</f>
        <v>elieshapiro@icloud.com</v>
      </c>
      <c r="D5" s="65">
        <f>IFERROR(__xludf.DUMMYFUNCTION("""COMPUTED_VALUE"""),8.182009543E9)</f>
        <v>8182009543</v>
      </c>
      <c r="E5" s="65" t="str">
        <f>IFERROR(__xludf.DUMMYFUNCTION("""COMPUTED_VALUE"""),"Elie Shapiro")</f>
        <v>Elie Shapiro</v>
      </c>
      <c r="F5" s="65"/>
      <c r="G5" s="65" t="str">
        <f>IFERROR(__xludf.DUMMYFUNCTION("""COMPUTED_VALUE""")," 1 Residential Apartment  -  - ")</f>
        <v> 1 Residential Apartment  -  - </v>
      </c>
      <c r="H5" s="65"/>
      <c r="I5" s="65"/>
      <c r="J5" s="108" t="str">
        <f>IFERROR(__xludf.DUMMYFUNCTION("""COMPUTED_VALUE"""),"  6043 Clemens Ave, 2W, St. Louis MO 63112")</f>
        <v>  6043 Clemens Ave, 2W, St. Louis MO 63112</v>
      </c>
      <c r="K5" s="103">
        <f>IFERROR(__xludf.DUMMYFUNCTION("""COMPUTED_VALUE"""),45866.0)</f>
        <v>45866</v>
      </c>
      <c r="L5" s="65" t="str">
        <f>IFERROR(__xludf.DUMMYFUNCTION("""COMPUTED_VALUE""")," 7334 Forsyth Ave, 102, St. Louis Mo 63105")</f>
        <v> 7334 Forsyth Ave, 102, St. Louis Mo 63105</v>
      </c>
      <c r="M5" s="65" t="str">
        <f>IFERROR(__xludf.DUMMYFUNCTION("""COMPUTED_VALUE"""),"With stop at 7073 Forsyth blvd (down the street from location I’m moving to) to drop off the washer and dryer machines ")</f>
        <v>With stop at 7073 Forsyth blvd (down the street from location I’m moving to) to drop off the washer and dryer machines </v>
      </c>
    </row>
    <row r="6">
      <c r="A6" s="99" t="str">
        <f>IFERROR(__xludf.DUMMYFUNCTION("""COMPUTED_VALUE"""),"https://utrucking.com/admin/orders/5919628984508")</f>
        <v>https://utrucking.com/admin/orders/5919628984508</v>
      </c>
      <c r="B6" s="61" t="str">
        <f>IFERROR(__xludf.DUMMYFUNCTION("""COMPUTED_VALUE"""),"#15803")</f>
        <v>#15803</v>
      </c>
      <c r="C6" s="61"/>
      <c r="D6" s="61">
        <f>IFERROR(__xludf.DUMMYFUNCTION("""COMPUTED_VALUE"""),7.874048265E9)</f>
        <v>7874048265</v>
      </c>
      <c r="E6" s="61" t="str">
        <f>IFERROR(__xludf.DUMMYFUNCTION("""COMPUTED_VALUE"""),"Jose Vazquez")</f>
        <v>Jose Vazquez</v>
      </c>
      <c r="F6" s="61"/>
      <c r="G6" s="61" t="str">
        <f>IFERROR(__xludf.DUMMYFUNCTION("""COMPUTED_VALUE""")," 0 Residential Apartment  -  - ")</f>
        <v> 0 Residential Apartment  -  - </v>
      </c>
      <c r="H6" s="61"/>
      <c r="I6" s="61"/>
      <c r="J6" s="107" t="str">
        <f>IFERROR(__xludf.DUMMYFUNCTION("""COMPUTED_VALUE"""),"  6105 Delmar Blvd, St. Louis, MO 63112")</f>
        <v>  6105 Delmar Blvd, St. Louis, MO 63112</v>
      </c>
      <c r="K6" s="100">
        <f>IFERROR(__xludf.DUMMYFUNCTION("""COMPUTED_VALUE"""),45868.0)</f>
        <v>45868</v>
      </c>
      <c r="L6" s="61" t="str">
        <f>IFERROR(__xludf.DUMMYFUNCTION("""COMPUTED_VALUE""")," 11 N Vandeventer Ave St Louis, MO 63108")</f>
        <v> 11 N Vandeventer Ave St Louis, MO 63108</v>
      </c>
      <c r="M6" s="61" t="str">
        <f>IFERROR(__xludf.DUMMYFUNCTION("""COMPUTED_VALUE"""),"I will be moving my items from my apartment to a nearby storage unit")</f>
        <v>I will be moving my items from my apartment to a nearby storage unit</v>
      </c>
    </row>
    <row r="7">
      <c r="A7" s="102" t="str">
        <f>IFERROR(__xludf.DUMMYFUNCTION("""COMPUTED_VALUE"""),"https://utrucking.com/admin/orders/5937123786940")</f>
        <v>https://utrucking.com/admin/orders/5937123786940</v>
      </c>
      <c r="B7" s="65" t="str">
        <f>IFERROR(__xludf.DUMMYFUNCTION("""COMPUTED_VALUE"""),"#16258")</f>
        <v>#16258</v>
      </c>
      <c r="C7" s="65" t="str">
        <f>IFERROR(__xludf.DUMMYFUNCTION("""COMPUTED_VALUE"""),"c.a.pavlides@wustl.edu")</f>
        <v>c.a.pavlides@wustl.edu</v>
      </c>
      <c r="D7" s="65">
        <f>IFERROR(__xludf.DUMMYFUNCTION("""COMPUTED_VALUE"""),3.475270834E9)</f>
        <v>3475270834</v>
      </c>
      <c r="E7" s="65" t="str">
        <f>IFERROR(__xludf.DUMMYFUNCTION("""COMPUTED_VALUE"""),"Claire Pavlides")</f>
        <v>Claire Pavlides</v>
      </c>
      <c r="F7" s="65" t="str">
        <f>IFERROR(__xludf.DUMMYFUNCTION("""COMPUTED_VALUE""")," Claire Pavlides")</f>
        <v> Claire Pavlides</v>
      </c>
      <c r="G7" s="65" t="str">
        <f>IFERROR(__xludf.DUMMYFUNCTION("""COMPUTED_VALUE""")," 0 Residential Apartment  - ")</f>
        <v> 0 Residential Apartment  - </v>
      </c>
      <c r="H7" s="65"/>
      <c r="I7" s="65"/>
      <c r="J7" s="108" t="str">
        <f>IFERROR(__xludf.DUMMYFUNCTION("""COMPUTED_VALUE"""),"  6805 Washington Avenue, #1E University City MO 63130")</f>
        <v>  6805 Washington Avenue, #1E University City MO 63130</v>
      </c>
      <c r="K7" s="103">
        <f>IFERROR(__xludf.DUMMYFUNCTION("""COMPUTED_VALUE"""),45882.0)</f>
        <v>45882</v>
      </c>
      <c r="L7" s="65" t="str">
        <f>IFERROR(__xludf.DUMMYFUNCTION("""COMPUTED_VALUE""")," 730 Heman Avenue, #2N University City MO 63130 ")</f>
        <v> 730 Heman Avenue, #2N University City MO 63130 </v>
      </c>
      <c r="M7" s="65" t="str">
        <f>IFERROR(__xludf.DUMMYFUNCTION("""COMPUTED_VALUE"""),"I only need to move a few pieces of furniture: one full bed, one dresser, one desk, one wooden chair, one nightstand, and a two-cushion couch. I’m currently out of town, so a friend will let the movers into my current place, and my subletter will meet the"&amp;"m at the new place. I can provide their contact information if needed. Please note that they will only be available starting at 4:00 PM.")</f>
        <v>I only need to move a few pieces of furniture: one full bed, one dresser, one desk, one wooden chair, one nightstand, and a two-cushion couch. I’m currently out of town, so a friend will let the movers into my current place, and my subletter will meet them at the new place. I can provide their contact information if needed. Please note that they will only be available starting at 4:00 PM.</v>
      </c>
    </row>
    <row r="8">
      <c r="A8" s="99" t="str">
        <f>IFERROR(__xludf.DUMMYFUNCTION("""COMPUTED_VALUE"""),"https://utrucking.com/admin/orders/6183013155004")</f>
        <v>https://utrucking.com/admin/orders/6183013155004</v>
      </c>
      <c r="B8" s="61" t="str">
        <f>IFERROR(__xludf.DUMMYFUNCTION("""COMPUTED_VALUE"""),"#16702")</f>
        <v>#16702</v>
      </c>
      <c r="C8" s="61"/>
      <c r="D8" s="61">
        <f>IFERROR(__xludf.DUMMYFUNCTION("""COMPUTED_VALUE"""),9.179752699E9)</f>
        <v>9179752699</v>
      </c>
      <c r="E8" s="61" t="str">
        <f>IFERROR(__xludf.DUMMYFUNCTION("""COMPUTED_VALUE"""),"Fiona Bell")</f>
        <v>Fiona Bell</v>
      </c>
      <c r="F8" s="61" t="str">
        <f>IFERROR(__xludf.DUMMYFUNCTION("""COMPUTED_VALUE""")," Fiona Bell")</f>
        <v> Fiona Bell</v>
      </c>
      <c r="G8" s="61" t="str">
        <f>IFERROR(__xludf.DUMMYFUNCTION("""COMPUTED_VALUE""")," 1 WashU Housing  - ")</f>
        <v> 1 WashU Housing  - </v>
      </c>
      <c r="H8" s="61"/>
      <c r="I8" s="61"/>
      <c r="J8" s="107" t="str">
        <f>IFERROR(__xludf.DUMMYFUNCTION("""COMPUTED_VALUE"""),"   Beaumont - 206")</f>
        <v>   Beaumont - 206</v>
      </c>
      <c r="K8" s="100">
        <f>IFERROR(__xludf.DUMMYFUNCTION("""COMPUTED_VALUE"""),46030.0)</f>
        <v>46030</v>
      </c>
      <c r="L8" s="61" t="str">
        <f>IFERROR(__xludf.DUMMYFUNCTION("""COMPUTED_VALUE""")," Millbrook 3 - 101G - a and Millbrook 3 - 101F - a")</f>
        <v> Millbrook 3 - 101G - a and Millbrook 3 - 101F - a</v>
      </c>
      <c r="M8" s="61" t="str">
        <f>IFERROR(__xludf.DUMMYFUNCTION("""COMPUTED_VALUE"""),"The boxes/stuff will be labelled and moved from one room to two different rooms in the same apartment. ")</f>
        <v>The boxes/stuff will be labelled and moved from one room to two different rooms in the same apartment. </v>
      </c>
    </row>
    <row r="9">
      <c r="A9" s="102" t="str">
        <f>IFERROR(__xludf.DUMMYFUNCTION("""COMPUTED_VALUE"""),"https://utrucking.com/admin/orders/6184870576316")</f>
        <v>https://utrucking.com/admin/orders/6184870576316</v>
      </c>
      <c r="B9" s="65" t="str">
        <f>IFERROR(__xludf.DUMMYFUNCTION("""COMPUTED_VALUE"""),"#16703")</f>
        <v>#16703</v>
      </c>
      <c r="C9" s="65" t="str">
        <f>IFERROR(__xludf.DUMMYFUNCTION("""COMPUTED_VALUE"""),"annamiller2905@gmail.com")</f>
        <v>annamiller2905@gmail.com</v>
      </c>
      <c r="D9" s="65">
        <f>IFERROR(__xludf.DUMMYFUNCTION("""COMPUTED_VALUE"""),5.612254772E9)</f>
        <v>5612254772</v>
      </c>
      <c r="E9" s="65" t="str">
        <f>IFERROR(__xludf.DUMMYFUNCTION("""COMPUTED_VALUE"""),"Anna Miller")</f>
        <v>Anna Miller</v>
      </c>
      <c r="F9" s="65" t="str">
        <f>IFERROR(__xludf.DUMMYFUNCTION("""COMPUTED_VALUE""")," Anna Miller")</f>
        <v> Anna Miller</v>
      </c>
      <c r="G9" s="65" t="str">
        <f>IFERROR(__xludf.DUMMYFUNCTION("""COMPUTED_VALUE""")," 0 WashU Housing  - ")</f>
        <v> 0 WashU Housing  - </v>
      </c>
      <c r="H9" s="65"/>
      <c r="I9" s="65"/>
      <c r="J9" s="108" t="str">
        <f>IFERROR(__xludf.DUMMYFUNCTION("""COMPUTED_VALUE"""),"  Beaumont House 204")</f>
        <v>  Beaumont House 204</v>
      </c>
      <c r="K9" s="103">
        <f>IFERROR(__xludf.DUMMYFUNCTION("""COMPUTED_VALUE"""),46030.0)</f>
        <v>46030</v>
      </c>
      <c r="L9" s="65" t="str">
        <f>IFERROR(__xludf.DUMMYFUNCTION("""COMPUTED_VALUE""")," Millbrook 3 101 C and D ")</f>
        <v> Millbrook 3 101 C and D </v>
      </c>
      <c r="M9" s="65" t="str">
        <f>IFERROR(__xludf.DUMMYFUNCTION("""COMPUTED_VALUE"""),"We will not be in town at the time of this move! Please let me know if this will be an issue. Additionally, items moved will be split between Millbrook 101 C and D - items will be labeled. Thank you!")</f>
        <v>We will not be in town at the time of this move! Please let me know if this will be an issue. Additionally, items moved will be split between Millbrook 101 C and D - items will be labeled. Thank you!</v>
      </c>
    </row>
    <row r="10">
      <c r="A10" s="99" t="str">
        <f>IFERROR(__xludf.DUMMYFUNCTION("""COMPUTED_VALUE"""),"https://utrucking.com/admin/orders/6189286195388")</f>
        <v>https://utrucking.com/admin/orders/6189286195388</v>
      </c>
      <c r="B10" s="61" t="str">
        <f>IFERROR(__xludf.DUMMYFUNCTION("""COMPUTED_VALUE"""),"#16710")</f>
        <v>#16710</v>
      </c>
      <c r="C10" s="61" t="str">
        <f>IFERROR(__xludf.DUMMYFUNCTION("""COMPUTED_VALUE"""),"anniehlavka@gmail.com")</f>
        <v>anniehlavka@gmail.com</v>
      </c>
      <c r="D10" s="61">
        <f>IFERROR(__xludf.DUMMYFUNCTION("""COMPUTED_VALUE"""),6.504228482E9)</f>
        <v>6504228482</v>
      </c>
      <c r="E10" s="61" t="str">
        <f>IFERROR(__xludf.DUMMYFUNCTION("""COMPUTED_VALUE"""),"Elizabeth Hlavka")</f>
        <v>Elizabeth Hlavka</v>
      </c>
      <c r="F10" s="61" t="str">
        <f>IFERROR(__xludf.DUMMYFUNCTION("""COMPUTED_VALUE""")," Annie Hlavka")</f>
        <v> Annie Hlavka</v>
      </c>
      <c r="G10" s="61" t="str">
        <f>IFERROR(__xludf.DUMMYFUNCTION("""COMPUTED_VALUE""")," 0 WashU Housing  - ")</f>
        <v> 0 WashU Housing  - </v>
      </c>
      <c r="H10" s="61"/>
      <c r="I10" s="61"/>
      <c r="J10" s="107" t="str">
        <f>IFERROR(__xludf.DUMMYFUNCTION("""COMPUTED_VALUE"""),"  Beaumont 205")</f>
        <v>  Beaumont 205</v>
      </c>
      <c r="K10" s="100">
        <f>IFERROR(__xludf.DUMMYFUNCTION("""COMPUTED_VALUE"""),46030.0)</f>
        <v>46030</v>
      </c>
      <c r="L10" s="61" t="str">
        <f>IFERROR(__xludf.DUMMYFUNCTION("""COMPUTED_VALUE""")," Millbrook 3, Room 101A")</f>
        <v> Millbrook 3, Room 101A</v>
      </c>
      <c r="M10" s="61" t="str">
        <f>IFERROR(__xludf.DUMMYFUNCTION("""COMPUTED_VALUE"""),"About 10 boxes, microwave, refrigerator, 2 under bed storage containers")</f>
        <v>About 10 boxes, microwave, refrigerator, 2 under bed storage containers</v>
      </c>
    </row>
    <row r="11">
      <c r="A11" s="102" t="str">
        <f>IFERROR(__xludf.DUMMYFUNCTION("""COMPUTED_VALUE"""),"https://utrucking.com/admin/orders/6288844193980")</f>
        <v>https://utrucking.com/admin/orders/6288844193980</v>
      </c>
      <c r="B11" s="65" t="str">
        <f>IFERROR(__xludf.DUMMYFUNCTION("""COMPUTED_VALUE"""),"#16807")</f>
        <v>#16807</v>
      </c>
      <c r="C11" s="65" t="str">
        <f>IFERROR(__xludf.DUMMYFUNCTION("""COMPUTED_VALUE"""),"lilycfiala@gmail.com")</f>
        <v>lilycfiala@gmail.com</v>
      </c>
      <c r="D11" s="65">
        <f>IFERROR(__xludf.DUMMYFUNCTION("""COMPUTED_VALUE"""),3.149403811E9)</f>
        <v>3149403811</v>
      </c>
      <c r="E11" s="65" t="str">
        <f>IFERROR(__xludf.DUMMYFUNCTION("""COMPUTED_VALUE"""),"Lily. Fialas")</f>
        <v>Lily. Fialas</v>
      </c>
      <c r="F11" s="65" t="str">
        <f>IFERROR(__xludf.DUMMYFUNCTION("""COMPUTED_VALUE""")," Lily fiala")</f>
        <v> Lily fiala</v>
      </c>
      <c r="G11" s="65" t="str">
        <f>IFERROR(__xludf.DUMMYFUNCTION("""COMPUTED_VALUE""")," 0 Residential Apartment  - ")</f>
        <v> 0 Residential Apartment  - </v>
      </c>
      <c r="H11" s="65"/>
      <c r="I11" s="65"/>
      <c r="J11" s="108" t="str">
        <f>IFERROR(__xludf.DUMMYFUNCTION("""COMPUTED_VALUE"""),"  7238 Pershing ave 63130 and 16 waverton drive 63124")</f>
        <v>  7238 Pershing ave 63130 and 16 waverton drive 63124</v>
      </c>
      <c r="K11" s="103">
        <f>IFERROR(__xludf.DUMMYFUNCTION("""COMPUTED_VALUE"""),46055.0)</f>
        <v>46055</v>
      </c>
      <c r="L11" s="65" t="str">
        <f>IFERROR(__xludf.DUMMYFUNCTION("""COMPUTED_VALUE""")," 150 N Brentwood apt E")</f>
        <v> 150 N Brentwood apt E</v>
      </c>
      <c r="M11" s="65" t="str">
        <f>IFERROR(__xludf.DUMMYFUNCTION("""COMPUTED_VALUE"""),"I have a few things in storage at my parents house that we will need to pick up as well")</f>
        <v>I have a few things in storage at my parents house that we will need to pick up as well</v>
      </c>
    </row>
    <row r="12">
      <c r="A12" s="99" t="str">
        <f>IFERROR(__xludf.DUMMYFUNCTION("""COMPUTED_VALUE"""),"https://utrucking.com/admin/orders/6304836583612")</f>
        <v>https://utrucking.com/admin/orders/6304836583612</v>
      </c>
      <c r="B12" s="61" t="str">
        <f>IFERROR(__xludf.DUMMYFUNCTION("""COMPUTED_VALUE"""),"#16824")</f>
        <v>#16824</v>
      </c>
      <c r="C12" s="61" t="str">
        <f>IFERROR(__xludf.DUMMYFUNCTION("""COMPUTED_VALUE"""),"nr06880@gmail.com")</f>
        <v>nr06880@gmail.com</v>
      </c>
      <c r="D12" s="61">
        <f>IFERROR(__xludf.DUMMYFUNCTION("""COMPUTED_VALUE"""),9.177973844E9)</f>
        <v>9177973844</v>
      </c>
      <c r="E12" s="61" t="str">
        <f>IFERROR(__xludf.DUMMYFUNCTION("""COMPUTED_VALUE"""),"Noah Robins")</f>
        <v>Noah Robins</v>
      </c>
      <c r="F12" s="61" t="str">
        <f>IFERROR(__xludf.DUMMYFUNCTION("""COMPUTED_VALUE""")," Noah Robins")</f>
        <v> Noah Robins</v>
      </c>
      <c r="G12" s="61" t="str">
        <f>IFERROR(__xludf.DUMMYFUNCTION("""COMPUTED_VALUE""")," 0 Other  - ")</f>
        <v> 0 Other  - </v>
      </c>
      <c r="H12" s="61"/>
      <c r="I12" s="61"/>
      <c r="J12" s="107" t="str">
        <f>IFERROR(__xludf.DUMMYFUNCTION("""COMPUTED_VALUE"""),"  Southwest")</f>
        <v>  Southwest</v>
      </c>
      <c r="K12" s="100">
        <f>IFERROR(__xludf.DUMMYFUNCTION("""COMPUTED_VALUE"""),46058.0)</f>
        <v>46058</v>
      </c>
      <c r="L12" s="61" t="str">
        <f>IFERROR(__xludf.DUMMYFUNCTION("""COMPUTED_VALUE""")," 7358 Pershing Ave")</f>
        <v> 7358 Pershing Ave</v>
      </c>
      <c r="M12" s="61" t="str">
        <f>IFERROR(__xludf.DUMMYFUNCTION("""COMPUTED_VALUE"""),"Move Noah's furniture with pink postits + paintings")</f>
        <v>Move Noah's furniture with pink postits + paintings</v>
      </c>
    </row>
    <row r="13">
      <c r="A13" s="102" t="str">
        <f>IFERROR(__xludf.DUMMYFUNCTION("""COMPUTED_VALUE"""),"https://utrucking.com/admin/orders/6368358695100")</f>
        <v>https://utrucking.com/admin/orders/6368358695100</v>
      </c>
      <c r="B13" s="65" t="str">
        <f>IFERROR(__xludf.DUMMYFUNCTION("""COMPUTED_VALUE"""),"#17125")</f>
        <v>#17125</v>
      </c>
      <c r="C13" s="65" t="str">
        <f>IFERROR(__xludf.DUMMYFUNCTION("""COMPUTED_VALUE"""),"julie@meggers.com")</f>
        <v>julie@meggers.com</v>
      </c>
      <c r="D13" s="65">
        <f>IFERROR(__xludf.DUMMYFUNCTION("""COMPUTED_VALUE"""),9.49887555E9)</f>
        <v>9498875550</v>
      </c>
      <c r="E13" s="65" t="str">
        <f>IFERROR(__xludf.DUMMYFUNCTION("""COMPUTED_VALUE"""),"Julie Meggers")</f>
        <v>Julie Meggers</v>
      </c>
      <c r="F13" s="65" t="str">
        <f>IFERROR(__xludf.DUMMYFUNCTION("""COMPUTED_VALUE""")," Julie Meggers")</f>
        <v> Julie Meggers</v>
      </c>
      <c r="G13" s="65" t="str">
        <f>IFERROR(__xludf.DUMMYFUNCTION("""COMPUTED_VALUE""")," 3 WashU Housing  - ")</f>
        <v> 3 WashU Housing  - </v>
      </c>
      <c r="H13" s="65"/>
      <c r="I13" s="65"/>
      <c r="J13" s="108" t="str">
        <f>IFERROR(__xludf.DUMMYFUNCTION("""COMPUTED_VALUE"""),"  Umrath L230")</f>
        <v>  Umrath L230</v>
      </c>
      <c r="K13" s="103">
        <f>IFERROR(__xludf.DUMMYFUNCTION("""COMPUTED_VALUE"""),46094.0)</f>
        <v>46094</v>
      </c>
      <c r="L13" s="65" t="str">
        <f>IFERROR(__xludf.DUMMYFUNCTION("""COMPUTED_VALUE""")," 333A Dauten")</f>
        <v> 333A Dauten</v>
      </c>
      <c r="M13" s="65" t="str">
        <f>IFERROR(__xludf.DUMMYFUNCTION("""COMPUTED_VALUE"""),"Would it be possible to have boxes dropped off at Umrath by 12pm on 3/13?")</f>
        <v>Would it be possible to have boxes dropped off at Umrath by 12pm on 3/13?</v>
      </c>
    </row>
    <row r="14">
      <c r="A14" s="99" t="str">
        <f>IFERROR(__xludf.DUMMYFUNCTION("""COMPUTED_VALUE"""),"https://utrucking.com/admin/orders/6398188093628")</f>
        <v>https://utrucking.com/admin/orders/6398188093628</v>
      </c>
      <c r="B14" s="61" t="str">
        <f>IFERROR(__xludf.DUMMYFUNCTION("""COMPUTED_VALUE"""),"#17254")</f>
        <v>#17254</v>
      </c>
      <c r="C14" s="61" t="str">
        <f>IFERROR(__xludf.DUMMYFUNCTION("""COMPUTED_VALUE"""),"rachelding@wustl.edu")</f>
        <v>rachelding@wustl.edu</v>
      </c>
      <c r="D14" s="61">
        <f>IFERROR(__xludf.DUMMYFUNCTION("""COMPUTED_VALUE"""),5.619619128E9)</f>
        <v>5619619128</v>
      </c>
      <c r="E14" s="61" t="str">
        <f>IFERROR(__xludf.DUMMYFUNCTION("""COMPUTED_VALUE"""),"Xiao Rui Ding")</f>
        <v>Xiao Rui Ding</v>
      </c>
      <c r="F14" s="61" t="str">
        <f>IFERROR(__xludf.DUMMYFUNCTION("""COMPUTED_VALUE""")," Rachel Ding ")</f>
        <v> Rachel Ding </v>
      </c>
      <c r="G14" s="61" t="str">
        <f>IFERROR(__xludf.DUMMYFUNCTION("""COMPUTED_VALUE""")," 0 Residential Apartment  - ")</f>
        <v> 0 Residential Apartment  - </v>
      </c>
      <c r="H14" s="61"/>
      <c r="I14" s="61"/>
      <c r="J14" s="107" t="str">
        <f>IFERROR(__xludf.DUMMYFUNCTION("""COMPUTED_VALUE"""),"  7012 Forsyth Blvd 
Apt 2W
St. Louis, MO 63105")</f>
        <v>  7012 Forsyth Blvd 
Apt 2W
St. Louis, MO 63105</v>
      </c>
      <c r="K14" s="100">
        <f>IFERROR(__xludf.DUMMYFUNCTION("""COMPUTED_VALUE"""),46158.0)</f>
        <v>46158</v>
      </c>
      <c r="L14" s="61" t="str">
        <f>IFERROR(__xludf.DUMMYFUNCTION("""COMPUTED_VALUE""")," 2311 Swenson Lane
St. Peters, MO 63376")</f>
        <v> 2311 Swenson Lane
St. Peters, MO 63376</v>
      </c>
      <c r="M14" s="61" t="str">
        <f>IFERROR(__xludf.DUMMYFUNCTION("""COMPUTED_VALUE"""),"Residential move: moving drawer, office desk, TV, office chair, computer monitor, small neon sign, side table. Prefer a morning slot")</f>
        <v>Residential move: moving drawer, office desk, TV, office chair, computer monitor, small neon sign, side table. Prefer a morning slot</v>
      </c>
    </row>
    <row r="15">
      <c r="A15" s="102" t="str">
        <f>IFERROR(__xludf.DUMMYFUNCTION("""COMPUTED_VALUE"""),"https://utrucking.com/admin/orders/6421544730812")</f>
        <v>https://utrucking.com/admin/orders/6421544730812</v>
      </c>
      <c r="B15" s="65" t="str">
        <f>IFERROR(__xludf.DUMMYFUNCTION("""COMPUTED_VALUE"""),"#17507")</f>
        <v>#17507</v>
      </c>
      <c r="C15" s="65" t="str">
        <f>IFERROR(__xludf.DUMMYFUNCTION("""COMPUTED_VALUE"""),"r.vivian@wustl.edu")</f>
        <v>r.vivian@wustl.edu</v>
      </c>
      <c r="D15" s="65">
        <f>IFERROR(__xludf.DUMMYFUNCTION("""COMPUTED_VALUE"""),9.739819603E9)</f>
        <v>9739819603</v>
      </c>
      <c r="E15" s="65" t="str">
        <f>IFERROR(__xludf.DUMMYFUNCTION("""COMPUTED_VALUE"""),"Vivian Robles Pinos")</f>
        <v>Vivian Robles Pinos</v>
      </c>
      <c r="F15" s="65" t="str">
        <f>IFERROR(__xludf.DUMMYFUNCTION("""COMPUTED_VALUE""")," Vivian Robles Pinos")</f>
        <v> Vivian Robles Pinos</v>
      </c>
      <c r="G15" s="65" t="str">
        <f>IFERROR(__xludf.DUMMYFUNCTION("""COMPUTED_VALUE""")," 0 Residential Apartment  - ")</f>
        <v> 0 Residential Apartment  - </v>
      </c>
      <c r="H15" s="65"/>
      <c r="I15" s="65"/>
      <c r="J15" s="108" t="str">
        <f>IFERROR(__xludf.DUMMYFUNCTION("""COMPUTED_VALUE"""),"  Lopata 2161a")</f>
        <v>  Lopata 2161a</v>
      </c>
      <c r="K15" s="103">
        <f>IFERROR(__xludf.DUMMYFUNCTION("""COMPUTED_VALUE"""),46149.0)</f>
        <v>46149</v>
      </c>
      <c r="L15" s="65" t="str">
        <f>IFERROR(__xludf.DUMMYFUNCTION("""COMPUTED_VALUE""")," 6041 Waterman Blvd 3E St. Louis, MO 63112")</f>
        <v> 6041 Waterman Blvd 3E St. Louis, MO 63112</v>
      </c>
      <c r="M15" s="65" t="str">
        <f>IFERROR(__xludf.DUMMYFUNCTION("""COMPUTED_VALUE""")," ")</f>
        <v> </v>
      </c>
    </row>
    <row r="16">
      <c r="A16" s="99" t="str">
        <f>IFERROR(__xludf.DUMMYFUNCTION("""COMPUTED_VALUE"""),"https://utrucking.com/admin/orders/6432531022012")</f>
        <v>https://utrucking.com/admin/orders/6432531022012</v>
      </c>
      <c r="B16" s="61" t="str">
        <f>IFERROR(__xludf.DUMMYFUNCTION("""COMPUTED_VALUE"""),"#17674")</f>
        <v>#17674</v>
      </c>
      <c r="C16" s="61" t="str">
        <f>IFERROR(__xludf.DUMMYFUNCTION("""COMPUTED_VALUE"""),"k.stephen@wustl.edu")</f>
        <v>k.stephen@wustl.edu</v>
      </c>
      <c r="D16" s="61">
        <f>IFERROR(__xludf.DUMMYFUNCTION("""COMPUTED_VALUE"""),9.252868104E9)</f>
        <v>9252868104</v>
      </c>
      <c r="E16" s="61" t="str">
        <f>IFERROR(__xludf.DUMMYFUNCTION("""COMPUTED_VALUE"""),"Jennie Klein")</f>
        <v>Jennie Klein</v>
      </c>
      <c r="F16" s="61" t="str">
        <f>IFERROR(__xludf.DUMMYFUNCTION("""COMPUTED_VALUE""")," Stephen Klein")</f>
        <v> Stephen Klein</v>
      </c>
      <c r="G16" s="61" t="str">
        <f>IFERROR(__xludf.DUMMYFUNCTION("""COMPUTED_VALUE""")," 1 WashU Housing  - ")</f>
        <v> 1 WashU Housing  - </v>
      </c>
      <c r="H16" s="61"/>
      <c r="I16" s="61"/>
      <c r="J16" s="107" t="str">
        <f>IFERROR(__xludf.DUMMYFUNCTION("""COMPUTED_VALUE"""),"  6515 Wydown Blvd (Clock Tower), St. Louis, MO 63105")</f>
        <v>  6515 Wydown Blvd (Clock Tower), St. Louis, MO 63105</v>
      </c>
      <c r="K16" s="100">
        <f>IFERROR(__xludf.DUMMYFUNCTION("""COMPUTED_VALUE"""),46149.0)</f>
        <v>46149</v>
      </c>
      <c r="L16" s="61" t="str">
        <f>IFERROR(__xludf.DUMMYFUNCTION("""COMPUTED_VALUE""")," 725 Westgate Ave, St. Louis, MO 63105")</f>
        <v> 725 Westgate Ave, St. Louis, MO 63105</v>
      </c>
      <c r="M16" s="61" t="str">
        <f>IFERROR(__xludf.DUMMYFUNCTION("""COMPUTED_VALUE"""),"This move is from WashU housing to a nearby apartment.  We would like to request for an afternoon move time.  Thank you. ")</f>
        <v>This move is from WashU housing to a nearby apartment.  We would like to request for an afternoon move time.  Thank you. </v>
      </c>
    </row>
    <row r="17">
      <c r="A17" s="102" t="str">
        <f>IFERROR(__xludf.DUMMYFUNCTION("""COMPUTED_VALUE"""),"https://utrucking.com/admin/orders/6445197459644")</f>
        <v>https://utrucking.com/admin/orders/6445197459644</v>
      </c>
      <c r="B17" s="65" t="str">
        <f>IFERROR(__xludf.DUMMYFUNCTION("""COMPUTED_VALUE"""),"#17796")</f>
        <v>#17796</v>
      </c>
      <c r="C17" s="65" t="str">
        <f>IFERROR(__xludf.DUMMYFUNCTION("""COMPUTED_VALUE"""),"joycel@wustl.edu")</f>
        <v>joycel@wustl.edu</v>
      </c>
      <c r="D17" s="65">
        <f>IFERROR(__xludf.DUMMYFUNCTION("""COMPUTED_VALUE"""),3.144454648E9)</f>
        <v>3144454648</v>
      </c>
      <c r="E17" s="65" t="str">
        <f>IFERROR(__xludf.DUMMYFUNCTION("""COMPUTED_VALUE"""),"Tsu-Yu Lin")</f>
        <v>Tsu-Yu Lin</v>
      </c>
      <c r="F17" s="65" t="str">
        <f>IFERROR(__xludf.DUMMYFUNCTION("""COMPUTED_VALUE""")," Joyce Lin")</f>
        <v> Joyce Lin</v>
      </c>
      <c r="G17" s="65" t="str">
        <f>IFERROR(__xludf.DUMMYFUNCTION("""COMPUTED_VALUE""")," 2 Residential Apartment  - ")</f>
        <v> 2 Residential Apartment  - </v>
      </c>
      <c r="H17" s="65"/>
      <c r="I17" s="65"/>
      <c r="J17" s="108" t="str">
        <f>IFERROR(__xludf.DUMMYFUNCTION("""COMPUTED_VALUE"""),"  Nemerov 10004")</f>
        <v>  Nemerov 10004</v>
      </c>
      <c r="K17" s="103">
        <f>IFERROR(__xludf.DUMMYFUNCTION("""COMPUTED_VALUE"""),46150.0)</f>
        <v>46150</v>
      </c>
      <c r="L17" s="65" t="str">
        <f>IFERROR(__xludf.DUMMYFUNCTION("""COMPUTED_VALUE""")," 6105 Delmar Blvd. Apt 1008, Saint Louis, MO 63112")</f>
        <v> 6105 Delmar Blvd. Apt 1008, Saint Louis, MO 63112</v>
      </c>
      <c r="M17" s="65" t="str">
        <f>IFERROR(__xludf.DUMMYFUNCTION("""COMPUTED_VALUE"""),"The apartment unit is the 10th floor.  ")</f>
        <v>The apartment unit is the 10th floor.  </v>
      </c>
    </row>
    <row r="18">
      <c r="A18" s="99" t="str">
        <f>IFERROR(__xludf.DUMMYFUNCTION("""COMPUTED_VALUE"""),"https://utrucking.com/admin/orders/6446671626428")</f>
        <v>https://utrucking.com/admin/orders/6446671626428</v>
      </c>
      <c r="B18" s="61" t="str">
        <f>IFERROR(__xludf.DUMMYFUNCTION("""COMPUTED_VALUE"""),"#17925")</f>
        <v>#17925</v>
      </c>
      <c r="C18" s="61" t="str">
        <f>IFERROR(__xludf.DUMMYFUNCTION("""COMPUTED_VALUE"""),"maygolss@sbcglobal.net")</f>
        <v>maygolss@sbcglobal.net</v>
      </c>
      <c r="D18" s="61">
        <f>IFERROR(__xludf.DUMMYFUNCTION("""COMPUTED_VALUE"""),3.1036543E9)</f>
        <v>3103654300</v>
      </c>
      <c r="E18" s="61" t="str">
        <f>IFERROR(__xludf.DUMMYFUNCTION("""COMPUTED_VALUE"""),"Maygol Sapra")</f>
        <v>Maygol Sapra</v>
      </c>
      <c r="F18" s="61" t="str">
        <f>IFERROR(__xludf.DUMMYFUNCTION("""COMPUTED_VALUE""")," May Sapra ")</f>
        <v> May Sapra </v>
      </c>
      <c r="G18" s="61" t="str">
        <f>IFERROR(__xludf.DUMMYFUNCTION("""COMPUTED_VALUE""")," 0 Other  - ")</f>
        <v> 0 Other  - </v>
      </c>
      <c r="H18" s="61"/>
      <c r="I18" s="61"/>
      <c r="J18" s="107" t="str">
        <f>IFERROR(__xludf.DUMMYFUNCTION("""COMPUTED_VALUE"""),"  Village East 2012A")</f>
        <v>  Village East 2012A</v>
      </c>
      <c r="K18" s="100">
        <f>IFERROR(__xludf.DUMMYFUNCTION("""COMPUTED_VALUE"""),46141.0)</f>
        <v>46141</v>
      </c>
      <c r="L18" s="61" t="str">
        <f>IFERROR(__xludf.DUMMYFUNCTION("""COMPUTED_VALUE""")," 6843 Kingsbury Blvd")</f>
        <v> 6843 Kingsbury Blvd</v>
      </c>
      <c r="M18" s="61" t="str">
        <f>IFERROR(__xludf.DUMMYFUNCTION("""COMPUTED_VALUE"""),"Items being stored in basement of new apartment building.  Move to take place 4/28 at 2:30 pm")</f>
        <v>Items being stored in basement of new apartment building.  Move to take place 4/28 at 2:30 pm</v>
      </c>
    </row>
    <row r="19">
      <c r="A19" s="102" t="str">
        <f>IFERROR(__xludf.DUMMYFUNCTION("""COMPUTED_VALUE"""),"https://utrucking.com/admin/orders/6452426440892")</f>
        <v>https://utrucking.com/admin/orders/6452426440892</v>
      </c>
      <c r="B19" s="65" t="str">
        <f>IFERROR(__xludf.DUMMYFUNCTION("""COMPUTED_VALUE"""),"#18136")</f>
        <v>#18136</v>
      </c>
      <c r="C19" s="65" t="str">
        <f>IFERROR(__xludf.DUMMYFUNCTION("""COMPUTED_VALUE"""),"SCHWARTZ.PAMMY@GMAIL.COM")</f>
        <v>SCHWARTZ.PAMMY@GMAIL.COM</v>
      </c>
      <c r="D19" s="65">
        <f>IFERROR(__xludf.DUMMYFUNCTION("""COMPUTED_VALUE"""),7.73771286E9)</f>
        <v>7737712860</v>
      </c>
      <c r="E19" s="65" t="str">
        <f>IFERROR(__xludf.DUMMYFUNCTION("""COMPUTED_VALUE"""),"pamelynn esperanza")</f>
        <v>pamelynn esperanza</v>
      </c>
      <c r="F19" s="65" t="str">
        <f>IFERROR(__xludf.DUMMYFUNCTION("""COMPUTED_VALUE""")," Samantha")</f>
        <v> Samantha</v>
      </c>
      <c r="G19" s="65" t="str">
        <f>IFERROR(__xludf.DUMMYFUNCTION("""COMPUTED_VALUE""")," 0 WashU Housing  - ")</f>
        <v> 0 WashU Housing  - </v>
      </c>
      <c r="H19" s="65"/>
      <c r="I19" s="65"/>
      <c r="J19" s="108" t="str">
        <f>IFERROR(__xludf.DUMMYFUNCTION("""COMPUTED_VALUE"""),"  Nemrov")</f>
        <v>  Nemrov</v>
      </c>
      <c r="K19" s="103">
        <f>IFERROR(__xludf.DUMMYFUNCTION("""COMPUTED_VALUE"""),46149.0)</f>
        <v>46149</v>
      </c>
      <c r="L19" s="65" t="str">
        <f>IFERROR(__xludf.DUMMYFUNCTION("""COMPUTED_VALUE""")," 7100 Forsyth")</f>
        <v> 7100 Forsyth</v>
      </c>
      <c r="M19" s="65" t="str">
        <f>IFERROR(__xludf.DUMMYFUNCTION("""COMPUTED_VALUE"""),"moving from dorm to house upper unit. Samantha 646-799-8253. Call Pam/Mom 773771-2860 as samantha is in finals ")</f>
        <v>moving from dorm to house upper unit. Samantha 646-799-8253. Call Pam/Mom 773771-2860 as samantha is in finals </v>
      </c>
    </row>
    <row r="20">
      <c r="A20" s="99" t="str">
        <f>IFERROR(__xludf.DUMMYFUNCTION("""COMPUTED_VALUE"""),"https://utrucking.com/admin/orders/6457493160124")</f>
        <v>https://utrucking.com/admin/orders/6457493160124</v>
      </c>
      <c r="B20" s="61" t="str">
        <f>IFERROR(__xludf.DUMMYFUNCTION("""COMPUTED_VALUE"""),"#18266")</f>
        <v>#18266</v>
      </c>
      <c r="C20" s="61" t="str">
        <f>IFERROR(__xludf.DUMMYFUNCTION("""COMPUTED_VALUE"""),"b.raine@wustl.edu")</f>
        <v>b.raine@wustl.edu</v>
      </c>
      <c r="D20" s="61">
        <f>IFERROR(__xludf.DUMMYFUNCTION("""COMPUTED_VALUE"""),9.079031835E9)</f>
        <v>9079031835</v>
      </c>
      <c r="E20" s="61" t="str">
        <f>IFERROR(__xludf.DUMMYFUNCTION("""COMPUTED_VALUE"""),"Michael Borys")</f>
        <v>Michael Borys</v>
      </c>
      <c r="F20" s="61" t="str">
        <f>IFERROR(__xludf.DUMMYFUNCTION("""COMPUTED_VALUE""")," Emma Borys")</f>
        <v> Emma Borys</v>
      </c>
      <c r="G20" s="61" t="str">
        <f>IFERROR(__xludf.DUMMYFUNCTION("""COMPUTED_VALUE""")," 0 WashU Housing  - ")</f>
        <v> 0 WashU Housing  - </v>
      </c>
      <c r="H20" s="61"/>
      <c r="I20" s="61"/>
      <c r="J20" s="107" t="str">
        <f>IFERROR(__xludf.DUMMYFUNCTION("""COMPUTED_VALUE"""),"  Umrath 2233A")</f>
        <v>  Umrath 2233A</v>
      </c>
      <c r="K20" s="100">
        <f>IFERROR(__xludf.DUMMYFUNCTION("""COMPUTED_VALUE"""),46155.0)</f>
        <v>46155</v>
      </c>
      <c r="L20" s="61" t="str">
        <f>IFERROR(__xludf.DUMMYFUNCTION("""COMPUTED_VALUE""")," Elliott B")</f>
        <v> Elliott B</v>
      </c>
      <c r="M20" s="61" t="str">
        <f>IFERROR(__xludf.DUMMYFUNCTION("""COMPUTED_VALUE"""),"Housing has approved extension, moving from Umrath to Elliott B for the summer ")</f>
        <v>Housing has approved extension, moving from Umrath to Elliott B for the summer </v>
      </c>
    </row>
    <row r="21">
      <c r="A21" s="102" t="str">
        <f>IFERROR(__xludf.DUMMYFUNCTION("""COMPUTED_VALUE"""),"https://utrucking.com/admin/orders/6458308165820")</f>
        <v>https://utrucking.com/admin/orders/6458308165820</v>
      </c>
      <c r="B21" s="65" t="str">
        <f>IFERROR(__xludf.DUMMYFUNCTION("""COMPUTED_VALUE"""),"#18291")</f>
        <v>#18291</v>
      </c>
      <c r="C21" s="65" t="str">
        <f>IFERROR(__xludf.DUMMYFUNCTION("""COMPUTED_VALUE"""),"k.l.meyer@wustl.edu")</f>
        <v>k.l.meyer@wustl.edu</v>
      </c>
      <c r="D21" s="65">
        <f>IFERROR(__xludf.DUMMYFUNCTION("""COMPUTED_VALUE"""),5.617015811E9)</f>
        <v>5617015811</v>
      </c>
      <c r="E21" s="65" t="str">
        <f>IFERROR(__xludf.DUMMYFUNCTION("""COMPUTED_VALUE"""),"Kyra Meyer")</f>
        <v>Kyra Meyer</v>
      </c>
      <c r="F21" s="65" t="str">
        <f>IFERROR(__xludf.DUMMYFUNCTION("""COMPUTED_VALUE""")," Kyra Meyer")</f>
        <v> Kyra Meyer</v>
      </c>
      <c r="G21" s="65" t="str">
        <f>IFERROR(__xludf.DUMMYFUNCTION("""COMPUTED_VALUE""")," 0 Residential Apartment  - ")</f>
        <v> 0 Residential Apartment  - </v>
      </c>
      <c r="H21" s="65"/>
      <c r="I21" s="65"/>
      <c r="J21" s="108" t="str">
        <f>IFERROR(__xludf.DUMMYFUNCTION("""COMPUTED_VALUE"""),"  4959 Manchester Ave St. Louis, MO 63110")</f>
        <v>  4959 Manchester Ave St. Louis, MO 63110</v>
      </c>
      <c r="K21" s="103">
        <f>IFERROR(__xludf.DUMMYFUNCTION("""COMPUTED_VALUE"""),46177.0)</f>
        <v>46177</v>
      </c>
      <c r="L21" s="65" t="str">
        <f>IFERROR(__xludf.DUMMYFUNCTION("""COMPUTED_VALUE""")," 608 Kingsland Avenue, Suite 403, St. Louis, MO 63130")</f>
        <v> 608 Kingsland Avenue, Suite 403, St. Louis, MO 63130</v>
      </c>
      <c r="M21" s="65" t="str">
        <f>IFERROR(__xludf.DUMMYFUNCTION("""COMPUTED_VALUE"""),"I would like to start between 9-1pm but we can discuss closer to June 4th what works best! I would ideally like to start around 9-1pm, but we can discuss more closer to June 4th!")</f>
        <v>I would like to start between 9-1pm but we can discuss closer to June 4th what works best! I would ideally like to start around 9-1pm, but we can discuss more closer to June 4th!</v>
      </c>
    </row>
    <row r="22">
      <c r="A22" s="99" t="str">
        <f>IFERROR(__xludf.DUMMYFUNCTION("""COMPUTED_VALUE"""),"https://utrucking.com/admin/orders/6460928032956")</f>
        <v>https://utrucking.com/admin/orders/6460928032956</v>
      </c>
      <c r="B22" s="61" t="str">
        <f>IFERROR(__xludf.DUMMYFUNCTION("""COMPUTED_VALUE"""),"#18352")</f>
        <v>#18352</v>
      </c>
      <c r="C22" s="61" t="str">
        <f>IFERROR(__xludf.DUMMYFUNCTION("""COMPUTED_VALUE"""),"lucydemsky@gmail.com")</f>
        <v>lucydemsky@gmail.com</v>
      </c>
      <c r="D22" s="61">
        <f>IFERROR(__xludf.DUMMYFUNCTION("""COMPUTED_VALUE"""),4.439770303E9)</f>
        <v>4439770303</v>
      </c>
      <c r="E22" s="61" t="str">
        <f>IFERROR(__xludf.DUMMYFUNCTION("""COMPUTED_VALUE"""),"Lucy Demsky")</f>
        <v>Lucy Demsky</v>
      </c>
      <c r="F22" s="61" t="str">
        <f>IFERROR(__xludf.DUMMYFUNCTION("""COMPUTED_VALUE""")," Lucy Demsky")</f>
        <v> Lucy Demsky</v>
      </c>
      <c r="G22" s="61" t="str">
        <f>IFERROR(__xludf.DUMMYFUNCTION("""COMPUTED_VALUE""")," 0 Residential Apartment  - ")</f>
        <v> 0 Residential Apartment  - </v>
      </c>
      <c r="H22" s="61"/>
      <c r="I22" s="61"/>
      <c r="J22" s="107" t="str">
        <f>IFERROR(__xludf.DUMMYFUNCTION("""COMPUTED_VALUE"""),"  725 Kingsland Ave")</f>
        <v>  725 Kingsland Ave</v>
      </c>
      <c r="K22" s="100">
        <f>IFERROR(__xludf.DUMMYFUNCTION("""COMPUTED_VALUE"""),46168.0)</f>
        <v>46168</v>
      </c>
      <c r="L22" s="61" t="str">
        <f>IFERROR(__xludf.DUMMYFUNCTION("""COMPUTED_VALUE""")," 1600 Woodson Rd, St. Louis, MO 63114")</f>
        <v> 1600 Woodson Rd, St. Louis, MO 63114</v>
      </c>
      <c r="M22" s="61" t="str">
        <f>IFERROR(__xludf.DUMMYFUNCTION("""COMPUTED_VALUE""")," ")</f>
        <v> </v>
      </c>
    </row>
    <row r="23">
      <c r="A23" s="65"/>
      <c r="B23" s="65"/>
      <c r="C23" s="65"/>
      <c r="D23" s="65"/>
      <c r="E23" s="65"/>
      <c r="F23" s="65"/>
      <c r="G23" s="65"/>
      <c r="H23" s="65"/>
      <c r="I23" s="65"/>
      <c r="J23" s="108"/>
      <c r="K23" s="103"/>
      <c r="L23" s="65"/>
      <c r="M23" s="65"/>
    </row>
    <row r="24">
      <c r="A24" s="61"/>
      <c r="B24" s="61"/>
      <c r="C24" s="61"/>
      <c r="D24" s="61"/>
      <c r="E24" s="61"/>
      <c r="F24" s="61"/>
      <c r="G24" s="61"/>
      <c r="H24" s="61"/>
      <c r="I24" s="61"/>
      <c r="J24" s="107"/>
      <c r="K24" s="100"/>
      <c r="L24" s="61"/>
      <c r="M24" s="61"/>
    </row>
    <row r="25">
      <c r="A25" s="65"/>
      <c r="B25" s="65"/>
      <c r="C25" s="65"/>
      <c r="D25" s="65"/>
      <c r="E25" s="65"/>
      <c r="F25" s="65"/>
      <c r="G25" s="65"/>
      <c r="H25" s="65"/>
      <c r="I25" s="65"/>
      <c r="J25" s="108"/>
      <c r="K25" s="103"/>
      <c r="L25" s="65"/>
      <c r="M25" s="65"/>
    </row>
    <row r="26">
      <c r="A26" s="61"/>
      <c r="B26" s="61"/>
      <c r="C26" s="61"/>
      <c r="D26" s="61"/>
      <c r="E26" s="61"/>
      <c r="F26" s="61"/>
      <c r="G26" s="61"/>
      <c r="H26" s="61"/>
      <c r="I26" s="61"/>
      <c r="J26" s="107"/>
      <c r="K26" s="100"/>
      <c r="L26" s="61"/>
      <c r="M26" s="61"/>
    </row>
    <row r="27">
      <c r="A27" s="65"/>
      <c r="B27" s="65"/>
      <c r="C27" s="65"/>
      <c r="D27" s="65"/>
      <c r="E27" s="65"/>
      <c r="F27" s="65"/>
      <c r="G27" s="65"/>
      <c r="H27" s="65"/>
      <c r="I27" s="65"/>
      <c r="J27" s="108"/>
      <c r="K27" s="103"/>
      <c r="L27" s="65"/>
      <c r="M27" s="65"/>
    </row>
    <row r="28">
      <c r="A28" s="61"/>
      <c r="B28" s="61"/>
      <c r="C28" s="61"/>
      <c r="D28" s="61"/>
      <c r="E28" s="61"/>
      <c r="F28" s="61"/>
      <c r="G28" s="61"/>
      <c r="H28" s="61"/>
      <c r="I28" s="61"/>
      <c r="J28" s="107"/>
      <c r="K28" s="100"/>
      <c r="L28" s="61"/>
      <c r="M28" s="61"/>
    </row>
    <row r="29">
      <c r="A29" s="65"/>
      <c r="B29" s="65"/>
      <c r="C29" s="65"/>
      <c r="D29" s="65"/>
      <c r="E29" s="65"/>
      <c r="F29" s="65"/>
      <c r="G29" s="65"/>
      <c r="H29" s="65"/>
      <c r="I29" s="65"/>
      <c r="J29" s="108"/>
      <c r="K29" s="103"/>
      <c r="L29" s="65"/>
      <c r="M29" s="65"/>
    </row>
    <row r="30">
      <c r="A30" s="61"/>
      <c r="B30" s="61"/>
      <c r="C30" s="61"/>
      <c r="D30" s="61"/>
      <c r="E30" s="61"/>
      <c r="F30" s="61"/>
      <c r="G30" s="61"/>
      <c r="H30" s="61"/>
      <c r="I30" s="61"/>
      <c r="J30" s="107"/>
      <c r="K30" s="100"/>
      <c r="L30" s="61"/>
      <c r="M30" s="61"/>
    </row>
    <row r="31">
      <c r="A31" s="65"/>
      <c r="B31" s="65"/>
      <c r="C31" s="65"/>
      <c r="D31" s="65"/>
      <c r="E31" s="65"/>
      <c r="F31" s="65"/>
      <c r="G31" s="65"/>
      <c r="H31" s="65"/>
      <c r="I31" s="65"/>
      <c r="J31" s="108"/>
      <c r="K31" s="103"/>
      <c r="L31" s="65"/>
      <c r="M31" s="65"/>
    </row>
    <row r="32">
      <c r="A32" s="61"/>
      <c r="B32" s="61"/>
      <c r="C32" s="61"/>
      <c r="D32" s="61"/>
      <c r="E32" s="61"/>
      <c r="F32" s="61"/>
      <c r="G32" s="61"/>
      <c r="H32" s="61"/>
      <c r="I32" s="61"/>
      <c r="J32" s="107"/>
      <c r="K32" s="100"/>
      <c r="L32" s="61"/>
      <c r="M32" s="61"/>
    </row>
    <row r="33">
      <c r="A33" s="65"/>
      <c r="B33" s="65"/>
      <c r="C33" s="65"/>
      <c r="D33" s="65"/>
      <c r="E33" s="65"/>
      <c r="F33" s="65"/>
      <c r="G33" s="65"/>
      <c r="H33" s="65"/>
      <c r="I33" s="65"/>
      <c r="J33" s="108"/>
      <c r="K33" s="103"/>
      <c r="L33" s="65"/>
      <c r="M33" s="65"/>
    </row>
    <row r="34">
      <c r="A34" s="61"/>
      <c r="B34" s="61"/>
      <c r="C34" s="61"/>
      <c r="D34" s="61"/>
      <c r="E34" s="61"/>
      <c r="F34" s="61"/>
      <c r="G34" s="61"/>
      <c r="H34" s="61"/>
      <c r="I34" s="61"/>
      <c r="J34" s="107"/>
      <c r="K34" s="100"/>
      <c r="L34" s="61"/>
      <c r="M34" s="61"/>
    </row>
    <row r="35">
      <c r="A35" s="65"/>
      <c r="B35" s="65"/>
      <c r="C35" s="65"/>
      <c r="D35" s="65"/>
      <c r="E35" s="65"/>
      <c r="F35" s="65"/>
      <c r="G35" s="65"/>
      <c r="H35" s="65"/>
      <c r="I35" s="65"/>
      <c r="J35" s="108"/>
      <c r="K35" s="103"/>
      <c r="L35" s="65"/>
      <c r="M35" s="65"/>
    </row>
    <row r="36">
      <c r="A36" s="61"/>
      <c r="B36" s="61"/>
      <c r="C36" s="61"/>
      <c r="D36" s="61"/>
      <c r="E36" s="61"/>
      <c r="F36" s="61"/>
      <c r="G36" s="61"/>
      <c r="H36" s="61"/>
      <c r="I36" s="61"/>
      <c r="J36" s="107"/>
      <c r="K36" s="100"/>
      <c r="L36" s="61"/>
      <c r="M36" s="61"/>
    </row>
    <row r="37">
      <c r="A37" s="65"/>
      <c r="B37" s="65"/>
      <c r="C37" s="65"/>
      <c r="D37" s="65"/>
      <c r="E37" s="65"/>
      <c r="F37" s="65"/>
      <c r="G37" s="65"/>
      <c r="H37" s="65"/>
      <c r="I37" s="65"/>
      <c r="J37" s="108"/>
      <c r="K37" s="103"/>
      <c r="L37" s="65"/>
      <c r="M37" s="65"/>
    </row>
    <row r="38">
      <c r="A38" s="61"/>
      <c r="B38" s="61"/>
      <c r="C38" s="61"/>
      <c r="D38" s="61"/>
      <c r="E38" s="61"/>
      <c r="F38" s="61"/>
      <c r="G38" s="61"/>
      <c r="H38" s="61"/>
      <c r="I38" s="61"/>
      <c r="J38" s="107"/>
      <c r="K38" s="100"/>
      <c r="L38" s="61"/>
      <c r="M38" s="61"/>
    </row>
    <row r="39">
      <c r="A39" s="65"/>
      <c r="B39" s="65"/>
      <c r="C39" s="65"/>
      <c r="D39" s="65"/>
      <c r="E39" s="65"/>
      <c r="F39" s="65"/>
      <c r="G39" s="65"/>
      <c r="H39" s="65"/>
      <c r="I39" s="65"/>
      <c r="J39" s="108"/>
      <c r="K39" s="103"/>
      <c r="L39" s="65"/>
      <c r="M39" s="65"/>
    </row>
    <row r="40">
      <c r="A40" s="61"/>
      <c r="B40" s="61"/>
      <c r="C40" s="61"/>
      <c r="D40" s="61"/>
      <c r="E40" s="61"/>
      <c r="F40" s="61"/>
      <c r="G40" s="61"/>
      <c r="H40" s="61"/>
      <c r="I40" s="61"/>
      <c r="J40" s="107"/>
      <c r="K40" s="100"/>
      <c r="L40" s="61"/>
      <c r="M40" s="61"/>
    </row>
    <row r="41">
      <c r="A41" s="65"/>
      <c r="B41" s="65"/>
      <c r="C41" s="65"/>
      <c r="D41" s="65"/>
      <c r="E41" s="65"/>
      <c r="F41" s="65"/>
      <c r="G41" s="65"/>
      <c r="H41" s="65"/>
      <c r="I41" s="65"/>
      <c r="J41" s="108"/>
      <c r="K41" s="103"/>
      <c r="L41" s="65"/>
      <c r="M41" s="65"/>
    </row>
    <row r="42">
      <c r="A42" s="61"/>
      <c r="B42" s="61"/>
      <c r="C42" s="61"/>
      <c r="D42" s="61"/>
      <c r="E42" s="61"/>
      <c r="F42" s="61"/>
      <c r="G42" s="61"/>
      <c r="H42" s="61"/>
      <c r="I42" s="61"/>
      <c r="J42" s="107"/>
      <c r="K42" s="100"/>
      <c r="L42" s="61"/>
      <c r="M42" s="61"/>
    </row>
    <row r="43">
      <c r="A43" s="65"/>
      <c r="B43" s="65"/>
      <c r="C43" s="65"/>
      <c r="D43" s="65"/>
      <c r="E43" s="65"/>
      <c r="F43" s="65"/>
      <c r="G43" s="65"/>
      <c r="H43" s="65"/>
      <c r="I43" s="65"/>
      <c r="J43" s="108"/>
      <c r="K43" s="103"/>
      <c r="L43" s="65"/>
      <c r="M43" s="65"/>
    </row>
    <row r="44">
      <c r="A44" s="61"/>
      <c r="B44" s="61"/>
      <c r="C44" s="61"/>
      <c r="D44" s="61"/>
      <c r="E44" s="61"/>
      <c r="F44" s="61"/>
      <c r="G44" s="61"/>
      <c r="H44" s="61"/>
      <c r="I44" s="61"/>
      <c r="J44" s="107"/>
      <c r="K44" s="100"/>
      <c r="L44" s="61"/>
      <c r="M44" s="61"/>
    </row>
    <row r="45">
      <c r="A45" s="65"/>
      <c r="B45" s="65"/>
      <c r="C45" s="65"/>
      <c r="D45" s="65"/>
      <c r="E45" s="65"/>
      <c r="F45" s="65"/>
      <c r="G45" s="65"/>
      <c r="H45" s="65"/>
      <c r="I45" s="65"/>
      <c r="J45" s="108"/>
      <c r="K45" s="103"/>
      <c r="L45" s="65"/>
      <c r="M45" s="65"/>
    </row>
    <row r="46">
      <c r="A46" s="61"/>
      <c r="B46" s="61"/>
      <c r="C46" s="61"/>
      <c r="D46" s="61"/>
      <c r="E46" s="61"/>
      <c r="F46" s="61"/>
      <c r="G46" s="61"/>
      <c r="H46" s="61"/>
      <c r="I46" s="61"/>
      <c r="J46" s="107"/>
      <c r="K46" s="100"/>
      <c r="L46" s="61"/>
      <c r="M46" s="61"/>
    </row>
    <row r="47">
      <c r="A47" s="65"/>
      <c r="B47" s="65"/>
      <c r="C47" s="65"/>
      <c r="D47" s="65"/>
      <c r="E47" s="65"/>
      <c r="F47" s="65"/>
      <c r="G47" s="65"/>
      <c r="H47" s="65"/>
      <c r="I47" s="65"/>
      <c r="J47" s="108"/>
      <c r="K47" s="103"/>
      <c r="L47" s="65"/>
      <c r="M47" s="65"/>
    </row>
    <row r="48">
      <c r="A48" s="61"/>
      <c r="B48" s="61"/>
      <c r="C48" s="61"/>
      <c r="D48" s="61"/>
      <c r="E48" s="61"/>
      <c r="F48" s="61"/>
      <c r="G48" s="61"/>
      <c r="H48" s="61"/>
      <c r="I48" s="61"/>
      <c r="J48" s="107"/>
      <c r="K48" s="100"/>
      <c r="L48" s="61"/>
      <c r="M48" s="61"/>
    </row>
    <row r="49">
      <c r="A49" s="65"/>
      <c r="B49" s="65"/>
      <c r="C49" s="65"/>
      <c r="D49" s="65"/>
      <c r="E49" s="65"/>
      <c r="F49" s="65"/>
      <c r="G49" s="65"/>
      <c r="H49" s="65"/>
      <c r="I49" s="65"/>
      <c r="J49" s="108"/>
      <c r="K49" s="103"/>
      <c r="L49" s="65"/>
      <c r="M49" s="65"/>
    </row>
    <row r="50">
      <c r="A50" s="61"/>
      <c r="B50" s="61"/>
      <c r="C50" s="61"/>
      <c r="D50" s="61"/>
      <c r="E50" s="61"/>
      <c r="F50" s="61"/>
      <c r="G50" s="61"/>
      <c r="H50" s="61"/>
      <c r="I50" s="61"/>
      <c r="J50" s="107"/>
      <c r="K50" s="100"/>
      <c r="L50" s="61"/>
      <c r="M50" s="61"/>
    </row>
    <row r="51">
      <c r="A51" s="65"/>
      <c r="B51" s="65"/>
      <c r="C51" s="65"/>
      <c r="D51" s="65"/>
      <c r="E51" s="65"/>
      <c r="F51" s="65"/>
      <c r="G51" s="65"/>
      <c r="H51" s="65"/>
      <c r="I51" s="65"/>
      <c r="J51" s="108"/>
      <c r="K51" s="103"/>
      <c r="L51" s="65"/>
      <c r="M51" s="65"/>
    </row>
    <row r="52">
      <c r="A52" s="61"/>
      <c r="B52" s="61"/>
      <c r="C52" s="61"/>
      <c r="D52" s="61"/>
      <c r="E52" s="61"/>
      <c r="F52" s="61"/>
      <c r="G52" s="61"/>
      <c r="H52" s="61"/>
      <c r="I52" s="61"/>
      <c r="J52" s="107"/>
      <c r="K52" s="100"/>
      <c r="L52" s="61"/>
      <c r="M52" s="61"/>
    </row>
    <row r="53">
      <c r="A53" s="65"/>
      <c r="B53" s="65"/>
      <c r="C53" s="65"/>
      <c r="D53" s="65"/>
      <c r="E53" s="65"/>
      <c r="F53" s="65"/>
      <c r="G53" s="65"/>
      <c r="H53" s="65"/>
      <c r="I53" s="65"/>
      <c r="J53" s="108"/>
      <c r="K53" s="103"/>
      <c r="L53" s="65"/>
      <c r="M53" s="65"/>
    </row>
    <row r="54">
      <c r="A54" s="61"/>
      <c r="B54" s="61"/>
      <c r="C54" s="61"/>
      <c r="D54" s="61"/>
      <c r="E54" s="61"/>
      <c r="F54" s="61"/>
      <c r="G54" s="61"/>
      <c r="H54" s="61"/>
      <c r="I54" s="61"/>
      <c r="J54" s="107"/>
      <c r="K54" s="100"/>
      <c r="L54" s="61"/>
      <c r="M54" s="61"/>
    </row>
    <row r="55">
      <c r="A55" s="65"/>
      <c r="B55" s="65"/>
      <c r="C55" s="65"/>
      <c r="D55" s="65"/>
      <c r="E55" s="65"/>
      <c r="F55" s="65"/>
      <c r="G55" s="65"/>
      <c r="H55" s="65"/>
      <c r="I55" s="65"/>
      <c r="J55" s="108"/>
      <c r="K55" s="103"/>
      <c r="L55" s="65"/>
      <c r="M55" s="65"/>
    </row>
    <row r="56">
      <c r="A56" s="61"/>
      <c r="B56" s="61"/>
      <c r="C56" s="61"/>
      <c r="D56" s="61"/>
      <c r="E56" s="61"/>
      <c r="F56" s="61"/>
      <c r="G56" s="61"/>
      <c r="H56" s="61"/>
      <c r="I56" s="61"/>
      <c r="J56" s="107"/>
      <c r="K56" s="100"/>
      <c r="L56" s="61"/>
      <c r="M56" s="61"/>
    </row>
    <row r="57">
      <c r="A57" s="65"/>
      <c r="B57" s="65"/>
      <c r="C57" s="65"/>
      <c r="D57" s="65"/>
      <c r="E57" s="65"/>
      <c r="F57" s="65"/>
      <c r="G57" s="65"/>
      <c r="H57" s="65"/>
      <c r="I57" s="65"/>
      <c r="J57" s="108"/>
      <c r="K57" s="103"/>
      <c r="L57" s="65"/>
      <c r="M57" s="65"/>
    </row>
    <row r="58">
      <c r="A58" s="61"/>
      <c r="B58" s="61"/>
      <c r="C58" s="61"/>
      <c r="D58" s="61"/>
      <c r="E58" s="61"/>
      <c r="F58" s="61"/>
      <c r="G58" s="61"/>
      <c r="H58" s="61"/>
      <c r="I58" s="61"/>
      <c r="J58" s="107"/>
      <c r="K58" s="100"/>
      <c r="L58" s="61"/>
      <c r="M58" s="61"/>
    </row>
    <row r="59">
      <c r="A59" s="65"/>
      <c r="B59" s="65"/>
      <c r="C59" s="65"/>
      <c r="D59" s="65"/>
      <c r="E59" s="65"/>
      <c r="F59" s="65"/>
      <c r="G59" s="65"/>
      <c r="H59" s="65"/>
      <c r="I59" s="65"/>
      <c r="J59" s="108"/>
      <c r="K59" s="103"/>
      <c r="L59" s="65"/>
      <c r="M59" s="65"/>
    </row>
    <row r="60">
      <c r="A60" s="61"/>
      <c r="B60" s="61"/>
      <c r="C60" s="61"/>
      <c r="D60" s="61"/>
      <c r="E60" s="61"/>
      <c r="F60" s="61"/>
      <c r="G60" s="61"/>
      <c r="H60" s="61"/>
      <c r="I60" s="61"/>
      <c r="J60" s="107"/>
      <c r="K60" s="100"/>
      <c r="L60" s="61"/>
      <c r="M60" s="61"/>
    </row>
    <row r="61">
      <c r="A61" s="65"/>
      <c r="B61" s="65"/>
      <c r="C61" s="65"/>
      <c r="D61" s="65"/>
      <c r="E61" s="65"/>
      <c r="F61" s="65"/>
      <c r="G61" s="65"/>
      <c r="H61" s="65"/>
      <c r="I61" s="65"/>
      <c r="J61" s="108"/>
      <c r="K61" s="103"/>
      <c r="L61" s="65"/>
      <c r="M61" s="65"/>
    </row>
    <row r="62">
      <c r="A62" s="61"/>
      <c r="B62" s="61"/>
      <c r="C62" s="61"/>
      <c r="D62" s="61"/>
      <c r="E62" s="61"/>
      <c r="F62" s="61"/>
      <c r="G62" s="61"/>
      <c r="H62" s="61"/>
      <c r="I62" s="61"/>
      <c r="J62" s="107"/>
      <c r="K62" s="100"/>
      <c r="L62" s="61"/>
      <c r="M62" s="61"/>
    </row>
    <row r="63">
      <c r="A63" s="65"/>
      <c r="B63" s="65"/>
      <c r="C63" s="65"/>
      <c r="D63" s="65"/>
      <c r="E63" s="65"/>
      <c r="F63" s="65"/>
      <c r="G63" s="65"/>
      <c r="H63" s="65"/>
      <c r="I63" s="65"/>
      <c r="J63" s="108"/>
      <c r="K63" s="103"/>
      <c r="L63" s="65"/>
      <c r="M63" s="65"/>
    </row>
    <row r="64">
      <c r="A64" s="61"/>
      <c r="B64" s="61"/>
      <c r="C64" s="61"/>
      <c r="D64" s="61"/>
      <c r="E64" s="61"/>
      <c r="F64" s="61"/>
      <c r="G64" s="61"/>
      <c r="H64" s="61"/>
      <c r="I64" s="61"/>
      <c r="J64" s="107"/>
      <c r="K64" s="100"/>
      <c r="L64" s="61"/>
      <c r="M64" s="61"/>
    </row>
    <row r="65">
      <c r="A65" s="65"/>
      <c r="B65" s="65"/>
      <c r="C65" s="65"/>
      <c r="D65" s="65"/>
      <c r="E65" s="65"/>
      <c r="F65" s="65"/>
      <c r="G65" s="65"/>
      <c r="H65" s="65"/>
      <c r="I65" s="65"/>
      <c r="J65" s="108"/>
      <c r="K65" s="103"/>
      <c r="L65" s="65"/>
      <c r="M65" s="65"/>
    </row>
    <row r="66">
      <c r="A66" s="61"/>
      <c r="B66" s="61"/>
      <c r="C66" s="61"/>
      <c r="D66" s="61"/>
      <c r="E66" s="61"/>
      <c r="F66" s="61"/>
      <c r="G66" s="61"/>
      <c r="H66" s="61"/>
      <c r="I66" s="61"/>
      <c r="J66" s="107"/>
      <c r="K66" s="100"/>
      <c r="L66" s="61"/>
      <c r="M66" s="61"/>
    </row>
    <row r="67">
      <c r="A67" s="65"/>
      <c r="B67" s="65"/>
      <c r="C67" s="65"/>
      <c r="D67" s="65"/>
      <c r="E67" s="65"/>
      <c r="F67" s="65"/>
      <c r="G67" s="65"/>
      <c r="H67" s="65"/>
      <c r="I67" s="65"/>
      <c r="J67" s="108"/>
      <c r="K67" s="103"/>
      <c r="L67" s="65"/>
      <c r="M67" s="65"/>
    </row>
    <row r="68">
      <c r="A68" s="61"/>
      <c r="B68" s="61"/>
      <c r="C68" s="61"/>
      <c r="D68" s="61"/>
      <c r="E68" s="61"/>
      <c r="F68" s="61"/>
      <c r="G68" s="61"/>
      <c r="H68" s="61"/>
      <c r="I68" s="61"/>
      <c r="J68" s="107"/>
      <c r="K68" s="100"/>
      <c r="L68" s="61"/>
      <c r="M68" s="61"/>
    </row>
    <row r="69">
      <c r="A69" s="65"/>
      <c r="B69" s="65"/>
      <c r="C69" s="65"/>
      <c r="D69" s="65"/>
      <c r="E69" s="65"/>
      <c r="F69" s="65"/>
      <c r="G69" s="65"/>
      <c r="H69" s="65"/>
      <c r="I69" s="65"/>
      <c r="J69" s="108"/>
      <c r="K69" s="103"/>
      <c r="L69" s="65"/>
      <c r="M69" s="65"/>
    </row>
    <row r="70">
      <c r="A70" s="61"/>
      <c r="B70" s="61"/>
      <c r="C70" s="61"/>
      <c r="D70" s="61"/>
      <c r="E70" s="61"/>
      <c r="F70" s="61"/>
      <c r="G70" s="61"/>
      <c r="H70" s="61"/>
      <c r="I70" s="61"/>
      <c r="J70" s="107"/>
      <c r="K70" s="100"/>
      <c r="L70" s="61"/>
      <c r="M70" s="61"/>
    </row>
    <row r="71">
      <c r="A71" s="65"/>
      <c r="B71" s="65"/>
      <c r="C71" s="65"/>
      <c r="D71" s="65"/>
      <c r="E71" s="65"/>
      <c r="F71" s="65"/>
      <c r="G71" s="65"/>
      <c r="H71" s="65"/>
      <c r="I71" s="65"/>
      <c r="J71" s="108"/>
      <c r="K71" s="103"/>
      <c r="L71" s="65"/>
      <c r="M71" s="65"/>
    </row>
    <row r="72">
      <c r="A72" s="61"/>
      <c r="B72" s="61"/>
      <c r="C72" s="61"/>
      <c r="D72" s="61"/>
      <c r="E72" s="61"/>
      <c r="F72" s="61"/>
      <c r="G72" s="61"/>
      <c r="H72" s="61"/>
      <c r="I72" s="61"/>
      <c r="J72" s="107"/>
      <c r="K72" s="100"/>
      <c r="L72" s="61"/>
      <c r="M72" s="61"/>
    </row>
    <row r="73">
      <c r="A73" s="65"/>
      <c r="B73" s="65"/>
      <c r="C73" s="65"/>
      <c r="D73" s="65"/>
      <c r="E73" s="65"/>
      <c r="F73" s="65"/>
      <c r="G73" s="65"/>
      <c r="H73" s="65"/>
      <c r="I73" s="65"/>
      <c r="J73" s="108"/>
      <c r="K73" s="103"/>
      <c r="L73" s="65"/>
      <c r="M73" s="65"/>
    </row>
    <row r="74">
      <c r="A74" s="61"/>
      <c r="B74" s="61"/>
      <c r="C74" s="61"/>
      <c r="D74" s="61"/>
      <c r="E74" s="61"/>
      <c r="F74" s="61"/>
      <c r="G74" s="61"/>
      <c r="H74" s="61"/>
      <c r="I74" s="61"/>
      <c r="J74" s="107"/>
      <c r="K74" s="100"/>
      <c r="L74" s="61"/>
      <c r="M74" s="61"/>
    </row>
    <row r="75">
      <c r="A75" s="65"/>
      <c r="B75" s="65"/>
      <c r="C75" s="65"/>
      <c r="D75" s="65"/>
      <c r="E75" s="65"/>
      <c r="F75" s="65"/>
      <c r="G75" s="65"/>
      <c r="H75" s="65"/>
      <c r="I75" s="65"/>
      <c r="J75" s="108"/>
      <c r="K75" s="103"/>
      <c r="L75" s="65"/>
      <c r="M75" s="65"/>
    </row>
    <row r="76">
      <c r="A76" s="61"/>
      <c r="B76" s="61"/>
      <c r="C76" s="61"/>
      <c r="D76" s="61"/>
      <c r="E76" s="61"/>
      <c r="F76" s="61"/>
      <c r="G76" s="61"/>
      <c r="H76" s="61"/>
      <c r="I76" s="61"/>
      <c r="J76" s="107"/>
      <c r="K76" s="100"/>
      <c r="L76" s="61"/>
      <c r="M76" s="61"/>
    </row>
    <row r="77">
      <c r="A77" s="65"/>
      <c r="B77" s="65"/>
      <c r="C77" s="65"/>
      <c r="D77" s="65"/>
      <c r="E77" s="65"/>
      <c r="F77" s="65"/>
      <c r="G77" s="65"/>
      <c r="H77" s="65"/>
      <c r="I77" s="65"/>
      <c r="J77" s="108"/>
      <c r="K77" s="103"/>
      <c r="L77" s="65"/>
      <c r="M77" s="65"/>
    </row>
    <row r="78">
      <c r="A78" s="61"/>
      <c r="B78" s="61"/>
      <c r="C78" s="61"/>
      <c r="D78" s="61"/>
      <c r="E78" s="61"/>
      <c r="F78" s="61"/>
      <c r="G78" s="61"/>
      <c r="H78" s="61"/>
      <c r="I78" s="61"/>
      <c r="J78" s="107"/>
      <c r="K78" s="100"/>
      <c r="L78" s="61"/>
      <c r="M78" s="61"/>
    </row>
    <row r="79">
      <c r="A79" s="65"/>
      <c r="B79" s="65"/>
      <c r="C79" s="65"/>
      <c r="D79" s="65"/>
      <c r="E79" s="65"/>
      <c r="F79" s="65"/>
      <c r="G79" s="65"/>
      <c r="H79" s="65"/>
      <c r="I79" s="65"/>
      <c r="J79" s="108"/>
      <c r="K79" s="103"/>
      <c r="L79" s="65"/>
      <c r="M79" s="65"/>
    </row>
    <row r="80">
      <c r="A80" s="61"/>
      <c r="B80" s="61"/>
      <c r="C80" s="61"/>
      <c r="D80" s="61"/>
      <c r="E80" s="61"/>
      <c r="F80" s="61"/>
      <c r="G80" s="61"/>
      <c r="H80" s="61"/>
      <c r="I80" s="61"/>
      <c r="J80" s="107"/>
      <c r="K80" s="100"/>
      <c r="L80" s="61"/>
      <c r="M80" s="61"/>
    </row>
    <row r="81">
      <c r="A81" s="65"/>
      <c r="B81" s="65"/>
      <c r="C81" s="65"/>
      <c r="D81" s="65"/>
      <c r="E81" s="65"/>
      <c r="F81" s="65"/>
      <c r="G81" s="65"/>
      <c r="H81" s="65"/>
      <c r="I81" s="65"/>
      <c r="J81" s="108"/>
      <c r="K81" s="103"/>
      <c r="L81" s="65"/>
      <c r="M81" s="65"/>
    </row>
    <row r="82">
      <c r="A82" s="61"/>
      <c r="B82" s="61"/>
      <c r="C82" s="61"/>
      <c r="D82" s="61"/>
      <c r="E82" s="61"/>
      <c r="F82" s="61"/>
      <c r="G82" s="61"/>
      <c r="H82" s="61"/>
      <c r="I82" s="61"/>
      <c r="J82" s="107"/>
      <c r="K82" s="100"/>
      <c r="L82" s="61"/>
      <c r="M82" s="61"/>
    </row>
    <row r="83">
      <c r="A83" s="65"/>
      <c r="B83" s="65"/>
      <c r="C83" s="65"/>
      <c r="D83" s="65"/>
      <c r="E83" s="65"/>
      <c r="F83" s="65"/>
      <c r="G83" s="65"/>
      <c r="H83" s="65"/>
      <c r="I83" s="65"/>
      <c r="J83" s="108"/>
      <c r="K83" s="103"/>
      <c r="L83" s="65"/>
      <c r="M83" s="65"/>
    </row>
    <row r="84">
      <c r="A84" s="61"/>
      <c r="B84" s="61"/>
      <c r="C84" s="61"/>
      <c r="D84" s="61"/>
      <c r="E84" s="61"/>
      <c r="F84" s="61"/>
      <c r="G84" s="61"/>
      <c r="H84" s="61"/>
      <c r="I84" s="61"/>
      <c r="J84" s="107"/>
      <c r="K84" s="100"/>
      <c r="L84" s="61"/>
      <c r="M84" s="61"/>
    </row>
    <row r="85">
      <c r="A85" s="65"/>
      <c r="B85" s="65"/>
      <c r="C85" s="65"/>
      <c r="D85" s="65"/>
      <c r="E85" s="65"/>
      <c r="F85" s="65"/>
      <c r="G85" s="65"/>
      <c r="H85" s="65"/>
      <c r="I85" s="65"/>
      <c r="J85" s="108"/>
      <c r="K85" s="103"/>
      <c r="L85" s="65"/>
      <c r="M85" s="65"/>
    </row>
    <row r="86">
      <c r="A86" s="61"/>
      <c r="B86" s="61"/>
      <c r="C86" s="61"/>
      <c r="D86" s="61"/>
      <c r="E86" s="61"/>
      <c r="F86" s="61"/>
      <c r="G86" s="61"/>
      <c r="H86" s="61"/>
      <c r="I86" s="61"/>
      <c r="J86" s="107"/>
      <c r="K86" s="100"/>
      <c r="L86" s="61"/>
      <c r="M86" s="61"/>
    </row>
    <row r="87">
      <c r="A87" s="65"/>
      <c r="B87" s="65"/>
      <c r="C87" s="65"/>
      <c r="D87" s="65"/>
      <c r="E87" s="65"/>
      <c r="F87" s="65"/>
      <c r="G87" s="65"/>
      <c r="H87" s="65"/>
      <c r="I87" s="65"/>
      <c r="J87" s="108"/>
      <c r="K87" s="103"/>
      <c r="L87" s="65"/>
      <c r="M87" s="65"/>
    </row>
    <row r="88">
      <c r="A88" s="61"/>
      <c r="B88" s="61"/>
      <c r="C88" s="61"/>
      <c r="D88" s="61"/>
      <c r="E88" s="61"/>
      <c r="F88" s="61"/>
      <c r="G88" s="61"/>
      <c r="H88" s="61"/>
      <c r="I88" s="61"/>
      <c r="J88" s="107"/>
      <c r="K88" s="100"/>
      <c r="L88" s="61"/>
      <c r="M88" s="61"/>
    </row>
    <row r="89">
      <c r="A89" s="65"/>
      <c r="B89" s="65"/>
      <c r="C89" s="65"/>
      <c r="D89" s="65"/>
      <c r="E89" s="65"/>
      <c r="F89" s="65"/>
      <c r="G89" s="65"/>
      <c r="H89" s="65"/>
      <c r="I89" s="65"/>
      <c r="J89" s="108"/>
      <c r="K89" s="103"/>
      <c r="L89" s="65"/>
      <c r="M89" s="65"/>
    </row>
    <row r="90">
      <c r="A90" s="61"/>
      <c r="B90" s="61"/>
      <c r="C90" s="61"/>
      <c r="D90" s="61"/>
      <c r="E90" s="61"/>
      <c r="F90" s="61"/>
      <c r="G90" s="61"/>
      <c r="H90" s="61"/>
      <c r="I90" s="61"/>
      <c r="J90" s="107"/>
      <c r="K90" s="100"/>
      <c r="L90" s="61"/>
      <c r="M90" s="61"/>
    </row>
    <row r="91">
      <c r="A91" s="65"/>
      <c r="B91" s="65"/>
      <c r="C91" s="65"/>
      <c r="D91" s="65"/>
      <c r="E91" s="65"/>
      <c r="F91" s="65"/>
      <c r="G91" s="65"/>
      <c r="H91" s="65"/>
      <c r="I91" s="65"/>
      <c r="J91" s="108"/>
      <c r="K91" s="103"/>
      <c r="L91" s="65"/>
      <c r="M91" s="65"/>
    </row>
    <row r="92">
      <c r="A92" s="61"/>
      <c r="B92" s="61"/>
      <c r="C92" s="61"/>
      <c r="D92" s="61"/>
      <c r="E92" s="61"/>
      <c r="F92" s="61"/>
      <c r="G92" s="61"/>
      <c r="H92" s="61"/>
      <c r="I92" s="61"/>
      <c r="J92" s="107"/>
      <c r="K92" s="100"/>
      <c r="L92" s="61"/>
      <c r="M92" s="61"/>
    </row>
    <row r="93">
      <c r="A93" s="65"/>
      <c r="B93" s="65"/>
      <c r="C93" s="65"/>
      <c r="D93" s="65"/>
      <c r="E93" s="65"/>
      <c r="F93" s="65"/>
      <c r="G93" s="65"/>
      <c r="H93" s="65"/>
      <c r="I93" s="65"/>
      <c r="J93" s="108"/>
      <c r="K93" s="103"/>
      <c r="L93" s="65"/>
      <c r="M93" s="65"/>
    </row>
    <row r="94">
      <c r="A94" s="61"/>
      <c r="B94" s="61"/>
      <c r="C94" s="61"/>
      <c r="D94" s="61"/>
      <c r="E94" s="61"/>
      <c r="F94" s="61"/>
      <c r="G94" s="61"/>
      <c r="H94" s="61"/>
      <c r="I94" s="61"/>
      <c r="J94" s="107"/>
      <c r="K94" s="100"/>
      <c r="L94" s="61"/>
      <c r="M94" s="61"/>
    </row>
    <row r="95">
      <c r="A95" s="65"/>
      <c r="B95" s="65"/>
      <c r="C95" s="65"/>
      <c r="D95" s="65"/>
      <c r="E95" s="65"/>
      <c r="F95" s="65"/>
      <c r="G95" s="65"/>
      <c r="H95" s="65"/>
      <c r="I95" s="65"/>
      <c r="J95" s="108"/>
      <c r="K95" s="103"/>
      <c r="L95" s="65"/>
      <c r="M95" s="65"/>
    </row>
    <row r="96">
      <c r="A96" s="61"/>
      <c r="B96" s="61"/>
      <c r="C96" s="61"/>
      <c r="D96" s="61"/>
      <c r="E96" s="61"/>
      <c r="F96" s="61"/>
      <c r="G96" s="61"/>
      <c r="H96" s="61"/>
      <c r="I96" s="61"/>
      <c r="J96" s="107"/>
      <c r="K96" s="100"/>
      <c r="L96" s="61"/>
      <c r="M96" s="61"/>
    </row>
    <row r="97">
      <c r="A97" s="65"/>
      <c r="B97" s="65"/>
      <c r="C97" s="65"/>
      <c r="D97" s="65"/>
      <c r="E97" s="65"/>
      <c r="F97" s="65"/>
      <c r="G97" s="65"/>
      <c r="H97" s="65"/>
      <c r="I97" s="65"/>
      <c r="J97" s="108"/>
      <c r="K97" s="103"/>
      <c r="L97" s="65"/>
      <c r="M97" s="65"/>
    </row>
    <row r="98">
      <c r="A98" s="61"/>
      <c r="B98" s="61"/>
      <c r="C98" s="61"/>
      <c r="D98" s="61"/>
      <c r="E98" s="61"/>
      <c r="F98" s="61"/>
      <c r="G98" s="61"/>
      <c r="H98" s="61"/>
      <c r="I98" s="61"/>
      <c r="J98" s="107"/>
      <c r="K98" s="100"/>
      <c r="L98" s="61"/>
      <c r="M98" s="61"/>
    </row>
    <row r="99">
      <c r="A99" s="65"/>
      <c r="B99" s="65"/>
      <c r="C99" s="65"/>
      <c r="D99" s="65"/>
      <c r="E99" s="65"/>
      <c r="F99" s="65"/>
      <c r="G99" s="65"/>
      <c r="H99" s="65"/>
      <c r="I99" s="65"/>
      <c r="J99" s="108"/>
      <c r="K99" s="103"/>
      <c r="L99" s="65"/>
      <c r="M99" s="65"/>
    </row>
    <row r="100">
      <c r="A100" s="61"/>
      <c r="B100" s="61"/>
      <c r="C100" s="61"/>
      <c r="D100" s="61"/>
      <c r="E100" s="61"/>
      <c r="F100" s="61"/>
      <c r="G100" s="61"/>
      <c r="H100" s="61"/>
      <c r="I100" s="61"/>
      <c r="J100" s="107"/>
      <c r="K100" s="100"/>
      <c r="L100" s="61"/>
      <c r="M100" s="61"/>
    </row>
    <row r="101">
      <c r="A101" s="65"/>
      <c r="B101" s="65"/>
      <c r="C101" s="65"/>
      <c r="D101" s="65"/>
      <c r="E101" s="65"/>
      <c r="F101" s="65"/>
      <c r="G101" s="65"/>
      <c r="H101" s="65"/>
      <c r="I101" s="65"/>
      <c r="J101" s="108"/>
      <c r="K101" s="103"/>
      <c r="L101" s="65"/>
      <c r="M101" s="65"/>
    </row>
    <row r="102">
      <c r="A102" s="61"/>
      <c r="B102" s="61"/>
      <c r="C102" s="61"/>
      <c r="D102" s="61"/>
      <c r="E102" s="61"/>
      <c r="F102" s="61"/>
      <c r="G102" s="61"/>
      <c r="H102" s="61"/>
      <c r="I102" s="61"/>
      <c r="J102" s="107"/>
      <c r="K102" s="100"/>
      <c r="L102" s="61"/>
      <c r="M102" s="61"/>
    </row>
    <row r="103">
      <c r="A103" s="65"/>
      <c r="B103" s="65"/>
      <c r="C103" s="65"/>
      <c r="D103" s="65"/>
      <c r="E103" s="65"/>
      <c r="F103" s="65"/>
      <c r="G103" s="65"/>
      <c r="H103" s="65"/>
      <c r="I103" s="65"/>
      <c r="J103" s="108"/>
      <c r="K103" s="103"/>
      <c r="L103" s="65"/>
      <c r="M103" s="65"/>
    </row>
    <row r="104">
      <c r="A104" s="61"/>
      <c r="B104" s="61"/>
      <c r="C104" s="61"/>
      <c r="D104" s="61"/>
      <c r="E104" s="61"/>
      <c r="F104" s="61"/>
      <c r="G104" s="61"/>
      <c r="H104" s="61"/>
      <c r="I104" s="61"/>
      <c r="J104" s="107"/>
      <c r="K104" s="100"/>
      <c r="L104" s="61"/>
      <c r="M104" s="61"/>
    </row>
    <row r="105">
      <c r="A105" s="65"/>
      <c r="B105" s="65"/>
      <c r="C105" s="65"/>
      <c r="D105" s="65"/>
      <c r="E105" s="65"/>
      <c r="F105" s="65"/>
      <c r="G105" s="65"/>
      <c r="H105" s="65"/>
      <c r="I105" s="65"/>
      <c r="J105" s="108"/>
      <c r="K105" s="103"/>
      <c r="L105" s="65"/>
      <c r="M105" s="65"/>
    </row>
    <row r="106">
      <c r="A106" s="61"/>
      <c r="B106" s="61"/>
      <c r="C106" s="61"/>
      <c r="D106" s="61"/>
      <c r="E106" s="61"/>
      <c r="F106" s="61"/>
      <c r="G106" s="61"/>
      <c r="H106" s="61"/>
      <c r="I106" s="61"/>
      <c r="J106" s="107"/>
      <c r="K106" s="100"/>
      <c r="L106" s="61"/>
      <c r="M106" s="61"/>
    </row>
    <row r="107">
      <c r="A107" s="65"/>
      <c r="B107" s="65"/>
      <c r="C107" s="65"/>
      <c r="D107" s="65"/>
      <c r="E107" s="65"/>
      <c r="F107" s="65"/>
      <c r="G107" s="65"/>
      <c r="H107" s="65"/>
      <c r="I107" s="65"/>
      <c r="J107" s="108"/>
      <c r="K107" s="103"/>
      <c r="L107" s="65"/>
      <c r="M107" s="65"/>
    </row>
    <row r="108">
      <c r="A108" s="61"/>
      <c r="B108" s="61"/>
      <c r="C108" s="61"/>
      <c r="D108" s="61"/>
      <c r="E108" s="61"/>
      <c r="F108" s="61"/>
      <c r="G108" s="61"/>
      <c r="H108" s="61"/>
      <c r="I108" s="61"/>
      <c r="J108" s="107"/>
      <c r="K108" s="100"/>
      <c r="L108" s="61"/>
      <c r="M108" s="61"/>
    </row>
    <row r="109">
      <c r="A109" s="65"/>
      <c r="B109" s="65"/>
      <c r="C109" s="65"/>
      <c r="D109" s="65"/>
      <c r="E109" s="65"/>
      <c r="F109" s="65"/>
      <c r="G109" s="65"/>
      <c r="H109" s="65"/>
      <c r="I109" s="65"/>
      <c r="J109" s="108"/>
      <c r="K109" s="103"/>
      <c r="L109" s="65"/>
      <c r="M109" s="65"/>
    </row>
    <row r="110">
      <c r="A110" s="61"/>
      <c r="B110" s="61"/>
      <c r="C110" s="61"/>
      <c r="D110" s="61"/>
      <c r="E110" s="61"/>
      <c r="F110" s="61"/>
      <c r="G110" s="61"/>
      <c r="H110" s="61"/>
      <c r="I110" s="61"/>
      <c r="J110" s="107"/>
      <c r="K110" s="100"/>
      <c r="L110" s="61"/>
      <c r="M110" s="61"/>
    </row>
    <row r="111">
      <c r="A111" s="65"/>
      <c r="B111" s="65"/>
      <c r="C111" s="65"/>
      <c r="D111" s="65"/>
      <c r="E111" s="65"/>
      <c r="F111" s="65"/>
      <c r="G111" s="65"/>
      <c r="H111" s="65"/>
      <c r="I111" s="65"/>
      <c r="J111" s="108"/>
      <c r="K111" s="103"/>
      <c r="L111" s="65"/>
      <c r="M111" s="65"/>
    </row>
    <row r="112">
      <c r="A112" s="61"/>
      <c r="B112" s="61"/>
      <c r="C112" s="61"/>
      <c r="D112" s="61"/>
      <c r="E112" s="61"/>
      <c r="F112" s="61"/>
      <c r="G112" s="61"/>
      <c r="H112" s="61"/>
      <c r="I112" s="61"/>
      <c r="J112" s="107"/>
      <c r="K112" s="100"/>
      <c r="L112" s="61"/>
      <c r="M112" s="61"/>
    </row>
    <row r="113">
      <c r="A113" s="65"/>
      <c r="B113" s="65"/>
      <c r="C113" s="65"/>
      <c r="D113" s="65"/>
      <c r="E113" s="65"/>
      <c r="F113" s="65"/>
      <c r="G113" s="65"/>
      <c r="H113" s="65"/>
      <c r="I113" s="65"/>
      <c r="J113" s="108"/>
      <c r="K113" s="103"/>
      <c r="L113" s="65"/>
      <c r="M113" s="65"/>
    </row>
    <row r="114">
      <c r="A114" s="61"/>
      <c r="B114" s="61"/>
      <c r="C114" s="61"/>
      <c r="D114" s="61"/>
      <c r="E114" s="61"/>
      <c r="F114" s="61"/>
      <c r="G114" s="61"/>
      <c r="H114" s="61"/>
      <c r="I114" s="61"/>
      <c r="J114" s="107"/>
      <c r="K114" s="100"/>
      <c r="L114" s="61"/>
      <c r="M114" s="61"/>
    </row>
    <row r="115">
      <c r="A115" s="65"/>
      <c r="B115" s="65"/>
      <c r="C115" s="65"/>
      <c r="D115" s="65"/>
      <c r="E115" s="65"/>
      <c r="F115" s="65"/>
      <c r="G115" s="65"/>
      <c r="H115" s="65"/>
      <c r="I115" s="65"/>
      <c r="J115" s="108"/>
      <c r="K115" s="103"/>
      <c r="L115" s="65"/>
      <c r="M115" s="65"/>
    </row>
    <row r="116">
      <c r="A116" s="61"/>
      <c r="B116" s="61"/>
      <c r="C116" s="61"/>
      <c r="D116" s="61"/>
      <c r="E116" s="61"/>
      <c r="F116" s="61"/>
      <c r="G116" s="61"/>
      <c r="H116" s="61"/>
      <c r="I116" s="61"/>
      <c r="J116" s="107"/>
      <c r="K116" s="100"/>
      <c r="L116" s="61"/>
      <c r="M116" s="61"/>
    </row>
    <row r="117">
      <c r="A117" s="65"/>
      <c r="B117" s="65"/>
      <c r="C117" s="65"/>
      <c r="D117" s="65"/>
      <c r="E117" s="65"/>
      <c r="F117" s="65"/>
      <c r="G117" s="65"/>
      <c r="H117" s="65"/>
      <c r="I117" s="65"/>
      <c r="J117" s="108"/>
      <c r="K117" s="103"/>
      <c r="L117" s="65"/>
      <c r="M117" s="65"/>
    </row>
    <row r="118">
      <c r="A118" s="61"/>
      <c r="B118" s="61"/>
      <c r="C118" s="61"/>
      <c r="D118" s="61"/>
      <c r="E118" s="61"/>
      <c r="F118" s="61"/>
      <c r="G118" s="61"/>
      <c r="H118" s="61"/>
      <c r="I118" s="61"/>
      <c r="J118" s="107"/>
      <c r="K118" s="100"/>
      <c r="L118" s="61"/>
      <c r="M118" s="61"/>
    </row>
    <row r="119">
      <c r="A119" s="65"/>
      <c r="B119" s="65"/>
      <c r="C119" s="65"/>
      <c r="D119" s="65"/>
      <c r="E119" s="65"/>
      <c r="F119" s="65"/>
      <c r="G119" s="65"/>
      <c r="H119" s="65"/>
      <c r="I119" s="65"/>
      <c r="J119" s="108"/>
      <c r="K119" s="103"/>
      <c r="L119" s="65"/>
      <c r="M119" s="65"/>
    </row>
    <row r="120">
      <c r="A120" s="61"/>
      <c r="B120" s="61"/>
      <c r="C120" s="61"/>
      <c r="D120" s="61"/>
      <c r="E120" s="61"/>
      <c r="F120" s="61"/>
      <c r="G120" s="61"/>
      <c r="H120" s="61"/>
      <c r="I120" s="61"/>
      <c r="J120" s="107"/>
      <c r="K120" s="100"/>
      <c r="L120" s="61"/>
      <c r="M120" s="61"/>
    </row>
    <row r="121">
      <c r="A121" s="65"/>
      <c r="B121" s="65"/>
      <c r="C121" s="65"/>
      <c r="D121" s="65"/>
      <c r="E121" s="65"/>
      <c r="F121" s="65"/>
      <c r="G121" s="65"/>
      <c r="H121" s="65"/>
      <c r="I121" s="65"/>
      <c r="J121" s="108"/>
      <c r="K121" s="103"/>
      <c r="L121" s="65"/>
      <c r="M121" s="65"/>
    </row>
    <row r="122">
      <c r="A122" s="61"/>
      <c r="B122" s="61"/>
      <c r="C122" s="61"/>
      <c r="D122" s="61"/>
      <c r="E122" s="61"/>
      <c r="F122" s="61"/>
      <c r="G122" s="61"/>
      <c r="H122" s="61"/>
      <c r="I122" s="61"/>
      <c r="J122" s="107"/>
      <c r="K122" s="100"/>
      <c r="L122" s="61"/>
      <c r="M122" s="61"/>
    </row>
    <row r="123">
      <c r="A123" s="65"/>
      <c r="B123" s="65"/>
      <c r="C123" s="65"/>
      <c r="D123" s="65"/>
      <c r="E123" s="65"/>
      <c r="F123" s="65"/>
      <c r="G123" s="65"/>
      <c r="H123" s="65"/>
      <c r="I123" s="65"/>
      <c r="J123" s="108"/>
      <c r="K123" s="103"/>
      <c r="L123" s="65"/>
      <c r="M123" s="65"/>
    </row>
    <row r="124">
      <c r="A124" s="61"/>
      <c r="B124" s="61"/>
      <c r="C124" s="61"/>
      <c r="D124" s="61"/>
      <c r="E124" s="61"/>
      <c r="F124" s="61"/>
      <c r="G124" s="61"/>
      <c r="H124" s="61"/>
      <c r="I124" s="61"/>
      <c r="J124" s="107"/>
      <c r="K124" s="100"/>
      <c r="L124" s="61"/>
      <c r="M124" s="61"/>
    </row>
    <row r="125">
      <c r="A125" s="65"/>
      <c r="B125" s="65"/>
      <c r="C125" s="65"/>
      <c r="D125" s="65"/>
      <c r="E125" s="65"/>
      <c r="F125" s="65"/>
      <c r="G125" s="65"/>
      <c r="H125" s="65"/>
      <c r="I125" s="65"/>
      <c r="J125" s="108"/>
      <c r="K125" s="103"/>
      <c r="L125" s="65"/>
      <c r="M125" s="65"/>
    </row>
    <row r="126">
      <c r="A126" s="61"/>
      <c r="B126" s="61"/>
      <c r="C126" s="61"/>
      <c r="D126" s="61"/>
      <c r="E126" s="61"/>
      <c r="F126" s="61"/>
      <c r="G126" s="61"/>
      <c r="H126" s="61"/>
      <c r="I126" s="61"/>
      <c r="J126" s="107"/>
      <c r="K126" s="100"/>
      <c r="L126" s="61"/>
      <c r="M126" s="61"/>
    </row>
    <row r="127">
      <c r="A127" s="65"/>
      <c r="B127" s="65"/>
      <c r="C127" s="65"/>
      <c r="D127" s="65"/>
      <c r="E127" s="65"/>
      <c r="F127" s="65"/>
      <c r="G127" s="65"/>
      <c r="H127" s="65"/>
      <c r="I127" s="65"/>
      <c r="J127" s="108"/>
      <c r="K127" s="103"/>
      <c r="L127" s="65"/>
      <c r="M127" s="65"/>
    </row>
    <row r="128">
      <c r="A128" s="61"/>
      <c r="B128" s="61"/>
      <c r="C128" s="61"/>
      <c r="D128" s="61"/>
      <c r="E128" s="61"/>
      <c r="F128" s="61"/>
      <c r="G128" s="61"/>
      <c r="H128" s="61"/>
      <c r="I128" s="61"/>
      <c r="J128" s="107"/>
      <c r="K128" s="100"/>
      <c r="L128" s="61"/>
      <c r="M128" s="61"/>
    </row>
    <row r="129">
      <c r="A129" s="65"/>
      <c r="B129" s="65"/>
      <c r="C129" s="65"/>
      <c r="D129" s="65"/>
      <c r="E129" s="65"/>
      <c r="F129" s="65"/>
      <c r="G129" s="65"/>
      <c r="H129" s="65"/>
      <c r="I129" s="65"/>
      <c r="J129" s="108"/>
      <c r="K129" s="103"/>
      <c r="L129" s="65"/>
      <c r="M129" s="65"/>
    </row>
    <row r="130">
      <c r="A130" s="61"/>
      <c r="B130" s="61"/>
      <c r="C130" s="61"/>
      <c r="D130" s="61"/>
      <c r="E130" s="61"/>
      <c r="F130" s="61"/>
      <c r="G130" s="61"/>
      <c r="H130" s="61"/>
      <c r="I130" s="61"/>
      <c r="J130" s="107"/>
      <c r="K130" s="100"/>
      <c r="L130" s="61"/>
      <c r="M130" s="61"/>
    </row>
    <row r="131">
      <c r="A131" s="65"/>
      <c r="B131" s="65"/>
      <c r="C131" s="65"/>
      <c r="D131" s="65"/>
      <c r="E131" s="65"/>
      <c r="F131" s="65"/>
      <c r="G131" s="65"/>
      <c r="H131" s="65"/>
      <c r="I131" s="65"/>
      <c r="J131" s="108"/>
      <c r="K131" s="103"/>
      <c r="L131" s="65"/>
      <c r="M131" s="65"/>
    </row>
    <row r="132">
      <c r="A132" s="61"/>
      <c r="B132" s="61"/>
      <c r="C132" s="61"/>
      <c r="D132" s="61"/>
      <c r="E132" s="61"/>
      <c r="F132" s="61"/>
      <c r="G132" s="61"/>
      <c r="H132" s="61"/>
      <c r="I132" s="61"/>
      <c r="J132" s="107"/>
      <c r="K132" s="100"/>
      <c r="L132" s="61"/>
      <c r="M132" s="61"/>
    </row>
    <row r="133">
      <c r="A133" s="65"/>
      <c r="B133" s="65"/>
      <c r="C133" s="65"/>
      <c r="D133" s="65"/>
      <c r="E133" s="65"/>
      <c r="F133" s="65"/>
      <c r="G133" s="65"/>
      <c r="H133" s="65"/>
      <c r="I133" s="65"/>
      <c r="J133" s="108"/>
      <c r="K133" s="103"/>
      <c r="L133" s="65"/>
      <c r="M133" s="65"/>
    </row>
    <row r="134">
      <c r="A134" s="61"/>
      <c r="B134" s="61"/>
      <c r="C134" s="61"/>
      <c r="D134" s="61"/>
      <c r="E134" s="61"/>
      <c r="F134" s="61"/>
      <c r="G134" s="61"/>
      <c r="H134" s="61"/>
      <c r="I134" s="61"/>
      <c r="J134" s="107"/>
      <c r="K134" s="100"/>
      <c r="L134" s="61"/>
      <c r="M134" s="61"/>
    </row>
    <row r="135">
      <c r="A135" s="65"/>
      <c r="B135" s="65"/>
      <c r="C135" s="65"/>
      <c r="D135" s="65"/>
      <c r="E135" s="65"/>
      <c r="F135" s="65"/>
      <c r="G135" s="65"/>
      <c r="H135" s="65"/>
      <c r="I135" s="65"/>
      <c r="J135" s="108"/>
      <c r="K135" s="103"/>
      <c r="L135" s="65"/>
      <c r="M135" s="65"/>
    </row>
    <row r="136">
      <c r="A136" s="61"/>
      <c r="B136" s="61"/>
      <c r="C136" s="61"/>
      <c r="D136" s="61"/>
      <c r="E136" s="61"/>
      <c r="F136" s="61"/>
      <c r="G136" s="61"/>
      <c r="H136" s="61"/>
      <c r="I136" s="61"/>
      <c r="J136" s="107"/>
      <c r="K136" s="100"/>
      <c r="L136" s="61"/>
      <c r="M136" s="61"/>
    </row>
    <row r="137">
      <c r="A137" s="65"/>
      <c r="B137" s="65"/>
      <c r="C137" s="65"/>
      <c r="D137" s="65"/>
      <c r="E137" s="65"/>
      <c r="F137" s="65"/>
      <c r="G137" s="65"/>
      <c r="H137" s="65"/>
      <c r="I137" s="65"/>
      <c r="J137" s="108"/>
      <c r="K137" s="103"/>
      <c r="L137" s="65"/>
      <c r="M137" s="65"/>
    </row>
    <row r="138">
      <c r="A138" s="61"/>
      <c r="B138" s="61"/>
      <c r="C138" s="61"/>
      <c r="D138" s="61"/>
      <c r="E138" s="61"/>
      <c r="F138" s="61"/>
      <c r="G138" s="61"/>
      <c r="H138" s="61"/>
      <c r="I138" s="61"/>
      <c r="J138" s="107"/>
      <c r="K138" s="100"/>
      <c r="L138" s="61"/>
      <c r="M138" s="61"/>
    </row>
    <row r="139">
      <c r="A139" s="65"/>
      <c r="B139" s="65"/>
      <c r="C139" s="65"/>
      <c r="D139" s="65"/>
      <c r="E139" s="65"/>
      <c r="F139" s="65"/>
      <c r="G139" s="65"/>
      <c r="H139" s="65"/>
      <c r="I139" s="65"/>
      <c r="J139" s="108"/>
      <c r="K139" s="103"/>
      <c r="L139" s="65"/>
      <c r="M139" s="65"/>
    </row>
    <row r="140">
      <c r="A140" s="61"/>
      <c r="B140" s="61"/>
      <c r="C140" s="61"/>
      <c r="D140" s="61"/>
      <c r="E140" s="61"/>
      <c r="F140" s="61"/>
      <c r="G140" s="61"/>
      <c r="H140" s="61"/>
      <c r="I140" s="61"/>
      <c r="J140" s="107"/>
      <c r="K140" s="100"/>
      <c r="L140" s="61"/>
      <c r="M140" s="61"/>
    </row>
    <row r="141">
      <c r="A141" s="65"/>
      <c r="B141" s="65"/>
      <c r="C141" s="65"/>
      <c r="D141" s="65"/>
      <c r="E141" s="65"/>
      <c r="F141" s="65"/>
      <c r="G141" s="65"/>
      <c r="H141" s="65"/>
      <c r="I141" s="65"/>
      <c r="J141" s="108"/>
      <c r="K141" s="103"/>
      <c r="L141" s="65"/>
      <c r="M141" s="65"/>
    </row>
    <row r="142">
      <c r="A142" s="61"/>
      <c r="B142" s="61"/>
      <c r="C142" s="61"/>
      <c r="D142" s="61"/>
      <c r="E142" s="61"/>
      <c r="F142" s="61"/>
      <c r="G142" s="61"/>
      <c r="H142" s="61"/>
      <c r="I142" s="61"/>
      <c r="J142" s="107"/>
      <c r="K142" s="100"/>
      <c r="L142" s="61"/>
      <c r="M142" s="61"/>
    </row>
    <row r="143">
      <c r="A143" s="65"/>
      <c r="B143" s="65"/>
      <c r="C143" s="65"/>
      <c r="D143" s="65"/>
      <c r="E143" s="65"/>
      <c r="F143" s="65"/>
      <c r="G143" s="65"/>
      <c r="H143" s="65"/>
      <c r="I143" s="65"/>
      <c r="J143" s="108"/>
      <c r="K143" s="103"/>
      <c r="L143" s="65"/>
      <c r="M143" s="65"/>
    </row>
    <row r="144">
      <c r="A144" s="61"/>
      <c r="B144" s="61"/>
      <c r="C144" s="61"/>
      <c r="D144" s="61"/>
      <c r="E144" s="61"/>
      <c r="F144" s="61"/>
      <c r="G144" s="61"/>
      <c r="H144" s="61"/>
      <c r="I144" s="61"/>
      <c r="J144" s="107"/>
      <c r="K144" s="100"/>
      <c r="L144" s="61"/>
      <c r="M144" s="61"/>
    </row>
    <row r="145">
      <c r="A145" s="65"/>
      <c r="B145" s="65"/>
      <c r="C145" s="65"/>
      <c r="D145" s="65"/>
      <c r="E145" s="65"/>
      <c r="F145" s="65"/>
      <c r="G145" s="65"/>
      <c r="H145" s="65"/>
      <c r="I145" s="65"/>
      <c r="J145" s="108"/>
      <c r="K145" s="103"/>
      <c r="L145" s="65"/>
      <c r="M145" s="65"/>
    </row>
    <row r="146">
      <c r="A146" s="61"/>
      <c r="B146" s="61"/>
      <c r="C146" s="61"/>
      <c r="D146" s="61"/>
      <c r="E146" s="61"/>
      <c r="F146" s="61"/>
      <c r="G146" s="61"/>
      <c r="H146" s="61"/>
      <c r="I146" s="61"/>
      <c r="J146" s="107"/>
      <c r="K146" s="100"/>
      <c r="L146" s="61"/>
      <c r="M146" s="61"/>
    </row>
    <row r="147">
      <c r="A147" s="65"/>
      <c r="B147" s="65"/>
      <c r="C147" s="65"/>
      <c r="D147" s="65"/>
      <c r="E147" s="65"/>
      <c r="F147" s="65"/>
      <c r="G147" s="65"/>
      <c r="H147" s="65"/>
      <c r="I147" s="65"/>
      <c r="J147" s="108"/>
      <c r="K147" s="103"/>
      <c r="L147" s="65"/>
      <c r="M147" s="65"/>
    </row>
    <row r="148">
      <c r="A148" s="61"/>
      <c r="B148" s="61"/>
      <c r="C148" s="61"/>
      <c r="D148" s="61"/>
      <c r="E148" s="61"/>
      <c r="F148" s="61"/>
      <c r="G148" s="61"/>
      <c r="H148" s="61"/>
      <c r="I148" s="61"/>
      <c r="J148" s="107"/>
      <c r="K148" s="100"/>
      <c r="L148" s="61"/>
      <c r="M148" s="61"/>
    </row>
    <row r="149">
      <c r="A149" s="65"/>
      <c r="B149" s="65"/>
      <c r="C149" s="65"/>
      <c r="D149" s="65"/>
      <c r="E149" s="65"/>
      <c r="F149" s="65"/>
      <c r="G149" s="65"/>
      <c r="H149" s="65"/>
      <c r="I149" s="65"/>
      <c r="J149" s="108"/>
      <c r="K149" s="103"/>
      <c r="L149" s="65"/>
      <c r="M149" s="65"/>
    </row>
    <row r="150">
      <c r="A150" s="61"/>
      <c r="B150" s="61"/>
      <c r="C150" s="61"/>
      <c r="D150" s="61"/>
      <c r="E150" s="61"/>
      <c r="F150" s="61"/>
      <c r="G150" s="61"/>
      <c r="H150" s="61"/>
      <c r="I150" s="61"/>
      <c r="J150" s="107"/>
      <c r="K150" s="100"/>
      <c r="L150" s="61"/>
      <c r="M150" s="61"/>
    </row>
    <row r="151">
      <c r="A151" s="65"/>
      <c r="B151" s="65"/>
      <c r="C151" s="65"/>
      <c r="D151" s="65"/>
      <c r="E151" s="65"/>
      <c r="F151" s="65"/>
      <c r="G151" s="65"/>
      <c r="H151" s="65"/>
      <c r="I151" s="65"/>
      <c r="J151" s="108"/>
      <c r="K151" s="103"/>
      <c r="L151" s="65"/>
      <c r="M151" s="65"/>
    </row>
    <row r="152">
      <c r="A152" s="61"/>
      <c r="B152" s="61"/>
      <c r="C152" s="61"/>
      <c r="D152" s="61"/>
      <c r="E152" s="61"/>
      <c r="F152" s="61"/>
      <c r="G152" s="61"/>
      <c r="H152" s="61"/>
      <c r="I152" s="61"/>
      <c r="J152" s="107"/>
      <c r="K152" s="100"/>
      <c r="L152" s="61"/>
      <c r="M152" s="61"/>
    </row>
    <row r="153">
      <c r="A153" s="65"/>
      <c r="B153" s="65"/>
      <c r="C153" s="65"/>
      <c r="D153" s="65"/>
      <c r="E153" s="65"/>
      <c r="F153" s="65"/>
      <c r="G153" s="65"/>
      <c r="H153" s="65"/>
      <c r="I153" s="65"/>
      <c r="J153" s="108"/>
      <c r="K153" s="103"/>
      <c r="L153" s="65"/>
      <c r="M153" s="65"/>
    </row>
    <row r="154">
      <c r="A154" s="61"/>
      <c r="B154" s="61"/>
      <c r="C154" s="61"/>
      <c r="D154" s="61"/>
      <c r="E154" s="61"/>
      <c r="F154" s="61"/>
      <c r="G154" s="61"/>
      <c r="H154" s="61"/>
      <c r="I154" s="61"/>
      <c r="J154" s="107"/>
      <c r="K154" s="100"/>
      <c r="L154" s="61"/>
      <c r="M154" s="61"/>
    </row>
    <row r="155">
      <c r="A155" s="65"/>
      <c r="B155" s="65"/>
      <c r="C155" s="65"/>
      <c r="D155" s="65"/>
      <c r="E155" s="65"/>
      <c r="F155" s="65"/>
      <c r="G155" s="65"/>
      <c r="H155" s="65"/>
      <c r="I155" s="65"/>
      <c r="J155" s="108"/>
      <c r="K155" s="103"/>
      <c r="L155" s="65"/>
      <c r="M155" s="65"/>
    </row>
    <row r="156">
      <c r="A156" s="61"/>
      <c r="B156" s="61"/>
      <c r="C156" s="61"/>
      <c r="D156" s="61"/>
      <c r="E156" s="61"/>
      <c r="F156" s="61"/>
      <c r="G156" s="61"/>
      <c r="H156" s="61"/>
      <c r="I156" s="61"/>
      <c r="J156" s="107"/>
      <c r="K156" s="100"/>
      <c r="L156" s="61"/>
      <c r="M156" s="61"/>
    </row>
    <row r="157">
      <c r="A157" s="65"/>
      <c r="B157" s="65"/>
      <c r="C157" s="65"/>
      <c r="D157" s="65"/>
      <c r="E157" s="65"/>
      <c r="F157" s="65"/>
      <c r="G157" s="65"/>
      <c r="H157" s="65"/>
      <c r="I157" s="65"/>
      <c r="J157" s="108"/>
      <c r="K157" s="103"/>
      <c r="L157" s="65"/>
      <c r="M157" s="65"/>
    </row>
    <row r="158">
      <c r="A158" s="61"/>
      <c r="B158" s="61"/>
      <c r="C158" s="61"/>
      <c r="D158" s="61"/>
      <c r="E158" s="61"/>
      <c r="F158" s="61"/>
      <c r="G158" s="61"/>
      <c r="H158" s="61"/>
      <c r="I158" s="61"/>
      <c r="J158" s="107"/>
      <c r="K158" s="100"/>
      <c r="L158" s="61"/>
      <c r="M158" s="61"/>
    </row>
    <row r="159">
      <c r="A159" s="65"/>
      <c r="B159" s="65"/>
      <c r="C159" s="65"/>
      <c r="D159" s="65"/>
      <c r="E159" s="65"/>
      <c r="F159" s="65"/>
      <c r="G159" s="65"/>
      <c r="H159" s="65"/>
      <c r="I159" s="65"/>
      <c r="J159" s="108"/>
      <c r="K159" s="103"/>
      <c r="L159" s="65"/>
      <c r="M159" s="65"/>
    </row>
    <row r="160">
      <c r="A160" s="61"/>
      <c r="B160" s="61"/>
      <c r="C160" s="61"/>
      <c r="D160" s="61"/>
      <c r="E160" s="61"/>
      <c r="F160" s="61"/>
      <c r="G160" s="61"/>
      <c r="H160" s="61"/>
      <c r="I160" s="61"/>
      <c r="J160" s="107"/>
      <c r="K160" s="100"/>
      <c r="L160" s="61"/>
      <c r="M160" s="61"/>
    </row>
    <row r="161">
      <c r="A161" s="65"/>
      <c r="B161" s="65"/>
      <c r="C161" s="65"/>
      <c r="D161" s="65"/>
      <c r="E161" s="65"/>
      <c r="F161" s="65"/>
      <c r="G161" s="65"/>
      <c r="H161" s="65"/>
      <c r="I161" s="65"/>
      <c r="J161" s="108"/>
      <c r="K161" s="103"/>
      <c r="L161" s="65"/>
      <c r="M161" s="65"/>
    </row>
    <row r="162">
      <c r="A162" s="61"/>
      <c r="B162" s="61"/>
      <c r="C162" s="61"/>
      <c r="D162" s="61"/>
      <c r="E162" s="61"/>
      <c r="F162" s="61"/>
      <c r="G162" s="61"/>
      <c r="H162" s="61"/>
      <c r="I162" s="61"/>
      <c r="J162" s="107"/>
      <c r="K162" s="100"/>
      <c r="L162" s="61"/>
      <c r="M162" s="61"/>
    </row>
    <row r="163">
      <c r="A163" s="65"/>
      <c r="B163" s="65"/>
      <c r="C163" s="65"/>
      <c r="D163" s="65"/>
      <c r="E163" s="65"/>
      <c r="F163" s="65"/>
      <c r="G163" s="65"/>
      <c r="H163" s="65"/>
      <c r="I163" s="65"/>
      <c r="J163" s="108"/>
      <c r="K163" s="103"/>
      <c r="L163" s="65"/>
      <c r="M163" s="65"/>
    </row>
    <row r="164">
      <c r="A164" s="61"/>
      <c r="B164" s="61"/>
      <c r="C164" s="61"/>
      <c r="D164" s="61"/>
      <c r="E164" s="61"/>
      <c r="F164" s="61"/>
      <c r="G164" s="61"/>
      <c r="H164" s="61"/>
      <c r="I164" s="61"/>
      <c r="J164" s="107"/>
      <c r="K164" s="100"/>
      <c r="L164" s="61"/>
      <c r="M164" s="61"/>
    </row>
    <row r="165">
      <c r="A165" s="65"/>
      <c r="B165" s="65"/>
      <c r="C165" s="65"/>
      <c r="D165" s="65"/>
      <c r="E165" s="65"/>
      <c r="F165" s="65"/>
      <c r="G165" s="65"/>
      <c r="H165" s="65"/>
      <c r="I165" s="65"/>
      <c r="J165" s="108"/>
      <c r="K165" s="103"/>
      <c r="L165" s="65"/>
      <c r="M165" s="65"/>
    </row>
    <row r="166">
      <c r="A166" s="61"/>
      <c r="B166" s="61"/>
      <c r="C166" s="61"/>
      <c r="D166" s="61"/>
      <c r="E166" s="61"/>
      <c r="F166" s="61"/>
      <c r="G166" s="61"/>
      <c r="H166" s="61"/>
      <c r="I166" s="61"/>
      <c r="J166" s="107"/>
      <c r="K166" s="100"/>
      <c r="L166" s="61"/>
      <c r="M166" s="61"/>
    </row>
    <row r="167">
      <c r="A167" s="65"/>
      <c r="B167" s="65"/>
      <c r="C167" s="65"/>
      <c r="D167" s="65"/>
      <c r="E167" s="65"/>
      <c r="F167" s="65"/>
      <c r="G167" s="65"/>
      <c r="H167" s="65"/>
      <c r="I167" s="65"/>
      <c r="J167" s="108"/>
      <c r="K167" s="103"/>
      <c r="L167" s="65"/>
      <c r="M167" s="65"/>
    </row>
    <row r="168">
      <c r="A168" s="61"/>
      <c r="B168" s="61"/>
      <c r="C168" s="61"/>
      <c r="D168" s="61"/>
      <c r="E168" s="61"/>
      <c r="F168" s="61"/>
      <c r="G168" s="61"/>
      <c r="H168" s="61"/>
      <c r="I168" s="61"/>
      <c r="J168" s="107"/>
      <c r="K168" s="100"/>
      <c r="L168" s="61"/>
      <c r="M168" s="61"/>
    </row>
    <row r="169">
      <c r="A169" s="65"/>
      <c r="B169" s="65"/>
      <c r="C169" s="65"/>
      <c r="D169" s="65"/>
      <c r="E169" s="65"/>
      <c r="F169" s="65"/>
      <c r="G169" s="65"/>
      <c r="H169" s="65"/>
      <c r="I169" s="65"/>
      <c r="J169" s="108"/>
      <c r="K169" s="103"/>
      <c r="L169" s="65"/>
      <c r="M169" s="65"/>
    </row>
    <row r="170">
      <c r="A170" s="61"/>
      <c r="B170" s="61"/>
      <c r="C170" s="61"/>
      <c r="D170" s="61"/>
      <c r="E170" s="61"/>
      <c r="F170" s="61"/>
      <c r="G170" s="61"/>
      <c r="H170" s="61"/>
      <c r="I170" s="61"/>
      <c r="J170" s="107"/>
      <c r="K170" s="100"/>
      <c r="L170" s="61"/>
      <c r="M170" s="61"/>
    </row>
    <row r="171">
      <c r="A171" s="65"/>
      <c r="B171" s="65"/>
      <c r="C171" s="65"/>
      <c r="D171" s="65"/>
      <c r="E171" s="65"/>
      <c r="F171" s="65"/>
      <c r="G171" s="65"/>
      <c r="H171" s="65"/>
      <c r="I171" s="65"/>
      <c r="J171" s="108"/>
      <c r="K171" s="103"/>
      <c r="L171" s="65"/>
      <c r="M171" s="65"/>
    </row>
    <row r="172">
      <c r="A172" s="61"/>
      <c r="B172" s="61"/>
      <c r="C172" s="61"/>
      <c r="D172" s="61"/>
      <c r="E172" s="61"/>
      <c r="F172" s="61"/>
      <c r="G172" s="61"/>
      <c r="H172" s="61"/>
      <c r="I172" s="61"/>
      <c r="J172" s="107"/>
      <c r="K172" s="100"/>
      <c r="L172" s="61"/>
      <c r="M172" s="61"/>
    </row>
    <row r="173">
      <c r="A173" s="65"/>
      <c r="B173" s="65"/>
      <c r="C173" s="65"/>
      <c r="D173" s="65"/>
      <c r="E173" s="65"/>
      <c r="F173" s="65"/>
      <c r="G173" s="65"/>
      <c r="H173" s="65"/>
      <c r="I173" s="65"/>
      <c r="J173" s="108"/>
      <c r="K173" s="103"/>
      <c r="L173" s="65"/>
      <c r="M173" s="65"/>
    </row>
    <row r="174">
      <c r="A174" s="61"/>
      <c r="B174" s="61"/>
      <c r="C174" s="61"/>
      <c r="D174" s="61"/>
      <c r="E174" s="61"/>
      <c r="F174" s="61"/>
      <c r="G174" s="61"/>
      <c r="H174" s="61"/>
      <c r="I174" s="61"/>
      <c r="J174" s="107"/>
      <c r="K174" s="100"/>
      <c r="L174" s="61"/>
      <c r="M174" s="61"/>
    </row>
    <row r="175">
      <c r="A175" s="65"/>
      <c r="B175" s="65"/>
      <c r="C175" s="65"/>
      <c r="D175" s="65"/>
      <c r="E175" s="65"/>
      <c r="F175" s="65"/>
      <c r="G175" s="65"/>
      <c r="H175" s="65"/>
      <c r="I175" s="65"/>
      <c r="J175" s="108"/>
      <c r="K175" s="103"/>
      <c r="L175" s="65"/>
      <c r="M175" s="65"/>
    </row>
    <row r="176">
      <c r="A176" s="61"/>
      <c r="B176" s="61"/>
      <c r="C176" s="61"/>
      <c r="D176" s="61"/>
      <c r="E176" s="61"/>
      <c r="F176" s="61"/>
      <c r="G176" s="61"/>
      <c r="H176" s="61"/>
      <c r="I176" s="61"/>
      <c r="J176" s="107"/>
      <c r="K176" s="100"/>
      <c r="L176" s="61"/>
      <c r="M176" s="61"/>
    </row>
    <row r="177">
      <c r="A177" s="65"/>
      <c r="B177" s="65"/>
      <c r="C177" s="65"/>
      <c r="D177" s="65"/>
      <c r="E177" s="65"/>
      <c r="F177" s="65"/>
      <c r="G177" s="65"/>
      <c r="H177" s="65"/>
      <c r="I177" s="65"/>
      <c r="J177" s="108"/>
      <c r="K177" s="103"/>
      <c r="L177" s="65"/>
      <c r="M177" s="65"/>
    </row>
    <row r="178">
      <c r="A178" s="61"/>
      <c r="B178" s="61"/>
      <c r="C178" s="61"/>
      <c r="D178" s="61"/>
      <c r="E178" s="61"/>
      <c r="F178" s="61"/>
      <c r="G178" s="61"/>
      <c r="H178" s="61"/>
      <c r="I178" s="61"/>
      <c r="J178" s="107"/>
      <c r="K178" s="100"/>
      <c r="L178" s="61"/>
      <c r="M178" s="61"/>
    </row>
    <row r="179">
      <c r="A179" s="65"/>
      <c r="B179" s="65"/>
      <c r="C179" s="65"/>
      <c r="D179" s="65"/>
      <c r="E179" s="65"/>
      <c r="F179" s="65"/>
      <c r="G179" s="65"/>
      <c r="H179" s="65"/>
      <c r="I179" s="65"/>
      <c r="J179" s="108"/>
      <c r="K179" s="103"/>
      <c r="L179" s="65"/>
      <c r="M179" s="65"/>
    </row>
    <row r="180">
      <c r="A180" s="61"/>
      <c r="B180" s="61"/>
      <c r="C180" s="61"/>
      <c r="D180" s="61"/>
      <c r="E180" s="61"/>
      <c r="F180" s="61"/>
      <c r="G180" s="61"/>
      <c r="H180" s="61"/>
      <c r="I180" s="61"/>
      <c r="J180" s="107"/>
      <c r="K180" s="100"/>
      <c r="L180" s="61"/>
      <c r="M180" s="61"/>
    </row>
    <row r="181">
      <c r="A181" s="65"/>
      <c r="B181" s="65"/>
      <c r="C181" s="65"/>
      <c r="D181" s="65"/>
      <c r="E181" s="65"/>
      <c r="F181" s="65"/>
      <c r="G181" s="65"/>
      <c r="H181" s="65"/>
      <c r="I181" s="65"/>
      <c r="J181" s="108"/>
      <c r="K181" s="103"/>
      <c r="L181" s="65"/>
      <c r="M181" s="65"/>
    </row>
    <row r="182">
      <c r="A182" s="61"/>
      <c r="B182" s="61"/>
      <c r="C182" s="61"/>
      <c r="D182" s="61"/>
      <c r="E182" s="61"/>
      <c r="F182" s="61"/>
      <c r="G182" s="61"/>
      <c r="H182" s="61"/>
      <c r="I182" s="61"/>
      <c r="J182" s="107"/>
      <c r="K182" s="100"/>
      <c r="L182" s="61"/>
      <c r="M182" s="61"/>
    </row>
    <row r="183">
      <c r="A183" s="65"/>
      <c r="B183" s="65"/>
      <c r="C183" s="65"/>
      <c r="D183" s="65"/>
      <c r="E183" s="65"/>
      <c r="F183" s="65"/>
      <c r="G183" s="65"/>
      <c r="H183" s="65"/>
      <c r="I183" s="65"/>
      <c r="J183" s="108"/>
      <c r="K183" s="103"/>
      <c r="L183" s="65"/>
      <c r="M183" s="65"/>
    </row>
    <row r="184">
      <c r="A184" s="61"/>
      <c r="B184" s="61"/>
      <c r="C184" s="61"/>
      <c r="D184" s="61"/>
      <c r="E184" s="61"/>
      <c r="F184" s="61"/>
      <c r="G184" s="61"/>
      <c r="H184" s="61"/>
      <c r="I184" s="61"/>
      <c r="J184" s="107"/>
      <c r="K184" s="100"/>
      <c r="L184" s="61"/>
      <c r="M184" s="61"/>
    </row>
    <row r="185">
      <c r="A185" s="65"/>
      <c r="B185" s="65"/>
      <c r="C185" s="65"/>
      <c r="D185" s="65"/>
      <c r="E185" s="65"/>
      <c r="F185" s="65"/>
      <c r="G185" s="65"/>
      <c r="H185" s="65"/>
      <c r="I185" s="65"/>
      <c r="J185" s="108"/>
      <c r="K185" s="103"/>
      <c r="L185" s="65"/>
      <c r="M185" s="65"/>
    </row>
    <row r="186">
      <c r="A186" s="61"/>
      <c r="B186" s="61"/>
      <c r="C186" s="61"/>
      <c r="D186" s="61"/>
      <c r="E186" s="61"/>
      <c r="F186" s="61"/>
      <c r="G186" s="61"/>
      <c r="H186" s="61"/>
      <c r="I186" s="61"/>
      <c r="J186" s="107"/>
      <c r="K186" s="100"/>
      <c r="L186" s="61"/>
      <c r="M186" s="61"/>
    </row>
    <row r="187">
      <c r="A187" s="65"/>
      <c r="B187" s="65"/>
      <c r="C187" s="65"/>
      <c r="D187" s="65"/>
      <c r="E187" s="65"/>
      <c r="F187" s="65"/>
      <c r="G187" s="65"/>
      <c r="H187" s="65"/>
      <c r="I187" s="65"/>
      <c r="J187" s="108"/>
      <c r="K187" s="103"/>
      <c r="L187" s="65"/>
      <c r="M187" s="65"/>
    </row>
    <row r="188">
      <c r="A188" s="61"/>
      <c r="B188" s="61"/>
      <c r="C188" s="61"/>
      <c r="D188" s="61"/>
      <c r="E188" s="61"/>
      <c r="F188" s="61"/>
      <c r="G188" s="61"/>
      <c r="H188" s="61"/>
      <c r="I188" s="61"/>
      <c r="J188" s="107"/>
      <c r="K188" s="100"/>
      <c r="L188" s="61"/>
      <c r="M188" s="61"/>
    </row>
    <row r="189">
      <c r="A189" s="65"/>
      <c r="B189" s="65"/>
      <c r="C189" s="65"/>
      <c r="D189" s="65"/>
      <c r="E189" s="65"/>
      <c r="F189" s="65"/>
      <c r="G189" s="65"/>
      <c r="H189" s="65"/>
      <c r="I189" s="65"/>
      <c r="J189" s="108"/>
      <c r="K189" s="103"/>
      <c r="L189" s="65"/>
      <c r="M189" s="65"/>
    </row>
    <row r="190">
      <c r="A190" s="61"/>
      <c r="B190" s="61"/>
      <c r="C190" s="61"/>
      <c r="D190" s="61"/>
      <c r="E190" s="61"/>
      <c r="F190" s="61"/>
      <c r="G190" s="61"/>
      <c r="H190" s="61"/>
      <c r="I190" s="61"/>
      <c r="J190" s="107"/>
      <c r="K190" s="100"/>
      <c r="L190" s="61"/>
      <c r="M190" s="61"/>
    </row>
    <row r="191">
      <c r="A191" s="65"/>
      <c r="B191" s="65"/>
      <c r="C191" s="65"/>
      <c r="D191" s="65"/>
      <c r="E191" s="65"/>
      <c r="F191" s="65"/>
      <c r="G191" s="65"/>
      <c r="H191" s="65"/>
      <c r="I191" s="65"/>
      <c r="J191" s="108"/>
      <c r="K191" s="103"/>
      <c r="L191" s="65"/>
      <c r="M191" s="65"/>
    </row>
    <row r="192">
      <c r="A192" s="61"/>
      <c r="B192" s="61"/>
      <c r="C192" s="61"/>
      <c r="D192" s="61"/>
      <c r="E192" s="61"/>
      <c r="F192" s="61"/>
      <c r="G192" s="61"/>
      <c r="H192" s="61"/>
      <c r="I192" s="61"/>
      <c r="J192" s="107"/>
      <c r="K192" s="100"/>
      <c r="L192" s="61"/>
      <c r="M192" s="61"/>
    </row>
    <row r="193">
      <c r="A193" s="65"/>
      <c r="B193" s="65"/>
      <c r="C193" s="65"/>
      <c r="D193" s="65"/>
      <c r="E193" s="65"/>
      <c r="F193" s="65"/>
      <c r="G193" s="65"/>
      <c r="H193" s="65"/>
      <c r="I193" s="65"/>
      <c r="J193" s="108"/>
      <c r="K193" s="103"/>
      <c r="L193" s="65"/>
      <c r="M193" s="65"/>
    </row>
    <row r="194">
      <c r="A194" s="61"/>
      <c r="B194" s="61"/>
      <c r="C194" s="61"/>
      <c r="D194" s="61"/>
      <c r="E194" s="61"/>
      <c r="F194" s="61"/>
      <c r="G194" s="61"/>
      <c r="H194" s="61"/>
      <c r="I194" s="61"/>
      <c r="J194" s="107"/>
      <c r="K194" s="100"/>
      <c r="L194" s="61"/>
      <c r="M194" s="61"/>
    </row>
    <row r="195">
      <c r="A195" s="65"/>
      <c r="B195" s="65"/>
      <c r="C195" s="65"/>
      <c r="D195" s="65"/>
      <c r="E195" s="65"/>
      <c r="F195" s="65"/>
      <c r="G195" s="65"/>
      <c r="H195" s="65"/>
      <c r="I195" s="65"/>
      <c r="J195" s="108"/>
      <c r="K195" s="103"/>
      <c r="L195" s="65"/>
      <c r="M195" s="65"/>
    </row>
    <row r="196">
      <c r="A196" s="61"/>
      <c r="B196" s="61"/>
      <c r="C196" s="61"/>
      <c r="D196" s="61"/>
      <c r="E196" s="61"/>
      <c r="F196" s="61"/>
      <c r="G196" s="61"/>
      <c r="H196" s="61"/>
      <c r="I196" s="61"/>
      <c r="J196" s="107"/>
      <c r="K196" s="100"/>
      <c r="L196" s="61"/>
      <c r="M196" s="61"/>
    </row>
    <row r="197">
      <c r="A197" s="65"/>
      <c r="B197" s="65"/>
      <c r="C197" s="65"/>
      <c r="D197" s="65"/>
      <c r="E197" s="65"/>
      <c r="F197" s="65"/>
      <c r="G197" s="65"/>
      <c r="H197" s="65"/>
      <c r="I197" s="65"/>
      <c r="J197" s="108"/>
      <c r="K197" s="103"/>
      <c r="L197" s="65"/>
      <c r="M197" s="65"/>
    </row>
    <row r="198">
      <c r="A198" s="61"/>
      <c r="B198" s="61"/>
      <c r="C198" s="61"/>
      <c r="D198" s="61"/>
      <c r="E198" s="61"/>
      <c r="F198" s="61"/>
      <c r="G198" s="61"/>
      <c r="H198" s="61"/>
      <c r="I198" s="61"/>
      <c r="J198" s="107"/>
      <c r="K198" s="100"/>
      <c r="L198" s="61"/>
      <c r="M198" s="61"/>
    </row>
    <row r="199">
      <c r="A199" s="65"/>
      <c r="B199" s="65"/>
      <c r="C199" s="65"/>
      <c r="D199" s="65"/>
      <c r="E199" s="65"/>
      <c r="F199" s="65"/>
      <c r="G199" s="65"/>
      <c r="H199" s="65"/>
      <c r="I199" s="65"/>
      <c r="J199" s="108"/>
      <c r="K199" s="103"/>
      <c r="L199" s="65"/>
      <c r="M199" s="65"/>
    </row>
    <row r="200">
      <c r="A200" s="61"/>
      <c r="B200" s="61"/>
      <c r="C200" s="61"/>
      <c r="D200" s="61"/>
      <c r="E200" s="61"/>
      <c r="F200" s="61"/>
      <c r="G200" s="61"/>
      <c r="H200" s="61"/>
      <c r="I200" s="61"/>
      <c r="J200" s="107"/>
      <c r="K200" s="100"/>
      <c r="L200" s="61"/>
      <c r="M200" s="61"/>
    </row>
    <row r="201">
      <c r="A201" s="65"/>
      <c r="B201" s="65"/>
      <c r="C201" s="65"/>
      <c r="D201" s="65"/>
      <c r="E201" s="65"/>
      <c r="F201" s="65"/>
      <c r="G201" s="65"/>
      <c r="H201" s="65"/>
      <c r="I201" s="65"/>
      <c r="J201" s="108"/>
      <c r="K201" s="103"/>
      <c r="L201" s="65"/>
      <c r="M201" s="65"/>
    </row>
    <row r="202">
      <c r="A202" s="61"/>
      <c r="B202" s="61"/>
      <c r="C202" s="61"/>
      <c r="D202" s="61"/>
      <c r="E202" s="61"/>
      <c r="F202" s="61"/>
      <c r="G202" s="61"/>
      <c r="H202" s="61"/>
      <c r="I202" s="61"/>
      <c r="J202" s="107"/>
      <c r="K202" s="100"/>
      <c r="L202" s="61"/>
      <c r="M202" s="61"/>
    </row>
    <row r="203">
      <c r="A203" s="65"/>
      <c r="B203" s="65"/>
      <c r="C203" s="65"/>
      <c r="D203" s="65"/>
      <c r="E203" s="65"/>
      <c r="F203" s="65"/>
      <c r="G203" s="65"/>
      <c r="H203" s="65"/>
      <c r="I203" s="65"/>
      <c r="J203" s="108"/>
      <c r="K203" s="103"/>
      <c r="L203" s="65"/>
      <c r="M203" s="65"/>
    </row>
    <row r="204">
      <c r="A204" s="61"/>
      <c r="B204" s="61"/>
      <c r="C204" s="61"/>
      <c r="D204" s="61"/>
      <c r="E204" s="61"/>
      <c r="F204" s="61"/>
      <c r="G204" s="61"/>
      <c r="H204" s="61"/>
      <c r="I204" s="61"/>
      <c r="J204" s="107"/>
      <c r="K204" s="100"/>
      <c r="L204" s="61"/>
      <c r="M204" s="61"/>
    </row>
    <row r="205">
      <c r="A205" s="65"/>
      <c r="B205" s="65"/>
      <c r="C205" s="65"/>
      <c r="D205" s="65"/>
      <c r="E205" s="65"/>
      <c r="F205" s="65"/>
      <c r="G205" s="65"/>
      <c r="H205" s="65"/>
      <c r="I205" s="65"/>
      <c r="J205" s="108"/>
      <c r="K205" s="103"/>
      <c r="L205" s="65"/>
      <c r="M205" s="65"/>
    </row>
    <row r="206">
      <c r="A206" s="61"/>
      <c r="B206" s="61"/>
      <c r="C206" s="61"/>
      <c r="D206" s="61"/>
      <c r="E206" s="61"/>
      <c r="F206" s="61"/>
      <c r="G206" s="61"/>
      <c r="H206" s="61"/>
      <c r="I206" s="61"/>
      <c r="J206" s="107"/>
      <c r="K206" s="100"/>
      <c r="L206" s="61"/>
      <c r="M206" s="61"/>
    </row>
    <row r="207">
      <c r="A207" s="65"/>
      <c r="B207" s="65"/>
      <c r="C207" s="65"/>
      <c r="D207" s="65"/>
      <c r="E207" s="65"/>
      <c r="F207" s="65"/>
      <c r="G207" s="65"/>
      <c r="H207" s="65"/>
      <c r="I207" s="65"/>
      <c r="J207" s="108"/>
      <c r="K207" s="103"/>
      <c r="L207" s="65"/>
      <c r="M207" s="65"/>
    </row>
    <row r="208">
      <c r="A208" s="61"/>
      <c r="B208" s="61"/>
      <c r="C208" s="61"/>
      <c r="D208" s="61"/>
      <c r="E208" s="61"/>
      <c r="F208" s="61"/>
      <c r="G208" s="61"/>
      <c r="H208" s="61"/>
      <c r="I208" s="61"/>
      <c r="J208" s="107"/>
      <c r="K208" s="100"/>
      <c r="L208" s="61"/>
      <c r="M208" s="61"/>
    </row>
    <row r="209">
      <c r="A209" s="65"/>
      <c r="B209" s="65"/>
      <c r="C209" s="65"/>
      <c r="D209" s="65"/>
      <c r="E209" s="65"/>
      <c r="F209" s="65"/>
      <c r="G209" s="65"/>
      <c r="H209" s="65"/>
      <c r="I209" s="65"/>
      <c r="J209" s="108"/>
      <c r="K209" s="103"/>
      <c r="L209" s="65"/>
      <c r="M209" s="65"/>
    </row>
    <row r="210">
      <c r="A210" s="61"/>
      <c r="B210" s="61"/>
      <c r="C210" s="61"/>
      <c r="D210" s="61"/>
      <c r="E210" s="61"/>
      <c r="F210" s="61"/>
      <c r="G210" s="61"/>
      <c r="H210" s="61"/>
      <c r="I210" s="61"/>
      <c r="J210" s="107"/>
      <c r="K210" s="100"/>
      <c r="L210" s="61"/>
      <c r="M210" s="61"/>
    </row>
    <row r="211">
      <c r="A211" s="65"/>
      <c r="B211" s="65"/>
      <c r="C211" s="65"/>
      <c r="D211" s="65"/>
      <c r="E211" s="65"/>
      <c r="F211" s="65"/>
      <c r="G211" s="65"/>
      <c r="H211" s="65"/>
      <c r="I211" s="65"/>
      <c r="J211" s="108"/>
      <c r="K211" s="103"/>
      <c r="L211" s="65"/>
      <c r="M211" s="65"/>
    </row>
    <row r="212">
      <c r="A212" s="61"/>
      <c r="B212" s="61"/>
      <c r="C212" s="61"/>
      <c r="D212" s="61"/>
      <c r="E212" s="61"/>
      <c r="F212" s="61"/>
      <c r="G212" s="61"/>
      <c r="H212" s="61"/>
      <c r="I212" s="61"/>
      <c r="J212" s="107"/>
      <c r="K212" s="100"/>
      <c r="L212" s="61"/>
      <c r="M212" s="61"/>
    </row>
    <row r="213">
      <c r="A213" s="65"/>
      <c r="B213" s="65"/>
      <c r="C213" s="65"/>
      <c r="D213" s="65"/>
      <c r="E213" s="65"/>
      <c r="F213" s="65"/>
      <c r="G213" s="65"/>
      <c r="H213" s="65"/>
      <c r="I213" s="65"/>
      <c r="J213" s="108"/>
      <c r="K213" s="103"/>
      <c r="L213" s="65"/>
      <c r="M213" s="65"/>
    </row>
    <row r="214">
      <c r="A214" s="61"/>
      <c r="B214" s="61"/>
      <c r="C214" s="61"/>
      <c r="D214" s="61"/>
      <c r="E214" s="61"/>
      <c r="F214" s="61"/>
      <c r="G214" s="61"/>
      <c r="H214" s="61"/>
      <c r="I214" s="61"/>
      <c r="J214" s="107"/>
      <c r="K214" s="100"/>
      <c r="L214" s="61"/>
      <c r="M214" s="61"/>
    </row>
    <row r="215">
      <c r="A215" s="65"/>
      <c r="B215" s="65"/>
      <c r="C215" s="65"/>
      <c r="D215" s="65"/>
      <c r="E215" s="65"/>
      <c r="F215" s="65"/>
      <c r="G215" s="65"/>
      <c r="H215" s="65"/>
      <c r="I215" s="65"/>
      <c r="J215" s="108"/>
      <c r="K215" s="103"/>
      <c r="L215" s="65"/>
      <c r="M215" s="65"/>
    </row>
    <row r="216">
      <c r="A216" s="61"/>
      <c r="B216" s="61"/>
      <c r="C216" s="61"/>
      <c r="D216" s="61"/>
      <c r="E216" s="61"/>
      <c r="F216" s="61"/>
      <c r="G216" s="61"/>
      <c r="H216" s="61"/>
      <c r="I216" s="61"/>
      <c r="J216" s="107"/>
      <c r="K216" s="100"/>
      <c r="L216" s="61"/>
      <c r="M216" s="61"/>
    </row>
    <row r="217">
      <c r="A217" s="65"/>
      <c r="B217" s="65"/>
      <c r="C217" s="65"/>
      <c r="D217" s="65"/>
      <c r="E217" s="65"/>
      <c r="F217" s="65"/>
      <c r="G217" s="65"/>
      <c r="H217" s="65"/>
      <c r="I217" s="65"/>
      <c r="J217" s="108"/>
      <c r="K217" s="103"/>
      <c r="L217" s="65"/>
      <c r="M217" s="65"/>
    </row>
    <row r="218">
      <c r="A218" s="61"/>
      <c r="B218" s="61"/>
      <c r="C218" s="61"/>
      <c r="D218" s="61"/>
      <c r="E218" s="61"/>
      <c r="F218" s="61"/>
      <c r="G218" s="61"/>
      <c r="H218" s="61"/>
      <c r="I218" s="61"/>
      <c r="J218" s="107"/>
      <c r="K218" s="100"/>
      <c r="L218" s="61"/>
      <c r="M218" s="61"/>
    </row>
    <row r="219">
      <c r="A219" s="65"/>
      <c r="B219" s="65"/>
      <c r="C219" s="65"/>
      <c r="D219" s="65"/>
      <c r="E219" s="65"/>
      <c r="F219" s="65"/>
      <c r="G219" s="65"/>
      <c r="H219" s="65"/>
      <c r="I219" s="65"/>
      <c r="J219" s="108"/>
      <c r="K219" s="103"/>
      <c r="L219" s="65"/>
      <c r="M219" s="65"/>
    </row>
    <row r="220">
      <c r="A220" s="61"/>
      <c r="B220" s="61"/>
      <c r="C220" s="61"/>
      <c r="D220" s="61"/>
      <c r="E220" s="61"/>
      <c r="F220" s="61"/>
      <c r="G220" s="61"/>
      <c r="H220" s="61"/>
      <c r="I220" s="61"/>
      <c r="J220" s="107"/>
      <c r="K220" s="100"/>
      <c r="L220" s="61"/>
      <c r="M220" s="61"/>
    </row>
    <row r="221">
      <c r="A221" s="65"/>
      <c r="B221" s="65"/>
      <c r="C221" s="65"/>
      <c r="D221" s="65"/>
      <c r="E221" s="65"/>
      <c r="F221" s="65"/>
      <c r="G221" s="65"/>
      <c r="H221" s="65"/>
      <c r="I221" s="65"/>
      <c r="J221" s="108"/>
      <c r="K221" s="103"/>
      <c r="L221" s="65"/>
      <c r="M221" s="65"/>
    </row>
    <row r="222">
      <c r="A222" s="61"/>
      <c r="B222" s="61"/>
      <c r="C222" s="61"/>
      <c r="D222" s="61"/>
      <c r="E222" s="61"/>
      <c r="F222" s="61"/>
      <c r="G222" s="61"/>
      <c r="H222" s="61"/>
      <c r="I222" s="61"/>
      <c r="J222" s="107"/>
      <c r="K222" s="100"/>
      <c r="L222" s="61"/>
      <c r="M222" s="61"/>
    </row>
    <row r="223">
      <c r="A223" s="65"/>
      <c r="B223" s="65"/>
      <c r="C223" s="65"/>
      <c r="D223" s="65"/>
      <c r="E223" s="65"/>
      <c r="F223" s="65"/>
      <c r="G223" s="65"/>
      <c r="H223" s="65"/>
      <c r="I223" s="65"/>
      <c r="J223" s="108"/>
      <c r="K223" s="103"/>
      <c r="L223" s="65"/>
      <c r="M223" s="65"/>
    </row>
    <row r="224">
      <c r="A224" s="61"/>
      <c r="B224" s="61"/>
      <c r="C224" s="61"/>
      <c r="D224" s="61"/>
      <c r="E224" s="61"/>
      <c r="F224" s="61"/>
      <c r="G224" s="61"/>
      <c r="H224" s="61"/>
      <c r="I224" s="61"/>
      <c r="J224" s="107"/>
      <c r="K224" s="100"/>
      <c r="L224" s="61"/>
      <c r="M224" s="61"/>
    </row>
    <row r="225">
      <c r="A225" s="65"/>
      <c r="B225" s="65"/>
      <c r="C225" s="65"/>
      <c r="D225" s="65"/>
      <c r="E225" s="65"/>
      <c r="F225" s="65"/>
      <c r="G225" s="65"/>
      <c r="H225" s="65"/>
      <c r="I225" s="65"/>
      <c r="J225" s="108"/>
      <c r="K225" s="103"/>
      <c r="L225" s="65"/>
      <c r="M225" s="65"/>
    </row>
    <row r="226">
      <c r="A226" s="61"/>
      <c r="B226" s="61"/>
      <c r="C226" s="61"/>
      <c r="D226" s="61"/>
      <c r="E226" s="61"/>
      <c r="F226" s="61"/>
      <c r="G226" s="61"/>
      <c r="H226" s="61"/>
      <c r="I226" s="61"/>
      <c r="J226" s="107"/>
      <c r="K226" s="100"/>
      <c r="L226" s="61"/>
      <c r="M226" s="61"/>
    </row>
    <row r="227">
      <c r="A227" s="65"/>
      <c r="B227" s="65"/>
      <c r="C227" s="65"/>
      <c r="D227" s="65"/>
      <c r="E227" s="65"/>
      <c r="F227" s="65"/>
      <c r="G227" s="65"/>
      <c r="H227" s="65"/>
      <c r="I227" s="65"/>
      <c r="J227" s="108"/>
      <c r="K227" s="103"/>
      <c r="L227" s="65"/>
      <c r="M227" s="65"/>
    </row>
    <row r="228">
      <c r="A228" s="61"/>
      <c r="B228" s="61"/>
      <c r="C228" s="61"/>
      <c r="D228" s="61"/>
      <c r="E228" s="61"/>
      <c r="F228" s="61"/>
      <c r="G228" s="61"/>
      <c r="H228" s="61"/>
      <c r="I228" s="61"/>
      <c r="J228" s="107"/>
      <c r="K228" s="100"/>
      <c r="L228" s="61"/>
      <c r="M228" s="61"/>
    </row>
    <row r="229">
      <c r="A229" s="65"/>
      <c r="B229" s="65"/>
      <c r="C229" s="65"/>
      <c r="D229" s="65"/>
      <c r="E229" s="65"/>
      <c r="F229" s="65"/>
      <c r="G229" s="65"/>
      <c r="H229" s="65"/>
      <c r="I229" s="65"/>
      <c r="J229" s="108"/>
      <c r="K229" s="103"/>
      <c r="L229" s="65"/>
      <c r="M229" s="65"/>
    </row>
    <row r="230">
      <c r="A230" s="61"/>
      <c r="B230" s="61"/>
      <c r="C230" s="61"/>
      <c r="D230" s="61"/>
      <c r="E230" s="61"/>
      <c r="F230" s="61"/>
      <c r="G230" s="61"/>
      <c r="H230" s="61"/>
      <c r="I230" s="61"/>
      <c r="J230" s="107"/>
      <c r="K230" s="100"/>
      <c r="L230" s="61"/>
      <c r="M230" s="61"/>
    </row>
    <row r="231">
      <c r="A231" s="65"/>
      <c r="B231" s="65"/>
      <c r="C231" s="65"/>
      <c r="D231" s="65"/>
      <c r="E231" s="65"/>
      <c r="F231" s="65"/>
      <c r="G231" s="65"/>
      <c r="H231" s="65"/>
      <c r="I231" s="65"/>
      <c r="J231" s="108"/>
      <c r="K231" s="103"/>
      <c r="L231" s="65"/>
      <c r="M231" s="65"/>
    </row>
    <row r="232">
      <c r="A232" s="61"/>
      <c r="B232" s="61"/>
      <c r="C232" s="61"/>
      <c r="D232" s="61"/>
      <c r="E232" s="61"/>
      <c r="F232" s="61"/>
      <c r="G232" s="61"/>
      <c r="H232" s="61"/>
      <c r="I232" s="61"/>
      <c r="J232" s="107"/>
      <c r="K232" s="100"/>
      <c r="L232" s="61"/>
      <c r="M232" s="61"/>
    </row>
    <row r="233">
      <c r="A233" s="65"/>
      <c r="B233" s="65"/>
      <c r="C233" s="65"/>
      <c r="D233" s="65"/>
      <c r="E233" s="65"/>
      <c r="F233" s="65"/>
      <c r="G233" s="65"/>
      <c r="H233" s="65"/>
      <c r="I233" s="65"/>
      <c r="J233" s="108"/>
      <c r="K233" s="103"/>
      <c r="L233" s="65"/>
      <c r="M233" s="65"/>
    </row>
    <row r="234">
      <c r="A234" s="61"/>
      <c r="B234" s="61"/>
      <c r="C234" s="61"/>
      <c r="D234" s="61"/>
      <c r="E234" s="61"/>
      <c r="F234" s="61"/>
      <c r="G234" s="61"/>
      <c r="H234" s="61"/>
      <c r="I234" s="61"/>
      <c r="J234" s="107"/>
      <c r="K234" s="100"/>
      <c r="L234" s="61"/>
      <c r="M234" s="61"/>
    </row>
    <row r="235">
      <c r="A235" s="65"/>
      <c r="B235" s="65"/>
      <c r="C235" s="65"/>
      <c r="D235" s="65"/>
      <c r="E235" s="65"/>
      <c r="F235" s="65"/>
      <c r="G235" s="65"/>
      <c r="H235" s="65"/>
      <c r="I235" s="65"/>
      <c r="J235" s="108"/>
      <c r="K235" s="103"/>
      <c r="L235" s="65"/>
      <c r="M235" s="65"/>
    </row>
    <row r="236">
      <c r="A236" s="61"/>
      <c r="B236" s="61"/>
      <c r="C236" s="61"/>
      <c r="D236" s="61"/>
      <c r="E236" s="61"/>
      <c r="F236" s="61"/>
      <c r="G236" s="61"/>
      <c r="H236" s="61"/>
      <c r="I236" s="61"/>
      <c r="J236" s="107"/>
      <c r="K236" s="100"/>
      <c r="L236" s="61"/>
      <c r="M236" s="61"/>
    </row>
    <row r="237">
      <c r="A237" s="65"/>
      <c r="B237" s="65"/>
      <c r="C237" s="65"/>
      <c r="D237" s="65"/>
      <c r="E237" s="65"/>
      <c r="F237" s="65"/>
      <c r="G237" s="65"/>
      <c r="H237" s="65"/>
      <c r="I237" s="65"/>
      <c r="J237" s="108"/>
      <c r="K237" s="103"/>
      <c r="L237" s="65"/>
      <c r="M237" s="65"/>
    </row>
    <row r="238">
      <c r="A238" s="61"/>
      <c r="B238" s="61"/>
      <c r="C238" s="61"/>
      <c r="D238" s="61"/>
      <c r="E238" s="61"/>
      <c r="F238" s="61"/>
      <c r="G238" s="61"/>
      <c r="H238" s="61"/>
      <c r="I238" s="61"/>
      <c r="J238" s="107"/>
      <c r="K238" s="100"/>
      <c r="L238" s="61"/>
      <c r="M238" s="61"/>
    </row>
    <row r="239">
      <c r="A239" s="65"/>
      <c r="B239" s="65"/>
      <c r="C239" s="65"/>
      <c r="D239" s="65"/>
      <c r="E239" s="65"/>
      <c r="F239" s="65"/>
      <c r="G239" s="65"/>
      <c r="H239" s="65"/>
      <c r="I239" s="65"/>
      <c r="J239" s="108"/>
      <c r="K239" s="103"/>
      <c r="L239" s="65"/>
      <c r="M239" s="65"/>
    </row>
    <row r="240">
      <c r="A240" s="61"/>
      <c r="B240" s="61"/>
      <c r="C240" s="61"/>
      <c r="D240" s="61"/>
      <c r="E240" s="61"/>
      <c r="F240" s="61"/>
      <c r="G240" s="61"/>
      <c r="H240" s="61"/>
      <c r="I240" s="61"/>
      <c r="J240" s="107"/>
      <c r="K240" s="100"/>
      <c r="L240" s="61"/>
      <c r="M240" s="61"/>
    </row>
    <row r="241">
      <c r="A241" s="65"/>
      <c r="B241" s="65"/>
      <c r="C241" s="65"/>
      <c r="D241" s="65"/>
      <c r="E241" s="65"/>
      <c r="F241" s="65"/>
      <c r="G241" s="65"/>
      <c r="H241" s="65"/>
      <c r="I241" s="65"/>
      <c r="J241" s="108"/>
      <c r="K241" s="103"/>
      <c r="L241" s="65"/>
      <c r="M241" s="65"/>
    </row>
    <row r="242">
      <c r="A242" s="61"/>
      <c r="B242" s="61"/>
      <c r="C242" s="61"/>
      <c r="D242" s="61"/>
      <c r="E242" s="61"/>
      <c r="F242" s="61"/>
      <c r="G242" s="61"/>
      <c r="H242" s="61"/>
      <c r="I242" s="61"/>
      <c r="J242" s="107"/>
      <c r="K242" s="100"/>
      <c r="L242" s="61"/>
      <c r="M242" s="61"/>
    </row>
    <row r="243">
      <c r="A243" s="65"/>
      <c r="B243" s="65"/>
      <c r="C243" s="65"/>
      <c r="D243" s="65"/>
      <c r="E243" s="65"/>
      <c r="F243" s="65"/>
      <c r="G243" s="65"/>
      <c r="H243" s="65"/>
      <c r="I243" s="65"/>
      <c r="J243" s="108"/>
      <c r="K243" s="103"/>
      <c r="L243" s="65"/>
      <c r="M243" s="65"/>
    </row>
    <row r="244">
      <c r="A244" s="61"/>
      <c r="B244" s="61"/>
      <c r="C244" s="61"/>
      <c r="D244" s="61"/>
      <c r="E244" s="61"/>
      <c r="F244" s="61"/>
      <c r="G244" s="61"/>
      <c r="H244" s="61"/>
      <c r="I244" s="61"/>
      <c r="J244" s="107"/>
      <c r="K244" s="100"/>
      <c r="L244" s="61"/>
      <c r="M244" s="61"/>
    </row>
    <row r="245">
      <c r="A245" s="65"/>
      <c r="B245" s="65"/>
      <c r="C245" s="65"/>
      <c r="D245" s="65"/>
      <c r="E245" s="65"/>
      <c r="F245" s="65"/>
      <c r="G245" s="65"/>
      <c r="H245" s="65"/>
      <c r="I245" s="65"/>
      <c r="J245" s="108"/>
      <c r="K245" s="103"/>
      <c r="L245" s="65"/>
      <c r="M245" s="65"/>
    </row>
    <row r="246">
      <c r="A246" s="61"/>
      <c r="B246" s="61"/>
      <c r="C246" s="61"/>
      <c r="D246" s="61"/>
      <c r="E246" s="61"/>
      <c r="F246" s="61"/>
      <c r="G246" s="61"/>
      <c r="H246" s="61"/>
      <c r="I246" s="61"/>
      <c r="J246" s="107"/>
      <c r="K246" s="100"/>
      <c r="L246" s="61"/>
      <c r="M246" s="61"/>
    </row>
    <row r="247">
      <c r="A247" s="65"/>
      <c r="B247" s="65"/>
      <c r="C247" s="65"/>
      <c r="D247" s="65"/>
      <c r="E247" s="65"/>
      <c r="F247" s="65"/>
      <c r="G247" s="65"/>
      <c r="H247" s="65"/>
      <c r="I247" s="65"/>
      <c r="J247" s="108"/>
      <c r="K247" s="103"/>
      <c r="L247" s="65"/>
      <c r="M247" s="65"/>
    </row>
    <row r="248">
      <c r="A248" s="61"/>
      <c r="B248" s="61"/>
      <c r="C248" s="61"/>
      <c r="D248" s="61"/>
      <c r="E248" s="61"/>
      <c r="F248" s="61"/>
      <c r="G248" s="61"/>
      <c r="H248" s="61"/>
      <c r="I248" s="61"/>
      <c r="J248" s="107"/>
      <c r="K248" s="100"/>
      <c r="L248" s="61"/>
      <c r="M248" s="61"/>
    </row>
    <row r="249">
      <c r="A249" s="65"/>
      <c r="B249" s="65"/>
      <c r="C249" s="65"/>
      <c r="D249" s="65"/>
      <c r="E249" s="65"/>
      <c r="F249" s="65"/>
      <c r="G249" s="65"/>
      <c r="H249" s="65"/>
      <c r="I249" s="65"/>
      <c r="J249" s="108"/>
      <c r="K249" s="103"/>
      <c r="L249" s="65"/>
      <c r="M249" s="65"/>
    </row>
    <row r="250">
      <c r="A250" s="61"/>
      <c r="B250" s="61"/>
      <c r="C250" s="61"/>
      <c r="D250" s="61"/>
      <c r="E250" s="61"/>
      <c r="F250" s="61"/>
      <c r="G250" s="61"/>
      <c r="H250" s="61"/>
      <c r="I250" s="61"/>
      <c r="J250" s="107"/>
      <c r="K250" s="100"/>
      <c r="L250" s="61"/>
      <c r="M250" s="61"/>
    </row>
    <row r="251">
      <c r="A251" s="65"/>
      <c r="B251" s="65"/>
      <c r="C251" s="65"/>
      <c r="D251" s="65"/>
      <c r="E251" s="65"/>
      <c r="F251" s="65"/>
      <c r="G251" s="65"/>
      <c r="H251" s="65"/>
      <c r="I251" s="65"/>
      <c r="J251" s="108"/>
      <c r="K251" s="103"/>
      <c r="L251" s="65"/>
      <c r="M251" s="65"/>
    </row>
    <row r="252">
      <c r="A252" s="61"/>
      <c r="B252" s="61"/>
      <c r="C252" s="61"/>
      <c r="D252" s="61"/>
      <c r="E252" s="61"/>
      <c r="F252" s="61"/>
      <c r="G252" s="61"/>
      <c r="H252" s="61"/>
      <c r="I252" s="61"/>
      <c r="J252" s="107"/>
      <c r="K252" s="100"/>
      <c r="L252" s="61"/>
      <c r="M252" s="61"/>
    </row>
    <row r="253">
      <c r="A253" s="65"/>
      <c r="B253" s="65"/>
      <c r="C253" s="65"/>
      <c r="D253" s="65"/>
      <c r="E253" s="65"/>
      <c r="F253" s="65"/>
      <c r="G253" s="65"/>
      <c r="H253" s="65"/>
      <c r="I253" s="65"/>
      <c r="J253" s="108"/>
      <c r="K253" s="103"/>
      <c r="L253" s="65"/>
      <c r="M253" s="65"/>
    </row>
    <row r="254">
      <c r="A254" s="61"/>
      <c r="B254" s="61"/>
      <c r="C254" s="61"/>
      <c r="D254" s="61"/>
      <c r="E254" s="61"/>
      <c r="F254" s="61"/>
      <c r="G254" s="61"/>
      <c r="H254" s="61"/>
      <c r="I254" s="61"/>
      <c r="J254" s="107"/>
      <c r="K254" s="100"/>
      <c r="L254" s="61"/>
      <c r="M254" s="61"/>
    </row>
    <row r="255">
      <c r="A255" s="65"/>
      <c r="B255" s="65"/>
      <c r="C255" s="65"/>
      <c r="D255" s="65"/>
      <c r="E255" s="65"/>
      <c r="F255" s="65"/>
      <c r="G255" s="65"/>
      <c r="H255" s="65"/>
      <c r="I255" s="65"/>
      <c r="J255" s="108"/>
      <c r="K255" s="103"/>
      <c r="L255" s="65"/>
      <c r="M255" s="65"/>
    </row>
    <row r="256">
      <c r="A256" s="61"/>
      <c r="B256" s="61"/>
      <c r="C256" s="61"/>
      <c r="D256" s="61"/>
      <c r="E256" s="61"/>
      <c r="F256" s="61"/>
      <c r="G256" s="61"/>
      <c r="H256" s="61"/>
      <c r="I256" s="61"/>
      <c r="J256" s="107"/>
      <c r="K256" s="100"/>
      <c r="L256" s="61"/>
      <c r="M256" s="61"/>
    </row>
    <row r="257">
      <c r="A257" s="65"/>
      <c r="B257" s="65"/>
      <c r="C257" s="65"/>
      <c r="D257" s="65"/>
      <c r="E257" s="65"/>
      <c r="F257" s="65"/>
      <c r="G257" s="65"/>
      <c r="H257" s="65"/>
      <c r="I257" s="65"/>
      <c r="J257" s="108"/>
      <c r="K257" s="103"/>
      <c r="L257" s="65"/>
      <c r="M257" s="65"/>
    </row>
    <row r="258">
      <c r="A258" s="61"/>
      <c r="B258" s="61"/>
      <c r="C258" s="61"/>
      <c r="D258" s="61"/>
      <c r="E258" s="61"/>
      <c r="F258" s="61"/>
      <c r="G258" s="61"/>
      <c r="H258" s="61"/>
      <c r="I258" s="61"/>
      <c r="J258" s="107"/>
      <c r="K258" s="100"/>
      <c r="L258" s="61"/>
      <c r="M258" s="61"/>
    </row>
    <row r="259">
      <c r="A259" s="65"/>
      <c r="B259" s="65"/>
      <c r="C259" s="65"/>
      <c r="D259" s="65"/>
      <c r="E259" s="65"/>
      <c r="F259" s="65"/>
      <c r="G259" s="65"/>
      <c r="H259" s="65"/>
      <c r="I259" s="65"/>
      <c r="J259" s="108"/>
      <c r="K259" s="103"/>
      <c r="L259" s="65"/>
      <c r="M259" s="65"/>
    </row>
    <row r="260">
      <c r="A260" s="61"/>
      <c r="B260" s="61"/>
      <c r="C260" s="61"/>
      <c r="D260" s="61"/>
      <c r="E260" s="61"/>
      <c r="F260" s="61"/>
      <c r="G260" s="61"/>
      <c r="H260" s="61"/>
      <c r="I260" s="61"/>
      <c r="J260" s="107"/>
      <c r="K260" s="100"/>
      <c r="L260" s="61"/>
      <c r="M260" s="61"/>
    </row>
    <row r="261">
      <c r="A261" s="65"/>
      <c r="B261" s="65"/>
      <c r="C261" s="65"/>
      <c r="D261" s="65"/>
      <c r="E261" s="65"/>
      <c r="F261" s="65"/>
      <c r="G261" s="65"/>
      <c r="H261" s="65"/>
      <c r="I261" s="65"/>
      <c r="J261" s="108"/>
      <c r="K261" s="103"/>
      <c r="L261" s="65"/>
      <c r="M261" s="65"/>
    </row>
    <row r="262">
      <c r="A262" s="61"/>
      <c r="B262" s="61"/>
      <c r="C262" s="61"/>
      <c r="D262" s="61"/>
      <c r="E262" s="61"/>
      <c r="F262" s="61"/>
      <c r="G262" s="61"/>
      <c r="H262" s="61"/>
      <c r="I262" s="61"/>
      <c r="J262" s="107"/>
      <c r="K262" s="100"/>
      <c r="L262" s="61"/>
      <c r="M262" s="61"/>
    </row>
    <row r="263">
      <c r="A263" s="65"/>
      <c r="B263" s="65"/>
      <c r="C263" s="65"/>
      <c r="D263" s="65"/>
      <c r="E263" s="65"/>
      <c r="F263" s="65"/>
      <c r="G263" s="65"/>
      <c r="H263" s="65"/>
      <c r="I263" s="65"/>
      <c r="J263" s="108"/>
      <c r="K263" s="103"/>
      <c r="L263" s="65"/>
      <c r="M263" s="65"/>
    </row>
    <row r="264">
      <c r="A264" s="61"/>
      <c r="B264" s="61"/>
      <c r="C264" s="61"/>
      <c r="D264" s="61"/>
      <c r="E264" s="61"/>
      <c r="F264" s="61"/>
      <c r="G264" s="61"/>
      <c r="H264" s="61"/>
      <c r="I264" s="61"/>
      <c r="J264" s="107"/>
      <c r="K264" s="100"/>
      <c r="L264" s="61"/>
      <c r="M264" s="61"/>
    </row>
    <row r="265">
      <c r="A265" s="65"/>
      <c r="B265" s="65"/>
      <c r="C265" s="65"/>
      <c r="D265" s="65"/>
      <c r="E265" s="65"/>
      <c r="F265" s="65"/>
      <c r="G265" s="65"/>
      <c r="H265" s="65"/>
      <c r="I265" s="65"/>
      <c r="J265" s="108"/>
      <c r="K265" s="103"/>
      <c r="L265" s="65"/>
      <c r="M265" s="65"/>
    </row>
    <row r="266">
      <c r="A266" s="61"/>
      <c r="B266" s="61"/>
      <c r="C266" s="61"/>
      <c r="D266" s="61"/>
      <c r="E266" s="61"/>
      <c r="F266" s="61"/>
      <c r="G266" s="61"/>
      <c r="H266" s="61"/>
      <c r="I266" s="61"/>
      <c r="J266" s="107"/>
      <c r="K266" s="100"/>
      <c r="L266" s="61"/>
      <c r="M266" s="61"/>
    </row>
    <row r="267">
      <c r="A267" s="65"/>
      <c r="B267" s="65"/>
      <c r="C267" s="65"/>
      <c r="D267" s="65"/>
      <c r="E267" s="65"/>
      <c r="F267" s="65"/>
      <c r="G267" s="65"/>
      <c r="H267" s="65"/>
      <c r="I267" s="65"/>
      <c r="J267" s="108"/>
      <c r="K267" s="103"/>
      <c r="L267" s="65"/>
      <c r="M267" s="65"/>
    </row>
    <row r="268">
      <c r="A268" s="61"/>
      <c r="B268" s="61"/>
      <c r="C268" s="61"/>
      <c r="D268" s="61"/>
      <c r="E268" s="61"/>
      <c r="F268" s="61"/>
      <c r="G268" s="61"/>
      <c r="H268" s="61"/>
      <c r="I268" s="61"/>
      <c r="J268" s="107"/>
      <c r="K268" s="100"/>
      <c r="L268" s="61"/>
      <c r="M268" s="61"/>
    </row>
    <row r="269">
      <c r="A269" s="65"/>
      <c r="B269" s="65"/>
      <c r="C269" s="65"/>
      <c r="D269" s="65"/>
      <c r="E269" s="65"/>
      <c r="F269" s="65"/>
      <c r="G269" s="65"/>
      <c r="H269" s="65"/>
      <c r="I269" s="65"/>
      <c r="J269" s="108"/>
      <c r="K269" s="103"/>
      <c r="L269" s="65"/>
      <c r="M269" s="65"/>
    </row>
    <row r="270">
      <c r="A270" s="61"/>
      <c r="B270" s="61"/>
      <c r="C270" s="61"/>
      <c r="D270" s="61"/>
      <c r="E270" s="61"/>
      <c r="F270" s="61"/>
      <c r="G270" s="61"/>
      <c r="H270" s="61"/>
      <c r="I270" s="61"/>
      <c r="J270" s="107"/>
      <c r="K270" s="100"/>
      <c r="L270" s="61"/>
      <c r="M270" s="61"/>
    </row>
    <row r="271">
      <c r="A271" s="65"/>
      <c r="B271" s="65"/>
      <c r="C271" s="65"/>
      <c r="D271" s="65"/>
      <c r="E271" s="65"/>
      <c r="F271" s="65"/>
      <c r="G271" s="65"/>
      <c r="H271" s="65"/>
      <c r="I271" s="65"/>
      <c r="J271" s="108"/>
      <c r="K271" s="103"/>
      <c r="L271" s="65"/>
      <c r="M271" s="65"/>
    </row>
    <row r="272">
      <c r="A272" s="61"/>
      <c r="B272" s="61"/>
      <c r="C272" s="61"/>
      <c r="D272" s="61"/>
      <c r="E272" s="61"/>
      <c r="F272" s="61"/>
      <c r="G272" s="61"/>
      <c r="H272" s="61"/>
      <c r="I272" s="61"/>
      <c r="J272" s="107"/>
      <c r="K272" s="100"/>
      <c r="L272" s="61"/>
      <c r="M272" s="61"/>
    </row>
    <row r="273">
      <c r="A273" s="65"/>
      <c r="B273" s="65"/>
      <c r="C273" s="65"/>
      <c r="D273" s="65"/>
      <c r="E273" s="65"/>
      <c r="F273" s="65"/>
      <c r="G273" s="65"/>
      <c r="H273" s="65"/>
      <c r="I273" s="65"/>
      <c r="J273" s="108"/>
      <c r="K273" s="103"/>
      <c r="L273" s="65"/>
      <c r="M273" s="65"/>
    </row>
    <row r="274">
      <c r="A274" s="61"/>
      <c r="B274" s="61"/>
      <c r="C274" s="61"/>
      <c r="D274" s="61"/>
      <c r="E274" s="61"/>
      <c r="F274" s="61"/>
      <c r="G274" s="61"/>
      <c r="H274" s="61"/>
      <c r="I274" s="61"/>
      <c r="J274" s="107"/>
      <c r="K274" s="100"/>
      <c r="L274" s="61"/>
      <c r="M274" s="61"/>
    </row>
    <row r="275">
      <c r="A275" s="65"/>
      <c r="B275" s="65"/>
      <c r="C275" s="65"/>
      <c r="D275" s="65"/>
      <c r="E275" s="65"/>
      <c r="F275" s="65"/>
      <c r="G275" s="65"/>
      <c r="H275" s="65"/>
      <c r="I275" s="65"/>
      <c r="J275" s="108"/>
      <c r="K275" s="103"/>
      <c r="L275" s="65"/>
      <c r="M275" s="65"/>
    </row>
    <row r="276">
      <c r="A276" s="61"/>
      <c r="B276" s="61"/>
      <c r="C276" s="61"/>
      <c r="D276" s="61"/>
      <c r="E276" s="61"/>
      <c r="F276" s="61"/>
      <c r="G276" s="61"/>
      <c r="H276" s="61"/>
      <c r="I276" s="61"/>
      <c r="J276" s="107"/>
      <c r="K276" s="100"/>
      <c r="L276" s="61"/>
      <c r="M276" s="61"/>
    </row>
    <row r="277">
      <c r="A277" s="65"/>
      <c r="B277" s="65"/>
      <c r="C277" s="65"/>
      <c r="D277" s="65"/>
      <c r="E277" s="65"/>
      <c r="F277" s="65"/>
      <c r="G277" s="65"/>
      <c r="H277" s="65"/>
      <c r="I277" s="65"/>
      <c r="J277" s="108"/>
      <c r="K277" s="103"/>
      <c r="L277" s="65"/>
      <c r="M277" s="65"/>
    </row>
    <row r="278">
      <c r="A278" s="61"/>
      <c r="B278" s="61"/>
      <c r="C278" s="61"/>
      <c r="D278" s="61"/>
      <c r="E278" s="61"/>
      <c r="F278" s="61"/>
      <c r="G278" s="61"/>
      <c r="H278" s="61"/>
      <c r="I278" s="61"/>
      <c r="J278" s="107"/>
      <c r="K278" s="100"/>
      <c r="L278" s="61"/>
      <c r="M278" s="61"/>
    </row>
    <row r="279">
      <c r="A279" s="65"/>
      <c r="B279" s="65"/>
      <c r="C279" s="65"/>
      <c r="D279" s="65"/>
      <c r="E279" s="65"/>
      <c r="F279" s="65"/>
      <c r="G279" s="65"/>
      <c r="H279" s="65"/>
      <c r="I279" s="65"/>
      <c r="J279" s="108"/>
      <c r="K279" s="103"/>
      <c r="L279" s="65"/>
      <c r="M279" s="65"/>
    </row>
    <row r="280">
      <c r="A280" s="61"/>
      <c r="B280" s="61"/>
      <c r="C280" s="61"/>
      <c r="D280" s="61"/>
      <c r="E280" s="61"/>
      <c r="F280" s="61"/>
      <c r="G280" s="61"/>
      <c r="H280" s="61"/>
      <c r="I280" s="61"/>
      <c r="J280" s="107"/>
      <c r="K280" s="100"/>
      <c r="L280" s="61"/>
      <c r="M280" s="61"/>
    </row>
    <row r="281">
      <c r="A281" s="65"/>
      <c r="B281" s="65"/>
      <c r="C281" s="65"/>
      <c r="D281" s="65"/>
      <c r="E281" s="65"/>
      <c r="F281" s="65"/>
      <c r="G281" s="65"/>
      <c r="H281" s="65"/>
      <c r="I281" s="65"/>
      <c r="J281" s="108"/>
      <c r="K281" s="103"/>
      <c r="L281" s="65"/>
      <c r="M281" s="65"/>
    </row>
    <row r="282">
      <c r="A282" s="61"/>
      <c r="B282" s="61"/>
      <c r="C282" s="61"/>
      <c r="D282" s="61"/>
      <c r="E282" s="61"/>
      <c r="F282" s="61"/>
      <c r="G282" s="61"/>
      <c r="H282" s="61"/>
      <c r="I282" s="61"/>
      <c r="J282" s="107"/>
      <c r="K282" s="100"/>
      <c r="L282" s="61"/>
      <c r="M282" s="61"/>
    </row>
    <row r="283">
      <c r="A283" s="65"/>
      <c r="B283" s="65"/>
      <c r="C283" s="65"/>
      <c r="D283" s="65"/>
      <c r="E283" s="65"/>
      <c r="F283" s="65"/>
      <c r="G283" s="65"/>
      <c r="H283" s="65"/>
      <c r="I283" s="65"/>
      <c r="J283" s="108"/>
      <c r="K283" s="103"/>
      <c r="L283" s="65"/>
      <c r="M283" s="65"/>
    </row>
    <row r="284">
      <c r="A284" s="61"/>
      <c r="B284" s="61"/>
      <c r="C284" s="61"/>
      <c r="D284" s="61"/>
      <c r="E284" s="61"/>
      <c r="F284" s="61"/>
      <c r="G284" s="61"/>
      <c r="H284" s="61"/>
      <c r="I284" s="61"/>
      <c r="J284" s="107"/>
      <c r="K284" s="100"/>
      <c r="L284" s="61"/>
      <c r="M284" s="61"/>
    </row>
    <row r="285">
      <c r="A285" s="65"/>
      <c r="B285" s="65"/>
      <c r="C285" s="65"/>
      <c r="D285" s="65"/>
      <c r="E285" s="65"/>
      <c r="F285" s="65"/>
      <c r="G285" s="65"/>
      <c r="H285" s="65"/>
      <c r="I285" s="65"/>
      <c r="J285" s="108"/>
      <c r="K285" s="103"/>
      <c r="L285" s="65"/>
      <c r="M285" s="65"/>
    </row>
    <row r="286">
      <c r="A286" s="61"/>
      <c r="B286" s="61"/>
      <c r="C286" s="61"/>
      <c r="D286" s="61"/>
      <c r="E286" s="61"/>
      <c r="F286" s="61"/>
      <c r="G286" s="61"/>
      <c r="H286" s="61"/>
      <c r="I286" s="61"/>
      <c r="J286" s="107"/>
      <c r="K286" s="100"/>
      <c r="L286" s="61"/>
      <c r="M286" s="61"/>
    </row>
    <row r="287">
      <c r="A287" s="65"/>
      <c r="B287" s="65"/>
      <c r="C287" s="65"/>
      <c r="D287" s="65"/>
      <c r="E287" s="65"/>
      <c r="F287" s="65"/>
      <c r="G287" s="65"/>
      <c r="H287" s="65"/>
      <c r="I287" s="65"/>
      <c r="J287" s="108"/>
      <c r="K287" s="103"/>
      <c r="L287" s="65"/>
      <c r="M287" s="65"/>
    </row>
    <row r="288">
      <c r="A288" s="61"/>
      <c r="B288" s="61"/>
      <c r="C288" s="61"/>
      <c r="D288" s="61"/>
      <c r="E288" s="61"/>
      <c r="F288" s="61"/>
      <c r="G288" s="61"/>
      <c r="H288" s="61"/>
      <c r="I288" s="61"/>
      <c r="J288" s="107"/>
      <c r="K288" s="100"/>
      <c r="L288" s="61"/>
      <c r="M288" s="61"/>
    </row>
    <row r="289">
      <c r="A289" s="65"/>
      <c r="B289" s="65"/>
      <c r="C289" s="65"/>
      <c r="D289" s="65"/>
      <c r="E289" s="65"/>
      <c r="F289" s="65"/>
      <c r="G289" s="65"/>
      <c r="H289" s="65"/>
      <c r="I289" s="65"/>
      <c r="J289" s="108"/>
      <c r="K289" s="103"/>
      <c r="L289" s="65"/>
      <c r="M289" s="65"/>
    </row>
    <row r="290">
      <c r="A290" s="61"/>
      <c r="B290" s="61"/>
      <c r="C290" s="61"/>
      <c r="D290" s="61"/>
      <c r="E290" s="61"/>
      <c r="F290" s="61"/>
      <c r="G290" s="61"/>
      <c r="H290" s="61"/>
      <c r="I290" s="61"/>
      <c r="J290" s="107"/>
      <c r="K290" s="100"/>
      <c r="L290" s="61"/>
      <c r="M290" s="61"/>
    </row>
    <row r="291">
      <c r="A291" s="65"/>
      <c r="B291" s="65"/>
      <c r="C291" s="65"/>
      <c r="D291" s="65"/>
      <c r="E291" s="65"/>
      <c r="F291" s="65"/>
      <c r="G291" s="65"/>
      <c r="H291" s="65"/>
      <c r="I291" s="65"/>
      <c r="J291" s="108"/>
      <c r="K291" s="103"/>
      <c r="L291" s="65"/>
      <c r="M291" s="65"/>
    </row>
    <row r="292">
      <c r="A292" s="61"/>
      <c r="B292" s="61"/>
      <c r="C292" s="61"/>
      <c r="D292" s="61"/>
      <c r="E292" s="61"/>
      <c r="F292" s="61"/>
      <c r="G292" s="61"/>
      <c r="H292" s="61"/>
      <c r="I292" s="61"/>
      <c r="J292" s="107"/>
      <c r="K292" s="100"/>
      <c r="L292" s="61"/>
      <c r="M292" s="61"/>
    </row>
    <row r="293">
      <c r="A293" s="65"/>
      <c r="B293" s="65"/>
      <c r="C293" s="65"/>
      <c r="D293" s="65"/>
      <c r="E293" s="65"/>
      <c r="F293" s="65"/>
      <c r="G293" s="65"/>
      <c r="H293" s="65"/>
      <c r="I293" s="65"/>
      <c r="J293" s="108"/>
      <c r="K293" s="103"/>
      <c r="L293" s="65"/>
      <c r="M293" s="65"/>
    </row>
    <row r="294">
      <c r="A294" s="61"/>
      <c r="B294" s="61"/>
      <c r="C294" s="61"/>
      <c r="D294" s="61"/>
      <c r="E294" s="61"/>
      <c r="F294" s="61"/>
      <c r="G294" s="61"/>
      <c r="H294" s="61"/>
      <c r="I294" s="61"/>
      <c r="J294" s="107"/>
      <c r="K294" s="100"/>
      <c r="L294" s="61"/>
      <c r="M294" s="61"/>
    </row>
    <row r="295">
      <c r="A295" s="65"/>
      <c r="B295" s="65"/>
      <c r="C295" s="65"/>
      <c r="D295" s="65"/>
      <c r="E295" s="65"/>
      <c r="F295" s="65"/>
      <c r="G295" s="65"/>
      <c r="H295" s="65"/>
      <c r="I295" s="65"/>
      <c r="J295" s="108"/>
      <c r="K295" s="103"/>
      <c r="L295" s="65"/>
      <c r="M295" s="65"/>
    </row>
    <row r="296">
      <c r="A296" s="61"/>
      <c r="B296" s="61"/>
      <c r="C296" s="61"/>
      <c r="D296" s="61"/>
      <c r="E296" s="61"/>
      <c r="F296" s="61"/>
      <c r="G296" s="61"/>
      <c r="H296" s="61"/>
      <c r="I296" s="61"/>
      <c r="J296" s="107"/>
      <c r="K296" s="100"/>
      <c r="L296" s="61"/>
      <c r="M296" s="61"/>
    </row>
    <row r="297">
      <c r="A297" s="65"/>
      <c r="B297" s="65"/>
      <c r="C297" s="65"/>
      <c r="D297" s="65"/>
      <c r="E297" s="65"/>
      <c r="F297" s="65"/>
      <c r="G297" s="65"/>
      <c r="H297" s="65"/>
      <c r="I297" s="65"/>
      <c r="J297" s="108"/>
      <c r="K297" s="103"/>
      <c r="L297" s="65"/>
      <c r="M297" s="65"/>
    </row>
    <row r="298">
      <c r="A298" s="61"/>
      <c r="B298" s="61"/>
      <c r="C298" s="61"/>
      <c r="D298" s="61"/>
      <c r="E298" s="61"/>
      <c r="F298" s="61"/>
      <c r="G298" s="61"/>
      <c r="H298" s="61"/>
      <c r="I298" s="61"/>
      <c r="J298" s="107"/>
      <c r="K298" s="100"/>
      <c r="L298" s="61"/>
      <c r="M298" s="61"/>
    </row>
    <row r="299">
      <c r="A299" s="65"/>
      <c r="B299" s="65"/>
      <c r="C299" s="65"/>
      <c r="D299" s="65"/>
      <c r="E299" s="65"/>
      <c r="F299" s="65"/>
      <c r="G299" s="65"/>
      <c r="H299" s="65"/>
      <c r="I299" s="65"/>
      <c r="J299" s="108"/>
      <c r="K299" s="103"/>
      <c r="L299" s="65"/>
      <c r="M299" s="65"/>
    </row>
    <row r="300">
      <c r="A300" s="61"/>
      <c r="B300" s="61"/>
      <c r="C300" s="61"/>
      <c r="D300" s="61"/>
      <c r="E300" s="61"/>
      <c r="F300" s="61"/>
      <c r="G300" s="61"/>
      <c r="H300" s="61"/>
      <c r="I300" s="61"/>
      <c r="J300" s="107"/>
      <c r="K300" s="100"/>
      <c r="L300" s="61"/>
      <c r="M300" s="61"/>
    </row>
    <row r="301">
      <c r="A301" s="65"/>
      <c r="B301" s="65"/>
      <c r="C301" s="65"/>
      <c r="D301" s="65"/>
      <c r="E301" s="65"/>
      <c r="F301" s="65"/>
      <c r="G301" s="65"/>
      <c r="H301" s="65"/>
      <c r="I301" s="65"/>
      <c r="J301" s="108"/>
      <c r="K301" s="103"/>
      <c r="L301" s="65"/>
      <c r="M301" s="65"/>
    </row>
    <row r="302">
      <c r="A302" s="61"/>
      <c r="B302" s="61"/>
      <c r="C302" s="61"/>
      <c r="D302" s="61"/>
      <c r="E302" s="61"/>
      <c r="F302" s="61"/>
      <c r="G302" s="61"/>
      <c r="H302" s="61"/>
      <c r="I302" s="61"/>
      <c r="J302" s="107"/>
      <c r="K302" s="100"/>
      <c r="L302" s="61"/>
      <c r="M302" s="61"/>
    </row>
    <row r="303">
      <c r="A303" s="65"/>
      <c r="B303" s="65"/>
      <c r="C303" s="65"/>
      <c r="D303" s="65"/>
      <c r="E303" s="65"/>
      <c r="F303" s="65"/>
      <c r="G303" s="65"/>
      <c r="H303" s="65"/>
      <c r="I303" s="65"/>
      <c r="J303" s="108"/>
      <c r="K303" s="103"/>
      <c r="L303" s="65"/>
      <c r="M303" s="65"/>
    </row>
    <row r="304">
      <c r="A304" s="61"/>
      <c r="B304" s="61"/>
      <c r="C304" s="61"/>
      <c r="D304" s="61"/>
      <c r="E304" s="61"/>
      <c r="F304" s="61"/>
      <c r="G304" s="61"/>
      <c r="H304" s="61"/>
      <c r="I304" s="61"/>
      <c r="J304" s="107"/>
      <c r="K304" s="100"/>
      <c r="L304" s="61"/>
      <c r="M304" s="61"/>
    </row>
    <row r="305">
      <c r="A305" s="65"/>
      <c r="B305" s="65"/>
      <c r="C305" s="65"/>
      <c r="D305" s="65"/>
      <c r="E305" s="65"/>
      <c r="F305" s="65"/>
      <c r="G305" s="65"/>
      <c r="H305" s="65"/>
      <c r="I305" s="65"/>
      <c r="J305" s="108"/>
      <c r="K305" s="103"/>
      <c r="L305" s="65"/>
      <c r="M305" s="65"/>
    </row>
    <row r="306">
      <c r="A306" s="61"/>
      <c r="B306" s="61"/>
      <c r="C306" s="61"/>
      <c r="D306" s="61"/>
      <c r="E306" s="61"/>
      <c r="F306" s="61"/>
      <c r="G306" s="61"/>
      <c r="H306" s="61"/>
      <c r="I306" s="61"/>
      <c r="J306" s="107"/>
      <c r="K306" s="100"/>
      <c r="L306" s="61"/>
      <c r="M306" s="61"/>
    </row>
    <row r="307">
      <c r="A307" s="65"/>
      <c r="B307" s="65"/>
      <c r="C307" s="65"/>
      <c r="D307" s="65"/>
      <c r="E307" s="65"/>
      <c r="F307" s="65"/>
      <c r="G307" s="65"/>
      <c r="H307" s="65"/>
      <c r="I307" s="65"/>
      <c r="J307" s="108"/>
      <c r="K307" s="103"/>
      <c r="L307" s="65"/>
      <c r="M307" s="65"/>
    </row>
    <row r="308">
      <c r="A308" s="61"/>
      <c r="B308" s="61"/>
      <c r="C308" s="61"/>
      <c r="D308" s="61"/>
      <c r="E308" s="61"/>
      <c r="F308" s="61"/>
      <c r="G308" s="61"/>
      <c r="H308" s="61"/>
      <c r="I308" s="61"/>
      <c r="J308" s="107"/>
      <c r="K308" s="100"/>
      <c r="L308" s="61"/>
      <c r="M308" s="61"/>
    </row>
    <row r="309">
      <c r="A309" s="65"/>
      <c r="B309" s="65"/>
      <c r="C309" s="65"/>
      <c r="D309" s="65"/>
      <c r="E309" s="65"/>
      <c r="F309" s="65"/>
      <c r="G309" s="65"/>
      <c r="H309" s="65"/>
      <c r="I309" s="65"/>
      <c r="J309" s="108"/>
      <c r="K309" s="103"/>
      <c r="L309" s="65"/>
      <c r="M309" s="65"/>
    </row>
    <row r="310">
      <c r="A310" s="61"/>
      <c r="B310" s="61"/>
      <c r="C310" s="61"/>
      <c r="D310" s="61"/>
      <c r="E310" s="61"/>
      <c r="F310" s="61"/>
      <c r="G310" s="61"/>
      <c r="H310" s="61"/>
      <c r="I310" s="61"/>
      <c r="J310" s="107"/>
      <c r="K310" s="100"/>
      <c r="L310" s="61"/>
      <c r="M310" s="61"/>
    </row>
    <row r="311">
      <c r="A311" s="65"/>
      <c r="B311" s="65"/>
      <c r="C311" s="65"/>
      <c r="D311" s="65"/>
      <c r="E311" s="65"/>
      <c r="F311" s="65"/>
      <c r="G311" s="65"/>
      <c r="H311" s="65"/>
      <c r="I311" s="65"/>
      <c r="J311" s="108"/>
      <c r="K311" s="103"/>
      <c r="L311" s="65"/>
      <c r="M311" s="65"/>
    </row>
    <row r="312">
      <c r="A312" s="61"/>
      <c r="B312" s="61"/>
      <c r="C312" s="61"/>
      <c r="D312" s="61"/>
      <c r="E312" s="61"/>
      <c r="F312" s="61"/>
      <c r="G312" s="61"/>
      <c r="H312" s="61"/>
      <c r="I312" s="61"/>
      <c r="J312" s="107"/>
      <c r="K312" s="100"/>
      <c r="L312" s="61"/>
      <c r="M312" s="61"/>
    </row>
    <row r="313">
      <c r="A313" s="65"/>
      <c r="B313" s="65"/>
      <c r="C313" s="65"/>
      <c r="D313" s="65"/>
      <c r="E313" s="65"/>
      <c r="F313" s="65"/>
      <c r="G313" s="65"/>
      <c r="H313" s="65"/>
      <c r="I313" s="65"/>
      <c r="J313" s="108"/>
      <c r="K313" s="103"/>
      <c r="L313" s="65"/>
      <c r="M313" s="65"/>
    </row>
    <row r="314">
      <c r="A314" s="61"/>
      <c r="B314" s="61"/>
      <c r="C314" s="61"/>
      <c r="D314" s="61"/>
      <c r="E314" s="61"/>
      <c r="F314" s="61"/>
      <c r="G314" s="61"/>
      <c r="H314" s="61"/>
      <c r="I314" s="61"/>
      <c r="J314" s="107"/>
      <c r="K314" s="100"/>
      <c r="L314" s="61"/>
      <c r="M314" s="61"/>
    </row>
    <row r="315">
      <c r="A315" s="65"/>
      <c r="B315" s="65"/>
      <c r="C315" s="65"/>
      <c r="D315" s="65"/>
      <c r="E315" s="65"/>
      <c r="F315" s="65"/>
      <c r="G315" s="65"/>
      <c r="H315" s="65"/>
      <c r="I315" s="65"/>
      <c r="J315" s="108"/>
      <c r="K315" s="103"/>
      <c r="L315" s="65"/>
      <c r="M315" s="65"/>
    </row>
    <row r="316">
      <c r="A316" s="61"/>
      <c r="B316" s="61"/>
      <c r="C316" s="61"/>
      <c r="D316" s="61"/>
      <c r="E316" s="61"/>
      <c r="F316" s="61"/>
      <c r="G316" s="61"/>
      <c r="H316" s="61"/>
      <c r="I316" s="61"/>
      <c r="J316" s="107"/>
      <c r="K316" s="100"/>
      <c r="L316" s="61"/>
      <c r="M316" s="61"/>
    </row>
    <row r="317">
      <c r="A317" s="65"/>
      <c r="B317" s="65"/>
      <c r="C317" s="65"/>
      <c r="D317" s="65"/>
      <c r="E317" s="65"/>
      <c r="F317" s="65"/>
      <c r="G317" s="65"/>
      <c r="H317" s="65"/>
      <c r="I317" s="65"/>
      <c r="J317" s="108"/>
      <c r="K317" s="103"/>
      <c r="L317" s="65"/>
      <c r="M317" s="65"/>
    </row>
    <row r="318">
      <c r="A318" s="61"/>
      <c r="B318" s="61"/>
      <c r="C318" s="61"/>
      <c r="D318" s="61"/>
      <c r="E318" s="61"/>
      <c r="F318" s="61"/>
      <c r="G318" s="61"/>
      <c r="H318" s="61"/>
      <c r="I318" s="61"/>
      <c r="J318" s="107"/>
      <c r="K318" s="100"/>
      <c r="L318" s="61"/>
      <c r="M318" s="61"/>
    </row>
    <row r="319">
      <c r="A319" s="65"/>
      <c r="B319" s="65"/>
      <c r="C319" s="65"/>
      <c r="D319" s="65"/>
      <c r="E319" s="65"/>
      <c r="F319" s="65"/>
      <c r="G319" s="65"/>
      <c r="H319" s="65"/>
      <c r="I319" s="65"/>
      <c r="J319" s="108"/>
      <c r="K319" s="103"/>
      <c r="L319" s="65"/>
      <c r="M319" s="65"/>
    </row>
    <row r="320">
      <c r="A320" s="61"/>
      <c r="B320" s="61"/>
      <c r="C320" s="61"/>
      <c r="D320" s="61"/>
      <c r="E320" s="61"/>
      <c r="F320" s="61"/>
      <c r="G320" s="61"/>
      <c r="H320" s="61"/>
      <c r="I320" s="61"/>
      <c r="J320" s="107"/>
      <c r="K320" s="100"/>
      <c r="L320" s="61"/>
      <c r="M320" s="61"/>
    </row>
    <row r="321">
      <c r="A321" s="65"/>
      <c r="B321" s="65"/>
      <c r="C321" s="65"/>
      <c r="D321" s="65"/>
      <c r="E321" s="65"/>
      <c r="F321" s="65"/>
      <c r="G321" s="65"/>
      <c r="H321" s="65"/>
      <c r="I321" s="65"/>
      <c r="J321" s="108"/>
      <c r="K321" s="103"/>
      <c r="L321" s="65"/>
      <c r="M321" s="65"/>
    </row>
    <row r="322">
      <c r="A322" s="61"/>
      <c r="B322" s="61"/>
      <c r="C322" s="61"/>
      <c r="D322" s="61"/>
      <c r="E322" s="61"/>
      <c r="F322" s="61"/>
      <c r="G322" s="61"/>
      <c r="H322" s="61"/>
      <c r="I322" s="61"/>
      <c r="J322" s="107"/>
      <c r="K322" s="100"/>
      <c r="L322" s="61"/>
      <c r="M322" s="61"/>
    </row>
    <row r="323">
      <c r="A323" s="65"/>
      <c r="B323" s="65"/>
      <c r="C323" s="65"/>
      <c r="D323" s="65"/>
      <c r="E323" s="65"/>
      <c r="F323" s="65"/>
      <c r="G323" s="65"/>
      <c r="H323" s="65"/>
      <c r="I323" s="65"/>
      <c r="J323" s="108"/>
      <c r="K323" s="103"/>
      <c r="L323" s="65"/>
      <c r="M323" s="65"/>
    </row>
    <row r="324">
      <c r="A324" s="61"/>
      <c r="B324" s="61"/>
      <c r="C324" s="61"/>
      <c r="D324" s="61"/>
      <c r="E324" s="61"/>
      <c r="F324" s="61"/>
      <c r="G324" s="61"/>
      <c r="H324" s="61"/>
      <c r="I324" s="61"/>
      <c r="J324" s="107"/>
      <c r="K324" s="100"/>
      <c r="L324" s="61"/>
      <c r="M324" s="61"/>
    </row>
    <row r="325">
      <c r="A325" s="65"/>
      <c r="B325" s="65"/>
      <c r="C325" s="65"/>
      <c r="D325" s="65"/>
      <c r="E325" s="65"/>
      <c r="F325" s="65"/>
      <c r="G325" s="65"/>
      <c r="H325" s="65"/>
      <c r="I325" s="65"/>
      <c r="J325" s="108"/>
      <c r="K325" s="103"/>
      <c r="L325" s="65"/>
      <c r="M325" s="65"/>
    </row>
    <row r="326">
      <c r="A326" s="61"/>
      <c r="B326" s="61"/>
      <c r="C326" s="61"/>
      <c r="D326" s="61"/>
      <c r="E326" s="61"/>
      <c r="F326" s="61"/>
      <c r="G326" s="61"/>
      <c r="H326" s="61"/>
      <c r="I326" s="61"/>
      <c r="J326" s="107"/>
      <c r="K326" s="100"/>
      <c r="L326" s="61"/>
      <c r="M326" s="61"/>
    </row>
    <row r="327">
      <c r="A327" s="65"/>
      <c r="B327" s="65"/>
      <c r="C327" s="65"/>
      <c r="D327" s="65"/>
      <c r="E327" s="65"/>
      <c r="F327" s="65"/>
      <c r="G327" s="65"/>
      <c r="H327" s="65"/>
      <c r="I327" s="65"/>
      <c r="J327" s="108"/>
      <c r="K327" s="103"/>
      <c r="L327" s="65"/>
      <c r="M327" s="65"/>
    </row>
    <row r="328">
      <c r="A328" s="61"/>
      <c r="B328" s="61"/>
      <c r="C328" s="61"/>
      <c r="D328" s="61"/>
      <c r="E328" s="61"/>
      <c r="F328" s="61"/>
      <c r="G328" s="61"/>
      <c r="H328" s="61"/>
      <c r="I328" s="61"/>
      <c r="J328" s="107"/>
      <c r="K328" s="100"/>
      <c r="L328" s="61"/>
      <c r="M328" s="61"/>
    </row>
    <row r="329">
      <c r="A329" s="65"/>
      <c r="B329" s="65"/>
      <c r="C329" s="65"/>
      <c r="D329" s="65"/>
      <c r="E329" s="65"/>
      <c r="F329" s="65"/>
      <c r="G329" s="65"/>
      <c r="H329" s="65"/>
      <c r="I329" s="65"/>
      <c r="J329" s="108"/>
      <c r="K329" s="103"/>
      <c r="L329" s="65"/>
      <c r="M329" s="65"/>
    </row>
    <row r="330">
      <c r="A330" s="61"/>
      <c r="B330" s="61"/>
      <c r="C330" s="61"/>
      <c r="D330" s="61"/>
      <c r="E330" s="61"/>
      <c r="F330" s="61"/>
      <c r="G330" s="61"/>
      <c r="H330" s="61"/>
      <c r="I330" s="61"/>
      <c r="J330" s="107"/>
      <c r="K330" s="100"/>
      <c r="L330" s="61"/>
      <c r="M330" s="61"/>
    </row>
    <row r="331">
      <c r="A331" s="65"/>
      <c r="B331" s="65"/>
      <c r="C331" s="65"/>
      <c r="D331" s="65"/>
      <c r="E331" s="65"/>
      <c r="F331" s="65"/>
      <c r="G331" s="65"/>
      <c r="H331" s="65"/>
      <c r="I331" s="65"/>
      <c r="J331" s="108"/>
      <c r="K331" s="103"/>
      <c r="L331" s="65"/>
      <c r="M331" s="65"/>
    </row>
    <row r="332">
      <c r="A332" s="61"/>
      <c r="B332" s="61"/>
      <c r="C332" s="61"/>
      <c r="D332" s="61"/>
      <c r="E332" s="61"/>
      <c r="F332" s="61"/>
      <c r="G332" s="61"/>
      <c r="H332" s="61"/>
      <c r="I332" s="61"/>
      <c r="J332" s="107"/>
      <c r="K332" s="100"/>
      <c r="L332" s="61"/>
      <c r="M332" s="61"/>
    </row>
    <row r="333">
      <c r="A333" s="65"/>
      <c r="B333" s="65"/>
      <c r="C333" s="65"/>
      <c r="D333" s="65"/>
      <c r="E333" s="65"/>
      <c r="F333" s="65"/>
      <c r="G333" s="65"/>
      <c r="H333" s="65"/>
      <c r="I333" s="65"/>
      <c r="J333" s="108"/>
      <c r="K333" s="103"/>
      <c r="L333" s="65"/>
      <c r="M333" s="65"/>
    </row>
    <row r="334">
      <c r="A334" s="61"/>
      <c r="B334" s="61"/>
      <c r="C334" s="61"/>
      <c r="D334" s="61"/>
      <c r="E334" s="61"/>
      <c r="F334" s="61"/>
      <c r="G334" s="61"/>
      <c r="H334" s="61"/>
      <c r="I334" s="61"/>
      <c r="J334" s="107"/>
      <c r="K334" s="100"/>
      <c r="L334" s="61"/>
      <c r="M334" s="61"/>
    </row>
    <row r="335">
      <c r="A335" s="65"/>
      <c r="B335" s="65"/>
      <c r="C335" s="65"/>
      <c r="D335" s="65"/>
      <c r="E335" s="65"/>
      <c r="F335" s="65"/>
      <c r="G335" s="65"/>
      <c r="H335" s="65"/>
      <c r="I335" s="65"/>
      <c r="J335" s="108"/>
      <c r="K335" s="103"/>
      <c r="L335" s="65"/>
      <c r="M335" s="65"/>
    </row>
    <row r="336">
      <c r="A336" s="61"/>
      <c r="B336" s="61"/>
      <c r="C336" s="61"/>
      <c r="D336" s="61"/>
      <c r="E336" s="61"/>
      <c r="F336" s="61"/>
      <c r="G336" s="61"/>
      <c r="H336" s="61"/>
      <c r="I336" s="61"/>
      <c r="J336" s="107"/>
      <c r="K336" s="100"/>
      <c r="L336" s="61"/>
      <c r="M336" s="61"/>
    </row>
    <row r="337">
      <c r="A337" s="65"/>
      <c r="B337" s="65"/>
      <c r="C337" s="65"/>
      <c r="D337" s="65"/>
      <c r="E337" s="65"/>
      <c r="F337" s="65"/>
      <c r="G337" s="65"/>
      <c r="H337" s="65"/>
      <c r="I337" s="65"/>
      <c r="J337" s="108"/>
      <c r="K337" s="103"/>
      <c r="L337" s="65"/>
      <c r="M337" s="65"/>
    </row>
    <row r="338">
      <c r="A338" s="61"/>
      <c r="B338" s="61"/>
      <c r="C338" s="61"/>
      <c r="D338" s="61"/>
      <c r="E338" s="61"/>
      <c r="F338" s="61"/>
      <c r="G338" s="61"/>
      <c r="H338" s="61"/>
      <c r="I338" s="61"/>
      <c r="J338" s="107"/>
      <c r="K338" s="100"/>
      <c r="L338" s="61"/>
      <c r="M338" s="61"/>
    </row>
    <row r="339">
      <c r="A339" s="65"/>
      <c r="B339" s="65"/>
      <c r="C339" s="65"/>
      <c r="D339" s="65"/>
      <c r="E339" s="65"/>
      <c r="F339" s="65"/>
      <c r="G339" s="65"/>
      <c r="H339" s="65"/>
      <c r="I339" s="65"/>
      <c r="J339" s="108"/>
      <c r="K339" s="103"/>
      <c r="L339" s="65"/>
      <c r="M339" s="65"/>
    </row>
    <row r="340">
      <c r="A340" s="61"/>
      <c r="B340" s="61"/>
      <c r="C340" s="61"/>
      <c r="D340" s="61"/>
      <c r="E340" s="61"/>
      <c r="F340" s="61"/>
      <c r="G340" s="61"/>
      <c r="H340" s="61"/>
      <c r="I340" s="61"/>
      <c r="J340" s="107"/>
      <c r="K340" s="100"/>
      <c r="L340" s="61"/>
      <c r="M340" s="61"/>
    </row>
    <row r="341">
      <c r="A341" s="65"/>
      <c r="B341" s="65"/>
      <c r="C341" s="65"/>
      <c r="D341" s="65"/>
      <c r="E341" s="65"/>
      <c r="F341" s="65"/>
      <c r="G341" s="65"/>
      <c r="H341" s="65"/>
      <c r="I341" s="65"/>
      <c r="J341" s="108"/>
      <c r="K341" s="103"/>
      <c r="L341" s="65"/>
      <c r="M341" s="65"/>
    </row>
    <row r="342">
      <c r="A342" s="61"/>
      <c r="B342" s="61"/>
      <c r="C342" s="61"/>
      <c r="D342" s="61"/>
      <c r="E342" s="61"/>
      <c r="F342" s="61"/>
      <c r="G342" s="61"/>
      <c r="H342" s="61"/>
      <c r="I342" s="61"/>
      <c r="J342" s="107"/>
      <c r="K342" s="100"/>
      <c r="L342" s="61"/>
      <c r="M342" s="61"/>
    </row>
    <row r="343">
      <c r="A343" s="65"/>
      <c r="B343" s="65"/>
      <c r="C343" s="65"/>
      <c r="D343" s="65"/>
      <c r="E343" s="65"/>
      <c r="F343" s="65"/>
      <c r="G343" s="65"/>
      <c r="H343" s="65"/>
      <c r="I343" s="65"/>
      <c r="J343" s="108"/>
      <c r="K343" s="103"/>
      <c r="L343" s="65"/>
      <c r="M343" s="65"/>
    </row>
    <row r="344">
      <c r="A344" s="61"/>
      <c r="B344" s="61"/>
      <c r="C344" s="61"/>
      <c r="D344" s="61"/>
      <c r="E344" s="61"/>
      <c r="F344" s="61"/>
      <c r="G344" s="61"/>
      <c r="H344" s="61"/>
      <c r="I344" s="61"/>
      <c r="J344" s="107"/>
      <c r="K344" s="100"/>
      <c r="L344" s="61"/>
      <c r="M344" s="61"/>
    </row>
    <row r="345">
      <c r="A345" s="65"/>
      <c r="B345" s="65"/>
      <c r="C345" s="65"/>
      <c r="D345" s="65"/>
      <c r="E345" s="65"/>
      <c r="F345" s="65"/>
      <c r="G345" s="65"/>
      <c r="H345" s="65"/>
      <c r="I345" s="65"/>
      <c r="J345" s="108"/>
      <c r="K345" s="103"/>
      <c r="L345" s="65"/>
      <c r="M345" s="65"/>
    </row>
    <row r="346">
      <c r="A346" s="61"/>
      <c r="B346" s="61"/>
      <c r="C346" s="61"/>
      <c r="D346" s="61"/>
      <c r="E346" s="61"/>
      <c r="F346" s="61"/>
      <c r="G346" s="61"/>
      <c r="H346" s="61"/>
      <c r="I346" s="61"/>
      <c r="J346" s="107"/>
      <c r="K346" s="100"/>
      <c r="L346" s="61"/>
      <c r="M346" s="61"/>
    </row>
    <row r="347">
      <c r="A347" s="65"/>
      <c r="B347" s="65"/>
      <c r="C347" s="65"/>
      <c r="D347" s="65"/>
      <c r="E347" s="65"/>
      <c r="F347" s="65"/>
      <c r="G347" s="65"/>
      <c r="H347" s="65"/>
      <c r="I347" s="65"/>
      <c r="J347" s="108"/>
      <c r="K347" s="103"/>
      <c r="L347" s="65"/>
      <c r="M347" s="65"/>
    </row>
    <row r="348">
      <c r="A348" s="61"/>
      <c r="B348" s="61"/>
      <c r="C348" s="61"/>
      <c r="D348" s="61"/>
      <c r="E348" s="61"/>
      <c r="F348" s="61"/>
      <c r="G348" s="61"/>
      <c r="H348" s="61"/>
      <c r="I348" s="61"/>
      <c r="J348" s="107"/>
      <c r="K348" s="100"/>
      <c r="L348" s="61"/>
      <c r="M348" s="61"/>
    </row>
    <row r="349">
      <c r="A349" s="65"/>
      <c r="B349" s="65"/>
      <c r="C349" s="65"/>
      <c r="D349" s="65"/>
      <c r="E349" s="65"/>
      <c r="F349" s="65"/>
      <c r="G349" s="65"/>
      <c r="H349" s="65"/>
      <c r="I349" s="65"/>
      <c r="J349" s="108"/>
      <c r="K349" s="103"/>
      <c r="L349" s="65"/>
      <c r="M349" s="65"/>
    </row>
    <row r="350">
      <c r="A350" s="61"/>
      <c r="B350" s="61"/>
      <c r="C350" s="61"/>
      <c r="D350" s="61"/>
      <c r="E350" s="61"/>
      <c r="F350" s="61"/>
      <c r="G350" s="61"/>
      <c r="H350" s="61"/>
      <c r="I350" s="61"/>
      <c r="J350" s="107"/>
      <c r="K350" s="100"/>
      <c r="L350" s="61"/>
      <c r="M350" s="61"/>
    </row>
    <row r="351">
      <c r="A351" s="65"/>
      <c r="B351" s="65"/>
      <c r="C351" s="65"/>
      <c r="D351" s="65"/>
      <c r="E351" s="65"/>
      <c r="F351" s="65"/>
      <c r="G351" s="65"/>
      <c r="H351" s="65"/>
      <c r="I351" s="65"/>
      <c r="J351" s="108"/>
      <c r="K351" s="103"/>
      <c r="L351" s="65"/>
      <c r="M351" s="65"/>
    </row>
    <row r="352">
      <c r="A352" s="61"/>
      <c r="B352" s="61"/>
      <c r="C352" s="61"/>
      <c r="D352" s="61"/>
      <c r="E352" s="61"/>
      <c r="F352" s="61"/>
      <c r="G352" s="61"/>
      <c r="H352" s="61"/>
      <c r="I352" s="61"/>
      <c r="J352" s="107"/>
      <c r="K352" s="100"/>
      <c r="L352" s="61"/>
      <c r="M352" s="61"/>
    </row>
    <row r="353">
      <c r="A353" s="65"/>
      <c r="B353" s="65"/>
      <c r="C353" s="65"/>
      <c r="D353" s="65"/>
      <c r="E353" s="65"/>
      <c r="F353" s="65"/>
      <c r="G353" s="65"/>
      <c r="H353" s="65"/>
      <c r="I353" s="65"/>
      <c r="J353" s="108"/>
      <c r="K353" s="103"/>
      <c r="L353" s="65"/>
      <c r="M353" s="65"/>
    </row>
    <row r="354">
      <c r="A354" s="61"/>
      <c r="B354" s="61"/>
      <c r="C354" s="61"/>
      <c r="D354" s="61"/>
      <c r="E354" s="61"/>
      <c r="F354" s="61"/>
      <c r="G354" s="61"/>
      <c r="H354" s="61"/>
      <c r="I354" s="61"/>
      <c r="J354" s="107"/>
      <c r="K354" s="100"/>
      <c r="L354" s="61"/>
      <c r="M354" s="61"/>
    </row>
    <row r="355">
      <c r="A355" s="65"/>
      <c r="B355" s="65"/>
      <c r="C355" s="65"/>
      <c r="D355" s="65"/>
      <c r="E355" s="65"/>
      <c r="F355" s="65"/>
      <c r="G355" s="65"/>
      <c r="H355" s="65"/>
      <c r="I355" s="65"/>
      <c r="J355" s="108"/>
      <c r="K355" s="103"/>
      <c r="L355" s="65"/>
      <c r="M355" s="65"/>
    </row>
    <row r="356">
      <c r="A356" s="61"/>
      <c r="B356" s="61"/>
      <c r="C356" s="61"/>
      <c r="D356" s="61"/>
      <c r="E356" s="61"/>
      <c r="F356" s="61"/>
      <c r="G356" s="61"/>
      <c r="H356" s="61"/>
      <c r="I356" s="61"/>
      <c r="J356" s="107"/>
      <c r="K356" s="100"/>
      <c r="L356" s="61"/>
      <c r="M356" s="61"/>
    </row>
    <row r="357">
      <c r="A357" s="65"/>
      <c r="B357" s="65"/>
      <c r="C357" s="65"/>
      <c r="D357" s="65"/>
      <c r="E357" s="65"/>
      <c r="F357" s="65"/>
      <c r="G357" s="65"/>
      <c r="H357" s="65"/>
      <c r="I357" s="65"/>
      <c r="J357" s="108"/>
      <c r="K357" s="103"/>
      <c r="L357" s="65"/>
      <c r="M357" s="65"/>
    </row>
    <row r="358">
      <c r="A358" s="61"/>
      <c r="B358" s="61"/>
      <c r="C358" s="61"/>
      <c r="D358" s="61"/>
      <c r="E358" s="61"/>
      <c r="F358" s="61"/>
      <c r="G358" s="61"/>
      <c r="H358" s="61"/>
      <c r="I358" s="61"/>
      <c r="J358" s="107"/>
      <c r="K358" s="100"/>
      <c r="L358" s="61"/>
      <c r="M358" s="61"/>
    </row>
    <row r="359">
      <c r="A359" s="65"/>
      <c r="B359" s="65"/>
      <c r="C359" s="65"/>
      <c r="D359" s="65"/>
      <c r="E359" s="65"/>
      <c r="F359" s="65"/>
      <c r="G359" s="65"/>
      <c r="H359" s="65"/>
      <c r="I359" s="65"/>
      <c r="J359" s="108"/>
      <c r="K359" s="103"/>
      <c r="L359" s="65"/>
      <c r="M359" s="65"/>
    </row>
    <row r="360">
      <c r="A360" s="61"/>
      <c r="B360" s="61"/>
      <c r="C360" s="61"/>
      <c r="D360" s="61"/>
      <c r="E360" s="61"/>
      <c r="F360" s="61"/>
      <c r="G360" s="61"/>
      <c r="H360" s="61"/>
      <c r="I360" s="61"/>
      <c r="J360" s="107"/>
      <c r="K360" s="100"/>
      <c r="L360" s="61"/>
      <c r="M360" s="61"/>
    </row>
    <row r="361">
      <c r="A361" s="65"/>
      <c r="B361" s="65"/>
      <c r="C361" s="65"/>
      <c r="D361" s="65"/>
      <c r="E361" s="65"/>
      <c r="F361" s="65"/>
      <c r="G361" s="65"/>
      <c r="H361" s="65"/>
      <c r="I361" s="65"/>
      <c r="J361" s="108"/>
      <c r="K361" s="103"/>
      <c r="L361" s="65"/>
      <c r="M361" s="65"/>
    </row>
    <row r="362">
      <c r="A362" s="61"/>
      <c r="B362" s="61"/>
      <c r="C362" s="61"/>
      <c r="D362" s="61"/>
      <c r="E362" s="61"/>
      <c r="F362" s="61"/>
      <c r="G362" s="61"/>
      <c r="H362" s="61"/>
      <c r="I362" s="61"/>
      <c r="J362" s="107"/>
      <c r="K362" s="100"/>
      <c r="L362" s="61"/>
      <c r="M362" s="61"/>
    </row>
    <row r="363">
      <c r="A363" s="65"/>
      <c r="B363" s="65"/>
      <c r="C363" s="65"/>
      <c r="D363" s="65"/>
      <c r="E363" s="65"/>
      <c r="F363" s="65"/>
      <c r="G363" s="65"/>
      <c r="H363" s="65"/>
      <c r="I363" s="65"/>
      <c r="J363" s="108"/>
      <c r="K363" s="103"/>
      <c r="L363" s="65"/>
      <c r="M363" s="65"/>
    </row>
    <row r="364">
      <c r="A364" s="61"/>
      <c r="B364" s="61"/>
      <c r="C364" s="61"/>
      <c r="D364" s="61"/>
      <c r="E364" s="61"/>
      <c r="F364" s="61"/>
      <c r="G364" s="61"/>
      <c r="H364" s="61"/>
      <c r="I364" s="61"/>
      <c r="J364" s="107"/>
      <c r="K364" s="100"/>
      <c r="L364" s="61"/>
      <c r="M364" s="61"/>
    </row>
    <row r="365">
      <c r="A365" s="65"/>
      <c r="B365" s="65"/>
      <c r="C365" s="65"/>
      <c r="D365" s="65"/>
      <c r="E365" s="65"/>
      <c r="F365" s="65"/>
      <c r="G365" s="65"/>
      <c r="H365" s="65"/>
      <c r="I365" s="65"/>
      <c r="J365" s="108"/>
      <c r="K365" s="103"/>
      <c r="L365" s="65"/>
      <c r="M365" s="65"/>
    </row>
    <row r="366">
      <c r="A366" s="61"/>
      <c r="B366" s="61"/>
      <c r="C366" s="61"/>
      <c r="D366" s="61"/>
      <c r="E366" s="61"/>
      <c r="F366" s="61"/>
      <c r="G366" s="61"/>
      <c r="H366" s="61"/>
      <c r="I366" s="61"/>
      <c r="J366" s="107"/>
      <c r="K366" s="100"/>
      <c r="L366" s="61"/>
      <c r="M366" s="61"/>
    </row>
    <row r="367">
      <c r="A367" s="65"/>
      <c r="B367" s="65"/>
      <c r="C367" s="65"/>
      <c r="D367" s="65"/>
      <c r="E367" s="65"/>
      <c r="F367" s="65"/>
      <c r="G367" s="65"/>
      <c r="H367" s="65"/>
      <c r="I367" s="65"/>
      <c r="J367" s="108"/>
      <c r="K367" s="103"/>
      <c r="L367" s="65"/>
      <c r="M367" s="65"/>
    </row>
    <row r="368">
      <c r="A368" s="61"/>
      <c r="B368" s="61"/>
      <c r="C368" s="61"/>
      <c r="D368" s="61"/>
      <c r="E368" s="61"/>
      <c r="F368" s="61"/>
      <c r="G368" s="61"/>
      <c r="H368" s="61"/>
      <c r="I368" s="61"/>
      <c r="J368" s="107"/>
      <c r="K368" s="100"/>
      <c r="L368" s="61"/>
      <c r="M368" s="61"/>
    </row>
    <row r="369">
      <c r="A369" s="65"/>
      <c r="B369" s="65"/>
      <c r="C369" s="65"/>
      <c r="D369" s="65"/>
      <c r="E369" s="65"/>
      <c r="F369" s="65"/>
      <c r="G369" s="65"/>
      <c r="H369" s="65"/>
      <c r="I369" s="65"/>
      <c r="J369" s="108"/>
      <c r="K369" s="103"/>
      <c r="L369" s="65"/>
      <c r="M369" s="65"/>
    </row>
    <row r="370">
      <c r="A370" s="61"/>
      <c r="B370" s="61"/>
      <c r="C370" s="61"/>
      <c r="D370" s="61"/>
      <c r="E370" s="61"/>
      <c r="F370" s="61"/>
      <c r="G370" s="61"/>
      <c r="H370" s="61"/>
      <c r="I370" s="61"/>
      <c r="J370" s="107"/>
      <c r="K370" s="100"/>
      <c r="L370" s="61"/>
      <c r="M370" s="61"/>
    </row>
    <row r="371">
      <c r="A371" s="65"/>
      <c r="B371" s="65"/>
      <c r="C371" s="65"/>
      <c r="D371" s="65"/>
      <c r="E371" s="65"/>
      <c r="F371" s="65"/>
      <c r="G371" s="65"/>
      <c r="H371" s="65"/>
      <c r="I371" s="65"/>
      <c r="J371" s="108"/>
      <c r="K371" s="103"/>
      <c r="L371" s="65"/>
      <c r="M371" s="65"/>
    </row>
    <row r="372">
      <c r="A372" s="61"/>
      <c r="B372" s="61"/>
      <c r="C372" s="61"/>
      <c r="D372" s="61"/>
      <c r="E372" s="61"/>
      <c r="F372" s="61"/>
      <c r="G372" s="61"/>
      <c r="H372" s="61"/>
      <c r="I372" s="61"/>
      <c r="J372" s="107"/>
      <c r="K372" s="100"/>
      <c r="L372" s="61"/>
      <c r="M372" s="61"/>
    </row>
    <row r="373">
      <c r="A373" s="65"/>
      <c r="B373" s="65"/>
      <c r="C373" s="65"/>
      <c r="D373" s="65"/>
      <c r="E373" s="65"/>
      <c r="F373" s="65"/>
      <c r="G373" s="65"/>
      <c r="H373" s="65"/>
      <c r="I373" s="65"/>
      <c r="J373" s="108"/>
      <c r="K373" s="103"/>
      <c r="L373" s="65"/>
      <c r="M373" s="65"/>
    </row>
    <row r="374">
      <c r="A374" s="61"/>
      <c r="B374" s="61"/>
      <c r="C374" s="61"/>
      <c r="D374" s="61"/>
      <c r="E374" s="61"/>
      <c r="F374" s="61"/>
      <c r="G374" s="61"/>
      <c r="H374" s="61"/>
      <c r="I374" s="61"/>
      <c r="J374" s="107"/>
      <c r="K374" s="100"/>
      <c r="L374" s="61"/>
      <c r="M374" s="61"/>
    </row>
    <row r="375">
      <c r="A375" s="65"/>
      <c r="B375" s="65"/>
      <c r="C375" s="65"/>
      <c r="D375" s="65"/>
      <c r="E375" s="65"/>
      <c r="F375" s="65"/>
      <c r="G375" s="65"/>
      <c r="H375" s="65"/>
      <c r="I375" s="65"/>
      <c r="J375" s="108"/>
      <c r="K375" s="103"/>
      <c r="L375" s="65"/>
      <c r="M375" s="65"/>
    </row>
    <row r="376">
      <c r="A376" s="61"/>
      <c r="B376" s="61"/>
      <c r="C376" s="61"/>
      <c r="D376" s="61"/>
      <c r="E376" s="61"/>
      <c r="F376" s="61"/>
      <c r="G376" s="61"/>
      <c r="H376" s="61"/>
      <c r="I376" s="61"/>
      <c r="J376" s="107"/>
      <c r="K376" s="100"/>
      <c r="L376" s="61"/>
      <c r="M376" s="61"/>
    </row>
    <row r="377">
      <c r="A377" s="65"/>
      <c r="B377" s="65"/>
      <c r="C377" s="65"/>
      <c r="D377" s="65"/>
      <c r="E377" s="65"/>
      <c r="F377" s="65"/>
      <c r="G377" s="65"/>
      <c r="H377" s="65"/>
      <c r="I377" s="65"/>
      <c r="J377" s="108"/>
      <c r="K377" s="103"/>
      <c r="L377" s="65"/>
      <c r="M377" s="65"/>
    </row>
    <row r="378">
      <c r="A378" s="61"/>
      <c r="B378" s="61"/>
      <c r="C378" s="61"/>
      <c r="D378" s="61"/>
      <c r="E378" s="61"/>
      <c r="F378" s="61"/>
      <c r="G378" s="61"/>
      <c r="H378" s="61"/>
      <c r="I378" s="61"/>
      <c r="J378" s="107"/>
      <c r="K378" s="100"/>
      <c r="L378" s="61"/>
      <c r="M378" s="61"/>
    </row>
    <row r="379">
      <c r="A379" s="65"/>
      <c r="B379" s="65"/>
      <c r="C379" s="65"/>
      <c r="D379" s="65"/>
      <c r="E379" s="65"/>
      <c r="F379" s="65"/>
      <c r="G379" s="65"/>
      <c r="H379" s="65"/>
      <c r="I379" s="65"/>
      <c r="J379" s="108"/>
      <c r="K379" s="103"/>
      <c r="L379" s="65"/>
      <c r="M379" s="65"/>
    </row>
    <row r="380">
      <c r="A380" s="61"/>
      <c r="B380" s="61"/>
      <c r="C380" s="61"/>
      <c r="D380" s="61"/>
      <c r="E380" s="61"/>
      <c r="F380" s="61"/>
      <c r="G380" s="61"/>
      <c r="H380" s="61"/>
      <c r="I380" s="61"/>
      <c r="J380" s="107"/>
      <c r="K380" s="100"/>
      <c r="L380" s="61"/>
      <c r="M380" s="61"/>
    </row>
    <row r="381">
      <c r="A381" s="65"/>
      <c r="B381" s="65"/>
      <c r="C381" s="65"/>
      <c r="D381" s="65"/>
      <c r="E381" s="65"/>
      <c r="F381" s="65"/>
      <c r="G381" s="65"/>
      <c r="H381" s="65"/>
      <c r="I381" s="65"/>
      <c r="J381" s="108"/>
      <c r="K381" s="103"/>
      <c r="L381" s="65"/>
      <c r="M381" s="65"/>
    </row>
    <row r="382">
      <c r="A382" s="61"/>
      <c r="B382" s="61"/>
      <c r="C382" s="61"/>
      <c r="D382" s="61"/>
      <c r="E382" s="61"/>
      <c r="F382" s="61"/>
      <c r="G382" s="61"/>
      <c r="H382" s="61"/>
      <c r="I382" s="61"/>
      <c r="J382" s="107"/>
      <c r="K382" s="100"/>
      <c r="L382" s="61"/>
      <c r="M382" s="61"/>
    </row>
    <row r="383">
      <c r="A383" s="65"/>
      <c r="B383" s="65"/>
      <c r="C383" s="65"/>
      <c r="D383" s="65"/>
      <c r="E383" s="65"/>
      <c r="F383" s="65"/>
      <c r="G383" s="65"/>
      <c r="H383" s="65"/>
      <c r="I383" s="65"/>
      <c r="J383" s="108"/>
      <c r="K383" s="103"/>
      <c r="L383" s="65"/>
      <c r="M383" s="65"/>
    </row>
    <row r="384">
      <c r="A384" s="61"/>
      <c r="B384" s="61"/>
      <c r="C384" s="61"/>
      <c r="D384" s="61"/>
      <c r="E384" s="61"/>
      <c r="F384" s="61"/>
      <c r="G384" s="61"/>
      <c r="H384" s="61"/>
      <c r="I384" s="61"/>
      <c r="J384" s="107"/>
      <c r="K384" s="100"/>
      <c r="L384" s="61"/>
      <c r="M384" s="61"/>
    </row>
    <row r="385">
      <c r="A385" s="65"/>
      <c r="B385" s="65"/>
      <c r="C385" s="65"/>
      <c r="D385" s="65"/>
      <c r="E385" s="65"/>
      <c r="F385" s="65"/>
      <c r="G385" s="65"/>
      <c r="H385" s="65"/>
      <c r="I385" s="65"/>
      <c r="J385" s="108"/>
      <c r="K385" s="103"/>
      <c r="L385" s="65"/>
      <c r="M385" s="65"/>
    </row>
    <row r="386">
      <c r="A386" s="61"/>
      <c r="B386" s="61"/>
      <c r="C386" s="61"/>
      <c r="D386" s="61"/>
      <c r="E386" s="61"/>
      <c r="F386" s="61"/>
      <c r="G386" s="61"/>
      <c r="H386" s="61"/>
      <c r="I386" s="61"/>
      <c r="J386" s="107"/>
      <c r="K386" s="100"/>
      <c r="L386" s="61"/>
      <c r="M386" s="61"/>
    </row>
    <row r="387">
      <c r="A387" s="65"/>
      <c r="B387" s="65"/>
      <c r="C387" s="65"/>
      <c r="D387" s="65"/>
      <c r="E387" s="65"/>
      <c r="F387" s="65"/>
      <c r="G387" s="65"/>
      <c r="H387" s="65"/>
      <c r="I387" s="65"/>
      <c r="J387" s="108"/>
      <c r="K387" s="103"/>
      <c r="L387" s="65"/>
      <c r="M387" s="65"/>
    </row>
    <row r="388">
      <c r="A388" s="61"/>
      <c r="B388" s="61"/>
      <c r="C388" s="61"/>
      <c r="D388" s="61"/>
      <c r="E388" s="61"/>
      <c r="F388" s="61"/>
      <c r="G388" s="61"/>
      <c r="H388" s="61"/>
      <c r="I388" s="61"/>
      <c r="J388" s="107"/>
      <c r="K388" s="100"/>
      <c r="L388" s="61"/>
      <c r="M388" s="61"/>
    </row>
    <row r="389">
      <c r="A389" s="65"/>
      <c r="B389" s="65"/>
      <c r="C389" s="65"/>
      <c r="D389" s="65"/>
      <c r="E389" s="65"/>
      <c r="F389" s="65"/>
      <c r="G389" s="65"/>
      <c r="H389" s="65"/>
      <c r="I389" s="65"/>
      <c r="J389" s="108"/>
      <c r="K389" s="103"/>
      <c r="L389" s="65"/>
      <c r="M389" s="65"/>
    </row>
    <row r="390">
      <c r="A390" s="61"/>
      <c r="B390" s="61"/>
      <c r="C390" s="61"/>
      <c r="D390" s="61"/>
      <c r="E390" s="61"/>
      <c r="F390" s="61"/>
      <c r="G390" s="61"/>
      <c r="H390" s="61"/>
      <c r="I390" s="61"/>
      <c r="J390" s="107"/>
      <c r="K390" s="100"/>
      <c r="L390" s="61"/>
      <c r="M390" s="61"/>
    </row>
    <row r="391">
      <c r="A391" s="65"/>
      <c r="B391" s="65"/>
      <c r="C391" s="65"/>
      <c r="D391" s="65"/>
      <c r="E391" s="65"/>
      <c r="F391" s="65"/>
      <c r="G391" s="65"/>
      <c r="H391" s="65"/>
      <c r="I391" s="65"/>
      <c r="J391" s="108"/>
      <c r="K391" s="103"/>
      <c r="L391" s="65"/>
      <c r="M391" s="65"/>
    </row>
    <row r="392">
      <c r="A392" s="61"/>
      <c r="B392" s="61"/>
      <c r="C392" s="61"/>
      <c r="D392" s="61"/>
      <c r="E392" s="61"/>
      <c r="F392" s="61"/>
      <c r="G392" s="61"/>
      <c r="H392" s="61"/>
      <c r="I392" s="61"/>
      <c r="J392" s="107"/>
      <c r="K392" s="100"/>
      <c r="L392" s="61"/>
      <c r="M392" s="61"/>
    </row>
    <row r="393">
      <c r="A393" s="65"/>
      <c r="B393" s="65"/>
      <c r="C393" s="65"/>
      <c r="D393" s="65"/>
      <c r="E393" s="65"/>
      <c r="F393" s="65"/>
      <c r="G393" s="65"/>
      <c r="H393" s="65"/>
      <c r="I393" s="65"/>
      <c r="J393" s="108"/>
      <c r="K393" s="103"/>
      <c r="L393" s="65"/>
      <c r="M393" s="65"/>
    </row>
    <row r="394">
      <c r="A394" s="61"/>
      <c r="B394" s="61"/>
      <c r="C394" s="61"/>
      <c r="D394" s="61"/>
      <c r="E394" s="61"/>
      <c r="F394" s="61"/>
      <c r="G394" s="61"/>
      <c r="H394" s="61"/>
      <c r="I394" s="61"/>
      <c r="J394" s="107"/>
      <c r="K394" s="100"/>
      <c r="L394" s="61"/>
      <c r="M394" s="61"/>
    </row>
    <row r="395">
      <c r="A395" s="65"/>
      <c r="B395" s="65"/>
      <c r="C395" s="65"/>
      <c r="D395" s="65"/>
      <c r="E395" s="65"/>
      <c r="F395" s="65"/>
      <c r="G395" s="65"/>
      <c r="H395" s="65"/>
      <c r="I395" s="65"/>
      <c r="J395" s="108"/>
      <c r="K395" s="103"/>
      <c r="L395" s="65"/>
      <c r="M395" s="65"/>
    </row>
    <row r="396">
      <c r="A396" s="61"/>
      <c r="B396" s="61"/>
      <c r="C396" s="61"/>
      <c r="D396" s="61"/>
      <c r="E396" s="61"/>
      <c r="F396" s="61"/>
      <c r="G396" s="61"/>
      <c r="H396" s="61"/>
      <c r="I396" s="61"/>
      <c r="J396" s="107"/>
      <c r="K396" s="100"/>
      <c r="L396" s="61"/>
      <c r="M396" s="61"/>
    </row>
    <row r="397">
      <c r="A397" s="65"/>
      <c r="B397" s="65"/>
      <c r="C397" s="65"/>
      <c r="D397" s="65"/>
      <c r="E397" s="65"/>
      <c r="F397" s="65"/>
      <c r="G397" s="65"/>
      <c r="H397" s="65"/>
      <c r="I397" s="65"/>
      <c r="J397" s="108"/>
      <c r="K397" s="103"/>
      <c r="L397" s="65"/>
      <c r="M397" s="65"/>
    </row>
    <row r="398">
      <c r="A398" s="61"/>
      <c r="B398" s="61"/>
      <c r="C398" s="61"/>
      <c r="D398" s="61"/>
      <c r="E398" s="61"/>
      <c r="F398" s="61"/>
      <c r="G398" s="61"/>
      <c r="H398" s="61"/>
      <c r="I398" s="61"/>
      <c r="J398" s="107"/>
      <c r="K398" s="100"/>
      <c r="L398" s="61"/>
      <c r="M398" s="61"/>
    </row>
    <row r="399">
      <c r="A399" s="65"/>
      <c r="B399" s="65"/>
      <c r="C399" s="65"/>
      <c r="D399" s="65"/>
      <c r="E399" s="65"/>
      <c r="F399" s="65"/>
      <c r="G399" s="65"/>
      <c r="H399" s="65"/>
      <c r="I399" s="65"/>
      <c r="J399" s="108"/>
      <c r="K399" s="103"/>
      <c r="L399" s="65"/>
      <c r="M399" s="65"/>
    </row>
    <row r="400">
      <c r="A400" s="61"/>
      <c r="B400" s="61"/>
      <c r="C400" s="61"/>
      <c r="D400" s="61"/>
      <c r="E400" s="61"/>
      <c r="F400" s="61"/>
      <c r="G400" s="61"/>
      <c r="H400" s="61"/>
      <c r="I400" s="61"/>
      <c r="J400" s="107"/>
      <c r="K400" s="100"/>
      <c r="L400" s="61"/>
      <c r="M400" s="61"/>
    </row>
    <row r="401">
      <c r="A401" s="65"/>
      <c r="B401" s="65"/>
      <c r="C401" s="65"/>
      <c r="D401" s="65"/>
      <c r="E401" s="65"/>
      <c r="F401" s="65"/>
      <c r="G401" s="65"/>
      <c r="H401" s="65"/>
      <c r="I401" s="65"/>
      <c r="J401" s="108"/>
      <c r="K401" s="103"/>
      <c r="L401" s="65"/>
      <c r="M401" s="65"/>
    </row>
    <row r="402">
      <c r="A402" s="61"/>
      <c r="B402" s="61"/>
      <c r="C402" s="61"/>
      <c r="D402" s="61"/>
      <c r="E402" s="61"/>
      <c r="F402" s="61"/>
      <c r="G402" s="61"/>
      <c r="H402" s="61"/>
      <c r="I402" s="61"/>
      <c r="J402" s="107"/>
      <c r="K402" s="100"/>
      <c r="L402" s="61"/>
      <c r="M402" s="61"/>
    </row>
    <row r="403">
      <c r="A403" s="65"/>
      <c r="B403" s="65"/>
      <c r="C403" s="65"/>
      <c r="D403" s="65"/>
      <c r="E403" s="65"/>
      <c r="F403" s="65"/>
      <c r="G403" s="65"/>
      <c r="H403" s="65"/>
      <c r="I403" s="65"/>
      <c r="J403" s="108"/>
      <c r="K403" s="103"/>
      <c r="L403" s="65"/>
      <c r="M403" s="65"/>
    </row>
    <row r="404">
      <c r="A404" s="61"/>
      <c r="B404" s="61"/>
      <c r="C404" s="61"/>
      <c r="D404" s="61"/>
      <c r="E404" s="61"/>
      <c r="F404" s="61"/>
      <c r="G404" s="61"/>
      <c r="H404" s="61"/>
      <c r="I404" s="61"/>
      <c r="J404" s="107"/>
      <c r="K404" s="100"/>
      <c r="L404" s="61"/>
      <c r="M404" s="61"/>
    </row>
    <row r="405">
      <c r="A405" s="65"/>
      <c r="B405" s="65"/>
      <c r="C405" s="65"/>
      <c r="D405" s="65"/>
      <c r="E405" s="65"/>
      <c r="F405" s="65"/>
      <c r="G405" s="65"/>
      <c r="H405" s="65"/>
      <c r="I405" s="65"/>
      <c r="J405" s="108"/>
      <c r="K405" s="103"/>
      <c r="L405" s="65"/>
      <c r="M405" s="65"/>
    </row>
    <row r="406">
      <c r="A406" s="61"/>
      <c r="B406" s="61"/>
      <c r="C406" s="61"/>
      <c r="D406" s="61"/>
      <c r="E406" s="61"/>
      <c r="F406" s="61"/>
      <c r="G406" s="61"/>
      <c r="H406" s="61"/>
      <c r="I406" s="61"/>
      <c r="J406" s="107"/>
      <c r="K406" s="100"/>
      <c r="L406" s="61"/>
      <c r="M406" s="61"/>
    </row>
    <row r="407">
      <c r="A407" s="65"/>
      <c r="B407" s="65"/>
      <c r="C407" s="65"/>
      <c r="D407" s="65"/>
      <c r="E407" s="65"/>
      <c r="F407" s="65"/>
      <c r="G407" s="65"/>
      <c r="H407" s="65"/>
      <c r="I407" s="65"/>
      <c r="J407" s="108"/>
      <c r="K407" s="103"/>
      <c r="L407" s="65"/>
      <c r="M407" s="65"/>
    </row>
    <row r="408">
      <c r="A408" s="61"/>
      <c r="B408" s="61"/>
      <c r="C408" s="61"/>
      <c r="D408" s="61"/>
      <c r="E408" s="61"/>
      <c r="F408" s="61"/>
      <c r="G408" s="61"/>
      <c r="H408" s="61"/>
      <c r="I408" s="61"/>
      <c r="J408" s="107"/>
      <c r="K408" s="100"/>
      <c r="L408" s="61"/>
      <c r="M408" s="61"/>
    </row>
    <row r="409">
      <c r="A409" s="65"/>
      <c r="B409" s="65"/>
      <c r="C409" s="65"/>
      <c r="D409" s="65"/>
      <c r="E409" s="65"/>
      <c r="F409" s="65"/>
      <c r="G409" s="65"/>
      <c r="H409" s="65"/>
      <c r="I409" s="65"/>
      <c r="J409" s="108"/>
      <c r="K409" s="103"/>
      <c r="L409" s="65"/>
      <c r="M409" s="65"/>
    </row>
    <row r="410">
      <c r="A410" s="61"/>
      <c r="B410" s="61"/>
      <c r="C410" s="61"/>
      <c r="D410" s="61"/>
      <c r="E410" s="61"/>
      <c r="F410" s="61"/>
      <c r="G410" s="61"/>
      <c r="H410" s="61"/>
      <c r="I410" s="61"/>
      <c r="J410" s="107"/>
      <c r="K410" s="100"/>
      <c r="L410" s="61"/>
      <c r="M410" s="61"/>
    </row>
    <row r="411">
      <c r="A411" s="65"/>
      <c r="B411" s="65"/>
      <c r="C411" s="65"/>
      <c r="D411" s="65"/>
      <c r="E411" s="65"/>
      <c r="F411" s="65"/>
      <c r="G411" s="65"/>
      <c r="H411" s="65"/>
      <c r="I411" s="65"/>
      <c r="J411" s="108"/>
      <c r="K411" s="103"/>
      <c r="L411" s="65"/>
      <c r="M411" s="65"/>
    </row>
    <row r="412">
      <c r="A412" s="61"/>
      <c r="B412" s="61"/>
      <c r="C412" s="61"/>
      <c r="D412" s="61"/>
      <c r="E412" s="61"/>
      <c r="F412" s="61"/>
      <c r="G412" s="61"/>
      <c r="H412" s="61"/>
      <c r="I412" s="61"/>
      <c r="J412" s="107"/>
      <c r="K412" s="100"/>
      <c r="L412" s="61"/>
      <c r="M412" s="61"/>
    </row>
    <row r="413">
      <c r="A413" s="65"/>
      <c r="B413" s="65"/>
      <c r="C413" s="65"/>
      <c r="D413" s="65"/>
      <c r="E413" s="65"/>
      <c r="F413" s="65"/>
      <c r="G413" s="65"/>
      <c r="H413" s="65"/>
      <c r="I413" s="65"/>
      <c r="J413" s="108"/>
      <c r="K413" s="103"/>
      <c r="L413" s="65"/>
      <c r="M413" s="65"/>
    </row>
    <row r="414">
      <c r="A414" s="61"/>
      <c r="B414" s="61"/>
      <c r="C414" s="61"/>
      <c r="D414" s="61"/>
      <c r="E414" s="61"/>
      <c r="F414" s="61"/>
      <c r="G414" s="61"/>
      <c r="H414" s="61"/>
      <c r="I414" s="61"/>
      <c r="J414" s="107"/>
      <c r="K414" s="100"/>
      <c r="L414" s="61"/>
      <c r="M414" s="61"/>
    </row>
    <row r="415">
      <c r="A415" s="65"/>
      <c r="B415" s="65"/>
      <c r="C415" s="65"/>
      <c r="D415" s="65"/>
      <c r="E415" s="65"/>
      <c r="F415" s="65"/>
      <c r="G415" s="65"/>
      <c r="H415" s="65"/>
      <c r="I415" s="65"/>
      <c r="J415" s="108"/>
      <c r="K415" s="103"/>
      <c r="L415" s="65"/>
      <c r="M415" s="65"/>
    </row>
    <row r="416">
      <c r="A416" s="61"/>
      <c r="B416" s="61"/>
      <c r="C416" s="61"/>
      <c r="D416" s="61"/>
      <c r="E416" s="61"/>
      <c r="F416" s="61"/>
      <c r="G416" s="61"/>
      <c r="H416" s="61"/>
      <c r="I416" s="61"/>
      <c r="J416" s="107"/>
      <c r="K416" s="100"/>
      <c r="L416" s="61"/>
      <c r="M416" s="61"/>
    </row>
    <row r="417">
      <c r="A417" s="65"/>
      <c r="B417" s="65"/>
      <c r="C417" s="65"/>
      <c r="D417" s="65"/>
      <c r="E417" s="65"/>
      <c r="F417" s="65"/>
      <c r="G417" s="65"/>
      <c r="H417" s="65"/>
      <c r="I417" s="65"/>
      <c r="J417" s="108"/>
      <c r="K417" s="103"/>
      <c r="L417" s="65"/>
      <c r="M417" s="65"/>
    </row>
    <row r="418">
      <c r="A418" s="61"/>
      <c r="B418" s="61"/>
      <c r="C418" s="61"/>
      <c r="D418" s="61"/>
      <c r="E418" s="61"/>
      <c r="F418" s="61"/>
      <c r="G418" s="61"/>
      <c r="H418" s="61"/>
      <c r="I418" s="61"/>
      <c r="J418" s="107"/>
      <c r="K418" s="100"/>
      <c r="L418" s="61"/>
      <c r="M418" s="61"/>
    </row>
    <row r="419">
      <c r="A419" s="65"/>
      <c r="B419" s="65"/>
      <c r="C419" s="65"/>
      <c r="D419" s="65"/>
      <c r="E419" s="65"/>
      <c r="F419" s="65"/>
      <c r="G419" s="65"/>
      <c r="H419" s="65"/>
      <c r="I419" s="65"/>
      <c r="J419" s="108"/>
      <c r="K419" s="103"/>
      <c r="L419" s="65"/>
      <c r="M419" s="65"/>
    </row>
    <row r="420">
      <c r="A420" s="61"/>
      <c r="B420" s="61"/>
      <c r="C420" s="61"/>
      <c r="D420" s="61"/>
      <c r="E420" s="61"/>
      <c r="F420" s="61"/>
      <c r="G420" s="61"/>
      <c r="H420" s="61"/>
      <c r="I420" s="61"/>
      <c r="J420" s="107"/>
      <c r="K420" s="100"/>
      <c r="L420" s="61"/>
      <c r="M420" s="61"/>
    </row>
    <row r="421">
      <c r="A421" s="65"/>
      <c r="B421" s="65"/>
      <c r="C421" s="65"/>
      <c r="D421" s="65"/>
      <c r="E421" s="65"/>
      <c r="F421" s="65"/>
      <c r="G421" s="65"/>
      <c r="H421" s="65"/>
      <c r="I421" s="65"/>
      <c r="J421" s="108"/>
      <c r="K421" s="103"/>
      <c r="L421" s="65"/>
      <c r="M421" s="65"/>
    </row>
    <row r="422">
      <c r="A422" s="61"/>
      <c r="B422" s="61"/>
      <c r="C422" s="61"/>
      <c r="D422" s="61"/>
      <c r="E422" s="61"/>
      <c r="F422" s="61"/>
      <c r="G422" s="61"/>
      <c r="H422" s="61"/>
      <c r="I422" s="61"/>
      <c r="J422" s="107"/>
      <c r="K422" s="100"/>
      <c r="L422" s="61"/>
      <c r="M422" s="61"/>
    </row>
    <row r="423">
      <c r="A423" s="65"/>
      <c r="B423" s="65"/>
      <c r="C423" s="65"/>
      <c r="D423" s="65"/>
      <c r="E423" s="65"/>
      <c r="F423" s="65"/>
      <c r="G423" s="65"/>
      <c r="H423" s="65"/>
      <c r="I423" s="65"/>
      <c r="J423" s="108"/>
      <c r="K423" s="103"/>
      <c r="L423" s="65"/>
      <c r="M423" s="65"/>
    </row>
    <row r="424">
      <c r="A424" s="61"/>
      <c r="B424" s="61"/>
      <c r="C424" s="61"/>
      <c r="D424" s="61"/>
      <c r="E424" s="61"/>
      <c r="F424" s="61"/>
      <c r="G424" s="61"/>
      <c r="H424" s="61"/>
      <c r="I424" s="61"/>
      <c r="J424" s="107"/>
      <c r="K424" s="100"/>
      <c r="L424" s="61"/>
      <c r="M424" s="61"/>
    </row>
    <row r="425">
      <c r="A425" s="65"/>
      <c r="B425" s="65"/>
      <c r="C425" s="65"/>
      <c r="D425" s="65"/>
      <c r="E425" s="65"/>
      <c r="F425" s="65"/>
      <c r="G425" s="65"/>
      <c r="H425" s="65"/>
      <c r="I425" s="65"/>
      <c r="J425" s="108"/>
      <c r="K425" s="103"/>
      <c r="L425" s="65"/>
      <c r="M425" s="65"/>
    </row>
    <row r="426">
      <c r="A426" s="61"/>
      <c r="B426" s="61"/>
      <c r="C426" s="61"/>
      <c r="D426" s="61"/>
      <c r="E426" s="61"/>
      <c r="F426" s="61"/>
      <c r="G426" s="61"/>
      <c r="H426" s="61"/>
      <c r="I426" s="61"/>
      <c r="J426" s="107"/>
      <c r="K426" s="100"/>
      <c r="L426" s="61"/>
      <c r="M426" s="61"/>
    </row>
    <row r="427">
      <c r="A427" s="65"/>
      <c r="B427" s="65"/>
      <c r="C427" s="65"/>
      <c r="D427" s="65"/>
      <c r="E427" s="65"/>
      <c r="F427" s="65"/>
      <c r="G427" s="65"/>
      <c r="H427" s="65"/>
      <c r="I427" s="65"/>
      <c r="J427" s="108"/>
      <c r="K427" s="103"/>
      <c r="L427" s="65"/>
      <c r="M427" s="65"/>
    </row>
    <row r="428">
      <c r="A428" s="61"/>
      <c r="B428" s="61"/>
      <c r="C428" s="61"/>
      <c r="D428" s="61"/>
      <c r="E428" s="61"/>
      <c r="F428" s="61"/>
      <c r="G428" s="61"/>
      <c r="H428" s="61"/>
      <c r="I428" s="61"/>
      <c r="J428" s="107"/>
      <c r="K428" s="100"/>
      <c r="L428" s="61"/>
      <c r="M428" s="61"/>
    </row>
    <row r="429">
      <c r="A429" s="65"/>
      <c r="B429" s="65"/>
      <c r="C429" s="65"/>
      <c r="D429" s="65"/>
      <c r="E429" s="65"/>
      <c r="F429" s="65"/>
      <c r="G429" s="65"/>
      <c r="H429" s="65"/>
      <c r="I429" s="65"/>
      <c r="J429" s="108"/>
      <c r="K429" s="103"/>
      <c r="L429" s="65"/>
      <c r="M429" s="65"/>
    </row>
    <row r="430">
      <c r="A430" s="61"/>
      <c r="B430" s="61"/>
      <c r="C430" s="61"/>
      <c r="D430" s="61"/>
      <c r="E430" s="61"/>
      <c r="F430" s="61"/>
      <c r="G430" s="61"/>
      <c r="H430" s="61"/>
      <c r="I430" s="61"/>
      <c r="J430" s="107"/>
      <c r="K430" s="100"/>
      <c r="L430" s="61"/>
      <c r="M430" s="61"/>
    </row>
    <row r="431">
      <c r="A431" s="65"/>
      <c r="B431" s="65"/>
      <c r="C431" s="65"/>
      <c r="D431" s="65"/>
      <c r="E431" s="65"/>
      <c r="F431" s="65"/>
      <c r="G431" s="65"/>
      <c r="H431" s="65"/>
      <c r="I431" s="65"/>
      <c r="J431" s="108"/>
      <c r="K431" s="103"/>
      <c r="L431" s="65"/>
      <c r="M431" s="65"/>
    </row>
    <row r="432">
      <c r="A432" s="61"/>
      <c r="B432" s="61"/>
      <c r="C432" s="61"/>
      <c r="D432" s="61"/>
      <c r="E432" s="61"/>
      <c r="F432" s="61"/>
      <c r="G432" s="61"/>
      <c r="H432" s="61"/>
      <c r="I432" s="61"/>
      <c r="J432" s="107"/>
      <c r="K432" s="100"/>
      <c r="L432" s="61"/>
      <c r="M432" s="61"/>
    </row>
    <row r="433">
      <c r="A433" s="65"/>
      <c r="B433" s="65"/>
      <c r="C433" s="65"/>
      <c r="D433" s="65"/>
      <c r="E433" s="65"/>
      <c r="F433" s="65"/>
      <c r="G433" s="65"/>
      <c r="H433" s="65"/>
      <c r="I433" s="65"/>
      <c r="J433" s="108"/>
      <c r="K433" s="103"/>
      <c r="L433" s="65"/>
      <c r="M433" s="65"/>
    </row>
    <row r="434">
      <c r="A434" s="61"/>
      <c r="B434" s="61"/>
      <c r="C434" s="61"/>
      <c r="D434" s="61"/>
      <c r="E434" s="61"/>
      <c r="F434" s="61"/>
      <c r="G434" s="61"/>
      <c r="H434" s="61"/>
      <c r="I434" s="61"/>
      <c r="J434" s="107"/>
      <c r="K434" s="100"/>
      <c r="L434" s="61"/>
      <c r="M434" s="61"/>
    </row>
    <row r="435">
      <c r="A435" s="65"/>
      <c r="B435" s="65"/>
      <c r="C435" s="65"/>
      <c r="D435" s="65"/>
      <c r="E435" s="65"/>
      <c r="F435" s="65"/>
      <c r="G435" s="65"/>
      <c r="H435" s="65"/>
      <c r="I435" s="65"/>
      <c r="J435" s="108"/>
      <c r="K435" s="103"/>
      <c r="L435" s="65"/>
      <c r="M435" s="65"/>
    </row>
    <row r="436">
      <c r="A436" s="61"/>
      <c r="B436" s="61"/>
      <c r="C436" s="61"/>
      <c r="D436" s="61"/>
      <c r="E436" s="61"/>
      <c r="F436" s="61"/>
      <c r="G436" s="61"/>
      <c r="H436" s="61"/>
      <c r="I436" s="61"/>
      <c r="J436" s="107"/>
      <c r="K436" s="100"/>
      <c r="L436" s="61"/>
      <c r="M436" s="61"/>
    </row>
    <row r="437">
      <c r="A437" s="65"/>
      <c r="B437" s="65"/>
      <c r="C437" s="65"/>
      <c r="D437" s="65"/>
      <c r="E437" s="65"/>
      <c r="F437" s="65"/>
      <c r="G437" s="65"/>
      <c r="H437" s="65"/>
      <c r="I437" s="65"/>
      <c r="J437" s="108"/>
      <c r="K437" s="103"/>
      <c r="L437" s="65"/>
      <c r="M437" s="65"/>
    </row>
    <row r="438">
      <c r="A438" s="61"/>
      <c r="B438" s="61"/>
      <c r="C438" s="61"/>
      <c r="D438" s="61"/>
      <c r="E438" s="61"/>
      <c r="F438" s="61"/>
      <c r="G438" s="61"/>
      <c r="H438" s="61"/>
      <c r="I438" s="61"/>
      <c r="J438" s="107"/>
      <c r="K438" s="100"/>
      <c r="L438" s="61"/>
      <c r="M438" s="61"/>
    </row>
    <row r="439">
      <c r="A439" s="65"/>
      <c r="B439" s="65"/>
      <c r="C439" s="65"/>
      <c r="D439" s="65"/>
      <c r="E439" s="65"/>
      <c r="F439" s="65"/>
      <c r="G439" s="65"/>
      <c r="H439" s="65"/>
      <c r="I439" s="65"/>
      <c r="J439" s="108"/>
      <c r="K439" s="103"/>
      <c r="L439" s="65"/>
      <c r="M439" s="65"/>
    </row>
    <row r="440">
      <c r="A440" s="61"/>
      <c r="B440" s="61"/>
      <c r="C440" s="61"/>
      <c r="D440" s="61"/>
      <c r="E440" s="61"/>
      <c r="F440" s="61"/>
      <c r="G440" s="61"/>
      <c r="H440" s="61"/>
      <c r="I440" s="61"/>
      <c r="J440" s="107"/>
      <c r="K440" s="100"/>
      <c r="L440" s="61"/>
      <c r="M440" s="61"/>
    </row>
    <row r="441">
      <c r="A441" s="65"/>
      <c r="B441" s="65"/>
      <c r="C441" s="65"/>
      <c r="D441" s="65"/>
      <c r="E441" s="65"/>
      <c r="F441" s="65"/>
      <c r="G441" s="65"/>
      <c r="H441" s="65"/>
      <c r="I441" s="65"/>
      <c r="J441" s="108"/>
      <c r="K441" s="103"/>
      <c r="L441" s="65"/>
      <c r="M441" s="65"/>
    </row>
    <row r="442">
      <c r="A442" s="61"/>
      <c r="B442" s="61"/>
      <c r="C442" s="61"/>
      <c r="D442" s="61"/>
      <c r="E442" s="61"/>
      <c r="F442" s="61"/>
      <c r="G442" s="61"/>
      <c r="H442" s="61"/>
      <c r="I442" s="61"/>
      <c r="J442" s="107"/>
      <c r="K442" s="100"/>
      <c r="L442" s="61"/>
      <c r="M442" s="61"/>
    </row>
    <row r="443">
      <c r="A443" s="65"/>
      <c r="B443" s="65"/>
      <c r="C443" s="65"/>
      <c r="D443" s="65"/>
      <c r="E443" s="65"/>
      <c r="F443" s="65"/>
      <c r="G443" s="65"/>
      <c r="H443" s="65"/>
      <c r="I443" s="65"/>
      <c r="J443" s="108"/>
      <c r="K443" s="103"/>
      <c r="L443" s="65"/>
      <c r="M443" s="65"/>
    </row>
    <row r="444">
      <c r="A444" s="61"/>
      <c r="B444" s="61"/>
      <c r="C444" s="61"/>
      <c r="D444" s="61"/>
      <c r="E444" s="61"/>
      <c r="F444" s="61"/>
      <c r="G444" s="61"/>
      <c r="H444" s="61"/>
      <c r="I444" s="61"/>
      <c r="J444" s="107"/>
      <c r="K444" s="100"/>
      <c r="L444" s="61"/>
      <c r="M444" s="61"/>
    </row>
    <row r="445">
      <c r="A445" s="65"/>
      <c r="B445" s="65"/>
      <c r="C445" s="65"/>
      <c r="D445" s="65"/>
      <c r="E445" s="65"/>
      <c r="F445" s="65"/>
      <c r="G445" s="65"/>
      <c r="H445" s="65"/>
      <c r="I445" s="65"/>
      <c r="J445" s="108"/>
      <c r="K445" s="103"/>
      <c r="L445" s="65"/>
      <c r="M445" s="65"/>
    </row>
    <row r="446">
      <c r="A446" s="61"/>
      <c r="B446" s="61"/>
      <c r="C446" s="61"/>
      <c r="D446" s="61"/>
      <c r="E446" s="61"/>
      <c r="F446" s="61"/>
      <c r="G446" s="61"/>
      <c r="H446" s="61"/>
      <c r="I446" s="61"/>
      <c r="J446" s="107"/>
      <c r="K446" s="100"/>
      <c r="L446" s="61"/>
      <c r="M446" s="61"/>
    </row>
    <row r="447">
      <c r="A447" s="65"/>
      <c r="B447" s="65"/>
      <c r="C447" s="65"/>
      <c r="D447" s="65"/>
      <c r="E447" s="65"/>
      <c r="F447" s="65"/>
      <c r="G447" s="65"/>
      <c r="H447" s="65"/>
      <c r="I447" s="65"/>
      <c r="J447" s="108"/>
      <c r="K447" s="103"/>
      <c r="L447" s="65"/>
      <c r="M447" s="65"/>
    </row>
    <row r="448">
      <c r="A448" s="61"/>
      <c r="B448" s="61"/>
      <c r="C448" s="61"/>
      <c r="D448" s="61"/>
      <c r="E448" s="61"/>
      <c r="F448" s="61"/>
      <c r="G448" s="61"/>
      <c r="H448" s="61"/>
      <c r="I448" s="61"/>
      <c r="J448" s="107"/>
      <c r="K448" s="100"/>
      <c r="L448" s="61"/>
      <c r="M448" s="61"/>
    </row>
    <row r="449">
      <c r="A449" s="65"/>
      <c r="B449" s="65"/>
      <c r="C449" s="65"/>
      <c r="D449" s="65"/>
      <c r="E449" s="65"/>
      <c r="F449" s="65"/>
      <c r="G449" s="65"/>
      <c r="H449" s="65"/>
      <c r="I449" s="65"/>
      <c r="J449" s="108"/>
      <c r="K449" s="103"/>
      <c r="L449" s="65"/>
      <c r="M449" s="65"/>
    </row>
    <row r="450">
      <c r="A450" s="61"/>
      <c r="B450" s="61"/>
      <c r="C450" s="61"/>
      <c r="D450" s="61"/>
      <c r="E450" s="61"/>
      <c r="F450" s="61"/>
      <c r="G450" s="61"/>
      <c r="H450" s="61"/>
      <c r="I450" s="61"/>
      <c r="J450" s="107"/>
      <c r="K450" s="100"/>
      <c r="L450" s="61"/>
      <c r="M450" s="61"/>
    </row>
    <row r="451">
      <c r="A451" s="65"/>
      <c r="B451" s="65"/>
      <c r="C451" s="65"/>
      <c r="D451" s="65"/>
      <c r="E451" s="65"/>
      <c r="F451" s="65"/>
      <c r="G451" s="65"/>
      <c r="H451" s="65"/>
      <c r="I451" s="65"/>
      <c r="J451" s="108"/>
      <c r="K451" s="103"/>
      <c r="L451" s="65"/>
      <c r="M451" s="65"/>
    </row>
    <row r="452">
      <c r="A452" s="61"/>
      <c r="B452" s="61"/>
      <c r="C452" s="61"/>
      <c r="D452" s="61"/>
      <c r="E452" s="61"/>
      <c r="F452" s="61"/>
      <c r="G452" s="61"/>
      <c r="H452" s="61"/>
      <c r="I452" s="61"/>
      <c r="J452" s="107"/>
      <c r="K452" s="100"/>
      <c r="L452" s="61"/>
      <c r="M452" s="61"/>
    </row>
    <row r="453">
      <c r="A453" s="65"/>
      <c r="B453" s="65"/>
      <c r="C453" s="65"/>
      <c r="D453" s="65"/>
      <c r="E453" s="65"/>
      <c r="F453" s="65"/>
      <c r="G453" s="65"/>
      <c r="H453" s="65"/>
      <c r="I453" s="65"/>
      <c r="J453" s="108"/>
      <c r="K453" s="103"/>
      <c r="L453" s="65"/>
      <c r="M453" s="65"/>
    </row>
    <row r="454">
      <c r="A454" s="61"/>
      <c r="B454" s="61"/>
      <c r="C454" s="61"/>
      <c r="D454" s="61"/>
      <c r="E454" s="61"/>
      <c r="F454" s="61"/>
      <c r="G454" s="61"/>
      <c r="H454" s="61"/>
      <c r="I454" s="61"/>
      <c r="J454" s="107"/>
      <c r="K454" s="100"/>
      <c r="L454" s="61"/>
      <c r="M454" s="61"/>
    </row>
    <row r="455">
      <c r="A455" s="65"/>
      <c r="B455" s="65"/>
      <c r="C455" s="65"/>
      <c r="D455" s="65"/>
      <c r="E455" s="65"/>
      <c r="F455" s="65"/>
      <c r="G455" s="65"/>
      <c r="H455" s="65"/>
      <c r="I455" s="65"/>
      <c r="J455" s="108"/>
      <c r="K455" s="103"/>
      <c r="L455" s="65"/>
      <c r="M455" s="65"/>
    </row>
    <row r="456">
      <c r="A456" s="61"/>
      <c r="B456" s="61"/>
      <c r="C456" s="61"/>
      <c r="D456" s="61"/>
      <c r="E456" s="61"/>
      <c r="F456" s="61"/>
      <c r="G456" s="61"/>
      <c r="H456" s="61"/>
      <c r="I456" s="61"/>
      <c r="J456" s="107"/>
      <c r="K456" s="100"/>
      <c r="L456" s="61"/>
      <c r="M456" s="61"/>
    </row>
    <row r="457">
      <c r="A457" s="65"/>
      <c r="B457" s="65"/>
      <c r="C457" s="65"/>
      <c r="D457" s="65"/>
      <c r="E457" s="65"/>
      <c r="F457" s="65"/>
      <c r="G457" s="65"/>
      <c r="H457" s="65"/>
      <c r="I457" s="65"/>
      <c r="J457" s="108"/>
      <c r="K457" s="103"/>
      <c r="L457" s="65"/>
      <c r="M457" s="65"/>
    </row>
    <row r="458">
      <c r="A458" s="61"/>
      <c r="B458" s="61"/>
      <c r="C458" s="61"/>
      <c r="D458" s="61"/>
      <c r="E458" s="61"/>
      <c r="F458" s="61"/>
      <c r="G458" s="61"/>
      <c r="H458" s="61"/>
      <c r="I458" s="61"/>
      <c r="J458" s="107"/>
      <c r="K458" s="100"/>
      <c r="L458" s="61"/>
      <c r="M458" s="61"/>
    </row>
    <row r="459">
      <c r="A459" s="65"/>
      <c r="B459" s="65"/>
      <c r="C459" s="65"/>
      <c r="D459" s="65"/>
      <c r="E459" s="65"/>
      <c r="F459" s="65"/>
      <c r="G459" s="65"/>
      <c r="H459" s="65"/>
      <c r="I459" s="65"/>
      <c r="J459" s="108"/>
      <c r="K459" s="103"/>
      <c r="L459" s="65"/>
      <c r="M459" s="65"/>
    </row>
    <row r="460">
      <c r="A460" s="61"/>
      <c r="B460" s="61"/>
      <c r="C460" s="61"/>
      <c r="D460" s="61"/>
      <c r="E460" s="61"/>
      <c r="F460" s="61"/>
      <c r="G460" s="61"/>
      <c r="H460" s="61"/>
      <c r="I460" s="61"/>
      <c r="J460" s="107"/>
      <c r="K460" s="100"/>
      <c r="L460" s="61"/>
      <c r="M460" s="61"/>
    </row>
    <row r="461">
      <c r="A461" s="65"/>
      <c r="B461" s="65"/>
      <c r="C461" s="65"/>
      <c r="D461" s="65"/>
      <c r="E461" s="65"/>
      <c r="F461" s="65"/>
      <c r="G461" s="65"/>
      <c r="H461" s="65"/>
      <c r="I461" s="65"/>
      <c r="J461" s="108"/>
      <c r="K461" s="103"/>
      <c r="L461" s="65"/>
      <c r="M461" s="65"/>
    </row>
    <row r="462">
      <c r="A462" s="61"/>
      <c r="B462" s="61"/>
      <c r="C462" s="61"/>
      <c r="D462" s="61"/>
      <c r="E462" s="61"/>
      <c r="F462" s="61"/>
      <c r="G462" s="61"/>
      <c r="H462" s="61"/>
      <c r="I462" s="61"/>
      <c r="J462" s="107"/>
      <c r="K462" s="100"/>
      <c r="L462" s="61"/>
      <c r="M462" s="61"/>
    </row>
    <row r="463">
      <c r="A463" s="65"/>
      <c r="B463" s="65"/>
      <c r="C463" s="65"/>
      <c r="D463" s="65"/>
      <c r="E463" s="65"/>
      <c r="F463" s="65"/>
      <c r="G463" s="65"/>
      <c r="H463" s="65"/>
      <c r="I463" s="65"/>
      <c r="J463" s="108"/>
      <c r="K463" s="103"/>
      <c r="L463" s="65"/>
      <c r="M463" s="65"/>
    </row>
    <row r="464">
      <c r="A464" s="61"/>
      <c r="B464" s="61"/>
      <c r="C464" s="61"/>
      <c r="D464" s="61"/>
      <c r="E464" s="61"/>
      <c r="F464" s="61"/>
      <c r="G464" s="61"/>
      <c r="H464" s="61"/>
      <c r="I464" s="61"/>
      <c r="J464" s="107"/>
      <c r="K464" s="100"/>
      <c r="L464" s="61"/>
      <c r="M464" s="61"/>
    </row>
    <row r="465">
      <c r="A465" s="65"/>
      <c r="B465" s="65"/>
      <c r="C465" s="65"/>
      <c r="D465" s="65"/>
      <c r="E465" s="65"/>
      <c r="F465" s="65"/>
      <c r="G465" s="65"/>
      <c r="H465" s="65"/>
      <c r="I465" s="65"/>
      <c r="J465" s="108"/>
      <c r="K465" s="103"/>
      <c r="L465" s="65"/>
      <c r="M465" s="65"/>
    </row>
    <row r="466">
      <c r="A466" s="61"/>
      <c r="B466" s="61"/>
      <c r="C466" s="61"/>
      <c r="D466" s="61"/>
      <c r="E466" s="61"/>
      <c r="F466" s="61"/>
      <c r="G466" s="61"/>
      <c r="H466" s="61"/>
      <c r="I466" s="61"/>
      <c r="J466" s="107"/>
      <c r="K466" s="100"/>
      <c r="L466" s="61"/>
      <c r="M466" s="61"/>
    </row>
    <row r="467">
      <c r="A467" s="65"/>
      <c r="B467" s="65"/>
      <c r="C467" s="65"/>
      <c r="D467" s="65"/>
      <c r="E467" s="65"/>
      <c r="F467" s="65"/>
      <c r="G467" s="65"/>
      <c r="H467" s="65"/>
      <c r="I467" s="65"/>
      <c r="J467" s="108"/>
      <c r="K467" s="103"/>
      <c r="L467" s="65"/>
      <c r="M467" s="65"/>
    </row>
    <row r="468">
      <c r="A468" s="61"/>
      <c r="B468" s="61"/>
      <c r="C468" s="61"/>
      <c r="D468" s="61"/>
      <c r="E468" s="61"/>
      <c r="F468" s="61"/>
      <c r="G468" s="61"/>
      <c r="H468" s="61"/>
      <c r="I468" s="61"/>
      <c r="J468" s="107"/>
      <c r="K468" s="100"/>
      <c r="L468" s="61"/>
      <c r="M468" s="61"/>
    </row>
    <row r="469">
      <c r="A469" s="65"/>
      <c r="B469" s="65"/>
      <c r="C469" s="65"/>
      <c r="D469" s="65"/>
      <c r="E469" s="65"/>
      <c r="F469" s="65"/>
      <c r="G469" s="65"/>
      <c r="H469" s="65"/>
      <c r="I469" s="65"/>
      <c r="J469" s="108"/>
      <c r="K469" s="103"/>
      <c r="L469" s="65"/>
      <c r="M469" s="65"/>
    </row>
    <row r="470">
      <c r="A470" s="61"/>
      <c r="B470" s="61"/>
      <c r="C470" s="61"/>
      <c r="D470" s="61"/>
      <c r="E470" s="61"/>
      <c r="F470" s="61"/>
      <c r="G470" s="61"/>
      <c r="H470" s="61"/>
      <c r="I470" s="61"/>
      <c r="J470" s="107"/>
      <c r="K470" s="100"/>
      <c r="L470" s="61"/>
      <c r="M470" s="61"/>
    </row>
    <row r="471">
      <c r="A471" s="65"/>
      <c r="B471" s="65"/>
      <c r="C471" s="65"/>
      <c r="D471" s="65"/>
      <c r="E471" s="65"/>
      <c r="F471" s="65"/>
      <c r="G471" s="65"/>
      <c r="H471" s="65"/>
      <c r="I471" s="65"/>
      <c r="J471" s="108"/>
      <c r="K471" s="103"/>
      <c r="L471" s="65"/>
      <c r="M471" s="65"/>
    </row>
    <row r="472">
      <c r="A472" s="61"/>
      <c r="B472" s="61"/>
      <c r="C472" s="61"/>
      <c r="D472" s="61"/>
      <c r="E472" s="61"/>
      <c r="F472" s="61"/>
      <c r="G472" s="61"/>
      <c r="H472" s="61"/>
      <c r="I472" s="61"/>
      <c r="J472" s="107"/>
      <c r="K472" s="100"/>
      <c r="L472" s="61"/>
      <c r="M472" s="61"/>
    </row>
    <row r="473">
      <c r="A473" s="65"/>
      <c r="B473" s="65"/>
      <c r="C473" s="65"/>
      <c r="D473" s="65"/>
      <c r="E473" s="65"/>
      <c r="F473" s="65"/>
      <c r="G473" s="65"/>
      <c r="H473" s="65"/>
      <c r="I473" s="65"/>
      <c r="J473" s="108"/>
      <c r="K473" s="103"/>
      <c r="L473" s="65"/>
      <c r="M473" s="65"/>
    </row>
    <row r="474">
      <c r="A474" s="61"/>
      <c r="B474" s="61"/>
      <c r="C474" s="61"/>
      <c r="D474" s="61"/>
      <c r="E474" s="61"/>
      <c r="F474" s="61"/>
      <c r="G474" s="61"/>
      <c r="H474" s="61"/>
      <c r="I474" s="61"/>
      <c r="J474" s="107"/>
      <c r="K474" s="100"/>
      <c r="L474" s="61"/>
      <c r="M474" s="61"/>
    </row>
    <row r="475">
      <c r="A475" s="65"/>
      <c r="B475" s="65"/>
      <c r="C475" s="65"/>
      <c r="D475" s="65"/>
      <c r="E475" s="65"/>
      <c r="F475" s="65"/>
      <c r="G475" s="65"/>
      <c r="H475" s="65"/>
      <c r="I475" s="65"/>
      <c r="J475" s="108"/>
      <c r="K475" s="103"/>
      <c r="L475" s="65"/>
      <c r="M475" s="65"/>
    </row>
    <row r="476">
      <c r="A476" s="61"/>
      <c r="B476" s="61"/>
      <c r="C476" s="61"/>
      <c r="D476" s="61"/>
      <c r="E476" s="61"/>
      <c r="F476" s="61"/>
      <c r="G476" s="61"/>
      <c r="H476" s="61"/>
      <c r="I476" s="61"/>
      <c r="J476" s="107"/>
      <c r="K476" s="100"/>
      <c r="L476" s="61"/>
      <c r="M476" s="61"/>
    </row>
    <row r="477">
      <c r="A477" s="65"/>
      <c r="B477" s="65"/>
      <c r="C477" s="65"/>
      <c r="D477" s="65"/>
      <c r="E477" s="65"/>
      <c r="F477" s="65"/>
      <c r="G477" s="65"/>
      <c r="H477" s="65"/>
      <c r="I477" s="65"/>
      <c r="J477" s="108"/>
      <c r="K477" s="103"/>
      <c r="L477" s="65"/>
      <c r="M477" s="65"/>
    </row>
    <row r="478">
      <c r="A478" s="61"/>
      <c r="B478" s="61"/>
      <c r="C478" s="61"/>
      <c r="D478" s="61"/>
      <c r="E478" s="61"/>
      <c r="F478" s="61"/>
      <c r="G478" s="61"/>
      <c r="H478" s="61"/>
      <c r="I478" s="61"/>
      <c r="J478" s="107"/>
      <c r="K478" s="100"/>
      <c r="L478" s="61"/>
      <c r="M478" s="61"/>
    </row>
    <row r="479">
      <c r="A479" s="65"/>
      <c r="B479" s="65"/>
      <c r="C479" s="65"/>
      <c r="D479" s="65"/>
      <c r="E479" s="65"/>
      <c r="F479" s="65"/>
      <c r="G479" s="65"/>
      <c r="H479" s="65"/>
      <c r="I479" s="65"/>
      <c r="J479" s="108"/>
      <c r="K479" s="103"/>
      <c r="L479" s="65"/>
      <c r="M479" s="65"/>
    </row>
    <row r="480">
      <c r="A480" s="61"/>
      <c r="B480" s="61"/>
      <c r="C480" s="61"/>
      <c r="D480" s="61"/>
      <c r="E480" s="61"/>
      <c r="F480" s="61"/>
      <c r="G480" s="61"/>
      <c r="H480" s="61"/>
      <c r="I480" s="61"/>
      <c r="J480" s="107"/>
      <c r="K480" s="100"/>
      <c r="L480" s="61"/>
      <c r="M480" s="61"/>
    </row>
    <row r="481">
      <c r="A481" s="65"/>
      <c r="B481" s="65"/>
      <c r="C481" s="65"/>
      <c r="D481" s="65"/>
      <c r="E481" s="65"/>
      <c r="F481" s="65"/>
      <c r="G481" s="65"/>
      <c r="H481" s="65"/>
      <c r="I481" s="65"/>
      <c r="J481" s="108"/>
      <c r="K481" s="103"/>
      <c r="L481" s="65"/>
      <c r="M481" s="65"/>
    </row>
    <row r="482">
      <c r="A482" s="61"/>
      <c r="B482" s="61"/>
      <c r="C482" s="61"/>
      <c r="D482" s="61"/>
      <c r="E482" s="61"/>
      <c r="F482" s="61"/>
      <c r="G482" s="61"/>
      <c r="H482" s="61"/>
      <c r="I482" s="61"/>
      <c r="J482" s="107"/>
      <c r="K482" s="100"/>
      <c r="L482" s="61"/>
      <c r="M482" s="61"/>
    </row>
    <row r="483">
      <c r="A483" s="65"/>
      <c r="B483" s="65"/>
      <c r="C483" s="65"/>
      <c r="D483" s="65"/>
      <c r="E483" s="65"/>
      <c r="F483" s="65"/>
      <c r="G483" s="65"/>
      <c r="H483" s="65"/>
      <c r="I483" s="65"/>
      <c r="J483" s="108"/>
      <c r="K483" s="103"/>
      <c r="L483" s="65"/>
      <c r="M483" s="65"/>
    </row>
    <row r="484">
      <c r="A484" s="61"/>
      <c r="B484" s="61"/>
      <c r="C484" s="61"/>
      <c r="D484" s="61"/>
      <c r="E484" s="61"/>
      <c r="F484" s="61"/>
      <c r="G484" s="61"/>
      <c r="H484" s="61"/>
      <c r="I484" s="61"/>
      <c r="J484" s="107"/>
      <c r="K484" s="100"/>
      <c r="L484" s="61"/>
      <c r="M484" s="61"/>
    </row>
    <row r="485">
      <c r="A485" s="65"/>
      <c r="B485" s="65"/>
      <c r="C485" s="65"/>
      <c r="D485" s="65"/>
      <c r="E485" s="65"/>
      <c r="F485" s="65"/>
      <c r="G485" s="65"/>
      <c r="H485" s="65"/>
      <c r="I485" s="65"/>
      <c r="J485" s="108"/>
      <c r="K485" s="103"/>
      <c r="L485" s="65"/>
      <c r="M485" s="65"/>
    </row>
    <row r="486">
      <c r="A486" s="61"/>
      <c r="B486" s="61"/>
      <c r="C486" s="61"/>
      <c r="D486" s="61"/>
      <c r="E486" s="61"/>
      <c r="F486" s="61"/>
      <c r="G486" s="61"/>
      <c r="H486" s="61"/>
      <c r="I486" s="61"/>
      <c r="J486" s="107"/>
      <c r="K486" s="100"/>
      <c r="L486" s="61"/>
      <c r="M486" s="61"/>
    </row>
    <row r="487">
      <c r="A487" s="65"/>
      <c r="B487" s="65"/>
      <c r="C487" s="65"/>
      <c r="D487" s="65"/>
      <c r="E487" s="65"/>
      <c r="F487" s="65"/>
      <c r="G487" s="65"/>
      <c r="H487" s="65"/>
      <c r="I487" s="65"/>
      <c r="J487" s="108"/>
      <c r="K487" s="103"/>
      <c r="L487" s="65"/>
      <c r="M487" s="65"/>
    </row>
    <row r="488">
      <c r="A488" s="61"/>
      <c r="B488" s="61"/>
      <c r="C488" s="61"/>
      <c r="D488" s="61"/>
      <c r="E488" s="61"/>
      <c r="F488" s="61"/>
      <c r="G488" s="61"/>
      <c r="H488" s="61"/>
      <c r="I488" s="61"/>
      <c r="J488" s="107"/>
      <c r="K488" s="100"/>
      <c r="L488" s="61"/>
      <c r="M488" s="61"/>
    </row>
    <row r="489">
      <c r="A489" s="65"/>
      <c r="B489" s="65"/>
      <c r="C489" s="65"/>
      <c r="D489" s="65"/>
      <c r="E489" s="65"/>
      <c r="F489" s="65"/>
      <c r="G489" s="65"/>
      <c r="H489" s="65"/>
      <c r="I489" s="65"/>
      <c r="J489" s="108"/>
      <c r="K489" s="103"/>
      <c r="L489" s="65"/>
      <c r="M489" s="65"/>
    </row>
    <row r="490">
      <c r="A490" s="61"/>
      <c r="B490" s="61"/>
      <c r="C490" s="61"/>
      <c r="D490" s="61"/>
      <c r="E490" s="61"/>
      <c r="F490" s="61"/>
      <c r="G490" s="61"/>
      <c r="H490" s="61"/>
      <c r="I490" s="61"/>
      <c r="J490" s="107"/>
      <c r="K490" s="100"/>
      <c r="L490" s="61"/>
      <c r="M490" s="61"/>
    </row>
    <row r="491">
      <c r="A491" s="65"/>
      <c r="B491" s="65"/>
      <c r="C491" s="65"/>
      <c r="D491" s="65"/>
      <c r="E491" s="65"/>
      <c r="F491" s="65"/>
      <c r="G491" s="65"/>
      <c r="H491" s="65"/>
      <c r="I491" s="65"/>
      <c r="J491" s="108"/>
      <c r="K491" s="103"/>
      <c r="L491" s="65"/>
      <c r="M491" s="65"/>
    </row>
    <row r="492">
      <c r="A492" s="61"/>
      <c r="B492" s="61"/>
      <c r="C492" s="61"/>
      <c r="D492" s="61"/>
      <c r="E492" s="61"/>
      <c r="F492" s="61"/>
      <c r="G492" s="61"/>
      <c r="H492" s="61"/>
      <c r="I492" s="61"/>
      <c r="J492" s="107"/>
      <c r="K492" s="100"/>
      <c r="L492" s="61"/>
      <c r="M492" s="61"/>
    </row>
    <row r="493">
      <c r="A493" s="65"/>
      <c r="B493" s="65"/>
      <c r="C493" s="65"/>
      <c r="D493" s="65"/>
      <c r="E493" s="65"/>
      <c r="F493" s="65"/>
      <c r="G493" s="65"/>
      <c r="H493" s="65"/>
      <c r="I493" s="65"/>
      <c r="J493" s="108"/>
      <c r="K493" s="103"/>
      <c r="L493" s="65"/>
      <c r="M493" s="65"/>
    </row>
    <row r="494">
      <c r="A494" s="61"/>
      <c r="B494" s="61"/>
      <c r="C494" s="61"/>
      <c r="D494" s="61"/>
      <c r="E494" s="61"/>
      <c r="F494" s="61"/>
      <c r="G494" s="61"/>
      <c r="H494" s="61"/>
      <c r="I494" s="61"/>
      <c r="J494" s="107"/>
      <c r="K494" s="100"/>
      <c r="L494" s="61"/>
      <c r="M494" s="61"/>
    </row>
    <row r="495">
      <c r="A495" s="65"/>
      <c r="B495" s="65"/>
      <c r="C495" s="65"/>
      <c r="D495" s="65"/>
      <c r="E495" s="65"/>
      <c r="F495" s="65"/>
      <c r="G495" s="65"/>
      <c r="H495" s="65"/>
      <c r="I495" s="65"/>
      <c r="J495" s="108"/>
      <c r="K495" s="103"/>
      <c r="L495" s="65"/>
      <c r="M495" s="65"/>
    </row>
    <row r="496">
      <c r="A496" s="61"/>
      <c r="B496" s="61"/>
      <c r="C496" s="61"/>
      <c r="D496" s="61"/>
      <c r="E496" s="61"/>
      <c r="F496" s="61"/>
      <c r="G496" s="61"/>
      <c r="H496" s="61"/>
      <c r="I496" s="61"/>
      <c r="J496" s="107"/>
      <c r="K496" s="100"/>
      <c r="L496" s="61"/>
      <c r="M496" s="61"/>
    </row>
    <row r="497">
      <c r="A497" s="65"/>
      <c r="B497" s="65"/>
      <c r="C497" s="65"/>
      <c r="D497" s="65"/>
      <c r="E497" s="65"/>
      <c r="F497" s="65"/>
      <c r="G497" s="65"/>
      <c r="H497" s="65"/>
      <c r="I497" s="65"/>
      <c r="J497" s="108"/>
      <c r="K497" s="103"/>
      <c r="L497" s="65"/>
      <c r="M497" s="65"/>
    </row>
    <row r="498">
      <c r="A498" s="61"/>
      <c r="B498" s="61"/>
      <c r="C498" s="61"/>
      <c r="D498" s="61"/>
      <c r="E498" s="61"/>
      <c r="F498" s="61"/>
      <c r="G498" s="61"/>
      <c r="H498" s="61"/>
      <c r="I498" s="61"/>
      <c r="J498" s="107"/>
      <c r="K498" s="100"/>
      <c r="L498" s="61"/>
      <c r="M498" s="61"/>
    </row>
    <row r="499">
      <c r="A499" s="65"/>
      <c r="B499" s="65"/>
      <c r="C499" s="65"/>
      <c r="D499" s="65"/>
      <c r="E499" s="65"/>
      <c r="F499" s="65"/>
      <c r="G499" s="65"/>
      <c r="H499" s="65"/>
      <c r="I499" s="65"/>
      <c r="J499" s="108"/>
      <c r="K499" s="103"/>
      <c r="L499" s="65"/>
      <c r="M499" s="65"/>
    </row>
    <row r="500">
      <c r="A500" s="61"/>
      <c r="B500" s="61"/>
      <c r="C500" s="61"/>
      <c r="D500" s="61"/>
      <c r="E500" s="61"/>
      <c r="F500" s="61"/>
      <c r="G500" s="61"/>
      <c r="H500" s="61"/>
      <c r="I500" s="61"/>
      <c r="J500" s="107"/>
      <c r="K500" s="100"/>
      <c r="L500" s="61"/>
      <c r="M500" s="61"/>
    </row>
    <row r="501">
      <c r="A501" s="65"/>
      <c r="B501" s="65"/>
      <c r="C501" s="65"/>
      <c r="D501" s="65"/>
      <c r="E501" s="65"/>
      <c r="F501" s="65"/>
      <c r="G501" s="65"/>
      <c r="H501" s="65"/>
      <c r="I501" s="65"/>
      <c r="J501" s="108"/>
      <c r="K501" s="103"/>
      <c r="L501" s="65"/>
      <c r="M501" s="65"/>
    </row>
    <row r="502">
      <c r="A502" s="61"/>
      <c r="B502" s="61"/>
      <c r="C502" s="61"/>
      <c r="D502" s="61"/>
      <c r="E502" s="61"/>
      <c r="F502" s="61"/>
      <c r="G502" s="61"/>
      <c r="H502" s="61"/>
      <c r="I502" s="61"/>
      <c r="J502" s="107"/>
      <c r="K502" s="100"/>
      <c r="L502" s="61"/>
      <c r="M502" s="61"/>
    </row>
    <row r="503">
      <c r="A503" s="65"/>
      <c r="B503" s="65"/>
      <c r="C503" s="65"/>
      <c r="D503" s="65"/>
      <c r="E503" s="65"/>
      <c r="F503" s="65"/>
      <c r="G503" s="65"/>
      <c r="H503" s="65"/>
      <c r="I503" s="65"/>
      <c r="J503" s="108"/>
      <c r="K503" s="103"/>
      <c r="L503" s="65"/>
      <c r="M503" s="65"/>
    </row>
    <row r="504">
      <c r="A504" s="61"/>
      <c r="B504" s="61"/>
      <c r="C504" s="61"/>
      <c r="D504" s="61"/>
      <c r="E504" s="61"/>
      <c r="F504" s="61"/>
      <c r="G504" s="61"/>
      <c r="H504" s="61"/>
      <c r="I504" s="61"/>
      <c r="J504" s="107"/>
      <c r="K504" s="100"/>
      <c r="L504" s="61"/>
      <c r="M504" s="61"/>
    </row>
    <row r="505">
      <c r="A505" s="65"/>
      <c r="B505" s="65"/>
      <c r="C505" s="65"/>
      <c r="D505" s="65"/>
      <c r="E505" s="65"/>
      <c r="F505" s="65"/>
      <c r="G505" s="65"/>
      <c r="H505" s="65"/>
      <c r="I505" s="65"/>
      <c r="J505" s="108"/>
      <c r="K505" s="103"/>
      <c r="L505" s="65"/>
      <c r="M505" s="65"/>
    </row>
    <row r="506">
      <c r="A506" s="61"/>
      <c r="B506" s="61"/>
      <c r="C506" s="61"/>
      <c r="D506" s="61"/>
      <c r="E506" s="61"/>
      <c r="F506" s="61"/>
      <c r="G506" s="61"/>
      <c r="H506" s="61"/>
      <c r="I506" s="61"/>
      <c r="J506" s="107"/>
      <c r="K506" s="100"/>
      <c r="L506" s="61"/>
      <c r="M506" s="61"/>
    </row>
    <row r="507">
      <c r="A507" s="65"/>
      <c r="B507" s="65"/>
      <c r="C507" s="65"/>
      <c r="D507" s="65"/>
      <c r="E507" s="65"/>
      <c r="F507" s="65"/>
      <c r="G507" s="65"/>
      <c r="H507" s="65"/>
      <c r="I507" s="65"/>
      <c r="J507" s="108"/>
      <c r="K507" s="103"/>
      <c r="L507" s="65"/>
      <c r="M507" s="65"/>
    </row>
    <row r="508">
      <c r="A508" s="61"/>
      <c r="B508" s="61"/>
      <c r="C508" s="61"/>
      <c r="D508" s="61"/>
      <c r="E508" s="61"/>
      <c r="F508" s="61"/>
      <c r="G508" s="61"/>
      <c r="H508" s="61"/>
      <c r="I508" s="61"/>
      <c r="J508" s="107"/>
      <c r="K508" s="100"/>
      <c r="L508" s="61"/>
      <c r="M508" s="61"/>
    </row>
    <row r="509">
      <c r="A509" s="65"/>
      <c r="B509" s="65"/>
      <c r="C509" s="65"/>
      <c r="D509" s="65"/>
      <c r="E509" s="65"/>
      <c r="F509" s="65"/>
      <c r="G509" s="65"/>
      <c r="H509" s="65"/>
      <c r="I509" s="65"/>
      <c r="J509" s="108"/>
      <c r="K509" s="103"/>
      <c r="L509" s="65"/>
      <c r="M509" s="65"/>
    </row>
    <row r="510">
      <c r="A510" s="61"/>
      <c r="B510" s="61"/>
      <c r="C510" s="61"/>
      <c r="D510" s="61"/>
      <c r="E510" s="61"/>
      <c r="F510" s="61"/>
      <c r="G510" s="61"/>
      <c r="H510" s="61"/>
      <c r="I510" s="61"/>
      <c r="J510" s="107"/>
      <c r="K510" s="100"/>
      <c r="L510" s="61"/>
      <c r="M510" s="61"/>
    </row>
    <row r="511">
      <c r="A511" s="65"/>
      <c r="B511" s="65"/>
      <c r="C511" s="65"/>
      <c r="D511" s="65"/>
      <c r="E511" s="65"/>
      <c r="F511" s="65"/>
      <c r="G511" s="65"/>
      <c r="H511" s="65"/>
      <c r="I511" s="65"/>
      <c r="J511" s="108"/>
      <c r="K511" s="103"/>
      <c r="L511" s="65"/>
      <c r="M511" s="65"/>
    </row>
    <row r="512">
      <c r="A512" s="61"/>
      <c r="B512" s="61"/>
      <c r="C512" s="61"/>
      <c r="D512" s="61"/>
      <c r="E512" s="61"/>
      <c r="F512" s="61"/>
      <c r="G512" s="61"/>
      <c r="H512" s="61"/>
      <c r="I512" s="61"/>
      <c r="J512" s="107"/>
      <c r="K512" s="100"/>
      <c r="L512" s="61"/>
      <c r="M512" s="61"/>
    </row>
    <row r="513">
      <c r="A513" s="65"/>
      <c r="B513" s="65"/>
      <c r="C513" s="65"/>
      <c r="D513" s="65"/>
      <c r="E513" s="65"/>
      <c r="F513" s="65"/>
      <c r="G513" s="65"/>
      <c r="H513" s="65"/>
      <c r="I513" s="65"/>
      <c r="J513" s="108"/>
      <c r="K513" s="103"/>
      <c r="L513" s="65"/>
      <c r="M513" s="65"/>
    </row>
    <row r="514">
      <c r="A514" s="61"/>
      <c r="B514" s="61"/>
      <c r="C514" s="61"/>
      <c r="D514" s="61"/>
      <c r="E514" s="61"/>
      <c r="F514" s="61"/>
      <c r="G514" s="61"/>
      <c r="H514" s="61"/>
      <c r="I514" s="61"/>
      <c r="J514" s="107"/>
      <c r="K514" s="100"/>
      <c r="L514" s="61"/>
      <c r="M514" s="61"/>
    </row>
    <row r="515">
      <c r="A515" s="65"/>
      <c r="B515" s="65"/>
      <c r="C515" s="65"/>
      <c r="D515" s="65"/>
      <c r="E515" s="65"/>
      <c r="F515" s="65"/>
      <c r="G515" s="65"/>
      <c r="H515" s="65"/>
      <c r="I515" s="65"/>
      <c r="J515" s="108"/>
      <c r="K515" s="103"/>
      <c r="L515" s="65"/>
      <c r="M515" s="65"/>
    </row>
    <row r="516">
      <c r="A516" s="61"/>
      <c r="B516" s="61"/>
      <c r="C516" s="61"/>
      <c r="D516" s="61"/>
      <c r="E516" s="61"/>
      <c r="F516" s="61"/>
      <c r="G516" s="61"/>
      <c r="H516" s="61"/>
      <c r="I516" s="61"/>
      <c r="J516" s="107"/>
      <c r="K516" s="100"/>
      <c r="L516" s="61"/>
      <c r="M516" s="61"/>
    </row>
    <row r="517">
      <c r="A517" s="65"/>
      <c r="B517" s="65"/>
      <c r="C517" s="65"/>
      <c r="D517" s="65"/>
      <c r="E517" s="65"/>
      <c r="F517" s="65"/>
      <c r="G517" s="65"/>
      <c r="H517" s="65"/>
      <c r="I517" s="65"/>
      <c r="J517" s="108"/>
      <c r="K517" s="103"/>
      <c r="L517" s="65"/>
      <c r="M517" s="65"/>
    </row>
    <row r="518">
      <c r="A518" s="61"/>
      <c r="B518" s="61"/>
      <c r="C518" s="61"/>
      <c r="D518" s="61"/>
      <c r="E518" s="61"/>
      <c r="F518" s="61"/>
      <c r="G518" s="61"/>
      <c r="H518" s="61"/>
      <c r="I518" s="61"/>
      <c r="J518" s="107"/>
      <c r="K518" s="100"/>
      <c r="L518" s="61"/>
      <c r="M518" s="61"/>
    </row>
    <row r="519">
      <c r="A519" s="65"/>
      <c r="B519" s="65"/>
      <c r="C519" s="65"/>
      <c r="D519" s="65"/>
      <c r="E519" s="65"/>
      <c r="F519" s="65"/>
      <c r="G519" s="65"/>
      <c r="H519" s="65"/>
      <c r="I519" s="65"/>
      <c r="J519" s="108"/>
      <c r="K519" s="103"/>
      <c r="L519" s="65"/>
      <c r="M519" s="65"/>
    </row>
    <row r="520">
      <c r="A520" s="61"/>
      <c r="B520" s="61"/>
      <c r="C520" s="61"/>
      <c r="D520" s="61"/>
      <c r="E520" s="61"/>
      <c r="F520" s="61"/>
      <c r="G520" s="61"/>
      <c r="H520" s="61"/>
      <c r="I520" s="61"/>
      <c r="J520" s="107"/>
      <c r="K520" s="100"/>
      <c r="L520" s="61"/>
      <c r="M520" s="61"/>
    </row>
    <row r="521">
      <c r="A521" s="65"/>
      <c r="B521" s="65"/>
      <c r="C521" s="65"/>
      <c r="D521" s="65"/>
      <c r="E521" s="65"/>
      <c r="F521" s="65"/>
      <c r="G521" s="65"/>
      <c r="H521" s="65"/>
      <c r="I521" s="65"/>
      <c r="J521" s="108"/>
      <c r="K521" s="103"/>
      <c r="L521" s="65"/>
      <c r="M521" s="65"/>
    </row>
    <row r="522">
      <c r="A522" s="61"/>
      <c r="B522" s="61"/>
      <c r="C522" s="61"/>
      <c r="D522" s="61"/>
      <c r="E522" s="61"/>
      <c r="F522" s="61"/>
      <c r="G522" s="61"/>
      <c r="H522" s="61"/>
      <c r="I522" s="61"/>
      <c r="J522" s="107"/>
      <c r="K522" s="100"/>
      <c r="L522" s="61"/>
      <c r="M522" s="61"/>
    </row>
    <row r="523">
      <c r="A523" s="65"/>
      <c r="B523" s="65"/>
      <c r="C523" s="65"/>
      <c r="D523" s="65"/>
      <c r="E523" s="65"/>
      <c r="F523" s="65"/>
      <c r="G523" s="65"/>
      <c r="H523" s="65"/>
      <c r="I523" s="65"/>
      <c r="J523" s="108"/>
      <c r="K523" s="103"/>
      <c r="L523" s="65"/>
      <c r="M523" s="65"/>
    </row>
    <row r="524">
      <c r="A524" s="61"/>
      <c r="B524" s="61"/>
      <c r="C524" s="61"/>
      <c r="D524" s="61"/>
      <c r="E524" s="61"/>
      <c r="F524" s="61"/>
      <c r="G524" s="61"/>
      <c r="H524" s="61"/>
      <c r="I524" s="61"/>
      <c r="J524" s="107"/>
      <c r="K524" s="100"/>
      <c r="L524" s="61"/>
      <c r="M524" s="61"/>
    </row>
    <row r="525">
      <c r="A525" s="65"/>
      <c r="B525" s="65"/>
      <c r="C525" s="65"/>
      <c r="D525" s="65"/>
      <c r="E525" s="65"/>
      <c r="F525" s="65"/>
      <c r="G525" s="65"/>
      <c r="H525" s="65"/>
      <c r="I525" s="65"/>
      <c r="J525" s="108"/>
      <c r="K525" s="103"/>
      <c r="L525" s="65"/>
      <c r="M525" s="65"/>
    </row>
    <row r="526">
      <c r="A526" s="61"/>
      <c r="B526" s="61"/>
      <c r="C526" s="61"/>
      <c r="D526" s="61"/>
      <c r="E526" s="61"/>
      <c r="F526" s="61"/>
      <c r="G526" s="61"/>
      <c r="H526" s="61"/>
      <c r="I526" s="61"/>
      <c r="J526" s="107"/>
      <c r="K526" s="100"/>
      <c r="L526" s="61"/>
      <c r="M526" s="61"/>
    </row>
    <row r="527">
      <c r="A527" s="65"/>
      <c r="B527" s="65"/>
      <c r="C527" s="65"/>
      <c r="D527" s="65"/>
      <c r="E527" s="65"/>
      <c r="F527" s="65"/>
      <c r="G527" s="65"/>
      <c r="H527" s="65"/>
      <c r="I527" s="65"/>
      <c r="J527" s="108"/>
      <c r="K527" s="103"/>
      <c r="L527" s="65"/>
      <c r="M527" s="65"/>
    </row>
    <row r="528">
      <c r="A528" s="61"/>
      <c r="B528" s="61"/>
      <c r="C528" s="61"/>
      <c r="D528" s="61"/>
      <c r="E528" s="61"/>
      <c r="F528" s="61"/>
      <c r="G528" s="61"/>
      <c r="H528" s="61"/>
      <c r="I528" s="61"/>
      <c r="J528" s="107"/>
      <c r="K528" s="100"/>
      <c r="L528" s="61"/>
      <c r="M528" s="61"/>
    </row>
    <row r="529">
      <c r="A529" s="65"/>
      <c r="B529" s="65"/>
      <c r="C529" s="65"/>
      <c r="D529" s="65"/>
      <c r="E529" s="65"/>
      <c r="F529" s="65"/>
      <c r="G529" s="65"/>
      <c r="H529" s="65"/>
      <c r="I529" s="65"/>
      <c r="J529" s="108"/>
      <c r="K529" s="103"/>
      <c r="L529" s="65"/>
      <c r="M529" s="65"/>
    </row>
    <row r="530">
      <c r="A530" s="61"/>
      <c r="B530" s="61"/>
      <c r="C530" s="61"/>
      <c r="D530" s="61"/>
      <c r="E530" s="61"/>
      <c r="F530" s="61"/>
      <c r="G530" s="61"/>
      <c r="H530" s="61"/>
      <c r="I530" s="61"/>
      <c r="J530" s="107"/>
      <c r="K530" s="100"/>
      <c r="L530" s="61"/>
      <c r="M530" s="61"/>
    </row>
    <row r="531">
      <c r="A531" s="65"/>
      <c r="B531" s="65"/>
      <c r="C531" s="65"/>
      <c r="D531" s="65"/>
      <c r="E531" s="65"/>
      <c r="F531" s="65"/>
      <c r="G531" s="65"/>
      <c r="H531" s="65"/>
      <c r="I531" s="65"/>
      <c r="J531" s="108"/>
      <c r="K531" s="103"/>
      <c r="L531" s="65"/>
      <c r="M531" s="65"/>
    </row>
    <row r="532">
      <c r="A532" s="61"/>
      <c r="B532" s="61"/>
      <c r="C532" s="61"/>
      <c r="D532" s="61"/>
      <c r="E532" s="61"/>
      <c r="F532" s="61"/>
      <c r="G532" s="61"/>
      <c r="H532" s="61"/>
      <c r="I532" s="61"/>
      <c r="J532" s="107"/>
      <c r="K532" s="100"/>
      <c r="L532" s="61"/>
      <c r="M532" s="61"/>
    </row>
    <row r="533">
      <c r="A533" s="65"/>
      <c r="B533" s="65"/>
      <c r="C533" s="65"/>
      <c r="D533" s="65"/>
      <c r="E533" s="65"/>
      <c r="F533" s="65"/>
      <c r="G533" s="65"/>
      <c r="H533" s="65"/>
      <c r="I533" s="65"/>
      <c r="J533" s="108"/>
      <c r="K533" s="103"/>
      <c r="L533" s="65"/>
      <c r="M533" s="65"/>
    </row>
    <row r="534">
      <c r="A534" s="61"/>
      <c r="B534" s="61"/>
      <c r="C534" s="61"/>
      <c r="D534" s="61"/>
      <c r="E534" s="61"/>
      <c r="F534" s="61"/>
      <c r="G534" s="61"/>
      <c r="H534" s="61"/>
      <c r="I534" s="61"/>
      <c r="J534" s="107"/>
      <c r="K534" s="100"/>
      <c r="L534" s="61"/>
      <c r="M534" s="61"/>
    </row>
    <row r="535">
      <c r="A535" s="65"/>
      <c r="B535" s="65"/>
      <c r="C535" s="65"/>
      <c r="D535" s="65"/>
      <c r="E535" s="65"/>
      <c r="F535" s="65"/>
      <c r="G535" s="65"/>
      <c r="H535" s="65"/>
      <c r="I535" s="65"/>
      <c r="J535" s="108"/>
      <c r="K535" s="103"/>
      <c r="L535" s="65"/>
      <c r="M535" s="65"/>
    </row>
    <row r="536">
      <c r="A536" s="61"/>
      <c r="B536" s="61"/>
      <c r="C536" s="61"/>
      <c r="D536" s="61"/>
      <c r="E536" s="61"/>
      <c r="F536" s="61"/>
      <c r="G536" s="61"/>
      <c r="H536" s="61"/>
      <c r="I536" s="61"/>
      <c r="J536" s="107"/>
      <c r="K536" s="100"/>
      <c r="L536" s="61"/>
      <c r="M536" s="61"/>
    </row>
    <row r="537">
      <c r="A537" s="65"/>
      <c r="B537" s="65"/>
      <c r="C537" s="65"/>
      <c r="D537" s="65"/>
      <c r="E537" s="65"/>
      <c r="F537" s="65"/>
      <c r="G537" s="65"/>
      <c r="H537" s="65"/>
      <c r="I537" s="65"/>
      <c r="J537" s="108"/>
      <c r="K537" s="103"/>
      <c r="L537" s="65"/>
      <c r="M537" s="65"/>
    </row>
    <row r="538">
      <c r="A538" s="61"/>
      <c r="B538" s="61"/>
      <c r="C538" s="61"/>
      <c r="D538" s="61"/>
      <c r="E538" s="61"/>
      <c r="F538" s="61"/>
      <c r="G538" s="61"/>
      <c r="H538" s="61"/>
      <c r="I538" s="61"/>
      <c r="J538" s="107"/>
      <c r="K538" s="100"/>
      <c r="L538" s="61"/>
      <c r="M538" s="61"/>
    </row>
    <row r="539">
      <c r="A539" s="65"/>
      <c r="B539" s="65"/>
      <c r="C539" s="65"/>
      <c r="D539" s="65"/>
      <c r="E539" s="65"/>
      <c r="F539" s="65"/>
      <c r="G539" s="65"/>
      <c r="H539" s="65"/>
      <c r="I539" s="65"/>
      <c r="J539" s="108"/>
      <c r="K539" s="103"/>
      <c r="L539" s="65"/>
      <c r="M539" s="65"/>
    </row>
    <row r="540">
      <c r="A540" s="61"/>
      <c r="B540" s="61"/>
      <c r="C540" s="61"/>
      <c r="D540" s="61"/>
      <c r="E540" s="61"/>
      <c r="F540" s="61"/>
      <c r="G540" s="61"/>
      <c r="H540" s="61"/>
      <c r="I540" s="61"/>
      <c r="J540" s="107"/>
      <c r="K540" s="100"/>
      <c r="L540" s="61"/>
      <c r="M540" s="61"/>
    </row>
    <row r="541">
      <c r="A541" s="65"/>
      <c r="B541" s="65"/>
      <c r="C541" s="65"/>
      <c r="D541" s="65"/>
      <c r="E541" s="65"/>
      <c r="F541" s="65"/>
      <c r="G541" s="65"/>
      <c r="H541" s="65"/>
      <c r="I541" s="65"/>
      <c r="J541" s="108"/>
      <c r="K541" s="103"/>
      <c r="L541" s="65"/>
      <c r="M541" s="65"/>
    </row>
    <row r="542">
      <c r="A542" s="61"/>
      <c r="B542" s="61"/>
      <c r="C542" s="61"/>
      <c r="D542" s="61"/>
      <c r="E542" s="61"/>
      <c r="F542" s="61"/>
      <c r="G542" s="61"/>
      <c r="H542" s="61"/>
      <c r="I542" s="61"/>
      <c r="J542" s="107"/>
      <c r="K542" s="100"/>
      <c r="L542" s="61"/>
      <c r="M542" s="61"/>
    </row>
    <row r="543">
      <c r="A543" s="65"/>
      <c r="B543" s="65"/>
      <c r="C543" s="65"/>
      <c r="D543" s="65"/>
      <c r="E543" s="65"/>
      <c r="F543" s="65"/>
      <c r="G543" s="65"/>
      <c r="H543" s="65"/>
      <c r="I543" s="65"/>
      <c r="J543" s="108"/>
      <c r="K543" s="103"/>
      <c r="L543" s="65"/>
      <c r="M543" s="65"/>
    </row>
    <row r="544">
      <c r="A544" s="61"/>
      <c r="B544" s="61"/>
      <c r="C544" s="61"/>
      <c r="D544" s="61"/>
      <c r="E544" s="61"/>
      <c r="F544" s="61"/>
      <c r="G544" s="61"/>
      <c r="H544" s="61"/>
      <c r="I544" s="61"/>
      <c r="J544" s="107"/>
      <c r="K544" s="100"/>
      <c r="L544" s="61"/>
      <c r="M544" s="61"/>
    </row>
    <row r="545">
      <c r="A545" s="65"/>
      <c r="B545" s="65"/>
      <c r="C545" s="65"/>
      <c r="D545" s="65"/>
      <c r="E545" s="65"/>
      <c r="F545" s="65"/>
      <c r="G545" s="65"/>
      <c r="H545" s="65"/>
      <c r="I545" s="65"/>
      <c r="J545" s="108"/>
      <c r="K545" s="103"/>
      <c r="L545" s="65"/>
      <c r="M545" s="65"/>
    </row>
    <row r="546">
      <c r="A546" s="61"/>
      <c r="B546" s="61"/>
      <c r="C546" s="61"/>
      <c r="D546" s="61"/>
      <c r="E546" s="61"/>
      <c r="F546" s="61"/>
      <c r="G546" s="61"/>
      <c r="H546" s="61"/>
      <c r="I546" s="61"/>
      <c r="J546" s="107"/>
      <c r="K546" s="100"/>
      <c r="L546" s="61"/>
      <c r="M546" s="61"/>
    </row>
    <row r="547">
      <c r="A547" s="65"/>
      <c r="B547" s="65"/>
      <c r="C547" s="65"/>
      <c r="D547" s="65"/>
      <c r="E547" s="65"/>
      <c r="F547" s="65"/>
      <c r="G547" s="65"/>
      <c r="H547" s="65"/>
      <c r="I547" s="65"/>
      <c r="J547" s="108"/>
      <c r="K547" s="103"/>
      <c r="L547" s="65"/>
      <c r="M547" s="65"/>
    </row>
    <row r="548">
      <c r="A548" s="61"/>
      <c r="B548" s="61"/>
      <c r="C548" s="61"/>
      <c r="D548" s="61"/>
      <c r="E548" s="61"/>
      <c r="F548" s="61"/>
      <c r="G548" s="61"/>
      <c r="H548" s="61"/>
      <c r="I548" s="61"/>
      <c r="J548" s="107"/>
      <c r="K548" s="100"/>
      <c r="L548" s="61"/>
      <c r="M548" s="61"/>
    </row>
    <row r="549">
      <c r="A549" s="65"/>
      <c r="B549" s="65"/>
      <c r="C549" s="65"/>
      <c r="D549" s="65"/>
      <c r="E549" s="65"/>
      <c r="F549" s="65"/>
      <c r="G549" s="65"/>
      <c r="H549" s="65"/>
      <c r="I549" s="65"/>
      <c r="J549" s="108"/>
      <c r="K549" s="103"/>
      <c r="L549" s="65"/>
      <c r="M549" s="65"/>
    </row>
    <row r="550">
      <c r="A550" s="61"/>
      <c r="B550" s="61"/>
      <c r="C550" s="61"/>
      <c r="D550" s="61"/>
      <c r="E550" s="61"/>
      <c r="F550" s="61"/>
      <c r="G550" s="61"/>
      <c r="H550" s="61"/>
      <c r="I550" s="61"/>
      <c r="J550" s="107"/>
      <c r="K550" s="100"/>
      <c r="L550" s="61"/>
      <c r="M550" s="61"/>
    </row>
    <row r="551">
      <c r="A551" s="65"/>
      <c r="B551" s="65"/>
      <c r="C551" s="65"/>
      <c r="D551" s="65"/>
      <c r="E551" s="65"/>
      <c r="F551" s="65"/>
      <c r="G551" s="65"/>
      <c r="H551" s="65"/>
      <c r="I551" s="65"/>
      <c r="J551" s="108"/>
      <c r="K551" s="103"/>
      <c r="L551" s="65"/>
      <c r="M551" s="65"/>
    </row>
    <row r="552">
      <c r="A552" s="61"/>
      <c r="B552" s="61"/>
      <c r="C552" s="61"/>
      <c r="D552" s="61"/>
      <c r="E552" s="61"/>
      <c r="F552" s="61"/>
      <c r="G552" s="61"/>
      <c r="H552" s="61"/>
      <c r="I552" s="61"/>
      <c r="J552" s="107"/>
      <c r="K552" s="100"/>
      <c r="L552" s="61"/>
      <c r="M552" s="61"/>
    </row>
    <row r="553">
      <c r="A553" s="65"/>
      <c r="B553" s="65"/>
      <c r="C553" s="65"/>
      <c r="D553" s="65"/>
      <c r="E553" s="65"/>
      <c r="F553" s="65"/>
      <c r="G553" s="65"/>
      <c r="H553" s="65"/>
      <c r="I553" s="65"/>
      <c r="J553" s="108"/>
      <c r="K553" s="103"/>
      <c r="L553" s="65"/>
      <c r="M553" s="65"/>
    </row>
    <row r="554">
      <c r="A554" s="61"/>
      <c r="B554" s="61"/>
      <c r="C554" s="61"/>
      <c r="D554" s="61"/>
      <c r="E554" s="61"/>
      <c r="F554" s="61"/>
      <c r="G554" s="61"/>
      <c r="H554" s="61"/>
      <c r="I554" s="61"/>
      <c r="J554" s="107"/>
      <c r="K554" s="100"/>
      <c r="L554" s="61"/>
      <c r="M554" s="61"/>
    </row>
    <row r="555">
      <c r="A555" s="65"/>
      <c r="B555" s="65"/>
      <c r="C555" s="65"/>
      <c r="D555" s="65"/>
      <c r="E555" s="65"/>
      <c r="F555" s="65"/>
      <c r="G555" s="65"/>
      <c r="H555" s="65"/>
      <c r="I555" s="65"/>
      <c r="J555" s="108"/>
      <c r="K555" s="103"/>
      <c r="L555" s="65"/>
      <c r="M555" s="65"/>
    </row>
    <row r="556">
      <c r="A556" s="61"/>
      <c r="B556" s="61"/>
      <c r="C556" s="61"/>
      <c r="D556" s="61"/>
      <c r="E556" s="61"/>
      <c r="F556" s="61"/>
      <c r="G556" s="61"/>
      <c r="H556" s="61"/>
      <c r="I556" s="61"/>
      <c r="J556" s="107"/>
      <c r="K556" s="100"/>
      <c r="L556" s="61"/>
      <c r="M556" s="61"/>
    </row>
    <row r="557">
      <c r="A557" s="65"/>
      <c r="B557" s="65"/>
      <c r="C557" s="65"/>
      <c r="D557" s="65"/>
      <c r="E557" s="65"/>
      <c r="F557" s="65"/>
      <c r="G557" s="65"/>
      <c r="H557" s="65"/>
      <c r="I557" s="65"/>
      <c r="J557" s="108"/>
      <c r="K557" s="103"/>
      <c r="L557" s="65"/>
      <c r="M557" s="65"/>
    </row>
    <row r="558">
      <c r="A558" s="61"/>
      <c r="B558" s="61"/>
      <c r="C558" s="61"/>
      <c r="D558" s="61"/>
      <c r="E558" s="61"/>
      <c r="F558" s="61"/>
      <c r="G558" s="61"/>
      <c r="H558" s="61"/>
      <c r="I558" s="61"/>
      <c r="J558" s="107"/>
      <c r="K558" s="100"/>
      <c r="L558" s="61"/>
      <c r="M558" s="61"/>
    </row>
    <row r="559">
      <c r="A559" s="65"/>
      <c r="B559" s="65"/>
      <c r="C559" s="65"/>
      <c r="D559" s="65"/>
      <c r="E559" s="65"/>
      <c r="F559" s="65"/>
      <c r="G559" s="65"/>
      <c r="H559" s="65"/>
      <c r="I559" s="65"/>
      <c r="J559" s="108"/>
      <c r="K559" s="103"/>
      <c r="L559" s="65"/>
      <c r="M559" s="65"/>
    </row>
    <row r="560">
      <c r="A560" s="61"/>
      <c r="B560" s="61"/>
      <c r="C560" s="61"/>
      <c r="D560" s="61"/>
      <c r="E560" s="61"/>
      <c r="F560" s="61"/>
      <c r="G560" s="61"/>
      <c r="H560" s="61"/>
      <c r="I560" s="61"/>
      <c r="J560" s="107"/>
      <c r="K560" s="100"/>
      <c r="L560" s="61"/>
      <c r="M560" s="61"/>
    </row>
    <row r="561">
      <c r="A561" s="65"/>
      <c r="B561" s="65"/>
      <c r="C561" s="65"/>
      <c r="D561" s="65"/>
      <c r="E561" s="65"/>
      <c r="F561" s="65"/>
      <c r="G561" s="65"/>
      <c r="H561" s="65"/>
      <c r="I561" s="65"/>
      <c r="J561" s="108"/>
      <c r="K561" s="103"/>
      <c r="L561" s="65"/>
      <c r="M561" s="65"/>
    </row>
    <row r="562">
      <c r="A562" s="61"/>
      <c r="B562" s="61"/>
      <c r="C562" s="61"/>
      <c r="D562" s="61"/>
      <c r="E562" s="61"/>
      <c r="F562" s="61"/>
      <c r="G562" s="61"/>
      <c r="H562" s="61"/>
      <c r="I562" s="61"/>
      <c r="J562" s="107"/>
      <c r="K562" s="100"/>
      <c r="L562" s="61"/>
      <c r="M562" s="61"/>
    </row>
    <row r="563">
      <c r="A563" s="65"/>
      <c r="B563" s="65"/>
      <c r="C563" s="65"/>
      <c r="D563" s="65"/>
      <c r="E563" s="65"/>
      <c r="F563" s="65"/>
      <c r="G563" s="65"/>
      <c r="H563" s="65"/>
      <c r="I563" s="65"/>
      <c r="J563" s="108"/>
      <c r="K563" s="103"/>
      <c r="L563" s="65"/>
      <c r="M563" s="65"/>
    </row>
    <row r="564">
      <c r="A564" s="61"/>
      <c r="B564" s="61"/>
      <c r="C564" s="61"/>
      <c r="D564" s="61"/>
      <c r="E564" s="61"/>
      <c r="F564" s="61"/>
      <c r="G564" s="61"/>
      <c r="H564" s="61"/>
      <c r="I564" s="61"/>
      <c r="J564" s="107"/>
      <c r="K564" s="100"/>
      <c r="L564" s="61"/>
      <c r="M564" s="61"/>
    </row>
    <row r="565">
      <c r="A565" s="65"/>
      <c r="B565" s="65"/>
      <c r="C565" s="65"/>
      <c r="D565" s="65"/>
      <c r="E565" s="65"/>
      <c r="F565" s="65"/>
      <c r="G565" s="65"/>
      <c r="H565" s="65"/>
      <c r="I565" s="65"/>
      <c r="J565" s="108"/>
      <c r="K565" s="103"/>
      <c r="L565" s="65"/>
      <c r="M565" s="65"/>
    </row>
    <row r="566">
      <c r="A566" s="61"/>
      <c r="B566" s="61"/>
      <c r="C566" s="61"/>
      <c r="D566" s="61"/>
      <c r="E566" s="61"/>
      <c r="F566" s="61"/>
      <c r="G566" s="61"/>
      <c r="H566" s="61"/>
      <c r="I566" s="61"/>
      <c r="J566" s="107"/>
      <c r="K566" s="100"/>
      <c r="L566" s="61"/>
      <c r="M566" s="61"/>
    </row>
    <row r="567">
      <c r="A567" s="65"/>
      <c r="B567" s="65"/>
      <c r="C567" s="65"/>
      <c r="D567" s="65"/>
      <c r="E567" s="65"/>
      <c r="F567" s="65"/>
      <c r="G567" s="65"/>
      <c r="H567" s="65"/>
      <c r="I567" s="65"/>
      <c r="J567" s="108"/>
      <c r="K567" s="103"/>
      <c r="L567" s="65"/>
      <c r="M567" s="65"/>
    </row>
    <row r="568">
      <c r="A568" s="61"/>
      <c r="B568" s="61"/>
      <c r="C568" s="61"/>
      <c r="D568" s="61"/>
      <c r="E568" s="61"/>
      <c r="F568" s="61"/>
      <c r="G568" s="61"/>
      <c r="H568" s="61"/>
      <c r="I568" s="61"/>
      <c r="J568" s="107"/>
      <c r="K568" s="100"/>
      <c r="L568" s="61"/>
      <c r="M568" s="61"/>
    </row>
    <row r="569">
      <c r="A569" s="65"/>
      <c r="B569" s="65"/>
      <c r="C569" s="65"/>
      <c r="D569" s="65"/>
      <c r="E569" s="65"/>
      <c r="F569" s="65"/>
      <c r="G569" s="65"/>
      <c r="H569" s="65"/>
      <c r="I569" s="65"/>
      <c r="J569" s="108"/>
      <c r="K569" s="103"/>
      <c r="L569" s="65"/>
      <c r="M569" s="65"/>
    </row>
    <row r="570">
      <c r="A570" s="61"/>
      <c r="B570" s="61"/>
      <c r="C570" s="61"/>
      <c r="D570" s="61"/>
      <c r="E570" s="61"/>
      <c r="F570" s="61"/>
      <c r="G570" s="61"/>
      <c r="H570" s="61"/>
      <c r="I570" s="61"/>
      <c r="J570" s="107"/>
      <c r="K570" s="100"/>
      <c r="L570" s="61"/>
      <c r="M570" s="61"/>
    </row>
    <row r="571">
      <c r="A571" s="65"/>
      <c r="B571" s="65"/>
      <c r="C571" s="65"/>
      <c r="D571" s="65"/>
      <c r="E571" s="65"/>
      <c r="F571" s="65"/>
      <c r="G571" s="65"/>
      <c r="H571" s="65"/>
      <c r="I571" s="65"/>
      <c r="J571" s="108"/>
      <c r="K571" s="103"/>
      <c r="L571" s="65"/>
      <c r="M571" s="65"/>
    </row>
    <row r="572">
      <c r="A572" s="61"/>
      <c r="B572" s="61"/>
      <c r="C572" s="61"/>
      <c r="D572" s="61"/>
      <c r="E572" s="61"/>
      <c r="F572" s="61"/>
      <c r="G572" s="61"/>
      <c r="H572" s="61"/>
      <c r="I572" s="61"/>
      <c r="J572" s="107"/>
      <c r="K572" s="100"/>
      <c r="L572" s="61"/>
      <c r="M572" s="61"/>
    </row>
    <row r="573">
      <c r="A573" s="65"/>
      <c r="B573" s="65"/>
      <c r="C573" s="65"/>
      <c r="D573" s="65"/>
      <c r="E573" s="65"/>
      <c r="F573" s="65"/>
      <c r="G573" s="65"/>
      <c r="H573" s="65"/>
      <c r="I573" s="65"/>
      <c r="J573" s="108"/>
      <c r="K573" s="103"/>
      <c r="L573" s="65"/>
      <c r="M573" s="65"/>
    </row>
    <row r="574">
      <c r="A574" s="61"/>
      <c r="B574" s="61"/>
      <c r="C574" s="61"/>
      <c r="D574" s="61"/>
      <c r="E574" s="61"/>
      <c r="F574" s="61"/>
      <c r="G574" s="61"/>
      <c r="H574" s="61"/>
      <c r="I574" s="61"/>
      <c r="J574" s="107"/>
      <c r="K574" s="100"/>
      <c r="L574" s="61"/>
      <c r="M574" s="61"/>
    </row>
    <row r="575">
      <c r="A575" s="65"/>
      <c r="B575" s="65"/>
      <c r="C575" s="65"/>
      <c r="D575" s="65"/>
      <c r="E575" s="65"/>
      <c r="F575" s="65"/>
      <c r="G575" s="65"/>
      <c r="H575" s="65"/>
      <c r="I575" s="65"/>
      <c r="J575" s="108"/>
      <c r="K575" s="103"/>
      <c r="L575" s="65"/>
      <c r="M575" s="65"/>
    </row>
    <row r="576">
      <c r="A576" s="61"/>
      <c r="B576" s="61"/>
      <c r="C576" s="61"/>
      <c r="D576" s="61"/>
      <c r="E576" s="61"/>
      <c r="F576" s="61"/>
      <c r="G576" s="61"/>
      <c r="H576" s="61"/>
      <c r="I576" s="61"/>
      <c r="J576" s="107"/>
      <c r="K576" s="100"/>
      <c r="L576" s="61"/>
      <c r="M576" s="61"/>
    </row>
    <row r="577">
      <c r="A577" s="65"/>
      <c r="B577" s="65"/>
      <c r="C577" s="65"/>
      <c r="D577" s="65"/>
      <c r="E577" s="65"/>
      <c r="F577" s="65"/>
      <c r="G577" s="65"/>
      <c r="H577" s="65"/>
      <c r="I577" s="65"/>
      <c r="J577" s="108"/>
      <c r="K577" s="103"/>
      <c r="L577" s="65"/>
      <c r="M577" s="65"/>
    </row>
    <row r="578">
      <c r="A578" s="61"/>
      <c r="B578" s="61"/>
      <c r="C578" s="61"/>
      <c r="D578" s="61"/>
      <c r="E578" s="61"/>
      <c r="F578" s="61"/>
      <c r="G578" s="61"/>
      <c r="H578" s="61"/>
      <c r="I578" s="61"/>
      <c r="J578" s="107"/>
      <c r="K578" s="100"/>
      <c r="L578" s="61"/>
      <c r="M578" s="61"/>
    </row>
    <row r="579">
      <c r="A579" s="65"/>
      <c r="B579" s="65"/>
      <c r="C579" s="65"/>
      <c r="D579" s="65"/>
      <c r="E579" s="65"/>
      <c r="F579" s="65"/>
      <c r="G579" s="65"/>
      <c r="H579" s="65"/>
      <c r="I579" s="65"/>
      <c r="J579" s="108"/>
      <c r="K579" s="103"/>
      <c r="L579" s="65"/>
      <c r="M579" s="65"/>
    </row>
    <row r="580">
      <c r="A580" s="61"/>
      <c r="B580" s="61"/>
      <c r="C580" s="61"/>
      <c r="D580" s="61"/>
      <c r="E580" s="61"/>
      <c r="F580" s="61"/>
      <c r="G580" s="61"/>
      <c r="H580" s="61"/>
      <c r="I580" s="61"/>
      <c r="J580" s="107"/>
      <c r="K580" s="100"/>
      <c r="L580" s="61"/>
      <c r="M580" s="61"/>
    </row>
    <row r="581">
      <c r="A581" s="65"/>
      <c r="B581" s="65"/>
      <c r="C581" s="65"/>
      <c r="D581" s="65"/>
      <c r="E581" s="65"/>
      <c r="F581" s="65"/>
      <c r="G581" s="65"/>
      <c r="H581" s="65"/>
      <c r="I581" s="65"/>
      <c r="J581" s="108"/>
      <c r="K581" s="103"/>
      <c r="L581" s="65"/>
      <c r="M581" s="65"/>
    </row>
    <row r="582">
      <c r="A582" s="61"/>
      <c r="B582" s="61"/>
      <c r="C582" s="61"/>
      <c r="D582" s="61"/>
      <c r="E582" s="61"/>
      <c r="F582" s="61"/>
      <c r="G582" s="61"/>
      <c r="H582" s="61"/>
      <c r="I582" s="61"/>
      <c r="J582" s="107"/>
      <c r="K582" s="100"/>
      <c r="L582" s="61"/>
      <c r="M582" s="61"/>
    </row>
    <row r="583">
      <c r="A583" s="65"/>
      <c r="B583" s="65"/>
      <c r="C583" s="65"/>
      <c r="D583" s="65"/>
      <c r="E583" s="65"/>
      <c r="F583" s="65"/>
      <c r="G583" s="65"/>
      <c r="H583" s="65"/>
      <c r="I583" s="65"/>
      <c r="J583" s="108"/>
      <c r="K583" s="103"/>
      <c r="L583" s="65"/>
      <c r="M583" s="65"/>
    </row>
    <row r="584">
      <c r="A584" s="61"/>
      <c r="B584" s="61"/>
      <c r="C584" s="61"/>
      <c r="D584" s="61"/>
      <c r="E584" s="61"/>
      <c r="F584" s="61"/>
      <c r="G584" s="61"/>
      <c r="H584" s="61"/>
      <c r="I584" s="61"/>
      <c r="J584" s="107"/>
      <c r="K584" s="100"/>
      <c r="L584" s="61"/>
      <c r="M584" s="61"/>
    </row>
    <row r="585">
      <c r="A585" s="65"/>
      <c r="B585" s="65"/>
      <c r="C585" s="65"/>
      <c r="D585" s="65"/>
      <c r="E585" s="65"/>
      <c r="F585" s="65"/>
      <c r="G585" s="65"/>
      <c r="H585" s="65"/>
      <c r="I585" s="65"/>
      <c r="J585" s="108"/>
      <c r="K585" s="103"/>
      <c r="L585" s="65"/>
      <c r="M585" s="65"/>
    </row>
    <row r="586">
      <c r="A586" s="61"/>
      <c r="B586" s="61"/>
      <c r="C586" s="61"/>
      <c r="D586" s="61"/>
      <c r="E586" s="61"/>
      <c r="F586" s="61"/>
      <c r="G586" s="61"/>
      <c r="H586" s="61"/>
      <c r="I586" s="61"/>
      <c r="J586" s="107"/>
      <c r="K586" s="100"/>
      <c r="L586" s="61"/>
      <c r="M586" s="61"/>
    </row>
    <row r="587">
      <c r="A587" s="65"/>
      <c r="B587" s="65"/>
      <c r="C587" s="65"/>
      <c r="D587" s="65"/>
      <c r="E587" s="65"/>
      <c r="F587" s="65"/>
      <c r="G587" s="65"/>
      <c r="H587" s="65"/>
      <c r="I587" s="65"/>
      <c r="J587" s="108"/>
      <c r="K587" s="103"/>
      <c r="L587" s="65"/>
      <c r="M587" s="65"/>
    </row>
    <row r="588">
      <c r="A588" s="61"/>
      <c r="B588" s="61"/>
      <c r="C588" s="61"/>
      <c r="D588" s="61"/>
      <c r="E588" s="61"/>
      <c r="F588" s="61"/>
      <c r="G588" s="61"/>
      <c r="H588" s="61"/>
      <c r="I588" s="61"/>
      <c r="J588" s="107"/>
      <c r="K588" s="100"/>
      <c r="L588" s="61"/>
      <c r="M588" s="61"/>
    </row>
    <row r="589">
      <c r="A589" s="65"/>
      <c r="B589" s="65"/>
      <c r="C589" s="65"/>
      <c r="D589" s="65"/>
      <c r="E589" s="65"/>
      <c r="F589" s="65"/>
      <c r="G589" s="65"/>
      <c r="H589" s="65"/>
      <c r="I589" s="65"/>
      <c r="J589" s="108"/>
      <c r="K589" s="103"/>
      <c r="L589" s="65"/>
      <c r="M589" s="65"/>
    </row>
    <row r="590">
      <c r="A590" s="61"/>
      <c r="B590" s="61"/>
      <c r="C590" s="61"/>
      <c r="D590" s="61"/>
      <c r="E590" s="61"/>
      <c r="F590" s="61"/>
      <c r="G590" s="61"/>
      <c r="H590" s="61"/>
      <c r="I590" s="61"/>
      <c r="J590" s="107"/>
      <c r="K590" s="100"/>
      <c r="L590" s="61"/>
      <c r="M590" s="61"/>
    </row>
    <row r="591">
      <c r="A591" s="65"/>
      <c r="B591" s="65"/>
      <c r="C591" s="65"/>
      <c r="D591" s="65"/>
      <c r="E591" s="65"/>
      <c r="F591" s="65"/>
      <c r="G591" s="65"/>
      <c r="H591" s="65"/>
      <c r="I591" s="65"/>
      <c r="J591" s="108"/>
      <c r="K591" s="103"/>
      <c r="L591" s="65"/>
      <c r="M591" s="65"/>
    </row>
    <row r="592">
      <c r="A592" s="61"/>
      <c r="B592" s="61"/>
      <c r="C592" s="61"/>
      <c r="D592" s="61"/>
      <c r="E592" s="61"/>
      <c r="F592" s="61"/>
      <c r="G592" s="61"/>
      <c r="H592" s="61"/>
      <c r="I592" s="61"/>
      <c r="J592" s="107"/>
      <c r="K592" s="100"/>
      <c r="L592" s="61"/>
      <c r="M592" s="61"/>
    </row>
    <row r="593">
      <c r="A593" s="65"/>
      <c r="B593" s="65"/>
      <c r="C593" s="65"/>
      <c r="D593" s="65"/>
      <c r="E593" s="65"/>
      <c r="F593" s="65"/>
      <c r="G593" s="65"/>
      <c r="H593" s="65"/>
      <c r="I593" s="65"/>
      <c r="J593" s="108"/>
      <c r="K593" s="103"/>
      <c r="L593" s="65"/>
      <c r="M593" s="65"/>
    </row>
    <row r="594">
      <c r="A594" s="61"/>
      <c r="B594" s="61"/>
      <c r="C594" s="61"/>
      <c r="D594" s="61"/>
      <c r="E594" s="61"/>
      <c r="F594" s="61"/>
      <c r="G594" s="61"/>
      <c r="H594" s="61"/>
      <c r="I594" s="61"/>
      <c r="J594" s="107"/>
      <c r="K594" s="100"/>
      <c r="L594" s="61"/>
      <c r="M594" s="61"/>
    </row>
    <row r="595">
      <c r="A595" s="65"/>
      <c r="B595" s="65"/>
      <c r="C595" s="65"/>
      <c r="D595" s="65"/>
      <c r="E595" s="65"/>
      <c r="F595" s="65"/>
      <c r="G595" s="65"/>
      <c r="H595" s="65"/>
      <c r="I595" s="65"/>
      <c r="J595" s="108"/>
      <c r="K595" s="103"/>
      <c r="L595" s="65"/>
      <c r="M595" s="65"/>
    </row>
    <row r="596">
      <c r="A596" s="61"/>
      <c r="B596" s="61"/>
      <c r="C596" s="61"/>
      <c r="D596" s="61"/>
      <c r="E596" s="61"/>
      <c r="F596" s="61"/>
      <c r="G596" s="61"/>
      <c r="H596" s="61"/>
      <c r="I596" s="61"/>
      <c r="J596" s="107"/>
      <c r="K596" s="100"/>
      <c r="L596" s="61"/>
      <c r="M596" s="61"/>
    </row>
    <row r="597">
      <c r="A597" s="65"/>
      <c r="B597" s="65"/>
      <c r="C597" s="65"/>
      <c r="D597" s="65"/>
      <c r="E597" s="65"/>
      <c r="F597" s="65"/>
      <c r="G597" s="65"/>
      <c r="H597" s="65"/>
      <c r="I597" s="65"/>
      <c r="J597" s="108"/>
      <c r="K597" s="103"/>
      <c r="L597" s="65"/>
      <c r="M597" s="65"/>
    </row>
    <row r="598">
      <c r="A598" s="61"/>
      <c r="B598" s="61"/>
      <c r="C598" s="61"/>
      <c r="D598" s="61"/>
      <c r="E598" s="61"/>
      <c r="F598" s="61"/>
      <c r="G598" s="61"/>
      <c r="H598" s="61"/>
      <c r="I598" s="61"/>
      <c r="J598" s="107"/>
      <c r="K598" s="100"/>
      <c r="L598" s="61"/>
      <c r="M598" s="61"/>
    </row>
    <row r="599">
      <c r="A599" s="65"/>
      <c r="B599" s="65"/>
      <c r="C599" s="65"/>
      <c r="D599" s="65"/>
      <c r="E599" s="65"/>
      <c r="F599" s="65"/>
      <c r="G599" s="65"/>
      <c r="H599" s="65"/>
      <c r="I599" s="65"/>
      <c r="J599" s="108"/>
      <c r="K599" s="103"/>
      <c r="L599" s="65"/>
      <c r="M599" s="65"/>
    </row>
    <row r="600">
      <c r="A600" s="61"/>
      <c r="B600" s="61"/>
      <c r="C600" s="61"/>
      <c r="D600" s="61"/>
      <c r="E600" s="61"/>
      <c r="F600" s="61"/>
      <c r="G600" s="61"/>
      <c r="H600" s="61"/>
      <c r="I600" s="61"/>
      <c r="J600" s="107"/>
      <c r="K600" s="100"/>
      <c r="L600" s="61"/>
      <c r="M600" s="61"/>
    </row>
    <row r="601">
      <c r="A601" s="65"/>
      <c r="B601" s="65"/>
      <c r="C601" s="65"/>
      <c r="D601" s="65"/>
      <c r="E601" s="65"/>
      <c r="F601" s="65"/>
      <c r="G601" s="65"/>
      <c r="H601" s="65"/>
      <c r="I601" s="65"/>
      <c r="J601" s="108"/>
      <c r="K601" s="103"/>
      <c r="L601" s="65"/>
      <c r="M601" s="65"/>
    </row>
    <row r="602">
      <c r="A602" s="61"/>
      <c r="B602" s="61"/>
      <c r="C602" s="61"/>
      <c r="D602" s="61"/>
      <c r="E602" s="61"/>
      <c r="F602" s="61"/>
      <c r="G602" s="61"/>
      <c r="H602" s="61"/>
      <c r="I602" s="61"/>
      <c r="J602" s="107"/>
      <c r="K602" s="100"/>
      <c r="L602" s="61"/>
      <c r="M602" s="61"/>
    </row>
    <row r="603">
      <c r="A603" s="65"/>
      <c r="B603" s="65"/>
      <c r="C603" s="65"/>
      <c r="D603" s="65"/>
      <c r="E603" s="65"/>
      <c r="F603" s="65"/>
      <c r="G603" s="65"/>
      <c r="H603" s="65"/>
      <c r="I603" s="65"/>
      <c r="J603" s="108"/>
      <c r="K603" s="103"/>
      <c r="L603" s="65"/>
      <c r="M603" s="65"/>
    </row>
    <row r="604">
      <c r="A604" s="61"/>
      <c r="B604" s="61"/>
      <c r="C604" s="61"/>
      <c r="D604" s="61"/>
      <c r="E604" s="61"/>
      <c r="F604" s="61"/>
      <c r="G604" s="61"/>
      <c r="H604" s="61"/>
      <c r="I604" s="61"/>
      <c r="J604" s="107"/>
      <c r="K604" s="100"/>
      <c r="L604" s="61"/>
      <c r="M604" s="61"/>
    </row>
    <row r="605">
      <c r="A605" s="65"/>
      <c r="B605" s="65"/>
      <c r="C605" s="65"/>
      <c r="D605" s="65"/>
      <c r="E605" s="65"/>
      <c r="F605" s="65"/>
      <c r="G605" s="65"/>
      <c r="H605" s="65"/>
      <c r="I605" s="65"/>
      <c r="J605" s="108"/>
      <c r="K605" s="103"/>
      <c r="L605" s="65"/>
      <c r="M605" s="65"/>
    </row>
    <row r="606">
      <c r="A606" s="61"/>
      <c r="B606" s="61"/>
      <c r="C606" s="61"/>
      <c r="D606" s="61"/>
      <c r="E606" s="61"/>
      <c r="F606" s="61"/>
      <c r="G606" s="61"/>
      <c r="H606" s="61"/>
      <c r="I606" s="61"/>
      <c r="J606" s="107"/>
      <c r="K606" s="100"/>
      <c r="L606" s="61"/>
      <c r="M606" s="61"/>
    </row>
    <row r="607">
      <c r="A607" s="65"/>
      <c r="B607" s="65"/>
      <c r="C607" s="65"/>
      <c r="D607" s="65"/>
      <c r="E607" s="65"/>
      <c r="F607" s="65"/>
      <c r="G607" s="65"/>
      <c r="H607" s="65"/>
      <c r="I607" s="65"/>
      <c r="J607" s="108"/>
      <c r="K607" s="103"/>
      <c r="L607" s="65"/>
      <c r="M607" s="65"/>
    </row>
    <row r="608">
      <c r="A608" s="61"/>
      <c r="B608" s="61"/>
      <c r="C608" s="61"/>
      <c r="D608" s="61"/>
      <c r="E608" s="61"/>
      <c r="F608" s="61"/>
      <c r="G608" s="61"/>
      <c r="H608" s="61"/>
      <c r="I608" s="61"/>
      <c r="J608" s="107"/>
      <c r="K608" s="100"/>
      <c r="L608" s="61"/>
      <c r="M608" s="61"/>
    </row>
    <row r="609">
      <c r="A609" s="65"/>
      <c r="B609" s="65"/>
      <c r="C609" s="65"/>
      <c r="D609" s="65"/>
      <c r="E609" s="65"/>
      <c r="F609" s="65"/>
      <c r="G609" s="65"/>
      <c r="H609" s="65"/>
      <c r="I609" s="65"/>
      <c r="J609" s="108"/>
      <c r="K609" s="103"/>
      <c r="L609" s="65"/>
      <c r="M609" s="65"/>
    </row>
    <row r="610">
      <c r="A610" s="61"/>
      <c r="B610" s="61"/>
      <c r="C610" s="61"/>
      <c r="D610" s="61"/>
      <c r="E610" s="61"/>
      <c r="F610" s="61"/>
      <c r="G610" s="61"/>
      <c r="H610" s="61"/>
      <c r="I610" s="61"/>
      <c r="J610" s="107"/>
      <c r="K610" s="100"/>
      <c r="L610" s="61"/>
      <c r="M610" s="61"/>
    </row>
    <row r="611">
      <c r="A611" s="65"/>
      <c r="B611" s="65"/>
      <c r="C611" s="65"/>
      <c r="D611" s="65"/>
      <c r="E611" s="65"/>
      <c r="F611" s="65"/>
      <c r="G611" s="65"/>
      <c r="H611" s="65"/>
      <c r="I611" s="65"/>
      <c r="J611" s="108"/>
      <c r="K611" s="103"/>
      <c r="L611" s="65"/>
      <c r="M611" s="65"/>
    </row>
    <row r="612">
      <c r="A612" s="61"/>
      <c r="B612" s="61"/>
      <c r="C612" s="61"/>
      <c r="D612" s="61"/>
      <c r="E612" s="61"/>
      <c r="F612" s="61"/>
      <c r="G612" s="61"/>
      <c r="H612" s="61"/>
      <c r="I612" s="61"/>
      <c r="J612" s="107"/>
      <c r="K612" s="100"/>
      <c r="L612" s="61"/>
      <c r="M612" s="61"/>
    </row>
    <row r="613">
      <c r="A613" s="65"/>
      <c r="B613" s="65"/>
      <c r="C613" s="65"/>
      <c r="D613" s="65"/>
      <c r="E613" s="65"/>
      <c r="F613" s="65"/>
      <c r="G613" s="65"/>
      <c r="H613" s="65"/>
      <c r="I613" s="65"/>
      <c r="J613" s="108"/>
      <c r="K613" s="103"/>
      <c r="L613" s="65"/>
      <c r="M613" s="65"/>
    </row>
    <row r="614">
      <c r="A614" s="61"/>
      <c r="B614" s="61"/>
      <c r="C614" s="61"/>
      <c r="D614" s="61"/>
      <c r="E614" s="61"/>
      <c r="F614" s="61"/>
      <c r="G614" s="61"/>
      <c r="H614" s="61"/>
      <c r="I614" s="61"/>
      <c r="J614" s="107"/>
      <c r="K614" s="100"/>
      <c r="L614" s="61"/>
      <c r="M614" s="61"/>
    </row>
    <row r="615">
      <c r="A615" s="65"/>
      <c r="B615" s="65"/>
      <c r="C615" s="65"/>
      <c r="D615" s="65"/>
      <c r="E615" s="65"/>
      <c r="F615" s="65"/>
      <c r="G615" s="65"/>
      <c r="H615" s="65"/>
      <c r="I615" s="65"/>
      <c r="J615" s="108"/>
      <c r="K615" s="103"/>
      <c r="L615" s="65"/>
      <c r="M615" s="65"/>
    </row>
    <row r="616">
      <c r="A616" s="61"/>
      <c r="B616" s="61"/>
      <c r="C616" s="61"/>
      <c r="D616" s="61"/>
      <c r="E616" s="61"/>
      <c r="F616" s="61"/>
      <c r="G616" s="61"/>
      <c r="H616" s="61"/>
      <c r="I616" s="61"/>
      <c r="J616" s="107"/>
      <c r="K616" s="100"/>
      <c r="L616" s="61"/>
      <c r="M616" s="61"/>
    </row>
    <row r="617">
      <c r="A617" s="65"/>
      <c r="B617" s="65"/>
      <c r="C617" s="65"/>
      <c r="D617" s="65"/>
      <c r="E617" s="65"/>
      <c r="F617" s="65"/>
      <c r="G617" s="65"/>
      <c r="H617" s="65"/>
      <c r="I617" s="65"/>
      <c r="J617" s="108"/>
      <c r="K617" s="103"/>
      <c r="L617" s="65"/>
      <c r="M617" s="65"/>
    </row>
    <row r="618">
      <c r="A618" s="61"/>
      <c r="B618" s="61"/>
      <c r="C618" s="61"/>
      <c r="D618" s="61"/>
      <c r="E618" s="61"/>
      <c r="F618" s="61"/>
      <c r="G618" s="61"/>
      <c r="H618" s="61"/>
      <c r="I618" s="61"/>
      <c r="J618" s="107"/>
      <c r="K618" s="100"/>
      <c r="L618" s="61"/>
      <c r="M618" s="61"/>
    </row>
    <row r="619">
      <c r="A619" s="65"/>
      <c r="B619" s="65"/>
      <c r="C619" s="65"/>
      <c r="D619" s="65"/>
      <c r="E619" s="65"/>
      <c r="F619" s="65"/>
      <c r="G619" s="65"/>
      <c r="H619" s="65"/>
      <c r="I619" s="65"/>
      <c r="J619" s="108"/>
      <c r="K619" s="103"/>
      <c r="L619" s="65"/>
      <c r="M619" s="65"/>
    </row>
    <row r="620">
      <c r="A620" s="61"/>
      <c r="B620" s="61"/>
      <c r="C620" s="61"/>
      <c r="D620" s="61"/>
      <c r="E620" s="61"/>
      <c r="F620" s="61"/>
      <c r="G620" s="61"/>
      <c r="H620" s="61"/>
      <c r="I620" s="61"/>
      <c r="J620" s="107"/>
      <c r="K620" s="100"/>
      <c r="L620" s="61"/>
      <c r="M620" s="61"/>
    </row>
    <row r="621">
      <c r="A621" s="65"/>
      <c r="B621" s="65"/>
      <c r="C621" s="65"/>
      <c r="D621" s="65"/>
      <c r="E621" s="65"/>
      <c r="F621" s="65"/>
      <c r="G621" s="65"/>
      <c r="H621" s="65"/>
      <c r="I621" s="65"/>
      <c r="J621" s="108"/>
      <c r="K621" s="103"/>
      <c r="L621" s="65"/>
      <c r="M621" s="65"/>
    </row>
    <row r="622">
      <c r="A622" s="61"/>
      <c r="B622" s="61"/>
      <c r="C622" s="61"/>
      <c r="D622" s="61"/>
      <c r="E622" s="61"/>
      <c r="F622" s="61"/>
      <c r="G622" s="61"/>
      <c r="H622" s="61"/>
      <c r="I622" s="61"/>
      <c r="J622" s="107"/>
      <c r="K622" s="100"/>
      <c r="L622" s="61"/>
      <c r="M622" s="61"/>
    </row>
    <row r="623">
      <c r="A623" s="65"/>
      <c r="B623" s="65"/>
      <c r="C623" s="65"/>
      <c r="D623" s="65"/>
      <c r="E623" s="65"/>
      <c r="F623" s="65"/>
      <c r="G623" s="65"/>
      <c r="H623" s="65"/>
      <c r="I623" s="65"/>
      <c r="J623" s="108"/>
      <c r="K623" s="103"/>
      <c r="L623" s="65"/>
      <c r="M623" s="65"/>
    </row>
    <row r="624">
      <c r="A624" s="61"/>
      <c r="B624" s="61"/>
      <c r="C624" s="61"/>
      <c r="D624" s="61"/>
      <c r="E624" s="61"/>
      <c r="F624" s="61"/>
      <c r="G624" s="61"/>
      <c r="H624" s="61"/>
      <c r="I624" s="61"/>
      <c r="J624" s="107"/>
      <c r="K624" s="100"/>
      <c r="L624" s="61"/>
      <c r="M624" s="61"/>
    </row>
    <row r="625">
      <c r="A625" s="65"/>
      <c r="B625" s="65"/>
      <c r="C625" s="65"/>
      <c r="D625" s="65"/>
      <c r="E625" s="65"/>
      <c r="F625" s="65"/>
      <c r="G625" s="65"/>
      <c r="H625" s="65"/>
      <c r="I625" s="65"/>
      <c r="J625" s="108"/>
      <c r="K625" s="103"/>
      <c r="L625" s="65"/>
      <c r="M625" s="65"/>
    </row>
    <row r="626">
      <c r="A626" s="61"/>
      <c r="B626" s="61"/>
      <c r="C626" s="61"/>
      <c r="D626" s="61"/>
      <c r="E626" s="61"/>
      <c r="F626" s="61"/>
      <c r="G626" s="61"/>
      <c r="H626" s="61"/>
      <c r="I626" s="61"/>
      <c r="J626" s="107"/>
      <c r="K626" s="100"/>
      <c r="L626" s="61"/>
      <c r="M626" s="61"/>
    </row>
    <row r="627">
      <c r="A627" s="65"/>
      <c r="B627" s="65"/>
      <c r="C627" s="65"/>
      <c r="D627" s="65"/>
      <c r="E627" s="65"/>
      <c r="F627" s="65"/>
      <c r="G627" s="65"/>
      <c r="H627" s="65"/>
      <c r="I627" s="65"/>
      <c r="J627" s="108"/>
      <c r="K627" s="103"/>
      <c r="L627" s="65"/>
      <c r="M627" s="65"/>
    </row>
    <row r="628">
      <c r="A628" s="61"/>
      <c r="B628" s="61"/>
      <c r="C628" s="61"/>
      <c r="D628" s="61"/>
      <c r="E628" s="61"/>
      <c r="F628" s="61"/>
      <c r="G628" s="61"/>
      <c r="H628" s="61"/>
      <c r="I628" s="61"/>
      <c r="J628" s="107"/>
      <c r="K628" s="100"/>
      <c r="L628" s="61"/>
      <c r="M628" s="61"/>
    </row>
    <row r="629">
      <c r="A629" s="65"/>
      <c r="B629" s="65"/>
      <c r="C629" s="65"/>
      <c r="D629" s="65"/>
      <c r="E629" s="65"/>
      <c r="F629" s="65"/>
      <c r="G629" s="65"/>
      <c r="H629" s="65"/>
      <c r="I629" s="65"/>
      <c r="J629" s="108"/>
      <c r="K629" s="103"/>
      <c r="L629" s="65"/>
      <c r="M629" s="65"/>
    </row>
    <row r="630">
      <c r="A630" s="61"/>
      <c r="B630" s="61"/>
      <c r="C630" s="61"/>
      <c r="D630" s="61"/>
      <c r="E630" s="61"/>
      <c r="F630" s="61"/>
      <c r="G630" s="61"/>
      <c r="H630" s="61"/>
      <c r="I630" s="61"/>
      <c r="J630" s="107"/>
      <c r="K630" s="100"/>
      <c r="L630" s="61"/>
      <c r="M630" s="61"/>
    </row>
    <row r="631">
      <c r="A631" s="65"/>
      <c r="B631" s="65"/>
      <c r="C631" s="65"/>
      <c r="D631" s="65"/>
      <c r="E631" s="65"/>
      <c r="F631" s="65"/>
      <c r="G631" s="65"/>
      <c r="H631" s="65"/>
      <c r="I631" s="65"/>
      <c r="J631" s="108"/>
      <c r="K631" s="103"/>
      <c r="L631" s="65"/>
      <c r="M631" s="65"/>
    </row>
    <row r="632">
      <c r="A632" s="61"/>
      <c r="B632" s="61"/>
      <c r="C632" s="61"/>
      <c r="D632" s="61"/>
      <c r="E632" s="61"/>
      <c r="F632" s="61"/>
      <c r="G632" s="61"/>
      <c r="H632" s="61"/>
      <c r="I632" s="61"/>
      <c r="J632" s="107"/>
      <c r="K632" s="100"/>
      <c r="L632" s="61"/>
      <c r="M632" s="61"/>
    </row>
    <row r="633">
      <c r="A633" s="65"/>
      <c r="B633" s="65"/>
      <c r="C633" s="65"/>
      <c r="D633" s="65"/>
      <c r="E633" s="65"/>
      <c r="F633" s="65"/>
      <c r="G633" s="65"/>
      <c r="H633" s="65"/>
      <c r="I633" s="65"/>
      <c r="J633" s="108"/>
      <c r="K633" s="103"/>
      <c r="L633" s="65"/>
      <c r="M633" s="65"/>
    </row>
    <row r="634">
      <c r="A634" s="61"/>
      <c r="B634" s="61"/>
      <c r="C634" s="61"/>
      <c r="D634" s="61"/>
      <c r="E634" s="61"/>
      <c r="F634" s="61"/>
      <c r="G634" s="61"/>
      <c r="H634" s="61"/>
      <c r="I634" s="61"/>
      <c r="J634" s="107"/>
      <c r="K634" s="100"/>
      <c r="L634" s="61"/>
      <c r="M634" s="61"/>
    </row>
    <row r="635">
      <c r="A635" s="65"/>
      <c r="B635" s="65"/>
      <c r="C635" s="65"/>
      <c r="D635" s="65"/>
      <c r="E635" s="65"/>
      <c r="F635" s="65"/>
      <c r="G635" s="65"/>
      <c r="H635" s="65"/>
      <c r="I635" s="65"/>
      <c r="J635" s="108"/>
      <c r="K635" s="103"/>
      <c r="L635" s="65"/>
      <c r="M635" s="65"/>
    </row>
    <row r="636">
      <c r="A636" s="61"/>
      <c r="B636" s="61"/>
      <c r="C636" s="61"/>
      <c r="D636" s="61"/>
      <c r="E636" s="61"/>
      <c r="F636" s="61"/>
      <c r="G636" s="61"/>
      <c r="H636" s="61"/>
      <c r="I636" s="61"/>
      <c r="J636" s="107"/>
      <c r="K636" s="100"/>
      <c r="L636" s="61"/>
      <c r="M636" s="61"/>
    </row>
    <row r="637">
      <c r="A637" s="65"/>
      <c r="B637" s="65"/>
      <c r="C637" s="65"/>
      <c r="D637" s="65"/>
      <c r="E637" s="65"/>
      <c r="F637" s="65"/>
      <c r="G637" s="65"/>
      <c r="H637" s="65"/>
      <c r="I637" s="65"/>
      <c r="J637" s="108"/>
      <c r="K637" s="103"/>
      <c r="L637" s="65"/>
      <c r="M637" s="65"/>
    </row>
    <row r="638">
      <c r="A638" s="61"/>
      <c r="B638" s="61"/>
      <c r="C638" s="61"/>
      <c r="D638" s="61"/>
      <c r="E638" s="61"/>
      <c r="F638" s="61"/>
      <c r="G638" s="61"/>
      <c r="H638" s="61"/>
      <c r="I638" s="61"/>
      <c r="J638" s="107"/>
      <c r="K638" s="100"/>
      <c r="L638" s="61"/>
      <c r="M638" s="61"/>
    </row>
    <row r="639">
      <c r="A639" s="65"/>
      <c r="B639" s="65"/>
      <c r="C639" s="65"/>
      <c r="D639" s="65"/>
      <c r="E639" s="65"/>
      <c r="F639" s="65"/>
      <c r="G639" s="65"/>
      <c r="H639" s="65"/>
      <c r="I639" s="65"/>
      <c r="J639" s="108"/>
      <c r="K639" s="103"/>
      <c r="L639" s="65"/>
      <c r="M639" s="65"/>
    </row>
    <row r="640">
      <c r="A640" s="61"/>
      <c r="B640" s="61"/>
      <c r="C640" s="61"/>
      <c r="D640" s="61"/>
      <c r="E640" s="61"/>
      <c r="F640" s="61"/>
      <c r="G640" s="61"/>
      <c r="H640" s="61"/>
      <c r="I640" s="61"/>
      <c r="J640" s="107"/>
      <c r="K640" s="100"/>
      <c r="L640" s="61"/>
      <c r="M640" s="61"/>
    </row>
    <row r="641">
      <c r="A641" s="65"/>
      <c r="B641" s="65"/>
      <c r="C641" s="65"/>
      <c r="D641" s="65"/>
      <c r="E641" s="65"/>
      <c r="F641" s="65"/>
      <c r="G641" s="65"/>
      <c r="H641" s="65"/>
      <c r="I641" s="65"/>
      <c r="J641" s="108"/>
      <c r="K641" s="103"/>
      <c r="L641" s="65"/>
      <c r="M641" s="65"/>
    </row>
    <row r="642">
      <c r="A642" s="61"/>
      <c r="B642" s="61"/>
      <c r="C642" s="61"/>
      <c r="D642" s="61"/>
      <c r="E642" s="61"/>
      <c r="F642" s="61"/>
      <c r="G642" s="61"/>
      <c r="H642" s="61"/>
      <c r="I642" s="61"/>
      <c r="J642" s="107"/>
      <c r="K642" s="100"/>
      <c r="L642" s="61"/>
      <c r="M642" s="61"/>
    </row>
    <row r="643">
      <c r="A643" s="65"/>
      <c r="B643" s="65"/>
      <c r="C643" s="65"/>
      <c r="D643" s="65"/>
      <c r="E643" s="65"/>
      <c r="F643" s="65"/>
      <c r="G643" s="65"/>
      <c r="H643" s="65"/>
      <c r="I643" s="65"/>
      <c r="J643" s="108"/>
      <c r="K643" s="103"/>
      <c r="L643" s="65"/>
      <c r="M643" s="65"/>
    </row>
    <row r="644">
      <c r="A644" s="61"/>
      <c r="B644" s="61"/>
      <c r="C644" s="61"/>
      <c r="D644" s="61"/>
      <c r="E644" s="61"/>
      <c r="F644" s="61"/>
      <c r="G644" s="61"/>
      <c r="H644" s="61"/>
      <c r="I644" s="61"/>
      <c r="J644" s="107"/>
      <c r="K644" s="100"/>
      <c r="L644" s="61"/>
      <c r="M644" s="61"/>
    </row>
    <row r="645">
      <c r="A645" s="65"/>
      <c r="B645" s="65"/>
      <c r="C645" s="65"/>
      <c r="D645" s="65"/>
      <c r="E645" s="65"/>
      <c r="F645" s="65"/>
      <c r="G645" s="65"/>
      <c r="H645" s="65"/>
      <c r="I645" s="65"/>
      <c r="J645" s="108"/>
      <c r="K645" s="103"/>
      <c r="L645" s="65"/>
      <c r="M645" s="65"/>
    </row>
    <row r="646">
      <c r="A646" s="61"/>
      <c r="B646" s="61"/>
      <c r="C646" s="61"/>
      <c r="D646" s="61"/>
      <c r="E646" s="61"/>
      <c r="F646" s="61"/>
      <c r="G646" s="61"/>
      <c r="H646" s="61"/>
      <c r="I646" s="61"/>
      <c r="J646" s="107"/>
      <c r="K646" s="100"/>
      <c r="L646" s="61"/>
      <c r="M646" s="61"/>
    </row>
    <row r="647">
      <c r="A647" s="65"/>
      <c r="B647" s="65"/>
      <c r="C647" s="65"/>
      <c r="D647" s="65"/>
      <c r="E647" s="65"/>
      <c r="F647" s="65"/>
      <c r="G647" s="65"/>
      <c r="H647" s="65"/>
      <c r="I647" s="65"/>
      <c r="J647" s="108"/>
      <c r="K647" s="103"/>
      <c r="L647" s="65"/>
      <c r="M647" s="65"/>
    </row>
    <row r="648">
      <c r="A648" s="61"/>
      <c r="B648" s="61"/>
      <c r="C648" s="61"/>
      <c r="D648" s="61"/>
      <c r="E648" s="61"/>
      <c r="F648" s="61"/>
      <c r="G648" s="61"/>
      <c r="H648" s="61"/>
      <c r="I648" s="61"/>
      <c r="J648" s="107"/>
      <c r="K648" s="100"/>
      <c r="L648" s="61"/>
      <c r="M648" s="61"/>
    </row>
    <row r="649">
      <c r="A649" s="65"/>
      <c r="B649" s="65"/>
      <c r="C649" s="65"/>
      <c r="D649" s="65"/>
      <c r="E649" s="65"/>
      <c r="F649" s="65"/>
      <c r="G649" s="65"/>
      <c r="H649" s="65"/>
      <c r="I649" s="65"/>
      <c r="J649" s="108"/>
      <c r="K649" s="103"/>
      <c r="L649" s="65"/>
      <c r="M649" s="65"/>
    </row>
    <row r="650">
      <c r="A650" s="61"/>
      <c r="B650" s="61"/>
      <c r="C650" s="61"/>
      <c r="D650" s="61"/>
      <c r="E650" s="61"/>
      <c r="F650" s="61"/>
      <c r="G650" s="61"/>
      <c r="H650" s="61"/>
      <c r="I650" s="61"/>
      <c r="J650" s="107"/>
      <c r="K650" s="100"/>
      <c r="L650" s="61"/>
      <c r="M650" s="61"/>
    </row>
    <row r="651">
      <c r="A651" s="65"/>
      <c r="B651" s="65"/>
      <c r="C651" s="65"/>
      <c r="D651" s="65"/>
      <c r="E651" s="65"/>
      <c r="F651" s="65"/>
      <c r="G651" s="65"/>
      <c r="H651" s="65"/>
      <c r="I651" s="65"/>
      <c r="J651" s="108"/>
      <c r="K651" s="103"/>
      <c r="L651" s="65"/>
      <c r="M651" s="65"/>
    </row>
    <row r="652">
      <c r="A652" s="61"/>
      <c r="B652" s="61"/>
      <c r="C652" s="61"/>
      <c r="D652" s="61"/>
      <c r="E652" s="61"/>
      <c r="F652" s="61"/>
      <c r="G652" s="61"/>
      <c r="H652" s="61"/>
      <c r="I652" s="61"/>
      <c r="J652" s="107"/>
      <c r="K652" s="100"/>
      <c r="L652" s="61"/>
      <c r="M652" s="61"/>
    </row>
    <row r="653">
      <c r="A653" s="65"/>
      <c r="B653" s="65"/>
      <c r="C653" s="65"/>
      <c r="D653" s="65"/>
      <c r="E653" s="65"/>
      <c r="F653" s="65"/>
      <c r="G653" s="65"/>
      <c r="H653" s="65"/>
      <c r="I653" s="65"/>
      <c r="J653" s="108"/>
      <c r="K653" s="103"/>
      <c r="L653" s="65"/>
      <c r="M653" s="65"/>
    </row>
    <row r="654">
      <c r="A654" s="61"/>
      <c r="B654" s="61"/>
      <c r="C654" s="61"/>
      <c r="D654" s="61"/>
      <c r="E654" s="61"/>
      <c r="F654" s="61"/>
      <c r="G654" s="61"/>
      <c r="H654" s="61"/>
      <c r="I654" s="61"/>
      <c r="J654" s="107"/>
      <c r="K654" s="100"/>
      <c r="L654" s="61"/>
      <c r="M654" s="61"/>
    </row>
    <row r="655">
      <c r="A655" s="65"/>
      <c r="B655" s="65"/>
      <c r="C655" s="65"/>
      <c r="D655" s="65"/>
      <c r="E655" s="65"/>
      <c r="F655" s="65"/>
      <c r="G655" s="65"/>
      <c r="H655" s="65"/>
      <c r="I655" s="65"/>
      <c r="J655" s="108"/>
      <c r="K655" s="103"/>
      <c r="L655" s="65"/>
      <c r="M655" s="65"/>
    </row>
    <row r="656">
      <c r="A656" s="61"/>
      <c r="B656" s="61"/>
      <c r="C656" s="61"/>
      <c r="D656" s="61"/>
      <c r="E656" s="61"/>
      <c r="F656" s="61"/>
      <c r="G656" s="61"/>
      <c r="H656" s="61"/>
      <c r="I656" s="61"/>
      <c r="J656" s="107"/>
      <c r="K656" s="100"/>
      <c r="L656" s="61"/>
      <c r="M656" s="61"/>
    </row>
    <row r="657">
      <c r="A657" s="65"/>
      <c r="B657" s="65"/>
      <c r="C657" s="65"/>
      <c r="D657" s="65"/>
      <c r="E657" s="65"/>
      <c r="F657" s="65"/>
      <c r="G657" s="65"/>
      <c r="H657" s="65"/>
      <c r="I657" s="65"/>
      <c r="J657" s="108"/>
      <c r="K657" s="103"/>
      <c r="L657" s="65"/>
      <c r="M657" s="65"/>
    </row>
    <row r="658">
      <c r="A658" s="61"/>
      <c r="B658" s="61"/>
      <c r="C658" s="61"/>
      <c r="D658" s="61"/>
      <c r="E658" s="61"/>
      <c r="F658" s="61"/>
      <c r="G658" s="61"/>
      <c r="H658" s="61"/>
      <c r="I658" s="61"/>
      <c r="J658" s="107"/>
      <c r="K658" s="100"/>
      <c r="L658" s="61"/>
      <c r="M658" s="61"/>
    </row>
    <row r="659">
      <c r="A659" s="65"/>
      <c r="B659" s="65"/>
      <c r="C659" s="65"/>
      <c r="D659" s="65"/>
      <c r="E659" s="65"/>
      <c r="F659" s="65"/>
      <c r="G659" s="65"/>
      <c r="H659" s="65"/>
      <c r="I659" s="65"/>
      <c r="J659" s="108"/>
      <c r="K659" s="103"/>
      <c r="L659" s="65"/>
      <c r="M659" s="65"/>
    </row>
    <row r="660">
      <c r="A660" s="61"/>
      <c r="B660" s="61"/>
      <c r="C660" s="61"/>
      <c r="D660" s="61"/>
      <c r="E660" s="61"/>
      <c r="F660" s="61"/>
      <c r="G660" s="61"/>
      <c r="H660" s="61"/>
      <c r="I660" s="61"/>
      <c r="J660" s="107"/>
      <c r="K660" s="100"/>
      <c r="L660" s="61"/>
      <c r="M660" s="61"/>
    </row>
    <row r="661">
      <c r="A661" s="65"/>
      <c r="B661" s="65"/>
      <c r="C661" s="65"/>
      <c r="D661" s="65"/>
      <c r="E661" s="65"/>
      <c r="F661" s="65"/>
      <c r="G661" s="65"/>
      <c r="H661" s="65"/>
      <c r="I661" s="65"/>
      <c r="J661" s="108"/>
      <c r="K661" s="103"/>
      <c r="L661" s="65"/>
      <c r="M661" s="65"/>
    </row>
    <row r="662">
      <c r="A662" s="61"/>
      <c r="B662" s="61"/>
      <c r="C662" s="61"/>
      <c r="D662" s="61"/>
      <c r="E662" s="61"/>
      <c r="F662" s="61"/>
      <c r="G662" s="61"/>
      <c r="H662" s="61"/>
      <c r="I662" s="61"/>
      <c r="J662" s="107"/>
      <c r="K662" s="100"/>
      <c r="L662" s="61"/>
      <c r="M662" s="61"/>
    </row>
    <row r="663">
      <c r="A663" s="65"/>
      <c r="B663" s="65"/>
      <c r="C663" s="65"/>
      <c r="D663" s="65"/>
      <c r="E663" s="65"/>
      <c r="F663" s="65"/>
      <c r="G663" s="65"/>
      <c r="H663" s="65"/>
      <c r="I663" s="65"/>
      <c r="J663" s="108"/>
      <c r="K663" s="103"/>
      <c r="L663" s="65"/>
      <c r="M663" s="65"/>
    </row>
    <row r="664">
      <c r="A664" s="61"/>
      <c r="B664" s="61"/>
      <c r="C664" s="61"/>
      <c r="D664" s="61"/>
      <c r="E664" s="61"/>
      <c r="F664" s="61"/>
      <c r="G664" s="61"/>
      <c r="H664" s="61"/>
      <c r="I664" s="61"/>
      <c r="J664" s="107"/>
      <c r="K664" s="100"/>
      <c r="L664" s="61"/>
      <c r="M664" s="61"/>
    </row>
    <row r="665">
      <c r="A665" s="65"/>
      <c r="B665" s="65"/>
      <c r="C665" s="65"/>
      <c r="D665" s="65"/>
      <c r="E665" s="65"/>
      <c r="F665" s="65"/>
      <c r="G665" s="65"/>
      <c r="H665" s="65"/>
      <c r="I665" s="65"/>
      <c r="J665" s="108"/>
      <c r="K665" s="103"/>
      <c r="L665" s="65"/>
      <c r="M665" s="65"/>
    </row>
    <row r="666">
      <c r="A666" s="61"/>
      <c r="B666" s="61"/>
      <c r="C666" s="61"/>
      <c r="D666" s="61"/>
      <c r="E666" s="61"/>
      <c r="F666" s="61"/>
      <c r="G666" s="61"/>
      <c r="H666" s="61"/>
      <c r="I666" s="61"/>
      <c r="J666" s="107"/>
      <c r="K666" s="100"/>
      <c r="L666" s="61"/>
      <c r="M666" s="61"/>
    </row>
    <row r="667">
      <c r="A667" s="65"/>
      <c r="B667" s="65"/>
      <c r="C667" s="65"/>
      <c r="D667" s="65"/>
      <c r="E667" s="65"/>
      <c r="F667" s="65"/>
      <c r="G667" s="65"/>
      <c r="H667" s="65"/>
      <c r="I667" s="65"/>
      <c r="J667" s="108"/>
      <c r="K667" s="103"/>
      <c r="L667" s="65"/>
      <c r="M667" s="65"/>
    </row>
    <row r="668">
      <c r="A668" s="61"/>
      <c r="B668" s="61"/>
      <c r="C668" s="61"/>
      <c r="D668" s="61"/>
      <c r="E668" s="61"/>
      <c r="F668" s="61"/>
      <c r="G668" s="61"/>
      <c r="H668" s="61"/>
      <c r="I668" s="61"/>
      <c r="J668" s="107"/>
      <c r="K668" s="100"/>
      <c r="L668" s="61"/>
      <c r="M668" s="61"/>
    </row>
    <row r="669">
      <c r="A669" s="65"/>
      <c r="B669" s="65"/>
      <c r="C669" s="65"/>
      <c r="D669" s="65"/>
      <c r="E669" s="65"/>
      <c r="F669" s="65"/>
      <c r="G669" s="65"/>
      <c r="H669" s="65"/>
      <c r="I669" s="65"/>
      <c r="J669" s="108"/>
      <c r="K669" s="103"/>
      <c r="L669" s="65"/>
      <c r="M669" s="65"/>
    </row>
    <row r="670">
      <c r="A670" s="61"/>
      <c r="B670" s="61"/>
      <c r="C670" s="61"/>
      <c r="D670" s="61"/>
      <c r="E670" s="61"/>
      <c r="F670" s="61"/>
      <c r="G670" s="61"/>
      <c r="H670" s="61"/>
      <c r="I670" s="61"/>
      <c r="J670" s="107"/>
      <c r="K670" s="100"/>
      <c r="L670" s="61"/>
      <c r="M670" s="61"/>
    </row>
    <row r="671">
      <c r="A671" s="65"/>
      <c r="B671" s="65"/>
      <c r="C671" s="65"/>
      <c r="D671" s="65"/>
      <c r="E671" s="65"/>
      <c r="F671" s="65"/>
      <c r="G671" s="65"/>
      <c r="H671" s="65"/>
      <c r="I671" s="65"/>
      <c r="J671" s="108"/>
      <c r="K671" s="103"/>
      <c r="L671" s="65"/>
      <c r="M671" s="65"/>
    </row>
    <row r="672">
      <c r="A672" s="61"/>
      <c r="B672" s="61"/>
      <c r="C672" s="61"/>
      <c r="D672" s="61"/>
      <c r="E672" s="61"/>
      <c r="F672" s="61"/>
      <c r="G672" s="61"/>
      <c r="H672" s="61"/>
      <c r="I672" s="61"/>
      <c r="J672" s="107"/>
      <c r="K672" s="100"/>
      <c r="L672" s="61"/>
      <c r="M672" s="61"/>
    </row>
    <row r="673">
      <c r="A673" s="65"/>
      <c r="B673" s="65"/>
      <c r="C673" s="65"/>
      <c r="D673" s="65"/>
      <c r="E673" s="65"/>
      <c r="F673" s="65"/>
      <c r="G673" s="65"/>
      <c r="H673" s="65"/>
      <c r="I673" s="65"/>
      <c r="J673" s="108"/>
      <c r="K673" s="103"/>
      <c r="L673" s="65"/>
      <c r="M673" s="65"/>
    </row>
    <row r="674">
      <c r="A674" s="61"/>
      <c r="B674" s="61"/>
      <c r="C674" s="61"/>
      <c r="D674" s="61"/>
      <c r="E674" s="61"/>
      <c r="F674" s="61"/>
      <c r="G674" s="61"/>
      <c r="H674" s="61"/>
      <c r="I674" s="61"/>
      <c r="J674" s="107"/>
      <c r="K674" s="100"/>
      <c r="L674" s="61"/>
      <c r="M674" s="61"/>
    </row>
    <row r="675">
      <c r="A675" s="65"/>
      <c r="B675" s="65"/>
      <c r="C675" s="65"/>
      <c r="D675" s="65"/>
      <c r="E675" s="65"/>
      <c r="F675" s="65"/>
      <c r="G675" s="65"/>
      <c r="H675" s="65"/>
      <c r="I675" s="65"/>
      <c r="J675" s="108"/>
      <c r="K675" s="103"/>
      <c r="L675" s="65"/>
      <c r="M675" s="65"/>
    </row>
    <row r="676">
      <c r="A676" s="61"/>
      <c r="B676" s="61"/>
      <c r="C676" s="61"/>
      <c r="D676" s="61"/>
      <c r="E676" s="61"/>
      <c r="F676" s="61"/>
      <c r="G676" s="61"/>
      <c r="H676" s="61"/>
      <c r="I676" s="61"/>
      <c r="J676" s="107"/>
      <c r="K676" s="100"/>
      <c r="L676" s="61"/>
      <c r="M676" s="61"/>
    </row>
    <row r="677">
      <c r="A677" s="65"/>
      <c r="B677" s="65"/>
      <c r="C677" s="65"/>
      <c r="D677" s="65"/>
      <c r="E677" s="65"/>
      <c r="F677" s="65"/>
      <c r="G677" s="65"/>
      <c r="H677" s="65"/>
      <c r="I677" s="65"/>
      <c r="J677" s="108"/>
      <c r="K677" s="103"/>
      <c r="L677" s="65"/>
      <c r="M677" s="65"/>
    </row>
    <row r="678">
      <c r="A678" s="61"/>
      <c r="B678" s="61"/>
      <c r="C678" s="61"/>
      <c r="D678" s="61"/>
      <c r="E678" s="61"/>
      <c r="F678" s="61"/>
      <c r="G678" s="61"/>
      <c r="H678" s="61"/>
      <c r="I678" s="61"/>
      <c r="J678" s="107"/>
      <c r="K678" s="100"/>
      <c r="L678" s="61"/>
      <c r="M678" s="61"/>
    </row>
    <row r="679">
      <c r="A679" s="65"/>
      <c r="B679" s="65"/>
      <c r="C679" s="65"/>
      <c r="D679" s="65"/>
      <c r="E679" s="65"/>
      <c r="F679" s="65"/>
      <c r="G679" s="65"/>
      <c r="H679" s="65"/>
      <c r="I679" s="65"/>
      <c r="J679" s="108"/>
      <c r="K679" s="103"/>
      <c r="L679" s="65"/>
      <c r="M679" s="65"/>
    </row>
    <row r="680">
      <c r="A680" s="61"/>
      <c r="B680" s="61"/>
      <c r="C680" s="61"/>
      <c r="D680" s="61"/>
      <c r="E680" s="61"/>
      <c r="F680" s="61"/>
      <c r="G680" s="61"/>
      <c r="H680" s="61"/>
      <c r="I680" s="61"/>
      <c r="J680" s="107"/>
      <c r="K680" s="100"/>
      <c r="L680" s="61"/>
      <c r="M680" s="61"/>
    </row>
    <row r="681">
      <c r="A681" s="65"/>
      <c r="B681" s="65"/>
      <c r="C681" s="65"/>
      <c r="D681" s="65"/>
      <c r="E681" s="65"/>
      <c r="F681" s="65"/>
      <c r="G681" s="65"/>
      <c r="H681" s="65"/>
      <c r="I681" s="65"/>
      <c r="J681" s="108"/>
      <c r="K681" s="103"/>
      <c r="L681" s="65"/>
      <c r="M681" s="65"/>
    </row>
    <row r="682">
      <c r="A682" s="61"/>
      <c r="B682" s="61"/>
      <c r="C682" s="61"/>
      <c r="D682" s="61"/>
      <c r="E682" s="61"/>
      <c r="F682" s="61"/>
      <c r="G682" s="61"/>
      <c r="H682" s="61"/>
      <c r="I682" s="61"/>
      <c r="J682" s="107"/>
      <c r="K682" s="100"/>
      <c r="L682" s="61"/>
      <c r="M682" s="61"/>
    </row>
    <row r="683">
      <c r="A683" s="65"/>
      <c r="B683" s="65"/>
      <c r="C683" s="65"/>
      <c r="D683" s="65"/>
      <c r="E683" s="65"/>
      <c r="F683" s="65"/>
      <c r="G683" s="65"/>
      <c r="H683" s="65"/>
      <c r="I683" s="65"/>
      <c r="J683" s="108"/>
      <c r="K683" s="103"/>
      <c r="L683" s="65"/>
      <c r="M683" s="65"/>
    </row>
    <row r="684">
      <c r="A684" s="61"/>
      <c r="B684" s="61"/>
      <c r="C684" s="61"/>
      <c r="D684" s="61"/>
      <c r="E684" s="61"/>
      <c r="F684" s="61"/>
      <c r="G684" s="61"/>
      <c r="H684" s="61"/>
      <c r="I684" s="61"/>
      <c r="J684" s="107"/>
      <c r="K684" s="100"/>
      <c r="L684" s="61"/>
      <c r="M684" s="61"/>
    </row>
    <row r="685">
      <c r="A685" s="65"/>
      <c r="B685" s="65"/>
      <c r="C685" s="65"/>
      <c r="D685" s="65"/>
      <c r="E685" s="65"/>
      <c r="F685" s="65"/>
      <c r="G685" s="65"/>
      <c r="H685" s="65"/>
      <c r="I685" s="65"/>
      <c r="J685" s="108"/>
      <c r="K685" s="103"/>
      <c r="L685" s="65"/>
      <c r="M685" s="65"/>
    </row>
    <row r="686">
      <c r="A686" s="61"/>
      <c r="B686" s="61"/>
      <c r="C686" s="61"/>
      <c r="D686" s="61"/>
      <c r="E686" s="61"/>
      <c r="F686" s="61"/>
      <c r="G686" s="61"/>
      <c r="H686" s="61"/>
      <c r="I686" s="61"/>
      <c r="J686" s="107"/>
      <c r="K686" s="100"/>
      <c r="L686" s="61"/>
      <c r="M686" s="61"/>
    </row>
    <row r="687">
      <c r="A687" s="65"/>
      <c r="B687" s="65"/>
      <c r="C687" s="65"/>
      <c r="D687" s="65"/>
      <c r="E687" s="65"/>
      <c r="F687" s="65"/>
      <c r="G687" s="65"/>
      <c r="H687" s="65"/>
      <c r="I687" s="65"/>
      <c r="J687" s="108"/>
      <c r="K687" s="103"/>
      <c r="L687" s="65"/>
      <c r="M687" s="65"/>
    </row>
    <row r="688">
      <c r="A688" s="61"/>
      <c r="B688" s="61"/>
      <c r="C688" s="61"/>
      <c r="D688" s="61"/>
      <c r="E688" s="61"/>
      <c r="F688" s="61"/>
      <c r="G688" s="61"/>
      <c r="H688" s="61"/>
      <c r="I688" s="61"/>
      <c r="J688" s="107"/>
      <c r="K688" s="100"/>
      <c r="L688" s="61"/>
      <c r="M688" s="61"/>
    </row>
    <row r="689">
      <c r="A689" s="65"/>
      <c r="B689" s="65"/>
      <c r="C689" s="65"/>
      <c r="D689" s="65"/>
      <c r="E689" s="65"/>
      <c r="F689" s="65"/>
      <c r="G689" s="65"/>
      <c r="H689" s="65"/>
      <c r="I689" s="65"/>
      <c r="J689" s="108"/>
      <c r="K689" s="103"/>
      <c r="L689" s="65"/>
      <c r="M689" s="65"/>
    </row>
    <row r="690">
      <c r="A690" s="61"/>
      <c r="B690" s="61"/>
      <c r="C690" s="61"/>
      <c r="D690" s="61"/>
      <c r="E690" s="61"/>
      <c r="F690" s="61"/>
      <c r="G690" s="61"/>
      <c r="H690" s="61"/>
      <c r="I690" s="61"/>
      <c r="J690" s="107"/>
      <c r="K690" s="100"/>
      <c r="L690" s="61"/>
      <c r="M690" s="61"/>
    </row>
    <row r="691">
      <c r="A691" s="65"/>
      <c r="B691" s="65"/>
      <c r="C691" s="65"/>
      <c r="D691" s="65"/>
      <c r="E691" s="65"/>
      <c r="F691" s="65"/>
      <c r="G691" s="65"/>
      <c r="H691" s="65"/>
      <c r="I691" s="65"/>
      <c r="J691" s="108"/>
      <c r="K691" s="103"/>
      <c r="L691" s="65"/>
      <c r="M691" s="65"/>
    </row>
    <row r="692">
      <c r="A692" s="61"/>
      <c r="B692" s="61"/>
      <c r="C692" s="61"/>
      <c r="D692" s="61"/>
      <c r="E692" s="61"/>
      <c r="F692" s="61"/>
      <c r="G692" s="61"/>
      <c r="H692" s="61"/>
      <c r="I692" s="61"/>
      <c r="J692" s="107"/>
      <c r="K692" s="100"/>
      <c r="L692" s="61"/>
      <c r="M692" s="61"/>
    </row>
    <row r="693">
      <c r="A693" s="65"/>
      <c r="B693" s="65"/>
      <c r="C693" s="65"/>
      <c r="D693" s="65"/>
      <c r="E693" s="65"/>
      <c r="F693" s="65"/>
      <c r="G693" s="65"/>
      <c r="H693" s="65"/>
      <c r="I693" s="65"/>
      <c r="J693" s="108"/>
      <c r="K693" s="103"/>
      <c r="L693" s="65"/>
      <c r="M693" s="65"/>
    </row>
    <row r="694">
      <c r="A694" s="61"/>
      <c r="B694" s="61"/>
      <c r="C694" s="61"/>
      <c r="D694" s="61"/>
      <c r="E694" s="61"/>
      <c r="F694" s="61"/>
      <c r="G694" s="61"/>
      <c r="H694" s="61"/>
      <c r="I694" s="61"/>
      <c r="J694" s="107"/>
      <c r="K694" s="100"/>
      <c r="L694" s="61"/>
      <c r="M694" s="61"/>
    </row>
    <row r="695">
      <c r="A695" s="65"/>
      <c r="B695" s="65"/>
      <c r="C695" s="65"/>
      <c r="D695" s="65"/>
      <c r="E695" s="65"/>
      <c r="F695" s="65"/>
      <c r="G695" s="65"/>
      <c r="H695" s="65"/>
      <c r="I695" s="65"/>
      <c r="J695" s="108"/>
      <c r="K695" s="103"/>
      <c r="L695" s="65"/>
      <c r="M695" s="65"/>
    </row>
    <row r="696">
      <c r="A696" s="61"/>
      <c r="B696" s="61"/>
      <c r="C696" s="61"/>
      <c r="D696" s="61"/>
      <c r="E696" s="61"/>
      <c r="F696" s="61"/>
      <c r="G696" s="61"/>
      <c r="H696" s="61"/>
      <c r="I696" s="61"/>
      <c r="J696" s="107"/>
      <c r="K696" s="100"/>
      <c r="L696" s="61"/>
      <c r="M696" s="61"/>
    </row>
    <row r="697">
      <c r="A697" s="65"/>
      <c r="B697" s="65"/>
      <c r="C697" s="65"/>
      <c r="D697" s="65"/>
      <c r="E697" s="65"/>
      <c r="F697" s="65"/>
      <c r="G697" s="65"/>
      <c r="H697" s="65"/>
      <c r="I697" s="65"/>
      <c r="J697" s="108"/>
      <c r="K697" s="103"/>
      <c r="L697" s="65"/>
      <c r="M697" s="65"/>
    </row>
    <row r="698">
      <c r="A698" s="61"/>
      <c r="B698" s="61"/>
      <c r="C698" s="61"/>
      <c r="D698" s="61"/>
      <c r="E698" s="61"/>
      <c r="F698" s="61"/>
      <c r="G698" s="61"/>
      <c r="H698" s="61"/>
      <c r="I698" s="61"/>
      <c r="J698" s="107"/>
      <c r="K698" s="100"/>
      <c r="L698" s="61"/>
      <c r="M698" s="61"/>
    </row>
    <row r="699">
      <c r="A699" s="65"/>
      <c r="B699" s="65"/>
      <c r="C699" s="65"/>
      <c r="D699" s="65"/>
      <c r="E699" s="65"/>
      <c r="F699" s="65"/>
      <c r="G699" s="65"/>
      <c r="H699" s="65"/>
      <c r="I699" s="65"/>
      <c r="J699" s="108"/>
      <c r="K699" s="103"/>
      <c r="L699" s="65"/>
      <c r="M699" s="65"/>
    </row>
    <row r="700">
      <c r="A700" s="61"/>
      <c r="B700" s="61"/>
      <c r="C700" s="61"/>
      <c r="D700" s="61"/>
      <c r="E700" s="61"/>
      <c r="F700" s="61"/>
      <c r="G700" s="61"/>
      <c r="H700" s="61"/>
      <c r="I700" s="61"/>
      <c r="J700" s="107"/>
      <c r="K700" s="100"/>
      <c r="L700" s="61"/>
      <c r="M700" s="61"/>
    </row>
    <row r="701">
      <c r="A701" s="65"/>
      <c r="B701" s="65"/>
      <c r="C701" s="65"/>
      <c r="D701" s="65"/>
      <c r="E701" s="65"/>
      <c r="F701" s="65"/>
      <c r="G701" s="65"/>
      <c r="H701" s="65"/>
      <c r="I701" s="65"/>
      <c r="J701" s="108"/>
      <c r="K701" s="103"/>
      <c r="L701" s="65"/>
      <c r="M701" s="65"/>
    </row>
    <row r="702">
      <c r="A702" s="61"/>
      <c r="B702" s="61"/>
      <c r="C702" s="61"/>
      <c r="D702" s="61"/>
      <c r="E702" s="61"/>
      <c r="F702" s="61"/>
      <c r="G702" s="61"/>
      <c r="H702" s="61"/>
      <c r="I702" s="61"/>
      <c r="J702" s="107"/>
      <c r="K702" s="100"/>
      <c r="L702" s="61"/>
      <c r="M702" s="61"/>
    </row>
    <row r="703">
      <c r="A703" s="65"/>
      <c r="B703" s="65"/>
      <c r="C703" s="65"/>
      <c r="D703" s="65"/>
      <c r="E703" s="65"/>
      <c r="F703" s="65"/>
      <c r="G703" s="65"/>
      <c r="H703" s="65"/>
      <c r="I703" s="65"/>
      <c r="J703" s="108"/>
      <c r="K703" s="103"/>
      <c r="L703" s="65"/>
      <c r="M703" s="65"/>
    </row>
    <row r="704">
      <c r="A704" s="61"/>
      <c r="B704" s="61"/>
      <c r="C704" s="61"/>
      <c r="D704" s="61"/>
      <c r="E704" s="61"/>
      <c r="F704" s="61"/>
      <c r="G704" s="61"/>
      <c r="H704" s="61"/>
      <c r="I704" s="61"/>
      <c r="J704" s="107"/>
      <c r="K704" s="100"/>
      <c r="L704" s="61"/>
      <c r="M704" s="61"/>
    </row>
    <row r="705">
      <c r="A705" s="65"/>
      <c r="B705" s="65"/>
      <c r="C705" s="65"/>
      <c r="D705" s="65"/>
      <c r="E705" s="65"/>
      <c r="F705" s="65"/>
      <c r="G705" s="65"/>
      <c r="H705" s="65"/>
      <c r="I705" s="65"/>
      <c r="J705" s="108"/>
      <c r="K705" s="103"/>
      <c r="L705" s="65"/>
      <c r="M705" s="65"/>
    </row>
    <row r="706">
      <c r="A706" s="61"/>
      <c r="B706" s="61"/>
      <c r="C706" s="61"/>
      <c r="D706" s="61"/>
      <c r="E706" s="61"/>
      <c r="F706" s="61"/>
      <c r="G706" s="61"/>
      <c r="H706" s="61"/>
      <c r="I706" s="61"/>
      <c r="J706" s="107"/>
      <c r="K706" s="100"/>
      <c r="L706" s="61"/>
      <c r="M706" s="61"/>
    </row>
    <row r="707">
      <c r="A707" s="65"/>
      <c r="B707" s="65"/>
      <c r="C707" s="65"/>
      <c r="D707" s="65"/>
      <c r="E707" s="65"/>
      <c r="F707" s="65"/>
      <c r="G707" s="65"/>
      <c r="H707" s="65"/>
      <c r="I707" s="65"/>
      <c r="J707" s="108"/>
      <c r="K707" s="103"/>
      <c r="L707" s="65"/>
      <c r="M707" s="65"/>
    </row>
    <row r="708">
      <c r="A708" s="61"/>
      <c r="B708" s="61"/>
      <c r="C708" s="61"/>
      <c r="D708" s="61"/>
      <c r="E708" s="61"/>
      <c r="F708" s="61"/>
      <c r="G708" s="61"/>
      <c r="H708" s="61"/>
      <c r="I708" s="61"/>
      <c r="J708" s="107"/>
      <c r="K708" s="100"/>
      <c r="L708" s="61"/>
      <c r="M708" s="61"/>
    </row>
    <row r="709">
      <c r="A709" s="65"/>
      <c r="B709" s="65"/>
      <c r="C709" s="65"/>
      <c r="D709" s="65"/>
      <c r="E709" s="65"/>
      <c r="F709" s="65"/>
      <c r="G709" s="65"/>
      <c r="H709" s="65"/>
      <c r="I709" s="65"/>
      <c r="J709" s="108"/>
      <c r="K709" s="103"/>
      <c r="L709" s="65"/>
      <c r="M709" s="65"/>
    </row>
    <row r="710">
      <c r="A710" s="61"/>
      <c r="B710" s="61"/>
      <c r="C710" s="61"/>
      <c r="D710" s="61"/>
      <c r="E710" s="61"/>
      <c r="F710" s="61"/>
      <c r="G710" s="61"/>
      <c r="H710" s="61"/>
      <c r="I710" s="61"/>
      <c r="J710" s="107"/>
      <c r="K710" s="100"/>
      <c r="L710" s="61"/>
      <c r="M710" s="61"/>
    </row>
    <row r="711">
      <c r="A711" s="65"/>
      <c r="B711" s="65"/>
      <c r="C711" s="65"/>
      <c r="D711" s="65"/>
      <c r="E711" s="65"/>
      <c r="F711" s="65"/>
      <c r="G711" s="65"/>
      <c r="H711" s="65"/>
      <c r="I711" s="65"/>
      <c r="J711" s="108"/>
      <c r="K711" s="103"/>
      <c r="L711" s="65"/>
      <c r="M711" s="65"/>
    </row>
    <row r="712">
      <c r="A712" s="61"/>
      <c r="B712" s="61"/>
      <c r="C712" s="61"/>
      <c r="D712" s="61"/>
      <c r="E712" s="61"/>
      <c r="F712" s="61"/>
      <c r="G712" s="61"/>
      <c r="H712" s="61"/>
      <c r="I712" s="61"/>
      <c r="J712" s="107"/>
      <c r="K712" s="100"/>
      <c r="L712" s="61"/>
      <c r="M712" s="61"/>
    </row>
    <row r="713">
      <c r="A713" s="65"/>
      <c r="B713" s="65"/>
      <c r="C713" s="65"/>
      <c r="D713" s="65"/>
      <c r="E713" s="65"/>
      <c r="F713" s="65"/>
      <c r="G713" s="65"/>
      <c r="H713" s="65"/>
      <c r="I713" s="65"/>
      <c r="J713" s="108"/>
      <c r="K713" s="103"/>
      <c r="L713" s="65"/>
      <c r="M713" s="65"/>
    </row>
    <row r="714">
      <c r="A714" s="61"/>
      <c r="B714" s="61"/>
      <c r="C714" s="61"/>
      <c r="D714" s="61"/>
      <c r="E714" s="61"/>
      <c r="F714" s="61"/>
      <c r="G714" s="61"/>
      <c r="H714" s="61"/>
      <c r="I714" s="61"/>
      <c r="J714" s="107"/>
      <c r="K714" s="100"/>
      <c r="L714" s="61"/>
      <c r="M714" s="61"/>
    </row>
    <row r="715">
      <c r="A715" s="65"/>
      <c r="B715" s="65"/>
      <c r="C715" s="65"/>
      <c r="D715" s="65"/>
      <c r="E715" s="65"/>
      <c r="F715" s="65"/>
      <c r="G715" s="65"/>
      <c r="H715" s="65"/>
      <c r="I715" s="65"/>
      <c r="J715" s="108"/>
      <c r="K715" s="103"/>
      <c r="L715" s="65"/>
      <c r="M715" s="65"/>
    </row>
    <row r="716">
      <c r="A716" s="61"/>
      <c r="B716" s="61"/>
      <c r="C716" s="61"/>
      <c r="D716" s="61"/>
      <c r="E716" s="61"/>
      <c r="F716" s="61"/>
      <c r="G716" s="61"/>
      <c r="H716" s="61"/>
      <c r="I716" s="61"/>
      <c r="J716" s="107"/>
      <c r="K716" s="100"/>
      <c r="L716" s="61"/>
      <c r="M716" s="61"/>
    </row>
    <row r="717">
      <c r="A717" s="65"/>
      <c r="B717" s="65"/>
      <c r="C717" s="65"/>
      <c r="D717" s="65"/>
      <c r="E717" s="65"/>
      <c r="F717" s="65"/>
      <c r="G717" s="65"/>
      <c r="H717" s="65"/>
      <c r="I717" s="65"/>
      <c r="J717" s="108"/>
      <c r="K717" s="103"/>
      <c r="L717" s="65"/>
      <c r="M717" s="65"/>
    </row>
    <row r="718">
      <c r="A718" s="61"/>
      <c r="B718" s="61"/>
      <c r="C718" s="61"/>
      <c r="D718" s="61"/>
      <c r="E718" s="61"/>
      <c r="F718" s="61"/>
      <c r="G718" s="61"/>
      <c r="H718" s="61"/>
      <c r="I718" s="61"/>
      <c r="J718" s="107"/>
      <c r="K718" s="100"/>
      <c r="L718" s="61"/>
      <c r="M718" s="61"/>
    </row>
    <row r="719">
      <c r="A719" s="65"/>
      <c r="B719" s="65"/>
      <c r="C719" s="65"/>
      <c r="D719" s="65"/>
      <c r="E719" s="65"/>
      <c r="F719" s="65"/>
      <c r="G719" s="65"/>
      <c r="H719" s="65"/>
      <c r="I719" s="65"/>
      <c r="J719" s="108"/>
      <c r="K719" s="103"/>
      <c r="L719" s="65"/>
      <c r="M719" s="65"/>
    </row>
    <row r="720">
      <c r="A720" s="61"/>
      <c r="B720" s="61"/>
      <c r="C720" s="61"/>
      <c r="D720" s="61"/>
      <c r="E720" s="61"/>
      <c r="F720" s="61"/>
      <c r="G720" s="61"/>
      <c r="H720" s="61"/>
      <c r="I720" s="61"/>
      <c r="J720" s="107"/>
      <c r="K720" s="100"/>
      <c r="L720" s="61"/>
      <c r="M720" s="61"/>
    </row>
    <row r="721">
      <c r="A721" s="65"/>
      <c r="B721" s="65"/>
      <c r="C721" s="65"/>
      <c r="D721" s="65"/>
      <c r="E721" s="65"/>
      <c r="F721" s="65"/>
      <c r="G721" s="65"/>
      <c r="H721" s="65"/>
      <c r="I721" s="65"/>
      <c r="J721" s="108"/>
      <c r="K721" s="103"/>
      <c r="L721" s="65"/>
      <c r="M721" s="65"/>
    </row>
    <row r="722">
      <c r="A722" s="61"/>
      <c r="B722" s="61"/>
      <c r="C722" s="61"/>
      <c r="D722" s="61"/>
      <c r="E722" s="61"/>
      <c r="F722" s="61"/>
      <c r="G722" s="61"/>
      <c r="H722" s="61"/>
      <c r="I722" s="61"/>
      <c r="J722" s="107"/>
      <c r="K722" s="100"/>
      <c r="L722" s="61"/>
      <c r="M722" s="61"/>
    </row>
    <row r="723">
      <c r="A723" s="65"/>
      <c r="B723" s="65"/>
      <c r="C723" s="65"/>
      <c r="D723" s="65"/>
      <c r="E723" s="65"/>
      <c r="F723" s="65"/>
      <c r="G723" s="65"/>
      <c r="H723" s="65"/>
      <c r="I723" s="65"/>
      <c r="J723" s="108"/>
      <c r="K723" s="103"/>
      <c r="L723" s="65"/>
      <c r="M723" s="65"/>
    </row>
    <row r="724">
      <c r="A724" s="61"/>
      <c r="B724" s="61"/>
      <c r="C724" s="61"/>
      <c r="D724" s="61"/>
      <c r="E724" s="61"/>
      <c r="F724" s="61"/>
      <c r="G724" s="61"/>
      <c r="H724" s="61"/>
      <c r="I724" s="61"/>
      <c r="J724" s="107"/>
      <c r="K724" s="100"/>
      <c r="L724" s="61"/>
      <c r="M724" s="61"/>
    </row>
    <row r="725">
      <c r="A725" s="65"/>
      <c r="B725" s="65"/>
      <c r="C725" s="65"/>
      <c r="D725" s="65"/>
      <c r="E725" s="65"/>
      <c r="F725" s="65"/>
      <c r="G725" s="65"/>
      <c r="H725" s="65"/>
      <c r="I725" s="65"/>
      <c r="J725" s="108"/>
      <c r="K725" s="103"/>
      <c r="L725" s="65"/>
      <c r="M725" s="65"/>
    </row>
    <row r="726">
      <c r="A726" s="61"/>
      <c r="B726" s="61"/>
      <c r="C726" s="61"/>
      <c r="D726" s="61"/>
      <c r="E726" s="61"/>
      <c r="F726" s="61"/>
      <c r="G726" s="61"/>
      <c r="H726" s="61"/>
      <c r="I726" s="61"/>
      <c r="J726" s="107"/>
      <c r="K726" s="100"/>
      <c r="L726" s="61"/>
      <c r="M726" s="61"/>
    </row>
    <row r="727">
      <c r="A727" s="65"/>
      <c r="B727" s="65"/>
      <c r="C727" s="65"/>
      <c r="D727" s="65"/>
      <c r="E727" s="65"/>
      <c r="F727" s="65"/>
      <c r="G727" s="65"/>
      <c r="H727" s="65"/>
      <c r="I727" s="65"/>
      <c r="J727" s="108"/>
      <c r="K727" s="103"/>
      <c r="L727" s="65"/>
      <c r="M727" s="65"/>
    </row>
    <row r="728">
      <c r="A728" s="61"/>
      <c r="B728" s="61"/>
      <c r="C728" s="61"/>
      <c r="D728" s="61"/>
      <c r="E728" s="61"/>
      <c r="F728" s="61"/>
      <c r="G728" s="61"/>
      <c r="H728" s="61"/>
      <c r="I728" s="61"/>
      <c r="J728" s="107"/>
      <c r="K728" s="100"/>
      <c r="L728" s="61"/>
      <c r="M728" s="61"/>
    </row>
    <row r="729">
      <c r="A729" s="65"/>
      <c r="B729" s="65"/>
      <c r="C729" s="65"/>
      <c r="D729" s="65"/>
      <c r="E729" s="65"/>
      <c r="F729" s="65"/>
      <c r="G729" s="65"/>
      <c r="H729" s="65"/>
      <c r="I729" s="65"/>
      <c r="J729" s="108"/>
      <c r="K729" s="103"/>
      <c r="L729" s="65"/>
      <c r="M729" s="65"/>
    </row>
    <row r="730">
      <c r="A730" s="61"/>
      <c r="B730" s="61"/>
      <c r="C730" s="61"/>
      <c r="D730" s="61"/>
      <c r="E730" s="61"/>
      <c r="F730" s="61"/>
      <c r="G730" s="61"/>
      <c r="H730" s="61"/>
      <c r="I730" s="61"/>
      <c r="J730" s="107"/>
      <c r="K730" s="100"/>
      <c r="L730" s="61"/>
      <c r="M730" s="61"/>
    </row>
    <row r="731">
      <c r="A731" s="65"/>
      <c r="B731" s="65"/>
      <c r="C731" s="65"/>
      <c r="D731" s="65"/>
      <c r="E731" s="65"/>
      <c r="F731" s="65"/>
      <c r="G731" s="65"/>
      <c r="H731" s="65"/>
      <c r="I731" s="65"/>
      <c r="J731" s="108"/>
      <c r="K731" s="103"/>
      <c r="L731" s="65"/>
      <c r="M731" s="65"/>
    </row>
    <row r="732">
      <c r="A732" s="61"/>
      <c r="B732" s="61"/>
      <c r="C732" s="61"/>
      <c r="D732" s="61"/>
      <c r="E732" s="61"/>
      <c r="F732" s="61"/>
      <c r="G732" s="61"/>
      <c r="H732" s="61"/>
      <c r="I732" s="61"/>
      <c r="J732" s="107"/>
      <c r="K732" s="100"/>
      <c r="L732" s="61"/>
      <c r="M732" s="61"/>
    </row>
    <row r="733">
      <c r="A733" s="65"/>
      <c r="B733" s="65"/>
      <c r="C733" s="65"/>
      <c r="D733" s="65"/>
      <c r="E733" s="65"/>
      <c r="F733" s="65"/>
      <c r="G733" s="65"/>
      <c r="H733" s="65"/>
      <c r="I733" s="65"/>
      <c r="J733" s="108"/>
      <c r="K733" s="103"/>
      <c r="L733" s="65"/>
      <c r="M733" s="65"/>
    </row>
    <row r="734">
      <c r="A734" s="61"/>
      <c r="B734" s="61"/>
      <c r="C734" s="61"/>
      <c r="D734" s="61"/>
      <c r="E734" s="61"/>
      <c r="F734" s="61"/>
      <c r="G734" s="61"/>
      <c r="H734" s="61"/>
      <c r="I734" s="61"/>
      <c r="J734" s="107"/>
      <c r="K734" s="100"/>
      <c r="L734" s="61"/>
      <c r="M734" s="61"/>
    </row>
    <row r="735">
      <c r="A735" s="65"/>
      <c r="B735" s="65"/>
      <c r="C735" s="65"/>
      <c r="D735" s="65"/>
      <c r="E735" s="65"/>
      <c r="F735" s="65"/>
      <c r="G735" s="65"/>
      <c r="H735" s="65"/>
      <c r="I735" s="65"/>
      <c r="J735" s="108"/>
      <c r="K735" s="103"/>
      <c r="L735" s="65"/>
      <c r="M735" s="65"/>
    </row>
    <row r="736">
      <c r="A736" s="61"/>
      <c r="B736" s="61"/>
      <c r="C736" s="61"/>
      <c r="D736" s="61"/>
      <c r="E736" s="61"/>
      <c r="F736" s="61"/>
      <c r="G736" s="61"/>
      <c r="H736" s="61"/>
      <c r="I736" s="61"/>
      <c r="J736" s="107"/>
      <c r="K736" s="100"/>
      <c r="L736" s="61"/>
      <c r="M736" s="61"/>
    </row>
    <row r="737">
      <c r="A737" s="65"/>
      <c r="B737" s="65"/>
      <c r="C737" s="65"/>
      <c r="D737" s="65"/>
      <c r="E737" s="65"/>
      <c r="F737" s="65"/>
      <c r="G737" s="65"/>
      <c r="H737" s="65"/>
      <c r="I737" s="65"/>
      <c r="J737" s="108"/>
      <c r="K737" s="103"/>
      <c r="L737" s="65"/>
      <c r="M737" s="65"/>
    </row>
    <row r="738">
      <c r="A738" s="61"/>
      <c r="B738" s="61"/>
      <c r="C738" s="61"/>
      <c r="D738" s="61"/>
      <c r="E738" s="61"/>
      <c r="F738" s="61"/>
      <c r="G738" s="61"/>
      <c r="H738" s="61"/>
      <c r="I738" s="61"/>
      <c r="J738" s="107"/>
      <c r="K738" s="100"/>
      <c r="L738" s="61"/>
      <c r="M738" s="61"/>
    </row>
    <row r="739">
      <c r="A739" s="65"/>
      <c r="B739" s="65"/>
      <c r="C739" s="65"/>
      <c r="D739" s="65"/>
      <c r="E739" s="65"/>
      <c r="F739" s="65"/>
      <c r="G739" s="65"/>
      <c r="H739" s="65"/>
      <c r="I739" s="65"/>
      <c r="J739" s="108"/>
      <c r="K739" s="103"/>
      <c r="L739" s="65"/>
      <c r="M739" s="65"/>
    </row>
    <row r="740">
      <c r="A740" s="61"/>
      <c r="B740" s="61"/>
      <c r="C740" s="61"/>
      <c r="D740" s="61"/>
      <c r="E740" s="61"/>
      <c r="F740" s="61"/>
      <c r="G740" s="61"/>
      <c r="H740" s="61"/>
      <c r="I740" s="61"/>
      <c r="J740" s="107"/>
      <c r="K740" s="100"/>
      <c r="L740" s="61"/>
      <c r="M740" s="61"/>
    </row>
    <row r="741">
      <c r="A741" s="65"/>
      <c r="B741" s="65"/>
      <c r="C741" s="65"/>
      <c r="D741" s="65"/>
      <c r="E741" s="65"/>
      <c r="F741" s="65"/>
      <c r="G741" s="65"/>
      <c r="H741" s="65"/>
      <c r="I741" s="65"/>
      <c r="J741" s="108"/>
      <c r="K741" s="103"/>
      <c r="L741" s="65"/>
      <c r="M741" s="65"/>
    </row>
    <row r="742">
      <c r="A742" s="61"/>
      <c r="B742" s="61"/>
      <c r="C742" s="61"/>
      <c r="D742" s="61"/>
      <c r="E742" s="61"/>
      <c r="F742" s="61"/>
      <c r="G742" s="61"/>
      <c r="H742" s="61"/>
      <c r="I742" s="61"/>
      <c r="J742" s="107"/>
      <c r="K742" s="100"/>
      <c r="L742" s="61"/>
      <c r="M742" s="61"/>
    </row>
    <row r="743">
      <c r="A743" s="65"/>
      <c r="B743" s="65"/>
      <c r="C743" s="65"/>
      <c r="D743" s="65"/>
      <c r="E743" s="65"/>
      <c r="F743" s="65"/>
      <c r="G743" s="65"/>
      <c r="H743" s="65"/>
      <c r="I743" s="65"/>
      <c r="J743" s="108"/>
      <c r="K743" s="103"/>
      <c r="L743" s="65"/>
      <c r="M743" s="65"/>
    </row>
    <row r="744">
      <c r="A744" s="61"/>
      <c r="B744" s="61"/>
      <c r="C744" s="61"/>
      <c r="D744" s="61"/>
      <c r="E744" s="61"/>
      <c r="F744" s="61"/>
      <c r="G744" s="61"/>
      <c r="H744" s="61"/>
      <c r="I744" s="61"/>
      <c r="J744" s="107"/>
      <c r="K744" s="100"/>
      <c r="L744" s="61"/>
      <c r="M744" s="61"/>
    </row>
    <row r="745">
      <c r="A745" s="65"/>
      <c r="B745" s="65"/>
      <c r="C745" s="65"/>
      <c r="D745" s="65"/>
      <c r="E745" s="65"/>
      <c r="F745" s="65"/>
      <c r="G745" s="65"/>
      <c r="H745" s="65"/>
      <c r="I745" s="65"/>
      <c r="J745" s="108"/>
      <c r="K745" s="103"/>
      <c r="L745" s="65"/>
      <c r="M745" s="65"/>
    </row>
    <row r="746">
      <c r="A746" s="61"/>
      <c r="B746" s="61"/>
      <c r="C746" s="61"/>
      <c r="D746" s="61"/>
      <c r="E746" s="61"/>
      <c r="F746" s="61"/>
      <c r="G746" s="61"/>
      <c r="H746" s="61"/>
      <c r="I746" s="61"/>
      <c r="J746" s="107"/>
      <c r="K746" s="100"/>
      <c r="L746" s="61"/>
      <c r="M746" s="61"/>
    </row>
    <row r="747">
      <c r="A747" s="65"/>
      <c r="B747" s="65"/>
      <c r="C747" s="65"/>
      <c r="D747" s="65"/>
      <c r="E747" s="65"/>
      <c r="F747" s="65"/>
      <c r="G747" s="65"/>
      <c r="H747" s="65"/>
      <c r="I747" s="65"/>
      <c r="J747" s="108"/>
      <c r="K747" s="103"/>
      <c r="L747" s="65"/>
      <c r="M747" s="65"/>
    </row>
    <row r="748">
      <c r="A748" s="61"/>
      <c r="B748" s="61"/>
      <c r="C748" s="61"/>
      <c r="D748" s="61"/>
      <c r="E748" s="61"/>
      <c r="F748" s="61"/>
      <c r="G748" s="61"/>
      <c r="H748" s="61"/>
      <c r="I748" s="61"/>
      <c r="J748" s="107"/>
      <c r="K748" s="100"/>
      <c r="L748" s="61"/>
      <c r="M748" s="61"/>
    </row>
    <row r="749">
      <c r="A749" s="65"/>
      <c r="B749" s="65"/>
      <c r="C749" s="65"/>
      <c r="D749" s="65"/>
      <c r="E749" s="65"/>
      <c r="F749" s="65"/>
      <c r="G749" s="65"/>
      <c r="H749" s="65"/>
      <c r="I749" s="65"/>
      <c r="J749" s="108"/>
      <c r="K749" s="103"/>
      <c r="L749" s="65"/>
      <c r="M749" s="65"/>
    </row>
    <row r="750">
      <c r="A750" s="61"/>
      <c r="B750" s="61"/>
      <c r="C750" s="61"/>
      <c r="D750" s="61"/>
      <c r="E750" s="61"/>
      <c r="F750" s="61"/>
      <c r="G750" s="61"/>
      <c r="H750" s="61"/>
      <c r="I750" s="61"/>
      <c r="J750" s="107"/>
      <c r="K750" s="100"/>
      <c r="L750" s="61"/>
      <c r="M750" s="61"/>
    </row>
    <row r="751">
      <c r="A751" s="65"/>
      <c r="B751" s="65"/>
      <c r="C751" s="65"/>
      <c r="D751" s="65"/>
      <c r="E751" s="65"/>
      <c r="F751" s="65"/>
      <c r="G751" s="65"/>
      <c r="H751" s="65"/>
      <c r="I751" s="65"/>
      <c r="J751" s="108"/>
      <c r="K751" s="103"/>
      <c r="L751" s="65"/>
      <c r="M751" s="65"/>
    </row>
    <row r="752">
      <c r="A752" s="61"/>
      <c r="B752" s="61"/>
      <c r="C752" s="61"/>
      <c r="D752" s="61"/>
      <c r="E752" s="61"/>
      <c r="F752" s="61"/>
      <c r="G752" s="61"/>
      <c r="H752" s="61"/>
      <c r="I752" s="61"/>
      <c r="J752" s="107"/>
      <c r="K752" s="100"/>
      <c r="L752" s="61"/>
      <c r="M752" s="61"/>
    </row>
    <row r="753">
      <c r="A753" s="65"/>
      <c r="B753" s="65"/>
      <c r="C753" s="65"/>
      <c r="D753" s="65"/>
      <c r="E753" s="65"/>
      <c r="F753" s="65"/>
      <c r="G753" s="65"/>
      <c r="H753" s="65"/>
      <c r="I753" s="65"/>
      <c r="J753" s="108"/>
      <c r="K753" s="103"/>
      <c r="L753" s="65"/>
      <c r="M753" s="65"/>
    </row>
    <row r="754">
      <c r="A754" s="61"/>
      <c r="B754" s="61"/>
      <c r="C754" s="61"/>
      <c r="D754" s="61"/>
      <c r="E754" s="61"/>
      <c r="F754" s="61"/>
      <c r="G754" s="61"/>
      <c r="H754" s="61"/>
      <c r="I754" s="61"/>
      <c r="J754" s="107"/>
      <c r="K754" s="100"/>
      <c r="L754" s="61"/>
      <c r="M754" s="61"/>
    </row>
    <row r="755">
      <c r="A755" s="65"/>
      <c r="B755" s="65"/>
      <c r="C755" s="65"/>
      <c r="D755" s="65"/>
      <c r="E755" s="65"/>
      <c r="F755" s="65"/>
      <c r="G755" s="65"/>
      <c r="H755" s="65"/>
      <c r="I755" s="65"/>
      <c r="J755" s="108"/>
      <c r="K755" s="103"/>
      <c r="L755" s="65"/>
      <c r="M755" s="65"/>
    </row>
    <row r="756">
      <c r="A756" s="61"/>
      <c r="B756" s="61"/>
      <c r="C756" s="61"/>
      <c r="D756" s="61"/>
      <c r="E756" s="61"/>
      <c r="F756" s="61"/>
      <c r="G756" s="61"/>
      <c r="H756" s="61"/>
      <c r="I756" s="61"/>
      <c r="J756" s="107"/>
      <c r="K756" s="100"/>
      <c r="L756" s="61"/>
      <c r="M756" s="61"/>
    </row>
    <row r="757">
      <c r="A757" s="65"/>
      <c r="B757" s="65"/>
      <c r="C757" s="65"/>
      <c r="D757" s="65"/>
      <c r="E757" s="65"/>
      <c r="F757" s="65"/>
      <c r="G757" s="65"/>
      <c r="H757" s="65"/>
      <c r="I757" s="65"/>
      <c r="J757" s="108"/>
      <c r="K757" s="103"/>
      <c r="L757" s="65"/>
      <c r="M757" s="65"/>
    </row>
    <row r="758">
      <c r="A758" s="61"/>
      <c r="B758" s="61"/>
      <c r="C758" s="61"/>
      <c r="D758" s="61"/>
      <c r="E758" s="61"/>
      <c r="F758" s="61"/>
      <c r="G758" s="61"/>
      <c r="H758" s="61"/>
      <c r="I758" s="61"/>
      <c r="J758" s="107"/>
      <c r="K758" s="100"/>
      <c r="L758" s="61"/>
      <c r="M758" s="61"/>
    </row>
    <row r="759">
      <c r="A759" s="65"/>
      <c r="B759" s="65"/>
      <c r="C759" s="65"/>
      <c r="D759" s="65"/>
      <c r="E759" s="65"/>
      <c r="F759" s="65"/>
      <c r="G759" s="65"/>
      <c r="H759" s="65"/>
      <c r="I759" s="65"/>
      <c r="J759" s="108"/>
      <c r="K759" s="103"/>
      <c r="L759" s="65"/>
      <c r="M759" s="65"/>
    </row>
    <row r="760">
      <c r="A760" s="61"/>
      <c r="B760" s="61"/>
      <c r="C760" s="61"/>
      <c r="D760" s="61"/>
      <c r="E760" s="61"/>
      <c r="F760" s="61"/>
      <c r="G760" s="61"/>
      <c r="H760" s="61"/>
      <c r="I760" s="61"/>
      <c r="J760" s="107"/>
      <c r="K760" s="100"/>
      <c r="L760" s="61"/>
      <c r="M760" s="61"/>
    </row>
    <row r="761">
      <c r="A761" s="65"/>
      <c r="B761" s="65"/>
      <c r="C761" s="65"/>
      <c r="D761" s="65"/>
      <c r="E761" s="65"/>
      <c r="F761" s="65"/>
      <c r="G761" s="65"/>
      <c r="H761" s="65"/>
      <c r="I761" s="65"/>
      <c r="J761" s="108"/>
      <c r="K761" s="103"/>
      <c r="L761" s="65"/>
      <c r="M761" s="65"/>
    </row>
    <row r="762">
      <c r="A762" s="61"/>
      <c r="B762" s="61"/>
      <c r="C762" s="61"/>
      <c r="D762" s="61"/>
      <c r="E762" s="61"/>
      <c r="F762" s="61"/>
      <c r="G762" s="61"/>
      <c r="H762" s="61"/>
      <c r="I762" s="61"/>
      <c r="J762" s="107"/>
      <c r="K762" s="100"/>
      <c r="L762" s="61"/>
      <c r="M762" s="61"/>
    </row>
    <row r="763">
      <c r="A763" s="65"/>
      <c r="B763" s="65"/>
      <c r="C763" s="65"/>
      <c r="D763" s="65"/>
      <c r="E763" s="65"/>
      <c r="F763" s="65"/>
      <c r="G763" s="65"/>
      <c r="H763" s="65"/>
      <c r="I763" s="65"/>
      <c r="J763" s="108"/>
      <c r="K763" s="103"/>
      <c r="L763" s="65"/>
      <c r="M763" s="65"/>
    </row>
    <row r="764">
      <c r="A764" s="61"/>
      <c r="B764" s="61"/>
      <c r="C764" s="61"/>
      <c r="D764" s="61"/>
      <c r="E764" s="61"/>
      <c r="F764" s="61"/>
      <c r="G764" s="61"/>
      <c r="H764" s="61"/>
      <c r="I764" s="61"/>
      <c r="J764" s="107"/>
      <c r="K764" s="100"/>
      <c r="L764" s="61"/>
      <c r="M764" s="61"/>
    </row>
    <row r="765">
      <c r="A765" s="65"/>
      <c r="B765" s="65"/>
      <c r="C765" s="65"/>
      <c r="D765" s="65"/>
      <c r="E765" s="65"/>
      <c r="F765" s="65"/>
      <c r="G765" s="65"/>
      <c r="H765" s="65"/>
      <c r="I765" s="65"/>
      <c r="J765" s="108"/>
      <c r="K765" s="103"/>
      <c r="L765" s="65"/>
      <c r="M765" s="65"/>
    </row>
    <row r="766">
      <c r="A766" s="61"/>
      <c r="B766" s="61"/>
      <c r="C766" s="61"/>
      <c r="D766" s="61"/>
      <c r="E766" s="61"/>
      <c r="F766" s="61"/>
      <c r="G766" s="61"/>
      <c r="H766" s="61"/>
      <c r="I766" s="61"/>
      <c r="J766" s="107"/>
      <c r="K766" s="100"/>
      <c r="L766" s="61"/>
      <c r="M766" s="61"/>
    </row>
    <row r="767">
      <c r="A767" s="65"/>
      <c r="B767" s="65"/>
      <c r="C767" s="65"/>
      <c r="D767" s="65"/>
      <c r="E767" s="65"/>
      <c r="F767" s="65"/>
      <c r="G767" s="65"/>
      <c r="H767" s="65"/>
      <c r="I767" s="65"/>
      <c r="J767" s="108"/>
      <c r="K767" s="103"/>
      <c r="L767" s="65"/>
      <c r="M767" s="65"/>
    </row>
    <row r="768">
      <c r="A768" s="61"/>
      <c r="B768" s="61"/>
      <c r="C768" s="61"/>
      <c r="D768" s="61"/>
      <c r="E768" s="61"/>
      <c r="F768" s="61"/>
      <c r="G768" s="61"/>
      <c r="H768" s="61"/>
      <c r="I768" s="61"/>
      <c r="J768" s="107"/>
      <c r="K768" s="100"/>
      <c r="L768" s="61"/>
      <c r="M768" s="61"/>
    </row>
    <row r="769">
      <c r="A769" s="65"/>
      <c r="B769" s="65"/>
      <c r="C769" s="65"/>
      <c r="D769" s="65"/>
      <c r="E769" s="65"/>
      <c r="F769" s="65"/>
      <c r="G769" s="65"/>
      <c r="H769" s="65"/>
      <c r="I769" s="65"/>
      <c r="J769" s="108"/>
      <c r="K769" s="103"/>
      <c r="L769" s="65"/>
      <c r="M769" s="65"/>
    </row>
    <row r="770">
      <c r="A770" s="61"/>
      <c r="B770" s="61"/>
      <c r="C770" s="61"/>
      <c r="D770" s="61"/>
      <c r="E770" s="61"/>
      <c r="F770" s="61"/>
      <c r="G770" s="61"/>
      <c r="H770" s="61"/>
      <c r="I770" s="61"/>
      <c r="J770" s="107"/>
      <c r="K770" s="100"/>
      <c r="L770" s="61"/>
      <c r="M770" s="61"/>
    </row>
    <row r="771">
      <c r="A771" s="65"/>
      <c r="B771" s="65"/>
      <c r="C771" s="65"/>
      <c r="D771" s="65"/>
      <c r="E771" s="65"/>
      <c r="F771" s="65"/>
      <c r="G771" s="65"/>
      <c r="H771" s="65"/>
      <c r="I771" s="65"/>
      <c r="J771" s="108"/>
      <c r="K771" s="103"/>
      <c r="L771" s="65"/>
      <c r="M771" s="65"/>
    </row>
    <row r="772">
      <c r="A772" s="61"/>
      <c r="B772" s="61"/>
      <c r="C772" s="61"/>
      <c r="D772" s="61"/>
      <c r="E772" s="61"/>
      <c r="F772" s="61"/>
      <c r="G772" s="61"/>
      <c r="H772" s="61"/>
      <c r="I772" s="61"/>
      <c r="J772" s="107"/>
      <c r="K772" s="100"/>
      <c r="L772" s="61"/>
      <c r="M772" s="61"/>
    </row>
    <row r="773">
      <c r="A773" s="65"/>
      <c r="B773" s="65"/>
      <c r="C773" s="65"/>
      <c r="D773" s="65"/>
      <c r="E773" s="65"/>
      <c r="F773" s="65"/>
      <c r="G773" s="65"/>
      <c r="H773" s="65"/>
      <c r="I773" s="65"/>
      <c r="J773" s="108"/>
      <c r="K773" s="103"/>
      <c r="L773" s="65"/>
      <c r="M773" s="65"/>
    </row>
    <row r="774">
      <c r="A774" s="61"/>
      <c r="B774" s="61"/>
      <c r="C774" s="61"/>
      <c r="D774" s="61"/>
      <c r="E774" s="61"/>
      <c r="F774" s="61"/>
      <c r="G774" s="61"/>
      <c r="H774" s="61"/>
      <c r="I774" s="61"/>
      <c r="J774" s="107"/>
      <c r="K774" s="100"/>
      <c r="L774" s="61"/>
      <c r="M774" s="61"/>
    </row>
    <row r="775">
      <c r="A775" s="65"/>
      <c r="B775" s="65"/>
      <c r="C775" s="65"/>
      <c r="D775" s="65"/>
      <c r="E775" s="65"/>
      <c r="F775" s="65"/>
      <c r="G775" s="65"/>
      <c r="H775" s="65"/>
      <c r="I775" s="65"/>
      <c r="J775" s="108"/>
      <c r="K775" s="103"/>
      <c r="L775" s="65"/>
      <c r="M775" s="65"/>
    </row>
    <row r="776">
      <c r="A776" s="61"/>
      <c r="B776" s="61"/>
      <c r="C776" s="61"/>
      <c r="D776" s="61"/>
      <c r="E776" s="61"/>
      <c r="F776" s="61"/>
      <c r="G776" s="61"/>
      <c r="H776" s="61"/>
      <c r="I776" s="61"/>
      <c r="J776" s="107"/>
      <c r="K776" s="100"/>
      <c r="L776" s="61"/>
      <c r="M776" s="61"/>
    </row>
    <row r="777">
      <c r="A777" s="65"/>
      <c r="B777" s="65"/>
      <c r="C777" s="65"/>
      <c r="D777" s="65"/>
      <c r="E777" s="65"/>
      <c r="F777" s="65"/>
      <c r="G777" s="65"/>
      <c r="H777" s="65"/>
      <c r="I777" s="65"/>
      <c r="J777" s="108"/>
      <c r="K777" s="103"/>
      <c r="L777" s="65"/>
      <c r="M777" s="65"/>
    </row>
    <row r="778">
      <c r="A778" s="61"/>
      <c r="B778" s="61"/>
      <c r="C778" s="61"/>
      <c r="D778" s="61"/>
      <c r="E778" s="61"/>
      <c r="F778" s="61"/>
      <c r="G778" s="61"/>
      <c r="H778" s="61"/>
      <c r="I778" s="61"/>
      <c r="J778" s="107"/>
      <c r="K778" s="100"/>
      <c r="L778" s="61"/>
      <c r="M778" s="61"/>
    </row>
    <row r="779">
      <c r="A779" s="65"/>
      <c r="B779" s="65"/>
      <c r="C779" s="65"/>
      <c r="D779" s="65"/>
      <c r="E779" s="65"/>
      <c r="F779" s="65"/>
      <c r="G779" s="65"/>
      <c r="H779" s="65"/>
      <c r="I779" s="65"/>
      <c r="J779" s="108"/>
      <c r="K779" s="103"/>
      <c r="L779" s="65"/>
      <c r="M779" s="65"/>
    </row>
    <row r="780">
      <c r="A780" s="61"/>
      <c r="B780" s="61"/>
      <c r="C780" s="61"/>
      <c r="D780" s="61"/>
      <c r="E780" s="61"/>
      <c r="F780" s="61"/>
      <c r="G780" s="61"/>
      <c r="H780" s="61"/>
      <c r="I780" s="61"/>
      <c r="J780" s="107"/>
      <c r="K780" s="100"/>
      <c r="L780" s="61"/>
      <c r="M780" s="61"/>
    </row>
    <row r="781">
      <c r="A781" s="65"/>
      <c r="B781" s="65"/>
      <c r="C781" s="65"/>
      <c r="D781" s="65"/>
      <c r="E781" s="65"/>
      <c r="F781" s="65"/>
      <c r="G781" s="65"/>
      <c r="H781" s="65"/>
      <c r="I781" s="65"/>
      <c r="J781" s="108"/>
      <c r="K781" s="103"/>
      <c r="L781" s="65"/>
      <c r="M781" s="65"/>
    </row>
    <row r="782">
      <c r="A782" s="61"/>
      <c r="B782" s="61"/>
      <c r="C782" s="61"/>
      <c r="D782" s="61"/>
      <c r="E782" s="61"/>
      <c r="F782" s="61"/>
      <c r="G782" s="61"/>
      <c r="H782" s="61"/>
      <c r="I782" s="61"/>
      <c r="J782" s="107"/>
      <c r="K782" s="100"/>
      <c r="L782" s="61"/>
      <c r="M782" s="61"/>
    </row>
    <row r="783">
      <c r="A783" s="65"/>
      <c r="B783" s="65"/>
      <c r="C783" s="65"/>
      <c r="D783" s="65"/>
      <c r="E783" s="65"/>
      <c r="F783" s="65"/>
      <c r="G783" s="65"/>
      <c r="H783" s="65"/>
      <c r="I783" s="65"/>
      <c r="J783" s="108"/>
      <c r="K783" s="103"/>
      <c r="L783" s="65"/>
      <c r="M783" s="65"/>
    </row>
    <row r="784">
      <c r="A784" s="61"/>
      <c r="B784" s="61"/>
      <c r="C784" s="61"/>
      <c r="D784" s="61"/>
      <c r="E784" s="61"/>
      <c r="F784" s="61"/>
      <c r="G784" s="61"/>
      <c r="H784" s="61"/>
      <c r="I784" s="61"/>
      <c r="J784" s="107"/>
      <c r="K784" s="100"/>
      <c r="L784" s="61"/>
      <c r="M784" s="61"/>
    </row>
    <row r="785">
      <c r="A785" s="65"/>
      <c r="B785" s="65"/>
      <c r="C785" s="65"/>
      <c r="D785" s="65"/>
      <c r="E785" s="65"/>
      <c r="F785" s="65"/>
      <c r="G785" s="65"/>
      <c r="H785" s="65"/>
      <c r="I785" s="65"/>
      <c r="J785" s="108"/>
      <c r="K785" s="103"/>
      <c r="L785" s="65"/>
      <c r="M785" s="65"/>
    </row>
    <row r="786">
      <c r="A786" s="61"/>
      <c r="B786" s="61"/>
      <c r="C786" s="61"/>
      <c r="D786" s="61"/>
      <c r="E786" s="61"/>
      <c r="F786" s="61"/>
      <c r="G786" s="61"/>
      <c r="H786" s="61"/>
      <c r="I786" s="61"/>
      <c r="J786" s="107"/>
      <c r="K786" s="100"/>
      <c r="L786" s="61"/>
      <c r="M786" s="61"/>
    </row>
    <row r="787">
      <c r="A787" s="65"/>
      <c r="B787" s="65"/>
      <c r="C787" s="65"/>
      <c r="D787" s="65"/>
      <c r="E787" s="65"/>
      <c r="F787" s="65"/>
      <c r="G787" s="65"/>
      <c r="H787" s="65"/>
      <c r="I787" s="65"/>
      <c r="J787" s="108"/>
      <c r="K787" s="103"/>
      <c r="L787" s="65"/>
      <c r="M787" s="65"/>
    </row>
    <row r="788">
      <c r="A788" s="61"/>
      <c r="B788" s="61"/>
      <c r="C788" s="61"/>
      <c r="D788" s="61"/>
      <c r="E788" s="61"/>
      <c r="F788" s="61"/>
      <c r="G788" s="61"/>
      <c r="H788" s="61"/>
      <c r="I788" s="61"/>
      <c r="J788" s="107"/>
      <c r="K788" s="100"/>
      <c r="L788" s="61"/>
      <c r="M788" s="61"/>
    </row>
    <row r="789">
      <c r="A789" s="65"/>
      <c r="B789" s="65"/>
      <c r="C789" s="65"/>
      <c r="D789" s="65"/>
      <c r="E789" s="65"/>
      <c r="F789" s="65"/>
      <c r="G789" s="65"/>
      <c r="H789" s="65"/>
      <c r="I789" s="65"/>
      <c r="J789" s="108"/>
      <c r="K789" s="103"/>
      <c r="L789" s="65"/>
      <c r="M789" s="65"/>
    </row>
    <row r="790">
      <c r="A790" s="61"/>
      <c r="B790" s="61"/>
      <c r="C790" s="61"/>
      <c r="D790" s="61"/>
      <c r="E790" s="61"/>
      <c r="F790" s="61"/>
      <c r="G790" s="61"/>
      <c r="H790" s="61"/>
      <c r="I790" s="61"/>
      <c r="J790" s="107"/>
      <c r="K790" s="100"/>
      <c r="L790" s="61"/>
      <c r="M790" s="61"/>
    </row>
    <row r="791">
      <c r="A791" s="65"/>
      <c r="B791" s="65"/>
      <c r="C791" s="65"/>
      <c r="D791" s="65"/>
      <c r="E791" s="65"/>
      <c r="F791" s="65"/>
      <c r="G791" s="65"/>
      <c r="H791" s="65"/>
      <c r="I791" s="65"/>
      <c r="J791" s="108"/>
      <c r="K791" s="103"/>
      <c r="L791" s="65"/>
      <c r="M791" s="65"/>
    </row>
    <row r="792">
      <c r="A792" s="61"/>
      <c r="B792" s="61"/>
      <c r="C792" s="61"/>
      <c r="D792" s="61"/>
      <c r="E792" s="61"/>
      <c r="F792" s="61"/>
      <c r="G792" s="61"/>
      <c r="H792" s="61"/>
      <c r="I792" s="61"/>
      <c r="J792" s="107"/>
      <c r="K792" s="100"/>
      <c r="L792" s="61"/>
      <c r="M792" s="61"/>
    </row>
    <row r="793">
      <c r="A793" s="65"/>
      <c r="B793" s="65"/>
      <c r="C793" s="65"/>
      <c r="D793" s="65"/>
      <c r="E793" s="65"/>
      <c r="F793" s="65"/>
      <c r="G793" s="65"/>
      <c r="H793" s="65"/>
      <c r="I793" s="65"/>
      <c r="J793" s="108"/>
      <c r="K793" s="103"/>
      <c r="L793" s="65"/>
      <c r="M793" s="65"/>
    </row>
    <row r="794">
      <c r="A794" s="61"/>
      <c r="B794" s="61"/>
      <c r="C794" s="61"/>
      <c r="D794" s="61"/>
      <c r="E794" s="61"/>
      <c r="F794" s="61"/>
      <c r="G794" s="61"/>
      <c r="H794" s="61"/>
      <c r="I794" s="61"/>
      <c r="J794" s="107"/>
      <c r="K794" s="100"/>
      <c r="L794" s="61"/>
      <c r="M794" s="61"/>
    </row>
    <row r="795">
      <c r="A795" s="65"/>
      <c r="B795" s="65"/>
      <c r="C795" s="65"/>
      <c r="D795" s="65"/>
      <c r="E795" s="65"/>
      <c r="F795" s="65"/>
      <c r="G795" s="65"/>
      <c r="H795" s="65"/>
      <c r="I795" s="65"/>
      <c r="J795" s="108"/>
      <c r="K795" s="103"/>
      <c r="L795" s="65"/>
      <c r="M795" s="65"/>
    </row>
    <row r="796">
      <c r="A796" s="61"/>
      <c r="B796" s="61"/>
      <c r="C796" s="61"/>
      <c r="D796" s="61"/>
      <c r="E796" s="61"/>
      <c r="F796" s="61"/>
      <c r="G796" s="61"/>
      <c r="H796" s="61"/>
      <c r="I796" s="61"/>
      <c r="J796" s="107"/>
      <c r="K796" s="100"/>
      <c r="L796" s="61"/>
      <c r="M796" s="61"/>
    </row>
    <row r="797">
      <c r="A797" s="65"/>
      <c r="B797" s="65"/>
      <c r="C797" s="65"/>
      <c r="D797" s="65"/>
      <c r="E797" s="65"/>
      <c r="F797" s="65"/>
      <c r="G797" s="65"/>
      <c r="H797" s="65"/>
      <c r="I797" s="65"/>
      <c r="J797" s="108"/>
      <c r="K797" s="103"/>
      <c r="L797" s="65"/>
      <c r="M797" s="65"/>
    </row>
    <row r="798">
      <c r="A798" s="61"/>
      <c r="B798" s="61"/>
      <c r="C798" s="61"/>
      <c r="D798" s="61"/>
      <c r="E798" s="61"/>
      <c r="F798" s="61"/>
      <c r="G798" s="61"/>
      <c r="H798" s="61"/>
      <c r="I798" s="61"/>
      <c r="J798" s="107"/>
      <c r="K798" s="100"/>
      <c r="L798" s="61"/>
      <c r="M798" s="61"/>
    </row>
    <row r="799">
      <c r="A799" s="65"/>
      <c r="B799" s="65"/>
      <c r="C799" s="65"/>
      <c r="D799" s="65"/>
      <c r="E799" s="65"/>
      <c r="F799" s="65"/>
      <c r="G799" s="65"/>
      <c r="H799" s="65"/>
      <c r="I799" s="65"/>
      <c r="J799" s="108"/>
      <c r="K799" s="103"/>
      <c r="L799" s="65"/>
      <c r="M799" s="65"/>
    </row>
    <row r="800">
      <c r="A800" s="61"/>
      <c r="B800" s="61"/>
      <c r="C800" s="61"/>
      <c r="D800" s="61"/>
      <c r="E800" s="61"/>
      <c r="F800" s="61"/>
      <c r="G800" s="61"/>
      <c r="H800" s="61"/>
      <c r="I800" s="61"/>
      <c r="J800" s="107"/>
      <c r="K800" s="100"/>
      <c r="L800" s="61"/>
      <c r="M800" s="61"/>
    </row>
    <row r="801">
      <c r="A801" s="65"/>
      <c r="B801" s="65"/>
      <c r="C801" s="65"/>
      <c r="D801" s="65"/>
      <c r="E801" s="65"/>
      <c r="F801" s="65"/>
      <c r="G801" s="65"/>
      <c r="H801" s="65"/>
      <c r="I801" s="65"/>
      <c r="J801" s="108"/>
      <c r="K801" s="103"/>
      <c r="L801" s="65"/>
      <c r="M801" s="65"/>
    </row>
    <row r="802">
      <c r="A802" s="61"/>
      <c r="B802" s="61"/>
      <c r="C802" s="61"/>
      <c r="D802" s="61"/>
      <c r="E802" s="61"/>
      <c r="F802" s="61"/>
      <c r="G802" s="61"/>
      <c r="H802" s="61"/>
      <c r="I802" s="61"/>
      <c r="J802" s="107"/>
      <c r="K802" s="100"/>
      <c r="L802" s="61"/>
      <c r="M802" s="61"/>
    </row>
    <row r="803">
      <c r="A803" s="65"/>
      <c r="B803" s="65"/>
      <c r="C803" s="65"/>
      <c r="D803" s="65"/>
      <c r="E803" s="65"/>
      <c r="F803" s="65"/>
      <c r="G803" s="65"/>
      <c r="H803" s="65"/>
      <c r="I803" s="65"/>
      <c r="J803" s="108"/>
      <c r="K803" s="103"/>
      <c r="L803" s="65"/>
      <c r="M803" s="65"/>
    </row>
    <row r="804">
      <c r="A804" s="61"/>
      <c r="B804" s="61"/>
      <c r="C804" s="61"/>
      <c r="D804" s="61"/>
      <c r="E804" s="61"/>
      <c r="F804" s="61"/>
      <c r="G804" s="61"/>
      <c r="H804" s="61"/>
      <c r="I804" s="61"/>
      <c r="J804" s="107"/>
      <c r="K804" s="100"/>
      <c r="L804" s="61"/>
      <c r="M804" s="61"/>
    </row>
    <row r="805">
      <c r="A805" s="65"/>
      <c r="B805" s="65"/>
      <c r="C805" s="65"/>
      <c r="D805" s="65"/>
      <c r="E805" s="65"/>
      <c r="F805" s="65"/>
      <c r="G805" s="65"/>
      <c r="H805" s="65"/>
      <c r="I805" s="65"/>
      <c r="J805" s="108"/>
      <c r="K805" s="103"/>
      <c r="L805" s="65"/>
      <c r="M805" s="65"/>
    </row>
    <row r="806">
      <c r="A806" s="61"/>
      <c r="B806" s="61"/>
      <c r="C806" s="61"/>
      <c r="D806" s="61"/>
      <c r="E806" s="61"/>
      <c r="F806" s="61"/>
      <c r="G806" s="61"/>
      <c r="H806" s="61"/>
      <c r="I806" s="61"/>
      <c r="J806" s="107"/>
      <c r="K806" s="100"/>
      <c r="L806" s="61"/>
      <c r="M806" s="61"/>
    </row>
    <row r="807">
      <c r="A807" s="65"/>
      <c r="B807" s="65"/>
      <c r="C807" s="65"/>
      <c r="D807" s="65"/>
      <c r="E807" s="65"/>
      <c r="F807" s="65"/>
      <c r="G807" s="65"/>
      <c r="H807" s="65"/>
      <c r="I807" s="65"/>
      <c r="J807" s="108"/>
      <c r="K807" s="103"/>
      <c r="L807" s="65"/>
      <c r="M807" s="65"/>
    </row>
    <row r="808">
      <c r="A808" s="61"/>
      <c r="B808" s="61"/>
      <c r="C808" s="61"/>
      <c r="D808" s="61"/>
      <c r="E808" s="61"/>
      <c r="F808" s="61"/>
      <c r="G808" s="61"/>
      <c r="H808" s="61"/>
      <c r="I808" s="61"/>
      <c r="J808" s="107"/>
      <c r="K808" s="100"/>
      <c r="L808" s="61"/>
      <c r="M808" s="61"/>
    </row>
    <row r="809">
      <c r="A809" s="65"/>
      <c r="B809" s="65"/>
      <c r="C809" s="65"/>
      <c r="D809" s="65"/>
      <c r="E809" s="65"/>
      <c r="F809" s="65"/>
      <c r="G809" s="65"/>
      <c r="H809" s="65"/>
      <c r="I809" s="65"/>
      <c r="J809" s="108"/>
      <c r="K809" s="103"/>
      <c r="L809" s="65"/>
      <c r="M809" s="65"/>
    </row>
    <row r="810">
      <c r="A810" s="61"/>
      <c r="B810" s="61"/>
      <c r="C810" s="61"/>
      <c r="D810" s="61"/>
      <c r="E810" s="61"/>
      <c r="F810" s="61"/>
      <c r="G810" s="61"/>
      <c r="H810" s="61"/>
      <c r="I810" s="61"/>
      <c r="J810" s="107"/>
      <c r="K810" s="100"/>
      <c r="L810" s="61"/>
      <c r="M810" s="61"/>
    </row>
    <row r="811">
      <c r="A811" s="65"/>
      <c r="B811" s="65"/>
      <c r="C811" s="65"/>
      <c r="D811" s="65"/>
      <c r="E811" s="65"/>
      <c r="F811" s="65"/>
      <c r="G811" s="65"/>
      <c r="H811" s="65"/>
      <c r="I811" s="65"/>
      <c r="J811" s="108"/>
      <c r="K811" s="103"/>
      <c r="L811" s="65"/>
      <c r="M811" s="65"/>
    </row>
    <row r="812">
      <c r="A812" s="61"/>
      <c r="B812" s="61"/>
      <c r="C812" s="61"/>
      <c r="D812" s="61"/>
      <c r="E812" s="61"/>
      <c r="F812" s="61"/>
      <c r="G812" s="61"/>
      <c r="H812" s="61"/>
      <c r="I812" s="61"/>
      <c r="J812" s="107"/>
      <c r="K812" s="100"/>
      <c r="L812" s="61"/>
      <c r="M812" s="61"/>
    </row>
    <row r="813">
      <c r="A813" s="65"/>
      <c r="B813" s="65"/>
      <c r="C813" s="65"/>
      <c r="D813" s="65"/>
      <c r="E813" s="65"/>
      <c r="F813" s="65"/>
      <c r="G813" s="65"/>
      <c r="H813" s="65"/>
      <c r="I813" s="65"/>
      <c r="J813" s="108"/>
      <c r="K813" s="103"/>
      <c r="L813" s="65"/>
      <c r="M813" s="65"/>
    </row>
    <row r="814">
      <c r="A814" s="61"/>
      <c r="B814" s="61"/>
      <c r="C814" s="61"/>
      <c r="D814" s="61"/>
      <c r="E814" s="61"/>
      <c r="F814" s="61"/>
      <c r="G814" s="61"/>
      <c r="H814" s="61"/>
      <c r="I814" s="61"/>
      <c r="J814" s="107"/>
      <c r="K814" s="100"/>
      <c r="L814" s="61"/>
      <c r="M814" s="61"/>
    </row>
    <row r="815">
      <c r="A815" s="65"/>
      <c r="B815" s="65"/>
      <c r="C815" s="65"/>
      <c r="D815" s="65"/>
      <c r="E815" s="65"/>
      <c r="F815" s="65"/>
      <c r="G815" s="65"/>
      <c r="H815" s="65"/>
      <c r="I815" s="65"/>
      <c r="J815" s="108"/>
      <c r="K815" s="103"/>
      <c r="L815" s="65"/>
      <c r="M815" s="65"/>
    </row>
    <row r="816">
      <c r="A816" s="61"/>
      <c r="B816" s="61"/>
      <c r="C816" s="61"/>
      <c r="D816" s="61"/>
      <c r="E816" s="61"/>
      <c r="F816" s="61"/>
      <c r="G816" s="61"/>
      <c r="H816" s="61"/>
      <c r="I816" s="61"/>
      <c r="J816" s="107"/>
      <c r="K816" s="100"/>
      <c r="L816" s="61"/>
      <c r="M816" s="61"/>
    </row>
    <row r="817">
      <c r="A817" s="65"/>
      <c r="B817" s="65"/>
      <c r="C817" s="65"/>
      <c r="D817" s="65"/>
      <c r="E817" s="65"/>
      <c r="F817" s="65"/>
      <c r="G817" s="65"/>
      <c r="H817" s="65"/>
      <c r="I817" s="65"/>
      <c r="J817" s="108"/>
      <c r="K817" s="103"/>
      <c r="L817" s="65"/>
      <c r="M817" s="65"/>
    </row>
    <row r="818">
      <c r="A818" s="61"/>
      <c r="B818" s="61"/>
      <c r="C818" s="61"/>
      <c r="D818" s="61"/>
      <c r="E818" s="61"/>
      <c r="F818" s="61"/>
      <c r="G818" s="61"/>
      <c r="H818" s="61"/>
      <c r="I818" s="61"/>
      <c r="J818" s="107"/>
      <c r="K818" s="100"/>
      <c r="L818" s="61"/>
      <c r="M818" s="61"/>
    </row>
    <row r="819">
      <c r="A819" s="65"/>
      <c r="B819" s="65"/>
      <c r="C819" s="65"/>
      <c r="D819" s="65"/>
      <c r="E819" s="65"/>
      <c r="F819" s="65"/>
      <c r="G819" s="65"/>
      <c r="H819" s="65"/>
      <c r="I819" s="65"/>
      <c r="J819" s="108"/>
      <c r="K819" s="103"/>
      <c r="L819" s="65"/>
      <c r="M819" s="65"/>
    </row>
    <row r="820">
      <c r="A820" s="61"/>
      <c r="B820" s="61"/>
      <c r="C820" s="61"/>
      <c r="D820" s="61"/>
      <c r="E820" s="61"/>
      <c r="F820" s="61"/>
      <c r="G820" s="61"/>
      <c r="H820" s="61"/>
      <c r="I820" s="61"/>
      <c r="J820" s="107"/>
      <c r="K820" s="100"/>
      <c r="L820" s="61"/>
      <c r="M820" s="61"/>
    </row>
    <row r="821">
      <c r="A821" s="65"/>
      <c r="B821" s="65"/>
      <c r="C821" s="65"/>
      <c r="D821" s="65"/>
      <c r="E821" s="65"/>
      <c r="F821" s="65"/>
      <c r="G821" s="65"/>
      <c r="H821" s="65"/>
      <c r="I821" s="65"/>
      <c r="J821" s="108"/>
      <c r="K821" s="103"/>
      <c r="L821" s="65"/>
      <c r="M821" s="65"/>
    </row>
    <row r="822">
      <c r="A822" s="61"/>
      <c r="B822" s="61"/>
      <c r="C822" s="61"/>
      <c r="D822" s="61"/>
      <c r="E822" s="61"/>
      <c r="F822" s="61"/>
      <c r="G822" s="61"/>
      <c r="H822" s="61"/>
      <c r="I822" s="61"/>
      <c r="J822" s="107"/>
      <c r="K822" s="100"/>
      <c r="L822" s="61"/>
      <c r="M822" s="61"/>
    </row>
    <row r="823">
      <c r="A823" s="65"/>
      <c r="B823" s="65"/>
      <c r="C823" s="65"/>
      <c r="D823" s="65"/>
      <c r="E823" s="65"/>
      <c r="F823" s="65"/>
      <c r="G823" s="65"/>
      <c r="H823" s="65"/>
      <c r="I823" s="65"/>
      <c r="J823" s="108"/>
      <c r="K823" s="103"/>
      <c r="L823" s="65"/>
      <c r="M823" s="65"/>
    </row>
    <row r="824">
      <c r="A824" s="61"/>
      <c r="B824" s="61"/>
      <c r="C824" s="61"/>
      <c r="D824" s="61"/>
      <c r="E824" s="61"/>
      <c r="F824" s="61"/>
      <c r="G824" s="61"/>
      <c r="H824" s="61"/>
      <c r="I824" s="61"/>
      <c r="J824" s="107"/>
      <c r="K824" s="100"/>
      <c r="L824" s="61"/>
      <c r="M824" s="61"/>
    </row>
    <row r="825">
      <c r="A825" s="65"/>
      <c r="B825" s="65"/>
      <c r="C825" s="65"/>
      <c r="D825" s="65"/>
      <c r="E825" s="65"/>
      <c r="F825" s="65"/>
      <c r="G825" s="65"/>
      <c r="H825" s="65"/>
      <c r="I825" s="65"/>
      <c r="J825" s="108"/>
      <c r="K825" s="103"/>
      <c r="L825" s="65"/>
      <c r="M825" s="65"/>
    </row>
    <row r="826">
      <c r="A826" s="61"/>
      <c r="B826" s="61"/>
      <c r="C826" s="61"/>
      <c r="D826" s="61"/>
      <c r="E826" s="61"/>
      <c r="F826" s="61"/>
      <c r="G826" s="61"/>
      <c r="H826" s="61"/>
      <c r="I826" s="61"/>
      <c r="J826" s="107"/>
      <c r="K826" s="100"/>
      <c r="L826" s="61"/>
      <c r="M826" s="61"/>
    </row>
    <row r="827">
      <c r="A827" s="65"/>
      <c r="B827" s="65"/>
      <c r="C827" s="65"/>
      <c r="D827" s="65"/>
      <c r="E827" s="65"/>
      <c r="F827" s="65"/>
      <c r="G827" s="65"/>
      <c r="H827" s="65"/>
      <c r="I827" s="65"/>
      <c r="J827" s="108"/>
      <c r="K827" s="103"/>
      <c r="L827" s="65"/>
      <c r="M827" s="65"/>
    </row>
    <row r="828">
      <c r="A828" s="61"/>
      <c r="B828" s="61"/>
      <c r="C828" s="61"/>
      <c r="D828" s="61"/>
      <c r="E828" s="61"/>
      <c r="F828" s="61"/>
      <c r="G828" s="61"/>
      <c r="H828" s="61"/>
      <c r="I828" s="61"/>
      <c r="J828" s="107"/>
      <c r="K828" s="100"/>
      <c r="L828" s="61"/>
      <c r="M828" s="61"/>
    </row>
    <row r="829">
      <c r="A829" s="65"/>
      <c r="B829" s="65"/>
      <c r="C829" s="65"/>
      <c r="D829" s="65"/>
      <c r="E829" s="65"/>
      <c r="F829" s="65"/>
      <c r="G829" s="65"/>
      <c r="H829" s="65"/>
      <c r="I829" s="65"/>
      <c r="J829" s="108"/>
      <c r="K829" s="103"/>
      <c r="L829" s="65"/>
      <c r="M829" s="65"/>
    </row>
    <row r="830">
      <c r="A830" s="61"/>
      <c r="B830" s="61"/>
      <c r="C830" s="61"/>
      <c r="D830" s="61"/>
      <c r="E830" s="61"/>
      <c r="F830" s="61"/>
      <c r="G830" s="61"/>
      <c r="H830" s="61"/>
      <c r="I830" s="61"/>
      <c r="J830" s="107"/>
      <c r="K830" s="100"/>
      <c r="L830" s="61"/>
      <c r="M830" s="61"/>
    </row>
    <row r="831">
      <c r="A831" s="65"/>
      <c r="B831" s="65"/>
      <c r="C831" s="65"/>
      <c r="D831" s="65"/>
      <c r="E831" s="65"/>
      <c r="F831" s="65"/>
      <c r="G831" s="65"/>
      <c r="H831" s="65"/>
      <c r="I831" s="65"/>
      <c r="J831" s="108"/>
      <c r="K831" s="103"/>
      <c r="L831" s="65"/>
      <c r="M831" s="65"/>
    </row>
    <row r="832">
      <c r="A832" s="61"/>
      <c r="B832" s="61"/>
      <c r="C832" s="61"/>
      <c r="D832" s="61"/>
      <c r="E832" s="61"/>
      <c r="F832" s="61"/>
      <c r="G832" s="61"/>
      <c r="H832" s="61"/>
      <c r="I832" s="61"/>
      <c r="J832" s="107"/>
      <c r="K832" s="100"/>
      <c r="L832" s="61"/>
      <c r="M832" s="61"/>
    </row>
    <row r="833">
      <c r="A833" s="65"/>
      <c r="B833" s="65"/>
      <c r="C833" s="65"/>
      <c r="D833" s="65"/>
      <c r="E833" s="65"/>
      <c r="F833" s="65"/>
      <c r="G833" s="65"/>
      <c r="H833" s="65"/>
      <c r="I833" s="65"/>
      <c r="J833" s="108"/>
      <c r="K833" s="103"/>
      <c r="L833" s="65"/>
      <c r="M833" s="65"/>
    </row>
    <row r="834">
      <c r="A834" s="61"/>
      <c r="B834" s="61"/>
      <c r="C834" s="61"/>
      <c r="D834" s="61"/>
      <c r="E834" s="61"/>
      <c r="F834" s="61"/>
      <c r="G834" s="61"/>
      <c r="H834" s="61"/>
      <c r="I834" s="61"/>
      <c r="J834" s="107"/>
      <c r="K834" s="100"/>
      <c r="L834" s="61"/>
      <c r="M834" s="61"/>
    </row>
    <row r="835">
      <c r="A835" s="65"/>
      <c r="B835" s="65"/>
      <c r="C835" s="65"/>
      <c r="D835" s="65"/>
      <c r="E835" s="65"/>
      <c r="F835" s="65"/>
      <c r="G835" s="65"/>
      <c r="H835" s="65"/>
      <c r="I835" s="65"/>
      <c r="J835" s="108"/>
      <c r="K835" s="103"/>
      <c r="L835" s="65"/>
      <c r="M835" s="65"/>
    </row>
    <row r="836">
      <c r="A836" s="61"/>
      <c r="B836" s="61"/>
      <c r="C836" s="61"/>
      <c r="D836" s="61"/>
      <c r="E836" s="61"/>
      <c r="F836" s="61"/>
      <c r="G836" s="61"/>
      <c r="H836" s="61"/>
      <c r="I836" s="61"/>
      <c r="J836" s="107"/>
      <c r="K836" s="100"/>
      <c r="L836" s="61"/>
      <c r="M836" s="61"/>
    </row>
    <row r="837">
      <c r="A837" s="65"/>
      <c r="B837" s="65"/>
      <c r="C837" s="65"/>
      <c r="D837" s="65"/>
      <c r="E837" s="65"/>
      <c r="F837" s="65"/>
      <c r="G837" s="65"/>
      <c r="H837" s="65"/>
      <c r="I837" s="65"/>
      <c r="J837" s="108"/>
      <c r="K837" s="103"/>
      <c r="L837" s="65"/>
      <c r="M837" s="65"/>
    </row>
    <row r="838">
      <c r="A838" s="61"/>
      <c r="B838" s="61"/>
      <c r="C838" s="61"/>
      <c r="D838" s="61"/>
      <c r="E838" s="61"/>
      <c r="F838" s="61"/>
      <c r="G838" s="61"/>
      <c r="H838" s="61"/>
      <c r="I838" s="61"/>
      <c r="J838" s="107"/>
      <c r="K838" s="100"/>
      <c r="L838" s="61"/>
      <c r="M838" s="61"/>
    </row>
    <row r="839">
      <c r="A839" s="65"/>
      <c r="B839" s="65"/>
      <c r="C839" s="65"/>
      <c r="D839" s="65"/>
      <c r="E839" s="65"/>
      <c r="F839" s="65"/>
      <c r="G839" s="65"/>
      <c r="H839" s="65"/>
      <c r="I839" s="65"/>
      <c r="J839" s="108"/>
      <c r="K839" s="103"/>
      <c r="L839" s="65"/>
      <c r="M839" s="65"/>
    </row>
    <row r="840">
      <c r="A840" s="61"/>
      <c r="B840" s="61"/>
      <c r="C840" s="61"/>
      <c r="D840" s="61"/>
      <c r="E840" s="61"/>
      <c r="F840" s="61"/>
      <c r="G840" s="61"/>
      <c r="H840" s="61"/>
      <c r="I840" s="61"/>
      <c r="J840" s="107"/>
      <c r="K840" s="100"/>
      <c r="L840" s="61"/>
      <c r="M840" s="61"/>
    </row>
    <row r="841">
      <c r="A841" s="65"/>
      <c r="B841" s="65"/>
      <c r="C841" s="65"/>
      <c r="D841" s="65"/>
      <c r="E841" s="65"/>
      <c r="F841" s="65"/>
      <c r="G841" s="65"/>
      <c r="H841" s="65"/>
      <c r="I841" s="65"/>
      <c r="J841" s="108"/>
      <c r="K841" s="103"/>
      <c r="L841" s="65"/>
      <c r="M841" s="65"/>
    </row>
    <row r="842">
      <c r="A842" s="61"/>
      <c r="B842" s="61"/>
      <c r="C842" s="61"/>
      <c r="D842" s="61"/>
      <c r="E842" s="61"/>
      <c r="F842" s="61"/>
      <c r="G842" s="61"/>
      <c r="H842" s="61"/>
      <c r="I842" s="61"/>
      <c r="J842" s="107"/>
      <c r="K842" s="100"/>
      <c r="L842" s="61"/>
      <c r="M842" s="61"/>
    </row>
    <row r="843">
      <c r="A843" s="65"/>
      <c r="B843" s="65"/>
      <c r="C843" s="65"/>
      <c r="D843" s="65"/>
      <c r="E843" s="65"/>
      <c r="F843" s="65"/>
      <c r="G843" s="65"/>
      <c r="H843" s="65"/>
      <c r="I843" s="65"/>
      <c r="J843" s="108"/>
      <c r="K843" s="103"/>
      <c r="L843" s="65"/>
      <c r="M843" s="65"/>
    </row>
    <row r="844">
      <c r="A844" s="61"/>
      <c r="B844" s="61"/>
      <c r="C844" s="61"/>
      <c r="D844" s="61"/>
      <c r="E844" s="61"/>
      <c r="F844" s="61"/>
      <c r="G844" s="61"/>
      <c r="H844" s="61"/>
      <c r="I844" s="61"/>
      <c r="J844" s="107"/>
      <c r="K844" s="100"/>
      <c r="L844" s="61"/>
      <c r="M844" s="61"/>
    </row>
    <row r="845">
      <c r="A845" s="65"/>
      <c r="B845" s="65"/>
      <c r="C845" s="65"/>
      <c r="D845" s="65"/>
      <c r="E845" s="65"/>
      <c r="F845" s="65"/>
      <c r="G845" s="65"/>
      <c r="H845" s="65"/>
      <c r="I845" s="65"/>
      <c r="J845" s="108"/>
      <c r="K845" s="103"/>
      <c r="L845" s="65"/>
      <c r="M845" s="65"/>
    </row>
    <row r="846">
      <c r="A846" s="61"/>
      <c r="B846" s="61"/>
      <c r="C846" s="61"/>
      <c r="D846" s="61"/>
      <c r="E846" s="61"/>
      <c r="F846" s="61"/>
      <c r="G846" s="61"/>
      <c r="H846" s="61"/>
      <c r="I846" s="61"/>
      <c r="J846" s="107"/>
      <c r="K846" s="100"/>
      <c r="L846" s="61"/>
      <c r="M846" s="61"/>
    </row>
    <row r="847">
      <c r="A847" s="65"/>
      <c r="B847" s="65"/>
      <c r="C847" s="65"/>
      <c r="D847" s="65"/>
      <c r="E847" s="65"/>
      <c r="F847" s="65"/>
      <c r="G847" s="65"/>
      <c r="H847" s="65"/>
      <c r="I847" s="65"/>
      <c r="J847" s="108"/>
      <c r="K847" s="103"/>
      <c r="L847" s="65"/>
      <c r="M847" s="65"/>
    </row>
    <row r="848">
      <c r="A848" s="61"/>
      <c r="B848" s="61"/>
      <c r="C848" s="61"/>
      <c r="D848" s="61"/>
      <c r="E848" s="61"/>
      <c r="F848" s="61"/>
      <c r="G848" s="61"/>
      <c r="H848" s="61"/>
      <c r="I848" s="61"/>
      <c r="J848" s="107"/>
      <c r="K848" s="100"/>
      <c r="L848" s="61"/>
      <c r="M848" s="61"/>
    </row>
    <row r="849">
      <c r="A849" s="65"/>
      <c r="B849" s="65"/>
      <c r="C849" s="65"/>
      <c r="D849" s="65"/>
      <c r="E849" s="65"/>
      <c r="F849" s="65"/>
      <c r="G849" s="65"/>
      <c r="H849" s="65"/>
      <c r="I849" s="65"/>
      <c r="J849" s="108"/>
      <c r="K849" s="103"/>
      <c r="L849" s="65"/>
      <c r="M849" s="65"/>
    </row>
    <row r="850">
      <c r="A850" s="61"/>
      <c r="B850" s="61"/>
      <c r="C850" s="61"/>
      <c r="D850" s="61"/>
      <c r="E850" s="61"/>
      <c r="F850" s="61"/>
      <c r="G850" s="61"/>
      <c r="H850" s="61"/>
      <c r="I850" s="61"/>
      <c r="J850" s="107"/>
      <c r="K850" s="100"/>
      <c r="L850" s="61"/>
      <c r="M850" s="61"/>
    </row>
    <row r="851">
      <c r="A851" s="65"/>
      <c r="B851" s="65"/>
      <c r="C851" s="65"/>
      <c r="D851" s="65"/>
      <c r="E851" s="65"/>
      <c r="F851" s="65"/>
      <c r="G851" s="65"/>
      <c r="H851" s="65"/>
      <c r="I851" s="65"/>
      <c r="J851" s="108"/>
      <c r="K851" s="103"/>
      <c r="L851" s="65"/>
      <c r="M851" s="65"/>
    </row>
    <row r="852">
      <c r="A852" s="61"/>
      <c r="B852" s="61"/>
      <c r="C852" s="61"/>
      <c r="D852" s="61"/>
      <c r="E852" s="61"/>
      <c r="F852" s="61"/>
      <c r="G852" s="61"/>
      <c r="H852" s="61"/>
      <c r="I852" s="61"/>
      <c r="J852" s="107"/>
      <c r="K852" s="100"/>
      <c r="L852" s="61"/>
      <c r="M852" s="61"/>
    </row>
    <row r="853">
      <c r="A853" s="65"/>
      <c r="B853" s="65"/>
      <c r="C853" s="65"/>
      <c r="D853" s="65"/>
      <c r="E853" s="65"/>
      <c r="F853" s="65"/>
      <c r="G853" s="65"/>
      <c r="H853" s="65"/>
      <c r="I853" s="65"/>
      <c r="J853" s="108"/>
      <c r="K853" s="103"/>
      <c r="L853" s="65"/>
      <c r="M853" s="65"/>
    </row>
    <row r="854">
      <c r="A854" s="61"/>
      <c r="B854" s="61"/>
      <c r="C854" s="61"/>
      <c r="D854" s="61"/>
      <c r="E854" s="61"/>
      <c r="F854" s="61"/>
      <c r="G854" s="61"/>
      <c r="H854" s="61"/>
      <c r="I854" s="61"/>
      <c r="J854" s="107"/>
      <c r="K854" s="100"/>
      <c r="L854" s="61"/>
      <c r="M854" s="61"/>
    </row>
    <row r="855">
      <c r="A855" s="65"/>
      <c r="B855" s="65"/>
      <c r="C855" s="65"/>
      <c r="D855" s="65"/>
      <c r="E855" s="65"/>
      <c r="F855" s="65"/>
      <c r="G855" s="65"/>
      <c r="H855" s="65"/>
      <c r="I855" s="65"/>
      <c r="J855" s="108"/>
      <c r="K855" s="103"/>
      <c r="L855" s="65"/>
      <c r="M855" s="65"/>
    </row>
    <row r="856">
      <c r="A856" s="61"/>
      <c r="B856" s="61"/>
      <c r="C856" s="61"/>
      <c r="D856" s="61"/>
      <c r="E856" s="61"/>
      <c r="F856" s="61"/>
      <c r="G856" s="61"/>
      <c r="H856" s="61"/>
      <c r="I856" s="61"/>
      <c r="J856" s="107"/>
      <c r="K856" s="100"/>
      <c r="L856" s="61"/>
      <c r="M856" s="61"/>
    </row>
    <row r="857">
      <c r="A857" s="65"/>
      <c r="B857" s="65"/>
      <c r="C857" s="65"/>
      <c r="D857" s="65"/>
      <c r="E857" s="65"/>
      <c r="F857" s="65"/>
      <c r="G857" s="65"/>
      <c r="H857" s="65"/>
      <c r="I857" s="65"/>
      <c r="J857" s="108"/>
      <c r="K857" s="103"/>
      <c r="L857" s="65"/>
      <c r="M857" s="65"/>
    </row>
    <row r="858">
      <c r="A858" s="61"/>
      <c r="B858" s="61"/>
      <c r="C858" s="61"/>
      <c r="D858" s="61"/>
      <c r="E858" s="61"/>
      <c r="F858" s="61"/>
      <c r="G858" s="61"/>
      <c r="H858" s="61"/>
      <c r="I858" s="61"/>
      <c r="J858" s="107"/>
      <c r="K858" s="100"/>
      <c r="L858" s="61"/>
      <c r="M858" s="61"/>
    </row>
    <row r="859">
      <c r="A859" s="65"/>
      <c r="B859" s="65"/>
      <c r="C859" s="65"/>
      <c r="D859" s="65"/>
      <c r="E859" s="65"/>
      <c r="F859" s="65"/>
      <c r="G859" s="65"/>
      <c r="H859" s="65"/>
      <c r="I859" s="65"/>
      <c r="J859" s="108"/>
      <c r="K859" s="103"/>
      <c r="L859" s="65"/>
      <c r="M859" s="65"/>
    </row>
    <row r="860">
      <c r="A860" s="61"/>
      <c r="B860" s="61"/>
      <c r="C860" s="61"/>
      <c r="D860" s="61"/>
      <c r="E860" s="61"/>
      <c r="F860" s="61"/>
      <c r="G860" s="61"/>
      <c r="H860" s="61"/>
      <c r="I860" s="61"/>
      <c r="J860" s="107"/>
      <c r="K860" s="100"/>
      <c r="L860" s="61"/>
      <c r="M860" s="61"/>
    </row>
    <row r="861">
      <c r="A861" s="65"/>
      <c r="B861" s="65"/>
      <c r="C861" s="65"/>
      <c r="D861" s="65"/>
      <c r="E861" s="65"/>
      <c r="F861" s="65"/>
      <c r="G861" s="65"/>
      <c r="H861" s="65"/>
      <c r="I861" s="65"/>
      <c r="J861" s="108"/>
      <c r="K861" s="103"/>
      <c r="L861" s="65"/>
      <c r="M861" s="65"/>
    </row>
    <row r="862">
      <c r="A862" s="61"/>
      <c r="B862" s="61"/>
      <c r="C862" s="61"/>
      <c r="D862" s="61"/>
      <c r="E862" s="61"/>
      <c r="F862" s="61"/>
      <c r="G862" s="61"/>
      <c r="H862" s="61"/>
      <c r="I862" s="61"/>
      <c r="J862" s="107"/>
      <c r="K862" s="100"/>
      <c r="L862" s="61"/>
      <c r="M862" s="61"/>
    </row>
    <row r="863">
      <c r="A863" s="65"/>
      <c r="B863" s="65"/>
      <c r="C863" s="65"/>
      <c r="D863" s="65"/>
      <c r="E863" s="65"/>
      <c r="F863" s="65"/>
      <c r="G863" s="65"/>
      <c r="H863" s="65"/>
      <c r="I863" s="65"/>
      <c r="J863" s="108"/>
      <c r="K863" s="103"/>
      <c r="L863" s="65"/>
      <c r="M863" s="65"/>
    </row>
    <row r="864">
      <c r="A864" s="61"/>
      <c r="B864" s="61"/>
      <c r="C864" s="61"/>
      <c r="D864" s="61"/>
      <c r="E864" s="61"/>
      <c r="F864" s="61"/>
      <c r="G864" s="61"/>
      <c r="H864" s="61"/>
      <c r="I864" s="61"/>
      <c r="J864" s="107"/>
      <c r="K864" s="100"/>
      <c r="L864" s="61"/>
      <c r="M864" s="61"/>
    </row>
    <row r="865">
      <c r="A865" s="65"/>
      <c r="B865" s="65"/>
      <c r="C865" s="65"/>
      <c r="D865" s="65"/>
      <c r="E865" s="65"/>
      <c r="F865" s="65"/>
      <c r="G865" s="65"/>
      <c r="H865" s="65"/>
      <c r="I865" s="65"/>
      <c r="J865" s="108"/>
      <c r="K865" s="103"/>
      <c r="L865" s="65"/>
      <c r="M865" s="65"/>
    </row>
    <row r="866">
      <c r="A866" s="61"/>
      <c r="B866" s="61"/>
      <c r="C866" s="61"/>
      <c r="D866" s="61"/>
      <c r="E866" s="61"/>
      <c r="F866" s="61"/>
      <c r="G866" s="61"/>
      <c r="H866" s="61"/>
      <c r="I866" s="61"/>
      <c r="J866" s="107"/>
      <c r="K866" s="100"/>
      <c r="L866" s="61"/>
      <c r="M866" s="61"/>
    </row>
    <row r="867">
      <c r="A867" s="65"/>
      <c r="B867" s="65"/>
      <c r="C867" s="65"/>
      <c r="D867" s="65"/>
      <c r="E867" s="65"/>
      <c r="F867" s="65"/>
      <c r="G867" s="65"/>
      <c r="H867" s="65"/>
      <c r="I867" s="65"/>
      <c r="J867" s="108"/>
      <c r="K867" s="103"/>
      <c r="L867" s="65"/>
      <c r="M867" s="65"/>
    </row>
    <row r="868">
      <c r="A868" s="61"/>
      <c r="B868" s="61"/>
      <c r="C868" s="61"/>
      <c r="D868" s="61"/>
      <c r="E868" s="61"/>
      <c r="F868" s="61"/>
      <c r="G868" s="61"/>
      <c r="H868" s="61"/>
      <c r="I868" s="61"/>
      <c r="J868" s="107"/>
      <c r="K868" s="100"/>
      <c r="L868" s="61"/>
      <c r="M868" s="61"/>
    </row>
    <row r="869">
      <c r="A869" s="65"/>
      <c r="B869" s="65"/>
      <c r="C869" s="65"/>
      <c r="D869" s="65"/>
      <c r="E869" s="65"/>
      <c r="F869" s="65"/>
      <c r="G869" s="65"/>
      <c r="H869" s="65"/>
      <c r="I869" s="65"/>
      <c r="J869" s="108"/>
      <c r="K869" s="103"/>
      <c r="L869" s="65"/>
      <c r="M869" s="65"/>
    </row>
    <row r="870">
      <c r="A870" s="61"/>
      <c r="B870" s="61"/>
      <c r="C870" s="61"/>
      <c r="D870" s="61"/>
      <c r="E870" s="61"/>
      <c r="F870" s="61"/>
      <c r="G870" s="61"/>
      <c r="H870" s="61"/>
      <c r="I870" s="61"/>
      <c r="J870" s="107"/>
      <c r="K870" s="100"/>
      <c r="L870" s="61"/>
      <c r="M870" s="61"/>
    </row>
    <row r="871">
      <c r="A871" s="65"/>
      <c r="B871" s="65"/>
      <c r="C871" s="65"/>
      <c r="D871" s="65"/>
      <c r="E871" s="65"/>
      <c r="F871" s="65"/>
      <c r="G871" s="65"/>
      <c r="H871" s="65"/>
      <c r="I871" s="65"/>
      <c r="J871" s="108"/>
      <c r="K871" s="103"/>
      <c r="L871" s="65"/>
      <c r="M871" s="65"/>
    </row>
    <row r="872">
      <c r="A872" s="61"/>
      <c r="B872" s="61"/>
      <c r="C872" s="61"/>
      <c r="D872" s="61"/>
      <c r="E872" s="61"/>
      <c r="F872" s="61"/>
      <c r="G872" s="61"/>
      <c r="H872" s="61"/>
      <c r="I872" s="61"/>
      <c r="J872" s="107"/>
      <c r="K872" s="100"/>
      <c r="L872" s="61"/>
      <c r="M872" s="61"/>
    </row>
    <row r="873">
      <c r="A873" s="65"/>
      <c r="B873" s="65"/>
      <c r="C873" s="65"/>
      <c r="D873" s="65"/>
      <c r="E873" s="65"/>
      <c r="F873" s="65"/>
      <c r="G873" s="65"/>
      <c r="H873" s="65"/>
      <c r="I873" s="65"/>
      <c r="J873" s="108"/>
      <c r="K873" s="103"/>
      <c r="L873" s="65"/>
      <c r="M873" s="65"/>
    </row>
    <row r="874">
      <c r="A874" s="61"/>
      <c r="B874" s="61"/>
      <c r="C874" s="61"/>
      <c r="D874" s="61"/>
      <c r="E874" s="61"/>
      <c r="F874" s="61"/>
      <c r="G874" s="61"/>
      <c r="H874" s="61"/>
      <c r="I874" s="61"/>
      <c r="J874" s="107"/>
      <c r="K874" s="100"/>
      <c r="L874" s="61"/>
      <c r="M874" s="61"/>
    </row>
    <row r="875">
      <c r="A875" s="65"/>
      <c r="B875" s="65"/>
      <c r="C875" s="65"/>
      <c r="D875" s="65"/>
      <c r="E875" s="65"/>
      <c r="F875" s="65"/>
      <c r="G875" s="65"/>
      <c r="H875" s="65"/>
      <c r="I875" s="65"/>
      <c r="J875" s="108"/>
      <c r="K875" s="103"/>
      <c r="L875" s="65"/>
      <c r="M875" s="65"/>
    </row>
    <row r="876">
      <c r="A876" s="61"/>
      <c r="B876" s="61"/>
      <c r="C876" s="61"/>
      <c r="D876" s="61"/>
      <c r="E876" s="61"/>
      <c r="F876" s="61"/>
      <c r="G876" s="61"/>
      <c r="H876" s="61"/>
      <c r="I876" s="61"/>
      <c r="J876" s="107"/>
      <c r="K876" s="100"/>
      <c r="L876" s="61"/>
      <c r="M876" s="61"/>
    </row>
    <row r="877">
      <c r="A877" s="65"/>
      <c r="B877" s="65"/>
      <c r="C877" s="65"/>
      <c r="D877" s="65"/>
      <c r="E877" s="65"/>
      <c r="F877" s="65"/>
      <c r="G877" s="65"/>
      <c r="H877" s="65"/>
      <c r="I877" s="65"/>
      <c r="J877" s="108"/>
      <c r="K877" s="103"/>
      <c r="L877" s="65"/>
      <c r="M877" s="65"/>
    </row>
    <row r="878">
      <c r="A878" s="61"/>
      <c r="B878" s="61"/>
      <c r="C878" s="61"/>
      <c r="D878" s="61"/>
      <c r="E878" s="61"/>
      <c r="F878" s="61"/>
      <c r="G878" s="61"/>
      <c r="H878" s="61"/>
      <c r="I878" s="61"/>
      <c r="J878" s="107"/>
      <c r="K878" s="100"/>
      <c r="L878" s="61"/>
      <c r="M878" s="61"/>
    </row>
    <row r="879">
      <c r="A879" s="65"/>
      <c r="B879" s="65"/>
      <c r="C879" s="65"/>
      <c r="D879" s="65"/>
      <c r="E879" s="65"/>
      <c r="F879" s="65"/>
      <c r="G879" s="65"/>
      <c r="H879" s="65"/>
      <c r="I879" s="65"/>
      <c r="J879" s="108"/>
      <c r="K879" s="103"/>
      <c r="L879" s="65"/>
      <c r="M879" s="65"/>
    </row>
    <row r="880">
      <c r="A880" s="61"/>
      <c r="B880" s="61"/>
      <c r="C880" s="61"/>
      <c r="D880" s="61"/>
      <c r="E880" s="61"/>
      <c r="F880" s="61"/>
      <c r="G880" s="61"/>
      <c r="H880" s="61"/>
      <c r="I880" s="61"/>
      <c r="J880" s="107"/>
      <c r="K880" s="100"/>
      <c r="L880" s="61"/>
      <c r="M880" s="61"/>
    </row>
    <row r="881">
      <c r="A881" s="65"/>
      <c r="B881" s="65"/>
      <c r="C881" s="65"/>
      <c r="D881" s="65"/>
      <c r="E881" s="65"/>
      <c r="F881" s="65"/>
      <c r="G881" s="65"/>
      <c r="H881" s="65"/>
      <c r="I881" s="65"/>
      <c r="J881" s="108"/>
      <c r="K881" s="103"/>
      <c r="L881" s="65"/>
      <c r="M881" s="65"/>
    </row>
    <row r="882">
      <c r="A882" s="61"/>
      <c r="B882" s="61"/>
      <c r="C882" s="61"/>
      <c r="D882" s="61"/>
      <c r="E882" s="61"/>
      <c r="F882" s="61"/>
      <c r="G882" s="61"/>
      <c r="H882" s="61"/>
      <c r="I882" s="61"/>
      <c r="J882" s="107"/>
      <c r="K882" s="100"/>
      <c r="L882" s="61"/>
      <c r="M882" s="61"/>
    </row>
    <row r="883">
      <c r="A883" s="65"/>
      <c r="B883" s="65"/>
      <c r="C883" s="65"/>
      <c r="D883" s="65"/>
      <c r="E883" s="65"/>
      <c r="F883" s="65"/>
      <c r="G883" s="65"/>
      <c r="H883" s="65"/>
      <c r="I883" s="65"/>
      <c r="J883" s="108"/>
      <c r="K883" s="103"/>
      <c r="L883" s="65"/>
      <c r="M883" s="65"/>
    </row>
    <row r="884">
      <c r="A884" s="61"/>
      <c r="B884" s="61"/>
      <c r="C884" s="61"/>
      <c r="D884" s="61"/>
      <c r="E884" s="61"/>
      <c r="F884" s="61"/>
      <c r="G884" s="61"/>
      <c r="H884" s="61"/>
      <c r="I884" s="61"/>
      <c r="J884" s="107"/>
      <c r="K884" s="100"/>
      <c r="L884" s="61"/>
      <c r="M884" s="61"/>
    </row>
    <row r="885">
      <c r="A885" s="65"/>
      <c r="B885" s="65"/>
      <c r="C885" s="65"/>
      <c r="D885" s="65"/>
      <c r="E885" s="65"/>
      <c r="F885" s="65"/>
      <c r="G885" s="65"/>
      <c r="H885" s="65"/>
      <c r="I885" s="65"/>
      <c r="J885" s="108"/>
      <c r="K885" s="103"/>
      <c r="L885" s="65"/>
      <c r="M885" s="65"/>
    </row>
    <row r="886">
      <c r="A886" s="61"/>
      <c r="B886" s="61"/>
      <c r="C886" s="61"/>
      <c r="D886" s="61"/>
      <c r="E886" s="61"/>
      <c r="F886" s="61"/>
      <c r="G886" s="61"/>
      <c r="H886" s="61"/>
      <c r="I886" s="61"/>
      <c r="J886" s="107"/>
      <c r="K886" s="100"/>
      <c r="L886" s="61"/>
      <c r="M886" s="61"/>
    </row>
    <row r="887">
      <c r="A887" s="65"/>
      <c r="B887" s="65"/>
      <c r="C887" s="65"/>
      <c r="D887" s="65"/>
      <c r="E887" s="65"/>
      <c r="F887" s="65"/>
      <c r="G887" s="65"/>
      <c r="H887" s="65"/>
      <c r="I887" s="65"/>
      <c r="J887" s="108"/>
      <c r="K887" s="103"/>
      <c r="L887" s="65"/>
      <c r="M887" s="65"/>
    </row>
    <row r="888">
      <c r="A888" s="61"/>
      <c r="B888" s="61"/>
      <c r="C888" s="61"/>
      <c r="D888" s="61"/>
      <c r="E888" s="61"/>
      <c r="F888" s="61"/>
      <c r="G888" s="61"/>
      <c r="H888" s="61"/>
      <c r="I888" s="61"/>
      <c r="J888" s="107"/>
      <c r="K888" s="100"/>
      <c r="L888" s="61"/>
      <c r="M888" s="61"/>
    </row>
    <row r="889">
      <c r="A889" s="65"/>
      <c r="B889" s="65"/>
      <c r="C889" s="65"/>
      <c r="D889" s="65"/>
      <c r="E889" s="65"/>
      <c r="F889" s="65"/>
      <c r="G889" s="65"/>
      <c r="H889" s="65"/>
      <c r="I889" s="65"/>
      <c r="J889" s="108"/>
      <c r="K889" s="103"/>
      <c r="L889" s="65"/>
      <c r="M889" s="65"/>
    </row>
    <row r="890">
      <c r="A890" s="61"/>
      <c r="B890" s="61"/>
      <c r="C890" s="61"/>
      <c r="D890" s="61"/>
      <c r="E890" s="61"/>
      <c r="F890" s="61"/>
      <c r="G890" s="61"/>
      <c r="H890" s="61"/>
      <c r="I890" s="61"/>
      <c r="J890" s="107"/>
      <c r="K890" s="100"/>
      <c r="L890" s="61"/>
      <c r="M890" s="61"/>
    </row>
    <row r="891">
      <c r="A891" s="65"/>
      <c r="B891" s="65"/>
      <c r="C891" s="65"/>
      <c r="D891" s="65"/>
      <c r="E891" s="65"/>
      <c r="F891" s="65"/>
      <c r="G891" s="65"/>
      <c r="H891" s="65"/>
      <c r="I891" s="65"/>
      <c r="J891" s="108"/>
      <c r="K891" s="103"/>
      <c r="L891" s="65"/>
      <c r="M891" s="65"/>
    </row>
    <row r="892">
      <c r="A892" s="61"/>
      <c r="B892" s="61"/>
      <c r="C892" s="61"/>
      <c r="D892" s="61"/>
      <c r="E892" s="61"/>
      <c r="F892" s="61"/>
      <c r="G892" s="61"/>
      <c r="H892" s="61"/>
      <c r="I892" s="61"/>
      <c r="J892" s="107"/>
      <c r="K892" s="100"/>
      <c r="L892" s="61"/>
      <c r="M892" s="61"/>
    </row>
    <row r="893">
      <c r="A893" s="65"/>
      <c r="B893" s="65"/>
      <c r="C893" s="65"/>
      <c r="D893" s="65"/>
      <c r="E893" s="65"/>
      <c r="F893" s="65"/>
      <c r="G893" s="65"/>
      <c r="H893" s="65"/>
      <c r="I893" s="65"/>
      <c r="J893" s="108"/>
      <c r="K893" s="103"/>
      <c r="L893" s="65"/>
      <c r="M893" s="65"/>
    </row>
    <row r="894">
      <c r="A894" s="61"/>
      <c r="B894" s="61"/>
      <c r="C894" s="61"/>
      <c r="D894" s="61"/>
      <c r="E894" s="61"/>
      <c r="F894" s="61"/>
      <c r="G894" s="61"/>
      <c r="H894" s="61"/>
      <c r="I894" s="61"/>
      <c r="J894" s="107"/>
      <c r="K894" s="100"/>
      <c r="L894" s="61"/>
      <c r="M894" s="61"/>
    </row>
    <row r="895">
      <c r="A895" s="65"/>
      <c r="B895" s="65"/>
      <c r="C895" s="65"/>
      <c r="D895" s="65"/>
      <c r="E895" s="65"/>
      <c r="F895" s="65"/>
      <c r="G895" s="65"/>
      <c r="H895" s="65"/>
      <c r="I895" s="65"/>
      <c r="J895" s="108"/>
      <c r="K895" s="103"/>
      <c r="L895" s="65"/>
      <c r="M895" s="65"/>
    </row>
    <row r="896">
      <c r="A896" s="61"/>
      <c r="B896" s="61"/>
      <c r="C896" s="61"/>
      <c r="D896" s="61"/>
      <c r="E896" s="61"/>
      <c r="F896" s="61"/>
      <c r="G896" s="61"/>
      <c r="H896" s="61"/>
      <c r="I896" s="61"/>
      <c r="J896" s="107"/>
      <c r="K896" s="100"/>
      <c r="L896" s="61"/>
      <c r="M896" s="61"/>
    </row>
    <row r="897">
      <c r="A897" s="65"/>
      <c r="B897" s="65"/>
      <c r="C897" s="65"/>
      <c r="D897" s="65"/>
      <c r="E897" s="65"/>
      <c r="F897" s="65"/>
      <c r="G897" s="65"/>
      <c r="H897" s="65"/>
      <c r="I897" s="65"/>
      <c r="J897" s="108"/>
      <c r="K897" s="103"/>
      <c r="L897" s="65"/>
      <c r="M897" s="65"/>
    </row>
    <row r="898">
      <c r="A898" s="61"/>
      <c r="B898" s="61"/>
      <c r="C898" s="61"/>
      <c r="D898" s="61"/>
      <c r="E898" s="61"/>
      <c r="F898" s="61"/>
      <c r="G898" s="61"/>
      <c r="H898" s="61"/>
      <c r="I898" s="61"/>
      <c r="J898" s="107"/>
      <c r="K898" s="100"/>
      <c r="L898" s="61"/>
      <c r="M898" s="61"/>
    </row>
    <row r="899">
      <c r="A899" s="65"/>
      <c r="B899" s="65"/>
      <c r="C899" s="65"/>
      <c r="D899" s="65"/>
      <c r="E899" s="65"/>
      <c r="F899" s="65"/>
      <c r="G899" s="65"/>
      <c r="H899" s="65"/>
      <c r="I899" s="65"/>
      <c r="J899" s="108"/>
      <c r="K899" s="103"/>
      <c r="L899" s="65"/>
      <c r="M899" s="65"/>
    </row>
    <row r="900">
      <c r="A900" s="61"/>
      <c r="B900" s="61"/>
      <c r="C900" s="61"/>
      <c r="D900" s="61"/>
      <c r="E900" s="61"/>
      <c r="F900" s="61"/>
      <c r="G900" s="61"/>
      <c r="H900" s="61"/>
      <c r="I900" s="61"/>
      <c r="J900" s="107"/>
      <c r="K900" s="100"/>
      <c r="L900" s="61"/>
      <c r="M900" s="61"/>
    </row>
    <row r="901">
      <c r="A901" s="65"/>
      <c r="B901" s="65"/>
      <c r="C901" s="65"/>
      <c r="D901" s="65"/>
      <c r="E901" s="65"/>
      <c r="F901" s="65"/>
      <c r="G901" s="65"/>
      <c r="H901" s="65"/>
      <c r="I901" s="65"/>
      <c r="J901" s="108"/>
      <c r="K901" s="103"/>
      <c r="L901" s="65"/>
      <c r="M901" s="65"/>
    </row>
    <row r="902">
      <c r="A902" s="61"/>
      <c r="B902" s="61"/>
      <c r="C902" s="61"/>
      <c r="D902" s="61"/>
      <c r="E902" s="61"/>
      <c r="F902" s="61"/>
      <c r="G902" s="61"/>
      <c r="H902" s="61"/>
      <c r="I902" s="61"/>
      <c r="J902" s="107"/>
      <c r="K902" s="100"/>
      <c r="L902" s="61"/>
      <c r="M902" s="61"/>
    </row>
    <row r="903">
      <c r="A903" s="65"/>
      <c r="B903" s="65"/>
      <c r="C903" s="65"/>
      <c r="D903" s="65"/>
      <c r="E903" s="65"/>
      <c r="F903" s="65"/>
      <c r="G903" s="65"/>
      <c r="H903" s="65"/>
      <c r="I903" s="65"/>
      <c r="J903" s="108"/>
      <c r="K903" s="103"/>
      <c r="L903" s="65"/>
      <c r="M903" s="65"/>
    </row>
    <row r="904">
      <c r="A904" s="61"/>
      <c r="B904" s="61"/>
      <c r="C904" s="61"/>
      <c r="D904" s="61"/>
      <c r="E904" s="61"/>
      <c r="F904" s="61"/>
      <c r="G904" s="61"/>
      <c r="H904" s="61"/>
      <c r="I904" s="61"/>
      <c r="J904" s="107"/>
      <c r="K904" s="100"/>
      <c r="L904" s="61"/>
      <c r="M904" s="61"/>
    </row>
    <row r="905">
      <c r="A905" s="65"/>
      <c r="B905" s="65"/>
      <c r="C905" s="65"/>
      <c r="D905" s="65"/>
      <c r="E905" s="65"/>
      <c r="F905" s="65"/>
      <c r="G905" s="65"/>
      <c r="H905" s="65"/>
      <c r="I905" s="65"/>
      <c r="J905" s="108"/>
      <c r="K905" s="103"/>
      <c r="L905" s="65"/>
      <c r="M905" s="65"/>
    </row>
    <row r="906">
      <c r="A906" s="61"/>
      <c r="B906" s="61"/>
      <c r="C906" s="61"/>
      <c r="D906" s="61"/>
      <c r="E906" s="61"/>
      <c r="F906" s="61"/>
      <c r="G906" s="61"/>
      <c r="H906" s="61"/>
      <c r="I906" s="61"/>
      <c r="J906" s="107"/>
      <c r="K906" s="100"/>
      <c r="L906" s="61"/>
      <c r="M906" s="61"/>
    </row>
    <row r="907">
      <c r="A907" s="65"/>
      <c r="B907" s="65"/>
      <c r="C907" s="65"/>
      <c r="D907" s="65"/>
      <c r="E907" s="65"/>
      <c r="F907" s="65"/>
      <c r="G907" s="65"/>
      <c r="H907" s="65"/>
      <c r="I907" s="65"/>
      <c r="J907" s="108"/>
      <c r="K907" s="103"/>
      <c r="L907" s="65"/>
      <c r="M907" s="65"/>
    </row>
    <row r="908">
      <c r="A908" s="61"/>
      <c r="B908" s="61"/>
      <c r="C908" s="61"/>
      <c r="D908" s="61"/>
      <c r="E908" s="61"/>
      <c r="F908" s="61"/>
      <c r="G908" s="61"/>
      <c r="H908" s="61"/>
      <c r="I908" s="61"/>
      <c r="J908" s="107"/>
      <c r="K908" s="100"/>
      <c r="L908" s="61"/>
      <c r="M908" s="61"/>
    </row>
    <row r="909">
      <c r="A909" s="65"/>
      <c r="B909" s="65"/>
      <c r="C909" s="65"/>
      <c r="D909" s="65"/>
      <c r="E909" s="65"/>
      <c r="F909" s="65"/>
      <c r="G909" s="65"/>
      <c r="H909" s="65"/>
      <c r="I909" s="65"/>
      <c r="J909" s="108"/>
      <c r="K909" s="103"/>
      <c r="L909" s="65"/>
      <c r="M909" s="65"/>
    </row>
    <row r="910">
      <c r="A910" s="61"/>
      <c r="B910" s="61"/>
      <c r="C910" s="61"/>
      <c r="D910" s="61"/>
      <c r="E910" s="61"/>
      <c r="F910" s="61"/>
      <c r="G910" s="61"/>
      <c r="H910" s="61"/>
      <c r="I910" s="61"/>
      <c r="J910" s="107"/>
      <c r="K910" s="100"/>
      <c r="L910" s="61"/>
      <c r="M910" s="61"/>
    </row>
    <row r="911">
      <c r="A911" s="65"/>
      <c r="B911" s="65"/>
      <c r="C911" s="65"/>
      <c r="D911" s="65"/>
      <c r="E911" s="65"/>
      <c r="F911" s="65"/>
      <c r="G911" s="65"/>
      <c r="H911" s="65"/>
      <c r="I911" s="65"/>
      <c r="J911" s="108"/>
      <c r="K911" s="103"/>
      <c r="L911" s="65"/>
      <c r="M911" s="65"/>
    </row>
    <row r="912">
      <c r="A912" s="61"/>
      <c r="B912" s="61"/>
      <c r="C912" s="61"/>
      <c r="D912" s="61"/>
      <c r="E912" s="61"/>
      <c r="F912" s="61"/>
      <c r="G912" s="61"/>
      <c r="H912" s="61"/>
      <c r="I912" s="61"/>
      <c r="J912" s="107"/>
      <c r="K912" s="100"/>
      <c r="L912" s="61"/>
      <c r="M912" s="61"/>
    </row>
    <row r="913">
      <c r="A913" s="65"/>
      <c r="B913" s="65"/>
      <c r="C913" s="65"/>
      <c r="D913" s="65"/>
      <c r="E913" s="65"/>
      <c r="F913" s="65"/>
      <c r="G913" s="65"/>
      <c r="H913" s="65"/>
      <c r="I913" s="65"/>
      <c r="J913" s="108"/>
      <c r="K913" s="103"/>
      <c r="L913" s="65"/>
      <c r="M913" s="65"/>
    </row>
    <row r="914">
      <c r="A914" s="61"/>
      <c r="B914" s="61"/>
      <c r="C914" s="61"/>
      <c r="D914" s="61"/>
      <c r="E914" s="61"/>
      <c r="F914" s="61"/>
      <c r="G914" s="61"/>
      <c r="H914" s="61"/>
      <c r="I914" s="61"/>
      <c r="J914" s="107"/>
      <c r="K914" s="100"/>
      <c r="L914" s="61"/>
      <c r="M914" s="61"/>
    </row>
    <row r="915">
      <c r="A915" s="65"/>
      <c r="B915" s="65"/>
      <c r="C915" s="65"/>
      <c r="D915" s="65"/>
      <c r="E915" s="65"/>
      <c r="F915" s="65"/>
      <c r="G915" s="65"/>
      <c r="H915" s="65"/>
      <c r="I915" s="65"/>
      <c r="J915" s="108"/>
      <c r="K915" s="103"/>
      <c r="L915" s="65"/>
      <c r="M915" s="65"/>
    </row>
    <row r="916">
      <c r="A916" s="61"/>
      <c r="B916" s="61"/>
      <c r="C916" s="61"/>
      <c r="D916" s="61"/>
      <c r="E916" s="61"/>
      <c r="F916" s="61"/>
      <c r="G916" s="61"/>
      <c r="H916" s="61"/>
      <c r="I916" s="61"/>
      <c r="J916" s="107"/>
      <c r="K916" s="100"/>
      <c r="L916" s="61"/>
      <c r="M916" s="61"/>
    </row>
    <row r="917">
      <c r="A917" s="65"/>
      <c r="B917" s="65"/>
      <c r="C917" s="65"/>
      <c r="D917" s="65"/>
      <c r="E917" s="65"/>
      <c r="F917" s="65"/>
      <c r="G917" s="65"/>
      <c r="H917" s="65"/>
      <c r="I917" s="65"/>
      <c r="J917" s="108"/>
      <c r="K917" s="103"/>
      <c r="L917" s="65"/>
      <c r="M917" s="65"/>
    </row>
    <row r="918">
      <c r="A918" s="61"/>
      <c r="B918" s="61"/>
      <c r="C918" s="61"/>
      <c r="D918" s="61"/>
      <c r="E918" s="61"/>
      <c r="F918" s="61"/>
      <c r="G918" s="61"/>
      <c r="H918" s="61"/>
      <c r="I918" s="61"/>
      <c r="J918" s="107"/>
      <c r="K918" s="100"/>
      <c r="L918" s="61"/>
      <c r="M918" s="61"/>
    </row>
    <row r="919">
      <c r="A919" s="65"/>
      <c r="B919" s="65"/>
      <c r="C919" s="65"/>
      <c r="D919" s="65"/>
      <c r="E919" s="65"/>
      <c r="F919" s="65"/>
      <c r="G919" s="65"/>
      <c r="H919" s="65"/>
      <c r="I919" s="65"/>
      <c r="J919" s="108"/>
      <c r="K919" s="103"/>
      <c r="L919" s="65"/>
      <c r="M919" s="65"/>
    </row>
    <row r="920">
      <c r="A920" s="61"/>
      <c r="B920" s="61"/>
      <c r="C920" s="61"/>
      <c r="D920" s="61"/>
      <c r="E920" s="61"/>
      <c r="F920" s="61"/>
      <c r="G920" s="61"/>
      <c r="H920" s="61"/>
      <c r="I920" s="61"/>
      <c r="J920" s="107"/>
      <c r="K920" s="100"/>
      <c r="L920" s="61"/>
      <c r="M920" s="61"/>
    </row>
    <row r="921">
      <c r="A921" s="65"/>
      <c r="B921" s="65"/>
      <c r="C921" s="65"/>
      <c r="D921" s="65"/>
      <c r="E921" s="65"/>
      <c r="F921" s="65"/>
      <c r="G921" s="65"/>
      <c r="H921" s="65"/>
      <c r="I921" s="65"/>
      <c r="J921" s="108"/>
      <c r="K921" s="103"/>
      <c r="L921" s="65"/>
      <c r="M921" s="65"/>
    </row>
    <row r="922">
      <c r="A922" s="61"/>
      <c r="B922" s="61"/>
      <c r="C922" s="61"/>
      <c r="D922" s="61"/>
      <c r="E922" s="61"/>
      <c r="F922" s="61"/>
      <c r="G922" s="61"/>
      <c r="H922" s="61"/>
      <c r="I922" s="61"/>
      <c r="J922" s="107"/>
      <c r="K922" s="100"/>
      <c r="L922" s="61"/>
      <c r="M922" s="61"/>
    </row>
    <row r="923">
      <c r="A923" s="65"/>
      <c r="B923" s="65"/>
      <c r="C923" s="65"/>
      <c r="D923" s="65"/>
      <c r="E923" s="65"/>
      <c r="F923" s="65"/>
      <c r="G923" s="65"/>
      <c r="H923" s="65"/>
      <c r="I923" s="65"/>
      <c r="J923" s="108"/>
      <c r="K923" s="103"/>
      <c r="L923" s="65"/>
      <c r="M923" s="65"/>
    </row>
    <row r="924">
      <c r="A924" s="61"/>
      <c r="B924" s="61"/>
      <c r="C924" s="61"/>
      <c r="D924" s="61"/>
      <c r="E924" s="61"/>
      <c r="F924" s="61"/>
      <c r="G924" s="61"/>
      <c r="H924" s="61"/>
      <c r="I924" s="61"/>
      <c r="J924" s="107"/>
      <c r="K924" s="100"/>
      <c r="L924" s="61"/>
      <c r="M924" s="61"/>
    </row>
    <row r="925">
      <c r="A925" s="65"/>
      <c r="B925" s="65"/>
      <c r="C925" s="65"/>
      <c r="D925" s="65"/>
      <c r="E925" s="65"/>
      <c r="F925" s="65"/>
      <c r="G925" s="65"/>
      <c r="H925" s="65"/>
      <c r="I925" s="65"/>
      <c r="J925" s="108"/>
      <c r="K925" s="103"/>
      <c r="L925" s="65"/>
      <c r="M925" s="65"/>
    </row>
    <row r="926">
      <c r="A926" s="61"/>
      <c r="B926" s="61"/>
      <c r="C926" s="61"/>
      <c r="D926" s="61"/>
      <c r="E926" s="61"/>
      <c r="F926" s="61"/>
      <c r="G926" s="61"/>
      <c r="H926" s="61"/>
      <c r="I926" s="61"/>
      <c r="J926" s="107"/>
      <c r="K926" s="100"/>
      <c r="L926" s="61"/>
      <c r="M926" s="61"/>
    </row>
    <row r="927">
      <c r="A927" s="65"/>
      <c r="B927" s="65"/>
      <c r="C927" s="65"/>
      <c r="D927" s="65"/>
      <c r="E927" s="65"/>
      <c r="F927" s="65"/>
      <c r="G927" s="65"/>
      <c r="H927" s="65"/>
      <c r="I927" s="65"/>
      <c r="J927" s="108"/>
      <c r="K927" s="103"/>
      <c r="L927" s="65"/>
      <c r="M927" s="65"/>
    </row>
    <row r="928">
      <c r="A928" s="61"/>
      <c r="B928" s="61"/>
      <c r="C928" s="61"/>
      <c r="D928" s="61"/>
      <c r="E928" s="61"/>
      <c r="F928" s="61"/>
      <c r="G928" s="61"/>
      <c r="H928" s="61"/>
      <c r="I928" s="61"/>
      <c r="J928" s="107"/>
      <c r="K928" s="100"/>
      <c r="L928" s="61"/>
      <c r="M928" s="61"/>
    </row>
    <row r="929">
      <c r="A929" s="65"/>
      <c r="B929" s="65"/>
      <c r="C929" s="65"/>
      <c r="D929" s="65"/>
      <c r="E929" s="65"/>
      <c r="F929" s="65"/>
      <c r="G929" s="65"/>
      <c r="H929" s="65"/>
      <c r="I929" s="65"/>
      <c r="J929" s="108"/>
      <c r="K929" s="103"/>
      <c r="L929" s="65"/>
      <c r="M929" s="65"/>
    </row>
    <row r="930">
      <c r="A930" s="61"/>
      <c r="B930" s="61"/>
      <c r="C930" s="61"/>
      <c r="D930" s="61"/>
      <c r="E930" s="61"/>
      <c r="F930" s="61"/>
      <c r="G930" s="61"/>
      <c r="H930" s="61"/>
      <c r="I930" s="61"/>
      <c r="J930" s="107"/>
      <c r="K930" s="100"/>
      <c r="L930" s="61"/>
      <c r="M930" s="61"/>
    </row>
    <row r="931">
      <c r="A931" s="65"/>
      <c r="B931" s="65"/>
      <c r="C931" s="65"/>
      <c r="D931" s="65"/>
      <c r="E931" s="65"/>
      <c r="F931" s="65"/>
      <c r="G931" s="65"/>
      <c r="H931" s="65"/>
      <c r="I931" s="65"/>
      <c r="J931" s="108"/>
      <c r="K931" s="103"/>
      <c r="L931" s="65"/>
      <c r="M931" s="65"/>
    </row>
    <row r="932">
      <c r="A932" s="61"/>
      <c r="B932" s="61"/>
      <c r="C932" s="61"/>
      <c r="D932" s="61"/>
      <c r="E932" s="61"/>
      <c r="F932" s="61"/>
      <c r="G932" s="61"/>
      <c r="H932" s="61"/>
      <c r="I932" s="61"/>
      <c r="J932" s="107"/>
      <c r="K932" s="100"/>
      <c r="L932" s="61"/>
      <c r="M932" s="61"/>
    </row>
    <row r="933">
      <c r="A933" s="65"/>
      <c r="B933" s="65"/>
      <c r="C933" s="65"/>
      <c r="D933" s="65"/>
      <c r="E933" s="65"/>
      <c r="F933" s="65"/>
      <c r="G933" s="65"/>
      <c r="H933" s="65"/>
      <c r="I933" s="65"/>
      <c r="J933" s="108"/>
      <c r="K933" s="103"/>
      <c r="L933" s="65"/>
      <c r="M933" s="65"/>
    </row>
    <row r="934">
      <c r="A934" s="61"/>
      <c r="B934" s="61"/>
      <c r="C934" s="61"/>
      <c r="D934" s="61"/>
      <c r="E934" s="61"/>
      <c r="F934" s="61"/>
      <c r="G934" s="61"/>
      <c r="H934" s="61"/>
      <c r="I934" s="61"/>
      <c r="J934" s="107"/>
      <c r="K934" s="100"/>
      <c r="L934" s="61"/>
      <c r="M934" s="61"/>
    </row>
    <row r="935">
      <c r="A935" s="65"/>
      <c r="B935" s="65"/>
      <c r="C935" s="65"/>
      <c r="D935" s="65"/>
      <c r="E935" s="65"/>
      <c r="F935" s="65"/>
      <c r="G935" s="65"/>
      <c r="H935" s="65"/>
      <c r="I935" s="65"/>
      <c r="J935" s="108"/>
      <c r="K935" s="103"/>
      <c r="L935" s="65"/>
      <c r="M935" s="65"/>
    </row>
    <row r="936">
      <c r="A936" s="61"/>
      <c r="B936" s="61"/>
      <c r="C936" s="61"/>
      <c r="D936" s="61"/>
      <c r="E936" s="61"/>
      <c r="F936" s="61"/>
      <c r="G936" s="61"/>
      <c r="H936" s="61"/>
      <c r="I936" s="61"/>
      <c r="J936" s="107"/>
      <c r="K936" s="100"/>
      <c r="L936" s="61"/>
      <c r="M936" s="61"/>
    </row>
    <row r="937">
      <c r="A937" s="65"/>
      <c r="B937" s="65"/>
      <c r="C937" s="65"/>
      <c r="D937" s="65"/>
      <c r="E937" s="65"/>
      <c r="F937" s="65"/>
      <c r="G937" s="65"/>
      <c r="H937" s="65"/>
      <c r="I937" s="65"/>
      <c r="J937" s="108"/>
      <c r="K937" s="103"/>
      <c r="L937" s="65"/>
      <c r="M937" s="65"/>
    </row>
    <row r="938">
      <c r="A938" s="61"/>
      <c r="B938" s="61"/>
      <c r="C938" s="61"/>
      <c r="D938" s="61"/>
      <c r="E938" s="61"/>
      <c r="F938" s="61"/>
      <c r="G938" s="61"/>
      <c r="H938" s="61"/>
      <c r="I938" s="61"/>
      <c r="J938" s="107"/>
      <c r="K938" s="100"/>
      <c r="L938" s="61"/>
      <c r="M938" s="61"/>
    </row>
    <row r="939">
      <c r="A939" s="65"/>
      <c r="B939" s="65"/>
      <c r="C939" s="65"/>
      <c r="D939" s="65"/>
      <c r="E939" s="65"/>
      <c r="F939" s="65"/>
      <c r="G939" s="65"/>
      <c r="H939" s="65"/>
      <c r="I939" s="65"/>
      <c r="J939" s="108"/>
      <c r="K939" s="103"/>
      <c r="L939" s="65"/>
      <c r="M939" s="65"/>
    </row>
    <row r="940">
      <c r="A940" s="61"/>
      <c r="B940" s="61"/>
      <c r="C940" s="61"/>
      <c r="D940" s="61"/>
      <c r="E940" s="61"/>
      <c r="F940" s="61"/>
      <c r="G940" s="61"/>
      <c r="H940" s="61"/>
      <c r="I940" s="61"/>
      <c r="J940" s="107"/>
      <c r="K940" s="100"/>
      <c r="L940" s="61"/>
      <c r="M940" s="61"/>
    </row>
    <row r="941">
      <c r="A941" s="65"/>
      <c r="B941" s="65"/>
      <c r="C941" s="65"/>
      <c r="D941" s="65"/>
      <c r="E941" s="65"/>
      <c r="F941" s="65"/>
      <c r="G941" s="65"/>
      <c r="H941" s="65"/>
      <c r="I941" s="65"/>
      <c r="J941" s="108"/>
      <c r="K941" s="103"/>
      <c r="L941" s="65"/>
      <c r="M941" s="65"/>
    </row>
    <row r="942">
      <c r="A942" s="61"/>
      <c r="B942" s="61"/>
      <c r="C942" s="61"/>
      <c r="D942" s="61"/>
      <c r="E942" s="61"/>
      <c r="F942" s="61"/>
      <c r="G942" s="61"/>
      <c r="H942" s="61"/>
      <c r="I942" s="61"/>
      <c r="J942" s="107"/>
      <c r="K942" s="100"/>
      <c r="L942" s="61"/>
      <c r="M942" s="61"/>
    </row>
    <row r="943">
      <c r="A943" s="65"/>
      <c r="B943" s="65"/>
      <c r="C943" s="65"/>
      <c r="D943" s="65"/>
      <c r="E943" s="65"/>
      <c r="F943" s="65"/>
      <c r="G943" s="65"/>
      <c r="H943" s="65"/>
      <c r="I943" s="65"/>
      <c r="J943" s="108"/>
      <c r="K943" s="103"/>
      <c r="L943" s="65"/>
      <c r="M943" s="65"/>
    </row>
    <row r="944">
      <c r="A944" s="61"/>
      <c r="B944" s="61"/>
      <c r="C944" s="61"/>
      <c r="D944" s="61"/>
      <c r="E944" s="61"/>
      <c r="F944" s="61"/>
      <c r="G944" s="61"/>
      <c r="H944" s="61"/>
      <c r="I944" s="61"/>
      <c r="J944" s="107"/>
      <c r="K944" s="100"/>
      <c r="L944" s="61"/>
      <c r="M944" s="61"/>
    </row>
    <row r="945">
      <c r="A945" s="65"/>
      <c r="B945" s="65"/>
      <c r="C945" s="65"/>
      <c r="D945" s="65"/>
      <c r="E945" s="65"/>
      <c r="F945" s="65"/>
      <c r="G945" s="65"/>
      <c r="H945" s="65"/>
      <c r="I945" s="65"/>
      <c r="J945" s="108"/>
      <c r="K945" s="103"/>
      <c r="L945" s="65"/>
      <c r="M945" s="65"/>
    </row>
    <row r="946">
      <c r="A946" s="61"/>
      <c r="B946" s="61"/>
      <c r="C946" s="61"/>
      <c r="D946" s="61"/>
      <c r="E946" s="61"/>
      <c r="F946" s="61"/>
      <c r="G946" s="61"/>
      <c r="H946" s="61"/>
      <c r="I946" s="61"/>
      <c r="J946" s="107"/>
      <c r="K946" s="100"/>
      <c r="L946" s="61"/>
      <c r="M946" s="61"/>
    </row>
    <row r="947">
      <c r="A947" s="65"/>
      <c r="B947" s="65"/>
      <c r="C947" s="65"/>
      <c r="D947" s="65"/>
      <c r="E947" s="65"/>
      <c r="F947" s="65"/>
      <c r="G947" s="65"/>
      <c r="H947" s="65"/>
      <c r="I947" s="65"/>
      <c r="J947" s="108"/>
      <c r="K947" s="103"/>
      <c r="L947" s="65"/>
      <c r="M947" s="65"/>
    </row>
    <row r="948">
      <c r="A948" s="61"/>
      <c r="B948" s="61"/>
      <c r="C948" s="61"/>
      <c r="D948" s="61"/>
      <c r="E948" s="61"/>
      <c r="F948" s="61"/>
      <c r="G948" s="61"/>
      <c r="H948" s="61"/>
      <c r="I948" s="61"/>
      <c r="J948" s="107"/>
      <c r="K948" s="100"/>
      <c r="L948" s="61"/>
      <c r="M948" s="61"/>
    </row>
    <row r="949">
      <c r="A949" s="65"/>
      <c r="B949" s="65"/>
      <c r="C949" s="65"/>
      <c r="D949" s="65"/>
      <c r="E949" s="65"/>
      <c r="F949" s="65"/>
      <c r="G949" s="65"/>
      <c r="H949" s="65"/>
      <c r="I949" s="65"/>
      <c r="J949" s="108"/>
      <c r="K949" s="103"/>
      <c r="L949" s="65"/>
      <c r="M949" s="65"/>
    </row>
    <row r="950">
      <c r="A950" s="61"/>
      <c r="B950" s="61"/>
      <c r="C950" s="61"/>
      <c r="D950" s="61"/>
      <c r="E950" s="61"/>
      <c r="F950" s="61"/>
      <c r="G950" s="61"/>
      <c r="H950" s="61"/>
      <c r="I950" s="61"/>
      <c r="J950" s="107"/>
      <c r="K950" s="100"/>
      <c r="L950" s="61"/>
      <c r="M950" s="61"/>
    </row>
    <row r="951">
      <c r="A951" s="65"/>
      <c r="B951" s="65"/>
      <c r="C951" s="65"/>
      <c r="D951" s="65"/>
      <c r="E951" s="65"/>
      <c r="F951" s="65"/>
      <c r="G951" s="65"/>
      <c r="H951" s="65"/>
      <c r="I951" s="65"/>
      <c r="J951" s="108"/>
      <c r="K951" s="103"/>
      <c r="L951" s="65"/>
      <c r="M951" s="65"/>
    </row>
    <row r="952">
      <c r="A952" s="61"/>
      <c r="B952" s="61"/>
      <c r="C952" s="61"/>
      <c r="D952" s="61"/>
      <c r="E952" s="61"/>
      <c r="F952" s="61"/>
      <c r="G952" s="61"/>
      <c r="H952" s="61"/>
      <c r="I952" s="61"/>
      <c r="J952" s="107"/>
      <c r="K952" s="100"/>
      <c r="L952" s="61"/>
      <c r="M952" s="61"/>
    </row>
    <row r="953">
      <c r="A953" s="65"/>
      <c r="B953" s="65"/>
      <c r="C953" s="65"/>
      <c r="D953" s="65"/>
      <c r="E953" s="65"/>
      <c r="F953" s="65"/>
      <c r="G953" s="65"/>
      <c r="H953" s="65"/>
      <c r="I953" s="65"/>
      <c r="J953" s="108"/>
      <c r="K953" s="103"/>
      <c r="L953" s="65"/>
      <c r="M953" s="65"/>
    </row>
    <row r="954">
      <c r="A954" s="61"/>
      <c r="B954" s="61"/>
      <c r="C954" s="61"/>
      <c r="D954" s="61"/>
      <c r="E954" s="61"/>
      <c r="F954" s="61"/>
      <c r="G954" s="61"/>
      <c r="H954" s="61"/>
      <c r="I954" s="61"/>
      <c r="J954" s="107"/>
      <c r="K954" s="100"/>
      <c r="L954" s="61"/>
      <c r="M954" s="61"/>
    </row>
    <row r="955">
      <c r="A955" s="65"/>
      <c r="B955" s="65"/>
      <c r="C955" s="65"/>
      <c r="D955" s="65"/>
      <c r="E955" s="65"/>
      <c r="F955" s="65"/>
      <c r="G955" s="65"/>
      <c r="H955" s="65"/>
      <c r="I955" s="65"/>
      <c r="J955" s="108"/>
      <c r="K955" s="103"/>
      <c r="L955" s="65"/>
      <c r="M955" s="65"/>
    </row>
    <row r="956">
      <c r="A956" s="61"/>
      <c r="B956" s="61"/>
      <c r="C956" s="61"/>
      <c r="D956" s="61"/>
      <c r="E956" s="61"/>
      <c r="F956" s="61"/>
      <c r="G956" s="61"/>
      <c r="H956" s="61"/>
      <c r="I956" s="61"/>
      <c r="J956" s="107"/>
      <c r="K956" s="100"/>
      <c r="L956" s="61"/>
      <c r="M956" s="61"/>
    </row>
    <row r="957">
      <c r="A957" s="65"/>
      <c r="B957" s="65"/>
      <c r="C957" s="65"/>
      <c r="D957" s="65"/>
      <c r="E957" s="65"/>
      <c r="F957" s="65"/>
      <c r="G957" s="65"/>
      <c r="H957" s="65"/>
      <c r="I957" s="65"/>
      <c r="J957" s="108"/>
      <c r="K957" s="103"/>
      <c r="L957" s="65"/>
      <c r="M957" s="65"/>
    </row>
    <row r="958">
      <c r="A958" s="61"/>
      <c r="B958" s="61"/>
      <c r="C958" s="61"/>
      <c r="D958" s="61"/>
      <c r="E958" s="61"/>
      <c r="F958" s="61"/>
      <c r="G958" s="61"/>
      <c r="H958" s="61"/>
      <c r="I958" s="61"/>
      <c r="J958" s="107"/>
      <c r="K958" s="100"/>
      <c r="L958" s="61"/>
      <c r="M958" s="61"/>
    </row>
    <row r="959">
      <c r="A959" s="65"/>
      <c r="B959" s="65"/>
      <c r="C959" s="65"/>
      <c r="D959" s="65"/>
      <c r="E959" s="65"/>
      <c r="F959" s="65"/>
      <c r="G959" s="65"/>
      <c r="H959" s="65"/>
      <c r="I959" s="65"/>
      <c r="J959" s="108"/>
      <c r="K959" s="103"/>
      <c r="L959" s="65"/>
      <c r="M959" s="65"/>
    </row>
    <row r="960">
      <c r="A960" s="61"/>
      <c r="B960" s="61"/>
      <c r="C960" s="61"/>
      <c r="D960" s="61"/>
      <c r="E960" s="61"/>
      <c r="F960" s="61"/>
      <c r="G960" s="61"/>
      <c r="H960" s="61"/>
      <c r="I960" s="61"/>
      <c r="J960" s="107"/>
      <c r="K960" s="100"/>
      <c r="L960" s="61"/>
      <c r="M960" s="61"/>
    </row>
    <row r="961">
      <c r="A961" s="65"/>
      <c r="B961" s="65"/>
      <c r="C961" s="65"/>
      <c r="D961" s="65"/>
      <c r="E961" s="65"/>
      <c r="F961" s="65"/>
      <c r="G961" s="65"/>
      <c r="H961" s="65"/>
      <c r="I961" s="65"/>
      <c r="J961" s="108"/>
      <c r="K961" s="103"/>
      <c r="L961" s="65"/>
      <c r="M961" s="65"/>
    </row>
    <row r="962">
      <c r="A962" s="61"/>
      <c r="B962" s="61"/>
      <c r="C962" s="61"/>
      <c r="D962" s="61"/>
      <c r="E962" s="61"/>
      <c r="F962" s="61"/>
      <c r="G962" s="61"/>
      <c r="H962" s="61"/>
      <c r="I962" s="61"/>
      <c r="J962" s="107"/>
      <c r="K962" s="100"/>
      <c r="L962" s="61"/>
      <c r="M962" s="61"/>
    </row>
    <row r="963">
      <c r="A963" s="65"/>
      <c r="B963" s="65"/>
      <c r="C963" s="65"/>
      <c r="D963" s="65"/>
      <c r="E963" s="65"/>
      <c r="F963" s="65"/>
      <c r="G963" s="65"/>
      <c r="H963" s="65"/>
      <c r="I963" s="65"/>
      <c r="J963" s="108"/>
      <c r="K963" s="103"/>
      <c r="L963" s="65"/>
      <c r="M963" s="65"/>
    </row>
    <row r="964">
      <c r="A964" s="61"/>
      <c r="B964" s="61"/>
      <c r="C964" s="61"/>
      <c r="D964" s="61"/>
      <c r="E964" s="61"/>
      <c r="F964" s="61"/>
      <c r="G964" s="61"/>
      <c r="H964" s="61"/>
      <c r="I964" s="61"/>
      <c r="J964" s="107"/>
      <c r="K964" s="100"/>
      <c r="L964" s="61"/>
      <c r="M964" s="61"/>
    </row>
    <row r="965">
      <c r="A965" s="65"/>
      <c r="B965" s="65"/>
      <c r="C965" s="65"/>
      <c r="D965" s="65"/>
      <c r="E965" s="65"/>
      <c r="F965" s="65"/>
      <c r="G965" s="65"/>
      <c r="H965" s="65"/>
      <c r="I965" s="65"/>
      <c r="J965" s="108"/>
      <c r="K965" s="103"/>
      <c r="L965" s="65"/>
      <c r="M965" s="65"/>
    </row>
    <row r="966">
      <c r="A966" s="61"/>
      <c r="B966" s="61"/>
      <c r="C966" s="61"/>
      <c r="D966" s="61"/>
      <c r="E966" s="61"/>
      <c r="F966" s="61"/>
      <c r="G966" s="61"/>
      <c r="H966" s="61"/>
      <c r="I966" s="61"/>
      <c r="J966" s="107"/>
      <c r="K966" s="100"/>
      <c r="L966" s="61"/>
      <c r="M966" s="61"/>
    </row>
    <row r="967">
      <c r="A967" s="65"/>
      <c r="B967" s="65"/>
      <c r="C967" s="65"/>
      <c r="D967" s="65"/>
      <c r="E967" s="65"/>
      <c r="F967" s="65"/>
      <c r="G967" s="65"/>
      <c r="H967" s="65"/>
      <c r="I967" s="65"/>
      <c r="J967" s="108"/>
      <c r="K967" s="103"/>
      <c r="L967" s="65"/>
      <c r="M967" s="65"/>
    </row>
    <row r="968">
      <c r="A968" s="61"/>
      <c r="B968" s="61"/>
      <c r="C968" s="61"/>
      <c r="D968" s="61"/>
      <c r="E968" s="61"/>
      <c r="F968" s="61"/>
      <c r="G968" s="61"/>
      <c r="H968" s="61"/>
      <c r="I968" s="61"/>
      <c r="J968" s="107"/>
      <c r="K968" s="100"/>
      <c r="L968" s="61"/>
      <c r="M968" s="61"/>
    </row>
    <row r="969">
      <c r="A969" s="65"/>
      <c r="B969" s="65"/>
      <c r="C969" s="65"/>
      <c r="D969" s="65"/>
      <c r="E969" s="65"/>
      <c r="F969" s="65"/>
      <c r="G969" s="65"/>
      <c r="H969" s="65"/>
      <c r="I969" s="65"/>
      <c r="J969" s="108"/>
      <c r="K969" s="103"/>
      <c r="L969" s="65"/>
      <c r="M969" s="65"/>
    </row>
    <row r="970">
      <c r="A970" s="61"/>
      <c r="B970" s="61"/>
      <c r="C970" s="61"/>
      <c r="D970" s="61"/>
      <c r="E970" s="61"/>
      <c r="F970" s="61"/>
      <c r="G970" s="61"/>
      <c r="H970" s="61"/>
      <c r="I970" s="61"/>
      <c r="J970" s="107"/>
      <c r="K970" s="100"/>
      <c r="L970" s="61"/>
      <c r="M970" s="61"/>
    </row>
    <row r="971">
      <c r="A971" s="65"/>
      <c r="B971" s="65"/>
      <c r="C971" s="65"/>
      <c r="D971" s="65"/>
      <c r="E971" s="65"/>
      <c r="F971" s="65"/>
      <c r="G971" s="65"/>
      <c r="H971" s="65"/>
      <c r="I971" s="65"/>
      <c r="J971" s="108"/>
      <c r="K971" s="103"/>
      <c r="L971" s="65"/>
      <c r="M971" s="65"/>
    </row>
    <row r="972">
      <c r="A972" s="61"/>
      <c r="B972" s="61"/>
      <c r="C972" s="61"/>
      <c r="D972" s="61"/>
      <c r="E972" s="61"/>
      <c r="F972" s="61"/>
      <c r="G972" s="61"/>
      <c r="H972" s="61"/>
      <c r="I972" s="61"/>
      <c r="J972" s="107"/>
      <c r="K972" s="100"/>
      <c r="L972" s="61"/>
      <c r="M972" s="61"/>
    </row>
    <row r="973">
      <c r="A973" s="65"/>
      <c r="B973" s="65"/>
      <c r="C973" s="65"/>
      <c r="D973" s="65"/>
      <c r="E973" s="65"/>
      <c r="F973" s="65"/>
      <c r="G973" s="65"/>
      <c r="H973" s="65"/>
      <c r="I973" s="65"/>
      <c r="J973" s="108"/>
      <c r="K973" s="103"/>
      <c r="L973" s="65"/>
      <c r="M973" s="65"/>
    </row>
    <row r="974">
      <c r="A974" s="61"/>
      <c r="B974" s="61"/>
      <c r="C974" s="61"/>
      <c r="D974" s="61"/>
      <c r="E974" s="61"/>
      <c r="F974" s="61"/>
      <c r="G974" s="61"/>
      <c r="H974" s="61"/>
      <c r="I974" s="61"/>
      <c r="J974" s="107"/>
      <c r="K974" s="100"/>
      <c r="L974" s="61"/>
      <c r="M974" s="61"/>
    </row>
    <row r="975">
      <c r="A975" s="65"/>
      <c r="B975" s="65"/>
      <c r="C975" s="65"/>
      <c r="D975" s="65"/>
      <c r="E975" s="65"/>
      <c r="F975" s="65"/>
      <c r="G975" s="65"/>
      <c r="H975" s="65"/>
      <c r="I975" s="65"/>
      <c r="J975" s="108"/>
      <c r="K975" s="103"/>
      <c r="L975" s="65"/>
      <c r="M975" s="65"/>
    </row>
    <row r="976">
      <c r="A976" s="61"/>
      <c r="B976" s="61"/>
      <c r="C976" s="61"/>
      <c r="D976" s="61"/>
      <c r="E976" s="61"/>
      <c r="F976" s="61"/>
      <c r="G976" s="61"/>
      <c r="H976" s="61"/>
      <c r="I976" s="61"/>
      <c r="J976" s="107"/>
      <c r="K976" s="100"/>
      <c r="L976" s="61"/>
      <c r="M976" s="61"/>
    </row>
    <row r="977">
      <c r="A977" s="65"/>
      <c r="B977" s="65"/>
      <c r="C977" s="65"/>
      <c r="D977" s="65"/>
      <c r="E977" s="65"/>
      <c r="F977" s="65"/>
      <c r="G977" s="65"/>
      <c r="H977" s="65"/>
      <c r="I977" s="65"/>
      <c r="J977" s="108"/>
      <c r="K977" s="103"/>
      <c r="L977" s="65"/>
      <c r="M977" s="65"/>
    </row>
    <row r="978">
      <c r="A978" s="61"/>
      <c r="B978" s="61"/>
      <c r="C978" s="61"/>
      <c r="D978" s="61"/>
      <c r="E978" s="61"/>
      <c r="F978" s="61"/>
      <c r="G978" s="61"/>
      <c r="H978" s="61"/>
      <c r="I978" s="61"/>
      <c r="J978" s="107"/>
      <c r="K978" s="100"/>
      <c r="L978" s="61"/>
      <c r="M978" s="61"/>
    </row>
    <row r="979">
      <c r="A979" s="65"/>
      <c r="B979" s="65"/>
      <c r="C979" s="65"/>
      <c r="D979" s="65"/>
      <c r="E979" s="65"/>
      <c r="F979" s="65"/>
      <c r="G979" s="65"/>
      <c r="H979" s="65"/>
      <c r="I979" s="65"/>
      <c r="J979" s="108"/>
      <c r="K979" s="103"/>
      <c r="L979" s="65"/>
      <c r="M979" s="65"/>
    </row>
    <row r="980">
      <c r="A980" s="61"/>
      <c r="B980" s="61"/>
      <c r="C980" s="61"/>
      <c r="D980" s="61"/>
      <c r="E980" s="61"/>
      <c r="F980" s="61"/>
      <c r="G980" s="61"/>
      <c r="H980" s="61"/>
      <c r="I980" s="61"/>
      <c r="J980" s="107"/>
      <c r="K980" s="100"/>
      <c r="L980" s="61"/>
      <c r="M980" s="61"/>
    </row>
    <row r="981">
      <c r="A981" s="65"/>
      <c r="B981" s="65"/>
      <c r="C981" s="65"/>
      <c r="D981" s="65"/>
      <c r="E981" s="65"/>
      <c r="F981" s="65"/>
      <c r="G981" s="65"/>
      <c r="H981" s="65"/>
      <c r="I981" s="65"/>
      <c r="J981" s="108"/>
      <c r="K981" s="103"/>
      <c r="L981" s="65"/>
      <c r="M981" s="65"/>
    </row>
    <row r="982">
      <c r="A982" s="61"/>
      <c r="B982" s="61"/>
      <c r="C982" s="61"/>
      <c r="D982" s="61"/>
      <c r="E982" s="61"/>
      <c r="F982" s="61"/>
      <c r="G982" s="61"/>
      <c r="H982" s="61"/>
      <c r="I982" s="61"/>
      <c r="J982" s="107"/>
      <c r="K982" s="100"/>
      <c r="L982" s="61"/>
      <c r="M982" s="61"/>
    </row>
    <row r="983">
      <c r="A983" s="65"/>
      <c r="B983" s="65"/>
      <c r="C983" s="65"/>
      <c r="D983" s="65"/>
      <c r="E983" s="65"/>
      <c r="F983" s="65"/>
      <c r="G983" s="65"/>
      <c r="H983" s="65"/>
      <c r="I983" s="65"/>
      <c r="J983" s="108"/>
      <c r="K983" s="103"/>
      <c r="L983" s="65"/>
      <c r="M983" s="65"/>
    </row>
    <row r="984">
      <c r="A984" s="61"/>
      <c r="B984" s="61"/>
      <c r="C984" s="61"/>
      <c r="D984" s="61"/>
      <c r="E984" s="61"/>
      <c r="F984" s="61"/>
      <c r="G984" s="61"/>
      <c r="H984" s="61"/>
      <c r="I984" s="61"/>
      <c r="J984" s="107"/>
      <c r="K984" s="100"/>
      <c r="L984" s="61"/>
      <c r="M984" s="61"/>
    </row>
    <row r="985">
      <c r="A985" s="65"/>
      <c r="B985" s="65"/>
      <c r="C985" s="65"/>
      <c r="D985" s="65"/>
      <c r="E985" s="65"/>
      <c r="F985" s="65"/>
      <c r="G985" s="65"/>
      <c r="H985" s="65"/>
      <c r="I985" s="65"/>
      <c r="J985" s="108"/>
      <c r="K985" s="103"/>
      <c r="L985" s="65"/>
      <c r="M985" s="65"/>
    </row>
    <row r="986">
      <c r="A986" s="61"/>
      <c r="B986" s="61"/>
      <c r="C986" s="61"/>
      <c r="D986" s="61"/>
      <c r="E986" s="61"/>
      <c r="F986" s="61"/>
      <c r="G986" s="61"/>
      <c r="H986" s="61"/>
      <c r="I986" s="61"/>
      <c r="J986" s="107"/>
      <c r="K986" s="100"/>
      <c r="L986" s="61"/>
      <c r="M986" s="61"/>
    </row>
    <row r="987">
      <c r="A987" s="65"/>
      <c r="B987" s="65"/>
      <c r="C987" s="65"/>
      <c r="D987" s="65"/>
      <c r="E987" s="65"/>
      <c r="F987" s="65"/>
      <c r="G987" s="65"/>
      <c r="H987" s="65"/>
      <c r="I987" s="65"/>
      <c r="J987" s="108"/>
      <c r="K987" s="103"/>
      <c r="L987" s="65"/>
      <c r="M987" s="65"/>
    </row>
    <row r="988">
      <c r="A988" s="61"/>
      <c r="B988" s="61"/>
      <c r="C988" s="61"/>
      <c r="D988" s="61"/>
      <c r="E988" s="61"/>
      <c r="F988" s="61"/>
      <c r="G988" s="61"/>
      <c r="H988" s="61"/>
      <c r="I988" s="61"/>
      <c r="J988" s="107"/>
      <c r="K988" s="100"/>
      <c r="L988" s="61"/>
      <c r="M988" s="61"/>
    </row>
    <row r="989">
      <c r="A989" s="65"/>
      <c r="B989" s="65"/>
      <c r="C989" s="65"/>
      <c r="D989" s="65"/>
      <c r="E989" s="65"/>
      <c r="F989" s="65"/>
      <c r="G989" s="65"/>
      <c r="H989" s="65"/>
      <c r="I989" s="65"/>
      <c r="J989" s="108"/>
      <c r="K989" s="103"/>
      <c r="L989" s="65"/>
      <c r="M989" s="65"/>
    </row>
    <row r="990">
      <c r="A990" s="61"/>
      <c r="B990" s="61"/>
      <c r="C990" s="61"/>
      <c r="D990" s="61"/>
      <c r="E990" s="61"/>
      <c r="F990" s="61"/>
      <c r="G990" s="61"/>
      <c r="H990" s="61"/>
      <c r="I990" s="61"/>
      <c r="J990" s="107"/>
      <c r="K990" s="100"/>
      <c r="L990" s="61"/>
      <c r="M990" s="61"/>
    </row>
    <row r="991">
      <c r="A991" s="65"/>
      <c r="B991" s="65"/>
      <c r="C991" s="65"/>
      <c r="D991" s="65"/>
      <c r="E991" s="65"/>
      <c r="F991" s="65"/>
      <c r="G991" s="65"/>
      <c r="H991" s="65"/>
      <c r="I991" s="65"/>
      <c r="J991" s="108"/>
      <c r="K991" s="103"/>
      <c r="L991" s="65"/>
      <c r="M991" s="65"/>
    </row>
    <row r="992">
      <c r="A992" s="61"/>
      <c r="B992" s="61"/>
      <c r="C992" s="61"/>
      <c r="D992" s="61"/>
      <c r="E992" s="61"/>
      <c r="F992" s="61"/>
      <c r="G992" s="61"/>
      <c r="H992" s="61"/>
      <c r="I992" s="61"/>
      <c r="J992" s="107"/>
      <c r="K992" s="100"/>
      <c r="L992" s="61"/>
      <c r="M992" s="61"/>
    </row>
    <row r="993">
      <c r="A993" s="65"/>
      <c r="B993" s="65"/>
      <c r="C993" s="65"/>
      <c r="D993" s="65"/>
      <c r="E993" s="65"/>
      <c r="F993" s="65"/>
      <c r="G993" s="65"/>
      <c r="H993" s="65"/>
      <c r="I993" s="65"/>
      <c r="J993" s="108"/>
      <c r="K993" s="103"/>
      <c r="L993" s="65"/>
      <c r="M993" s="65"/>
    </row>
    <row r="994">
      <c r="A994" s="61"/>
      <c r="B994" s="61"/>
      <c r="C994" s="61"/>
      <c r="D994" s="61"/>
      <c r="E994" s="61"/>
      <c r="F994" s="61"/>
      <c r="G994" s="61"/>
      <c r="H994" s="61"/>
      <c r="I994" s="61"/>
      <c r="J994" s="107"/>
      <c r="K994" s="100"/>
      <c r="L994" s="61"/>
      <c r="M994" s="61"/>
    </row>
    <row r="995">
      <c r="A995" s="65"/>
      <c r="B995" s="65"/>
      <c r="C995" s="65"/>
      <c r="D995" s="65"/>
      <c r="E995" s="65"/>
      <c r="F995" s="65"/>
      <c r="G995" s="65"/>
      <c r="H995" s="65"/>
      <c r="I995" s="65"/>
      <c r="J995" s="108"/>
      <c r="K995" s="103"/>
      <c r="L995" s="65"/>
      <c r="M995" s="65"/>
    </row>
    <row r="996">
      <c r="A996" s="61"/>
      <c r="B996" s="61"/>
      <c r="C996" s="61"/>
      <c r="D996" s="61"/>
      <c r="E996" s="61"/>
      <c r="F996" s="61"/>
      <c r="G996" s="61"/>
      <c r="H996" s="61"/>
      <c r="I996" s="61"/>
      <c r="J996" s="107"/>
      <c r="K996" s="100"/>
      <c r="L996" s="61"/>
      <c r="M996" s="61"/>
    </row>
    <row r="997">
      <c r="A997" s="65"/>
      <c r="B997" s="65"/>
      <c r="C997" s="65"/>
      <c r="D997" s="65"/>
      <c r="E997" s="65"/>
      <c r="F997" s="65"/>
      <c r="G997" s="65"/>
      <c r="H997" s="65"/>
      <c r="I997" s="65"/>
      <c r="J997" s="108"/>
      <c r="K997" s="103"/>
      <c r="L997" s="65"/>
      <c r="M997" s="65"/>
    </row>
    <row r="998">
      <c r="A998" s="61"/>
      <c r="B998" s="61"/>
      <c r="C998" s="61"/>
      <c r="D998" s="61"/>
      <c r="E998" s="61"/>
      <c r="F998" s="61"/>
      <c r="G998" s="61"/>
      <c r="H998" s="61"/>
      <c r="I998" s="61"/>
      <c r="J998" s="107"/>
      <c r="K998" s="100"/>
      <c r="L998" s="61"/>
      <c r="M998" s="61"/>
    </row>
    <row r="999">
      <c r="A999" s="65"/>
      <c r="B999" s="65"/>
      <c r="C999" s="65"/>
      <c r="D999" s="65"/>
      <c r="E999" s="65"/>
      <c r="F999" s="65"/>
      <c r="G999" s="65"/>
      <c r="H999" s="65"/>
      <c r="I999" s="65"/>
      <c r="J999" s="108"/>
      <c r="K999" s="103"/>
      <c r="L999" s="65"/>
      <c r="M999" s="65"/>
    </row>
  </sheetData>
  <autoFilter ref="$A$1:$L$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s>
  <drawing r:id="rId2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1.63"/>
    <col customWidth="1" min="3" max="3" width="19.5"/>
    <col customWidth="1" min="5" max="5" width="18.63"/>
    <col customWidth="1" min="6" max="6" width="52.75"/>
    <col customWidth="1" min="7" max="12" width="19.0"/>
    <col customWidth="1" min="13" max="13" width="29.5"/>
    <col customWidth="1" min="14" max="14" width="25.25"/>
  </cols>
  <sheetData>
    <row r="1">
      <c r="A1" s="45" t="s">
        <v>14039</v>
      </c>
      <c r="B1" s="45" t="s">
        <v>14211</v>
      </c>
      <c r="C1" s="45" t="s">
        <v>2</v>
      </c>
      <c r="D1" s="45" t="s">
        <v>3</v>
      </c>
      <c r="E1" s="45" t="s">
        <v>14212</v>
      </c>
      <c r="F1" s="45" t="s">
        <v>15213</v>
      </c>
      <c r="G1" s="45" t="s">
        <v>15214</v>
      </c>
      <c r="H1" s="45" t="s">
        <v>15215</v>
      </c>
      <c r="I1" s="45" t="s">
        <v>14064</v>
      </c>
      <c r="J1" s="45" t="s">
        <v>14216</v>
      </c>
      <c r="K1" s="45" t="s">
        <v>20</v>
      </c>
      <c r="L1" s="45" t="s">
        <v>14154</v>
      </c>
      <c r="M1" s="45" t="s">
        <v>15216</v>
      </c>
      <c r="N1" s="45" t="s">
        <v>14048</v>
      </c>
    </row>
    <row r="2">
      <c r="A2" s="99" t="str">
        <f>IFERROR(__xludf.DUMMYFUNCTION("ARRAYFORMULA(
  IFERROR(
    FILTER(
      {
        MAIN!A:A,
        MAIN!B:B,
        MAIN!C:C,
        MAIN!D:D,
        MAIN!E:E,
        MAIN!L:L,
        MAIN!AK:AK,
        MAIN!N:N,
        MAIN!P:P,
        MAIN!Q:Q,
        MAIN!U:U,
        MA"&amp;"IN!V:V,
        MAIN!AA:AA,
        MAIN!AI:AI
      },
      MAIN!K:K=""Spec Ops""
    )
  )
)"),"https://utrucking.com/admin/orders/5913073057980")</f>
        <v>https://utrucking.com/admin/orders/5913073057980</v>
      </c>
      <c r="B2" s="61" t="str">
        <f>IFERROR(__xludf.DUMMYFUNCTION("""COMPUTED_VALUE"""),"#15496")</f>
        <v>#15496</v>
      </c>
      <c r="C2" s="61" t="str">
        <f>IFERROR(__xludf.DUMMYFUNCTION("""COMPUTED_VALUE"""),"david@utrucking.com")</f>
        <v>david@utrucking.com</v>
      </c>
      <c r="D2" s="61">
        <f>IFERROR(__xludf.DUMMYFUNCTION("""COMPUTED_VALUE"""),6.186411334E9)</f>
        <v>6186411334</v>
      </c>
      <c r="E2" s="61" t="str">
        <f>IFERROR(__xludf.DUMMYFUNCTION("""COMPUTED_VALUE"""),"Adam Mofid")</f>
        <v>Adam Mofid</v>
      </c>
      <c r="F2" s="61" t="str">
        <f>IFERROR(__xludf.DUMMYFUNCTION("""COMPUTED_VALUE""")," General Moving Services - University")</f>
        <v> General Moving Services - University</v>
      </c>
      <c r="G2" s="61"/>
      <c r="H2" s="61" t="str">
        <f>IFERROR(__xludf.DUMMYFUNCTION("""COMPUTED_VALUE""")," University Housing")</f>
        <v> University Housing</v>
      </c>
      <c r="I2" s="100">
        <f>IFERROR(__xludf.DUMMYFUNCTION("""COMPUTED_VALUE"""),45848.0)</f>
        <v>45848</v>
      </c>
      <c r="J2" s="100" t="str">
        <f>IFERROR(__xludf.DUMMYFUNCTION("""COMPUTED_VALUE""")," 1:45 - 3:19")</f>
        <v> 1:45 - 3:19</v>
      </c>
      <c r="K2" s="61" t="str">
        <f>IFERROR(__xludf.DUMMYFUNCTION("""COMPUTED_VALUE"""),"Wheeler  ")</f>
        <v>Wheeler  </v>
      </c>
      <c r="L2" s="61" t="str">
        <f>IFERROR(__xludf.DUMMYFUNCTION("""COMPUTED_VALUE"""),"FL3 &amp; FL4")</f>
        <v>FL3 &amp; FL4</v>
      </c>
      <c r="M2" s="61"/>
      <c r="N2" s="107" t="str">
        <f>IFERROR(__xludf.DUMMYFUNCTION("""COMPUTED_VALUE"""),"7/10/25: 1:45p-3:19p Mark and Max resumed moving furniture from middle of the rooms in Wheeler for Kelsey. This time it was FL3 &amp; FL4")</f>
        <v>7/10/25: 1:45p-3:19p Mark and Max resumed moving furniture from middle of the rooms in Wheeler for Kelsey. This time it was FL3 &amp; FL4</v>
      </c>
    </row>
    <row r="3">
      <c r="A3" s="102" t="str">
        <f>IFERROR(__xludf.DUMMYFUNCTION("""COMPUTED_VALUE"""),"https://utrucking.com/admin/orders/5913073057980")</f>
        <v>https://utrucking.com/admin/orders/5913073057980</v>
      </c>
      <c r="B3" s="65" t="str">
        <f>IFERROR(__xludf.DUMMYFUNCTION("""COMPUTED_VALUE"""),"#15496")</f>
        <v>#15496</v>
      </c>
      <c r="C3" s="65" t="str">
        <f>IFERROR(__xludf.DUMMYFUNCTION("""COMPUTED_VALUE"""),"david@utrucking.com")</f>
        <v>david@utrucking.com</v>
      </c>
      <c r="D3" s="65">
        <f>IFERROR(__xludf.DUMMYFUNCTION("""COMPUTED_VALUE"""),6.186411334E9)</f>
        <v>6186411334</v>
      </c>
      <c r="E3" s="65" t="str">
        <f>IFERROR(__xludf.DUMMYFUNCTION("""COMPUTED_VALUE"""),"Adam Mofid")</f>
        <v>Adam Mofid</v>
      </c>
      <c r="F3" s="65" t="str">
        <f>IFERROR(__xludf.DUMMYFUNCTION("""COMPUTED_VALUE""")," General Moving Services - University")</f>
        <v> General Moving Services - University</v>
      </c>
      <c r="G3" s="65"/>
      <c r="H3" s="65" t="str">
        <f>IFERROR(__xludf.DUMMYFUNCTION("""COMPUTED_VALUE""")," University Housing")</f>
        <v> University Housing</v>
      </c>
      <c r="I3" s="103">
        <f>IFERROR(__xludf.DUMMYFUNCTION("""COMPUTED_VALUE"""),45848.0)</f>
        <v>45848</v>
      </c>
      <c r="J3" s="103" t="str">
        <f>IFERROR(__xludf.DUMMYFUNCTION("""COMPUTED_VALUE""")," 1:25p - 1:40p")</f>
        <v> 1:25p - 1:40p</v>
      </c>
      <c r="K3" s="65" t="str">
        <f>IFERROR(__xludf.DUMMYFUNCTION("""COMPUTED_VALUE"""),"Zetcher  ")</f>
        <v>Zetcher  </v>
      </c>
      <c r="L3" s="65" t="str">
        <f>IFERROR(__xludf.DUMMYFUNCTION("""COMPUTED_VALUE"""),"RLC")</f>
        <v>RLC</v>
      </c>
      <c r="M3" s="65"/>
      <c r="N3" s="108" t="str">
        <f>IFERROR(__xludf.DUMMYFUNCTION("""COMPUTED_VALUE"""),"7/10/25:  1:25p - 1:40p - David, Max, &amp; Mark moved 10 boxes, mini fridge, misc. from Zetcher RLC office to Umrath TLR office. Super easy - Good will")</f>
        <v>7/10/25:  1:25p - 1:40p - David, Max, &amp; Mark moved 10 boxes, mini fridge, misc. from Zetcher RLC office to Umrath TLR office. Super easy - Good will</v>
      </c>
    </row>
    <row r="4">
      <c r="A4" s="99" t="str">
        <f>IFERROR(__xludf.DUMMYFUNCTION("""COMPUTED_VALUE"""),"https://utrucking.com/admin/orders/5913073057980")</f>
        <v>https://utrucking.com/admin/orders/5913073057980</v>
      </c>
      <c r="B4" s="61" t="str">
        <f>IFERROR(__xludf.DUMMYFUNCTION("""COMPUTED_VALUE"""),"#15496")</f>
        <v>#15496</v>
      </c>
      <c r="C4" s="61" t="str">
        <f>IFERROR(__xludf.DUMMYFUNCTION("""COMPUTED_VALUE"""),"david@utrucking.com")</f>
        <v>david@utrucking.com</v>
      </c>
      <c r="D4" s="61">
        <f>IFERROR(__xludf.DUMMYFUNCTION("""COMPUTED_VALUE"""),6.186411334E9)</f>
        <v>6186411334</v>
      </c>
      <c r="E4" s="61" t="str">
        <f>IFERROR(__xludf.DUMMYFUNCTION("""COMPUTED_VALUE"""),"Adam Mofid")</f>
        <v>Adam Mofid</v>
      </c>
      <c r="F4" s="61" t="str">
        <f>IFERROR(__xludf.DUMMYFUNCTION("""COMPUTED_VALUE""")," General Moving Services - University")</f>
        <v> General Moving Services - University</v>
      </c>
      <c r="G4" s="61"/>
      <c r="H4" s="61" t="str">
        <f>IFERROR(__xludf.DUMMYFUNCTION("""COMPUTED_VALUE""")," University Housing")</f>
        <v> University Housing</v>
      </c>
      <c r="I4" s="100">
        <f>IFERROR(__xludf.DUMMYFUNCTION("""COMPUTED_VALUE"""),45848.0)</f>
        <v>45848</v>
      </c>
      <c r="J4" s="100" t="str">
        <f>IFERROR(__xludf.DUMMYFUNCTION("""COMPUTED_VALUE""")," 9:45a - 12:15p")</f>
        <v> 9:45a - 12:15p</v>
      </c>
      <c r="K4" s="61" t="str">
        <f>IFERROR(__xludf.DUMMYFUNCTION("""COMPUTED_VALUE"""),"Wheeler  ")</f>
        <v>Wheeler  </v>
      </c>
      <c r="L4" s="61" t="str">
        <f>IFERROR(__xludf.DUMMYFUNCTION("""COMPUTED_VALUE"""),"FL1 &amp; FL2")</f>
        <v>FL1 &amp; FL2</v>
      </c>
      <c r="M4" s="61"/>
      <c r="N4" s="107" t="str">
        <f>IFERROR(__xludf.DUMMYFUNCTION("""COMPUTED_VALUE"""),"7/10/25 - 9:45am - 12:15pm - 2 movers (Max, Mark) moved furniture from the middle of rooms (painters needed to paint the walls) to the correct spots in Wheeler FL1 &amp; FL2")</f>
        <v>7/10/25 - 9:45am - 12:15pm - 2 movers (Max, Mark) moved furniture from the middle of rooms (painters needed to paint the walls) to the correct spots in Wheeler FL1 &amp; FL2</v>
      </c>
    </row>
    <row r="5">
      <c r="A5" s="102" t="str">
        <f>IFERROR(__xludf.DUMMYFUNCTION("""COMPUTED_VALUE"""),"https://utrucking.com/admin/orders/5913073057980")</f>
        <v>https://utrucking.com/admin/orders/5913073057980</v>
      </c>
      <c r="B5" s="65" t="str">
        <f>IFERROR(__xludf.DUMMYFUNCTION("""COMPUTED_VALUE"""),"#15496")</f>
        <v>#15496</v>
      </c>
      <c r="C5" s="65" t="str">
        <f>IFERROR(__xludf.DUMMYFUNCTION("""COMPUTED_VALUE"""),"david@utrucking.com")</f>
        <v>david@utrucking.com</v>
      </c>
      <c r="D5" s="65">
        <f>IFERROR(__xludf.DUMMYFUNCTION("""COMPUTED_VALUE"""),6.186411334E9)</f>
        <v>6186411334</v>
      </c>
      <c r="E5" s="65" t="str">
        <f>IFERROR(__xludf.DUMMYFUNCTION("""COMPUTED_VALUE"""),"Adam Mofid")</f>
        <v>Adam Mofid</v>
      </c>
      <c r="F5" s="65" t="str">
        <f>IFERROR(__xludf.DUMMYFUNCTION("""COMPUTED_VALUE""")," General Moving Services - University")</f>
        <v> General Moving Services - University</v>
      </c>
      <c r="G5" s="65"/>
      <c r="H5" s="65" t="str">
        <f>IFERROR(__xludf.DUMMYFUNCTION("""COMPUTED_VALUE""")," University Housing")</f>
        <v> University Housing</v>
      </c>
      <c r="I5" s="103">
        <f>IFERROR(__xludf.DUMMYFUNCTION("""COMPUTED_VALUE"""),45848.0)</f>
        <v>45848</v>
      </c>
      <c r="J5" s="103" t="str">
        <f>IFERROR(__xludf.DUMMYFUNCTION("""COMPUTED_VALUE""")," N/A")</f>
        <v> N/A</v>
      </c>
      <c r="K5" s="65" t="str">
        <f>IFERROR(__xludf.DUMMYFUNCTION("""COMPUTED_VALUE"""),"Millbrook Bldg. 1  ")</f>
        <v>Millbrook Bldg. 1  </v>
      </c>
      <c r="L5" s="65" t="str">
        <f>IFERROR(__xludf.DUMMYFUNCTION("""COMPUTED_VALUE"""),"Facilities")</f>
        <v>Facilities</v>
      </c>
      <c r="M5" s="65"/>
      <c r="N5" s="108" t="str">
        <f>IFERROR(__xludf.DUMMYFUNCTION("""COMPUTED_VALUE"""),"7/9/25 - David&amp;Jerrod dropped off medium fridge to MB facilities building for Kelsey (Good will)")</f>
        <v>7/9/25 - David&amp;Jerrod dropped off medium fridge to MB facilities building for Kelsey (Good will)</v>
      </c>
    </row>
    <row r="6">
      <c r="A6" s="99" t="str">
        <f>IFERROR(__xludf.DUMMYFUNCTION("""COMPUTED_VALUE"""),"https://utrucking.com/admin/orders/5913073057980")</f>
        <v>https://utrucking.com/admin/orders/5913073057980</v>
      </c>
      <c r="B6" s="61" t="str">
        <f>IFERROR(__xludf.DUMMYFUNCTION("""COMPUTED_VALUE"""),"#15496")</f>
        <v>#15496</v>
      </c>
      <c r="C6" s="61" t="str">
        <f>IFERROR(__xludf.DUMMYFUNCTION("""COMPUTED_VALUE"""),"david@utrucking.com")</f>
        <v>david@utrucking.com</v>
      </c>
      <c r="D6" s="61">
        <f>IFERROR(__xludf.DUMMYFUNCTION("""COMPUTED_VALUE"""),6.186411334E9)</f>
        <v>6186411334</v>
      </c>
      <c r="E6" s="61" t="str">
        <f>IFERROR(__xludf.DUMMYFUNCTION("""COMPUTED_VALUE"""),"Adam Mofid")</f>
        <v>Adam Mofid</v>
      </c>
      <c r="F6" s="61" t="str">
        <f>IFERROR(__xludf.DUMMYFUNCTION("""COMPUTED_VALUE""")," General Moving Services - University")</f>
        <v> General Moving Services - University</v>
      </c>
      <c r="G6" s="61"/>
      <c r="H6" s="61" t="str">
        <f>IFERROR(__xludf.DUMMYFUNCTION("""COMPUTED_VALUE""")," University Housing")</f>
        <v> University Housing</v>
      </c>
      <c r="I6" s="100">
        <f>IFERROR(__xludf.DUMMYFUNCTION("""COMPUTED_VALUE"""),45848.0)</f>
        <v>45848</v>
      </c>
      <c r="J6" s="100" t="str">
        <f>IFERROR(__xludf.DUMMYFUNCTION("""COMPUTED_VALUE""")," 10:05a - 10:33a")</f>
        <v> 10:05a - 10:33a</v>
      </c>
      <c r="K6" s="61" t="str">
        <f>IFERROR(__xludf.DUMMYFUNCTION("""COMPUTED_VALUE"""),"Zetcher  ")</f>
        <v>Zetcher  </v>
      </c>
      <c r="L6" s="61" t="str">
        <f>IFERROR(__xludf.DUMMYFUNCTION("""COMPUTED_VALUE"""),"Bears Den")</f>
        <v>Bears Den</v>
      </c>
      <c r="M6" s="61"/>
      <c r="N6" s="107" t="str">
        <f>IFERROR(__xludf.DUMMYFUNCTION("""COMPUTED_VALUE"""),"7/8/25 Britne - David and Jerrod moved tables in Bears Den to their corresponding spots based on a diagram. Started 10:05 and finished at 10:33")</f>
        <v>7/8/25 Britne - David and Jerrod moved tables in Bears Den to their corresponding spots based on a diagram. Started 10:05 and finished at 10:33</v>
      </c>
    </row>
    <row r="7">
      <c r="A7" s="102" t="str">
        <f>IFERROR(__xludf.DUMMYFUNCTION("""COMPUTED_VALUE"""),"https://utrucking.com/admin/orders/5913073057980")</f>
        <v>https://utrucking.com/admin/orders/5913073057980</v>
      </c>
      <c r="B7" s="65" t="str">
        <f>IFERROR(__xludf.DUMMYFUNCTION("""COMPUTED_VALUE"""),"#15496")</f>
        <v>#15496</v>
      </c>
      <c r="C7" s="65" t="str">
        <f>IFERROR(__xludf.DUMMYFUNCTION("""COMPUTED_VALUE"""),"david@utrucking.com")</f>
        <v>david@utrucking.com</v>
      </c>
      <c r="D7" s="65">
        <f>IFERROR(__xludf.DUMMYFUNCTION("""COMPUTED_VALUE"""),6.186411334E9)</f>
        <v>6186411334</v>
      </c>
      <c r="E7" s="65" t="str">
        <f>IFERROR(__xludf.DUMMYFUNCTION("""COMPUTED_VALUE"""),"Adam Mofid")</f>
        <v>Adam Mofid</v>
      </c>
      <c r="F7" s="65" t="str">
        <f>IFERROR(__xludf.DUMMYFUNCTION("""COMPUTED_VALUE""")," General Moving Services - University")</f>
        <v> General Moving Services - University</v>
      </c>
      <c r="G7" s="65"/>
      <c r="H7" s="65" t="str">
        <f>IFERROR(__xludf.DUMMYFUNCTION("""COMPUTED_VALUE""")," University Housing")</f>
        <v> University Housing</v>
      </c>
      <c r="I7" s="103">
        <f>IFERROR(__xludf.DUMMYFUNCTION("""COMPUTED_VALUE"""),45848.0)</f>
        <v>45848</v>
      </c>
      <c r="J7" s="103" t="str">
        <f>IFERROR(__xludf.DUMMYFUNCTION("""COMPUTED_VALUE""")," 8:30a - 1:00p")</f>
        <v> 8:30a - 1:00p</v>
      </c>
      <c r="K7" s="65" t="str">
        <f>IFERROR(__xludf.DUMMYFUNCTION("""COMPUTED_VALUE"""),"Dardick  ")</f>
        <v>Dardick  </v>
      </c>
      <c r="L7" s="65" t="str">
        <f>IFERROR(__xludf.DUMMYFUNCTION("""COMPUTED_VALUE"""),"N/A")</f>
        <v>N/A</v>
      </c>
      <c r="M7" s="65"/>
      <c r="N7" s="108" t="str">
        <f>IFERROR(__xludf.DUMMYFUNCTION("""COMPUTED_VALUE"""),"7/7/25 - 8:30 - 1pm (finished moving furniture from Beau to Lee, Umrath, Dardick) 4 guys")</f>
        <v>7/7/25 - 8:30 - 1pm (finished moving furniture from Beau to Lee, Umrath, Dardick) 4 guys</v>
      </c>
    </row>
    <row r="8">
      <c r="A8" s="99" t="str">
        <f>IFERROR(__xludf.DUMMYFUNCTION("""COMPUTED_VALUE"""),"https://utrucking.com/admin/orders/5913073057980")</f>
        <v>https://utrucking.com/admin/orders/5913073057980</v>
      </c>
      <c r="B8" s="61" t="str">
        <f>IFERROR(__xludf.DUMMYFUNCTION("""COMPUTED_VALUE"""),"#15496")</f>
        <v>#15496</v>
      </c>
      <c r="C8" s="61" t="str">
        <f>IFERROR(__xludf.DUMMYFUNCTION("""COMPUTED_VALUE"""),"david@utrucking.com")</f>
        <v>david@utrucking.com</v>
      </c>
      <c r="D8" s="61">
        <f>IFERROR(__xludf.DUMMYFUNCTION("""COMPUTED_VALUE"""),6.186411334E9)</f>
        <v>6186411334</v>
      </c>
      <c r="E8" s="61" t="str">
        <f>IFERROR(__xludf.DUMMYFUNCTION("""COMPUTED_VALUE"""),"Adam Mofid")</f>
        <v>Adam Mofid</v>
      </c>
      <c r="F8" s="61" t="str">
        <f>IFERROR(__xludf.DUMMYFUNCTION("""COMPUTED_VALUE""")," General Moving Services - University")</f>
        <v> General Moving Services - University</v>
      </c>
      <c r="G8" s="61"/>
      <c r="H8" s="61" t="str">
        <f>IFERROR(__xludf.DUMMYFUNCTION("""COMPUTED_VALUE""")," University Housing")</f>
        <v> University Housing</v>
      </c>
      <c r="I8" s="100">
        <f>IFERROR(__xludf.DUMMYFUNCTION("""COMPUTED_VALUE"""),45848.0)</f>
        <v>45848</v>
      </c>
      <c r="J8" s="100" t="str">
        <f>IFERROR(__xludf.DUMMYFUNCTION("""COMPUTED_VALUE""")," 7:55a-12:00p")</f>
        <v> 7:55a-12:00p</v>
      </c>
      <c r="K8" s="61" t="str">
        <f>IFERROR(__xludf.DUMMYFUNCTION("""COMPUTED_VALUE"""),"Beaumont  ")</f>
        <v>Beaumont  </v>
      </c>
      <c r="L8" s="61" t="str">
        <f>IFERROR(__xludf.DUMMYFUNCTION("""COMPUTED_VALUE"""),"FL1 &amp; FL2")</f>
        <v>FL1 &amp; FL2</v>
      </c>
      <c r="M8" s="61"/>
      <c r="N8" s="107" t="str">
        <f>IFERROR(__xludf.DUMMYFUNCTION("""COMPUTED_VALUE"""),"7/4/25 Kelsey - moving furniture from Beau to Lee - 3 movers 7:55am - 12:00pm")</f>
        <v>7/4/25 Kelsey - moving furniture from Beau to Lee - 3 movers 7:55am - 12:00pm</v>
      </c>
    </row>
    <row r="9">
      <c r="A9" s="102" t="str">
        <f>IFERROR(__xludf.DUMMYFUNCTION("""COMPUTED_VALUE"""),"https://utrucking.com/admin/orders/5913073057980")</f>
        <v>https://utrucking.com/admin/orders/5913073057980</v>
      </c>
      <c r="B9" s="65" t="str">
        <f>IFERROR(__xludf.DUMMYFUNCTION("""COMPUTED_VALUE"""),"#15496")</f>
        <v>#15496</v>
      </c>
      <c r="C9" s="65" t="str">
        <f>IFERROR(__xludf.DUMMYFUNCTION("""COMPUTED_VALUE"""),"david@utrucking.com")</f>
        <v>david@utrucking.com</v>
      </c>
      <c r="D9" s="65">
        <f>IFERROR(__xludf.DUMMYFUNCTION("""COMPUTED_VALUE"""),6.186411334E9)</f>
        <v>6186411334</v>
      </c>
      <c r="E9" s="65" t="str">
        <f>IFERROR(__xludf.DUMMYFUNCTION("""COMPUTED_VALUE"""),"Adam Mofid")</f>
        <v>Adam Mofid</v>
      </c>
      <c r="F9" s="65" t="str">
        <f>IFERROR(__xludf.DUMMYFUNCTION("""COMPUTED_VALUE""")," General Moving Services - University")</f>
        <v> General Moving Services - University</v>
      </c>
      <c r="G9" s="65"/>
      <c r="H9" s="65" t="str">
        <f>IFERROR(__xludf.DUMMYFUNCTION("""COMPUTED_VALUE""")," University Housing")</f>
        <v> University Housing</v>
      </c>
      <c r="I9" s="103">
        <f>IFERROR(__xludf.DUMMYFUNCTION("""COMPUTED_VALUE"""),45848.0)</f>
        <v>45848</v>
      </c>
      <c r="J9" s="103" t="str">
        <f>IFERROR(__xludf.DUMMYFUNCTION("""COMPUTED_VALUE""")," 8:00a-5:30p")</f>
        <v> 8:00a-5:30p</v>
      </c>
      <c r="K9" s="65" t="str">
        <f>IFERROR(__xludf.DUMMYFUNCTION("""COMPUTED_VALUE"""),"Lee  ")</f>
        <v>Lee  </v>
      </c>
      <c r="L9" s="65" t="str">
        <f>IFERROR(__xludf.DUMMYFUNCTION("""COMPUTED_VALUE"""),"FL1 &amp; FL2")</f>
        <v>FL1 &amp; FL2</v>
      </c>
      <c r="M9" s="65"/>
      <c r="N9" s="108" t="str">
        <f>IFERROR(__xludf.DUMMYFUNCTION("""COMPUTED_VALUE"""),"7/3/25 - We moved the rest of the bedroom sets from Beaumont over to Lee and started bringing them up to their corresponding rooms, what we didn't finish we staged in the common area and there are guys coming in tomorrow to finish up.")</f>
        <v>7/3/25 - We moved the rest of the bedroom sets from Beaumont over to Lee and started bringing them up to their corresponding rooms, what we didn't finish we staged in the common area and there are guys coming in tomorrow to finish up.</v>
      </c>
    </row>
    <row r="10">
      <c r="A10" s="99" t="str">
        <f>IFERROR(__xludf.DUMMYFUNCTION("""COMPUTED_VALUE"""),"https://utrucking.com/admin/orders/5913073057980")</f>
        <v>https://utrucking.com/admin/orders/5913073057980</v>
      </c>
      <c r="B10" s="61" t="str">
        <f>IFERROR(__xludf.DUMMYFUNCTION("""COMPUTED_VALUE"""),"#15496")</f>
        <v>#15496</v>
      </c>
      <c r="C10" s="61" t="str">
        <f>IFERROR(__xludf.DUMMYFUNCTION("""COMPUTED_VALUE"""),"david@utrucking.com")</f>
        <v>david@utrucking.com</v>
      </c>
      <c r="D10" s="61">
        <f>IFERROR(__xludf.DUMMYFUNCTION("""COMPUTED_VALUE"""),6.186411334E9)</f>
        <v>6186411334</v>
      </c>
      <c r="E10" s="61" t="str">
        <f>IFERROR(__xludf.DUMMYFUNCTION("""COMPUTED_VALUE"""),"Adam Mofid")</f>
        <v>Adam Mofid</v>
      </c>
      <c r="F10" s="61" t="str">
        <f>IFERROR(__xludf.DUMMYFUNCTION("""COMPUTED_VALUE""")," General Moving Services - University")</f>
        <v> General Moving Services - University</v>
      </c>
      <c r="G10" s="61"/>
      <c r="H10" s="61" t="str">
        <f>IFERROR(__xludf.DUMMYFUNCTION("""COMPUTED_VALUE""")," University Housing")</f>
        <v> University Housing</v>
      </c>
      <c r="I10" s="100">
        <f>IFERROR(__xludf.DUMMYFUNCTION("""COMPUTED_VALUE"""),45848.0)</f>
        <v>45848</v>
      </c>
      <c r="J10" s="100" t="str">
        <f>IFERROR(__xludf.DUMMYFUNCTION("""COMPUTED_VALUE""")," 12:22p-1:45p")</f>
        <v> 12:22p-1:45p</v>
      </c>
      <c r="K10" s="61" t="str">
        <f>IFERROR(__xludf.DUMMYFUNCTION("""COMPUTED_VALUE"""),"Zetcher  ")</f>
        <v>Zetcher  </v>
      </c>
      <c r="L10" s="61" t="str">
        <f>IFERROR(__xludf.DUMMYFUNCTION("""COMPUTED_VALUE"""),"Lounges")</f>
        <v>Lounges</v>
      </c>
      <c r="M10" s="61"/>
      <c r="N10" s="107" t="str">
        <f>IFERROR(__xludf.DUMMYFUNCTION("""COMPUTED_VALUE"""),"7/18/25 - Moved ~100 chairs from BD to lounges of Umrath &amp; Zetcher for Britne
4 movers")</f>
        <v>7/18/25 - Moved ~100 chairs from BD to lounges of Umrath &amp; Zetcher for Britne
4 movers</v>
      </c>
    </row>
    <row r="11">
      <c r="A11" s="102" t="str">
        <f>IFERROR(__xludf.DUMMYFUNCTION("""COMPUTED_VALUE"""),"https://utrucking.com/admin/orders/5913919389884")</f>
        <v>https://utrucking.com/admin/orders/5913919389884</v>
      </c>
      <c r="B11" s="65" t="str">
        <f>IFERROR(__xludf.DUMMYFUNCTION("""COMPUTED_VALUE"""),"#15574")</f>
        <v>#15574</v>
      </c>
      <c r="C11" s="65" t="str">
        <f>IFERROR(__xludf.DUMMYFUNCTION("""COMPUTED_VALUE"""),"adam@utrucking.com")</f>
        <v>adam@utrucking.com</v>
      </c>
      <c r="D11" s="65">
        <f>IFERROR(__xludf.DUMMYFUNCTION("""COMPUTED_VALUE"""),8.589995331E9)</f>
        <v>8589995331</v>
      </c>
      <c r="E11" s="65" t="str">
        <f>IFERROR(__xludf.DUMMYFUNCTION("""COMPUTED_VALUE"""),"Adam Mofid")</f>
        <v>Adam Mofid</v>
      </c>
      <c r="F11" s="65" t="str">
        <f>IFERROR(__xludf.DUMMYFUNCTION("""COMPUTED_VALUE""")," General Moving Services - University")</f>
        <v> General Moving Services - University</v>
      </c>
      <c r="G11" s="65"/>
      <c r="H11" s="65" t="str">
        <f>IFERROR(__xludf.DUMMYFUNCTION("""COMPUTED_VALUE""")," University Housing")</f>
        <v> University Housing</v>
      </c>
      <c r="I11" s="103">
        <f>IFERROR(__xludf.DUMMYFUNCTION("""COMPUTED_VALUE"""),45860.0)</f>
        <v>45860</v>
      </c>
      <c r="J11" s="103" t="str">
        <f>IFERROR(__xludf.DUMMYFUNCTION("""COMPUTED_VALUE""")," 10:00 AM (hard start)")</f>
        <v> 10:00 AM (hard start)</v>
      </c>
      <c r="K11" s="65" t="str">
        <f>IFERROR(__xludf.DUMMYFUNCTION("""COMPUTED_VALUE"""),"Umrath  ")</f>
        <v>Umrath  </v>
      </c>
      <c r="L11" s="65" t="str">
        <f>IFERROR(__xludf.DUMMYFUNCTION("""COMPUTED_VALUE"""),"Britne Office")</f>
        <v>Britne Office</v>
      </c>
      <c r="M11" s="65"/>
      <c r="N11" s="108" t="str">
        <f>IFERROR(__xludf.DUMMYFUNCTION("""COMPUTED_VALUE"""),"*Job is for Tues, 7/22.
Meet at Britne office in Umrath to discuss job. 
Contact Britne when 15 min away:
office: 314-935-7106
cell:     630-473-5274")</f>
        <v>*Job is for Tues, 7/22.
Meet at Britne office in Umrath to discuss job. 
Contact Britne when 15 min away:
office: 314-935-7106
cell:     630-473-5274</v>
      </c>
    </row>
    <row r="12">
      <c r="A12" s="99" t="str">
        <f>IFERROR(__xludf.DUMMYFUNCTION("""COMPUTED_VALUE"""),"https://utrucking.com/admin/orders/5915795718332")</f>
        <v>https://utrucking.com/admin/orders/5915795718332</v>
      </c>
      <c r="B12" s="61" t="str">
        <f>IFERROR(__xludf.DUMMYFUNCTION("""COMPUTED_VALUE"""),"#15671")</f>
        <v>#15671</v>
      </c>
      <c r="C12" s="61"/>
      <c r="D12" s="61">
        <f>IFERROR(__xludf.DUMMYFUNCTION("""COMPUTED_VALUE"""),8.589995331E9)</f>
        <v>8589995331</v>
      </c>
      <c r="E12" s="61" t="str">
        <f>IFERROR(__xludf.DUMMYFUNCTION("""COMPUTED_VALUE"""),"Adam Mofid")</f>
        <v>Adam Mofid</v>
      </c>
      <c r="F12" s="61" t="str">
        <f>IFERROR(__xludf.DUMMYFUNCTION("""COMPUTED_VALUE""")," 0  General Moving Services - University - Britne Amick")</f>
        <v> 0  General Moving Services - University - Britne Amick</v>
      </c>
      <c r="G12" s="61"/>
      <c r="H12" s="61" t="str">
        <f>IFERROR(__xludf.DUMMYFUNCTION("""COMPUTED_VALUE""")," University Housing")</f>
        <v> University Housing</v>
      </c>
      <c r="I12" s="100">
        <f>IFERROR(__xludf.DUMMYFUNCTION("""COMPUTED_VALUE"""),45861.0)</f>
        <v>45861</v>
      </c>
      <c r="J12" s="100" t="str">
        <f>IFERROR(__xludf.DUMMYFUNCTION("""COMPUTED_VALUE""")," 9:00 AM — HARD START")</f>
        <v> 9:00 AM — HARD START</v>
      </c>
      <c r="K12" s="61" t="str">
        <f>IFERROR(__xludf.DUMMYFUNCTION("""COMPUTED_VALUE"""),"Beaumont  ")</f>
        <v>Beaumont  </v>
      </c>
      <c r="L12" s="61" t="str">
        <f>IFERROR(__xludf.DUMMYFUNCTION("""COMPUTED_VALUE"""),"XXX")</f>
        <v>XXX</v>
      </c>
      <c r="M12" s="61"/>
      <c r="N12" s="107" t="str">
        <f>IFERROR(__xludf.DUMMYFUNCTION("""COMPUTED_VALUE"""),"From Britne in 7/23 email
""I want to make sure they can come on Monday morning as early as they can, the 28th and tear everything down they set up, and while they are here, we will have them re-set the Bears Den back to its original set.""")</f>
        <v>From Britne in 7/23 email
"I want to make sure they can come on Monday morning as early as they can, the 28th and tear everything down they set up, and while they are here, we will have them re-set the Bears Den back to its original set."</v>
      </c>
    </row>
    <row r="13">
      <c r="A13" s="102" t="str">
        <f>IFERROR(__xludf.DUMMYFUNCTION("""COMPUTED_VALUE"""),"https://utrucking.com/admin/orders/5917335093436")</f>
        <v>https://utrucking.com/admin/orders/5917335093436</v>
      </c>
      <c r="B13" s="65" t="str">
        <f>IFERROR(__xludf.DUMMYFUNCTION("""COMPUTED_VALUE"""),"#15749")</f>
        <v>#15749</v>
      </c>
      <c r="C13" s="65" t="str">
        <f>IFERROR(__xludf.DUMMYFUNCTION("""COMPUTED_VALUE"""),"info@utrucking.com")</f>
        <v>info@utrucking.com</v>
      </c>
      <c r="D13" s="65">
        <f>IFERROR(__xludf.DUMMYFUNCTION("""COMPUTED_VALUE"""),3.107538846E9)</f>
        <v>3107538846</v>
      </c>
      <c r="E13" s="65" t="str">
        <f>IFERROR(__xludf.DUMMYFUNCTION("""COMPUTED_VALUE"""),"Joseph Hettinger")</f>
        <v>Joseph Hettinger</v>
      </c>
      <c r="F13" s="65" t="str">
        <f>IFERROR(__xludf.DUMMYFUNCTION("""COMPUTED_VALUE""")," 0  General Moving Services - Other (Specify in Notes) - #14424 Arushi Gupta")</f>
        <v> 0  General Moving Services - Other (Specify in Notes) - #14424 Arushi Gupta</v>
      </c>
      <c r="G13" s="65"/>
      <c r="H13" s="65" t="str">
        <f>IFERROR(__xludf.DUMMYFUNCTION("""COMPUTED_VALUE""")," University Housing")</f>
        <v> University Housing</v>
      </c>
      <c r="I13" s="103">
        <f>IFERROR(__xludf.DUMMYFUNCTION("""COMPUTED_VALUE"""),45878.0)</f>
        <v>45878</v>
      </c>
      <c r="J13" s="103" t="str">
        <f>IFERROR(__xludf.DUMMYFUNCTION("""COMPUTED_VALUE""")," Late access")</f>
        <v> Late access</v>
      </c>
      <c r="K13" s="65" t="str">
        <f>IFERROR(__xludf.DUMMYFUNCTION("""COMPUTED_VALUE"""),"Loop Loft 6255  ")</f>
        <v>Loop Loft 6255  </v>
      </c>
      <c r="L13" s="65" t="str">
        <f>IFERROR(__xludf.DUMMYFUNCTION("""COMPUTED_VALUE"""),"414b")</f>
        <v>414b</v>
      </c>
      <c r="M13" s="65"/>
      <c r="N13" s="108" t="str">
        <f>IFERROR(__xludf.DUMMYFUNCTION("""COMPUTED_VALUE"""),"pickup and re-deliver to village east 2094 fall housing after she leaves summer program august 8th")</f>
        <v>pickup and re-deliver to village east 2094 fall housing after she leaves summer program august 8th</v>
      </c>
    </row>
    <row r="14">
      <c r="A14" s="99" t="str">
        <f>IFERROR(__xludf.DUMMYFUNCTION("""COMPUTED_VALUE"""),"https://utrucking.com/admin/orders/5917346595004")</f>
        <v>https://utrucking.com/admin/orders/5917346595004</v>
      </c>
      <c r="B14" s="61" t="str">
        <f>IFERROR(__xludf.DUMMYFUNCTION("""COMPUTED_VALUE"""),"#15750")</f>
        <v>#15750</v>
      </c>
      <c r="C14" s="61" t="str">
        <f>IFERROR(__xludf.DUMMYFUNCTION("""COMPUTED_VALUE"""),"info@utrucking.com")</f>
        <v>info@utrucking.com</v>
      </c>
      <c r="D14" s="61">
        <f>IFERROR(__xludf.DUMMYFUNCTION("""COMPUTED_VALUE"""),3.107538846E9)</f>
        <v>3107538846</v>
      </c>
      <c r="E14" s="61" t="str">
        <f>IFERROR(__xludf.DUMMYFUNCTION("""COMPUTED_VALUE"""),"Joseph Hettinger")</f>
        <v>Joseph Hettinger</v>
      </c>
      <c r="F14" s="61" t="str">
        <f>IFERROR(__xludf.DUMMYFUNCTION("""COMPUTED_VALUE""")," 0  General Moving Services - Other (Specify in Notes) - #14529 Jack Farah")</f>
        <v> 0  General Moving Services - Other (Specify in Notes) - #14529 Jack Farah</v>
      </c>
      <c r="G14" s="61"/>
      <c r="H14" s="61" t="str">
        <f>IFERROR(__xludf.DUMMYFUNCTION("""COMPUTED_VALUE""")," University Housing")</f>
        <v> University Housing</v>
      </c>
      <c r="I14" s="100">
        <f>IFERROR(__xludf.DUMMYFUNCTION("""COMPUTED_VALUE"""),45878.0)</f>
        <v>45878</v>
      </c>
      <c r="J14" s="100" t="str">
        <f>IFERROR(__xludf.DUMMYFUNCTION("""COMPUTED_VALUE""")," Late Acess")</f>
        <v> Late Acess</v>
      </c>
      <c r="K14" s="61" t="str">
        <f>IFERROR(__xludf.DUMMYFUNCTION("""COMPUTED_VALUE"""),"6639 University Drive  ")</f>
        <v>6639 University Drive  </v>
      </c>
      <c r="L14" s="61" t="str">
        <f>IFERROR(__xludf.DUMMYFUNCTION("""COMPUTED_VALUE"""),"2W-A")</f>
        <v>2W-A</v>
      </c>
      <c r="M14" s="61"/>
      <c r="N14" s="107" t="str">
        <f>IFERROR(__xludf.DUMMYFUNCTION("""COMPUTED_VALUE"""),"2nd summer storage pickup to be delivered to fall housing a week later")</f>
        <v>2nd summer storage pickup to be delivered to fall housing a week later</v>
      </c>
    </row>
    <row r="15">
      <c r="A15" s="102" t="str">
        <f>IFERROR(__xludf.DUMMYFUNCTION("""COMPUTED_VALUE"""),"https://utrucking.com/admin/orders/5917351641276")</f>
        <v>https://utrucking.com/admin/orders/5917351641276</v>
      </c>
      <c r="B15" s="65" t="str">
        <f>IFERROR(__xludf.DUMMYFUNCTION("""COMPUTED_VALUE"""),"#15752")</f>
        <v>#15752</v>
      </c>
      <c r="C15" s="65" t="str">
        <f>IFERROR(__xludf.DUMMYFUNCTION("""COMPUTED_VALUE"""),"info@utrucking.com")</f>
        <v>info@utrucking.com</v>
      </c>
      <c r="D15" s="65">
        <f>IFERROR(__xludf.DUMMYFUNCTION("""COMPUTED_VALUE"""),3.107538846E9)</f>
        <v>3107538846</v>
      </c>
      <c r="E15" s="65" t="str">
        <f>IFERROR(__xludf.DUMMYFUNCTION("""COMPUTED_VALUE"""),"Joseph Hettinger")</f>
        <v>Joseph Hettinger</v>
      </c>
      <c r="F15" s="65" t="str">
        <f>IFERROR(__xludf.DUMMYFUNCTION("""COMPUTED_VALUE""")," 0  General Moving Services - University - #14280 Junyoung Park")</f>
        <v> 0  General Moving Services - University - #14280 Junyoung Park</v>
      </c>
      <c r="G15" s="65"/>
      <c r="H15" s="65" t="str">
        <f>IFERROR(__xludf.DUMMYFUNCTION("""COMPUTED_VALUE""")," University Housing")</f>
        <v> University Housing</v>
      </c>
      <c r="I15" s="103">
        <f>IFERROR(__xludf.DUMMYFUNCTION("""COMPUTED_VALUE"""),45871.0)</f>
        <v>45871</v>
      </c>
      <c r="J15" s="103" t="str">
        <f>IFERROR(__xludf.DUMMYFUNCTION("""COMPUTED_VALUE""")," Late Access")</f>
        <v> Late Access</v>
      </c>
      <c r="K15" s="65" t="str">
        <f>IFERROR(__xludf.DUMMYFUNCTION("""COMPUTED_VALUE"""),"Loop Loft 6255  ")</f>
        <v>Loop Loft 6255  </v>
      </c>
      <c r="L15" s="65" t="str">
        <f>IFERROR(__xludf.DUMMYFUNCTION("""COMPUTED_VALUE"""),"401A")</f>
        <v>401A</v>
      </c>
      <c r="M15" s="65"/>
      <c r="N15" s="108" t="str">
        <f>IFERROR(__xludf.DUMMYFUNCTION("""COMPUTED_VALUE"""),"2nd summer storage pickup to be redelivered to fall housing")</f>
        <v>2nd summer storage pickup to be redelivered to fall housing</v>
      </c>
    </row>
    <row r="16">
      <c r="A16" s="99" t="str">
        <f>IFERROR(__xludf.DUMMYFUNCTION("""COMPUTED_VALUE"""),"https://utrucking.com/admin/orders/5917515088060")</f>
        <v>https://utrucking.com/admin/orders/5917515088060</v>
      </c>
      <c r="B16" s="61" t="str">
        <f>IFERROR(__xludf.DUMMYFUNCTION("""COMPUTED_VALUE"""),"#15754")</f>
        <v>#15754</v>
      </c>
      <c r="C16" s="61" t="str">
        <f>IFERROR(__xludf.DUMMYFUNCTION("""COMPUTED_VALUE"""),"david@utrucking.com")</f>
        <v>david@utrucking.com</v>
      </c>
      <c r="D16" s="61">
        <f>IFERROR(__xludf.DUMMYFUNCTION("""COMPUTED_VALUE"""),6.186411334E9)</f>
        <v>6186411334</v>
      </c>
      <c r="E16" s="61" t="str">
        <f>IFERROR(__xludf.DUMMYFUNCTION("""COMPUTED_VALUE"""),"Adam Mofid")</f>
        <v>Adam Mofid</v>
      </c>
      <c r="F16" s="61" t="str">
        <f>IFERROR(__xludf.DUMMYFUNCTION("""COMPUTED_VALUE""")," 0  General Moving Services - University - Britne")</f>
        <v> 0  General Moving Services - University - Britne</v>
      </c>
      <c r="G16" s="61"/>
      <c r="H16" s="61" t="str">
        <f>IFERROR(__xludf.DUMMYFUNCTION("""COMPUTED_VALUE""")," University Housing")</f>
        <v> University Housing</v>
      </c>
      <c r="I16" s="100">
        <f>IFERROR(__xludf.DUMMYFUNCTION("""COMPUTED_VALUE"""),45860.0)</f>
        <v>45860</v>
      </c>
      <c r="J16" s="100" t="str">
        <f>IFERROR(__xludf.DUMMYFUNCTION("""COMPUTED_VALUE""")," 10:15 - 12:15")</f>
        <v> 10:15 - 12:15</v>
      </c>
      <c r="K16" s="61" t="str">
        <f>IFERROR(__xludf.DUMMYFUNCTION("""COMPUTED_VALUE"""),"Gregg  ")</f>
        <v>Gregg  </v>
      </c>
      <c r="L16" s="61" t="str">
        <f>IFERROR(__xludf.DUMMYFUNCTION("""COMPUTED_VALUE"""),"Lounge")</f>
        <v>Lounge</v>
      </c>
      <c r="M16" s="61"/>
      <c r="N16" s="107" t="str">
        <f>IFERROR(__xludf.DUMMYFUNCTION("""COMPUTED_VALUE"""),"7/22/25
Moved 30 chairs to Gregg lounge for a presentation, moved tables from Umrath conference room to Gregg lounge for presentation. 
3 movers")</f>
        <v>7/22/25
Moved 30 chairs to Gregg lounge for a presentation, moved tables from Umrath conference room to Gregg lounge for presentation. 
3 movers</v>
      </c>
    </row>
    <row r="17">
      <c r="A17" s="102" t="str">
        <f>IFERROR(__xludf.DUMMYFUNCTION("""COMPUTED_VALUE"""),"https://utrucking.com/admin/orders/5917521510588")</f>
        <v>https://utrucking.com/admin/orders/5917521510588</v>
      </c>
      <c r="B17" s="65" t="str">
        <f>IFERROR(__xludf.DUMMYFUNCTION("""COMPUTED_VALUE"""),"#15756")</f>
        <v>#15756</v>
      </c>
      <c r="C17" s="65" t="str">
        <f>IFERROR(__xludf.DUMMYFUNCTION("""COMPUTED_VALUE"""),"david@utrucking.com")</f>
        <v>david@utrucking.com</v>
      </c>
      <c r="D17" s="65">
        <f>IFERROR(__xludf.DUMMYFUNCTION("""COMPUTED_VALUE"""),6.186411334E9)</f>
        <v>6186411334</v>
      </c>
      <c r="E17" s="65" t="str">
        <f>IFERROR(__xludf.DUMMYFUNCTION("""COMPUTED_VALUE"""),"David George")</f>
        <v>David George</v>
      </c>
      <c r="F17" s="65" t="str">
        <f>IFERROR(__xludf.DUMMYFUNCTION("""COMPUTED_VALUE""")," 0  General Moving Services - University - Kelsey")</f>
        <v> 0  General Moving Services - University - Kelsey</v>
      </c>
      <c r="G17" s="65"/>
      <c r="H17" s="65" t="str">
        <f>IFERROR(__xludf.DUMMYFUNCTION("""COMPUTED_VALUE""")," University Housing")</f>
        <v> University Housing</v>
      </c>
      <c r="I17" s="103">
        <f>IFERROR(__xludf.DUMMYFUNCTION("""COMPUTED_VALUE"""),45860.0)</f>
        <v>45860</v>
      </c>
      <c r="J17" s="103" t="str">
        <f>IFERROR(__xludf.DUMMYFUNCTION("""COMPUTED_VALUE""")," 12:30- 1:15")</f>
        <v> 12:30- 1:15</v>
      </c>
      <c r="K17" s="65" t="str">
        <f>IFERROR(__xludf.DUMMYFUNCTION("""COMPUTED_VALUE"""),"House 2 (Sigma Nu)  ")</f>
        <v>House 2 (Sigma Nu)  </v>
      </c>
      <c r="L17" s="65" t="str">
        <f>IFERROR(__xludf.DUMMYFUNCTION("""COMPUTED_VALUE"""),"Chapter Room")</f>
        <v>Chapter Room</v>
      </c>
      <c r="M17" s="65"/>
      <c r="N17" s="108" t="str">
        <f>IFERROR(__xludf.DUMMYFUNCTION("""COMPUTED_VALUE"""),"7/22/25
Kelsey
moved furniture from Chapter rm to middle of living room in House 2.
3 movers ")</f>
        <v>7/22/25
Kelsey
moved furniture from Chapter rm to middle of living room in House 2.
3 movers </v>
      </c>
    </row>
    <row r="18">
      <c r="A18" s="99" t="str">
        <f>IFERROR(__xludf.DUMMYFUNCTION("""COMPUTED_VALUE"""),"https://utrucking.com/admin/orders/5917524099260")</f>
        <v>https://utrucking.com/admin/orders/5917524099260</v>
      </c>
      <c r="B18" s="61" t="str">
        <f>IFERROR(__xludf.DUMMYFUNCTION("""COMPUTED_VALUE"""),"#15757")</f>
        <v>#15757</v>
      </c>
      <c r="C18" s="61" t="str">
        <f>IFERROR(__xludf.DUMMYFUNCTION("""COMPUTED_VALUE"""),"david@utrucking.com")</f>
        <v>david@utrucking.com</v>
      </c>
      <c r="D18" s="61">
        <f>IFERROR(__xludf.DUMMYFUNCTION("""COMPUTED_VALUE"""),6.186411334E9)</f>
        <v>6186411334</v>
      </c>
      <c r="E18" s="61" t="str">
        <f>IFERROR(__xludf.DUMMYFUNCTION("""COMPUTED_VALUE"""),"David George")</f>
        <v>David George</v>
      </c>
      <c r="F18" s="61" t="str">
        <f>IFERROR(__xludf.DUMMYFUNCTION("""COMPUTED_VALUE""")," 0  General Moving Services - University - Kelsey")</f>
        <v> 0  General Moving Services - University - Kelsey</v>
      </c>
      <c r="G18" s="61"/>
      <c r="H18" s="61" t="str">
        <f>IFERROR(__xludf.DUMMYFUNCTION("""COMPUTED_VALUE""")," University Housing")</f>
        <v> University Housing</v>
      </c>
      <c r="I18" s="100">
        <f>IFERROR(__xludf.DUMMYFUNCTION("""COMPUTED_VALUE"""),45860.0)</f>
        <v>45860</v>
      </c>
      <c r="J18" s="100" t="str">
        <f>IFERROR(__xludf.DUMMYFUNCTION("""COMPUTED_VALUE""")," 5:15p-6:00p")</f>
        <v> 5:15p-6:00p</v>
      </c>
      <c r="K18" s="61" t="str">
        <f>IFERROR(__xludf.DUMMYFUNCTION("""COMPUTED_VALUE"""),"Liggett  ")</f>
        <v>Liggett  </v>
      </c>
      <c r="L18" s="61" t="str">
        <f>IFERROR(__xludf.DUMMYFUNCTION("""COMPUTED_VALUE"""),"LL Seminar")</f>
        <v>LL Seminar</v>
      </c>
      <c r="M18" s="61"/>
      <c r="N18" s="107" t="str">
        <f>IFERROR(__xludf.DUMMYFUNCTION("""COMPUTED_VALUE"""),"7/22/25
moved rack of chairs from Mudd MPR to Liggett LL Seminar room and arranged the room to fit 45 people. 
2 movers")</f>
        <v>7/22/25
moved rack of chairs from Mudd MPR to Liggett LL Seminar room and arranged the room to fit 45 people. 
2 movers</v>
      </c>
    </row>
    <row r="19">
      <c r="A19" s="102" t="str">
        <f>IFERROR(__xludf.DUMMYFUNCTION("""COMPUTED_VALUE"""),"https://utrucking.com/admin/orders/5917526327484")</f>
        <v>https://utrucking.com/admin/orders/5917526327484</v>
      </c>
      <c r="B19" s="65" t="str">
        <f>IFERROR(__xludf.DUMMYFUNCTION("""COMPUTED_VALUE"""),"#15758")</f>
        <v>#15758</v>
      </c>
      <c r="C19" s="65" t="str">
        <f>IFERROR(__xludf.DUMMYFUNCTION("""COMPUTED_VALUE"""),"david@utrucking.com")</f>
        <v>david@utrucking.com</v>
      </c>
      <c r="D19" s="65">
        <f>IFERROR(__xludf.DUMMYFUNCTION("""COMPUTED_VALUE"""),6.186411334E9)</f>
        <v>6186411334</v>
      </c>
      <c r="E19" s="65" t="str">
        <f>IFERROR(__xludf.DUMMYFUNCTION("""COMPUTED_VALUE"""),"David George")</f>
        <v>David George</v>
      </c>
      <c r="F19" s="65" t="str">
        <f>IFERROR(__xludf.DUMMYFUNCTION("""COMPUTED_VALUE""")," 0  General Moving Services - University - Kelsey")</f>
        <v> 0  General Moving Services - University - Kelsey</v>
      </c>
      <c r="G19" s="65"/>
      <c r="H19" s="65" t="str">
        <f>IFERROR(__xludf.DUMMYFUNCTION("""COMPUTED_VALUE""")," University Housing")</f>
        <v> University Housing</v>
      </c>
      <c r="I19" s="103">
        <f>IFERROR(__xludf.DUMMYFUNCTION("""COMPUTED_VALUE"""),45861.0)</f>
        <v>45861</v>
      </c>
      <c r="J19" s="103" t="str">
        <f>IFERROR(__xludf.DUMMYFUNCTION("""COMPUTED_VALUE""")," 5:00p - 6:00p")</f>
        <v> 5:00p - 6:00p</v>
      </c>
      <c r="K19" s="65" t="str">
        <f>IFERROR(__xludf.DUMMYFUNCTION("""COMPUTED_VALUE"""),"Liggett  ")</f>
        <v>Liggett  </v>
      </c>
      <c r="L19" s="65" t="str">
        <f>IFERROR(__xludf.DUMMYFUNCTION("""COMPUTED_VALUE"""),"LL Seminar")</f>
        <v>LL Seminar</v>
      </c>
      <c r="M19" s="65"/>
      <c r="N19" s="108" t="str">
        <f>IFERROR(__xludf.DUMMYFUNCTION("""COMPUTED_VALUE"""),"7/23/25
Moved rack of chairs back to Mudd MPR and rearranged the room to how it was before
2 movers")</f>
        <v>7/23/25
Moved rack of chairs back to Mudd MPR and rearranged the room to how it was before
2 movers</v>
      </c>
    </row>
    <row r="20">
      <c r="A20" s="99" t="str">
        <f>IFERROR(__xludf.DUMMYFUNCTION("""COMPUTED_VALUE"""),"https://utrucking.com/admin/orders/5921188348092")</f>
        <v>https://utrucking.com/admin/orders/5921188348092</v>
      </c>
      <c r="B20" s="61" t="str">
        <f>IFERROR(__xludf.DUMMYFUNCTION("""COMPUTED_VALUE"""),"#15879")</f>
        <v>#15879</v>
      </c>
      <c r="C20" s="61" t="str">
        <f>IFERROR(__xludf.DUMMYFUNCTION("""COMPUTED_VALUE"""),"ahmed@utrucking.com")</f>
        <v>ahmed@utrucking.com</v>
      </c>
      <c r="D20" s="61">
        <f>IFERROR(__xludf.DUMMYFUNCTION("""COMPUTED_VALUE"""),3.142005642E9)</f>
        <v>3142005642</v>
      </c>
      <c r="E20" s="61" t="str">
        <f>IFERROR(__xludf.DUMMYFUNCTION("""COMPUTED_VALUE"""),"Ahmed Muhamed")</f>
        <v>Ahmed Muhamed</v>
      </c>
      <c r="F20" s="61" t="str">
        <f>IFERROR(__xludf.DUMMYFUNCTION("""COMPUTED_VALUE""")," 0  Maintenance - Other (Specify in Notes) - Kira (7250 Pershing Tenant)")</f>
        <v> 0  Maintenance - Other (Specify in Notes) - Kira (7250 Pershing Tenant)</v>
      </c>
      <c r="G20" s="61"/>
      <c r="H20" s="61" t="str">
        <f>IFERROR(__xludf.DUMMYFUNCTION("""COMPUTED_VALUE""")," Non-University Housing")</f>
        <v> Non-University Housing</v>
      </c>
      <c r="I20" s="100">
        <f>IFERROR(__xludf.DUMMYFUNCTION("""COMPUTED_VALUE"""),45867.0)</f>
        <v>45867</v>
      </c>
      <c r="J20" s="100" t="str">
        <f>IFERROR(__xludf.DUMMYFUNCTION("""COMPUTED_VALUE""")," Flexible")</f>
        <v> Flexible</v>
      </c>
      <c r="K20" s="61"/>
      <c r="L20" s="61"/>
      <c r="M20" s="61" t="str">
        <f>IFERROR(__xludf.DUMMYFUNCTION("""COMPUTED_VALUE"""),"7250 Pershing Ave")</f>
        <v>7250 Pershing Ave</v>
      </c>
      <c r="N20" s="107" t="str">
        <f>IFERROR(__xludf.DUMMYFUNCTION("""COMPUTED_VALUE"""),"Date: 7/29/2025
Issue: Kira said that the fire alarm went off, and it was saying fire, then stopped. But still flashing red and orange.
She also mentioned that it went off about a month ago as well.
Her phone no. is: 636-751-1120")</f>
        <v>Date: 7/29/2025
Issue: Kira said that the fire alarm went off, and it was saying fire, then stopped. But still flashing red and orange.
She also mentioned that it went off about a month ago as well.
Her phone no. is: 636-751-1120</v>
      </c>
    </row>
    <row r="21">
      <c r="A21" s="102" t="str">
        <f>IFERROR(__xludf.DUMMYFUNCTION("""COMPUTED_VALUE"""),"https://utrucking.com/admin/orders/5921371193532")</f>
        <v>https://utrucking.com/admin/orders/5921371193532</v>
      </c>
      <c r="B21" s="65" t="str">
        <f>IFERROR(__xludf.DUMMYFUNCTION("""COMPUTED_VALUE"""),"#15884")</f>
        <v>#15884</v>
      </c>
      <c r="C21" s="65" t="str">
        <f>IFERROR(__xludf.DUMMYFUNCTION("""COMPUTED_VALUE"""),"david@utrucking.com")</f>
        <v>david@utrucking.com</v>
      </c>
      <c r="D21" s="65">
        <f>IFERROR(__xludf.DUMMYFUNCTION("""COMPUTED_VALUE"""),3.142668788E9)</f>
        <v>3142668788</v>
      </c>
      <c r="E21" s="65" t="str">
        <f>IFERROR(__xludf.DUMMYFUNCTION("""COMPUTED_VALUE"""),"David George")</f>
        <v>David George</v>
      </c>
      <c r="F21" s="65" t="str">
        <f>IFERROR(__xludf.DUMMYFUNCTION("""COMPUTED_VALUE""")," 0  General Moving Services - University - Britne")</f>
        <v> 0  General Moving Services - University - Britne</v>
      </c>
      <c r="G21" s="65"/>
      <c r="H21" s="65" t="str">
        <f>IFERROR(__xludf.DUMMYFUNCTION("""COMPUTED_VALUE""")," University Housing")</f>
        <v> University Housing</v>
      </c>
      <c r="I21" s="103">
        <f>IFERROR(__xludf.DUMMYFUNCTION("""COMPUTED_VALUE"""),45866.0)</f>
        <v>45866</v>
      </c>
      <c r="J21" s="103" t="str">
        <f>IFERROR(__xludf.DUMMYFUNCTION("""COMPUTED_VALUE""")," 10:38a - 12:30p")</f>
        <v> 10:38a - 12:30p</v>
      </c>
      <c r="K21" s="65" t="str">
        <f>IFERROR(__xludf.DUMMYFUNCTION("""COMPUTED_VALUE"""),"General")</f>
        <v>General</v>
      </c>
      <c r="L21" s="65" t="str">
        <f>IFERROR(__xludf.DUMMYFUNCTION("""COMPUTED_VALUE"""),"lounges")</f>
        <v>lounges</v>
      </c>
      <c r="M21" s="65"/>
      <c r="N21" s="108" t="str">
        <f>IFERROR(__xludf.DUMMYFUNCTION("""COMPUTED_VALUE"""),"7/28/25
2 movers
Moved chairs/tables from Zetcher, Umrath, Gregg back to Bears Den.")</f>
        <v>7/28/25
2 movers
Moved chairs/tables from Zetcher, Umrath, Gregg back to Bears Den.</v>
      </c>
    </row>
    <row r="22">
      <c r="A22" s="99" t="str">
        <f>IFERROR(__xludf.DUMMYFUNCTION("""COMPUTED_VALUE"""),"https://utrucking.com/admin/orders/5924652581052")</f>
        <v>https://utrucking.com/admin/orders/5924652581052</v>
      </c>
      <c r="B22" s="61" t="str">
        <f>IFERROR(__xludf.DUMMYFUNCTION("""COMPUTED_VALUE"""),"#15946")</f>
        <v>#15946</v>
      </c>
      <c r="C22" s="61"/>
      <c r="D22" s="61">
        <f>IFERROR(__xludf.DUMMYFUNCTION("""COMPUTED_VALUE"""),3.107538846E9)</f>
        <v>3107538846</v>
      </c>
      <c r="E22" s="61" t="str">
        <f>IFERROR(__xludf.DUMMYFUNCTION("""COMPUTED_VALUE"""),"Joseph Hettinger")</f>
        <v>Joseph Hettinger</v>
      </c>
      <c r="F22" s="61" t="str">
        <f>IFERROR(__xludf.DUMMYFUNCTION("""COMPUTED_VALUE""")," 0  General Moving Services - Other (Specify in Notes) - #14465 Samyukta Kaushik")</f>
        <v> 0  General Moving Services - Other (Specify in Notes) - #14465 Samyukta Kaushik</v>
      </c>
      <c r="G22" s="61"/>
      <c r="H22" s="61" t="str">
        <f>IFERROR(__xludf.DUMMYFUNCTION("""COMPUTED_VALUE""")," University Housing")</f>
        <v> University Housing</v>
      </c>
      <c r="I22" s="100">
        <f>IFERROR(__xludf.DUMMYFUNCTION("""COMPUTED_VALUE"""),45877.0)</f>
        <v>45877</v>
      </c>
      <c r="J22" s="100" t="str">
        <f>IFERROR(__xludf.DUMMYFUNCTION("""COMPUTED_VALUE"""),"10:00 AM to 12:00 PM   ")</f>
        <v>10:00 AM to 12:00 PM   </v>
      </c>
      <c r="K22" s="61" t="str">
        <f>IFERROR(__xludf.DUMMYFUNCTION("""COMPUTED_VALUE"""),"Village East  ")</f>
        <v>Village East  </v>
      </c>
      <c r="L22" s="61" t="str">
        <f>IFERROR(__xludf.DUMMYFUNCTION("""COMPUTED_VALUE"""),"2073")</f>
        <v>2073</v>
      </c>
      <c r="M22" s="61"/>
      <c r="N22" s="107" t="str">
        <f>IFERROR(__xludf.DUMMYFUNCTION("""COMPUTED_VALUE"""),"Moving from VEast 2073 to Shepley 3011 all at once on 8/9. included in the SS service they already paid for. samyukta's #: 425-624-9191")</f>
        <v>Moving from VEast 2073 to Shepley 3011 all at once on 8/9. included in the SS service they already paid for. samyukta's #: 425-624-9191</v>
      </c>
    </row>
    <row r="23">
      <c r="A23" s="102" t="str">
        <f>IFERROR(__xludf.DUMMYFUNCTION("""COMPUTED_VALUE"""),"https://utrucking.com/admin/orders/5926054822076")</f>
        <v>https://utrucking.com/admin/orders/5926054822076</v>
      </c>
      <c r="B23" s="65" t="str">
        <f>IFERROR(__xludf.DUMMYFUNCTION("""COMPUTED_VALUE"""),"#16002")</f>
        <v>#16002</v>
      </c>
      <c r="C23" s="65" t="str">
        <f>IFERROR(__xludf.DUMMYFUNCTION("""COMPUTED_VALUE"""),"joseph.hett@gmail.com")</f>
        <v>joseph.hett@gmail.com</v>
      </c>
      <c r="D23" s="65">
        <f>IFERROR(__xludf.DUMMYFUNCTION("""COMPUTED_VALUE"""),3.107538846E9)</f>
        <v>3107538846</v>
      </c>
      <c r="E23" s="65" t="str">
        <f>IFERROR(__xludf.DUMMYFUNCTION("""COMPUTED_VALUE"""),"Joseph Hettinger")</f>
        <v>Joseph Hettinger</v>
      </c>
      <c r="F23" s="65" t="str">
        <f>IFERROR(__xludf.DUMMYFUNCTION("""COMPUTED_VALUE""")," 0  General Moving Services - Other (Specify in Notes) - #14389 Joshua Freeman putting items back into storage")</f>
        <v> 0  General Moving Services - Other (Specify in Notes) - #14389 Joshua Freeman putting items back into storage</v>
      </c>
      <c r="G23" s="65"/>
      <c r="H23" s="65" t="str">
        <f>IFERROR(__xludf.DUMMYFUNCTION("""COMPUTED_VALUE""")," University Housing")</f>
        <v> University Housing</v>
      </c>
      <c r="I23" s="103">
        <f>IFERROR(__xludf.DUMMYFUNCTION("""COMPUTED_VALUE"""),45878.0)</f>
        <v>45878</v>
      </c>
      <c r="J23" s="103" t="str">
        <f>IFERROR(__xludf.DUMMYFUNCTION("""COMPUTED_VALUE""")," afternoon")</f>
        <v> afternoon</v>
      </c>
      <c r="K23" s="65" t="str">
        <f>IFERROR(__xludf.DUMMYFUNCTION("""COMPUTED_VALUE"""),"Village East  ")</f>
        <v>Village East  </v>
      </c>
      <c r="L23" s="65" t="str">
        <f>IFERROR(__xludf.DUMMYFUNCTION("""COMPUTED_VALUE"""),"3093")</f>
        <v>3093</v>
      </c>
      <c r="M23" s="65"/>
      <c r="N23" s="108" t="str">
        <f>IFERROR(__xludf.DUMMYFUNCTION("""COMPUTED_VALUE"""),"#14389 Joshua Freeman, Late Access, put back into storage")</f>
        <v>#14389 Joshua Freeman, Late Access, put back into storage</v>
      </c>
    </row>
    <row r="24">
      <c r="A24" s="99" t="str">
        <f>IFERROR(__xludf.DUMMYFUNCTION("""COMPUTED_VALUE"""),"https://utrucking.com/admin/orders/5927169622204")</f>
        <v>https://utrucking.com/admin/orders/5927169622204</v>
      </c>
      <c r="B24" s="61" t="str">
        <f>IFERROR(__xludf.DUMMYFUNCTION("""COMPUTED_VALUE"""),"#16031")</f>
        <v>#16031</v>
      </c>
      <c r="C24" s="61" t="str">
        <f>IFERROR(__xludf.DUMMYFUNCTION("""COMPUTED_VALUE"""),"david@utrucking.com")</f>
        <v>david@utrucking.com</v>
      </c>
      <c r="D24" s="61">
        <f>IFERROR(__xludf.DUMMYFUNCTION("""COMPUTED_VALUE"""),3.142668788E9)</f>
        <v>3142668788</v>
      </c>
      <c r="E24" s="61" t="str">
        <f>IFERROR(__xludf.DUMMYFUNCTION("""COMPUTED_VALUE"""),"David George")</f>
        <v>David George</v>
      </c>
      <c r="F24" s="61" t="str">
        <f>IFERROR(__xludf.DUMMYFUNCTION("""COMPUTED_VALUE""")," 0  General Moving Services - University - Kelsey")</f>
        <v> 0  General Moving Services - University - Kelsey</v>
      </c>
      <c r="G24" s="61"/>
      <c r="H24" s="61" t="str">
        <f>IFERROR(__xludf.DUMMYFUNCTION("""COMPUTED_VALUE""")," University Housing")</f>
        <v> University Housing</v>
      </c>
      <c r="I24" s="100">
        <f>IFERROR(__xludf.DUMMYFUNCTION("""COMPUTED_VALUE"""),45870.0)</f>
        <v>45870</v>
      </c>
      <c r="J24" s="100" t="str">
        <f>IFERROR(__xludf.DUMMYFUNCTION("""COMPUTED_VALUE""")," 1:10pm-6:00pm")</f>
        <v> 1:10pm-6:00pm</v>
      </c>
      <c r="K24" s="61" t="str">
        <f>IFERROR(__xludf.DUMMYFUNCTION("""COMPUTED_VALUE"""),"General")</f>
        <v>General</v>
      </c>
      <c r="L24" s="61"/>
      <c r="M24" s="61"/>
      <c r="N24" s="107" t="str">
        <f>IFERROR(__xludf.DUMMYFUNCTION("""COMPUTED_VALUE"""),"8/1/25
3 movers
Moved fridges, microwaves and couches to various locations and moved furniture in Beaumont")</f>
        <v>8/1/25
3 movers
Moved fridges, microwaves and couches to various locations and moved furniture in Beaumont</v>
      </c>
    </row>
    <row r="25">
      <c r="A25" s="102" t="str">
        <f>IFERROR(__xludf.DUMMYFUNCTION("""COMPUTED_VALUE"""),"https://utrucking.com/admin/orders/5930480959676")</f>
        <v>https://utrucking.com/admin/orders/5930480959676</v>
      </c>
      <c r="B25" s="65" t="str">
        <f>IFERROR(__xludf.DUMMYFUNCTION("""COMPUTED_VALUE"""),"#16110")</f>
        <v>#16110</v>
      </c>
      <c r="C25" s="65"/>
      <c r="D25" s="65">
        <f>IFERROR(__xludf.DUMMYFUNCTION("""COMPUTED_VALUE"""),3.107538846E9)</f>
        <v>3107538846</v>
      </c>
      <c r="E25" s="65" t="str">
        <f>IFERROR(__xludf.DUMMYFUNCTION("""COMPUTED_VALUE"""),"Joseph Hettinger")</f>
        <v>Joseph Hettinger</v>
      </c>
      <c r="F25" s="65" t="str">
        <f>IFERROR(__xludf.DUMMYFUNCTION("""COMPUTED_VALUE""")," 0  General Moving Services - Other (Specify in Notes)")</f>
        <v> 0  General Moving Services - Other (Specify in Notes)</v>
      </c>
      <c r="G25" s="65" t="str">
        <f>IFERROR(__xludf.DUMMYFUNCTION("""COMPUTED_VALUE"""),"Hampton Thun ")</f>
        <v>Hampton Thun </v>
      </c>
      <c r="H25" s="65" t="str">
        <f>IFERROR(__xludf.DUMMYFUNCTION("""COMPUTED_VALUE""")," University Housing")</f>
        <v> University Housing</v>
      </c>
      <c r="I25" s="103">
        <f>IFERROR(__xludf.DUMMYFUNCTION("""COMPUTED_VALUE"""),45889.0)</f>
        <v>45889</v>
      </c>
      <c r="J25" s="103" t="str">
        <f>IFERROR(__xludf.DUMMYFUNCTION("""COMPUTED_VALUE"""),"EA")</f>
        <v>EA</v>
      </c>
      <c r="K25" s="65" t="str">
        <f>IFERROR(__xludf.DUMMYFUNCTION("""COMPUTED_VALUE"""),"House 8 (Tau Kappa Epsilon)  ")</f>
        <v>House 8 (Tau Kappa Epsilon)  </v>
      </c>
      <c r="L25" s="65" t="str">
        <f>IFERROR(__xludf.DUMMYFUNCTION("""COMPUTED_VALUE"""),"3052")</f>
        <v>3052</v>
      </c>
      <c r="M25" s="65"/>
      <c r="N25" s="108" t="str">
        <f>IFERROR(__xludf.DUMMYFUNCTION("""COMPUTED_VALUE"""),"make sure Hampton Thun's second batch of items were delivered because it will show delivered because we already delivered 3 UTs but then did a second pickup")</f>
        <v>make sure Hampton Thun's second batch of items were delivered because it will show delivered because we already delivered 3 UTs but then did a second pickup</v>
      </c>
    </row>
    <row r="26">
      <c r="A26" s="99" t="str">
        <f>IFERROR(__xludf.DUMMYFUNCTION("""COMPUTED_VALUE"""),"https://utrucking.com/admin/orders/5932164251836")</f>
        <v>https://utrucking.com/admin/orders/5932164251836</v>
      </c>
      <c r="B26" s="61" t="str">
        <f>IFERROR(__xludf.DUMMYFUNCTION("""COMPUTED_VALUE"""),"#16134")</f>
        <v>#16134</v>
      </c>
      <c r="C26" s="61" t="str">
        <f>IFERROR(__xludf.DUMMYFUNCTION("""COMPUTED_VALUE"""),"david@utrucking.com")</f>
        <v>david@utrucking.com</v>
      </c>
      <c r="D26" s="61">
        <f>IFERROR(__xludf.DUMMYFUNCTION("""COMPUTED_VALUE"""),6.186411334E9)</f>
        <v>6186411334</v>
      </c>
      <c r="E26" s="61" t="str">
        <f>IFERROR(__xludf.DUMMYFUNCTION("""COMPUTED_VALUE"""),"Adam Mofid")</f>
        <v>Adam Mofid</v>
      </c>
      <c r="F26" s="61" t="str">
        <f>IFERROR(__xludf.DUMMYFUNCTION("""COMPUTED_VALUE""")," 0  General Moving Services - University")</f>
        <v> 0  General Moving Services - University</v>
      </c>
      <c r="G26" s="61" t="str">
        <f>IFERROR(__xludf.DUMMYFUNCTION("""COMPUTED_VALUE"""),"Kelsey ")</f>
        <v>Kelsey </v>
      </c>
      <c r="H26" s="61" t="str">
        <f>IFERROR(__xludf.DUMMYFUNCTION("""COMPUTED_VALUE""")," University Housing")</f>
        <v> University Housing</v>
      </c>
      <c r="I26" s="100">
        <f>IFERROR(__xludf.DUMMYFUNCTION("""COMPUTED_VALUE"""),45877.0)</f>
        <v>45877</v>
      </c>
      <c r="J26" s="100" t="str">
        <f>IFERROR(__xludf.DUMMYFUNCTION("""COMPUTED_VALUE"""),"3pm-5:30pm")</f>
        <v>3pm-5:30pm</v>
      </c>
      <c r="K26" s="61" t="str">
        <f>IFERROR(__xludf.DUMMYFUNCTION("""COMPUTED_VALUE"""),"Millbrook Bldg. 3  ")</f>
        <v>Millbrook Bldg. 3  </v>
      </c>
      <c r="L26" s="61" t="str">
        <f>IFERROR(__xludf.DUMMYFUNCTION("""COMPUTED_VALUE"""),"LL")</f>
        <v>LL</v>
      </c>
      <c r="M26" s="61"/>
      <c r="N26" s="107" t="str">
        <f>IFERROR(__xludf.DUMMYFUNCTION("""COMPUTED_VALUE"""),"8/6/25-
1 team lead (David) &amp; 1 mover
Moved in new furniture to MB3 LL to and from storage
")</f>
        <v>8/6/25-
1 team lead (David) &amp; 1 mover
Moved in new furniture to MB3 LL to and from storage
</v>
      </c>
    </row>
    <row r="27">
      <c r="A27" s="102" t="str">
        <f>IFERROR(__xludf.DUMMYFUNCTION("""COMPUTED_VALUE"""),"https://utrucking.com/admin/orders/5932164251836")</f>
        <v>https://utrucking.com/admin/orders/5932164251836</v>
      </c>
      <c r="B27" s="65" t="str">
        <f>IFERROR(__xludf.DUMMYFUNCTION("""COMPUTED_VALUE"""),"#16134")</f>
        <v>#16134</v>
      </c>
      <c r="C27" s="65" t="str">
        <f>IFERROR(__xludf.DUMMYFUNCTION("""COMPUTED_VALUE"""),"david@utrucking.com")</f>
        <v>david@utrucking.com</v>
      </c>
      <c r="D27" s="65">
        <f>IFERROR(__xludf.DUMMYFUNCTION("""COMPUTED_VALUE"""),6.186411334E9)</f>
        <v>6186411334</v>
      </c>
      <c r="E27" s="65" t="str">
        <f>IFERROR(__xludf.DUMMYFUNCTION("""COMPUTED_VALUE"""),"Adam Mofid")</f>
        <v>Adam Mofid</v>
      </c>
      <c r="F27" s="65" t="str">
        <f>IFERROR(__xludf.DUMMYFUNCTION("""COMPUTED_VALUE""")," 0  General Moving Services - University")</f>
        <v> 0  General Moving Services - University</v>
      </c>
      <c r="G27" s="65" t="str">
        <f>IFERROR(__xludf.DUMMYFUNCTION("""COMPUTED_VALUE"""),"Kelsey ")</f>
        <v>Kelsey </v>
      </c>
      <c r="H27" s="65" t="str">
        <f>IFERROR(__xludf.DUMMYFUNCTION("""COMPUTED_VALUE""")," University Housing")</f>
        <v> University Housing</v>
      </c>
      <c r="I27" s="103">
        <f>IFERROR(__xludf.DUMMYFUNCTION("""COMPUTED_VALUE"""),45877.0)</f>
        <v>45877</v>
      </c>
      <c r="J27" s="103" t="str">
        <f>IFERROR(__xludf.DUMMYFUNCTION("""COMPUTED_VALUE"""),"7am - 10:30am")</f>
        <v>7am - 10:30am</v>
      </c>
      <c r="K27" s="65" t="str">
        <f>IFERROR(__xludf.DUMMYFUNCTION("""COMPUTED_VALUE"""),"Gregg  ")</f>
        <v>Gregg  </v>
      </c>
      <c r="L27" s="65" t="str">
        <f>IFERROR(__xludf.DUMMYFUNCTION("""COMPUTED_VALUE"""),"XXX")</f>
        <v>XXX</v>
      </c>
      <c r="M27" s="65"/>
      <c r="N27" s="108" t="str">
        <f>IFERROR(__xludf.DUMMYFUNCTION("""COMPUTED_VALUE"""),"8/6/25- 3 guys Re arranged furniture in Gregg, the painters moved furniture to the middle of the rooms and we moved it back to the correct spots.")</f>
        <v>8/6/25- 3 guys Re arranged furniture in Gregg, the painters moved furniture to the middle of the rooms and we moved it back to the correct spots.</v>
      </c>
    </row>
    <row r="28">
      <c r="A28" s="99" t="str">
        <f>IFERROR(__xludf.DUMMYFUNCTION("""COMPUTED_VALUE"""),"https://utrucking.com/admin/orders/5932164251836")</f>
        <v>https://utrucking.com/admin/orders/5932164251836</v>
      </c>
      <c r="B28" s="61" t="str">
        <f>IFERROR(__xludf.DUMMYFUNCTION("""COMPUTED_VALUE"""),"#16134")</f>
        <v>#16134</v>
      </c>
      <c r="C28" s="61" t="str">
        <f>IFERROR(__xludf.DUMMYFUNCTION("""COMPUTED_VALUE"""),"david@utrucking.com")</f>
        <v>david@utrucking.com</v>
      </c>
      <c r="D28" s="61">
        <f>IFERROR(__xludf.DUMMYFUNCTION("""COMPUTED_VALUE"""),6.186411334E9)</f>
        <v>6186411334</v>
      </c>
      <c r="E28" s="61" t="str">
        <f>IFERROR(__xludf.DUMMYFUNCTION("""COMPUTED_VALUE"""),"Adam Mofid")</f>
        <v>Adam Mofid</v>
      </c>
      <c r="F28" s="61" t="str">
        <f>IFERROR(__xludf.DUMMYFUNCTION("""COMPUTED_VALUE""")," 0  General Moving Services - University")</f>
        <v> 0  General Moving Services - University</v>
      </c>
      <c r="G28" s="61" t="str">
        <f>IFERROR(__xludf.DUMMYFUNCTION("""COMPUTED_VALUE"""),"Kelsey ")</f>
        <v>Kelsey </v>
      </c>
      <c r="H28" s="61" t="str">
        <f>IFERROR(__xludf.DUMMYFUNCTION("""COMPUTED_VALUE""")," University Housing")</f>
        <v> University Housing</v>
      </c>
      <c r="I28" s="100">
        <f>IFERROR(__xludf.DUMMYFUNCTION("""COMPUTED_VALUE"""),45877.0)</f>
        <v>45877</v>
      </c>
      <c r="J28" s="100" t="str">
        <f>IFERROR(__xludf.DUMMYFUNCTION("""COMPUTED_VALUE"""),"9am- 630pm")</f>
        <v>9am- 630pm</v>
      </c>
      <c r="K28" s="61" t="str">
        <f>IFERROR(__xludf.DUMMYFUNCTION("""COMPUTED_VALUE"""),"Millbrook Bldg. 1  ")</f>
        <v>Millbrook Bldg. 1  </v>
      </c>
      <c r="L28" s="61" t="str">
        <f>IFERROR(__xludf.DUMMYFUNCTION("""COMPUTED_VALUE"""),"xxx")</f>
        <v>xxx</v>
      </c>
      <c r="M28" s="61"/>
      <c r="N28" s="107" t="str">
        <f>IFERROR(__xludf.DUMMYFUNCTION("""COMPUTED_VALUE"""),"8/6/25- 
5 guys 
Moved furniture from rooms in Greenway and Millbrook 1-3 to Millbrook 1 storage room.
")</f>
        <v>8/6/25- 
5 guys 
Moved furniture from rooms in Greenway and Millbrook 1-3 to Millbrook 1 storage room.
</v>
      </c>
    </row>
    <row r="29">
      <c r="A29" s="102" t="str">
        <f>IFERROR(__xludf.DUMMYFUNCTION("""COMPUTED_VALUE"""),"https://utrucking.com/admin/orders/5934026588348")</f>
        <v>https://utrucking.com/admin/orders/5934026588348</v>
      </c>
      <c r="B29" s="65" t="str">
        <f>IFERROR(__xludf.DUMMYFUNCTION("""COMPUTED_VALUE"""),"#16173")</f>
        <v>#16173</v>
      </c>
      <c r="C29" s="65" t="str">
        <f>IFERROR(__xludf.DUMMYFUNCTION("""COMPUTED_VALUE"""),"davidg795@gmail.com")</f>
        <v>davidg795@gmail.com</v>
      </c>
      <c r="D29" s="65">
        <f>IFERROR(__xludf.DUMMYFUNCTION("""COMPUTED_VALUE"""),6.186411334E9)</f>
        <v>6186411334</v>
      </c>
      <c r="E29" s="65" t="str">
        <f>IFERROR(__xludf.DUMMYFUNCTION("""COMPUTED_VALUE"""),"David George")</f>
        <v>David George</v>
      </c>
      <c r="F29" s="65" t="str">
        <f>IFERROR(__xludf.DUMMYFUNCTION("""COMPUTED_VALUE""")," 0  General Moving Services - University")</f>
        <v> 0  General Moving Services - University</v>
      </c>
      <c r="G29" s="65" t="str">
        <f>IFERROR(__xludf.DUMMYFUNCTION("""COMPUTED_VALUE"""),"Kelsey ")</f>
        <v>Kelsey </v>
      </c>
      <c r="H29" s="65" t="str">
        <f>IFERROR(__xludf.DUMMYFUNCTION("""COMPUTED_VALUE""")," University Housing")</f>
        <v> University Housing</v>
      </c>
      <c r="I29" s="103">
        <f>IFERROR(__xludf.DUMMYFUNCTION("""COMPUTED_VALUE"""),45880.0)</f>
        <v>45880</v>
      </c>
      <c r="J29" s="103" t="str">
        <f>IFERROR(__xludf.DUMMYFUNCTION("""COMPUTED_VALUE"""),"10:25a - 5:00pm")</f>
        <v>10:25a - 5:00pm</v>
      </c>
      <c r="K29" s="65" t="str">
        <f>IFERROR(__xludf.DUMMYFUNCTION("""COMPUTED_VALUE"""),"General")</f>
        <v>General</v>
      </c>
      <c r="L29" s="65" t="str">
        <f>IFERROR(__xludf.DUMMYFUNCTION("""COMPUTED_VALUE"""),"XXX")</f>
        <v>XXX</v>
      </c>
      <c r="M29" s="65"/>
      <c r="N29" s="108" t="str">
        <f>IFERROR(__xludf.DUMMYFUNCTION("""COMPUTED_VALUE"""),"8/7/25
10:25a - 5:00p
2 movers
Rearranged furniture in House 2 common room
Rearranged lobbies/lounges in Lee &amp; Beaumont
Rearranged furniture in Greenway
Moved furniture to and from MB1 storage
")</f>
        <v>8/7/25
10:25a - 5:00p
2 movers
Rearranged furniture in House 2 common room
Rearranged lobbies/lounges in Lee &amp; Beaumont
Rearranged furniture in Greenway
Moved furniture to and from MB1 storage
</v>
      </c>
    </row>
    <row r="30">
      <c r="A30" s="99" t="str">
        <f>IFERROR(__xludf.DUMMYFUNCTION("""COMPUTED_VALUE"""),"https://utrucking.com/admin/orders/5936179675324")</f>
        <v>https://utrucking.com/admin/orders/5936179675324</v>
      </c>
      <c r="B30" s="61" t="str">
        <f>IFERROR(__xludf.DUMMYFUNCTION("""COMPUTED_VALUE"""),"#16234")</f>
        <v>#16234</v>
      </c>
      <c r="C30" s="61" t="str">
        <f>IFERROR(__xludf.DUMMYFUNCTION("""COMPUTED_VALUE"""),"davidg795@gmail.com")</f>
        <v>davidg795@gmail.com</v>
      </c>
      <c r="D30" s="61">
        <f>IFERROR(__xludf.DUMMYFUNCTION("""COMPUTED_VALUE"""),6.186411334E9)</f>
        <v>6186411334</v>
      </c>
      <c r="E30" s="61" t="str">
        <f>IFERROR(__xludf.DUMMYFUNCTION("""COMPUTED_VALUE"""),"David George")</f>
        <v>David George</v>
      </c>
      <c r="F30" s="61" t="str">
        <f>IFERROR(__xludf.DUMMYFUNCTION("""COMPUTED_VALUE""")," 0  General Moving Services - University")</f>
        <v> 0  General Moving Services - University</v>
      </c>
      <c r="G30" s="61" t="str">
        <f>IFERROR(__xludf.DUMMYFUNCTION("""COMPUTED_VALUE"""),"Kelsey ")</f>
        <v>Kelsey </v>
      </c>
      <c r="H30" s="61" t="str">
        <f>IFERROR(__xludf.DUMMYFUNCTION("""COMPUTED_VALUE""")," University Housing")</f>
        <v> University Housing</v>
      </c>
      <c r="I30" s="100">
        <f>IFERROR(__xludf.DUMMYFUNCTION("""COMPUTED_VALUE"""),45881.0)</f>
        <v>45881</v>
      </c>
      <c r="J30" s="100" t="str">
        <f>IFERROR(__xludf.DUMMYFUNCTION("""COMPUTED_VALUE"""),"9:30am-6:30pm")</f>
        <v>9:30am-6:30pm</v>
      </c>
      <c r="K30" s="61" t="str">
        <f>IFERROR(__xludf.DUMMYFUNCTION("""COMPUTED_VALUE"""),"General")</f>
        <v>General</v>
      </c>
      <c r="L30" s="61" t="str">
        <f>IFERROR(__xludf.DUMMYFUNCTION("""COMPUTED_VALUE"""),"XXX")</f>
        <v>XXX</v>
      </c>
      <c r="M30" s="61"/>
      <c r="N30" s="107" t="str">
        <f>IFERROR(__xludf.DUMMYFUNCTION("""COMPUTED_VALUE"""),"8/8/25
2 movers
moved various items for Kelsey - check email")</f>
        <v>8/8/25
2 movers
moved various items for Kelsey - check email</v>
      </c>
    </row>
    <row r="31">
      <c r="A31" s="102" t="str">
        <f>IFERROR(__xludf.DUMMYFUNCTION("""COMPUTED_VALUE"""),"https://utrucking.com/admin/orders/5936184230076")</f>
        <v>https://utrucking.com/admin/orders/5936184230076</v>
      </c>
      <c r="B31" s="65" t="str">
        <f>IFERROR(__xludf.DUMMYFUNCTION("""COMPUTED_VALUE"""),"#16235")</f>
        <v>#16235</v>
      </c>
      <c r="C31" s="65" t="str">
        <f>IFERROR(__xludf.DUMMYFUNCTION("""COMPUTED_VALUE"""),"davidg795@gmail.com")</f>
        <v>davidg795@gmail.com</v>
      </c>
      <c r="D31" s="65">
        <f>IFERROR(__xludf.DUMMYFUNCTION("""COMPUTED_VALUE"""),6.186411334E9)</f>
        <v>6186411334</v>
      </c>
      <c r="E31" s="65" t="str">
        <f>IFERROR(__xludf.DUMMYFUNCTION("""COMPUTED_VALUE"""),"David George")</f>
        <v>David George</v>
      </c>
      <c r="F31" s="65" t="str">
        <f>IFERROR(__xludf.DUMMYFUNCTION("""COMPUTED_VALUE""")," 0  General Moving Services - University")</f>
        <v> 0  General Moving Services - University</v>
      </c>
      <c r="G31" s="65" t="str">
        <f>IFERROR(__xludf.DUMMYFUNCTION("""COMPUTED_VALUE"""),"Kelsey ")</f>
        <v>Kelsey </v>
      </c>
      <c r="H31" s="65" t="str">
        <f>IFERROR(__xludf.DUMMYFUNCTION("""COMPUTED_VALUE""")," University Housing")</f>
        <v> University Housing</v>
      </c>
      <c r="I31" s="103">
        <f>IFERROR(__xludf.DUMMYFUNCTION("""COMPUTED_VALUE"""),45881.0)</f>
        <v>45881</v>
      </c>
      <c r="J31" s="103" t="str">
        <f>IFERROR(__xludf.DUMMYFUNCTION("""COMPUTED_VALUE"""),"9:00am - 3:50pm")</f>
        <v>9:00am - 3:50pm</v>
      </c>
      <c r="K31" s="65" t="str">
        <f>IFERROR(__xludf.DUMMYFUNCTION("""COMPUTED_VALUE"""),"General")</f>
        <v>General</v>
      </c>
      <c r="L31" s="65" t="str">
        <f>IFERROR(__xludf.DUMMYFUNCTION("""COMPUTED_VALUE"""),"XXX")</f>
        <v>XXX</v>
      </c>
      <c r="M31" s="65"/>
      <c r="N31" s="108" t="str">
        <f>IFERROR(__xludf.DUMMYFUNCTION("""COMPUTED_VALUE"""),"8/9/25
2 movers
moved various items for Kelsey - check email")</f>
        <v>8/9/25
2 movers
moved various items for Kelsey - check email</v>
      </c>
    </row>
    <row r="32">
      <c r="A32" s="99" t="str">
        <f>IFERROR(__xludf.DUMMYFUNCTION("""COMPUTED_VALUE"""),"https://utrucking.com/admin/orders/5937034625212")</f>
        <v>https://utrucking.com/admin/orders/5937034625212</v>
      </c>
      <c r="B32" s="61" t="str">
        <f>IFERROR(__xludf.DUMMYFUNCTION("""COMPUTED_VALUE"""),"#16255")</f>
        <v>#16255</v>
      </c>
      <c r="C32" s="61"/>
      <c r="D32" s="61">
        <f>IFERROR(__xludf.DUMMYFUNCTION("""COMPUTED_VALUE"""),8.589995331E9)</f>
        <v>8589995331</v>
      </c>
      <c r="E32" s="61" t="str">
        <f>IFERROR(__xludf.DUMMYFUNCTION("""COMPUTED_VALUE"""),"Adam Mofid")</f>
        <v>Adam Mofid</v>
      </c>
      <c r="F32" s="61" t="str">
        <f>IFERROR(__xludf.DUMMYFUNCTION("""COMPUTED_VALUE""")," 0  General Moving Services - Other (Specify in Notes)")</f>
        <v> 0  General Moving Services - Other (Specify in Notes)</v>
      </c>
      <c r="G32" s="61" t="str">
        <f>IFERROR(__xludf.DUMMYFUNCTION("""COMPUTED_VALUE"""),"Adam Mofid ")</f>
        <v>Adam Mofid </v>
      </c>
      <c r="H32" s="61" t="str">
        <f>IFERROR(__xludf.DUMMYFUNCTION("""COMPUTED_VALUE""")," Non-University Housing")</f>
        <v> Non-University Housing</v>
      </c>
      <c r="I32" s="100">
        <f>IFERROR(__xludf.DUMMYFUNCTION("""COMPUTED_VALUE"""),45887.0)</f>
        <v>45887</v>
      </c>
      <c r="J32" s="100">
        <f>IFERROR(__xludf.DUMMYFUNCTION("""COMPUTED_VALUE"""),0.375)</f>
        <v>0.375</v>
      </c>
      <c r="K32" s="61"/>
      <c r="L32" s="61"/>
      <c r="M32" s="61" t="str">
        <f>IFERROR(__xludf.DUMMYFUNCTION("""COMPUTED_VALUE"""),"16712 Chesterfield Farms Drive, Chesterfield MO 63005")</f>
        <v>16712 Chesterfield Farms Drive, Chesterfield MO 63005</v>
      </c>
      <c r="N32" s="107" t="str">
        <f>IFERROR(__xludf.DUMMYFUNCTION("""COMPUTED_VALUE"""),"Labor only job. Bring ratchet straps and moving blankets. Customer has a 26' enterprise truck. They will drive the truck out of state and return the straps and moving blankets to warehouse. Track time on move and how many guys. Adam will bill with Ahmed. ")</f>
        <v>Labor only job. Bring ratchet straps and moving blankets. Customer has a 26' enterprise truck. They will drive the truck out of state and return the straps and moving blankets to warehouse. Track time on move and how many guys. Adam will bill with Ahmed. </v>
      </c>
    </row>
    <row r="33">
      <c r="A33" s="102" t="str">
        <f>IFERROR(__xludf.DUMMYFUNCTION("""COMPUTED_VALUE"""),"https://utrucking.com/admin/orders/5937711972540")</f>
        <v>https://utrucking.com/admin/orders/5937711972540</v>
      </c>
      <c r="B33" s="65" t="str">
        <f>IFERROR(__xludf.DUMMYFUNCTION("""COMPUTED_VALUE"""),"#16274")</f>
        <v>#16274</v>
      </c>
      <c r="C33" s="65" t="str">
        <f>IFERROR(__xludf.DUMMYFUNCTION("""COMPUTED_VALUE"""),"davidg795@gmail.com")</f>
        <v>davidg795@gmail.com</v>
      </c>
      <c r="D33" s="65">
        <f>IFERROR(__xludf.DUMMYFUNCTION("""COMPUTED_VALUE"""),6.186411334E9)</f>
        <v>6186411334</v>
      </c>
      <c r="E33" s="65" t="str">
        <f>IFERROR(__xludf.DUMMYFUNCTION("""COMPUTED_VALUE"""),"David George")</f>
        <v>David George</v>
      </c>
      <c r="F33" s="65" t="str">
        <f>IFERROR(__xludf.DUMMYFUNCTION("""COMPUTED_VALUE""")," 0  General Moving Services - University")</f>
        <v> 0  General Moving Services - University</v>
      </c>
      <c r="G33" s="65" t="str">
        <f>IFERROR(__xludf.DUMMYFUNCTION("""COMPUTED_VALUE"""),"Kelsey ")</f>
        <v>Kelsey </v>
      </c>
      <c r="H33" s="65" t="str">
        <f>IFERROR(__xludf.DUMMYFUNCTION("""COMPUTED_VALUE""")," University Housing")</f>
        <v> University Housing</v>
      </c>
      <c r="I33" s="103">
        <f>IFERROR(__xludf.DUMMYFUNCTION("""COMPUTED_VALUE"""),45882.0)</f>
        <v>45882</v>
      </c>
      <c r="J33" s="103" t="str">
        <f>IFERROR(__xludf.DUMMYFUNCTION("""COMPUTED_VALUE"""),"8:30am - 5:45pm")</f>
        <v>8:30am - 5:45pm</v>
      </c>
      <c r="K33" s="65" t="str">
        <f>IFERROR(__xludf.DUMMYFUNCTION("""COMPUTED_VALUE"""),"General")</f>
        <v>General</v>
      </c>
      <c r="L33" s="65" t="str">
        <f>IFERROR(__xludf.DUMMYFUNCTION("""COMPUTED_VALUE"""),"XXX")</f>
        <v>XXX</v>
      </c>
      <c r="M33" s="65"/>
      <c r="N33" s="108" t="str">
        <f>IFERROR(__xludf.DUMMYFUNCTION("""COMPUTED_VALUE"""),"8/11/25
3 movers from 8:30a - 4pm
2 movers from 4pm - 5:45pm
Various items for Kelsey - check email")</f>
        <v>8/11/25
3 movers from 8:30a - 4pm
2 movers from 4pm - 5:45pm
Various items for Kelsey - check email</v>
      </c>
    </row>
    <row r="34">
      <c r="A34" s="99" t="str">
        <f>IFERROR(__xludf.DUMMYFUNCTION("""COMPUTED_VALUE"""),"https://utrucking.com/admin/orders/5937918083260")</f>
        <v>https://utrucking.com/admin/orders/5937918083260</v>
      </c>
      <c r="B34" s="61" t="str">
        <f>IFERROR(__xludf.DUMMYFUNCTION("""COMPUTED_VALUE"""),"#16278")</f>
        <v>#16278</v>
      </c>
      <c r="C34" s="61"/>
      <c r="D34" s="61">
        <f>IFERROR(__xludf.DUMMYFUNCTION("""COMPUTED_VALUE"""),3.142005642E9)</f>
        <v>3142005642</v>
      </c>
      <c r="E34" s="61" t="str">
        <f>IFERROR(__xludf.DUMMYFUNCTION("""COMPUTED_VALUE"""),"Adam Mofid")</f>
        <v>Adam Mofid</v>
      </c>
      <c r="F34" s="61" t="str">
        <f>IFERROR(__xludf.DUMMYFUNCTION("""COMPUTED_VALUE""")," 3   - University")</f>
        <v> 3   - University</v>
      </c>
      <c r="G34" s="61" t="str">
        <f>IFERROR(__xludf.DUMMYFUNCTION("""COMPUTED_VALUE"""),"Britne Amick ")</f>
        <v>Britne Amick </v>
      </c>
      <c r="H34" s="61" t="str">
        <f>IFERROR(__xludf.DUMMYFUNCTION("""COMPUTED_VALUE""")," University Housing")</f>
        <v> University Housing</v>
      </c>
      <c r="I34" s="100">
        <f>IFERROR(__xludf.DUMMYFUNCTION("""COMPUTED_VALUE"""),45881.0)</f>
        <v>45881</v>
      </c>
      <c r="J34" s="100" t="str">
        <f>IFERROR(__xludf.DUMMYFUNCTION("""COMPUTED_VALUE"""),"Flexible")</f>
        <v>Flexible</v>
      </c>
      <c r="K34" s="61" t="str">
        <f>IFERROR(__xludf.DUMMYFUNCTION("""COMPUTED_VALUE"""),"Gregg  ")</f>
        <v>Gregg  </v>
      </c>
      <c r="L34" s="61" t="str">
        <f>IFERROR(__xludf.DUMMYFUNCTION("""COMPUTED_VALUE"""),"3020")</f>
        <v>3020</v>
      </c>
      <c r="M34" s="61"/>
      <c r="N34" s="107" t="str">
        <f>IFERROR(__xludf.DUMMYFUNCTION("""COMPUTED_VALUE"""),"Please deliver 3 kits to Kamara Sakho. University paying—requested by Britne who Kelsey referred us to.")</f>
        <v>Please deliver 3 kits to Kamara Sakho. University paying—requested by Britne who Kelsey referred us to.</v>
      </c>
    </row>
    <row r="35">
      <c r="A35" s="102" t="str">
        <f>IFERROR(__xludf.DUMMYFUNCTION("""COMPUTED_VALUE"""),"https://utrucking.com/admin/orders/5938848202940")</f>
        <v>https://utrucking.com/admin/orders/5938848202940</v>
      </c>
      <c r="B35" s="65" t="str">
        <f>IFERROR(__xludf.DUMMYFUNCTION("""COMPUTED_VALUE"""),"#16287")</f>
        <v>#16287</v>
      </c>
      <c r="C35" s="65" t="str">
        <f>IFERROR(__xludf.DUMMYFUNCTION("""COMPUTED_VALUE"""),"ahmed@utrucking.com")</f>
        <v>ahmed@utrucking.com</v>
      </c>
      <c r="D35" s="65">
        <f>IFERROR(__xludf.DUMMYFUNCTION("""COMPUTED_VALUE"""),3.142005642E9)</f>
        <v>3142005642</v>
      </c>
      <c r="E35" s="65" t="str">
        <f>IFERROR(__xludf.DUMMYFUNCTION("""COMPUTED_VALUE"""),"Ahmed Muhamed")</f>
        <v>Ahmed Muhamed</v>
      </c>
      <c r="F35" s="65" t="str">
        <f>IFERROR(__xludf.DUMMYFUNCTION("""COMPUTED_VALUE""")," 0  General Moving Services - University")</f>
        <v> 0  General Moving Services - University</v>
      </c>
      <c r="G35" s="65" t="str">
        <f>IFERROR(__xludf.DUMMYFUNCTION("""COMPUTED_VALUE"""),"Britne Amick ")</f>
        <v>Britne Amick </v>
      </c>
      <c r="H35" s="65" t="str">
        <f>IFERROR(__xludf.DUMMYFUNCTION("""COMPUTED_VALUE""")," University Housing")</f>
        <v> University Housing</v>
      </c>
      <c r="I35" s="103">
        <f>IFERROR(__xludf.DUMMYFUNCTION("""COMPUTED_VALUE"""),45886.0)</f>
        <v>45886</v>
      </c>
      <c r="J35" s="103" t="str">
        <f>IFERROR(__xludf.DUMMYFUNCTION("""COMPUTED_VALUE"""),"3:00 PM")</f>
        <v>3:00 PM</v>
      </c>
      <c r="K35" s="65" t="str">
        <f>IFERROR(__xludf.DUMMYFUNCTION("""COMPUTED_VALUE"""),"Gregg  ")</f>
        <v>Gregg  </v>
      </c>
      <c r="L35" s="65" t="str">
        <f>IFERROR(__xludf.DUMMYFUNCTION("""COMPUTED_VALUE"""),"3020")</f>
        <v>3020</v>
      </c>
      <c r="M35" s="65"/>
      <c r="N35" s="108" t="str">
        <f>IFERROR(__xludf.DUMMYFUNCTION("""COMPUTED_VALUE"""),"Delivering Kamara Sakho's boxes from his dorm room in Gregg (3020) to 5118 Waterman BIvd,
Second Floor, Apt.200 on the right")</f>
        <v>Delivering Kamara Sakho's boxes from his dorm room in Gregg (3020) to 5118 Waterman BIvd,
Second Floor, Apt.200 on the right</v>
      </c>
    </row>
    <row r="36">
      <c r="A36" s="99" t="str">
        <f>IFERROR(__xludf.DUMMYFUNCTION("""COMPUTED_VALUE"""),"https://utrucking.com/admin/orders/5943778967740")</f>
        <v>https://utrucking.com/admin/orders/5943778967740</v>
      </c>
      <c r="B36" s="61" t="str">
        <f>IFERROR(__xludf.DUMMYFUNCTION("""COMPUTED_VALUE"""),"#16366")</f>
        <v>#16366</v>
      </c>
      <c r="C36" s="61" t="str">
        <f>IFERROR(__xludf.DUMMYFUNCTION("""COMPUTED_VALUE"""),"davidg795@gmail.com")</f>
        <v>davidg795@gmail.com</v>
      </c>
      <c r="D36" s="61">
        <f>IFERROR(__xludf.DUMMYFUNCTION("""COMPUTED_VALUE"""),6.186411334E9)</f>
        <v>6186411334</v>
      </c>
      <c r="E36" s="61" t="str">
        <f>IFERROR(__xludf.DUMMYFUNCTION("""COMPUTED_VALUE"""),"David George")</f>
        <v>David George</v>
      </c>
      <c r="F36" s="61" t="str">
        <f>IFERROR(__xludf.DUMMYFUNCTION("""COMPUTED_VALUE""")," 0  General Moving Services - University")</f>
        <v> 0  General Moving Services - University</v>
      </c>
      <c r="G36" s="61" t="str">
        <f>IFERROR(__xludf.DUMMYFUNCTION("""COMPUTED_VALUE"""),"Kelsey ")</f>
        <v>Kelsey </v>
      </c>
      <c r="H36" s="61" t="str">
        <f>IFERROR(__xludf.DUMMYFUNCTION("""COMPUTED_VALUE""")," University Housing")</f>
        <v> University Housing</v>
      </c>
      <c r="I36" s="100">
        <f>IFERROR(__xludf.DUMMYFUNCTION("""COMPUTED_VALUE"""),45881.0)</f>
        <v>45881</v>
      </c>
      <c r="J36" s="100" t="str">
        <f>IFERROR(__xludf.DUMMYFUNCTION("""COMPUTED_VALUE"""),"11:00am - 5:30pm")</f>
        <v>11:00am - 5:30pm</v>
      </c>
      <c r="K36" s="61" t="str">
        <f>IFERROR(__xludf.DUMMYFUNCTION("""COMPUTED_VALUE"""),"General")</f>
        <v>General</v>
      </c>
      <c r="L36" s="61" t="str">
        <f>IFERROR(__xludf.DUMMYFUNCTION("""COMPUTED_VALUE"""),"xxx")</f>
        <v>xxx</v>
      </c>
      <c r="M36" s="61"/>
      <c r="N36" s="107" t="str">
        <f>IFERROR(__xludf.DUMMYFUNCTION("""COMPUTED_VALUE"""),"8/12/25
3 movers
moved bed frame and desk from Beau to MB1 storage, assembled bed in Beau 304.
Moved pallets from various locations
Moved 5 stands from LK to RLC
Moved patio furniture to upper row ")</f>
        <v>8/12/25
3 movers
moved bed frame and desk from Beau to MB1 storage, assembled bed in Beau 304.
Moved pallets from various locations
Moved 5 stands from LK to RLC
Moved patio furniture to upper row </v>
      </c>
    </row>
    <row r="37">
      <c r="A37" s="102" t="str">
        <f>IFERROR(__xludf.DUMMYFUNCTION("""COMPUTED_VALUE"""),"https://utrucking.com/admin/orders/5944123195580")</f>
        <v>https://utrucking.com/admin/orders/5944123195580</v>
      </c>
      <c r="B37" s="65" t="str">
        <f>IFERROR(__xludf.DUMMYFUNCTION("""COMPUTED_VALUE"""),"#16375")</f>
        <v>#16375</v>
      </c>
      <c r="C37" s="65" t="str">
        <f>IFERROR(__xludf.DUMMYFUNCTION("""COMPUTED_VALUE"""),"davidg795@gmail.com")</f>
        <v>davidg795@gmail.com</v>
      </c>
      <c r="D37" s="65">
        <f>IFERROR(__xludf.DUMMYFUNCTION("""COMPUTED_VALUE"""),6.186411334E9)</f>
        <v>6186411334</v>
      </c>
      <c r="E37" s="65" t="str">
        <f>IFERROR(__xludf.DUMMYFUNCTION("""COMPUTED_VALUE"""),"David George")</f>
        <v>David George</v>
      </c>
      <c r="F37" s="65" t="str">
        <f>IFERROR(__xludf.DUMMYFUNCTION("""COMPUTED_VALUE""")," 0  General Moving Services - University")</f>
        <v> 0  General Moving Services - University</v>
      </c>
      <c r="G37" s="65" t="str">
        <f>IFERROR(__xludf.DUMMYFUNCTION("""COMPUTED_VALUE"""),"Kelsey ")</f>
        <v>Kelsey </v>
      </c>
      <c r="H37" s="65" t="str">
        <f>IFERROR(__xludf.DUMMYFUNCTION("""COMPUTED_VALUE""")," University Housing")</f>
        <v> University Housing</v>
      </c>
      <c r="I37" s="103">
        <f>IFERROR(__xludf.DUMMYFUNCTION("""COMPUTED_VALUE"""),45881.0)</f>
        <v>45881</v>
      </c>
      <c r="J37" s="103" t="str">
        <f>IFERROR(__xludf.DUMMYFUNCTION("""COMPUTED_VALUE"""),"3pm - 4pm")</f>
        <v>3pm - 4pm</v>
      </c>
      <c r="K37" s="65" t="str">
        <f>IFERROR(__xludf.DUMMYFUNCTION("""COMPUTED_VALUE"""),"Greenway Apartments  ")</f>
        <v>Greenway Apartments  </v>
      </c>
      <c r="L37" s="65" t="str">
        <f>IFERROR(__xludf.DUMMYFUNCTION("""COMPUTED_VALUE"""),"124, 126, 327")</f>
        <v>124, 126, 327</v>
      </c>
      <c r="M37" s="65"/>
      <c r="N37" s="108" t="str">
        <f>IFERROR(__xludf.DUMMYFUNCTION("""COMPUTED_VALUE"""),"8/12/25
2 movers
re arranged greenway 124, 126, 327 ")</f>
        <v>8/12/25
2 movers
re arranged greenway 124, 126, 327 </v>
      </c>
    </row>
    <row r="38">
      <c r="A38" s="99" t="str">
        <f>IFERROR(__xludf.DUMMYFUNCTION("""COMPUTED_VALUE"""),"https://utrucking.com/admin/orders/5944136532156")</f>
        <v>https://utrucking.com/admin/orders/5944136532156</v>
      </c>
      <c r="B38" s="61" t="str">
        <f>IFERROR(__xludf.DUMMYFUNCTION("""COMPUTED_VALUE"""),"#16377")</f>
        <v>#16377</v>
      </c>
      <c r="C38" s="61" t="str">
        <f>IFERROR(__xludf.DUMMYFUNCTION("""COMPUTED_VALUE"""),"davidg795@gmail.com")</f>
        <v>davidg795@gmail.com</v>
      </c>
      <c r="D38" s="61">
        <f>IFERROR(__xludf.DUMMYFUNCTION("""COMPUTED_VALUE"""),6.186411334E9)</f>
        <v>6186411334</v>
      </c>
      <c r="E38" s="61" t="str">
        <f>IFERROR(__xludf.DUMMYFUNCTION("""COMPUTED_VALUE"""),"David George")</f>
        <v>David George</v>
      </c>
      <c r="F38" s="61" t="str">
        <f>IFERROR(__xludf.DUMMYFUNCTION("""COMPUTED_VALUE""")," 0  General Moving Services - University")</f>
        <v> 0  General Moving Services - University</v>
      </c>
      <c r="G38" s="61" t="str">
        <f>IFERROR(__xludf.DUMMYFUNCTION("""COMPUTED_VALUE"""),"Kelsey ")</f>
        <v>Kelsey </v>
      </c>
      <c r="H38" s="61" t="str">
        <f>IFERROR(__xludf.DUMMYFUNCTION("""COMPUTED_VALUE""")," University Housing")</f>
        <v> University Housing</v>
      </c>
      <c r="I38" s="100">
        <f>IFERROR(__xludf.DUMMYFUNCTION("""COMPUTED_VALUE"""),45883.0)</f>
        <v>45883</v>
      </c>
      <c r="J38" s="100" t="str">
        <f>IFERROR(__xludf.DUMMYFUNCTION("""COMPUTED_VALUE"""),"9:00a - 5p")</f>
        <v>9:00a - 5p</v>
      </c>
      <c r="K38" s="61" t="str">
        <f>IFERROR(__xludf.DUMMYFUNCTION("""COMPUTED_VALUE"""),"General")</f>
        <v>General</v>
      </c>
      <c r="L38" s="61" t="str">
        <f>IFERROR(__xludf.DUMMYFUNCTION("""COMPUTED_VALUE"""),"xxx")</f>
        <v>xxx</v>
      </c>
      <c r="M38" s="61"/>
      <c r="N38" s="107" t="str">
        <f>IFERROR(__xludf.DUMMYFUNCTION("""COMPUTED_VALUE"""),"8/14
9am - 5pm
2 movers
moved various summer items from Umrath to MB1 storage
raised/ lowered various beds")</f>
        <v>8/14
9am - 5pm
2 movers
moved various summer items from Umrath to MB1 storage
raised/ lowered various beds</v>
      </c>
    </row>
    <row r="39">
      <c r="A39" s="102" t="str">
        <f>IFERROR(__xludf.DUMMYFUNCTION("""COMPUTED_VALUE"""),"https://utrucking.com/admin/orders/5944138039484")</f>
        <v>https://utrucking.com/admin/orders/5944138039484</v>
      </c>
      <c r="B39" s="65" t="str">
        <f>IFERROR(__xludf.DUMMYFUNCTION("""COMPUTED_VALUE"""),"#16378")</f>
        <v>#16378</v>
      </c>
      <c r="C39" s="65" t="str">
        <f>IFERROR(__xludf.DUMMYFUNCTION("""COMPUTED_VALUE"""),"davidg795@gmail.com")</f>
        <v>davidg795@gmail.com</v>
      </c>
      <c r="D39" s="65">
        <f>IFERROR(__xludf.DUMMYFUNCTION("""COMPUTED_VALUE"""),6.186411334E9)</f>
        <v>6186411334</v>
      </c>
      <c r="E39" s="65" t="str">
        <f>IFERROR(__xludf.DUMMYFUNCTION("""COMPUTED_VALUE"""),"David George")</f>
        <v>David George</v>
      </c>
      <c r="F39" s="65" t="str">
        <f>IFERROR(__xludf.DUMMYFUNCTION("""COMPUTED_VALUE""")," 0  General Moving Services - University")</f>
        <v> 0  General Moving Services - University</v>
      </c>
      <c r="G39" s="65" t="str">
        <f>IFERROR(__xludf.DUMMYFUNCTION("""COMPUTED_VALUE"""),"Kelsey ")</f>
        <v>Kelsey </v>
      </c>
      <c r="H39" s="65" t="str">
        <f>IFERROR(__xludf.DUMMYFUNCTION("""COMPUTED_VALUE""")," University Housing")</f>
        <v> University Housing</v>
      </c>
      <c r="I39" s="103">
        <f>IFERROR(__xludf.DUMMYFUNCTION("""COMPUTED_VALUE"""),45884.0)</f>
        <v>45884</v>
      </c>
      <c r="J39" s="103" t="str">
        <f>IFERROR(__xludf.DUMMYFUNCTION("""COMPUTED_VALUE"""),"10a - 12p")</f>
        <v>10a - 12p</v>
      </c>
      <c r="K39" s="65" t="str">
        <f>IFERROR(__xludf.DUMMYFUNCTION("""COMPUTED_VALUE"""),"General")</f>
        <v>General</v>
      </c>
      <c r="L39" s="65" t="str">
        <f>IFERROR(__xludf.DUMMYFUNCTION("""COMPUTED_VALUE"""),"xxx")</f>
        <v>xxx</v>
      </c>
      <c r="M39" s="65"/>
      <c r="N39" s="108" t="str">
        <f>IFERROR(__xludf.DUMMYFUNCTION("""COMPUTED_VALUE"""),"8/15/25
Joseph and Michio 
moved/raised bed for student")</f>
        <v>8/15/25
Joseph and Michio 
moved/raised bed for student</v>
      </c>
    </row>
    <row r="40">
      <c r="A40" s="99" t="str">
        <f>IFERROR(__xludf.DUMMYFUNCTION("""COMPUTED_VALUE"""),"https://utrucking.com/admin/orders/5944144330940")</f>
        <v>https://utrucking.com/admin/orders/5944144330940</v>
      </c>
      <c r="B40" s="61" t="str">
        <f>IFERROR(__xludf.DUMMYFUNCTION("""COMPUTED_VALUE"""),"#16379")</f>
        <v>#16379</v>
      </c>
      <c r="C40" s="61" t="str">
        <f>IFERROR(__xludf.DUMMYFUNCTION("""COMPUTED_VALUE"""),"davidg795@gmail.com")</f>
        <v>davidg795@gmail.com</v>
      </c>
      <c r="D40" s="61">
        <f>IFERROR(__xludf.DUMMYFUNCTION("""COMPUTED_VALUE"""),6.186411334E9)</f>
        <v>6186411334</v>
      </c>
      <c r="E40" s="61" t="str">
        <f>IFERROR(__xludf.DUMMYFUNCTION("""COMPUTED_VALUE"""),"David George")</f>
        <v>David George</v>
      </c>
      <c r="F40" s="61" t="str">
        <f>IFERROR(__xludf.DUMMYFUNCTION("""COMPUTED_VALUE""")," 0  General Moving Services - University")</f>
        <v> 0  General Moving Services - University</v>
      </c>
      <c r="G40" s="61" t="str">
        <f>IFERROR(__xludf.DUMMYFUNCTION("""COMPUTED_VALUE"""),"Kelsey ")</f>
        <v>Kelsey </v>
      </c>
      <c r="H40" s="61" t="str">
        <f>IFERROR(__xludf.DUMMYFUNCTION("""COMPUTED_VALUE""")," University Housing")</f>
        <v> University Housing</v>
      </c>
      <c r="I40" s="100">
        <f>IFERROR(__xludf.DUMMYFUNCTION("""COMPUTED_VALUE"""),45882.0)</f>
        <v>45882</v>
      </c>
      <c r="J40" s="100" t="str">
        <f>IFERROR(__xludf.DUMMYFUNCTION("""COMPUTED_VALUE"""),"4pm - 6pm")</f>
        <v>4pm - 6pm</v>
      </c>
      <c r="K40" s="61" t="str">
        <f>IFERROR(__xludf.DUMMYFUNCTION("""COMPUTED_VALUE"""),"General")</f>
        <v>General</v>
      </c>
      <c r="L40" s="61" t="str">
        <f>IFERROR(__xludf.DUMMYFUNCTION("""COMPUTED_VALUE"""),"xxx")</f>
        <v>xxx</v>
      </c>
      <c r="M40" s="61"/>
      <c r="N40" s="107" t="str">
        <f>IFERROR(__xludf.DUMMYFUNCTION("""COMPUTED_VALUE"""),"8/13
4pm - 6pm
3 movers + truck
moved approx. 50 boxes of WashU branded build a bears from LK storage to CDI conference room")</f>
        <v>8/13
4pm - 6pm
3 movers + truck
moved approx. 50 boxes of WashU branded build a bears from LK storage to CDI conference room</v>
      </c>
    </row>
    <row r="41">
      <c r="A41" s="102" t="str">
        <f>IFERROR(__xludf.DUMMYFUNCTION("""COMPUTED_VALUE"""),"https://utrucking.com/admin/orders/5951794020540")</f>
        <v>https://utrucking.com/admin/orders/5951794020540</v>
      </c>
      <c r="B41" s="65" t="str">
        <f>IFERROR(__xludf.DUMMYFUNCTION("""COMPUTED_VALUE"""),"#16509")</f>
        <v>#16509</v>
      </c>
      <c r="C41" s="65" t="str">
        <f>IFERROR(__xludf.DUMMYFUNCTION("""COMPUTED_VALUE"""),"davidg795@gmail.com")</f>
        <v>davidg795@gmail.com</v>
      </c>
      <c r="D41" s="65">
        <f>IFERROR(__xludf.DUMMYFUNCTION("""COMPUTED_VALUE"""),6.186411334E9)</f>
        <v>6186411334</v>
      </c>
      <c r="E41" s="65" t="str">
        <f>IFERROR(__xludf.DUMMYFUNCTION("""COMPUTED_VALUE"""),"David George")</f>
        <v>David George</v>
      </c>
      <c r="F41" s="65" t="str">
        <f>IFERROR(__xludf.DUMMYFUNCTION("""COMPUTED_VALUE""")," 0  General Moving Services - University")</f>
        <v> 0  General Moving Services - University</v>
      </c>
      <c r="G41" s="65" t="str">
        <f>IFERROR(__xludf.DUMMYFUNCTION("""COMPUTED_VALUE"""),"Kelsey ")</f>
        <v>Kelsey </v>
      </c>
      <c r="H41" s="65" t="str">
        <f>IFERROR(__xludf.DUMMYFUNCTION("""COMPUTED_VALUE""")," University Housing")</f>
        <v> University Housing</v>
      </c>
      <c r="I41" s="103">
        <f>IFERROR(__xludf.DUMMYFUNCTION("""COMPUTED_VALUE"""),45886.0)</f>
        <v>45886</v>
      </c>
      <c r="J41" s="103" t="str">
        <f>IFERROR(__xludf.DUMMYFUNCTION("""COMPUTED_VALUE""")," 9:30 - 5pm")</f>
        <v> 9:30 - 5pm</v>
      </c>
      <c r="K41" s="65" t="str">
        <f>IFERROR(__xludf.DUMMYFUNCTION("""COMPUTED_VALUE"""),"General")</f>
        <v>General</v>
      </c>
      <c r="L41" s="65" t="str">
        <f>IFERROR(__xludf.DUMMYFUNCTION("""COMPUTED_VALUE"""),"xxx")</f>
        <v>xxx</v>
      </c>
      <c r="M41" s="65"/>
      <c r="N41" s="108" t="str">
        <f>IFERROR(__xludf.DUMMYFUNCTION("""COMPUTED_VALUE"""),"8/17/25
9:30a - 5:00p
3 movers
raised/lowered multiple beds
completed student move for Kamara")</f>
        <v>8/17/25
9:30a - 5:00p
3 movers
raised/lowered multiple beds
completed student move for Kamara</v>
      </c>
    </row>
    <row r="42">
      <c r="A42" s="99" t="str">
        <f>IFERROR(__xludf.DUMMYFUNCTION("""COMPUTED_VALUE"""),"https://utrucking.com/admin/orders/5951806668988")</f>
        <v>https://utrucking.com/admin/orders/5951806668988</v>
      </c>
      <c r="B42" s="61" t="str">
        <f>IFERROR(__xludf.DUMMYFUNCTION("""COMPUTED_VALUE"""),"#16510")</f>
        <v>#16510</v>
      </c>
      <c r="C42" s="61" t="str">
        <f>IFERROR(__xludf.DUMMYFUNCTION("""COMPUTED_VALUE"""),"davidg795@gmail.com")</f>
        <v>davidg795@gmail.com</v>
      </c>
      <c r="D42" s="61">
        <f>IFERROR(__xludf.DUMMYFUNCTION("""COMPUTED_VALUE"""),6.186411334E9)</f>
        <v>6186411334</v>
      </c>
      <c r="E42" s="61" t="str">
        <f>IFERROR(__xludf.DUMMYFUNCTION("""COMPUTED_VALUE"""),"David George")</f>
        <v>David George</v>
      </c>
      <c r="F42" s="61" t="str">
        <f>IFERROR(__xludf.DUMMYFUNCTION("""COMPUTED_VALUE""")," 0  General Moving Services - University")</f>
        <v> 0  General Moving Services - University</v>
      </c>
      <c r="G42" s="61" t="str">
        <f>IFERROR(__xludf.DUMMYFUNCTION("""COMPUTED_VALUE"""),"Kelsey ")</f>
        <v>Kelsey </v>
      </c>
      <c r="H42" s="61" t="str">
        <f>IFERROR(__xludf.DUMMYFUNCTION("""COMPUTED_VALUE""")," University Housing")</f>
        <v> University Housing</v>
      </c>
      <c r="I42" s="100">
        <f>IFERROR(__xludf.DUMMYFUNCTION("""COMPUTED_VALUE"""),45889.0)</f>
        <v>45889</v>
      </c>
      <c r="J42" s="100" t="str">
        <f>IFERROR(__xludf.DUMMYFUNCTION("""COMPUTED_VALUE""")," 12:00p - 3pm")</f>
        <v> 12:00p - 3pm</v>
      </c>
      <c r="K42" s="61" t="str">
        <f>IFERROR(__xludf.DUMMYFUNCTION("""COMPUTED_VALUE"""),"General")</f>
        <v>General</v>
      </c>
      <c r="L42" s="61" t="str">
        <f>IFERROR(__xludf.DUMMYFUNCTION("""COMPUTED_VALUE"""),"xxx")</f>
        <v>xxx</v>
      </c>
      <c r="M42" s="61"/>
      <c r="N42" s="107" t="str">
        <f>IFERROR(__xludf.DUMMYFUNCTION("""COMPUTED_VALUE"""),"8/20
12pm - 3pm
2 movers
replaced dresser and desk in House 5 207
re-lowered Dardick 4409 bed
raised/lowered beds")</f>
        <v>8/20
12pm - 3pm
2 movers
replaced dresser and desk in House 5 207
re-lowered Dardick 4409 bed
raised/lowered beds</v>
      </c>
    </row>
    <row r="43">
      <c r="A43" s="102" t="str">
        <f>IFERROR(__xludf.DUMMYFUNCTION("""COMPUTED_VALUE"""),"https://utrucking.com/admin/orders/5951811813564")</f>
        <v>https://utrucking.com/admin/orders/5951811813564</v>
      </c>
      <c r="B43" s="65" t="str">
        <f>IFERROR(__xludf.DUMMYFUNCTION("""COMPUTED_VALUE"""),"#16511")</f>
        <v>#16511</v>
      </c>
      <c r="C43" s="65" t="str">
        <f>IFERROR(__xludf.DUMMYFUNCTION("""COMPUTED_VALUE"""),"davidg795@gmail.com")</f>
        <v>davidg795@gmail.com</v>
      </c>
      <c r="D43" s="65">
        <f>IFERROR(__xludf.DUMMYFUNCTION("""COMPUTED_VALUE"""),6.186411334E9)</f>
        <v>6186411334</v>
      </c>
      <c r="E43" s="65" t="str">
        <f>IFERROR(__xludf.DUMMYFUNCTION("""COMPUTED_VALUE"""),"David George")</f>
        <v>David George</v>
      </c>
      <c r="F43" s="65" t="str">
        <f>IFERROR(__xludf.DUMMYFUNCTION("""COMPUTED_VALUE""")," 0  General Moving Services - University")</f>
        <v> 0  General Moving Services - University</v>
      </c>
      <c r="G43" s="65" t="str">
        <f>IFERROR(__xludf.DUMMYFUNCTION("""COMPUTED_VALUE"""),"Kelsey ")</f>
        <v>Kelsey </v>
      </c>
      <c r="H43" s="65" t="str">
        <f>IFERROR(__xludf.DUMMYFUNCTION("""COMPUTED_VALUE""")," University Housing")</f>
        <v> University Housing</v>
      </c>
      <c r="I43" s="103">
        <f>IFERROR(__xludf.DUMMYFUNCTION("""COMPUTED_VALUE"""),45890.0)</f>
        <v>45890</v>
      </c>
      <c r="J43" s="103" t="str">
        <f>IFERROR(__xludf.DUMMYFUNCTION("""COMPUTED_VALUE""")," 10am - 7pm")</f>
        <v> 10am - 7pm</v>
      </c>
      <c r="K43" s="65" t="str">
        <f>IFERROR(__xludf.DUMMYFUNCTION("""COMPUTED_VALUE"""),"General")</f>
        <v>General</v>
      </c>
      <c r="L43" s="65" t="str">
        <f>IFERROR(__xludf.DUMMYFUNCTION("""COMPUTED_VALUE"""),"xxx")</f>
        <v>xxx</v>
      </c>
      <c r="M43" s="65"/>
      <c r="N43" s="108" t="str">
        <f>IFERROR(__xludf.DUMMYFUNCTION("""COMPUTED_VALUE"""),"8/21/25
10am-7pm
2 movers
raised/lowered beds
replaced various furniture")</f>
        <v>8/21/25
10am-7pm
2 movers
raised/lowered beds
replaced various furniture</v>
      </c>
    </row>
    <row r="44">
      <c r="A44" s="99" t="str">
        <f>IFERROR(__xludf.DUMMYFUNCTION("""COMPUTED_VALUE"""),"https://utrucking.com/admin/orders/5952877330620")</f>
        <v>https://utrucking.com/admin/orders/5952877330620</v>
      </c>
      <c r="B44" s="61" t="str">
        <f>IFERROR(__xludf.DUMMYFUNCTION("""COMPUTED_VALUE"""),"#16522")</f>
        <v>#16522</v>
      </c>
      <c r="C44" s="61" t="str">
        <f>IFERROR(__xludf.DUMMYFUNCTION("""COMPUTED_VALUE"""),"davidg795@gmail.com")</f>
        <v>davidg795@gmail.com</v>
      </c>
      <c r="D44" s="61">
        <f>IFERROR(__xludf.DUMMYFUNCTION("""COMPUTED_VALUE"""),6.186411334E9)</f>
        <v>6186411334</v>
      </c>
      <c r="E44" s="61" t="str">
        <f>IFERROR(__xludf.DUMMYFUNCTION("""COMPUTED_VALUE"""),"David George")</f>
        <v>David George</v>
      </c>
      <c r="F44" s="61" t="str">
        <f>IFERROR(__xludf.DUMMYFUNCTION("""COMPUTED_VALUE""")," 0  General Moving Services - University")</f>
        <v> 0  General Moving Services - University</v>
      </c>
      <c r="G44" s="61" t="str">
        <f>IFERROR(__xludf.DUMMYFUNCTION("""COMPUTED_VALUE"""),"Kelsey ")</f>
        <v>Kelsey </v>
      </c>
      <c r="H44" s="61" t="str">
        <f>IFERROR(__xludf.DUMMYFUNCTION("""COMPUTED_VALUE""")," University Housing")</f>
        <v> University Housing</v>
      </c>
      <c r="I44" s="100">
        <f>IFERROR(__xludf.DUMMYFUNCTION("""COMPUTED_VALUE"""),45892.0)</f>
        <v>45892</v>
      </c>
      <c r="J44" s="100" t="str">
        <f>IFERROR(__xludf.DUMMYFUNCTION("""COMPUTED_VALUE""")," 5:45p - 8:45p")</f>
        <v> 5:45p - 8:45p</v>
      </c>
      <c r="K44" s="61" t="str">
        <f>IFERROR(__xludf.DUMMYFUNCTION("""COMPUTED_VALUE"""),"General")</f>
        <v>General</v>
      </c>
      <c r="L44" s="61" t="str">
        <f>IFERROR(__xludf.DUMMYFUNCTION("""COMPUTED_VALUE"""),"xxx")</f>
        <v>xxx</v>
      </c>
      <c r="M44" s="61"/>
      <c r="N44" s="107" t="str">
        <f>IFERROR(__xludf.DUMMYFUNCTION("""COMPUTED_VALUE"""),"8/23/25 
1 guy
village east 1080, replaced bed frame
village 4083, lowered bed
Zetcher 2213, attempted to replace bed frame but student didn't like alternatives we brought so TBD
")</f>
        <v>8/23/25 
1 guy
village east 1080, replaced bed frame
village 4083, lowered bed
Zetcher 2213, attempted to replace bed frame but student didn't like alternatives we brought so TBD
</v>
      </c>
    </row>
    <row r="45">
      <c r="A45" s="102" t="str">
        <f>IFERROR(__xludf.DUMMYFUNCTION("""COMPUTED_VALUE"""),"https://utrucking.com/admin/orders/5955662872764")</f>
        <v>https://utrucking.com/admin/orders/5955662872764</v>
      </c>
      <c r="B45" s="65" t="str">
        <f>IFERROR(__xludf.DUMMYFUNCTION("""COMPUTED_VALUE"""),"#16531")</f>
        <v>#16531</v>
      </c>
      <c r="C45" s="65" t="str">
        <f>IFERROR(__xludf.DUMMYFUNCTION("""COMPUTED_VALUE"""),"david@utrucking.com")</f>
        <v>david@utrucking.com</v>
      </c>
      <c r="D45" s="65">
        <f>IFERROR(__xludf.DUMMYFUNCTION("""COMPUTED_VALUE"""),6.186411334E9)</f>
        <v>6186411334</v>
      </c>
      <c r="E45" s="65" t="str">
        <f>IFERROR(__xludf.DUMMYFUNCTION("""COMPUTED_VALUE"""),"David George")</f>
        <v>David George</v>
      </c>
      <c r="F45" s="65" t="str">
        <f>IFERROR(__xludf.DUMMYFUNCTION("""COMPUTED_VALUE""")," 0  General Moving Services - University")</f>
        <v> 0  General Moving Services - University</v>
      </c>
      <c r="G45" s="65" t="str">
        <f>IFERROR(__xludf.DUMMYFUNCTION("""COMPUTED_VALUE"""),"Kelsey ")</f>
        <v>Kelsey </v>
      </c>
      <c r="H45" s="65" t="str">
        <f>IFERROR(__xludf.DUMMYFUNCTION("""COMPUTED_VALUE""")," University Housing")</f>
        <v> University Housing</v>
      </c>
      <c r="I45" s="103">
        <f>IFERROR(__xludf.DUMMYFUNCTION("""COMPUTED_VALUE"""),45893.0)</f>
        <v>45893</v>
      </c>
      <c r="J45" s="103" t="str">
        <f>IFERROR(__xludf.DUMMYFUNCTION("""COMPUTED_VALUE""")," 12:30pm - 5:45pm")</f>
        <v> 12:30pm - 5:45pm</v>
      </c>
      <c r="K45" s="65" t="str">
        <f>IFERROR(__xludf.DUMMYFUNCTION("""COMPUTED_VALUE"""),"General")</f>
        <v>General</v>
      </c>
      <c r="L45" s="65" t="str">
        <f>IFERROR(__xludf.DUMMYFUNCTION("""COMPUTED_VALUE"""),"xxx")</f>
        <v>xxx</v>
      </c>
      <c r="M45" s="65"/>
      <c r="N45" s="108" t="str">
        <f>IFERROR(__xludf.DUMMYFUNCTION("""COMPUTED_VALUE"""),"8/24/25
2 guys + truck
12:30pm - 5:45pm
various tasks from Kelsey list, check 8/26 email update")</f>
        <v>8/24/25
2 guys + truck
12:30pm - 5:45pm
various tasks from Kelsey list, check 8/26 email update</v>
      </c>
    </row>
    <row r="46">
      <c r="A46" s="99" t="str">
        <f>IFERROR(__xludf.DUMMYFUNCTION("""COMPUTED_VALUE"""),"https://utrucking.com/admin/orders/5955695378620")</f>
        <v>https://utrucking.com/admin/orders/5955695378620</v>
      </c>
      <c r="B46" s="61" t="str">
        <f>IFERROR(__xludf.DUMMYFUNCTION("""COMPUTED_VALUE"""),"#16532")</f>
        <v>#16532</v>
      </c>
      <c r="C46" s="61" t="str">
        <f>IFERROR(__xludf.DUMMYFUNCTION("""COMPUTED_VALUE"""),"david@utrucking.com")</f>
        <v>david@utrucking.com</v>
      </c>
      <c r="D46" s="61">
        <f>IFERROR(__xludf.DUMMYFUNCTION("""COMPUTED_VALUE"""),6.186411334E9)</f>
        <v>6186411334</v>
      </c>
      <c r="E46" s="61" t="str">
        <f>IFERROR(__xludf.DUMMYFUNCTION("""COMPUTED_VALUE"""),"David George")</f>
        <v>David George</v>
      </c>
      <c r="F46" s="61" t="str">
        <f>IFERROR(__xludf.DUMMYFUNCTION("""COMPUTED_VALUE""")," 0  General Moving Services - University")</f>
        <v> 0  General Moving Services - University</v>
      </c>
      <c r="G46" s="61" t="str">
        <f>IFERROR(__xludf.DUMMYFUNCTION("""COMPUTED_VALUE"""),"Kelsey ")</f>
        <v>Kelsey </v>
      </c>
      <c r="H46" s="61" t="str">
        <f>IFERROR(__xludf.DUMMYFUNCTION("""COMPUTED_VALUE""")," University Housing")</f>
        <v> University Housing</v>
      </c>
      <c r="I46" s="100">
        <f>IFERROR(__xludf.DUMMYFUNCTION("""COMPUTED_VALUE"""),45888.0)</f>
        <v>45888</v>
      </c>
      <c r="J46" s="100" t="str">
        <f>IFERROR(__xludf.DUMMYFUNCTION("""COMPUTED_VALUE""")," 10am - 4pm")</f>
        <v> 10am - 4pm</v>
      </c>
      <c r="K46" s="61" t="str">
        <f>IFERROR(__xludf.DUMMYFUNCTION("""COMPUTED_VALUE"""),"General")</f>
        <v>General</v>
      </c>
      <c r="L46" s="61" t="str">
        <f>IFERROR(__xludf.DUMMYFUNCTION("""COMPUTED_VALUE"""),"xxx")</f>
        <v>xxx</v>
      </c>
      <c r="M46" s="61"/>
      <c r="N46" s="107" t="str">
        <f>IFERROR(__xludf.DUMMYFUNCTION("""COMPUTED_VALUE"""),"8/19/25
2 movers + truck
moved various items
lowered/ raised beds
check 8/19 daily ops tab &amp; email
")</f>
        <v>8/19/25
2 movers + truck
moved various items
lowered/ raised beds
check 8/19 daily ops tab &amp; email
</v>
      </c>
    </row>
    <row r="47">
      <c r="A47" s="102" t="str">
        <f>IFERROR(__xludf.DUMMYFUNCTION("""COMPUTED_VALUE"""),"https://utrucking.com/admin/orders/5955708977340")</f>
        <v>https://utrucking.com/admin/orders/5955708977340</v>
      </c>
      <c r="B47" s="65" t="str">
        <f>IFERROR(__xludf.DUMMYFUNCTION("""COMPUTED_VALUE"""),"#16533")</f>
        <v>#16533</v>
      </c>
      <c r="C47" s="65" t="str">
        <f>IFERROR(__xludf.DUMMYFUNCTION("""COMPUTED_VALUE"""),"davidg795@gmail.com")</f>
        <v>davidg795@gmail.com</v>
      </c>
      <c r="D47" s="65">
        <f>IFERROR(__xludf.DUMMYFUNCTION("""COMPUTED_VALUE"""),6.186411334E9)</f>
        <v>6186411334</v>
      </c>
      <c r="E47" s="65" t="str">
        <f>IFERROR(__xludf.DUMMYFUNCTION("""COMPUTED_VALUE"""),"David George")</f>
        <v>David George</v>
      </c>
      <c r="F47" s="65" t="str">
        <f>IFERROR(__xludf.DUMMYFUNCTION("""COMPUTED_VALUE""")," 0  General Moving Services - University")</f>
        <v> 0  General Moving Services - University</v>
      </c>
      <c r="G47" s="65" t="str">
        <f>IFERROR(__xludf.DUMMYFUNCTION("""COMPUTED_VALUE"""),"Kelsey ")</f>
        <v>Kelsey </v>
      </c>
      <c r="H47" s="65" t="str">
        <f>IFERROR(__xludf.DUMMYFUNCTION("""COMPUTED_VALUE""")," University Housing")</f>
        <v> University Housing</v>
      </c>
      <c r="I47" s="103">
        <f>IFERROR(__xludf.DUMMYFUNCTION("""COMPUTED_VALUE"""),45895.0)</f>
        <v>45895</v>
      </c>
      <c r="J47" s="103" t="str">
        <f>IFERROR(__xludf.DUMMYFUNCTION("""COMPUTED_VALUE""")," 3:30p - 4:30p")</f>
        <v> 3:30p - 4:30p</v>
      </c>
      <c r="K47" s="65" t="str">
        <f>IFERROR(__xludf.DUMMYFUNCTION("""COMPUTED_VALUE"""),"General")</f>
        <v>General</v>
      </c>
      <c r="L47" s="65" t="str">
        <f>IFERROR(__xludf.DUMMYFUNCTION("""COMPUTED_VALUE"""),"xxx")</f>
        <v>xxx</v>
      </c>
      <c r="M47" s="65"/>
      <c r="N47" s="108" t="str">
        <f>IFERROR(__xludf.DUMMYFUNCTION("""COMPUTED_VALUE"""),"8/26/25
3:30pm - 4:00pm
2 movers + truck
Mudd 214, raised bed one level
Zetcher 3061, raised bed
Liggett 3362, raised bed 
Liggett 2300, added desk hutch
Liggett 2264, added desk hutch")</f>
        <v>8/26/25
3:30pm - 4:00pm
2 movers + truck
Mudd 214, raised bed one level
Zetcher 3061, raised bed
Liggett 3362, raised bed 
Liggett 2300, added desk hutch
Liggett 2264, added desk hutch</v>
      </c>
    </row>
    <row r="48">
      <c r="A48" s="99" t="str">
        <f>IFERROR(__xludf.DUMMYFUNCTION("""COMPUTED_VALUE"""),"https://utrucking.com/admin/orders/5965337362620")</f>
        <v>https://utrucking.com/admin/orders/5965337362620</v>
      </c>
      <c r="B48" s="61" t="str">
        <f>IFERROR(__xludf.DUMMYFUNCTION("""COMPUTED_VALUE"""),"#16545")</f>
        <v>#16545</v>
      </c>
      <c r="C48" s="61" t="str">
        <f>IFERROR(__xludf.DUMMYFUNCTION("""COMPUTED_VALUE"""),"adam@utrucking.com")</f>
        <v>adam@utrucking.com</v>
      </c>
      <c r="D48" s="61">
        <f>IFERROR(__xludf.DUMMYFUNCTION("""COMPUTED_VALUE"""),8.589995331E9)</f>
        <v>8589995331</v>
      </c>
      <c r="E48" s="61" t="str">
        <f>IFERROR(__xludf.DUMMYFUNCTION("""COMPUTED_VALUE"""),"Adam Mofid")</f>
        <v>Adam Mofid</v>
      </c>
      <c r="F48" s="61" t="str">
        <f>IFERROR(__xludf.DUMMYFUNCTION("""COMPUTED_VALUE""")," 4  General Moving Services - Internal")</f>
        <v> 4  General Moving Services - Internal</v>
      </c>
      <c r="G48" s="61" t="str">
        <f>IFERROR(__xludf.DUMMYFUNCTION("""COMPUTED_VALUE"""),"Adam ")</f>
        <v>Adam </v>
      </c>
      <c r="H48" s="61" t="str">
        <f>IFERROR(__xludf.DUMMYFUNCTION("""COMPUTED_VALUE""")," Non-University Housing")</f>
        <v> Non-University Housing</v>
      </c>
      <c r="I48" s="100">
        <f>IFERROR(__xludf.DUMMYFUNCTION("""COMPUTED_VALUE"""),45903.0)</f>
        <v>45903</v>
      </c>
      <c r="J48" s="100" t="str">
        <f>IFERROR(__xludf.DUMMYFUNCTION("""COMPUTED_VALUE""")," Flexible")</f>
        <v> Flexible</v>
      </c>
      <c r="K48" s="61"/>
      <c r="L48" s="61"/>
      <c r="M48" s="61" t="str">
        <f>IFERROR(__xludf.DUMMYFUNCTION("""COMPUTED_VALUE"""),"5715 Enright Ave, St. Louis, MO 63112")</f>
        <v>5715 Enright Ave, St. Louis, MO 63112</v>
      </c>
      <c r="N48" s="107" t="str">
        <f>IFERROR(__xludf.DUMMYFUNCTION("""COMPUTED_VALUE"""),"David—can you please deliver 4 kits to 5715 Enright and text Eliana a photo at (626) 379-7884 from UTrucking number?")</f>
        <v>David—can you please deliver 4 kits to 5715 Enright and text Eliana a photo at (626) 379-7884 from UTrucking number?</v>
      </c>
    </row>
    <row r="49">
      <c r="A49" s="102" t="str">
        <f>IFERROR(__xludf.DUMMYFUNCTION("""COMPUTED_VALUE"""),"https://utrucking.com/admin/orders/5971743342780")</f>
        <v>https://utrucking.com/admin/orders/5971743342780</v>
      </c>
      <c r="B49" s="65" t="str">
        <f>IFERROR(__xludf.DUMMYFUNCTION("""COMPUTED_VALUE"""),"#16547")</f>
        <v>#16547</v>
      </c>
      <c r="C49" s="65" t="str">
        <f>IFERROR(__xludf.DUMMYFUNCTION("""COMPUTED_VALUE"""),"davidg795@gmail.com")</f>
        <v>davidg795@gmail.com</v>
      </c>
      <c r="D49" s="65">
        <f>IFERROR(__xludf.DUMMYFUNCTION("""COMPUTED_VALUE"""),6.186411334E9)</f>
        <v>6186411334</v>
      </c>
      <c r="E49" s="65" t="str">
        <f>IFERROR(__xludf.DUMMYFUNCTION("""COMPUTED_VALUE"""),"David George")</f>
        <v>David George</v>
      </c>
      <c r="F49" s="65" t="str">
        <f>IFERROR(__xludf.DUMMYFUNCTION("""COMPUTED_VALUE""")," 0  General Moving Services - University")</f>
        <v> 0  General Moving Services - University</v>
      </c>
      <c r="G49" s="65" t="str">
        <f>IFERROR(__xludf.DUMMYFUNCTION("""COMPUTED_VALUE"""),"Kelsey ")</f>
        <v>Kelsey </v>
      </c>
      <c r="H49" s="65" t="str">
        <f>IFERROR(__xludf.DUMMYFUNCTION("""COMPUTED_VALUE""")," University Housing")</f>
        <v> University Housing</v>
      </c>
      <c r="I49" s="103">
        <f>IFERROR(__xludf.DUMMYFUNCTION("""COMPUTED_VALUE"""),45896.0)</f>
        <v>45896</v>
      </c>
      <c r="J49" s="103" t="str">
        <f>IFERROR(__xludf.DUMMYFUNCTION("""COMPUTED_VALUE""")," 11am - 6pm")</f>
        <v> 11am - 6pm</v>
      </c>
      <c r="K49" s="65" t="str">
        <f>IFERROR(__xludf.DUMMYFUNCTION("""COMPUTED_VALUE"""),"General")</f>
        <v>General</v>
      </c>
      <c r="L49" s="65" t="str">
        <f>IFERROR(__xludf.DUMMYFUNCTION("""COMPUTED_VALUE"""),"xxx")</f>
        <v>xxx</v>
      </c>
      <c r="M49" s="65"/>
      <c r="N49" s="108" t="str">
        <f>IFERROR(__xludf.DUMMYFUNCTION("""COMPUTED_VALUE"""),"8/27/25 
11am - 6pm
2 movers
box truck
raised/lowered various beds
completed various tasks from Reslife list. ")</f>
        <v>8/27/25 
11am - 6pm
2 movers
box truck
raised/lowered various beds
completed various tasks from Reslife list. </v>
      </c>
    </row>
    <row r="50">
      <c r="A50" s="99" t="str">
        <f>IFERROR(__xludf.DUMMYFUNCTION("""COMPUTED_VALUE"""),"https://utrucking.com/admin/orders/5979480195260")</f>
        <v>https://utrucking.com/admin/orders/5979480195260</v>
      </c>
      <c r="B50" s="61" t="str">
        <f>IFERROR(__xludf.DUMMYFUNCTION("""COMPUTED_VALUE"""),"#16548")</f>
        <v>#16548</v>
      </c>
      <c r="C50" s="61" t="str">
        <f>IFERROR(__xludf.DUMMYFUNCTION("""COMPUTED_VALUE"""),"davidg795@gmail.com")</f>
        <v>davidg795@gmail.com</v>
      </c>
      <c r="D50" s="61">
        <f>IFERROR(__xludf.DUMMYFUNCTION("""COMPUTED_VALUE"""),6.186411334E9)</f>
        <v>6186411334</v>
      </c>
      <c r="E50" s="61" t="str">
        <f>IFERROR(__xludf.DUMMYFUNCTION("""COMPUTED_VALUE"""),"David George")</f>
        <v>David George</v>
      </c>
      <c r="F50" s="61" t="str">
        <f>IFERROR(__xludf.DUMMYFUNCTION("""COMPUTED_VALUE""")," 1  General Moving Services - University")</f>
        <v> 1  General Moving Services - University</v>
      </c>
      <c r="G50" s="61" t="str">
        <f>IFERROR(__xludf.DUMMYFUNCTION("""COMPUTED_VALUE"""),"Kelsey ")</f>
        <v>Kelsey </v>
      </c>
      <c r="H50" s="61" t="str">
        <f>IFERROR(__xludf.DUMMYFUNCTION("""COMPUTED_VALUE""")," University Housing")</f>
        <v> University Housing</v>
      </c>
      <c r="I50" s="100">
        <f>IFERROR(__xludf.DUMMYFUNCTION("""COMPUTED_VALUE"""),45917.0)</f>
        <v>45917</v>
      </c>
      <c r="J50" s="100" t="str">
        <f>IFERROR(__xludf.DUMMYFUNCTION("""COMPUTED_VALUE""")," 3:30pm - 5pm")</f>
        <v> 3:30pm - 5pm</v>
      </c>
      <c r="K50" s="61" t="str">
        <f>IFERROR(__xludf.DUMMYFUNCTION("""COMPUTED_VALUE"""),"Myers  ")</f>
        <v>Myers  </v>
      </c>
      <c r="L50" s="61" t="str">
        <f>IFERROR(__xludf.DUMMYFUNCTION("""COMPUTED_VALUE"""),"442")</f>
        <v>442</v>
      </c>
      <c r="M50" s="61"/>
      <c r="N50" s="107" t="str">
        <f>IFERROR(__xludf.DUMMYFUNCTION("""COMPUTED_VALUE"""),"9/11/25
1 team lead
personnel van
1 kit
1.5 hours
packed up Cacelie Gooden's items into 5 Utrucking boxes and shipped to her home in CT")</f>
        <v>9/11/25
1 team lead
personnel van
1 kit
1.5 hours
packed up Cacelie Gooden's items into 5 Utrucking boxes and shipped to her home in CT</v>
      </c>
    </row>
    <row r="51">
      <c r="A51" s="65"/>
      <c r="B51" s="65"/>
      <c r="C51" s="65"/>
      <c r="D51" s="65"/>
      <c r="E51" s="65"/>
      <c r="F51" s="65"/>
      <c r="G51" s="65"/>
      <c r="H51" s="65"/>
      <c r="I51" s="103"/>
      <c r="J51" s="103"/>
      <c r="K51" s="65"/>
      <c r="L51" s="65"/>
      <c r="M51" s="65"/>
      <c r="N51" s="108"/>
    </row>
    <row r="52">
      <c r="A52" s="61"/>
      <c r="B52" s="61"/>
      <c r="C52" s="61"/>
      <c r="D52" s="61"/>
      <c r="E52" s="61"/>
      <c r="F52" s="61"/>
      <c r="G52" s="61"/>
      <c r="H52" s="61"/>
      <c r="I52" s="100"/>
      <c r="J52" s="100"/>
      <c r="K52" s="61"/>
      <c r="L52" s="61"/>
      <c r="M52" s="61"/>
      <c r="N52" s="107"/>
    </row>
    <row r="53">
      <c r="A53" s="65"/>
      <c r="B53" s="65"/>
      <c r="C53" s="65"/>
      <c r="D53" s="65"/>
      <c r="E53" s="65"/>
      <c r="F53" s="65"/>
      <c r="G53" s="65"/>
      <c r="H53" s="65"/>
      <c r="I53" s="103"/>
      <c r="J53" s="103"/>
      <c r="K53" s="65"/>
      <c r="L53" s="65"/>
      <c r="M53" s="65"/>
      <c r="N53" s="108"/>
    </row>
    <row r="54">
      <c r="A54" s="61"/>
      <c r="B54" s="61"/>
      <c r="C54" s="61"/>
      <c r="D54" s="61"/>
      <c r="E54" s="61"/>
      <c r="F54" s="61"/>
      <c r="G54" s="61"/>
      <c r="H54" s="61"/>
      <c r="I54" s="100"/>
      <c r="J54" s="100"/>
      <c r="K54" s="61"/>
      <c r="L54" s="61"/>
      <c r="M54" s="61"/>
      <c r="N54" s="107"/>
    </row>
    <row r="55">
      <c r="A55" s="65"/>
      <c r="B55" s="65"/>
      <c r="C55" s="65"/>
      <c r="D55" s="65"/>
      <c r="E55" s="65"/>
      <c r="F55" s="65"/>
      <c r="G55" s="65"/>
      <c r="H55" s="65"/>
      <c r="I55" s="103"/>
      <c r="J55" s="103"/>
      <c r="K55" s="65"/>
      <c r="L55" s="65"/>
      <c r="M55" s="65"/>
      <c r="N55" s="108"/>
    </row>
    <row r="56">
      <c r="A56" s="61"/>
      <c r="B56" s="61"/>
      <c r="C56" s="61"/>
      <c r="D56" s="61"/>
      <c r="E56" s="61"/>
      <c r="F56" s="61"/>
      <c r="G56" s="61"/>
      <c r="H56" s="61"/>
      <c r="I56" s="100"/>
      <c r="J56" s="100"/>
      <c r="K56" s="61"/>
      <c r="L56" s="61"/>
      <c r="M56" s="61"/>
      <c r="N56" s="107"/>
    </row>
    <row r="57">
      <c r="A57" s="65"/>
      <c r="B57" s="65"/>
      <c r="C57" s="65"/>
      <c r="D57" s="65"/>
      <c r="E57" s="65"/>
      <c r="F57" s="65"/>
      <c r="G57" s="65"/>
      <c r="H57" s="65"/>
      <c r="I57" s="103"/>
      <c r="J57" s="103"/>
      <c r="K57" s="65"/>
      <c r="L57" s="65"/>
      <c r="M57" s="65"/>
      <c r="N57" s="108"/>
    </row>
    <row r="58">
      <c r="A58" s="61"/>
      <c r="B58" s="61"/>
      <c r="C58" s="61"/>
      <c r="D58" s="61"/>
      <c r="E58" s="61"/>
      <c r="F58" s="61"/>
      <c r="G58" s="61"/>
      <c r="H58" s="61"/>
      <c r="I58" s="100"/>
      <c r="J58" s="100"/>
      <c r="K58" s="61"/>
      <c r="L58" s="61"/>
      <c r="M58" s="61"/>
      <c r="N58" s="107"/>
    </row>
    <row r="59">
      <c r="A59" s="65"/>
      <c r="B59" s="65"/>
      <c r="C59" s="65"/>
      <c r="D59" s="65"/>
      <c r="E59" s="65"/>
      <c r="F59" s="65"/>
      <c r="G59" s="65"/>
      <c r="H59" s="65"/>
      <c r="I59" s="103"/>
      <c r="J59" s="103"/>
      <c r="K59" s="65"/>
      <c r="L59" s="65"/>
      <c r="M59" s="65"/>
      <c r="N59" s="108"/>
    </row>
    <row r="60">
      <c r="A60" s="61"/>
      <c r="B60" s="61"/>
      <c r="C60" s="61"/>
      <c r="D60" s="61"/>
      <c r="E60" s="61"/>
      <c r="F60" s="61"/>
      <c r="G60" s="61"/>
      <c r="H60" s="61"/>
      <c r="I60" s="100"/>
      <c r="J60" s="100"/>
      <c r="K60" s="61"/>
      <c r="L60" s="61"/>
      <c r="M60" s="61"/>
      <c r="N60" s="107"/>
    </row>
    <row r="61">
      <c r="A61" s="65"/>
      <c r="B61" s="65"/>
      <c r="C61" s="65"/>
      <c r="D61" s="65"/>
      <c r="E61" s="65"/>
      <c r="F61" s="65"/>
      <c r="G61" s="65"/>
      <c r="H61" s="65"/>
      <c r="I61" s="103"/>
      <c r="J61" s="103"/>
      <c r="K61" s="65"/>
      <c r="L61" s="65"/>
      <c r="M61" s="65"/>
      <c r="N61" s="108"/>
    </row>
    <row r="62">
      <c r="A62" s="61"/>
      <c r="B62" s="61"/>
      <c r="C62" s="61"/>
      <c r="D62" s="61"/>
      <c r="E62" s="61"/>
      <c r="F62" s="61"/>
      <c r="G62" s="61"/>
      <c r="H62" s="61"/>
      <c r="I62" s="100"/>
      <c r="J62" s="100"/>
      <c r="K62" s="61"/>
      <c r="L62" s="61"/>
      <c r="M62" s="61"/>
      <c r="N62" s="107"/>
    </row>
    <row r="63">
      <c r="A63" s="65"/>
      <c r="B63" s="65"/>
      <c r="C63" s="65"/>
      <c r="D63" s="65"/>
      <c r="E63" s="65"/>
      <c r="F63" s="65"/>
      <c r="G63" s="65"/>
      <c r="H63" s="65"/>
      <c r="I63" s="103"/>
      <c r="J63" s="103"/>
      <c r="K63" s="65"/>
      <c r="L63" s="65"/>
      <c r="M63" s="65"/>
      <c r="N63" s="108"/>
    </row>
    <row r="64">
      <c r="A64" s="61"/>
      <c r="B64" s="61"/>
      <c r="C64" s="61"/>
      <c r="D64" s="61"/>
      <c r="E64" s="61"/>
      <c r="F64" s="61"/>
      <c r="G64" s="61"/>
      <c r="H64" s="61"/>
      <c r="I64" s="100"/>
      <c r="J64" s="100"/>
      <c r="K64" s="61"/>
      <c r="L64" s="61"/>
      <c r="M64" s="61"/>
      <c r="N64" s="107"/>
    </row>
    <row r="65">
      <c r="A65" s="65"/>
      <c r="B65" s="65"/>
      <c r="C65" s="65"/>
      <c r="D65" s="65"/>
      <c r="E65" s="65"/>
      <c r="F65" s="65"/>
      <c r="G65" s="65"/>
      <c r="H65" s="65"/>
      <c r="I65" s="103"/>
      <c r="J65" s="103"/>
      <c r="K65" s="65"/>
      <c r="L65" s="65"/>
      <c r="M65" s="65"/>
      <c r="N65" s="108"/>
    </row>
    <row r="66">
      <c r="A66" s="61"/>
      <c r="B66" s="61"/>
      <c r="C66" s="61"/>
      <c r="D66" s="61"/>
      <c r="E66" s="61"/>
      <c r="F66" s="61"/>
      <c r="G66" s="61"/>
      <c r="H66" s="61"/>
      <c r="I66" s="100"/>
      <c r="J66" s="100"/>
      <c r="K66" s="61"/>
      <c r="L66" s="61"/>
      <c r="M66" s="61"/>
      <c r="N66" s="107"/>
    </row>
    <row r="67">
      <c r="A67" s="65"/>
      <c r="B67" s="65"/>
      <c r="C67" s="65"/>
      <c r="D67" s="65"/>
      <c r="E67" s="65"/>
      <c r="F67" s="65"/>
      <c r="G67" s="65"/>
      <c r="H67" s="65"/>
      <c r="I67" s="103"/>
      <c r="J67" s="103"/>
      <c r="K67" s="65"/>
      <c r="L67" s="65"/>
      <c r="M67" s="65"/>
      <c r="N67" s="108"/>
    </row>
    <row r="68">
      <c r="A68" s="61"/>
      <c r="B68" s="61"/>
      <c r="C68" s="61"/>
      <c r="D68" s="61"/>
      <c r="E68" s="61"/>
      <c r="F68" s="61"/>
      <c r="G68" s="61"/>
      <c r="H68" s="61"/>
      <c r="I68" s="100"/>
      <c r="J68" s="100"/>
      <c r="K68" s="61"/>
      <c r="L68" s="61"/>
      <c r="M68" s="61"/>
      <c r="N68" s="107"/>
    </row>
    <row r="69">
      <c r="A69" s="65"/>
      <c r="B69" s="65"/>
      <c r="C69" s="65"/>
      <c r="D69" s="65"/>
      <c r="E69" s="65"/>
      <c r="F69" s="65"/>
      <c r="G69" s="65"/>
      <c r="H69" s="65"/>
      <c r="I69" s="103"/>
      <c r="J69" s="103"/>
      <c r="K69" s="65"/>
      <c r="L69" s="65"/>
      <c r="M69" s="65"/>
      <c r="N69" s="108"/>
    </row>
    <row r="70">
      <c r="A70" s="61"/>
      <c r="B70" s="61"/>
      <c r="C70" s="61"/>
      <c r="D70" s="61"/>
      <c r="E70" s="61"/>
      <c r="F70" s="61"/>
      <c r="G70" s="61"/>
      <c r="H70" s="61"/>
      <c r="I70" s="100"/>
      <c r="J70" s="100"/>
      <c r="K70" s="61"/>
      <c r="L70" s="61"/>
      <c r="M70" s="61"/>
      <c r="N70" s="107"/>
    </row>
    <row r="71">
      <c r="A71" s="65"/>
      <c r="B71" s="65"/>
      <c r="C71" s="65"/>
      <c r="D71" s="65"/>
      <c r="E71" s="65"/>
      <c r="F71" s="65"/>
      <c r="G71" s="65"/>
      <c r="H71" s="65"/>
      <c r="I71" s="103"/>
      <c r="J71" s="103"/>
      <c r="K71" s="65"/>
      <c r="L71" s="65"/>
      <c r="M71" s="65"/>
      <c r="N71" s="108"/>
    </row>
    <row r="72">
      <c r="A72" s="61"/>
      <c r="B72" s="61"/>
      <c r="C72" s="61"/>
      <c r="D72" s="61"/>
      <c r="E72" s="61"/>
      <c r="F72" s="61"/>
      <c r="G72" s="61"/>
      <c r="H72" s="61"/>
      <c r="I72" s="100"/>
      <c r="J72" s="100"/>
      <c r="K72" s="61"/>
      <c r="L72" s="61"/>
      <c r="M72" s="61"/>
      <c r="N72" s="107"/>
    </row>
    <row r="73">
      <c r="A73" s="65"/>
      <c r="B73" s="65"/>
      <c r="C73" s="65"/>
      <c r="D73" s="65"/>
      <c r="E73" s="65"/>
      <c r="F73" s="65"/>
      <c r="G73" s="65"/>
      <c r="H73" s="65"/>
      <c r="I73" s="103"/>
      <c r="J73" s="103"/>
      <c r="K73" s="65"/>
      <c r="L73" s="65"/>
      <c r="M73" s="65"/>
      <c r="N73" s="108"/>
    </row>
    <row r="74">
      <c r="A74" s="61"/>
      <c r="B74" s="61"/>
      <c r="C74" s="61"/>
      <c r="D74" s="61"/>
      <c r="E74" s="61"/>
      <c r="F74" s="61"/>
      <c r="G74" s="61"/>
      <c r="H74" s="61"/>
      <c r="I74" s="100"/>
      <c r="J74" s="100"/>
      <c r="K74" s="61"/>
      <c r="L74" s="61"/>
      <c r="M74" s="61"/>
      <c r="N74" s="107"/>
    </row>
    <row r="75">
      <c r="A75" s="65"/>
      <c r="B75" s="65"/>
      <c r="C75" s="65"/>
      <c r="D75" s="65"/>
      <c r="E75" s="65"/>
      <c r="F75" s="65"/>
      <c r="G75" s="65"/>
      <c r="H75" s="65"/>
      <c r="I75" s="103"/>
      <c r="J75" s="103"/>
      <c r="K75" s="65"/>
      <c r="L75" s="65"/>
      <c r="M75" s="65"/>
      <c r="N75" s="108"/>
    </row>
    <row r="76">
      <c r="A76" s="61"/>
      <c r="B76" s="61"/>
      <c r="C76" s="61"/>
      <c r="D76" s="61"/>
      <c r="E76" s="61"/>
      <c r="F76" s="61"/>
      <c r="G76" s="61"/>
      <c r="H76" s="61"/>
      <c r="I76" s="100"/>
      <c r="J76" s="100"/>
      <c r="K76" s="61"/>
      <c r="L76" s="61"/>
      <c r="M76" s="61"/>
      <c r="N76" s="107"/>
    </row>
    <row r="77">
      <c r="A77" s="65"/>
      <c r="B77" s="65"/>
      <c r="C77" s="65"/>
      <c r="D77" s="65"/>
      <c r="E77" s="65"/>
      <c r="F77" s="65"/>
      <c r="G77" s="65"/>
      <c r="H77" s="65"/>
      <c r="I77" s="103"/>
      <c r="J77" s="103"/>
      <c r="K77" s="65"/>
      <c r="L77" s="65"/>
      <c r="M77" s="65"/>
      <c r="N77" s="108"/>
    </row>
    <row r="78">
      <c r="A78" s="61"/>
      <c r="B78" s="61"/>
      <c r="C78" s="61"/>
      <c r="D78" s="61"/>
      <c r="E78" s="61"/>
      <c r="F78" s="61"/>
      <c r="G78" s="61"/>
      <c r="H78" s="61"/>
      <c r="I78" s="100"/>
      <c r="J78" s="100"/>
      <c r="K78" s="61"/>
      <c r="L78" s="61"/>
      <c r="M78" s="61"/>
      <c r="N78" s="107"/>
    </row>
    <row r="79">
      <c r="A79" s="65"/>
      <c r="B79" s="65"/>
      <c r="C79" s="65"/>
      <c r="D79" s="65"/>
      <c r="E79" s="65"/>
      <c r="F79" s="65"/>
      <c r="G79" s="65"/>
      <c r="H79" s="65"/>
      <c r="I79" s="103"/>
      <c r="J79" s="103"/>
      <c r="K79" s="65"/>
      <c r="L79" s="65"/>
      <c r="M79" s="65"/>
      <c r="N79" s="108"/>
    </row>
    <row r="80">
      <c r="A80" s="61"/>
      <c r="B80" s="61"/>
      <c r="C80" s="61"/>
      <c r="D80" s="61"/>
      <c r="E80" s="61"/>
      <c r="F80" s="61"/>
      <c r="G80" s="61"/>
      <c r="H80" s="61"/>
      <c r="I80" s="100"/>
      <c r="J80" s="100"/>
      <c r="K80" s="61"/>
      <c r="L80" s="61"/>
      <c r="M80" s="61"/>
      <c r="N80" s="107"/>
    </row>
    <row r="81">
      <c r="A81" s="65"/>
      <c r="B81" s="65"/>
      <c r="C81" s="65"/>
      <c r="D81" s="65"/>
      <c r="E81" s="65"/>
      <c r="F81" s="65"/>
      <c r="G81" s="65"/>
      <c r="H81" s="65"/>
      <c r="I81" s="103"/>
      <c r="J81" s="103"/>
      <c r="K81" s="65"/>
      <c r="L81" s="65"/>
      <c r="M81" s="65"/>
      <c r="N81" s="108"/>
    </row>
    <row r="82">
      <c r="A82" s="61"/>
      <c r="B82" s="61"/>
      <c r="C82" s="61"/>
      <c r="D82" s="61"/>
      <c r="E82" s="61"/>
      <c r="F82" s="61"/>
      <c r="G82" s="61"/>
      <c r="H82" s="61"/>
      <c r="I82" s="100"/>
      <c r="J82" s="100"/>
      <c r="K82" s="61"/>
      <c r="L82" s="61"/>
      <c r="M82" s="61"/>
      <c r="N82" s="107"/>
    </row>
    <row r="83">
      <c r="A83" s="65"/>
      <c r="B83" s="65"/>
      <c r="C83" s="65"/>
      <c r="D83" s="65"/>
      <c r="E83" s="65"/>
      <c r="F83" s="65"/>
      <c r="G83" s="65"/>
      <c r="H83" s="65"/>
      <c r="I83" s="103"/>
      <c r="J83" s="103"/>
      <c r="K83" s="65"/>
      <c r="L83" s="65"/>
      <c r="M83" s="65"/>
      <c r="N83" s="108"/>
    </row>
    <row r="84">
      <c r="A84" s="61"/>
      <c r="B84" s="61"/>
      <c r="C84" s="61"/>
      <c r="D84" s="61"/>
      <c r="E84" s="61"/>
      <c r="F84" s="61"/>
      <c r="G84" s="61"/>
      <c r="H84" s="61"/>
      <c r="I84" s="100"/>
      <c r="J84" s="100"/>
      <c r="K84" s="61"/>
      <c r="L84" s="61"/>
      <c r="M84" s="61"/>
      <c r="N84" s="107"/>
    </row>
    <row r="85">
      <c r="A85" s="65"/>
      <c r="B85" s="65"/>
      <c r="C85" s="65"/>
      <c r="D85" s="65"/>
      <c r="E85" s="65"/>
      <c r="F85" s="65"/>
      <c r="G85" s="65"/>
      <c r="H85" s="65"/>
      <c r="I85" s="103"/>
      <c r="J85" s="103"/>
      <c r="K85" s="65"/>
      <c r="L85" s="65"/>
      <c r="M85" s="65"/>
      <c r="N85" s="108"/>
    </row>
    <row r="86">
      <c r="A86" s="61"/>
      <c r="B86" s="61"/>
      <c r="C86" s="61"/>
      <c r="D86" s="61"/>
      <c r="E86" s="61"/>
      <c r="F86" s="61"/>
      <c r="G86" s="61"/>
      <c r="H86" s="61"/>
      <c r="I86" s="100"/>
      <c r="J86" s="100"/>
      <c r="K86" s="61"/>
      <c r="L86" s="61"/>
      <c r="M86" s="61"/>
      <c r="N86" s="107"/>
    </row>
    <row r="87">
      <c r="A87" s="65"/>
      <c r="B87" s="65"/>
      <c r="C87" s="65"/>
      <c r="D87" s="65"/>
      <c r="E87" s="65"/>
      <c r="F87" s="65"/>
      <c r="G87" s="65"/>
      <c r="H87" s="65"/>
      <c r="I87" s="103"/>
      <c r="J87" s="103"/>
      <c r="K87" s="65"/>
      <c r="L87" s="65"/>
      <c r="M87" s="65"/>
      <c r="N87" s="108"/>
    </row>
    <row r="88">
      <c r="A88" s="61"/>
      <c r="B88" s="61"/>
      <c r="C88" s="61"/>
      <c r="D88" s="61"/>
      <c r="E88" s="61"/>
      <c r="F88" s="61"/>
      <c r="G88" s="61"/>
      <c r="H88" s="61"/>
      <c r="I88" s="100"/>
      <c r="J88" s="100"/>
      <c r="K88" s="61"/>
      <c r="L88" s="61"/>
      <c r="M88" s="61"/>
      <c r="N88" s="107"/>
    </row>
    <row r="89">
      <c r="A89" s="65"/>
      <c r="B89" s="65"/>
      <c r="C89" s="65"/>
      <c r="D89" s="65"/>
      <c r="E89" s="65"/>
      <c r="F89" s="65"/>
      <c r="G89" s="65"/>
      <c r="H89" s="65"/>
      <c r="I89" s="103"/>
      <c r="J89" s="103"/>
      <c r="K89" s="65"/>
      <c r="L89" s="65"/>
      <c r="M89" s="65"/>
      <c r="N89" s="108"/>
    </row>
    <row r="90">
      <c r="A90" s="61"/>
      <c r="B90" s="61"/>
      <c r="C90" s="61"/>
      <c r="D90" s="61"/>
      <c r="E90" s="61"/>
      <c r="F90" s="61"/>
      <c r="G90" s="61"/>
      <c r="H90" s="61"/>
      <c r="I90" s="100"/>
      <c r="J90" s="100"/>
      <c r="K90" s="61"/>
      <c r="L90" s="61"/>
      <c r="M90" s="61"/>
      <c r="N90" s="107"/>
    </row>
    <row r="91">
      <c r="A91" s="65"/>
      <c r="B91" s="65"/>
      <c r="C91" s="65"/>
      <c r="D91" s="65"/>
      <c r="E91" s="65"/>
      <c r="F91" s="65"/>
      <c r="G91" s="65"/>
      <c r="H91" s="65"/>
      <c r="I91" s="103"/>
      <c r="J91" s="103"/>
      <c r="K91" s="65"/>
      <c r="L91" s="65"/>
      <c r="M91" s="65"/>
      <c r="N91" s="108"/>
    </row>
    <row r="92">
      <c r="A92" s="61"/>
      <c r="B92" s="61"/>
      <c r="C92" s="61"/>
      <c r="D92" s="61"/>
      <c r="E92" s="61"/>
      <c r="F92" s="61"/>
      <c r="G92" s="61"/>
      <c r="H92" s="61"/>
      <c r="I92" s="100"/>
      <c r="J92" s="100"/>
      <c r="K92" s="61"/>
      <c r="L92" s="61"/>
      <c r="M92" s="61"/>
      <c r="N92" s="107"/>
    </row>
    <row r="93">
      <c r="A93" s="65"/>
      <c r="B93" s="65"/>
      <c r="C93" s="65"/>
      <c r="D93" s="65"/>
      <c r="E93" s="65"/>
      <c r="F93" s="65"/>
      <c r="G93" s="65"/>
      <c r="H93" s="65"/>
      <c r="I93" s="103"/>
      <c r="J93" s="103"/>
      <c r="K93" s="65"/>
      <c r="L93" s="65"/>
      <c r="M93" s="65"/>
      <c r="N93" s="108"/>
    </row>
    <row r="94">
      <c r="A94" s="61"/>
      <c r="B94" s="61"/>
      <c r="C94" s="61"/>
      <c r="D94" s="61"/>
      <c r="E94" s="61"/>
      <c r="F94" s="61"/>
      <c r="G94" s="61"/>
      <c r="H94" s="61"/>
      <c r="I94" s="100"/>
      <c r="J94" s="100"/>
      <c r="K94" s="61"/>
      <c r="L94" s="61"/>
      <c r="M94" s="61"/>
      <c r="N94" s="107"/>
    </row>
    <row r="95">
      <c r="A95" s="65"/>
      <c r="B95" s="65"/>
      <c r="C95" s="65"/>
      <c r="D95" s="65"/>
      <c r="E95" s="65"/>
      <c r="F95" s="65"/>
      <c r="G95" s="65"/>
      <c r="H95" s="65"/>
      <c r="I95" s="103"/>
      <c r="J95" s="103"/>
      <c r="K95" s="65"/>
      <c r="L95" s="65"/>
      <c r="M95" s="65"/>
      <c r="N95" s="108"/>
    </row>
    <row r="96">
      <c r="A96" s="61"/>
      <c r="B96" s="61"/>
      <c r="C96" s="61"/>
      <c r="D96" s="61"/>
      <c r="E96" s="61"/>
      <c r="F96" s="61"/>
      <c r="G96" s="61"/>
      <c r="H96" s="61"/>
      <c r="I96" s="100"/>
      <c r="J96" s="100"/>
      <c r="K96" s="61"/>
      <c r="L96" s="61"/>
      <c r="M96" s="61"/>
      <c r="N96" s="107"/>
    </row>
    <row r="97">
      <c r="A97" s="65"/>
      <c r="B97" s="65"/>
      <c r="C97" s="65"/>
      <c r="D97" s="65"/>
      <c r="E97" s="65"/>
      <c r="F97" s="65"/>
      <c r="G97" s="65"/>
      <c r="H97" s="65"/>
      <c r="I97" s="103"/>
      <c r="J97" s="103"/>
      <c r="K97" s="65"/>
      <c r="L97" s="65"/>
      <c r="M97" s="65"/>
      <c r="N97" s="108"/>
    </row>
    <row r="98">
      <c r="A98" s="61"/>
      <c r="B98" s="61"/>
      <c r="C98" s="61"/>
      <c r="D98" s="61"/>
      <c r="E98" s="61"/>
      <c r="F98" s="61"/>
      <c r="G98" s="61"/>
      <c r="H98" s="61"/>
      <c r="I98" s="100"/>
      <c r="J98" s="100"/>
      <c r="K98" s="61"/>
      <c r="L98" s="61"/>
      <c r="M98" s="61"/>
      <c r="N98" s="107"/>
    </row>
    <row r="99">
      <c r="A99" s="65"/>
      <c r="B99" s="65"/>
      <c r="C99" s="65"/>
      <c r="D99" s="65"/>
      <c r="E99" s="65"/>
      <c r="F99" s="65"/>
      <c r="G99" s="65"/>
      <c r="H99" s="65"/>
      <c r="I99" s="103"/>
      <c r="J99" s="103"/>
      <c r="K99" s="65"/>
      <c r="L99" s="65"/>
      <c r="M99" s="65"/>
      <c r="N99" s="108"/>
    </row>
    <row r="100">
      <c r="A100" s="61"/>
      <c r="B100" s="61"/>
      <c r="C100" s="61"/>
      <c r="D100" s="61"/>
      <c r="E100" s="61"/>
      <c r="F100" s="61"/>
      <c r="G100" s="61"/>
      <c r="H100" s="61"/>
      <c r="I100" s="100"/>
      <c r="J100" s="100"/>
      <c r="K100" s="61"/>
      <c r="L100" s="61"/>
      <c r="M100" s="61"/>
      <c r="N100" s="107"/>
    </row>
    <row r="101">
      <c r="A101" s="65"/>
      <c r="B101" s="65"/>
      <c r="C101" s="65"/>
      <c r="D101" s="65"/>
      <c r="E101" s="65"/>
      <c r="F101" s="65"/>
      <c r="G101" s="65"/>
      <c r="H101" s="65"/>
      <c r="I101" s="103"/>
      <c r="J101" s="103"/>
      <c r="K101" s="65"/>
      <c r="L101" s="65"/>
      <c r="M101" s="65"/>
      <c r="N101" s="108"/>
    </row>
    <row r="102">
      <c r="A102" s="61"/>
      <c r="B102" s="61"/>
      <c r="C102" s="61"/>
      <c r="D102" s="61"/>
      <c r="E102" s="61"/>
      <c r="F102" s="61"/>
      <c r="G102" s="61"/>
      <c r="H102" s="61"/>
      <c r="I102" s="100"/>
      <c r="J102" s="100"/>
      <c r="K102" s="61"/>
      <c r="L102" s="61"/>
      <c r="M102" s="61"/>
      <c r="N102" s="107"/>
    </row>
    <row r="103">
      <c r="A103" s="65"/>
      <c r="B103" s="65"/>
      <c r="C103" s="65"/>
      <c r="D103" s="65"/>
      <c r="E103" s="65"/>
      <c r="F103" s="65"/>
      <c r="G103" s="65"/>
      <c r="H103" s="65"/>
      <c r="I103" s="103"/>
      <c r="J103" s="103"/>
      <c r="K103" s="65"/>
      <c r="L103" s="65"/>
      <c r="M103" s="65"/>
      <c r="N103" s="108"/>
    </row>
    <row r="104">
      <c r="A104" s="61"/>
      <c r="B104" s="61"/>
      <c r="C104" s="61"/>
      <c r="D104" s="61"/>
      <c r="E104" s="61"/>
      <c r="F104" s="61"/>
      <c r="G104" s="61"/>
      <c r="H104" s="61"/>
      <c r="I104" s="100"/>
      <c r="J104" s="100"/>
      <c r="K104" s="61"/>
      <c r="L104" s="61"/>
      <c r="M104" s="61"/>
      <c r="N104" s="107"/>
    </row>
    <row r="105">
      <c r="A105" s="65"/>
      <c r="B105" s="65"/>
      <c r="C105" s="65"/>
      <c r="D105" s="65"/>
      <c r="E105" s="65"/>
      <c r="F105" s="65"/>
      <c r="G105" s="65"/>
      <c r="H105" s="65"/>
      <c r="I105" s="103"/>
      <c r="J105" s="103"/>
      <c r="K105" s="65"/>
      <c r="L105" s="65"/>
      <c r="M105" s="65"/>
      <c r="N105" s="108"/>
    </row>
    <row r="106">
      <c r="A106" s="61"/>
      <c r="B106" s="61"/>
      <c r="C106" s="61"/>
      <c r="D106" s="61"/>
      <c r="E106" s="61"/>
      <c r="F106" s="61"/>
      <c r="G106" s="61"/>
      <c r="H106" s="61"/>
      <c r="I106" s="100"/>
      <c r="J106" s="100"/>
      <c r="K106" s="61"/>
      <c r="L106" s="61"/>
      <c r="M106" s="61"/>
      <c r="N106" s="107"/>
    </row>
    <row r="107">
      <c r="A107" s="65"/>
      <c r="B107" s="65"/>
      <c r="C107" s="65"/>
      <c r="D107" s="65"/>
      <c r="E107" s="65"/>
      <c r="F107" s="65"/>
      <c r="G107" s="65"/>
      <c r="H107" s="65"/>
      <c r="I107" s="103"/>
      <c r="J107" s="103"/>
      <c r="K107" s="65"/>
      <c r="L107" s="65"/>
      <c r="M107" s="65"/>
      <c r="N107" s="108"/>
    </row>
    <row r="108">
      <c r="A108" s="61"/>
      <c r="B108" s="61"/>
      <c r="C108" s="61"/>
      <c r="D108" s="61"/>
      <c r="E108" s="61"/>
      <c r="F108" s="61"/>
      <c r="G108" s="61"/>
      <c r="H108" s="61"/>
      <c r="I108" s="100"/>
      <c r="J108" s="100"/>
      <c r="K108" s="61"/>
      <c r="L108" s="61"/>
      <c r="M108" s="61"/>
      <c r="N108" s="107"/>
    </row>
    <row r="109">
      <c r="A109" s="65"/>
      <c r="B109" s="65"/>
      <c r="C109" s="65"/>
      <c r="D109" s="65"/>
      <c r="E109" s="65"/>
      <c r="F109" s="65"/>
      <c r="G109" s="65"/>
      <c r="H109" s="65"/>
      <c r="I109" s="103"/>
      <c r="J109" s="103"/>
      <c r="K109" s="65"/>
      <c r="L109" s="65"/>
      <c r="M109" s="65"/>
      <c r="N109" s="108"/>
    </row>
    <row r="110">
      <c r="A110" s="61"/>
      <c r="B110" s="61"/>
      <c r="C110" s="61"/>
      <c r="D110" s="61"/>
      <c r="E110" s="61"/>
      <c r="F110" s="61"/>
      <c r="G110" s="61"/>
      <c r="H110" s="61"/>
      <c r="I110" s="100"/>
      <c r="J110" s="100"/>
      <c r="K110" s="61"/>
      <c r="L110" s="61"/>
      <c r="M110" s="61"/>
      <c r="N110" s="107"/>
    </row>
    <row r="111">
      <c r="A111" s="65"/>
      <c r="B111" s="65"/>
      <c r="C111" s="65"/>
      <c r="D111" s="65"/>
      <c r="E111" s="65"/>
      <c r="F111" s="65"/>
      <c r="G111" s="65"/>
      <c r="H111" s="65"/>
      <c r="I111" s="103"/>
      <c r="J111" s="103"/>
      <c r="K111" s="65"/>
      <c r="L111" s="65"/>
      <c r="M111" s="65"/>
      <c r="N111" s="108"/>
    </row>
    <row r="112">
      <c r="A112" s="61"/>
      <c r="B112" s="61"/>
      <c r="C112" s="61"/>
      <c r="D112" s="61"/>
      <c r="E112" s="61"/>
      <c r="F112" s="61"/>
      <c r="G112" s="61"/>
      <c r="H112" s="61"/>
      <c r="I112" s="100"/>
      <c r="J112" s="100"/>
      <c r="K112" s="61"/>
      <c r="L112" s="61"/>
      <c r="M112" s="61"/>
      <c r="N112" s="107"/>
    </row>
    <row r="113">
      <c r="A113" s="65"/>
      <c r="B113" s="65"/>
      <c r="C113" s="65"/>
      <c r="D113" s="65"/>
      <c r="E113" s="65"/>
      <c r="F113" s="65"/>
      <c r="G113" s="65"/>
      <c r="H113" s="65"/>
      <c r="I113" s="103"/>
      <c r="J113" s="103"/>
      <c r="K113" s="65"/>
      <c r="L113" s="65"/>
      <c r="M113" s="65"/>
      <c r="N113" s="108"/>
    </row>
    <row r="114">
      <c r="A114" s="61"/>
      <c r="B114" s="61"/>
      <c r="C114" s="61"/>
      <c r="D114" s="61"/>
      <c r="E114" s="61"/>
      <c r="F114" s="61"/>
      <c r="G114" s="61"/>
      <c r="H114" s="61"/>
      <c r="I114" s="100"/>
      <c r="J114" s="100"/>
      <c r="K114" s="61"/>
      <c r="L114" s="61"/>
      <c r="M114" s="61"/>
      <c r="N114" s="107"/>
    </row>
    <row r="115">
      <c r="A115" s="65"/>
      <c r="B115" s="65"/>
      <c r="C115" s="65"/>
      <c r="D115" s="65"/>
      <c r="E115" s="65"/>
      <c r="F115" s="65"/>
      <c r="G115" s="65"/>
      <c r="H115" s="65"/>
      <c r="I115" s="103"/>
      <c r="J115" s="103"/>
      <c r="K115" s="65"/>
      <c r="L115" s="65"/>
      <c r="M115" s="65"/>
      <c r="N115" s="108"/>
    </row>
    <row r="116">
      <c r="A116" s="61"/>
      <c r="B116" s="61"/>
      <c r="C116" s="61"/>
      <c r="D116" s="61"/>
      <c r="E116" s="61"/>
      <c r="F116" s="61"/>
      <c r="G116" s="61"/>
      <c r="H116" s="61"/>
      <c r="I116" s="100"/>
      <c r="J116" s="100"/>
      <c r="K116" s="61"/>
      <c r="L116" s="61"/>
      <c r="M116" s="61"/>
      <c r="N116" s="107"/>
    </row>
    <row r="117">
      <c r="A117" s="65"/>
      <c r="B117" s="65"/>
      <c r="C117" s="65"/>
      <c r="D117" s="65"/>
      <c r="E117" s="65"/>
      <c r="F117" s="65"/>
      <c r="G117" s="65"/>
      <c r="H117" s="65"/>
      <c r="I117" s="103"/>
      <c r="J117" s="103"/>
      <c r="K117" s="65"/>
      <c r="L117" s="65"/>
      <c r="M117" s="65"/>
      <c r="N117" s="108"/>
    </row>
    <row r="118">
      <c r="A118" s="61"/>
      <c r="B118" s="61"/>
      <c r="C118" s="61"/>
      <c r="D118" s="61"/>
      <c r="E118" s="61"/>
      <c r="F118" s="61"/>
      <c r="G118" s="61"/>
      <c r="H118" s="61"/>
      <c r="I118" s="100"/>
      <c r="J118" s="100"/>
      <c r="K118" s="61"/>
      <c r="L118" s="61"/>
      <c r="M118" s="61"/>
      <c r="N118" s="107"/>
    </row>
    <row r="119">
      <c r="A119" s="65"/>
      <c r="B119" s="65"/>
      <c r="C119" s="65"/>
      <c r="D119" s="65"/>
      <c r="E119" s="65"/>
      <c r="F119" s="65"/>
      <c r="G119" s="65"/>
      <c r="H119" s="65"/>
      <c r="I119" s="103"/>
      <c r="J119" s="103"/>
      <c r="K119" s="65"/>
      <c r="L119" s="65"/>
      <c r="M119" s="65"/>
      <c r="N119" s="108"/>
    </row>
    <row r="120">
      <c r="A120" s="61"/>
      <c r="B120" s="61"/>
      <c r="C120" s="61"/>
      <c r="D120" s="61"/>
      <c r="E120" s="61"/>
      <c r="F120" s="61"/>
      <c r="G120" s="61"/>
      <c r="H120" s="61"/>
      <c r="I120" s="100"/>
      <c r="J120" s="100"/>
      <c r="K120" s="61"/>
      <c r="L120" s="61"/>
      <c r="M120" s="61"/>
      <c r="N120" s="107"/>
    </row>
    <row r="121">
      <c r="A121" s="65"/>
      <c r="B121" s="65"/>
      <c r="C121" s="65"/>
      <c r="D121" s="65"/>
      <c r="E121" s="65"/>
      <c r="F121" s="65"/>
      <c r="G121" s="65"/>
      <c r="H121" s="65"/>
      <c r="I121" s="103"/>
      <c r="J121" s="103"/>
      <c r="K121" s="65"/>
      <c r="L121" s="65"/>
      <c r="M121" s="65"/>
      <c r="N121" s="108"/>
    </row>
    <row r="122">
      <c r="A122" s="61"/>
      <c r="B122" s="61"/>
      <c r="C122" s="61"/>
      <c r="D122" s="61"/>
      <c r="E122" s="61"/>
      <c r="F122" s="61"/>
      <c r="G122" s="61"/>
      <c r="H122" s="61"/>
      <c r="I122" s="100"/>
      <c r="J122" s="100"/>
      <c r="K122" s="61"/>
      <c r="L122" s="61"/>
      <c r="M122" s="61"/>
      <c r="N122" s="107"/>
    </row>
    <row r="123">
      <c r="A123" s="65"/>
      <c r="B123" s="65"/>
      <c r="C123" s="65"/>
      <c r="D123" s="65"/>
      <c r="E123" s="65"/>
      <c r="F123" s="65"/>
      <c r="G123" s="65"/>
      <c r="H123" s="65"/>
      <c r="I123" s="103"/>
      <c r="J123" s="103"/>
      <c r="K123" s="65"/>
      <c r="L123" s="65"/>
      <c r="M123" s="65"/>
      <c r="N123" s="108"/>
    </row>
    <row r="124">
      <c r="A124" s="61"/>
      <c r="B124" s="61"/>
      <c r="C124" s="61"/>
      <c r="D124" s="61"/>
      <c r="E124" s="61"/>
      <c r="F124" s="61"/>
      <c r="G124" s="61"/>
      <c r="H124" s="61"/>
      <c r="I124" s="100"/>
      <c r="J124" s="100"/>
      <c r="K124" s="61"/>
      <c r="L124" s="61"/>
      <c r="M124" s="61"/>
      <c r="N124" s="107"/>
    </row>
    <row r="125">
      <c r="A125" s="65"/>
      <c r="B125" s="65"/>
      <c r="C125" s="65"/>
      <c r="D125" s="65"/>
      <c r="E125" s="65"/>
      <c r="F125" s="65"/>
      <c r="G125" s="65"/>
      <c r="H125" s="65"/>
      <c r="I125" s="103"/>
      <c r="J125" s="103"/>
      <c r="K125" s="65"/>
      <c r="L125" s="65"/>
      <c r="M125" s="65"/>
      <c r="N125" s="108"/>
    </row>
    <row r="126">
      <c r="A126" s="61"/>
      <c r="B126" s="61"/>
      <c r="C126" s="61"/>
      <c r="D126" s="61"/>
      <c r="E126" s="61"/>
      <c r="F126" s="61"/>
      <c r="G126" s="61"/>
      <c r="H126" s="61"/>
      <c r="I126" s="100"/>
      <c r="J126" s="100"/>
      <c r="K126" s="61"/>
      <c r="L126" s="61"/>
      <c r="M126" s="61"/>
      <c r="N126" s="107"/>
    </row>
    <row r="127">
      <c r="A127" s="65"/>
      <c r="B127" s="65"/>
      <c r="C127" s="65"/>
      <c r="D127" s="65"/>
      <c r="E127" s="65"/>
      <c r="F127" s="65"/>
      <c r="G127" s="65"/>
      <c r="H127" s="65"/>
      <c r="I127" s="103"/>
      <c r="J127" s="103"/>
      <c r="K127" s="65"/>
      <c r="L127" s="65"/>
      <c r="M127" s="65"/>
      <c r="N127" s="108"/>
    </row>
    <row r="128">
      <c r="A128" s="61"/>
      <c r="B128" s="61"/>
      <c r="C128" s="61"/>
      <c r="D128" s="61"/>
      <c r="E128" s="61"/>
      <c r="F128" s="61"/>
      <c r="G128" s="61"/>
      <c r="H128" s="61"/>
      <c r="I128" s="100"/>
      <c r="J128" s="100"/>
      <c r="K128" s="61"/>
      <c r="L128" s="61"/>
      <c r="M128" s="61"/>
      <c r="N128" s="107"/>
    </row>
    <row r="129">
      <c r="A129" s="65"/>
      <c r="B129" s="65"/>
      <c r="C129" s="65"/>
      <c r="D129" s="65"/>
      <c r="E129" s="65"/>
      <c r="F129" s="65"/>
      <c r="G129" s="65"/>
      <c r="H129" s="65"/>
      <c r="I129" s="103"/>
      <c r="J129" s="103"/>
      <c r="K129" s="65"/>
      <c r="L129" s="65"/>
      <c r="M129" s="65"/>
      <c r="N129" s="108"/>
    </row>
    <row r="130">
      <c r="A130" s="61"/>
      <c r="B130" s="61"/>
      <c r="C130" s="61"/>
      <c r="D130" s="61"/>
      <c r="E130" s="61"/>
      <c r="F130" s="61"/>
      <c r="G130" s="61"/>
      <c r="H130" s="61"/>
      <c r="I130" s="100"/>
      <c r="J130" s="100"/>
      <c r="K130" s="61"/>
      <c r="L130" s="61"/>
      <c r="M130" s="61"/>
      <c r="N130" s="107"/>
    </row>
    <row r="131">
      <c r="A131" s="65"/>
      <c r="B131" s="65"/>
      <c r="C131" s="65"/>
      <c r="D131" s="65"/>
      <c r="E131" s="65"/>
      <c r="F131" s="65"/>
      <c r="G131" s="65"/>
      <c r="H131" s="65"/>
      <c r="I131" s="103"/>
      <c r="J131" s="103"/>
      <c r="K131" s="65"/>
      <c r="L131" s="65"/>
      <c r="M131" s="65"/>
      <c r="N131" s="108"/>
    </row>
    <row r="132">
      <c r="A132" s="61"/>
      <c r="B132" s="61"/>
      <c r="C132" s="61"/>
      <c r="D132" s="61"/>
      <c r="E132" s="61"/>
      <c r="F132" s="61"/>
      <c r="G132" s="61"/>
      <c r="H132" s="61"/>
      <c r="I132" s="100"/>
      <c r="J132" s="100"/>
      <c r="K132" s="61"/>
      <c r="L132" s="61"/>
      <c r="M132" s="61"/>
      <c r="N132" s="107"/>
    </row>
    <row r="133">
      <c r="A133" s="65"/>
      <c r="B133" s="65"/>
      <c r="C133" s="65"/>
      <c r="D133" s="65"/>
      <c r="E133" s="65"/>
      <c r="F133" s="65"/>
      <c r="G133" s="65"/>
      <c r="H133" s="65"/>
      <c r="I133" s="103"/>
      <c r="J133" s="103"/>
      <c r="K133" s="65"/>
      <c r="L133" s="65"/>
      <c r="M133" s="65"/>
      <c r="N133" s="108"/>
    </row>
    <row r="134">
      <c r="A134" s="61"/>
      <c r="B134" s="61"/>
      <c r="C134" s="61"/>
      <c r="D134" s="61"/>
      <c r="E134" s="61"/>
      <c r="F134" s="61"/>
      <c r="G134" s="61"/>
      <c r="H134" s="61"/>
      <c r="I134" s="100"/>
      <c r="J134" s="100"/>
      <c r="K134" s="61"/>
      <c r="L134" s="61"/>
      <c r="M134" s="61"/>
      <c r="N134" s="107"/>
    </row>
    <row r="135">
      <c r="A135" s="65"/>
      <c r="B135" s="65"/>
      <c r="C135" s="65"/>
      <c r="D135" s="65"/>
      <c r="E135" s="65"/>
      <c r="F135" s="65"/>
      <c r="G135" s="65"/>
      <c r="H135" s="65"/>
      <c r="I135" s="103"/>
      <c r="J135" s="103"/>
      <c r="K135" s="65"/>
      <c r="L135" s="65"/>
      <c r="M135" s="65"/>
      <c r="N135" s="108"/>
    </row>
    <row r="136">
      <c r="A136" s="61"/>
      <c r="B136" s="61"/>
      <c r="C136" s="61"/>
      <c r="D136" s="61"/>
      <c r="E136" s="61"/>
      <c r="F136" s="61"/>
      <c r="G136" s="61"/>
      <c r="H136" s="61"/>
      <c r="I136" s="100"/>
      <c r="J136" s="100"/>
      <c r="K136" s="61"/>
      <c r="L136" s="61"/>
      <c r="M136" s="61"/>
      <c r="N136" s="107"/>
    </row>
    <row r="137">
      <c r="A137" s="65"/>
      <c r="B137" s="65"/>
      <c r="C137" s="65"/>
      <c r="D137" s="65"/>
      <c r="E137" s="65"/>
      <c r="F137" s="65"/>
      <c r="G137" s="65"/>
      <c r="H137" s="65"/>
      <c r="I137" s="103"/>
      <c r="J137" s="103"/>
      <c r="K137" s="65"/>
      <c r="L137" s="65"/>
      <c r="M137" s="65"/>
      <c r="N137" s="108"/>
    </row>
    <row r="138">
      <c r="A138" s="61"/>
      <c r="B138" s="61"/>
      <c r="C138" s="61"/>
      <c r="D138" s="61"/>
      <c r="E138" s="61"/>
      <c r="F138" s="61"/>
      <c r="G138" s="61"/>
      <c r="H138" s="61"/>
      <c r="I138" s="100"/>
      <c r="J138" s="100"/>
      <c r="K138" s="61"/>
      <c r="L138" s="61"/>
      <c r="M138" s="61"/>
      <c r="N138" s="107"/>
    </row>
    <row r="139">
      <c r="A139" s="65"/>
      <c r="B139" s="65"/>
      <c r="C139" s="65"/>
      <c r="D139" s="65"/>
      <c r="E139" s="65"/>
      <c r="F139" s="65"/>
      <c r="G139" s="65"/>
      <c r="H139" s="65"/>
      <c r="I139" s="103"/>
      <c r="J139" s="103"/>
      <c r="K139" s="65"/>
      <c r="L139" s="65"/>
      <c r="M139" s="65"/>
      <c r="N139" s="108"/>
    </row>
    <row r="140">
      <c r="A140" s="61"/>
      <c r="B140" s="61"/>
      <c r="C140" s="61"/>
      <c r="D140" s="61"/>
      <c r="E140" s="61"/>
      <c r="F140" s="61"/>
      <c r="G140" s="61"/>
      <c r="H140" s="61"/>
      <c r="I140" s="100"/>
      <c r="J140" s="100"/>
      <c r="K140" s="61"/>
      <c r="L140" s="61"/>
      <c r="M140" s="61"/>
      <c r="N140" s="107"/>
    </row>
    <row r="141">
      <c r="A141" s="65"/>
      <c r="B141" s="65"/>
      <c r="C141" s="65"/>
      <c r="D141" s="65"/>
      <c r="E141" s="65"/>
      <c r="F141" s="65"/>
      <c r="G141" s="65"/>
      <c r="H141" s="65"/>
      <c r="I141" s="103"/>
      <c r="J141" s="103"/>
      <c r="K141" s="65"/>
      <c r="L141" s="65"/>
      <c r="M141" s="65"/>
      <c r="N141" s="108"/>
    </row>
    <row r="142">
      <c r="A142" s="61"/>
      <c r="B142" s="61"/>
      <c r="C142" s="61"/>
      <c r="D142" s="61"/>
      <c r="E142" s="61"/>
      <c r="F142" s="61"/>
      <c r="G142" s="61"/>
      <c r="H142" s="61"/>
      <c r="I142" s="100"/>
      <c r="J142" s="100"/>
      <c r="K142" s="61"/>
      <c r="L142" s="61"/>
      <c r="M142" s="61"/>
      <c r="N142" s="107"/>
    </row>
    <row r="143">
      <c r="A143" s="65"/>
      <c r="B143" s="65"/>
      <c r="C143" s="65"/>
      <c r="D143" s="65"/>
      <c r="E143" s="65"/>
      <c r="F143" s="65"/>
      <c r="G143" s="65"/>
      <c r="H143" s="65"/>
      <c r="I143" s="103"/>
      <c r="J143" s="103"/>
      <c r="K143" s="65"/>
      <c r="L143" s="65"/>
      <c r="M143" s="65"/>
      <c r="N143" s="108"/>
    </row>
    <row r="144">
      <c r="A144" s="61"/>
      <c r="B144" s="61"/>
      <c r="C144" s="61"/>
      <c r="D144" s="61"/>
      <c r="E144" s="61"/>
      <c r="F144" s="61"/>
      <c r="G144" s="61"/>
      <c r="H144" s="61"/>
      <c r="I144" s="100"/>
      <c r="J144" s="100"/>
      <c r="K144" s="61"/>
      <c r="L144" s="61"/>
      <c r="M144" s="61"/>
      <c r="N144" s="107"/>
    </row>
    <row r="145">
      <c r="A145" s="65"/>
      <c r="B145" s="65"/>
      <c r="C145" s="65"/>
      <c r="D145" s="65"/>
      <c r="E145" s="65"/>
      <c r="F145" s="65"/>
      <c r="G145" s="65"/>
      <c r="H145" s="65"/>
      <c r="I145" s="103"/>
      <c r="J145" s="103"/>
      <c r="K145" s="65"/>
      <c r="L145" s="65"/>
      <c r="M145" s="65"/>
      <c r="N145" s="108"/>
    </row>
    <row r="146">
      <c r="A146" s="61"/>
      <c r="B146" s="61"/>
      <c r="C146" s="61"/>
      <c r="D146" s="61"/>
      <c r="E146" s="61"/>
      <c r="F146" s="61"/>
      <c r="G146" s="61"/>
      <c r="H146" s="61"/>
      <c r="I146" s="100"/>
      <c r="J146" s="100"/>
      <c r="K146" s="61"/>
      <c r="L146" s="61"/>
      <c r="M146" s="61"/>
      <c r="N146" s="107"/>
    </row>
    <row r="147">
      <c r="A147" s="65"/>
      <c r="B147" s="65"/>
      <c r="C147" s="65"/>
      <c r="D147" s="65"/>
      <c r="E147" s="65"/>
      <c r="F147" s="65"/>
      <c r="G147" s="65"/>
      <c r="H147" s="65"/>
      <c r="I147" s="103"/>
      <c r="J147" s="103"/>
      <c r="K147" s="65"/>
      <c r="L147" s="65"/>
      <c r="M147" s="65"/>
      <c r="N147" s="108"/>
    </row>
    <row r="148">
      <c r="A148" s="61"/>
      <c r="B148" s="61"/>
      <c r="C148" s="61"/>
      <c r="D148" s="61"/>
      <c r="E148" s="61"/>
      <c r="F148" s="61"/>
      <c r="G148" s="61"/>
      <c r="H148" s="61"/>
      <c r="I148" s="100"/>
      <c r="J148" s="100"/>
      <c r="K148" s="61"/>
      <c r="L148" s="61"/>
      <c r="M148" s="61"/>
      <c r="N148" s="107"/>
    </row>
    <row r="149">
      <c r="A149" s="65"/>
      <c r="B149" s="65"/>
      <c r="C149" s="65"/>
      <c r="D149" s="65"/>
      <c r="E149" s="65"/>
      <c r="F149" s="65"/>
      <c r="G149" s="65"/>
      <c r="H149" s="65"/>
      <c r="I149" s="103"/>
      <c r="J149" s="103"/>
      <c r="K149" s="65"/>
      <c r="L149" s="65"/>
      <c r="M149" s="65"/>
      <c r="N149" s="108"/>
    </row>
    <row r="150">
      <c r="A150" s="61"/>
      <c r="B150" s="61"/>
      <c r="C150" s="61"/>
      <c r="D150" s="61"/>
      <c r="E150" s="61"/>
      <c r="F150" s="61"/>
      <c r="G150" s="61"/>
      <c r="H150" s="61"/>
      <c r="I150" s="100"/>
      <c r="J150" s="100"/>
      <c r="K150" s="61"/>
      <c r="L150" s="61"/>
      <c r="M150" s="61"/>
      <c r="N150" s="107"/>
    </row>
    <row r="151">
      <c r="A151" s="65"/>
      <c r="B151" s="65"/>
      <c r="C151" s="65"/>
      <c r="D151" s="65"/>
      <c r="E151" s="65"/>
      <c r="F151" s="65"/>
      <c r="G151" s="65"/>
      <c r="H151" s="65"/>
      <c r="I151" s="103"/>
      <c r="J151" s="103"/>
      <c r="K151" s="65"/>
      <c r="L151" s="65"/>
      <c r="M151" s="65"/>
      <c r="N151" s="108"/>
    </row>
    <row r="152">
      <c r="A152" s="61"/>
      <c r="B152" s="61"/>
      <c r="C152" s="61"/>
      <c r="D152" s="61"/>
      <c r="E152" s="61"/>
      <c r="F152" s="61"/>
      <c r="G152" s="61"/>
      <c r="H152" s="61"/>
      <c r="I152" s="100"/>
      <c r="J152" s="100"/>
      <c r="K152" s="61"/>
      <c r="L152" s="61"/>
      <c r="M152" s="61"/>
      <c r="N152" s="107"/>
    </row>
    <row r="153">
      <c r="A153" s="65"/>
      <c r="B153" s="65"/>
      <c r="C153" s="65"/>
      <c r="D153" s="65"/>
      <c r="E153" s="65"/>
      <c r="F153" s="65"/>
      <c r="G153" s="65"/>
      <c r="H153" s="65"/>
      <c r="I153" s="103"/>
      <c r="J153" s="103"/>
      <c r="K153" s="65"/>
      <c r="L153" s="65"/>
      <c r="M153" s="65"/>
      <c r="N153" s="108"/>
    </row>
    <row r="154">
      <c r="A154" s="61"/>
      <c r="B154" s="61"/>
      <c r="C154" s="61"/>
      <c r="D154" s="61"/>
      <c r="E154" s="61"/>
      <c r="F154" s="61"/>
      <c r="G154" s="61"/>
      <c r="H154" s="61"/>
      <c r="I154" s="100"/>
      <c r="J154" s="100"/>
      <c r="K154" s="61"/>
      <c r="L154" s="61"/>
      <c r="M154" s="61"/>
      <c r="N154" s="107"/>
    </row>
    <row r="155">
      <c r="A155" s="65"/>
      <c r="B155" s="65"/>
      <c r="C155" s="65"/>
      <c r="D155" s="65"/>
      <c r="E155" s="65"/>
      <c r="F155" s="65"/>
      <c r="G155" s="65"/>
      <c r="H155" s="65"/>
      <c r="I155" s="103"/>
      <c r="J155" s="103"/>
      <c r="K155" s="65"/>
      <c r="L155" s="65"/>
      <c r="M155" s="65"/>
      <c r="N155" s="108"/>
    </row>
    <row r="156">
      <c r="A156" s="61"/>
      <c r="B156" s="61"/>
      <c r="C156" s="61"/>
      <c r="D156" s="61"/>
      <c r="E156" s="61"/>
      <c r="F156" s="61"/>
      <c r="G156" s="61"/>
      <c r="H156" s="61"/>
      <c r="I156" s="100"/>
      <c r="J156" s="100"/>
      <c r="K156" s="61"/>
      <c r="L156" s="61"/>
      <c r="M156" s="61"/>
      <c r="N156" s="107"/>
    </row>
    <row r="157">
      <c r="A157" s="65"/>
      <c r="B157" s="65"/>
      <c r="C157" s="65"/>
      <c r="D157" s="65"/>
      <c r="E157" s="65"/>
      <c r="F157" s="65"/>
      <c r="G157" s="65"/>
      <c r="H157" s="65"/>
      <c r="I157" s="103"/>
      <c r="J157" s="103"/>
      <c r="K157" s="65"/>
      <c r="L157" s="65"/>
      <c r="M157" s="65"/>
      <c r="N157" s="108"/>
    </row>
    <row r="158">
      <c r="A158" s="61"/>
      <c r="B158" s="61"/>
      <c r="C158" s="61"/>
      <c r="D158" s="61"/>
      <c r="E158" s="61"/>
      <c r="F158" s="61"/>
      <c r="G158" s="61"/>
      <c r="H158" s="61"/>
      <c r="I158" s="100"/>
      <c r="J158" s="100"/>
      <c r="K158" s="61"/>
      <c r="L158" s="61"/>
      <c r="M158" s="61"/>
      <c r="N158" s="107"/>
    </row>
    <row r="159">
      <c r="A159" s="65"/>
      <c r="B159" s="65"/>
      <c r="C159" s="65"/>
      <c r="D159" s="65"/>
      <c r="E159" s="65"/>
      <c r="F159" s="65"/>
      <c r="G159" s="65"/>
      <c r="H159" s="65"/>
      <c r="I159" s="103"/>
      <c r="J159" s="103"/>
      <c r="K159" s="65"/>
      <c r="L159" s="65"/>
      <c r="M159" s="65"/>
      <c r="N159" s="108"/>
    </row>
    <row r="160">
      <c r="A160" s="61"/>
      <c r="B160" s="61"/>
      <c r="C160" s="61"/>
      <c r="D160" s="61"/>
      <c r="E160" s="61"/>
      <c r="F160" s="61"/>
      <c r="G160" s="61"/>
      <c r="H160" s="61"/>
      <c r="I160" s="100"/>
      <c r="J160" s="100"/>
      <c r="K160" s="61"/>
      <c r="L160" s="61"/>
      <c r="M160" s="61"/>
      <c r="N160" s="107"/>
    </row>
    <row r="161">
      <c r="A161" s="65"/>
      <c r="B161" s="65"/>
      <c r="C161" s="65"/>
      <c r="D161" s="65"/>
      <c r="E161" s="65"/>
      <c r="F161" s="65"/>
      <c r="G161" s="65"/>
      <c r="H161" s="65"/>
      <c r="I161" s="103"/>
      <c r="J161" s="103"/>
      <c r="K161" s="65"/>
      <c r="L161" s="65"/>
      <c r="M161" s="65"/>
      <c r="N161" s="108"/>
    </row>
    <row r="162">
      <c r="A162" s="61"/>
      <c r="B162" s="61"/>
      <c r="C162" s="61"/>
      <c r="D162" s="61"/>
      <c r="E162" s="61"/>
      <c r="F162" s="61"/>
      <c r="G162" s="61"/>
      <c r="H162" s="61"/>
      <c r="I162" s="100"/>
      <c r="J162" s="100"/>
      <c r="K162" s="61"/>
      <c r="L162" s="61"/>
      <c r="M162" s="61"/>
      <c r="N162" s="107"/>
    </row>
    <row r="163">
      <c r="A163" s="65"/>
      <c r="B163" s="65"/>
      <c r="C163" s="65"/>
      <c r="D163" s="65"/>
      <c r="E163" s="65"/>
      <c r="F163" s="65"/>
      <c r="G163" s="65"/>
      <c r="H163" s="65"/>
      <c r="I163" s="103"/>
      <c r="J163" s="103"/>
      <c r="K163" s="65"/>
      <c r="L163" s="65"/>
      <c r="M163" s="65"/>
      <c r="N163" s="108"/>
    </row>
    <row r="164">
      <c r="A164" s="61"/>
      <c r="B164" s="61"/>
      <c r="C164" s="61"/>
      <c r="D164" s="61"/>
      <c r="E164" s="61"/>
      <c r="F164" s="61"/>
      <c r="G164" s="61"/>
      <c r="H164" s="61"/>
      <c r="I164" s="100"/>
      <c r="J164" s="100"/>
      <c r="K164" s="61"/>
      <c r="L164" s="61"/>
      <c r="M164" s="61"/>
      <c r="N164" s="107"/>
    </row>
    <row r="165">
      <c r="A165" s="65"/>
      <c r="B165" s="65"/>
      <c r="C165" s="65"/>
      <c r="D165" s="65"/>
      <c r="E165" s="65"/>
      <c r="F165" s="65"/>
      <c r="G165" s="65"/>
      <c r="H165" s="65"/>
      <c r="I165" s="103"/>
      <c r="J165" s="103"/>
      <c r="K165" s="65"/>
      <c r="L165" s="65"/>
      <c r="M165" s="65"/>
      <c r="N165" s="108"/>
    </row>
    <row r="166">
      <c r="A166" s="61"/>
      <c r="B166" s="61"/>
      <c r="C166" s="61"/>
      <c r="D166" s="61"/>
      <c r="E166" s="61"/>
      <c r="F166" s="61"/>
      <c r="G166" s="61"/>
      <c r="H166" s="61"/>
      <c r="I166" s="100"/>
      <c r="J166" s="100"/>
      <c r="K166" s="61"/>
      <c r="L166" s="61"/>
      <c r="M166" s="61"/>
      <c r="N166" s="107"/>
    </row>
    <row r="167">
      <c r="A167" s="65"/>
      <c r="B167" s="65"/>
      <c r="C167" s="65"/>
      <c r="D167" s="65"/>
      <c r="E167" s="65"/>
      <c r="F167" s="65"/>
      <c r="G167" s="65"/>
      <c r="H167" s="65"/>
      <c r="I167" s="103"/>
      <c r="J167" s="103"/>
      <c r="K167" s="65"/>
      <c r="L167" s="65"/>
      <c r="M167" s="65"/>
      <c r="N167" s="108"/>
    </row>
    <row r="168">
      <c r="A168" s="61"/>
      <c r="B168" s="61"/>
      <c r="C168" s="61"/>
      <c r="D168" s="61"/>
      <c r="E168" s="61"/>
      <c r="F168" s="61"/>
      <c r="G168" s="61"/>
      <c r="H168" s="61"/>
      <c r="I168" s="100"/>
      <c r="J168" s="100"/>
      <c r="K168" s="61"/>
      <c r="L168" s="61"/>
      <c r="M168" s="61"/>
      <c r="N168" s="107"/>
    </row>
    <row r="169">
      <c r="A169" s="65"/>
      <c r="B169" s="65"/>
      <c r="C169" s="65"/>
      <c r="D169" s="65"/>
      <c r="E169" s="65"/>
      <c r="F169" s="65"/>
      <c r="G169" s="65"/>
      <c r="H169" s="65"/>
      <c r="I169" s="103"/>
      <c r="J169" s="103"/>
      <c r="K169" s="65"/>
      <c r="L169" s="65"/>
      <c r="M169" s="65"/>
      <c r="N169" s="108"/>
    </row>
    <row r="170">
      <c r="A170" s="61"/>
      <c r="B170" s="61"/>
      <c r="C170" s="61"/>
      <c r="D170" s="61"/>
      <c r="E170" s="61"/>
      <c r="F170" s="61"/>
      <c r="G170" s="61"/>
      <c r="H170" s="61"/>
      <c r="I170" s="100"/>
      <c r="J170" s="100"/>
      <c r="K170" s="61"/>
      <c r="L170" s="61"/>
      <c r="M170" s="61"/>
      <c r="N170" s="107"/>
    </row>
    <row r="171">
      <c r="A171" s="65"/>
      <c r="B171" s="65"/>
      <c r="C171" s="65"/>
      <c r="D171" s="65"/>
      <c r="E171" s="65"/>
      <c r="F171" s="65"/>
      <c r="G171" s="65"/>
      <c r="H171" s="65"/>
      <c r="I171" s="103"/>
      <c r="J171" s="103"/>
      <c r="K171" s="65"/>
      <c r="L171" s="65"/>
      <c r="M171" s="65"/>
      <c r="N171" s="108"/>
    </row>
    <row r="172">
      <c r="A172" s="61"/>
      <c r="B172" s="61"/>
      <c r="C172" s="61"/>
      <c r="D172" s="61"/>
      <c r="E172" s="61"/>
      <c r="F172" s="61"/>
      <c r="G172" s="61"/>
      <c r="H172" s="61"/>
      <c r="I172" s="100"/>
      <c r="J172" s="100"/>
      <c r="K172" s="61"/>
      <c r="L172" s="61"/>
      <c r="M172" s="61"/>
      <c r="N172" s="107"/>
    </row>
    <row r="173">
      <c r="A173" s="65"/>
      <c r="B173" s="65"/>
      <c r="C173" s="65"/>
      <c r="D173" s="65"/>
      <c r="E173" s="65"/>
      <c r="F173" s="65"/>
      <c r="G173" s="65"/>
      <c r="H173" s="65"/>
      <c r="I173" s="103"/>
      <c r="J173" s="103"/>
      <c r="K173" s="65"/>
      <c r="L173" s="65"/>
      <c r="M173" s="65"/>
      <c r="N173" s="108"/>
    </row>
    <row r="174">
      <c r="A174" s="61"/>
      <c r="B174" s="61"/>
      <c r="C174" s="61"/>
      <c r="D174" s="61"/>
      <c r="E174" s="61"/>
      <c r="F174" s="61"/>
      <c r="G174" s="61"/>
      <c r="H174" s="61"/>
      <c r="I174" s="100"/>
      <c r="J174" s="100"/>
      <c r="K174" s="61"/>
      <c r="L174" s="61"/>
      <c r="M174" s="61"/>
      <c r="N174" s="107"/>
    </row>
    <row r="175">
      <c r="A175" s="65"/>
      <c r="B175" s="65"/>
      <c r="C175" s="65"/>
      <c r="D175" s="65"/>
      <c r="E175" s="65"/>
      <c r="F175" s="65"/>
      <c r="G175" s="65"/>
      <c r="H175" s="65"/>
      <c r="I175" s="103"/>
      <c r="J175" s="103"/>
      <c r="K175" s="65"/>
      <c r="L175" s="65"/>
      <c r="M175" s="65"/>
      <c r="N175" s="108"/>
    </row>
    <row r="176">
      <c r="A176" s="61"/>
      <c r="B176" s="61"/>
      <c r="C176" s="61"/>
      <c r="D176" s="61"/>
      <c r="E176" s="61"/>
      <c r="F176" s="61"/>
      <c r="G176" s="61"/>
      <c r="H176" s="61"/>
      <c r="I176" s="100"/>
      <c r="J176" s="100"/>
      <c r="K176" s="61"/>
      <c r="L176" s="61"/>
      <c r="M176" s="61"/>
      <c r="N176" s="107"/>
    </row>
    <row r="177">
      <c r="A177" s="65"/>
      <c r="B177" s="65"/>
      <c r="C177" s="65"/>
      <c r="D177" s="65"/>
      <c r="E177" s="65"/>
      <c r="F177" s="65"/>
      <c r="G177" s="65"/>
      <c r="H177" s="65"/>
      <c r="I177" s="103"/>
      <c r="J177" s="103"/>
      <c r="K177" s="65"/>
      <c r="L177" s="65"/>
      <c r="M177" s="65"/>
      <c r="N177" s="108"/>
    </row>
    <row r="178">
      <c r="A178" s="61"/>
      <c r="B178" s="61"/>
      <c r="C178" s="61"/>
      <c r="D178" s="61"/>
      <c r="E178" s="61"/>
      <c r="F178" s="61"/>
      <c r="G178" s="61"/>
      <c r="H178" s="61"/>
      <c r="I178" s="100"/>
      <c r="J178" s="100"/>
      <c r="K178" s="61"/>
      <c r="L178" s="61"/>
      <c r="M178" s="61"/>
      <c r="N178" s="107"/>
    </row>
    <row r="179">
      <c r="A179" s="65"/>
      <c r="B179" s="65"/>
      <c r="C179" s="65"/>
      <c r="D179" s="65"/>
      <c r="E179" s="65"/>
      <c r="F179" s="65"/>
      <c r="G179" s="65"/>
      <c r="H179" s="65"/>
      <c r="I179" s="103"/>
      <c r="J179" s="103"/>
      <c r="K179" s="65"/>
      <c r="L179" s="65"/>
      <c r="M179" s="65"/>
      <c r="N179" s="108"/>
    </row>
    <row r="180">
      <c r="A180" s="61"/>
      <c r="B180" s="61"/>
      <c r="C180" s="61"/>
      <c r="D180" s="61"/>
      <c r="E180" s="61"/>
      <c r="F180" s="61"/>
      <c r="G180" s="61"/>
      <c r="H180" s="61"/>
      <c r="I180" s="100"/>
      <c r="J180" s="100"/>
      <c r="K180" s="61"/>
      <c r="L180" s="61"/>
      <c r="M180" s="61"/>
      <c r="N180" s="107"/>
    </row>
    <row r="181">
      <c r="A181" s="65"/>
      <c r="B181" s="65"/>
      <c r="C181" s="65"/>
      <c r="D181" s="65"/>
      <c r="E181" s="65"/>
      <c r="F181" s="65"/>
      <c r="G181" s="65"/>
      <c r="H181" s="65"/>
      <c r="I181" s="103"/>
      <c r="J181" s="103"/>
      <c r="K181" s="65"/>
      <c r="L181" s="65"/>
      <c r="M181" s="65"/>
      <c r="N181" s="108"/>
    </row>
    <row r="182">
      <c r="A182" s="61"/>
      <c r="B182" s="61"/>
      <c r="C182" s="61"/>
      <c r="D182" s="61"/>
      <c r="E182" s="61"/>
      <c r="F182" s="61"/>
      <c r="G182" s="61"/>
      <c r="H182" s="61"/>
      <c r="I182" s="100"/>
      <c r="J182" s="100"/>
      <c r="K182" s="61"/>
      <c r="L182" s="61"/>
      <c r="M182" s="61"/>
      <c r="N182" s="107"/>
    </row>
    <row r="183">
      <c r="A183" s="65"/>
      <c r="B183" s="65"/>
      <c r="C183" s="65"/>
      <c r="D183" s="65"/>
      <c r="E183" s="65"/>
      <c r="F183" s="65"/>
      <c r="G183" s="65"/>
      <c r="H183" s="65"/>
      <c r="I183" s="103"/>
      <c r="J183" s="103"/>
      <c r="K183" s="65"/>
      <c r="L183" s="65"/>
      <c r="M183" s="65"/>
      <c r="N183" s="108"/>
    </row>
    <row r="184">
      <c r="A184" s="61"/>
      <c r="B184" s="61"/>
      <c r="C184" s="61"/>
      <c r="D184" s="61"/>
      <c r="E184" s="61"/>
      <c r="F184" s="61"/>
      <c r="G184" s="61"/>
      <c r="H184" s="61"/>
      <c r="I184" s="100"/>
      <c r="J184" s="100"/>
      <c r="K184" s="61"/>
      <c r="L184" s="61"/>
      <c r="M184" s="61"/>
      <c r="N184" s="107"/>
    </row>
    <row r="185">
      <c r="A185" s="65"/>
      <c r="B185" s="65"/>
      <c r="C185" s="65"/>
      <c r="D185" s="65"/>
      <c r="E185" s="65"/>
      <c r="F185" s="65"/>
      <c r="G185" s="65"/>
      <c r="H185" s="65"/>
      <c r="I185" s="103"/>
      <c r="J185" s="103"/>
      <c r="K185" s="65"/>
      <c r="L185" s="65"/>
      <c r="M185" s="65"/>
      <c r="N185" s="108"/>
    </row>
    <row r="186">
      <c r="A186" s="61"/>
      <c r="B186" s="61"/>
      <c r="C186" s="61"/>
      <c r="D186" s="61"/>
      <c r="E186" s="61"/>
      <c r="F186" s="61"/>
      <c r="G186" s="61"/>
      <c r="H186" s="61"/>
      <c r="I186" s="100"/>
      <c r="J186" s="100"/>
      <c r="K186" s="61"/>
      <c r="L186" s="61"/>
      <c r="M186" s="61"/>
      <c r="N186" s="107"/>
    </row>
    <row r="187">
      <c r="A187" s="65"/>
      <c r="B187" s="65"/>
      <c r="C187" s="65"/>
      <c r="D187" s="65"/>
      <c r="E187" s="65"/>
      <c r="F187" s="65"/>
      <c r="G187" s="65"/>
      <c r="H187" s="65"/>
      <c r="I187" s="103"/>
      <c r="J187" s="103"/>
      <c r="K187" s="65"/>
      <c r="L187" s="65"/>
      <c r="M187" s="65"/>
      <c r="N187" s="108"/>
    </row>
    <row r="188">
      <c r="A188" s="61"/>
      <c r="B188" s="61"/>
      <c r="C188" s="61"/>
      <c r="D188" s="61"/>
      <c r="E188" s="61"/>
      <c r="F188" s="61"/>
      <c r="G188" s="61"/>
      <c r="H188" s="61"/>
      <c r="I188" s="100"/>
      <c r="J188" s="100"/>
      <c r="K188" s="61"/>
      <c r="L188" s="61"/>
      <c r="M188" s="61"/>
      <c r="N188" s="107"/>
    </row>
    <row r="189">
      <c r="A189" s="65"/>
      <c r="B189" s="65"/>
      <c r="C189" s="65"/>
      <c r="D189" s="65"/>
      <c r="E189" s="65"/>
      <c r="F189" s="65"/>
      <c r="G189" s="65"/>
      <c r="H189" s="65"/>
      <c r="I189" s="103"/>
      <c r="J189" s="103"/>
      <c r="K189" s="65"/>
      <c r="L189" s="65"/>
      <c r="M189" s="65"/>
      <c r="N189" s="108"/>
    </row>
    <row r="190">
      <c r="A190" s="61"/>
      <c r="B190" s="61"/>
      <c r="C190" s="61"/>
      <c r="D190" s="61"/>
      <c r="E190" s="61"/>
      <c r="F190" s="61"/>
      <c r="G190" s="61"/>
      <c r="H190" s="61"/>
      <c r="I190" s="100"/>
      <c r="J190" s="100"/>
      <c r="K190" s="61"/>
      <c r="L190" s="61"/>
      <c r="M190" s="61"/>
      <c r="N190" s="107"/>
    </row>
    <row r="191">
      <c r="A191" s="65"/>
      <c r="B191" s="65"/>
      <c r="C191" s="65"/>
      <c r="D191" s="65"/>
      <c r="E191" s="65"/>
      <c r="F191" s="65"/>
      <c r="G191" s="65"/>
      <c r="H191" s="65"/>
      <c r="I191" s="103"/>
      <c r="J191" s="103"/>
      <c r="K191" s="65"/>
      <c r="L191" s="65"/>
      <c r="M191" s="65"/>
      <c r="N191" s="108"/>
    </row>
    <row r="192">
      <c r="A192" s="61"/>
      <c r="B192" s="61"/>
      <c r="C192" s="61"/>
      <c r="D192" s="61"/>
      <c r="E192" s="61"/>
      <c r="F192" s="61"/>
      <c r="G192" s="61"/>
      <c r="H192" s="61"/>
      <c r="I192" s="100"/>
      <c r="J192" s="100"/>
      <c r="K192" s="61"/>
      <c r="L192" s="61"/>
      <c r="M192" s="61"/>
      <c r="N192" s="107"/>
    </row>
    <row r="193">
      <c r="A193" s="65"/>
      <c r="B193" s="65"/>
      <c r="C193" s="65"/>
      <c r="D193" s="65"/>
      <c r="E193" s="65"/>
      <c r="F193" s="65"/>
      <c r="G193" s="65"/>
      <c r="H193" s="65"/>
      <c r="I193" s="103"/>
      <c r="J193" s="103"/>
      <c r="K193" s="65"/>
      <c r="L193" s="65"/>
      <c r="M193" s="65"/>
      <c r="N193" s="108"/>
    </row>
    <row r="194">
      <c r="A194" s="61"/>
      <c r="B194" s="61"/>
      <c r="C194" s="61"/>
      <c r="D194" s="61"/>
      <c r="E194" s="61"/>
      <c r="F194" s="61"/>
      <c r="G194" s="61"/>
      <c r="H194" s="61"/>
      <c r="I194" s="100"/>
      <c r="J194" s="100"/>
      <c r="K194" s="61"/>
      <c r="L194" s="61"/>
      <c r="M194" s="61"/>
      <c r="N194" s="107"/>
    </row>
    <row r="195">
      <c r="A195" s="65"/>
      <c r="B195" s="65"/>
      <c r="C195" s="65"/>
      <c r="D195" s="65"/>
      <c r="E195" s="65"/>
      <c r="F195" s="65"/>
      <c r="G195" s="65"/>
      <c r="H195" s="65"/>
      <c r="I195" s="103"/>
      <c r="J195" s="103"/>
      <c r="K195" s="65"/>
      <c r="L195" s="65"/>
      <c r="M195" s="65"/>
      <c r="N195" s="108"/>
    </row>
    <row r="196">
      <c r="A196" s="61"/>
      <c r="B196" s="61"/>
      <c r="C196" s="61"/>
      <c r="D196" s="61"/>
      <c r="E196" s="61"/>
      <c r="F196" s="61"/>
      <c r="G196" s="61"/>
      <c r="H196" s="61"/>
      <c r="I196" s="100"/>
      <c r="J196" s="100"/>
      <c r="K196" s="61"/>
      <c r="L196" s="61"/>
      <c r="M196" s="61"/>
      <c r="N196" s="107"/>
    </row>
    <row r="197">
      <c r="A197" s="65"/>
      <c r="B197" s="65"/>
      <c r="C197" s="65"/>
      <c r="D197" s="65"/>
      <c r="E197" s="65"/>
      <c r="F197" s="65"/>
      <c r="G197" s="65"/>
      <c r="H197" s="65"/>
      <c r="I197" s="103"/>
      <c r="J197" s="103"/>
      <c r="K197" s="65"/>
      <c r="L197" s="65"/>
      <c r="M197" s="65"/>
      <c r="N197" s="108"/>
    </row>
    <row r="198">
      <c r="A198" s="61"/>
      <c r="B198" s="61"/>
      <c r="C198" s="61"/>
      <c r="D198" s="61"/>
      <c r="E198" s="61"/>
      <c r="F198" s="61"/>
      <c r="G198" s="61"/>
      <c r="H198" s="61"/>
      <c r="I198" s="100"/>
      <c r="J198" s="100"/>
      <c r="K198" s="61"/>
      <c r="L198" s="61"/>
      <c r="M198" s="61"/>
      <c r="N198" s="107"/>
    </row>
    <row r="199">
      <c r="A199" s="65"/>
      <c r="B199" s="65"/>
      <c r="C199" s="65"/>
      <c r="D199" s="65"/>
      <c r="E199" s="65"/>
      <c r="F199" s="65"/>
      <c r="G199" s="65"/>
      <c r="H199" s="65"/>
      <c r="I199" s="103"/>
      <c r="J199" s="103"/>
      <c r="K199" s="65"/>
      <c r="L199" s="65"/>
      <c r="M199" s="65"/>
      <c r="N199" s="108"/>
    </row>
    <row r="200">
      <c r="A200" s="61"/>
      <c r="B200" s="61"/>
      <c r="C200" s="61"/>
      <c r="D200" s="61"/>
      <c r="E200" s="61"/>
      <c r="F200" s="61"/>
      <c r="G200" s="61"/>
      <c r="H200" s="61"/>
      <c r="I200" s="100"/>
      <c r="J200" s="100"/>
      <c r="K200" s="61"/>
      <c r="L200" s="61"/>
      <c r="M200" s="61"/>
      <c r="N200" s="107"/>
    </row>
    <row r="201">
      <c r="A201" s="65"/>
      <c r="B201" s="65"/>
      <c r="C201" s="65"/>
      <c r="D201" s="65"/>
      <c r="E201" s="65"/>
      <c r="F201" s="65"/>
      <c r="G201" s="65"/>
      <c r="H201" s="65"/>
      <c r="I201" s="103"/>
      <c r="J201" s="103"/>
      <c r="K201" s="65"/>
      <c r="L201" s="65"/>
      <c r="M201" s="65"/>
      <c r="N201" s="108"/>
    </row>
    <row r="202">
      <c r="A202" s="61"/>
      <c r="B202" s="61"/>
      <c r="C202" s="61"/>
      <c r="D202" s="61"/>
      <c r="E202" s="61"/>
      <c r="F202" s="61"/>
      <c r="G202" s="61"/>
      <c r="H202" s="61"/>
      <c r="I202" s="100"/>
      <c r="J202" s="100"/>
      <c r="K202" s="61"/>
      <c r="L202" s="61"/>
      <c r="M202" s="61"/>
      <c r="N202" s="107"/>
    </row>
    <row r="203">
      <c r="A203" s="65"/>
      <c r="B203" s="65"/>
      <c r="C203" s="65"/>
      <c r="D203" s="65"/>
      <c r="E203" s="65"/>
      <c r="F203" s="65"/>
      <c r="G203" s="65"/>
      <c r="H203" s="65"/>
      <c r="I203" s="103"/>
      <c r="J203" s="103"/>
      <c r="K203" s="65"/>
      <c r="L203" s="65"/>
      <c r="M203" s="65"/>
      <c r="N203" s="108"/>
    </row>
    <row r="204">
      <c r="A204" s="61"/>
      <c r="B204" s="61"/>
      <c r="C204" s="61"/>
      <c r="D204" s="61"/>
      <c r="E204" s="61"/>
      <c r="F204" s="61"/>
      <c r="G204" s="61"/>
      <c r="H204" s="61"/>
      <c r="I204" s="100"/>
      <c r="J204" s="100"/>
      <c r="K204" s="61"/>
      <c r="L204" s="61"/>
      <c r="M204" s="61"/>
      <c r="N204" s="107"/>
    </row>
    <row r="205">
      <c r="A205" s="65"/>
      <c r="B205" s="65"/>
      <c r="C205" s="65"/>
      <c r="D205" s="65"/>
      <c r="E205" s="65"/>
      <c r="F205" s="65"/>
      <c r="G205" s="65"/>
      <c r="H205" s="65"/>
      <c r="I205" s="103"/>
      <c r="J205" s="103"/>
      <c r="K205" s="65"/>
      <c r="L205" s="65"/>
      <c r="M205" s="65"/>
      <c r="N205" s="108"/>
    </row>
    <row r="206">
      <c r="A206" s="61"/>
      <c r="B206" s="61"/>
      <c r="C206" s="61"/>
      <c r="D206" s="61"/>
      <c r="E206" s="61"/>
      <c r="F206" s="61"/>
      <c r="G206" s="61"/>
      <c r="H206" s="61"/>
      <c r="I206" s="100"/>
      <c r="J206" s="100"/>
      <c r="K206" s="61"/>
      <c r="L206" s="61"/>
      <c r="M206" s="61"/>
      <c r="N206" s="107"/>
    </row>
    <row r="207">
      <c r="A207" s="65"/>
      <c r="B207" s="65"/>
      <c r="C207" s="65"/>
      <c r="D207" s="65"/>
      <c r="E207" s="65"/>
      <c r="F207" s="65"/>
      <c r="G207" s="65"/>
      <c r="H207" s="65"/>
      <c r="I207" s="103"/>
      <c r="J207" s="103"/>
      <c r="K207" s="65"/>
      <c r="L207" s="65"/>
      <c r="M207" s="65"/>
      <c r="N207" s="108"/>
    </row>
    <row r="208">
      <c r="A208" s="61"/>
      <c r="B208" s="61"/>
      <c r="C208" s="61"/>
      <c r="D208" s="61"/>
      <c r="E208" s="61"/>
      <c r="F208" s="61"/>
      <c r="G208" s="61"/>
      <c r="H208" s="61"/>
      <c r="I208" s="100"/>
      <c r="J208" s="100"/>
      <c r="K208" s="61"/>
      <c r="L208" s="61"/>
      <c r="M208" s="61"/>
      <c r="N208" s="107"/>
    </row>
    <row r="209">
      <c r="A209" s="65"/>
      <c r="B209" s="65"/>
      <c r="C209" s="65"/>
      <c r="D209" s="65"/>
      <c r="E209" s="65"/>
      <c r="F209" s="65"/>
      <c r="G209" s="65"/>
      <c r="H209" s="65"/>
      <c r="I209" s="103"/>
      <c r="J209" s="103"/>
      <c r="K209" s="65"/>
      <c r="L209" s="65"/>
      <c r="M209" s="65"/>
      <c r="N209" s="108"/>
    </row>
    <row r="210">
      <c r="A210" s="61"/>
      <c r="B210" s="61"/>
      <c r="C210" s="61"/>
      <c r="D210" s="61"/>
      <c r="E210" s="61"/>
      <c r="F210" s="61"/>
      <c r="G210" s="61"/>
      <c r="H210" s="61"/>
      <c r="I210" s="100"/>
      <c r="J210" s="100"/>
      <c r="K210" s="61"/>
      <c r="L210" s="61"/>
      <c r="M210" s="61"/>
      <c r="N210" s="107"/>
    </row>
    <row r="211">
      <c r="A211" s="65"/>
      <c r="B211" s="65"/>
      <c r="C211" s="65"/>
      <c r="D211" s="65"/>
      <c r="E211" s="65"/>
      <c r="F211" s="65"/>
      <c r="G211" s="65"/>
      <c r="H211" s="65"/>
      <c r="I211" s="103"/>
      <c r="J211" s="103"/>
      <c r="K211" s="65"/>
      <c r="L211" s="65"/>
      <c r="M211" s="65"/>
      <c r="N211" s="108"/>
    </row>
    <row r="212">
      <c r="A212" s="61"/>
      <c r="B212" s="61"/>
      <c r="C212" s="61"/>
      <c r="D212" s="61"/>
      <c r="E212" s="61"/>
      <c r="F212" s="61"/>
      <c r="G212" s="61"/>
      <c r="H212" s="61"/>
      <c r="I212" s="100"/>
      <c r="J212" s="100"/>
      <c r="K212" s="61"/>
      <c r="L212" s="61"/>
      <c r="M212" s="61"/>
      <c r="N212" s="107"/>
    </row>
    <row r="213">
      <c r="A213" s="65"/>
      <c r="B213" s="65"/>
      <c r="C213" s="65"/>
      <c r="D213" s="65"/>
      <c r="E213" s="65"/>
      <c r="F213" s="65"/>
      <c r="G213" s="65"/>
      <c r="H213" s="65"/>
      <c r="I213" s="103"/>
      <c r="J213" s="103"/>
      <c r="K213" s="65"/>
      <c r="L213" s="65"/>
      <c r="M213" s="65"/>
      <c r="N213" s="108"/>
    </row>
    <row r="214">
      <c r="A214" s="61"/>
      <c r="B214" s="61"/>
      <c r="C214" s="61"/>
      <c r="D214" s="61"/>
      <c r="E214" s="61"/>
      <c r="F214" s="61"/>
      <c r="G214" s="61"/>
      <c r="H214" s="61"/>
      <c r="I214" s="100"/>
      <c r="J214" s="100"/>
      <c r="K214" s="61"/>
      <c r="L214" s="61"/>
      <c r="M214" s="61"/>
      <c r="N214" s="107"/>
    </row>
    <row r="215">
      <c r="A215" s="65"/>
      <c r="B215" s="65"/>
      <c r="C215" s="65"/>
      <c r="D215" s="65"/>
      <c r="E215" s="65"/>
      <c r="F215" s="65"/>
      <c r="G215" s="65"/>
      <c r="H215" s="65"/>
      <c r="I215" s="103"/>
      <c r="J215" s="103"/>
      <c r="K215" s="65"/>
      <c r="L215" s="65"/>
      <c r="M215" s="65"/>
      <c r="N215" s="108"/>
    </row>
    <row r="216">
      <c r="A216" s="61"/>
      <c r="B216" s="61"/>
      <c r="C216" s="61"/>
      <c r="D216" s="61"/>
      <c r="E216" s="61"/>
      <c r="F216" s="61"/>
      <c r="G216" s="61"/>
      <c r="H216" s="61"/>
      <c r="I216" s="100"/>
      <c r="J216" s="100"/>
      <c r="K216" s="61"/>
      <c r="L216" s="61"/>
      <c r="M216" s="61"/>
      <c r="N216" s="107"/>
    </row>
    <row r="217">
      <c r="A217" s="65"/>
      <c r="B217" s="65"/>
      <c r="C217" s="65"/>
      <c r="D217" s="65"/>
      <c r="E217" s="65"/>
      <c r="F217" s="65"/>
      <c r="G217" s="65"/>
      <c r="H217" s="65"/>
      <c r="I217" s="103"/>
      <c r="J217" s="103"/>
      <c r="K217" s="65"/>
      <c r="L217" s="65"/>
      <c r="M217" s="65"/>
      <c r="N217" s="108"/>
    </row>
    <row r="218">
      <c r="A218" s="61"/>
      <c r="B218" s="61"/>
      <c r="C218" s="61"/>
      <c r="D218" s="61"/>
      <c r="E218" s="61"/>
      <c r="F218" s="61"/>
      <c r="G218" s="61"/>
      <c r="H218" s="61"/>
      <c r="I218" s="100"/>
      <c r="J218" s="100"/>
      <c r="K218" s="61"/>
      <c r="L218" s="61"/>
      <c r="M218" s="61"/>
      <c r="N218" s="107"/>
    </row>
    <row r="219">
      <c r="A219" s="65"/>
      <c r="B219" s="65"/>
      <c r="C219" s="65"/>
      <c r="D219" s="65"/>
      <c r="E219" s="65"/>
      <c r="F219" s="65"/>
      <c r="G219" s="65"/>
      <c r="H219" s="65"/>
      <c r="I219" s="103"/>
      <c r="J219" s="103"/>
      <c r="K219" s="65"/>
      <c r="L219" s="65"/>
      <c r="M219" s="65"/>
      <c r="N219" s="108"/>
    </row>
    <row r="220">
      <c r="A220" s="61"/>
      <c r="B220" s="61"/>
      <c r="C220" s="61"/>
      <c r="D220" s="61"/>
      <c r="E220" s="61"/>
      <c r="F220" s="61"/>
      <c r="G220" s="61"/>
      <c r="H220" s="61"/>
      <c r="I220" s="100"/>
      <c r="J220" s="100"/>
      <c r="K220" s="61"/>
      <c r="L220" s="61"/>
      <c r="M220" s="61"/>
      <c r="N220" s="107"/>
    </row>
    <row r="221">
      <c r="A221" s="65"/>
      <c r="B221" s="65"/>
      <c r="C221" s="65"/>
      <c r="D221" s="65"/>
      <c r="E221" s="65"/>
      <c r="F221" s="65"/>
      <c r="G221" s="65"/>
      <c r="H221" s="65"/>
      <c r="I221" s="103"/>
      <c r="J221" s="103"/>
      <c r="K221" s="65"/>
      <c r="L221" s="65"/>
      <c r="M221" s="65"/>
      <c r="N221" s="108"/>
    </row>
    <row r="222">
      <c r="A222" s="61"/>
      <c r="B222" s="61"/>
      <c r="C222" s="61"/>
      <c r="D222" s="61"/>
      <c r="E222" s="61"/>
      <c r="F222" s="61"/>
      <c r="G222" s="61"/>
      <c r="H222" s="61"/>
      <c r="I222" s="100"/>
      <c r="J222" s="100"/>
      <c r="K222" s="61"/>
      <c r="L222" s="61"/>
      <c r="M222" s="61"/>
      <c r="N222" s="107"/>
    </row>
    <row r="223">
      <c r="A223" s="65"/>
      <c r="B223" s="65"/>
      <c r="C223" s="65"/>
      <c r="D223" s="65"/>
      <c r="E223" s="65"/>
      <c r="F223" s="65"/>
      <c r="G223" s="65"/>
      <c r="H223" s="65"/>
      <c r="I223" s="103"/>
      <c r="J223" s="103"/>
      <c r="K223" s="65"/>
      <c r="L223" s="65"/>
      <c r="M223" s="65"/>
      <c r="N223" s="108"/>
    </row>
    <row r="224">
      <c r="A224" s="61"/>
      <c r="B224" s="61"/>
      <c r="C224" s="61"/>
      <c r="D224" s="61"/>
      <c r="E224" s="61"/>
      <c r="F224" s="61"/>
      <c r="G224" s="61"/>
      <c r="H224" s="61"/>
      <c r="I224" s="100"/>
      <c r="J224" s="100"/>
      <c r="K224" s="61"/>
      <c r="L224" s="61"/>
      <c r="M224" s="61"/>
      <c r="N224" s="107"/>
    </row>
    <row r="225">
      <c r="A225" s="65"/>
      <c r="B225" s="65"/>
      <c r="C225" s="65"/>
      <c r="D225" s="65"/>
      <c r="E225" s="65"/>
      <c r="F225" s="65"/>
      <c r="G225" s="65"/>
      <c r="H225" s="65"/>
      <c r="I225" s="103"/>
      <c r="J225" s="103"/>
      <c r="K225" s="65"/>
      <c r="L225" s="65"/>
      <c r="M225" s="65"/>
      <c r="N225" s="108"/>
    </row>
    <row r="226">
      <c r="A226" s="61"/>
      <c r="B226" s="61"/>
      <c r="C226" s="61"/>
      <c r="D226" s="61"/>
      <c r="E226" s="61"/>
      <c r="F226" s="61"/>
      <c r="G226" s="61"/>
      <c r="H226" s="61"/>
      <c r="I226" s="100"/>
      <c r="J226" s="100"/>
      <c r="K226" s="61"/>
      <c r="L226" s="61"/>
      <c r="M226" s="61"/>
      <c r="N226" s="107"/>
    </row>
    <row r="227">
      <c r="A227" s="65"/>
      <c r="B227" s="65"/>
      <c r="C227" s="65"/>
      <c r="D227" s="65"/>
      <c r="E227" s="65"/>
      <c r="F227" s="65"/>
      <c r="G227" s="65"/>
      <c r="H227" s="65"/>
      <c r="I227" s="103"/>
      <c r="J227" s="103"/>
      <c r="K227" s="65"/>
      <c r="L227" s="65"/>
      <c r="M227" s="65"/>
      <c r="N227" s="108"/>
    </row>
    <row r="228">
      <c r="A228" s="61"/>
      <c r="B228" s="61"/>
      <c r="C228" s="61"/>
      <c r="D228" s="61"/>
      <c r="E228" s="61"/>
      <c r="F228" s="61"/>
      <c r="G228" s="61"/>
      <c r="H228" s="61"/>
      <c r="I228" s="100"/>
      <c r="J228" s="100"/>
      <c r="K228" s="61"/>
      <c r="L228" s="61"/>
      <c r="M228" s="61"/>
      <c r="N228" s="107"/>
    </row>
    <row r="229">
      <c r="A229" s="65"/>
      <c r="B229" s="65"/>
      <c r="C229" s="65"/>
      <c r="D229" s="65"/>
      <c r="E229" s="65"/>
      <c r="F229" s="65"/>
      <c r="G229" s="65"/>
      <c r="H229" s="65"/>
      <c r="I229" s="103"/>
      <c r="J229" s="103"/>
      <c r="K229" s="65"/>
      <c r="L229" s="65"/>
      <c r="M229" s="65"/>
      <c r="N229" s="108"/>
    </row>
    <row r="230">
      <c r="A230" s="61"/>
      <c r="B230" s="61"/>
      <c r="C230" s="61"/>
      <c r="D230" s="61"/>
      <c r="E230" s="61"/>
      <c r="F230" s="61"/>
      <c r="G230" s="61"/>
      <c r="H230" s="61"/>
      <c r="I230" s="100"/>
      <c r="J230" s="100"/>
      <c r="K230" s="61"/>
      <c r="L230" s="61"/>
      <c r="M230" s="61"/>
      <c r="N230" s="107"/>
    </row>
    <row r="231">
      <c r="A231" s="65"/>
      <c r="B231" s="65"/>
      <c r="C231" s="65"/>
      <c r="D231" s="65"/>
      <c r="E231" s="65"/>
      <c r="F231" s="65"/>
      <c r="G231" s="65"/>
      <c r="H231" s="65"/>
      <c r="I231" s="103"/>
      <c r="J231" s="103"/>
      <c r="K231" s="65"/>
      <c r="L231" s="65"/>
      <c r="M231" s="65"/>
      <c r="N231" s="108"/>
    </row>
    <row r="232">
      <c r="A232" s="61"/>
      <c r="B232" s="61"/>
      <c r="C232" s="61"/>
      <c r="D232" s="61"/>
      <c r="E232" s="61"/>
      <c r="F232" s="61"/>
      <c r="G232" s="61"/>
      <c r="H232" s="61"/>
      <c r="I232" s="100"/>
      <c r="J232" s="100"/>
      <c r="K232" s="61"/>
      <c r="L232" s="61"/>
      <c r="M232" s="61"/>
      <c r="N232" s="107"/>
    </row>
    <row r="233">
      <c r="A233" s="65"/>
      <c r="B233" s="65"/>
      <c r="C233" s="65"/>
      <c r="D233" s="65"/>
      <c r="E233" s="65"/>
      <c r="F233" s="65"/>
      <c r="G233" s="65"/>
      <c r="H233" s="65"/>
      <c r="I233" s="103"/>
      <c r="J233" s="103"/>
      <c r="K233" s="65"/>
      <c r="L233" s="65"/>
      <c r="M233" s="65"/>
      <c r="N233" s="108"/>
    </row>
    <row r="234">
      <c r="A234" s="61"/>
      <c r="B234" s="61"/>
      <c r="C234" s="61"/>
      <c r="D234" s="61"/>
      <c r="E234" s="61"/>
      <c r="F234" s="61"/>
      <c r="G234" s="61"/>
      <c r="H234" s="61"/>
      <c r="I234" s="100"/>
      <c r="J234" s="100"/>
      <c r="K234" s="61"/>
      <c r="L234" s="61"/>
      <c r="M234" s="61"/>
      <c r="N234" s="107"/>
    </row>
    <row r="235">
      <c r="A235" s="65"/>
      <c r="B235" s="65"/>
      <c r="C235" s="65"/>
      <c r="D235" s="65"/>
      <c r="E235" s="65"/>
      <c r="F235" s="65"/>
      <c r="G235" s="65"/>
      <c r="H235" s="65"/>
      <c r="I235" s="103"/>
      <c r="J235" s="103"/>
      <c r="K235" s="65"/>
      <c r="L235" s="65"/>
      <c r="M235" s="65"/>
      <c r="N235" s="108"/>
    </row>
    <row r="236">
      <c r="A236" s="61"/>
      <c r="B236" s="61"/>
      <c r="C236" s="61"/>
      <c r="D236" s="61"/>
      <c r="E236" s="61"/>
      <c r="F236" s="61"/>
      <c r="G236" s="61"/>
      <c r="H236" s="61"/>
      <c r="I236" s="100"/>
      <c r="J236" s="100"/>
      <c r="K236" s="61"/>
      <c r="L236" s="61"/>
      <c r="M236" s="61"/>
      <c r="N236" s="107"/>
    </row>
    <row r="237">
      <c r="A237" s="65"/>
      <c r="B237" s="65"/>
      <c r="C237" s="65"/>
      <c r="D237" s="65"/>
      <c r="E237" s="65"/>
      <c r="F237" s="65"/>
      <c r="G237" s="65"/>
      <c r="H237" s="65"/>
      <c r="I237" s="103"/>
      <c r="J237" s="103"/>
      <c r="K237" s="65"/>
      <c r="L237" s="65"/>
      <c r="M237" s="65"/>
      <c r="N237" s="108"/>
    </row>
    <row r="238">
      <c r="A238" s="61"/>
      <c r="B238" s="61"/>
      <c r="C238" s="61"/>
      <c r="D238" s="61"/>
      <c r="E238" s="61"/>
      <c r="F238" s="61"/>
      <c r="G238" s="61"/>
      <c r="H238" s="61"/>
      <c r="I238" s="100"/>
      <c r="J238" s="100"/>
      <c r="K238" s="61"/>
      <c r="L238" s="61"/>
      <c r="M238" s="61"/>
      <c r="N238" s="107"/>
    </row>
    <row r="239">
      <c r="A239" s="65"/>
      <c r="B239" s="65"/>
      <c r="C239" s="65"/>
      <c r="D239" s="65"/>
      <c r="E239" s="65"/>
      <c r="F239" s="65"/>
      <c r="G239" s="65"/>
      <c r="H239" s="65"/>
      <c r="I239" s="103"/>
      <c r="J239" s="103"/>
      <c r="K239" s="65"/>
      <c r="L239" s="65"/>
      <c r="M239" s="65"/>
      <c r="N239" s="108"/>
    </row>
    <row r="240">
      <c r="A240" s="61"/>
      <c r="B240" s="61"/>
      <c r="C240" s="61"/>
      <c r="D240" s="61"/>
      <c r="E240" s="61"/>
      <c r="F240" s="61"/>
      <c r="G240" s="61"/>
      <c r="H240" s="61"/>
      <c r="I240" s="100"/>
      <c r="J240" s="100"/>
      <c r="K240" s="61"/>
      <c r="L240" s="61"/>
      <c r="M240" s="61"/>
      <c r="N240" s="107"/>
    </row>
    <row r="241">
      <c r="A241" s="65"/>
      <c r="B241" s="65"/>
      <c r="C241" s="65"/>
      <c r="D241" s="65"/>
      <c r="E241" s="65"/>
      <c r="F241" s="65"/>
      <c r="G241" s="65"/>
      <c r="H241" s="65"/>
      <c r="I241" s="103"/>
      <c r="J241" s="103"/>
      <c r="K241" s="65"/>
      <c r="L241" s="65"/>
      <c r="M241" s="65"/>
      <c r="N241" s="108"/>
    </row>
    <row r="242">
      <c r="A242" s="61"/>
      <c r="B242" s="61"/>
      <c r="C242" s="61"/>
      <c r="D242" s="61"/>
      <c r="E242" s="61"/>
      <c r="F242" s="61"/>
      <c r="G242" s="61"/>
      <c r="H242" s="61"/>
      <c r="I242" s="100"/>
      <c r="J242" s="100"/>
      <c r="K242" s="61"/>
      <c r="L242" s="61"/>
      <c r="M242" s="61"/>
      <c r="N242" s="107"/>
    </row>
    <row r="243">
      <c r="A243" s="65"/>
      <c r="B243" s="65"/>
      <c r="C243" s="65"/>
      <c r="D243" s="65"/>
      <c r="E243" s="65"/>
      <c r="F243" s="65"/>
      <c r="G243" s="65"/>
      <c r="H243" s="65"/>
      <c r="I243" s="103"/>
      <c r="J243" s="103"/>
      <c r="K243" s="65"/>
      <c r="L243" s="65"/>
      <c r="M243" s="65"/>
      <c r="N243" s="108"/>
    </row>
    <row r="244">
      <c r="A244" s="61"/>
      <c r="B244" s="61"/>
      <c r="C244" s="61"/>
      <c r="D244" s="61"/>
      <c r="E244" s="61"/>
      <c r="F244" s="61"/>
      <c r="G244" s="61"/>
      <c r="H244" s="61"/>
      <c r="I244" s="100"/>
      <c r="J244" s="100"/>
      <c r="K244" s="61"/>
      <c r="L244" s="61"/>
      <c r="M244" s="61"/>
      <c r="N244" s="107"/>
    </row>
    <row r="245">
      <c r="A245" s="65"/>
      <c r="B245" s="65"/>
      <c r="C245" s="65"/>
      <c r="D245" s="65"/>
      <c r="E245" s="65"/>
      <c r="F245" s="65"/>
      <c r="G245" s="65"/>
      <c r="H245" s="65"/>
      <c r="I245" s="103"/>
      <c r="J245" s="103"/>
      <c r="K245" s="65"/>
      <c r="L245" s="65"/>
      <c r="M245" s="65"/>
      <c r="N245" s="108"/>
    </row>
    <row r="246">
      <c r="A246" s="61"/>
      <c r="B246" s="61"/>
      <c r="C246" s="61"/>
      <c r="D246" s="61"/>
      <c r="E246" s="61"/>
      <c r="F246" s="61"/>
      <c r="G246" s="61"/>
      <c r="H246" s="61"/>
      <c r="I246" s="100"/>
      <c r="J246" s="100"/>
      <c r="K246" s="61"/>
      <c r="L246" s="61"/>
      <c r="M246" s="61"/>
      <c r="N246" s="107"/>
    </row>
    <row r="247">
      <c r="A247" s="65"/>
      <c r="B247" s="65"/>
      <c r="C247" s="65"/>
      <c r="D247" s="65"/>
      <c r="E247" s="65"/>
      <c r="F247" s="65"/>
      <c r="G247" s="65"/>
      <c r="H247" s="65"/>
      <c r="I247" s="103"/>
      <c r="J247" s="103"/>
      <c r="K247" s="65"/>
      <c r="L247" s="65"/>
      <c r="M247" s="65"/>
      <c r="N247" s="108"/>
    </row>
    <row r="248">
      <c r="A248" s="61"/>
      <c r="B248" s="61"/>
      <c r="C248" s="61"/>
      <c r="D248" s="61"/>
      <c r="E248" s="61"/>
      <c r="F248" s="61"/>
      <c r="G248" s="61"/>
      <c r="H248" s="61"/>
      <c r="I248" s="100"/>
      <c r="J248" s="100"/>
      <c r="K248" s="61"/>
      <c r="L248" s="61"/>
      <c r="M248" s="61"/>
      <c r="N248" s="107"/>
    </row>
    <row r="249">
      <c r="A249" s="65"/>
      <c r="B249" s="65"/>
      <c r="C249" s="65"/>
      <c r="D249" s="65"/>
      <c r="E249" s="65"/>
      <c r="F249" s="65"/>
      <c r="G249" s="65"/>
      <c r="H249" s="65"/>
      <c r="I249" s="103"/>
      <c r="J249" s="103"/>
      <c r="K249" s="65"/>
      <c r="L249" s="65"/>
      <c r="M249" s="65"/>
      <c r="N249" s="108"/>
    </row>
    <row r="250">
      <c r="A250" s="61"/>
      <c r="B250" s="61"/>
      <c r="C250" s="61"/>
      <c r="D250" s="61"/>
      <c r="E250" s="61"/>
      <c r="F250" s="61"/>
      <c r="G250" s="61"/>
      <c r="H250" s="61"/>
      <c r="I250" s="100"/>
      <c r="J250" s="100"/>
      <c r="K250" s="61"/>
      <c r="L250" s="61"/>
      <c r="M250" s="61"/>
      <c r="N250" s="107"/>
    </row>
    <row r="251">
      <c r="A251" s="65"/>
      <c r="B251" s="65"/>
      <c r="C251" s="65"/>
      <c r="D251" s="65"/>
      <c r="E251" s="65"/>
      <c r="F251" s="65"/>
      <c r="G251" s="65"/>
      <c r="H251" s="65"/>
      <c r="I251" s="103"/>
      <c r="J251" s="103"/>
      <c r="K251" s="65"/>
      <c r="L251" s="65"/>
      <c r="M251" s="65"/>
      <c r="N251" s="108"/>
    </row>
    <row r="252">
      <c r="A252" s="61"/>
      <c r="B252" s="61"/>
      <c r="C252" s="61"/>
      <c r="D252" s="61"/>
      <c r="E252" s="61"/>
      <c r="F252" s="61"/>
      <c r="G252" s="61"/>
      <c r="H252" s="61"/>
      <c r="I252" s="100"/>
      <c r="J252" s="100"/>
      <c r="K252" s="61"/>
      <c r="L252" s="61"/>
      <c r="M252" s="61"/>
      <c r="N252" s="107"/>
    </row>
    <row r="253">
      <c r="A253" s="65"/>
      <c r="B253" s="65"/>
      <c r="C253" s="65"/>
      <c r="D253" s="65"/>
      <c r="E253" s="65"/>
      <c r="F253" s="65"/>
      <c r="G253" s="65"/>
      <c r="H253" s="65"/>
      <c r="I253" s="103"/>
      <c r="J253" s="103"/>
      <c r="K253" s="65"/>
      <c r="L253" s="65"/>
      <c r="M253" s="65"/>
      <c r="N253" s="108"/>
    </row>
    <row r="254">
      <c r="A254" s="61"/>
      <c r="B254" s="61"/>
      <c r="C254" s="61"/>
      <c r="D254" s="61"/>
      <c r="E254" s="61"/>
      <c r="F254" s="61"/>
      <c r="G254" s="61"/>
      <c r="H254" s="61"/>
      <c r="I254" s="100"/>
      <c r="J254" s="100"/>
      <c r="K254" s="61"/>
      <c r="L254" s="61"/>
      <c r="M254" s="61"/>
      <c r="N254" s="107"/>
    </row>
    <row r="255">
      <c r="A255" s="65"/>
      <c r="B255" s="65"/>
      <c r="C255" s="65"/>
      <c r="D255" s="65"/>
      <c r="E255" s="65"/>
      <c r="F255" s="65"/>
      <c r="G255" s="65"/>
      <c r="H255" s="65"/>
      <c r="I255" s="103"/>
      <c r="J255" s="103"/>
      <c r="K255" s="65"/>
      <c r="L255" s="65"/>
      <c r="M255" s="65"/>
      <c r="N255" s="108"/>
    </row>
    <row r="256">
      <c r="A256" s="61"/>
      <c r="B256" s="61"/>
      <c r="C256" s="61"/>
      <c r="D256" s="61"/>
      <c r="E256" s="61"/>
      <c r="F256" s="61"/>
      <c r="G256" s="61"/>
      <c r="H256" s="61"/>
      <c r="I256" s="100"/>
      <c r="J256" s="100"/>
      <c r="K256" s="61"/>
      <c r="L256" s="61"/>
      <c r="M256" s="61"/>
      <c r="N256" s="107"/>
    </row>
    <row r="257">
      <c r="A257" s="65"/>
      <c r="B257" s="65"/>
      <c r="C257" s="65"/>
      <c r="D257" s="65"/>
      <c r="E257" s="65"/>
      <c r="F257" s="65"/>
      <c r="G257" s="65"/>
      <c r="H257" s="65"/>
      <c r="I257" s="103"/>
      <c r="J257" s="103"/>
      <c r="K257" s="65"/>
      <c r="L257" s="65"/>
      <c r="M257" s="65"/>
      <c r="N257" s="108"/>
    </row>
    <row r="258">
      <c r="A258" s="61"/>
      <c r="B258" s="61"/>
      <c r="C258" s="61"/>
      <c r="D258" s="61"/>
      <c r="E258" s="61"/>
      <c r="F258" s="61"/>
      <c r="G258" s="61"/>
      <c r="H258" s="61"/>
      <c r="I258" s="100"/>
      <c r="J258" s="100"/>
      <c r="K258" s="61"/>
      <c r="L258" s="61"/>
      <c r="M258" s="61"/>
      <c r="N258" s="107"/>
    </row>
    <row r="259">
      <c r="A259" s="65"/>
      <c r="B259" s="65"/>
      <c r="C259" s="65"/>
      <c r="D259" s="65"/>
      <c r="E259" s="65"/>
      <c r="F259" s="65"/>
      <c r="G259" s="65"/>
      <c r="H259" s="65"/>
      <c r="I259" s="103"/>
      <c r="J259" s="103"/>
      <c r="K259" s="65"/>
      <c r="L259" s="65"/>
      <c r="M259" s="65"/>
      <c r="N259" s="108"/>
    </row>
    <row r="260">
      <c r="A260" s="61"/>
      <c r="B260" s="61"/>
      <c r="C260" s="61"/>
      <c r="D260" s="61"/>
      <c r="E260" s="61"/>
      <c r="F260" s="61"/>
      <c r="G260" s="61"/>
      <c r="H260" s="61"/>
      <c r="I260" s="100"/>
      <c r="J260" s="100"/>
      <c r="K260" s="61"/>
      <c r="L260" s="61"/>
      <c r="M260" s="61"/>
      <c r="N260" s="107"/>
    </row>
    <row r="261">
      <c r="A261" s="65"/>
      <c r="B261" s="65"/>
      <c r="C261" s="65"/>
      <c r="D261" s="65"/>
      <c r="E261" s="65"/>
      <c r="F261" s="65"/>
      <c r="G261" s="65"/>
      <c r="H261" s="65"/>
      <c r="I261" s="103"/>
      <c r="J261" s="103"/>
      <c r="K261" s="65"/>
      <c r="L261" s="65"/>
      <c r="M261" s="65"/>
      <c r="N261" s="108"/>
    </row>
    <row r="262">
      <c r="A262" s="61"/>
      <c r="B262" s="61"/>
      <c r="C262" s="61"/>
      <c r="D262" s="61"/>
      <c r="E262" s="61"/>
      <c r="F262" s="61"/>
      <c r="G262" s="61"/>
      <c r="H262" s="61"/>
      <c r="I262" s="100"/>
      <c r="J262" s="100"/>
      <c r="K262" s="61"/>
      <c r="L262" s="61"/>
      <c r="M262" s="61"/>
      <c r="N262" s="107"/>
    </row>
    <row r="263">
      <c r="A263" s="65"/>
      <c r="B263" s="65"/>
      <c r="C263" s="65"/>
      <c r="D263" s="65"/>
      <c r="E263" s="65"/>
      <c r="F263" s="65"/>
      <c r="G263" s="65"/>
      <c r="H263" s="65"/>
      <c r="I263" s="103"/>
      <c r="J263" s="103"/>
      <c r="K263" s="65"/>
      <c r="L263" s="65"/>
      <c r="M263" s="65"/>
      <c r="N263" s="108"/>
    </row>
    <row r="264">
      <c r="A264" s="61"/>
      <c r="B264" s="61"/>
      <c r="C264" s="61"/>
      <c r="D264" s="61"/>
      <c r="E264" s="61"/>
      <c r="F264" s="61"/>
      <c r="G264" s="61"/>
      <c r="H264" s="61"/>
      <c r="I264" s="100"/>
      <c r="J264" s="100"/>
      <c r="K264" s="61"/>
      <c r="L264" s="61"/>
      <c r="M264" s="61"/>
      <c r="N264" s="107"/>
    </row>
    <row r="265">
      <c r="A265" s="65"/>
      <c r="B265" s="65"/>
      <c r="C265" s="65"/>
      <c r="D265" s="65"/>
      <c r="E265" s="65"/>
      <c r="F265" s="65"/>
      <c r="G265" s="65"/>
      <c r="H265" s="65"/>
      <c r="I265" s="103"/>
      <c r="J265" s="103"/>
      <c r="K265" s="65"/>
      <c r="L265" s="65"/>
      <c r="M265" s="65"/>
      <c r="N265" s="108"/>
    </row>
    <row r="266">
      <c r="A266" s="61"/>
      <c r="B266" s="61"/>
      <c r="C266" s="61"/>
      <c r="D266" s="61"/>
      <c r="E266" s="61"/>
      <c r="F266" s="61"/>
      <c r="G266" s="61"/>
      <c r="H266" s="61"/>
      <c r="I266" s="100"/>
      <c r="J266" s="100"/>
      <c r="K266" s="61"/>
      <c r="L266" s="61"/>
      <c r="M266" s="61"/>
      <c r="N266" s="107"/>
    </row>
    <row r="267">
      <c r="A267" s="65"/>
      <c r="B267" s="65"/>
      <c r="C267" s="65"/>
      <c r="D267" s="65"/>
      <c r="E267" s="65"/>
      <c r="F267" s="65"/>
      <c r="G267" s="65"/>
      <c r="H267" s="65"/>
      <c r="I267" s="103"/>
      <c r="J267" s="103"/>
      <c r="K267" s="65"/>
      <c r="L267" s="65"/>
      <c r="M267" s="65"/>
      <c r="N267" s="108"/>
    </row>
    <row r="268">
      <c r="A268" s="61"/>
      <c r="B268" s="61"/>
      <c r="C268" s="61"/>
      <c r="D268" s="61"/>
      <c r="E268" s="61"/>
      <c r="F268" s="61"/>
      <c r="G268" s="61"/>
      <c r="H268" s="61"/>
      <c r="I268" s="100"/>
      <c r="J268" s="100"/>
      <c r="K268" s="61"/>
      <c r="L268" s="61"/>
      <c r="M268" s="61"/>
      <c r="N268" s="107"/>
    </row>
    <row r="269">
      <c r="A269" s="65"/>
      <c r="B269" s="65"/>
      <c r="C269" s="65"/>
      <c r="D269" s="65"/>
      <c r="E269" s="65"/>
      <c r="F269" s="65"/>
      <c r="G269" s="65"/>
      <c r="H269" s="65"/>
      <c r="I269" s="103"/>
      <c r="J269" s="103"/>
      <c r="K269" s="65"/>
      <c r="L269" s="65"/>
      <c r="M269" s="65"/>
      <c r="N269" s="108"/>
    </row>
    <row r="270">
      <c r="A270" s="61"/>
      <c r="B270" s="61"/>
      <c r="C270" s="61"/>
      <c r="D270" s="61"/>
      <c r="E270" s="61"/>
      <c r="F270" s="61"/>
      <c r="G270" s="61"/>
      <c r="H270" s="61"/>
      <c r="I270" s="100"/>
      <c r="J270" s="100"/>
      <c r="K270" s="61"/>
      <c r="L270" s="61"/>
      <c r="M270" s="61"/>
      <c r="N270" s="107"/>
    </row>
    <row r="271">
      <c r="A271" s="65"/>
      <c r="B271" s="65"/>
      <c r="C271" s="65"/>
      <c r="D271" s="65"/>
      <c r="E271" s="65"/>
      <c r="F271" s="65"/>
      <c r="G271" s="65"/>
      <c r="H271" s="65"/>
      <c r="I271" s="103"/>
      <c r="J271" s="103"/>
      <c r="K271" s="65"/>
      <c r="L271" s="65"/>
      <c r="M271" s="65"/>
      <c r="N271" s="108"/>
    </row>
    <row r="272">
      <c r="A272" s="61"/>
      <c r="B272" s="61"/>
      <c r="C272" s="61"/>
      <c r="D272" s="61"/>
      <c r="E272" s="61"/>
      <c r="F272" s="61"/>
      <c r="G272" s="61"/>
      <c r="H272" s="61"/>
      <c r="I272" s="100"/>
      <c r="J272" s="100"/>
      <c r="K272" s="61"/>
      <c r="L272" s="61"/>
      <c r="M272" s="61"/>
      <c r="N272" s="107"/>
    </row>
    <row r="273">
      <c r="A273" s="65"/>
      <c r="B273" s="65"/>
      <c r="C273" s="65"/>
      <c r="D273" s="65"/>
      <c r="E273" s="65"/>
      <c r="F273" s="65"/>
      <c r="G273" s="65"/>
      <c r="H273" s="65"/>
      <c r="I273" s="103"/>
      <c r="J273" s="103"/>
      <c r="K273" s="65"/>
      <c r="L273" s="65"/>
      <c r="M273" s="65"/>
      <c r="N273" s="108"/>
    </row>
    <row r="274">
      <c r="A274" s="61"/>
      <c r="B274" s="61"/>
      <c r="C274" s="61"/>
      <c r="D274" s="61"/>
      <c r="E274" s="61"/>
      <c r="F274" s="61"/>
      <c r="G274" s="61"/>
      <c r="H274" s="61"/>
      <c r="I274" s="100"/>
      <c r="J274" s="100"/>
      <c r="K274" s="61"/>
      <c r="L274" s="61"/>
      <c r="M274" s="61"/>
      <c r="N274" s="107"/>
    </row>
    <row r="275">
      <c r="A275" s="65"/>
      <c r="B275" s="65"/>
      <c r="C275" s="65"/>
      <c r="D275" s="65"/>
      <c r="E275" s="65"/>
      <c r="F275" s="65"/>
      <c r="G275" s="65"/>
      <c r="H275" s="65"/>
      <c r="I275" s="103"/>
      <c r="J275" s="103"/>
      <c r="K275" s="65"/>
      <c r="L275" s="65"/>
      <c r="M275" s="65"/>
      <c r="N275" s="108"/>
    </row>
    <row r="276">
      <c r="A276" s="61"/>
      <c r="B276" s="61"/>
      <c r="C276" s="61"/>
      <c r="D276" s="61"/>
      <c r="E276" s="61"/>
      <c r="F276" s="61"/>
      <c r="G276" s="61"/>
      <c r="H276" s="61"/>
      <c r="I276" s="100"/>
      <c r="J276" s="100"/>
      <c r="K276" s="61"/>
      <c r="L276" s="61"/>
      <c r="M276" s="61"/>
      <c r="N276" s="107"/>
    </row>
    <row r="277">
      <c r="A277" s="65"/>
      <c r="B277" s="65"/>
      <c r="C277" s="65"/>
      <c r="D277" s="65"/>
      <c r="E277" s="65"/>
      <c r="F277" s="65"/>
      <c r="G277" s="65"/>
      <c r="H277" s="65"/>
      <c r="I277" s="103"/>
      <c r="J277" s="103"/>
      <c r="K277" s="65"/>
      <c r="L277" s="65"/>
      <c r="M277" s="65"/>
      <c r="N277" s="108"/>
    </row>
    <row r="278">
      <c r="A278" s="61"/>
      <c r="B278" s="61"/>
      <c r="C278" s="61"/>
      <c r="D278" s="61"/>
      <c r="E278" s="61"/>
      <c r="F278" s="61"/>
      <c r="G278" s="61"/>
      <c r="H278" s="61"/>
      <c r="I278" s="100"/>
      <c r="J278" s="100"/>
      <c r="K278" s="61"/>
      <c r="L278" s="61"/>
      <c r="M278" s="61"/>
      <c r="N278" s="107"/>
    </row>
    <row r="279">
      <c r="A279" s="65"/>
      <c r="B279" s="65"/>
      <c r="C279" s="65"/>
      <c r="D279" s="65"/>
      <c r="E279" s="65"/>
      <c r="F279" s="65"/>
      <c r="G279" s="65"/>
      <c r="H279" s="65"/>
      <c r="I279" s="103"/>
      <c r="J279" s="103"/>
      <c r="K279" s="65"/>
      <c r="L279" s="65"/>
      <c r="M279" s="65"/>
      <c r="N279" s="108"/>
    </row>
    <row r="280">
      <c r="A280" s="61"/>
      <c r="B280" s="61"/>
      <c r="C280" s="61"/>
      <c r="D280" s="61"/>
      <c r="E280" s="61"/>
      <c r="F280" s="61"/>
      <c r="G280" s="61"/>
      <c r="H280" s="61"/>
      <c r="I280" s="100"/>
      <c r="J280" s="100"/>
      <c r="K280" s="61"/>
      <c r="L280" s="61"/>
      <c r="M280" s="61"/>
      <c r="N280" s="107"/>
    </row>
    <row r="281">
      <c r="A281" s="65"/>
      <c r="B281" s="65"/>
      <c r="C281" s="65"/>
      <c r="D281" s="65"/>
      <c r="E281" s="65"/>
      <c r="F281" s="65"/>
      <c r="G281" s="65"/>
      <c r="H281" s="65"/>
      <c r="I281" s="103"/>
      <c r="J281" s="103"/>
      <c r="K281" s="65"/>
      <c r="L281" s="65"/>
      <c r="M281" s="65"/>
      <c r="N281" s="108"/>
    </row>
    <row r="282">
      <c r="A282" s="61"/>
      <c r="B282" s="61"/>
      <c r="C282" s="61"/>
      <c r="D282" s="61"/>
      <c r="E282" s="61"/>
      <c r="F282" s="61"/>
      <c r="G282" s="61"/>
      <c r="H282" s="61"/>
      <c r="I282" s="100"/>
      <c r="J282" s="100"/>
      <c r="K282" s="61"/>
      <c r="L282" s="61"/>
      <c r="M282" s="61"/>
      <c r="N282" s="107"/>
    </row>
    <row r="283">
      <c r="A283" s="65"/>
      <c r="B283" s="65"/>
      <c r="C283" s="65"/>
      <c r="D283" s="65"/>
      <c r="E283" s="65"/>
      <c r="F283" s="65"/>
      <c r="G283" s="65"/>
      <c r="H283" s="65"/>
      <c r="I283" s="103"/>
      <c r="J283" s="103"/>
      <c r="K283" s="65"/>
      <c r="L283" s="65"/>
      <c r="M283" s="65"/>
      <c r="N283" s="108"/>
    </row>
    <row r="284">
      <c r="A284" s="61"/>
      <c r="B284" s="61"/>
      <c r="C284" s="61"/>
      <c r="D284" s="61"/>
      <c r="E284" s="61"/>
      <c r="F284" s="61"/>
      <c r="G284" s="61"/>
      <c r="H284" s="61"/>
      <c r="I284" s="100"/>
      <c r="J284" s="100"/>
      <c r="K284" s="61"/>
      <c r="L284" s="61"/>
      <c r="M284" s="61"/>
      <c r="N284" s="107"/>
    </row>
    <row r="285">
      <c r="A285" s="65"/>
      <c r="B285" s="65"/>
      <c r="C285" s="65"/>
      <c r="D285" s="65"/>
      <c r="E285" s="65"/>
      <c r="F285" s="65"/>
      <c r="G285" s="65"/>
      <c r="H285" s="65"/>
      <c r="I285" s="103"/>
      <c r="J285" s="103"/>
      <c r="K285" s="65"/>
      <c r="L285" s="65"/>
      <c r="M285" s="65"/>
      <c r="N285" s="108"/>
    </row>
    <row r="286">
      <c r="A286" s="61"/>
      <c r="B286" s="61"/>
      <c r="C286" s="61"/>
      <c r="D286" s="61"/>
      <c r="E286" s="61"/>
      <c r="F286" s="61"/>
      <c r="G286" s="61"/>
      <c r="H286" s="61"/>
      <c r="I286" s="100"/>
      <c r="J286" s="100"/>
      <c r="K286" s="61"/>
      <c r="L286" s="61"/>
      <c r="M286" s="61"/>
      <c r="N286" s="107"/>
    </row>
    <row r="287">
      <c r="A287" s="65"/>
      <c r="B287" s="65"/>
      <c r="C287" s="65"/>
      <c r="D287" s="65"/>
      <c r="E287" s="65"/>
      <c r="F287" s="65"/>
      <c r="G287" s="65"/>
      <c r="H287" s="65"/>
      <c r="I287" s="103"/>
      <c r="J287" s="103"/>
      <c r="K287" s="65"/>
      <c r="L287" s="65"/>
      <c r="M287" s="65"/>
      <c r="N287" s="108"/>
    </row>
    <row r="288">
      <c r="A288" s="61"/>
      <c r="B288" s="61"/>
      <c r="C288" s="61"/>
      <c r="D288" s="61"/>
      <c r="E288" s="61"/>
      <c r="F288" s="61"/>
      <c r="G288" s="61"/>
      <c r="H288" s="61"/>
      <c r="I288" s="100"/>
      <c r="J288" s="100"/>
      <c r="K288" s="61"/>
      <c r="L288" s="61"/>
      <c r="M288" s="61"/>
      <c r="N288" s="107"/>
    </row>
    <row r="289">
      <c r="A289" s="65"/>
      <c r="B289" s="65"/>
      <c r="C289" s="65"/>
      <c r="D289" s="65"/>
      <c r="E289" s="65"/>
      <c r="F289" s="65"/>
      <c r="G289" s="65"/>
      <c r="H289" s="65"/>
      <c r="I289" s="103"/>
      <c r="J289" s="103"/>
      <c r="K289" s="65"/>
      <c r="L289" s="65"/>
      <c r="M289" s="65"/>
      <c r="N289" s="108"/>
    </row>
    <row r="290">
      <c r="A290" s="61"/>
      <c r="B290" s="61"/>
      <c r="C290" s="61"/>
      <c r="D290" s="61"/>
      <c r="E290" s="61"/>
      <c r="F290" s="61"/>
      <c r="G290" s="61"/>
      <c r="H290" s="61"/>
      <c r="I290" s="100"/>
      <c r="J290" s="100"/>
      <c r="K290" s="61"/>
      <c r="L290" s="61"/>
      <c r="M290" s="61"/>
      <c r="N290" s="107"/>
    </row>
    <row r="291">
      <c r="A291" s="65"/>
      <c r="B291" s="65"/>
      <c r="C291" s="65"/>
      <c r="D291" s="65"/>
      <c r="E291" s="65"/>
      <c r="F291" s="65"/>
      <c r="G291" s="65"/>
      <c r="H291" s="65"/>
      <c r="I291" s="103"/>
      <c r="J291" s="103"/>
      <c r="K291" s="65"/>
      <c r="L291" s="65"/>
      <c r="M291" s="65"/>
      <c r="N291" s="108"/>
    </row>
    <row r="292">
      <c r="A292" s="61"/>
      <c r="B292" s="61"/>
      <c r="C292" s="61"/>
      <c r="D292" s="61"/>
      <c r="E292" s="61"/>
      <c r="F292" s="61"/>
      <c r="G292" s="61"/>
      <c r="H292" s="61"/>
      <c r="I292" s="100"/>
      <c r="J292" s="100"/>
      <c r="K292" s="61"/>
      <c r="L292" s="61"/>
      <c r="M292" s="61"/>
      <c r="N292" s="107"/>
    </row>
    <row r="293">
      <c r="A293" s="65"/>
      <c r="B293" s="65"/>
      <c r="C293" s="65"/>
      <c r="D293" s="65"/>
      <c r="E293" s="65"/>
      <c r="F293" s="65"/>
      <c r="G293" s="65"/>
      <c r="H293" s="65"/>
      <c r="I293" s="103"/>
      <c r="J293" s="103"/>
      <c r="K293" s="65"/>
      <c r="L293" s="65"/>
      <c r="M293" s="65"/>
      <c r="N293" s="108"/>
    </row>
    <row r="294">
      <c r="A294" s="61"/>
      <c r="B294" s="61"/>
      <c r="C294" s="61"/>
      <c r="D294" s="61"/>
      <c r="E294" s="61"/>
      <c r="F294" s="61"/>
      <c r="G294" s="61"/>
      <c r="H294" s="61"/>
      <c r="I294" s="100"/>
      <c r="J294" s="100"/>
      <c r="K294" s="61"/>
      <c r="L294" s="61"/>
      <c r="M294" s="61"/>
      <c r="N294" s="107"/>
    </row>
    <row r="295">
      <c r="A295" s="65"/>
      <c r="B295" s="65"/>
      <c r="C295" s="65"/>
      <c r="D295" s="65"/>
      <c r="E295" s="65"/>
      <c r="F295" s="65"/>
      <c r="G295" s="65"/>
      <c r="H295" s="65"/>
      <c r="I295" s="103"/>
      <c r="J295" s="103"/>
      <c r="K295" s="65"/>
      <c r="L295" s="65"/>
      <c r="M295" s="65"/>
      <c r="N295" s="108"/>
    </row>
    <row r="296">
      <c r="A296" s="61"/>
      <c r="B296" s="61"/>
      <c r="C296" s="61"/>
      <c r="D296" s="61"/>
      <c r="E296" s="61"/>
      <c r="F296" s="61"/>
      <c r="G296" s="61"/>
      <c r="H296" s="61"/>
      <c r="I296" s="100"/>
      <c r="J296" s="100"/>
      <c r="K296" s="61"/>
      <c r="L296" s="61"/>
      <c r="M296" s="61"/>
      <c r="N296" s="107"/>
    </row>
    <row r="297">
      <c r="A297" s="65"/>
      <c r="B297" s="65"/>
      <c r="C297" s="65"/>
      <c r="D297" s="65"/>
      <c r="E297" s="65"/>
      <c r="F297" s="65"/>
      <c r="G297" s="65"/>
      <c r="H297" s="65"/>
      <c r="I297" s="103"/>
      <c r="J297" s="103"/>
      <c r="K297" s="65"/>
      <c r="L297" s="65"/>
      <c r="M297" s="65"/>
      <c r="N297" s="108"/>
    </row>
    <row r="298">
      <c r="A298" s="61"/>
      <c r="B298" s="61"/>
      <c r="C298" s="61"/>
      <c r="D298" s="61"/>
      <c r="E298" s="61"/>
      <c r="F298" s="61"/>
      <c r="G298" s="61"/>
      <c r="H298" s="61"/>
      <c r="I298" s="100"/>
      <c r="J298" s="100"/>
      <c r="K298" s="61"/>
      <c r="L298" s="61"/>
      <c r="M298" s="61"/>
      <c r="N298" s="107"/>
    </row>
    <row r="299">
      <c r="A299" s="65"/>
      <c r="B299" s="65"/>
      <c r="C299" s="65"/>
      <c r="D299" s="65"/>
      <c r="E299" s="65"/>
      <c r="F299" s="65"/>
      <c r="G299" s="65"/>
      <c r="H299" s="65"/>
      <c r="I299" s="103"/>
      <c r="J299" s="103"/>
      <c r="K299" s="65"/>
      <c r="L299" s="65"/>
      <c r="M299" s="65"/>
      <c r="N299" s="108"/>
    </row>
    <row r="300">
      <c r="A300" s="61"/>
      <c r="B300" s="61"/>
      <c r="C300" s="61"/>
      <c r="D300" s="61"/>
      <c r="E300" s="61"/>
      <c r="F300" s="61"/>
      <c r="G300" s="61"/>
      <c r="H300" s="61"/>
      <c r="I300" s="100"/>
      <c r="J300" s="100"/>
      <c r="K300" s="61"/>
      <c r="L300" s="61"/>
      <c r="M300" s="61"/>
      <c r="N300" s="107"/>
    </row>
    <row r="301">
      <c r="A301" s="65"/>
      <c r="B301" s="65"/>
      <c r="C301" s="65"/>
      <c r="D301" s="65"/>
      <c r="E301" s="65"/>
      <c r="F301" s="65"/>
      <c r="G301" s="65"/>
      <c r="H301" s="65"/>
      <c r="I301" s="103"/>
      <c r="J301" s="103"/>
      <c r="K301" s="65"/>
      <c r="L301" s="65"/>
      <c r="M301" s="65"/>
      <c r="N301" s="108"/>
    </row>
    <row r="302">
      <c r="A302" s="61"/>
      <c r="B302" s="61"/>
      <c r="C302" s="61"/>
      <c r="D302" s="61"/>
      <c r="E302" s="61"/>
      <c r="F302" s="61"/>
      <c r="G302" s="61"/>
      <c r="H302" s="61"/>
      <c r="I302" s="100"/>
      <c r="J302" s="100"/>
      <c r="K302" s="61"/>
      <c r="L302" s="61"/>
      <c r="M302" s="61"/>
      <c r="N302" s="107"/>
    </row>
    <row r="303">
      <c r="A303" s="65"/>
      <c r="B303" s="65"/>
      <c r="C303" s="65"/>
      <c r="D303" s="65"/>
      <c r="E303" s="65"/>
      <c r="F303" s="65"/>
      <c r="G303" s="65"/>
      <c r="H303" s="65"/>
      <c r="I303" s="103"/>
      <c r="J303" s="103"/>
      <c r="K303" s="65"/>
      <c r="L303" s="65"/>
      <c r="M303" s="65"/>
      <c r="N303" s="108"/>
    </row>
    <row r="304">
      <c r="A304" s="61"/>
      <c r="B304" s="61"/>
      <c r="C304" s="61"/>
      <c r="D304" s="61"/>
      <c r="E304" s="61"/>
      <c r="F304" s="61"/>
      <c r="G304" s="61"/>
      <c r="H304" s="61"/>
      <c r="I304" s="100"/>
      <c r="J304" s="100"/>
      <c r="K304" s="61"/>
      <c r="L304" s="61"/>
      <c r="M304" s="61"/>
      <c r="N304" s="107"/>
    </row>
    <row r="305">
      <c r="A305" s="65"/>
      <c r="B305" s="65"/>
      <c r="C305" s="65"/>
      <c r="D305" s="65"/>
      <c r="E305" s="65"/>
      <c r="F305" s="65"/>
      <c r="G305" s="65"/>
      <c r="H305" s="65"/>
      <c r="I305" s="103"/>
      <c r="J305" s="103"/>
      <c r="K305" s="65"/>
      <c r="L305" s="65"/>
      <c r="M305" s="65"/>
      <c r="N305" s="108"/>
    </row>
    <row r="306">
      <c r="A306" s="61"/>
      <c r="B306" s="61"/>
      <c r="C306" s="61"/>
      <c r="D306" s="61"/>
      <c r="E306" s="61"/>
      <c r="F306" s="61"/>
      <c r="G306" s="61"/>
      <c r="H306" s="61"/>
      <c r="I306" s="100"/>
      <c r="J306" s="100"/>
      <c r="K306" s="61"/>
      <c r="L306" s="61"/>
      <c r="M306" s="61"/>
      <c r="N306" s="107"/>
    </row>
    <row r="307">
      <c r="A307" s="65"/>
      <c r="B307" s="65"/>
      <c r="C307" s="65"/>
      <c r="D307" s="65"/>
      <c r="E307" s="65"/>
      <c r="F307" s="65"/>
      <c r="G307" s="65"/>
      <c r="H307" s="65"/>
      <c r="I307" s="103"/>
      <c r="J307" s="103"/>
      <c r="K307" s="65"/>
      <c r="L307" s="65"/>
      <c r="M307" s="65"/>
      <c r="N307" s="108"/>
    </row>
    <row r="308">
      <c r="A308" s="61"/>
      <c r="B308" s="61"/>
      <c r="C308" s="61"/>
      <c r="D308" s="61"/>
      <c r="E308" s="61"/>
      <c r="F308" s="61"/>
      <c r="G308" s="61"/>
      <c r="H308" s="61"/>
      <c r="I308" s="100"/>
      <c r="J308" s="100"/>
      <c r="K308" s="61"/>
      <c r="L308" s="61"/>
      <c r="M308" s="61"/>
      <c r="N308" s="107"/>
    </row>
    <row r="309">
      <c r="A309" s="65"/>
      <c r="B309" s="65"/>
      <c r="C309" s="65"/>
      <c r="D309" s="65"/>
      <c r="E309" s="65"/>
      <c r="F309" s="65"/>
      <c r="G309" s="65"/>
      <c r="H309" s="65"/>
      <c r="I309" s="103"/>
      <c r="J309" s="103"/>
      <c r="K309" s="65"/>
      <c r="L309" s="65"/>
      <c r="M309" s="65"/>
      <c r="N309" s="108"/>
    </row>
    <row r="310">
      <c r="A310" s="61"/>
      <c r="B310" s="61"/>
      <c r="C310" s="61"/>
      <c r="D310" s="61"/>
      <c r="E310" s="61"/>
      <c r="F310" s="61"/>
      <c r="G310" s="61"/>
      <c r="H310" s="61"/>
      <c r="I310" s="100"/>
      <c r="J310" s="100"/>
      <c r="K310" s="61"/>
      <c r="L310" s="61"/>
      <c r="M310" s="61"/>
      <c r="N310" s="107"/>
    </row>
    <row r="311">
      <c r="A311" s="65"/>
      <c r="B311" s="65"/>
      <c r="C311" s="65"/>
      <c r="D311" s="65"/>
      <c r="E311" s="65"/>
      <c r="F311" s="65"/>
      <c r="G311" s="65"/>
      <c r="H311" s="65"/>
      <c r="I311" s="103"/>
      <c r="J311" s="103"/>
      <c r="K311" s="65"/>
      <c r="L311" s="65"/>
      <c r="M311" s="65"/>
      <c r="N311" s="108"/>
    </row>
    <row r="312">
      <c r="A312" s="61"/>
      <c r="B312" s="61"/>
      <c r="C312" s="61"/>
      <c r="D312" s="61"/>
      <c r="E312" s="61"/>
      <c r="F312" s="61"/>
      <c r="G312" s="61"/>
      <c r="H312" s="61"/>
      <c r="I312" s="100"/>
      <c r="J312" s="100"/>
      <c r="K312" s="61"/>
      <c r="L312" s="61"/>
      <c r="M312" s="61"/>
      <c r="N312" s="107"/>
    </row>
    <row r="313">
      <c r="A313" s="65"/>
      <c r="B313" s="65"/>
      <c r="C313" s="65"/>
      <c r="D313" s="65"/>
      <c r="E313" s="65"/>
      <c r="F313" s="65"/>
      <c r="G313" s="65"/>
      <c r="H313" s="65"/>
      <c r="I313" s="103"/>
      <c r="J313" s="103"/>
      <c r="K313" s="65"/>
      <c r="L313" s="65"/>
      <c r="M313" s="65"/>
      <c r="N313" s="108"/>
    </row>
    <row r="314">
      <c r="A314" s="61"/>
      <c r="B314" s="61"/>
      <c r="C314" s="61"/>
      <c r="D314" s="61"/>
      <c r="E314" s="61"/>
      <c r="F314" s="61"/>
      <c r="G314" s="61"/>
      <c r="H314" s="61"/>
      <c r="I314" s="100"/>
      <c r="J314" s="100"/>
      <c r="K314" s="61"/>
      <c r="L314" s="61"/>
      <c r="M314" s="61"/>
      <c r="N314" s="107"/>
    </row>
    <row r="315">
      <c r="A315" s="65"/>
      <c r="B315" s="65"/>
      <c r="C315" s="65"/>
      <c r="D315" s="65"/>
      <c r="E315" s="65"/>
      <c r="F315" s="65"/>
      <c r="G315" s="65"/>
      <c r="H315" s="65"/>
      <c r="I315" s="103"/>
      <c r="J315" s="103"/>
      <c r="K315" s="65"/>
      <c r="L315" s="65"/>
      <c r="M315" s="65"/>
      <c r="N315" s="108"/>
    </row>
    <row r="316">
      <c r="A316" s="61"/>
      <c r="B316" s="61"/>
      <c r="C316" s="61"/>
      <c r="D316" s="61"/>
      <c r="E316" s="61"/>
      <c r="F316" s="61"/>
      <c r="G316" s="61"/>
      <c r="H316" s="61"/>
      <c r="I316" s="100"/>
      <c r="J316" s="100"/>
      <c r="K316" s="61"/>
      <c r="L316" s="61"/>
      <c r="M316" s="61"/>
      <c r="N316" s="107"/>
    </row>
    <row r="317">
      <c r="A317" s="65"/>
      <c r="B317" s="65"/>
      <c r="C317" s="65"/>
      <c r="D317" s="65"/>
      <c r="E317" s="65"/>
      <c r="F317" s="65"/>
      <c r="G317" s="65"/>
      <c r="H317" s="65"/>
      <c r="I317" s="103"/>
      <c r="J317" s="103"/>
      <c r="K317" s="65"/>
      <c r="L317" s="65"/>
      <c r="M317" s="65"/>
      <c r="N317" s="108"/>
    </row>
    <row r="318">
      <c r="A318" s="61"/>
      <c r="B318" s="61"/>
      <c r="C318" s="61"/>
      <c r="D318" s="61"/>
      <c r="E318" s="61"/>
      <c r="F318" s="61"/>
      <c r="G318" s="61"/>
      <c r="H318" s="61"/>
      <c r="I318" s="100"/>
      <c r="J318" s="100"/>
      <c r="K318" s="61"/>
      <c r="L318" s="61"/>
      <c r="M318" s="61"/>
      <c r="N318" s="107"/>
    </row>
    <row r="319">
      <c r="A319" s="65"/>
      <c r="B319" s="65"/>
      <c r="C319" s="65"/>
      <c r="D319" s="65"/>
      <c r="E319" s="65"/>
      <c r="F319" s="65"/>
      <c r="G319" s="65"/>
      <c r="H319" s="65"/>
      <c r="I319" s="103"/>
      <c r="J319" s="103"/>
      <c r="K319" s="65"/>
      <c r="L319" s="65"/>
      <c r="M319" s="65"/>
      <c r="N319" s="108"/>
    </row>
    <row r="320">
      <c r="A320" s="61"/>
      <c r="B320" s="61"/>
      <c r="C320" s="61"/>
      <c r="D320" s="61"/>
      <c r="E320" s="61"/>
      <c r="F320" s="61"/>
      <c r="G320" s="61"/>
      <c r="H320" s="61"/>
      <c r="I320" s="100"/>
      <c r="J320" s="100"/>
      <c r="K320" s="61"/>
      <c r="L320" s="61"/>
      <c r="M320" s="61"/>
      <c r="N320" s="107"/>
    </row>
    <row r="321">
      <c r="A321" s="65"/>
      <c r="B321" s="65"/>
      <c r="C321" s="65"/>
      <c r="D321" s="65"/>
      <c r="E321" s="65"/>
      <c r="F321" s="65"/>
      <c r="G321" s="65"/>
      <c r="H321" s="65"/>
      <c r="I321" s="103"/>
      <c r="J321" s="103"/>
      <c r="K321" s="65"/>
      <c r="L321" s="65"/>
      <c r="M321" s="65"/>
      <c r="N321" s="108"/>
    </row>
    <row r="322">
      <c r="A322" s="61"/>
      <c r="B322" s="61"/>
      <c r="C322" s="61"/>
      <c r="D322" s="61"/>
      <c r="E322" s="61"/>
      <c r="F322" s="61"/>
      <c r="G322" s="61"/>
      <c r="H322" s="61"/>
      <c r="I322" s="100"/>
      <c r="J322" s="100"/>
      <c r="K322" s="61"/>
      <c r="L322" s="61"/>
      <c r="M322" s="61"/>
      <c r="N322" s="107"/>
    </row>
    <row r="323">
      <c r="A323" s="65"/>
      <c r="B323" s="65"/>
      <c r="C323" s="65"/>
      <c r="D323" s="65"/>
      <c r="E323" s="65"/>
      <c r="F323" s="65"/>
      <c r="G323" s="65"/>
      <c r="H323" s="65"/>
      <c r="I323" s="103"/>
      <c r="J323" s="103"/>
      <c r="K323" s="65"/>
      <c r="L323" s="65"/>
      <c r="M323" s="65"/>
      <c r="N323" s="108"/>
    </row>
    <row r="324">
      <c r="A324" s="61"/>
      <c r="B324" s="61"/>
      <c r="C324" s="61"/>
      <c r="D324" s="61"/>
      <c r="E324" s="61"/>
      <c r="F324" s="61"/>
      <c r="G324" s="61"/>
      <c r="H324" s="61"/>
      <c r="I324" s="100"/>
      <c r="J324" s="100"/>
      <c r="K324" s="61"/>
      <c r="L324" s="61"/>
      <c r="M324" s="61"/>
      <c r="N324" s="107"/>
    </row>
    <row r="325">
      <c r="A325" s="65"/>
      <c r="B325" s="65"/>
      <c r="C325" s="65"/>
      <c r="D325" s="65"/>
      <c r="E325" s="65"/>
      <c r="F325" s="65"/>
      <c r="G325" s="65"/>
      <c r="H325" s="65"/>
      <c r="I325" s="103"/>
      <c r="J325" s="103"/>
      <c r="K325" s="65"/>
      <c r="L325" s="65"/>
      <c r="M325" s="65"/>
      <c r="N325" s="108"/>
    </row>
    <row r="326">
      <c r="A326" s="61"/>
      <c r="B326" s="61"/>
      <c r="C326" s="61"/>
      <c r="D326" s="61"/>
      <c r="E326" s="61"/>
      <c r="F326" s="61"/>
      <c r="G326" s="61"/>
      <c r="H326" s="61"/>
      <c r="I326" s="100"/>
      <c r="J326" s="100"/>
      <c r="K326" s="61"/>
      <c r="L326" s="61"/>
      <c r="M326" s="61"/>
      <c r="N326" s="107"/>
    </row>
    <row r="327">
      <c r="A327" s="65"/>
      <c r="B327" s="65"/>
      <c r="C327" s="65"/>
      <c r="D327" s="65"/>
      <c r="E327" s="65"/>
      <c r="F327" s="65"/>
      <c r="G327" s="65"/>
      <c r="H327" s="65"/>
      <c r="I327" s="103"/>
      <c r="J327" s="103"/>
      <c r="K327" s="65"/>
      <c r="L327" s="65"/>
      <c r="M327" s="65"/>
      <c r="N327" s="108"/>
    </row>
    <row r="328">
      <c r="A328" s="61"/>
      <c r="B328" s="61"/>
      <c r="C328" s="61"/>
      <c r="D328" s="61"/>
      <c r="E328" s="61"/>
      <c r="F328" s="61"/>
      <c r="G328" s="61"/>
      <c r="H328" s="61"/>
      <c r="I328" s="100"/>
      <c r="J328" s="100"/>
      <c r="K328" s="61"/>
      <c r="L328" s="61"/>
      <c r="M328" s="61"/>
      <c r="N328" s="107"/>
    </row>
    <row r="329">
      <c r="A329" s="65"/>
      <c r="B329" s="65"/>
      <c r="C329" s="65"/>
      <c r="D329" s="65"/>
      <c r="E329" s="65"/>
      <c r="F329" s="65"/>
      <c r="G329" s="65"/>
      <c r="H329" s="65"/>
      <c r="I329" s="103"/>
      <c r="J329" s="103"/>
      <c r="K329" s="65"/>
      <c r="L329" s="65"/>
      <c r="M329" s="65"/>
      <c r="N329" s="108"/>
    </row>
    <row r="330">
      <c r="A330" s="61"/>
      <c r="B330" s="61"/>
      <c r="C330" s="61"/>
      <c r="D330" s="61"/>
      <c r="E330" s="61"/>
      <c r="F330" s="61"/>
      <c r="G330" s="61"/>
      <c r="H330" s="61"/>
      <c r="I330" s="100"/>
      <c r="J330" s="100"/>
      <c r="K330" s="61"/>
      <c r="L330" s="61"/>
      <c r="M330" s="61"/>
      <c r="N330" s="107"/>
    </row>
    <row r="331">
      <c r="A331" s="65"/>
      <c r="B331" s="65"/>
      <c r="C331" s="65"/>
      <c r="D331" s="65"/>
      <c r="E331" s="65"/>
      <c r="F331" s="65"/>
      <c r="G331" s="65"/>
      <c r="H331" s="65"/>
      <c r="I331" s="103"/>
      <c r="J331" s="103"/>
      <c r="K331" s="65"/>
      <c r="L331" s="65"/>
      <c r="M331" s="65"/>
      <c r="N331" s="108"/>
    </row>
    <row r="332">
      <c r="A332" s="61"/>
      <c r="B332" s="61"/>
      <c r="C332" s="61"/>
      <c r="D332" s="61"/>
      <c r="E332" s="61"/>
      <c r="F332" s="61"/>
      <c r="G332" s="61"/>
      <c r="H332" s="61"/>
      <c r="I332" s="100"/>
      <c r="J332" s="100"/>
      <c r="K332" s="61"/>
      <c r="L332" s="61"/>
      <c r="M332" s="61"/>
      <c r="N332" s="107"/>
    </row>
    <row r="333">
      <c r="A333" s="65"/>
      <c r="B333" s="65"/>
      <c r="C333" s="65"/>
      <c r="D333" s="65"/>
      <c r="E333" s="65"/>
      <c r="F333" s="65"/>
      <c r="G333" s="65"/>
      <c r="H333" s="65"/>
      <c r="I333" s="103"/>
      <c r="J333" s="103"/>
      <c r="K333" s="65"/>
      <c r="L333" s="65"/>
      <c r="M333" s="65"/>
      <c r="N333" s="108"/>
    </row>
    <row r="334">
      <c r="A334" s="61"/>
      <c r="B334" s="61"/>
      <c r="C334" s="61"/>
      <c r="D334" s="61"/>
      <c r="E334" s="61"/>
      <c r="F334" s="61"/>
      <c r="G334" s="61"/>
      <c r="H334" s="61"/>
      <c r="I334" s="100"/>
      <c r="J334" s="100"/>
      <c r="K334" s="61"/>
      <c r="L334" s="61"/>
      <c r="M334" s="61"/>
      <c r="N334" s="107"/>
    </row>
    <row r="335">
      <c r="A335" s="65"/>
      <c r="B335" s="65"/>
      <c r="C335" s="65"/>
      <c r="D335" s="65"/>
      <c r="E335" s="65"/>
      <c r="F335" s="65"/>
      <c r="G335" s="65"/>
      <c r="H335" s="65"/>
      <c r="I335" s="103"/>
      <c r="J335" s="103"/>
      <c r="K335" s="65"/>
      <c r="L335" s="65"/>
      <c r="M335" s="65"/>
      <c r="N335" s="108"/>
    </row>
    <row r="336">
      <c r="A336" s="61"/>
      <c r="B336" s="61"/>
      <c r="C336" s="61"/>
      <c r="D336" s="61"/>
      <c r="E336" s="61"/>
      <c r="F336" s="61"/>
      <c r="G336" s="61"/>
      <c r="H336" s="61"/>
      <c r="I336" s="100"/>
      <c r="J336" s="100"/>
      <c r="K336" s="61"/>
      <c r="L336" s="61"/>
      <c r="M336" s="61"/>
      <c r="N336" s="107"/>
    </row>
    <row r="337">
      <c r="A337" s="65"/>
      <c r="B337" s="65"/>
      <c r="C337" s="65"/>
      <c r="D337" s="65"/>
      <c r="E337" s="65"/>
      <c r="F337" s="65"/>
      <c r="G337" s="65"/>
      <c r="H337" s="65"/>
      <c r="I337" s="103"/>
      <c r="J337" s="103"/>
      <c r="K337" s="65"/>
      <c r="L337" s="65"/>
      <c r="M337" s="65"/>
      <c r="N337" s="108"/>
    </row>
    <row r="338">
      <c r="A338" s="61"/>
      <c r="B338" s="61"/>
      <c r="C338" s="61"/>
      <c r="D338" s="61"/>
      <c r="E338" s="61"/>
      <c r="F338" s="61"/>
      <c r="G338" s="61"/>
      <c r="H338" s="61"/>
      <c r="I338" s="100"/>
      <c r="J338" s="100"/>
      <c r="K338" s="61"/>
      <c r="L338" s="61"/>
      <c r="M338" s="61"/>
      <c r="N338" s="107"/>
    </row>
    <row r="339">
      <c r="A339" s="65"/>
      <c r="B339" s="65"/>
      <c r="C339" s="65"/>
      <c r="D339" s="65"/>
      <c r="E339" s="65"/>
      <c r="F339" s="65"/>
      <c r="G339" s="65"/>
      <c r="H339" s="65"/>
      <c r="I339" s="103"/>
      <c r="J339" s="103"/>
      <c r="K339" s="65"/>
      <c r="L339" s="65"/>
      <c r="M339" s="65"/>
      <c r="N339" s="108"/>
    </row>
    <row r="340">
      <c r="A340" s="61"/>
      <c r="B340" s="61"/>
      <c r="C340" s="61"/>
      <c r="D340" s="61"/>
      <c r="E340" s="61"/>
      <c r="F340" s="61"/>
      <c r="G340" s="61"/>
      <c r="H340" s="61"/>
      <c r="I340" s="100"/>
      <c r="J340" s="100"/>
      <c r="K340" s="61"/>
      <c r="L340" s="61"/>
      <c r="M340" s="61"/>
      <c r="N340" s="107"/>
    </row>
    <row r="341">
      <c r="A341" s="65"/>
      <c r="B341" s="65"/>
      <c r="C341" s="65"/>
      <c r="D341" s="65"/>
      <c r="E341" s="65"/>
      <c r="F341" s="65"/>
      <c r="G341" s="65"/>
      <c r="H341" s="65"/>
      <c r="I341" s="103"/>
      <c r="J341" s="103"/>
      <c r="K341" s="65"/>
      <c r="L341" s="65"/>
      <c r="M341" s="65"/>
      <c r="N341" s="108"/>
    </row>
    <row r="342">
      <c r="A342" s="61"/>
      <c r="B342" s="61"/>
      <c r="C342" s="61"/>
      <c r="D342" s="61"/>
      <c r="E342" s="61"/>
      <c r="F342" s="61"/>
      <c r="G342" s="61"/>
      <c r="H342" s="61"/>
      <c r="I342" s="100"/>
      <c r="J342" s="100"/>
      <c r="K342" s="61"/>
      <c r="L342" s="61"/>
      <c r="M342" s="61"/>
      <c r="N342" s="107"/>
    </row>
    <row r="343">
      <c r="A343" s="65"/>
      <c r="B343" s="65"/>
      <c r="C343" s="65"/>
      <c r="D343" s="65"/>
      <c r="E343" s="65"/>
      <c r="F343" s="65"/>
      <c r="G343" s="65"/>
      <c r="H343" s="65"/>
      <c r="I343" s="103"/>
      <c r="J343" s="103"/>
      <c r="K343" s="65"/>
      <c r="L343" s="65"/>
      <c r="M343" s="65"/>
      <c r="N343" s="108"/>
    </row>
    <row r="344">
      <c r="A344" s="61"/>
      <c r="B344" s="61"/>
      <c r="C344" s="61"/>
      <c r="D344" s="61"/>
      <c r="E344" s="61"/>
      <c r="F344" s="61"/>
      <c r="G344" s="61"/>
      <c r="H344" s="61"/>
      <c r="I344" s="100"/>
      <c r="J344" s="100"/>
      <c r="K344" s="61"/>
      <c r="L344" s="61"/>
      <c r="M344" s="61"/>
      <c r="N344" s="107"/>
    </row>
    <row r="345">
      <c r="A345" s="65"/>
      <c r="B345" s="65"/>
      <c r="C345" s="65"/>
      <c r="D345" s="65"/>
      <c r="E345" s="65"/>
      <c r="F345" s="65"/>
      <c r="G345" s="65"/>
      <c r="H345" s="65"/>
      <c r="I345" s="103"/>
      <c r="J345" s="103"/>
      <c r="K345" s="65"/>
      <c r="L345" s="65"/>
      <c r="M345" s="65"/>
      <c r="N345" s="108"/>
    </row>
    <row r="346">
      <c r="A346" s="61"/>
      <c r="B346" s="61"/>
      <c r="C346" s="61"/>
      <c r="D346" s="61"/>
      <c r="E346" s="61"/>
      <c r="F346" s="61"/>
      <c r="G346" s="61"/>
      <c r="H346" s="61"/>
      <c r="I346" s="100"/>
      <c r="J346" s="100"/>
      <c r="K346" s="61"/>
      <c r="L346" s="61"/>
      <c r="M346" s="61"/>
      <c r="N346" s="107"/>
    </row>
    <row r="347">
      <c r="A347" s="65"/>
      <c r="B347" s="65"/>
      <c r="C347" s="65"/>
      <c r="D347" s="65"/>
      <c r="E347" s="65"/>
      <c r="F347" s="65"/>
      <c r="G347" s="65"/>
      <c r="H347" s="65"/>
      <c r="I347" s="103"/>
      <c r="J347" s="103"/>
      <c r="K347" s="65"/>
      <c r="L347" s="65"/>
      <c r="M347" s="65"/>
      <c r="N347" s="108"/>
    </row>
    <row r="348">
      <c r="A348" s="61"/>
      <c r="B348" s="61"/>
      <c r="C348" s="61"/>
      <c r="D348" s="61"/>
      <c r="E348" s="61"/>
      <c r="F348" s="61"/>
      <c r="G348" s="61"/>
      <c r="H348" s="61"/>
      <c r="I348" s="100"/>
      <c r="J348" s="100"/>
      <c r="K348" s="61"/>
      <c r="L348" s="61"/>
      <c r="M348" s="61"/>
      <c r="N348" s="107"/>
    </row>
    <row r="349">
      <c r="A349" s="65"/>
      <c r="B349" s="65"/>
      <c r="C349" s="65"/>
      <c r="D349" s="65"/>
      <c r="E349" s="65"/>
      <c r="F349" s="65"/>
      <c r="G349" s="65"/>
      <c r="H349" s="65"/>
      <c r="I349" s="103"/>
      <c r="J349" s="103"/>
      <c r="K349" s="65"/>
      <c r="L349" s="65"/>
      <c r="M349" s="65"/>
      <c r="N349" s="108"/>
    </row>
    <row r="350">
      <c r="A350" s="61"/>
      <c r="B350" s="61"/>
      <c r="C350" s="61"/>
      <c r="D350" s="61"/>
      <c r="E350" s="61"/>
      <c r="F350" s="61"/>
      <c r="G350" s="61"/>
      <c r="H350" s="61"/>
      <c r="I350" s="100"/>
      <c r="J350" s="100"/>
      <c r="K350" s="61"/>
      <c r="L350" s="61"/>
      <c r="M350" s="61"/>
      <c r="N350" s="107"/>
    </row>
    <row r="351">
      <c r="A351" s="65"/>
      <c r="B351" s="65"/>
      <c r="C351" s="65"/>
      <c r="D351" s="65"/>
      <c r="E351" s="65"/>
      <c r="F351" s="65"/>
      <c r="G351" s="65"/>
      <c r="H351" s="65"/>
      <c r="I351" s="103"/>
      <c r="J351" s="103"/>
      <c r="K351" s="65"/>
      <c r="L351" s="65"/>
      <c r="M351" s="65"/>
      <c r="N351" s="108"/>
    </row>
    <row r="352">
      <c r="A352" s="61"/>
      <c r="B352" s="61"/>
      <c r="C352" s="61"/>
      <c r="D352" s="61"/>
      <c r="E352" s="61"/>
      <c r="F352" s="61"/>
      <c r="G352" s="61"/>
      <c r="H352" s="61"/>
      <c r="I352" s="100"/>
      <c r="J352" s="100"/>
      <c r="K352" s="61"/>
      <c r="L352" s="61"/>
      <c r="M352" s="61"/>
      <c r="N352" s="107"/>
    </row>
    <row r="353">
      <c r="A353" s="65"/>
      <c r="B353" s="65"/>
      <c r="C353" s="65"/>
      <c r="D353" s="65"/>
      <c r="E353" s="65"/>
      <c r="F353" s="65"/>
      <c r="G353" s="65"/>
      <c r="H353" s="65"/>
      <c r="I353" s="103"/>
      <c r="J353" s="103"/>
      <c r="K353" s="65"/>
      <c r="L353" s="65"/>
      <c r="M353" s="65"/>
      <c r="N353" s="108"/>
    </row>
    <row r="354">
      <c r="A354" s="61"/>
      <c r="B354" s="61"/>
      <c r="C354" s="61"/>
      <c r="D354" s="61"/>
      <c r="E354" s="61"/>
      <c r="F354" s="61"/>
      <c r="G354" s="61"/>
      <c r="H354" s="61"/>
      <c r="I354" s="100"/>
      <c r="J354" s="100"/>
      <c r="K354" s="61"/>
      <c r="L354" s="61"/>
      <c r="M354" s="61"/>
      <c r="N354" s="107"/>
    </row>
    <row r="355">
      <c r="A355" s="65"/>
      <c r="B355" s="65"/>
      <c r="C355" s="65"/>
      <c r="D355" s="65"/>
      <c r="E355" s="65"/>
      <c r="F355" s="65"/>
      <c r="G355" s="65"/>
      <c r="H355" s="65"/>
      <c r="I355" s="103"/>
      <c r="J355" s="103"/>
      <c r="K355" s="65"/>
      <c r="L355" s="65"/>
      <c r="M355" s="65"/>
      <c r="N355" s="108"/>
    </row>
    <row r="356">
      <c r="A356" s="61"/>
      <c r="B356" s="61"/>
      <c r="C356" s="61"/>
      <c r="D356" s="61"/>
      <c r="E356" s="61"/>
      <c r="F356" s="61"/>
      <c r="G356" s="61"/>
      <c r="H356" s="61"/>
      <c r="I356" s="100"/>
      <c r="J356" s="100"/>
      <c r="K356" s="61"/>
      <c r="L356" s="61"/>
      <c r="M356" s="61"/>
      <c r="N356" s="107"/>
    </row>
    <row r="357">
      <c r="A357" s="65"/>
      <c r="B357" s="65"/>
      <c r="C357" s="65"/>
      <c r="D357" s="65"/>
      <c r="E357" s="65"/>
      <c r="F357" s="65"/>
      <c r="G357" s="65"/>
      <c r="H357" s="65"/>
      <c r="I357" s="103"/>
      <c r="J357" s="103"/>
      <c r="K357" s="65"/>
      <c r="L357" s="65"/>
      <c r="M357" s="65"/>
      <c r="N357" s="108"/>
    </row>
    <row r="358">
      <c r="A358" s="61"/>
      <c r="B358" s="61"/>
      <c r="C358" s="61"/>
      <c r="D358" s="61"/>
      <c r="E358" s="61"/>
      <c r="F358" s="61"/>
      <c r="G358" s="61"/>
      <c r="H358" s="61"/>
      <c r="I358" s="100"/>
      <c r="J358" s="100"/>
      <c r="K358" s="61"/>
      <c r="L358" s="61"/>
      <c r="M358" s="61"/>
      <c r="N358" s="107"/>
    </row>
    <row r="359">
      <c r="A359" s="65"/>
      <c r="B359" s="65"/>
      <c r="C359" s="65"/>
      <c r="D359" s="65"/>
      <c r="E359" s="65"/>
      <c r="F359" s="65"/>
      <c r="G359" s="65"/>
      <c r="H359" s="65"/>
      <c r="I359" s="103"/>
      <c r="J359" s="103"/>
      <c r="K359" s="65"/>
      <c r="L359" s="65"/>
      <c r="M359" s="65"/>
      <c r="N359" s="108"/>
    </row>
    <row r="360">
      <c r="A360" s="61"/>
      <c r="B360" s="61"/>
      <c r="C360" s="61"/>
      <c r="D360" s="61"/>
      <c r="E360" s="61"/>
      <c r="F360" s="61"/>
      <c r="G360" s="61"/>
      <c r="H360" s="61"/>
      <c r="I360" s="100"/>
      <c r="J360" s="100"/>
      <c r="K360" s="61"/>
      <c r="L360" s="61"/>
      <c r="M360" s="61"/>
      <c r="N360" s="107"/>
    </row>
    <row r="361">
      <c r="A361" s="65"/>
      <c r="B361" s="65"/>
      <c r="C361" s="65"/>
      <c r="D361" s="65"/>
      <c r="E361" s="65"/>
      <c r="F361" s="65"/>
      <c r="G361" s="65"/>
      <c r="H361" s="65"/>
      <c r="I361" s="103"/>
      <c r="J361" s="103"/>
      <c r="K361" s="65"/>
      <c r="L361" s="65"/>
      <c r="M361" s="65"/>
      <c r="N361" s="108"/>
    </row>
    <row r="362">
      <c r="A362" s="61"/>
      <c r="B362" s="61"/>
      <c r="C362" s="61"/>
      <c r="D362" s="61"/>
      <c r="E362" s="61"/>
      <c r="F362" s="61"/>
      <c r="G362" s="61"/>
      <c r="H362" s="61"/>
      <c r="I362" s="100"/>
      <c r="J362" s="100"/>
      <c r="K362" s="61"/>
      <c r="L362" s="61"/>
      <c r="M362" s="61"/>
      <c r="N362" s="107"/>
    </row>
    <row r="363">
      <c r="A363" s="65"/>
      <c r="B363" s="65"/>
      <c r="C363" s="65"/>
      <c r="D363" s="65"/>
      <c r="E363" s="65"/>
      <c r="F363" s="65"/>
      <c r="G363" s="65"/>
      <c r="H363" s="65"/>
      <c r="I363" s="103"/>
      <c r="J363" s="103"/>
      <c r="K363" s="65"/>
      <c r="L363" s="65"/>
      <c r="M363" s="65"/>
      <c r="N363" s="108"/>
    </row>
    <row r="364">
      <c r="A364" s="61"/>
      <c r="B364" s="61"/>
      <c r="C364" s="61"/>
      <c r="D364" s="61"/>
      <c r="E364" s="61"/>
      <c r="F364" s="61"/>
      <c r="G364" s="61"/>
      <c r="H364" s="61"/>
      <c r="I364" s="100"/>
      <c r="J364" s="100"/>
      <c r="K364" s="61"/>
      <c r="L364" s="61"/>
      <c r="M364" s="61"/>
      <c r="N364" s="107"/>
    </row>
    <row r="365">
      <c r="A365" s="65"/>
      <c r="B365" s="65"/>
      <c r="C365" s="65"/>
      <c r="D365" s="65"/>
      <c r="E365" s="65"/>
      <c r="F365" s="65"/>
      <c r="G365" s="65"/>
      <c r="H365" s="65"/>
      <c r="I365" s="103"/>
      <c r="J365" s="103"/>
      <c r="K365" s="65"/>
      <c r="L365" s="65"/>
      <c r="M365" s="65"/>
      <c r="N365" s="108"/>
    </row>
    <row r="366">
      <c r="A366" s="61"/>
      <c r="B366" s="61"/>
      <c r="C366" s="61"/>
      <c r="D366" s="61"/>
      <c r="E366" s="61"/>
      <c r="F366" s="61"/>
      <c r="G366" s="61"/>
      <c r="H366" s="61"/>
      <c r="I366" s="100"/>
      <c r="J366" s="100"/>
      <c r="K366" s="61"/>
      <c r="L366" s="61"/>
      <c r="M366" s="61"/>
      <c r="N366" s="107"/>
    </row>
    <row r="367">
      <c r="A367" s="65"/>
      <c r="B367" s="65"/>
      <c r="C367" s="65"/>
      <c r="D367" s="65"/>
      <c r="E367" s="65"/>
      <c r="F367" s="65"/>
      <c r="G367" s="65"/>
      <c r="H367" s="65"/>
      <c r="I367" s="103"/>
      <c r="J367" s="103"/>
      <c r="K367" s="65"/>
      <c r="L367" s="65"/>
      <c r="M367" s="65"/>
      <c r="N367" s="108"/>
    </row>
    <row r="368">
      <c r="A368" s="61"/>
      <c r="B368" s="61"/>
      <c r="C368" s="61"/>
      <c r="D368" s="61"/>
      <c r="E368" s="61"/>
      <c r="F368" s="61"/>
      <c r="G368" s="61"/>
      <c r="H368" s="61"/>
      <c r="I368" s="100"/>
      <c r="J368" s="100"/>
      <c r="K368" s="61"/>
      <c r="L368" s="61"/>
      <c r="M368" s="61"/>
      <c r="N368" s="107"/>
    </row>
    <row r="369">
      <c r="A369" s="65"/>
      <c r="B369" s="65"/>
      <c r="C369" s="65"/>
      <c r="D369" s="65"/>
      <c r="E369" s="65"/>
      <c r="F369" s="65"/>
      <c r="G369" s="65"/>
      <c r="H369" s="65"/>
      <c r="I369" s="103"/>
      <c r="J369" s="103"/>
      <c r="K369" s="65"/>
      <c r="L369" s="65"/>
      <c r="M369" s="65"/>
      <c r="N369" s="108"/>
    </row>
    <row r="370">
      <c r="A370" s="61"/>
      <c r="B370" s="61"/>
      <c r="C370" s="61"/>
      <c r="D370" s="61"/>
      <c r="E370" s="61"/>
      <c r="F370" s="61"/>
      <c r="G370" s="61"/>
      <c r="H370" s="61"/>
      <c r="I370" s="100"/>
      <c r="J370" s="100"/>
      <c r="K370" s="61"/>
      <c r="L370" s="61"/>
      <c r="M370" s="61"/>
      <c r="N370" s="107"/>
    </row>
    <row r="371">
      <c r="A371" s="65"/>
      <c r="B371" s="65"/>
      <c r="C371" s="65"/>
      <c r="D371" s="65"/>
      <c r="E371" s="65"/>
      <c r="F371" s="65"/>
      <c r="G371" s="65"/>
      <c r="H371" s="65"/>
      <c r="I371" s="103"/>
      <c r="J371" s="103"/>
      <c r="K371" s="65"/>
      <c r="L371" s="65"/>
      <c r="M371" s="65"/>
      <c r="N371" s="108"/>
    </row>
    <row r="372">
      <c r="A372" s="61"/>
      <c r="B372" s="61"/>
      <c r="C372" s="61"/>
      <c r="D372" s="61"/>
      <c r="E372" s="61"/>
      <c r="F372" s="61"/>
      <c r="G372" s="61"/>
      <c r="H372" s="61"/>
      <c r="I372" s="100"/>
      <c r="J372" s="100"/>
      <c r="K372" s="61"/>
      <c r="L372" s="61"/>
      <c r="M372" s="61"/>
      <c r="N372" s="107"/>
    </row>
    <row r="373">
      <c r="A373" s="65"/>
      <c r="B373" s="65"/>
      <c r="C373" s="65"/>
      <c r="D373" s="65"/>
      <c r="E373" s="65"/>
      <c r="F373" s="65"/>
      <c r="G373" s="65"/>
      <c r="H373" s="65"/>
      <c r="I373" s="103"/>
      <c r="J373" s="103"/>
      <c r="K373" s="65"/>
      <c r="L373" s="65"/>
      <c r="M373" s="65"/>
      <c r="N373" s="108"/>
    </row>
    <row r="374">
      <c r="A374" s="61"/>
      <c r="B374" s="61"/>
      <c r="C374" s="61"/>
      <c r="D374" s="61"/>
      <c r="E374" s="61"/>
      <c r="F374" s="61"/>
      <c r="G374" s="61"/>
      <c r="H374" s="61"/>
      <c r="I374" s="100"/>
      <c r="J374" s="100"/>
      <c r="K374" s="61"/>
      <c r="L374" s="61"/>
      <c r="M374" s="61"/>
      <c r="N374" s="107"/>
    </row>
    <row r="375">
      <c r="A375" s="65"/>
      <c r="B375" s="65"/>
      <c r="C375" s="65"/>
      <c r="D375" s="65"/>
      <c r="E375" s="65"/>
      <c r="F375" s="65"/>
      <c r="G375" s="65"/>
      <c r="H375" s="65"/>
      <c r="I375" s="103"/>
      <c r="J375" s="103"/>
      <c r="K375" s="65"/>
      <c r="L375" s="65"/>
      <c r="M375" s="65"/>
      <c r="N375" s="108"/>
    </row>
    <row r="376">
      <c r="A376" s="61"/>
      <c r="B376" s="61"/>
      <c r="C376" s="61"/>
      <c r="D376" s="61"/>
      <c r="E376" s="61"/>
      <c r="F376" s="61"/>
      <c r="G376" s="61"/>
      <c r="H376" s="61"/>
      <c r="I376" s="100"/>
      <c r="J376" s="100"/>
      <c r="K376" s="61"/>
      <c r="L376" s="61"/>
      <c r="M376" s="61"/>
      <c r="N376" s="107"/>
    </row>
    <row r="377">
      <c r="A377" s="65"/>
      <c r="B377" s="65"/>
      <c r="C377" s="65"/>
      <c r="D377" s="65"/>
      <c r="E377" s="65"/>
      <c r="F377" s="65"/>
      <c r="G377" s="65"/>
      <c r="H377" s="65"/>
      <c r="I377" s="103"/>
      <c r="J377" s="103"/>
      <c r="K377" s="65"/>
      <c r="L377" s="65"/>
      <c r="M377" s="65"/>
      <c r="N377" s="108"/>
    </row>
    <row r="378">
      <c r="A378" s="61"/>
      <c r="B378" s="61"/>
      <c r="C378" s="61"/>
      <c r="D378" s="61"/>
      <c r="E378" s="61"/>
      <c r="F378" s="61"/>
      <c r="G378" s="61"/>
      <c r="H378" s="61"/>
      <c r="I378" s="100"/>
      <c r="J378" s="100"/>
      <c r="K378" s="61"/>
      <c r="L378" s="61"/>
      <c r="M378" s="61"/>
      <c r="N378" s="107"/>
    </row>
    <row r="379">
      <c r="A379" s="65"/>
      <c r="B379" s="65"/>
      <c r="C379" s="65"/>
      <c r="D379" s="65"/>
      <c r="E379" s="65"/>
      <c r="F379" s="65"/>
      <c r="G379" s="65"/>
      <c r="H379" s="65"/>
      <c r="I379" s="103"/>
      <c r="J379" s="103"/>
      <c r="K379" s="65"/>
      <c r="L379" s="65"/>
      <c r="M379" s="65"/>
      <c r="N379" s="108"/>
    </row>
    <row r="380">
      <c r="A380" s="61"/>
      <c r="B380" s="61"/>
      <c r="C380" s="61"/>
      <c r="D380" s="61"/>
      <c r="E380" s="61"/>
      <c r="F380" s="61"/>
      <c r="G380" s="61"/>
      <c r="H380" s="61"/>
      <c r="I380" s="100"/>
      <c r="J380" s="100"/>
      <c r="K380" s="61"/>
      <c r="L380" s="61"/>
      <c r="M380" s="61"/>
      <c r="N380" s="107"/>
    </row>
    <row r="381">
      <c r="A381" s="65"/>
      <c r="B381" s="65"/>
      <c r="C381" s="65"/>
      <c r="D381" s="65"/>
      <c r="E381" s="65"/>
      <c r="F381" s="65"/>
      <c r="G381" s="65"/>
      <c r="H381" s="65"/>
      <c r="I381" s="103"/>
      <c r="J381" s="103"/>
      <c r="K381" s="65"/>
      <c r="L381" s="65"/>
      <c r="M381" s="65"/>
      <c r="N381" s="108"/>
    </row>
    <row r="382">
      <c r="A382" s="61"/>
      <c r="B382" s="61"/>
      <c r="C382" s="61"/>
      <c r="D382" s="61"/>
      <c r="E382" s="61"/>
      <c r="F382" s="61"/>
      <c r="G382" s="61"/>
      <c r="H382" s="61"/>
      <c r="I382" s="100"/>
      <c r="J382" s="100"/>
      <c r="K382" s="61"/>
      <c r="L382" s="61"/>
      <c r="M382" s="61"/>
      <c r="N382" s="107"/>
    </row>
    <row r="383">
      <c r="A383" s="65"/>
      <c r="B383" s="65"/>
      <c r="C383" s="65"/>
      <c r="D383" s="65"/>
      <c r="E383" s="65"/>
      <c r="F383" s="65"/>
      <c r="G383" s="65"/>
      <c r="H383" s="65"/>
      <c r="I383" s="103"/>
      <c r="J383" s="103"/>
      <c r="K383" s="65"/>
      <c r="L383" s="65"/>
      <c r="M383" s="65"/>
      <c r="N383" s="108"/>
    </row>
    <row r="384">
      <c r="A384" s="61"/>
      <c r="B384" s="61"/>
      <c r="C384" s="61"/>
      <c r="D384" s="61"/>
      <c r="E384" s="61"/>
      <c r="F384" s="61"/>
      <c r="G384" s="61"/>
      <c r="H384" s="61"/>
      <c r="I384" s="100"/>
      <c r="J384" s="100"/>
      <c r="K384" s="61"/>
      <c r="L384" s="61"/>
      <c r="M384" s="61"/>
      <c r="N384" s="107"/>
    </row>
    <row r="385">
      <c r="A385" s="65"/>
      <c r="B385" s="65"/>
      <c r="C385" s="65"/>
      <c r="D385" s="65"/>
      <c r="E385" s="65"/>
      <c r="F385" s="65"/>
      <c r="G385" s="65"/>
      <c r="H385" s="65"/>
      <c r="I385" s="103"/>
      <c r="J385" s="103"/>
      <c r="K385" s="65"/>
      <c r="L385" s="65"/>
      <c r="M385" s="65"/>
      <c r="N385" s="108"/>
    </row>
    <row r="386">
      <c r="A386" s="61"/>
      <c r="B386" s="61"/>
      <c r="C386" s="61"/>
      <c r="D386" s="61"/>
      <c r="E386" s="61"/>
      <c r="F386" s="61"/>
      <c r="G386" s="61"/>
      <c r="H386" s="61"/>
      <c r="I386" s="100"/>
      <c r="J386" s="100"/>
      <c r="K386" s="61"/>
      <c r="L386" s="61"/>
      <c r="M386" s="61"/>
      <c r="N386" s="107"/>
    </row>
    <row r="387">
      <c r="A387" s="65"/>
      <c r="B387" s="65"/>
      <c r="C387" s="65"/>
      <c r="D387" s="65"/>
      <c r="E387" s="65"/>
      <c r="F387" s="65"/>
      <c r="G387" s="65"/>
      <c r="H387" s="65"/>
      <c r="I387" s="103"/>
      <c r="J387" s="103"/>
      <c r="K387" s="65"/>
      <c r="L387" s="65"/>
      <c r="M387" s="65"/>
      <c r="N387" s="108"/>
    </row>
    <row r="388">
      <c r="A388" s="61"/>
      <c r="B388" s="61"/>
      <c r="C388" s="61"/>
      <c r="D388" s="61"/>
      <c r="E388" s="61"/>
      <c r="F388" s="61"/>
      <c r="G388" s="61"/>
      <c r="H388" s="61"/>
      <c r="I388" s="100"/>
      <c r="J388" s="100"/>
      <c r="K388" s="61"/>
      <c r="L388" s="61"/>
      <c r="M388" s="61"/>
      <c r="N388" s="107"/>
    </row>
    <row r="389">
      <c r="A389" s="65"/>
      <c r="B389" s="65"/>
      <c r="C389" s="65"/>
      <c r="D389" s="65"/>
      <c r="E389" s="65"/>
      <c r="F389" s="65"/>
      <c r="G389" s="65"/>
      <c r="H389" s="65"/>
      <c r="I389" s="103"/>
      <c r="J389" s="103"/>
      <c r="K389" s="65"/>
      <c r="L389" s="65"/>
      <c r="M389" s="65"/>
      <c r="N389" s="108"/>
    </row>
    <row r="390">
      <c r="A390" s="61"/>
      <c r="B390" s="61"/>
      <c r="C390" s="61"/>
      <c r="D390" s="61"/>
      <c r="E390" s="61"/>
      <c r="F390" s="61"/>
      <c r="G390" s="61"/>
      <c r="H390" s="61"/>
      <c r="I390" s="100"/>
      <c r="J390" s="100"/>
      <c r="K390" s="61"/>
      <c r="L390" s="61"/>
      <c r="M390" s="61"/>
      <c r="N390" s="107"/>
    </row>
    <row r="391">
      <c r="A391" s="65"/>
      <c r="B391" s="65"/>
      <c r="C391" s="65"/>
      <c r="D391" s="65"/>
      <c r="E391" s="65"/>
      <c r="F391" s="65"/>
      <c r="G391" s="65"/>
      <c r="H391" s="65"/>
      <c r="I391" s="103"/>
      <c r="J391" s="103"/>
      <c r="K391" s="65"/>
      <c r="L391" s="65"/>
      <c r="M391" s="65"/>
      <c r="N391" s="108"/>
    </row>
    <row r="392">
      <c r="A392" s="61"/>
      <c r="B392" s="61"/>
      <c r="C392" s="61"/>
      <c r="D392" s="61"/>
      <c r="E392" s="61"/>
      <c r="F392" s="61"/>
      <c r="G392" s="61"/>
      <c r="H392" s="61"/>
      <c r="I392" s="100"/>
      <c r="J392" s="100"/>
      <c r="K392" s="61"/>
      <c r="L392" s="61"/>
      <c r="M392" s="61"/>
      <c r="N392" s="107"/>
    </row>
    <row r="393">
      <c r="A393" s="65"/>
      <c r="B393" s="65"/>
      <c r="C393" s="65"/>
      <c r="D393" s="65"/>
      <c r="E393" s="65"/>
      <c r="F393" s="65"/>
      <c r="G393" s="65"/>
      <c r="H393" s="65"/>
      <c r="I393" s="103"/>
      <c r="J393" s="103"/>
      <c r="K393" s="65"/>
      <c r="L393" s="65"/>
      <c r="M393" s="65"/>
      <c r="N393" s="108"/>
    </row>
    <row r="394">
      <c r="A394" s="61"/>
      <c r="B394" s="61"/>
      <c r="C394" s="61"/>
      <c r="D394" s="61"/>
      <c r="E394" s="61"/>
      <c r="F394" s="61"/>
      <c r="G394" s="61"/>
      <c r="H394" s="61"/>
      <c r="I394" s="100"/>
      <c r="J394" s="100"/>
      <c r="K394" s="61"/>
      <c r="L394" s="61"/>
      <c r="M394" s="61"/>
      <c r="N394" s="107"/>
    </row>
    <row r="395">
      <c r="A395" s="65"/>
      <c r="B395" s="65"/>
      <c r="C395" s="65"/>
      <c r="D395" s="65"/>
      <c r="E395" s="65"/>
      <c r="F395" s="65"/>
      <c r="G395" s="65"/>
      <c r="H395" s="65"/>
      <c r="I395" s="103"/>
      <c r="J395" s="103"/>
      <c r="K395" s="65"/>
      <c r="L395" s="65"/>
      <c r="M395" s="65"/>
      <c r="N395" s="108"/>
    </row>
    <row r="396">
      <c r="A396" s="61"/>
      <c r="B396" s="61"/>
      <c r="C396" s="61"/>
      <c r="D396" s="61"/>
      <c r="E396" s="61"/>
      <c r="F396" s="61"/>
      <c r="G396" s="61"/>
      <c r="H396" s="61"/>
      <c r="I396" s="100"/>
      <c r="J396" s="100"/>
      <c r="K396" s="61"/>
      <c r="L396" s="61"/>
      <c r="M396" s="61"/>
      <c r="N396" s="107"/>
    </row>
    <row r="397">
      <c r="A397" s="65"/>
      <c r="B397" s="65"/>
      <c r="C397" s="65"/>
      <c r="D397" s="65"/>
      <c r="E397" s="65"/>
      <c r="F397" s="65"/>
      <c r="G397" s="65"/>
      <c r="H397" s="65"/>
      <c r="I397" s="103"/>
      <c r="J397" s="103"/>
      <c r="K397" s="65"/>
      <c r="L397" s="65"/>
      <c r="M397" s="65"/>
      <c r="N397" s="108"/>
    </row>
    <row r="398">
      <c r="A398" s="61"/>
      <c r="B398" s="61"/>
      <c r="C398" s="61"/>
      <c r="D398" s="61"/>
      <c r="E398" s="61"/>
      <c r="F398" s="61"/>
      <c r="G398" s="61"/>
      <c r="H398" s="61"/>
      <c r="I398" s="100"/>
      <c r="J398" s="100"/>
      <c r="K398" s="61"/>
      <c r="L398" s="61"/>
      <c r="M398" s="61"/>
      <c r="N398" s="107"/>
    </row>
    <row r="399">
      <c r="A399" s="65"/>
      <c r="B399" s="65"/>
      <c r="C399" s="65"/>
      <c r="D399" s="65"/>
      <c r="E399" s="65"/>
      <c r="F399" s="65"/>
      <c r="G399" s="65"/>
      <c r="H399" s="65"/>
      <c r="I399" s="103"/>
      <c r="J399" s="103"/>
      <c r="K399" s="65"/>
      <c r="L399" s="65"/>
      <c r="M399" s="65"/>
      <c r="N399" s="108"/>
    </row>
    <row r="400">
      <c r="A400" s="61"/>
      <c r="B400" s="61"/>
      <c r="C400" s="61"/>
      <c r="D400" s="61"/>
      <c r="E400" s="61"/>
      <c r="F400" s="61"/>
      <c r="G400" s="61"/>
      <c r="H400" s="61"/>
      <c r="I400" s="100"/>
      <c r="J400" s="100"/>
      <c r="K400" s="61"/>
      <c r="L400" s="61"/>
      <c r="M400" s="61"/>
      <c r="N400" s="107"/>
    </row>
    <row r="401">
      <c r="A401" s="65"/>
      <c r="B401" s="65"/>
      <c r="C401" s="65"/>
      <c r="D401" s="65"/>
      <c r="E401" s="65"/>
      <c r="F401" s="65"/>
      <c r="G401" s="65"/>
      <c r="H401" s="65"/>
      <c r="I401" s="103"/>
      <c r="J401" s="103"/>
      <c r="K401" s="65"/>
      <c r="L401" s="65"/>
      <c r="M401" s="65"/>
      <c r="N401" s="108"/>
    </row>
    <row r="402">
      <c r="A402" s="61"/>
      <c r="B402" s="61"/>
      <c r="C402" s="61"/>
      <c r="D402" s="61"/>
      <c r="E402" s="61"/>
      <c r="F402" s="61"/>
      <c r="G402" s="61"/>
      <c r="H402" s="61"/>
      <c r="I402" s="100"/>
      <c r="J402" s="100"/>
      <c r="K402" s="61"/>
      <c r="L402" s="61"/>
      <c r="M402" s="61"/>
      <c r="N402" s="107"/>
    </row>
    <row r="403">
      <c r="A403" s="65"/>
      <c r="B403" s="65"/>
      <c r="C403" s="65"/>
      <c r="D403" s="65"/>
      <c r="E403" s="65"/>
      <c r="F403" s="65"/>
      <c r="G403" s="65"/>
      <c r="H403" s="65"/>
      <c r="I403" s="103"/>
      <c r="J403" s="103"/>
      <c r="K403" s="65"/>
      <c r="L403" s="65"/>
      <c r="M403" s="65"/>
      <c r="N403" s="108"/>
    </row>
    <row r="404">
      <c r="A404" s="61"/>
      <c r="B404" s="61"/>
      <c r="C404" s="61"/>
      <c r="D404" s="61"/>
      <c r="E404" s="61"/>
      <c r="F404" s="61"/>
      <c r="G404" s="61"/>
      <c r="H404" s="61"/>
      <c r="I404" s="100"/>
      <c r="J404" s="100"/>
      <c r="K404" s="61"/>
      <c r="L404" s="61"/>
      <c r="M404" s="61"/>
      <c r="N404" s="107"/>
    </row>
    <row r="405">
      <c r="A405" s="65"/>
      <c r="B405" s="65"/>
      <c r="C405" s="65"/>
      <c r="D405" s="65"/>
      <c r="E405" s="65"/>
      <c r="F405" s="65"/>
      <c r="G405" s="65"/>
      <c r="H405" s="65"/>
      <c r="I405" s="103"/>
      <c r="J405" s="103"/>
      <c r="K405" s="65"/>
      <c r="L405" s="65"/>
      <c r="M405" s="65"/>
      <c r="N405" s="108"/>
    </row>
    <row r="406">
      <c r="A406" s="61"/>
      <c r="B406" s="61"/>
      <c r="C406" s="61"/>
      <c r="D406" s="61"/>
      <c r="E406" s="61"/>
      <c r="F406" s="61"/>
      <c r="G406" s="61"/>
      <c r="H406" s="61"/>
      <c r="I406" s="100"/>
      <c r="J406" s="100"/>
      <c r="K406" s="61"/>
      <c r="L406" s="61"/>
      <c r="M406" s="61"/>
      <c r="N406" s="107"/>
    </row>
    <row r="407">
      <c r="A407" s="65"/>
      <c r="B407" s="65"/>
      <c r="C407" s="65"/>
      <c r="D407" s="65"/>
      <c r="E407" s="65"/>
      <c r="F407" s="65"/>
      <c r="G407" s="65"/>
      <c r="H407" s="65"/>
      <c r="I407" s="103"/>
      <c r="J407" s="103"/>
      <c r="K407" s="65"/>
      <c r="L407" s="65"/>
      <c r="M407" s="65"/>
      <c r="N407" s="108"/>
    </row>
    <row r="408">
      <c r="A408" s="61"/>
      <c r="B408" s="61"/>
      <c r="C408" s="61"/>
      <c r="D408" s="61"/>
      <c r="E408" s="61"/>
      <c r="F408" s="61"/>
      <c r="G408" s="61"/>
      <c r="H408" s="61"/>
      <c r="I408" s="100"/>
      <c r="J408" s="100"/>
      <c r="K408" s="61"/>
      <c r="L408" s="61"/>
      <c r="M408" s="61"/>
      <c r="N408" s="107"/>
    </row>
    <row r="409">
      <c r="A409" s="65"/>
      <c r="B409" s="65"/>
      <c r="C409" s="65"/>
      <c r="D409" s="65"/>
      <c r="E409" s="65"/>
      <c r="F409" s="65"/>
      <c r="G409" s="65"/>
      <c r="H409" s="65"/>
      <c r="I409" s="103"/>
      <c r="J409" s="103"/>
      <c r="K409" s="65"/>
      <c r="L409" s="65"/>
      <c r="M409" s="65"/>
      <c r="N409" s="108"/>
    </row>
    <row r="410">
      <c r="A410" s="61"/>
      <c r="B410" s="61"/>
      <c r="C410" s="61"/>
      <c r="D410" s="61"/>
      <c r="E410" s="61"/>
      <c r="F410" s="61"/>
      <c r="G410" s="61"/>
      <c r="H410" s="61"/>
      <c r="I410" s="100"/>
      <c r="J410" s="100"/>
      <c r="K410" s="61"/>
      <c r="L410" s="61"/>
      <c r="M410" s="61"/>
      <c r="N410" s="107"/>
    </row>
    <row r="411">
      <c r="A411" s="65"/>
      <c r="B411" s="65"/>
      <c r="C411" s="65"/>
      <c r="D411" s="65"/>
      <c r="E411" s="65"/>
      <c r="F411" s="65"/>
      <c r="G411" s="65"/>
      <c r="H411" s="65"/>
      <c r="I411" s="103"/>
      <c r="J411" s="103"/>
      <c r="K411" s="65"/>
      <c r="L411" s="65"/>
      <c r="M411" s="65"/>
      <c r="N411" s="108"/>
    </row>
    <row r="412">
      <c r="A412" s="61"/>
      <c r="B412" s="61"/>
      <c r="C412" s="61"/>
      <c r="D412" s="61"/>
      <c r="E412" s="61"/>
      <c r="F412" s="61"/>
      <c r="G412" s="61"/>
      <c r="H412" s="61"/>
      <c r="I412" s="100"/>
      <c r="J412" s="100"/>
      <c r="K412" s="61"/>
      <c r="L412" s="61"/>
      <c r="M412" s="61"/>
      <c r="N412" s="107"/>
    </row>
    <row r="413">
      <c r="A413" s="65"/>
      <c r="B413" s="65"/>
      <c r="C413" s="65"/>
      <c r="D413" s="65"/>
      <c r="E413" s="65"/>
      <c r="F413" s="65"/>
      <c r="G413" s="65"/>
      <c r="H413" s="65"/>
      <c r="I413" s="103"/>
      <c r="J413" s="103"/>
      <c r="K413" s="65"/>
      <c r="L413" s="65"/>
      <c r="M413" s="65"/>
      <c r="N413" s="108"/>
    </row>
    <row r="414">
      <c r="A414" s="61"/>
      <c r="B414" s="61"/>
      <c r="C414" s="61"/>
      <c r="D414" s="61"/>
      <c r="E414" s="61"/>
      <c r="F414" s="61"/>
      <c r="G414" s="61"/>
      <c r="H414" s="61"/>
      <c r="I414" s="100"/>
      <c r="J414" s="100"/>
      <c r="K414" s="61"/>
      <c r="L414" s="61"/>
      <c r="M414" s="61"/>
      <c r="N414" s="107"/>
    </row>
    <row r="415">
      <c r="A415" s="65"/>
      <c r="B415" s="65"/>
      <c r="C415" s="65"/>
      <c r="D415" s="65"/>
      <c r="E415" s="65"/>
      <c r="F415" s="65"/>
      <c r="G415" s="65"/>
      <c r="H415" s="65"/>
      <c r="I415" s="103"/>
      <c r="J415" s="103"/>
      <c r="K415" s="65"/>
      <c r="L415" s="65"/>
      <c r="M415" s="65"/>
      <c r="N415" s="108"/>
    </row>
    <row r="416">
      <c r="A416" s="61"/>
      <c r="B416" s="61"/>
      <c r="C416" s="61"/>
      <c r="D416" s="61"/>
      <c r="E416" s="61"/>
      <c r="F416" s="61"/>
      <c r="G416" s="61"/>
      <c r="H416" s="61"/>
      <c r="I416" s="100"/>
      <c r="J416" s="100"/>
      <c r="K416" s="61"/>
      <c r="L416" s="61"/>
      <c r="M416" s="61"/>
      <c r="N416" s="107"/>
    </row>
    <row r="417">
      <c r="A417" s="65"/>
      <c r="B417" s="65"/>
      <c r="C417" s="65"/>
      <c r="D417" s="65"/>
      <c r="E417" s="65"/>
      <c r="F417" s="65"/>
      <c r="G417" s="65"/>
      <c r="H417" s="65"/>
      <c r="I417" s="103"/>
      <c r="J417" s="103"/>
      <c r="K417" s="65"/>
      <c r="L417" s="65"/>
      <c r="M417" s="65"/>
      <c r="N417" s="108"/>
    </row>
    <row r="418">
      <c r="A418" s="61"/>
      <c r="B418" s="61"/>
      <c r="C418" s="61"/>
      <c r="D418" s="61"/>
      <c r="E418" s="61"/>
      <c r="F418" s="61"/>
      <c r="G418" s="61"/>
      <c r="H418" s="61"/>
      <c r="I418" s="100"/>
      <c r="J418" s="100"/>
      <c r="K418" s="61"/>
      <c r="L418" s="61"/>
      <c r="M418" s="61"/>
      <c r="N418" s="107"/>
    </row>
    <row r="419">
      <c r="A419" s="65"/>
      <c r="B419" s="65"/>
      <c r="C419" s="65"/>
      <c r="D419" s="65"/>
      <c r="E419" s="65"/>
      <c r="F419" s="65"/>
      <c r="G419" s="65"/>
      <c r="H419" s="65"/>
      <c r="I419" s="103"/>
      <c r="J419" s="103"/>
      <c r="K419" s="65"/>
      <c r="L419" s="65"/>
      <c r="M419" s="65"/>
      <c r="N419" s="108"/>
    </row>
    <row r="420">
      <c r="A420" s="61"/>
      <c r="B420" s="61"/>
      <c r="C420" s="61"/>
      <c r="D420" s="61"/>
      <c r="E420" s="61"/>
      <c r="F420" s="61"/>
      <c r="G420" s="61"/>
      <c r="H420" s="61"/>
      <c r="I420" s="100"/>
      <c r="J420" s="100"/>
      <c r="K420" s="61"/>
      <c r="L420" s="61"/>
      <c r="M420" s="61"/>
      <c r="N420" s="107"/>
    </row>
    <row r="421">
      <c r="A421" s="65"/>
      <c r="B421" s="65"/>
      <c r="C421" s="65"/>
      <c r="D421" s="65"/>
      <c r="E421" s="65"/>
      <c r="F421" s="65"/>
      <c r="G421" s="65"/>
      <c r="H421" s="65"/>
      <c r="I421" s="103"/>
      <c r="J421" s="103"/>
      <c r="K421" s="65"/>
      <c r="L421" s="65"/>
      <c r="M421" s="65"/>
      <c r="N421" s="108"/>
    </row>
    <row r="422">
      <c r="A422" s="61"/>
      <c r="B422" s="61"/>
      <c r="C422" s="61"/>
      <c r="D422" s="61"/>
      <c r="E422" s="61"/>
      <c r="F422" s="61"/>
      <c r="G422" s="61"/>
      <c r="H422" s="61"/>
      <c r="I422" s="100"/>
      <c r="J422" s="100"/>
      <c r="K422" s="61"/>
      <c r="L422" s="61"/>
      <c r="M422" s="61"/>
      <c r="N422" s="107"/>
    </row>
    <row r="423">
      <c r="A423" s="65"/>
      <c r="B423" s="65"/>
      <c r="C423" s="65"/>
      <c r="D423" s="65"/>
      <c r="E423" s="65"/>
      <c r="F423" s="65"/>
      <c r="G423" s="65"/>
      <c r="H423" s="65"/>
      <c r="I423" s="103"/>
      <c r="J423" s="103"/>
      <c r="K423" s="65"/>
      <c r="L423" s="65"/>
      <c r="M423" s="65"/>
      <c r="N423" s="108"/>
    </row>
    <row r="424">
      <c r="A424" s="61"/>
      <c r="B424" s="61"/>
      <c r="C424" s="61"/>
      <c r="D424" s="61"/>
      <c r="E424" s="61"/>
      <c r="F424" s="61"/>
      <c r="G424" s="61"/>
      <c r="H424" s="61"/>
      <c r="I424" s="100"/>
      <c r="J424" s="100"/>
      <c r="K424" s="61"/>
      <c r="L424" s="61"/>
      <c r="M424" s="61"/>
      <c r="N424" s="107"/>
    </row>
    <row r="425">
      <c r="A425" s="65"/>
      <c r="B425" s="65"/>
      <c r="C425" s="65"/>
      <c r="D425" s="65"/>
      <c r="E425" s="65"/>
      <c r="F425" s="65"/>
      <c r="G425" s="65"/>
      <c r="H425" s="65"/>
      <c r="I425" s="103"/>
      <c r="J425" s="103"/>
      <c r="K425" s="65"/>
      <c r="L425" s="65"/>
      <c r="M425" s="65"/>
      <c r="N425" s="108"/>
    </row>
    <row r="426">
      <c r="A426" s="61"/>
      <c r="B426" s="61"/>
      <c r="C426" s="61"/>
      <c r="D426" s="61"/>
      <c r="E426" s="61"/>
      <c r="F426" s="61"/>
      <c r="G426" s="61"/>
      <c r="H426" s="61"/>
      <c r="I426" s="100"/>
      <c r="J426" s="100"/>
      <c r="K426" s="61"/>
      <c r="L426" s="61"/>
      <c r="M426" s="61"/>
      <c r="N426" s="107"/>
    </row>
    <row r="427">
      <c r="A427" s="65"/>
      <c r="B427" s="65"/>
      <c r="C427" s="65"/>
      <c r="D427" s="65"/>
      <c r="E427" s="65"/>
      <c r="F427" s="65"/>
      <c r="G427" s="65"/>
      <c r="H427" s="65"/>
      <c r="I427" s="103"/>
      <c r="J427" s="103"/>
      <c r="K427" s="65"/>
      <c r="L427" s="65"/>
      <c r="M427" s="65"/>
      <c r="N427" s="108"/>
    </row>
    <row r="428">
      <c r="A428" s="61"/>
      <c r="B428" s="61"/>
      <c r="C428" s="61"/>
      <c r="D428" s="61"/>
      <c r="E428" s="61"/>
      <c r="F428" s="61"/>
      <c r="G428" s="61"/>
      <c r="H428" s="61"/>
      <c r="I428" s="100"/>
      <c r="J428" s="100"/>
      <c r="K428" s="61"/>
      <c r="L428" s="61"/>
      <c r="M428" s="61"/>
      <c r="N428" s="107"/>
    </row>
    <row r="429">
      <c r="A429" s="65"/>
      <c r="B429" s="65"/>
      <c r="C429" s="65"/>
      <c r="D429" s="65"/>
      <c r="E429" s="65"/>
      <c r="F429" s="65"/>
      <c r="G429" s="65"/>
      <c r="H429" s="65"/>
      <c r="I429" s="103"/>
      <c r="J429" s="103"/>
      <c r="K429" s="65"/>
      <c r="L429" s="65"/>
      <c r="M429" s="65"/>
      <c r="N429" s="108"/>
    </row>
    <row r="430">
      <c r="A430" s="61"/>
      <c r="B430" s="61"/>
      <c r="C430" s="61"/>
      <c r="D430" s="61"/>
      <c r="E430" s="61"/>
      <c r="F430" s="61"/>
      <c r="G430" s="61"/>
      <c r="H430" s="61"/>
      <c r="I430" s="100"/>
      <c r="J430" s="100"/>
      <c r="K430" s="61"/>
      <c r="L430" s="61"/>
      <c r="M430" s="61"/>
      <c r="N430" s="107"/>
    </row>
    <row r="431">
      <c r="A431" s="65"/>
      <c r="B431" s="65"/>
      <c r="C431" s="65"/>
      <c r="D431" s="65"/>
      <c r="E431" s="65"/>
      <c r="F431" s="65"/>
      <c r="G431" s="65"/>
      <c r="H431" s="65"/>
      <c r="I431" s="103"/>
      <c r="J431" s="103"/>
      <c r="K431" s="65"/>
      <c r="L431" s="65"/>
      <c r="M431" s="65"/>
      <c r="N431" s="108"/>
    </row>
    <row r="432">
      <c r="A432" s="61"/>
      <c r="B432" s="61"/>
      <c r="C432" s="61"/>
      <c r="D432" s="61"/>
      <c r="E432" s="61"/>
      <c r="F432" s="61"/>
      <c r="G432" s="61"/>
      <c r="H432" s="61"/>
      <c r="I432" s="100"/>
      <c r="J432" s="100"/>
      <c r="K432" s="61"/>
      <c r="L432" s="61"/>
      <c r="M432" s="61"/>
      <c r="N432" s="107"/>
    </row>
    <row r="433">
      <c r="A433" s="65"/>
      <c r="B433" s="65"/>
      <c r="C433" s="65"/>
      <c r="D433" s="65"/>
      <c r="E433" s="65"/>
      <c r="F433" s="65"/>
      <c r="G433" s="65"/>
      <c r="H433" s="65"/>
      <c r="I433" s="103"/>
      <c r="J433" s="103"/>
      <c r="K433" s="65"/>
      <c r="L433" s="65"/>
      <c r="M433" s="65"/>
      <c r="N433" s="108"/>
    </row>
    <row r="434">
      <c r="A434" s="61"/>
      <c r="B434" s="61"/>
      <c r="C434" s="61"/>
      <c r="D434" s="61"/>
      <c r="E434" s="61"/>
      <c r="F434" s="61"/>
      <c r="G434" s="61"/>
      <c r="H434" s="61"/>
      <c r="I434" s="100"/>
      <c r="J434" s="100"/>
      <c r="K434" s="61"/>
      <c r="L434" s="61"/>
      <c r="M434" s="61"/>
      <c r="N434" s="107"/>
    </row>
    <row r="435">
      <c r="A435" s="65"/>
      <c r="B435" s="65"/>
      <c r="C435" s="65"/>
      <c r="D435" s="65"/>
      <c r="E435" s="65"/>
      <c r="F435" s="65"/>
      <c r="G435" s="65"/>
      <c r="H435" s="65"/>
      <c r="I435" s="103"/>
      <c r="J435" s="103"/>
      <c r="K435" s="65"/>
      <c r="L435" s="65"/>
      <c r="M435" s="65"/>
      <c r="N435" s="108"/>
    </row>
    <row r="436">
      <c r="A436" s="61"/>
      <c r="B436" s="61"/>
      <c r="C436" s="61"/>
      <c r="D436" s="61"/>
      <c r="E436" s="61"/>
      <c r="F436" s="61"/>
      <c r="G436" s="61"/>
      <c r="H436" s="61"/>
      <c r="I436" s="100"/>
      <c r="J436" s="100"/>
      <c r="K436" s="61"/>
      <c r="L436" s="61"/>
      <c r="M436" s="61"/>
      <c r="N436" s="107"/>
    </row>
    <row r="437">
      <c r="A437" s="65"/>
      <c r="B437" s="65"/>
      <c r="C437" s="65"/>
      <c r="D437" s="65"/>
      <c r="E437" s="65"/>
      <c r="F437" s="65"/>
      <c r="G437" s="65"/>
      <c r="H437" s="65"/>
      <c r="I437" s="103"/>
      <c r="J437" s="103"/>
      <c r="K437" s="65"/>
      <c r="L437" s="65"/>
      <c r="M437" s="65"/>
      <c r="N437" s="108"/>
    </row>
    <row r="438">
      <c r="A438" s="61"/>
      <c r="B438" s="61"/>
      <c r="C438" s="61"/>
      <c r="D438" s="61"/>
      <c r="E438" s="61"/>
      <c r="F438" s="61"/>
      <c r="G438" s="61"/>
      <c r="H438" s="61"/>
      <c r="I438" s="100"/>
      <c r="J438" s="100"/>
      <c r="K438" s="61"/>
      <c r="L438" s="61"/>
      <c r="M438" s="61"/>
      <c r="N438" s="107"/>
    </row>
    <row r="439">
      <c r="A439" s="65"/>
      <c r="B439" s="65"/>
      <c r="C439" s="65"/>
      <c r="D439" s="65"/>
      <c r="E439" s="65"/>
      <c r="F439" s="65"/>
      <c r="G439" s="65"/>
      <c r="H439" s="65"/>
      <c r="I439" s="103"/>
      <c r="J439" s="103"/>
      <c r="K439" s="65"/>
      <c r="L439" s="65"/>
      <c r="M439" s="65"/>
      <c r="N439" s="108"/>
    </row>
    <row r="440">
      <c r="A440" s="61"/>
      <c r="B440" s="61"/>
      <c r="C440" s="61"/>
      <c r="D440" s="61"/>
      <c r="E440" s="61"/>
      <c r="F440" s="61"/>
      <c r="G440" s="61"/>
      <c r="H440" s="61"/>
      <c r="I440" s="100"/>
      <c r="J440" s="100"/>
      <c r="K440" s="61"/>
      <c r="L440" s="61"/>
      <c r="M440" s="61"/>
      <c r="N440" s="107"/>
    </row>
    <row r="441">
      <c r="A441" s="65"/>
      <c r="B441" s="65"/>
      <c r="C441" s="65"/>
      <c r="D441" s="65"/>
      <c r="E441" s="65"/>
      <c r="F441" s="65"/>
      <c r="G441" s="65"/>
      <c r="H441" s="65"/>
      <c r="I441" s="103"/>
      <c r="J441" s="103"/>
      <c r="K441" s="65"/>
      <c r="L441" s="65"/>
      <c r="M441" s="65"/>
      <c r="N441" s="108"/>
    </row>
    <row r="442">
      <c r="A442" s="61"/>
      <c r="B442" s="61"/>
      <c r="C442" s="61"/>
      <c r="D442" s="61"/>
      <c r="E442" s="61"/>
      <c r="F442" s="61"/>
      <c r="G442" s="61"/>
      <c r="H442" s="61"/>
      <c r="I442" s="100"/>
      <c r="J442" s="100"/>
      <c r="K442" s="61"/>
      <c r="L442" s="61"/>
      <c r="M442" s="61"/>
      <c r="N442" s="107"/>
    </row>
    <row r="443">
      <c r="A443" s="65"/>
      <c r="B443" s="65"/>
      <c r="C443" s="65"/>
      <c r="D443" s="65"/>
      <c r="E443" s="65"/>
      <c r="F443" s="65"/>
      <c r="G443" s="65"/>
      <c r="H443" s="65"/>
      <c r="I443" s="103"/>
      <c r="J443" s="103"/>
      <c r="K443" s="65"/>
      <c r="L443" s="65"/>
      <c r="M443" s="65"/>
      <c r="N443" s="108"/>
    </row>
    <row r="444">
      <c r="A444" s="61"/>
      <c r="B444" s="61"/>
      <c r="C444" s="61"/>
      <c r="D444" s="61"/>
      <c r="E444" s="61"/>
      <c r="F444" s="61"/>
      <c r="G444" s="61"/>
      <c r="H444" s="61"/>
      <c r="I444" s="100"/>
      <c r="J444" s="100"/>
      <c r="K444" s="61"/>
      <c r="L444" s="61"/>
      <c r="M444" s="61"/>
      <c r="N444" s="107"/>
    </row>
    <row r="445">
      <c r="A445" s="65"/>
      <c r="B445" s="65"/>
      <c r="C445" s="65"/>
      <c r="D445" s="65"/>
      <c r="E445" s="65"/>
      <c r="F445" s="65"/>
      <c r="G445" s="65"/>
      <c r="H445" s="65"/>
      <c r="I445" s="103"/>
      <c r="J445" s="103"/>
      <c r="K445" s="65"/>
      <c r="L445" s="65"/>
      <c r="M445" s="65"/>
      <c r="N445" s="108"/>
    </row>
    <row r="446">
      <c r="A446" s="61"/>
      <c r="B446" s="61"/>
      <c r="C446" s="61"/>
      <c r="D446" s="61"/>
      <c r="E446" s="61"/>
      <c r="F446" s="61"/>
      <c r="G446" s="61"/>
      <c r="H446" s="61"/>
      <c r="I446" s="100"/>
      <c r="J446" s="100"/>
      <c r="K446" s="61"/>
      <c r="L446" s="61"/>
      <c r="M446" s="61"/>
      <c r="N446" s="107"/>
    </row>
    <row r="447">
      <c r="A447" s="65"/>
      <c r="B447" s="65"/>
      <c r="C447" s="65"/>
      <c r="D447" s="65"/>
      <c r="E447" s="65"/>
      <c r="F447" s="65"/>
      <c r="G447" s="65"/>
      <c r="H447" s="65"/>
      <c r="I447" s="103"/>
      <c r="J447" s="103"/>
      <c r="K447" s="65"/>
      <c r="L447" s="65"/>
      <c r="M447" s="65"/>
      <c r="N447" s="108"/>
    </row>
    <row r="448">
      <c r="A448" s="61"/>
      <c r="B448" s="61"/>
      <c r="C448" s="61"/>
      <c r="D448" s="61"/>
      <c r="E448" s="61"/>
      <c r="F448" s="61"/>
      <c r="G448" s="61"/>
      <c r="H448" s="61"/>
      <c r="I448" s="100"/>
      <c r="J448" s="100"/>
      <c r="K448" s="61"/>
      <c r="L448" s="61"/>
      <c r="M448" s="61"/>
      <c r="N448" s="107"/>
    </row>
    <row r="449">
      <c r="A449" s="65"/>
      <c r="B449" s="65"/>
      <c r="C449" s="65"/>
      <c r="D449" s="65"/>
      <c r="E449" s="65"/>
      <c r="F449" s="65"/>
      <c r="G449" s="65"/>
      <c r="H449" s="65"/>
      <c r="I449" s="103"/>
      <c r="J449" s="103"/>
      <c r="K449" s="65"/>
      <c r="L449" s="65"/>
      <c r="M449" s="65"/>
      <c r="N449" s="108"/>
    </row>
    <row r="450">
      <c r="A450" s="61"/>
      <c r="B450" s="61"/>
      <c r="C450" s="61"/>
      <c r="D450" s="61"/>
      <c r="E450" s="61"/>
      <c r="F450" s="61"/>
      <c r="G450" s="61"/>
      <c r="H450" s="61"/>
      <c r="I450" s="100"/>
      <c r="J450" s="100"/>
      <c r="K450" s="61"/>
      <c r="L450" s="61"/>
      <c r="M450" s="61"/>
      <c r="N450" s="107"/>
    </row>
    <row r="451">
      <c r="A451" s="65"/>
      <c r="B451" s="65"/>
      <c r="C451" s="65"/>
      <c r="D451" s="65"/>
      <c r="E451" s="65"/>
      <c r="F451" s="65"/>
      <c r="G451" s="65"/>
      <c r="H451" s="65"/>
      <c r="I451" s="103"/>
      <c r="J451" s="103"/>
      <c r="K451" s="65"/>
      <c r="L451" s="65"/>
      <c r="M451" s="65"/>
      <c r="N451" s="108"/>
    </row>
    <row r="452">
      <c r="A452" s="61"/>
      <c r="B452" s="61"/>
      <c r="C452" s="61"/>
      <c r="D452" s="61"/>
      <c r="E452" s="61"/>
      <c r="F452" s="61"/>
      <c r="G452" s="61"/>
      <c r="H452" s="61"/>
      <c r="I452" s="100"/>
      <c r="J452" s="100"/>
      <c r="K452" s="61"/>
      <c r="L452" s="61"/>
      <c r="M452" s="61"/>
      <c r="N452" s="107"/>
    </row>
    <row r="453">
      <c r="A453" s="65"/>
      <c r="B453" s="65"/>
      <c r="C453" s="65"/>
      <c r="D453" s="65"/>
      <c r="E453" s="65"/>
      <c r="F453" s="65"/>
      <c r="G453" s="65"/>
      <c r="H453" s="65"/>
      <c r="I453" s="103"/>
      <c r="J453" s="103"/>
      <c r="K453" s="65"/>
      <c r="L453" s="65"/>
      <c r="M453" s="65"/>
      <c r="N453" s="108"/>
    </row>
    <row r="454">
      <c r="A454" s="61"/>
      <c r="B454" s="61"/>
      <c r="C454" s="61"/>
      <c r="D454" s="61"/>
      <c r="E454" s="61"/>
      <c r="F454" s="61"/>
      <c r="G454" s="61"/>
      <c r="H454" s="61"/>
      <c r="I454" s="100"/>
      <c r="J454" s="100"/>
      <c r="K454" s="61"/>
      <c r="L454" s="61"/>
      <c r="M454" s="61"/>
      <c r="N454" s="107"/>
    </row>
    <row r="455">
      <c r="A455" s="65"/>
      <c r="B455" s="65"/>
      <c r="C455" s="65"/>
      <c r="D455" s="65"/>
      <c r="E455" s="65"/>
      <c r="F455" s="65"/>
      <c r="G455" s="65"/>
      <c r="H455" s="65"/>
      <c r="I455" s="103"/>
      <c r="J455" s="103"/>
      <c r="K455" s="65"/>
      <c r="L455" s="65"/>
      <c r="M455" s="65"/>
      <c r="N455" s="108"/>
    </row>
    <row r="456">
      <c r="A456" s="61"/>
      <c r="B456" s="61"/>
      <c r="C456" s="61"/>
      <c r="D456" s="61"/>
      <c r="E456" s="61"/>
      <c r="F456" s="61"/>
      <c r="G456" s="61"/>
      <c r="H456" s="61"/>
      <c r="I456" s="100"/>
      <c r="J456" s="100"/>
      <c r="K456" s="61"/>
      <c r="L456" s="61"/>
      <c r="M456" s="61"/>
      <c r="N456" s="107"/>
    </row>
    <row r="457">
      <c r="A457" s="65"/>
      <c r="B457" s="65"/>
      <c r="C457" s="65"/>
      <c r="D457" s="65"/>
      <c r="E457" s="65"/>
      <c r="F457" s="65"/>
      <c r="G457" s="65"/>
      <c r="H457" s="65"/>
      <c r="I457" s="103"/>
      <c r="J457" s="103"/>
      <c r="K457" s="65"/>
      <c r="L457" s="65"/>
      <c r="M457" s="65"/>
      <c r="N457" s="108"/>
    </row>
    <row r="458">
      <c r="A458" s="61"/>
      <c r="B458" s="61"/>
      <c r="C458" s="61"/>
      <c r="D458" s="61"/>
      <c r="E458" s="61"/>
      <c r="F458" s="61"/>
      <c r="G458" s="61"/>
      <c r="H458" s="61"/>
      <c r="I458" s="100"/>
      <c r="J458" s="100"/>
      <c r="K458" s="61"/>
      <c r="L458" s="61"/>
      <c r="M458" s="61"/>
      <c r="N458" s="107"/>
    </row>
    <row r="459">
      <c r="A459" s="65"/>
      <c r="B459" s="65"/>
      <c r="C459" s="65"/>
      <c r="D459" s="65"/>
      <c r="E459" s="65"/>
      <c r="F459" s="65"/>
      <c r="G459" s="65"/>
      <c r="H459" s="65"/>
      <c r="I459" s="103"/>
      <c r="J459" s="103"/>
      <c r="K459" s="65"/>
      <c r="L459" s="65"/>
      <c r="M459" s="65"/>
      <c r="N459" s="108"/>
    </row>
    <row r="460">
      <c r="A460" s="61"/>
      <c r="B460" s="61"/>
      <c r="C460" s="61"/>
      <c r="D460" s="61"/>
      <c r="E460" s="61"/>
      <c r="F460" s="61"/>
      <c r="G460" s="61"/>
      <c r="H460" s="61"/>
      <c r="I460" s="100"/>
      <c r="J460" s="100"/>
      <c r="K460" s="61"/>
      <c r="L460" s="61"/>
      <c r="M460" s="61"/>
      <c r="N460" s="107"/>
    </row>
    <row r="461">
      <c r="A461" s="65"/>
      <c r="B461" s="65"/>
      <c r="C461" s="65"/>
      <c r="D461" s="65"/>
      <c r="E461" s="65"/>
      <c r="F461" s="65"/>
      <c r="G461" s="65"/>
      <c r="H461" s="65"/>
      <c r="I461" s="103"/>
      <c r="J461" s="103"/>
      <c r="K461" s="65"/>
      <c r="L461" s="65"/>
      <c r="M461" s="65"/>
      <c r="N461" s="108"/>
    </row>
    <row r="462">
      <c r="A462" s="61"/>
      <c r="B462" s="61"/>
      <c r="C462" s="61"/>
      <c r="D462" s="61"/>
      <c r="E462" s="61"/>
      <c r="F462" s="61"/>
      <c r="G462" s="61"/>
      <c r="H462" s="61"/>
      <c r="I462" s="100"/>
      <c r="J462" s="100"/>
      <c r="K462" s="61"/>
      <c r="L462" s="61"/>
      <c r="M462" s="61"/>
      <c r="N462" s="107"/>
    </row>
    <row r="463">
      <c r="A463" s="65"/>
      <c r="B463" s="65"/>
      <c r="C463" s="65"/>
      <c r="D463" s="65"/>
      <c r="E463" s="65"/>
      <c r="F463" s="65"/>
      <c r="G463" s="65"/>
      <c r="H463" s="65"/>
      <c r="I463" s="103"/>
      <c r="J463" s="103"/>
      <c r="K463" s="65"/>
      <c r="L463" s="65"/>
      <c r="M463" s="65"/>
      <c r="N463" s="108"/>
    </row>
    <row r="464">
      <c r="A464" s="61"/>
      <c r="B464" s="61"/>
      <c r="C464" s="61"/>
      <c r="D464" s="61"/>
      <c r="E464" s="61"/>
      <c r="F464" s="61"/>
      <c r="G464" s="61"/>
      <c r="H464" s="61"/>
      <c r="I464" s="100"/>
      <c r="J464" s="100"/>
      <c r="K464" s="61"/>
      <c r="L464" s="61"/>
      <c r="M464" s="61"/>
      <c r="N464" s="107"/>
    </row>
    <row r="465">
      <c r="A465" s="65"/>
      <c r="B465" s="65"/>
      <c r="C465" s="65"/>
      <c r="D465" s="65"/>
      <c r="E465" s="65"/>
      <c r="F465" s="65"/>
      <c r="G465" s="65"/>
      <c r="H465" s="65"/>
      <c r="I465" s="103"/>
      <c r="J465" s="103"/>
      <c r="K465" s="65"/>
      <c r="L465" s="65"/>
      <c r="M465" s="65"/>
      <c r="N465" s="108"/>
    </row>
    <row r="466">
      <c r="A466" s="61"/>
      <c r="B466" s="61"/>
      <c r="C466" s="61"/>
      <c r="D466" s="61"/>
      <c r="E466" s="61"/>
      <c r="F466" s="61"/>
      <c r="G466" s="61"/>
      <c r="H466" s="61"/>
      <c r="I466" s="100"/>
      <c r="J466" s="100"/>
      <c r="K466" s="61"/>
      <c r="L466" s="61"/>
      <c r="M466" s="61"/>
      <c r="N466" s="107"/>
    </row>
    <row r="467">
      <c r="A467" s="65"/>
      <c r="B467" s="65"/>
      <c r="C467" s="65"/>
      <c r="D467" s="65"/>
      <c r="E467" s="65"/>
      <c r="F467" s="65"/>
      <c r="G467" s="65"/>
      <c r="H467" s="65"/>
      <c r="I467" s="103"/>
      <c r="J467" s="103"/>
      <c r="K467" s="65"/>
      <c r="L467" s="65"/>
      <c r="M467" s="65"/>
      <c r="N467" s="108"/>
    </row>
    <row r="468">
      <c r="A468" s="61"/>
      <c r="B468" s="61"/>
      <c r="C468" s="61"/>
      <c r="D468" s="61"/>
      <c r="E468" s="61"/>
      <c r="F468" s="61"/>
      <c r="G468" s="61"/>
      <c r="H468" s="61"/>
      <c r="I468" s="100"/>
      <c r="J468" s="100"/>
      <c r="K468" s="61"/>
      <c r="L468" s="61"/>
      <c r="M468" s="61"/>
      <c r="N468" s="107"/>
    </row>
    <row r="469">
      <c r="A469" s="65"/>
      <c r="B469" s="65"/>
      <c r="C469" s="65"/>
      <c r="D469" s="65"/>
      <c r="E469" s="65"/>
      <c r="F469" s="65"/>
      <c r="G469" s="65"/>
      <c r="H469" s="65"/>
      <c r="I469" s="103"/>
      <c r="J469" s="103"/>
      <c r="K469" s="65"/>
      <c r="L469" s="65"/>
      <c r="M469" s="65"/>
      <c r="N469" s="108"/>
    </row>
    <row r="470">
      <c r="A470" s="61"/>
      <c r="B470" s="61"/>
      <c r="C470" s="61"/>
      <c r="D470" s="61"/>
      <c r="E470" s="61"/>
      <c r="F470" s="61"/>
      <c r="G470" s="61"/>
      <c r="H470" s="61"/>
      <c r="I470" s="100"/>
      <c r="J470" s="100"/>
      <c r="K470" s="61"/>
      <c r="L470" s="61"/>
      <c r="M470" s="61"/>
      <c r="N470" s="107"/>
    </row>
    <row r="471">
      <c r="A471" s="65"/>
      <c r="B471" s="65"/>
      <c r="C471" s="65"/>
      <c r="D471" s="65"/>
      <c r="E471" s="65"/>
      <c r="F471" s="65"/>
      <c r="G471" s="65"/>
      <c r="H471" s="65"/>
      <c r="I471" s="103"/>
      <c r="J471" s="103"/>
      <c r="K471" s="65"/>
      <c r="L471" s="65"/>
      <c r="M471" s="65"/>
      <c r="N471" s="108"/>
    </row>
    <row r="472">
      <c r="A472" s="61"/>
      <c r="B472" s="61"/>
      <c r="C472" s="61"/>
      <c r="D472" s="61"/>
      <c r="E472" s="61"/>
      <c r="F472" s="61"/>
      <c r="G472" s="61"/>
      <c r="H472" s="61"/>
      <c r="I472" s="100"/>
      <c r="J472" s="100"/>
      <c r="K472" s="61"/>
      <c r="L472" s="61"/>
      <c r="M472" s="61"/>
      <c r="N472" s="107"/>
    </row>
    <row r="473">
      <c r="A473" s="65"/>
      <c r="B473" s="65"/>
      <c r="C473" s="65"/>
      <c r="D473" s="65"/>
      <c r="E473" s="65"/>
      <c r="F473" s="65"/>
      <c r="G473" s="65"/>
      <c r="H473" s="65"/>
      <c r="I473" s="103"/>
      <c r="J473" s="103"/>
      <c r="K473" s="65"/>
      <c r="L473" s="65"/>
      <c r="M473" s="65"/>
      <c r="N473" s="108"/>
    </row>
    <row r="474">
      <c r="A474" s="61"/>
      <c r="B474" s="61"/>
      <c r="C474" s="61"/>
      <c r="D474" s="61"/>
      <c r="E474" s="61"/>
      <c r="F474" s="61"/>
      <c r="G474" s="61"/>
      <c r="H474" s="61"/>
      <c r="I474" s="100"/>
      <c r="J474" s="100"/>
      <c r="K474" s="61"/>
      <c r="L474" s="61"/>
      <c r="M474" s="61"/>
      <c r="N474" s="107"/>
    </row>
    <row r="475">
      <c r="A475" s="65"/>
      <c r="B475" s="65"/>
      <c r="C475" s="65"/>
      <c r="D475" s="65"/>
      <c r="E475" s="65"/>
      <c r="F475" s="65"/>
      <c r="G475" s="65"/>
      <c r="H475" s="65"/>
      <c r="I475" s="103"/>
      <c r="J475" s="103"/>
      <c r="K475" s="65"/>
      <c r="L475" s="65"/>
      <c r="M475" s="65"/>
      <c r="N475" s="108"/>
    </row>
    <row r="476">
      <c r="A476" s="61"/>
      <c r="B476" s="61"/>
      <c r="C476" s="61"/>
      <c r="D476" s="61"/>
      <c r="E476" s="61"/>
      <c r="F476" s="61"/>
      <c r="G476" s="61"/>
      <c r="H476" s="61"/>
      <c r="I476" s="100"/>
      <c r="J476" s="100"/>
      <c r="K476" s="61"/>
      <c r="L476" s="61"/>
      <c r="M476" s="61"/>
      <c r="N476" s="107"/>
    </row>
    <row r="477">
      <c r="A477" s="65"/>
      <c r="B477" s="65"/>
      <c r="C477" s="65"/>
      <c r="D477" s="65"/>
      <c r="E477" s="65"/>
      <c r="F477" s="65"/>
      <c r="G477" s="65"/>
      <c r="H477" s="65"/>
      <c r="I477" s="103"/>
      <c r="J477" s="103"/>
      <c r="K477" s="65"/>
      <c r="L477" s="65"/>
      <c r="M477" s="65"/>
      <c r="N477" s="108"/>
    </row>
    <row r="478">
      <c r="A478" s="61"/>
      <c r="B478" s="61"/>
      <c r="C478" s="61"/>
      <c r="D478" s="61"/>
      <c r="E478" s="61"/>
      <c r="F478" s="61"/>
      <c r="G478" s="61"/>
      <c r="H478" s="61"/>
      <c r="I478" s="100"/>
      <c r="J478" s="100"/>
      <c r="K478" s="61"/>
      <c r="L478" s="61"/>
      <c r="M478" s="61"/>
      <c r="N478" s="107"/>
    </row>
    <row r="479">
      <c r="A479" s="65"/>
      <c r="B479" s="65"/>
      <c r="C479" s="65"/>
      <c r="D479" s="65"/>
      <c r="E479" s="65"/>
      <c r="F479" s="65"/>
      <c r="G479" s="65"/>
      <c r="H479" s="65"/>
      <c r="I479" s="103"/>
      <c r="J479" s="103"/>
      <c r="K479" s="65"/>
      <c r="L479" s="65"/>
      <c r="M479" s="65"/>
      <c r="N479" s="108"/>
    </row>
    <row r="480">
      <c r="A480" s="61"/>
      <c r="B480" s="61"/>
      <c r="C480" s="61"/>
      <c r="D480" s="61"/>
      <c r="E480" s="61"/>
      <c r="F480" s="61"/>
      <c r="G480" s="61"/>
      <c r="H480" s="61"/>
      <c r="I480" s="100"/>
      <c r="J480" s="100"/>
      <c r="K480" s="61"/>
      <c r="L480" s="61"/>
      <c r="M480" s="61"/>
      <c r="N480" s="107"/>
    </row>
    <row r="481">
      <c r="A481" s="65"/>
      <c r="B481" s="65"/>
      <c r="C481" s="65"/>
      <c r="D481" s="65"/>
      <c r="E481" s="65"/>
      <c r="F481" s="65"/>
      <c r="G481" s="65"/>
      <c r="H481" s="65"/>
      <c r="I481" s="103"/>
      <c r="J481" s="103"/>
      <c r="K481" s="65"/>
      <c r="L481" s="65"/>
      <c r="M481" s="65"/>
      <c r="N481" s="108"/>
    </row>
    <row r="482">
      <c r="A482" s="61"/>
      <c r="B482" s="61"/>
      <c r="C482" s="61"/>
      <c r="D482" s="61"/>
      <c r="E482" s="61"/>
      <c r="F482" s="61"/>
      <c r="G482" s="61"/>
      <c r="H482" s="61"/>
      <c r="I482" s="100"/>
      <c r="J482" s="100"/>
      <c r="K482" s="61"/>
      <c r="L482" s="61"/>
      <c r="M482" s="61"/>
      <c r="N482" s="107"/>
    </row>
    <row r="483">
      <c r="A483" s="65"/>
      <c r="B483" s="65"/>
      <c r="C483" s="65"/>
      <c r="D483" s="65"/>
      <c r="E483" s="65"/>
      <c r="F483" s="65"/>
      <c r="G483" s="65"/>
      <c r="H483" s="65"/>
      <c r="I483" s="103"/>
      <c r="J483" s="103"/>
      <c r="K483" s="65"/>
      <c r="L483" s="65"/>
      <c r="M483" s="65"/>
      <c r="N483" s="108"/>
    </row>
    <row r="484">
      <c r="A484" s="61"/>
      <c r="B484" s="61"/>
      <c r="C484" s="61"/>
      <c r="D484" s="61"/>
      <c r="E484" s="61"/>
      <c r="F484" s="61"/>
      <c r="G484" s="61"/>
      <c r="H484" s="61"/>
      <c r="I484" s="100"/>
      <c r="J484" s="100"/>
      <c r="K484" s="61"/>
      <c r="L484" s="61"/>
      <c r="M484" s="61"/>
      <c r="N484" s="107"/>
    </row>
    <row r="485">
      <c r="A485" s="65"/>
      <c r="B485" s="65"/>
      <c r="C485" s="65"/>
      <c r="D485" s="65"/>
      <c r="E485" s="65"/>
      <c r="F485" s="65"/>
      <c r="G485" s="65"/>
      <c r="H485" s="65"/>
      <c r="I485" s="103"/>
      <c r="J485" s="103"/>
      <c r="K485" s="65"/>
      <c r="L485" s="65"/>
      <c r="M485" s="65"/>
      <c r="N485" s="108"/>
    </row>
    <row r="486">
      <c r="A486" s="61"/>
      <c r="B486" s="61"/>
      <c r="C486" s="61"/>
      <c r="D486" s="61"/>
      <c r="E486" s="61"/>
      <c r="F486" s="61"/>
      <c r="G486" s="61"/>
      <c r="H486" s="61"/>
      <c r="I486" s="100"/>
      <c r="J486" s="100"/>
      <c r="K486" s="61"/>
      <c r="L486" s="61"/>
      <c r="M486" s="61"/>
      <c r="N486" s="107"/>
    </row>
    <row r="487">
      <c r="A487" s="65"/>
      <c r="B487" s="65"/>
      <c r="C487" s="65"/>
      <c r="D487" s="65"/>
      <c r="E487" s="65"/>
      <c r="F487" s="65"/>
      <c r="G487" s="65"/>
      <c r="H487" s="65"/>
      <c r="I487" s="103"/>
      <c r="J487" s="103"/>
      <c r="K487" s="65"/>
      <c r="L487" s="65"/>
      <c r="M487" s="65"/>
      <c r="N487" s="108"/>
    </row>
    <row r="488">
      <c r="A488" s="61"/>
      <c r="B488" s="61"/>
      <c r="C488" s="61"/>
      <c r="D488" s="61"/>
      <c r="E488" s="61"/>
      <c r="F488" s="61"/>
      <c r="G488" s="61"/>
      <c r="H488" s="61"/>
      <c r="I488" s="100"/>
      <c r="J488" s="100"/>
      <c r="K488" s="61"/>
      <c r="L488" s="61"/>
      <c r="M488" s="61"/>
      <c r="N488" s="107"/>
    </row>
    <row r="489">
      <c r="A489" s="65"/>
      <c r="B489" s="65"/>
      <c r="C489" s="65"/>
      <c r="D489" s="65"/>
      <c r="E489" s="65"/>
      <c r="F489" s="65"/>
      <c r="G489" s="65"/>
      <c r="H489" s="65"/>
      <c r="I489" s="103"/>
      <c r="J489" s="103"/>
      <c r="K489" s="65"/>
      <c r="L489" s="65"/>
      <c r="M489" s="65"/>
      <c r="N489" s="108"/>
    </row>
    <row r="490">
      <c r="A490" s="61"/>
      <c r="B490" s="61"/>
      <c r="C490" s="61"/>
      <c r="D490" s="61"/>
      <c r="E490" s="61"/>
      <c r="F490" s="61"/>
      <c r="G490" s="61"/>
      <c r="H490" s="61"/>
      <c r="I490" s="100"/>
      <c r="J490" s="100"/>
      <c r="K490" s="61"/>
      <c r="L490" s="61"/>
      <c r="M490" s="61"/>
      <c r="N490" s="107"/>
    </row>
    <row r="491">
      <c r="A491" s="65"/>
      <c r="B491" s="65"/>
      <c r="C491" s="65"/>
      <c r="D491" s="65"/>
      <c r="E491" s="65"/>
      <c r="F491" s="65"/>
      <c r="G491" s="65"/>
      <c r="H491" s="65"/>
      <c r="I491" s="103"/>
      <c r="J491" s="103"/>
      <c r="K491" s="65"/>
      <c r="L491" s="65"/>
      <c r="M491" s="65"/>
      <c r="N491" s="108"/>
    </row>
    <row r="492">
      <c r="A492" s="61"/>
      <c r="B492" s="61"/>
      <c r="C492" s="61"/>
      <c r="D492" s="61"/>
      <c r="E492" s="61"/>
      <c r="F492" s="61"/>
      <c r="G492" s="61"/>
      <c r="H492" s="61"/>
      <c r="I492" s="100"/>
      <c r="J492" s="100"/>
      <c r="K492" s="61"/>
      <c r="L492" s="61"/>
      <c r="M492" s="61"/>
      <c r="N492" s="107"/>
    </row>
    <row r="493">
      <c r="A493" s="65"/>
      <c r="B493" s="65"/>
      <c r="C493" s="65"/>
      <c r="D493" s="65"/>
      <c r="E493" s="65"/>
      <c r="F493" s="65"/>
      <c r="G493" s="65"/>
      <c r="H493" s="65"/>
      <c r="I493" s="103"/>
      <c r="J493" s="103"/>
      <c r="K493" s="65"/>
      <c r="L493" s="65"/>
      <c r="M493" s="65"/>
      <c r="N493" s="108"/>
    </row>
    <row r="494">
      <c r="A494" s="61"/>
      <c r="B494" s="61"/>
      <c r="C494" s="61"/>
      <c r="D494" s="61"/>
      <c r="E494" s="61"/>
      <c r="F494" s="61"/>
      <c r="G494" s="61"/>
      <c r="H494" s="61"/>
      <c r="I494" s="100"/>
      <c r="J494" s="100"/>
      <c r="K494" s="61"/>
      <c r="L494" s="61"/>
      <c r="M494" s="61"/>
      <c r="N494" s="107"/>
    </row>
    <row r="495">
      <c r="A495" s="65"/>
      <c r="B495" s="65"/>
      <c r="C495" s="65"/>
      <c r="D495" s="65"/>
      <c r="E495" s="65"/>
      <c r="F495" s="65"/>
      <c r="G495" s="65"/>
      <c r="H495" s="65"/>
      <c r="I495" s="103"/>
      <c r="J495" s="103"/>
      <c r="K495" s="65"/>
      <c r="L495" s="65"/>
      <c r="M495" s="65"/>
      <c r="N495" s="108"/>
    </row>
    <row r="496">
      <c r="A496" s="61"/>
      <c r="B496" s="61"/>
      <c r="C496" s="61"/>
      <c r="D496" s="61"/>
      <c r="E496" s="61"/>
      <c r="F496" s="61"/>
      <c r="G496" s="61"/>
      <c r="H496" s="61"/>
      <c r="I496" s="100"/>
      <c r="J496" s="100"/>
      <c r="K496" s="61"/>
      <c r="L496" s="61"/>
      <c r="M496" s="61"/>
      <c r="N496" s="107"/>
    </row>
    <row r="497">
      <c r="A497" s="65"/>
      <c r="B497" s="65"/>
      <c r="C497" s="65"/>
      <c r="D497" s="65"/>
      <c r="E497" s="65"/>
      <c r="F497" s="65"/>
      <c r="G497" s="65"/>
      <c r="H497" s="65"/>
      <c r="I497" s="103"/>
      <c r="J497" s="103"/>
      <c r="K497" s="65"/>
      <c r="L497" s="65"/>
      <c r="M497" s="65"/>
      <c r="N497" s="108"/>
    </row>
    <row r="498">
      <c r="A498" s="61"/>
      <c r="B498" s="61"/>
      <c r="C498" s="61"/>
      <c r="D498" s="61"/>
      <c r="E498" s="61"/>
      <c r="F498" s="61"/>
      <c r="G498" s="61"/>
      <c r="H498" s="61"/>
      <c r="I498" s="100"/>
      <c r="J498" s="100"/>
      <c r="K498" s="61"/>
      <c r="L498" s="61"/>
      <c r="M498" s="61"/>
      <c r="N498" s="107"/>
    </row>
    <row r="499">
      <c r="A499" s="65"/>
      <c r="B499" s="65"/>
      <c r="C499" s="65"/>
      <c r="D499" s="65"/>
      <c r="E499" s="65"/>
      <c r="F499" s="65"/>
      <c r="G499" s="65"/>
      <c r="H499" s="65"/>
      <c r="I499" s="103"/>
      <c r="J499" s="103"/>
      <c r="K499" s="65"/>
      <c r="L499" s="65"/>
      <c r="M499" s="65"/>
      <c r="N499" s="108"/>
    </row>
    <row r="500">
      <c r="A500" s="61"/>
      <c r="B500" s="61"/>
      <c r="C500" s="61"/>
      <c r="D500" s="61"/>
      <c r="E500" s="61"/>
      <c r="F500" s="61"/>
      <c r="G500" s="61"/>
      <c r="H500" s="61"/>
      <c r="I500" s="100"/>
      <c r="J500" s="100"/>
      <c r="K500" s="61"/>
      <c r="L500" s="61"/>
      <c r="M500" s="61"/>
      <c r="N500" s="107"/>
    </row>
    <row r="501">
      <c r="A501" s="65"/>
      <c r="B501" s="65"/>
      <c r="C501" s="65"/>
      <c r="D501" s="65"/>
      <c r="E501" s="65"/>
      <c r="F501" s="65"/>
      <c r="G501" s="65"/>
      <c r="H501" s="65"/>
      <c r="I501" s="103"/>
      <c r="J501" s="103"/>
      <c r="K501" s="65"/>
      <c r="L501" s="65"/>
      <c r="M501" s="65"/>
      <c r="N501" s="108"/>
    </row>
    <row r="502">
      <c r="A502" s="61"/>
      <c r="B502" s="61"/>
      <c r="C502" s="61"/>
      <c r="D502" s="61"/>
      <c r="E502" s="61"/>
      <c r="F502" s="61"/>
      <c r="G502" s="61"/>
      <c r="H502" s="61"/>
      <c r="I502" s="100"/>
      <c r="J502" s="100"/>
      <c r="K502" s="61"/>
      <c r="L502" s="61"/>
      <c r="M502" s="61"/>
      <c r="N502" s="107"/>
    </row>
    <row r="503">
      <c r="A503" s="65"/>
      <c r="B503" s="65"/>
      <c r="C503" s="65"/>
      <c r="D503" s="65"/>
      <c r="E503" s="65"/>
      <c r="F503" s="65"/>
      <c r="G503" s="65"/>
      <c r="H503" s="65"/>
      <c r="I503" s="103"/>
      <c r="J503" s="103"/>
      <c r="K503" s="65"/>
      <c r="L503" s="65"/>
      <c r="M503" s="65"/>
      <c r="N503" s="108"/>
    </row>
    <row r="504">
      <c r="A504" s="61"/>
      <c r="B504" s="61"/>
      <c r="C504" s="61"/>
      <c r="D504" s="61"/>
      <c r="E504" s="61"/>
      <c r="F504" s="61"/>
      <c r="G504" s="61"/>
      <c r="H504" s="61"/>
      <c r="I504" s="100"/>
      <c r="J504" s="100"/>
      <c r="K504" s="61"/>
      <c r="L504" s="61"/>
      <c r="M504" s="61"/>
      <c r="N504" s="107"/>
    </row>
    <row r="505">
      <c r="A505" s="65"/>
      <c r="B505" s="65"/>
      <c r="C505" s="65"/>
      <c r="D505" s="65"/>
      <c r="E505" s="65"/>
      <c r="F505" s="65"/>
      <c r="G505" s="65"/>
      <c r="H505" s="65"/>
      <c r="I505" s="103"/>
      <c r="J505" s="103"/>
      <c r="K505" s="65"/>
      <c r="L505" s="65"/>
      <c r="M505" s="65"/>
      <c r="N505" s="108"/>
    </row>
    <row r="506">
      <c r="A506" s="61"/>
      <c r="B506" s="61"/>
      <c r="C506" s="61"/>
      <c r="D506" s="61"/>
      <c r="E506" s="61"/>
      <c r="F506" s="61"/>
      <c r="G506" s="61"/>
      <c r="H506" s="61"/>
      <c r="I506" s="100"/>
      <c r="J506" s="100"/>
      <c r="K506" s="61"/>
      <c r="L506" s="61"/>
      <c r="M506" s="61"/>
      <c r="N506" s="107"/>
    </row>
    <row r="507">
      <c r="A507" s="65"/>
      <c r="B507" s="65"/>
      <c r="C507" s="65"/>
      <c r="D507" s="65"/>
      <c r="E507" s="65"/>
      <c r="F507" s="65"/>
      <c r="G507" s="65"/>
      <c r="H507" s="65"/>
      <c r="I507" s="103"/>
      <c r="J507" s="103"/>
      <c r="K507" s="65"/>
      <c r="L507" s="65"/>
      <c r="M507" s="65"/>
      <c r="N507" s="108"/>
    </row>
    <row r="508">
      <c r="A508" s="61"/>
      <c r="B508" s="61"/>
      <c r="C508" s="61"/>
      <c r="D508" s="61"/>
      <c r="E508" s="61"/>
      <c r="F508" s="61"/>
      <c r="G508" s="61"/>
      <c r="H508" s="61"/>
      <c r="I508" s="100"/>
      <c r="J508" s="100"/>
      <c r="K508" s="61"/>
      <c r="L508" s="61"/>
      <c r="M508" s="61"/>
      <c r="N508" s="107"/>
    </row>
    <row r="509">
      <c r="A509" s="65"/>
      <c r="B509" s="65"/>
      <c r="C509" s="65"/>
      <c r="D509" s="65"/>
      <c r="E509" s="65"/>
      <c r="F509" s="65"/>
      <c r="G509" s="65"/>
      <c r="H509" s="65"/>
      <c r="I509" s="103"/>
      <c r="J509" s="103"/>
      <c r="K509" s="65"/>
      <c r="L509" s="65"/>
      <c r="M509" s="65"/>
      <c r="N509" s="108"/>
    </row>
    <row r="510">
      <c r="A510" s="61"/>
      <c r="B510" s="61"/>
      <c r="C510" s="61"/>
      <c r="D510" s="61"/>
      <c r="E510" s="61"/>
      <c r="F510" s="61"/>
      <c r="G510" s="61"/>
      <c r="H510" s="61"/>
      <c r="I510" s="100"/>
      <c r="J510" s="100"/>
      <c r="K510" s="61"/>
      <c r="L510" s="61"/>
      <c r="M510" s="61"/>
      <c r="N510" s="107"/>
    </row>
    <row r="511">
      <c r="A511" s="65"/>
      <c r="B511" s="65"/>
      <c r="C511" s="65"/>
      <c r="D511" s="65"/>
      <c r="E511" s="65"/>
      <c r="F511" s="65"/>
      <c r="G511" s="65"/>
      <c r="H511" s="65"/>
      <c r="I511" s="103"/>
      <c r="J511" s="103"/>
      <c r="K511" s="65"/>
      <c r="L511" s="65"/>
      <c r="M511" s="65"/>
      <c r="N511" s="108"/>
    </row>
    <row r="512">
      <c r="A512" s="61"/>
      <c r="B512" s="61"/>
      <c r="C512" s="61"/>
      <c r="D512" s="61"/>
      <c r="E512" s="61"/>
      <c r="F512" s="61"/>
      <c r="G512" s="61"/>
      <c r="H512" s="61"/>
      <c r="I512" s="100"/>
      <c r="J512" s="100"/>
      <c r="K512" s="61"/>
      <c r="L512" s="61"/>
      <c r="M512" s="61"/>
      <c r="N512" s="107"/>
    </row>
    <row r="513">
      <c r="A513" s="65"/>
      <c r="B513" s="65"/>
      <c r="C513" s="65"/>
      <c r="D513" s="65"/>
      <c r="E513" s="65"/>
      <c r="F513" s="65"/>
      <c r="G513" s="65"/>
      <c r="H513" s="65"/>
      <c r="I513" s="103"/>
      <c r="J513" s="103"/>
      <c r="K513" s="65"/>
      <c r="L513" s="65"/>
      <c r="M513" s="65"/>
      <c r="N513" s="108"/>
    </row>
    <row r="514">
      <c r="A514" s="61"/>
      <c r="B514" s="61"/>
      <c r="C514" s="61"/>
      <c r="D514" s="61"/>
      <c r="E514" s="61"/>
      <c r="F514" s="61"/>
      <c r="G514" s="61"/>
      <c r="H514" s="61"/>
      <c r="I514" s="100"/>
      <c r="J514" s="100"/>
      <c r="K514" s="61"/>
      <c r="L514" s="61"/>
      <c r="M514" s="61"/>
      <c r="N514" s="107"/>
    </row>
    <row r="515">
      <c r="A515" s="65"/>
      <c r="B515" s="65"/>
      <c r="C515" s="65"/>
      <c r="D515" s="65"/>
      <c r="E515" s="65"/>
      <c r="F515" s="65"/>
      <c r="G515" s="65"/>
      <c r="H515" s="65"/>
      <c r="I515" s="103"/>
      <c r="J515" s="103"/>
      <c r="K515" s="65"/>
      <c r="L515" s="65"/>
      <c r="M515" s="65"/>
      <c r="N515" s="108"/>
    </row>
    <row r="516">
      <c r="A516" s="61"/>
      <c r="B516" s="61"/>
      <c r="C516" s="61"/>
      <c r="D516" s="61"/>
      <c r="E516" s="61"/>
      <c r="F516" s="61"/>
      <c r="G516" s="61"/>
      <c r="H516" s="61"/>
      <c r="I516" s="100"/>
      <c r="J516" s="100"/>
      <c r="K516" s="61"/>
      <c r="L516" s="61"/>
      <c r="M516" s="61"/>
      <c r="N516" s="107"/>
    </row>
    <row r="517">
      <c r="A517" s="65"/>
      <c r="B517" s="65"/>
      <c r="C517" s="65"/>
      <c r="D517" s="65"/>
      <c r="E517" s="65"/>
      <c r="F517" s="65"/>
      <c r="G517" s="65"/>
      <c r="H517" s="65"/>
      <c r="I517" s="103"/>
      <c r="J517" s="103"/>
      <c r="K517" s="65"/>
      <c r="L517" s="65"/>
      <c r="M517" s="65"/>
      <c r="N517" s="108"/>
    </row>
    <row r="518">
      <c r="A518" s="61"/>
      <c r="B518" s="61"/>
      <c r="C518" s="61"/>
      <c r="D518" s="61"/>
      <c r="E518" s="61"/>
      <c r="F518" s="61"/>
      <c r="G518" s="61"/>
      <c r="H518" s="61"/>
      <c r="I518" s="100"/>
      <c r="J518" s="100"/>
      <c r="K518" s="61"/>
      <c r="L518" s="61"/>
      <c r="M518" s="61"/>
      <c r="N518" s="107"/>
    </row>
    <row r="519">
      <c r="A519" s="65"/>
      <c r="B519" s="65"/>
      <c r="C519" s="65"/>
      <c r="D519" s="65"/>
      <c r="E519" s="65"/>
      <c r="F519" s="65"/>
      <c r="G519" s="65"/>
      <c r="H519" s="65"/>
      <c r="I519" s="103"/>
      <c r="J519" s="103"/>
      <c r="K519" s="65"/>
      <c r="L519" s="65"/>
      <c r="M519" s="65"/>
      <c r="N519" s="108"/>
    </row>
    <row r="520">
      <c r="A520" s="61"/>
      <c r="B520" s="61"/>
      <c r="C520" s="61"/>
      <c r="D520" s="61"/>
      <c r="E520" s="61"/>
      <c r="F520" s="61"/>
      <c r="G520" s="61"/>
      <c r="H520" s="61"/>
      <c r="I520" s="100"/>
      <c r="J520" s="100"/>
      <c r="K520" s="61"/>
      <c r="L520" s="61"/>
      <c r="M520" s="61"/>
      <c r="N520" s="107"/>
    </row>
    <row r="521">
      <c r="A521" s="65"/>
      <c r="B521" s="65"/>
      <c r="C521" s="65"/>
      <c r="D521" s="65"/>
      <c r="E521" s="65"/>
      <c r="F521" s="65"/>
      <c r="G521" s="65"/>
      <c r="H521" s="65"/>
      <c r="I521" s="103"/>
      <c r="J521" s="103"/>
      <c r="K521" s="65"/>
      <c r="L521" s="65"/>
      <c r="M521" s="65"/>
      <c r="N521" s="108"/>
    </row>
    <row r="522">
      <c r="A522" s="61"/>
      <c r="B522" s="61"/>
      <c r="C522" s="61"/>
      <c r="D522" s="61"/>
      <c r="E522" s="61"/>
      <c r="F522" s="61"/>
      <c r="G522" s="61"/>
      <c r="H522" s="61"/>
      <c r="I522" s="100"/>
      <c r="J522" s="100"/>
      <c r="K522" s="61"/>
      <c r="L522" s="61"/>
      <c r="M522" s="61"/>
      <c r="N522" s="107"/>
    </row>
    <row r="523">
      <c r="A523" s="65"/>
      <c r="B523" s="65"/>
      <c r="C523" s="65"/>
      <c r="D523" s="65"/>
      <c r="E523" s="65"/>
      <c r="F523" s="65"/>
      <c r="G523" s="65"/>
      <c r="H523" s="65"/>
      <c r="I523" s="103"/>
      <c r="J523" s="103"/>
      <c r="K523" s="65"/>
      <c r="L523" s="65"/>
      <c r="M523" s="65"/>
      <c r="N523" s="108"/>
    </row>
    <row r="524">
      <c r="A524" s="61"/>
      <c r="B524" s="61"/>
      <c r="C524" s="61"/>
      <c r="D524" s="61"/>
      <c r="E524" s="61"/>
      <c r="F524" s="61"/>
      <c r="G524" s="61"/>
      <c r="H524" s="61"/>
      <c r="I524" s="100"/>
      <c r="J524" s="100"/>
      <c r="K524" s="61"/>
      <c r="L524" s="61"/>
      <c r="M524" s="61"/>
      <c r="N524" s="107"/>
    </row>
    <row r="525">
      <c r="A525" s="65"/>
      <c r="B525" s="65"/>
      <c r="C525" s="65"/>
      <c r="D525" s="65"/>
      <c r="E525" s="65"/>
      <c r="F525" s="65"/>
      <c r="G525" s="65"/>
      <c r="H525" s="65"/>
      <c r="I525" s="103"/>
      <c r="J525" s="103"/>
      <c r="K525" s="65"/>
      <c r="L525" s="65"/>
      <c r="M525" s="65"/>
      <c r="N525" s="108"/>
    </row>
    <row r="526">
      <c r="A526" s="61"/>
      <c r="B526" s="61"/>
      <c r="C526" s="61"/>
      <c r="D526" s="61"/>
      <c r="E526" s="61"/>
      <c r="F526" s="61"/>
      <c r="G526" s="61"/>
      <c r="H526" s="61"/>
      <c r="I526" s="100"/>
      <c r="J526" s="100"/>
      <c r="K526" s="61"/>
      <c r="L526" s="61"/>
      <c r="M526" s="61"/>
      <c r="N526" s="107"/>
    </row>
    <row r="527">
      <c r="A527" s="65"/>
      <c r="B527" s="65"/>
      <c r="C527" s="65"/>
      <c r="D527" s="65"/>
      <c r="E527" s="65"/>
      <c r="F527" s="65"/>
      <c r="G527" s="65"/>
      <c r="H527" s="65"/>
      <c r="I527" s="103"/>
      <c r="J527" s="103"/>
      <c r="K527" s="65"/>
      <c r="L527" s="65"/>
      <c r="M527" s="65"/>
      <c r="N527" s="108"/>
    </row>
    <row r="528">
      <c r="A528" s="61"/>
      <c r="B528" s="61"/>
      <c r="C528" s="61"/>
      <c r="D528" s="61"/>
      <c r="E528" s="61"/>
      <c r="F528" s="61"/>
      <c r="G528" s="61"/>
      <c r="H528" s="61"/>
      <c r="I528" s="100"/>
      <c r="J528" s="100"/>
      <c r="K528" s="61"/>
      <c r="L528" s="61"/>
      <c r="M528" s="61"/>
      <c r="N528" s="107"/>
    </row>
    <row r="529">
      <c r="A529" s="65"/>
      <c r="B529" s="65"/>
      <c r="C529" s="65"/>
      <c r="D529" s="65"/>
      <c r="E529" s="65"/>
      <c r="F529" s="65"/>
      <c r="G529" s="65"/>
      <c r="H529" s="65"/>
      <c r="I529" s="103"/>
      <c r="J529" s="103"/>
      <c r="K529" s="65"/>
      <c r="L529" s="65"/>
      <c r="M529" s="65"/>
      <c r="N529" s="108"/>
    </row>
    <row r="530">
      <c r="A530" s="61"/>
      <c r="B530" s="61"/>
      <c r="C530" s="61"/>
      <c r="D530" s="61"/>
      <c r="E530" s="61"/>
      <c r="F530" s="61"/>
      <c r="G530" s="61"/>
      <c r="H530" s="61"/>
      <c r="I530" s="100"/>
      <c r="J530" s="100"/>
      <c r="K530" s="61"/>
      <c r="L530" s="61"/>
      <c r="M530" s="61"/>
      <c r="N530" s="107"/>
    </row>
    <row r="531">
      <c r="A531" s="65"/>
      <c r="B531" s="65"/>
      <c r="C531" s="65"/>
      <c r="D531" s="65"/>
      <c r="E531" s="65"/>
      <c r="F531" s="65"/>
      <c r="G531" s="65"/>
      <c r="H531" s="65"/>
      <c r="I531" s="103"/>
      <c r="J531" s="103"/>
      <c r="K531" s="65"/>
      <c r="L531" s="65"/>
      <c r="M531" s="65"/>
      <c r="N531" s="108"/>
    </row>
    <row r="532">
      <c r="A532" s="61"/>
      <c r="B532" s="61"/>
      <c r="C532" s="61"/>
      <c r="D532" s="61"/>
      <c r="E532" s="61"/>
      <c r="F532" s="61"/>
      <c r="G532" s="61"/>
      <c r="H532" s="61"/>
      <c r="I532" s="100"/>
      <c r="J532" s="100"/>
      <c r="K532" s="61"/>
      <c r="L532" s="61"/>
      <c r="M532" s="61"/>
      <c r="N532" s="107"/>
    </row>
    <row r="533">
      <c r="A533" s="65"/>
      <c r="B533" s="65"/>
      <c r="C533" s="65"/>
      <c r="D533" s="65"/>
      <c r="E533" s="65"/>
      <c r="F533" s="65"/>
      <c r="G533" s="65"/>
      <c r="H533" s="65"/>
      <c r="I533" s="103"/>
      <c r="J533" s="103"/>
      <c r="K533" s="65"/>
      <c r="L533" s="65"/>
      <c r="M533" s="65"/>
      <c r="N533" s="108"/>
    </row>
    <row r="534">
      <c r="A534" s="61"/>
      <c r="B534" s="61"/>
      <c r="C534" s="61"/>
      <c r="D534" s="61"/>
      <c r="E534" s="61"/>
      <c r="F534" s="61"/>
      <c r="G534" s="61"/>
      <c r="H534" s="61"/>
      <c r="I534" s="100"/>
      <c r="J534" s="100"/>
      <c r="K534" s="61"/>
      <c r="L534" s="61"/>
      <c r="M534" s="61"/>
      <c r="N534" s="107"/>
    </row>
    <row r="535">
      <c r="A535" s="65"/>
      <c r="B535" s="65"/>
      <c r="C535" s="65"/>
      <c r="D535" s="65"/>
      <c r="E535" s="65"/>
      <c r="F535" s="65"/>
      <c r="G535" s="65"/>
      <c r="H535" s="65"/>
      <c r="I535" s="103"/>
      <c r="J535" s="103"/>
      <c r="K535" s="65"/>
      <c r="L535" s="65"/>
      <c r="M535" s="65"/>
      <c r="N535" s="108"/>
    </row>
    <row r="536">
      <c r="A536" s="61"/>
      <c r="B536" s="61"/>
      <c r="C536" s="61"/>
      <c r="D536" s="61"/>
      <c r="E536" s="61"/>
      <c r="F536" s="61"/>
      <c r="G536" s="61"/>
      <c r="H536" s="61"/>
      <c r="I536" s="100"/>
      <c r="J536" s="100"/>
      <c r="K536" s="61"/>
      <c r="L536" s="61"/>
      <c r="M536" s="61"/>
      <c r="N536" s="107"/>
    </row>
    <row r="537">
      <c r="A537" s="65"/>
      <c r="B537" s="65"/>
      <c r="C537" s="65"/>
      <c r="D537" s="65"/>
      <c r="E537" s="65"/>
      <c r="F537" s="65"/>
      <c r="G537" s="65"/>
      <c r="H537" s="65"/>
      <c r="I537" s="103"/>
      <c r="J537" s="103"/>
      <c r="K537" s="65"/>
      <c r="L537" s="65"/>
      <c r="M537" s="65"/>
      <c r="N537" s="108"/>
    </row>
    <row r="538">
      <c r="A538" s="61"/>
      <c r="B538" s="61"/>
      <c r="C538" s="61"/>
      <c r="D538" s="61"/>
      <c r="E538" s="61"/>
      <c r="F538" s="61"/>
      <c r="G538" s="61"/>
      <c r="H538" s="61"/>
      <c r="I538" s="100"/>
      <c r="J538" s="100"/>
      <c r="K538" s="61"/>
      <c r="L538" s="61"/>
      <c r="M538" s="61"/>
      <c r="N538" s="107"/>
    </row>
    <row r="539">
      <c r="A539" s="65"/>
      <c r="B539" s="65"/>
      <c r="C539" s="65"/>
      <c r="D539" s="65"/>
      <c r="E539" s="65"/>
      <c r="F539" s="65"/>
      <c r="G539" s="65"/>
      <c r="H539" s="65"/>
      <c r="I539" s="103"/>
      <c r="J539" s="103"/>
      <c r="K539" s="65"/>
      <c r="L539" s="65"/>
      <c r="M539" s="65"/>
      <c r="N539" s="108"/>
    </row>
    <row r="540">
      <c r="A540" s="61"/>
      <c r="B540" s="61"/>
      <c r="C540" s="61"/>
      <c r="D540" s="61"/>
      <c r="E540" s="61"/>
      <c r="F540" s="61"/>
      <c r="G540" s="61"/>
      <c r="H540" s="61"/>
      <c r="I540" s="100"/>
      <c r="J540" s="100"/>
      <c r="K540" s="61"/>
      <c r="L540" s="61"/>
      <c r="M540" s="61"/>
      <c r="N540" s="107"/>
    </row>
    <row r="541">
      <c r="A541" s="65"/>
      <c r="B541" s="65"/>
      <c r="C541" s="65"/>
      <c r="D541" s="65"/>
      <c r="E541" s="65"/>
      <c r="F541" s="65"/>
      <c r="G541" s="65"/>
      <c r="H541" s="65"/>
      <c r="I541" s="103"/>
      <c r="J541" s="103"/>
      <c r="K541" s="65"/>
      <c r="L541" s="65"/>
      <c r="M541" s="65"/>
      <c r="N541" s="108"/>
    </row>
    <row r="542">
      <c r="A542" s="61"/>
      <c r="B542" s="61"/>
      <c r="C542" s="61"/>
      <c r="D542" s="61"/>
      <c r="E542" s="61"/>
      <c r="F542" s="61"/>
      <c r="G542" s="61"/>
      <c r="H542" s="61"/>
      <c r="I542" s="100"/>
      <c r="J542" s="100"/>
      <c r="K542" s="61"/>
      <c r="L542" s="61"/>
      <c r="M542" s="61"/>
      <c r="N542" s="107"/>
    </row>
    <row r="543">
      <c r="A543" s="65"/>
      <c r="B543" s="65"/>
      <c r="C543" s="65"/>
      <c r="D543" s="65"/>
      <c r="E543" s="65"/>
      <c r="F543" s="65"/>
      <c r="G543" s="65"/>
      <c r="H543" s="65"/>
      <c r="I543" s="103"/>
      <c r="J543" s="103"/>
      <c r="K543" s="65"/>
      <c r="L543" s="65"/>
      <c r="M543" s="65"/>
      <c r="N543" s="108"/>
    </row>
    <row r="544">
      <c r="A544" s="61"/>
      <c r="B544" s="61"/>
      <c r="C544" s="61"/>
      <c r="D544" s="61"/>
      <c r="E544" s="61"/>
      <c r="F544" s="61"/>
      <c r="G544" s="61"/>
      <c r="H544" s="61"/>
      <c r="I544" s="100"/>
      <c r="J544" s="100"/>
      <c r="K544" s="61"/>
      <c r="L544" s="61"/>
      <c r="M544" s="61"/>
      <c r="N544" s="107"/>
    </row>
    <row r="545">
      <c r="A545" s="65"/>
      <c r="B545" s="65"/>
      <c r="C545" s="65"/>
      <c r="D545" s="65"/>
      <c r="E545" s="65"/>
      <c r="F545" s="65"/>
      <c r="G545" s="65"/>
      <c r="H545" s="65"/>
      <c r="I545" s="103"/>
      <c r="J545" s="103"/>
      <c r="K545" s="65"/>
      <c r="L545" s="65"/>
      <c r="M545" s="65"/>
      <c r="N545" s="108"/>
    </row>
    <row r="546">
      <c r="A546" s="61"/>
      <c r="B546" s="61"/>
      <c r="C546" s="61"/>
      <c r="D546" s="61"/>
      <c r="E546" s="61"/>
      <c r="F546" s="61"/>
      <c r="G546" s="61"/>
      <c r="H546" s="61"/>
      <c r="I546" s="100"/>
      <c r="J546" s="100"/>
      <c r="K546" s="61"/>
      <c r="L546" s="61"/>
      <c r="M546" s="61"/>
      <c r="N546" s="107"/>
    </row>
    <row r="547">
      <c r="A547" s="65"/>
      <c r="B547" s="65"/>
      <c r="C547" s="65"/>
      <c r="D547" s="65"/>
      <c r="E547" s="65"/>
      <c r="F547" s="65"/>
      <c r="G547" s="65"/>
      <c r="H547" s="65"/>
      <c r="I547" s="103"/>
      <c r="J547" s="103"/>
      <c r="K547" s="65"/>
      <c r="L547" s="65"/>
      <c r="M547" s="65"/>
      <c r="N547" s="108"/>
    </row>
    <row r="548">
      <c r="A548" s="61"/>
      <c r="B548" s="61"/>
      <c r="C548" s="61"/>
      <c r="D548" s="61"/>
      <c r="E548" s="61"/>
      <c r="F548" s="61"/>
      <c r="G548" s="61"/>
      <c r="H548" s="61"/>
      <c r="I548" s="100"/>
      <c r="J548" s="100"/>
      <c r="K548" s="61"/>
      <c r="L548" s="61"/>
      <c r="M548" s="61"/>
      <c r="N548" s="107"/>
    </row>
    <row r="549">
      <c r="A549" s="65"/>
      <c r="B549" s="65"/>
      <c r="C549" s="65"/>
      <c r="D549" s="65"/>
      <c r="E549" s="65"/>
      <c r="F549" s="65"/>
      <c r="G549" s="65"/>
      <c r="H549" s="65"/>
      <c r="I549" s="103"/>
      <c r="J549" s="103"/>
      <c r="K549" s="65"/>
      <c r="L549" s="65"/>
      <c r="M549" s="65"/>
      <c r="N549" s="108"/>
    </row>
    <row r="550">
      <c r="A550" s="61"/>
      <c r="B550" s="61"/>
      <c r="C550" s="61"/>
      <c r="D550" s="61"/>
      <c r="E550" s="61"/>
      <c r="F550" s="61"/>
      <c r="G550" s="61"/>
      <c r="H550" s="61"/>
      <c r="I550" s="100"/>
      <c r="J550" s="100"/>
      <c r="K550" s="61"/>
      <c r="L550" s="61"/>
      <c r="M550" s="61"/>
      <c r="N550" s="107"/>
    </row>
    <row r="551">
      <c r="A551" s="65"/>
      <c r="B551" s="65"/>
      <c r="C551" s="65"/>
      <c r="D551" s="65"/>
      <c r="E551" s="65"/>
      <c r="F551" s="65"/>
      <c r="G551" s="65"/>
      <c r="H551" s="65"/>
      <c r="I551" s="103"/>
      <c r="J551" s="103"/>
      <c r="K551" s="65"/>
      <c r="L551" s="65"/>
      <c r="M551" s="65"/>
      <c r="N551" s="108"/>
    </row>
    <row r="552">
      <c r="A552" s="61"/>
      <c r="B552" s="61"/>
      <c r="C552" s="61"/>
      <c r="D552" s="61"/>
      <c r="E552" s="61"/>
      <c r="F552" s="61"/>
      <c r="G552" s="61"/>
      <c r="H552" s="61"/>
      <c r="I552" s="100"/>
      <c r="J552" s="100"/>
      <c r="K552" s="61"/>
      <c r="L552" s="61"/>
      <c r="M552" s="61"/>
      <c r="N552" s="107"/>
    </row>
    <row r="553">
      <c r="A553" s="65"/>
      <c r="B553" s="65"/>
      <c r="C553" s="65"/>
      <c r="D553" s="65"/>
      <c r="E553" s="65"/>
      <c r="F553" s="65"/>
      <c r="G553" s="65"/>
      <c r="H553" s="65"/>
      <c r="I553" s="103"/>
      <c r="J553" s="103"/>
      <c r="K553" s="65"/>
      <c r="L553" s="65"/>
      <c r="M553" s="65"/>
      <c r="N553" s="108"/>
    </row>
    <row r="554">
      <c r="A554" s="61"/>
      <c r="B554" s="61"/>
      <c r="C554" s="61"/>
      <c r="D554" s="61"/>
      <c r="E554" s="61"/>
      <c r="F554" s="61"/>
      <c r="G554" s="61"/>
      <c r="H554" s="61"/>
      <c r="I554" s="100"/>
      <c r="J554" s="100"/>
      <c r="K554" s="61"/>
      <c r="L554" s="61"/>
      <c r="M554" s="61"/>
      <c r="N554" s="107"/>
    </row>
    <row r="555">
      <c r="A555" s="65"/>
      <c r="B555" s="65"/>
      <c r="C555" s="65"/>
      <c r="D555" s="65"/>
      <c r="E555" s="65"/>
      <c r="F555" s="65"/>
      <c r="G555" s="65"/>
      <c r="H555" s="65"/>
      <c r="I555" s="103"/>
      <c r="J555" s="103"/>
      <c r="K555" s="65"/>
      <c r="L555" s="65"/>
      <c r="M555" s="65"/>
      <c r="N555" s="108"/>
    </row>
    <row r="556">
      <c r="A556" s="61"/>
      <c r="B556" s="61"/>
      <c r="C556" s="61"/>
      <c r="D556" s="61"/>
      <c r="E556" s="61"/>
      <c r="F556" s="61"/>
      <c r="G556" s="61"/>
      <c r="H556" s="61"/>
      <c r="I556" s="100"/>
      <c r="J556" s="100"/>
      <c r="K556" s="61"/>
      <c r="L556" s="61"/>
      <c r="M556" s="61"/>
      <c r="N556" s="107"/>
    </row>
    <row r="557">
      <c r="A557" s="65"/>
      <c r="B557" s="65"/>
      <c r="C557" s="65"/>
      <c r="D557" s="65"/>
      <c r="E557" s="65"/>
      <c r="F557" s="65"/>
      <c r="G557" s="65"/>
      <c r="H557" s="65"/>
      <c r="I557" s="103"/>
      <c r="J557" s="103"/>
      <c r="K557" s="65"/>
      <c r="L557" s="65"/>
      <c r="M557" s="65"/>
      <c r="N557" s="108"/>
    </row>
    <row r="558">
      <c r="A558" s="61"/>
      <c r="B558" s="61"/>
      <c r="C558" s="61"/>
      <c r="D558" s="61"/>
      <c r="E558" s="61"/>
      <c r="F558" s="61"/>
      <c r="G558" s="61"/>
      <c r="H558" s="61"/>
      <c r="I558" s="100"/>
      <c r="J558" s="100"/>
      <c r="K558" s="61"/>
      <c r="L558" s="61"/>
      <c r="M558" s="61"/>
      <c r="N558" s="107"/>
    </row>
    <row r="559">
      <c r="A559" s="65"/>
      <c r="B559" s="65"/>
      <c r="C559" s="65"/>
      <c r="D559" s="65"/>
      <c r="E559" s="65"/>
      <c r="F559" s="65"/>
      <c r="G559" s="65"/>
      <c r="H559" s="65"/>
      <c r="I559" s="103"/>
      <c r="J559" s="103"/>
      <c r="K559" s="65"/>
      <c r="L559" s="65"/>
      <c r="M559" s="65"/>
      <c r="N559" s="108"/>
    </row>
    <row r="560">
      <c r="A560" s="61"/>
      <c r="B560" s="61"/>
      <c r="C560" s="61"/>
      <c r="D560" s="61"/>
      <c r="E560" s="61"/>
      <c r="F560" s="61"/>
      <c r="G560" s="61"/>
      <c r="H560" s="61"/>
      <c r="I560" s="100"/>
      <c r="J560" s="100"/>
      <c r="K560" s="61"/>
      <c r="L560" s="61"/>
      <c r="M560" s="61"/>
      <c r="N560" s="107"/>
    </row>
    <row r="561">
      <c r="A561" s="65"/>
      <c r="B561" s="65"/>
      <c r="C561" s="65"/>
      <c r="D561" s="65"/>
      <c r="E561" s="65"/>
      <c r="F561" s="65"/>
      <c r="G561" s="65"/>
      <c r="H561" s="65"/>
      <c r="I561" s="103"/>
      <c r="J561" s="103"/>
      <c r="K561" s="65"/>
      <c r="L561" s="65"/>
      <c r="M561" s="65"/>
      <c r="N561" s="108"/>
    </row>
    <row r="562">
      <c r="A562" s="61"/>
      <c r="B562" s="61"/>
      <c r="C562" s="61"/>
      <c r="D562" s="61"/>
      <c r="E562" s="61"/>
      <c r="F562" s="61"/>
      <c r="G562" s="61"/>
      <c r="H562" s="61"/>
      <c r="I562" s="100"/>
      <c r="J562" s="100"/>
      <c r="K562" s="61"/>
      <c r="L562" s="61"/>
      <c r="M562" s="61"/>
      <c r="N562" s="107"/>
    </row>
    <row r="563">
      <c r="A563" s="65"/>
      <c r="B563" s="65"/>
      <c r="C563" s="65"/>
      <c r="D563" s="65"/>
      <c r="E563" s="65"/>
      <c r="F563" s="65"/>
      <c r="G563" s="65"/>
      <c r="H563" s="65"/>
      <c r="I563" s="103"/>
      <c r="J563" s="103"/>
      <c r="K563" s="65"/>
      <c r="L563" s="65"/>
      <c r="M563" s="65"/>
      <c r="N563" s="108"/>
    </row>
    <row r="564">
      <c r="A564" s="61"/>
      <c r="B564" s="61"/>
      <c r="C564" s="61"/>
      <c r="D564" s="61"/>
      <c r="E564" s="61"/>
      <c r="F564" s="61"/>
      <c r="G564" s="61"/>
      <c r="H564" s="61"/>
      <c r="I564" s="100"/>
      <c r="J564" s="100"/>
      <c r="K564" s="61"/>
      <c r="L564" s="61"/>
      <c r="M564" s="61"/>
      <c r="N564" s="107"/>
    </row>
    <row r="565">
      <c r="A565" s="65"/>
      <c r="B565" s="65"/>
      <c r="C565" s="65"/>
      <c r="D565" s="65"/>
      <c r="E565" s="65"/>
      <c r="F565" s="65"/>
      <c r="G565" s="65"/>
      <c r="H565" s="65"/>
      <c r="I565" s="103"/>
      <c r="J565" s="103"/>
      <c r="K565" s="65"/>
      <c r="L565" s="65"/>
      <c r="M565" s="65"/>
      <c r="N565" s="108"/>
    </row>
    <row r="566">
      <c r="A566" s="61"/>
      <c r="B566" s="61"/>
      <c r="C566" s="61"/>
      <c r="D566" s="61"/>
      <c r="E566" s="61"/>
      <c r="F566" s="61"/>
      <c r="G566" s="61"/>
      <c r="H566" s="61"/>
      <c r="I566" s="100"/>
      <c r="J566" s="100"/>
      <c r="K566" s="61"/>
      <c r="L566" s="61"/>
      <c r="M566" s="61"/>
      <c r="N566" s="107"/>
    </row>
    <row r="567">
      <c r="A567" s="65"/>
      <c r="B567" s="65"/>
      <c r="C567" s="65"/>
      <c r="D567" s="65"/>
      <c r="E567" s="65"/>
      <c r="F567" s="65"/>
      <c r="G567" s="65"/>
      <c r="H567" s="65"/>
      <c r="I567" s="103"/>
      <c r="J567" s="103"/>
      <c r="K567" s="65"/>
      <c r="L567" s="65"/>
      <c r="M567" s="65"/>
      <c r="N567" s="108"/>
    </row>
    <row r="568">
      <c r="A568" s="61"/>
      <c r="B568" s="61"/>
      <c r="C568" s="61"/>
      <c r="D568" s="61"/>
      <c r="E568" s="61"/>
      <c r="F568" s="61"/>
      <c r="G568" s="61"/>
      <c r="H568" s="61"/>
      <c r="I568" s="100"/>
      <c r="J568" s="100"/>
      <c r="K568" s="61"/>
      <c r="L568" s="61"/>
      <c r="M568" s="61"/>
      <c r="N568" s="107"/>
    </row>
    <row r="569">
      <c r="A569" s="65"/>
      <c r="B569" s="65"/>
      <c r="C569" s="65"/>
      <c r="D569" s="65"/>
      <c r="E569" s="65"/>
      <c r="F569" s="65"/>
      <c r="G569" s="65"/>
      <c r="H569" s="65"/>
      <c r="I569" s="103"/>
      <c r="J569" s="103"/>
      <c r="K569" s="65"/>
      <c r="L569" s="65"/>
      <c r="M569" s="65"/>
      <c r="N569" s="108"/>
    </row>
    <row r="570">
      <c r="A570" s="61"/>
      <c r="B570" s="61"/>
      <c r="C570" s="61"/>
      <c r="D570" s="61"/>
      <c r="E570" s="61"/>
      <c r="F570" s="61"/>
      <c r="G570" s="61"/>
      <c r="H570" s="61"/>
      <c r="I570" s="100"/>
      <c r="J570" s="100"/>
      <c r="K570" s="61"/>
      <c r="L570" s="61"/>
      <c r="M570" s="61"/>
      <c r="N570" s="107"/>
    </row>
    <row r="571">
      <c r="A571" s="65"/>
      <c r="B571" s="65"/>
      <c r="C571" s="65"/>
      <c r="D571" s="65"/>
      <c r="E571" s="65"/>
      <c r="F571" s="65"/>
      <c r="G571" s="65"/>
      <c r="H571" s="65"/>
      <c r="I571" s="103"/>
      <c r="J571" s="103"/>
      <c r="K571" s="65"/>
      <c r="L571" s="65"/>
      <c r="M571" s="65"/>
      <c r="N571" s="108"/>
    </row>
    <row r="572">
      <c r="A572" s="61"/>
      <c r="B572" s="61"/>
      <c r="C572" s="61"/>
      <c r="D572" s="61"/>
      <c r="E572" s="61"/>
      <c r="F572" s="61"/>
      <c r="G572" s="61"/>
      <c r="H572" s="61"/>
      <c r="I572" s="100"/>
      <c r="J572" s="100"/>
      <c r="K572" s="61"/>
      <c r="L572" s="61"/>
      <c r="M572" s="61"/>
      <c r="N572" s="107"/>
    </row>
    <row r="573">
      <c r="A573" s="65"/>
      <c r="B573" s="65"/>
      <c r="C573" s="65"/>
      <c r="D573" s="65"/>
      <c r="E573" s="65"/>
      <c r="F573" s="65"/>
      <c r="G573" s="65"/>
      <c r="H573" s="65"/>
      <c r="I573" s="103"/>
      <c r="J573" s="103"/>
      <c r="K573" s="65"/>
      <c r="L573" s="65"/>
      <c r="M573" s="65"/>
      <c r="N573" s="108"/>
    </row>
    <row r="574">
      <c r="A574" s="61"/>
      <c r="B574" s="61"/>
      <c r="C574" s="61"/>
      <c r="D574" s="61"/>
      <c r="E574" s="61"/>
      <c r="F574" s="61"/>
      <c r="G574" s="61"/>
      <c r="H574" s="61"/>
      <c r="I574" s="100"/>
      <c r="J574" s="100"/>
      <c r="K574" s="61"/>
      <c r="L574" s="61"/>
      <c r="M574" s="61"/>
      <c r="N574" s="107"/>
    </row>
    <row r="575">
      <c r="A575" s="65"/>
      <c r="B575" s="65"/>
      <c r="C575" s="65"/>
      <c r="D575" s="65"/>
      <c r="E575" s="65"/>
      <c r="F575" s="65"/>
      <c r="G575" s="65"/>
      <c r="H575" s="65"/>
      <c r="I575" s="103"/>
      <c r="J575" s="103"/>
      <c r="K575" s="65"/>
      <c r="L575" s="65"/>
      <c r="M575" s="65"/>
      <c r="N575" s="108"/>
    </row>
    <row r="576">
      <c r="A576" s="61"/>
      <c r="B576" s="61"/>
      <c r="C576" s="61"/>
      <c r="D576" s="61"/>
      <c r="E576" s="61"/>
      <c r="F576" s="61"/>
      <c r="G576" s="61"/>
      <c r="H576" s="61"/>
      <c r="I576" s="100"/>
      <c r="J576" s="100"/>
      <c r="K576" s="61"/>
      <c r="L576" s="61"/>
      <c r="M576" s="61"/>
      <c r="N576" s="107"/>
    </row>
    <row r="577">
      <c r="A577" s="65"/>
      <c r="B577" s="65"/>
      <c r="C577" s="65"/>
      <c r="D577" s="65"/>
      <c r="E577" s="65"/>
      <c r="F577" s="65"/>
      <c r="G577" s="65"/>
      <c r="H577" s="65"/>
      <c r="I577" s="103"/>
      <c r="J577" s="103"/>
      <c r="K577" s="65"/>
      <c r="L577" s="65"/>
      <c r="M577" s="65"/>
      <c r="N577" s="108"/>
    </row>
    <row r="578">
      <c r="A578" s="61"/>
      <c r="B578" s="61"/>
      <c r="C578" s="61"/>
      <c r="D578" s="61"/>
      <c r="E578" s="61"/>
      <c r="F578" s="61"/>
      <c r="G578" s="61"/>
      <c r="H578" s="61"/>
      <c r="I578" s="100"/>
      <c r="J578" s="100"/>
      <c r="K578" s="61"/>
      <c r="L578" s="61"/>
      <c r="M578" s="61"/>
      <c r="N578" s="107"/>
    </row>
    <row r="579">
      <c r="A579" s="65"/>
      <c r="B579" s="65"/>
      <c r="C579" s="65"/>
      <c r="D579" s="65"/>
      <c r="E579" s="65"/>
      <c r="F579" s="65"/>
      <c r="G579" s="65"/>
      <c r="H579" s="65"/>
      <c r="I579" s="103"/>
      <c r="J579" s="103"/>
      <c r="K579" s="65"/>
      <c r="L579" s="65"/>
      <c r="M579" s="65"/>
      <c r="N579" s="108"/>
    </row>
    <row r="580">
      <c r="A580" s="61"/>
      <c r="B580" s="61"/>
      <c r="C580" s="61"/>
      <c r="D580" s="61"/>
      <c r="E580" s="61"/>
      <c r="F580" s="61"/>
      <c r="G580" s="61"/>
      <c r="H580" s="61"/>
      <c r="I580" s="100"/>
      <c r="J580" s="100"/>
      <c r="K580" s="61"/>
      <c r="L580" s="61"/>
      <c r="M580" s="61"/>
      <c r="N580" s="107"/>
    </row>
    <row r="581">
      <c r="A581" s="65"/>
      <c r="B581" s="65"/>
      <c r="C581" s="65"/>
      <c r="D581" s="65"/>
      <c r="E581" s="65"/>
      <c r="F581" s="65"/>
      <c r="G581" s="65"/>
      <c r="H581" s="65"/>
      <c r="I581" s="103"/>
      <c r="J581" s="103"/>
      <c r="K581" s="65"/>
      <c r="L581" s="65"/>
      <c r="M581" s="65"/>
      <c r="N581" s="108"/>
    </row>
    <row r="582">
      <c r="A582" s="61"/>
      <c r="B582" s="61"/>
      <c r="C582" s="61"/>
      <c r="D582" s="61"/>
      <c r="E582" s="61"/>
      <c r="F582" s="61"/>
      <c r="G582" s="61"/>
      <c r="H582" s="61"/>
      <c r="I582" s="100"/>
      <c r="J582" s="100"/>
      <c r="K582" s="61"/>
      <c r="L582" s="61"/>
      <c r="M582" s="61"/>
      <c r="N582" s="107"/>
    </row>
    <row r="583">
      <c r="A583" s="65"/>
      <c r="B583" s="65"/>
      <c r="C583" s="65"/>
      <c r="D583" s="65"/>
      <c r="E583" s="65"/>
      <c r="F583" s="65"/>
      <c r="G583" s="65"/>
      <c r="H583" s="65"/>
      <c r="I583" s="103"/>
      <c r="J583" s="103"/>
      <c r="K583" s="65"/>
      <c r="L583" s="65"/>
      <c r="M583" s="65"/>
      <c r="N583" s="108"/>
    </row>
    <row r="584">
      <c r="A584" s="61"/>
      <c r="B584" s="61"/>
      <c r="C584" s="61"/>
      <c r="D584" s="61"/>
      <c r="E584" s="61"/>
      <c r="F584" s="61"/>
      <c r="G584" s="61"/>
      <c r="H584" s="61"/>
      <c r="I584" s="100"/>
      <c r="J584" s="100"/>
      <c r="K584" s="61"/>
      <c r="L584" s="61"/>
      <c r="M584" s="61"/>
      <c r="N584" s="107"/>
    </row>
    <row r="585">
      <c r="A585" s="65"/>
      <c r="B585" s="65"/>
      <c r="C585" s="65"/>
      <c r="D585" s="65"/>
      <c r="E585" s="65"/>
      <c r="F585" s="65"/>
      <c r="G585" s="65"/>
      <c r="H585" s="65"/>
      <c r="I585" s="103"/>
      <c r="J585" s="103"/>
      <c r="K585" s="65"/>
      <c r="L585" s="65"/>
      <c r="M585" s="65"/>
      <c r="N585" s="108"/>
    </row>
    <row r="586">
      <c r="A586" s="61"/>
      <c r="B586" s="61"/>
      <c r="C586" s="61"/>
      <c r="D586" s="61"/>
      <c r="E586" s="61"/>
      <c r="F586" s="61"/>
      <c r="G586" s="61"/>
      <c r="H586" s="61"/>
      <c r="I586" s="100"/>
      <c r="J586" s="100"/>
      <c r="K586" s="61"/>
      <c r="L586" s="61"/>
      <c r="M586" s="61"/>
      <c r="N586" s="107"/>
    </row>
    <row r="587">
      <c r="A587" s="65"/>
      <c r="B587" s="65"/>
      <c r="C587" s="65"/>
      <c r="D587" s="65"/>
      <c r="E587" s="65"/>
      <c r="F587" s="65"/>
      <c r="G587" s="65"/>
      <c r="H587" s="65"/>
      <c r="I587" s="103"/>
      <c r="J587" s="103"/>
      <c r="K587" s="65"/>
      <c r="L587" s="65"/>
      <c r="M587" s="65"/>
      <c r="N587" s="108"/>
    </row>
    <row r="588">
      <c r="A588" s="61"/>
      <c r="B588" s="61"/>
      <c r="C588" s="61"/>
      <c r="D588" s="61"/>
      <c r="E588" s="61"/>
      <c r="F588" s="61"/>
      <c r="G588" s="61"/>
      <c r="H588" s="61"/>
      <c r="I588" s="100"/>
      <c r="J588" s="100"/>
      <c r="K588" s="61"/>
      <c r="L588" s="61"/>
      <c r="M588" s="61"/>
      <c r="N588" s="107"/>
    </row>
    <row r="589">
      <c r="A589" s="65"/>
      <c r="B589" s="65"/>
      <c r="C589" s="65"/>
      <c r="D589" s="65"/>
      <c r="E589" s="65"/>
      <c r="F589" s="65"/>
      <c r="G589" s="65"/>
      <c r="H589" s="65"/>
      <c r="I589" s="103"/>
      <c r="J589" s="103"/>
      <c r="K589" s="65"/>
      <c r="L589" s="65"/>
      <c r="M589" s="65"/>
      <c r="N589" s="108"/>
    </row>
    <row r="590">
      <c r="A590" s="61"/>
      <c r="B590" s="61"/>
      <c r="C590" s="61"/>
      <c r="D590" s="61"/>
      <c r="E590" s="61"/>
      <c r="F590" s="61"/>
      <c r="G590" s="61"/>
      <c r="H590" s="61"/>
      <c r="I590" s="100"/>
      <c r="J590" s="100"/>
      <c r="K590" s="61"/>
      <c r="L590" s="61"/>
      <c r="M590" s="61"/>
      <c r="N590" s="107"/>
    </row>
    <row r="591">
      <c r="A591" s="65"/>
      <c r="B591" s="65"/>
      <c r="C591" s="65"/>
      <c r="D591" s="65"/>
      <c r="E591" s="65"/>
      <c r="F591" s="65"/>
      <c r="G591" s="65"/>
      <c r="H591" s="65"/>
      <c r="I591" s="103"/>
      <c r="J591" s="103"/>
      <c r="K591" s="65"/>
      <c r="L591" s="65"/>
      <c r="M591" s="65"/>
      <c r="N591" s="108"/>
    </row>
    <row r="592">
      <c r="A592" s="61"/>
      <c r="B592" s="61"/>
      <c r="C592" s="61"/>
      <c r="D592" s="61"/>
      <c r="E592" s="61"/>
      <c r="F592" s="61"/>
      <c r="G592" s="61"/>
      <c r="H592" s="61"/>
      <c r="I592" s="100"/>
      <c r="J592" s="100"/>
      <c r="K592" s="61"/>
      <c r="L592" s="61"/>
      <c r="M592" s="61"/>
      <c r="N592" s="107"/>
    </row>
    <row r="593">
      <c r="A593" s="65"/>
      <c r="B593" s="65"/>
      <c r="C593" s="65"/>
      <c r="D593" s="65"/>
      <c r="E593" s="65"/>
      <c r="F593" s="65"/>
      <c r="G593" s="65"/>
      <c r="H593" s="65"/>
      <c r="I593" s="103"/>
      <c r="J593" s="103"/>
      <c r="K593" s="65"/>
      <c r="L593" s="65"/>
      <c r="M593" s="65"/>
      <c r="N593" s="108"/>
    </row>
    <row r="594">
      <c r="A594" s="61"/>
      <c r="B594" s="61"/>
      <c r="C594" s="61"/>
      <c r="D594" s="61"/>
      <c r="E594" s="61"/>
      <c r="F594" s="61"/>
      <c r="G594" s="61"/>
      <c r="H594" s="61"/>
      <c r="I594" s="100"/>
      <c r="J594" s="100"/>
      <c r="K594" s="61"/>
      <c r="L594" s="61"/>
      <c r="M594" s="61"/>
      <c r="N594" s="107"/>
    </row>
    <row r="595">
      <c r="A595" s="65"/>
      <c r="B595" s="65"/>
      <c r="C595" s="65"/>
      <c r="D595" s="65"/>
      <c r="E595" s="65"/>
      <c r="F595" s="65"/>
      <c r="G595" s="65"/>
      <c r="H595" s="65"/>
      <c r="I595" s="103"/>
      <c r="J595" s="103"/>
      <c r="K595" s="65"/>
      <c r="L595" s="65"/>
      <c r="M595" s="65"/>
      <c r="N595" s="108"/>
    </row>
    <row r="596">
      <c r="A596" s="61"/>
      <c r="B596" s="61"/>
      <c r="C596" s="61"/>
      <c r="D596" s="61"/>
      <c r="E596" s="61"/>
      <c r="F596" s="61"/>
      <c r="G596" s="61"/>
      <c r="H596" s="61"/>
      <c r="I596" s="100"/>
      <c r="J596" s="100"/>
      <c r="K596" s="61"/>
      <c r="L596" s="61"/>
      <c r="M596" s="61"/>
      <c r="N596" s="107"/>
    </row>
    <row r="597">
      <c r="A597" s="65"/>
      <c r="B597" s="65"/>
      <c r="C597" s="65"/>
      <c r="D597" s="65"/>
      <c r="E597" s="65"/>
      <c r="F597" s="65"/>
      <c r="G597" s="65"/>
      <c r="H597" s="65"/>
      <c r="I597" s="103"/>
      <c r="J597" s="103"/>
      <c r="K597" s="65"/>
      <c r="L597" s="65"/>
      <c r="M597" s="65"/>
      <c r="N597" s="108"/>
    </row>
    <row r="598">
      <c r="A598" s="61"/>
      <c r="B598" s="61"/>
      <c r="C598" s="61"/>
      <c r="D598" s="61"/>
      <c r="E598" s="61"/>
      <c r="F598" s="61"/>
      <c r="G598" s="61"/>
      <c r="H598" s="61"/>
      <c r="I598" s="100"/>
      <c r="J598" s="100"/>
      <c r="K598" s="61"/>
      <c r="L598" s="61"/>
      <c r="M598" s="61"/>
      <c r="N598" s="107"/>
    </row>
    <row r="599">
      <c r="A599" s="65"/>
      <c r="B599" s="65"/>
      <c r="C599" s="65"/>
      <c r="D599" s="65"/>
      <c r="E599" s="65"/>
      <c r="F599" s="65"/>
      <c r="G599" s="65"/>
      <c r="H599" s="65"/>
      <c r="I599" s="103"/>
      <c r="J599" s="103"/>
      <c r="K599" s="65"/>
      <c r="L599" s="65"/>
      <c r="M599" s="65"/>
      <c r="N599" s="108"/>
    </row>
    <row r="600">
      <c r="A600" s="61"/>
      <c r="B600" s="61"/>
      <c r="C600" s="61"/>
      <c r="D600" s="61"/>
      <c r="E600" s="61"/>
      <c r="F600" s="61"/>
      <c r="G600" s="61"/>
      <c r="H600" s="61"/>
      <c r="I600" s="100"/>
      <c r="J600" s="100"/>
      <c r="K600" s="61"/>
      <c r="L600" s="61"/>
      <c r="M600" s="61"/>
      <c r="N600" s="107"/>
    </row>
    <row r="601">
      <c r="A601" s="65"/>
      <c r="B601" s="65"/>
      <c r="C601" s="65"/>
      <c r="D601" s="65"/>
      <c r="E601" s="65"/>
      <c r="F601" s="65"/>
      <c r="G601" s="65"/>
      <c r="H601" s="65"/>
      <c r="I601" s="103"/>
      <c r="J601" s="103"/>
      <c r="K601" s="65"/>
      <c r="L601" s="65"/>
      <c r="M601" s="65"/>
      <c r="N601" s="108"/>
    </row>
    <row r="602">
      <c r="A602" s="61"/>
      <c r="B602" s="61"/>
      <c r="C602" s="61"/>
      <c r="D602" s="61"/>
      <c r="E602" s="61"/>
      <c r="F602" s="61"/>
      <c r="G602" s="61"/>
      <c r="H602" s="61"/>
      <c r="I602" s="100"/>
      <c r="J602" s="100"/>
      <c r="K602" s="61"/>
      <c r="L602" s="61"/>
      <c r="M602" s="61"/>
      <c r="N602" s="107"/>
    </row>
    <row r="603">
      <c r="A603" s="65"/>
      <c r="B603" s="65"/>
      <c r="C603" s="65"/>
      <c r="D603" s="65"/>
      <c r="E603" s="65"/>
      <c r="F603" s="65"/>
      <c r="G603" s="65"/>
      <c r="H603" s="65"/>
      <c r="I603" s="103"/>
      <c r="J603" s="103"/>
      <c r="K603" s="65"/>
      <c r="L603" s="65"/>
      <c r="M603" s="65"/>
      <c r="N603" s="108"/>
    </row>
    <row r="604">
      <c r="A604" s="61"/>
      <c r="B604" s="61"/>
      <c r="C604" s="61"/>
      <c r="D604" s="61"/>
      <c r="E604" s="61"/>
      <c r="F604" s="61"/>
      <c r="G604" s="61"/>
      <c r="H604" s="61"/>
      <c r="I604" s="100"/>
      <c r="J604" s="100"/>
      <c r="K604" s="61"/>
      <c r="L604" s="61"/>
      <c r="M604" s="61"/>
      <c r="N604" s="107"/>
    </row>
    <row r="605">
      <c r="A605" s="65"/>
      <c r="B605" s="65"/>
      <c r="C605" s="65"/>
      <c r="D605" s="65"/>
      <c r="E605" s="65"/>
      <c r="F605" s="65"/>
      <c r="G605" s="65"/>
      <c r="H605" s="65"/>
      <c r="I605" s="103"/>
      <c r="J605" s="103"/>
      <c r="K605" s="65"/>
      <c r="L605" s="65"/>
      <c r="M605" s="65"/>
      <c r="N605" s="108"/>
    </row>
    <row r="606">
      <c r="A606" s="61"/>
      <c r="B606" s="61"/>
      <c r="C606" s="61"/>
      <c r="D606" s="61"/>
      <c r="E606" s="61"/>
      <c r="F606" s="61"/>
      <c r="G606" s="61"/>
      <c r="H606" s="61"/>
      <c r="I606" s="100"/>
      <c r="J606" s="100"/>
      <c r="K606" s="61"/>
      <c r="L606" s="61"/>
      <c r="M606" s="61"/>
      <c r="N606" s="107"/>
    </row>
    <row r="607">
      <c r="A607" s="65"/>
      <c r="B607" s="65"/>
      <c r="C607" s="65"/>
      <c r="D607" s="65"/>
      <c r="E607" s="65"/>
      <c r="F607" s="65"/>
      <c r="G607" s="65"/>
      <c r="H607" s="65"/>
      <c r="I607" s="103"/>
      <c r="J607" s="103"/>
      <c r="K607" s="65"/>
      <c r="L607" s="65"/>
      <c r="M607" s="65"/>
      <c r="N607" s="108"/>
    </row>
    <row r="608">
      <c r="A608" s="61"/>
      <c r="B608" s="61"/>
      <c r="C608" s="61"/>
      <c r="D608" s="61"/>
      <c r="E608" s="61"/>
      <c r="F608" s="61"/>
      <c r="G608" s="61"/>
      <c r="H608" s="61"/>
      <c r="I608" s="100"/>
      <c r="J608" s="100"/>
      <c r="K608" s="61"/>
      <c r="L608" s="61"/>
      <c r="M608" s="61"/>
      <c r="N608" s="107"/>
    </row>
    <row r="609">
      <c r="A609" s="65"/>
      <c r="B609" s="65"/>
      <c r="C609" s="65"/>
      <c r="D609" s="65"/>
      <c r="E609" s="65"/>
      <c r="F609" s="65"/>
      <c r="G609" s="65"/>
      <c r="H609" s="65"/>
      <c r="I609" s="103"/>
      <c r="J609" s="103"/>
      <c r="K609" s="65"/>
      <c r="L609" s="65"/>
      <c r="M609" s="65"/>
      <c r="N609" s="108"/>
    </row>
    <row r="610">
      <c r="A610" s="61"/>
      <c r="B610" s="61"/>
      <c r="C610" s="61"/>
      <c r="D610" s="61"/>
      <c r="E610" s="61"/>
      <c r="F610" s="61"/>
      <c r="G610" s="61"/>
      <c r="H610" s="61"/>
      <c r="I610" s="100"/>
      <c r="J610" s="100"/>
      <c r="K610" s="61"/>
      <c r="L610" s="61"/>
      <c r="M610" s="61"/>
      <c r="N610" s="107"/>
    </row>
    <row r="611">
      <c r="A611" s="65"/>
      <c r="B611" s="65"/>
      <c r="C611" s="65"/>
      <c r="D611" s="65"/>
      <c r="E611" s="65"/>
      <c r="F611" s="65"/>
      <c r="G611" s="65"/>
      <c r="H611" s="65"/>
      <c r="I611" s="103"/>
      <c r="J611" s="103"/>
      <c r="K611" s="65"/>
      <c r="L611" s="65"/>
      <c r="M611" s="65"/>
      <c r="N611" s="108"/>
    </row>
    <row r="612">
      <c r="A612" s="61"/>
      <c r="B612" s="61"/>
      <c r="C612" s="61"/>
      <c r="D612" s="61"/>
      <c r="E612" s="61"/>
      <c r="F612" s="61"/>
      <c r="G612" s="61"/>
      <c r="H612" s="61"/>
      <c r="I612" s="100"/>
      <c r="J612" s="100"/>
      <c r="K612" s="61"/>
      <c r="L612" s="61"/>
      <c r="M612" s="61"/>
      <c r="N612" s="107"/>
    </row>
    <row r="613">
      <c r="A613" s="65"/>
      <c r="B613" s="65"/>
      <c r="C613" s="65"/>
      <c r="D613" s="65"/>
      <c r="E613" s="65"/>
      <c r="F613" s="65"/>
      <c r="G613" s="65"/>
      <c r="H613" s="65"/>
      <c r="I613" s="103"/>
      <c r="J613" s="103"/>
      <c r="K613" s="65"/>
      <c r="L613" s="65"/>
      <c r="M613" s="65"/>
      <c r="N613" s="108"/>
    </row>
    <row r="614">
      <c r="A614" s="61"/>
      <c r="B614" s="61"/>
      <c r="C614" s="61"/>
      <c r="D614" s="61"/>
      <c r="E614" s="61"/>
      <c r="F614" s="61"/>
      <c r="G614" s="61"/>
      <c r="H614" s="61"/>
      <c r="I614" s="100"/>
      <c r="J614" s="100"/>
      <c r="K614" s="61"/>
      <c r="L614" s="61"/>
      <c r="M614" s="61"/>
      <c r="N614" s="107"/>
    </row>
    <row r="615">
      <c r="A615" s="65"/>
      <c r="B615" s="65"/>
      <c r="C615" s="65"/>
      <c r="D615" s="65"/>
      <c r="E615" s="65"/>
      <c r="F615" s="65"/>
      <c r="G615" s="65"/>
      <c r="H615" s="65"/>
      <c r="I615" s="103"/>
      <c r="J615" s="103"/>
      <c r="K615" s="65"/>
      <c r="L615" s="65"/>
      <c r="M615" s="65"/>
      <c r="N615" s="108"/>
    </row>
    <row r="616">
      <c r="A616" s="61"/>
      <c r="B616" s="61"/>
      <c r="C616" s="61"/>
      <c r="D616" s="61"/>
      <c r="E616" s="61"/>
      <c r="F616" s="61"/>
      <c r="G616" s="61"/>
      <c r="H616" s="61"/>
      <c r="I616" s="100"/>
      <c r="J616" s="100"/>
      <c r="K616" s="61"/>
      <c r="L616" s="61"/>
      <c r="M616" s="61"/>
      <c r="N616" s="107"/>
    </row>
    <row r="617">
      <c r="A617" s="65"/>
      <c r="B617" s="65"/>
      <c r="C617" s="65"/>
      <c r="D617" s="65"/>
      <c r="E617" s="65"/>
      <c r="F617" s="65"/>
      <c r="G617" s="65"/>
      <c r="H617" s="65"/>
      <c r="I617" s="103"/>
      <c r="J617" s="103"/>
      <c r="K617" s="65"/>
      <c r="L617" s="65"/>
      <c r="M617" s="65"/>
      <c r="N617" s="108"/>
    </row>
    <row r="618">
      <c r="A618" s="61"/>
      <c r="B618" s="61"/>
      <c r="C618" s="61"/>
      <c r="D618" s="61"/>
      <c r="E618" s="61"/>
      <c r="F618" s="61"/>
      <c r="G618" s="61"/>
      <c r="H618" s="61"/>
      <c r="I618" s="100"/>
      <c r="J618" s="100"/>
      <c r="K618" s="61"/>
      <c r="L618" s="61"/>
      <c r="M618" s="61"/>
      <c r="N618" s="107"/>
    </row>
    <row r="619">
      <c r="A619" s="65"/>
      <c r="B619" s="65"/>
      <c r="C619" s="65"/>
      <c r="D619" s="65"/>
      <c r="E619" s="65"/>
      <c r="F619" s="65"/>
      <c r="G619" s="65"/>
      <c r="H619" s="65"/>
      <c r="I619" s="103"/>
      <c r="J619" s="103"/>
      <c r="K619" s="65"/>
      <c r="L619" s="65"/>
      <c r="M619" s="65"/>
      <c r="N619" s="108"/>
    </row>
    <row r="620">
      <c r="A620" s="61"/>
      <c r="B620" s="61"/>
      <c r="C620" s="61"/>
      <c r="D620" s="61"/>
      <c r="E620" s="61"/>
      <c r="F620" s="61"/>
      <c r="G620" s="61"/>
      <c r="H620" s="61"/>
      <c r="I620" s="100"/>
      <c r="J620" s="100"/>
      <c r="K620" s="61"/>
      <c r="L620" s="61"/>
      <c r="M620" s="61"/>
      <c r="N620" s="107"/>
    </row>
    <row r="621">
      <c r="A621" s="65"/>
      <c r="B621" s="65"/>
      <c r="C621" s="65"/>
      <c r="D621" s="65"/>
      <c r="E621" s="65"/>
      <c r="F621" s="65"/>
      <c r="G621" s="65"/>
      <c r="H621" s="65"/>
      <c r="I621" s="103"/>
      <c r="J621" s="103"/>
      <c r="K621" s="65"/>
      <c r="L621" s="65"/>
      <c r="M621" s="65"/>
      <c r="N621" s="108"/>
    </row>
    <row r="622">
      <c r="A622" s="61"/>
      <c r="B622" s="61"/>
      <c r="C622" s="61"/>
      <c r="D622" s="61"/>
      <c r="E622" s="61"/>
      <c r="F622" s="61"/>
      <c r="G622" s="61"/>
      <c r="H622" s="61"/>
      <c r="I622" s="100"/>
      <c r="J622" s="100"/>
      <c r="K622" s="61"/>
      <c r="L622" s="61"/>
      <c r="M622" s="61"/>
      <c r="N622" s="107"/>
    </row>
    <row r="623">
      <c r="A623" s="65"/>
      <c r="B623" s="65"/>
      <c r="C623" s="65"/>
      <c r="D623" s="65"/>
      <c r="E623" s="65"/>
      <c r="F623" s="65"/>
      <c r="G623" s="65"/>
      <c r="H623" s="65"/>
      <c r="I623" s="103"/>
      <c r="J623" s="103"/>
      <c r="K623" s="65"/>
      <c r="L623" s="65"/>
      <c r="M623" s="65"/>
      <c r="N623" s="108"/>
    </row>
    <row r="624">
      <c r="A624" s="61"/>
      <c r="B624" s="61"/>
      <c r="C624" s="61"/>
      <c r="D624" s="61"/>
      <c r="E624" s="61"/>
      <c r="F624" s="61"/>
      <c r="G624" s="61"/>
      <c r="H624" s="61"/>
      <c r="I624" s="100"/>
      <c r="J624" s="100"/>
      <c r="K624" s="61"/>
      <c r="L624" s="61"/>
      <c r="M624" s="61"/>
      <c r="N624" s="107"/>
    </row>
    <row r="625">
      <c r="A625" s="65"/>
      <c r="B625" s="65"/>
      <c r="C625" s="65"/>
      <c r="D625" s="65"/>
      <c r="E625" s="65"/>
      <c r="F625" s="65"/>
      <c r="G625" s="65"/>
      <c r="H625" s="65"/>
      <c r="I625" s="103"/>
      <c r="J625" s="103"/>
      <c r="K625" s="65"/>
      <c r="L625" s="65"/>
      <c r="M625" s="65"/>
      <c r="N625" s="108"/>
    </row>
    <row r="626">
      <c r="A626" s="61"/>
      <c r="B626" s="61"/>
      <c r="C626" s="61"/>
      <c r="D626" s="61"/>
      <c r="E626" s="61"/>
      <c r="F626" s="61"/>
      <c r="G626" s="61"/>
      <c r="H626" s="61"/>
      <c r="I626" s="100"/>
      <c r="J626" s="100"/>
      <c r="K626" s="61"/>
      <c r="L626" s="61"/>
      <c r="M626" s="61"/>
      <c r="N626" s="107"/>
    </row>
    <row r="627">
      <c r="A627" s="65"/>
      <c r="B627" s="65"/>
      <c r="C627" s="65"/>
      <c r="D627" s="65"/>
      <c r="E627" s="65"/>
      <c r="F627" s="65"/>
      <c r="G627" s="65"/>
      <c r="H627" s="65"/>
      <c r="I627" s="103"/>
      <c r="J627" s="103"/>
      <c r="K627" s="65"/>
      <c r="L627" s="65"/>
      <c r="M627" s="65"/>
      <c r="N627" s="108"/>
    </row>
    <row r="628">
      <c r="A628" s="61"/>
      <c r="B628" s="61"/>
      <c r="C628" s="61"/>
      <c r="D628" s="61"/>
      <c r="E628" s="61"/>
      <c r="F628" s="61"/>
      <c r="G628" s="61"/>
      <c r="H628" s="61"/>
      <c r="I628" s="100"/>
      <c r="J628" s="100"/>
      <c r="K628" s="61"/>
      <c r="L628" s="61"/>
      <c r="M628" s="61"/>
      <c r="N628" s="107"/>
    </row>
    <row r="629">
      <c r="A629" s="65"/>
      <c r="B629" s="65"/>
      <c r="C629" s="65"/>
      <c r="D629" s="65"/>
      <c r="E629" s="65"/>
      <c r="F629" s="65"/>
      <c r="G629" s="65"/>
      <c r="H629" s="65"/>
      <c r="I629" s="103"/>
      <c r="J629" s="103"/>
      <c r="K629" s="65"/>
      <c r="L629" s="65"/>
      <c r="M629" s="65"/>
      <c r="N629" s="108"/>
    </row>
    <row r="630">
      <c r="A630" s="61"/>
      <c r="B630" s="61"/>
      <c r="C630" s="61"/>
      <c r="D630" s="61"/>
      <c r="E630" s="61"/>
      <c r="F630" s="61"/>
      <c r="G630" s="61"/>
      <c r="H630" s="61"/>
      <c r="I630" s="100"/>
      <c r="J630" s="100"/>
      <c r="K630" s="61"/>
      <c r="L630" s="61"/>
      <c r="M630" s="61"/>
      <c r="N630" s="107"/>
    </row>
    <row r="631">
      <c r="A631" s="65"/>
      <c r="B631" s="65"/>
      <c r="C631" s="65"/>
      <c r="D631" s="65"/>
      <c r="E631" s="65"/>
      <c r="F631" s="65"/>
      <c r="G631" s="65"/>
      <c r="H631" s="65"/>
      <c r="I631" s="103"/>
      <c r="J631" s="103"/>
      <c r="K631" s="65"/>
      <c r="L631" s="65"/>
      <c r="M631" s="65"/>
      <c r="N631" s="108"/>
    </row>
    <row r="632">
      <c r="A632" s="61"/>
      <c r="B632" s="61"/>
      <c r="C632" s="61"/>
      <c r="D632" s="61"/>
      <c r="E632" s="61"/>
      <c r="F632" s="61"/>
      <c r="G632" s="61"/>
      <c r="H632" s="61"/>
      <c r="I632" s="100"/>
      <c r="J632" s="100"/>
      <c r="K632" s="61"/>
      <c r="L632" s="61"/>
      <c r="M632" s="61"/>
      <c r="N632" s="107"/>
    </row>
    <row r="633">
      <c r="A633" s="65"/>
      <c r="B633" s="65"/>
      <c r="C633" s="65"/>
      <c r="D633" s="65"/>
      <c r="E633" s="65"/>
      <c r="F633" s="65"/>
      <c r="G633" s="65"/>
      <c r="H633" s="65"/>
      <c r="I633" s="103"/>
      <c r="J633" s="103"/>
      <c r="K633" s="65"/>
      <c r="L633" s="65"/>
      <c r="M633" s="65"/>
      <c r="N633" s="108"/>
    </row>
    <row r="634">
      <c r="A634" s="61"/>
      <c r="B634" s="61"/>
      <c r="C634" s="61"/>
      <c r="D634" s="61"/>
      <c r="E634" s="61"/>
      <c r="F634" s="61"/>
      <c r="G634" s="61"/>
      <c r="H634" s="61"/>
      <c r="I634" s="100"/>
      <c r="J634" s="100"/>
      <c r="K634" s="61"/>
      <c r="L634" s="61"/>
      <c r="M634" s="61"/>
      <c r="N634" s="107"/>
    </row>
    <row r="635">
      <c r="A635" s="65"/>
      <c r="B635" s="65"/>
      <c r="C635" s="65"/>
      <c r="D635" s="65"/>
      <c r="E635" s="65"/>
      <c r="F635" s="65"/>
      <c r="G635" s="65"/>
      <c r="H635" s="65"/>
      <c r="I635" s="103"/>
      <c r="J635" s="103"/>
      <c r="K635" s="65"/>
      <c r="L635" s="65"/>
      <c r="M635" s="65"/>
      <c r="N635" s="108"/>
    </row>
    <row r="636">
      <c r="A636" s="61"/>
      <c r="B636" s="61"/>
      <c r="C636" s="61"/>
      <c r="D636" s="61"/>
      <c r="E636" s="61"/>
      <c r="F636" s="61"/>
      <c r="G636" s="61"/>
      <c r="H636" s="61"/>
      <c r="I636" s="100"/>
      <c r="J636" s="100"/>
      <c r="K636" s="61"/>
      <c r="L636" s="61"/>
      <c r="M636" s="61"/>
      <c r="N636" s="107"/>
    </row>
    <row r="637">
      <c r="A637" s="65"/>
      <c r="B637" s="65"/>
      <c r="C637" s="65"/>
      <c r="D637" s="65"/>
      <c r="E637" s="65"/>
      <c r="F637" s="65"/>
      <c r="G637" s="65"/>
      <c r="H637" s="65"/>
      <c r="I637" s="103"/>
      <c r="J637" s="103"/>
      <c r="K637" s="65"/>
      <c r="L637" s="65"/>
      <c r="M637" s="65"/>
      <c r="N637" s="108"/>
    </row>
    <row r="638">
      <c r="A638" s="61"/>
      <c r="B638" s="61"/>
      <c r="C638" s="61"/>
      <c r="D638" s="61"/>
      <c r="E638" s="61"/>
      <c r="F638" s="61"/>
      <c r="G638" s="61"/>
      <c r="H638" s="61"/>
      <c r="I638" s="100"/>
      <c r="J638" s="100"/>
      <c r="K638" s="61"/>
      <c r="L638" s="61"/>
      <c r="M638" s="61"/>
      <c r="N638" s="107"/>
    </row>
    <row r="639">
      <c r="A639" s="65"/>
      <c r="B639" s="65"/>
      <c r="C639" s="65"/>
      <c r="D639" s="65"/>
      <c r="E639" s="65"/>
      <c r="F639" s="65"/>
      <c r="G639" s="65"/>
      <c r="H639" s="65"/>
      <c r="I639" s="103"/>
      <c r="J639" s="103"/>
      <c r="K639" s="65"/>
      <c r="L639" s="65"/>
      <c r="M639" s="65"/>
      <c r="N639" s="108"/>
    </row>
    <row r="640">
      <c r="A640" s="61"/>
      <c r="B640" s="61"/>
      <c r="C640" s="61"/>
      <c r="D640" s="61"/>
      <c r="E640" s="61"/>
      <c r="F640" s="61"/>
      <c r="G640" s="61"/>
      <c r="H640" s="61"/>
      <c r="I640" s="100"/>
      <c r="J640" s="100"/>
      <c r="K640" s="61"/>
      <c r="L640" s="61"/>
      <c r="M640" s="61"/>
      <c r="N640" s="107"/>
    </row>
    <row r="641">
      <c r="A641" s="65"/>
      <c r="B641" s="65"/>
      <c r="C641" s="65"/>
      <c r="D641" s="65"/>
      <c r="E641" s="65"/>
      <c r="F641" s="65"/>
      <c r="G641" s="65"/>
      <c r="H641" s="65"/>
      <c r="I641" s="103"/>
      <c r="J641" s="103"/>
      <c r="K641" s="65"/>
      <c r="L641" s="65"/>
      <c r="M641" s="65"/>
      <c r="N641" s="108"/>
    </row>
    <row r="642">
      <c r="A642" s="61"/>
      <c r="B642" s="61"/>
      <c r="C642" s="61"/>
      <c r="D642" s="61"/>
      <c r="E642" s="61"/>
      <c r="F642" s="61"/>
      <c r="G642" s="61"/>
      <c r="H642" s="61"/>
      <c r="I642" s="100"/>
      <c r="J642" s="100"/>
      <c r="K642" s="61"/>
      <c r="L642" s="61"/>
      <c r="M642" s="61"/>
      <c r="N642" s="107"/>
    </row>
    <row r="643">
      <c r="A643" s="65"/>
      <c r="B643" s="65"/>
      <c r="C643" s="65"/>
      <c r="D643" s="65"/>
      <c r="E643" s="65"/>
      <c r="F643" s="65"/>
      <c r="G643" s="65"/>
      <c r="H643" s="65"/>
      <c r="I643" s="103"/>
      <c r="J643" s="103"/>
      <c r="K643" s="65"/>
      <c r="L643" s="65"/>
      <c r="M643" s="65"/>
      <c r="N643" s="108"/>
    </row>
    <row r="644">
      <c r="A644" s="61"/>
      <c r="B644" s="61"/>
      <c r="C644" s="61"/>
      <c r="D644" s="61"/>
      <c r="E644" s="61"/>
      <c r="F644" s="61"/>
      <c r="G644" s="61"/>
      <c r="H644" s="61"/>
      <c r="I644" s="100"/>
      <c r="J644" s="100"/>
      <c r="K644" s="61"/>
      <c r="L644" s="61"/>
      <c r="M644" s="61"/>
      <c r="N644" s="107"/>
    </row>
    <row r="645">
      <c r="A645" s="65"/>
      <c r="B645" s="65"/>
      <c r="C645" s="65"/>
      <c r="D645" s="65"/>
      <c r="E645" s="65"/>
      <c r="F645" s="65"/>
      <c r="G645" s="65"/>
      <c r="H645" s="65"/>
      <c r="I645" s="103"/>
      <c r="J645" s="103"/>
      <c r="K645" s="65"/>
      <c r="L645" s="65"/>
      <c r="M645" s="65"/>
      <c r="N645" s="108"/>
    </row>
    <row r="646">
      <c r="A646" s="61"/>
      <c r="B646" s="61"/>
      <c r="C646" s="61"/>
      <c r="D646" s="61"/>
      <c r="E646" s="61"/>
      <c r="F646" s="61"/>
      <c r="G646" s="61"/>
      <c r="H646" s="61"/>
      <c r="I646" s="100"/>
      <c r="J646" s="100"/>
      <c r="K646" s="61"/>
      <c r="L646" s="61"/>
      <c r="M646" s="61"/>
      <c r="N646" s="107"/>
    </row>
    <row r="647">
      <c r="A647" s="65"/>
      <c r="B647" s="65"/>
      <c r="C647" s="65"/>
      <c r="D647" s="65"/>
      <c r="E647" s="65"/>
      <c r="F647" s="65"/>
      <c r="G647" s="65"/>
      <c r="H647" s="65"/>
      <c r="I647" s="103"/>
      <c r="J647" s="103"/>
      <c r="K647" s="65"/>
      <c r="L647" s="65"/>
      <c r="M647" s="65"/>
      <c r="N647" s="108"/>
    </row>
    <row r="648">
      <c r="A648" s="61"/>
      <c r="B648" s="61"/>
      <c r="C648" s="61"/>
      <c r="D648" s="61"/>
      <c r="E648" s="61"/>
      <c r="F648" s="61"/>
      <c r="G648" s="61"/>
      <c r="H648" s="61"/>
      <c r="I648" s="100"/>
      <c r="J648" s="100"/>
      <c r="K648" s="61"/>
      <c r="L648" s="61"/>
      <c r="M648" s="61"/>
      <c r="N648" s="107"/>
    </row>
    <row r="649">
      <c r="A649" s="65"/>
      <c r="B649" s="65"/>
      <c r="C649" s="65"/>
      <c r="D649" s="65"/>
      <c r="E649" s="65"/>
      <c r="F649" s="65"/>
      <c r="G649" s="65"/>
      <c r="H649" s="65"/>
      <c r="I649" s="103"/>
      <c r="J649" s="103"/>
      <c r="K649" s="65"/>
      <c r="L649" s="65"/>
      <c r="M649" s="65"/>
      <c r="N649" s="108"/>
    </row>
    <row r="650">
      <c r="A650" s="61"/>
      <c r="B650" s="61"/>
      <c r="C650" s="61"/>
      <c r="D650" s="61"/>
      <c r="E650" s="61"/>
      <c r="F650" s="61"/>
      <c r="G650" s="61"/>
      <c r="H650" s="61"/>
      <c r="I650" s="100"/>
      <c r="J650" s="100"/>
      <c r="K650" s="61"/>
      <c r="L650" s="61"/>
      <c r="M650" s="61"/>
      <c r="N650" s="107"/>
    </row>
    <row r="651">
      <c r="A651" s="65"/>
      <c r="B651" s="65"/>
      <c r="C651" s="65"/>
      <c r="D651" s="65"/>
      <c r="E651" s="65"/>
      <c r="F651" s="65"/>
      <c r="G651" s="65"/>
      <c r="H651" s="65"/>
      <c r="I651" s="103"/>
      <c r="J651" s="103"/>
      <c r="K651" s="65"/>
      <c r="L651" s="65"/>
      <c r="M651" s="65"/>
      <c r="N651" s="108"/>
    </row>
    <row r="652">
      <c r="A652" s="61"/>
      <c r="B652" s="61"/>
      <c r="C652" s="61"/>
      <c r="D652" s="61"/>
      <c r="E652" s="61"/>
      <c r="F652" s="61"/>
      <c r="G652" s="61"/>
      <c r="H652" s="61"/>
      <c r="I652" s="100"/>
      <c r="J652" s="100"/>
      <c r="K652" s="61"/>
      <c r="L652" s="61"/>
      <c r="M652" s="61"/>
      <c r="N652" s="107"/>
    </row>
    <row r="653">
      <c r="A653" s="65"/>
      <c r="B653" s="65"/>
      <c r="C653" s="65"/>
      <c r="D653" s="65"/>
      <c r="E653" s="65"/>
      <c r="F653" s="65"/>
      <c r="G653" s="65"/>
      <c r="H653" s="65"/>
      <c r="I653" s="103"/>
      <c r="J653" s="103"/>
      <c r="K653" s="65"/>
      <c r="L653" s="65"/>
      <c r="M653" s="65"/>
      <c r="N653" s="108"/>
    </row>
    <row r="654">
      <c r="A654" s="61"/>
      <c r="B654" s="61"/>
      <c r="C654" s="61"/>
      <c r="D654" s="61"/>
      <c r="E654" s="61"/>
      <c r="F654" s="61"/>
      <c r="G654" s="61"/>
      <c r="H654" s="61"/>
      <c r="I654" s="100"/>
      <c r="J654" s="100"/>
      <c r="K654" s="61"/>
      <c r="L654" s="61"/>
      <c r="M654" s="61"/>
      <c r="N654" s="107"/>
    </row>
    <row r="655">
      <c r="A655" s="65"/>
      <c r="B655" s="65"/>
      <c r="C655" s="65"/>
      <c r="D655" s="65"/>
      <c r="E655" s="65"/>
      <c r="F655" s="65"/>
      <c r="G655" s="65"/>
      <c r="H655" s="65"/>
      <c r="I655" s="103"/>
      <c r="J655" s="103"/>
      <c r="K655" s="65"/>
      <c r="L655" s="65"/>
      <c r="M655" s="65"/>
      <c r="N655" s="108"/>
    </row>
    <row r="656">
      <c r="A656" s="61"/>
      <c r="B656" s="61"/>
      <c r="C656" s="61"/>
      <c r="D656" s="61"/>
      <c r="E656" s="61"/>
      <c r="F656" s="61"/>
      <c r="G656" s="61"/>
      <c r="H656" s="61"/>
      <c r="I656" s="100"/>
      <c r="J656" s="100"/>
      <c r="K656" s="61"/>
      <c r="L656" s="61"/>
      <c r="M656" s="61"/>
      <c r="N656" s="107"/>
    </row>
    <row r="657">
      <c r="A657" s="65"/>
      <c r="B657" s="65"/>
      <c r="C657" s="65"/>
      <c r="D657" s="65"/>
      <c r="E657" s="65"/>
      <c r="F657" s="65"/>
      <c r="G657" s="65"/>
      <c r="H657" s="65"/>
      <c r="I657" s="103"/>
      <c r="J657" s="103"/>
      <c r="K657" s="65"/>
      <c r="L657" s="65"/>
      <c r="M657" s="65"/>
      <c r="N657" s="108"/>
    </row>
    <row r="658">
      <c r="A658" s="61"/>
      <c r="B658" s="61"/>
      <c r="C658" s="61"/>
      <c r="D658" s="61"/>
      <c r="E658" s="61"/>
      <c r="F658" s="61"/>
      <c r="G658" s="61"/>
      <c r="H658" s="61"/>
      <c r="I658" s="100"/>
      <c r="J658" s="100"/>
      <c r="K658" s="61"/>
      <c r="L658" s="61"/>
      <c r="M658" s="61"/>
      <c r="N658" s="107"/>
    </row>
    <row r="659">
      <c r="A659" s="65"/>
      <c r="B659" s="65"/>
      <c r="C659" s="65"/>
      <c r="D659" s="65"/>
      <c r="E659" s="65"/>
      <c r="F659" s="65"/>
      <c r="G659" s="65"/>
      <c r="H659" s="65"/>
      <c r="I659" s="103"/>
      <c r="J659" s="103"/>
      <c r="K659" s="65"/>
      <c r="L659" s="65"/>
      <c r="M659" s="65"/>
      <c r="N659" s="108"/>
    </row>
    <row r="660">
      <c r="A660" s="61"/>
      <c r="B660" s="61"/>
      <c r="C660" s="61"/>
      <c r="D660" s="61"/>
      <c r="E660" s="61"/>
      <c r="F660" s="61"/>
      <c r="G660" s="61"/>
      <c r="H660" s="61"/>
      <c r="I660" s="100"/>
      <c r="J660" s="100"/>
      <c r="K660" s="61"/>
      <c r="L660" s="61"/>
      <c r="M660" s="61"/>
      <c r="N660" s="107"/>
    </row>
    <row r="661">
      <c r="A661" s="65"/>
      <c r="B661" s="65"/>
      <c r="C661" s="65"/>
      <c r="D661" s="65"/>
      <c r="E661" s="65"/>
      <c r="F661" s="65"/>
      <c r="G661" s="65"/>
      <c r="H661" s="65"/>
      <c r="I661" s="103"/>
      <c r="J661" s="103"/>
      <c r="K661" s="65"/>
      <c r="L661" s="65"/>
      <c r="M661" s="65"/>
      <c r="N661" s="108"/>
    </row>
    <row r="662">
      <c r="A662" s="61"/>
      <c r="B662" s="61"/>
      <c r="C662" s="61"/>
      <c r="D662" s="61"/>
      <c r="E662" s="61"/>
      <c r="F662" s="61"/>
      <c r="G662" s="61"/>
      <c r="H662" s="61"/>
      <c r="I662" s="100"/>
      <c r="J662" s="100"/>
      <c r="K662" s="61"/>
      <c r="L662" s="61"/>
      <c r="M662" s="61"/>
      <c r="N662" s="107"/>
    </row>
    <row r="663">
      <c r="A663" s="65"/>
      <c r="B663" s="65"/>
      <c r="C663" s="65"/>
      <c r="D663" s="65"/>
      <c r="E663" s="65"/>
      <c r="F663" s="65"/>
      <c r="G663" s="65"/>
      <c r="H663" s="65"/>
      <c r="I663" s="103"/>
      <c r="J663" s="103"/>
      <c r="K663" s="65"/>
      <c r="L663" s="65"/>
      <c r="M663" s="65"/>
      <c r="N663" s="108"/>
    </row>
    <row r="664">
      <c r="A664" s="61"/>
      <c r="B664" s="61"/>
      <c r="C664" s="61"/>
      <c r="D664" s="61"/>
      <c r="E664" s="61"/>
      <c r="F664" s="61"/>
      <c r="G664" s="61"/>
      <c r="H664" s="61"/>
      <c r="I664" s="100"/>
      <c r="J664" s="100"/>
      <c r="K664" s="61"/>
      <c r="L664" s="61"/>
      <c r="M664" s="61"/>
      <c r="N664" s="107"/>
    </row>
    <row r="665">
      <c r="A665" s="65"/>
      <c r="B665" s="65"/>
      <c r="C665" s="65"/>
      <c r="D665" s="65"/>
      <c r="E665" s="65"/>
      <c r="F665" s="65"/>
      <c r="G665" s="65"/>
      <c r="H665" s="65"/>
      <c r="I665" s="103"/>
      <c r="J665" s="103"/>
      <c r="K665" s="65"/>
      <c r="L665" s="65"/>
      <c r="M665" s="65"/>
      <c r="N665" s="108"/>
    </row>
    <row r="666">
      <c r="A666" s="61"/>
      <c r="B666" s="61"/>
      <c r="C666" s="61"/>
      <c r="D666" s="61"/>
      <c r="E666" s="61"/>
      <c r="F666" s="61"/>
      <c r="G666" s="61"/>
      <c r="H666" s="61"/>
      <c r="I666" s="100"/>
      <c r="J666" s="100"/>
      <c r="K666" s="61"/>
      <c r="L666" s="61"/>
      <c r="M666" s="61"/>
      <c r="N666" s="107"/>
    </row>
    <row r="667">
      <c r="A667" s="65"/>
      <c r="B667" s="65"/>
      <c r="C667" s="65"/>
      <c r="D667" s="65"/>
      <c r="E667" s="65"/>
      <c r="F667" s="65"/>
      <c r="G667" s="65"/>
      <c r="H667" s="65"/>
      <c r="I667" s="103"/>
      <c r="J667" s="103"/>
      <c r="K667" s="65"/>
      <c r="L667" s="65"/>
      <c r="M667" s="65"/>
      <c r="N667" s="108"/>
    </row>
    <row r="668">
      <c r="A668" s="61"/>
      <c r="B668" s="61"/>
      <c r="C668" s="61"/>
      <c r="D668" s="61"/>
      <c r="E668" s="61"/>
      <c r="F668" s="61"/>
      <c r="G668" s="61"/>
      <c r="H668" s="61"/>
      <c r="I668" s="100"/>
      <c r="J668" s="100"/>
      <c r="K668" s="61"/>
      <c r="L668" s="61"/>
      <c r="M668" s="61"/>
      <c r="N668" s="107"/>
    </row>
    <row r="669">
      <c r="A669" s="65"/>
      <c r="B669" s="65"/>
      <c r="C669" s="65"/>
      <c r="D669" s="65"/>
      <c r="E669" s="65"/>
      <c r="F669" s="65"/>
      <c r="G669" s="65"/>
      <c r="H669" s="65"/>
      <c r="I669" s="103"/>
      <c r="J669" s="103"/>
      <c r="K669" s="65"/>
      <c r="L669" s="65"/>
      <c r="M669" s="65"/>
      <c r="N669" s="108"/>
    </row>
    <row r="670">
      <c r="A670" s="61"/>
      <c r="B670" s="61"/>
      <c r="C670" s="61"/>
      <c r="D670" s="61"/>
      <c r="E670" s="61"/>
      <c r="F670" s="61"/>
      <c r="G670" s="61"/>
      <c r="H670" s="61"/>
      <c r="I670" s="100"/>
      <c r="J670" s="100"/>
      <c r="K670" s="61"/>
      <c r="L670" s="61"/>
      <c r="M670" s="61"/>
      <c r="N670" s="107"/>
    </row>
    <row r="671">
      <c r="A671" s="65"/>
      <c r="B671" s="65"/>
      <c r="C671" s="65"/>
      <c r="D671" s="65"/>
      <c r="E671" s="65"/>
      <c r="F671" s="65"/>
      <c r="G671" s="65"/>
      <c r="H671" s="65"/>
      <c r="I671" s="103"/>
      <c r="J671" s="103"/>
      <c r="K671" s="65"/>
      <c r="L671" s="65"/>
      <c r="M671" s="65"/>
      <c r="N671" s="108"/>
    </row>
    <row r="672">
      <c r="A672" s="61"/>
      <c r="B672" s="61"/>
      <c r="C672" s="61"/>
      <c r="D672" s="61"/>
      <c r="E672" s="61"/>
      <c r="F672" s="61"/>
      <c r="G672" s="61"/>
      <c r="H672" s="61"/>
      <c r="I672" s="100"/>
      <c r="J672" s="100"/>
      <c r="K672" s="61"/>
      <c r="L672" s="61"/>
      <c r="M672" s="61"/>
      <c r="N672" s="107"/>
    </row>
    <row r="673">
      <c r="A673" s="65"/>
      <c r="B673" s="65"/>
      <c r="C673" s="65"/>
      <c r="D673" s="65"/>
      <c r="E673" s="65"/>
      <c r="F673" s="65"/>
      <c r="G673" s="65"/>
      <c r="H673" s="65"/>
      <c r="I673" s="103"/>
      <c r="J673" s="103"/>
      <c r="K673" s="65"/>
      <c r="L673" s="65"/>
      <c r="M673" s="65"/>
      <c r="N673" s="108"/>
    </row>
    <row r="674">
      <c r="A674" s="61"/>
      <c r="B674" s="61"/>
      <c r="C674" s="61"/>
      <c r="D674" s="61"/>
      <c r="E674" s="61"/>
      <c r="F674" s="61"/>
      <c r="G674" s="61"/>
      <c r="H674" s="61"/>
      <c r="I674" s="100"/>
      <c r="J674" s="100"/>
      <c r="K674" s="61"/>
      <c r="L674" s="61"/>
      <c r="M674" s="61"/>
      <c r="N674" s="107"/>
    </row>
    <row r="675">
      <c r="A675" s="65"/>
      <c r="B675" s="65"/>
      <c r="C675" s="65"/>
      <c r="D675" s="65"/>
      <c r="E675" s="65"/>
      <c r="F675" s="65"/>
      <c r="G675" s="65"/>
      <c r="H675" s="65"/>
      <c r="I675" s="103"/>
      <c r="J675" s="103"/>
      <c r="K675" s="65"/>
      <c r="L675" s="65"/>
      <c r="M675" s="65"/>
      <c r="N675" s="108"/>
    </row>
    <row r="676">
      <c r="A676" s="61"/>
      <c r="B676" s="61"/>
      <c r="C676" s="61"/>
      <c r="D676" s="61"/>
      <c r="E676" s="61"/>
      <c r="F676" s="61"/>
      <c r="G676" s="61"/>
      <c r="H676" s="61"/>
      <c r="I676" s="100"/>
      <c r="J676" s="100"/>
      <c r="K676" s="61"/>
      <c r="L676" s="61"/>
      <c r="M676" s="61"/>
      <c r="N676" s="107"/>
    </row>
    <row r="677">
      <c r="A677" s="65"/>
      <c r="B677" s="65"/>
      <c r="C677" s="65"/>
      <c r="D677" s="65"/>
      <c r="E677" s="65"/>
      <c r="F677" s="65"/>
      <c r="G677" s="65"/>
      <c r="H677" s="65"/>
      <c r="I677" s="103"/>
      <c r="J677" s="103"/>
      <c r="K677" s="65"/>
      <c r="L677" s="65"/>
      <c r="M677" s="65"/>
      <c r="N677" s="108"/>
    </row>
    <row r="678">
      <c r="A678" s="61"/>
      <c r="B678" s="61"/>
      <c r="C678" s="61"/>
      <c r="D678" s="61"/>
      <c r="E678" s="61"/>
      <c r="F678" s="61"/>
      <c r="G678" s="61"/>
      <c r="H678" s="61"/>
      <c r="I678" s="100"/>
      <c r="J678" s="100"/>
      <c r="K678" s="61"/>
      <c r="L678" s="61"/>
      <c r="M678" s="61"/>
      <c r="N678" s="107"/>
    </row>
    <row r="679">
      <c r="A679" s="65"/>
      <c r="B679" s="65"/>
      <c r="C679" s="65"/>
      <c r="D679" s="65"/>
      <c r="E679" s="65"/>
      <c r="F679" s="65"/>
      <c r="G679" s="65"/>
      <c r="H679" s="65"/>
      <c r="I679" s="103"/>
      <c r="J679" s="103"/>
      <c r="K679" s="65"/>
      <c r="L679" s="65"/>
      <c r="M679" s="65"/>
      <c r="N679" s="108"/>
    </row>
    <row r="680">
      <c r="A680" s="61"/>
      <c r="B680" s="61"/>
      <c r="C680" s="61"/>
      <c r="D680" s="61"/>
      <c r="E680" s="61"/>
      <c r="F680" s="61"/>
      <c r="G680" s="61"/>
      <c r="H680" s="61"/>
      <c r="I680" s="100"/>
      <c r="J680" s="100"/>
      <c r="K680" s="61"/>
      <c r="L680" s="61"/>
      <c r="M680" s="61"/>
      <c r="N680" s="107"/>
    </row>
    <row r="681">
      <c r="A681" s="65"/>
      <c r="B681" s="65"/>
      <c r="C681" s="65"/>
      <c r="D681" s="65"/>
      <c r="E681" s="65"/>
      <c r="F681" s="65"/>
      <c r="G681" s="65"/>
      <c r="H681" s="65"/>
      <c r="I681" s="103"/>
      <c r="J681" s="103"/>
      <c r="K681" s="65"/>
      <c r="L681" s="65"/>
      <c r="M681" s="65"/>
      <c r="N681" s="108"/>
    </row>
    <row r="682">
      <c r="A682" s="61"/>
      <c r="B682" s="61"/>
      <c r="C682" s="61"/>
      <c r="D682" s="61"/>
      <c r="E682" s="61"/>
      <c r="F682" s="61"/>
      <c r="G682" s="61"/>
      <c r="H682" s="61"/>
      <c r="I682" s="100"/>
      <c r="J682" s="100"/>
      <c r="K682" s="61"/>
      <c r="L682" s="61"/>
      <c r="M682" s="61"/>
      <c r="N682" s="107"/>
    </row>
    <row r="683">
      <c r="A683" s="65"/>
      <c r="B683" s="65"/>
      <c r="C683" s="65"/>
      <c r="D683" s="65"/>
      <c r="E683" s="65"/>
      <c r="F683" s="65"/>
      <c r="G683" s="65"/>
      <c r="H683" s="65"/>
      <c r="I683" s="103"/>
      <c r="J683" s="103"/>
      <c r="K683" s="65"/>
      <c r="L683" s="65"/>
      <c r="M683" s="65"/>
      <c r="N683" s="108"/>
    </row>
    <row r="684">
      <c r="A684" s="61"/>
      <c r="B684" s="61"/>
      <c r="C684" s="61"/>
      <c r="D684" s="61"/>
      <c r="E684" s="61"/>
      <c r="F684" s="61"/>
      <c r="G684" s="61"/>
      <c r="H684" s="61"/>
      <c r="I684" s="100"/>
      <c r="J684" s="100"/>
      <c r="K684" s="61"/>
      <c r="L684" s="61"/>
      <c r="M684" s="61"/>
      <c r="N684" s="107"/>
    </row>
    <row r="685">
      <c r="A685" s="65"/>
      <c r="B685" s="65"/>
      <c r="C685" s="65"/>
      <c r="D685" s="65"/>
      <c r="E685" s="65"/>
      <c r="F685" s="65"/>
      <c r="G685" s="65"/>
      <c r="H685" s="65"/>
      <c r="I685" s="103"/>
      <c r="J685" s="103"/>
      <c r="K685" s="65"/>
      <c r="L685" s="65"/>
      <c r="M685" s="65"/>
      <c r="N685" s="108"/>
    </row>
    <row r="686">
      <c r="A686" s="61"/>
      <c r="B686" s="61"/>
      <c r="C686" s="61"/>
      <c r="D686" s="61"/>
      <c r="E686" s="61"/>
      <c r="F686" s="61"/>
      <c r="G686" s="61"/>
      <c r="H686" s="61"/>
      <c r="I686" s="100"/>
      <c r="J686" s="100"/>
      <c r="K686" s="61"/>
      <c r="L686" s="61"/>
      <c r="M686" s="61"/>
      <c r="N686" s="107"/>
    </row>
    <row r="687">
      <c r="A687" s="65"/>
      <c r="B687" s="65"/>
      <c r="C687" s="65"/>
      <c r="D687" s="65"/>
      <c r="E687" s="65"/>
      <c r="F687" s="65"/>
      <c r="G687" s="65"/>
      <c r="H687" s="65"/>
      <c r="I687" s="103"/>
      <c r="J687" s="103"/>
      <c r="K687" s="65"/>
      <c r="L687" s="65"/>
      <c r="M687" s="65"/>
      <c r="N687" s="108"/>
    </row>
    <row r="688">
      <c r="A688" s="61"/>
      <c r="B688" s="61"/>
      <c r="C688" s="61"/>
      <c r="D688" s="61"/>
      <c r="E688" s="61"/>
      <c r="F688" s="61"/>
      <c r="G688" s="61"/>
      <c r="H688" s="61"/>
      <c r="I688" s="100"/>
      <c r="J688" s="100"/>
      <c r="K688" s="61"/>
      <c r="L688" s="61"/>
      <c r="M688" s="61"/>
      <c r="N688" s="107"/>
    </row>
    <row r="689">
      <c r="A689" s="65"/>
      <c r="B689" s="65"/>
      <c r="C689" s="65"/>
      <c r="D689" s="65"/>
      <c r="E689" s="65"/>
      <c r="F689" s="65"/>
      <c r="G689" s="65"/>
      <c r="H689" s="65"/>
      <c r="I689" s="103"/>
      <c r="J689" s="103"/>
      <c r="K689" s="65"/>
      <c r="L689" s="65"/>
      <c r="M689" s="65"/>
      <c r="N689" s="108"/>
    </row>
    <row r="690">
      <c r="A690" s="61"/>
      <c r="B690" s="61"/>
      <c r="C690" s="61"/>
      <c r="D690" s="61"/>
      <c r="E690" s="61"/>
      <c r="F690" s="61"/>
      <c r="G690" s="61"/>
      <c r="H690" s="61"/>
      <c r="I690" s="100"/>
      <c r="J690" s="100"/>
      <c r="K690" s="61"/>
      <c r="L690" s="61"/>
      <c r="M690" s="61"/>
      <c r="N690" s="107"/>
    </row>
    <row r="691">
      <c r="A691" s="65"/>
      <c r="B691" s="65"/>
      <c r="C691" s="65"/>
      <c r="D691" s="65"/>
      <c r="E691" s="65"/>
      <c r="F691" s="65"/>
      <c r="G691" s="65"/>
      <c r="H691" s="65"/>
      <c r="I691" s="103"/>
      <c r="J691" s="103"/>
      <c r="K691" s="65"/>
      <c r="L691" s="65"/>
      <c r="M691" s="65"/>
      <c r="N691" s="108"/>
    </row>
    <row r="692">
      <c r="A692" s="61"/>
      <c r="B692" s="61"/>
      <c r="C692" s="61"/>
      <c r="D692" s="61"/>
      <c r="E692" s="61"/>
      <c r="F692" s="61"/>
      <c r="G692" s="61"/>
      <c r="H692" s="61"/>
      <c r="I692" s="100"/>
      <c r="J692" s="100"/>
      <c r="K692" s="61"/>
      <c r="L692" s="61"/>
      <c r="M692" s="61"/>
      <c r="N692" s="107"/>
    </row>
    <row r="693">
      <c r="A693" s="65"/>
      <c r="B693" s="65"/>
      <c r="C693" s="65"/>
      <c r="D693" s="65"/>
      <c r="E693" s="65"/>
      <c r="F693" s="65"/>
      <c r="G693" s="65"/>
      <c r="H693" s="65"/>
      <c r="I693" s="103"/>
      <c r="J693" s="103"/>
      <c r="K693" s="65"/>
      <c r="L693" s="65"/>
      <c r="M693" s="65"/>
      <c r="N693" s="108"/>
    </row>
    <row r="694">
      <c r="A694" s="61"/>
      <c r="B694" s="61"/>
      <c r="C694" s="61"/>
      <c r="D694" s="61"/>
      <c r="E694" s="61"/>
      <c r="F694" s="61"/>
      <c r="G694" s="61"/>
      <c r="H694" s="61"/>
      <c r="I694" s="100"/>
      <c r="J694" s="100"/>
      <c r="K694" s="61"/>
      <c r="L694" s="61"/>
      <c r="M694" s="61"/>
      <c r="N694" s="107"/>
    </row>
    <row r="695">
      <c r="A695" s="65"/>
      <c r="B695" s="65"/>
      <c r="C695" s="65"/>
      <c r="D695" s="65"/>
      <c r="E695" s="65"/>
      <c r="F695" s="65"/>
      <c r="G695" s="65"/>
      <c r="H695" s="65"/>
      <c r="I695" s="103"/>
      <c r="J695" s="103"/>
      <c r="K695" s="65"/>
      <c r="L695" s="65"/>
      <c r="M695" s="65"/>
      <c r="N695" s="108"/>
    </row>
    <row r="696">
      <c r="A696" s="61"/>
      <c r="B696" s="61"/>
      <c r="C696" s="61"/>
      <c r="D696" s="61"/>
      <c r="E696" s="61"/>
      <c r="F696" s="61"/>
      <c r="G696" s="61"/>
      <c r="H696" s="61"/>
      <c r="I696" s="100"/>
      <c r="J696" s="100"/>
      <c r="K696" s="61"/>
      <c r="L696" s="61"/>
      <c r="M696" s="61"/>
      <c r="N696" s="107"/>
    </row>
    <row r="697">
      <c r="A697" s="65"/>
      <c r="B697" s="65"/>
      <c r="C697" s="65"/>
      <c r="D697" s="65"/>
      <c r="E697" s="65"/>
      <c r="F697" s="65"/>
      <c r="G697" s="65"/>
      <c r="H697" s="65"/>
      <c r="I697" s="103"/>
      <c r="J697" s="103"/>
      <c r="K697" s="65"/>
      <c r="L697" s="65"/>
      <c r="M697" s="65"/>
      <c r="N697" s="108"/>
    </row>
    <row r="698">
      <c r="A698" s="61"/>
      <c r="B698" s="61"/>
      <c r="C698" s="61"/>
      <c r="D698" s="61"/>
      <c r="E698" s="61"/>
      <c r="F698" s="61"/>
      <c r="G698" s="61"/>
      <c r="H698" s="61"/>
      <c r="I698" s="100"/>
      <c r="J698" s="100"/>
      <c r="K698" s="61"/>
      <c r="L698" s="61"/>
      <c r="M698" s="61"/>
      <c r="N698" s="107"/>
    </row>
    <row r="699">
      <c r="A699" s="65"/>
      <c r="B699" s="65"/>
      <c r="C699" s="65"/>
      <c r="D699" s="65"/>
      <c r="E699" s="65"/>
      <c r="F699" s="65"/>
      <c r="G699" s="65"/>
      <c r="H699" s="65"/>
      <c r="I699" s="103"/>
      <c r="J699" s="103"/>
      <c r="K699" s="65"/>
      <c r="L699" s="65"/>
      <c r="M699" s="65"/>
      <c r="N699" s="108"/>
    </row>
    <row r="700">
      <c r="A700" s="61"/>
      <c r="B700" s="61"/>
      <c r="C700" s="61"/>
      <c r="D700" s="61"/>
      <c r="E700" s="61"/>
      <c r="F700" s="61"/>
      <c r="G700" s="61"/>
      <c r="H700" s="61"/>
      <c r="I700" s="100"/>
      <c r="J700" s="100"/>
      <c r="K700" s="61"/>
      <c r="L700" s="61"/>
      <c r="M700" s="61"/>
      <c r="N700" s="107"/>
    </row>
    <row r="701">
      <c r="A701" s="65"/>
      <c r="B701" s="65"/>
      <c r="C701" s="65"/>
      <c r="D701" s="65"/>
      <c r="E701" s="65"/>
      <c r="F701" s="65"/>
      <c r="G701" s="65"/>
      <c r="H701" s="65"/>
      <c r="I701" s="103"/>
      <c r="J701" s="103"/>
      <c r="K701" s="65"/>
      <c r="L701" s="65"/>
      <c r="M701" s="65"/>
      <c r="N701" s="108"/>
    </row>
    <row r="702">
      <c r="A702" s="61"/>
      <c r="B702" s="61"/>
      <c r="C702" s="61"/>
      <c r="D702" s="61"/>
      <c r="E702" s="61"/>
      <c r="F702" s="61"/>
      <c r="G702" s="61"/>
      <c r="H702" s="61"/>
      <c r="I702" s="100"/>
      <c r="J702" s="100"/>
      <c r="K702" s="61"/>
      <c r="L702" s="61"/>
      <c r="M702" s="61"/>
      <c r="N702" s="107"/>
    </row>
    <row r="703">
      <c r="A703" s="65"/>
      <c r="B703" s="65"/>
      <c r="C703" s="65"/>
      <c r="D703" s="65"/>
      <c r="E703" s="65"/>
      <c r="F703" s="65"/>
      <c r="G703" s="65"/>
      <c r="H703" s="65"/>
      <c r="I703" s="103"/>
      <c r="J703" s="103"/>
      <c r="K703" s="65"/>
      <c r="L703" s="65"/>
      <c r="M703" s="65"/>
      <c r="N703" s="108"/>
    </row>
    <row r="704">
      <c r="A704" s="61"/>
      <c r="B704" s="61"/>
      <c r="C704" s="61"/>
      <c r="D704" s="61"/>
      <c r="E704" s="61"/>
      <c r="F704" s="61"/>
      <c r="G704" s="61"/>
      <c r="H704" s="61"/>
      <c r="I704" s="100"/>
      <c r="J704" s="100"/>
      <c r="K704" s="61"/>
      <c r="L704" s="61"/>
      <c r="M704" s="61"/>
      <c r="N704" s="107"/>
    </row>
    <row r="705">
      <c r="A705" s="65"/>
      <c r="B705" s="65"/>
      <c r="C705" s="65"/>
      <c r="D705" s="65"/>
      <c r="E705" s="65"/>
      <c r="F705" s="65"/>
      <c r="G705" s="65"/>
      <c r="H705" s="65"/>
      <c r="I705" s="103"/>
      <c r="J705" s="103"/>
      <c r="K705" s="65"/>
      <c r="L705" s="65"/>
      <c r="M705" s="65"/>
      <c r="N705" s="108"/>
    </row>
    <row r="706">
      <c r="A706" s="61"/>
      <c r="B706" s="61"/>
      <c r="C706" s="61"/>
      <c r="D706" s="61"/>
      <c r="E706" s="61"/>
      <c r="F706" s="61"/>
      <c r="G706" s="61"/>
      <c r="H706" s="61"/>
      <c r="I706" s="100"/>
      <c r="J706" s="100"/>
      <c r="K706" s="61"/>
      <c r="L706" s="61"/>
      <c r="M706" s="61"/>
      <c r="N706" s="107"/>
    </row>
    <row r="707">
      <c r="A707" s="65"/>
      <c r="B707" s="65"/>
      <c r="C707" s="65"/>
      <c r="D707" s="65"/>
      <c r="E707" s="65"/>
      <c r="F707" s="65"/>
      <c r="G707" s="65"/>
      <c r="H707" s="65"/>
      <c r="I707" s="103"/>
      <c r="J707" s="103"/>
      <c r="K707" s="65"/>
      <c r="L707" s="65"/>
      <c r="M707" s="65"/>
      <c r="N707" s="108"/>
    </row>
    <row r="708">
      <c r="A708" s="61"/>
      <c r="B708" s="61"/>
      <c r="C708" s="61"/>
      <c r="D708" s="61"/>
      <c r="E708" s="61"/>
      <c r="F708" s="61"/>
      <c r="G708" s="61"/>
      <c r="H708" s="61"/>
      <c r="I708" s="100"/>
      <c r="J708" s="100"/>
      <c r="K708" s="61"/>
      <c r="L708" s="61"/>
      <c r="M708" s="61"/>
      <c r="N708" s="107"/>
    </row>
    <row r="709">
      <c r="A709" s="65"/>
      <c r="B709" s="65"/>
      <c r="C709" s="65"/>
      <c r="D709" s="65"/>
      <c r="E709" s="65"/>
      <c r="F709" s="65"/>
      <c r="G709" s="65"/>
      <c r="H709" s="65"/>
      <c r="I709" s="103"/>
      <c r="J709" s="103"/>
      <c r="K709" s="65"/>
      <c r="L709" s="65"/>
      <c r="M709" s="65"/>
      <c r="N709" s="108"/>
    </row>
    <row r="710">
      <c r="A710" s="61"/>
      <c r="B710" s="61"/>
      <c r="C710" s="61"/>
      <c r="D710" s="61"/>
      <c r="E710" s="61"/>
      <c r="F710" s="61"/>
      <c r="G710" s="61"/>
      <c r="H710" s="61"/>
      <c r="I710" s="100"/>
      <c r="J710" s="100"/>
      <c r="K710" s="61"/>
      <c r="L710" s="61"/>
      <c r="M710" s="61"/>
      <c r="N710" s="107"/>
    </row>
    <row r="711">
      <c r="A711" s="65"/>
      <c r="B711" s="65"/>
      <c r="C711" s="65"/>
      <c r="D711" s="65"/>
      <c r="E711" s="65"/>
      <c r="F711" s="65"/>
      <c r="G711" s="65"/>
      <c r="H711" s="65"/>
      <c r="I711" s="103"/>
      <c r="J711" s="103"/>
      <c r="K711" s="65"/>
      <c r="L711" s="65"/>
      <c r="M711" s="65"/>
      <c r="N711" s="108"/>
    </row>
    <row r="712">
      <c r="A712" s="61"/>
      <c r="B712" s="61"/>
      <c r="C712" s="61"/>
      <c r="D712" s="61"/>
      <c r="E712" s="61"/>
      <c r="F712" s="61"/>
      <c r="G712" s="61"/>
      <c r="H712" s="61"/>
      <c r="I712" s="100"/>
      <c r="J712" s="100"/>
      <c r="K712" s="61"/>
      <c r="L712" s="61"/>
      <c r="M712" s="61"/>
      <c r="N712" s="107"/>
    </row>
    <row r="713">
      <c r="A713" s="65"/>
      <c r="B713" s="65"/>
      <c r="C713" s="65"/>
      <c r="D713" s="65"/>
      <c r="E713" s="65"/>
      <c r="F713" s="65"/>
      <c r="G713" s="65"/>
      <c r="H713" s="65"/>
      <c r="I713" s="103"/>
      <c r="J713" s="103"/>
      <c r="K713" s="65"/>
      <c r="L713" s="65"/>
      <c r="M713" s="65"/>
      <c r="N713" s="108"/>
    </row>
    <row r="714">
      <c r="A714" s="61"/>
      <c r="B714" s="61"/>
      <c r="C714" s="61"/>
      <c r="D714" s="61"/>
      <c r="E714" s="61"/>
      <c r="F714" s="61"/>
      <c r="G714" s="61"/>
      <c r="H714" s="61"/>
      <c r="I714" s="100"/>
      <c r="J714" s="100"/>
      <c r="K714" s="61"/>
      <c r="L714" s="61"/>
      <c r="M714" s="61"/>
      <c r="N714" s="107"/>
    </row>
    <row r="715">
      <c r="A715" s="65"/>
      <c r="B715" s="65"/>
      <c r="C715" s="65"/>
      <c r="D715" s="65"/>
      <c r="E715" s="65"/>
      <c r="F715" s="65"/>
      <c r="G715" s="65"/>
      <c r="H715" s="65"/>
      <c r="I715" s="103"/>
      <c r="J715" s="103"/>
      <c r="K715" s="65"/>
      <c r="L715" s="65"/>
      <c r="M715" s="65"/>
      <c r="N715" s="108"/>
    </row>
    <row r="716">
      <c r="A716" s="61"/>
      <c r="B716" s="61"/>
      <c r="C716" s="61"/>
      <c r="D716" s="61"/>
      <c r="E716" s="61"/>
      <c r="F716" s="61"/>
      <c r="G716" s="61"/>
      <c r="H716" s="61"/>
      <c r="I716" s="100"/>
      <c r="J716" s="100"/>
      <c r="K716" s="61"/>
      <c r="L716" s="61"/>
      <c r="M716" s="61"/>
      <c r="N716" s="107"/>
    </row>
    <row r="717">
      <c r="A717" s="65"/>
      <c r="B717" s="65"/>
      <c r="C717" s="65"/>
      <c r="D717" s="65"/>
      <c r="E717" s="65"/>
      <c r="F717" s="65"/>
      <c r="G717" s="65"/>
      <c r="H717" s="65"/>
      <c r="I717" s="103"/>
      <c r="J717" s="103"/>
      <c r="K717" s="65"/>
      <c r="L717" s="65"/>
      <c r="M717" s="65"/>
      <c r="N717" s="108"/>
    </row>
    <row r="718">
      <c r="A718" s="61"/>
      <c r="B718" s="61"/>
      <c r="C718" s="61"/>
      <c r="D718" s="61"/>
      <c r="E718" s="61"/>
      <c r="F718" s="61"/>
      <c r="G718" s="61"/>
      <c r="H718" s="61"/>
      <c r="I718" s="100"/>
      <c r="J718" s="100"/>
      <c r="K718" s="61"/>
      <c r="L718" s="61"/>
      <c r="M718" s="61"/>
      <c r="N718" s="107"/>
    </row>
    <row r="719">
      <c r="A719" s="65"/>
      <c r="B719" s="65"/>
      <c r="C719" s="65"/>
      <c r="D719" s="65"/>
      <c r="E719" s="65"/>
      <c r="F719" s="65"/>
      <c r="G719" s="65"/>
      <c r="H719" s="65"/>
      <c r="I719" s="103"/>
      <c r="J719" s="103"/>
      <c r="K719" s="65"/>
      <c r="L719" s="65"/>
      <c r="M719" s="65"/>
      <c r="N719" s="108"/>
    </row>
    <row r="720">
      <c r="A720" s="61"/>
      <c r="B720" s="61"/>
      <c r="C720" s="61"/>
      <c r="D720" s="61"/>
      <c r="E720" s="61"/>
      <c r="F720" s="61"/>
      <c r="G720" s="61"/>
      <c r="H720" s="61"/>
      <c r="I720" s="100"/>
      <c r="J720" s="100"/>
      <c r="K720" s="61"/>
      <c r="L720" s="61"/>
      <c r="M720" s="61"/>
      <c r="N720" s="107"/>
    </row>
    <row r="721">
      <c r="A721" s="65"/>
      <c r="B721" s="65"/>
      <c r="C721" s="65"/>
      <c r="D721" s="65"/>
      <c r="E721" s="65"/>
      <c r="F721" s="65"/>
      <c r="G721" s="65"/>
      <c r="H721" s="65"/>
      <c r="I721" s="103"/>
      <c r="J721" s="103"/>
      <c r="K721" s="65"/>
      <c r="L721" s="65"/>
      <c r="M721" s="65"/>
      <c r="N721" s="108"/>
    </row>
    <row r="722">
      <c r="A722" s="61"/>
      <c r="B722" s="61"/>
      <c r="C722" s="61"/>
      <c r="D722" s="61"/>
      <c r="E722" s="61"/>
      <c r="F722" s="61"/>
      <c r="G722" s="61"/>
      <c r="H722" s="61"/>
      <c r="I722" s="100"/>
      <c r="J722" s="100"/>
      <c r="K722" s="61"/>
      <c r="L722" s="61"/>
      <c r="M722" s="61"/>
      <c r="N722" s="107"/>
    </row>
    <row r="723">
      <c r="A723" s="65"/>
      <c r="B723" s="65"/>
      <c r="C723" s="65"/>
      <c r="D723" s="65"/>
      <c r="E723" s="65"/>
      <c r="F723" s="65"/>
      <c r="G723" s="65"/>
      <c r="H723" s="65"/>
      <c r="I723" s="103"/>
      <c r="J723" s="103"/>
      <c r="K723" s="65"/>
      <c r="L723" s="65"/>
      <c r="M723" s="65"/>
      <c r="N723" s="108"/>
    </row>
    <row r="724">
      <c r="A724" s="61"/>
      <c r="B724" s="61"/>
      <c r="C724" s="61"/>
      <c r="D724" s="61"/>
      <c r="E724" s="61"/>
      <c r="F724" s="61"/>
      <c r="G724" s="61"/>
      <c r="H724" s="61"/>
      <c r="I724" s="100"/>
      <c r="J724" s="100"/>
      <c r="K724" s="61"/>
      <c r="L724" s="61"/>
      <c r="M724" s="61"/>
      <c r="N724" s="107"/>
    </row>
    <row r="725">
      <c r="A725" s="65"/>
      <c r="B725" s="65"/>
      <c r="C725" s="65"/>
      <c r="D725" s="65"/>
      <c r="E725" s="65"/>
      <c r="F725" s="65"/>
      <c r="G725" s="65"/>
      <c r="H725" s="65"/>
      <c r="I725" s="103"/>
      <c r="J725" s="103"/>
      <c r="K725" s="65"/>
      <c r="L725" s="65"/>
      <c r="M725" s="65"/>
      <c r="N725" s="108"/>
    </row>
    <row r="726">
      <c r="A726" s="61"/>
      <c r="B726" s="61"/>
      <c r="C726" s="61"/>
      <c r="D726" s="61"/>
      <c r="E726" s="61"/>
      <c r="F726" s="61"/>
      <c r="G726" s="61"/>
      <c r="H726" s="61"/>
      <c r="I726" s="100"/>
      <c r="J726" s="100"/>
      <c r="K726" s="61"/>
      <c r="L726" s="61"/>
      <c r="M726" s="61"/>
      <c r="N726" s="107"/>
    </row>
    <row r="727">
      <c r="A727" s="65"/>
      <c r="B727" s="65"/>
      <c r="C727" s="65"/>
      <c r="D727" s="65"/>
      <c r="E727" s="65"/>
      <c r="F727" s="65"/>
      <c r="G727" s="65"/>
      <c r="H727" s="65"/>
      <c r="I727" s="103"/>
      <c r="J727" s="103"/>
      <c r="K727" s="65"/>
      <c r="L727" s="65"/>
      <c r="M727" s="65"/>
      <c r="N727" s="108"/>
    </row>
    <row r="728">
      <c r="A728" s="61"/>
      <c r="B728" s="61"/>
      <c r="C728" s="61"/>
      <c r="D728" s="61"/>
      <c r="E728" s="61"/>
      <c r="F728" s="61"/>
      <c r="G728" s="61"/>
      <c r="H728" s="61"/>
      <c r="I728" s="100"/>
      <c r="J728" s="100"/>
      <c r="K728" s="61"/>
      <c r="L728" s="61"/>
      <c r="M728" s="61"/>
      <c r="N728" s="107"/>
    </row>
    <row r="729">
      <c r="A729" s="65"/>
      <c r="B729" s="65"/>
      <c r="C729" s="65"/>
      <c r="D729" s="65"/>
      <c r="E729" s="65"/>
      <c r="F729" s="65"/>
      <c r="G729" s="65"/>
      <c r="H729" s="65"/>
      <c r="I729" s="103"/>
      <c r="J729" s="103"/>
      <c r="K729" s="65"/>
      <c r="L729" s="65"/>
      <c r="M729" s="65"/>
      <c r="N729" s="108"/>
    </row>
    <row r="730">
      <c r="A730" s="61"/>
      <c r="B730" s="61"/>
      <c r="C730" s="61"/>
      <c r="D730" s="61"/>
      <c r="E730" s="61"/>
      <c r="F730" s="61"/>
      <c r="G730" s="61"/>
      <c r="H730" s="61"/>
      <c r="I730" s="100"/>
      <c r="J730" s="100"/>
      <c r="K730" s="61"/>
      <c r="L730" s="61"/>
      <c r="M730" s="61"/>
      <c r="N730" s="107"/>
    </row>
    <row r="731">
      <c r="A731" s="65"/>
      <c r="B731" s="65"/>
      <c r="C731" s="65"/>
      <c r="D731" s="65"/>
      <c r="E731" s="65"/>
      <c r="F731" s="65"/>
      <c r="G731" s="65"/>
      <c r="H731" s="65"/>
      <c r="I731" s="103"/>
      <c r="J731" s="103"/>
      <c r="K731" s="65"/>
      <c r="L731" s="65"/>
      <c r="M731" s="65"/>
      <c r="N731" s="108"/>
    </row>
    <row r="732">
      <c r="A732" s="61"/>
      <c r="B732" s="61"/>
      <c r="C732" s="61"/>
      <c r="D732" s="61"/>
      <c r="E732" s="61"/>
      <c r="F732" s="61"/>
      <c r="G732" s="61"/>
      <c r="H732" s="61"/>
      <c r="I732" s="100"/>
      <c r="J732" s="100"/>
      <c r="K732" s="61"/>
      <c r="L732" s="61"/>
      <c r="M732" s="61"/>
      <c r="N732" s="107"/>
    </row>
    <row r="733">
      <c r="A733" s="65"/>
      <c r="B733" s="65"/>
      <c r="C733" s="65"/>
      <c r="D733" s="65"/>
      <c r="E733" s="65"/>
      <c r="F733" s="65"/>
      <c r="G733" s="65"/>
      <c r="H733" s="65"/>
      <c r="I733" s="103"/>
      <c r="J733" s="103"/>
      <c r="K733" s="65"/>
      <c r="L733" s="65"/>
      <c r="M733" s="65"/>
      <c r="N733" s="108"/>
    </row>
    <row r="734">
      <c r="A734" s="61"/>
      <c r="B734" s="61"/>
      <c r="C734" s="61"/>
      <c r="D734" s="61"/>
      <c r="E734" s="61"/>
      <c r="F734" s="61"/>
      <c r="G734" s="61"/>
      <c r="H734" s="61"/>
      <c r="I734" s="100"/>
      <c r="J734" s="100"/>
      <c r="K734" s="61"/>
      <c r="L734" s="61"/>
      <c r="M734" s="61"/>
      <c r="N734" s="107"/>
    </row>
    <row r="735">
      <c r="A735" s="65"/>
      <c r="B735" s="65"/>
      <c r="C735" s="65"/>
      <c r="D735" s="65"/>
      <c r="E735" s="65"/>
      <c r="F735" s="65"/>
      <c r="G735" s="65"/>
      <c r="H735" s="65"/>
      <c r="I735" s="103"/>
      <c r="J735" s="103"/>
      <c r="K735" s="65"/>
      <c r="L735" s="65"/>
      <c r="M735" s="65"/>
      <c r="N735" s="108"/>
    </row>
    <row r="736">
      <c r="A736" s="61"/>
      <c r="B736" s="61"/>
      <c r="C736" s="61"/>
      <c r="D736" s="61"/>
      <c r="E736" s="61"/>
      <c r="F736" s="61"/>
      <c r="G736" s="61"/>
      <c r="H736" s="61"/>
      <c r="I736" s="100"/>
      <c r="J736" s="100"/>
      <c r="K736" s="61"/>
      <c r="L736" s="61"/>
      <c r="M736" s="61"/>
      <c r="N736" s="107"/>
    </row>
    <row r="737">
      <c r="A737" s="65"/>
      <c r="B737" s="65"/>
      <c r="C737" s="65"/>
      <c r="D737" s="65"/>
      <c r="E737" s="65"/>
      <c r="F737" s="65"/>
      <c r="G737" s="65"/>
      <c r="H737" s="65"/>
      <c r="I737" s="103"/>
      <c r="J737" s="103"/>
      <c r="K737" s="65"/>
      <c r="L737" s="65"/>
      <c r="M737" s="65"/>
      <c r="N737" s="108"/>
    </row>
    <row r="738">
      <c r="A738" s="61"/>
      <c r="B738" s="61"/>
      <c r="C738" s="61"/>
      <c r="D738" s="61"/>
      <c r="E738" s="61"/>
      <c r="F738" s="61"/>
      <c r="G738" s="61"/>
      <c r="H738" s="61"/>
      <c r="I738" s="100"/>
      <c r="J738" s="100"/>
      <c r="K738" s="61"/>
      <c r="L738" s="61"/>
      <c r="M738" s="61"/>
      <c r="N738" s="107"/>
    </row>
    <row r="739">
      <c r="A739" s="65"/>
      <c r="B739" s="65"/>
      <c r="C739" s="65"/>
      <c r="D739" s="65"/>
      <c r="E739" s="65"/>
      <c r="F739" s="65"/>
      <c r="G739" s="65"/>
      <c r="H739" s="65"/>
      <c r="I739" s="103"/>
      <c r="J739" s="103"/>
      <c r="K739" s="65"/>
      <c r="L739" s="65"/>
      <c r="M739" s="65"/>
      <c r="N739" s="108"/>
    </row>
    <row r="740">
      <c r="A740" s="61"/>
      <c r="B740" s="61"/>
      <c r="C740" s="61"/>
      <c r="D740" s="61"/>
      <c r="E740" s="61"/>
      <c r="F740" s="61"/>
      <c r="G740" s="61"/>
      <c r="H740" s="61"/>
      <c r="I740" s="100"/>
      <c r="J740" s="100"/>
      <c r="K740" s="61"/>
      <c r="L740" s="61"/>
      <c r="M740" s="61"/>
      <c r="N740" s="107"/>
    </row>
    <row r="741">
      <c r="A741" s="65"/>
      <c r="B741" s="65"/>
      <c r="C741" s="65"/>
      <c r="D741" s="65"/>
      <c r="E741" s="65"/>
      <c r="F741" s="65"/>
      <c r="G741" s="65"/>
      <c r="H741" s="65"/>
      <c r="I741" s="103"/>
      <c r="J741" s="103"/>
      <c r="K741" s="65"/>
      <c r="L741" s="65"/>
      <c r="M741" s="65"/>
      <c r="N741" s="108"/>
    </row>
    <row r="742">
      <c r="A742" s="61"/>
      <c r="B742" s="61"/>
      <c r="C742" s="61"/>
      <c r="D742" s="61"/>
      <c r="E742" s="61"/>
      <c r="F742" s="61"/>
      <c r="G742" s="61"/>
      <c r="H742" s="61"/>
      <c r="I742" s="100"/>
      <c r="J742" s="100"/>
      <c r="K742" s="61"/>
      <c r="L742" s="61"/>
      <c r="M742" s="61"/>
      <c r="N742" s="107"/>
    </row>
    <row r="743">
      <c r="A743" s="65"/>
      <c r="B743" s="65"/>
      <c r="C743" s="65"/>
      <c r="D743" s="65"/>
      <c r="E743" s="65"/>
      <c r="F743" s="65"/>
      <c r="G743" s="65"/>
      <c r="H743" s="65"/>
      <c r="I743" s="103"/>
      <c r="J743" s="103"/>
      <c r="K743" s="65"/>
      <c r="L743" s="65"/>
      <c r="M743" s="65"/>
      <c r="N743" s="108"/>
    </row>
    <row r="744">
      <c r="A744" s="61"/>
      <c r="B744" s="61"/>
      <c r="C744" s="61"/>
      <c r="D744" s="61"/>
      <c r="E744" s="61"/>
      <c r="F744" s="61"/>
      <c r="G744" s="61"/>
      <c r="H744" s="61"/>
      <c r="I744" s="100"/>
      <c r="J744" s="100"/>
      <c r="K744" s="61"/>
      <c r="L744" s="61"/>
      <c r="M744" s="61"/>
      <c r="N744" s="107"/>
    </row>
    <row r="745">
      <c r="A745" s="65"/>
      <c r="B745" s="65"/>
      <c r="C745" s="65"/>
      <c r="D745" s="65"/>
      <c r="E745" s="65"/>
      <c r="F745" s="65"/>
      <c r="G745" s="65"/>
      <c r="H745" s="65"/>
      <c r="I745" s="103"/>
      <c r="J745" s="103"/>
      <c r="K745" s="65"/>
      <c r="L745" s="65"/>
      <c r="M745" s="65"/>
      <c r="N745" s="108"/>
    </row>
    <row r="746">
      <c r="A746" s="61"/>
      <c r="B746" s="61"/>
      <c r="C746" s="61"/>
      <c r="D746" s="61"/>
      <c r="E746" s="61"/>
      <c r="F746" s="61"/>
      <c r="G746" s="61"/>
      <c r="H746" s="61"/>
      <c r="I746" s="100"/>
      <c r="J746" s="100"/>
      <c r="K746" s="61"/>
      <c r="L746" s="61"/>
      <c r="M746" s="61"/>
      <c r="N746" s="107"/>
    </row>
    <row r="747">
      <c r="A747" s="65"/>
      <c r="B747" s="65"/>
      <c r="C747" s="65"/>
      <c r="D747" s="65"/>
      <c r="E747" s="65"/>
      <c r="F747" s="65"/>
      <c r="G747" s="65"/>
      <c r="H747" s="65"/>
      <c r="I747" s="103"/>
      <c r="J747" s="103"/>
      <c r="K747" s="65"/>
      <c r="L747" s="65"/>
      <c r="M747" s="65"/>
      <c r="N747" s="108"/>
    </row>
    <row r="748">
      <c r="A748" s="61"/>
      <c r="B748" s="61"/>
      <c r="C748" s="61"/>
      <c r="D748" s="61"/>
      <c r="E748" s="61"/>
      <c r="F748" s="61"/>
      <c r="G748" s="61"/>
      <c r="H748" s="61"/>
      <c r="I748" s="100"/>
      <c r="J748" s="100"/>
      <c r="K748" s="61"/>
      <c r="L748" s="61"/>
      <c r="M748" s="61"/>
      <c r="N748" s="107"/>
    </row>
    <row r="749">
      <c r="A749" s="65"/>
      <c r="B749" s="65"/>
      <c r="C749" s="65"/>
      <c r="D749" s="65"/>
      <c r="E749" s="65"/>
      <c r="F749" s="65"/>
      <c r="G749" s="65"/>
      <c r="H749" s="65"/>
      <c r="I749" s="103"/>
      <c r="J749" s="103"/>
      <c r="K749" s="65"/>
      <c r="L749" s="65"/>
      <c r="M749" s="65"/>
      <c r="N749" s="108"/>
    </row>
    <row r="750">
      <c r="A750" s="61"/>
      <c r="B750" s="61"/>
      <c r="C750" s="61"/>
      <c r="D750" s="61"/>
      <c r="E750" s="61"/>
      <c r="F750" s="61"/>
      <c r="G750" s="61"/>
      <c r="H750" s="61"/>
      <c r="I750" s="100"/>
      <c r="J750" s="100"/>
      <c r="K750" s="61"/>
      <c r="L750" s="61"/>
      <c r="M750" s="61"/>
      <c r="N750" s="107"/>
    </row>
    <row r="751">
      <c r="A751" s="65"/>
      <c r="B751" s="65"/>
      <c r="C751" s="65"/>
      <c r="D751" s="65"/>
      <c r="E751" s="65"/>
      <c r="F751" s="65"/>
      <c r="G751" s="65"/>
      <c r="H751" s="65"/>
      <c r="I751" s="103"/>
      <c r="J751" s="103"/>
      <c r="K751" s="65"/>
      <c r="L751" s="65"/>
      <c r="M751" s="65"/>
      <c r="N751" s="108"/>
    </row>
    <row r="752">
      <c r="A752" s="61"/>
      <c r="B752" s="61"/>
      <c r="C752" s="61"/>
      <c r="D752" s="61"/>
      <c r="E752" s="61"/>
      <c r="F752" s="61"/>
      <c r="G752" s="61"/>
      <c r="H752" s="61"/>
      <c r="I752" s="100"/>
      <c r="J752" s="100"/>
      <c r="K752" s="61"/>
      <c r="L752" s="61"/>
      <c r="M752" s="61"/>
      <c r="N752" s="107"/>
    </row>
    <row r="753">
      <c r="A753" s="65"/>
      <c r="B753" s="65"/>
      <c r="C753" s="65"/>
      <c r="D753" s="65"/>
      <c r="E753" s="65"/>
      <c r="F753" s="65"/>
      <c r="G753" s="65"/>
      <c r="H753" s="65"/>
      <c r="I753" s="103"/>
      <c r="J753" s="103"/>
      <c r="K753" s="65"/>
      <c r="L753" s="65"/>
      <c r="M753" s="65"/>
      <c r="N753" s="108"/>
    </row>
    <row r="754">
      <c r="A754" s="61"/>
      <c r="B754" s="61"/>
      <c r="C754" s="61"/>
      <c r="D754" s="61"/>
      <c r="E754" s="61"/>
      <c r="F754" s="61"/>
      <c r="G754" s="61"/>
      <c r="H754" s="61"/>
      <c r="I754" s="100"/>
      <c r="J754" s="100"/>
      <c r="K754" s="61"/>
      <c r="L754" s="61"/>
      <c r="M754" s="61"/>
      <c r="N754" s="107"/>
    </row>
    <row r="755">
      <c r="A755" s="65"/>
      <c r="B755" s="65"/>
      <c r="C755" s="65"/>
      <c r="D755" s="65"/>
      <c r="E755" s="65"/>
      <c r="F755" s="65"/>
      <c r="G755" s="65"/>
      <c r="H755" s="65"/>
      <c r="I755" s="103"/>
      <c r="J755" s="103"/>
      <c r="K755" s="65"/>
      <c r="L755" s="65"/>
      <c r="M755" s="65"/>
      <c r="N755" s="108"/>
    </row>
    <row r="756">
      <c r="A756" s="61"/>
      <c r="B756" s="61"/>
      <c r="C756" s="61"/>
      <c r="D756" s="61"/>
      <c r="E756" s="61"/>
      <c r="F756" s="61"/>
      <c r="G756" s="61"/>
      <c r="H756" s="61"/>
      <c r="I756" s="100"/>
      <c r="J756" s="100"/>
      <c r="K756" s="61"/>
      <c r="L756" s="61"/>
      <c r="M756" s="61"/>
      <c r="N756" s="107"/>
    </row>
    <row r="757">
      <c r="A757" s="65"/>
      <c r="B757" s="65"/>
      <c r="C757" s="65"/>
      <c r="D757" s="65"/>
      <c r="E757" s="65"/>
      <c r="F757" s="65"/>
      <c r="G757" s="65"/>
      <c r="H757" s="65"/>
      <c r="I757" s="103"/>
      <c r="J757" s="103"/>
      <c r="K757" s="65"/>
      <c r="L757" s="65"/>
      <c r="M757" s="65"/>
      <c r="N757" s="108"/>
    </row>
    <row r="758">
      <c r="A758" s="61"/>
      <c r="B758" s="61"/>
      <c r="C758" s="61"/>
      <c r="D758" s="61"/>
      <c r="E758" s="61"/>
      <c r="F758" s="61"/>
      <c r="G758" s="61"/>
      <c r="H758" s="61"/>
      <c r="I758" s="100"/>
      <c r="J758" s="100"/>
      <c r="K758" s="61"/>
      <c r="L758" s="61"/>
      <c r="M758" s="61"/>
      <c r="N758" s="107"/>
    </row>
    <row r="759">
      <c r="A759" s="65"/>
      <c r="B759" s="65"/>
      <c r="C759" s="65"/>
      <c r="D759" s="65"/>
      <c r="E759" s="65"/>
      <c r="F759" s="65"/>
      <c r="G759" s="65"/>
      <c r="H759" s="65"/>
      <c r="I759" s="103"/>
      <c r="J759" s="103"/>
      <c r="K759" s="65"/>
      <c r="L759" s="65"/>
      <c r="M759" s="65"/>
      <c r="N759" s="108"/>
    </row>
    <row r="760">
      <c r="A760" s="61"/>
      <c r="B760" s="61"/>
      <c r="C760" s="61"/>
      <c r="D760" s="61"/>
      <c r="E760" s="61"/>
      <c r="F760" s="61"/>
      <c r="G760" s="61"/>
      <c r="H760" s="61"/>
      <c r="I760" s="100"/>
      <c r="J760" s="100"/>
      <c r="K760" s="61"/>
      <c r="L760" s="61"/>
      <c r="M760" s="61"/>
      <c r="N760" s="107"/>
    </row>
    <row r="761">
      <c r="A761" s="65"/>
      <c r="B761" s="65"/>
      <c r="C761" s="65"/>
      <c r="D761" s="65"/>
      <c r="E761" s="65"/>
      <c r="F761" s="65"/>
      <c r="G761" s="65"/>
      <c r="H761" s="65"/>
      <c r="I761" s="103"/>
      <c r="J761" s="103"/>
      <c r="K761" s="65"/>
      <c r="L761" s="65"/>
      <c r="M761" s="65"/>
      <c r="N761" s="108"/>
    </row>
    <row r="762">
      <c r="A762" s="61"/>
      <c r="B762" s="61"/>
      <c r="C762" s="61"/>
      <c r="D762" s="61"/>
      <c r="E762" s="61"/>
      <c r="F762" s="61"/>
      <c r="G762" s="61"/>
      <c r="H762" s="61"/>
      <c r="I762" s="100"/>
      <c r="J762" s="100"/>
      <c r="K762" s="61"/>
      <c r="L762" s="61"/>
      <c r="M762" s="61"/>
      <c r="N762" s="107"/>
    </row>
    <row r="763">
      <c r="A763" s="65"/>
      <c r="B763" s="65"/>
      <c r="C763" s="65"/>
      <c r="D763" s="65"/>
      <c r="E763" s="65"/>
      <c r="F763" s="65"/>
      <c r="G763" s="65"/>
      <c r="H763" s="65"/>
      <c r="I763" s="103"/>
      <c r="J763" s="103"/>
      <c r="K763" s="65"/>
      <c r="L763" s="65"/>
      <c r="M763" s="65"/>
      <c r="N763" s="108"/>
    </row>
    <row r="764">
      <c r="A764" s="61"/>
      <c r="B764" s="61"/>
      <c r="C764" s="61"/>
      <c r="D764" s="61"/>
      <c r="E764" s="61"/>
      <c r="F764" s="61"/>
      <c r="G764" s="61"/>
      <c r="H764" s="61"/>
      <c r="I764" s="100"/>
      <c r="J764" s="100"/>
      <c r="K764" s="61"/>
      <c r="L764" s="61"/>
      <c r="M764" s="61"/>
      <c r="N764" s="107"/>
    </row>
    <row r="765">
      <c r="A765" s="65"/>
      <c r="B765" s="65"/>
      <c r="C765" s="65"/>
      <c r="D765" s="65"/>
      <c r="E765" s="65"/>
      <c r="F765" s="65"/>
      <c r="G765" s="65"/>
      <c r="H765" s="65"/>
      <c r="I765" s="103"/>
      <c r="J765" s="103"/>
      <c r="K765" s="65"/>
      <c r="L765" s="65"/>
      <c r="M765" s="65"/>
      <c r="N765" s="108"/>
    </row>
    <row r="766">
      <c r="A766" s="61"/>
      <c r="B766" s="61"/>
      <c r="C766" s="61"/>
      <c r="D766" s="61"/>
      <c r="E766" s="61"/>
      <c r="F766" s="61"/>
      <c r="G766" s="61"/>
      <c r="H766" s="61"/>
      <c r="I766" s="100"/>
      <c r="J766" s="100"/>
      <c r="K766" s="61"/>
      <c r="L766" s="61"/>
      <c r="M766" s="61"/>
      <c r="N766" s="107"/>
    </row>
    <row r="767">
      <c r="A767" s="65"/>
      <c r="B767" s="65"/>
      <c r="C767" s="65"/>
      <c r="D767" s="65"/>
      <c r="E767" s="65"/>
      <c r="F767" s="65"/>
      <c r="G767" s="65"/>
      <c r="H767" s="65"/>
      <c r="I767" s="103"/>
      <c r="J767" s="103"/>
      <c r="K767" s="65"/>
      <c r="L767" s="65"/>
      <c r="M767" s="65"/>
      <c r="N767" s="108"/>
    </row>
    <row r="768">
      <c r="A768" s="61"/>
      <c r="B768" s="61"/>
      <c r="C768" s="61"/>
      <c r="D768" s="61"/>
      <c r="E768" s="61"/>
      <c r="F768" s="61"/>
      <c r="G768" s="61"/>
      <c r="H768" s="61"/>
      <c r="I768" s="100"/>
      <c r="J768" s="100"/>
      <c r="K768" s="61"/>
      <c r="L768" s="61"/>
      <c r="M768" s="61"/>
      <c r="N768" s="107"/>
    </row>
    <row r="769">
      <c r="A769" s="65"/>
      <c r="B769" s="65"/>
      <c r="C769" s="65"/>
      <c r="D769" s="65"/>
      <c r="E769" s="65"/>
      <c r="F769" s="65"/>
      <c r="G769" s="65"/>
      <c r="H769" s="65"/>
      <c r="I769" s="103"/>
      <c r="J769" s="103"/>
      <c r="K769" s="65"/>
      <c r="L769" s="65"/>
      <c r="M769" s="65"/>
      <c r="N769" s="108"/>
    </row>
    <row r="770">
      <c r="A770" s="61"/>
      <c r="B770" s="61"/>
      <c r="C770" s="61"/>
      <c r="D770" s="61"/>
      <c r="E770" s="61"/>
      <c r="F770" s="61"/>
      <c r="G770" s="61"/>
      <c r="H770" s="61"/>
      <c r="I770" s="100"/>
      <c r="J770" s="100"/>
      <c r="K770" s="61"/>
      <c r="L770" s="61"/>
      <c r="M770" s="61"/>
      <c r="N770" s="107"/>
    </row>
    <row r="771">
      <c r="A771" s="65"/>
      <c r="B771" s="65"/>
      <c r="C771" s="65"/>
      <c r="D771" s="65"/>
      <c r="E771" s="65"/>
      <c r="F771" s="65"/>
      <c r="G771" s="65"/>
      <c r="H771" s="65"/>
      <c r="I771" s="103"/>
      <c r="J771" s="103"/>
      <c r="K771" s="65"/>
      <c r="L771" s="65"/>
      <c r="M771" s="65"/>
      <c r="N771" s="108"/>
    </row>
    <row r="772">
      <c r="A772" s="61"/>
      <c r="B772" s="61"/>
      <c r="C772" s="61"/>
      <c r="D772" s="61"/>
      <c r="E772" s="61"/>
      <c r="F772" s="61"/>
      <c r="G772" s="61"/>
      <c r="H772" s="61"/>
      <c r="I772" s="100"/>
      <c r="J772" s="100"/>
      <c r="K772" s="61"/>
      <c r="L772" s="61"/>
      <c r="M772" s="61"/>
      <c r="N772" s="107"/>
    </row>
    <row r="773">
      <c r="A773" s="65"/>
      <c r="B773" s="65"/>
      <c r="C773" s="65"/>
      <c r="D773" s="65"/>
      <c r="E773" s="65"/>
      <c r="F773" s="65"/>
      <c r="G773" s="65"/>
      <c r="H773" s="65"/>
      <c r="I773" s="103"/>
      <c r="J773" s="103"/>
      <c r="K773" s="65"/>
      <c r="L773" s="65"/>
      <c r="M773" s="65"/>
      <c r="N773" s="108"/>
    </row>
    <row r="774">
      <c r="A774" s="61"/>
      <c r="B774" s="61"/>
      <c r="C774" s="61"/>
      <c r="D774" s="61"/>
      <c r="E774" s="61"/>
      <c r="F774" s="61"/>
      <c r="G774" s="61"/>
      <c r="H774" s="61"/>
      <c r="I774" s="100"/>
      <c r="J774" s="100"/>
      <c r="K774" s="61"/>
      <c r="L774" s="61"/>
      <c r="M774" s="61"/>
      <c r="N774" s="107"/>
    </row>
    <row r="775">
      <c r="A775" s="65"/>
      <c r="B775" s="65"/>
      <c r="C775" s="65"/>
      <c r="D775" s="65"/>
      <c r="E775" s="65"/>
      <c r="F775" s="65"/>
      <c r="G775" s="65"/>
      <c r="H775" s="65"/>
      <c r="I775" s="103"/>
      <c r="J775" s="103"/>
      <c r="K775" s="65"/>
      <c r="L775" s="65"/>
      <c r="M775" s="65"/>
      <c r="N775" s="108"/>
    </row>
    <row r="776">
      <c r="A776" s="61"/>
      <c r="B776" s="61"/>
      <c r="C776" s="61"/>
      <c r="D776" s="61"/>
      <c r="E776" s="61"/>
      <c r="F776" s="61"/>
      <c r="G776" s="61"/>
      <c r="H776" s="61"/>
      <c r="I776" s="100"/>
      <c r="J776" s="100"/>
      <c r="K776" s="61"/>
      <c r="L776" s="61"/>
      <c r="M776" s="61"/>
      <c r="N776" s="107"/>
    </row>
    <row r="777">
      <c r="A777" s="65"/>
      <c r="B777" s="65"/>
      <c r="C777" s="65"/>
      <c r="D777" s="65"/>
      <c r="E777" s="65"/>
      <c r="F777" s="65"/>
      <c r="G777" s="65"/>
      <c r="H777" s="65"/>
      <c r="I777" s="103"/>
      <c r="J777" s="103"/>
      <c r="K777" s="65"/>
      <c r="L777" s="65"/>
      <c r="M777" s="65"/>
      <c r="N777" s="108"/>
    </row>
    <row r="778">
      <c r="A778" s="61"/>
      <c r="B778" s="61"/>
      <c r="C778" s="61"/>
      <c r="D778" s="61"/>
      <c r="E778" s="61"/>
      <c r="F778" s="61"/>
      <c r="G778" s="61"/>
      <c r="H778" s="61"/>
      <c r="I778" s="100"/>
      <c r="J778" s="100"/>
      <c r="K778" s="61"/>
      <c r="L778" s="61"/>
      <c r="M778" s="61"/>
      <c r="N778" s="107"/>
    </row>
    <row r="779">
      <c r="A779" s="65"/>
      <c r="B779" s="65"/>
      <c r="C779" s="65"/>
      <c r="D779" s="65"/>
      <c r="E779" s="65"/>
      <c r="F779" s="65"/>
      <c r="G779" s="65"/>
      <c r="H779" s="65"/>
      <c r="I779" s="103"/>
      <c r="J779" s="103"/>
      <c r="K779" s="65"/>
      <c r="L779" s="65"/>
      <c r="M779" s="65"/>
      <c r="N779" s="108"/>
    </row>
    <row r="780">
      <c r="A780" s="61"/>
      <c r="B780" s="61"/>
      <c r="C780" s="61"/>
      <c r="D780" s="61"/>
      <c r="E780" s="61"/>
      <c r="F780" s="61"/>
      <c r="G780" s="61"/>
      <c r="H780" s="61"/>
      <c r="I780" s="100"/>
      <c r="J780" s="100"/>
      <c r="K780" s="61"/>
      <c r="L780" s="61"/>
      <c r="M780" s="61"/>
      <c r="N780" s="107"/>
    </row>
    <row r="781">
      <c r="A781" s="65"/>
      <c r="B781" s="65"/>
      <c r="C781" s="65"/>
      <c r="D781" s="65"/>
      <c r="E781" s="65"/>
      <c r="F781" s="65"/>
      <c r="G781" s="65"/>
      <c r="H781" s="65"/>
      <c r="I781" s="103"/>
      <c r="J781" s="103"/>
      <c r="K781" s="65"/>
      <c r="L781" s="65"/>
      <c r="M781" s="65"/>
      <c r="N781" s="108"/>
    </row>
    <row r="782">
      <c r="A782" s="61"/>
      <c r="B782" s="61"/>
      <c r="C782" s="61"/>
      <c r="D782" s="61"/>
      <c r="E782" s="61"/>
      <c r="F782" s="61"/>
      <c r="G782" s="61"/>
      <c r="H782" s="61"/>
      <c r="I782" s="100"/>
      <c r="J782" s="100"/>
      <c r="K782" s="61"/>
      <c r="L782" s="61"/>
      <c r="M782" s="61"/>
      <c r="N782" s="107"/>
    </row>
    <row r="783">
      <c r="A783" s="65"/>
      <c r="B783" s="65"/>
      <c r="C783" s="65"/>
      <c r="D783" s="65"/>
      <c r="E783" s="65"/>
      <c r="F783" s="65"/>
      <c r="G783" s="65"/>
      <c r="H783" s="65"/>
      <c r="I783" s="103"/>
      <c r="J783" s="103"/>
      <c r="K783" s="65"/>
      <c r="L783" s="65"/>
      <c r="M783" s="65"/>
      <c r="N783" s="108"/>
    </row>
    <row r="784">
      <c r="A784" s="61"/>
      <c r="B784" s="61"/>
      <c r="C784" s="61"/>
      <c r="D784" s="61"/>
      <c r="E784" s="61"/>
      <c r="F784" s="61"/>
      <c r="G784" s="61"/>
      <c r="H784" s="61"/>
      <c r="I784" s="100"/>
      <c r="J784" s="100"/>
      <c r="K784" s="61"/>
      <c r="L784" s="61"/>
      <c r="M784" s="61"/>
      <c r="N784" s="107"/>
    </row>
    <row r="785">
      <c r="A785" s="65"/>
      <c r="B785" s="65"/>
      <c r="C785" s="65"/>
      <c r="D785" s="65"/>
      <c r="E785" s="65"/>
      <c r="F785" s="65"/>
      <c r="G785" s="65"/>
      <c r="H785" s="65"/>
      <c r="I785" s="103"/>
      <c r="J785" s="103"/>
      <c r="K785" s="65"/>
      <c r="L785" s="65"/>
      <c r="M785" s="65"/>
      <c r="N785" s="108"/>
    </row>
    <row r="786">
      <c r="A786" s="61"/>
      <c r="B786" s="61"/>
      <c r="C786" s="61"/>
      <c r="D786" s="61"/>
      <c r="E786" s="61"/>
      <c r="F786" s="61"/>
      <c r="G786" s="61"/>
      <c r="H786" s="61"/>
      <c r="I786" s="100"/>
      <c r="J786" s="100"/>
      <c r="K786" s="61"/>
      <c r="L786" s="61"/>
      <c r="M786" s="61"/>
      <c r="N786" s="107"/>
    </row>
    <row r="787">
      <c r="A787" s="65"/>
      <c r="B787" s="65"/>
      <c r="C787" s="65"/>
      <c r="D787" s="65"/>
      <c r="E787" s="65"/>
      <c r="F787" s="65"/>
      <c r="G787" s="65"/>
      <c r="H787" s="65"/>
      <c r="I787" s="103"/>
      <c r="J787" s="103"/>
      <c r="K787" s="65"/>
      <c r="L787" s="65"/>
      <c r="M787" s="65"/>
      <c r="N787" s="108"/>
    </row>
    <row r="788">
      <c r="A788" s="61"/>
      <c r="B788" s="61"/>
      <c r="C788" s="61"/>
      <c r="D788" s="61"/>
      <c r="E788" s="61"/>
      <c r="F788" s="61"/>
      <c r="G788" s="61"/>
      <c r="H788" s="61"/>
      <c r="I788" s="100"/>
      <c r="J788" s="100"/>
      <c r="K788" s="61"/>
      <c r="L788" s="61"/>
      <c r="M788" s="61"/>
      <c r="N788" s="107"/>
    </row>
    <row r="789">
      <c r="A789" s="65"/>
      <c r="B789" s="65"/>
      <c r="C789" s="65"/>
      <c r="D789" s="65"/>
      <c r="E789" s="65"/>
      <c r="F789" s="65"/>
      <c r="G789" s="65"/>
      <c r="H789" s="65"/>
      <c r="I789" s="103"/>
      <c r="J789" s="103"/>
      <c r="K789" s="65"/>
      <c r="L789" s="65"/>
      <c r="M789" s="65"/>
      <c r="N789" s="108"/>
    </row>
    <row r="790">
      <c r="A790" s="61"/>
      <c r="B790" s="61"/>
      <c r="C790" s="61"/>
      <c r="D790" s="61"/>
      <c r="E790" s="61"/>
      <c r="F790" s="61"/>
      <c r="G790" s="61"/>
      <c r="H790" s="61"/>
      <c r="I790" s="100"/>
      <c r="J790" s="100"/>
      <c r="K790" s="61"/>
      <c r="L790" s="61"/>
      <c r="M790" s="61"/>
      <c r="N790" s="107"/>
    </row>
    <row r="791">
      <c r="A791" s="65"/>
      <c r="B791" s="65"/>
      <c r="C791" s="65"/>
      <c r="D791" s="65"/>
      <c r="E791" s="65"/>
      <c r="F791" s="65"/>
      <c r="G791" s="65"/>
      <c r="H791" s="65"/>
      <c r="I791" s="103"/>
      <c r="J791" s="103"/>
      <c r="K791" s="65"/>
      <c r="L791" s="65"/>
      <c r="M791" s="65"/>
      <c r="N791" s="108"/>
    </row>
    <row r="792">
      <c r="A792" s="61"/>
      <c r="B792" s="61"/>
      <c r="C792" s="61"/>
      <c r="D792" s="61"/>
      <c r="E792" s="61"/>
      <c r="F792" s="61"/>
      <c r="G792" s="61"/>
      <c r="H792" s="61"/>
      <c r="I792" s="100"/>
      <c r="J792" s="100"/>
      <c r="K792" s="61"/>
      <c r="L792" s="61"/>
      <c r="M792" s="61"/>
      <c r="N792" s="107"/>
    </row>
    <row r="793">
      <c r="A793" s="65"/>
      <c r="B793" s="65"/>
      <c r="C793" s="65"/>
      <c r="D793" s="65"/>
      <c r="E793" s="65"/>
      <c r="F793" s="65"/>
      <c r="G793" s="65"/>
      <c r="H793" s="65"/>
      <c r="I793" s="103"/>
      <c r="J793" s="103"/>
      <c r="K793" s="65"/>
      <c r="L793" s="65"/>
      <c r="M793" s="65"/>
      <c r="N793" s="108"/>
    </row>
    <row r="794">
      <c r="A794" s="61"/>
      <c r="B794" s="61"/>
      <c r="C794" s="61"/>
      <c r="D794" s="61"/>
      <c r="E794" s="61"/>
      <c r="F794" s="61"/>
      <c r="G794" s="61"/>
      <c r="H794" s="61"/>
      <c r="I794" s="100"/>
      <c r="J794" s="100"/>
      <c r="K794" s="61"/>
      <c r="L794" s="61"/>
      <c r="M794" s="61"/>
      <c r="N794" s="107"/>
    </row>
    <row r="795">
      <c r="A795" s="65"/>
      <c r="B795" s="65"/>
      <c r="C795" s="65"/>
      <c r="D795" s="65"/>
      <c r="E795" s="65"/>
      <c r="F795" s="65"/>
      <c r="G795" s="65"/>
      <c r="H795" s="65"/>
      <c r="I795" s="103"/>
      <c r="J795" s="103"/>
      <c r="K795" s="65"/>
      <c r="L795" s="65"/>
      <c r="M795" s="65"/>
      <c r="N795" s="108"/>
    </row>
    <row r="796">
      <c r="A796" s="61"/>
      <c r="B796" s="61"/>
      <c r="C796" s="61"/>
      <c r="D796" s="61"/>
      <c r="E796" s="61"/>
      <c r="F796" s="61"/>
      <c r="G796" s="61"/>
      <c r="H796" s="61"/>
      <c r="I796" s="100"/>
      <c r="J796" s="100"/>
      <c r="K796" s="61"/>
      <c r="L796" s="61"/>
      <c r="M796" s="61"/>
      <c r="N796" s="107"/>
    </row>
    <row r="797">
      <c r="A797" s="65"/>
      <c r="B797" s="65"/>
      <c r="C797" s="65"/>
      <c r="D797" s="65"/>
      <c r="E797" s="65"/>
      <c r="F797" s="65"/>
      <c r="G797" s="65"/>
      <c r="H797" s="65"/>
      <c r="I797" s="103"/>
      <c r="J797" s="103"/>
      <c r="K797" s="65"/>
      <c r="L797" s="65"/>
      <c r="M797" s="65"/>
      <c r="N797" s="108"/>
    </row>
    <row r="798">
      <c r="A798" s="61"/>
      <c r="B798" s="61"/>
      <c r="C798" s="61"/>
      <c r="D798" s="61"/>
      <c r="E798" s="61"/>
      <c r="F798" s="61"/>
      <c r="G798" s="61"/>
      <c r="H798" s="61"/>
      <c r="I798" s="100"/>
      <c r="J798" s="100"/>
      <c r="K798" s="61"/>
      <c r="L798" s="61"/>
      <c r="M798" s="61"/>
      <c r="N798" s="107"/>
    </row>
    <row r="799">
      <c r="A799" s="65"/>
      <c r="B799" s="65"/>
      <c r="C799" s="65"/>
      <c r="D799" s="65"/>
      <c r="E799" s="65"/>
      <c r="F799" s="65"/>
      <c r="G799" s="65"/>
      <c r="H799" s="65"/>
      <c r="I799" s="103"/>
      <c r="J799" s="103"/>
      <c r="K799" s="65"/>
      <c r="L799" s="65"/>
      <c r="M799" s="65"/>
      <c r="N799" s="108"/>
    </row>
    <row r="800">
      <c r="A800" s="61"/>
      <c r="B800" s="61"/>
      <c r="C800" s="61"/>
      <c r="D800" s="61"/>
      <c r="E800" s="61"/>
      <c r="F800" s="61"/>
      <c r="G800" s="61"/>
      <c r="H800" s="61"/>
      <c r="I800" s="100"/>
      <c r="J800" s="100"/>
      <c r="K800" s="61"/>
      <c r="L800" s="61"/>
      <c r="M800" s="61"/>
      <c r="N800" s="107"/>
    </row>
    <row r="801">
      <c r="A801" s="65"/>
      <c r="B801" s="65"/>
      <c r="C801" s="65"/>
      <c r="D801" s="65"/>
      <c r="E801" s="65"/>
      <c r="F801" s="65"/>
      <c r="G801" s="65"/>
      <c r="H801" s="65"/>
      <c r="I801" s="103"/>
      <c r="J801" s="103"/>
      <c r="K801" s="65"/>
      <c r="L801" s="65"/>
      <c r="M801" s="65"/>
      <c r="N801" s="108"/>
    </row>
    <row r="802">
      <c r="A802" s="61"/>
      <c r="B802" s="61"/>
      <c r="C802" s="61"/>
      <c r="D802" s="61"/>
      <c r="E802" s="61"/>
      <c r="F802" s="61"/>
      <c r="G802" s="61"/>
      <c r="H802" s="61"/>
      <c r="I802" s="100"/>
      <c r="J802" s="100"/>
      <c r="K802" s="61"/>
      <c r="L802" s="61"/>
      <c r="M802" s="61"/>
      <c r="N802" s="107"/>
    </row>
    <row r="803">
      <c r="A803" s="65"/>
      <c r="B803" s="65"/>
      <c r="C803" s="65"/>
      <c r="D803" s="65"/>
      <c r="E803" s="65"/>
      <c r="F803" s="65"/>
      <c r="G803" s="65"/>
      <c r="H803" s="65"/>
      <c r="I803" s="103"/>
      <c r="J803" s="103"/>
      <c r="K803" s="65"/>
      <c r="L803" s="65"/>
      <c r="M803" s="65"/>
      <c r="N803" s="108"/>
    </row>
    <row r="804">
      <c r="A804" s="61"/>
      <c r="B804" s="61"/>
      <c r="C804" s="61"/>
      <c r="D804" s="61"/>
      <c r="E804" s="61"/>
      <c r="F804" s="61"/>
      <c r="G804" s="61"/>
      <c r="H804" s="61"/>
      <c r="I804" s="100"/>
      <c r="J804" s="100"/>
      <c r="K804" s="61"/>
      <c r="L804" s="61"/>
      <c r="M804" s="61"/>
      <c r="N804" s="107"/>
    </row>
    <row r="805">
      <c r="A805" s="65"/>
      <c r="B805" s="65"/>
      <c r="C805" s="65"/>
      <c r="D805" s="65"/>
      <c r="E805" s="65"/>
      <c r="F805" s="65"/>
      <c r="G805" s="65"/>
      <c r="H805" s="65"/>
      <c r="I805" s="103"/>
      <c r="J805" s="103"/>
      <c r="K805" s="65"/>
      <c r="L805" s="65"/>
      <c r="M805" s="65"/>
      <c r="N805" s="108"/>
    </row>
    <row r="806">
      <c r="A806" s="61"/>
      <c r="B806" s="61"/>
      <c r="C806" s="61"/>
      <c r="D806" s="61"/>
      <c r="E806" s="61"/>
      <c r="F806" s="61"/>
      <c r="G806" s="61"/>
      <c r="H806" s="61"/>
      <c r="I806" s="100"/>
      <c r="J806" s="100"/>
      <c r="K806" s="61"/>
      <c r="L806" s="61"/>
      <c r="M806" s="61"/>
      <c r="N806" s="107"/>
    </row>
    <row r="807">
      <c r="A807" s="65"/>
      <c r="B807" s="65"/>
      <c r="C807" s="65"/>
      <c r="D807" s="65"/>
      <c r="E807" s="65"/>
      <c r="F807" s="65"/>
      <c r="G807" s="65"/>
      <c r="H807" s="65"/>
      <c r="I807" s="103"/>
      <c r="J807" s="103"/>
      <c r="K807" s="65"/>
      <c r="L807" s="65"/>
      <c r="M807" s="65"/>
      <c r="N807" s="108"/>
    </row>
    <row r="808">
      <c r="A808" s="61"/>
      <c r="B808" s="61"/>
      <c r="C808" s="61"/>
      <c r="D808" s="61"/>
      <c r="E808" s="61"/>
      <c r="F808" s="61"/>
      <c r="G808" s="61"/>
      <c r="H808" s="61"/>
      <c r="I808" s="100"/>
      <c r="J808" s="100"/>
      <c r="K808" s="61"/>
      <c r="L808" s="61"/>
      <c r="M808" s="61"/>
      <c r="N808" s="107"/>
    </row>
    <row r="809">
      <c r="A809" s="65"/>
      <c r="B809" s="65"/>
      <c r="C809" s="65"/>
      <c r="D809" s="65"/>
      <c r="E809" s="65"/>
      <c r="F809" s="65"/>
      <c r="G809" s="65"/>
      <c r="H809" s="65"/>
      <c r="I809" s="103"/>
      <c r="J809" s="103"/>
      <c r="K809" s="65"/>
      <c r="L809" s="65"/>
      <c r="M809" s="65"/>
      <c r="N809" s="108"/>
    </row>
    <row r="810">
      <c r="A810" s="61"/>
      <c r="B810" s="61"/>
      <c r="C810" s="61"/>
      <c r="D810" s="61"/>
      <c r="E810" s="61"/>
      <c r="F810" s="61"/>
      <c r="G810" s="61"/>
      <c r="H810" s="61"/>
      <c r="I810" s="100"/>
      <c r="J810" s="100"/>
      <c r="K810" s="61"/>
      <c r="L810" s="61"/>
      <c r="M810" s="61"/>
      <c r="N810" s="107"/>
    </row>
    <row r="811">
      <c r="A811" s="65"/>
      <c r="B811" s="65"/>
      <c r="C811" s="65"/>
      <c r="D811" s="65"/>
      <c r="E811" s="65"/>
      <c r="F811" s="65"/>
      <c r="G811" s="65"/>
      <c r="H811" s="65"/>
      <c r="I811" s="103"/>
      <c r="J811" s="103"/>
      <c r="K811" s="65"/>
      <c r="L811" s="65"/>
      <c r="M811" s="65"/>
      <c r="N811" s="108"/>
    </row>
    <row r="812">
      <c r="A812" s="61"/>
      <c r="B812" s="61"/>
      <c r="C812" s="61"/>
      <c r="D812" s="61"/>
      <c r="E812" s="61"/>
      <c r="F812" s="61"/>
      <c r="G812" s="61"/>
      <c r="H812" s="61"/>
      <c r="I812" s="100"/>
      <c r="J812" s="100"/>
      <c r="K812" s="61"/>
      <c r="L812" s="61"/>
      <c r="M812" s="61"/>
      <c r="N812" s="107"/>
    </row>
    <row r="813">
      <c r="A813" s="65"/>
      <c r="B813" s="65"/>
      <c r="C813" s="65"/>
      <c r="D813" s="65"/>
      <c r="E813" s="65"/>
      <c r="F813" s="65"/>
      <c r="G813" s="65"/>
      <c r="H813" s="65"/>
      <c r="I813" s="103"/>
      <c r="J813" s="103"/>
      <c r="K813" s="65"/>
      <c r="L813" s="65"/>
      <c r="M813" s="65"/>
      <c r="N813" s="108"/>
    </row>
    <row r="814">
      <c r="A814" s="61"/>
      <c r="B814" s="61"/>
      <c r="C814" s="61"/>
      <c r="D814" s="61"/>
      <c r="E814" s="61"/>
      <c r="F814" s="61"/>
      <c r="G814" s="61"/>
      <c r="H814" s="61"/>
      <c r="I814" s="100"/>
      <c r="J814" s="100"/>
      <c r="K814" s="61"/>
      <c r="L814" s="61"/>
      <c r="M814" s="61"/>
      <c r="N814" s="107"/>
    </row>
    <row r="815">
      <c r="A815" s="65"/>
      <c r="B815" s="65"/>
      <c r="C815" s="65"/>
      <c r="D815" s="65"/>
      <c r="E815" s="65"/>
      <c r="F815" s="65"/>
      <c r="G815" s="65"/>
      <c r="H815" s="65"/>
      <c r="I815" s="103"/>
      <c r="J815" s="103"/>
      <c r="K815" s="65"/>
      <c r="L815" s="65"/>
      <c r="M815" s="65"/>
      <c r="N815" s="108"/>
    </row>
    <row r="816">
      <c r="A816" s="61"/>
      <c r="B816" s="61"/>
      <c r="C816" s="61"/>
      <c r="D816" s="61"/>
      <c r="E816" s="61"/>
      <c r="F816" s="61"/>
      <c r="G816" s="61"/>
      <c r="H816" s="61"/>
      <c r="I816" s="100"/>
      <c r="J816" s="100"/>
      <c r="K816" s="61"/>
      <c r="L816" s="61"/>
      <c r="M816" s="61"/>
      <c r="N816" s="107"/>
    </row>
    <row r="817">
      <c r="A817" s="65"/>
      <c r="B817" s="65"/>
      <c r="C817" s="65"/>
      <c r="D817" s="65"/>
      <c r="E817" s="65"/>
      <c r="F817" s="65"/>
      <c r="G817" s="65"/>
      <c r="H817" s="65"/>
      <c r="I817" s="103"/>
      <c r="J817" s="103"/>
      <c r="K817" s="65"/>
      <c r="L817" s="65"/>
      <c r="M817" s="65"/>
      <c r="N817" s="108"/>
    </row>
    <row r="818">
      <c r="A818" s="61"/>
      <c r="B818" s="61"/>
      <c r="C818" s="61"/>
      <c r="D818" s="61"/>
      <c r="E818" s="61"/>
      <c r="F818" s="61"/>
      <c r="G818" s="61"/>
      <c r="H818" s="61"/>
      <c r="I818" s="100"/>
      <c r="J818" s="100"/>
      <c r="K818" s="61"/>
      <c r="L818" s="61"/>
      <c r="M818" s="61"/>
      <c r="N818" s="107"/>
    </row>
    <row r="819">
      <c r="A819" s="65"/>
      <c r="B819" s="65"/>
      <c r="C819" s="65"/>
      <c r="D819" s="65"/>
      <c r="E819" s="65"/>
      <c r="F819" s="65"/>
      <c r="G819" s="65"/>
      <c r="H819" s="65"/>
      <c r="I819" s="103"/>
      <c r="J819" s="103"/>
      <c r="K819" s="65"/>
      <c r="L819" s="65"/>
      <c r="M819" s="65"/>
      <c r="N819" s="108"/>
    </row>
    <row r="820">
      <c r="A820" s="61"/>
      <c r="B820" s="61"/>
      <c r="C820" s="61"/>
      <c r="D820" s="61"/>
      <c r="E820" s="61"/>
      <c r="F820" s="61"/>
      <c r="G820" s="61"/>
      <c r="H820" s="61"/>
      <c r="I820" s="100"/>
      <c r="J820" s="100"/>
      <c r="K820" s="61"/>
      <c r="L820" s="61"/>
      <c r="M820" s="61"/>
      <c r="N820" s="107"/>
    </row>
    <row r="821">
      <c r="A821" s="65"/>
      <c r="B821" s="65"/>
      <c r="C821" s="65"/>
      <c r="D821" s="65"/>
      <c r="E821" s="65"/>
      <c r="F821" s="65"/>
      <c r="G821" s="65"/>
      <c r="H821" s="65"/>
      <c r="I821" s="103"/>
      <c r="J821" s="103"/>
      <c r="K821" s="65"/>
      <c r="L821" s="65"/>
      <c r="M821" s="65"/>
      <c r="N821" s="108"/>
    </row>
    <row r="822">
      <c r="A822" s="61"/>
      <c r="B822" s="61"/>
      <c r="C822" s="61"/>
      <c r="D822" s="61"/>
      <c r="E822" s="61"/>
      <c r="F822" s="61"/>
      <c r="G822" s="61"/>
      <c r="H822" s="61"/>
      <c r="I822" s="100"/>
      <c r="J822" s="100"/>
      <c r="K822" s="61"/>
      <c r="L822" s="61"/>
      <c r="M822" s="61"/>
      <c r="N822" s="107"/>
    </row>
    <row r="823">
      <c r="A823" s="65"/>
      <c r="B823" s="65"/>
      <c r="C823" s="65"/>
      <c r="D823" s="65"/>
      <c r="E823" s="65"/>
      <c r="F823" s="65"/>
      <c r="G823" s="65"/>
      <c r="H823" s="65"/>
      <c r="I823" s="103"/>
      <c r="J823" s="103"/>
      <c r="K823" s="65"/>
      <c r="L823" s="65"/>
      <c r="M823" s="65"/>
      <c r="N823" s="108"/>
    </row>
    <row r="824">
      <c r="A824" s="61"/>
      <c r="B824" s="61"/>
      <c r="C824" s="61"/>
      <c r="D824" s="61"/>
      <c r="E824" s="61"/>
      <c r="F824" s="61"/>
      <c r="G824" s="61"/>
      <c r="H824" s="61"/>
      <c r="I824" s="100"/>
      <c r="J824" s="100"/>
      <c r="K824" s="61"/>
      <c r="L824" s="61"/>
      <c r="M824" s="61"/>
      <c r="N824" s="107"/>
    </row>
    <row r="825">
      <c r="A825" s="65"/>
      <c r="B825" s="65"/>
      <c r="C825" s="65"/>
      <c r="D825" s="65"/>
      <c r="E825" s="65"/>
      <c r="F825" s="65"/>
      <c r="G825" s="65"/>
      <c r="H825" s="65"/>
      <c r="I825" s="103"/>
      <c r="J825" s="103"/>
      <c r="K825" s="65"/>
      <c r="L825" s="65"/>
      <c r="M825" s="65"/>
      <c r="N825" s="108"/>
    </row>
    <row r="826">
      <c r="A826" s="61"/>
      <c r="B826" s="61"/>
      <c r="C826" s="61"/>
      <c r="D826" s="61"/>
      <c r="E826" s="61"/>
      <c r="F826" s="61"/>
      <c r="G826" s="61"/>
      <c r="H826" s="61"/>
      <c r="I826" s="100"/>
      <c r="J826" s="100"/>
      <c r="K826" s="61"/>
      <c r="L826" s="61"/>
      <c r="M826" s="61"/>
      <c r="N826" s="107"/>
    </row>
    <row r="827">
      <c r="A827" s="65"/>
      <c r="B827" s="65"/>
      <c r="C827" s="65"/>
      <c r="D827" s="65"/>
      <c r="E827" s="65"/>
      <c r="F827" s="65"/>
      <c r="G827" s="65"/>
      <c r="H827" s="65"/>
      <c r="I827" s="103"/>
      <c r="J827" s="103"/>
      <c r="K827" s="65"/>
      <c r="L827" s="65"/>
      <c r="M827" s="65"/>
      <c r="N827" s="108"/>
    </row>
    <row r="828">
      <c r="A828" s="61"/>
      <c r="B828" s="61"/>
      <c r="C828" s="61"/>
      <c r="D828" s="61"/>
      <c r="E828" s="61"/>
      <c r="F828" s="61"/>
      <c r="G828" s="61"/>
      <c r="H828" s="61"/>
      <c r="I828" s="100"/>
      <c r="J828" s="100"/>
      <c r="K828" s="61"/>
      <c r="L828" s="61"/>
      <c r="M828" s="61"/>
      <c r="N828" s="107"/>
    </row>
    <row r="829">
      <c r="A829" s="65"/>
      <c r="B829" s="65"/>
      <c r="C829" s="65"/>
      <c r="D829" s="65"/>
      <c r="E829" s="65"/>
      <c r="F829" s="65"/>
      <c r="G829" s="65"/>
      <c r="H829" s="65"/>
      <c r="I829" s="103"/>
      <c r="J829" s="103"/>
      <c r="K829" s="65"/>
      <c r="L829" s="65"/>
      <c r="M829" s="65"/>
      <c r="N829" s="108"/>
    </row>
    <row r="830">
      <c r="A830" s="61"/>
      <c r="B830" s="61"/>
      <c r="C830" s="61"/>
      <c r="D830" s="61"/>
      <c r="E830" s="61"/>
      <c r="F830" s="61"/>
      <c r="G830" s="61"/>
      <c r="H830" s="61"/>
      <c r="I830" s="100"/>
      <c r="J830" s="100"/>
      <c r="K830" s="61"/>
      <c r="L830" s="61"/>
      <c r="M830" s="61"/>
      <c r="N830" s="107"/>
    </row>
    <row r="831">
      <c r="A831" s="65"/>
      <c r="B831" s="65"/>
      <c r="C831" s="65"/>
      <c r="D831" s="65"/>
      <c r="E831" s="65"/>
      <c r="F831" s="65"/>
      <c r="G831" s="65"/>
      <c r="H831" s="65"/>
      <c r="I831" s="103"/>
      <c r="J831" s="103"/>
      <c r="K831" s="65"/>
      <c r="L831" s="65"/>
      <c r="M831" s="65"/>
      <c r="N831" s="108"/>
    </row>
    <row r="832">
      <c r="A832" s="61"/>
      <c r="B832" s="61"/>
      <c r="C832" s="61"/>
      <c r="D832" s="61"/>
      <c r="E832" s="61"/>
      <c r="F832" s="61"/>
      <c r="G832" s="61"/>
      <c r="H832" s="61"/>
      <c r="I832" s="100"/>
      <c r="J832" s="100"/>
      <c r="K832" s="61"/>
      <c r="L832" s="61"/>
      <c r="M832" s="61"/>
      <c r="N832" s="107"/>
    </row>
    <row r="833">
      <c r="A833" s="65"/>
      <c r="B833" s="65"/>
      <c r="C833" s="65"/>
      <c r="D833" s="65"/>
      <c r="E833" s="65"/>
      <c r="F833" s="65"/>
      <c r="G833" s="65"/>
      <c r="H833" s="65"/>
      <c r="I833" s="103"/>
      <c r="J833" s="103"/>
      <c r="K833" s="65"/>
      <c r="L833" s="65"/>
      <c r="M833" s="65"/>
      <c r="N833" s="108"/>
    </row>
    <row r="834">
      <c r="A834" s="61"/>
      <c r="B834" s="61"/>
      <c r="C834" s="61"/>
      <c r="D834" s="61"/>
      <c r="E834" s="61"/>
      <c r="F834" s="61"/>
      <c r="G834" s="61"/>
      <c r="H834" s="61"/>
      <c r="I834" s="100"/>
      <c r="J834" s="100"/>
      <c r="K834" s="61"/>
      <c r="L834" s="61"/>
      <c r="M834" s="61"/>
      <c r="N834" s="107"/>
    </row>
    <row r="835">
      <c r="A835" s="65"/>
      <c r="B835" s="65"/>
      <c r="C835" s="65"/>
      <c r="D835" s="65"/>
      <c r="E835" s="65"/>
      <c r="F835" s="65"/>
      <c r="G835" s="65"/>
      <c r="H835" s="65"/>
      <c r="I835" s="103"/>
      <c r="J835" s="103"/>
      <c r="K835" s="65"/>
      <c r="L835" s="65"/>
      <c r="M835" s="65"/>
      <c r="N835" s="108"/>
    </row>
    <row r="836">
      <c r="A836" s="61"/>
      <c r="B836" s="61"/>
      <c r="C836" s="61"/>
      <c r="D836" s="61"/>
      <c r="E836" s="61"/>
      <c r="F836" s="61"/>
      <c r="G836" s="61"/>
      <c r="H836" s="61"/>
      <c r="I836" s="100"/>
      <c r="J836" s="100"/>
      <c r="K836" s="61"/>
      <c r="L836" s="61"/>
      <c r="M836" s="61"/>
      <c r="N836" s="107"/>
    </row>
    <row r="837">
      <c r="A837" s="65"/>
      <c r="B837" s="65"/>
      <c r="C837" s="65"/>
      <c r="D837" s="65"/>
      <c r="E837" s="65"/>
      <c r="F837" s="65"/>
      <c r="G837" s="65"/>
      <c r="H837" s="65"/>
      <c r="I837" s="103"/>
      <c r="J837" s="103"/>
      <c r="K837" s="65"/>
      <c r="L837" s="65"/>
      <c r="M837" s="65"/>
      <c r="N837" s="108"/>
    </row>
    <row r="838">
      <c r="A838" s="61"/>
      <c r="B838" s="61"/>
      <c r="C838" s="61"/>
      <c r="D838" s="61"/>
      <c r="E838" s="61"/>
      <c r="F838" s="61"/>
      <c r="G838" s="61"/>
      <c r="H838" s="61"/>
      <c r="I838" s="100"/>
      <c r="J838" s="100"/>
      <c r="K838" s="61"/>
      <c r="L838" s="61"/>
      <c r="M838" s="61"/>
      <c r="N838" s="107"/>
    </row>
    <row r="839">
      <c r="A839" s="65"/>
      <c r="B839" s="65"/>
      <c r="C839" s="65"/>
      <c r="D839" s="65"/>
      <c r="E839" s="65"/>
      <c r="F839" s="65"/>
      <c r="G839" s="65"/>
      <c r="H839" s="65"/>
      <c r="I839" s="103"/>
      <c r="J839" s="103"/>
      <c r="K839" s="65"/>
      <c r="L839" s="65"/>
      <c r="M839" s="65"/>
      <c r="N839" s="108"/>
    </row>
    <row r="840">
      <c r="A840" s="61"/>
      <c r="B840" s="61"/>
      <c r="C840" s="61"/>
      <c r="D840" s="61"/>
      <c r="E840" s="61"/>
      <c r="F840" s="61"/>
      <c r="G840" s="61"/>
      <c r="H840" s="61"/>
      <c r="I840" s="100"/>
      <c r="J840" s="100"/>
      <c r="K840" s="61"/>
      <c r="L840" s="61"/>
      <c r="M840" s="61"/>
      <c r="N840" s="107"/>
    </row>
    <row r="841">
      <c r="A841" s="65"/>
      <c r="B841" s="65"/>
      <c r="C841" s="65"/>
      <c r="D841" s="65"/>
      <c r="E841" s="65"/>
      <c r="F841" s="65"/>
      <c r="G841" s="65"/>
      <c r="H841" s="65"/>
      <c r="I841" s="103"/>
      <c r="J841" s="103"/>
      <c r="K841" s="65"/>
      <c r="L841" s="65"/>
      <c r="M841" s="65"/>
      <c r="N841" s="108"/>
    </row>
    <row r="842">
      <c r="A842" s="61"/>
      <c r="B842" s="61"/>
      <c r="C842" s="61"/>
      <c r="D842" s="61"/>
      <c r="E842" s="61"/>
      <c r="F842" s="61"/>
      <c r="G842" s="61"/>
      <c r="H842" s="61"/>
      <c r="I842" s="100"/>
      <c r="J842" s="100"/>
      <c r="K842" s="61"/>
      <c r="L842" s="61"/>
      <c r="M842" s="61"/>
      <c r="N842" s="107"/>
    </row>
    <row r="843">
      <c r="A843" s="65"/>
      <c r="B843" s="65"/>
      <c r="C843" s="65"/>
      <c r="D843" s="65"/>
      <c r="E843" s="65"/>
      <c r="F843" s="65"/>
      <c r="G843" s="65"/>
      <c r="H843" s="65"/>
      <c r="I843" s="103"/>
      <c r="J843" s="103"/>
      <c r="K843" s="65"/>
      <c r="L843" s="65"/>
      <c r="M843" s="65"/>
      <c r="N843" s="108"/>
    </row>
    <row r="844">
      <c r="A844" s="61"/>
      <c r="B844" s="61"/>
      <c r="C844" s="61"/>
      <c r="D844" s="61"/>
      <c r="E844" s="61"/>
      <c r="F844" s="61"/>
      <c r="G844" s="61"/>
      <c r="H844" s="61"/>
      <c r="I844" s="100"/>
      <c r="J844" s="100"/>
      <c r="K844" s="61"/>
      <c r="L844" s="61"/>
      <c r="M844" s="61"/>
      <c r="N844" s="107"/>
    </row>
    <row r="845">
      <c r="A845" s="65"/>
      <c r="B845" s="65"/>
      <c r="C845" s="65"/>
      <c r="D845" s="65"/>
      <c r="E845" s="65"/>
      <c r="F845" s="65"/>
      <c r="G845" s="65"/>
      <c r="H845" s="65"/>
      <c r="I845" s="103"/>
      <c r="J845" s="103"/>
      <c r="K845" s="65"/>
      <c r="L845" s="65"/>
      <c r="M845" s="65"/>
      <c r="N845" s="108"/>
    </row>
    <row r="846">
      <c r="A846" s="61"/>
      <c r="B846" s="61"/>
      <c r="C846" s="61"/>
      <c r="D846" s="61"/>
      <c r="E846" s="61"/>
      <c r="F846" s="61"/>
      <c r="G846" s="61"/>
      <c r="H846" s="61"/>
      <c r="I846" s="100"/>
      <c r="J846" s="100"/>
      <c r="K846" s="61"/>
      <c r="L846" s="61"/>
      <c r="M846" s="61"/>
      <c r="N846" s="107"/>
    </row>
    <row r="847">
      <c r="A847" s="65"/>
      <c r="B847" s="65"/>
      <c r="C847" s="65"/>
      <c r="D847" s="65"/>
      <c r="E847" s="65"/>
      <c r="F847" s="65"/>
      <c r="G847" s="65"/>
      <c r="H847" s="65"/>
      <c r="I847" s="103"/>
      <c r="J847" s="103"/>
      <c r="K847" s="65"/>
      <c r="L847" s="65"/>
      <c r="M847" s="65"/>
      <c r="N847" s="108"/>
    </row>
    <row r="848">
      <c r="A848" s="61"/>
      <c r="B848" s="61"/>
      <c r="C848" s="61"/>
      <c r="D848" s="61"/>
      <c r="E848" s="61"/>
      <c r="F848" s="61"/>
      <c r="G848" s="61"/>
      <c r="H848" s="61"/>
      <c r="I848" s="100"/>
      <c r="J848" s="100"/>
      <c r="K848" s="61"/>
      <c r="L848" s="61"/>
      <c r="M848" s="61"/>
      <c r="N848" s="107"/>
    </row>
    <row r="849">
      <c r="A849" s="65"/>
      <c r="B849" s="65"/>
      <c r="C849" s="65"/>
      <c r="D849" s="65"/>
      <c r="E849" s="65"/>
      <c r="F849" s="65"/>
      <c r="G849" s="65"/>
      <c r="H849" s="65"/>
      <c r="I849" s="103"/>
      <c r="J849" s="103"/>
      <c r="K849" s="65"/>
      <c r="L849" s="65"/>
      <c r="M849" s="65"/>
      <c r="N849" s="108"/>
    </row>
    <row r="850">
      <c r="A850" s="61"/>
      <c r="B850" s="61"/>
      <c r="C850" s="61"/>
      <c r="D850" s="61"/>
      <c r="E850" s="61"/>
      <c r="F850" s="61"/>
      <c r="G850" s="61"/>
      <c r="H850" s="61"/>
      <c r="I850" s="100"/>
      <c r="J850" s="100"/>
      <c r="K850" s="61"/>
      <c r="L850" s="61"/>
      <c r="M850" s="61"/>
      <c r="N850" s="107"/>
    </row>
    <row r="851">
      <c r="A851" s="65"/>
      <c r="B851" s="65"/>
      <c r="C851" s="65"/>
      <c r="D851" s="65"/>
      <c r="E851" s="65"/>
      <c r="F851" s="65"/>
      <c r="G851" s="65"/>
      <c r="H851" s="65"/>
      <c r="I851" s="103"/>
      <c r="J851" s="103"/>
      <c r="K851" s="65"/>
      <c r="L851" s="65"/>
      <c r="M851" s="65"/>
      <c r="N851" s="108"/>
    </row>
    <row r="852">
      <c r="A852" s="61"/>
      <c r="B852" s="61"/>
      <c r="C852" s="61"/>
      <c r="D852" s="61"/>
      <c r="E852" s="61"/>
      <c r="F852" s="61"/>
      <c r="G852" s="61"/>
      <c r="H852" s="61"/>
      <c r="I852" s="100"/>
      <c r="J852" s="100"/>
      <c r="K852" s="61"/>
      <c r="L852" s="61"/>
      <c r="M852" s="61"/>
      <c r="N852" s="107"/>
    </row>
    <row r="853">
      <c r="A853" s="65"/>
      <c r="B853" s="65"/>
      <c r="C853" s="65"/>
      <c r="D853" s="65"/>
      <c r="E853" s="65"/>
      <c r="F853" s="65"/>
      <c r="G853" s="65"/>
      <c r="H853" s="65"/>
      <c r="I853" s="103"/>
      <c r="J853" s="103"/>
      <c r="K853" s="65"/>
      <c r="L853" s="65"/>
      <c r="M853" s="65"/>
      <c r="N853" s="108"/>
    </row>
    <row r="854">
      <c r="A854" s="61"/>
      <c r="B854" s="61"/>
      <c r="C854" s="61"/>
      <c r="D854" s="61"/>
      <c r="E854" s="61"/>
      <c r="F854" s="61"/>
      <c r="G854" s="61"/>
      <c r="H854" s="61"/>
      <c r="I854" s="100"/>
      <c r="J854" s="100"/>
      <c r="K854" s="61"/>
      <c r="L854" s="61"/>
      <c r="M854" s="61"/>
      <c r="N854" s="107"/>
    </row>
    <row r="855">
      <c r="A855" s="65"/>
      <c r="B855" s="65"/>
      <c r="C855" s="65"/>
      <c r="D855" s="65"/>
      <c r="E855" s="65"/>
      <c r="F855" s="65"/>
      <c r="G855" s="65"/>
      <c r="H855" s="65"/>
      <c r="I855" s="103"/>
      <c r="J855" s="103"/>
      <c r="K855" s="65"/>
      <c r="L855" s="65"/>
      <c r="M855" s="65"/>
      <c r="N855" s="108"/>
    </row>
    <row r="856">
      <c r="A856" s="61"/>
      <c r="B856" s="61"/>
      <c r="C856" s="61"/>
      <c r="D856" s="61"/>
      <c r="E856" s="61"/>
      <c r="F856" s="61"/>
      <c r="G856" s="61"/>
      <c r="H856" s="61"/>
      <c r="I856" s="100"/>
      <c r="J856" s="100"/>
      <c r="K856" s="61"/>
      <c r="L856" s="61"/>
      <c r="M856" s="61"/>
      <c r="N856" s="107"/>
    </row>
    <row r="857">
      <c r="A857" s="65"/>
      <c r="B857" s="65"/>
      <c r="C857" s="65"/>
      <c r="D857" s="65"/>
      <c r="E857" s="65"/>
      <c r="F857" s="65"/>
      <c r="G857" s="65"/>
      <c r="H857" s="65"/>
      <c r="I857" s="103"/>
      <c r="J857" s="103"/>
      <c r="K857" s="65"/>
      <c r="L857" s="65"/>
      <c r="M857" s="65"/>
      <c r="N857" s="108"/>
    </row>
    <row r="858">
      <c r="A858" s="61"/>
      <c r="B858" s="61"/>
      <c r="C858" s="61"/>
      <c r="D858" s="61"/>
      <c r="E858" s="61"/>
      <c r="F858" s="61"/>
      <c r="G858" s="61"/>
      <c r="H858" s="61"/>
      <c r="I858" s="100"/>
      <c r="J858" s="100"/>
      <c r="K858" s="61"/>
      <c r="L858" s="61"/>
      <c r="M858" s="61"/>
      <c r="N858" s="107"/>
    </row>
    <row r="859">
      <c r="A859" s="65"/>
      <c r="B859" s="65"/>
      <c r="C859" s="65"/>
      <c r="D859" s="65"/>
      <c r="E859" s="65"/>
      <c r="F859" s="65"/>
      <c r="G859" s="65"/>
      <c r="H859" s="65"/>
      <c r="I859" s="103"/>
      <c r="J859" s="103"/>
      <c r="K859" s="65"/>
      <c r="L859" s="65"/>
      <c r="M859" s="65"/>
      <c r="N859" s="108"/>
    </row>
    <row r="860">
      <c r="A860" s="61"/>
      <c r="B860" s="61"/>
      <c r="C860" s="61"/>
      <c r="D860" s="61"/>
      <c r="E860" s="61"/>
      <c r="F860" s="61"/>
      <c r="G860" s="61"/>
      <c r="H860" s="61"/>
      <c r="I860" s="100"/>
      <c r="J860" s="100"/>
      <c r="K860" s="61"/>
      <c r="L860" s="61"/>
      <c r="M860" s="61"/>
      <c r="N860" s="107"/>
    </row>
    <row r="861">
      <c r="A861" s="65"/>
      <c r="B861" s="65"/>
      <c r="C861" s="65"/>
      <c r="D861" s="65"/>
      <c r="E861" s="65"/>
      <c r="F861" s="65"/>
      <c r="G861" s="65"/>
      <c r="H861" s="65"/>
      <c r="I861" s="103"/>
      <c r="J861" s="103"/>
      <c r="K861" s="65"/>
      <c r="L861" s="65"/>
      <c r="M861" s="65"/>
      <c r="N861" s="108"/>
    </row>
    <row r="862">
      <c r="A862" s="61"/>
      <c r="B862" s="61"/>
      <c r="C862" s="61"/>
      <c r="D862" s="61"/>
      <c r="E862" s="61"/>
      <c r="F862" s="61"/>
      <c r="G862" s="61"/>
      <c r="H862" s="61"/>
      <c r="I862" s="100"/>
      <c r="J862" s="100"/>
      <c r="K862" s="61"/>
      <c r="L862" s="61"/>
      <c r="M862" s="61"/>
      <c r="N862" s="107"/>
    </row>
    <row r="863">
      <c r="A863" s="65"/>
      <c r="B863" s="65"/>
      <c r="C863" s="65"/>
      <c r="D863" s="65"/>
      <c r="E863" s="65"/>
      <c r="F863" s="65"/>
      <c r="G863" s="65"/>
      <c r="H863" s="65"/>
      <c r="I863" s="103"/>
      <c r="J863" s="103"/>
      <c r="K863" s="65"/>
      <c r="L863" s="65"/>
      <c r="M863" s="65"/>
      <c r="N863" s="108"/>
    </row>
    <row r="864">
      <c r="A864" s="61"/>
      <c r="B864" s="61"/>
      <c r="C864" s="61"/>
      <c r="D864" s="61"/>
      <c r="E864" s="61"/>
      <c r="F864" s="61"/>
      <c r="G864" s="61"/>
      <c r="H864" s="61"/>
      <c r="I864" s="100"/>
      <c r="J864" s="100"/>
      <c r="K864" s="61"/>
      <c r="L864" s="61"/>
      <c r="M864" s="61"/>
      <c r="N864" s="107"/>
    </row>
    <row r="865">
      <c r="A865" s="65"/>
      <c r="B865" s="65"/>
      <c r="C865" s="65"/>
      <c r="D865" s="65"/>
      <c r="E865" s="65"/>
      <c r="F865" s="65"/>
      <c r="G865" s="65"/>
      <c r="H865" s="65"/>
      <c r="I865" s="103"/>
      <c r="J865" s="103"/>
      <c r="K865" s="65"/>
      <c r="L865" s="65"/>
      <c r="M865" s="65"/>
      <c r="N865" s="108"/>
    </row>
    <row r="866">
      <c r="A866" s="61"/>
      <c r="B866" s="61"/>
      <c r="C866" s="61"/>
      <c r="D866" s="61"/>
      <c r="E866" s="61"/>
      <c r="F866" s="61"/>
      <c r="G866" s="61"/>
      <c r="H866" s="61"/>
      <c r="I866" s="100"/>
      <c r="J866" s="100"/>
      <c r="K866" s="61"/>
      <c r="L866" s="61"/>
      <c r="M866" s="61"/>
      <c r="N866" s="107"/>
    </row>
    <row r="867">
      <c r="A867" s="65"/>
      <c r="B867" s="65"/>
      <c r="C867" s="65"/>
      <c r="D867" s="65"/>
      <c r="E867" s="65"/>
      <c r="F867" s="65"/>
      <c r="G867" s="65"/>
      <c r="H867" s="65"/>
      <c r="I867" s="103"/>
      <c r="J867" s="103"/>
      <c r="K867" s="65"/>
      <c r="L867" s="65"/>
      <c r="M867" s="65"/>
      <c r="N867" s="108"/>
    </row>
    <row r="868">
      <c r="A868" s="61"/>
      <c r="B868" s="61"/>
      <c r="C868" s="61"/>
      <c r="D868" s="61"/>
      <c r="E868" s="61"/>
      <c r="F868" s="61"/>
      <c r="G868" s="61"/>
      <c r="H868" s="61"/>
      <c r="I868" s="100"/>
      <c r="J868" s="100"/>
      <c r="K868" s="61"/>
      <c r="L868" s="61"/>
      <c r="M868" s="61"/>
      <c r="N868" s="107"/>
    </row>
    <row r="869">
      <c r="A869" s="65"/>
      <c r="B869" s="65"/>
      <c r="C869" s="65"/>
      <c r="D869" s="65"/>
      <c r="E869" s="65"/>
      <c r="F869" s="65"/>
      <c r="G869" s="65"/>
      <c r="H869" s="65"/>
      <c r="I869" s="103"/>
      <c r="J869" s="103"/>
      <c r="K869" s="65"/>
      <c r="L869" s="65"/>
      <c r="M869" s="65"/>
      <c r="N869" s="108"/>
    </row>
    <row r="870">
      <c r="A870" s="61"/>
      <c r="B870" s="61"/>
      <c r="C870" s="61"/>
      <c r="D870" s="61"/>
      <c r="E870" s="61"/>
      <c r="F870" s="61"/>
      <c r="G870" s="61"/>
      <c r="H870" s="61"/>
      <c r="I870" s="100"/>
      <c r="J870" s="100"/>
      <c r="K870" s="61"/>
      <c r="L870" s="61"/>
      <c r="M870" s="61"/>
      <c r="N870" s="107"/>
    </row>
    <row r="871">
      <c r="A871" s="65"/>
      <c r="B871" s="65"/>
      <c r="C871" s="65"/>
      <c r="D871" s="65"/>
      <c r="E871" s="65"/>
      <c r="F871" s="65"/>
      <c r="G871" s="65"/>
      <c r="H871" s="65"/>
      <c r="I871" s="103"/>
      <c r="J871" s="103"/>
      <c r="K871" s="65"/>
      <c r="L871" s="65"/>
      <c r="M871" s="65"/>
      <c r="N871" s="108"/>
    </row>
    <row r="872">
      <c r="A872" s="61"/>
      <c r="B872" s="61"/>
      <c r="C872" s="61"/>
      <c r="D872" s="61"/>
      <c r="E872" s="61"/>
      <c r="F872" s="61"/>
      <c r="G872" s="61"/>
      <c r="H872" s="61"/>
      <c r="I872" s="100"/>
      <c r="J872" s="100"/>
      <c r="K872" s="61"/>
      <c r="L872" s="61"/>
      <c r="M872" s="61"/>
      <c r="N872" s="107"/>
    </row>
    <row r="873">
      <c r="A873" s="65"/>
      <c r="B873" s="65"/>
      <c r="C873" s="65"/>
      <c r="D873" s="65"/>
      <c r="E873" s="65"/>
      <c r="F873" s="65"/>
      <c r="G873" s="65"/>
      <c r="H873" s="65"/>
      <c r="I873" s="103"/>
      <c r="J873" s="103"/>
      <c r="K873" s="65"/>
      <c r="L873" s="65"/>
      <c r="M873" s="65"/>
      <c r="N873" s="108"/>
    </row>
    <row r="874">
      <c r="A874" s="61"/>
      <c r="B874" s="61"/>
      <c r="C874" s="61"/>
      <c r="D874" s="61"/>
      <c r="E874" s="61"/>
      <c r="F874" s="61"/>
      <c r="G874" s="61"/>
      <c r="H874" s="61"/>
      <c r="I874" s="100"/>
      <c r="J874" s="100"/>
      <c r="K874" s="61"/>
      <c r="L874" s="61"/>
      <c r="M874" s="61"/>
      <c r="N874" s="107"/>
    </row>
    <row r="875">
      <c r="A875" s="65"/>
      <c r="B875" s="65"/>
      <c r="C875" s="65"/>
      <c r="D875" s="65"/>
      <c r="E875" s="65"/>
      <c r="F875" s="65"/>
      <c r="G875" s="65"/>
      <c r="H875" s="65"/>
      <c r="I875" s="103"/>
      <c r="J875" s="103"/>
      <c r="K875" s="65"/>
      <c r="L875" s="65"/>
      <c r="M875" s="65"/>
      <c r="N875" s="108"/>
    </row>
    <row r="876">
      <c r="A876" s="61"/>
      <c r="B876" s="61"/>
      <c r="C876" s="61"/>
      <c r="D876" s="61"/>
      <c r="E876" s="61"/>
      <c r="F876" s="61"/>
      <c r="G876" s="61"/>
      <c r="H876" s="61"/>
      <c r="I876" s="100"/>
      <c r="J876" s="100"/>
      <c r="K876" s="61"/>
      <c r="L876" s="61"/>
      <c r="M876" s="61"/>
      <c r="N876" s="107"/>
    </row>
    <row r="877">
      <c r="A877" s="65"/>
      <c r="B877" s="65"/>
      <c r="C877" s="65"/>
      <c r="D877" s="65"/>
      <c r="E877" s="65"/>
      <c r="F877" s="65"/>
      <c r="G877" s="65"/>
      <c r="H877" s="65"/>
      <c r="I877" s="103"/>
      <c r="J877" s="103"/>
      <c r="K877" s="65"/>
      <c r="L877" s="65"/>
      <c r="M877" s="65"/>
      <c r="N877" s="108"/>
    </row>
    <row r="878">
      <c r="A878" s="61"/>
      <c r="B878" s="61"/>
      <c r="C878" s="61"/>
      <c r="D878" s="61"/>
      <c r="E878" s="61"/>
      <c r="F878" s="61"/>
      <c r="G878" s="61"/>
      <c r="H878" s="61"/>
      <c r="I878" s="100"/>
      <c r="J878" s="100"/>
      <c r="K878" s="61"/>
      <c r="L878" s="61"/>
      <c r="M878" s="61"/>
      <c r="N878" s="107"/>
    </row>
    <row r="879">
      <c r="A879" s="65"/>
      <c r="B879" s="65"/>
      <c r="C879" s="65"/>
      <c r="D879" s="65"/>
      <c r="E879" s="65"/>
      <c r="F879" s="65"/>
      <c r="G879" s="65"/>
      <c r="H879" s="65"/>
      <c r="I879" s="103"/>
      <c r="J879" s="103"/>
      <c r="K879" s="65"/>
      <c r="L879" s="65"/>
      <c r="M879" s="65"/>
      <c r="N879" s="108"/>
    </row>
    <row r="880">
      <c r="A880" s="61"/>
      <c r="B880" s="61"/>
      <c r="C880" s="61"/>
      <c r="D880" s="61"/>
      <c r="E880" s="61"/>
      <c r="F880" s="61"/>
      <c r="G880" s="61"/>
      <c r="H880" s="61"/>
      <c r="I880" s="100"/>
      <c r="J880" s="100"/>
      <c r="K880" s="61"/>
      <c r="L880" s="61"/>
      <c r="M880" s="61"/>
      <c r="N880" s="107"/>
    </row>
    <row r="881">
      <c r="A881" s="65"/>
      <c r="B881" s="65"/>
      <c r="C881" s="65"/>
      <c r="D881" s="65"/>
      <c r="E881" s="65"/>
      <c r="F881" s="65"/>
      <c r="G881" s="65"/>
      <c r="H881" s="65"/>
      <c r="I881" s="103"/>
      <c r="J881" s="103"/>
      <c r="K881" s="65"/>
      <c r="L881" s="65"/>
      <c r="M881" s="65"/>
      <c r="N881" s="108"/>
    </row>
    <row r="882">
      <c r="A882" s="61"/>
      <c r="B882" s="61"/>
      <c r="C882" s="61"/>
      <c r="D882" s="61"/>
      <c r="E882" s="61"/>
      <c r="F882" s="61"/>
      <c r="G882" s="61"/>
      <c r="H882" s="61"/>
      <c r="I882" s="100"/>
      <c r="J882" s="100"/>
      <c r="K882" s="61"/>
      <c r="L882" s="61"/>
      <c r="M882" s="61"/>
      <c r="N882" s="107"/>
    </row>
    <row r="883">
      <c r="A883" s="65"/>
      <c r="B883" s="65"/>
      <c r="C883" s="65"/>
      <c r="D883" s="65"/>
      <c r="E883" s="65"/>
      <c r="F883" s="65"/>
      <c r="G883" s="65"/>
      <c r="H883" s="65"/>
      <c r="I883" s="103"/>
      <c r="J883" s="103"/>
      <c r="K883" s="65"/>
      <c r="L883" s="65"/>
      <c r="M883" s="65"/>
      <c r="N883" s="108"/>
    </row>
    <row r="884">
      <c r="A884" s="61"/>
      <c r="B884" s="61"/>
      <c r="C884" s="61"/>
      <c r="D884" s="61"/>
      <c r="E884" s="61"/>
      <c r="F884" s="61"/>
      <c r="G884" s="61"/>
      <c r="H884" s="61"/>
      <c r="I884" s="100"/>
      <c r="J884" s="100"/>
      <c r="K884" s="61"/>
      <c r="L884" s="61"/>
      <c r="M884" s="61"/>
      <c r="N884" s="107"/>
    </row>
    <row r="885">
      <c r="A885" s="65"/>
      <c r="B885" s="65"/>
      <c r="C885" s="65"/>
      <c r="D885" s="65"/>
      <c r="E885" s="65"/>
      <c r="F885" s="65"/>
      <c r="G885" s="65"/>
      <c r="H885" s="65"/>
      <c r="I885" s="103"/>
      <c r="J885" s="103"/>
      <c r="K885" s="65"/>
      <c r="L885" s="65"/>
      <c r="M885" s="65"/>
      <c r="N885" s="108"/>
    </row>
    <row r="886">
      <c r="A886" s="61"/>
      <c r="B886" s="61"/>
      <c r="C886" s="61"/>
      <c r="D886" s="61"/>
      <c r="E886" s="61"/>
      <c r="F886" s="61"/>
      <c r="G886" s="61"/>
      <c r="H886" s="61"/>
      <c r="I886" s="100"/>
      <c r="J886" s="100"/>
      <c r="K886" s="61"/>
      <c r="L886" s="61"/>
      <c r="M886" s="61"/>
      <c r="N886" s="107"/>
    </row>
    <row r="887">
      <c r="A887" s="65"/>
      <c r="B887" s="65"/>
      <c r="C887" s="65"/>
      <c r="D887" s="65"/>
      <c r="E887" s="65"/>
      <c r="F887" s="65"/>
      <c r="G887" s="65"/>
      <c r="H887" s="65"/>
      <c r="I887" s="103"/>
      <c r="J887" s="103"/>
      <c r="K887" s="65"/>
      <c r="L887" s="65"/>
      <c r="M887" s="65"/>
      <c r="N887" s="108"/>
    </row>
    <row r="888">
      <c r="A888" s="61"/>
      <c r="B888" s="61"/>
      <c r="C888" s="61"/>
      <c r="D888" s="61"/>
      <c r="E888" s="61"/>
      <c r="F888" s="61"/>
      <c r="G888" s="61"/>
      <c r="H888" s="61"/>
      <c r="I888" s="100"/>
      <c r="J888" s="100"/>
      <c r="K888" s="61"/>
      <c r="L888" s="61"/>
      <c r="M888" s="61"/>
      <c r="N888" s="107"/>
    </row>
    <row r="889">
      <c r="A889" s="65"/>
      <c r="B889" s="65"/>
      <c r="C889" s="65"/>
      <c r="D889" s="65"/>
      <c r="E889" s="65"/>
      <c r="F889" s="65"/>
      <c r="G889" s="65"/>
      <c r="H889" s="65"/>
      <c r="I889" s="103"/>
      <c r="J889" s="103"/>
      <c r="K889" s="65"/>
      <c r="L889" s="65"/>
      <c r="M889" s="65"/>
      <c r="N889" s="108"/>
    </row>
    <row r="890">
      <c r="A890" s="61"/>
      <c r="B890" s="61"/>
      <c r="C890" s="61"/>
      <c r="D890" s="61"/>
      <c r="E890" s="61"/>
      <c r="F890" s="61"/>
      <c r="G890" s="61"/>
      <c r="H890" s="61"/>
      <c r="I890" s="100"/>
      <c r="J890" s="100"/>
      <c r="K890" s="61"/>
      <c r="L890" s="61"/>
      <c r="M890" s="61"/>
      <c r="N890" s="107"/>
    </row>
    <row r="891">
      <c r="A891" s="65"/>
      <c r="B891" s="65"/>
      <c r="C891" s="65"/>
      <c r="D891" s="65"/>
      <c r="E891" s="65"/>
      <c r="F891" s="65"/>
      <c r="G891" s="65"/>
      <c r="H891" s="65"/>
      <c r="I891" s="103"/>
      <c r="J891" s="103"/>
      <c r="K891" s="65"/>
      <c r="L891" s="65"/>
      <c r="M891" s="65"/>
      <c r="N891" s="108"/>
    </row>
    <row r="892">
      <c r="A892" s="61"/>
      <c r="B892" s="61"/>
      <c r="C892" s="61"/>
      <c r="D892" s="61"/>
      <c r="E892" s="61"/>
      <c r="F892" s="61"/>
      <c r="G892" s="61"/>
      <c r="H892" s="61"/>
      <c r="I892" s="100"/>
      <c r="J892" s="100"/>
      <c r="K892" s="61"/>
      <c r="L892" s="61"/>
      <c r="M892" s="61"/>
      <c r="N892" s="107"/>
    </row>
    <row r="893">
      <c r="A893" s="65"/>
      <c r="B893" s="65"/>
      <c r="C893" s="65"/>
      <c r="D893" s="65"/>
      <c r="E893" s="65"/>
      <c r="F893" s="65"/>
      <c r="G893" s="65"/>
      <c r="H893" s="65"/>
      <c r="I893" s="103"/>
      <c r="J893" s="103"/>
      <c r="K893" s="65"/>
      <c r="L893" s="65"/>
      <c r="M893" s="65"/>
      <c r="N893" s="108"/>
    </row>
    <row r="894">
      <c r="A894" s="61"/>
      <c r="B894" s="61"/>
      <c r="C894" s="61"/>
      <c r="D894" s="61"/>
      <c r="E894" s="61"/>
      <c r="F894" s="61"/>
      <c r="G894" s="61"/>
      <c r="H894" s="61"/>
      <c r="I894" s="100"/>
      <c r="J894" s="100"/>
      <c r="K894" s="61"/>
      <c r="L894" s="61"/>
      <c r="M894" s="61"/>
      <c r="N894" s="107"/>
    </row>
    <row r="895">
      <c r="A895" s="65"/>
      <c r="B895" s="65"/>
      <c r="C895" s="65"/>
      <c r="D895" s="65"/>
      <c r="E895" s="65"/>
      <c r="F895" s="65"/>
      <c r="G895" s="65"/>
      <c r="H895" s="65"/>
      <c r="I895" s="103"/>
      <c r="J895" s="103"/>
      <c r="K895" s="65"/>
      <c r="L895" s="65"/>
      <c r="M895" s="65"/>
      <c r="N895" s="108"/>
    </row>
    <row r="896">
      <c r="A896" s="61"/>
      <c r="B896" s="61"/>
      <c r="C896" s="61"/>
      <c r="D896" s="61"/>
      <c r="E896" s="61"/>
      <c r="F896" s="61"/>
      <c r="G896" s="61"/>
      <c r="H896" s="61"/>
      <c r="I896" s="100"/>
      <c r="J896" s="100"/>
      <c r="K896" s="61"/>
      <c r="L896" s="61"/>
      <c r="M896" s="61"/>
      <c r="N896" s="107"/>
    </row>
    <row r="897">
      <c r="A897" s="65"/>
      <c r="B897" s="65"/>
      <c r="C897" s="65"/>
      <c r="D897" s="65"/>
      <c r="E897" s="65"/>
      <c r="F897" s="65"/>
      <c r="G897" s="65"/>
      <c r="H897" s="65"/>
      <c r="I897" s="103"/>
      <c r="J897" s="103"/>
      <c r="K897" s="65"/>
      <c r="L897" s="65"/>
      <c r="M897" s="65"/>
      <c r="N897" s="108"/>
    </row>
    <row r="898">
      <c r="A898" s="61"/>
      <c r="B898" s="61"/>
      <c r="C898" s="61"/>
      <c r="D898" s="61"/>
      <c r="E898" s="61"/>
      <c r="F898" s="61"/>
      <c r="G898" s="61"/>
      <c r="H898" s="61"/>
      <c r="I898" s="100"/>
      <c r="J898" s="100"/>
      <c r="K898" s="61"/>
      <c r="L898" s="61"/>
      <c r="M898" s="61"/>
      <c r="N898" s="107"/>
    </row>
    <row r="899">
      <c r="A899" s="65"/>
      <c r="B899" s="65"/>
      <c r="C899" s="65"/>
      <c r="D899" s="65"/>
      <c r="E899" s="65"/>
      <c r="F899" s="65"/>
      <c r="G899" s="65"/>
      <c r="H899" s="65"/>
      <c r="I899" s="103"/>
      <c r="J899" s="103"/>
      <c r="K899" s="65"/>
      <c r="L899" s="65"/>
      <c r="M899" s="65"/>
      <c r="N899" s="108"/>
    </row>
    <row r="900">
      <c r="A900" s="61"/>
      <c r="B900" s="61"/>
      <c r="C900" s="61"/>
      <c r="D900" s="61"/>
      <c r="E900" s="61"/>
      <c r="F900" s="61"/>
      <c r="G900" s="61"/>
      <c r="H900" s="61"/>
      <c r="I900" s="100"/>
      <c r="J900" s="100"/>
      <c r="K900" s="61"/>
      <c r="L900" s="61"/>
      <c r="M900" s="61"/>
      <c r="N900" s="107"/>
    </row>
    <row r="901">
      <c r="A901" s="65"/>
      <c r="B901" s="65"/>
      <c r="C901" s="65"/>
      <c r="D901" s="65"/>
      <c r="E901" s="65"/>
      <c r="F901" s="65"/>
      <c r="G901" s="65"/>
      <c r="H901" s="65"/>
      <c r="I901" s="103"/>
      <c r="J901" s="103"/>
      <c r="K901" s="65"/>
      <c r="L901" s="65"/>
      <c r="M901" s="65"/>
      <c r="N901" s="108"/>
    </row>
    <row r="902">
      <c r="A902" s="61"/>
      <c r="B902" s="61"/>
      <c r="C902" s="61"/>
      <c r="D902" s="61"/>
      <c r="E902" s="61"/>
      <c r="F902" s="61"/>
      <c r="G902" s="61"/>
      <c r="H902" s="61"/>
      <c r="I902" s="100"/>
      <c r="J902" s="100"/>
      <c r="K902" s="61"/>
      <c r="L902" s="61"/>
      <c r="M902" s="61"/>
      <c r="N902" s="107"/>
    </row>
    <row r="903">
      <c r="A903" s="65"/>
      <c r="B903" s="65"/>
      <c r="C903" s="65"/>
      <c r="D903" s="65"/>
      <c r="E903" s="65"/>
      <c r="F903" s="65"/>
      <c r="G903" s="65"/>
      <c r="H903" s="65"/>
      <c r="I903" s="103"/>
      <c r="J903" s="103"/>
      <c r="K903" s="65"/>
      <c r="L903" s="65"/>
      <c r="M903" s="65"/>
      <c r="N903" s="108"/>
    </row>
    <row r="904">
      <c r="A904" s="61"/>
      <c r="B904" s="61"/>
      <c r="C904" s="61"/>
      <c r="D904" s="61"/>
      <c r="E904" s="61"/>
      <c r="F904" s="61"/>
      <c r="G904" s="61"/>
      <c r="H904" s="61"/>
      <c r="I904" s="100"/>
      <c r="J904" s="100"/>
      <c r="K904" s="61"/>
      <c r="L904" s="61"/>
      <c r="M904" s="61"/>
      <c r="N904" s="107"/>
    </row>
    <row r="905">
      <c r="A905" s="65"/>
      <c r="B905" s="65"/>
      <c r="C905" s="65"/>
      <c r="D905" s="65"/>
      <c r="E905" s="65"/>
      <c r="F905" s="65"/>
      <c r="G905" s="65"/>
      <c r="H905" s="65"/>
      <c r="I905" s="103"/>
      <c r="J905" s="103"/>
      <c r="K905" s="65"/>
      <c r="L905" s="65"/>
      <c r="M905" s="65"/>
      <c r="N905" s="108"/>
    </row>
    <row r="906">
      <c r="A906" s="61"/>
      <c r="B906" s="61"/>
      <c r="C906" s="61"/>
      <c r="D906" s="61"/>
      <c r="E906" s="61"/>
      <c r="F906" s="61"/>
      <c r="G906" s="61"/>
      <c r="H906" s="61"/>
      <c r="I906" s="100"/>
      <c r="J906" s="100"/>
      <c r="K906" s="61"/>
      <c r="L906" s="61"/>
      <c r="M906" s="61"/>
      <c r="N906" s="107"/>
    </row>
    <row r="907">
      <c r="A907" s="65"/>
      <c r="B907" s="65"/>
      <c r="C907" s="65"/>
      <c r="D907" s="65"/>
      <c r="E907" s="65"/>
      <c r="F907" s="65"/>
      <c r="G907" s="65"/>
      <c r="H907" s="65"/>
      <c r="I907" s="103"/>
      <c r="J907" s="103"/>
      <c r="K907" s="65"/>
      <c r="L907" s="65"/>
      <c r="M907" s="65"/>
      <c r="N907" s="108"/>
    </row>
    <row r="908">
      <c r="A908" s="61"/>
      <c r="B908" s="61"/>
      <c r="C908" s="61"/>
      <c r="D908" s="61"/>
      <c r="E908" s="61"/>
      <c r="F908" s="61"/>
      <c r="G908" s="61"/>
      <c r="H908" s="61"/>
      <c r="I908" s="100"/>
      <c r="J908" s="100"/>
      <c r="K908" s="61"/>
      <c r="L908" s="61"/>
      <c r="M908" s="61"/>
      <c r="N908" s="107"/>
    </row>
    <row r="909">
      <c r="A909" s="65"/>
      <c r="B909" s="65"/>
      <c r="C909" s="65"/>
      <c r="D909" s="65"/>
      <c r="E909" s="65"/>
      <c r="F909" s="65"/>
      <c r="G909" s="65"/>
      <c r="H909" s="65"/>
      <c r="I909" s="103"/>
      <c r="J909" s="103"/>
      <c r="K909" s="65"/>
      <c r="L909" s="65"/>
      <c r="M909" s="65"/>
      <c r="N909" s="108"/>
    </row>
    <row r="910">
      <c r="A910" s="61"/>
      <c r="B910" s="61"/>
      <c r="C910" s="61"/>
      <c r="D910" s="61"/>
      <c r="E910" s="61"/>
      <c r="F910" s="61"/>
      <c r="G910" s="61"/>
      <c r="H910" s="61"/>
      <c r="I910" s="100"/>
      <c r="J910" s="100"/>
      <c r="K910" s="61"/>
      <c r="L910" s="61"/>
      <c r="M910" s="61"/>
      <c r="N910" s="107"/>
    </row>
    <row r="911">
      <c r="A911" s="65"/>
      <c r="B911" s="65"/>
      <c r="C911" s="65"/>
      <c r="D911" s="65"/>
      <c r="E911" s="65"/>
      <c r="F911" s="65"/>
      <c r="G911" s="65"/>
      <c r="H911" s="65"/>
      <c r="I911" s="103"/>
      <c r="J911" s="103"/>
      <c r="K911" s="65"/>
      <c r="L911" s="65"/>
      <c r="M911" s="65"/>
      <c r="N911" s="108"/>
    </row>
    <row r="912">
      <c r="A912" s="61"/>
      <c r="B912" s="61"/>
      <c r="C912" s="61"/>
      <c r="D912" s="61"/>
      <c r="E912" s="61"/>
      <c r="F912" s="61"/>
      <c r="G912" s="61"/>
      <c r="H912" s="61"/>
      <c r="I912" s="100"/>
      <c r="J912" s="100"/>
      <c r="K912" s="61"/>
      <c r="L912" s="61"/>
      <c r="M912" s="61"/>
      <c r="N912" s="107"/>
    </row>
    <row r="913">
      <c r="A913" s="65"/>
      <c r="B913" s="65"/>
      <c r="C913" s="65"/>
      <c r="D913" s="65"/>
      <c r="E913" s="65"/>
      <c r="F913" s="65"/>
      <c r="G913" s="65"/>
      <c r="H913" s="65"/>
      <c r="I913" s="103"/>
      <c r="J913" s="103"/>
      <c r="K913" s="65"/>
      <c r="L913" s="65"/>
      <c r="M913" s="65"/>
      <c r="N913" s="108"/>
    </row>
    <row r="914">
      <c r="A914" s="61"/>
      <c r="B914" s="61"/>
      <c r="C914" s="61"/>
      <c r="D914" s="61"/>
      <c r="E914" s="61"/>
      <c r="F914" s="61"/>
      <c r="G914" s="61"/>
      <c r="H914" s="61"/>
      <c r="I914" s="100"/>
      <c r="J914" s="100"/>
      <c r="K914" s="61"/>
      <c r="L914" s="61"/>
      <c r="M914" s="61"/>
      <c r="N914" s="107"/>
    </row>
    <row r="915">
      <c r="A915" s="65"/>
      <c r="B915" s="65"/>
      <c r="C915" s="65"/>
      <c r="D915" s="65"/>
      <c r="E915" s="65"/>
      <c r="F915" s="65"/>
      <c r="G915" s="65"/>
      <c r="H915" s="65"/>
      <c r="I915" s="103"/>
      <c r="J915" s="103"/>
      <c r="K915" s="65"/>
      <c r="L915" s="65"/>
      <c r="M915" s="65"/>
      <c r="N915" s="108"/>
    </row>
    <row r="916">
      <c r="A916" s="61"/>
      <c r="B916" s="61"/>
      <c r="C916" s="61"/>
      <c r="D916" s="61"/>
      <c r="E916" s="61"/>
      <c r="F916" s="61"/>
      <c r="G916" s="61"/>
      <c r="H916" s="61"/>
      <c r="I916" s="100"/>
      <c r="J916" s="100"/>
      <c r="K916" s="61"/>
      <c r="L916" s="61"/>
      <c r="M916" s="61"/>
      <c r="N916" s="107"/>
    </row>
    <row r="917">
      <c r="A917" s="65"/>
      <c r="B917" s="65"/>
      <c r="C917" s="65"/>
      <c r="D917" s="65"/>
      <c r="E917" s="65"/>
      <c r="F917" s="65"/>
      <c r="G917" s="65"/>
      <c r="H917" s="65"/>
      <c r="I917" s="103"/>
      <c r="J917" s="103"/>
      <c r="K917" s="65"/>
      <c r="L917" s="65"/>
      <c r="M917" s="65"/>
      <c r="N917" s="108"/>
    </row>
    <row r="918">
      <c r="A918" s="61"/>
      <c r="B918" s="61"/>
      <c r="C918" s="61"/>
      <c r="D918" s="61"/>
      <c r="E918" s="61"/>
      <c r="F918" s="61"/>
      <c r="G918" s="61"/>
      <c r="H918" s="61"/>
      <c r="I918" s="100"/>
      <c r="J918" s="100"/>
      <c r="K918" s="61"/>
      <c r="L918" s="61"/>
      <c r="M918" s="61"/>
      <c r="N918" s="107"/>
    </row>
    <row r="919">
      <c r="A919" s="65"/>
      <c r="B919" s="65"/>
      <c r="C919" s="65"/>
      <c r="D919" s="65"/>
      <c r="E919" s="65"/>
      <c r="F919" s="65"/>
      <c r="G919" s="65"/>
      <c r="H919" s="65"/>
      <c r="I919" s="103"/>
      <c r="J919" s="103"/>
      <c r="K919" s="65"/>
      <c r="L919" s="65"/>
      <c r="M919" s="65"/>
      <c r="N919" s="108"/>
    </row>
    <row r="920">
      <c r="A920" s="61"/>
      <c r="B920" s="61"/>
      <c r="C920" s="61"/>
      <c r="D920" s="61"/>
      <c r="E920" s="61"/>
      <c r="F920" s="61"/>
      <c r="G920" s="61"/>
      <c r="H920" s="61"/>
      <c r="I920" s="100"/>
      <c r="J920" s="100"/>
      <c r="K920" s="61"/>
      <c r="L920" s="61"/>
      <c r="M920" s="61"/>
      <c r="N920" s="107"/>
    </row>
    <row r="921">
      <c r="A921" s="65"/>
      <c r="B921" s="65"/>
      <c r="C921" s="65"/>
      <c r="D921" s="65"/>
      <c r="E921" s="65"/>
      <c r="F921" s="65"/>
      <c r="G921" s="65"/>
      <c r="H921" s="65"/>
      <c r="I921" s="103"/>
      <c r="J921" s="103"/>
      <c r="K921" s="65"/>
      <c r="L921" s="65"/>
      <c r="M921" s="65"/>
      <c r="N921" s="108"/>
    </row>
    <row r="922">
      <c r="A922" s="61"/>
      <c r="B922" s="61"/>
      <c r="C922" s="61"/>
      <c r="D922" s="61"/>
      <c r="E922" s="61"/>
      <c r="F922" s="61"/>
      <c r="G922" s="61"/>
      <c r="H922" s="61"/>
      <c r="I922" s="100"/>
      <c r="J922" s="100"/>
      <c r="K922" s="61"/>
      <c r="L922" s="61"/>
      <c r="M922" s="61"/>
      <c r="N922" s="107"/>
    </row>
    <row r="923">
      <c r="A923" s="65"/>
      <c r="B923" s="65"/>
      <c r="C923" s="65"/>
      <c r="D923" s="65"/>
      <c r="E923" s="65"/>
      <c r="F923" s="65"/>
      <c r="G923" s="65"/>
      <c r="H923" s="65"/>
      <c r="I923" s="103"/>
      <c r="J923" s="103"/>
      <c r="K923" s="65"/>
      <c r="L923" s="65"/>
      <c r="M923" s="65"/>
      <c r="N923" s="108"/>
    </row>
    <row r="924">
      <c r="A924" s="61"/>
      <c r="B924" s="61"/>
      <c r="C924" s="61"/>
      <c r="D924" s="61"/>
      <c r="E924" s="61"/>
      <c r="F924" s="61"/>
      <c r="G924" s="61"/>
      <c r="H924" s="61"/>
      <c r="I924" s="100"/>
      <c r="J924" s="100"/>
      <c r="K924" s="61"/>
      <c r="L924" s="61"/>
      <c r="M924" s="61"/>
      <c r="N924" s="107"/>
    </row>
    <row r="925">
      <c r="A925" s="65"/>
      <c r="B925" s="65"/>
      <c r="C925" s="65"/>
      <c r="D925" s="65"/>
      <c r="E925" s="65"/>
      <c r="F925" s="65"/>
      <c r="G925" s="65"/>
      <c r="H925" s="65"/>
      <c r="I925" s="103"/>
      <c r="J925" s="103"/>
      <c r="K925" s="65"/>
      <c r="L925" s="65"/>
      <c r="M925" s="65"/>
      <c r="N925" s="108"/>
    </row>
    <row r="926">
      <c r="A926" s="61"/>
      <c r="B926" s="61"/>
      <c r="C926" s="61"/>
      <c r="D926" s="61"/>
      <c r="E926" s="61"/>
      <c r="F926" s="61"/>
      <c r="G926" s="61"/>
      <c r="H926" s="61"/>
      <c r="I926" s="100"/>
      <c r="J926" s="100"/>
      <c r="K926" s="61"/>
      <c r="L926" s="61"/>
      <c r="M926" s="61"/>
      <c r="N926" s="107"/>
    </row>
    <row r="927">
      <c r="A927" s="65"/>
      <c r="B927" s="65"/>
      <c r="C927" s="65"/>
      <c r="D927" s="65"/>
      <c r="E927" s="65"/>
      <c r="F927" s="65"/>
      <c r="G927" s="65"/>
      <c r="H927" s="65"/>
      <c r="I927" s="103"/>
      <c r="J927" s="103"/>
      <c r="K927" s="65"/>
      <c r="L927" s="65"/>
      <c r="M927" s="65"/>
      <c r="N927" s="108"/>
    </row>
    <row r="928">
      <c r="A928" s="61"/>
      <c r="B928" s="61"/>
      <c r="C928" s="61"/>
      <c r="D928" s="61"/>
      <c r="E928" s="61"/>
      <c r="F928" s="61"/>
      <c r="G928" s="61"/>
      <c r="H928" s="61"/>
      <c r="I928" s="100"/>
      <c r="J928" s="100"/>
      <c r="K928" s="61"/>
      <c r="L928" s="61"/>
      <c r="M928" s="61"/>
      <c r="N928" s="107"/>
    </row>
    <row r="929">
      <c r="A929" s="65"/>
      <c r="B929" s="65"/>
      <c r="C929" s="65"/>
      <c r="D929" s="65"/>
      <c r="E929" s="65"/>
      <c r="F929" s="65"/>
      <c r="G929" s="65"/>
      <c r="H929" s="65"/>
      <c r="I929" s="103"/>
      <c r="J929" s="103"/>
      <c r="K929" s="65"/>
      <c r="L929" s="65"/>
      <c r="M929" s="65"/>
      <c r="N929" s="108"/>
    </row>
    <row r="930">
      <c r="A930" s="61"/>
      <c r="B930" s="61"/>
      <c r="C930" s="61"/>
      <c r="D930" s="61"/>
      <c r="E930" s="61"/>
      <c r="F930" s="61"/>
      <c r="G930" s="61"/>
      <c r="H930" s="61"/>
      <c r="I930" s="100"/>
      <c r="J930" s="100"/>
      <c r="K930" s="61"/>
      <c r="L930" s="61"/>
      <c r="M930" s="61"/>
      <c r="N930" s="107"/>
    </row>
    <row r="931">
      <c r="A931" s="65"/>
      <c r="B931" s="65"/>
      <c r="C931" s="65"/>
      <c r="D931" s="65"/>
      <c r="E931" s="65"/>
      <c r="F931" s="65"/>
      <c r="G931" s="65"/>
      <c r="H931" s="65"/>
      <c r="I931" s="103"/>
      <c r="J931" s="103"/>
      <c r="K931" s="65"/>
      <c r="L931" s="65"/>
      <c r="M931" s="65"/>
      <c r="N931" s="108"/>
    </row>
    <row r="932">
      <c r="A932" s="61"/>
      <c r="B932" s="61"/>
      <c r="C932" s="61"/>
      <c r="D932" s="61"/>
      <c r="E932" s="61"/>
      <c r="F932" s="61"/>
      <c r="G932" s="61"/>
      <c r="H932" s="61"/>
      <c r="I932" s="100"/>
      <c r="J932" s="100"/>
      <c r="K932" s="61"/>
      <c r="L932" s="61"/>
      <c r="M932" s="61"/>
      <c r="N932" s="107"/>
    </row>
    <row r="933">
      <c r="A933" s="65"/>
      <c r="B933" s="65"/>
      <c r="C933" s="65"/>
      <c r="D933" s="65"/>
      <c r="E933" s="65"/>
      <c r="F933" s="65"/>
      <c r="G933" s="65"/>
      <c r="H933" s="65"/>
      <c r="I933" s="103"/>
      <c r="J933" s="103"/>
      <c r="K933" s="65"/>
      <c r="L933" s="65"/>
      <c r="M933" s="65"/>
      <c r="N933" s="108"/>
    </row>
    <row r="934">
      <c r="A934" s="61"/>
      <c r="B934" s="61"/>
      <c r="C934" s="61"/>
      <c r="D934" s="61"/>
      <c r="E934" s="61"/>
      <c r="F934" s="61"/>
      <c r="G934" s="61"/>
      <c r="H934" s="61"/>
      <c r="I934" s="100"/>
      <c r="J934" s="100"/>
      <c r="K934" s="61"/>
      <c r="L934" s="61"/>
      <c r="M934" s="61"/>
      <c r="N934" s="107"/>
    </row>
    <row r="935">
      <c r="A935" s="65"/>
      <c r="B935" s="65"/>
      <c r="C935" s="65"/>
      <c r="D935" s="65"/>
      <c r="E935" s="65"/>
      <c r="F935" s="65"/>
      <c r="G935" s="65"/>
      <c r="H935" s="65"/>
      <c r="I935" s="103"/>
      <c r="J935" s="103"/>
      <c r="K935" s="65"/>
      <c r="L935" s="65"/>
      <c r="M935" s="65"/>
      <c r="N935" s="108"/>
    </row>
    <row r="936">
      <c r="A936" s="61"/>
      <c r="B936" s="61"/>
      <c r="C936" s="61"/>
      <c r="D936" s="61"/>
      <c r="E936" s="61"/>
      <c r="F936" s="61"/>
      <c r="G936" s="61"/>
      <c r="H936" s="61"/>
      <c r="I936" s="100"/>
      <c r="J936" s="100"/>
      <c r="K936" s="61"/>
      <c r="L936" s="61"/>
      <c r="M936" s="61"/>
      <c r="N936" s="107"/>
    </row>
    <row r="937">
      <c r="A937" s="65"/>
      <c r="B937" s="65"/>
      <c r="C937" s="65"/>
      <c r="D937" s="65"/>
      <c r="E937" s="65"/>
      <c r="F937" s="65"/>
      <c r="G937" s="65"/>
      <c r="H937" s="65"/>
      <c r="I937" s="103"/>
      <c r="J937" s="103"/>
      <c r="K937" s="65"/>
      <c r="L937" s="65"/>
      <c r="M937" s="65"/>
      <c r="N937" s="108"/>
    </row>
    <row r="938">
      <c r="A938" s="61"/>
      <c r="B938" s="61"/>
      <c r="C938" s="61"/>
      <c r="D938" s="61"/>
      <c r="E938" s="61"/>
      <c r="F938" s="61"/>
      <c r="G938" s="61"/>
      <c r="H938" s="61"/>
      <c r="I938" s="100"/>
      <c r="J938" s="100"/>
      <c r="K938" s="61"/>
      <c r="L938" s="61"/>
      <c r="M938" s="61"/>
      <c r="N938" s="107"/>
    </row>
    <row r="939">
      <c r="A939" s="65"/>
      <c r="B939" s="65"/>
      <c r="C939" s="65"/>
      <c r="D939" s="65"/>
      <c r="E939" s="65"/>
      <c r="F939" s="65"/>
      <c r="G939" s="65"/>
      <c r="H939" s="65"/>
      <c r="I939" s="103"/>
      <c r="J939" s="103"/>
      <c r="K939" s="65"/>
      <c r="L939" s="65"/>
      <c r="M939" s="65"/>
      <c r="N939" s="108"/>
    </row>
    <row r="940">
      <c r="A940" s="61"/>
      <c r="B940" s="61"/>
      <c r="C940" s="61"/>
      <c r="D940" s="61"/>
      <c r="E940" s="61"/>
      <c r="F940" s="61"/>
      <c r="G940" s="61"/>
      <c r="H940" s="61"/>
      <c r="I940" s="100"/>
      <c r="J940" s="100"/>
      <c r="K940" s="61"/>
      <c r="L940" s="61"/>
      <c r="M940" s="61"/>
      <c r="N940" s="107"/>
    </row>
    <row r="941">
      <c r="A941" s="65"/>
      <c r="B941" s="65"/>
      <c r="C941" s="65"/>
      <c r="D941" s="65"/>
      <c r="E941" s="65"/>
      <c r="F941" s="65"/>
      <c r="G941" s="65"/>
      <c r="H941" s="65"/>
      <c r="I941" s="103"/>
      <c r="J941" s="103"/>
      <c r="K941" s="65"/>
      <c r="L941" s="65"/>
      <c r="M941" s="65"/>
      <c r="N941" s="108"/>
    </row>
    <row r="942">
      <c r="A942" s="61"/>
      <c r="B942" s="61"/>
      <c r="C942" s="61"/>
      <c r="D942" s="61"/>
      <c r="E942" s="61"/>
      <c r="F942" s="61"/>
      <c r="G942" s="61"/>
      <c r="H942" s="61"/>
      <c r="I942" s="100"/>
      <c r="J942" s="100"/>
      <c r="K942" s="61"/>
      <c r="L942" s="61"/>
      <c r="M942" s="61"/>
      <c r="N942" s="107"/>
    </row>
    <row r="943">
      <c r="A943" s="65"/>
      <c r="B943" s="65"/>
      <c r="C943" s="65"/>
      <c r="D943" s="65"/>
      <c r="E943" s="65"/>
      <c r="F943" s="65"/>
      <c r="G943" s="65"/>
      <c r="H943" s="65"/>
      <c r="I943" s="103"/>
      <c r="J943" s="103"/>
      <c r="K943" s="65"/>
      <c r="L943" s="65"/>
      <c r="M943" s="65"/>
      <c r="N943" s="108"/>
    </row>
    <row r="944">
      <c r="A944" s="61"/>
      <c r="B944" s="61"/>
      <c r="C944" s="61"/>
      <c r="D944" s="61"/>
      <c r="E944" s="61"/>
      <c r="F944" s="61"/>
      <c r="G944" s="61"/>
      <c r="H944" s="61"/>
      <c r="I944" s="100"/>
      <c r="J944" s="100"/>
      <c r="K944" s="61"/>
      <c r="L944" s="61"/>
      <c r="M944" s="61"/>
      <c r="N944" s="107"/>
    </row>
    <row r="945">
      <c r="A945" s="65"/>
      <c r="B945" s="65"/>
      <c r="C945" s="65"/>
      <c r="D945" s="65"/>
      <c r="E945" s="65"/>
      <c r="F945" s="65"/>
      <c r="G945" s="65"/>
      <c r="H945" s="65"/>
      <c r="I945" s="103"/>
      <c r="J945" s="103"/>
      <c r="K945" s="65"/>
      <c r="L945" s="65"/>
      <c r="M945" s="65"/>
      <c r="N945" s="108"/>
    </row>
    <row r="946">
      <c r="A946" s="61"/>
      <c r="B946" s="61"/>
      <c r="C946" s="61"/>
      <c r="D946" s="61"/>
      <c r="E946" s="61"/>
      <c r="F946" s="61"/>
      <c r="G946" s="61"/>
      <c r="H946" s="61"/>
      <c r="I946" s="100"/>
      <c r="J946" s="100"/>
      <c r="K946" s="61"/>
      <c r="L946" s="61"/>
      <c r="M946" s="61"/>
      <c r="N946" s="107"/>
    </row>
    <row r="947">
      <c r="A947" s="65"/>
      <c r="B947" s="65"/>
      <c r="C947" s="65"/>
      <c r="D947" s="65"/>
      <c r="E947" s="65"/>
      <c r="F947" s="65"/>
      <c r="G947" s="65"/>
      <c r="H947" s="65"/>
      <c r="I947" s="103"/>
      <c r="J947" s="103"/>
      <c r="K947" s="65"/>
      <c r="L947" s="65"/>
      <c r="M947" s="65"/>
      <c r="N947" s="108"/>
    </row>
    <row r="948">
      <c r="A948" s="61"/>
      <c r="B948" s="61"/>
      <c r="C948" s="61"/>
      <c r="D948" s="61"/>
      <c r="E948" s="61"/>
      <c r="F948" s="61"/>
      <c r="G948" s="61"/>
      <c r="H948" s="61"/>
      <c r="I948" s="100"/>
      <c r="J948" s="100"/>
      <c r="K948" s="61"/>
      <c r="L948" s="61"/>
      <c r="M948" s="61"/>
      <c r="N948" s="107"/>
    </row>
    <row r="949">
      <c r="A949" s="65"/>
      <c r="B949" s="65"/>
      <c r="C949" s="65"/>
      <c r="D949" s="65"/>
      <c r="E949" s="65"/>
      <c r="F949" s="65"/>
      <c r="G949" s="65"/>
      <c r="H949" s="65"/>
      <c r="I949" s="103"/>
      <c r="J949" s="103"/>
      <c r="K949" s="65"/>
      <c r="L949" s="65"/>
      <c r="M949" s="65"/>
      <c r="N949" s="108"/>
    </row>
    <row r="950">
      <c r="A950" s="61"/>
      <c r="B950" s="61"/>
      <c r="C950" s="61"/>
      <c r="D950" s="61"/>
      <c r="E950" s="61"/>
      <c r="F950" s="61"/>
      <c r="G950" s="61"/>
      <c r="H950" s="61"/>
      <c r="I950" s="100"/>
      <c r="J950" s="100"/>
      <c r="K950" s="61"/>
      <c r="L950" s="61"/>
      <c r="M950" s="61"/>
      <c r="N950" s="107"/>
    </row>
    <row r="951">
      <c r="A951" s="65"/>
      <c r="B951" s="65"/>
      <c r="C951" s="65"/>
      <c r="D951" s="65"/>
      <c r="E951" s="65"/>
      <c r="F951" s="65"/>
      <c r="G951" s="65"/>
      <c r="H951" s="65"/>
      <c r="I951" s="103"/>
      <c r="J951" s="103"/>
      <c r="K951" s="65"/>
      <c r="L951" s="65"/>
      <c r="M951" s="65"/>
      <c r="N951" s="108"/>
    </row>
    <row r="952">
      <c r="A952" s="61"/>
      <c r="B952" s="61"/>
      <c r="C952" s="61"/>
      <c r="D952" s="61"/>
      <c r="E952" s="61"/>
      <c r="F952" s="61"/>
      <c r="G952" s="61"/>
      <c r="H952" s="61"/>
      <c r="I952" s="100"/>
      <c r="J952" s="100"/>
      <c r="K952" s="61"/>
      <c r="L952" s="61"/>
      <c r="M952" s="61"/>
      <c r="N952" s="107"/>
    </row>
    <row r="953">
      <c r="A953" s="65"/>
      <c r="B953" s="65"/>
      <c r="C953" s="65"/>
      <c r="D953" s="65"/>
      <c r="E953" s="65"/>
      <c r="F953" s="65"/>
      <c r="G953" s="65"/>
      <c r="H953" s="65"/>
      <c r="I953" s="103"/>
      <c r="J953" s="103"/>
      <c r="K953" s="65"/>
      <c r="L953" s="65"/>
      <c r="M953" s="65"/>
      <c r="N953" s="108"/>
    </row>
    <row r="954">
      <c r="A954" s="61"/>
      <c r="B954" s="61"/>
      <c r="C954" s="61"/>
      <c r="D954" s="61"/>
      <c r="E954" s="61"/>
      <c r="F954" s="61"/>
      <c r="G954" s="61"/>
      <c r="H954" s="61"/>
      <c r="I954" s="100"/>
      <c r="J954" s="100"/>
      <c r="K954" s="61"/>
      <c r="L954" s="61"/>
      <c r="M954" s="61"/>
      <c r="N954" s="107"/>
    </row>
    <row r="955">
      <c r="A955" s="65"/>
      <c r="B955" s="65"/>
      <c r="C955" s="65"/>
      <c r="D955" s="65"/>
      <c r="E955" s="65"/>
      <c r="F955" s="65"/>
      <c r="G955" s="65"/>
      <c r="H955" s="65"/>
      <c r="I955" s="103"/>
      <c r="J955" s="103"/>
      <c r="K955" s="65"/>
      <c r="L955" s="65"/>
      <c r="M955" s="65"/>
      <c r="N955" s="108"/>
    </row>
    <row r="956">
      <c r="A956" s="61"/>
      <c r="B956" s="61"/>
      <c r="C956" s="61"/>
      <c r="D956" s="61"/>
      <c r="E956" s="61"/>
      <c r="F956" s="61"/>
      <c r="G956" s="61"/>
      <c r="H956" s="61"/>
      <c r="I956" s="100"/>
      <c r="J956" s="100"/>
      <c r="K956" s="61"/>
      <c r="L956" s="61"/>
      <c r="M956" s="61"/>
      <c r="N956" s="107"/>
    </row>
    <row r="957">
      <c r="A957" s="65"/>
      <c r="B957" s="65"/>
      <c r="C957" s="65"/>
      <c r="D957" s="65"/>
      <c r="E957" s="65"/>
      <c r="F957" s="65"/>
      <c r="G957" s="65"/>
      <c r="H957" s="65"/>
      <c r="I957" s="103"/>
      <c r="J957" s="103"/>
      <c r="K957" s="65"/>
      <c r="L957" s="65"/>
      <c r="M957" s="65"/>
      <c r="N957" s="108"/>
    </row>
    <row r="958">
      <c r="A958" s="61"/>
      <c r="B958" s="61"/>
      <c r="C958" s="61"/>
      <c r="D958" s="61"/>
      <c r="E958" s="61"/>
      <c r="F958" s="61"/>
      <c r="G958" s="61"/>
      <c r="H958" s="61"/>
      <c r="I958" s="100"/>
      <c r="J958" s="100"/>
      <c r="K958" s="61"/>
      <c r="L958" s="61"/>
      <c r="M958" s="61"/>
      <c r="N958" s="107"/>
    </row>
    <row r="959">
      <c r="A959" s="65"/>
      <c r="B959" s="65"/>
      <c r="C959" s="65"/>
      <c r="D959" s="65"/>
      <c r="E959" s="65"/>
      <c r="F959" s="65"/>
      <c r="G959" s="65"/>
      <c r="H959" s="65"/>
      <c r="I959" s="103"/>
      <c r="J959" s="103"/>
      <c r="K959" s="65"/>
      <c r="L959" s="65"/>
      <c r="M959" s="65"/>
      <c r="N959" s="108"/>
    </row>
    <row r="960">
      <c r="A960" s="61"/>
      <c r="B960" s="61"/>
      <c r="C960" s="61"/>
      <c r="D960" s="61"/>
      <c r="E960" s="61"/>
      <c r="F960" s="61"/>
      <c r="G960" s="61"/>
      <c r="H960" s="61"/>
      <c r="I960" s="100"/>
      <c r="J960" s="100"/>
      <c r="K960" s="61"/>
      <c r="L960" s="61"/>
      <c r="M960" s="61"/>
      <c r="N960" s="107"/>
    </row>
    <row r="961">
      <c r="A961" s="65"/>
      <c r="B961" s="65"/>
      <c r="C961" s="65"/>
      <c r="D961" s="65"/>
      <c r="E961" s="65"/>
      <c r="F961" s="65"/>
      <c r="G961" s="65"/>
      <c r="H961" s="65"/>
      <c r="I961" s="103"/>
      <c r="J961" s="103"/>
      <c r="K961" s="65"/>
      <c r="L961" s="65"/>
      <c r="M961" s="65"/>
      <c r="N961" s="108"/>
    </row>
    <row r="962">
      <c r="A962" s="61"/>
      <c r="B962" s="61"/>
      <c r="C962" s="61"/>
      <c r="D962" s="61"/>
      <c r="E962" s="61"/>
      <c r="F962" s="61"/>
      <c r="G962" s="61"/>
      <c r="H962" s="61"/>
      <c r="I962" s="100"/>
      <c r="J962" s="100"/>
      <c r="K962" s="61"/>
      <c r="L962" s="61"/>
      <c r="M962" s="61"/>
      <c r="N962" s="107"/>
    </row>
    <row r="963">
      <c r="A963" s="65"/>
      <c r="B963" s="65"/>
      <c r="C963" s="65"/>
      <c r="D963" s="65"/>
      <c r="E963" s="65"/>
      <c r="F963" s="65"/>
      <c r="G963" s="65"/>
      <c r="H963" s="65"/>
      <c r="I963" s="103"/>
      <c r="J963" s="103"/>
      <c r="K963" s="65"/>
      <c r="L963" s="65"/>
      <c r="M963" s="65"/>
      <c r="N963" s="108"/>
    </row>
    <row r="964">
      <c r="A964" s="61"/>
      <c r="B964" s="61"/>
      <c r="C964" s="61"/>
      <c r="D964" s="61"/>
      <c r="E964" s="61"/>
      <c r="F964" s="61"/>
      <c r="G964" s="61"/>
      <c r="H964" s="61"/>
      <c r="I964" s="100"/>
      <c r="J964" s="100"/>
      <c r="K964" s="61"/>
      <c r="L964" s="61"/>
      <c r="M964" s="61"/>
      <c r="N964" s="107"/>
    </row>
    <row r="965">
      <c r="A965" s="65"/>
      <c r="B965" s="65"/>
      <c r="C965" s="65"/>
      <c r="D965" s="65"/>
      <c r="E965" s="65"/>
      <c r="F965" s="65"/>
      <c r="G965" s="65"/>
      <c r="H965" s="65"/>
      <c r="I965" s="103"/>
      <c r="J965" s="103"/>
      <c r="K965" s="65"/>
      <c r="L965" s="65"/>
      <c r="M965" s="65"/>
      <c r="N965" s="108"/>
    </row>
    <row r="966">
      <c r="A966" s="61"/>
      <c r="B966" s="61"/>
      <c r="C966" s="61"/>
      <c r="D966" s="61"/>
      <c r="E966" s="61"/>
      <c r="F966" s="61"/>
      <c r="G966" s="61"/>
      <c r="H966" s="61"/>
      <c r="I966" s="100"/>
      <c r="J966" s="100"/>
      <c r="K966" s="61"/>
      <c r="L966" s="61"/>
      <c r="M966" s="61"/>
      <c r="N966" s="107"/>
    </row>
    <row r="967">
      <c r="A967" s="65"/>
      <c r="B967" s="65"/>
      <c r="C967" s="65"/>
      <c r="D967" s="65"/>
      <c r="E967" s="65"/>
      <c r="F967" s="65"/>
      <c r="G967" s="65"/>
      <c r="H967" s="65"/>
      <c r="I967" s="103"/>
      <c r="J967" s="103"/>
      <c r="K967" s="65"/>
      <c r="L967" s="65"/>
      <c r="M967" s="65"/>
      <c r="N967" s="108"/>
    </row>
    <row r="968">
      <c r="A968" s="61"/>
      <c r="B968" s="61"/>
      <c r="C968" s="61"/>
      <c r="D968" s="61"/>
      <c r="E968" s="61"/>
      <c r="F968" s="61"/>
      <c r="G968" s="61"/>
      <c r="H968" s="61"/>
      <c r="I968" s="100"/>
      <c r="J968" s="100"/>
      <c r="K968" s="61"/>
      <c r="L968" s="61"/>
      <c r="M968" s="61"/>
      <c r="N968" s="107"/>
    </row>
    <row r="969">
      <c r="A969" s="65"/>
      <c r="B969" s="65"/>
      <c r="C969" s="65"/>
      <c r="D969" s="65"/>
      <c r="E969" s="65"/>
      <c r="F969" s="65"/>
      <c r="G969" s="65"/>
      <c r="H969" s="65"/>
      <c r="I969" s="103"/>
      <c r="J969" s="103"/>
      <c r="K969" s="65"/>
      <c r="L969" s="65"/>
      <c r="M969" s="65"/>
      <c r="N969" s="108"/>
    </row>
    <row r="970">
      <c r="A970" s="61"/>
      <c r="B970" s="61"/>
      <c r="C970" s="61"/>
      <c r="D970" s="61"/>
      <c r="E970" s="61"/>
      <c r="F970" s="61"/>
      <c r="G970" s="61"/>
      <c r="H970" s="61"/>
      <c r="I970" s="100"/>
      <c r="J970" s="100"/>
      <c r="K970" s="61"/>
      <c r="L970" s="61"/>
      <c r="M970" s="61"/>
      <c r="N970" s="107"/>
    </row>
    <row r="971">
      <c r="A971" s="65"/>
      <c r="B971" s="65"/>
      <c r="C971" s="65"/>
      <c r="D971" s="65"/>
      <c r="E971" s="65"/>
      <c r="F971" s="65"/>
      <c r="G971" s="65"/>
      <c r="H971" s="65"/>
      <c r="I971" s="103"/>
      <c r="J971" s="103"/>
      <c r="K971" s="65"/>
      <c r="L971" s="65"/>
      <c r="M971" s="65"/>
      <c r="N971" s="108"/>
    </row>
    <row r="972">
      <c r="A972" s="61"/>
      <c r="B972" s="61"/>
      <c r="C972" s="61"/>
      <c r="D972" s="61"/>
      <c r="E972" s="61"/>
      <c r="F972" s="61"/>
      <c r="G972" s="61"/>
      <c r="H972" s="61"/>
      <c r="I972" s="100"/>
      <c r="J972" s="100"/>
      <c r="K972" s="61"/>
      <c r="L972" s="61"/>
      <c r="M972" s="61"/>
      <c r="N972" s="107"/>
    </row>
    <row r="973">
      <c r="A973" s="65"/>
      <c r="B973" s="65"/>
      <c r="C973" s="65"/>
      <c r="D973" s="65"/>
      <c r="E973" s="65"/>
      <c r="F973" s="65"/>
      <c r="G973" s="65"/>
      <c r="H973" s="65"/>
      <c r="I973" s="103"/>
      <c r="J973" s="103"/>
      <c r="K973" s="65"/>
      <c r="L973" s="65"/>
      <c r="M973" s="65"/>
      <c r="N973" s="108"/>
    </row>
    <row r="974">
      <c r="A974" s="61"/>
      <c r="B974" s="61"/>
      <c r="C974" s="61"/>
      <c r="D974" s="61"/>
      <c r="E974" s="61"/>
      <c r="F974" s="61"/>
      <c r="G974" s="61"/>
      <c r="H974" s="61"/>
      <c r="I974" s="100"/>
      <c r="J974" s="100"/>
      <c r="K974" s="61"/>
      <c r="L974" s="61"/>
      <c r="M974" s="61"/>
      <c r="N974" s="107"/>
    </row>
    <row r="975">
      <c r="A975" s="65"/>
      <c r="B975" s="65"/>
      <c r="C975" s="65"/>
      <c r="D975" s="65"/>
      <c r="E975" s="65"/>
      <c r="F975" s="65"/>
      <c r="G975" s="65"/>
      <c r="H975" s="65"/>
      <c r="I975" s="103"/>
      <c r="J975" s="103"/>
      <c r="K975" s="65"/>
      <c r="L975" s="65"/>
      <c r="M975" s="65"/>
      <c r="N975" s="108"/>
    </row>
    <row r="976">
      <c r="A976" s="61"/>
      <c r="B976" s="61"/>
      <c r="C976" s="61"/>
      <c r="D976" s="61"/>
      <c r="E976" s="61"/>
      <c r="F976" s="61"/>
      <c r="G976" s="61"/>
      <c r="H976" s="61"/>
      <c r="I976" s="100"/>
      <c r="J976" s="100"/>
      <c r="K976" s="61"/>
      <c r="L976" s="61"/>
      <c r="M976" s="61"/>
      <c r="N976" s="107"/>
    </row>
    <row r="977">
      <c r="A977" s="65"/>
      <c r="B977" s="65"/>
      <c r="C977" s="65"/>
      <c r="D977" s="65"/>
      <c r="E977" s="65"/>
      <c r="F977" s="65"/>
      <c r="G977" s="65"/>
      <c r="H977" s="65"/>
      <c r="I977" s="103"/>
      <c r="J977" s="103"/>
      <c r="K977" s="65"/>
      <c r="L977" s="65"/>
      <c r="M977" s="65"/>
      <c r="N977" s="108"/>
    </row>
    <row r="978">
      <c r="A978" s="61"/>
      <c r="B978" s="61"/>
      <c r="C978" s="61"/>
      <c r="D978" s="61"/>
      <c r="E978" s="61"/>
      <c r="F978" s="61"/>
      <c r="G978" s="61"/>
      <c r="H978" s="61"/>
      <c r="I978" s="100"/>
      <c r="J978" s="100"/>
      <c r="K978" s="61"/>
      <c r="L978" s="61"/>
      <c r="M978" s="61"/>
      <c r="N978" s="107"/>
    </row>
    <row r="979">
      <c r="A979" s="65"/>
      <c r="B979" s="65"/>
      <c r="C979" s="65"/>
      <c r="D979" s="65"/>
      <c r="E979" s="65"/>
      <c r="F979" s="65"/>
      <c r="G979" s="65"/>
      <c r="H979" s="65"/>
      <c r="I979" s="103"/>
      <c r="J979" s="103"/>
      <c r="K979" s="65"/>
      <c r="L979" s="65"/>
      <c r="M979" s="65"/>
      <c r="N979" s="108"/>
    </row>
    <row r="980">
      <c r="A980" s="61"/>
      <c r="B980" s="61"/>
      <c r="C980" s="61"/>
      <c r="D980" s="61"/>
      <c r="E980" s="61"/>
      <c r="F980" s="61"/>
      <c r="G980" s="61"/>
      <c r="H980" s="61"/>
      <c r="I980" s="100"/>
      <c r="J980" s="100"/>
      <c r="K980" s="61"/>
      <c r="L980" s="61"/>
      <c r="M980" s="61"/>
      <c r="N980" s="107"/>
    </row>
    <row r="981">
      <c r="A981" s="65"/>
      <c r="B981" s="65"/>
      <c r="C981" s="65"/>
      <c r="D981" s="65"/>
      <c r="E981" s="65"/>
      <c r="F981" s="65"/>
      <c r="G981" s="65"/>
      <c r="H981" s="65"/>
      <c r="I981" s="103"/>
      <c r="J981" s="103"/>
      <c r="K981" s="65"/>
      <c r="L981" s="65"/>
      <c r="M981" s="65"/>
      <c r="N981" s="108"/>
    </row>
    <row r="982">
      <c r="A982" s="61"/>
      <c r="B982" s="61"/>
      <c r="C982" s="61"/>
      <c r="D982" s="61"/>
      <c r="E982" s="61"/>
      <c r="F982" s="61"/>
      <c r="G982" s="61"/>
      <c r="H982" s="61"/>
      <c r="I982" s="100"/>
      <c r="J982" s="100"/>
      <c r="K982" s="61"/>
      <c r="L982" s="61"/>
      <c r="M982" s="61"/>
      <c r="N982" s="107"/>
    </row>
    <row r="983">
      <c r="A983" s="65"/>
      <c r="B983" s="65"/>
      <c r="C983" s="65"/>
      <c r="D983" s="65"/>
      <c r="E983" s="65"/>
      <c r="F983" s="65"/>
      <c r="G983" s="65"/>
      <c r="H983" s="65"/>
      <c r="I983" s="103"/>
      <c r="J983" s="103"/>
      <c r="K983" s="65"/>
      <c r="L983" s="65"/>
      <c r="M983" s="65"/>
      <c r="N983" s="108"/>
    </row>
    <row r="984">
      <c r="A984" s="61"/>
      <c r="B984" s="61"/>
      <c r="C984" s="61"/>
      <c r="D984" s="61"/>
      <c r="E984" s="61"/>
      <c r="F984" s="61"/>
      <c r="G984" s="61"/>
      <c r="H984" s="61"/>
      <c r="I984" s="100"/>
      <c r="J984" s="100"/>
      <c r="K984" s="61"/>
      <c r="L984" s="61"/>
      <c r="M984" s="61"/>
      <c r="N984" s="107"/>
    </row>
    <row r="985">
      <c r="A985" s="65"/>
      <c r="B985" s="65"/>
      <c r="C985" s="65"/>
      <c r="D985" s="65"/>
      <c r="E985" s="65"/>
      <c r="F985" s="65"/>
      <c r="G985" s="65"/>
      <c r="H985" s="65"/>
      <c r="I985" s="103"/>
      <c r="J985" s="103"/>
      <c r="K985" s="65"/>
      <c r="L985" s="65"/>
      <c r="M985" s="65"/>
      <c r="N985" s="108"/>
    </row>
    <row r="986">
      <c r="A986" s="61"/>
      <c r="B986" s="61"/>
      <c r="C986" s="61"/>
      <c r="D986" s="61"/>
      <c r="E986" s="61"/>
      <c r="F986" s="61"/>
      <c r="G986" s="61"/>
      <c r="H986" s="61"/>
      <c r="I986" s="100"/>
      <c r="J986" s="100"/>
      <c r="K986" s="61"/>
      <c r="L986" s="61"/>
      <c r="M986" s="61"/>
      <c r="N986" s="107"/>
    </row>
    <row r="987">
      <c r="A987" s="65"/>
      <c r="B987" s="65"/>
      <c r="C987" s="65"/>
      <c r="D987" s="65"/>
      <c r="E987" s="65"/>
      <c r="F987" s="65"/>
      <c r="G987" s="65"/>
      <c r="H987" s="65"/>
      <c r="I987" s="103"/>
      <c r="J987" s="103"/>
      <c r="K987" s="65"/>
      <c r="L987" s="65"/>
      <c r="M987" s="65"/>
      <c r="N987" s="108"/>
    </row>
    <row r="988">
      <c r="A988" s="61"/>
      <c r="B988" s="61"/>
      <c r="C988" s="61"/>
      <c r="D988" s="61"/>
      <c r="E988" s="61"/>
      <c r="F988" s="61"/>
      <c r="G988" s="61"/>
      <c r="H988" s="61"/>
      <c r="I988" s="100"/>
      <c r="J988" s="100"/>
      <c r="K988" s="61"/>
      <c r="L988" s="61"/>
      <c r="M988" s="61"/>
      <c r="N988" s="107"/>
    </row>
    <row r="989">
      <c r="A989" s="65"/>
      <c r="B989" s="65"/>
      <c r="C989" s="65"/>
      <c r="D989" s="65"/>
      <c r="E989" s="65"/>
      <c r="F989" s="65"/>
      <c r="G989" s="65"/>
      <c r="H989" s="65"/>
      <c r="I989" s="103"/>
      <c r="J989" s="103"/>
      <c r="K989" s="65"/>
      <c r="L989" s="65"/>
      <c r="M989" s="65"/>
      <c r="N989" s="108"/>
    </row>
    <row r="990">
      <c r="A990" s="61"/>
      <c r="B990" s="61"/>
      <c r="C990" s="61"/>
      <c r="D990" s="61"/>
      <c r="E990" s="61"/>
      <c r="F990" s="61"/>
      <c r="G990" s="61"/>
      <c r="H990" s="61"/>
      <c r="I990" s="100"/>
      <c r="J990" s="100"/>
      <c r="K990" s="61"/>
      <c r="L990" s="61"/>
      <c r="M990" s="61"/>
      <c r="N990" s="107"/>
    </row>
    <row r="991">
      <c r="A991" s="65"/>
      <c r="B991" s="65"/>
      <c r="C991" s="65"/>
      <c r="D991" s="65"/>
      <c r="E991" s="65"/>
      <c r="F991" s="65"/>
      <c r="G991" s="65"/>
      <c r="H991" s="65"/>
      <c r="I991" s="103"/>
      <c r="J991" s="103"/>
      <c r="K991" s="65"/>
      <c r="L991" s="65"/>
      <c r="M991" s="65"/>
      <c r="N991" s="108"/>
    </row>
    <row r="992">
      <c r="A992" s="61"/>
      <c r="B992" s="61"/>
      <c r="C992" s="61"/>
      <c r="D992" s="61"/>
      <c r="E992" s="61"/>
      <c r="F992" s="61"/>
      <c r="G992" s="61"/>
      <c r="H992" s="61"/>
      <c r="I992" s="100"/>
      <c r="J992" s="100"/>
      <c r="K992" s="61"/>
      <c r="L992" s="61"/>
      <c r="M992" s="61"/>
      <c r="N992" s="107"/>
    </row>
    <row r="993">
      <c r="A993" s="65"/>
      <c r="B993" s="65"/>
      <c r="C993" s="65"/>
      <c r="D993" s="65"/>
      <c r="E993" s="65"/>
      <c r="F993" s="65"/>
      <c r="G993" s="65"/>
      <c r="H993" s="65"/>
      <c r="I993" s="103"/>
      <c r="J993" s="103"/>
      <c r="K993" s="65"/>
      <c r="L993" s="65"/>
      <c r="M993" s="65"/>
      <c r="N993" s="108"/>
    </row>
    <row r="994">
      <c r="A994" s="61"/>
      <c r="B994" s="61"/>
      <c r="C994" s="61"/>
      <c r="D994" s="61"/>
      <c r="E994" s="61"/>
      <c r="F994" s="61"/>
      <c r="G994" s="61"/>
      <c r="H994" s="61"/>
      <c r="I994" s="100"/>
      <c r="J994" s="100"/>
      <c r="K994" s="61"/>
      <c r="L994" s="61"/>
      <c r="M994" s="61"/>
      <c r="N994" s="107"/>
    </row>
    <row r="995">
      <c r="A995" s="65"/>
      <c r="B995" s="65"/>
      <c r="C995" s="65"/>
      <c r="D995" s="65"/>
      <c r="E995" s="65"/>
      <c r="F995" s="65"/>
      <c r="G995" s="65"/>
      <c r="H995" s="65"/>
      <c r="I995" s="103"/>
      <c r="J995" s="103"/>
      <c r="K995" s="65"/>
      <c r="L995" s="65"/>
      <c r="M995" s="65"/>
      <c r="N995" s="108"/>
    </row>
    <row r="996">
      <c r="A996" s="61"/>
      <c r="B996" s="61"/>
      <c r="C996" s="61"/>
      <c r="D996" s="61"/>
      <c r="E996" s="61"/>
      <c r="F996" s="61"/>
      <c r="G996" s="61"/>
      <c r="H996" s="61"/>
      <c r="I996" s="100"/>
      <c r="J996" s="100"/>
      <c r="K996" s="61"/>
      <c r="L996" s="61"/>
      <c r="M996" s="61"/>
      <c r="N996" s="107"/>
    </row>
    <row r="997">
      <c r="A997" s="65"/>
      <c r="B997" s="65"/>
      <c r="C997" s="65"/>
      <c r="D997" s="65"/>
      <c r="E997" s="65"/>
      <c r="F997" s="65"/>
      <c r="G997" s="65"/>
      <c r="H997" s="65"/>
      <c r="I997" s="103"/>
      <c r="J997" s="103"/>
      <c r="K997" s="65"/>
      <c r="L997" s="65"/>
      <c r="M997" s="65"/>
      <c r="N997" s="108"/>
    </row>
    <row r="998">
      <c r="A998" s="61"/>
      <c r="B998" s="61"/>
      <c r="C998" s="61"/>
      <c r="D998" s="61"/>
      <c r="E998" s="61"/>
      <c r="F998" s="61"/>
      <c r="G998" s="61"/>
      <c r="H998" s="61"/>
      <c r="I998" s="100"/>
      <c r="J998" s="100"/>
      <c r="K998" s="61"/>
      <c r="L998" s="61"/>
      <c r="M998" s="61"/>
      <c r="N998" s="107"/>
    </row>
    <row r="999">
      <c r="A999" s="65"/>
      <c r="B999" s="65"/>
      <c r="C999" s="65"/>
      <c r="D999" s="65"/>
      <c r="E999" s="65"/>
      <c r="F999" s="65"/>
      <c r="G999" s="65"/>
      <c r="H999" s="65"/>
      <c r="I999" s="103"/>
      <c r="J999" s="103"/>
      <c r="K999" s="65"/>
      <c r="L999" s="65"/>
      <c r="M999" s="65"/>
      <c r="N999" s="108"/>
    </row>
  </sheetData>
  <autoFilter ref="$A$1:$N$999"/>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s>
  <drawing r:id="rId4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7" max="7" width="22.5"/>
  </cols>
  <sheetData>
    <row r="1">
      <c r="A1" s="84" t="s">
        <v>15217</v>
      </c>
      <c r="J1" s="113"/>
    </row>
    <row r="2">
      <c r="A2" s="84" t="s">
        <v>15218</v>
      </c>
      <c r="B2" s="114">
        <v>45881.0</v>
      </c>
      <c r="J2" s="115" t="s">
        <v>15219</v>
      </c>
    </row>
    <row r="3">
      <c r="J3" s="113"/>
    </row>
    <row r="4">
      <c r="A4" s="116" t="s">
        <v>14039</v>
      </c>
      <c r="B4" s="116" t="s">
        <v>14211</v>
      </c>
      <c r="C4" s="116" t="s">
        <v>2</v>
      </c>
      <c r="D4" s="116" t="s">
        <v>3</v>
      </c>
      <c r="E4" s="116" t="s">
        <v>14212</v>
      </c>
      <c r="F4" s="117" t="s">
        <v>35</v>
      </c>
      <c r="G4" s="116" t="s">
        <v>5</v>
      </c>
      <c r="H4" s="116" t="s">
        <v>10</v>
      </c>
      <c r="I4" s="116" t="s">
        <v>14213</v>
      </c>
      <c r="J4" s="116" t="s">
        <v>12</v>
      </c>
      <c r="K4" s="118" t="s">
        <v>14214</v>
      </c>
      <c r="L4" s="116" t="s">
        <v>20</v>
      </c>
      <c r="M4" s="116" t="s">
        <v>14</v>
      </c>
      <c r="N4" s="119" t="s">
        <v>34</v>
      </c>
      <c r="O4" s="119" t="s">
        <v>15220</v>
      </c>
      <c r="P4" s="119" t="s">
        <v>15221</v>
      </c>
      <c r="Q4" s="119" t="s">
        <v>15222</v>
      </c>
    </row>
    <row r="5">
      <c r="A5" s="120" t="str">
        <f>IFERROR(__xludf.DUMMYFUNCTION("QUERY({RentalCalc!A1:Z3516; SIRCalc!A1:Z3516; NSTSCalc!A1:Z3516; TSACalc!A1:Z3516; RRCalc!A1:Z3516; HSCalc!A1:Z3516; SSCalc!A1:Z3516; SASCalc!A1:Z3516; LASCalc!A1:Z3516; GMSCalc!A1:Z3516; SOCalc!A1:Z3516}, ""select * where Col1 is not null"")"),"https://utrucking.myshopify.com/admin/orders?query=15160")</f>
        <v>https://utrucking.myshopify.com/admin/orders?query=15160</v>
      </c>
      <c r="B5" s="80" t="str">
        <f>IFERROR(__xludf.DUMMYFUNCTION("""COMPUTED_VALUE"""),"#15160")</f>
        <v>#15160</v>
      </c>
      <c r="C5" s="80"/>
      <c r="D5" s="80">
        <f>IFERROR(__xludf.DUMMYFUNCTION("""COMPUTED_VALUE"""),8.323688395E9)</f>
        <v>8323688395</v>
      </c>
      <c r="E5" s="80" t="str">
        <f>IFERROR(__xludf.DUMMYFUNCTION("""COMPUTED_VALUE"""),"Anshula Greene")</f>
        <v>Anshula Greene</v>
      </c>
      <c r="F5" s="80"/>
      <c r="G5" s="80"/>
      <c r="H5" s="80" t="str">
        <f>IFERROR(__xludf.DUMMYFUNCTION("""COMPUTED_VALUE"""),"Appliance Rental")</f>
        <v>Appliance Rental</v>
      </c>
      <c r="I5" s="80" t="str">
        <f>IFERROR(__xludf.DUMMYFUNCTION("""COMPUTED_VALUE"""),"Double-Door Mini Fridge")</f>
        <v>Double-Door Mini Fridge</v>
      </c>
      <c r="J5" s="85"/>
      <c r="K5" s="80">
        <f>IFERROR(__xludf.DUMMYFUNCTION("""COMPUTED_VALUE"""),45881.0)</f>
        <v>45881</v>
      </c>
      <c r="L5" s="80" t="str">
        <f>IFERROR(__xludf.DUMMYFUNCTION("""COMPUTED_VALUE"""),"Lien")</f>
        <v>Lien</v>
      </c>
      <c r="M5" s="80" t="str">
        <f>IFERROR(__xludf.DUMMYFUNCTION("""COMPUTED_VALUE"""),"XXX")</f>
        <v>XXX</v>
      </c>
      <c r="N5" s="80" t="str">
        <f>IFERROR(__xludf.DUMMYFUNCTION("""COMPUTED_VALUE"""),"Roshan Greene - 2029")</f>
        <v>Roshan Greene - 2029</v>
      </c>
      <c r="O5" s="80" t="b">
        <f>IFERROR(__xludf.DUMMYFUNCTION("""COMPUTED_VALUE"""),TRUE)</f>
        <v>1</v>
      </c>
      <c r="P5" s="80" t="str">
        <f>IFERROR(__xludf.DUMMYFUNCTION("""COMPUTED_VALUE"""),"09:00 AM - 11:00 AM")</f>
        <v>09:00 AM - 11:00 AM</v>
      </c>
      <c r="Q5" s="80"/>
      <c r="R5" s="93"/>
      <c r="S5" s="93"/>
      <c r="T5" s="93"/>
      <c r="U5" s="93"/>
      <c r="V5" s="93"/>
      <c r="W5" s="93"/>
      <c r="X5" s="93"/>
      <c r="Y5" s="93"/>
      <c r="Z5" s="93"/>
    </row>
    <row r="6">
      <c r="A6" s="121" t="str">
        <f>IFERROR(__xludf.DUMMYFUNCTION("""COMPUTED_VALUE"""),"https://utrucking.myshopify.com/admin/orders?query=15175")</f>
        <v>https://utrucking.myshopify.com/admin/orders?query=15175</v>
      </c>
      <c r="B6" s="93" t="str">
        <f>IFERROR(__xludf.DUMMYFUNCTION("""COMPUTED_VALUE"""),"#15175")</f>
        <v>#15175</v>
      </c>
      <c r="C6" s="93"/>
      <c r="D6" s="93">
        <f>IFERROR(__xludf.DUMMYFUNCTION("""COMPUTED_VALUE"""),1.4024294779E10)</f>
        <v>14024294779</v>
      </c>
      <c r="E6" s="93" t="str">
        <f>IFERROR(__xludf.DUMMYFUNCTION("""COMPUTED_VALUE"""),"Tammy Stevenson")</f>
        <v>Tammy Stevenson</v>
      </c>
      <c r="F6" s="93"/>
      <c r="G6" s="93"/>
      <c r="H6" s="93" t="str">
        <f>IFERROR(__xludf.DUMMYFUNCTION("""COMPUTED_VALUE"""),"Appliance Rental")</f>
        <v>Appliance Rental</v>
      </c>
      <c r="I6" s="93" t="str">
        <f>IFERROR(__xludf.DUMMYFUNCTION("""COMPUTED_VALUE"""),"Double-Door Mini Fridge + Microwave")</f>
        <v>Double-Door Mini Fridge + Microwave</v>
      </c>
      <c r="J6" s="113"/>
      <c r="K6" s="93">
        <f>IFERROR(__xludf.DUMMYFUNCTION("""COMPUTED_VALUE"""),45881.0)</f>
        <v>45881</v>
      </c>
      <c r="L6" s="93" t="str">
        <f>IFERROR(__xludf.DUMMYFUNCTION("""COMPUTED_VALUE"""),"Park")</f>
        <v>Park</v>
      </c>
      <c r="M6" s="93" t="str">
        <f>IFERROR(__xludf.DUMMYFUNCTION("""COMPUTED_VALUE"""),"272-b")</f>
        <v>272-b</v>
      </c>
      <c r="N6" s="93"/>
      <c r="O6" s="93" t="b">
        <f>IFERROR(__xludf.DUMMYFUNCTION("""COMPUTED_VALUE"""),TRUE)</f>
        <v>1</v>
      </c>
      <c r="P6" s="93" t="str">
        <f>IFERROR(__xludf.DUMMYFUNCTION("""COMPUTED_VALUE"""),"10:00 AM - 12:00 PM")</f>
        <v>10:00 AM - 12:00 PM</v>
      </c>
      <c r="Q6" s="93"/>
      <c r="R6" s="93"/>
      <c r="S6" s="93"/>
      <c r="T6" s="93"/>
      <c r="U6" s="93"/>
      <c r="V6" s="93"/>
      <c r="W6" s="93"/>
      <c r="X6" s="93"/>
      <c r="Y6" s="93"/>
      <c r="Z6" s="93"/>
    </row>
    <row r="7">
      <c r="A7" s="121" t="str">
        <f>IFERROR(__xludf.DUMMYFUNCTION("""COMPUTED_VALUE"""),"https://admin.shopify.com/store/utrucking/orders/5897718857916?link_source=search")</f>
        <v>https://admin.shopify.com/store/utrucking/orders/5897718857916?link_source=search</v>
      </c>
      <c r="B7" s="93" t="str">
        <f>IFERROR(__xludf.DUMMYFUNCTION("""COMPUTED_VALUE"""),"#15218")</f>
        <v>#15218</v>
      </c>
      <c r="C7" s="93" t="str">
        <f>IFERROR(__xludf.DUMMYFUNCTION("""COMPUTED_VALUE"""),"cecijohnson4@gmail.com")</f>
        <v>cecijohnson4@gmail.com</v>
      </c>
      <c r="D7" s="93"/>
      <c r="E7" s="93" t="str">
        <f>IFERROR(__xludf.DUMMYFUNCTION("""COMPUTED_VALUE"""),"Caroline Johnson")</f>
        <v>Caroline Johnson</v>
      </c>
      <c r="F7" s="93"/>
      <c r="G7" s="93" t="str">
        <f>IFERROR(__xludf.DUMMYFUNCTION("""COMPUTED_VALUE"""),"4715 Paran Valley Northwest")</f>
        <v>4715 Paran Valley Northwest</v>
      </c>
      <c r="H7" s="93" t="str">
        <f>IFERROR(__xludf.DUMMYFUNCTION("""COMPUTED_VALUE"""),"Appliance Rental")</f>
        <v>Appliance Rental</v>
      </c>
      <c r="I7" s="93" t="str">
        <f>IFERROR(__xludf.DUMMYFUNCTION("""COMPUTED_VALUE"""),"Double-Door Mini Fridge")</f>
        <v>Double-Door Mini Fridge</v>
      </c>
      <c r="J7" s="113" t="str">
        <f>IFERROR(__xludf.DUMMYFUNCTION("""COMPUTED_VALUE"""),"5/24/1900")</f>
        <v>5/24/1900</v>
      </c>
      <c r="K7" s="93">
        <f>IFERROR(__xludf.DUMMYFUNCTION("""COMPUTED_VALUE"""),45881.0)</f>
        <v>45881</v>
      </c>
      <c r="L7" s="93" t="str">
        <f>IFERROR(__xludf.DUMMYFUNCTION("""COMPUTED_VALUE"""),"Dauten")</f>
        <v>Dauten</v>
      </c>
      <c r="M7" s="93" t="str">
        <f>IFERROR(__xludf.DUMMYFUNCTION("""COMPUTED_VALUE"""),"442")</f>
        <v>442</v>
      </c>
      <c r="N7" s="93"/>
      <c r="O7" s="93" t="b">
        <f>IFERROR(__xludf.DUMMYFUNCTION("""COMPUTED_VALUE"""),TRUE)</f>
        <v>1</v>
      </c>
      <c r="P7" s="93" t="str">
        <f>IFERROR(__xludf.DUMMYFUNCTION("""COMPUTED_VALUE"""),"09:00 AM - 11:00 AM")</f>
        <v>09:00 AM - 11:00 AM</v>
      </c>
      <c r="Q7" s="93"/>
      <c r="R7" s="93"/>
      <c r="S7" s="93"/>
      <c r="T7" s="93"/>
      <c r="U7" s="93"/>
      <c r="V7" s="93"/>
      <c r="W7" s="93"/>
      <c r="X7" s="93"/>
      <c r="Y7" s="93"/>
      <c r="Z7" s="93"/>
    </row>
    <row r="8">
      <c r="A8" s="121" t="str">
        <f>IFERROR(__xludf.DUMMYFUNCTION("""COMPUTED_VALUE"""),"https://utrucking.com/admin/orders/5908173914300")</f>
        <v>https://utrucking.com/admin/orders/5908173914300</v>
      </c>
      <c r="B8" s="93" t="str">
        <f>IFERROR(__xludf.DUMMYFUNCTION("""COMPUTED_VALUE"""),"#15385")</f>
        <v>#15385</v>
      </c>
      <c r="C8" s="93"/>
      <c r="D8" s="93">
        <f>IFERROR(__xludf.DUMMYFUNCTION("""COMPUTED_VALUE"""),4.847522285E9)</f>
        <v>4847522285</v>
      </c>
      <c r="E8" s="93" t="str">
        <f>IFERROR(__xludf.DUMMYFUNCTION("""COMPUTED_VALUE"""),"Eunice Kim")</f>
        <v>Eunice Kim</v>
      </c>
      <c r="F8" s="93"/>
      <c r="G8" s="93"/>
      <c r="H8" s="93" t="str">
        <f>IFERROR(__xludf.DUMMYFUNCTION("""COMPUTED_VALUE"""),"Appliance Rental")</f>
        <v>Appliance Rental</v>
      </c>
      <c r="I8" s="93" t="str">
        <f>IFERROR(__xludf.DUMMYFUNCTION("""COMPUTED_VALUE""")," Double-Door Mini Fridge + Microwave")</f>
        <v> Double-Door Mini Fridge + Microwave</v>
      </c>
      <c r="J8" s="113" t="str">
        <f>IFERROR(__xludf.DUMMYFUNCTION("""COMPUTED_VALUE"""),"7/28/1900")</f>
        <v>7/28/1900</v>
      </c>
      <c r="K8" s="93">
        <f>IFERROR(__xludf.DUMMYFUNCTION("""COMPUTED_VALUE"""),45881.0)</f>
        <v>45881</v>
      </c>
      <c r="L8" s="93" t="str">
        <f>IFERROR(__xludf.DUMMYFUNCTION("""COMPUTED_VALUE"""),"Dardick  ")</f>
        <v>Dardick  </v>
      </c>
      <c r="M8" s="93" t="str">
        <f>IFERROR(__xludf.DUMMYFUNCTION("""COMPUTED_VALUE"""),"4415")</f>
        <v>4415</v>
      </c>
      <c r="N8" s="93"/>
      <c r="O8" s="93" t="b">
        <f>IFERROR(__xludf.DUMMYFUNCTION("""COMPUTED_VALUE"""),TRUE)</f>
        <v>1</v>
      </c>
      <c r="P8" s="93"/>
      <c r="Q8" s="93"/>
      <c r="R8" s="93"/>
      <c r="S8" s="93"/>
      <c r="T8" s="93"/>
      <c r="U8" s="93"/>
      <c r="V8" s="93"/>
      <c r="W8" s="93"/>
      <c r="X8" s="93"/>
      <c r="Y8" s="93"/>
      <c r="Z8" s="93"/>
    </row>
    <row r="9">
      <c r="A9" s="121" t="str">
        <f>IFERROR(__xludf.DUMMYFUNCTION("""COMPUTED_VALUE"""),"https://utrucking.com/admin/orders/5910561423548")</f>
        <v>https://utrucking.com/admin/orders/5910561423548</v>
      </c>
      <c r="B9" s="93" t="str">
        <f>IFERROR(__xludf.DUMMYFUNCTION("""COMPUTED_VALUE"""),"#15425")</f>
        <v>#15425</v>
      </c>
      <c r="C9" s="93" t="str">
        <f>IFERROR(__xludf.DUMMYFUNCTION("""COMPUTED_VALUE"""),"arushig@wustl.edu")</f>
        <v>arushig@wustl.edu</v>
      </c>
      <c r="D9" s="93">
        <f>IFERROR(__xludf.DUMMYFUNCTION("""COMPUTED_VALUE"""),8.296987458E9)</f>
        <v>8296987458</v>
      </c>
      <c r="E9" s="93" t="str">
        <f>IFERROR(__xludf.DUMMYFUNCTION("""COMPUTED_VALUE"""),"Arushi Goyal")</f>
        <v>Arushi Goyal</v>
      </c>
      <c r="F9" s="93"/>
      <c r="G9" s="93"/>
      <c r="H9" s="93" t="str">
        <f>IFERROR(__xludf.DUMMYFUNCTION("""COMPUTED_VALUE"""),"Appliance Rental")</f>
        <v>Appliance Rental</v>
      </c>
      <c r="I9" s="93" t="str">
        <f>IFERROR(__xludf.DUMMYFUNCTION("""COMPUTED_VALUE""")," Standard Mini Fridge + Microwave")</f>
        <v> Standard Mini Fridge + Microwave</v>
      </c>
      <c r="J9" s="113" t="str">
        <f>IFERROR(__xludf.DUMMYFUNCTION("""COMPUTED_VALUE"""),"6/28/1900")</f>
        <v>6/28/1900</v>
      </c>
      <c r="K9" s="93">
        <f>IFERROR(__xludf.DUMMYFUNCTION("""COMPUTED_VALUE"""),45881.0)</f>
        <v>45881</v>
      </c>
      <c r="L9" s="93" t="str">
        <f>IFERROR(__xludf.DUMMYFUNCTION("""COMPUTED_VALUE"""),"Park  ")</f>
        <v>Park  </v>
      </c>
      <c r="M9" s="93" t="str">
        <f>IFERROR(__xludf.DUMMYFUNCTION("""COMPUTED_VALUE"""),"171")</f>
        <v>171</v>
      </c>
      <c r="N9" s="93"/>
      <c r="O9" s="93" t="b">
        <f>IFERROR(__xludf.DUMMYFUNCTION("""COMPUTED_VALUE"""),TRUE)</f>
        <v>1</v>
      </c>
      <c r="P9" s="93"/>
      <c r="Q9" s="93"/>
      <c r="R9" s="93"/>
      <c r="S9" s="93"/>
      <c r="T9" s="93"/>
      <c r="U9" s="93"/>
      <c r="V9" s="93"/>
      <c r="W9" s="93"/>
      <c r="X9" s="93"/>
      <c r="Y9" s="93"/>
      <c r="Z9" s="93"/>
    </row>
    <row r="10">
      <c r="A10" s="121" t="str">
        <f>IFERROR(__xludf.DUMMYFUNCTION("""COMPUTED_VALUE"""),"https://utrucking.com/admin/orders/5910979575996")</f>
        <v>https://utrucking.com/admin/orders/5910979575996</v>
      </c>
      <c r="B10" s="93" t="str">
        <f>IFERROR(__xludf.DUMMYFUNCTION("""COMPUTED_VALUE"""),"#15438")</f>
        <v>#15438</v>
      </c>
      <c r="C10" s="93"/>
      <c r="D10" s="93">
        <f>IFERROR(__xludf.DUMMYFUNCTION("""COMPUTED_VALUE"""),6.183834825E9)</f>
        <v>6183834825</v>
      </c>
      <c r="E10" s="93" t="str">
        <f>IFERROR(__xludf.DUMMYFUNCTION("""COMPUTED_VALUE"""),"Amy Balding")</f>
        <v>Amy Balding</v>
      </c>
      <c r="F10" s="93"/>
      <c r="G10" s="93"/>
      <c r="H10" s="93" t="str">
        <f>IFERROR(__xludf.DUMMYFUNCTION("""COMPUTED_VALUE"""),"Appliance Rental")</f>
        <v>Appliance Rental</v>
      </c>
      <c r="I10" s="93" t="str">
        <f>IFERROR(__xludf.DUMMYFUNCTION("""COMPUTED_VALUE""")," Double-Door Mini Fridge ")</f>
        <v> Double-Door Mini Fridge </v>
      </c>
      <c r="J10" s="113" t="str">
        <f>IFERROR(__xludf.DUMMYFUNCTION("""COMPUTED_VALUE"""),"5/24/1900")</f>
        <v>5/24/1900</v>
      </c>
      <c r="K10" s="93">
        <f>IFERROR(__xludf.DUMMYFUNCTION("""COMPUTED_VALUE"""),45881.0)</f>
        <v>45881</v>
      </c>
      <c r="L10" s="93" t="str">
        <f>IFERROR(__xludf.DUMMYFUNCTION("""COMPUTED_VALUE"""),"Lee  ")</f>
        <v>Lee  </v>
      </c>
      <c r="M10" s="93" t="str">
        <f>IFERROR(__xludf.DUMMYFUNCTION("""COMPUTED_VALUE"""),"216-A")</f>
        <v>216-A</v>
      </c>
      <c r="N10" s="93"/>
      <c r="O10" s="93" t="b">
        <f>IFERROR(__xludf.DUMMYFUNCTION("""COMPUTED_VALUE"""),TRUE)</f>
        <v>1</v>
      </c>
      <c r="P10" s="93"/>
      <c r="Q10" s="93"/>
      <c r="R10" s="93"/>
      <c r="S10" s="93"/>
      <c r="T10" s="93"/>
      <c r="U10" s="93"/>
      <c r="V10" s="93"/>
      <c r="W10" s="93"/>
      <c r="X10" s="93"/>
      <c r="Y10" s="93"/>
      <c r="Z10" s="93"/>
    </row>
    <row r="11">
      <c r="A11" s="121" t="str">
        <f>IFERROR(__xludf.DUMMYFUNCTION("""COMPUTED_VALUE"""),"https://utrucking.com/admin/orders/5915952251068")</f>
        <v>https://utrucking.com/admin/orders/5915952251068</v>
      </c>
      <c r="B11" s="93" t="str">
        <f>IFERROR(__xludf.DUMMYFUNCTION("""COMPUTED_VALUE"""),"#15679")</f>
        <v>#15679</v>
      </c>
      <c r="C11" s="93" t="str">
        <f>IFERROR(__xludf.DUMMYFUNCTION("""COMPUTED_VALUE"""),"twang4276@gmail.com")</f>
        <v>twang4276@gmail.com</v>
      </c>
      <c r="D11" s="93">
        <f>IFERROR(__xludf.DUMMYFUNCTION("""COMPUTED_VALUE"""),1.4372456625E10)</f>
        <v>14372456625</v>
      </c>
      <c r="E11" s="93" t="str">
        <f>IFERROR(__xludf.DUMMYFUNCTION("""COMPUTED_VALUE"""),"Liling Yang")</f>
        <v>Liling Yang</v>
      </c>
      <c r="F11" s="93"/>
      <c r="G11" s="93"/>
      <c r="H11" s="93" t="str">
        <f>IFERROR(__xludf.DUMMYFUNCTION("""COMPUTED_VALUE"""),"Appliance Rental")</f>
        <v>Appliance Rental</v>
      </c>
      <c r="I11" s="93" t="str">
        <f>IFERROR(__xludf.DUMMYFUNCTION("""COMPUTED_VALUE""")," Standard Mini Fridge   -  - ")</f>
        <v> Standard Mini Fridge   -  - </v>
      </c>
      <c r="J11" s="113" t="str">
        <f>IFERROR(__xludf.DUMMYFUNCTION("""COMPUTED_VALUE"""),"4/24/1900")</f>
        <v>4/24/1900</v>
      </c>
      <c r="K11" s="93">
        <f>IFERROR(__xludf.DUMMYFUNCTION("""COMPUTED_VALUE"""),45881.0)</f>
        <v>45881</v>
      </c>
      <c r="L11" s="93" t="str">
        <f>IFERROR(__xludf.DUMMYFUNCTION("""COMPUTED_VALUE"""),"Danforth  ")</f>
        <v>Danforth  </v>
      </c>
      <c r="M11" s="93" t="str">
        <f>IFERROR(__xludf.DUMMYFUNCTION("""COMPUTED_VALUE"""),"2204")</f>
        <v>2204</v>
      </c>
      <c r="N11" s="93"/>
      <c r="O11" s="93" t="b">
        <f>IFERROR(__xludf.DUMMYFUNCTION("""COMPUTED_VALUE"""),TRUE)</f>
        <v>1</v>
      </c>
      <c r="P11" s="93" t="str">
        <f>IFERROR(__xludf.DUMMYFUNCTION("""COMPUTED_VALUE""")," ")</f>
        <v> </v>
      </c>
      <c r="Q11" s="93"/>
      <c r="R11" s="93"/>
      <c r="S11" s="93"/>
      <c r="T11" s="93"/>
      <c r="U11" s="93"/>
      <c r="V11" s="93"/>
      <c r="W11" s="93"/>
      <c r="X11" s="93"/>
      <c r="Y11" s="93"/>
      <c r="Z11" s="93"/>
    </row>
    <row r="12">
      <c r="A12" s="121" t="str">
        <f>IFERROR(__xludf.DUMMYFUNCTION("""COMPUTED_VALUE"""),"https://utrucking.com/admin/orders/5920223396028")</f>
        <v>https://utrucking.com/admin/orders/5920223396028</v>
      </c>
      <c r="B12" s="93" t="str">
        <f>IFERROR(__xludf.DUMMYFUNCTION("""COMPUTED_VALUE"""),"#15824")</f>
        <v>#15824</v>
      </c>
      <c r="C12" s="93" t="str">
        <f>IFERROR(__xludf.DUMMYFUNCTION("""COMPUTED_VALUE"""),"mehtasoha181206@gmail.com")</f>
        <v>mehtasoha181206@gmail.com</v>
      </c>
      <c r="D12" s="93">
        <f>IFERROR(__xludf.DUMMYFUNCTION("""COMPUTED_VALUE"""),9.174977765E9)</f>
        <v>9174977765</v>
      </c>
      <c r="E12" s="93" t="str">
        <f>IFERROR(__xludf.DUMMYFUNCTION("""COMPUTED_VALUE"""),"Sara Mehta")</f>
        <v>Sara Mehta</v>
      </c>
      <c r="F12" s="93"/>
      <c r="G12" s="93"/>
      <c r="H12" s="93" t="str">
        <f>IFERROR(__xludf.DUMMYFUNCTION("""COMPUTED_VALUE"""),"Appliance Rental")</f>
        <v>Appliance Rental</v>
      </c>
      <c r="I12" s="93" t="str">
        <f>IFERROR(__xludf.DUMMYFUNCTION("""COMPUTED_VALUE""")," Double-Door Mini Fridge   -  - ")</f>
        <v> Double-Door Mini Fridge   -  - </v>
      </c>
      <c r="J12" s="113" t="str">
        <f>IFERROR(__xludf.DUMMYFUNCTION("""COMPUTED_VALUE"""),"5/24/1900")</f>
        <v>5/24/1900</v>
      </c>
      <c r="K12" s="93">
        <f>IFERROR(__xludf.DUMMYFUNCTION("""COMPUTED_VALUE"""),45881.0)</f>
        <v>45881</v>
      </c>
      <c r="L12" s="93" t="str">
        <f>IFERROR(__xludf.DUMMYFUNCTION("""COMPUTED_VALUE"""),"Park  ")</f>
        <v>Park  </v>
      </c>
      <c r="M12" s="93" t="str">
        <f>IFERROR(__xludf.DUMMYFUNCTION("""COMPUTED_VALUE"""),"462")</f>
        <v>462</v>
      </c>
      <c r="N12" s="93"/>
      <c r="O12" s="93" t="b">
        <f>IFERROR(__xludf.DUMMYFUNCTION("""COMPUTED_VALUE"""),TRUE)</f>
        <v>1</v>
      </c>
      <c r="P12" s="93" t="str">
        <f>IFERROR(__xludf.DUMMYFUNCTION("""COMPUTED_VALUE""")," ")</f>
        <v> </v>
      </c>
      <c r="Q12" s="93"/>
      <c r="R12" s="93"/>
      <c r="S12" s="93"/>
      <c r="T12" s="93"/>
      <c r="U12" s="93"/>
      <c r="V12" s="93"/>
      <c r="W12" s="93"/>
      <c r="X12" s="93"/>
      <c r="Y12" s="93"/>
      <c r="Z12" s="93"/>
    </row>
    <row r="13">
      <c r="A13" s="121" t="str">
        <f>IFERROR(__xludf.DUMMYFUNCTION("""COMPUTED_VALUE"""),"https://utrucking.com/admin/orders/5921546830012")</f>
        <v>https://utrucking.com/admin/orders/5921546830012</v>
      </c>
      <c r="B13" s="93" t="str">
        <f>IFERROR(__xludf.DUMMYFUNCTION("""COMPUTED_VALUE"""),"#15893")</f>
        <v>#15893</v>
      </c>
      <c r="C13" s="93"/>
      <c r="D13" s="93">
        <f>IFERROR(__xludf.DUMMYFUNCTION("""COMPUTED_VALUE"""),5.719994644E9)</f>
        <v>5719994644</v>
      </c>
      <c r="E13" s="93" t="str">
        <f>IFERROR(__xludf.DUMMYFUNCTION("""COMPUTED_VALUE"""),"Julia Markowitz")</f>
        <v>Julia Markowitz</v>
      </c>
      <c r="F13" s="93"/>
      <c r="G13" s="93"/>
      <c r="H13" s="93" t="str">
        <f>IFERROR(__xludf.DUMMYFUNCTION("""COMPUTED_VALUE"""),"Appliance Rental")</f>
        <v>Appliance Rental</v>
      </c>
      <c r="I13" s="93" t="str">
        <f>IFERROR(__xludf.DUMMYFUNCTION("""COMPUTED_VALUE""")," Double-Door Mini Fridge + Microwave   -  - ")</f>
        <v> Double-Door Mini Fridge + Microwave   -  - </v>
      </c>
      <c r="J13" s="113" t="str">
        <f>IFERROR(__xludf.DUMMYFUNCTION("""COMPUTED_VALUE"""),"7/28/1900")</f>
        <v>7/28/1900</v>
      </c>
      <c r="K13" s="93">
        <f>IFERROR(__xludf.DUMMYFUNCTION("""COMPUTED_VALUE"""),45881.0)</f>
        <v>45881</v>
      </c>
      <c r="L13" s="93" t="str">
        <f>IFERROR(__xludf.DUMMYFUNCTION("""COMPUTED_VALUE"""),"Lien  ")</f>
        <v>Lien  </v>
      </c>
      <c r="M13" s="93" t="str">
        <f>IFERROR(__xludf.DUMMYFUNCTION("""COMPUTED_VALUE"""),"3319")</f>
        <v>3319</v>
      </c>
      <c r="N13" s="93"/>
      <c r="O13" s="93" t="b">
        <f>IFERROR(__xludf.DUMMYFUNCTION("""COMPUTED_VALUE"""),TRUE)</f>
        <v>1</v>
      </c>
      <c r="P13" s="93" t="str">
        <f>IFERROR(__xludf.DUMMYFUNCTION("""COMPUTED_VALUE""")," ")</f>
        <v> </v>
      </c>
      <c r="Q13" s="93"/>
      <c r="R13" s="93"/>
      <c r="S13" s="93"/>
      <c r="T13" s="93"/>
      <c r="U13" s="93"/>
      <c r="V13" s="93"/>
      <c r="W13" s="93"/>
      <c r="X13" s="93"/>
      <c r="Y13" s="93"/>
      <c r="Z13" s="93"/>
    </row>
    <row r="14">
      <c r="A14" s="121" t="str">
        <f>IFERROR(__xludf.DUMMYFUNCTION("""COMPUTED_VALUE"""),"https://utrucking.com/admin/orders/5924987863228")</f>
        <v>https://utrucking.com/admin/orders/5924987863228</v>
      </c>
      <c r="B14" s="93" t="str">
        <f>IFERROR(__xludf.DUMMYFUNCTION("""COMPUTED_VALUE"""),"#15969")</f>
        <v>#15969</v>
      </c>
      <c r="C14" s="93" t="str">
        <f>IFERROR(__xludf.DUMMYFUNCTION("""COMPUTED_VALUE"""),"aiaccino29@yahoo.com")</f>
        <v>aiaccino29@yahoo.com</v>
      </c>
      <c r="D14" s="93">
        <f>IFERROR(__xludf.DUMMYFUNCTION("""COMPUTED_VALUE"""),8.18648927E9)</f>
        <v>8186489270</v>
      </c>
      <c r="E14" s="93" t="str">
        <f>IFERROR(__xludf.DUMMYFUNCTION("""COMPUTED_VALUE"""),"Aileen Iaccino")</f>
        <v>Aileen Iaccino</v>
      </c>
      <c r="F14" s="93"/>
      <c r="G14" s="93"/>
      <c r="H14" s="93" t="str">
        <f>IFERROR(__xludf.DUMMYFUNCTION("""COMPUTED_VALUE"""),"Appliance Rental")</f>
        <v>Appliance Rental</v>
      </c>
      <c r="I14" s="93" t="str">
        <f>IFERROR(__xludf.DUMMYFUNCTION("""COMPUTED_VALUE""")," Double-Door Mini Fridge   -  - ")</f>
        <v> Double-Door Mini Fridge   -  - </v>
      </c>
      <c r="J14" s="113" t="str">
        <f>IFERROR(__xludf.DUMMYFUNCTION("""COMPUTED_VALUE"""),"5/24/1900")</f>
        <v>5/24/1900</v>
      </c>
      <c r="K14" s="93">
        <f>IFERROR(__xludf.DUMMYFUNCTION("""COMPUTED_VALUE"""),45881.0)</f>
        <v>45881</v>
      </c>
      <c r="L14" s="93" t="str">
        <f>IFERROR(__xludf.DUMMYFUNCTION("""COMPUTED_VALUE"""),"Park  ")</f>
        <v>Park  </v>
      </c>
      <c r="M14" s="93" t="str">
        <f>IFERROR(__xludf.DUMMYFUNCTION("""COMPUTED_VALUE"""),"312")</f>
        <v>312</v>
      </c>
      <c r="N14" s="93"/>
      <c r="O14" s="93" t="b">
        <f>IFERROR(__xludf.DUMMYFUNCTION("""COMPUTED_VALUE"""),TRUE)</f>
        <v>1</v>
      </c>
      <c r="P14" s="93" t="str">
        <f>IFERROR(__xludf.DUMMYFUNCTION("""COMPUTED_VALUE""")," ")</f>
        <v> </v>
      </c>
      <c r="Q14" s="93"/>
      <c r="R14" s="93"/>
      <c r="S14" s="93"/>
      <c r="T14" s="93"/>
      <c r="U14" s="93"/>
      <c r="V14" s="93"/>
      <c r="W14" s="93"/>
      <c r="X14" s="93"/>
      <c r="Y14" s="93"/>
      <c r="Z14" s="93"/>
    </row>
    <row r="15">
      <c r="A15" s="121" t="str">
        <f>IFERROR(__xludf.DUMMYFUNCTION("""COMPUTED_VALUE"""),"https://utrucking.com/admin/orders/5925081645244")</f>
        <v>https://utrucking.com/admin/orders/5925081645244</v>
      </c>
      <c r="B15" s="93" t="str">
        <f>IFERROR(__xludf.DUMMYFUNCTION("""COMPUTED_VALUE"""),"#15976")</f>
        <v>#15976</v>
      </c>
      <c r="C15" s="93" t="str">
        <f>IFERROR(__xludf.DUMMYFUNCTION("""COMPUTED_VALUE"""),"ilankliman@gmail.com")</f>
        <v>ilankliman@gmail.com</v>
      </c>
      <c r="D15" s="93">
        <f>IFERROR(__xludf.DUMMYFUNCTION("""COMPUTED_VALUE"""),1.6179529987E10)</f>
        <v>16179529987</v>
      </c>
      <c r="E15" s="93" t="str">
        <f>IFERROR(__xludf.DUMMYFUNCTION("""COMPUTED_VALUE"""),"Ilan Kliman")</f>
        <v>Ilan Kliman</v>
      </c>
      <c r="F15" s="93"/>
      <c r="G15" s="93"/>
      <c r="H15" s="93" t="str">
        <f>IFERROR(__xludf.DUMMYFUNCTION("""COMPUTED_VALUE"""),"Appliance Rental")</f>
        <v>Appliance Rental</v>
      </c>
      <c r="I15" s="93" t="str">
        <f>IFERROR(__xludf.DUMMYFUNCTION("""COMPUTED_VALUE""")," Standard Mini Fridge   -  - ")</f>
        <v> Standard Mini Fridge   -  - </v>
      </c>
      <c r="J15" s="113" t="str">
        <f>IFERROR(__xludf.DUMMYFUNCTION("""COMPUTED_VALUE"""),"4/24/1900")</f>
        <v>4/24/1900</v>
      </c>
      <c r="K15" s="93">
        <f>IFERROR(__xludf.DUMMYFUNCTION("""COMPUTED_VALUE"""),45881.0)</f>
        <v>45881</v>
      </c>
      <c r="L15" s="93" t="str">
        <f>IFERROR(__xludf.DUMMYFUNCTION("""COMPUTED_VALUE"""),"Danforth  ")</f>
        <v>Danforth  </v>
      </c>
      <c r="M15" s="93" t="str">
        <f>IFERROR(__xludf.DUMMYFUNCTION("""COMPUTED_VALUE"""),"2226")</f>
        <v>2226</v>
      </c>
      <c r="N15" s="93"/>
      <c r="O15" s="93" t="b">
        <f>IFERROR(__xludf.DUMMYFUNCTION("""COMPUTED_VALUE"""),TRUE)</f>
        <v>1</v>
      </c>
      <c r="P15" s="93" t="str">
        <f>IFERROR(__xludf.DUMMYFUNCTION("""COMPUTED_VALUE""")," ")</f>
        <v> </v>
      </c>
      <c r="Q15" s="93"/>
      <c r="R15" s="93"/>
      <c r="S15" s="93"/>
      <c r="T15" s="93"/>
      <c r="U15" s="93"/>
      <c r="V15" s="93"/>
      <c r="W15" s="93"/>
      <c r="X15" s="93"/>
      <c r="Y15" s="93"/>
      <c r="Z15" s="93"/>
    </row>
    <row r="16">
      <c r="A16" s="121" t="str">
        <f>IFERROR(__xludf.DUMMYFUNCTION("""COMPUTED_VALUE"""),"https://utrucking.com/admin/orders/5931833458876")</f>
        <v>https://utrucking.com/admin/orders/5931833458876</v>
      </c>
      <c r="B16" s="93" t="str">
        <f>IFERROR(__xludf.DUMMYFUNCTION("""COMPUTED_VALUE"""),"#16128")</f>
        <v>#16128</v>
      </c>
      <c r="C16" s="93"/>
      <c r="D16" s="93">
        <f>IFERROR(__xludf.DUMMYFUNCTION("""COMPUTED_VALUE"""),6.122078233E9)</f>
        <v>6122078233</v>
      </c>
      <c r="E16" s="93" t="str">
        <f>IFERROR(__xludf.DUMMYFUNCTION("""COMPUTED_VALUE"""),"Jennifer Guion")</f>
        <v>Jennifer Guion</v>
      </c>
      <c r="F16" s="93" t="str">
        <f>IFERROR(__xludf.DUMMYFUNCTION("""COMPUTED_VALUE"""),"Cosmo Guion")</f>
        <v>Cosmo Guion</v>
      </c>
      <c r="G16" s="93"/>
      <c r="H16" s="93" t="str">
        <f>IFERROR(__xludf.DUMMYFUNCTION("""COMPUTED_VALUE"""),"Appliance Rental")</f>
        <v>Appliance Rental</v>
      </c>
      <c r="I16" s="93" t="str">
        <f>IFERROR(__xludf.DUMMYFUNCTION("""COMPUTED_VALUE""")," Double-Door Mini Fridge   - ")</f>
        <v> Double-Door Mini Fridge   - </v>
      </c>
      <c r="J16" s="113" t="str">
        <f>IFERROR(__xludf.DUMMYFUNCTION("""COMPUTED_VALUE"""),"5/24/1900")</f>
        <v>5/24/1900</v>
      </c>
      <c r="K16" s="93">
        <f>IFERROR(__xludf.DUMMYFUNCTION("""COMPUTED_VALUE"""),45881.0)</f>
        <v>45881</v>
      </c>
      <c r="L16" s="93" t="str">
        <f>IFERROR(__xludf.DUMMYFUNCTION("""COMPUTED_VALUE"""),"House 22 (Beta Theta Pi)")</f>
        <v>House 22 (Beta Theta Pi)</v>
      </c>
      <c r="M16" s="93" t="str">
        <f>IFERROR(__xludf.DUMMYFUNCTION("""COMPUTED_VALUE"""),"2041 a")</f>
        <v>2041 a</v>
      </c>
      <c r="N16" s="93"/>
      <c r="O16" s="93" t="b">
        <f>IFERROR(__xludf.DUMMYFUNCTION("""COMPUTED_VALUE"""),TRUE)</f>
        <v>1</v>
      </c>
      <c r="P16" s="93"/>
      <c r="Q16" s="93"/>
      <c r="R16" s="93"/>
      <c r="S16" s="93"/>
      <c r="T16" s="93"/>
      <c r="U16" s="93"/>
      <c r="V16" s="93"/>
      <c r="W16" s="93"/>
      <c r="X16" s="93"/>
      <c r="Y16" s="93"/>
      <c r="Z16" s="93"/>
    </row>
    <row r="17">
      <c r="A17" s="121" t="str">
        <f>IFERROR(__xludf.DUMMYFUNCTION("""COMPUTED_VALUE"""),"https://utrucking.com/admin/orders/5913501892796")</f>
        <v>https://utrucking.com/admin/orders/5913501892796</v>
      </c>
      <c r="B17" s="93" t="str">
        <f>IFERROR(__xludf.DUMMYFUNCTION("""COMPUTED_VALUE"""),"#15519")</f>
        <v>#15519</v>
      </c>
      <c r="C17" s="93" t="str">
        <f>IFERROR(__xludf.DUMMYFUNCTION("""COMPUTED_VALUE"""),"ellielaird@icloud.com")</f>
        <v>ellielaird@icloud.com</v>
      </c>
      <c r="D17" s="93">
        <f>IFERROR(__xludf.DUMMYFUNCTION("""COMPUTED_VALUE"""),2.145770454E9)</f>
        <v>2145770454</v>
      </c>
      <c r="E17" s="93" t="str">
        <f>IFERROR(__xludf.DUMMYFUNCTION("""COMPUTED_VALUE"""),"Ellie Laird")</f>
        <v>Ellie Laird</v>
      </c>
      <c r="F17" s="93"/>
      <c r="G17" s="93"/>
      <c r="H17" s="93" t="str">
        <f>IFERROR(__xludf.DUMMYFUNCTION("""COMPUTED_VALUE"""),"Storage Item Return")</f>
        <v>Storage Item Return</v>
      </c>
      <c r="I17" s="93" t="str">
        <f>IFERROR(__xludf.DUMMYFUNCTION("""COMPUTED_VALUE"""),"University Housing ")</f>
        <v>University Housing </v>
      </c>
      <c r="J17" s="113" t="str">
        <f>IFERROR(__xludf.DUMMYFUNCTION("""COMPUTED_VALUE"""),"09:00 AM to 11:00 AM   ")</f>
        <v>09:00 AM to 11:00 AM   </v>
      </c>
      <c r="K17" s="93">
        <f>IFERROR(__xludf.DUMMYFUNCTION("""COMPUTED_VALUE"""),45881.0)</f>
        <v>45881</v>
      </c>
      <c r="L17" s="93" t="str">
        <f>IFERROR(__xludf.DUMMYFUNCTION("""COMPUTED_VALUE"""),"Millbrook Bldg. 3  ")</f>
        <v>Millbrook Bldg. 3  </v>
      </c>
      <c r="M17" s="93" t="str">
        <f>IFERROR(__xludf.DUMMYFUNCTION("""COMPUTED_VALUE"""),"102")</f>
        <v>102</v>
      </c>
      <c r="N17" s="93"/>
      <c r="O17" s="93"/>
      <c r="P17" s="93" t="str">
        <f>IFERROR(__xludf.DUMMYFUNCTION("""COMPUTED_VALUE"""),"FALSE")</f>
        <v>FALSE</v>
      </c>
      <c r="Q17" s="93"/>
      <c r="R17" s="93"/>
      <c r="S17" s="93"/>
      <c r="T17" s="93"/>
      <c r="U17" s="93"/>
      <c r="V17" s="93"/>
      <c r="W17" s="93"/>
      <c r="X17" s="93"/>
      <c r="Y17" s="93"/>
      <c r="Z17" s="93"/>
    </row>
    <row r="18">
      <c r="A18" s="121" t="str">
        <f>IFERROR(__xludf.DUMMYFUNCTION("""COMPUTED_VALUE"""),"https://utrucking.com/admin/orders/5913520472252")</f>
        <v>https://utrucking.com/admin/orders/5913520472252</v>
      </c>
      <c r="B18" s="93" t="str">
        <f>IFERROR(__xludf.DUMMYFUNCTION("""COMPUTED_VALUE"""),"#15524")</f>
        <v>#15524</v>
      </c>
      <c r="C18" s="93" t="str">
        <f>IFERROR(__xludf.DUMMYFUNCTION("""COMPUTED_VALUE"""),"ego.oyler@icloud.com")</f>
        <v>ego.oyler@icloud.com</v>
      </c>
      <c r="D18" s="93">
        <f>IFERROR(__xludf.DUMMYFUNCTION("""COMPUTED_VALUE"""),7.732307431E9)</f>
        <v>7732307431</v>
      </c>
      <c r="E18" s="93" t="str">
        <f>IFERROR(__xludf.DUMMYFUNCTION("""COMPUTED_VALUE"""),"Randall Oyler")</f>
        <v>Randall Oyler</v>
      </c>
      <c r="F18" s="93"/>
      <c r="G18" s="93"/>
      <c r="H18" s="93" t="str">
        <f>IFERROR(__xludf.DUMMYFUNCTION("""COMPUTED_VALUE"""),"Storage Item Return")</f>
        <v>Storage Item Return</v>
      </c>
      <c r="I18" s="93" t="str">
        <f>IFERROR(__xludf.DUMMYFUNCTION("""COMPUTED_VALUE"""),"University Housing ")</f>
        <v>University Housing </v>
      </c>
      <c r="J18" s="113" t="str">
        <f>IFERROR(__xludf.DUMMYFUNCTION("""COMPUTED_VALUE"""),"09:00 AM to 11:00 AM   ")</f>
        <v>09:00 AM to 11:00 AM   </v>
      </c>
      <c r="K18" s="93">
        <f>IFERROR(__xludf.DUMMYFUNCTION("""COMPUTED_VALUE"""),45881.0)</f>
        <v>45881</v>
      </c>
      <c r="L18" s="93" t="str">
        <f>IFERROR(__xludf.DUMMYFUNCTION("""COMPUTED_VALUE"""),"Nemerov  ")</f>
        <v>Nemerov  </v>
      </c>
      <c r="M18" s="93" t="str">
        <f>IFERROR(__xludf.DUMMYFUNCTION("""COMPUTED_VALUE"""),"Nemerov - 1011 - a")</f>
        <v>Nemerov - 1011 - a</v>
      </c>
      <c r="N18" s="93"/>
      <c r="O18" s="93"/>
      <c r="P18" s="93" t="str">
        <f>IFERROR(__xludf.DUMMYFUNCTION("""COMPUTED_VALUE"""),"FALSE")</f>
        <v>FALSE</v>
      </c>
      <c r="Q18" s="93"/>
      <c r="R18" s="93"/>
      <c r="S18" s="93"/>
      <c r="T18" s="93"/>
      <c r="U18" s="93"/>
      <c r="V18" s="93"/>
      <c r="W18" s="93"/>
      <c r="X18" s="93"/>
      <c r="Y18" s="93"/>
      <c r="Z18" s="93"/>
    </row>
    <row r="19">
      <c r="A19" s="121" t="str">
        <f>IFERROR(__xludf.DUMMYFUNCTION("""COMPUTED_VALUE"""),"https://utrucking.com/admin/orders/5913784549564")</f>
        <v>https://utrucking.com/admin/orders/5913784549564</v>
      </c>
      <c r="B19" s="93" t="str">
        <f>IFERROR(__xludf.DUMMYFUNCTION("""COMPUTED_VALUE"""),"#15548")</f>
        <v>#15548</v>
      </c>
      <c r="C19" s="93" t="str">
        <f>IFERROR(__xludf.DUMMYFUNCTION("""COMPUTED_VALUE"""),"l.a.marlowe@wustl.edu")</f>
        <v>l.a.marlowe@wustl.edu</v>
      </c>
      <c r="D19" s="93">
        <f>IFERROR(__xludf.DUMMYFUNCTION("""COMPUTED_VALUE"""),9.178254484E9)</f>
        <v>9178254484</v>
      </c>
      <c r="E19" s="93" t="str">
        <f>IFERROR(__xludf.DUMMYFUNCTION("""COMPUTED_VALUE"""),"Staci Marlowe")</f>
        <v>Staci Marlowe</v>
      </c>
      <c r="F19" s="93"/>
      <c r="G19" s="93"/>
      <c r="H19" s="93" t="str">
        <f>IFERROR(__xludf.DUMMYFUNCTION("""COMPUTED_VALUE"""),"Storage Item Return")</f>
        <v>Storage Item Return</v>
      </c>
      <c r="I19" s="93" t="str">
        <f>IFERROR(__xludf.DUMMYFUNCTION("""COMPUTED_VALUE"""),"University Housing ")</f>
        <v>University Housing </v>
      </c>
      <c r="J19" s="113" t="str">
        <f>IFERROR(__xludf.DUMMYFUNCTION("""COMPUTED_VALUE"""),"09:00 AM to 11:00 AM   ")</f>
        <v>09:00 AM to 11:00 AM   </v>
      </c>
      <c r="K19" s="93">
        <f>IFERROR(__xludf.DUMMYFUNCTION("""COMPUTED_VALUE"""),45881.0)</f>
        <v>45881</v>
      </c>
      <c r="L19" s="93" t="str">
        <f>IFERROR(__xludf.DUMMYFUNCTION("""COMPUTED_VALUE"""),"Millbrook Bldg. 3  ")</f>
        <v>Millbrook Bldg. 3  </v>
      </c>
      <c r="M19" s="93" t="str">
        <f>IFERROR(__xludf.DUMMYFUNCTION("""COMPUTED_VALUE"""),"202")</f>
        <v>202</v>
      </c>
      <c r="N19" s="93"/>
      <c r="O19" s="93"/>
      <c r="P19" s="93" t="str">
        <f>IFERROR(__xludf.DUMMYFUNCTION("""COMPUTED_VALUE"""),"TRUE")</f>
        <v>TRUE</v>
      </c>
      <c r="Q19" s="93"/>
      <c r="R19" s="93"/>
      <c r="S19" s="93"/>
      <c r="T19" s="93"/>
      <c r="U19" s="93"/>
      <c r="V19" s="93"/>
      <c r="W19" s="93"/>
      <c r="X19" s="93"/>
      <c r="Y19" s="93"/>
      <c r="Z19" s="93"/>
    </row>
    <row r="20">
      <c r="A20" s="121" t="str">
        <f>IFERROR(__xludf.DUMMYFUNCTION("""COMPUTED_VALUE"""),"https://utrucking.com/admin/orders/5913805488316")</f>
        <v>https://utrucking.com/admin/orders/5913805488316</v>
      </c>
      <c r="B20" s="93" t="str">
        <f>IFERROR(__xludf.DUMMYFUNCTION("""COMPUTED_VALUE"""),"#15551")</f>
        <v>#15551</v>
      </c>
      <c r="C20" s="93" t="str">
        <f>IFERROR(__xludf.DUMMYFUNCTION("""COMPUTED_VALUE"""),"l.speier@wustl.edu")</f>
        <v>l.speier@wustl.edu</v>
      </c>
      <c r="D20" s="93">
        <f>IFERROR(__xludf.DUMMYFUNCTION("""COMPUTED_VALUE"""),5.107081479E9)</f>
        <v>5107081479</v>
      </c>
      <c r="E20" s="93" t="str">
        <f>IFERROR(__xludf.DUMMYFUNCTION("""COMPUTED_VALUE"""),"Lucas Speier")</f>
        <v>Lucas Speier</v>
      </c>
      <c r="F20" s="93"/>
      <c r="G20" s="93"/>
      <c r="H20" s="93" t="str">
        <f>IFERROR(__xludf.DUMMYFUNCTION("""COMPUTED_VALUE"""),"Storage Item Return")</f>
        <v>Storage Item Return</v>
      </c>
      <c r="I20" s="93" t="str">
        <f>IFERROR(__xludf.DUMMYFUNCTION("""COMPUTED_VALUE"""),"University Housing ")</f>
        <v>University Housing </v>
      </c>
      <c r="J20" s="113" t="str">
        <f>IFERROR(__xludf.DUMMYFUNCTION("""COMPUTED_VALUE"""),"09:00 AM to 11:00 AM   ")</f>
        <v>09:00 AM to 11:00 AM   </v>
      </c>
      <c r="K20" s="93">
        <f>IFERROR(__xludf.DUMMYFUNCTION("""COMPUTED_VALUE"""),45881.0)</f>
        <v>45881</v>
      </c>
      <c r="L20" s="93" t="str">
        <f>IFERROR(__xludf.DUMMYFUNCTION("""COMPUTED_VALUE"""),"Eliot B  ")</f>
        <v>Eliot B  </v>
      </c>
      <c r="M20" s="93" t="str">
        <f>IFERROR(__xludf.DUMMYFUNCTION("""COMPUTED_VALUE"""),"4093")</f>
        <v>4093</v>
      </c>
      <c r="N20" s="93"/>
      <c r="O20" s="93"/>
      <c r="P20" s="93" t="str">
        <f>IFERROR(__xludf.DUMMYFUNCTION("""COMPUTED_VALUE"""),"TRUE")</f>
        <v>TRUE</v>
      </c>
      <c r="Q20" s="93"/>
      <c r="R20" s="93"/>
      <c r="S20" s="93"/>
      <c r="T20" s="93"/>
      <c r="U20" s="93"/>
      <c r="V20" s="93"/>
      <c r="W20" s="93"/>
      <c r="X20" s="93"/>
      <c r="Y20" s="93"/>
      <c r="Z20" s="93"/>
    </row>
    <row r="21">
      <c r="A21" s="121" t="str">
        <f>IFERROR(__xludf.DUMMYFUNCTION("""COMPUTED_VALUE"""),"https://utrucking.com/admin/orders/5921422409916")</f>
        <v>https://utrucking.com/admin/orders/5921422409916</v>
      </c>
      <c r="B21" s="93" t="str">
        <f>IFERROR(__xludf.DUMMYFUNCTION("""COMPUTED_VALUE"""),"#15888")</f>
        <v>#15888</v>
      </c>
      <c r="C21" s="93" t="str">
        <f>IFERROR(__xludf.DUMMYFUNCTION("""COMPUTED_VALUE"""),"k.margot@wustl.edu")</f>
        <v>k.margot@wustl.edu</v>
      </c>
      <c r="D21" s="93">
        <f>IFERROR(__xludf.DUMMYFUNCTION("""COMPUTED_VALUE"""),7.13321044E9)</f>
        <v>7133210440</v>
      </c>
      <c r="E21" s="93" t="str">
        <f>IFERROR(__xludf.DUMMYFUNCTION("""COMPUTED_VALUE"""),"Margot Kades")</f>
        <v>Margot Kades</v>
      </c>
      <c r="F21" s="93"/>
      <c r="G21" s="93"/>
      <c r="H21" s="93" t="str">
        <f>IFERROR(__xludf.DUMMYFUNCTION("""COMPUTED_VALUE"""),"Storage Item Return")</f>
        <v>Storage Item Return</v>
      </c>
      <c r="I21" s="93" t="str">
        <f>IFERROR(__xludf.DUMMYFUNCTION("""COMPUTED_VALUE"""),"University Housing ")</f>
        <v>University Housing </v>
      </c>
      <c r="J21" s="113" t="str">
        <f>IFERROR(__xludf.DUMMYFUNCTION("""COMPUTED_VALUE"""),"09:00 AM to 11:00 AM   ")</f>
        <v>09:00 AM to 11:00 AM   </v>
      </c>
      <c r="K21" s="93">
        <f>IFERROR(__xludf.DUMMYFUNCTION("""COMPUTED_VALUE"""),45881.0)</f>
        <v>45881</v>
      </c>
      <c r="L21" s="93" t="str">
        <f>IFERROR(__xludf.DUMMYFUNCTION("""COMPUTED_VALUE"""),"Greenway Apartments  ")</f>
        <v>Greenway Apartments  </v>
      </c>
      <c r="M21" s="93" t="str">
        <f>IFERROR(__xludf.DUMMYFUNCTION("""COMPUTED_VALUE"""),"Apartment 112-A")</f>
        <v>Apartment 112-A</v>
      </c>
      <c r="N21" s="93"/>
      <c r="O21" s="93"/>
      <c r="P21" s="93" t="str">
        <f>IFERROR(__xludf.DUMMYFUNCTION("""COMPUTED_VALUE"""),"TRUE")</f>
        <v>TRUE</v>
      </c>
      <c r="Q21" s="93"/>
      <c r="R21" s="93"/>
      <c r="S21" s="93"/>
      <c r="T21" s="93"/>
      <c r="U21" s="93"/>
      <c r="V21" s="93"/>
      <c r="W21" s="93"/>
      <c r="X21" s="93"/>
      <c r="Y21" s="93"/>
      <c r="Z21" s="93"/>
    </row>
    <row r="22">
      <c r="A22" s="121" t="str">
        <f>IFERROR(__xludf.DUMMYFUNCTION("""COMPUTED_VALUE"""),"https://utrucking.com/admin/orders/5929736962236")</f>
        <v>https://utrucking.com/admin/orders/5929736962236</v>
      </c>
      <c r="B22" s="93" t="str">
        <f>IFERROR(__xludf.DUMMYFUNCTION("""COMPUTED_VALUE"""),"#16097")</f>
        <v>#16097</v>
      </c>
      <c r="C22" s="93" t="str">
        <f>IFERROR(__xludf.DUMMYFUNCTION("""COMPUTED_VALUE"""),"m.mariana2005@outlook.com")</f>
        <v>m.mariana2005@outlook.com</v>
      </c>
      <c r="D22" s="93">
        <f>IFERROR(__xludf.DUMMYFUNCTION("""COMPUTED_VALUE"""),2.163470634E9)</f>
        <v>2163470634</v>
      </c>
      <c r="E22" s="93" t="str">
        <f>IFERROR(__xludf.DUMMYFUNCTION("""COMPUTED_VALUE"""),"Yihan Ma")</f>
        <v>Yihan Ma</v>
      </c>
      <c r="F22" s="93"/>
      <c r="G22" s="93" t="str">
        <f>IFERROR(__xludf.DUMMYFUNCTION("""COMPUTED_VALUE"""),"224D GANEDAGO HALL, ITHACA NY 14853")</f>
        <v>224D GANEDAGO HALL, ITHACA NY 14853</v>
      </c>
      <c r="H22" s="93" t="str">
        <f>IFERROR(__xludf.DUMMYFUNCTION("""COMPUTED_VALUE"""),"Storage Item Return")</f>
        <v>Storage Item Return</v>
      </c>
      <c r="I22" s="93" t="str">
        <f>IFERROR(__xludf.DUMMYFUNCTION("""COMPUTED_VALUE"""),"Non-University Housing ")</f>
        <v>Non-University Housing </v>
      </c>
      <c r="J22" s="113" t="str">
        <f>IFERROR(__xludf.DUMMYFUNCTION("""COMPUTED_VALUE"""),"09:00 AM to 11:00 AM   ")</f>
        <v>09:00 AM to 11:00 AM   </v>
      </c>
      <c r="K22" s="93">
        <f>IFERROR(__xludf.DUMMYFUNCTION("""COMPUTED_VALUE"""),45881.0)</f>
        <v>45881</v>
      </c>
      <c r="L22" s="93"/>
      <c r="M22" s="93"/>
      <c r="N22" s="93" t="str">
        <f>IFERROR(__xludf.DUMMYFUNCTION("""COMPUTED_VALUE"""),"224D GANEDAGO HALL, ITHACA NY 14853")</f>
        <v>224D GANEDAGO HALL, ITHACA NY 14853</v>
      </c>
      <c r="O22" s="93"/>
      <c r="P22" s="93" t="str">
        <f>IFERROR(__xludf.DUMMYFUNCTION("""COMPUTED_VALUE"""),"FALSE")</f>
        <v>FALSE</v>
      </c>
      <c r="Q22" s="93"/>
      <c r="R22" s="93"/>
      <c r="S22" s="93"/>
      <c r="T22" s="93"/>
      <c r="U22" s="93"/>
      <c r="V22" s="93"/>
      <c r="W22" s="93"/>
      <c r="X22" s="93"/>
      <c r="Y22" s="93"/>
      <c r="Z22" s="93"/>
    </row>
    <row r="23">
      <c r="A23" s="121" t="str">
        <f>IFERROR(__xludf.DUMMYFUNCTION("""COMPUTED_VALUE"""),"https://utrucking.com/admin/orders/5931101978812")</f>
        <v>https://utrucking.com/admin/orders/5931101978812</v>
      </c>
      <c r="B23" s="93" t="str">
        <f>IFERROR(__xludf.DUMMYFUNCTION("""COMPUTED_VALUE"""),"#16118")</f>
        <v>#16118</v>
      </c>
      <c r="C23" s="93" t="str">
        <f>IFERROR(__xludf.DUMMYFUNCTION("""COMPUTED_VALUE"""),"nartey.n120@gmail.com")</f>
        <v>nartey.n120@gmail.com</v>
      </c>
      <c r="D23" s="93">
        <f>IFERROR(__xludf.DUMMYFUNCTION("""COMPUTED_VALUE"""),7.038697756E9)</f>
        <v>7038697756</v>
      </c>
      <c r="E23" s="93" t="str">
        <f>IFERROR(__xludf.DUMMYFUNCTION("""COMPUTED_VALUE"""),"Nicole Nartey")</f>
        <v>Nicole Nartey</v>
      </c>
      <c r="F23" s="93"/>
      <c r="G23" s="93" t="str">
        <f>IFERROR(__xludf.DUMMYFUNCTION("""COMPUTED_VALUE"""),"6317 Southwood Ave, Apt 2W, Clayton, Missouri 63105")</f>
        <v>6317 Southwood Ave, Apt 2W, Clayton, Missouri 63105</v>
      </c>
      <c r="H23" s="93" t="str">
        <f>IFERROR(__xludf.DUMMYFUNCTION("""COMPUTED_VALUE"""),"Storage Item Return")</f>
        <v>Storage Item Return</v>
      </c>
      <c r="I23" s="93" t="str">
        <f>IFERROR(__xludf.DUMMYFUNCTION("""COMPUTED_VALUE"""),"Non-University Housing ")</f>
        <v>Non-University Housing </v>
      </c>
      <c r="J23" s="113" t="str">
        <f>IFERROR(__xludf.DUMMYFUNCTION("""COMPUTED_VALUE"""),"09:00 AM to 11:00 AM  ")</f>
        <v>09:00 AM to 11:00 AM  </v>
      </c>
      <c r="K23" s="93">
        <f>IFERROR(__xludf.DUMMYFUNCTION("""COMPUTED_VALUE"""),45881.0)</f>
        <v>45881</v>
      </c>
      <c r="L23" s="93"/>
      <c r="M23" s="93"/>
      <c r="N23" s="93" t="str">
        <f>IFERROR(__xludf.DUMMYFUNCTION("""COMPUTED_VALUE"""),"6317 Southwood Ave, Apt 2W, Clayton, Missouri 63105")</f>
        <v>6317 Southwood Ave, Apt 2W, Clayton, Missouri 63105</v>
      </c>
      <c r="O23" s="93"/>
      <c r="P23" s="93" t="str">
        <f>IFERROR(__xludf.DUMMYFUNCTION("""COMPUTED_VALUE"""),"FALSE")</f>
        <v>FALSE</v>
      </c>
      <c r="Q23" s="93"/>
      <c r="R23" s="93"/>
      <c r="S23" s="93"/>
      <c r="T23" s="93"/>
      <c r="U23" s="93"/>
      <c r="V23" s="93"/>
      <c r="W23" s="93"/>
      <c r="X23" s="93"/>
      <c r="Y23" s="93"/>
      <c r="Z23" s="93"/>
    </row>
    <row r="24">
      <c r="A24" s="121" t="str">
        <f>IFERROR(__xludf.DUMMYFUNCTION("""COMPUTED_VALUE"""),"https://utrucking.myshopify.com/admin/orders?query=14988")</f>
        <v>https://utrucking.myshopify.com/admin/orders?query=14988</v>
      </c>
      <c r="B24" s="93" t="str">
        <f>IFERROR(__xludf.DUMMYFUNCTION("""COMPUTED_VALUE"""),"#14988")</f>
        <v>#14988</v>
      </c>
      <c r="C24" s="93" t="str">
        <f>IFERROR(__xludf.DUMMYFUNCTION("""COMPUTED_VALUE"""),"eruth@wustl.edu")</f>
        <v>eruth@wustl.edu</v>
      </c>
      <c r="D24" s="93"/>
      <c r="E24" s="93" t="str">
        <f>IFERROR(__xludf.DUMMYFUNCTION("""COMPUTED_VALUE"""),"Lexie Ruth")</f>
        <v>Lexie Ruth</v>
      </c>
      <c r="F24" s="93"/>
      <c r="G24" s="93" t="str">
        <f>IFERROR(__xludf.DUMMYFUNCTION("""COMPUTED_VALUE"""),"3212 Gulfstream Road")</f>
        <v>3212 Gulfstream Road</v>
      </c>
      <c r="H24" s="93" t="str">
        <f>IFERROR(__xludf.DUMMYFUNCTION("""COMPUTED_VALUE"""),"Nationwide Ship to School")</f>
        <v>Nationwide Ship to School</v>
      </c>
      <c r="I24" s="93" t="str">
        <f>IFERROR(__xludf.DUMMYFUNCTION("""COMPUTED_VALUE"""),"University Housing")</f>
        <v>University Housing</v>
      </c>
      <c r="J24" s="113" t="str">
        <f>IFERROR(__xludf.DUMMYFUNCTION("""COMPUTED_VALUE"""),"09:00 AM - 11:00 AM")</f>
        <v>09:00 AM - 11:00 AM</v>
      </c>
      <c r="K24" s="93">
        <f>IFERROR(__xludf.DUMMYFUNCTION("""COMPUTED_VALUE"""),45881.0)</f>
        <v>45881</v>
      </c>
      <c r="L24" s="93" t="str">
        <f>IFERROR(__xludf.DUMMYFUNCTION("""COMPUTED_VALUE"""),"Lien")</f>
        <v>Lien</v>
      </c>
      <c r="M24" s="93" t="str">
        <f>IFERROR(__xludf.DUMMYFUNCTION("""COMPUTED_VALUE"""),"1117")</f>
        <v>1117</v>
      </c>
      <c r="N24" s="93"/>
      <c r="O24" s="93"/>
      <c r="P24" s="93"/>
      <c r="Q24" s="93"/>
      <c r="R24" s="93"/>
      <c r="S24" s="93"/>
      <c r="T24" s="93"/>
      <c r="U24" s="93"/>
      <c r="V24" s="93"/>
      <c r="W24" s="93"/>
      <c r="X24" s="93"/>
      <c r="Y24" s="93"/>
      <c r="Z24" s="93"/>
    </row>
    <row r="25">
      <c r="A25" s="121" t="str">
        <f>IFERROR(__xludf.DUMMYFUNCTION("""COMPUTED_VALUE"""),"https://utrucking.myshopify.com/admin/orders?query=15036")</f>
        <v>https://utrucking.myshopify.com/admin/orders?query=15036</v>
      </c>
      <c r="B25" s="93" t="str">
        <f>IFERROR(__xludf.DUMMYFUNCTION("""COMPUTED_VALUE"""),"#15036")</f>
        <v>#15036</v>
      </c>
      <c r="C25" s="93" t="str">
        <f>IFERROR(__xludf.DUMMYFUNCTION("""COMPUTED_VALUE"""),"a.covello@wustl.edu")</f>
        <v>a.covello@wustl.edu</v>
      </c>
      <c r="D25" s="93"/>
      <c r="E25" s="93" t="str">
        <f>IFERROR(__xludf.DUMMYFUNCTION("""COMPUTED_VALUE"""),"Andrew Covello")</f>
        <v>Andrew Covello</v>
      </c>
      <c r="F25" s="93"/>
      <c r="G25" s="93" t="str">
        <f>IFERROR(__xludf.DUMMYFUNCTION("""COMPUTED_VALUE"""),"7 Loantaka Lane N")</f>
        <v>7 Loantaka Lane N</v>
      </c>
      <c r="H25" s="93" t="str">
        <f>IFERROR(__xludf.DUMMYFUNCTION("""COMPUTED_VALUE"""),"Nationwide Ship to School")</f>
        <v>Nationwide Ship to School</v>
      </c>
      <c r="I25" s="93" t="str">
        <f>IFERROR(__xludf.DUMMYFUNCTION("""COMPUTED_VALUE"""),"University Housing")</f>
        <v>University Housing</v>
      </c>
      <c r="J25" s="113" t="str">
        <f>IFERROR(__xludf.DUMMYFUNCTION("""COMPUTED_VALUE"""),"09:00 AM - 11:00 AM")</f>
        <v>09:00 AM - 11:00 AM</v>
      </c>
      <c r="K25" s="93">
        <f>IFERROR(__xludf.DUMMYFUNCTION("""COMPUTED_VALUE"""),45881.0)</f>
        <v>45881</v>
      </c>
      <c r="L25" s="93" t="str">
        <f>IFERROR(__xludf.DUMMYFUNCTION("""COMPUTED_VALUE"""),"DON'T KNOW YET (put 'XXX' for room #)")</f>
        <v>DON'T KNOW YET (put 'XXX' for room #)</v>
      </c>
      <c r="M25" s="93" t="str">
        <f>IFERROR(__xludf.DUMMYFUNCTION("""COMPUTED_VALUE"""),"XXX")</f>
        <v>XXX</v>
      </c>
      <c r="N25" s="93"/>
      <c r="O25" s="93"/>
      <c r="P25" s="93"/>
      <c r="Q25" s="93"/>
      <c r="R25" s="93"/>
      <c r="S25" s="93"/>
      <c r="T25" s="93"/>
      <c r="U25" s="93"/>
      <c r="V25" s="93"/>
      <c r="W25" s="93"/>
      <c r="X25" s="93"/>
      <c r="Y25" s="93"/>
      <c r="Z25" s="93"/>
    </row>
    <row r="26">
      <c r="A26" s="121" t="str">
        <f>IFERROR(__xludf.DUMMYFUNCTION("""COMPUTED_VALUE"""),"https://utrucking.myshopify.com/admin/orders?query=15144")</f>
        <v>https://utrucking.myshopify.com/admin/orders?query=15144</v>
      </c>
      <c r="B26" s="93" t="str">
        <f>IFERROR(__xludf.DUMMYFUNCTION("""COMPUTED_VALUE"""),"#15144")</f>
        <v>#15144</v>
      </c>
      <c r="C26" s="93" t="str">
        <f>IFERROR(__xludf.DUMMYFUNCTION("""COMPUTED_VALUE"""),"Maryraue@gmail.com")</f>
        <v>Maryraue@gmail.com</v>
      </c>
      <c r="D26" s="93"/>
      <c r="E26" s="93" t="str">
        <f>IFERROR(__xludf.DUMMYFUNCTION("""COMPUTED_VALUE"""),"Mary Raue")</f>
        <v>Mary Raue</v>
      </c>
      <c r="F26" s="93"/>
      <c r="G26" s="93" t="str">
        <f>IFERROR(__xludf.DUMMYFUNCTION("""COMPUTED_VALUE"""),"5810 Beech Ave")</f>
        <v>5810 Beech Ave</v>
      </c>
      <c r="H26" s="93" t="str">
        <f>IFERROR(__xludf.DUMMYFUNCTION("""COMPUTED_VALUE"""),"Nationwide Ship to School")</f>
        <v>Nationwide Ship to School</v>
      </c>
      <c r="I26" s="93" t="str">
        <f>IFERROR(__xludf.DUMMYFUNCTION("""COMPUTED_VALUE"""),"University Housing")</f>
        <v>University Housing</v>
      </c>
      <c r="J26" s="113" t="str">
        <f>IFERROR(__xludf.DUMMYFUNCTION("""COMPUTED_VALUE"""),"09:00 AM - 11:00 AM")</f>
        <v>09:00 AM - 11:00 AM</v>
      </c>
      <c r="K26" s="93">
        <f>IFERROR(__xludf.DUMMYFUNCTION("""COMPUTED_VALUE"""),45881.0)</f>
        <v>45881</v>
      </c>
      <c r="L26" s="93" t="str">
        <f>IFERROR(__xludf.DUMMYFUNCTION("""COMPUTED_VALUE"""),"DON'T KNOW YET (put 'XXX' for room #)")</f>
        <v>DON'T KNOW YET (put 'XXX' for room #)</v>
      </c>
      <c r="M26" s="93" t="str">
        <f>IFERROR(__xludf.DUMMYFUNCTION("""COMPUTED_VALUE"""),"XXX")</f>
        <v>XXX</v>
      </c>
      <c r="N26" s="93"/>
      <c r="O26" s="93"/>
      <c r="P26" s="93"/>
      <c r="Q26" s="93"/>
      <c r="R26" s="93"/>
      <c r="S26" s="93"/>
      <c r="T26" s="93"/>
      <c r="U26" s="93"/>
      <c r="V26" s="93"/>
      <c r="W26" s="93"/>
      <c r="X26" s="93"/>
      <c r="Y26" s="93"/>
      <c r="Z26" s="93"/>
    </row>
    <row r="27">
      <c r="A27" s="121" t="str">
        <f>IFERROR(__xludf.DUMMYFUNCTION("""COMPUTED_VALUE"""),"https://utrucking.myshopify.com/admin/orders?query=15187")</f>
        <v>https://utrucking.myshopify.com/admin/orders?query=15187</v>
      </c>
      <c r="B27" s="93" t="str">
        <f>IFERROR(__xludf.DUMMYFUNCTION("""COMPUTED_VALUE"""),"#15187")</f>
        <v>#15187</v>
      </c>
      <c r="C27" s="93" t="str">
        <f>IFERROR(__xludf.DUMMYFUNCTION("""COMPUTED_VALUE"""),"CCHAZDAY@GMAIL.COM")</f>
        <v>CCHAZDAY@GMAIL.COM</v>
      </c>
      <c r="D27" s="93"/>
      <c r="E27" s="93" t="str">
        <f>IFERROR(__xludf.DUMMYFUNCTION("""COMPUTED_VALUE"""),"Cooper Hazday")</f>
        <v>Cooper Hazday</v>
      </c>
      <c r="F27" s="93"/>
      <c r="G27" s="93" t="str">
        <f>IFERROR(__xludf.DUMMYFUNCTION("""COMPUTED_VALUE"""),"932 Pine Tree Lane")</f>
        <v>932 Pine Tree Lane</v>
      </c>
      <c r="H27" s="93" t="str">
        <f>IFERROR(__xludf.DUMMYFUNCTION("""COMPUTED_VALUE"""),"Nationwide Ship to School")</f>
        <v>Nationwide Ship to School</v>
      </c>
      <c r="I27" s="93" t="str">
        <f>IFERROR(__xludf.DUMMYFUNCTION("""COMPUTED_VALUE"""),"University Housing")</f>
        <v>University Housing</v>
      </c>
      <c r="J27" s="113" t="str">
        <f>IFERROR(__xludf.DUMMYFUNCTION("""COMPUTED_VALUE"""),"11:00 AM - 01:00 PM")</f>
        <v>11:00 AM - 01:00 PM</v>
      </c>
      <c r="K27" s="93">
        <f>IFERROR(__xludf.DUMMYFUNCTION("""COMPUTED_VALUE"""),45881.0)</f>
        <v>45881</v>
      </c>
      <c r="L27" s="93" t="str">
        <f>IFERROR(__xludf.DUMMYFUNCTION("""COMPUTED_VALUE"""),"Myers")</f>
        <v>Myers</v>
      </c>
      <c r="M27" s="93" t="str">
        <f>IFERROR(__xludf.DUMMYFUNCTION("""COMPUTED_VALUE"""),"423-A")</f>
        <v>423-A</v>
      </c>
      <c r="N27" s="93"/>
      <c r="O27" s="93"/>
      <c r="P27" s="93"/>
      <c r="Q27" s="93"/>
      <c r="R27" s="93"/>
      <c r="S27" s="93"/>
      <c r="T27" s="93"/>
      <c r="U27" s="93"/>
      <c r="V27" s="93"/>
      <c r="W27" s="93"/>
      <c r="X27" s="93"/>
      <c r="Y27" s="93"/>
      <c r="Z27" s="93"/>
    </row>
    <row r="28">
      <c r="A28" s="121" t="str">
        <f>IFERROR(__xludf.DUMMYFUNCTION("""COMPUTED_VALUE"""),"https://utrucking.com/products/storage-item-return")</f>
        <v>https://utrucking.com/products/storage-item-return</v>
      </c>
      <c r="B28" s="93" t="str">
        <f>IFERROR(__xludf.DUMMYFUNCTION("""COMPUTED_VALUE"""),"#15984")</f>
        <v>#15984</v>
      </c>
      <c r="C28" s="93" t="str">
        <f>IFERROR(__xludf.DUMMYFUNCTION("""COMPUTED_VALUE"""),"jennifermaxell@gmail.com")</f>
        <v>jennifermaxell@gmail.com</v>
      </c>
      <c r="D28" s="93"/>
      <c r="E28" s="93" t="str">
        <f>IFERROR(__xludf.DUMMYFUNCTION("""COMPUTED_VALUE"""),"Jennifer Maxell")</f>
        <v>Jennifer Maxell</v>
      </c>
      <c r="F28" s="93"/>
      <c r="G28" s="93"/>
      <c r="H28" s="93" t="str">
        <f>IFERROR(__xludf.DUMMYFUNCTION("""COMPUTED_VALUE"""),"Nationwide Ship to School")</f>
        <v>Nationwide Ship to School</v>
      </c>
      <c r="I28" s="93" t="str">
        <f>IFERROR(__xludf.DUMMYFUNCTION("""COMPUTED_VALUE"""),"University Housing ")</f>
        <v>University Housing </v>
      </c>
      <c r="J28" s="113" t="str">
        <f>IFERROR(__xludf.DUMMYFUNCTION("""COMPUTED_VALUE"""),"09:00 AM to 11:00 AM   ")</f>
        <v>09:00 AM to 11:00 AM   </v>
      </c>
      <c r="K28" s="93">
        <f>IFERROR(__xludf.DUMMYFUNCTION("""COMPUTED_VALUE"""),45881.0)</f>
        <v>45881</v>
      </c>
      <c r="L28" s="93" t="str">
        <f>IFERROR(__xludf.DUMMYFUNCTION("""COMPUTED_VALUE"""),"DON'T KNOW YET (put 'XXX' for room #)")</f>
        <v>DON'T KNOW YET (put 'XXX' for room #)</v>
      </c>
      <c r="M28" s="93" t="str">
        <f>IFERROR(__xludf.DUMMYFUNCTION("""COMPUTED_VALUE"""),"XXX")</f>
        <v>XXX</v>
      </c>
      <c r="N28" s="93"/>
      <c r="O28" s="93"/>
      <c r="P28" s="93"/>
      <c r="Q28" s="93"/>
      <c r="R28" s="93"/>
      <c r="S28" s="93"/>
      <c r="T28" s="93"/>
      <c r="U28" s="93"/>
      <c r="V28" s="93"/>
      <c r="W28" s="93"/>
      <c r="X28" s="93"/>
      <c r="Y28" s="93"/>
      <c r="Z28" s="93"/>
    </row>
    <row r="29">
      <c r="A29" s="121" t="str">
        <f>IFERROR(__xludf.DUMMYFUNCTION("""COMPUTED_VALUE"""),"https://utrucking.com/admin/orders/5936179675324")</f>
        <v>https://utrucking.com/admin/orders/5936179675324</v>
      </c>
      <c r="B29" s="93" t="str">
        <f>IFERROR(__xludf.DUMMYFUNCTION("""COMPUTED_VALUE"""),"#16234")</f>
        <v>#16234</v>
      </c>
      <c r="C29" s="93" t="str">
        <f>IFERROR(__xludf.DUMMYFUNCTION("""COMPUTED_VALUE"""),"davidg795@gmail.com")</f>
        <v>davidg795@gmail.com</v>
      </c>
      <c r="D29" s="93">
        <f>IFERROR(__xludf.DUMMYFUNCTION("""COMPUTED_VALUE"""),6.186411334E9)</f>
        <v>6186411334</v>
      </c>
      <c r="E29" s="93" t="str">
        <f>IFERROR(__xludf.DUMMYFUNCTION("""COMPUTED_VALUE"""),"David George")</f>
        <v>David George</v>
      </c>
      <c r="F29" s="93" t="str">
        <f>IFERROR(__xludf.DUMMYFUNCTION("""COMPUTED_VALUE""")," 0  General Moving Services - University")</f>
        <v> 0  General Moving Services - University</v>
      </c>
      <c r="G29" s="93" t="str">
        <f>IFERROR(__xludf.DUMMYFUNCTION("""COMPUTED_VALUE"""),"Kelsey ")</f>
        <v>Kelsey </v>
      </c>
      <c r="H29" s="93" t="str">
        <f>IFERROR(__xludf.DUMMYFUNCTION("""COMPUTED_VALUE""")," University Housing")</f>
        <v> University Housing</v>
      </c>
      <c r="I29" s="93" t="str">
        <f>IFERROR(__xludf.DUMMYFUNCTION("""COMPUTED_VALUE"""),"8/12/2025")</f>
        <v>8/12/2025</v>
      </c>
      <c r="J29" s="113" t="str">
        <f>IFERROR(__xludf.DUMMYFUNCTION("""COMPUTED_VALUE"""),"9:30am-6:30pm")</f>
        <v>9:30am-6:30pm</v>
      </c>
      <c r="K29" s="93"/>
      <c r="L29" s="93" t="str">
        <f>IFERROR(__xludf.DUMMYFUNCTION("""COMPUTED_VALUE"""),"XXX")</f>
        <v>XXX</v>
      </c>
      <c r="M29" s="93"/>
      <c r="N29" s="93" t="str">
        <f>IFERROR(__xludf.DUMMYFUNCTION("""COMPUTED_VALUE"""),"8/8/25
2 movers
moved various items for Kelsey - check email")</f>
        <v>8/8/25
2 movers
moved various items for Kelsey - check email</v>
      </c>
      <c r="O29" s="93"/>
      <c r="P29" s="93"/>
      <c r="Q29" s="93"/>
      <c r="R29" s="93"/>
      <c r="S29" s="93"/>
      <c r="T29" s="93"/>
      <c r="U29" s="93"/>
      <c r="V29" s="93"/>
      <c r="W29" s="93"/>
      <c r="X29" s="93"/>
      <c r="Y29" s="93"/>
      <c r="Z29" s="93"/>
    </row>
    <row r="30">
      <c r="A30" s="121" t="str">
        <f>IFERROR(__xludf.DUMMYFUNCTION("""COMPUTED_VALUE"""),"https://utrucking.com/admin/orders/5936184230076")</f>
        <v>https://utrucking.com/admin/orders/5936184230076</v>
      </c>
      <c r="B30" s="93" t="str">
        <f>IFERROR(__xludf.DUMMYFUNCTION("""COMPUTED_VALUE"""),"#16235")</f>
        <v>#16235</v>
      </c>
      <c r="C30" s="93" t="str">
        <f>IFERROR(__xludf.DUMMYFUNCTION("""COMPUTED_VALUE"""),"davidg795@gmail.com")</f>
        <v>davidg795@gmail.com</v>
      </c>
      <c r="D30" s="93">
        <f>IFERROR(__xludf.DUMMYFUNCTION("""COMPUTED_VALUE"""),6.186411334E9)</f>
        <v>6186411334</v>
      </c>
      <c r="E30" s="93" t="str">
        <f>IFERROR(__xludf.DUMMYFUNCTION("""COMPUTED_VALUE"""),"David George")</f>
        <v>David George</v>
      </c>
      <c r="F30" s="93" t="str">
        <f>IFERROR(__xludf.DUMMYFUNCTION("""COMPUTED_VALUE""")," 0  General Moving Services - University")</f>
        <v> 0  General Moving Services - University</v>
      </c>
      <c r="G30" s="93" t="str">
        <f>IFERROR(__xludf.DUMMYFUNCTION("""COMPUTED_VALUE"""),"Kelsey ")</f>
        <v>Kelsey </v>
      </c>
      <c r="H30" s="93" t="str">
        <f>IFERROR(__xludf.DUMMYFUNCTION("""COMPUTED_VALUE""")," University Housing")</f>
        <v> University Housing</v>
      </c>
      <c r="I30" s="93" t="str">
        <f>IFERROR(__xludf.DUMMYFUNCTION("""COMPUTED_VALUE"""),"8/12/2025")</f>
        <v>8/12/2025</v>
      </c>
      <c r="J30" s="113" t="str">
        <f>IFERROR(__xludf.DUMMYFUNCTION("""COMPUTED_VALUE"""),"9:00am - 3:50pm")</f>
        <v>9:00am - 3:50pm</v>
      </c>
      <c r="K30" s="93"/>
      <c r="L30" s="93" t="str">
        <f>IFERROR(__xludf.DUMMYFUNCTION("""COMPUTED_VALUE"""),"XXX")</f>
        <v>XXX</v>
      </c>
      <c r="M30" s="93"/>
      <c r="N30" s="93" t="str">
        <f>IFERROR(__xludf.DUMMYFUNCTION("""COMPUTED_VALUE"""),"8/9/25
2 movers
moved various items for Kelsey - check email")</f>
        <v>8/9/25
2 movers
moved various items for Kelsey - check email</v>
      </c>
      <c r="O30" s="93"/>
      <c r="P30" s="93"/>
      <c r="Q30" s="93"/>
      <c r="R30" s="93"/>
      <c r="S30" s="93"/>
      <c r="T30" s="93"/>
      <c r="U30" s="93"/>
      <c r="V30" s="93"/>
      <c r="W30" s="93"/>
      <c r="X30" s="93"/>
      <c r="Y30" s="93"/>
      <c r="Z30" s="93"/>
    </row>
    <row r="31">
      <c r="A31" s="121" t="str">
        <f>IFERROR(__xludf.DUMMYFUNCTION("""COMPUTED_VALUE"""),"https://utrucking.com/admin/orders/5937918083260")</f>
        <v>https://utrucking.com/admin/orders/5937918083260</v>
      </c>
      <c r="B31" s="93" t="str">
        <f>IFERROR(__xludf.DUMMYFUNCTION("""COMPUTED_VALUE"""),"#16278")</f>
        <v>#16278</v>
      </c>
      <c r="C31" s="93"/>
      <c r="D31" s="93">
        <f>IFERROR(__xludf.DUMMYFUNCTION("""COMPUTED_VALUE"""),3.142005642E9)</f>
        <v>3142005642</v>
      </c>
      <c r="E31" s="93" t="str">
        <f>IFERROR(__xludf.DUMMYFUNCTION("""COMPUTED_VALUE"""),"Adam Mofid")</f>
        <v>Adam Mofid</v>
      </c>
      <c r="F31" s="93" t="str">
        <f>IFERROR(__xludf.DUMMYFUNCTION("""COMPUTED_VALUE""")," 3   - University")</f>
        <v> 3   - University</v>
      </c>
      <c r="G31" s="93" t="str">
        <f>IFERROR(__xludf.DUMMYFUNCTION("""COMPUTED_VALUE"""),"Britne Amick ")</f>
        <v>Britne Amick </v>
      </c>
      <c r="H31" s="93" t="str">
        <f>IFERROR(__xludf.DUMMYFUNCTION("""COMPUTED_VALUE""")," University Housing")</f>
        <v> University Housing</v>
      </c>
      <c r="I31" s="93" t="str">
        <f>IFERROR(__xludf.DUMMYFUNCTION("""COMPUTED_VALUE"""),"8/12/2025")</f>
        <v>8/12/2025</v>
      </c>
      <c r="J31" s="113" t="str">
        <f>IFERROR(__xludf.DUMMYFUNCTION("""COMPUTED_VALUE"""),"Flexible")</f>
        <v>Flexible</v>
      </c>
      <c r="K31" s="93"/>
      <c r="L31" s="93" t="str">
        <f>IFERROR(__xludf.DUMMYFUNCTION("""COMPUTED_VALUE"""),"3020")</f>
        <v>3020</v>
      </c>
      <c r="M31" s="93"/>
      <c r="N31" s="93" t="str">
        <f>IFERROR(__xludf.DUMMYFUNCTION("""COMPUTED_VALUE"""),"Please deliver 3 kits to Kamara Sakho. University paying—requested by Britne who Kelsey referred us to.")</f>
        <v>Please deliver 3 kits to Kamara Sakho. University paying—requested by Britne who Kelsey referred us to.</v>
      </c>
      <c r="O31" s="93"/>
      <c r="P31" s="93"/>
      <c r="Q31" s="93"/>
      <c r="R31" s="93"/>
      <c r="S31" s="93"/>
      <c r="T31" s="93"/>
      <c r="U31" s="93"/>
      <c r="V31" s="93"/>
      <c r="W31" s="93"/>
      <c r="X31" s="93"/>
      <c r="Y31" s="93"/>
      <c r="Z31" s="93"/>
    </row>
    <row r="32">
      <c r="A32" s="121" t="str">
        <f>IFERROR(__xludf.DUMMYFUNCTION("""COMPUTED_VALUE"""),"https://utrucking.com/admin/orders/5943778967740")</f>
        <v>https://utrucking.com/admin/orders/5943778967740</v>
      </c>
      <c r="B32" s="93" t="str">
        <f>IFERROR(__xludf.DUMMYFUNCTION("""COMPUTED_VALUE"""),"#16366")</f>
        <v>#16366</v>
      </c>
      <c r="C32" s="93" t="str">
        <f>IFERROR(__xludf.DUMMYFUNCTION("""COMPUTED_VALUE"""),"davidg795@gmail.com")</f>
        <v>davidg795@gmail.com</v>
      </c>
      <c r="D32" s="93">
        <f>IFERROR(__xludf.DUMMYFUNCTION("""COMPUTED_VALUE"""),6.186411334E9)</f>
        <v>6186411334</v>
      </c>
      <c r="E32" s="93" t="str">
        <f>IFERROR(__xludf.DUMMYFUNCTION("""COMPUTED_VALUE"""),"David George")</f>
        <v>David George</v>
      </c>
      <c r="F32" s="93" t="str">
        <f>IFERROR(__xludf.DUMMYFUNCTION("""COMPUTED_VALUE""")," 0  General Moving Services - University")</f>
        <v> 0  General Moving Services - University</v>
      </c>
      <c r="G32" s="93" t="str">
        <f>IFERROR(__xludf.DUMMYFUNCTION("""COMPUTED_VALUE"""),"Kelsey ")</f>
        <v>Kelsey </v>
      </c>
      <c r="H32" s="93" t="str">
        <f>IFERROR(__xludf.DUMMYFUNCTION("""COMPUTED_VALUE""")," University Housing")</f>
        <v> University Housing</v>
      </c>
      <c r="I32" s="93" t="str">
        <f>IFERROR(__xludf.DUMMYFUNCTION("""COMPUTED_VALUE"""),"8/12/2025")</f>
        <v>8/12/2025</v>
      </c>
      <c r="J32" s="113" t="str">
        <f>IFERROR(__xludf.DUMMYFUNCTION("""COMPUTED_VALUE"""),"11:00am - 5:30pm")</f>
        <v>11:00am - 5:30pm</v>
      </c>
      <c r="K32" s="93"/>
      <c r="L32" s="93" t="str">
        <f>IFERROR(__xludf.DUMMYFUNCTION("""COMPUTED_VALUE"""),"xxx")</f>
        <v>xxx</v>
      </c>
      <c r="M32" s="93"/>
      <c r="N32" s="93" t="str">
        <f>IFERROR(__xludf.DUMMYFUNCTION("""COMPUTED_VALUE"""),"8/12/25
3 movers
moved bed frame and desk from Beau to MB1 storage, assembled bed in Beau 304.
Moved pallets from various locations
Moved 5 stands from LK to RLC
Moved patio furniture to upper row ")</f>
        <v>8/12/25
3 movers
moved bed frame and desk from Beau to MB1 storage, assembled bed in Beau 304.
Moved pallets from various locations
Moved 5 stands from LK to RLC
Moved patio furniture to upper row </v>
      </c>
      <c r="O32" s="93"/>
      <c r="P32" s="93"/>
      <c r="Q32" s="93"/>
      <c r="R32" s="93"/>
      <c r="S32" s="93"/>
      <c r="T32" s="93"/>
      <c r="U32" s="93"/>
      <c r="V32" s="93"/>
      <c r="W32" s="93"/>
      <c r="X32" s="93"/>
      <c r="Y32" s="93"/>
      <c r="Z32" s="93"/>
    </row>
    <row r="33">
      <c r="A33" s="121" t="str">
        <f>IFERROR(__xludf.DUMMYFUNCTION("""COMPUTED_VALUE"""),"https://utrucking.com/admin/orders/5944123195580")</f>
        <v>https://utrucking.com/admin/orders/5944123195580</v>
      </c>
      <c r="B33" s="93" t="str">
        <f>IFERROR(__xludf.DUMMYFUNCTION("""COMPUTED_VALUE"""),"#16375")</f>
        <v>#16375</v>
      </c>
      <c r="C33" s="93" t="str">
        <f>IFERROR(__xludf.DUMMYFUNCTION("""COMPUTED_VALUE"""),"davidg795@gmail.com")</f>
        <v>davidg795@gmail.com</v>
      </c>
      <c r="D33" s="93">
        <f>IFERROR(__xludf.DUMMYFUNCTION("""COMPUTED_VALUE"""),6.186411334E9)</f>
        <v>6186411334</v>
      </c>
      <c r="E33" s="93" t="str">
        <f>IFERROR(__xludf.DUMMYFUNCTION("""COMPUTED_VALUE"""),"David George")</f>
        <v>David George</v>
      </c>
      <c r="F33" s="93" t="str">
        <f>IFERROR(__xludf.DUMMYFUNCTION("""COMPUTED_VALUE""")," 0  General Moving Services - University")</f>
        <v> 0  General Moving Services - University</v>
      </c>
      <c r="G33" s="93" t="str">
        <f>IFERROR(__xludf.DUMMYFUNCTION("""COMPUTED_VALUE"""),"Kelsey ")</f>
        <v>Kelsey </v>
      </c>
      <c r="H33" s="93" t="str">
        <f>IFERROR(__xludf.DUMMYFUNCTION("""COMPUTED_VALUE""")," University Housing")</f>
        <v> University Housing</v>
      </c>
      <c r="I33" s="93" t="str">
        <f>IFERROR(__xludf.DUMMYFUNCTION("""COMPUTED_VALUE"""),"8/12/2025")</f>
        <v>8/12/2025</v>
      </c>
      <c r="J33" s="113" t="str">
        <f>IFERROR(__xludf.DUMMYFUNCTION("""COMPUTED_VALUE"""),"3pm - 4pm")</f>
        <v>3pm - 4pm</v>
      </c>
      <c r="K33" s="93"/>
      <c r="L33" s="93" t="str">
        <f>IFERROR(__xludf.DUMMYFUNCTION("""COMPUTED_VALUE"""),"124, 126, 327")</f>
        <v>124, 126, 327</v>
      </c>
      <c r="M33" s="93"/>
      <c r="N33" s="93" t="str">
        <f>IFERROR(__xludf.DUMMYFUNCTION("""COMPUTED_VALUE"""),"8/12/25
2 movers
re arranged greenway 124, 126, 327 ")</f>
        <v>8/12/25
2 movers
re arranged greenway 124, 126, 327 </v>
      </c>
      <c r="O33" s="93"/>
      <c r="P33" s="93"/>
      <c r="Q33" s="93"/>
      <c r="R33" s="93"/>
      <c r="S33" s="93"/>
      <c r="T33" s="93"/>
      <c r="U33" s="93"/>
      <c r="V33" s="93"/>
      <c r="W33" s="93"/>
      <c r="X33" s="93"/>
      <c r="Y33" s="93"/>
      <c r="Z33" s="9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row r="1001">
      <c r="J1001" s="113"/>
    </row>
    <row r="1002">
      <c r="J1002" s="113"/>
    </row>
    <row r="1003">
      <c r="J1003" s="113"/>
    </row>
    <row r="1004">
      <c r="J1004" s="113"/>
    </row>
    <row r="1005">
      <c r="J1005" s="113"/>
    </row>
    <row r="1006">
      <c r="J1006" s="113"/>
    </row>
    <row r="1007">
      <c r="J1007" s="113"/>
    </row>
    <row r="1008">
      <c r="J1008" s="113"/>
    </row>
    <row r="1009">
      <c r="J1009" s="113"/>
    </row>
    <row r="1010">
      <c r="J1010" s="113"/>
    </row>
    <row r="1011">
      <c r="J1011" s="113"/>
    </row>
    <row r="1012">
      <c r="J1012" s="113"/>
    </row>
    <row r="1013">
      <c r="J1013" s="113"/>
    </row>
    <row r="1014">
      <c r="J1014" s="113"/>
    </row>
    <row r="1015">
      <c r="J1015" s="113"/>
    </row>
    <row r="1016">
      <c r="J1016" s="113"/>
    </row>
    <row r="1017">
      <c r="J1017" s="113"/>
    </row>
    <row r="1018">
      <c r="J1018" s="113"/>
    </row>
    <row r="1019">
      <c r="J1019" s="113"/>
    </row>
    <row r="1020">
      <c r="J1020" s="113"/>
    </row>
    <row r="1021">
      <c r="J1021" s="113"/>
    </row>
    <row r="1022">
      <c r="J1022" s="113"/>
    </row>
    <row r="1023">
      <c r="J1023" s="113"/>
    </row>
    <row r="1024">
      <c r="J1024" s="113"/>
    </row>
    <row r="1025">
      <c r="J1025" s="113"/>
    </row>
    <row r="1026">
      <c r="J1026" s="113"/>
    </row>
    <row r="1027">
      <c r="J1027" s="113"/>
    </row>
    <row r="1028">
      <c r="J1028" s="113"/>
    </row>
    <row r="1029">
      <c r="J1029" s="113"/>
    </row>
    <row r="1030">
      <c r="J1030" s="113"/>
    </row>
    <row r="1031">
      <c r="J1031" s="113"/>
    </row>
    <row r="1032">
      <c r="J1032" s="113"/>
    </row>
    <row r="1033">
      <c r="J1033" s="113"/>
    </row>
    <row r="1034">
      <c r="J1034" s="113"/>
    </row>
    <row r="1035">
      <c r="J1035" s="113"/>
    </row>
    <row r="1036">
      <c r="J1036" s="113"/>
    </row>
    <row r="1037">
      <c r="J1037" s="113"/>
    </row>
    <row r="1038">
      <c r="J1038" s="113"/>
    </row>
    <row r="1039">
      <c r="J1039" s="113"/>
    </row>
    <row r="1040">
      <c r="J1040" s="113"/>
    </row>
    <row r="1041">
      <c r="J1041" s="113"/>
    </row>
    <row r="1042">
      <c r="J1042" s="113"/>
    </row>
    <row r="1043">
      <c r="J1043" s="113"/>
    </row>
    <row r="1044">
      <c r="J1044" s="113"/>
    </row>
    <row r="1045">
      <c r="J1045" s="113"/>
    </row>
    <row r="1046">
      <c r="J1046" s="113"/>
    </row>
    <row r="1047">
      <c r="J1047" s="113"/>
    </row>
    <row r="1048">
      <c r="J1048" s="113"/>
    </row>
    <row r="1049">
      <c r="J1049" s="113"/>
    </row>
    <row r="1050">
      <c r="J1050" s="113"/>
    </row>
    <row r="1051">
      <c r="J1051" s="113"/>
    </row>
    <row r="1052">
      <c r="J1052" s="113"/>
    </row>
    <row r="1053">
      <c r="J1053" s="113"/>
    </row>
    <row r="1054">
      <c r="J1054" s="113"/>
    </row>
    <row r="1055">
      <c r="J1055" s="113"/>
    </row>
    <row r="1056">
      <c r="J1056" s="113"/>
    </row>
    <row r="1057">
      <c r="J1057" s="113"/>
    </row>
    <row r="1058">
      <c r="J1058" s="113"/>
    </row>
    <row r="1059">
      <c r="J1059" s="113"/>
    </row>
    <row r="1060">
      <c r="J1060" s="113"/>
    </row>
    <row r="1061">
      <c r="J1061" s="113"/>
    </row>
    <row r="1062">
      <c r="J1062" s="113"/>
    </row>
    <row r="1063">
      <c r="J1063" s="113"/>
    </row>
    <row r="1064">
      <c r="J1064" s="113"/>
    </row>
    <row r="1065">
      <c r="J1065" s="113"/>
    </row>
    <row r="1066">
      <c r="J1066" s="113"/>
    </row>
    <row r="1067">
      <c r="J1067" s="113"/>
    </row>
    <row r="1068">
      <c r="J1068" s="113"/>
    </row>
    <row r="1069">
      <c r="J1069" s="113"/>
    </row>
    <row r="1070">
      <c r="J1070" s="113"/>
    </row>
    <row r="1071">
      <c r="J1071" s="113"/>
    </row>
    <row r="1072">
      <c r="J1072" s="113"/>
    </row>
    <row r="1073">
      <c r="J1073" s="113"/>
    </row>
    <row r="1074">
      <c r="J1074" s="113"/>
    </row>
    <row r="1075">
      <c r="J1075" s="113"/>
    </row>
    <row r="1076">
      <c r="J1076" s="113"/>
    </row>
    <row r="1077">
      <c r="J1077" s="113"/>
    </row>
    <row r="1078">
      <c r="J1078" s="113"/>
    </row>
    <row r="1079">
      <c r="J1079" s="113"/>
    </row>
    <row r="1080">
      <c r="J1080" s="113"/>
    </row>
    <row r="1081">
      <c r="J1081" s="113"/>
    </row>
    <row r="1082">
      <c r="J1082" s="113"/>
    </row>
    <row r="1083">
      <c r="J1083" s="113"/>
    </row>
    <row r="1084">
      <c r="J1084" s="113"/>
    </row>
    <row r="1085">
      <c r="J1085" s="113"/>
    </row>
    <row r="1086">
      <c r="J1086" s="113"/>
    </row>
    <row r="1087">
      <c r="J1087" s="113"/>
    </row>
    <row r="1088">
      <c r="J1088" s="113"/>
    </row>
    <row r="1089">
      <c r="J1089" s="113"/>
    </row>
    <row r="1090">
      <c r="J1090" s="113"/>
    </row>
    <row r="1091">
      <c r="J1091" s="113"/>
    </row>
    <row r="1092">
      <c r="J1092" s="113"/>
    </row>
    <row r="1093">
      <c r="J1093" s="113"/>
    </row>
    <row r="1094">
      <c r="J1094" s="113"/>
    </row>
    <row r="1095">
      <c r="J1095" s="113"/>
    </row>
    <row r="1096">
      <c r="J1096" s="113"/>
    </row>
    <row r="1097">
      <c r="J1097" s="113"/>
    </row>
    <row r="1098">
      <c r="J1098" s="113"/>
    </row>
    <row r="1099">
      <c r="J1099" s="113"/>
    </row>
    <row r="1100">
      <c r="J1100" s="113"/>
    </row>
    <row r="1101">
      <c r="J1101" s="113"/>
    </row>
    <row r="1102">
      <c r="J1102" s="113"/>
    </row>
    <row r="1103">
      <c r="J1103" s="113"/>
    </row>
    <row r="1104">
      <c r="J1104" s="113"/>
    </row>
    <row r="1105">
      <c r="J1105" s="113"/>
    </row>
    <row r="1106">
      <c r="J1106" s="113"/>
    </row>
    <row r="1107">
      <c r="J1107" s="113"/>
    </row>
    <row r="1108">
      <c r="J1108" s="113"/>
    </row>
    <row r="1109">
      <c r="J1109" s="113"/>
    </row>
    <row r="1110">
      <c r="J1110" s="113"/>
    </row>
    <row r="1111">
      <c r="J1111" s="113"/>
    </row>
    <row r="1112">
      <c r="J1112" s="113"/>
    </row>
    <row r="1113">
      <c r="J1113" s="113"/>
    </row>
    <row r="1114">
      <c r="J1114" s="113"/>
    </row>
    <row r="1115">
      <c r="J1115" s="113"/>
    </row>
    <row r="1116">
      <c r="J1116" s="113"/>
    </row>
    <row r="1117">
      <c r="J1117" s="113"/>
    </row>
    <row r="1118">
      <c r="J1118" s="113"/>
    </row>
    <row r="1119">
      <c r="J1119" s="113"/>
    </row>
    <row r="1120">
      <c r="J1120" s="113"/>
    </row>
    <row r="1121">
      <c r="J1121" s="113"/>
    </row>
    <row r="1122">
      <c r="J1122" s="113"/>
    </row>
    <row r="1123">
      <c r="J1123" s="113"/>
    </row>
    <row r="1124">
      <c r="J1124" s="113"/>
    </row>
    <row r="1125">
      <c r="J1125" s="113"/>
    </row>
    <row r="1126">
      <c r="J1126" s="113"/>
    </row>
    <row r="1127">
      <c r="J1127" s="113"/>
    </row>
    <row r="1128">
      <c r="J1128" s="113"/>
    </row>
    <row r="1129">
      <c r="J1129" s="113"/>
    </row>
    <row r="1130">
      <c r="J1130" s="113"/>
    </row>
    <row r="1131">
      <c r="J1131" s="113"/>
    </row>
    <row r="1132">
      <c r="J1132" s="113"/>
    </row>
    <row r="1133">
      <c r="J1133" s="113"/>
    </row>
    <row r="1134">
      <c r="J1134" s="113"/>
    </row>
    <row r="1135">
      <c r="J1135" s="113"/>
    </row>
    <row r="1136">
      <c r="J1136" s="113"/>
    </row>
    <row r="1137">
      <c r="J1137" s="113"/>
    </row>
    <row r="1138">
      <c r="J1138" s="113"/>
    </row>
    <row r="1139">
      <c r="J1139" s="113"/>
    </row>
    <row r="1140">
      <c r="J1140" s="113"/>
    </row>
    <row r="1141">
      <c r="J1141" s="113"/>
    </row>
    <row r="1142">
      <c r="J1142" s="113"/>
    </row>
    <row r="1143">
      <c r="J1143" s="113"/>
    </row>
    <row r="1144">
      <c r="J1144" s="113"/>
    </row>
    <row r="1145">
      <c r="J1145" s="113"/>
    </row>
    <row r="1146">
      <c r="J1146" s="113"/>
    </row>
    <row r="1147">
      <c r="J1147" s="113"/>
    </row>
    <row r="1148">
      <c r="J1148" s="113"/>
    </row>
    <row r="1149">
      <c r="J1149" s="113"/>
    </row>
    <row r="1150">
      <c r="J1150" s="113"/>
    </row>
    <row r="1151">
      <c r="J1151" s="113"/>
    </row>
    <row r="1152">
      <c r="J1152" s="113"/>
    </row>
    <row r="1153">
      <c r="J1153" s="113"/>
    </row>
    <row r="1154">
      <c r="J1154" s="113"/>
    </row>
    <row r="1155">
      <c r="J1155" s="113"/>
    </row>
    <row r="1156">
      <c r="J1156" s="113"/>
    </row>
    <row r="1157">
      <c r="J1157" s="113"/>
    </row>
    <row r="1158">
      <c r="J1158" s="113"/>
    </row>
    <row r="1159">
      <c r="J1159" s="113"/>
    </row>
    <row r="1160">
      <c r="J1160" s="113"/>
    </row>
    <row r="1161">
      <c r="J1161" s="113"/>
    </row>
    <row r="1162">
      <c r="J1162" s="113"/>
    </row>
    <row r="1163">
      <c r="J1163" s="113"/>
    </row>
    <row r="1164">
      <c r="J1164" s="113"/>
    </row>
    <row r="1165">
      <c r="J1165" s="113"/>
    </row>
    <row r="1166">
      <c r="J1166" s="113"/>
    </row>
    <row r="1167">
      <c r="J1167" s="113"/>
    </row>
    <row r="1168">
      <c r="J1168" s="113"/>
    </row>
    <row r="1169">
      <c r="J1169" s="113"/>
    </row>
    <row r="1170">
      <c r="J1170" s="113"/>
    </row>
    <row r="1171">
      <c r="J1171" s="113"/>
    </row>
    <row r="1172">
      <c r="J1172" s="113"/>
    </row>
    <row r="1173">
      <c r="J1173" s="113"/>
    </row>
    <row r="1174">
      <c r="J1174" s="113"/>
    </row>
    <row r="1175">
      <c r="J1175" s="113"/>
    </row>
    <row r="1176">
      <c r="J1176" s="113"/>
    </row>
    <row r="1177">
      <c r="J1177" s="113"/>
    </row>
    <row r="1178">
      <c r="J1178" s="113"/>
    </row>
    <row r="1179">
      <c r="J1179" s="113"/>
    </row>
    <row r="1180">
      <c r="J1180" s="113"/>
    </row>
    <row r="1181">
      <c r="J1181" s="113"/>
    </row>
    <row r="1182">
      <c r="J1182" s="113"/>
    </row>
    <row r="1183">
      <c r="J1183" s="113"/>
    </row>
    <row r="1184">
      <c r="J1184" s="113"/>
    </row>
    <row r="1185">
      <c r="J1185" s="113"/>
    </row>
    <row r="1186">
      <c r="J1186" s="113"/>
    </row>
    <row r="1187">
      <c r="J1187" s="113"/>
    </row>
    <row r="1188">
      <c r="J1188" s="113"/>
    </row>
    <row r="1189">
      <c r="J1189" s="113"/>
    </row>
    <row r="1190">
      <c r="J1190" s="113"/>
    </row>
    <row r="1191">
      <c r="J1191" s="113"/>
    </row>
    <row r="1192">
      <c r="J1192" s="113"/>
    </row>
    <row r="1193">
      <c r="J1193" s="113"/>
    </row>
    <row r="1194">
      <c r="J1194" s="113"/>
    </row>
    <row r="1195">
      <c r="J1195" s="113"/>
    </row>
    <row r="1196">
      <c r="J1196" s="113"/>
    </row>
    <row r="1197">
      <c r="J1197" s="113"/>
    </row>
    <row r="1198">
      <c r="J1198" s="113"/>
    </row>
    <row r="1199">
      <c r="J1199" s="113"/>
    </row>
    <row r="1200">
      <c r="J1200" s="113"/>
    </row>
    <row r="1201">
      <c r="J1201" s="113"/>
    </row>
    <row r="1202">
      <c r="J1202" s="113"/>
    </row>
    <row r="1203">
      <c r="J1203" s="113"/>
    </row>
    <row r="1204">
      <c r="J1204" s="113"/>
    </row>
    <row r="1205">
      <c r="J1205" s="113"/>
    </row>
    <row r="1206">
      <c r="J1206" s="113"/>
    </row>
    <row r="1207">
      <c r="J1207" s="113"/>
    </row>
    <row r="1208">
      <c r="J1208" s="113"/>
    </row>
    <row r="1209">
      <c r="J1209" s="113"/>
    </row>
    <row r="1210">
      <c r="J1210" s="113"/>
    </row>
    <row r="1211">
      <c r="J1211" s="113"/>
    </row>
    <row r="1212">
      <c r="J1212" s="113"/>
    </row>
    <row r="1213">
      <c r="J1213" s="113"/>
    </row>
    <row r="1214">
      <c r="J1214" s="113"/>
    </row>
    <row r="1215">
      <c r="J1215" s="113"/>
    </row>
    <row r="1216">
      <c r="J1216" s="113"/>
    </row>
    <row r="1217">
      <c r="J1217" s="113"/>
    </row>
    <row r="1218">
      <c r="J1218" s="113"/>
    </row>
    <row r="1219">
      <c r="J1219" s="113"/>
    </row>
    <row r="1220">
      <c r="J1220" s="113"/>
    </row>
    <row r="1221">
      <c r="J1221" s="113"/>
    </row>
    <row r="1222">
      <c r="J1222" s="113"/>
    </row>
    <row r="1223">
      <c r="J1223" s="113"/>
    </row>
    <row r="1224">
      <c r="J1224" s="113"/>
    </row>
    <row r="1225">
      <c r="J1225" s="113"/>
    </row>
    <row r="1226">
      <c r="J1226" s="113"/>
    </row>
    <row r="1227">
      <c r="J1227" s="113"/>
    </row>
    <row r="1228">
      <c r="J1228" s="113"/>
    </row>
    <row r="1229">
      <c r="J1229" s="113"/>
    </row>
    <row r="1230">
      <c r="J1230" s="113"/>
    </row>
    <row r="1231">
      <c r="J1231" s="113"/>
    </row>
    <row r="1232">
      <c r="J1232" s="113"/>
    </row>
    <row r="1233">
      <c r="J1233" s="113"/>
    </row>
    <row r="1234">
      <c r="J1234" s="113"/>
    </row>
    <row r="1235">
      <c r="J1235" s="113"/>
    </row>
    <row r="1236">
      <c r="J1236" s="113"/>
    </row>
    <row r="1237">
      <c r="J1237" s="113"/>
    </row>
    <row r="1238">
      <c r="J1238" s="113"/>
    </row>
    <row r="1239">
      <c r="J1239" s="113"/>
    </row>
    <row r="1240">
      <c r="J1240" s="113"/>
    </row>
    <row r="1241">
      <c r="J1241" s="113"/>
    </row>
    <row r="1242">
      <c r="J1242" s="113"/>
    </row>
    <row r="1243">
      <c r="J1243" s="113"/>
    </row>
    <row r="1244">
      <c r="J1244" s="113"/>
    </row>
    <row r="1245">
      <c r="J1245" s="113"/>
    </row>
    <row r="1246">
      <c r="J1246" s="113"/>
    </row>
    <row r="1247">
      <c r="J1247" s="113"/>
    </row>
    <row r="1248">
      <c r="J1248" s="113"/>
    </row>
    <row r="1249">
      <c r="J1249" s="113"/>
    </row>
    <row r="1250">
      <c r="J1250" s="113"/>
    </row>
    <row r="1251">
      <c r="J1251" s="113"/>
    </row>
    <row r="1252">
      <c r="J1252" s="113"/>
    </row>
    <row r="1253">
      <c r="J1253" s="113"/>
    </row>
    <row r="1254">
      <c r="J1254" s="113"/>
    </row>
    <row r="1255">
      <c r="J1255" s="113"/>
    </row>
    <row r="1256">
      <c r="J1256" s="113"/>
    </row>
    <row r="1257">
      <c r="J1257" s="113"/>
    </row>
    <row r="1258">
      <c r="J1258" s="113"/>
    </row>
    <row r="1259">
      <c r="J1259" s="113"/>
    </row>
    <row r="1260">
      <c r="J1260" s="113"/>
    </row>
    <row r="1261">
      <c r="J1261" s="113"/>
    </row>
    <row r="1262">
      <c r="J1262" s="113"/>
    </row>
    <row r="1263">
      <c r="J1263" s="113"/>
    </row>
    <row r="1264">
      <c r="J1264" s="113"/>
    </row>
    <row r="1265">
      <c r="J1265" s="113"/>
    </row>
    <row r="1266">
      <c r="J1266" s="113"/>
    </row>
    <row r="1267">
      <c r="J1267" s="113"/>
    </row>
    <row r="1268">
      <c r="J1268" s="113"/>
    </row>
    <row r="1269">
      <c r="J1269" s="113"/>
    </row>
    <row r="1270">
      <c r="J1270" s="113"/>
    </row>
    <row r="1271">
      <c r="J1271" s="113"/>
    </row>
    <row r="1272">
      <c r="J1272" s="113"/>
    </row>
    <row r="1273">
      <c r="J1273" s="113"/>
    </row>
    <row r="1274">
      <c r="J1274" s="113"/>
    </row>
    <row r="1275">
      <c r="J1275" s="113"/>
    </row>
    <row r="1276">
      <c r="J1276" s="113"/>
    </row>
    <row r="1277">
      <c r="J1277" s="113"/>
    </row>
    <row r="1278">
      <c r="J1278" s="113"/>
    </row>
    <row r="1279">
      <c r="J1279" s="113"/>
    </row>
    <row r="1280">
      <c r="J1280" s="113"/>
    </row>
    <row r="1281">
      <c r="J1281" s="113"/>
    </row>
    <row r="1282">
      <c r="J1282" s="113"/>
    </row>
    <row r="1283">
      <c r="J1283" s="113"/>
    </row>
    <row r="1284">
      <c r="J1284" s="113"/>
    </row>
    <row r="1285">
      <c r="J1285" s="113"/>
    </row>
    <row r="1286">
      <c r="J1286" s="113"/>
    </row>
    <row r="1287">
      <c r="J1287" s="113"/>
    </row>
    <row r="1288">
      <c r="J1288" s="113"/>
    </row>
    <row r="1289">
      <c r="J1289" s="113"/>
    </row>
    <row r="1290">
      <c r="J1290" s="113"/>
    </row>
    <row r="1291">
      <c r="J1291" s="113"/>
    </row>
    <row r="1292">
      <c r="J1292" s="113"/>
    </row>
    <row r="1293">
      <c r="J1293" s="113"/>
    </row>
    <row r="1294">
      <c r="J1294" s="113"/>
    </row>
    <row r="1295">
      <c r="J1295" s="113"/>
    </row>
    <row r="1296">
      <c r="J1296" s="113"/>
    </row>
    <row r="1297">
      <c r="J1297" s="113"/>
    </row>
    <row r="1298">
      <c r="J1298" s="113"/>
    </row>
    <row r="1299">
      <c r="J1299" s="113"/>
    </row>
    <row r="1300">
      <c r="J1300" s="113"/>
    </row>
    <row r="1301">
      <c r="J1301" s="113"/>
    </row>
    <row r="1302">
      <c r="J1302" s="113"/>
    </row>
    <row r="1303">
      <c r="J1303" s="113"/>
    </row>
    <row r="1304">
      <c r="J1304" s="113"/>
    </row>
    <row r="1305">
      <c r="J1305" s="113"/>
    </row>
    <row r="1306">
      <c r="J1306" s="113"/>
    </row>
    <row r="1307">
      <c r="J1307" s="113"/>
    </row>
    <row r="1308">
      <c r="J1308" s="113"/>
    </row>
    <row r="1309">
      <c r="J1309" s="113"/>
    </row>
    <row r="1310">
      <c r="J1310" s="113"/>
    </row>
    <row r="1311">
      <c r="J1311" s="113"/>
    </row>
    <row r="1312">
      <c r="J1312" s="113"/>
    </row>
    <row r="1313">
      <c r="J1313" s="113"/>
    </row>
    <row r="1314">
      <c r="J1314" s="113"/>
    </row>
    <row r="1315">
      <c r="J1315" s="113"/>
    </row>
    <row r="1316">
      <c r="J1316" s="113"/>
    </row>
    <row r="1317">
      <c r="J1317" s="113"/>
    </row>
    <row r="1318">
      <c r="J1318" s="113"/>
    </row>
    <row r="1319">
      <c r="J1319" s="113"/>
    </row>
    <row r="1320">
      <c r="J1320" s="113"/>
    </row>
    <row r="1321">
      <c r="J1321" s="113"/>
    </row>
    <row r="1322">
      <c r="J1322" s="113"/>
    </row>
    <row r="1323">
      <c r="J1323" s="113"/>
    </row>
    <row r="1324">
      <c r="J1324" s="113"/>
    </row>
    <row r="1325">
      <c r="J1325" s="113"/>
    </row>
    <row r="1326">
      <c r="J1326" s="113"/>
    </row>
    <row r="1327">
      <c r="J1327" s="113"/>
    </row>
    <row r="1328">
      <c r="J1328" s="113"/>
    </row>
    <row r="1329">
      <c r="J1329" s="113"/>
    </row>
    <row r="1330">
      <c r="J1330" s="113"/>
    </row>
    <row r="1331">
      <c r="J1331" s="113"/>
    </row>
    <row r="1332">
      <c r="J1332" s="113"/>
    </row>
    <row r="1333">
      <c r="J1333" s="113"/>
    </row>
    <row r="1334">
      <c r="J1334" s="113"/>
    </row>
    <row r="1335">
      <c r="J1335" s="113"/>
    </row>
    <row r="1336">
      <c r="J1336" s="113"/>
    </row>
    <row r="1337">
      <c r="J1337" s="113"/>
    </row>
    <row r="1338">
      <c r="J1338" s="113"/>
    </row>
    <row r="1339">
      <c r="J1339" s="113"/>
    </row>
    <row r="1340">
      <c r="J1340" s="113"/>
    </row>
    <row r="1341">
      <c r="J1341" s="113"/>
    </row>
    <row r="1342">
      <c r="J1342" s="113"/>
    </row>
    <row r="1343">
      <c r="J1343" s="113"/>
    </row>
    <row r="1344">
      <c r="J1344" s="113"/>
    </row>
    <row r="1345">
      <c r="J1345" s="113"/>
    </row>
    <row r="1346">
      <c r="J1346" s="113"/>
    </row>
    <row r="1347">
      <c r="J1347" s="113"/>
    </row>
    <row r="1348">
      <c r="J1348" s="113"/>
    </row>
    <row r="1349">
      <c r="J1349" s="113"/>
    </row>
    <row r="1350">
      <c r="J1350" s="113"/>
    </row>
    <row r="1351">
      <c r="J1351" s="113"/>
    </row>
    <row r="1352">
      <c r="J1352" s="113"/>
    </row>
    <row r="1353">
      <c r="J1353" s="113"/>
    </row>
    <row r="1354">
      <c r="J1354" s="113"/>
    </row>
    <row r="1355">
      <c r="J1355" s="113"/>
    </row>
    <row r="1356">
      <c r="J1356" s="113"/>
    </row>
    <row r="1357">
      <c r="J1357" s="113"/>
    </row>
    <row r="1358">
      <c r="J1358" s="113"/>
    </row>
    <row r="1359">
      <c r="J1359" s="113"/>
    </row>
    <row r="1360">
      <c r="J1360" s="113"/>
    </row>
    <row r="1361">
      <c r="J1361" s="113"/>
    </row>
    <row r="1362">
      <c r="J1362" s="113"/>
    </row>
    <row r="1363">
      <c r="J1363" s="113"/>
    </row>
    <row r="1364">
      <c r="J1364" s="113"/>
    </row>
    <row r="1365">
      <c r="J1365" s="113"/>
    </row>
    <row r="1366">
      <c r="J1366" s="113"/>
    </row>
    <row r="1367">
      <c r="J1367" s="113"/>
    </row>
    <row r="1368">
      <c r="J1368" s="113"/>
    </row>
    <row r="1369">
      <c r="J1369" s="113"/>
    </row>
    <row r="1370">
      <c r="J1370" s="113"/>
    </row>
    <row r="1371">
      <c r="J1371" s="113"/>
    </row>
    <row r="1372">
      <c r="J1372" s="113"/>
    </row>
    <row r="1373">
      <c r="J1373" s="113"/>
    </row>
    <row r="1374">
      <c r="J1374" s="113"/>
    </row>
    <row r="1375">
      <c r="J1375" s="113"/>
    </row>
    <row r="1376">
      <c r="J1376" s="113"/>
    </row>
    <row r="1377">
      <c r="J1377" s="113"/>
    </row>
    <row r="1378">
      <c r="J1378" s="113"/>
    </row>
    <row r="1379">
      <c r="J1379" s="113"/>
    </row>
    <row r="1380">
      <c r="J1380" s="113"/>
    </row>
    <row r="1381">
      <c r="J1381" s="113"/>
    </row>
    <row r="1382">
      <c r="J1382" s="113"/>
    </row>
    <row r="1383">
      <c r="J1383" s="113"/>
    </row>
    <row r="1384">
      <c r="J1384" s="113"/>
    </row>
    <row r="1385">
      <c r="J1385" s="113"/>
    </row>
    <row r="1386">
      <c r="J1386" s="113"/>
    </row>
    <row r="1387">
      <c r="J1387" s="113"/>
    </row>
    <row r="1388">
      <c r="J1388" s="113"/>
    </row>
    <row r="1389">
      <c r="J1389" s="113"/>
    </row>
    <row r="1390">
      <c r="J1390" s="113"/>
    </row>
    <row r="1391">
      <c r="J1391" s="113"/>
    </row>
    <row r="1392">
      <c r="J1392" s="113"/>
    </row>
    <row r="1393">
      <c r="J1393" s="113"/>
    </row>
    <row r="1394">
      <c r="J1394" s="113"/>
    </row>
    <row r="1395">
      <c r="J1395" s="113"/>
    </row>
    <row r="1396">
      <c r="J1396" s="113"/>
    </row>
    <row r="1397">
      <c r="J1397" s="113"/>
    </row>
    <row r="1398">
      <c r="J1398" s="113"/>
    </row>
    <row r="1399">
      <c r="J1399" s="113"/>
    </row>
    <row r="1400">
      <c r="J1400" s="113"/>
    </row>
    <row r="1401">
      <c r="J1401" s="113"/>
    </row>
    <row r="1402">
      <c r="J1402" s="113"/>
    </row>
    <row r="1403">
      <c r="J1403" s="113"/>
    </row>
    <row r="1404">
      <c r="J1404" s="113"/>
    </row>
    <row r="1405">
      <c r="J1405" s="113"/>
    </row>
    <row r="1406">
      <c r="J1406" s="113"/>
    </row>
    <row r="1407">
      <c r="J1407" s="113"/>
    </row>
    <row r="1408">
      <c r="J1408" s="113"/>
    </row>
    <row r="1409">
      <c r="J1409" s="113"/>
    </row>
    <row r="1410">
      <c r="J1410" s="113"/>
    </row>
    <row r="1411">
      <c r="J1411" s="113"/>
    </row>
    <row r="1412">
      <c r="J1412" s="113"/>
    </row>
    <row r="1413">
      <c r="J1413" s="113"/>
    </row>
    <row r="1414">
      <c r="J1414" s="113"/>
    </row>
    <row r="1415">
      <c r="J1415" s="113"/>
    </row>
    <row r="1416">
      <c r="J1416" s="113"/>
    </row>
    <row r="1417">
      <c r="J1417" s="113"/>
    </row>
    <row r="1418">
      <c r="J1418" s="113"/>
    </row>
    <row r="1419">
      <c r="J1419" s="113"/>
    </row>
    <row r="1420">
      <c r="J1420" s="113"/>
    </row>
    <row r="1421">
      <c r="J1421" s="113"/>
    </row>
    <row r="1422">
      <c r="J1422" s="113"/>
    </row>
    <row r="1423">
      <c r="J1423" s="113"/>
    </row>
    <row r="1424">
      <c r="J1424" s="113"/>
    </row>
    <row r="1425">
      <c r="J1425" s="113"/>
    </row>
    <row r="1426">
      <c r="J1426" s="113"/>
    </row>
    <row r="1427">
      <c r="J1427" s="113"/>
    </row>
    <row r="1428">
      <c r="J1428" s="113"/>
    </row>
    <row r="1429">
      <c r="J1429" s="113"/>
    </row>
    <row r="1430">
      <c r="J1430" s="113"/>
    </row>
    <row r="1431">
      <c r="J1431" s="113"/>
    </row>
    <row r="1432">
      <c r="J1432" s="113"/>
    </row>
    <row r="1433">
      <c r="J1433" s="113"/>
    </row>
    <row r="1434">
      <c r="J1434" s="113"/>
    </row>
    <row r="1435">
      <c r="J1435" s="113"/>
    </row>
    <row r="1436">
      <c r="J1436" s="113"/>
    </row>
    <row r="1437">
      <c r="J1437" s="113"/>
    </row>
    <row r="1438">
      <c r="J1438" s="113"/>
    </row>
    <row r="1439">
      <c r="J1439" s="113"/>
    </row>
    <row r="1440">
      <c r="J1440" s="113"/>
    </row>
    <row r="1441">
      <c r="J1441" s="113"/>
    </row>
    <row r="1442">
      <c r="J1442" s="113"/>
    </row>
    <row r="1443">
      <c r="J1443" s="113"/>
    </row>
    <row r="1444">
      <c r="J1444" s="113"/>
    </row>
    <row r="1445">
      <c r="J1445" s="113"/>
    </row>
    <row r="1446">
      <c r="J1446" s="113"/>
    </row>
    <row r="1447">
      <c r="J1447" s="113"/>
    </row>
    <row r="1448">
      <c r="J1448" s="113"/>
    </row>
    <row r="1449">
      <c r="J1449" s="113"/>
    </row>
    <row r="1450">
      <c r="J1450" s="113"/>
    </row>
    <row r="1451">
      <c r="J1451" s="113"/>
    </row>
    <row r="1452">
      <c r="J1452" s="113"/>
    </row>
    <row r="1453">
      <c r="J1453" s="113"/>
    </row>
    <row r="1454">
      <c r="J1454" s="113"/>
    </row>
    <row r="1455">
      <c r="J1455" s="113"/>
    </row>
    <row r="1456">
      <c r="J1456" s="113"/>
    </row>
    <row r="1457">
      <c r="J1457" s="113"/>
    </row>
    <row r="1458">
      <c r="J1458" s="113"/>
    </row>
    <row r="1459">
      <c r="J1459" s="113"/>
    </row>
    <row r="1460">
      <c r="J1460" s="113"/>
    </row>
    <row r="1461">
      <c r="J1461" s="113"/>
    </row>
    <row r="1462">
      <c r="J1462" s="113"/>
    </row>
    <row r="1463">
      <c r="J1463" s="113"/>
    </row>
    <row r="1464">
      <c r="J1464" s="113"/>
    </row>
    <row r="1465">
      <c r="J1465" s="113"/>
    </row>
    <row r="1466">
      <c r="J1466" s="113"/>
    </row>
    <row r="1467">
      <c r="J1467" s="113"/>
    </row>
    <row r="1468">
      <c r="J1468" s="113"/>
    </row>
    <row r="1469">
      <c r="J1469" s="113"/>
    </row>
    <row r="1470">
      <c r="J1470" s="113"/>
    </row>
    <row r="1471">
      <c r="J1471" s="113"/>
    </row>
    <row r="1472">
      <c r="J1472" s="113"/>
    </row>
    <row r="1473">
      <c r="J1473" s="113"/>
    </row>
    <row r="1474">
      <c r="J1474" s="113"/>
    </row>
    <row r="1475">
      <c r="J1475" s="113"/>
    </row>
    <row r="1476">
      <c r="J1476" s="113"/>
    </row>
    <row r="1477">
      <c r="J1477" s="113"/>
    </row>
    <row r="1478">
      <c r="J1478" s="113"/>
    </row>
    <row r="1479">
      <c r="J1479" s="113"/>
    </row>
    <row r="1480">
      <c r="J1480" s="113"/>
    </row>
    <row r="1481">
      <c r="J1481" s="113"/>
    </row>
    <row r="1482">
      <c r="J1482" s="113"/>
    </row>
    <row r="1483">
      <c r="J1483" s="113"/>
    </row>
    <row r="1484">
      <c r="J1484" s="113"/>
    </row>
    <row r="1485">
      <c r="J1485" s="113"/>
    </row>
    <row r="1486">
      <c r="J1486" s="113"/>
    </row>
    <row r="1487">
      <c r="J1487" s="113"/>
    </row>
    <row r="1488">
      <c r="J1488" s="113"/>
    </row>
    <row r="1489">
      <c r="J1489" s="113"/>
    </row>
    <row r="1490">
      <c r="J1490" s="113"/>
    </row>
    <row r="1491">
      <c r="J1491" s="113"/>
    </row>
    <row r="1492">
      <c r="J1492" s="113"/>
    </row>
    <row r="1493">
      <c r="J1493" s="113"/>
    </row>
    <row r="1494">
      <c r="J1494" s="113"/>
    </row>
    <row r="1495">
      <c r="J1495" s="113"/>
    </row>
    <row r="1496">
      <c r="J1496" s="113"/>
    </row>
    <row r="1497">
      <c r="J1497" s="113"/>
    </row>
    <row r="1498">
      <c r="J1498" s="113"/>
    </row>
    <row r="1499">
      <c r="J1499" s="113"/>
    </row>
    <row r="1500">
      <c r="J1500" s="113"/>
    </row>
    <row r="1501">
      <c r="J1501" s="113"/>
    </row>
    <row r="1502">
      <c r="J1502" s="113"/>
    </row>
    <row r="1503">
      <c r="J1503" s="113"/>
    </row>
    <row r="1504">
      <c r="J1504" s="113"/>
    </row>
    <row r="1505">
      <c r="J1505" s="113"/>
    </row>
    <row r="1506">
      <c r="J1506" s="113"/>
    </row>
    <row r="1507">
      <c r="J1507" s="113"/>
    </row>
    <row r="1508">
      <c r="J1508" s="113"/>
    </row>
    <row r="1509">
      <c r="J1509" s="113"/>
    </row>
    <row r="1510">
      <c r="J1510" s="113"/>
    </row>
    <row r="1511">
      <c r="J1511" s="113"/>
    </row>
    <row r="1512">
      <c r="J1512" s="113"/>
    </row>
    <row r="1513">
      <c r="J1513" s="113"/>
    </row>
    <row r="1514">
      <c r="J1514" s="113"/>
    </row>
    <row r="1515">
      <c r="J1515" s="113"/>
    </row>
    <row r="1516">
      <c r="J1516" s="113"/>
    </row>
    <row r="1517">
      <c r="J1517" s="113"/>
    </row>
    <row r="1518">
      <c r="J1518" s="113"/>
    </row>
    <row r="1519">
      <c r="J1519" s="113"/>
    </row>
    <row r="1520">
      <c r="J1520" s="113"/>
    </row>
    <row r="1521">
      <c r="J1521" s="113"/>
    </row>
    <row r="1522">
      <c r="J1522" s="113"/>
    </row>
    <row r="1523">
      <c r="J1523" s="113"/>
    </row>
    <row r="1524">
      <c r="J1524" s="113"/>
    </row>
    <row r="1525">
      <c r="J1525" s="113"/>
    </row>
    <row r="1526">
      <c r="J1526" s="113"/>
    </row>
    <row r="1527">
      <c r="J1527" s="113"/>
    </row>
    <row r="1528">
      <c r="J1528" s="113"/>
    </row>
    <row r="1529">
      <c r="J1529" s="113"/>
    </row>
    <row r="1530">
      <c r="J1530" s="113"/>
    </row>
    <row r="1531">
      <c r="J1531" s="113"/>
    </row>
    <row r="1532">
      <c r="J1532" s="113"/>
    </row>
    <row r="1533">
      <c r="J1533" s="113"/>
    </row>
    <row r="1534">
      <c r="J1534" s="113"/>
    </row>
    <row r="1535">
      <c r="J1535" s="113"/>
    </row>
    <row r="1536">
      <c r="J1536" s="113"/>
    </row>
    <row r="1537">
      <c r="J1537" s="113"/>
    </row>
    <row r="1538">
      <c r="J1538" s="113"/>
    </row>
    <row r="1539">
      <c r="J1539" s="113"/>
    </row>
    <row r="1540">
      <c r="J1540" s="113"/>
    </row>
    <row r="1541">
      <c r="J1541" s="113"/>
    </row>
    <row r="1542">
      <c r="J1542" s="113"/>
    </row>
    <row r="1543">
      <c r="J1543" s="113"/>
    </row>
    <row r="1544">
      <c r="J1544" s="113"/>
    </row>
    <row r="1545">
      <c r="J1545" s="113"/>
    </row>
    <row r="1546">
      <c r="J1546" s="113"/>
    </row>
    <row r="1547">
      <c r="J1547" s="113"/>
    </row>
    <row r="1548">
      <c r="J1548" s="113"/>
    </row>
    <row r="1549">
      <c r="J1549" s="113"/>
    </row>
    <row r="1550">
      <c r="J1550" s="113"/>
    </row>
    <row r="1551">
      <c r="J1551" s="113"/>
    </row>
    <row r="1552">
      <c r="J1552" s="113"/>
    </row>
    <row r="1553">
      <c r="J1553" s="113"/>
    </row>
    <row r="1554">
      <c r="J1554" s="113"/>
    </row>
    <row r="1555">
      <c r="J1555" s="113"/>
    </row>
    <row r="1556">
      <c r="J1556" s="113"/>
    </row>
    <row r="1557">
      <c r="J1557" s="113"/>
    </row>
    <row r="1558">
      <c r="J1558" s="113"/>
    </row>
    <row r="1559">
      <c r="J1559" s="113"/>
    </row>
    <row r="1560">
      <c r="J1560" s="113"/>
    </row>
    <row r="1561">
      <c r="J1561" s="113"/>
    </row>
    <row r="1562">
      <c r="J1562" s="113"/>
    </row>
    <row r="1563">
      <c r="J1563" s="113"/>
    </row>
    <row r="1564">
      <c r="J1564" s="113"/>
    </row>
    <row r="1565">
      <c r="J1565" s="113"/>
    </row>
    <row r="1566">
      <c r="J1566" s="113"/>
    </row>
    <row r="1567">
      <c r="J1567" s="113"/>
    </row>
    <row r="1568">
      <c r="J1568" s="113"/>
    </row>
    <row r="1569">
      <c r="J1569" s="113"/>
    </row>
    <row r="1570">
      <c r="J1570" s="113"/>
    </row>
    <row r="1571">
      <c r="J1571" s="113"/>
    </row>
    <row r="1572">
      <c r="J1572" s="113"/>
    </row>
    <row r="1573">
      <c r="J1573" s="113"/>
    </row>
    <row r="1574">
      <c r="J1574" s="113"/>
    </row>
    <row r="1575">
      <c r="J1575" s="113"/>
    </row>
    <row r="1576">
      <c r="J1576" s="113"/>
    </row>
    <row r="1577">
      <c r="J1577" s="113"/>
    </row>
    <row r="1578">
      <c r="J1578" s="113"/>
    </row>
    <row r="1579">
      <c r="J1579" s="113"/>
    </row>
    <row r="1580">
      <c r="J1580" s="113"/>
    </row>
    <row r="1581">
      <c r="J1581" s="113"/>
    </row>
    <row r="1582">
      <c r="J1582" s="113"/>
    </row>
    <row r="1583">
      <c r="J1583" s="113"/>
    </row>
    <row r="1584">
      <c r="J1584" s="113"/>
    </row>
    <row r="1585">
      <c r="J1585" s="113"/>
    </row>
    <row r="1586">
      <c r="J1586" s="113"/>
    </row>
    <row r="1587">
      <c r="J1587" s="113"/>
    </row>
    <row r="1588">
      <c r="J1588" s="113"/>
    </row>
    <row r="1589">
      <c r="J1589" s="113"/>
    </row>
    <row r="1590">
      <c r="J1590" s="113"/>
    </row>
    <row r="1591">
      <c r="J1591" s="113"/>
    </row>
    <row r="1592">
      <c r="J1592" s="113"/>
    </row>
    <row r="1593">
      <c r="J1593" s="113"/>
    </row>
    <row r="1594">
      <c r="J1594" s="113"/>
    </row>
    <row r="1595">
      <c r="J1595" s="113"/>
    </row>
    <row r="1596">
      <c r="J1596" s="113"/>
    </row>
    <row r="1597">
      <c r="J1597" s="113"/>
    </row>
    <row r="1598">
      <c r="J1598" s="113"/>
    </row>
    <row r="1599">
      <c r="J1599" s="113"/>
    </row>
    <row r="1600">
      <c r="J1600" s="113"/>
    </row>
    <row r="1601">
      <c r="J1601" s="113"/>
    </row>
    <row r="1602">
      <c r="J1602" s="113"/>
    </row>
    <row r="1603">
      <c r="J1603" s="113"/>
    </row>
    <row r="1604">
      <c r="J1604" s="113"/>
    </row>
    <row r="1605">
      <c r="J1605" s="113"/>
    </row>
    <row r="1606">
      <c r="J1606" s="113"/>
    </row>
    <row r="1607">
      <c r="J1607" s="113"/>
    </row>
    <row r="1608">
      <c r="J1608" s="113"/>
    </row>
    <row r="1609">
      <c r="J1609" s="113"/>
    </row>
    <row r="1610">
      <c r="J1610" s="113"/>
    </row>
    <row r="1611">
      <c r="J1611" s="113"/>
    </row>
    <row r="1612">
      <c r="J1612" s="113"/>
    </row>
    <row r="1613">
      <c r="J1613" s="113"/>
    </row>
    <row r="1614">
      <c r="J1614" s="113"/>
    </row>
    <row r="1615">
      <c r="J1615" s="113"/>
    </row>
    <row r="1616">
      <c r="J1616" s="113"/>
    </row>
    <row r="1617">
      <c r="J1617" s="113"/>
    </row>
    <row r="1618">
      <c r="J1618" s="113"/>
    </row>
    <row r="1619">
      <c r="J1619" s="113"/>
    </row>
    <row r="1620">
      <c r="J1620" s="113"/>
    </row>
    <row r="1621">
      <c r="J1621" s="113"/>
    </row>
    <row r="1622">
      <c r="J1622" s="113"/>
    </row>
    <row r="1623">
      <c r="J1623" s="113"/>
    </row>
    <row r="1624">
      <c r="J1624" s="113"/>
    </row>
    <row r="1625">
      <c r="J1625" s="113"/>
    </row>
    <row r="1626">
      <c r="J1626" s="113"/>
    </row>
    <row r="1627">
      <c r="J1627" s="113"/>
    </row>
    <row r="1628">
      <c r="J1628" s="113"/>
    </row>
    <row r="1629">
      <c r="J1629" s="113"/>
    </row>
    <row r="1630">
      <c r="J1630" s="113"/>
    </row>
    <row r="1631">
      <c r="J1631" s="113"/>
    </row>
    <row r="1632">
      <c r="J1632" s="113"/>
    </row>
    <row r="1633">
      <c r="J1633" s="113"/>
    </row>
    <row r="1634">
      <c r="J1634" s="113"/>
    </row>
    <row r="1635">
      <c r="J1635" s="113"/>
    </row>
    <row r="1636">
      <c r="J1636" s="113"/>
    </row>
    <row r="1637">
      <c r="J1637" s="113"/>
    </row>
    <row r="1638">
      <c r="J1638" s="113"/>
    </row>
    <row r="1639">
      <c r="J1639" s="113"/>
    </row>
    <row r="1640">
      <c r="J1640" s="113"/>
    </row>
    <row r="1641">
      <c r="J1641" s="113"/>
    </row>
    <row r="1642">
      <c r="J1642" s="113"/>
    </row>
    <row r="1643">
      <c r="J1643" s="113"/>
    </row>
    <row r="1644">
      <c r="J1644" s="113"/>
    </row>
    <row r="1645">
      <c r="J1645" s="113"/>
    </row>
    <row r="1646">
      <c r="J1646" s="113"/>
    </row>
    <row r="1647">
      <c r="J1647" s="113"/>
    </row>
    <row r="1648">
      <c r="J1648" s="113"/>
    </row>
    <row r="1649">
      <c r="J1649" s="113"/>
    </row>
    <row r="1650">
      <c r="J1650" s="113"/>
    </row>
    <row r="1651">
      <c r="J1651" s="113"/>
    </row>
    <row r="1652">
      <c r="J1652" s="113"/>
    </row>
    <row r="1653">
      <c r="J1653" s="113"/>
    </row>
    <row r="1654">
      <c r="J1654" s="113"/>
    </row>
    <row r="1655">
      <c r="J1655" s="113"/>
    </row>
    <row r="1656">
      <c r="J1656" s="113"/>
    </row>
    <row r="1657">
      <c r="J1657" s="113"/>
    </row>
    <row r="1658">
      <c r="J1658" s="113"/>
    </row>
    <row r="1659">
      <c r="J1659" s="113"/>
    </row>
    <row r="1660">
      <c r="J1660" s="113"/>
    </row>
    <row r="1661">
      <c r="J1661" s="113"/>
    </row>
    <row r="1662">
      <c r="J1662" s="113"/>
    </row>
    <row r="1663">
      <c r="J1663" s="113"/>
    </row>
    <row r="1664">
      <c r="J1664" s="113"/>
    </row>
    <row r="1665">
      <c r="J1665" s="113"/>
    </row>
    <row r="1666">
      <c r="J1666" s="113"/>
    </row>
    <row r="1667">
      <c r="J1667" s="113"/>
    </row>
    <row r="1668">
      <c r="J1668" s="113"/>
    </row>
    <row r="1669">
      <c r="J1669" s="113"/>
    </row>
    <row r="1670">
      <c r="J1670" s="113"/>
    </row>
    <row r="1671">
      <c r="J1671" s="113"/>
    </row>
    <row r="1672">
      <c r="J1672" s="113"/>
    </row>
    <row r="1673">
      <c r="J1673" s="113"/>
    </row>
    <row r="1674">
      <c r="J1674" s="113"/>
    </row>
    <row r="1675">
      <c r="J1675" s="113"/>
    </row>
    <row r="1676">
      <c r="J1676" s="113"/>
    </row>
    <row r="1677">
      <c r="J1677" s="113"/>
    </row>
    <row r="1678">
      <c r="J1678" s="113"/>
    </row>
    <row r="1679">
      <c r="J1679" s="113"/>
    </row>
    <row r="1680">
      <c r="J1680" s="113"/>
    </row>
    <row r="1681">
      <c r="J1681" s="113"/>
    </row>
    <row r="1682">
      <c r="J1682" s="113"/>
    </row>
    <row r="1683">
      <c r="J1683" s="113"/>
    </row>
    <row r="1684">
      <c r="J1684" s="113"/>
    </row>
    <row r="1685">
      <c r="J1685" s="113"/>
    </row>
    <row r="1686">
      <c r="J1686" s="113"/>
    </row>
    <row r="1687">
      <c r="J1687" s="113"/>
    </row>
    <row r="1688">
      <c r="J1688" s="113"/>
    </row>
    <row r="1689">
      <c r="J1689" s="113"/>
    </row>
    <row r="1690">
      <c r="J1690" s="113"/>
    </row>
    <row r="1691">
      <c r="J1691" s="113"/>
    </row>
    <row r="1692">
      <c r="J1692" s="113"/>
    </row>
    <row r="1693">
      <c r="J1693" s="113"/>
    </row>
    <row r="1694">
      <c r="J1694" s="113"/>
    </row>
    <row r="1695">
      <c r="J1695" s="113"/>
    </row>
    <row r="1696">
      <c r="J1696" s="113"/>
    </row>
    <row r="1697">
      <c r="J1697" s="113"/>
    </row>
    <row r="1698">
      <c r="J1698" s="113"/>
    </row>
    <row r="1699">
      <c r="J1699" s="113"/>
    </row>
    <row r="1700">
      <c r="J1700" s="113"/>
    </row>
    <row r="1701">
      <c r="J1701" s="113"/>
    </row>
    <row r="1702">
      <c r="J1702" s="113"/>
    </row>
    <row r="1703">
      <c r="J1703" s="113"/>
    </row>
    <row r="1704">
      <c r="J1704" s="113"/>
    </row>
    <row r="1705">
      <c r="J1705" s="113"/>
    </row>
    <row r="1706">
      <c r="J1706" s="113"/>
    </row>
    <row r="1707">
      <c r="J1707" s="113"/>
    </row>
    <row r="1708">
      <c r="J1708" s="113"/>
    </row>
    <row r="1709">
      <c r="J1709" s="113"/>
    </row>
    <row r="1710">
      <c r="J1710" s="113"/>
    </row>
    <row r="1711">
      <c r="J1711" s="113"/>
    </row>
    <row r="1712">
      <c r="J1712" s="113"/>
    </row>
    <row r="1713">
      <c r="J1713" s="113"/>
    </row>
    <row r="1714">
      <c r="J1714" s="113"/>
    </row>
    <row r="1715">
      <c r="J1715" s="113"/>
    </row>
    <row r="1716">
      <c r="J1716" s="113"/>
    </row>
    <row r="1717">
      <c r="J1717" s="113"/>
    </row>
    <row r="1718">
      <c r="J1718" s="113"/>
    </row>
    <row r="1719">
      <c r="J1719" s="113"/>
    </row>
    <row r="1720">
      <c r="J1720" s="113"/>
    </row>
    <row r="1721">
      <c r="J1721" s="113"/>
    </row>
    <row r="1722">
      <c r="J1722" s="113"/>
    </row>
    <row r="1723">
      <c r="J1723" s="113"/>
    </row>
    <row r="1724">
      <c r="J1724" s="113"/>
    </row>
    <row r="1725">
      <c r="J1725" s="113"/>
    </row>
    <row r="1726">
      <c r="J1726" s="113"/>
    </row>
    <row r="1727">
      <c r="J1727" s="113"/>
    </row>
    <row r="1728">
      <c r="J1728" s="113"/>
    </row>
    <row r="1729">
      <c r="J1729" s="113"/>
    </row>
    <row r="1730">
      <c r="J1730" s="113"/>
    </row>
    <row r="1731">
      <c r="J1731" s="113"/>
    </row>
    <row r="1732">
      <c r="J1732" s="113"/>
    </row>
    <row r="1733">
      <c r="J1733" s="113"/>
    </row>
    <row r="1734">
      <c r="J1734" s="113"/>
    </row>
    <row r="1735">
      <c r="J1735" s="113"/>
    </row>
    <row r="1736">
      <c r="J1736" s="113"/>
    </row>
    <row r="1737">
      <c r="J1737" s="113"/>
    </row>
    <row r="1738">
      <c r="J1738" s="113"/>
    </row>
    <row r="1739">
      <c r="J1739" s="113"/>
    </row>
    <row r="1740">
      <c r="J1740" s="113"/>
    </row>
    <row r="1741">
      <c r="J1741" s="113"/>
    </row>
    <row r="1742">
      <c r="J1742" s="113"/>
    </row>
    <row r="1743">
      <c r="J1743" s="113"/>
    </row>
    <row r="1744">
      <c r="J1744" s="113"/>
    </row>
    <row r="1745">
      <c r="J1745" s="113"/>
    </row>
    <row r="1746">
      <c r="J1746" s="113"/>
    </row>
    <row r="1747">
      <c r="J1747" s="113"/>
    </row>
    <row r="1748">
      <c r="J1748" s="113"/>
    </row>
    <row r="1749">
      <c r="J1749" s="113"/>
    </row>
    <row r="1750">
      <c r="J1750" s="113"/>
    </row>
    <row r="1751">
      <c r="J1751" s="113"/>
    </row>
    <row r="1752">
      <c r="J1752" s="113"/>
    </row>
    <row r="1753">
      <c r="J1753" s="113"/>
    </row>
    <row r="1754">
      <c r="J1754" s="113"/>
    </row>
    <row r="1755">
      <c r="J1755" s="113"/>
    </row>
    <row r="1756">
      <c r="J1756" s="113"/>
    </row>
    <row r="1757">
      <c r="J1757" s="113"/>
    </row>
    <row r="1758">
      <c r="J1758" s="113"/>
    </row>
    <row r="1759">
      <c r="J1759" s="113"/>
    </row>
    <row r="1760">
      <c r="J1760" s="113"/>
    </row>
    <row r="1761">
      <c r="J1761" s="113"/>
    </row>
    <row r="1762">
      <c r="J1762" s="113"/>
    </row>
    <row r="1763">
      <c r="J1763" s="113"/>
    </row>
    <row r="1764">
      <c r="J1764" s="113"/>
    </row>
    <row r="1765">
      <c r="J1765" s="113"/>
    </row>
    <row r="1766">
      <c r="J1766" s="113"/>
    </row>
    <row r="1767">
      <c r="J1767" s="113"/>
    </row>
    <row r="1768">
      <c r="J1768" s="113"/>
    </row>
    <row r="1769">
      <c r="J1769" s="113"/>
    </row>
    <row r="1770">
      <c r="J1770" s="113"/>
    </row>
    <row r="1771">
      <c r="J1771" s="113"/>
    </row>
    <row r="1772">
      <c r="J1772" s="113"/>
    </row>
    <row r="1773">
      <c r="J1773" s="113"/>
    </row>
    <row r="1774">
      <c r="J1774" s="113"/>
    </row>
    <row r="1775">
      <c r="J1775" s="113"/>
    </row>
    <row r="1776">
      <c r="J1776" s="113"/>
    </row>
    <row r="1777">
      <c r="J1777" s="113"/>
    </row>
    <row r="1778">
      <c r="J1778" s="113"/>
    </row>
    <row r="1779">
      <c r="J1779" s="113"/>
    </row>
    <row r="1780">
      <c r="J1780" s="113"/>
    </row>
    <row r="1781">
      <c r="J1781" s="113"/>
    </row>
    <row r="1782">
      <c r="J1782" s="113"/>
    </row>
    <row r="1783">
      <c r="J1783" s="113"/>
    </row>
    <row r="1784">
      <c r="J1784" s="113"/>
    </row>
    <row r="1785">
      <c r="J1785" s="113"/>
    </row>
    <row r="1786">
      <c r="J1786" s="113"/>
    </row>
    <row r="1787">
      <c r="J1787" s="113"/>
    </row>
    <row r="1788">
      <c r="J1788" s="113"/>
    </row>
    <row r="1789">
      <c r="J1789" s="113"/>
    </row>
    <row r="1790">
      <c r="J1790" s="113"/>
    </row>
    <row r="1791">
      <c r="J1791" s="113"/>
    </row>
    <row r="1792">
      <c r="J1792" s="113"/>
    </row>
    <row r="1793">
      <c r="J1793" s="113"/>
    </row>
    <row r="1794">
      <c r="J1794" s="113"/>
    </row>
    <row r="1795">
      <c r="J1795" s="113"/>
    </row>
    <row r="1796">
      <c r="J1796" s="113"/>
    </row>
    <row r="1797">
      <c r="J1797" s="113"/>
    </row>
    <row r="1798">
      <c r="J1798" s="113"/>
    </row>
    <row r="1799">
      <c r="J1799" s="113"/>
    </row>
    <row r="1800">
      <c r="J1800" s="113"/>
    </row>
    <row r="1801">
      <c r="J1801" s="113"/>
    </row>
    <row r="1802">
      <c r="J1802" s="113"/>
    </row>
    <row r="1803">
      <c r="J1803" s="113"/>
    </row>
    <row r="1804">
      <c r="J1804" s="113"/>
    </row>
    <row r="1805">
      <c r="J1805" s="113"/>
    </row>
    <row r="1806">
      <c r="J1806" s="113"/>
    </row>
    <row r="1807">
      <c r="J1807" s="113"/>
    </row>
    <row r="1808">
      <c r="J1808" s="113"/>
    </row>
    <row r="1809">
      <c r="J1809" s="113"/>
    </row>
    <row r="1810">
      <c r="J1810" s="113"/>
    </row>
    <row r="1811">
      <c r="J1811" s="113"/>
    </row>
    <row r="1812">
      <c r="J1812" s="113"/>
    </row>
    <row r="1813">
      <c r="J1813" s="113"/>
    </row>
    <row r="1814">
      <c r="J1814" s="113"/>
    </row>
    <row r="1815">
      <c r="J1815" s="113"/>
    </row>
    <row r="1816">
      <c r="J1816" s="113"/>
    </row>
    <row r="1817">
      <c r="J1817" s="113"/>
    </row>
    <row r="1818">
      <c r="J1818" s="113"/>
    </row>
    <row r="1819">
      <c r="J1819" s="113"/>
    </row>
    <row r="1820">
      <c r="J1820" s="113"/>
    </row>
    <row r="1821">
      <c r="J1821" s="113"/>
    </row>
    <row r="1822">
      <c r="J1822" s="113"/>
    </row>
    <row r="1823">
      <c r="J1823" s="113"/>
    </row>
    <row r="1824">
      <c r="J1824" s="113"/>
    </row>
    <row r="1825">
      <c r="J1825" s="113"/>
    </row>
    <row r="1826">
      <c r="J1826" s="113"/>
    </row>
    <row r="1827">
      <c r="J1827" s="113"/>
    </row>
    <row r="1828">
      <c r="J1828" s="113"/>
    </row>
    <row r="1829">
      <c r="J1829" s="113"/>
    </row>
    <row r="1830">
      <c r="J1830" s="113"/>
    </row>
    <row r="1831">
      <c r="J1831" s="113"/>
    </row>
    <row r="1832">
      <c r="J1832" s="113"/>
    </row>
    <row r="1833">
      <c r="J1833" s="113"/>
    </row>
    <row r="1834">
      <c r="J1834" s="113"/>
    </row>
    <row r="1835">
      <c r="J1835" s="113"/>
    </row>
    <row r="1836">
      <c r="J1836" s="113"/>
    </row>
    <row r="1837">
      <c r="J1837" s="113"/>
    </row>
    <row r="1838">
      <c r="J1838" s="113"/>
    </row>
    <row r="1839">
      <c r="J1839" s="113"/>
    </row>
    <row r="1840">
      <c r="J1840" s="113"/>
    </row>
    <row r="1841">
      <c r="J1841" s="113"/>
    </row>
    <row r="1842">
      <c r="J1842" s="113"/>
    </row>
    <row r="1843">
      <c r="J1843" s="113"/>
    </row>
    <row r="1844">
      <c r="J1844" s="113"/>
    </row>
    <row r="1845">
      <c r="J1845" s="113"/>
    </row>
    <row r="1846">
      <c r="J1846" s="113"/>
    </row>
    <row r="1847">
      <c r="J1847" s="113"/>
    </row>
    <row r="1848">
      <c r="J1848" s="113"/>
    </row>
    <row r="1849">
      <c r="J1849" s="113"/>
    </row>
    <row r="1850">
      <c r="J1850" s="113"/>
    </row>
    <row r="1851">
      <c r="J1851" s="113"/>
    </row>
    <row r="1852">
      <c r="J1852" s="113"/>
    </row>
    <row r="1853">
      <c r="J1853" s="113"/>
    </row>
    <row r="1854">
      <c r="J1854" s="113"/>
    </row>
    <row r="1855">
      <c r="J1855" s="113"/>
    </row>
    <row r="1856">
      <c r="J1856" s="113"/>
    </row>
    <row r="1857">
      <c r="J1857" s="113"/>
    </row>
    <row r="1858">
      <c r="J1858" s="113"/>
    </row>
    <row r="1859">
      <c r="J1859" s="113"/>
    </row>
    <row r="1860">
      <c r="J1860" s="113"/>
    </row>
    <row r="1861">
      <c r="J1861" s="113"/>
    </row>
    <row r="1862">
      <c r="J1862" s="113"/>
    </row>
    <row r="1863">
      <c r="J1863" s="113"/>
    </row>
    <row r="1864">
      <c r="J1864" s="113"/>
    </row>
    <row r="1865">
      <c r="J1865" s="113"/>
    </row>
    <row r="1866">
      <c r="J1866" s="113"/>
    </row>
    <row r="1867">
      <c r="J1867" s="113"/>
    </row>
    <row r="1868">
      <c r="J1868" s="113"/>
    </row>
    <row r="1869">
      <c r="J1869" s="113"/>
    </row>
    <row r="1870">
      <c r="J1870" s="113"/>
    </row>
    <row r="1871">
      <c r="J1871" s="113"/>
    </row>
    <row r="1872">
      <c r="J1872" s="113"/>
    </row>
    <row r="1873">
      <c r="J1873" s="113"/>
    </row>
    <row r="1874">
      <c r="J1874" s="113"/>
    </row>
    <row r="1875">
      <c r="J1875" s="113"/>
    </row>
    <row r="1876">
      <c r="J1876" s="113"/>
    </row>
    <row r="1877">
      <c r="J1877" s="113"/>
    </row>
    <row r="1878">
      <c r="J1878" s="113"/>
    </row>
    <row r="1879">
      <c r="J1879" s="113"/>
    </row>
    <row r="1880">
      <c r="J1880" s="113"/>
    </row>
    <row r="1881">
      <c r="J1881" s="113"/>
    </row>
    <row r="1882">
      <c r="J1882" s="113"/>
    </row>
    <row r="1883">
      <c r="J1883" s="113"/>
    </row>
    <row r="1884">
      <c r="J1884" s="113"/>
    </row>
    <row r="1885">
      <c r="J1885" s="113"/>
    </row>
    <row r="1886">
      <c r="J1886" s="113"/>
    </row>
    <row r="1887">
      <c r="J1887" s="113"/>
    </row>
    <row r="1888">
      <c r="J1888" s="113"/>
    </row>
    <row r="1889">
      <c r="J1889" s="113"/>
    </row>
    <row r="1890">
      <c r="J1890" s="113"/>
    </row>
    <row r="1891">
      <c r="J1891" s="113"/>
    </row>
    <row r="1892">
      <c r="J1892" s="113"/>
    </row>
    <row r="1893">
      <c r="J1893" s="113"/>
    </row>
    <row r="1894">
      <c r="J1894" s="113"/>
    </row>
    <row r="1895">
      <c r="J1895" s="113"/>
    </row>
    <row r="1896">
      <c r="J1896" s="113"/>
    </row>
    <row r="1897">
      <c r="J1897" s="113"/>
    </row>
    <row r="1898">
      <c r="J1898" s="113"/>
    </row>
    <row r="1899">
      <c r="J1899" s="113"/>
    </row>
    <row r="1900">
      <c r="J1900" s="113"/>
    </row>
    <row r="1901">
      <c r="J1901" s="113"/>
    </row>
    <row r="1902">
      <c r="J1902" s="113"/>
    </row>
    <row r="1903">
      <c r="J1903" s="113"/>
    </row>
    <row r="1904">
      <c r="J1904" s="113"/>
    </row>
    <row r="1905">
      <c r="J1905" s="113"/>
    </row>
    <row r="1906">
      <c r="J1906" s="113"/>
    </row>
    <row r="1907">
      <c r="J1907" s="113"/>
    </row>
    <row r="1908">
      <c r="J1908" s="113"/>
    </row>
    <row r="1909">
      <c r="J1909" s="113"/>
    </row>
    <row r="1910">
      <c r="J1910" s="113"/>
    </row>
    <row r="1911">
      <c r="J1911" s="113"/>
    </row>
    <row r="1912">
      <c r="J1912" s="113"/>
    </row>
    <row r="1913">
      <c r="J1913" s="113"/>
    </row>
    <row r="1914">
      <c r="J1914" s="113"/>
    </row>
    <row r="1915">
      <c r="J1915" s="113"/>
    </row>
    <row r="1916">
      <c r="J1916" s="113"/>
    </row>
    <row r="1917">
      <c r="J1917" s="113"/>
    </row>
    <row r="1918">
      <c r="J1918" s="113"/>
    </row>
    <row r="1919">
      <c r="J1919" s="113"/>
    </row>
    <row r="1920">
      <c r="J1920" s="113"/>
    </row>
    <row r="1921">
      <c r="J1921" s="113"/>
    </row>
    <row r="1922">
      <c r="J1922" s="113"/>
    </row>
    <row r="1923">
      <c r="J1923" s="113"/>
    </row>
    <row r="1924">
      <c r="J1924" s="113"/>
    </row>
    <row r="1925">
      <c r="J1925" s="113"/>
    </row>
    <row r="1926">
      <c r="J1926" s="113"/>
    </row>
    <row r="1927">
      <c r="J1927" s="113"/>
    </row>
    <row r="1928">
      <c r="J1928" s="113"/>
    </row>
    <row r="1929">
      <c r="J1929" s="113"/>
    </row>
    <row r="1930">
      <c r="J1930" s="113"/>
    </row>
    <row r="1931">
      <c r="J1931" s="113"/>
    </row>
    <row r="1932">
      <c r="J1932" s="113"/>
    </row>
    <row r="1933">
      <c r="J1933" s="113"/>
    </row>
    <row r="1934">
      <c r="J1934" s="113"/>
    </row>
    <row r="1935">
      <c r="J1935" s="113"/>
    </row>
    <row r="1936">
      <c r="J1936" s="113"/>
    </row>
    <row r="1937">
      <c r="J1937" s="113"/>
    </row>
    <row r="1938">
      <c r="J1938" s="113"/>
    </row>
    <row r="1939">
      <c r="J1939" s="113"/>
    </row>
    <row r="1940">
      <c r="J1940" s="113"/>
    </row>
    <row r="1941">
      <c r="J1941" s="113"/>
    </row>
    <row r="1942">
      <c r="J1942" s="113"/>
    </row>
    <row r="1943">
      <c r="J1943" s="113"/>
    </row>
    <row r="1944">
      <c r="J1944" s="113"/>
    </row>
    <row r="1945">
      <c r="J1945" s="113"/>
    </row>
    <row r="1946">
      <c r="J1946" s="113"/>
    </row>
    <row r="1947">
      <c r="J1947" s="113"/>
    </row>
    <row r="1948">
      <c r="J1948" s="113"/>
    </row>
    <row r="1949">
      <c r="J1949" s="113"/>
    </row>
    <row r="1950">
      <c r="J1950" s="113"/>
    </row>
    <row r="1951">
      <c r="J1951" s="113"/>
    </row>
    <row r="1952">
      <c r="J1952" s="113"/>
    </row>
    <row r="1953">
      <c r="J1953" s="113"/>
    </row>
    <row r="1954">
      <c r="J1954" s="113"/>
    </row>
    <row r="1955">
      <c r="J1955" s="113"/>
    </row>
    <row r="1956">
      <c r="J1956" s="113"/>
    </row>
    <row r="1957">
      <c r="J1957" s="113"/>
    </row>
    <row r="1958">
      <c r="J1958" s="113"/>
    </row>
    <row r="1959">
      <c r="J1959" s="113"/>
    </row>
    <row r="1960">
      <c r="J1960" s="113"/>
    </row>
    <row r="1961">
      <c r="J1961" s="113"/>
    </row>
    <row r="1962">
      <c r="J1962" s="113"/>
    </row>
    <row r="1963">
      <c r="J1963" s="113"/>
    </row>
    <row r="1964">
      <c r="J1964" s="113"/>
    </row>
    <row r="1965">
      <c r="J1965" s="113"/>
    </row>
    <row r="1966">
      <c r="J1966" s="113"/>
    </row>
    <row r="1967">
      <c r="J1967" s="113"/>
    </row>
    <row r="1968">
      <c r="J1968" s="113"/>
    </row>
    <row r="1969">
      <c r="J1969" s="113"/>
    </row>
    <row r="1970">
      <c r="J1970" s="113"/>
    </row>
    <row r="1971">
      <c r="J1971" s="113"/>
    </row>
    <row r="1972">
      <c r="J1972" s="113"/>
    </row>
    <row r="1973">
      <c r="J1973" s="113"/>
    </row>
    <row r="1974">
      <c r="J1974" s="113"/>
    </row>
    <row r="1975">
      <c r="J1975" s="113"/>
    </row>
    <row r="1976">
      <c r="J1976" s="113"/>
    </row>
    <row r="1977">
      <c r="J1977" s="113"/>
    </row>
    <row r="1978">
      <c r="J1978" s="113"/>
    </row>
    <row r="1979">
      <c r="J1979" s="113"/>
    </row>
    <row r="1980">
      <c r="J1980" s="113"/>
    </row>
    <row r="1981">
      <c r="J1981" s="113"/>
    </row>
    <row r="1982">
      <c r="J1982" s="113"/>
    </row>
    <row r="1983">
      <c r="J1983" s="113"/>
    </row>
    <row r="1984">
      <c r="J1984" s="113"/>
    </row>
    <row r="1985">
      <c r="J1985" s="113"/>
    </row>
    <row r="1986">
      <c r="J1986" s="113"/>
    </row>
    <row r="1987">
      <c r="J1987" s="113"/>
    </row>
    <row r="1988">
      <c r="J1988" s="113"/>
    </row>
    <row r="1989">
      <c r="J1989" s="113"/>
    </row>
    <row r="1990">
      <c r="J1990" s="113"/>
    </row>
    <row r="1991">
      <c r="J1991" s="113"/>
    </row>
    <row r="1992">
      <c r="J1992" s="113"/>
    </row>
    <row r="1993">
      <c r="J1993" s="113"/>
    </row>
    <row r="1994">
      <c r="J1994" s="113"/>
    </row>
    <row r="1995">
      <c r="J1995" s="113"/>
    </row>
    <row r="1996">
      <c r="J1996" s="113"/>
    </row>
    <row r="1997">
      <c r="J1997" s="113"/>
    </row>
    <row r="1998">
      <c r="J1998" s="113"/>
    </row>
    <row r="1999">
      <c r="J1999" s="113"/>
    </row>
    <row r="2000">
      <c r="J2000" s="113"/>
    </row>
    <row r="2001">
      <c r="J2001" s="113"/>
    </row>
    <row r="2002">
      <c r="J2002" s="113"/>
    </row>
    <row r="2003">
      <c r="J2003" s="113"/>
    </row>
    <row r="2004">
      <c r="J2004" s="113"/>
    </row>
    <row r="2005">
      <c r="J2005" s="113"/>
    </row>
    <row r="2006">
      <c r="J2006" s="113"/>
    </row>
    <row r="2007">
      <c r="J2007" s="113"/>
    </row>
    <row r="2008">
      <c r="J2008" s="113"/>
    </row>
    <row r="2009">
      <c r="J2009" s="113"/>
    </row>
    <row r="2010">
      <c r="J2010" s="113"/>
    </row>
    <row r="2011">
      <c r="J2011" s="113"/>
    </row>
    <row r="2012">
      <c r="J2012" s="113"/>
    </row>
    <row r="2013">
      <c r="J2013" s="113"/>
    </row>
    <row r="2014">
      <c r="J2014" s="113"/>
    </row>
    <row r="2015">
      <c r="J2015" s="113"/>
    </row>
    <row r="2016">
      <c r="J2016" s="113"/>
    </row>
    <row r="2017">
      <c r="J2017" s="113"/>
    </row>
    <row r="2018">
      <c r="J2018" s="113"/>
    </row>
    <row r="2019">
      <c r="J2019" s="113"/>
    </row>
    <row r="2020">
      <c r="J2020" s="113"/>
    </row>
    <row r="2021">
      <c r="J2021" s="113"/>
    </row>
    <row r="2022">
      <c r="J2022" s="113"/>
    </row>
    <row r="2023">
      <c r="J2023" s="113"/>
    </row>
    <row r="2024">
      <c r="J2024" s="113"/>
    </row>
    <row r="2025">
      <c r="J2025" s="113"/>
    </row>
    <row r="2026">
      <c r="J2026" s="113"/>
    </row>
    <row r="2027">
      <c r="J2027" s="113"/>
    </row>
    <row r="2028">
      <c r="J2028" s="113"/>
    </row>
    <row r="2029">
      <c r="J2029" s="113"/>
    </row>
    <row r="2030">
      <c r="J2030" s="113"/>
    </row>
    <row r="2031">
      <c r="J2031" s="113"/>
    </row>
    <row r="2032">
      <c r="J2032" s="113"/>
    </row>
    <row r="2033">
      <c r="J2033" s="113"/>
    </row>
    <row r="2034">
      <c r="J2034" s="113"/>
    </row>
    <row r="2035">
      <c r="J2035" s="113"/>
    </row>
    <row r="2036">
      <c r="J2036" s="113"/>
    </row>
    <row r="2037">
      <c r="J2037" s="113"/>
    </row>
    <row r="2038">
      <c r="J2038" s="113"/>
    </row>
    <row r="2039">
      <c r="J2039" s="113"/>
    </row>
    <row r="2040">
      <c r="J2040" s="113"/>
    </row>
    <row r="2041">
      <c r="J2041" s="113"/>
    </row>
    <row r="2042">
      <c r="J2042" s="113"/>
    </row>
    <row r="2043">
      <c r="J2043" s="113"/>
    </row>
    <row r="2044">
      <c r="J2044" s="113"/>
    </row>
    <row r="2045">
      <c r="J2045" s="113"/>
    </row>
    <row r="2046">
      <c r="J2046" s="113"/>
    </row>
    <row r="2047">
      <c r="J2047" s="113"/>
    </row>
    <row r="2048">
      <c r="J2048" s="113"/>
    </row>
    <row r="2049">
      <c r="J2049" s="113"/>
    </row>
    <row r="2050">
      <c r="J2050" s="113"/>
    </row>
    <row r="2051">
      <c r="J2051" s="113"/>
    </row>
    <row r="2052">
      <c r="J2052" s="113"/>
    </row>
    <row r="2053">
      <c r="J2053" s="113"/>
    </row>
    <row r="2054">
      <c r="J2054" s="113"/>
    </row>
    <row r="2055">
      <c r="J2055" s="113"/>
    </row>
    <row r="2056">
      <c r="J2056" s="113"/>
    </row>
    <row r="2057">
      <c r="J2057" s="113"/>
    </row>
    <row r="2058">
      <c r="J2058" s="113"/>
    </row>
    <row r="2059">
      <c r="J2059" s="113"/>
    </row>
    <row r="2060">
      <c r="J2060" s="113"/>
    </row>
    <row r="2061">
      <c r="J2061" s="113"/>
    </row>
    <row r="2062">
      <c r="J2062" s="113"/>
    </row>
    <row r="2063">
      <c r="J2063" s="113"/>
    </row>
    <row r="2064">
      <c r="J2064" s="113"/>
    </row>
    <row r="2065">
      <c r="J2065" s="113"/>
    </row>
    <row r="2066">
      <c r="J2066" s="113"/>
    </row>
    <row r="2067">
      <c r="J2067" s="113"/>
    </row>
    <row r="2068">
      <c r="J2068" s="113"/>
    </row>
    <row r="2069">
      <c r="J2069" s="113"/>
    </row>
    <row r="2070">
      <c r="J2070" s="113"/>
    </row>
    <row r="2071">
      <c r="J2071" s="113"/>
    </row>
    <row r="2072">
      <c r="J2072" s="113"/>
    </row>
    <row r="2073">
      <c r="J2073" s="113"/>
    </row>
    <row r="2074">
      <c r="J2074" s="113"/>
    </row>
    <row r="2075">
      <c r="J2075" s="113"/>
    </row>
    <row r="2076">
      <c r="J2076" s="113"/>
    </row>
    <row r="2077">
      <c r="J2077" s="113"/>
    </row>
    <row r="2078">
      <c r="J2078" s="113"/>
    </row>
    <row r="2079">
      <c r="J2079" s="113"/>
    </row>
    <row r="2080">
      <c r="J2080" s="113"/>
    </row>
    <row r="2081">
      <c r="J2081" s="113"/>
    </row>
    <row r="2082">
      <c r="J2082" s="113"/>
    </row>
    <row r="2083">
      <c r="J2083" s="113"/>
    </row>
    <row r="2084">
      <c r="J2084" s="113"/>
    </row>
    <row r="2085">
      <c r="J2085" s="113"/>
    </row>
    <row r="2086">
      <c r="J2086" s="113"/>
    </row>
    <row r="2087">
      <c r="J2087" s="113"/>
    </row>
    <row r="2088">
      <c r="J2088" s="113"/>
    </row>
    <row r="2089">
      <c r="J2089" s="113"/>
    </row>
    <row r="2090">
      <c r="J2090" s="113"/>
    </row>
    <row r="2091">
      <c r="J2091" s="113"/>
    </row>
    <row r="2092">
      <c r="J2092" s="113"/>
    </row>
    <row r="2093">
      <c r="J2093" s="113"/>
    </row>
    <row r="2094">
      <c r="J2094" s="113"/>
    </row>
    <row r="2095">
      <c r="J2095" s="113"/>
    </row>
    <row r="2096">
      <c r="J2096" s="113"/>
    </row>
    <row r="2097">
      <c r="J2097" s="113"/>
    </row>
    <row r="2098">
      <c r="J2098" s="113"/>
    </row>
    <row r="2099">
      <c r="J2099" s="113"/>
    </row>
    <row r="2100">
      <c r="J2100" s="113"/>
    </row>
    <row r="2101">
      <c r="J2101" s="113"/>
    </row>
    <row r="2102">
      <c r="J2102" s="113"/>
    </row>
    <row r="2103">
      <c r="J2103" s="113"/>
    </row>
    <row r="2104">
      <c r="J2104" s="113"/>
    </row>
    <row r="2105">
      <c r="J2105" s="113"/>
    </row>
    <row r="2106">
      <c r="J2106" s="113"/>
    </row>
    <row r="2107">
      <c r="J2107" s="113"/>
    </row>
    <row r="2108">
      <c r="J2108" s="113"/>
    </row>
    <row r="2109">
      <c r="J2109" s="113"/>
    </row>
    <row r="2110">
      <c r="J2110" s="113"/>
    </row>
    <row r="2111">
      <c r="J2111" s="113"/>
    </row>
    <row r="2112">
      <c r="J2112" s="113"/>
    </row>
    <row r="2113">
      <c r="J2113" s="113"/>
    </row>
    <row r="2114">
      <c r="J2114" s="113"/>
    </row>
    <row r="2115">
      <c r="J2115" s="113"/>
    </row>
    <row r="2116">
      <c r="J2116" s="113"/>
    </row>
    <row r="2117">
      <c r="J2117" s="113"/>
    </row>
    <row r="2118">
      <c r="J2118" s="113"/>
    </row>
    <row r="2119">
      <c r="J2119" s="113"/>
    </row>
    <row r="2120">
      <c r="J2120" s="113"/>
    </row>
    <row r="2121">
      <c r="J2121" s="113"/>
    </row>
    <row r="2122">
      <c r="J2122" s="113"/>
    </row>
    <row r="2123">
      <c r="J2123" s="113"/>
    </row>
    <row r="2124">
      <c r="J2124" s="113"/>
    </row>
    <row r="2125">
      <c r="J2125" s="113"/>
    </row>
    <row r="2126">
      <c r="J2126" s="113"/>
    </row>
    <row r="2127">
      <c r="J2127" s="113"/>
    </row>
    <row r="2128">
      <c r="J2128" s="113"/>
    </row>
    <row r="2129">
      <c r="J2129" s="113"/>
    </row>
    <row r="2130">
      <c r="J2130" s="113"/>
    </row>
    <row r="2131">
      <c r="J2131" s="113"/>
    </row>
    <row r="2132">
      <c r="J2132" s="113"/>
    </row>
    <row r="2133">
      <c r="J2133" s="113"/>
    </row>
    <row r="2134">
      <c r="J2134" s="113"/>
    </row>
    <row r="2135">
      <c r="J2135" s="113"/>
    </row>
    <row r="2136">
      <c r="J2136" s="113"/>
    </row>
    <row r="2137">
      <c r="J2137" s="113"/>
    </row>
    <row r="2138">
      <c r="J2138" s="113"/>
    </row>
    <row r="2139">
      <c r="J2139" s="113"/>
    </row>
    <row r="2140">
      <c r="J2140" s="113"/>
    </row>
    <row r="2141">
      <c r="J2141" s="113"/>
    </row>
    <row r="2142">
      <c r="J2142" s="113"/>
    </row>
    <row r="2143">
      <c r="J2143" s="113"/>
    </row>
    <row r="2144">
      <c r="J2144" s="113"/>
    </row>
    <row r="2145">
      <c r="J2145" s="113"/>
    </row>
    <row r="2146">
      <c r="J2146" s="113"/>
    </row>
    <row r="2147">
      <c r="J2147" s="113"/>
    </row>
    <row r="2148">
      <c r="J2148" s="113"/>
    </row>
    <row r="2149">
      <c r="J2149" s="113"/>
    </row>
    <row r="2150">
      <c r="J2150" s="113"/>
    </row>
    <row r="2151">
      <c r="J2151" s="113"/>
    </row>
    <row r="2152">
      <c r="J2152" s="113"/>
    </row>
    <row r="2153">
      <c r="J2153" s="113"/>
    </row>
    <row r="2154">
      <c r="J2154" s="113"/>
    </row>
    <row r="2155">
      <c r="J2155" s="113"/>
    </row>
    <row r="2156">
      <c r="J2156" s="113"/>
    </row>
    <row r="2157">
      <c r="J2157" s="113"/>
    </row>
    <row r="2158">
      <c r="J2158" s="113"/>
    </row>
    <row r="2159">
      <c r="J2159" s="113"/>
    </row>
    <row r="2160">
      <c r="J2160" s="113"/>
    </row>
    <row r="2161">
      <c r="J2161" s="113"/>
    </row>
    <row r="2162">
      <c r="J2162" s="113"/>
    </row>
    <row r="2163">
      <c r="J2163" s="113"/>
    </row>
    <row r="2164">
      <c r="J2164" s="113"/>
    </row>
    <row r="2165">
      <c r="J2165" s="113"/>
    </row>
    <row r="2166">
      <c r="J2166" s="113"/>
    </row>
    <row r="2167">
      <c r="J2167" s="113"/>
    </row>
    <row r="2168">
      <c r="J2168" s="113"/>
    </row>
    <row r="2169">
      <c r="J2169" s="113"/>
    </row>
    <row r="2170">
      <c r="J2170" s="113"/>
    </row>
    <row r="2171">
      <c r="J2171" s="113"/>
    </row>
    <row r="2172">
      <c r="J2172" s="113"/>
    </row>
    <row r="2173">
      <c r="J2173" s="113"/>
    </row>
    <row r="2174">
      <c r="J2174" s="113"/>
    </row>
    <row r="2175">
      <c r="J2175" s="113"/>
    </row>
    <row r="2176">
      <c r="J2176" s="113"/>
    </row>
    <row r="2177">
      <c r="J2177" s="113"/>
    </row>
    <row r="2178">
      <c r="J2178" s="113"/>
    </row>
    <row r="2179">
      <c r="J2179" s="113"/>
    </row>
    <row r="2180">
      <c r="J2180" s="113"/>
    </row>
    <row r="2181">
      <c r="J2181" s="113"/>
    </row>
    <row r="2182">
      <c r="J2182" s="113"/>
    </row>
    <row r="2183">
      <c r="J2183" s="113"/>
    </row>
    <row r="2184">
      <c r="J2184" s="113"/>
    </row>
    <row r="2185">
      <c r="J2185" s="113"/>
    </row>
    <row r="2186">
      <c r="J2186" s="113"/>
    </row>
    <row r="2187">
      <c r="J2187" s="113"/>
    </row>
    <row r="2188">
      <c r="J2188" s="113"/>
    </row>
    <row r="2189">
      <c r="J2189" s="113"/>
    </row>
    <row r="2190">
      <c r="J2190" s="113"/>
    </row>
    <row r="2191">
      <c r="J2191" s="113"/>
    </row>
    <row r="2192">
      <c r="J2192" s="113"/>
    </row>
    <row r="2193">
      <c r="J2193" s="113"/>
    </row>
    <row r="2194">
      <c r="J2194" s="113"/>
    </row>
    <row r="2195">
      <c r="J2195" s="113"/>
    </row>
    <row r="2196">
      <c r="J2196" s="113"/>
    </row>
    <row r="2197">
      <c r="J2197" s="113"/>
    </row>
    <row r="2198">
      <c r="J2198" s="113"/>
    </row>
    <row r="2199">
      <c r="J2199" s="113"/>
    </row>
    <row r="2200">
      <c r="J2200" s="113"/>
    </row>
    <row r="2201">
      <c r="J2201" s="113"/>
    </row>
    <row r="2202">
      <c r="J2202" s="113"/>
    </row>
    <row r="2203">
      <c r="J2203" s="113"/>
    </row>
    <row r="2204">
      <c r="J2204" s="113"/>
    </row>
    <row r="2205">
      <c r="J2205" s="113"/>
    </row>
    <row r="2206">
      <c r="J2206" s="113"/>
    </row>
    <row r="2207">
      <c r="J2207" s="113"/>
    </row>
    <row r="2208">
      <c r="J2208" s="113"/>
    </row>
    <row r="2209">
      <c r="J2209" s="113"/>
    </row>
    <row r="2210">
      <c r="J2210" s="113"/>
    </row>
    <row r="2211">
      <c r="J2211" s="113"/>
    </row>
    <row r="2212">
      <c r="J2212" s="113"/>
    </row>
    <row r="2213">
      <c r="J2213" s="113"/>
    </row>
    <row r="2214">
      <c r="J2214" s="113"/>
    </row>
    <row r="2215">
      <c r="J2215" s="113"/>
    </row>
    <row r="2216">
      <c r="J2216" s="113"/>
    </row>
    <row r="2217">
      <c r="J2217" s="113"/>
    </row>
    <row r="2218">
      <c r="J2218" s="113"/>
    </row>
    <row r="2219">
      <c r="J2219" s="113"/>
    </row>
    <row r="2220">
      <c r="J2220" s="113"/>
    </row>
    <row r="2221">
      <c r="J2221" s="113"/>
    </row>
    <row r="2222">
      <c r="J2222" s="113"/>
    </row>
    <row r="2223">
      <c r="J2223" s="113"/>
    </row>
    <row r="2224">
      <c r="J2224" s="113"/>
    </row>
    <row r="2225">
      <c r="J2225" s="113"/>
    </row>
    <row r="2226">
      <c r="J2226" s="113"/>
    </row>
    <row r="2227">
      <c r="J2227" s="113"/>
    </row>
    <row r="2228">
      <c r="J2228" s="113"/>
    </row>
    <row r="2229">
      <c r="J2229" s="113"/>
    </row>
    <row r="2230">
      <c r="J2230" s="113"/>
    </row>
    <row r="2231">
      <c r="J2231" s="113"/>
    </row>
    <row r="2232">
      <c r="J2232" s="113"/>
    </row>
    <row r="2233">
      <c r="J2233" s="113"/>
    </row>
    <row r="2234">
      <c r="J2234" s="113"/>
    </row>
    <row r="2235">
      <c r="J2235" s="113"/>
    </row>
    <row r="2236">
      <c r="J2236" s="113"/>
    </row>
    <row r="2237">
      <c r="J2237" s="113"/>
    </row>
    <row r="2238">
      <c r="J2238" s="113"/>
    </row>
    <row r="2239">
      <c r="J2239" s="113"/>
    </row>
    <row r="2240">
      <c r="J2240" s="113"/>
    </row>
    <row r="2241">
      <c r="J2241" s="113"/>
    </row>
    <row r="2242">
      <c r="J2242" s="113"/>
    </row>
    <row r="2243">
      <c r="J2243" s="113"/>
    </row>
    <row r="2244">
      <c r="J2244" s="113"/>
    </row>
    <row r="2245">
      <c r="J2245" s="113"/>
    </row>
    <row r="2246">
      <c r="J2246" s="113"/>
    </row>
    <row r="2247">
      <c r="J2247" s="113"/>
    </row>
    <row r="2248">
      <c r="J2248" s="113"/>
    </row>
    <row r="2249">
      <c r="J2249" s="113"/>
    </row>
    <row r="2250">
      <c r="J2250" s="113"/>
    </row>
    <row r="2251">
      <c r="J2251" s="113"/>
    </row>
    <row r="2252">
      <c r="J2252" s="113"/>
    </row>
    <row r="2253">
      <c r="J2253" s="113"/>
    </row>
    <row r="2254">
      <c r="J2254" s="113"/>
    </row>
    <row r="2255">
      <c r="J2255" s="113"/>
    </row>
    <row r="2256">
      <c r="J2256" s="113"/>
    </row>
    <row r="2257">
      <c r="J2257" s="113"/>
    </row>
    <row r="2258">
      <c r="J2258" s="113"/>
    </row>
    <row r="2259">
      <c r="J2259" s="113"/>
    </row>
    <row r="2260">
      <c r="J2260" s="113"/>
    </row>
    <row r="2261">
      <c r="J2261" s="113"/>
    </row>
    <row r="2262">
      <c r="J2262" s="113"/>
    </row>
    <row r="2263">
      <c r="J2263" s="113"/>
    </row>
    <row r="2264">
      <c r="J2264" s="113"/>
    </row>
    <row r="2265">
      <c r="J2265" s="113"/>
    </row>
    <row r="2266">
      <c r="J2266" s="113"/>
    </row>
    <row r="2267">
      <c r="J2267" s="113"/>
    </row>
    <row r="2268">
      <c r="J2268" s="113"/>
    </row>
    <row r="2269">
      <c r="J2269" s="113"/>
    </row>
    <row r="2270">
      <c r="J2270" s="113"/>
    </row>
    <row r="2271">
      <c r="J2271" s="113"/>
    </row>
    <row r="2272">
      <c r="J2272" s="113"/>
    </row>
    <row r="2273">
      <c r="J2273" s="113"/>
    </row>
    <row r="2274">
      <c r="J2274" s="113"/>
    </row>
    <row r="2275">
      <c r="J2275" s="113"/>
    </row>
    <row r="2276">
      <c r="J2276" s="113"/>
    </row>
    <row r="2277">
      <c r="J2277" s="113"/>
    </row>
    <row r="2278">
      <c r="J2278" s="113"/>
    </row>
    <row r="2279">
      <c r="J2279" s="113"/>
    </row>
    <row r="2280">
      <c r="J2280" s="113"/>
    </row>
    <row r="2281">
      <c r="J2281" s="113"/>
    </row>
    <row r="2282">
      <c r="J2282" s="113"/>
    </row>
    <row r="2283">
      <c r="J2283" s="113"/>
    </row>
    <row r="2284">
      <c r="J2284" s="113"/>
    </row>
    <row r="2285">
      <c r="J2285" s="113"/>
    </row>
    <row r="2286">
      <c r="J2286" s="113"/>
    </row>
    <row r="2287">
      <c r="J2287" s="113"/>
    </row>
    <row r="2288">
      <c r="J2288" s="113"/>
    </row>
    <row r="2289">
      <c r="J2289" s="113"/>
    </row>
    <row r="2290">
      <c r="J2290" s="113"/>
    </row>
    <row r="2291">
      <c r="J2291" s="113"/>
    </row>
    <row r="2292">
      <c r="J2292" s="113"/>
    </row>
    <row r="2293">
      <c r="J2293" s="113"/>
    </row>
    <row r="2294">
      <c r="J2294" s="113"/>
    </row>
    <row r="2295">
      <c r="J2295" s="113"/>
    </row>
    <row r="2296">
      <c r="J2296" s="113"/>
    </row>
    <row r="2297">
      <c r="J2297" s="113"/>
    </row>
    <row r="2298">
      <c r="J2298" s="113"/>
    </row>
    <row r="2299">
      <c r="J2299" s="113"/>
    </row>
    <row r="2300">
      <c r="J2300" s="113"/>
    </row>
    <row r="2301">
      <c r="J2301" s="113"/>
    </row>
    <row r="2302">
      <c r="J2302" s="113"/>
    </row>
    <row r="2303">
      <c r="J2303" s="113"/>
    </row>
    <row r="2304">
      <c r="J2304" s="113"/>
    </row>
    <row r="2305">
      <c r="J2305" s="113"/>
    </row>
    <row r="2306">
      <c r="J2306" s="113"/>
    </row>
    <row r="2307">
      <c r="J2307" s="113"/>
    </row>
    <row r="2308">
      <c r="J2308" s="113"/>
    </row>
    <row r="2309">
      <c r="J2309" s="113"/>
    </row>
    <row r="2310">
      <c r="J2310" s="113"/>
    </row>
    <row r="2311">
      <c r="J2311" s="113"/>
    </row>
    <row r="2312">
      <c r="J2312" s="113"/>
    </row>
    <row r="2313">
      <c r="J2313" s="113"/>
    </row>
    <row r="2314">
      <c r="J2314" s="113"/>
    </row>
    <row r="2315">
      <c r="J2315" s="113"/>
    </row>
    <row r="2316">
      <c r="J2316" s="113"/>
    </row>
    <row r="2317">
      <c r="J2317" s="113"/>
    </row>
    <row r="2318">
      <c r="J2318" s="113"/>
    </row>
    <row r="2319">
      <c r="J2319" s="113"/>
    </row>
    <row r="2320">
      <c r="J2320" s="113"/>
    </row>
    <row r="2321">
      <c r="J2321" s="113"/>
    </row>
    <row r="2322">
      <c r="J2322" s="113"/>
    </row>
    <row r="2323">
      <c r="J2323" s="113"/>
    </row>
    <row r="2324">
      <c r="J2324" s="113"/>
    </row>
    <row r="2325">
      <c r="J2325" s="113"/>
    </row>
    <row r="2326">
      <c r="J2326" s="113"/>
    </row>
    <row r="2327">
      <c r="J2327" s="113"/>
    </row>
    <row r="2328">
      <c r="J2328" s="113"/>
    </row>
    <row r="2329">
      <c r="J2329" s="113"/>
    </row>
    <row r="2330">
      <c r="J2330" s="113"/>
    </row>
    <row r="2331">
      <c r="J2331" s="113"/>
    </row>
    <row r="2332">
      <c r="J2332" s="113"/>
    </row>
    <row r="2333">
      <c r="J2333" s="113"/>
    </row>
    <row r="2334">
      <c r="J2334" s="113"/>
    </row>
    <row r="2335">
      <c r="J2335" s="113"/>
    </row>
    <row r="2336">
      <c r="J2336" s="113"/>
    </row>
    <row r="2337">
      <c r="J2337" s="113"/>
    </row>
    <row r="2338">
      <c r="J2338" s="113"/>
    </row>
    <row r="2339">
      <c r="J2339" s="113"/>
    </row>
    <row r="2340">
      <c r="J2340" s="113"/>
    </row>
    <row r="2341">
      <c r="J2341" s="113"/>
    </row>
    <row r="2342">
      <c r="J2342" s="113"/>
    </row>
    <row r="2343">
      <c r="J2343" s="113"/>
    </row>
    <row r="2344">
      <c r="J2344" s="113"/>
    </row>
    <row r="2345">
      <c r="J2345" s="113"/>
    </row>
    <row r="2346">
      <c r="J2346" s="113"/>
    </row>
    <row r="2347">
      <c r="J2347" s="113"/>
    </row>
    <row r="2348">
      <c r="J2348" s="113"/>
    </row>
    <row r="2349">
      <c r="J2349" s="113"/>
    </row>
    <row r="2350">
      <c r="J2350" s="113"/>
    </row>
    <row r="2351">
      <c r="J2351" s="113"/>
    </row>
    <row r="2352">
      <c r="J2352" s="113"/>
    </row>
    <row r="2353">
      <c r="J2353" s="113"/>
    </row>
    <row r="2354">
      <c r="J2354" s="113"/>
    </row>
    <row r="2355">
      <c r="J2355" s="113"/>
    </row>
    <row r="2356">
      <c r="J2356" s="113"/>
    </row>
    <row r="2357">
      <c r="J2357" s="113"/>
    </row>
    <row r="2358">
      <c r="J2358" s="113"/>
    </row>
    <row r="2359">
      <c r="J2359" s="113"/>
    </row>
    <row r="2360">
      <c r="J2360" s="113"/>
    </row>
    <row r="2361">
      <c r="J2361" s="113"/>
    </row>
    <row r="2362">
      <c r="J2362" s="113"/>
    </row>
    <row r="2363">
      <c r="J2363" s="113"/>
    </row>
    <row r="2364">
      <c r="J2364" s="113"/>
    </row>
    <row r="2365">
      <c r="J2365" s="113"/>
    </row>
    <row r="2366">
      <c r="J2366" s="113"/>
    </row>
    <row r="2367">
      <c r="J2367" s="113"/>
    </row>
    <row r="2368">
      <c r="J2368" s="113"/>
    </row>
    <row r="2369">
      <c r="J2369" s="113"/>
    </row>
    <row r="2370">
      <c r="J2370" s="113"/>
    </row>
    <row r="2371">
      <c r="J2371" s="113"/>
    </row>
    <row r="2372">
      <c r="J2372" s="113"/>
    </row>
    <row r="2373">
      <c r="J2373" s="113"/>
    </row>
    <row r="2374">
      <c r="J2374" s="113"/>
    </row>
    <row r="2375">
      <c r="J2375" s="113"/>
    </row>
    <row r="2376">
      <c r="J2376" s="113"/>
    </row>
    <row r="2377">
      <c r="J2377" s="113"/>
    </row>
    <row r="2378">
      <c r="J2378" s="113"/>
    </row>
    <row r="2379">
      <c r="J2379" s="113"/>
    </row>
    <row r="2380">
      <c r="J2380" s="113"/>
    </row>
    <row r="2381">
      <c r="J2381" s="113"/>
    </row>
    <row r="2382">
      <c r="J2382" s="113"/>
    </row>
    <row r="2383">
      <c r="J2383" s="113"/>
    </row>
    <row r="2384">
      <c r="J2384" s="113"/>
    </row>
    <row r="2385">
      <c r="J2385" s="113"/>
    </row>
    <row r="2386">
      <c r="J2386" s="113"/>
    </row>
    <row r="2387">
      <c r="J2387" s="113"/>
    </row>
    <row r="2388">
      <c r="J2388" s="113"/>
    </row>
    <row r="2389">
      <c r="J2389" s="113"/>
    </row>
    <row r="2390">
      <c r="J2390" s="113"/>
    </row>
    <row r="2391">
      <c r="J2391" s="113"/>
    </row>
    <row r="2392">
      <c r="J2392" s="113"/>
    </row>
    <row r="2393">
      <c r="J2393" s="113"/>
    </row>
    <row r="2394">
      <c r="J2394" s="113"/>
    </row>
    <row r="2395">
      <c r="J2395" s="113"/>
    </row>
    <row r="2396">
      <c r="J2396" s="113"/>
    </row>
    <row r="2397">
      <c r="J2397" s="113"/>
    </row>
    <row r="2398">
      <c r="J2398" s="113"/>
    </row>
    <row r="2399">
      <c r="J2399" s="113"/>
    </row>
    <row r="2400">
      <c r="J2400" s="113"/>
    </row>
    <row r="2401">
      <c r="J2401" s="113"/>
    </row>
    <row r="2402">
      <c r="J2402" s="113"/>
    </row>
    <row r="2403">
      <c r="J2403" s="113"/>
    </row>
    <row r="2404">
      <c r="J2404" s="113"/>
    </row>
    <row r="2405">
      <c r="J2405" s="113"/>
    </row>
    <row r="2406">
      <c r="J2406" s="113"/>
    </row>
    <row r="2407">
      <c r="J2407" s="113"/>
    </row>
    <row r="2408">
      <c r="J2408" s="113"/>
    </row>
    <row r="2409">
      <c r="J2409" s="113"/>
    </row>
    <row r="2410">
      <c r="J2410" s="113"/>
    </row>
    <row r="2411">
      <c r="J2411" s="113"/>
    </row>
    <row r="2412">
      <c r="J2412" s="113"/>
    </row>
    <row r="2413">
      <c r="J2413" s="113"/>
    </row>
    <row r="2414">
      <c r="J2414" s="113"/>
    </row>
    <row r="2415">
      <c r="J2415" s="113"/>
    </row>
    <row r="2416">
      <c r="J2416" s="113"/>
    </row>
    <row r="2417">
      <c r="J2417" s="113"/>
    </row>
    <row r="2418">
      <c r="J2418" s="113"/>
    </row>
    <row r="2419">
      <c r="J2419" s="113"/>
    </row>
    <row r="2420">
      <c r="J2420" s="113"/>
    </row>
    <row r="2421">
      <c r="J2421" s="113"/>
    </row>
    <row r="2422">
      <c r="J2422" s="113"/>
    </row>
    <row r="2423">
      <c r="J2423" s="113"/>
    </row>
    <row r="2424">
      <c r="J2424" s="113"/>
    </row>
    <row r="2425">
      <c r="J2425" s="113"/>
    </row>
    <row r="2426">
      <c r="J2426" s="113"/>
    </row>
    <row r="2427">
      <c r="J2427" s="113"/>
    </row>
    <row r="2428">
      <c r="J2428" s="113"/>
    </row>
    <row r="2429">
      <c r="J2429" s="113"/>
    </row>
    <row r="2430">
      <c r="J2430" s="113"/>
    </row>
    <row r="2431">
      <c r="J2431" s="113"/>
    </row>
    <row r="2432">
      <c r="J2432" s="113"/>
    </row>
    <row r="2433">
      <c r="J2433" s="113"/>
    </row>
    <row r="2434">
      <c r="J2434" s="113"/>
    </row>
    <row r="2435">
      <c r="J2435" s="113"/>
    </row>
    <row r="2436">
      <c r="J2436" s="113"/>
    </row>
    <row r="2437">
      <c r="J2437" s="113"/>
    </row>
    <row r="2438">
      <c r="J2438" s="113"/>
    </row>
    <row r="2439">
      <c r="J2439" s="113"/>
    </row>
    <row r="2440">
      <c r="J2440" s="113"/>
    </row>
    <row r="2441">
      <c r="J2441" s="113"/>
    </row>
    <row r="2442">
      <c r="J2442" s="113"/>
    </row>
    <row r="2443">
      <c r="J2443" s="113"/>
    </row>
    <row r="2444">
      <c r="J2444" s="113"/>
    </row>
    <row r="2445">
      <c r="J2445" s="113"/>
    </row>
    <row r="2446">
      <c r="J2446" s="113"/>
    </row>
    <row r="2447">
      <c r="J2447" s="113"/>
    </row>
    <row r="2448">
      <c r="J2448" s="113"/>
    </row>
    <row r="2449">
      <c r="J2449" s="113"/>
    </row>
    <row r="2450">
      <c r="J2450" s="113"/>
    </row>
    <row r="2451">
      <c r="J2451" s="113"/>
    </row>
    <row r="2452">
      <c r="J2452" s="113"/>
    </row>
    <row r="2453">
      <c r="J2453" s="113"/>
    </row>
    <row r="2454">
      <c r="J2454" s="113"/>
    </row>
    <row r="2455">
      <c r="J2455" s="113"/>
    </row>
    <row r="2456">
      <c r="J2456" s="113"/>
    </row>
    <row r="2457">
      <c r="J2457" s="113"/>
    </row>
    <row r="2458">
      <c r="J2458" s="113"/>
    </row>
    <row r="2459">
      <c r="J2459" s="113"/>
    </row>
    <row r="2460">
      <c r="J2460" s="113"/>
    </row>
    <row r="2461">
      <c r="J2461" s="113"/>
    </row>
    <row r="2462">
      <c r="J2462" s="113"/>
    </row>
    <row r="2463">
      <c r="J2463" s="113"/>
    </row>
    <row r="2464">
      <c r="J2464" s="113"/>
    </row>
    <row r="2465">
      <c r="J2465" s="113"/>
    </row>
    <row r="2466">
      <c r="J2466" s="113"/>
    </row>
    <row r="2467">
      <c r="J2467" s="113"/>
    </row>
    <row r="2468">
      <c r="J2468" s="113"/>
    </row>
    <row r="2469">
      <c r="J2469" s="113"/>
    </row>
    <row r="2470">
      <c r="J2470" s="113"/>
    </row>
    <row r="2471">
      <c r="J2471" s="113"/>
    </row>
    <row r="2472">
      <c r="J2472" s="113"/>
    </row>
    <row r="2473">
      <c r="J2473" s="113"/>
    </row>
    <row r="2474">
      <c r="J2474" s="113"/>
    </row>
    <row r="2475">
      <c r="J2475" s="113"/>
    </row>
    <row r="2476">
      <c r="J2476" s="113"/>
    </row>
    <row r="2477">
      <c r="J2477" s="113"/>
    </row>
    <row r="2478">
      <c r="J2478" s="113"/>
    </row>
    <row r="2479">
      <c r="J2479" s="113"/>
    </row>
    <row r="2480">
      <c r="J2480" s="113"/>
    </row>
    <row r="2481">
      <c r="J2481" s="113"/>
    </row>
    <row r="2482">
      <c r="J2482" s="113"/>
    </row>
    <row r="2483">
      <c r="J2483" s="113"/>
    </row>
    <row r="2484">
      <c r="J2484" s="113"/>
    </row>
    <row r="2485">
      <c r="J2485" s="113"/>
    </row>
    <row r="2486">
      <c r="J2486" s="113"/>
    </row>
    <row r="2487">
      <c r="J2487" s="113"/>
    </row>
    <row r="2488">
      <c r="J2488" s="113"/>
    </row>
    <row r="2489">
      <c r="J2489" s="113"/>
    </row>
    <row r="2490">
      <c r="J2490" s="113"/>
    </row>
    <row r="2491">
      <c r="J2491" s="113"/>
    </row>
    <row r="2492">
      <c r="J2492" s="113"/>
    </row>
    <row r="2493">
      <c r="J2493" s="113"/>
    </row>
    <row r="2494">
      <c r="J2494" s="113"/>
    </row>
    <row r="2495">
      <c r="J2495" s="113"/>
    </row>
    <row r="2496">
      <c r="J2496" s="113"/>
    </row>
    <row r="2497">
      <c r="J2497" s="113"/>
    </row>
    <row r="2498">
      <c r="J2498" s="113"/>
    </row>
    <row r="2499">
      <c r="J2499" s="113"/>
    </row>
    <row r="2500">
      <c r="J2500" s="113"/>
    </row>
    <row r="2501">
      <c r="J2501" s="113"/>
    </row>
    <row r="2502">
      <c r="J2502" s="113"/>
    </row>
    <row r="2503">
      <c r="J2503" s="113"/>
    </row>
    <row r="2504">
      <c r="J2504" s="113"/>
    </row>
    <row r="2505">
      <c r="J2505" s="113"/>
    </row>
    <row r="2506">
      <c r="J2506" s="113"/>
    </row>
    <row r="2507">
      <c r="J2507" s="113"/>
    </row>
    <row r="2508">
      <c r="J2508" s="113"/>
    </row>
    <row r="2509">
      <c r="J2509" s="113"/>
    </row>
    <row r="2510">
      <c r="J2510" s="113"/>
    </row>
    <row r="2511">
      <c r="J2511" s="113"/>
    </row>
    <row r="2512">
      <c r="J2512" s="113"/>
    </row>
    <row r="2513">
      <c r="J2513" s="113"/>
    </row>
    <row r="2514">
      <c r="J2514" s="113"/>
    </row>
    <row r="2515">
      <c r="J2515" s="113"/>
    </row>
    <row r="2516">
      <c r="J2516" s="113"/>
    </row>
    <row r="2517">
      <c r="J2517" s="113"/>
    </row>
    <row r="2518">
      <c r="J2518" s="113"/>
    </row>
    <row r="2519">
      <c r="J2519" s="113"/>
    </row>
    <row r="2520">
      <c r="J2520" s="113"/>
    </row>
    <row r="2521">
      <c r="J2521" s="113"/>
    </row>
    <row r="2522">
      <c r="J2522" s="113"/>
    </row>
    <row r="2523">
      <c r="J2523" s="113"/>
    </row>
    <row r="2524">
      <c r="J2524" s="113"/>
    </row>
    <row r="2525">
      <c r="J2525" s="113"/>
    </row>
    <row r="2526">
      <c r="J2526" s="113"/>
    </row>
    <row r="2527">
      <c r="J2527" s="113"/>
    </row>
    <row r="2528">
      <c r="J2528" s="113"/>
    </row>
    <row r="2529">
      <c r="J2529" s="113"/>
    </row>
    <row r="2530">
      <c r="J2530" s="113"/>
    </row>
    <row r="2531">
      <c r="J2531" s="113"/>
    </row>
    <row r="2532">
      <c r="J2532" s="113"/>
    </row>
    <row r="2533">
      <c r="J2533" s="113"/>
    </row>
    <row r="2534">
      <c r="J2534" s="113"/>
    </row>
    <row r="2535">
      <c r="J2535" s="113"/>
    </row>
    <row r="2536">
      <c r="J2536" s="113"/>
    </row>
    <row r="2537">
      <c r="J2537" s="113"/>
    </row>
    <row r="2538">
      <c r="J2538" s="113"/>
    </row>
    <row r="2539">
      <c r="J2539" s="113"/>
    </row>
    <row r="2540">
      <c r="J2540" s="113"/>
    </row>
    <row r="2541">
      <c r="J2541" s="113"/>
    </row>
    <row r="2542">
      <c r="J2542" s="113"/>
    </row>
    <row r="2543">
      <c r="J2543" s="113"/>
    </row>
    <row r="2544">
      <c r="J2544" s="113"/>
    </row>
    <row r="2545">
      <c r="J2545" s="113"/>
    </row>
    <row r="2546">
      <c r="J2546" s="113"/>
    </row>
    <row r="2547">
      <c r="J2547" s="113"/>
    </row>
    <row r="2548">
      <c r="J2548" s="113"/>
    </row>
    <row r="2549">
      <c r="J2549" s="113"/>
    </row>
    <row r="2550">
      <c r="J2550" s="113"/>
    </row>
    <row r="2551">
      <c r="J2551" s="113"/>
    </row>
    <row r="2552">
      <c r="J2552" s="113"/>
    </row>
    <row r="2553">
      <c r="J2553" s="113"/>
    </row>
    <row r="2554">
      <c r="J2554" s="113"/>
    </row>
    <row r="2555">
      <c r="J2555" s="113"/>
    </row>
    <row r="2556">
      <c r="J2556" s="113"/>
    </row>
    <row r="2557">
      <c r="J2557" s="113"/>
    </row>
    <row r="2558">
      <c r="J2558" s="113"/>
    </row>
    <row r="2559">
      <c r="J2559" s="113"/>
    </row>
    <row r="2560">
      <c r="J2560" s="113"/>
    </row>
    <row r="2561">
      <c r="J2561" s="113"/>
    </row>
    <row r="2562">
      <c r="J2562" s="113"/>
    </row>
    <row r="2563">
      <c r="J2563" s="113"/>
    </row>
    <row r="2564">
      <c r="J2564" s="113"/>
    </row>
    <row r="2565">
      <c r="J2565" s="113"/>
    </row>
    <row r="2566">
      <c r="J2566" s="113"/>
    </row>
    <row r="2567">
      <c r="J2567" s="113"/>
    </row>
    <row r="2568">
      <c r="J2568" s="113"/>
    </row>
    <row r="2569">
      <c r="J2569" s="113"/>
    </row>
    <row r="2570">
      <c r="J2570" s="113"/>
    </row>
    <row r="2571">
      <c r="J2571" s="113"/>
    </row>
    <row r="2572">
      <c r="J2572" s="113"/>
    </row>
    <row r="2573">
      <c r="J2573" s="113"/>
    </row>
    <row r="2574">
      <c r="J2574" s="113"/>
    </row>
    <row r="2575">
      <c r="J2575" s="113"/>
    </row>
    <row r="2576">
      <c r="J2576" s="113"/>
    </row>
    <row r="2577">
      <c r="J2577" s="113"/>
    </row>
    <row r="2578">
      <c r="J2578" s="113"/>
    </row>
    <row r="2579">
      <c r="J2579" s="113"/>
    </row>
    <row r="2580">
      <c r="J2580" s="113"/>
    </row>
    <row r="2581">
      <c r="J2581" s="113"/>
    </row>
    <row r="2582">
      <c r="J2582" s="113"/>
    </row>
    <row r="2583">
      <c r="J2583" s="113"/>
    </row>
    <row r="2584">
      <c r="J2584" s="113"/>
    </row>
    <row r="2585">
      <c r="J2585" s="113"/>
    </row>
    <row r="2586">
      <c r="J2586" s="113"/>
    </row>
    <row r="2587">
      <c r="J2587" s="113"/>
    </row>
    <row r="2588">
      <c r="J2588" s="113"/>
    </row>
    <row r="2589">
      <c r="J2589" s="113"/>
    </row>
    <row r="2590">
      <c r="J2590" s="113"/>
    </row>
    <row r="2591">
      <c r="J2591" s="113"/>
    </row>
    <row r="2592">
      <c r="J2592" s="113"/>
    </row>
    <row r="2593">
      <c r="J2593" s="113"/>
    </row>
    <row r="2594">
      <c r="J2594" s="113"/>
    </row>
    <row r="2595">
      <c r="J2595" s="113"/>
    </row>
    <row r="2596">
      <c r="J2596" s="113"/>
    </row>
    <row r="2597">
      <c r="J2597" s="113"/>
    </row>
    <row r="2598">
      <c r="J2598" s="113"/>
    </row>
    <row r="2599">
      <c r="J2599" s="113"/>
    </row>
    <row r="2600">
      <c r="J2600" s="113"/>
    </row>
    <row r="2601">
      <c r="J2601" s="113"/>
    </row>
    <row r="2602">
      <c r="J2602" s="113"/>
    </row>
    <row r="2603">
      <c r="J2603" s="113"/>
    </row>
    <row r="2604">
      <c r="J2604" s="113"/>
    </row>
    <row r="2605">
      <c r="J2605" s="113"/>
    </row>
    <row r="2606">
      <c r="J2606" s="113"/>
    </row>
    <row r="2607">
      <c r="J2607" s="113"/>
    </row>
    <row r="2608">
      <c r="J2608" s="113"/>
    </row>
    <row r="2609">
      <c r="J2609" s="113"/>
    </row>
    <row r="2610">
      <c r="J2610" s="113"/>
    </row>
    <row r="2611">
      <c r="J2611" s="113"/>
    </row>
    <row r="2612">
      <c r="J2612" s="113"/>
    </row>
    <row r="2613">
      <c r="J2613" s="113"/>
    </row>
    <row r="2614">
      <c r="J2614" s="113"/>
    </row>
    <row r="2615">
      <c r="J2615" s="113"/>
    </row>
    <row r="2616">
      <c r="J2616" s="113"/>
    </row>
    <row r="2617">
      <c r="J2617" s="113"/>
    </row>
    <row r="2618">
      <c r="J2618" s="113"/>
    </row>
    <row r="2619">
      <c r="J2619" s="113"/>
    </row>
    <row r="2620">
      <c r="J2620" s="113"/>
    </row>
    <row r="2621">
      <c r="J2621" s="113"/>
    </row>
    <row r="2622">
      <c r="J2622" s="113"/>
    </row>
    <row r="2623">
      <c r="J2623" s="113"/>
    </row>
    <row r="2624">
      <c r="J2624" s="113"/>
    </row>
    <row r="2625">
      <c r="J2625" s="113"/>
    </row>
    <row r="2626">
      <c r="J2626" s="113"/>
    </row>
    <row r="2627">
      <c r="J2627" s="113"/>
    </row>
    <row r="2628">
      <c r="J2628" s="113"/>
    </row>
    <row r="2629">
      <c r="J2629" s="113"/>
    </row>
    <row r="2630">
      <c r="J2630" s="113"/>
    </row>
    <row r="2631">
      <c r="J2631" s="113"/>
    </row>
    <row r="2632">
      <c r="J2632" s="113"/>
    </row>
    <row r="2633">
      <c r="J2633" s="113"/>
    </row>
    <row r="2634">
      <c r="J2634" s="113"/>
    </row>
    <row r="2635">
      <c r="J2635" s="113"/>
    </row>
    <row r="2636">
      <c r="J2636" s="113"/>
    </row>
    <row r="2637">
      <c r="J2637" s="113"/>
    </row>
    <row r="2638">
      <c r="J2638" s="113"/>
    </row>
    <row r="2639">
      <c r="J2639" s="113"/>
    </row>
    <row r="2640">
      <c r="J2640" s="113"/>
    </row>
    <row r="2641">
      <c r="J2641" s="113"/>
    </row>
    <row r="2642">
      <c r="J2642" s="113"/>
    </row>
    <row r="2643">
      <c r="J2643" s="113"/>
    </row>
    <row r="2644">
      <c r="J2644" s="113"/>
    </row>
    <row r="2645">
      <c r="J2645" s="113"/>
    </row>
    <row r="2646">
      <c r="J2646" s="113"/>
    </row>
    <row r="2647">
      <c r="J2647" s="113"/>
    </row>
    <row r="2648">
      <c r="J2648" s="113"/>
    </row>
    <row r="2649">
      <c r="J2649" s="113"/>
    </row>
    <row r="2650">
      <c r="J2650" s="113"/>
    </row>
    <row r="2651">
      <c r="J2651" s="113"/>
    </row>
    <row r="2652">
      <c r="J2652" s="113"/>
    </row>
    <row r="2653">
      <c r="J2653" s="113"/>
    </row>
    <row r="2654">
      <c r="J2654" s="113"/>
    </row>
    <row r="2655">
      <c r="J2655" s="113"/>
    </row>
    <row r="2656">
      <c r="J2656" s="113"/>
    </row>
    <row r="2657">
      <c r="J2657" s="113"/>
    </row>
    <row r="2658">
      <c r="J2658" s="113"/>
    </row>
    <row r="2659">
      <c r="J2659" s="113"/>
    </row>
    <row r="2660">
      <c r="J2660" s="113"/>
    </row>
    <row r="2661">
      <c r="J2661" s="113"/>
    </row>
    <row r="2662">
      <c r="J2662" s="113"/>
    </row>
    <row r="2663">
      <c r="J2663" s="113"/>
    </row>
    <row r="2664">
      <c r="J2664" s="113"/>
    </row>
    <row r="2665">
      <c r="J2665" s="113"/>
    </row>
    <row r="2666">
      <c r="J2666" s="113"/>
    </row>
    <row r="2667">
      <c r="J2667" s="113"/>
    </row>
    <row r="2668">
      <c r="J2668" s="113"/>
    </row>
    <row r="2669">
      <c r="J2669" s="113"/>
    </row>
    <row r="2670">
      <c r="J2670" s="113"/>
    </row>
    <row r="2671">
      <c r="J2671" s="113"/>
    </row>
    <row r="2672">
      <c r="J2672" s="113"/>
    </row>
    <row r="2673">
      <c r="J2673" s="113"/>
    </row>
    <row r="2674">
      <c r="J2674" s="113"/>
    </row>
    <row r="2675">
      <c r="J2675" s="113"/>
    </row>
    <row r="2676">
      <c r="J2676" s="113"/>
    </row>
    <row r="2677">
      <c r="J2677" s="113"/>
    </row>
    <row r="2678">
      <c r="J2678" s="113"/>
    </row>
    <row r="2679">
      <c r="J2679" s="113"/>
    </row>
    <row r="2680">
      <c r="J2680" s="113"/>
    </row>
    <row r="2681">
      <c r="J2681" s="113"/>
    </row>
    <row r="2682">
      <c r="J2682" s="113"/>
    </row>
    <row r="2683">
      <c r="J2683" s="113"/>
    </row>
    <row r="2684">
      <c r="J2684" s="113"/>
    </row>
    <row r="2685">
      <c r="J2685" s="113"/>
    </row>
    <row r="2686">
      <c r="J2686" s="113"/>
    </row>
    <row r="2687">
      <c r="J2687" s="113"/>
    </row>
    <row r="2688">
      <c r="J2688" s="113"/>
    </row>
    <row r="2689">
      <c r="J2689" s="113"/>
    </row>
    <row r="2690">
      <c r="J2690" s="113"/>
    </row>
    <row r="2691">
      <c r="J2691" s="113"/>
    </row>
    <row r="2692">
      <c r="J2692" s="113"/>
    </row>
    <row r="2693">
      <c r="J2693" s="113"/>
    </row>
    <row r="2694">
      <c r="J2694" s="113"/>
    </row>
    <row r="2695">
      <c r="J2695" s="113"/>
    </row>
    <row r="2696">
      <c r="J2696" s="113"/>
    </row>
    <row r="2697">
      <c r="J2697" s="113"/>
    </row>
    <row r="2698">
      <c r="J2698" s="113"/>
    </row>
    <row r="2699">
      <c r="J2699" s="113"/>
    </row>
    <row r="2700">
      <c r="J2700" s="113"/>
    </row>
    <row r="2701">
      <c r="J2701" s="113"/>
    </row>
    <row r="2702">
      <c r="J2702" s="113"/>
    </row>
    <row r="2703">
      <c r="J2703" s="113"/>
    </row>
    <row r="2704">
      <c r="J2704" s="113"/>
    </row>
    <row r="2705">
      <c r="J2705" s="113"/>
    </row>
    <row r="2706">
      <c r="J2706" s="113"/>
    </row>
    <row r="2707">
      <c r="J2707" s="113"/>
    </row>
    <row r="2708">
      <c r="J2708" s="113"/>
    </row>
    <row r="2709">
      <c r="J2709" s="113"/>
    </row>
    <row r="2710">
      <c r="J2710" s="113"/>
    </row>
    <row r="2711">
      <c r="J2711" s="113"/>
    </row>
    <row r="2712">
      <c r="J2712" s="113"/>
    </row>
    <row r="2713">
      <c r="J2713" s="113"/>
    </row>
    <row r="2714">
      <c r="J2714" s="113"/>
    </row>
    <row r="2715">
      <c r="J2715" s="113"/>
    </row>
    <row r="2716">
      <c r="J2716" s="113"/>
    </row>
    <row r="2717">
      <c r="J2717" s="113"/>
    </row>
    <row r="2718">
      <c r="J2718" s="113"/>
    </row>
    <row r="2719">
      <c r="J2719" s="113"/>
    </row>
    <row r="2720">
      <c r="J2720" s="113"/>
    </row>
    <row r="2721">
      <c r="J2721" s="113"/>
    </row>
    <row r="2722">
      <c r="J2722" s="113"/>
    </row>
    <row r="2723">
      <c r="J2723" s="113"/>
    </row>
    <row r="2724">
      <c r="J2724" s="113"/>
    </row>
    <row r="2725">
      <c r="J2725" s="113"/>
    </row>
    <row r="2726">
      <c r="J2726" s="113"/>
    </row>
    <row r="2727">
      <c r="J2727" s="113"/>
    </row>
    <row r="2728">
      <c r="J2728" s="113"/>
    </row>
    <row r="2729">
      <c r="J2729" s="113"/>
    </row>
    <row r="2730">
      <c r="J2730" s="113"/>
    </row>
    <row r="2731">
      <c r="J2731" s="113"/>
    </row>
    <row r="2732">
      <c r="J2732" s="113"/>
    </row>
    <row r="2733">
      <c r="J2733" s="113"/>
    </row>
    <row r="2734">
      <c r="J2734" s="113"/>
    </row>
    <row r="2735">
      <c r="J2735" s="113"/>
    </row>
    <row r="2736">
      <c r="J2736" s="113"/>
    </row>
    <row r="2737">
      <c r="J2737" s="113"/>
    </row>
    <row r="2738">
      <c r="J2738" s="113"/>
    </row>
    <row r="2739">
      <c r="J2739" s="113"/>
    </row>
    <row r="2740">
      <c r="J2740" s="113"/>
    </row>
    <row r="2741">
      <c r="J2741" s="113"/>
    </row>
    <row r="2742">
      <c r="J2742" s="113"/>
    </row>
    <row r="2743">
      <c r="J2743" s="113"/>
    </row>
    <row r="2744">
      <c r="J2744" s="113"/>
    </row>
    <row r="2745">
      <c r="J2745" s="113"/>
    </row>
    <row r="2746">
      <c r="J2746" s="113"/>
    </row>
    <row r="2747">
      <c r="J2747" s="113"/>
    </row>
    <row r="2748">
      <c r="J2748" s="113"/>
    </row>
    <row r="2749">
      <c r="J2749" s="113"/>
    </row>
    <row r="2750">
      <c r="J2750" s="113"/>
    </row>
    <row r="2751">
      <c r="J2751" s="113"/>
    </row>
    <row r="2752">
      <c r="J2752" s="113"/>
    </row>
    <row r="2753">
      <c r="J2753" s="113"/>
    </row>
    <row r="2754">
      <c r="J2754" s="113"/>
    </row>
    <row r="2755">
      <c r="J2755" s="113"/>
    </row>
    <row r="2756">
      <c r="J2756" s="113"/>
    </row>
    <row r="2757">
      <c r="J2757" s="113"/>
    </row>
    <row r="2758">
      <c r="J2758" s="113"/>
    </row>
    <row r="2759">
      <c r="J2759" s="113"/>
    </row>
    <row r="2760">
      <c r="J2760" s="113"/>
    </row>
    <row r="2761">
      <c r="J2761" s="113"/>
    </row>
    <row r="2762">
      <c r="J2762" s="113"/>
    </row>
    <row r="2763">
      <c r="J2763" s="113"/>
    </row>
    <row r="2764">
      <c r="J2764" s="113"/>
    </row>
    <row r="2765">
      <c r="J2765" s="113"/>
    </row>
    <row r="2766">
      <c r="J2766" s="113"/>
    </row>
    <row r="2767">
      <c r="J2767" s="113"/>
    </row>
    <row r="2768">
      <c r="J2768" s="113"/>
    </row>
    <row r="2769">
      <c r="J2769" s="113"/>
    </row>
    <row r="2770">
      <c r="J2770" s="113"/>
    </row>
    <row r="2771">
      <c r="J2771" s="113"/>
    </row>
    <row r="2772">
      <c r="J2772" s="113"/>
    </row>
    <row r="2773">
      <c r="J2773" s="113"/>
    </row>
    <row r="2774">
      <c r="J2774" s="113"/>
    </row>
    <row r="2775">
      <c r="J2775" s="113"/>
    </row>
    <row r="2776">
      <c r="J2776" s="113"/>
    </row>
    <row r="2777">
      <c r="J2777" s="113"/>
    </row>
    <row r="2778">
      <c r="J2778" s="113"/>
    </row>
    <row r="2779">
      <c r="J2779" s="113"/>
    </row>
    <row r="2780">
      <c r="J2780" s="113"/>
    </row>
    <row r="2781">
      <c r="J2781" s="113"/>
    </row>
    <row r="2782">
      <c r="J2782" s="113"/>
    </row>
    <row r="2783">
      <c r="J2783" s="113"/>
    </row>
    <row r="2784">
      <c r="J2784" s="113"/>
    </row>
    <row r="2785">
      <c r="J2785" s="113"/>
    </row>
    <row r="2786">
      <c r="J2786" s="113"/>
    </row>
    <row r="2787">
      <c r="J2787" s="113"/>
    </row>
    <row r="2788">
      <c r="J2788" s="113"/>
    </row>
    <row r="2789">
      <c r="J2789" s="113"/>
    </row>
    <row r="2790">
      <c r="J2790" s="113"/>
    </row>
    <row r="2791">
      <c r="J2791" s="113"/>
    </row>
    <row r="2792">
      <c r="J2792" s="113"/>
    </row>
    <row r="2793">
      <c r="J2793" s="113"/>
    </row>
    <row r="2794">
      <c r="J2794" s="113"/>
    </row>
    <row r="2795">
      <c r="J2795" s="113"/>
    </row>
    <row r="2796">
      <c r="J2796" s="113"/>
    </row>
    <row r="2797">
      <c r="J2797" s="113"/>
    </row>
    <row r="2798">
      <c r="J2798" s="113"/>
    </row>
    <row r="2799">
      <c r="J2799" s="113"/>
    </row>
    <row r="2800">
      <c r="J2800" s="113"/>
    </row>
    <row r="2801">
      <c r="J2801" s="113"/>
    </row>
    <row r="2802">
      <c r="J2802" s="113"/>
    </row>
    <row r="2803">
      <c r="J2803" s="113"/>
    </row>
    <row r="2804">
      <c r="J2804" s="113"/>
    </row>
    <row r="2805">
      <c r="J2805" s="113"/>
    </row>
    <row r="2806">
      <c r="J2806" s="113"/>
    </row>
    <row r="2807">
      <c r="J2807" s="113"/>
    </row>
    <row r="2808">
      <c r="J2808" s="113"/>
    </row>
    <row r="2809">
      <c r="J2809" s="113"/>
    </row>
    <row r="2810">
      <c r="J2810" s="113"/>
    </row>
    <row r="2811">
      <c r="J2811" s="113"/>
    </row>
    <row r="2812">
      <c r="J2812" s="113"/>
    </row>
    <row r="2813">
      <c r="J2813" s="113"/>
    </row>
    <row r="2814">
      <c r="J2814" s="113"/>
    </row>
    <row r="2815">
      <c r="J2815" s="113"/>
    </row>
    <row r="2816">
      <c r="J2816" s="113"/>
    </row>
    <row r="2817">
      <c r="J2817" s="113"/>
    </row>
    <row r="2818">
      <c r="J2818" s="113"/>
    </row>
    <row r="2819">
      <c r="J2819" s="113"/>
    </row>
    <row r="2820">
      <c r="J2820" s="113"/>
    </row>
    <row r="2821">
      <c r="J2821" s="113"/>
    </row>
    <row r="2822">
      <c r="J2822" s="113"/>
    </row>
    <row r="2823">
      <c r="J2823" s="113"/>
    </row>
    <row r="2824">
      <c r="J2824" s="113"/>
    </row>
    <row r="2825">
      <c r="J2825" s="113"/>
    </row>
    <row r="2826">
      <c r="J2826" s="113"/>
    </row>
    <row r="2827">
      <c r="J2827" s="113"/>
    </row>
    <row r="2828">
      <c r="J2828" s="113"/>
    </row>
    <row r="2829">
      <c r="J2829" s="113"/>
    </row>
    <row r="2830">
      <c r="J2830" s="113"/>
    </row>
    <row r="2831">
      <c r="J2831" s="113"/>
    </row>
    <row r="2832">
      <c r="J2832" s="113"/>
    </row>
    <row r="2833">
      <c r="J2833" s="113"/>
    </row>
    <row r="2834">
      <c r="J2834" s="113"/>
    </row>
    <row r="2835">
      <c r="J2835" s="113"/>
    </row>
    <row r="2836">
      <c r="J2836" s="113"/>
    </row>
    <row r="2837">
      <c r="J2837" s="113"/>
    </row>
    <row r="2838">
      <c r="J2838" s="113"/>
    </row>
    <row r="2839">
      <c r="J2839" s="113"/>
    </row>
    <row r="2840">
      <c r="J2840" s="113"/>
    </row>
    <row r="2841">
      <c r="J2841" s="113"/>
    </row>
    <row r="2842">
      <c r="J2842" s="113"/>
    </row>
    <row r="2843">
      <c r="J2843" s="113"/>
    </row>
    <row r="2844">
      <c r="J2844" s="113"/>
    </row>
    <row r="2845">
      <c r="J2845" s="113"/>
    </row>
    <row r="2846">
      <c r="J2846" s="113"/>
    </row>
    <row r="2847">
      <c r="J2847" s="113"/>
    </row>
    <row r="2848">
      <c r="J2848" s="113"/>
    </row>
    <row r="2849">
      <c r="J2849" s="113"/>
    </row>
    <row r="2850">
      <c r="J2850" s="113"/>
    </row>
    <row r="2851">
      <c r="J2851" s="113"/>
    </row>
    <row r="2852">
      <c r="J2852" s="113"/>
    </row>
    <row r="2853">
      <c r="J2853" s="113"/>
    </row>
    <row r="2854">
      <c r="J2854" s="113"/>
    </row>
    <row r="2855">
      <c r="J2855" s="113"/>
    </row>
    <row r="2856">
      <c r="J2856" s="113"/>
    </row>
    <row r="2857">
      <c r="J2857" s="113"/>
    </row>
    <row r="2858">
      <c r="J2858" s="113"/>
    </row>
    <row r="2859">
      <c r="J2859" s="113"/>
    </row>
    <row r="2860">
      <c r="J2860" s="113"/>
    </row>
    <row r="2861">
      <c r="J2861" s="113"/>
    </row>
    <row r="2862">
      <c r="J2862" s="113"/>
    </row>
    <row r="2863">
      <c r="J2863" s="113"/>
    </row>
    <row r="2864">
      <c r="J2864" s="113"/>
    </row>
    <row r="2865">
      <c r="J2865" s="113"/>
    </row>
    <row r="2866">
      <c r="J2866" s="113"/>
    </row>
    <row r="2867">
      <c r="J2867" s="113"/>
    </row>
    <row r="2868">
      <c r="J2868" s="113"/>
    </row>
    <row r="2869">
      <c r="J2869" s="113"/>
    </row>
    <row r="2870">
      <c r="J2870" s="113"/>
    </row>
    <row r="2871">
      <c r="J2871" s="113"/>
    </row>
    <row r="2872">
      <c r="J2872" s="113"/>
    </row>
    <row r="2873">
      <c r="J2873" s="113"/>
    </row>
    <row r="2874">
      <c r="J2874" s="113"/>
    </row>
    <row r="2875">
      <c r="J2875" s="113"/>
    </row>
    <row r="2876">
      <c r="J2876" s="113"/>
    </row>
    <row r="2877">
      <c r="J2877" s="113"/>
    </row>
    <row r="2878">
      <c r="J2878" s="113"/>
    </row>
    <row r="2879">
      <c r="J2879" s="113"/>
    </row>
    <row r="2880">
      <c r="J2880" s="113"/>
    </row>
    <row r="2881">
      <c r="J2881" s="113"/>
    </row>
    <row r="2882">
      <c r="J2882" s="113"/>
    </row>
    <row r="2883">
      <c r="J2883" s="113"/>
    </row>
    <row r="2884">
      <c r="J2884" s="113"/>
    </row>
    <row r="2885">
      <c r="J2885" s="113"/>
    </row>
    <row r="2886">
      <c r="J2886" s="113"/>
    </row>
    <row r="2887">
      <c r="J2887" s="113"/>
    </row>
    <row r="2888">
      <c r="J2888" s="113"/>
    </row>
    <row r="2889">
      <c r="J2889" s="113"/>
    </row>
    <row r="2890">
      <c r="J2890" s="113"/>
    </row>
    <row r="2891">
      <c r="J2891" s="113"/>
    </row>
    <row r="2892">
      <c r="J2892" s="113"/>
    </row>
    <row r="2893">
      <c r="J2893" s="113"/>
    </row>
    <row r="2894">
      <c r="J2894" s="113"/>
    </row>
    <row r="2895">
      <c r="J2895" s="113"/>
    </row>
    <row r="2896">
      <c r="J2896" s="113"/>
    </row>
    <row r="2897">
      <c r="J2897" s="113"/>
    </row>
    <row r="2898">
      <c r="J2898" s="113"/>
    </row>
    <row r="2899">
      <c r="J2899" s="113"/>
    </row>
    <row r="2900">
      <c r="J2900" s="113"/>
    </row>
    <row r="2901">
      <c r="J2901" s="113"/>
    </row>
    <row r="2902">
      <c r="J2902" s="113"/>
    </row>
    <row r="2903">
      <c r="J2903" s="113"/>
    </row>
    <row r="2904">
      <c r="J2904" s="113"/>
    </row>
    <row r="2905">
      <c r="J2905" s="113"/>
    </row>
    <row r="2906">
      <c r="J2906" s="113"/>
    </row>
    <row r="2907">
      <c r="J2907" s="113"/>
    </row>
    <row r="2908">
      <c r="J2908" s="113"/>
    </row>
    <row r="2909">
      <c r="J2909" s="113"/>
    </row>
    <row r="2910">
      <c r="J2910" s="113"/>
    </row>
    <row r="2911">
      <c r="J2911" s="113"/>
    </row>
    <row r="2912">
      <c r="J2912" s="113"/>
    </row>
    <row r="2913">
      <c r="J2913" s="113"/>
    </row>
    <row r="2914">
      <c r="J2914" s="113"/>
    </row>
    <row r="2915">
      <c r="J2915" s="113"/>
    </row>
    <row r="2916">
      <c r="J2916" s="113"/>
    </row>
    <row r="2917">
      <c r="J2917" s="113"/>
    </row>
    <row r="2918">
      <c r="J2918" s="113"/>
    </row>
    <row r="2919">
      <c r="J2919" s="113"/>
    </row>
    <row r="2920">
      <c r="J2920" s="113"/>
    </row>
    <row r="2921">
      <c r="J2921" s="113"/>
    </row>
    <row r="2922">
      <c r="J2922" s="113"/>
    </row>
    <row r="2923">
      <c r="J2923" s="113"/>
    </row>
    <row r="2924">
      <c r="J2924" s="113"/>
    </row>
    <row r="2925">
      <c r="J2925" s="113"/>
    </row>
    <row r="2926">
      <c r="J2926" s="113"/>
    </row>
    <row r="2927">
      <c r="J2927" s="113"/>
    </row>
    <row r="2928">
      <c r="J2928" s="113"/>
    </row>
    <row r="2929">
      <c r="J2929" s="113"/>
    </row>
    <row r="2930">
      <c r="J2930" s="113"/>
    </row>
    <row r="2931">
      <c r="J2931" s="113"/>
    </row>
    <row r="2932">
      <c r="J2932" s="113"/>
    </row>
    <row r="2933">
      <c r="J2933" s="113"/>
    </row>
    <row r="2934">
      <c r="J2934" s="113"/>
    </row>
    <row r="2935">
      <c r="J2935" s="113"/>
    </row>
    <row r="2936">
      <c r="J2936" s="113"/>
    </row>
    <row r="2937">
      <c r="J2937" s="113"/>
    </row>
    <row r="2938">
      <c r="J2938" s="113"/>
    </row>
    <row r="2939">
      <c r="J2939" s="113"/>
    </row>
    <row r="2940">
      <c r="J2940" s="113"/>
    </row>
    <row r="2941">
      <c r="J2941" s="113"/>
    </row>
    <row r="2942">
      <c r="J2942" s="113"/>
    </row>
    <row r="2943">
      <c r="J2943" s="113"/>
    </row>
    <row r="2944">
      <c r="J2944" s="113"/>
    </row>
    <row r="2945">
      <c r="J2945" s="113"/>
    </row>
    <row r="2946">
      <c r="J2946" s="113"/>
    </row>
    <row r="2947">
      <c r="J2947" s="113"/>
    </row>
    <row r="2948">
      <c r="J2948" s="113"/>
    </row>
    <row r="2949">
      <c r="J2949" s="113"/>
    </row>
    <row r="2950">
      <c r="J2950" s="113"/>
    </row>
    <row r="2951">
      <c r="J2951" s="113"/>
    </row>
    <row r="2952">
      <c r="J2952" s="113"/>
    </row>
    <row r="2953">
      <c r="J2953" s="113"/>
    </row>
    <row r="2954">
      <c r="J2954" s="113"/>
    </row>
    <row r="2955">
      <c r="J2955" s="113"/>
    </row>
    <row r="2956">
      <c r="J2956" s="113"/>
    </row>
    <row r="2957">
      <c r="J2957" s="113"/>
    </row>
    <row r="2958">
      <c r="J2958" s="113"/>
    </row>
    <row r="2959">
      <c r="J2959" s="113"/>
    </row>
    <row r="2960">
      <c r="J2960" s="113"/>
    </row>
    <row r="2961">
      <c r="J2961" s="113"/>
    </row>
    <row r="2962">
      <c r="J2962" s="113"/>
    </row>
    <row r="2963">
      <c r="J2963" s="113"/>
    </row>
    <row r="2964">
      <c r="J2964" s="113"/>
    </row>
    <row r="2965">
      <c r="J2965" s="113"/>
    </row>
    <row r="2966">
      <c r="J2966" s="113"/>
    </row>
    <row r="2967">
      <c r="J2967" s="113"/>
    </row>
    <row r="2968">
      <c r="J2968" s="113"/>
    </row>
    <row r="2969">
      <c r="J2969" s="113"/>
    </row>
    <row r="2970">
      <c r="J2970" s="113"/>
    </row>
    <row r="2971">
      <c r="J2971" s="113"/>
    </row>
    <row r="2972">
      <c r="J2972" s="113"/>
    </row>
    <row r="2973">
      <c r="J2973" s="113"/>
    </row>
    <row r="2974">
      <c r="J2974" s="113"/>
    </row>
    <row r="2975">
      <c r="J2975" s="113"/>
    </row>
    <row r="2976">
      <c r="J2976" s="113"/>
    </row>
    <row r="2977">
      <c r="J2977" s="113"/>
    </row>
    <row r="2978">
      <c r="J2978" s="113"/>
    </row>
    <row r="2979">
      <c r="J2979" s="113"/>
    </row>
    <row r="2980">
      <c r="J2980" s="113"/>
    </row>
    <row r="2981">
      <c r="J2981" s="113"/>
    </row>
    <row r="2982">
      <c r="J2982" s="113"/>
    </row>
    <row r="2983">
      <c r="J2983" s="113"/>
    </row>
    <row r="2984">
      <c r="J2984" s="113"/>
    </row>
    <row r="2985">
      <c r="J2985" s="113"/>
    </row>
    <row r="2986">
      <c r="J2986" s="113"/>
    </row>
    <row r="2987">
      <c r="J2987" s="113"/>
    </row>
    <row r="2988">
      <c r="J2988" s="113"/>
    </row>
    <row r="2989">
      <c r="J2989" s="113"/>
    </row>
    <row r="2990">
      <c r="J2990" s="113"/>
    </row>
    <row r="2991">
      <c r="J2991" s="113"/>
    </row>
    <row r="2992">
      <c r="J2992" s="113"/>
    </row>
    <row r="2993">
      <c r="J2993" s="113"/>
    </row>
    <row r="2994">
      <c r="J2994" s="113"/>
    </row>
    <row r="2995">
      <c r="J2995" s="113"/>
    </row>
    <row r="2996">
      <c r="J2996" s="113"/>
    </row>
    <row r="2997">
      <c r="J2997" s="113"/>
    </row>
    <row r="2998">
      <c r="J2998" s="113"/>
    </row>
    <row r="2999">
      <c r="J2999" s="113"/>
    </row>
    <row r="3000">
      <c r="J3000" s="113"/>
    </row>
    <row r="3001">
      <c r="J3001" s="113"/>
    </row>
    <row r="3002">
      <c r="J3002" s="113"/>
    </row>
    <row r="3003">
      <c r="J3003" s="113"/>
    </row>
    <row r="3004">
      <c r="J3004" s="113"/>
    </row>
    <row r="3005">
      <c r="J3005" s="113"/>
    </row>
    <row r="3006">
      <c r="J3006" s="113"/>
    </row>
    <row r="3007">
      <c r="J3007" s="113"/>
    </row>
    <row r="3008">
      <c r="J3008" s="113"/>
    </row>
    <row r="3009">
      <c r="J3009" s="113"/>
    </row>
    <row r="3010">
      <c r="J3010" s="113"/>
    </row>
    <row r="3011">
      <c r="J3011" s="113"/>
    </row>
    <row r="3012">
      <c r="J3012" s="113"/>
    </row>
    <row r="3013">
      <c r="J3013" s="113"/>
    </row>
    <row r="3014">
      <c r="J3014" s="113"/>
    </row>
    <row r="3015">
      <c r="J3015" s="113"/>
    </row>
    <row r="3016">
      <c r="J3016" s="113"/>
    </row>
    <row r="3017">
      <c r="J3017" s="113"/>
    </row>
    <row r="3018">
      <c r="J3018" s="113"/>
    </row>
    <row r="3019">
      <c r="J3019" s="113"/>
    </row>
    <row r="3020">
      <c r="J3020" s="113"/>
    </row>
    <row r="3021">
      <c r="J3021" s="113"/>
    </row>
    <row r="3022">
      <c r="J3022" s="113"/>
    </row>
    <row r="3023">
      <c r="J3023" s="113"/>
    </row>
    <row r="3024">
      <c r="J3024" s="113"/>
    </row>
    <row r="3025">
      <c r="J3025" s="113"/>
    </row>
    <row r="3026">
      <c r="J3026" s="113"/>
    </row>
    <row r="3027">
      <c r="J3027" s="113"/>
    </row>
    <row r="3028">
      <c r="J3028" s="113"/>
    </row>
    <row r="3029">
      <c r="J3029" s="113"/>
    </row>
    <row r="3030">
      <c r="J3030" s="113"/>
    </row>
    <row r="3031">
      <c r="J3031" s="113"/>
    </row>
    <row r="3032">
      <c r="J3032" s="113"/>
    </row>
    <row r="3033">
      <c r="J3033" s="113"/>
    </row>
    <row r="3034">
      <c r="J3034" s="113"/>
    </row>
    <row r="3035">
      <c r="J3035" s="113"/>
    </row>
    <row r="3036">
      <c r="J3036" s="113"/>
    </row>
    <row r="3037">
      <c r="J3037" s="113"/>
    </row>
    <row r="3038">
      <c r="J3038" s="113"/>
    </row>
    <row r="3039">
      <c r="J3039" s="113"/>
    </row>
    <row r="3040">
      <c r="J3040" s="113"/>
    </row>
    <row r="3041">
      <c r="J3041" s="113"/>
    </row>
    <row r="3042">
      <c r="J3042" s="113"/>
    </row>
    <row r="3043">
      <c r="J3043" s="113"/>
    </row>
    <row r="3044">
      <c r="J3044" s="113"/>
    </row>
    <row r="3045">
      <c r="J3045" s="113"/>
    </row>
    <row r="3046">
      <c r="J3046" s="113"/>
    </row>
    <row r="3047">
      <c r="J3047" s="113"/>
    </row>
    <row r="3048">
      <c r="J3048" s="113"/>
    </row>
    <row r="3049">
      <c r="J3049" s="113"/>
    </row>
    <row r="3050">
      <c r="J3050" s="113"/>
    </row>
    <row r="3051">
      <c r="J3051" s="113"/>
    </row>
    <row r="3052">
      <c r="J3052" s="113"/>
    </row>
    <row r="3053">
      <c r="J3053" s="113"/>
    </row>
    <row r="3054">
      <c r="J3054" s="113"/>
    </row>
    <row r="3055">
      <c r="J3055" s="113"/>
    </row>
    <row r="3056">
      <c r="J3056" s="113"/>
    </row>
    <row r="3057">
      <c r="J3057" s="113"/>
    </row>
    <row r="3058">
      <c r="J3058" s="113"/>
    </row>
    <row r="3059">
      <c r="J3059" s="113"/>
    </row>
    <row r="3060">
      <c r="J3060" s="113"/>
    </row>
    <row r="3061">
      <c r="J3061" s="113"/>
    </row>
    <row r="3062">
      <c r="J3062" s="113"/>
    </row>
    <row r="3063">
      <c r="J3063" s="113"/>
    </row>
    <row r="3064">
      <c r="J3064" s="113"/>
    </row>
    <row r="3065">
      <c r="J3065" s="113"/>
    </row>
    <row r="3066">
      <c r="J3066" s="113"/>
    </row>
    <row r="3067">
      <c r="J3067" s="113"/>
    </row>
    <row r="3068">
      <c r="J3068" s="113"/>
    </row>
    <row r="3069">
      <c r="J3069" s="113"/>
    </row>
    <row r="3070">
      <c r="J3070" s="113"/>
    </row>
    <row r="3071">
      <c r="J3071" s="113"/>
    </row>
    <row r="3072">
      <c r="J3072" s="113"/>
    </row>
    <row r="3073">
      <c r="J3073" s="113"/>
    </row>
    <row r="3074">
      <c r="J3074" s="113"/>
    </row>
    <row r="3075">
      <c r="J3075" s="113"/>
    </row>
    <row r="3076">
      <c r="J3076" s="113"/>
    </row>
    <row r="3077">
      <c r="J3077" s="113"/>
    </row>
    <row r="3078">
      <c r="J3078" s="113"/>
    </row>
    <row r="3079">
      <c r="J3079" s="113"/>
    </row>
    <row r="3080">
      <c r="J3080" s="113"/>
    </row>
    <row r="3081">
      <c r="J3081" s="113"/>
    </row>
    <row r="3082">
      <c r="J3082" s="113"/>
    </row>
    <row r="3083">
      <c r="J3083" s="113"/>
    </row>
    <row r="3084">
      <c r="J3084" s="113"/>
    </row>
    <row r="3085">
      <c r="J3085" s="113"/>
    </row>
    <row r="3086">
      <c r="J3086" s="113"/>
    </row>
    <row r="3087">
      <c r="J3087" s="113"/>
    </row>
    <row r="3088">
      <c r="J3088" s="113"/>
    </row>
    <row r="3089">
      <c r="J3089" s="113"/>
    </row>
    <row r="3090">
      <c r="J3090" s="113"/>
    </row>
    <row r="3091">
      <c r="J3091" s="113"/>
    </row>
    <row r="3092">
      <c r="J3092" s="113"/>
    </row>
    <row r="3093">
      <c r="J3093" s="113"/>
    </row>
    <row r="3094">
      <c r="J3094" s="113"/>
    </row>
    <row r="3095">
      <c r="J3095" s="113"/>
    </row>
    <row r="3096">
      <c r="J3096" s="113"/>
    </row>
    <row r="3097">
      <c r="J3097" s="113"/>
    </row>
    <row r="3098">
      <c r="J3098" s="113"/>
    </row>
    <row r="3099">
      <c r="J3099" s="113"/>
    </row>
    <row r="3100">
      <c r="J3100" s="113"/>
    </row>
    <row r="3101">
      <c r="J3101" s="113"/>
    </row>
    <row r="3102">
      <c r="J3102" s="113"/>
    </row>
    <row r="3103">
      <c r="J3103" s="113"/>
    </row>
    <row r="3104">
      <c r="J3104" s="113"/>
    </row>
    <row r="3105">
      <c r="J3105" s="113"/>
    </row>
    <row r="3106">
      <c r="J3106" s="113"/>
    </row>
    <row r="3107">
      <c r="J3107" s="113"/>
    </row>
    <row r="3108">
      <c r="J3108" s="113"/>
    </row>
    <row r="3109">
      <c r="J3109" s="113"/>
    </row>
    <row r="3110">
      <c r="J3110" s="113"/>
    </row>
    <row r="3111">
      <c r="J3111" s="113"/>
    </row>
    <row r="3112">
      <c r="J3112" s="113"/>
    </row>
    <row r="3113">
      <c r="J3113" s="113"/>
    </row>
    <row r="3114">
      <c r="J3114" s="113"/>
    </row>
    <row r="3115">
      <c r="J3115" s="113"/>
    </row>
    <row r="3116">
      <c r="J3116" s="113"/>
    </row>
    <row r="3117">
      <c r="J3117" s="113"/>
    </row>
    <row r="3118">
      <c r="J3118" s="113"/>
    </row>
    <row r="3119">
      <c r="J3119" s="113"/>
    </row>
    <row r="3120">
      <c r="J3120" s="113"/>
    </row>
    <row r="3121">
      <c r="J3121" s="113"/>
    </row>
    <row r="3122">
      <c r="J3122" s="113"/>
    </row>
    <row r="3123">
      <c r="J3123" s="113"/>
    </row>
    <row r="3124">
      <c r="J3124" s="113"/>
    </row>
    <row r="3125">
      <c r="J3125" s="113"/>
    </row>
    <row r="3126">
      <c r="J3126" s="113"/>
    </row>
    <row r="3127">
      <c r="J3127" s="113"/>
    </row>
    <row r="3128">
      <c r="J3128" s="113"/>
    </row>
    <row r="3129">
      <c r="J3129" s="113"/>
    </row>
    <row r="3130">
      <c r="J3130" s="113"/>
    </row>
    <row r="3131">
      <c r="J3131" s="113"/>
    </row>
    <row r="3132">
      <c r="J3132" s="113"/>
    </row>
    <row r="3133">
      <c r="J3133" s="113"/>
    </row>
    <row r="3134">
      <c r="J3134" s="113"/>
    </row>
    <row r="3135">
      <c r="J3135" s="113"/>
    </row>
    <row r="3136">
      <c r="J3136" s="113"/>
    </row>
    <row r="3137">
      <c r="J3137" s="113"/>
    </row>
    <row r="3138">
      <c r="J3138" s="113"/>
    </row>
    <row r="3139">
      <c r="J3139" s="113"/>
    </row>
    <row r="3140">
      <c r="J3140" s="113"/>
    </row>
    <row r="3141">
      <c r="J3141" s="113"/>
    </row>
    <row r="3142">
      <c r="J3142" s="113"/>
    </row>
    <row r="3143">
      <c r="J3143" s="113"/>
    </row>
    <row r="3144">
      <c r="J3144" s="113"/>
    </row>
    <row r="3145">
      <c r="J3145" s="113"/>
    </row>
    <row r="3146">
      <c r="J3146" s="113"/>
    </row>
    <row r="3147">
      <c r="J3147" s="113"/>
    </row>
    <row r="3148">
      <c r="J3148" s="113"/>
    </row>
    <row r="3149">
      <c r="J3149" s="113"/>
    </row>
    <row r="3150">
      <c r="J3150" s="113"/>
    </row>
    <row r="3151">
      <c r="J3151" s="113"/>
    </row>
    <row r="3152">
      <c r="J3152" s="113"/>
    </row>
    <row r="3153">
      <c r="J3153" s="113"/>
    </row>
    <row r="3154">
      <c r="J3154" s="113"/>
    </row>
    <row r="3155">
      <c r="J3155" s="113"/>
    </row>
    <row r="3156">
      <c r="J3156" s="113"/>
    </row>
    <row r="3157">
      <c r="J3157" s="113"/>
    </row>
    <row r="3158">
      <c r="J3158" s="113"/>
    </row>
    <row r="3159">
      <c r="J3159" s="113"/>
    </row>
    <row r="3160">
      <c r="J3160" s="113"/>
    </row>
    <row r="3161">
      <c r="J3161" s="113"/>
    </row>
    <row r="3162">
      <c r="J3162" s="113"/>
    </row>
    <row r="3163">
      <c r="J3163" s="113"/>
    </row>
    <row r="3164">
      <c r="J3164" s="113"/>
    </row>
    <row r="3165">
      <c r="J3165" s="113"/>
    </row>
    <row r="3166">
      <c r="J3166" s="113"/>
    </row>
    <row r="3167">
      <c r="J3167" s="113"/>
    </row>
    <row r="3168">
      <c r="J3168" s="113"/>
    </row>
    <row r="3169">
      <c r="J3169" s="113"/>
    </row>
    <row r="3170">
      <c r="J3170" s="113"/>
    </row>
    <row r="3171">
      <c r="J3171" s="113"/>
    </row>
    <row r="3172">
      <c r="J3172" s="113"/>
    </row>
    <row r="3173">
      <c r="J3173" s="113"/>
    </row>
    <row r="3174">
      <c r="J3174" s="113"/>
    </row>
    <row r="3175">
      <c r="J3175" s="113"/>
    </row>
    <row r="3176">
      <c r="J3176" s="113"/>
    </row>
    <row r="3177">
      <c r="J3177" s="113"/>
    </row>
    <row r="3178">
      <c r="J3178" s="113"/>
    </row>
    <row r="3179">
      <c r="J3179" s="113"/>
    </row>
    <row r="3180">
      <c r="J3180" s="113"/>
    </row>
    <row r="3181">
      <c r="J3181" s="113"/>
    </row>
    <row r="3182">
      <c r="J3182" s="113"/>
    </row>
    <row r="3183">
      <c r="J3183" s="113"/>
    </row>
    <row r="3184">
      <c r="J3184" s="113"/>
    </row>
    <row r="3185">
      <c r="J3185" s="113"/>
    </row>
    <row r="3186">
      <c r="J3186" s="113"/>
    </row>
    <row r="3187">
      <c r="J3187" s="113"/>
    </row>
    <row r="3188">
      <c r="J3188" s="113"/>
    </row>
    <row r="3189">
      <c r="J3189" s="113"/>
    </row>
    <row r="3190">
      <c r="J3190" s="113"/>
    </row>
    <row r="3191">
      <c r="J3191" s="113"/>
    </row>
    <row r="3192">
      <c r="J3192" s="113"/>
    </row>
    <row r="3193">
      <c r="J3193" s="113"/>
    </row>
    <row r="3194">
      <c r="J3194" s="113"/>
    </row>
    <row r="3195">
      <c r="J3195" s="113"/>
    </row>
    <row r="3196">
      <c r="J3196" s="113"/>
    </row>
    <row r="3197">
      <c r="J3197" s="113"/>
    </row>
    <row r="3198">
      <c r="J3198" s="113"/>
    </row>
    <row r="3199">
      <c r="J3199" s="113"/>
    </row>
    <row r="3200">
      <c r="J3200" s="113"/>
    </row>
    <row r="3201">
      <c r="J3201" s="113"/>
    </row>
    <row r="3202">
      <c r="J3202" s="113"/>
    </row>
    <row r="3203">
      <c r="J3203" s="113"/>
    </row>
    <row r="3204">
      <c r="J3204" s="113"/>
    </row>
    <row r="3205">
      <c r="J3205" s="113"/>
    </row>
    <row r="3206">
      <c r="J3206" s="113"/>
    </row>
    <row r="3207">
      <c r="J3207" s="113"/>
    </row>
    <row r="3208">
      <c r="J3208" s="113"/>
    </row>
    <row r="3209">
      <c r="J3209" s="113"/>
    </row>
    <row r="3210">
      <c r="J3210" s="113"/>
    </row>
    <row r="3211">
      <c r="J3211" s="113"/>
    </row>
    <row r="3212">
      <c r="J3212" s="113"/>
    </row>
    <row r="3213">
      <c r="J3213" s="113"/>
    </row>
    <row r="3214">
      <c r="J3214" s="113"/>
    </row>
    <row r="3215">
      <c r="J3215" s="113"/>
    </row>
    <row r="3216">
      <c r="J3216" s="113"/>
    </row>
    <row r="3217">
      <c r="J3217" s="113"/>
    </row>
    <row r="3218">
      <c r="J3218" s="113"/>
    </row>
    <row r="3219">
      <c r="J3219" s="113"/>
    </row>
    <row r="3220">
      <c r="J3220" s="113"/>
    </row>
    <row r="3221">
      <c r="J3221" s="113"/>
    </row>
    <row r="3222">
      <c r="J3222" s="113"/>
    </row>
    <row r="3223">
      <c r="J3223" s="113"/>
    </row>
    <row r="3224">
      <c r="J3224" s="113"/>
    </row>
    <row r="3225">
      <c r="J3225" s="113"/>
    </row>
    <row r="3226">
      <c r="J3226" s="113"/>
    </row>
    <row r="3227">
      <c r="J3227" s="113"/>
    </row>
    <row r="3228">
      <c r="J3228" s="113"/>
    </row>
    <row r="3229">
      <c r="J3229" s="113"/>
    </row>
    <row r="3230">
      <c r="J3230" s="113"/>
    </row>
    <row r="3231">
      <c r="J3231" s="113"/>
    </row>
    <row r="3232">
      <c r="J3232" s="113"/>
    </row>
    <row r="3233">
      <c r="J3233" s="113"/>
    </row>
    <row r="3234">
      <c r="J3234" s="113"/>
    </row>
    <row r="3235">
      <c r="J3235" s="113"/>
    </row>
    <row r="3236">
      <c r="J3236" s="113"/>
    </row>
    <row r="3237">
      <c r="J3237" s="113"/>
    </row>
    <row r="3238">
      <c r="J3238" s="113"/>
    </row>
    <row r="3239">
      <c r="J3239" s="113"/>
    </row>
    <row r="3240">
      <c r="J3240" s="113"/>
    </row>
    <row r="3241">
      <c r="J3241" s="113"/>
    </row>
    <row r="3242">
      <c r="J3242" s="113"/>
    </row>
    <row r="3243">
      <c r="J3243" s="113"/>
    </row>
    <row r="3244">
      <c r="J3244" s="113"/>
    </row>
    <row r="3245">
      <c r="J3245" s="113"/>
    </row>
    <row r="3246">
      <c r="J3246" s="113"/>
    </row>
    <row r="3247">
      <c r="J3247" s="113"/>
    </row>
    <row r="3248">
      <c r="J3248" s="113"/>
    </row>
    <row r="3249">
      <c r="J3249" s="113"/>
    </row>
    <row r="3250">
      <c r="J3250" s="113"/>
    </row>
    <row r="3251">
      <c r="J3251" s="113"/>
    </row>
    <row r="3252">
      <c r="J3252" s="113"/>
    </row>
    <row r="3253">
      <c r="J3253" s="113"/>
    </row>
    <row r="3254">
      <c r="J3254" s="113"/>
    </row>
    <row r="3255">
      <c r="J3255" s="113"/>
    </row>
    <row r="3256">
      <c r="J3256" s="113"/>
    </row>
    <row r="3257">
      <c r="J3257" s="113"/>
    </row>
    <row r="3258">
      <c r="J3258" s="113"/>
    </row>
    <row r="3259">
      <c r="J3259" s="113"/>
    </row>
    <row r="3260">
      <c r="J3260" s="113"/>
    </row>
    <row r="3261">
      <c r="J3261" s="113"/>
    </row>
    <row r="3262">
      <c r="J3262" s="113"/>
    </row>
    <row r="3263">
      <c r="J3263" s="113"/>
    </row>
    <row r="3264">
      <c r="J3264" s="113"/>
    </row>
    <row r="3265">
      <c r="J3265" s="113"/>
    </row>
    <row r="3266">
      <c r="J3266" s="113"/>
    </row>
    <row r="3267">
      <c r="J3267" s="113"/>
    </row>
    <row r="3268">
      <c r="J3268" s="113"/>
    </row>
    <row r="3269">
      <c r="J3269" s="113"/>
    </row>
    <row r="3270">
      <c r="J3270" s="113"/>
    </row>
    <row r="3271">
      <c r="J3271" s="113"/>
    </row>
    <row r="3272">
      <c r="J3272" s="113"/>
    </row>
    <row r="3273">
      <c r="J3273" s="113"/>
    </row>
    <row r="3274">
      <c r="J3274" s="113"/>
    </row>
    <row r="3275">
      <c r="J3275" s="113"/>
    </row>
    <row r="3276">
      <c r="J3276" s="113"/>
    </row>
    <row r="3277">
      <c r="J3277" s="113"/>
    </row>
    <row r="3278">
      <c r="J3278" s="113"/>
    </row>
    <row r="3279">
      <c r="J3279" s="113"/>
    </row>
    <row r="3280">
      <c r="J3280" s="113"/>
    </row>
    <row r="3281">
      <c r="J3281" s="113"/>
    </row>
    <row r="3282">
      <c r="J3282" s="113"/>
    </row>
    <row r="3283">
      <c r="J3283" s="113"/>
    </row>
    <row r="3284">
      <c r="J3284" s="113"/>
    </row>
    <row r="3285">
      <c r="J3285" s="113"/>
    </row>
    <row r="3286">
      <c r="J3286" s="113"/>
    </row>
    <row r="3287">
      <c r="J3287" s="113"/>
    </row>
    <row r="3288">
      <c r="J3288" s="113"/>
    </row>
    <row r="3289">
      <c r="J3289" s="113"/>
    </row>
    <row r="3290">
      <c r="J3290" s="113"/>
    </row>
    <row r="3291">
      <c r="J3291" s="113"/>
    </row>
    <row r="3292">
      <c r="J3292" s="113"/>
    </row>
    <row r="3293">
      <c r="J3293" s="113"/>
    </row>
    <row r="3294">
      <c r="J3294" s="113"/>
    </row>
    <row r="3295">
      <c r="J3295" s="113"/>
    </row>
    <row r="3296">
      <c r="J3296" s="113"/>
    </row>
    <row r="3297">
      <c r="J3297" s="113"/>
    </row>
    <row r="3298">
      <c r="J3298" s="113"/>
    </row>
    <row r="3299">
      <c r="J3299" s="113"/>
    </row>
    <row r="3300">
      <c r="J3300" s="113"/>
    </row>
    <row r="3301">
      <c r="J3301" s="113"/>
    </row>
    <row r="3302">
      <c r="J3302" s="113"/>
    </row>
    <row r="3303">
      <c r="J3303" s="113"/>
    </row>
    <row r="3304">
      <c r="J3304" s="113"/>
    </row>
    <row r="3305">
      <c r="J3305" s="113"/>
    </row>
    <row r="3306">
      <c r="J3306" s="113"/>
    </row>
    <row r="3307">
      <c r="J3307" s="113"/>
    </row>
    <row r="3308">
      <c r="J3308" s="113"/>
    </row>
    <row r="3309">
      <c r="J3309" s="113"/>
    </row>
    <row r="3310">
      <c r="J3310" s="113"/>
    </row>
    <row r="3311">
      <c r="J3311" s="113"/>
    </row>
    <row r="3312">
      <c r="J3312" s="113"/>
    </row>
    <row r="3313">
      <c r="J3313" s="113"/>
    </row>
    <row r="3314">
      <c r="J3314" s="113"/>
    </row>
    <row r="3315">
      <c r="J3315" s="113"/>
    </row>
    <row r="3316">
      <c r="J3316" s="113"/>
    </row>
    <row r="3317">
      <c r="J3317" s="113"/>
    </row>
    <row r="3318">
      <c r="J3318" s="113"/>
    </row>
    <row r="3319">
      <c r="J3319" s="113"/>
    </row>
    <row r="3320">
      <c r="J3320" s="113"/>
    </row>
    <row r="3321">
      <c r="J3321" s="113"/>
    </row>
    <row r="3322">
      <c r="J3322" s="113"/>
    </row>
    <row r="3323">
      <c r="J3323" s="113"/>
    </row>
    <row r="3324">
      <c r="J3324" s="113"/>
    </row>
    <row r="3325">
      <c r="J3325" s="113"/>
    </row>
    <row r="3326">
      <c r="J3326" s="113"/>
    </row>
    <row r="3327">
      <c r="J3327" s="113"/>
    </row>
    <row r="3328">
      <c r="J3328" s="113"/>
    </row>
    <row r="3329">
      <c r="J3329" s="113"/>
    </row>
    <row r="3330">
      <c r="J3330" s="113"/>
    </row>
    <row r="3331">
      <c r="J3331" s="113"/>
    </row>
    <row r="3332">
      <c r="J3332" s="113"/>
    </row>
    <row r="3333">
      <c r="J3333" s="113"/>
    </row>
    <row r="3334">
      <c r="J3334" s="113"/>
    </row>
    <row r="3335">
      <c r="J3335" s="113"/>
    </row>
    <row r="3336">
      <c r="J3336" s="113"/>
    </row>
    <row r="3337">
      <c r="J3337" s="113"/>
    </row>
    <row r="3338">
      <c r="J3338" s="113"/>
    </row>
    <row r="3339">
      <c r="J3339" s="113"/>
    </row>
    <row r="3340">
      <c r="J3340" s="113"/>
    </row>
    <row r="3341">
      <c r="J3341" s="113"/>
    </row>
    <row r="3342">
      <c r="J3342" s="113"/>
    </row>
    <row r="3343">
      <c r="J3343" s="113"/>
    </row>
    <row r="3344">
      <c r="J3344" s="113"/>
    </row>
    <row r="3345">
      <c r="J3345" s="113"/>
    </row>
    <row r="3346">
      <c r="J3346" s="113"/>
    </row>
    <row r="3347">
      <c r="J3347" s="113"/>
    </row>
    <row r="3348">
      <c r="J3348" s="113"/>
    </row>
    <row r="3349">
      <c r="J3349" s="113"/>
    </row>
    <row r="3350">
      <c r="J3350" s="113"/>
    </row>
    <row r="3351">
      <c r="J3351" s="113"/>
    </row>
    <row r="3352">
      <c r="J3352" s="113"/>
    </row>
    <row r="3353">
      <c r="J3353" s="113"/>
    </row>
    <row r="3354">
      <c r="J3354" s="113"/>
    </row>
    <row r="3355">
      <c r="J3355" s="113"/>
    </row>
    <row r="3356">
      <c r="J3356" s="113"/>
    </row>
    <row r="3357">
      <c r="J3357" s="113"/>
    </row>
    <row r="3358">
      <c r="J3358" s="113"/>
    </row>
    <row r="3359">
      <c r="J3359" s="113"/>
    </row>
    <row r="3360">
      <c r="J3360" s="113"/>
    </row>
    <row r="3361">
      <c r="J3361" s="113"/>
    </row>
    <row r="3362">
      <c r="J3362" s="113"/>
    </row>
    <row r="3363">
      <c r="J3363" s="113"/>
    </row>
    <row r="3364">
      <c r="J3364" s="113"/>
    </row>
    <row r="3365">
      <c r="J3365" s="113"/>
    </row>
    <row r="3366">
      <c r="J3366" s="113"/>
    </row>
    <row r="3367">
      <c r="J3367" s="113"/>
    </row>
    <row r="3368">
      <c r="J3368" s="113"/>
    </row>
    <row r="3369">
      <c r="J3369" s="113"/>
    </row>
    <row r="3370">
      <c r="J3370" s="113"/>
    </row>
    <row r="3371">
      <c r="J3371" s="113"/>
    </row>
    <row r="3372">
      <c r="J3372" s="113"/>
    </row>
    <row r="3373">
      <c r="J3373" s="113"/>
    </row>
    <row r="3374">
      <c r="J3374" s="113"/>
    </row>
    <row r="3375">
      <c r="J3375" s="113"/>
    </row>
    <row r="3376">
      <c r="J3376" s="113"/>
    </row>
    <row r="3377">
      <c r="J3377" s="113"/>
    </row>
    <row r="3378">
      <c r="J3378" s="113"/>
    </row>
    <row r="3379">
      <c r="J3379" s="113"/>
    </row>
    <row r="3380">
      <c r="J3380" s="113"/>
    </row>
    <row r="3381">
      <c r="J3381" s="113"/>
    </row>
    <row r="3382">
      <c r="J3382" s="113"/>
    </row>
    <row r="3383">
      <c r="J3383" s="113"/>
    </row>
    <row r="3384">
      <c r="J3384" s="113"/>
    </row>
    <row r="3385">
      <c r="J3385" s="113"/>
    </row>
    <row r="3386">
      <c r="J3386" s="113"/>
    </row>
    <row r="3387">
      <c r="J3387" s="113"/>
    </row>
    <row r="3388">
      <c r="J3388" s="113"/>
    </row>
    <row r="3389">
      <c r="J3389" s="113"/>
    </row>
    <row r="3390">
      <c r="J3390" s="113"/>
    </row>
    <row r="3391">
      <c r="J3391" s="113"/>
    </row>
    <row r="3392">
      <c r="J3392" s="113"/>
    </row>
    <row r="3393">
      <c r="J3393" s="113"/>
    </row>
    <row r="3394">
      <c r="J3394" s="113"/>
    </row>
    <row r="3395">
      <c r="J3395" s="113"/>
    </row>
    <row r="3396">
      <c r="J3396" s="113"/>
    </row>
    <row r="3397">
      <c r="J3397" s="113"/>
    </row>
    <row r="3398">
      <c r="J3398" s="113"/>
    </row>
    <row r="3399">
      <c r="J3399" s="113"/>
    </row>
    <row r="3400">
      <c r="J3400" s="113"/>
    </row>
    <row r="3401">
      <c r="J3401" s="113"/>
    </row>
    <row r="3402">
      <c r="J3402" s="113"/>
    </row>
    <row r="3403">
      <c r="J3403" s="113"/>
    </row>
    <row r="3404">
      <c r="J3404" s="113"/>
    </row>
    <row r="3405">
      <c r="J3405" s="113"/>
    </row>
    <row r="3406">
      <c r="J3406" s="113"/>
    </row>
    <row r="3407">
      <c r="J3407" s="113"/>
    </row>
    <row r="3408">
      <c r="J3408" s="113"/>
    </row>
    <row r="3409">
      <c r="J3409" s="113"/>
    </row>
    <row r="3410">
      <c r="J3410" s="113"/>
    </row>
    <row r="3411">
      <c r="J3411" s="113"/>
    </row>
    <row r="3412">
      <c r="J3412" s="113"/>
    </row>
    <row r="3413">
      <c r="J3413" s="113"/>
    </row>
    <row r="3414">
      <c r="J3414" s="113"/>
    </row>
    <row r="3415">
      <c r="J3415" s="113"/>
    </row>
    <row r="3416">
      <c r="J3416" s="113"/>
    </row>
    <row r="3417">
      <c r="J3417" s="113"/>
    </row>
    <row r="3418">
      <c r="J3418" s="113"/>
    </row>
    <row r="3419">
      <c r="J3419" s="113"/>
    </row>
    <row r="3420">
      <c r="J3420" s="113"/>
    </row>
    <row r="3421">
      <c r="J3421" s="113"/>
    </row>
    <row r="3422">
      <c r="J3422" s="113"/>
    </row>
    <row r="3423">
      <c r="J3423" s="113"/>
    </row>
    <row r="3424">
      <c r="J3424" s="113"/>
    </row>
    <row r="3425">
      <c r="J3425" s="113"/>
    </row>
    <row r="3426">
      <c r="J3426" s="113"/>
    </row>
    <row r="3427">
      <c r="J3427" s="113"/>
    </row>
    <row r="3428">
      <c r="J3428" s="113"/>
    </row>
    <row r="3429">
      <c r="J3429" s="113"/>
    </row>
    <row r="3430">
      <c r="J3430" s="113"/>
    </row>
    <row r="3431">
      <c r="J3431" s="113"/>
    </row>
    <row r="3432">
      <c r="J3432" s="113"/>
    </row>
    <row r="3433">
      <c r="J3433" s="113"/>
    </row>
    <row r="3434">
      <c r="J3434" s="113"/>
    </row>
    <row r="3435">
      <c r="J3435" s="113"/>
    </row>
    <row r="3436">
      <c r="J3436" s="113"/>
    </row>
    <row r="3437">
      <c r="J3437" s="113"/>
    </row>
    <row r="3438">
      <c r="J3438" s="113"/>
    </row>
    <row r="3439">
      <c r="J3439" s="113"/>
    </row>
    <row r="3440">
      <c r="J3440" s="113"/>
    </row>
    <row r="3441">
      <c r="J3441" s="113"/>
    </row>
    <row r="3442">
      <c r="J3442" s="113"/>
    </row>
    <row r="3443">
      <c r="J3443" s="113"/>
    </row>
    <row r="3444">
      <c r="J3444" s="113"/>
    </row>
    <row r="3445">
      <c r="J3445" s="113"/>
    </row>
    <row r="3446">
      <c r="J3446" s="113"/>
    </row>
    <row r="3447">
      <c r="J3447" s="113"/>
    </row>
    <row r="3448">
      <c r="J3448" s="113"/>
    </row>
    <row r="3449">
      <c r="J3449" s="113"/>
    </row>
    <row r="3450">
      <c r="J3450" s="113"/>
    </row>
    <row r="3451">
      <c r="J3451" s="113"/>
    </row>
    <row r="3452">
      <c r="J3452" s="113"/>
    </row>
    <row r="3453">
      <c r="J3453" s="113"/>
    </row>
    <row r="3454">
      <c r="J3454" s="113"/>
    </row>
    <row r="3455">
      <c r="J3455" s="113"/>
    </row>
    <row r="3456">
      <c r="J3456" s="113"/>
    </row>
    <row r="3457">
      <c r="J3457" s="113"/>
    </row>
    <row r="3458">
      <c r="J3458" s="113"/>
    </row>
    <row r="3459">
      <c r="J3459" s="113"/>
    </row>
    <row r="3460">
      <c r="J3460" s="113"/>
    </row>
    <row r="3461">
      <c r="J3461" s="113"/>
    </row>
    <row r="3462">
      <c r="J3462" s="113"/>
    </row>
    <row r="3463">
      <c r="J3463" s="113"/>
    </row>
    <row r="3464">
      <c r="J3464" s="113"/>
    </row>
    <row r="3465">
      <c r="J3465" s="113"/>
    </row>
    <row r="3466">
      <c r="J3466" s="113"/>
    </row>
    <row r="3467">
      <c r="J3467" s="113"/>
    </row>
    <row r="3468">
      <c r="J3468" s="113"/>
    </row>
    <row r="3469">
      <c r="J3469" s="113"/>
    </row>
    <row r="3470">
      <c r="J3470" s="113"/>
    </row>
    <row r="3471">
      <c r="J3471" s="113"/>
    </row>
    <row r="3472">
      <c r="J3472" s="113"/>
    </row>
    <row r="3473">
      <c r="J3473" s="113"/>
    </row>
    <row r="3474">
      <c r="J3474" s="113"/>
    </row>
    <row r="3475">
      <c r="J3475" s="113"/>
    </row>
    <row r="3476">
      <c r="J3476" s="113"/>
    </row>
    <row r="3477">
      <c r="J3477" s="113"/>
    </row>
    <row r="3478">
      <c r="J3478" s="113"/>
    </row>
    <row r="3479">
      <c r="J3479" s="113"/>
    </row>
    <row r="3480">
      <c r="J3480" s="113"/>
    </row>
    <row r="3481">
      <c r="J3481" s="113"/>
    </row>
    <row r="3482">
      <c r="J3482" s="113"/>
    </row>
    <row r="3483">
      <c r="J3483" s="113"/>
    </row>
    <row r="3484">
      <c r="J3484" s="113"/>
    </row>
    <row r="3485">
      <c r="J3485" s="113"/>
    </row>
    <row r="3486">
      <c r="J3486" s="113"/>
    </row>
    <row r="3487">
      <c r="J3487" s="113"/>
    </row>
    <row r="3488">
      <c r="J3488" s="113"/>
    </row>
    <row r="3489">
      <c r="J3489" s="113"/>
    </row>
    <row r="3490">
      <c r="J3490" s="113"/>
    </row>
    <row r="3491">
      <c r="J3491" s="113"/>
    </row>
    <row r="3492">
      <c r="J3492" s="113"/>
    </row>
    <row r="3493">
      <c r="J3493" s="113"/>
    </row>
    <row r="3494">
      <c r="J3494" s="113"/>
    </row>
    <row r="3495">
      <c r="J3495" s="113"/>
    </row>
    <row r="3496">
      <c r="J3496" s="113"/>
    </row>
    <row r="3497">
      <c r="J3497" s="113"/>
    </row>
    <row r="3498">
      <c r="J3498" s="113"/>
    </row>
    <row r="3499">
      <c r="J3499" s="113"/>
    </row>
    <row r="3500">
      <c r="J3500" s="113"/>
    </row>
    <row r="3501">
      <c r="J3501" s="113"/>
    </row>
    <row r="3502">
      <c r="J3502" s="113"/>
    </row>
    <row r="3503">
      <c r="J3503" s="113"/>
    </row>
    <row r="3504">
      <c r="J3504" s="113"/>
    </row>
    <row r="3505">
      <c r="J3505" s="113"/>
    </row>
    <row r="3506">
      <c r="J3506" s="113"/>
    </row>
    <row r="3507">
      <c r="J3507" s="113"/>
    </row>
    <row r="3508">
      <c r="J3508" s="113"/>
    </row>
    <row r="3509">
      <c r="J3509" s="113"/>
    </row>
    <row r="3510">
      <c r="J3510" s="113"/>
    </row>
    <row r="3511">
      <c r="J3511" s="113"/>
    </row>
    <row r="3512">
      <c r="J3512" s="113"/>
    </row>
    <row r="3513">
      <c r="J3513" s="113"/>
    </row>
    <row r="3514">
      <c r="J3514" s="113"/>
    </row>
    <row r="3515">
      <c r="J3515" s="113"/>
    </row>
    <row r="3516">
      <c r="J3516" s="113"/>
    </row>
  </sheetData>
  <autoFilter ref="$A$1:$B$2"/>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6"/>
    <hyperlink r:id="rId12" ref="A17"/>
    <hyperlink r:id="rId13" ref="A18"/>
    <hyperlink r:id="rId14" ref="A19"/>
    <hyperlink r:id="rId15" ref="A20"/>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s>
  <drawing r:id="rId29"/>
  <tableParts count="1">
    <tablePart r:id="rId31"/>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7" max="7" width="22.5"/>
  </cols>
  <sheetData>
    <row r="1">
      <c r="A1" s="84" t="s">
        <v>15217</v>
      </c>
      <c r="J1" s="113"/>
    </row>
    <row r="2">
      <c r="A2" s="84" t="s">
        <v>15218</v>
      </c>
      <c r="B2" s="122">
        <v>45883.0</v>
      </c>
      <c r="J2" s="115" t="s">
        <v>15219</v>
      </c>
    </row>
    <row r="3">
      <c r="J3" s="113"/>
    </row>
    <row r="4">
      <c r="A4" s="116" t="s">
        <v>14039</v>
      </c>
      <c r="B4" s="116" t="s">
        <v>14211</v>
      </c>
      <c r="C4" s="116" t="s">
        <v>2</v>
      </c>
      <c r="D4" s="116" t="s">
        <v>3</v>
      </c>
      <c r="E4" s="116" t="s">
        <v>14212</v>
      </c>
      <c r="F4" s="116" t="s">
        <v>5</v>
      </c>
      <c r="G4" s="116" t="s">
        <v>10</v>
      </c>
      <c r="H4" s="116" t="s">
        <v>14213</v>
      </c>
      <c r="I4" s="116" t="s">
        <v>12</v>
      </c>
      <c r="J4" s="118" t="s">
        <v>14214</v>
      </c>
      <c r="K4" s="116" t="s">
        <v>20</v>
      </c>
      <c r="L4" s="116" t="s">
        <v>14</v>
      </c>
    </row>
    <row r="5">
      <c r="A5" s="123" t="str">
        <f>IFERROR(__xludf.DUMMYFUNCTION("QUERY({RentalCalc!A1:Z3516; SIRCalc!A1:Z3516; NSTSCalc!A1:Z3516; TSACalc!A1:Z3516; RRCalc!A1:Z3516; HSCalc!A1:Z3516}, ""select * where Col1 is not null"")"),"#REF!")</f>
        <v>#REF!</v>
      </c>
      <c r="B5" s="123"/>
      <c r="C5" s="123"/>
      <c r="D5" s="123"/>
      <c r="E5" s="123"/>
      <c r="F5" s="123"/>
      <c r="G5" s="123"/>
      <c r="H5" s="123"/>
      <c r="I5" s="123"/>
      <c r="J5" s="124"/>
      <c r="K5" s="123"/>
      <c r="L5" s="123"/>
      <c r="M5" s="93"/>
      <c r="N5" s="93"/>
      <c r="O5" s="93"/>
      <c r="P5" s="93"/>
      <c r="Q5" s="93"/>
      <c r="R5" s="93"/>
      <c r="S5" s="93"/>
      <c r="T5" s="93"/>
      <c r="U5" s="93"/>
      <c r="V5" s="93"/>
      <c r="W5" s="93"/>
      <c r="X5" s="93"/>
      <c r="Y5" s="93"/>
      <c r="Z5" s="93"/>
    </row>
    <row r="6">
      <c r="A6" s="93"/>
      <c r="B6" s="93"/>
      <c r="C6" s="93"/>
      <c r="D6" s="93"/>
      <c r="E6" s="93"/>
      <c r="F6" s="93"/>
      <c r="G6" s="93"/>
      <c r="H6" s="93"/>
      <c r="I6" s="93"/>
      <c r="J6" s="113"/>
      <c r="K6" s="93"/>
      <c r="L6" s="93"/>
      <c r="M6" s="93"/>
      <c r="N6" s="93"/>
      <c r="O6" s="93"/>
      <c r="P6" s="93"/>
      <c r="Q6" s="93"/>
      <c r="R6" s="93"/>
      <c r="S6" s="93"/>
      <c r="T6" s="93"/>
      <c r="U6" s="93"/>
      <c r="V6" s="93"/>
      <c r="W6" s="93"/>
      <c r="X6" s="93"/>
      <c r="Y6" s="93"/>
      <c r="Z6" s="93"/>
    </row>
    <row r="7">
      <c r="A7" s="93"/>
      <c r="B7" s="93"/>
      <c r="C7" s="93"/>
      <c r="D7" s="93"/>
      <c r="E7" s="93"/>
      <c r="F7" s="93"/>
      <c r="G7" s="93"/>
      <c r="H7" s="93"/>
      <c r="I7" s="93"/>
      <c r="J7" s="113"/>
      <c r="K7" s="93"/>
      <c r="L7" s="93"/>
      <c r="M7" s="93"/>
      <c r="N7" s="93"/>
      <c r="O7" s="93"/>
      <c r="P7" s="93"/>
      <c r="Q7" s="93"/>
      <c r="R7" s="93"/>
      <c r="S7" s="93"/>
      <c r="T7" s="93"/>
      <c r="U7" s="93"/>
      <c r="V7" s="93"/>
      <c r="W7" s="93"/>
      <c r="X7" s="93"/>
      <c r="Y7" s="93"/>
      <c r="Z7" s="93"/>
    </row>
    <row r="8">
      <c r="A8" s="93"/>
      <c r="B8" s="93"/>
      <c r="C8" s="93"/>
      <c r="D8" s="93"/>
      <c r="E8" s="93"/>
      <c r="F8" s="93"/>
      <c r="G8" s="93"/>
      <c r="H8" s="93"/>
      <c r="I8" s="93"/>
      <c r="J8" s="113"/>
      <c r="K8" s="93"/>
      <c r="L8" s="93"/>
      <c r="M8" s="93"/>
      <c r="N8" s="93"/>
      <c r="O8" s="93"/>
      <c r="P8" s="93"/>
      <c r="Q8" s="93"/>
      <c r="R8" s="93"/>
      <c r="S8" s="93"/>
      <c r="T8" s="93"/>
      <c r="U8" s="93"/>
      <c r="V8" s="93"/>
      <c r="W8" s="93"/>
      <c r="X8" s="93"/>
      <c r="Y8" s="93"/>
      <c r="Z8" s="93"/>
    </row>
    <row r="9">
      <c r="A9" s="93"/>
      <c r="B9" s="93"/>
      <c r="C9" s="93"/>
      <c r="D9" s="93"/>
      <c r="E9" s="93"/>
      <c r="F9" s="93"/>
      <c r="G9" s="93"/>
      <c r="H9" s="93"/>
      <c r="I9" s="93"/>
      <c r="J9" s="113"/>
      <c r="K9" s="93"/>
      <c r="L9" s="93"/>
      <c r="M9" s="93"/>
      <c r="N9" s="93"/>
      <c r="O9" s="93"/>
      <c r="P9" s="93"/>
      <c r="Q9" s="93"/>
      <c r="R9" s="93"/>
      <c r="S9" s="93"/>
      <c r="T9" s="93"/>
      <c r="U9" s="93"/>
      <c r="V9" s="93"/>
      <c r="W9" s="93"/>
      <c r="X9" s="93"/>
      <c r="Y9" s="93"/>
      <c r="Z9" s="93"/>
    </row>
    <row r="10">
      <c r="A10" s="93"/>
      <c r="B10" s="93"/>
      <c r="C10" s="93"/>
      <c r="D10" s="93"/>
      <c r="E10" s="93"/>
      <c r="F10" s="93"/>
      <c r="G10" s="93"/>
      <c r="H10" s="93"/>
      <c r="I10" s="93"/>
      <c r="J10" s="113"/>
      <c r="K10" s="93"/>
      <c r="L10" s="93"/>
      <c r="M10" s="93"/>
      <c r="N10" s="93"/>
      <c r="O10" s="93"/>
      <c r="P10" s="93"/>
      <c r="Q10" s="93"/>
      <c r="R10" s="93"/>
      <c r="S10" s="93"/>
      <c r="T10" s="93"/>
      <c r="U10" s="93"/>
      <c r="V10" s="93"/>
      <c r="W10" s="93"/>
      <c r="X10" s="93"/>
      <c r="Y10" s="93"/>
      <c r="Z10" s="93"/>
    </row>
    <row r="11">
      <c r="A11" s="93"/>
      <c r="B11" s="93"/>
      <c r="C11" s="93"/>
      <c r="D11" s="93"/>
      <c r="E11" s="93"/>
      <c r="F11" s="93"/>
      <c r="G11" s="93"/>
      <c r="H11" s="93"/>
      <c r="I11" s="93"/>
      <c r="J11" s="113"/>
      <c r="K11" s="93"/>
      <c r="L11" s="93"/>
      <c r="M11" s="93"/>
      <c r="N11" s="93"/>
      <c r="O11" s="93"/>
      <c r="P11" s="93"/>
      <c r="Q11" s="93"/>
      <c r="R11" s="93"/>
      <c r="S11" s="93"/>
      <c r="T11" s="93"/>
      <c r="U11" s="93"/>
      <c r="V11" s="93"/>
      <c r="W11" s="93"/>
      <c r="X11" s="93"/>
      <c r="Y11" s="93"/>
      <c r="Z11" s="93"/>
    </row>
    <row r="12">
      <c r="A12" s="93"/>
      <c r="B12" s="93"/>
      <c r="C12" s="93"/>
      <c r="D12" s="93"/>
      <c r="E12" s="93"/>
      <c r="F12" s="93"/>
      <c r="G12" s="93"/>
      <c r="H12" s="93"/>
      <c r="I12" s="93"/>
      <c r="J12" s="113"/>
      <c r="K12" s="93"/>
      <c r="L12" s="93"/>
      <c r="M12" s="93"/>
      <c r="N12" s="93"/>
      <c r="O12" s="93"/>
      <c r="P12" s="93"/>
      <c r="Q12" s="93"/>
      <c r="R12" s="93"/>
      <c r="S12" s="93"/>
      <c r="T12" s="93"/>
      <c r="U12" s="93"/>
      <c r="V12" s="93"/>
      <c r="W12" s="93"/>
      <c r="X12" s="93"/>
      <c r="Y12" s="93"/>
      <c r="Z12" s="93"/>
    </row>
    <row r="13">
      <c r="A13" s="93"/>
      <c r="B13" s="93"/>
      <c r="C13" s="93"/>
      <c r="D13" s="93"/>
      <c r="E13" s="93"/>
      <c r="F13" s="93"/>
      <c r="G13" s="93"/>
      <c r="H13" s="93"/>
      <c r="I13" s="93"/>
      <c r="J13" s="113"/>
      <c r="K13" s="93"/>
      <c r="L13" s="93"/>
      <c r="M13" s="93"/>
      <c r="N13" s="93"/>
      <c r="O13" s="93"/>
      <c r="P13" s="93"/>
      <c r="Q13" s="93"/>
      <c r="R13" s="93"/>
      <c r="S13" s="93"/>
      <c r="T13" s="93"/>
      <c r="U13" s="93"/>
      <c r="V13" s="93"/>
      <c r="W13" s="93"/>
      <c r="X13" s="93"/>
      <c r="Y13" s="93"/>
      <c r="Z13" s="93"/>
    </row>
    <row r="14">
      <c r="A14" s="93"/>
      <c r="B14" s="93"/>
      <c r="C14" s="93"/>
      <c r="D14" s="93"/>
      <c r="E14" s="93"/>
      <c r="F14" s="93"/>
      <c r="G14" s="93"/>
      <c r="H14" s="93"/>
      <c r="I14" s="93"/>
      <c r="J14" s="113"/>
      <c r="K14" s="93"/>
      <c r="L14" s="93"/>
      <c r="M14" s="93"/>
      <c r="N14" s="93"/>
      <c r="O14" s="93"/>
      <c r="P14" s="93"/>
      <c r="Q14" s="93"/>
      <c r="R14" s="93"/>
      <c r="S14" s="93"/>
      <c r="T14" s="93"/>
      <c r="U14" s="93"/>
      <c r="V14" s="93"/>
      <c r="W14" s="93"/>
      <c r="X14" s="93"/>
      <c r="Y14" s="93"/>
      <c r="Z14" s="93"/>
    </row>
    <row r="15">
      <c r="A15" s="93"/>
      <c r="B15" s="93"/>
      <c r="C15" s="93"/>
      <c r="D15" s="93"/>
      <c r="E15" s="93"/>
      <c r="F15" s="93"/>
      <c r="G15" s="93"/>
      <c r="H15" s="93"/>
      <c r="I15" s="93"/>
      <c r="J15" s="113"/>
      <c r="K15" s="93"/>
      <c r="L15" s="93"/>
      <c r="M15" s="93"/>
      <c r="N15" s="93"/>
      <c r="O15" s="93"/>
      <c r="P15" s="93"/>
      <c r="Q15" s="93"/>
      <c r="R15" s="93"/>
      <c r="S15" s="93"/>
      <c r="T15" s="93"/>
      <c r="U15" s="93"/>
      <c r="V15" s="93"/>
      <c r="W15" s="93"/>
      <c r="X15" s="93"/>
      <c r="Y15" s="93"/>
      <c r="Z15" s="93"/>
    </row>
    <row r="16">
      <c r="A16" s="93"/>
      <c r="B16" s="93"/>
      <c r="C16" s="93"/>
      <c r="D16" s="93"/>
      <c r="E16" s="93"/>
      <c r="F16" s="93"/>
      <c r="G16" s="93"/>
      <c r="H16" s="93"/>
      <c r="I16" s="93"/>
      <c r="J16" s="113"/>
      <c r="K16" s="93"/>
      <c r="L16" s="93"/>
      <c r="M16" s="93"/>
      <c r="N16" s="93"/>
      <c r="O16" s="93"/>
      <c r="P16" s="93"/>
      <c r="Q16" s="93"/>
      <c r="R16" s="93"/>
      <c r="S16" s="93"/>
      <c r="T16" s="93"/>
      <c r="U16" s="93"/>
      <c r="V16" s="93"/>
      <c r="W16" s="93"/>
      <c r="X16" s="93"/>
      <c r="Y16" s="93"/>
      <c r="Z16" s="93"/>
    </row>
    <row r="17">
      <c r="A17" s="93"/>
      <c r="B17" s="93"/>
      <c r="C17" s="93"/>
      <c r="D17" s="93"/>
      <c r="E17" s="93"/>
      <c r="F17" s="93"/>
      <c r="G17" s="93"/>
      <c r="H17" s="93"/>
      <c r="I17" s="93"/>
      <c r="J17" s="113"/>
      <c r="K17" s="93"/>
      <c r="L17" s="93"/>
      <c r="M17" s="93"/>
      <c r="N17" s="93"/>
      <c r="O17" s="93"/>
      <c r="P17" s="93"/>
      <c r="Q17" s="93"/>
      <c r="R17" s="93"/>
      <c r="S17" s="93"/>
      <c r="T17" s="93"/>
      <c r="U17" s="93"/>
      <c r="V17" s="93"/>
      <c r="W17" s="93"/>
      <c r="X17" s="93"/>
      <c r="Y17" s="93"/>
      <c r="Z17" s="93"/>
    </row>
    <row r="18">
      <c r="A18" s="125" t="s">
        <v>15223</v>
      </c>
      <c r="J18" s="113"/>
    </row>
    <row r="19">
      <c r="A19" s="125" t="s">
        <v>15224</v>
      </c>
      <c r="J19" s="113"/>
    </row>
    <row r="20">
      <c r="J20" s="113"/>
    </row>
    <row r="21">
      <c r="J21" s="113"/>
    </row>
    <row r="22">
      <c r="J22" s="113"/>
    </row>
    <row r="23">
      <c r="J23" s="113"/>
    </row>
    <row r="24">
      <c r="J24" s="113"/>
    </row>
    <row r="25">
      <c r="J25" s="113"/>
    </row>
    <row r="26">
      <c r="J26" s="113"/>
    </row>
    <row r="27">
      <c r="J27" s="113"/>
    </row>
    <row r="28">
      <c r="J28" s="113"/>
    </row>
    <row r="29">
      <c r="J29" s="113"/>
    </row>
    <row r="30">
      <c r="J30" s="113"/>
    </row>
    <row r="31">
      <c r="J31" s="113"/>
    </row>
    <row r="32">
      <c r="J32" s="113"/>
    </row>
    <row r="33">
      <c r="J33" s="11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row r="1001">
      <c r="J1001" s="113"/>
    </row>
    <row r="1002">
      <c r="J1002" s="113"/>
    </row>
    <row r="1003">
      <c r="J1003" s="113"/>
    </row>
    <row r="1004">
      <c r="J1004" s="113"/>
    </row>
    <row r="1005">
      <c r="J1005" s="113"/>
    </row>
    <row r="1006">
      <c r="J1006" s="113"/>
    </row>
    <row r="1007">
      <c r="J1007" s="113"/>
    </row>
    <row r="1008">
      <c r="J1008" s="113"/>
    </row>
    <row r="1009">
      <c r="J1009" s="113"/>
    </row>
    <row r="1010">
      <c r="J1010" s="113"/>
    </row>
    <row r="1011">
      <c r="J1011" s="113"/>
    </row>
    <row r="1012">
      <c r="J1012" s="113"/>
    </row>
    <row r="1013">
      <c r="J1013" s="113"/>
    </row>
    <row r="1014">
      <c r="J1014" s="113"/>
    </row>
    <row r="1015">
      <c r="J1015" s="113"/>
    </row>
    <row r="1016">
      <c r="J1016" s="113"/>
    </row>
    <row r="1017">
      <c r="J1017" s="113"/>
    </row>
    <row r="1018">
      <c r="J1018" s="113"/>
    </row>
    <row r="1019">
      <c r="J1019" s="113"/>
    </row>
    <row r="1020">
      <c r="J1020" s="113"/>
    </row>
    <row r="1021">
      <c r="J1021" s="113"/>
    </row>
    <row r="1022">
      <c r="J1022" s="113"/>
    </row>
    <row r="1023">
      <c r="J1023" s="113"/>
    </row>
    <row r="1024">
      <c r="J1024" s="113"/>
    </row>
    <row r="1025">
      <c r="J1025" s="113"/>
    </row>
    <row r="1026">
      <c r="J1026" s="113"/>
    </row>
    <row r="1027">
      <c r="J1027" s="113"/>
    </row>
    <row r="1028">
      <c r="J1028" s="113"/>
    </row>
    <row r="1029">
      <c r="J1029" s="113"/>
    </row>
    <row r="1030">
      <c r="J1030" s="113"/>
    </row>
    <row r="1031">
      <c r="J1031" s="113"/>
    </row>
    <row r="1032">
      <c r="J1032" s="113"/>
    </row>
    <row r="1033">
      <c r="J1033" s="113"/>
    </row>
    <row r="1034">
      <c r="J1034" s="113"/>
    </row>
    <row r="1035">
      <c r="J1035" s="113"/>
    </row>
    <row r="1036">
      <c r="J1036" s="113"/>
    </row>
    <row r="1037">
      <c r="J1037" s="113"/>
    </row>
    <row r="1038">
      <c r="J1038" s="113"/>
    </row>
    <row r="1039">
      <c r="J1039" s="113"/>
    </row>
    <row r="1040">
      <c r="J1040" s="113"/>
    </row>
    <row r="1041">
      <c r="J1041" s="113"/>
    </row>
    <row r="1042">
      <c r="J1042" s="113"/>
    </row>
    <row r="1043">
      <c r="J1043" s="113"/>
    </row>
    <row r="1044">
      <c r="J1044" s="113"/>
    </row>
    <row r="1045">
      <c r="J1045" s="113"/>
    </row>
    <row r="1046">
      <c r="J1046" s="113"/>
    </row>
    <row r="1047">
      <c r="J1047" s="113"/>
    </row>
    <row r="1048">
      <c r="J1048" s="113"/>
    </row>
    <row r="1049">
      <c r="J1049" s="113"/>
    </row>
    <row r="1050">
      <c r="J1050" s="113"/>
    </row>
    <row r="1051">
      <c r="J1051" s="113"/>
    </row>
    <row r="1052">
      <c r="J1052" s="113"/>
    </row>
    <row r="1053">
      <c r="J1053" s="113"/>
    </row>
    <row r="1054">
      <c r="J1054" s="113"/>
    </row>
    <row r="1055">
      <c r="J1055" s="113"/>
    </row>
    <row r="1056">
      <c r="J1056" s="113"/>
    </row>
    <row r="1057">
      <c r="J1057" s="113"/>
    </row>
    <row r="1058">
      <c r="J1058" s="113"/>
    </row>
    <row r="1059">
      <c r="J1059" s="113"/>
    </row>
    <row r="1060">
      <c r="J1060" s="113"/>
    </row>
    <row r="1061">
      <c r="J1061" s="113"/>
    </row>
    <row r="1062">
      <c r="J1062" s="113"/>
    </row>
    <row r="1063">
      <c r="J1063" s="113"/>
    </row>
    <row r="1064">
      <c r="J1064" s="113"/>
    </row>
    <row r="1065">
      <c r="J1065" s="113"/>
    </row>
    <row r="1066">
      <c r="J1066" s="113"/>
    </row>
    <row r="1067">
      <c r="J1067" s="113"/>
    </row>
    <row r="1068">
      <c r="J1068" s="113"/>
    </row>
    <row r="1069">
      <c r="J1069" s="113"/>
    </row>
    <row r="1070">
      <c r="J1070" s="113"/>
    </row>
    <row r="1071">
      <c r="J1071" s="113"/>
    </row>
    <row r="1072">
      <c r="J1072" s="113"/>
    </row>
    <row r="1073">
      <c r="J1073" s="113"/>
    </row>
    <row r="1074">
      <c r="J1074" s="113"/>
    </row>
    <row r="1075">
      <c r="J1075" s="113"/>
    </row>
    <row r="1076">
      <c r="J1076" s="113"/>
    </row>
    <row r="1077">
      <c r="J1077" s="113"/>
    </row>
    <row r="1078">
      <c r="J1078" s="113"/>
    </row>
    <row r="1079">
      <c r="J1079" s="113"/>
    </row>
    <row r="1080">
      <c r="J1080" s="113"/>
    </row>
    <row r="1081">
      <c r="J1081" s="113"/>
    </row>
    <row r="1082">
      <c r="J1082" s="113"/>
    </row>
    <row r="1083">
      <c r="J1083" s="113"/>
    </row>
    <row r="1084">
      <c r="J1084" s="113"/>
    </row>
    <row r="1085">
      <c r="J1085" s="113"/>
    </row>
    <row r="1086">
      <c r="J1086" s="113"/>
    </row>
    <row r="1087">
      <c r="J1087" s="113"/>
    </row>
    <row r="1088">
      <c r="J1088" s="113"/>
    </row>
    <row r="1089">
      <c r="J1089" s="113"/>
    </row>
    <row r="1090">
      <c r="J1090" s="113"/>
    </row>
    <row r="1091">
      <c r="J1091" s="113"/>
    </row>
    <row r="1092">
      <c r="J1092" s="113"/>
    </row>
    <row r="1093">
      <c r="J1093" s="113"/>
    </row>
    <row r="1094">
      <c r="J1094" s="113"/>
    </row>
    <row r="1095">
      <c r="J1095" s="113"/>
    </row>
    <row r="1096">
      <c r="J1096" s="113"/>
    </row>
    <row r="1097">
      <c r="J1097" s="113"/>
    </row>
    <row r="1098">
      <c r="J1098" s="113"/>
    </row>
    <row r="1099">
      <c r="J1099" s="113"/>
    </row>
    <row r="1100">
      <c r="J1100" s="113"/>
    </row>
    <row r="1101">
      <c r="J1101" s="113"/>
    </row>
    <row r="1102">
      <c r="J1102" s="113"/>
    </row>
    <row r="1103">
      <c r="J1103" s="113"/>
    </row>
    <row r="1104">
      <c r="J1104" s="113"/>
    </row>
    <row r="1105">
      <c r="J1105" s="113"/>
    </row>
    <row r="1106">
      <c r="J1106" s="113"/>
    </row>
    <row r="1107">
      <c r="J1107" s="113"/>
    </row>
    <row r="1108">
      <c r="J1108" s="113"/>
    </row>
    <row r="1109">
      <c r="J1109" s="113"/>
    </row>
    <row r="1110">
      <c r="J1110" s="113"/>
    </row>
    <row r="1111">
      <c r="J1111" s="113"/>
    </row>
    <row r="1112">
      <c r="J1112" s="113"/>
    </row>
    <row r="1113">
      <c r="J1113" s="113"/>
    </row>
    <row r="1114">
      <c r="J1114" s="113"/>
    </row>
    <row r="1115">
      <c r="J1115" s="113"/>
    </row>
    <row r="1116">
      <c r="J1116" s="113"/>
    </row>
    <row r="1117">
      <c r="J1117" s="113"/>
    </row>
    <row r="1118">
      <c r="J1118" s="113"/>
    </row>
    <row r="1119">
      <c r="J1119" s="113"/>
    </row>
    <row r="1120">
      <c r="J1120" s="113"/>
    </row>
    <row r="1121">
      <c r="J1121" s="113"/>
    </row>
    <row r="1122">
      <c r="J1122" s="113"/>
    </row>
    <row r="1123">
      <c r="J1123" s="113"/>
    </row>
    <row r="1124">
      <c r="J1124" s="113"/>
    </row>
    <row r="1125">
      <c r="J1125" s="113"/>
    </row>
    <row r="1126">
      <c r="J1126" s="113"/>
    </row>
    <row r="1127">
      <c r="J1127" s="113"/>
    </row>
    <row r="1128">
      <c r="J1128" s="113"/>
    </row>
    <row r="1129">
      <c r="J1129" s="113"/>
    </row>
    <row r="1130">
      <c r="J1130" s="113"/>
    </row>
    <row r="1131">
      <c r="J1131" s="113"/>
    </row>
    <row r="1132">
      <c r="J1132" s="113"/>
    </row>
    <row r="1133">
      <c r="J1133" s="113"/>
    </row>
    <row r="1134">
      <c r="J1134" s="113"/>
    </row>
    <row r="1135">
      <c r="J1135" s="113"/>
    </row>
    <row r="1136">
      <c r="J1136" s="113"/>
    </row>
    <row r="1137">
      <c r="J1137" s="113"/>
    </row>
    <row r="1138">
      <c r="J1138" s="113"/>
    </row>
    <row r="1139">
      <c r="J1139" s="113"/>
    </row>
    <row r="1140">
      <c r="J1140" s="113"/>
    </row>
    <row r="1141">
      <c r="J1141" s="113"/>
    </row>
    <row r="1142">
      <c r="J1142" s="113"/>
    </row>
    <row r="1143">
      <c r="J1143" s="113"/>
    </row>
    <row r="1144">
      <c r="J1144" s="113"/>
    </row>
    <row r="1145">
      <c r="J1145" s="113"/>
    </row>
    <row r="1146">
      <c r="J1146" s="113"/>
    </row>
    <row r="1147">
      <c r="J1147" s="113"/>
    </row>
    <row r="1148">
      <c r="J1148" s="113"/>
    </row>
    <row r="1149">
      <c r="J1149" s="113"/>
    </row>
    <row r="1150">
      <c r="J1150" s="113"/>
    </row>
    <row r="1151">
      <c r="J1151" s="113"/>
    </row>
    <row r="1152">
      <c r="J1152" s="113"/>
    </row>
    <row r="1153">
      <c r="J1153" s="113"/>
    </row>
    <row r="1154">
      <c r="J1154" s="113"/>
    </row>
    <row r="1155">
      <c r="J1155" s="113"/>
    </row>
    <row r="1156">
      <c r="J1156" s="113"/>
    </row>
    <row r="1157">
      <c r="J1157" s="113"/>
    </row>
    <row r="1158">
      <c r="J1158" s="113"/>
    </row>
    <row r="1159">
      <c r="J1159" s="113"/>
    </row>
    <row r="1160">
      <c r="J1160" s="113"/>
    </row>
    <row r="1161">
      <c r="J1161" s="113"/>
    </row>
    <row r="1162">
      <c r="J1162" s="113"/>
    </row>
    <row r="1163">
      <c r="J1163" s="113"/>
    </row>
    <row r="1164">
      <c r="J1164" s="113"/>
    </row>
    <row r="1165">
      <c r="J1165" s="113"/>
    </row>
    <row r="1166">
      <c r="J1166" s="113"/>
    </row>
    <row r="1167">
      <c r="J1167" s="113"/>
    </row>
    <row r="1168">
      <c r="J1168" s="113"/>
    </row>
    <row r="1169">
      <c r="J1169" s="113"/>
    </row>
    <row r="1170">
      <c r="J1170" s="113"/>
    </row>
    <row r="1171">
      <c r="J1171" s="113"/>
    </row>
    <row r="1172">
      <c r="J1172" s="113"/>
    </row>
    <row r="1173">
      <c r="J1173" s="113"/>
    </row>
    <row r="1174">
      <c r="J1174" s="113"/>
    </row>
    <row r="1175">
      <c r="J1175" s="113"/>
    </row>
    <row r="1176">
      <c r="J1176" s="113"/>
    </row>
    <row r="1177">
      <c r="J1177" s="113"/>
    </row>
    <row r="1178">
      <c r="J1178" s="113"/>
    </row>
    <row r="1179">
      <c r="J1179" s="113"/>
    </row>
    <row r="1180">
      <c r="J1180" s="113"/>
    </row>
    <row r="1181">
      <c r="J1181" s="113"/>
    </row>
    <row r="1182">
      <c r="J1182" s="113"/>
    </row>
    <row r="1183">
      <c r="J1183" s="113"/>
    </row>
    <row r="1184">
      <c r="J1184" s="113"/>
    </row>
    <row r="1185">
      <c r="J1185" s="113"/>
    </row>
    <row r="1186">
      <c r="J1186" s="113"/>
    </row>
    <row r="1187">
      <c r="J1187" s="113"/>
    </row>
    <row r="1188">
      <c r="J1188" s="113"/>
    </row>
    <row r="1189">
      <c r="J1189" s="113"/>
    </row>
    <row r="1190">
      <c r="J1190" s="113"/>
    </row>
    <row r="1191">
      <c r="J1191" s="113"/>
    </row>
    <row r="1192">
      <c r="J1192" s="113"/>
    </row>
    <row r="1193">
      <c r="J1193" s="113"/>
    </row>
    <row r="1194">
      <c r="J1194" s="113"/>
    </row>
    <row r="1195">
      <c r="J1195" s="113"/>
    </row>
    <row r="1196">
      <c r="J1196" s="113"/>
    </row>
    <row r="1197">
      <c r="J1197" s="113"/>
    </row>
    <row r="1198">
      <c r="J1198" s="113"/>
    </row>
    <row r="1199">
      <c r="J1199" s="113"/>
    </row>
    <row r="1200">
      <c r="J1200" s="113"/>
    </row>
    <row r="1201">
      <c r="J1201" s="113"/>
    </row>
    <row r="1202">
      <c r="J1202" s="113"/>
    </row>
    <row r="1203">
      <c r="J1203" s="113"/>
    </row>
    <row r="1204">
      <c r="J1204" s="113"/>
    </row>
    <row r="1205">
      <c r="J1205" s="113"/>
    </row>
    <row r="1206">
      <c r="J1206" s="113"/>
    </row>
    <row r="1207">
      <c r="J1207" s="113"/>
    </row>
    <row r="1208">
      <c r="J1208" s="113"/>
    </row>
    <row r="1209">
      <c r="J1209" s="113"/>
    </row>
    <row r="1210">
      <c r="J1210" s="113"/>
    </row>
    <row r="1211">
      <c r="J1211" s="113"/>
    </row>
    <row r="1212">
      <c r="J1212" s="113"/>
    </row>
    <row r="1213">
      <c r="J1213" s="113"/>
    </row>
    <row r="1214">
      <c r="J1214" s="113"/>
    </row>
    <row r="1215">
      <c r="J1215" s="113"/>
    </row>
    <row r="1216">
      <c r="J1216" s="113"/>
    </row>
    <row r="1217">
      <c r="J1217" s="113"/>
    </row>
    <row r="1218">
      <c r="J1218" s="113"/>
    </row>
    <row r="1219">
      <c r="J1219" s="113"/>
    </row>
    <row r="1220">
      <c r="J1220" s="113"/>
    </row>
    <row r="1221">
      <c r="J1221" s="113"/>
    </row>
    <row r="1222">
      <c r="J1222" s="113"/>
    </row>
    <row r="1223">
      <c r="J1223" s="113"/>
    </row>
    <row r="1224">
      <c r="J1224" s="113"/>
    </row>
    <row r="1225">
      <c r="J1225" s="113"/>
    </row>
    <row r="1226">
      <c r="J1226" s="113"/>
    </row>
    <row r="1227">
      <c r="J1227" s="113"/>
    </row>
    <row r="1228">
      <c r="J1228" s="113"/>
    </row>
    <row r="1229">
      <c r="J1229" s="113"/>
    </row>
    <row r="1230">
      <c r="J1230" s="113"/>
    </row>
    <row r="1231">
      <c r="J1231" s="113"/>
    </row>
    <row r="1232">
      <c r="J1232" s="113"/>
    </row>
    <row r="1233">
      <c r="J1233" s="113"/>
    </row>
    <row r="1234">
      <c r="J1234" s="113"/>
    </row>
    <row r="1235">
      <c r="J1235" s="113"/>
    </row>
    <row r="1236">
      <c r="J1236" s="113"/>
    </row>
    <row r="1237">
      <c r="J1237" s="113"/>
    </row>
    <row r="1238">
      <c r="J1238" s="113"/>
    </row>
    <row r="1239">
      <c r="J1239" s="113"/>
    </row>
    <row r="1240">
      <c r="J1240" s="113"/>
    </row>
    <row r="1241">
      <c r="J1241" s="113"/>
    </row>
    <row r="1242">
      <c r="J1242" s="113"/>
    </row>
    <row r="1243">
      <c r="J1243" s="113"/>
    </row>
    <row r="1244">
      <c r="J1244" s="113"/>
    </row>
    <row r="1245">
      <c r="J1245" s="113"/>
    </row>
    <row r="1246">
      <c r="J1246" s="113"/>
    </row>
    <row r="1247">
      <c r="J1247" s="113"/>
    </row>
    <row r="1248">
      <c r="J1248" s="113"/>
    </row>
    <row r="1249">
      <c r="J1249" s="113"/>
    </row>
    <row r="1250">
      <c r="J1250" s="113"/>
    </row>
    <row r="1251">
      <c r="J1251" s="113"/>
    </row>
    <row r="1252">
      <c r="J1252" s="113"/>
    </row>
    <row r="1253">
      <c r="J1253" s="113"/>
    </row>
    <row r="1254">
      <c r="J1254" s="113"/>
    </row>
    <row r="1255">
      <c r="J1255" s="113"/>
    </row>
    <row r="1256">
      <c r="J1256" s="113"/>
    </row>
    <row r="1257">
      <c r="J1257" s="113"/>
    </row>
    <row r="1258">
      <c r="J1258" s="113"/>
    </row>
    <row r="1259">
      <c r="J1259" s="113"/>
    </row>
    <row r="1260">
      <c r="J1260" s="113"/>
    </row>
    <row r="1261">
      <c r="J1261" s="113"/>
    </row>
    <row r="1262">
      <c r="J1262" s="113"/>
    </row>
    <row r="1263">
      <c r="J1263" s="113"/>
    </row>
    <row r="1264">
      <c r="J1264" s="113"/>
    </row>
    <row r="1265">
      <c r="J1265" s="113"/>
    </row>
    <row r="1266">
      <c r="J1266" s="113"/>
    </row>
    <row r="1267">
      <c r="J1267" s="113"/>
    </row>
    <row r="1268">
      <c r="J1268" s="113"/>
    </row>
    <row r="1269">
      <c r="J1269" s="113"/>
    </row>
    <row r="1270">
      <c r="J1270" s="113"/>
    </row>
    <row r="1271">
      <c r="J1271" s="113"/>
    </row>
    <row r="1272">
      <c r="J1272" s="113"/>
    </row>
    <row r="1273">
      <c r="J1273" s="113"/>
    </row>
    <row r="1274">
      <c r="J1274" s="113"/>
    </row>
    <row r="1275">
      <c r="J1275" s="113"/>
    </row>
    <row r="1276">
      <c r="J1276" s="113"/>
    </row>
    <row r="1277">
      <c r="J1277" s="113"/>
    </row>
    <row r="1278">
      <c r="J1278" s="113"/>
    </row>
    <row r="1279">
      <c r="J1279" s="113"/>
    </row>
    <row r="1280">
      <c r="J1280" s="113"/>
    </row>
    <row r="1281">
      <c r="J1281" s="113"/>
    </row>
    <row r="1282">
      <c r="J1282" s="113"/>
    </row>
    <row r="1283">
      <c r="J1283" s="113"/>
    </row>
    <row r="1284">
      <c r="J1284" s="113"/>
    </row>
    <row r="1285">
      <c r="J1285" s="113"/>
    </row>
    <row r="1286">
      <c r="J1286" s="113"/>
    </row>
    <row r="1287">
      <c r="J1287" s="113"/>
    </row>
    <row r="1288">
      <c r="J1288" s="113"/>
    </row>
    <row r="1289">
      <c r="J1289" s="113"/>
    </row>
    <row r="1290">
      <c r="J1290" s="113"/>
    </row>
    <row r="1291">
      <c r="J1291" s="113"/>
    </row>
    <row r="1292">
      <c r="J1292" s="113"/>
    </row>
    <row r="1293">
      <c r="J1293" s="113"/>
    </row>
    <row r="1294">
      <c r="J1294" s="113"/>
    </row>
    <row r="1295">
      <c r="J1295" s="113"/>
    </row>
    <row r="1296">
      <c r="J1296" s="113"/>
    </row>
    <row r="1297">
      <c r="J1297" s="113"/>
    </row>
    <row r="1298">
      <c r="J1298" s="113"/>
    </row>
    <row r="1299">
      <c r="J1299" s="113"/>
    </row>
    <row r="1300">
      <c r="J1300" s="113"/>
    </row>
    <row r="1301">
      <c r="J1301" s="113"/>
    </row>
    <row r="1302">
      <c r="J1302" s="113"/>
    </row>
    <row r="1303">
      <c r="J1303" s="113"/>
    </row>
    <row r="1304">
      <c r="J1304" s="113"/>
    </row>
    <row r="1305">
      <c r="J1305" s="113"/>
    </row>
    <row r="1306">
      <c r="J1306" s="113"/>
    </row>
    <row r="1307">
      <c r="J1307" s="113"/>
    </row>
    <row r="1308">
      <c r="J1308" s="113"/>
    </row>
    <row r="1309">
      <c r="J1309" s="113"/>
    </row>
    <row r="1310">
      <c r="J1310" s="113"/>
    </row>
    <row r="1311">
      <c r="J1311" s="113"/>
    </row>
    <row r="1312">
      <c r="J1312" s="113"/>
    </row>
    <row r="1313">
      <c r="J1313" s="113"/>
    </row>
    <row r="1314">
      <c r="J1314" s="113"/>
    </row>
    <row r="1315">
      <c r="J1315" s="113"/>
    </row>
    <row r="1316">
      <c r="J1316" s="113"/>
    </row>
    <row r="1317">
      <c r="J1317" s="113"/>
    </row>
    <row r="1318">
      <c r="J1318" s="113"/>
    </row>
    <row r="1319">
      <c r="J1319" s="113"/>
    </row>
    <row r="1320">
      <c r="J1320" s="113"/>
    </row>
    <row r="1321">
      <c r="J1321" s="113"/>
    </row>
    <row r="1322">
      <c r="J1322" s="113"/>
    </row>
    <row r="1323">
      <c r="J1323" s="113"/>
    </row>
    <row r="1324">
      <c r="J1324" s="113"/>
    </row>
    <row r="1325">
      <c r="J1325" s="113"/>
    </row>
    <row r="1326">
      <c r="J1326" s="113"/>
    </row>
    <row r="1327">
      <c r="J1327" s="113"/>
    </row>
    <row r="1328">
      <c r="J1328" s="113"/>
    </row>
    <row r="1329">
      <c r="J1329" s="113"/>
    </row>
    <row r="1330">
      <c r="J1330" s="113"/>
    </row>
    <row r="1331">
      <c r="J1331" s="113"/>
    </row>
    <row r="1332">
      <c r="J1332" s="113"/>
    </row>
    <row r="1333">
      <c r="J1333" s="113"/>
    </row>
    <row r="1334">
      <c r="J1334" s="113"/>
    </row>
    <row r="1335">
      <c r="J1335" s="113"/>
    </row>
    <row r="1336">
      <c r="J1336" s="113"/>
    </row>
    <row r="1337">
      <c r="J1337" s="113"/>
    </row>
    <row r="1338">
      <c r="J1338" s="113"/>
    </row>
    <row r="1339">
      <c r="J1339" s="113"/>
    </row>
    <row r="1340">
      <c r="J1340" s="113"/>
    </row>
    <row r="1341">
      <c r="J1341" s="113"/>
    </row>
    <row r="1342">
      <c r="J1342" s="113"/>
    </row>
    <row r="1343">
      <c r="J1343" s="113"/>
    </row>
    <row r="1344">
      <c r="J1344" s="113"/>
    </row>
    <row r="1345">
      <c r="J1345" s="113"/>
    </row>
    <row r="1346">
      <c r="J1346" s="113"/>
    </row>
    <row r="1347">
      <c r="J1347" s="113"/>
    </row>
    <row r="1348">
      <c r="J1348" s="113"/>
    </row>
    <row r="1349">
      <c r="J1349" s="113"/>
    </row>
    <row r="1350">
      <c r="J1350" s="113"/>
    </row>
    <row r="1351">
      <c r="J1351" s="113"/>
    </row>
    <row r="1352">
      <c r="J1352" s="113"/>
    </row>
    <row r="1353">
      <c r="J1353" s="113"/>
    </row>
    <row r="1354">
      <c r="J1354" s="113"/>
    </row>
    <row r="1355">
      <c r="J1355" s="113"/>
    </row>
    <row r="1356">
      <c r="J1356" s="113"/>
    </row>
    <row r="1357">
      <c r="J1357" s="113"/>
    </row>
    <row r="1358">
      <c r="J1358" s="113"/>
    </row>
    <row r="1359">
      <c r="J1359" s="113"/>
    </row>
    <row r="1360">
      <c r="J1360" s="113"/>
    </row>
    <row r="1361">
      <c r="J1361" s="113"/>
    </row>
    <row r="1362">
      <c r="J1362" s="113"/>
    </row>
    <row r="1363">
      <c r="J1363" s="113"/>
    </row>
    <row r="1364">
      <c r="J1364" s="113"/>
    </row>
    <row r="1365">
      <c r="J1365" s="113"/>
    </row>
    <row r="1366">
      <c r="J1366" s="113"/>
    </row>
    <row r="1367">
      <c r="J1367" s="113"/>
    </row>
    <row r="1368">
      <c r="J1368" s="113"/>
    </row>
    <row r="1369">
      <c r="J1369" s="113"/>
    </row>
    <row r="1370">
      <c r="J1370" s="113"/>
    </row>
    <row r="1371">
      <c r="J1371" s="113"/>
    </row>
    <row r="1372">
      <c r="J1372" s="113"/>
    </row>
    <row r="1373">
      <c r="J1373" s="113"/>
    </row>
    <row r="1374">
      <c r="J1374" s="113"/>
    </row>
    <row r="1375">
      <c r="J1375" s="113"/>
    </row>
    <row r="1376">
      <c r="J1376" s="113"/>
    </row>
    <row r="1377">
      <c r="J1377" s="113"/>
    </row>
    <row r="1378">
      <c r="J1378" s="113"/>
    </row>
    <row r="1379">
      <c r="J1379" s="113"/>
    </row>
    <row r="1380">
      <c r="J1380" s="113"/>
    </row>
    <row r="1381">
      <c r="J1381" s="113"/>
    </row>
    <row r="1382">
      <c r="J1382" s="113"/>
    </row>
    <row r="1383">
      <c r="J1383" s="113"/>
    </row>
    <row r="1384">
      <c r="J1384" s="113"/>
    </row>
    <row r="1385">
      <c r="J1385" s="113"/>
    </row>
    <row r="1386">
      <c r="J1386" s="113"/>
    </row>
    <row r="1387">
      <c r="J1387" s="113"/>
    </row>
    <row r="1388">
      <c r="J1388" s="113"/>
    </row>
    <row r="1389">
      <c r="J1389" s="113"/>
    </row>
    <row r="1390">
      <c r="J1390" s="113"/>
    </row>
    <row r="1391">
      <c r="J1391" s="113"/>
    </row>
    <row r="1392">
      <c r="J1392" s="113"/>
    </row>
    <row r="1393">
      <c r="J1393" s="113"/>
    </row>
    <row r="1394">
      <c r="J1394" s="113"/>
    </row>
    <row r="1395">
      <c r="J1395" s="113"/>
    </row>
    <row r="1396">
      <c r="J1396" s="113"/>
    </row>
    <row r="1397">
      <c r="J1397" s="113"/>
    </row>
    <row r="1398">
      <c r="J1398" s="113"/>
    </row>
    <row r="1399">
      <c r="J1399" s="113"/>
    </row>
    <row r="1400">
      <c r="J1400" s="113"/>
    </row>
    <row r="1401">
      <c r="J1401" s="113"/>
    </row>
    <row r="1402">
      <c r="J1402" s="113"/>
    </row>
    <row r="1403">
      <c r="J1403" s="113"/>
    </row>
    <row r="1404">
      <c r="J1404" s="113"/>
    </row>
    <row r="1405">
      <c r="J1405" s="113"/>
    </row>
    <row r="1406">
      <c r="J1406" s="113"/>
    </row>
    <row r="1407">
      <c r="J1407" s="113"/>
    </row>
    <row r="1408">
      <c r="J1408" s="113"/>
    </row>
    <row r="1409">
      <c r="J1409" s="113"/>
    </row>
    <row r="1410">
      <c r="J1410" s="113"/>
    </row>
    <row r="1411">
      <c r="J1411" s="113"/>
    </row>
    <row r="1412">
      <c r="J1412" s="113"/>
    </row>
    <row r="1413">
      <c r="J1413" s="113"/>
    </row>
    <row r="1414">
      <c r="J1414" s="113"/>
    </row>
    <row r="1415">
      <c r="J1415" s="113"/>
    </row>
    <row r="1416">
      <c r="J1416" s="113"/>
    </row>
    <row r="1417">
      <c r="J1417" s="113"/>
    </row>
    <row r="1418">
      <c r="J1418" s="113"/>
    </row>
    <row r="1419">
      <c r="J1419" s="113"/>
    </row>
    <row r="1420">
      <c r="J1420" s="113"/>
    </row>
    <row r="1421">
      <c r="J1421" s="113"/>
    </row>
    <row r="1422">
      <c r="J1422" s="113"/>
    </row>
    <row r="1423">
      <c r="J1423" s="113"/>
    </row>
    <row r="1424">
      <c r="J1424" s="113"/>
    </row>
    <row r="1425">
      <c r="J1425" s="113"/>
    </row>
    <row r="1426">
      <c r="J1426" s="113"/>
    </row>
    <row r="1427">
      <c r="J1427" s="113"/>
    </row>
    <row r="1428">
      <c r="J1428" s="113"/>
    </row>
    <row r="1429">
      <c r="J1429" s="113"/>
    </row>
    <row r="1430">
      <c r="J1430" s="113"/>
    </row>
    <row r="1431">
      <c r="J1431" s="113"/>
    </row>
    <row r="1432">
      <c r="J1432" s="113"/>
    </row>
    <row r="1433">
      <c r="J1433" s="113"/>
    </row>
    <row r="1434">
      <c r="J1434" s="113"/>
    </row>
    <row r="1435">
      <c r="J1435" s="113"/>
    </row>
    <row r="1436">
      <c r="J1436" s="113"/>
    </row>
    <row r="1437">
      <c r="J1437" s="113"/>
    </row>
    <row r="1438">
      <c r="J1438" s="113"/>
    </row>
    <row r="1439">
      <c r="J1439" s="113"/>
    </row>
    <row r="1440">
      <c r="J1440" s="113"/>
    </row>
    <row r="1441">
      <c r="J1441" s="113"/>
    </row>
    <row r="1442">
      <c r="J1442" s="113"/>
    </row>
    <row r="1443">
      <c r="J1443" s="113"/>
    </row>
    <row r="1444">
      <c r="J1444" s="113"/>
    </row>
    <row r="1445">
      <c r="J1445" s="113"/>
    </row>
    <row r="1446">
      <c r="J1446" s="113"/>
    </row>
    <row r="1447">
      <c r="J1447" s="113"/>
    </row>
    <row r="1448">
      <c r="J1448" s="113"/>
    </row>
    <row r="1449">
      <c r="J1449" s="113"/>
    </row>
    <row r="1450">
      <c r="J1450" s="113"/>
    </row>
    <row r="1451">
      <c r="J1451" s="113"/>
    </row>
    <row r="1452">
      <c r="J1452" s="113"/>
    </row>
    <row r="1453">
      <c r="J1453" s="113"/>
    </row>
    <row r="1454">
      <c r="J1454" s="113"/>
    </row>
    <row r="1455">
      <c r="J1455" s="113"/>
    </row>
    <row r="1456">
      <c r="J1456" s="113"/>
    </row>
    <row r="1457">
      <c r="J1457" s="113"/>
    </row>
    <row r="1458">
      <c r="J1458" s="113"/>
    </row>
    <row r="1459">
      <c r="J1459" s="113"/>
    </row>
    <row r="1460">
      <c r="J1460" s="113"/>
    </row>
    <row r="1461">
      <c r="J1461" s="113"/>
    </row>
    <row r="1462">
      <c r="J1462" s="113"/>
    </row>
    <row r="1463">
      <c r="J1463" s="113"/>
    </row>
    <row r="1464">
      <c r="J1464" s="113"/>
    </row>
    <row r="1465">
      <c r="J1465" s="113"/>
    </row>
    <row r="1466">
      <c r="J1466" s="113"/>
    </row>
    <row r="1467">
      <c r="J1467" s="113"/>
    </row>
    <row r="1468">
      <c r="J1468" s="113"/>
    </row>
    <row r="1469">
      <c r="J1469" s="113"/>
    </row>
    <row r="1470">
      <c r="J1470" s="113"/>
    </row>
    <row r="1471">
      <c r="J1471" s="113"/>
    </row>
    <row r="1472">
      <c r="J1472" s="113"/>
    </row>
    <row r="1473">
      <c r="J1473" s="113"/>
    </row>
    <row r="1474">
      <c r="J1474" s="113"/>
    </row>
    <row r="1475">
      <c r="J1475" s="113"/>
    </row>
    <row r="1476">
      <c r="J1476" s="113"/>
    </row>
    <row r="1477">
      <c r="J1477" s="113"/>
    </row>
    <row r="1478">
      <c r="J1478" s="113"/>
    </row>
    <row r="1479">
      <c r="J1479" s="113"/>
    </row>
    <row r="1480">
      <c r="J1480" s="113"/>
    </row>
    <row r="1481">
      <c r="J1481" s="113"/>
    </row>
    <row r="1482">
      <c r="J1482" s="113"/>
    </row>
    <row r="1483">
      <c r="J1483" s="113"/>
    </row>
    <row r="1484">
      <c r="J1484" s="113"/>
    </row>
    <row r="1485">
      <c r="J1485" s="113"/>
    </row>
    <row r="1486">
      <c r="J1486" s="113"/>
    </row>
    <row r="1487">
      <c r="J1487" s="113"/>
    </row>
    <row r="1488">
      <c r="J1488" s="113"/>
    </row>
    <row r="1489">
      <c r="J1489" s="113"/>
    </row>
    <row r="1490">
      <c r="J1490" s="113"/>
    </row>
    <row r="1491">
      <c r="J1491" s="113"/>
    </row>
    <row r="1492">
      <c r="J1492" s="113"/>
    </row>
    <row r="1493">
      <c r="J1493" s="113"/>
    </row>
    <row r="1494">
      <c r="J1494" s="113"/>
    </row>
    <row r="1495">
      <c r="J1495" s="113"/>
    </row>
    <row r="1496">
      <c r="J1496" s="113"/>
    </row>
    <row r="1497">
      <c r="J1497" s="113"/>
    </row>
    <row r="1498">
      <c r="J1498" s="113"/>
    </row>
    <row r="1499">
      <c r="J1499" s="113"/>
    </row>
    <row r="1500">
      <c r="J1500" s="113"/>
    </row>
    <row r="1501">
      <c r="J1501" s="113"/>
    </row>
    <row r="1502">
      <c r="J1502" s="113"/>
    </row>
    <row r="1503">
      <c r="J1503" s="113"/>
    </row>
    <row r="1504">
      <c r="J1504" s="113"/>
    </row>
    <row r="1505">
      <c r="J1505" s="113"/>
    </row>
    <row r="1506">
      <c r="J1506" s="113"/>
    </row>
    <row r="1507">
      <c r="J1507" s="113"/>
    </row>
    <row r="1508">
      <c r="J1508" s="113"/>
    </row>
    <row r="1509">
      <c r="J1509" s="113"/>
    </row>
    <row r="1510">
      <c r="J1510" s="113"/>
    </row>
    <row r="1511">
      <c r="J1511" s="113"/>
    </row>
    <row r="1512">
      <c r="J1512" s="113"/>
    </row>
    <row r="1513">
      <c r="J1513" s="113"/>
    </row>
    <row r="1514">
      <c r="J1514" s="113"/>
    </row>
    <row r="1515">
      <c r="J1515" s="113"/>
    </row>
    <row r="1516">
      <c r="J1516" s="113"/>
    </row>
    <row r="1517">
      <c r="J1517" s="113"/>
    </row>
    <row r="1518">
      <c r="J1518" s="113"/>
    </row>
    <row r="1519">
      <c r="J1519" s="113"/>
    </row>
    <row r="1520">
      <c r="J1520" s="113"/>
    </row>
    <row r="1521">
      <c r="J1521" s="113"/>
    </row>
    <row r="1522">
      <c r="J1522" s="113"/>
    </row>
    <row r="1523">
      <c r="J1523" s="113"/>
    </row>
    <row r="1524">
      <c r="J1524" s="113"/>
    </row>
    <row r="1525">
      <c r="J1525" s="113"/>
    </row>
    <row r="1526">
      <c r="J1526" s="113"/>
    </row>
    <row r="1527">
      <c r="J1527" s="113"/>
    </row>
    <row r="1528">
      <c r="J1528" s="113"/>
    </row>
    <row r="1529">
      <c r="J1529" s="113"/>
    </row>
    <row r="1530">
      <c r="J1530" s="113"/>
    </row>
    <row r="1531">
      <c r="J1531" s="113"/>
    </row>
    <row r="1532">
      <c r="J1532" s="113"/>
    </row>
    <row r="1533">
      <c r="J1533" s="113"/>
    </row>
    <row r="1534">
      <c r="J1534" s="113"/>
    </row>
    <row r="1535">
      <c r="J1535" s="113"/>
    </row>
    <row r="1536">
      <c r="J1536" s="113"/>
    </row>
    <row r="1537">
      <c r="J1537" s="113"/>
    </row>
    <row r="1538">
      <c r="J1538" s="113"/>
    </row>
    <row r="1539">
      <c r="J1539" s="113"/>
    </row>
    <row r="1540">
      <c r="J1540" s="113"/>
    </row>
    <row r="1541">
      <c r="J1541" s="113"/>
    </row>
    <row r="1542">
      <c r="J1542" s="113"/>
    </row>
    <row r="1543">
      <c r="J1543" s="113"/>
    </row>
    <row r="1544">
      <c r="J1544" s="113"/>
    </row>
    <row r="1545">
      <c r="J1545" s="113"/>
    </row>
    <row r="1546">
      <c r="J1546" s="113"/>
    </row>
    <row r="1547">
      <c r="J1547" s="113"/>
    </row>
    <row r="1548">
      <c r="J1548" s="113"/>
    </row>
    <row r="1549">
      <c r="J1549" s="113"/>
    </row>
    <row r="1550">
      <c r="J1550" s="113"/>
    </row>
    <row r="1551">
      <c r="J1551" s="113"/>
    </row>
    <row r="1552">
      <c r="J1552" s="113"/>
    </row>
    <row r="1553">
      <c r="J1553" s="113"/>
    </row>
    <row r="1554">
      <c r="J1554" s="113"/>
    </row>
    <row r="1555">
      <c r="J1555" s="113"/>
    </row>
    <row r="1556">
      <c r="J1556" s="113"/>
    </row>
    <row r="1557">
      <c r="J1557" s="113"/>
    </row>
    <row r="1558">
      <c r="J1558" s="113"/>
    </row>
    <row r="1559">
      <c r="J1559" s="113"/>
    </row>
    <row r="1560">
      <c r="J1560" s="113"/>
    </row>
    <row r="1561">
      <c r="J1561" s="113"/>
    </row>
    <row r="1562">
      <c r="J1562" s="113"/>
    </row>
    <row r="1563">
      <c r="J1563" s="113"/>
    </row>
    <row r="1564">
      <c r="J1564" s="113"/>
    </row>
    <row r="1565">
      <c r="J1565" s="113"/>
    </row>
    <row r="1566">
      <c r="J1566" s="113"/>
    </row>
    <row r="1567">
      <c r="J1567" s="113"/>
    </row>
    <row r="1568">
      <c r="J1568" s="113"/>
    </row>
    <row r="1569">
      <c r="J1569" s="113"/>
    </row>
    <row r="1570">
      <c r="J1570" s="113"/>
    </row>
    <row r="1571">
      <c r="J1571" s="113"/>
    </row>
    <row r="1572">
      <c r="J1572" s="113"/>
    </row>
    <row r="1573">
      <c r="J1573" s="113"/>
    </row>
    <row r="1574">
      <c r="J1574" s="113"/>
    </row>
    <row r="1575">
      <c r="J1575" s="113"/>
    </row>
    <row r="1576">
      <c r="J1576" s="113"/>
    </row>
    <row r="1577">
      <c r="J1577" s="113"/>
    </row>
    <row r="1578">
      <c r="J1578" s="113"/>
    </row>
    <row r="1579">
      <c r="J1579" s="113"/>
    </row>
    <row r="1580">
      <c r="J1580" s="113"/>
    </row>
    <row r="1581">
      <c r="J1581" s="113"/>
    </row>
    <row r="1582">
      <c r="J1582" s="113"/>
    </row>
    <row r="1583">
      <c r="J1583" s="113"/>
    </row>
    <row r="1584">
      <c r="J1584" s="113"/>
    </row>
    <row r="1585">
      <c r="J1585" s="113"/>
    </row>
    <row r="1586">
      <c r="J1586" s="113"/>
    </row>
    <row r="1587">
      <c r="J1587" s="113"/>
    </row>
    <row r="1588">
      <c r="J1588" s="113"/>
    </row>
    <row r="1589">
      <c r="J1589" s="113"/>
    </row>
    <row r="1590">
      <c r="J1590" s="113"/>
    </row>
    <row r="1591">
      <c r="J1591" s="113"/>
    </row>
    <row r="1592">
      <c r="J1592" s="113"/>
    </row>
    <row r="1593">
      <c r="J1593" s="113"/>
    </row>
    <row r="1594">
      <c r="J1594" s="113"/>
    </row>
    <row r="1595">
      <c r="J1595" s="113"/>
    </row>
    <row r="1596">
      <c r="J1596" s="113"/>
    </row>
    <row r="1597">
      <c r="J1597" s="113"/>
    </row>
    <row r="1598">
      <c r="J1598" s="113"/>
    </row>
    <row r="1599">
      <c r="J1599" s="113"/>
    </row>
    <row r="1600">
      <c r="J1600" s="113"/>
    </row>
    <row r="1601">
      <c r="J1601" s="113"/>
    </row>
    <row r="1602">
      <c r="J1602" s="113"/>
    </row>
    <row r="1603">
      <c r="J1603" s="113"/>
    </row>
    <row r="1604">
      <c r="J1604" s="113"/>
    </row>
    <row r="1605">
      <c r="J1605" s="113"/>
    </row>
    <row r="1606">
      <c r="J1606" s="113"/>
    </row>
    <row r="1607">
      <c r="J1607" s="113"/>
    </row>
    <row r="1608">
      <c r="J1608" s="113"/>
    </row>
    <row r="1609">
      <c r="J1609" s="113"/>
    </row>
    <row r="1610">
      <c r="J1610" s="113"/>
    </row>
    <row r="1611">
      <c r="J1611" s="113"/>
    </row>
    <row r="1612">
      <c r="J1612" s="113"/>
    </row>
    <row r="1613">
      <c r="J1613" s="113"/>
    </row>
    <row r="1614">
      <c r="J1614" s="113"/>
    </row>
    <row r="1615">
      <c r="J1615" s="113"/>
    </row>
    <row r="1616">
      <c r="J1616" s="113"/>
    </row>
    <row r="1617">
      <c r="J1617" s="113"/>
    </row>
    <row r="1618">
      <c r="J1618" s="113"/>
    </row>
    <row r="1619">
      <c r="J1619" s="113"/>
    </row>
    <row r="1620">
      <c r="J1620" s="113"/>
    </row>
    <row r="1621">
      <c r="J1621" s="113"/>
    </row>
    <row r="1622">
      <c r="J1622" s="113"/>
    </row>
    <row r="1623">
      <c r="J1623" s="113"/>
    </row>
    <row r="1624">
      <c r="J1624" s="113"/>
    </row>
    <row r="1625">
      <c r="J1625" s="113"/>
    </row>
    <row r="1626">
      <c r="J1626" s="113"/>
    </row>
    <row r="1627">
      <c r="J1627" s="113"/>
    </row>
    <row r="1628">
      <c r="J1628" s="113"/>
    </row>
    <row r="1629">
      <c r="J1629" s="113"/>
    </row>
    <row r="1630">
      <c r="J1630" s="113"/>
    </row>
    <row r="1631">
      <c r="J1631" s="113"/>
    </row>
    <row r="1632">
      <c r="J1632" s="113"/>
    </row>
    <row r="1633">
      <c r="J1633" s="113"/>
    </row>
    <row r="1634">
      <c r="J1634" s="113"/>
    </row>
    <row r="1635">
      <c r="J1635" s="113"/>
    </row>
    <row r="1636">
      <c r="J1636" s="113"/>
    </row>
    <row r="1637">
      <c r="J1637" s="113"/>
    </row>
    <row r="1638">
      <c r="J1638" s="113"/>
    </row>
    <row r="1639">
      <c r="J1639" s="113"/>
    </row>
    <row r="1640">
      <c r="J1640" s="113"/>
    </row>
    <row r="1641">
      <c r="J1641" s="113"/>
    </row>
    <row r="1642">
      <c r="J1642" s="113"/>
    </row>
    <row r="1643">
      <c r="J1643" s="113"/>
    </row>
    <row r="1644">
      <c r="J1644" s="113"/>
    </row>
    <row r="1645">
      <c r="J1645" s="113"/>
    </row>
    <row r="1646">
      <c r="J1646" s="113"/>
    </row>
    <row r="1647">
      <c r="J1647" s="113"/>
    </row>
    <row r="1648">
      <c r="J1648" s="113"/>
    </row>
    <row r="1649">
      <c r="J1649" s="113"/>
    </row>
    <row r="1650">
      <c r="J1650" s="113"/>
    </row>
    <row r="1651">
      <c r="J1651" s="113"/>
    </row>
    <row r="1652">
      <c r="J1652" s="113"/>
    </row>
    <row r="1653">
      <c r="J1653" s="113"/>
    </row>
    <row r="1654">
      <c r="J1654" s="113"/>
    </row>
    <row r="1655">
      <c r="J1655" s="113"/>
    </row>
    <row r="1656">
      <c r="J1656" s="113"/>
    </row>
    <row r="1657">
      <c r="J1657" s="113"/>
    </row>
    <row r="1658">
      <c r="J1658" s="113"/>
    </row>
    <row r="1659">
      <c r="J1659" s="113"/>
    </row>
    <row r="1660">
      <c r="J1660" s="113"/>
    </row>
    <row r="1661">
      <c r="J1661" s="113"/>
    </row>
    <row r="1662">
      <c r="J1662" s="113"/>
    </row>
    <row r="1663">
      <c r="J1663" s="113"/>
    </row>
    <row r="1664">
      <c r="J1664" s="113"/>
    </row>
    <row r="1665">
      <c r="J1665" s="113"/>
    </row>
    <row r="1666">
      <c r="J1666" s="113"/>
    </row>
    <row r="1667">
      <c r="J1667" s="113"/>
    </row>
    <row r="1668">
      <c r="J1668" s="113"/>
    </row>
    <row r="1669">
      <c r="J1669" s="113"/>
    </row>
    <row r="1670">
      <c r="J1670" s="113"/>
    </row>
    <row r="1671">
      <c r="J1671" s="113"/>
    </row>
    <row r="1672">
      <c r="J1672" s="113"/>
    </row>
    <row r="1673">
      <c r="J1673" s="113"/>
    </row>
    <row r="1674">
      <c r="J1674" s="113"/>
    </row>
    <row r="1675">
      <c r="J1675" s="113"/>
    </row>
    <row r="1676">
      <c r="J1676" s="113"/>
    </row>
    <row r="1677">
      <c r="J1677" s="113"/>
    </row>
    <row r="1678">
      <c r="J1678" s="113"/>
    </row>
    <row r="1679">
      <c r="J1679" s="113"/>
    </row>
    <row r="1680">
      <c r="J1680" s="113"/>
    </row>
    <row r="1681">
      <c r="J1681" s="113"/>
    </row>
    <row r="1682">
      <c r="J1682" s="113"/>
    </row>
    <row r="1683">
      <c r="J1683" s="113"/>
    </row>
    <row r="1684">
      <c r="J1684" s="113"/>
    </row>
    <row r="1685">
      <c r="J1685" s="113"/>
    </row>
    <row r="1686">
      <c r="J1686" s="113"/>
    </row>
    <row r="1687">
      <c r="J1687" s="113"/>
    </row>
    <row r="1688">
      <c r="J1688" s="113"/>
    </row>
    <row r="1689">
      <c r="J1689" s="113"/>
    </row>
    <row r="1690">
      <c r="J1690" s="113"/>
    </row>
    <row r="1691">
      <c r="J1691" s="113"/>
    </row>
    <row r="1692">
      <c r="J1692" s="113"/>
    </row>
    <row r="1693">
      <c r="J1693" s="113"/>
    </row>
    <row r="1694">
      <c r="J1694" s="113"/>
    </row>
    <row r="1695">
      <c r="J1695" s="113"/>
    </row>
    <row r="1696">
      <c r="J1696" s="113"/>
    </row>
    <row r="1697">
      <c r="J1697" s="113"/>
    </row>
    <row r="1698">
      <c r="J1698" s="113"/>
    </row>
    <row r="1699">
      <c r="J1699" s="113"/>
    </row>
    <row r="1700">
      <c r="J1700" s="113"/>
    </row>
    <row r="1701">
      <c r="J1701" s="113"/>
    </row>
    <row r="1702">
      <c r="J1702" s="113"/>
    </row>
    <row r="1703">
      <c r="J1703" s="113"/>
    </row>
    <row r="1704">
      <c r="J1704" s="113"/>
    </row>
    <row r="1705">
      <c r="J1705" s="113"/>
    </row>
    <row r="1706">
      <c r="J1706" s="113"/>
    </row>
    <row r="1707">
      <c r="J1707" s="113"/>
    </row>
    <row r="1708">
      <c r="J1708" s="113"/>
    </row>
    <row r="1709">
      <c r="J1709" s="113"/>
    </row>
    <row r="1710">
      <c r="J1710" s="113"/>
    </row>
    <row r="1711">
      <c r="J1711" s="113"/>
    </row>
    <row r="1712">
      <c r="J1712" s="113"/>
    </row>
    <row r="1713">
      <c r="J1713" s="113"/>
    </row>
    <row r="1714">
      <c r="J1714" s="113"/>
    </row>
    <row r="1715">
      <c r="J1715" s="113"/>
    </row>
    <row r="1716">
      <c r="J1716" s="113"/>
    </row>
    <row r="1717">
      <c r="J1717" s="113"/>
    </row>
    <row r="1718">
      <c r="J1718" s="113"/>
    </row>
    <row r="1719">
      <c r="J1719" s="113"/>
    </row>
    <row r="1720">
      <c r="J1720" s="113"/>
    </row>
    <row r="1721">
      <c r="J1721" s="113"/>
    </row>
    <row r="1722">
      <c r="J1722" s="113"/>
    </row>
    <row r="1723">
      <c r="J1723" s="113"/>
    </row>
    <row r="1724">
      <c r="J1724" s="113"/>
    </row>
    <row r="1725">
      <c r="J1725" s="113"/>
    </row>
    <row r="1726">
      <c r="J1726" s="113"/>
    </row>
    <row r="1727">
      <c r="J1727" s="113"/>
    </row>
    <row r="1728">
      <c r="J1728" s="113"/>
    </row>
    <row r="1729">
      <c r="J1729" s="113"/>
    </row>
    <row r="1730">
      <c r="J1730" s="113"/>
    </row>
    <row r="1731">
      <c r="J1731" s="113"/>
    </row>
    <row r="1732">
      <c r="J1732" s="113"/>
    </row>
    <row r="1733">
      <c r="J1733" s="113"/>
    </row>
    <row r="1734">
      <c r="J1734" s="113"/>
    </row>
    <row r="1735">
      <c r="J1735" s="113"/>
    </row>
    <row r="1736">
      <c r="J1736" s="113"/>
    </row>
    <row r="1737">
      <c r="J1737" s="113"/>
    </row>
    <row r="1738">
      <c r="J1738" s="113"/>
    </row>
    <row r="1739">
      <c r="J1739" s="113"/>
    </row>
    <row r="1740">
      <c r="J1740" s="113"/>
    </row>
    <row r="1741">
      <c r="J1741" s="113"/>
    </row>
    <row r="1742">
      <c r="J1742" s="113"/>
    </row>
    <row r="1743">
      <c r="J1743" s="113"/>
    </row>
    <row r="1744">
      <c r="J1744" s="113"/>
    </row>
    <row r="1745">
      <c r="J1745" s="113"/>
    </row>
    <row r="1746">
      <c r="J1746" s="113"/>
    </row>
    <row r="1747">
      <c r="J1747" s="113"/>
    </row>
    <row r="1748">
      <c r="J1748" s="113"/>
    </row>
    <row r="1749">
      <c r="J1749" s="113"/>
    </row>
    <row r="1750">
      <c r="J1750" s="113"/>
    </row>
    <row r="1751">
      <c r="J1751" s="113"/>
    </row>
    <row r="1752">
      <c r="J1752" s="113"/>
    </row>
    <row r="1753">
      <c r="J1753" s="113"/>
    </row>
    <row r="1754">
      <c r="J1754" s="113"/>
    </row>
    <row r="1755">
      <c r="J1755" s="113"/>
    </row>
    <row r="1756">
      <c r="J1756" s="113"/>
    </row>
    <row r="1757">
      <c r="J1757" s="113"/>
    </row>
    <row r="1758">
      <c r="J1758" s="113"/>
    </row>
    <row r="1759">
      <c r="J1759" s="113"/>
    </row>
    <row r="1760">
      <c r="J1760" s="113"/>
    </row>
    <row r="1761">
      <c r="J1761" s="113"/>
    </row>
    <row r="1762">
      <c r="J1762" s="113"/>
    </row>
    <row r="1763">
      <c r="J1763" s="113"/>
    </row>
    <row r="1764">
      <c r="J1764" s="113"/>
    </row>
    <row r="1765">
      <c r="J1765" s="113"/>
    </row>
    <row r="1766">
      <c r="J1766" s="113"/>
    </row>
    <row r="1767">
      <c r="J1767" s="113"/>
    </row>
    <row r="1768">
      <c r="J1768" s="113"/>
    </row>
    <row r="1769">
      <c r="J1769" s="113"/>
    </row>
    <row r="1770">
      <c r="J1770" s="113"/>
    </row>
    <row r="1771">
      <c r="J1771" s="113"/>
    </row>
    <row r="1772">
      <c r="J1772" s="113"/>
    </row>
    <row r="1773">
      <c r="J1773" s="113"/>
    </row>
    <row r="1774">
      <c r="J1774" s="113"/>
    </row>
    <row r="1775">
      <c r="J1775" s="113"/>
    </row>
    <row r="1776">
      <c r="J1776" s="113"/>
    </row>
    <row r="1777">
      <c r="J1777" s="113"/>
    </row>
    <row r="1778">
      <c r="J1778" s="113"/>
    </row>
    <row r="1779">
      <c r="J1779" s="113"/>
    </row>
    <row r="1780">
      <c r="J1780" s="113"/>
    </row>
    <row r="1781">
      <c r="J1781" s="113"/>
    </row>
    <row r="1782">
      <c r="J1782" s="113"/>
    </row>
    <row r="1783">
      <c r="J1783" s="113"/>
    </row>
    <row r="1784">
      <c r="J1784" s="113"/>
    </row>
    <row r="1785">
      <c r="J1785" s="113"/>
    </row>
    <row r="1786">
      <c r="J1786" s="113"/>
    </row>
    <row r="1787">
      <c r="J1787" s="113"/>
    </row>
    <row r="1788">
      <c r="J1788" s="113"/>
    </row>
    <row r="1789">
      <c r="J1789" s="113"/>
    </row>
    <row r="1790">
      <c r="J1790" s="113"/>
    </row>
    <row r="1791">
      <c r="J1791" s="113"/>
    </row>
    <row r="1792">
      <c r="J1792" s="113"/>
    </row>
    <row r="1793">
      <c r="J1793" s="113"/>
    </row>
    <row r="1794">
      <c r="J1794" s="113"/>
    </row>
    <row r="1795">
      <c r="J1795" s="113"/>
    </row>
    <row r="1796">
      <c r="J1796" s="113"/>
    </row>
    <row r="1797">
      <c r="J1797" s="113"/>
    </row>
    <row r="1798">
      <c r="J1798" s="113"/>
    </row>
    <row r="1799">
      <c r="J1799" s="113"/>
    </row>
    <row r="1800">
      <c r="J1800" s="113"/>
    </row>
    <row r="1801">
      <c r="J1801" s="113"/>
    </row>
    <row r="1802">
      <c r="J1802" s="113"/>
    </row>
    <row r="1803">
      <c r="J1803" s="113"/>
    </row>
    <row r="1804">
      <c r="J1804" s="113"/>
    </row>
    <row r="1805">
      <c r="J1805" s="113"/>
    </row>
    <row r="1806">
      <c r="J1806" s="113"/>
    </row>
    <row r="1807">
      <c r="J1807" s="113"/>
    </row>
    <row r="1808">
      <c r="J1808" s="113"/>
    </row>
    <row r="1809">
      <c r="J1809" s="113"/>
    </row>
    <row r="1810">
      <c r="J1810" s="113"/>
    </row>
    <row r="1811">
      <c r="J1811" s="113"/>
    </row>
    <row r="1812">
      <c r="J1812" s="113"/>
    </row>
    <row r="1813">
      <c r="J1813" s="113"/>
    </row>
    <row r="1814">
      <c r="J1814" s="113"/>
    </row>
    <row r="1815">
      <c r="J1815" s="113"/>
    </row>
    <row r="1816">
      <c r="J1816" s="113"/>
    </row>
    <row r="1817">
      <c r="J1817" s="113"/>
    </row>
    <row r="1818">
      <c r="J1818" s="113"/>
    </row>
    <row r="1819">
      <c r="J1819" s="113"/>
    </row>
    <row r="1820">
      <c r="J1820" s="113"/>
    </row>
    <row r="1821">
      <c r="J1821" s="113"/>
    </row>
    <row r="1822">
      <c r="J1822" s="113"/>
    </row>
    <row r="1823">
      <c r="J1823" s="113"/>
    </row>
    <row r="1824">
      <c r="J1824" s="113"/>
    </row>
    <row r="1825">
      <c r="J1825" s="113"/>
    </row>
    <row r="1826">
      <c r="J1826" s="113"/>
    </row>
    <row r="1827">
      <c r="J1827" s="113"/>
    </row>
    <row r="1828">
      <c r="J1828" s="113"/>
    </row>
    <row r="1829">
      <c r="J1829" s="113"/>
    </row>
    <row r="1830">
      <c r="J1830" s="113"/>
    </row>
    <row r="1831">
      <c r="J1831" s="113"/>
    </row>
    <row r="1832">
      <c r="J1832" s="113"/>
    </row>
    <row r="1833">
      <c r="J1833" s="113"/>
    </row>
    <row r="1834">
      <c r="J1834" s="113"/>
    </row>
    <row r="1835">
      <c r="J1835" s="113"/>
    </row>
    <row r="1836">
      <c r="J1836" s="113"/>
    </row>
    <row r="1837">
      <c r="J1837" s="113"/>
    </row>
    <row r="1838">
      <c r="J1838" s="113"/>
    </row>
    <row r="1839">
      <c r="J1839" s="113"/>
    </row>
    <row r="1840">
      <c r="J1840" s="113"/>
    </row>
    <row r="1841">
      <c r="J1841" s="113"/>
    </row>
    <row r="1842">
      <c r="J1842" s="113"/>
    </row>
    <row r="1843">
      <c r="J1843" s="113"/>
    </row>
    <row r="1844">
      <c r="J1844" s="113"/>
    </row>
    <row r="1845">
      <c r="J1845" s="113"/>
    </row>
    <row r="1846">
      <c r="J1846" s="113"/>
    </row>
    <row r="1847">
      <c r="J1847" s="113"/>
    </row>
    <row r="1848">
      <c r="J1848" s="113"/>
    </row>
    <row r="1849">
      <c r="J1849" s="113"/>
    </row>
    <row r="1850">
      <c r="J1850" s="113"/>
    </row>
    <row r="1851">
      <c r="J1851" s="113"/>
    </row>
    <row r="1852">
      <c r="J1852" s="113"/>
    </row>
    <row r="1853">
      <c r="J1853" s="113"/>
    </row>
    <row r="1854">
      <c r="J1854" s="113"/>
    </row>
    <row r="1855">
      <c r="J1855" s="113"/>
    </row>
    <row r="1856">
      <c r="J1856" s="113"/>
    </row>
    <row r="1857">
      <c r="J1857" s="113"/>
    </row>
    <row r="1858">
      <c r="J1858" s="113"/>
    </row>
    <row r="1859">
      <c r="J1859" s="113"/>
    </row>
    <row r="1860">
      <c r="J1860" s="113"/>
    </row>
    <row r="1861">
      <c r="J1861" s="113"/>
    </row>
    <row r="1862">
      <c r="J1862" s="113"/>
    </row>
    <row r="1863">
      <c r="J1863" s="113"/>
    </row>
    <row r="1864">
      <c r="J1864" s="113"/>
    </row>
    <row r="1865">
      <c r="J1865" s="113"/>
    </row>
    <row r="1866">
      <c r="J1866" s="113"/>
    </row>
    <row r="1867">
      <c r="J1867" s="113"/>
    </row>
    <row r="1868">
      <c r="J1868" s="113"/>
    </row>
    <row r="1869">
      <c r="J1869" s="113"/>
    </row>
    <row r="1870">
      <c r="J1870" s="113"/>
    </row>
    <row r="1871">
      <c r="J1871" s="113"/>
    </row>
    <row r="1872">
      <c r="J1872" s="113"/>
    </row>
    <row r="1873">
      <c r="J1873" s="113"/>
    </row>
    <row r="1874">
      <c r="J1874" s="113"/>
    </row>
    <row r="1875">
      <c r="J1875" s="113"/>
    </row>
    <row r="1876">
      <c r="J1876" s="113"/>
    </row>
    <row r="1877">
      <c r="J1877" s="113"/>
    </row>
    <row r="1878">
      <c r="J1878" s="113"/>
    </row>
    <row r="1879">
      <c r="J1879" s="113"/>
    </row>
    <row r="1880">
      <c r="J1880" s="113"/>
    </row>
    <row r="1881">
      <c r="J1881" s="113"/>
    </row>
    <row r="1882">
      <c r="J1882" s="113"/>
    </row>
    <row r="1883">
      <c r="J1883" s="113"/>
    </row>
    <row r="1884">
      <c r="J1884" s="113"/>
    </row>
    <row r="1885">
      <c r="J1885" s="113"/>
    </row>
    <row r="1886">
      <c r="J1886" s="113"/>
    </row>
    <row r="1887">
      <c r="J1887" s="113"/>
    </row>
    <row r="1888">
      <c r="J1888" s="113"/>
    </row>
    <row r="1889">
      <c r="J1889" s="113"/>
    </row>
    <row r="1890">
      <c r="J1890" s="113"/>
    </row>
    <row r="1891">
      <c r="J1891" s="113"/>
    </row>
    <row r="1892">
      <c r="J1892" s="113"/>
    </row>
    <row r="1893">
      <c r="J1893" s="113"/>
    </row>
    <row r="1894">
      <c r="J1894" s="113"/>
    </row>
    <row r="1895">
      <c r="J1895" s="113"/>
    </row>
    <row r="1896">
      <c r="J1896" s="113"/>
    </row>
    <row r="1897">
      <c r="J1897" s="113"/>
    </row>
    <row r="1898">
      <c r="J1898" s="113"/>
    </row>
    <row r="1899">
      <c r="J1899" s="113"/>
    </row>
    <row r="1900">
      <c r="J1900" s="113"/>
    </row>
    <row r="1901">
      <c r="J1901" s="113"/>
    </row>
    <row r="1902">
      <c r="J1902" s="113"/>
    </row>
    <row r="1903">
      <c r="J1903" s="113"/>
    </row>
    <row r="1904">
      <c r="J1904" s="113"/>
    </row>
    <row r="1905">
      <c r="J1905" s="113"/>
    </row>
    <row r="1906">
      <c r="J1906" s="113"/>
    </row>
    <row r="1907">
      <c r="J1907" s="113"/>
    </row>
    <row r="1908">
      <c r="J1908" s="113"/>
    </row>
    <row r="1909">
      <c r="J1909" s="113"/>
    </row>
    <row r="1910">
      <c r="J1910" s="113"/>
    </row>
    <row r="1911">
      <c r="J1911" s="113"/>
    </row>
    <row r="1912">
      <c r="J1912" s="113"/>
    </row>
    <row r="1913">
      <c r="J1913" s="113"/>
    </row>
    <row r="1914">
      <c r="J1914" s="113"/>
    </row>
    <row r="1915">
      <c r="J1915" s="113"/>
    </row>
    <row r="1916">
      <c r="J1916" s="113"/>
    </row>
    <row r="1917">
      <c r="J1917" s="113"/>
    </row>
    <row r="1918">
      <c r="J1918" s="113"/>
    </row>
    <row r="1919">
      <c r="J1919" s="113"/>
    </row>
    <row r="1920">
      <c r="J1920" s="113"/>
    </row>
    <row r="1921">
      <c r="J1921" s="113"/>
    </row>
    <row r="1922">
      <c r="J1922" s="113"/>
    </row>
    <row r="1923">
      <c r="J1923" s="113"/>
    </row>
    <row r="1924">
      <c r="J1924" s="113"/>
    </row>
    <row r="1925">
      <c r="J1925" s="113"/>
    </row>
    <row r="1926">
      <c r="J1926" s="113"/>
    </row>
    <row r="1927">
      <c r="J1927" s="113"/>
    </row>
    <row r="1928">
      <c r="J1928" s="113"/>
    </row>
    <row r="1929">
      <c r="J1929" s="113"/>
    </row>
    <row r="1930">
      <c r="J1930" s="113"/>
    </row>
    <row r="1931">
      <c r="J1931" s="113"/>
    </row>
    <row r="1932">
      <c r="J1932" s="113"/>
    </row>
    <row r="1933">
      <c r="J1933" s="113"/>
    </row>
    <row r="1934">
      <c r="J1934" s="113"/>
    </row>
    <row r="1935">
      <c r="J1935" s="113"/>
    </row>
    <row r="1936">
      <c r="J1936" s="113"/>
    </row>
    <row r="1937">
      <c r="J1937" s="113"/>
    </row>
    <row r="1938">
      <c r="J1938" s="113"/>
    </row>
    <row r="1939">
      <c r="J1939" s="113"/>
    </row>
    <row r="1940">
      <c r="J1940" s="113"/>
    </row>
    <row r="1941">
      <c r="J1941" s="113"/>
    </row>
    <row r="1942">
      <c r="J1942" s="113"/>
    </row>
    <row r="1943">
      <c r="J1943" s="113"/>
    </row>
    <row r="1944">
      <c r="J1944" s="113"/>
    </row>
    <row r="1945">
      <c r="J1945" s="113"/>
    </row>
    <row r="1946">
      <c r="J1946" s="113"/>
    </row>
    <row r="1947">
      <c r="J1947" s="113"/>
    </row>
    <row r="1948">
      <c r="J1948" s="113"/>
    </row>
    <row r="1949">
      <c r="J1949" s="113"/>
    </row>
    <row r="1950">
      <c r="J1950" s="113"/>
    </row>
    <row r="1951">
      <c r="J1951" s="113"/>
    </row>
    <row r="1952">
      <c r="J1952" s="113"/>
    </row>
    <row r="1953">
      <c r="J1953" s="113"/>
    </row>
    <row r="1954">
      <c r="J1954" s="113"/>
    </row>
    <row r="1955">
      <c r="J1955" s="113"/>
    </row>
    <row r="1956">
      <c r="J1956" s="113"/>
    </row>
    <row r="1957">
      <c r="J1957" s="113"/>
    </row>
    <row r="1958">
      <c r="J1958" s="113"/>
    </row>
    <row r="1959">
      <c r="J1959" s="113"/>
    </row>
    <row r="1960">
      <c r="J1960" s="113"/>
    </row>
    <row r="1961">
      <c r="J1961" s="113"/>
    </row>
    <row r="1962">
      <c r="J1962" s="113"/>
    </row>
    <row r="1963">
      <c r="J1963" s="113"/>
    </row>
    <row r="1964">
      <c r="J1964" s="113"/>
    </row>
    <row r="1965">
      <c r="J1965" s="113"/>
    </row>
    <row r="1966">
      <c r="J1966" s="113"/>
    </row>
    <row r="1967">
      <c r="J1967" s="113"/>
    </row>
    <row r="1968">
      <c r="J1968" s="113"/>
    </row>
    <row r="1969">
      <c r="J1969" s="113"/>
    </row>
    <row r="1970">
      <c r="J1970" s="113"/>
    </row>
    <row r="1971">
      <c r="J1971" s="113"/>
    </row>
    <row r="1972">
      <c r="J1972" s="113"/>
    </row>
    <row r="1973">
      <c r="J1973" s="113"/>
    </row>
    <row r="1974">
      <c r="J1974" s="113"/>
    </row>
    <row r="1975">
      <c r="J1975" s="113"/>
    </row>
    <row r="1976">
      <c r="J1976" s="113"/>
    </row>
    <row r="1977">
      <c r="J1977" s="113"/>
    </row>
    <row r="1978">
      <c r="J1978" s="113"/>
    </row>
    <row r="1979">
      <c r="J1979" s="113"/>
    </row>
    <row r="1980">
      <c r="J1980" s="113"/>
    </row>
    <row r="1981">
      <c r="J1981" s="113"/>
    </row>
    <row r="1982">
      <c r="J1982" s="113"/>
    </row>
    <row r="1983">
      <c r="J1983" s="113"/>
    </row>
    <row r="1984">
      <c r="J1984" s="113"/>
    </row>
    <row r="1985">
      <c r="J1985" s="113"/>
    </row>
    <row r="1986">
      <c r="J1986" s="113"/>
    </row>
    <row r="1987">
      <c r="J1987" s="113"/>
    </row>
    <row r="1988">
      <c r="J1988" s="113"/>
    </row>
    <row r="1989">
      <c r="J1989" s="113"/>
    </row>
    <row r="1990">
      <c r="J1990" s="113"/>
    </row>
    <row r="1991">
      <c r="J1991" s="113"/>
    </row>
    <row r="1992">
      <c r="J1992" s="113"/>
    </row>
    <row r="1993">
      <c r="J1993" s="113"/>
    </row>
    <row r="1994">
      <c r="J1994" s="113"/>
    </row>
    <row r="1995">
      <c r="J1995" s="113"/>
    </row>
    <row r="1996">
      <c r="J1996" s="113"/>
    </row>
    <row r="1997">
      <c r="J1997" s="113"/>
    </row>
    <row r="1998">
      <c r="J1998" s="113"/>
    </row>
    <row r="1999">
      <c r="J1999" s="113"/>
    </row>
    <row r="2000">
      <c r="J2000" s="113"/>
    </row>
    <row r="2001">
      <c r="J2001" s="113"/>
    </row>
    <row r="2002">
      <c r="J2002" s="113"/>
    </row>
    <row r="2003">
      <c r="J2003" s="113"/>
    </row>
    <row r="2004">
      <c r="J2004" s="113"/>
    </row>
    <row r="2005">
      <c r="J2005" s="113"/>
    </row>
    <row r="2006">
      <c r="J2006" s="113"/>
    </row>
    <row r="2007">
      <c r="J2007" s="113"/>
    </row>
    <row r="2008">
      <c r="J2008" s="113"/>
    </row>
    <row r="2009">
      <c r="J2009" s="113"/>
    </row>
    <row r="2010">
      <c r="J2010" s="113"/>
    </row>
    <row r="2011">
      <c r="J2011" s="113"/>
    </row>
    <row r="2012">
      <c r="J2012" s="113"/>
    </row>
    <row r="2013">
      <c r="J2013" s="113"/>
    </row>
    <row r="2014">
      <c r="J2014" s="113"/>
    </row>
    <row r="2015">
      <c r="J2015" s="113"/>
    </row>
    <row r="2016">
      <c r="J2016" s="113"/>
    </row>
    <row r="2017">
      <c r="J2017" s="113"/>
    </row>
    <row r="2018">
      <c r="J2018" s="113"/>
    </row>
    <row r="2019">
      <c r="J2019" s="113"/>
    </row>
    <row r="2020">
      <c r="J2020" s="113"/>
    </row>
    <row r="2021">
      <c r="J2021" s="113"/>
    </row>
    <row r="2022">
      <c r="J2022" s="113"/>
    </row>
    <row r="2023">
      <c r="J2023" s="113"/>
    </row>
    <row r="2024">
      <c r="J2024" s="113"/>
    </row>
    <row r="2025">
      <c r="J2025" s="113"/>
    </row>
    <row r="2026">
      <c r="J2026" s="113"/>
    </row>
    <row r="2027">
      <c r="J2027" s="113"/>
    </row>
    <row r="2028">
      <c r="J2028" s="113"/>
    </row>
    <row r="2029">
      <c r="J2029" s="113"/>
    </row>
    <row r="2030">
      <c r="J2030" s="113"/>
    </row>
    <row r="2031">
      <c r="J2031" s="113"/>
    </row>
    <row r="2032">
      <c r="J2032" s="113"/>
    </row>
    <row r="2033">
      <c r="J2033" s="113"/>
    </row>
    <row r="2034">
      <c r="J2034" s="113"/>
    </row>
    <row r="2035">
      <c r="J2035" s="113"/>
    </row>
    <row r="2036">
      <c r="J2036" s="113"/>
    </row>
    <row r="2037">
      <c r="J2037" s="113"/>
    </row>
    <row r="2038">
      <c r="J2038" s="113"/>
    </row>
    <row r="2039">
      <c r="J2039" s="113"/>
    </row>
    <row r="2040">
      <c r="J2040" s="113"/>
    </row>
    <row r="2041">
      <c r="J2041" s="113"/>
    </row>
    <row r="2042">
      <c r="J2042" s="113"/>
    </row>
    <row r="2043">
      <c r="J2043" s="113"/>
    </row>
    <row r="2044">
      <c r="J2044" s="113"/>
    </row>
    <row r="2045">
      <c r="J2045" s="113"/>
    </row>
    <row r="2046">
      <c r="J2046" s="113"/>
    </row>
    <row r="2047">
      <c r="J2047" s="113"/>
    </row>
    <row r="2048">
      <c r="J2048" s="113"/>
    </row>
    <row r="2049">
      <c r="J2049" s="113"/>
    </row>
    <row r="2050">
      <c r="J2050" s="113"/>
    </row>
    <row r="2051">
      <c r="J2051" s="113"/>
    </row>
    <row r="2052">
      <c r="J2052" s="113"/>
    </row>
    <row r="2053">
      <c r="J2053" s="113"/>
    </row>
    <row r="2054">
      <c r="J2054" s="113"/>
    </row>
    <row r="2055">
      <c r="J2055" s="113"/>
    </row>
    <row r="2056">
      <c r="J2056" s="113"/>
    </row>
    <row r="2057">
      <c r="J2057" s="113"/>
    </row>
    <row r="2058">
      <c r="J2058" s="113"/>
    </row>
    <row r="2059">
      <c r="J2059" s="113"/>
    </row>
    <row r="2060">
      <c r="J2060" s="113"/>
    </row>
    <row r="2061">
      <c r="J2061" s="113"/>
    </row>
    <row r="2062">
      <c r="J2062" s="113"/>
    </row>
    <row r="2063">
      <c r="J2063" s="113"/>
    </row>
    <row r="2064">
      <c r="J2064" s="113"/>
    </row>
    <row r="2065">
      <c r="J2065" s="113"/>
    </row>
    <row r="2066">
      <c r="J2066" s="113"/>
    </row>
    <row r="2067">
      <c r="J2067" s="113"/>
    </row>
    <row r="2068">
      <c r="J2068" s="113"/>
    </row>
    <row r="2069">
      <c r="J2069" s="113"/>
    </row>
    <row r="2070">
      <c r="J2070" s="113"/>
    </row>
    <row r="2071">
      <c r="J2071" s="113"/>
    </row>
    <row r="2072">
      <c r="J2072" s="113"/>
    </row>
    <row r="2073">
      <c r="J2073" s="113"/>
    </row>
    <row r="2074">
      <c r="J2074" s="113"/>
    </row>
    <row r="2075">
      <c r="J2075" s="113"/>
    </row>
    <row r="2076">
      <c r="J2076" s="113"/>
    </row>
    <row r="2077">
      <c r="J2077" s="113"/>
    </row>
    <row r="2078">
      <c r="J2078" s="113"/>
    </row>
    <row r="2079">
      <c r="J2079" s="113"/>
    </row>
    <row r="2080">
      <c r="J2080" s="113"/>
    </row>
    <row r="2081">
      <c r="J2081" s="113"/>
    </row>
    <row r="2082">
      <c r="J2082" s="113"/>
    </row>
    <row r="2083">
      <c r="J2083" s="113"/>
    </row>
    <row r="2084">
      <c r="J2084" s="113"/>
    </row>
    <row r="2085">
      <c r="J2085" s="113"/>
    </row>
    <row r="2086">
      <c r="J2086" s="113"/>
    </row>
    <row r="2087">
      <c r="J2087" s="113"/>
    </row>
    <row r="2088">
      <c r="J2088" s="113"/>
    </row>
    <row r="2089">
      <c r="J2089" s="113"/>
    </row>
    <row r="2090">
      <c r="J2090" s="113"/>
    </row>
    <row r="2091">
      <c r="J2091" s="113"/>
    </row>
    <row r="2092">
      <c r="J2092" s="113"/>
    </row>
    <row r="2093">
      <c r="J2093" s="113"/>
    </row>
    <row r="2094">
      <c r="J2094" s="113"/>
    </row>
    <row r="2095">
      <c r="J2095" s="113"/>
    </row>
    <row r="2096">
      <c r="J2096" s="113"/>
    </row>
    <row r="2097">
      <c r="J2097" s="113"/>
    </row>
    <row r="2098">
      <c r="J2098" s="113"/>
    </row>
    <row r="2099">
      <c r="J2099" s="113"/>
    </row>
    <row r="2100">
      <c r="J2100" s="113"/>
    </row>
    <row r="2101">
      <c r="J2101" s="113"/>
    </row>
    <row r="2102">
      <c r="J2102" s="113"/>
    </row>
    <row r="2103">
      <c r="J2103" s="113"/>
    </row>
    <row r="2104">
      <c r="J2104" s="113"/>
    </row>
    <row r="2105">
      <c r="J2105" s="113"/>
    </row>
    <row r="2106">
      <c r="J2106" s="113"/>
    </row>
    <row r="2107">
      <c r="J2107" s="113"/>
    </row>
    <row r="2108">
      <c r="J2108" s="113"/>
    </row>
    <row r="2109">
      <c r="J2109" s="113"/>
    </row>
    <row r="2110">
      <c r="J2110" s="113"/>
    </row>
    <row r="2111">
      <c r="J2111" s="113"/>
    </row>
    <row r="2112">
      <c r="J2112" s="113"/>
    </row>
    <row r="2113">
      <c r="J2113" s="113"/>
    </row>
    <row r="2114">
      <c r="J2114" s="113"/>
    </row>
    <row r="2115">
      <c r="J2115" s="113"/>
    </row>
    <row r="2116">
      <c r="J2116" s="113"/>
    </row>
    <row r="2117">
      <c r="J2117" s="113"/>
    </row>
    <row r="2118">
      <c r="J2118" s="113"/>
    </row>
    <row r="2119">
      <c r="J2119" s="113"/>
    </row>
    <row r="2120">
      <c r="J2120" s="113"/>
    </row>
    <row r="2121">
      <c r="J2121" s="113"/>
    </row>
    <row r="2122">
      <c r="J2122" s="113"/>
    </row>
    <row r="2123">
      <c r="J2123" s="113"/>
    </row>
    <row r="2124">
      <c r="J2124" s="113"/>
    </row>
    <row r="2125">
      <c r="J2125" s="113"/>
    </row>
    <row r="2126">
      <c r="J2126" s="113"/>
    </row>
    <row r="2127">
      <c r="J2127" s="113"/>
    </row>
    <row r="2128">
      <c r="J2128" s="113"/>
    </row>
    <row r="2129">
      <c r="J2129" s="113"/>
    </row>
    <row r="2130">
      <c r="J2130" s="113"/>
    </row>
    <row r="2131">
      <c r="J2131" s="113"/>
    </row>
    <row r="2132">
      <c r="J2132" s="113"/>
    </row>
    <row r="2133">
      <c r="J2133" s="113"/>
    </row>
    <row r="2134">
      <c r="J2134" s="113"/>
    </row>
    <row r="2135">
      <c r="J2135" s="113"/>
    </row>
    <row r="2136">
      <c r="J2136" s="113"/>
    </row>
    <row r="2137">
      <c r="J2137" s="113"/>
    </row>
    <row r="2138">
      <c r="J2138" s="113"/>
    </row>
    <row r="2139">
      <c r="J2139" s="113"/>
    </row>
    <row r="2140">
      <c r="J2140" s="113"/>
    </row>
    <row r="2141">
      <c r="J2141" s="113"/>
    </row>
    <row r="2142">
      <c r="J2142" s="113"/>
    </row>
    <row r="2143">
      <c r="J2143" s="113"/>
    </row>
    <row r="2144">
      <c r="J2144" s="113"/>
    </row>
    <row r="2145">
      <c r="J2145" s="113"/>
    </row>
    <row r="2146">
      <c r="J2146" s="113"/>
    </row>
    <row r="2147">
      <c r="J2147" s="113"/>
    </row>
    <row r="2148">
      <c r="J2148" s="113"/>
    </row>
    <row r="2149">
      <c r="J2149" s="113"/>
    </row>
    <row r="2150">
      <c r="J2150" s="113"/>
    </row>
    <row r="2151">
      <c r="J2151" s="113"/>
    </row>
    <row r="2152">
      <c r="J2152" s="113"/>
    </row>
    <row r="2153">
      <c r="J2153" s="113"/>
    </row>
    <row r="2154">
      <c r="J2154" s="113"/>
    </row>
    <row r="2155">
      <c r="J2155" s="113"/>
    </row>
    <row r="2156">
      <c r="J2156" s="113"/>
    </row>
    <row r="2157">
      <c r="J2157" s="113"/>
    </row>
    <row r="2158">
      <c r="J2158" s="113"/>
    </row>
    <row r="2159">
      <c r="J2159" s="113"/>
    </row>
    <row r="2160">
      <c r="J2160" s="113"/>
    </row>
    <row r="2161">
      <c r="J2161" s="113"/>
    </row>
    <row r="2162">
      <c r="J2162" s="113"/>
    </row>
    <row r="2163">
      <c r="J2163" s="113"/>
    </row>
    <row r="2164">
      <c r="J2164" s="113"/>
    </row>
    <row r="2165">
      <c r="J2165" s="113"/>
    </row>
    <row r="2166">
      <c r="J2166" s="113"/>
    </row>
    <row r="2167">
      <c r="J2167" s="113"/>
    </row>
    <row r="2168">
      <c r="J2168" s="113"/>
    </row>
    <row r="2169">
      <c r="J2169" s="113"/>
    </row>
    <row r="2170">
      <c r="J2170" s="113"/>
    </row>
    <row r="2171">
      <c r="J2171" s="113"/>
    </row>
    <row r="2172">
      <c r="J2172" s="113"/>
    </row>
    <row r="2173">
      <c r="J2173" s="113"/>
    </row>
    <row r="2174">
      <c r="J2174" s="113"/>
    </row>
    <row r="2175">
      <c r="J2175" s="113"/>
    </row>
    <row r="2176">
      <c r="J2176" s="113"/>
    </row>
    <row r="2177">
      <c r="J2177" s="113"/>
    </row>
    <row r="2178">
      <c r="J2178" s="113"/>
    </row>
    <row r="2179">
      <c r="J2179" s="113"/>
    </row>
    <row r="2180">
      <c r="J2180" s="113"/>
    </row>
    <row r="2181">
      <c r="J2181" s="113"/>
    </row>
    <row r="2182">
      <c r="J2182" s="113"/>
    </row>
    <row r="2183">
      <c r="J2183" s="113"/>
    </row>
    <row r="2184">
      <c r="J2184" s="113"/>
    </row>
    <row r="2185">
      <c r="J2185" s="113"/>
    </row>
    <row r="2186">
      <c r="J2186" s="113"/>
    </row>
    <row r="2187">
      <c r="J2187" s="113"/>
    </row>
    <row r="2188">
      <c r="J2188" s="113"/>
    </row>
    <row r="2189">
      <c r="J2189" s="113"/>
    </row>
    <row r="2190">
      <c r="J2190" s="113"/>
    </row>
    <row r="2191">
      <c r="J2191" s="113"/>
    </row>
    <row r="2192">
      <c r="J2192" s="113"/>
    </row>
    <row r="2193">
      <c r="J2193" s="113"/>
    </row>
    <row r="2194">
      <c r="J2194" s="113"/>
    </row>
    <row r="2195">
      <c r="J2195" s="113"/>
    </row>
    <row r="2196">
      <c r="J2196" s="113"/>
    </row>
    <row r="2197">
      <c r="J2197" s="113"/>
    </row>
    <row r="2198">
      <c r="J2198" s="113"/>
    </row>
    <row r="2199">
      <c r="J2199" s="113"/>
    </row>
    <row r="2200">
      <c r="J2200" s="113"/>
    </row>
    <row r="2201">
      <c r="J2201" s="113"/>
    </row>
    <row r="2202">
      <c r="J2202" s="113"/>
    </row>
    <row r="2203">
      <c r="J2203" s="113"/>
    </row>
    <row r="2204">
      <c r="J2204" s="113"/>
    </row>
    <row r="2205">
      <c r="J2205" s="113"/>
    </row>
    <row r="2206">
      <c r="J2206" s="113"/>
    </row>
    <row r="2207">
      <c r="J2207" s="113"/>
    </row>
    <row r="2208">
      <c r="J2208" s="113"/>
    </row>
    <row r="2209">
      <c r="J2209" s="113"/>
    </row>
    <row r="2210">
      <c r="J2210" s="113"/>
    </row>
    <row r="2211">
      <c r="J2211" s="113"/>
    </row>
    <row r="2212">
      <c r="J2212" s="113"/>
    </row>
    <row r="2213">
      <c r="J2213" s="113"/>
    </row>
    <row r="2214">
      <c r="J2214" s="113"/>
    </row>
    <row r="2215">
      <c r="J2215" s="113"/>
    </row>
    <row r="2216">
      <c r="J2216" s="113"/>
    </row>
    <row r="2217">
      <c r="J2217" s="113"/>
    </row>
    <row r="2218">
      <c r="J2218" s="113"/>
    </row>
    <row r="2219">
      <c r="J2219" s="113"/>
    </row>
    <row r="2220">
      <c r="J2220" s="113"/>
    </row>
    <row r="2221">
      <c r="J2221" s="113"/>
    </row>
    <row r="2222">
      <c r="J2222" s="113"/>
    </row>
    <row r="2223">
      <c r="J2223" s="113"/>
    </row>
    <row r="2224">
      <c r="J2224" s="113"/>
    </row>
    <row r="2225">
      <c r="J2225" s="113"/>
    </row>
    <row r="2226">
      <c r="J2226" s="113"/>
    </row>
    <row r="2227">
      <c r="J2227" s="113"/>
    </row>
    <row r="2228">
      <c r="J2228" s="113"/>
    </row>
    <row r="2229">
      <c r="J2229" s="113"/>
    </row>
    <row r="2230">
      <c r="J2230" s="113"/>
    </row>
    <row r="2231">
      <c r="J2231" s="113"/>
    </row>
    <row r="2232">
      <c r="J2232" s="113"/>
    </row>
    <row r="2233">
      <c r="J2233" s="113"/>
    </row>
    <row r="2234">
      <c r="J2234" s="113"/>
    </row>
    <row r="2235">
      <c r="J2235" s="113"/>
    </row>
    <row r="2236">
      <c r="J2236" s="113"/>
    </row>
    <row r="2237">
      <c r="J2237" s="113"/>
    </row>
    <row r="2238">
      <c r="J2238" s="113"/>
    </row>
    <row r="2239">
      <c r="J2239" s="113"/>
    </row>
    <row r="2240">
      <c r="J2240" s="113"/>
    </row>
    <row r="2241">
      <c r="J2241" s="113"/>
    </row>
    <row r="2242">
      <c r="J2242" s="113"/>
    </row>
    <row r="2243">
      <c r="J2243" s="113"/>
    </row>
    <row r="2244">
      <c r="J2244" s="113"/>
    </row>
    <row r="2245">
      <c r="J2245" s="113"/>
    </row>
    <row r="2246">
      <c r="J2246" s="113"/>
    </row>
    <row r="2247">
      <c r="J2247" s="113"/>
    </row>
    <row r="2248">
      <c r="J2248" s="113"/>
    </row>
    <row r="2249">
      <c r="J2249" s="113"/>
    </row>
    <row r="2250">
      <c r="J2250" s="113"/>
    </row>
    <row r="2251">
      <c r="J2251" s="113"/>
    </row>
    <row r="2252">
      <c r="J2252" s="113"/>
    </row>
    <row r="2253">
      <c r="J2253" s="113"/>
    </row>
    <row r="2254">
      <c r="J2254" s="113"/>
    </row>
    <row r="2255">
      <c r="J2255" s="113"/>
    </row>
    <row r="2256">
      <c r="J2256" s="113"/>
    </row>
    <row r="2257">
      <c r="J2257" s="113"/>
    </row>
    <row r="2258">
      <c r="J2258" s="113"/>
    </row>
    <row r="2259">
      <c r="J2259" s="113"/>
    </row>
    <row r="2260">
      <c r="J2260" s="113"/>
    </row>
    <row r="2261">
      <c r="J2261" s="113"/>
    </row>
    <row r="2262">
      <c r="J2262" s="113"/>
    </row>
    <row r="2263">
      <c r="J2263" s="113"/>
    </row>
    <row r="2264">
      <c r="J2264" s="113"/>
    </row>
    <row r="2265">
      <c r="J2265" s="113"/>
    </row>
    <row r="2266">
      <c r="J2266" s="113"/>
    </row>
    <row r="2267">
      <c r="J2267" s="113"/>
    </row>
    <row r="2268">
      <c r="J2268" s="113"/>
    </row>
    <row r="2269">
      <c r="J2269" s="113"/>
    </row>
    <row r="2270">
      <c r="J2270" s="113"/>
    </row>
    <row r="2271">
      <c r="J2271" s="113"/>
    </row>
    <row r="2272">
      <c r="J2272" s="113"/>
    </row>
    <row r="2273">
      <c r="J2273" s="113"/>
    </row>
    <row r="2274">
      <c r="J2274" s="113"/>
    </row>
    <row r="2275">
      <c r="J2275" s="113"/>
    </row>
    <row r="2276">
      <c r="J2276" s="113"/>
    </row>
    <row r="2277">
      <c r="J2277" s="113"/>
    </row>
    <row r="2278">
      <c r="J2278" s="113"/>
    </row>
    <row r="2279">
      <c r="J2279" s="113"/>
    </row>
    <row r="2280">
      <c r="J2280" s="113"/>
    </row>
    <row r="2281">
      <c r="J2281" s="113"/>
    </row>
    <row r="2282">
      <c r="J2282" s="113"/>
    </row>
    <row r="2283">
      <c r="J2283" s="113"/>
    </row>
    <row r="2284">
      <c r="J2284" s="113"/>
    </row>
    <row r="2285">
      <c r="J2285" s="113"/>
    </row>
    <row r="2286">
      <c r="J2286" s="113"/>
    </row>
    <row r="2287">
      <c r="J2287" s="113"/>
    </row>
    <row r="2288">
      <c r="J2288" s="113"/>
    </row>
    <row r="2289">
      <c r="J2289" s="113"/>
    </row>
    <row r="2290">
      <c r="J2290" s="113"/>
    </row>
    <row r="2291">
      <c r="J2291" s="113"/>
    </row>
    <row r="2292">
      <c r="J2292" s="113"/>
    </row>
    <row r="2293">
      <c r="J2293" s="113"/>
    </row>
    <row r="2294">
      <c r="J2294" s="113"/>
    </row>
    <row r="2295">
      <c r="J2295" s="113"/>
    </row>
    <row r="2296">
      <c r="J2296" s="113"/>
    </row>
    <row r="2297">
      <c r="J2297" s="113"/>
    </row>
    <row r="2298">
      <c r="J2298" s="113"/>
    </row>
    <row r="2299">
      <c r="J2299" s="113"/>
    </row>
    <row r="2300">
      <c r="J2300" s="113"/>
    </row>
    <row r="2301">
      <c r="J2301" s="113"/>
    </row>
    <row r="2302">
      <c r="J2302" s="113"/>
    </row>
    <row r="2303">
      <c r="J2303" s="113"/>
    </row>
    <row r="2304">
      <c r="J2304" s="113"/>
    </row>
    <row r="2305">
      <c r="J2305" s="113"/>
    </row>
    <row r="2306">
      <c r="J2306" s="113"/>
    </row>
    <row r="2307">
      <c r="J2307" s="113"/>
    </row>
    <row r="2308">
      <c r="J2308" s="113"/>
    </row>
    <row r="2309">
      <c r="J2309" s="113"/>
    </row>
    <row r="2310">
      <c r="J2310" s="113"/>
    </row>
    <row r="2311">
      <c r="J2311" s="113"/>
    </row>
    <row r="2312">
      <c r="J2312" s="113"/>
    </row>
    <row r="2313">
      <c r="J2313" s="113"/>
    </row>
    <row r="2314">
      <c r="J2314" s="113"/>
    </row>
    <row r="2315">
      <c r="J2315" s="113"/>
    </row>
    <row r="2316">
      <c r="J2316" s="113"/>
    </row>
    <row r="2317">
      <c r="J2317" s="113"/>
    </row>
    <row r="2318">
      <c r="J2318" s="113"/>
    </row>
    <row r="2319">
      <c r="J2319" s="113"/>
    </row>
    <row r="2320">
      <c r="J2320" s="113"/>
    </row>
    <row r="2321">
      <c r="J2321" s="113"/>
    </row>
    <row r="2322">
      <c r="J2322" s="113"/>
    </row>
    <row r="2323">
      <c r="J2323" s="113"/>
    </row>
    <row r="2324">
      <c r="J2324" s="113"/>
    </row>
    <row r="2325">
      <c r="J2325" s="113"/>
    </row>
    <row r="2326">
      <c r="J2326" s="113"/>
    </row>
    <row r="2327">
      <c r="J2327" s="113"/>
    </row>
    <row r="2328">
      <c r="J2328" s="113"/>
    </row>
    <row r="2329">
      <c r="J2329" s="113"/>
    </row>
    <row r="2330">
      <c r="J2330" s="113"/>
    </row>
    <row r="2331">
      <c r="J2331" s="113"/>
    </row>
    <row r="2332">
      <c r="J2332" s="113"/>
    </row>
    <row r="2333">
      <c r="J2333" s="113"/>
    </row>
    <row r="2334">
      <c r="J2334" s="113"/>
    </row>
    <row r="2335">
      <c r="J2335" s="113"/>
    </row>
    <row r="2336">
      <c r="J2336" s="113"/>
    </row>
    <row r="2337">
      <c r="J2337" s="113"/>
    </row>
    <row r="2338">
      <c r="J2338" s="113"/>
    </row>
    <row r="2339">
      <c r="J2339" s="113"/>
    </row>
    <row r="2340">
      <c r="J2340" s="113"/>
    </row>
    <row r="2341">
      <c r="J2341" s="113"/>
    </row>
    <row r="2342">
      <c r="J2342" s="113"/>
    </row>
    <row r="2343">
      <c r="J2343" s="113"/>
    </row>
    <row r="2344">
      <c r="J2344" s="113"/>
    </row>
    <row r="2345">
      <c r="J2345" s="113"/>
    </row>
    <row r="2346">
      <c r="J2346" s="113"/>
    </row>
    <row r="2347">
      <c r="J2347" s="113"/>
    </row>
    <row r="2348">
      <c r="J2348" s="113"/>
    </row>
    <row r="2349">
      <c r="J2349" s="113"/>
    </row>
    <row r="2350">
      <c r="J2350" s="113"/>
    </row>
    <row r="2351">
      <c r="J2351" s="113"/>
    </row>
    <row r="2352">
      <c r="J2352" s="113"/>
    </row>
    <row r="2353">
      <c r="J2353" s="113"/>
    </row>
    <row r="2354">
      <c r="J2354" s="113"/>
    </row>
    <row r="2355">
      <c r="J2355" s="113"/>
    </row>
    <row r="2356">
      <c r="J2356" s="113"/>
    </row>
    <row r="2357">
      <c r="J2357" s="113"/>
    </row>
    <row r="2358">
      <c r="J2358" s="113"/>
    </row>
    <row r="2359">
      <c r="J2359" s="113"/>
    </row>
    <row r="2360">
      <c r="J2360" s="113"/>
    </row>
    <row r="2361">
      <c r="J2361" s="113"/>
    </row>
    <row r="2362">
      <c r="J2362" s="113"/>
    </row>
    <row r="2363">
      <c r="J2363" s="113"/>
    </row>
    <row r="2364">
      <c r="J2364" s="113"/>
    </row>
    <row r="2365">
      <c r="J2365" s="113"/>
    </row>
    <row r="2366">
      <c r="J2366" s="113"/>
    </row>
    <row r="2367">
      <c r="J2367" s="113"/>
    </row>
    <row r="2368">
      <c r="J2368" s="113"/>
    </row>
    <row r="2369">
      <c r="J2369" s="113"/>
    </row>
    <row r="2370">
      <c r="J2370" s="113"/>
    </row>
    <row r="2371">
      <c r="J2371" s="113"/>
    </row>
    <row r="2372">
      <c r="J2372" s="113"/>
    </row>
    <row r="2373">
      <c r="J2373" s="113"/>
    </row>
    <row r="2374">
      <c r="J2374" s="113"/>
    </row>
    <row r="2375">
      <c r="J2375" s="113"/>
    </row>
    <row r="2376">
      <c r="J2376" s="113"/>
    </row>
    <row r="2377">
      <c r="J2377" s="113"/>
    </row>
    <row r="2378">
      <c r="J2378" s="113"/>
    </row>
    <row r="2379">
      <c r="J2379" s="113"/>
    </row>
    <row r="2380">
      <c r="J2380" s="113"/>
    </row>
    <row r="2381">
      <c r="J2381" s="113"/>
    </row>
    <row r="2382">
      <c r="J2382" s="113"/>
    </row>
    <row r="2383">
      <c r="J2383" s="113"/>
    </row>
    <row r="2384">
      <c r="J2384" s="113"/>
    </row>
    <row r="2385">
      <c r="J2385" s="113"/>
    </row>
    <row r="2386">
      <c r="J2386" s="113"/>
    </row>
    <row r="2387">
      <c r="J2387" s="113"/>
    </row>
    <row r="2388">
      <c r="J2388" s="113"/>
    </row>
    <row r="2389">
      <c r="J2389" s="113"/>
    </row>
    <row r="2390">
      <c r="J2390" s="113"/>
    </row>
    <row r="2391">
      <c r="J2391" s="113"/>
    </row>
    <row r="2392">
      <c r="J2392" s="113"/>
    </row>
    <row r="2393">
      <c r="J2393" s="113"/>
    </row>
    <row r="2394">
      <c r="J2394" s="113"/>
    </row>
    <row r="2395">
      <c r="J2395" s="113"/>
    </row>
    <row r="2396">
      <c r="J2396" s="113"/>
    </row>
    <row r="2397">
      <c r="J2397" s="113"/>
    </row>
    <row r="2398">
      <c r="J2398" s="113"/>
    </row>
    <row r="2399">
      <c r="J2399" s="113"/>
    </row>
    <row r="2400">
      <c r="J2400" s="113"/>
    </row>
    <row r="2401">
      <c r="J2401" s="113"/>
    </row>
    <row r="2402">
      <c r="J2402" s="113"/>
    </row>
    <row r="2403">
      <c r="J2403" s="113"/>
    </row>
    <row r="2404">
      <c r="J2404" s="113"/>
    </row>
    <row r="2405">
      <c r="J2405" s="113"/>
    </row>
    <row r="2406">
      <c r="J2406" s="113"/>
    </row>
    <row r="2407">
      <c r="J2407" s="113"/>
    </row>
    <row r="2408">
      <c r="J2408" s="113"/>
    </row>
    <row r="2409">
      <c r="J2409" s="113"/>
    </row>
    <row r="2410">
      <c r="J2410" s="113"/>
    </row>
    <row r="2411">
      <c r="J2411" s="113"/>
    </row>
    <row r="2412">
      <c r="J2412" s="113"/>
    </row>
    <row r="2413">
      <c r="J2413" s="113"/>
    </row>
    <row r="2414">
      <c r="J2414" s="113"/>
    </row>
    <row r="2415">
      <c r="J2415" s="113"/>
    </row>
    <row r="2416">
      <c r="J2416" s="113"/>
    </row>
    <row r="2417">
      <c r="J2417" s="113"/>
    </row>
    <row r="2418">
      <c r="J2418" s="113"/>
    </row>
    <row r="2419">
      <c r="J2419" s="113"/>
    </row>
    <row r="2420">
      <c r="J2420" s="113"/>
    </row>
    <row r="2421">
      <c r="J2421" s="113"/>
    </row>
    <row r="2422">
      <c r="J2422" s="113"/>
    </row>
    <row r="2423">
      <c r="J2423" s="113"/>
    </row>
    <row r="2424">
      <c r="J2424" s="113"/>
    </row>
    <row r="2425">
      <c r="J2425" s="113"/>
    </row>
    <row r="2426">
      <c r="J2426" s="113"/>
    </row>
    <row r="2427">
      <c r="J2427" s="113"/>
    </row>
    <row r="2428">
      <c r="J2428" s="113"/>
    </row>
    <row r="2429">
      <c r="J2429" s="113"/>
    </row>
    <row r="2430">
      <c r="J2430" s="113"/>
    </row>
    <row r="2431">
      <c r="J2431" s="113"/>
    </row>
    <row r="2432">
      <c r="J2432" s="113"/>
    </row>
    <row r="2433">
      <c r="J2433" s="113"/>
    </row>
    <row r="2434">
      <c r="J2434" s="113"/>
    </row>
    <row r="2435">
      <c r="J2435" s="113"/>
    </row>
    <row r="2436">
      <c r="J2436" s="113"/>
    </row>
    <row r="2437">
      <c r="J2437" s="113"/>
    </row>
    <row r="2438">
      <c r="J2438" s="113"/>
    </row>
    <row r="2439">
      <c r="J2439" s="113"/>
    </row>
    <row r="2440">
      <c r="J2440" s="113"/>
    </row>
    <row r="2441">
      <c r="J2441" s="113"/>
    </row>
    <row r="2442">
      <c r="J2442" s="113"/>
    </row>
    <row r="2443">
      <c r="J2443" s="113"/>
    </row>
    <row r="2444">
      <c r="J2444" s="113"/>
    </row>
    <row r="2445">
      <c r="J2445" s="113"/>
    </row>
    <row r="2446">
      <c r="J2446" s="113"/>
    </row>
    <row r="2447">
      <c r="J2447" s="113"/>
    </row>
    <row r="2448">
      <c r="J2448" s="113"/>
    </row>
    <row r="2449">
      <c r="J2449" s="113"/>
    </row>
    <row r="2450">
      <c r="J2450" s="113"/>
    </row>
    <row r="2451">
      <c r="J2451" s="113"/>
    </row>
    <row r="2452">
      <c r="J2452" s="113"/>
    </row>
    <row r="2453">
      <c r="J2453" s="113"/>
    </row>
    <row r="2454">
      <c r="J2454" s="113"/>
    </row>
    <row r="2455">
      <c r="J2455" s="113"/>
    </row>
    <row r="2456">
      <c r="J2456" s="113"/>
    </row>
    <row r="2457">
      <c r="J2457" s="113"/>
    </row>
    <row r="2458">
      <c r="J2458" s="113"/>
    </row>
    <row r="2459">
      <c r="J2459" s="113"/>
    </row>
    <row r="2460">
      <c r="J2460" s="113"/>
    </row>
    <row r="2461">
      <c r="J2461" s="113"/>
    </row>
    <row r="2462">
      <c r="J2462" s="113"/>
    </row>
    <row r="2463">
      <c r="J2463" s="113"/>
    </row>
    <row r="2464">
      <c r="J2464" s="113"/>
    </row>
    <row r="2465">
      <c r="J2465" s="113"/>
    </row>
    <row r="2466">
      <c r="J2466" s="113"/>
    </row>
    <row r="2467">
      <c r="J2467" s="113"/>
    </row>
    <row r="2468">
      <c r="J2468" s="113"/>
    </row>
    <row r="2469">
      <c r="J2469" s="113"/>
    </row>
    <row r="2470">
      <c r="J2470" s="113"/>
    </row>
    <row r="2471">
      <c r="J2471" s="113"/>
    </row>
    <row r="2472">
      <c r="J2472" s="113"/>
    </row>
    <row r="2473">
      <c r="J2473" s="113"/>
    </row>
    <row r="2474">
      <c r="J2474" s="113"/>
    </row>
    <row r="2475">
      <c r="J2475" s="113"/>
    </row>
    <row r="2476">
      <c r="J2476" s="113"/>
    </row>
    <row r="2477">
      <c r="J2477" s="113"/>
    </row>
    <row r="2478">
      <c r="J2478" s="113"/>
    </row>
    <row r="2479">
      <c r="J2479" s="113"/>
    </row>
    <row r="2480">
      <c r="J2480" s="113"/>
    </row>
    <row r="2481">
      <c r="J2481" s="113"/>
    </row>
    <row r="2482">
      <c r="J2482" s="113"/>
    </row>
    <row r="2483">
      <c r="J2483" s="113"/>
    </row>
    <row r="2484">
      <c r="J2484" s="113"/>
    </row>
    <row r="2485">
      <c r="J2485" s="113"/>
    </row>
    <row r="2486">
      <c r="J2486" s="113"/>
    </row>
    <row r="2487">
      <c r="J2487" s="113"/>
    </row>
    <row r="2488">
      <c r="J2488" s="113"/>
    </row>
    <row r="2489">
      <c r="J2489" s="113"/>
    </row>
    <row r="2490">
      <c r="J2490" s="113"/>
    </row>
    <row r="2491">
      <c r="J2491" s="113"/>
    </row>
    <row r="2492">
      <c r="J2492" s="113"/>
    </row>
    <row r="2493">
      <c r="J2493" s="113"/>
    </row>
    <row r="2494">
      <c r="J2494" s="113"/>
    </row>
    <row r="2495">
      <c r="J2495" s="113"/>
    </row>
    <row r="2496">
      <c r="J2496" s="113"/>
    </row>
    <row r="2497">
      <c r="J2497" s="113"/>
    </row>
    <row r="2498">
      <c r="J2498" s="113"/>
    </row>
    <row r="2499">
      <c r="J2499" s="113"/>
    </row>
    <row r="2500">
      <c r="J2500" s="113"/>
    </row>
    <row r="2501">
      <c r="J2501" s="113"/>
    </row>
    <row r="2502">
      <c r="J2502" s="113"/>
    </row>
    <row r="2503">
      <c r="J2503" s="113"/>
    </row>
    <row r="2504">
      <c r="J2504" s="113"/>
    </row>
    <row r="2505">
      <c r="J2505" s="113"/>
    </row>
    <row r="2506">
      <c r="J2506" s="113"/>
    </row>
    <row r="2507">
      <c r="J2507" s="113"/>
    </row>
    <row r="2508">
      <c r="J2508" s="113"/>
    </row>
    <row r="2509">
      <c r="J2509" s="113"/>
    </row>
    <row r="2510">
      <c r="J2510" s="113"/>
    </row>
    <row r="2511">
      <c r="J2511" s="113"/>
    </row>
    <row r="2512">
      <c r="J2512" s="113"/>
    </row>
    <row r="2513">
      <c r="J2513" s="113"/>
    </row>
    <row r="2514">
      <c r="J2514" s="113"/>
    </row>
    <row r="2515">
      <c r="J2515" s="113"/>
    </row>
    <row r="2516">
      <c r="J2516" s="113"/>
    </row>
    <row r="2517">
      <c r="J2517" s="113"/>
    </row>
    <row r="2518">
      <c r="J2518" s="113"/>
    </row>
    <row r="2519">
      <c r="J2519" s="113"/>
    </row>
    <row r="2520">
      <c r="J2520" s="113"/>
    </row>
    <row r="2521">
      <c r="J2521" s="113"/>
    </row>
    <row r="2522">
      <c r="J2522" s="113"/>
    </row>
    <row r="2523">
      <c r="J2523" s="113"/>
    </row>
    <row r="2524">
      <c r="J2524" s="113"/>
    </row>
    <row r="2525">
      <c r="J2525" s="113"/>
    </row>
    <row r="2526">
      <c r="J2526" s="113"/>
    </row>
    <row r="2527">
      <c r="J2527" s="113"/>
    </row>
    <row r="2528">
      <c r="J2528" s="113"/>
    </row>
    <row r="2529">
      <c r="J2529" s="113"/>
    </row>
    <row r="2530">
      <c r="J2530" s="113"/>
    </row>
    <row r="2531">
      <c r="J2531" s="113"/>
    </row>
    <row r="2532">
      <c r="J2532" s="113"/>
    </row>
    <row r="2533">
      <c r="J2533" s="113"/>
    </row>
    <row r="2534">
      <c r="J2534" s="113"/>
    </row>
    <row r="2535">
      <c r="J2535" s="113"/>
    </row>
    <row r="2536">
      <c r="J2536" s="113"/>
    </row>
    <row r="2537">
      <c r="J2537" s="113"/>
    </row>
    <row r="2538">
      <c r="J2538" s="113"/>
    </row>
    <row r="2539">
      <c r="J2539" s="113"/>
    </row>
    <row r="2540">
      <c r="J2540" s="113"/>
    </row>
    <row r="2541">
      <c r="J2541" s="113"/>
    </row>
    <row r="2542">
      <c r="J2542" s="113"/>
    </row>
    <row r="2543">
      <c r="J2543" s="113"/>
    </row>
    <row r="2544">
      <c r="J2544" s="113"/>
    </row>
    <row r="2545">
      <c r="J2545" s="113"/>
    </row>
    <row r="2546">
      <c r="J2546" s="113"/>
    </row>
    <row r="2547">
      <c r="J2547" s="113"/>
    </row>
    <row r="2548">
      <c r="J2548" s="113"/>
    </row>
    <row r="2549">
      <c r="J2549" s="113"/>
    </row>
    <row r="2550">
      <c r="J2550" s="113"/>
    </row>
    <row r="2551">
      <c r="J2551" s="113"/>
    </row>
    <row r="2552">
      <c r="J2552" s="113"/>
    </row>
    <row r="2553">
      <c r="J2553" s="113"/>
    </row>
    <row r="2554">
      <c r="J2554" s="113"/>
    </row>
    <row r="2555">
      <c r="J2555" s="113"/>
    </row>
    <row r="2556">
      <c r="J2556" s="113"/>
    </row>
    <row r="2557">
      <c r="J2557" s="113"/>
    </row>
    <row r="2558">
      <c r="J2558" s="113"/>
    </row>
    <row r="2559">
      <c r="J2559" s="113"/>
    </row>
    <row r="2560">
      <c r="J2560" s="113"/>
    </row>
    <row r="2561">
      <c r="J2561" s="113"/>
    </row>
    <row r="2562">
      <c r="J2562" s="113"/>
    </row>
    <row r="2563">
      <c r="J2563" s="113"/>
    </row>
    <row r="2564">
      <c r="J2564" s="113"/>
    </row>
    <row r="2565">
      <c r="J2565" s="113"/>
    </row>
    <row r="2566">
      <c r="J2566" s="113"/>
    </row>
    <row r="2567">
      <c r="J2567" s="113"/>
    </row>
    <row r="2568">
      <c r="J2568" s="113"/>
    </row>
    <row r="2569">
      <c r="J2569" s="113"/>
    </row>
    <row r="2570">
      <c r="J2570" s="113"/>
    </row>
    <row r="2571">
      <c r="J2571" s="113"/>
    </row>
    <row r="2572">
      <c r="J2572" s="113"/>
    </row>
    <row r="2573">
      <c r="J2573" s="113"/>
    </row>
    <row r="2574">
      <c r="J2574" s="113"/>
    </row>
    <row r="2575">
      <c r="J2575" s="113"/>
    </row>
    <row r="2576">
      <c r="J2576" s="113"/>
    </row>
    <row r="2577">
      <c r="J2577" s="113"/>
    </row>
    <row r="2578">
      <c r="J2578" s="113"/>
    </row>
    <row r="2579">
      <c r="J2579" s="113"/>
    </row>
    <row r="2580">
      <c r="J2580" s="113"/>
    </row>
    <row r="2581">
      <c r="J2581" s="113"/>
    </row>
    <row r="2582">
      <c r="J2582" s="113"/>
    </row>
    <row r="2583">
      <c r="J2583" s="113"/>
    </row>
    <row r="2584">
      <c r="J2584" s="113"/>
    </row>
    <row r="2585">
      <c r="J2585" s="113"/>
    </row>
    <row r="2586">
      <c r="J2586" s="113"/>
    </row>
    <row r="2587">
      <c r="J2587" s="113"/>
    </row>
    <row r="2588">
      <c r="J2588" s="113"/>
    </row>
    <row r="2589">
      <c r="J2589" s="113"/>
    </row>
    <row r="2590">
      <c r="J2590" s="113"/>
    </row>
    <row r="2591">
      <c r="J2591" s="113"/>
    </row>
    <row r="2592">
      <c r="J2592" s="113"/>
    </row>
    <row r="2593">
      <c r="J2593" s="113"/>
    </row>
    <row r="2594">
      <c r="J2594" s="113"/>
    </row>
    <row r="2595">
      <c r="J2595" s="113"/>
    </row>
    <row r="2596">
      <c r="J2596" s="113"/>
    </row>
    <row r="2597">
      <c r="J2597" s="113"/>
    </row>
    <row r="2598">
      <c r="J2598" s="113"/>
    </row>
    <row r="2599">
      <c r="J2599" s="113"/>
    </row>
    <row r="2600">
      <c r="J2600" s="113"/>
    </row>
    <row r="2601">
      <c r="J2601" s="113"/>
    </row>
    <row r="2602">
      <c r="J2602" s="113"/>
    </row>
    <row r="2603">
      <c r="J2603" s="113"/>
    </row>
    <row r="2604">
      <c r="J2604" s="113"/>
    </row>
    <row r="2605">
      <c r="J2605" s="113"/>
    </row>
    <row r="2606">
      <c r="J2606" s="113"/>
    </row>
    <row r="2607">
      <c r="J2607" s="113"/>
    </row>
    <row r="2608">
      <c r="J2608" s="113"/>
    </row>
    <row r="2609">
      <c r="J2609" s="113"/>
    </row>
    <row r="2610">
      <c r="J2610" s="113"/>
    </row>
    <row r="2611">
      <c r="J2611" s="113"/>
    </row>
    <row r="2612">
      <c r="J2612" s="113"/>
    </row>
    <row r="2613">
      <c r="J2613" s="113"/>
    </row>
    <row r="2614">
      <c r="J2614" s="113"/>
    </row>
    <row r="2615">
      <c r="J2615" s="113"/>
    </row>
    <row r="2616">
      <c r="J2616" s="113"/>
    </row>
    <row r="2617">
      <c r="J2617" s="113"/>
    </row>
    <row r="2618">
      <c r="J2618" s="113"/>
    </row>
    <row r="2619">
      <c r="J2619" s="113"/>
    </row>
    <row r="2620">
      <c r="J2620" s="113"/>
    </row>
    <row r="2621">
      <c r="J2621" s="113"/>
    </row>
    <row r="2622">
      <c r="J2622" s="113"/>
    </row>
    <row r="2623">
      <c r="J2623" s="113"/>
    </row>
    <row r="2624">
      <c r="J2624" s="113"/>
    </row>
    <row r="2625">
      <c r="J2625" s="113"/>
    </row>
    <row r="2626">
      <c r="J2626" s="113"/>
    </row>
    <row r="2627">
      <c r="J2627" s="113"/>
    </row>
    <row r="2628">
      <c r="J2628" s="113"/>
    </row>
    <row r="2629">
      <c r="J2629" s="113"/>
    </row>
    <row r="2630">
      <c r="J2630" s="113"/>
    </row>
    <row r="2631">
      <c r="J2631" s="113"/>
    </row>
    <row r="2632">
      <c r="J2632" s="113"/>
    </row>
    <row r="2633">
      <c r="J2633" s="113"/>
    </row>
    <row r="2634">
      <c r="J2634" s="113"/>
    </row>
    <row r="2635">
      <c r="J2635" s="113"/>
    </row>
    <row r="2636">
      <c r="J2636" s="113"/>
    </row>
    <row r="2637">
      <c r="J2637" s="113"/>
    </row>
    <row r="2638">
      <c r="J2638" s="113"/>
    </row>
    <row r="2639">
      <c r="J2639" s="113"/>
    </row>
    <row r="2640">
      <c r="J2640" s="113"/>
    </row>
    <row r="2641">
      <c r="J2641" s="113"/>
    </row>
    <row r="2642">
      <c r="J2642" s="113"/>
    </row>
    <row r="2643">
      <c r="J2643" s="113"/>
    </row>
    <row r="2644">
      <c r="J2644" s="113"/>
    </row>
    <row r="2645">
      <c r="J2645" s="113"/>
    </row>
    <row r="2646">
      <c r="J2646" s="113"/>
    </row>
    <row r="2647">
      <c r="J2647" s="113"/>
    </row>
    <row r="2648">
      <c r="J2648" s="113"/>
    </row>
    <row r="2649">
      <c r="J2649" s="113"/>
    </row>
    <row r="2650">
      <c r="J2650" s="113"/>
    </row>
    <row r="2651">
      <c r="J2651" s="113"/>
    </row>
    <row r="2652">
      <c r="J2652" s="113"/>
    </row>
    <row r="2653">
      <c r="J2653" s="113"/>
    </row>
    <row r="2654">
      <c r="J2654" s="113"/>
    </row>
    <row r="2655">
      <c r="J2655" s="113"/>
    </row>
    <row r="2656">
      <c r="J2656" s="113"/>
    </row>
    <row r="2657">
      <c r="J2657" s="113"/>
    </row>
    <row r="2658">
      <c r="J2658" s="113"/>
    </row>
    <row r="2659">
      <c r="J2659" s="113"/>
    </row>
    <row r="2660">
      <c r="J2660" s="113"/>
    </row>
    <row r="2661">
      <c r="J2661" s="113"/>
    </row>
    <row r="2662">
      <c r="J2662" s="113"/>
    </row>
    <row r="2663">
      <c r="J2663" s="113"/>
    </row>
    <row r="2664">
      <c r="J2664" s="113"/>
    </row>
    <row r="2665">
      <c r="J2665" s="113"/>
    </row>
    <row r="2666">
      <c r="J2666" s="113"/>
    </row>
    <row r="2667">
      <c r="J2667" s="113"/>
    </row>
    <row r="2668">
      <c r="J2668" s="113"/>
    </row>
    <row r="2669">
      <c r="J2669" s="113"/>
    </row>
    <row r="2670">
      <c r="J2670" s="113"/>
    </row>
    <row r="2671">
      <c r="J2671" s="113"/>
    </row>
    <row r="2672">
      <c r="J2672" s="113"/>
    </row>
    <row r="2673">
      <c r="J2673" s="113"/>
    </row>
    <row r="2674">
      <c r="J2674" s="113"/>
    </row>
    <row r="2675">
      <c r="J2675" s="113"/>
    </row>
    <row r="2676">
      <c r="J2676" s="113"/>
    </row>
    <row r="2677">
      <c r="J2677" s="113"/>
    </row>
    <row r="2678">
      <c r="J2678" s="113"/>
    </row>
    <row r="2679">
      <c r="J2679" s="113"/>
    </row>
    <row r="2680">
      <c r="J2680" s="113"/>
    </row>
    <row r="2681">
      <c r="J2681" s="113"/>
    </row>
    <row r="2682">
      <c r="J2682" s="113"/>
    </row>
    <row r="2683">
      <c r="J2683" s="113"/>
    </row>
    <row r="2684">
      <c r="J2684" s="113"/>
    </row>
    <row r="2685">
      <c r="J2685" s="113"/>
    </row>
    <row r="2686">
      <c r="J2686" s="113"/>
    </row>
    <row r="2687">
      <c r="J2687" s="113"/>
    </row>
    <row r="2688">
      <c r="J2688" s="113"/>
    </row>
    <row r="2689">
      <c r="J2689" s="113"/>
    </row>
    <row r="2690">
      <c r="J2690" s="113"/>
    </row>
    <row r="2691">
      <c r="J2691" s="113"/>
    </row>
    <row r="2692">
      <c r="J2692" s="113"/>
    </row>
    <row r="2693">
      <c r="J2693" s="113"/>
    </row>
    <row r="2694">
      <c r="J2694" s="113"/>
    </row>
    <row r="2695">
      <c r="J2695" s="113"/>
    </row>
    <row r="2696">
      <c r="J2696" s="113"/>
    </row>
    <row r="2697">
      <c r="J2697" s="113"/>
    </row>
    <row r="2698">
      <c r="J2698" s="113"/>
    </row>
    <row r="2699">
      <c r="J2699" s="113"/>
    </row>
    <row r="2700">
      <c r="J2700" s="113"/>
    </row>
    <row r="2701">
      <c r="J2701" s="113"/>
    </row>
    <row r="2702">
      <c r="J2702" s="113"/>
    </row>
    <row r="2703">
      <c r="J2703" s="113"/>
    </row>
    <row r="2704">
      <c r="J2704" s="113"/>
    </row>
    <row r="2705">
      <c r="J2705" s="113"/>
    </row>
    <row r="2706">
      <c r="J2706" s="113"/>
    </row>
    <row r="2707">
      <c r="J2707" s="113"/>
    </row>
    <row r="2708">
      <c r="J2708" s="113"/>
    </row>
    <row r="2709">
      <c r="J2709" s="113"/>
    </row>
    <row r="2710">
      <c r="J2710" s="113"/>
    </row>
    <row r="2711">
      <c r="J2711" s="113"/>
    </row>
    <row r="2712">
      <c r="J2712" s="113"/>
    </row>
    <row r="2713">
      <c r="J2713" s="113"/>
    </row>
    <row r="2714">
      <c r="J2714" s="113"/>
    </row>
    <row r="2715">
      <c r="J2715" s="113"/>
    </row>
    <row r="2716">
      <c r="J2716" s="113"/>
    </row>
    <row r="2717">
      <c r="J2717" s="113"/>
    </row>
    <row r="2718">
      <c r="J2718" s="113"/>
    </row>
    <row r="2719">
      <c r="J2719" s="113"/>
    </row>
    <row r="2720">
      <c r="J2720" s="113"/>
    </row>
    <row r="2721">
      <c r="J2721" s="113"/>
    </row>
    <row r="2722">
      <c r="J2722" s="113"/>
    </row>
    <row r="2723">
      <c r="J2723" s="113"/>
    </row>
    <row r="2724">
      <c r="J2724" s="113"/>
    </row>
    <row r="2725">
      <c r="J2725" s="113"/>
    </row>
    <row r="2726">
      <c r="J2726" s="113"/>
    </row>
    <row r="2727">
      <c r="J2727" s="113"/>
    </row>
    <row r="2728">
      <c r="J2728" s="113"/>
    </row>
    <row r="2729">
      <c r="J2729" s="113"/>
    </row>
    <row r="2730">
      <c r="J2730" s="113"/>
    </row>
    <row r="2731">
      <c r="J2731" s="113"/>
    </row>
    <row r="2732">
      <c r="J2732" s="113"/>
    </row>
    <row r="2733">
      <c r="J2733" s="113"/>
    </row>
    <row r="2734">
      <c r="J2734" s="113"/>
    </row>
    <row r="2735">
      <c r="J2735" s="113"/>
    </row>
    <row r="2736">
      <c r="J2736" s="113"/>
    </row>
    <row r="2737">
      <c r="J2737" s="113"/>
    </row>
    <row r="2738">
      <c r="J2738" s="113"/>
    </row>
    <row r="2739">
      <c r="J2739" s="113"/>
    </row>
    <row r="2740">
      <c r="J2740" s="113"/>
    </row>
    <row r="2741">
      <c r="J2741" s="113"/>
    </row>
    <row r="2742">
      <c r="J2742" s="113"/>
    </row>
    <row r="2743">
      <c r="J2743" s="113"/>
    </row>
    <row r="2744">
      <c r="J2744" s="113"/>
    </row>
    <row r="2745">
      <c r="J2745" s="113"/>
    </row>
    <row r="2746">
      <c r="J2746" s="113"/>
    </row>
    <row r="2747">
      <c r="J2747" s="113"/>
    </row>
    <row r="2748">
      <c r="J2748" s="113"/>
    </row>
    <row r="2749">
      <c r="J2749" s="113"/>
    </row>
    <row r="2750">
      <c r="J2750" s="113"/>
    </row>
    <row r="2751">
      <c r="J2751" s="113"/>
    </row>
    <row r="2752">
      <c r="J2752" s="113"/>
    </row>
    <row r="2753">
      <c r="J2753" s="113"/>
    </row>
    <row r="2754">
      <c r="J2754" s="113"/>
    </row>
    <row r="2755">
      <c r="J2755" s="113"/>
    </row>
    <row r="2756">
      <c r="J2756" s="113"/>
    </row>
    <row r="2757">
      <c r="J2757" s="113"/>
    </row>
    <row r="2758">
      <c r="J2758" s="113"/>
    </row>
    <row r="2759">
      <c r="J2759" s="113"/>
    </row>
    <row r="2760">
      <c r="J2760" s="113"/>
    </row>
    <row r="2761">
      <c r="J2761" s="113"/>
    </row>
    <row r="2762">
      <c r="J2762" s="113"/>
    </row>
    <row r="2763">
      <c r="J2763" s="113"/>
    </row>
    <row r="2764">
      <c r="J2764" s="113"/>
    </row>
    <row r="2765">
      <c r="J2765" s="113"/>
    </row>
    <row r="2766">
      <c r="J2766" s="113"/>
    </row>
    <row r="2767">
      <c r="J2767" s="113"/>
    </row>
    <row r="2768">
      <c r="J2768" s="113"/>
    </row>
    <row r="2769">
      <c r="J2769" s="113"/>
    </row>
    <row r="2770">
      <c r="J2770" s="113"/>
    </row>
    <row r="2771">
      <c r="J2771" s="113"/>
    </row>
    <row r="2772">
      <c r="J2772" s="113"/>
    </row>
    <row r="2773">
      <c r="J2773" s="113"/>
    </row>
    <row r="2774">
      <c r="J2774" s="113"/>
    </row>
    <row r="2775">
      <c r="J2775" s="113"/>
    </row>
    <row r="2776">
      <c r="J2776" s="113"/>
    </row>
    <row r="2777">
      <c r="J2777" s="113"/>
    </row>
    <row r="2778">
      <c r="J2778" s="113"/>
    </row>
    <row r="2779">
      <c r="J2779" s="113"/>
    </row>
    <row r="2780">
      <c r="J2780" s="113"/>
    </row>
    <row r="2781">
      <c r="J2781" s="113"/>
    </row>
    <row r="2782">
      <c r="J2782" s="113"/>
    </row>
    <row r="2783">
      <c r="J2783" s="113"/>
    </row>
    <row r="2784">
      <c r="J2784" s="113"/>
    </row>
    <row r="2785">
      <c r="J2785" s="113"/>
    </row>
    <row r="2786">
      <c r="J2786" s="113"/>
    </row>
    <row r="2787">
      <c r="J2787" s="113"/>
    </row>
    <row r="2788">
      <c r="J2788" s="113"/>
    </row>
    <row r="2789">
      <c r="J2789" s="113"/>
    </row>
    <row r="2790">
      <c r="J2790" s="113"/>
    </row>
    <row r="2791">
      <c r="J2791" s="113"/>
    </row>
    <row r="2792">
      <c r="J2792" s="113"/>
    </row>
    <row r="2793">
      <c r="J2793" s="113"/>
    </row>
    <row r="2794">
      <c r="J2794" s="113"/>
    </row>
    <row r="2795">
      <c r="J2795" s="113"/>
    </row>
    <row r="2796">
      <c r="J2796" s="113"/>
    </row>
    <row r="2797">
      <c r="J2797" s="113"/>
    </row>
    <row r="2798">
      <c r="J2798" s="113"/>
    </row>
    <row r="2799">
      <c r="J2799" s="113"/>
    </row>
    <row r="2800">
      <c r="J2800" s="113"/>
    </row>
    <row r="2801">
      <c r="J2801" s="113"/>
    </row>
    <row r="2802">
      <c r="J2802" s="113"/>
    </row>
    <row r="2803">
      <c r="J2803" s="113"/>
    </row>
    <row r="2804">
      <c r="J2804" s="113"/>
    </row>
    <row r="2805">
      <c r="J2805" s="113"/>
    </row>
    <row r="2806">
      <c r="J2806" s="113"/>
    </row>
    <row r="2807">
      <c r="J2807" s="113"/>
    </row>
    <row r="2808">
      <c r="J2808" s="113"/>
    </row>
    <row r="2809">
      <c r="J2809" s="113"/>
    </row>
    <row r="2810">
      <c r="J2810" s="113"/>
    </row>
    <row r="2811">
      <c r="J2811" s="113"/>
    </row>
    <row r="2812">
      <c r="J2812" s="113"/>
    </row>
    <row r="2813">
      <c r="J2813" s="113"/>
    </row>
    <row r="2814">
      <c r="J2814" s="113"/>
    </row>
    <row r="2815">
      <c r="J2815" s="113"/>
    </row>
    <row r="2816">
      <c r="J2816" s="113"/>
    </row>
    <row r="2817">
      <c r="J2817" s="113"/>
    </row>
    <row r="2818">
      <c r="J2818" s="113"/>
    </row>
    <row r="2819">
      <c r="J2819" s="113"/>
    </row>
    <row r="2820">
      <c r="J2820" s="113"/>
    </row>
    <row r="2821">
      <c r="J2821" s="113"/>
    </row>
    <row r="2822">
      <c r="J2822" s="113"/>
    </row>
    <row r="2823">
      <c r="J2823" s="113"/>
    </row>
    <row r="2824">
      <c r="J2824" s="113"/>
    </row>
    <row r="2825">
      <c r="J2825" s="113"/>
    </row>
    <row r="2826">
      <c r="J2826" s="113"/>
    </row>
    <row r="2827">
      <c r="J2827" s="113"/>
    </row>
    <row r="2828">
      <c r="J2828" s="113"/>
    </row>
    <row r="2829">
      <c r="J2829" s="113"/>
    </row>
    <row r="2830">
      <c r="J2830" s="113"/>
    </row>
    <row r="2831">
      <c r="J2831" s="113"/>
    </row>
    <row r="2832">
      <c r="J2832" s="113"/>
    </row>
    <row r="2833">
      <c r="J2833" s="113"/>
    </row>
    <row r="2834">
      <c r="J2834" s="113"/>
    </row>
    <row r="2835">
      <c r="J2835" s="113"/>
    </row>
    <row r="2836">
      <c r="J2836" s="113"/>
    </row>
    <row r="2837">
      <c r="J2837" s="113"/>
    </row>
    <row r="2838">
      <c r="J2838" s="113"/>
    </row>
    <row r="2839">
      <c r="J2839" s="113"/>
    </row>
    <row r="2840">
      <c r="J2840" s="113"/>
    </row>
    <row r="2841">
      <c r="J2841" s="113"/>
    </row>
    <row r="2842">
      <c r="J2842" s="113"/>
    </row>
    <row r="2843">
      <c r="J2843" s="113"/>
    </row>
    <row r="2844">
      <c r="J2844" s="113"/>
    </row>
    <row r="2845">
      <c r="J2845" s="113"/>
    </row>
    <row r="2846">
      <c r="J2846" s="113"/>
    </row>
    <row r="2847">
      <c r="J2847" s="113"/>
    </row>
    <row r="2848">
      <c r="J2848" s="113"/>
    </row>
    <row r="2849">
      <c r="J2849" s="113"/>
    </row>
    <row r="2850">
      <c r="J2850" s="113"/>
    </row>
    <row r="2851">
      <c r="J2851" s="113"/>
    </row>
    <row r="2852">
      <c r="J2852" s="113"/>
    </row>
    <row r="2853">
      <c r="J2853" s="113"/>
    </row>
    <row r="2854">
      <c r="J2854" s="113"/>
    </row>
    <row r="2855">
      <c r="J2855" s="113"/>
    </row>
    <row r="2856">
      <c r="J2856" s="113"/>
    </row>
    <row r="2857">
      <c r="J2857" s="113"/>
    </row>
    <row r="2858">
      <c r="J2858" s="113"/>
    </row>
    <row r="2859">
      <c r="J2859" s="113"/>
    </row>
    <row r="2860">
      <c r="J2860" s="113"/>
    </row>
    <row r="2861">
      <c r="J2861" s="113"/>
    </row>
    <row r="2862">
      <c r="J2862" s="113"/>
    </row>
    <row r="2863">
      <c r="J2863" s="113"/>
    </row>
    <row r="2864">
      <c r="J2864" s="113"/>
    </row>
    <row r="2865">
      <c r="J2865" s="113"/>
    </row>
    <row r="2866">
      <c r="J2866" s="113"/>
    </row>
    <row r="2867">
      <c r="J2867" s="113"/>
    </row>
    <row r="2868">
      <c r="J2868" s="113"/>
    </row>
    <row r="2869">
      <c r="J2869" s="113"/>
    </row>
    <row r="2870">
      <c r="J2870" s="113"/>
    </row>
    <row r="2871">
      <c r="J2871" s="113"/>
    </row>
    <row r="2872">
      <c r="J2872" s="113"/>
    </row>
    <row r="2873">
      <c r="J2873" s="113"/>
    </row>
    <row r="2874">
      <c r="J2874" s="113"/>
    </row>
    <row r="2875">
      <c r="J2875" s="113"/>
    </row>
    <row r="2876">
      <c r="J2876" s="113"/>
    </row>
    <row r="2877">
      <c r="J2877" s="113"/>
    </row>
    <row r="2878">
      <c r="J2878" s="113"/>
    </row>
    <row r="2879">
      <c r="J2879" s="113"/>
    </row>
    <row r="2880">
      <c r="J2880" s="113"/>
    </row>
    <row r="2881">
      <c r="J2881" s="113"/>
    </row>
    <row r="2882">
      <c r="J2882" s="113"/>
    </row>
    <row r="2883">
      <c r="J2883" s="113"/>
    </row>
    <row r="2884">
      <c r="J2884" s="113"/>
    </row>
    <row r="2885">
      <c r="J2885" s="113"/>
    </row>
    <row r="2886">
      <c r="J2886" s="113"/>
    </row>
    <row r="2887">
      <c r="J2887" s="113"/>
    </row>
    <row r="2888">
      <c r="J2888" s="113"/>
    </row>
    <row r="2889">
      <c r="J2889" s="113"/>
    </row>
    <row r="2890">
      <c r="J2890" s="113"/>
    </row>
    <row r="2891">
      <c r="J2891" s="113"/>
    </row>
    <row r="2892">
      <c r="J2892" s="113"/>
    </row>
    <row r="2893">
      <c r="J2893" s="113"/>
    </row>
    <row r="2894">
      <c r="J2894" s="113"/>
    </row>
    <row r="2895">
      <c r="J2895" s="113"/>
    </row>
    <row r="2896">
      <c r="J2896" s="113"/>
    </row>
    <row r="2897">
      <c r="J2897" s="113"/>
    </row>
    <row r="2898">
      <c r="J2898" s="113"/>
    </row>
    <row r="2899">
      <c r="J2899" s="113"/>
    </row>
    <row r="2900">
      <c r="J2900" s="113"/>
    </row>
    <row r="2901">
      <c r="J2901" s="113"/>
    </row>
    <row r="2902">
      <c r="J2902" s="113"/>
    </row>
    <row r="2903">
      <c r="J2903" s="113"/>
    </row>
    <row r="2904">
      <c r="J2904" s="113"/>
    </row>
    <row r="2905">
      <c r="J2905" s="113"/>
    </row>
    <row r="2906">
      <c r="J2906" s="113"/>
    </row>
    <row r="2907">
      <c r="J2907" s="113"/>
    </row>
    <row r="2908">
      <c r="J2908" s="113"/>
    </row>
    <row r="2909">
      <c r="J2909" s="113"/>
    </row>
    <row r="2910">
      <c r="J2910" s="113"/>
    </row>
    <row r="2911">
      <c r="J2911" s="113"/>
    </row>
    <row r="2912">
      <c r="J2912" s="113"/>
    </row>
    <row r="2913">
      <c r="J2913" s="113"/>
    </row>
    <row r="2914">
      <c r="J2914" s="113"/>
    </row>
    <row r="2915">
      <c r="J2915" s="113"/>
    </row>
    <row r="2916">
      <c r="J2916" s="113"/>
    </row>
    <row r="2917">
      <c r="J2917" s="113"/>
    </row>
    <row r="2918">
      <c r="J2918" s="113"/>
    </row>
    <row r="2919">
      <c r="J2919" s="113"/>
    </row>
    <row r="2920">
      <c r="J2920" s="113"/>
    </row>
    <row r="2921">
      <c r="J2921" s="113"/>
    </row>
    <row r="2922">
      <c r="J2922" s="113"/>
    </row>
    <row r="2923">
      <c r="J2923" s="113"/>
    </row>
    <row r="2924">
      <c r="J2924" s="113"/>
    </row>
    <row r="2925">
      <c r="J2925" s="113"/>
    </row>
    <row r="2926">
      <c r="J2926" s="113"/>
    </row>
    <row r="2927">
      <c r="J2927" s="113"/>
    </row>
    <row r="2928">
      <c r="J2928" s="113"/>
    </row>
    <row r="2929">
      <c r="J2929" s="113"/>
    </row>
    <row r="2930">
      <c r="J2930" s="113"/>
    </row>
    <row r="2931">
      <c r="J2931" s="113"/>
    </row>
    <row r="2932">
      <c r="J2932" s="113"/>
    </row>
    <row r="2933">
      <c r="J2933" s="113"/>
    </row>
    <row r="2934">
      <c r="J2934" s="113"/>
    </row>
    <row r="2935">
      <c r="J2935" s="113"/>
    </row>
    <row r="2936">
      <c r="J2936" s="113"/>
    </row>
    <row r="2937">
      <c r="J2937" s="113"/>
    </row>
    <row r="2938">
      <c r="J2938" s="113"/>
    </row>
    <row r="2939">
      <c r="J2939" s="113"/>
    </row>
    <row r="2940">
      <c r="J2940" s="113"/>
    </row>
    <row r="2941">
      <c r="J2941" s="113"/>
    </row>
    <row r="2942">
      <c r="J2942" s="113"/>
    </row>
    <row r="2943">
      <c r="J2943" s="113"/>
    </row>
    <row r="2944">
      <c r="J2944" s="113"/>
    </row>
    <row r="2945">
      <c r="J2945" s="113"/>
    </row>
    <row r="2946">
      <c r="J2946" s="113"/>
    </row>
    <row r="2947">
      <c r="J2947" s="113"/>
    </row>
    <row r="2948">
      <c r="J2948" s="113"/>
    </row>
    <row r="2949">
      <c r="J2949" s="113"/>
    </row>
    <row r="2950">
      <c r="J2950" s="113"/>
    </row>
    <row r="2951">
      <c r="J2951" s="113"/>
    </row>
    <row r="2952">
      <c r="J2952" s="113"/>
    </row>
    <row r="2953">
      <c r="J2953" s="113"/>
    </row>
    <row r="2954">
      <c r="J2954" s="113"/>
    </row>
    <row r="2955">
      <c r="J2955" s="113"/>
    </row>
    <row r="2956">
      <c r="J2956" s="113"/>
    </row>
    <row r="2957">
      <c r="J2957" s="113"/>
    </row>
    <row r="2958">
      <c r="J2958" s="113"/>
    </row>
    <row r="2959">
      <c r="J2959" s="113"/>
    </row>
    <row r="2960">
      <c r="J2960" s="113"/>
    </row>
    <row r="2961">
      <c r="J2961" s="113"/>
    </row>
    <row r="2962">
      <c r="J2962" s="113"/>
    </row>
    <row r="2963">
      <c r="J2963" s="113"/>
    </row>
    <row r="2964">
      <c r="J2964" s="113"/>
    </row>
    <row r="2965">
      <c r="J2965" s="113"/>
    </row>
    <row r="2966">
      <c r="J2966" s="113"/>
    </row>
    <row r="2967">
      <c r="J2967" s="113"/>
    </row>
    <row r="2968">
      <c r="J2968" s="113"/>
    </row>
    <row r="2969">
      <c r="J2969" s="113"/>
    </row>
    <row r="2970">
      <c r="J2970" s="113"/>
    </row>
    <row r="2971">
      <c r="J2971" s="113"/>
    </row>
    <row r="2972">
      <c r="J2972" s="113"/>
    </row>
    <row r="2973">
      <c r="J2973" s="113"/>
    </row>
    <row r="2974">
      <c r="J2974" s="113"/>
    </row>
    <row r="2975">
      <c r="J2975" s="113"/>
    </row>
    <row r="2976">
      <c r="J2976" s="113"/>
    </row>
    <row r="2977">
      <c r="J2977" s="113"/>
    </row>
    <row r="2978">
      <c r="J2978" s="113"/>
    </row>
    <row r="2979">
      <c r="J2979" s="113"/>
    </row>
    <row r="2980">
      <c r="J2980" s="113"/>
    </row>
    <row r="2981">
      <c r="J2981" s="113"/>
    </row>
    <row r="2982">
      <c r="J2982" s="113"/>
    </row>
    <row r="2983">
      <c r="J2983" s="113"/>
    </row>
    <row r="2984">
      <c r="J2984" s="113"/>
    </row>
    <row r="2985">
      <c r="J2985" s="113"/>
    </row>
    <row r="2986">
      <c r="J2986" s="113"/>
    </row>
    <row r="2987">
      <c r="J2987" s="113"/>
    </row>
    <row r="2988">
      <c r="J2988" s="113"/>
    </row>
    <row r="2989">
      <c r="J2989" s="113"/>
    </row>
    <row r="2990">
      <c r="J2990" s="113"/>
    </row>
    <row r="2991">
      <c r="J2991" s="113"/>
    </row>
    <row r="2992">
      <c r="J2992" s="113"/>
    </row>
    <row r="2993">
      <c r="J2993" s="113"/>
    </row>
    <row r="2994">
      <c r="J2994" s="113"/>
    </row>
    <row r="2995">
      <c r="J2995" s="113"/>
    </row>
    <row r="2996">
      <c r="J2996" s="113"/>
    </row>
    <row r="2997">
      <c r="J2997" s="113"/>
    </row>
    <row r="2998">
      <c r="J2998" s="113"/>
    </row>
    <row r="2999">
      <c r="J2999" s="113"/>
    </row>
    <row r="3000">
      <c r="J3000" s="113"/>
    </row>
    <row r="3001">
      <c r="J3001" s="113"/>
    </row>
    <row r="3002">
      <c r="J3002" s="113"/>
    </row>
    <row r="3003">
      <c r="J3003" s="113"/>
    </row>
    <row r="3004">
      <c r="J3004" s="113"/>
    </row>
    <row r="3005">
      <c r="J3005" s="113"/>
    </row>
    <row r="3006">
      <c r="J3006" s="113"/>
    </row>
    <row r="3007">
      <c r="J3007" s="113"/>
    </row>
    <row r="3008">
      <c r="J3008" s="113"/>
    </row>
    <row r="3009">
      <c r="J3009" s="113"/>
    </row>
    <row r="3010">
      <c r="J3010" s="113"/>
    </row>
    <row r="3011">
      <c r="J3011" s="113"/>
    </row>
    <row r="3012">
      <c r="J3012" s="113"/>
    </row>
    <row r="3013">
      <c r="J3013" s="113"/>
    </row>
    <row r="3014">
      <c r="J3014" s="113"/>
    </row>
    <row r="3015">
      <c r="J3015" s="113"/>
    </row>
    <row r="3016">
      <c r="J3016" s="113"/>
    </row>
    <row r="3017">
      <c r="J3017" s="113"/>
    </row>
    <row r="3018">
      <c r="J3018" s="113"/>
    </row>
    <row r="3019">
      <c r="J3019" s="113"/>
    </row>
    <row r="3020">
      <c r="J3020" s="113"/>
    </row>
    <row r="3021">
      <c r="J3021" s="113"/>
    </row>
    <row r="3022">
      <c r="J3022" s="113"/>
    </row>
    <row r="3023">
      <c r="J3023" s="113"/>
    </row>
    <row r="3024">
      <c r="J3024" s="113"/>
    </row>
    <row r="3025">
      <c r="J3025" s="113"/>
    </row>
    <row r="3026">
      <c r="J3026" s="113"/>
    </row>
    <row r="3027">
      <c r="J3027" s="113"/>
    </row>
    <row r="3028">
      <c r="J3028" s="113"/>
    </row>
    <row r="3029">
      <c r="J3029" s="113"/>
    </row>
    <row r="3030">
      <c r="J3030" s="113"/>
    </row>
    <row r="3031">
      <c r="J3031" s="113"/>
    </row>
    <row r="3032">
      <c r="J3032" s="113"/>
    </row>
    <row r="3033">
      <c r="J3033" s="113"/>
    </row>
    <row r="3034">
      <c r="J3034" s="113"/>
    </row>
    <row r="3035">
      <c r="J3035" s="113"/>
    </row>
    <row r="3036">
      <c r="J3036" s="113"/>
    </row>
    <row r="3037">
      <c r="J3037" s="113"/>
    </row>
    <row r="3038">
      <c r="J3038" s="113"/>
    </row>
    <row r="3039">
      <c r="J3039" s="113"/>
    </row>
    <row r="3040">
      <c r="J3040" s="113"/>
    </row>
    <row r="3041">
      <c r="J3041" s="113"/>
    </row>
    <row r="3042">
      <c r="J3042" s="113"/>
    </row>
    <row r="3043">
      <c r="J3043" s="113"/>
    </row>
    <row r="3044">
      <c r="J3044" s="113"/>
    </row>
    <row r="3045">
      <c r="J3045" s="113"/>
    </row>
    <row r="3046">
      <c r="J3046" s="113"/>
    </row>
    <row r="3047">
      <c r="J3047" s="113"/>
    </row>
    <row r="3048">
      <c r="J3048" s="113"/>
    </row>
    <row r="3049">
      <c r="J3049" s="113"/>
    </row>
    <row r="3050">
      <c r="J3050" s="113"/>
    </row>
    <row r="3051">
      <c r="J3051" s="113"/>
    </row>
    <row r="3052">
      <c r="J3052" s="113"/>
    </row>
    <row r="3053">
      <c r="J3053" s="113"/>
    </row>
    <row r="3054">
      <c r="J3054" s="113"/>
    </row>
    <row r="3055">
      <c r="J3055" s="113"/>
    </row>
    <row r="3056">
      <c r="J3056" s="113"/>
    </row>
    <row r="3057">
      <c r="J3057" s="113"/>
    </row>
    <row r="3058">
      <c r="J3058" s="113"/>
    </row>
    <row r="3059">
      <c r="J3059" s="113"/>
    </row>
    <row r="3060">
      <c r="J3060" s="113"/>
    </row>
    <row r="3061">
      <c r="J3061" s="113"/>
    </row>
    <row r="3062">
      <c r="J3062" s="113"/>
    </row>
    <row r="3063">
      <c r="J3063" s="113"/>
    </row>
    <row r="3064">
      <c r="J3064" s="113"/>
    </row>
    <row r="3065">
      <c r="J3065" s="113"/>
    </row>
    <row r="3066">
      <c r="J3066" s="113"/>
    </row>
    <row r="3067">
      <c r="J3067" s="113"/>
    </row>
    <row r="3068">
      <c r="J3068" s="113"/>
    </row>
    <row r="3069">
      <c r="J3069" s="113"/>
    </row>
    <row r="3070">
      <c r="J3070" s="113"/>
    </row>
    <row r="3071">
      <c r="J3071" s="113"/>
    </row>
    <row r="3072">
      <c r="J3072" s="113"/>
    </row>
    <row r="3073">
      <c r="J3073" s="113"/>
    </row>
    <row r="3074">
      <c r="J3074" s="113"/>
    </row>
    <row r="3075">
      <c r="J3075" s="113"/>
    </row>
    <row r="3076">
      <c r="J3076" s="113"/>
    </row>
    <row r="3077">
      <c r="J3077" s="113"/>
    </row>
    <row r="3078">
      <c r="J3078" s="113"/>
    </row>
    <row r="3079">
      <c r="J3079" s="113"/>
    </row>
    <row r="3080">
      <c r="J3080" s="113"/>
    </row>
    <row r="3081">
      <c r="J3081" s="113"/>
    </row>
    <row r="3082">
      <c r="J3082" s="113"/>
    </row>
    <row r="3083">
      <c r="J3083" s="113"/>
    </row>
    <row r="3084">
      <c r="J3084" s="113"/>
    </row>
    <row r="3085">
      <c r="J3085" s="113"/>
    </row>
    <row r="3086">
      <c r="J3086" s="113"/>
    </row>
    <row r="3087">
      <c r="J3087" s="113"/>
    </row>
    <row r="3088">
      <c r="J3088" s="113"/>
    </row>
    <row r="3089">
      <c r="J3089" s="113"/>
    </row>
    <row r="3090">
      <c r="J3090" s="113"/>
    </row>
    <row r="3091">
      <c r="J3091" s="113"/>
    </row>
    <row r="3092">
      <c r="J3092" s="113"/>
    </row>
    <row r="3093">
      <c r="J3093" s="113"/>
    </row>
    <row r="3094">
      <c r="J3094" s="113"/>
    </row>
    <row r="3095">
      <c r="J3095" s="113"/>
    </row>
    <row r="3096">
      <c r="J3096" s="113"/>
    </row>
    <row r="3097">
      <c r="J3097" s="113"/>
    </row>
    <row r="3098">
      <c r="J3098" s="113"/>
    </row>
    <row r="3099">
      <c r="J3099" s="113"/>
    </row>
    <row r="3100">
      <c r="J3100" s="113"/>
    </row>
    <row r="3101">
      <c r="J3101" s="113"/>
    </row>
    <row r="3102">
      <c r="J3102" s="113"/>
    </row>
    <row r="3103">
      <c r="J3103" s="113"/>
    </row>
    <row r="3104">
      <c r="J3104" s="113"/>
    </row>
    <row r="3105">
      <c r="J3105" s="113"/>
    </row>
    <row r="3106">
      <c r="J3106" s="113"/>
    </row>
    <row r="3107">
      <c r="J3107" s="113"/>
    </row>
    <row r="3108">
      <c r="J3108" s="113"/>
    </row>
    <row r="3109">
      <c r="J3109" s="113"/>
    </row>
    <row r="3110">
      <c r="J3110" s="113"/>
    </row>
    <row r="3111">
      <c r="J3111" s="113"/>
    </row>
    <row r="3112">
      <c r="J3112" s="113"/>
    </row>
    <row r="3113">
      <c r="J3113" s="113"/>
    </row>
    <row r="3114">
      <c r="J3114" s="113"/>
    </row>
    <row r="3115">
      <c r="J3115" s="113"/>
    </row>
    <row r="3116">
      <c r="J3116" s="113"/>
    </row>
    <row r="3117">
      <c r="J3117" s="113"/>
    </row>
    <row r="3118">
      <c r="J3118" s="113"/>
    </row>
    <row r="3119">
      <c r="J3119" s="113"/>
    </row>
    <row r="3120">
      <c r="J3120" s="113"/>
    </row>
    <row r="3121">
      <c r="J3121" s="113"/>
    </row>
    <row r="3122">
      <c r="J3122" s="113"/>
    </row>
    <row r="3123">
      <c r="J3123" s="113"/>
    </row>
    <row r="3124">
      <c r="J3124" s="113"/>
    </row>
    <row r="3125">
      <c r="J3125" s="113"/>
    </row>
    <row r="3126">
      <c r="J3126" s="113"/>
    </row>
    <row r="3127">
      <c r="J3127" s="113"/>
    </row>
    <row r="3128">
      <c r="J3128" s="113"/>
    </row>
    <row r="3129">
      <c r="J3129" s="113"/>
    </row>
    <row r="3130">
      <c r="J3130" s="113"/>
    </row>
    <row r="3131">
      <c r="J3131" s="113"/>
    </row>
    <row r="3132">
      <c r="J3132" s="113"/>
    </row>
    <row r="3133">
      <c r="J3133" s="113"/>
    </row>
    <row r="3134">
      <c r="J3134" s="113"/>
    </row>
    <row r="3135">
      <c r="J3135" s="113"/>
    </row>
    <row r="3136">
      <c r="J3136" s="113"/>
    </row>
    <row r="3137">
      <c r="J3137" s="113"/>
    </row>
    <row r="3138">
      <c r="J3138" s="113"/>
    </row>
    <row r="3139">
      <c r="J3139" s="113"/>
    </row>
    <row r="3140">
      <c r="J3140" s="113"/>
    </row>
    <row r="3141">
      <c r="J3141" s="113"/>
    </row>
    <row r="3142">
      <c r="J3142" s="113"/>
    </row>
    <row r="3143">
      <c r="J3143" s="113"/>
    </row>
    <row r="3144">
      <c r="J3144" s="113"/>
    </row>
    <row r="3145">
      <c r="J3145" s="113"/>
    </row>
    <row r="3146">
      <c r="J3146" s="113"/>
    </row>
    <row r="3147">
      <c r="J3147" s="113"/>
    </row>
    <row r="3148">
      <c r="J3148" s="113"/>
    </row>
    <row r="3149">
      <c r="J3149" s="113"/>
    </row>
    <row r="3150">
      <c r="J3150" s="113"/>
    </row>
    <row r="3151">
      <c r="J3151" s="113"/>
    </row>
    <row r="3152">
      <c r="J3152" s="113"/>
    </row>
    <row r="3153">
      <c r="J3153" s="113"/>
    </row>
    <row r="3154">
      <c r="J3154" s="113"/>
    </row>
    <row r="3155">
      <c r="J3155" s="113"/>
    </row>
    <row r="3156">
      <c r="J3156" s="113"/>
    </row>
    <row r="3157">
      <c r="J3157" s="113"/>
    </row>
    <row r="3158">
      <c r="J3158" s="113"/>
    </row>
    <row r="3159">
      <c r="J3159" s="113"/>
    </row>
    <row r="3160">
      <c r="J3160" s="113"/>
    </row>
    <row r="3161">
      <c r="J3161" s="113"/>
    </row>
    <row r="3162">
      <c r="J3162" s="113"/>
    </row>
    <row r="3163">
      <c r="J3163" s="113"/>
    </row>
    <row r="3164">
      <c r="J3164" s="113"/>
    </row>
    <row r="3165">
      <c r="J3165" s="113"/>
    </row>
    <row r="3166">
      <c r="J3166" s="113"/>
    </row>
    <row r="3167">
      <c r="J3167" s="113"/>
    </row>
    <row r="3168">
      <c r="J3168" s="113"/>
    </row>
    <row r="3169">
      <c r="J3169" s="113"/>
    </row>
    <row r="3170">
      <c r="J3170" s="113"/>
    </row>
    <row r="3171">
      <c r="J3171" s="113"/>
    </row>
    <row r="3172">
      <c r="J3172" s="113"/>
    </row>
    <row r="3173">
      <c r="J3173" s="113"/>
    </row>
    <row r="3174">
      <c r="J3174" s="113"/>
    </row>
    <row r="3175">
      <c r="J3175" s="113"/>
    </row>
    <row r="3176">
      <c r="J3176" s="113"/>
    </row>
    <row r="3177">
      <c r="J3177" s="113"/>
    </row>
    <row r="3178">
      <c r="J3178" s="113"/>
    </row>
    <row r="3179">
      <c r="J3179" s="113"/>
    </row>
    <row r="3180">
      <c r="J3180" s="113"/>
    </row>
    <row r="3181">
      <c r="J3181" s="113"/>
    </row>
    <row r="3182">
      <c r="J3182" s="113"/>
    </row>
    <row r="3183">
      <c r="J3183" s="113"/>
    </row>
    <row r="3184">
      <c r="J3184" s="113"/>
    </row>
    <row r="3185">
      <c r="J3185" s="113"/>
    </row>
    <row r="3186">
      <c r="J3186" s="113"/>
    </row>
    <row r="3187">
      <c r="J3187" s="113"/>
    </row>
    <row r="3188">
      <c r="J3188" s="113"/>
    </row>
    <row r="3189">
      <c r="J3189" s="113"/>
    </row>
    <row r="3190">
      <c r="J3190" s="113"/>
    </row>
    <row r="3191">
      <c r="J3191" s="113"/>
    </row>
    <row r="3192">
      <c r="J3192" s="113"/>
    </row>
    <row r="3193">
      <c r="J3193" s="113"/>
    </row>
    <row r="3194">
      <c r="J3194" s="113"/>
    </row>
    <row r="3195">
      <c r="J3195" s="113"/>
    </row>
    <row r="3196">
      <c r="J3196" s="113"/>
    </row>
    <row r="3197">
      <c r="J3197" s="113"/>
    </row>
    <row r="3198">
      <c r="J3198" s="113"/>
    </row>
    <row r="3199">
      <c r="J3199" s="113"/>
    </row>
    <row r="3200">
      <c r="J3200" s="113"/>
    </row>
    <row r="3201">
      <c r="J3201" s="113"/>
    </row>
    <row r="3202">
      <c r="J3202" s="113"/>
    </row>
    <row r="3203">
      <c r="J3203" s="113"/>
    </row>
    <row r="3204">
      <c r="J3204" s="113"/>
    </row>
    <row r="3205">
      <c r="J3205" s="113"/>
    </row>
    <row r="3206">
      <c r="J3206" s="113"/>
    </row>
    <row r="3207">
      <c r="J3207" s="113"/>
    </row>
    <row r="3208">
      <c r="J3208" s="113"/>
    </row>
    <row r="3209">
      <c r="J3209" s="113"/>
    </row>
    <row r="3210">
      <c r="J3210" s="113"/>
    </row>
    <row r="3211">
      <c r="J3211" s="113"/>
    </row>
    <row r="3212">
      <c r="J3212" s="113"/>
    </row>
    <row r="3213">
      <c r="J3213" s="113"/>
    </row>
    <row r="3214">
      <c r="J3214" s="113"/>
    </row>
    <row r="3215">
      <c r="J3215" s="113"/>
    </row>
    <row r="3216">
      <c r="J3216" s="113"/>
    </row>
    <row r="3217">
      <c r="J3217" s="113"/>
    </row>
    <row r="3218">
      <c r="J3218" s="113"/>
    </row>
    <row r="3219">
      <c r="J3219" s="113"/>
    </row>
    <row r="3220">
      <c r="J3220" s="113"/>
    </row>
    <row r="3221">
      <c r="J3221" s="113"/>
    </row>
    <row r="3222">
      <c r="J3222" s="113"/>
    </row>
    <row r="3223">
      <c r="J3223" s="113"/>
    </row>
    <row r="3224">
      <c r="J3224" s="113"/>
    </row>
    <row r="3225">
      <c r="J3225" s="113"/>
    </row>
    <row r="3226">
      <c r="J3226" s="113"/>
    </row>
    <row r="3227">
      <c r="J3227" s="113"/>
    </row>
    <row r="3228">
      <c r="J3228" s="113"/>
    </row>
    <row r="3229">
      <c r="J3229" s="113"/>
    </row>
    <row r="3230">
      <c r="J3230" s="113"/>
    </row>
    <row r="3231">
      <c r="J3231" s="113"/>
    </row>
    <row r="3232">
      <c r="J3232" s="113"/>
    </row>
    <row r="3233">
      <c r="J3233" s="113"/>
    </row>
    <row r="3234">
      <c r="J3234" s="113"/>
    </row>
    <row r="3235">
      <c r="J3235" s="113"/>
    </row>
    <row r="3236">
      <c r="J3236" s="113"/>
    </row>
    <row r="3237">
      <c r="J3237" s="113"/>
    </row>
    <row r="3238">
      <c r="J3238" s="113"/>
    </row>
    <row r="3239">
      <c r="J3239" s="113"/>
    </row>
    <row r="3240">
      <c r="J3240" s="113"/>
    </row>
    <row r="3241">
      <c r="J3241" s="113"/>
    </row>
    <row r="3242">
      <c r="J3242" s="113"/>
    </row>
    <row r="3243">
      <c r="J3243" s="113"/>
    </row>
    <row r="3244">
      <c r="J3244" s="113"/>
    </row>
    <row r="3245">
      <c r="J3245" s="113"/>
    </row>
    <row r="3246">
      <c r="J3246" s="113"/>
    </row>
    <row r="3247">
      <c r="J3247" s="113"/>
    </row>
    <row r="3248">
      <c r="J3248" s="113"/>
    </row>
    <row r="3249">
      <c r="J3249" s="113"/>
    </row>
    <row r="3250">
      <c r="J3250" s="113"/>
    </row>
    <row r="3251">
      <c r="J3251" s="113"/>
    </row>
    <row r="3252">
      <c r="J3252" s="113"/>
    </row>
    <row r="3253">
      <c r="J3253" s="113"/>
    </row>
    <row r="3254">
      <c r="J3254" s="113"/>
    </row>
    <row r="3255">
      <c r="J3255" s="113"/>
    </row>
    <row r="3256">
      <c r="J3256" s="113"/>
    </row>
    <row r="3257">
      <c r="J3257" s="113"/>
    </row>
    <row r="3258">
      <c r="J3258" s="113"/>
    </row>
    <row r="3259">
      <c r="J3259" s="113"/>
    </row>
    <row r="3260">
      <c r="J3260" s="113"/>
    </row>
    <row r="3261">
      <c r="J3261" s="113"/>
    </row>
    <row r="3262">
      <c r="J3262" s="113"/>
    </row>
    <row r="3263">
      <c r="J3263" s="113"/>
    </row>
    <row r="3264">
      <c r="J3264" s="113"/>
    </row>
    <row r="3265">
      <c r="J3265" s="113"/>
    </row>
    <row r="3266">
      <c r="J3266" s="113"/>
    </row>
    <row r="3267">
      <c r="J3267" s="113"/>
    </row>
    <row r="3268">
      <c r="J3268" s="113"/>
    </row>
    <row r="3269">
      <c r="J3269" s="113"/>
    </row>
    <row r="3270">
      <c r="J3270" s="113"/>
    </row>
    <row r="3271">
      <c r="J3271" s="113"/>
    </row>
    <row r="3272">
      <c r="J3272" s="113"/>
    </row>
    <row r="3273">
      <c r="J3273" s="113"/>
    </row>
    <row r="3274">
      <c r="J3274" s="113"/>
    </row>
    <row r="3275">
      <c r="J3275" s="113"/>
    </row>
    <row r="3276">
      <c r="J3276" s="113"/>
    </row>
    <row r="3277">
      <c r="J3277" s="113"/>
    </row>
    <row r="3278">
      <c r="J3278" s="113"/>
    </row>
    <row r="3279">
      <c r="J3279" s="113"/>
    </row>
    <row r="3280">
      <c r="J3280" s="113"/>
    </row>
    <row r="3281">
      <c r="J3281" s="113"/>
    </row>
    <row r="3282">
      <c r="J3282" s="113"/>
    </row>
    <row r="3283">
      <c r="J3283" s="113"/>
    </row>
    <row r="3284">
      <c r="J3284" s="113"/>
    </row>
    <row r="3285">
      <c r="J3285" s="113"/>
    </row>
    <row r="3286">
      <c r="J3286" s="113"/>
    </row>
    <row r="3287">
      <c r="J3287" s="113"/>
    </row>
    <row r="3288">
      <c r="J3288" s="113"/>
    </row>
    <row r="3289">
      <c r="J3289" s="113"/>
    </row>
    <row r="3290">
      <c r="J3290" s="113"/>
    </row>
    <row r="3291">
      <c r="J3291" s="113"/>
    </row>
    <row r="3292">
      <c r="J3292" s="113"/>
    </row>
    <row r="3293">
      <c r="J3293" s="113"/>
    </row>
    <row r="3294">
      <c r="J3294" s="113"/>
    </row>
    <row r="3295">
      <c r="J3295" s="113"/>
    </row>
    <row r="3296">
      <c r="J3296" s="113"/>
    </row>
    <row r="3297">
      <c r="J3297" s="113"/>
    </row>
    <row r="3298">
      <c r="J3298" s="113"/>
    </row>
    <row r="3299">
      <c r="J3299" s="113"/>
    </row>
    <row r="3300">
      <c r="J3300" s="113"/>
    </row>
    <row r="3301">
      <c r="J3301" s="113"/>
    </row>
    <row r="3302">
      <c r="J3302" s="113"/>
    </row>
    <row r="3303">
      <c r="J3303" s="113"/>
    </row>
    <row r="3304">
      <c r="J3304" s="113"/>
    </row>
    <row r="3305">
      <c r="J3305" s="113"/>
    </row>
    <row r="3306">
      <c r="J3306" s="113"/>
    </row>
    <row r="3307">
      <c r="J3307" s="113"/>
    </row>
    <row r="3308">
      <c r="J3308" s="113"/>
    </row>
    <row r="3309">
      <c r="J3309" s="113"/>
    </row>
    <row r="3310">
      <c r="J3310" s="113"/>
    </row>
    <row r="3311">
      <c r="J3311" s="113"/>
    </row>
    <row r="3312">
      <c r="J3312" s="113"/>
    </row>
    <row r="3313">
      <c r="J3313" s="113"/>
    </row>
    <row r="3314">
      <c r="J3314" s="113"/>
    </row>
    <row r="3315">
      <c r="J3315" s="113"/>
    </row>
    <row r="3316">
      <c r="J3316" s="113"/>
    </row>
    <row r="3317">
      <c r="J3317" s="113"/>
    </row>
    <row r="3318">
      <c r="J3318" s="113"/>
    </row>
    <row r="3319">
      <c r="J3319" s="113"/>
    </row>
    <row r="3320">
      <c r="J3320" s="113"/>
    </row>
    <row r="3321">
      <c r="J3321" s="113"/>
    </row>
    <row r="3322">
      <c r="J3322" s="113"/>
    </row>
    <row r="3323">
      <c r="J3323" s="113"/>
    </row>
    <row r="3324">
      <c r="J3324" s="113"/>
    </row>
    <row r="3325">
      <c r="J3325" s="113"/>
    </row>
    <row r="3326">
      <c r="J3326" s="113"/>
    </row>
    <row r="3327">
      <c r="J3327" s="113"/>
    </row>
    <row r="3328">
      <c r="J3328" s="113"/>
    </row>
    <row r="3329">
      <c r="J3329" s="113"/>
    </row>
    <row r="3330">
      <c r="J3330" s="113"/>
    </row>
    <row r="3331">
      <c r="J3331" s="113"/>
    </row>
    <row r="3332">
      <c r="J3332" s="113"/>
    </row>
    <row r="3333">
      <c r="J3333" s="113"/>
    </row>
    <row r="3334">
      <c r="J3334" s="113"/>
    </row>
    <row r="3335">
      <c r="J3335" s="113"/>
    </row>
    <row r="3336">
      <c r="J3336" s="113"/>
    </row>
    <row r="3337">
      <c r="J3337" s="113"/>
    </row>
    <row r="3338">
      <c r="J3338" s="113"/>
    </row>
    <row r="3339">
      <c r="J3339" s="113"/>
    </row>
    <row r="3340">
      <c r="J3340" s="113"/>
    </row>
    <row r="3341">
      <c r="J3341" s="113"/>
    </row>
    <row r="3342">
      <c r="J3342" s="113"/>
    </row>
    <row r="3343">
      <c r="J3343" s="113"/>
    </row>
    <row r="3344">
      <c r="J3344" s="113"/>
    </row>
    <row r="3345">
      <c r="J3345" s="113"/>
    </row>
    <row r="3346">
      <c r="J3346" s="113"/>
    </row>
    <row r="3347">
      <c r="J3347" s="113"/>
    </row>
    <row r="3348">
      <c r="J3348" s="113"/>
    </row>
    <row r="3349">
      <c r="J3349" s="113"/>
    </row>
    <row r="3350">
      <c r="J3350" s="113"/>
    </row>
    <row r="3351">
      <c r="J3351" s="113"/>
    </row>
    <row r="3352">
      <c r="J3352" s="113"/>
    </row>
    <row r="3353">
      <c r="J3353" s="113"/>
    </row>
    <row r="3354">
      <c r="J3354" s="113"/>
    </row>
    <row r="3355">
      <c r="J3355" s="113"/>
    </row>
    <row r="3356">
      <c r="J3356" s="113"/>
    </row>
    <row r="3357">
      <c r="J3357" s="113"/>
    </row>
    <row r="3358">
      <c r="J3358" s="113"/>
    </row>
    <row r="3359">
      <c r="J3359" s="113"/>
    </row>
    <row r="3360">
      <c r="J3360" s="113"/>
    </row>
    <row r="3361">
      <c r="J3361" s="113"/>
    </row>
    <row r="3362">
      <c r="J3362" s="113"/>
    </row>
    <row r="3363">
      <c r="J3363" s="113"/>
    </row>
    <row r="3364">
      <c r="J3364" s="113"/>
    </row>
    <row r="3365">
      <c r="J3365" s="113"/>
    </row>
    <row r="3366">
      <c r="J3366" s="113"/>
    </row>
    <row r="3367">
      <c r="J3367" s="113"/>
    </row>
    <row r="3368">
      <c r="J3368" s="113"/>
    </row>
    <row r="3369">
      <c r="J3369" s="113"/>
    </row>
    <row r="3370">
      <c r="J3370" s="113"/>
    </row>
    <row r="3371">
      <c r="J3371" s="113"/>
    </row>
    <row r="3372">
      <c r="J3372" s="113"/>
    </row>
    <row r="3373">
      <c r="J3373" s="113"/>
    </row>
    <row r="3374">
      <c r="J3374" s="113"/>
    </row>
    <row r="3375">
      <c r="J3375" s="113"/>
    </row>
    <row r="3376">
      <c r="J3376" s="113"/>
    </row>
    <row r="3377">
      <c r="J3377" s="113"/>
    </row>
    <row r="3378">
      <c r="J3378" s="113"/>
    </row>
    <row r="3379">
      <c r="J3379" s="113"/>
    </row>
    <row r="3380">
      <c r="J3380" s="113"/>
    </row>
    <row r="3381">
      <c r="J3381" s="113"/>
    </row>
    <row r="3382">
      <c r="J3382" s="113"/>
    </row>
    <row r="3383">
      <c r="J3383" s="113"/>
    </row>
    <row r="3384">
      <c r="J3384" s="113"/>
    </row>
    <row r="3385">
      <c r="J3385" s="113"/>
    </row>
    <row r="3386">
      <c r="J3386" s="113"/>
    </row>
    <row r="3387">
      <c r="J3387" s="113"/>
    </row>
    <row r="3388">
      <c r="J3388" s="113"/>
    </row>
    <row r="3389">
      <c r="J3389" s="113"/>
    </row>
    <row r="3390">
      <c r="J3390" s="113"/>
    </row>
    <row r="3391">
      <c r="J3391" s="113"/>
    </row>
    <row r="3392">
      <c r="J3392" s="113"/>
    </row>
    <row r="3393">
      <c r="J3393" s="113"/>
    </row>
    <row r="3394">
      <c r="J3394" s="113"/>
    </row>
    <row r="3395">
      <c r="J3395" s="113"/>
    </row>
    <row r="3396">
      <c r="J3396" s="113"/>
    </row>
    <row r="3397">
      <c r="J3397" s="113"/>
    </row>
    <row r="3398">
      <c r="J3398" s="113"/>
    </row>
    <row r="3399">
      <c r="J3399" s="113"/>
    </row>
    <row r="3400">
      <c r="J3400" s="113"/>
    </row>
    <row r="3401">
      <c r="J3401" s="113"/>
    </row>
    <row r="3402">
      <c r="J3402" s="113"/>
    </row>
    <row r="3403">
      <c r="J3403" s="113"/>
    </row>
    <row r="3404">
      <c r="J3404" s="113"/>
    </row>
    <row r="3405">
      <c r="J3405" s="113"/>
    </row>
    <row r="3406">
      <c r="J3406" s="113"/>
    </row>
    <row r="3407">
      <c r="J3407" s="113"/>
    </row>
    <row r="3408">
      <c r="J3408" s="113"/>
    </row>
    <row r="3409">
      <c r="J3409" s="113"/>
    </row>
    <row r="3410">
      <c r="J3410" s="113"/>
    </row>
    <row r="3411">
      <c r="J3411" s="113"/>
    </row>
    <row r="3412">
      <c r="J3412" s="113"/>
    </row>
    <row r="3413">
      <c r="J3413" s="113"/>
    </row>
    <row r="3414">
      <c r="J3414" s="113"/>
    </row>
    <row r="3415">
      <c r="J3415" s="113"/>
    </row>
    <row r="3416">
      <c r="J3416" s="113"/>
    </row>
    <row r="3417">
      <c r="J3417" s="113"/>
    </row>
    <row r="3418">
      <c r="J3418" s="113"/>
    </row>
    <row r="3419">
      <c r="J3419" s="113"/>
    </row>
    <row r="3420">
      <c r="J3420" s="113"/>
    </row>
    <row r="3421">
      <c r="J3421" s="113"/>
    </row>
    <row r="3422">
      <c r="J3422" s="113"/>
    </row>
    <row r="3423">
      <c r="J3423" s="113"/>
    </row>
    <row r="3424">
      <c r="J3424" s="113"/>
    </row>
    <row r="3425">
      <c r="J3425" s="113"/>
    </row>
    <row r="3426">
      <c r="J3426" s="113"/>
    </row>
    <row r="3427">
      <c r="J3427" s="113"/>
    </row>
    <row r="3428">
      <c r="J3428" s="113"/>
    </row>
    <row r="3429">
      <c r="J3429" s="113"/>
    </row>
    <row r="3430">
      <c r="J3430" s="113"/>
    </row>
    <row r="3431">
      <c r="J3431" s="113"/>
    </row>
    <row r="3432">
      <c r="J3432" s="113"/>
    </row>
    <row r="3433">
      <c r="J3433" s="113"/>
    </row>
    <row r="3434">
      <c r="J3434" s="113"/>
    </row>
    <row r="3435">
      <c r="J3435" s="113"/>
    </row>
    <row r="3436">
      <c r="J3436" s="113"/>
    </row>
    <row r="3437">
      <c r="J3437" s="113"/>
    </row>
    <row r="3438">
      <c r="J3438" s="113"/>
    </row>
    <row r="3439">
      <c r="J3439" s="113"/>
    </row>
    <row r="3440">
      <c r="J3440" s="113"/>
    </row>
    <row r="3441">
      <c r="J3441" s="113"/>
    </row>
    <row r="3442">
      <c r="J3442" s="113"/>
    </row>
    <row r="3443">
      <c r="J3443" s="113"/>
    </row>
    <row r="3444">
      <c r="J3444" s="113"/>
    </row>
    <row r="3445">
      <c r="J3445" s="113"/>
    </row>
    <row r="3446">
      <c r="J3446" s="113"/>
    </row>
    <row r="3447">
      <c r="J3447" s="113"/>
    </row>
    <row r="3448">
      <c r="J3448" s="113"/>
    </row>
    <row r="3449">
      <c r="J3449" s="113"/>
    </row>
    <row r="3450">
      <c r="J3450" s="113"/>
    </row>
    <row r="3451">
      <c r="J3451" s="113"/>
    </row>
    <row r="3452">
      <c r="J3452" s="113"/>
    </row>
    <row r="3453">
      <c r="J3453" s="113"/>
    </row>
    <row r="3454">
      <c r="J3454" s="113"/>
    </row>
    <row r="3455">
      <c r="J3455" s="113"/>
    </row>
    <row r="3456">
      <c r="J3456" s="113"/>
    </row>
    <row r="3457">
      <c r="J3457" s="113"/>
    </row>
    <row r="3458">
      <c r="J3458" s="113"/>
    </row>
    <row r="3459">
      <c r="J3459" s="113"/>
    </row>
    <row r="3460">
      <c r="J3460" s="113"/>
    </row>
    <row r="3461">
      <c r="J3461" s="113"/>
    </row>
    <row r="3462">
      <c r="J3462" s="113"/>
    </row>
    <row r="3463">
      <c r="J3463" s="113"/>
    </row>
    <row r="3464">
      <c r="J3464" s="113"/>
    </row>
    <row r="3465">
      <c r="J3465" s="113"/>
    </row>
    <row r="3466">
      <c r="J3466" s="113"/>
    </row>
    <row r="3467">
      <c r="J3467" s="113"/>
    </row>
    <row r="3468">
      <c r="J3468" s="113"/>
    </row>
    <row r="3469">
      <c r="J3469" s="113"/>
    </row>
    <row r="3470">
      <c r="J3470" s="113"/>
    </row>
    <row r="3471">
      <c r="J3471" s="113"/>
    </row>
    <row r="3472">
      <c r="J3472" s="113"/>
    </row>
    <row r="3473">
      <c r="J3473" s="113"/>
    </row>
    <row r="3474">
      <c r="J3474" s="113"/>
    </row>
    <row r="3475">
      <c r="J3475" s="113"/>
    </row>
    <row r="3476">
      <c r="J3476" s="113"/>
    </row>
    <row r="3477">
      <c r="J3477" s="113"/>
    </row>
    <row r="3478">
      <c r="J3478" s="113"/>
    </row>
    <row r="3479">
      <c r="J3479" s="113"/>
    </row>
    <row r="3480">
      <c r="J3480" s="113"/>
    </row>
    <row r="3481">
      <c r="J3481" s="113"/>
    </row>
    <row r="3482">
      <c r="J3482" s="113"/>
    </row>
    <row r="3483">
      <c r="J3483" s="113"/>
    </row>
    <row r="3484">
      <c r="J3484" s="113"/>
    </row>
    <row r="3485">
      <c r="J3485" s="113"/>
    </row>
    <row r="3486">
      <c r="J3486" s="113"/>
    </row>
    <row r="3487">
      <c r="J3487" s="113"/>
    </row>
    <row r="3488">
      <c r="J3488" s="113"/>
    </row>
    <row r="3489">
      <c r="J3489" s="113"/>
    </row>
    <row r="3490">
      <c r="J3490" s="113"/>
    </row>
    <row r="3491">
      <c r="J3491" s="113"/>
    </row>
    <row r="3492">
      <c r="J3492" s="113"/>
    </row>
    <row r="3493">
      <c r="J3493" s="113"/>
    </row>
    <row r="3494">
      <c r="J3494" s="113"/>
    </row>
    <row r="3495">
      <c r="J3495" s="113"/>
    </row>
    <row r="3496">
      <c r="J3496" s="113"/>
    </row>
    <row r="3497">
      <c r="J3497" s="113"/>
    </row>
    <row r="3498">
      <c r="J3498" s="113"/>
    </row>
    <row r="3499">
      <c r="J3499" s="113"/>
    </row>
    <row r="3500">
      <c r="J3500" s="113"/>
    </row>
    <row r="3501">
      <c r="J3501" s="113"/>
    </row>
    <row r="3502">
      <c r="J3502" s="113"/>
    </row>
    <row r="3503">
      <c r="J3503" s="113"/>
    </row>
    <row r="3504">
      <c r="J3504" s="113"/>
    </row>
    <row r="3505">
      <c r="J3505" s="113"/>
    </row>
    <row r="3506">
      <c r="J3506" s="113"/>
    </row>
    <row r="3507">
      <c r="J3507" s="113"/>
    </row>
    <row r="3508">
      <c r="J3508" s="113"/>
    </row>
    <row r="3509">
      <c r="J3509" s="113"/>
    </row>
    <row r="3510">
      <c r="J3510" s="113"/>
    </row>
    <row r="3511">
      <c r="J3511" s="113"/>
    </row>
    <row r="3512">
      <c r="J3512" s="113"/>
    </row>
    <row r="3513">
      <c r="J3513" s="113"/>
    </row>
    <row r="3514">
      <c r="J3514" s="113"/>
    </row>
    <row r="3515">
      <c r="J3515" s="113"/>
    </row>
    <row r="3516">
      <c r="J3516" s="113"/>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121" t="str">
        <f>IFERROR(__xludf.DUMMYFUNCTION("IFERROR(FILTER(Rentals!A2:ZZ1000, Rentals!K2:K1000 = Calculator!B2), """")
"),"https://utrucking.myshopify.com/admin/orders?query=15160")</f>
        <v>https://utrucking.myshopify.com/admin/orders?query=15160</v>
      </c>
      <c r="B1" s="93" t="str">
        <f>IFERROR(__xludf.DUMMYFUNCTION("""COMPUTED_VALUE"""),"#15160")</f>
        <v>#15160</v>
      </c>
      <c r="C1" s="93"/>
      <c r="D1" s="93">
        <f>IFERROR(__xludf.DUMMYFUNCTION("""COMPUTED_VALUE"""),8.323688395E9)</f>
        <v>8323688395</v>
      </c>
      <c r="E1" s="93" t="str">
        <f>IFERROR(__xludf.DUMMYFUNCTION("""COMPUTED_VALUE"""),"Anshula Greene")</f>
        <v>Anshula Greene</v>
      </c>
      <c r="F1" s="93"/>
      <c r="G1" s="93"/>
      <c r="H1" s="93" t="str">
        <f>IFERROR(__xludf.DUMMYFUNCTION("""COMPUTED_VALUE"""),"Appliance Rental")</f>
        <v>Appliance Rental</v>
      </c>
      <c r="I1" s="93" t="str">
        <f>IFERROR(__xludf.DUMMYFUNCTION("""COMPUTED_VALUE"""),"Double-Door Mini Fridge")</f>
        <v>Double-Door Mini Fridge</v>
      </c>
      <c r="J1" s="113"/>
      <c r="K1" s="93">
        <f>IFERROR(__xludf.DUMMYFUNCTION("""COMPUTED_VALUE"""),45881.0)</f>
        <v>45881</v>
      </c>
      <c r="L1" s="126" t="str">
        <f>IFERROR(__xludf.DUMMYFUNCTION("""COMPUTED_VALUE"""),"Lien")</f>
        <v>Lien</v>
      </c>
      <c r="M1" s="93" t="str">
        <f>IFERROR(__xludf.DUMMYFUNCTION("""COMPUTED_VALUE"""),"XXX")</f>
        <v>XXX</v>
      </c>
      <c r="N1" s="93" t="str">
        <f>IFERROR(__xludf.DUMMYFUNCTION("""COMPUTED_VALUE"""),"Roshan Greene - 2029")</f>
        <v>Roshan Greene - 2029</v>
      </c>
      <c r="O1" s="93" t="b">
        <f>IFERROR(__xludf.DUMMYFUNCTION("""COMPUTED_VALUE"""),TRUE)</f>
        <v>1</v>
      </c>
      <c r="P1" s="93" t="str">
        <f>IFERROR(__xludf.DUMMYFUNCTION("""COMPUTED_VALUE"""),"09:00 AM - 11:00 AM")</f>
        <v>09:00 AM - 11:00 AM</v>
      </c>
      <c r="Q1" s="93"/>
      <c r="R1" s="93"/>
      <c r="S1" s="93"/>
      <c r="T1" s="93"/>
      <c r="U1" s="93"/>
      <c r="V1" s="93"/>
      <c r="W1" s="93"/>
      <c r="X1" s="93"/>
      <c r="Y1" s="93"/>
      <c r="Z1" s="93"/>
    </row>
    <row r="2">
      <c r="A2" s="121" t="str">
        <f>IFERROR(__xludf.DUMMYFUNCTION("""COMPUTED_VALUE"""),"https://utrucking.myshopify.com/admin/orders?query=15175")</f>
        <v>https://utrucking.myshopify.com/admin/orders?query=15175</v>
      </c>
      <c r="B2" s="93" t="str">
        <f>IFERROR(__xludf.DUMMYFUNCTION("""COMPUTED_VALUE"""),"#15175")</f>
        <v>#15175</v>
      </c>
      <c r="C2" s="93"/>
      <c r="D2" s="93">
        <f>IFERROR(__xludf.DUMMYFUNCTION("""COMPUTED_VALUE"""),1.4024294779E10)</f>
        <v>14024294779</v>
      </c>
      <c r="E2" s="93" t="str">
        <f>IFERROR(__xludf.DUMMYFUNCTION("""COMPUTED_VALUE"""),"Tammy Stevenson")</f>
        <v>Tammy Stevenson</v>
      </c>
      <c r="F2" s="93"/>
      <c r="G2" s="93"/>
      <c r="H2" s="93" t="str">
        <f>IFERROR(__xludf.DUMMYFUNCTION("""COMPUTED_VALUE"""),"Appliance Rental")</f>
        <v>Appliance Rental</v>
      </c>
      <c r="I2" s="93" t="str">
        <f>IFERROR(__xludf.DUMMYFUNCTION("""COMPUTED_VALUE"""),"Double-Door Mini Fridge + Microwave")</f>
        <v>Double-Door Mini Fridge + Microwave</v>
      </c>
      <c r="J2" s="113"/>
      <c r="K2" s="93">
        <f>IFERROR(__xludf.DUMMYFUNCTION("""COMPUTED_VALUE"""),45881.0)</f>
        <v>45881</v>
      </c>
      <c r="L2" s="126" t="str">
        <f>IFERROR(__xludf.DUMMYFUNCTION("""COMPUTED_VALUE"""),"Park")</f>
        <v>Park</v>
      </c>
      <c r="M2" s="93" t="str">
        <f>IFERROR(__xludf.DUMMYFUNCTION("""COMPUTED_VALUE"""),"272-b")</f>
        <v>272-b</v>
      </c>
      <c r="N2" s="93"/>
      <c r="O2" s="93" t="b">
        <f>IFERROR(__xludf.DUMMYFUNCTION("""COMPUTED_VALUE"""),TRUE)</f>
        <v>1</v>
      </c>
      <c r="P2" s="93" t="str">
        <f>IFERROR(__xludf.DUMMYFUNCTION("""COMPUTED_VALUE"""),"10:00 AM - 12:00 PM")</f>
        <v>10:00 AM - 12:00 PM</v>
      </c>
      <c r="Q2" s="93"/>
      <c r="R2" s="93"/>
      <c r="S2" s="93"/>
      <c r="T2" s="93"/>
      <c r="U2" s="93"/>
      <c r="V2" s="93"/>
      <c r="W2" s="93"/>
      <c r="X2" s="93"/>
      <c r="Y2" s="93"/>
      <c r="Z2" s="93"/>
    </row>
    <row r="3">
      <c r="A3" s="121" t="str">
        <f>IFERROR(__xludf.DUMMYFUNCTION("""COMPUTED_VALUE"""),"https://admin.shopify.com/store/utrucking/orders/5897718857916?link_source=search")</f>
        <v>https://admin.shopify.com/store/utrucking/orders/5897718857916?link_source=search</v>
      </c>
      <c r="B3" s="93" t="str">
        <f>IFERROR(__xludf.DUMMYFUNCTION("""COMPUTED_VALUE"""),"#15218")</f>
        <v>#15218</v>
      </c>
      <c r="C3" s="93" t="str">
        <f>IFERROR(__xludf.DUMMYFUNCTION("""COMPUTED_VALUE"""),"cecijohnson4@gmail.com")</f>
        <v>cecijohnson4@gmail.com</v>
      </c>
      <c r="D3" s="93" t="str">
        <f>IFERROR(__xludf.DUMMYFUNCTION("""COMPUTED_VALUE"""),"404-374-5992")</f>
        <v>404-374-5992</v>
      </c>
      <c r="E3" s="93" t="str">
        <f>IFERROR(__xludf.DUMMYFUNCTION("""COMPUTED_VALUE"""),"Caroline Johnson")</f>
        <v>Caroline Johnson</v>
      </c>
      <c r="F3" s="93"/>
      <c r="G3" s="93" t="str">
        <f>IFERROR(__xludf.DUMMYFUNCTION("""COMPUTED_VALUE"""),"4715 Paran Valley Northwest")</f>
        <v>4715 Paran Valley Northwest</v>
      </c>
      <c r="H3" s="93" t="str">
        <f>IFERROR(__xludf.DUMMYFUNCTION("""COMPUTED_VALUE"""),"Appliance Rental")</f>
        <v>Appliance Rental</v>
      </c>
      <c r="I3" s="93" t="str">
        <f>IFERROR(__xludf.DUMMYFUNCTION("""COMPUTED_VALUE"""),"Double-Door Mini Fridge")</f>
        <v>Double-Door Mini Fridge</v>
      </c>
      <c r="J3" s="113">
        <f>IFERROR(__xludf.DUMMYFUNCTION("""COMPUTED_VALUE"""),145.0)</f>
        <v>145</v>
      </c>
      <c r="K3" s="93">
        <f>IFERROR(__xludf.DUMMYFUNCTION("""COMPUTED_VALUE"""),45881.0)</f>
        <v>45881</v>
      </c>
      <c r="L3" s="126" t="str">
        <f>IFERROR(__xludf.DUMMYFUNCTION("""COMPUTED_VALUE"""),"Dauten")</f>
        <v>Dauten</v>
      </c>
      <c r="M3" s="93" t="str">
        <f>IFERROR(__xludf.DUMMYFUNCTION("""COMPUTED_VALUE"""),"442")</f>
        <v>442</v>
      </c>
      <c r="N3" s="93"/>
      <c r="O3" s="93" t="b">
        <f>IFERROR(__xludf.DUMMYFUNCTION("""COMPUTED_VALUE"""),TRUE)</f>
        <v>1</v>
      </c>
      <c r="P3" s="93" t="str">
        <f>IFERROR(__xludf.DUMMYFUNCTION("""COMPUTED_VALUE"""),"09:00 AM - 11:00 AM")</f>
        <v>09:00 AM - 11:00 AM</v>
      </c>
      <c r="Q3" s="93"/>
      <c r="R3" s="93"/>
      <c r="S3" s="93"/>
      <c r="T3" s="93"/>
      <c r="U3" s="93"/>
      <c r="V3" s="93"/>
      <c r="W3" s="93"/>
      <c r="X3" s="93"/>
      <c r="Y3" s="93"/>
      <c r="Z3" s="93"/>
    </row>
    <row r="4">
      <c r="A4" s="121" t="str">
        <f>IFERROR(__xludf.DUMMYFUNCTION("""COMPUTED_VALUE"""),"https://utrucking.com/admin/orders/5908173914300")</f>
        <v>https://utrucking.com/admin/orders/5908173914300</v>
      </c>
      <c r="B4" s="93" t="str">
        <f>IFERROR(__xludf.DUMMYFUNCTION("""COMPUTED_VALUE"""),"#15385")</f>
        <v>#15385</v>
      </c>
      <c r="C4" s="93"/>
      <c r="D4" s="93">
        <f>IFERROR(__xludf.DUMMYFUNCTION("""COMPUTED_VALUE"""),4.847522285E9)</f>
        <v>4847522285</v>
      </c>
      <c r="E4" s="93" t="str">
        <f>IFERROR(__xludf.DUMMYFUNCTION("""COMPUTED_VALUE"""),"Eunice Kim")</f>
        <v>Eunice Kim</v>
      </c>
      <c r="F4" s="93"/>
      <c r="G4" s="93"/>
      <c r="H4" s="93" t="str">
        <f>IFERROR(__xludf.DUMMYFUNCTION("""COMPUTED_VALUE"""),"Appliance Rental")</f>
        <v>Appliance Rental</v>
      </c>
      <c r="I4" s="93" t="str">
        <f>IFERROR(__xludf.DUMMYFUNCTION("""COMPUTED_VALUE""")," Double-Door Mini Fridge + Microwave")</f>
        <v> Double-Door Mini Fridge + Microwave</v>
      </c>
      <c r="J4" s="113">
        <f>IFERROR(__xludf.DUMMYFUNCTION("""COMPUTED_VALUE"""),210.0)</f>
        <v>210</v>
      </c>
      <c r="K4" s="93">
        <f>IFERROR(__xludf.DUMMYFUNCTION("""COMPUTED_VALUE"""),45881.0)</f>
        <v>45881</v>
      </c>
      <c r="L4" s="126" t="str">
        <f>IFERROR(__xludf.DUMMYFUNCTION("""COMPUTED_VALUE"""),"Dardick  ")</f>
        <v>Dardick  </v>
      </c>
      <c r="M4" s="93" t="str">
        <f>IFERROR(__xludf.DUMMYFUNCTION("""COMPUTED_VALUE"""),"4415")</f>
        <v>4415</v>
      </c>
      <c r="N4" s="93"/>
      <c r="O4" s="93" t="b">
        <f>IFERROR(__xludf.DUMMYFUNCTION("""COMPUTED_VALUE"""),TRUE)</f>
        <v>1</v>
      </c>
      <c r="P4" s="93"/>
      <c r="Q4" s="93"/>
      <c r="R4" s="93"/>
      <c r="S4" s="93"/>
      <c r="T4" s="93"/>
      <c r="U4" s="93"/>
      <c r="V4" s="93"/>
      <c r="W4" s="93"/>
      <c r="X4" s="93"/>
      <c r="Y4" s="93"/>
      <c r="Z4" s="93"/>
    </row>
    <row r="5">
      <c r="A5" s="121" t="str">
        <f>IFERROR(__xludf.DUMMYFUNCTION("""COMPUTED_VALUE"""),"https://utrucking.com/admin/orders/5910561423548")</f>
        <v>https://utrucking.com/admin/orders/5910561423548</v>
      </c>
      <c r="B5" s="93" t="str">
        <f>IFERROR(__xludf.DUMMYFUNCTION("""COMPUTED_VALUE"""),"#15425")</f>
        <v>#15425</v>
      </c>
      <c r="C5" s="93" t="str">
        <f>IFERROR(__xludf.DUMMYFUNCTION("""COMPUTED_VALUE"""),"arushig@wustl.edu")</f>
        <v>arushig@wustl.edu</v>
      </c>
      <c r="D5" s="93">
        <f>IFERROR(__xludf.DUMMYFUNCTION("""COMPUTED_VALUE"""),8.296987458E9)</f>
        <v>8296987458</v>
      </c>
      <c r="E5" s="93" t="str">
        <f>IFERROR(__xludf.DUMMYFUNCTION("""COMPUTED_VALUE"""),"Arushi Goyal")</f>
        <v>Arushi Goyal</v>
      </c>
      <c r="F5" s="93"/>
      <c r="G5" s="93"/>
      <c r="H5" s="93" t="str">
        <f>IFERROR(__xludf.DUMMYFUNCTION("""COMPUTED_VALUE"""),"Appliance Rental")</f>
        <v>Appliance Rental</v>
      </c>
      <c r="I5" s="93" t="str">
        <f>IFERROR(__xludf.DUMMYFUNCTION("""COMPUTED_VALUE""")," Standard Mini Fridge + Microwave")</f>
        <v> Standard Mini Fridge + Microwave</v>
      </c>
      <c r="J5" s="113">
        <f>IFERROR(__xludf.DUMMYFUNCTION("""COMPUTED_VALUE"""),180.0)</f>
        <v>180</v>
      </c>
      <c r="K5" s="93">
        <f>IFERROR(__xludf.DUMMYFUNCTION("""COMPUTED_VALUE"""),45881.0)</f>
        <v>45881</v>
      </c>
      <c r="L5" s="126" t="str">
        <f>IFERROR(__xludf.DUMMYFUNCTION("""COMPUTED_VALUE"""),"Park  ")</f>
        <v>Park  </v>
      </c>
      <c r="M5" s="93" t="str">
        <f>IFERROR(__xludf.DUMMYFUNCTION("""COMPUTED_VALUE"""),"171")</f>
        <v>171</v>
      </c>
      <c r="N5" s="93"/>
      <c r="O5" s="93" t="b">
        <f>IFERROR(__xludf.DUMMYFUNCTION("""COMPUTED_VALUE"""),TRUE)</f>
        <v>1</v>
      </c>
      <c r="P5" s="93"/>
      <c r="Q5" s="93"/>
      <c r="R5" s="93"/>
      <c r="S5" s="93"/>
      <c r="T5" s="93"/>
      <c r="U5" s="93"/>
      <c r="V5" s="93"/>
      <c r="W5" s="93"/>
      <c r="X5" s="93"/>
      <c r="Y5" s="93"/>
      <c r="Z5" s="93"/>
    </row>
    <row r="6">
      <c r="A6" s="121" t="str">
        <f>IFERROR(__xludf.DUMMYFUNCTION("""COMPUTED_VALUE"""),"https://utrucking.com/admin/orders/5910979575996")</f>
        <v>https://utrucking.com/admin/orders/5910979575996</v>
      </c>
      <c r="B6" s="93" t="str">
        <f>IFERROR(__xludf.DUMMYFUNCTION("""COMPUTED_VALUE"""),"#15438")</f>
        <v>#15438</v>
      </c>
      <c r="C6" s="93"/>
      <c r="D6" s="93">
        <f>IFERROR(__xludf.DUMMYFUNCTION("""COMPUTED_VALUE"""),6.183834825E9)</f>
        <v>6183834825</v>
      </c>
      <c r="E6" s="93" t="str">
        <f>IFERROR(__xludf.DUMMYFUNCTION("""COMPUTED_VALUE"""),"Amy Balding")</f>
        <v>Amy Balding</v>
      </c>
      <c r="F6" s="93"/>
      <c r="G6" s="93"/>
      <c r="H6" s="93" t="str">
        <f>IFERROR(__xludf.DUMMYFUNCTION("""COMPUTED_VALUE"""),"Appliance Rental")</f>
        <v>Appliance Rental</v>
      </c>
      <c r="I6" s="93" t="str">
        <f>IFERROR(__xludf.DUMMYFUNCTION("""COMPUTED_VALUE""")," Double-Door Mini Fridge ")</f>
        <v> Double-Door Mini Fridge </v>
      </c>
      <c r="J6" s="113">
        <f>IFERROR(__xludf.DUMMYFUNCTION("""COMPUTED_VALUE"""),145.0)</f>
        <v>145</v>
      </c>
      <c r="K6" s="93">
        <f>IFERROR(__xludf.DUMMYFUNCTION("""COMPUTED_VALUE"""),45881.0)</f>
        <v>45881</v>
      </c>
      <c r="L6" s="126" t="str">
        <f>IFERROR(__xludf.DUMMYFUNCTION("""COMPUTED_VALUE"""),"Lee  ")</f>
        <v>Lee  </v>
      </c>
      <c r="M6" s="93" t="str">
        <f>IFERROR(__xludf.DUMMYFUNCTION("""COMPUTED_VALUE"""),"216-A")</f>
        <v>216-A</v>
      </c>
      <c r="N6" s="93"/>
      <c r="O6" s="93" t="b">
        <f>IFERROR(__xludf.DUMMYFUNCTION("""COMPUTED_VALUE"""),TRUE)</f>
        <v>1</v>
      </c>
      <c r="P6" s="93"/>
      <c r="Q6" s="93"/>
      <c r="R6" s="93"/>
      <c r="S6" s="93"/>
      <c r="T6" s="93"/>
      <c r="U6" s="93"/>
      <c r="V6" s="93"/>
      <c r="W6" s="93"/>
      <c r="X6" s="93"/>
      <c r="Y6" s="93"/>
      <c r="Z6" s="93"/>
    </row>
    <row r="7">
      <c r="A7" s="121" t="str">
        <f>IFERROR(__xludf.DUMMYFUNCTION("""COMPUTED_VALUE"""),"https://utrucking.com/admin/orders/5915952251068")</f>
        <v>https://utrucking.com/admin/orders/5915952251068</v>
      </c>
      <c r="B7" s="93" t="str">
        <f>IFERROR(__xludf.DUMMYFUNCTION("""COMPUTED_VALUE"""),"#15679")</f>
        <v>#15679</v>
      </c>
      <c r="C7" s="93" t="str">
        <f>IFERROR(__xludf.DUMMYFUNCTION("""COMPUTED_VALUE"""),"twang4276@gmail.com")</f>
        <v>twang4276@gmail.com</v>
      </c>
      <c r="D7" s="93">
        <f>IFERROR(__xludf.DUMMYFUNCTION("""COMPUTED_VALUE"""),1.4372456625E10)</f>
        <v>14372456625</v>
      </c>
      <c r="E7" s="93" t="str">
        <f>IFERROR(__xludf.DUMMYFUNCTION("""COMPUTED_VALUE"""),"Liling Yang")</f>
        <v>Liling Yang</v>
      </c>
      <c r="F7" s="93"/>
      <c r="G7" s="93"/>
      <c r="H7" s="93" t="str">
        <f>IFERROR(__xludf.DUMMYFUNCTION("""COMPUTED_VALUE"""),"Appliance Rental")</f>
        <v>Appliance Rental</v>
      </c>
      <c r="I7" s="93" t="str">
        <f>IFERROR(__xludf.DUMMYFUNCTION("""COMPUTED_VALUE""")," Standard Mini Fridge   -  - ")</f>
        <v> Standard Mini Fridge   -  - </v>
      </c>
      <c r="J7" s="113">
        <f>IFERROR(__xludf.DUMMYFUNCTION("""COMPUTED_VALUE"""),115.0)</f>
        <v>115</v>
      </c>
      <c r="K7" s="93">
        <f>IFERROR(__xludf.DUMMYFUNCTION("""COMPUTED_VALUE"""),45881.0)</f>
        <v>45881</v>
      </c>
      <c r="L7" s="126" t="str">
        <f>IFERROR(__xludf.DUMMYFUNCTION("""COMPUTED_VALUE"""),"Danforth  ")</f>
        <v>Danforth  </v>
      </c>
      <c r="M7" s="93" t="str">
        <f>IFERROR(__xludf.DUMMYFUNCTION("""COMPUTED_VALUE"""),"2204")</f>
        <v>2204</v>
      </c>
      <c r="N7" s="93"/>
      <c r="O7" s="93" t="b">
        <f>IFERROR(__xludf.DUMMYFUNCTION("""COMPUTED_VALUE"""),TRUE)</f>
        <v>1</v>
      </c>
      <c r="P7" s="93" t="str">
        <f>IFERROR(__xludf.DUMMYFUNCTION("""COMPUTED_VALUE""")," ")</f>
        <v> </v>
      </c>
      <c r="Q7" s="93"/>
      <c r="R7" s="93"/>
      <c r="S7" s="93"/>
      <c r="T7" s="93"/>
      <c r="U7" s="93"/>
      <c r="V7" s="93"/>
      <c r="W7" s="93"/>
      <c r="X7" s="93"/>
      <c r="Y7" s="93"/>
      <c r="Z7" s="93"/>
    </row>
    <row r="8">
      <c r="A8" s="121" t="str">
        <f>IFERROR(__xludf.DUMMYFUNCTION("""COMPUTED_VALUE"""),"https://utrucking.com/admin/orders/5920223396028")</f>
        <v>https://utrucking.com/admin/orders/5920223396028</v>
      </c>
      <c r="B8" s="93" t="str">
        <f>IFERROR(__xludf.DUMMYFUNCTION("""COMPUTED_VALUE"""),"#15824")</f>
        <v>#15824</v>
      </c>
      <c r="C8" s="93" t="str">
        <f>IFERROR(__xludf.DUMMYFUNCTION("""COMPUTED_VALUE"""),"mehtasoha181206@gmail.com")</f>
        <v>mehtasoha181206@gmail.com</v>
      </c>
      <c r="D8" s="93">
        <f>IFERROR(__xludf.DUMMYFUNCTION("""COMPUTED_VALUE"""),9.174977765E9)</f>
        <v>9174977765</v>
      </c>
      <c r="E8" s="93" t="str">
        <f>IFERROR(__xludf.DUMMYFUNCTION("""COMPUTED_VALUE"""),"Sara Mehta")</f>
        <v>Sara Mehta</v>
      </c>
      <c r="F8" s="93"/>
      <c r="G8" s="93"/>
      <c r="H8" s="93" t="str">
        <f>IFERROR(__xludf.DUMMYFUNCTION("""COMPUTED_VALUE"""),"Appliance Rental")</f>
        <v>Appliance Rental</v>
      </c>
      <c r="I8" s="93" t="str">
        <f>IFERROR(__xludf.DUMMYFUNCTION("""COMPUTED_VALUE""")," Double-Door Mini Fridge   -  - ")</f>
        <v> Double-Door Mini Fridge   -  - </v>
      </c>
      <c r="J8" s="113">
        <f>IFERROR(__xludf.DUMMYFUNCTION("""COMPUTED_VALUE"""),145.0)</f>
        <v>145</v>
      </c>
      <c r="K8" s="93">
        <f>IFERROR(__xludf.DUMMYFUNCTION("""COMPUTED_VALUE"""),45881.0)</f>
        <v>45881</v>
      </c>
      <c r="L8" s="126" t="str">
        <f>IFERROR(__xludf.DUMMYFUNCTION("""COMPUTED_VALUE"""),"Park  ")</f>
        <v>Park  </v>
      </c>
      <c r="M8" s="93" t="str">
        <f>IFERROR(__xludf.DUMMYFUNCTION("""COMPUTED_VALUE"""),"462")</f>
        <v>462</v>
      </c>
      <c r="N8" s="93"/>
      <c r="O8" s="93" t="b">
        <f>IFERROR(__xludf.DUMMYFUNCTION("""COMPUTED_VALUE"""),TRUE)</f>
        <v>1</v>
      </c>
      <c r="P8" s="93" t="str">
        <f>IFERROR(__xludf.DUMMYFUNCTION("""COMPUTED_VALUE""")," ")</f>
        <v> </v>
      </c>
      <c r="Q8" s="93"/>
      <c r="R8" s="93"/>
      <c r="S8" s="93"/>
      <c r="T8" s="93"/>
      <c r="U8" s="93"/>
      <c r="V8" s="93"/>
      <c r="W8" s="93"/>
      <c r="X8" s="93"/>
      <c r="Y8" s="93"/>
      <c r="Z8" s="93"/>
    </row>
    <row r="9">
      <c r="A9" s="121" t="str">
        <f>IFERROR(__xludf.DUMMYFUNCTION("""COMPUTED_VALUE"""),"https://utrucking.com/admin/orders/5921546830012")</f>
        <v>https://utrucking.com/admin/orders/5921546830012</v>
      </c>
      <c r="B9" s="93" t="str">
        <f>IFERROR(__xludf.DUMMYFUNCTION("""COMPUTED_VALUE"""),"#15893")</f>
        <v>#15893</v>
      </c>
      <c r="C9" s="93"/>
      <c r="D9" s="93">
        <f>IFERROR(__xludf.DUMMYFUNCTION("""COMPUTED_VALUE"""),5.719994644E9)</f>
        <v>5719994644</v>
      </c>
      <c r="E9" s="93" t="str">
        <f>IFERROR(__xludf.DUMMYFUNCTION("""COMPUTED_VALUE"""),"Julia Markowitz")</f>
        <v>Julia Markowitz</v>
      </c>
      <c r="F9" s="93"/>
      <c r="G9" s="93"/>
      <c r="H9" s="93" t="str">
        <f>IFERROR(__xludf.DUMMYFUNCTION("""COMPUTED_VALUE"""),"Appliance Rental")</f>
        <v>Appliance Rental</v>
      </c>
      <c r="I9" s="93" t="str">
        <f>IFERROR(__xludf.DUMMYFUNCTION("""COMPUTED_VALUE""")," Double-Door Mini Fridge + Microwave   -  - ")</f>
        <v> Double-Door Mini Fridge + Microwave   -  - </v>
      </c>
      <c r="J9" s="113">
        <f>IFERROR(__xludf.DUMMYFUNCTION("""COMPUTED_VALUE"""),210.0)</f>
        <v>210</v>
      </c>
      <c r="K9" s="93">
        <f>IFERROR(__xludf.DUMMYFUNCTION("""COMPUTED_VALUE"""),45881.0)</f>
        <v>45881</v>
      </c>
      <c r="L9" s="126" t="str">
        <f>IFERROR(__xludf.DUMMYFUNCTION("""COMPUTED_VALUE"""),"Lien  ")</f>
        <v>Lien  </v>
      </c>
      <c r="M9" s="93" t="str">
        <f>IFERROR(__xludf.DUMMYFUNCTION("""COMPUTED_VALUE"""),"3319")</f>
        <v>3319</v>
      </c>
      <c r="N9" s="93"/>
      <c r="O9" s="93" t="b">
        <f>IFERROR(__xludf.DUMMYFUNCTION("""COMPUTED_VALUE"""),TRUE)</f>
        <v>1</v>
      </c>
      <c r="P9" s="93" t="str">
        <f>IFERROR(__xludf.DUMMYFUNCTION("""COMPUTED_VALUE""")," ")</f>
        <v> </v>
      </c>
      <c r="Q9" s="93"/>
      <c r="R9" s="93"/>
      <c r="S9" s="93"/>
      <c r="T9" s="93"/>
      <c r="U9" s="93"/>
      <c r="V9" s="93"/>
      <c r="W9" s="93"/>
      <c r="X9" s="93"/>
      <c r="Y9" s="93"/>
      <c r="Z9" s="93"/>
    </row>
    <row r="10">
      <c r="A10" s="121" t="str">
        <f>IFERROR(__xludf.DUMMYFUNCTION("""COMPUTED_VALUE"""),"https://utrucking.com/admin/orders/5924987863228")</f>
        <v>https://utrucking.com/admin/orders/5924987863228</v>
      </c>
      <c r="B10" s="93" t="str">
        <f>IFERROR(__xludf.DUMMYFUNCTION("""COMPUTED_VALUE"""),"#15969")</f>
        <v>#15969</v>
      </c>
      <c r="C10" s="93" t="str">
        <f>IFERROR(__xludf.DUMMYFUNCTION("""COMPUTED_VALUE"""),"aiaccino29@yahoo.com")</f>
        <v>aiaccino29@yahoo.com</v>
      </c>
      <c r="D10" s="93">
        <f>IFERROR(__xludf.DUMMYFUNCTION("""COMPUTED_VALUE"""),8.18648927E9)</f>
        <v>8186489270</v>
      </c>
      <c r="E10" s="93" t="str">
        <f>IFERROR(__xludf.DUMMYFUNCTION("""COMPUTED_VALUE"""),"Aileen Iaccino")</f>
        <v>Aileen Iaccino</v>
      </c>
      <c r="F10" s="93"/>
      <c r="G10" s="93"/>
      <c r="H10" s="93" t="str">
        <f>IFERROR(__xludf.DUMMYFUNCTION("""COMPUTED_VALUE"""),"Appliance Rental")</f>
        <v>Appliance Rental</v>
      </c>
      <c r="I10" s="93" t="str">
        <f>IFERROR(__xludf.DUMMYFUNCTION("""COMPUTED_VALUE""")," Double-Door Mini Fridge   -  - ")</f>
        <v> Double-Door Mini Fridge   -  - </v>
      </c>
      <c r="J10" s="113">
        <f>IFERROR(__xludf.DUMMYFUNCTION("""COMPUTED_VALUE"""),145.0)</f>
        <v>145</v>
      </c>
      <c r="K10" s="93">
        <f>IFERROR(__xludf.DUMMYFUNCTION("""COMPUTED_VALUE"""),45881.0)</f>
        <v>45881</v>
      </c>
      <c r="L10" s="126" t="str">
        <f>IFERROR(__xludf.DUMMYFUNCTION("""COMPUTED_VALUE"""),"Park  ")</f>
        <v>Park  </v>
      </c>
      <c r="M10" s="93" t="str">
        <f>IFERROR(__xludf.DUMMYFUNCTION("""COMPUTED_VALUE"""),"312")</f>
        <v>312</v>
      </c>
      <c r="N10" s="93"/>
      <c r="O10" s="93" t="b">
        <f>IFERROR(__xludf.DUMMYFUNCTION("""COMPUTED_VALUE"""),TRUE)</f>
        <v>1</v>
      </c>
      <c r="P10" s="93" t="str">
        <f>IFERROR(__xludf.DUMMYFUNCTION("""COMPUTED_VALUE""")," ")</f>
        <v> </v>
      </c>
      <c r="Q10" s="93"/>
      <c r="R10" s="93"/>
      <c r="S10" s="93"/>
      <c r="T10" s="93"/>
      <c r="U10" s="93"/>
      <c r="V10" s="93"/>
      <c r="W10" s="93"/>
      <c r="X10" s="93"/>
      <c r="Y10" s="93"/>
      <c r="Z10" s="93"/>
    </row>
    <row r="11">
      <c r="A11" s="121" t="str">
        <f>IFERROR(__xludf.DUMMYFUNCTION("""COMPUTED_VALUE"""),"https://utrucking.com/admin/orders/5925081645244")</f>
        <v>https://utrucking.com/admin/orders/5925081645244</v>
      </c>
      <c r="B11" s="93" t="str">
        <f>IFERROR(__xludf.DUMMYFUNCTION("""COMPUTED_VALUE"""),"#15976")</f>
        <v>#15976</v>
      </c>
      <c r="C11" s="93" t="str">
        <f>IFERROR(__xludf.DUMMYFUNCTION("""COMPUTED_VALUE"""),"ilankliman@gmail.com")</f>
        <v>ilankliman@gmail.com</v>
      </c>
      <c r="D11" s="93">
        <f>IFERROR(__xludf.DUMMYFUNCTION("""COMPUTED_VALUE"""),1.6179529987E10)</f>
        <v>16179529987</v>
      </c>
      <c r="E11" s="93" t="str">
        <f>IFERROR(__xludf.DUMMYFUNCTION("""COMPUTED_VALUE"""),"Ilan Kliman")</f>
        <v>Ilan Kliman</v>
      </c>
      <c r="F11" s="93"/>
      <c r="G11" s="93"/>
      <c r="H11" s="93" t="str">
        <f>IFERROR(__xludf.DUMMYFUNCTION("""COMPUTED_VALUE"""),"Appliance Rental")</f>
        <v>Appliance Rental</v>
      </c>
      <c r="I11" s="93" t="str">
        <f>IFERROR(__xludf.DUMMYFUNCTION("""COMPUTED_VALUE""")," Standard Mini Fridge   -  - ")</f>
        <v> Standard Mini Fridge   -  - </v>
      </c>
      <c r="J11" s="113">
        <f>IFERROR(__xludf.DUMMYFUNCTION("""COMPUTED_VALUE"""),115.0)</f>
        <v>115</v>
      </c>
      <c r="K11" s="93">
        <f>IFERROR(__xludf.DUMMYFUNCTION("""COMPUTED_VALUE"""),45881.0)</f>
        <v>45881</v>
      </c>
      <c r="L11" s="126" t="str">
        <f>IFERROR(__xludf.DUMMYFUNCTION("""COMPUTED_VALUE"""),"Danforth  ")</f>
        <v>Danforth  </v>
      </c>
      <c r="M11" s="93" t="str">
        <f>IFERROR(__xludf.DUMMYFUNCTION("""COMPUTED_VALUE"""),"2226")</f>
        <v>2226</v>
      </c>
      <c r="N11" s="93"/>
      <c r="O11" s="93" t="b">
        <f>IFERROR(__xludf.DUMMYFUNCTION("""COMPUTED_VALUE"""),TRUE)</f>
        <v>1</v>
      </c>
      <c r="P11" s="93" t="str">
        <f>IFERROR(__xludf.DUMMYFUNCTION("""COMPUTED_VALUE""")," ")</f>
        <v> </v>
      </c>
      <c r="Q11" s="93"/>
      <c r="R11" s="93"/>
      <c r="S11" s="93"/>
      <c r="T11" s="93"/>
      <c r="U11" s="93"/>
      <c r="V11" s="93"/>
      <c r="W11" s="93"/>
      <c r="X11" s="93"/>
      <c r="Y11" s="93"/>
      <c r="Z11" s="93"/>
    </row>
    <row r="12">
      <c r="A12" s="121" t="str">
        <f>IFERROR(__xludf.DUMMYFUNCTION("""COMPUTED_VALUE"""),"https://utrucking.com/admin/orders/5931833458876")</f>
        <v>https://utrucking.com/admin/orders/5931833458876</v>
      </c>
      <c r="B12" s="93" t="str">
        <f>IFERROR(__xludf.DUMMYFUNCTION("""COMPUTED_VALUE"""),"#16128")</f>
        <v>#16128</v>
      </c>
      <c r="C12" s="93"/>
      <c r="D12" s="93">
        <f>IFERROR(__xludf.DUMMYFUNCTION("""COMPUTED_VALUE"""),6.122078233E9)</f>
        <v>6122078233</v>
      </c>
      <c r="E12" s="93" t="str">
        <f>IFERROR(__xludf.DUMMYFUNCTION("""COMPUTED_VALUE"""),"Jennifer Guion")</f>
        <v>Jennifer Guion</v>
      </c>
      <c r="F12" s="93" t="str">
        <f>IFERROR(__xludf.DUMMYFUNCTION("""COMPUTED_VALUE"""),"Cosmo Guion")</f>
        <v>Cosmo Guion</v>
      </c>
      <c r="G12" s="93"/>
      <c r="H12" s="93" t="str">
        <f>IFERROR(__xludf.DUMMYFUNCTION("""COMPUTED_VALUE"""),"Appliance Rental")</f>
        <v>Appliance Rental</v>
      </c>
      <c r="I12" s="93" t="str">
        <f>IFERROR(__xludf.DUMMYFUNCTION("""COMPUTED_VALUE""")," Double-Door Mini Fridge   - ")</f>
        <v> Double-Door Mini Fridge   - </v>
      </c>
      <c r="J12" s="113">
        <f>IFERROR(__xludf.DUMMYFUNCTION("""COMPUTED_VALUE"""),145.0)</f>
        <v>145</v>
      </c>
      <c r="K12" s="93">
        <f>IFERROR(__xludf.DUMMYFUNCTION("""COMPUTED_VALUE"""),45881.0)</f>
        <v>45881</v>
      </c>
      <c r="L12" s="126" t="str">
        <f>IFERROR(__xludf.DUMMYFUNCTION("""COMPUTED_VALUE"""),"House 22 (Beta Theta Pi)")</f>
        <v>House 22 (Beta Theta Pi)</v>
      </c>
      <c r="M12" s="93" t="str">
        <f>IFERROR(__xludf.DUMMYFUNCTION("""COMPUTED_VALUE"""),"2041 a")</f>
        <v>2041 a</v>
      </c>
      <c r="N12" s="93"/>
      <c r="O12" s="93" t="b">
        <f>IFERROR(__xludf.DUMMYFUNCTION("""COMPUTED_VALUE"""),TRUE)</f>
        <v>1</v>
      </c>
      <c r="P12" s="93"/>
      <c r="Q12" s="93"/>
      <c r="R12" s="93"/>
      <c r="S12" s="93"/>
      <c r="T12" s="93"/>
      <c r="U12" s="93"/>
      <c r="V12" s="93"/>
      <c r="W12" s="93"/>
      <c r="X12" s="93"/>
      <c r="Y12" s="93"/>
      <c r="Z12" s="93"/>
    </row>
    <row r="13">
      <c r="J13" s="113"/>
      <c r="L13" s="126"/>
    </row>
    <row r="14">
      <c r="J14" s="113"/>
      <c r="L14" s="126"/>
    </row>
    <row r="15">
      <c r="J15" s="113"/>
      <c r="L15" s="126"/>
    </row>
    <row r="16">
      <c r="J16" s="113"/>
      <c r="L16" s="126"/>
    </row>
    <row r="17">
      <c r="J17" s="113"/>
      <c r="L17" s="126"/>
    </row>
    <row r="18">
      <c r="J18" s="113"/>
      <c r="L18" s="126"/>
    </row>
    <row r="19">
      <c r="J19" s="113"/>
      <c r="L19" s="126"/>
    </row>
    <row r="20">
      <c r="J20" s="113"/>
      <c r="L20" s="126"/>
    </row>
    <row r="21">
      <c r="J21" s="113"/>
      <c r="L21" s="126"/>
    </row>
    <row r="22">
      <c r="J22" s="113"/>
      <c r="L22" s="126"/>
    </row>
    <row r="23">
      <c r="J23" s="113"/>
      <c r="L23" s="126"/>
    </row>
    <row r="24">
      <c r="J24" s="113"/>
      <c r="L24" s="126"/>
    </row>
    <row r="25">
      <c r="J25" s="113"/>
      <c r="L25" s="126"/>
    </row>
    <row r="26">
      <c r="J26" s="113"/>
      <c r="L26" s="126"/>
    </row>
    <row r="27">
      <c r="J27" s="113"/>
      <c r="L27" s="126"/>
    </row>
    <row r="28">
      <c r="J28" s="113"/>
      <c r="L28" s="126"/>
    </row>
    <row r="29">
      <c r="J29" s="113"/>
      <c r="L29" s="126"/>
    </row>
    <row r="30">
      <c r="J30" s="113"/>
      <c r="L30" s="126"/>
    </row>
    <row r="31">
      <c r="J31" s="113"/>
      <c r="L31" s="126"/>
    </row>
    <row r="32">
      <c r="J32" s="113"/>
      <c r="L32" s="126"/>
    </row>
    <row r="33">
      <c r="J33" s="113"/>
      <c r="L33" s="126"/>
    </row>
    <row r="34">
      <c r="J34" s="113"/>
      <c r="L34" s="126"/>
    </row>
    <row r="35">
      <c r="J35" s="113"/>
      <c r="L35" s="126"/>
    </row>
    <row r="36">
      <c r="J36" s="113"/>
      <c r="L36" s="126"/>
    </row>
    <row r="37">
      <c r="J37" s="113"/>
      <c r="L37" s="126"/>
    </row>
    <row r="38">
      <c r="J38" s="113"/>
      <c r="L38" s="126"/>
    </row>
    <row r="39">
      <c r="J39" s="113"/>
      <c r="L39" s="126"/>
    </row>
    <row r="40">
      <c r="J40" s="113"/>
      <c r="L40" s="126"/>
    </row>
    <row r="41">
      <c r="J41" s="113"/>
      <c r="L41" s="126"/>
    </row>
    <row r="42">
      <c r="J42" s="113"/>
      <c r="L42" s="126"/>
    </row>
    <row r="43">
      <c r="J43" s="113"/>
      <c r="L43" s="126"/>
    </row>
    <row r="44">
      <c r="J44" s="113"/>
      <c r="L44" s="126"/>
    </row>
    <row r="45">
      <c r="J45" s="113"/>
      <c r="L45" s="126"/>
    </row>
    <row r="46">
      <c r="J46" s="113"/>
      <c r="L46" s="126"/>
    </row>
    <row r="47">
      <c r="J47" s="113"/>
      <c r="L47" s="126"/>
    </row>
    <row r="48">
      <c r="J48" s="113"/>
      <c r="L48" s="126"/>
    </row>
    <row r="49">
      <c r="J49" s="113"/>
      <c r="L49" s="126"/>
    </row>
    <row r="50">
      <c r="J50" s="113"/>
      <c r="L50" s="126"/>
    </row>
    <row r="51">
      <c r="J51" s="113"/>
      <c r="L51" s="126"/>
    </row>
    <row r="52">
      <c r="J52" s="113"/>
      <c r="L52" s="126"/>
    </row>
    <row r="53">
      <c r="J53" s="113"/>
      <c r="L53" s="126"/>
    </row>
    <row r="54">
      <c r="J54" s="113"/>
      <c r="L54" s="126"/>
    </row>
    <row r="55">
      <c r="J55" s="113"/>
      <c r="L55" s="126"/>
    </row>
    <row r="56">
      <c r="J56" s="113"/>
      <c r="L56" s="126"/>
    </row>
    <row r="57">
      <c r="J57" s="113"/>
      <c r="L57" s="126"/>
    </row>
    <row r="58">
      <c r="J58" s="113"/>
      <c r="L58" s="126"/>
    </row>
    <row r="59">
      <c r="J59" s="113"/>
      <c r="L59" s="126"/>
    </row>
    <row r="60">
      <c r="J60" s="113"/>
      <c r="L60" s="126"/>
    </row>
    <row r="61">
      <c r="J61" s="113"/>
      <c r="L61" s="126"/>
    </row>
    <row r="62">
      <c r="J62" s="113"/>
      <c r="L62" s="126"/>
    </row>
    <row r="63">
      <c r="J63" s="113"/>
      <c r="L63" s="126"/>
    </row>
    <row r="64">
      <c r="J64" s="113"/>
      <c r="L64" s="126"/>
    </row>
    <row r="65">
      <c r="J65" s="113"/>
      <c r="L65" s="126"/>
    </row>
    <row r="66">
      <c r="J66" s="113"/>
      <c r="L66" s="126"/>
    </row>
    <row r="67">
      <c r="J67" s="113"/>
      <c r="L67" s="126"/>
    </row>
    <row r="68">
      <c r="J68" s="113"/>
      <c r="L68" s="126"/>
    </row>
    <row r="69">
      <c r="J69" s="113"/>
      <c r="L69" s="126"/>
    </row>
    <row r="70">
      <c r="J70" s="113"/>
      <c r="L70" s="126"/>
    </row>
    <row r="71">
      <c r="J71" s="113"/>
      <c r="L71" s="126"/>
    </row>
    <row r="72">
      <c r="J72" s="113"/>
      <c r="L72" s="126"/>
    </row>
    <row r="73">
      <c r="J73" s="113"/>
      <c r="L73" s="126"/>
    </row>
    <row r="74">
      <c r="J74" s="113"/>
      <c r="L74" s="126"/>
    </row>
    <row r="75">
      <c r="J75" s="113"/>
      <c r="L75" s="126"/>
    </row>
    <row r="76">
      <c r="J76" s="113"/>
      <c r="L76" s="126"/>
    </row>
    <row r="77">
      <c r="J77" s="113"/>
      <c r="L77" s="126"/>
    </row>
    <row r="78">
      <c r="J78" s="113"/>
      <c r="L78" s="126"/>
    </row>
    <row r="79">
      <c r="J79" s="113"/>
      <c r="L79" s="126"/>
    </row>
    <row r="80">
      <c r="J80" s="113"/>
      <c r="L80" s="126"/>
    </row>
    <row r="81">
      <c r="J81" s="113"/>
      <c r="L81" s="126"/>
    </row>
    <row r="82">
      <c r="J82" s="113"/>
      <c r="L82" s="126"/>
    </row>
    <row r="83">
      <c r="J83" s="113"/>
      <c r="L83" s="126"/>
    </row>
    <row r="84">
      <c r="J84" s="113"/>
      <c r="L84" s="126"/>
    </row>
    <row r="85">
      <c r="J85" s="113"/>
      <c r="L85" s="126"/>
    </row>
    <row r="86">
      <c r="J86" s="113"/>
      <c r="L86" s="126"/>
    </row>
    <row r="87">
      <c r="J87" s="113"/>
      <c r="L87" s="126"/>
    </row>
    <row r="88">
      <c r="J88" s="113"/>
      <c r="L88" s="126"/>
    </row>
    <row r="89">
      <c r="J89" s="113"/>
      <c r="L89" s="126"/>
    </row>
    <row r="90">
      <c r="J90" s="113"/>
      <c r="L90" s="126"/>
    </row>
    <row r="91">
      <c r="J91" s="113"/>
      <c r="L91" s="126"/>
    </row>
    <row r="92">
      <c r="J92" s="113"/>
      <c r="L92" s="126"/>
    </row>
    <row r="93">
      <c r="J93" s="113"/>
      <c r="L93" s="126"/>
    </row>
    <row r="94">
      <c r="J94" s="113"/>
      <c r="L94" s="126"/>
    </row>
    <row r="95">
      <c r="J95" s="113"/>
      <c r="L95" s="126"/>
    </row>
    <row r="96">
      <c r="J96" s="113"/>
      <c r="L96" s="126"/>
    </row>
    <row r="97">
      <c r="J97" s="113"/>
      <c r="L97" s="126"/>
    </row>
    <row r="98">
      <c r="J98" s="113"/>
      <c r="L98" s="126"/>
    </row>
    <row r="99">
      <c r="J99" s="113"/>
      <c r="L99" s="126"/>
    </row>
    <row r="100">
      <c r="J100" s="113"/>
      <c r="L100" s="126"/>
    </row>
    <row r="101">
      <c r="J101" s="113"/>
      <c r="L101" s="126"/>
    </row>
    <row r="102">
      <c r="J102" s="113"/>
      <c r="L102" s="126"/>
    </row>
    <row r="103">
      <c r="J103" s="113"/>
      <c r="L103" s="126"/>
    </row>
    <row r="104">
      <c r="J104" s="113"/>
      <c r="L104" s="126"/>
    </row>
    <row r="105">
      <c r="J105" s="113"/>
      <c r="L105" s="126"/>
    </row>
    <row r="106">
      <c r="J106" s="113"/>
      <c r="L106" s="126"/>
    </row>
    <row r="107">
      <c r="J107" s="113"/>
      <c r="L107" s="126"/>
    </row>
    <row r="108">
      <c r="J108" s="113"/>
      <c r="L108" s="126"/>
    </row>
    <row r="109">
      <c r="J109" s="113"/>
      <c r="L109" s="126"/>
    </row>
    <row r="110">
      <c r="J110" s="113"/>
      <c r="L110" s="126"/>
    </row>
    <row r="111">
      <c r="J111" s="113"/>
      <c r="L111" s="126"/>
    </row>
    <row r="112">
      <c r="J112" s="113"/>
      <c r="L112" s="126"/>
    </row>
    <row r="113">
      <c r="J113" s="113"/>
      <c r="L113" s="126"/>
    </row>
    <row r="114">
      <c r="J114" s="113"/>
      <c r="L114" s="126"/>
    </row>
    <row r="115">
      <c r="J115" s="113"/>
      <c r="L115" s="126"/>
    </row>
    <row r="116">
      <c r="J116" s="113"/>
      <c r="L116" s="126"/>
    </row>
    <row r="117">
      <c r="J117" s="113"/>
      <c r="L117" s="126"/>
    </row>
    <row r="118">
      <c r="J118" s="113"/>
      <c r="L118" s="126"/>
    </row>
    <row r="119">
      <c r="J119" s="113"/>
      <c r="L119" s="126"/>
    </row>
    <row r="120">
      <c r="J120" s="113"/>
      <c r="L120" s="126"/>
    </row>
    <row r="121">
      <c r="J121" s="113"/>
      <c r="L121" s="126"/>
    </row>
    <row r="122">
      <c r="J122" s="113"/>
      <c r="L122" s="126"/>
    </row>
    <row r="123">
      <c r="J123" s="113"/>
      <c r="L123" s="126"/>
    </row>
    <row r="124">
      <c r="J124" s="113"/>
      <c r="L124" s="126"/>
    </row>
    <row r="125">
      <c r="J125" s="113"/>
      <c r="L125" s="126"/>
    </row>
    <row r="126">
      <c r="J126" s="113"/>
      <c r="L126" s="126"/>
    </row>
    <row r="127">
      <c r="J127" s="113"/>
      <c r="L127" s="126"/>
    </row>
    <row r="128">
      <c r="J128" s="113"/>
      <c r="L128" s="126"/>
    </row>
    <row r="129">
      <c r="J129" s="113"/>
      <c r="L129" s="126"/>
    </row>
    <row r="130">
      <c r="J130" s="113"/>
      <c r="L130" s="126"/>
    </row>
    <row r="131">
      <c r="J131" s="113"/>
      <c r="L131" s="126"/>
    </row>
    <row r="132">
      <c r="J132" s="113"/>
      <c r="L132" s="126"/>
    </row>
    <row r="133">
      <c r="J133" s="113"/>
      <c r="L133" s="126"/>
    </row>
    <row r="134">
      <c r="J134" s="113"/>
      <c r="L134" s="126"/>
    </row>
    <row r="135">
      <c r="J135" s="113"/>
      <c r="L135" s="126"/>
    </row>
    <row r="136">
      <c r="J136" s="113"/>
      <c r="L136" s="126"/>
    </row>
    <row r="137">
      <c r="J137" s="113"/>
      <c r="L137" s="126"/>
    </row>
    <row r="138">
      <c r="J138" s="113"/>
      <c r="L138" s="126"/>
    </row>
    <row r="139">
      <c r="J139" s="113"/>
      <c r="L139" s="126"/>
    </row>
    <row r="140">
      <c r="J140" s="113"/>
      <c r="L140" s="126"/>
    </row>
    <row r="141">
      <c r="J141" s="113"/>
      <c r="L141" s="126"/>
    </row>
    <row r="142">
      <c r="J142" s="113"/>
      <c r="L142" s="126"/>
    </row>
    <row r="143">
      <c r="J143" s="113"/>
      <c r="L143" s="126"/>
    </row>
    <row r="144">
      <c r="J144" s="113"/>
      <c r="L144" s="126"/>
    </row>
    <row r="145">
      <c r="J145" s="113"/>
      <c r="L145" s="126"/>
    </row>
    <row r="146">
      <c r="J146" s="113"/>
      <c r="L146" s="126"/>
    </row>
    <row r="147">
      <c r="J147" s="113"/>
      <c r="L147" s="126"/>
    </row>
    <row r="148">
      <c r="J148" s="113"/>
      <c r="L148" s="126"/>
    </row>
    <row r="149">
      <c r="J149" s="113"/>
      <c r="L149" s="126"/>
    </row>
    <row r="150">
      <c r="J150" s="113"/>
      <c r="L150" s="126"/>
    </row>
    <row r="151">
      <c r="J151" s="113"/>
      <c r="L151" s="126"/>
    </row>
    <row r="152">
      <c r="J152" s="113"/>
      <c r="L152" s="126"/>
    </row>
    <row r="153">
      <c r="J153" s="113"/>
      <c r="L153" s="126"/>
    </row>
    <row r="154">
      <c r="J154" s="113"/>
      <c r="L154" s="126"/>
    </row>
    <row r="155">
      <c r="J155" s="113"/>
      <c r="L155" s="126"/>
    </row>
    <row r="156">
      <c r="J156" s="113"/>
      <c r="L156" s="126"/>
    </row>
    <row r="157">
      <c r="J157" s="113"/>
      <c r="L157" s="126"/>
    </row>
    <row r="158">
      <c r="J158" s="113"/>
      <c r="L158" s="126"/>
    </row>
    <row r="159">
      <c r="J159" s="113"/>
      <c r="L159" s="126"/>
    </row>
    <row r="160">
      <c r="J160" s="113"/>
      <c r="L160" s="126"/>
    </row>
    <row r="161">
      <c r="J161" s="113"/>
      <c r="L161" s="126"/>
    </row>
    <row r="162">
      <c r="J162" s="113"/>
      <c r="L162" s="126"/>
    </row>
    <row r="163">
      <c r="J163" s="113"/>
      <c r="L163" s="126"/>
    </row>
    <row r="164">
      <c r="J164" s="113"/>
      <c r="L164" s="126"/>
    </row>
    <row r="165">
      <c r="J165" s="113"/>
      <c r="L165" s="126"/>
    </row>
    <row r="166">
      <c r="J166" s="113"/>
      <c r="L166" s="126"/>
    </row>
    <row r="167">
      <c r="J167" s="113"/>
      <c r="L167" s="126"/>
    </row>
    <row r="168">
      <c r="J168" s="113"/>
      <c r="L168" s="126"/>
    </row>
    <row r="169">
      <c r="J169" s="113"/>
      <c r="L169" s="126"/>
    </row>
    <row r="170">
      <c r="J170" s="113"/>
      <c r="L170" s="126"/>
    </row>
    <row r="171">
      <c r="J171" s="113"/>
      <c r="L171" s="126"/>
    </row>
    <row r="172">
      <c r="J172" s="113"/>
      <c r="L172" s="126"/>
    </row>
    <row r="173">
      <c r="J173" s="113"/>
      <c r="L173" s="126"/>
    </row>
    <row r="174">
      <c r="J174" s="113"/>
      <c r="L174" s="126"/>
    </row>
    <row r="175">
      <c r="J175" s="113"/>
      <c r="L175" s="126"/>
    </row>
    <row r="176">
      <c r="J176" s="113"/>
      <c r="L176" s="126"/>
    </row>
    <row r="177">
      <c r="J177" s="113"/>
      <c r="L177" s="126"/>
    </row>
    <row r="178">
      <c r="J178" s="113"/>
      <c r="L178" s="126"/>
    </row>
    <row r="179">
      <c r="J179" s="113"/>
      <c r="L179" s="126"/>
    </row>
    <row r="180">
      <c r="J180" s="113"/>
      <c r="L180" s="126"/>
    </row>
    <row r="181">
      <c r="J181" s="113"/>
      <c r="L181" s="126"/>
    </row>
    <row r="182">
      <c r="J182" s="113"/>
      <c r="L182" s="126"/>
    </row>
    <row r="183">
      <c r="J183" s="113"/>
      <c r="L183" s="126"/>
    </row>
    <row r="184">
      <c r="J184" s="113"/>
      <c r="L184" s="126"/>
    </row>
    <row r="185">
      <c r="J185" s="113"/>
      <c r="L185" s="126"/>
    </row>
    <row r="186">
      <c r="J186" s="113"/>
      <c r="L186" s="126"/>
    </row>
    <row r="187">
      <c r="J187" s="113"/>
      <c r="L187" s="126"/>
    </row>
    <row r="188">
      <c r="J188" s="113"/>
      <c r="L188" s="126"/>
    </row>
    <row r="189">
      <c r="J189" s="113"/>
      <c r="L189" s="126"/>
    </row>
    <row r="190">
      <c r="J190" s="113"/>
      <c r="L190" s="126"/>
    </row>
    <row r="191">
      <c r="J191" s="113"/>
      <c r="L191" s="126"/>
    </row>
    <row r="192">
      <c r="J192" s="113"/>
      <c r="L192" s="126"/>
    </row>
    <row r="193">
      <c r="J193" s="113"/>
      <c r="L193" s="126"/>
    </row>
    <row r="194">
      <c r="J194" s="113"/>
      <c r="L194" s="126"/>
    </row>
    <row r="195">
      <c r="J195" s="113"/>
      <c r="L195" s="126"/>
    </row>
    <row r="196">
      <c r="J196" s="113"/>
      <c r="L196" s="126"/>
    </row>
    <row r="197">
      <c r="J197" s="113"/>
      <c r="L197" s="126"/>
    </row>
    <row r="198">
      <c r="J198" s="113"/>
      <c r="L198" s="126"/>
    </row>
    <row r="199">
      <c r="J199" s="113"/>
      <c r="L199" s="126"/>
    </row>
    <row r="200">
      <c r="J200" s="113"/>
      <c r="L200" s="126"/>
    </row>
    <row r="201">
      <c r="J201" s="113"/>
      <c r="L201" s="126"/>
    </row>
    <row r="202">
      <c r="J202" s="113"/>
      <c r="L202" s="126"/>
    </row>
    <row r="203">
      <c r="J203" s="113"/>
      <c r="L203" s="126"/>
    </row>
    <row r="204">
      <c r="J204" s="113"/>
      <c r="L204" s="126"/>
    </row>
    <row r="205">
      <c r="J205" s="113"/>
      <c r="L205" s="126"/>
    </row>
    <row r="206">
      <c r="J206" s="113"/>
      <c r="L206" s="126"/>
    </row>
    <row r="207">
      <c r="J207" s="113"/>
      <c r="L207" s="126"/>
    </row>
    <row r="208">
      <c r="J208" s="113"/>
      <c r="L208" s="126"/>
    </row>
    <row r="209">
      <c r="J209" s="113"/>
      <c r="L209" s="126"/>
    </row>
    <row r="210">
      <c r="J210" s="113"/>
      <c r="L210" s="126"/>
    </row>
    <row r="211">
      <c r="J211" s="113"/>
      <c r="L211" s="126"/>
    </row>
    <row r="212">
      <c r="J212" s="113"/>
      <c r="L212" s="126"/>
    </row>
    <row r="213">
      <c r="J213" s="113"/>
      <c r="L213" s="126"/>
    </row>
    <row r="214">
      <c r="J214" s="113"/>
      <c r="L214" s="126"/>
    </row>
    <row r="215">
      <c r="J215" s="113"/>
      <c r="L215" s="126"/>
    </row>
    <row r="216">
      <c r="J216" s="113"/>
      <c r="L216" s="126"/>
    </row>
    <row r="217">
      <c r="J217" s="113"/>
      <c r="L217" s="126"/>
    </row>
    <row r="218">
      <c r="J218" s="113"/>
      <c r="L218" s="126"/>
    </row>
    <row r="219">
      <c r="J219" s="113"/>
      <c r="L219" s="126"/>
    </row>
    <row r="220">
      <c r="J220" s="113"/>
      <c r="L220" s="126"/>
    </row>
    <row r="221">
      <c r="J221" s="113"/>
      <c r="L221" s="126"/>
    </row>
    <row r="222">
      <c r="J222" s="113"/>
      <c r="L222" s="126"/>
    </row>
    <row r="223">
      <c r="J223" s="113"/>
      <c r="L223" s="126"/>
    </row>
    <row r="224">
      <c r="J224" s="113"/>
      <c r="L224" s="126"/>
    </row>
    <row r="225">
      <c r="J225" s="113"/>
      <c r="L225" s="126"/>
    </row>
    <row r="226">
      <c r="J226" s="113"/>
      <c r="L226" s="126"/>
    </row>
    <row r="227">
      <c r="J227" s="113"/>
      <c r="L227" s="126"/>
    </row>
    <row r="228">
      <c r="J228" s="113"/>
      <c r="L228" s="126"/>
    </row>
    <row r="229">
      <c r="J229" s="113"/>
      <c r="L229" s="126"/>
    </row>
    <row r="230">
      <c r="J230" s="113"/>
      <c r="L230" s="126"/>
    </row>
    <row r="231">
      <c r="J231" s="113"/>
      <c r="L231" s="126"/>
    </row>
    <row r="232">
      <c r="J232" s="113"/>
      <c r="L232" s="126"/>
    </row>
    <row r="233">
      <c r="J233" s="113"/>
      <c r="L233" s="126"/>
    </row>
    <row r="234">
      <c r="J234" s="113"/>
      <c r="L234" s="126"/>
    </row>
    <row r="235">
      <c r="J235" s="113"/>
      <c r="L235" s="126"/>
    </row>
    <row r="236">
      <c r="J236" s="113"/>
      <c r="L236" s="126"/>
    </row>
    <row r="237">
      <c r="J237" s="113"/>
      <c r="L237" s="126"/>
    </row>
    <row r="238">
      <c r="J238" s="113"/>
      <c r="L238" s="126"/>
    </row>
    <row r="239">
      <c r="J239" s="113"/>
      <c r="L239" s="126"/>
    </row>
    <row r="240">
      <c r="J240" s="113"/>
      <c r="L240" s="126"/>
    </row>
    <row r="241">
      <c r="J241" s="113"/>
      <c r="L241" s="126"/>
    </row>
    <row r="242">
      <c r="J242" s="113"/>
      <c r="L242" s="126"/>
    </row>
    <row r="243">
      <c r="J243" s="113"/>
      <c r="L243" s="126"/>
    </row>
    <row r="244">
      <c r="J244" s="113"/>
      <c r="L244" s="126"/>
    </row>
    <row r="245">
      <c r="J245" s="113"/>
      <c r="L245" s="126"/>
    </row>
    <row r="246">
      <c r="J246" s="113"/>
      <c r="L246" s="126"/>
    </row>
    <row r="247">
      <c r="J247" s="113"/>
      <c r="L247" s="126"/>
    </row>
    <row r="248">
      <c r="J248" s="113"/>
      <c r="L248" s="126"/>
    </row>
    <row r="249">
      <c r="J249" s="113"/>
      <c r="L249" s="126"/>
    </row>
    <row r="250">
      <c r="J250" s="113"/>
      <c r="L250" s="126"/>
    </row>
    <row r="251">
      <c r="J251" s="113"/>
      <c r="L251" s="126"/>
    </row>
    <row r="252">
      <c r="J252" s="113"/>
      <c r="L252" s="126"/>
    </row>
    <row r="253">
      <c r="J253" s="113"/>
      <c r="L253" s="126"/>
    </row>
    <row r="254">
      <c r="J254" s="113"/>
      <c r="L254" s="126"/>
    </row>
    <row r="255">
      <c r="J255" s="113"/>
      <c r="L255" s="126"/>
    </row>
    <row r="256">
      <c r="J256" s="113"/>
      <c r="L256" s="126"/>
    </row>
    <row r="257">
      <c r="J257" s="113"/>
      <c r="L257" s="126"/>
    </row>
    <row r="258">
      <c r="J258" s="113"/>
      <c r="L258" s="126"/>
    </row>
    <row r="259">
      <c r="J259" s="113"/>
      <c r="L259" s="126"/>
    </row>
    <row r="260">
      <c r="J260" s="113"/>
      <c r="L260" s="126"/>
    </row>
    <row r="261">
      <c r="J261" s="113"/>
      <c r="L261" s="126"/>
    </row>
    <row r="262">
      <c r="J262" s="113"/>
      <c r="L262" s="126"/>
    </row>
    <row r="263">
      <c r="J263" s="113"/>
      <c r="L263" s="126"/>
    </row>
    <row r="264">
      <c r="J264" s="113"/>
      <c r="L264" s="126"/>
    </row>
    <row r="265">
      <c r="J265" s="113"/>
      <c r="L265" s="126"/>
    </row>
    <row r="266">
      <c r="J266" s="113"/>
      <c r="L266" s="126"/>
    </row>
    <row r="267">
      <c r="J267" s="113"/>
      <c r="L267" s="126"/>
    </row>
    <row r="268">
      <c r="J268" s="113"/>
      <c r="L268" s="126"/>
    </row>
    <row r="269">
      <c r="J269" s="113"/>
      <c r="L269" s="126"/>
    </row>
    <row r="270">
      <c r="J270" s="113"/>
      <c r="L270" s="126"/>
    </row>
    <row r="271">
      <c r="J271" s="113"/>
      <c r="L271" s="126"/>
    </row>
    <row r="272">
      <c r="J272" s="113"/>
      <c r="L272" s="126"/>
    </row>
    <row r="273">
      <c r="J273" s="113"/>
      <c r="L273" s="126"/>
    </row>
    <row r="274">
      <c r="J274" s="113"/>
      <c r="L274" s="126"/>
    </row>
    <row r="275">
      <c r="J275" s="113"/>
      <c r="L275" s="126"/>
    </row>
    <row r="276">
      <c r="J276" s="113"/>
      <c r="L276" s="126"/>
    </row>
    <row r="277">
      <c r="J277" s="113"/>
      <c r="L277" s="126"/>
    </row>
    <row r="278">
      <c r="J278" s="113"/>
      <c r="L278" s="126"/>
    </row>
    <row r="279">
      <c r="J279" s="113"/>
      <c r="L279" s="126"/>
    </row>
    <row r="280">
      <c r="J280" s="113"/>
      <c r="L280" s="126"/>
    </row>
    <row r="281">
      <c r="J281" s="113"/>
      <c r="L281" s="126"/>
    </row>
    <row r="282">
      <c r="J282" s="113"/>
      <c r="L282" s="126"/>
    </row>
    <row r="283">
      <c r="J283" s="113"/>
      <c r="L283" s="126"/>
    </row>
    <row r="284">
      <c r="J284" s="113"/>
      <c r="L284" s="126"/>
    </row>
    <row r="285">
      <c r="J285" s="113"/>
      <c r="L285" s="126"/>
    </row>
    <row r="286">
      <c r="J286" s="113"/>
      <c r="L286" s="126"/>
    </row>
    <row r="287">
      <c r="J287" s="113"/>
      <c r="L287" s="126"/>
    </row>
    <row r="288">
      <c r="J288" s="113"/>
      <c r="L288" s="126"/>
    </row>
    <row r="289">
      <c r="J289" s="113"/>
      <c r="L289" s="126"/>
    </row>
    <row r="290">
      <c r="J290" s="113"/>
      <c r="L290" s="126"/>
    </row>
    <row r="291">
      <c r="J291" s="113"/>
      <c r="L291" s="126"/>
    </row>
    <row r="292">
      <c r="J292" s="113"/>
      <c r="L292" s="126"/>
    </row>
    <row r="293">
      <c r="J293" s="113"/>
      <c r="L293" s="126"/>
    </row>
    <row r="294">
      <c r="J294" s="113"/>
      <c r="L294" s="126"/>
    </row>
    <row r="295">
      <c r="J295" s="113"/>
      <c r="L295" s="126"/>
    </row>
    <row r="296">
      <c r="J296" s="113"/>
      <c r="L296" s="126"/>
    </row>
    <row r="297">
      <c r="J297" s="113"/>
      <c r="L297" s="126"/>
    </row>
    <row r="298">
      <c r="J298" s="113"/>
      <c r="L298" s="126"/>
    </row>
    <row r="299">
      <c r="J299" s="113"/>
      <c r="L299" s="126"/>
    </row>
    <row r="300">
      <c r="J300" s="113"/>
      <c r="L300" s="126"/>
    </row>
    <row r="301">
      <c r="J301" s="113"/>
      <c r="L301" s="126"/>
    </row>
    <row r="302">
      <c r="J302" s="113"/>
      <c r="L302" s="126"/>
    </row>
    <row r="303">
      <c r="J303" s="113"/>
      <c r="L303" s="126"/>
    </row>
    <row r="304">
      <c r="J304" s="113"/>
      <c r="L304" s="126"/>
    </row>
    <row r="305">
      <c r="J305" s="113"/>
      <c r="L305" s="126"/>
    </row>
    <row r="306">
      <c r="J306" s="113"/>
      <c r="L306" s="126"/>
    </row>
    <row r="307">
      <c r="J307" s="113"/>
      <c r="L307" s="126"/>
    </row>
    <row r="308">
      <c r="J308" s="113"/>
      <c r="L308" s="126"/>
    </row>
    <row r="309">
      <c r="J309" s="113"/>
      <c r="L309" s="126"/>
    </row>
    <row r="310">
      <c r="J310" s="113"/>
      <c r="L310" s="126"/>
    </row>
    <row r="311">
      <c r="J311" s="113"/>
      <c r="L311" s="126"/>
    </row>
    <row r="312">
      <c r="J312" s="113"/>
      <c r="L312" s="126"/>
    </row>
    <row r="313">
      <c r="J313" s="113"/>
      <c r="L313" s="126"/>
    </row>
    <row r="314">
      <c r="J314" s="113"/>
      <c r="L314" s="126"/>
    </row>
    <row r="315">
      <c r="J315" s="113"/>
      <c r="L315" s="126"/>
    </row>
    <row r="316">
      <c r="J316" s="113"/>
      <c r="L316" s="126"/>
    </row>
    <row r="317">
      <c r="J317" s="113"/>
      <c r="L317" s="126"/>
    </row>
    <row r="318">
      <c r="J318" s="113"/>
      <c r="L318" s="126"/>
    </row>
    <row r="319">
      <c r="J319" s="113"/>
      <c r="L319" s="126"/>
    </row>
    <row r="320">
      <c r="J320" s="113"/>
      <c r="L320" s="126"/>
    </row>
    <row r="321">
      <c r="J321" s="113"/>
      <c r="L321" s="126"/>
    </row>
    <row r="322">
      <c r="J322" s="113"/>
      <c r="L322" s="126"/>
    </row>
    <row r="323">
      <c r="J323" s="113"/>
      <c r="L323" s="126"/>
    </row>
    <row r="324">
      <c r="J324" s="113"/>
      <c r="L324" s="126"/>
    </row>
    <row r="325">
      <c r="J325" s="113"/>
      <c r="L325" s="126"/>
    </row>
    <row r="326">
      <c r="J326" s="113"/>
      <c r="L326" s="126"/>
    </row>
    <row r="327">
      <c r="J327" s="113"/>
      <c r="L327" s="126"/>
    </row>
    <row r="328">
      <c r="J328" s="113"/>
      <c r="L328" s="126"/>
    </row>
    <row r="329">
      <c r="J329" s="113"/>
      <c r="L329" s="126"/>
    </row>
    <row r="330">
      <c r="J330" s="113"/>
      <c r="L330" s="126"/>
    </row>
    <row r="331">
      <c r="J331" s="113"/>
      <c r="L331" s="126"/>
    </row>
    <row r="332">
      <c r="J332" s="113"/>
      <c r="L332" s="126"/>
    </row>
    <row r="333">
      <c r="J333" s="113"/>
      <c r="L333" s="126"/>
    </row>
    <row r="334">
      <c r="J334" s="113"/>
      <c r="L334" s="126"/>
    </row>
    <row r="335">
      <c r="J335" s="113"/>
      <c r="L335" s="126"/>
    </row>
    <row r="336">
      <c r="J336" s="113"/>
      <c r="L336" s="126"/>
    </row>
    <row r="337">
      <c r="J337" s="113"/>
      <c r="L337" s="126"/>
    </row>
    <row r="338">
      <c r="J338" s="113"/>
      <c r="L338" s="126"/>
    </row>
    <row r="339">
      <c r="J339" s="113"/>
      <c r="L339" s="126"/>
    </row>
    <row r="340">
      <c r="J340" s="113"/>
      <c r="L340" s="126"/>
    </row>
    <row r="341">
      <c r="J341" s="113"/>
      <c r="L341" s="126"/>
    </row>
    <row r="342">
      <c r="J342" s="113"/>
      <c r="L342" s="126"/>
    </row>
    <row r="343">
      <c r="J343" s="113"/>
      <c r="L343" s="126"/>
    </row>
    <row r="344">
      <c r="J344" s="113"/>
      <c r="L344" s="126"/>
    </row>
    <row r="345">
      <c r="J345" s="113"/>
      <c r="L345" s="126"/>
    </row>
    <row r="346">
      <c r="J346" s="113"/>
      <c r="L346" s="126"/>
    </row>
    <row r="347">
      <c r="J347" s="113"/>
      <c r="L347" s="126"/>
    </row>
    <row r="348">
      <c r="J348" s="113"/>
      <c r="L348" s="126"/>
    </row>
    <row r="349">
      <c r="J349" s="113"/>
      <c r="L349" s="126"/>
    </row>
    <row r="350">
      <c r="J350" s="113"/>
      <c r="L350" s="126"/>
    </row>
    <row r="351">
      <c r="J351" s="113"/>
      <c r="L351" s="126"/>
    </row>
    <row r="352">
      <c r="J352" s="113"/>
      <c r="L352" s="126"/>
    </row>
    <row r="353">
      <c r="J353" s="113"/>
      <c r="L353" s="126"/>
    </row>
    <row r="354">
      <c r="J354" s="113"/>
      <c r="L354" s="126"/>
    </row>
    <row r="355">
      <c r="J355" s="113"/>
      <c r="L355" s="126"/>
    </row>
    <row r="356">
      <c r="J356" s="113"/>
      <c r="L356" s="126"/>
    </row>
    <row r="357">
      <c r="J357" s="113"/>
      <c r="L357" s="126"/>
    </row>
    <row r="358">
      <c r="J358" s="113"/>
      <c r="L358" s="126"/>
    </row>
    <row r="359">
      <c r="J359" s="113"/>
      <c r="L359" s="126"/>
    </row>
    <row r="360">
      <c r="J360" s="113"/>
      <c r="L360" s="126"/>
    </row>
    <row r="361">
      <c r="J361" s="113"/>
      <c r="L361" s="126"/>
    </row>
    <row r="362">
      <c r="J362" s="113"/>
      <c r="L362" s="126"/>
    </row>
    <row r="363">
      <c r="J363" s="113"/>
      <c r="L363" s="126"/>
    </row>
    <row r="364">
      <c r="J364" s="113"/>
      <c r="L364" s="126"/>
    </row>
    <row r="365">
      <c r="J365" s="113"/>
      <c r="L365" s="126"/>
    </row>
    <row r="366">
      <c r="J366" s="113"/>
      <c r="L366" s="126"/>
    </row>
    <row r="367">
      <c r="J367" s="113"/>
      <c r="L367" s="126"/>
    </row>
    <row r="368">
      <c r="J368" s="113"/>
      <c r="L368" s="126"/>
    </row>
    <row r="369">
      <c r="J369" s="113"/>
      <c r="L369" s="126"/>
    </row>
    <row r="370">
      <c r="J370" s="113"/>
      <c r="L370" s="126"/>
    </row>
    <row r="371">
      <c r="J371" s="113"/>
      <c r="L371" s="126"/>
    </row>
    <row r="372">
      <c r="J372" s="113"/>
      <c r="L372" s="126"/>
    </row>
    <row r="373">
      <c r="J373" s="113"/>
      <c r="L373" s="126"/>
    </row>
    <row r="374">
      <c r="J374" s="113"/>
      <c r="L374" s="126"/>
    </row>
    <row r="375">
      <c r="J375" s="113"/>
      <c r="L375" s="126"/>
    </row>
    <row r="376">
      <c r="J376" s="113"/>
      <c r="L376" s="126"/>
    </row>
    <row r="377">
      <c r="J377" s="113"/>
      <c r="L377" s="126"/>
    </row>
    <row r="378">
      <c r="J378" s="113"/>
      <c r="L378" s="126"/>
    </row>
    <row r="379">
      <c r="J379" s="113"/>
      <c r="L379" s="126"/>
    </row>
    <row r="380">
      <c r="J380" s="113"/>
      <c r="L380" s="126"/>
    </row>
    <row r="381">
      <c r="J381" s="113"/>
      <c r="L381" s="126"/>
    </row>
    <row r="382">
      <c r="J382" s="113"/>
      <c r="L382" s="126"/>
    </row>
    <row r="383">
      <c r="J383" s="113"/>
      <c r="L383" s="126"/>
    </row>
    <row r="384">
      <c r="J384" s="113"/>
      <c r="L384" s="126"/>
    </row>
    <row r="385">
      <c r="J385" s="113"/>
      <c r="L385" s="126"/>
    </row>
    <row r="386">
      <c r="J386" s="113"/>
      <c r="L386" s="126"/>
    </row>
    <row r="387">
      <c r="J387" s="113"/>
      <c r="L387" s="126"/>
    </row>
    <row r="388">
      <c r="J388" s="113"/>
      <c r="L388" s="126"/>
    </row>
    <row r="389">
      <c r="J389" s="113"/>
      <c r="L389" s="126"/>
    </row>
    <row r="390">
      <c r="J390" s="113"/>
      <c r="L390" s="126"/>
    </row>
    <row r="391">
      <c r="J391" s="113"/>
      <c r="L391" s="126"/>
    </row>
    <row r="392">
      <c r="J392" s="113"/>
      <c r="L392" s="126"/>
    </row>
    <row r="393">
      <c r="J393" s="113"/>
      <c r="L393" s="126"/>
    </row>
    <row r="394">
      <c r="J394" s="113"/>
      <c r="L394" s="126"/>
    </row>
    <row r="395">
      <c r="J395" s="113"/>
      <c r="L395" s="126"/>
    </row>
    <row r="396">
      <c r="J396" s="113"/>
      <c r="L396" s="126"/>
    </row>
    <row r="397">
      <c r="J397" s="113"/>
      <c r="L397" s="126"/>
    </row>
    <row r="398">
      <c r="J398" s="113"/>
      <c r="L398" s="126"/>
    </row>
    <row r="399">
      <c r="J399" s="113"/>
      <c r="L399" s="126"/>
    </row>
    <row r="400">
      <c r="J400" s="113"/>
      <c r="L400" s="126"/>
    </row>
    <row r="401">
      <c r="J401" s="113"/>
      <c r="L401" s="126"/>
    </row>
    <row r="402">
      <c r="J402" s="113"/>
      <c r="L402" s="126"/>
    </row>
    <row r="403">
      <c r="J403" s="113"/>
      <c r="L403" s="126"/>
    </row>
    <row r="404">
      <c r="J404" s="113"/>
      <c r="L404" s="126"/>
    </row>
    <row r="405">
      <c r="J405" s="113"/>
      <c r="L405" s="126"/>
    </row>
    <row r="406">
      <c r="J406" s="113"/>
      <c r="L406" s="126"/>
    </row>
    <row r="407">
      <c r="J407" s="113"/>
      <c r="L407" s="126"/>
    </row>
    <row r="408">
      <c r="J408" s="113"/>
      <c r="L408" s="126"/>
    </row>
    <row r="409">
      <c r="J409" s="113"/>
      <c r="L409" s="126"/>
    </row>
    <row r="410">
      <c r="J410" s="113"/>
      <c r="L410" s="126"/>
    </row>
    <row r="411">
      <c r="J411" s="113"/>
      <c r="L411" s="126"/>
    </row>
    <row r="412">
      <c r="J412" s="113"/>
      <c r="L412" s="126"/>
    </row>
    <row r="413">
      <c r="J413" s="113"/>
      <c r="L413" s="126"/>
    </row>
    <row r="414">
      <c r="J414" s="113"/>
      <c r="L414" s="126"/>
    </row>
    <row r="415">
      <c r="J415" s="113"/>
      <c r="L415" s="126"/>
    </row>
    <row r="416">
      <c r="J416" s="113"/>
      <c r="L416" s="126"/>
    </row>
    <row r="417">
      <c r="J417" s="113"/>
      <c r="L417" s="126"/>
    </row>
    <row r="418">
      <c r="J418" s="113"/>
      <c r="L418" s="126"/>
    </row>
    <row r="419">
      <c r="J419" s="113"/>
      <c r="L419" s="126"/>
    </row>
    <row r="420">
      <c r="J420" s="113"/>
      <c r="L420" s="126"/>
    </row>
    <row r="421">
      <c r="J421" s="113"/>
      <c r="L421" s="126"/>
    </row>
    <row r="422">
      <c r="J422" s="113"/>
      <c r="L422" s="126"/>
    </row>
    <row r="423">
      <c r="J423" s="113"/>
      <c r="L423" s="126"/>
    </row>
    <row r="424">
      <c r="J424" s="113"/>
      <c r="L424" s="126"/>
    </row>
    <row r="425">
      <c r="J425" s="113"/>
      <c r="L425" s="126"/>
    </row>
    <row r="426">
      <c r="J426" s="113"/>
      <c r="L426" s="126"/>
    </row>
    <row r="427">
      <c r="J427" s="113"/>
      <c r="L427" s="126"/>
    </row>
    <row r="428">
      <c r="J428" s="113"/>
      <c r="L428" s="126"/>
    </row>
    <row r="429">
      <c r="J429" s="113"/>
      <c r="L429" s="126"/>
    </row>
    <row r="430">
      <c r="J430" s="113"/>
      <c r="L430" s="126"/>
    </row>
    <row r="431">
      <c r="J431" s="113"/>
      <c r="L431" s="126"/>
    </row>
    <row r="432">
      <c r="J432" s="113"/>
      <c r="L432" s="126"/>
    </row>
    <row r="433">
      <c r="J433" s="113"/>
      <c r="L433" s="126"/>
    </row>
    <row r="434">
      <c r="J434" s="113"/>
      <c r="L434" s="126"/>
    </row>
    <row r="435">
      <c r="J435" s="113"/>
      <c r="L435" s="126"/>
    </row>
    <row r="436">
      <c r="J436" s="113"/>
      <c r="L436" s="126"/>
    </row>
    <row r="437">
      <c r="J437" s="113"/>
      <c r="L437" s="126"/>
    </row>
    <row r="438">
      <c r="J438" s="113"/>
      <c r="L438" s="126"/>
    </row>
    <row r="439">
      <c r="J439" s="113"/>
      <c r="L439" s="126"/>
    </row>
    <row r="440">
      <c r="J440" s="113"/>
      <c r="L440" s="126"/>
    </row>
    <row r="441">
      <c r="J441" s="113"/>
      <c r="L441" s="126"/>
    </row>
    <row r="442">
      <c r="J442" s="113"/>
      <c r="L442" s="126"/>
    </row>
    <row r="443">
      <c r="J443" s="113"/>
      <c r="L443" s="126"/>
    </row>
    <row r="444">
      <c r="J444" s="113"/>
      <c r="L444" s="126"/>
    </row>
    <row r="445">
      <c r="J445" s="113"/>
      <c r="L445" s="126"/>
    </row>
    <row r="446">
      <c r="J446" s="113"/>
      <c r="L446" s="126"/>
    </row>
    <row r="447">
      <c r="J447" s="113"/>
      <c r="L447" s="126"/>
    </row>
    <row r="448">
      <c r="J448" s="113"/>
      <c r="L448" s="126"/>
    </row>
    <row r="449">
      <c r="J449" s="113"/>
      <c r="L449" s="126"/>
    </row>
    <row r="450">
      <c r="J450" s="113"/>
      <c r="L450" s="126"/>
    </row>
    <row r="451">
      <c r="J451" s="113"/>
      <c r="L451" s="126"/>
    </row>
    <row r="452">
      <c r="J452" s="113"/>
      <c r="L452" s="126"/>
    </row>
    <row r="453">
      <c r="J453" s="113"/>
      <c r="L453" s="126"/>
    </row>
    <row r="454">
      <c r="J454" s="113"/>
      <c r="L454" s="126"/>
    </row>
    <row r="455">
      <c r="J455" s="113"/>
      <c r="L455" s="126"/>
    </row>
    <row r="456">
      <c r="J456" s="113"/>
      <c r="L456" s="126"/>
    </row>
    <row r="457">
      <c r="J457" s="113"/>
      <c r="L457" s="126"/>
    </row>
    <row r="458">
      <c r="J458" s="113"/>
      <c r="L458" s="126"/>
    </row>
    <row r="459">
      <c r="J459" s="113"/>
      <c r="L459" s="126"/>
    </row>
    <row r="460">
      <c r="J460" s="113"/>
      <c r="L460" s="126"/>
    </row>
    <row r="461">
      <c r="J461" s="113"/>
      <c r="L461" s="126"/>
    </row>
    <row r="462">
      <c r="J462" s="113"/>
      <c r="L462" s="126"/>
    </row>
    <row r="463">
      <c r="J463" s="113"/>
      <c r="L463" s="126"/>
    </row>
    <row r="464">
      <c r="J464" s="113"/>
      <c r="L464" s="126"/>
    </row>
    <row r="465">
      <c r="J465" s="113"/>
      <c r="L465" s="126"/>
    </row>
    <row r="466">
      <c r="J466" s="113"/>
      <c r="L466" s="126"/>
    </row>
    <row r="467">
      <c r="J467" s="113"/>
      <c r="L467" s="126"/>
    </row>
    <row r="468">
      <c r="J468" s="113"/>
      <c r="L468" s="126"/>
    </row>
    <row r="469">
      <c r="J469" s="113"/>
      <c r="L469" s="126"/>
    </row>
    <row r="470">
      <c r="J470" s="113"/>
      <c r="L470" s="126"/>
    </row>
    <row r="471">
      <c r="J471" s="113"/>
      <c r="L471" s="126"/>
    </row>
    <row r="472">
      <c r="J472" s="113"/>
      <c r="L472" s="126"/>
    </row>
    <row r="473">
      <c r="J473" s="113"/>
      <c r="L473" s="126"/>
    </row>
    <row r="474">
      <c r="J474" s="113"/>
      <c r="L474" s="126"/>
    </row>
    <row r="475">
      <c r="J475" s="113"/>
      <c r="L475" s="126"/>
    </row>
    <row r="476">
      <c r="J476" s="113"/>
      <c r="L476" s="126"/>
    </row>
    <row r="477">
      <c r="J477" s="113"/>
      <c r="L477" s="126"/>
    </row>
    <row r="478">
      <c r="J478" s="113"/>
      <c r="L478" s="126"/>
    </row>
    <row r="479">
      <c r="J479" s="113"/>
      <c r="L479" s="126"/>
    </row>
    <row r="480">
      <c r="J480" s="113"/>
      <c r="L480" s="126"/>
    </row>
    <row r="481">
      <c r="J481" s="113"/>
      <c r="L481" s="126"/>
    </row>
    <row r="482">
      <c r="J482" s="113"/>
      <c r="L482" s="126"/>
    </row>
    <row r="483">
      <c r="J483" s="113"/>
      <c r="L483" s="126"/>
    </row>
    <row r="484">
      <c r="J484" s="113"/>
      <c r="L484" s="126"/>
    </row>
    <row r="485">
      <c r="J485" s="113"/>
      <c r="L485" s="126"/>
    </row>
    <row r="486">
      <c r="J486" s="113"/>
      <c r="L486" s="126"/>
    </row>
    <row r="487">
      <c r="J487" s="113"/>
      <c r="L487" s="126"/>
    </row>
    <row r="488">
      <c r="J488" s="113"/>
      <c r="L488" s="126"/>
    </row>
    <row r="489">
      <c r="J489" s="113"/>
      <c r="L489" s="126"/>
    </row>
    <row r="490">
      <c r="J490" s="113"/>
      <c r="L490" s="126"/>
    </row>
    <row r="491">
      <c r="J491" s="113"/>
      <c r="L491" s="126"/>
    </row>
    <row r="492">
      <c r="J492" s="113"/>
      <c r="L492" s="126"/>
    </row>
    <row r="493">
      <c r="J493" s="113"/>
      <c r="L493" s="126"/>
    </row>
    <row r="494">
      <c r="J494" s="113"/>
      <c r="L494" s="126"/>
    </row>
    <row r="495">
      <c r="J495" s="113"/>
      <c r="L495" s="126"/>
    </row>
    <row r="496">
      <c r="J496" s="113"/>
      <c r="L496" s="126"/>
    </row>
    <row r="497">
      <c r="J497" s="113"/>
      <c r="L497" s="126"/>
    </row>
    <row r="498">
      <c r="J498" s="113"/>
      <c r="L498" s="126"/>
    </row>
    <row r="499">
      <c r="J499" s="113"/>
      <c r="L499" s="126"/>
    </row>
    <row r="500">
      <c r="J500" s="113"/>
      <c r="L500" s="126"/>
    </row>
    <row r="501">
      <c r="J501" s="113"/>
      <c r="L501" s="126"/>
    </row>
    <row r="502">
      <c r="J502" s="113"/>
      <c r="L502" s="126"/>
    </row>
    <row r="503">
      <c r="J503" s="113"/>
      <c r="L503" s="126"/>
    </row>
    <row r="504">
      <c r="J504" s="113"/>
      <c r="L504" s="126"/>
    </row>
    <row r="505">
      <c r="J505" s="113"/>
      <c r="L505" s="126"/>
    </row>
    <row r="506">
      <c r="J506" s="113"/>
      <c r="L506" s="126"/>
    </row>
    <row r="507">
      <c r="J507" s="113"/>
      <c r="L507" s="126"/>
    </row>
    <row r="508">
      <c r="J508" s="113"/>
      <c r="L508" s="126"/>
    </row>
    <row r="509">
      <c r="J509" s="113"/>
      <c r="L509" s="126"/>
    </row>
    <row r="510">
      <c r="J510" s="113"/>
      <c r="L510" s="126"/>
    </row>
    <row r="511">
      <c r="J511" s="113"/>
      <c r="L511" s="126"/>
    </row>
    <row r="512">
      <c r="J512" s="113"/>
      <c r="L512" s="126"/>
    </row>
    <row r="513">
      <c r="J513" s="113"/>
      <c r="L513" s="126"/>
    </row>
    <row r="514">
      <c r="J514" s="113"/>
      <c r="L514" s="126"/>
    </row>
    <row r="515">
      <c r="J515" s="113"/>
      <c r="L515" s="126"/>
    </row>
    <row r="516">
      <c r="J516" s="113"/>
      <c r="L516" s="126"/>
    </row>
    <row r="517">
      <c r="J517" s="113"/>
      <c r="L517" s="126"/>
    </row>
    <row r="518">
      <c r="J518" s="113"/>
      <c r="L518" s="126"/>
    </row>
    <row r="519">
      <c r="J519" s="113"/>
      <c r="L519" s="126"/>
    </row>
    <row r="520">
      <c r="J520" s="113"/>
      <c r="L520" s="126"/>
    </row>
    <row r="521">
      <c r="J521" s="113"/>
      <c r="L521" s="126"/>
    </row>
    <row r="522">
      <c r="J522" s="113"/>
      <c r="L522" s="126"/>
    </row>
    <row r="523">
      <c r="J523" s="113"/>
      <c r="L523" s="126"/>
    </row>
    <row r="524">
      <c r="J524" s="113"/>
      <c r="L524" s="126"/>
    </row>
    <row r="525">
      <c r="J525" s="113"/>
      <c r="L525" s="126"/>
    </row>
    <row r="526">
      <c r="J526" s="113"/>
      <c r="L526" s="126"/>
    </row>
    <row r="527">
      <c r="J527" s="113"/>
      <c r="L527" s="126"/>
    </row>
    <row r="528">
      <c r="J528" s="113"/>
      <c r="L528" s="126"/>
    </row>
    <row r="529">
      <c r="J529" s="113"/>
      <c r="L529" s="126"/>
    </row>
    <row r="530">
      <c r="J530" s="113"/>
      <c r="L530" s="126"/>
    </row>
    <row r="531">
      <c r="J531" s="113"/>
      <c r="L531" s="126"/>
    </row>
    <row r="532">
      <c r="J532" s="113"/>
      <c r="L532" s="126"/>
    </row>
    <row r="533">
      <c r="J533" s="113"/>
      <c r="L533" s="126"/>
    </row>
    <row r="534">
      <c r="J534" s="113"/>
      <c r="L534" s="126"/>
    </row>
    <row r="535">
      <c r="J535" s="113"/>
      <c r="L535" s="126"/>
    </row>
    <row r="536">
      <c r="J536" s="113"/>
      <c r="L536" s="126"/>
    </row>
    <row r="537">
      <c r="J537" s="113"/>
      <c r="L537" s="126"/>
    </row>
    <row r="538">
      <c r="J538" s="113"/>
      <c r="L538" s="126"/>
    </row>
    <row r="539">
      <c r="J539" s="113"/>
      <c r="L539" s="126"/>
    </row>
    <row r="540">
      <c r="J540" s="113"/>
      <c r="L540" s="126"/>
    </row>
    <row r="541">
      <c r="J541" s="113"/>
      <c r="L541" s="126"/>
    </row>
    <row r="542">
      <c r="J542" s="113"/>
      <c r="L542" s="126"/>
    </row>
    <row r="543">
      <c r="J543" s="113"/>
      <c r="L543" s="126"/>
    </row>
    <row r="544">
      <c r="J544" s="113"/>
      <c r="L544" s="126"/>
    </row>
    <row r="545">
      <c r="J545" s="113"/>
      <c r="L545" s="126"/>
    </row>
    <row r="546">
      <c r="J546" s="113"/>
      <c r="L546" s="126"/>
    </row>
    <row r="547">
      <c r="J547" s="113"/>
      <c r="L547" s="126"/>
    </row>
    <row r="548">
      <c r="J548" s="113"/>
      <c r="L548" s="126"/>
    </row>
    <row r="549">
      <c r="J549" s="113"/>
      <c r="L549" s="126"/>
    </row>
    <row r="550">
      <c r="J550" s="113"/>
      <c r="L550" s="126"/>
    </row>
    <row r="551">
      <c r="J551" s="113"/>
      <c r="L551" s="126"/>
    </row>
    <row r="552">
      <c r="J552" s="113"/>
      <c r="L552" s="126"/>
    </row>
    <row r="553">
      <c r="J553" s="113"/>
      <c r="L553" s="126"/>
    </row>
    <row r="554">
      <c r="J554" s="113"/>
      <c r="L554" s="126"/>
    </row>
    <row r="555">
      <c r="J555" s="113"/>
      <c r="L555" s="126"/>
    </row>
    <row r="556">
      <c r="J556" s="113"/>
      <c r="L556" s="126"/>
    </row>
    <row r="557">
      <c r="J557" s="113"/>
      <c r="L557" s="126"/>
    </row>
    <row r="558">
      <c r="J558" s="113"/>
      <c r="L558" s="126"/>
    </row>
    <row r="559">
      <c r="J559" s="113"/>
      <c r="L559" s="126"/>
    </row>
    <row r="560">
      <c r="J560" s="113"/>
      <c r="L560" s="126"/>
    </row>
    <row r="561">
      <c r="J561" s="113"/>
      <c r="L561" s="126"/>
    </row>
    <row r="562">
      <c r="J562" s="113"/>
      <c r="L562" s="126"/>
    </row>
    <row r="563">
      <c r="J563" s="113"/>
      <c r="L563" s="126"/>
    </row>
    <row r="564">
      <c r="J564" s="113"/>
      <c r="L564" s="126"/>
    </row>
    <row r="565">
      <c r="J565" s="113"/>
      <c r="L565" s="126"/>
    </row>
    <row r="566">
      <c r="J566" s="113"/>
      <c r="L566" s="126"/>
    </row>
    <row r="567">
      <c r="J567" s="113"/>
      <c r="L567" s="126"/>
    </row>
    <row r="568">
      <c r="J568" s="113"/>
      <c r="L568" s="126"/>
    </row>
    <row r="569">
      <c r="J569" s="113"/>
      <c r="L569" s="126"/>
    </row>
    <row r="570">
      <c r="J570" s="113"/>
      <c r="L570" s="126"/>
    </row>
    <row r="571">
      <c r="J571" s="113"/>
      <c r="L571" s="126"/>
    </row>
    <row r="572">
      <c r="J572" s="113"/>
      <c r="L572" s="126"/>
    </row>
    <row r="573">
      <c r="J573" s="113"/>
      <c r="L573" s="126"/>
    </row>
    <row r="574">
      <c r="J574" s="113"/>
      <c r="L574" s="126"/>
    </row>
    <row r="575">
      <c r="J575" s="113"/>
      <c r="L575" s="126"/>
    </row>
    <row r="576">
      <c r="J576" s="113"/>
      <c r="L576" s="126"/>
    </row>
    <row r="577">
      <c r="J577" s="113"/>
      <c r="L577" s="126"/>
    </row>
    <row r="578">
      <c r="J578" s="113"/>
      <c r="L578" s="126"/>
    </row>
    <row r="579">
      <c r="J579" s="113"/>
      <c r="L579" s="126"/>
    </row>
    <row r="580">
      <c r="J580" s="113"/>
      <c r="L580" s="126"/>
    </row>
    <row r="581">
      <c r="J581" s="113"/>
      <c r="L581" s="126"/>
    </row>
    <row r="582">
      <c r="J582" s="113"/>
      <c r="L582" s="126"/>
    </row>
    <row r="583">
      <c r="J583" s="113"/>
      <c r="L583" s="126"/>
    </row>
    <row r="584">
      <c r="J584" s="113"/>
      <c r="L584" s="126"/>
    </row>
    <row r="585">
      <c r="J585" s="113"/>
      <c r="L585" s="126"/>
    </row>
    <row r="586">
      <c r="J586" s="113"/>
      <c r="L586" s="126"/>
    </row>
    <row r="587">
      <c r="J587" s="113"/>
      <c r="L587" s="126"/>
    </row>
    <row r="588">
      <c r="J588" s="113"/>
      <c r="L588" s="126"/>
    </row>
    <row r="589">
      <c r="J589" s="113"/>
      <c r="L589" s="126"/>
    </row>
    <row r="590">
      <c r="J590" s="113"/>
      <c r="L590" s="126"/>
    </row>
    <row r="591">
      <c r="J591" s="113"/>
      <c r="L591" s="126"/>
    </row>
    <row r="592">
      <c r="J592" s="113"/>
      <c r="L592" s="126"/>
    </row>
    <row r="593">
      <c r="J593" s="113"/>
      <c r="L593" s="126"/>
    </row>
    <row r="594">
      <c r="J594" s="113"/>
      <c r="L594" s="126"/>
    </row>
    <row r="595">
      <c r="J595" s="113"/>
      <c r="L595" s="126"/>
    </row>
    <row r="596">
      <c r="J596" s="113"/>
      <c r="L596" s="126"/>
    </row>
    <row r="597">
      <c r="J597" s="113"/>
      <c r="L597" s="126"/>
    </row>
    <row r="598">
      <c r="J598" s="113"/>
      <c r="L598" s="126"/>
    </row>
    <row r="599">
      <c r="J599" s="113"/>
      <c r="L599" s="126"/>
    </row>
    <row r="600">
      <c r="J600" s="113"/>
      <c r="L600" s="126"/>
    </row>
    <row r="601">
      <c r="J601" s="113"/>
      <c r="L601" s="126"/>
    </row>
    <row r="602">
      <c r="J602" s="113"/>
      <c r="L602" s="126"/>
    </row>
    <row r="603">
      <c r="J603" s="113"/>
      <c r="L603" s="126"/>
    </row>
    <row r="604">
      <c r="J604" s="113"/>
      <c r="L604" s="126"/>
    </row>
    <row r="605">
      <c r="J605" s="113"/>
      <c r="L605" s="126"/>
    </row>
    <row r="606">
      <c r="J606" s="113"/>
      <c r="L606" s="126"/>
    </row>
    <row r="607">
      <c r="J607" s="113"/>
      <c r="L607" s="126"/>
    </row>
    <row r="608">
      <c r="J608" s="113"/>
      <c r="L608" s="126"/>
    </row>
    <row r="609">
      <c r="J609" s="113"/>
      <c r="L609" s="126"/>
    </row>
    <row r="610">
      <c r="J610" s="113"/>
      <c r="L610" s="126"/>
    </row>
    <row r="611">
      <c r="J611" s="113"/>
      <c r="L611" s="126"/>
    </row>
    <row r="612">
      <c r="J612" s="113"/>
      <c r="L612" s="126"/>
    </row>
    <row r="613">
      <c r="J613" s="113"/>
      <c r="L613" s="126"/>
    </row>
    <row r="614">
      <c r="J614" s="113"/>
      <c r="L614" s="126"/>
    </row>
    <row r="615">
      <c r="J615" s="113"/>
      <c r="L615" s="126"/>
    </row>
    <row r="616">
      <c r="J616" s="113"/>
      <c r="L616" s="126"/>
    </row>
    <row r="617">
      <c r="J617" s="113"/>
      <c r="L617" s="126"/>
    </row>
    <row r="618">
      <c r="J618" s="113"/>
      <c r="L618" s="126"/>
    </row>
    <row r="619">
      <c r="J619" s="113"/>
      <c r="L619" s="126"/>
    </row>
    <row r="620">
      <c r="J620" s="113"/>
      <c r="L620" s="126"/>
    </row>
    <row r="621">
      <c r="J621" s="113"/>
      <c r="L621" s="126"/>
    </row>
    <row r="622">
      <c r="J622" s="113"/>
      <c r="L622" s="126"/>
    </row>
    <row r="623">
      <c r="J623" s="113"/>
      <c r="L623" s="126"/>
    </row>
    <row r="624">
      <c r="J624" s="113"/>
      <c r="L624" s="126"/>
    </row>
    <row r="625">
      <c r="J625" s="113"/>
      <c r="L625" s="126"/>
    </row>
    <row r="626">
      <c r="J626" s="113"/>
      <c r="L626" s="126"/>
    </row>
    <row r="627">
      <c r="J627" s="113"/>
      <c r="L627" s="126"/>
    </row>
    <row r="628">
      <c r="J628" s="113"/>
      <c r="L628" s="126"/>
    </row>
    <row r="629">
      <c r="J629" s="113"/>
      <c r="L629" s="126"/>
    </row>
    <row r="630">
      <c r="J630" s="113"/>
      <c r="L630" s="126"/>
    </row>
    <row r="631">
      <c r="J631" s="113"/>
      <c r="L631" s="126"/>
    </row>
    <row r="632">
      <c r="J632" s="113"/>
      <c r="L632" s="126"/>
    </row>
    <row r="633">
      <c r="J633" s="113"/>
      <c r="L633" s="126"/>
    </row>
    <row r="634">
      <c r="J634" s="113"/>
      <c r="L634" s="126"/>
    </row>
    <row r="635">
      <c r="J635" s="113"/>
      <c r="L635" s="126"/>
    </row>
    <row r="636">
      <c r="J636" s="113"/>
      <c r="L636" s="126"/>
    </row>
    <row r="637">
      <c r="J637" s="113"/>
      <c r="L637" s="126"/>
    </row>
    <row r="638">
      <c r="J638" s="113"/>
      <c r="L638" s="126"/>
    </row>
    <row r="639">
      <c r="J639" s="113"/>
      <c r="L639" s="126"/>
    </row>
    <row r="640">
      <c r="J640" s="113"/>
      <c r="L640" s="126"/>
    </row>
    <row r="641">
      <c r="J641" s="113"/>
      <c r="L641" s="126"/>
    </row>
    <row r="642">
      <c r="J642" s="113"/>
      <c r="L642" s="126"/>
    </row>
    <row r="643">
      <c r="J643" s="113"/>
      <c r="L643" s="126"/>
    </row>
    <row r="644">
      <c r="J644" s="113"/>
      <c r="L644" s="126"/>
    </row>
    <row r="645">
      <c r="J645" s="113"/>
      <c r="L645" s="126"/>
    </row>
    <row r="646">
      <c r="J646" s="113"/>
      <c r="L646" s="126"/>
    </row>
    <row r="647">
      <c r="J647" s="113"/>
      <c r="L647" s="126"/>
    </row>
    <row r="648">
      <c r="J648" s="113"/>
      <c r="L648" s="126"/>
    </row>
    <row r="649">
      <c r="J649" s="113"/>
      <c r="L649" s="126"/>
    </row>
    <row r="650">
      <c r="J650" s="113"/>
      <c r="L650" s="126"/>
    </row>
    <row r="651">
      <c r="J651" s="113"/>
      <c r="L651" s="126"/>
    </row>
    <row r="652">
      <c r="J652" s="113"/>
      <c r="L652" s="126"/>
    </row>
    <row r="653">
      <c r="J653" s="113"/>
      <c r="L653" s="126"/>
    </row>
    <row r="654">
      <c r="J654" s="113"/>
      <c r="L654" s="126"/>
    </row>
    <row r="655">
      <c r="J655" s="113"/>
      <c r="L655" s="126"/>
    </row>
    <row r="656">
      <c r="J656" s="113"/>
      <c r="L656" s="126"/>
    </row>
    <row r="657">
      <c r="J657" s="113"/>
      <c r="L657" s="126"/>
    </row>
    <row r="658">
      <c r="J658" s="113"/>
      <c r="L658" s="126"/>
    </row>
    <row r="659">
      <c r="J659" s="113"/>
      <c r="L659" s="126"/>
    </row>
    <row r="660">
      <c r="J660" s="113"/>
      <c r="L660" s="126"/>
    </row>
    <row r="661">
      <c r="J661" s="113"/>
      <c r="L661" s="126"/>
    </row>
    <row r="662">
      <c r="J662" s="113"/>
      <c r="L662" s="126"/>
    </row>
    <row r="663">
      <c r="J663" s="113"/>
      <c r="L663" s="126"/>
    </row>
    <row r="664">
      <c r="J664" s="113"/>
      <c r="L664" s="126"/>
    </row>
    <row r="665">
      <c r="J665" s="113"/>
      <c r="L665" s="126"/>
    </row>
    <row r="666">
      <c r="J666" s="113"/>
      <c r="L666" s="126"/>
    </row>
    <row r="667">
      <c r="J667" s="113"/>
      <c r="L667" s="126"/>
    </row>
    <row r="668">
      <c r="J668" s="113"/>
      <c r="L668" s="126"/>
    </row>
    <row r="669">
      <c r="J669" s="113"/>
      <c r="L669" s="126"/>
    </row>
    <row r="670">
      <c r="J670" s="113"/>
      <c r="L670" s="126"/>
    </row>
    <row r="671">
      <c r="J671" s="113"/>
      <c r="L671" s="126"/>
    </row>
    <row r="672">
      <c r="J672" s="113"/>
      <c r="L672" s="126"/>
    </row>
    <row r="673">
      <c r="J673" s="113"/>
      <c r="L673" s="126"/>
    </row>
    <row r="674">
      <c r="J674" s="113"/>
      <c r="L674" s="126"/>
    </row>
    <row r="675">
      <c r="J675" s="113"/>
      <c r="L675" s="126"/>
    </row>
    <row r="676">
      <c r="J676" s="113"/>
      <c r="L676" s="126"/>
    </row>
    <row r="677">
      <c r="J677" s="113"/>
      <c r="L677" s="126"/>
    </row>
    <row r="678">
      <c r="J678" s="113"/>
      <c r="L678" s="126"/>
    </row>
    <row r="679">
      <c r="J679" s="113"/>
      <c r="L679" s="126"/>
    </row>
    <row r="680">
      <c r="J680" s="113"/>
      <c r="L680" s="126"/>
    </row>
    <row r="681">
      <c r="J681" s="113"/>
      <c r="L681" s="126"/>
    </row>
    <row r="682">
      <c r="J682" s="113"/>
      <c r="L682" s="126"/>
    </row>
    <row r="683">
      <c r="J683" s="113"/>
      <c r="L683" s="126"/>
    </row>
    <row r="684">
      <c r="J684" s="113"/>
      <c r="L684" s="126"/>
    </row>
    <row r="685">
      <c r="J685" s="113"/>
      <c r="L685" s="126"/>
    </row>
    <row r="686">
      <c r="J686" s="113"/>
      <c r="L686" s="126"/>
    </row>
    <row r="687">
      <c r="J687" s="113"/>
      <c r="L687" s="126"/>
    </row>
    <row r="688">
      <c r="J688" s="113"/>
      <c r="L688" s="126"/>
    </row>
    <row r="689">
      <c r="J689" s="113"/>
      <c r="L689" s="126"/>
    </row>
    <row r="690">
      <c r="J690" s="113"/>
      <c r="L690" s="126"/>
    </row>
    <row r="691">
      <c r="J691" s="113"/>
      <c r="L691" s="126"/>
    </row>
    <row r="692">
      <c r="J692" s="113"/>
      <c r="L692" s="126"/>
    </row>
    <row r="693">
      <c r="J693" s="113"/>
      <c r="L693" s="126"/>
    </row>
    <row r="694">
      <c r="J694" s="113"/>
      <c r="L694" s="126"/>
    </row>
    <row r="695">
      <c r="J695" s="113"/>
      <c r="L695" s="126"/>
    </row>
    <row r="696">
      <c r="J696" s="113"/>
      <c r="L696" s="126"/>
    </row>
    <row r="697">
      <c r="J697" s="113"/>
      <c r="L697" s="126"/>
    </row>
    <row r="698">
      <c r="J698" s="113"/>
      <c r="L698" s="126"/>
    </row>
    <row r="699">
      <c r="J699" s="113"/>
      <c r="L699" s="126"/>
    </row>
    <row r="700">
      <c r="J700" s="113"/>
      <c r="L700" s="126"/>
    </row>
    <row r="701">
      <c r="J701" s="113"/>
      <c r="L701" s="126"/>
    </row>
    <row r="702">
      <c r="J702" s="113"/>
      <c r="L702" s="126"/>
    </row>
    <row r="703">
      <c r="J703" s="113"/>
      <c r="L703" s="126"/>
    </row>
    <row r="704">
      <c r="J704" s="113"/>
      <c r="L704" s="126"/>
    </row>
    <row r="705">
      <c r="J705" s="113"/>
      <c r="L705" s="126"/>
    </row>
    <row r="706">
      <c r="J706" s="113"/>
      <c r="L706" s="126"/>
    </row>
    <row r="707">
      <c r="J707" s="113"/>
      <c r="L707" s="126"/>
    </row>
    <row r="708">
      <c r="J708" s="113"/>
      <c r="L708" s="126"/>
    </row>
    <row r="709">
      <c r="J709" s="113"/>
      <c r="L709" s="126"/>
    </row>
    <row r="710">
      <c r="J710" s="113"/>
      <c r="L710" s="126"/>
    </row>
    <row r="711">
      <c r="J711" s="113"/>
      <c r="L711" s="126"/>
    </row>
    <row r="712">
      <c r="J712" s="113"/>
      <c r="L712" s="126"/>
    </row>
    <row r="713">
      <c r="J713" s="113"/>
      <c r="L713" s="126"/>
    </row>
    <row r="714">
      <c r="J714" s="113"/>
      <c r="L714" s="126"/>
    </row>
    <row r="715">
      <c r="J715" s="113"/>
      <c r="L715" s="126"/>
    </row>
    <row r="716">
      <c r="J716" s="113"/>
      <c r="L716" s="126"/>
    </row>
    <row r="717">
      <c r="J717" s="113"/>
      <c r="L717" s="126"/>
    </row>
    <row r="718">
      <c r="J718" s="113"/>
      <c r="L718" s="126"/>
    </row>
    <row r="719">
      <c r="J719" s="113"/>
      <c r="L719" s="126"/>
    </row>
    <row r="720">
      <c r="J720" s="113"/>
      <c r="L720" s="126"/>
    </row>
    <row r="721">
      <c r="J721" s="113"/>
      <c r="L721" s="126"/>
    </row>
    <row r="722">
      <c r="J722" s="113"/>
      <c r="L722" s="126"/>
    </row>
    <row r="723">
      <c r="J723" s="113"/>
      <c r="L723" s="126"/>
    </row>
    <row r="724">
      <c r="J724" s="113"/>
      <c r="L724" s="126"/>
    </row>
    <row r="725">
      <c r="J725" s="113"/>
      <c r="L725" s="126"/>
    </row>
    <row r="726">
      <c r="J726" s="113"/>
      <c r="L726" s="126"/>
    </row>
    <row r="727">
      <c r="J727" s="113"/>
      <c r="L727" s="126"/>
    </row>
    <row r="728">
      <c r="J728" s="113"/>
      <c r="L728" s="126"/>
    </row>
    <row r="729">
      <c r="J729" s="113"/>
      <c r="L729" s="126"/>
    </row>
    <row r="730">
      <c r="J730" s="113"/>
      <c r="L730" s="126"/>
    </row>
    <row r="731">
      <c r="J731" s="113"/>
      <c r="L731" s="126"/>
    </row>
    <row r="732">
      <c r="J732" s="113"/>
      <c r="L732" s="126"/>
    </row>
    <row r="733">
      <c r="J733" s="113"/>
      <c r="L733" s="126"/>
    </row>
    <row r="734">
      <c r="J734" s="113"/>
      <c r="L734" s="126"/>
    </row>
    <row r="735">
      <c r="J735" s="113"/>
      <c r="L735" s="126"/>
    </row>
    <row r="736">
      <c r="J736" s="113"/>
      <c r="L736" s="126"/>
    </row>
    <row r="737">
      <c r="J737" s="113"/>
      <c r="L737" s="126"/>
    </row>
    <row r="738">
      <c r="J738" s="113"/>
      <c r="L738" s="126"/>
    </row>
    <row r="739">
      <c r="J739" s="113"/>
      <c r="L739" s="126"/>
    </row>
    <row r="740">
      <c r="J740" s="113"/>
      <c r="L740" s="126"/>
    </row>
    <row r="741">
      <c r="J741" s="113"/>
      <c r="L741" s="126"/>
    </row>
    <row r="742">
      <c r="J742" s="113"/>
      <c r="L742" s="126"/>
    </row>
    <row r="743">
      <c r="J743" s="113"/>
      <c r="L743" s="126"/>
    </row>
    <row r="744">
      <c r="J744" s="113"/>
      <c r="L744" s="126"/>
    </row>
    <row r="745">
      <c r="J745" s="113"/>
      <c r="L745" s="126"/>
    </row>
    <row r="746">
      <c r="J746" s="113"/>
      <c r="L746" s="126"/>
    </row>
    <row r="747">
      <c r="J747" s="113"/>
      <c r="L747" s="126"/>
    </row>
    <row r="748">
      <c r="J748" s="113"/>
      <c r="L748" s="126"/>
    </row>
    <row r="749">
      <c r="J749" s="113"/>
      <c r="L749" s="126"/>
    </row>
    <row r="750">
      <c r="J750" s="113"/>
      <c r="L750" s="126"/>
    </row>
    <row r="751">
      <c r="J751" s="113"/>
      <c r="L751" s="126"/>
    </row>
    <row r="752">
      <c r="J752" s="113"/>
      <c r="L752" s="126"/>
    </row>
    <row r="753">
      <c r="J753" s="113"/>
      <c r="L753" s="126"/>
    </row>
    <row r="754">
      <c r="J754" s="113"/>
      <c r="L754" s="126"/>
    </row>
    <row r="755">
      <c r="J755" s="113"/>
      <c r="L755" s="126"/>
    </row>
    <row r="756">
      <c r="J756" s="113"/>
      <c r="L756" s="126"/>
    </row>
    <row r="757">
      <c r="J757" s="113"/>
      <c r="L757" s="126"/>
    </row>
    <row r="758">
      <c r="J758" s="113"/>
      <c r="L758" s="126"/>
    </row>
    <row r="759">
      <c r="J759" s="113"/>
      <c r="L759" s="126"/>
    </row>
    <row r="760">
      <c r="J760" s="113"/>
      <c r="L760" s="126"/>
    </row>
    <row r="761">
      <c r="J761" s="113"/>
      <c r="L761" s="126"/>
    </row>
    <row r="762">
      <c r="J762" s="113"/>
      <c r="L762" s="126"/>
    </row>
    <row r="763">
      <c r="J763" s="113"/>
      <c r="L763" s="126"/>
    </row>
    <row r="764">
      <c r="J764" s="113"/>
      <c r="L764" s="126"/>
    </row>
    <row r="765">
      <c r="J765" s="113"/>
      <c r="L765" s="126"/>
    </row>
    <row r="766">
      <c r="J766" s="113"/>
      <c r="L766" s="126"/>
    </row>
    <row r="767">
      <c r="J767" s="113"/>
      <c r="L767" s="126"/>
    </row>
    <row r="768">
      <c r="J768" s="113"/>
      <c r="L768" s="126"/>
    </row>
    <row r="769">
      <c r="J769" s="113"/>
      <c r="L769" s="126"/>
    </row>
    <row r="770">
      <c r="J770" s="113"/>
      <c r="L770" s="126"/>
    </row>
    <row r="771">
      <c r="J771" s="113"/>
      <c r="L771" s="126"/>
    </row>
    <row r="772">
      <c r="J772" s="113"/>
      <c r="L772" s="126"/>
    </row>
    <row r="773">
      <c r="J773" s="113"/>
      <c r="L773" s="126"/>
    </row>
    <row r="774">
      <c r="J774" s="113"/>
      <c r="L774" s="126"/>
    </row>
    <row r="775">
      <c r="J775" s="113"/>
      <c r="L775" s="126"/>
    </row>
    <row r="776">
      <c r="J776" s="113"/>
      <c r="L776" s="126"/>
    </row>
    <row r="777">
      <c r="J777" s="113"/>
      <c r="L777" s="126"/>
    </row>
    <row r="778">
      <c r="J778" s="113"/>
      <c r="L778" s="126"/>
    </row>
    <row r="779">
      <c r="J779" s="113"/>
      <c r="L779" s="126"/>
    </row>
    <row r="780">
      <c r="J780" s="113"/>
      <c r="L780" s="126"/>
    </row>
    <row r="781">
      <c r="J781" s="113"/>
      <c r="L781" s="126"/>
    </row>
    <row r="782">
      <c r="J782" s="113"/>
      <c r="L782" s="126"/>
    </row>
    <row r="783">
      <c r="J783" s="113"/>
      <c r="L783" s="126"/>
    </row>
    <row r="784">
      <c r="J784" s="113"/>
      <c r="L784" s="126"/>
    </row>
    <row r="785">
      <c r="J785" s="113"/>
      <c r="L785" s="126"/>
    </row>
    <row r="786">
      <c r="J786" s="113"/>
      <c r="L786" s="126"/>
    </row>
    <row r="787">
      <c r="J787" s="113"/>
      <c r="L787" s="126"/>
    </row>
    <row r="788">
      <c r="J788" s="113"/>
      <c r="L788" s="126"/>
    </row>
    <row r="789">
      <c r="J789" s="113"/>
      <c r="L789" s="126"/>
    </row>
    <row r="790">
      <c r="J790" s="113"/>
      <c r="L790" s="126"/>
    </row>
    <row r="791">
      <c r="J791" s="113"/>
      <c r="L791" s="126"/>
    </row>
    <row r="792">
      <c r="J792" s="113"/>
      <c r="L792" s="126"/>
    </row>
    <row r="793">
      <c r="J793" s="113"/>
      <c r="L793" s="126"/>
    </row>
    <row r="794">
      <c r="J794" s="113"/>
      <c r="L794" s="126"/>
    </row>
    <row r="795">
      <c r="J795" s="113"/>
      <c r="L795" s="126"/>
    </row>
    <row r="796">
      <c r="J796" s="113"/>
      <c r="L796" s="126"/>
    </row>
    <row r="797">
      <c r="J797" s="113"/>
      <c r="L797" s="126"/>
    </row>
    <row r="798">
      <c r="J798" s="113"/>
      <c r="L798" s="126"/>
    </row>
    <row r="799">
      <c r="J799" s="113"/>
      <c r="L799" s="126"/>
    </row>
    <row r="800">
      <c r="J800" s="113"/>
      <c r="L800" s="126"/>
    </row>
    <row r="801">
      <c r="J801" s="113"/>
      <c r="L801" s="126"/>
    </row>
    <row r="802">
      <c r="J802" s="113"/>
      <c r="L802" s="126"/>
    </row>
    <row r="803">
      <c r="J803" s="113"/>
      <c r="L803" s="126"/>
    </row>
    <row r="804">
      <c r="J804" s="113"/>
      <c r="L804" s="126"/>
    </row>
    <row r="805">
      <c r="J805" s="113"/>
      <c r="L805" s="126"/>
    </row>
    <row r="806">
      <c r="J806" s="113"/>
      <c r="L806" s="126"/>
    </row>
    <row r="807">
      <c r="J807" s="113"/>
      <c r="L807" s="126"/>
    </row>
    <row r="808">
      <c r="J808" s="113"/>
      <c r="L808" s="126"/>
    </row>
    <row r="809">
      <c r="J809" s="113"/>
      <c r="L809" s="126"/>
    </row>
    <row r="810">
      <c r="J810" s="113"/>
      <c r="L810" s="126"/>
    </row>
    <row r="811">
      <c r="J811" s="113"/>
      <c r="L811" s="126"/>
    </row>
    <row r="812">
      <c r="J812" s="113"/>
      <c r="L812" s="126"/>
    </row>
    <row r="813">
      <c r="J813" s="113"/>
      <c r="L813" s="126"/>
    </row>
    <row r="814">
      <c r="J814" s="113"/>
      <c r="L814" s="126"/>
    </row>
    <row r="815">
      <c r="J815" s="113"/>
      <c r="L815" s="126"/>
    </row>
    <row r="816">
      <c r="J816" s="113"/>
      <c r="L816" s="126"/>
    </row>
    <row r="817">
      <c r="J817" s="113"/>
      <c r="L817" s="126"/>
    </row>
    <row r="818">
      <c r="J818" s="113"/>
      <c r="L818" s="126"/>
    </row>
    <row r="819">
      <c r="J819" s="113"/>
      <c r="L819" s="126"/>
    </row>
    <row r="820">
      <c r="J820" s="113"/>
      <c r="L820" s="126"/>
    </row>
    <row r="821">
      <c r="J821" s="113"/>
      <c r="L821" s="126"/>
    </row>
    <row r="822">
      <c r="J822" s="113"/>
      <c r="L822" s="126"/>
    </row>
    <row r="823">
      <c r="J823" s="113"/>
      <c r="L823" s="126"/>
    </row>
    <row r="824">
      <c r="J824" s="113"/>
      <c r="L824" s="126"/>
    </row>
    <row r="825">
      <c r="J825" s="113"/>
      <c r="L825" s="126"/>
    </row>
    <row r="826">
      <c r="J826" s="113"/>
      <c r="L826" s="126"/>
    </row>
    <row r="827">
      <c r="J827" s="113"/>
      <c r="L827" s="126"/>
    </row>
    <row r="828">
      <c r="J828" s="113"/>
      <c r="L828" s="126"/>
    </row>
    <row r="829">
      <c r="J829" s="113"/>
      <c r="L829" s="126"/>
    </row>
    <row r="830">
      <c r="J830" s="113"/>
      <c r="L830" s="126"/>
    </row>
    <row r="831">
      <c r="J831" s="113"/>
      <c r="L831" s="126"/>
    </row>
    <row r="832">
      <c r="J832" s="113"/>
      <c r="L832" s="126"/>
    </row>
    <row r="833">
      <c r="J833" s="113"/>
      <c r="L833" s="126"/>
    </row>
    <row r="834">
      <c r="J834" s="113"/>
      <c r="L834" s="126"/>
    </row>
    <row r="835">
      <c r="J835" s="113"/>
      <c r="L835" s="126"/>
    </row>
    <row r="836">
      <c r="J836" s="113"/>
      <c r="L836" s="126"/>
    </row>
    <row r="837">
      <c r="J837" s="113"/>
      <c r="L837" s="126"/>
    </row>
    <row r="838">
      <c r="J838" s="113"/>
      <c r="L838" s="126"/>
    </row>
    <row r="839">
      <c r="J839" s="113"/>
      <c r="L839" s="126"/>
    </row>
    <row r="840">
      <c r="J840" s="113"/>
      <c r="L840" s="126"/>
    </row>
    <row r="841">
      <c r="J841" s="113"/>
      <c r="L841" s="126"/>
    </row>
    <row r="842">
      <c r="J842" s="113"/>
      <c r="L842" s="126"/>
    </row>
    <row r="843">
      <c r="J843" s="113"/>
      <c r="L843" s="126"/>
    </row>
    <row r="844">
      <c r="J844" s="113"/>
      <c r="L844" s="126"/>
    </row>
    <row r="845">
      <c r="J845" s="113"/>
      <c r="L845" s="126"/>
    </row>
    <row r="846">
      <c r="J846" s="113"/>
      <c r="L846" s="126"/>
    </row>
    <row r="847">
      <c r="J847" s="113"/>
      <c r="L847" s="126"/>
    </row>
    <row r="848">
      <c r="J848" s="113"/>
      <c r="L848" s="126"/>
    </row>
    <row r="849">
      <c r="J849" s="113"/>
      <c r="L849" s="126"/>
    </row>
    <row r="850">
      <c r="J850" s="113"/>
      <c r="L850" s="126"/>
    </row>
    <row r="851">
      <c r="J851" s="113"/>
      <c r="L851" s="126"/>
    </row>
    <row r="852">
      <c r="J852" s="113"/>
      <c r="L852" s="126"/>
    </row>
    <row r="853">
      <c r="J853" s="113"/>
      <c r="L853" s="126"/>
    </row>
    <row r="854">
      <c r="J854" s="113"/>
      <c r="L854" s="126"/>
    </row>
    <row r="855">
      <c r="J855" s="113"/>
      <c r="L855" s="126"/>
    </row>
    <row r="856">
      <c r="J856" s="113"/>
      <c r="L856" s="126"/>
    </row>
    <row r="857">
      <c r="J857" s="113"/>
      <c r="L857" s="126"/>
    </row>
    <row r="858">
      <c r="J858" s="113"/>
      <c r="L858" s="126"/>
    </row>
    <row r="859">
      <c r="J859" s="113"/>
      <c r="L859" s="126"/>
    </row>
    <row r="860">
      <c r="J860" s="113"/>
      <c r="L860" s="126"/>
    </row>
    <row r="861">
      <c r="J861" s="113"/>
      <c r="L861" s="126"/>
    </row>
    <row r="862">
      <c r="J862" s="113"/>
      <c r="L862" s="126"/>
    </row>
    <row r="863">
      <c r="J863" s="113"/>
      <c r="L863" s="126"/>
    </row>
    <row r="864">
      <c r="J864" s="113"/>
      <c r="L864" s="126"/>
    </row>
    <row r="865">
      <c r="J865" s="113"/>
      <c r="L865" s="126"/>
    </row>
    <row r="866">
      <c r="J866" s="113"/>
      <c r="L866" s="126"/>
    </row>
    <row r="867">
      <c r="J867" s="113"/>
      <c r="L867" s="126"/>
    </row>
    <row r="868">
      <c r="J868" s="113"/>
      <c r="L868" s="126"/>
    </row>
    <row r="869">
      <c r="J869" s="113"/>
      <c r="L869" s="126"/>
    </row>
    <row r="870">
      <c r="J870" s="113"/>
      <c r="L870" s="126"/>
    </row>
    <row r="871">
      <c r="J871" s="113"/>
      <c r="L871" s="126"/>
    </row>
    <row r="872">
      <c r="J872" s="113"/>
      <c r="L872" s="126"/>
    </row>
    <row r="873">
      <c r="J873" s="113"/>
      <c r="L873" s="126"/>
    </row>
    <row r="874">
      <c r="J874" s="113"/>
      <c r="L874" s="126"/>
    </row>
    <row r="875">
      <c r="J875" s="113"/>
      <c r="L875" s="126"/>
    </row>
    <row r="876">
      <c r="J876" s="113"/>
      <c r="L876" s="126"/>
    </row>
    <row r="877">
      <c r="J877" s="113"/>
      <c r="L877" s="126"/>
    </row>
    <row r="878">
      <c r="J878" s="113"/>
      <c r="L878" s="126"/>
    </row>
    <row r="879">
      <c r="J879" s="113"/>
      <c r="L879" s="126"/>
    </row>
    <row r="880">
      <c r="J880" s="113"/>
      <c r="L880" s="126"/>
    </row>
    <row r="881">
      <c r="J881" s="113"/>
      <c r="L881" s="126"/>
    </row>
    <row r="882">
      <c r="J882" s="113"/>
      <c r="L882" s="126"/>
    </row>
    <row r="883">
      <c r="J883" s="113"/>
      <c r="L883" s="126"/>
    </row>
    <row r="884">
      <c r="J884" s="113"/>
      <c r="L884" s="126"/>
    </row>
    <row r="885">
      <c r="J885" s="113"/>
      <c r="L885" s="126"/>
    </row>
    <row r="886">
      <c r="J886" s="113"/>
      <c r="L886" s="126"/>
    </row>
    <row r="887">
      <c r="J887" s="113"/>
      <c r="L887" s="126"/>
    </row>
    <row r="888">
      <c r="J888" s="113"/>
      <c r="L888" s="126"/>
    </row>
    <row r="889">
      <c r="J889" s="113"/>
      <c r="L889" s="126"/>
    </row>
    <row r="890">
      <c r="J890" s="113"/>
      <c r="L890" s="126"/>
    </row>
    <row r="891">
      <c r="J891" s="113"/>
      <c r="L891" s="126"/>
    </row>
    <row r="892">
      <c r="J892" s="113"/>
      <c r="L892" s="126"/>
    </row>
    <row r="893">
      <c r="J893" s="113"/>
      <c r="L893" s="126"/>
    </row>
    <row r="894">
      <c r="J894" s="113"/>
      <c r="L894" s="126"/>
    </row>
    <row r="895">
      <c r="J895" s="113"/>
      <c r="L895" s="126"/>
    </row>
    <row r="896">
      <c r="J896" s="113"/>
      <c r="L896" s="126"/>
    </row>
    <row r="897">
      <c r="J897" s="113"/>
      <c r="L897" s="126"/>
    </row>
    <row r="898">
      <c r="J898" s="113"/>
      <c r="L898" s="126"/>
    </row>
    <row r="899">
      <c r="J899" s="113"/>
      <c r="L899" s="126"/>
    </row>
    <row r="900">
      <c r="J900" s="113"/>
      <c r="L900" s="126"/>
    </row>
    <row r="901">
      <c r="J901" s="113"/>
      <c r="L901" s="126"/>
    </row>
    <row r="902">
      <c r="J902" s="113"/>
      <c r="L902" s="126"/>
    </row>
    <row r="903">
      <c r="J903" s="113"/>
      <c r="L903" s="126"/>
    </row>
    <row r="904">
      <c r="J904" s="113"/>
      <c r="L904" s="126"/>
    </row>
    <row r="905">
      <c r="J905" s="113"/>
      <c r="L905" s="126"/>
    </row>
    <row r="906">
      <c r="J906" s="113"/>
      <c r="L906" s="126"/>
    </row>
    <row r="907">
      <c r="J907" s="113"/>
      <c r="L907" s="126"/>
    </row>
    <row r="908">
      <c r="J908" s="113"/>
      <c r="L908" s="126"/>
    </row>
    <row r="909">
      <c r="J909" s="113"/>
      <c r="L909" s="126"/>
    </row>
    <row r="910">
      <c r="J910" s="113"/>
      <c r="L910" s="126"/>
    </row>
    <row r="911">
      <c r="J911" s="113"/>
      <c r="L911" s="126"/>
    </row>
    <row r="912">
      <c r="J912" s="113"/>
      <c r="L912" s="126"/>
    </row>
    <row r="913">
      <c r="J913" s="113"/>
      <c r="L913" s="126"/>
    </row>
    <row r="914">
      <c r="J914" s="113"/>
      <c r="L914" s="126"/>
    </row>
    <row r="915">
      <c r="J915" s="113"/>
      <c r="L915" s="126"/>
    </row>
    <row r="916">
      <c r="J916" s="113"/>
      <c r="L916" s="126"/>
    </row>
    <row r="917">
      <c r="J917" s="113"/>
      <c r="L917" s="126"/>
    </row>
    <row r="918">
      <c r="J918" s="113"/>
      <c r="L918" s="126"/>
    </row>
    <row r="919">
      <c r="J919" s="113"/>
      <c r="L919" s="126"/>
    </row>
    <row r="920">
      <c r="J920" s="113"/>
      <c r="L920" s="126"/>
    </row>
    <row r="921">
      <c r="J921" s="113"/>
      <c r="L921" s="126"/>
    </row>
    <row r="922">
      <c r="J922" s="113"/>
      <c r="L922" s="126"/>
    </row>
    <row r="923">
      <c r="J923" s="113"/>
      <c r="L923" s="126"/>
    </row>
    <row r="924">
      <c r="J924" s="113"/>
      <c r="L924" s="126"/>
    </row>
    <row r="925">
      <c r="J925" s="113"/>
      <c r="L925" s="126"/>
    </row>
    <row r="926">
      <c r="J926" s="113"/>
      <c r="L926" s="126"/>
    </row>
    <row r="927">
      <c r="J927" s="113"/>
      <c r="L927" s="126"/>
    </row>
    <row r="928">
      <c r="J928" s="113"/>
      <c r="L928" s="126"/>
    </row>
    <row r="929">
      <c r="J929" s="113"/>
      <c r="L929" s="126"/>
    </row>
    <row r="930">
      <c r="J930" s="113"/>
      <c r="L930" s="126"/>
    </row>
    <row r="931">
      <c r="J931" s="113"/>
      <c r="L931" s="126"/>
    </row>
    <row r="932">
      <c r="J932" s="113"/>
      <c r="L932" s="126"/>
    </row>
    <row r="933">
      <c r="J933" s="113"/>
      <c r="L933" s="126"/>
    </row>
    <row r="934">
      <c r="J934" s="113"/>
      <c r="L934" s="126"/>
    </row>
    <row r="935">
      <c r="J935" s="113"/>
      <c r="L935" s="126"/>
    </row>
    <row r="936">
      <c r="J936" s="113"/>
      <c r="L936" s="126"/>
    </row>
    <row r="937">
      <c r="J937" s="113"/>
      <c r="L937" s="126"/>
    </row>
    <row r="938">
      <c r="J938" s="113"/>
      <c r="L938" s="126"/>
    </row>
    <row r="939">
      <c r="J939" s="113"/>
      <c r="L939" s="126"/>
    </row>
    <row r="940">
      <c r="J940" s="113"/>
      <c r="L940" s="126"/>
    </row>
    <row r="941">
      <c r="J941" s="113"/>
      <c r="L941" s="126"/>
    </row>
    <row r="942">
      <c r="J942" s="113"/>
      <c r="L942" s="126"/>
    </row>
    <row r="943">
      <c r="J943" s="113"/>
      <c r="L943" s="126"/>
    </row>
    <row r="944">
      <c r="J944" s="113"/>
      <c r="L944" s="126"/>
    </row>
    <row r="945">
      <c r="J945" s="113"/>
      <c r="L945" s="126"/>
    </row>
    <row r="946">
      <c r="J946" s="113"/>
      <c r="L946" s="126"/>
    </row>
    <row r="947">
      <c r="J947" s="113"/>
      <c r="L947" s="126"/>
    </row>
    <row r="948">
      <c r="J948" s="113"/>
      <c r="L948" s="126"/>
    </row>
    <row r="949">
      <c r="J949" s="113"/>
      <c r="L949" s="126"/>
    </row>
    <row r="950">
      <c r="J950" s="113"/>
      <c r="L950" s="126"/>
    </row>
    <row r="951">
      <c r="J951" s="113"/>
      <c r="L951" s="126"/>
    </row>
    <row r="952">
      <c r="J952" s="113"/>
      <c r="L952" s="126"/>
    </row>
    <row r="953">
      <c r="J953" s="113"/>
      <c r="L953" s="126"/>
    </row>
    <row r="954">
      <c r="J954" s="113"/>
      <c r="L954" s="126"/>
    </row>
    <row r="955">
      <c r="J955" s="113"/>
      <c r="L955" s="126"/>
    </row>
    <row r="956">
      <c r="J956" s="113"/>
      <c r="L956" s="126"/>
    </row>
    <row r="957">
      <c r="J957" s="113"/>
      <c r="L957" s="126"/>
    </row>
    <row r="958">
      <c r="J958" s="113"/>
      <c r="L958" s="126"/>
    </row>
    <row r="959">
      <c r="J959" s="113"/>
      <c r="L959" s="126"/>
    </row>
    <row r="960">
      <c r="J960" s="113"/>
      <c r="L960" s="126"/>
    </row>
    <row r="961">
      <c r="J961" s="113"/>
      <c r="L961" s="126"/>
    </row>
    <row r="962">
      <c r="J962" s="113"/>
      <c r="L962" s="126"/>
    </row>
    <row r="963">
      <c r="J963" s="113"/>
      <c r="L963" s="126"/>
    </row>
    <row r="964">
      <c r="J964" s="113"/>
      <c r="L964" s="126"/>
    </row>
    <row r="965">
      <c r="J965" s="113"/>
      <c r="L965" s="126"/>
    </row>
    <row r="966">
      <c r="J966" s="113"/>
      <c r="L966" s="126"/>
    </row>
    <row r="967">
      <c r="J967" s="113"/>
      <c r="L967" s="126"/>
    </row>
    <row r="968">
      <c r="J968" s="113"/>
      <c r="L968" s="126"/>
    </row>
    <row r="969">
      <c r="J969" s="113"/>
      <c r="L969" s="126"/>
    </row>
    <row r="970">
      <c r="J970" s="113"/>
      <c r="L970" s="126"/>
    </row>
    <row r="971">
      <c r="J971" s="113"/>
      <c r="L971" s="126"/>
    </row>
    <row r="972">
      <c r="J972" s="113"/>
      <c r="L972" s="126"/>
    </row>
    <row r="973">
      <c r="J973" s="113"/>
      <c r="L973" s="126"/>
    </row>
    <row r="974">
      <c r="J974" s="113"/>
      <c r="L974" s="126"/>
    </row>
    <row r="975">
      <c r="J975" s="113"/>
      <c r="L975" s="126"/>
    </row>
    <row r="976">
      <c r="J976" s="113"/>
      <c r="L976" s="126"/>
    </row>
    <row r="977">
      <c r="J977" s="113"/>
      <c r="L977" s="126"/>
    </row>
    <row r="978">
      <c r="J978" s="113"/>
      <c r="L978" s="126"/>
    </row>
    <row r="979">
      <c r="J979" s="113"/>
      <c r="L979" s="126"/>
    </row>
    <row r="980">
      <c r="J980" s="113"/>
      <c r="L980" s="126"/>
    </row>
    <row r="981">
      <c r="J981" s="113"/>
      <c r="L981" s="126"/>
    </row>
    <row r="982">
      <c r="J982" s="113"/>
      <c r="L982" s="126"/>
    </row>
    <row r="983">
      <c r="J983" s="113"/>
      <c r="L983" s="126"/>
    </row>
    <row r="984">
      <c r="J984" s="113"/>
      <c r="L984" s="126"/>
    </row>
    <row r="985">
      <c r="J985" s="113"/>
      <c r="L985" s="126"/>
    </row>
    <row r="986">
      <c r="J986" s="113"/>
      <c r="L986" s="126"/>
    </row>
    <row r="987">
      <c r="J987" s="113"/>
      <c r="L987" s="126"/>
    </row>
    <row r="988">
      <c r="J988" s="113"/>
      <c r="L988" s="126"/>
    </row>
    <row r="989">
      <c r="J989" s="113"/>
      <c r="L989" s="126"/>
    </row>
    <row r="990">
      <c r="J990" s="113"/>
      <c r="L990" s="126"/>
    </row>
    <row r="991">
      <c r="J991" s="113"/>
      <c r="L991" s="126"/>
    </row>
    <row r="992">
      <c r="J992" s="113"/>
      <c r="L992" s="126"/>
    </row>
    <row r="993">
      <c r="J993" s="113"/>
      <c r="L993" s="126"/>
    </row>
    <row r="994">
      <c r="J994" s="113"/>
      <c r="L994" s="126"/>
    </row>
    <row r="995">
      <c r="J995" s="113"/>
      <c r="L995" s="126"/>
    </row>
    <row r="996">
      <c r="J996" s="113"/>
      <c r="L996" s="126"/>
    </row>
    <row r="997">
      <c r="J997" s="113"/>
      <c r="L997" s="126"/>
    </row>
    <row r="998">
      <c r="J998" s="113"/>
      <c r="L998" s="126"/>
    </row>
    <row r="999">
      <c r="J999" s="113"/>
      <c r="L999" s="126"/>
    </row>
    <row r="1000">
      <c r="J1000" s="113"/>
      <c r="L1000" s="12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s>
  <drawing r:id="rId1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121" t="str">
        <f>IFERROR(__xludf.DUMMYFUNCTION("IFERROR(FILTER('Spec Ops'!A2:Z1000, 'Spec Ops'!I2:I1000 = Calculator!B2), """")
"),"https://utrucking.com/admin/orders/5936179675324")</f>
        <v>https://utrucking.com/admin/orders/5936179675324</v>
      </c>
      <c r="B1" s="93" t="str">
        <f>IFERROR(__xludf.DUMMYFUNCTION("""COMPUTED_VALUE"""),"#16234")</f>
        <v>#16234</v>
      </c>
      <c r="C1" s="93" t="str">
        <f>IFERROR(__xludf.DUMMYFUNCTION("""COMPUTED_VALUE"""),"davidg795@gmail.com")</f>
        <v>davidg795@gmail.com</v>
      </c>
      <c r="D1" s="93">
        <f>IFERROR(__xludf.DUMMYFUNCTION("""COMPUTED_VALUE"""),6.186411334E9)</f>
        <v>6186411334</v>
      </c>
      <c r="E1" s="93" t="str">
        <f>IFERROR(__xludf.DUMMYFUNCTION("""COMPUTED_VALUE"""),"David George")</f>
        <v>David George</v>
      </c>
      <c r="F1" s="93" t="str">
        <f>IFERROR(__xludf.DUMMYFUNCTION("""COMPUTED_VALUE""")," 0  General Moving Services - University")</f>
        <v> 0  General Moving Services - University</v>
      </c>
      <c r="G1" s="93" t="str">
        <f>IFERROR(__xludf.DUMMYFUNCTION("""COMPUTED_VALUE"""),"Kelsey ")</f>
        <v>Kelsey </v>
      </c>
      <c r="H1" s="93" t="str">
        <f>IFERROR(__xludf.DUMMYFUNCTION("""COMPUTED_VALUE""")," University Housing")</f>
        <v> University Housing</v>
      </c>
      <c r="I1" s="113">
        <f>IFERROR(__xludf.DUMMYFUNCTION("""COMPUTED_VALUE"""),45881.0)</f>
        <v>45881</v>
      </c>
      <c r="J1" s="113" t="str">
        <f>IFERROR(__xludf.DUMMYFUNCTION("""COMPUTED_VALUE"""),"9:30am-6:30pm")</f>
        <v>9:30am-6:30pm</v>
      </c>
      <c r="K1" s="93" t="str">
        <f>IFERROR(__xludf.DUMMYFUNCTION("""COMPUTED_VALUE"""),"General")</f>
        <v>General</v>
      </c>
      <c r="L1" s="126" t="str">
        <f>IFERROR(__xludf.DUMMYFUNCTION("""COMPUTED_VALUE"""),"XXX")</f>
        <v>XXX</v>
      </c>
      <c r="M1" s="93"/>
      <c r="N1" s="93" t="str">
        <f>IFERROR(__xludf.DUMMYFUNCTION("""COMPUTED_VALUE"""),"8/8/25
2 movers
moved various items for Kelsey - check email")</f>
        <v>8/8/25
2 movers
moved various items for Kelsey - check email</v>
      </c>
      <c r="O1" s="93"/>
      <c r="P1" s="93"/>
      <c r="Q1" s="93"/>
      <c r="R1" s="93"/>
      <c r="S1" s="93"/>
      <c r="T1" s="93"/>
      <c r="U1" s="93"/>
      <c r="V1" s="93"/>
      <c r="W1" s="93"/>
      <c r="X1" s="93"/>
      <c r="Y1" s="93"/>
      <c r="Z1" s="93"/>
    </row>
    <row r="2">
      <c r="A2" s="121" t="str">
        <f>IFERROR(__xludf.DUMMYFUNCTION("""COMPUTED_VALUE"""),"https://utrucking.com/admin/orders/5936184230076")</f>
        <v>https://utrucking.com/admin/orders/5936184230076</v>
      </c>
      <c r="B2" s="93" t="str">
        <f>IFERROR(__xludf.DUMMYFUNCTION("""COMPUTED_VALUE"""),"#16235")</f>
        <v>#16235</v>
      </c>
      <c r="C2" s="93" t="str">
        <f>IFERROR(__xludf.DUMMYFUNCTION("""COMPUTED_VALUE"""),"davidg795@gmail.com")</f>
        <v>davidg795@gmail.com</v>
      </c>
      <c r="D2" s="93">
        <f>IFERROR(__xludf.DUMMYFUNCTION("""COMPUTED_VALUE"""),6.186411334E9)</f>
        <v>6186411334</v>
      </c>
      <c r="E2" s="93" t="str">
        <f>IFERROR(__xludf.DUMMYFUNCTION("""COMPUTED_VALUE"""),"David George")</f>
        <v>David George</v>
      </c>
      <c r="F2" s="93" t="str">
        <f>IFERROR(__xludf.DUMMYFUNCTION("""COMPUTED_VALUE""")," 0  General Moving Services - University")</f>
        <v> 0  General Moving Services - University</v>
      </c>
      <c r="G2" s="93" t="str">
        <f>IFERROR(__xludf.DUMMYFUNCTION("""COMPUTED_VALUE"""),"Kelsey ")</f>
        <v>Kelsey </v>
      </c>
      <c r="H2" s="93" t="str">
        <f>IFERROR(__xludf.DUMMYFUNCTION("""COMPUTED_VALUE""")," University Housing")</f>
        <v> University Housing</v>
      </c>
      <c r="I2" s="113">
        <f>IFERROR(__xludf.DUMMYFUNCTION("""COMPUTED_VALUE"""),45881.0)</f>
        <v>45881</v>
      </c>
      <c r="J2" s="113" t="str">
        <f>IFERROR(__xludf.DUMMYFUNCTION("""COMPUTED_VALUE"""),"9:00am - 3:50pm")</f>
        <v>9:00am - 3:50pm</v>
      </c>
      <c r="K2" s="93" t="str">
        <f>IFERROR(__xludf.DUMMYFUNCTION("""COMPUTED_VALUE"""),"General")</f>
        <v>General</v>
      </c>
      <c r="L2" s="126" t="str">
        <f>IFERROR(__xludf.DUMMYFUNCTION("""COMPUTED_VALUE"""),"XXX")</f>
        <v>XXX</v>
      </c>
      <c r="M2" s="93"/>
      <c r="N2" s="93" t="str">
        <f>IFERROR(__xludf.DUMMYFUNCTION("""COMPUTED_VALUE"""),"8/9/25
2 movers
moved various items for Kelsey - check email")</f>
        <v>8/9/25
2 movers
moved various items for Kelsey - check email</v>
      </c>
      <c r="O2" s="93"/>
      <c r="P2" s="93"/>
      <c r="Q2" s="93"/>
      <c r="R2" s="93"/>
      <c r="S2" s="93"/>
      <c r="T2" s="93"/>
      <c r="U2" s="93"/>
      <c r="V2" s="93"/>
      <c r="W2" s="93"/>
      <c r="X2" s="93"/>
      <c r="Y2" s="93"/>
      <c r="Z2" s="93"/>
    </row>
    <row r="3">
      <c r="A3" s="121" t="str">
        <f>IFERROR(__xludf.DUMMYFUNCTION("""COMPUTED_VALUE"""),"https://utrucking.com/admin/orders/5937918083260")</f>
        <v>https://utrucking.com/admin/orders/5937918083260</v>
      </c>
      <c r="B3" s="93" t="str">
        <f>IFERROR(__xludf.DUMMYFUNCTION("""COMPUTED_VALUE"""),"#16278")</f>
        <v>#16278</v>
      </c>
      <c r="C3" s="93"/>
      <c r="D3" s="93">
        <f>IFERROR(__xludf.DUMMYFUNCTION("""COMPUTED_VALUE"""),3.142005642E9)</f>
        <v>3142005642</v>
      </c>
      <c r="E3" s="93" t="str">
        <f>IFERROR(__xludf.DUMMYFUNCTION("""COMPUTED_VALUE"""),"Adam Mofid")</f>
        <v>Adam Mofid</v>
      </c>
      <c r="F3" s="93" t="str">
        <f>IFERROR(__xludf.DUMMYFUNCTION("""COMPUTED_VALUE""")," 3   - University")</f>
        <v> 3   - University</v>
      </c>
      <c r="G3" s="93" t="str">
        <f>IFERROR(__xludf.DUMMYFUNCTION("""COMPUTED_VALUE"""),"Britne Amick ")</f>
        <v>Britne Amick </v>
      </c>
      <c r="H3" s="93" t="str">
        <f>IFERROR(__xludf.DUMMYFUNCTION("""COMPUTED_VALUE""")," University Housing")</f>
        <v> University Housing</v>
      </c>
      <c r="I3" s="113">
        <f>IFERROR(__xludf.DUMMYFUNCTION("""COMPUTED_VALUE"""),45881.0)</f>
        <v>45881</v>
      </c>
      <c r="J3" s="113" t="str">
        <f>IFERROR(__xludf.DUMMYFUNCTION("""COMPUTED_VALUE"""),"Flexible")</f>
        <v>Flexible</v>
      </c>
      <c r="K3" s="93" t="str">
        <f>IFERROR(__xludf.DUMMYFUNCTION("""COMPUTED_VALUE"""),"Gregg  ")</f>
        <v>Gregg  </v>
      </c>
      <c r="L3" s="126" t="str">
        <f>IFERROR(__xludf.DUMMYFUNCTION("""COMPUTED_VALUE"""),"3020")</f>
        <v>3020</v>
      </c>
      <c r="M3" s="93"/>
      <c r="N3" s="93" t="str">
        <f>IFERROR(__xludf.DUMMYFUNCTION("""COMPUTED_VALUE"""),"Please deliver 3 kits to Kamara Sakho. University paying—requested by Britne who Kelsey referred us to.")</f>
        <v>Please deliver 3 kits to Kamara Sakho. University paying—requested by Britne who Kelsey referred us to.</v>
      </c>
      <c r="O3" s="93"/>
      <c r="P3" s="93"/>
      <c r="Q3" s="93"/>
      <c r="R3" s="93"/>
      <c r="S3" s="93"/>
      <c r="T3" s="93"/>
      <c r="U3" s="93"/>
      <c r="V3" s="93"/>
      <c r="W3" s="93"/>
      <c r="X3" s="93"/>
      <c r="Y3" s="93"/>
      <c r="Z3" s="93"/>
    </row>
    <row r="4">
      <c r="A4" s="121" t="str">
        <f>IFERROR(__xludf.DUMMYFUNCTION("""COMPUTED_VALUE"""),"https://utrucking.com/admin/orders/5943778967740")</f>
        <v>https://utrucking.com/admin/orders/5943778967740</v>
      </c>
      <c r="B4" s="93" t="str">
        <f>IFERROR(__xludf.DUMMYFUNCTION("""COMPUTED_VALUE"""),"#16366")</f>
        <v>#16366</v>
      </c>
      <c r="C4" s="93" t="str">
        <f>IFERROR(__xludf.DUMMYFUNCTION("""COMPUTED_VALUE"""),"davidg795@gmail.com")</f>
        <v>davidg795@gmail.com</v>
      </c>
      <c r="D4" s="93">
        <f>IFERROR(__xludf.DUMMYFUNCTION("""COMPUTED_VALUE"""),6.186411334E9)</f>
        <v>6186411334</v>
      </c>
      <c r="E4" s="93" t="str">
        <f>IFERROR(__xludf.DUMMYFUNCTION("""COMPUTED_VALUE"""),"David George")</f>
        <v>David George</v>
      </c>
      <c r="F4" s="93" t="str">
        <f>IFERROR(__xludf.DUMMYFUNCTION("""COMPUTED_VALUE""")," 0  General Moving Services - University")</f>
        <v> 0  General Moving Services - University</v>
      </c>
      <c r="G4" s="93" t="str">
        <f>IFERROR(__xludf.DUMMYFUNCTION("""COMPUTED_VALUE"""),"Kelsey ")</f>
        <v>Kelsey </v>
      </c>
      <c r="H4" s="93" t="str">
        <f>IFERROR(__xludf.DUMMYFUNCTION("""COMPUTED_VALUE""")," University Housing")</f>
        <v> University Housing</v>
      </c>
      <c r="I4" s="113">
        <f>IFERROR(__xludf.DUMMYFUNCTION("""COMPUTED_VALUE"""),45881.0)</f>
        <v>45881</v>
      </c>
      <c r="J4" s="113" t="str">
        <f>IFERROR(__xludf.DUMMYFUNCTION("""COMPUTED_VALUE"""),"11:00am - 5:30pm")</f>
        <v>11:00am - 5:30pm</v>
      </c>
      <c r="K4" s="93" t="str">
        <f>IFERROR(__xludf.DUMMYFUNCTION("""COMPUTED_VALUE"""),"General")</f>
        <v>General</v>
      </c>
      <c r="L4" s="126" t="str">
        <f>IFERROR(__xludf.DUMMYFUNCTION("""COMPUTED_VALUE"""),"xxx")</f>
        <v>xxx</v>
      </c>
      <c r="M4" s="93"/>
      <c r="N4" s="93" t="str">
        <f>IFERROR(__xludf.DUMMYFUNCTION("""COMPUTED_VALUE"""),"8/12/25
3 movers
moved bed frame and desk from Beau to MB1 storage, assembled bed in Beau 304.
Moved pallets from various locations
Moved 5 stands from LK to RLC
Moved patio furniture to upper row ")</f>
        <v>8/12/25
3 movers
moved bed frame and desk from Beau to MB1 storage, assembled bed in Beau 304.
Moved pallets from various locations
Moved 5 stands from LK to RLC
Moved patio furniture to upper row </v>
      </c>
      <c r="O4" s="93"/>
      <c r="P4" s="93"/>
      <c r="Q4" s="93"/>
      <c r="R4" s="93"/>
      <c r="S4" s="93"/>
      <c r="T4" s="93"/>
      <c r="U4" s="93"/>
      <c r="V4" s="93"/>
      <c r="W4" s="93"/>
      <c r="X4" s="93"/>
      <c r="Y4" s="93"/>
      <c r="Z4" s="93"/>
    </row>
    <row r="5">
      <c r="A5" s="121" t="str">
        <f>IFERROR(__xludf.DUMMYFUNCTION("""COMPUTED_VALUE"""),"https://utrucking.com/admin/orders/5944123195580")</f>
        <v>https://utrucking.com/admin/orders/5944123195580</v>
      </c>
      <c r="B5" s="93" t="str">
        <f>IFERROR(__xludf.DUMMYFUNCTION("""COMPUTED_VALUE"""),"#16375")</f>
        <v>#16375</v>
      </c>
      <c r="C5" s="93" t="str">
        <f>IFERROR(__xludf.DUMMYFUNCTION("""COMPUTED_VALUE"""),"davidg795@gmail.com")</f>
        <v>davidg795@gmail.com</v>
      </c>
      <c r="D5" s="93">
        <f>IFERROR(__xludf.DUMMYFUNCTION("""COMPUTED_VALUE"""),6.186411334E9)</f>
        <v>6186411334</v>
      </c>
      <c r="E5" s="93" t="str">
        <f>IFERROR(__xludf.DUMMYFUNCTION("""COMPUTED_VALUE"""),"David George")</f>
        <v>David George</v>
      </c>
      <c r="F5" s="93" t="str">
        <f>IFERROR(__xludf.DUMMYFUNCTION("""COMPUTED_VALUE""")," 0  General Moving Services - University")</f>
        <v> 0  General Moving Services - University</v>
      </c>
      <c r="G5" s="93" t="str">
        <f>IFERROR(__xludf.DUMMYFUNCTION("""COMPUTED_VALUE"""),"Kelsey ")</f>
        <v>Kelsey </v>
      </c>
      <c r="H5" s="93" t="str">
        <f>IFERROR(__xludf.DUMMYFUNCTION("""COMPUTED_VALUE""")," University Housing")</f>
        <v> University Housing</v>
      </c>
      <c r="I5" s="113">
        <f>IFERROR(__xludf.DUMMYFUNCTION("""COMPUTED_VALUE"""),45881.0)</f>
        <v>45881</v>
      </c>
      <c r="J5" s="113" t="str">
        <f>IFERROR(__xludf.DUMMYFUNCTION("""COMPUTED_VALUE"""),"3pm - 4pm")</f>
        <v>3pm - 4pm</v>
      </c>
      <c r="K5" s="93" t="str">
        <f>IFERROR(__xludf.DUMMYFUNCTION("""COMPUTED_VALUE"""),"Greenway Apartments  ")</f>
        <v>Greenway Apartments  </v>
      </c>
      <c r="L5" s="126" t="str">
        <f>IFERROR(__xludf.DUMMYFUNCTION("""COMPUTED_VALUE"""),"124, 126, 327")</f>
        <v>124, 126, 327</v>
      </c>
      <c r="M5" s="93"/>
      <c r="N5" s="93" t="str">
        <f>IFERROR(__xludf.DUMMYFUNCTION("""COMPUTED_VALUE"""),"8/12/25
2 movers
re arranged greenway 124, 126, 327 ")</f>
        <v>8/12/25
2 movers
re arranged greenway 124, 126, 327 </v>
      </c>
      <c r="O5" s="93"/>
      <c r="P5" s="93"/>
      <c r="Q5" s="93"/>
      <c r="R5" s="93"/>
      <c r="S5" s="93"/>
      <c r="T5" s="93"/>
      <c r="U5" s="93"/>
      <c r="V5" s="93"/>
      <c r="W5" s="93"/>
      <c r="X5" s="93"/>
      <c r="Y5" s="93"/>
      <c r="Z5" s="93"/>
    </row>
    <row r="6">
      <c r="I6" s="113"/>
      <c r="J6" s="113"/>
      <c r="L6" s="126"/>
    </row>
    <row r="7">
      <c r="I7" s="113"/>
      <c r="J7" s="113"/>
      <c r="L7" s="126"/>
    </row>
    <row r="8">
      <c r="I8" s="113"/>
      <c r="J8" s="113"/>
      <c r="L8" s="126"/>
    </row>
    <row r="9">
      <c r="I9" s="113"/>
      <c r="J9" s="113"/>
      <c r="L9" s="126"/>
    </row>
    <row r="10">
      <c r="I10" s="113"/>
      <c r="J10" s="113"/>
      <c r="L10" s="126"/>
    </row>
    <row r="11">
      <c r="I11" s="113"/>
      <c r="J11" s="113"/>
      <c r="L11" s="126"/>
    </row>
    <row r="12">
      <c r="I12" s="113"/>
      <c r="J12" s="113"/>
      <c r="L12" s="126"/>
    </row>
    <row r="13">
      <c r="I13" s="113"/>
      <c r="J13" s="113"/>
      <c r="L13" s="126"/>
    </row>
    <row r="14">
      <c r="I14" s="113"/>
      <c r="J14" s="113"/>
      <c r="L14" s="126"/>
    </row>
    <row r="15">
      <c r="I15" s="113"/>
      <c r="J15" s="113"/>
      <c r="L15" s="126"/>
    </row>
    <row r="16">
      <c r="I16" s="113"/>
      <c r="J16" s="113"/>
      <c r="L16" s="126"/>
    </row>
    <row r="17">
      <c r="I17" s="113"/>
      <c r="J17" s="113"/>
      <c r="L17" s="126"/>
    </row>
    <row r="18">
      <c r="I18" s="113"/>
      <c r="J18" s="113"/>
      <c r="L18" s="126"/>
    </row>
    <row r="19">
      <c r="I19" s="113"/>
      <c r="J19" s="113"/>
      <c r="L19" s="126"/>
    </row>
    <row r="20">
      <c r="I20" s="113"/>
      <c r="J20" s="113"/>
      <c r="L20" s="126"/>
    </row>
    <row r="21">
      <c r="I21" s="113"/>
      <c r="J21" s="113"/>
      <c r="L21" s="126"/>
    </row>
    <row r="22">
      <c r="I22" s="113"/>
      <c r="J22" s="113"/>
      <c r="L22" s="126"/>
    </row>
    <row r="23">
      <c r="I23" s="113"/>
      <c r="J23" s="113"/>
      <c r="L23" s="126"/>
    </row>
    <row r="24">
      <c r="I24" s="113"/>
      <c r="J24" s="113"/>
      <c r="L24" s="126"/>
    </row>
    <row r="25">
      <c r="I25" s="113"/>
      <c r="J25" s="113"/>
      <c r="L25" s="126"/>
    </row>
    <row r="26">
      <c r="I26" s="113"/>
      <c r="J26" s="113"/>
      <c r="L26" s="126"/>
    </row>
    <row r="27">
      <c r="I27" s="113"/>
      <c r="J27" s="113"/>
      <c r="L27" s="126"/>
    </row>
    <row r="28">
      <c r="I28" s="113"/>
      <c r="J28" s="113"/>
      <c r="L28" s="126"/>
    </row>
    <row r="29">
      <c r="I29" s="113"/>
      <c r="J29" s="113"/>
      <c r="L29" s="126"/>
    </row>
    <row r="30">
      <c r="I30" s="113"/>
      <c r="J30" s="113"/>
      <c r="L30" s="126"/>
    </row>
    <row r="31">
      <c r="I31" s="113"/>
      <c r="J31" s="113"/>
      <c r="L31" s="126"/>
    </row>
    <row r="32">
      <c r="I32" s="113"/>
      <c r="J32" s="113"/>
      <c r="L32" s="126"/>
    </row>
    <row r="33">
      <c r="I33" s="113"/>
      <c r="J33" s="113"/>
      <c r="L33" s="126"/>
    </row>
    <row r="34">
      <c r="I34" s="113"/>
      <c r="J34" s="113"/>
      <c r="L34" s="126"/>
    </row>
    <row r="35">
      <c r="I35" s="113"/>
      <c r="J35" s="113"/>
      <c r="L35" s="126"/>
    </row>
    <row r="36">
      <c r="I36" s="113"/>
      <c r="J36" s="113"/>
      <c r="L36" s="126"/>
    </row>
    <row r="37">
      <c r="I37" s="113"/>
      <c r="J37" s="113"/>
      <c r="L37" s="126"/>
    </row>
    <row r="38">
      <c r="I38" s="113"/>
      <c r="J38" s="113"/>
      <c r="L38" s="126"/>
    </row>
    <row r="39">
      <c r="I39" s="113"/>
      <c r="J39" s="113"/>
      <c r="L39" s="126"/>
    </row>
    <row r="40">
      <c r="I40" s="113"/>
      <c r="J40" s="113"/>
      <c r="L40" s="126"/>
    </row>
    <row r="41">
      <c r="I41" s="113"/>
      <c r="J41" s="113"/>
      <c r="L41" s="126"/>
    </row>
    <row r="42">
      <c r="I42" s="113"/>
      <c r="J42" s="113"/>
      <c r="L42" s="126"/>
    </row>
    <row r="43">
      <c r="I43" s="113"/>
      <c r="J43" s="113"/>
      <c r="L43" s="126"/>
    </row>
    <row r="44">
      <c r="I44" s="113"/>
      <c r="J44" s="113"/>
      <c r="L44" s="126"/>
    </row>
    <row r="45">
      <c r="I45" s="113"/>
      <c r="J45" s="113"/>
      <c r="L45" s="126"/>
    </row>
    <row r="46">
      <c r="I46" s="113"/>
      <c r="J46" s="113"/>
      <c r="L46" s="126"/>
    </row>
    <row r="47">
      <c r="I47" s="113"/>
      <c r="J47" s="113"/>
      <c r="L47" s="126"/>
    </row>
    <row r="48">
      <c r="I48" s="113"/>
      <c r="J48" s="113"/>
      <c r="L48" s="126"/>
    </row>
    <row r="49">
      <c r="I49" s="113"/>
      <c r="J49" s="113"/>
      <c r="L49" s="126"/>
    </row>
    <row r="50">
      <c r="I50" s="113"/>
      <c r="J50" s="113"/>
      <c r="L50" s="126"/>
    </row>
    <row r="51">
      <c r="I51" s="113"/>
      <c r="J51" s="113"/>
      <c r="L51" s="126"/>
    </row>
    <row r="52">
      <c r="I52" s="113"/>
      <c r="J52" s="113"/>
      <c r="L52" s="126"/>
    </row>
    <row r="53">
      <c r="I53" s="113"/>
      <c r="J53" s="113"/>
      <c r="L53" s="126"/>
    </row>
    <row r="54">
      <c r="I54" s="113"/>
      <c r="J54" s="113"/>
      <c r="L54" s="126"/>
    </row>
    <row r="55">
      <c r="I55" s="113"/>
      <c r="J55" s="113"/>
      <c r="L55" s="126"/>
    </row>
    <row r="56">
      <c r="I56" s="113"/>
      <c r="J56" s="113"/>
      <c r="L56" s="126"/>
    </row>
    <row r="57">
      <c r="I57" s="113"/>
      <c r="J57" s="113"/>
      <c r="L57" s="126"/>
    </row>
    <row r="58">
      <c r="I58" s="113"/>
      <c r="J58" s="113"/>
      <c r="L58" s="126"/>
    </row>
    <row r="59">
      <c r="I59" s="113"/>
      <c r="J59" s="113"/>
      <c r="L59" s="126"/>
    </row>
    <row r="60">
      <c r="I60" s="113"/>
      <c r="J60" s="113"/>
      <c r="L60" s="126"/>
    </row>
    <row r="61">
      <c r="I61" s="113"/>
      <c r="J61" s="113"/>
      <c r="L61" s="126"/>
    </row>
    <row r="62">
      <c r="I62" s="113"/>
      <c r="J62" s="113"/>
      <c r="L62" s="126"/>
    </row>
    <row r="63">
      <c r="I63" s="113"/>
      <c r="J63" s="113"/>
      <c r="L63" s="126"/>
    </row>
    <row r="64">
      <c r="I64" s="113"/>
      <c r="J64" s="113"/>
      <c r="L64" s="126"/>
    </row>
    <row r="65">
      <c r="I65" s="113"/>
      <c r="J65" s="113"/>
      <c r="L65" s="126"/>
    </row>
    <row r="66">
      <c r="I66" s="113"/>
      <c r="J66" s="113"/>
      <c r="L66" s="126"/>
    </row>
    <row r="67">
      <c r="I67" s="113"/>
      <c r="J67" s="113"/>
      <c r="L67" s="126"/>
    </row>
    <row r="68">
      <c r="I68" s="113"/>
      <c r="J68" s="113"/>
      <c r="L68" s="126"/>
    </row>
    <row r="69">
      <c r="I69" s="113"/>
      <c r="J69" s="113"/>
      <c r="L69" s="126"/>
    </row>
    <row r="70">
      <c r="I70" s="113"/>
      <c r="J70" s="113"/>
      <c r="L70" s="126"/>
    </row>
    <row r="71">
      <c r="I71" s="113"/>
      <c r="J71" s="113"/>
      <c r="L71" s="126"/>
    </row>
    <row r="72">
      <c r="I72" s="113"/>
      <c r="J72" s="113"/>
      <c r="L72" s="126"/>
    </row>
    <row r="73">
      <c r="I73" s="113"/>
      <c r="J73" s="113"/>
      <c r="L73" s="126"/>
    </row>
    <row r="74">
      <c r="I74" s="113"/>
      <c r="J74" s="113"/>
      <c r="L74" s="126"/>
    </row>
    <row r="75">
      <c r="I75" s="113"/>
      <c r="J75" s="113"/>
      <c r="L75" s="126"/>
    </row>
    <row r="76">
      <c r="I76" s="113"/>
      <c r="J76" s="113"/>
      <c r="L76" s="126"/>
    </row>
    <row r="77">
      <c r="I77" s="113"/>
      <c r="J77" s="113"/>
      <c r="L77" s="126"/>
    </row>
    <row r="78">
      <c r="I78" s="113"/>
      <c r="J78" s="113"/>
      <c r="L78" s="126"/>
    </row>
    <row r="79">
      <c r="I79" s="113"/>
      <c r="J79" s="113"/>
      <c r="L79" s="126"/>
    </row>
    <row r="80">
      <c r="I80" s="113"/>
      <c r="J80" s="113"/>
      <c r="L80" s="126"/>
    </row>
    <row r="81">
      <c r="I81" s="113"/>
      <c r="J81" s="113"/>
      <c r="L81" s="126"/>
    </row>
    <row r="82">
      <c r="I82" s="113"/>
      <c r="J82" s="113"/>
      <c r="L82" s="126"/>
    </row>
    <row r="83">
      <c r="I83" s="113"/>
      <c r="J83" s="113"/>
      <c r="L83" s="126"/>
    </row>
    <row r="84">
      <c r="I84" s="113"/>
      <c r="J84" s="113"/>
      <c r="L84" s="126"/>
    </row>
    <row r="85">
      <c r="I85" s="113"/>
      <c r="J85" s="113"/>
      <c r="L85" s="126"/>
    </row>
    <row r="86">
      <c r="I86" s="113"/>
      <c r="J86" s="113"/>
      <c r="L86" s="126"/>
    </row>
    <row r="87">
      <c r="I87" s="113"/>
      <c r="J87" s="113"/>
      <c r="L87" s="126"/>
    </row>
    <row r="88">
      <c r="I88" s="113"/>
      <c r="J88" s="113"/>
      <c r="L88" s="126"/>
    </row>
    <row r="89">
      <c r="I89" s="113"/>
      <c r="J89" s="113"/>
      <c r="L89" s="126"/>
    </row>
    <row r="90">
      <c r="I90" s="113"/>
      <c r="J90" s="113"/>
      <c r="L90" s="126"/>
    </row>
    <row r="91">
      <c r="I91" s="113"/>
      <c r="J91" s="113"/>
      <c r="L91" s="126"/>
    </row>
    <row r="92">
      <c r="I92" s="113"/>
      <c r="J92" s="113"/>
      <c r="L92" s="126"/>
    </row>
    <row r="93">
      <c r="I93" s="113"/>
      <c r="J93" s="113"/>
      <c r="L93" s="126"/>
    </row>
    <row r="94">
      <c r="I94" s="113"/>
      <c r="J94" s="113"/>
      <c r="L94" s="126"/>
    </row>
    <row r="95">
      <c r="I95" s="113"/>
      <c r="J95" s="113"/>
      <c r="L95" s="126"/>
    </row>
    <row r="96">
      <c r="I96" s="113"/>
      <c r="J96" s="113"/>
      <c r="L96" s="126"/>
    </row>
    <row r="97">
      <c r="I97" s="113"/>
      <c r="J97" s="113"/>
      <c r="L97" s="126"/>
    </row>
    <row r="98">
      <c r="I98" s="113"/>
      <c r="J98" s="113"/>
      <c r="L98" s="126"/>
    </row>
    <row r="99">
      <c r="I99" s="113"/>
      <c r="J99" s="113"/>
      <c r="L99" s="126"/>
    </row>
    <row r="100">
      <c r="I100" s="113"/>
      <c r="J100" s="113"/>
      <c r="L100" s="126"/>
    </row>
    <row r="101">
      <c r="I101" s="113"/>
      <c r="J101" s="113"/>
      <c r="L101" s="126"/>
    </row>
    <row r="102">
      <c r="I102" s="113"/>
      <c r="J102" s="113"/>
      <c r="L102" s="126"/>
    </row>
    <row r="103">
      <c r="I103" s="113"/>
      <c r="J103" s="113"/>
      <c r="L103" s="126"/>
    </row>
    <row r="104">
      <c r="I104" s="113"/>
      <c r="J104" s="113"/>
      <c r="L104" s="126"/>
    </row>
    <row r="105">
      <c r="I105" s="113"/>
      <c r="J105" s="113"/>
      <c r="L105" s="126"/>
    </row>
    <row r="106">
      <c r="I106" s="113"/>
      <c r="J106" s="113"/>
      <c r="L106" s="126"/>
    </row>
    <row r="107">
      <c r="I107" s="113"/>
      <c r="J107" s="113"/>
      <c r="L107" s="126"/>
    </row>
    <row r="108">
      <c r="I108" s="113"/>
      <c r="J108" s="113"/>
      <c r="L108" s="126"/>
    </row>
    <row r="109">
      <c r="I109" s="113"/>
      <c r="J109" s="113"/>
      <c r="L109" s="126"/>
    </row>
    <row r="110">
      <c r="I110" s="113"/>
      <c r="J110" s="113"/>
      <c r="L110" s="126"/>
    </row>
    <row r="111">
      <c r="I111" s="113"/>
      <c r="J111" s="113"/>
      <c r="L111" s="126"/>
    </row>
    <row r="112">
      <c r="I112" s="113"/>
      <c r="J112" s="113"/>
      <c r="L112" s="126"/>
    </row>
    <row r="113">
      <c r="I113" s="113"/>
      <c r="J113" s="113"/>
      <c r="L113" s="126"/>
    </row>
    <row r="114">
      <c r="I114" s="113"/>
      <c r="J114" s="113"/>
      <c r="L114" s="126"/>
    </row>
    <row r="115">
      <c r="I115" s="113"/>
      <c r="J115" s="113"/>
      <c r="L115" s="126"/>
    </row>
    <row r="116">
      <c r="I116" s="113"/>
      <c r="J116" s="113"/>
      <c r="L116" s="126"/>
    </row>
    <row r="117">
      <c r="I117" s="113"/>
      <c r="J117" s="113"/>
      <c r="L117" s="126"/>
    </row>
    <row r="118">
      <c r="I118" s="113"/>
      <c r="J118" s="113"/>
      <c r="L118" s="126"/>
    </row>
    <row r="119">
      <c r="I119" s="113"/>
      <c r="J119" s="113"/>
      <c r="L119" s="126"/>
    </row>
    <row r="120">
      <c r="I120" s="113"/>
      <c r="J120" s="113"/>
      <c r="L120" s="126"/>
    </row>
    <row r="121">
      <c r="I121" s="113"/>
      <c r="J121" s="113"/>
      <c r="L121" s="126"/>
    </row>
    <row r="122">
      <c r="I122" s="113"/>
      <c r="J122" s="113"/>
      <c r="L122" s="126"/>
    </row>
    <row r="123">
      <c r="I123" s="113"/>
      <c r="J123" s="113"/>
      <c r="L123" s="126"/>
    </row>
    <row r="124">
      <c r="I124" s="113"/>
      <c r="J124" s="113"/>
      <c r="L124" s="126"/>
    </row>
    <row r="125">
      <c r="I125" s="113"/>
      <c r="J125" s="113"/>
      <c r="L125" s="126"/>
    </row>
    <row r="126">
      <c r="I126" s="113"/>
      <c r="J126" s="113"/>
      <c r="L126" s="126"/>
    </row>
    <row r="127">
      <c r="I127" s="113"/>
      <c r="J127" s="113"/>
      <c r="L127" s="126"/>
    </row>
    <row r="128">
      <c r="I128" s="113"/>
      <c r="J128" s="113"/>
      <c r="L128" s="126"/>
    </row>
    <row r="129">
      <c r="I129" s="113"/>
      <c r="J129" s="113"/>
      <c r="L129" s="126"/>
    </row>
    <row r="130">
      <c r="I130" s="113"/>
      <c r="J130" s="113"/>
      <c r="L130" s="126"/>
    </row>
    <row r="131">
      <c r="I131" s="113"/>
      <c r="J131" s="113"/>
      <c r="L131" s="126"/>
    </row>
    <row r="132">
      <c r="I132" s="113"/>
      <c r="J132" s="113"/>
      <c r="L132" s="126"/>
    </row>
    <row r="133">
      <c r="I133" s="113"/>
      <c r="J133" s="113"/>
      <c r="L133" s="126"/>
    </row>
    <row r="134">
      <c r="I134" s="113"/>
      <c r="J134" s="113"/>
      <c r="L134" s="126"/>
    </row>
    <row r="135">
      <c r="I135" s="113"/>
      <c r="J135" s="113"/>
      <c r="L135" s="126"/>
    </row>
    <row r="136">
      <c r="I136" s="113"/>
      <c r="J136" s="113"/>
      <c r="L136" s="126"/>
    </row>
    <row r="137">
      <c r="I137" s="113"/>
      <c r="J137" s="113"/>
      <c r="L137" s="126"/>
    </row>
    <row r="138">
      <c r="I138" s="113"/>
      <c r="J138" s="113"/>
      <c r="L138" s="126"/>
    </row>
    <row r="139">
      <c r="I139" s="113"/>
      <c r="J139" s="113"/>
      <c r="L139" s="126"/>
    </row>
    <row r="140">
      <c r="I140" s="113"/>
      <c r="J140" s="113"/>
      <c r="L140" s="126"/>
    </row>
    <row r="141">
      <c r="I141" s="113"/>
      <c r="J141" s="113"/>
      <c r="L141" s="126"/>
    </row>
    <row r="142">
      <c r="I142" s="113"/>
      <c r="J142" s="113"/>
      <c r="L142" s="126"/>
    </row>
    <row r="143">
      <c r="I143" s="113"/>
      <c r="J143" s="113"/>
      <c r="L143" s="126"/>
    </row>
    <row r="144">
      <c r="I144" s="113"/>
      <c r="J144" s="113"/>
      <c r="L144" s="126"/>
    </row>
    <row r="145">
      <c r="I145" s="113"/>
      <c r="J145" s="113"/>
      <c r="L145" s="126"/>
    </row>
    <row r="146">
      <c r="I146" s="113"/>
      <c r="J146" s="113"/>
      <c r="L146" s="126"/>
    </row>
    <row r="147">
      <c r="I147" s="113"/>
      <c r="J147" s="113"/>
      <c r="L147" s="126"/>
    </row>
    <row r="148">
      <c r="I148" s="113"/>
      <c r="J148" s="113"/>
      <c r="L148" s="126"/>
    </row>
    <row r="149">
      <c r="I149" s="113"/>
      <c r="J149" s="113"/>
      <c r="L149" s="126"/>
    </row>
    <row r="150">
      <c r="I150" s="113"/>
      <c r="J150" s="113"/>
      <c r="L150" s="126"/>
    </row>
    <row r="151">
      <c r="I151" s="113"/>
      <c r="J151" s="113"/>
      <c r="L151" s="126"/>
    </row>
    <row r="152">
      <c r="I152" s="113"/>
      <c r="J152" s="113"/>
      <c r="L152" s="126"/>
    </row>
    <row r="153">
      <c r="I153" s="113"/>
      <c r="J153" s="113"/>
      <c r="L153" s="126"/>
    </row>
    <row r="154">
      <c r="I154" s="113"/>
      <c r="J154" s="113"/>
      <c r="L154" s="126"/>
    </row>
    <row r="155">
      <c r="I155" s="113"/>
      <c r="J155" s="113"/>
      <c r="L155" s="126"/>
    </row>
    <row r="156">
      <c r="I156" s="113"/>
      <c r="J156" s="113"/>
      <c r="L156" s="126"/>
    </row>
    <row r="157">
      <c r="I157" s="113"/>
      <c r="J157" s="113"/>
      <c r="L157" s="126"/>
    </row>
    <row r="158">
      <c r="I158" s="113"/>
      <c r="J158" s="113"/>
      <c r="L158" s="126"/>
    </row>
    <row r="159">
      <c r="I159" s="113"/>
      <c r="J159" s="113"/>
      <c r="L159" s="126"/>
    </row>
    <row r="160">
      <c r="I160" s="113"/>
      <c r="J160" s="113"/>
      <c r="L160" s="126"/>
    </row>
    <row r="161">
      <c r="I161" s="113"/>
      <c r="J161" s="113"/>
      <c r="L161" s="126"/>
    </row>
    <row r="162">
      <c r="I162" s="113"/>
      <c r="J162" s="113"/>
      <c r="L162" s="126"/>
    </row>
    <row r="163">
      <c r="I163" s="113"/>
      <c r="J163" s="113"/>
      <c r="L163" s="126"/>
    </row>
    <row r="164">
      <c r="I164" s="113"/>
      <c r="J164" s="113"/>
      <c r="L164" s="126"/>
    </row>
    <row r="165">
      <c r="I165" s="113"/>
      <c r="J165" s="113"/>
      <c r="L165" s="126"/>
    </row>
    <row r="166">
      <c r="I166" s="113"/>
      <c r="J166" s="113"/>
      <c r="L166" s="126"/>
    </row>
    <row r="167">
      <c r="I167" s="113"/>
      <c r="J167" s="113"/>
      <c r="L167" s="126"/>
    </row>
    <row r="168">
      <c r="I168" s="113"/>
      <c r="J168" s="113"/>
      <c r="L168" s="126"/>
    </row>
    <row r="169">
      <c r="I169" s="113"/>
      <c r="J169" s="113"/>
      <c r="L169" s="126"/>
    </row>
    <row r="170">
      <c r="I170" s="113"/>
      <c r="J170" s="113"/>
      <c r="L170" s="126"/>
    </row>
    <row r="171">
      <c r="I171" s="113"/>
      <c r="J171" s="113"/>
      <c r="L171" s="126"/>
    </row>
    <row r="172">
      <c r="I172" s="113"/>
      <c r="J172" s="113"/>
      <c r="L172" s="126"/>
    </row>
    <row r="173">
      <c r="I173" s="113"/>
      <c r="J173" s="113"/>
      <c r="L173" s="126"/>
    </row>
    <row r="174">
      <c r="I174" s="113"/>
      <c r="J174" s="113"/>
      <c r="L174" s="126"/>
    </row>
    <row r="175">
      <c r="I175" s="113"/>
      <c r="J175" s="113"/>
      <c r="L175" s="126"/>
    </row>
    <row r="176">
      <c r="I176" s="113"/>
      <c r="J176" s="113"/>
      <c r="L176" s="126"/>
    </row>
    <row r="177">
      <c r="I177" s="113"/>
      <c r="J177" s="113"/>
      <c r="L177" s="126"/>
    </row>
    <row r="178">
      <c r="I178" s="113"/>
      <c r="J178" s="113"/>
      <c r="L178" s="126"/>
    </row>
    <row r="179">
      <c r="I179" s="113"/>
      <c r="J179" s="113"/>
      <c r="L179" s="126"/>
    </row>
    <row r="180">
      <c r="I180" s="113"/>
      <c r="J180" s="113"/>
      <c r="L180" s="126"/>
    </row>
    <row r="181">
      <c r="I181" s="113"/>
      <c r="J181" s="113"/>
      <c r="L181" s="126"/>
    </row>
    <row r="182">
      <c r="I182" s="113"/>
      <c r="J182" s="113"/>
      <c r="L182" s="126"/>
    </row>
    <row r="183">
      <c r="I183" s="113"/>
      <c r="J183" s="113"/>
      <c r="L183" s="126"/>
    </row>
    <row r="184">
      <c r="I184" s="113"/>
      <c r="J184" s="113"/>
      <c r="L184" s="126"/>
    </row>
    <row r="185">
      <c r="I185" s="113"/>
      <c r="J185" s="113"/>
      <c r="L185" s="126"/>
    </row>
    <row r="186">
      <c r="I186" s="113"/>
      <c r="J186" s="113"/>
      <c r="L186" s="126"/>
    </row>
    <row r="187">
      <c r="I187" s="113"/>
      <c r="J187" s="113"/>
      <c r="L187" s="126"/>
    </row>
    <row r="188">
      <c r="I188" s="113"/>
      <c r="J188" s="113"/>
      <c r="L188" s="126"/>
    </row>
    <row r="189">
      <c r="I189" s="113"/>
      <c r="J189" s="113"/>
      <c r="L189" s="126"/>
    </row>
    <row r="190">
      <c r="I190" s="113"/>
      <c r="J190" s="113"/>
      <c r="L190" s="126"/>
    </row>
    <row r="191">
      <c r="I191" s="113"/>
      <c r="J191" s="113"/>
      <c r="L191" s="126"/>
    </row>
    <row r="192">
      <c r="I192" s="113"/>
      <c r="J192" s="113"/>
      <c r="L192" s="126"/>
    </row>
    <row r="193">
      <c r="I193" s="113"/>
      <c r="J193" s="113"/>
      <c r="L193" s="126"/>
    </row>
    <row r="194">
      <c r="I194" s="113"/>
      <c r="J194" s="113"/>
      <c r="L194" s="126"/>
    </row>
    <row r="195">
      <c r="I195" s="113"/>
      <c r="J195" s="113"/>
      <c r="L195" s="126"/>
    </row>
    <row r="196">
      <c r="I196" s="113"/>
      <c r="J196" s="113"/>
      <c r="L196" s="126"/>
    </row>
    <row r="197">
      <c r="I197" s="113"/>
      <c r="J197" s="113"/>
      <c r="L197" s="126"/>
    </row>
    <row r="198">
      <c r="I198" s="113"/>
      <c r="J198" s="113"/>
      <c r="L198" s="126"/>
    </row>
    <row r="199">
      <c r="I199" s="113"/>
      <c r="J199" s="113"/>
      <c r="L199" s="126"/>
    </row>
    <row r="200">
      <c r="I200" s="113"/>
      <c r="J200" s="113"/>
      <c r="L200" s="126"/>
    </row>
    <row r="201">
      <c r="I201" s="113"/>
      <c r="J201" s="113"/>
      <c r="L201" s="126"/>
    </row>
    <row r="202">
      <c r="I202" s="113"/>
      <c r="J202" s="113"/>
      <c r="L202" s="126"/>
    </row>
    <row r="203">
      <c r="I203" s="113"/>
      <c r="J203" s="113"/>
      <c r="L203" s="126"/>
    </row>
    <row r="204">
      <c r="I204" s="113"/>
      <c r="J204" s="113"/>
      <c r="L204" s="126"/>
    </row>
    <row r="205">
      <c r="I205" s="113"/>
      <c r="J205" s="113"/>
      <c r="L205" s="126"/>
    </row>
    <row r="206">
      <c r="I206" s="113"/>
      <c r="J206" s="113"/>
      <c r="L206" s="126"/>
    </row>
    <row r="207">
      <c r="I207" s="113"/>
      <c r="J207" s="113"/>
      <c r="L207" s="126"/>
    </row>
    <row r="208">
      <c r="I208" s="113"/>
      <c r="J208" s="113"/>
      <c r="L208" s="126"/>
    </row>
    <row r="209">
      <c r="I209" s="113"/>
      <c r="J209" s="113"/>
      <c r="L209" s="126"/>
    </row>
    <row r="210">
      <c r="I210" s="113"/>
      <c r="J210" s="113"/>
      <c r="L210" s="126"/>
    </row>
    <row r="211">
      <c r="I211" s="113"/>
      <c r="J211" s="113"/>
      <c r="L211" s="126"/>
    </row>
    <row r="212">
      <c r="I212" s="113"/>
      <c r="J212" s="113"/>
      <c r="L212" s="126"/>
    </row>
    <row r="213">
      <c r="I213" s="113"/>
      <c r="J213" s="113"/>
      <c r="L213" s="126"/>
    </row>
    <row r="214">
      <c r="I214" s="113"/>
      <c r="J214" s="113"/>
      <c r="L214" s="126"/>
    </row>
    <row r="215">
      <c r="I215" s="113"/>
      <c r="J215" s="113"/>
      <c r="L215" s="126"/>
    </row>
    <row r="216">
      <c r="I216" s="113"/>
      <c r="J216" s="113"/>
      <c r="L216" s="126"/>
    </row>
    <row r="217">
      <c r="I217" s="113"/>
      <c r="J217" s="113"/>
      <c r="L217" s="126"/>
    </row>
    <row r="218">
      <c r="I218" s="113"/>
      <c r="J218" s="113"/>
      <c r="L218" s="126"/>
    </row>
    <row r="219">
      <c r="I219" s="113"/>
      <c r="J219" s="113"/>
      <c r="L219" s="126"/>
    </row>
    <row r="220">
      <c r="I220" s="113"/>
      <c r="J220" s="113"/>
      <c r="L220" s="126"/>
    </row>
    <row r="221">
      <c r="I221" s="113"/>
      <c r="J221" s="113"/>
      <c r="L221" s="126"/>
    </row>
    <row r="222">
      <c r="I222" s="113"/>
      <c r="J222" s="113"/>
      <c r="L222" s="126"/>
    </row>
    <row r="223">
      <c r="I223" s="113"/>
      <c r="J223" s="113"/>
      <c r="L223" s="126"/>
    </row>
    <row r="224">
      <c r="I224" s="113"/>
      <c r="J224" s="113"/>
      <c r="L224" s="126"/>
    </row>
    <row r="225">
      <c r="I225" s="113"/>
      <c r="J225" s="113"/>
      <c r="L225" s="126"/>
    </row>
    <row r="226">
      <c r="I226" s="113"/>
      <c r="J226" s="113"/>
      <c r="L226" s="126"/>
    </row>
    <row r="227">
      <c r="I227" s="113"/>
      <c r="J227" s="113"/>
      <c r="L227" s="126"/>
    </row>
    <row r="228">
      <c r="I228" s="113"/>
      <c r="J228" s="113"/>
      <c r="L228" s="126"/>
    </row>
    <row r="229">
      <c r="I229" s="113"/>
      <c r="J229" s="113"/>
      <c r="L229" s="126"/>
    </row>
    <row r="230">
      <c r="I230" s="113"/>
      <c r="J230" s="113"/>
      <c r="L230" s="126"/>
    </row>
    <row r="231">
      <c r="I231" s="113"/>
      <c r="J231" s="113"/>
      <c r="L231" s="126"/>
    </row>
    <row r="232">
      <c r="I232" s="113"/>
      <c r="J232" s="113"/>
      <c r="L232" s="126"/>
    </row>
    <row r="233">
      <c r="I233" s="113"/>
      <c r="J233" s="113"/>
      <c r="L233" s="126"/>
    </row>
    <row r="234">
      <c r="I234" s="113"/>
      <c r="J234" s="113"/>
      <c r="L234" s="126"/>
    </row>
    <row r="235">
      <c r="I235" s="113"/>
      <c r="J235" s="113"/>
      <c r="L235" s="126"/>
    </row>
    <row r="236">
      <c r="I236" s="113"/>
      <c r="J236" s="113"/>
      <c r="L236" s="126"/>
    </row>
    <row r="237">
      <c r="I237" s="113"/>
      <c r="J237" s="113"/>
      <c r="L237" s="126"/>
    </row>
    <row r="238">
      <c r="I238" s="113"/>
      <c r="J238" s="113"/>
      <c r="L238" s="126"/>
    </row>
    <row r="239">
      <c r="I239" s="113"/>
      <c r="J239" s="113"/>
      <c r="L239" s="126"/>
    </row>
    <row r="240">
      <c r="I240" s="113"/>
      <c r="J240" s="113"/>
      <c r="L240" s="126"/>
    </row>
    <row r="241">
      <c r="I241" s="113"/>
      <c r="J241" s="113"/>
      <c r="L241" s="126"/>
    </row>
    <row r="242">
      <c r="I242" s="113"/>
      <c r="J242" s="113"/>
      <c r="L242" s="126"/>
    </row>
    <row r="243">
      <c r="I243" s="113"/>
      <c r="J243" s="113"/>
      <c r="L243" s="126"/>
    </row>
    <row r="244">
      <c r="I244" s="113"/>
      <c r="J244" s="113"/>
      <c r="L244" s="126"/>
    </row>
    <row r="245">
      <c r="I245" s="113"/>
      <c r="J245" s="113"/>
      <c r="L245" s="126"/>
    </row>
    <row r="246">
      <c r="I246" s="113"/>
      <c r="J246" s="113"/>
      <c r="L246" s="126"/>
    </row>
    <row r="247">
      <c r="I247" s="113"/>
      <c r="J247" s="113"/>
      <c r="L247" s="126"/>
    </row>
    <row r="248">
      <c r="I248" s="113"/>
      <c r="J248" s="113"/>
      <c r="L248" s="126"/>
    </row>
    <row r="249">
      <c r="I249" s="113"/>
      <c r="J249" s="113"/>
      <c r="L249" s="126"/>
    </row>
    <row r="250">
      <c r="I250" s="113"/>
      <c r="J250" s="113"/>
      <c r="L250" s="126"/>
    </row>
    <row r="251">
      <c r="I251" s="113"/>
      <c r="J251" s="113"/>
      <c r="L251" s="126"/>
    </row>
    <row r="252">
      <c r="I252" s="113"/>
      <c r="J252" s="113"/>
      <c r="L252" s="126"/>
    </row>
    <row r="253">
      <c r="I253" s="113"/>
      <c r="J253" s="113"/>
      <c r="L253" s="126"/>
    </row>
    <row r="254">
      <c r="I254" s="113"/>
      <c r="J254" s="113"/>
      <c r="L254" s="126"/>
    </row>
    <row r="255">
      <c r="I255" s="113"/>
      <c r="J255" s="113"/>
      <c r="L255" s="126"/>
    </row>
    <row r="256">
      <c r="I256" s="113"/>
      <c r="J256" s="113"/>
      <c r="L256" s="126"/>
    </row>
    <row r="257">
      <c r="I257" s="113"/>
      <c r="J257" s="113"/>
      <c r="L257" s="126"/>
    </row>
    <row r="258">
      <c r="I258" s="113"/>
      <c r="J258" s="113"/>
      <c r="L258" s="126"/>
    </row>
    <row r="259">
      <c r="I259" s="113"/>
      <c r="J259" s="113"/>
      <c r="L259" s="126"/>
    </row>
    <row r="260">
      <c r="I260" s="113"/>
      <c r="J260" s="113"/>
      <c r="L260" s="126"/>
    </row>
    <row r="261">
      <c r="I261" s="113"/>
      <c r="J261" s="113"/>
      <c r="L261" s="126"/>
    </row>
    <row r="262">
      <c r="I262" s="113"/>
      <c r="J262" s="113"/>
      <c r="L262" s="126"/>
    </row>
    <row r="263">
      <c r="I263" s="113"/>
      <c r="J263" s="113"/>
      <c r="L263" s="126"/>
    </row>
    <row r="264">
      <c r="I264" s="113"/>
      <c r="J264" s="113"/>
      <c r="L264" s="126"/>
    </row>
    <row r="265">
      <c r="I265" s="113"/>
      <c r="J265" s="113"/>
      <c r="L265" s="126"/>
    </row>
    <row r="266">
      <c r="I266" s="113"/>
      <c r="J266" s="113"/>
      <c r="L266" s="126"/>
    </row>
    <row r="267">
      <c r="I267" s="113"/>
      <c r="J267" s="113"/>
      <c r="L267" s="126"/>
    </row>
    <row r="268">
      <c r="I268" s="113"/>
      <c r="J268" s="113"/>
      <c r="L268" s="126"/>
    </row>
    <row r="269">
      <c r="I269" s="113"/>
      <c r="J269" s="113"/>
      <c r="L269" s="126"/>
    </row>
    <row r="270">
      <c r="I270" s="113"/>
      <c r="J270" s="113"/>
      <c r="L270" s="126"/>
    </row>
    <row r="271">
      <c r="I271" s="113"/>
      <c r="J271" s="113"/>
      <c r="L271" s="126"/>
    </row>
    <row r="272">
      <c r="I272" s="113"/>
      <c r="J272" s="113"/>
      <c r="L272" s="126"/>
    </row>
    <row r="273">
      <c r="I273" s="113"/>
      <c r="J273" s="113"/>
      <c r="L273" s="126"/>
    </row>
    <row r="274">
      <c r="I274" s="113"/>
      <c r="J274" s="113"/>
      <c r="L274" s="126"/>
    </row>
    <row r="275">
      <c r="I275" s="113"/>
      <c r="J275" s="113"/>
      <c r="L275" s="126"/>
    </row>
    <row r="276">
      <c r="I276" s="113"/>
      <c r="J276" s="113"/>
      <c r="L276" s="126"/>
    </row>
    <row r="277">
      <c r="I277" s="113"/>
      <c r="J277" s="113"/>
      <c r="L277" s="126"/>
    </row>
    <row r="278">
      <c r="I278" s="113"/>
      <c r="J278" s="113"/>
      <c r="L278" s="126"/>
    </row>
    <row r="279">
      <c r="I279" s="113"/>
      <c r="J279" s="113"/>
      <c r="L279" s="126"/>
    </row>
    <row r="280">
      <c r="I280" s="113"/>
      <c r="J280" s="113"/>
      <c r="L280" s="126"/>
    </row>
    <row r="281">
      <c r="I281" s="113"/>
      <c r="J281" s="113"/>
      <c r="L281" s="126"/>
    </row>
    <row r="282">
      <c r="I282" s="113"/>
      <c r="J282" s="113"/>
      <c r="L282" s="126"/>
    </row>
    <row r="283">
      <c r="I283" s="113"/>
      <c r="J283" s="113"/>
      <c r="L283" s="126"/>
    </row>
    <row r="284">
      <c r="I284" s="113"/>
      <c r="J284" s="113"/>
      <c r="L284" s="126"/>
    </row>
    <row r="285">
      <c r="I285" s="113"/>
      <c r="J285" s="113"/>
      <c r="L285" s="126"/>
    </row>
    <row r="286">
      <c r="I286" s="113"/>
      <c r="J286" s="113"/>
      <c r="L286" s="126"/>
    </row>
    <row r="287">
      <c r="I287" s="113"/>
      <c r="J287" s="113"/>
      <c r="L287" s="126"/>
    </row>
    <row r="288">
      <c r="I288" s="113"/>
      <c r="J288" s="113"/>
      <c r="L288" s="126"/>
    </row>
    <row r="289">
      <c r="I289" s="113"/>
      <c r="J289" s="113"/>
      <c r="L289" s="126"/>
    </row>
    <row r="290">
      <c r="I290" s="113"/>
      <c r="J290" s="113"/>
      <c r="L290" s="126"/>
    </row>
    <row r="291">
      <c r="I291" s="113"/>
      <c r="J291" s="113"/>
      <c r="L291" s="126"/>
    </row>
    <row r="292">
      <c r="I292" s="113"/>
      <c r="J292" s="113"/>
      <c r="L292" s="126"/>
    </row>
    <row r="293">
      <c r="I293" s="113"/>
      <c r="J293" s="113"/>
      <c r="L293" s="126"/>
    </row>
    <row r="294">
      <c r="I294" s="113"/>
      <c r="J294" s="113"/>
      <c r="L294" s="126"/>
    </row>
    <row r="295">
      <c r="I295" s="113"/>
      <c r="J295" s="113"/>
      <c r="L295" s="126"/>
    </row>
    <row r="296">
      <c r="I296" s="113"/>
      <c r="J296" s="113"/>
      <c r="L296" s="126"/>
    </row>
    <row r="297">
      <c r="I297" s="113"/>
      <c r="J297" s="113"/>
      <c r="L297" s="126"/>
    </row>
    <row r="298">
      <c r="I298" s="113"/>
      <c r="J298" s="113"/>
      <c r="L298" s="126"/>
    </row>
    <row r="299">
      <c r="I299" s="113"/>
      <c r="J299" s="113"/>
      <c r="L299" s="126"/>
    </row>
    <row r="300">
      <c r="I300" s="113"/>
      <c r="J300" s="113"/>
      <c r="L300" s="126"/>
    </row>
    <row r="301">
      <c r="I301" s="113"/>
      <c r="J301" s="113"/>
      <c r="L301" s="126"/>
    </row>
    <row r="302">
      <c r="I302" s="113"/>
      <c r="J302" s="113"/>
      <c r="L302" s="126"/>
    </row>
    <row r="303">
      <c r="I303" s="113"/>
      <c r="J303" s="113"/>
      <c r="L303" s="126"/>
    </row>
    <row r="304">
      <c r="I304" s="113"/>
      <c r="J304" s="113"/>
      <c r="L304" s="126"/>
    </row>
    <row r="305">
      <c r="I305" s="113"/>
      <c r="J305" s="113"/>
      <c r="L305" s="126"/>
    </row>
    <row r="306">
      <c r="I306" s="113"/>
      <c r="J306" s="113"/>
      <c r="L306" s="126"/>
    </row>
    <row r="307">
      <c r="I307" s="113"/>
      <c r="J307" s="113"/>
      <c r="L307" s="126"/>
    </row>
    <row r="308">
      <c r="I308" s="113"/>
      <c r="J308" s="113"/>
      <c r="L308" s="126"/>
    </row>
    <row r="309">
      <c r="I309" s="113"/>
      <c r="J309" s="113"/>
      <c r="L309" s="126"/>
    </row>
    <row r="310">
      <c r="I310" s="113"/>
      <c r="J310" s="113"/>
      <c r="L310" s="126"/>
    </row>
    <row r="311">
      <c r="I311" s="113"/>
      <c r="J311" s="113"/>
      <c r="L311" s="126"/>
    </row>
    <row r="312">
      <c r="I312" s="113"/>
      <c r="J312" s="113"/>
      <c r="L312" s="126"/>
    </row>
    <row r="313">
      <c r="I313" s="113"/>
      <c r="J313" s="113"/>
      <c r="L313" s="126"/>
    </row>
    <row r="314">
      <c r="I314" s="113"/>
      <c r="J314" s="113"/>
      <c r="L314" s="126"/>
    </row>
    <row r="315">
      <c r="I315" s="113"/>
      <c r="J315" s="113"/>
      <c r="L315" s="126"/>
    </row>
    <row r="316">
      <c r="I316" s="113"/>
      <c r="J316" s="113"/>
      <c r="L316" s="126"/>
    </row>
    <row r="317">
      <c r="I317" s="113"/>
      <c r="J317" s="113"/>
      <c r="L317" s="126"/>
    </row>
    <row r="318">
      <c r="I318" s="113"/>
      <c r="J318" s="113"/>
      <c r="L318" s="126"/>
    </row>
    <row r="319">
      <c r="I319" s="113"/>
      <c r="J319" s="113"/>
      <c r="L319" s="126"/>
    </row>
    <row r="320">
      <c r="I320" s="113"/>
      <c r="J320" s="113"/>
      <c r="L320" s="126"/>
    </row>
    <row r="321">
      <c r="I321" s="113"/>
      <c r="J321" s="113"/>
      <c r="L321" s="126"/>
    </row>
    <row r="322">
      <c r="I322" s="113"/>
      <c r="J322" s="113"/>
      <c r="L322" s="126"/>
    </row>
    <row r="323">
      <c r="I323" s="113"/>
      <c r="J323" s="113"/>
      <c r="L323" s="126"/>
    </row>
    <row r="324">
      <c r="I324" s="113"/>
      <c r="J324" s="113"/>
      <c r="L324" s="126"/>
    </row>
    <row r="325">
      <c r="I325" s="113"/>
      <c r="J325" s="113"/>
      <c r="L325" s="126"/>
    </row>
    <row r="326">
      <c r="I326" s="113"/>
      <c r="J326" s="113"/>
      <c r="L326" s="126"/>
    </row>
    <row r="327">
      <c r="I327" s="113"/>
      <c r="J327" s="113"/>
      <c r="L327" s="126"/>
    </row>
    <row r="328">
      <c r="I328" s="113"/>
      <c r="J328" s="113"/>
      <c r="L328" s="126"/>
    </row>
    <row r="329">
      <c r="I329" s="113"/>
      <c r="J329" s="113"/>
      <c r="L329" s="126"/>
    </row>
    <row r="330">
      <c r="I330" s="113"/>
      <c r="J330" s="113"/>
      <c r="L330" s="126"/>
    </row>
    <row r="331">
      <c r="I331" s="113"/>
      <c r="J331" s="113"/>
      <c r="L331" s="126"/>
    </row>
    <row r="332">
      <c r="I332" s="113"/>
      <c r="J332" s="113"/>
      <c r="L332" s="126"/>
    </row>
    <row r="333">
      <c r="I333" s="113"/>
      <c r="J333" s="113"/>
      <c r="L333" s="126"/>
    </row>
    <row r="334">
      <c r="I334" s="113"/>
      <c r="J334" s="113"/>
      <c r="L334" s="126"/>
    </row>
    <row r="335">
      <c r="I335" s="113"/>
      <c r="J335" s="113"/>
      <c r="L335" s="126"/>
    </row>
    <row r="336">
      <c r="I336" s="113"/>
      <c r="J336" s="113"/>
      <c r="L336" s="126"/>
    </row>
    <row r="337">
      <c r="I337" s="113"/>
      <c r="J337" s="113"/>
      <c r="L337" s="126"/>
    </row>
    <row r="338">
      <c r="I338" s="113"/>
      <c r="J338" s="113"/>
      <c r="L338" s="126"/>
    </row>
    <row r="339">
      <c r="I339" s="113"/>
      <c r="J339" s="113"/>
      <c r="L339" s="126"/>
    </row>
    <row r="340">
      <c r="I340" s="113"/>
      <c r="J340" s="113"/>
      <c r="L340" s="126"/>
    </row>
    <row r="341">
      <c r="I341" s="113"/>
      <c r="J341" s="113"/>
      <c r="L341" s="126"/>
    </row>
    <row r="342">
      <c r="I342" s="113"/>
      <c r="J342" s="113"/>
      <c r="L342" s="126"/>
    </row>
    <row r="343">
      <c r="I343" s="113"/>
      <c r="J343" s="113"/>
      <c r="L343" s="126"/>
    </row>
    <row r="344">
      <c r="I344" s="113"/>
      <c r="J344" s="113"/>
      <c r="L344" s="126"/>
    </row>
    <row r="345">
      <c r="I345" s="113"/>
      <c r="J345" s="113"/>
      <c r="L345" s="126"/>
    </row>
    <row r="346">
      <c r="I346" s="113"/>
      <c r="J346" s="113"/>
      <c r="L346" s="126"/>
    </row>
    <row r="347">
      <c r="I347" s="113"/>
      <c r="J347" s="113"/>
      <c r="L347" s="126"/>
    </row>
    <row r="348">
      <c r="I348" s="113"/>
      <c r="J348" s="113"/>
      <c r="L348" s="126"/>
    </row>
    <row r="349">
      <c r="I349" s="113"/>
      <c r="J349" s="113"/>
      <c r="L349" s="126"/>
    </row>
    <row r="350">
      <c r="I350" s="113"/>
      <c r="J350" s="113"/>
      <c r="L350" s="126"/>
    </row>
    <row r="351">
      <c r="I351" s="113"/>
      <c r="J351" s="113"/>
      <c r="L351" s="126"/>
    </row>
    <row r="352">
      <c r="I352" s="113"/>
      <c r="J352" s="113"/>
      <c r="L352" s="126"/>
    </row>
    <row r="353">
      <c r="I353" s="113"/>
      <c r="J353" s="113"/>
      <c r="L353" s="126"/>
    </row>
    <row r="354">
      <c r="I354" s="113"/>
      <c r="J354" s="113"/>
      <c r="L354" s="126"/>
    </row>
    <row r="355">
      <c r="I355" s="113"/>
      <c r="J355" s="113"/>
      <c r="L355" s="126"/>
    </row>
    <row r="356">
      <c r="I356" s="113"/>
      <c r="J356" s="113"/>
      <c r="L356" s="126"/>
    </row>
    <row r="357">
      <c r="I357" s="113"/>
      <c r="J357" s="113"/>
      <c r="L357" s="126"/>
    </row>
    <row r="358">
      <c r="I358" s="113"/>
      <c r="J358" s="113"/>
      <c r="L358" s="126"/>
    </row>
    <row r="359">
      <c r="I359" s="113"/>
      <c r="J359" s="113"/>
      <c r="L359" s="126"/>
    </row>
    <row r="360">
      <c r="I360" s="113"/>
      <c r="J360" s="113"/>
      <c r="L360" s="126"/>
    </row>
    <row r="361">
      <c r="I361" s="113"/>
      <c r="J361" s="113"/>
      <c r="L361" s="126"/>
    </row>
    <row r="362">
      <c r="I362" s="113"/>
      <c r="J362" s="113"/>
      <c r="L362" s="126"/>
    </row>
    <row r="363">
      <c r="I363" s="113"/>
      <c r="J363" s="113"/>
      <c r="L363" s="126"/>
    </row>
    <row r="364">
      <c r="I364" s="113"/>
      <c r="J364" s="113"/>
      <c r="L364" s="126"/>
    </row>
    <row r="365">
      <c r="I365" s="113"/>
      <c r="J365" s="113"/>
      <c r="L365" s="126"/>
    </row>
    <row r="366">
      <c r="I366" s="113"/>
      <c r="J366" s="113"/>
      <c r="L366" s="126"/>
    </row>
    <row r="367">
      <c r="I367" s="113"/>
      <c r="J367" s="113"/>
      <c r="L367" s="126"/>
    </row>
    <row r="368">
      <c r="I368" s="113"/>
      <c r="J368" s="113"/>
      <c r="L368" s="126"/>
    </row>
    <row r="369">
      <c r="I369" s="113"/>
      <c r="J369" s="113"/>
      <c r="L369" s="126"/>
    </row>
    <row r="370">
      <c r="I370" s="113"/>
      <c r="J370" s="113"/>
      <c r="L370" s="126"/>
    </row>
    <row r="371">
      <c r="I371" s="113"/>
      <c r="J371" s="113"/>
      <c r="L371" s="126"/>
    </row>
    <row r="372">
      <c r="I372" s="113"/>
      <c r="J372" s="113"/>
      <c r="L372" s="126"/>
    </row>
    <row r="373">
      <c r="I373" s="113"/>
      <c r="J373" s="113"/>
      <c r="L373" s="126"/>
    </row>
    <row r="374">
      <c r="I374" s="113"/>
      <c r="J374" s="113"/>
      <c r="L374" s="126"/>
    </row>
    <row r="375">
      <c r="I375" s="113"/>
      <c r="J375" s="113"/>
      <c r="L375" s="126"/>
    </row>
    <row r="376">
      <c r="I376" s="113"/>
      <c r="J376" s="113"/>
      <c r="L376" s="126"/>
    </row>
    <row r="377">
      <c r="I377" s="113"/>
      <c r="J377" s="113"/>
      <c r="L377" s="126"/>
    </row>
    <row r="378">
      <c r="I378" s="113"/>
      <c r="J378" s="113"/>
      <c r="L378" s="126"/>
    </row>
    <row r="379">
      <c r="I379" s="113"/>
      <c r="J379" s="113"/>
      <c r="L379" s="126"/>
    </row>
    <row r="380">
      <c r="I380" s="113"/>
      <c r="J380" s="113"/>
      <c r="L380" s="126"/>
    </row>
    <row r="381">
      <c r="I381" s="113"/>
      <c r="J381" s="113"/>
      <c r="L381" s="126"/>
    </row>
    <row r="382">
      <c r="I382" s="113"/>
      <c r="J382" s="113"/>
      <c r="L382" s="126"/>
    </row>
    <row r="383">
      <c r="I383" s="113"/>
      <c r="J383" s="113"/>
      <c r="L383" s="126"/>
    </row>
    <row r="384">
      <c r="I384" s="113"/>
      <c r="J384" s="113"/>
      <c r="L384" s="126"/>
    </row>
    <row r="385">
      <c r="I385" s="113"/>
      <c r="J385" s="113"/>
      <c r="L385" s="126"/>
    </row>
    <row r="386">
      <c r="I386" s="113"/>
      <c r="J386" s="113"/>
      <c r="L386" s="126"/>
    </row>
    <row r="387">
      <c r="I387" s="113"/>
      <c r="J387" s="113"/>
      <c r="L387" s="126"/>
    </row>
    <row r="388">
      <c r="I388" s="113"/>
      <c r="J388" s="113"/>
      <c r="L388" s="126"/>
    </row>
    <row r="389">
      <c r="I389" s="113"/>
      <c r="J389" s="113"/>
      <c r="L389" s="126"/>
    </row>
    <row r="390">
      <c r="I390" s="113"/>
      <c r="J390" s="113"/>
      <c r="L390" s="126"/>
    </row>
    <row r="391">
      <c r="I391" s="113"/>
      <c r="J391" s="113"/>
      <c r="L391" s="126"/>
    </row>
    <row r="392">
      <c r="I392" s="113"/>
      <c r="J392" s="113"/>
      <c r="L392" s="126"/>
    </row>
    <row r="393">
      <c r="I393" s="113"/>
      <c r="J393" s="113"/>
      <c r="L393" s="126"/>
    </row>
    <row r="394">
      <c r="I394" s="113"/>
      <c r="J394" s="113"/>
      <c r="L394" s="126"/>
    </row>
    <row r="395">
      <c r="I395" s="113"/>
      <c r="J395" s="113"/>
      <c r="L395" s="126"/>
    </row>
    <row r="396">
      <c r="I396" s="113"/>
      <c r="J396" s="113"/>
      <c r="L396" s="126"/>
    </row>
    <row r="397">
      <c r="I397" s="113"/>
      <c r="J397" s="113"/>
      <c r="L397" s="126"/>
    </row>
    <row r="398">
      <c r="I398" s="113"/>
      <c r="J398" s="113"/>
      <c r="L398" s="126"/>
    </row>
    <row r="399">
      <c r="I399" s="113"/>
      <c r="J399" s="113"/>
      <c r="L399" s="126"/>
    </row>
    <row r="400">
      <c r="I400" s="113"/>
      <c r="J400" s="113"/>
      <c r="L400" s="126"/>
    </row>
    <row r="401">
      <c r="I401" s="113"/>
      <c r="J401" s="113"/>
      <c r="L401" s="126"/>
    </row>
    <row r="402">
      <c r="I402" s="113"/>
      <c r="J402" s="113"/>
      <c r="L402" s="126"/>
    </row>
    <row r="403">
      <c r="I403" s="113"/>
      <c r="J403" s="113"/>
      <c r="L403" s="126"/>
    </row>
    <row r="404">
      <c r="I404" s="113"/>
      <c r="J404" s="113"/>
      <c r="L404" s="126"/>
    </row>
    <row r="405">
      <c r="I405" s="113"/>
      <c r="J405" s="113"/>
      <c r="L405" s="126"/>
    </row>
    <row r="406">
      <c r="I406" s="113"/>
      <c r="J406" s="113"/>
      <c r="L406" s="126"/>
    </row>
    <row r="407">
      <c r="I407" s="113"/>
      <c r="J407" s="113"/>
      <c r="L407" s="126"/>
    </row>
    <row r="408">
      <c r="I408" s="113"/>
      <c r="J408" s="113"/>
      <c r="L408" s="126"/>
    </row>
    <row r="409">
      <c r="I409" s="113"/>
      <c r="J409" s="113"/>
      <c r="L409" s="126"/>
    </row>
    <row r="410">
      <c r="I410" s="113"/>
      <c r="J410" s="113"/>
      <c r="L410" s="126"/>
    </row>
    <row r="411">
      <c r="I411" s="113"/>
      <c r="J411" s="113"/>
      <c r="L411" s="126"/>
    </row>
    <row r="412">
      <c r="I412" s="113"/>
      <c r="J412" s="113"/>
      <c r="L412" s="126"/>
    </row>
    <row r="413">
      <c r="I413" s="113"/>
      <c r="J413" s="113"/>
      <c r="L413" s="126"/>
    </row>
    <row r="414">
      <c r="I414" s="113"/>
      <c r="J414" s="113"/>
      <c r="L414" s="126"/>
    </row>
    <row r="415">
      <c r="I415" s="113"/>
      <c r="J415" s="113"/>
      <c r="L415" s="126"/>
    </row>
    <row r="416">
      <c r="I416" s="113"/>
      <c r="J416" s="113"/>
      <c r="L416" s="126"/>
    </row>
    <row r="417">
      <c r="I417" s="113"/>
      <c r="J417" s="113"/>
      <c r="L417" s="126"/>
    </row>
    <row r="418">
      <c r="I418" s="113"/>
      <c r="J418" s="113"/>
      <c r="L418" s="126"/>
    </row>
    <row r="419">
      <c r="I419" s="113"/>
      <c r="J419" s="113"/>
      <c r="L419" s="126"/>
    </row>
    <row r="420">
      <c r="I420" s="113"/>
      <c r="J420" s="113"/>
      <c r="L420" s="126"/>
    </row>
    <row r="421">
      <c r="I421" s="113"/>
      <c r="J421" s="113"/>
      <c r="L421" s="126"/>
    </row>
    <row r="422">
      <c r="I422" s="113"/>
      <c r="J422" s="113"/>
      <c r="L422" s="126"/>
    </row>
    <row r="423">
      <c r="I423" s="113"/>
      <c r="J423" s="113"/>
      <c r="L423" s="126"/>
    </row>
    <row r="424">
      <c r="I424" s="113"/>
      <c r="J424" s="113"/>
      <c r="L424" s="126"/>
    </row>
    <row r="425">
      <c r="I425" s="113"/>
      <c r="J425" s="113"/>
      <c r="L425" s="126"/>
    </row>
    <row r="426">
      <c r="I426" s="113"/>
      <c r="J426" s="113"/>
      <c r="L426" s="126"/>
    </row>
    <row r="427">
      <c r="I427" s="113"/>
      <c r="J427" s="113"/>
      <c r="L427" s="126"/>
    </row>
    <row r="428">
      <c r="I428" s="113"/>
      <c r="J428" s="113"/>
      <c r="L428" s="126"/>
    </row>
    <row r="429">
      <c r="I429" s="113"/>
      <c r="J429" s="113"/>
      <c r="L429" s="126"/>
    </row>
    <row r="430">
      <c r="I430" s="113"/>
      <c r="J430" s="113"/>
      <c r="L430" s="126"/>
    </row>
    <row r="431">
      <c r="I431" s="113"/>
      <c r="J431" s="113"/>
      <c r="L431" s="126"/>
    </row>
    <row r="432">
      <c r="I432" s="113"/>
      <c r="J432" s="113"/>
      <c r="L432" s="126"/>
    </row>
    <row r="433">
      <c r="I433" s="113"/>
      <c r="J433" s="113"/>
      <c r="L433" s="126"/>
    </row>
    <row r="434">
      <c r="I434" s="113"/>
      <c r="J434" s="113"/>
      <c r="L434" s="126"/>
    </row>
    <row r="435">
      <c r="I435" s="113"/>
      <c r="J435" s="113"/>
      <c r="L435" s="126"/>
    </row>
    <row r="436">
      <c r="I436" s="113"/>
      <c r="J436" s="113"/>
      <c r="L436" s="126"/>
    </row>
    <row r="437">
      <c r="I437" s="113"/>
      <c r="J437" s="113"/>
      <c r="L437" s="126"/>
    </row>
    <row r="438">
      <c r="I438" s="113"/>
      <c r="J438" s="113"/>
      <c r="L438" s="126"/>
    </row>
    <row r="439">
      <c r="I439" s="113"/>
      <c r="J439" s="113"/>
      <c r="L439" s="126"/>
    </row>
    <row r="440">
      <c r="I440" s="113"/>
      <c r="J440" s="113"/>
      <c r="L440" s="126"/>
    </row>
    <row r="441">
      <c r="I441" s="113"/>
      <c r="J441" s="113"/>
      <c r="L441" s="126"/>
    </row>
    <row r="442">
      <c r="I442" s="113"/>
      <c r="J442" s="113"/>
      <c r="L442" s="126"/>
    </row>
    <row r="443">
      <c r="I443" s="113"/>
      <c r="J443" s="113"/>
      <c r="L443" s="126"/>
    </row>
    <row r="444">
      <c r="I444" s="113"/>
      <c r="J444" s="113"/>
      <c r="L444" s="126"/>
    </row>
    <row r="445">
      <c r="I445" s="113"/>
      <c r="J445" s="113"/>
      <c r="L445" s="126"/>
    </row>
    <row r="446">
      <c r="I446" s="113"/>
      <c r="J446" s="113"/>
      <c r="L446" s="126"/>
    </row>
    <row r="447">
      <c r="I447" s="113"/>
      <c r="J447" s="113"/>
      <c r="L447" s="126"/>
    </row>
    <row r="448">
      <c r="I448" s="113"/>
      <c r="J448" s="113"/>
      <c r="L448" s="126"/>
    </row>
    <row r="449">
      <c r="I449" s="113"/>
      <c r="J449" s="113"/>
      <c r="L449" s="126"/>
    </row>
    <row r="450">
      <c r="I450" s="113"/>
      <c r="J450" s="113"/>
      <c r="L450" s="126"/>
    </row>
    <row r="451">
      <c r="I451" s="113"/>
      <c r="J451" s="113"/>
      <c r="L451" s="126"/>
    </row>
    <row r="452">
      <c r="I452" s="113"/>
      <c r="J452" s="113"/>
      <c r="L452" s="126"/>
    </row>
    <row r="453">
      <c r="I453" s="113"/>
      <c r="J453" s="113"/>
      <c r="L453" s="126"/>
    </row>
    <row r="454">
      <c r="I454" s="113"/>
      <c r="J454" s="113"/>
      <c r="L454" s="126"/>
    </row>
    <row r="455">
      <c r="I455" s="113"/>
      <c r="J455" s="113"/>
      <c r="L455" s="126"/>
    </row>
    <row r="456">
      <c r="I456" s="113"/>
      <c r="J456" s="113"/>
      <c r="L456" s="126"/>
    </row>
    <row r="457">
      <c r="I457" s="113"/>
      <c r="J457" s="113"/>
      <c r="L457" s="126"/>
    </row>
    <row r="458">
      <c r="I458" s="113"/>
      <c r="J458" s="113"/>
      <c r="L458" s="126"/>
    </row>
    <row r="459">
      <c r="I459" s="113"/>
      <c r="J459" s="113"/>
      <c r="L459" s="126"/>
    </row>
    <row r="460">
      <c r="I460" s="113"/>
      <c r="J460" s="113"/>
      <c r="L460" s="126"/>
    </row>
    <row r="461">
      <c r="I461" s="113"/>
      <c r="J461" s="113"/>
      <c r="L461" s="126"/>
    </row>
    <row r="462">
      <c r="I462" s="113"/>
      <c r="J462" s="113"/>
      <c r="L462" s="126"/>
    </row>
    <row r="463">
      <c r="I463" s="113"/>
      <c r="J463" s="113"/>
      <c r="L463" s="126"/>
    </row>
    <row r="464">
      <c r="I464" s="113"/>
      <c r="J464" s="113"/>
      <c r="L464" s="126"/>
    </row>
    <row r="465">
      <c r="I465" s="113"/>
      <c r="J465" s="113"/>
      <c r="L465" s="126"/>
    </row>
    <row r="466">
      <c r="I466" s="113"/>
      <c r="J466" s="113"/>
      <c r="L466" s="126"/>
    </row>
    <row r="467">
      <c r="I467" s="113"/>
      <c r="J467" s="113"/>
      <c r="L467" s="126"/>
    </row>
    <row r="468">
      <c r="I468" s="113"/>
      <c r="J468" s="113"/>
      <c r="L468" s="126"/>
    </row>
    <row r="469">
      <c r="I469" s="113"/>
      <c r="J469" s="113"/>
      <c r="L469" s="126"/>
    </row>
    <row r="470">
      <c r="I470" s="113"/>
      <c r="J470" s="113"/>
      <c r="L470" s="126"/>
    </row>
    <row r="471">
      <c r="I471" s="113"/>
      <c r="J471" s="113"/>
      <c r="L471" s="126"/>
    </row>
    <row r="472">
      <c r="I472" s="113"/>
      <c r="J472" s="113"/>
      <c r="L472" s="126"/>
    </row>
    <row r="473">
      <c r="I473" s="113"/>
      <c r="J473" s="113"/>
      <c r="L473" s="126"/>
    </row>
    <row r="474">
      <c r="I474" s="113"/>
      <c r="J474" s="113"/>
      <c r="L474" s="126"/>
    </row>
    <row r="475">
      <c r="I475" s="113"/>
      <c r="J475" s="113"/>
      <c r="L475" s="126"/>
    </row>
    <row r="476">
      <c r="I476" s="113"/>
      <c r="J476" s="113"/>
      <c r="L476" s="126"/>
    </row>
    <row r="477">
      <c r="I477" s="113"/>
      <c r="J477" s="113"/>
      <c r="L477" s="126"/>
    </row>
    <row r="478">
      <c r="I478" s="113"/>
      <c r="J478" s="113"/>
      <c r="L478" s="126"/>
    </row>
    <row r="479">
      <c r="I479" s="113"/>
      <c r="J479" s="113"/>
      <c r="L479" s="126"/>
    </row>
    <row r="480">
      <c r="I480" s="113"/>
      <c r="J480" s="113"/>
      <c r="L480" s="126"/>
    </row>
    <row r="481">
      <c r="I481" s="113"/>
      <c r="J481" s="113"/>
      <c r="L481" s="126"/>
    </row>
    <row r="482">
      <c r="I482" s="113"/>
      <c r="J482" s="113"/>
      <c r="L482" s="126"/>
    </row>
    <row r="483">
      <c r="I483" s="113"/>
      <c r="J483" s="113"/>
      <c r="L483" s="126"/>
    </row>
    <row r="484">
      <c r="I484" s="113"/>
      <c r="J484" s="113"/>
      <c r="L484" s="126"/>
    </row>
    <row r="485">
      <c r="I485" s="113"/>
      <c r="J485" s="113"/>
      <c r="L485" s="126"/>
    </row>
    <row r="486">
      <c r="I486" s="113"/>
      <c r="J486" s="113"/>
      <c r="L486" s="126"/>
    </row>
    <row r="487">
      <c r="I487" s="113"/>
      <c r="J487" s="113"/>
      <c r="L487" s="126"/>
    </row>
    <row r="488">
      <c r="I488" s="113"/>
      <c r="J488" s="113"/>
      <c r="L488" s="126"/>
    </row>
    <row r="489">
      <c r="I489" s="113"/>
      <c r="J489" s="113"/>
      <c r="L489" s="126"/>
    </row>
    <row r="490">
      <c r="I490" s="113"/>
      <c r="J490" s="113"/>
      <c r="L490" s="126"/>
    </row>
    <row r="491">
      <c r="I491" s="113"/>
      <c r="J491" s="113"/>
      <c r="L491" s="126"/>
    </row>
    <row r="492">
      <c r="I492" s="113"/>
      <c r="J492" s="113"/>
      <c r="L492" s="126"/>
    </row>
    <row r="493">
      <c r="I493" s="113"/>
      <c r="J493" s="113"/>
      <c r="L493" s="126"/>
    </row>
    <row r="494">
      <c r="I494" s="113"/>
      <c r="J494" s="113"/>
      <c r="L494" s="126"/>
    </row>
    <row r="495">
      <c r="I495" s="113"/>
      <c r="J495" s="113"/>
      <c r="L495" s="126"/>
    </row>
    <row r="496">
      <c r="I496" s="113"/>
      <c r="J496" s="113"/>
      <c r="L496" s="126"/>
    </row>
    <row r="497">
      <c r="I497" s="113"/>
      <c r="J497" s="113"/>
      <c r="L497" s="126"/>
    </row>
    <row r="498">
      <c r="I498" s="113"/>
      <c r="J498" s="113"/>
      <c r="L498" s="126"/>
    </row>
    <row r="499">
      <c r="I499" s="113"/>
      <c r="J499" s="113"/>
      <c r="L499" s="126"/>
    </row>
    <row r="500">
      <c r="I500" s="113"/>
      <c r="J500" s="113"/>
      <c r="L500" s="126"/>
    </row>
    <row r="501">
      <c r="I501" s="113"/>
      <c r="J501" s="113"/>
      <c r="L501" s="126"/>
    </row>
    <row r="502">
      <c r="I502" s="113"/>
      <c r="J502" s="113"/>
      <c r="L502" s="126"/>
    </row>
    <row r="503">
      <c r="I503" s="113"/>
      <c r="J503" s="113"/>
      <c r="L503" s="126"/>
    </row>
    <row r="504">
      <c r="I504" s="113"/>
      <c r="J504" s="113"/>
      <c r="L504" s="126"/>
    </row>
    <row r="505">
      <c r="I505" s="113"/>
      <c r="J505" s="113"/>
      <c r="L505" s="126"/>
    </row>
    <row r="506">
      <c r="I506" s="113"/>
      <c r="J506" s="113"/>
      <c r="L506" s="126"/>
    </row>
    <row r="507">
      <c r="I507" s="113"/>
      <c r="J507" s="113"/>
      <c r="L507" s="126"/>
    </row>
    <row r="508">
      <c r="I508" s="113"/>
      <c r="J508" s="113"/>
      <c r="L508" s="126"/>
    </row>
    <row r="509">
      <c r="I509" s="113"/>
      <c r="J509" s="113"/>
      <c r="L509" s="126"/>
    </row>
    <row r="510">
      <c r="I510" s="113"/>
      <c r="J510" s="113"/>
      <c r="L510" s="126"/>
    </row>
    <row r="511">
      <c r="I511" s="113"/>
      <c r="J511" s="113"/>
      <c r="L511" s="126"/>
    </row>
    <row r="512">
      <c r="I512" s="113"/>
      <c r="J512" s="113"/>
      <c r="L512" s="126"/>
    </row>
    <row r="513">
      <c r="I513" s="113"/>
      <c r="J513" s="113"/>
      <c r="L513" s="126"/>
    </row>
    <row r="514">
      <c r="I514" s="113"/>
      <c r="J514" s="113"/>
      <c r="L514" s="126"/>
    </row>
    <row r="515">
      <c r="I515" s="113"/>
      <c r="J515" s="113"/>
      <c r="L515" s="126"/>
    </row>
    <row r="516">
      <c r="I516" s="113"/>
      <c r="J516" s="113"/>
      <c r="L516" s="126"/>
    </row>
    <row r="517">
      <c r="I517" s="113"/>
      <c r="J517" s="113"/>
      <c r="L517" s="126"/>
    </row>
    <row r="518">
      <c r="I518" s="113"/>
      <c r="J518" s="113"/>
      <c r="L518" s="126"/>
    </row>
    <row r="519">
      <c r="I519" s="113"/>
      <c r="J519" s="113"/>
      <c r="L519" s="126"/>
    </row>
    <row r="520">
      <c r="I520" s="113"/>
      <c r="J520" s="113"/>
      <c r="L520" s="126"/>
    </row>
    <row r="521">
      <c r="I521" s="113"/>
      <c r="J521" s="113"/>
      <c r="L521" s="126"/>
    </row>
    <row r="522">
      <c r="I522" s="113"/>
      <c r="J522" s="113"/>
      <c r="L522" s="126"/>
    </row>
    <row r="523">
      <c r="I523" s="113"/>
      <c r="J523" s="113"/>
      <c r="L523" s="126"/>
    </row>
    <row r="524">
      <c r="I524" s="113"/>
      <c r="J524" s="113"/>
      <c r="L524" s="126"/>
    </row>
    <row r="525">
      <c r="I525" s="113"/>
      <c r="J525" s="113"/>
      <c r="L525" s="126"/>
    </row>
    <row r="526">
      <c r="I526" s="113"/>
      <c r="J526" s="113"/>
      <c r="L526" s="126"/>
    </row>
    <row r="527">
      <c r="I527" s="113"/>
      <c r="J527" s="113"/>
      <c r="L527" s="126"/>
    </row>
    <row r="528">
      <c r="I528" s="113"/>
      <c r="J528" s="113"/>
      <c r="L528" s="126"/>
    </row>
    <row r="529">
      <c r="I529" s="113"/>
      <c r="J529" s="113"/>
      <c r="L529" s="126"/>
    </row>
    <row r="530">
      <c r="I530" s="113"/>
      <c r="J530" s="113"/>
      <c r="L530" s="126"/>
    </row>
    <row r="531">
      <c r="I531" s="113"/>
      <c r="J531" s="113"/>
      <c r="L531" s="126"/>
    </row>
    <row r="532">
      <c r="I532" s="113"/>
      <c r="J532" s="113"/>
      <c r="L532" s="126"/>
    </row>
    <row r="533">
      <c r="I533" s="113"/>
      <c r="J533" s="113"/>
      <c r="L533" s="126"/>
    </row>
    <row r="534">
      <c r="I534" s="113"/>
      <c r="J534" s="113"/>
      <c r="L534" s="126"/>
    </row>
    <row r="535">
      <c r="I535" s="113"/>
      <c r="J535" s="113"/>
      <c r="L535" s="126"/>
    </row>
    <row r="536">
      <c r="I536" s="113"/>
      <c r="J536" s="113"/>
      <c r="L536" s="126"/>
    </row>
    <row r="537">
      <c r="I537" s="113"/>
      <c r="J537" s="113"/>
      <c r="L537" s="126"/>
    </row>
    <row r="538">
      <c r="I538" s="113"/>
      <c r="J538" s="113"/>
      <c r="L538" s="126"/>
    </row>
    <row r="539">
      <c r="I539" s="113"/>
      <c r="J539" s="113"/>
      <c r="L539" s="126"/>
    </row>
    <row r="540">
      <c r="I540" s="113"/>
      <c r="J540" s="113"/>
      <c r="L540" s="126"/>
    </row>
    <row r="541">
      <c r="I541" s="113"/>
      <c r="J541" s="113"/>
      <c r="L541" s="126"/>
    </row>
    <row r="542">
      <c r="I542" s="113"/>
      <c r="J542" s="113"/>
      <c r="L542" s="126"/>
    </row>
    <row r="543">
      <c r="I543" s="113"/>
      <c r="J543" s="113"/>
      <c r="L543" s="126"/>
    </row>
    <row r="544">
      <c r="I544" s="113"/>
      <c r="J544" s="113"/>
      <c r="L544" s="126"/>
    </row>
    <row r="545">
      <c r="I545" s="113"/>
      <c r="J545" s="113"/>
      <c r="L545" s="126"/>
    </row>
    <row r="546">
      <c r="I546" s="113"/>
      <c r="J546" s="113"/>
      <c r="L546" s="126"/>
    </row>
    <row r="547">
      <c r="I547" s="113"/>
      <c r="J547" s="113"/>
      <c r="L547" s="126"/>
    </row>
    <row r="548">
      <c r="I548" s="113"/>
      <c r="J548" s="113"/>
      <c r="L548" s="126"/>
    </row>
    <row r="549">
      <c r="I549" s="113"/>
      <c r="J549" s="113"/>
      <c r="L549" s="126"/>
    </row>
    <row r="550">
      <c r="I550" s="113"/>
      <c r="J550" s="113"/>
      <c r="L550" s="126"/>
    </row>
    <row r="551">
      <c r="I551" s="113"/>
      <c r="J551" s="113"/>
      <c r="L551" s="126"/>
    </row>
    <row r="552">
      <c r="I552" s="113"/>
      <c r="J552" s="113"/>
      <c r="L552" s="126"/>
    </row>
    <row r="553">
      <c r="I553" s="113"/>
      <c r="J553" s="113"/>
      <c r="L553" s="126"/>
    </row>
    <row r="554">
      <c r="I554" s="113"/>
      <c r="J554" s="113"/>
      <c r="L554" s="126"/>
    </row>
    <row r="555">
      <c r="I555" s="113"/>
      <c r="J555" s="113"/>
      <c r="L555" s="126"/>
    </row>
    <row r="556">
      <c r="I556" s="113"/>
      <c r="J556" s="113"/>
      <c r="L556" s="126"/>
    </row>
    <row r="557">
      <c r="I557" s="113"/>
      <c r="J557" s="113"/>
      <c r="L557" s="126"/>
    </row>
    <row r="558">
      <c r="I558" s="113"/>
      <c r="J558" s="113"/>
      <c r="L558" s="126"/>
    </row>
    <row r="559">
      <c r="I559" s="113"/>
      <c r="J559" s="113"/>
      <c r="L559" s="126"/>
    </row>
    <row r="560">
      <c r="I560" s="113"/>
      <c r="J560" s="113"/>
      <c r="L560" s="126"/>
    </row>
    <row r="561">
      <c r="I561" s="113"/>
      <c r="J561" s="113"/>
      <c r="L561" s="126"/>
    </row>
    <row r="562">
      <c r="I562" s="113"/>
      <c r="J562" s="113"/>
      <c r="L562" s="126"/>
    </row>
    <row r="563">
      <c r="I563" s="113"/>
      <c r="J563" s="113"/>
      <c r="L563" s="126"/>
    </row>
    <row r="564">
      <c r="I564" s="113"/>
      <c r="J564" s="113"/>
      <c r="L564" s="126"/>
    </row>
    <row r="565">
      <c r="I565" s="113"/>
      <c r="J565" s="113"/>
      <c r="L565" s="126"/>
    </row>
    <row r="566">
      <c r="I566" s="113"/>
      <c r="J566" s="113"/>
      <c r="L566" s="126"/>
    </row>
    <row r="567">
      <c r="I567" s="113"/>
      <c r="J567" s="113"/>
      <c r="L567" s="126"/>
    </row>
    <row r="568">
      <c r="I568" s="113"/>
      <c r="J568" s="113"/>
      <c r="L568" s="126"/>
    </row>
    <row r="569">
      <c r="I569" s="113"/>
      <c r="J569" s="113"/>
      <c r="L569" s="126"/>
    </row>
    <row r="570">
      <c r="I570" s="113"/>
      <c r="J570" s="113"/>
      <c r="L570" s="126"/>
    </row>
    <row r="571">
      <c r="I571" s="113"/>
      <c r="J571" s="113"/>
      <c r="L571" s="126"/>
    </row>
    <row r="572">
      <c r="I572" s="113"/>
      <c r="J572" s="113"/>
      <c r="L572" s="126"/>
    </row>
    <row r="573">
      <c r="I573" s="113"/>
      <c r="J573" s="113"/>
      <c r="L573" s="126"/>
    </row>
    <row r="574">
      <c r="I574" s="113"/>
      <c r="J574" s="113"/>
      <c r="L574" s="126"/>
    </row>
    <row r="575">
      <c r="I575" s="113"/>
      <c r="J575" s="113"/>
      <c r="L575" s="126"/>
    </row>
    <row r="576">
      <c r="I576" s="113"/>
      <c r="J576" s="113"/>
      <c r="L576" s="126"/>
    </row>
    <row r="577">
      <c r="I577" s="113"/>
      <c r="J577" s="113"/>
      <c r="L577" s="126"/>
    </row>
    <row r="578">
      <c r="I578" s="113"/>
      <c r="J578" s="113"/>
      <c r="L578" s="126"/>
    </row>
    <row r="579">
      <c r="I579" s="113"/>
      <c r="J579" s="113"/>
      <c r="L579" s="126"/>
    </row>
    <row r="580">
      <c r="I580" s="113"/>
      <c r="J580" s="113"/>
      <c r="L580" s="126"/>
    </row>
    <row r="581">
      <c r="I581" s="113"/>
      <c r="J581" s="113"/>
      <c r="L581" s="126"/>
    </row>
    <row r="582">
      <c r="I582" s="113"/>
      <c r="J582" s="113"/>
      <c r="L582" s="126"/>
    </row>
    <row r="583">
      <c r="I583" s="113"/>
      <c r="J583" s="113"/>
      <c r="L583" s="126"/>
    </row>
    <row r="584">
      <c r="I584" s="113"/>
      <c r="J584" s="113"/>
      <c r="L584" s="126"/>
    </row>
    <row r="585">
      <c r="I585" s="113"/>
      <c r="J585" s="113"/>
      <c r="L585" s="126"/>
    </row>
    <row r="586">
      <c r="I586" s="113"/>
      <c r="J586" s="113"/>
      <c r="L586" s="126"/>
    </row>
    <row r="587">
      <c r="I587" s="113"/>
      <c r="J587" s="113"/>
      <c r="L587" s="126"/>
    </row>
    <row r="588">
      <c r="I588" s="113"/>
      <c r="J588" s="113"/>
      <c r="L588" s="126"/>
    </row>
    <row r="589">
      <c r="I589" s="113"/>
      <c r="J589" s="113"/>
      <c r="L589" s="126"/>
    </row>
    <row r="590">
      <c r="I590" s="113"/>
      <c r="J590" s="113"/>
      <c r="L590" s="126"/>
    </row>
    <row r="591">
      <c r="I591" s="113"/>
      <c r="J591" s="113"/>
      <c r="L591" s="126"/>
    </row>
    <row r="592">
      <c r="I592" s="113"/>
      <c r="J592" s="113"/>
      <c r="L592" s="126"/>
    </row>
    <row r="593">
      <c r="I593" s="113"/>
      <c r="J593" s="113"/>
      <c r="L593" s="126"/>
    </row>
    <row r="594">
      <c r="I594" s="113"/>
      <c r="J594" s="113"/>
      <c r="L594" s="126"/>
    </row>
    <row r="595">
      <c r="I595" s="113"/>
      <c r="J595" s="113"/>
      <c r="L595" s="126"/>
    </row>
    <row r="596">
      <c r="I596" s="113"/>
      <c r="J596" s="113"/>
      <c r="L596" s="126"/>
    </row>
    <row r="597">
      <c r="I597" s="113"/>
      <c r="J597" s="113"/>
      <c r="L597" s="126"/>
    </row>
    <row r="598">
      <c r="I598" s="113"/>
      <c r="J598" s="113"/>
      <c r="L598" s="126"/>
    </row>
    <row r="599">
      <c r="I599" s="113"/>
      <c r="J599" s="113"/>
      <c r="L599" s="126"/>
    </row>
    <row r="600">
      <c r="I600" s="113"/>
      <c r="J600" s="113"/>
      <c r="L600" s="126"/>
    </row>
    <row r="601">
      <c r="I601" s="113"/>
      <c r="J601" s="113"/>
      <c r="L601" s="126"/>
    </row>
    <row r="602">
      <c r="I602" s="113"/>
      <c r="J602" s="113"/>
      <c r="L602" s="126"/>
    </row>
    <row r="603">
      <c r="I603" s="113"/>
      <c r="J603" s="113"/>
      <c r="L603" s="126"/>
    </row>
    <row r="604">
      <c r="I604" s="113"/>
      <c r="J604" s="113"/>
      <c r="L604" s="126"/>
    </row>
    <row r="605">
      <c r="I605" s="113"/>
      <c r="J605" s="113"/>
      <c r="L605" s="126"/>
    </row>
    <row r="606">
      <c r="I606" s="113"/>
      <c r="J606" s="113"/>
      <c r="L606" s="126"/>
    </row>
    <row r="607">
      <c r="I607" s="113"/>
      <c r="J607" s="113"/>
      <c r="L607" s="126"/>
    </row>
    <row r="608">
      <c r="I608" s="113"/>
      <c r="J608" s="113"/>
      <c r="L608" s="126"/>
    </row>
    <row r="609">
      <c r="I609" s="113"/>
      <c r="J609" s="113"/>
      <c r="L609" s="126"/>
    </row>
    <row r="610">
      <c r="I610" s="113"/>
      <c r="J610" s="113"/>
      <c r="L610" s="126"/>
    </row>
    <row r="611">
      <c r="I611" s="113"/>
      <c r="J611" s="113"/>
      <c r="L611" s="126"/>
    </row>
    <row r="612">
      <c r="I612" s="113"/>
      <c r="J612" s="113"/>
      <c r="L612" s="126"/>
    </row>
    <row r="613">
      <c r="I613" s="113"/>
      <c r="J613" s="113"/>
      <c r="L613" s="126"/>
    </row>
    <row r="614">
      <c r="I614" s="113"/>
      <c r="J614" s="113"/>
      <c r="L614" s="126"/>
    </row>
    <row r="615">
      <c r="I615" s="113"/>
      <c r="J615" s="113"/>
      <c r="L615" s="126"/>
    </row>
    <row r="616">
      <c r="I616" s="113"/>
      <c r="J616" s="113"/>
      <c r="L616" s="126"/>
    </row>
    <row r="617">
      <c r="I617" s="113"/>
      <c r="J617" s="113"/>
      <c r="L617" s="126"/>
    </row>
    <row r="618">
      <c r="I618" s="113"/>
      <c r="J618" s="113"/>
      <c r="L618" s="126"/>
    </row>
    <row r="619">
      <c r="I619" s="113"/>
      <c r="J619" s="113"/>
      <c r="L619" s="126"/>
    </row>
    <row r="620">
      <c r="I620" s="113"/>
      <c r="J620" s="113"/>
      <c r="L620" s="126"/>
    </row>
    <row r="621">
      <c r="I621" s="113"/>
      <c r="J621" s="113"/>
      <c r="L621" s="126"/>
    </row>
    <row r="622">
      <c r="I622" s="113"/>
      <c r="J622" s="113"/>
      <c r="L622" s="126"/>
    </row>
    <row r="623">
      <c r="I623" s="113"/>
      <c r="J623" s="113"/>
      <c r="L623" s="126"/>
    </row>
    <row r="624">
      <c r="I624" s="113"/>
      <c r="J624" s="113"/>
      <c r="L624" s="126"/>
    </row>
    <row r="625">
      <c r="I625" s="113"/>
      <c r="J625" s="113"/>
      <c r="L625" s="126"/>
    </row>
    <row r="626">
      <c r="I626" s="113"/>
      <c r="J626" s="113"/>
      <c r="L626" s="126"/>
    </row>
    <row r="627">
      <c r="I627" s="113"/>
      <c r="J627" s="113"/>
      <c r="L627" s="126"/>
    </row>
    <row r="628">
      <c r="I628" s="113"/>
      <c r="J628" s="113"/>
      <c r="L628" s="126"/>
    </row>
    <row r="629">
      <c r="I629" s="113"/>
      <c r="J629" s="113"/>
      <c r="L629" s="126"/>
    </row>
    <row r="630">
      <c r="I630" s="113"/>
      <c r="J630" s="113"/>
      <c r="L630" s="126"/>
    </row>
    <row r="631">
      <c r="I631" s="113"/>
      <c r="J631" s="113"/>
      <c r="L631" s="126"/>
    </row>
    <row r="632">
      <c r="I632" s="113"/>
      <c r="J632" s="113"/>
      <c r="L632" s="126"/>
    </row>
    <row r="633">
      <c r="I633" s="113"/>
      <c r="J633" s="113"/>
      <c r="L633" s="126"/>
    </row>
    <row r="634">
      <c r="I634" s="113"/>
      <c r="J634" s="113"/>
      <c r="L634" s="126"/>
    </row>
    <row r="635">
      <c r="I635" s="113"/>
      <c r="J635" s="113"/>
      <c r="L635" s="126"/>
    </row>
    <row r="636">
      <c r="I636" s="113"/>
      <c r="J636" s="113"/>
      <c r="L636" s="126"/>
    </row>
    <row r="637">
      <c r="I637" s="113"/>
      <c r="J637" s="113"/>
      <c r="L637" s="126"/>
    </row>
    <row r="638">
      <c r="I638" s="113"/>
      <c r="J638" s="113"/>
      <c r="L638" s="126"/>
    </row>
    <row r="639">
      <c r="I639" s="113"/>
      <c r="J639" s="113"/>
      <c r="L639" s="126"/>
    </row>
    <row r="640">
      <c r="I640" s="113"/>
      <c r="J640" s="113"/>
      <c r="L640" s="126"/>
    </row>
    <row r="641">
      <c r="I641" s="113"/>
      <c r="J641" s="113"/>
      <c r="L641" s="126"/>
    </row>
    <row r="642">
      <c r="I642" s="113"/>
      <c r="J642" s="113"/>
      <c r="L642" s="126"/>
    </row>
    <row r="643">
      <c r="I643" s="113"/>
      <c r="J643" s="113"/>
      <c r="L643" s="126"/>
    </row>
    <row r="644">
      <c r="I644" s="113"/>
      <c r="J644" s="113"/>
      <c r="L644" s="126"/>
    </row>
    <row r="645">
      <c r="I645" s="113"/>
      <c r="J645" s="113"/>
      <c r="L645" s="126"/>
    </row>
    <row r="646">
      <c r="I646" s="113"/>
      <c r="J646" s="113"/>
      <c r="L646" s="126"/>
    </row>
    <row r="647">
      <c r="I647" s="113"/>
      <c r="J647" s="113"/>
      <c r="L647" s="126"/>
    </row>
    <row r="648">
      <c r="I648" s="113"/>
      <c r="J648" s="113"/>
      <c r="L648" s="126"/>
    </row>
    <row r="649">
      <c r="I649" s="113"/>
      <c r="J649" s="113"/>
      <c r="L649" s="126"/>
    </row>
    <row r="650">
      <c r="I650" s="113"/>
      <c r="J650" s="113"/>
      <c r="L650" s="126"/>
    </row>
    <row r="651">
      <c r="I651" s="113"/>
      <c r="J651" s="113"/>
      <c r="L651" s="126"/>
    </row>
    <row r="652">
      <c r="I652" s="113"/>
      <c r="J652" s="113"/>
      <c r="L652" s="126"/>
    </row>
    <row r="653">
      <c r="I653" s="113"/>
      <c r="J653" s="113"/>
      <c r="L653" s="126"/>
    </row>
    <row r="654">
      <c r="I654" s="113"/>
      <c r="J654" s="113"/>
      <c r="L654" s="126"/>
    </row>
    <row r="655">
      <c r="I655" s="113"/>
      <c r="J655" s="113"/>
      <c r="L655" s="126"/>
    </row>
    <row r="656">
      <c r="I656" s="113"/>
      <c r="J656" s="113"/>
      <c r="L656" s="126"/>
    </row>
    <row r="657">
      <c r="I657" s="113"/>
      <c r="J657" s="113"/>
      <c r="L657" s="126"/>
    </row>
    <row r="658">
      <c r="I658" s="113"/>
      <c r="J658" s="113"/>
      <c r="L658" s="126"/>
    </row>
    <row r="659">
      <c r="I659" s="113"/>
      <c r="J659" s="113"/>
      <c r="L659" s="126"/>
    </row>
    <row r="660">
      <c r="I660" s="113"/>
      <c r="J660" s="113"/>
      <c r="L660" s="126"/>
    </row>
    <row r="661">
      <c r="I661" s="113"/>
      <c r="J661" s="113"/>
      <c r="L661" s="126"/>
    </row>
    <row r="662">
      <c r="I662" s="113"/>
      <c r="J662" s="113"/>
      <c r="L662" s="126"/>
    </row>
    <row r="663">
      <c r="I663" s="113"/>
      <c r="J663" s="113"/>
      <c r="L663" s="126"/>
    </row>
    <row r="664">
      <c r="I664" s="113"/>
      <c r="J664" s="113"/>
      <c r="L664" s="126"/>
    </row>
    <row r="665">
      <c r="I665" s="113"/>
      <c r="J665" s="113"/>
      <c r="L665" s="126"/>
    </row>
    <row r="666">
      <c r="I666" s="113"/>
      <c r="J666" s="113"/>
      <c r="L666" s="126"/>
    </row>
    <row r="667">
      <c r="I667" s="113"/>
      <c r="J667" s="113"/>
      <c r="L667" s="126"/>
    </row>
    <row r="668">
      <c r="I668" s="113"/>
      <c r="J668" s="113"/>
      <c r="L668" s="126"/>
    </row>
    <row r="669">
      <c r="I669" s="113"/>
      <c r="J669" s="113"/>
      <c r="L669" s="126"/>
    </row>
    <row r="670">
      <c r="I670" s="113"/>
      <c r="J670" s="113"/>
      <c r="L670" s="126"/>
    </row>
    <row r="671">
      <c r="I671" s="113"/>
      <c r="J671" s="113"/>
      <c r="L671" s="126"/>
    </row>
    <row r="672">
      <c r="I672" s="113"/>
      <c r="J672" s="113"/>
      <c r="L672" s="126"/>
    </row>
    <row r="673">
      <c r="I673" s="113"/>
      <c r="J673" s="113"/>
      <c r="L673" s="126"/>
    </row>
    <row r="674">
      <c r="I674" s="113"/>
      <c r="J674" s="113"/>
      <c r="L674" s="126"/>
    </row>
    <row r="675">
      <c r="I675" s="113"/>
      <c r="J675" s="113"/>
      <c r="L675" s="126"/>
    </row>
    <row r="676">
      <c r="I676" s="113"/>
      <c r="J676" s="113"/>
      <c r="L676" s="126"/>
    </row>
    <row r="677">
      <c r="I677" s="113"/>
      <c r="J677" s="113"/>
      <c r="L677" s="126"/>
    </row>
    <row r="678">
      <c r="I678" s="113"/>
      <c r="J678" s="113"/>
      <c r="L678" s="126"/>
    </row>
    <row r="679">
      <c r="I679" s="113"/>
      <c r="J679" s="113"/>
      <c r="L679" s="126"/>
    </row>
    <row r="680">
      <c r="I680" s="113"/>
      <c r="J680" s="113"/>
      <c r="L680" s="126"/>
    </row>
    <row r="681">
      <c r="I681" s="113"/>
      <c r="J681" s="113"/>
      <c r="L681" s="126"/>
    </row>
    <row r="682">
      <c r="I682" s="113"/>
      <c r="J682" s="113"/>
      <c r="L682" s="126"/>
    </row>
    <row r="683">
      <c r="I683" s="113"/>
      <c r="J683" s="113"/>
      <c r="L683" s="126"/>
    </row>
    <row r="684">
      <c r="I684" s="113"/>
      <c r="J684" s="113"/>
      <c r="L684" s="126"/>
    </row>
    <row r="685">
      <c r="I685" s="113"/>
      <c r="J685" s="113"/>
      <c r="L685" s="126"/>
    </row>
    <row r="686">
      <c r="I686" s="113"/>
      <c r="J686" s="113"/>
      <c r="L686" s="126"/>
    </row>
    <row r="687">
      <c r="I687" s="113"/>
      <c r="J687" s="113"/>
      <c r="L687" s="126"/>
    </row>
    <row r="688">
      <c r="I688" s="113"/>
      <c r="J688" s="113"/>
      <c r="L688" s="126"/>
    </row>
    <row r="689">
      <c r="I689" s="113"/>
      <c r="J689" s="113"/>
      <c r="L689" s="126"/>
    </row>
    <row r="690">
      <c r="I690" s="113"/>
      <c r="J690" s="113"/>
      <c r="L690" s="126"/>
    </row>
    <row r="691">
      <c r="I691" s="113"/>
      <c r="J691" s="113"/>
      <c r="L691" s="126"/>
    </row>
    <row r="692">
      <c r="I692" s="113"/>
      <c r="J692" s="113"/>
      <c r="L692" s="126"/>
    </row>
    <row r="693">
      <c r="I693" s="113"/>
      <c r="J693" s="113"/>
      <c r="L693" s="126"/>
    </row>
    <row r="694">
      <c r="I694" s="113"/>
      <c r="J694" s="113"/>
      <c r="L694" s="126"/>
    </row>
    <row r="695">
      <c r="I695" s="113"/>
      <c r="J695" s="113"/>
      <c r="L695" s="126"/>
    </row>
    <row r="696">
      <c r="I696" s="113"/>
      <c r="J696" s="113"/>
      <c r="L696" s="126"/>
    </row>
    <row r="697">
      <c r="I697" s="113"/>
      <c r="J697" s="113"/>
      <c r="L697" s="126"/>
    </row>
    <row r="698">
      <c r="I698" s="113"/>
      <c r="J698" s="113"/>
      <c r="L698" s="126"/>
    </row>
    <row r="699">
      <c r="I699" s="113"/>
      <c r="J699" s="113"/>
      <c r="L699" s="126"/>
    </row>
    <row r="700">
      <c r="I700" s="113"/>
      <c r="J700" s="113"/>
      <c r="L700" s="126"/>
    </row>
    <row r="701">
      <c r="I701" s="113"/>
      <c r="J701" s="113"/>
      <c r="L701" s="126"/>
    </row>
    <row r="702">
      <c r="I702" s="113"/>
      <c r="J702" s="113"/>
      <c r="L702" s="126"/>
    </row>
    <row r="703">
      <c r="I703" s="113"/>
      <c r="J703" s="113"/>
      <c r="L703" s="126"/>
    </row>
    <row r="704">
      <c r="I704" s="113"/>
      <c r="J704" s="113"/>
      <c r="L704" s="126"/>
    </row>
    <row r="705">
      <c r="I705" s="113"/>
      <c r="J705" s="113"/>
      <c r="L705" s="126"/>
    </row>
    <row r="706">
      <c r="I706" s="113"/>
      <c r="J706" s="113"/>
      <c r="L706" s="126"/>
    </row>
    <row r="707">
      <c r="I707" s="113"/>
      <c r="J707" s="113"/>
      <c r="L707" s="126"/>
    </row>
    <row r="708">
      <c r="I708" s="113"/>
      <c r="J708" s="113"/>
      <c r="L708" s="126"/>
    </row>
    <row r="709">
      <c r="I709" s="113"/>
      <c r="J709" s="113"/>
      <c r="L709" s="126"/>
    </row>
    <row r="710">
      <c r="I710" s="113"/>
      <c r="J710" s="113"/>
      <c r="L710" s="126"/>
    </row>
    <row r="711">
      <c r="I711" s="113"/>
      <c r="J711" s="113"/>
      <c r="L711" s="126"/>
    </row>
    <row r="712">
      <c r="I712" s="113"/>
      <c r="J712" s="113"/>
      <c r="L712" s="126"/>
    </row>
    <row r="713">
      <c r="I713" s="113"/>
      <c r="J713" s="113"/>
      <c r="L713" s="126"/>
    </row>
    <row r="714">
      <c r="I714" s="113"/>
      <c r="J714" s="113"/>
      <c r="L714" s="126"/>
    </row>
    <row r="715">
      <c r="I715" s="113"/>
      <c r="J715" s="113"/>
      <c r="L715" s="126"/>
    </row>
    <row r="716">
      <c r="I716" s="113"/>
      <c r="J716" s="113"/>
      <c r="L716" s="126"/>
    </row>
    <row r="717">
      <c r="I717" s="113"/>
      <c r="J717" s="113"/>
      <c r="L717" s="126"/>
    </row>
    <row r="718">
      <c r="I718" s="113"/>
      <c r="J718" s="113"/>
      <c r="L718" s="126"/>
    </row>
    <row r="719">
      <c r="I719" s="113"/>
      <c r="J719" s="113"/>
      <c r="L719" s="126"/>
    </row>
    <row r="720">
      <c r="I720" s="113"/>
      <c r="J720" s="113"/>
      <c r="L720" s="126"/>
    </row>
    <row r="721">
      <c r="I721" s="113"/>
      <c r="J721" s="113"/>
      <c r="L721" s="126"/>
    </row>
    <row r="722">
      <c r="I722" s="113"/>
      <c r="J722" s="113"/>
      <c r="L722" s="126"/>
    </row>
    <row r="723">
      <c r="I723" s="113"/>
      <c r="J723" s="113"/>
      <c r="L723" s="126"/>
    </row>
    <row r="724">
      <c r="I724" s="113"/>
      <c r="J724" s="113"/>
      <c r="L724" s="126"/>
    </row>
    <row r="725">
      <c r="I725" s="113"/>
      <c r="J725" s="113"/>
      <c r="L725" s="126"/>
    </row>
    <row r="726">
      <c r="I726" s="113"/>
      <c r="J726" s="113"/>
      <c r="L726" s="126"/>
    </row>
    <row r="727">
      <c r="I727" s="113"/>
      <c r="J727" s="113"/>
      <c r="L727" s="126"/>
    </row>
    <row r="728">
      <c r="I728" s="113"/>
      <c r="J728" s="113"/>
      <c r="L728" s="126"/>
    </row>
    <row r="729">
      <c r="I729" s="113"/>
      <c r="J729" s="113"/>
      <c r="L729" s="126"/>
    </row>
    <row r="730">
      <c r="I730" s="113"/>
      <c r="J730" s="113"/>
      <c r="L730" s="126"/>
    </row>
    <row r="731">
      <c r="I731" s="113"/>
      <c r="J731" s="113"/>
      <c r="L731" s="126"/>
    </row>
    <row r="732">
      <c r="I732" s="113"/>
      <c r="J732" s="113"/>
      <c r="L732" s="126"/>
    </row>
    <row r="733">
      <c r="I733" s="113"/>
      <c r="J733" s="113"/>
      <c r="L733" s="126"/>
    </row>
    <row r="734">
      <c r="I734" s="113"/>
      <c r="J734" s="113"/>
      <c r="L734" s="126"/>
    </row>
    <row r="735">
      <c r="I735" s="113"/>
      <c r="J735" s="113"/>
      <c r="L735" s="126"/>
    </row>
    <row r="736">
      <c r="I736" s="113"/>
      <c r="J736" s="113"/>
      <c r="L736" s="126"/>
    </row>
    <row r="737">
      <c r="I737" s="113"/>
      <c r="J737" s="113"/>
      <c r="L737" s="126"/>
    </row>
    <row r="738">
      <c r="I738" s="113"/>
      <c r="J738" s="113"/>
      <c r="L738" s="126"/>
    </row>
    <row r="739">
      <c r="I739" s="113"/>
      <c r="J739" s="113"/>
      <c r="L739" s="126"/>
    </row>
    <row r="740">
      <c r="I740" s="113"/>
      <c r="J740" s="113"/>
      <c r="L740" s="126"/>
    </row>
    <row r="741">
      <c r="I741" s="113"/>
      <c r="J741" s="113"/>
      <c r="L741" s="126"/>
    </row>
    <row r="742">
      <c r="I742" s="113"/>
      <c r="J742" s="113"/>
      <c r="L742" s="126"/>
    </row>
    <row r="743">
      <c r="I743" s="113"/>
      <c r="J743" s="113"/>
      <c r="L743" s="126"/>
    </row>
    <row r="744">
      <c r="I744" s="113"/>
      <c r="J744" s="113"/>
      <c r="L744" s="126"/>
    </row>
    <row r="745">
      <c r="I745" s="113"/>
      <c r="J745" s="113"/>
      <c r="L745" s="126"/>
    </row>
    <row r="746">
      <c r="I746" s="113"/>
      <c r="J746" s="113"/>
      <c r="L746" s="126"/>
    </row>
    <row r="747">
      <c r="I747" s="113"/>
      <c r="J747" s="113"/>
      <c r="L747" s="126"/>
    </row>
    <row r="748">
      <c r="I748" s="113"/>
      <c r="J748" s="113"/>
      <c r="L748" s="126"/>
    </row>
    <row r="749">
      <c r="I749" s="113"/>
      <c r="J749" s="113"/>
      <c r="L749" s="126"/>
    </row>
    <row r="750">
      <c r="I750" s="113"/>
      <c r="J750" s="113"/>
      <c r="L750" s="126"/>
    </row>
    <row r="751">
      <c r="I751" s="113"/>
      <c r="J751" s="113"/>
      <c r="L751" s="126"/>
    </row>
    <row r="752">
      <c r="I752" s="113"/>
      <c r="J752" s="113"/>
      <c r="L752" s="126"/>
    </row>
    <row r="753">
      <c r="I753" s="113"/>
      <c r="J753" s="113"/>
      <c r="L753" s="126"/>
    </row>
    <row r="754">
      <c r="I754" s="113"/>
      <c r="J754" s="113"/>
      <c r="L754" s="126"/>
    </row>
    <row r="755">
      <c r="I755" s="113"/>
      <c r="J755" s="113"/>
      <c r="L755" s="126"/>
    </row>
    <row r="756">
      <c r="I756" s="113"/>
      <c r="J756" s="113"/>
      <c r="L756" s="126"/>
    </row>
    <row r="757">
      <c r="I757" s="113"/>
      <c r="J757" s="113"/>
      <c r="L757" s="126"/>
    </row>
    <row r="758">
      <c r="I758" s="113"/>
      <c r="J758" s="113"/>
      <c r="L758" s="126"/>
    </row>
    <row r="759">
      <c r="I759" s="113"/>
      <c r="J759" s="113"/>
      <c r="L759" s="126"/>
    </row>
    <row r="760">
      <c r="I760" s="113"/>
      <c r="J760" s="113"/>
      <c r="L760" s="126"/>
    </row>
    <row r="761">
      <c r="I761" s="113"/>
      <c r="J761" s="113"/>
      <c r="L761" s="126"/>
    </row>
    <row r="762">
      <c r="I762" s="113"/>
      <c r="J762" s="113"/>
      <c r="L762" s="126"/>
    </row>
    <row r="763">
      <c r="I763" s="113"/>
      <c r="J763" s="113"/>
      <c r="L763" s="126"/>
    </row>
    <row r="764">
      <c r="I764" s="113"/>
      <c r="J764" s="113"/>
      <c r="L764" s="126"/>
    </row>
    <row r="765">
      <c r="I765" s="113"/>
      <c r="J765" s="113"/>
      <c r="L765" s="126"/>
    </row>
    <row r="766">
      <c r="I766" s="113"/>
      <c r="J766" s="113"/>
      <c r="L766" s="126"/>
    </row>
    <row r="767">
      <c r="I767" s="113"/>
      <c r="J767" s="113"/>
      <c r="L767" s="126"/>
    </row>
    <row r="768">
      <c r="I768" s="113"/>
      <c r="J768" s="113"/>
      <c r="L768" s="126"/>
    </row>
    <row r="769">
      <c r="I769" s="113"/>
      <c r="J769" s="113"/>
      <c r="L769" s="126"/>
    </row>
    <row r="770">
      <c r="I770" s="113"/>
      <c r="J770" s="113"/>
      <c r="L770" s="126"/>
    </row>
    <row r="771">
      <c r="I771" s="113"/>
      <c r="J771" s="113"/>
      <c r="L771" s="126"/>
    </row>
    <row r="772">
      <c r="I772" s="113"/>
      <c r="J772" s="113"/>
      <c r="L772" s="126"/>
    </row>
    <row r="773">
      <c r="I773" s="113"/>
      <c r="J773" s="113"/>
      <c r="L773" s="126"/>
    </row>
    <row r="774">
      <c r="I774" s="113"/>
      <c r="J774" s="113"/>
      <c r="L774" s="126"/>
    </row>
    <row r="775">
      <c r="I775" s="113"/>
      <c r="J775" s="113"/>
      <c r="L775" s="126"/>
    </row>
    <row r="776">
      <c r="I776" s="113"/>
      <c r="J776" s="113"/>
      <c r="L776" s="126"/>
    </row>
    <row r="777">
      <c r="I777" s="113"/>
      <c r="J777" s="113"/>
      <c r="L777" s="126"/>
    </row>
    <row r="778">
      <c r="I778" s="113"/>
      <c r="J778" s="113"/>
      <c r="L778" s="126"/>
    </row>
    <row r="779">
      <c r="I779" s="113"/>
      <c r="J779" s="113"/>
      <c r="L779" s="126"/>
    </row>
    <row r="780">
      <c r="I780" s="113"/>
      <c r="J780" s="113"/>
      <c r="L780" s="126"/>
    </row>
    <row r="781">
      <c r="I781" s="113"/>
      <c r="J781" s="113"/>
      <c r="L781" s="126"/>
    </row>
    <row r="782">
      <c r="I782" s="113"/>
      <c r="J782" s="113"/>
      <c r="L782" s="126"/>
    </row>
    <row r="783">
      <c r="I783" s="113"/>
      <c r="J783" s="113"/>
      <c r="L783" s="126"/>
    </row>
    <row r="784">
      <c r="I784" s="113"/>
      <c r="J784" s="113"/>
      <c r="L784" s="126"/>
    </row>
    <row r="785">
      <c r="I785" s="113"/>
      <c r="J785" s="113"/>
      <c r="L785" s="126"/>
    </row>
    <row r="786">
      <c r="I786" s="113"/>
      <c r="J786" s="113"/>
      <c r="L786" s="126"/>
    </row>
    <row r="787">
      <c r="I787" s="113"/>
      <c r="J787" s="113"/>
      <c r="L787" s="126"/>
    </row>
    <row r="788">
      <c r="I788" s="113"/>
      <c r="J788" s="113"/>
      <c r="L788" s="126"/>
    </row>
    <row r="789">
      <c r="I789" s="113"/>
      <c r="J789" s="113"/>
      <c r="L789" s="126"/>
    </row>
    <row r="790">
      <c r="I790" s="113"/>
      <c r="J790" s="113"/>
      <c r="L790" s="126"/>
    </row>
    <row r="791">
      <c r="I791" s="113"/>
      <c r="J791" s="113"/>
      <c r="L791" s="126"/>
    </row>
    <row r="792">
      <c r="I792" s="113"/>
      <c r="J792" s="113"/>
      <c r="L792" s="126"/>
    </row>
    <row r="793">
      <c r="I793" s="113"/>
      <c r="J793" s="113"/>
      <c r="L793" s="126"/>
    </row>
    <row r="794">
      <c r="I794" s="113"/>
      <c r="J794" s="113"/>
      <c r="L794" s="126"/>
    </row>
    <row r="795">
      <c r="I795" s="113"/>
      <c r="J795" s="113"/>
      <c r="L795" s="126"/>
    </row>
    <row r="796">
      <c r="I796" s="113"/>
      <c r="J796" s="113"/>
      <c r="L796" s="126"/>
    </row>
    <row r="797">
      <c r="I797" s="113"/>
      <c r="J797" s="113"/>
      <c r="L797" s="126"/>
    </row>
    <row r="798">
      <c r="I798" s="113"/>
      <c r="J798" s="113"/>
      <c r="L798" s="126"/>
    </row>
    <row r="799">
      <c r="I799" s="113"/>
      <c r="J799" s="113"/>
      <c r="L799" s="126"/>
    </row>
    <row r="800">
      <c r="I800" s="113"/>
      <c r="J800" s="113"/>
      <c r="L800" s="126"/>
    </row>
    <row r="801">
      <c r="I801" s="113"/>
      <c r="J801" s="113"/>
      <c r="L801" s="126"/>
    </row>
    <row r="802">
      <c r="I802" s="113"/>
      <c r="J802" s="113"/>
      <c r="L802" s="126"/>
    </row>
    <row r="803">
      <c r="I803" s="113"/>
      <c r="J803" s="113"/>
      <c r="L803" s="126"/>
    </row>
    <row r="804">
      <c r="I804" s="113"/>
      <c r="J804" s="113"/>
      <c r="L804" s="126"/>
    </row>
    <row r="805">
      <c r="I805" s="113"/>
      <c r="J805" s="113"/>
      <c r="L805" s="126"/>
    </row>
    <row r="806">
      <c r="I806" s="113"/>
      <c r="J806" s="113"/>
      <c r="L806" s="126"/>
    </row>
    <row r="807">
      <c r="I807" s="113"/>
      <c r="J807" s="113"/>
      <c r="L807" s="126"/>
    </row>
    <row r="808">
      <c r="I808" s="113"/>
      <c r="J808" s="113"/>
      <c r="L808" s="126"/>
    </row>
    <row r="809">
      <c r="I809" s="113"/>
      <c r="J809" s="113"/>
      <c r="L809" s="126"/>
    </row>
    <row r="810">
      <c r="I810" s="113"/>
      <c r="J810" s="113"/>
      <c r="L810" s="126"/>
    </row>
    <row r="811">
      <c r="I811" s="113"/>
      <c r="J811" s="113"/>
      <c r="L811" s="126"/>
    </row>
    <row r="812">
      <c r="I812" s="113"/>
      <c r="J812" s="113"/>
      <c r="L812" s="126"/>
    </row>
    <row r="813">
      <c r="I813" s="113"/>
      <c r="J813" s="113"/>
      <c r="L813" s="126"/>
    </row>
    <row r="814">
      <c r="I814" s="113"/>
      <c r="J814" s="113"/>
      <c r="L814" s="126"/>
    </row>
    <row r="815">
      <c r="I815" s="113"/>
      <c r="J815" s="113"/>
      <c r="L815" s="126"/>
    </row>
    <row r="816">
      <c r="I816" s="113"/>
      <c r="J816" s="113"/>
      <c r="L816" s="126"/>
    </row>
    <row r="817">
      <c r="I817" s="113"/>
      <c r="J817" s="113"/>
      <c r="L817" s="126"/>
    </row>
    <row r="818">
      <c r="I818" s="113"/>
      <c r="J818" s="113"/>
      <c r="L818" s="126"/>
    </row>
    <row r="819">
      <c r="I819" s="113"/>
      <c r="J819" s="113"/>
      <c r="L819" s="126"/>
    </row>
    <row r="820">
      <c r="I820" s="113"/>
      <c r="J820" s="113"/>
      <c r="L820" s="126"/>
    </row>
    <row r="821">
      <c r="I821" s="113"/>
      <c r="J821" s="113"/>
      <c r="L821" s="126"/>
    </row>
    <row r="822">
      <c r="I822" s="113"/>
      <c r="J822" s="113"/>
      <c r="L822" s="126"/>
    </row>
    <row r="823">
      <c r="I823" s="113"/>
      <c r="J823" s="113"/>
      <c r="L823" s="126"/>
    </row>
    <row r="824">
      <c r="I824" s="113"/>
      <c r="J824" s="113"/>
      <c r="L824" s="126"/>
    </row>
    <row r="825">
      <c r="I825" s="113"/>
      <c r="J825" s="113"/>
      <c r="L825" s="126"/>
    </row>
    <row r="826">
      <c r="I826" s="113"/>
      <c r="J826" s="113"/>
      <c r="L826" s="126"/>
    </row>
    <row r="827">
      <c r="I827" s="113"/>
      <c r="J827" s="113"/>
      <c r="L827" s="126"/>
    </row>
    <row r="828">
      <c r="I828" s="113"/>
      <c r="J828" s="113"/>
      <c r="L828" s="126"/>
    </row>
    <row r="829">
      <c r="I829" s="113"/>
      <c r="J829" s="113"/>
      <c r="L829" s="126"/>
    </row>
    <row r="830">
      <c r="I830" s="113"/>
      <c r="J830" s="113"/>
      <c r="L830" s="126"/>
    </row>
    <row r="831">
      <c r="I831" s="113"/>
      <c r="J831" s="113"/>
      <c r="L831" s="126"/>
    </row>
    <row r="832">
      <c r="I832" s="113"/>
      <c r="J832" s="113"/>
      <c r="L832" s="126"/>
    </row>
    <row r="833">
      <c r="I833" s="113"/>
      <c r="J833" s="113"/>
      <c r="L833" s="126"/>
    </row>
    <row r="834">
      <c r="I834" s="113"/>
      <c r="J834" s="113"/>
      <c r="L834" s="126"/>
    </row>
    <row r="835">
      <c r="I835" s="113"/>
      <c r="J835" s="113"/>
      <c r="L835" s="126"/>
    </row>
    <row r="836">
      <c r="I836" s="113"/>
      <c r="J836" s="113"/>
      <c r="L836" s="126"/>
    </row>
    <row r="837">
      <c r="I837" s="113"/>
      <c r="J837" s="113"/>
      <c r="L837" s="126"/>
    </row>
    <row r="838">
      <c r="I838" s="113"/>
      <c r="J838" s="113"/>
      <c r="L838" s="126"/>
    </row>
    <row r="839">
      <c r="I839" s="113"/>
      <c r="J839" s="113"/>
      <c r="L839" s="126"/>
    </row>
    <row r="840">
      <c r="I840" s="113"/>
      <c r="J840" s="113"/>
      <c r="L840" s="126"/>
    </row>
    <row r="841">
      <c r="I841" s="113"/>
      <c r="J841" s="113"/>
      <c r="L841" s="126"/>
    </row>
    <row r="842">
      <c r="I842" s="113"/>
      <c r="J842" s="113"/>
      <c r="L842" s="126"/>
    </row>
    <row r="843">
      <c r="I843" s="113"/>
      <c r="J843" s="113"/>
      <c r="L843" s="126"/>
    </row>
    <row r="844">
      <c r="I844" s="113"/>
      <c r="J844" s="113"/>
      <c r="L844" s="126"/>
    </row>
    <row r="845">
      <c r="I845" s="113"/>
      <c r="J845" s="113"/>
      <c r="L845" s="126"/>
    </row>
    <row r="846">
      <c r="I846" s="113"/>
      <c r="J846" s="113"/>
      <c r="L846" s="126"/>
    </row>
    <row r="847">
      <c r="I847" s="113"/>
      <c r="J847" s="113"/>
      <c r="L847" s="126"/>
    </row>
    <row r="848">
      <c r="I848" s="113"/>
      <c r="J848" s="113"/>
      <c r="L848" s="126"/>
    </row>
    <row r="849">
      <c r="I849" s="113"/>
      <c r="J849" s="113"/>
      <c r="L849" s="126"/>
    </row>
    <row r="850">
      <c r="I850" s="113"/>
      <c r="J850" s="113"/>
      <c r="L850" s="126"/>
    </row>
    <row r="851">
      <c r="I851" s="113"/>
      <c r="J851" s="113"/>
      <c r="L851" s="126"/>
    </row>
    <row r="852">
      <c r="I852" s="113"/>
      <c r="J852" s="113"/>
      <c r="L852" s="126"/>
    </row>
    <row r="853">
      <c r="I853" s="113"/>
      <c r="J853" s="113"/>
      <c r="L853" s="126"/>
    </row>
    <row r="854">
      <c r="I854" s="113"/>
      <c r="J854" s="113"/>
      <c r="L854" s="126"/>
    </row>
    <row r="855">
      <c r="I855" s="113"/>
      <c r="J855" s="113"/>
      <c r="L855" s="126"/>
    </row>
    <row r="856">
      <c r="I856" s="113"/>
      <c r="J856" s="113"/>
      <c r="L856" s="126"/>
    </row>
    <row r="857">
      <c r="I857" s="113"/>
      <c r="J857" s="113"/>
      <c r="L857" s="126"/>
    </row>
    <row r="858">
      <c r="I858" s="113"/>
      <c r="J858" s="113"/>
      <c r="L858" s="126"/>
    </row>
    <row r="859">
      <c r="I859" s="113"/>
      <c r="J859" s="113"/>
      <c r="L859" s="126"/>
    </row>
    <row r="860">
      <c r="I860" s="113"/>
      <c r="J860" s="113"/>
      <c r="L860" s="126"/>
    </row>
    <row r="861">
      <c r="I861" s="113"/>
      <c r="J861" s="113"/>
      <c r="L861" s="126"/>
    </row>
    <row r="862">
      <c r="I862" s="113"/>
      <c r="J862" s="113"/>
      <c r="L862" s="126"/>
    </row>
    <row r="863">
      <c r="I863" s="113"/>
      <c r="J863" s="113"/>
      <c r="L863" s="126"/>
    </row>
    <row r="864">
      <c r="I864" s="113"/>
      <c r="J864" s="113"/>
      <c r="L864" s="126"/>
    </row>
    <row r="865">
      <c r="I865" s="113"/>
      <c r="J865" s="113"/>
      <c r="L865" s="126"/>
    </row>
    <row r="866">
      <c r="I866" s="113"/>
      <c r="J866" s="113"/>
      <c r="L866" s="126"/>
    </row>
    <row r="867">
      <c r="I867" s="113"/>
      <c r="J867" s="113"/>
      <c r="L867" s="126"/>
    </row>
    <row r="868">
      <c r="I868" s="113"/>
      <c r="J868" s="113"/>
      <c r="L868" s="126"/>
    </row>
    <row r="869">
      <c r="I869" s="113"/>
      <c r="J869" s="113"/>
      <c r="L869" s="126"/>
    </row>
    <row r="870">
      <c r="I870" s="113"/>
      <c r="J870" s="113"/>
      <c r="L870" s="126"/>
    </row>
    <row r="871">
      <c r="I871" s="113"/>
      <c r="J871" s="113"/>
      <c r="L871" s="126"/>
    </row>
    <row r="872">
      <c r="I872" s="113"/>
      <c r="J872" s="113"/>
      <c r="L872" s="126"/>
    </row>
    <row r="873">
      <c r="I873" s="113"/>
      <c r="J873" s="113"/>
      <c r="L873" s="126"/>
    </row>
    <row r="874">
      <c r="I874" s="113"/>
      <c r="J874" s="113"/>
      <c r="L874" s="126"/>
    </row>
    <row r="875">
      <c r="I875" s="113"/>
      <c r="J875" s="113"/>
      <c r="L875" s="126"/>
    </row>
    <row r="876">
      <c r="I876" s="113"/>
      <c r="J876" s="113"/>
      <c r="L876" s="126"/>
    </row>
    <row r="877">
      <c r="I877" s="113"/>
      <c r="J877" s="113"/>
      <c r="L877" s="126"/>
    </row>
    <row r="878">
      <c r="I878" s="113"/>
      <c r="J878" s="113"/>
      <c r="L878" s="126"/>
    </row>
    <row r="879">
      <c r="I879" s="113"/>
      <c r="J879" s="113"/>
      <c r="L879" s="126"/>
    </row>
    <row r="880">
      <c r="I880" s="113"/>
      <c r="J880" s="113"/>
      <c r="L880" s="126"/>
    </row>
    <row r="881">
      <c r="I881" s="113"/>
      <c r="J881" s="113"/>
      <c r="L881" s="126"/>
    </row>
    <row r="882">
      <c r="I882" s="113"/>
      <c r="J882" s="113"/>
      <c r="L882" s="126"/>
    </row>
    <row r="883">
      <c r="I883" s="113"/>
      <c r="J883" s="113"/>
      <c r="L883" s="126"/>
    </row>
    <row r="884">
      <c r="I884" s="113"/>
      <c r="J884" s="113"/>
      <c r="L884" s="126"/>
    </row>
    <row r="885">
      <c r="I885" s="113"/>
      <c r="J885" s="113"/>
      <c r="L885" s="126"/>
    </row>
    <row r="886">
      <c r="I886" s="113"/>
      <c r="J886" s="113"/>
      <c r="L886" s="126"/>
    </row>
    <row r="887">
      <c r="I887" s="113"/>
      <c r="J887" s="113"/>
      <c r="L887" s="126"/>
    </row>
    <row r="888">
      <c r="I888" s="113"/>
      <c r="J888" s="113"/>
      <c r="L888" s="126"/>
    </row>
    <row r="889">
      <c r="I889" s="113"/>
      <c r="J889" s="113"/>
      <c r="L889" s="126"/>
    </row>
    <row r="890">
      <c r="I890" s="113"/>
      <c r="J890" s="113"/>
      <c r="L890" s="126"/>
    </row>
    <row r="891">
      <c r="I891" s="113"/>
      <c r="J891" s="113"/>
      <c r="L891" s="126"/>
    </row>
    <row r="892">
      <c r="I892" s="113"/>
      <c r="J892" s="113"/>
      <c r="L892" s="126"/>
    </row>
    <row r="893">
      <c r="I893" s="113"/>
      <c r="J893" s="113"/>
      <c r="L893" s="126"/>
    </row>
    <row r="894">
      <c r="I894" s="113"/>
      <c r="J894" s="113"/>
      <c r="L894" s="126"/>
    </row>
    <row r="895">
      <c r="I895" s="113"/>
      <c r="J895" s="113"/>
      <c r="L895" s="126"/>
    </row>
    <row r="896">
      <c r="I896" s="113"/>
      <c r="J896" s="113"/>
      <c r="L896" s="126"/>
    </row>
    <row r="897">
      <c r="I897" s="113"/>
      <c r="J897" s="113"/>
      <c r="L897" s="126"/>
    </row>
    <row r="898">
      <c r="I898" s="113"/>
      <c r="J898" s="113"/>
      <c r="L898" s="126"/>
    </row>
    <row r="899">
      <c r="I899" s="113"/>
      <c r="J899" s="113"/>
      <c r="L899" s="126"/>
    </row>
    <row r="900">
      <c r="I900" s="113"/>
      <c r="J900" s="113"/>
      <c r="L900" s="126"/>
    </row>
    <row r="901">
      <c r="I901" s="113"/>
      <c r="J901" s="113"/>
      <c r="L901" s="126"/>
    </row>
    <row r="902">
      <c r="I902" s="113"/>
      <c r="J902" s="113"/>
      <c r="L902" s="126"/>
    </row>
    <row r="903">
      <c r="I903" s="113"/>
      <c r="J903" s="113"/>
      <c r="L903" s="126"/>
    </row>
    <row r="904">
      <c r="I904" s="113"/>
      <c r="J904" s="113"/>
      <c r="L904" s="126"/>
    </row>
    <row r="905">
      <c r="I905" s="113"/>
      <c r="J905" s="113"/>
      <c r="L905" s="126"/>
    </row>
    <row r="906">
      <c r="I906" s="113"/>
      <c r="J906" s="113"/>
      <c r="L906" s="126"/>
    </row>
    <row r="907">
      <c r="I907" s="113"/>
      <c r="J907" s="113"/>
      <c r="L907" s="126"/>
    </row>
    <row r="908">
      <c r="I908" s="113"/>
      <c r="J908" s="113"/>
      <c r="L908" s="126"/>
    </row>
    <row r="909">
      <c r="I909" s="113"/>
      <c r="J909" s="113"/>
      <c r="L909" s="126"/>
    </row>
    <row r="910">
      <c r="I910" s="113"/>
      <c r="J910" s="113"/>
      <c r="L910" s="126"/>
    </row>
    <row r="911">
      <c r="I911" s="113"/>
      <c r="J911" s="113"/>
      <c r="L911" s="126"/>
    </row>
    <row r="912">
      <c r="I912" s="113"/>
      <c r="J912" s="113"/>
      <c r="L912" s="126"/>
    </row>
    <row r="913">
      <c r="I913" s="113"/>
      <c r="J913" s="113"/>
      <c r="L913" s="126"/>
    </row>
    <row r="914">
      <c r="I914" s="113"/>
      <c r="J914" s="113"/>
      <c r="L914" s="126"/>
    </row>
    <row r="915">
      <c r="I915" s="113"/>
      <c r="J915" s="113"/>
      <c r="L915" s="126"/>
    </row>
    <row r="916">
      <c r="I916" s="113"/>
      <c r="J916" s="113"/>
      <c r="L916" s="126"/>
    </row>
    <row r="917">
      <c r="I917" s="113"/>
      <c r="J917" s="113"/>
      <c r="L917" s="126"/>
    </row>
    <row r="918">
      <c r="I918" s="113"/>
      <c r="J918" s="113"/>
      <c r="L918" s="126"/>
    </row>
    <row r="919">
      <c r="I919" s="113"/>
      <c r="J919" s="113"/>
      <c r="L919" s="126"/>
    </row>
    <row r="920">
      <c r="I920" s="113"/>
      <c r="J920" s="113"/>
      <c r="L920" s="126"/>
    </row>
    <row r="921">
      <c r="I921" s="113"/>
      <c r="J921" s="113"/>
      <c r="L921" s="126"/>
    </row>
    <row r="922">
      <c r="I922" s="113"/>
      <c r="J922" s="113"/>
      <c r="L922" s="126"/>
    </row>
    <row r="923">
      <c r="I923" s="113"/>
      <c r="J923" s="113"/>
      <c r="L923" s="126"/>
    </row>
    <row r="924">
      <c r="I924" s="113"/>
      <c r="J924" s="113"/>
      <c r="L924" s="126"/>
    </row>
    <row r="925">
      <c r="I925" s="113"/>
      <c r="J925" s="113"/>
      <c r="L925" s="126"/>
    </row>
    <row r="926">
      <c r="I926" s="113"/>
      <c r="J926" s="113"/>
      <c r="L926" s="126"/>
    </row>
    <row r="927">
      <c r="I927" s="113"/>
      <c r="J927" s="113"/>
      <c r="L927" s="126"/>
    </row>
    <row r="928">
      <c r="I928" s="113"/>
      <c r="J928" s="113"/>
      <c r="L928" s="126"/>
    </row>
    <row r="929">
      <c r="I929" s="113"/>
      <c r="J929" s="113"/>
      <c r="L929" s="126"/>
    </row>
    <row r="930">
      <c r="I930" s="113"/>
      <c r="J930" s="113"/>
      <c r="L930" s="126"/>
    </row>
    <row r="931">
      <c r="I931" s="113"/>
      <c r="J931" s="113"/>
      <c r="L931" s="126"/>
    </row>
    <row r="932">
      <c r="I932" s="113"/>
      <c r="J932" s="113"/>
      <c r="L932" s="126"/>
    </row>
    <row r="933">
      <c r="I933" s="113"/>
      <c r="J933" s="113"/>
      <c r="L933" s="126"/>
    </row>
    <row r="934">
      <c r="I934" s="113"/>
      <c r="J934" s="113"/>
      <c r="L934" s="126"/>
    </row>
    <row r="935">
      <c r="I935" s="113"/>
      <c r="J935" s="113"/>
      <c r="L935" s="126"/>
    </row>
    <row r="936">
      <c r="I936" s="113"/>
      <c r="J936" s="113"/>
      <c r="L936" s="126"/>
    </row>
    <row r="937">
      <c r="I937" s="113"/>
      <c r="J937" s="113"/>
      <c r="L937" s="126"/>
    </row>
    <row r="938">
      <c r="I938" s="113"/>
      <c r="J938" s="113"/>
      <c r="L938" s="126"/>
    </row>
    <row r="939">
      <c r="I939" s="113"/>
      <c r="J939" s="113"/>
      <c r="L939" s="126"/>
    </row>
    <row r="940">
      <c r="I940" s="113"/>
      <c r="J940" s="113"/>
      <c r="L940" s="126"/>
    </row>
    <row r="941">
      <c r="I941" s="113"/>
      <c r="J941" s="113"/>
      <c r="L941" s="126"/>
    </row>
    <row r="942">
      <c r="I942" s="113"/>
      <c r="J942" s="113"/>
      <c r="L942" s="126"/>
    </row>
    <row r="943">
      <c r="I943" s="113"/>
      <c r="J943" s="113"/>
      <c r="L943" s="126"/>
    </row>
    <row r="944">
      <c r="I944" s="113"/>
      <c r="J944" s="113"/>
      <c r="L944" s="126"/>
    </row>
    <row r="945">
      <c r="I945" s="113"/>
      <c r="J945" s="113"/>
      <c r="L945" s="126"/>
    </row>
    <row r="946">
      <c r="I946" s="113"/>
      <c r="J946" s="113"/>
      <c r="L946" s="126"/>
    </row>
    <row r="947">
      <c r="I947" s="113"/>
      <c r="J947" s="113"/>
      <c r="L947" s="126"/>
    </row>
    <row r="948">
      <c r="I948" s="113"/>
      <c r="J948" s="113"/>
      <c r="L948" s="126"/>
    </row>
    <row r="949">
      <c r="I949" s="113"/>
      <c r="J949" s="113"/>
      <c r="L949" s="126"/>
    </row>
    <row r="950">
      <c r="I950" s="113"/>
      <c r="J950" s="113"/>
      <c r="L950" s="126"/>
    </row>
    <row r="951">
      <c r="I951" s="113"/>
      <c r="J951" s="113"/>
      <c r="L951" s="126"/>
    </row>
    <row r="952">
      <c r="I952" s="113"/>
      <c r="J952" s="113"/>
      <c r="L952" s="126"/>
    </row>
    <row r="953">
      <c r="I953" s="113"/>
      <c r="J953" s="113"/>
      <c r="L953" s="126"/>
    </row>
    <row r="954">
      <c r="I954" s="113"/>
      <c r="J954" s="113"/>
      <c r="L954" s="126"/>
    </row>
    <row r="955">
      <c r="I955" s="113"/>
      <c r="J955" s="113"/>
      <c r="L955" s="126"/>
    </row>
    <row r="956">
      <c r="I956" s="113"/>
      <c r="J956" s="113"/>
      <c r="L956" s="126"/>
    </row>
    <row r="957">
      <c r="I957" s="113"/>
      <c r="J957" s="113"/>
      <c r="L957" s="126"/>
    </row>
    <row r="958">
      <c r="I958" s="113"/>
      <c r="J958" s="113"/>
      <c r="L958" s="126"/>
    </row>
    <row r="959">
      <c r="I959" s="113"/>
      <c r="J959" s="113"/>
      <c r="L959" s="126"/>
    </row>
    <row r="960">
      <c r="I960" s="113"/>
      <c r="J960" s="113"/>
      <c r="L960" s="126"/>
    </row>
    <row r="961">
      <c r="I961" s="113"/>
      <c r="J961" s="113"/>
      <c r="L961" s="126"/>
    </row>
    <row r="962">
      <c r="I962" s="113"/>
      <c r="J962" s="113"/>
      <c r="L962" s="126"/>
    </row>
    <row r="963">
      <c r="I963" s="113"/>
      <c r="J963" s="113"/>
      <c r="L963" s="126"/>
    </row>
    <row r="964">
      <c r="I964" s="113"/>
      <c r="J964" s="113"/>
      <c r="L964" s="126"/>
    </row>
    <row r="965">
      <c r="I965" s="113"/>
      <c r="J965" s="113"/>
      <c r="L965" s="126"/>
    </row>
    <row r="966">
      <c r="I966" s="113"/>
      <c r="J966" s="113"/>
      <c r="L966" s="126"/>
    </row>
    <row r="967">
      <c r="I967" s="113"/>
      <c r="J967" s="113"/>
      <c r="L967" s="126"/>
    </row>
    <row r="968">
      <c r="I968" s="113"/>
      <c r="J968" s="113"/>
      <c r="L968" s="126"/>
    </row>
    <row r="969">
      <c r="I969" s="113"/>
      <c r="J969" s="113"/>
      <c r="L969" s="126"/>
    </row>
    <row r="970">
      <c r="I970" s="113"/>
      <c r="J970" s="113"/>
      <c r="L970" s="126"/>
    </row>
    <row r="971">
      <c r="I971" s="113"/>
      <c r="J971" s="113"/>
      <c r="L971" s="126"/>
    </row>
    <row r="972">
      <c r="I972" s="113"/>
      <c r="J972" s="113"/>
      <c r="L972" s="126"/>
    </row>
    <row r="973">
      <c r="I973" s="113"/>
      <c r="J973" s="113"/>
      <c r="L973" s="126"/>
    </row>
    <row r="974">
      <c r="I974" s="113"/>
      <c r="J974" s="113"/>
      <c r="L974" s="126"/>
    </row>
    <row r="975">
      <c r="I975" s="113"/>
      <c r="J975" s="113"/>
      <c r="L975" s="126"/>
    </row>
    <row r="976">
      <c r="I976" s="113"/>
      <c r="J976" s="113"/>
      <c r="L976" s="126"/>
    </row>
    <row r="977">
      <c r="I977" s="113"/>
      <c r="J977" s="113"/>
      <c r="L977" s="126"/>
    </row>
    <row r="978">
      <c r="I978" s="113"/>
      <c r="J978" s="113"/>
      <c r="L978" s="126"/>
    </row>
    <row r="979">
      <c r="I979" s="113"/>
      <c r="J979" s="113"/>
      <c r="L979" s="126"/>
    </row>
    <row r="980">
      <c r="I980" s="113"/>
      <c r="J980" s="113"/>
      <c r="L980" s="126"/>
    </row>
    <row r="981">
      <c r="I981" s="113"/>
      <c r="J981" s="113"/>
      <c r="L981" s="126"/>
    </row>
    <row r="982">
      <c r="I982" s="113"/>
      <c r="J982" s="113"/>
      <c r="L982" s="126"/>
    </row>
    <row r="983">
      <c r="I983" s="113"/>
      <c r="J983" s="113"/>
      <c r="L983" s="126"/>
    </row>
    <row r="984">
      <c r="I984" s="113"/>
      <c r="J984" s="113"/>
      <c r="L984" s="126"/>
    </row>
    <row r="985">
      <c r="I985" s="113"/>
      <c r="J985" s="113"/>
      <c r="L985" s="126"/>
    </row>
    <row r="986">
      <c r="I986" s="113"/>
      <c r="J986" s="113"/>
      <c r="L986" s="126"/>
    </row>
    <row r="987">
      <c r="I987" s="113"/>
      <c r="J987" s="113"/>
      <c r="L987" s="126"/>
    </row>
    <row r="988">
      <c r="I988" s="113"/>
      <c r="J988" s="113"/>
      <c r="L988" s="126"/>
    </row>
    <row r="989">
      <c r="I989" s="113"/>
      <c r="J989" s="113"/>
      <c r="L989" s="126"/>
    </row>
    <row r="990">
      <c r="I990" s="113"/>
      <c r="J990" s="113"/>
      <c r="L990" s="126"/>
    </row>
    <row r="991">
      <c r="I991" s="113"/>
      <c r="J991" s="113"/>
      <c r="L991" s="126"/>
    </row>
    <row r="992">
      <c r="I992" s="113"/>
      <c r="J992" s="113"/>
      <c r="L992" s="126"/>
    </row>
    <row r="993">
      <c r="I993" s="113"/>
      <c r="J993" s="113"/>
      <c r="L993" s="126"/>
    </row>
    <row r="994">
      <c r="I994" s="113"/>
      <c r="J994" s="113"/>
      <c r="L994" s="126"/>
    </row>
    <row r="995">
      <c r="I995" s="113"/>
      <c r="J995" s="113"/>
      <c r="L995" s="126"/>
    </row>
    <row r="996">
      <c r="I996" s="113"/>
      <c r="J996" s="113"/>
      <c r="L996" s="126"/>
    </row>
    <row r="997">
      <c r="I997" s="113"/>
      <c r="J997" s="113"/>
      <c r="L997" s="126"/>
    </row>
    <row r="998">
      <c r="I998" s="113"/>
      <c r="J998" s="113"/>
      <c r="L998" s="126"/>
    </row>
    <row r="999">
      <c r="I999" s="113"/>
      <c r="J999" s="113"/>
      <c r="L999" s="126"/>
    </row>
    <row r="1000">
      <c r="I1000" s="113"/>
      <c r="J1000" s="113"/>
      <c r="L1000" s="126"/>
    </row>
  </sheetData>
  <hyperlinks>
    <hyperlink r:id="rId1" ref="A2"/>
    <hyperlink r:id="rId2" ref="A3"/>
    <hyperlink r:id="rId3" ref="A4"/>
    <hyperlink r:id="rId4" ref="A5"/>
  </hyperlinks>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93" t="str">
        <f>IFERROR(__xludf.DUMMYFUNCTION("IFERROR(FILTER('General Moving Service'!A2:AAA1000, 'General Moving Service'!K2:K1000 = Calculator!B2), """")
"),"")</f>
        <v/>
      </c>
      <c r="J1" s="113"/>
      <c r="L1" s="126"/>
    </row>
    <row r="2">
      <c r="J2" s="113"/>
      <c r="L2" s="126"/>
    </row>
    <row r="3">
      <c r="J3" s="113"/>
      <c r="L3" s="126"/>
    </row>
    <row r="4">
      <c r="J4" s="113"/>
      <c r="L4" s="126"/>
    </row>
    <row r="5">
      <c r="J5" s="113"/>
      <c r="L5" s="126"/>
    </row>
    <row r="6">
      <c r="J6" s="113"/>
      <c r="L6" s="126"/>
    </row>
    <row r="7">
      <c r="J7" s="113"/>
      <c r="L7" s="126"/>
    </row>
    <row r="8">
      <c r="J8" s="113"/>
      <c r="L8" s="126"/>
    </row>
    <row r="9">
      <c r="J9" s="113"/>
      <c r="L9" s="126"/>
    </row>
    <row r="10">
      <c r="J10" s="113"/>
      <c r="L10" s="126"/>
    </row>
    <row r="11">
      <c r="J11" s="113"/>
      <c r="L11" s="126"/>
    </row>
    <row r="12">
      <c r="J12" s="113"/>
      <c r="L12" s="126"/>
    </row>
    <row r="13">
      <c r="J13" s="113"/>
      <c r="L13" s="126"/>
    </row>
    <row r="14">
      <c r="J14" s="113"/>
      <c r="L14" s="126"/>
    </row>
    <row r="15">
      <c r="J15" s="113"/>
      <c r="L15" s="126"/>
    </row>
    <row r="16">
      <c r="J16" s="113"/>
      <c r="L16" s="126"/>
    </row>
    <row r="17">
      <c r="J17" s="113"/>
      <c r="L17" s="126"/>
    </row>
    <row r="18">
      <c r="J18" s="113"/>
      <c r="L18" s="126"/>
    </row>
    <row r="19">
      <c r="J19" s="113"/>
      <c r="L19" s="126"/>
    </row>
    <row r="20">
      <c r="J20" s="113"/>
      <c r="L20" s="126"/>
    </row>
    <row r="21">
      <c r="J21" s="113"/>
      <c r="L21" s="126"/>
    </row>
    <row r="22">
      <c r="J22" s="113"/>
      <c r="L22" s="126"/>
    </row>
    <row r="23">
      <c r="J23" s="113"/>
      <c r="L23" s="126"/>
    </row>
    <row r="24">
      <c r="J24" s="113"/>
      <c r="L24" s="126"/>
    </row>
    <row r="25">
      <c r="J25" s="113"/>
      <c r="L25" s="126"/>
    </row>
    <row r="26">
      <c r="J26" s="113"/>
      <c r="L26" s="126"/>
    </row>
    <row r="27">
      <c r="J27" s="113"/>
      <c r="L27" s="126"/>
    </row>
    <row r="28">
      <c r="J28" s="113"/>
      <c r="L28" s="126"/>
    </row>
    <row r="29">
      <c r="J29" s="113"/>
      <c r="L29" s="126"/>
    </row>
    <row r="30">
      <c r="J30" s="113"/>
      <c r="L30" s="126"/>
    </row>
    <row r="31">
      <c r="J31" s="113"/>
      <c r="L31" s="126"/>
    </row>
    <row r="32">
      <c r="J32" s="113"/>
      <c r="L32" s="126"/>
    </row>
    <row r="33">
      <c r="J33" s="113"/>
      <c r="L33" s="126"/>
    </row>
    <row r="34">
      <c r="J34" s="113"/>
      <c r="L34" s="126"/>
    </row>
    <row r="35">
      <c r="J35" s="113"/>
      <c r="L35" s="126"/>
    </row>
    <row r="36">
      <c r="J36" s="113"/>
      <c r="L36" s="126"/>
    </row>
    <row r="37">
      <c r="J37" s="113"/>
      <c r="L37" s="126"/>
    </row>
    <row r="38">
      <c r="J38" s="113"/>
      <c r="L38" s="126"/>
    </row>
    <row r="39">
      <c r="J39" s="113"/>
      <c r="L39" s="126"/>
    </row>
    <row r="40">
      <c r="J40" s="113"/>
      <c r="L40" s="126"/>
    </row>
    <row r="41">
      <c r="J41" s="113"/>
      <c r="L41" s="126"/>
    </row>
    <row r="42">
      <c r="J42" s="113"/>
      <c r="L42" s="126"/>
    </row>
    <row r="43">
      <c r="J43" s="113"/>
      <c r="L43" s="126"/>
    </row>
    <row r="44">
      <c r="J44" s="113"/>
      <c r="L44" s="126"/>
    </row>
    <row r="45">
      <c r="J45" s="113"/>
      <c r="L45" s="126"/>
    </row>
    <row r="46">
      <c r="J46" s="113"/>
      <c r="L46" s="126"/>
    </row>
    <row r="47">
      <c r="J47" s="113"/>
      <c r="L47" s="126"/>
    </row>
    <row r="48">
      <c r="J48" s="113"/>
      <c r="L48" s="126"/>
    </row>
    <row r="49">
      <c r="J49" s="113"/>
      <c r="L49" s="126"/>
    </row>
    <row r="50">
      <c r="J50" s="113"/>
      <c r="L50" s="126"/>
    </row>
    <row r="51">
      <c r="J51" s="113"/>
      <c r="L51" s="126"/>
    </row>
    <row r="52">
      <c r="J52" s="113"/>
      <c r="L52" s="126"/>
    </row>
    <row r="53">
      <c r="J53" s="113"/>
      <c r="L53" s="126"/>
    </row>
    <row r="54">
      <c r="J54" s="113"/>
      <c r="L54" s="126"/>
    </row>
    <row r="55">
      <c r="J55" s="113"/>
      <c r="L55" s="126"/>
    </row>
    <row r="56">
      <c r="J56" s="113"/>
      <c r="L56" s="126"/>
    </row>
    <row r="57">
      <c r="J57" s="113"/>
      <c r="L57" s="126"/>
    </row>
    <row r="58">
      <c r="J58" s="113"/>
      <c r="L58" s="126"/>
    </row>
    <row r="59">
      <c r="J59" s="113"/>
      <c r="L59" s="126"/>
    </row>
    <row r="60">
      <c r="J60" s="113"/>
      <c r="L60" s="126"/>
    </row>
    <row r="61">
      <c r="J61" s="113"/>
      <c r="L61" s="126"/>
    </row>
    <row r="62">
      <c r="J62" s="113"/>
      <c r="L62" s="126"/>
    </row>
    <row r="63">
      <c r="J63" s="113"/>
      <c r="L63" s="126"/>
    </row>
    <row r="64">
      <c r="J64" s="113"/>
      <c r="L64" s="126"/>
    </row>
    <row r="65">
      <c r="J65" s="113"/>
      <c r="L65" s="126"/>
    </row>
    <row r="66">
      <c r="J66" s="113"/>
      <c r="L66" s="126"/>
    </row>
    <row r="67">
      <c r="J67" s="113"/>
      <c r="L67" s="126"/>
    </row>
    <row r="68">
      <c r="J68" s="113"/>
      <c r="L68" s="126"/>
    </row>
    <row r="69">
      <c r="J69" s="113"/>
      <c r="L69" s="126"/>
    </row>
    <row r="70">
      <c r="J70" s="113"/>
      <c r="L70" s="126"/>
    </row>
    <row r="71">
      <c r="J71" s="113"/>
      <c r="L71" s="126"/>
    </row>
    <row r="72">
      <c r="J72" s="113"/>
      <c r="L72" s="126"/>
    </row>
    <row r="73">
      <c r="J73" s="113"/>
      <c r="L73" s="126"/>
    </row>
    <row r="74">
      <c r="J74" s="113"/>
      <c r="L74" s="126"/>
    </row>
    <row r="75">
      <c r="J75" s="113"/>
      <c r="L75" s="126"/>
    </row>
    <row r="76">
      <c r="J76" s="113"/>
      <c r="L76" s="126"/>
    </row>
    <row r="77">
      <c r="J77" s="113"/>
      <c r="L77" s="126"/>
    </row>
    <row r="78">
      <c r="J78" s="113"/>
      <c r="L78" s="126"/>
    </row>
    <row r="79">
      <c r="J79" s="113"/>
      <c r="L79" s="126"/>
    </row>
    <row r="80">
      <c r="J80" s="113"/>
      <c r="L80" s="126"/>
    </row>
    <row r="81">
      <c r="J81" s="113"/>
      <c r="L81" s="126"/>
    </row>
    <row r="82">
      <c r="J82" s="113"/>
      <c r="L82" s="126"/>
    </row>
    <row r="83">
      <c r="J83" s="113"/>
      <c r="L83" s="126"/>
    </row>
    <row r="84">
      <c r="J84" s="113"/>
      <c r="L84" s="126"/>
    </row>
    <row r="85">
      <c r="J85" s="113"/>
      <c r="L85" s="126"/>
    </row>
    <row r="86">
      <c r="J86" s="113"/>
      <c r="L86" s="126"/>
    </row>
    <row r="87">
      <c r="J87" s="113"/>
      <c r="L87" s="126"/>
    </row>
    <row r="88">
      <c r="J88" s="113"/>
      <c r="L88" s="126"/>
    </row>
    <row r="89">
      <c r="J89" s="113"/>
      <c r="L89" s="126"/>
    </row>
    <row r="90">
      <c r="J90" s="113"/>
      <c r="L90" s="126"/>
    </row>
    <row r="91">
      <c r="J91" s="113"/>
      <c r="L91" s="126"/>
    </row>
    <row r="92">
      <c r="J92" s="113"/>
      <c r="L92" s="126"/>
    </row>
    <row r="93">
      <c r="J93" s="113"/>
      <c r="L93" s="126"/>
    </row>
    <row r="94">
      <c r="J94" s="113"/>
      <c r="L94" s="126"/>
    </row>
    <row r="95">
      <c r="J95" s="113"/>
      <c r="L95" s="126"/>
    </row>
    <row r="96">
      <c r="J96" s="113"/>
      <c r="L96" s="126"/>
    </row>
    <row r="97">
      <c r="J97" s="113"/>
      <c r="L97" s="126"/>
    </row>
    <row r="98">
      <c r="J98" s="113"/>
      <c r="L98" s="126"/>
    </row>
    <row r="99">
      <c r="J99" s="113"/>
      <c r="L99" s="126"/>
    </row>
    <row r="100">
      <c r="J100" s="113"/>
      <c r="L100" s="126"/>
    </row>
    <row r="101">
      <c r="J101" s="113"/>
      <c r="L101" s="126"/>
    </row>
    <row r="102">
      <c r="J102" s="113"/>
      <c r="L102" s="126"/>
    </row>
    <row r="103">
      <c r="J103" s="113"/>
      <c r="L103" s="126"/>
    </row>
    <row r="104">
      <c r="J104" s="113"/>
      <c r="L104" s="126"/>
    </row>
    <row r="105">
      <c r="J105" s="113"/>
      <c r="L105" s="126"/>
    </row>
    <row r="106">
      <c r="J106" s="113"/>
      <c r="L106" s="126"/>
    </row>
    <row r="107">
      <c r="J107" s="113"/>
      <c r="L107" s="126"/>
    </row>
    <row r="108">
      <c r="J108" s="113"/>
      <c r="L108" s="126"/>
    </row>
    <row r="109">
      <c r="J109" s="113"/>
      <c r="L109" s="126"/>
    </row>
    <row r="110">
      <c r="J110" s="113"/>
      <c r="L110" s="126"/>
    </row>
    <row r="111">
      <c r="J111" s="113"/>
      <c r="L111" s="126"/>
    </row>
    <row r="112">
      <c r="J112" s="113"/>
      <c r="L112" s="126"/>
    </row>
    <row r="113">
      <c r="J113" s="113"/>
      <c r="L113" s="126"/>
    </row>
    <row r="114">
      <c r="J114" s="113"/>
      <c r="L114" s="126"/>
    </row>
    <row r="115">
      <c r="J115" s="113"/>
      <c r="L115" s="126"/>
    </row>
    <row r="116">
      <c r="J116" s="113"/>
      <c r="L116" s="126"/>
    </row>
    <row r="117">
      <c r="J117" s="113"/>
      <c r="L117" s="126"/>
    </row>
    <row r="118">
      <c r="J118" s="113"/>
      <c r="L118" s="126"/>
    </row>
    <row r="119">
      <c r="J119" s="113"/>
      <c r="L119" s="126"/>
    </row>
    <row r="120">
      <c r="J120" s="113"/>
      <c r="L120" s="126"/>
    </row>
    <row r="121">
      <c r="J121" s="113"/>
      <c r="L121" s="126"/>
    </row>
    <row r="122">
      <c r="J122" s="113"/>
      <c r="L122" s="126"/>
    </row>
    <row r="123">
      <c r="J123" s="113"/>
      <c r="L123" s="126"/>
    </row>
    <row r="124">
      <c r="J124" s="113"/>
      <c r="L124" s="126"/>
    </row>
    <row r="125">
      <c r="J125" s="113"/>
      <c r="L125" s="126"/>
    </row>
    <row r="126">
      <c r="J126" s="113"/>
      <c r="L126" s="126"/>
    </row>
    <row r="127">
      <c r="J127" s="113"/>
      <c r="L127" s="126"/>
    </row>
    <row r="128">
      <c r="J128" s="113"/>
      <c r="L128" s="126"/>
    </row>
    <row r="129">
      <c r="J129" s="113"/>
      <c r="L129" s="126"/>
    </row>
    <row r="130">
      <c r="J130" s="113"/>
      <c r="L130" s="126"/>
    </row>
    <row r="131">
      <c r="J131" s="113"/>
      <c r="L131" s="126"/>
    </row>
    <row r="132">
      <c r="J132" s="113"/>
      <c r="L132" s="126"/>
    </row>
    <row r="133">
      <c r="J133" s="113"/>
      <c r="L133" s="126"/>
    </row>
    <row r="134">
      <c r="J134" s="113"/>
      <c r="L134" s="126"/>
    </row>
    <row r="135">
      <c r="J135" s="113"/>
      <c r="L135" s="126"/>
    </row>
    <row r="136">
      <c r="J136" s="113"/>
      <c r="L136" s="126"/>
    </row>
    <row r="137">
      <c r="J137" s="113"/>
      <c r="L137" s="126"/>
    </row>
    <row r="138">
      <c r="J138" s="113"/>
      <c r="L138" s="126"/>
    </row>
    <row r="139">
      <c r="J139" s="113"/>
      <c r="L139" s="126"/>
    </row>
    <row r="140">
      <c r="J140" s="113"/>
      <c r="L140" s="126"/>
    </row>
    <row r="141">
      <c r="J141" s="113"/>
      <c r="L141" s="126"/>
    </row>
    <row r="142">
      <c r="J142" s="113"/>
      <c r="L142" s="126"/>
    </row>
    <row r="143">
      <c r="J143" s="113"/>
      <c r="L143" s="126"/>
    </row>
    <row r="144">
      <c r="J144" s="113"/>
      <c r="L144" s="126"/>
    </row>
    <row r="145">
      <c r="J145" s="113"/>
      <c r="L145" s="126"/>
    </row>
    <row r="146">
      <c r="J146" s="113"/>
      <c r="L146" s="126"/>
    </row>
    <row r="147">
      <c r="J147" s="113"/>
      <c r="L147" s="126"/>
    </row>
    <row r="148">
      <c r="J148" s="113"/>
      <c r="L148" s="126"/>
    </row>
    <row r="149">
      <c r="J149" s="113"/>
      <c r="L149" s="126"/>
    </row>
    <row r="150">
      <c r="J150" s="113"/>
      <c r="L150" s="126"/>
    </row>
    <row r="151">
      <c r="J151" s="113"/>
      <c r="L151" s="126"/>
    </row>
    <row r="152">
      <c r="J152" s="113"/>
      <c r="L152" s="126"/>
    </row>
    <row r="153">
      <c r="J153" s="113"/>
      <c r="L153" s="126"/>
    </row>
    <row r="154">
      <c r="J154" s="113"/>
      <c r="L154" s="126"/>
    </row>
    <row r="155">
      <c r="J155" s="113"/>
      <c r="L155" s="126"/>
    </row>
    <row r="156">
      <c r="J156" s="113"/>
      <c r="L156" s="126"/>
    </row>
    <row r="157">
      <c r="J157" s="113"/>
      <c r="L157" s="126"/>
    </row>
    <row r="158">
      <c r="J158" s="113"/>
      <c r="L158" s="126"/>
    </row>
    <row r="159">
      <c r="J159" s="113"/>
      <c r="L159" s="126"/>
    </row>
    <row r="160">
      <c r="J160" s="113"/>
      <c r="L160" s="126"/>
    </row>
    <row r="161">
      <c r="J161" s="113"/>
      <c r="L161" s="126"/>
    </row>
    <row r="162">
      <c r="J162" s="113"/>
      <c r="L162" s="126"/>
    </row>
    <row r="163">
      <c r="J163" s="113"/>
      <c r="L163" s="126"/>
    </row>
    <row r="164">
      <c r="J164" s="113"/>
      <c r="L164" s="126"/>
    </row>
    <row r="165">
      <c r="J165" s="113"/>
      <c r="L165" s="126"/>
    </row>
    <row r="166">
      <c r="J166" s="113"/>
      <c r="L166" s="126"/>
    </row>
    <row r="167">
      <c r="J167" s="113"/>
      <c r="L167" s="126"/>
    </row>
    <row r="168">
      <c r="J168" s="113"/>
      <c r="L168" s="126"/>
    </row>
    <row r="169">
      <c r="J169" s="113"/>
      <c r="L169" s="126"/>
    </row>
    <row r="170">
      <c r="J170" s="113"/>
      <c r="L170" s="126"/>
    </row>
    <row r="171">
      <c r="J171" s="113"/>
      <c r="L171" s="126"/>
    </row>
    <row r="172">
      <c r="J172" s="113"/>
      <c r="L172" s="126"/>
    </row>
    <row r="173">
      <c r="J173" s="113"/>
      <c r="L173" s="126"/>
    </row>
    <row r="174">
      <c r="J174" s="113"/>
      <c r="L174" s="126"/>
    </row>
    <row r="175">
      <c r="J175" s="113"/>
      <c r="L175" s="126"/>
    </row>
    <row r="176">
      <c r="J176" s="113"/>
      <c r="L176" s="126"/>
    </row>
    <row r="177">
      <c r="J177" s="113"/>
      <c r="L177" s="126"/>
    </row>
    <row r="178">
      <c r="J178" s="113"/>
      <c r="L178" s="126"/>
    </row>
    <row r="179">
      <c r="J179" s="113"/>
      <c r="L179" s="126"/>
    </row>
    <row r="180">
      <c r="J180" s="113"/>
      <c r="L180" s="126"/>
    </row>
    <row r="181">
      <c r="J181" s="113"/>
      <c r="L181" s="126"/>
    </row>
    <row r="182">
      <c r="J182" s="113"/>
      <c r="L182" s="126"/>
    </row>
    <row r="183">
      <c r="J183" s="113"/>
      <c r="L183" s="126"/>
    </row>
    <row r="184">
      <c r="J184" s="113"/>
      <c r="L184" s="126"/>
    </row>
    <row r="185">
      <c r="J185" s="113"/>
      <c r="L185" s="126"/>
    </row>
    <row r="186">
      <c r="J186" s="113"/>
      <c r="L186" s="126"/>
    </row>
    <row r="187">
      <c r="J187" s="113"/>
      <c r="L187" s="126"/>
    </row>
    <row r="188">
      <c r="J188" s="113"/>
      <c r="L188" s="126"/>
    </row>
    <row r="189">
      <c r="J189" s="113"/>
      <c r="L189" s="126"/>
    </row>
    <row r="190">
      <c r="J190" s="113"/>
      <c r="L190" s="126"/>
    </row>
    <row r="191">
      <c r="J191" s="113"/>
      <c r="L191" s="126"/>
    </row>
    <row r="192">
      <c r="J192" s="113"/>
      <c r="L192" s="126"/>
    </row>
    <row r="193">
      <c r="J193" s="113"/>
      <c r="L193" s="126"/>
    </row>
    <row r="194">
      <c r="J194" s="113"/>
      <c r="L194" s="126"/>
    </row>
    <row r="195">
      <c r="J195" s="113"/>
      <c r="L195" s="126"/>
    </row>
    <row r="196">
      <c r="J196" s="113"/>
      <c r="L196" s="126"/>
    </row>
    <row r="197">
      <c r="J197" s="113"/>
      <c r="L197" s="126"/>
    </row>
    <row r="198">
      <c r="J198" s="113"/>
      <c r="L198" s="126"/>
    </row>
    <row r="199">
      <c r="J199" s="113"/>
      <c r="L199" s="126"/>
    </row>
    <row r="200">
      <c r="J200" s="113"/>
      <c r="L200" s="126"/>
    </row>
    <row r="201">
      <c r="J201" s="113"/>
      <c r="L201" s="126"/>
    </row>
    <row r="202">
      <c r="J202" s="113"/>
      <c r="L202" s="126"/>
    </row>
    <row r="203">
      <c r="J203" s="113"/>
      <c r="L203" s="126"/>
    </row>
    <row r="204">
      <c r="J204" s="113"/>
      <c r="L204" s="126"/>
    </row>
    <row r="205">
      <c r="J205" s="113"/>
      <c r="L205" s="126"/>
    </row>
    <row r="206">
      <c r="J206" s="113"/>
      <c r="L206" s="126"/>
    </row>
    <row r="207">
      <c r="J207" s="113"/>
      <c r="L207" s="126"/>
    </row>
    <row r="208">
      <c r="J208" s="113"/>
      <c r="L208" s="126"/>
    </row>
    <row r="209">
      <c r="J209" s="113"/>
      <c r="L209" s="126"/>
    </row>
    <row r="210">
      <c r="J210" s="113"/>
      <c r="L210" s="126"/>
    </row>
    <row r="211">
      <c r="J211" s="113"/>
      <c r="L211" s="126"/>
    </row>
    <row r="212">
      <c r="J212" s="113"/>
      <c r="L212" s="126"/>
    </row>
    <row r="213">
      <c r="J213" s="113"/>
      <c r="L213" s="126"/>
    </row>
    <row r="214">
      <c r="J214" s="113"/>
      <c r="L214" s="126"/>
    </row>
    <row r="215">
      <c r="J215" s="113"/>
      <c r="L215" s="126"/>
    </row>
    <row r="216">
      <c r="J216" s="113"/>
      <c r="L216" s="126"/>
    </row>
    <row r="217">
      <c r="J217" s="113"/>
      <c r="L217" s="126"/>
    </row>
    <row r="218">
      <c r="J218" s="113"/>
      <c r="L218" s="126"/>
    </row>
    <row r="219">
      <c r="J219" s="113"/>
      <c r="L219" s="126"/>
    </row>
    <row r="220">
      <c r="J220" s="113"/>
      <c r="L220" s="126"/>
    </row>
    <row r="221">
      <c r="J221" s="113"/>
      <c r="L221" s="126"/>
    </row>
    <row r="222">
      <c r="J222" s="113"/>
      <c r="L222" s="126"/>
    </row>
    <row r="223">
      <c r="J223" s="113"/>
      <c r="L223" s="126"/>
    </row>
    <row r="224">
      <c r="J224" s="113"/>
      <c r="L224" s="126"/>
    </row>
    <row r="225">
      <c r="J225" s="113"/>
      <c r="L225" s="126"/>
    </row>
    <row r="226">
      <c r="J226" s="113"/>
      <c r="L226" s="126"/>
    </row>
    <row r="227">
      <c r="J227" s="113"/>
      <c r="L227" s="126"/>
    </row>
    <row r="228">
      <c r="J228" s="113"/>
      <c r="L228" s="126"/>
    </row>
    <row r="229">
      <c r="J229" s="113"/>
      <c r="L229" s="126"/>
    </row>
    <row r="230">
      <c r="J230" s="113"/>
      <c r="L230" s="126"/>
    </row>
    <row r="231">
      <c r="J231" s="113"/>
      <c r="L231" s="126"/>
    </row>
    <row r="232">
      <c r="J232" s="113"/>
      <c r="L232" s="126"/>
    </row>
    <row r="233">
      <c r="J233" s="113"/>
      <c r="L233" s="126"/>
    </row>
    <row r="234">
      <c r="J234" s="113"/>
      <c r="L234" s="126"/>
    </row>
    <row r="235">
      <c r="J235" s="113"/>
      <c r="L235" s="126"/>
    </row>
    <row r="236">
      <c r="J236" s="113"/>
      <c r="L236" s="126"/>
    </row>
    <row r="237">
      <c r="J237" s="113"/>
      <c r="L237" s="126"/>
    </row>
    <row r="238">
      <c r="J238" s="113"/>
      <c r="L238" s="126"/>
    </row>
    <row r="239">
      <c r="J239" s="113"/>
      <c r="L239" s="126"/>
    </row>
    <row r="240">
      <c r="J240" s="113"/>
      <c r="L240" s="126"/>
    </row>
    <row r="241">
      <c r="J241" s="113"/>
      <c r="L241" s="126"/>
    </row>
    <row r="242">
      <c r="J242" s="113"/>
      <c r="L242" s="126"/>
    </row>
    <row r="243">
      <c r="J243" s="113"/>
      <c r="L243" s="126"/>
    </row>
    <row r="244">
      <c r="J244" s="113"/>
      <c r="L244" s="126"/>
    </row>
    <row r="245">
      <c r="J245" s="113"/>
      <c r="L245" s="126"/>
    </row>
    <row r="246">
      <c r="J246" s="113"/>
      <c r="L246" s="126"/>
    </row>
    <row r="247">
      <c r="J247" s="113"/>
      <c r="L247" s="126"/>
    </row>
    <row r="248">
      <c r="J248" s="113"/>
      <c r="L248" s="126"/>
    </row>
    <row r="249">
      <c r="J249" s="113"/>
      <c r="L249" s="126"/>
    </row>
    <row r="250">
      <c r="J250" s="113"/>
      <c r="L250" s="126"/>
    </row>
    <row r="251">
      <c r="J251" s="113"/>
      <c r="L251" s="126"/>
    </row>
    <row r="252">
      <c r="J252" s="113"/>
      <c r="L252" s="126"/>
    </row>
    <row r="253">
      <c r="J253" s="113"/>
      <c r="L253" s="126"/>
    </row>
    <row r="254">
      <c r="J254" s="113"/>
      <c r="L254" s="126"/>
    </row>
    <row r="255">
      <c r="J255" s="113"/>
      <c r="L255" s="126"/>
    </row>
    <row r="256">
      <c r="J256" s="113"/>
      <c r="L256" s="126"/>
    </row>
    <row r="257">
      <c r="J257" s="113"/>
      <c r="L257" s="126"/>
    </row>
    <row r="258">
      <c r="J258" s="113"/>
      <c r="L258" s="126"/>
    </row>
    <row r="259">
      <c r="J259" s="113"/>
      <c r="L259" s="126"/>
    </row>
    <row r="260">
      <c r="J260" s="113"/>
      <c r="L260" s="126"/>
    </row>
    <row r="261">
      <c r="J261" s="113"/>
      <c r="L261" s="126"/>
    </row>
    <row r="262">
      <c r="J262" s="113"/>
      <c r="L262" s="126"/>
    </row>
    <row r="263">
      <c r="J263" s="113"/>
      <c r="L263" s="126"/>
    </row>
    <row r="264">
      <c r="J264" s="113"/>
      <c r="L264" s="126"/>
    </row>
    <row r="265">
      <c r="J265" s="113"/>
      <c r="L265" s="126"/>
    </row>
    <row r="266">
      <c r="J266" s="113"/>
      <c r="L266" s="126"/>
    </row>
    <row r="267">
      <c r="J267" s="113"/>
      <c r="L267" s="126"/>
    </row>
    <row r="268">
      <c r="J268" s="113"/>
      <c r="L268" s="126"/>
    </row>
    <row r="269">
      <c r="J269" s="113"/>
      <c r="L269" s="126"/>
    </row>
    <row r="270">
      <c r="J270" s="113"/>
      <c r="L270" s="126"/>
    </row>
    <row r="271">
      <c r="J271" s="113"/>
      <c r="L271" s="126"/>
    </row>
    <row r="272">
      <c r="J272" s="113"/>
      <c r="L272" s="126"/>
    </row>
    <row r="273">
      <c r="J273" s="113"/>
      <c r="L273" s="126"/>
    </row>
    <row r="274">
      <c r="J274" s="113"/>
      <c r="L274" s="126"/>
    </row>
    <row r="275">
      <c r="J275" s="113"/>
      <c r="L275" s="126"/>
    </row>
    <row r="276">
      <c r="J276" s="113"/>
      <c r="L276" s="126"/>
    </row>
    <row r="277">
      <c r="J277" s="113"/>
      <c r="L277" s="126"/>
    </row>
    <row r="278">
      <c r="J278" s="113"/>
      <c r="L278" s="126"/>
    </row>
    <row r="279">
      <c r="J279" s="113"/>
      <c r="L279" s="126"/>
    </row>
    <row r="280">
      <c r="J280" s="113"/>
      <c r="L280" s="126"/>
    </row>
    <row r="281">
      <c r="J281" s="113"/>
      <c r="L281" s="126"/>
    </row>
    <row r="282">
      <c r="J282" s="113"/>
      <c r="L282" s="126"/>
    </row>
    <row r="283">
      <c r="J283" s="113"/>
      <c r="L283" s="126"/>
    </row>
    <row r="284">
      <c r="J284" s="113"/>
      <c r="L284" s="126"/>
    </row>
    <row r="285">
      <c r="J285" s="113"/>
      <c r="L285" s="126"/>
    </row>
    <row r="286">
      <c r="J286" s="113"/>
      <c r="L286" s="126"/>
    </row>
    <row r="287">
      <c r="J287" s="113"/>
      <c r="L287" s="126"/>
    </row>
    <row r="288">
      <c r="J288" s="113"/>
      <c r="L288" s="126"/>
    </row>
    <row r="289">
      <c r="J289" s="113"/>
      <c r="L289" s="126"/>
    </row>
    <row r="290">
      <c r="J290" s="113"/>
      <c r="L290" s="126"/>
    </row>
    <row r="291">
      <c r="J291" s="113"/>
      <c r="L291" s="126"/>
    </row>
    <row r="292">
      <c r="J292" s="113"/>
      <c r="L292" s="126"/>
    </row>
    <row r="293">
      <c r="J293" s="113"/>
      <c r="L293" s="126"/>
    </row>
    <row r="294">
      <c r="J294" s="113"/>
      <c r="L294" s="126"/>
    </row>
    <row r="295">
      <c r="J295" s="113"/>
      <c r="L295" s="126"/>
    </row>
    <row r="296">
      <c r="J296" s="113"/>
      <c r="L296" s="126"/>
    </row>
    <row r="297">
      <c r="J297" s="113"/>
      <c r="L297" s="126"/>
    </row>
    <row r="298">
      <c r="J298" s="113"/>
      <c r="L298" s="126"/>
    </row>
    <row r="299">
      <c r="J299" s="113"/>
      <c r="L299" s="126"/>
    </row>
    <row r="300">
      <c r="J300" s="113"/>
      <c r="L300" s="126"/>
    </row>
    <row r="301">
      <c r="J301" s="113"/>
      <c r="L301" s="126"/>
    </row>
    <row r="302">
      <c r="J302" s="113"/>
      <c r="L302" s="126"/>
    </row>
    <row r="303">
      <c r="J303" s="113"/>
      <c r="L303" s="126"/>
    </row>
    <row r="304">
      <c r="J304" s="113"/>
      <c r="L304" s="126"/>
    </row>
    <row r="305">
      <c r="J305" s="113"/>
      <c r="L305" s="126"/>
    </row>
    <row r="306">
      <c r="J306" s="113"/>
      <c r="L306" s="126"/>
    </row>
    <row r="307">
      <c r="J307" s="113"/>
      <c r="L307" s="126"/>
    </row>
    <row r="308">
      <c r="J308" s="113"/>
      <c r="L308" s="126"/>
    </row>
    <row r="309">
      <c r="J309" s="113"/>
      <c r="L309" s="126"/>
    </row>
    <row r="310">
      <c r="J310" s="113"/>
      <c r="L310" s="126"/>
    </row>
    <row r="311">
      <c r="J311" s="113"/>
      <c r="L311" s="126"/>
    </row>
    <row r="312">
      <c r="J312" s="113"/>
      <c r="L312" s="126"/>
    </row>
    <row r="313">
      <c r="J313" s="113"/>
      <c r="L313" s="126"/>
    </row>
    <row r="314">
      <c r="J314" s="113"/>
      <c r="L314" s="126"/>
    </row>
    <row r="315">
      <c r="J315" s="113"/>
      <c r="L315" s="126"/>
    </row>
    <row r="316">
      <c r="J316" s="113"/>
      <c r="L316" s="126"/>
    </row>
    <row r="317">
      <c r="J317" s="113"/>
      <c r="L317" s="126"/>
    </row>
    <row r="318">
      <c r="J318" s="113"/>
      <c r="L318" s="126"/>
    </row>
    <row r="319">
      <c r="J319" s="113"/>
      <c r="L319" s="126"/>
    </row>
    <row r="320">
      <c r="J320" s="113"/>
      <c r="L320" s="126"/>
    </row>
    <row r="321">
      <c r="J321" s="113"/>
      <c r="L321" s="126"/>
    </row>
    <row r="322">
      <c r="J322" s="113"/>
      <c r="L322" s="126"/>
    </row>
    <row r="323">
      <c r="J323" s="113"/>
      <c r="L323" s="126"/>
    </row>
    <row r="324">
      <c r="J324" s="113"/>
      <c r="L324" s="126"/>
    </row>
    <row r="325">
      <c r="J325" s="113"/>
      <c r="L325" s="126"/>
    </row>
    <row r="326">
      <c r="J326" s="113"/>
      <c r="L326" s="126"/>
    </row>
    <row r="327">
      <c r="J327" s="113"/>
      <c r="L327" s="126"/>
    </row>
    <row r="328">
      <c r="J328" s="113"/>
      <c r="L328" s="126"/>
    </row>
    <row r="329">
      <c r="J329" s="113"/>
      <c r="L329" s="126"/>
    </row>
    <row r="330">
      <c r="J330" s="113"/>
      <c r="L330" s="126"/>
    </row>
    <row r="331">
      <c r="J331" s="113"/>
      <c r="L331" s="126"/>
    </row>
    <row r="332">
      <c r="J332" s="113"/>
      <c r="L332" s="126"/>
    </row>
    <row r="333">
      <c r="J333" s="113"/>
      <c r="L333" s="126"/>
    </row>
    <row r="334">
      <c r="J334" s="113"/>
      <c r="L334" s="126"/>
    </row>
    <row r="335">
      <c r="J335" s="113"/>
      <c r="L335" s="126"/>
    </row>
    <row r="336">
      <c r="J336" s="113"/>
      <c r="L336" s="126"/>
    </row>
    <row r="337">
      <c r="J337" s="113"/>
      <c r="L337" s="126"/>
    </row>
    <row r="338">
      <c r="J338" s="113"/>
      <c r="L338" s="126"/>
    </row>
    <row r="339">
      <c r="J339" s="113"/>
      <c r="L339" s="126"/>
    </row>
    <row r="340">
      <c r="J340" s="113"/>
      <c r="L340" s="126"/>
    </row>
    <row r="341">
      <c r="J341" s="113"/>
      <c r="L341" s="126"/>
    </row>
    <row r="342">
      <c r="J342" s="113"/>
      <c r="L342" s="126"/>
    </row>
    <row r="343">
      <c r="J343" s="113"/>
      <c r="L343" s="126"/>
    </row>
    <row r="344">
      <c r="J344" s="113"/>
      <c r="L344" s="126"/>
    </row>
    <row r="345">
      <c r="J345" s="113"/>
      <c r="L345" s="126"/>
    </row>
    <row r="346">
      <c r="J346" s="113"/>
      <c r="L346" s="126"/>
    </row>
    <row r="347">
      <c r="J347" s="113"/>
      <c r="L347" s="126"/>
    </row>
    <row r="348">
      <c r="J348" s="113"/>
      <c r="L348" s="126"/>
    </row>
    <row r="349">
      <c r="J349" s="113"/>
      <c r="L349" s="126"/>
    </row>
    <row r="350">
      <c r="J350" s="113"/>
      <c r="L350" s="126"/>
    </row>
    <row r="351">
      <c r="J351" s="113"/>
      <c r="L351" s="126"/>
    </row>
    <row r="352">
      <c r="J352" s="113"/>
      <c r="L352" s="126"/>
    </row>
    <row r="353">
      <c r="J353" s="113"/>
      <c r="L353" s="126"/>
    </row>
    <row r="354">
      <c r="J354" s="113"/>
      <c r="L354" s="126"/>
    </row>
    <row r="355">
      <c r="J355" s="113"/>
      <c r="L355" s="126"/>
    </row>
    <row r="356">
      <c r="J356" s="113"/>
      <c r="L356" s="126"/>
    </row>
    <row r="357">
      <c r="J357" s="113"/>
      <c r="L357" s="126"/>
    </row>
    <row r="358">
      <c r="J358" s="113"/>
      <c r="L358" s="126"/>
    </row>
    <row r="359">
      <c r="J359" s="113"/>
      <c r="L359" s="126"/>
    </row>
    <row r="360">
      <c r="J360" s="113"/>
      <c r="L360" s="126"/>
    </row>
    <row r="361">
      <c r="J361" s="113"/>
      <c r="L361" s="126"/>
    </row>
    <row r="362">
      <c r="J362" s="113"/>
      <c r="L362" s="126"/>
    </row>
    <row r="363">
      <c r="J363" s="113"/>
      <c r="L363" s="126"/>
    </row>
    <row r="364">
      <c r="J364" s="113"/>
      <c r="L364" s="126"/>
    </row>
    <row r="365">
      <c r="J365" s="113"/>
      <c r="L365" s="126"/>
    </row>
    <row r="366">
      <c r="J366" s="113"/>
      <c r="L366" s="126"/>
    </row>
    <row r="367">
      <c r="J367" s="113"/>
      <c r="L367" s="126"/>
    </row>
    <row r="368">
      <c r="J368" s="113"/>
      <c r="L368" s="126"/>
    </row>
    <row r="369">
      <c r="J369" s="113"/>
      <c r="L369" s="126"/>
    </row>
    <row r="370">
      <c r="J370" s="113"/>
      <c r="L370" s="126"/>
    </row>
    <row r="371">
      <c r="J371" s="113"/>
      <c r="L371" s="126"/>
    </row>
    <row r="372">
      <c r="J372" s="113"/>
      <c r="L372" s="126"/>
    </row>
    <row r="373">
      <c r="J373" s="113"/>
      <c r="L373" s="126"/>
    </row>
    <row r="374">
      <c r="J374" s="113"/>
      <c r="L374" s="126"/>
    </row>
    <row r="375">
      <c r="J375" s="113"/>
      <c r="L375" s="126"/>
    </row>
    <row r="376">
      <c r="J376" s="113"/>
      <c r="L376" s="126"/>
    </row>
    <row r="377">
      <c r="J377" s="113"/>
      <c r="L377" s="126"/>
    </row>
    <row r="378">
      <c r="J378" s="113"/>
      <c r="L378" s="126"/>
    </row>
    <row r="379">
      <c r="J379" s="113"/>
      <c r="L379" s="126"/>
    </row>
    <row r="380">
      <c r="J380" s="113"/>
      <c r="L380" s="126"/>
    </row>
    <row r="381">
      <c r="J381" s="113"/>
      <c r="L381" s="126"/>
    </row>
    <row r="382">
      <c r="J382" s="113"/>
      <c r="L382" s="126"/>
    </row>
    <row r="383">
      <c r="J383" s="113"/>
      <c r="L383" s="126"/>
    </row>
    <row r="384">
      <c r="J384" s="113"/>
      <c r="L384" s="126"/>
    </row>
    <row r="385">
      <c r="J385" s="113"/>
      <c r="L385" s="126"/>
    </row>
    <row r="386">
      <c r="J386" s="113"/>
      <c r="L386" s="126"/>
    </row>
    <row r="387">
      <c r="J387" s="113"/>
      <c r="L387" s="126"/>
    </row>
    <row r="388">
      <c r="J388" s="113"/>
      <c r="L388" s="126"/>
    </row>
    <row r="389">
      <c r="J389" s="113"/>
      <c r="L389" s="126"/>
    </row>
    <row r="390">
      <c r="J390" s="113"/>
      <c r="L390" s="126"/>
    </row>
    <row r="391">
      <c r="J391" s="113"/>
      <c r="L391" s="126"/>
    </row>
    <row r="392">
      <c r="J392" s="113"/>
      <c r="L392" s="126"/>
    </row>
    <row r="393">
      <c r="J393" s="113"/>
      <c r="L393" s="126"/>
    </row>
    <row r="394">
      <c r="J394" s="113"/>
      <c r="L394" s="126"/>
    </row>
    <row r="395">
      <c r="J395" s="113"/>
      <c r="L395" s="126"/>
    </row>
    <row r="396">
      <c r="J396" s="113"/>
      <c r="L396" s="126"/>
    </row>
    <row r="397">
      <c r="J397" s="113"/>
      <c r="L397" s="126"/>
    </row>
    <row r="398">
      <c r="J398" s="113"/>
      <c r="L398" s="126"/>
    </row>
    <row r="399">
      <c r="J399" s="113"/>
      <c r="L399" s="126"/>
    </row>
    <row r="400">
      <c r="J400" s="113"/>
      <c r="L400" s="126"/>
    </row>
    <row r="401">
      <c r="J401" s="113"/>
      <c r="L401" s="126"/>
    </row>
    <row r="402">
      <c r="J402" s="113"/>
      <c r="L402" s="126"/>
    </row>
    <row r="403">
      <c r="J403" s="113"/>
      <c r="L403" s="126"/>
    </row>
    <row r="404">
      <c r="J404" s="113"/>
      <c r="L404" s="126"/>
    </row>
    <row r="405">
      <c r="J405" s="113"/>
      <c r="L405" s="126"/>
    </row>
    <row r="406">
      <c r="J406" s="113"/>
      <c r="L406" s="126"/>
    </row>
    <row r="407">
      <c r="J407" s="113"/>
      <c r="L407" s="126"/>
    </row>
    <row r="408">
      <c r="J408" s="113"/>
      <c r="L408" s="126"/>
    </row>
    <row r="409">
      <c r="J409" s="113"/>
      <c r="L409" s="126"/>
    </row>
    <row r="410">
      <c r="J410" s="113"/>
      <c r="L410" s="126"/>
    </row>
    <row r="411">
      <c r="J411" s="113"/>
      <c r="L411" s="126"/>
    </row>
    <row r="412">
      <c r="J412" s="113"/>
      <c r="L412" s="126"/>
    </row>
    <row r="413">
      <c r="J413" s="113"/>
      <c r="L413" s="126"/>
    </row>
    <row r="414">
      <c r="J414" s="113"/>
      <c r="L414" s="126"/>
    </row>
    <row r="415">
      <c r="J415" s="113"/>
      <c r="L415" s="126"/>
    </row>
    <row r="416">
      <c r="J416" s="113"/>
      <c r="L416" s="126"/>
    </row>
    <row r="417">
      <c r="J417" s="113"/>
      <c r="L417" s="126"/>
    </row>
    <row r="418">
      <c r="J418" s="113"/>
      <c r="L418" s="126"/>
    </row>
    <row r="419">
      <c r="J419" s="113"/>
      <c r="L419" s="126"/>
    </row>
    <row r="420">
      <c r="J420" s="113"/>
      <c r="L420" s="126"/>
    </row>
    <row r="421">
      <c r="J421" s="113"/>
      <c r="L421" s="126"/>
    </row>
    <row r="422">
      <c r="J422" s="113"/>
      <c r="L422" s="126"/>
    </row>
    <row r="423">
      <c r="J423" s="113"/>
      <c r="L423" s="126"/>
    </row>
    <row r="424">
      <c r="J424" s="113"/>
      <c r="L424" s="126"/>
    </row>
    <row r="425">
      <c r="J425" s="113"/>
      <c r="L425" s="126"/>
    </row>
    <row r="426">
      <c r="J426" s="113"/>
      <c r="L426" s="126"/>
    </row>
    <row r="427">
      <c r="J427" s="113"/>
      <c r="L427" s="126"/>
    </row>
    <row r="428">
      <c r="J428" s="113"/>
      <c r="L428" s="126"/>
    </row>
    <row r="429">
      <c r="J429" s="113"/>
      <c r="L429" s="126"/>
    </row>
    <row r="430">
      <c r="J430" s="113"/>
      <c r="L430" s="126"/>
    </row>
    <row r="431">
      <c r="J431" s="113"/>
      <c r="L431" s="126"/>
    </row>
    <row r="432">
      <c r="J432" s="113"/>
      <c r="L432" s="126"/>
    </row>
    <row r="433">
      <c r="J433" s="113"/>
      <c r="L433" s="126"/>
    </row>
    <row r="434">
      <c r="J434" s="113"/>
      <c r="L434" s="126"/>
    </row>
    <row r="435">
      <c r="J435" s="113"/>
      <c r="L435" s="126"/>
    </row>
    <row r="436">
      <c r="J436" s="113"/>
      <c r="L436" s="126"/>
    </row>
    <row r="437">
      <c r="J437" s="113"/>
      <c r="L437" s="126"/>
    </row>
    <row r="438">
      <c r="J438" s="113"/>
      <c r="L438" s="126"/>
    </row>
    <row r="439">
      <c r="J439" s="113"/>
      <c r="L439" s="126"/>
    </row>
    <row r="440">
      <c r="J440" s="113"/>
      <c r="L440" s="126"/>
    </row>
    <row r="441">
      <c r="J441" s="113"/>
      <c r="L441" s="126"/>
    </row>
    <row r="442">
      <c r="J442" s="113"/>
      <c r="L442" s="126"/>
    </row>
    <row r="443">
      <c r="J443" s="113"/>
      <c r="L443" s="126"/>
    </row>
    <row r="444">
      <c r="J444" s="113"/>
      <c r="L444" s="126"/>
    </row>
    <row r="445">
      <c r="J445" s="113"/>
      <c r="L445" s="126"/>
    </row>
    <row r="446">
      <c r="J446" s="113"/>
      <c r="L446" s="126"/>
    </row>
    <row r="447">
      <c r="J447" s="113"/>
      <c r="L447" s="126"/>
    </row>
    <row r="448">
      <c r="J448" s="113"/>
      <c r="L448" s="126"/>
    </row>
    <row r="449">
      <c r="J449" s="113"/>
      <c r="L449" s="126"/>
    </row>
    <row r="450">
      <c r="J450" s="113"/>
      <c r="L450" s="126"/>
    </row>
    <row r="451">
      <c r="J451" s="113"/>
      <c r="L451" s="126"/>
    </row>
    <row r="452">
      <c r="J452" s="113"/>
      <c r="L452" s="126"/>
    </row>
    <row r="453">
      <c r="J453" s="113"/>
      <c r="L453" s="126"/>
    </row>
    <row r="454">
      <c r="J454" s="113"/>
      <c r="L454" s="126"/>
    </row>
    <row r="455">
      <c r="J455" s="113"/>
      <c r="L455" s="126"/>
    </row>
    <row r="456">
      <c r="J456" s="113"/>
      <c r="L456" s="126"/>
    </row>
    <row r="457">
      <c r="J457" s="113"/>
      <c r="L457" s="126"/>
    </row>
    <row r="458">
      <c r="J458" s="113"/>
      <c r="L458" s="126"/>
    </row>
    <row r="459">
      <c r="J459" s="113"/>
      <c r="L459" s="126"/>
    </row>
    <row r="460">
      <c r="J460" s="113"/>
      <c r="L460" s="126"/>
    </row>
    <row r="461">
      <c r="J461" s="113"/>
      <c r="L461" s="126"/>
    </row>
    <row r="462">
      <c r="J462" s="113"/>
      <c r="L462" s="126"/>
    </row>
    <row r="463">
      <c r="J463" s="113"/>
      <c r="L463" s="126"/>
    </row>
    <row r="464">
      <c r="J464" s="113"/>
      <c r="L464" s="126"/>
    </row>
    <row r="465">
      <c r="J465" s="113"/>
      <c r="L465" s="126"/>
    </row>
    <row r="466">
      <c r="J466" s="113"/>
      <c r="L466" s="126"/>
    </row>
    <row r="467">
      <c r="J467" s="113"/>
      <c r="L467" s="126"/>
    </row>
    <row r="468">
      <c r="J468" s="113"/>
      <c r="L468" s="126"/>
    </row>
    <row r="469">
      <c r="J469" s="113"/>
      <c r="L469" s="126"/>
    </row>
    <row r="470">
      <c r="J470" s="113"/>
      <c r="L470" s="126"/>
    </row>
    <row r="471">
      <c r="J471" s="113"/>
      <c r="L471" s="126"/>
    </row>
    <row r="472">
      <c r="J472" s="113"/>
      <c r="L472" s="126"/>
    </row>
    <row r="473">
      <c r="J473" s="113"/>
      <c r="L473" s="126"/>
    </row>
    <row r="474">
      <c r="J474" s="113"/>
      <c r="L474" s="126"/>
    </row>
    <row r="475">
      <c r="J475" s="113"/>
      <c r="L475" s="126"/>
    </row>
    <row r="476">
      <c r="J476" s="113"/>
      <c r="L476" s="126"/>
    </row>
    <row r="477">
      <c r="J477" s="113"/>
      <c r="L477" s="126"/>
    </row>
    <row r="478">
      <c r="J478" s="113"/>
      <c r="L478" s="126"/>
    </row>
    <row r="479">
      <c r="J479" s="113"/>
      <c r="L479" s="126"/>
    </row>
    <row r="480">
      <c r="J480" s="113"/>
      <c r="L480" s="126"/>
    </row>
    <row r="481">
      <c r="J481" s="113"/>
      <c r="L481" s="126"/>
    </row>
    <row r="482">
      <c r="J482" s="113"/>
      <c r="L482" s="126"/>
    </row>
    <row r="483">
      <c r="J483" s="113"/>
      <c r="L483" s="126"/>
    </row>
    <row r="484">
      <c r="J484" s="113"/>
      <c r="L484" s="126"/>
    </row>
    <row r="485">
      <c r="J485" s="113"/>
      <c r="L485" s="126"/>
    </row>
    <row r="486">
      <c r="J486" s="113"/>
      <c r="L486" s="126"/>
    </row>
    <row r="487">
      <c r="J487" s="113"/>
      <c r="L487" s="126"/>
    </row>
    <row r="488">
      <c r="J488" s="113"/>
      <c r="L488" s="126"/>
    </row>
    <row r="489">
      <c r="J489" s="113"/>
      <c r="L489" s="126"/>
    </row>
    <row r="490">
      <c r="J490" s="113"/>
      <c r="L490" s="126"/>
    </row>
    <row r="491">
      <c r="J491" s="113"/>
      <c r="L491" s="126"/>
    </row>
    <row r="492">
      <c r="J492" s="113"/>
      <c r="L492" s="126"/>
    </row>
    <row r="493">
      <c r="J493" s="113"/>
      <c r="L493" s="126"/>
    </row>
    <row r="494">
      <c r="J494" s="113"/>
      <c r="L494" s="126"/>
    </row>
    <row r="495">
      <c r="J495" s="113"/>
      <c r="L495" s="126"/>
    </row>
    <row r="496">
      <c r="J496" s="113"/>
      <c r="L496" s="126"/>
    </row>
    <row r="497">
      <c r="J497" s="113"/>
      <c r="L497" s="126"/>
    </row>
    <row r="498">
      <c r="J498" s="113"/>
      <c r="L498" s="126"/>
    </row>
    <row r="499">
      <c r="J499" s="113"/>
      <c r="L499" s="126"/>
    </row>
    <row r="500">
      <c r="J500" s="113"/>
      <c r="L500" s="126"/>
    </row>
    <row r="501">
      <c r="J501" s="113"/>
      <c r="L501" s="126"/>
    </row>
    <row r="502">
      <c r="J502" s="113"/>
      <c r="L502" s="126"/>
    </row>
    <row r="503">
      <c r="J503" s="113"/>
      <c r="L503" s="126"/>
    </row>
    <row r="504">
      <c r="J504" s="113"/>
      <c r="L504" s="126"/>
    </row>
    <row r="505">
      <c r="J505" s="113"/>
      <c r="L505" s="126"/>
    </row>
    <row r="506">
      <c r="J506" s="113"/>
      <c r="L506" s="126"/>
    </row>
    <row r="507">
      <c r="J507" s="113"/>
      <c r="L507" s="126"/>
    </row>
    <row r="508">
      <c r="J508" s="113"/>
      <c r="L508" s="126"/>
    </row>
    <row r="509">
      <c r="J509" s="113"/>
      <c r="L509" s="126"/>
    </row>
    <row r="510">
      <c r="J510" s="113"/>
      <c r="L510" s="126"/>
    </row>
    <row r="511">
      <c r="J511" s="113"/>
      <c r="L511" s="126"/>
    </row>
    <row r="512">
      <c r="J512" s="113"/>
      <c r="L512" s="126"/>
    </row>
    <row r="513">
      <c r="J513" s="113"/>
      <c r="L513" s="126"/>
    </row>
    <row r="514">
      <c r="J514" s="113"/>
      <c r="L514" s="126"/>
    </row>
    <row r="515">
      <c r="J515" s="113"/>
      <c r="L515" s="126"/>
    </row>
    <row r="516">
      <c r="J516" s="113"/>
      <c r="L516" s="126"/>
    </row>
    <row r="517">
      <c r="J517" s="113"/>
      <c r="L517" s="126"/>
    </row>
    <row r="518">
      <c r="J518" s="113"/>
      <c r="L518" s="126"/>
    </row>
    <row r="519">
      <c r="J519" s="113"/>
      <c r="L519" s="126"/>
    </row>
    <row r="520">
      <c r="J520" s="113"/>
      <c r="L520" s="126"/>
    </row>
    <row r="521">
      <c r="J521" s="113"/>
      <c r="L521" s="126"/>
    </row>
    <row r="522">
      <c r="J522" s="113"/>
      <c r="L522" s="126"/>
    </row>
    <row r="523">
      <c r="J523" s="113"/>
      <c r="L523" s="126"/>
    </row>
    <row r="524">
      <c r="J524" s="113"/>
      <c r="L524" s="126"/>
    </row>
    <row r="525">
      <c r="J525" s="113"/>
      <c r="L525" s="126"/>
    </row>
    <row r="526">
      <c r="J526" s="113"/>
      <c r="L526" s="126"/>
    </row>
    <row r="527">
      <c r="J527" s="113"/>
      <c r="L527" s="126"/>
    </row>
    <row r="528">
      <c r="J528" s="113"/>
      <c r="L528" s="126"/>
    </row>
    <row r="529">
      <c r="J529" s="113"/>
      <c r="L529" s="126"/>
    </row>
    <row r="530">
      <c r="J530" s="113"/>
      <c r="L530" s="126"/>
    </row>
    <row r="531">
      <c r="J531" s="113"/>
      <c r="L531" s="126"/>
    </row>
    <row r="532">
      <c r="J532" s="113"/>
      <c r="L532" s="126"/>
    </row>
    <row r="533">
      <c r="J533" s="113"/>
      <c r="L533" s="126"/>
    </row>
    <row r="534">
      <c r="J534" s="113"/>
      <c r="L534" s="126"/>
    </row>
    <row r="535">
      <c r="J535" s="113"/>
      <c r="L535" s="126"/>
    </row>
    <row r="536">
      <c r="J536" s="113"/>
      <c r="L536" s="126"/>
    </row>
    <row r="537">
      <c r="J537" s="113"/>
      <c r="L537" s="126"/>
    </row>
    <row r="538">
      <c r="J538" s="113"/>
      <c r="L538" s="126"/>
    </row>
    <row r="539">
      <c r="J539" s="113"/>
      <c r="L539" s="126"/>
    </row>
    <row r="540">
      <c r="J540" s="113"/>
      <c r="L540" s="126"/>
    </row>
    <row r="541">
      <c r="J541" s="113"/>
      <c r="L541" s="126"/>
    </row>
    <row r="542">
      <c r="J542" s="113"/>
      <c r="L542" s="126"/>
    </row>
    <row r="543">
      <c r="J543" s="113"/>
      <c r="L543" s="126"/>
    </row>
    <row r="544">
      <c r="J544" s="113"/>
      <c r="L544" s="126"/>
    </row>
    <row r="545">
      <c r="J545" s="113"/>
      <c r="L545" s="126"/>
    </row>
    <row r="546">
      <c r="J546" s="113"/>
      <c r="L546" s="126"/>
    </row>
    <row r="547">
      <c r="J547" s="113"/>
      <c r="L547" s="126"/>
    </row>
    <row r="548">
      <c r="J548" s="113"/>
      <c r="L548" s="126"/>
    </row>
    <row r="549">
      <c r="J549" s="113"/>
      <c r="L549" s="126"/>
    </row>
    <row r="550">
      <c r="J550" s="113"/>
      <c r="L550" s="126"/>
    </row>
    <row r="551">
      <c r="J551" s="113"/>
      <c r="L551" s="126"/>
    </row>
    <row r="552">
      <c r="J552" s="113"/>
      <c r="L552" s="126"/>
    </row>
    <row r="553">
      <c r="J553" s="113"/>
      <c r="L553" s="126"/>
    </row>
    <row r="554">
      <c r="J554" s="113"/>
      <c r="L554" s="126"/>
    </row>
    <row r="555">
      <c r="J555" s="113"/>
      <c r="L555" s="126"/>
    </row>
    <row r="556">
      <c r="J556" s="113"/>
      <c r="L556" s="126"/>
    </row>
    <row r="557">
      <c r="J557" s="113"/>
      <c r="L557" s="126"/>
    </row>
    <row r="558">
      <c r="J558" s="113"/>
      <c r="L558" s="126"/>
    </row>
    <row r="559">
      <c r="J559" s="113"/>
      <c r="L559" s="126"/>
    </row>
    <row r="560">
      <c r="J560" s="113"/>
      <c r="L560" s="126"/>
    </row>
    <row r="561">
      <c r="J561" s="113"/>
      <c r="L561" s="126"/>
    </row>
    <row r="562">
      <c r="J562" s="113"/>
      <c r="L562" s="126"/>
    </row>
    <row r="563">
      <c r="J563" s="113"/>
      <c r="L563" s="126"/>
    </row>
    <row r="564">
      <c r="J564" s="113"/>
      <c r="L564" s="126"/>
    </row>
    <row r="565">
      <c r="J565" s="113"/>
      <c r="L565" s="126"/>
    </row>
    <row r="566">
      <c r="J566" s="113"/>
      <c r="L566" s="126"/>
    </row>
    <row r="567">
      <c r="J567" s="113"/>
      <c r="L567" s="126"/>
    </row>
    <row r="568">
      <c r="J568" s="113"/>
      <c r="L568" s="126"/>
    </row>
    <row r="569">
      <c r="J569" s="113"/>
      <c r="L569" s="126"/>
    </row>
    <row r="570">
      <c r="J570" s="113"/>
      <c r="L570" s="126"/>
    </row>
    <row r="571">
      <c r="J571" s="113"/>
      <c r="L571" s="126"/>
    </row>
    <row r="572">
      <c r="J572" s="113"/>
      <c r="L572" s="126"/>
    </row>
    <row r="573">
      <c r="J573" s="113"/>
      <c r="L573" s="126"/>
    </row>
    <row r="574">
      <c r="J574" s="113"/>
      <c r="L574" s="126"/>
    </row>
    <row r="575">
      <c r="J575" s="113"/>
      <c r="L575" s="126"/>
    </row>
    <row r="576">
      <c r="J576" s="113"/>
      <c r="L576" s="126"/>
    </row>
    <row r="577">
      <c r="J577" s="113"/>
      <c r="L577" s="126"/>
    </row>
    <row r="578">
      <c r="J578" s="113"/>
      <c r="L578" s="126"/>
    </row>
    <row r="579">
      <c r="J579" s="113"/>
      <c r="L579" s="126"/>
    </row>
    <row r="580">
      <c r="J580" s="113"/>
      <c r="L580" s="126"/>
    </row>
    <row r="581">
      <c r="J581" s="113"/>
      <c r="L581" s="126"/>
    </row>
    <row r="582">
      <c r="J582" s="113"/>
      <c r="L582" s="126"/>
    </row>
    <row r="583">
      <c r="J583" s="113"/>
      <c r="L583" s="126"/>
    </row>
    <row r="584">
      <c r="J584" s="113"/>
      <c r="L584" s="126"/>
    </row>
    <row r="585">
      <c r="J585" s="113"/>
      <c r="L585" s="126"/>
    </row>
    <row r="586">
      <c r="J586" s="113"/>
      <c r="L586" s="126"/>
    </row>
    <row r="587">
      <c r="J587" s="113"/>
      <c r="L587" s="126"/>
    </row>
    <row r="588">
      <c r="J588" s="113"/>
      <c r="L588" s="126"/>
    </row>
    <row r="589">
      <c r="J589" s="113"/>
      <c r="L589" s="126"/>
    </row>
    <row r="590">
      <c r="J590" s="113"/>
      <c r="L590" s="126"/>
    </row>
    <row r="591">
      <c r="J591" s="113"/>
      <c r="L591" s="126"/>
    </row>
    <row r="592">
      <c r="J592" s="113"/>
      <c r="L592" s="126"/>
    </row>
    <row r="593">
      <c r="J593" s="113"/>
      <c r="L593" s="126"/>
    </row>
    <row r="594">
      <c r="J594" s="113"/>
      <c r="L594" s="126"/>
    </row>
    <row r="595">
      <c r="J595" s="113"/>
      <c r="L595" s="126"/>
    </row>
    <row r="596">
      <c r="J596" s="113"/>
      <c r="L596" s="126"/>
    </row>
    <row r="597">
      <c r="J597" s="113"/>
      <c r="L597" s="126"/>
    </row>
    <row r="598">
      <c r="J598" s="113"/>
      <c r="L598" s="126"/>
    </row>
    <row r="599">
      <c r="J599" s="113"/>
      <c r="L599" s="126"/>
    </row>
    <row r="600">
      <c r="J600" s="113"/>
      <c r="L600" s="126"/>
    </row>
    <row r="601">
      <c r="J601" s="113"/>
      <c r="L601" s="126"/>
    </row>
    <row r="602">
      <c r="J602" s="113"/>
      <c r="L602" s="126"/>
    </row>
    <row r="603">
      <c r="J603" s="113"/>
      <c r="L603" s="126"/>
    </row>
    <row r="604">
      <c r="J604" s="113"/>
      <c r="L604" s="126"/>
    </row>
    <row r="605">
      <c r="J605" s="113"/>
      <c r="L605" s="126"/>
    </row>
    <row r="606">
      <c r="J606" s="113"/>
      <c r="L606" s="126"/>
    </row>
    <row r="607">
      <c r="J607" s="113"/>
      <c r="L607" s="126"/>
    </row>
    <row r="608">
      <c r="J608" s="113"/>
      <c r="L608" s="126"/>
    </row>
    <row r="609">
      <c r="J609" s="113"/>
      <c r="L609" s="126"/>
    </row>
    <row r="610">
      <c r="J610" s="113"/>
      <c r="L610" s="126"/>
    </row>
    <row r="611">
      <c r="J611" s="113"/>
      <c r="L611" s="126"/>
    </row>
    <row r="612">
      <c r="J612" s="113"/>
      <c r="L612" s="126"/>
    </row>
    <row r="613">
      <c r="J613" s="113"/>
      <c r="L613" s="126"/>
    </row>
    <row r="614">
      <c r="J614" s="113"/>
      <c r="L614" s="126"/>
    </row>
    <row r="615">
      <c r="J615" s="113"/>
      <c r="L615" s="126"/>
    </row>
    <row r="616">
      <c r="J616" s="113"/>
      <c r="L616" s="126"/>
    </row>
    <row r="617">
      <c r="J617" s="113"/>
      <c r="L617" s="126"/>
    </row>
    <row r="618">
      <c r="J618" s="113"/>
      <c r="L618" s="126"/>
    </row>
    <row r="619">
      <c r="J619" s="113"/>
      <c r="L619" s="126"/>
    </row>
    <row r="620">
      <c r="J620" s="113"/>
      <c r="L620" s="126"/>
    </row>
    <row r="621">
      <c r="J621" s="113"/>
      <c r="L621" s="126"/>
    </row>
    <row r="622">
      <c r="J622" s="113"/>
      <c r="L622" s="126"/>
    </row>
    <row r="623">
      <c r="J623" s="113"/>
      <c r="L623" s="126"/>
    </row>
    <row r="624">
      <c r="J624" s="113"/>
      <c r="L624" s="126"/>
    </row>
    <row r="625">
      <c r="J625" s="113"/>
      <c r="L625" s="126"/>
    </row>
    <row r="626">
      <c r="J626" s="113"/>
      <c r="L626" s="126"/>
    </row>
    <row r="627">
      <c r="J627" s="113"/>
      <c r="L627" s="126"/>
    </row>
    <row r="628">
      <c r="J628" s="113"/>
      <c r="L628" s="126"/>
    </row>
    <row r="629">
      <c r="J629" s="113"/>
      <c r="L629" s="126"/>
    </row>
    <row r="630">
      <c r="J630" s="113"/>
      <c r="L630" s="126"/>
    </row>
    <row r="631">
      <c r="J631" s="113"/>
      <c r="L631" s="126"/>
    </row>
    <row r="632">
      <c r="J632" s="113"/>
      <c r="L632" s="126"/>
    </row>
    <row r="633">
      <c r="J633" s="113"/>
      <c r="L633" s="126"/>
    </row>
    <row r="634">
      <c r="J634" s="113"/>
      <c r="L634" s="126"/>
    </row>
    <row r="635">
      <c r="J635" s="113"/>
      <c r="L635" s="126"/>
    </row>
    <row r="636">
      <c r="J636" s="113"/>
      <c r="L636" s="126"/>
    </row>
    <row r="637">
      <c r="J637" s="113"/>
      <c r="L637" s="126"/>
    </row>
    <row r="638">
      <c r="J638" s="113"/>
      <c r="L638" s="126"/>
    </row>
    <row r="639">
      <c r="J639" s="113"/>
      <c r="L639" s="126"/>
    </row>
    <row r="640">
      <c r="J640" s="113"/>
      <c r="L640" s="126"/>
    </row>
    <row r="641">
      <c r="J641" s="113"/>
      <c r="L641" s="126"/>
    </row>
    <row r="642">
      <c r="J642" s="113"/>
      <c r="L642" s="126"/>
    </row>
    <row r="643">
      <c r="J643" s="113"/>
      <c r="L643" s="126"/>
    </row>
    <row r="644">
      <c r="J644" s="113"/>
      <c r="L644" s="126"/>
    </row>
    <row r="645">
      <c r="J645" s="113"/>
      <c r="L645" s="126"/>
    </row>
    <row r="646">
      <c r="J646" s="113"/>
      <c r="L646" s="126"/>
    </row>
    <row r="647">
      <c r="J647" s="113"/>
      <c r="L647" s="126"/>
    </row>
    <row r="648">
      <c r="J648" s="113"/>
      <c r="L648" s="126"/>
    </row>
    <row r="649">
      <c r="J649" s="113"/>
      <c r="L649" s="126"/>
    </row>
    <row r="650">
      <c r="J650" s="113"/>
      <c r="L650" s="126"/>
    </row>
    <row r="651">
      <c r="J651" s="113"/>
      <c r="L651" s="126"/>
    </row>
    <row r="652">
      <c r="J652" s="113"/>
      <c r="L652" s="126"/>
    </row>
    <row r="653">
      <c r="J653" s="113"/>
      <c r="L653" s="126"/>
    </row>
    <row r="654">
      <c r="J654" s="113"/>
      <c r="L654" s="126"/>
    </row>
    <row r="655">
      <c r="J655" s="113"/>
      <c r="L655" s="126"/>
    </row>
    <row r="656">
      <c r="J656" s="113"/>
      <c r="L656" s="126"/>
    </row>
    <row r="657">
      <c r="J657" s="113"/>
      <c r="L657" s="126"/>
    </row>
    <row r="658">
      <c r="J658" s="113"/>
      <c r="L658" s="126"/>
    </row>
    <row r="659">
      <c r="J659" s="113"/>
      <c r="L659" s="126"/>
    </row>
    <row r="660">
      <c r="J660" s="113"/>
      <c r="L660" s="126"/>
    </row>
    <row r="661">
      <c r="J661" s="113"/>
      <c r="L661" s="126"/>
    </row>
    <row r="662">
      <c r="J662" s="113"/>
      <c r="L662" s="126"/>
    </row>
    <row r="663">
      <c r="J663" s="113"/>
      <c r="L663" s="126"/>
    </row>
    <row r="664">
      <c r="J664" s="113"/>
      <c r="L664" s="126"/>
    </row>
    <row r="665">
      <c r="J665" s="113"/>
      <c r="L665" s="126"/>
    </row>
    <row r="666">
      <c r="J666" s="113"/>
      <c r="L666" s="126"/>
    </row>
    <row r="667">
      <c r="J667" s="113"/>
      <c r="L667" s="126"/>
    </row>
    <row r="668">
      <c r="J668" s="113"/>
      <c r="L668" s="126"/>
    </row>
    <row r="669">
      <c r="J669" s="113"/>
      <c r="L669" s="126"/>
    </row>
    <row r="670">
      <c r="J670" s="113"/>
      <c r="L670" s="126"/>
    </row>
    <row r="671">
      <c r="J671" s="113"/>
      <c r="L671" s="126"/>
    </row>
    <row r="672">
      <c r="J672" s="113"/>
      <c r="L672" s="126"/>
    </row>
    <row r="673">
      <c r="J673" s="113"/>
      <c r="L673" s="126"/>
    </row>
    <row r="674">
      <c r="J674" s="113"/>
      <c r="L674" s="126"/>
    </row>
    <row r="675">
      <c r="J675" s="113"/>
      <c r="L675" s="126"/>
    </row>
    <row r="676">
      <c r="J676" s="113"/>
      <c r="L676" s="126"/>
    </row>
    <row r="677">
      <c r="J677" s="113"/>
      <c r="L677" s="126"/>
    </row>
    <row r="678">
      <c r="J678" s="113"/>
      <c r="L678" s="126"/>
    </row>
    <row r="679">
      <c r="J679" s="113"/>
      <c r="L679" s="126"/>
    </row>
    <row r="680">
      <c r="J680" s="113"/>
      <c r="L680" s="126"/>
    </row>
    <row r="681">
      <c r="J681" s="113"/>
      <c r="L681" s="126"/>
    </row>
    <row r="682">
      <c r="J682" s="113"/>
      <c r="L682" s="126"/>
    </row>
    <row r="683">
      <c r="J683" s="113"/>
      <c r="L683" s="126"/>
    </row>
    <row r="684">
      <c r="J684" s="113"/>
      <c r="L684" s="126"/>
    </row>
    <row r="685">
      <c r="J685" s="113"/>
      <c r="L685" s="126"/>
    </row>
    <row r="686">
      <c r="J686" s="113"/>
      <c r="L686" s="126"/>
    </row>
    <row r="687">
      <c r="J687" s="113"/>
      <c r="L687" s="126"/>
    </row>
    <row r="688">
      <c r="J688" s="113"/>
      <c r="L688" s="126"/>
    </row>
    <row r="689">
      <c r="J689" s="113"/>
      <c r="L689" s="126"/>
    </row>
    <row r="690">
      <c r="J690" s="113"/>
      <c r="L690" s="126"/>
    </row>
    <row r="691">
      <c r="J691" s="113"/>
      <c r="L691" s="126"/>
    </row>
    <row r="692">
      <c r="J692" s="113"/>
      <c r="L692" s="126"/>
    </row>
    <row r="693">
      <c r="J693" s="113"/>
      <c r="L693" s="126"/>
    </row>
    <row r="694">
      <c r="J694" s="113"/>
      <c r="L694" s="126"/>
    </row>
    <row r="695">
      <c r="J695" s="113"/>
      <c r="L695" s="126"/>
    </row>
    <row r="696">
      <c r="J696" s="113"/>
      <c r="L696" s="126"/>
    </row>
    <row r="697">
      <c r="J697" s="113"/>
      <c r="L697" s="126"/>
    </row>
    <row r="698">
      <c r="J698" s="113"/>
      <c r="L698" s="126"/>
    </row>
    <row r="699">
      <c r="J699" s="113"/>
      <c r="L699" s="126"/>
    </row>
    <row r="700">
      <c r="J700" s="113"/>
      <c r="L700" s="126"/>
    </row>
    <row r="701">
      <c r="J701" s="113"/>
      <c r="L701" s="126"/>
    </row>
    <row r="702">
      <c r="J702" s="113"/>
      <c r="L702" s="126"/>
    </row>
    <row r="703">
      <c r="J703" s="113"/>
      <c r="L703" s="126"/>
    </row>
    <row r="704">
      <c r="J704" s="113"/>
      <c r="L704" s="126"/>
    </row>
    <row r="705">
      <c r="J705" s="113"/>
      <c r="L705" s="126"/>
    </row>
    <row r="706">
      <c r="J706" s="113"/>
      <c r="L706" s="126"/>
    </row>
    <row r="707">
      <c r="J707" s="113"/>
      <c r="L707" s="126"/>
    </row>
    <row r="708">
      <c r="J708" s="113"/>
      <c r="L708" s="126"/>
    </row>
    <row r="709">
      <c r="J709" s="113"/>
      <c r="L709" s="126"/>
    </row>
    <row r="710">
      <c r="J710" s="113"/>
      <c r="L710" s="126"/>
    </row>
    <row r="711">
      <c r="J711" s="113"/>
      <c r="L711" s="126"/>
    </row>
    <row r="712">
      <c r="J712" s="113"/>
      <c r="L712" s="126"/>
    </row>
    <row r="713">
      <c r="J713" s="113"/>
      <c r="L713" s="126"/>
    </row>
    <row r="714">
      <c r="J714" s="113"/>
      <c r="L714" s="126"/>
    </row>
    <row r="715">
      <c r="J715" s="113"/>
      <c r="L715" s="126"/>
    </row>
    <row r="716">
      <c r="J716" s="113"/>
      <c r="L716" s="126"/>
    </row>
    <row r="717">
      <c r="J717" s="113"/>
      <c r="L717" s="126"/>
    </row>
    <row r="718">
      <c r="J718" s="113"/>
      <c r="L718" s="126"/>
    </row>
    <row r="719">
      <c r="J719" s="113"/>
      <c r="L719" s="126"/>
    </row>
    <row r="720">
      <c r="J720" s="113"/>
      <c r="L720" s="126"/>
    </row>
    <row r="721">
      <c r="J721" s="113"/>
      <c r="L721" s="126"/>
    </row>
    <row r="722">
      <c r="J722" s="113"/>
      <c r="L722" s="126"/>
    </row>
    <row r="723">
      <c r="J723" s="113"/>
      <c r="L723" s="126"/>
    </row>
    <row r="724">
      <c r="J724" s="113"/>
      <c r="L724" s="126"/>
    </row>
    <row r="725">
      <c r="J725" s="113"/>
      <c r="L725" s="126"/>
    </row>
    <row r="726">
      <c r="J726" s="113"/>
      <c r="L726" s="126"/>
    </row>
    <row r="727">
      <c r="J727" s="113"/>
      <c r="L727" s="126"/>
    </row>
    <row r="728">
      <c r="J728" s="113"/>
      <c r="L728" s="126"/>
    </row>
    <row r="729">
      <c r="J729" s="113"/>
      <c r="L729" s="126"/>
    </row>
    <row r="730">
      <c r="J730" s="113"/>
      <c r="L730" s="126"/>
    </row>
    <row r="731">
      <c r="J731" s="113"/>
      <c r="L731" s="126"/>
    </row>
    <row r="732">
      <c r="J732" s="113"/>
      <c r="L732" s="126"/>
    </row>
    <row r="733">
      <c r="J733" s="113"/>
      <c r="L733" s="126"/>
    </row>
    <row r="734">
      <c r="J734" s="113"/>
      <c r="L734" s="126"/>
    </row>
    <row r="735">
      <c r="J735" s="113"/>
      <c r="L735" s="126"/>
    </row>
    <row r="736">
      <c r="J736" s="113"/>
      <c r="L736" s="126"/>
    </row>
    <row r="737">
      <c r="J737" s="113"/>
      <c r="L737" s="126"/>
    </row>
    <row r="738">
      <c r="J738" s="113"/>
      <c r="L738" s="126"/>
    </row>
    <row r="739">
      <c r="J739" s="113"/>
      <c r="L739" s="126"/>
    </row>
    <row r="740">
      <c r="J740" s="113"/>
      <c r="L740" s="126"/>
    </row>
    <row r="741">
      <c r="J741" s="113"/>
      <c r="L741" s="126"/>
    </row>
    <row r="742">
      <c r="J742" s="113"/>
      <c r="L742" s="126"/>
    </row>
    <row r="743">
      <c r="J743" s="113"/>
      <c r="L743" s="126"/>
    </row>
    <row r="744">
      <c r="J744" s="113"/>
      <c r="L744" s="126"/>
    </row>
    <row r="745">
      <c r="J745" s="113"/>
      <c r="L745" s="126"/>
    </row>
    <row r="746">
      <c r="J746" s="113"/>
      <c r="L746" s="126"/>
    </row>
    <row r="747">
      <c r="J747" s="113"/>
      <c r="L747" s="126"/>
    </row>
    <row r="748">
      <c r="J748" s="113"/>
      <c r="L748" s="126"/>
    </row>
    <row r="749">
      <c r="J749" s="113"/>
      <c r="L749" s="126"/>
    </row>
    <row r="750">
      <c r="J750" s="113"/>
      <c r="L750" s="126"/>
    </row>
    <row r="751">
      <c r="J751" s="113"/>
      <c r="L751" s="126"/>
    </row>
    <row r="752">
      <c r="J752" s="113"/>
      <c r="L752" s="126"/>
    </row>
    <row r="753">
      <c r="J753" s="113"/>
      <c r="L753" s="126"/>
    </row>
    <row r="754">
      <c r="J754" s="113"/>
      <c r="L754" s="126"/>
    </row>
    <row r="755">
      <c r="J755" s="113"/>
      <c r="L755" s="126"/>
    </row>
    <row r="756">
      <c r="J756" s="113"/>
      <c r="L756" s="126"/>
    </row>
    <row r="757">
      <c r="J757" s="113"/>
      <c r="L757" s="126"/>
    </row>
    <row r="758">
      <c r="J758" s="113"/>
      <c r="L758" s="126"/>
    </row>
    <row r="759">
      <c r="J759" s="113"/>
      <c r="L759" s="126"/>
    </row>
    <row r="760">
      <c r="J760" s="113"/>
      <c r="L760" s="126"/>
    </row>
    <row r="761">
      <c r="J761" s="113"/>
      <c r="L761" s="126"/>
    </row>
    <row r="762">
      <c r="J762" s="113"/>
      <c r="L762" s="126"/>
    </row>
    <row r="763">
      <c r="J763" s="113"/>
      <c r="L763" s="126"/>
    </row>
    <row r="764">
      <c r="J764" s="113"/>
      <c r="L764" s="126"/>
    </row>
    <row r="765">
      <c r="J765" s="113"/>
      <c r="L765" s="126"/>
    </row>
    <row r="766">
      <c r="J766" s="113"/>
      <c r="L766" s="126"/>
    </row>
    <row r="767">
      <c r="J767" s="113"/>
      <c r="L767" s="126"/>
    </row>
    <row r="768">
      <c r="J768" s="113"/>
      <c r="L768" s="126"/>
    </row>
    <row r="769">
      <c r="J769" s="113"/>
      <c r="L769" s="126"/>
    </row>
    <row r="770">
      <c r="J770" s="113"/>
      <c r="L770" s="126"/>
    </row>
    <row r="771">
      <c r="J771" s="113"/>
      <c r="L771" s="126"/>
    </row>
    <row r="772">
      <c r="J772" s="113"/>
      <c r="L772" s="126"/>
    </row>
    <row r="773">
      <c r="J773" s="113"/>
      <c r="L773" s="126"/>
    </row>
    <row r="774">
      <c r="J774" s="113"/>
      <c r="L774" s="126"/>
    </row>
    <row r="775">
      <c r="J775" s="113"/>
      <c r="L775" s="126"/>
    </row>
    <row r="776">
      <c r="J776" s="113"/>
      <c r="L776" s="126"/>
    </row>
    <row r="777">
      <c r="J777" s="113"/>
      <c r="L777" s="126"/>
    </row>
    <row r="778">
      <c r="J778" s="113"/>
      <c r="L778" s="126"/>
    </row>
    <row r="779">
      <c r="J779" s="113"/>
      <c r="L779" s="126"/>
    </row>
    <row r="780">
      <c r="J780" s="113"/>
      <c r="L780" s="126"/>
    </row>
    <row r="781">
      <c r="J781" s="113"/>
      <c r="L781" s="126"/>
    </row>
    <row r="782">
      <c r="J782" s="113"/>
      <c r="L782" s="126"/>
    </row>
    <row r="783">
      <c r="J783" s="113"/>
      <c r="L783" s="126"/>
    </row>
    <row r="784">
      <c r="J784" s="113"/>
      <c r="L784" s="126"/>
    </row>
    <row r="785">
      <c r="J785" s="113"/>
      <c r="L785" s="126"/>
    </row>
    <row r="786">
      <c r="J786" s="113"/>
      <c r="L786" s="126"/>
    </row>
    <row r="787">
      <c r="J787" s="113"/>
      <c r="L787" s="126"/>
    </row>
    <row r="788">
      <c r="J788" s="113"/>
      <c r="L788" s="126"/>
    </row>
    <row r="789">
      <c r="J789" s="113"/>
      <c r="L789" s="126"/>
    </row>
    <row r="790">
      <c r="J790" s="113"/>
      <c r="L790" s="126"/>
    </row>
    <row r="791">
      <c r="J791" s="113"/>
      <c r="L791" s="126"/>
    </row>
    <row r="792">
      <c r="J792" s="113"/>
      <c r="L792" s="126"/>
    </row>
    <row r="793">
      <c r="J793" s="113"/>
      <c r="L793" s="126"/>
    </row>
    <row r="794">
      <c r="J794" s="113"/>
      <c r="L794" s="126"/>
    </row>
    <row r="795">
      <c r="J795" s="113"/>
      <c r="L795" s="126"/>
    </row>
    <row r="796">
      <c r="J796" s="113"/>
      <c r="L796" s="126"/>
    </row>
    <row r="797">
      <c r="J797" s="113"/>
      <c r="L797" s="126"/>
    </row>
    <row r="798">
      <c r="J798" s="113"/>
      <c r="L798" s="126"/>
    </row>
    <row r="799">
      <c r="J799" s="113"/>
      <c r="L799" s="126"/>
    </row>
    <row r="800">
      <c r="J800" s="113"/>
      <c r="L800" s="126"/>
    </row>
    <row r="801">
      <c r="J801" s="113"/>
      <c r="L801" s="126"/>
    </row>
    <row r="802">
      <c r="J802" s="113"/>
      <c r="L802" s="126"/>
    </row>
    <row r="803">
      <c r="J803" s="113"/>
      <c r="L803" s="126"/>
    </row>
    <row r="804">
      <c r="J804" s="113"/>
      <c r="L804" s="126"/>
    </row>
    <row r="805">
      <c r="J805" s="113"/>
      <c r="L805" s="126"/>
    </row>
    <row r="806">
      <c r="J806" s="113"/>
      <c r="L806" s="126"/>
    </row>
    <row r="807">
      <c r="J807" s="113"/>
      <c r="L807" s="126"/>
    </row>
    <row r="808">
      <c r="J808" s="113"/>
      <c r="L808" s="126"/>
    </row>
    <row r="809">
      <c r="J809" s="113"/>
      <c r="L809" s="126"/>
    </row>
    <row r="810">
      <c r="J810" s="113"/>
      <c r="L810" s="126"/>
    </row>
    <row r="811">
      <c r="J811" s="113"/>
      <c r="L811" s="126"/>
    </row>
    <row r="812">
      <c r="J812" s="113"/>
      <c r="L812" s="126"/>
    </row>
    <row r="813">
      <c r="J813" s="113"/>
      <c r="L813" s="126"/>
    </row>
    <row r="814">
      <c r="J814" s="113"/>
      <c r="L814" s="126"/>
    </row>
    <row r="815">
      <c r="J815" s="113"/>
      <c r="L815" s="126"/>
    </row>
    <row r="816">
      <c r="J816" s="113"/>
      <c r="L816" s="126"/>
    </row>
    <row r="817">
      <c r="J817" s="113"/>
      <c r="L817" s="126"/>
    </row>
    <row r="818">
      <c r="J818" s="113"/>
      <c r="L818" s="126"/>
    </row>
    <row r="819">
      <c r="J819" s="113"/>
      <c r="L819" s="126"/>
    </row>
    <row r="820">
      <c r="J820" s="113"/>
      <c r="L820" s="126"/>
    </row>
    <row r="821">
      <c r="J821" s="113"/>
      <c r="L821" s="126"/>
    </row>
    <row r="822">
      <c r="J822" s="113"/>
      <c r="L822" s="126"/>
    </row>
    <row r="823">
      <c r="J823" s="113"/>
      <c r="L823" s="126"/>
    </row>
    <row r="824">
      <c r="J824" s="113"/>
      <c r="L824" s="126"/>
    </row>
    <row r="825">
      <c r="J825" s="113"/>
      <c r="L825" s="126"/>
    </row>
    <row r="826">
      <c r="J826" s="113"/>
      <c r="L826" s="126"/>
    </row>
    <row r="827">
      <c r="J827" s="113"/>
      <c r="L827" s="126"/>
    </row>
    <row r="828">
      <c r="J828" s="113"/>
      <c r="L828" s="126"/>
    </row>
    <row r="829">
      <c r="J829" s="113"/>
      <c r="L829" s="126"/>
    </row>
    <row r="830">
      <c r="J830" s="113"/>
      <c r="L830" s="126"/>
    </row>
    <row r="831">
      <c r="J831" s="113"/>
      <c r="L831" s="126"/>
    </row>
    <row r="832">
      <c r="J832" s="113"/>
      <c r="L832" s="126"/>
    </row>
    <row r="833">
      <c r="J833" s="113"/>
      <c r="L833" s="126"/>
    </row>
    <row r="834">
      <c r="J834" s="113"/>
      <c r="L834" s="126"/>
    </row>
    <row r="835">
      <c r="J835" s="113"/>
      <c r="L835" s="126"/>
    </row>
    <row r="836">
      <c r="J836" s="113"/>
      <c r="L836" s="126"/>
    </row>
    <row r="837">
      <c r="J837" s="113"/>
      <c r="L837" s="126"/>
    </row>
    <row r="838">
      <c r="J838" s="113"/>
      <c r="L838" s="126"/>
    </row>
    <row r="839">
      <c r="J839" s="113"/>
      <c r="L839" s="126"/>
    </row>
    <row r="840">
      <c r="J840" s="113"/>
      <c r="L840" s="126"/>
    </row>
    <row r="841">
      <c r="J841" s="113"/>
      <c r="L841" s="126"/>
    </row>
    <row r="842">
      <c r="J842" s="113"/>
      <c r="L842" s="126"/>
    </row>
    <row r="843">
      <c r="J843" s="113"/>
      <c r="L843" s="126"/>
    </row>
    <row r="844">
      <c r="J844" s="113"/>
      <c r="L844" s="126"/>
    </row>
    <row r="845">
      <c r="J845" s="113"/>
      <c r="L845" s="126"/>
    </row>
    <row r="846">
      <c r="J846" s="113"/>
      <c r="L846" s="126"/>
    </row>
    <row r="847">
      <c r="J847" s="113"/>
      <c r="L847" s="126"/>
    </row>
    <row r="848">
      <c r="J848" s="113"/>
      <c r="L848" s="126"/>
    </row>
    <row r="849">
      <c r="J849" s="113"/>
      <c r="L849" s="126"/>
    </row>
    <row r="850">
      <c r="J850" s="113"/>
      <c r="L850" s="126"/>
    </row>
    <row r="851">
      <c r="J851" s="113"/>
      <c r="L851" s="126"/>
    </row>
    <row r="852">
      <c r="J852" s="113"/>
      <c r="L852" s="126"/>
    </row>
    <row r="853">
      <c r="J853" s="113"/>
      <c r="L853" s="126"/>
    </row>
    <row r="854">
      <c r="J854" s="113"/>
      <c r="L854" s="126"/>
    </row>
    <row r="855">
      <c r="J855" s="113"/>
      <c r="L855" s="126"/>
    </row>
    <row r="856">
      <c r="J856" s="113"/>
      <c r="L856" s="126"/>
    </row>
    <row r="857">
      <c r="J857" s="113"/>
      <c r="L857" s="126"/>
    </row>
    <row r="858">
      <c r="J858" s="113"/>
      <c r="L858" s="126"/>
    </row>
    <row r="859">
      <c r="J859" s="113"/>
      <c r="L859" s="126"/>
    </row>
    <row r="860">
      <c r="J860" s="113"/>
      <c r="L860" s="126"/>
    </row>
    <row r="861">
      <c r="J861" s="113"/>
      <c r="L861" s="126"/>
    </row>
    <row r="862">
      <c r="J862" s="113"/>
      <c r="L862" s="126"/>
    </row>
    <row r="863">
      <c r="J863" s="113"/>
      <c r="L863" s="126"/>
    </row>
    <row r="864">
      <c r="J864" s="113"/>
      <c r="L864" s="126"/>
    </row>
    <row r="865">
      <c r="J865" s="113"/>
      <c r="L865" s="126"/>
    </row>
    <row r="866">
      <c r="J866" s="113"/>
      <c r="L866" s="126"/>
    </row>
    <row r="867">
      <c r="J867" s="113"/>
      <c r="L867" s="126"/>
    </row>
    <row r="868">
      <c r="J868" s="113"/>
      <c r="L868" s="126"/>
    </row>
    <row r="869">
      <c r="J869" s="113"/>
      <c r="L869" s="126"/>
    </row>
    <row r="870">
      <c r="J870" s="113"/>
      <c r="L870" s="126"/>
    </row>
    <row r="871">
      <c r="J871" s="113"/>
      <c r="L871" s="126"/>
    </row>
    <row r="872">
      <c r="J872" s="113"/>
      <c r="L872" s="126"/>
    </row>
    <row r="873">
      <c r="J873" s="113"/>
      <c r="L873" s="126"/>
    </row>
    <row r="874">
      <c r="J874" s="113"/>
      <c r="L874" s="126"/>
    </row>
    <row r="875">
      <c r="J875" s="113"/>
      <c r="L875" s="126"/>
    </row>
    <row r="876">
      <c r="J876" s="113"/>
      <c r="L876" s="126"/>
    </row>
    <row r="877">
      <c r="J877" s="113"/>
      <c r="L877" s="126"/>
    </row>
    <row r="878">
      <c r="J878" s="113"/>
      <c r="L878" s="126"/>
    </row>
    <row r="879">
      <c r="J879" s="113"/>
      <c r="L879" s="126"/>
    </row>
    <row r="880">
      <c r="J880" s="113"/>
      <c r="L880" s="126"/>
    </row>
    <row r="881">
      <c r="J881" s="113"/>
      <c r="L881" s="126"/>
    </row>
    <row r="882">
      <c r="J882" s="113"/>
      <c r="L882" s="126"/>
    </row>
    <row r="883">
      <c r="J883" s="113"/>
      <c r="L883" s="126"/>
    </row>
    <row r="884">
      <c r="J884" s="113"/>
      <c r="L884" s="126"/>
    </row>
    <row r="885">
      <c r="J885" s="113"/>
      <c r="L885" s="126"/>
    </row>
    <row r="886">
      <c r="J886" s="113"/>
      <c r="L886" s="126"/>
    </row>
    <row r="887">
      <c r="J887" s="113"/>
      <c r="L887" s="126"/>
    </row>
    <row r="888">
      <c r="J888" s="113"/>
      <c r="L888" s="126"/>
    </row>
    <row r="889">
      <c r="J889" s="113"/>
      <c r="L889" s="126"/>
    </row>
    <row r="890">
      <c r="J890" s="113"/>
      <c r="L890" s="126"/>
    </row>
    <row r="891">
      <c r="J891" s="113"/>
      <c r="L891" s="126"/>
    </row>
    <row r="892">
      <c r="J892" s="113"/>
      <c r="L892" s="126"/>
    </row>
    <row r="893">
      <c r="J893" s="113"/>
      <c r="L893" s="126"/>
    </row>
    <row r="894">
      <c r="J894" s="113"/>
      <c r="L894" s="126"/>
    </row>
    <row r="895">
      <c r="J895" s="113"/>
      <c r="L895" s="126"/>
    </row>
    <row r="896">
      <c r="J896" s="113"/>
      <c r="L896" s="126"/>
    </row>
    <row r="897">
      <c r="J897" s="113"/>
      <c r="L897" s="126"/>
    </row>
    <row r="898">
      <c r="J898" s="113"/>
      <c r="L898" s="126"/>
    </row>
    <row r="899">
      <c r="J899" s="113"/>
      <c r="L899" s="126"/>
    </row>
    <row r="900">
      <c r="J900" s="113"/>
      <c r="L900" s="126"/>
    </row>
    <row r="901">
      <c r="J901" s="113"/>
      <c r="L901" s="126"/>
    </row>
    <row r="902">
      <c r="J902" s="113"/>
      <c r="L902" s="126"/>
    </row>
    <row r="903">
      <c r="J903" s="113"/>
      <c r="L903" s="126"/>
    </row>
    <row r="904">
      <c r="J904" s="113"/>
      <c r="L904" s="126"/>
    </row>
    <row r="905">
      <c r="J905" s="113"/>
      <c r="L905" s="126"/>
    </row>
    <row r="906">
      <c r="J906" s="113"/>
      <c r="L906" s="126"/>
    </row>
    <row r="907">
      <c r="J907" s="113"/>
      <c r="L907" s="126"/>
    </row>
    <row r="908">
      <c r="J908" s="113"/>
      <c r="L908" s="126"/>
    </row>
    <row r="909">
      <c r="J909" s="113"/>
      <c r="L909" s="126"/>
    </row>
    <row r="910">
      <c r="J910" s="113"/>
      <c r="L910" s="126"/>
    </row>
    <row r="911">
      <c r="J911" s="113"/>
      <c r="L911" s="126"/>
    </row>
    <row r="912">
      <c r="J912" s="113"/>
      <c r="L912" s="126"/>
    </row>
    <row r="913">
      <c r="J913" s="113"/>
      <c r="L913" s="126"/>
    </row>
    <row r="914">
      <c r="J914" s="113"/>
      <c r="L914" s="126"/>
    </row>
    <row r="915">
      <c r="J915" s="113"/>
      <c r="L915" s="126"/>
    </row>
    <row r="916">
      <c r="J916" s="113"/>
      <c r="L916" s="126"/>
    </row>
    <row r="917">
      <c r="J917" s="113"/>
      <c r="L917" s="126"/>
    </row>
    <row r="918">
      <c r="J918" s="113"/>
      <c r="L918" s="126"/>
    </row>
    <row r="919">
      <c r="J919" s="113"/>
      <c r="L919" s="126"/>
    </row>
    <row r="920">
      <c r="J920" s="113"/>
      <c r="L920" s="126"/>
    </row>
    <row r="921">
      <c r="J921" s="113"/>
      <c r="L921" s="126"/>
    </row>
    <row r="922">
      <c r="J922" s="113"/>
      <c r="L922" s="126"/>
    </row>
    <row r="923">
      <c r="J923" s="113"/>
      <c r="L923" s="126"/>
    </row>
    <row r="924">
      <c r="J924" s="113"/>
      <c r="L924" s="126"/>
    </row>
    <row r="925">
      <c r="J925" s="113"/>
      <c r="L925" s="126"/>
    </row>
    <row r="926">
      <c r="J926" s="113"/>
      <c r="L926" s="126"/>
    </row>
    <row r="927">
      <c r="J927" s="113"/>
      <c r="L927" s="126"/>
    </row>
    <row r="928">
      <c r="J928" s="113"/>
      <c r="L928" s="126"/>
    </row>
    <row r="929">
      <c r="J929" s="113"/>
      <c r="L929" s="126"/>
    </row>
    <row r="930">
      <c r="J930" s="113"/>
      <c r="L930" s="126"/>
    </row>
    <row r="931">
      <c r="J931" s="113"/>
      <c r="L931" s="126"/>
    </row>
    <row r="932">
      <c r="J932" s="113"/>
      <c r="L932" s="126"/>
    </row>
    <row r="933">
      <c r="J933" s="113"/>
      <c r="L933" s="126"/>
    </row>
    <row r="934">
      <c r="J934" s="113"/>
      <c r="L934" s="126"/>
    </row>
    <row r="935">
      <c r="J935" s="113"/>
      <c r="L935" s="126"/>
    </row>
    <row r="936">
      <c r="J936" s="113"/>
      <c r="L936" s="126"/>
    </row>
    <row r="937">
      <c r="J937" s="113"/>
      <c r="L937" s="126"/>
    </row>
    <row r="938">
      <c r="J938" s="113"/>
      <c r="L938" s="126"/>
    </row>
    <row r="939">
      <c r="J939" s="113"/>
      <c r="L939" s="126"/>
    </row>
    <row r="940">
      <c r="J940" s="113"/>
      <c r="L940" s="126"/>
    </row>
    <row r="941">
      <c r="J941" s="113"/>
      <c r="L941" s="126"/>
    </row>
    <row r="942">
      <c r="J942" s="113"/>
      <c r="L942" s="126"/>
    </row>
    <row r="943">
      <c r="J943" s="113"/>
      <c r="L943" s="126"/>
    </row>
    <row r="944">
      <c r="J944" s="113"/>
      <c r="L944" s="126"/>
    </row>
    <row r="945">
      <c r="J945" s="113"/>
      <c r="L945" s="126"/>
    </row>
    <row r="946">
      <c r="J946" s="113"/>
      <c r="L946" s="126"/>
    </row>
    <row r="947">
      <c r="J947" s="113"/>
      <c r="L947" s="126"/>
    </row>
    <row r="948">
      <c r="J948" s="113"/>
      <c r="L948" s="126"/>
    </row>
    <row r="949">
      <c r="J949" s="113"/>
      <c r="L949" s="126"/>
    </row>
    <row r="950">
      <c r="J950" s="113"/>
      <c r="L950" s="126"/>
    </row>
    <row r="951">
      <c r="J951" s="113"/>
      <c r="L951" s="126"/>
    </row>
    <row r="952">
      <c r="J952" s="113"/>
      <c r="L952" s="126"/>
    </row>
    <row r="953">
      <c r="J953" s="113"/>
      <c r="L953" s="126"/>
    </row>
    <row r="954">
      <c r="J954" s="113"/>
      <c r="L954" s="126"/>
    </row>
    <row r="955">
      <c r="J955" s="113"/>
      <c r="L955" s="126"/>
    </row>
    <row r="956">
      <c r="J956" s="113"/>
      <c r="L956" s="126"/>
    </row>
    <row r="957">
      <c r="J957" s="113"/>
      <c r="L957" s="126"/>
    </row>
    <row r="958">
      <c r="J958" s="113"/>
      <c r="L958" s="126"/>
    </row>
    <row r="959">
      <c r="J959" s="113"/>
      <c r="L959" s="126"/>
    </row>
    <row r="960">
      <c r="J960" s="113"/>
      <c r="L960" s="126"/>
    </row>
    <row r="961">
      <c r="J961" s="113"/>
      <c r="L961" s="126"/>
    </row>
    <row r="962">
      <c r="J962" s="113"/>
      <c r="L962" s="126"/>
    </row>
    <row r="963">
      <c r="J963" s="113"/>
      <c r="L963" s="126"/>
    </row>
    <row r="964">
      <c r="J964" s="113"/>
      <c r="L964" s="126"/>
    </row>
    <row r="965">
      <c r="J965" s="113"/>
      <c r="L965" s="126"/>
    </row>
    <row r="966">
      <c r="J966" s="113"/>
      <c r="L966" s="126"/>
    </row>
    <row r="967">
      <c r="J967" s="113"/>
      <c r="L967" s="126"/>
    </row>
    <row r="968">
      <c r="J968" s="113"/>
      <c r="L968" s="126"/>
    </row>
    <row r="969">
      <c r="J969" s="113"/>
      <c r="L969" s="126"/>
    </row>
    <row r="970">
      <c r="J970" s="113"/>
      <c r="L970" s="126"/>
    </row>
    <row r="971">
      <c r="J971" s="113"/>
      <c r="L971" s="126"/>
    </row>
    <row r="972">
      <c r="J972" s="113"/>
      <c r="L972" s="126"/>
    </row>
    <row r="973">
      <c r="J973" s="113"/>
      <c r="L973" s="126"/>
    </row>
    <row r="974">
      <c r="J974" s="113"/>
      <c r="L974" s="126"/>
    </row>
    <row r="975">
      <c r="J975" s="113"/>
      <c r="L975" s="126"/>
    </row>
    <row r="976">
      <c r="J976" s="113"/>
      <c r="L976" s="126"/>
    </row>
    <row r="977">
      <c r="J977" s="113"/>
      <c r="L977" s="126"/>
    </row>
    <row r="978">
      <c r="J978" s="113"/>
      <c r="L978" s="126"/>
    </row>
    <row r="979">
      <c r="J979" s="113"/>
      <c r="L979" s="126"/>
    </row>
    <row r="980">
      <c r="J980" s="113"/>
      <c r="L980" s="126"/>
    </row>
    <row r="981">
      <c r="J981" s="113"/>
      <c r="L981" s="126"/>
    </row>
    <row r="982">
      <c r="J982" s="113"/>
      <c r="L982" s="126"/>
    </row>
    <row r="983">
      <c r="J983" s="113"/>
      <c r="L983" s="126"/>
    </row>
    <row r="984">
      <c r="J984" s="113"/>
      <c r="L984" s="126"/>
    </row>
    <row r="985">
      <c r="J985" s="113"/>
      <c r="L985" s="126"/>
    </row>
    <row r="986">
      <c r="J986" s="113"/>
      <c r="L986" s="126"/>
    </row>
    <row r="987">
      <c r="J987" s="113"/>
      <c r="L987" s="126"/>
    </row>
    <row r="988">
      <c r="J988" s="113"/>
      <c r="L988" s="126"/>
    </row>
    <row r="989">
      <c r="J989" s="113"/>
      <c r="L989" s="126"/>
    </row>
    <row r="990">
      <c r="J990" s="113"/>
      <c r="L990" s="126"/>
    </row>
    <row r="991">
      <c r="J991" s="113"/>
      <c r="L991" s="126"/>
    </row>
    <row r="992">
      <c r="J992" s="113"/>
      <c r="L992" s="126"/>
    </row>
    <row r="993">
      <c r="J993" s="113"/>
      <c r="L993" s="126"/>
    </row>
    <row r="994">
      <c r="J994" s="113"/>
      <c r="L994" s="126"/>
    </row>
    <row r="995">
      <c r="J995" s="113"/>
      <c r="L995" s="126"/>
    </row>
    <row r="996">
      <c r="J996" s="113"/>
      <c r="L996" s="126"/>
    </row>
    <row r="997">
      <c r="J997" s="113"/>
      <c r="L997" s="126"/>
    </row>
    <row r="998">
      <c r="J998" s="113"/>
      <c r="L998" s="126"/>
    </row>
    <row r="999">
      <c r="J999" s="113"/>
      <c r="L999" s="126"/>
    </row>
    <row r="1000">
      <c r="J1000" s="113"/>
      <c r="L1000" s="126"/>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93" t="str">
        <f>IFERROR(__xludf.DUMMYFUNCTION("IFERROR(FILTER('Summer Storage'!A2:AA1000, 'Summer Storage'!K2:K1000 = Calculator!B2), """")
"),"")</f>
        <v/>
      </c>
      <c r="J1" s="113"/>
      <c r="L1" s="126"/>
    </row>
    <row r="2">
      <c r="J2" s="113"/>
      <c r="L2" s="126"/>
    </row>
    <row r="3">
      <c r="J3" s="113"/>
      <c r="L3" s="126"/>
    </row>
    <row r="4">
      <c r="J4" s="113"/>
      <c r="L4" s="126"/>
    </row>
    <row r="5">
      <c r="J5" s="113"/>
      <c r="L5" s="126"/>
    </row>
    <row r="6">
      <c r="J6" s="113"/>
      <c r="L6" s="126"/>
    </row>
    <row r="7">
      <c r="J7" s="113"/>
      <c r="L7" s="126"/>
    </row>
    <row r="8">
      <c r="J8" s="113"/>
      <c r="L8" s="126"/>
    </row>
    <row r="9">
      <c r="J9" s="113"/>
      <c r="L9" s="126"/>
    </row>
    <row r="10">
      <c r="J10" s="113"/>
      <c r="L10" s="126"/>
    </row>
    <row r="11">
      <c r="J11" s="113"/>
      <c r="L11" s="126"/>
    </row>
    <row r="12">
      <c r="J12" s="113"/>
      <c r="L12" s="126"/>
    </row>
    <row r="13">
      <c r="J13" s="113"/>
      <c r="L13" s="126"/>
    </row>
    <row r="14">
      <c r="J14" s="113"/>
      <c r="L14" s="126"/>
    </row>
    <row r="15">
      <c r="J15" s="113"/>
      <c r="L15" s="126"/>
    </row>
    <row r="16">
      <c r="J16" s="113"/>
      <c r="L16" s="126"/>
    </row>
    <row r="17">
      <c r="J17" s="113"/>
      <c r="L17" s="126"/>
    </row>
    <row r="18">
      <c r="J18" s="113"/>
      <c r="L18" s="126"/>
    </row>
    <row r="19">
      <c r="J19" s="113"/>
      <c r="L19" s="126"/>
    </row>
    <row r="20">
      <c r="J20" s="113"/>
      <c r="L20" s="126"/>
    </row>
    <row r="21">
      <c r="J21" s="113"/>
      <c r="L21" s="126"/>
    </row>
    <row r="22">
      <c r="J22" s="113"/>
      <c r="L22" s="126"/>
    </row>
    <row r="23">
      <c r="J23" s="113"/>
      <c r="L23" s="126"/>
    </row>
    <row r="24">
      <c r="J24" s="113"/>
      <c r="L24" s="126"/>
    </row>
    <row r="25">
      <c r="J25" s="113"/>
      <c r="L25" s="126"/>
    </row>
    <row r="26">
      <c r="J26" s="113"/>
      <c r="L26" s="126"/>
    </row>
    <row r="27">
      <c r="J27" s="113"/>
      <c r="L27" s="126"/>
    </row>
    <row r="28">
      <c r="J28" s="113"/>
      <c r="L28" s="126"/>
    </row>
    <row r="29">
      <c r="J29" s="113"/>
      <c r="L29" s="126"/>
    </row>
    <row r="30">
      <c r="J30" s="113"/>
      <c r="L30" s="126"/>
    </row>
    <row r="31">
      <c r="J31" s="113"/>
      <c r="L31" s="126"/>
    </row>
    <row r="32">
      <c r="J32" s="113"/>
      <c r="L32" s="126"/>
    </row>
    <row r="33">
      <c r="J33" s="113"/>
      <c r="L33" s="126"/>
    </row>
    <row r="34">
      <c r="J34" s="113"/>
      <c r="L34" s="126"/>
    </row>
    <row r="35">
      <c r="J35" s="113"/>
      <c r="L35" s="126"/>
    </row>
    <row r="36">
      <c r="J36" s="113"/>
      <c r="L36" s="126"/>
    </row>
    <row r="37">
      <c r="J37" s="113"/>
      <c r="L37" s="126"/>
    </row>
    <row r="38">
      <c r="J38" s="113"/>
      <c r="L38" s="126"/>
    </row>
    <row r="39">
      <c r="J39" s="113"/>
      <c r="L39" s="126"/>
    </row>
    <row r="40">
      <c r="J40" s="113"/>
      <c r="L40" s="126"/>
    </row>
    <row r="41">
      <c r="J41" s="113"/>
      <c r="L41" s="126"/>
    </row>
    <row r="42">
      <c r="J42" s="113"/>
      <c r="L42" s="126"/>
    </row>
    <row r="43">
      <c r="J43" s="113"/>
      <c r="L43" s="126"/>
    </row>
    <row r="44">
      <c r="J44" s="113"/>
      <c r="L44" s="126"/>
    </row>
    <row r="45">
      <c r="J45" s="113"/>
      <c r="L45" s="126"/>
    </row>
    <row r="46">
      <c r="J46" s="113"/>
      <c r="L46" s="126"/>
    </row>
    <row r="47">
      <c r="J47" s="113"/>
      <c r="L47" s="126"/>
    </row>
    <row r="48">
      <c r="J48" s="113"/>
      <c r="L48" s="126"/>
    </row>
    <row r="49">
      <c r="J49" s="113"/>
      <c r="L49" s="126"/>
    </row>
    <row r="50">
      <c r="J50" s="113"/>
      <c r="L50" s="126"/>
    </row>
    <row r="51">
      <c r="J51" s="113"/>
      <c r="L51" s="126"/>
    </row>
    <row r="52">
      <c r="J52" s="113"/>
      <c r="L52" s="126"/>
    </row>
    <row r="53">
      <c r="J53" s="113"/>
      <c r="L53" s="126"/>
    </row>
    <row r="54">
      <c r="J54" s="113"/>
      <c r="L54" s="126"/>
    </row>
    <row r="55">
      <c r="J55" s="113"/>
      <c r="L55" s="126"/>
    </row>
    <row r="56">
      <c r="J56" s="113"/>
      <c r="L56" s="126"/>
    </row>
    <row r="57">
      <c r="J57" s="113"/>
      <c r="L57" s="126"/>
    </row>
    <row r="58">
      <c r="J58" s="113"/>
      <c r="L58" s="126"/>
    </row>
    <row r="59">
      <c r="J59" s="113"/>
      <c r="L59" s="126"/>
    </row>
    <row r="60">
      <c r="J60" s="113"/>
      <c r="L60" s="126"/>
    </row>
    <row r="61">
      <c r="J61" s="113"/>
      <c r="L61" s="126"/>
    </row>
    <row r="62">
      <c r="J62" s="113"/>
      <c r="L62" s="126"/>
    </row>
    <row r="63">
      <c r="J63" s="113"/>
      <c r="L63" s="126"/>
    </row>
    <row r="64">
      <c r="J64" s="113"/>
      <c r="L64" s="126"/>
    </row>
    <row r="65">
      <c r="J65" s="113"/>
      <c r="L65" s="126"/>
    </row>
    <row r="66">
      <c r="J66" s="113"/>
      <c r="L66" s="126"/>
    </row>
    <row r="67">
      <c r="J67" s="113"/>
      <c r="L67" s="126"/>
    </row>
    <row r="68">
      <c r="J68" s="113"/>
      <c r="L68" s="126"/>
    </row>
    <row r="69">
      <c r="J69" s="113"/>
      <c r="L69" s="126"/>
    </row>
    <row r="70">
      <c r="J70" s="113"/>
      <c r="L70" s="126"/>
    </row>
    <row r="71">
      <c r="J71" s="113"/>
      <c r="L71" s="126"/>
    </row>
    <row r="72">
      <c r="J72" s="113"/>
      <c r="L72" s="126"/>
    </row>
    <row r="73">
      <c r="J73" s="113"/>
      <c r="L73" s="126"/>
    </row>
    <row r="74">
      <c r="J74" s="113"/>
      <c r="L74" s="126"/>
    </row>
    <row r="75">
      <c r="J75" s="113"/>
      <c r="L75" s="126"/>
    </row>
    <row r="76">
      <c r="J76" s="113"/>
      <c r="L76" s="126"/>
    </row>
    <row r="77">
      <c r="J77" s="113"/>
      <c r="L77" s="126"/>
    </row>
    <row r="78">
      <c r="J78" s="113"/>
      <c r="L78" s="126"/>
    </row>
    <row r="79">
      <c r="J79" s="113"/>
      <c r="L79" s="126"/>
    </row>
    <row r="80">
      <c r="J80" s="113"/>
      <c r="L80" s="126"/>
    </row>
    <row r="81">
      <c r="J81" s="113"/>
      <c r="L81" s="126"/>
    </row>
    <row r="82">
      <c r="J82" s="113"/>
      <c r="L82" s="126"/>
    </row>
    <row r="83">
      <c r="J83" s="113"/>
      <c r="L83" s="126"/>
    </row>
    <row r="84">
      <c r="J84" s="113"/>
      <c r="L84" s="126"/>
    </row>
    <row r="85">
      <c r="J85" s="113"/>
      <c r="L85" s="126"/>
    </row>
    <row r="86">
      <c r="J86" s="113"/>
      <c r="L86" s="126"/>
    </row>
    <row r="87">
      <c r="J87" s="113"/>
      <c r="L87" s="126"/>
    </row>
    <row r="88">
      <c r="J88" s="113"/>
      <c r="L88" s="126"/>
    </row>
    <row r="89">
      <c r="J89" s="113"/>
      <c r="L89" s="126"/>
    </row>
    <row r="90">
      <c r="J90" s="113"/>
      <c r="L90" s="126"/>
    </row>
    <row r="91">
      <c r="J91" s="113"/>
      <c r="L91" s="126"/>
    </row>
    <row r="92">
      <c r="J92" s="113"/>
      <c r="L92" s="126"/>
    </row>
    <row r="93">
      <c r="J93" s="113"/>
      <c r="L93" s="126"/>
    </row>
    <row r="94">
      <c r="J94" s="113"/>
      <c r="L94" s="126"/>
    </row>
    <row r="95">
      <c r="J95" s="113"/>
      <c r="L95" s="126"/>
    </row>
    <row r="96">
      <c r="J96" s="113"/>
      <c r="L96" s="126"/>
    </row>
    <row r="97">
      <c r="J97" s="113"/>
      <c r="L97" s="126"/>
    </row>
    <row r="98">
      <c r="J98" s="113"/>
      <c r="L98" s="126"/>
    </row>
    <row r="99">
      <c r="J99" s="113"/>
      <c r="L99" s="126"/>
    </row>
    <row r="100">
      <c r="J100" s="113"/>
      <c r="L100" s="126"/>
    </row>
    <row r="101">
      <c r="J101" s="113"/>
      <c r="L101" s="126"/>
    </row>
    <row r="102">
      <c r="J102" s="113"/>
      <c r="L102" s="126"/>
    </row>
    <row r="103">
      <c r="J103" s="113"/>
      <c r="L103" s="126"/>
    </row>
    <row r="104">
      <c r="J104" s="113"/>
      <c r="L104" s="126"/>
    </row>
    <row r="105">
      <c r="J105" s="113"/>
      <c r="L105" s="126"/>
    </row>
    <row r="106">
      <c r="J106" s="113"/>
      <c r="L106" s="126"/>
    </row>
    <row r="107">
      <c r="J107" s="113"/>
      <c r="L107" s="126"/>
    </row>
    <row r="108">
      <c r="J108" s="113"/>
      <c r="L108" s="126"/>
    </row>
    <row r="109">
      <c r="J109" s="113"/>
      <c r="L109" s="126"/>
    </row>
    <row r="110">
      <c r="J110" s="113"/>
      <c r="L110" s="126"/>
    </row>
    <row r="111">
      <c r="J111" s="113"/>
      <c r="L111" s="126"/>
    </row>
    <row r="112">
      <c r="J112" s="113"/>
      <c r="L112" s="126"/>
    </row>
    <row r="113">
      <c r="J113" s="113"/>
      <c r="L113" s="126"/>
    </row>
    <row r="114">
      <c r="J114" s="113"/>
      <c r="L114" s="126"/>
    </row>
    <row r="115">
      <c r="J115" s="113"/>
      <c r="L115" s="126"/>
    </row>
    <row r="116">
      <c r="J116" s="113"/>
      <c r="L116" s="126"/>
    </row>
    <row r="117">
      <c r="J117" s="113"/>
      <c r="L117" s="126"/>
    </row>
    <row r="118">
      <c r="J118" s="113"/>
      <c r="L118" s="126"/>
    </row>
    <row r="119">
      <c r="J119" s="113"/>
      <c r="L119" s="126"/>
    </row>
    <row r="120">
      <c r="J120" s="113"/>
      <c r="L120" s="126"/>
    </row>
    <row r="121">
      <c r="J121" s="113"/>
      <c r="L121" s="126"/>
    </row>
    <row r="122">
      <c r="J122" s="113"/>
      <c r="L122" s="126"/>
    </row>
    <row r="123">
      <c r="J123" s="113"/>
      <c r="L123" s="126"/>
    </row>
    <row r="124">
      <c r="J124" s="113"/>
      <c r="L124" s="126"/>
    </row>
    <row r="125">
      <c r="J125" s="113"/>
      <c r="L125" s="126"/>
    </row>
    <row r="126">
      <c r="J126" s="113"/>
      <c r="L126" s="126"/>
    </row>
    <row r="127">
      <c r="J127" s="113"/>
      <c r="L127" s="126"/>
    </row>
    <row r="128">
      <c r="J128" s="113"/>
      <c r="L128" s="126"/>
    </row>
    <row r="129">
      <c r="J129" s="113"/>
      <c r="L129" s="126"/>
    </row>
    <row r="130">
      <c r="J130" s="113"/>
      <c r="L130" s="126"/>
    </row>
    <row r="131">
      <c r="J131" s="113"/>
      <c r="L131" s="126"/>
    </row>
    <row r="132">
      <c r="J132" s="113"/>
      <c r="L132" s="126"/>
    </row>
    <row r="133">
      <c r="J133" s="113"/>
      <c r="L133" s="126"/>
    </row>
    <row r="134">
      <c r="J134" s="113"/>
      <c r="L134" s="126"/>
    </row>
    <row r="135">
      <c r="J135" s="113"/>
      <c r="L135" s="126"/>
    </row>
    <row r="136">
      <c r="J136" s="113"/>
      <c r="L136" s="126"/>
    </row>
    <row r="137">
      <c r="J137" s="113"/>
      <c r="L137" s="126"/>
    </row>
    <row r="138">
      <c r="J138" s="113"/>
      <c r="L138" s="126"/>
    </row>
    <row r="139">
      <c r="J139" s="113"/>
      <c r="L139" s="126"/>
    </row>
    <row r="140">
      <c r="J140" s="113"/>
      <c r="L140" s="126"/>
    </row>
    <row r="141">
      <c r="J141" s="113"/>
      <c r="L141" s="126"/>
    </row>
    <row r="142">
      <c r="J142" s="113"/>
      <c r="L142" s="126"/>
    </row>
    <row r="143">
      <c r="J143" s="113"/>
      <c r="L143" s="126"/>
    </row>
    <row r="144">
      <c r="J144" s="113"/>
      <c r="L144" s="126"/>
    </row>
    <row r="145">
      <c r="J145" s="113"/>
      <c r="L145" s="126"/>
    </row>
    <row r="146">
      <c r="J146" s="113"/>
      <c r="L146" s="126"/>
    </row>
    <row r="147">
      <c r="J147" s="113"/>
      <c r="L147" s="126"/>
    </row>
    <row r="148">
      <c r="J148" s="113"/>
      <c r="L148" s="126"/>
    </row>
    <row r="149">
      <c r="J149" s="113"/>
      <c r="L149" s="126"/>
    </row>
    <row r="150">
      <c r="J150" s="113"/>
      <c r="L150" s="126"/>
    </row>
    <row r="151">
      <c r="J151" s="113"/>
      <c r="L151" s="126"/>
    </row>
    <row r="152">
      <c r="J152" s="113"/>
      <c r="L152" s="126"/>
    </row>
    <row r="153">
      <c r="J153" s="113"/>
      <c r="L153" s="126"/>
    </row>
    <row r="154">
      <c r="J154" s="113"/>
      <c r="L154" s="126"/>
    </row>
    <row r="155">
      <c r="J155" s="113"/>
      <c r="L155" s="126"/>
    </row>
    <row r="156">
      <c r="J156" s="113"/>
      <c r="L156" s="126"/>
    </row>
    <row r="157">
      <c r="J157" s="113"/>
      <c r="L157" s="126"/>
    </row>
    <row r="158">
      <c r="J158" s="113"/>
      <c r="L158" s="126"/>
    </row>
    <row r="159">
      <c r="J159" s="113"/>
      <c r="L159" s="126"/>
    </row>
    <row r="160">
      <c r="J160" s="113"/>
      <c r="L160" s="126"/>
    </row>
    <row r="161">
      <c r="J161" s="113"/>
      <c r="L161" s="126"/>
    </row>
    <row r="162">
      <c r="J162" s="113"/>
      <c r="L162" s="126"/>
    </row>
    <row r="163">
      <c r="J163" s="113"/>
      <c r="L163" s="126"/>
    </row>
    <row r="164">
      <c r="J164" s="113"/>
      <c r="L164" s="126"/>
    </row>
    <row r="165">
      <c r="J165" s="113"/>
      <c r="L165" s="126"/>
    </row>
    <row r="166">
      <c r="J166" s="113"/>
      <c r="L166" s="126"/>
    </row>
    <row r="167">
      <c r="J167" s="113"/>
      <c r="L167" s="126"/>
    </row>
    <row r="168">
      <c r="J168" s="113"/>
      <c r="L168" s="126"/>
    </row>
    <row r="169">
      <c r="J169" s="113"/>
      <c r="L169" s="126"/>
    </row>
    <row r="170">
      <c r="J170" s="113"/>
      <c r="L170" s="126"/>
    </row>
    <row r="171">
      <c r="J171" s="113"/>
      <c r="L171" s="126"/>
    </row>
    <row r="172">
      <c r="J172" s="113"/>
      <c r="L172" s="126"/>
    </row>
    <row r="173">
      <c r="J173" s="113"/>
      <c r="L173" s="126"/>
    </row>
    <row r="174">
      <c r="J174" s="113"/>
      <c r="L174" s="126"/>
    </row>
    <row r="175">
      <c r="J175" s="113"/>
      <c r="L175" s="126"/>
    </row>
    <row r="176">
      <c r="J176" s="113"/>
      <c r="L176" s="126"/>
    </row>
    <row r="177">
      <c r="J177" s="113"/>
      <c r="L177" s="126"/>
    </row>
    <row r="178">
      <c r="J178" s="113"/>
      <c r="L178" s="126"/>
    </row>
    <row r="179">
      <c r="J179" s="113"/>
      <c r="L179" s="126"/>
    </row>
    <row r="180">
      <c r="J180" s="113"/>
      <c r="L180" s="126"/>
    </row>
    <row r="181">
      <c r="J181" s="113"/>
      <c r="L181" s="126"/>
    </row>
    <row r="182">
      <c r="J182" s="113"/>
      <c r="L182" s="126"/>
    </row>
    <row r="183">
      <c r="J183" s="113"/>
      <c r="L183" s="126"/>
    </row>
    <row r="184">
      <c r="J184" s="113"/>
      <c r="L184" s="126"/>
    </row>
    <row r="185">
      <c r="J185" s="113"/>
      <c r="L185" s="126"/>
    </row>
    <row r="186">
      <c r="J186" s="113"/>
      <c r="L186" s="126"/>
    </row>
    <row r="187">
      <c r="J187" s="113"/>
      <c r="L187" s="126"/>
    </row>
    <row r="188">
      <c r="J188" s="113"/>
      <c r="L188" s="126"/>
    </row>
    <row r="189">
      <c r="J189" s="113"/>
      <c r="L189" s="126"/>
    </row>
    <row r="190">
      <c r="J190" s="113"/>
      <c r="L190" s="126"/>
    </row>
    <row r="191">
      <c r="J191" s="113"/>
      <c r="L191" s="126"/>
    </row>
    <row r="192">
      <c r="J192" s="113"/>
      <c r="L192" s="126"/>
    </row>
    <row r="193">
      <c r="J193" s="113"/>
      <c r="L193" s="126"/>
    </row>
    <row r="194">
      <c r="J194" s="113"/>
      <c r="L194" s="126"/>
    </row>
    <row r="195">
      <c r="J195" s="113"/>
      <c r="L195" s="126"/>
    </row>
    <row r="196">
      <c r="J196" s="113"/>
      <c r="L196" s="126"/>
    </row>
    <row r="197">
      <c r="J197" s="113"/>
      <c r="L197" s="126"/>
    </row>
    <row r="198">
      <c r="J198" s="113"/>
      <c r="L198" s="126"/>
    </row>
    <row r="199">
      <c r="J199" s="113"/>
      <c r="L199" s="126"/>
    </row>
    <row r="200">
      <c r="J200" s="113"/>
      <c r="L200" s="126"/>
    </row>
    <row r="201">
      <c r="J201" s="113"/>
      <c r="L201" s="126"/>
    </row>
    <row r="202">
      <c r="J202" s="113"/>
      <c r="L202" s="126"/>
    </row>
    <row r="203">
      <c r="J203" s="113"/>
      <c r="L203" s="126"/>
    </row>
    <row r="204">
      <c r="J204" s="113"/>
      <c r="L204" s="126"/>
    </row>
    <row r="205">
      <c r="J205" s="113"/>
      <c r="L205" s="126"/>
    </row>
    <row r="206">
      <c r="J206" s="113"/>
      <c r="L206" s="126"/>
    </row>
    <row r="207">
      <c r="J207" s="113"/>
      <c r="L207" s="126"/>
    </row>
    <row r="208">
      <c r="J208" s="113"/>
      <c r="L208" s="126"/>
    </row>
    <row r="209">
      <c r="J209" s="113"/>
      <c r="L209" s="126"/>
    </row>
    <row r="210">
      <c r="J210" s="113"/>
      <c r="L210" s="126"/>
    </row>
    <row r="211">
      <c r="J211" s="113"/>
      <c r="L211" s="126"/>
    </row>
    <row r="212">
      <c r="J212" s="113"/>
      <c r="L212" s="126"/>
    </row>
    <row r="213">
      <c r="J213" s="113"/>
      <c r="L213" s="126"/>
    </row>
    <row r="214">
      <c r="J214" s="113"/>
      <c r="L214" s="126"/>
    </row>
    <row r="215">
      <c r="J215" s="113"/>
      <c r="L215" s="126"/>
    </row>
    <row r="216">
      <c r="J216" s="113"/>
      <c r="L216" s="126"/>
    </row>
    <row r="217">
      <c r="J217" s="113"/>
      <c r="L217" s="126"/>
    </row>
    <row r="218">
      <c r="J218" s="113"/>
      <c r="L218" s="126"/>
    </row>
    <row r="219">
      <c r="J219" s="113"/>
      <c r="L219" s="126"/>
    </row>
    <row r="220">
      <c r="J220" s="113"/>
      <c r="L220" s="126"/>
    </row>
    <row r="221">
      <c r="J221" s="113"/>
      <c r="L221" s="126"/>
    </row>
    <row r="222">
      <c r="J222" s="113"/>
      <c r="L222" s="126"/>
    </row>
    <row r="223">
      <c r="J223" s="113"/>
      <c r="L223" s="126"/>
    </row>
    <row r="224">
      <c r="J224" s="113"/>
      <c r="L224" s="126"/>
    </row>
    <row r="225">
      <c r="J225" s="113"/>
      <c r="L225" s="126"/>
    </row>
    <row r="226">
      <c r="J226" s="113"/>
      <c r="L226" s="126"/>
    </row>
    <row r="227">
      <c r="J227" s="113"/>
      <c r="L227" s="126"/>
    </row>
    <row r="228">
      <c r="J228" s="113"/>
      <c r="L228" s="126"/>
    </row>
    <row r="229">
      <c r="J229" s="113"/>
      <c r="L229" s="126"/>
    </row>
    <row r="230">
      <c r="J230" s="113"/>
      <c r="L230" s="126"/>
    </row>
    <row r="231">
      <c r="J231" s="113"/>
      <c r="L231" s="126"/>
    </row>
    <row r="232">
      <c r="J232" s="113"/>
      <c r="L232" s="126"/>
    </row>
    <row r="233">
      <c r="J233" s="113"/>
      <c r="L233" s="126"/>
    </row>
    <row r="234">
      <c r="J234" s="113"/>
      <c r="L234" s="126"/>
    </row>
    <row r="235">
      <c r="J235" s="113"/>
      <c r="L235" s="126"/>
    </row>
    <row r="236">
      <c r="J236" s="113"/>
      <c r="L236" s="126"/>
    </row>
    <row r="237">
      <c r="J237" s="113"/>
      <c r="L237" s="126"/>
    </row>
    <row r="238">
      <c r="J238" s="113"/>
      <c r="L238" s="126"/>
    </row>
    <row r="239">
      <c r="J239" s="113"/>
      <c r="L239" s="126"/>
    </row>
    <row r="240">
      <c r="J240" s="113"/>
      <c r="L240" s="126"/>
    </row>
    <row r="241">
      <c r="J241" s="113"/>
      <c r="L241" s="126"/>
    </row>
    <row r="242">
      <c r="J242" s="113"/>
      <c r="L242" s="126"/>
    </row>
    <row r="243">
      <c r="J243" s="113"/>
      <c r="L243" s="126"/>
    </row>
    <row r="244">
      <c r="J244" s="113"/>
      <c r="L244" s="126"/>
    </row>
    <row r="245">
      <c r="J245" s="113"/>
      <c r="L245" s="126"/>
    </row>
    <row r="246">
      <c r="J246" s="113"/>
      <c r="L246" s="126"/>
    </row>
    <row r="247">
      <c r="J247" s="113"/>
      <c r="L247" s="126"/>
    </row>
    <row r="248">
      <c r="J248" s="113"/>
      <c r="L248" s="126"/>
    </row>
    <row r="249">
      <c r="J249" s="113"/>
      <c r="L249" s="126"/>
    </row>
    <row r="250">
      <c r="J250" s="113"/>
      <c r="L250" s="126"/>
    </row>
    <row r="251">
      <c r="J251" s="113"/>
      <c r="L251" s="126"/>
    </row>
    <row r="252">
      <c r="J252" s="113"/>
      <c r="L252" s="126"/>
    </row>
    <row r="253">
      <c r="J253" s="113"/>
      <c r="L253" s="126"/>
    </row>
    <row r="254">
      <c r="J254" s="113"/>
      <c r="L254" s="126"/>
    </row>
    <row r="255">
      <c r="J255" s="113"/>
      <c r="L255" s="126"/>
    </row>
    <row r="256">
      <c r="J256" s="113"/>
      <c r="L256" s="126"/>
    </row>
    <row r="257">
      <c r="J257" s="113"/>
      <c r="L257" s="126"/>
    </row>
    <row r="258">
      <c r="J258" s="113"/>
      <c r="L258" s="126"/>
    </row>
    <row r="259">
      <c r="J259" s="113"/>
      <c r="L259" s="126"/>
    </row>
    <row r="260">
      <c r="J260" s="113"/>
      <c r="L260" s="126"/>
    </row>
    <row r="261">
      <c r="J261" s="113"/>
      <c r="L261" s="126"/>
    </row>
    <row r="262">
      <c r="J262" s="113"/>
      <c r="L262" s="126"/>
    </row>
    <row r="263">
      <c r="J263" s="113"/>
      <c r="L263" s="126"/>
    </row>
    <row r="264">
      <c r="J264" s="113"/>
      <c r="L264" s="126"/>
    </row>
    <row r="265">
      <c r="J265" s="113"/>
      <c r="L265" s="126"/>
    </row>
    <row r="266">
      <c r="J266" s="113"/>
      <c r="L266" s="126"/>
    </row>
    <row r="267">
      <c r="J267" s="113"/>
      <c r="L267" s="126"/>
    </row>
    <row r="268">
      <c r="J268" s="113"/>
      <c r="L268" s="126"/>
    </row>
    <row r="269">
      <c r="J269" s="113"/>
      <c r="L269" s="126"/>
    </row>
    <row r="270">
      <c r="J270" s="113"/>
      <c r="L270" s="126"/>
    </row>
    <row r="271">
      <c r="J271" s="113"/>
      <c r="L271" s="126"/>
    </row>
    <row r="272">
      <c r="J272" s="113"/>
      <c r="L272" s="126"/>
    </row>
    <row r="273">
      <c r="J273" s="113"/>
      <c r="L273" s="126"/>
    </row>
    <row r="274">
      <c r="J274" s="113"/>
      <c r="L274" s="126"/>
    </row>
    <row r="275">
      <c r="J275" s="113"/>
      <c r="L275" s="126"/>
    </row>
    <row r="276">
      <c r="J276" s="113"/>
      <c r="L276" s="126"/>
    </row>
    <row r="277">
      <c r="J277" s="113"/>
      <c r="L277" s="126"/>
    </row>
    <row r="278">
      <c r="J278" s="113"/>
      <c r="L278" s="126"/>
    </row>
    <row r="279">
      <c r="J279" s="113"/>
      <c r="L279" s="126"/>
    </row>
    <row r="280">
      <c r="J280" s="113"/>
      <c r="L280" s="126"/>
    </row>
    <row r="281">
      <c r="J281" s="113"/>
      <c r="L281" s="126"/>
    </row>
    <row r="282">
      <c r="J282" s="113"/>
      <c r="L282" s="126"/>
    </row>
    <row r="283">
      <c r="J283" s="113"/>
      <c r="L283" s="126"/>
    </row>
    <row r="284">
      <c r="J284" s="113"/>
      <c r="L284" s="126"/>
    </row>
    <row r="285">
      <c r="J285" s="113"/>
      <c r="L285" s="126"/>
    </row>
    <row r="286">
      <c r="J286" s="113"/>
      <c r="L286" s="126"/>
    </row>
    <row r="287">
      <c r="J287" s="113"/>
      <c r="L287" s="126"/>
    </row>
    <row r="288">
      <c r="J288" s="113"/>
      <c r="L288" s="126"/>
    </row>
    <row r="289">
      <c r="J289" s="113"/>
      <c r="L289" s="126"/>
    </row>
    <row r="290">
      <c r="J290" s="113"/>
      <c r="L290" s="126"/>
    </row>
    <row r="291">
      <c r="J291" s="113"/>
      <c r="L291" s="126"/>
    </row>
    <row r="292">
      <c r="J292" s="113"/>
      <c r="L292" s="126"/>
    </row>
    <row r="293">
      <c r="J293" s="113"/>
      <c r="L293" s="126"/>
    </row>
    <row r="294">
      <c r="J294" s="113"/>
      <c r="L294" s="126"/>
    </row>
    <row r="295">
      <c r="J295" s="113"/>
      <c r="L295" s="126"/>
    </row>
    <row r="296">
      <c r="J296" s="113"/>
      <c r="L296" s="126"/>
    </row>
    <row r="297">
      <c r="J297" s="113"/>
      <c r="L297" s="126"/>
    </row>
    <row r="298">
      <c r="J298" s="113"/>
      <c r="L298" s="126"/>
    </row>
    <row r="299">
      <c r="J299" s="113"/>
      <c r="L299" s="126"/>
    </row>
    <row r="300">
      <c r="J300" s="113"/>
      <c r="L300" s="126"/>
    </row>
    <row r="301">
      <c r="J301" s="113"/>
      <c r="L301" s="126"/>
    </row>
    <row r="302">
      <c r="J302" s="113"/>
      <c r="L302" s="126"/>
    </row>
    <row r="303">
      <c r="J303" s="113"/>
      <c r="L303" s="126"/>
    </row>
    <row r="304">
      <c r="J304" s="113"/>
      <c r="L304" s="126"/>
    </row>
    <row r="305">
      <c r="J305" s="113"/>
      <c r="L305" s="126"/>
    </row>
    <row r="306">
      <c r="J306" s="113"/>
      <c r="L306" s="126"/>
    </row>
    <row r="307">
      <c r="J307" s="113"/>
      <c r="L307" s="126"/>
    </row>
    <row r="308">
      <c r="J308" s="113"/>
      <c r="L308" s="126"/>
    </row>
    <row r="309">
      <c r="J309" s="113"/>
      <c r="L309" s="126"/>
    </row>
    <row r="310">
      <c r="J310" s="113"/>
      <c r="L310" s="126"/>
    </row>
    <row r="311">
      <c r="J311" s="113"/>
      <c r="L311" s="126"/>
    </row>
    <row r="312">
      <c r="J312" s="113"/>
      <c r="L312" s="126"/>
    </row>
    <row r="313">
      <c r="J313" s="113"/>
      <c r="L313" s="126"/>
    </row>
    <row r="314">
      <c r="J314" s="113"/>
      <c r="L314" s="126"/>
    </row>
    <row r="315">
      <c r="J315" s="113"/>
      <c r="L315" s="126"/>
    </row>
    <row r="316">
      <c r="J316" s="113"/>
      <c r="L316" s="126"/>
    </row>
    <row r="317">
      <c r="J317" s="113"/>
      <c r="L317" s="126"/>
    </row>
    <row r="318">
      <c r="J318" s="113"/>
      <c r="L318" s="126"/>
    </row>
    <row r="319">
      <c r="J319" s="113"/>
      <c r="L319" s="126"/>
    </row>
    <row r="320">
      <c r="J320" s="113"/>
      <c r="L320" s="126"/>
    </row>
    <row r="321">
      <c r="J321" s="113"/>
      <c r="L321" s="126"/>
    </row>
    <row r="322">
      <c r="J322" s="113"/>
      <c r="L322" s="126"/>
    </row>
    <row r="323">
      <c r="J323" s="113"/>
      <c r="L323" s="126"/>
    </row>
    <row r="324">
      <c r="J324" s="113"/>
      <c r="L324" s="126"/>
    </row>
    <row r="325">
      <c r="J325" s="113"/>
      <c r="L325" s="126"/>
    </row>
    <row r="326">
      <c r="J326" s="113"/>
      <c r="L326" s="126"/>
    </row>
    <row r="327">
      <c r="J327" s="113"/>
      <c r="L327" s="126"/>
    </row>
    <row r="328">
      <c r="J328" s="113"/>
      <c r="L328" s="126"/>
    </row>
    <row r="329">
      <c r="J329" s="113"/>
      <c r="L329" s="126"/>
    </row>
    <row r="330">
      <c r="J330" s="113"/>
      <c r="L330" s="126"/>
    </row>
    <row r="331">
      <c r="J331" s="113"/>
      <c r="L331" s="126"/>
    </row>
    <row r="332">
      <c r="J332" s="113"/>
      <c r="L332" s="126"/>
    </row>
    <row r="333">
      <c r="J333" s="113"/>
      <c r="L333" s="126"/>
    </row>
    <row r="334">
      <c r="J334" s="113"/>
      <c r="L334" s="126"/>
    </row>
    <row r="335">
      <c r="J335" s="113"/>
      <c r="L335" s="126"/>
    </row>
    <row r="336">
      <c r="J336" s="113"/>
      <c r="L336" s="126"/>
    </row>
    <row r="337">
      <c r="J337" s="113"/>
      <c r="L337" s="126"/>
    </row>
    <row r="338">
      <c r="J338" s="113"/>
      <c r="L338" s="126"/>
    </row>
    <row r="339">
      <c r="J339" s="113"/>
      <c r="L339" s="126"/>
    </row>
    <row r="340">
      <c r="J340" s="113"/>
      <c r="L340" s="126"/>
    </row>
    <row r="341">
      <c r="J341" s="113"/>
      <c r="L341" s="126"/>
    </row>
    <row r="342">
      <c r="J342" s="113"/>
      <c r="L342" s="126"/>
    </row>
    <row r="343">
      <c r="J343" s="113"/>
      <c r="L343" s="126"/>
    </row>
    <row r="344">
      <c r="J344" s="113"/>
      <c r="L344" s="126"/>
    </row>
    <row r="345">
      <c r="J345" s="113"/>
      <c r="L345" s="126"/>
    </row>
    <row r="346">
      <c r="J346" s="113"/>
      <c r="L346" s="126"/>
    </row>
    <row r="347">
      <c r="J347" s="113"/>
      <c r="L347" s="126"/>
    </row>
    <row r="348">
      <c r="J348" s="113"/>
      <c r="L348" s="126"/>
    </row>
    <row r="349">
      <c r="J349" s="113"/>
      <c r="L349" s="126"/>
    </row>
    <row r="350">
      <c r="J350" s="113"/>
      <c r="L350" s="126"/>
    </row>
    <row r="351">
      <c r="J351" s="113"/>
      <c r="L351" s="126"/>
    </row>
    <row r="352">
      <c r="J352" s="113"/>
      <c r="L352" s="126"/>
    </row>
    <row r="353">
      <c r="J353" s="113"/>
      <c r="L353" s="126"/>
    </row>
    <row r="354">
      <c r="J354" s="113"/>
      <c r="L354" s="126"/>
    </row>
    <row r="355">
      <c r="J355" s="113"/>
      <c r="L355" s="126"/>
    </row>
    <row r="356">
      <c r="J356" s="113"/>
      <c r="L356" s="126"/>
    </row>
    <row r="357">
      <c r="J357" s="113"/>
      <c r="L357" s="126"/>
    </row>
    <row r="358">
      <c r="J358" s="113"/>
      <c r="L358" s="126"/>
    </row>
    <row r="359">
      <c r="J359" s="113"/>
      <c r="L359" s="126"/>
    </row>
    <row r="360">
      <c r="J360" s="113"/>
      <c r="L360" s="126"/>
    </row>
    <row r="361">
      <c r="J361" s="113"/>
      <c r="L361" s="126"/>
    </row>
    <row r="362">
      <c r="J362" s="113"/>
      <c r="L362" s="126"/>
    </row>
    <row r="363">
      <c r="J363" s="113"/>
      <c r="L363" s="126"/>
    </row>
    <row r="364">
      <c r="J364" s="113"/>
      <c r="L364" s="126"/>
    </row>
    <row r="365">
      <c r="J365" s="113"/>
      <c r="L365" s="126"/>
    </row>
    <row r="366">
      <c r="J366" s="113"/>
      <c r="L366" s="126"/>
    </row>
    <row r="367">
      <c r="J367" s="113"/>
      <c r="L367" s="126"/>
    </row>
    <row r="368">
      <c r="J368" s="113"/>
      <c r="L368" s="126"/>
    </row>
    <row r="369">
      <c r="J369" s="113"/>
      <c r="L369" s="126"/>
    </row>
    <row r="370">
      <c r="J370" s="113"/>
      <c r="L370" s="126"/>
    </row>
    <row r="371">
      <c r="J371" s="113"/>
      <c r="L371" s="126"/>
    </row>
    <row r="372">
      <c r="J372" s="113"/>
      <c r="L372" s="126"/>
    </row>
    <row r="373">
      <c r="J373" s="113"/>
      <c r="L373" s="126"/>
    </row>
    <row r="374">
      <c r="J374" s="113"/>
      <c r="L374" s="126"/>
    </row>
    <row r="375">
      <c r="J375" s="113"/>
      <c r="L375" s="126"/>
    </row>
    <row r="376">
      <c r="J376" s="113"/>
      <c r="L376" s="126"/>
    </row>
    <row r="377">
      <c r="J377" s="113"/>
      <c r="L377" s="126"/>
    </row>
    <row r="378">
      <c r="J378" s="113"/>
      <c r="L378" s="126"/>
    </row>
    <row r="379">
      <c r="J379" s="113"/>
      <c r="L379" s="126"/>
    </row>
    <row r="380">
      <c r="J380" s="113"/>
      <c r="L380" s="126"/>
    </row>
    <row r="381">
      <c r="J381" s="113"/>
      <c r="L381" s="126"/>
    </row>
    <row r="382">
      <c r="J382" s="113"/>
      <c r="L382" s="126"/>
    </row>
    <row r="383">
      <c r="J383" s="113"/>
      <c r="L383" s="126"/>
    </row>
    <row r="384">
      <c r="J384" s="113"/>
      <c r="L384" s="126"/>
    </row>
    <row r="385">
      <c r="J385" s="113"/>
      <c r="L385" s="126"/>
    </row>
    <row r="386">
      <c r="J386" s="113"/>
      <c r="L386" s="126"/>
    </row>
    <row r="387">
      <c r="J387" s="113"/>
      <c r="L387" s="126"/>
    </row>
    <row r="388">
      <c r="J388" s="113"/>
      <c r="L388" s="126"/>
    </row>
    <row r="389">
      <c r="J389" s="113"/>
      <c r="L389" s="126"/>
    </row>
    <row r="390">
      <c r="J390" s="113"/>
      <c r="L390" s="126"/>
    </row>
    <row r="391">
      <c r="J391" s="113"/>
      <c r="L391" s="126"/>
    </row>
    <row r="392">
      <c r="J392" s="113"/>
      <c r="L392" s="126"/>
    </row>
    <row r="393">
      <c r="J393" s="113"/>
      <c r="L393" s="126"/>
    </row>
    <row r="394">
      <c r="J394" s="113"/>
      <c r="L394" s="126"/>
    </row>
    <row r="395">
      <c r="J395" s="113"/>
      <c r="L395" s="126"/>
    </row>
    <row r="396">
      <c r="J396" s="113"/>
      <c r="L396" s="126"/>
    </row>
    <row r="397">
      <c r="J397" s="113"/>
      <c r="L397" s="126"/>
    </row>
    <row r="398">
      <c r="J398" s="113"/>
      <c r="L398" s="126"/>
    </row>
    <row r="399">
      <c r="J399" s="113"/>
      <c r="L399" s="126"/>
    </row>
    <row r="400">
      <c r="J400" s="113"/>
      <c r="L400" s="126"/>
    </row>
    <row r="401">
      <c r="J401" s="113"/>
      <c r="L401" s="126"/>
    </row>
    <row r="402">
      <c r="J402" s="113"/>
      <c r="L402" s="126"/>
    </row>
    <row r="403">
      <c r="J403" s="113"/>
      <c r="L403" s="126"/>
    </row>
    <row r="404">
      <c r="J404" s="113"/>
      <c r="L404" s="126"/>
    </row>
    <row r="405">
      <c r="J405" s="113"/>
      <c r="L405" s="126"/>
    </row>
    <row r="406">
      <c r="J406" s="113"/>
      <c r="L406" s="126"/>
    </row>
    <row r="407">
      <c r="J407" s="113"/>
      <c r="L407" s="126"/>
    </row>
    <row r="408">
      <c r="J408" s="113"/>
      <c r="L408" s="126"/>
    </row>
    <row r="409">
      <c r="J409" s="113"/>
      <c r="L409" s="126"/>
    </row>
    <row r="410">
      <c r="J410" s="113"/>
      <c r="L410" s="126"/>
    </row>
    <row r="411">
      <c r="J411" s="113"/>
      <c r="L411" s="126"/>
    </row>
    <row r="412">
      <c r="J412" s="113"/>
      <c r="L412" s="126"/>
    </row>
    <row r="413">
      <c r="J413" s="113"/>
      <c r="L413" s="126"/>
    </row>
    <row r="414">
      <c r="J414" s="113"/>
      <c r="L414" s="126"/>
    </row>
    <row r="415">
      <c r="J415" s="113"/>
      <c r="L415" s="126"/>
    </row>
    <row r="416">
      <c r="J416" s="113"/>
      <c r="L416" s="126"/>
    </row>
    <row r="417">
      <c r="J417" s="113"/>
      <c r="L417" s="126"/>
    </row>
    <row r="418">
      <c r="J418" s="113"/>
      <c r="L418" s="126"/>
    </row>
    <row r="419">
      <c r="J419" s="113"/>
      <c r="L419" s="126"/>
    </row>
    <row r="420">
      <c r="J420" s="113"/>
      <c r="L420" s="126"/>
    </row>
    <row r="421">
      <c r="J421" s="113"/>
      <c r="L421" s="126"/>
    </row>
    <row r="422">
      <c r="J422" s="113"/>
      <c r="L422" s="126"/>
    </row>
    <row r="423">
      <c r="J423" s="113"/>
      <c r="L423" s="126"/>
    </row>
    <row r="424">
      <c r="J424" s="113"/>
      <c r="L424" s="126"/>
    </row>
    <row r="425">
      <c r="J425" s="113"/>
      <c r="L425" s="126"/>
    </row>
    <row r="426">
      <c r="J426" s="113"/>
      <c r="L426" s="126"/>
    </row>
    <row r="427">
      <c r="J427" s="113"/>
      <c r="L427" s="126"/>
    </row>
    <row r="428">
      <c r="J428" s="113"/>
      <c r="L428" s="126"/>
    </row>
    <row r="429">
      <c r="J429" s="113"/>
      <c r="L429" s="126"/>
    </row>
    <row r="430">
      <c r="J430" s="113"/>
      <c r="L430" s="126"/>
    </row>
    <row r="431">
      <c r="J431" s="113"/>
      <c r="L431" s="126"/>
    </row>
    <row r="432">
      <c r="J432" s="113"/>
      <c r="L432" s="126"/>
    </row>
    <row r="433">
      <c r="J433" s="113"/>
      <c r="L433" s="126"/>
    </row>
    <row r="434">
      <c r="J434" s="113"/>
      <c r="L434" s="126"/>
    </row>
    <row r="435">
      <c r="J435" s="113"/>
      <c r="L435" s="126"/>
    </row>
    <row r="436">
      <c r="J436" s="113"/>
      <c r="L436" s="126"/>
    </row>
    <row r="437">
      <c r="J437" s="113"/>
      <c r="L437" s="126"/>
    </row>
    <row r="438">
      <c r="J438" s="113"/>
      <c r="L438" s="126"/>
    </row>
    <row r="439">
      <c r="J439" s="113"/>
      <c r="L439" s="126"/>
    </row>
    <row r="440">
      <c r="J440" s="113"/>
      <c r="L440" s="126"/>
    </row>
    <row r="441">
      <c r="J441" s="113"/>
      <c r="L441" s="126"/>
    </row>
    <row r="442">
      <c r="J442" s="113"/>
      <c r="L442" s="126"/>
    </row>
    <row r="443">
      <c r="J443" s="113"/>
      <c r="L443" s="126"/>
    </row>
    <row r="444">
      <c r="J444" s="113"/>
      <c r="L444" s="126"/>
    </row>
    <row r="445">
      <c r="J445" s="113"/>
      <c r="L445" s="126"/>
    </row>
    <row r="446">
      <c r="J446" s="113"/>
      <c r="L446" s="126"/>
    </row>
    <row r="447">
      <c r="J447" s="113"/>
      <c r="L447" s="126"/>
    </row>
    <row r="448">
      <c r="J448" s="113"/>
      <c r="L448" s="126"/>
    </row>
    <row r="449">
      <c r="J449" s="113"/>
      <c r="L449" s="126"/>
    </row>
    <row r="450">
      <c r="J450" s="113"/>
      <c r="L450" s="126"/>
    </row>
    <row r="451">
      <c r="J451" s="113"/>
      <c r="L451" s="126"/>
    </row>
    <row r="452">
      <c r="J452" s="113"/>
      <c r="L452" s="126"/>
    </row>
    <row r="453">
      <c r="J453" s="113"/>
      <c r="L453" s="126"/>
    </row>
    <row r="454">
      <c r="J454" s="113"/>
      <c r="L454" s="126"/>
    </row>
    <row r="455">
      <c r="J455" s="113"/>
      <c r="L455" s="126"/>
    </row>
    <row r="456">
      <c r="J456" s="113"/>
      <c r="L456" s="126"/>
    </row>
    <row r="457">
      <c r="J457" s="113"/>
      <c r="L457" s="126"/>
    </row>
    <row r="458">
      <c r="J458" s="113"/>
      <c r="L458" s="126"/>
    </row>
    <row r="459">
      <c r="J459" s="113"/>
      <c r="L459" s="126"/>
    </row>
    <row r="460">
      <c r="J460" s="113"/>
      <c r="L460" s="126"/>
    </row>
    <row r="461">
      <c r="J461" s="113"/>
      <c r="L461" s="126"/>
    </row>
    <row r="462">
      <c r="J462" s="113"/>
      <c r="L462" s="126"/>
    </row>
    <row r="463">
      <c r="J463" s="113"/>
      <c r="L463" s="126"/>
    </row>
    <row r="464">
      <c r="J464" s="113"/>
      <c r="L464" s="126"/>
    </row>
    <row r="465">
      <c r="J465" s="113"/>
      <c r="L465" s="126"/>
    </row>
    <row r="466">
      <c r="J466" s="113"/>
      <c r="L466" s="126"/>
    </row>
    <row r="467">
      <c r="J467" s="113"/>
      <c r="L467" s="126"/>
    </row>
    <row r="468">
      <c r="J468" s="113"/>
      <c r="L468" s="126"/>
    </row>
    <row r="469">
      <c r="J469" s="113"/>
      <c r="L469" s="126"/>
    </row>
    <row r="470">
      <c r="J470" s="113"/>
      <c r="L470" s="126"/>
    </row>
    <row r="471">
      <c r="J471" s="113"/>
      <c r="L471" s="126"/>
    </row>
    <row r="472">
      <c r="J472" s="113"/>
      <c r="L472" s="126"/>
    </row>
    <row r="473">
      <c r="J473" s="113"/>
      <c r="L473" s="126"/>
    </row>
    <row r="474">
      <c r="J474" s="113"/>
      <c r="L474" s="126"/>
    </row>
    <row r="475">
      <c r="J475" s="113"/>
      <c r="L475" s="126"/>
    </row>
    <row r="476">
      <c r="J476" s="113"/>
      <c r="L476" s="126"/>
    </row>
    <row r="477">
      <c r="J477" s="113"/>
      <c r="L477" s="126"/>
    </row>
    <row r="478">
      <c r="J478" s="113"/>
      <c r="L478" s="126"/>
    </row>
    <row r="479">
      <c r="J479" s="113"/>
      <c r="L479" s="126"/>
    </row>
    <row r="480">
      <c r="J480" s="113"/>
      <c r="L480" s="126"/>
    </row>
    <row r="481">
      <c r="J481" s="113"/>
      <c r="L481" s="126"/>
    </row>
    <row r="482">
      <c r="J482" s="113"/>
      <c r="L482" s="126"/>
    </row>
    <row r="483">
      <c r="J483" s="113"/>
      <c r="L483" s="126"/>
    </row>
    <row r="484">
      <c r="J484" s="113"/>
      <c r="L484" s="126"/>
    </row>
    <row r="485">
      <c r="J485" s="113"/>
      <c r="L485" s="126"/>
    </row>
    <row r="486">
      <c r="J486" s="113"/>
      <c r="L486" s="126"/>
    </row>
    <row r="487">
      <c r="J487" s="113"/>
      <c r="L487" s="126"/>
    </row>
    <row r="488">
      <c r="J488" s="113"/>
      <c r="L488" s="126"/>
    </row>
    <row r="489">
      <c r="J489" s="113"/>
      <c r="L489" s="126"/>
    </row>
    <row r="490">
      <c r="J490" s="113"/>
      <c r="L490" s="126"/>
    </row>
    <row r="491">
      <c r="J491" s="113"/>
      <c r="L491" s="126"/>
    </row>
    <row r="492">
      <c r="J492" s="113"/>
      <c r="L492" s="126"/>
    </row>
    <row r="493">
      <c r="J493" s="113"/>
      <c r="L493" s="126"/>
    </row>
    <row r="494">
      <c r="J494" s="113"/>
      <c r="L494" s="126"/>
    </row>
    <row r="495">
      <c r="J495" s="113"/>
      <c r="L495" s="126"/>
    </row>
    <row r="496">
      <c r="J496" s="113"/>
      <c r="L496" s="126"/>
    </row>
    <row r="497">
      <c r="J497" s="113"/>
      <c r="L497" s="126"/>
    </row>
    <row r="498">
      <c r="J498" s="113"/>
      <c r="L498" s="126"/>
    </row>
    <row r="499">
      <c r="J499" s="113"/>
      <c r="L499" s="126"/>
    </row>
    <row r="500">
      <c r="J500" s="113"/>
      <c r="L500" s="126"/>
    </row>
    <row r="501">
      <c r="J501" s="113"/>
      <c r="L501" s="126"/>
    </row>
    <row r="502">
      <c r="J502" s="113"/>
      <c r="L502" s="126"/>
    </row>
    <row r="503">
      <c r="J503" s="113"/>
      <c r="L503" s="126"/>
    </row>
    <row r="504">
      <c r="J504" s="113"/>
      <c r="L504" s="126"/>
    </row>
    <row r="505">
      <c r="J505" s="113"/>
      <c r="L505" s="126"/>
    </row>
    <row r="506">
      <c r="J506" s="113"/>
      <c r="L506" s="126"/>
    </row>
    <row r="507">
      <c r="J507" s="113"/>
      <c r="L507" s="126"/>
    </row>
    <row r="508">
      <c r="J508" s="113"/>
      <c r="L508" s="126"/>
    </row>
    <row r="509">
      <c r="J509" s="113"/>
      <c r="L509" s="126"/>
    </row>
    <row r="510">
      <c r="J510" s="113"/>
      <c r="L510" s="126"/>
    </row>
    <row r="511">
      <c r="J511" s="113"/>
      <c r="L511" s="126"/>
    </row>
    <row r="512">
      <c r="J512" s="113"/>
      <c r="L512" s="126"/>
    </row>
    <row r="513">
      <c r="J513" s="113"/>
      <c r="L513" s="126"/>
    </row>
    <row r="514">
      <c r="J514" s="113"/>
      <c r="L514" s="126"/>
    </row>
    <row r="515">
      <c r="J515" s="113"/>
      <c r="L515" s="126"/>
    </row>
    <row r="516">
      <c r="J516" s="113"/>
      <c r="L516" s="126"/>
    </row>
    <row r="517">
      <c r="J517" s="113"/>
      <c r="L517" s="126"/>
    </row>
    <row r="518">
      <c r="J518" s="113"/>
      <c r="L518" s="126"/>
    </row>
    <row r="519">
      <c r="J519" s="113"/>
      <c r="L519" s="126"/>
    </row>
    <row r="520">
      <c r="J520" s="113"/>
      <c r="L520" s="126"/>
    </row>
    <row r="521">
      <c r="J521" s="113"/>
      <c r="L521" s="126"/>
    </row>
    <row r="522">
      <c r="J522" s="113"/>
      <c r="L522" s="126"/>
    </row>
    <row r="523">
      <c r="J523" s="113"/>
      <c r="L523" s="126"/>
    </row>
    <row r="524">
      <c r="J524" s="113"/>
      <c r="L524" s="126"/>
    </row>
    <row r="525">
      <c r="J525" s="113"/>
      <c r="L525" s="126"/>
    </row>
    <row r="526">
      <c r="J526" s="113"/>
      <c r="L526" s="126"/>
    </row>
    <row r="527">
      <c r="J527" s="113"/>
      <c r="L527" s="126"/>
    </row>
    <row r="528">
      <c r="J528" s="113"/>
      <c r="L528" s="126"/>
    </row>
    <row r="529">
      <c r="J529" s="113"/>
      <c r="L529" s="126"/>
    </row>
    <row r="530">
      <c r="J530" s="113"/>
      <c r="L530" s="126"/>
    </row>
    <row r="531">
      <c r="J531" s="113"/>
      <c r="L531" s="126"/>
    </row>
    <row r="532">
      <c r="J532" s="113"/>
      <c r="L532" s="126"/>
    </row>
    <row r="533">
      <c r="J533" s="113"/>
      <c r="L533" s="126"/>
    </row>
    <row r="534">
      <c r="J534" s="113"/>
      <c r="L534" s="126"/>
    </row>
    <row r="535">
      <c r="J535" s="113"/>
      <c r="L535" s="126"/>
    </row>
    <row r="536">
      <c r="J536" s="113"/>
      <c r="L536" s="126"/>
    </row>
    <row r="537">
      <c r="J537" s="113"/>
      <c r="L537" s="126"/>
    </row>
    <row r="538">
      <c r="J538" s="113"/>
      <c r="L538" s="126"/>
    </row>
    <row r="539">
      <c r="J539" s="113"/>
      <c r="L539" s="126"/>
    </row>
    <row r="540">
      <c r="J540" s="113"/>
      <c r="L540" s="126"/>
    </row>
    <row r="541">
      <c r="J541" s="113"/>
      <c r="L541" s="126"/>
    </row>
    <row r="542">
      <c r="J542" s="113"/>
      <c r="L542" s="126"/>
    </row>
    <row r="543">
      <c r="J543" s="113"/>
      <c r="L543" s="126"/>
    </row>
    <row r="544">
      <c r="J544" s="113"/>
      <c r="L544" s="126"/>
    </row>
    <row r="545">
      <c r="J545" s="113"/>
      <c r="L545" s="126"/>
    </row>
    <row r="546">
      <c r="J546" s="113"/>
      <c r="L546" s="126"/>
    </row>
    <row r="547">
      <c r="J547" s="113"/>
      <c r="L547" s="126"/>
    </row>
    <row r="548">
      <c r="J548" s="113"/>
      <c r="L548" s="126"/>
    </row>
    <row r="549">
      <c r="J549" s="113"/>
      <c r="L549" s="126"/>
    </row>
    <row r="550">
      <c r="J550" s="113"/>
      <c r="L550" s="126"/>
    </row>
    <row r="551">
      <c r="J551" s="113"/>
      <c r="L551" s="126"/>
    </row>
    <row r="552">
      <c r="J552" s="113"/>
      <c r="L552" s="126"/>
    </row>
    <row r="553">
      <c r="J553" s="113"/>
      <c r="L553" s="126"/>
    </row>
    <row r="554">
      <c r="J554" s="113"/>
      <c r="L554" s="126"/>
    </row>
    <row r="555">
      <c r="J555" s="113"/>
      <c r="L555" s="126"/>
    </row>
    <row r="556">
      <c r="J556" s="113"/>
      <c r="L556" s="126"/>
    </row>
    <row r="557">
      <c r="J557" s="113"/>
      <c r="L557" s="126"/>
    </row>
    <row r="558">
      <c r="J558" s="113"/>
      <c r="L558" s="126"/>
    </row>
    <row r="559">
      <c r="J559" s="113"/>
      <c r="L559" s="126"/>
    </row>
    <row r="560">
      <c r="J560" s="113"/>
      <c r="L560" s="126"/>
    </row>
    <row r="561">
      <c r="J561" s="113"/>
      <c r="L561" s="126"/>
    </row>
    <row r="562">
      <c r="J562" s="113"/>
      <c r="L562" s="126"/>
    </row>
    <row r="563">
      <c r="J563" s="113"/>
      <c r="L563" s="126"/>
    </row>
    <row r="564">
      <c r="J564" s="113"/>
      <c r="L564" s="126"/>
    </row>
    <row r="565">
      <c r="J565" s="113"/>
      <c r="L565" s="126"/>
    </row>
    <row r="566">
      <c r="J566" s="113"/>
      <c r="L566" s="126"/>
    </row>
    <row r="567">
      <c r="J567" s="113"/>
      <c r="L567" s="126"/>
    </row>
    <row r="568">
      <c r="J568" s="113"/>
      <c r="L568" s="126"/>
    </row>
    <row r="569">
      <c r="J569" s="113"/>
      <c r="L569" s="126"/>
    </row>
    <row r="570">
      <c r="J570" s="113"/>
      <c r="L570" s="126"/>
    </row>
    <row r="571">
      <c r="J571" s="113"/>
      <c r="L571" s="126"/>
    </row>
    <row r="572">
      <c r="J572" s="113"/>
      <c r="L572" s="126"/>
    </row>
    <row r="573">
      <c r="J573" s="113"/>
      <c r="L573" s="126"/>
    </row>
    <row r="574">
      <c r="J574" s="113"/>
      <c r="L574" s="126"/>
    </row>
    <row r="575">
      <c r="J575" s="113"/>
      <c r="L575" s="126"/>
    </row>
    <row r="576">
      <c r="J576" s="113"/>
      <c r="L576" s="126"/>
    </row>
    <row r="577">
      <c r="J577" s="113"/>
      <c r="L577" s="126"/>
    </row>
    <row r="578">
      <c r="J578" s="113"/>
      <c r="L578" s="126"/>
    </row>
    <row r="579">
      <c r="J579" s="113"/>
      <c r="L579" s="126"/>
    </row>
    <row r="580">
      <c r="J580" s="113"/>
      <c r="L580" s="126"/>
    </row>
    <row r="581">
      <c r="J581" s="113"/>
      <c r="L581" s="126"/>
    </row>
    <row r="582">
      <c r="J582" s="113"/>
      <c r="L582" s="126"/>
    </row>
    <row r="583">
      <c r="J583" s="113"/>
      <c r="L583" s="126"/>
    </row>
    <row r="584">
      <c r="J584" s="113"/>
      <c r="L584" s="126"/>
    </row>
    <row r="585">
      <c r="J585" s="113"/>
      <c r="L585" s="126"/>
    </row>
    <row r="586">
      <c r="J586" s="113"/>
      <c r="L586" s="126"/>
    </row>
    <row r="587">
      <c r="J587" s="113"/>
      <c r="L587" s="126"/>
    </row>
    <row r="588">
      <c r="J588" s="113"/>
      <c r="L588" s="126"/>
    </row>
    <row r="589">
      <c r="J589" s="113"/>
      <c r="L589" s="126"/>
    </row>
    <row r="590">
      <c r="J590" s="113"/>
      <c r="L590" s="126"/>
    </row>
    <row r="591">
      <c r="J591" s="113"/>
      <c r="L591" s="126"/>
    </row>
    <row r="592">
      <c r="J592" s="113"/>
      <c r="L592" s="126"/>
    </row>
    <row r="593">
      <c r="J593" s="113"/>
      <c r="L593" s="126"/>
    </row>
    <row r="594">
      <c r="J594" s="113"/>
      <c r="L594" s="126"/>
    </row>
    <row r="595">
      <c r="J595" s="113"/>
      <c r="L595" s="126"/>
    </row>
    <row r="596">
      <c r="J596" s="113"/>
      <c r="L596" s="126"/>
    </row>
    <row r="597">
      <c r="J597" s="113"/>
      <c r="L597" s="126"/>
    </row>
    <row r="598">
      <c r="J598" s="113"/>
      <c r="L598" s="126"/>
    </row>
    <row r="599">
      <c r="J599" s="113"/>
      <c r="L599" s="126"/>
    </row>
    <row r="600">
      <c r="J600" s="113"/>
      <c r="L600" s="126"/>
    </row>
    <row r="601">
      <c r="J601" s="113"/>
      <c r="L601" s="126"/>
    </row>
    <row r="602">
      <c r="J602" s="113"/>
      <c r="L602" s="126"/>
    </row>
    <row r="603">
      <c r="J603" s="113"/>
      <c r="L603" s="126"/>
    </row>
    <row r="604">
      <c r="J604" s="113"/>
      <c r="L604" s="126"/>
    </row>
    <row r="605">
      <c r="J605" s="113"/>
      <c r="L605" s="126"/>
    </row>
    <row r="606">
      <c r="J606" s="113"/>
      <c r="L606" s="126"/>
    </row>
    <row r="607">
      <c r="J607" s="113"/>
      <c r="L607" s="126"/>
    </row>
    <row r="608">
      <c r="J608" s="113"/>
      <c r="L608" s="126"/>
    </row>
    <row r="609">
      <c r="J609" s="113"/>
      <c r="L609" s="126"/>
    </row>
    <row r="610">
      <c r="J610" s="113"/>
      <c r="L610" s="126"/>
    </row>
    <row r="611">
      <c r="J611" s="113"/>
      <c r="L611" s="126"/>
    </row>
    <row r="612">
      <c r="J612" s="113"/>
      <c r="L612" s="126"/>
    </row>
    <row r="613">
      <c r="J613" s="113"/>
      <c r="L613" s="126"/>
    </row>
    <row r="614">
      <c r="J614" s="113"/>
      <c r="L614" s="126"/>
    </row>
    <row r="615">
      <c r="J615" s="113"/>
      <c r="L615" s="126"/>
    </row>
    <row r="616">
      <c r="J616" s="113"/>
      <c r="L616" s="126"/>
    </row>
    <row r="617">
      <c r="J617" s="113"/>
      <c r="L617" s="126"/>
    </row>
    <row r="618">
      <c r="J618" s="113"/>
      <c r="L618" s="126"/>
    </row>
    <row r="619">
      <c r="J619" s="113"/>
      <c r="L619" s="126"/>
    </row>
    <row r="620">
      <c r="J620" s="113"/>
      <c r="L620" s="126"/>
    </row>
    <row r="621">
      <c r="J621" s="113"/>
      <c r="L621" s="126"/>
    </row>
    <row r="622">
      <c r="J622" s="113"/>
      <c r="L622" s="126"/>
    </row>
    <row r="623">
      <c r="J623" s="113"/>
      <c r="L623" s="126"/>
    </row>
    <row r="624">
      <c r="J624" s="113"/>
      <c r="L624" s="126"/>
    </row>
    <row r="625">
      <c r="J625" s="113"/>
      <c r="L625" s="126"/>
    </row>
    <row r="626">
      <c r="J626" s="113"/>
      <c r="L626" s="126"/>
    </row>
    <row r="627">
      <c r="J627" s="113"/>
      <c r="L627" s="126"/>
    </row>
    <row r="628">
      <c r="J628" s="113"/>
      <c r="L628" s="126"/>
    </row>
    <row r="629">
      <c r="J629" s="113"/>
      <c r="L629" s="126"/>
    </row>
    <row r="630">
      <c r="J630" s="113"/>
      <c r="L630" s="126"/>
    </row>
    <row r="631">
      <c r="J631" s="113"/>
      <c r="L631" s="126"/>
    </row>
    <row r="632">
      <c r="J632" s="113"/>
      <c r="L632" s="126"/>
    </row>
    <row r="633">
      <c r="J633" s="113"/>
      <c r="L633" s="126"/>
    </row>
    <row r="634">
      <c r="J634" s="113"/>
      <c r="L634" s="126"/>
    </row>
    <row r="635">
      <c r="J635" s="113"/>
      <c r="L635" s="126"/>
    </row>
    <row r="636">
      <c r="J636" s="113"/>
      <c r="L636" s="126"/>
    </row>
    <row r="637">
      <c r="J637" s="113"/>
      <c r="L637" s="126"/>
    </row>
    <row r="638">
      <c r="J638" s="113"/>
      <c r="L638" s="126"/>
    </row>
    <row r="639">
      <c r="J639" s="113"/>
      <c r="L639" s="126"/>
    </row>
    <row r="640">
      <c r="J640" s="113"/>
      <c r="L640" s="126"/>
    </row>
    <row r="641">
      <c r="J641" s="113"/>
      <c r="L641" s="126"/>
    </row>
    <row r="642">
      <c r="J642" s="113"/>
      <c r="L642" s="126"/>
    </row>
    <row r="643">
      <c r="J643" s="113"/>
      <c r="L643" s="126"/>
    </row>
    <row r="644">
      <c r="J644" s="113"/>
      <c r="L644" s="126"/>
    </row>
    <row r="645">
      <c r="J645" s="113"/>
      <c r="L645" s="126"/>
    </row>
    <row r="646">
      <c r="J646" s="113"/>
      <c r="L646" s="126"/>
    </row>
    <row r="647">
      <c r="J647" s="113"/>
      <c r="L647" s="126"/>
    </row>
    <row r="648">
      <c r="J648" s="113"/>
      <c r="L648" s="126"/>
    </row>
    <row r="649">
      <c r="J649" s="113"/>
      <c r="L649" s="126"/>
    </row>
    <row r="650">
      <c r="J650" s="113"/>
      <c r="L650" s="126"/>
    </row>
    <row r="651">
      <c r="J651" s="113"/>
      <c r="L651" s="126"/>
    </row>
    <row r="652">
      <c r="J652" s="113"/>
      <c r="L652" s="126"/>
    </row>
    <row r="653">
      <c r="J653" s="113"/>
      <c r="L653" s="126"/>
    </row>
    <row r="654">
      <c r="J654" s="113"/>
      <c r="L654" s="126"/>
    </row>
    <row r="655">
      <c r="J655" s="113"/>
      <c r="L655" s="126"/>
    </row>
    <row r="656">
      <c r="J656" s="113"/>
      <c r="L656" s="126"/>
    </row>
    <row r="657">
      <c r="J657" s="113"/>
      <c r="L657" s="126"/>
    </row>
    <row r="658">
      <c r="J658" s="113"/>
      <c r="L658" s="126"/>
    </row>
    <row r="659">
      <c r="J659" s="113"/>
      <c r="L659" s="126"/>
    </row>
    <row r="660">
      <c r="J660" s="113"/>
      <c r="L660" s="126"/>
    </row>
    <row r="661">
      <c r="J661" s="113"/>
      <c r="L661" s="126"/>
    </row>
    <row r="662">
      <c r="J662" s="113"/>
      <c r="L662" s="126"/>
    </row>
    <row r="663">
      <c r="J663" s="113"/>
      <c r="L663" s="126"/>
    </row>
    <row r="664">
      <c r="J664" s="113"/>
      <c r="L664" s="126"/>
    </row>
    <row r="665">
      <c r="J665" s="113"/>
      <c r="L665" s="126"/>
    </row>
    <row r="666">
      <c r="J666" s="113"/>
      <c r="L666" s="126"/>
    </row>
    <row r="667">
      <c r="J667" s="113"/>
      <c r="L667" s="126"/>
    </row>
    <row r="668">
      <c r="J668" s="113"/>
      <c r="L668" s="126"/>
    </row>
    <row r="669">
      <c r="J669" s="113"/>
      <c r="L669" s="126"/>
    </row>
    <row r="670">
      <c r="J670" s="113"/>
      <c r="L670" s="126"/>
    </row>
    <row r="671">
      <c r="J671" s="113"/>
      <c r="L671" s="126"/>
    </row>
    <row r="672">
      <c r="J672" s="113"/>
      <c r="L672" s="126"/>
    </row>
    <row r="673">
      <c r="J673" s="113"/>
      <c r="L673" s="126"/>
    </row>
    <row r="674">
      <c r="J674" s="113"/>
      <c r="L674" s="126"/>
    </row>
    <row r="675">
      <c r="J675" s="113"/>
      <c r="L675" s="126"/>
    </row>
    <row r="676">
      <c r="J676" s="113"/>
      <c r="L676" s="126"/>
    </row>
    <row r="677">
      <c r="J677" s="113"/>
      <c r="L677" s="126"/>
    </row>
    <row r="678">
      <c r="J678" s="113"/>
      <c r="L678" s="126"/>
    </row>
    <row r="679">
      <c r="J679" s="113"/>
      <c r="L679" s="126"/>
    </row>
    <row r="680">
      <c r="J680" s="113"/>
      <c r="L680" s="126"/>
    </row>
    <row r="681">
      <c r="J681" s="113"/>
      <c r="L681" s="126"/>
    </row>
    <row r="682">
      <c r="J682" s="113"/>
      <c r="L682" s="126"/>
    </row>
    <row r="683">
      <c r="J683" s="113"/>
      <c r="L683" s="126"/>
    </row>
    <row r="684">
      <c r="J684" s="113"/>
      <c r="L684" s="126"/>
    </row>
    <row r="685">
      <c r="J685" s="113"/>
      <c r="L685" s="126"/>
    </row>
    <row r="686">
      <c r="J686" s="113"/>
      <c r="L686" s="126"/>
    </row>
    <row r="687">
      <c r="J687" s="113"/>
      <c r="L687" s="126"/>
    </row>
    <row r="688">
      <c r="J688" s="113"/>
      <c r="L688" s="126"/>
    </row>
    <row r="689">
      <c r="J689" s="113"/>
      <c r="L689" s="126"/>
    </row>
    <row r="690">
      <c r="J690" s="113"/>
      <c r="L690" s="126"/>
    </row>
    <row r="691">
      <c r="J691" s="113"/>
      <c r="L691" s="126"/>
    </row>
    <row r="692">
      <c r="J692" s="113"/>
      <c r="L692" s="126"/>
    </row>
    <row r="693">
      <c r="J693" s="113"/>
      <c r="L693" s="126"/>
    </row>
    <row r="694">
      <c r="J694" s="113"/>
      <c r="L694" s="126"/>
    </row>
    <row r="695">
      <c r="J695" s="113"/>
      <c r="L695" s="126"/>
    </row>
    <row r="696">
      <c r="J696" s="113"/>
      <c r="L696" s="126"/>
    </row>
    <row r="697">
      <c r="J697" s="113"/>
      <c r="L697" s="126"/>
    </row>
    <row r="698">
      <c r="J698" s="113"/>
      <c r="L698" s="126"/>
    </row>
    <row r="699">
      <c r="J699" s="113"/>
      <c r="L699" s="126"/>
    </row>
    <row r="700">
      <c r="J700" s="113"/>
      <c r="L700" s="126"/>
    </row>
    <row r="701">
      <c r="J701" s="113"/>
      <c r="L701" s="126"/>
    </row>
    <row r="702">
      <c r="J702" s="113"/>
      <c r="L702" s="126"/>
    </row>
    <row r="703">
      <c r="J703" s="113"/>
      <c r="L703" s="126"/>
    </row>
    <row r="704">
      <c r="J704" s="113"/>
      <c r="L704" s="126"/>
    </row>
    <row r="705">
      <c r="J705" s="113"/>
      <c r="L705" s="126"/>
    </row>
    <row r="706">
      <c r="J706" s="113"/>
      <c r="L706" s="126"/>
    </row>
    <row r="707">
      <c r="J707" s="113"/>
      <c r="L707" s="126"/>
    </row>
    <row r="708">
      <c r="J708" s="113"/>
      <c r="L708" s="126"/>
    </row>
    <row r="709">
      <c r="J709" s="113"/>
      <c r="L709" s="126"/>
    </row>
    <row r="710">
      <c r="J710" s="113"/>
      <c r="L710" s="126"/>
    </row>
    <row r="711">
      <c r="J711" s="113"/>
      <c r="L711" s="126"/>
    </row>
    <row r="712">
      <c r="J712" s="113"/>
      <c r="L712" s="126"/>
    </row>
    <row r="713">
      <c r="J713" s="113"/>
      <c r="L713" s="126"/>
    </row>
    <row r="714">
      <c r="J714" s="113"/>
      <c r="L714" s="126"/>
    </row>
    <row r="715">
      <c r="J715" s="113"/>
      <c r="L715" s="126"/>
    </row>
    <row r="716">
      <c r="J716" s="113"/>
      <c r="L716" s="126"/>
    </row>
    <row r="717">
      <c r="J717" s="113"/>
      <c r="L717" s="126"/>
    </row>
    <row r="718">
      <c r="J718" s="113"/>
      <c r="L718" s="126"/>
    </row>
    <row r="719">
      <c r="J719" s="113"/>
      <c r="L719" s="126"/>
    </row>
    <row r="720">
      <c r="J720" s="113"/>
      <c r="L720" s="126"/>
    </row>
    <row r="721">
      <c r="J721" s="113"/>
      <c r="L721" s="126"/>
    </row>
    <row r="722">
      <c r="J722" s="113"/>
      <c r="L722" s="126"/>
    </row>
    <row r="723">
      <c r="J723" s="113"/>
      <c r="L723" s="126"/>
    </row>
    <row r="724">
      <c r="J724" s="113"/>
      <c r="L724" s="126"/>
    </row>
    <row r="725">
      <c r="J725" s="113"/>
      <c r="L725" s="126"/>
    </row>
    <row r="726">
      <c r="J726" s="113"/>
      <c r="L726" s="126"/>
    </row>
    <row r="727">
      <c r="J727" s="113"/>
      <c r="L727" s="126"/>
    </row>
    <row r="728">
      <c r="J728" s="113"/>
      <c r="L728" s="126"/>
    </row>
    <row r="729">
      <c r="J729" s="113"/>
      <c r="L729" s="126"/>
    </row>
    <row r="730">
      <c r="J730" s="113"/>
      <c r="L730" s="126"/>
    </row>
    <row r="731">
      <c r="J731" s="113"/>
      <c r="L731" s="126"/>
    </row>
    <row r="732">
      <c r="J732" s="113"/>
      <c r="L732" s="126"/>
    </row>
    <row r="733">
      <c r="J733" s="113"/>
      <c r="L733" s="126"/>
    </row>
    <row r="734">
      <c r="J734" s="113"/>
      <c r="L734" s="126"/>
    </row>
    <row r="735">
      <c r="J735" s="113"/>
      <c r="L735" s="126"/>
    </row>
    <row r="736">
      <c r="J736" s="113"/>
      <c r="L736" s="126"/>
    </row>
    <row r="737">
      <c r="J737" s="113"/>
      <c r="L737" s="126"/>
    </row>
    <row r="738">
      <c r="J738" s="113"/>
      <c r="L738" s="126"/>
    </row>
    <row r="739">
      <c r="J739" s="113"/>
      <c r="L739" s="126"/>
    </row>
    <row r="740">
      <c r="J740" s="113"/>
      <c r="L740" s="126"/>
    </row>
    <row r="741">
      <c r="J741" s="113"/>
      <c r="L741" s="126"/>
    </row>
    <row r="742">
      <c r="J742" s="113"/>
      <c r="L742" s="126"/>
    </row>
    <row r="743">
      <c r="J743" s="113"/>
      <c r="L743" s="126"/>
    </row>
    <row r="744">
      <c r="J744" s="113"/>
      <c r="L744" s="126"/>
    </row>
    <row r="745">
      <c r="J745" s="113"/>
      <c r="L745" s="126"/>
    </row>
    <row r="746">
      <c r="J746" s="113"/>
      <c r="L746" s="126"/>
    </row>
    <row r="747">
      <c r="J747" s="113"/>
      <c r="L747" s="126"/>
    </row>
    <row r="748">
      <c r="J748" s="113"/>
      <c r="L748" s="126"/>
    </row>
    <row r="749">
      <c r="J749" s="113"/>
      <c r="L749" s="126"/>
    </row>
    <row r="750">
      <c r="J750" s="113"/>
      <c r="L750" s="126"/>
    </row>
    <row r="751">
      <c r="J751" s="113"/>
      <c r="L751" s="126"/>
    </row>
    <row r="752">
      <c r="J752" s="113"/>
      <c r="L752" s="126"/>
    </row>
    <row r="753">
      <c r="J753" s="113"/>
      <c r="L753" s="126"/>
    </row>
    <row r="754">
      <c r="J754" s="113"/>
      <c r="L754" s="126"/>
    </row>
    <row r="755">
      <c r="J755" s="113"/>
      <c r="L755" s="126"/>
    </row>
    <row r="756">
      <c r="J756" s="113"/>
      <c r="L756" s="126"/>
    </row>
    <row r="757">
      <c r="J757" s="113"/>
      <c r="L757" s="126"/>
    </row>
    <row r="758">
      <c r="J758" s="113"/>
      <c r="L758" s="126"/>
    </row>
    <row r="759">
      <c r="J759" s="113"/>
      <c r="L759" s="126"/>
    </row>
    <row r="760">
      <c r="J760" s="113"/>
      <c r="L760" s="126"/>
    </row>
    <row r="761">
      <c r="J761" s="113"/>
      <c r="L761" s="126"/>
    </row>
    <row r="762">
      <c r="J762" s="113"/>
      <c r="L762" s="126"/>
    </row>
    <row r="763">
      <c r="J763" s="113"/>
      <c r="L763" s="126"/>
    </row>
    <row r="764">
      <c r="J764" s="113"/>
      <c r="L764" s="126"/>
    </row>
    <row r="765">
      <c r="J765" s="113"/>
      <c r="L765" s="126"/>
    </row>
    <row r="766">
      <c r="J766" s="113"/>
      <c r="L766" s="126"/>
    </row>
    <row r="767">
      <c r="J767" s="113"/>
      <c r="L767" s="126"/>
    </row>
    <row r="768">
      <c r="J768" s="113"/>
      <c r="L768" s="126"/>
    </row>
    <row r="769">
      <c r="J769" s="113"/>
      <c r="L769" s="126"/>
    </row>
    <row r="770">
      <c r="J770" s="113"/>
      <c r="L770" s="126"/>
    </row>
    <row r="771">
      <c r="J771" s="113"/>
      <c r="L771" s="126"/>
    </row>
    <row r="772">
      <c r="J772" s="113"/>
      <c r="L772" s="126"/>
    </row>
    <row r="773">
      <c r="J773" s="113"/>
      <c r="L773" s="126"/>
    </row>
    <row r="774">
      <c r="J774" s="113"/>
      <c r="L774" s="126"/>
    </row>
    <row r="775">
      <c r="J775" s="113"/>
      <c r="L775" s="126"/>
    </row>
    <row r="776">
      <c r="J776" s="113"/>
      <c r="L776" s="126"/>
    </row>
    <row r="777">
      <c r="J777" s="113"/>
      <c r="L777" s="126"/>
    </row>
    <row r="778">
      <c r="J778" s="113"/>
      <c r="L778" s="126"/>
    </row>
    <row r="779">
      <c r="J779" s="113"/>
      <c r="L779" s="126"/>
    </row>
    <row r="780">
      <c r="J780" s="113"/>
      <c r="L780" s="126"/>
    </row>
    <row r="781">
      <c r="J781" s="113"/>
      <c r="L781" s="126"/>
    </row>
    <row r="782">
      <c r="J782" s="113"/>
      <c r="L782" s="126"/>
    </row>
    <row r="783">
      <c r="J783" s="113"/>
      <c r="L783" s="126"/>
    </row>
    <row r="784">
      <c r="J784" s="113"/>
      <c r="L784" s="126"/>
    </row>
    <row r="785">
      <c r="J785" s="113"/>
      <c r="L785" s="126"/>
    </row>
    <row r="786">
      <c r="J786" s="113"/>
      <c r="L786" s="126"/>
    </row>
    <row r="787">
      <c r="J787" s="113"/>
      <c r="L787" s="126"/>
    </row>
    <row r="788">
      <c r="J788" s="113"/>
      <c r="L788" s="126"/>
    </row>
    <row r="789">
      <c r="J789" s="113"/>
      <c r="L789" s="126"/>
    </row>
    <row r="790">
      <c r="J790" s="113"/>
      <c r="L790" s="126"/>
    </row>
    <row r="791">
      <c r="J791" s="113"/>
      <c r="L791" s="126"/>
    </row>
    <row r="792">
      <c r="J792" s="113"/>
      <c r="L792" s="126"/>
    </row>
    <row r="793">
      <c r="J793" s="113"/>
      <c r="L793" s="126"/>
    </row>
    <row r="794">
      <c r="J794" s="113"/>
      <c r="L794" s="126"/>
    </row>
    <row r="795">
      <c r="J795" s="113"/>
      <c r="L795" s="126"/>
    </row>
    <row r="796">
      <c r="J796" s="113"/>
      <c r="L796" s="126"/>
    </row>
    <row r="797">
      <c r="J797" s="113"/>
      <c r="L797" s="126"/>
    </row>
    <row r="798">
      <c r="J798" s="113"/>
      <c r="L798" s="126"/>
    </row>
    <row r="799">
      <c r="J799" s="113"/>
      <c r="L799" s="126"/>
    </row>
    <row r="800">
      <c r="J800" s="113"/>
      <c r="L800" s="126"/>
    </row>
    <row r="801">
      <c r="J801" s="113"/>
      <c r="L801" s="126"/>
    </row>
    <row r="802">
      <c r="J802" s="113"/>
      <c r="L802" s="126"/>
    </row>
    <row r="803">
      <c r="J803" s="113"/>
      <c r="L803" s="126"/>
    </row>
    <row r="804">
      <c r="J804" s="113"/>
      <c r="L804" s="126"/>
    </row>
    <row r="805">
      <c r="J805" s="113"/>
      <c r="L805" s="126"/>
    </row>
    <row r="806">
      <c r="J806" s="113"/>
      <c r="L806" s="126"/>
    </row>
    <row r="807">
      <c r="J807" s="113"/>
      <c r="L807" s="126"/>
    </row>
    <row r="808">
      <c r="J808" s="113"/>
      <c r="L808" s="126"/>
    </row>
    <row r="809">
      <c r="J809" s="113"/>
      <c r="L809" s="126"/>
    </row>
    <row r="810">
      <c r="J810" s="113"/>
      <c r="L810" s="126"/>
    </row>
    <row r="811">
      <c r="J811" s="113"/>
      <c r="L811" s="126"/>
    </row>
    <row r="812">
      <c r="J812" s="113"/>
      <c r="L812" s="126"/>
    </row>
    <row r="813">
      <c r="J813" s="113"/>
      <c r="L813" s="126"/>
    </row>
    <row r="814">
      <c r="J814" s="113"/>
      <c r="L814" s="126"/>
    </row>
    <row r="815">
      <c r="J815" s="113"/>
      <c r="L815" s="126"/>
    </row>
    <row r="816">
      <c r="J816" s="113"/>
      <c r="L816" s="126"/>
    </row>
    <row r="817">
      <c r="J817" s="113"/>
      <c r="L817" s="126"/>
    </row>
    <row r="818">
      <c r="J818" s="113"/>
      <c r="L818" s="126"/>
    </row>
    <row r="819">
      <c r="J819" s="113"/>
      <c r="L819" s="126"/>
    </row>
    <row r="820">
      <c r="J820" s="113"/>
      <c r="L820" s="126"/>
    </row>
    <row r="821">
      <c r="J821" s="113"/>
      <c r="L821" s="126"/>
    </row>
    <row r="822">
      <c r="J822" s="113"/>
      <c r="L822" s="126"/>
    </row>
    <row r="823">
      <c r="J823" s="113"/>
      <c r="L823" s="126"/>
    </row>
    <row r="824">
      <c r="J824" s="113"/>
      <c r="L824" s="126"/>
    </row>
    <row r="825">
      <c r="J825" s="113"/>
      <c r="L825" s="126"/>
    </row>
    <row r="826">
      <c r="J826" s="113"/>
      <c r="L826" s="126"/>
    </row>
    <row r="827">
      <c r="J827" s="113"/>
      <c r="L827" s="126"/>
    </row>
    <row r="828">
      <c r="J828" s="113"/>
      <c r="L828" s="126"/>
    </row>
    <row r="829">
      <c r="J829" s="113"/>
      <c r="L829" s="126"/>
    </row>
    <row r="830">
      <c r="J830" s="113"/>
      <c r="L830" s="126"/>
    </row>
    <row r="831">
      <c r="J831" s="113"/>
      <c r="L831" s="126"/>
    </row>
    <row r="832">
      <c r="J832" s="113"/>
      <c r="L832" s="126"/>
    </row>
    <row r="833">
      <c r="J833" s="113"/>
      <c r="L833" s="126"/>
    </row>
    <row r="834">
      <c r="J834" s="113"/>
      <c r="L834" s="126"/>
    </row>
    <row r="835">
      <c r="J835" s="113"/>
      <c r="L835" s="126"/>
    </row>
    <row r="836">
      <c r="J836" s="113"/>
      <c r="L836" s="126"/>
    </row>
    <row r="837">
      <c r="J837" s="113"/>
      <c r="L837" s="126"/>
    </row>
    <row r="838">
      <c r="J838" s="113"/>
      <c r="L838" s="126"/>
    </row>
    <row r="839">
      <c r="J839" s="113"/>
      <c r="L839" s="126"/>
    </row>
    <row r="840">
      <c r="J840" s="113"/>
      <c r="L840" s="126"/>
    </row>
    <row r="841">
      <c r="J841" s="113"/>
      <c r="L841" s="126"/>
    </row>
    <row r="842">
      <c r="J842" s="113"/>
      <c r="L842" s="126"/>
    </row>
    <row r="843">
      <c r="J843" s="113"/>
      <c r="L843" s="126"/>
    </row>
    <row r="844">
      <c r="J844" s="113"/>
      <c r="L844" s="126"/>
    </row>
    <row r="845">
      <c r="J845" s="113"/>
      <c r="L845" s="126"/>
    </row>
    <row r="846">
      <c r="J846" s="113"/>
      <c r="L846" s="126"/>
    </row>
    <row r="847">
      <c r="J847" s="113"/>
      <c r="L847" s="126"/>
    </row>
    <row r="848">
      <c r="J848" s="113"/>
      <c r="L848" s="126"/>
    </row>
    <row r="849">
      <c r="J849" s="113"/>
      <c r="L849" s="126"/>
    </row>
    <row r="850">
      <c r="J850" s="113"/>
      <c r="L850" s="126"/>
    </row>
    <row r="851">
      <c r="J851" s="113"/>
      <c r="L851" s="126"/>
    </row>
    <row r="852">
      <c r="J852" s="113"/>
      <c r="L852" s="126"/>
    </row>
    <row r="853">
      <c r="J853" s="113"/>
      <c r="L853" s="126"/>
    </row>
    <row r="854">
      <c r="J854" s="113"/>
      <c r="L854" s="126"/>
    </row>
    <row r="855">
      <c r="J855" s="113"/>
      <c r="L855" s="126"/>
    </row>
    <row r="856">
      <c r="J856" s="113"/>
      <c r="L856" s="126"/>
    </row>
    <row r="857">
      <c r="J857" s="113"/>
      <c r="L857" s="126"/>
    </row>
    <row r="858">
      <c r="J858" s="113"/>
      <c r="L858" s="126"/>
    </row>
    <row r="859">
      <c r="J859" s="113"/>
      <c r="L859" s="126"/>
    </row>
    <row r="860">
      <c r="J860" s="113"/>
      <c r="L860" s="126"/>
    </row>
    <row r="861">
      <c r="J861" s="113"/>
      <c r="L861" s="126"/>
    </row>
    <row r="862">
      <c r="J862" s="113"/>
      <c r="L862" s="126"/>
    </row>
    <row r="863">
      <c r="J863" s="113"/>
      <c r="L863" s="126"/>
    </row>
    <row r="864">
      <c r="J864" s="113"/>
      <c r="L864" s="126"/>
    </row>
    <row r="865">
      <c r="J865" s="113"/>
      <c r="L865" s="126"/>
    </row>
    <row r="866">
      <c r="J866" s="113"/>
      <c r="L866" s="126"/>
    </row>
    <row r="867">
      <c r="J867" s="113"/>
      <c r="L867" s="126"/>
    </row>
    <row r="868">
      <c r="J868" s="113"/>
      <c r="L868" s="126"/>
    </row>
    <row r="869">
      <c r="J869" s="113"/>
      <c r="L869" s="126"/>
    </row>
    <row r="870">
      <c r="J870" s="113"/>
      <c r="L870" s="126"/>
    </row>
    <row r="871">
      <c r="J871" s="113"/>
      <c r="L871" s="126"/>
    </row>
    <row r="872">
      <c r="J872" s="113"/>
      <c r="L872" s="126"/>
    </row>
    <row r="873">
      <c r="J873" s="113"/>
      <c r="L873" s="126"/>
    </row>
    <row r="874">
      <c r="J874" s="113"/>
      <c r="L874" s="126"/>
    </row>
    <row r="875">
      <c r="J875" s="113"/>
      <c r="L875" s="126"/>
    </row>
    <row r="876">
      <c r="J876" s="113"/>
      <c r="L876" s="126"/>
    </row>
    <row r="877">
      <c r="J877" s="113"/>
      <c r="L877" s="126"/>
    </row>
    <row r="878">
      <c r="J878" s="113"/>
      <c r="L878" s="126"/>
    </row>
    <row r="879">
      <c r="J879" s="113"/>
      <c r="L879" s="126"/>
    </row>
    <row r="880">
      <c r="J880" s="113"/>
      <c r="L880" s="126"/>
    </row>
    <row r="881">
      <c r="J881" s="113"/>
      <c r="L881" s="126"/>
    </row>
    <row r="882">
      <c r="J882" s="113"/>
      <c r="L882" s="126"/>
    </row>
    <row r="883">
      <c r="J883" s="113"/>
      <c r="L883" s="126"/>
    </row>
    <row r="884">
      <c r="J884" s="113"/>
      <c r="L884" s="126"/>
    </row>
    <row r="885">
      <c r="J885" s="113"/>
      <c r="L885" s="126"/>
    </row>
    <row r="886">
      <c r="J886" s="113"/>
      <c r="L886" s="126"/>
    </row>
    <row r="887">
      <c r="J887" s="113"/>
      <c r="L887" s="126"/>
    </row>
    <row r="888">
      <c r="J888" s="113"/>
      <c r="L888" s="126"/>
    </row>
    <row r="889">
      <c r="J889" s="113"/>
      <c r="L889" s="126"/>
    </row>
    <row r="890">
      <c r="J890" s="113"/>
      <c r="L890" s="126"/>
    </row>
    <row r="891">
      <c r="J891" s="113"/>
      <c r="L891" s="126"/>
    </row>
    <row r="892">
      <c r="J892" s="113"/>
      <c r="L892" s="126"/>
    </row>
    <row r="893">
      <c r="J893" s="113"/>
      <c r="L893" s="126"/>
    </row>
    <row r="894">
      <c r="J894" s="113"/>
      <c r="L894" s="126"/>
    </row>
    <row r="895">
      <c r="J895" s="113"/>
      <c r="L895" s="126"/>
    </row>
    <row r="896">
      <c r="J896" s="113"/>
      <c r="L896" s="126"/>
    </row>
    <row r="897">
      <c r="J897" s="113"/>
      <c r="L897" s="126"/>
    </row>
    <row r="898">
      <c r="J898" s="113"/>
      <c r="L898" s="126"/>
    </row>
    <row r="899">
      <c r="J899" s="113"/>
      <c r="L899" s="126"/>
    </row>
    <row r="900">
      <c r="J900" s="113"/>
      <c r="L900" s="126"/>
    </row>
    <row r="901">
      <c r="J901" s="113"/>
      <c r="L901" s="126"/>
    </row>
    <row r="902">
      <c r="J902" s="113"/>
      <c r="L902" s="126"/>
    </row>
    <row r="903">
      <c r="J903" s="113"/>
      <c r="L903" s="126"/>
    </row>
    <row r="904">
      <c r="J904" s="113"/>
      <c r="L904" s="126"/>
    </row>
    <row r="905">
      <c r="J905" s="113"/>
      <c r="L905" s="126"/>
    </row>
    <row r="906">
      <c r="J906" s="113"/>
      <c r="L906" s="126"/>
    </row>
    <row r="907">
      <c r="J907" s="113"/>
      <c r="L907" s="126"/>
    </row>
    <row r="908">
      <c r="J908" s="113"/>
      <c r="L908" s="126"/>
    </row>
    <row r="909">
      <c r="J909" s="113"/>
      <c r="L909" s="126"/>
    </row>
    <row r="910">
      <c r="J910" s="113"/>
      <c r="L910" s="126"/>
    </row>
    <row r="911">
      <c r="J911" s="113"/>
      <c r="L911" s="126"/>
    </row>
    <row r="912">
      <c r="J912" s="113"/>
      <c r="L912" s="126"/>
    </row>
    <row r="913">
      <c r="J913" s="113"/>
      <c r="L913" s="126"/>
    </row>
    <row r="914">
      <c r="J914" s="113"/>
      <c r="L914" s="126"/>
    </row>
    <row r="915">
      <c r="J915" s="113"/>
      <c r="L915" s="126"/>
    </row>
    <row r="916">
      <c r="J916" s="113"/>
      <c r="L916" s="126"/>
    </row>
    <row r="917">
      <c r="J917" s="113"/>
      <c r="L917" s="126"/>
    </row>
    <row r="918">
      <c r="J918" s="113"/>
      <c r="L918" s="126"/>
    </row>
    <row r="919">
      <c r="J919" s="113"/>
      <c r="L919" s="126"/>
    </row>
    <row r="920">
      <c r="J920" s="113"/>
      <c r="L920" s="126"/>
    </row>
    <row r="921">
      <c r="J921" s="113"/>
      <c r="L921" s="126"/>
    </row>
    <row r="922">
      <c r="J922" s="113"/>
      <c r="L922" s="126"/>
    </row>
    <row r="923">
      <c r="J923" s="113"/>
      <c r="L923" s="126"/>
    </row>
    <row r="924">
      <c r="J924" s="113"/>
      <c r="L924" s="126"/>
    </row>
    <row r="925">
      <c r="J925" s="113"/>
      <c r="L925" s="126"/>
    </row>
    <row r="926">
      <c r="J926" s="113"/>
      <c r="L926" s="126"/>
    </row>
    <row r="927">
      <c r="J927" s="113"/>
      <c r="L927" s="126"/>
    </row>
    <row r="928">
      <c r="J928" s="113"/>
      <c r="L928" s="126"/>
    </row>
    <row r="929">
      <c r="J929" s="113"/>
      <c r="L929" s="126"/>
    </row>
    <row r="930">
      <c r="J930" s="113"/>
      <c r="L930" s="126"/>
    </row>
    <row r="931">
      <c r="J931" s="113"/>
      <c r="L931" s="126"/>
    </row>
    <row r="932">
      <c r="J932" s="113"/>
      <c r="L932" s="126"/>
    </row>
    <row r="933">
      <c r="J933" s="113"/>
      <c r="L933" s="126"/>
    </row>
    <row r="934">
      <c r="J934" s="113"/>
      <c r="L934" s="126"/>
    </row>
    <row r="935">
      <c r="J935" s="113"/>
      <c r="L935" s="126"/>
    </row>
    <row r="936">
      <c r="J936" s="113"/>
      <c r="L936" s="126"/>
    </row>
    <row r="937">
      <c r="J937" s="113"/>
      <c r="L937" s="126"/>
    </row>
    <row r="938">
      <c r="J938" s="113"/>
      <c r="L938" s="126"/>
    </row>
    <row r="939">
      <c r="J939" s="113"/>
      <c r="L939" s="126"/>
    </row>
    <row r="940">
      <c r="J940" s="113"/>
      <c r="L940" s="126"/>
    </row>
    <row r="941">
      <c r="J941" s="113"/>
      <c r="L941" s="126"/>
    </row>
    <row r="942">
      <c r="J942" s="113"/>
      <c r="L942" s="126"/>
    </row>
    <row r="943">
      <c r="J943" s="113"/>
      <c r="L943" s="126"/>
    </row>
    <row r="944">
      <c r="J944" s="113"/>
      <c r="L944" s="126"/>
    </row>
    <row r="945">
      <c r="J945" s="113"/>
      <c r="L945" s="126"/>
    </row>
    <row r="946">
      <c r="J946" s="113"/>
      <c r="L946" s="126"/>
    </row>
    <row r="947">
      <c r="J947" s="113"/>
      <c r="L947" s="126"/>
    </row>
    <row r="948">
      <c r="J948" s="113"/>
      <c r="L948" s="126"/>
    </row>
    <row r="949">
      <c r="J949" s="113"/>
      <c r="L949" s="126"/>
    </row>
    <row r="950">
      <c r="J950" s="113"/>
      <c r="L950" s="126"/>
    </row>
    <row r="951">
      <c r="J951" s="113"/>
      <c r="L951" s="126"/>
    </row>
    <row r="952">
      <c r="J952" s="113"/>
      <c r="L952" s="126"/>
    </row>
    <row r="953">
      <c r="J953" s="113"/>
      <c r="L953" s="126"/>
    </row>
    <row r="954">
      <c r="J954" s="113"/>
      <c r="L954" s="126"/>
    </row>
    <row r="955">
      <c r="J955" s="113"/>
      <c r="L955" s="126"/>
    </row>
    <row r="956">
      <c r="J956" s="113"/>
      <c r="L956" s="126"/>
    </row>
    <row r="957">
      <c r="J957" s="113"/>
      <c r="L957" s="126"/>
    </row>
    <row r="958">
      <c r="J958" s="113"/>
      <c r="L958" s="126"/>
    </row>
    <row r="959">
      <c r="J959" s="113"/>
      <c r="L959" s="126"/>
    </row>
    <row r="960">
      <c r="J960" s="113"/>
      <c r="L960" s="126"/>
    </row>
    <row r="961">
      <c r="J961" s="113"/>
      <c r="L961" s="126"/>
    </row>
    <row r="962">
      <c r="J962" s="113"/>
      <c r="L962" s="126"/>
    </row>
    <row r="963">
      <c r="J963" s="113"/>
      <c r="L963" s="126"/>
    </row>
    <row r="964">
      <c r="J964" s="113"/>
      <c r="L964" s="126"/>
    </row>
    <row r="965">
      <c r="J965" s="113"/>
      <c r="L965" s="126"/>
    </row>
    <row r="966">
      <c r="J966" s="113"/>
      <c r="L966" s="126"/>
    </row>
    <row r="967">
      <c r="J967" s="113"/>
      <c r="L967" s="126"/>
    </row>
    <row r="968">
      <c r="J968" s="113"/>
      <c r="L968" s="126"/>
    </row>
    <row r="969">
      <c r="J969" s="113"/>
      <c r="L969" s="126"/>
    </row>
    <row r="970">
      <c r="J970" s="113"/>
      <c r="L970" s="126"/>
    </row>
    <row r="971">
      <c r="J971" s="113"/>
      <c r="L971" s="126"/>
    </row>
    <row r="972">
      <c r="J972" s="113"/>
      <c r="L972" s="126"/>
    </row>
    <row r="973">
      <c r="J973" s="113"/>
      <c r="L973" s="126"/>
    </row>
    <row r="974">
      <c r="J974" s="113"/>
      <c r="L974" s="126"/>
    </row>
    <row r="975">
      <c r="J975" s="113"/>
      <c r="L975" s="126"/>
    </row>
    <row r="976">
      <c r="J976" s="113"/>
      <c r="L976" s="126"/>
    </row>
    <row r="977">
      <c r="J977" s="113"/>
      <c r="L977" s="126"/>
    </row>
    <row r="978">
      <c r="J978" s="113"/>
      <c r="L978" s="126"/>
    </row>
    <row r="979">
      <c r="J979" s="113"/>
      <c r="L979" s="126"/>
    </row>
    <row r="980">
      <c r="J980" s="113"/>
      <c r="L980" s="126"/>
    </row>
    <row r="981">
      <c r="J981" s="113"/>
      <c r="L981" s="126"/>
    </row>
    <row r="982">
      <c r="J982" s="113"/>
      <c r="L982" s="126"/>
    </row>
    <row r="983">
      <c r="J983" s="113"/>
      <c r="L983" s="126"/>
    </row>
    <row r="984">
      <c r="J984" s="113"/>
      <c r="L984" s="126"/>
    </row>
    <row r="985">
      <c r="J985" s="113"/>
      <c r="L985" s="126"/>
    </row>
    <row r="986">
      <c r="J986" s="113"/>
      <c r="L986" s="126"/>
    </row>
    <row r="987">
      <c r="J987" s="113"/>
      <c r="L987" s="126"/>
    </row>
    <row r="988">
      <c r="J988" s="113"/>
      <c r="L988" s="126"/>
    </row>
    <row r="989">
      <c r="J989" s="113"/>
      <c r="L989" s="126"/>
    </row>
    <row r="990">
      <c r="J990" s="113"/>
      <c r="L990" s="126"/>
    </row>
    <row r="991">
      <c r="J991" s="113"/>
      <c r="L991" s="126"/>
    </row>
    <row r="992">
      <c r="J992" s="113"/>
      <c r="L992" s="126"/>
    </row>
    <row r="993">
      <c r="J993" s="113"/>
      <c r="L993" s="126"/>
    </row>
    <row r="994">
      <c r="J994" s="113"/>
      <c r="L994" s="126"/>
    </row>
    <row r="995">
      <c r="J995" s="113"/>
      <c r="L995" s="126"/>
    </row>
    <row r="996">
      <c r="J996" s="113"/>
      <c r="L996" s="126"/>
    </row>
    <row r="997">
      <c r="J997" s="113"/>
      <c r="L997" s="126"/>
    </row>
    <row r="998">
      <c r="J998" s="113"/>
      <c r="L998" s="126"/>
    </row>
    <row r="999">
      <c r="J999" s="113"/>
      <c r="L999" s="126"/>
    </row>
    <row r="1000">
      <c r="J1000" s="113"/>
      <c r="L1000" s="126"/>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93" t="str">
        <f>IFERROR(__xludf.DUMMYFUNCTION("IFERROR(FILTER('Study Abroad Storage'!A2:AA1000, 'Study Abroad Storage'!K2:K1000 = Calculator!B2), """")
"),"")</f>
        <v/>
      </c>
      <c r="J1" s="113"/>
      <c r="L1" s="126"/>
    </row>
    <row r="2">
      <c r="J2" s="113"/>
      <c r="L2" s="126"/>
    </row>
    <row r="3">
      <c r="J3" s="113"/>
      <c r="L3" s="126"/>
    </row>
    <row r="4">
      <c r="J4" s="113"/>
      <c r="L4" s="126"/>
    </row>
    <row r="5">
      <c r="J5" s="113"/>
      <c r="L5" s="126"/>
    </row>
    <row r="6">
      <c r="J6" s="113"/>
      <c r="L6" s="126"/>
    </row>
    <row r="7">
      <c r="J7" s="113"/>
      <c r="L7" s="126"/>
    </row>
    <row r="8">
      <c r="J8" s="113"/>
      <c r="L8" s="126"/>
    </row>
    <row r="9">
      <c r="J9" s="113"/>
      <c r="L9" s="126"/>
    </row>
    <row r="10">
      <c r="J10" s="113"/>
      <c r="L10" s="126"/>
    </row>
    <row r="11">
      <c r="J11" s="113"/>
      <c r="L11" s="126"/>
    </row>
    <row r="12">
      <c r="J12" s="113"/>
      <c r="L12" s="126"/>
    </row>
    <row r="13">
      <c r="J13" s="113"/>
      <c r="L13" s="126"/>
    </row>
    <row r="14">
      <c r="J14" s="113"/>
      <c r="L14" s="126"/>
    </row>
    <row r="15">
      <c r="J15" s="113"/>
      <c r="L15" s="126"/>
    </row>
    <row r="16">
      <c r="J16" s="113"/>
      <c r="L16" s="126"/>
    </row>
    <row r="17">
      <c r="J17" s="113"/>
      <c r="L17" s="126"/>
    </row>
    <row r="18">
      <c r="J18" s="113"/>
      <c r="L18" s="126"/>
    </row>
    <row r="19">
      <c r="J19" s="113"/>
      <c r="L19" s="126"/>
    </row>
    <row r="20">
      <c r="J20" s="113"/>
      <c r="L20" s="126"/>
    </row>
    <row r="21">
      <c r="J21" s="113"/>
      <c r="L21" s="126"/>
    </row>
    <row r="22">
      <c r="J22" s="113"/>
      <c r="L22" s="126"/>
    </row>
    <row r="23">
      <c r="J23" s="113"/>
      <c r="L23" s="126"/>
    </row>
    <row r="24">
      <c r="J24" s="113"/>
      <c r="L24" s="126"/>
    </row>
    <row r="25">
      <c r="J25" s="113"/>
      <c r="L25" s="126"/>
    </row>
    <row r="26">
      <c r="J26" s="113"/>
      <c r="L26" s="126"/>
    </row>
    <row r="27">
      <c r="J27" s="113"/>
      <c r="L27" s="126"/>
    </row>
    <row r="28">
      <c r="J28" s="113"/>
      <c r="L28" s="126"/>
    </row>
    <row r="29">
      <c r="J29" s="113"/>
      <c r="L29" s="126"/>
    </row>
    <row r="30">
      <c r="J30" s="113"/>
      <c r="L30" s="126"/>
    </row>
    <row r="31">
      <c r="J31" s="113"/>
      <c r="L31" s="126"/>
    </row>
    <row r="32">
      <c r="J32" s="113"/>
      <c r="L32" s="126"/>
    </row>
    <row r="33">
      <c r="J33" s="113"/>
      <c r="L33" s="126"/>
    </row>
    <row r="34">
      <c r="J34" s="113"/>
      <c r="L34" s="126"/>
    </row>
    <row r="35">
      <c r="J35" s="113"/>
      <c r="L35" s="126"/>
    </row>
    <row r="36">
      <c r="J36" s="113"/>
      <c r="L36" s="126"/>
    </row>
    <row r="37">
      <c r="J37" s="113"/>
      <c r="L37" s="126"/>
    </row>
    <row r="38">
      <c r="J38" s="113"/>
      <c r="L38" s="126"/>
    </row>
    <row r="39">
      <c r="J39" s="113"/>
      <c r="L39" s="126"/>
    </row>
    <row r="40">
      <c r="J40" s="113"/>
      <c r="L40" s="126"/>
    </row>
    <row r="41">
      <c r="J41" s="113"/>
      <c r="L41" s="126"/>
    </row>
    <row r="42">
      <c r="J42" s="113"/>
      <c r="L42" s="126"/>
    </row>
    <row r="43">
      <c r="J43" s="113"/>
      <c r="L43" s="126"/>
    </row>
    <row r="44">
      <c r="J44" s="113"/>
      <c r="L44" s="126"/>
    </row>
    <row r="45">
      <c r="J45" s="113"/>
      <c r="L45" s="126"/>
    </row>
    <row r="46">
      <c r="J46" s="113"/>
      <c r="L46" s="126"/>
    </row>
    <row r="47">
      <c r="J47" s="113"/>
      <c r="L47" s="126"/>
    </row>
    <row r="48">
      <c r="J48" s="113"/>
      <c r="L48" s="126"/>
    </row>
    <row r="49">
      <c r="J49" s="113"/>
      <c r="L49" s="126"/>
    </row>
    <row r="50">
      <c r="J50" s="113"/>
      <c r="L50" s="126"/>
    </row>
    <row r="51">
      <c r="J51" s="113"/>
      <c r="L51" s="126"/>
    </row>
    <row r="52">
      <c r="J52" s="113"/>
      <c r="L52" s="126"/>
    </row>
    <row r="53">
      <c r="J53" s="113"/>
      <c r="L53" s="126"/>
    </row>
    <row r="54">
      <c r="J54" s="113"/>
      <c r="L54" s="126"/>
    </row>
    <row r="55">
      <c r="J55" s="113"/>
      <c r="L55" s="126"/>
    </row>
    <row r="56">
      <c r="J56" s="113"/>
      <c r="L56" s="126"/>
    </row>
    <row r="57">
      <c r="J57" s="113"/>
      <c r="L57" s="126"/>
    </row>
    <row r="58">
      <c r="J58" s="113"/>
      <c r="L58" s="126"/>
    </row>
    <row r="59">
      <c r="J59" s="113"/>
      <c r="L59" s="126"/>
    </row>
    <row r="60">
      <c r="J60" s="113"/>
      <c r="L60" s="126"/>
    </row>
    <row r="61">
      <c r="J61" s="113"/>
      <c r="L61" s="126"/>
    </row>
    <row r="62">
      <c r="J62" s="113"/>
      <c r="L62" s="126"/>
    </row>
    <row r="63">
      <c r="J63" s="113"/>
      <c r="L63" s="126"/>
    </row>
    <row r="64">
      <c r="J64" s="113"/>
      <c r="L64" s="126"/>
    </row>
    <row r="65">
      <c r="J65" s="113"/>
      <c r="L65" s="126"/>
    </row>
    <row r="66">
      <c r="J66" s="113"/>
      <c r="L66" s="126"/>
    </row>
    <row r="67">
      <c r="J67" s="113"/>
      <c r="L67" s="126"/>
    </row>
    <row r="68">
      <c r="J68" s="113"/>
      <c r="L68" s="126"/>
    </row>
    <row r="69">
      <c r="J69" s="113"/>
      <c r="L69" s="126"/>
    </row>
    <row r="70">
      <c r="J70" s="113"/>
      <c r="L70" s="126"/>
    </row>
    <row r="71">
      <c r="J71" s="113"/>
      <c r="L71" s="126"/>
    </row>
    <row r="72">
      <c r="J72" s="113"/>
      <c r="L72" s="126"/>
    </row>
    <row r="73">
      <c r="J73" s="113"/>
      <c r="L73" s="126"/>
    </row>
    <row r="74">
      <c r="J74" s="113"/>
      <c r="L74" s="126"/>
    </row>
    <row r="75">
      <c r="J75" s="113"/>
      <c r="L75" s="126"/>
    </row>
    <row r="76">
      <c r="J76" s="113"/>
      <c r="L76" s="126"/>
    </row>
    <row r="77">
      <c r="J77" s="113"/>
      <c r="L77" s="126"/>
    </row>
    <row r="78">
      <c r="J78" s="113"/>
      <c r="L78" s="126"/>
    </row>
    <row r="79">
      <c r="J79" s="113"/>
      <c r="L79" s="126"/>
    </row>
    <row r="80">
      <c r="J80" s="113"/>
      <c r="L80" s="126"/>
    </row>
    <row r="81">
      <c r="J81" s="113"/>
      <c r="L81" s="126"/>
    </row>
    <row r="82">
      <c r="J82" s="113"/>
      <c r="L82" s="126"/>
    </row>
    <row r="83">
      <c r="J83" s="113"/>
      <c r="L83" s="126"/>
    </row>
    <row r="84">
      <c r="J84" s="113"/>
      <c r="L84" s="126"/>
    </row>
    <row r="85">
      <c r="J85" s="113"/>
      <c r="L85" s="126"/>
    </row>
    <row r="86">
      <c r="J86" s="113"/>
      <c r="L86" s="126"/>
    </row>
    <row r="87">
      <c r="J87" s="113"/>
      <c r="L87" s="126"/>
    </row>
    <row r="88">
      <c r="J88" s="113"/>
      <c r="L88" s="126"/>
    </row>
    <row r="89">
      <c r="J89" s="113"/>
      <c r="L89" s="126"/>
    </row>
    <row r="90">
      <c r="J90" s="113"/>
      <c r="L90" s="126"/>
    </row>
    <row r="91">
      <c r="J91" s="113"/>
      <c r="L91" s="126"/>
    </row>
    <row r="92">
      <c r="J92" s="113"/>
      <c r="L92" s="126"/>
    </row>
    <row r="93">
      <c r="J93" s="113"/>
      <c r="L93" s="126"/>
    </row>
    <row r="94">
      <c r="J94" s="113"/>
      <c r="L94" s="126"/>
    </row>
    <row r="95">
      <c r="J95" s="113"/>
      <c r="L95" s="126"/>
    </row>
    <row r="96">
      <c r="J96" s="113"/>
      <c r="L96" s="126"/>
    </row>
    <row r="97">
      <c r="J97" s="113"/>
      <c r="L97" s="126"/>
    </row>
    <row r="98">
      <c r="J98" s="113"/>
      <c r="L98" s="126"/>
    </row>
    <row r="99">
      <c r="J99" s="113"/>
      <c r="L99" s="126"/>
    </row>
    <row r="100">
      <c r="J100" s="113"/>
      <c r="L100" s="126"/>
    </row>
    <row r="101">
      <c r="J101" s="113"/>
      <c r="L101" s="126"/>
    </row>
    <row r="102">
      <c r="J102" s="113"/>
      <c r="L102" s="126"/>
    </row>
    <row r="103">
      <c r="J103" s="113"/>
      <c r="L103" s="126"/>
    </row>
    <row r="104">
      <c r="J104" s="113"/>
      <c r="L104" s="126"/>
    </row>
    <row r="105">
      <c r="J105" s="113"/>
      <c r="L105" s="126"/>
    </row>
    <row r="106">
      <c r="J106" s="113"/>
      <c r="L106" s="126"/>
    </row>
    <row r="107">
      <c r="J107" s="113"/>
      <c r="L107" s="126"/>
    </row>
    <row r="108">
      <c r="J108" s="113"/>
      <c r="L108" s="126"/>
    </row>
    <row r="109">
      <c r="J109" s="113"/>
      <c r="L109" s="126"/>
    </row>
    <row r="110">
      <c r="J110" s="113"/>
      <c r="L110" s="126"/>
    </row>
    <row r="111">
      <c r="J111" s="113"/>
      <c r="L111" s="126"/>
    </row>
    <row r="112">
      <c r="J112" s="113"/>
      <c r="L112" s="126"/>
    </row>
    <row r="113">
      <c r="J113" s="113"/>
      <c r="L113" s="126"/>
    </row>
    <row r="114">
      <c r="J114" s="113"/>
      <c r="L114" s="126"/>
    </row>
    <row r="115">
      <c r="J115" s="113"/>
      <c r="L115" s="126"/>
    </row>
    <row r="116">
      <c r="J116" s="113"/>
      <c r="L116" s="126"/>
    </row>
    <row r="117">
      <c r="J117" s="113"/>
      <c r="L117" s="126"/>
    </row>
    <row r="118">
      <c r="J118" s="113"/>
      <c r="L118" s="126"/>
    </row>
    <row r="119">
      <c r="J119" s="113"/>
      <c r="L119" s="126"/>
    </row>
    <row r="120">
      <c r="J120" s="113"/>
      <c r="L120" s="126"/>
    </row>
    <row r="121">
      <c r="J121" s="113"/>
      <c r="L121" s="126"/>
    </row>
    <row r="122">
      <c r="J122" s="113"/>
      <c r="L122" s="126"/>
    </row>
    <row r="123">
      <c r="J123" s="113"/>
      <c r="L123" s="126"/>
    </row>
    <row r="124">
      <c r="J124" s="113"/>
      <c r="L124" s="126"/>
    </row>
    <row r="125">
      <c r="J125" s="113"/>
      <c r="L125" s="126"/>
    </row>
    <row r="126">
      <c r="J126" s="113"/>
      <c r="L126" s="126"/>
    </row>
    <row r="127">
      <c r="J127" s="113"/>
      <c r="L127" s="126"/>
    </row>
    <row r="128">
      <c r="J128" s="113"/>
      <c r="L128" s="126"/>
    </row>
    <row r="129">
      <c r="J129" s="113"/>
      <c r="L129" s="126"/>
    </row>
    <row r="130">
      <c r="J130" s="113"/>
      <c r="L130" s="126"/>
    </row>
    <row r="131">
      <c r="J131" s="113"/>
      <c r="L131" s="126"/>
    </row>
    <row r="132">
      <c r="J132" s="113"/>
      <c r="L132" s="126"/>
    </row>
    <row r="133">
      <c r="J133" s="113"/>
      <c r="L133" s="126"/>
    </row>
    <row r="134">
      <c r="J134" s="113"/>
      <c r="L134" s="126"/>
    </row>
    <row r="135">
      <c r="J135" s="113"/>
      <c r="L135" s="126"/>
    </row>
    <row r="136">
      <c r="J136" s="113"/>
      <c r="L136" s="126"/>
    </row>
    <row r="137">
      <c r="J137" s="113"/>
      <c r="L137" s="126"/>
    </row>
    <row r="138">
      <c r="J138" s="113"/>
      <c r="L138" s="126"/>
    </row>
    <row r="139">
      <c r="J139" s="113"/>
      <c r="L139" s="126"/>
    </row>
    <row r="140">
      <c r="J140" s="113"/>
      <c r="L140" s="126"/>
    </row>
    <row r="141">
      <c r="J141" s="113"/>
      <c r="L141" s="126"/>
    </row>
    <row r="142">
      <c r="J142" s="113"/>
      <c r="L142" s="126"/>
    </row>
    <row r="143">
      <c r="J143" s="113"/>
      <c r="L143" s="126"/>
    </row>
    <row r="144">
      <c r="J144" s="113"/>
      <c r="L144" s="126"/>
    </row>
    <row r="145">
      <c r="J145" s="113"/>
      <c r="L145" s="126"/>
    </row>
    <row r="146">
      <c r="J146" s="113"/>
      <c r="L146" s="126"/>
    </row>
    <row r="147">
      <c r="J147" s="113"/>
      <c r="L147" s="126"/>
    </row>
    <row r="148">
      <c r="J148" s="113"/>
      <c r="L148" s="126"/>
    </row>
    <row r="149">
      <c r="J149" s="113"/>
      <c r="L149" s="126"/>
    </row>
    <row r="150">
      <c r="J150" s="113"/>
      <c r="L150" s="126"/>
    </row>
    <row r="151">
      <c r="J151" s="113"/>
      <c r="L151" s="126"/>
    </row>
    <row r="152">
      <c r="J152" s="113"/>
      <c r="L152" s="126"/>
    </row>
    <row r="153">
      <c r="J153" s="113"/>
      <c r="L153" s="126"/>
    </row>
    <row r="154">
      <c r="J154" s="113"/>
      <c r="L154" s="126"/>
    </row>
    <row r="155">
      <c r="J155" s="113"/>
      <c r="L155" s="126"/>
    </row>
    <row r="156">
      <c r="J156" s="113"/>
      <c r="L156" s="126"/>
    </row>
    <row r="157">
      <c r="J157" s="113"/>
      <c r="L157" s="126"/>
    </row>
    <row r="158">
      <c r="J158" s="113"/>
      <c r="L158" s="126"/>
    </row>
    <row r="159">
      <c r="J159" s="113"/>
      <c r="L159" s="126"/>
    </row>
    <row r="160">
      <c r="J160" s="113"/>
      <c r="L160" s="126"/>
    </row>
    <row r="161">
      <c r="J161" s="113"/>
      <c r="L161" s="126"/>
    </row>
    <row r="162">
      <c r="J162" s="113"/>
      <c r="L162" s="126"/>
    </row>
    <row r="163">
      <c r="J163" s="113"/>
      <c r="L163" s="126"/>
    </row>
    <row r="164">
      <c r="J164" s="113"/>
      <c r="L164" s="126"/>
    </row>
    <row r="165">
      <c r="J165" s="113"/>
      <c r="L165" s="126"/>
    </row>
    <row r="166">
      <c r="J166" s="113"/>
      <c r="L166" s="126"/>
    </row>
    <row r="167">
      <c r="J167" s="113"/>
      <c r="L167" s="126"/>
    </row>
    <row r="168">
      <c r="J168" s="113"/>
      <c r="L168" s="126"/>
    </row>
    <row r="169">
      <c r="J169" s="113"/>
      <c r="L169" s="126"/>
    </row>
    <row r="170">
      <c r="J170" s="113"/>
      <c r="L170" s="126"/>
    </row>
    <row r="171">
      <c r="J171" s="113"/>
      <c r="L171" s="126"/>
    </row>
    <row r="172">
      <c r="J172" s="113"/>
      <c r="L172" s="126"/>
    </row>
    <row r="173">
      <c r="J173" s="113"/>
      <c r="L173" s="126"/>
    </row>
    <row r="174">
      <c r="J174" s="113"/>
      <c r="L174" s="126"/>
    </row>
    <row r="175">
      <c r="J175" s="113"/>
      <c r="L175" s="126"/>
    </row>
    <row r="176">
      <c r="J176" s="113"/>
      <c r="L176" s="126"/>
    </row>
    <row r="177">
      <c r="J177" s="113"/>
      <c r="L177" s="126"/>
    </row>
    <row r="178">
      <c r="J178" s="113"/>
      <c r="L178" s="126"/>
    </row>
    <row r="179">
      <c r="J179" s="113"/>
      <c r="L179" s="126"/>
    </row>
    <row r="180">
      <c r="J180" s="113"/>
      <c r="L180" s="126"/>
    </row>
    <row r="181">
      <c r="J181" s="113"/>
      <c r="L181" s="126"/>
    </row>
    <row r="182">
      <c r="J182" s="113"/>
      <c r="L182" s="126"/>
    </row>
    <row r="183">
      <c r="J183" s="113"/>
      <c r="L183" s="126"/>
    </row>
    <row r="184">
      <c r="J184" s="113"/>
      <c r="L184" s="126"/>
    </row>
    <row r="185">
      <c r="J185" s="113"/>
      <c r="L185" s="126"/>
    </row>
    <row r="186">
      <c r="J186" s="113"/>
      <c r="L186" s="126"/>
    </row>
    <row r="187">
      <c r="J187" s="113"/>
      <c r="L187" s="126"/>
    </row>
    <row r="188">
      <c r="J188" s="113"/>
      <c r="L188" s="126"/>
    </row>
    <row r="189">
      <c r="J189" s="113"/>
      <c r="L189" s="126"/>
    </row>
    <row r="190">
      <c r="J190" s="113"/>
      <c r="L190" s="126"/>
    </row>
    <row r="191">
      <c r="J191" s="113"/>
      <c r="L191" s="126"/>
    </row>
    <row r="192">
      <c r="J192" s="113"/>
      <c r="L192" s="126"/>
    </row>
    <row r="193">
      <c r="J193" s="113"/>
      <c r="L193" s="126"/>
    </row>
    <row r="194">
      <c r="J194" s="113"/>
      <c r="L194" s="126"/>
    </row>
    <row r="195">
      <c r="J195" s="113"/>
      <c r="L195" s="126"/>
    </row>
    <row r="196">
      <c r="J196" s="113"/>
      <c r="L196" s="126"/>
    </row>
    <row r="197">
      <c r="J197" s="113"/>
      <c r="L197" s="126"/>
    </row>
    <row r="198">
      <c r="J198" s="113"/>
      <c r="L198" s="126"/>
    </row>
    <row r="199">
      <c r="J199" s="113"/>
      <c r="L199" s="126"/>
    </row>
    <row r="200">
      <c r="J200" s="113"/>
      <c r="L200" s="126"/>
    </row>
    <row r="201">
      <c r="J201" s="113"/>
      <c r="L201" s="126"/>
    </row>
    <row r="202">
      <c r="J202" s="113"/>
      <c r="L202" s="126"/>
    </row>
    <row r="203">
      <c r="J203" s="113"/>
      <c r="L203" s="126"/>
    </row>
    <row r="204">
      <c r="J204" s="113"/>
      <c r="L204" s="126"/>
    </row>
    <row r="205">
      <c r="J205" s="113"/>
      <c r="L205" s="126"/>
    </row>
    <row r="206">
      <c r="J206" s="113"/>
      <c r="L206" s="126"/>
    </row>
    <row r="207">
      <c r="J207" s="113"/>
      <c r="L207" s="126"/>
    </row>
    <row r="208">
      <c r="J208" s="113"/>
      <c r="L208" s="126"/>
    </row>
    <row r="209">
      <c r="J209" s="113"/>
      <c r="L209" s="126"/>
    </row>
    <row r="210">
      <c r="J210" s="113"/>
      <c r="L210" s="126"/>
    </row>
    <row r="211">
      <c r="J211" s="113"/>
      <c r="L211" s="126"/>
    </row>
    <row r="212">
      <c r="J212" s="113"/>
      <c r="L212" s="126"/>
    </row>
    <row r="213">
      <c r="J213" s="113"/>
      <c r="L213" s="126"/>
    </row>
    <row r="214">
      <c r="J214" s="113"/>
      <c r="L214" s="126"/>
    </row>
    <row r="215">
      <c r="J215" s="113"/>
      <c r="L215" s="126"/>
    </row>
    <row r="216">
      <c r="J216" s="113"/>
      <c r="L216" s="126"/>
    </row>
    <row r="217">
      <c r="J217" s="113"/>
      <c r="L217" s="126"/>
    </row>
    <row r="218">
      <c r="J218" s="113"/>
      <c r="L218" s="126"/>
    </row>
    <row r="219">
      <c r="J219" s="113"/>
      <c r="L219" s="126"/>
    </row>
    <row r="220">
      <c r="J220" s="113"/>
      <c r="L220" s="126"/>
    </row>
    <row r="221">
      <c r="J221" s="113"/>
      <c r="L221" s="126"/>
    </row>
    <row r="222">
      <c r="J222" s="113"/>
      <c r="L222" s="126"/>
    </row>
    <row r="223">
      <c r="J223" s="113"/>
      <c r="L223" s="126"/>
    </row>
    <row r="224">
      <c r="J224" s="113"/>
      <c r="L224" s="126"/>
    </row>
    <row r="225">
      <c r="J225" s="113"/>
      <c r="L225" s="126"/>
    </row>
    <row r="226">
      <c r="J226" s="113"/>
      <c r="L226" s="126"/>
    </row>
    <row r="227">
      <c r="J227" s="113"/>
      <c r="L227" s="126"/>
    </row>
    <row r="228">
      <c r="J228" s="113"/>
      <c r="L228" s="126"/>
    </row>
    <row r="229">
      <c r="J229" s="113"/>
      <c r="L229" s="126"/>
    </row>
    <row r="230">
      <c r="J230" s="113"/>
      <c r="L230" s="126"/>
    </row>
    <row r="231">
      <c r="J231" s="113"/>
      <c r="L231" s="126"/>
    </row>
    <row r="232">
      <c r="J232" s="113"/>
      <c r="L232" s="126"/>
    </row>
    <row r="233">
      <c r="J233" s="113"/>
      <c r="L233" s="126"/>
    </row>
    <row r="234">
      <c r="J234" s="113"/>
      <c r="L234" s="126"/>
    </row>
    <row r="235">
      <c r="J235" s="113"/>
      <c r="L235" s="126"/>
    </row>
    <row r="236">
      <c r="J236" s="113"/>
      <c r="L236" s="126"/>
    </row>
    <row r="237">
      <c r="J237" s="113"/>
      <c r="L237" s="126"/>
    </row>
    <row r="238">
      <c r="J238" s="113"/>
      <c r="L238" s="126"/>
    </row>
    <row r="239">
      <c r="J239" s="113"/>
      <c r="L239" s="126"/>
    </row>
    <row r="240">
      <c r="J240" s="113"/>
      <c r="L240" s="126"/>
    </row>
    <row r="241">
      <c r="J241" s="113"/>
      <c r="L241" s="126"/>
    </row>
    <row r="242">
      <c r="J242" s="113"/>
      <c r="L242" s="126"/>
    </row>
    <row r="243">
      <c r="J243" s="113"/>
      <c r="L243" s="126"/>
    </row>
    <row r="244">
      <c r="J244" s="113"/>
      <c r="L244" s="126"/>
    </row>
    <row r="245">
      <c r="J245" s="113"/>
      <c r="L245" s="126"/>
    </row>
    <row r="246">
      <c r="J246" s="113"/>
      <c r="L246" s="126"/>
    </row>
    <row r="247">
      <c r="J247" s="113"/>
      <c r="L247" s="126"/>
    </row>
    <row r="248">
      <c r="J248" s="113"/>
      <c r="L248" s="126"/>
    </row>
    <row r="249">
      <c r="J249" s="113"/>
      <c r="L249" s="126"/>
    </row>
    <row r="250">
      <c r="J250" s="113"/>
      <c r="L250" s="126"/>
    </row>
    <row r="251">
      <c r="J251" s="113"/>
      <c r="L251" s="126"/>
    </row>
    <row r="252">
      <c r="J252" s="113"/>
      <c r="L252" s="126"/>
    </row>
    <row r="253">
      <c r="J253" s="113"/>
      <c r="L253" s="126"/>
    </row>
    <row r="254">
      <c r="J254" s="113"/>
      <c r="L254" s="126"/>
    </row>
    <row r="255">
      <c r="J255" s="113"/>
      <c r="L255" s="126"/>
    </row>
    <row r="256">
      <c r="J256" s="113"/>
      <c r="L256" s="126"/>
    </row>
    <row r="257">
      <c r="J257" s="113"/>
      <c r="L257" s="126"/>
    </row>
    <row r="258">
      <c r="J258" s="113"/>
      <c r="L258" s="126"/>
    </row>
    <row r="259">
      <c r="J259" s="113"/>
      <c r="L259" s="126"/>
    </row>
    <row r="260">
      <c r="J260" s="113"/>
      <c r="L260" s="126"/>
    </row>
    <row r="261">
      <c r="J261" s="113"/>
      <c r="L261" s="126"/>
    </row>
    <row r="262">
      <c r="J262" s="113"/>
      <c r="L262" s="126"/>
    </row>
    <row r="263">
      <c r="J263" s="113"/>
      <c r="L263" s="126"/>
    </row>
    <row r="264">
      <c r="J264" s="113"/>
      <c r="L264" s="126"/>
    </row>
    <row r="265">
      <c r="J265" s="113"/>
      <c r="L265" s="126"/>
    </row>
    <row r="266">
      <c r="J266" s="113"/>
      <c r="L266" s="126"/>
    </row>
    <row r="267">
      <c r="J267" s="113"/>
      <c r="L267" s="126"/>
    </row>
    <row r="268">
      <c r="J268" s="113"/>
      <c r="L268" s="126"/>
    </row>
    <row r="269">
      <c r="J269" s="113"/>
      <c r="L269" s="126"/>
    </row>
    <row r="270">
      <c r="J270" s="113"/>
      <c r="L270" s="126"/>
    </row>
    <row r="271">
      <c r="J271" s="113"/>
      <c r="L271" s="126"/>
    </row>
    <row r="272">
      <c r="J272" s="113"/>
      <c r="L272" s="126"/>
    </row>
    <row r="273">
      <c r="J273" s="113"/>
      <c r="L273" s="126"/>
    </row>
    <row r="274">
      <c r="J274" s="113"/>
      <c r="L274" s="126"/>
    </row>
    <row r="275">
      <c r="J275" s="113"/>
      <c r="L275" s="126"/>
    </row>
    <row r="276">
      <c r="J276" s="113"/>
      <c r="L276" s="126"/>
    </row>
    <row r="277">
      <c r="J277" s="113"/>
      <c r="L277" s="126"/>
    </row>
    <row r="278">
      <c r="J278" s="113"/>
      <c r="L278" s="126"/>
    </row>
    <row r="279">
      <c r="J279" s="113"/>
      <c r="L279" s="126"/>
    </row>
    <row r="280">
      <c r="J280" s="113"/>
      <c r="L280" s="126"/>
    </row>
    <row r="281">
      <c r="J281" s="113"/>
      <c r="L281" s="126"/>
    </row>
    <row r="282">
      <c r="J282" s="113"/>
      <c r="L282" s="126"/>
    </row>
    <row r="283">
      <c r="J283" s="113"/>
      <c r="L283" s="126"/>
    </row>
    <row r="284">
      <c r="J284" s="113"/>
      <c r="L284" s="126"/>
    </row>
    <row r="285">
      <c r="J285" s="113"/>
      <c r="L285" s="126"/>
    </row>
    <row r="286">
      <c r="J286" s="113"/>
      <c r="L286" s="126"/>
    </row>
    <row r="287">
      <c r="J287" s="113"/>
      <c r="L287" s="126"/>
    </row>
    <row r="288">
      <c r="J288" s="113"/>
      <c r="L288" s="126"/>
    </row>
    <row r="289">
      <c r="J289" s="113"/>
      <c r="L289" s="126"/>
    </row>
    <row r="290">
      <c r="J290" s="113"/>
      <c r="L290" s="126"/>
    </row>
    <row r="291">
      <c r="J291" s="113"/>
      <c r="L291" s="126"/>
    </row>
    <row r="292">
      <c r="J292" s="113"/>
      <c r="L292" s="126"/>
    </row>
    <row r="293">
      <c r="J293" s="113"/>
      <c r="L293" s="126"/>
    </row>
    <row r="294">
      <c r="J294" s="113"/>
      <c r="L294" s="126"/>
    </row>
    <row r="295">
      <c r="J295" s="113"/>
      <c r="L295" s="126"/>
    </row>
    <row r="296">
      <c r="J296" s="113"/>
      <c r="L296" s="126"/>
    </row>
    <row r="297">
      <c r="J297" s="113"/>
      <c r="L297" s="126"/>
    </row>
    <row r="298">
      <c r="J298" s="113"/>
      <c r="L298" s="126"/>
    </row>
    <row r="299">
      <c r="J299" s="113"/>
      <c r="L299" s="126"/>
    </row>
    <row r="300">
      <c r="J300" s="113"/>
      <c r="L300" s="126"/>
    </row>
    <row r="301">
      <c r="J301" s="113"/>
      <c r="L301" s="126"/>
    </row>
    <row r="302">
      <c r="J302" s="113"/>
      <c r="L302" s="126"/>
    </row>
    <row r="303">
      <c r="J303" s="113"/>
      <c r="L303" s="126"/>
    </row>
    <row r="304">
      <c r="J304" s="113"/>
      <c r="L304" s="126"/>
    </row>
    <row r="305">
      <c r="J305" s="113"/>
      <c r="L305" s="126"/>
    </row>
    <row r="306">
      <c r="J306" s="113"/>
      <c r="L306" s="126"/>
    </row>
    <row r="307">
      <c r="J307" s="113"/>
      <c r="L307" s="126"/>
    </row>
    <row r="308">
      <c r="J308" s="113"/>
      <c r="L308" s="126"/>
    </row>
    <row r="309">
      <c r="J309" s="113"/>
      <c r="L309" s="126"/>
    </row>
    <row r="310">
      <c r="J310" s="113"/>
      <c r="L310" s="126"/>
    </row>
    <row r="311">
      <c r="J311" s="113"/>
      <c r="L311" s="126"/>
    </row>
    <row r="312">
      <c r="J312" s="113"/>
      <c r="L312" s="126"/>
    </row>
    <row r="313">
      <c r="J313" s="113"/>
      <c r="L313" s="126"/>
    </row>
    <row r="314">
      <c r="J314" s="113"/>
      <c r="L314" s="126"/>
    </row>
    <row r="315">
      <c r="J315" s="113"/>
      <c r="L315" s="126"/>
    </row>
    <row r="316">
      <c r="J316" s="113"/>
      <c r="L316" s="126"/>
    </row>
    <row r="317">
      <c r="J317" s="113"/>
      <c r="L317" s="126"/>
    </row>
    <row r="318">
      <c r="J318" s="113"/>
      <c r="L318" s="126"/>
    </row>
    <row r="319">
      <c r="J319" s="113"/>
      <c r="L319" s="126"/>
    </row>
    <row r="320">
      <c r="J320" s="113"/>
      <c r="L320" s="126"/>
    </row>
    <row r="321">
      <c r="J321" s="113"/>
      <c r="L321" s="126"/>
    </row>
    <row r="322">
      <c r="J322" s="113"/>
      <c r="L322" s="126"/>
    </row>
    <row r="323">
      <c r="J323" s="113"/>
      <c r="L323" s="126"/>
    </row>
    <row r="324">
      <c r="J324" s="113"/>
      <c r="L324" s="126"/>
    </row>
    <row r="325">
      <c r="J325" s="113"/>
      <c r="L325" s="126"/>
    </row>
    <row r="326">
      <c r="J326" s="113"/>
      <c r="L326" s="126"/>
    </row>
    <row r="327">
      <c r="J327" s="113"/>
      <c r="L327" s="126"/>
    </row>
    <row r="328">
      <c r="J328" s="113"/>
      <c r="L328" s="126"/>
    </row>
    <row r="329">
      <c r="J329" s="113"/>
      <c r="L329" s="126"/>
    </row>
    <row r="330">
      <c r="J330" s="113"/>
      <c r="L330" s="126"/>
    </row>
    <row r="331">
      <c r="J331" s="113"/>
      <c r="L331" s="126"/>
    </row>
    <row r="332">
      <c r="J332" s="113"/>
      <c r="L332" s="126"/>
    </row>
    <row r="333">
      <c r="J333" s="113"/>
      <c r="L333" s="126"/>
    </row>
    <row r="334">
      <c r="J334" s="113"/>
      <c r="L334" s="126"/>
    </row>
    <row r="335">
      <c r="J335" s="113"/>
      <c r="L335" s="126"/>
    </row>
    <row r="336">
      <c r="J336" s="113"/>
      <c r="L336" s="126"/>
    </row>
    <row r="337">
      <c r="J337" s="113"/>
      <c r="L337" s="126"/>
    </row>
    <row r="338">
      <c r="J338" s="113"/>
      <c r="L338" s="126"/>
    </row>
    <row r="339">
      <c r="J339" s="113"/>
      <c r="L339" s="126"/>
    </row>
    <row r="340">
      <c r="J340" s="113"/>
      <c r="L340" s="126"/>
    </row>
    <row r="341">
      <c r="J341" s="113"/>
      <c r="L341" s="126"/>
    </row>
    <row r="342">
      <c r="J342" s="113"/>
      <c r="L342" s="126"/>
    </row>
    <row r="343">
      <c r="J343" s="113"/>
      <c r="L343" s="126"/>
    </row>
    <row r="344">
      <c r="J344" s="113"/>
      <c r="L344" s="126"/>
    </row>
    <row r="345">
      <c r="J345" s="113"/>
      <c r="L345" s="126"/>
    </row>
    <row r="346">
      <c r="J346" s="113"/>
      <c r="L346" s="126"/>
    </row>
    <row r="347">
      <c r="J347" s="113"/>
      <c r="L347" s="126"/>
    </row>
    <row r="348">
      <c r="J348" s="113"/>
      <c r="L348" s="126"/>
    </row>
    <row r="349">
      <c r="J349" s="113"/>
      <c r="L349" s="126"/>
    </row>
    <row r="350">
      <c r="J350" s="113"/>
      <c r="L350" s="126"/>
    </row>
    <row r="351">
      <c r="J351" s="113"/>
      <c r="L351" s="126"/>
    </row>
    <row r="352">
      <c r="J352" s="113"/>
      <c r="L352" s="126"/>
    </row>
    <row r="353">
      <c r="J353" s="113"/>
      <c r="L353" s="126"/>
    </row>
    <row r="354">
      <c r="J354" s="113"/>
      <c r="L354" s="126"/>
    </row>
    <row r="355">
      <c r="J355" s="113"/>
      <c r="L355" s="126"/>
    </row>
    <row r="356">
      <c r="J356" s="113"/>
      <c r="L356" s="126"/>
    </row>
    <row r="357">
      <c r="J357" s="113"/>
      <c r="L357" s="126"/>
    </row>
    <row r="358">
      <c r="J358" s="113"/>
      <c r="L358" s="126"/>
    </row>
    <row r="359">
      <c r="J359" s="113"/>
      <c r="L359" s="126"/>
    </row>
    <row r="360">
      <c r="J360" s="113"/>
      <c r="L360" s="126"/>
    </row>
    <row r="361">
      <c r="J361" s="113"/>
      <c r="L361" s="126"/>
    </row>
    <row r="362">
      <c r="J362" s="113"/>
      <c r="L362" s="126"/>
    </row>
    <row r="363">
      <c r="J363" s="113"/>
      <c r="L363" s="126"/>
    </row>
    <row r="364">
      <c r="J364" s="113"/>
      <c r="L364" s="126"/>
    </row>
    <row r="365">
      <c r="J365" s="113"/>
      <c r="L365" s="126"/>
    </row>
    <row r="366">
      <c r="J366" s="113"/>
      <c r="L366" s="126"/>
    </row>
    <row r="367">
      <c r="J367" s="113"/>
      <c r="L367" s="126"/>
    </row>
    <row r="368">
      <c r="J368" s="113"/>
      <c r="L368" s="126"/>
    </row>
    <row r="369">
      <c r="J369" s="113"/>
      <c r="L369" s="126"/>
    </row>
    <row r="370">
      <c r="J370" s="113"/>
      <c r="L370" s="126"/>
    </row>
    <row r="371">
      <c r="J371" s="113"/>
      <c r="L371" s="126"/>
    </row>
    <row r="372">
      <c r="J372" s="113"/>
      <c r="L372" s="126"/>
    </row>
    <row r="373">
      <c r="J373" s="113"/>
      <c r="L373" s="126"/>
    </row>
    <row r="374">
      <c r="J374" s="113"/>
      <c r="L374" s="126"/>
    </row>
    <row r="375">
      <c r="J375" s="113"/>
      <c r="L375" s="126"/>
    </row>
    <row r="376">
      <c r="J376" s="113"/>
      <c r="L376" s="126"/>
    </row>
    <row r="377">
      <c r="J377" s="113"/>
      <c r="L377" s="126"/>
    </row>
    <row r="378">
      <c r="J378" s="113"/>
      <c r="L378" s="126"/>
    </row>
    <row r="379">
      <c r="J379" s="113"/>
      <c r="L379" s="126"/>
    </row>
    <row r="380">
      <c r="J380" s="113"/>
      <c r="L380" s="126"/>
    </row>
    <row r="381">
      <c r="J381" s="113"/>
      <c r="L381" s="126"/>
    </row>
    <row r="382">
      <c r="J382" s="113"/>
      <c r="L382" s="126"/>
    </row>
    <row r="383">
      <c r="J383" s="113"/>
      <c r="L383" s="126"/>
    </row>
    <row r="384">
      <c r="J384" s="113"/>
      <c r="L384" s="126"/>
    </row>
    <row r="385">
      <c r="J385" s="113"/>
      <c r="L385" s="126"/>
    </row>
    <row r="386">
      <c r="J386" s="113"/>
      <c r="L386" s="126"/>
    </row>
    <row r="387">
      <c r="J387" s="113"/>
      <c r="L387" s="126"/>
    </row>
    <row r="388">
      <c r="J388" s="113"/>
      <c r="L388" s="126"/>
    </row>
    <row r="389">
      <c r="J389" s="113"/>
      <c r="L389" s="126"/>
    </row>
    <row r="390">
      <c r="J390" s="113"/>
      <c r="L390" s="126"/>
    </row>
    <row r="391">
      <c r="J391" s="113"/>
      <c r="L391" s="126"/>
    </row>
    <row r="392">
      <c r="J392" s="113"/>
      <c r="L392" s="126"/>
    </row>
    <row r="393">
      <c r="J393" s="113"/>
      <c r="L393" s="126"/>
    </row>
    <row r="394">
      <c r="J394" s="113"/>
      <c r="L394" s="126"/>
    </row>
    <row r="395">
      <c r="J395" s="113"/>
      <c r="L395" s="126"/>
    </row>
    <row r="396">
      <c r="J396" s="113"/>
      <c r="L396" s="126"/>
    </row>
    <row r="397">
      <c r="J397" s="113"/>
      <c r="L397" s="126"/>
    </row>
    <row r="398">
      <c r="J398" s="113"/>
      <c r="L398" s="126"/>
    </row>
    <row r="399">
      <c r="J399" s="113"/>
      <c r="L399" s="126"/>
    </row>
    <row r="400">
      <c r="J400" s="113"/>
      <c r="L400" s="126"/>
    </row>
    <row r="401">
      <c r="J401" s="113"/>
      <c r="L401" s="126"/>
    </row>
    <row r="402">
      <c r="J402" s="113"/>
      <c r="L402" s="126"/>
    </row>
    <row r="403">
      <c r="J403" s="113"/>
      <c r="L403" s="126"/>
    </row>
    <row r="404">
      <c r="J404" s="113"/>
      <c r="L404" s="126"/>
    </row>
    <row r="405">
      <c r="J405" s="113"/>
      <c r="L405" s="126"/>
    </row>
    <row r="406">
      <c r="J406" s="113"/>
      <c r="L406" s="126"/>
    </row>
    <row r="407">
      <c r="J407" s="113"/>
      <c r="L407" s="126"/>
    </row>
    <row r="408">
      <c r="J408" s="113"/>
      <c r="L408" s="126"/>
    </row>
    <row r="409">
      <c r="J409" s="113"/>
      <c r="L409" s="126"/>
    </row>
    <row r="410">
      <c r="J410" s="113"/>
      <c r="L410" s="126"/>
    </row>
    <row r="411">
      <c r="J411" s="113"/>
      <c r="L411" s="126"/>
    </row>
    <row r="412">
      <c r="J412" s="113"/>
      <c r="L412" s="126"/>
    </row>
    <row r="413">
      <c r="J413" s="113"/>
      <c r="L413" s="126"/>
    </row>
    <row r="414">
      <c r="J414" s="113"/>
      <c r="L414" s="126"/>
    </row>
    <row r="415">
      <c r="J415" s="113"/>
      <c r="L415" s="126"/>
    </row>
    <row r="416">
      <c r="J416" s="113"/>
      <c r="L416" s="126"/>
    </row>
    <row r="417">
      <c r="J417" s="113"/>
      <c r="L417" s="126"/>
    </row>
    <row r="418">
      <c r="J418" s="113"/>
      <c r="L418" s="126"/>
    </row>
    <row r="419">
      <c r="J419" s="113"/>
      <c r="L419" s="126"/>
    </row>
    <row r="420">
      <c r="J420" s="113"/>
      <c r="L420" s="126"/>
    </row>
    <row r="421">
      <c r="J421" s="113"/>
      <c r="L421" s="126"/>
    </row>
    <row r="422">
      <c r="J422" s="113"/>
      <c r="L422" s="126"/>
    </row>
    <row r="423">
      <c r="J423" s="113"/>
      <c r="L423" s="126"/>
    </row>
    <row r="424">
      <c r="J424" s="113"/>
      <c r="L424" s="126"/>
    </row>
    <row r="425">
      <c r="J425" s="113"/>
      <c r="L425" s="126"/>
    </row>
    <row r="426">
      <c r="J426" s="113"/>
      <c r="L426" s="126"/>
    </row>
    <row r="427">
      <c r="J427" s="113"/>
      <c r="L427" s="126"/>
    </row>
    <row r="428">
      <c r="J428" s="113"/>
      <c r="L428" s="126"/>
    </row>
    <row r="429">
      <c r="J429" s="113"/>
      <c r="L429" s="126"/>
    </row>
    <row r="430">
      <c r="J430" s="113"/>
      <c r="L430" s="126"/>
    </row>
    <row r="431">
      <c r="J431" s="113"/>
      <c r="L431" s="126"/>
    </row>
    <row r="432">
      <c r="J432" s="113"/>
      <c r="L432" s="126"/>
    </row>
    <row r="433">
      <c r="J433" s="113"/>
      <c r="L433" s="126"/>
    </row>
    <row r="434">
      <c r="J434" s="113"/>
      <c r="L434" s="126"/>
    </row>
    <row r="435">
      <c r="J435" s="113"/>
      <c r="L435" s="126"/>
    </row>
    <row r="436">
      <c r="J436" s="113"/>
      <c r="L436" s="126"/>
    </row>
    <row r="437">
      <c r="J437" s="113"/>
      <c r="L437" s="126"/>
    </row>
    <row r="438">
      <c r="J438" s="113"/>
      <c r="L438" s="126"/>
    </row>
    <row r="439">
      <c r="J439" s="113"/>
      <c r="L439" s="126"/>
    </row>
    <row r="440">
      <c r="J440" s="113"/>
      <c r="L440" s="126"/>
    </row>
    <row r="441">
      <c r="J441" s="113"/>
      <c r="L441" s="126"/>
    </row>
    <row r="442">
      <c r="J442" s="113"/>
      <c r="L442" s="126"/>
    </row>
    <row r="443">
      <c r="J443" s="113"/>
      <c r="L443" s="126"/>
    </row>
    <row r="444">
      <c r="J444" s="113"/>
      <c r="L444" s="126"/>
    </row>
    <row r="445">
      <c r="J445" s="113"/>
      <c r="L445" s="126"/>
    </row>
    <row r="446">
      <c r="J446" s="113"/>
      <c r="L446" s="126"/>
    </row>
    <row r="447">
      <c r="J447" s="113"/>
      <c r="L447" s="126"/>
    </row>
    <row r="448">
      <c r="J448" s="113"/>
      <c r="L448" s="126"/>
    </row>
    <row r="449">
      <c r="J449" s="113"/>
      <c r="L449" s="126"/>
    </row>
    <row r="450">
      <c r="J450" s="113"/>
      <c r="L450" s="126"/>
    </row>
    <row r="451">
      <c r="J451" s="113"/>
      <c r="L451" s="126"/>
    </row>
    <row r="452">
      <c r="J452" s="113"/>
      <c r="L452" s="126"/>
    </row>
    <row r="453">
      <c r="J453" s="113"/>
      <c r="L453" s="126"/>
    </row>
    <row r="454">
      <c r="J454" s="113"/>
      <c r="L454" s="126"/>
    </row>
    <row r="455">
      <c r="J455" s="113"/>
      <c r="L455" s="126"/>
    </row>
    <row r="456">
      <c r="J456" s="113"/>
      <c r="L456" s="126"/>
    </row>
    <row r="457">
      <c r="J457" s="113"/>
      <c r="L457" s="126"/>
    </row>
    <row r="458">
      <c r="J458" s="113"/>
      <c r="L458" s="126"/>
    </row>
    <row r="459">
      <c r="J459" s="113"/>
      <c r="L459" s="126"/>
    </row>
    <row r="460">
      <c r="J460" s="113"/>
      <c r="L460" s="126"/>
    </row>
    <row r="461">
      <c r="J461" s="113"/>
      <c r="L461" s="126"/>
    </row>
    <row r="462">
      <c r="J462" s="113"/>
      <c r="L462" s="126"/>
    </row>
    <row r="463">
      <c r="J463" s="113"/>
      <c r="L463" s="126"/>
    </row>
    <row r="464">
      <c r="J464" s="113"/>
      <c r="L464" s="126"/>
    </row>
    <row r="465">
      <c r="J465" s="113"/>
      <c r="L465" s="126"/>
    </row>
    <row r="466">
      <c r="J466" s="113"/>
      <c r="L466" s="126"/>
    </row>
    <row r="467">
      <c r="J467" s="113"/>
      <c r="L467" s="126"/>
    </row>
    <row r="468">
      <c r="J468" s="113"/>
      <c r="L468" s="126"/>
    </row>
    <row r="469">
      <c r="J469" s="113"/>
      <c r="L469" s="126"/>
    </row>
    <row r="470">
      <c r="J470" s="113"/>
      <c r="L470" s="126"/>
    </row>
    <row r="471">
      <c r="J471" s="113"/>
      <c r="L471" s="126"/>
    </row>
    <row r="472">
      <c r="J472" s="113"/>
      <c r="L472" s="126"/>
    </row>
    <row r="473">
      <c r="J473" s="113"/>
      <c r="L473" s="126"/>
    </row>
    <row r="474">
      <c r="J474" s="113"/>
      <c r="L474" s="126"/>
    </row>
    <row r="475">
      <c r="J475" s="113"/>
      <c r="L475" s="126"/>
    </row>
    <row r="476">
      <c r="J476" s="113"/>
      <c r="L476" s="126"/>
    </row>
    <row r="477">
      <c r="J477" s="113"/>
      <c r="L477" s="126"/>
    </row>
    <row r="478">
      <c r="J478" s="113"/>
      <c r="L478" s="126"/>
    </row>
    <row r="479">
      <c r="J479" s="113"/>
      <c r="L479" s="126"/>
    </row>
    <row r="480">
      <c r="J480" s="113"/>
      <c r="L480" s="126"/>
    </row>
    <row r="481">
      <c r="J481" s="113"/>
      <c r="L481" s="126"/>
    </row>
    <row r="482">
      <c r="J482" s="113"/>
      <c r="L482" s="126"/>
    </row>
    <row r="483">
      <c r="J483" s="113"/>
      <c r="L483" s="126"/>
    </row>
    <row r="484">
      <c r="J484" s="113"/>
      <c r="L484" s="126"/>
    </row>
    <row r="485">
      <c r="J485" s="113"/>
      <c r="L485" s="126"/>
    </row>
    <row r="486">
      <c r="J486" s="113"/>
      <c r="L486" s="126"/>
    </row>
    <row r="487">
      <c r="J487" s="113"/>
      <c r="L487" s="126"/>
    </row>
    <row r="488">
      <c r="J488" s="113"/>
      <c r="L488" s="126"/>
    </row>
    <row r="489">
      <c r="J489" s="113"/>
      <c r="L489" s="126"/>
    </row>
    <row r="490">
      <c r="J490" s="113"/>
      <c r="L490" s="126"/>
    </row>
    <row r="491">
      <c r="J491" s="113"/>
      <c r="L491" s="126"/>
    </row>
    <row r="492">
      <c r="J492" s="113"/>
      <c r="L492" s="126"/>
    </row>
    <row r="493">
      <c r="J493" s="113"/>
      <c r="L493" s="126"/>
    </row>
    <row r="494">
      <c r="J494" s="113"/>
      <c r="L494" s="126"/>
    </row>
    <row r="495">
      <c r="J495" s="113"/>
      <c r="L495" s="126"/>
    </row>
    <row r="496">
      <c r="J496" s="113"/>
      <c r="L496" s="126"/>
    </row>
    <row r="497">
      <c r="J497" s="113"/>
      <c r="L497" s="126"/>
    </row>
    <row r="498">
      <c r="J498" s="113"/>
      <c r="L498" s="126"/>
    </row>
    <row r="499">
      <c r="J499" s="113"/>
      <c r="L499" s="126"/>
    </row>
    <row r="500">
      <c r="J500" s="113"/>
      <c r="L500" s="126"/>
    </row>
    <row r="501">
      <c r="J501" s="113"/>
      <c r="L501" s="126"/>
    </row>
    <row r="502">
      <c r="J502" s="113"/>
      <c r="L502" s="126"/>
    </row>
    <row r="503">
      <c r="J503" s="113"/>
      <c r="L503" s="126"/>
    </row>
    <row r="504">
      <c r="J504" s="113"/>
      <c r="L504" s="126"/>
    </row>
    <row r="505">
      <c r="J505" s="113"/>
      <c r="L505" s="126"/>
    </row>
    <row r="506">
      <c r="J506" s="113"/>
      <c r="L506" s="126"/>
    </row>
    <row r="507">
      <c r="J507" s="113"/>
      <c r="L507" s="126"/>
    </row>
    <row r="508">
      <c r="J508" s="113"/>
      <c r="L508" s="126"/>
    </row>
    <row r="509">
      <c r="J509" s="113"/>
      <c r="L509" s="126"/>
    </row>
    <row r="510">
      <c r="J510" s="113"/>
      <c r="L510" s="126"/>
    </row>
    <row r="511">
      <c r="J511" s="113"/>
      <c r="L511" s="126"/>
    </row>
    <row r="512">
      <c r="J512" s="113"/>
      <c r="L512" s="126"/>
    </row>
    <row r="513">
      <c r="J513" s="113"/>
      <c r="L513" s="126"/>
    </row>
    <row r="514">
      <c r="J514" s="113"/>
      <c r="L514" s="126"/>
    </row>
    <row r="515">
      <c r="J515" s="113"/>
      <c r="L515" s="126"/>
    </row>
    <row r="516">
      <c r="J516" s="113"/>
      <c r="L516" s="126"/>
    </row>
    <row r="517">
      <c r="J517" s="113"/>
      <c r="L517" s="126"/>
    </row>
    <row r="518">
      <c r="J518" s="113"/>
      <c r="L518" s="126"/>
    </row>
    <row r="519">
      <c r="J519" s="113"/>
      <c r="L519" s="126"/>
    </row>
    <row r="520">
      <c r="J520" s="113"/>
      <c r="L520" s="126"/>
    </row>
    <row r="521">
      <c r="J521" s="113"/>
      <c r="L521" s="126"/>
    </row>
    <row r="522">
      <c r="J522" s="113"/>
      <c r="L522" s="126"/>
    </row>
    <row r="523">
      <c r="J523" s="113"/>
      <c r="L523" s="126"/>
    </row>
    <row r="524">
      <c r="J524" s="113"/>
      <c r="L524" s="126"/>
    </row>
    <row r="525">
      <c r="J525" s="113"/>
      <c r="L525" s="126"/>
    </row>
    <row r="526">
      <c r="J526" s="113"/>
      <c r="L526" s="126"/>
    </row>
    <row r="527">
      <c r="J527" s="113"/>
      <c r="L527" s="126"/>
    </row>
    <row r="528">
      <c r="J528" s="113"/>
      <c r="L528" s="126"/>
    </row>
    <row r="529">
      <c r="J529" s="113"/>
      <c r="L529" s="126"/>
    </row>
    <row r="530">
      <c r="J530" s="113"/>
      <c r="L530" s="126"/>
    </row>
    <row r="531">
      <c r="J531" s="113"/>
      <c r="L531" s="126"/>
    </row>
    <row r="532">
      <c r="J532" s="113"/>
      <c r="L532" s="126"/>
    </row>
    <row r="533">
      <c r="J533" s="113"/>
      <c r="L533" s="126"/>
    </row>
    <row r="534">
      <c r="J534" s="113"/>
      <c r="L534" s="126"/>
    </row>
    <row r="535">
      <c r="J535" s="113"/>
      <c r="L535" s="126"/>
    </row>
    <row r="536">
      <c r="J536" s="113"/>
      <c r="L536" s="126"/>
    </row>
    <row r="537">
      <c r="J537" s="113"/>
      <c r="L537" s="126"/>
    </row>
    <row r="538">
      <c r="J538" s="113"/>
      <c r="L538" s="126"/>
    </row>
    <row r="539">
      <c r="J539" s="113"/>
      <c r="L539" s="126"/>
    </row>
    <row r="540">
      <c r="J540" s="113"/>
      <c r="L540" s="126"/>
    </row>
    <row r="541">
      <c r="J541" s="113"/>
      <c r="L541" s="126"/>
    </row>
    <row r="542">
      <c r="J542" s="113"/>
      <c r="L542" s="126"/>
    </row>
    <row r="543">
      <c r="J543" s="113"/>
      <c r="L543" s="126"/>
    </row>
    <row r="544">
      <c r="J544" s="113"/>
      <c r="L544" s="126"/>
    </row>
    <row r="545">
      <c r="J545" s="113"/>
      <c r="L545" s="126"/>
    </row>
    <row r="546">
      <c r="J546" s="113"/>
      <c r="L546" s="126"/>
    </row>
    <row r="547">
      <c r="J547" s="113"/>
      <c r="L547" s="126"/>
    </row>
    <row r="548">
      <c r="J548" s="113"/>
      <c r="L548" s="126"/>
    </row>
    <row r="549">
      <c r="J549" s="113"/>
      <c r="L549" s="126"/>
    </row>
    <row r="550">
      <c r="J550" s="113"/>
      <c r="L550" s="126"/>
    </row>
    <row r="551">
      <c r="J551" s="113"/>
      <c r="L551" s="126"/>
    </row>
    <row r="552">
      <c r="J552" s="113"/>
      <c r="L552" s="126"/>
    </row>
    <row r="553">
      <c r="J553" s="113"/>
      <c r="L553" s="126"/>
    </row>
    <row r="554">
      <c r="J554" s="113"/>
      <c r="L554" s="126"/>
    </row>
    <row r="555">
      <c r="J555" s="113"/>
      <c r="L555" s="126"/>
    </row>
    <row r="556">
      <c r="J556" s="113"/>
      <c r="L556" s="126"/>
    </row>
    <row r="557">
      <c r="J557" s="113"/>
      <c r="L557" s="126"/>
    </row>
    <row r="558">
      <c r="J558" s="113"/>
      <c r="L558" s="126"/>
    </row>
    <row r="559">
      <c r="J559" s="113"/>
      <c r="L559" s="126"/>
    </row>
    <row r="560">
      <c r="J560" s="113"/>
      <c r="L560" s="126"/>
    </row>
    <row r="561">
      <c r="J561" s="113"/>
      <c r="L561" s="126"/>
    </row>
    <row r="562">
      <c r="J562" s="113"/>
      <c r="L562" s="126"/>
    </row>
    <row r="563">
      <c r="J563" s="113"/>
      <c r="L563" s="126"/>
    </row>
    <row r="564">
      <c r="J564" s="113"/>
      <c r="L564" s="126"/>
    </row>
    <row r="565">
      <c r="J565" s="113"/>
      <c r="L565" s="126"/>
    </row>
    <row r="566">
      <c r="J566" s="113"/>
      <c r="L566" s="126"/>
    </row>
    <row r="567">
      <c r="J567" s="113"/>
      <c r="L567" s="126"/>
    </row>
    <row r="568">
      <c r="J568" s="113"/>
      <c r="L568" s="126"/>
    </row>
    <row r="569">
      <c r="J569" s="113"/>
      <c r="L569" s="126"/>
    </row>
    <row r="570">
      <c r="J570" s="113"/>
      <c r="L570" s="126"/>
    </row>
    <row r="571">
      <c r="J571" s="113"/>
      <c r="L571" s="126"/>
    </row>
    <row r="572">
      <c r="J572" s="113"/>
      <c r="L572" s="126"/>
    </row>
    <row r="573">
      <c r="J573" s="113"/>
      <c r="L573" s="126"/>
    </row>
    <row r="574">
      <c r="J574" s="113"/>
      <c r="L574" s="126"/>
    </row>
    <row r="575">
      <c r="J575" s="113"/>
      <c r="L575" s="126"/>
    </row>
    <row r="576">
      <c r="J576" s="113"/>
      <c r="L576" s="126"/>
    </row>
    <row r="577">
      <c r="J577" s="113"/>
      <c r="L577" s="126"/>
    </row>
    <row r="578">
      <c r="J578" s="113"/>
      <c r="L578" s="126"/>
    </row>
    <row r="579">
      <c r="J579" s="113"/>
      <c r="L579" s="126"/>
    </row>
    <row r="580">
      <c r="J580" s="113"/>
      <c r="L580" s="126"/>
    </row>
    <row r="581">
      <c r="J581" s="113"/>
      <c r="L581" s="126"/>
    </row>
    <row r="582">
      <c r="J582" s="113"/>
      <c r="L582" s="126"/>
    </row>
    <row r="583">
      <c r="J583" s="113"/>
      <c r="L583" s="126"/>
    </row>
    <row r="584">
      <c r="J584" s="113"/>
      <c r="L584" s="126"/>
    </row>
    <row r="585">
      <c r="J585" s="113"/>
      <c r="L585" s="126"/>
    </row>
    <row r="586">
      <c r="J586" s="113"/>
      <c r="L586" s="126"/>
    </row>
    <row r="587">
      <c r="J587" s="113"/>
      <c r="L587" s="126"/>
    </row>
    <row r="588">
      <c r="J588" s="113"/>
      <c r="L588" s="126"/>
    </row>
    <row r="589">
      <c r="J589" s="113"/>
      <c r="L589" s="126"/>
    </row>
    <row r="590">
      <c r="J590" s="113"/>
      <c r="L590" s="126"/>
    </row>
    <row r="591">
      <c r="J591" s="113"/>
      <c r="L591" s="126"/>
    </row>
    <row r="592">
      <c r="J592" s="113"/>
      <c r="L592" s="126"/>
    </row>
    <row r="593">
      <c r="J593" s="113"/>
      <c r="L593" s="126"/>
    </row>
    <row r="594">
      <c r="J594" s="113"/>
      <c r="L594" s="126"/>
    </row>
    <row r="595">
      <c r="J595" s="113"/>
      <c r="L595" s="126"/>
    </row>
    <row r="596">
      <c r="J596" s="113"/>
      <c r="L596" s="126"/>
    </row>
    <row r="597">
      <c r="J597" s="113"/>
      <c r="L597" s="126"/>
    </row>
    <row r="598">
      <c r="J598" s="113"/>
      <c r="L598" s="126"/>
    </row>
    <row r="599">
      <c r="J599" s="113"/>
      <c r="L599" s="126"/>
    </row>
    <row r="600">
      <c r="J600" s="113"/>
      <c r="L600" s="126"/>
    </row>
    <row r="601">
      <c r="J601" s="113"/>
      <c r="L601" s="126"/>
    </row>
    <row r="602">
      <c r="J602" s="113"/>
      <c r="L602" s="126"/>
    </row>
    <row r="603">
      <c r="J603" s="113"/>
      <c r="L603" s="126"/>
    </row>
    <row r="604">
      <c r="J604" s="113"/>
      <c r="L604" s="126"/>
    </row>
    <row r="605">
      <c r="J605" s="113"/>
      <c r="L605" s="126"/>
    </row>
    <row r="606">
      <c r="J606" s="113"/>
      <c r="L606" s="126"/>
    </row>
    <row r="607">
      <c r="J607" s="113"/>
      <c r="L607" s="126"/>
    </row>
    <row r="608">
      <c r="J608" s="113"/>
      <c r="L608" s="126"/>
    </row>
    <row r="609">
      <c r="J609" s="113"/>
      <c r="L609" s="126"/>
    </row>
    <row r="610">
      <c r="J610" s="113"/>
      <c r="L610" s="126"/>
    </row>
    <row r="611">
      <c r="J611" s="113"/>
      <c r="L611" s="126"/>
    </row>
    <row r="612">
      <c r="J612" s="113"/>
      <c r="L612" s="126"/>
    </row>
    <row r="613">
      <c r="J613" s="113"/>
      <c r="L613" s="126"/>
    </row>
    <row r="614">
      <c r="J614" s="113"/>
      <c r="L614" s="126"/>
    </row>
    <row r="615">
      <c r="J615" s="113"/>
      <c r="L615" s="126"/>
    </row>
    <row r="616">
      <c r="J616" s="113"/>
      <c r="L616" s="126"/>
    </row>
    <row r="617">
      <c r="J617" s="113"/>
      <c r="L617" s="126"/>
    </row>
    <row r="618">
      <c r="J618" s="113"/>
      <c r="L618" s="126"/>
    </row>
    <row r="619">
      <c r="J619" s="113"/>
      <c r="L619" s="126"/>
    </row>
    <row r="620">
      <c r="J620" s="113"/>
      <c r="L620" s="126"/>
    </row>
    <row r="621">
      <c r="J621" s="113"/>
      <c r="L621" s="126"/>
    </row>
    <row r="622">
      <c r="J622" s="113"/>
      <c r="L622" s="126"/>
    </row>
    <row r="623">
      <c r="J623" s="113"/>
      <c r="L623" s="126"/>
    </row>
    <row r="624">
      <c r="J624" s="113"/>
      <c r="L624" s="126"/>
    </row>
    <row r="625">
      <c r="J625" s="113"/>
      <c r="L625" s="126"/>
    </row>
    <row r="626">
      <c r="J626" s="113"/>
      <c r="L626" s="126"/>
    </row>
    <row r="627">
      <c r="J627" s="113"/>
      <c r="L627" s="126"/>
    </row>
    <row r="628">
      <c r="J628" s="113"/>
      <c r="L628" s="126"/>
    </row>
    <row r="629">
      <c r="J629" s="113"/>
      <c r="L629" s="126"/>
    </row>
    <row r="630">
      <c r="J630" s="113"/>
      <c r="L630" s="126"/>
    </row>
    <row r="631">
      <c r="J631" s="113"/>
      <c r="L631" s="126"/>
    </row>
    <row r="632">
      <c r="J632" s="113"/>
      <c r="L632" s="126"/>
    </row>
    <row r="633">
      <c r="J633" s="113"/>
      <c r="L633" s="126"/>
    </row>
    <row r="634">
      <c r="J634" s="113"/>
      <c r="L634" s="126"/>
    </row>
    <row r="635">
      <c r="J635" s="113"/>
      <c r="L635" s="126"/>
    </row>
    <row r="636">
      <c r="J636" s="113"/>
      <c r="L636" s="126"/>
    </row>
    <row r="637">
      <c r="J637" s="113"/>
      <c r="L637" s="126"/>
    </row>
    <row r="638">
      <c r="J638" s="113"/>
      <c r="L638" s="126"/>
    </row>
    <row r="639">
      <c r="J639" s="113"/>
      <c r="L639" s="126"/>
    </row>
    <row r="640">
      <c r="J640" s="113"/>
      <c r="L640" s="126"/>
    </row>
    <row r="641">
      <c r="J641" s="113"/>
      <c r="L641" s="126"/>
    </row>
    <row r="642">
      <c r="J642" s="113"/>
      <c r="L642" s="126"/>
    </row>
    <row r="643">
      <c r="J643" s="113"/>
      <c r="L643" s="126"/>
    </row>
    <row r="644">
      <c r="J644" s="113"/>
      <c r="L644" s="126"/>
    </row>
    <row r="645">
      <c r="J645" s="113"/>
      <c r="L645" s="126"/>
    </row>
    <row r="646">
      <c r="J646" s="113"/>
      <c r="L646" s="126"/>
    </row>
    <row r="647">
      <c r="J647" s="113"/>
      <c r="L647" s="126"/>
    </row>
    <row r="648">
      <c r="J648" s="113"/>
      <c r="L648" s="126"/>
    </row>
    <row r="649">
      <c r="J649" s="113"/>
      <c r="L649" s="126"/>
    </row>
    <row r="650">
      <c r="J650" s="113"/>
      <c r="L650" s="126"/>
    </row>
    <row r="651">
      <c r="J651" s="113"/>
      <c r="L651" s="126"/>
    </row>
    <row r="652">
      <c r="J652" s="113"/>
      <c r="L652" s="126"/>
    </row>
    <row r="653">
      <c r="J653" s="113"/>
      <c r="L653" s="126"/>
    </row>
    <row r="654">
      <c r="J654" s="113"/>
      <c r="L654" s="126"/>
    </row>
    <row r="655">
      <c r="J655" s="113"/>
      <c r="L655" s="126"/>
    </row>
    <row r="656">
      <c r="J656" s="113"/>
      <c r="L656" s="126"/>
    </row>
    <row r="657">
      <c r="J657" s="113"/>
      <c r="L657" s="126"/>
    </row>
    <row r="658">
      <c r="J658" s="113"/>
      <c r="L658" s="126"/>
    </row>
    <row r="659">
      <c r="J659" s="113"/>
      <c r="L659" s="126"/>
    </row>
    <row r="660">
      <c r="J660" s="113"/>
      <c r="L660" s="126"/>
    </row>
    <row r="661">
      <c r="J661" s="113"/>
      <c r="L661" s="126"/>
    </row>
    <row r="662">
      <c r="J662" s="113"/>
      <c r="L662" s="126"/>
    </row>
    <row r="663">
      <c r="J663" s="113"/>
      <c r="L663" s="126"/>
    </row>
    <row r="664">
      <c r="J664" s="113"/>
      <c r="L664" s="126"/>
    </row>
    <row r="665">
      <c r="J665" s="113"/>
      <c r="L665" s="126"/>
    </row>
    <row r="666">
      <c r="J666" s="113"/>
      <c r="L666" s="126"/>
    </row>
    <row r="667">
      <c r="J667" s="113"/>
      <c r="L667" s="126"/>
    </row>
    <row r="668">
      <c r="J668" s="113"/>
      <c r="L668" s="126"/>
    </row>
    <row r="669">
      <c r="J669" s="113"/>
      <c r="L669" s="126"/>
    </row>
    <row r="670">
      <c r="J670" s="113"/>
      <c r="L670" s="126"/>
    </row>
    <row r="671">
      <c r="J671" s="113"/>
      <c r="L671" s="126"/>
    </row>
    <row r="672">
      <c r="J672" s="113"/>
      <c r="L672" s="126"/>
    </row>
    <row r="673">
      <c r="J673" s="113"/>
      <c r="L673" s="126"/>
    </row>
    <row r="674">
      <c r="J674" s="113"/>
      <c r="L674" s="126"/>
    </row>
    <row r="675">
      <c r="J675" s="113"/>
      <c r="L675" s="126"/>
    </row>
    <row r="676">
      <c r="J676" s="113"/>
      <c r="L676" s="126"/>
    </row>
    <row r="677">
      <c r="J677" s="113"/>
      <c r="L677" s="126"/>
    </row>
    <row r="678">
      <c r="J678" s="113"/>
      <c r="L678" s="126"/>
    </row>
    <row r="679">
      <c r="J679" s="113"/>
      <c r="L679" s="126"/>
    </row>
    <row r="680">
      <c r="J680" s="113"/>
      <c r="L680" s="126"/>
    </row>
    <row r="681">
      <c r="J681" s="113"/>
      <c r="L681" s="126"/>
    </row>
    <row r="682">
      <c r="J682" s="113"/>
      <c r="L682" s="126"/>
    </row>
    <row r="683">
      <c r="J683" s="113"/>
      <c r="L683" s="126"/>
    </row>
    <row r="684">
      <c r="J684" s="113"/>
      <c r="L684" s="126"/>
    </row>
    <row r="685">
      <c r="J685" s="113"/>
      <c r="L685" s="126"/>
    </row>
    <row r="686">
      <c r="J686" s="113"/>
      <c r="L686" s="126"/>
    </row>
    <row r="687">
      <c r="J687" s="113"/>
      <c r="L687" s="126"/>
    </row>
    <row r="688">
      <c r="J688" s="113"/>
      <c r="L688" s="126"/>
    </row>
    <row r="689">
      <c r="J689" s="113"/>
      <c r="L689" s="126"/>
    </row>
    <row r="690">
      <c r="J690" s="113"/>
      <c r="L690" s="126"/>
    </row>
    <row r="691">
      <c r="J691" s="113"/>
      <c r="L691" s="126"/>
    </row>
    <row r="692">
      <c r="J692" s="113"/>
      <c r="L692" s="126"/>
    </row>
    <row r="693">
      <c r="J693" s="113"/>
      <c r="L693" s="126"/>
    </row>
    <row r="694">
      <c r="J694" s="113"/>
      <c r="L694" s="126"/>
    </row>
    <row r="695">
      <c r="J695" s="113"/>
      <c r="L695" s="126"/>
    </row>
    <row r="696">
      <c r="J696" s="113"/>
      <c r="L696" s="126"/>
    </row>
    <row r="697">
      <c r="J697" s="113"/>
      <c r="L697" s="126"/>
    </row>
    <row r="698">
      <c r="J698" s="113"/>
      <c r="L698" s="126"/>
    </row>
    <row r="699">
      <c r="J699" s="113"/>
      <c r="L699" s="126"/>
    </row>
    <row r="700">
      <c r="J700" s="113"/>
      <c r="L700" s="126"/>
    </row>
    <row r="701">
      <c r="J701" s="113"/>
      <c r="L701" s="126"/>
    </row>
    <row r="702">
      <c r="J702" s="113"/>
      <c r="L702" s="126"/>
    </row>
    <row r="703">
      <c r="J703" s="113"/>
      <c r="L703" s="126"/>
    </row>
    <row r="704">
      <c r="J704" s="113"/>
      <c r="L704" s="126"/>
    </row>
    <row r="705">
      <c r="J705" s="113"/>
      <c r="L705" s="126"/>
    </row>
    <row r="706">
      <c r="J706" s="113"/>
      <c r="L706" s="126"/>
    </row>
    <row r="707">
      <c r="J707" s="113"/>
      <c r="L707" s="126"/>
    </row>
    <row r="708">
      <c r="J708" s="113"/>
      <c r="L708" s="126"/>
    </row>
    <row r="709">
      <c r="J709" s="113"/>
      <c r="L709" s="126"/>
    </row>
    <row r="710">
      <c r="J710" s="113"/>
      <c r="L710" s="126"/>
    </row>
    <row r="711">
      <c r="J711" s="113"/>
      <c r="L711" s="126"/>
    </row>
    <row r="712">
      <c r="J712" s="113"/>
      <c r="L712" s="126"/>
    </row>
    <row r="713">
      <c r="J713" s="113"/>
      <c r="L713" s="126"/>
    </row>
    <row r="714">
      <c r="J714" s="113"/>
      <c r="L714" s="126"/>
    </row>
    <row r="715">
      <c r="J715" s="113"/>
      <c r="L715" s="126"/>
    </row>
    <row r="716">
      <c r="J716" s="113"/>
      <c r="L716" s="126"/>
    </row>
    <row r="717">
      <c r="J717" s="113"/>
      <c r="L717" s="126"/>
    </row>
    <row r="718">
      <c r="J718" s="113"/>
      <c r="L718" s="126"/>
    </row>
    <row r="719">
      <c r="J719" s="113"/>
      <c r="L719" s="126"/>
    </row>
    <row r="720">
      <c r="J720" s="113"/>
      <c r="L720" s="126"/>
    </row>
    <row r="721">
      <c r="J721" s="113"/>
      <c r="L721" s="126"/>
    </row>
    <row r="722">
      <c r="J722" s="113"/>
      <c r="L722" s="126"/>
    </row>
    <row r="723">
      <c r="J723" s="113"/>
      <c r="L723" s="126"/>
    </row>
    <row r="724">
      <c r="J724" s="113"/>
      <c r="L724" s="126"/>
    </row>
    <row r="725">
      <c r="J725" s="113"/>
      <c r="L725" s="126"/>
    </row>
    <row r="726">
      <c r="J726" s="113"/>
      <c r="L726" s="126"/>
    </row>
    <row r="727">
      <c r="J727" s="113"/>
      <c r="L727" s="126"/>
    </row>
    <row r="728">
      <c r="J728" s="113"/>
      <c r="L728" s="126"/>
    </row>
    <row r="729">
      <c r="J729" s="113"/>
      <c r="L729" s="126"/>
    </row>
    <row r="730">
      <c r="J730" s="113"/>
      <c r="L730" s="126"/>
    </row>
    <row r="731">
      <c r="J731" s="113"/>
      <c r="L731" s="126"/>
    </row>
    <row r="732">
      <c r="J732" s="113"/>
      <c r="L732" s="126"/>
    </row>
    <row r="733">
      <c r="J733" s="113"/>
      <c r="L733" s="126"/>
    </row>
    <row r="734">
      <c r="J734" s="113"/>
      <c r="L734" s="126"/>
    </row>
    <row r="735">
      <c r="J735" s="113"/>
      <c r="L735" s="126"/>
    </row>
    <row r="736">
      <c r="J736" s="113"/>
      <c r="L736" s="126"/>
    </row>
    <row r="737">
      <c r="J737" s="113"/>
      <c r="L737" s="126"/>
    </row>
    <row r="738">
      <c r="J738" s="113"/>
      <c r="L738" s="126"/>
    </row>
    <row r="739">
      <c r="J739" s="113"/>
      <c r="L739" s="126"/>
    </row>
    <row r="740">
      <c r="J740" s="113"/>
      <c r="L740" s="126"/>
    </row>
    <row r="741">
      <c r="J741" s="113"/>
      <c r="L741" s="126"/>
    </row>
    <row r="742">
      <c r="J742" s="113"/>
      <c r="L742" s="126"/>
    </row>
    <row r="743">
      <c r="J743" s="113"/>
      <c r="L743" s="126"/>
    </row>
    <row r="744">
      <c r="J744" s="113"/>
      <c r="L744" s="126"/>
    </row>
    <row r="745">
      <c r="J745" s="113"/>
      <c r="L745" s="126"/>
    </row>
    <row r="746">
      <c r="J746" s="113"/>
      <c r="L746" s="126"/>
    </row>
    <row r="747">
      <c r="J747" s="113"/>
      <c r="L747" s="126"/>
    </row>
    <row r="748">
      <c r="J748" s="113"/>
      <c r="L748" s="126"/>
    </row>
    <row r="749">
      <c r="J749" s="113"/>
      <c r="L749" s="126"/>
    </row>
    <row r="750">
      <c r="J750" s="113"/>
      <c r="L750" s="126"/>
    </row>
    <row r="751">
      <c r="J751" s="113"/>
      <c r="L751" s="126"/>
    </row>
    <row r="752">
      <c r="J752" s="113"/>
      <c r="L752" s="126"/>
    </row>
    <row r="753">
      <c r="J753" s="113"/>
      <c r="L753" s="126"/>
    </row>
    <row r="754">
      <c r="J754" s="113"/>
      <c r="L754" s="126"/>
    </row>
    <row r="755">
      <c r="J755" s="113"/>
      <c r="L755" s="126"/>
    </row>
    <row r="756">
      <c r="J756" s="113"/>
      <c r="L756" s="126"/>
    </row>
    <row r="757">
      <c r="J757" s="113"/>
      <c r="L757" s="126"/>
    </row>
    <row r="758">
      <c r="J758" s="113"/>
      <c r="L758" s="126"/>
    </row>
    <row r="759">
      <c r="J759" s="113"/>
      <c r="L759" s="126"/>
    </row>
    <row r="760">
      <c r="J760" s="113"/>
      <c r="L760" s="126"/>
    </row>
    <row r="761">
      <c r="J761" s="113"/>
      <c r="L761" s="126"/>
    </row>
    <row r="762">
      <c r="J762" s="113"/>
      <c r="L762" s="126"/>
    </row>
    <row r="763">
      <c r="J763" s="113"/>
      <c r="L763" s="126"/>
    </row>
    <row r="764">
      <c r="J764" s="113"/>
      <c r="L764" s="126"/>
    </row>
    <row r="765">
      <c r="J765" s="113"/>
      <c r="L765" s="126"/>
    </row>
    <row r="766">
      <c r="J766" s="113"/>
      <c r="L766" s="126"/>
    </row>
    <row r="767">
      <c r="J767" s="113"/>
      <c r="L767" s="126"/>
    </row>
    <row r="768">
      <c r="J768" s="113"/>
      <c r="L768" s="126"/>
    </row>
    <row r="769">
      <c r="J769" s="113"/>
      <c r="L769" s="126"/>
    </row>
    <row r="770">
      <c r="J770" s="113"/>
      <c r="L770" s="126"/>
    </row>
    <row r="771">
      <c r="J771" s="113"/>
      <c r="L771" s="126"/>
    </row>
    <row r="772">
      <c r="J772" s="113"/>
      <c r="L772" s="126"/>
    </row>
    <row r="773">
      <c r="J773" s="113"/>
      <c r="L773" s="126"/>
    </row>
    <row r="774">
      <c r="J774" s="113"/>
      <c r="L774" s="126"/>
    </row>
    <row r="775">
      <c r="J775" s="113"/>
      <c r="L775" s="126"/>
    </row>
    <row r="776">
      <c r="J776" s="113"/>
      <c r="L776" s="126"/>
    </row>
    <row r="777">
      <c r="J777" s="113"/>
      <c r="L777" s="126"/>
    </row>
    <row r="778">
      <c r="J778" s="113"/>
      <c r="L778" s="126"/>
    </row>
    <row r="779">
      <c r="J779" s="113"/>
      <c r="L779" s="126"/>
    </row>
    <row r="780">
      <c r="J780" s="113"/>
      <c r="L780" s="126"/>
    </row>
    <row r="781">
      <c r="J781" s="113"/>
      <c r="L781" s="126"/>
    </row>
    <row r="782">
      <c r="J782" s="113"/>
      <c r="L782" s="126"/>
    </row>
    <row r="783">
      <c r="J783" s="113"/>
      <c r="L783" s="126"/>
    </row>
    <row r="784">
      <c r="J784" s="113"/>
      <c r="L784" s="126"/>
    </row>
    <row r="785">
      <c r="J785" s="113"/>
      <c r="L785" s="126"/>
    </row>
    <row r="786">
      <c r="J786" s="113"/>
      <c r="L786" s="126"/>
    </row>
    <row r="787">
      <c r="J787" s="113"/>
      <c r="L787" s="126"/>
    </row>
    <row r="788">
      <c r="J788" s="113"/>
      <c r="L788" s="126"/>
    </row>
    <row r="789">
      <c r="J789" s="113"/>
      <c r="L789" s="126"/>
    </row>
    <row r="790">
      <c r="J790" s="113"/>
      <c r="L790" s="126"/>
    </row>
    <row r="791">
      <c r="J791" s="113"/>
      <c r="L791" s="126"/>
    </row>
    <row r="792">
      <c r="J792" s="113"/>
      <c r="L792" s="126"/>
    </row>
    <row r="793">
      <c r="J793" s="113"/>
      <c r="L793" s="126"/>
    </row>
    <row r="794">
      <c r="J794" s="113"/>
      <c r="L794" s="126"/>
    </row>
    <row r="795">
      <c r="J795" s="113"/>
      <c r="L795" s="126"/>
    </row>
    <row r="796">
      <c r="J796" s="113"/>
      <c r="L796" s="126"/>
    </row>
    <row r="797">
      <c r="J797" s="113"/>
      <c r="L797" s="126"/>
    </row>
    <row r="798">
      <c r="J798" s="113"/>
      <c r="L798" s="126"/>
    </row>
    <row r="799">
      <c r="J799" s="113"/>
      <c r="L799" s="126"/>
    </row>
    <row r="800">
      <c r="J800" s="113"/>
      <c r="L800" s="126"/>
    </row>
    <row r="801">
      <c r="J801" s="113"/>
      <c r="L801" s="126"/>
    </row>
    <row r="802">
      <c r="J802" s="113"/>
      <c r="L802" s="126"/>
    </row>
    <row r="803">
      <c r="J803" s="113"/>
      <c r="L803" s="126"/>
    </row>
    <row r="804">
      <c r="J804" s="113"/>
      <c r="L804" s="126"/>
    </row>
    <row r="805">
      <c r="J805" s="113"/>
      <c r="L805" s="126"/>
    </row>
    <row r="806">
      <c r="J806" s="113"/>
      <c r="L806" s="126"/>
    </row>
    <row r="807">
      <c r="J807" s="113"/>
      <c r="L807" s="126"/>
    </row>
    <row r="808">
      <c r="J808" s="113"/>
      <c r="L808" s="126"/>
    </row>
    <row r="809">
      <c r="J809" s="113"/>
      <c r="L809" s="126"/>
    </row>
    <row r="810">
      <c r="J810" s="113"/>
      <c r="L810" s="126"/>
    </row>
    <row r="811">
      <c r="J811" s="113"/>
      <c r="L811" s="126"/>
    </row>
    <row r="812">
      <c r="J812" s="113"/>
      <c r="L812" s="126"/>
    </row>
    <row r="813">
      <c r="J813" s="113"/>
      <c r="L813" s="126"/>
    </row>
    <row r="814">
      <c r="J814" s="113"/>
      <c r="L814" s="126"/>
    </row>
    <row r="815">
      <c r="J815" s="113"/>
      <c r="L815" s="126"/>
    </row>
    <row r="816">
      <c r="J816" s="113"/>
      <c r="L816" s="126"/>
    </row>
    <row r="817">
      <c r="J817" s="113"/>
      <c r="L817" s="126"/>
    </row>
    <row r="818">
      <c r="J818" s="113"/>
      <c r="L818" s="126"/>
    </row>
    <row r="819">
      <c r="J819" s="113"/>
      <c r="L819" s="126"/>
    </row>
    <row r="820">
      <c r="J820" s="113"/>
      <c r="L820" s="126"/>
    </row>
    <row r="821">
      <c r="J821" s="113"/>
      <c r="L821" s="126"/>
    </row>
    <row r="822">
      <c r="J822" s="113"/>
      <c r="L822" s="126"/>
    </row>
    <row r="823">
      <c r="J823" s="113"/>
      <c r="L823" s="126"/>
    </row>
    <row r="824">
      <c r="J824" s="113"/>
      <c r="L824" s="126"/>
    </row>
    <row r="825">
      <c r="J825" s="113"/>
      <c r="L825" s="126"/>
    </row>
    <row r="826">
      <c r="J826" s="113"/>
      <c r="L826" s="126"/>
    </row>
    <row r="827">
      <c r="J827" s="113"/>
      <c r="L827" s="126"/>
    </row>
    <row r="828">
      <c r="J828" s="113"/>
      <c r="L828" s="126"/>
    </row>
    <row r="829">
      <c r="J829" s="113"/>
      <c r="L829" s="126"/>
    </row>
    <row r="830">
      <c r="J830" s="113"/>
      <c r="L830" s="126"/>
    </row>
    <row r="831">
      <c r="J831" s="113"/>
      <c r="L831" s="126"/>
    </row>
    <row r="832">
      <c r="J832" s="113"/>
      <c r="L832" s="126"/>
    </row>
    <row r="833">
      <c r="J833" s="113"/>
      <c r="L833" s="126"/>
    </row>
    <row r="834">
      <c r="J834" s="113"/>
      <c r="L834" s="126"/>
    </row>
    <row r="835">
      <c r="J835" s="113"/>
      <c r="L835" s="126"/>
    </row>
    <row r="836">
      <c r="J836" s="113"/>
      <c r="L836" s="126"/>
    </row>
    <row r="837">
      <c r="J837" s="113"/>
      <c r="L837" s="126"/>
    </row>
    <row r="838">
      <c r="J838" s="113"/>
      <c r="L838" s="126"/>
    </row>
    <row r="839">
      <c r="J839" s="113"/>
      <c r="L839" s="126"/>
    </row>
    <row r="840">
      <c r="J840" s="113"/>
      <c r="L840" s="126"/>
    </row>
    <row r="841">
      <c r="J841" s="113"/>
      <c r="L841" s="126"/>
    </row>
    <row r="842">
      <c r="J842" s="113"/>
      <c r="L842" s="126"/>
    </row>
    <row r="843">
      <c r="J843" s="113"/>
      <c r="L843" s="126"/>
    </row>
    <row r="844">
      <c r="J844" s="113"/>
      <c r="L844" s="126"/>
    </row>
    <row r="845">
      <c r="J845" s="113"/>
      <c r="L845" s="126"/>
    </row>
    <row r="846">
      <c r="J846" s="113"/>
      <c r="L846" s="126"/>
    </row>
    <row r="847">
      <c r="J847" s="113"/>
      <c r="L847" s="126"/>
    </row>
    <row r="848">
      <c r="J848" s="113"/>
      <c r="L848" s="126"/>
    </row>
    <row r="849">
      <c r="J849" s="113"/>
      <c r="L849" s="126"/>
    </row>
    <row r="850">
      <c r="J850" s="113"/>
      <c r="L850" s="126"/>
    </row>
    <row r="851">
      <c r="J851" s="113"/>
      <c r="L851" s="126"/>
    </row>
    <row r="852">
      <c r="J852" s="113"/>
      <c r="L852" s="126"/>
    </row>
    <row r="853">
      <c r="J853" s="113"/>
      <c r="L853" s="126"/>
    </row>
    <row r="854">
      <c r="J854" s="113"/>
      <c r="L854" s="126"/>
    </row>
    <row r="855">
      <c r="J855" s="113"/>
      <c r="L855" s="126"/>
    </row>
    <row r="856">
      <c r="J856" s="113"/>
      <c r="L856" s="126"/>
    </row>
    <row r="857">
      <c r="J857" s="113"/>
      <c r="L857" s="126"/>
    </row>
    <row r="858">
      <c r="J858" s="113"/>
      <c r="L858" s="126"/>
    </row>
    <row r="859">
      <c r="J859" s="113"/>
      <c r="L859" s="126"/>
    </row>
    <row r="860">
      <c r="J860" s="113"/>
      <c r="L860" s="126"/>
    </row>
    <row r="861">
      <c r="J861" s="113"/>
      <c r="L861" s="126"/>
    </row>
    <row r="862">
      <c r="J862" s="113"/>
      <c r="L862" s="126"/>
    </row>
    <row r="863">
      <c r="J863" s="113"/>
      <c r="L863" s="126"/>
    </row>
    <row r="864">
      <c r="J864" s="113"/>
      <c r="L864" s="126"/>
    </row>
    <row r="865">
      <c r="J865" s="113"/>
      <c r="L865" s="126"/>
    </row>
    <row r="866">
      <c r="J866" s="113"/>
      <c r="L866" s="126"/>
    </row>
    <row r="867">
      <c r="J867" s="113"/>
      <c r="L867" s="126"/>
    </row>
    <row r="868">
      <c r="J868" s="113"/>
      <c r="L868" s="126"/>
    </row>
    <row r="869">
      <c r="J869" s="113"/>
      <c r="L869" s="126"/>
    </row>
    <row r="870">
      <c r="J870" s="113"/>
      <c r="L870" s="126"/>
    </row>
    <row r="871">
      <c r="J871" s="113"/>
      <c r="L871" s="126"/>
    </row>
    <row r="872">
      <c r="J872" s="113"/>
      <c r="L872" s="126"/>
    </row>
    <row r="873">
      <c r="J873" s="113"/>
      <c r="L873" s="126"/>
    </row>
    <row r="874">
      <c r="J874" s="113"/>
      <c r="L874" s="126"/>
    </row>
    <row r="875">
      <c r="J875" s="113"/>
      <c r="L875" s="126"/>
    </row>
    <row r="876">
      <c r="J876" s="113"/>
      <c r="L876" s="126"/>
    </row>
    <row r="877">
      <c r="J877" s="113"/>
      <c r="L877" s="126"/>
    </row>
    <row r="878">
      <c r="J878" s="113"/>
      <c r="L878" s="126"/>
    </row>
    <row r="879">
      <c r="J879" s="113"/>
      <c r="L879" s="126"/>
    </row>
    <row r="880">
      <c r="J880" s="113"/>
      <c r="L880" s="126"/>
    </row>
    <row r="881">
      <c r="J881" s="113"/>
      <c r="L881" s="126"/>
    </row>
    <row r="882">
      <c r="J882" s="113"/>
      <c r="L882" s="126"/>
    </row>
    <row r="883">
      <c r="J883" s="113"/>
      <c r="L883" s="126"/>
    </row>
    <row r="884">
      <c r="J884" s="113"/>
      <c r="L884" s="126"/>
    </row>
    <row r="885">
      <c r="J885" s="113"/>
      <c r="L885" s="126"/>
    </row>
    <row r="886">
      <c r="J886" s="113"/>
      <c r="L886" s="126"/>
    </row>
    <row r="887">
      <c r="J887" s="113"/>
      <c r="L887" s="126"/>
    </row>
    <row r="888">
      <c r="J888" s="113"/>
      <c r="L888" s="126"/>
    </row>
    <row r="889">
      <c r="J889" s="113"/>
      <c r="L889" s="126"/>
    </row>
    <row r="890">
      <c r="J890" s="113"/>
      <c r="L890" s="126"/>
    </row>
    <row r="891">
      <c r="J891" s="113"/>
      <c r="L891" s="126"/>
    </row>
    <row r="892">
      <c r="J892" s="113"/>
      <c r="L892" s="126"/>
    </row>
    <row r="893">
      <c r="J893" s="113"/>
      <c r="L893" s="126"/>
    </row>
    <row r="894">
      <c r="J894" s="113"/>
      <c r="L894" s="126"/>
    </row>
    <row r="895">
      <c r="J895" s="113"/>
      <c r="L895" s="126"/>
    </row>
    <row r="896">
      <c r="J896" s="113"/>
      <c r="L896" s="126"/>
    </row>
    <row r="897">
      <c r="J897" s="113"/>
      <c r="L897" s="126"/>
    </row>
    <row r="898">
      <c r="J898" s="113"/>
      <c r="L898" s="126"/>
    </row>
    <row r="899">
      <c r="J899" s="113"/>
      <c r="L899" s="126"/>
    </row>
    <row r="900">
      <c r="J900" s="113"/>
      <c r="L900" s="126"/>
    </row>
    <row r="901">
      <c r="J901" s="113"/>
      <c r="L901" s="126"/>
    </row>
    <row r="902">
      <c r="J902" s="113"/>
      <c r="L902" s="126"/>
    </row>
    <row r="903">
      <c r="J903" s="113"/>
      <c r="L903" s="126"/>
    </row>
    <row r="904">
      <c r="J904" s="113"/>
      <c r="L904" s="126"/>
    </row>
    <row r="905">
      <c r="J905" s="113"/>
      <c r="L905" s="126"/>
    </row>
    <row r="906">
      <c r="J906" s="113"/>
      <c r="L906" s="126"/>
    </row>
    <row r="907">
      <c r="J907" s="113"/>
      <c r="L907" s="126"/>
    </row>
    <row r="908">
      <c r="J908" s="113"/>
      <c r="L908" s="126"/>
    </row>
    <row r="909">
      <c r="J909" s="113"/>
      <c r="L909" s="126"/>
    </row>
    <row r="910">
      <c r="J910" s="113"/>
      <c r="L910" s="126"/>
    </row>
    <row r="911">
      <c r="J911" s="113"/>
      <c r="L911" s="126"/>
    </row>
    <row r="912">
      <c r="J912" s="113"/>
      <c r="L912" s="126"/>
    </row>
    <row r="913">
      <c r="J913" s="113"/>
      <c r="L913" s="126"/>
    </row>
    <row r="914">
      <c r="J914" s="113"/>
      <c r="L914" s="126"/>
    </row>
    <row r="915">
      <c r="J915" s="113"/>
      <c r="L915" s="126"/>
    </row>
    <row r="916">
      <c r="J916" s="113"/>
      <c r="L916" s="126"/>
    </row>
    <row r="917">
      <c r="J917" s="113"/>
      <c r="L917" s="126"/>
    </row>
    <row r="918">
      <c r="J918" s="113"/>
      <c r="L918" s="126"/>
    </row>
    <row r="919">
      <c r="J919" s="113"/>
      <c r="L919" s="126"/>
    </row>
    <row r="920">
      <c r="J920" s="113"/>
      <c r="L920" s="126"/>
    </row>
    <row r="921">
      <c r="J921" s="113"/>
      <c r="L921" s="126"/>
    </row>
    <row r="922">
      <c r="J922" s="113"/>
      <c r="L922" s="126"/>
    </row>
    <row r="923">
      <c r="J923" s="113"/>
      <c r="L923" s="126"/>
    </row>
    <row r="924">
      <c r="J924" s="113"/>
      <c r="L924" s="126"/>
    </row>
    <row r="925">
      <c r="J925" s="113"/>
      <c r="L925" s="126"/>
    </row>
    <row r="926">
      <c r="J926" s="113"/>
      <c r="L926" s="126"/>
    </row>
    <row r="927">
      <c r="J927" s="113"/>
      <c r="L927" s="126"/>
    </row>
    <row r="928">
      <c r="J928" s="113"/>
      <c r="L928" s="126"/>
    </row>
    <row r="929">
      <c r="J929" s="113"/>
      <c r="L929" s="126"/>
    </row>
    <row r="930">
      <c r="J930" s="113"/>
      <c r="L930" s="126"/>
    </row>
    <row r="931">
      <c r="J931" s="113"/>
      <c r="L931" s="126"/>
    </row>
    <row r="932">
      <c r="J932" s="113"/>
      <c r="L932" s="126"/>
    </row>
    <row r="933">
      <c r="J933" s="113"/>
      <c r="L933" s="126"/>
    </row>
    <row r="934">
      <c r="J934" s="113"/>
      <c r="L934" s="126"/>
    </row>
    <row r="935">
      <c r="J935" s="113"/>
      <c r="L935" s="126"/>
    </row>
    <row r="936">
      <c r="J936" s="113"/>
      <c r="L936" s="126"/>
    </row>
    <row r="937">
      <c r="J937" s="113"/>
      <c r="L937" s="126"/>
    </row>
    <row r="938">
      <c r="J938" s="113"/>
      <c r="L938" s="126"/>
    </row>
    <row r="939">
      <c r="J939" s="113"/>
      <c r="L939" s="126"/>
    </row>
    <row r="940">
      <c r="J940" s="113"/>
      <c r="L940" s="126"/>
    </row>
    <row r="941">
      <c r="J941" s="113"/>
      <c r="L941" s="126"/>
    </row>
    <row r="942">
      <c r="J942" s="113"/>
      <c r="L942" s="126"/>
    </row>
    <row r="943">
      <c r="J943" s="113"/>
      <c r="L943" s="126"/>
    </row>
    <row r="944">
      <c r="J944" s="113"/>
      <c r="L944" s="126"/>
    </row>
    <row r="945">
      <c r="J945" s="113"/>
      <c r="L945" s="126"/>
    </row>
    <row r="946">
      <c r="J946" s="113"/>
      <c r="L946" s="126"/>
    </row>
    <row r="947">
      <c r="J947" s="113"/>
      <c r="L947" s="126"/>
    </row>
    <row r="948">
      <c r="J948" s="113"/>
      <c r="L948" s="126"/>
    </row>
    <row r="949">
      <c r="J949" s="113"/>
      <c r="L949" s="126"/>
    </row>
    <row r="950">
      <c r="J950" s="113"/>
      <c r="L950" s="126"/>
    </row>
    <row r="951">
      <c r="J951" s="113"/>
      <c r="L951" s="126"/>
    </row>
    <row r="952">
      <c r="J952" s="113"/>
      <c r="L952" s="126"/>
    </row>
    <row r="953">
      <c r="J953" s="113"/>
      <c r="L953" s="126"/>
    </row>
    <row r="954">
      <c r="J954" s="113"/>
      <c r="L954" s="126"/>
    </row>
    <row r="955">
      <c r="J955" s="113"/>
      <c r="L955" s="126"/>
    </row>
    <row r="956">
      <c r="J956" s="113"/>
      <c r="L956" s="126"/>
    </row>
    <row r="957">
      <c r="J957" s="113"/>
      <c r="L957" s="126"/>
    </row>
    <row r="958">
      <c r="J958" s="113"/>
      <c r="L958" s="126"/>
    </row>
    <row r="959">
      <c r="J959" s="113"/>
      <c r="L959" s="126"/>
    </row>
    <row r="960">
      <c r="J960" s="113"/>
      <c r="L960" s="126"/>
    </row>
    <row r="961">
      <c r="J961" s="113"/>
      <c r="L961" s="126"/>
    </row>
    <row r="962">
      <c r="J962" s="113"/>
      <c r="L962" s="126"/>
    </row>
    <row r="963">
      <c r="J963" s="113"/>
      <c r="L963" s="126"/>
    </row>
    <row r="964">
      <c r="J964" s="113"/>
      <c r="L964" s="126"/>
    </row>
    <row r="965">
      <c r="J965" s="113"/>
      <c r="L965" s="126"/>
    </row>
    <row r="966">
      <c r="J966" s="113"/>
      <c r="L966" s="126"/>
    </row>
    <row r="967">
      <c r="J967" s="113"/>
      <c r="L967" s="126"/>
    </row>
    <row r="968">
      <c r="J968" s="113"/>
      <c r="L968" s="126"/>
    </row>
    <row r="969">
      <c r="J969" s="113"/>
      <c r="L969" s="126"/>
    </row>
    <row r="970">
      <c r="J970" s="113"/>
      <c r="L970" s="126"/>
    </row>
    <row r="971">
      <c r="J971" s="113"/>
      <c r="L971" s="126"/>
    </row>
    <row r="972">
      <c r="J972" s="113"/>
      <c r="L972" s="126"/>
    </row>
    <row r="973">
      <c r="J973" s="113"/>
      <c r="L973" s="126"/>
    </row>
    <row r="974">
      <c r="J974" s="113"/>
      <c r="L974" s="126"/>
    </row>
    <row r="975">
      <c r="J975" s="113"/>
      <c r="L975" s="126"/>
    </row>
    <row r="976">
      <c r="J976" s="113"/>
      <c r="L976" s="126"/>
    </row>
    <row r="977">
      <c r="J977" s="113"/>
      <c r="L977" s="126"/>
    </row>
    <row r="978">
      <c r="J978" s="113"/>
      <c r="L978" s="126"/>
    </row>
    <row r="979">
      <c r="J979" s="113"/>
      <c r="L979" s="126"/>
    </row>
    <row r="980">
      <c r="J980" s="113"/>
      <c r="L980" s="126"/>
    </row>
    <row r="981">
      <c r="J981" s="113"/>
      <c r="L981" s="126"/>
    </row>
    <row r="982">
      <c r="J982" s="113"/>
      <c r="L982" s="126"/>
    </row>
    <row r="983">
      <c r="J983" s="113"/>
      <c r="L983" s="126"/>
    </row>
    <row r="984">
      <c r="J984" s="113"/>
      <c r="L984" s="126"/>
    </row>
    <row r="985">
      <c r="J985" s="113"/>
      <c r="L985" s="126"/>
    </row>
    <row r="986">
      <c r="J986" s="113"/>
      <c r="L986" s="126"/>
    </row>
    <row r="987">
      <c r="J987" s="113"/>
      <c r="L987" s="126"/>
    </row>
    <row r="988">
      <c r="J988" s="113"/>
      <c r="L988" s="126"/>
    </row>
    <row r="989">
      <c r="J989" s="113"/>
      <c r="L989" s="126"/>
    </row>
    <row r="990">
      <c r="J990" s="113"/>
      <c r="L990" s="126"/>
    </row>
    <row r="991">
      <c r="J991" s="113"/>
      <c r="L991" s="126"/>
    </row>
    <row r="992">
      <c r="J992" s="113"/>
      <c r="L992" s="126"/>
    </row>
    <row r="993">
      <c r="J993" s="113"/>
      <c r="L993" s="126"/>
    </row>
    <row r="994">
      <c r="J994" s="113"/>
      <c r="L994" s="126"/>
    </row>
    <row r="995">
      <c r="J995" s="113"/>
      <c r="L995" s="126"/>
    </row>
    <row r="996">
      <c r="J996" s="113"/>
      <c r="L996" s="126"/>
    </row>
    <row r="997">
      <c r="J997" s="113"/>
      <c r="L997" s="126"/>
    </row>
    <row r="998">
      <c r="J998" s="113"/>
      <c r="L998" s="126"/>
    </row>
    <row r="999">
      <c r="J999" s="113"/>
      <c r="L999" s="126"/>
    </row>
    <row r="1000">
      <c r="J1000" s="113"/>
      <c r="L1000" s="12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1.25"/>
  </cols>
  <sheetData>
    <row r="1">
      <c r="A1" s="93" t="str">
        <f>IFERROR(__xludf.DUMMYFUNCTION("IFERROR(FILTER('Leave of Absence Storage'!A2:AA1000, 'Leave of Absence Storage'!K2:K1000 = Calculator!B2), """")
"),"")</f>
        <v/>
      </c>
      <c r="J1" s="113"/>
      <c r="L1" s="126"/>
    </row>
    <row r="2">
      <c r="J2" s="113"/>
      <c r="L2" s="126"/>
    </row>
    <row r="3">
      <c r="J3" s="113"/>
      <c r="L3" s="126"/>
    </row>
    <row r="4">
      <c r="J4" s="113"/>
      <c r="L4" s="126"/>
    </row>
    <row r="5">
      <c r="J5" s="113"/>
      <c r="L5" s="126"/>
    </row>
    <row r="6">
      <c r="J6" s="113"/>
      <c r="L6" s="126"/>
    </row>
    <row r="7">
      <c r="J7" s="113"/>
      <c r="L7" s="126"/>
    </row>
    <row r="8">
      <c r="J8" s="113"/>
      <c r="L8" s="126"/>
    </row>
    <row r="9">
      <c r="J9" s="113"/>
      <c r="L9" s="126"/>
    </row>
    <row r="10">
      <c r="J10" s="113"/>
      <c r="L10" s="126"/>
    </row>
    <row r="11">
      <c r="J11" s="113"/>
      <c r="L11" s="126"/>
    </row>
    <row r="12">
      <c r="J12" s="113"/>
      <c r="L12" s="126"/>
    </row>
    <row r="13">
      <c r="J13" s="113"/>
      <c r="L13" s="126"/>
    </row>
    <row r="14">
      <c r="J14" s="113"/>
      <c r="L14" s="126"/>
    </row>
    <row r="15">
      <c r="J15" s="113"/>
      <c r="L15" s="126"/>
    </row>
    <row r="16">
      <c r="J16" s="113"/>
      <c r="L16" s="126"/>
    </row>
    <row r="17">
      <c r="J17" s="113"/>
      <c r="L17" s="126"/>
    </row>
    <row r="18">
      <c r="J18" s="113"/>
      <c r="L18" s="126"/>
    </row>
    <row r="19">
      <c r="J19" s="113"/>
      <c r="L19" s="126"/>
    </row>
    <row r="20">
      <c r="J20" s="113"/>
      <c r="L20" s="126"/>
    </row>
    <row r="21">
      <c r="J21" s="113"/>
      <c r="L21" s="126"/>
    </row>
    <row r="22">
      <c r="J22" s="113"/>
      <c r="L22" s="126"/>
    </row>
    <row r="23">
      <c r="J23" s="113"/>
      <c r="L23" s="126"/>
    </row>
    <row r="24">
      <c r="J24" s="113"/>
      <c r="L24" s="126"/>
    </row>
    <row r="25">
      <c r="J25" s="113"/>
      <c r="L25" s="126"/>
    </row>
    <row r="26">
      <c r="J26" s="113"/>
      <c r="L26" s="126"/>
    </row>
    <row r="27">
      <c r="J27" s="113"/>
      <c r="L27" s="126"/>
    </row>
    <row r="28">
      <c r="J28" s="113"/>
      <c r="L28" s="126"/>
    </row>
    <row r="29">
      <c r="J29" s="113"/>
      <c r="L29" s="126"/>
    </row>
    <row r="30">
      <c r="J30" s="113"/>
      <c r="L30" s="126"/>
    </row>
    <row r="31">
      <c r="J31" s="113"/>
      <c r="L31" s="126"/>
    </row>
    <row r="32">
      <c r="J32" s="113"/>
      <c r="L32" s="126"/>
    </row>
    <row r="33">
      <c r="J33" s="113"/>
      <c r="L33" s="126"/>
    </row>
    <row r="34">
      <c r="J34" s="113"/>
      <c r="L34" s="126"/>
    </row>
    <row r="35">
      <c r="J35" s="113"/>
      <c r="L35" s="126"/>
    </row>
    <row r="36">
      <c r="J36" s="113"/>
      <c r="L36" s="126"/>
    </row>
    <row r="37">
      <c r="J37" s="113"/>
      <c r="L37" s="126"/>
    </row>
    <row r="38">
      <c r="J38" s="113"/>
      <c r="L38" s="126"/>
    </row>
    <row r="39">
      <c r="J39" s="113"/>
      <c r="L39" s="126"/>
    </row>
    <row r="40">
      <c r="J40" s="113"/>
      <c r="L40" s="126"/>
    </row>
    <row r="41">
      <c r="J41" s="113"/>
      <c r="L41" s="126"/>
    </row>
    <row r="42">
      <c r="J42" s="113"/>
      <c r="L42" s="126"/>
    </row>
    <row r="43">
      <c r="J43" s="113"/>
      <c r="L43" s="126"/>
    </row>
    <row r="44">
      <c r="J44" s="113"/>
      <c r="L44" s="126"/>
    </row>
    <row r="45">
      <c r="J45" s="113"/>
      <c r="L45" s="126"/>
    </row>
    <row r="46">
      <c r="J46" s="113"/>
      <c r="L46" s="126"/>
    </row>
    <row r="47">
      <c r="J47" s="113"/>
      <c r="L47" s="126"/>
    </row>
    <row r="48">
      <c r="J48" s="113"/>
      <c r="L48" s="126"/>
    </row>
    <row r="49">
      <c r="J49" s="113"/>
      <c r="L49" s="126"/>
    </row>
    <row r="50">
      <c r="J50" s="113"/>
      <c r="L50" s="126"/>
    </row>
    <row r="51">
      <c r="J51" s="113"/>
      <c r="L51" s="126"/>
    </row>
    <row r="52">
      <c r="J52" s="113"/>
      <c r="L52" s="126"/>
    </row>
    <row r="53">
      <c r="J53" s="113"/>
      <c r="L53" s="126"/>
    </row>
    <row r="54">
      <c r="J54" s="113"/>
      <c r="L54" s="126"/>
    </row>
    <row r="55">
      <c r="J55" s="113"/>
      <c r="L55" s="126"/>
    </row>
    <row r="56">
      <c r="J56" s="113"/>
      <c r="L56" s="126"/>
    </row>
    <row r="57">
      <c r="J57" s="113"/>
      <c r="L57" s="126"/>
    </row>
    <row r="58">
      <c r="J58" s="113"/>
      <c r="L58" s="126"/>
    </row>
    <row r="59">
      <c r="J59" s="113"/>
      <c r="L59" s="126"/>
    </row>
    <row r="60">
      <c r="J60" s="113"/>
      <c r="L60" s="126"/>
    </row>
    <row r="61">
      <c r="J61" s="113"/>
      <c r="L61" s="126"/>
    </row>
    <row r="62">
      <c r="J62" s="113"/>
      <c r="L62" s="126"/>
    </row>
    <row r="63">
      <c r="J63" s="113"/>
      <c r="L63" s="126"/>
    </row>
    <row r="64">
      <c r="J64" s="113"/>
      <c r="L64" s="126"/>
    </row>
    <row r="65">
      <c r="J65" s="113"/>
      <c r="L65" s="126"/>
    </row>
    <row r="66">
      <c r="J66" s="113"/>
      <c r="L66" s="126"/>
    </row>
    <row r="67">
      <c r="J67" s="113"/>
      <c r="L67" s="126"/>
    </row>
    <row r="68">
      <c r="J68" s="113"/>
      <c r="L68" s="126"/>
    </row>
    <row r="69">
      <c r="J69" s="113"/>
      <c r="L69" s="126"/>
    </row>
    <row r="70">
      <c r="J70" s="113"/>
      <c r="L70" s="126"/>
    </row>
    <row r="71">
      <c r="J71" s="113"/>
      <c r="L71" s="126"/>
    </row>
    <row r="72">
      <c r="J72" s="113"/>
      <c r="L72" s="126"/>
    </row>
    <row r="73">
      <c r="J73" s="113"/>
      <c r="L73" s="126"/>
    </row>
    <row r="74">
      <c r="J74" s="113"/>
      <c r="L74" s="126"/>
    </row>
    <row r="75">
      <c r="J75" s="113"/>
      <c r="L75" s="126"/>
    </row>
    <row r="76">
      <c r="J76" s="113"/>
      <c r="L76" s="126"/>
    </row>
    <row r="77">
      <c r="J77" s="113"/>
      <c r="L77" s="126"/>
    </row>
    <row r="78">
      <c r="J78" s="113"/>
      <c r="L78" s="126"/>
    </row>
    <row r="79">
      <c r="J79" s="113"/>
      <c r="L79" s="126"/>
    </row>
    <row r="80">
      <c r="J80" s="113"/>
      <c r="L80" s="126"/>
    </row>
    <row r="81">
      <c r="J81" s="113"/>
      <c r="L81" s="126"/>
    </row>
    <row r="82">
      <c r="J82" s="113"/>
      <c r="L82" s="126"/>
    </row>
    <row r="83">
      <c r="J83" s="113"/>
      <c r="L83" s="126"/>
    </row>
    <row r="84">
      <c r="J84" s="113"/>
      <c r="L84" s="126"/>
    </row>
    <row r="85">
      <c r="J85" s="113"/>
      <c r="L85" s="126"/>
    </row>
    <row r="86">
      <c r="J86" s="113"/>
      <c r="L86" s="126"/>
    </row>
    <row r="87">
      <c r="J87" s="113"/>
      <c r="L87" s="126"/>
    </row>
    <row r="88">
      <c r="J88" s="113"/>
      <c r="L88" s="126"/>
    </row>
    <row r="89">
      <c r="J89" s="113"/>
      <c r="L89" s="126"/>
    </row>
    <row r="90">
      <c r="J90" s="113"/>
      <c r="L90" s="126"/>
    </row>
    <row r="91">
      <c r="J91" s="113"/>
      <c r="L91" s="126"/>
    </row>
    <row r="92">
      <c r="J92" s="113"/>
      <c r="L92" s="126"/>
    </row>
    <row r="93">
      <c r="J93" s="113"/>
      <c r="L93" s="126"/>
    </row>
    <row r="94">
      <c r="J94" s="113"/>
      <c r="L94" s="126"/>
    </row>
    <row r="95">
      <c r="J95" s="113"/>
      <c r="L95" s="126"/>
    </row>
    <row r="96">
      <c r="J96" s="113"/>
      <c r="L96" s="126"/>
    </row>
    <row r="97">
      <c r="J97" s="113"/>
      <c r="L97" s="126"/>
    </row>
    <row r="98">
      <c r="J98" s="113"/>
      <c r="L98" s="126"/>
    </row>
    <row r="99">
      <c r="J99" s="113"/>
      <c r="L99" s="126"/>
    </row>
    <row r="100">
      <c r="J100" s="113"/>
      <c r="L100" s="126"/>
    </row>
    <row r="101">
      <c r="J101" s="113"/>
      <c r="L101" s="126"/>
    </row>
    <row r="102">
      <c r="J102" s="113"/>
      <c r="L102" s="126"/>
    </row>
    <row r="103">
      <c r="J103" s="113"/>
      <c r="L103" s="126"/>
    </row>
    <row r="104">
      <c r="J104" s="113"/>
      <c r="L104" s="126"/>
    </row>
    <row r="105">
      <c r="J105" s="113"/>
      <c r="L105" s="126"/>
    </row>
    <row r="106">
      <c r="J106" s="113"/>
      <c r="L106" s="126"/>
    </row>
    <row r="107">
      <c r="J107" s="113"/>
      <c r="L107" s="126"/>
    </row>
    <row r="108">
      <c r="J108" s="113"/>
      <c r="L108" s="126"/>
    </row>
    <row r="109">
      <c r="J109" s="113"/>
      <c r="L109" s="126"/>
    </row>
    <row r="110">
      <c r="J110" s="113"/>
      <c r="L110" s="126"/>
    </row>
    <row r="111">
      <c r="J111" s="113"/>
      <c r="L111" s="126"/>
    </row>
    <row r="112">
      <c r="J112" s="113"/>
      <c r="L112" s="126"/>
    </row>
    <row r="113">
      <c r="J113" s="113"/>
      <c r="L113" s="126"/>
    </row>
    <row r="114">
      <c r="J114" s="113"/>
      <c r="L114" s="126"/>
    </row>
    <row r="115">
      <c r="J115" s="113"/>
      <c r="L115" s="126"/>
    </row>
    <row r="116">
      <c r="J116" s="113"/>
      <c r="L116" s="126"/>
    </row>
    <row r="117">
      <c r="J117" s="113"/>
      <c r="L117" s="126"/>
    </row>
    <row r="118">
      <c r="J118" s="113"/>
      <c r="L118" s="126"/>
    </row>
    <row r="119">
      <c r="J119" s="113"/>
      <c r="L119" s="126"/>
    </row>
    <row r="120">
      <c r="J120" s="113"/>
      <c r="L120" s="126"/>
    </row>
    <row r="121">
      <c r="J121" s="113"/>
      <c r="L121" s="126"/>
    </row>
    <row r="122">
      <c r="J122" s="113"/>
      <c r="L122" s="126"/>
    </row>
    <row r="123">
      <c r="J123" s="113"/>
      <c r="L123" s="126"/>
    </row>
    <row r="124">
      <c r="J124" s="113"/>
      <c r="L124" s="126"/>
    </row>
    <row r="125">
      <c r="J125" s="113"/>
      <c r="L125" s="126"/>
    </row>
    <row r="126">
      <c r="J126" s="113"/>
      <c r="L126" s="126"/>
    </row>
    <row r="127">
      <c r="J127" s="113"/>
      <c r="L127" s="126"/>
    </row>
    <row r="128">
      <c r="J128" s="113"/>
      <c r="L128" s="126"/>
    </row>
    <row r="129">
      <c r="J129" s="113"/>
      <c r="L129" s="126"/>
    </row>
    <row r="130">
      <c r="J130" s="113"/>
      <c r="L130" s="126"/>
    </row>
    <row r="131">
      <c r="J131" s="113"/>
      <c r="L131" s="126"/>
    </row>
    <row r="132">
      <c r="J132" s="113"/>
      <c r="L132" s="126"/>
    </row>
    <row r="133">
      <c r="J133" s="113"/>
      <c r="L133" s="126"/>
    </row>
    <row r="134">
      <c r="J134" s="113"/>
      <c r="L134" s="126"/>
    </row>
    <row r="135">
      <c r="J135" s="113"/>
      <c r="L135" s="126"/>
    </row>
    <row r="136">
      <c r="J136" s="113"/>
      <c r="L136" s="126"/>
    </row>
    <row r="137">
      <c r="J137" s="113"/>
      <c r="L137" s="126"/>
    </row>
    <row r="138">
      <c r="J138" s="113"/>
      <c r="L138" s="126"/>
    </row>
    <row r="139">
      <c r="J139" s="113"/>
      <c r="L139" s="126"/>
    </row>
    <row r="140">
      <c r="J140" s="113"/>
      <c r="L140" s="126"/>
    </row>
    <row r="141">
      <c r="J141" s="113"/>
      <c r="L141" s="126"/>
    </row>
    <row r="142">
      <c r="J142" s="113"/>
      <c r="L142" s="126"/>
    </row>
    <row r="143">
      <c r="J143" s="113"/>
      <c r="L143" s="126"/>
    </row>
    <row r="144">
      <c r="J144" s="113"/>
      <c r="L144" s="126"/>
    </row>
    <row r="145">
      <c r="J145" s="113"/>
      <c r="L145" s="126"/>
    </row>
    <row r="146">
      <c r="J146" s="113"/>
      <c r="L146" s="126"/>
    </row>
    <row r="147">
      <c r="J147" s="113"/>
      <c r="L147" s="126"/>
    </row>
    <row r="148">
      <c r="J148" s="113"/>
      <c r="L148" s="126"/>
    </row>
    <row r="149">
      <c r="J149" s="113"/>
      <c r="L149" s="126"/>
    </row>
    <row r="150">
      <c r="J150" s="113"/>
      <c r="L150" s="126"/>
    </row>
    <row r="151">
      <c r="J151" s="113"/>
      <c r="L151" s="126"/>
    </row>
    <row r="152">
      <c r="J152" s="113"/>
      <c r="L152" s="126"/>
    </row>
    <row r="153">
      <c r="J153" s="113"/>
      <c r="L153" s="126"/>
    </row>
    <row r="154">
      <c r="J154" s="113"/>
      <c r="L154" s="126"/>
    </row>
    <row r="155">
      <c r="J155" s="113"/>
      <c r="L155" s="126"/>
    </row>
    <row r="156">
      <c r="J156" s="113"/>
      <c r="L156" s="126"/>
    </row>
    <row r="157">
      <c r="J157" s="113"/>
      <c r="L157" s="126"/>
    </row>
    <row r="158">
      <c r="J158" s="113"/>
      <c r="L158" s="126"/>
    </row>
    <row r="159">
      <c r="J159" s="113"/>
      <c r="L159" s="126"/>
    </row>
    <row r="160">
      <c r="J160" s="113"/>
      <c r="L160" s="126"/>
    </row>
    <row r="161">
      <c r="J161" s="113"/>
      <c r="L161" s="126"/>
    </row>
    <row r="162">
      <c r="J162" s="113"/>
      <c r="L162" s="126"/>
    </row>
    <row r="163">
      <c r="J163" s="113"/>
      <c r="L163" s="126"/>
    </row>
    <row r="164">
      <c r="J164" s="113"/>
      <c r="L164" s="126"/>
    </row>
    <row r="165">
      <c r="J165" s="113"/>
      <c r="L165" s="126"/>
    </row>
    <row r="166">
      <c r="J166" s="113"/>
      <c r="L166" s="126"/>
    </row>
    <row r="167">
      <c r="J167" s="113"/>
      <c r="L167" s="126"/>
    </row>
    <row r="168">
      <c r="J168" s="113"/>
      <c r="L168" s="126"/>
    </row>
    <row r="169">
      <c r="J169" s="113"/>
      <c r="L169" s="126"/>
    </row>
    <row r="170">
      <c r="J170" s="113"/>
      <c r="L170" s="126"/>
    </row>
    <row r="171">
      <c r="J171" s="113"/>
      <c r="L171" s="126"/>
    </row>
    <row r="172">
      <c r="J172" s="113"/>
      <c r="L172" s="126"/>
    </row>
    <row r="173">
      <c r="J173" s="113"/>
      <c r="L173" s="126"/>
    </row>
    <row r="174">
      <c r="J174" s="113"/>
      <c r="L174" s="126"/>
    </row>
    <row r="175">
      <c r="J175" s="113"/>
      <c r="L175" s="126"/>
    </row>
    <row r="176">
      <c r="J176" s="113"/>
      <c r="L176" s="126"/>
    </row>
    <row r="177">
      <c r="J177" s="113"/>
      <c r="L177" s="126"/>
    </row>
    <row r="178">
      <c r="J178" s="113"/>
      <c r="L178" s="126"/>
    </row>
    <row r="179">
      <c r="J179" s="113"/>
      <c r="L179" s="126"/>
    </row>
    <row r="180">
      <c r="J180" s="113"/>
      <c r="L180" s="126"/>
    </row>
    <row r="181">
      <c r="J181" s="113"/>
      <c r="L181" s="126"/>
    </row>
    <row r="182">
      <c r="J182" s="113"/>
      <c r="L182" s="126"/>
    </row>
    <row r="183">
      <c r="J183" s="113"/>
      <c r="L183" s="126"/>
    </row>
    <row r="184">
      <c r="J184" s="113"/>
      <c r="L184" s="126"/>
    </row>
    <row r="185">
      <c r="J185" s="113"/>
      <c r="L185" s="126"/>
    </row>
    <row r="186">
      <c r="J186" s="113"/>
      <c r="L186" s="126"/>
    </row>
    <row r="187">
      <c r="J187" s="113"/>
      <c r="L187" s="126"/>
    </row>
    <row r="188">
      <c r="J188" s="113"/>
      <c r="L188" s="126"/>
    </row>
    <row r="189">
      <c r="J189" s="113"/>
      <c r="L189" s="126"/>
    </row>
    <row r="190">
      <c r="J190" s="113"/>
      <c r="L190" s="126"/>
    </row>
    <row r="191">
      <c r="J191" s="113"/>
      <c r="L191" s="126"/>
    </row>
    <row r="192">
      <c r="J192" s="113"/>
      <c r="L192" s="126"/>
    </row>
    <row r="193">
      <c r="J193" s="113"/>
      <c r="L193" s="126"/>
    </row>
    <row r="194">
      <c r="J194" s="113"/>
      <c r="L194" s="126"/>
    </row>
    <row r="195">
      <c r="J195" s="113"/>
      <c r="L195" s="126"/>
    </row>
    <row r="196">
      <c r="J196" s="113"/>
      <c r="L196" s="126"/>
    </row>
    <row r="197">
      <c r="J197" s="113"/>
      <c r="L197" s="126"/>
    </row>
    <row r="198">
      <c r="J198" s="113"/>
      <c r="L198" s="126"/>
    </row>
    <row r="199">
      <c r="J199" s="113"/>
      <c r="L199" s="126"/>
    </row>
    <row r="200">
      <c r="J200" s="113"/>
      <c r="L200" s="126"/>
    </row>
    <row r="201">
      <c r="J201" s="113"/>
      <c r="L201" s="126"/>
    </row>
    <row r="202">
      <c r="J202" s="113"/>
      <c r="L202" s="126"/>
    </row>
    <row r="203">
      <c r="J203" s="113"/>
      <c r="L203" s="126"/>
    </row>
    <row r="204">
      <c r="J204" s="113"/>
      <c r="L204" s="126"/>
    </row>
    <row r="205">
      <c r="J205" s="113"/>
      <c r="L205" s="126"/>
    </row>
    <row r="206">
      <c r="J206" s="113"/>
      <c r="L206" s="126"/>
    </row>
    <row r="207">
      <c r="J207" s="113"/>
      <c r="L207" s="126"/>
    </row>
    <row r="208">
      <c r="J208" s="113"/>
      <c r="L208" s="126"/>
    </row>
    <row r="209">
      <c r="J209" s="113"/>
      <c r="L209" s="126"/>
    </row>
    <row r="210">
      <c r="J210" s="113"/>
      <c r="L210" s="126"/>
    </row>
    <row r="211">
      <c r="J211" s="113"/>
      <c r="L211" s="126"/>
    </row>
    <row r="212">
      <c r="J212" s="113"/>
      <c r="L212" s="126"/>
    </row>
    <row r="213">
      <c r="J213" s="113"/>
      <c r="L213" s="126"/>
    </row>
    <row r="214">
      <c r="J214" s="113"/>
      <c r="L214" s="126"/>
    </row>
    <row r="215">
      <c r="J215" s="113"/>
      <c r="L215" s="126"/>
    </row>
    <row r="216">
      <c r="J216" s="113"/>
      <c r="L216" s="126"/>
    </row>
    <row r="217">
      <c r="J217" s="113"/>
      <c r="L217" s="126"/>
    </row>
    <row r="218">
      <c r="J218" s="113"/>
      <c r="L218" s="126"/>
    </row>
    <row r="219">
      <c r="J219" s="113"/>
      <c r="L219" s="126"/>
    </row>
    <row r="220">
      <c r="J220" s="113"/>
      <c r="L220" s="126"/>
    </row>
    <row r="221">
      <c r="J221" s="113"/>
      <c r="L221" s="126"/>
    </row>
    <row r="222">
      <c r="J222" s="113"/>
      <c r="L222" s="126"/>
    </row>
    <row r="223">
      <c r="J223" s="113"/>
      <c r="L223" s="126"/>
    </row>
    <row r="224">
      <c r="J224" s="113"/>
      <c r="L224" s="126"/>
    </row>
    <row r="225">
      <c r="J225" s="113"/>
      <c r="L225" s="126"/>
    </row>
    <row r="226">
      <c r="J226" s="113"/>
      <c r="L226" s="126"/>
    </row>
    <row r="227">
      <c r="J227" s="113"/>
      <c r="L227" s="126"/>
    </row>
    <row r="228">
      <c r="J228" s="113"/>
      <c r="L228" s="126"/>
    </row>
    <row r="229">
      <c r="J229" s="113"/>
      <c r="L229" s="126"/>
    </row>
    <row r="230">
      <c r="J230" s="113"/>
      <c r="L230" s="126"/>
    </row>
    <row r="231">
      <c r="J231" s="113"/>
      <c r="L231" s="126"/>
    </row>
    <row r="232">
      <c r="J232" s="113"/>
      <c r="L232" s="126"/>
    </row>
    <row r="233">
      <c r="J233" s="113"/>
      <c r="L233" s="126"/>
    </row>
    <row r="234">
      <c r="J234" s="113"/>
      <c r="L234" s="126"/>
    </row>
    <row r="235">
      <c r="J235" s="113"/>
      <c r="L235" s="126"/>
    </row>
    <row r="236">
      <c r="J236" s="113"/>
      <c r="L236" s="126"/>
    </row>
    <row r="237">
      <c r="J237" s="113"/>
      <c r="L237" s="126"/>
    </row>
    <row r="238">
      <c r="J238" s="113"/>
      <c r="L238" s="126"/>
    </row>
    <row r="239">
      <c r="J239" s="113"/>
      <c r="L239" s="126"/>
    </row>
    <row r="240">
      <c r="J240" s="113"/>
      <c r="L240" s="126"/>
    </row>
    <row r="241">
      <c r="J241" s="113"/>
      <c r="L241" s="126"/>
    </row>
    <row r="242">
      <c r="J242" s="113"/>
      <c r="L242" s="126"/>
    </row>
    <row r="243">
      <c r="J243" s="113"/>
      <c r="L243" s="126"/>
    </row>
    <row r="244">
      <c r="J244" s="113"/>
      <c r="L244" s="126"/>
    </row>
    <row r="245">
      <c r="J245" s="113"/>
      <c r="L245" s="126"/>
    </row>
    <row r="246">
      <c r="J246" s="113"/>
      <c r="L246" s="126"/>
    </row>
    <row r="247">
      <c r="J247" s="113"/>
      <c r="L247" s="126"/>
    </row>
    <row r="248">
      <c r="J248" s="113"/>
      <c r="L248" s="126"/>
    </row>
    <row r="249">
      <c r="J249" s="113"/>
      <c r="L249" s="126"/>
    </row>
    <row r="250">
      <c r="J250" s="113"/>
      <c r="L250" s="126"/>
    </row>
    <row r="251">
      <c r="J251" s="113"/>
      <c r="L251" s="126"/>
    </row>
    <row r="252">
      <c r="J252" s="113"/>
      <c r="L252" s="126"/>
    </row>
    <row r="253">
      <c r="J253" s="113"/>
      <c r="L253" s="126"/>
    </row>
    <row r="254">
      <c r="J254" s="113"/>
      <c r="L254" s="126"/>
    </row>
    <row r="255">
      <c r="J255" s="113"/>
      <c r="L255" s="126"/>
    </row>
    <row r="256">
      <c r="J256" s="113"/>
      <c r="L256" s="126"/>
    </row>
    <row r="257">
      <c r="J257" s="113"/>
      <c r="L257" s="126"/>
    </row>
    <row r="258">
      <c r="J258" s="113"/>
      <c r="L258" s="126"/>
    </row>
    <row r="259">
      <c r="J259" s="113"/>
      <c r="L259" s="126"/>
    </row>
    <row r="260">
      <c r="J260" s="113"/>
      <c r="L260" s="126"/>
    </row>
    <row r="261">
      <c r="J261" s="113"/>
      <c r="L261" s="126"/>
    </row>
    <row r="262">
      <c r="J262" s="113"/>
      <c r="L262" s="126"/>
    </row>
    <row r="263">
      <c r="J263" s="113"/>
      <c r="L263" s="126"/>
    </row>
    <row r="264">
      <c r="J264" s="113"/>
      <c r="L264" s="126"/>
    </row>
    <row r="265">
      <c r="J265" s="113"/>
      <c r="L265" s="126"/>
    </row>
    <row r="266">
      <c r="J266" s="113"/>
      <c r="L266" s="126"/>
    </row>
    <row r="267">
      <c r="J267" s="113"/>
      <c r="L267" s="126"/>
    </row>
    <row r="268">
      <c r="J268" s="113"/>
      <c r="L268" s="126"/>
    </row>
    <row r="269">
      <c r="J269" s="113"/>
      <c r="L269" s="126"/>
    </row>
    <row r="270">
      <c r="J270" s="113"/>
      <c r="L270" s="126"/>
    </row>
    <row r="271">
      <c r="J271" s="113"/>
      <c r="L271" s="126"/>
    </row>
    <row r="272">
      <c r="J272" s="113"/>
      <c r="L272" s="126"/>
    </row>
    <row r="273">
      <c r="J273" s="113"/>
      <c r="L273" s="126"/>
    </row>
    <row r="274">
      <c r="J274" s="113"/>
      <c r="L274" s="126"/>
    </row>
    <row r="275">
      <c r="J275" s="113"/>
      <c r="L275" s="126"/>
    </row>
    <row r="276">
      <c r="J276" s="113"/>
      <c r="L276" s="126"/>
    </row>
    <row r="277">
      <c r="J277" s="113"/>
      <c r="L277" s="126"/>
    </row>
    <row r="278">
      <c r="J278" s="113"/>
      <c r="L278" s="126"/>
    </row>
    <row r="279">
      <c r="J279" s="113"/>
      <c r="L279" s="126"/>
    </row>
    <row r="280">
      <c r="J280" s="113"/>
      <c r="L280" s="126"/>
    </row>
    <row r="281">
      <c r="J281" s="113"/>
      <c r="L281" s="126"/>
    </row>
    <row r="282">
      <c r="J282" s="113"/>
      <c r="L282" s="126"/>
    </row>
    <row r="283">
      <c r="J283" s="113"/>
      <c r="L283" s="126"/>
    </row>
    <row r="284">
      <c r="J284" s="113"/>
      <c r="L284" s="126"/>
    </row>
    <row r="285">
      <c r="J285" s="113"/>
      <c r="L285" s="126"/>
    </row>
    <row r="286">
      <c r="J286" s="113"/>
      <c r="L286" s="126"/>
    </row>
    <row r="287">
      <c r="J287" s="113"/>
      <c r="L287" s="126"/>
    </row>
    <row r="288">
      <c r="J288" s="113"/>
      <c r="L288" s="126"/>
    </row>
    <row r="289">
      <c r="J289" s="113"/>
      <c r="L289" s="126"/>
    </row>
    <row r="290">
      <c r="J290" s="113"/>
      <c r="L290" s="126"/>
    </row>
    <row r="291">
      <c r="J291" s="113"/>
      <c r="L291" s="126"/>
    </row>
    <row r="292">
      <c r="J292" s="113"/>
      <c r="L292" s="126"/>
    </row>
    <row r="293">
      <c r="J293" s="113"/>
      <c r="L293" s="126"/>
    </row>
    <row r="294">
      <c r="J294" s="113"/>
      <c r="L294" s="126"/>
    </row>
    <row r="295">
      <c r="J295" s="113"/>
      <c r="L295" s="126"/>
    </row>
    <row r="296">
      <c r="J296" s="113"/>
      <c r="L296" s="126"/>
    </row>
    <row r="297">
      <c r="J297" s="113"/>
      <c r="L297" s="126"/>
    </row>
    <row r="298">
      <c r="J298" s="113"/>
      <c r="L298" s="126"/>
    </row>
    <row r="299">
      <c r="J299" s="113"/>
      <c r="L299" s="126"/>
    </row>
    <row r="300">
      <c r="J300" s="113"/>
      <c r="L300" s="126"/>
    </row>
    <row r="301">
      <c r="J301" s="113"/>
      <c r="L301" s="126"/>
    </row>
    <row r="302">
      <c r="J302" s="113"/>
      <c r="L302" s="126"/>
    </row>
    <row r="303">
      <c r="J303" s="113"/>
      <c r="L303" s="126"/>
    </row>
    <row r="304">
      <c r="J304" s="113"/>
      <c r="L304" s="126"/>
    </row>
    <row r="305">
      <c r="J305" s="113"/>
      <c r="L305" s="126"/>
    </row>
    <row r="306">
      <c r="J306" s="113"/>
      <c r="L306" s="126"/>
    </row>
    <row r="307">
      <c r="J307" s="113"/>
      <c r="L307" s="126"/>
    </row>
    <row r="308">
      <c r="J308" s="113"/>
      <c r="L308" s="126"/>
    </row>
    <row r="309">
      <c r="J309" s="113"/>
      <c r="L309" s="126"/>
    </row>
    <row r="310">
      <c r="J310" s="113"/>
      <c r="L310" s="126"/>
    </row>
    <row r="311">
      <c r="J311" s="113"/>
      <c r="L311" s="126"/>
    </row>
    <row r="312">
      <c r="J312" s="113"/>
      <c r="L312" s="126"/>
    </row>
    <row r="313">
      <c r="J313" s="113"/>
      <c r="L313" s="126"/>
    </row>
    <row r="314">
      <c r="J314" s="113"/>
      <c r="L314" s="126"/>
    </row>
    <row r="315">
      <c r="J315" s="113"/>
      <c r="L315" s="126"/>
    </row>
    <row r="316">
      <c r="J316" s="113"/>
      <c r="L316" s="126"/>
    </row>
    <row r="317">
      <c r="J317" s="113"/>
      <c r="L317" s="126"/>
    </row>
    <row r="318">
      <c r="J318" s="113"/>
      <c r="L318" s="126"/>
    </row>
    <row r="319">
      <c r="J319" s="113"/>
      <c r="L319" s="126"/>
    </row>
    <row r="320">
      <c r="J320" s="113"/>
      <c r="L320" s="126"/>
    </row>
    <row r="321">
      <c r="J321" s="113"/>
      <c r="L321" s="126"/>
    </row>
    <row r="322">
      <c r="J322" s="113"/>
      <c r="L322" s="126"/>
    </row>
    <row r="323">
      <c r="J323" s="113"/>
      <c r="L323" s="126"/>
    </row>
    <row r="324">
      <c r="J324" s="113"/>
      <c r="L324" s="126"/>
    </row>
    <row r="325">
      <c r="J325" s="113"/>
      <c r="L325" s="126"/>
    </row>
    <row r="326">
      <c r="J326" s="113"/>
      <c r="L326" s="126"/>
    </row>
    <row r="327">
      <c r="J327" s="113"/>
      <c r="L327" s="126"/>
    </row>
    <row r="328">
      <c r="J328" s="113"/>
      <c r="L328" s="126"/>
    </row>
    <row r="329">
      <c r="J329" s="113"/>
      <c r="L329" s="126"/>
    </row>
    <row r="330">
      <c r="J330" s="113"/>
      <c r="L330" s="126"/>
    </row>
    <row r="331">
      <c r="J331" s="113"/>
      <c r="L331" s="126"/>
    </row>
    <row r="332">
      <c r="J332" s="113"/>
      <c r="L332" s="126"/>
    </row>
    <row r="333">
      <c r="J333" s="113"/>
      <c r="L333" s="126"/>
    </row>
    <row r="334">
      <c r="J334" s="113"/>
      <c r="L334" s="126"/>
    </row>
    <row r="335">
      <c r="J335" s="113"/>
      <c r="L335" s="126"/>
    </row>
    <row r="336">
      <c r="J336" s="113"/>
      <c r="L336" s="126"/>
    </row>
    <row r="337">
      <c r="J337" s="113"/>
      <c r="L337" s="126"/>
    </row>
    <row r="338">
      <c r="J338" s="113"/>
      <c r="L338" s="126"/>
    </row>
    <row r="339">
      <c r="J339" s="113"/>
      <c r="L339" s="126"/>
    </row>
    <row r="340">
      <c r="J340" s="113"/>
      <c r="L340" s="126"/>
    </row>
    <row r="341">
      <c r="J341" s="113"/>
      <c r="L341" s="126"/>
    </row>
    <row r="342">
      <c r="J342" s="113"/>
      <c r="L342" s="126"/>
    </row>
    <row r="343">
      <c r="J343" s="113"/>
      <c r="L343" s="126"/>
    </row>
    <row r="344">
      <c r="J344" s="113"/>
      <c r="L344" s="126"/>
    </row>
    <row r="345">
      <c r="J345" s="113"/>
      <c r="L345" s="126"/>
    </row>
    <row r="346">
      <c r="J346" s="113"/>
      <c r="L346" s="126"/>
    </row>
    <row r="347">
      <c r="J347" s="113"/>
      <c r="L347" s="126"/>
    </row>
    <row r="348">
      <c r="J348" s="113"/>
      <c r="L348" s="126"/>
    </row>
    <row r="349">
      <c r="J349" s="113"/>
      <c r="L349" s="126"/>
    </row>
    <row r="350">
      <c r="J350" s="113"/>
      <c r="L350" s="126"/>
    </row>
    <row r="351">
      <c r="J351" s="113"/>
      <c r="L351" s="126"/>
    </row>
    <row r="352">
      <c r="J352" s="113"/>
      <c r="L352" s="126"/>
    </row>
    <row r="353">
      <c r="J353" s="113"/>
      <c r="L353" s="126"/>
    </row>
    <row r="354">
      <c r="J354" s="113"/>
      <c r="L354" s="126"/>
    </row>
    <row r="355">
      <c r="J355" s="113"/>
      <c r="L355" s="126"/>
    </row>
    <row r="356">
      <c r="J356" s="113"/>
      <c r="L356" s="126"/>
    </row>
    <row r="357">
      <c r="J357" s="113"/>
      <c r="L357" s="126"/>
    </row>
    <row r="358">
      <c r="J358" s="113"/>
      <c r="L358" s="126"/>
    </row>
    <row r="359">
      <c r="J359" s="113"/>
      <c r="L359" s="126"/>
    </row>
    <row r="360">
      <c r="J360" s="113"/>
      <c r="L360" s="126"/>
    </row>
    <row r="361">
      <c r="J361" s="113"/>
      <c r="L361" s="126"/>
    </row>
    <row r="362">
      <c r="J362" s="113"/>
      <c r="L362" s="126"/>
    </row>
    <row r="363">
      <c r="J363" s="113"/>
      <c r="L363" s="126"/>
    </row>
    <row r="364">
      <c r="J364" s="113"/>
      <c r="L364" s="126"/>
    </row>
    <row r="365">
      <c r="J365" s="113"/>
      <c r="L365" s="126"/>
    </row>
    <row r="366">
      <c r="J366" s="113"/>
      <c r="L366" s="126"/>
    </row>
    <row r="367">
      <c r="J367" s="113"/>
      <c r="L367" s="126"/>
    </row>
    <row r="368">
      <c r="J368" s="113"/>
      <c r="L368" s="126"/>
    </row>
    <row r="369">
      <c r="J369" s="113"/>
      <c r="L369" s="126"/>
    </row>
    <row r="370">
      <c r="J370" s="113"/>
      <c r="L370" s="126"/>
    </row>
    <row r="371">
      <c r="J371" s="113"/>
      <c r="L371" s="126"/>
    </row>
    <row r="372">
      <c r="J372" s="113"/>
      <c r="L372" s="126"/>
    </row>
    <row r="373">
      <c r="J373" s="113"/>
      <c r="L373" s="126"/>
    </row>
    <row r="374">
      <c r="J374" s="113"/>
      <c r="L374" s="126"/>
    </row>
    <row r="375">
      <c r="J375" s="113"/>
      <c r="L375" s="126"/>
    </row>
    <row r="376">
      <c r="J376" s="113"/>
      <c r="L376" s="126"/>
    </row>
    <row r="377">
      <c r="J377" s="113"/>
      <c r="L377" s="126"/>
    </row>
    <row r="378">
      <c r="J378" s="113"/>
      <c r="L378" s="126"/>
    </row>
    <row r="379">
      <c r="J379" s="113"/>
      <c r="L379" s="126"/>
    </row>
    <row r="380">
      <c r="J380" s="113"/>
      <c r="L380" s="126"/>
    </row>
    <row r="381">
      <c r="J381" s="113"/>
      <c r="L381" s="126"/>
    </row>
    <row r="382">
      <c r="J382" s="113"/>
      <c r="L382" s="126"/>
    </row>
    <row r="383">
      <c r="J383" s="113"/>
      <c r="L383" s="126"/>
    </row>
    <row r="384">
      <c r="J384" s="113"/>
      <c r="L384" s="126"/>
    </row>
    <row r="385">
      <c r="J385" s="113"/>
      <c r="L385" s="126"/>
    </row>
    <row r="386">
      <c r="J386" s="113"/>
      <c r="L386" s="126"/>
    </row>
    <row r="387">
      <c r="J387" s="113"/>
      <c r="L387" s="126"/>
    </row>
    <row r="388">
      <c r="J388" s="113"/>
      <c r="L388" s="126"/>
    </row>
    <row r="389">
      <c r="J389" s="113"/>
      <c r="L389" s="126"/>
    </row>
    <row r="390">
      <c r="J390" s="113"/>
      <c r="L390" s="126"/>
    </row>
    <row r="391">
      <c r="J391" s="113"/>
      <c r="L391" s="126"/>
    </row>
    <row r="392">
      <c r="J392" s="113"/>
      <c r="L392" s="126"/>
    </row>
    <row r="393">
      <c r="J393" s="113"/>
      <c r="L393" s="126"/>
    </row>
    <row r="394">
      <c r="J394" s="113"/>
      <c r="L394" s="126"/>
    </row>
    <row r="395">
      <c r="J395" s="113"/>
      <c r="L395" s="126"/>
    </row>
    <row r="396">
      <c r="J396" s="113"/>
      <c r="L396" s="126"/>
    </row>
    <row r="397">
      <c r="J397" s="113"/>
      <c r="L397" s="126"/>
    </row>
    <row r="398">
      <c r="J398" s="113"/>
      <c r="L398" s="126"/>
    </row>
    <row r="399">
      <c r="J399" s="113"/>
      <c r="L399" s="126"/>
    </row>
    <row r="400">
      <c r="J400" s="113"/>
      <c r="L400" s="126"/>
    </row>
    <row r="401">
      <c r="J401" s="113"/>
      <c r="L401" s="126"/>
    </row>
    <row r="402">
      <c r="J402" s="113"/>
      <c r="L402" s="126"/>
    </row>
    <row r="403">
      <c r="J403" s="113"/>
      <c r="L403" s="126"/>
    </row>
    <row r="404">
      <c r="J404" s="113"/>
      <c r="L404" s="126"/>
    </row>
    <row r="405">
      <c r="J405" s="113"/>
      <c r="L405" s="126"/>
    </row>
    <row r="406">
      <c r="J406" s="113"/>
      <c r="L406" s="126"/>
    </row>
    <row r="407">
      <c r="J407" s="113"/>
      <c r="L407" s="126"/>
    </row>
    <row r="408">
      <c r="J408" s="113"/>
      <c r="L408" s="126"/>
    </row>
    <row r="409">
      <c r="J409" s="113"/>
      <c r="L409" s="126"/>
    </row>
    <row r="410">
      <c r="J410" s="113"/>
      <c r="L410" s="126"/>
    </row>
    <row r="411">
      <c r="J411" s="113"/>
      <c r="L411" s="126"/>
    </row>
    <row r="412">
      <c r="J412" s="113"/>
      <c r="L412" s="126"/>
    </row>
    <row r="413">
      <c r="J413" s="113"/>
      <c r="L413" s="126"/>
    </row>
    <row r="414">
      <c r="J414" s="113"/>
      <c r="L414" s="126"/>
    </row>
    <row r="415">
      <c r="J415" s="113"/>
      <c r="L415" s="126"/>
    </row>
    <row r="416">
      <c r="J416" s="113"/>
      <c r="L416" s="126"/>
    </row>
    <row r="417">
      <c r="J417" s="113"/>
      <c r="L417" s="126"/>
    </row>
    <row r="418">
      <c r="J418" s="113"/>
      <c r="L418" s="126"/>
    </row>
    <row r="419">
      <c r="J419" s="113"/>
      <c r="L419" s="126"/>
    </row>
    <row r="420">
      <c r="J420" s="113"/>
      <c r="L420" s="126"/>
    </row>
    <row r="421">
      <c r="J421" s="113"/>
      <c r="L421" s="126"/>
    </row>
    <row r="422">
      <c r="J422" s="113"/>
      <c r="L422" s="126"/>
    </row>
    <row r="423">
      <c r="J423" s="113"/>
      <c r="L423" s="126"/>
    </row>
    <row r="424">
      <c r="J424" s="113"/>
      <c r="L424" s="126"/>
    </row>
    <row r="425">
      <c r="J425" s="113"/>
      <c r="L425" s="126"/>
    </row>
    <row r="426">
      <c r="J426" s="113"/>
      <c r="L426" s="126"/>
    </row>
    <row r="427">
      <c r="J427" s="113"/>
      <c r="L427" s="126"/>
    </row>
    <row r="428">
      <c r="J428" s="113"/>
      <c r="L428" s="126"/>
    </row>
    <row r="429">
      <c r="J429" s="113"/>
      <c r="L429" s="126"/>
    </row>
    <row r="430">
      <c r="J430" s="113"/>
      <c r="L430" s="126"/>
    </row>
    <row r="431">
      <c r="J431" s="113"/>
      <c r="L431" s="126"/>
    </row>
    <row r="432">
      <c r="J432" s="113"/>
      <c r="L432" s="126"/>
    </row>
    <row r="433">
      <c r="J433" s="113"/>
      <c r="L433" s="126"/>
    </row>
    <row r="434">
      <c r="J434" s="113"/>
      <c r="L434" s="126"/>
    </row>
    <row r="435">
      <c r="J435" s="113"/>
      <c r="L435" s="126"/>
    </row>
    <row r="436">
      <c r="J436" s="113"/>
      <c r="L436" s="126"/>
    </row>
    <row r="437">
      <c r="J437" s="113"/>
      <c r="L437" s="126"/>
    </row>
    <row r="438">
      <c r="J438" s="113"/>
      <c r="L438" s="126"/>
    </row>
    <row r="439">
      <c r="J439" s="113"/>
      <c r="L439" s="126"/>
    </row>
    <row r="440">
      <c r="J440" s="113"/>
      <c r="L440" s="126"/>
    </row>
    <row r="441">
      <c r="J441" s="113"/>
      <c r="L441" s="126"/>
    </row>
    <row r="442">
      <c r="J442" s="113"/>
      <c r="L442" s="126"/>
    </row>
    <row r="443">
      <c r="J443" s="113"/>
      <c r="L443" s="126"/>
    </row>
    <row r="444">
      <c r="J444" s="113"/>
      <c r="L444" s="126"/>
    </row>
    <row r="445">
      <c r="J445" s="113"/>
      <c r="L445" s="126"/>
    </row>
    <row r="446">
      <c r="J446" s="113"/>
      <c r="L446" s="126"/>
    </row>
    <row r="447">
      <c r="J447" s="113"/>
      <c r="L447" s="126"/>
    </row>
    <row r="448">
      <c r="J448" s="113"/>
      <c r="L448" s="126"/>
    </row>
    <row r="449">
      <c r="J449" s="113"/>
      <c r="L449" s="126"/>
    </row>
    <row r="450">
      <c r="J450" s="113"/>
      <c r="L450" s="126"/>
    </row>
    <row r="451">
      <c r="J451" s="113"/>
      <c r="L451" s="126"/>
    </row>
    <row r="452">
      <c r="J452" s="113"/>
      <c r="L452" s="126"/>
    </row>
    <row r="453">
      <c r="J453" s="113"/>
      <c r="L453" s="126"/>
    </row>
    <row r="454">
      <c r="J454" s="113"/>
      <c r="L454" s="126"/>
    </row>
    <row r="455">
      <c r="J455" s="113"/>
      <c r="L455" s="126"/>
    </row>
    <row r="456">
      <c r="J456" s="113"/>
      <c r="L456" s="126"/>
    </row>
    <row r="457">
      <c r="J457" s="113"/>
      <c r="L457" s="126"/>
    </row>
    <row r="458">
      <c r="J458" s="113"/>
      <c r="L458" s="126"/>
    </row>
    <row r="459">
      <c r="J459" s="113"/>
      <c r="L459" s="126"/>
    </row>
    <row r="460">
      <c r="J460" s="113"/>
      <c r="L460" s="126"/>
    </row>
    <row r="461">
      <c r="J461" s="113"/>
      <c r="L461" s="126"/>
    </row>
    <row r="462">
      <c r="J462" s="113"/>
      <c r="L462" s="126"/>
    </row>
    <row r="463">
      <c r="J463" s="113"/>
      <c r="L463" s="126"/>
    </row>
    <row r="464">
      <c r="J464" s="113"/>
      <c r="L464" s="126"/>
    </row>
    <row r="465">
      <c r="J465" s="113"/>
      <c r="L465" s="126"/>
    </row>
    <row r="466">
      <c r="J466" s="113"/>
      <c r="L466" s="126"/>
    </row>
    <row r="467">
      <c r="J467" s="113"/>
      <c r="L467" s="126"/>
    </row>
    <row r="468">
      <c r="J468" s="113"/>
      <c r="L468" s="126"/>
    </row>
    <row r="469">
      <c r="J469" s="113"/>
      <c r="L469" s="126"/>
    </row>
    <row r="470">
      <c r="J470" s="113"/>
      <c r="L470" s="126"/>
    </row>
    <row r="471">
      <c r="J471" s="113"/>
      <c r="L471" s="126"/>
    </row>
    <row r="472">
      <c r="J472" s="113"/>
      <c r="L472" s="126"/>
    </row>
    <row r="473">
      <c r="J473" s="113"/>
      <c r="L473" s="126"/>
    </row>
    <row r="474">
      <c r="J474" s="113"/>
      <c r="L474" s="126"/>
    </row>
    <row r="475">
      <c r="J475" s="113"/>
      <c r="L475" s="126"/>
    </row>
    <row r="476">
      <c r="J476" s="113"/>
      <c r="L476" s="126"/>
    </row>
    <row r="477">
      <c r="J477" s="113"/>
      <c r="L477" s="126"/>
    </row>
    <row r="478">
      <c r="J478" s="113"/>
      <c r="L478" s="126"/>
    </row>
    <row r="479">
      <c r="J479" s="113"/>
      <c r="L479" s="126"/>
    </row>
    <row r="480">
      <c r="J480" s="113"/>
      <c r="L480" s="126"/>
    </row>
    <row r="481">
      <c r="J481" s="113"/>
      <c r="L481" s="126"/>
    </row>
    <row r="482">
      <c r="J482" s="113"/>
      <c r="L482" s="126"/>
    </row>
    <row r="483">
      <c r="J483" s="113"/>
      <c r="L483" s="126"/>
    </row>
    <row r="484">
      <c r="J484" s="113"/>
      <c r="L484" s="126"/>
    </row>
    <row r="485">
      <c r="J485" s="113"/>
      <c r="L485" s="126"/>
    </row>
    <row r="486">
      <c r="J486" s="113"/>
      <c r="L486" s="126"/>
    </row>
    <row r="487">
      <c r="J487" s="113"/>
      <c r="L487" s="126"/>
    </row>
    <row r="488">
      <c r="J488" s="113"/>
      <c r="L488" s="126"/>
    </row>
    <row r="489">
      <c r="J489" s="113"/>
      <c r="L489" s="126"/>
    </row>
    <row r="490">
      <c r="J490" s="113"/>
      <c r="L490" s="126"/>
    </row>
    <row r="491">
      <c r="J491" s="113"/>
      <c r="L491" s="126"/>
    </row>
    <row r="492">
      <c r="J492" s="113"/>
      <c r="L492" s="126"/>
    </row>
    <row r="493">
      <c r="J493" s="113"/>
      <c r="L493" s="126"/>
    </row>
    <row r="494">
      <c r="J494" s="113"/>
      <c r="L494" s="126"/>
    </row>
    <row r="495">
      <c r="J495" s="113"/>
      <c r="L495" s="126"/>
    </row>
    <row r="496">
      <c r="J496" s="113"/>
      <c r="L496" s="126"/>
    </row>
    <row r="497">
      <c r="J497" s="113"/>
      <c r="L497" s="126"/>
    </row>
    <row r="498">
      <c r="J498" s="113"/>
      <c r="L498" s="126"/>
    </row>
    <row r="499">
      <c r="J499" s="113"/>
      <c r="L499" s="126"/>
    </row>
    <row r="500">
      <c r="J500" s="113"/>
      <c r="L500" s="126"/>
    </row>
    <row r="501">
      <c r="J501" s="113"/>
      <c r="L501" s="126"/>
    </row>
    <row r="502">
      <c r="J502" s="113"/>
      <c r="L502" s="126"/>
    </row>
    <row r="503">
      <c r="J503" s="113"/>
      <c r="L503" s="126"/>
    </row>
    <row r="504">
      <c r="J504" s="113"/>
      <c r="L504" s="126"/>
    </row>
    <row r="505">
      <c r="J505" s="113"/>
      <c r="L505" s="126"/>
    </row>
    <row r="506">
      <c r="J506" s="113"/>
      <c r="L506" s="126"/>
    </row>
    <row r="507">
      <c r="J507" s="113"/>
      <c r="L507" s="126"/>
    </row>
    <row r="508">
      <c r="J508" s="113"/>
      <c r="L508" s="126"/>
    </row>
    <row r="509">
      <c r="J509" s="113"/>
      <c r="L509" s="126"/>
    </row>
    <row r="510">
      <c r="J510" s="113"/>
      <c r="L510" s="126"/>
    </row>
    <row r="511">
      <c r="J511" s="113"/>
      <c r="L511" s="126"/>
    </row>
    <row r="512">
      <c r="J512" s="113"/>
      <c r="L512" s="126"/>
    </row>
    <row r="513">
      <c r="J513" s="113"/>
      <c r="L513" s="126"/>
    </row>
    <row r="514">
      <c r="J514" s="113"/>
      <c r="L514" s="126"/>
    </row>
    <row r="515">
      <c r="J515" s="113"/>
      <c r="L515" s="126"/>
    </row>
    <row r="516">
      <c r="J516" s="113"/>
      <c r="L516" s="126"/>
    </row>
    <row r="517">
      <c r="J517" s="113"/>
      <c r="L517" s="126"/>
    </row>
    <row r="518">
      <c r="J518" s="113"/>
      <c r="L518" s="126"/>
    </row>
    <row r="519">
      <c r="J519" s="113"/>
      <c r="L519" s="126"/>
    </row>
    <row r="520">
      <c r="J520" s="113"/>
      <c r="L520" s="126"/>
    </row>
    <row r="521">
      <c r="J521" s="113"/>
      <c r="L521" s="126"/>
    </row>
    <row r="522">
      <c r="J522" s="113"/>
      <c r="L522" s="126"/>
    </row>
    <row r="523">
      <c r="J523" s="113"/>
      <c r="L523" s="126"/>
    </row>
    <row r="524">
      <c r="J524" s="113"/>
      <c r="L524" s="126"/>
    </row>
    <row r="525">
      <c r="J525" s="113"/>
      <c r="L525" s="126"/>
    </row>
    <row r="526">
      <c r="J526" s="113"/>
      <c r="L526" s="126"/>
    </row>
    <row r="527">
      <c r="J527" s="113"/>
      <c r="L527" s="126"/>
    </row>
    <row r="528">
      <c r="J528" s="113"/>
      <c r="L528" s="126"/>
    </row>
    <row r="529">
      <c r="J529" s="113"/>
      <c r="L529" s="126"/>
    </row>
    <row r="530">
      <c r="J530" s="113"/>
      <c r="L530" s="126"/>
    </row>
    <row r="531">
      <c r="J531" s="113"/>
      <c r="L531" s="126"/>
    </row>
    <row r="532">
      <c r="J532" s="113"/>
      <c r="L532" s="126"/>
    </row>
    <row r="533">
      <c r="J533" s="113"/>
      <c r="L533" s="126"/>
    </row>
    <row r="534">
      <c r="J534" s="113"/>
      <c r="L534" s="126"/>
    </row>
    <row r="535">
      <c r="J535" s="113"/>
      <c r="L535" s="126"/>
    </row>
    <row r="536">
      <c r="J536" s="113"/>
      <c r="L536" s="126"/>
    </row>
    <row r="537">
      <c r="J537" s="113"/>
      <c r="L537" s="126"/>
    </row>
    <row r="538">
      <c r="J538" s="113"/>
      <c r="L538" s="126"/>
    </row>
    <row r="539">
      <c r="J539" s="113"/>
      <c r="L539" s="126"/>
    </row>
    <row r="540">
      <c r="J540" s="113"/>
      <c r="L540" s="126"/>
    </row>
    <row r="541">
      <c r="J541" s="113"/>
      <c r="L541" s="126"/>
    </row>
    <row r="542">
      <c r="J542" s="113"/>
      <c r="L542" s="126"/>
    </row>
    <row r="543">
      <c r="J543" s="113"/>
      <c r="L543" s="126"/>
    </row>
    <row r="544">
      <c r="J544" s="113"/>
      <c r="L544" s="126"/>
    </row>
    <row r="545">
      <c r="J545" s="113"/>
      <c r="L545" s="126"/>
    </row>
    <row r="546">
      <c r="J546" s="113"/>
      <c r="L546" s="126"/>
    </row>
    <row r="547">
      <c r="J547" s="113"/>
      <c r="L547" s="126"/>
    </row>
    <row r="548">
      <c r="J548" s="113"/>
      <c r="L548" s="126"/>
    </row>
    <row r="549">
      <c r="J549" s="113"/>
      <c r="L549" s="126"/>
    </row>
    <row r="550">
      <c r="J550" s="113"/>
      <c r="L550" s="126"/>
    </row>
    <row r="551">
      <c r="J551" s="113"/>
      <c r="L551" s="126"/>
    </row>
    <row r="552">
      <c r="J552" s="113"/>
      <c r="L552" s="126"/>
    </row>
    <row r="553">
      <c r="J553" s="113"/>
      <c r="L553" s="126"/>
    </row>
    <row r="554">
      <c r="J554" s="113"/>
      <c r="L554" s="126"/>
    </row>
    <row r="555">
      <c r="J555" s="113"/>
      <c r="L555" s="126"/>
    </row>
    <row r="556">
      <c r="J556" s="113"/>
      <c r="L556" s="126"/>
    </row>
    <row r="557">
      <c r="J557" s="113"/>
      <c r="L557" s="126"/>
    </row>
    <row r="558">
      <c r="J558" s="113"/>
      <c r="L558" s="126"/>
    </row>
    <row r="559">
      <c r="J559" s="113"/>
      <c r="L559" s="126"/>
    </row>
    <row r="560">
      <c r="J560" s="113"/>
      <c r="L560" s="126"/>
    </row>
    <row r="561">
      <c r="J561" s="113"/>
      <c r="L561" s="126"/>
    </row>
    <row r="562">
      <c r="J562" s="113"/>
      <c r="L562" s="126"/>
    </row>
    <row r="563">
      <c r="J563" s="113"/>
      <c r="L563" s="126"/>
    </row>
    <row r="564">
      <c r="J564" s="113"/>
      <c r="L564" s="126"/>
    </row>
    <row r="565">
      <c r="J565" s="113"/>
      <c r="L565" s="126"/>
    </row>
    <row r="566">
      <c r="J566" s="113"/>
      <c r="L566" s="126"/>
    </row>
    <row r="567">
      <c r="J567" s="113"/>
      <c r="L567" s="126"/>
    </row>
    <row r="568">
      <c r="J568" s="113"/>
      <c r="L568" s="126"/>
    </row>
    <row r="569">
      <c r="J569" s="113"/>
      <c r="L569" s="126"/>
    </row>
    <row r="570">
      <c r="J570" s="113"/>
      <c r="L570" s="126"/>
    </row>
    <row r="571">
      <c r="J571" s="113"/>
      <c r="L571" s="126"/>
    </row>
    <row r="572">
      <c r="J572" s="113"/>
      <c r="L572" s="126"/>
    </row>
    <row r="573">
      <c r="J573" s="113"/>
      <c r="L573" s="126"/>
    </row>
    <row r="574">
      <c r="J574" s="113"/>
      <c r="L574" s="126"/>
    </row>
    <row r="575">
      <c r="J575" s="113"/>
      <c r="L575" s="126"/>
    </row>
    <row r="576">
      <c r="J576" s="113"/>
      <c r="L576" s="126"/>
    </row>
    <row r="577">
      <c r="J577" s="113"/>
      <c r="L577" s="126"/>
    </row>
    <row r="578">
      <c r="J578" s="113"/>
      <c r="L578" s="126"/>
    </row>
    <row r="579">
      <c r="J579" s="113"/>
      <c r="L579" s="126"/>
    </row>
    <row r="580">
      <c r="J580" s="113"/>
      <c r="L580" s="126"/>
    </row>
    <row r="581">
      <c r="J581" s="113"/>
      <c r="L581" s="126"/>
    </row>
    <row r="582">
      <c r="J582" s="113"/>
      <c r="L582" s="126"/>
    </row>
    <row r="583">
      <c r="J583" s="113"/>
      <c r="L583" s="126"/>
    </row>
    <row r="584">
      <c r="J584" s="113"/>
      <c r="L584" s="126"/>
    </row>
    <row r="585">
      <c r="J585" s="113"/>
      <c r="L585" s="126"/>
    </row>
    <row r="586">
      <c r="J586" s="113"/>
      <c r="L586" s="126"/>
    </row>
    <row r="587">
      <c r="J587" s="113"/>
      <c r="L587" s="126"/>
    </row>
    <row r="588">
      <c r="J588" s="113"/>
      <c r="L588" s="126"/>
    </row>
    <row r="589">
      <c r="J589" s="113"/>
      <c r="L589" s="126"/>
    </row>
    <row r="590">
      <c r="J590" s="113"/>
      <c r="L590" s="126"/>
    </row>
    <row r="591">
      <c r="J591" s="113"/>
      <c r="L591" s="126"/>
    </row>
    <row r="592">
      <c r="J592" s="113"/>
      <c r="L592" s="126"/>
    </row>
    <row r="593">
      <c r="J593" s="113"/>
      <c r="L593" s="126"/>
    </row>
    <row r="594">
      <c r="J594" s="113"/>
      <c r="L594" s="126"/>
    </row>
    <row r="595">
      <c r="J595" s="113"/>
      <c r="L595" s="126"/>
    </row>
    <row r="596">
      <c r="J596" s="113"/>
      <c r="L596" s="126"/>
    </row>
    <row r="597">
      <c r="J597" s="113"/>
      <c r="L597" s="126"/>
    </row>
    <row r="598">
      <c r="J598" s="113"/>
      <c r="L598" s="126"/>
    </row>
    <row r="599">
      <c r="J599" s="113"/>
      <c r="L599" s="126"/>
    </row>
    <row r="600">
      <c r="J600" s="113"/>
      <c r="L600" s="126"/>
    </row>
    <row r="601">
      <c r="J601" s="113"/>
      <c r="L601" s="126"/>
    </row>
    <row r="602">
      <c r="J602" s="113"/>
      <c r="L602" s="126"/>
    </row>
    <row r="603">
      <c r="J603" s="113"/>
      <c r="L603" s="126"/>
    </row>
    <row r="604">
      <c r="J604" s="113"/>
      <c r="L604" s="126"/>
    </row>
    <row r="605">
      <c r="J605" s="113"/>
      <c r="L605" s="126"/>
    </row>
    <row r="606">
      <c r="J606" s="113"/>
      <c r="L606" s="126"/>
    </row>
    <row r="607">
      <c r="J607" s="113"/>
      <c r="L607" s="126"/>
    </row>
    <row r="608">
      <c r="J608" s="113"/>
      <c r="L608" s="126"/>
    </row>
    <row r="609">
      <c r="J609" s="113"/>
      <c r="L609" s="126"/>
    </row>
    <row r="610">
      <c r="J610" s="113"/>
      <c r="L610" s="126"/>
    </row>
    <row r="611">
      <c r="J611" s="113"/>
      <c r="L611" s="126"/>
    </row>
    <row r="612">
      <c r="J612" s="113"/>
      <c r="L612" s="126"/>
    </row>
    <row r="613">
      <c r="J613" s="113"/>
      <c r="L613" s="126"/>
    </row>
    <row r="614">
      <c r="J614" s="113"/>
      <c r="L614" s="126"/>
    </row>
    <row r="615">
      <c r="J615" s="113"/>
      <c r="L615" s="126"/>
    </row>
    <row r="616">
      <c r="J616" s="113"/>
      <c r="L616" s="126"/>
    </row>
    <row r="617">
      <c r="J617" s="113"/>
      <c r="L617" s="126"/>
    </row>
    <row r="618">
      <c r="J618" s="113"/>
      <c r="L618" s="126"/>
    </row>
    <row r="619">
      <c r="J619" s="113"/>
      <c r="L619" s="126"/>
    </row>
    <row r="620">
      <c r="J620" s="113"/>
      <c r="L620" s="126"/>
    </row>
    <row r="621">
      <c r="J621" s="113"/>
      <c r="L621" s="126"/>
    </row>
    <row r="622">
      <c r="J622" s="113"/>
      <c r="L622" s="126"/>
    </row>
    <row r="623">
      <c r="J623" s="113"/>
      <c r="L623" s="126"/>
    </row>
    <row r="624">
      <c r="J624" s="113"/>
      <c r="L624" s="126"/>
    </row>
    <row r="625">
      <c r="J625" s="113"/>
      <c r="L625" s="126"/>
    </row>
    <row r="626">
      <c r="J626" s="113"/>
      <c r="L626" s="126"/>
    </row>
    <row r="627">
      <c r="J627" s="113"/>
      <c r="L627" s="126"/>
    </row>
    <row r="628">
      <c r="J628" s="113"/>
      <c r="L628" s="126"/>
    </row>
    <row r="629">
      <c r="J629" s="113"/>
      <c r="L629" s="126"/>
    </row>
    <row r="630">
      <c r="J630" s="113"/>
      <c r="L630" s="126"/>
    </row>
    <row r="631">
      <c r="J631" s="113"/>
      <c r="L631" s="126"/>
    </row>
    <row r="632">
      <c r="J632" s="113"/>
      <c r="L632" s="126"/>
    </row>
    <row r="633">
      <c r="J633" s="113"/>
      <c r="L633" s="126"/>
    </row>
    <row r="634">
      <c r="J634" s="113"/>
      <c r="L634" s="126"/>
    </row>
    <row r="635">
      <c r="J635" s="113"/>
      <c r="L635" s="126"/>
    </row>
    <row r="636">
      <c r="J636" s="113"/>
      <c r="L636" s="126"/>
    </row>
    <row r="637">
      <c r="J637" s="113"/>
      <c r="L637" s="126"/>
    </row>
    <row r="638">
      <c r="J638" s="113"/>
      <c r="L638" s="126"/>
    </row>
    <row r="639">
      <c r="J639" s="113"/>
      <c r="L639" s="126"/>
    </row>
    <row r="640">
      <c r="J640" s="113"/>
      <c r="L640" s="126"/>
    </row>
    <row r="641">
      <c r="J641" s="113"/>
      <c r="L641" s="126"/>
    </row>
    <row r="642">
      <c r="J642" s="113"/>
      <c r="L642" s="126"/>
    </row>
    <row r="643">
      <c r="J643" s="113"/>
      <c r="L643" s="126"/>
    </row>
    <row r="644">
      <c r="J644" s="113"/>
      <c r="L644" s="126"/>
    </row>
    <row r="645">
      <c r="J645" s="113"/>
      <c r="L645" s="126"/>
    </row>
    <row r="646">
      <c r="J646" s="113"/>
      <c r="L646" s="126"/>
    </row>
    <row r="647">
      <c r="J647" s="113"/>
      <c r="L647" s="126"/>
    </row>
    <row r="648">
      <c r="J648" s="113"/>
      <c r="L648" s="126"/>
    </row>
    <row r="649">
      <c r="J649" s="113"/>
      <c r="L649" s="126"/>
    </row>
    <row r="650">
      <c r="J650" s="113"/>
      <c r="L650" s="126"/>
    </row>
    <row r="651">
      <c r="J651" s="113"/>
      <c r="L651" s="126"/>
    </row>
    <row r="652">
      <c r="J652" s="113"/>
      <c r="L652" s="126"/>
    </row>
    <row r="653">
      <c r="J653" s="113"/>
      <c r="L653" s="126"/>
    </row>
    <row r="654">
      <c r="J654" s="113"/>
      <c r="L654" s="126"/>
    </row>
    <row r="655">
      <c r="J655" s="113"/>
      <c r="L655" s="126"/>
    </row>
    <row r="656">
      <c r="J656" s="113"/>
      <c r="L656" s="126"/>
    </row>
    <row r="657">
      <c r="J657" s="113"/>
      <c r="L657" s="126"/>
    </row>
    <row r="658">
      <c r="J658" s="113"/>
      <c r="L658" s="126"/>
    </row>
    <row r="659">
      <c r="J659" s="113"/>
      <c r="L659" s="126"/>
    </row>
    <row r="660">
      <c r="J660" s="113"/>
      <c r="L660" s="126"/>
    </row>
    <row r="661">
      <c r="J661" s="113"/>
      <c r="L661" s="126"/>
    </row>
    <row r="662">
      <c r="J662" s="113"/>
      <c r="L662" s="126"/>
    </row>
    <row r="663">
      <c r="J663" s="113"/>
      <c r="L663" s="126"/>
    </row>
    <row r="664">
      <c r="J664" s="113"/>
      <c r="L664" s="126"/>
    </row>
    <row r="665">
      <c r="J665" s="113"/>
      <c r="L665" s="126"/>
    </row>
    <row r="666">
      <c r="J666" s="113"/>
      <c r="L666" s="126"/>
    </row>
    <row r="667">
      <c r="J667" s="113"/>
      <c r="L667" s="126"/>
    </row>
    <row r="668">
      <c r="J668" s="113"/>
      <c r="L668" s="126"/>
    </row>
    <row r="669">
      <c r="J669" s="113"/>
      <c r="L669" s="126"/>
    </row>
    <row r="670">
      <c r="J670" s="113"/>
      <c r="L670" s="126"/>
    </row>
    <row r="671">
      <c r="J671" s="113"/>
      <c r="L671" s="126"/>
    </row>
    <row r="672">
      <c r="J672" s="113"/>
      <c r="L672" s="126"/>
    </row>
    <row r="673">
      <c r="J673" s="113"/>
      <c r="L673" s="126"/>
    </row>
    <row r="674">
      <c r="J674" s="113"/>
      <c r="L674" s="126"/>
    </row>
    <row r="675">
      <c r="J675" s="113"/>
      <c r="L675" s="126"/>
    </row>
    <row r="676">
      <c r="J676" s="113"/>
      <c r="L676" s="126"/>
    </row>
    <row r="677">
      <c r="J677" s="113"/>
      <c r="L677" s="126"/>
    </row>
    <row r="678">
      <c r="J678" s="113"/>
      <c r="L678" s="126"/>
    </row>
    <row r="679">
      <c r="J679" s="113"/>
      <c r="L679" s="126"/>
    </row>
    <row r="680">
      <c r="J680" s="113"/>
      <c r="L680" s="126"/>
    </row>
    <row r="681">
      <c r="J681" s="113"/>
      <c r="L681" s="126"/>
    </row>
    <row r="682">
      <c r="J682" s="113"/>
      <c r="L682" s="126"/>
    </row>
    <row r="683">
      <c r="J683" s="113"/>
      <c r="L683" s="126"/>
    </row>
    <row r="684">
      <c r="J684" s="113"/>
      <c r="L684" s="126"/>
    </row>
    <row r="685">
      <c r="J685" s="113"/>
      <c r="L685" s="126"/>
    </row>
    <row r="686">
      <c r="J686" s="113"/>
      <c r="L686" s="126"/>
    </row>
    <row r="687">
      <c r="J687" s="113"/>
      <c r="L687" s="126"/>
    </row>
    <row r="688">
      <c r="J688" s="113"/>
      <c r="L688" s="126"/>
    </row>
    <row r="689">
      <c r="J689" s="113"/>
      <c r="L689" s="126"/>
    </row>
    <row r="690">
      <c r="J690" s="113"/>
      <c r="L690" s="126"/>
    </row>
    <row r="691">
      <c r="J691" s="113"/>
      <c r="L691" s="126"/>
    </row>
    <row r="692">
      <c r="J692" s="113"/>
      <c r="L692" s="126"/>
    </row>
    <row r="693">
      <c r="J693" s="113"/>
      <c r="L693" s="126"/>
    </row>
    <row r="694">
      <c r="J694" s="113"/>
      <c r="L694" s="126"/>
    </row>
    <row r="695">
      <c r="J695" s="113"/>
      <c r="L695" s="126"/>
    </row>
    <row r="696">
      <c r="J696" s="113"/>
      <c r="L696" s="126"/>
    </row>
    <row r="697">
      <c r="J697" s="113"/>
      <c r="L697" s="126"/>
    </row>
    <row r="698">
      <c r="J698" s="113"/>
      <c r="L698" s="126"/>
    </row>
    <row r="699">
      <c r="J699" s="113"/>
      <c r="L699" s="126"/>
    </row>
    <row r="700">
      <c r="J700" s="113"/>
      <c r="L700" s="126"/>
    </row>
    <row r="701">
      <c r="J701" s="113"/>
      <c r="L701" s="126"/>
    </row>
    <row r="702">
      <c r="J702" s="113"/>
      <c r="L702" s="126"/>
    </row>
    <row r="703">
      <c r="J703" s="113"/>
      <c r="L703" s="126"/>
    </row>
    <row r="704">
      <c r="J704" s="113"/>
      <c r="L704" s="126"/>
    </row>
    <row r="705">
      <c r="J705" s="113"/>
      <c r="L705" s="126"/>
    </row>
    <row r="706">
      <c r="J706" s="113"/>
      <c r="L706" s="126"/>
    </row>
    <row r="707">
      <c r="J707" s="113"/>
      <c r="L707" s="126"/>
    </row>
    <row r="708">
      <c r="J708" s="113"/>
      <c r="L708" s="126"/>
    </row>
    <row r="709">
      <c r="J709" s="113"/>
      <c r="L709" s="126"/>
    </row>
    <row r="710">
      <c r="J710" s="113"/>
      <c r="L710" s="126"/>
    </row>
    <row r="711">
      <c r="J711" s="113"/>
      <c r="L711" s="126"/>
    </row>
    <row r="712">
      <c r="J712" s="113"/>
      <c r="L712" s="126"/>
    </row>
    <row r="713">
      <c r="J713" s="113"/>
      <c r="L713" s="126"/>
    </row>
    <row r="714">
      <c r="J714" s="113"/>
      <c r="L714" s="126"/>
    </row>
    <row r="715">
      <c r="J715" s="113"/>
      <c r="L715" s="126"/>
    </row>
    <row r="716">
      <c r="J716" s="113"/>
      <c r="L716" s="126"/>
    </row>
    <row r="717">
      <c r="J717" s="113"/>
      <c r="L717" s="126"/>
    </row>
    <row r="718">
      <c r="J718" s="113"/>
      <c r="L718" s="126"/>
    </row>
    <row r="719">
      <c r="J719" s="113"/>
      <c r="L719" s="126"/>
    </row>
    <row r="720">
      <c r="J720" s="113"/>
      <c r="L720" s="126"/>
    </row>
    <row r="721">
      <c r="J721" s="113"/>
      <c r="L721" s="126"/>
    </row>
    <row r="722">
      <c r="J722" s="113"/>
      <c r="L722" s="126"/>
    </row>
    <row r="723">
      <c r="J723" s="113"/>
      <c r="L723" s="126"/>
    </row>
    <row r="724">
      <c r="J724" s="113"/>
      <c r="L724" s="126"/>
    </row>
    <row r="725">
      <c r="J725" s="113"/>
      <c r="L725" s="126"/>
    </row>
    <row r="726">
      <c r="J726" s="113"/>
      <c r="L726" s="126"/>
    </row>
    <row r="727">
      <c r="J727" s="113"/>
      <c r="L727" s="126"/>
    </row>
    <row r="728">
      <c r="J728" s="113"/>
      <c r="L728" s="126"/>
    </row>
    <row r="729">
      <c r="J729" s="113"/>
      <c r="L729" s="126"/>
    </row>
    <row r="730">
      <c r="J730" s="113"/>
      <c r="L730" s="126"/>
    </row>
    <row r="731">
      <c r="J731" s="113"/>
      <c r="L731" s="126"/>
    </row>
    <row r="732">
      <c r="J732" s="113"/>
      <c r="L732" s="126"/>
    </row>
    <row r="733">
      <c r="J733" s="113"/>
      <c r="L733" s="126"/>
    </row>
    <row r="734">
      <c r="J734" s="113"/>
      <c r="L734" s="126"/>
    </row>
    <row r="735">
      <c r="J735" s="113"/>
      <c r="L735" s="126"/>
    </row>
    <row r="736">
      <c r="J736" s="113"/>
      <c r="L736" s="126"/>
    </row>
    <row r="737">
      <c r="J737" s="113"/>
      <c r="L737" s="126"/>
    </row>
    <row r="738">
      <c r="J738" s="113"/>
      <c r="L738" s="126"/>
    </row>
    <row r="739">
      <c r="J739" s="113"/>
      <c r="L739" s="126"/>
    </row>
    <row r="740">
      <c r="J740" s="113"/>
      <c r="L740" s="126"/>
    </row>
    <row r="741">
      <c r="J741" s="113"/>
      <c r="L741" s="126"/>
    </row>
    <row r="742">
      <c r="J742" s="113"/>
      <c r="L742" s="126"/>
    </row>
    <row r="743">
      <c r="J743" s="113"/>
      <c r="L743" s="126"/>
    </row>
    <row r="744">
      <c r="J744" s="113"/>
      <c r="L744" s="126"/>
    </row>
    <row r="745">
      <c r="J745" s="113"/>
      <c r="L745" s="126"/>
    </row>
    <row r="746">
      <c r="J746" s="113"/>
      <c r="L746" s="126"/>
    </row>
    <row r="747">
      <c r="J747" s="113"/>
      <c r="L747" s="126"/>
    </row>
    <row r="748">
      <c r="J748" s="113"/>
      <c r="L748" s="126"/>
    </row>
    <row r="749">
      <c r="J749" s="113"/>
      <c r="L749" s="126"/>
    </row>
    <row r="750">
      <c r="J750" s="113"/>
      <c r="L750" s="126"/>
    </row>
    <row r="751">
      <c r="J751" s="113"/>
      <c r="L751" s="126"/>
    </row>
    <row r="752">
      <c r="J752" s="113"/>
      <c r="L752" s="126"/>
    </row>
    <row r="753">
      <c r="J753" s="113"/>
      <c r="L753" s="126"/>
    </row>
    <row r="754">
      <c r="J754" s="113"/>
      <c r="L754" s="126"/>
    </row>
    <row r="755">
      <c r="J755" s="113"/>
      <c r="L755" s="126"/>
    </row>
    <row r="756">
      <c r="J756" s="113"/>
      <c r="L756" s="126"/>
    </row>
    <row r="757">
      <c r="J757" s="113"/>
      <c r="L757" s="126"/>
    </row>
    <row r="758">
      <c r="J758" s="113"/>
      <c r="L758" s="126"/>
    </row>
    <row r="759">
      <c r="J759" s="113"/>
      <c r="L759" s="126"/>
    </row>
    <row r="760">
      <c r="J760" s="113"/>
      <c r="L760" s="126"/>
    </row>
    <row r="761">
      <c r="J761" s="113"/>
      <c r="L761" s="126"/>
    </row>
    <row r="762">
      <c r="J762" s="113"/>
      <c r="L762" s="126"/>
    </row>
    <row r="763">
      <c r="J763" s="113"/>
      <c r="L763" s="126"/>
    </row>
    <row r="764">
      <c r="J764" s="113"/>
      <c r="L764" s="126"/>
    </row>
    <row r="765">
      <c r="J765" s="113"/>
      <c r="L765" s="126"/>
    </row>
    <row r="766">
      <c r="J766" s="113"/>
      <c r="L766" s="126"/>
    </row>
    <row r="767">
      <c r="J767" s="113"/>
      <c r="L767" s="126"/>
    </row>
    <row r="768">
      <c r="J768" s="113"/>
      <c r="L768" s="126"/>
    </row>
    <row r="769">
      <c r="J769" s="113"/>
      <c r="L769" s="126"/>
    </row>
    <row r="770">
      <c r="J770" s="113"/>
      <c r="L770" s="126"/>
    </row>
    <row r="771">
      <c r="J771" s="113"/>
      <c r="L771" s="126"/>
    </row>
    <row r="772">
      <c r="J772" s="113"/>
      <c r="L772" s="126"/>
    </row>
    <row r="773">
      <c r="J773" s="113"/>
      <c r="L773" s="126"/>
    </row>
    <row r="774">
      <c r="J774" s="113"/>
      <c r="L774" s="126"/>
    </row>
    <row r="775">
      <c r="J775" s="113"/>
      <c r="L775" s="126"/>
    </row>
    <row r="776">
      <c r="J776" s="113"/>
      <c r="L776" s="126"/>
    </row>
    <row r="777">
      <c r="J777" s="113"/>
      <c r="L777" s="126"/>
    </row>
    <row r="778">
      <c r="J778" s="113"/>
      <c r="L778" s="126"/>
    </row>
    <row r="779">
      <c r="J779" s="113"/>
      <c r="L779" s="126"/>
    </row>
    <row r="780">
      <c r="J780" s="113"/>
      <c r="L780" s="126"/>
    </row>
    <row r="781">
      <c r="J781" s="113"/>
      <c r="L781" s="126"/>
    </row>
    <row r="782">
      <c r="J782" s="113"/>
      <c r="L782" s="126"/>
    </row>
    <row r="783">
      <c r="J783" s="113"/>
      <c r="L783" s="126"/>
    </row>
    <row r="784">
      <c r="J784" s="113"/>
      <c r="L784" s="126"/>
    </row>
    <row r="785">
      <c r="J785" s="113"/>
      <c r="L785" s="126"/>
    </row>
    <row r="786">
      <c r="J786" s="113"/>
      <c r="L786" s="126"/>
    </row>
    <row r="787">
      <c r="J787" s="113"/>
      <c r="L787" s="126"/>
    </row>
    <row r="788">
      <c r="J788" s="113"/>
      <c r="L788" s="126"/>
    </row>
    <row r="789">
      <c r="J789" s="113"/>
      <c r="L789" s="126"/>
    </row>
    <row r="790">
      <c r="J790" s="113"/>
      <c r="L790" s="126"/>
    </row>
    <row r="791">
      <c r="J791" s="113"/>
      <c r="L791" s="126"/>
    </row>
    <row r="792">
      <c r="J792" s="113"/>
      <c r="L792" s="126"/>
    </row>
    <row r="793">
      <c r="J793" s="113"/>
      <c r="L793" s="126"/>
    </row>
    <row r="794">
      <c r="J794" s="113"/>
      <c r="L794" s="126"/>
    </row>
    <row r="795">
      <c r="J795" s="113"/>
      <c r="L795" s="126"/>
    </row>
    <row r="796">
      <c r="J796" s="113"/>
      <c r="L796" s="126"/>
    </row>
    <row r="797">
      <c r="J797" s="113"/>
      <c r="L797" s="126"/>
    </row>
    <row r="798">
      <c r="J798" s="113"/>
      <c r="L798" s="126"/>
    </row>
    <row r="799">
      <c r="J799" s="113"/>
      <c r="L799" s="126"/>
    </row>
    <row r="800">
      <c r="J800" s="113"/>
      <c r="L800" s="126"/>
    </row>
    <row r="801">
      <c r="J801" s="113"/>
      <c r="L801" s="126"/>
    </row>
    <row r="802">
      <c r="J802" s="113"/>
      <c r="L802" s="126"/>
    </row>
    <row r="803">
      <c r="J803" s="113"/>
      <c r="L803" s="126"/>
    </row>
    <row r="804">
      <c r="J804" s="113"/>
      <c r="L804" s="126"/>
    </row>
    <row r="805">
      <c r="J805" s="113"/>
      <c r="L805" s="126"/>
    </row>
    <row r="806">
      <c r="J806" s="113"/>
      <c r="L806" s="126"/>
    </row>
    <row r="807">
      <c r="J807" s="113"/>
      <c r="L807" s="126"/>
    </row>
    <row r="808">
      <c r="J808" s="113"/>
      <c r="L808" s="126"/>
    </row>
    <row r="809">
      <c r="J809" s="113"/>
      <c r="L809" s="126"/>
    </row>
    <row r="810">
      <c r="J810" s="113"/>
      <c r="L810" s="126"/>
    </row>
    <row r="811">
      <c r="J811" s="113"/>
      <c r="L811" s="126"/>
    </row>
    <row r="812">
      <c r="J812" s="113"/>
      <c r="L812" s="126"/>
    </row>
    <row r="813">
      <c r="J813" s="113"/>
      <c r="L813" s="126"/>
    </row>
    <row r="814">
      <c r="J814" s="113"/>
      <c r="L814" s="126"/>
    </row>
    <row r="815">
      <c r="J815" s="113"/>
      <c r="L815" s="126"/>
    </row>
    <row r="816">
      <c r="J816" s="113"/>
      <c r="L816" s="126"/>
    </row>
    <row r="817">
      <c r="J817" s="113"/>
      <c r="L817" s="126"/>
    </row>
    <row r="818">
      <c r="J818" s="113"/>
      <c r="L818" s="126"/>
    </row>
    <row r="819">
      <c r="J819" s="113"/>
      <c r="L819" s="126"/>
    </row>
    <row r="820">
      <c r="J820" s="113"/>
      <c r="L820" s="126"/>
    </row>
    <row r="821">
      <c r="J821" s="113"/>
      <c r="L821" s="126"/>
    </row>
    <row r="822">
      <c r="J822" s="113"/>
      <c r="L822" s="126"/>
    </row>
    <row r="823">
      <c r="J823" s="113"/>
      <c r="L823" s="126"/>
    </row>
    <row r="824">
      <c r="J824" s="113"/>
      <c r="L824" s="126"/>
    </row>
    <row r="825">
      <c r="J825" s="113"/>
      <c r="L825" s="126"/>
    </row>
    <row r="826">
      <c r="J826" s="113"/>
      <c r="L826" s="126"/>
    </row>
    <row r="827">
      <c r="J827" s="113"/>
      <c r="L827" s="126"/>
    </row>
    <row r="828">
      <c r="J828" s="113"/>
      <c r="L828" s="126"/>
    </row>
    <row r="829">
      <c r="J829" s="113"/>
      <c r="L829" s="126"/>
    </row>
    <row r="830">
      <c r="J830" s="113"/>
      <c r="L830" s="126"/>
    </row>
    <row r="831">
      <c r="J831" s="113"/>
      <c r="L831" s="126"/>
    </row>
    <row r="832">
      <c r="J832" s="113"/>
      <c r="L832" s="126"/>
    </row>
    <row r="833">
      <c r="J833" s="113"/>
      <c r="L833" s="126"/>
    </row>
    <row r="834">
      <c r="J834" s="113"/>
      <c r="L834" s="126"/>
    </row>
    <row r="835">
      <c r="J835" s="113"/>
      <c r="L835" s="126"/>
    </row>
    <row r="836">
      <c r="J836" s="113"/>
      <c r="L836" s="126"/>
    </row>
    <row r="837">
      <c r="J837" s="113"/>
      <c r="L837" s="126"/>
    </row>
    <row r="838">
      <c r="J838" s="113"/>
      <c r="L838" s="126"/>
    </row>
    <row r="839">
      <c r="J839" s="113"/>
      <c r="L839" s="126"/>
    </row>
    <row r="840">
      <c r="J840" s="113"/>
      <c r="L840" s="126"/>
    </row>
    <row r="841">
      <c r="J841" s="113"/>
      <c r="L841" s="126"/>
    </row>
    <row r="842">
      <c r="J842" s="113"/>
      <c r="L842" s="126"/>
    </row>
    <row r="843">
      <c r="J843" s="113"/>
      <c r="L843" s="126"/>
    </row>
    <row r="844">
      <c r="J844" s="113"/>
      <c r="L844" s="126"/>
    </row>
    <row r="845">
      <c r="J845" s="113"/>
      <c r="L845" s="126"/>
    </row>
    <row r="846">
      <c r="J846" s="113"/>
      <c r="L846" s="126"/>
    </row>
    <row r="847">
      <c r="J847" s="113"/>
      <c r="L847" s="126"/>
    </row>
    <row r="848">
      <c r="J848" s="113"/>
      <c r="L848" s="126"/>
    </row>
    <row r="849">
      <c r="J849" s="113"/>
      <c r="L849" s="126"/>
    </row>
    <row r="850">
      <c r="J850" s="113"/>
      <c r="L850" s="126"/>
    </row>
    <row r="851">
      <c r="J851" s="113"/>
      <c r="L851" s="126"/>
    </row>
    <row r="852">
      <c r="J852" s="113"/>
      <c r="L852" s="126"/>
    </row>
    <row r="853">
      <c r="J853" s="113"/>
      <c r="L853" s="126"/>
    </row>
    <row r="854">
      <c r="J854" s="113"/>
      <c r="L854" s="126"/>
    </row>
    <row r="855">
      <c r="J855" s="113"/>
      <c r="L855" s="126"/>
    </row>
    <row r="856">
      <c r="J856" s="113"/>
      <c r="L856" s="126"/>
    </row>
    <row r="857">
      <c r="J857" s="113"/>
      <c r="L857" s="126"/>
    </row>
    <row r="858">
      <c r="J858" s="113"/>
      <c r="L858" s="126"/>
    </row>
    <row r="859">
      <c r="J859" s="113"/>
      <c r="L859" s="126"/>
    </row>
    <row r="860">
      <c r="J860" s="113"/>
      <c r="L860" s="126"/>
    </row>
    <row r="861">
      <c r="J861" s="113"/>
      <c r="L861" s="126"/>
    </row>
    <row r="862">
      <c r="J862" s="113"/>
      <c r="L862" s="126"/>
    </row>
    <row r="863">
      <c r="J863" s="113"/>
      <c r="L863" s="126"/>
    </row>
    <row r="864">
      <c r="J864" s="113"/>
      <c r="L864" s="126"/>
    </row>
    <row r="865">
      <c r="J865" s="113"/>
      <c r="L865" s="126"/>
    </row>
    <row r="866">
      <c r="J866" s="113"/>
      <c r="L866" s="126"/>
    </row>
    <row r="867">
      <c r="J867" s="113"/>
      <c r="L867" s="126"/>
    </row>
    <row r="868">
      <c r="J868" s="113"/>
      <c r="L868" s="126"/>
    </row>
    <row r="869">
      <c r="J869" s="113"/>
      <c r="L869" s="126"/>
    </row>
    <row r="870">
      <c r="J870" s="113"/>
      <c r="L870" s="126"/>
    </row>
    <row r="871">
      <c r="J871" s="113"/>
      <c r="L871" s="126"/>
    </row>
    <row r="872">
      <c r="J872" s="113"/>
      <c r="L872" s="126"/>
    </row>
    <row r="873">
      <c r="J873" s="113"/>
      <c r="L873" s="126"/>
    </row>
    <row r="874">
      <c r="J874" s="113"/>
      <c r="L874" s="126"/>
    </row>
    <row r="875">
      <c r="J875" s="113"/>
      <c r="L875" s="126"/>
    </row>
    <row r="876">
      <c r="J876" s="113"/>
      <c r="L876" s="126"/>
    </row>
    <row r="877">
      <c r="J877" s="113"/>
      <c r="L877" s="126"/>
    </row>
    <row r="878">
      <c r="J878" s="113"/>
      <c r="L878" s="126"/>
    </row>
    <row r="879">
      <c r="J879" s="113"/>
      <c r="L879" s="126"/>
    </row>
    <row r="880">
      <c r="J880" s="113"/>
      <c r="L880" s="126"/>
    </row>
    <row r="881">
      <c r="J881" s="113"/>
      <c r="L881" s="126"/>
    </row>
    <row r="882">
      <c r="J882" s="113"/>
      <c r="L882" s="126"/>
    </row>
    <row r="883">
      <c r="J883" s="113"/>
      <c r="L883" s="126"/>
    </row>
    <row r="884">
      <c r="J884" s="113"/>
      <c r="L884" s="126"/>
    </row>
    <row r="885">
      <c r="J885" s="113"/>
      <c r="L885" s="126"/>
    </row>
    <row r="886">
      <c r="J886" s="113"/>
      <c r="L886" s="126"/>
    </row>
    <row r="887">
      <c r="J887" s="113"/>
      <c r="L887" s="126"/>
    </row>
    <row r="888">
      <c r="J888" s="113"/>
      <c r="L888" s="126"/>
    </row>
    <row r="889">
      <c r="J889" s="113"/>
      <c r="L889" s="126"/>
    </row>
    <row r="890">
      <c r="J890" s="113"/>
      <c r="L890" s="126"/>
    </row>
    <row r="891">
      <c r="J891" s="113"/>
      <c r="L891" s="126"/>
    </row>
    <row r="892">
      <c r="J892" s="113"/>
      <c r="L892" s="126"/>
    </row>
    <row r="893">
      <c r="J893" s="113"/>
      <c r="L893" s="126"/>
    </row>
    <row r="894">
      <c r="J894" s="113"/>
      <c r="L894" s="126"/>
    </row>
    <row r="895">
      <c r="J895" s="113"/>
      <c r="L895" s="126"/>
    </row>
    <row r="896">
      <c r="J896" s="113"/>
      <c r="L896" s="126"/>
    </row>
    <row r="897">
      <c r="J897" s="113"/>
      <c r="L897" s="126"/>
    </row>
    <row r="898">
      <c r="J898" s="113"/>
      <c r="L898" s="126"/>
    </row>
    <row r="899">
      <c r="J899" s="113"/>
      <c r="L899" s="126"/>
    </row>
    <row r="900">
      <c r="J900" s="113"/>
      <c r="L900" s="126"/>
    </row>
    <row r="901">
      <c r="J901" s="113"/>
      <c r="L901" s="126"/>
    </row>
    <row r="902">
      <c r="J902" s="113"/>
      <c r="L902" s="126"/>
    </row>
    <row r="903">
      <c r="J903" s="113"/>
      <c r="L903" s="126"/>
    </row>
    <row r="904">
      <c r="J904" s="113"/>
      <c r="L904" s="126"/>
    </row>
    <row r="905">
      <c r="J905" s="113"/>
      <c r="L905" s="126"/>
    </row>
    <row r="906">
      <c r="J906" s="113"/>
      <c r="L906" s="126"/>
    </row>
    <row r="907">
      <c r="J907" s="113"/>
      <c r="L907" s="126"/>
    </row>
    <row r="908">
      <c r="J908" s="113"/>
      <c r="L908" s="126"/>
    </row>
    <row r="909">
      <c r="J909" s="113"/>
      <c r="L909" s="126"/>
    </row>
    <row r="910">
      <c r="J910" s="113"/>
      <c r="L910" s="126"/>
    </row>
    <row r="911">
      <c r="J911" s="113"/>
      <c r="L911" s="126"/>
    </row>
    <row r="912">
      <c r="J912" s="113"/>
      <c r="L912" s="126"/>
    </row>
    <row r="913">
      <c r="J913" s="113"/>
      <c r="L913" s="126"/>
    </row>
    <row r="914">
      <c r="J914" s="113"/>
      <c r="L914" s="126"/>
    </row>
    <row r="915">
      <c r="J915" s="113"/>
      <c r="L915" s="126"/>
    </row>
    <row r="916">
      <c r="J916" s="113"/>
      <c r="L916" s="126"/>
    </row>
    <row r="917">
      <c r="J917" s="113"/>
      <c r="L917" s="126"/>
    </row>
    <row r="918">
      <c r="J918" s="113"/>
      <c r="L918" s="126"/>
    </row>
    <row r="919">
      <c r="J919" s="113"/>
      <c r="L919" s="126"/>
    </row>
    <row r="920">
      <c r="J920" s="113"/>
      <c r="L920" s="126"/>
    </row>
    <row r="921">
      <c r="J921" s="113"/>
      <c r="L921" s="126"/>
    </row>
    <row r="922">
      <c r="J922" s="113"/>
      <c r="L922" s="126"/>
    </row>
    <row r="923">
      <c r="J923" s="113"/>
      <c r="L923" s="126"/>
    </row>
    <row r="924">
      <c r="J924" s="113"/>
      <c r="L924" s="126"/>
    </row>
    <row r="925">
      <c r="J925" s="113"/>
      <c r="L925" s="126"/>
    </row>
    <row r="926">
      <c r="J926" s="113"/>
      <c r="L926" s="126"/>
    </row>
    <row r="927">
      <c r="J927" s="113"/>
      <c r="L927" s="126"/>
    </row>
    <row r="928">
      <c r="J928" s="113"/>
      <c r="L928" s="126"/>
    </row>
    <row r="929">
      <c r="J929" s="113"/>
      <c r="L929" s="126"/>
    </row>
    <row r="930">
      <c r="J930" s="113"/>
      <c r="L930" s="126"/>
    </row>
    <row r="931">
      <c r="J931" s="113"/>
      <c r="L931" s="126"/>
    </row>
    <row r="932">
      <c r="J932" s="113"/>
      <c r="L932" s="126"/>
    </row>
    <row r="933">
      <c r="J933" s="113"/>
      <c r="L933" s="126"/>
    </row>
    <row r="934">
      <c r="J934" s="113"/>
      <c r="L934" s="126"/>
    </row>
    <row r="935">
      <c r="J935" s="113"/>
      <c r="L935" s="126"/>
    </row>
    <row r="936">
      <c r="J936" s="113"/>
      <c r="L936" s="126"/>
    </row>
    <row r="937">
      <c r="J937" s="113"/>
      <c r="L937" s="126"/>
    </row>
    <row r="938">
      <c r="J938" s="113"/>
      <c r="L938" s="126"/>
    </row>
    <row r="939">
      <c r="J939" s="113"/>
      <c r="L939" s="126"/>
    </row>
    <row r="940">
      <c r="J940" s="113"/>
      <c r="L940" s="126"/>
    </row>
    <row r="941">
      <c r="J941" s="113"/>
      <c r="L941" s="126"/>
    </row>
    <row r="942">
      <c r="J942" s="113"/>
      <c r="L942" s="126"/>
    </row>
    <row r="943">
      <c r="J943" s="113"/>
      <c r="L943" s="126"/>
    </row>
    <row r="944">
      <c r="J944" s="113"/>
      <c r="L944" s="126"/>
    </row>
    <row r="945">
      <c r="J945" s="113"/>
      <c r="L945" s="126"/>
    </row>
    <row r="946">
      <c r="J946" s="113"/>
      <c r="L946" s="126"/>
    </row>
    <row r="947">
      <c r="J947" s="113"/>
      <c r="L947" s="126"/>
    </row>
    <row r="948">
      <c r="J948" s="113"/>
      <c r="L948" s="126"/>
    </row>
    <row r="949">
      <c r="J949" s="113"/>
      <c r="L949" s="126"/>
    </row>
    <row r="950">
      <c r="J950" s="113"/>
      <c r="L950" s="126"/>
    </row>
    <row r="951">
      <c r="J951" s="113"/>
      <c r="L951" s="126"/>
    </row>
    <row r="952">
      <c r="J952" s="113"/>
      <c r="L952" s="126"/>
    </row>
    <row r="953">
      <c r="J953" s="113"/>
      <c r="L953" s="126"/>
    </row>
    <row r="954">
      <c r="J954" s="113"/>
      <c r="L954" s="126"/>
    </row>
    <row r="955">
      <c r="J955" s="113"/>
      <c r="L955" s="126"/>
    </row>
    <row r="956">
      <c r="J956" s="113"/>
      <c r="L956" s="126"/>
    </row>
    <row r="957">
      <c r="J957" s="113"/>
      <c r="L957" s="126"/>
    </row>
    <row r="958">
      <c r="J958" s="113"/>
      <c r="L958" s="126"/>
    </row>
    <row r="959">
      <c r="J959" s="113"/>
      <c r="L959" s="126"/>
    </row>
    <row r="960">
      <c r="J960" s="113"/>
      <c r="L960" s="126"/>
    </row>
    <row r="961">
      <c r="J961" s="113"/>
      <c r="L961" s="126"/>
    </row>
    <row r="962">
      <c r="J962" s="113"/>
      <c r="L962" s="126"/>
    </row>
    <row r="963">
      <c r="J963" s="113"/>
      <c r="L963" s="126"/>
    </row>
    <row r="964">
      <c r="J964" s="113"/>
      <c r="L964" s="126"/>
    </row>
    <row r="965">
      <c r="J965" s="113"/>
      <c r="L965" s="126"/>
    </row>
    <row r="966">
      <c r="J966" s="113"/>
      <c r="L966" s="126"/>
    </row>
    <row r="967">
      <c r="J967" s="113"/>
      <c r="L967" s="126"/>
    </row>
    <row r="968">
      <c r="J968" s="113"/>
      <c r="L968" s="126"/>
    </row>
    <row r="969">
      <c r="J969" s="113"/>
      <c r="L969" s="126"/>
    </row>
    <row r="970">
      <c r="J970" s="113"/>
      <c r="L970" s="126"/>
    </row>
    <row r="971">
      <c r="J971" s="113"/>
      <c r="L971" s="126"/>
    </row>
    <row r="972">
      <c r="J972" s="113"/>
      <c r="L972" s="126"/>
    </row>
    <row r="973">
      <c r="J973" s="113"/>
      <c r="L973" s="126"/>
    </row>
    <row r="974">
      <c r="J974" s="113"/>
      <c r="L974" s="126"/>
    </row>
    <row r="975">
      <c r="J975" s="113"/>
      <c r="L975" s="126"/>
    </row>
    <row r="976">
      <c r="J976" s="113"/>
      <c r="L976" s="126"/>
    </row>
    <row r="977">
      <c r="J977" s="113"/>
      <c r="L977" s="126"/>
    </row>
    <row r="978">
      <c r="J978" s="113"/>
      <c r="L978" s="126"/>
    </row>
    <row r="979">
      <c r="J979" s="113"/>
      <c r="L979" s="126"/>
    </row>
    <row r="980">
      <c r="J980" s="113"/>
      <c r="L980" s="126"/>
    </row>
    <row r="981">
      <c r="J981" s="113"/>
      <c r="L981" s="126"/>
    </row>
    <row r="982">
      <c r="J982" s="113"/>
      <c r="L982" s="126"/>
    </row>
    <row r="983">
      <c r="J983" s="113"/>
      <c r="L983" s="126"/>
    </row>
    <row r="984">
      <c r="J984" s="113"/>
      <c r="L984" s="126"/>
    </row>
    <row r="985">
      <c r="J985" s="113"/>
      <c r="L985" s="126"/>
    </row>
    <row r="986">
      <c r="J986" s="113"/>
      <c r="L986" s="126"/>
    </row>
    <row r="987">
      <c r="J987" s="113"/>
      <c r="L987" s="126"/>
    </row>
    <row r="988">
      <c r="J988" s="113"/>
      <c r="L988" s="126"/>
    </row>
    <row r="989">
      <c r="J989" s="113"/>
      <c r="L989" s="126"/>
    </row>
    <row r="990">
      <c r="J990" s="113"/>
      <c r="L990" s="126"/>
    </row>
    <row r="991">
      <c r="J991" s="113"/>
      <c r="L991" s="126"/>
    </row>
    <row r="992">
      <c r="J992" s="113"/>
      <c r="L992" s="126"/>
    </row>
    <row r="993">
      <c r="J993" s="113"/>
      <c r="L993" s="126"/>
    </row>
    <row r="994">
      <c r="J994" s="113"/>
      <c r="L994" s="126"/>
    </row>
    <row r="995">
      <c r="J995" s="113"/>
      <c r="L995" s="126"/>
    </row>
    <row r="996">
      <c r="J996" s="113"/>
      <c r="L996" s="126"/>
    </row>
    <row r="997">
      <c r="J997" s="113"/>
      <c r="L997" s="126"/>
    </row>
    <row r="998">
      <c r="J998" s="113"/>
      <c r="L998" s="126"/>
    </row>
    <row r="999">
      <c r="J999" s="113"/>
      <c r="L999" s="126"/>
    </row>
    <row r="1000">
      <c r="J1000" s="113"/>
      <c r="L1000" s="12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 t="str">
        <f>IFERROR(__xludf.DUMMYFUNCTION("IFERROR(FILTER(SIR!A2:Z1000, SIR!K2:K1000 = Calculator!B2), """")"),"https://utrucking.com/admin/orders/5913501892796")</f>
        <v>https://utrucking.com/admin/orders/5913501892796</v>
      </c>
      <c r="B1" s="93" t="str">
        <f>IFERROR(__xludf.DUMMYFUNCTION("""COMPUTED_VALUE"""),"#15519")</f>
        <v>#15519</v>
      </c>
      <c r="C1" s="93" t="str">
        <f>IFERROR(__xludf.DUMMYFUNCTION("""COMPUTED_VALUE"""),"ellielaird@icloud.com")</f>
        <v>ellielaird@icloud.com</v>
      </c>
      <c r="D1" s="93">
        <f>IFERROR(__xludf.DUMMYFUNCTION("""COMPUTED_VALUE"""),2.145770454E9)</f>
        <v>2145770454</v>
      </c>
      <c r="E1" s="93" t="str">
        <f>IFERROR(__xludf.DUMMYFUNCTION("""COMPUTED_VALUE"""),"Ellie Laird")</f>
        <v>Ellie Laird</v>
      </c>
      <c r="F1" s="93"/>
      <c r="G1" s="93"/>
      <c r="H1" s="93" t="str">
        <f>IFERROR(__xludf.DUMMYFUNCTION("""COMPUTED_VALUE"""),"Storage Item Return")</f>
        <v>Storage Item Return</v>
      </c>
      <c r="I1" s="93" t="str">
        <f>IFERROR(__xludf.DUMMYFUNCTION("""COMPUTED_VALUE"""),"University Housing ")</f>
        <v>University Housing </v>
      </c>
      <c r="J1" s="113" t="str">
        <f>IFERROR(__xludf.DUMMYFUNCTION("""COMPUTED_VALUE"""),"09:00 AM to 11:00 AM   ")</f>
        <v>09:00 AM to 11:00 AM   </v>
      </c>
      <c r="K1" s="93">
        <f>IFERROR(__xludf.DUMMYFUNCTION("""COMPUTED_VALUE"""),45881.0)</f>
        <v>45881</v>
      </c>
      <c r="L1" s="93" t="str">
        <f>IFERROR(__xludf.DUMMYFUNCTION("""COMPUTED_VALUE"""),"Millbrook Bldg. 3  ")</f>
        <v>Millbrook Bldg. 3  </v>
      </c>
      <c r="M1" s="93" t="str">
        <f>IFERROR(__xludf.DUMMYFUNCTION("""COMPUTED_VALUE"""),"102")</f>
        <v>102</v>
      </c>
      <c r="N1" s="93"/>
      <c r="O1" s="93"/>
      <c r="P1" s="93" t="b">
        <f>IFERROR(__xludf.DUMMYFUNCTION("""COMPUTED_VALUE"""),FALSE)</f>
        <v>0</v>
      </c>
      <c r="Q1" s="93"/>
      <c r="R1" s="93"/>
      <c r="S1" s="93"/>
      <c r="T1" s="93"/>
      <c r="U1" s="93"/>
      <c r="V1" s="93"/>
      <c r="W1" s="93"/>
      <c r="X1" s="93"/>
      <c r="Y1" s="93"/>
      <c r="Z1" s="93"/>
    </row>
    <row r="2">
      <c r="A2" s="121" t="str">
        <f>IFERROR(__xludf.DUMMYFUNCTION("""COMPUTED_VALUE"""),"https://utrucking.com/admin/orders/5913520472252")</f>
        <v>https://utrucking.com/admin/orders/5913520472252</v>
      </c>
      <c r="B2" s="93" t="str">
        <f>IFERROR(__xludf.DUMMYFUNCTION("""COMPUTED_VALUE"""),"#15524")</f>
        <v>#15524</v>
      </c>
      <c r="C2" s="93" t="str">
        <f>IFERROR(__xludf.DUMMYFUNCTION("""COMPUTED_VALUE"""),"ego.oyler@icloud.com")</f>
        <v>ego.oyler@icloud.com</v>
      </c>
      <c r="D2" s="93">
        <f>IFERROR(__xludf.DUMMYFUNCTION("""COMPUTED_VALUE"""),7.732307431E9)</f>
        <v>7732307431</v>
      </c>
      <c r="E2" s="93" t="str">
        <f>IFERROR(__xludf.DUMMYFUNCTION("""COMPUTED_VALUE"""),"Randall Oyler")</f>
        <v>Randall Oyler</v>
      </c>
      <c r="F2" s="93"/>
      <c r="G2" s="93"/>
      <c r="H2" s="93" t="str">
        <f>IFERROR(__xludf.DUMMYFUNCTION("""COMPUTED_VALUE"""),"Storage Item Return")</f>
        <v>Storage Item Return</v>
      </c>
      <c r="I2" s="93" t="str">
        <f>IFERROR(__xludf.DUMMYFUNCTION("""COMPUTED_VALUE"""),"University Housing ")</f>
        <v>University Housing </v>
      </c>
      <c r="J2" s="113" t="str">
        <f>IFERROR(__xludf.DUMMYFUNCTION("""COMPUTED_VALUE"""),"09:00 AM to 11:00 AM   ")</f>
        <v>09:00 AM to 11:00 AM   </v>
      </c>
      <c r="K2" s="93">
        <f>IFERROR(__xludf.DUMMYFUNCTION("""COMPUTED_VALUE"""),45881.0)</f>
        <v>45881</v>
      </c>
      <c r="L2" s="93" t="str">
        <f>IFERROR(__xludf.DUMMYFUNCTION("""COMPUTED_VALUE"""),"Nemerov  ")</f>
        <v>Nemerov  </v>
      </c>
      <c r="M2" s="93" t="str">
        <f>IFERROR(__xludf.DUMMYFUNCTION("""COMPUTED_VALUE"""),"Nemerov - 1011 - a")</f>
        <v>Nemerov - 1011 - a</v>
      </c>
      <c r="N2" s="93"/>
      <c r="O2" s="93"/>
      <c r="P2" s="93" t="b">
        <f>IFERROR(__xludf.DUMMYFUNCTION("""COMPUTED_VALUE"""),FALSE)</f>
        <v>0</v>
      </c>
      <c r="Q2" s="93"/>
      <c r="R2" s="93"/>
      <c r="S2" s="93"/>
      <c r="T2" s="93"/>
      <c r="U2" s="93"/>
      <c r="V2" s="93"/>
      <c r="W2" s="93"/>
      <c r="X2" s="93"/>
      <c r="Y2" s="93"/>
      <c r="Z2" s="93"/>
    </row>
    <row r="3">
      <c r="A3" s="121" t="str">
        <f>IFERROR(__xludf.DUMMYFUNCTION("""COMPUTED_VALUE"""),"https://utrucking.com/admin/orders/5913784549564")</f>
        <v>https://utrucking.com/admin/orders/5913784549564</v>
      </c>
      <c r="B3" s="93" t="str">
        <f>IFERROR(__xludf.DUMMYFUNCTION("""COMPUTED_VALUE"""),"#15548")</f>
        <v>#15548</v>
      </c>
      <c r="C3" s="93" t="str">
        <f>IFERROR(__xludf.DUMMYFUNCTION("""COMPUTED_VALUE"""),"l.a.marlowe@wustl.edu")</f>
        <v>l.a.marlowe@wustl.edu</v>
      </c>
      <c r="D3" s="93">
        <f>IFERROR(__xludf.DUMMYFUNCTION("""COMPUTED_VALUE"""),9.178254484E9)</f>
        <v>9178254484</v>
      </c>
      <c r="E3" s="93" t="str">
        <f>IFERROR(__xludf.DUMMYFUNCTION("""COMPUTED_VALUE"""),"Staci Marlowe")</f>
        <v>Staci Marlowe</v>
      </c>
      <c r="F3" s="93"/>
      <c r="G3" s="93"/>
      <c r="H3" s="93" t="str">
        <f>IFERROR(__xludf.DUMMYFUNCTION("""COMPUTED_VALUE"""),"Storage Item Return")</f>
        <v>Storage Item Return</v>
      </c>
      <c r="I3" s="93" t="str">
        <f>IFERROR(__xludf.DUMMYFUNCTION("""COMPUTED_VALUE"""),"University Housing ")</f>
        <v>University Housing </v>
      </c>
      <c r="J3" s="113" t="str">
        <f>IFERROR(__xludf.DUMMYFUNCTION("""COMPUTED_VALUE"""),"09:00 AM to 11:00 AM   ")</f>
        <v>09:00 AM to 11:00 AM   </v>
      </c>
      <c r="K3" s="93">
        <f>IFERROR(__xludf.DUMMYFUNCTION("""COMPUTED_VALUE"""),45881.0)</f>
        <v>45881</v>
      </c>
      <c r="L3" s="93" t="str">
        <f>IFERROR(__xludf.DUMMYFUNCTION("""COMPUTED_VALUE"""),"Millbrook Bldg. 3  ")</f>
        <v>Millbrook Bldg. 3  </v>
      </c>
      <c r="M3" s="93" t="str">
        <f>IFERROR(__xludf.DUMMYFUNCTION("""COMPUTED_VALUE"""),"202")</f>
        <v>202</v>
      </c>
      <c r="N3" s="93"/>
      <c r="O3" s="93"/>
      <c r="P3" s="93" t="b">
        <f>IFERROR(__xludf.DUMMYFUNCTION("""COMPUTED_VALUE"""),TRUE)</f>
        <v>1</v>
      </c>
      <c r="Q3" s="93"/>
      <c r="R3" s="93"/>
      <c r="S3" s="93"/>
      <c r="T3" s="93"/>
      <c r="U3" s="93"/>
      <c r="V3" s="93"/>
      <c r="W3" s="93"/>
      <c r="X3" s="93"/>
      <c r="Y3" s="93"/>
      <c r="Z3" s="93"/>
    </row>
    <row r="4">
      <c r="A4" s="121" t="str">
        <f>IFERROR(__xludf.DUMMYFUNCTION("""COMPUTED_VALUE"""),"https://utrucking.com/admin/orders/5913805488316")</f>
        <v>https://utrucking.com/admin/orders/5913805488316</v>
      </c>
      <c r="B4" s="93" t="str">
        <f>IFERROR(__xludf.DUMMYFUNCTION("""COMPUTED_VALUE"""),"#15551")</f>
        <v>#15551</v>
      </c>
      <c r="C4" s="93" t="str">
        <f>IFERROR(__xludf.DUMMYFUNCTION("""COMPUTED_VALUE"""),"l.speier@wustl.edu")</f>
        <v>l.speier@wustl.edu</v>
      </c>
      <c r="D4" s="93">
        <f>IFERROR(__xludf.DUMMYFUNCTION("""COMPUTED_VALUE"""),5.107081479E9)</f>
        <v>5107081479</v>
      </c>
      <c r="E4" s="93" t="str">
        <f>IFERROR(__xludf.DUMMYFUNCTION("""COMPUTED_VALUE"""),"Lucas Speier")</f>
        <v>Lucas Speier</v>
      </c>
      <c r="F4" s="93"/>
      <c r="G4" s="93"/>
      <c r="H4" s="93" t="str">
        <f>IFERROR(__xludf.DUMMYFUNCTION("""COMPUTED_VALUE"""),"Storage Item Return")</f>
        <v>Storage Item Return</v>
      </c>
      <c r="I4" s="93" t="str">
        <f>IFERROR(__xludf.DUMMYFUNCTION("""COMPUTED_VALUE"""),"University Housing ")</f>
        <v>University Housing </v>
      </c>
      <c r="J4" s="113" t="str">
        <f>IFERROR(__xludf.DUMMYFUNCTION("""COMPUTED_VALUE"""),"09:00 AM to 11:00 AM   ")</f>
        <v>09:00 AM to 11:00 AM   </v>
      </c>
      <c r="K4" s="93">
        <f>IFERROR(__xludf.DUMMYFUNCTION("""COMPUTED_VALUE"""),45881.0)</f>
        <v>45881</v>
      </c>
      <c r="L4" s="93" t="str">
        <f>IFERROR(__xludf.DUMMYFUNCTION("""COMPUTED_VALUE"""),"Eliot B  ")</f>
        <v>Eliot B  </v>
      </c>
      <c r="M4" s="93" t="str">
        <f>IFERROR(__xludf.DUMMYFUNCTION("""COMPUTED_VALUE"""),"4093")</f>
        <v>4093</v>
      </c>
      <c r="N4" s="93"/>
      <c r="O4" s="93"/>
      <c r="P4" s="93" t="b">
        <f>IFERROR(__xludf.DUMMYFUNCTION("""COMPUTED_VALUE"""),TRUE)</f>
        <v>1</v>
      </c>
      <c r="Q4" s="93"/>
      <c r="R4" s="93"/>
      <c r="S4" s="93"/>
      <c r="T4" s="93"/>
      <c r="U4" s="93"/>
      <c r="V4" s="93"/>
      <c r="W4" s="93"/>
      <c r="X4" s="93"/>
      <c r="Y4" s="93"/>
      <c r="Z4" s="93"/>
    </row>
    <row r="5">
      <c r="A5" s="121" t="str">
        <f>IFERROR(__xludf.DUMMYFUNCTION("""COMPUTED_VALUE"""),"https://utrucking.com/admin/orders/5921422409916")</f>
        <v>https://utrucking.com/admin/orders/5921422409916</v>
      </c>
      <c r="B5" s="93" t="str">
        <f>IFERROR(__xludf.DUMMYFUNCTION("""COMPUTED_VALUE"""),"#15888")</f>
        <v>#15888</v>
      </c>
      <c r="C5" s="93" t="str">
        <f>IFERROR(__xludf.DUMMYFUNCTION("""COMPUTED_VALUE"""),"k.margot@wustl.edu")</f>
        <v>k.margot@wustl.edu</v>
      </c>
      <c r="D5" s="93">
        <f>IFERROR(__xludf.DUMMYFUNCTION("""COMPUTED_VALUE"""),7.13321044E9)</f>
        <v>7133210440</v>
      </c>
      <c r="E5" s="93" t="str">
        <f>IFERROR(__xludf.DUMMYFUNCTION("""COMPUTED_VALUE"""),"Margot Kades")</f>
        <v>Margot Kades</v>
      </c>
      <c r="F5" s="93"/>
      <c r="G5" s="93"/>
      <c r="H5" s="93" t="str">
        <f>IFERROR(__xludf.DUMMYFUNCTION("""COMPUTED_VALUE"""),"Storage Item Return")</f>
        <v>Storage Item Return</v>
      </c>
      <c r="I5" s="93" t="str">
        <f>IFERROR(__xludf.DUMMYFUNCTION("""COMPUTED_VALUE"""),"University Housing ")</f>
        <v>University Housing </v>
      </c>
      <c r="J5" s="113" t="str">
        <f>IFERROR(__xludf.DUMMYFUNCTION("""COMPUTED_VALUE"""),"09:00 AM to 11:00 AM   ")</f>
        <v>09:00 AM to 11:00 AM   </v>
      </c>
      <c r="K5" s="93">
        <f>IFERROR(__xludf.DUMMYFUNCTION("""COMPUTED_VALUE"""),45881.0)</f>
        <v>45881</v>
      </c>
      <c r="L5" s="93" t="str">
        <f>IFERROR(__xludf.DUMMYFUNCTION("""COMPUTED_VALUE"""),"Greenway Apartments  ")</f>
        <v>Greenway Apartments  </v>
      </c>
      <c r="M5" s="93" t="str">
        <f>IFERROR(__xludf.DUMMYFUNCTION("""COMPUTED_VALUE"""),"Apartment 112-A")</f>
        <v>Apartment 112-A</v>
      </c>
      <c r="N5" s="93"/>
      <c r="O5" s="93"/>
      <c r="P5" s="93" t="b">
        <f>IFERROR(__xludf.DUMMYFUNCTION("""COMPUTED_VALUE"""),TRUE)</f>
        <v>1</v>
      </c>
      <c r="Q5" s="93"/>
      <c r="R5" s="93"/>
      <c r="S5" s="93"/>
      <c r="T5" s="93"/>
      <c r="U5" s="93"/>
      <c r="V5" s="93"/>
      <c r="W5" s="93"/>
      <c r="X5" s="93"/>
      <c r="Y5" s="93"/>
      <c r="Z5" s="93"/>
    </row>
    <row r="6">
      <c r="A6" s="121" t="str">
        <f>IFERROR(__xludf.DUMMYFUNCTION("""COMPUTED_VALUE"""),"https://utrucking.com/admin/orders/5929736962236")</f>
        <v>https://utrucking.com/admin/orders/5929736962236</v>
      </c>
      <c r="B6" s="93" t="str">
        <f>IFERROR(__xludf.DUMMYFUNCTION("""COMPUTED_VALUE"""),"#16097")</f>
        <v>#16097</v>
      </c>
      <c r="C6" s="93" t="str">
        <f>IFERROR(__xludf.DUMMYFUNCTION("""COMPUTED_VALUE"""),"m.mariana2005@outlook.com")</f>
        <v>m.mariana2005@outlook.com</v>
      </c>
      <c r="D6" s="93">
        <f>IFERROR(__xludf.DUMMYFUNCTION("""COMPUTED_VALUE"""),2.163470634E9)</f>
        <v>2163470634</v>
      </c>
      <c r="E6" s="93" t="str">
        <f>IFERROR(__xludf.DUMMYFUNCTION("""COMPUTED_VALUE"""),"Yihan Ma")</f>
        <v>Yihan Ma</v>
      </c>
      <c r="F6" s="93"/>
      <c r="G6" s="93" t="str">
        <f>IFERROR(__xludf.DUMMYFUNCTION("""COMPUTED_VALUE"""),"224D GANEDAGO HALL, ITHACA NY 14853")</f>
        <v>224D GANEDAGO HALL, ITHACA NY 14853</v>
      </c>
      <c r="H6" s="93" t="str">
        <f>IFERROR(__xludf.DUMMYFUNCTION("""COMPUTED_VALUE"""),"Storage Item Return")</f>
        <v>Storage Item Return</v>
      </c>
      <c r="I6" s="93" t="str">
        <f>IFERROR(__xludf.DUMMYFUNCTION("""COMPUTED_VALUE"""),"Non-University Housing ")</f>
        <v>Non-University Housing </v>
      </c>
      <c r="J6" s="113" t="str">
        <f>IFERROR(__xludf.DUMMYFUNCTION("""COMPUTED_VALUE"""),"09:00 AM to 11:00 AM   ")</f>
        <v>09:00 AM to 11:00 AM   </v>
      </c>
      <c r="K6" s="93">
        <f>IFERROR(__xludf.DUMMYFUNCTION("""COMPUTED_VALUE"""),45881.0)</f>
        <v>45881</v>
      </c>
      <c r="L6" s="93"/>
      <c r="M6" s="93"/>
      <c r="N6" s="93" t="str">
        <f>IFERROR(__xludf.DUMMYFUNCTION("""COMPUTED_VALUE"""),"224D GANEDAGO HALL, ITHACA NY 14853")</f>
        <v>224D GANEDAGO HALL, ITHACA NY 14853</v>
      </c>
      <c r="O6" s="93"/>
      <c r="P6" s="93" t="b">
        <f>IFERROR(__xludf.DUMMYFUNCTION("""COMPUTED_VALUE"""),FALSE)</f>
        <v>0</v>
      </c>
      <c r="Q6" s="93"/>
      <c r="R6" s="93"/>
      <c r="S6" s="93"/>
      <c r="T6" s="93"/>
      <c r="U6" s="93"/>
      <c r="V6" s="93"/>
      <c r="W6" s="93"/>
      <c r="X6" s="93"/>
      <c r="Y6" s="93"/>
      <c r="Z6" s="93"/>
    </row>
    <row r="7">
      <c r="A7" s="121" t="str">
        <f>IFERROR(__xludf.DUMMYFUNCTION("""COMPUTED_VALUE"""),"https://utrucking.com/admin/orders/5931101978812")</f>
        <v>https://utrucking.com/admin/orders/5931101978812</v>
      </c>
      <c r="B7" s="93" t="str">
        <f>IFERROR(__xludf.DUMMYFUNCTION("""COMPUTED_VALUE"""),"#16118")</f>
        <v>#16118</v>
      </c>
      <c r="C7" s="93" t="str">
        <f>IFERROR(__xludf.DUMMYFUNCTION("""COMPUTED_VALUE"""),"nartey.n120@gmail.com")</f>
        <v>nartey.n120@gmail.com</v>
      </c>
      <c r="D7" s="93">
        <f>IFERROR(__xludf.DUMMYFUNCTION("""COMPUTED_VALUE"""),7.038697756E9)</f>
        <v>7038697756</v>
      </c>
      <c r="E7" s="93" t="str">
        <f>IFERROR(__xludf.DUMMYFUNCTION("""COMPUTED_VALUE"""),"Nicole Nartey")</f>
        <v>Nicole Nartey</v>
      </c>
      <c r="F7" s="93"/>
      <c r="G7" s="93" t="str">
        <f>IFERROR(__xludf.DUMMYFUNCTION("""COMPUTED_VALUE"""),"6317 Southwood Ave, Apt 2W, Clayton, Missouri 63105")</f>
        <v>6317 Southwood Ave, Apt 2W, Clayton, Missouri 63105</v>
      </c>
      <c r="H7" s="93" t="str">
        <f>IFERROR(__xludf.DUMMYFUNCTION("""COMPUTED_VALUE"""),"Storage Item Return")</f>
        <v>Storage Item Return</v>
      </c>
      <c r="I7" s="93" t="str">
        <f>IFERROR(__xludf.DUMMYFUNCTION("""COMPUTED_VALUE"""),"Non-University Housing ")</f>
        <v>Non-University Housing </v>
      </c>
      <c r="J7" s="113" t="str">
        <f>IFERROR(__xludf.DUMMYFUNCTION("""COMPUTED_VALUE"""),"09:00 AM to 11:00 AM  ")</f>
        <v>09:00 AM to 11:00 AM  </v>
      </c>
      <c r="K7" s="93">
        <f>IFERROR(__xludf.DUMMYFUNCTION("""COMPUTED_VALUE"""),45881.0)</f>
        <v>45881</v>
      </c>
      <c r="L7" s="93"/>
      <c r="M7" s="93"/>
      <c r="N7" s="93" t="str">
        <f>IFERROR(__xludf.DUMMYFUNCTION("""COMPUTED_VALUE"""),"6317 Southwood Ave, Apt 2W, Clayton, Missouri 63105")</f>
        <v>6317 Southwood Ave, Apt 2W, Clayton, Missouri 63105</v>
      </c>
      <c r="O7" s="93"/>
      <c r="P7" s="93" t="b">
        <f>IFERROR(__xludf.DUMMYFUNCTION("""COMPUTED_VALUE"""),FALSE)</f>
        <v>0</v>
      </c>
      <c r="Q7" s="93"/>
      <c r="R7" s="93"/>
      <c r="S7" s="93"/>
      <c r="T7" s="93"/>
      <c r="U7" s="93"/>
      <c r="V7" s="93"/>
      <c r="W7" s="93"/>
      <c r="X7" s="93"/>
      <c r="Y7" s="93"/>
      <c r="Z7" s="93"/>
    </row>
    <row r="8">
      <c r="J8" s="113"/>
    </row>
    <row r="9">
      <c r="J9" s="113"/>
    </row>
    <row r="10">
      <c r="J10" s="113"/>
    </row>
    <row r="11">
      <c r="J11" s="113"/>
    </row>
    <row r="12">
      <c r="J12" s="113"/>
    </row>
    <row r="13">
      <c r="J13" s="113"/>
    </row>
    <row r="14">
      <c r="J14" s="113"/>
    </row>
    <row r="15">
      <c r="J15" s="113"/>
    </row>
    <row r="16">
      <c r="J16" s="113"/>
    </row>
    <row r="17">
      <c r="J17" s="113"/>
    </row>
    <row r="18">
      <c r="J18" s="113"/>
    </row>
    <row r="19">
      <c r="J19" s="113"/>
    </row>
    <row r="20">
      <c r="J20" s="113"/>
    </row>
    <row r="21">
      <c r="J21" s="113"/>
    </row>
    <row r="22">
      <c r="J22" s="113"/>
    </row>
    <row r="23">
      <c r="J23" s="113"/>
    </row>
    <row r="24">
      <c r="J24" s="113"/>
    </row>
    <row r="25">
      <c r="J25" s="113"/>
    </row>
    <row r="26">
      <c r="J26" s="113"/>
    </row>
    <row r="27">
      <c r="J27" s="113"/>
    </row>
    <row r="28">
      <c r="J28" s="113"/>
    </row>
    <row r="29">
      <c r="J29" s="113"/>
    </row>
    <row r="30">
      <c r="J30" s="113"/>
    </row>
    <row r="31">
      <c r="J31" s="113"/>
    </row>
    <row r="32">
      <c r="J32" s="113"/>
    </row>
    <row r="33">
      <c r="J33" s="11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sheetData>
  <hyperlinks>
    <hyperlink r:id="rId1" ref="A2"/>
    <hyperlink r:id="rId2" ref="A3"/>
    <hyperlink r:id="rId3" ref="A4"/>
    <hyperlink r:id="rId4" ref="A5"/>
    <hyperlink r:id="rId5" ref="A6"/>
    <hyperlink r:id="rId6" ref="A7"/>
  </hyperlinks>
  <drawing r:id="rId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 t="str">
        <f>IFERROR(__xludf.DUMMYFUNCTION("IFERROR(FILTER(NSTS!A2:AA1000, NSTS!K2:K1000 = Calculator!B2), """")"),"https://utrucking.myshopify.com/admin/orders?query=14988")</f>
        <v>https://utrucking.myshopify.com/admin/orders?query=14988</v>
      </c>
      <c r="B1" s="93" t="str">
        <f>IFERROR(__xludf.DUMMYFUNCTION("""COMPUTED_VALUE"""),"#14988")</f>
        <v>#14988</v>
      </c>
      <c r="C1" s="93" t="str">
        <f>IFERROR(__xludf.DUMMYFUNCTION("""COMPUTED_VALUE"""),"eruth@wustl.edu")</f>
        <v>eruth@wustl.edu</v>
      </c>
      <c r="D1" s="93" t="str">
        <f>IFERROR(__xludf.DUMMYFUNCTION("""COMPUTED_VALUE"""),"(917) 767-3188")</f>
        <v>(917) 767-3188</v>
      </c>
      <c r="E1" s="93" t="str">
        <f>IFERROR(__xludf.DUMMYFUNCTION("""COMPUTED_VALUE"""),"Lexie Ruth")</f>
        <v>Lexie Ruth</v>
      </c>
      <c r="F1" s="93"/>
      <c r="G1" s="93" t="str">
        <f>IFERROR(__xludf.DUMMYFUNCTION("""COMPUTED_VALUE"""),"3212 Gulfstream Road")</f>
        <v>3212 Gulfstream Road</v>
      </c>
      <c r="H1" s="93" t="str">
        <f>IFERROR(__xludf.DUMMYFUNCTION("""COMPUTED_VALUE"""),"Nationwide Ship to School")</f>
        <v>Nationwide Ship to School</v>
      </c>
      <c r="I1" s="93" t="str">
        <f>IFERROR(__xludf.DUMMYFUNCTION("""COMPUTED_VALUE"""),"University Housing")</f>
        <v>University Housing</v>
      </c>
      <c r="J1" s="113" t="str">
        <f>IFERROR(__xludf.DUMMYFUNCTION("""COMPUTED_VALUE"""),"09:00 AM - 11:00 AM")</f>
        <v>09:00 AM - 11:00 AM</v>
      </c>
      <c r="K1" s="93">
        <f>IFERROR(__xludf.DUMMYFUNCTION("""COMPUTED_VALUE"""),45881.0)</f>
        <v>45881</v>
      </c>
      <c r="L1" s="93" t="str">
        <f>IFERROR(__xludf.DUMMYFUNCTION("""COMPUTED_VALUE"""),"Lien")</f>
        <v>Lien</v>
      </c>
      <c r="M1" s="93" t="str">
        <f>IFERROR(__xludf.DUMMYFUNCTION("""COMPUTED_VALUE"""),"1117")</f>
        <v>1117</v>
      </c>
      <c r="N1" s="93"/>
      <c r="O1" s="93"/>
      <c r="P1" s="93"/>
      <c r="Q1" s="93"/>
      <c r="R1" s="93"/>
      <c r="S1" s="93"/>
      <c r="T1" s="93"/>
      <c r="U1" s="93"/>
      <c r="V1" s="93"/>
      <c r="W1" s="93"/>
      <c r="X1" s="93"/>
      <c r="Y1" s="93"/>
      <c r="Z1" s="93"/>
    </row>
    <row r="2">
      <c r="A2" s="121" t="str">
        <f>IFERROR(__xludf.DUMMYFUNCTION("""COMPUTED_VALUE"""),"https://utrucking.myshopify.com/admin/orders?query=15036")</f>
        <v>https://utrucking.myshopify.com/admin/orders?query=15036</v>
      </c>
      <c r="B2" s="93" t="str">
        <f>IFERROR(__xludf.DUMMYFUNCTION("""COMPUTED_VALUE"""),"#15036")</f>
        <v>#15036</v>
      </c>
      <c r="C2" s="93" t="str">
        <f>IFERROR(__xludf.DUMMYFUNCTION("""COMPUTED_VALUE"""),"a.covello@wustl.edu")</f>
        <v>a.covello@wustl.edu</v>
      </c>
      <c r="D2" s="93" t="str">
        <f>IFERROR(__xludf.DUMMYFUNCTION("""COMPUTED_VALUE"""),"(973) 440-7049")</f>
        <v>(973) 440-7049</v>
      </c>
      <c r="E2" s="93" t="str">
        <f>IFERROR(__xludf.DUMMYFUNCTION("""COMPUTED_VALUE"""),"Andrew Covello")</f>
        <v>Andrew Covello</v>
      </c>
      <c r="F2" s="93"/>
      <c r="G2" s="93" t="str">
        <f>IFERROR(__xludf.DUMMYFUNCTION("""COMPUTED_VALUE"""),"7 Loantaka Lane N")</f>
        <v>7 Loantaka Lane N</v>
      </c>
      <c r="H2" s="93" t="str">
        <f>IFERROR(__xludf.DUMMYFUNCTION("""COMPUTED_VALUE"""),"Nationwide Ship to School")</f>
        <v>Nationwide Ship to School</v>
      </c>
      <c r="I2" s="93" t="str">
        <f>IFERROR(__xludf.DUMMYFUNCTION("""COMPUTED_VALUE"""),"University Housing")</f>
        <v>University Housing</v>
      </c>
      <c r="J2" s="113" t="str">
        <f>IFERROR(__xludf.DUMMYFUNCTION("""COMPUTED_VALUE"""),"09:00 AM - 11:00 AM")</f>
        <v>09:00 AM - 11:00 AM</v>
      </c>
      <c r="K2" s="93">
        <f>IFERROR(__xludf.DUMMYFUNCTION("""COMPUTED_VALUE"""),45881.0)</f>
        <v>45881</v>
      </c>
      <c r="L2" s="93" t="str">
        <f>IFERROR(__xludf.DUMMYFUNCTION("""COMPUTED_VALUE"""),"DON'T KNOW YET (put 'XXX' for room #)")</f>
        <v>DON'T KNOW YET (put 'XXX' for room #)</v>
      </c>
      <c r="M2" s="93" t="str">
        <f>IFERROR(__xludf.DUMMYFUNCTION("""COMPUTED_VALUE"""),"XXX")</f>
        <v>XXX</v>
      </c>
      <c r="N2" s="93"/>
      <c r="O2" s="93"/>
      <c r="P2" s="93"/>
      <c r="Q2" s="93"/>
      <c r="R2" s="93"/>
      <c r="S2" s="93"/>
      <c r="T2" s="93"/>
      <c r="U2" s="93"/>
      <c r="V2" s="93"/>
      <c r="W2" s="93"/>
      <c r="X2" s="93"/>
      <c r="Y2" s="93"/>
      <c r="Z2" s="93"/>
    </row>
    <row r="3">
      <c r="A3" s="121" t="str">
        <f>IFERROR(__xludf.DUMMYFUNCTION("""COMPUTED_VALUE"""),"https://utrucking.myshopify.com/admin/orders?query=15144")</f>
        <v>https://utrucking.myshopify.com/admin/orders?query=15144</v>
      </c>
      <c r="B3" s="93" t="str">
        <f>IFERROR(__xludf.DUMMYFUNCTION("""COMPUTED_VALUE"""),"#15144")</f>
        <v>#15144</v>
      </c>
      <c r="C3" s="93" t="str">
        <f>IFERROR(__xludf.DUMMYFUNCTION("""COMPUTED_VALUE"""),"Maryraue@gmail.com")</f>
        <v>Maryraue@gmail.com</v>
      </c>
      <c r="D3" s="93" t="str">
        <f>IFERROR(__xludf.DUMMYFUNCTION("""COMPUTED_VALUE"""),"(1703) 307-8619")</f>
        <v>(1703) 307-8619</v>
      </c>
      <c r="E3" s="93" t="str">
        <f>IFERROR(__xludf.DUMMYFUNCTION("""COMPUTED_VALUE"""),"Mary Raue")</f>
        <v>Mary Raue</v>
      </c>
      <c r="F3" s="93"/>
      <c r="G3" s="93" t="str">
        <f>IFERROR(__xludf.DUMMYFUNCTION("""COMPUTED_VALUE"""),"5810 Beech Ave")</f>
        <v>5810 Beech Ave</v>
      </c>
      <c r="H3" s="93" t="str">
        <f>IFERROR(__xludf.DUMMYFUNCTION("""COMPUTED_VALUE"""),"Nationwide Ship to School")</f>
        <v>Nationwide Ship to School</v>
      </c>
      <c r="I3" s="93" t="str">
        <f>IFERROR(__xludf.DUMMYFUNCTION("""COMPUTED_VALUE"""),"University Housing")</f>
        <v>University Housing</v>
      </c>
      <c r="J3" s="113" t="str">
        <f>IFERROR(__xludf.DUMMYFUNCTION("""COMPUTED_VALUE"""),"09:00 AM - 11:00 AM")</f>
        <v>09:00 AM - 11:00 AM</v>
      </c>
      <c r="K3" s="93">
        <f>IFERROR(__xludf.DUMMYFUNCTION("""COMPUTED_VALUE"""),45881.0)</f>
        <v>45881</v>
      </c>
      <c r="L3" s="93" t="str">
        <f>IFERROR(__xludf.DUMMYFUNCTION("""COMPUTED_VALUE"""),"DON'T KNOW YET (put 'XXX' for room #)")</f>
        <v>DON'T KNOW YET (put 'XXX' for room #)</v>
      </c>
      <c r="M3" s="93" t="str">
        <f>IFERROR(__xludf.DUMMYFUNCTION("""COMPUTED_VALUE"""),"XXX")</f>
        <v>XXX</v>
      </c>
      <c r="N3" s="93"/>
      <c r="O3" s="93"/>
      <c r="P3" s="93"/>
      <c r="Q3" s="93"/>
      <c r="R3" s="93"/>
      <c r="S3" s="93"/>
      <c r="T3" s="93"/>
      <c r="U3" s="93"/>
      <c r="V3" s="93"/>
      <c r="W3" s="93"/>
      <c r="X3" s="93"/>
      <c r="Y3" s="93"/>
      <c r="Z3" s="93"/>
    </row>
    <row r="4">
      <c r="A4" s="121" t="str">
        <f>IFERROR(__xludf.DUMMYFUNCTION("""COMPUTED_VALUE"""),"https://utrucking.myshopify.com/admin/orders?query=15187")</f>
        <v>https://utrucking.myshopify.com/admin/orders?query=15187</v>
      </c>
      <c r="B4" s="93" t="str">
        <f>IFERROR(__xludf.DUMMYFUNCTION("""COMPUTED_VALUE"""),"#15187")</f>
        <v>#15187</v>
      </c>
      <c r="C4" s="93" t="str">
        <f>IFERROR(__xludf.DUMMYFUNCTION("""COMPUTED_VALUE"""),"CCHAZDAY@GMAIL.COM")</f>
        <v>CCHAZDAY@GMAIL.COM</v>
      </c>
      <c r="D4" s="93" t="str">
        <f>IFERROR(__xludf.DUMMYFUNCTION("""COMPUTED_VALUE"""),"(973) 734-1536")</f>
        <v>(973) 734-1536</v>
      </c>
      <c r="E4" s="93" t="str">
        <f>IFERROR(__xludf.DUMMYFUNCTION("""COMPUTED_VALUE"""),"Cooper Hazday")</f>
        <v>Cooper Hazday</v>
      </c>
      <c r="F4" s="93"/>
      <c r="G4" s="93" t="str">
        <f>IFERROR(__xludf.DUMMYFUNCTION("""COMPUTED_VALUE"""),"932 Pine Tree Lane")</f>
        <v>932 Pine Tree Lane</v>
      </c>
      <c r="H4" s="93" t="str">
        <f>IFERROR(__xludf.DUMMYFUNCTION("""COMPUTED_VALUE"""),"Nationwide Ship to School")</f>
        <v>Nationwide Ship to School</v>
      </c>
      <c r="I4" s="93" t="str">
        <f>IFERROR(__xludf.DUMMYFUNCTION("""COMPUTED_VALUE"""),"University Housing")</f>
        <v>University Housing</v>
      </c>
      <c r="J4" s="113" t="str">
        <f>IFERROR(__xludf.DUMMYFUNCTION("""COMPUTED_VALUE"""),"11:00 AM - 01:00 PM")</f>
        <v>11:00 AM - 01:00 PM</v>
      </c>
      <c r="K4" s="93">
        <f>IFERROR(__xludf.DUMMYFUNCTION("""COMPUTED_VALUE"""),45881.0)</f>
        <v>45881</v>
      </c>
      <c r="L4" s="93" t="str">
        <f>IFERROR(__xludf.DUMMYFUNCTION("""COMPUTED_VALUE"""),"Myers")</f>
        <v>Myers</v>
      </c>
      <c r="M4" s="93" t="str">
        <f>IFERROR(__xludf.DUMMYFUNCTION("""COMPUTED_VALUE"""),"423-A")</f>
        <v>423-A</v>
      </c>
      <c r="N4" s="93"/>
      <c r="O4" s="93"/>
      <c r="P4" s="93"/>
      <c r="Q4" s="93"/>
      <c r="R4" s="93"/>
      <c r="S4" s="93"/>
      <c r="T4" s="93"/>
      <c r="U4" s="93"/>
      <c r="V4" s="93"/>
      <c r="W4" s="93"/>
      <c r="X4" s="93"/>
      <c r="Y4" s="93"/>
      <c r="Z4" s="93"/>
    </row>
    <row r="5">
      <c r="A5" s="121" t="str">
        <f>IFERROR(__xludf.DUMMYFUNCTION("""COMPUTED_VALUE"""),"https://utrucking.com/products/storage-item-return")</f>
        <v>https://utrucking.com/products/storage-item-return</v>
      </c>
      <c r="B5" s="93" t="str">
        <f>IFERROR(__xludf.DUMMYFUNCTION("""COMPUTED_VALUE"""),"#15984")</f>
        <v>#15984</v>
      </c>
      <c r="C5" s="93" t="str">
        <f>IFERROR(__xludf.DUMMYFUNCTION("""COMPUTED_VALUE"""),"jennifermaxell@gmail.com")</f>
        <v>jennifermaxell@gmail.com</v>
      </c>
      <c r="D5" s="93"/>
      <c r="E5" s="93" t="str">
        <f>IFERROR(__xludf.DUMMYFUNCTION("""COMPUTED_VALUE"""),"Jennifer Maxell")</f>
        <v>Jennifer Maxell</v>
      </c>
      <c r="F5" s="93"/>
      <c r="G5" s="93"/>
      <c r="H5" s="93" t="str">
        <f>IFERROR(__xludf.DUMMYFUNCTION("""COMPUTED_VALUE"""),"Nationwide Ship to School")</f>
        <v>Nationwide Ship to School</v>
      </c>
      <c r="I5" s="93" t="str">
        <f>IFERROR(__xludf.DUMMYFUNCTION("""COMPUTED_VALUE"""),"University Housing ")</f>
        <v>University Housing </v>
      </c>
      <c r="J5" s="113" t="str">
        <f>IFERROR(__xludf.DUMMYFUNCTION("""COMPUTED_VALUE"""),"09:00 AM to 11:00 AM   ")</f>
        <v>09:00 AM to 11:00 AM   </v>
      </c>
      <c r="K5" s="93">
        <f>IFERROR(__xludf.DUMMYFUNCTION("""COMPUTED_VALUE"""),45881.0)</f>
        <v>45881</v>
      </c>
      <c r="L5" s="93" t="str">
        <f>IFERROR(__xludf.DUMMYFUNCTION("""COMPUTED_VALUE"""),"DON'T KNOW YET (put 'XXX' for room #)")</f>
        <v>DON'T KNOW YET (put 'XXX' for room #)</v>
      </c>
      <c r="M5" s="93" t="str">
        <f>IFERROR(__xludf.DUMMYFUNCTION("""COMPUTED_VALUE"""),"XXX")</f>
        <v>XXX</v>
      </c>
      <c r="N5" s="93"/>
      <c r="O5" s="93" t="str">
        <f>IFERROR(__xludf.DUMMYFUNCTION("""COMPUTED_VALUE"""),"5025 Duxford Drive, Smyrna, GA 30082  ")</f>
        <v>5025 Duxford Drive, Smyrna, GA 30082  </v>
      </c>
      <c r="P5" s="93"/>
      <c r="Q5" s="93"/>
      <c r="R5" s="93"/>
      <c r="S5" s="93"/>
      <c r="T5" s="93"/>
      <c r="U5" s="93"/>
      <c r="V5" s="93"/>
      <c r="W5" s="93"/>
      <c r="X5" s="93"/>
      <c r="Y5" s="93"/>
      <c r="Z5" s="93"/>
    </row>
    <row r="6">
      <c r="J6" s="113"/>
    </row>
    <row r="7">
      <c r="J7" s="113"/>
    </row>
    <row r="8">
      <c r="J8" s="113"/>
    </row>
    <row r="9">
      <c r="J9" s="113"/>
    </row>
    <row r="10">
      <c r="J10" s="113"/>
    </row>
    <row r="11">
      <c r="J11" s="113"/>
    </row>
    <row r="12">
      <c r="J12" s="113"/>
    </row>
    <row r="13">
      <c r="J13" s="113"/>
    </row>
    <row r="14">
      <c r="J14" s="113"/>
    </row>
    <row r="15">
      <c r="J15" s="113"/>
    </row>
    <row r="16">
      <c r="J16" s="113"/>
    </row>
    <row r="17">
      <c r="J17" s="113"/>
    </row>
    <row r="18">
      <c r="J18" s="113"/>
    </row>
    <row r="19">
      <c r="J19" s="113"/>
    </row>
    <row r="20">
      <c r="J20" s="113"/>
    </row>
    <row r="21">
      <c r="J21" s="113"/>
    </row>
    <row r="22">
      <c r="J22" s="113"/>
    </row>
    <row r="23">
      <c r="J23" s="113"/>
    </row>
    <row r="24">
      <c r="J24" s="113"/>
    </row>
    <row r="25">
      <c r="J25" s="113"/>
    </row>
    <row r="26">
      <c r="J26" s="113"/>
    </row>
    <row r="27">
      <c r="J27" s="113"/>
    </row>
    <row r="28">
      <c r="J28" s="113"/>
    </row>
    <row r="29">
      <c r="J29" s="113"/>
    </row>
    <row r="30">
      <c r="J30" s="113"/>
    </row>
    <row r="31">
      <c r="J31" s="113"/>
    </row>
    <row r="32">
      <c r="J32" s="113"/>
    </row>
    <row r="33">
      <c r="J33" s="11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sheetData>
  <hyperlinks>
    <hyperlink r:id="rId1" ref="A2"/>
    <hyperlink r:id="rId2" ref="A3"/>
    <hyperlink r:id="rId3" ref="A4"/>
    <hyperlink r:id="rId4" ref="A5"/>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tr">
        <f>IFERROR(__xludf.DUMMYFUNCTION("IFERROR(FILTER(TSA!A2:AA1000, TSA!L2:L1000 = Calculator!B2), """")"),"")</f>
        <v/>
      </c>
      <c r="J1" s="113"/>
    </row>
    <row r="2">
      <c r="J2" s="113"/>
    </row>
    <row r="3">
      <c r="J3" s="113"/>
    </row>
    <row r="4">
      <c r="J4" s="113"/>
    </row>
    <row r="5">
      <c r="J5" s="113"/>
    </row>
    <row r="6">
      <c r="J6" s="113"/>
    </row>
    <row r="7">
      <c r="J7" s="113"/>
    </row>
    <row r="8">
      <c r="J8" s="113"/>
    </row>
    <row r="9">
      <c r="J9" s="113"/>
    </row>
    <row r="10">
      <c r="J10" s="113"/>
    </row>
    <row r="11">
      <c r="J11" s="113"/>
    </row>
    <row r="12">
      <c r="J12" s="113"/>
    </row>
    <row r="13">
      <c r="J13" s="113"/>
    </row>
    <row r="14">
      <c r="J14" s="113"/>
    </row>
    <row r="15">
      <c r="J15" s="113"/>
    </row>
    <row r="16">
      <c r="J16" s="113"/>
    </row>
    <row r="17">
      <c r="J17" s="113"/>
    </row>
    <row r="18">
      <c r="J18" s="113"/>
    </row>
    <row r="19">
      <c r="J19" s="113"/>
    </row>
    <row r="20">
      <c r="J20" s="113"/>
    </row>
    <row r="21">
      <c r="J21" s="113"/>
    </row>
    <row r="22">
      <c r="J22" s="113"/>
    </row>
    <row r="23">
      <c r="J23" s="113"/>
    </row>
    <row r="24">
      <c r="J24" s="113"/>
    </row>
    <row r="25">
      <c r="J25" s="113"/>
    </row>
    <row r="26">
      <c r="J26" s="113"/>
    </row>
    <row r="27">
      <c r="J27" s="113"/>
    </row>
    <row r="28">
      <c r="J28" s="113"/>
    </row>
    <row r="29">
      <c r="J29" s="113"/>
    </row>
    <row r="30">
      <c r="J30" s="113"/>
    </row>
    <row r="31">
      <c r="J31" s="113"/>
    </row>
    <row r="32">
      <c r="J32" s="113"/>
    </row>
    <row r="33">
      <c r="J33" s="11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tr">
        <f>IFERROR(__xludf.DUMMYFUNCTION("IFERROR(FILTER('Rental Returns'!A2:AA1000, 'Rental Returns'!K2:K1000 = Calculator!B2), """")"),"")</f>
        <v/>
      </c>
      <c r="J1" s="113"/>
    </row>
    <row r="2">
      <c r="J2" s="113"/>
    </row>
    <row r="3">
      <c r="J3" s="113"/>
    </row>
    <row r="4">
      <c r="J4" s="113"/>
    </row>
    <row r="5">
      <c r="J5" s="113"/>
    </row>
    <row r="6">
      <c r="J6" s="113"/>
    </row>
    <row r="7">
      <c r="J7" s="113"/>
    </row>
    <row r="8">
      <c r="J8" s="113"/>
    </row>
    <row r="9">
      <c r="J9" s="113"/>
    </row>
    <row r="10">
      <c r="J10" s="113"/>
    </row>
    <row r="11">
      <c r="J11" s="113"/>
    </row>
    <row r="12">
      <c r="J12" s="113"/>
    </row>
    <row r="13">
      <c r="J13" s="113"/>
    </row>
    <row r="14">
      <c r="J14" s="113"/>
    </row>
    <row r="15">
      <c r="J15" s="113"/>
    </row>
    <row r="16">
      <c r="J16" s="113"/>
    </row>
    <row r="17">
      <c r="J17" s="113"/>
    </row>
    <row r="18">
      <c r="J18" s="113"/>
    </row>
    <row r="19">
      <c r="J19" s="113"/>
    </row>
    <row r="20">
      <c r="J20" s="113"/>
    </row>
    <row r="21">
      <c r="J21" s="113"/>
    </row>
    <row r="22">
      <c r="J22" s="113"/>
    </row>
    <row r="23">
      <c r="J23" s="113"/>
    </row>
    <row r="24">
      <c r="J24" s="113"/>
    </row>
    <row r="25">
      <c r="J25" s="113"/>
    </row>
    <row r="26">
      <c r="J26" s="113"/>
    </row>
    <row r="27">
      <c r="J27" s="113"/>
    </row>
    <row r="28">
      <c r="J28" s="113"/>
    </row>
    <row r="29">
      <c r="J29" s="113"/>
    </row>
    <row r="30">
      <c r="J30" s="113"/>
    </row>
    <row r="31">
      <c r="J31" s="113"/>
    </row>
    <row r="32">
      <c r="J32" s="113"/>
    </row>
    <row r="33">
      <c r="J33" s="11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tr">
        <f>IFERROR(__xludf.DUMMYFUNCTION("IFERROR(FILTER('Home Shipping'!A2:AA1000, 'Home Shipping'!K2:K1000 = Calculator!B2), """")"),"")</f>
        <v/>
      </c>
      <c r="J1" s="113"/>
    </row>
    <row r="2">
      <c r="J2" s="113"/>
    </row>
    <row r="3">
      <c r="J3" s="113"/>
    </row>
    <row r="4">
      <c r="J4" s="113"/>
    </row>
    <row r="5">
      <c r="J5" s="113"/>
    </row>
    <row r="6">
      <c r="J6" s="113"/>
    </row>
    <row r="7">
      <c r="J7" s="113"/>
    </row>
    <row r="8">
      <c r="J8" s="113"/>
    </row>
    <row r="9">
      <c r="J9" s="113"/>
    </row>
    <row r="10">
      <c r="J10" s="113"/>
    </row>
    <row r="11">
      <c r="J11" s="113"/>
    </row>
    <row r="12">
      <c r="J12" s="113"/>
    </row>
    <row r="13">
      <c r="J13" s="113"/>
    </row>
    <row r="14">
      <c r="J14" s="113"/>
    </row>
    <row r="15">
      <c r="J15" s="113"/>
    </row>
    <row r="16">
      <c r="J16" s="113"/>
    </row>
    <row r="17">
      <c r="J17" s="113"/>
    </row>
    <row r="18">
      <c r="J18" s="113"/>
    </row>
    <row r="19">
      <c r="J19" s="113"/>
    </row>
    <row r="20">
      <c r="J20" s="113"/>
    </row>
    <row r="21">
      <c r="J21" s="113"/>
    </row>
    <row r="22">
      <c r="J22" s="113"/>
    </row>
    <row r="23">
      <c r="J23" s="113"/>
    </row>
    <row r="24">
      <c r="J24" s="113"/>
    </row>
    <row r="25">
      <c r="J25" s="113"/>
    </row>
    <row r="26">
      <c r="J26" s="113"/>
    </row>
    <row r="27">
      <c r="J27" s="113"/>
    </row>
    <row r="28">
      <c r="J28" s="113"/>
    </row>
    <row r="29">
      <c r="J29" s="113"/>
    </row>
    <row r="30">
      <c r="J30" s="113"/>
    </row>
    <row r="31">
      <c r="J31" s="113"/>
    </row>
    <row r="32">
      <c r="J32" s="113"/>
    </row>
    <row r="33">
      <c r="J33" s="113"/>
    </row>
    <row r="34">
      <c r="J34" s="113"/>
    </row>
    <row r="35">
      <c r="J35" s="113"/>
    </row>
    <row r="36">
      <c r="J36" s="113"/>
    </row>
    <row r="37">
      <c r="J37" s="113"/>
    </row>
    <row r="38">
      <c r="J38" s="113"/>
    </row>
    <row r="39">
      <c r="J39" s="113"/>
    </row>
    <row r="40">
      <c r="J40" s="113"/>
    </row>
    <row r="41">
      <c r="J41" s="113"/>
    </row>
    <row r="42">
      <c r="J42" s="113"/>
    </row>
    <row r="43">
      <c r="J43" s="113"/>
    </row>
    <row r="44">
      <c r="J44" s="113"/>
    </row>
    <row r="45">
      <c r="J45" s="113"/>
    </row>
    <row r="46">
      <c r="J46" s="113"/>
    </row>
    <row r="47">
      <c r="J47" s="113"/>
    </row>
    <row r="48">
      <c r="J48" s="113"/>
    </row>
    <row r="49">
      <c r="J49" s="113"/>
    </row>
    <row r="50">
      <c r="J50" s="113"/>
    </row>
    <row r="51">
      <c r="J51" s="113"/>
    </row>
    <row r="52">
      <c r="J52" s="113"/>
    </row>
    <row r="53">
      <c r="J53" s="113"/>
    </row>
    <row r="54">
      <c r="J54" s="113"/>
    </row>
    <row r="55">
      <c r="J55" s="113"/>
    </row>
    <row r="56">
      <c r="J56" s="113"/>
    </row>
    <row r="57">
      <c r="J57" s="113"/>
    </row>
    <row r="58">
      <c r="J58" s="113"/>
    </row>
    <row r="59">
      <c r="J59" s="113"/>
    </row>
    <row r="60">
      <c r="J60" s="113"/>
    </row>
    <row r="61">
      <c r="J61" s="113"/>
    </row>
    <row r="62">
      <c r="J62" s="113"/>
    </row>
    <row r="63">
      <c r="J63" s="113"/>
    </row>
    <row r="64">
      <c r="J64" s="113"/>
    </row>
    <row r="65">
      <c r="J65" s="113"/>
    </row>
    <row r="66">
      <c r="J66" s="113"/>
    </row>
    <row r="67">
      <c r="J67" s="113"/>
    </row>
    <row r="68">
      <c r="J68" s="113"/>
    </row>
    <row r="69">
      <c r="J69" s="113"/>
    </row>
    <row r="70">
      <c r="J70" s="113"/>
    </row>
    <row r="71">
      <c r="J71" s="113"/>
    </row>
    <row r="72">
      <c r="J72" s="113"/>
    </row>
    <row r="73">
      <c r="J73" s="113"/>
    </row>
    <row r="74">
      <c r="J74" s="113"/>
    </row>
    <row r="75">
      <c r="J75" s="113"/>
    </row>
    <row r="76">
      <c r="J76" s="113"/>
    </row>
    <row r="77">
      <c r="J77" s="113"/>
    </row>
    <row r="78">
      <c r="J78" s="113"/>
    </row>
    <row r="79">
      <c r="J79" s="113"/>
    </row>
    <row r="80">
      <c r="J80" s="113"/>
    </row>
    <row r="81">
      <c r="J81" s="113"/>
    </row>
    <row r="82">
      <c r="J82" s="113"/>
    </row>
    <row r="83">
      <c r="J83" s="113"/>
    </row>
    <row r="84">
      <c r="J84" s="113"/>
    </row>
    <row r="85">
      <c r="J85" s="113"/>
    </row>
    <row r="86">
      <c r="J86" s="113"/>
    </row>
    <row r="87">
      <c r="J87" s="113"/>
    </row>
    <row r="88">
      <c r="J88" s="113"/>
    </row>
    <row r="89">
      <c r="J89" s="113"/>
    </row>
    <row r="90">
      <c r="J90" s="113"/>
    </row>
    <row r="91">
      <c r="J91" s="113"/>
    </row>
    <row r="92">
      <c r="J92" s="113"/>
    </row>
    <row r="93">
      <c r="J93" s="113"/>
    </row>
    <row r="94">
      <c r="J94" s="113"/>
    </row>
    <row r="95">
      <c r="J95" s="113"/>
    </row>
    <row r="96">
      <c r="J96" s="113"/>
    </row>
    <row r="97">
      <c r="J97" s="113"/>
    </row>
    <row r="98">
      <c r="J98" s="113"/>
    </row>
    <row r="99">
      <c r="J99" s="113"/>
    </row>
    <row r="100">
      <c r="J100" s="113"/>
    </row>
    <row r="101">
      <c r="J101" s="113"/>
    </row>
    <row r="102">
      <c r="J102" s="113"/>
    </row>
    <row r="103">
      <c r="J103" s="113"/>
    </row>
    <row r="104">
      <c r="J104" s="113"/>
    </row>
    <row r="105">
      <c r="J105" s="113"/>
    </row>
    <row r="106">
      <c r="J106" s="113"/>
    </row>
    <row r="107">
      <c r="J107" s="113"/>
    </row>
    <row r="108">
      <c r="J108" s="113"/>
    </row>
    <row r="109">
      <c r="J109" s="113"/>
    </row>
    <row r="110">
      <c r="J110" s="113"/>
    </row>
    <row r="111">
      <c r="J111" s="113"/>
    </row>
    <row r="112">
      <c r="J112" s="113"/>
    </row>
    <row r="113">
      <c r="J113" s="113"/>
    </row>
    <row r="114">
      <c r="J114" s="113"/>
    </row>
    <row r="115">
      <c r="J115" s="113"/>
    </row>
    <row r="116">
      <c r="J116" s="113"/>
    </row>
    <row r="117">
      <c r="J117" s="113"/>
    </row>
    <row r="118">
      <c r="J118" s="113"/>
    </row>
    <row r="119">
      <c r="J119" s="113"/>
    </row>
    <row r="120">
      <c r="J120" s="113"/>
    </row>
    <row r="121">
      <c r="J121" s="113"/>
    </row>
    <row r="122">
      <c r="J122" s="113"/>
    </row>
    <row r="123">
      <c r="J123" s="113"/>
    </row>
    <row r="124">
      <c r="J124" s="113"/>
    </row>
    <row r="125">
      <c r="J125" s="113"/>
    </row>
    <row r="126">
      <c r="J126" s="113"/>
    </row>
    <row r="127">
      <c r="J127" s="113"/>
    </row>
    <row r="128">
      <c r="J128" s="113"/>
    </row>
    <row r="129">
      <c r="J129" s="113"/>
    </row>
    <row r="130">
      <c r="J130" s="113"/>
    </row>
    <row r="131">
      <c r="J131" s="113"/>
    </row>
    <row r="132">
      <c r="J132" s="113"/>
    </row>
    <row r="133">
      <c r="J133" s="113"/>
    </row>
    <row r="134">
      <c r="J134" s="113"/>
    </row>
    <row r="135">
      <c r="J135" s="113"/>
    </row>
    <row r="136">
      <c r="J136" s="113"/>
    </row>
    <row r="137">
      <c r="J137" s="113"/>
    </row>
    <row r="138">
      <c r="J138" s="113"/>
    </row>
    <row r="139">
      <c r="J139" s="113"/>
    </row>
    <row r="140">
      <c r="J140" s="113"/>
    </row>
    <row r="141">
      <c r="J141" s="113"/>
    </row>
    <row r="142">
      <c r="J142" s="113"/>
    </row>
    <row r="143">
      <c r="J143" s="113"/>
    </row>
    <row r="144">
      <c r="J144" s="113"/>
    </row>
    <row r="145">
      <c r="J145" s="113"/>
    </row>
    <row r="146">
      <c r="J146" s="113"/>
    </row>
    <row r="147">
      <c r="J147" s="113"/>
    </row>
    <row r="148">
      <c r="J148" s="113"/>
    </row>
    <row r="149">
      <c r="J149" s="113"/>
    </row>
    <row r="150">
      <c r="J150" s="113"/>
    </row>
    <row r="151">
      <c r="J151" s="113"/>
    </row>
    <row r="152">
      <c r="J152" s="113"/>
    </row>
    <row r="153">
      <c r="J153" s="113"/>
    </row>
    <row r="154">
      <c r="J154" s="113"/>
    </row>
    <row r="155">
      <c r="J155" s="113"/>
    </row>
    <row r="156">
      <c r="J156" s="113"/>
    </row>
    <row r="157">
      <c r="J157" s="113"/>
    </row>
    <row r="158">
      <c r="J158" s="113"/>
    </row>
    <row r="159">
      <c r="J159" s="113"/>
    </row>
    <row r="160">
      <c r="J160" s="113"/>
    </row>
    <row r="161">
      <c r="J161" s="113"/>
    </row>
    <row r="162">
      <c r="J162" s="113"/>
    </row>
    <row r="163">
      <c r="J163" s="113"/>
    </row>
    <row r="164">
      <c r="J164" s="113"/>
    </row>
    <row r="165">
      <c r="J165" s="113"/>
    </row>
    <row r="166">
      <c r="J166" s="113"/>
    </row>
    <row r="167">
      <c r="J167" s="113"/>
    </row>
    <row r="168">
      <c r="J168" s="113"/>
    </row>
    <row r="169">
      <c r="J169" s="113"/>
    </row>
    <row r="170">
      <c r="J170" s="113"/>
    </row>
    <row r="171">
      <c r="J171" s="113"/>
    </row>
    <row r="172">
      <c r="J172" s="113"/>
    </row>
    <row r="173">
      <c r="J173" s="113"/>
    </row>
    <row r="174">
      <c r="J174" s="113"/>
    </row>
    <row r="175">
      <c r="J175" s="113"/>
    </row>
    <row r="176">
      <c r="J176" s="113"/>
    </row>
    <row r="177">
      <c r="J177" s="113"/>
    </row>
    <row r="178">
      <c r="J178" s="113"/>
    </row>
    <row r="179">
      <c r="J179" s="113"/>
    </row>
    <row r="180">
      <c r="J180" s="113"/>
    </row>
    <row r="181">
      <c r="J181" s="113"/>
    </row>
    <row r="182">
      <c r="J182" s="113"/>
    </row>
    <row r="183">
      <c r="J183" s="113"/>
    </row>
    <row r="184">
      <c r="J184" s="113"/>
    </row>
    <row r="185">
      <c r="J185" s="113"/>
    </row>
    <row r="186">
      <c r="J186" s="113"/>
    </row>
    <row r="187">
      <c r="J187" s="113"/>
    </row>
    <row r="188">
      <c r="J188" s="113"/>
    </row>
    <row r="189">
      <c r="J189" s="113"/>
    </row>
    <row r="190">
      <c r="J190" s="113"/>
    </row>
    <row r="191">
      <c r="J191" s="113"/>
    </row>
    <row r="192">
      <c r="J192" s="113"/>
    </row>
    <row r="193">
      <c r="J193" s="113"/>
    </row>
    <row r="194">
      <c r="J194" s="113"/>
    </row>
    <row r="195">
      <c r="J195" s="113"/>
    </row>
    <row r="196">
      <c r="J196" s="113"/>
    </row>
    <row r="197">
      <c r="J197" s="113"/>
    </row>
    <row r="198">
      <c r="J198" s="113"/>
    </row>
    <row r="199">
      <c r="J199" s="113"/>
    </row>
    <row r="200">
      <c r="J200" s="113"/>
    </row>
    <row r="201">
      <c r="J201" s="113"/>
    </row>
    <row r="202">
      <c r="J202" s="113"/>
    </row>
    <row r="203">
      <c r="J203" s="113"/>
    </row>
    <row r="204">
      <c r="J204" s="113"/>
    </row>
    <row r="205">
      <c r="J205" s="113"/>
    </row>
    <row r="206">
      <c r="J206" s="113"/>
    </row>
    <row r="207">
      <c r="J207" s="113"/>
    </row>
    <row r="208">
      <c r="J208" s="113"/>
    </row>
    <row r="209">
      <c r="J209" s="113"/>
    </row>
    <row r="210">
      <c r="J210" s="113"/>
    </row>
    <row r="211">
      <c r="J211" s="113"/>
    </row>
    <row r="212">
      <c r="J212" s="113"/>
    </row>
    <row r="213">
      <c r="J213" s="113"/>
    </row>
    <row r="214">
      <c r="J214" s="113"/>
    </row>
    <row r="215">
      <c r="J215" s="113"/>
    </row>
    <row r="216">
      <c r="J216" s="113"/>
    </row>
    <row r="217">
      <c r="J217" s="113"/>
    </row>
    <row r="218">
      <c r="J218" s="113"/>
    </row>
    <row r="219">
      <c r="J219" s="113"/>
    </row>
    <row r="220">
      <c r="J220" s="113"/>
    </row>
    <row r="221">
      <c r="J221" s="113"/>
    </row>
    <row r="222">
      <c r="J222" s="113"/>
    </row>
    <row r="223">
      <c r="J223" s="113"/>
    </row>
    <row r="224">
      <c r="J224" s="113"/>
    </row>
    <row r="225">
      <c r="J225" s="113"/>
    </row>
    <row r="226">
      <c r="J226" s="113"/>
    </row>
    <row r="227">
      <c r="J227" s="113"/>
    </row>
    <row r="228">
      <c r="J228" s="113"/>
    </row>
    <row r="229">
      <c r="J229" s="113"/>
    </row>
    <row r="230">
      <c r="J230" s="113"/>
    </row>
    <row r="231">
      <c r="J231" s="113"/>
    </row>
    <row r="232">
      <c r="J232" s="113"/>
    </row>
    <row r="233">
      <c r="J233" s="113"/>
    </row>
    <row r="234">
      <c r="J234" s="113"/>
    </row>
    <row r="235">
      <c r="J235" s="113"/>
    </row>
    <row r="236">
      <c r="J236" s="113"/>
    </row>
    <row r="237">
      <c r="J237" s="113"/>
    </row>
    <row r="238">
      <c r="J238" s="113"/>
    </row>
    <row r="239">
      <c r="J239" s="113"/>
    </row>
    <row r="240">
      <c r="J240" s="113"/>
    </row>
    <row r="241">
      <c r="J241" s="113"/>
    </row>
    <row r="242">
      <c r="J242" s="113"/>
    </row>
    <row r="243">
      <c r="J243" s="113"/>
    </row>
    <row r="244">
      <c r="J244" s="113"/>
    </row>
    <row r="245">
      <c r="J245" s="113"/>
    </row>
    <row r="246">
      <c r="J246" s="113"/>
    </row>
    <row r="247">
      <c r="J247" s="113"/>
    </row>
    <row r="248">
      <c r="J248" s="113"/>
    </row>
    <row r="249">
      <c r="J249" s="113"/>
    </row>
    <row r="250">
      <c r="J250" s="113"/>
    </row>
    <row r="251">
      <c r="J251" s="113"/>
    </row>
    <row r="252">
      <c r="J252" s="113"/>
    </row>
    <row r="253">
      <c r="J253" s="113"/>
    </row>
    <row r="254">
      <c r="J254" s="113"/>
    </row>
    <row r="255">
      <c r="J255" s="113"/>
    </row>
    <row r="256">
      <c r="J256" s="113"/>
    </row>
    <row r="257">
      <c r="J257" s="113"/>
    </row>
    <row r="258">
      <c r="J258" s="113"/>
    </row>
    <row r="259">
      <c r="J259" s="113"/>
    </row>
    <row r="260">
      <c r="J260" s="113"/>
    </row>
    <row r="261">
      <c r="J261" s="113"/>
    </row>
    <row r="262">
      <c r="J262" s="113"/>
    </row>
    <row r="263">
      <c r="J263" s="113"/>
    </row>
    <row r="264">
      <c r="J264" s="113"/>
    </row>
    <row r="265">
      <c r="J265" s="113"/>
    </row>
    <row r="266">
      <c r="J266" s="113"/>
    </row>
    <row r="267">
      <c r="J267" s="113"/>
    </row>
    <row r="268">
      <c r="J268" s="113"/>
    </row>
    <row r="269">
      <c r="J269" s="113"/>
    </row>
    <row r="270">
      <c r="J270" s="113"/>
    </row>
    <row r="271">
      <c r="J271" s="113"/>
    </row>
    <row r="272">
      <c r="J272" s="113"/>
    </row>
    <row r="273">
      <c r="J273" s="113"/>
    </row>
    <row r="274">
      <c r="J274" s="113"/>
    </row>
    <row r="275">
      <c r="J275" s="113"/>
    </row>
    <row r="276">
      <c r="J276" s="113"/>
    </row>
    <row r="277">
      <c r="J277" s="113"/>
    </row>
    <row r="278">
      <c r="J278" s="113"/>
    </row>
    <row r="279">
      <c r="J279" s="113"/>
    </row>
    <row r="280">
      <c r="J280" s="113"/>
    </row>
    <row r="281">
      <c r="J281" s="113"/>
    </row>
    <row r="282">
      <c r="J282" s="113"/>
    </row>
    <row r="283">
      <c r="J283" s="113"/>
    </row>
    <row r="284">
      <c r="J284" s="113"/>
    </row>
    <row r="285">
      <c r="J285" s="113"/>
    </row>
    <row r="286">
      <c r="J286" s="113"/>
    </row>
    <row r="287">
      <c r="J287" s="113"/>
    </row>
    <row r="288">
      <c r="J288" s="113"/>
    </row>
    <row r="289">
      <c r="J289" s="113"/>
    </row>
    <row r="290">
      <c r="J290" s="113"/>
    </row>
    <row r="291">
      <c r="J291" s="113"/>
    </row>
    <row r="292">
      <c r="J292" s="113"/>
    </row>
    <row r="293">
      <c r="J293" s="113"/>
    </row>
    <row r="294">
      <c r="J294" s="113"/>
    </row>
    <row r="295">
      <c r="J295" s="113"/>
    </row>
    <row r="296">
      <c r="J296" s="113"/>
    </row>
    <row r="297">
      <c r="J297" s="113"/>
    </row>
    <row r="298">
      <c r="J298" s="113"/>
    </row>
    <row r="299">
      <c r="J299" s="113"/>
    </row>
    <row r="300">
      <c r="J300" s="113"/>
    </row>
    <row r="301">
      <c r="J301" s="113"/>
    </row>
    <row r="302">
      <c r="J302" s="113"/>
    </row>
    <row r="303">
      <c r="J303" s="113"/>
    </row>
    <row r="304">
      <c r="J304" s="113"/>
    </row>
    <row r="305">
      <c r="J305" s="113"/>
    </row>
    <row r="306">
      <c r="J306" s="113"/>
    </row>
    <row r="307">
      <c r="J307" s="113"/>
    </row>
    <row r="308">
      <c r="J308" s="113"/>
    </row>
    <row r="309">
      <c r="J309" s="113"/>
    </row>
    <row r="310">
      <c r="J310" s="113"/>
    </row>
    <row r="311">
      <c r="J311" s="113"/>
    </row>
    <row r="312">
      <c r="J312" s="113"/>
    </row>
    <row r="313">
      <c r="J313" s="113"/>
    </row>
    <row r="314">
      <c r="J314" s="113"/>
    </row>
    <row r="315">
      <c r="J315" s="113"/>
    </row>
    <row r="316">
      <c r="J316" s="113"/>
    </row>
    <row r="317">
      <c r="J317" s="113"/>
    </row>
    <row r="318">
      <c r="J318" s="113"/>
    </row>
    <row r="319">
      <c r="J319" s="113"/>
    </row>
    <row r="320">
      <c r="J320" s="113"/>
    </row>
    <row r="321">
      <c r="J321" s="113"/>
    </row>
    <row r="322">
      <c r="J322" s="113"/>
    </row>
    <row r="323">
      <c r="J323" s="113"/>
    </row>
    <row r="324">
      <c r="J324" s="113"/>
    </row>
    <row r="325">
      <c r="J325" s="113"/>
    </row>
    <row r="326">
      <c r="J326" s="113"/>
    </row>
    <row r="327">
      <c r="J327" s="113"/>
    </row>
    <row r="328">
      <c r="J328" s="113"/>
    </row>
    <row r="329">
      <c r="J329" s="113"/>
    </row>
    <row r="330">
      <c r="J330" s="113"/>
    </row>
    <row r="331">
      <c r="J331" s="113"/>
    </row>
    <row r="332">
      <c r="J332" s="113"/>
    </row>
    <row r="333">
      <c r="J333" s="113"/>
    </row>
    <row r="334">
      <c r="J334" s="113"/>
    </row>
    <row r="335">
      <c r="J335" s="113"/>
    </row>
    <row r="336">
      <c r="J336" s="113"/>
    </row>
    <row r="337">
      <c r="J337" s="113"/>
    </row>
    <row r="338">
      <c r="J338" s="113"/>
    </row>
    <row r="339">
      <c r="J339" s="113"/>
    </row>
    <row r="340">
      <c r="J340" s="113"/>
    </row>
    <row r="341">
      <c r="J341" s="113"/>
    </row>
    <row r="342">
      <c r="J342" s="113"/>
    </row>
    <row r="343">
      <c r="J343" s="113"/>
    </row>
    <row r="344">
      <c r="J344" s="113"/>
    </row>
    <row r="345">
      <c r="J345" s="113"/>
    </row>
    <row r="346">
      <c r="J346" s="113"/>
    </row>
    <row r="347">
      <c r="J347" s="113"/>
    </row>
    <row r="348">
      <c r="J348" s="113"/>
    </row>
    <row r="349">
      <c r="J349" s="113"/>
    </row>
    <row r="350">
      <c r="J350" s="113"/>
    </row>
    <row r="351">
      <c r="J351" s="113"/>
    </row>
    <row r="352">
      <c r="J352" s="113"/>
    </row>
    <row r="353">
      <c r="J353" s="113"/>
    </row>
    <row r="354">
      <c r="J354" s="113"/>
    </row>
    <row r="355">
      <c r="J355" s="113"/>
    </row>
    <row r="356">
      <c r="J356" s="113"/>
    </row>
    <row r="357">
      <c r="J357" s="113"/>
    </row>
    <row r="358">
      <c r="J358" s="113"/>
    </row>
    <row r="359">
      <c r="J359" s="113"/>
    </row>
    <row r="360">
      <c r="J360" s="113"/>
    </row>
    <row r="361">
      <c r="J361" s="113"/>
    </row>
    <row r="362">
      <c r="J362" s="113"/>
    </row>
    <row r="363">
      <c r="J363" s="113"/>
    </row>
    <row r="364">
      <c r="J364" s="113"/>
    </row>
    <row r="365">
      <c r="J365" s="113"/>
    </row>
    <row r="366">
      <c r="J366" s="113"/>
    </row>
    <row r="367">
      <c r="J367" s="113"/>
    </row>
    <row r="368">
      <c r="J368" s="113"/>
    </row>
    <row r="369">
      <c r="J369" s="113"/>
    </row>
    <row r="370">
      <c r="J370" s="113"/>
    </row>
    <row r="371">
      <c r="J371" s="113"/>
    </row>
    <row r="372">
      <c r="J372" s="113"/>
    </row>
    <row r="373">
      <c r="J373" s="113"/>
    </row>
    <row r="374">
      <c r="J374" s="113"/>
    </row>
    <row r="375">
      <c r="J375" s="113"/>
    </row>
    <row r="376">
      <c r="J376" s="113"/>
    </row>
    <row r="377">
      <c r="J377" s="113"/>
    </row>
    <row r="378">
      <c r="J378" s="113"/>
    </row>
    <row r="379">
      <c r="J379" s="113"/>
    </row>
    <row r="380">
      <c r="J380" s="113"/>
    </row>
    <row r="381">
      <c r="J381" s="113"/>
    </row>
    <row r="382">
      <c r="J382" s="113"/>
    </row>
    <row r="383">
      <c r="J383" s="113"/>
    </row>
    <row r="384">
      <c r="J384" s="113"/>
    </row>
    <row r="385">
      <c r="J385" s="113"/>
    </row>
    <row r="386">
      <c r="J386" s="113"/>
    </row>
    <row r="387">
      <c r="J387" s="113"/>
    </row>
    <row r="388">
      <c r="J388" s="113"/>
    </row>
    <row r="389">
      <c r="J389" s="113"/>
    </row>
    <row r="390">
      <c r="J390" s="113"/>
    </row>
    <row r="391">
      <c r="J391" s="113"/>
    </row>
    <row r="392">
      <c r="J392" s="113"/>
    </row>
    <row r="393">
      <c r="J393" s="113"/>
    </row>
    <row r="394">
      <c r="J394" s="113"/>
    </row>
    <row r="395">
      <c r="J395" s="113"/>
    </row>
    <row r="396">
      <c r="J396" s="113"/>
    </row>
    <row r="397">
      <c r="J397" s="113"/>
    </row>
    <row r="398">
      <c r="J398" s="113"/>
    </row>
    <row r="399">
      <c r="J399" s="113"/>
    </row>
    <row r="400">
      <c r="J400" s="113"/>
    </row>
    <row r="401">
      <c r="J401" s="113"/>
    </row>
    <row r="402">
      <c r="J402" s="113"/>
    </row>
    <row r="403">
      <c r="J403" s="113"/>
    </row>
    <row r="404">
      <c r="J404" s="113"/>
    </row>
    <row r="405">
      <c r="J405" s="113"/>
    </row>
    <row r="406">
      <c r="J406" s="113"/>
    </row>
    <row r="407">
      <c r="J407" s="113"/>
    </row>
    <row r="408">
      <c r="J408" s="113"/>
    </row>
    <row r="409">
      <c r="J409" s="113"/>
    </row>
    <row r="410">
      <c r="J410" s="113"/>
    </row>
    <row r="411">
      <c r="J411" s="113"/>
    </row>
    <row r="412">
      <c r="J412" s="113"/>
    </row>
    <row r="413">
      <c r="J413" s="113"/>
    </row>
    <row r="414">
      <c r="J414" s="113"/>
    </row>
    <row r="415">
      <c r="J415" s="113"/>
    </row>
    <row r="416">
      <c r="J416" s="113"/>
    </row>
    <row r="417">
      <c r="J417" s="113"/>
    </row>
    <row r="418">
      <c r="J418" s="113"/>
    </row>
    <row r="419">
      <c r="J419" s="113"/>
    </row>
    <row r="420">
      <c r="J420" s="113"/>
    </row>
    <row r="421">
      <c r="J421" s="113"/>
    </row>
    <row r="422">
      <c r="J422" s="113"/>
    </row>
    <row r="423">
      <c r="J423" s="113"/>
    </row>
    <row r="424">
      <c r="J424" s="113"/>
    </row>
    <row r="425">
      <c r="J425" s="113"/>
    </row>
    <row r="426">
      <c r="J426" s="113"/>
    </row>
    <row r="427">
      <c r="J427" s="113"/>
    </row>
    <row r="428">
      <c r="J428" s="113"/>
    </row>
    <row r="429">
      <c r="J429" s="113"/>
    </row>
    <row r="430">
      <c r="J430" s="113"/>
    </row>
    <row r="431">
      <c r="J431" s="113"/>
    </row>
    <row r="432">
      <c r="J432" s="113"/>
    </row>
    <row r="433">
      <c r="J433" s="113"/>
    </row>
    <row r="434">
      <c r="J434" s="113"/>
    </row>
    <row r="435">
      <c r="J435" s="113"/>
    </row>
    <row r="436">
      <c r="J436" s="113"/>
    </row>
    <row r="437">
      <c r="J437" s="113"/>
    </row>
    <row r="438">
      <c r="J438" s="113"/>
    </row>
    <row r="439">
      <c r="J439" s="113"/>
    </row>
    <row r="440">
      <c r="J440" s="113"/>
    </row>
    <row r="441">
      <c r="J441" s="113"/>
    </row>
    <row r="442">
      <c r="J442" s="113"/>
    </row>
    <row r="443">
      <c r="J443" s="113"/>
    </row>
    <row r="444">
      <c r="J444" s="113"/>
    </row>
    <row r="445">
      <c r="J445" s="113"/>
    </row>
    <row r="446">
      <c r="J446" s="113"/>
    </row>
    <row r="447">
      <c r="J447" s="113"/>
    </row>
    <row r="448">
      <c r="J448" s="113"/>
    </row>
    <row r="449">
      <c r="J449" s="113"/>
    </row>
    <row r="450">
      <c r="J450" s="113"/>
    </row>
    <row r="451">
      <c r="J451" s="113"/>
    </row>
    <row r="452">
      <c r="J452" s="113"/>
    </row>
    <row r="453">
      <c r="J453" s="113"/>
    </row>
    <row r="454">
      <c r="J454" s="113"/>
    </row>
    <row r="455">
      <c r="J455" s="113"/>
    </row>
    <row r="456">
      <c r="J456" s="113"/>
    </row>
    <row r="457">
      <c r="J457" s="113"/>
    </row>
    <row r="458">
      <c r="J458" s="113"/>
    </row>
    <row r="459">
      <c r="J459" s="113"/>
    </row>
    <row r="460">
      <c r="J460" s="113"/>
    </row>
    <row r="461">
      <c r="J461" s="113"/>
    </row>
    <row r="462">
      <c r="J462" s="113"/>
    </row>
    <row r="463">
      <c r="J463" s="113"/>
    </row>
    <row r="464">
      <c r="J464" s="113"/>
    </row>
    <row r="465">
      <c r="J465" s="113"/>
    </row>
    <row r="466">
      <c r="J466" s="113"/>
    </row>
    <row r="467">
      <c r="J467" s="113"/>
    </row>
    <row r="468">
      <c r="J468" s="113"/>
    </row>
    <row r="469">
      <c r="J469" s="113"/>
    </row>
    <row r="470">
      <c r="J470" s="113"/>
    </row>
    <row r="471">
      <c r="J471" s="113"/>
    </row>
    <row r="472">
      <c r="J472" s="113"/>
    </row>
    <row r="473">
      <c r="J473" s="113"/>
    </row>
    <row r="474">
      <c r="J474" s="113"/>
    </row>
    <row r="475">
      <c r="J475" s="113"/>
    </row>
    <row r="476">
      <c r="J476" s="113"/>
    </row>
    <row r="477">
      <c r="J477" s="113"/>
    </row>
    <row r="478">
      <c r="J478" s="113"/>
    </row>
    <row r="479">
      <c r="J479" s="113"/>
    </row>
    <row r="480">
      <c r="J480" s="113"/>
    </row>
    <row r="481">
      <c r="J481" s="113"/>
    </row>
    <row r="482">
      <c r="J482" s="113"/>
    </row>
    <row r="483">
      <c r="J483" s="113"/>
    </row>
    <row r="484">
      <c r="J484" s="113"/>
    </row>
    <row r="485">
      <c r="J485" s="113"/>
    </row>
    <row r="486">
      <c r="J486" s="113"/>
    </row>
    <row r="487">
      <c r="J487" s="113"/>
    </row>
    <row r="488">
      <c r="J488" s="113"/>
    </row>
    <row r="489">
      <c r="J489" s="113"/>
    </row>
    <row r="490">
      <c r="J490" s="113"/>
    </row>
    <row r="491">
      <c r="J491" s="113"/>
    </row>
    <row r="492">
      <c r="J492" s="113"/>
    </row>
    <row r="493">
      <c r="J493" s="113"/>
    </row>
    <row r="494">
      <c r="J494" s="113"/>
    </row>
    <row r="495">
      <c r="J495" s="113"/>
    </row>
    <row r="496">
      <c r="J496" s="113"/>
    </row>
    <row r="497">
      <c r="J497" s="113"/>
    </row>
    <row r="498">
      <c r="J498" s="113"/>
    </row>
    <row r="499">
      <c r="J499" s="113"/>
    </row>
    <row r="500">
      <c r="J500" s="113"/>
    </row>
    <row r="501">
      <c r="J501" s="113"/>
    </row>
    <row r="502">
      <c r="J502" s="113"/>
    </row>
    <row r="503">
      <c r="J503" s="113"/>
    </row>
    <row r="504">
      <c r="J504" s="113"/>
    </row>
    <row r="505">
      <c r="J505" s="113"/>
    </row>
    <row r="506">
      <c r="J506" s="113"/>
    </row>
    <row r="507">
      <c r="J507" s="113"/>
    </row>
    <row r="508">
      <c r="J508" s="113"/>
    </row>
    <row r="509">
      <c r="J509" s="113"/>
    </row>
    <row r="510">
      <c r="J510" s="113"/>
    </row>
    <row r="511">
      <c r="J511" s="113"/>
    </row>
    <row r="512">
      <c r="J512" s="113"/>
    </row>
    <row r="513">
      <c r="J513" s="113"/>
    </row>
    <row r="514">
      <c r="J514" s="113"/>
    </row>
    <row r="515">
      <c r="J515" s="113"/>
    </row>
    <row r="516">
      <c r="J516" s="113"/>
    </row>
    <row r="517">
      <c r="J517" s="113"/>
    </row>
    <row r="518">
      <c r="J518" s="113"/>
    </row>
    <row r="519">
      <c r="J519" s="113"/>
    </row>
    <row r="520">
      <c r="J520" s="113"/>
    </row>
    <row r="521">
      <c r="J521" s="113"/>
    </row>
    <row r="522">
      <c r="J522" s="113"/>
    </row>
    <row r="523">
      <c r="J523" s="113"/>
    </row>
    <row r="524">
      <c r="J524" s="113"/>
    </row>
    <row r="525">
      <c r="J525" s="113"/>
    </row>
    <row r="526">
      <c r="J526" s="113"/>
    </row>
    <row r="527">
      <c r="J527" s="113"/>
    </row>
    <row r="528">
      <c r="J528" s="113"/>
    </row>
    <row r="529">
      <c r="J529" s="113"/>
    </row>
    <row r="530">
      <c r="J530" s="113"/>
    </row>
    <row r="531">
      <c r="J531" s="113"/>
    </row>
    <row r="532">
      <c r="J532" s="113"/>
    </row>
    <row r="533">
      <c r="J533" s="113"/>
    </row>
    <row r="534">
      <c r="J534" s="113"/>
    </row>
    <row r="535">
      <c r="J535" s="113"/>
    </row>
    <row r="536">
      <c r="J536" s="113"/>
    </row>
    <row r="537">
      <c r="J537" s="113"/>
    </row>
    <row r="538">
      <c r="J538" s="113"/>
    </row>
    <row r="539">
      <c r="J539" s="113"/>
    </row>
    <row r="540">
      <c r="J540" s="113"/>
    </row>
    <row r="541">
      <c r="J541" s="113"/>
    </row>
    <row r="542">
      <c r="J542" s="113"/>
    </row>
    <row r="543">
      <c r="J543" s="113"/>
    </row>
    <row r="544">
      <c r="J544" s="113"/>
    </row>
    <row r="545">
      <c r="J545" s="113"/>
    </row>
    <row r="546">
      <c r="J546" s="113"/>
    </row>
    <row r="547">
      <c r="J547" s="113"/>
    </row>
    <row r="548">
      <c r="J548" s="113"/>
    </row>
    <row r="549">
      <c r="J549" s="113"/>
    </row>
    <row r="550">
      <c r="J550" s="113"/>
    </row>
    <row r="551">
      <c r="J551" s="113"/>
    </row>
    <row r="552">
      <c r="J552" s="113"/>
    </row>
    <row r="553">
      <c r="J553" s="113"/>
    </row>
    <row r="554">
      <c r="J554" s="113"/>
    </row>
    <row r="555">
      <c r="J555" s="113"/>
    </row>
    <row r="556">
      <c r="J556" s="113"/>
    </row>
    <row r="557">
      <c r="J557" s="113"/>
    </row>
    <row r="558">
      <c r="J558" s="113"/>
    </row>
    <row r="559">
      <c r="J559" s="113"/>
    </row>
    <row r="560">
      <c r="J560" s="113"/>
    </row>
    <row r="561">
      <c r="J561" s="113"/>
    </row>
    <row r="562">
      <c r="J562" s="113"/>
    </row>
    <row r="563">
      <c r="J563" s="113"/>
    </row>
    <row r="564">
      <c r="J564" s="113"/>
    </row>
    <row r="565">
      <c r="J565" s="113"/>
    </row>
    <row r="566">
      <c r="J566" s="113"/>
    </row>
    <row r="567">
      <c r="J567" s="113"/>
    </row>
    <row r="568">
      <c r="J568" s="113"/>
    </row>
    <row r="569">
      <c r="J569" s="113"/>
    </row>
    <row r="570">
      <c r="J570" s="113"/>
    </row>
    <row r="571">
      <c r="J571" s="113"/>
    </row>
    <row r="572">
      <c r="J572" s="113"/>
    </row>
    <row r="573">
      <c r="J573" s="113"/>
    </row>
    <row r="574">
      <c r="J574" s="113"/>
    </row>
    <row r="575">
      <c r="J575" s="113"/>
    </row>
    <row r="576">
      <c r="J576" s="113"/>
    </row>
    <row r="577">
      <c r="J577" s="113"/>
    </row>
    <row r="578">
      <c r="J578" s="113"/>
    </row>
    <row r="579">
      <c r="J579" s="113"/>
    </row>
    <row r="580">
      <c r="J580" s="113"/>
    </row>
    <row r="581">
      <c r="J581" s="113"/>
    </row>
    <row r="582">
      <c r="J582" s="113"/>
    </row>
    <row r="583">
      <c r="J583" s="113"/>
    </row>
    <row r="584">
      <c r="J584" s="113"/>
    </row>
    <row r="585">
      <c r="J585" s="113"/>
    </row>
    <row r="586">
      <c r="J586" s="113"/>
    </row>
    <row r="587">
      <c r="J587" s="113"/>
    </row>
    <row r="588">
      <c r="J588" s="113"/>
    </row>
    <row r="589">
      <c r="J589" s="113"/>
    </row>
    <row r="590">
      <c r="J590" s="113"/>
    </row>
    <row r="591">
      <c r="J591" s="113"/>
    </row>
    <row r="592">
      <c r="J592" s="113"/>
    </row>
    <row r="593">
      <c r="J593" s="113"/>
    </row>
    <row r="594">
      <c r="J594" s="113"/>
    </row>
    <row r="595">
      <c r="J595" s="113"/>
    </row>
    <row r="596">
      <c r="J596" s="113"/>
    </row>
    <row r="597">
      <c r="J597" s="113"/>
    </row>
    <row r="598">
      <c r="J598" s="113"/>
    </row>
    <row r="599">
      <c r="J599" s="113"/>
    </row>
    <row r="600">
      <c r="J600" s="113"/>
    </row>
    <row r="601">
      <c r="J601" s="113"/>
    </row>
    <row r="602">
      <c r="J602" s="113"/>
    </row>
    <row r="603">
      <c r="J603" s="113"/>
    </row>
    <row r="604">
      <c r="J604" s="113"/>
    </row>
    <row r="605">
      <c r="J605" s="113"/>
    </row>
    <row r="606">
      <c r="J606" s="113"/>
    </row>
    <row r="607">
      <c r="J607" s="113"/>
    </row>
    <row r="608">
      <c r="J608" s="113"/>
    </row>
    <row r="609">
      <c r="J609" s="113"/>
    </row>
    <row r="610">
      <c r="J610" s="113"/>
    </row>
    <row r="611">
      <c r="J611" s="113"/>
    </row>
    <row r="612">
      <c r="J612" s="113"/>
    </row>
    <row r="613">
      <c r="J613" s="113"/>
    </row>
    <row r="614">
      <c r="J614" s="113"/>
    </row>
    <row r="615">
      <c r="J615" s="113"/>
    </row>
    <row r="616">
      <c r="J616" s="113"/>
    </row>
    <row r="617">
      <c r="J617" s="113"/>
    </row>
    <row r="618">
      <c r="J618" s="113"/>
    </row>
    <row r="619">
      <c r="J619" s="113"/>
    </row>
    <row r="620">
      <c r="J620" s="113"/>
    </row>
    <row r="621">
      <c r="J621" s="113"/>
    </row>
    <row r="622">
      <c r="J622" s="113"/>
    </row>
    <row r="623">
      <c r="J623" s="113"/>
    </row>
    <row r="624">
      <c r="J624" s="113"/>
    </row>
    <row r="625">
      <c r="J625" s="113"/>
    </row>
    <row r="626">
      <c r="J626" s="113"/>
    </row>
    <row r="627">
      <c r="J627" s="113"/>
    </row>
    <row r="628">
      <c r="J628" s="113"/>
    </row>
    <row r="629">
      <c r="J629" s="113"/>
    </row>
    <row r="630">
      <c r="J630" s="113"/>
    </row>
    <row r="631">
      <c r="J631" s="113"/>
    </row>
    <row r="632">
      <c r="J632" s="113"/>
    </row>
    <row r="633">
      <c r="J633" s="113"/>
    </row>
    <row r="634">
      <c r="J634" s="113"/>
    </row>
    <row r="635">
      <c r="J635" s="113"/>
    </row>
    <row r="636">
      <c r="J636" s="113"/>
    </row>
    <row r="637">
      <c r="J637" s="113"/>
    </row>
    <row r="638">
      <c r="J638" s="113"/>
    </row>
    <row r="639">
      <c r="J639" s="113"/>
    </row>
    <row r="640">
      <c r="J640" s="113"/>
    </row>
    <row r="641">
      <c r="J641" s="113"/>
    </row>
    <row r="642">
      <c r="J642" s="113"/>
    </row>
    <row r="643">
      <c r="J643" s="113"/>
    </row>
    <row r="644">
      <c r="J644" s="113"/>
    </row>
    <row r="645">
      <c r="J645" s="113"/>
    </row>
    <row r="646">
      <c r="J646" s="113"/>
    </row>
    <row r="647">
      <c r="J647" s="113"/>
    </row>
    <row r="648">
      <c r="J648" s="113"/>
    </row>
    <row r="649">
      <c r="J649" s="113"/>
    </row>
    <row r="650">
      <c r="J650" s="113"/>
    </row>
    <row r="651">
      <c r="J651" s="113"/>
    </row>
    <row r="652">
      <c r="J652" s="113"/>
    </row>
    <row r="653">
      <c r="J653" s="113"/>
    </row>
    <row r="654">
      <c r="J654" s="113"/>
    </row>
    <row r="655">
      <c r="J655" s="113"/>
    </row>
    <row r="656">
      <c r="J656" s="113"/>
    </row>
    <row r="657">
      <c r="J657" s="113"/>
    </row>
    <row r="658">
      <c r="J658" s="113"/>
    </row>
    <row r="659">
      <c r="J659" s="113"/>
    </row>
    <row r="660">
      <c r="J660" s="113"/>
    </row>
    <row r="661">
      <c r="J661" s="113"/>
    </row>
    <row r="662">
      <c r="J662" s="113"/>
    </row>
    <row r="663">
      <c r="J663" s="113"/>
    </row>
    <row r="664">
      <c r="J664" s="113"/>
    </row>
    <row r="665">
      <c r="J665" s="113"/>
    </row>
    <row r="666">
      <c r="J666" s="113"/>
    </row>
    <row r="667">
      <c r="J667" s="113"/>
    </row>
    <row r="668">
      <c r="J668" s="113"/>
    </row>
    <row r="669">
      <c r="J669" s="113"/>
    </row>
    <row r="670">
      <c r="J670" s="113"/>
    </row>
    <row r="671">
      <c r="J671" s="113"/>
    </row>
    <row r="672">
      <c r="J672" s="113"/>
    </row>
    <row r="673">
      <c r="J673" s="113"/>
    </row>
    <row r="674">
      <c r="J674" s="113"/>
    </row>
    <row r="675">
      <c r="J675" s="113"/>
    </row>
    <row r="676">
      <c r="J676" s="113"/>
    </row>
    <row r="677">
      <c r="J677" s="113"/>
    </row>
    <row r="678">
      <c r="J678" s="113"/>
    </row>
    <row r="679">
      <c r="J679" s="113"/>
    </row>
    <row r="680">
      <c r="J680" s="113"/>
    </row>
    <row r="681">
      <c r="J681" s="113"/>
    </row>
    <row r="682">
      <c r="J682" s="113"/>
    </row>
    <row r="683">
      <c r="J683" s="113"/>
    </row>
    <row r="684">
      <c r="J684" s="113"/>
    </row>
    <row r="685">
      <c r="J685" s="113"/>
    </row>
    <row r="686">
      <c r="J686" s="113"/>
    </row>
    <row r="687">
      <c r="J687" s="113"/>
    </row>
    <row r="688">
      <c r="J688" s="113"/>
    </row>
    <row r="689">
      <c r="J689" s="113"/>
    </row>
    <row r="690">
      <c r="J690" s="113"/>
    </row>
    <row r="691">
      <c r="J691" s="113"/>
    </row>
    <row r="692">
      <c r="J692" s="113"/>
    </row>
    <row r="693">
      <c r="J693" s="113"/>
    </row>
    <row r="694">
      <c r="J694" s="113"/>
    </row>
    <row r="695">
      <c r="J695" s="113"/>
    </row>
    <row r="696">
      <c r="J696" s="113"/>
    </row>
    <row r="697">
      <c r="J697" s="113"/>
    </row>
    <row r="698">
      <c r="J698" s="113"/>
    </row>
    <row r="699">
      <c r="J699" s="113"/>
    </row>
    <row r="700">
      <c r="J700" s="113"/>
    </row>
    <row r="701">
      <c r="J701" s="113"/>
    </row>
    <row r="702">
      <c r="J702" s="113"/>
    </row>
    <row r="703">
      <c r="J703" s="113"/>
    </row>
    <row r="704">
      <c r="J704" s="113"/>
    </row>
    <row r="705">
      <c r="J705" s="113"/>
    </row>
    <row r="706">
      <c r="J706" s="113"/>
    </row>
    <row r="707">
      <c r="J707" s="113"/>
    </row>
    <row r="708">
      <c r="J708" s="113"/>
    </row>
    <row r="709">
      <c r="J709" s="113"/>
    </row>
    <row r="710">
      <c r="J710" s="113"/>
    </row>
    <row r="711">
      <c r="J711" s="113"/>
    </row>
    <row r="712">
      <c r="J712" s="113"/>
    </row>
    <row r="713">
      <c r="J713" s="113"/>
    </row>
    <row r="714">
      <c r="J714" s="113"/>
    </row>
    <row r="715">
      <c r="J715" s="113"/>
    </row>
    <row r="716">
      <c r="J716" s="113"/>
    </row>
    <row r="717">
      <c r="J717" s="113"/>
    </row>
    <row r="718">
      <c r="J718" s="113"/>
    </row>
    <row r="719">
      <c r="J719" s="113"/>
    </row>
    <row r="720">
      <c r="J720" s="113"/>
    </row>
    <row r="721">
      <c r="J721" s="113"/>
    </row>
    <row r="722">
      <c r="J722" s="113"/>
    </row>
    <row r="723">
      <c r="J723" s="113"/>
    </row>
    <row r="724">
      <c r="J724" s="113"/>
    </row>
    <row r="725">
      <c r="J725" s="113"/>
    </row>
    <row r="726">
      <c r="J726" s="113"/>
    </row>
    <row r="727">
      <c r="J727" s="113"/>
    </row>
    <row r="728">
      <c r="J728" s="113"/>
    </row>
    <row r="729">
      <c r="J729" s="113"/>
    </row>
    <row r="730">
      <c r="J730" s="113"/>
    </row>
    <row r="731">
      <c r="J731" s="113"/>
    </row>
    <row r="732">
      <c r="J732" s="113"/>
    </row>
    <row r="733">
      <c r="J733" s="113"/>
    </row>
    <row r="734">
      <c r="J734" s="113"/>
    </row>
    <row r="735">
      <c r="J735" s="113"/>
    </row>
    <row r="736">
      <c r="J736" s="113"/>
    </row>
    <row r="737">
      <c r="J737" s="113"/>
    </row>
    <row r="738">
      <c r="J738" s="113"/>
    </row>
    <row r="739">
      <c r="J739" s="113"/>
    </row>
    <row r="740">
      <c r="J740" s="113"/>
    </row>
    <row r="741">
      <c r="J741" s="113"/>
    </row>
    <row r="742">
      <c r="J742" s="113"/>
    </row>
    <row r="743">
      <c r="J743" s="113"/>
    </row>
    <row r="744">
      <c r="J744" s="113"/>
    </row>
    <row r="745">
      <c r="J745" s="113"/>
    </row>
    <row r="746">
      <c r="J746" s="113"/>
    </row>
    <row r="747">
      <c r="J747" s="113"/>
    </row>
    <row r="748">
      <c r="J748" s="113"/>
    </row>
    <row r="749">
      <c r="J749" s="113"/>
    </row>
    <row r="750">
      <c r="J750" s="113"/>
    </row>
    <row r="751">
      <c r="J751" s="113"/>
    </row>
    <row r="752">
      <c r="J752" s="113"/>
    </row>
    <row r="753">
      <c r="J753" s="113"/>
    </row>
    <row r="754">
      <c r="J754" s="113"/>
    </row>
    <row r="755">
      <c r="J755" s="113"/>
    </row>
    <row r="756">
      <c r="J756" s="113"/>
    </row>
    <row r="757">
      <c r="J757" s="113"/>
    </row>
    <row r="758">
      <c r="J758" s="113"/>
    </row>
    <row r="759">
      <c r="J759" s="113"/>
    </row>
    <row r="760">
      <c r="J760" s="113"/>
    </row>
    <row r="761">
      <c r="J761" s="113"/>
    </row>
    <row r="762">
      <c r="J762" s="113"/>
    </row>
    <row r="763">
      <c r="J763" s="113"/>
    </row>
    <row r="764">
      <c r="J764" s="113"/>
    </row>
    <row r="765">
      <c r="J765" s="113"/>
    </row>
    <row r="766">
      <c r="J766" s="113"/>
    </row>
    <row r="767">
      <c r="J767" s="113"/>
    </row>
    <row r="768">
      <c r="J768" s="113"/>
    </row>
    <row r="769">
      <c r="J769" s="113"/>
    </row>
    <row r="770">
      <c r="J770" s="113"/>
    </row>
    <row r="771">
      <c r="J771" s="113"/>
    </row>
    <row r="772">
      <c r="J772" s="113"/>
    </row>
    <row r="773">
      <c r="J773" s="113"/>
    </row>
    <row r="774">
      <c r="J774" s="113"/>
    </row>
    <row r="775">
      <c r="J775" s="113"/>
    </row>
    <row r="776">
      <c r="J776" s="113"/>
    </row>
    <row r="777">
      <c r="J777" s="113"/>
    </row>
    <row r="778">
      <c r="J778" s="113"/>
    </row>
    <row r="779">
      <c r="J779" s="113"/>
    </row>
    <row r="780">
      <c r="J780" s="113"/>
    </row>
    <row r="781">
      <c r="J781" s="113"/>
    </row>
    <row r="782">
      <c r="J782" s="113"/>
    </row>
    <row r="783">
      <c r="J783" s="113"/>
    </row>
    <row r="784">
      <c r="J784" s="113"/>
    </row>
    <row r="785">
      <c r="J785" s="113"/>
    </row>
    <row r="786">
      <c r="J786" s="113"/>
    </row>
    <row r="787">
      <c r="J787" s="113"/>
    </row>
    <row r="788">
      <c r="J788" s="113"/>
    </row>
    <row r="789">
      <c r="J789" s="113"/>
    </row>
    <row r="790">
      <c r="J790" s="113"/>
    </row>
    <row r="791">
      <c r="J791" s="113"/>
    </row>
    <row r="792">
      <c r="J792" s="113"/>
    </row>
    <row r="793">
      <c r="J793" s="113"/>
    </row>
    <row r="794">
      <c r="J794" s="113"/>
    </row>
    <row r="795">
      <c r="J795" s="113"/>
    </row>
    <row r="796">
      <c r="J796" s="113"/>
    </row>
    <row r="797">
      <c r="J797" s="113"/>
    </row>
    <row r="798">
      <c r="J798" s="113"/>
    </row>
    <row r="799">
      <c r="J799" s="113"/>
    </row>
    <row r="800">
      <c r="J800" s="113"/>
    </row>
    <row r="801">
      <c r="J801" s="113"/>
    </row>
    <row r="802">
      <c r="J802" s="113"/>
    </row>
    <row r="803">
      <c r="J803" s="113"/>
    </row>
    <row r="804">
      <c r="J804" s="113"/>
    </row>
    <row r="805">
      <c r="J805" s="113"/>
    </row>
    <row r="806">
      <c r="J806" s="113"/>
    </row>
    <row r="807">
      <c r="J807" s="113"/>
    </row>
    <row r="808">
      <c r="J808" s="113"/>
    </row>
    <row r="809">
      <c r="J809" s="113"/>
    </row>
    <row r="810">
      <c r="J810" s="113"/>
    </row>
    <row r="811">
      <c r="J811" s="113"/>
    </row>
    <row r="812">
      <c r="J812" s="113"/>
    </row>
    <row r="813">
      <c r="J813" s="113"/>
    </row>
    <row r="814">
      <c r="J814" s="113"/>
    </row>
    <row r="815">
      <c r="J815" s="113"/>
    </row>
    <row r="816">
      <c r="J816" s="113"/>
    </row>
    <row r="817">
      <c r="J817" s="113"/>
    </row>
    <row r="818">
      <c r="J818" s="113"/>
    </row>
    <row r="819">
      <c r="J819" s="113"/>
    </row>
    <row r="820">
      <c r="J820" s="113"/>
    </row>
    <row r="821">
      <c r="J821" s="113"/>
    </row>
    <row r="822">
      <c r="J822" s="113"/>
    </row>
    <row r="823">
      <c r="J823" s="113"/>
    </row>
    <row r="824">
      <c r="J824" s="113"/>
    </row>
    <row r="825">
      <c r="J825" s="113"/>
    </row>
    <row r="826">
      <c r="J826" s="113"/>
    </row>
    <row r="827">
      <c r="J827" s="113"/>
    </row>
    <row r="828">
      <c r="J828" s="113"/>
    </row>
    <row r="829">
      <c r="J829" s="113"/>
    </row>
    <row r="830">
      <c r="J830" s="113"/>
    </row>
    <row r="831">
      <c r="J831" s="113"/>
    </row>
    <row r="832">
      <c r="J832" s="113"/>
    </row>
    <row r="833">
      <c r="J833" s="113"/>
    </row>
    <row r="834">
      <c r="J834" s="113"/>
    </row>
    <row r="835">
      <c r="J835" s="113"/>
    </row>
    <row r="836">
      <c r="J836" s="113"/>
    </row>
    <row r="837">
      <c r="J837" s="113"/>
    </row>
    <row r="838">
      <c r="J838" s="113"/>
    </row>
    <row r="839">
      <c r="J839" s="113"/>
    </row>
    <row r="840">
      <c r="J840" s="113"/>
    </row>
    <row r="841">
      <c r="J841" s="113"/>
    </row>
    <row r="842">
      <c r="J842" s="113"/>
    </row>
    <row r="843">
      <c r="J843" s="113"/>
    </row>
    <row r="844">
      <c r="J844" s="113"/>
    </row>
    <row r="845">
      <c r="J845" s="113"/>
    </row>
    <row r="846">
      <c r="J846" s="113"/>
    </row>
    <row r="847">
      <c r="J847" s="113"/>
    </row>
    <row r="848">
      <c r="J848" s="113"/>
    </row>
    <row r="849">
      <c r="J849" s="113"/>
    </row>
    <row r="850">
      <c r="J850" s="113"/>
    </row>
    <row r="851">
      <c r="J851" s="113"/>
    </row>
    <row r="852">
      <c r="J852" s="113"/>
    </row>
    <row r="853">
      <c r="J853" s="113"/>
    </row>
    <row r="854">
      <c r="J854" s="113"/>
    </row>
    <row r="855">
      <c r="J855" s="113"/>
    </row>
    <row r="856">
      <c r="J856" s="113"/>
    </row>
    <row r="857">
      <c r="J857" s="113"/>
    </row>
    <row r="858">
      <c r="J858" s="113"/>
    </row>
    <row r="859">
      <c r="J859" s="113"/>
    </row>
    <row r="860">
      <c r="J860" s="113"/>
    </row>
    <row r="861">
      <c r="J861" s="113"/>
    </row>
    <row r="862">
      <c r="J862" s="113"/>
    </row>
    <row r="863">
      <c r="J863" s="113"/>
    </row>
    <row r="864">
      <c r="J864" s="113"/>
    </row>
    <row r="865">
      <c r="J865" s="113"/>
    </row>
    <row r="866">
      <c r="J866" s="113"/>
    </row>
    <row r="867">
      <c r="J867" s="113"/>
    </row>
    <row r="868">
      <c r="J868" s="113"/>
    </row>
    <row r="869">
      <c r="J869" s="113"/>
    </row>
    <row r="870">
      <c r="J870" s="113"/>
    </row>
    <row r="871">
      <c r="J871" s="113"/>
    </row>
    <row r="872">
      <c r="J872" s="113"/>
    </row>
    <row r="873">
      <c r="J873" s="113"/>
    </row>
    <row r="874">
      <c r="J874" s="113"/>
    </row>
    <row r="875">
      <c r="J875" s="113"/>
    </row>
    <row r="876">
      <c r="J876" s="113"/>
    </row>
    <row r="877">
      <c r="J877" s="113"/>
    </row>
    <row r="878">
      <c r="J878" s="113"/>
    </row>
    <row r="879">
      <c r="J879" s="113"/>
    </row>
    <row r="880">
      <c r="J880" s="113"/>
    </row>
    <row r="881">
      <c r="J881" s="113"/>
    </row>
    <row r="882">
      <c r="J882" s="113"/>
    </row>
    <row r="883">
      <c r="J883" s="113"/>
    </row>
    <row r="884">
      <c r="J884" s="113"/>
    </row>
    <row r="885">
      <c r="J885" s="113"/>
    </row>
    <row r="886">
      <c r="J886" s="113"/>
    </row>
    <row r="887">
      <c r="J887" s="113"/>
    </row>
    <row r="888">
      <c r="J888" s="113"/>
    </row>
    <row r="889">
      <c r="J889" s="113"/>
    </row>
    <row r="890">
      <c r="J890" s="113"/>
    </row>
    <row r="891">
      <c r="J891" s="113"/>
    </row>
    <row r="892">
      <c r="J892" s="113"/>
    </row>
    <row r="893">
      <c r="J893" s="113"/>
    </row>
    <row r="894">
      <c r="J894" s="113"/>
    </row>
    <row r="895">
      <c r="J895" s="113"/>
    </row>
    <row r="896">
      <c r="J896" s="113"/>
    </row>
    <row r="897">
      <c r="J897" s="113"/>
    </row>
    <row r="898">
      <c r="J898" s="113"/>
    </row>
    <row r="899">
      <c r="J899" s="113"/>
    </row>
    <row r="900">
      <c r="J900" s="113"/>
    </row>
    <row r="901">
      <c r="J901" s="113"/>
    </row>
    <row r="902">
      <c r="J902" s="113"/>
    </row>
    <row r="903">
      <c r="J903" s="113"/>
    </row>
    <row r="904">
      <c r="J904" s="113"/>
    </row>
    <row r="905">
      <c r="J905" s="113"/>
    </row>
    <row r="906">
      <c r="J906" s="113"/>
    </row>
    <row r="907">
      <c r="J907" s="113"/>
    </row>
    <row r="908">
      <c r="J908" s="113"/>
    </row>
    <row r="909">
      <c r="J909" s="113"/>
    </row>
    <row r="910">
      <c r="J910" s="113"/>
    </row>
    <row r="911">
      <c r="J911" s="113"/>
    </row>
    <row r="912">
      <c r="J912" s="113"/>
    </row>
    <row r="913">
      <c r="J913" s="113"/>
    </row>
    <row r="914">
      <c r="J914" s="113"/>
    </row>
    <row r="915">
      <c r="J915" s="113"/>
    </row>
    <row r="916">
      <c r="J916" s="113"/>
    </row>
    <row r="917">
      <c r="J917" s="113"/>
    </row>
    <row r="918">
      <c r="J918" s="113"/>
    </row>
    <row r="919">
      <c r="J919" s="113"/>
    </row>
    <row r="920">
      <c r="J920" s="113"/>
    </row>
    <row r="921">
      <c r="J921" s="113"/>
    </row>
    <row r="922">
      <c r="J922" s="113"/>
    </row>
    <row r="923">
      <c r="J923" s="113"/>
    </row>
    <row r="924">
      <c r="J924" s="113"/>
    </row>
    <row r="925">
      <c r="J925" s="113"/>
    </row>
    <row r="926">
      <c r="J926" s="113"/>
    </row>
    <row r="927">
      <c r="J927" s="113"/>
    </row>
    <row r="928">
      <c r="J928" s="113"/>
    </row>
    <row r="929">
      <c r="J929" s="113"/>
    </row>
    <row r="930">
      <c r="J930" s="113"/>
    </row>
    <row r="931">
      <c r="J931" s="113"/>
    </row>
    <row r="932">
      <c r="J932" s="113"/>
    </row>
    <row r="933">
      <c r="J933" s="113"/>
    </row>
    <row r="934">
      <c r="J934" s="113"/>
    </row>
    <row r="935">
      <c r="J935" s="113"/>
    </row>
    <row r="936">
      <c r="J936" s="113"/>
    </row>
    <row r="937">
      <c r="J937" s="113"/>
    </row>
    <row r="938">
      <c r="J938" s="113"/>
    </row>
    <row r="939">
      <c r="J939" s="113"/>
    </row>
    <row r="940">
      <c r="J940" s="113"/>
    </row>
    <row r="941">
      <c r="J941" s="113"/>
    </row>
    <row r="942">
      <c r="J942" s="113"/>
    </row>
    <row r="943">
      <c r="J943" s="113"/>
    </row>
    <row r="944">
      <c r="J944" s="113"/>
    </row>
    <row r="945">
      <c r="J945" s="113"/>
    </row>
    <row r="946">
      <c r="J946" s="113"/>
    </row>
    <row r="947">
      <c r="J947" s="113"/>
    </row>
    <row r="948">
      <c r="J948" s="113"/>
    </row>
    <row r="949">
      <c r="J949" s="113"/>
    </row>
    <row r="950">
      <c r="J950" s="113"/>
    </row>
    <row r="951">
      <c r="J951" s="113"/>
    </row>
    <row r="952">
      <c r="J952" s="113"/>
    </row>
    <row r="953">
      <c r="J953" s="113"/>
    </row>
    <row r="954">
      <c r="J954" s="113"/>
    </row>
    <row r="955">
      <c r="J955" s="113"/>
    </row>
    <row r="956">
      <c r="J956" s="113"/>
    </row>
    <row r="957">
      <c r="J957" s="113"/>
    </row>
    <row r="958">
      <c r="J958" s="113"/>
    </row>
    <row r="959">
      <c r="J959" s="113"/>
    </row>
    <row r="960">
      <c r="J960" s="113"/>
    </row>
    <row r="961">
      <c r="J961" s="113"/>
    </row>
    <row r="962">
      <c r="J962" s="113"/>
    </row>
    <row r="963">
      <c r="J963" s="113"/>
    </row>
    <row r="964">
      <c r="J964" s="113"/>
    </row>
    <row r="965">
      <c r="J965" s="113"/>
    </row>
    <row r="966">
      <c r="J966" s="113"/>
    </row>
    <row r="967">
      <c r="J967" s="113"/>
    </row>
    <row r="968">
      <c r="J968" s="113"/>
    </row>
    <row r="969">
      <c r="J969" s="113"/>
    </row>
    <row r="970">
      <c r="J970" s="113"/>
    </row>
    <row r="971">
      <c r="J971" s="113"/>
    </row>
    <row r="972">
      <c r="J972" s="113"/>
    </row>
    <row r="973">
      <c r="J973" s="113"/>
    </row>
    <row r="974">
      <c r="J974" s="113"/>
    </row>
    <row r="975">
      <c r="J975" s="113"/>
    </row>
    <row r="976">
      <c r="J976" s="113"/>
    </row>
    <row r="977">
      <c r="J977" s="113"/>
    </row>
    <row r="978">
      <c r="J978" s="113"/>
    </row>
    <row r="979">
      <c r="J979" s="113"/>
    </row>
    <row r="980">
      <c r="J980" s="113"/>
    </row>
    <row r="981">
      <c r="J981" s="113"/>
    </row>
    <row r="982">
      <c r="J982" s="113"/>
    </row>
    <row r="983">
      <c r="J983" s="113"/>
    </row>
    <row r="984">
      <c r="J984" s="113"/>
    </row>
    <row r="985">
      <c r="J985" s="113"/>
    </row>
    <row r="986">
      <c r="J986" s="113"/>
    </row>
    <row r="987">
      <c r="J987" s="113"/>
    </row>
    <row r="988">
      <c r="J988" s="113"/>
    </row>
    <row r="989">
      <c r="J989" s="113"/>
    </row>
    <row r="990">
      <c r="J990" s="113"/>
    </row>
    <row r="991">
      <c r="J991" s="113"/>
    </row>
    <row r="992">
      <c r="J992" s="113"/>
    </row>
    <row r="993">
      <c r="J993" s="113"/>
    </row>
    <row r="994">
      <c r="J994" s="113"/>
    </row>
    <row r="995">
      <c r="J995" s="113"/>
    </row>
    <row r="996">
      <c r="J996" s="113"/>
    </row>
    <row r="997">
      <c r="J997" s="113"/>
    </row>
    <row r="998">
      <c r="J998" s="113"/>
    </row>
    <row r="999">
      <c r="J999" s="113"/>
    </row>
    <row r="1000">
      <c r="J1000" s="113"/>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3.0"/>
    <col customWidth="1" min="3" max="3" width="34.63"/>
    <col customWidth="1" min="4" max="4" width="16.0"/>
    <col customWidth="1" min="5" max="5" width="5.75"/>
  </cols>
  <sheetData>
    <row r="1">
      <c r="A1" s="127" t="s">
        <v>14211</v>
      </c>
      <c r="B1" s="97" t="s">
        <v>15225</v>
      </c>
      <c r="C1" s="97" t="s">
        <v>14048</v>
      </c>
      <c r="D1" s="97" t="s">
        <v>15226</v>
      </c>
      <c r="E1" s="98" t="s">
        <v>0</v>
      </c>
    </row>
    <row r="2">
      <c r="A2" s="6" t="s">
        <v>911</v>
      </c>
      <c r="B2" s="93" t="str">
        <f>IF(COUNTIF(MAIN!B:B, A2)=0, "Missing", "")</f>
        <v/>
      </c>
      <c r="E2" s="128" t="str">
        <f t="shared" ref="E2:E3201" si="1">IF(B2="Missing", HYPERLINK("https://utrucking.myshopify.com/admin/orders?query="&amp;RIGHT(A2,LEN(A2)-1)), "")</f>
        <v/>
      </c>
      <c r="F2" s="129" t="s">
        <v>15227</v>
      </c>
      <c r="G2" s="130" t="str">
        <f t="array" ref="G2">XLOOKUP("*",MAIN!B:B,MAIN!B:B,"",2,-1)</f>
        <v>#18401</v>
      </c>
    </row>
    <row r="3">
      <c r="A3" s="93" t="str">
        <f t="shared" ref="A3:A3201" si="2">IF(VALUE(RIGHT(A2,LEN(A2)-1))+1&lt;=20000,"#"&amp;VALUE(RIGHT(A2,LEN(A2)-1))+1,"")</f>
        <v>#15200</v>
      </c>
      <c r="B3" s="93" t="str">
        <f>IF(COUNTIF(MAIN!B:B, A3)=0, "Missing", "")</f>
        <v/>
      </c>
      <c r="E3" s="128" t="str">
        <f t="shared" si="1"/>
        <v/>
      </c>
    </row>
    <row r="4">
      <c r="A4" s="93" t="str">
        <f t="shared" si="2"/>
        <v>#15201</v>
      </c>
      <c r="B4" s="93" t="str">
        <f>IF(COUNTIF(MAIN!B:B, A4)=0, "Missing", "")</f>
        <v/>
      </c>
      <c r="E4" s="128" t="str">
        <f t="shared" si="1"/>
        <v/>
      </c>
    </row>
    <row r="5">
      <c r="A5" s="93" t="str">
        <f t="shared" si="2"/>
        <v>#15202</v>
      </c>
      <c r="B5" s="93" t="str">
        <f>IF(COUNTIF(MAIN!B:B, A5)=0, "Missing", "")</f>
        <v>Missing</v>
      </c>
      <c r="C5" s="84" t="s">
        <v>15228</v>
      </c>
      <c r="E5" s="131" t="str">
        <f t="shared" si="1"/>
        <v>https://utrucking.myshopify.com/admin/orders?query=15202</v>
      </c>
    </row>
    <row r="6">
      <c r="A6" s="93" t="str">
        <f t="shared" si="2"/>
        <v>#15203</v>
      </c>
      <c r="B6" s="93" t="str">
        <f>IF(COUNTIF(MAIN!B:B, A6)=0, "Missing", "")</f>
        <v/>
      </c>
      <c r="E6" s="128" t="str">
        <f t="shared" si="1"/>
        <v/>
      </c>
    </row>
    <row r="7">
      <c r="A7" s="93" t="str">
        <f t="shared" si="2"/>
        <v>#15204</v>
      </c>
      <c r="B7" s="93" t="str">
        <f>IF(COUNTIF(MAIN!B:B, A7)=0, "Missing", "")</f>
        <v>Missing</v>
      </c>
      <c r="C7" s="84" t="s">
        <v>15229</v>
      </c>
      <c r="E7" s="131" t="str">
        <f t="shared" si="1"/>
        <v>https://utrucking.myshopify.com/admin/orders?query=15204</v>
      </c>
    </row>
    <row r="8">
      <c r="A8" s="93" t="str">
        <f t="shared" si="2"/>
        <v>#15205</v>
      </c>
      <c r="B8" s="93" t="str">
        <f>IF(COUNTIF(MAIN!B:B, A8)=0, "Missing", "")</f>
        <v/>
      </c>
      <c r="E8" s="128" t="str">
        <f t="shared" si="1"/>
        <v/>
      </c>
    </row>
    <row r="9">
      <c r="A9" s="93" t="str">
        <f t="shared" si="2"/>
        <v>#15206</v>
      </c>
      <c r="B9" s="93" t="str">
        <f>IF(COUNTIF(MAIN!B:B, A9)=0, "Missing", "")</f>
        <v/>
      </c>
      <c r="E9" s="128" t="str">
        <f t="shared" si="1"/>
        <v/>
      </c>
    </row>
    <row r="10">
      <c r="A10" s="93" t="str">
        <f t="shared" si="2"/>
        <v>#15207</v>
      </c>
      <c r="B10" s="93" t="str">
        <f>IF(COUNTIF(MAIN!B:B, A10)=0, "Missing", "")</f>
        <v/>
      </c>
      <c r="E10" s="128" t="str">
        <f t="shared" si="1"/>
        <v/>
      </c>
    </row>
    <row r="11">
      <c r="A11" s="93" t="str">
        <f t="shared" si="2"/>
        <v>#15208</v>
      </c>
      <c r="B11" s="93" t="str">
        <f>IF(COUNTIF(MAIN!B:B, A11)=0, "Missing", "")</f>
        <v>Missing</v>
      </c>
      <c r="C11" s="84" t="s">
        <v>15229</v>
      </c>
      <c r="E11" s="131" t="str">
        <f t="shared" si="1"/>
        <v>https://utrucking.myshopify.com/admin/orders?query=15208</v>
      </c>
    </row>
    <row r="12">
      <c r="A12" s="93" t="str">
        <f t="shared" si="2"/>
        <v>#15209</v>
      </c>
      <c r="B12" s="93" t="str">
        <f>IF(COUNTIF(MAIN!B:B, A12)=0, "Missing", "")</f>
        <v/>
      </c>
      <c r="E12" s="128" t="str">
        <f t="shared" si="1"/>
        <v/>
      </c>
    </row>
    <row r="13">
      <c r="A13" s="93" t="str">
        <f t="shared" si="2"/>
        <v>#15210</v>
      </c>
      <c r="B13" s="93" t="str">
        <f>IF(COUNTIF(MAIN!B:B, A13)=0, "Missing", "")</f>
        <v/>
      </c>
      <c r="E13" s="128" t="str">
        <f t="shared" si="1"/>
        <v/>
      </c>
    </row>
    <row r="14">
      <c r="A14" s="93" t="str">
        <f t="shared" si="2"/>
        <v>#15211</v>
      </c>
      <c r="B14" s="93" t="str">
        <f>IF(COUNTIF(MAIN!B:B, A14)=0, "Missing", "")</f>
        <v>Missing</v>
      </c>
      <c r="C14" s="84" t="s">
        <v>15230</v>
      </c>
      <c r="E14" s="131" t="str">
        <f t="shared" si="1"/>
        <v>https://utrucking.myshopify.com/admin/orders?query=15211</v>
      </c>
    </row>
    <row r="15">
      <c r="A15" s="93" t="str">
        <f t="shared" si="2"/>
        <v>#15212</v>
      </c>
      <c r="B15" s="93" t="str">
        <f>IF(COUNTIF(MAIN!B:B, A15)=0, "Missing", "")</f>
        <v/>
      </c>
      <c r="E15" s="128" t="str">
        <f t="shared" si="1"/>
        <v/>
      </c>
    </row>
    <row r="16">
      <c r="A16" s="93" t="str">
        <f t="shared" si="2"/>
        <v>#15213</v>
      </c>
      <c r="B16" s="93" t="str">
        <f>IF(COUNTIF(MAIN!B:B, A16)=0, "Missing", "")</f>
        <v/>
      </c>
      <c r="E16" s="128" t="str">
        <f t="shared" si="1"/>
        <v/>
      </c>
    </row>
    <row r="17">
      <c r="A17" s="93" t="str">
        <f t="shared" si="2"/>
        <v>#15214</v>
      </c>
      <c r="B17" s="93" t="str">
        <f>IF(COUNTIF(MAIN!B:B, A17)=0, "Missing", "")</f>
        <v/>
      </c>
      <c r="E17" s="128" t="str">
        <f t="shared" si="1"/>
        <v/>
      </c>
    </row>
    <row r="18">
      <c r="A18" s="93" t="str">
        <f t="shared" si="2"/>
        <v>#15215</v>
      </c>
      <c r="B18" s="93" t="str">
        <f>IF(COUNTIF(MAIN!B:B, A18)=0, "Missing", "")</f>
        <v/>
      </c>
      <c r="E18" s="128" t="str">
        <f t="shared" si="1"/>
        <v/>
      </c>
    </row>
    <row r="19">
      <c r="A19" s="93" t="str">
        <f t="shared" si="2"/>
        <v>#15216</v>
      </c>
      <c r="B19" s="93" t="str">
        <f>IF(COUNTIF(MAIN!B:B, A19)=0, "Missing", "")</f>
        <v/>
      </c>
      <c r="E19" s="128" t="str">
        <f t="shared" si="1"/>
        <v/>
      </c>
    </row>
    <row r="20">
      <c r="A20" s="93" t="str">
        <f t="shared" si="2"/>
        <v>#15217</v>
      </c>
      <c r="B20" s="93" t="str">
        <f>IF(COUNTIF(MAIN!B:B, A20)=0, "Missing", "")</f>
        <v/>
      </c>
      <c r="E20" s="128" t="str">
        <f t="shared" si="1"/>
        <v/>
      </c>
    </row>
    <row r="21">
      <c r="A21" s="93" t="str">
        <f t="shared" si="2"/>
        <v>#15218</v>
      </c>
      <c r="B21" s="93" t="str">
        <f>IF(COUNTIF(MAIN!B:B, A21)=0, "Missing", "")</f>
        <v/>
      </c>
      <c r="E21" s="128" t="str">
        <f t="shared" si="1"/>
        <v/>
      </c>
    </row>
    <row r="22">
      <c r="A22" s="93" t="str">
        <f t="shared" si="2"/>
        <v>#15219</v>
      </c>
      <c r="B22" s="93" t="str">
        <f>IF(COUNTIF(MAIN!B:B, A22)=0, "Missing", "")</f>
        <v/>
      </c>
      <c r="E22" s="128" t="str">
        <f t="shared" si="1"/>
        <v/>
      </c>
    </row>
    <row r="23">
      <c r="A23" s="93" t="str">
        <f t="shared" si="2"/>
        <v>#15220</v>
      </c>
      <c r="B23" s="93" t="str">
        <f>IF(COUNTIF(MAIN!B:B, A23)=0, "Missing", "")</f>
        <v/>
      </c>
      <c r="E23" s="128" t="str">
        <f t="shared" si="1"/>
        <v/>
      </c>
    </row>
    <row r="24">
      <c r="A24" s="93" t="str">
        <f t="shared" si="2"/>
        <v>#15221</v>
      </c>
      <c r="B24" s="93" t="str">
        <f>IF(COUNTIF(MAIN!B:B, A24)=0, "Missing", "")</f>
        <v/>
      </c>
      <c r="E24" s="128" t="str">
        <f t="shared" si="1"/>
        <v/>
      </c>
    </row>
    <row r="25">
      <c r="A25" s="93" t="str">
        <f t="shared" si="2"/>
        <v>#15222</v>
      </c>
      <c r="B25" s="93" t="str">
        <f>IF(COUNTIF(MAIN!B:B, A25)=0, "Missing", "")</f>
        <v/>
      </c>
      <c r="E25" s="128" t="str">
        <f t="shared" si="1"/>
        <v/>
      </c>
    </row>
    <row r="26">
      <c r="A26" s="93" t="str">
        <f t="shared" si="2"/>
        <v>#15223</v>
      </c>
      <c r="B26" s="93" t="str">
        <f>IF(COUNTIF(MAIN!B:B, A26)=0, "Missing", "")</f>
        <v/>
      </c>
      <c r="E26" s="128" t="str">
        <f t="shared" si="1"/>
        <v/>
      </c>
    </row>
    <row r="27">
      <c r="A27" s="93" t="str">
        <f t="shared" si="2"/>
        <v>#15224</v>
      </c>
      <c r="B27" s="93" t="str">
        <f>IF(COUNTIF(MAIN!B:B, A27)=0, "Missing", "")</f>
        <v/>
      </c>
      <c r="E27" s="128" t="str">
        <f t="shared" si="1"/>
        <v/>
      </c>
    </row>
    <row r="28">
      <c r="A28" s="93" t="str">
        <f t="shared" si="2"/>
        <v>#15225</v>
      </c>
      <c r="B28" s="93" t="str">
        <f>IF(COUNTIF(MAIN!B:B, A28)=0, "Missing", "")</f>
        <v/>
      </c>
      <c r="E28" s="128" t="str">
        <f t="shared" si="1"/>
        <v/>
      </c>
    </row>
    <row r="29">
      <c r="A29" s="93" t="str">
        <f t="shared" si="2"/>
        <v>#15226</v>
      </c>
      <c r="B29" s="93" t="str">
        <f>IF(COUNTIF(MAIN!B:B, A29)=0, "Missing", "")</f>
        <v/>
      </c>
      <c r="E29" s="128" t="str">
        <f t="shared" si="1"/>
        <v/>
      </c>
    </row>
    <row r="30">
      <c r="A30" s="93" t="str">
        <f t="shared" si="2"/>
        <v>#15227</v>
      </c>
      <c r="B30" s="93" t="str">
        <f>IF(COUNTIF(MAIN!B:B, A30)=0, "Missing", "")</f>
        <v/>
      </c>
      <c r="E30" s="128" t="str">
        <f t="shared" si="1"/>
        <v/>
      </c>
    </row>
    <row r="31">
      <c r="A31" s="93" t="str">
        <f t="shared" si="2"/>
        <v>#15228</v>
      </c>
      <c r="B31" s="93" t="str">
        <f>IF(COUNTIF(MAIN!B:B, A31)=0, "Missing", "")</f>
        <v/>
      </c>
      <c r="E31" s="128" t="str">
        <f t="shared" si="1"/>
        <v/>
      </c>
    </row>
    <row r="32">
      <c r="A32" s="93" t="str">
        <f t="shared" si="2"/>
        <v>#15229</v>
      </c>
      <c r="B32" s="93" t="str">
        <f>IF(COUNTIF(MAIN!B:B, A32)=0, "Missing", "")</f>
        <v/>
      </c>
      <c r="E32" s="128" t="str">
        <f t="shared" si="1"/>
        <v/>
      </c>
    </row>
    <row r="33">
      <c r="A33" s="93" t="str">
        <f t="shared" si="2"/>
        <v>#15230</v>
      </c>
      <c r="B33" s="93" t="str">
        <f>IF(COUNTIF(MAIN!B:B, A33)=0, "Missing", "")</f>
        <v/>
      </c>
      <c r="E33" s="128" t="str">
        <f t="shared" si="1"/>
        <v/>
      </c>
    </row>
    <row r="34">
      <c r="A34" s="93" t="str">
        <f t="shared" si="2"/>
        <v>#15231</v>
      </c>
      <c r="B34" s="93" t="str">
        <f>IF(COUNTIF(MAIN!B:B, A34)=0, "Missing", "")</f>
        <v>Missing</v>
      </c>
      <c r="C34" s="84" t="s">
        <v>15229</v>
      </c>
      <c r="E34" s="131" t="str">
        <f t="shared" si="1"/>
        <v>https://utrucking.myshopify.com/admin/orders?query=15231</v>
      </c>
    </row>
    <row r="35">
      <c r="A35" s="93" t="str">
        <f t="shared" si="2"/>
        <v>#15232</v>
      </c>
      <c r="B35" s="93" t="str">
        <f>IF(COUNTIF(MAIN!B:B, A35)=0, "Missing", "")</f>
        <v/>
      </c>
      <c r="E35" s="128" t="str">
        <f t="shared" si="1"/>
        <v/>
      </c>
    </row>
    <row r="36">
      <c r="A36" s="93" t="str">
        <f t="shared" si="2"/>
        <v>#15233</v>
      </c>
      <c r="B36" s="93" t="str">
        <f>IF(COUNTIF(MAIN!B:B, A36)=0, "Missing", "")</f>
        <v/>
      </c>
      <c r="E36" s="128" t="str">
        <f t="shared" si="1"/>
        <v/>
      </c>
    </row>
    <row r="37">
      <c r="A37" s="93" t="str">
        <f t="shared" si="2"/>
        <v>#15234</v>
      </c>
      <c r="B37" s="93" t="str">
        <f>IF(COUNTIF(MAIN!B:B, A37)=0, "Missing", "")</f>
        <v>Missing</v>
      </c>
      <c r="C37" s="84" t="s">
        <v>15229</v>
      </c>
      <c r="E37" s="131" t="str">
        <f t="shared" si="1"/>
        <v>https://utrucking.myshopify.com/admin/orders?query=15234</v>
      </c>
    </row>
    <row r="38">
      <c r="A38" s="93" t="str">
        <f t="shared" si="2"/>
        <v>#15235</v>
      </c>
      <c r="B38" s="93" t="str">
        <f>IF(COUNTIF(MAIN!B:B, A38)=0, "Missing", "")</f>
        <v>Missing</v>
      </c>
      <c r="C38" s="84" t="s">
        <v>15229</v>
      </c>
      <c r="E38" s="131" t="str">
        <f t="shared" si="1"/>
        <v>https://utrucking.myshopify.com/admin/orders?query=15235</v>
      </c>
    </row>
    <row r="39">
      <c r="A39" s="93" t="str">
        <f t="shared" si="2"/>
        <v>#15236</v>
      </c>
      <c r="B39" s="93" t="str">
        <f>IF(COUNTIF(MAIN!B:B, A39)=0, "Missing", "")</f>
        <v/>
      </c>
      <c r="E39" s="128" t="str">
        <f t="shared" si="1"/>
        <v/>
      </c>
    </row>
    <row r="40">
      <c r="A40" s="93" t="str">
        <f t="shared" si="2"/>
        <v>#15237</v>
      </c>
      <c r="B40" s="93" t="str">
        <f>IF(COUNTIF(MAIN!B:B, A40)=0, "Missing", "")</f>
        <v/>
      </c>
      <c r="E40" s="128" t="str">
        <f t="shared" si="1"/>
        <v/>
      </c>
    </row>
    <row r="41">
      <c r="A41" s="93" t="str">
        <f t="shared" si="2"/>
        <v>#15238</v>
      </c>
      <c r="B41" s="93" t="str">
        <f>IF(COUNTIF(MAIN!B:B, A41)=0, "Missing", "")</f>
        <v>Missing</v>
      </c>
      <c r="C41" s="84" t="s">
        <v>15229</v>
      </c>
      <c r="E41" s="131" t="str">
        <f t="shared" si="1"/>
        <v>https://utrucking.myshopify.com/admin/orders?query=15238</v>
      </c>
    </row>
    <row r="42">
      <c r="A42" s="93" t="str">
        <f t="shared" si="2"/>
        <v>#15239</v>
      </c>
      <c r="B42" s="93" t="str">
        <f>IF(COUNTIF(MAIN!B:B, A42)=0, "Missing", "")</f>
        <v/>
      </c>
      <c r="E42" s="128" t="str">
        <f t="shared" si="1"/>
        <v/>
      </c>
    </row>
    <row r="43">
      <c r="A43" s="93" t="str">
        <f t="shared" si="2"/>
        <v>#15240</v>
      </c>
      <c r="B43" s="93" t="str">
        <f>IF(COUNTIF(MAIN!B:B, A43)=0, "Missing", "")</f>
        <v/>
      </c>
      <c r="E43" s="128" t="str">
        <f t="shared" si="1"/>
        <v/>
      </c>
    </row>
    <row r="44">
      <c r="A44" s="93" t="str">
        <f t="shared" si="2"/>
        <v>#15241</v>
      </c>
      <c r="B44" s="93" t="str">
        <f>IF(COUNTIF(MAIN!B:B, A44)=0, "Missing", "")</f>
        <v/>
      </c>
      <c r="E44" s="128" t="str">
        <f t="shared" si="1"/>
        <v/>
      </c>
    </row>
    <row r="45">
      <c r="A45" s="93" t="str">
        <f t="shared" si="2"/>
        <v>#15242</v>
      </c>
      <c r="B45" s="93" t="str">
        <f>IF(COUNTIF(MAIN!B:B, A45)=0, "Missing", "")</f>
        <v/>
      </c>
      <c r="E45" s="128" t="str">
        <f t="shared" si="1"/>
        <v/>
      </c>
    </row>
    <row r="46">
      <c r="A46" s="93" t="str">
        <f t="shared" si="2"/>
        <v>#15243</v>
      </c>
      <c r="B46" s="93" t="str">
        <f>IF(COUNTIF(MAIN!B:B, A46)=0, "Missing", "")</f>
        <v/>
      </c>
      <c r="E46" s="128" t="str">
        <f t="shared" si="1"/>
        <v/>
      </c>
    </row>
    <row r="47">
      <c r="A47" s="93" t="str">
        <f t="shared" si="2"/>
        <v>#15244</v>
      </c>
      <c r="B47" s="93" t="str">
        <f>IF(COUNTIF(MAIN!B:B, A47)=0, "Missing", "")</f>
        <v/>
      </c>
      <c r="E47" s="128" t="str">
        <f t="shared" si="1"/>
        <v/>
      </c>
    </row>
    <row r="48">
      <c r="A48" s="93" t="str">
        <f t="shared" si="2"/>
        <v>#15245</v>
      </c>
      <c r="B48" s="93" t="str">
        <f>IF(COUNTIF(MAIN!B:B, A48)=0, "Missing", "")</f>
        <v/>
      </c>
      <c r="E48" s="128" t="str">
        <f t="shared" si="1"/>
        <v/>
      </c>
    </row>
    <row r="49">
      <c r="A49" s="93" t="str">
        <f t="shared" si="2"/>
        <v>#15246</v>
      </c>
      <c r="B49" s="93" t="str">
        <f>IF(COUNTIF(MAIN!B:B, A49)=0, "Missing", "")</f>
        <v/>
      </c>
      <c r="E49" s="128" t="str">
        <f t="shared" si="1"/>
        <v/>
      </c>
    </row>
    <row r="50">
      <c r="A50" s="93" t="str">
        <f t="shared" si="2"/>
        <v>#15247</v>
      </c>
      <c r="B50" s="93" t="str">
        <f>IF(COUNTIF(MAIN!B:B, A50)=0, "Missing", "")</f>
        <v/>
      </c>
      <c r="E50" s="128" t="str">
        <f t="shared" si="1"/>
        <v/>
      </c>
    </row>
    <row r="51">
      <c r="A51" s="93" t="str">
        <f t="shared" si="2"/>
        <v>#15248</v>
      </c>
      <c r="B51" s="93" t="str">
        <f>IF(COUNTIF(MAIN!B:B, A51)=0, "Missing", "")</f>
        <v/>
      </c>
      <c r="E51" s="128" t="str">
        <f t="shared" si="1"/>
        <v/>
      </c>
    </row>
    <row r="52">
      <c r="A52" s="93" t="str">
        <f t="shared" si="2"/>
        <v>#15249</v>
      </c>
      <c r="B52" s="93" t="str">
        <f>IF(COUNTIF(MAIN!B:B, A52)=0, "Missing", "")</f>
        <v>Missing</v>
      </c>
      <c r="C52" s="84" t="s">
        <v>15229</v>
      </c>
      <c r="E52" s="131" t="str">
        <f t="shared" si="1"/>
        <v>https://utrucking.myshopify.com/admin/orders?query=15249</v>
      </c>
    </row>
    <row r="53">
      <c r="A53" s="93" t="str">
        <f t="shared" si="2"/>
        <v>#15250</v>
      </c>
      <c r="B53" s="93" t="str">
        <f>IF(COUNTIF(MAIN!B:B, A53)=0, "Missing", "")</f>
        <v/>
      </c>
      <c r="E53" s="128" t="str">
        <f t="shared" si="1"/>
        <v/>
      </c>
    </row>
    <row r="54">
      <c r="A54" s="93" t="str">
        <f t="shared" si="2"/>
        <v>#15251</v>
      </c>
      <c r="B54" s="93" t="str">
        <f>IF(COUNTIF(MAIN!B:B, A54)=0, "Missing", "")</f>
        <v/>
      </c>
      <c r="E54" s="128" t="str">
        <f t="shared" si="1"/>
        <v/>
      </c>
    </row>
    <row r="55">
      <c r="A55" s="93" t="str">
        <f t="shared" si="2"/>
        <v>#15252</v>
      </c>
      <c r="B55" s="93" t="str">
        <f>IF(COUNTIF(MAIN!B:B, A55)=0, "Missing", "")</f>
        <v/>
      </c>
      <c r="E55" s="128" t="str">
        <f t="shared" si="1"/>
        <v/>
      </c>
    </row>
    <row r="56">
      <c r="A56" s="93" t="str">
        <f t="shared" si="2"/>
        <v>#15253</v>
      </c>
      <c r="B56" s="93" t="str">
        <f>IF(COUNTIF(MAIN!B:B, A56)=0, "Missing", "")</f>
        <v/>
      </c>
      <c r="E56" s="128" t="str">
        <f t="shared" si="1"/>
        <v/>
      </c>
    </row>
    <row r="57">
      <c r="A57" s="93" t="str">
        <f t="shared" si="2"/>
        <v>#15254</v>
      </c>
      <c r="B57" s="93" t="str">
        <f>IF(COUNTIF(MAIN!B:B, A57)=0, "Missing", "")</f>
        <v/>
      </c>
      <c r="E57" s="128" t="str">
        <f t="shared" si="1"/>
        <v/>
      </c>
    </row>
    <row r="58">
      <c r="A58" s="93" t="str">
        <f t="shared" si="2"/>
        <v>#15255</v>
      </c>
      <c r="B58" s="93" t="str">
        <f>IF(COUNTIF(MAIN!B:B, A58)=0, "Missing", "")</f>
        <v/>
      </c>
      <c r="E58" s="128" t="str">
        <f t="shared" si="1"/>
        <v/>
      </c>
    </row>
    <row r="59">
      <c r="A59" s="93" t="str">
        <f t="shared" si="2"/>
        <v>#15256</v>
      </c>
      <c r="B59" s="93" t="str">
        <f>IF(COUNTIF(MAIN!B:B, A59)=0, "Missing", "")</f>
        <v/>
      </c>
      <c r="E59" s="128" t="str">
        <f t="shared" si="1"/>
        <v/>
      </c>
    </row>
    <row r="60">
      <c r="A60" s="93" t="str">
        <f t="shared" si="2"/>
        <v>#15257</v>
      </c>
      <c r="B60" s="93" t="str">
        <f>IF(COUNTIF(MAIN!B:B, A60)=0, "Missing", "")</f>
        <v/>
      </c>
      <c r="E60" s="128" t="str">
        <f t="shared" si="1"/>
        <v/>
      </c>
    </row>
    <row r="61">
      <c r="A61" s="93" t="str">
        <f t="shared" si="2"/>
        <v>#15258</v>
      </c>
      <c r="B61" s="93" t="str">
        <f>IF(COUNTIF(MAIN!B:B, A61)=0, "Missing", "")</f>
        <v>Missing</v>
      </c>
      <c r="C61" s="84" t="s">
        <v>15229</v>
      </c>
      <c r="E61" s="131" t="str">
        <f t="shared" si="1"/>
        <v>https://utrucking.myshopify.com/admin/orders?query=15258</v>
      </c>
    </row>
    <row r="62">
      <c r="A62" s="93" t="str">
        <f t="shared" si="2"/>
        <v>#15259</v>
      </c>
      <c r="B62" s="93" t="str">
        <f>IF(COUNTIF(MAIN!B:B, A62)=0, "Missing", "")</f>
        <v/>
      </c>
      <c r="E62" s="128" t="str">
        <f t="shared" si="1"/>
        <v/>
      </c>
    </row>
    <row r="63">
      <c r="A63" s="93" t="str">
        <f t="shared" si="2"/>
        <v>#15260</v>
      </c>
      <c r="B63" s="93" t="str">
        <f>IF(COUNTIF(MAIN!B:B, A63)=0, "Missing", "")</f>
        <v/>
      </c>
      <c r="E63" s="128" t="str">
        <f t="shared" si="1"/>
        <v/>
      </c>
    </row>
    <row r="64">
      <c r="A64" s="93" t="str">
        <f t="shared" si="2"/>
        <v>#15261</v>
      </c>
      <c r="B64" s="93" t="str">
        <f>IF(COUNTIF(MAIN!B:B, A64)=0, "Missing", "")</f>
        <v/>
      </c>
      <c r="E64" s="128" t="str">
        <f t="shared" si="1"/>
        <v/>
      </c>
    </row>
    <row r="65">
      <c r="A65" s="93" t="str">
        <f t="shared" si="2"/>
        <v>#15262</v>
      </c>
      <c r="B65" s="93" t="str">
        <f>IF(COUNTIF(MAIN!B:B, A65)=0, "Missing", "")</f>
        <v/>
      </c>
      <c r="E65" s="128" t="str">
        <f t="shared" si="1"/>
        <v/>
      </c>
    </row>
    <row r="66">
      <c r="A66" s="93" t="str">
        <f t="shared" si="2"/>
        <v>#15263</v>
      </c>
      <c r="B66" s="93" t="str">
        <f>IF(COUNTIF(MAIN!B:B, A66)=0, "Missing", "")</f>
        <v/>
      </c>
      <c r="E66" s="128" t="str">
        <f t="shared" si="1"/>
        <v/>
      </c>
    </row>
    <row r="67">
      <c r="A67" s="93" t="str">
        <f t="shared" si="2"/>
        <v>#15264</v>
      </c>
      <c r="B67" s="93" t="str">
        <f>IF(COUNTIF(MAIN!B:B, A67)=0, "Missing", "")</f>
        <v/>
      </c>
      <c r="E67" s="128" t="str">
        <f t="shared" si="1"/>
        <v/>
      </c>
    </row>
    <row r="68">
      <c r="A68" s="93" t="str">
        <f t="shared" si="2"/>
        <v>#15265</v>
      </c>
      <c r="B68" s="93" t="str">
        <f>IF(COUNTIF(MAIN!B:B, A68)=0, "Missing", "")</f>
        <v/>
      </c>
      <c r="E68" s="128" t="str">
        <f t="shared" si="1"/>
        <v/>
      </c>
    </row>
    <row r="69">
      <c r="A69" s="93" t="str">
        <f t="shared" si="2"/>
        <v>#15266</v>
      </c>
      <c r="B69" s="93" t="str">
        <f>IF(COUNTIF(MAIN!B:B, A69)=0, "Missing", "")</f>
        <v/>
      </c>
      <c r="E69" s="128" t="str">
        <f t="shared" si="1"/>
        <v/>
      </c>
    </row>
    <row r="70">
      <c r="A70" s="93" t="str">
        <f t="shared" si="2"/>
        <v>#15267</v>
      </c>
      <c r="B70" s="93" t="str">
        <f>IF(COUNTIF(MAIN!B:B, A70)=0, "Missing", "")</f>
        <v/>
      </c>
      <c r="E70" s="128" t="str">
        <f t="shared" si="1"/>
        <v/>
      </c>
    </row>
    <row r="71">
      <c r="A71" s="93" t="str">
        <f t="shared" si="2"/>
        <v>#15268</v>
      </c>
      <c r="B71" s="93" t="str">
        <f>IF(COUNTIF(MAIN!B:B, A71)=0, "Missing", "")</f>
        <v/>
      </c>
      <c r="E71" s="128" t="str">
        <f t="shared" si="1"/>
        <v/>
      </c>
    </row>
    <row r="72">
      <c r="A72" s="93" t="str">
        <f t="shared" si="2"/>
        <v>#15269</v>
      </c>
      <c r="B72" s="93" t="str">
        <f>IF(COUNTIF(MAIN!B:B, A72)=0, "Missing", "")</f>
        <v/>
      </c>
      <c r="E72" s="128" t="str">
        <f t="shared" si="1"/>
        <v/>
      </c>
    </row>
    <row r="73">
      <c r="A73" s="93" t="str">
        <f t="shared" si="2"/>
        <v>#15270</v>
      </c>
      <c r="B73" s="93" t="str">
        <f>IF(COUNTIF(MAIN!B:B, A73)=0, "Missing", "")</f>
        <v/>
      </c>
      <c r="E73" s="128" t="str">
        <f t="shared" si="1"/>
        <v/>
      </c>
    </row>
    <row r="74">
      <c r="A74" s="93" t="str">
        <f t="shared" si="2"/>
        <v>#15271</v>
      </c>
      <c r="B74" s="93" t="str">
        <f>IF(COUNTIF(MAIN!B:B, A74)=0, "Missing", "")</f>
        <v/>
      </c>
      <c r="E74" s="128" t="str">
        <f t="shared" si="1"/>
        <v/>
      </c>
    </row>
    <row r="75">
      <c r="A75" s="93" t="str">
        <f t="shared" si="2"/>
        <v>#15272</v>
      </c>
      <c r="B75" s="93" t="str">
        <f>IF(COUNTIF(MAIN!B:B, A75)=0, "Missing", "")</f>
        <v/>
      </c>
      <c r="E75" s="128" t="str">
        <f t="shared" si="1"/>
        <v/>
      </c>
    </row>
    <row r="76">
      <c r="A76" s="93" t="str">
        <f t="shared" si="2"/>
        <v>#15273</v>
      </c>
      <c r="B76" s="93" t="str">
        <f>IF(COUNTIF(MAIN!B:B, A76)=0, "Missing", "")</f>
        <v/>
      </c>
      <c r="E76" s="128" t="str">
        <f t="shared" si="1"/>
        <v/>
      </c>
    </row>
    <row r="77">
      <c r="A77" s="93" t="str">
        <f t="shared" si="2"/>
        <v>#15274</v>
      </c>
      <c r="B77" s="93" t="str">
        <f>IF(COUNTIF(MAIN!B:B, A77)=0, "Missing", "")</f>
        <v/>
      </c>
      <c r="E77" s="128" t="str">
        <f t="shared" si="1"/>
        <v/>
      </c>
    </row>
    <row r="78">
      <c r="A78" s="93" t="str">
        <f t="shared" si="2"/>
        <v>#15275</v>
      </c>
      <c r="B78" s="93" t="str">
        <f>IF(COUNTIF(MAIN!B:B, A78)=0, "Missing", "")</f>
        <v/>
      </c>
      <c r="E78" s="128" t="str">
        <f t="shared" si="1"/>
        <v/>
      </c>
    </row>
    <row r="79">
      <c r="A79" s="93" t="str">
        <f t="shared" si="2"/>
        <v>#15276</v>
      </c>
      <c r="B79" s="93" t="str">
        <f>IF(COUNTIF(MAIN!B:B, A79)=0, "Missing", "")</f>
        <v/>
      </c>
      <c r="E79" s="128" t="str">
        <f t="shared" si="1"/>
        <v/>
      </c>
    </row>
    <row r="80">
      <c r="A80" s="93" t="str">
        <f t="shared" si="2"/>
        <v>#15277</v>
      </c>
      <c r="B80" s="93" t="str">
        <f>IF(COUNTIF(MAIN!B:B, A80)=0, "Missing", "")</f>
        <v/>
      </c>
      <c r="E80" s="128" t="str">
        <f t="shared" si="1"/>
        <v/>
      </c>
    </row>
    <row r="81">
      <c r="A81" s="93" t="str">
        <f t="shared" si="2"/>
        <v>#15278</v>
      </c>
      <c r="B81" s="93" t="str">
        <f>IF(COUNTIF(MAIN!B:B, A81)=0, "Missing", "")</f>
        <v/>
      </c>
      <c r="E81" s="128" t="str">
        <f t="shared" si="1"/>
        <v/>
      </c>
    </row>
    <row r="82">
      <c r="A82" s="93" t="str">
        <f t="shared" si="2"/>
        <v>#15279</v>
      </c>
      <c r="B82" s="93" t="str">
        <f>IF(COUNTIF(MAIN!B:B, A82)=0, "Missing", "")</f>
        <v/>
      </c>
      <c r="E82" s="128" t="str">
        <f t="shared" si="1"/>
        <v/>
      </c>
    </row>
    <row r="83">
      <c r="A83" s="93" t="str">
        <f t="shared" si="2"/>
        <v>#15280</v>
      </c>
      <c r="B83" s="93" t="str">
        <f>IF(COUNTIF(MAIN!B:B, A83)=0, "Missing", "")</f>
        <v/>
      </c>
      <c r="E83" s="128" t="str">
        <f t="shared" si="1"/>
        <v/>
      </c>
    </row>
    <row r="84">
      <c r="A84" s="93" t="str">
        <f t="shared" si="2"/>
        <v>#15281</v>
      </c>
      <c r="B84" s="93" t="str">
        <f>IF(COUNTIF(MAIN!B:B, A84)=0, "Missing", "")</f>
        <v/>
      </c>
      <c r="E84" s="128" t="str">
        <f t="shared" si="1"/>
        <v/>
      </c>
    </row>
    <row r="85">
      <c r="A85" s="93" t="str">
        <f t="shared" si="2"/>
        <v>#15282</v>
      </c>
      <c r="B85" s="93" t="str">
        <f>IF(COUNTIF(MAIN!B:B, A85)=0, "Missing", "")</f>
        <v/>
      </c>
      <c r="E85" s="128" t="str">
        <f t="shared" si="1"/>
        <v/>
      </c>
    </row>
    <row r="86">
      <c r="A86" s="93" t="str">
        <f t="shared" si="2"/>
        <v>#15283</v>
      </c>
      <c r="B86" s="93" t="str">
        <f>IF(COUNTIF(MAIN!B:B, A86)=0, "Missing", "")</f>
        <v/>
      </c>
      <c r="E86" s="128" t="str">
        <f t="shared" si="1"/>
        <v/>
      </c>
    </row>
    <row r="87">
      <c r="A87" s="93" t="str">
        <f t="shared" si="2"/>
        <v>#15284</v>
      </c>
      <c r="B87" s="93" t="str">
        <f>IF(COUNTIF(MAIN!B:B, A87)=0, "Missing", "")</f>
        <v/>
      </c>
      <c r="E87" s="128" t="str">
        <f t="shared" si="1"/>
        <v/>
      </c>
    </row>
    <row r="88">
      <c r="A88" s="93" t="str">
        <f t="shared" si="2"/>
        <v>#15285</v>
      </c>
      <c r="B88" s="93" t="str">
        <f>IF(COUNTIF(MAIN!B:B, A88)=0, "Missing", "")</f>
        <v/>
      </c>
      <c r="E88" s="128" t="str">
        <f t="shared" si="1"/>
        <v/>
      </c>
    </row>
    <row r="89">
      <c r="A89" s="93" t="str">
        <f t="shared" si="2"/>
        <v>#15286</v>
      </c>
      <c r="B89" s="93" t="str">
        <f>IF(COUNTIF(MAIN!B:B, A89)=0, "Missing", "")</f>
        <v/>
      </c>
      <c r="E89" s="128" t="str">
        <f t="shared" si="1"/>
        <v/>
      </c>
    </row>
    <row r="90">
      <c r="A90" s="93" t="str">
        <f t="shared" si="2"/>
        <v>#15287</v>
      </c>
      <c r="B90" s="93" t="str">
        <f>IF(COUNTIF(MAIN!B:B, A90)=0, "Missing", "")</f>
        <v/>
      </c>
      <c r="E90" s="128" t="str">
        <f t="shared" si="1"/>
        <v/>
      </c>
    </row>
    <row r="91">
      <c r="A91" s="93" t="str">
        <f t="shared" si="2"/>
        <v>#15288</v>
      </c>
      <c r="B91" s="93" t="str">
        <f>IF(COUNTIF(MAIN!B:B, A91)=0, "Missing", "")</f>
        <v/>
      </c>
      <c r="E91" s="128" t="str">
        <f t="shared" si="1"/>
        <v/>
      </c>
    </row>
    <row r="92">
      <c r="A92" s="93" t="str">
        <f t="shared" si="2"/>
        <v>#15289</v>
      </c>
      <c r="B92" s="93" t="str">
        <f>IF(COUNTIF(MAIN!B:B, A92)=0, "Missing", "")</f>
        <v/>
      </c>
      <c r="E92" s="128" t="str">
        <f t="shared" si="1"/>
        <v/>
      </c>
    </row>
    <row r="93">
      <c r="A93" s="93" t="str">
        <f t="shared" si="2"/>
        <v>#15290</v>
      </c>
      <c r="B93" s="93" t="str">
        <f>IF(COUNTIF(MAIN!B:B, A93)=0, "Missing", "")</f>
        <v/>
      </c>
      <c r="E93" s="128" t="str">
        <f t="shared" si="1"/>
        <v/>
      </c>
    </row>
    <row r="94">
      <c r="A94" s="93" t="str">
        <f t="shared" si="2"/>
        <v>#15291</v>
      </c>
      <c r="B94" s="93" t="str">
        <f>IF(COUNTIF(MAIN!B:B, A94)=0, "Missing", "")</f>
        <v/>
      </c>
      <c r="E94" s="128" t="str">
        <f t="shared" si="1"/>
        <v/>
      </c>
    </row>
    <row r="95">
      <c r="A95" s="93" t="str">
        <f t="shared" si="2"/>
        <v>#15292</v>
      </c>
      <c r="B95" s="93" t="str">
        <f>IF(COUNTIF(MAIN!B:B, A95)=0, "Missing", "")</f>
        <v/>
      </c>
      <c r="E95" s="128" t="str">
        <f t="shared" si="1"/>
        <v/>
      </c>
    </row>
    <row r="96">
      <c r="A96" s="93" t="str">
        <f t="shared" si="2"/>
        <v>#15293</v>
      </c>
      <c r="B96" s="93" t="str">
        <f>IF(COUNTIF(MAIN!B:B, A96)=0, "Missing", "")</f>
        <v/>
      </c>
      <c r="E96" s="128" t="str">
        <f t="shared" si="1"/>
        <v/>
      </c>
    </row>
    <row r="97">
      <c r="A97" s="93" t="str">
        <f t="shared" si="2"/>
        <v>#15294</v>
      </c>
      <c r="B97" s="93" t="str">
        <f>IF(COUNTIF(MAIN!B:B, A97)=0, "Missing", "")</f>
        <v/>
      </c>
      <c r="E97" s="128" t="str">
        <f t="shared" si="1"/>
        <v/>
      </c>
    </row>
    <row r="98">
      <c r="A98" s="93" t="str">
        <f t="shared" si="2"/>
        <v>#15295</v>
      </c>
      <c r="B98" s="93" t="str">
        <f>IF(COUNTIF(MAIN!B:B, A98)=0, "Missing", "")</f>
        <v/>
      </c>
      <c r="E98" s="128" t="str">
        <f t="shared" si="1"/>
        <v/>
      </c>
    </row>
    <row r="99">
      <c r="A99" s="93" t="str">
        <f t="shared" si="2"/>
        <v>#15296</v>
      </c>
      <c r="B99" s="93" t="str">
        <f>IF(COUNTIF(MAIN!B:B, A99)=0, "Missing", "")</f>
        <v/>
      </c>
      <c r="E99" s="128" t="str">
        <f t="shared" si="1"/>
        <v/>
      </c>
    </row>
    <row r="100">
      <c r="A100" s="93" t="str">
        <f t="shared" si="2"/>
        <v>#15297</v>
      </c>
      <c r="B100" s="93" t="str">
        <f>IF(COUNTIF(MAIN!B:B, A100)=0, "Missing", "")</f>
        <v/>
      </c>
      <c r="E100" s="128" t="str">
        <f t="shared" si="1"/>
        <v/>
      </c>
    </row>
    <row r="101">
      <c r="A101" s="93" t="str">
        <f t="shared" si="2"/>
        <v>#15298</v>
      </c>
      <c r="B101" s="93" t="str">
        <f>IF(COUNTIF(MAIN!B:B, A101)=0, "Missing", "")</f>
        <v/>
      </c>
      <c r="E101" s="128" t="str">
        <f t="shared" si="1"/>
        <v/>
      </c>
    </row>
    <row r="102">
      <c r="A102" s="93" t="str">
        <f t="shared" si="2"/>
        <v>#15299</v>
      </c>
      <c r="B102" s="93" t="str">
        <f>IF(COUNTIF(MAIN!B:B, A102)=0, "Missing", "")</f>
        <v/>
      </c>
      <c r="E102" s="128" t="str">
        <f t="shared" si="1"/>
        <v/>
      </c>
    </row>
    <row r="103">
      <c r="A103" s="93" t="str">
        <f t="shared" si="2"/>
        <v>#15300</v>
      </c>
      <c r="B103" s="93" t="str">
        <f>IF(COUNTIF(MAIN!B:B, A103)=0, "Missing", "")</f>
        <v/>
      </c>
      <c r="E103" s="128" t="str">
        <f t="shared" si="1"/>
        <v/>
      </c>
    </row>
    <row r="104">
      <c r="A104" s="93" t="str">
        <f t="shared" si="2"/>
        <v>#15301</v>
      </c>
      <c r="B104" s="93" t="str">
        <f>IF(COUNTIF(MAIN!B:B, A104)=0, "Missing", "")</f>
        <v>Missing</v>
      </c>
      <c r="C104" s="84" t="s">
        <v>15228</v>
      </c>
      <c r="E104" s="131" t="str">
        <f t="shared" si="1"/>
        <v>https://utrucking.myshopify.com/admin/orders?query=15301</v>
      </c>
    </row>
    <row r="105">
      <c r="A105" s="93" t="str">
        <f t="shared" si="2"/>
        <v>#15302</v>
      </c>
      <c r="B105" s="93" t="str">
        <f>IF(COUNTIF(MAIN!B:B, A105)=0, "Missing", "")</f>
        <v/>
      </c>
      <c r="E105" s="128" t="str">
        <f t="shared" si="1"/>
        <v/>
      </c>
    </row>
    <row r="106">
      <c r="A106" s="93" t="str">
        <f t="shared" si="2"/>
        <v>#15303</v>
      </c>
      <c r="B106" s="93" t="str">
        <f>IF(COUNTIF(MAIN!B:B, A106)=0, "Missing", "")</f>
        <v/>
      </c>
      <c r="E106" s="128" t="str">
        <f t="shared" si="1"/>
        <v/>
      </c>
    </row>
    <row r="107">
      <c r="A107" s="93" t="str">
        <f t="shared" si="2"/>
        <v>#15304</v>
      </c>
      <c r="B107" s="93" t="str">
        <f>IF(COUNTIF(MAIN!B:B, A107)=0, "Missing", "")</f>
        <v/>
      </c>
      <c r="E107" s="128" t="str">
        <f t="shared" si="1"/>
        <v/>
      </c>
    </row>
    <row r="108">
      <c r="A108" s="93" t="str">
        <f t="shared" si="2"/>
        <v>#15305</v>
      </c>
      <c r="B108" s="93" t="str">
        <f>IF(COUNTIF(MAIN!B:B, A108)=0, "Missing", "")</f>
        <v>Missing</v>
      </c>
      <c r="C108" s="84" t="s">
        <v>15228</v>
      </c>
      <c r="E108" s="131" t="str">
        <f t="shared" si="1"/>
        <v>https://utrucking.myshopify.com/admin/orders?query=15305</v>
      </c>
    </row>
    <row r="109">
      <c r="A109" s="93" t="str">
        <f t="shared" si="2"/>
        <v>#15306</v>
      </c>
      <c r="B109" s="93" t="str">
        <f>IF(COUNTIF(MAIN!B:B, A109)=0, "Missing", "")</f>
        <v>Missing</v>
      </c>
      <c r="C109" s="84" t="s">
        <v>15228</v>
      </c>
      <c r="E109" s="131" t="str">
        <f t="shared" si="1"/>
        <v>https://utrucking.myshopify.com/admin/orders?query=15306</v>
      </c>
    </row>
    <row r="110">
      <c r="A110" s="93" t="str">
        <f t="shared" si="2"/>
        <v>#15307</v>
      </c>
      <c r="B110" s="93" t="str">
        <f>IF(COUNTIF(MAIN!B:B, A110)=0, "Missing", "")</f>
        <v/>
      </c>
      <c r="E110" s="128" t="str">
        <f t="shared" si="1"/>
        <v/>
      </c>
    </row>
    <row r="111">
      <c r="A111" s="93" t="str">
        <f t="shared" si="2"/>
        <v>#15308</v>
      </c>
      <c r="B111" s="93" t="str">
        <f>IF(COUNTIF(MAIN!B:B, A111)=0, "Missing", "")</f>
        <v/>
      </c>
      <c r="E111" s="128" t="str">
        <f t="shared" si="1"/>
        <v/>
      </c>
    </row>
    <row r="112">
      <c r="A112" s="93" t="str">
        <f t="shared" si="2"/>
        <v>#15309</v>
      </c>
      <c r="B112" s="93" t="str">
        <f>IF(COUNTIF(MAIN!B:B, A112)=0, "Missing", "")</f>
        <v/>
      </c>
      <c r="E112" s="128" t="str">
        <f t="shared" si="1"/>
        <v/>
      </c>
    </row>
    <row r="113">
      <c r="A113" s="93" t="str">
        <f t="shared" si="2"/>
        <v>#15310</v>
      </c>
      <c r="B113" s="93" t="str">
        <f>IF(COUNTIF(MAIN!B:B, A113)=0, "Missing", "")</f>
        <v/>
      </c>
      <c r="E113" s="128" t="str">
        <f t="shared" si="1"/>
        <v/>
      </c>
    </row>
    <row r="114">
      <c r="A114" s="93" t="str">
        <f t="shared" si="2"/>
        <v>#15311</v>
      </c>
      <c r="B114" s="93" t="str">
        <f>IF(COUNTIF(MAIN!B:B, A114)=0, "Missing", "")</f>
        <v/>
      </c>
      <c r="E114" s="128" t="str">
        <f t="shared" si="1"/>
        <v/>
      </c>
    </row>
    <row r="115">
      <c r="A115" s="93" t="str">
        <f t="shared" si="2"/>
        <v>#15312</v>
      </c>
      <c r="B115" s="93" t="str">
        <f>IF(COUNTIF(MAIN!B:B, A115)=0, "Missing", "")</f>
        <v/>
      </c>
      <c r="E115" s="128" t="str">
        <f t="shared" si="1"/>
        <v/>
      </c>
    </row>
    <row r="116">
      <c r="A116" s="93" t="str">
        <f t="shared" si="2"/>
        <v>#15313</v>
      </c>
      <c r="B116" s="93" t="str">
        <f>IF(COUNTIF(MAIN!B:B, A116)=0, "Missing", "")</f>
        <v/>
      </c>
      <c r="E116" s="128" t="str">
        <f t="shared" si="1"/>
        <v/>
      </c>
    </row>
    <row r="117">
      <c r="A117" s="93" t="str">
        <f t="shared" si="2"/>
        <v>#15314</v>
      </c>
      <c r="B117" s="93" t="str">
        <f>IF(COUNTIF(MAIN!B:B, A117)=0, "Missing", "")</f>
        <v/>
      </c>
      <c r="E117" s="128" t="str">
        <f t="shared" si="1"/>
        <v/>
      </c>
    </row>
    <row r="118">
      <c r="A118" s="93" t="str">
        <f t="shared" si="2"/>
        <v>#15315</v>
      </c>
      <c r="B118" s="93" t="str">
        <f>IF(COUNTIF(MAIN!B:B, A118)=0, "Missing", "")</f>
        <v/>
      </c>
      <c r="E118" s="128" t="str">
        <f t="shared" si="1"/>
        <v/>
      </c>
    </row>
    <row r="119">
      <c r="A119" s="93" t="str">
        <f t="shared" si="2"/>
        <v>#15316</v>
      </c>
      <c r="B119" s="93" t="str">
        <f>IF(COUNTIF(MAIN!B:B, A119)=0, "Missing", "")</f>
        <v/>
      </c>
      <c r="E119" s="128" t="str">
        <f t="shared" si="1"/>
        <v/>
      </c>
    </row>
    <row r="120">
      <c r="A120" s="93" t="str">
        <f t="shared" si="2"/>
        <v>#15317</v>
      </c>
      <c r="B120" s="93" t="str">
        <f>IF(COUNTIF(MAIN!B:B, A120)=0, "Missing", "")</f>
        <v/>
      </c>
      <c r="E120" s="128" t="str">
        <f t="shared" si="1"/>
        <v/>
      </c>
    </row>
    <row r="121">
      <c r="A121" s="93" t="str">
        <f t="shared" si="2"/>
        <v>#15318</v>
      </c>
      <c r="B121" s="93" t="str">
        <f>IF(COUNTIF(MAIN!B:B, A121)=0, "Missing", "")</f>
        <v/>
      </c>
      <c r="E121" s="128" t="str">
        <f t="shared" si="1"/>
        <v/>
      </c>
    </row>
    <row r="122">
      <c r="A122" s="93" t="str">
        <f t="shared" si="2"/>
        <v>#15319</v>
      </c>
      <c r="B122" s="93" t="str">
        <f>IF(COUNTIF(MAIN!B:B, A122)=0, "Missing", "")</f>
        <v/>
      </c>
      <c r="E122" s="128" t="str">
        <f t="shared" si="1"/>
        <v/>
      </c>
    </row>
    <row r="123">
      <c r="A123" s="93" t="str">
        <f t="shared" si="2"/>
        <v>#15320</v>
      </c>
      <c r="B123" s="93" t="str">
        <f>IF(COUNTIF(MAIN!B:B, A123)=0, "Missing", "")</f>
        <v/>
      </c>
      <c r="E123" s="128" t="str">
        <f t="shared" si="1"/>
        <v/>
      </c>
    </row>
    <row r="124">
      <c r="A124" s="93" t="str">
        <f t="shared" si="2"/>
        <v>#15321</v>
      </c>
      <c r="B124" s="93" t="str">
        <f>IF(COUNTIF(MAIN!B:B, A124)=0, "Missing", "")</f>
        <v/>
      </c>
      <c r="E124" s="128" t="str">
        <f t="shared" si="1"/>
        <v/>
      </c>
    </row>
    <row r="125">
      <c r="A125" s="93" t="str">
        <f t="shared" si="2"/>
        <v>#15322</v>
      </c>
      <c r="B125" s="93" t="str">
        <f>IF(COUNTIF(MAIN!B:B, A125)=0, "Missing", "")</f>
        <v/>
      </c>
      <c r="E125" s="128" t="str">
        <f t="shared" si="1"/>
        <v/>
      </c>
    </row>
    <row r="126">
      <c r="A126" s="93" t="str">
        <f t="shared" si="2"/>
        <v>#15323</v>
      </c>
      <c r="B126" s="93" t="str">
        <f>IF(COUNTIF(MAIN!B:B, A126)=0, "Missing", "")</f>
        <v/>
      </c>
      <c r="E126" s="128" t="str">
        <f t="shared" si="1"/>
        <v/>
      </c>
    </row>
    <row r="127">
      <c r="A127" s="93" t="str">
        <f t="shared" si="2"/>
        <v>#15324</v>
      </c>
      <c r="B127" s="93" t="str">
        <f>IF(COUNTIF(MAIN!B:B, A127)=0, "Missing", "")</f>
        <v/>
      </c>
      <c r="E127" s="128" t="str">
        <f t="shared" si="1"/>
        <v/>
      </c>
    </row>
    <row r="128">
      <c r="A128" s="93" t="str">
        <f t="shared" si="2"/>
        <v>#15325</v>
      </c>
      <c r="B128" s="93" t="str">
        <f>IF(COUNTIF(MAIN!B:B, A128)=0, "Missing", "")</f>
        <v/>
      </c>
      <c r="E128" s="128" t="str">
        <f t="shared" si="1"/>
        <v/>
      </c>
    </row>
    <row r="129">
      <c r="A129" s="93" t="str">
        <f t="shared" si="2"/>
        <v>#15326</v>
      </c>
      <c r="B129" s="93" t="str">
        <f>IF(COUNTIF(MAIN!B:B, A129)=0, "Missing", "")</f>
        <v/>
      </c>
      <c r="E129" s="128" t="str">
        <f t="shared" si="1"/>
        <v/>
      </c>
    </row>
    <row r="130">
      <c r="A130" s="93" t="str">
        <f t="shared" si="2"/>
        <v>#15327</v>
      </c>
      <c r="B130" s="93" t="str">
        <f>IF(COUNTIF(MAIN!B:B, A130)=0, "Missing", "")</f>
        <v/>
      </c>
      <c r="E130" s="128" t="str">
        <f t="shared" si="1"/>
        <v/>
      </c>
    </row>
    <row r="131">
      <c r="A131" s="93" t="str">
        <f t="shared" si="2"/>
        <v>#15328</v>
      </c>
      <c r="B131" s="93" t="str">
        <f>IF(COUNTIF(MAIN!B:B, A131)=0, "Missing", "")</f>
        <v/>
      </c>
      <c r="E131" s="128" t="str">
        <f t="shared" si="1"/>
        <v/>
      </c>
    </row>
    <row r="132">
      <c r="A132" s="93" t="str">
        <f t="shared" si="2"/>
        <v>#15329</v>
      </c>
      <c r="B132" s="93" t="str">
        <f>IF(COUNTIF(MAIN!B:B, A132)=0, "Missing", "")</f>
        <v/>
      </c>
      <c r="E132" s="128" t="str">
        <f t="shared" si="1"/>
        <v/>
      </c>
    </row>
    <row r="133">
      <c r="A133" s="93" t="str">
        <f t="shared" si="2"/>
        <v>#15330</v>
      </c>
      <c r="B133" s="93" t="str">
        <f>IF(COUNTIF(MAIN!B:B, A133)=0, "Missing", "")</f>
        <v/>
      </c>
      <c r="E133" s="128" t="str">
        <f t="shared" si="1"/>
        <v/>
      </c>
    </row>
    <row r="134">
      <c r="A134" s="93" t="str">
        <f t="shared" si="2"/>
        <v>#15331</v>
      </c>
      <c r="B134" s="93" t="str">
        <f>IF(COUNTIF(MAIN!B:B, A134)=0, "Missing", "")</f>
        <v/>
      </c>
      <c r="E134" s="128" t="str">
        <f t="shared" si="1"/>
        <v/>
      </c>
    </row>
    <row r="135">
      <c r="A135" s="93" t="str">
        <f t="shared" si="2"/>
        <v>#15332</v>
      </c>
      <c r="B135" s="93" t="str">
        <f>IF(COUNTIF(MAIN!B:B, A135)=0, "Missing", "")</f>
        <v/>
      </c>
      <c r="E135" s="128" t="str">
        <f t="shared" si="1"/>
        <v/>
      </c>
    </row>
    <row r="136">
      <c r="A136" s="93" t="str">
        <f t="shared" si="2"/>
        <v>#15333</v>
      </c>
      <c r="B136" s="93" t="str">
        <f>IF(COUNTIF(MAIN!B:B, A136)=0, "Missing", "")</f>
        <v/>
      </c>
      <c r="E136" s="128" t="str">
        <f t="shared" si="1"/>
        <v/>
      </c>
    </row>
    <row r="137">
      <c r="A137" s="93" t="str">
        <f t="shared" si="2"/>
        <v>#15334</v>
      </c>
      <c r="B137" s="93" t="str">
        <f>IF(COUNTIF(MAIN!B:B, A137)=0, "Missing", "")</f>
        <v/>
      </c>
      <c r="E137" s="128" t="str">
        <f t="shared" si="1"/>
        <v/>
      </c>
    </row>
    <row r="138">
      <c r="A138" s="93" t="str">
        <f t="shared" si="2"/>
        <v>#15335</v>
      </c>
      <c r="B138" s="93" t="str">
        <f>IF(COUNTIF(MAIN!B:B, A138)=0, "Missing", "")</f>
        <v/>
      </c>
      <c r="E138" s="128" t="str">
        <f t="shared" si="1"/>
        <v/>
      </c>
    </row>
    <row r="139">
      <c r="A139" s="93" t="str">
        <f t="shared" si="2"/>
        <v>#15336</v>
      </c>
      <c r="B139" s="93" t="str">
        <f>IF(COUNTIF(MAIN!B:B, A139)=0, "Missing", "")</f>
        <v/>
      </c>
      <c r="E139" s="128" t="str">
        <f t="shared" si="1"/>
        <v/>
      </c>
    </row>
    <row r="140">
      <c r="A140" s="93" t="str">
        <f t="shared" si="2"/>
        <v>#15337</v>
      </c>
      <c r="B140" s="93" t="str">
        <f>IF(COUNTIF(MAIN!B:B, A140)=0, "Missing", "")</f>
        <v/>
      </c>
      <c r="E140" s="128" t="str">
        <f t="shared" si="1"/>
        <v/>
      </c>
    </row>
    <row r="141">
      <c r="A141" s="93" t="str">
        <f t="shared" si="2"/>
        <v>#15338</v>
      </c>
      <c r="B141" s="93" t="str">
        <f>IF(COUNTIF(MAIN!B:B, A141)=0, "Missing", "")</f>
        <v/>
      </c>
      <c r="E141" s="128" t="str">
        <f t="shared" si="1"/>
        <v/>
      </c>
    </row>
    <row r="142">
      <c r="A142" s="93" t="str">
        <f t="shared" si="2"/>
        <v>#15339</v>
      </c>
      <c r="B142" s="93" t="str">
        <f>IF(COUNTIF(MAIN!B:B, A142)=0, "Missing", "")</f>
        <v/>
      </c>
      <c r="E142" s="128" t="str">
        <f t="shared" si="1"/>
        <v/>
      </c>
    </row>
    <row r="143">
      <c r="A143" s="93" t="str">
        <f t="shared" si="2"/>
        <v>#15340</v>
      </c>
      <c r="B143" s="93" t="str">
        <f>IF(COUNTIF(MAIN!B:B, A143)=0, "Missing", "")</f>
        <v/>
      </c>
      <c r="E143" s="128" t="str">
        <f t="shared" si="1"/>
        <v/>
      </c>
    </row>
    <row r="144">
      <c r="A144" s="93" t="str">
        <f t="shared" si="2"/>
        <v>#15341</v>
      </c>
      <c r="B144" s="93" t="str">
        <f>IF(COUNTIF(MAIN!B:B, A144)=0, "Missing", "")</f>
        <v/>
      </c>
      <c r="E144" s="128" t="str">
        <f t="shared" si="1"/>
        <v/>
      </c>
    </row>
    <row r="145">
      <c r="A145" s="93" t="str">
        <f t="shared" si="2"/>
        <v>#15342</v>
      </c>
      <c r="B145" s="93" t="str">
        <f>IF(COUNTIF(MAIN!B:B, A145)=0, "Missing", "")</f>
        <v/>
      </c>
      <c r="E145" s="128" t="str">
        <f t="shared" si="1"/>
        <v/>
      </c>
    </row>
    <row r="146">
      <c r="A146" s="93" t="str">
        <f t="shared" si="2"/>
        <v>#15343</v>
      </c>
      <c r="B146" s="93" t="str">
        <f>IF(COUNTIF(MAIN!B:B, A146)=0, "Missing", "")</f>
        <v/>
      </c>
      <c r="E146" s="128" t="str">
        <f t="shared" si="1"/>
        <v/>
      </c>
    </row>
    <row r="147">
      <c r="A147" s="93" t="str">
        <f t="shared" si="2"/>
        <v>#15344</v>
      </c>
      <c r="B147" s="93" t="str">
        <f>IF(COUNTIF(MAIN!B:B, A147)=0, "Missing", "")</f>
        <v/>
      </c>
      <c r="E147" s="128" t="str">
        <f t="shared" si="1"/>
        <v/>
      </c>
    </row>
    <row r="148">
      <c r="A148" s="93" t="str">
        <f t="shared" si="2"/>
        <v>#15345</v>
      </c>
      <c r="B148" s="93" t="str">
        <f>IF(COUNTIF(MAIN!B:B, A148)=0, "Missing", "")</f>
        <v/>
      </c>
      <c r="E148" s="128" t="str">
        <f t="shared" si="1"/>
        <v/>
      </c>
    </row>
    <row r="149">
      <c r="A149" s="93" t="str">
        <f t="shared" si="2"/>
        <v>#15346</v>
      </c>
      <c r="B149" s="93" t="str">
        <f>IF(COUNTIF(MAIN!B:B, A149)=0, "Missing", "")</f>
        <v/>
      </c>
      <c r="E149" s="128" t="str">
        <f t="shared" si="1"/>
        <v/>
      </c>
    </row>
    <row r="150">
      <c r="A150" s="93" t="str">
        <f t="shared" si="2"/>
        <v>#15347</v>
      </c>
      <c r="B150" s="93" t="str">
        <f>IF(COUNTIF(MAIN!B:B, A150)=0, "Missing", "")</f>
        <v/>
      </c>
      <c r="E150" s="128" t="str">
        <f t="shared" si="1"/>
        <v/>
      </c>
    </row>
    <row r="151">
      <c r="A151" s="93" t="str">
        <f t="shared" si="2"/>
        <v>#15348</v>
      </c>
      <c r="B151" s="93" t="str">
        <f>IF(COUNTIF(MAIN!B:B, A151)=0, "Missing", "")</f>
        <v/>
      </c>
      <c r="E151" s="128" t="str">
        <f t="shared" si="1"/>
        <v/>
      </c>
    </row>
    <row r="152">
      <c r="A152" s="93" t="str">
        <f t="shared" si="2"/>
        <v>#15349</v>
      </c>
      <c r="B152" s="93" t="str">
        <f>IF(COUNTIF(MAIN!B:B, A152)=0, "Missing", "")</f>
        <v/>
      </c>
      <c r="E152" s="128" t="str">
        <f t="shared" si="1"/>
        <v/>
      </c>
    </row>
    <row r="153">
      <c r="A153" s="93" t="str">
        <f t="shared" si="2"/>
        <v>#15350</v>
      </c>
      <c r="B153" s="93" t="str">
        <f>IF(COUNTIF(MAIN!B:B, A153)=0, "Missing", "")</f>
        <v/>
      </c>
      <c r="E153" s="128" t="str">
        <f t="shared" si="1"/>
        <v/>
      </c>
    </row>
    <row r="154">
      <c r="A154" s="93" t="str">
        <f t="shared" si="2"/>
        <v>#15351</v>
      </c>
      <c r="B154" s="93" t="str">
        <f>IF(COUNTIF(MAIN!B:B, A154)=0, "Missing", "")</f>
        <v/>
      </c>
      <c r="E154" s="128" t="str">
        <f t="shared" si="1"/>
        <v/>
      </c>
    </row>
    <row r="155">
      <c r="A155" s="93" t="str">
        <f t="shared" si="2"/>
        <v>#15352</v>
      </c>
      <c r="B155" s="93" t="str">
        <f>IF(COUNTIF(MAIN!B:B, A155)=0, "Missing", "")</f>
        <v/>
      </c>
      <c r="E155" s="128" t="str">
        <f t="shared" si="1"/>
        <v/>
      </c>
    </row>
    <row r="156">
      <c r="A156" s="93" t="str">
        <f t="shared" si="2"/>
        <v>#15353</v>
      </c>
      <c r="B156" s="93" t="str">
        <f>IF(COUNTIF(MAIN!B:B, A156)=0, "Missing", "")</f>
        <v/>
      </c>
      <c r="E156" s="128" t="str">
        <f t="shared" si="1"/>
        <v/>
      </c>
    </row>
    <row r="157">
      <c r="A157" s="93" t="str">
        <f t="shared" si="2"/>
        <v>#15354</v>
      </c>
      <c r="B157" s="93" t="str">
        <f>IF(COUNTIF(MAIN!B:B, A157)=0, "Missing", "")</f>
        <v/>
      </c>
      <c r="E157" s="128" t="str">
        <f t="shared" si="1"/>
        <v/>
      </c>
    </row>
    <row r="158">
      <c r="A158" s="93" t="str">
        <f t="shared" si="2"/>
        <v>#15355</v>
      </c>
      <c r="B158" s="93" t="str">
        <f>IF(COUNTIF(MAIN!B:B, A158)=0, "Missing", "")</f>
        <v/>
      </c>
      <c r="E158" s="128" t="str">
        <f t="shared" si="1"/>
        <v/>
      </c>
    </row>
    <row r="159">
      <c r="A159" s="93" t="str">
        <f t="shared" si="2"/>
        <v>#15356</v>
      </c>
      <c r="B159" s="93" t="str">
        <f>IF(COUNTIF(MAIN!B:B, A159)=0, "Missing", "")</f>
        <v/>
      </c>
      <c r="E159" s="128" t="str">
        <f t="shared" si="1"/>
        <v/>
      </c>
    </row>
    <row r="160">
      <c r="A160" s="93" t="str">
        <f t="shared" si="2"/>
        <v>#15357</v>
      </c>
      <c r="B160" s="93" t="str">
        <f>IF(COUNTIF(MAIN!B:B, A160)=0, "Missing", "")</f>
        <v/>
      </c>
      <c r="E160" s="128" t="str">
        <f t="shared" si="1"/>
        <v/>
      </c>
    </row>
    <row r="161">
      <c r="A161" s="93" t="str">
        <f t="shared" si="2"/>
        <v>#15358</v>
      </c>
      <c r="B161" s="93" t="str">
        <f>IF(COUNTIF(MAIN!B:B, A161)=0, "Missing", "")</f>
        <v/>
      </c>
      <c r="E161" s="128" t="str">
        <f t="shared" si="1"/>
        <v/>
      </c>
    </row>
    <row r="162">
      <c r="A162" s="93" t="str">
        <f t="shared" si="2"/>
        <v>#15359</v>
      </c>
      <c r="B162" s="93" t="str">
        <f>IF(COUNTIF(MAIN!B:B, A162)=0, "Missing", "")</f>
        <v/>
      </c>
      <c r="E162" s="128" t="str">
        <f t="shared" si="1"/>
        <v/>
      </c>
    </row>
    <row r="163">
      <c r="A163" s="93" t="str">
        <f t="shared" si="2"/>
        <v>#15360</v>
      </c>
      <c r="B163" s="93" t="str">
        <f>IF(COUNTIF(MAIN!B:B, A163)=0, "Missing", "")</f>
        <v/>
      </c>
      <c r="E163" s="128" t="str">
        <f t="shared" si="1"/>
        <v/>
      </c>
    </row>
    <row r="164">
      <c r="A164" s="93" t="str">
        <f t="shared" si="2"/>
        <v>#15361</v>
      </c>
      <c r="B164" s="93" t="str">
        <f>IF(COUNTIF(MAIN!B:B, A164)=0, "Missing", "")</f>
        <v/>
      </c>
      <c r="E164" s="128" t="str">
        <f t="shared" si="1"/>
        <v/>
      </c>
    </row>
    <row r="165">
      <c r="A165" s="93" t="str">
        <f t="shared" si="2"/>
        <v>#15362</v>
      </c>
      <c r="B165" s="93" t="str">
        <f>IF(COUNTIF(MAIN!B:B, A165)=0, "Missing", "")</f>
        <v/>
      </c>
      <c r="E165" s="128" t="str">
        <f t="shared" si="1"/>
        <v/>
      </c>
    </row>
    <row r="166">
      <c r="A166" s="93" t="str">
        <f t="shared" si="2"/>
        <v>#15363</v>
      </c>
      <c r="B166" s="93" t="str">
        <f>IF(COUNTIF(MAIN!B:B, A166)=0, "Missing", "")</f>
        <v/>
      </c>
      <c r="E166" s="128" t="str">
        <f t="shared" si="1"/>
        <v/>
      </c>
    </row>
    <row r="167">
      <c r="A167" s="93" t="str">
        <f t="shared" si="2"/>
        <v>#15364</v>
      </c>
      <c r="B167" s="93" t="str">
        <f>IF(COUNTIF(MAIN!B:B, A167)=0, "Missing", "")</f>
        <v/>
      </c>
      <c r="E167" s="128" t="str">
        <f t="shared" si="1"/>
        <v/>
      </c>
    </row>
    <row r="168">
      <c r="A168" s="93" t="str">
        <f t="shared" si="2"/>
        <v>#15365</v>
      </c>
      <c r="B168" s="93" t="str">
        <f>IF(COUNTIF(MAIN!B:B, A168)=0, "Missing", "")</f>
        <v/>
      </c>
      <c r="E168" s="128" t="str">
        <f t="shared" si="1"/>
        <v/>
      </c>
    </row>
    <row r="169">
      <c r="A169" s="93" t="str">
        <f t="shared" si="2"/>
        <v>#15366</v>
      </c>
      <c r="B169" s="93" t="str">
        <f>IF(COUNTIF(MAIN!B:B, A169)=0, "Missing", "")</f>
        <v>Missing</v>
      </c>
      <c r="C169" s="84" t="s">
        <v>15228</v>
      </c>
      <c r="E169" s="131" t="str">
        <f t="shared" si="1"/>
        <v>https://utrucking.myshopify.com/admin/orders?query=15366</v>
      </c>
    </row>
    <row r="170">
      <c r="A170" s="93" t="str">
        <f t="shared" si="2"/>
        <v>#15367</v>
      </c>
      <c r="B170" s="93" t="str">
        <f>IF(COUNTIF(MAIN!B:B, A170)=0, "Missing", "")</f>
        <v/>
      </c>
      <c r="E170" s="128" t="str">
        <f t="shared" si="1"/>
        <v/>
      </c>
    </row>
    <row r="171">
      <c r="A171" s="93" t="str">
        <f t="shared" si="2"/>
        <v>#15368</v>
      </c>
      <c r="B171" s="93" t="str">
        <f>IF(COUNTIF(MAIN!B:B, A171)=0, "Missing", "")</f>
        <v/>
      </c>
      <c r="E171" s="128" t="str">
        <f t="shared" si="1"/>
        <v/>
      </c>
    </row>
    <row r="172">
      <c r="A172" s="93" t="str">
        <f t="shared" si="2"/>
        <v>#15369</v>
      </c>
      <c r="B172" s="93" t="str">
        <f>IF(COUNTIF(MAIN!B:B, A172)=0, "Missing", "")</f>
        <v/>
      </c>
      <c r="E172" s="128" t="str">
        <f t="shared" si="1"/>
        <v/>
      </c>
    </row>
    <row r="173">
      <c r="A173" s="93" t="str">
        <f t="shared" si="2"/>
        <v>#15370</v>
      </c>
      <c r="B173" s="93" t="str">
        <f>IF(COUNTIF(MAIN!B:B, A173)=0, "Missing", "")</f>
        <v/>
      </c>
      <c r="E173" s="128" t="str">
        <f t="shared" si="1"/>
        <v/>
      </c>
    </row>
    <row r="174">
      <c r="A174" s="93" t="str">
        <f t="shared" si="2"/>
        <v>#15371</v>
      </c>
      <c r="B174" s="93" t="str">
        <f>IF(COUNTIF(MAIN!B:B, A174)=0, "Missing", "")</f>
        <v/>
      </c>
      <c r="E174" s="128" t="str">
        <f t="shared" si="1"/>
        <v/>
      </c>
    </row>
    <row r="175">
      <c r="A175" s="93" t="str">
        <f t="shared" si="2"/>
        <v>#15372</v>
      </c>
      <c r="B175" s="93" t="str">
        <f>IF(COUNTIF(MAIN!B:B, A175)=0, "Missing", "")</f>
        <v/>
      </c>
      <c r="E175" s="128" t="str">
        <f t="shared" si="1"/>
        <v/>
      </c>
    </row>
    <row r="176">
      <c r="A176" s="93" t="str">
        <f t="shared" si="2"/>
        <v>#15373</v>
      </c>
      <c r="B176" s="93" t="str">
        <f>IF(COUNTIF(MAIN!B:B, A176)=0, "Missing", "")</f>
        <v/>
      </c>
      <c r="E176" s="128" t="str">
        <f t="shared" si="1"/>
        <v/>
      </c>
    </row>
    <row r="177">
      <c r="A177" s="93" t="str">
        <f t="shared" si="2"/>
        <v>#15374</v>
      </c>
      <c r="B177" s="93" t="str">
        <f>IF(COUNTIF(MAIN!B:B, A177)=0, "Missing", "")</f>
        <v/>
      </c>
      <c r="E177" s="128" t="str">
        <f t="shared" si="1"/>
        <v/>
      </c>
    </row>
    <row r="178">
      <c r="A178" s="93" t="str">
        <f t="shared" si="2"/>
        <v>#15375</v>
      </c>
      <c r="B178" s="93" t="str">
        <f>IF(COUNTIF(MAIN!B:B, A178)=0, "Missing", "")</f>
        <v/>
      </c>
      <c r="E178" s="128" t="str">
        <f t="shared" si="1"/>
        <v/>
      </c>
    </row>
    <row r="179">
      <c r="A179" s="93" t="str">
        <f t="shared" si="2"/>
        <v>#15376</v>
      </c>
      <c r="B179" s="93" t="str">
        <f>IF(COUNTIF(MAIN!B:B, A179)=0, "Missing", "")</f>
        <v/>
      </c>
      <c r="E179" s="128" t="str">
        <f t="shared" si="1"/>
        <v/>
      </c>
    </row>
    <row r="180">
      <c r="A180" s="93" t="str">
        <f t="shared" si="2"/>
        <v>#15377</v>
      </c>
      <c r="B180" s="93" t="str">
        <f>IF(COUNTIF(MAIN!B:B, A180)=0, "Missing", "")</f>
        <v/>
      </c>
      <c r="E180" s="128" t="str">
        <f t="shared" si="1"/>
        <v/>
      </c>
    </row>
    <row r="181">
      <c r="A181" s="93" t="str">
        <f t="shared" si="2"/>
        <v>#15378</v>
      </c>
      <c r="B181" s="93" t="str">
        <f>IF(COUNTIF(MAIN!B:B, A181)=0, "Missing", "")</f>
        <v/>
      </c>
      <c r="E181" s="128" t="str">
        <f t="shared" si="1"/>
        <v/>
      </c>
    </row>
    <row r="182">
      <c r="A182" s="93" t="str">
        <f t="shared" si="2"/>
        <v>#15379</v>
      </c>
      <c r="B182" s="93" t="str">
        <f>IF(COUNTIF(MAIN!B:B, A182)=0, "Missing", "")</f>
        <v/>
      </c>
      <c r="E182" s="128" t="str">
        <f t="shared" si="1"/>
        <v/>
      </c>
    </row>
    <row r="183">
      <c r="A183" s="93" t="str">
        <f t="shared" si="2"/>
        <v>#15380</v>
      </c>
      <c r="B183" s="93" t="str">
        <f>IF(COUNTIF(MAIN!B:B, A183)=0, "Missing", "")</f>
        <v/>
      </c>
      <c r="E183" s="128" t="str">
        <f t="shared" si="1"/>
        <v/>
      </c>
    </row>
    <row r="184">
      <c r="A184" s="93" t="str">
        <f t="shared" si="2"/>
        <v>#15381</v>
      </c>
      <c r="B184" s="93" t="str">
        <f>IF(COUNTIF(MAIN!B:B, A184)=0, "Missing", "")</f>
        <v/>
      </c>
      <c r="E184" s="128" t="str">
        <f t="shared" si="1"/>
        <v/>
      </c>
    </row>
    <row r="185">
      <c r="A185" s="93" t="str">
        <f t="shared" si="2"/>
        <v>#15382</v>
      </c>
      <c r="B185" s="93" t="str">
        <f>IF(COUNTIF(MAIN!B:B, A185)=0, "Missing", "")</f>
        <v/>
      </c>
      <c r="E185" s="128" t="str">
        <f t="shared" si="1"/>
        <v/>
      </c>
    </row>
    <row r="186">
      <c r="A186" s="93" t="str">
        <f t="shared" si="2"/>
        <v>#15383</v>
      </c>
      <c r="B186" s="93" t="str">
        <f>IF(COUNTIF(MAIN!B:B, A186)=0, "Missing", "")</f>
        <v/>
      </c>
      <c r="E186" s="128" t="str">
        <f t="shared" si="1"/>
        <v/>
      </c>
    </row>
    <row r="187">
      <c r="A187" s="93" t="str">
        <f t="shared" si="2"/>
        <v>#15384</v>
      </c>
      <c r="B187" s="93" t="str">
        <f>IF(COUNTIF(MAIN!B:B, A187)=0, "Missing", "")</f>
        <v/>
      </c>
      <c r="E187" s="128" t="str">
        <f t="shared" si="1"/>
        <v/>
      </c>
    </row>
    <row r="188">
      <c r="A188" s="93" t="str">
        <f t="shared" si="2"/>
        <v>#15385</v>
      </c>
      <c r="B188" s="93" t="str">
        <f>IF(COUNTIF(MAIN!B:B, A188)=0, "Missing", "")</f>
        <v/>
      </c>
      <c r="E188" s="128" t="str">
        <f t="shared" si="1"/>
        <v/>
      </c>
    </row>
    <row r="189">
      <c r="A189" s="93" t="str">
        <f t="shared" si="2"/>
        <v>#15386</v>
      </c>
      <c r="B189" s="93" t="str">
        <f>IF(COUNTIF(MAIN!B:B, A189)=0, "Missing", "")</f>
        <v/>
      </c>
      <c r="E189" s="128" t="str">
        <f t="shared" si="1"/>
        <v/>
      </c>
    </row>
    <row r="190">
      <c r="A190" s="93" t="str">
        <f t="shared" si="2"/>
        <v>#15387</v>
      </c>
      <c r="B190" s="93" t="str">
        <f>IF(COUNTIF(MAIN!B:B, A190)=0, "Missing", "")</f>
        <v/>
      </c>
      <c r="E190" s="128" t="str">
        <f t="shared" si="1"/>
        <v/>
      </c>
    </row>
    <row r="191">
      <c r="A191" s="93" t="str">
        <f t="shared" si="2"/>
        <v>#15388</v>
      </c>
      <c r="B191" s="93" t="str">
        <f>IF(COUNTIF(MAIN!B:B, A191)=0, "Missing", "")</f>
        <v/>
      </c>
      <c r="E191" s="128" t="str">
        <f t="shared" si="1"/>
        <v/>
      </c>
    </row>
    <row r="192">
      <c r="A192" s="93" t="str">
        <f t="shared" si="2"/>
        <v>#15389</v>
      </c>
      <c r="B192" s="93" t="str">
        <f>IF(COUNTIF(MAIN!B:B, A192)=0, "Missing", "")</f>
        <v/>
      </c>
      <c r="E192" s="128" t="str">
        <f t="shared" si="1"/>
        <v/>
      </c>
    </row>
    <row r="193">
      <c r="A193" s="93" t="str">
        <f t="shared" si="2"/>
        <v>#15390</v>
      </c>
      <c r="B193" s="93" t="str">
        <f>IF(COUNTIF(MAIN!B:B, A193)=0, "Missing", "")</f>
        <v/>
      </c>
      <c r="E193" s="128" t="str">
        <f t="shared" si="1"/>
        <v/>
      </c>
    </row>
    <row r="194">
      <c r="A194" s="93" t="str">
        <f t="shared" si="2"/>
        <v>#15391</v>
      </c>
      <c r="B194" s="93" t="str">
        <f>IF(COUNTIF(MAIN!B:B, A194)=0, "Missing", "")</f>
        <v/>
      </c>
      <c r="E194" s="128" t="str">
        <f t="shared" si="1"/>
        <v/>
      </c>
    </row>
    <row r="195">
      <c r="A195" s="93" t="str">
        <f t="shared" si="2"/>
        <v>#15392</v>
      </c>
      <c r="B195" s="93" t="str">
        <f>IF(COUNTIF(MAIN!B:B, A195)=0, "Missing", "")</f>
        <v/>
      </c>
      <c r="E195" s="128" t="str">
        <f t="shared" si="1"/>
        <v/>
      </c>
    </row>
    <row r="196">
      <c r="A196" s="93" t="str">
        <f t="shared" si="2"/>
        <v>#15393</v>
      </c>
      <c r="B196" s="93" t="str">
        <f>IF(COUNTIF(MAIN!B:B, A196)=0, "Missing", "")</f>
        <v/>
      </c>
      <c r="E196" s="128" t="str">
        <f t="shared" si="1"/>
        <v/>
      </c>
    </row>
    <row r="197">
      <c r="A197" s="93" t="str">
        <f t="shared" si="2"/>
        <v>#15394</v>
      </c>
      <c r="B197" s="93" t="str">
        <f>IF(COUNTIF(MAIN!B:B, A197)=0, "Missing", "")</f>
        <v/>
      </c>
      <c r="E197" s="128" t="str">
        <f t="shared" si="1"/>
        <v/>
      </c>
    </row>
    <row r="198">
      <c r="A198" s="93" t="str">
        <f t="shared" si="2"/>
        <v>#15395</v>
      </c>
      <c r="B198" s="93" t="str">
        <f>IF(COUNTIF(MAIN!B:B, A198)=0, "Missing", "")</f>
        <v/>
      </c>
      <c r="E198" s="128" t="str">
        <f t="shared" si="1"/>
        <v/>
      </c>
    </row>
    <row r="199">
      <c r="A199" s="93" t="str">
        <f t="shared" si="2"/>
        <v>#15396</v>
      </c>
      <c r="B199" s="93" t="str">
        <f>IF(COUNTIF(MAIN!B:B, A199)=0, "Missing", "")</f>
        <v/>
      </c>
      <c r="E199" s="128" t="str">
        <f t="shared" si="1"/>
        <v/>
      </c>
    </row>
    <row r="200">
      <c r="A200" s="93" t="str">
        <f t="shared" si="2"/>
        <v>#15397</v>
      </c>
      <c r="B200" s="93" t="str">
        <f>IF(COUNTIF(MAIN!B:B, A200)=0, "Missing", "")</f>
        <v/>
      </c>
      <c r="E200" s="128" t="str">
        <f t="shared" si="1"/>
        <v/>
      </c>
    </row>
    <row r="201">
      <c r="A201" s="93" t="str">
        <f t="shared" si="2"/>
        <v>#15398</v>
      </c>
      <c r="B201" s="93" t="str">
        <f>IF(COUNTIF(MAIN!B:B, A201)=0, "Missing", "")</f>
        <v/>
      </c>
      <c r="E201" s="128" t="str">
        <f t="shared" si="1"/>
        <v/>
      </c>
    </row>
    <row r="202">
      <c r="A202" s="93" t="str">
        <f t="shared" si="2"/>
        <v>#15399</v>
      </c>
      <c r="B202" s="93" t="str">
        <f>IF(COUNTIF(MAIN!B:B, A202)=0, "Missing", "")</f>
        <v/>
      </c>
      <c r="E202" s="128" t="str">
        <f t="shared" si="1"/>
        <v/>
      </c>
    </row>
    <row r="203">
      <c r="A203" s="93" t="str">
        <f t="shared" si="2"/>
        <v>#15400</v>
      </c>
      <c r="B203" s="93" t="str">
        <f>IF(COUNTIF(MAIN!B:B, A203)=0, "Missing", "")</f>
        <v/>
      </c>
      <c r="E203" s="128" t="str">
        <f t="shared" si="1"/>
        <v/>
      </c>
    </row>
    <row r="204">
      <c r="A204" s="93" t="str">
        <f t="shared" si="2"/>
        <v>#15401</v>
      </c>
      <c r="B204" s="93" t="str">
        <f>IF(COUNTIF(MAIN!B:B, A204)=0, "Missing", "")</f>
        <v/>
      </c>
      <c r="E204" s="128" t="str">
        <f t="shared" si="1"/>
        <v/>
      </c>
    </row>
    <row r="205">
      <c r="A205" s="93" t="str">
        <f t="shared" si="2"/>
        <v>#15402</v>
      </c>
      <c r="B205" s="93" t="str">
        <f>IF(COUNTIF(MAIN!B:B, A205)=0, "Missing", "")</f>
        <v/>
      </c>
      <c r="E205" s="128" t="str">
        <f t="shared" si="1"/>
        <v/>
      </c>
    </row>
    <row r="206">
      <c r="A206" s="93" t="str">
        <f t="shared" si="2"/>
        <v>#15403</v>
      </c>
      <c r="B206" s="93" t="str">
        <f>IF(COUNTIF(MAIN!B:B, A206)=0, "Missing", "")</f>
        <v/>
      </c>
      <c r="E206" s="128" t="str">
        <f t="shared" si="1"/>
        <v/>
      </c>
    </row>
    <row r="207">
      <c r="A207" s="93" t="str">
        <f t="shared" si="2"/>
        <v>#15404</v>
      </c>
      <c r="B207" s="93" t="str">
        <f>IF(COUNTIF(MAIN!B:B, A207)=0, "Missing", "")</f>
        <v/>
      </c>
      <c r="E207" s="128" t="str">
        <f t="shared" si="1"/>
        <v/>
      </c>
    </row>
    <row r="208">
      <c r="A208" s="93" t="str">
        <f t="shared" si="2"/>
        <v>#15405</v>
      </c>
      <c r="B208" s="93" t="str">
        <f>IF(COUNTIF(MAIN!B:B, A208)=0, "Missing", "")</f>
        <v/>
      </c>
      <c r="E208" s="128" t="str">
        <f t="shared" si="1"/>
        <v/>
      </c>
    </row>
    <row r="209">
      <c r="A209" s="93" t="str">
        <f t="shared" si="2"/>
        <v>#15406</v>
      </c>
      <c r="B209" s="93" t="str">
        <f>IF(COUNTIF(MAIN!B:B, A209)=0, "Missing", "")</f>
        <v/>
      </c>
      <c r="E209" s="128" t="str">
        <f t="shared" si="1"/>
        <v/>
      </c>
    </row>
    <row r="210">
      <c r="A210" s="93" t="str">
        <f t="shared" si="2"/>
        <v>#15407</v>
      </c>
      <c r="B210" s="93" t="str">
        <f>IF(COUNTIF(MAIN!B:B, A210)=0, "Missing", "")</f>
        <v/>
      </c>
      <c r="E210" s="128" t="str">
        <f t="shared" si="1"/>
        <v/>
      </c>
    </row>
    <row r="211">
      <c r="A211" s="93" t="str">
        <f t="shared" si="2"/>
        <v>#15408</v>
      </c>
      <c r="B211" s="93" t="str">
        <f>IF(COUNTIF(MAIN!B:B, A211)=0, "Missing", "")</f>
        <v/>
      </c>
      <c r="E211" s="128" t="str">
        <f t="shared" si="1"/>
        <v/>
      </c>
    </row>
    <row r="212">
      <c r="A212" s="93" t="str">
        <f t="shared" si="2"/>
        <v>#15409</v>
      </c>
      <c r="B212" s="93" t="str">
        <f>IF(COUNTIF(MAIN!B:B, A212)=0, "Missing", "")</f>
        <v/>
      </c>
      <c r="E212" s="128" t="str">
        <f t="shared" si="1"/>
        <v/>
      </c>
    </row>
    <row r="213">
      <c r="A213" s="93" t="str">
        <f t="shared" si="2"/>
        <v>#15410</v>
      </c>
      <c r="B213" s="93" t="str">
        <f>IF(COUNTIF(MAIN!B:B, A213)=0, "Missing", "")</f>
        <v/>
      </c>
      <c r="E213" s="128" t="str">
        <f t="shared" si="1"/>
        <v/>
      </c>
    </row>
    <row r="214">
      <c r="A214" s="93" t="str">
        <f t="shared" si="2"/>
        <v>#15411</v>
      </c>
      <c r="B214" s="93" t="str">
        <f>IF(COUNTIF(MAIN!B:B, A214)=0, "Missing", "")</f>
        <v/>
      </c>
      <c r="E214" s="128" t="str">
        <f t="shared" si="1"/>
        <v/>
      </c>
    </row>
    <row r="215">
      <c r="A215" s="93" t="str">
        <f t="shared" si="2"/>
        <v>#15412</v>
      </c>
      <c r="B215" s="93" t="str">
        <f>IF(COUNTIF(MAIN!B:B, A215)=0, "Missing", "")</f>
        <v/>
      </c>
      <c r="E215" s="128" t="str">
        <f t="shared" si="1"/>
        <v/>
      </c>
    </row>
    <row r="216">
      <c r="A216" s="93" t="str">
        <f t="shared" si="2"/>
        <v>#15413</v>
      </c>
      <c r="B216" s="93" t="str">
        <f>IF(COUNTIF(MAIN!B:B, A216)=0, "Missing", "")</f>
        <v/>
      </c>
      <c r="E216" s="128" t="str">
        <f t="shared" si="1"/>
        <v/>
      </c>
    </row>
    <row r="217">
      <c r="A217" s="93" t="str">
        <f t="shared" si="2"/>
        <v>#15414</v>
      </c>
      <c r="B217" s="93" t="str">
        <f>IF(COUNTIF(MAIN!B:B, A217)=0, "Missing", "")</f>
        <v/>
      </c>
      <c r="E217" s="128" t="str">
        <f t="shared" si="1"/>
        <v/>
      </c>
    </row>
    <row r="218">
      <c r="A218" s="93" t="str">
        <f t="shared" si="2"/>
        <v>#15415</v>
      </c>
      <c r="B218" s="93" t="str">
        <f>IF(COUNTIF(MAIN!B:B, A218)=0, "Missing", "")</f>
        <v/>
      </c>
      <c r="E218" s="128" t="str">
        <f t="shared" si="1"/>
        <v/>
      </c>
    </row>
    <row r="219">
      <c r="A219" s="93" t="str">
        <f t="shared" si="2"/>
        <v>#15416</v>
      </c>
      <c r="B219" s="93" t="str">
        <f>IF(COUNTIF(MAIN!B:B, A219)=0, "Missing", "")</f>
        <v/>
      </c>
      <c r="E219" s="128" t="str">
        <f t="shared" si="1"/>
        <v/>
      </c>
    </row>
    <row r="220">
      <c r="A220" s="93" t="str">
        <f t="shared" si="2"/>
        <v>#15417</v>
      </c>
      <c r="B220" s="93" t="str">
        <f>IF(COUNTIF(MAIN!B:B, A220)=0, "Missing", "")</f>
        <v/>
      </c>
      <c r="E220" s="128" t="str">
        <f t="shared" si="1"/>
        <v/>
      </c>
    </row>
    <row r="221">
      <c r="A221" s="93" t="str">
        <f t="shared" si="2"/>
        <v>#15418</v>
      </c>
      <c r="B221" s="93" t="str">
        <f>IF(COUNTIF(MAIN!B:B, A221)=0, "Missing", "")</f>
        <v/>
      </c>
      <c r="E221" s="128" t="str">
        <f t="shared" si="1"/>
        <v/>
      </c>
    </row>
    <row r="222">
      <c r="A222" s="93" t="str">
        <f t="shared" si="2"/>
        <v>#15419</v>
      </c>
      <c r="B222" s="93" t="str">
        <f>IF(COUNTIF(MAIN!B:B, A222)=0, "Missing", "")</f>
        <v/>
      </c>
      <c r="E222" s="128" t="str">
        <f t="shared" si="1"/>
        <v/>
      </c>
    </row>
    <row r="223">
      <c r="A223" s="93" t="str">
        <f t="shared" si="2"/>
        <v>#15420</v>
      </c>
      <c r="B223" s="93" t="str">
        <f>IF(COUNTIF(MAIN!B:B, A223)=0, "Missing", "")</f>
        <v/>
      </c>
      <c r="E223" s="128" t="str">
        <f t="shared" si="1"/>
        <v/>
      </c>
    </row>
    <row r="224">
      <c r="A224" s="93" t="str">
        <f t="shared" si="2"/>
        <v>#15421</v>
      </c>
      <c r="B224" s="93" t="str">
        <f>IF(COUNTIF(MAIN!B:B, A224)=0, "Missing", "")</f>
        <v/>
      </c>
      <c r="E224" s="128" t="str">
        <f t="shared" si="1"/>
        <v/>
      </c>
    </row>
    <row r="225">
      <c r="A225" s="93" t="str">
        <f t="shared" si="2"/>
        <v>#15422</v>
      </c>
      <c r="B225" s="93" t="str">
        <f>IF(COUNTIF(MAIN!B:B, A225)=0, "Missing", "")</f>
        <v/>
      </c>
      <c r="E225" s="128" t="str">
        <f t="shared" si="1"/>
        <v/>
      </c>
    </row>
    <row r="226">
      <c r="A226" s="93" t="str">
        <f t="shared" si="2"/>
        <v>#15423</v>
      </c>
      <c r="B226" s="93" t="str">
        <f>IF(COUNTIF(MAIN!B:B, A226)=0, "Missing", "")</f>
        <v/>
      </c>
      <c r="E226" s="128" t="str">
        <f t="shared" si="1"/>
        <v/>
      </c>
    </row>
    <row r="227">
      <c r="A227" s="93" t="str">
        <f t="shared" si="2"/>
        <v>#15424</v>
      </c>
      <c r="B227" s="93" t="str">
        <f>IF(COUNTIF(MAIN!B:B, A227)=0, "Missing", "")</f>
        <v/>
      </c>
      <c r="E227" s="128" t="str">
        <f t="shared" si="1"/>
        <v/>
      </c>
    </row>
    <row r="228">
      <c r="A228" s="93" t="str">
        <f t="shared" si="2"/>
        <v>#15425</v>
      </c>
      <c r="B228" s="93" t="str">
        <f>IF(COUNTIF(MAIN!B:B, A228)=0, "Missing", "")</f>
        <v/>
      </c>
      <c r="E228" s="128" t="str">
        <f t="shared" si="1"/>
        <v/>
      </c>
    </row>
    <row r="229">
      <c r="A229" s="93" t="str">
        <f t="shared" si="2"/>
        <v>#15426</v>
      </c>
      <c r="B229" s="93" t="str">
        <f>IF(COUNTIF(MAIN!B:B, A229)=0, "Missing", "")</f>
        <v/>
      </c>
      <c r="E229" s="128" t="str">
        <f t="shared" si="1"/>
        <v/>
      </c>
    </row>
    <row r="230">
      <c r="A230" s="93" t="str">
        <f t="shared" si="2"/>
        <v>#15427</v>
      </c>
      <c r="B230" s="93" t="str">
        <f>IF(COUNTIF(MAIN!B:B, A230)=0, "Missing", "")</f>
        <v/>
      </c>
      <c r="E230" s="128" t="str">
        <f t="shared" si="1"/>
        <v/>
      </c>
    </row>
    <row r="231">
      <c r="A231" s="93" t="str">
        <f t="shared" si="2"/>
        <v>#15428</v>
      </c>
      <c r="B231" s="93" t="str">
        <f>IF(COUNTIF(MAIN!B:B, A231)=0, "Missing", "")</f>
        <v/>
      </c>
      <c r="E231" s="128" t="str">
        <f t="shared" si="1"/>
        <v/>
      </c>
    </row>
    <row r="232">
      <c r="A232" s="93" t="str">
        <f t="shared" si="2"/>
        <v>#15429</v>
      </c>
      <c r="B232" s="93" t="str">
        <f>IF(COUNTIF(MAIN!B:B, A232)=0, "Missing", "")</f>
        <v/>
      </c>
      <c r="E232" s="128" t="str">
        <f t="shared" si="1"/>
        <v/>
      </c>
    </row>
    <row r="233">
      <c r="A233" s="93" t="str">
        <f t="shared" si="2"/>
        <v>#15430</v>
      </c>
      <c r="B233" s="93" t="str">
        <f>IF(COUNTIF(MAIN!B:B, A233)=0, "Missing", "")</f>
        <v>Missing</v>
      </c>
      <c r="C233" s="84" t="s">
        <v>15231</v>
      </c>
      <c r="D233" s="84"/>
      <c r="E233" s="131" t="str">
        <f t="shared" si="1"/>
        <v>https://utrucking.myshopify.com/admin/orders?query=15430</v>
      </c>
    </row>
    <row r="234">
      <c r="A234" s="93" t="str">
        <f t="shared" si="2"/>
        <v>#15431</v>
      </c>
      <c r="B234" s="93" t="str">
        <f>IF(COUNTIF(MAIN!B:B, A234)=0, "Missing", "")</f>
        <v/>
      </c>
      <c r="E234" s="128" t="str">
        <f t="shared" si="1"/>
        <v/>
      </c>
    </row>
    <row r="235">
      <c r="A235" s="93" t="str">
        <f t="shared" si="2"/>
        <v>#15432</v>
      </c>
      <c r="B235" s="93" t="str">
        <f>IF(COUNTIF(MAIN!B:B, A235)=0, "Missing", "")</f>
        <v/>
      </c>
      <c r="E235" s="128" t="str">
        <f t="shared" si="1"/>
        <v/>
      </c>
    </row>
    <row r="236">
      <c r="A236" s="93" t="str">
        <f t="shared" si="2"/>
        <v>#15433</v>
      </c>
      <c r="B236" s="93" t="str">
        <f>IF(COUNTIF(MAIN!B:B, A236)=0, "Missing", "")</f>
        <v>Missing</v>
      </c>
      <c r="C236" s="84" t="s">
        <v>14071</v>
      </c>
      <c r="D236" s="84"/>
      <c r="E236" s="131" t="str">
        <f t="shared" si="1"/>
        <v>https://utrucking.myshopify.com/admin/orders?query=15433</v>
      </c>
    </row>
    <row r="237">
      <c r="A237" s="93" t="str">
        <f t="shared" si="2"/>
        <v>#15434</v>
      </c>
      <c r="B237" s="93" t="str">
        <f>IF(COUNTIF(MAIN!B:B, A237)=0, "Missing", "")</f>
        <v/>
      </c>
      <c r="E237" s="128" t="str">
        <f t="shared" si="1"/>
        <v/>
      </c>
    </row>
    <row r="238">
      <c r="A238" s="93" t="str">
        <f t="shared" si="2"/>
        <v>#15435</v>
      </c>
      <c r="B238" s="93" t="str">
        <f>IF(COUNTIF(MAIN!B:B, A238)=0, "Missing", "")</f>
        <v/>
      </c>
      <c r="E238" s="128" t="str">
        <f t="shared" si="1"/>
        <v/>
      </c>
    </row>
    <row r="239">
      <c r="A239" s="93" t="str">
        <f t="shared" si="2"/>
        <v>#15436</v>
      </c>
      <c r="B239" s="93" t="str">
        <f>IF(COUNTIF(MAIN!B:B, A239)=0, "Missing", "")</f>
        <v/>
      </c>
      <c r="E239" s="128" t="str">
        <f t="shared" si="1"/>
        <v/>
      </c>
    </row>
    <row r="240">
      <c r="A240" s="93" t="str">
        <f t="shared" si="2"/>
        <v>#15437</v>
      </c>
      <c r="B240" s="93" t="str">
        <f>IF(COUNTIF(MAIN!B:B, A240)=0, "Missing", "")</f>
        <v/>
      </c>
      <c r="E240" s="128" t="str">
        <f t="shared" si="1"/>
        <v/>
      </c>
    </row>
    <row r="241">
      <c r="A241" s="93" t="str">
        <f t="shared" si="2"/>
        <v>#15438</v>
      </c>
      <c r="B241" s="93" t="str">
        <f>IF(COUNTIF(MAIN!B:B, A241)=0, "Missing", "")</f>
        <v/>
      </c>
      <c r="E241" s="128" t="str">
        <f t="shared" si="1"/>
        <v/>
      </c>
    </row>
    <row r="242">
      <c r="A242" s="93" t="str">
        <f t="shared" si="2"/>
        <v>#15439</v>
      </c>
      <c r="B242" s="93" t="str">
        <f>IF(COUNTIF(MAIN!B:B, A242)=0, "Missing", "")</f>
        <v/>
      </c>
      <c r="E242" s="128" t="str">
        <f t="shared" si="1"/>
        <v/>
      </c>
    </row>
    <row r="243">
      <c r="A243" s="93" t="str">
        <f t="shared" si="2"/>
        <v>#15440</v>
      </c>
      <c r="B243" s="93" t="str">
        <f>IF(COUNTIF(MAIN!B:B, A243)=0, "Missing", "")</f>
        <v/>
      </c>
      <c r="E243" s="128" t="str">
        <f t="shared" si="1"/>
        <v/>
      </c>
    </row>
    <row r="244">
      <c r="A244" s="93" t="str">
        <f t="shared" si="2"/>
        <v>#15441</v>
      </c>
      <c r="B244" s="93" t="str">
        <f>IF(COUNTIF(MAIN!B:B, A244)=0, "Missing", "")</f>
        <v/>
      </c>
      <c r="E244" s="128" t="str">
        <f t="shared" si="1"/>
        <v/>
      </c>
    </row>
    <row r="245">
      <c r="A245" s="93" t="str">
        <f t="shared" si="2"/>
        <v>#15442</v>
      </c>
      <c r="B245" s="93" t="str">
        <f>IF(COUNTIF(MAIN!B:B, A245)=0, "Missing", "")</f>
        <v/>
      </c>
      <c r="E245" s="128" t="str">
        <f t="shared" si="1"/>
        <v/>
      </c>
    </row>
    <row r="246">
      <c r="A246" s="93" t="str">
        <f t="shared" si="2"/>
        <v>#15443</v>
      </c>
      <c r="B246" s="93" t="str">
        <f>IF(COUNTIF(MAIN!B:B, A246)=0, "Missing", "")</f>
        <v/>
      </c>
      <c r="E246" s="128" t="str">
        <f t="shared" si="1"/>
        <v/>
      </c>
    </row>
    <row r="247">
      <c r="A247" s="93" t="str">
        <f t="shared" si="2"/>
        <v>#15444</v>
      </c>
      <c r="B247" s="93" t="str">
        <f>IF(COUNTIF(MAIN!B:B, A247)=0, "Missing", "")</f>
        <v/>
      </c>
      <c r="E247" s="128" t="str">
        <f t="shared" si="1"/>
        <v/>
      </c>
    </row>
    <row r="248">
      <c r="A248" s="93" t="str">
        <f t="shared" si="2"/>
        <v>#15445</v>
      </c>
      <c r="B248" s="93" t="str">
        <f>IF(COUNTIF(MAIN!B:B, A248)=0, "Missing", "")</f>
        <v/>
      </c>
      <c r="E248" s="128" t="str">
        <f t="shared" si="1"/>
        <v/>
      </c>
    </row>
    <row r="249">
      <c r="A249" s="93" t="str">
        <f t="shared" si="2"/>
        <v>#15446</v>
      </c>
      <c r="B249" s="93" t="str">
        <f>IF(COUNTIF(MAIN!B:B, A249)=0, "Missing", "")</f>
        <v/>
      </c>
      <c r="E249" s="128" t="str">
        <f t="shared" si="1"/>
        <v/>
      </c>
    </row>
    <row r="250">
      <c r="A250" s="93" t="str">
        <f t="shared" si="2"/>
        <v>#15447</v>
      </c>
      <c r="B250" s="93" t="str">
        <f>IF(COUNTIF(MAIN!B:B, A250)=0, "Missing", "")</f>
        <v/>
      </c>
      <c r="E250" s="128" t="str">
        <f t="shared" si="1"/>
        <v/>
      </c>
    </row>
    <row r="251">
      <c r="A251" s="93" t="str">
        <f t="shared" si="2"/>
        <v>#15448</v>
      </c>
      <c r="B251" s="93" t="str">
        <f>IF(COUNTIF(MAIN!B:B, A251)=0, "Missing", "")</f>
        <v/>
      </c>
      <c r="E251" s="128" t="str">
        <f t="shared" si="1"/>
        <v/>
      </c>
    </row>
    <row r="252">
      <c r="A252" s="93" t="str">
        <f t="shared" si="2"/>
        <v>#15449</v>
      </c>
      <c r="B252" s="93" t="str">
        <f>IF(COUNTIF(MAIN!B:B, A252)=0, "Missing", "")</f>
        <v/>
      </c>
      <c r="E252" s="128" t="str">
        <f t="shared" si="1"/>
        <v/>
      </c>
    </row>
    <row r="253">
      <c r="A253" s="93" t="str">
        <f t="shared" si="2"/>
        <v>#15450</v>
      </c>
      <c r="B253" s="93" t="str">
        <f>IF(COUNTIF(MAIN!B:B, A253)=0, "Missing", "")</f>
        <v/>
      </c>
      <c r="E253" s="128" t="str">
        <f t="shared" si="1"/>
        <v/>
      </c>
    </row>
    <row r="254">
      <c r="A254" s="93" t="str">
        <f t="shared" si="2"/>
        <v>#15451</v>
      </c>
      <c r="B254" s="93" t="str">
        <f>IF(COUNTIF(MAIN!B:B, A254)=0, "Missing", "")</f>
        <v/>
      </c>
      <c r="E254" s="128" t="str">
        <f t="shared" si="1"/>
        <v/>
      </c>
    </row>
    <row r="255">
      <c r="A255" s="93" t="str">
        <f t="shared" si="2"/>
        <v>#15452</v>
      </c>
      <c r="B255" s="93" t="str">
        <f>IF(COUNTIF(MAIN!B:B, A255)=0, "Missing", "")</f>
        <v/>
      </c>
      <c r="E255" s="128" t="str">
        <f t="shared" si="1"/>
        <v/>
      </c>
    </row>
    <row r="256">
      <c r="A256" s="93" t="str">
        <f t="shared" si="2"/>
        <v>#15453</v>
      </c>
      <c r="B256" s="93" t="str">
        <f>IF(COUNTIF(MAIN!B:B, A256)=0, "Missing", "")</f>
        <v/>
      </c>
      <c r="E256" s="128" t="str">
        <f t="shared" si="1"/>
        <v/>
      </c>
    </row>
    <row r="257">
      <c r="A257" s="93" t="str">
        <f t="shared" si="2"/>
        <v>#15454</v>
      </c>
      <c r="B257" s="93" t="str">
        <f>IF(COUNTIF(MAIN!B:B, A257)=0, "Missing", "")</f>
        <v/>
      </c>
      <c r="E257" s="128" t="str">
        <f t="shared" si="1"/>
        <v/>
      </c>
    </row>
    <row r="258">
      <c r="A258" s="93" t="str">
        <f t="shared" si="2"/>
        <v>#15455</v>
      </c>
      <c r="B258" s="93" t="str">
        <f>IF(COUNTIF(MAIN!B:B, A258)=0, "Missing", "")</f>
        <v/>
      </c>
      <c r="E258" s="128" t="str">
        <f t="shared" si="1"/>
        <v/>
      </c>
    </row>
    <row r="259">
      <c r="A259" s="93" t="str">
        <f t="shared" si="2"/>
        <v>#15456</v>
      </c>
      <c r="B259" s="93" t="str">
        <f>IF(COUNTIF(MAIN!B:B, A259)=0, "Missing", "")</f>
        <v/>
      </c>
      <c r="E259" s="128" t="str">
        <f t="shared" si="1"/>
        <v/>
      </c>
    </row>
    <row r="260">
      <c r="A260" s="93" t="str">
        <f t="shared" si="2"/>
        <v>#15457</v>
      </c>
      <c r="B260" s="93" t="str">
        <f>IF(COUNTIF(MAIN!B:B, A260)=0, "Missing", "")</f>
        <v/>
      </c>
      <c r="E260" s="128" t="str">
        <f t="shared" si="1"/>
        <v/>
      </c>
    </row>
    <row r="261">
      <c r="A261" s="93" t="str">
        <f t="shared" si="2"/>
        <v>#15458</v>
      </c>
      <c r="B261" s="93" t="str">
        <f>IF(COUNTIF(MAIN!B:B, A261)=0, "Missing", "")</f>
        <v/>
      </c>
      <c r="E261" s="128" t="str">
        <f t="shared" si="1"/>
        <v/>
      </c>
    </row>
    <row r="262">
      <c r="A262" s="93" t="str">
        <f t="shared" si="2"/>
        <v>#15459</v>
      </c>
      <c r="B262" s="93" t="str">
        <f>IF(COUNTIF(MAIN!B:B, A262)=0, "Missing", "")</f>
        <v/>
      </c>
      <c r="E262" s="128" t="str">
        <f t="shared" si="1"/>
        <v/>
      </c>
    </row>
    <row r="263">
      <c r="A263" s="93" t="str">
        <f t="shared" si="2"/>
        <v>#15460</v>
      </c>
      <c r="B263" s="93" t="str">
        <f>IF(COUNTIF(MAIN!B:B, A263)=0, "Missing", "")</f>
        <v/>
      </c>
      <c r="E263" s="128" t="str">
        <f t="shared" si="1"/>
        <v/>
      </c>
    </row>
    <row r="264">
      <c r="A264" s="93" t="str">
        <f t="shared" si="2"/>
        <v>#15461</v>
      </c>
      <c r="B264" s="93" t="str">
        <f>IF(COUNTIF(MAIN!B:B, A264)=0, "Missing", "")</f>
        <v/>
      </c>
      <c r="E264" s="128" t="str">
        <f t="shared" si="1"/>
        <v/>
      </c>
    </row>
    <row r="265">
      <c r="A265" s="93" t="str">
        <f t="shared" si="2"/>
        <v>#15462</v>
      </c>
      <c r="B265" s="93" t="str">
        <f>IF(COUNTIF(MAIN!B:B, A265)=0, "Missing", "")</f>
        <v/>
      </c>
      <c r="E265" s="128" t="str">
        <f t="shared" si="1"/>
        <v/>
      </c>
    </row>
    <row r="266">
      <c r="A266" s="93" t="str">
        <f t="shared" si="2"/>
        <v>#15463</v>
      </c>
      <c r="B266" s="93" t="str">
        <f>IF(COUNTIF(MAIN!B:B, A266)=0, "Missing", "")</f>
        <v/>
      </c>
      <c r="E266" s="128" t="str">
        <f t="shared" si="1"/>
        <v/>
      </c>
    </row>
    <row r="267">
      <c r="A267" s="93" t="str">
        <f t="shared" si="2"/>
        <v>#15464</v>
      </c>
      <c r="B267" s="93" t="str">
        <f>IF(COUNTIF(MAIN!B:B, A267)=0, "Missing", "")</f>
        <v/>
      </c>
      <c r="E267" s="128" t="str">
        <f t="shared" si="1"/>
        <v/>
      </c>
    </row>
    <row r="268">
      <c r="A268" s="93" t="str">
        <f t="shared" si="2"/>
        <v>#15465</v>
      </c>
      <c r="B268" s="93" t="str">
        <f>IF(COUNTIF(MAIN!B:B, A268)=0, "Missing", "")</f>
        <v/>
      </c>
      <c r="E268" s="128" t="str">
        <f t="shared" si="1"/>
        <v/>
      </c>
    </row>
    <row r="269">
      <c r="A269" s="93" t="str">
        <f t="shared" si="2"/>
        <v>#15466</v>
      </c>
      <c r="B269" s="93" t="str">
        <f>IF(COUNTIF(MAIN!B:B, A269)=0, "Missing", "")</f>
        <v/>
      </c>
      <c r="E269" s="128" t="str">
        <f t="shared" si="1"/>
        <v/>
      </c>
    </row>
    <row r="270">
      <c r="A270" s="93" t="str">
        <f t="shared" si="2"/>
        <v>#15467</v>
      </c>
      <c r="B270" s="93" t="str">
        <f>IF(COUNTIF(MAIN!B:B, A270)=0, "Missing", "")</f>
        <v/>
      </c>
      <c r="E270" s="128" t="str">
        <f t="shared" si="1"/>
        <v/>
      </c>
    </row>
    <row r="271">
      <c r="A271" s="93" t="str">
        <f t="shared" si="2"/>
        <v>#15468</v>
      </c>
      <c r="B271" s="93" t="str">
        <f>IF(COUNTIF(MAIN!B:B, A271)=0, "Missing", "")</f>
        <v/>
      </c>
      <c r="E271" s="128" t="str">
        <f t="shared" si="1"/>
        <v/>
      </c>
    </row>
    <row r="272">
      <c r="A272" s="93" t="str">
        <f t="shared" si="2"/>
        <v>#15469</v>
      </c>
      <c r="B272" s="93" t="str">
        <f>IF(COUNTIF(MAIN!B:B, A272)=0, "Missing", "")</f>
        <v/>
      </c>
      <c r="E272" s="128" t="str">
        <f t="shared" si="1"/>
        <v/>
      </c>
    </row>
    <row r="273">
      <c r="A273" s="93" t="str">
        <f t="shared" si="2"/>
        <v>#15470</v>
      </c>
      <c r="B273" s="93" t="str">
        <f>IF(COUNTIF(MAIN!B:B, A273)=0, "Missing", "")</f>
        <v/>
      </c>
      <c r="E273" s="128" t="str">
        <f t="shared" si="1"/>
        <v/>
      </c>
    </row>
    <row r="274">
      <c r="A274" s="93" t="str">
        <f t="shared" si="2"/>
        <v>#15471</v>
      </c>
      <c r="B274" s="93" t="str">
        <f>IF(COUNTIF(MAIN!B:B, A274)=0, "Missing", "")</f>
        <v/>
      </c>
      <c r="E274" s="128" t="str">
        <f t="shared" si="1"/>
        <v/>
      </c>
    </row>
    <row r="275">
      <c r="A275" s="93" t="str">
        <f t="shared" si="2"/>
        <v>#15472</v>
      </c>
      <c r="B275" s="93" t="str">
        <f>IF(COUNTIF(MAIN!B:B, A275)=0, "Missing", "")</f>
        <v/>
      </c>
      <c r="E275" s="128" t="str">
        <f t="shared" si="1"/>
        <v/>
      </c>
    </row>
    <row r="276">
      <c r="A276" s="93" t="str">
        <f t="shared" si="2"/>
        <v>#15473</v>
      </c>
      <c r="B276" s="93" t="str">
        <f>IF(COUNTIF(MAIN!B:B, A276)=0, "Missing", "")</f>
        <v/>
      </c>
      <c r="E276" s="128" t="str">
        <f t="shared" si="1"/>
        <v/>
      </c>
    </row>
    <row r="277">
      <c r="A277" s="93" t="str">
        <f t="shared" si="2"/>
        <v>#15474</v>
      </c>
      <c r="B277" s="93" t="str">
        <f>IF(COUNTIF(MAIN!B:B, A277)=0, "Missing", "")</f>
        <v/>
      </c>
      <c r="E277" s="128" t="str">
        <f t="shared" si="1"/>
        <v/>
      </c>
    </row>
    <row r="278">
      <c r="A278" s="93" t="str">
        <f t="shared" si="2"/>
        <v>#15475</v>
      </c>
      <c r="B278" s="93" t="str">
        <f>IF(COUNTIF(MAIN!B:B, A278)=0, "Missing", "")</f>
        <v/>
      </c>
      <c r="E278" s="128" t="str">
        <f t="shared" si="1"/>
        <v/>
      </c>
    </row>
    <row r="279">
      <c r="A279" s="93" t="str">
        <f t="shared" si="2"/>
        <v>#15476</v>
      </c>
      <c r="B279" s="93" t="str">
        <f>IF(COUNTIF(MAIN!B:B, A279)=0, "Missing", "")</f>
        <v/>
      </c>
      <c r="E279" s="128" t="str">
        <f t="shared" si="1"/>
        <v/>
      </c>
    </row>
    <row r="280">
      <c r="A280" s="93" t="str">
        <f t="shared" si="2"/>
        <v>#15477</v>
      </c>
      <c r="B280" s="93" t="str">
        <f>IF(COUNTIF(MAIN!B:B, A280)=0, "Missing", "")</f>
        <v/>
      </c>
      <c r="E280" s="128" t="str">
        <f t="shared" si="1"/>
        <v/>
      </c>
    </row>
    <row r="281">
      <c r="A281" s="93" t="str">
        <f t="shared" si="2"/>
        <v>#15478</v>
      </c>
      <c r="B281" s="93" t="str">
        <f>IF(COUNTIF(MAIN!B:B, A281)=0, "Missing", "")</f>
        <v/>
      </c>
      <c r="E281" s="128" t="str">
        <f t="shared" si="1"/>
        <v/>
      </c>
    </row>
    <row r="282">
      <c r="A282" s="93" t="str">
        <f t="shared" si="2"/>
        <v>#15479</v>
      </c>
      <c r="B282" s="93" t="str">
        <f>IF(COUNTIF(MAIN!B:B, A282)=0, "Missing", "")</f>
        <v/>
      </c>
      <c r="E282" s="128" t="str">
        <f t="shared" si="1"/>
        <v/>
      </c>
    </row>
    <row r="283">
      <c r="A283" s="93" t="str">
        <f t="shared" si="2"/>
        <v>#15480</v>
      </c>
      <c r="B283" s="93" t="str">
        <f>IF(COUNTIF(MAIN!B:B, A283)=0, "Missing", "")</f>
        <v/>
      </c>
      <c r="E283" s="128" t="str">
        <f t="shared" si="1"/>
        <v/>
      </c>
    </row>
    <row r="284">
      <c r="A284" s="93" t="str">
        <f t="shared" si="2"/>
        <v>#15481</v>
      </c>
      <c r="B284" s="93" t="str">
        <f>IF(COUNTIF(MAIN!B:B, A284)=0, "Missing", "")</f>
        <v/>
      </c>
      <c r="E284" s="128" t="str">
        <f t="shared" si="1"/>
        <v/>
      </c>
    </row>
    <row r="285">
      <c r="A285" s="93" t="str">
        <f t="shared" si="2"/>
        <v>#15482</v>
      </c>
      <c r="B285" s="93" t="str">
        <f>IF(COUNTIF(MAIN!B:B, A285)=0, "Missing", "")</f>
        <v/>
      </c>
      <c r="E285" s="128" t="str">
        <f t="shared" si="1"/>
        <v/>
      </c>
    </row>
    <row r="286">
      <c r="A286" s="93" t="str">
        <f t="shared" si="2"/>
        <v>#15483</v>
      </c>
      <c r="B286" s="93" t="str">
        <f>IF(COUNTIF(MAIN!B:B, A286)=0, "Missing", "")</f>
        <v/>
      </c>
      <c r="E286" s="128" t="str">
        <f t="shared" si="1"/>
        <v/>
      </c>
    </row>
    <row r="287">
      <c r="A287" s="93" t="str">
        <f t="shared" si="2"/>
        <v>#15484</v>
      </c>
      <c r="B287" s="93" t="str">
        <f>IF(COUNTIF(MAIN!B:B, A287)=0, "Missing", "")</f>
        <v/>
      </c>
      <c r="E287" s="128" t="str">
        <f t="shared" si="1"/>
        <v/>
      </c>
    </row>
    <row r="288">
      <c r="A288" s="93" t="str">
        <f t="shared" si="2"/>
        <v>#15485</v>
      </c>
      <c r="B288" s="93" t="str">
        <f>IF(COUNTIF(MAIN!B:B, A288)=0, "Missing", "")</f>
        <v/>
      </c>
      <c r="E288" s="128" t="str">
        <f t="shared" si="1"/>
        <v/>
      </c>
    </row>
    <row r="289">
      <c r="A289" s="93" t="str">
        <f t="shared" si="2"/>
        <v>#15486</v>
      </c>
      <c r="B289" s="93" t="str">
        <f>IF(COUNTIF(MAIN!B:B, A289)=0, "Missing", "")</f>
        <v/>
      </c>
      <c r="E289" s="128" t="str">
        <f t="shared" si="1"/>
        <v/>
      </c>
    </row>
    <row r="290">
      <c r="A290" s="93" t="str">
        <f t="shared" si="2"/>
        <v>#15487</v>
      </c>
      <c r="B290" s="93" t="str">
        <f>IF(COUNTIF(MAIN!B:B, A290)=0, "Missing", "")</f>
        <v/>
      </c>
      <c r="E290" s="128" t="str">
        <f t="shared" si="1"/>
        <v/>
      </c>
    </row>
    <row r="291">
      <c r="A291" s="93" t="str">
        <f t="shared" si="2"/>
        <v>#15488</v>
      </c>
      <c r="B291" s="93" t="str">
        <f>IF(COUNTIF(MAIN!B:B, A291)=0, "Missing", "")</f>
        <v/>
      </c>
      <c r="E291" s="128" t="str">
        <f t="shared" si="1"/>
        <v/>
      </c>
    </row>
    <row r="292">
      <c r="A292" s="93" t="str">
        <f t="shared" si="2"/>
        <v>#15489</v>
      </c>
      <c r="B292" s="93" t="str">
        <f>IF(COUNTIF(MAIN!B:B, A292)=0, "Missing", "")</f>
        <v/>
      </c>
      <c r="E292" s="128" t="str">
        <f t="shared" si="1"/>
        <v/>
      </c>
    </row>
    <row r="293">
      <c r="A293" s="93" t="str">
        <f t="shared" si="2"/>
        <v>#15490</v>
      </c>
      <c r="B293" s="93" t="str">
        <f>IF(COUNTIF(MAIN!B:B, A293)=0, "Missing", "")</f>
        <v/>
      </c>
      <c r="E293" s="128" t="str">
        <f t="shared" si="1"/>
        <v/>
      </c>
    </row>
    <row r="294">
      <c r="A294" s="93" t="str">
        <f t="shared" si="2"/>
        <v>#15491</v>
      </c>
      <c r="B294" s="93" t="str">
        <f>IF(COUNTIF(MAIN!B:B, A294)=0, "Missing", "")</f>
        <v/>
      </c>
      <c r="E294" s="128" t="str">
        <f t="shared" si="1"/>
        <v/>
      </c>
    </row>
    <row r="295">
      <c r="A295" s="93" t="str">
        <f t="shared" si="2"/>
        <v>#15492</v>
      </c>
      <c r="B295" s="93" t="str">
        <f>IF(COUNTIF(MAIN!B:B, A295)=0, "Missing", "")</f>
        <v/>
      </c>
      <c r="E295" s="128" t="str">
        <f t="shared" si="1"/>
        <v/>
      </c>
    </row>
    <row r="296">
      <c r="A296" s="93" t="str">
        <f t="shared" si="2"/>
        <v>#15493</v>
      </c>
      <c r="B296" s="93" t="str">
        <f>IF(COUNTIF(MAIN!B:B, A296)=0, "Missing", "")</f>
        <v/>
      </c>
      <c r="E296" s="128" t="str">
        <f t="shared" si="1"/>
        <v/>
      </c>
    </row>
    <row r="297">
      <c r="A297" s="93" t="str">
        <f t="shared" si="2"/>
        <v>#15494</v>
      </c>
      <c r="B297" s="93" t="str">
        <f>IF(COUNTIF(MAIN!B:B, A297)=0, "Missing", "")</f>
        <v/>
      </c>
      <c r="E297" s="128" t="str">
        <f t="shared" si="1"/>
        <v/>
      </c>
    </row>
    <row r="298">
      <c r="A298" s="93" t="str">
        <f t="shared" si="2"/>
        <v>#15495</v>
      </c>
      <c r="B298" s="93" t="str">
        <f>IF(COUNTIF(MAIN!B:B, A298)=0, "Missing", "")</f>
        <v/>
      </c>
      <c r="E298" s="128" t="str">
        <f t="shared" si="1"/>
        <v/>
      </c>
    </row>
    <row r="299">
      <c r="A299" s="93" t="str">
        <f t="shared" si="2"/>
        <v>#15496</v>
      </c>
      <c r="B299" s="93" t="str">
        <f>IF(COUNTIF(MAIN!B:B, A299)=0, "Missing", "")</f>
        <v/>
      </c>
      <c r="E299" s="128" t="str">
        <f t="shared" si="1"/>
        <v/>
      </c>
    </row>
    <row r="300">
      <c r="A300" s="93" t="str">
        <f t="shared" si="2"/>
        <v>#15497</v>
      </c>
      <c r="B300" s="93" t="str">
        <f>IF(COUNTIF(MAIN!B:B, A300)=0, "Missing", "")</f>
        <v/>
      </c>
      <c r="E300" s="128" t="str">
        <f t="shared" si="1"/>
        <v/>
      </c>
    </row>
    <row r="301">
      <c r="A301" s="93" t="str">
        <f t="shared" si="2"/>
        <v>#15498</v>
      </c>
      <c r="B301" s="93" t="str">
        <f>IF(COUNTIF(MAIN!B:B, A301)=0, "Missing", "")</f>
        <v/>
      </c>
      <c r="E301" s="128" t="str">
        <f t="shared" si="1"/>
        <v/>
      </c>
    </row>
    <row r="302">
      <c r="A302" s="93" t="str">
        <f t="shared" si="2"/>
        <v>#15499</v>
      </c>
      <c r="B302" s="93" t="str">
        <f>IF(COUNTIF(MAIN!B:B, A302)=0, "Missing", "")</f>
        <v/>
      </c>
      <c r="E302" s="128" t="str">
        <f t="shared" si="1"/>
        <v/>
      </c>
    </row>
    <row r="303">
      <c r="A303" s="93" t="str">
        <f t="shared" si="2"/>
        <v>#15500</v>
      </c>
      <c r="B303" s="93" t="str">
        <f>IF(COUNTIF(MAIN!B:B, A303)=0, "Missing", "")</f>
        <v/>
      </c>
      <c r="E303" s="128" t="str">
        <f t="shared" si="1"/>
        <v/>
      </c>
    </row>
    <row r="304">
      <c r="A304" s="93" t="str">
        <f t="shared" si="2"/>
        <v>#15501</v>
      </c>
      <c r="B304" s="93" t="str">
        <f>IF(COUNTIF(MAIN!B:B, A304)=0, "Missing", "")</f>
        <v/>
      </c>
      <c r="E304" s="128" t="str">
        <f t="shared" si="1"/>
        <v/>
      </c>
    </row>
    <row r="305">
      <c r="A305" s="93" t="str">
        <f t="shared" si="2"/>
        <v>#15502</v>
      </c>
      <c r="B305" s="93" t="str">
        <f>IF(COUNTIF(MAIN!B:B, A305)=0, "Missing", "")</f>
        <v/>
      </c>
      <c r="E305" s="128" t="str">
        <f t="shared" si="1"/>
        <v/>
      </c>
    </row>
    <row r="306">
      <c r="A306" s="93" t="str">
        <f t="shared" si="2"/>
        <v>#15503</v>
      </c>
      <c r="B306" s="93" t="str">
        <f>IF(COUNTIF(MAIN!B:B, A306)=0, "Missing", "")</f>
        <v/>
      </c>
      <c r="E306" s="128" t="str">
        <f t="shared" si="1"/>
        <v/>
      </c>
    </row>
    <row r="307">
      <c r="A307" s="93" t="str">
        <f t="shared" si="2"/>
        <v>#15504</v>
      </c>
      <c r="B307" s="93" t="str">
        <f>IF(COUNTIF(MAIN!B:B, A307)=0, "Missing", "")</f>
        <v/>
      </c>
      <c r="E307" s="128" t="str">
        <f t="shared" si="1"/>
        <v/>
      </c>
    </row>
    <row r="308">
      <c r="A308" s="93" t="str">
        <f t="shared" si="2"/>
        <v>#15505</v>
      </c>
      <c r="B308" s="93" t="str">
        <f>IF(COUNTIF(MAIN!B:B, A308)=0, "Missing", "")</f>
        <v/>
      </c>
      <c r="E308" s="128" t="str">
        <f t="shared" si="1"/>
        <v/>
      </c>
    </row>
    <row r="309">
      <c r="A309" s="93" t="str">
        <f t="shared" si="2"/>
        <v>#15506</v>
      </c>
      <c r="B309" s="93" t="str">
        <f>IF(COUNTIF(MAIN!B:B, A309)=0, "Missing", "")</f>
        <v/>
      </c>
      <c r="E309" s="128" t="str">
        <f t="shared" si="1"/>
        <v/>
      </c>
    </row>
    <row r="310">
      <c r="A310" s="93" t="str">
        <f t="shared" si="2"/>
        <v>#15507</v>
      </c>
      <c r="B310" s="93" t="str">
        <f>IF(COUNTIF(MAIN!B:B, A310)=0, "Missing", "")</f>
        <v/>
      </c>
      <c r="E310" s="128" t="str">
        <f t="shared" si="1"/>
        <v/>
      </c>
    </row>
    <row r="311">
      <c r="A311" s="93" t="str">
        <f t="shared" si="2"/>
        <v>#15508</v>
      </c>
      <c r="B311" s="93" t="str">
        <f>IF(COUNTIF(MAIN!B:B, A311)=0, "Missing", "")</f>
        <v/>
      </c>
      <c r="E311" s="128" t="str">
        <f t="shared" si="1"/>
        <v/>
      </c>
    </row>
    <row r="312">
      <c r="A312" s="93" t="str">
        <f t="shared" si="2"/>
        <v>#15509</v>
      </c>
      <c r="B312" s="93" t="str">
        <f>IF(COUNTIF(MAIN!B:B, A312)=0, "Missing", "")</f>
        <v/>
      </c>
      <c r="E312" s="128" t="str">
        <f t="shared" si="1"/>
        <v/>
      </c>
    </row>
    <row r="313">
      <c r="A313" s="93" t="str">
        <f t="shared" si="2"/>
        <v>#15510</v>
      </c>
      <c r="B313" s="93" t="str">
        <f>IF(COUNTIF(MAIN!B:B, A313)=0, "Missing", "")</f>
        <v/>
      </c>
      <c r="E313" s="128" t="str">
        <f t="shared" si="1"/>
        <v/>
      </c>
    </row>
    <row r="314">
      <c r="A314" s="93" t="str">
        <f t="shared" si="2"/>
        <v>#15511</v>
      </c>
      <c r="B314" s="93" t="str">
        <f>IF(COUNTIF(MAIN!B:B, A314)=0, "Missing", "")</f>
        <v/>
      </c>
      <c r="E314" s="128" t="str">
        <f t="shared" si="1"/>
        <v/>
      </c>
    </row>
    <row r="315">
      <c r="A315" s="93" t="str">
        <f t="shared" si="2"/>
        <v>#15512</v>
      </c>
      <c r="B315" s="93" t="str">
        <f>IF(COUNTIF(MAIN!B:B, A315)=0, "Missing", "")</f>
        <v/>
      </c>
      <c r="E315" s="128" t="str">
        <f t="shared" si="1"/>
        <v/>
      </c>
    </row>
    <row r="316">
      <c r="A316" s="93" t="str">
        <f t="shared" si="2"/>
        <v>#15513</v>
      </c>
      <c r="B316" s="93" t="str">
        <f>IF(COUNTIF(MAIN!B:B, A316)=0, "Missing", "")</f>
        <v/>
      </c>
      <c r="E316" s="128" t="str">
        <f t="shared" si="1"/>
        <v/>
      </c>
    </row>
    <row r="317">
      <c r="A317" s="93" t="str">
        <f t="shared" si="2"/>
        <v>#15514</v>
      </c>
      <c r="B317" s="93" t="str">
        <f>IF(COUNTIF(MAIN!B:B, A317)=0, "Missing", "")</f>
        <v/>
      </c>
      <c r="C317" s="84" t="s">
        <v>15232</v>
      </c>
      <c r="D317" s="132">
        <v>45859.0</v>
      </c>
      <c r="E317" s="128" t="str">
        <f t="shared" si="1"/>
        <v/>
      </c>
    </row>
    <row r="318">
      <c r="A318" s="93" t="str">
        <f t="shared" si="2"/>
        <v>#15515</v>
      </c>
      <c r="B318" s="93" t="str">
        <f>IF(COUNTIF(MAIN!B:B, A318)=0, "Missing", "")</f>
        <v/>
      </c>
      <c r="E318" s="128" t="str">
        <f t="shared" si="1"/>
        <v/>
      </c>
    </row>
    <row r="319">
      <c r="A319" s="93" t="str">
        <f t="shared" si="2"/>
        <v>#15516</v>
      </c>
      <c r="B319" s="93" t="str">
        <f>IF(COUNTIF(MAIN!B:B, A319)=0, "Missing", "")</f>
        <v/>
      </c>
      <c r="E319" s="128" t="str">
        <f t="shared" si="1"/>
        <v/>
      </c>
    </row>
    <row r="320">
      <c r="A320" s="93" t="str">
        <f t="shared" si="2"/>
        <v>#15517</v>
      </c>
      <c r="B320" s="93" t="str">
        <f>IF(COUNTIF(MAIN!B:B, A320)=0, "Missing", "")</f>
        <v/>
      </c>
      <c r="E320" s="128" t="str">
        <f t="shared" si="1"/>
        <v/>
      </c>
    </row>
    <row r="321">
      <c r="A321" s="93" t="str">
        <f t="shared" si="2"/>
        <v>#15518</v>
      </c>
      <c r="B321" s="93" t="str">
        <f>IF(COUNTIF(MAIN!B:B, A321)=0, "Missing", "")</f>
        <v/>
      </c>
      <c r="E321" s="128" t="str">
        <f t="shared" si="1"/>
        <v/>
      </c>
    </row>
    <row r="322">
      <c r="A322" s="93" t="str">
        <f t="shared" si="2"/>
        <v>#15519</v>
      </c>
      <c r="B322" s="93" t="str">
        <f>IF(COUNTIF(MAIN!B:B, A322)=0, "Missing", "")</f>
        <v/>
      </c>
      <c r="E322" s="128" t="str">
        <f t="shared" si="1"/>
        <v/>
      </c>
    </row>
    <row r="323">
      <c r="A323" s="93" t="str">
        <f t="shared" si="2"/>
        <v>#15520</v>
      </c>
      <c r="B323" s="93" t="str">
        <f>IF(COUNTIF(MAIN!B:B, A323)=0, "Missing", "")</f>
        <v/>
      </c>
      <c r="E323" s="128" t="str">
        <f t="shared" si="1"/>
        <v/>
      </c>
    </row>
    <row r="324">
      <c r="A324" s="93" t="str">
        <f t="shared" si="2"/>
        <v>#15521</v>
      </c>
      <c r="B324" s="93" t="str">
        <f>IF(COUNTIF(MAIN!B:B, A324)=0, "Missing", "")</f>
        <v/>
      </c>
      <c r="E324" s="128" t="str">
        <f t="shared" si="1"/>
        <v/>
      </c>
    </row>
    <row r="325">
      <c r="A325" s="93" t="str">
        <f t="shared" si="2"/>
        <v>#15522</v>
      </c>
      <c r="B325" s="93" t="str">
        <f>IF(COUNTIF(MAIN!B:B, A325)=0, "Missing", "")</f>
        <v/>
      </c>
      <c r="E325" s="128" t="str">
        <f t="shared" si="1"/>
        <v/>
      </c>
    </row>
    <row r="326">
      <c r="A326" s="93" t="str">
        <f t="shared" si="2"/>
        <v>#15523</v>
      </c>
      <c r="B326" s="93" t="str">
        <f>IF(COUNTIF(MAIN!B:B, A326)=0, "Missing", "")</f>
        <v/>
      </c>
      <c r="E326" s="128" t="str">
        <f t="shared" si="1"/>
        <v/>
      </c>
    </row>
    <row r="327">
      <c r="A327" s="93" t="str">
        <f t="shared" si="2"/>
        <v>#15524</v>
      </c>
      <c r="B327" s="93" t="str">
        <f>IF(COUNTIF(MAIN!B:B, A327)=0, "Missing", "")</f>
        <v/>
      </c>
      <c r="E327" s="128" t="str">
        <f t="shared" si="1"/>
        <v/>
      </c>
    </row>
    <row r="328">
      <c r="A328" s="93" t="str">
        <f t="shared" si="2"/>
        <v>#15525</v>
      </c>
      <c r="B328" s="93" t="str">
        <f>IF(COUNTIF(MAIN!B:B, A328)=0, "Missing", "")</f>
        <v/>
      </c>
      <c r="E328" s="128" t="str">
        <f t="shared" si="1"/>
        <v/>
      </c>
    </row>
    <row r="329">
      <c r="A329" s="93" t="str">
        <f t="shared" si="2"/>
        <v>#15526</v>
      </c>
      <c r="B329" s="93" t="str">
        <f>IF(COUNTIF(MAIN!B:B, A329)=0, "Missing", "")</f>
        <v/>
      </c>
      <c r="E329" s="128" t="str">
        <f t="shared" si="1"/>
        <v/>
      </c>
    </row>
    <row r="330">
      <c r="A330" s="93" t="str">
        <f t="shared" si="2"/>
        <v>#15527</v>
      </c>
      <c r="B330" s="93" t="str">
        <f>IF(COUNTIF(MAIN!B:B, A330)=0, "Missing", "")</f>
        <v/>
      </c>
      <c r="E330" s="128" t="str">
        <f t="shared" si="1"/>
        <v/>
      </c>
    </row>
    <row r="331">
      <c r="A331" s="93" t="str">
        <f t="shared" si="2"/>
        <v>#15528</v>
      </c>
      <c r="B331" s="93" t="str">
        <f>IF(COUNTIF(MAIN!B:B, A331)=0, "Missing", "")</f>
        <v/>
      </c>
      <c r="E331" s="128" t="str">
        <f t="shared" si="1"/>
        <v/>
      </c>
    </row>
    <row r="332">
      <c r="A332" s="93" t="str">
        <f t="shared" si="2"/>
        <v>#15529</v>
      </c>
      <c r="B332" s="93" t="str">
        <f>IF(COUNTIF(MAIN!B:B, A332)=0, "Missing", "")</f>
        <v/>
      </c>
      <c r="E332" s="128" t="str">
        <f t="shared" si="1"/>
        <v/>
      </c>
    </row>
    <row r="333">
      <c r="A333" s="93" t="str">
        <f t="shared" si="2"/>
        <v>#15530</v>
      </c>
      <c r="B333" s="93" t="str">
        <f>IF(COUNTIF(MAIN!B:B, A333)=0, "Missing", "")</f>
        <v/>
      </c>
      <c r="E333" s="128" t="str">
        <f t="shared" si="1"/>
        <v/>
      </c>
    </row>
    <row r="334">
      <c r="A334" s="93" t="str">
        <f t="shared" si="2"/>
        <v>#15531</v>
      </c>
      <c r="B334" s="93" t="str">
        <f>IF(COUNTIF(MAIN!B:B, A334)=0, "Missing", "")</f>
        <v/>
      </c>
      <c r="E334" s="128" t="str">
        <f t="shared" si="1"/>
        <v/>
      </c>
    </row>
    <row r="335">
      <c r="A335" s="93" t="str">
        <f t="shared" si="2"/>
        <v>#15532</v>
      </c>
      <c r="B335" s="93" t="str">
        <f>IF(COUNTIF(MAIN!B:B, A335)=0, "Missing", "")</f>
        <v/>
      </c>
      <c r="E335" s="128" t="str">
        <f t="shared" si="1"/>
        <v/>
      </c>
    </row>
    <row r="336">
      <c r="A336" s="93" t="str">
        <f t="shared" si="2"/>
        <v>#15533</v>
      </c>
      <c r="B336" s="93" t="str">
        <f>IF(COUNTIF(MAIN!B:B, A336)=0, "Missing", "")</f>
        <v/>
      </c>
      <c r="E336" s="128" t="str">
        <f t="shared" si="1"/>
        <v/>
      </c>
    </row>
    <row r="337">
      <c r="A337" s="93" t="str">
        <f t="shared" si="2"/>
        <v>#15534</v>
      </c>
      <c r="B337" s="93" t="str">
        <f>IF(COUNTIF(MAIN!B:B, A337)=0, "Missing", "")</f>
        <v/>
      </c>
      <c r="E337" s="128" t="str">
        <f t="shared" si="1"/>
        <v/>
      </c>
    </row>
    <row r="338">
      <c r="A338" s="93" t="str">
        <f t="shared" si="2"/>
        <v>#15535</v>
      </c>
      <c r="B338" s="93" t="str">
        <f>IF(COUNTIF(MAIN!B:B, A338)=0, "Missing", "")</f>
        <v/>
      </c>
      <c r="E338" s="128" t="str">
        <f t="shared" si="1"/>
        <v/>
      </c>
    </row>
    <row r="339">
      <c r="A339" s="93" t="str">
        <f t="shared" si="2"/>
        <v>#15536</v>
      </c>
      <c r="B339" s="93" t="str">
        <f>IF(COUNTIF(MAIN!B:B, A339)=0, "Missing", "")</f>
        <v/>
      </c>
      <c r="E339" s="128" t="str">
        <f t="shared" si="1"/>
        <v/>
      </c>
    </row>
    <row r="340">
      <c r="A340" s="93" t="str">
        <f t="shared" si="2"/>
        <v>#15537</v>
      </c>
      <c r="B340" s="93" t="str">
        <f>IF(COUNTIF(MAIN!B:B, A340)=0, "Missing", "")</f>
        <v/>
      </c>
      <c r="E340" s="128" t="str">
        <f t="shared" si="1"/>
        <v/>
      </c>
    </row>
    <row r="341">
      <c r="A341" s="93" t="str">
        <f t="shared" si="2"/>
        <v>#15538</v>
      </c>
      <c r="B341" s="93" t="str">
        <f>IF(COUNTIF(MAIN!B:B, A341)=0, "Missing", "")</f>
        <v/>
      </c>
      <c r="E341" s="128" t="str">
        <f t="shared" si="1"/>
        <v/>
      </c>
    </row>
    <row r="342">
      <c r="A342" s="93" t="str">
        <f t="shared" si="2"/>
        <v>#15539</v>
      </c>
      <c r="B342" s="93" t="str">
        <f>IF(COUNTIF(MAIN!B:B, A342)=0, "Missing", "")</f>
        <v/>
      </c>
      <c r="E342" s="128" t="str">
        <f t="shared" si="1"/>
        <v/>
      </c>
    </row>
    <row r="343">
      <c r="A343" s="93" t="str">
        <f t="shared" si="2"/>
        <v>#15540</v>
      </c>
      <c r="B343" s="93" t="str">
        <f>IF(COUNTIF(MAIN!B:B, A343)=0, "Missing", "")</f>
        <v/>
      </c>
      <c r="E343" s="128" t="str">
        <f t="shared" si="1"/>
        <v/>
      </c>
    </row>
    <row r="344">
      <c r="A344" s="93" t="str">
        <f t="shared" si="2"/>
        <v>#15541</v>
      </c>
      <c r="B344" s="93" t="str">
        <f>IF(COUNTIF(MAIN!B:B, A344)=0, "Missing", "")</f>
        <v/>
      </c>
      <c r="E344" s="128" t="str">
        <f t="shared" si="1"/>
        <v/>
      </c>
    </row>
    <row r="345">
      <c r="A345" s="93" t="str">
        <f t="shared" si="2"/>
        <v>#15542</v>
      </c>
      <c r="B345" s="93" t="str">
        <f>IF(COUNTIF(MAIN!B:B, A345)=0, "Missing", "")</f>
        <v/>
      </c>
      <c r="E345" s="128" t="str">
        <f t="shared" si="1"/>
        <v/>
      </c>
    </row>
    <row r="346">
      <c r="A346" s="93" t="str">
        <f t="shared" si="2"/>
        <v>#15543</v>
      </c>
      <c r="B346" s="93" t="str">
        <f>IF(COUNTIF(MAIN!B:B, A346)=0, "Missing", "")</f>
        <v/>
      </c>
      <c r="E346" s="128" t="str">
        <f t="shared" si="1"/>
        <v/>
      </c>
    </row>
    <row r="347">
      <c r="A347" s="93" t="str">
        <f t="shared" si="2"/>
        <v>#15544</v>
      </c>
      <c r="B347" s="93" t="str">
        <f>IF(COUNTIF(MAIN!B:B, A347)=0, "Missing", "")</f>
        <v/>
      </c>
      <c r="E347" s="128" t="str">
        <f t="shared" si="1"/>
        <v/>
      </c>
    </row>
    <row r="348">
      <c r="A348" s="93" t="str">
        <f t="shared" si="2"/>
        <v>#15545</v>
      </c>
      <c r="B348" s="93" t="str">
        <f>IF(COUNTIF(MAIN!B:B, A348)=0, "Missing", "")</f>
        <v/>
      </c>
      <c r="E348" s="128" t="str">
        <f t="shared" si="1"/>
        <v/>
      </c>
    </row>
    <row r="349">
      <c r="A349" s="93" t="str">
        <f t="shared" si="2"/>
        <v>#15546</v>
      </c>
      <c r="B349" s="93" t="str">
        <f>IF(COUNTIF(MAIN!B:B, A349)=0, "Missing", "")</f>
        <v/>
      </c>
      <c r="E349" s="128" t="str">
        <f t="shared" si="1"/>
        <v/>
      </c>
    </row>
    <row r="350">
      <c r="A350" s="93" t="str">
        <f t="shared" si="2"/>
        <v>#15547</v>
      </c>
      <c r="B350" s="93" t="str">
        <f>IF(COUNTIF(MAIN!B:B, A350)=0, "Missing", "")</f>
        <v/>
      </c>
      <c r="E350" s="128" t="str">
        <f t="shared" si="1"/>
        <v/>
      </c>
    </row>
    <row r="351">
      <c r="A351" s="93" t="str">
        <f t="shared" si="2"/>
        <v>#15548</v>
      </c>
      <c r="B351" s="93" t="str">
        <f>IF(COUNTIF(MAIN!B:B, A351)=0, "Missing", "")</f>
        <v/>
      </c>
      <c r="E351" s="128" t="str">
        <f t="shared" si="1"/>
        <v/>
      </c>
    </row>
    <row r="352">
      <c r="A352" s="93" t="str">
        <f t="shared" si="2"/>
        <v>#15549</v>
      </c>
      <c r="B352" s="93" t="str">
        <f>IF(COUNTIF(MAIN!B:B, A352)=0, "Missing", "")</f>
        <v/>
      </c>
      <c r="E352" s="128" t="str">
        <f t="shared" si="1"/>
        <v/>
      </c>
    </row>
    <row r="353">
      <c r="A353" s="93" t="str">
        <f t="shared" si="2"/>
        <v>#15550</v>
      </c>
      <c r="B353" s="93" t="str">
        <f>IF(COUNTIF(MAIN!B:B, A353)=0, "Missing", "")</f>
        <v/>
      </c>
      <c r="E353" s="128" t="str">
        <f t="shared" si="1"/>
        <v/>
      </c>
    </row>
    <row r="354">
      <c r="A354" s="93" t="str">
        <f t="shared" si="2"/>
        <v>#15551</v>
      </c>
      <c r="B354" s="93" t="str">
        <f>IF(COUNTIF(MAIN!B:B, A354)=0, "Missing", "")</f>
        <v/>
      </c>
      <c r="E354" s="128" t="str">
        <f t="shared" si="1"/>
        <v/>
      </c>
    </row>
    <row r="355">
      <c r="A355" s="93" t="str">
        <f t="shared" si="2"/>
        <v>#15552</v>
      </c>
      <c r="B355" s="93" t="str">
        <f>IF(COUNTIF(MAIN!B:B, A355)=0, "Missing", "")</f>
        <v/>
      </c>
      <c r="E355" s="128" t="str">
        <f t="shared" si="1"/>
        <v/>
      </c>
    </row>
    <row r="356">
      <c r="A356" s="93" t="str">
        <f t="shared" si="2"/>
        <v>#15553</v>
      </c>
      <c r="B356" s="93" t="str">
        <f>IF(COUNTIF(MAIN!B:B, A356)=0, "Missing", "")</f>
        <v/>
      </c>
      <c r="E356" s="128" t="str">
        <f t="shared" si="1"/>
        <v/>
      </c>
    </row>
    <row r="357">
      <c r="A357" s="93" t="str">
        <f t="shared" si="2"/>
        <v>#15554</v>
      </c>
      <c r="B357" s="93" t="str">
        <f>IF(COUNTIF(MAIN!B:B, A357)=0, "Missing", "")</f>
        <v/>
      </c>
      <c r="E357" s="128" t="str">
        <f t="shared" si="1"/>
        <v/>
      </c>
    </row>
    <row r="358">
      <c r="A358" s="93" t="str">
        <f t="shared" si="2"/>
        <v>#15555</v>
      </c>
      <c r="B358" s="93" t="str">
        <f>IF(COUNTIF(MAIN!B:B, A358)=0, "Missing", "")</f>
        <v/>
      </c>
      <c r="E358" s="128" t="str">
        <f t="shared" si="1"/>
        <v/>
      </c>
    </row>
    <row r="359">
      <c r="A359" s="93" t="str">
        <f t="shared" si="2"/>
        <v>#15556</v>
      </c>
      <c r="B359" s="93" t="str">
        <f>IF(COUNTIF(MAIN!B:B, A359)=0, "Missing", "")</f>
        <v/>
      </c>
      <c r="E359" s="128" t="str">
        <f t="shared" si="1"/>
        <v/>
      </c>
    </row>
    <row r="360">
      <c r="A360" s="93" t="str">
        <f t="shared" si="2"/>
        <v>#15557</v>
      </c>
      <c r="B360" s="93" t="str">
        <f>IF(COUNTIF(MAIN!B:B, A360)=0, "Missing", "")</f>
        <v/>
      </c>
      <c r="E360" s="128" t="str">
        <f t="shared" si="1"/>
        <v/>
      </c>
    </row>
    <row r="361">
      <c r="A361" s="93" t="str">
        <f t="shared" si="2"/>
        <v>#15558</v>
      </c>
      <c r="B361" s="93" t="str">
        <f>IF(COUNTIF(MAIN!B:B, A361)=0, "Missing", "")</f>
        <v/>
      </c>
      <c r="E361" s="128" t="str">
        <f t="shared" si="1"/>
        <v/>
      </c>
    </row>
    <row r="362">
      <c r="A362" s="93" t="str">
        <f t="shared" si="2"/>
        <v>#15559</v>
      </c>
      <c r="B362" s="93" t="str">
        <f>IF(COUNTIF(MAIN!B:B, A362)=0, "Missing", "")</f>
        <v/>
      </c>
      <c r="E362" s="128" t="str">
        <f t="shared" si="1"/>
        <v/>
      </c>
    </row>
    <row r="363">
      <c r="A363" s="93" t="str">
        <f t="shared" si="2"/>
        <v>#15560</v>
      </c>
      <c r="B363" s="93" t="str">
        <f>IF(COUNTIF(MAIN!B:B, A363)=0, "Missing", "")</f>
        <v/>
      </c>
      <c r="E363" s="128" t="str">
        <f t="shared" si="1"/>
        <v/>
      </c>
    </row>
    <row r="364">
      <c r="A364" s="93" t="str">
        <f t="shared" si="2"/>
        <v>#15561</v>
      </c>
      <c r="B364" s="93" t="str">
        <f>IF(COUNTIF(MAIN!B:B, A364)=0, "Missing", "")</f>
        <v/>
      </c>
      <c r="E364" s="128" t="str">
        <f t="shared" si="1"/>
        <v/>
      </c>
    </row>
    <row r="365">
      <c r="A365" s="93" t="str">
        <f t="shared" si="2"/>
        <v>#15562</v>
      </c>
      <c r="B365" s="93" t="str">
        <f>IF(COUNTIF(MAIN!B:B, A365)=0, "Missing", "")</f>
        <v/>
      </c>
      <c r="E365" s="128" t="str">
        <f t="shared" si="1"/>
        <v/>
      </c>
    </row>
    <row r="366">
      <c r="A366" s="93" t="str">
        <f t="shared" si="2"/>
        <v>#15563</v>
      </c>
      <c r="B366" s="93" t="str">
        <f>IF(COUNTIF(MAIN!B:B, A366)=0, "Missing", "")</f>
        <v/>
      </c>
      <c r="E366" s="128" t="str">
        <f t="shared" si="1"/>
        <v/>
      </c>
    </row>
    <row r="367">
      <c r="A367" s="93" t="str">
        <f t="shared" si="2"/>
        <v>#15564</v>
      </c>
      <c r="B367" s="93" t="str">
        <f>IF(COUNTIF(MAIN!B:B, A367)=0, "Missing", "")</f>
        <v/>
      </c>
      <c r="E367" s="128" t="str">
        <f t="shared" si="1"/>
        <v/>
      </c>
    </row>
    <row r="368">
      <c r="A368" s="93" t="str">
        <f t="shared" si="2"/>
        <v>#15565</v>
      </c>
      <c r="B368" s="93" t="str">
        <f>IF(COUNTIF(MAIN!B:B, A368)=0, "Missing", "")</f>
        <v/>
      </c>
      <c r="E368" s="128" t="str">
        <f t="shared" si="1"/>
        <v/>
      </c>
    </row>
    <row r="369">
      <c r="A369" s="93" t="str">
        <f t="shared" si="2"/>
        <v>#15566</v>
      </c>
      <c r="B369" s="93" t="str">
        <f>IF(COUNTIF(MAIN!B:B, A369)=0, "Missing", "")</f>
        <v/>
      </c>
      <c r="E369" s="128" t="str">
        <f t="shared" si="1"/>
        <v/>
      </c>
    </row>
    <row r="370">
      <c r="A370" s="93" t="str">
        <f t="shared" si="2"/>
        <v>#15567</v>
      </c>
      <c r="B370" s="93" t="str">
        <f>IF(COUNTIF(MAIN!B:B, A370)=0, "Missing", "")</f>
        <v/>
      </c>
      <c r="E370" s="128" t="str">
        <f t="shared" si="1"/>
        <v/>
      </c>
    </row>
    <row r="371">
      <c r="A371" s="93" t="str">
        <f t="shared" si="2"/>
        <v>#15568</v>
      </c>
      <c r="B371" s="93" t="str">
        <f>IF(COUNTIF(MAIN!B:B, A371)=0, "Missing", "")</f>
        <v/>
      </c>
      <c r="E371" s="128" t="str">
        <f t="shared" si="1"/>
        <v/>
      </c>
    </row>
    <row r="372">
      <c r="A372" s="93" t="str">
        <f t="shared" si="2"/>
        <v>#15569</v>
      </c>
      <c r="B372" s="93" t="str">
        <f>IF(COUNTIF(MAIN!B:B, A372)=0, "Missing", "")</f>
        <v/>
      </c>
      <c r="E372" s="128" t="str">
        <f t="shared" si="1"/>
        <v/>
      </c>
    </row>
    <row r="373">
      <c r="A373" s="93" t="str">
        <f t="shared" si="2"/>
        <v>#15570</v>
      </c>
      <c r="B373" s="93" t="str">
        <f>IF(COUNTIF(MAIN!B:B, A373)=0, "Missing", "")</f>
        <v/>
      </c>
      <c r="E373" s="128" t="str">
        <f t="shared" si="1"/>
        <v/>
      </c>
    </row>
    <row r="374">
      <c r="A374" s="93" t="str">
        <f t="shared" si="2"/>
        <v>#15571</v>
      </c>
      <c r="B374" s="93" t="str">
        <f>IF(COUNTIF(MAIN!B:B, A374)=0, "Missing", "")</f>
        <v/>
      </c>
      <c r="E374" s="128" t="str">
        <f t="shared" si="1"/>
        <v/>
      </c>
    </row>
    <row r="375">
      <c r="A375" s="93" t="str">
        <f t="shared" si="2"/>
        <v>#15572</v>
      </c>
      <c r="B375" s="93" t="str">
        <f>IF(COUNTIF(MAIN!B:B, A375)=0, "Missing", "")</f>
        <v/>
      </c>
      <c r="E375" s="128" t="str">
        <f t="shared" si="1"/>
        <v/>
      </c>
    </row>
    <row r="376">
      <c r="A376" s="93" t="str">
        <f t="shared" si="2"/>
        <v>#15573</v>
      </c>
      <c r="B376" s="93" t="str">
        <f>IF(COUNTIF(MAIN!B:B, A376)=0, "Missing", "")</f>
        <v/>
      </c>
      <c r="E376" s="128" t="str">
        <f t="shared" si="1"/>
        <v/>
      </c>
    </row>
    <row r="377">
      <c r="A377" s="93" t="str">
        <f t="shared" si="2"/>
        <v>#15574</v>
      </c>
      <c r="B377" s="93" t="str">
        <f>IF(COUNTIF(MAIN!B:B, A377)=0, "Missing", "")</f>
        <v/>
      </c>
      <c r="E377" s="128" t="str">
        <f t="shared" si="1"/>
        <v/>
      </c>
    </row>
    <row r="378">
      <c r="A378" s="93" t="str">
        <f t="shared" si="2"/>
        <v>#15575</v>
      </c>
      <c r="B378" s="93" t="str">
        <f>IF(COUNTIF(MAIN!B:B, A378)=0, "Missing", "")</f>
        <v/>
      </c>
      <c r="E378" s="128" t="str">
        <f t="shared" si="1"/>
        <v/>
      </c>
    </row>
    <row r="379">
      <c r="A379" s="93" t="str">
        <f t="shared" si="2"/>
        <v>#15576</v>
      </c>
      <c r="B379" s="93" t="str">
        <f>IF(COUNTIF(MAIN!B:B, A379)=0, "Missing", "")</f>
        <v/>
      </c>
      <c r="E379" s="128" t="str">
        <f t="shared" si="1"/>
        <v/>
      </c>
    </row>
    <row r="380">
      <c r="A380" s="93" t="str">
        <f t="shared" si="2"/>
        <v>#15577</v>
      </c>
      <c r="B380" s="93" t="str">
        <f>IF(COUNTIF(MAIN!B:B, A380)=0, "Missing", "")</f>
        <v/>
      </c>
      <c r="E380" s="128" t="str">
        <f t="shared" si="1"/>
        <v/>
      </c>
    </row>
    <row r="381">
      <c r="A381" s="93" t="str">
        <f t="shared" si="2"/>
        <v>#15578</v>
      </c>
      <c r="B381" s="93" t="str">
        <f>IF(COUNTIF(MAIN!B:B, A381)=0, "Missing", "")</f>
        <v/>
      </c>
      <c r="E381" s="128" t="str">
        <f t="shared" si="1"/>
        <v/>
      </c>
    </row>
    <row r="382">
      <c r="A382" s="93" t="str">
        <f t="shared" si="2"/>
        <v>#15579</v>
      </c>
      <c r="B382" s="93" t="str">
        <f>IF(COUNTIF(MAIN!B:B, A382)=0, "Missing", "")</f>
        <v/>
      </c>
      <c r="E382" s="128" t="str">
        <f t="shared" si="1"/>
        <v/>
      </c>
    </row>
    <row r="383">
      <c r="A383" s="93" t="str">
        <f t="shared" si="2"/>
        <v>#15580</v>
      </c>
      <c r="B383" s="93" t="str">
        <f>IF(COUNTIF(MAIN!B:B, A383)=0, "Missing", "")</f>
        <v/>
      </c>
      <c r="E383" s="128" t="str">
        <f t="shared" si="1"/>
        <v/>
      </c>
    </row>
    <row r="384">
      <c r="A384" s="93" t="str">
        <f t="shared" si="2"/>
        <v>#15581</v>
      </c>
      <c r="B384" s="93" t="str">
        <f>IF(COUNTIF(MAIN!B:B, A384)=0, "Missing", "")</f>
        <v/>
      </c>
      <c r="E384" s="128" t="str">
        <f t="shared" si="1"/>
        <v/>
      </c>
    </row>
    <row r="385">
      <c r="A385" s="93" t="str">
        <f t="shared" si="2"/>
        <v>#15582</v>
      </c>
      <c r="B385" s="93" t="str">
        <f>IF(COUNTIF(MAIN!B:B, A385)=0, "Missing", "")</f>
        <v/>
      </c>
      <c r="E385" s="128" t="str">
        <f t="shared" si="1"/>
        <v/>
      </c>
    </row>
    <row r="386">
      <c r="A386" s="93" t="str">
        <f t="shared" si="2"/>
        <v>#15583</v>
      </c>
      <c r="B386" s="93" t="str">
        <f>IF(COUNTIF(MAIN!B:B, A386)=0, "Missing", "")</f>
        <v/>
      </c>
      <c r="E386" s="128" t="str">
        <f t="shared" si="1"/>
        <v/>
      </c>
    </row>
    <row r="387">
      <c r="A387" s="93" t="str">
        <f t="shared" si="2"/>
        <v>#15584</v>
      </c>
      <c r="B387" s="93" t="str">
        <f>IF(COUNTIF(MAIN!B:B, A387)=0, "Missing", "")</f>
        <v/>
      </c>
      <c r="E387" s="128" t="str">
        <f t="shared" si="1"/>
        <v/>
      </c>
    </row>
    <row r="388">
      <c r="A388" s="93" t="str">
        <f t="shared" si="2"/>
        <v>#15585</v>
      </c>
      <c r="B388" s="93" t="str">
        <f>IF(COUNTIF(MAIN!B:B, A388)=0, "Missing", "")</f>
        <v/>
      </c>
      <c r="E388" s="128" t="str">
        <f t="shared" si="1"/>
        <v/>
      </c>
    </row>
    <row r="389">
      <c r="A389" s="93" t="str">
        <f t="shared" si="2"/>
        <v>#15586</v>
      </c>
      <c r="B389" s="93" t="str">
        <f>IF(COUNTIF(MAIN!B:B, A389)=0, "Missing", "")</f>
        <v/>
      </c>
      <c r="E389" s="128" t="str">
        <f t="shared" si="1"/>
        <v/>
      </c>
    </row>
    <row r="390">
      <c r="A390" s="93" t="str">
        <f t="shared" si="2"/>
        <v>#15587</v>
      </c>
      <c r="B390" s="93" t="str">
        <f>IF(COUNTIF(MAIN!B:B, A390)=0, "Missing", "")</f>
        <v/>
      </c>
      <c r="E390" s="128" t="str">
        <f t="shared" si="1"/>
        <v/>
      </c>
    </row>
    <row r="391">
      <c r="A391" s="93" t="str">
        <f t="shared" si="2"/>
        <v>#15588</v>
      </c>
      <c r="B391" s="93" t="str">
        <f>IF(COUNTIF(MAIN!B:B, A391)=0, "Missing", "")</f>
        <v/>
      </c>
      <c r="E391" s="128" t="str">
        <f t="shared" si="1"/>
        <v/>
      </c>
    </row>
    <row r="392">
      <c r="A392" s="93" t="str">
        <f t="shared" si="2"/>
        <v>#15589</v>
      </c>
      <c r="B392" s="93" t="str">
        <f>IF(COUNTIF(MAIN!B:B, A392)=0, "Missing", "")</f>
        <v/>
      </c>
      <c r="E392" s="128" t="str">
        <f t="shared" si="1"/>
        <v/>
      </c>
    </row>
    <row r="393">
      <c r="A393" s="93" t="str">
        <f t="shared" si="2"/>
        <v>#15590</v>
      </c>
      <c r="B393" s="93" t="str">
        <f>IF(COUNTIF(MAIN!B:B, A393)=0, "Missing", "")</f>
        <v/>
      </c>
      <c r="E393" s="128" t="str">
        <f t="shared" si="1"/>
        <v/>
      </c>
    </row>
    <row r="394">
      <c r="A394" s="93" t="str">
        <f t="shared" si="2"/>
        <v>#15591</v>
      </c>
      <c r="B394" s="93" t="str">
        <f>IF(COUNTIF(MAIN!B:B, A394)=0, "Missing", "")</f>
        <v/>
      </c>
      <c r="E394" s="128" t="str">
        <f t="shared" si="1"/>
        <v/>
      </c>
    </row>
    <row r="395">
      <c r="A395" s="93" t="str">
        <f t="shared" si="2"/>
        <v>#15592</v>
      </c>
      <c r="B395" s="93" t="str">
        <f>IF(COUNTIF(MAIN!B:B, A395)=0, "Missing", "")</f>
        <v/>
      </c>
      <c r="E395" s="128" t="str">
        <f t="shared" si="1"/>
        <v/>
      </c>
    </row>
    <row r="396">
      <c r="A396" s="93" t="str">
        <f t="shared" si="2"/>
        <v>#15593</v>
      </c>
      <c r="B396" s="93" t="str">
        <f>IF(COUNTIF(MAIN!B:B, A396)=0, "Missing", "")</f>
        <v/>
      </c>
      <c r="E396" s="128" t="str">
        <f t="shared" si="1"/>
        <v/>
      </c>
    </row>
    <row r="397">
      <c r="A397" s="93" t="str">
        <f t="shared" si="2"/>
        <v>#15594</v>
      </c>
      <c r="B397" s="93" t="str">
        <f>IF(COUNTIF(MAIN!B:B, A397)=0, "Missing", "")</f>
        <v/>
      </c>
      <c r="E397" s="128" t="str">
        <f t="shared" si="1"/>
        <v/>
      </c>
    </row>
    <row r="398">
      <c r="A398" s="93" t="str">
        <f t="shared" si="2"/>
        <v>#15595</v>
      </c>
      <c r="B398" s="93" t="str">
        <f>IF(COUNTIF(MAIN!B:B, A398)=0, "Missing", "")</f>
        <v/>
      </c>
      <c r="E398" s="128" t="str">
        <f t="shared" si="1"/>
        <v/>
      </c>
    </row>
    <row r="399">
      <c r="A399" s="93" t="str">
        <f t="shared" si="2"/>
        <v>#15596</v>
      </c>
      <c r="B399" s="93" t="str">
        <f>IF(COUNTIF(MAIN!B:B, A399)=0, "Missing", "")</f>
        <v/>
      </c>
      <c r="E399" s="128" t="str">
        <f t="shared" si="1"/>
        <v/>
      </c>
    </row>
    <row r="400">
      <c r="A400" s="93" t="str">
        <f t="shared" si="2"/>
        <v>#15597</v>
      </c>
      <c r="B400" s="93" t="str">
        <f>IF(COUNTIF(MAIN!B:B, A400)=0, "Missing", "")</f>
        <v/>
      </c>
      <c r="E400" s="128" t="str">
        <f t="shared" si="1"/>
        <v/>
      </c>
    </row>
    <row r="401">
      <c r="A401" s="93" t="str">
        <f t="shared" si="2"/>
        <v>#15598</v>
      </c>
      <c r="B401" s="93" t="str">
        <f>IF(COUNTIF(MAIN!B:B, A401)=0, "Missing", "")</f>
        <v/>
      </c>
      <c r="E401" s="128" t="str">
        <f t="shared" si="1"/>
        <v/>
      </c>
    </row>
    <row r="402">
      <c r="A402" s="93" t="str">
        <f t="shared" si="2"/>
        <v>#15599</v>
      </c>
      <c r="B402" s="93" t="str">
        <f>IF(COUNTIF(MAIN!B:B, A402)=0, "Missing", "")</f>
        <v/>
      </c>
      <c r="E402" s="128" t="str">
        <f t="shared" si="1"/>
        <v/>
      </c>
    </row>
    <row r="403">
      <c r="A403" s="93" t="str">
        <f t="shared" si="2"/>
        <v>#15600</v>
      </c>
      <c r="B403" s="93" t="str">
        <f>IF(COUNTIF(MAIN!B:B, A403)=0, "Missing", "")</f>
        <v/>
      </c>
      <c r="E403" s="128" t="str">
        <f t="shared" si="1"/>
        <v/>
      </c>
    </row>
    <row r="404">
      <c r="A404" s="93" t="str">
        <f t="shared" si="2"/>
        <v>#15601</v>
      </c>
      <c r="B404" s="93" t="str">
        <f>IF(COUNTIF(MAIN!B:B, A404)=0, "Missing", "")</f>
        <v/>
      </c>
      <c r="E404" s="128" t="str">
        <f t="shared" si="1"/>
        <v/>
      </c>
    </row>
    <row r="405">
      <c r="A405" s="93" t="str">
        <f t="shared" si="2"/>
        <v>#15602</v>
      </c>
      <c r="B405" s="93" t="str">
        <f>IF(COUNTIF(MAIN!B:B, A405)=0, "Missing", "")</f>
        <v/>
      </c>
      <c r="E405" s="128" t="str">
        <f t="shared" si="1"/>
        <v/>
      </c>
    </row>
    <row r="406">
      <c r="A406" s="93" t="str">
        <f t="shared" si="2"/>
        <v>#15603</v>
      </c>
      <c r="B406" s="93" t="str">
        <f>IF(COUNTIF(MAIN!B:B, A406)=0, "Missing", "")</f>
        <v/>
      </c>
      <c r="E406" s="128" t="str">
        <f t="shared" si="1"/>
        <v/>
      </c>
    </row>
    <row r="407">
      <c r="A407" s="93" t="str">
        <f t="shared" si="2"/>
        <v>#15604</v>
      </c>
      <c r="B407" s="93" t="str">
        <f>IF(COUNTIF(MAIN!B:B, A407)=0, "Missing", "")</f>
        <v/>
      </c>
      <c r="E407" s="128" t="str">
        <f t="shared" si="1"/>
        <v/>
      </c>
    </row>
    <row r="408">
      <c r="A408" s="93" t="str">
        <f t="shared" si="2"/>
        <v>#15605</v>
      </c>
      <c r="B408" s="93" t="str">
        <f>IF(COUNTIF(MAIN!B:B, A408)=0, "Missing", "")</f>
        <v/>
      </c>
      <c r="E408" s="128" t="str">
        <f t="shared" si="1"/>
        <v/>
      </c>
    </row>
    <row r="409">
      <c r="A409" s="93" t="str">
        <f t="shared" si="2"/>
        <v>#15606</v>
      </c>
      <c r="B409" s="93" t="str">
        <f>IF(COUNTIF(MAIN!B:B, A409)=0, "Missing", "")</f>
        <v/>
      </c>
      <c r="E409" s="128" t="str">
        <f t="shared" si="1"/>
        <v/>
      </c>
    </row>
    <row r="410">
      <c r="A410" s="93" t="str">
        <f t="shared" si="2"/>
        <v>#15607</v>
      </c>
      <c r="B410" s="93" t="str">
        <f>IF(COUNTIF(MAIN!B:B, A410)=0, "Missing", "")</f>
        <v/>
      </c>
      <c r="E410" s="128" t="str">
        <f t="shared" si="1"/>
        <v/>
      </c>
    </row>
    <row r="411">
      <c r="A411" s="93" t="str">
        <f t="shared" si="2"/>
        <v>#15608</v>
      </c>
      <c r="B411" s="93" t="str">
        <f>IF(COUNTIF(MAIN!B:B, A411)=0, "Missing", "")</f>
        <v/>
      </c>
      <c r="E411" s="128" t="str">
        <f t="shared" si="1"/>
        <v/>
      </c>
    </row>
    <row r="412">
      <c r="A412" s="93" t="str">
        <f t="shared" si="2"/>
        <v>#15609</v>
      </c>
      <c r="B412" s="93" t="str">
        <f>IF(COUNTIF(MAIN!B:B, A412)=0, "Missing", "")</f>
        <v/>
      </c>
      <c r="E412" s="128" t="str">
        <f t="shared" si="1"/>
        <v/>
      </c>
    </row>
    <row r="413">
      <c r="A413" s="93" t="str">
        <f t="shared" si="2"/>
        <v>#15610</v>
      </c>
      <c r="B413" s="93" t="str">
        <f>IF(COUNTIF(MAIN!B:B, A413)=0, "Missing", "")</f>
        <v/>
      </c>
      <c r="E413" s="128" t="str">
        <f t="shared" si="1"/>
        <v/>
      </c>
    </row>
    <row r="414">
      <c r="A414" s="93" t="str">
        <f t="shared" si="2"/>
        <v>#15611</v>
      </c>
      <c r="B414" s="93" t="str">
        <f>IF(COUNTIF(MAIN!B:B, A414)=0, "Missing", "")</f>
        <v/>
      </c>
      <c r="E414" s="128" t="str">
        <f t="shared" si="1"/>
        <v/>
      </c>
    </row>
    <row r="415">
      <c r="A415" s="93" t="str">
        <f t="shared" si="2"/>
        <v>#15612</v>
      </c>
      <c r="B415" s="93" t="str">
        <f>IF(COUNTIF(MAIN!B:B, A415)=0, "Missing", "")</f>
        <v/>
      </c>
      <c r="E415" s="128" t="str">
        <f t="shared" si="1"/>
        <v/>
      </c>
    </row>
    <row r="416">
      <c r="A416" s="93" t="str">
        <f t="shared" si="2"/>
        <v>#15613</v>
      </c>
      <c r="B416" s="93" t="str">
        <f>IF(COUNTIF(MAIN!B:B, A416)=0, "Missing", "")</f>
        <v/>
      </c>
      <c r="E416" s="128" t="str">
        <f t="shared" si="1"/>
        <v/>
      </c>
    </row>
    <row r="417">
      <c r="A417" s="93" t="str">
        <f t="shared" si="2"/>
        <v>#15614</v>
      </c>
      <c r="B417" s="93" t="str">
        <f>IF(COUNTIF(MAIN!B:B, A417)=0, "Missing", "")</f>
        <v/>
      </c>
      <c r="E417" s="128" t="str">
        <f t="shared" si="1"/>
        <v/>
      </c>
    </row>
    <row r="418">
      <c r="A418" s="93" t="str">
        <f t="shared" si="2"/>
        <v>#15615</v>
      </c>
      <c r="B418" s="93" t="str">
        <f>IF(COUNTIF(MAIN!B:B, A418)=0, "Missing", "")</f>
        <v/>
      </c>
      <c r="E418" s="128" t="str">
        <f t="shared" si="1"/>
        <v/>
      </c>
    </row>
    <row r="419">
      <c r="A419" s="93" t="str">
        <f t="shared" si="2"/>
        <v>#15616</v>
      </c>
      <c r="B419" s="93" t="str">
        <f>IF(COUNTIF(MAIN!B:B, A419)=0, "Missing", "")</f>
        <v/>
      </c>
      <c r="E419" s="128" t="str">
        <f t="shared" si="1"/>
        <v/>
      </c>
    </row>
    <row r="420">
      <c r="A420" s="93" t="str">
        <f t="shared" si="2"/>
        <v>#15617</v>
      </c>
      <c r="B420" s="93" t="str">
        <f>IF(COUNTIF(MAIN!B:B, A420)=0, "Missing", "")</f>
        <v/>
      </c>
      <c r="E420" s="128" t="str">
        <f t="shared" si="1"/>
        <v/>
      </c>
    </row>
    <row r="421">
      <c r="A421" s="93" t="str">
        <f t="shared" si="2"/>
        <v>#15618</v>
      </c>
      <c r="B421" s="93" t="str">
        <f>IF(COUNTIF(MAIN!B:B, A421)=0, "Missing", "")</f>
        <v/>
      </c>
      <c r="E421" s="128" t="str">
        <f t="shared" si="1"/>
        <v/>
      </c>
    </row>
    <row r="422">
      <c r="A422" s="93" t="str">
        <f t="shared" si="2"/>
        <v>#15619</v>
      </c>
      <c r="B422" s="93" t="str">
        <f>IF(COUNTIF(MAIN!B:B, A422)=0, "Missing", "")</f>
        <v/>
      </c>
      <c r="E422" s="128" t="str">
        <f t="shared" si="1"/>
        <v/>
      </c>
    </row>
    <row r="423">
      <c r="A423" s="93" t="str">
        <f t="shared" si="2"/>
        <v>#15620</v>
      </c>
      <c r="B423" s="93" t="str">
        <f>IF(COUNTIF(MAIN!B:B, A423)=0, "Missing", "")</f>
        <v/>
      </c>
      <c r="E423" s="128" t="str">
        <f t="shared" si="1"/>
        <v/>
      </c>
    </row>
    <row r="424">
      <c r="A424" s="93" t="str">
        <f t="shared" si="2"/>
        <v>#15621</v>
      </c>
      <c r="B424" s="93" t="str">
        <f>IF(COUNTIF(MAIN!B:B, A424)=0, "Missing", "")</f>
        <v/>
      </c>
      <c r="E424" s="128" t="str">
        <f t="shared" si="1"/>
        <v/>
      </c>
    </row>
    <row r="425">
      <c r="A425" s="93" t="str">
        <f t="shared" si="2"/>
        <v>#15622</v>
      </c>
      <c r="B425" s="93" t="str">
        <f>IF(COUNTIF(MAIN!B:B, A425)=0, "Missing", "")</f>
        <v/>
      </c>
      <c r="E425" s="128" t="str">
        <f t="shared" si="1"/>
        <v/>
      </c>
    </row>
    <row r="426">
      <c r="A426" s="93" t="str">
        <f t="shared" si="2"/>
        <v>#15623</v>
      </c>
      <c r="B426" s="93" t="str">
        <f>IF(COUNTIF(MAIN!B:B, A426)=0, "Missing", "")</f>
        <v/>
      </c>
      <c r="E426" s="128" t="str">
        <f t="shared" si="1"/>
        <v/>
      </c>
    </row>
    <row r="427">
      <c r="A427" s="93" t="str">
        <f t="shared" si="2"/>
        <v>#15624</v>
      </c>
      <c r="B427" s="93" t="str">
        <f>IF(COUNTIF(MAIN!B:B, A427)=0, "Missing", "")</f>
        <v/>
      </c>
      <c r="E427" s="128" t="str">
        <f t="shared" si="1"/>
        <v/>
      </c>
    </row>
    <row r="428">
      <c r="A428" s="93" t="str">
        <f t="shared" si="2"/>
        <v>#15625</v>
      </c>
      <c r="B428" s="93" t="str">
        <f>IF(COUNTIF(MAIN!B:B, A428)=0, "Missing", "")</f>
        <v/>
      </c>
      <c r="E428" s="128" t="str">
        <f t="shared" si="1"/>
        <v/>
      </c>
    </row>
    <row r="429">
      <c r="A429" s="93" t="str">
        <f t="shared" si="2"/>
        <v>#15626</v>
      </c>
      <c r="B429" s="93" t="str">
        <f>IF(COUNTIF(MAIN!B:B, A429)=0, "Missing", "")</f>
        <v/>
      </c>
      <c r="E429" s="128" t="str">
        <f t="shared" si="1"/>
        <v/>
      </c>
    </row>
    <row r="430">
      <c r="A430" s="93" t="str">
        <f t="shared" si="2"/>
        <v>#15627</v>
      </c>
      <c r="B430" s="93" t="str">
        <f>IF(COUNTIF(MAIN!B:B, A430)=0, "Missing", "")</f>
        <v/>
      </c>
      <c r="E430" s="128" t="str">
        <f t="shared" si="1"/>
        <v/>
      </c>
    </row>
    <row r="431">
      <c r="A431" s="93" t="str">
        <f t="shared" si="2"/>
        <v>#15628</v>
      </c>
      <c r="B431" s="93" t="str">
        <f>IF(COUNTIF(MAIN!B:B, A431)=0, "Missing", "")</f>
        <v/>
      </c>
      <c r="E431" s="128" t="str">
        <f t="shared" si="1"/>
        <v/>
      </c>
    </row>
    <row r="432">
      <c r="A432" s="93" t="str">
        <f t="shared" si="2"/>
        <v>#15629</v>
      </c>
      <c r="B432" s="93" t="str">
        <f>IF(COUNTIF(MAIN!B:B, A432)=0, "Missing", "")</f>
        <v/>
      </c>
      <c r="E432" s="128" t="str">
        <f t="shared" si="1"/>
        <v/>
      </c>
    </row>
    <row r="433">
      <c r="A433" s="93" t="str">
        <f t="shared" si="2"/>
        <v>#15630</v>
      </c>
      <c r="B433" s="93" t="str">
        <f>IF(COUNTIF(MAIN!B:B, A433)=0, "Missing", "")</f>
        <v/>
      </c>
      <c r="E433" s="128" t="str">
        <f t="shared" si="1"/>
        <v/>
      </c>
    </row>
    <row r="434">
      <c r="A434" s="93" t="str">
        <f t="shared" si="2"/>
        <v>#15631</v>
      </c>
      <c r="B434" s="93" t="str">
        <f>IF(COUNTIF(MAIN!B:B, A434)=0, "Missing", "")</f>
        <v/>
      </c>
      <c r="E434" s="128" t="str">
        <f t="shared" si="1"/>
        <v/>
      </c>
    </row>
    <row r="435">
      <c r="A435" s="93" t="str">
        <f t="shared" si="2"/>
        <v>#15632</v>
      </c>
      <c r="B435" s="93" t="str">
        <f>IF(COUNTIF(MAIN!B:B, A435)=0, "Missing", "")</f>
        <v/>
      </c>
      <c r="E435" s="128" t="str">
        <f t="shared" si="1"/>
        <v/>
      </c>
    </row>
    <row r="436">
      <c r="A436" s="93" t="str">
        <f t="shared" si="2"/>
        <v>#15633</v>
      </c>
      <c r="B436" s="93" t="str">
        <f>IF(COUNTIF(MAIN!B:B, A436)=0, "Missing", "")</f>
        <v/>
      </c>
      <c r="E436" s="128" t="str">
        <f t="shared" si="1"/>
        <v/>
      </c>
    </row>
    <row r="437">
      <c r="A437" s="93" t="str">
        <f t="shared" si="2"/>
        <v>#15634</v>
      </c>
      <c r="B437" s="93" t="str">
        <f>IF(COUNTIF(MAIN!B:B, A437)=0, "Missing", "")</f>
        <v/>
      </c>
      <c r="E437" s="128" t="str">
        <f t="shared" si="1"/>
        <v/>
      </c>
    </row>
    <row r="438">
      <c r="A438" s="93" t="str">
        <f t="shared" si="2"/>
        <v>#15635</v>
      </c>
      <c r="B438" s="93" t="str">
        <f>IF(COUNTIF(MAIN!B:B, A438)=0, "Missing", "")</f>
        <v/>
      </c>
      <c r="E438" s="128" t="str">
        <f t="shared" si="1"/>
        <v/>
      </c>
    </row>
    <row r="439">
      <c r="A439" s="93" t="str">
        <f t="shared" si="2"/>
        <v>#15636</v>
      </c>
      <c r="B439" s="93" t="str">
        <f>IF(COUNTIF(MAIN!B:B, A439)=0, "Missing", "")</f>
        <v/>
      </c>
      <c r="E439" s="128" t="str">
        <f t="shared" si="1"/>
        <v/>
      </c>
    </row>
    <row r="440">
      <c r="A440" s="93" t="str">
        <f t="shared" si="2"/>
        <v>#15637</v>
      </c>
      <c r="B440" s="93" t="str">
        <f>IF(COUNTIF(MAIN!B:B, A440)=0, "Missing", "")</f>
        <v/>
      </c>
      <c r="E440" s="128" t="str">
        <f t="shared" si="1"/>
        <v/>
      </c>
    </row>
    <row r="441">
      <c r="A441" s="93" t="str">
        <f t="shared" si="2"/>
        <v>#15638</v>
      </c>
      <c r="B441" s="93" t="str">
        <f>IF(COUNTIF(MAIN!B:B, A441)=0, "Missing", "")</f>
        <v/>
      </c>
      <c r="E441" s="128" t="str">
        <f t="shared" si="1"/>
        <v/>
      </c>
    </row>
    <row r="442">
      <c r="A442" s="93" t="str">
        <f t="shared" si="2"/>
        <v>#15639</v>
      </c>
      <c r="B442" s="93" t="str">
        <f>IF(COUNTIF(MAIN!B:B, A442)=0, "Missing", "")</f>
        <v/>
      </c>
      <c r="E442" s="128" t="str">
        <f t="shared" si="1"/>
        <v/>
      </c>
    </row>
    <row r="443">
      <c r="A443" s="93" t="str">
        <f t="shared" si="2"/>
        <v>#15640</v>
      </c>
      <c r="B443" s="93" t="str">
        <f>IF(COUNTIF(MAIN!B:B, A443)=0, "Missing", "")</f>
        <v/>
      </c>
      <c r="E443" s="128" t="str">
        <f t="shared" si="1"/>
        <v/>
      </c>
    </row>
    <row r="444">
      <c r="A444" s="93" t="str">
        <f t="shared" si="2"/>
        <v>#15641</v>
      </c>
      <c r="B444" s="93" t="str">
        <f>IF(COUNTIF(MAIN!B:B, A444)=0, "Missing", "")</f>
        <v/>
      </c>
      <c r="E444" s="128" t="str">
        <f t="shared" si="1"/>
        <v/>
      </c>
    </row>
    <row r="445">
      <c r="A445" s="93" t="str">
        <f t="shared" si="2"/>
        <v>#15642</v>
      </c>
      <c r="B445" s="93" t="str">
        <f>IF(COUNTIF(MAIN!B:B, A445)=0, "Missing", "")</f>
        <v/>
      </c>
      <c r="E445" s="128" t="str">
        <f t="shared" si="1"/>
        <v/>
      </c>
    </row>
    <row r="446">
      <c r="A446" s="93" t="str">
        <f t="shared" si="2"/>
        <v>#15643</v>
      </c>
      <c r="B446" s="93" t="str">
        <f>IF(COUNTIF(MAIN!B:B, A446)=0, "Missing", "")</f>
        <v/>
      </c>
      <c r="E446" s="128" t="str">
        <f t="shared" si="1"/>
        <v/>
      </c>
    </row>
    <row r="447">
      <c r="A447" s="93" t="str">
        <f t="shared" si="2"/>
        <v>#15644</v>
      </c>
      <c r="B447" s="93" t="str">
        <f>IF(COUNTIF(MAIN!B:B, A447)=0, "Missing", "")</f>
        <v/>
      </c>
      <c r="E447" s="128" t="str">
        <f t="shared" si="1"/>
        <v/>
      </c>
    </row>
    <row r="448">
      <c r="A448" s="93" t="str">
        <f t="shared" si="2"/>
        <v>#15645</v>
      </c>
      <c r="B448" s="93" t="str">
        <f>IF(COUNTIF(MAIN!B:B, A448)=0, "Missing", "")</f>
        <v/>
      </c>
      <c r="E448" s="128" t="str">
        <f t="shared" si="1"/>
        <v/>
      </c>
    </row>
    <row r="449">
      <c r="A449" s="93" t="str">
        <f t="shared" si="2"/>
        <v>#15646</v>
      </c>
      <c r="B449" s="93" t="str">
        <f>IF(COUNTIF(MAIN!B:B, A449)=0, "Missing", "")</f>
        <v/>
      </c>
      <c r="E449" s="128" t="str">
        <f t="shared" si="1"/>
        <v/>
      </c>
    </row>
    <row r="450">
      <c r="A450" s="93" t="str">
        <f t="shared" si="2"/>
        <v>#15647</v>
      </c>
      <c r="B450" s="93" t="str">
        <f>IF(COUNTIF(MAIN!B:B, A450)=0, "Missing", "")</f>
        <v/>
      </c>
      <c r="E450" s="128" t="str">
        <f t="shared" si="1"/>
        <v/>
      </c>
    </row>
    <row r="451">
      <c r="A451" s="93" t="str">
        <f t="shared" si="2"/>
        <v>#15648</v>
      </c>
      <c r="B451" s="93" t="str">
        <f>IF(COUNTIF(MAIN!B:B, A451)=0, "Missing", "")</f>
        <v/>
      </c>
      <c r="E451" s="128" t="str">
        <f t="shared" si="1"/>
        <v/>
      </c>
    </row>
    <row r="452">
      <c r="A452" s="93" t="str">
        <f t="shared" si="2"/>
        <v>#15649</v>
      </c>
      <c r="B452" s="93" t="str">
        <f>IF(COUNTIF(MAIN!B:B, A452)=0, "Missing", "")</f>
        <v/>
      </c>
      <c r="E452" s="128" t="str">
        <f t="shared" si="1"/>
        <v/>
      </c>
    </row>
    <row r="453">
      <c r="A453" s="93" t="str">
        <f t="shared" si="2"/>
        <v>#15650</v>
      </c>
      <c r="B453" s="93" t="str">
        <f>IF(COUNTIF(MAIN!B:B, A453)=0, "Missing", "")</f>
        <v/>
      </c>
      <c r="E453" s="128" t="str">
        <f t="shared" si="1"/>
        <v/>
      </c>
    </row>
    <row r="454">
      <c r="A454" s="93" t="str">
        <f t="shared" si="2"/>
        <v>#15651</v>
      </c>
      <c r="B454" s="93" t="str">
        <f>IF(COUNTIF(MAIN!B:B, A454)=0, "Missing", "")</f>
        <v/>
      </c>
      <c r="E454" s="128" t="str">
        <f t="shared" si="1"/>
        <v/>
      </c>
    </row>
    <row r="455">
      <c r="A455" s="93" t="str">
        <f t="shared" si="2"/>
        <v>#15652</v>
      </c>
      <c r="B455" s="93" t="str">
        <f>IF(COUNTIF(MAIN!B:B, A455)=0, "Missing", "")</f>
        <v/>
      </c>
      <c r="E455" s="128" t="str">
        <f t="shared" si="1"/>
        <v/>
      </c>
    </row>
    <row r="456">
      <c r="A456" s="93" t="str">
        <f t="shared" si="2"/>
        <v>#15653</v>
      </c>
      <c r="B456" s="93" t="str">
        <f>IF(COUNTIF(MAIN!B:B, A456)=0, "Missing", "")</f>
        <v/>
      </c>
      <c r="E456" s="128" t="str">
        <f t="shared" si="1"/>
        <v/>
      </c>
    </row>
    <row r="457">
      <c r="A457" s="93" t="str">
        <f t="shared" si="2"/>
        <v>#15654</v>
      </c>
      <c r="B457" s="93" t="str">
        <f>IF(COUNTIF(MAIN!B:B, A457)=0, "Missing", "")</f>
        <v/>
      </c>
      <c r="E457" s="128" t="str">
        <f t="shared" si="1"/>
        <v/>
      </c>
    </row>
    <row r="458">
      <c r="A458" s="93" t="str">
        <f t="shared" si="2"/>
        <v>#15655</v>
      </c>
      <c r="B458" s="93" t="str">
        <f>IF(COUNTIF(MAIN!B:B, A458)=0, "Missing", "")</f>
        <v/>
      </c>
      <c r="E458" s="128" t="str">
        <f t="shared" si="1"/>
        <v/>
      </c>
    </row>
    <row r="459">
      <c r="A459" s="93" t="str">
        <f t="shared" si="2"/>
        <v>#15656</v>
      </c>
      <c r="B459" s="93" t="str">
        <f>IF(COUNTIF(MAIN!B:B, A459)=0, "Missing", "")</f>
        <v/>
      </c>
      <c r="E459" s="128" t="str">
        <f t="shared" si="1"/>
        <v/>
      </c>
    </row>
    <row r="460">
      <c r="A460" s="93" t="str">
        <f t="shared" si="2"/>
        <v>#15657</v>
      </c>
      <c r="B460" s="93" t="str">
        <f>IF(COUNTIF(MAIN!B:B, A460)=0, "Missing", "")</f>
        <v/>
      </c>
      <c r="E460" s="128" t="str">
        <f t="shared" si="1"/>
        <v/>
      </c>
    </row>
    <row r="461">
      <c r="A461" s="93" t="str">
        <f t="shared" si="2"/>
        <v>#15658</v>
      </c>
      <c r="B461" s="93" t="str">
        <f>IF(COUNTIF(MAIN!B:B, A461)=0, "Missing", "")</f>
        <v/>
      </c>
      <c r="E461" s="128" t="str">
        <f t="shared" si="1"/>
        <v/>
      </c>
    </row>
    <row r="462">
      <c r="A462" s="93" t="str">
        <f t="shared" si="2"/>
        <v>#15659</v>
      </c>
      <c r="B462" s="93" t="str">
        <f>IF(COUNTIF(MAIN!B:B, A462)=0, "Missing", "")</f>
        <v/>
      </c>
      <c r="E462" s="128" t="str">
        <f t="shared" si="1"/>
        <v/>
      </c>
    </row>
    <row r="463">
      <c r="A463" s="93" t="str">
        <f t="shared" si="2"/>
        <v>#15660</v>
      </c>
      <c r="B463" s="93" t="str">
        <f>IF(COUNTIF(MAIN!B:B, A463)=0, "Missing", "")</f>
        <v/>
      </c>
      <c r="E463" s="128" t="str">
        <f t="shared" si="1"/>
        <v/>
      </c>
    </row>
    <row r="464">
      <c r="A464" s="93" t="str">
        <f t="shared" si="2"/>
        <v>#15661</v>
      </c>
      <c r="B464" s="93" t="str">
        <f>IF(COUNTIF(MAIN!B:B, A464)=0, "Missing", "")</f>
        <v/>
      </c>
      <c r="E464" s="128" t="str">
        <f t="shared" si="1"/>
        <v/>
      </c>
    </row>
    <row r="465">
      <c r="A465" s="93" t="str">
        <f t="shared" si="2"/>
        <v>#15662</v>
      </c>
      <c r="B465" s="93" t="str">
        <f>IF(COUNTIF(MAIN!B:B, A465)=0, "Missing", "")</f>
        <v/>
      </c>
      <c r="E465" s="128" t="str">
        <f t="shared" si="1"/>
        <v/>
      </c>
    </row>
    <row r="466">
      <c r="A466" s="93" t="str">
        <f t="shared" si="2"/>
        <v>#15663</v>
      </c>
      <c r="B466" s="93" t="str">
        <f>IF(COUNTIF(MAIN!B:B, A466)=0, "Missing", "")</f>
        <v/>
      </c>
      <c r="E466" s="128" t="str">
        <f t="shared" si="1"/>
        <v/>
      </c>
    </row>
    <row r="467">
      <c r="A467" s="93" t="str">
        <f t="shared" si="2"/>
        <v>#15664</v>
      </c>
      <c r="B467" s="93" t="str">
        <f>IF(COUNTIF(MAIN!B:B, A467)=0, "Missing", "")</f>
        <v/>
      </c>
      <c r="E467" s="128" t="str">
        <f t="shared" si="1"/>
        <v/>
      </c>
    </row>
    <row r="468">
      <c r="A468" s="93" t="str">
        <f t="shared" si="2"/>
        <v>#15665</v>
      </c>
      <c r="B468" s="93" t="str">
        <f>IF(COUNTIF(MAIN!B:B, A468)=0, "Missing", "")</f>
        <v/>
      </c>
      <c r="E468" s="128" t="str">
        <f t="shared" si="1"/>
        <v/>
      </c>
    </row>
    <row r="469">
      <c r="A469" s="93" t="str">
        <f t="shared" si="2"/>
        <v>#15666</v>
      </c>
      <c r="B469" s="93" t="str">
        <f>IF(COUNTIF(MAIN!B:B, A469)=0, "Missing", "")</f>
        <v/>
      </c>
      <c r="E469" s="128" t="str">
        <f t="shared" si="1"/>
        <v/>
      </c>
    </row>
    <row r="470">
      <c r="A470" s="93" t="str">
        <f t="shared" si="2"/>
        <v>#15667</v>
      </c>
      <c r="B470" s="93" t="str">
        <f>IF(COUNTIF(MAIN!B:B, A470)=0, "Missing", "")</f>
        <v/>
      </c>
      <c r="E470" s="128" t="str">
        <f t="shared" si="1"/>
        <v/>
      </c>
    </row>
    <row r="471">
      <c r="A471" s="93" t="str">
        <f t="shared" si="2"/>
        <v>#15668</v>
      </c>
      <c r="B471" s="93" t="str">
        <f>IF(COUNTIF(MAIN!B:B, A471)=0, "Missing", "")</f>
        <v/>
      </c>
      <c r="E471" s="128" t="str">
        <f t="shared" si="1"/>
        <v/>
      </c>
    </row>
    <row r="472">
      <c r="A472" s="93" t="str">
        <f t="shared" si="2"/>
        <v>#15669</v>
      </c>
      <c r="B472" s="93" t="str">
        <f>IF(COUNTIF(MAIN!B:B, A472)=0, "Missing", "")</f>
        <v/>
      </c>
      <c r="E472" s="128" t="str">
        <f t="shared" si="1"/>
        <v/>
      </c>
    </row>
    <row r="473">
      <c r="A473" s="93" t="str">
        <f t="shared" si="2"/>
        <v>#15670</v>
      </c>
      <c r="B473" s="93" t="str">
        <f>IF(COUNTIF(MAIN!B:B, A473)=0, "Missing", "")</f>
        <v/>
      </c>
      <c r="E473" s="128" t="str">
        <f t="shared" si="1"/>
        <v/>
      </c>
    </row>
    <row r="474">
      <c r="A474" s="93" t="str">
        <f t="shared" si="2"/>
        <v>#15671</v>
      </c>
      <c r="B474" s="93" t="str">
        <f>IF(COUNTIF(MAIN!B:B, A474)=0, "Missing", "")</f>
        <v/>
      </c>
      <c r="E474" s="128" t="str">
        <f t="shared" si="1"/>
        <v/>
      </c>
    </row>
    <row r="475">
      <c r="A475" s="93" t="str">
        <f t="shared" si="2"/>
        <v>#15672</v>
      </c>
      <c r="B475" s="93" t="str">
        <f>IF(COUNTIF(MAIN!B:B, A475)=0, "Missing", "")</f>
        <v/>
      </c>
      <c r="E475" s="128" t="str">
        <f t="shared" si="1"/>
        <v/>
      </c>
    </row>
    <row r="476">
      <c r="A476" s="93" t="str">
        <f t="shared" si="2"/>
        <v>#15673</v>
      </c>
      <c r="B476" s="93" t="str">
        <f>IF(COUNTIF(MAIN!B:B, A476)=0, "Missing", "")</f>
        <v/>
      </c>
      <c r="E476" s="128" t="str">
        <f t="shared" si="1"/>
        <v/>
      </c>
    </row>
    <row r="477">
      <c r="A477" s="93" t="str">
        <f t="shared" si="2"/>
        <v>#15674</v>
      </c>
      <c r="B477" s="93" t="str">
        <f>IF(COUNTIF(MAIN!B:B, A477)=0, "Missing", "")</f>
        <v/>
      </c>
      <c r="E477" s="128" t="str">
        <f t="shared" si="1"/>
        <v/>
      </c>
    </row>
    <row r="478">
      <c r="A478" s="93" t="str">
        <f t="shared" si="2"/>
        <v>#15675</v>
      </c>
      <c r="B478" s="93" t="str">
        <f>IF(COUNTIF(MAIN!B:B, A478)=0, "Missing", "")</f>
        <v/>
      </c>
      <c r="E478" s="128" t="str">
        <f t="shared" si="1"/>
        <v/>
      </c>
    </row>
    <row r="479">
      <c r="A479" s="93" t="str">
        <f t="shared" si="2"/>
        <v>#15676</v>
      </c>
      <c r="B479" s="93" t="str">
        <f>IF(COUNTIF(MAIN!B:B, A479)=0, "Missing", "")</f>
        <v/>
      </c>
      <c r="E479" s="128" t="str">
        <f t="shared" si="1"/>
        <v/>
      </c>
    </row>
    <row r="480">
      <c r="A480" s="93" t="str">
        <f t="shared" si="2"/>
        <v>#15677</v>
      </c>
      <c r="B480" s="93" t="str">
        <f>IF(COUNTIF(MAIN!B:B, A480)=0, "Missing", "")</f>
        <v/>
      </c>
      <c r="E480" s="128" t="str">
        <f t="shared" si="1"/>
        <v/>
      </c>
    </row>
    <row r="481">
      <c r="A481" s="93" t="str">
        <f t="shared" si="2"/>
        <v>#15678</v>
      </c>
      <c r="B481" s="93" t="str">
        <f>IF(COUNTIF(MAIN!B:B, A481)=0, "Missing", "")</f>
        <v/>
      </c>
      <c r="E481" s="128" t="str">
        <f t="shared" si="1"/>
        <v/>
      </c>
    </row>
    <row r="482">
      <c r="A482" s="93" t="str">
        <f t="shared" si="2"/>
        <v>#15679</v>
      </c>
      <c r="B482" s="93" t="str">
        <f>IF(COUNTIF(MAIN!B:B, A482)=0, "Missing", "")</f>
        <v/>
      </c>
      <c r="E482" s="128" t="str">
        <f t="shared" si="1"/>
        <v/>
      </c>
    </row>
    <row r="483">
      <c r="A483" s="93" t="str">
        <f t="shared" si="2"/>
        <v>#15680</v>
      </c>
      <c r="B483" s="93" t="str">
        <f>IF(COUNTIF(MAIN!B:B, A483)=0, "Missing", "")</f>
        <v/>
      </c>
      <c r="E483" s="128" t="str">
        <f t="shared" si="1"/>
        <v/>
      </c>
    </row>
    <row r="484">
      <c r="A484" s="93" t="str">
        <f t="shared" si="2"/>
        <v>#15681</v>
      </c>
      <c r="B484" s="93" t="str">
        <f>IF(COUNTIF(MAIN!B:B, A484)=0, "Missing", "")</f>
        <v/>
      </c>
      <c r="E484" s="128" t="str">
        <f t="shared" si="1"/>
        <v/>
      </c>
    </row>
    <row r="485">
      <c r="A485" s="93" t="str">
        <f t="shared" si="2"/>
        <v>#15682</v>
      </c>
      <c r="B485" s="93" t="str">
        <f>IF(COUNTIF(MAIN!B:B, A485)=0, "Missing", "")</f>
        <v/>
      </c>
      <c r="E485" s="128" t="str">
        <f t="shared" si="1"/>
        <v/>
      </c>
    </row>
    <row r="486">
      <c r="A486" s="93" t="str">
        <f t="shared" si="2"/>
        <v>#15683</v>
      </c>
      <c r="B486" s="93" t="str">
        <f>IF(COUNTIF(MAIN!B:B, A486)=0, "Missing", "")</f>
        <v/>
      </c>
      <c r="E486" s="128" t="str">
        <f t="shared" si="1"/>
        <v/>
      </c>
    </row>
    <row r="487">
      <c r="A487" s="93" t="str">
        <f t="shared" si="2"/>
        <v>#15684</v>
      </c>
      <c r="B487" s="93" t="str">
        <f>IF(COUNTIF(MAIN!B:B, A487)=0, "Missing", "")</f>
        <v/>
      </c>
      <c r="E487" s="128" t="str">
        <f t="shared" si="1"/>
        <v/>
      </c>
    </row>
    <row r="488">
      <c r="A488" s="93" t="str">
        <f t="shared" si="2"/>
        <v>#15685</v>
      </c>
      <c r="B488" s="93" t="str">
        <f>IF(COUNTIF(MAIN!B:B, A488)=0, "Missing", "")</f>
        <v/>
      </c>
      <c r="E488" s="128" t="str">
        <f t="shared" si="1"/>
        <v/>
      </c>
    </row>
    <row r="489">
      <c r="A489" s="93" t="str">
        <f t="shared" si="2"/>
        <v>#15686</v>
      </c>
      <c r="B489" s="93" t="str">
        <f>IF(COUNTIF(MAIN!B:B, A489)=0, "Missing", "")</f>
        <v/>
      </c>
      <c r="E489" s="128" t="str">
        <f t="shared" si="1"/>
        <v/>
      </c>
    </row>
    <row r="490">
      <c r="A490" s="93" t="str">
        <f t="shared" si="2"/>
        <v>#15687</v>
      </c>
      <c r="B490" s="93" t="str">
        <f>IF(COUNTIF(MAIN!B:B, A490)=0, "Missing", "")</f>
        <v/>
      </c>
      <c r="E490" s="128" t="str">
        <f t="shared" si="1"/>
        <v/>
      </c>
    </row>
    <row r="491">
      <c r="A491" s="93" t="str">
        <f t="shared" si="2"/>
        <v>#15688</v>
      </c>
      <c r="B491" s="93" t="str">
        <f>IF(COUNTIF(MAIN!B:B, A491)=0, "Missing", "")</f>
        <v/>
      </c>
      <c r="E491" s="128" t="str">
        <f t="shared" si="1"/>
        <v/>
      </c>
    </row>
    <row r="492">
      <c r="A492" s="93" t="str">
        <f t="shared" si="2"/>
        <v>#15689</v>
      </c>
      <c r="B492" s="93" t="str">
        <f>IF(COUNTIF(MAIN!B:B, A492)=0, "Missing", "")</f>
        <v/>
      </c>
      <c r="E492" s="128" t="str">
        <f t="shared" si="1"/>
        <v/>
      </c>
    </row>
    <row r="493">
      <c r="A493" s="93" t="str">
        <f t="shared" si="2"/>
        <v>#15690</v>
      </c>
      <c r="B493" s="93" t="str">
        <f>IF(COUNTIF(MAIN!B:B, A493)=0, "Missing", "")</f>
        <v/>
      </c>
      <c r="E493" s="128" t="str">
        <f t="shared" si="1"/>
        <v/>
      </c>
    </row>
    <row r="494">
      <c r="A494" s="93" t="str">
        <f t="shared" si="2"/>
        <v>#15691</v>
      </c>
      <c r="B494" s="93" t="str">
        <f>IF(COUNTIF(MAIN!B:B, A494)=0, "Missing", "")</f>
        <v/>
      </c>
      <c r="E494" s="128" t="str">
        <f t="shared" si="1"/>
        <v/>
      </c>
    </row>
    <row r="495">
      <c r="A495" s="93" t="str">
        <f t="shared" si="2"/>
        <v>#15692</v>
      </c>
      <c r="B495" s="93" t="str">
        <f>IF(COUNTIF(MAIN!B:B, A495)=0, "Missing", "")</f>
        <v/>
      </c>
      <c r="E495" s="128" t="str">
        <f t="shared" si="1"/>
        <v/>
      </c>
    </row>
    <row r="496">
      <c r="A496" s="93" t="str">
        <f t="shared" si="2"/>
        <v>#15693</v>
      </c>
      <c r="B496" s="93" t="str">
        <f>IF(COUNTIF(MAIN!B:B, A496)=0, "Missing", "")</f>
        <v/>
      </c>
      <c r="E496" s="128" t="str">
        <f t="shared" si="1"/>
        <v/>
      </c>
    </row>
    <row r="497">
      <c r="A497" s="93" t="str">
        <f t="shared" si="2"/>
        <v>#15694</v>
      </c>
      <c r="B497" s="93" t="str">
        <f>IF(COUNTIF(MAIN!B:B, A497)=0, "Missing", "")</f>
        <v>Missing</v>
      </c>
      <c r="C497" s="84" t="s">
        <v>15233</v>
      </c>
      <c r="E497" s="131" t="str">
        <f t="shared" si="1"/>
        <v>https://utrucking.myshopify.com/admin/orders?query=15694</v>
      </c>
    </row>
    <row r="498">
      <c r="A498" s="93" t="str">
        <f t="shared" si="2"/>
        <v>#15695</v>
      </c>
      <c r="B498" s="93" t="str">
        <f>IF(COUNTIF(MAIN!B:B, A498)=0, "Missing", "")</f>
        <v/>
      </c>
      <c r="E498" s="128" t="str">
        <f t="shared" si="1"/>
        <v/>
      </c>
    </row>
    <row r="499">
      <c r="A499" s="93" t="str">
        <f t="shared" si="2"/>
        <v>#15696</v>
      </c>
      <c r="B499" s="93" t="str">
        <f>IF(COUNTIF(MAIN!B:B, A499)=0, "Missing", "")</f>
        <v/>
      </c>
      <c r="E499" s="128" t="str">
        <f t="shared" si="1"/>
        <v/>
      </c>
    </row>
    <row r="500">
      <c r="A500" s="93" t="str">
        <f t="shared" si="2"/>
        <v>#15697</v>
      </c>
      <c r="B500" s="93" t="str">
        <f>IF(COUNTIF(MAIN!B:B, A500)=0, "Missing", "")</f>
        <v/>
      </c>
      <c r="E500" s="128" t="str">
        <f t="shared" si="1"/>
        <v/>
      </c>
    </row>
    <row r="501">
      <c r="A501" s="93" t="str">
        <f t="shared" si="2"/>
        <v>#15698</v>
      </c>
      <c r="B501" s="93" t="str">
        <f>IF(COUNTIF(MAIN!B:B, A501)=0, "Missing", "")</f>
        <v/>
      </c>
      <c r="E501" s="128" t="str">
        <f t="shared" si="1"/>
        <v/>
      </c>
    </row>
    <row r="502">
      <c r="A502" s="93" t="str">
        <f t="shared" si="2"/>
        <v>#15699</v>
      </c>
      <c r="B502" s="93" t="str">
        <f>IF(COUNTIF(MAIN!B:B, A502)=0, "Missing", "")</f>
        <v/>
      </c>
      <c r="E502" s="128" t="str">
        <f t="shared" si="1"/>
        <v/>
      </c>
    </row>
    <row r="503">
      <c r="A503" s="93" t="str">
        <f t="shared" si="2"/>
        <v>#15700</v>
      </c>
      <c r="B503" s="93" t="str">
        <f>IF(COUNTIF(MAIN!B:B, A503)=0, "Missing", "")</f>
        <v/>
      </c>
      <c r="E503" s="128" t="str">
        <f t="shared" si="1"/>
        <v/>
      </c>
    </row>
    <row r="504">
      <c r="A504" s="93" t="str">
        <f t="shared" si="2"/>
        <v>#15701</v>
      </c>
      <c r="B504" s="93" t="str">
        <f>IF(COUNTIF(MAIN!B:B, A504)=0, "Missing", "")</f>
        <v/>
      </c>
      <c r="E504" s="128" t="str">
        <f t="shared" si="1"/>
        <v/>
      </c>
    </row>
    <row r="505">
      <c r="A505" s="93" t="str">
        <f t="shared" si="2"/>
        <v>#15702</v>
      </c>
      <c r="B505" s="93" t="str">
        <f>IF(COUNTIF(MAIN!B:B, A505)=0, "Missing", "")</f>
        <v/>
      </c>
      <c r="E505" s="128" t="str">
        <f t="shared" si="1"/>
        <v/>
      </c>
    </row>
    <row r="506">
      <c r="A506" s="93" t="str">
        <f t="shared" si="2"/>
        <v>#15703</v>
      </c>
      <c r="B506" s="93" t="str">
        <f>IF(COUNTIF(MAIN!B:B, A506)=0, "Missing", "")</f>
        <v/>
      </c>
      <c r="E506" s="128" t="str">
        <f t="shared" si="1"/>
        <v/>
      </c>
    </row>
    <row r="507">
      <c r="A507" s="93" t="str">
        <f t="shared" si="2"/>
        <v>#15704</v>
      </c>
      <c r="B507" s="93" t="str">
        <f>IF(COUNTIF(MAIN!B:B, A507)=0, "Missing", "")</f>
        <v/>
      </c>
      <c r="E507" s="128" t="str">
        <f t="shared" si="1"/>
        <v/>
      </c>
    </row>
    <row r="508">
      <c r="A508" s="93" t="str">
        <f t="shared" si="2"/>
        <v>#15705</v>
      </c>
      <c r="B508" s="93" t="str">
        <f>IF(COUNTIF(MAIN!B:B, A508)=0, "Missing", "")</f>
        <v/>
      </c>
      <c r="E508" s="128" t="str">
        <f t="shared" si="1"/>
        <v/>
      </c>
    </row>
    <row r="509">
      <c r="A509" s="93" t="str">
        <f t="shared" si="2"/>
        <v>#15706</v>
      </c>
      <c r="B509" s="93" t="str">
        <f>IF(COUNTIF(MAIN!B:B, A509)=0, "Missing", "")</f>
        <v/>
      </c>
      <c r="E509" s="128" t="str">
        <f t="shared" si="1"/>
        <v/>
      </c>
    </row>
    <row r="510">
      <c r="A510" s="93" t="str">
        <f t="shared" si="2"/>
        <v>#15707</v>
      </c>
      <c r="B510" s="93" t="str">
        <f>IF(COUNTIF(MAIN!B:B, A510)=0, "Missing", "")</f>
        <v/>
      </c>
      <c r="E510" s="128" t="str">
        <f t="shared" si="1"/>
        <v/>
      </c>
    </row>
    <row r="511">
      <c r="A511" s="93" t="str">
        <f t="shared" si="2"/>
        <v>#15708</v>
      </c>
      <c r="B511" s="93" t="str">
        <f>IF(COUNTIF(MAIN!B:B, A511)=0, "Missing", "")</f>
        <v/>
      </c>
      <c r="E511" s="128" t="str">
        <f t="shared" si="1"/>
        <v/>
      </c>
    </row>
    <row r="512">
      <c r="A512" s="93" t="str">
        <f t="shared" si="2"/>
        <v>#15709</v>
      </c>
      <c r="B512" s="93" t="str">
        <f>IF(COUNTIF(MAIN!B:B, A512)=0, "Missing", "")</f>
        <v/>
      </c>
      <c r="E512" s="128" t="str">
        <f t="shared" si="1"/>
        <v/>
      </c>
    </row>
    <row r="513">
      <c r="A513" s="93" t="str">
        <f t="shared" si="2"/>
        <v>#15710</v>
      </c>
      <c r="B513" s="93" t="str">
        <f>IF(COUNTIF(MAIN!B:B, A513)=0, "Missing", "")</f>
        <v/>
      </c>
      <c r="E513" s="128" t="str">
        <f t="shared" si="1"/>
        <v/>
      </c>
    </row>
    <row r="514">
      <c r="A514" s="93" t="str">
        <f t="shared" si="2"/>
        <v>#15711</v>
      </c>
      <c r="B514" s="93" t="str">
        <f>IF(COUNTIF(MAIN!B:B, A514)=0, "Missing", "")</f>
        <v>Missing</v>
      </c>
      <c r="C514" s="84" t="s">
        <v>14071</v>
      </c>
      <c r="E514" s="131" t="str">
        <f t="shared" si="1"/>
        <v>https://utrucking.myshopify.com/admin/orders?query=15711</v>
      </c>
    </row>
    <row r="515">
      <c r="A515" s="93" t="str">
        <f t="shared" si="2"/>
        <v>#15712</v>
      </c>
      <c r="B515" s="93" t="str">
        <f>IF(COUNTIF(MAIN!B:B, A515)=0, "Missing", "")</f>
        <v/>
      </c>
      <c r="E515" s="128" t="str">
        <f t="shared" si="1"/>
        <v/>
      </c>
    </row>
    <row r="516">
      <c r="A516" s="93" t="str">
        <f t="shared" si="2"/>
        <v>#15713</v>
      </c>
      <c r="B516" s="93" t="str">
        <f>IF(COUNTIF(MAIN!B:B, A516)=0, "Missing", "")</f>
        <v/>
      </c>
      <c r="E516" s="128" t="str">
        <f t="shared" si="1"/>
        <v/>
      </c>
    </row>
    <row r="517">
      <c r="A517" s="93" t="str">
        <f t="shared" si="2"/>
        <v>#15714</v>
      </c>
      <c r="B517" s="93" t="str">
        <f>IF(COUNTIF(MAIN!B:B, A517)=0, "Missing", "")</f>
        <v/>
      </c>
      <c r="E517" s="128" t="str">
        <f t="shared" si="1"/>
        <v/>
      </c>
    </row>
    <row r="518">
      <c r="A518" s="93" t="str">
        <f t="shared" si="2"/>
        <v>#15715</v>
      </c>
      <c r="B518" s="93" t="str">
        <f>IF(COUNTIF(MAIN!B:B, A518)=0, "Missing", "")</f>
        <v/>
      </c>
      <c r="E518" s="128" t="str">
        <f t="shared" si="1"/>
        <v/>
      </c>
    </row>
    <row r="519">
      <c r="A519" s="93" t="str">
        <f t="shared" si="2"/>
        <v>#15716</v>
      </c>
      <c r="B519" s="93" t="str">
        <f>IF(COUNTIF(MAIN!B:B, A519)=0, "Missing", "")</f>
        <v/>
      </c>
      <c r="E519" s="128" t="str">
        <f t="shared" si="1"/>
        <v/>
      </c>
    </row>
    <row r="520">
      <c r="A520" s="93" t="str">
        <f t="shared" si="2"/>
        <v>#15717</v>
      </c>
      <c r="B520" s="93" t="str">
        <f>IF(COUNTIF(MAIN!B:B, A520)=0, "Missing", "")</f>
        <v/>
      </c>
      <c r="E520" s="128" t="str">
        <f t="shared" si="1"/>
        <v/>
      </c>
    </row>
    <row r="521">
      <c r="A521" s="93" t="str">
        <f t="shared" si="2"/>
        <v>#15718</v>
      </c>
      <c r="B521" s="93" t="str">
        <f>IF(COUNTIF(MAIN!B:B, A521)=0, "Missing", "")</f>
        <v/>
      </c>
      <c r="E521" s="128" t="str">
        <f t="shared" si="1"/>
        <v/>
      </c>
    </row>
    <row r="522">
      <c r="A522" s="93" t="str">
        <f t="shared" si="2"/>
        <v>#15719</v>
      </c>
      <c r="B522" s="93" t="str">
        <f>IF(COUNTIF(MAIN!B:B, A522)=0, "Missing", "")</f>
        <v/>
      </c>
      <c r="E522" s="128" t="str">
        <f t="shared" si="1"/>
        <v/>
      </c>
    </row>
    <row r="523">
      <c r="A523" s="93" t="str">
        <f t="shared" si="2"/>
        <v>#15720</v>
      </c>
      <c r="B523" s="93" t="str">
        <f>IF(COUNTIF(MAIN!B:B, A523)=0, "Missing", "")</f>
        <v/>
      </c>
      <c r="E523" s="128" t="str">
        <f t="shared" si="1"/>
        <v/>
      </c>
    </row>
    <row r="524">
      <c r="A524" s="93" t="str">
        <f t="shared" si="2"/>
        <v>#15721</v>
      </c>
      <c r="B524" s="93" t="str">
        <f>IF(COUNTIF(MAIN!B:B, A524)=0, "Missing", "")</f>
        <v/>
      </c>
      <c r="E524" s="128" t="str">
        <f t="shared" si="1"/>
        <v/>
      </c>
    </row>
    <row r="525">
      <c r="A525" s="93" t="str">
        <f t="shared" si="2"/>
        <v>#15722</v>
      </c>
      <c r="B525" s="93" t="str">
        <f>IF(COUNTIF(MAIN!B:B, A525)=0, "Missing", "")</f>
        <v/>
      </c>
      <c r="E525" s="128" t="str">
        <f t="shared" si="1"/>
        <v/>
      </c>
    </row>
    <row r="526">
      <c r="A526" s="93" t="str">
        <f t="shared" si="2"/>
        <v>#15723</v>
      </c>
      <c r="B526" s="93" t="str">
        <f>IF(COUNTIF(MAIN!B:B, A526)=0, "Missing", "")</f>
        <v/>
      </c>
      <c r="E526" s="128" t="str">
        <f t="shared" si="1"/>
        <v/>
      </c>
    </row>
    <row r="527">
      <c r="A527" s="93" t="str">
        <f t="shared" si="2"/>
        <v>#15724</v>
      </c>
      <c r="B527" s="93" t="str">
        <f>IF(COUNTIF(MAIN!B:B, A527)=0, "Missing", "")</f>
        <v/>
      </c>
      <c r="E527" s="128" t="str">
        <f t="shared" si="1"/>
        <v/>
      </c>
    </row>
    <row r="528">
      <c r="A528" s="93" t="str">
        <f t="shared" si="2"/>
        <v>#15725</v>
      </c>
      <c r="B528" s="93" t="str">
        <f>IF(COUNTIF(MAIN!B:B, A528)=0, "Missing", "")</f>
        <v/>
      </c>
      <c r="E528" s="128" t="str">
        <f t="shared" si="1"/>
        <v/>
      </c>
    </row>
    <row r="529">
      <c r="A529" s="93" t="str">
        <f t="shared" si="2"/>
        <v>#15726</v>
      </c>
      <c r="B529" s="93" t="str">
        <f>IF(COUNTIF(MAIN!B:B, A529)=0, "Missing", "")</f>
        <v/>
      </c>
      <c r="E529" s="128" t="str">
        <f t="shared" si="1"/>
        <v/>
      </c>
    </row>
    <row r="530">
      <c r="A530" s="93" t="str">
        <f t="shared" si="2"/>
        <v>#15727</v>
      </c>
      <c r="B530" s="93" t="str">
        <f>IF(COUNTIF(MAIN!B:B, A530)=0, "Missing", "")</f>
        <v/>
      </c>
      <c r="E530" s="128" t="str">
        <f t="shared" si="1"/>
        <v/>
      </c>
    </row>
    <row r="531">
      <c r="A531" s="93" t="str">
        <f t="shared" si="2"/>
        <v>#15728</v>
      </c>
      <c r="B531" s="93" t="str">
        <f>IF(COUNTIF(MAIN!B:B, A531)=0, "Missing", "")</f>
        <v/>
      </c>
      <c r="E531" s="128" t="str">
        <f t="shared" si="1"/>
        <v/>
      </c>
    </row>
    <row r="532">
      <c r="A532" s="93" t="str">
        <f t="shared" si="2"/>
        <v>#15729</v>
      </c>
      <c r="B532" s="93" t="str">
        <f>IF(COUNTIF(MAIN!B:B, A532)=0, "Missing", "")</f>
        <v/>
      </c>
      <c r="E532" s="128" t="str">
        <f t="shared" si="1"/>
        <v/>
      </c>
    </row>
    <row r="533">
      <c r="A533" s="93" t="str">
        <f t="shared" si="2"/>
        <v>#15730</v>
      </c>
      <c r="B533" s="93" t="str">
        <f>IF(COUNTIF(MAIN!B:B, A533)=0, "Missing", "")</f>
        <v/>
      </c>
      <c r="E533" s="128" t="str">
        <f t="shared" si="1"/>
        <v/>
      </c>
    </row>
    <row r="534">
      <c r="A534" s="93" t="str">
        <f t="shared" si="2"/>
        <v>#15731</v>
      </c>
      <c r="B534" s="93" t="str">
        <f>IF(COUNTIF(MAIN!B:B, A534)=0, "Missing", "")</f>
        <v/>
      </c>
      <c r="E534" s="128" t="str">
        <f t="shared" si="1"/>
        <v/>
      </c>
    </row>
    <row r="535">
      <c r="A535" s="93" t="str">
        <f t="shared" si="2"/>
        <v>#15732</v>
      </c>
      <c r="B535" s="93" t="str">
        <f>IF(COUNTIF(MAIN!B:B, A535)=0, "Missing", "")</f>
        <v/>
      </c>
      <c r="E535" s="128" t="str">
        <f t="shared" si="1"/>
        <v/>
      </c>
    </row>
    <row r="536">
      <c r="A536" s="93" t="str">
        <f t="shared" si="2"/>
        <v>#15733</v>
      </c>
      <c r="B536" s="93" t="str">
        <f>IF(COUNTIF(MAIN!B:B, A536)=0, "Missing", "")</f>
        <v/>
      </c>
      <c r="E536" s="128" t="str">
        <f t="shared" si="1"/>
        <v/>
      </c>
    </row>
    <row r="537">
      <c r="A537" s="93" t="str">
        <f t="shared" si="2"/>
        <v>#15734</v>
      </c>
      <c r="B537" s="93" t="str">
        <f>IF(COUNTIF(MAIN!B:B, A537)=0, "Missing", "")</f>
        <v/>
      </c>
      <c r="E537" s="128" t="str">
        <f t="shared" si="1"/>
        <v/>
      </c>
    </row>
    <row r="538">
      <c r="A538" s="93" t="str">
        <f t="shared" si="2"/>
        <v>#15735</v>
      </c>
      <c r="B538" s="93" t="str">
        <f>IF(COUNTIF(MAIN!B:B, A538)=0, "Missing", "")</f>
        <v/>
      </c>
      <c r="E538" s="128" t="str">
        <f t="shared" si="1"/>
        <v/>
      </c>
    </row>
    <row r="539">
      <c r="A539" s="93" t="str">
        <f t="shared" si="2"/>
        <v>#15736</v>
      </c>
      <c r="B539" s="93" t="str">
        <f>IF(COUNTIF(MAIN!B:B, A539)=0, "Missing", "")</f>
        <v/>
      </c>
      <c r="E539" s="128" t="str">
        <f t="shared" si="1"/>
        <v/>
      </c>
    </row>
    <row r="540">
      <c r="A540" s="93" t="str">
        <f t="shared" si="2"/>
        <v>#15737</v>
      </c>
      <c r="B540" s="93" t="str">
        <f>IF(COUNTIF(MAIN!B:B, A540)=0, "Missing", "")</f>
        <v/>
      </c>
      <c r="E540" s="128" t="str">
        <f t="shared" si="1"/>
        <v/>
      </c>
    </row>
    <row r="541">
      <c r="A541" s="93" t="str">
        <f t="shared" si="2"/>
        <v>#15738</v>
      </c>
      <c r="B541" s="93" t="str">
        <f>IF(COUNTIF(MAIN!B:B, A541)=0, "Missing", "")</f>
        <v/>
      </c>
      <c r="E541" s="128" t="str">
        <f t="shared" si="1"/>
        <v/>
      </c>
    </row>
    <row r="542">
      <c r="A542" s="93" t="str">
        <f t="shared" si="2"/>
        <v>#15739</v>
      </c>
      <c r="B542" s="93" t="str">
        <f>IF(COUNTIF(MAIN!B:B, A542)=0, "Missing", "")</f>
        <v/>
      </c>
      <c r="E542" s="128" t="str">
        <f t="shared" si="1"/>
        <v/>
      </c>
    </row>
    <row r="543">
      <c r="A543" s="93" t="str">
        <f t="shared" si="2"/>
        <v>#15740</v>
      </c>
      <c r="B543" s="93" t="str">
        <f>IF(COUNTIF(MAIN!B:B, A543)=0, "Missing", "")</f>
        <v/>
      </c>
      <c r="E543" s="128" t="str">
        <f t="shared" si="1"/>
        <v/>
      </c>
    </row>
    <row r="544">
      <c r="A544" s="93" t="str">
        <f t="shared" si="2"/>
        <v>#15741</v>
      </c>
      <c r="B544" s="93" t="str">
        <f>IF(COUNTIF(MAIN!B:B, A544)=0, "Missing", "")</f>
        <v/>
      </c>
      <c r="E544" s="128" t="str">
        <f t="shared" si="1"/>
        <v/>
      </c>
    </row>
    <row r="545">
      <c r="A545" s="93" t="str">
        <f t="shared" si="2"/>
        <v>#15742</v>
      </c>
      <c r="B545" s="93" t="str">
        <f>IF(COUNTIF(MAIN!B:B, A545)=0, "Missing", "")</f>
        <v/>
      </c>
      <c r="E545" s="128" t="str">
        <f t="shared" si="1"/>
        <v/>
      </c>
    </row>
    <row r="546">
      <c r="A546" s="93" t="str">
        <f t="shared" si="2"/>
        <v>#15743</v>
      </c>
      <c r="B546" s="93" t="str">
        <f>IF(COUNTIF(MAIN!B:B, A546)=0, "Missing", "")</f>
        <v/>
      </c>
      <c r="E546" s="128" t="str">
        <f t="shared" si="1"/>
        <v/>
      </c>
    </row>
    <row r="547">
      <c r="A547" s="93" t="str">
        <f t="shared" si="2"/>
        <v>#15744</v>
      </c>
      <c r="B547" s="93" t="str">
        <f>IF(COUNTIF(MAIN!B:B, A547)=0, "Missing", "")</f>
        <v/>
      </c>
      <c r="E547" s="128" t="str">
        <f t="shared" si="1"/>
        <v/>
      </c>
    </row>
    <row r="548">
      <c r="A548" s="93" t="str">
        <f t="shared" si="2"/>
        <v>#15745</v>
      </c>
      <c r="B548" s="93" t="str">
        <f>IF(COUNTIF(MAIN!B:B, A548)=0, "Missing", "")</f>
        <v/>
      </c>
      <c r="E548" s="128" t="str">
        <f t="shared" si="1"/>
        <v/>
      </c>
    </row>
    <row r="549">
      <c r="A549" s="93" t="str">
        <f t="shared" si="2"/>
        <v>#15746</v>
      </c>
      <c r="B549" s="93" t="str">
        <f>IF(COUNTIF(MAIN!B:B, A549)=0, "Missing", "")</f>
        <v/>
      </c>
      <c r="E549" s="128" t="str">
        <f t="shared" si="1"/>
        <v/>
      </c>
    </row>
    <row r="550">
      <c r="A550" s="93" t="str">
        <f t="shared" si="2"/>
        <v>#15747</v>
      </c>
      <c r="B550" s="93" t="str">
        <f>IF(COUNTIF(MAIN!B:B, A550)=0, "Missing", "")</f>
        <v/>
      </c>
      <c r="E550" s="128" t="str">
        <f t="shared" si="1"/>
        <v/>
      </c>
    </row>
    <row r="551">
      <c r="A551" s="93" t="str">
        <f t="shared" si="2"/>
        <v>#15748</v>
      </c>
      <c r="B551" s="93" t="str">
        <f>IF(COUNTIF(MAIN!B:B, A551)=0, "Missing", "")</f>
        <v/>
      </c>
      <c r="E551" s="128" t="str">
        <f t="shared" si="1"/>
        <v/>
      </c>
    </row>
    <row r="552">
      <c r="A552" s="93" t="str">
        <f t="shared" si="2"/>
        <v>#15749</v>
      </c>
      <c r="B552" s="93" t="str">
        <f>IF(COUNTIF(MAIN!B:B, A552)=0, "Missing", "")</f>
        <v/>
      </c>
      <c r="E552" s="128" t="str">
        <f t="shared" si="1"/>
        <v/>
      </c>
    </row>
    <row r="553">
      <c r="A553" s="93" t="str">
        <f t="shared" si="2"/>
        <v>#15750</v>
      </c>
      <c r="B553" s="93" t="str">
        <f>IF(COUNTIF(MAIN!B:B, A553)=0, "Missing", "")</f>
        <v/>
      </c>
      <c r="E553" s="128" t="str">
        <f t="shared" si="1"/>
        <v/>
      </c>
    </row>
    <row r="554">
      <c r="A554" s="93" t="str">
        <f t="shared" si="2"/>
        <v>#15751</v>
      </c>
      <c r="B554" s="93" t="str">
        <f>IF(COUNTIF(MAIN!B:B, A554)=0, "Missing", "")</f>
        <v/>
      </c>
      <c r="E554" s="128" t="str">
        <f t="shared" si="1"/>
        <v/>
      </c>
    </row>
    <row r="555">
      <c r="A555" s="93" t="str">
        <f t="shared" si="2"/>
        <v>#15752</v>
      </c>
      <c r="B555" s="93" t="str">
        <f>IF(COUNTIF(MAIN!B:B, A555)=0, "Missing", "")</f>
        <v/>
      </c>
      <c r="E555" s="128" t="str">
        <f t="shared" si="1"/>
        <v/>
      </c>
    </row>
    <row r="556">
      <c r="A556" s="93" t="str">
        <f t="shared" si="2"/>
        <v>#15753</v>
      </c>
      <c r="B556" s="93" t="str">
        <f>IF(COUNTIF(MAIN!B:B, A556)=0, "Missing", "")</f>
        <v/>
      </c>
      <c r="E556" s="128" t="str">
        <f t="shared" si="1"/>
        <v/>
      </c>
    </row>
    <row r="557">
      <c r="A557" s="93" t="str">
        <f t="shared" si="2"/>
        <v>#15754</v>
      </c>
      <c r="B557" s="93" t="str">
        <f>IF(COUNTIF(MAIN!B:B, A557)=0, "Missing", "")</f>
        <v/>
      </c>
      <c r="E557" s="128" t="str">
        <f t="shared" si="1"/>
        <v/>
      </c>
    </row>
    <row r="558">
      <c r="A558" s="93" t="str">
        <f t="shared" si="2"/>
        <v>#15755</v>
      </c>
      <c r="B558" s="93" t="str">
        <f>IF(COUNTIF(MAIN!B:B, A558)=0, "Missing", "")</f>
        <v/>
      </c>
      <c r="E558" s="128" t="str">
        <f t="shared" si="1"/>
        <v/>
      </c>
    </row>
    <row r="559">
      <c r="A559" s="93" t="str">
        <f t="shared" si="2"/>
        <v>#15756</v>
      </c>
      <c r="B559" s="93" t="str">
        <f>IF(COUNTIF(MAIN!B:B, A559)=0, "Missing", "")</f>
        <v/>
      </c>
      <c r="E559" s="128" t="str">
        <f t="shared" si="1"/>
        <v/>
      </c>
    </row>
    <row r="560">
      <c r="A560" s="93" t="str">
        <f t="shared" si="2"/>
        <v>#15757</v>
      </c>
      <c r="B560" s="93" t="str">
        <f>IF(COUNTIF(MAIN!B:B, A560)=0, "Missing", "")</f>
        <v/>
      </c>
      <c r="E560" s="128" t="str">
        <f t="shared" si="1"/>
        <v/>
      </c>
    </row>
    <row r="561">
      <c r="A561" s="93" t="str">
        <f t="shared" si="2"/>
        <v>#15758</v>
      </c>
      <c r="B561" s="93" t="str">
        <f>IF(COUNTIF(MAIN!B:B, A561)=0, "Missing", "")</f>
        <v/>
      </c>
      <c r="E561" s="128" t="str">
        <f t="shared" si="1"/>
        <v/>
      </c>
    </row>
    <row r="562">
      <c r="A562" s="93" t="str">
        <f t="shared" si="2"/>
        <v>#15759</v>
      </c>
      <c r="B562" s="93" t="str">
        <f>IF(COUNTIF(MAIN!B:B, A562)=0, "Missing", "")</f>
        <v/>
      </c>
      <c r="E562" s="128" t="str">
        <f t="shared" si="1"/>
        <v/>
      </c>
    </row>
    <row r="563">
      <c r="A563" s="93" t="str">
        <f t="shared" si="2"/>
        <v>#15760</v>
      </c>
      <c r="B563" s="93" t="str">
        <f>IF(COUNTIF(MAIN!B:B, A563)=0, "Missing", "")</f>
        <v/>
      </c>
      <c r="E563" s="128" t="str">
        <f t="shared" si="1"/>
        <v/>
      </c>
    </row>
    <row r="564">
      <c r="A564" s="93" t="str">
        <f t="shared" si="2"/>
        <v>#15761</v>
      </c>
      <c r="B564" s="93" t="str">
        <f>IF(COUNTIF(MAIN!B:B, A564)=0, "Missing", "")</f>
        <v/>
      </c>
      <c r="E564" s="128" t="str">
        <f t="shared" si="1"/>
        <v/>
      </c>
    </row>
    <row r="565">
      <c r="A565" s="93" t="str">
        <f t="shared" si="2"/>
        <v>#15762</v>
      </c>
      <c r="B565" s="93" t="str">
        <f>IF(COUNTIF(MAIN!B:B, A565)=0, "Missing", "")</f>
        <v/>
      </c>
      <c r="E565" s="128" t="str">
        <f t="shared" si="1"/>
        <v/>
      </c>
    </row>
    <row r="566">
      <c r="A566" s="93" t="str">
        <f t="shared" si="2"/>
        <v>#15763</v>
      </c>
      <c r="B566" s="93" t="str">
        <f>IF(COUNTIF(MAIN!B:B, A566)=0, "Missing", "")</f>
        <v/>
      </c>
      <c r="E566" s="128" t="str">
        <f t="shared" si="1"/>
        <v/>
      </c>
    </row>
    <row r="567">
      <c r="A567" s="93" t="str">
        <f t="shared" si="2"/>
        <v>#15764</v>
      </c>
      <c r="B567" s="93" t="str">
        <f>IF(COUNTIF(MAIN!B:B, A567)=0, "Missing", "")</f>
        <v/>
      </c>
      <c r="E567" s="128" t="str">
        <f t="shared" si="1"/>
        <v/>
      </c>
    </row>
    <row r="568">
      <c r="A568" s="93" t="str">
        <f t="shared" si="2"/>
        <v>#15765</v>
      </c>
      <c r="B568" s="93" t="str">
        <f>IF(COUNTIF(MAIN!B:B, A568)=0, "Missing", "")</f>
        <v/>
      </c>
      <c r="E568" s="128" t="str">
        <f t="shared" si="1"/>
        <v/>
      </c>
    </row>
    <row r="569">
      <c r="A569" s="93" t="str">
        <f t="shared" si="2"/>
        <v>#15766</v>
      </c>
      <c r="B569" s="93" t="str">
        <f>IF(COUNTIF(MAIN!B:B, A569)=0, "Missing", "")</f>
        <v/>
      </c>
      <c r="E569" s="128" t="str">
        <f t="shared" si="1"/>
        <v/>
      </c>
    </row>
    <row r="570">
      <c r="A570" s="93" t="str">
        <f t="shared" si="2"/>
        <v>#15767</v>
      </c>
      <c r="B570" s="93" t="str">
        <f>IF(COUNTIF(MAIN!B:B, A570)=0, "Missing", "")</f>
        <v/>
      </c>
      <c r="E570" s="128" t="str">
        <f t="shared" si="1"/>
        <v/>
      </c>
    </row>
    <row r="571">
      <c r="A571" s="93" t="str">
        <f t="shared" si="2"/>
        <v>#15768</v>
      </c>
      <c r="B571" s="93" t="str">
        <f>IF(COUNTIF(MAIN!B:B, A571)=0, "Missing", "")</f>
        <v/>
      </c>
      <c r="E571" s="128" t="str">
        <f t="shared" si="1"/>
        <v/>
      </c>
    </row>
    <row r="572">
      <c r="A572" s="93" t="str">
        <f t="shared" si="2"/>
        <v>#15769</v>
      </c>
      <c r="B572" s="93" t="str">
        <f>IF(COUNTIF(MAIN!B:B, A572)=0, "Missing", "")</f>
        <v/>
      </c>
      <c r="E572" s="128" t="str">
        <f t="shared" si="1"/>
        <v/>
      </c>
    </row>
    <row r="573">
      <c r="A573" s="93" t="str">
        <f t="shared" si="2"/>
        <v>#15770</v>
      </c>
      <c r="B573" s="93" t="str">
        <f>IF(COUNTIF(MAIN!B:B, A573)=0, "Missing", "")</f>
        <v/>
      </c>
      <c r="E573" s="128" t="str">
        <f t="shared" si="1"/>
        <v/>
      </c>
    </row>
    <row r="574">
      <c r="A574" s="93" t="str">
        <f t="shared" si="2"/>
        <v>#15771</v>
      </c>
      <c r="B574" s="93" t="str">
        <f>IF(COUNTIF(MAIN!B:B, A574)=0, "Missing", "")</f>
        <v/>
      </c>
      <c r="E574" s="128" t="str">
        <f t="shared" si="1"/>
        <v/>
      </c>
    </row>
    <row r="575">
      <c r="A575" s="93" t="str">
        <f t="shared" si="2"/>
        <v>#15772</v>
      </c>
      <c r="B575" s="93" t="str">
        <f>IF(COUNTIF(MAIN!B:B, A575)=0, "Missing", "")</f>
        <v/>
      </c>
      <c r="E575" s="128" t="str">
        <f t="shared" si="1"/>
        <v/>
      </c>
    </row>
    <row r="576">
      <c r="A576" s="93" t="str">
        <f t="shared" si="2"/>
        <v>#15773</v>
      </c>
      <c r="B576" s="93" t="str">
        <f>IF(COUNTIF(MAIN!B:B, A576)=0, "Missing", "")</f>
        <v/>
      </c>
      <c r="E576" s="128" t="str">
        <f t="shared" si="1"/>
        <v/>
      </c>
    </row>
    <row r="577">
      <c r="A577" s="93" t="str">
        <f t="shared" si="2"/>
        <v>#15774</v>
      </c>
      <c r="B577" s="93" t="str">
        <f>IF(COUNTIF(MAIN!B:B, A577)=0, "Missing", "")</f>
        <v/>
      </c>
      <c r="E577" s="128" t="str">
        <f t="shared" si="1"/>
        <v/>
      </c>
    </row>
    <row r="578">
      <c r="A578" s="93" t="str">
        <f t="shared" si="2"/>
        <v>#15775</v>
      </c>
      <c r="B578" s="93" t="str">
        <f>IF(COUNTIF(MAIN!B:B, A578)=0, "Missing", "")</f>
        <v/>
      </c>
      <c r="E578" s="128" t="str">
        <f t="shared" si="1"/>
        <v/>
      </c>
    </row>
    <row r="579">
      <c r="A579" s="93" t="str">
        <f t="shared" si="2"/>
        <v>#15776</v>
      </c>
      <c r="B579" s="93" t="str">
        <f>IF(COUNTIF(MAIN!B:B, A579)=0, "Missing", "")</f>
        <v/>
      </c>
      <c r="E579" s="128" t="str">
        <f t="shared" si="1"/>
        <v/>
      </c>
    </row>
    <row r="580">
      <c r="A580" s="93" t="str">
        <f t="shared" si="2"/>
        <v>#15777</v>
      </c>
      <c r="B580" s="93" t="str">
        <f>IF(COUNTIF(MAIN!B:B, A580)=0, "Missing", "")</f>
        <v/>
      </c>
      <c r="E580" s="128" t="str">
        <f t="shared" si="1"/>
        <v/>
      </c>
    </row>
    <row r="581">
      <c r="A581" s="93" t="str">
        <f t="shared" si="2"/>
        <v>#15778</v>
      </c>
      <c r="B581" s="93" t="str">
        <f>IF(COUNTIF(MAIN!B:B, A581)=0, "Missing", "")</f>
        <v/>
      </c>
      <c r="E581" s="128" t="str">
        <f t="shared" si="1"/>
        <v/>
      </c>
    </row>
    <row r="582">
      <c r="A582" s="93" t="str">
        <f t="shared" si="2"/>
        <v>#15779</v>
      </c>
      <c r="B582" s="93" t="str">
        <f>IF(COUNTIF(MAIN!B:B, A582)=0, "Missing", "")</f>
        <v/>
      </c>
      <c r="E582" s="128" t="str">
        <f t="shared" si="1"/>
        <v/>
      </c>
    </row>
    <row r="583">
      <c r="A583" s="93" t="str">
        <f t="shared" si="2"/>
        <v>#15780</v>
      </c>
      <c r="B583" s="93" t="str">
        <f>IF(COUNTIF(MAIN!B:B, A583)=0, "Missing", "")</f>
        <v/>
      </c>
      <c r="E583" s="128" t="str">
        <f t="shared" si="1"/>
        <v/>
      </c>
    </row>
    <row r="584">
      <c r="A584" s="93" t="str">
        <f t="shared" si="2"/>
        <v>#15781</v>
      </c>
      <c r="B584" s="93" t="str">
        <f>IF(COUNTIF(MAIN!B:B, A584)=0, "Missing", "")</f>
        <v/>
      </c>
      <c r="E584" s="128" t="str">
        <f t="shared" si="1"/>
        <v/>
      </c>
    </row>
    <row r="585">
      <c r="A585" s="93" t="str">
        <f t="shared" si="2"/>
        <v>#15782</v>
      </c>
      <c r="B585" s="93" t="str">
        <f>IF(COUNTIF(MAIN!B:B, A585)=0, "Missing", "")</f>
        <v/>
      </c>
      <c r="E585" s="128" t="str">
        <f t="shared" si="1"/>
        <v/>
      </c>
    </row>
    <row r="586">
      <c r="A586" s="93" t="str">
        <f t="shared" si="2"/>
        <v>#15783</v>
      </c>
      <c r="B586" s="93" t="str">
        <f>IF(COUNTIF(MAIN!B:B, A586)=0, "Missing", "")</f>
        <v/>
      </c>
      <c r="E586" s="128" t="str">
        <f t="shared" si="1"/>
        <v/>
      </c>
    </row>
    <row r="587">
      <c r="A587" s="93" t="str">
        <f t="shared" si="2"/>
        <v>#15784</v>
      </c>
      <c r="B587" s="93" t="str">
        <f>IF(COUNTIF(MAIN!B:B, A587)=0, "Missing", "")</f>
        <v/>
      </c>
      <c r="E587" s="128" t="str">
        <f t="shared" si="1"/>
        <v/>
      </c>
    </row>
    <row r="588">
      <c r="A588" s="93" t="str">
        <f t="shared" si="2"/>
        <v>#15785</v>
      </c>
      <c r="B588" s="93" t="str">
        <f>IF(COUNTIF(MAIN!B:B, A588)=0, "Missing", "")</f>
        <v/>
      </c>
      <c r="E588" s="128" t="str">
        <f t="shared" si="1"/>
        <v/>
      </c>
    </row>
    <row r="589">
      <c r="A589" s="93" t="str">
        <f t="shared" si="2"/>
        <v>#15786</v>
      </c>
      <c r="B589" s="93" t="str">
        <f>IF(COUNTIF(MAIN!B:B, A589)=0, "Missing", "")</f>
        <v/>
      </c>
      <c r="E589" s="128" t="str">
        <f t="shared" si="1"/>
        <v/>
      </c>
    </row>
    <row r="590">
      <c r="A590" s="93" t="str">
        <f t="shared" si="2"/>
        <v>#15787</v>
      </c>
      <c r="B590" s="93" t="str">
        <f>IF(COUNTIF(MAIN!B:B, A590)=0, "Missing", "")</f>
        <v/>
      </c>
      <c r="E590" s="128" t="str">
        <f t="shared" si="1"/>
        <v/>
      </c>
    </row>
    <row r="591">
      <c r="A591" s="93" t="str">
        <f t="shared" si="2"/>
        <v>#15788</v>
      </c>
      <c r="B591" s="93" t="str">
        <f>IF(COUNTIF(MAIN!B:B, A591)=0, "Missing", "")</f>
        <v/>
      </c>
      <c r="E591" s="128" t="str">
        <f t="shared" si="1"/>
        <v/>
      </c>
    </row>
    <row r="592">
      <c r="A592" s="93" t="str">
        <f t="shared" si="2"/>
        <v>#15789</v>
      </c>
      <c r="B592" s="93" t="str">
        <f>IF(COUNTIF(MAIN!B:B, A592)=0, "Missing", "")</f>
        <v/>
      </c>
      <c r="E592" s="128" t="str">
        <f t="shared" si="1"/>
        <v/>
      </c>
    </row>
    <row r="593">
      <c r="A593" s="93" t="str">
        <f t="shared" si="2"/>
        <v>#15790</v>
      </c>
      <c r="B593" s="93" t="str">
        <f>IF(COUNTIF(MAIN!B:B, A593)=0, "Missing", "")</f>
        <v/>
      </c>
      <c r="E593" s="128" t="str">
        <f t="shared" si="1"/>
        <v/>
      </c>
    </row>
    <row r="594">
      <c r="A594" s="93" t="str">
        <f t="shared" si="2"/>
        <v>#15791</v>
      </c>
      <c r="B594" s="93" t="str">
        <f>IF(COUNTIF(MAIN!B:B, A594)=0, "Missing", "")</f>
        <v/>
      </c>
      <c r="E594" s="128" t="str">
        <f t="shared" si="1"/>
        <v/>
      </c>
    </row>
    <row r="595">
      <c r="A595" s="93" t="str">
        <f t="shared" si="2"/>
        <v>#15792</v>
      </c>
      <c r="B595" s="93" t="str">
        <f>IF(COUNTIF(MAIN!B:B, A595)=0, "Missing", "")</f>
        <v/>
      </c>
      <c r="E595" s="128" t="str">
        <f t="shared" si="1"/>
        <v/>
      </c>
    </row>
    <row r="596">
      <c r="A596" s="93" t="str">
        <f t="shared" si="2"/>
        <v>#15793</v>
      </c>
      <c r="B596" s="93" t="str">
        <f>IF(COUNTIF(MAIN!B:B, A596)=0, "Missing", "")</f>
        <v/>
      </c>
      <c r="E596" s="128" t="str">
        <f t="shared" si="1"/>
        <v/>
      </c>
    </row>
    <row r="597">
      <c r="A597" s="93" t="str">
        <f t="shared" si="2"/>
        <v>#15794</v>
      </c>
      <c r="B597" s="93" t="str">
        <f>IF(COUNTIF(MAIN!B:B, A597)=0, "Missing", "")</f>
        <v/>
      </c>
      <c r="E597" s="128" t="str">
        <f t="shared" si="1"/>
        <v/>
      </c>
    </row>
    <row r="598">
      <c r="A598" s="93" t="str">
        <f t="shared" si="2"/>
        <v>#15795</v>
      </c>
      <c r="B598" s="93" t="str">
        <f>IF(COUNTIF(MAIN!B:B, A598)=0, "Missing", "")</f>
        <v/>
      </c>
      <c r="E598" s="128" t="str">
        <f t="shared" si="1"/>
        <v/>
      </c>
    </row>
    <row r="599">
      <c r="A599" s="93" t="str">
        <f t="shared" si="2"/>
        <v>#15796</v>
      </c>
      <c r="B599" s="93" t="str">
        <f>IF(COUNTIF(MAIN!B:B, A599)=0, "Missing", "")</f>
        <v/>
      </c>
      <c r="E599" s="128" t="str">
        <f t="shared" si="1"/>
        <v/>
      </c>
    </row>
    <row r="600">
      <c r="A600" s="93" t="str">
        <f t="shared" si="2"/>
        <v>#15797</v>
      </c>
      <c r="B600" s="93" t="str">
        <f>IF(COUNTIF(MAIN!B:B, A600)=0, "Missing", "")</f>
        <v/>
      </c>
      <c r="E600" s="128" t="str">
        <f t="shared" si="1"/>
        <v/>
      </c>
    </row>
    <row r="601">
      <c r="A601" s="93" t="str">
        <f t="shared" si="2"/>
        <v>#15798</v>
      </c>
      <c r="B601" s="93" t="str">
        <f>IF(COUNTIF(MAIN!B:B, A601)=0, "Missing", "")</f>
        <v/>
      </c>
      <c r="E601" s="128" t="str">
        <f t="shared" si="1"/>
        <v/>
      </c>
    </row>
    <row r="602">
      <c r="A602" s="93" t="str">
        <f t="shared" si="2"/>
        <v>#15799</v>
      </c>
      <c r="B602" s="93" t="str">
        <f>IF(COUNTIF(MAIN!B:B, A602)=0, "Missing", "")</f>
        <v/>
      </c>
      <c r="E602" s="128" t="str">
        <f t="shared" si="1"/>
        <v/>
      </c>
    </row>
    <row r="603">
      <c r="A603" s="93" t="str">
        <f t="shared" si="2"/>
        <v>#15800</v>
      </c>
      <c r="B603" s="93" t="str">
        <f>IF(COUNTIF(MAIN!B:B, A603)=0, "Missing", "")</f>
        <v/>
      </c>
      <c r="E603" s="128" t="str">
        <f t="shared" si="1"/>
        <v/>
      </c>
    </row>
    <row r="604">
      <c r="A604" s="93" t="str">
        <f t="shared" si="2"/>
        <v>#15801</v>
      </c>
      <c r="B604" s="93" t="str">
        <f>IF(COUNTIF(MAIN!B:B, A604)=0, "Missing", "")</f>
        <v/>
      </c>
      <c r="E604" s="128" t="str">
        <f t="shared" si="1"/>
        <v/>
      </c>
    </row>
    <row r="605">
      <c r="A605" s="93" t="str">
        <f t="shared" si="2"/>
        <v>#15802</v>
      </c>
      <c r="B605" s="93" t="str">
        <f>IF(COUNTIF(MAIN!B:B, A605)=0, "Missing", "")</f>
        <v/>
      </c>
      <c r="E605" s="128" t="str">
        <f t="shared" si="1"/>
        <v/>
      </c>
    </row>
    <row r="606">
      <c r="A606" s="93" t="str">
        <f t="shared" si="2"/>
        <v>#15803</v>
      </c>
      <c r="B606" s="93" t="str">
        <f>IF(COUNTIF(MAIN!B:B, A606)=0, "Missing", "")</f>
        <v/>
      </c>
      <c r="E606" s="128" t="str">
        <f t="shared" si="1"/>
        <v/>
      </c>
    </row>
    <row r="607">
      <c r="A607" s="93" t="str">
        <f t="shared" si="2"/>
        <v>#15804</v>
      </c>
      <c r="B607" s="93" t="str">
        <f>IF(COUNTIF(MAIN!B:B, A607)=0, "Missing", "")</f>
        <v/>
      </c>
      <c r="E607" s="128" t="str">
        <f t="shared" si="1"/>
        <v/>
      </c>
    </row>
    <row r="608">
      <c r="A608" s="93" t="str">
        <f t="shared" si="2"/>
        <v>#15805</v>
      </c>
      <c r="B608" s="93" t="str">
        <f>IF(COUNTIF(MAIN!B:B, A608)=0, "Missing", "")</f>
        <v/>
      </c>
      <c r="E608" s="128" t="str">
        <f t="shared" si="1"/>
        <v/>
      </c>
    </row>
    <row r="609">
      <c r="A609" s="93" t="str">
        <f t="shared" si="2"/>
        <v>#15806</v>
      </c>
      <c r="B609" s="93" t="str">
        <f>IF(COUNTIF(MAIN!B:B, A609)=0, "Missing", "")</f>
        <v/>
      </c>
      <c r="E609" s="128" t="str">
        <f t="shared" si="1"/>
        <v/>
      </c>
    </row>
    <row r="610">
      <c r="A610" s="93" t="str">
        <f t="shared" si="2"/>
        <v>#15807</v>
      </c>
      <c r="B610" s="93" t="str">
        <f>IF(COUNTIF(MAIN!B:B, A610)=0, "Missing", "")</f>
        <v/>
      </c>
      <c r="E610" s="128" t="str">
        <f t="shared" si="1"/>
        <v/>
      </c>
    </row>
    <row r="611">
      <c r="A611" s="93" t="str">
        <f t="shared" si="2"/>
        <v>#15808</v>
      </c>
      <c r="B611" s="93" t="str">
        <f>IF(COUNTIF(MAIN!B:B, A611)=0, "Missing", "")</f>
        <v/>
      </c>
      <c r="E611" s="128" t="str">
        <f t="shared" si="1"/>
        <v/>
      </c>
    </row>
    <row r="612">
      <c r="A612" s="93" t="str">
        <f t="shared" si="2"/>
        <v>#15809</v>
      </c>
      <c r="B612" s="93" t="str">
        <f>IF(COUNTIF(MAIN!B:B, A612)=0, "Missing", "")</f>
        <v/>
      </c>
      <c r="E612" s="128" t="str">
        <f t="shared" si="1"/>
        <v/>
      </c>
    </row>
    <row r="613">
      <c r="A613" s="93" t="str">
        <f t="shared" si="2"/>
        <v>#15810</v>
      </c>
      <c r="B613" s="93" t="str">
        <f>IF(COUNTIF(MAIN!B:B, A613)=0, "Missing", "")</f>
        <v/>
      </c>
      <c r="E613" s="128" t="str">
        <f t="shared" si="1"/>
        <v/>
      </c>
    </row>
    <row r="614">
      <c r="A614" s="93" t="str">
        <f t="shared" si="2"/>
        <v>#15811</v>
      </c>
      <c r="B614" s="93" t="str">
        <f>IF(COUNTIF(MAIN!B:B, A614)=0, "Missing", "")</f>
        <v/>
      </c>
      <c r="E614" s="128" t="str">
        <f t="shared" si="1"/>
        <v/>
      </c>
    </row>
    <row r="615">
      <c r="A615" s="93" t="str">
        <f t="shared" si="2"/>
        <v>#15812</v>
      </c>
      <c r="B615" s="93" t="str">
        <f>IF(COUNTIF(MAIN!B:B, A615)=0, "Missing", "")</f>
        <v/>
      </c>
      <c r="E615" s="128" t="str">
        <f t="shared" si="1"/>
        <v/>
      </c>
    </row>
    <row r="616">
      <c r="A616" s="93" t="str">
        <f t="shared" si="2"/>
        <v>#15813</v>
      </c>
      <c r="B616" s="93" t="str">
        <f>IF(COUNTIF(MAIN!B:B, A616)=0, "Missing", "")</f>
        <v/>
      </c>
      <c r="E616" s="128" t="str">
        <f t="shared" si="1"/>
        <v/>
      </c>
    </row>
    <row r="617">
      <c r="A617" s="93" t="str">
        <f t="shared" si="2"/>
        <v>#15814</v>
      </c>
      <c r="B617" s="93" t="str">
        <f>IF(COUNTIF(MAIN!B:B, A617)=0, "Missing", "")</f>
        <v/>
      </c>
      <c r="E617" s="128" t="str">
        <f t="shared" si="1"/>
        <v/>
      </c>
    </row>
    <row r="618">
      <c r="A618" s="93" t="str">
        <f t="shared" si="2"/>
        <v>#15815</v>
      </c>
      <c r="B618" s="93" t="str">
        <f>IF(COUNTIF(MAIN!B:B, A618)=0, "Missing", "")</f>
        <v/>
      </c>
      <c r="E618" s="128" t="str">
        <f t="shared" si="1"/>
        <v/>
      </c>
    </row>
    <row r="619">
      <c r="A619" s="93" t="str">
        <f t="shared" si="2"/>
        <v>#15816</v>
      </c>
      <c r="B619" s="93" t="str">
        <f>IF(COUNTIF(MAIN!B:B, A619)=0, "Missing", "")</f>
        <v/>
      </c>
      <c r="E619" s="128" t="str">
        <f t="shared" si="1"/>
        <v/>
      </c>
    </row>
    <row r="620">
      <c r="A620" s="93" t="str">
        <f t="shared" si="2"/>
        <v>#15817</v>
      </c>
      <c r="B620" s="93" t="str">
        <f>IF(COUNTIF(MAIN!B:B, A620)=0, "Missing", "")</f>
        <v/>
      </c>
      <c r="E620" s="128" t="str">
        <f t="shared" si="1"/>
        <v/>
      </c>
    </row>
    <row r="621">
      <c r="A621" s="93" t="str">
        <f t="shared" si="2"/>
        <v>#15818</v>
      </c>
      <c r="B621" s="93" t="str">
        <f>IF(COUNTIF(MAIN!B:B, A621)=0, "Missing", "")</f>
        <v/>
      </c>
      <c r="E621" s="128" t="str">
        <f t="shared" si="1"/>
        <v/>
      </c>
    </row>
    <row r="622">
      <c r="A622" s="93" t="str">
        <f t="shared" si="2"/>
        <v>#15819</v>
      </c>
      <c r="B622" s="93" t="str">
        <f>IF(COUNTIF(MAIN!B:B, A622)=0, "Missing", "")</f>
        <v/>
      </c>
      <c r="E622" s="128" t="str">
        <f t="shared" si="1"/>
        <v/>
      </c>
    </row>
    <row r="623">
      <c r="A623" s="93" t="str">
        <f t="shared" si="2"/>
        <v>#15820</v>
      </c>
      <c r="B623" s="93" t="str">
        <f>IF(COUNTIF(MAIN!B:B, A623)=0, "Missing", "")</f>
        <v/>
      </c>
      <c r="E623" s="128" t="str">
        <f t="shared" si="1"/>
        <v/>
      </c>
    </row>
    <row r="624">
      <c r="A624" s="93" t="str">
        <f t="shared" si="2"/>
        <v>#15821</v>
      </c>
      <c r="B624" s="93" t="str">
        <f>IF(COUNTIF(MAIN!B:B, A624)=0, "Missing", "")</f>
        <v/>
      </c>
      <c r="E624" s="128" t="str">
        <f t="shared" si="1"/>
        <v/>
      </c>
    </row>
    <row r="625">
      <c r="A625" s="93" t="str">
        <f t="shared" si="2"/>
        <v>#15822</v>
      </c>
      <c r="B625" s="93" t="str">
        <f>IF(COUNTIF(MAIN!B:B, A625)=0, "Missing", "")</f>
        <v/>
      </c>
      <c r="E625" s="128" t="str">
        <f t="shared" si="1"/>
        <v/>
      </c>
    </row>
    <row r="626">
      <c r="A626" s="93" t="str">
        <f t="shared" si="2"/>
        <v>#15823</v>
      </c>
      <c r="B626" s="93" t="str">
        <f>IF(COUNTIF(MAIN!B:B, A626)=0, "Missing", "")</f>
        <v/>
      </c>
      <c r="E626" s="128" t="str">
        <f t="shared" si="1"/>
        <v/>
      </c>
    </row>
    <row r="627">
      <c r="A627" s="93" t="str">
        <f t="shared" si="2"/>
        <v>#15824</v>
      </c>
      <c r="B627" s="93" t="str">
        <f>IF(COUNTIF(MAIN!B:B, A627)=0, "Missing", "")</f>
        <v/>
      </c>
      <c r="E627" s="128" t="str">
        <f t="shared" si="1"/>
        <v/>
      </c>
    </row>
    <row r="628">
      <c r="A628" s="93" t="str">
        <f t="shared" si="2"/>
        <v>#15825</v>
      </c>
      <c r="B628" s="93" t="str">
        <f>IF(COUNTIF(MAIN!B:B, A628)=0, "Missing", "")</f>
        <v/>
      </c>
      <c r="E628" s="128" t="str">
        <f t="shared" si="1"/>
        <v/>
      </c>
    </row>
    <row r="629">
      <c r="A629" s="93" t="str">
        <f t="shared" si="2"/>
        <v>#15826</v>
      </c>
      <c r="B629" s="93" t="str">
        <f>IF(COUNTIF(MAIN!B:B, A629)=0, "Missing", "")</f>
        <v/>
      </c>
      <c r="E629" s="128" t="str">
        <f t="shared" si="1"/>
        <v/>
      </c>
    </row>
    <row r="630">
      <c r="A630" s="93" t="str">
        <f t="shared" si="2"/>
        <v>#15827</v>
      </c>
      <c r="B630" s="93" t="str">
        <f>IF(COUNTIF(MAIN!B:B, A630)=0, "Missing", "")</f>
        <v/>
      </c>
      <c r="E630" s="128" t="str">
        <f t="shared" si="1"/>
        <v/>
      </c>
    </row>
    <row r="631">
      <c r="A631" s="93" t="str">
        <f t="shared" si="2"/>
        <v>#15828</v>
      </c>
      <c r="B631" s="93" t="str">
        <f>IF(COUNTIF(MAIN!B:B, A631)=0, "Missing", "")</f>
        <v/>
      </c>
      <c r="E631" s="128" t="str">
        <f t="shared" si="1"/>
        <v/>
      </c>
    </row>
    <row r="632">
      <c r="A632" s="93" t="str">
        <f t="shared" si="2"/>
        <v>#15829</v>
      </c>
      <c r="B632" s="93" t="str">
        <f>IF(COUNTIF(MAIN!B:B, A632)=0, "Missing", "")</f>
        <v/>
      </c>
      <c r="E632" s="128" t="str">
        <f t="shared" si="1"/>
        <v/>
      </c>
    </row>
    <row r="633">
      <c r="A633" s="93" t="str">
        <f t="shared" si="2"/>
        <v>#15830</v>
      </c>
      <c r="B633" s="93" t="str">
        <f>IF(COUNTIF(MAIN!B:B, A633)=0, "Missing", "")</f>
        <v/>
      </c>
      <c r="E633" s="128" t="str">
        <f t="shared" si="1"/>
        <v/>
      </c>
    </row>
    <row r="634">
      <c r="A634" s="93" t="str">
        <f t="shared" si="2"/>
        <v>#15831</v>
      </c>
      <c r="B634" s="93" t="str">
        <f>IF(COUNTIF(MAIN!B:B, A634)=0, "Missing", "")</f>
        <v/>
      </c>
      <c r="E634" s="128" t="str">
        <f t="shared" si="1"/>
        <v/>
      </c>
    </row>
    <row r="635">
      <c r="A635" s="93" t="str">
        <f t="shared" si="2"/>
        <v>#15832</v>
      </c>
      <c r="B635" s="93" t="str">
        <f>IF(COUNTIF(MAIN!B:B, A635)=0, "Missing", "")</f>
        <v/>
      </c>
      <c r="E635" s="128" t="str">
        <f t="shared" si="1"/>
        <v/>
      </c>
    </row>
    <row r="636">
      <c r="A636" s="93" t="str">
        <f t="shared" si="2"/>
        <v>#15833</v>
      </c>
      <c r="B636" s="93" t="str">
        <f>IF(COUNTIF(MAIN!B:B, A636)=0, "Missing", "")</f>
        <v/>
      </c>
      <c r="E636" s="128" t="str">
        <f t="shared" si="1"/>
        <v/>
      </c>
    </row>
    <row r="637">
      <c r="A637" s="93" t="str">
        <f t="shared" si="2"/>
        <v>#15834</v>
      </c>
      <c r="B637" s="93" t="str">
        <f>IF(COUNTIF(MAIN!B:B, A637)=0, "Missing", "")</f>
        <v/>
      </c>
      <c r="E637" s="128" t="str">
        <f t="shared" si="1"/>
        <v/>
      </c>
    </row>
    <row r="638">
      <c r="A638" s="93" t="str">
        <f t="shared" si="2"/>
        <v>#15835</v>
      </c>
      <c r="B638" s="93" t="str">
        <f>IF(COUNTIF(MAIN!B:B, A638)=0, "Missing", "")</f>
        <v/>
      </c>
      <c r="E638" s="128" t="str">
        <f t="shared" si="1"/>
        <v/>
      </c>
    </row>
    <row r="639">
      <c r="A639" s="93" t="str">
        <f t="shared" si="2"/>
        <v>#15836</v>
      </c>
      <c r="B639" s="93" t="str">
        <f>IF(COUNTIF(MAIN!B:B, A639)=0, "Missing", "")</f>
        <v/>
      </c>
      <c r="E639" s="128" t="str">
        <f t="shared" si="1"/>
        <v/>
      </c>
    </row>
    <row r="640">
      <c r="A640" s="93" t="str">
        <f t="shared" si="2"/>
        <v>#15837</v>
      </c>
      <c r="B640" s="93" t="str">
        <f>IF(COUNTIF(MAIN!B:B, A640)=0, "Missing", "")</f>
        <v/>
      </c>
      <c r="E640" s="128" t="str">
        <f t="shared" si="1"/>
        <v/>
      </c>
    </row>
    <row r="641">
      <c r="A641" s="93" t="str">
        <f t="shared" si="2"/>
        <v>#15838</v>
      </c>
      <c r="B641" s="93" t="str">
        <f>IF(COUNTIF(MAIN!B:B, A641)=0, "Missing", "")</f>
        <v/>
      </c>
      <c r="E641" s="128" t="str">
        <f t="shared" si="1"/>
        <v/>
      </c>
    </row>
    <row r="642">
      <c r="A642" s="93" t="str">
        <f t="shared" si="2"/>
        <v>#15839</v>
      </c>
      <c r="B642" s="93" t="str">
        <f>IF(COUNTIF(MAIN!B:B, A642)=0, "Missing", "")</f>
        <v/>
      </c>
      <c r="E642" s="128" t="str">
        <f t="shared" si="1"/>
        <v/>
      </c>
    </row>
    <row r="643">
      <c r="A643" s="93" t="str">
        <f t="shared" si="2"/>
        <v>#15840</v>
      </c>
      <c r="B643" s="93" t="str">
        <f>IF(COUNTIF(MAIN!B:B, A643)=0, "Missing", "")</f>
        <v/>
      </c>
      <c r="E643" s="128" t="str">
        <f t="shared" si="1"/>
        <v/>
      </c>
    </row>
    <row r="644">
      <c r="A644" s="93" t="str">
        <f t="shared" si="2"/>
        <v>#15841</v>
      </c>
      <c r="B644" s="93" t="str">
        <f>IF(COUNTIF(MAIN!B:B, A644)=0, "Missing", "")</f>
        <v/>
      </c>
      <c r="E644" s="128" t="str">
        <f t="shared" si="1"/>
        <v/>
      </c>
    </row>
    <row r="645">
      <c r="A645" s="93" t="str">
        <f t="shared" si="2"/>
        <v>#15842</v>
      </c>
      <c r="B645" s="93" t="str">
        <f>IF(COUNTIF(MAIN!B:B, A645)=0, "Missing", "")</f>
        <v/>
      </c>
      <c r="E645" s="128" t="str">
        <f t="shared" si="1"/>
        <v/>
      </c>
    </row>
    <row r="646">
      <c r="A646" s="93" t="str">
        <f t="shared" si="2"/>
        <v>#15843</v>
      </c>
      <c r="B646" s="93" t="str">
        <f>IF(COUNTIF(MAIN!B:B, A646)=0, "Missing", "")</f>
        <v/>
      </c>
      <c r="E646" s="128" t="str">
        <f t="shared" si="1"/>
        <v/>
      </c>
    </row>
    <row r="647">
      <c r="A647" s="93" t="str">
        <f t="shared" si="2"/>
        <v>#15844</v>
      </c>
      <c r="B647" s="93" t="str">
        <f>IF(COUNTIF(MAIN!B:B, A647)=0, "Missing", "")</f>
        <v/>
      </c>
      <c r="E647" s="128" t="str">
        <f t="shared" si="1"/>
        <v/>
      </c>
    </row>
    <row r="648">
      <c r="A648" s="93" t="str">
        <f t="shared" si="2"/>
        <v>#15845</v>
      </c>
      <c r="B648" s="93" t="str">
        <f>IF(COUNTIF(MAIN!B:B, A648)=0, "Missing", "")</f>
        <v/>
      </c>
      <c r="E648" s="128" t="str">
        <f t="shared" si="1"/>
        <v/>
      </c>
    </row>
    <row r="649">
      <c r="A649" s="93" t="str">
        <f t="shared" si="2"/>
        <v>#15846</v>
      </c>
      <c r="B649" s="93" t="str">
        <f>IF(COUNTIF(MAIN!B:B, A649)=0, "Missing", "")</f>
        <v/>
      </c>
      <c r="E649" s="128" t="str">
        <f t="shared" si="1"/>
        <v/>
      </c>
    </row>
    <row r="650">
      <c r="A650" s="93" t="str">
        <f t="shared" si="2"/>
        <v>#15847</v>
      </c>
      <c r="B650" s="93" t="str">
        <f>IF(COUNTIF(MAIN!B:B, A650)=0, "Missing", "")</f>
        <v/>
      </c>
      <c r="E650" s="128" t="str">
        <f t="shared" si="1"/>
        <v/>
      </c>
    </row>
    <row r="651">
      <c r="A651" s="93" t="str">
        <f t="shared" si="2"/>
        <v>#15848</v>
      </c>
      <c r="B651" s="93" t="str">
        <f>IF(COUNTIF(MAIN!B:B, A651)=0, "Missing", "")</f>
        <v/>
      </c>
      <c r="E651" s="128" t="str">
        <f t="shared" si="1"/>
        <v/>
      </c>
    </row>
    <row r="652">
      <c r="A652" s="93" t="str">
        <f t="shared" si="2"/>
        <v>#15849</v>
      </c>
      <c r="B652" s="93" t="str">
        <f>IF(COUNTIF(MAIN!B:B, A652)=0, "Missing", "")</f>
        <v/>
      </c>
      <c r="E652" s="128" t="str">
        <f t="shared" si="1"/>
        <v/>
      </c>
    </row>
    <row r="653">
      <c r="A653" s="93" t="str">
        <f t="shared" si="2"/>
        <v>#15850</v>
      </c>
      <c r="B653" s="93" t="str">
        <f>IF(COUNTIF(MAIN!B:B, A653)=0, "Missing", "")</f>
        <v/>
      </c>
      <c r="E653" s="128" t="str">
        <f t="shared" si="1"/>
        <v/>
      </c>
    </row>
    <row r="654">
      <c r="A654" s="93" t="str">
        <f t="shared" si="2"/>
        <v>#15851</v>
      </c>
      <c r="B654" s="93" t="str">
        <f>IF(COUNTIF(MAIN!B:B, A654)=0, "Missing", "")</f>
        <v/>
      </c>
      <c r="E654" s="128" t="str">
        <f t="shared" si="1"/>
        <v/>
      </c>
    </row>
    <row r="655">
      <c r="A655" s="93" t="str">
        <f t="shared" si="2"/>
        <v>#15852</v>
      </c>
      <c r="B655" s="93" t="str">
        <f>IF(COUNTIF(MAIN!B:B, A655)=0, "Missing", "")</f>
        <v/>
      </c>
      <c r="E655" s="128" t="str">
        <f t="shared" si="1"/>
        <v/>
      </c>
    </row>
    <row r="656">
      <c r="A656" s="93" t="str">
        <f t="shared" si="2"/>
        <v>#15853</v>
      </c>
      <c r="B656" s="93" t="str">
        <f>IF(COUNTIF(MAIN!B:B, A656)=0, "Missing", "")</f>
        <v/>
      </c>
      <c r="E656" s="128" t="str">
        <f t="shared" si="1"/>
        <v/>
      </c>
    </row>
    <row r="657">
      <c r="A657" s="93" t="str">
        <f t="shared" si="2"/>
        <v>#15854</v>
      </c>
      <c r="B657" s="93" t="str">
        <f>IF(COUNTIF(MAIN!B:B, A657)=0, "Missing", "")</f>
        <v/>
      </c>
      <c r="E657" s="128" t="str">
        <f t="shared" si="1"/>
        <v/>
      </c>
    </row>
    <row r="658">
      <c r="A658" s="93" t="str">
        <f t="shared" si="2"/>
        <v>#15855</v>
      </c>
      <c r="B658" s="93" t="str">
        <f>IF(COUNTIF(MAIN!B:B, A658)=0, "Missing", "")</f>
        <v/>
      </c>
      <c r="E658" s="128" t="str">
        <f t="shared" si="1"/>
        <v/>
      </c>
    </row>
    <row r="659">
      <c r="A659" s="93" t="str">
        <f t="shared" si="2"/>
        <v>#15856</v>
      </c>
      <c r="B659" s="93" t="str">
        <f>IF(COUNTIF(MAIN!B:B, A659)=0, "Missing", "")</f>
        <v/>
      </c>
      <c r="E659" s="128" t="str">
        <f t="shared" si="1"/>
        <v/>
      </c>
    </row>
    <row r="660">
      <c r="A660" s="93" t="str">
        <f t="shared" si="2"/>
        <v>#15857</v>
      </c>
      <c r="B660" s="93" t="str">
        <f>IF(COUNTIF(MAIN!B:B, A660)=0, "Missing", "")</f>
        <v/>
      </c>
      <c r="E660" s="128" t="str">
        <f t="shared" si="1"/>
        <v/>
      </c>
    </row>
    <row r="661">
      <c r="A661" s="93" t="str">
        <f t="shared" si="2"/>
        <v>#15858</v>
      </c>
      <c r="B661" s="93" t="str">
        <f>IF(COUNTIF(MAIN!B:B, A661)=0, "Missing", "")</f>
        <v/>
      </c>
      <c r="E661" s="128" t="str">
        <f t="shared" si="1"/>
        <v/>
      </c>
    </row>
    <row r="662">
      <c r="A662" s="93" t="str">
        <f t="shared" si="2"/>
        <v>#15859</v>
      </c>
      <c r="B662" s="93" t="str">
        <f>IF(COUNTIF(MAIN!B:B, A662)=0, "Missing", "")</f>
        <v/>
      </c>
      <c r="E662" s="128" t="str">
        <f t="shared" si="1"/>
        <v/>
      </c>
    </row>
    <row r="663">
      <c r="A663" s="93" t="str">
        <f t="shared" si="2"/>
        <v>#15860</v>
      </c>
      <c r="B663" s="93" t="str">
        <f>IF(COUNTIF(MAIN!B:B, A663)=0, "Missing", "")</f>
        <v/>
      </c>
      <c r="E663" s="128" t="str">
        <f t="shared" si="1"/>
        <v/>
      </c>
    </row>
    <row r="664">
      <c r="A664" s="93" t="str">
        <f t="shared" si="2"/>
        <v>#15861</v>
      </c>
      <c r="B664" s="93" t="str">
        <f>IF(COUNTIF(MAIN!B:B, A664)=0, "Missing", "")</f>
        <v/>
      </c>
      <c r="E664" s="128" t="str">
        <f t="shared" si="1"/>
        <v/>
      </c>
    </row>
    <row r="665">
      <c r="A665" s="93" t="str">
        <f t="shared" si="2"/>
        <v>#15862</v>
      </c>
      <c r="B665" s="93" t="str">
        <f>IF(COUNTIF(MAIN!B:B, A665)=0, "Missing", "")</f>
        <v/>
      </c>
      <c r="E665" s="128" t="str">
        <f t="shared" si="1"/>
        <v/>
      </c>
    </row>
    <row r="666">
      <c r="A666" s="93" t="str">
        <f t="shared" si="2"/>
        <v>#15863</v>
      </c>
      <c r="B666" s="93" t="str">
        <f>IF(COUNTIF(MAIN!B:B, A666)=0, "Missing", "")</f>
        <v/>
      </c>
      <c r="E666" s="128" t="str">
        <f t="shared" si="1"/>
        <v/>
      </c>
    </row>
    <row r="667">
      <c r="A667" s="93" t="str">
        <f t="shared" si="2"/>
        <v>#15864</v>
      </c>
      <c r="B667" s="93" t="str">
        <f>IF(COUNTIF(MAIN!B:B, A667)=0, "Missing", "")</f>
        <v/>
      </c>
      <c r="E667" s="128" t="str">
        <f t="shared" si="1"/>
        <v/>
      </c>
    </row>
    <row r="668">
      <c r="A668" s="93" t="str">
        <f t="shared" si="2"/>
        <v>#15865</v>
      </c>
      <c r="B668" s="93" t="str">
        <f>IF(COUNTIF(MAIN!B:B, A668)=0, "Missing", "")</f>
        <v/>
      </c>
      <c r="E668" s="128" t="str">
        <f t="shared" si="1"/>
        <v/>
      </c>
    </row>
    <row r="669">
      <c r="A669" s="93" t="str">
        <f t="shared" si="2"/>
        <v>#15866</v>
      </c>
      <c r="B669" s="93" t="str">
        <f>IF(COUNTIF(MAIN!B:B, A669)=0, "Missing", "")</f>
        <v/>
      </c>
      <c r="E669" s="128" t="str">
        <f t="shared" si="1"/>
        <v/>
      </c>
    </row>
    <row r="670">
      <c r="A670" s="93" t="str">
        <f t="shared" si="2"/>
        <v>#15867</v>
      </c>
      <c r="B670" s="93" t="str">
        <f>IF(COUNTIF(MAIN!B:B, A670)=0, "Missing", "")</f>
        <v/>
      </c>
      <c r="E670" s="128" t="str">
        <f t="shared" si="1"/>
        <v/>
      </c>
    </row>
    <row r="671">
      <c r="A671" s="93" t="str">
        <f t="shared" si="2"/>
        <v>#15868</v>
      </c>
      <c r="B671" s="93" t="str">
        <f>IF(COUNTIF(MAIN!B:B, A671)=0, "Missing", "")</f>
        <v/>
      </c>
      <c r="E671" s="128" t="str">
        <f t="shared" si="1"/>
        <v/>
      </c>
    </row>
    <row r="672">
      <c r="A672" s="93" t="str">
        <f t="shared" si="2"/>
        <v>#15869</v>
      </c>
      <c r="B672" s="93" t="str">
        <f>IF(COUNTIF(MAIN!B:B, A672)=0, "Missing", "")</f>
        <v/>
      </c>
      <c r="E672" s="128" t="str">
        <f t="shared" si="1"/>
        <v/>
      </c>
    </row>
    <row r="673">
      <c r="A673" s="93" t="str">
        <f t="shared" si="2"/>
        <v>#15870</v>
      </c>
      <c r="B673" s="93" t="str">
        <f>IF(COUNTIF(MAIN!B:B, A673)=0, "Missing", "")</f>
        <v/>
      </c>
      <c r="E673" s="128" t="str">
        <f t="shared" si="1"/>
        <v/>
      </c>
    </row>
    <row r="674">
      <c r="A674" s="93" t="str">
        <f t="shared" si="2"/>
        <v>#15871</v>
      </c>
      <c r="B674" s="93" t="str">
        <f>IF(COUNTIF(MAIN!B:B, A674)=0, "Missing", "")</f>
        <v/>
      </c>
      <c r="E674" s="128" t="str">
        <f t="shared" si="1"/>
        <v/>
      </c>
    </row>
    <row r="675">
      <c r="A675" s="93" t="str">
        <f t="shared" si="2"/>
        <v>#15872</v>
      </c>
      <c r="B675" s="93" t="str">
        <f>IF(COUNTIF(MAIN!B:B, A675)=0, "Missing", "")</f>
        <v/>
      </c>
      <c r="E675" s="128" t="str">
        <f t="shared" si="1"/>
        <v/>
      </c>
    </row>
    <row r="676">
      <c r="A676" s="93" t="str">
        <f t="shared" si="2"/>
        <v>#15873</v>
      </c>
      <c r="B676" s="93" t="str">
        <f>IF(COUNTIF(MAIN!B:B, A676)=0, "Missing", "")</f>
        <v/>
      </c>
      <c r="E676" s="128" t="str">
        <f t="shared" si="1"/>
        <v/>
      </c>
    </row>
    <row r="677">
      <c r="A677" s="93" t="str">
        <f t="shared" si="2"/>
        <v>#15874</v>
      </c>
      <c r="B677" s="93" t="str">
        <f>IF(COUNTIF(MAIN!B:B, A677)=0, "Missing", "")</f>
        <v/>
      </c>
      <c r="E677" s="128" t="str">
        <f t="shared" si="1"/>
        <v/>
      </c>
    </row>
    <row r="678">
      <c r="A678" s="93" t="str">
        <f t="shared" si="2"/>
        <v>#15875</v>
      </c>
      <c r="B678" s="93" t="str">
        <f>IF(COUNTIF(MAIN!B:B, A678)=0, "Missing", "")</f>
        <v/>
      </c>
      <c r="E678" s="128" t="str">
        <f t="shared" si="1"/>
        <v/>
      </c>
    </row>
    <row r="679">
      <c r="A679" s="93" t="str">
        <f t="shared" si="2"/>
        <v>#15876</v>
      </c>
      <c r="B679" s="93" t="str">
        <f>IF(COUNTIF(MAIN!B:B, A679)=0, "Missing", "")</f>
        <v/>
      </c>
      <c r="E679" s="128" t="str">
        <f t="shared" si="1"/>
        <v/>
      </c>
    </row>
    <row r="680">
      <c r="A680" s="93" t="str">
        <f t="shared" si="2"/>
        <v>#15877</v>
      </c>
      <c r="B680" s="93" t="str">
        <f>IF(COUNTIF(MAIN!B:B, A680)=0, "Missing", "")</f>
        <v/>
      </c>
      <c r="E680" s="128" t="str">
        <f t="shared" si="1"/>
        <v/>
      </c>
    </row>
    <row r="681">
      <c r="A681" s="93" t="str">
        <f t="shared" si="2"/>
        <v>#15878</v>
      </c>
      <c r="B681" s="93" t="str">
        <f>IF(COUNTIF(MAIN!B:B, A681)=0, "Missing", "")</f>
        <v/>
      </c>
      <c r="E681" s="128" t="str">
        <f t="shared" si="1"/>
        <v/>
      </c>
    </row>
    <row r="682">
      <c r="A682" s="93" t="str">
        <f t="shared" si="2"/>
        <v>#15879</v>
      </c>
      <c r="B682" s="93" t="str">
        <f>IF(COUNTIF(MAIN!B:B, A682)=0, "Missing", "")</f>
        <v/>
      </c>
      <c r="E682" s="128" t="str">
        <f t="shared" si="1"/>
        <v/>
      </c>
    </row>
    <row r="683">
      <c r="A683" s="93" t="str">
        <f t="shared" si="2"/>
        <v>#15880</v>
      </c>
      <c r="B683" s="93" t="str">
        <f>IF(COUNTIF(MAIN!B:B, A683)=0, "Missing", "")</f>
        <v/>
      </c>
      <c r="E683" s="128" t="str">
        <f t="shared" si="1"/>
        <v/>
      </c>
    </row>
    <row r="684">
      <c r="A684" s="93" t="str">
        <f t="shared" si="2"/>
        <v>#15881</v>
      </c>
      <c r="B684" s="93" t="str">
        <f>IF(COUNTIF(MAIN!B:B, A684)=0, "Missing", "")</f>
        <v/>
      </c>
      <c r="E684" s="128" t="str">
        <f t="shared" si="1"/>
        <v/>
      </c>
    </row>
    <row r="685">
      <c r="A685" s="93" t="str">
        <f t="shared" si="2"/>
        <v>#15882</v>
      </c>
      <c r="B685" s="93" t="str">
        <f>IF(COUNTIF(MAIN!B:B, A685)=0, "Missing", "")</f>
        <v/>
      </c>
      <c r="E685" s="128" t="str">
        <f t="shared" si="1"/>
        <v/>
      </c>
    </row>
    <row r="686">
      <c r="A686" s="93" t="str">
        <f t="shared" si="2"/>
        <v>#15883</v>
      </c>
      <c r="B686" s="93" t="str">
        <f>IF(COUNTIF(MAIN!B:B, A686)=0, "Missing", "")</f>
        <v/>
      </c>
      <c r="E686" s="128" t="str">
        <f t="shared" si="1"/>
        <v/>
      </c>
    </row>
    <row r="687">
      <c r="A687" s="93" t="str">
        <f t="shared" si="2"/>
        <v>#15884</v>
      </c>
      <c r="B687" s="93" t="str">
        <f>IF(COUNTIF(MAIN!B:B, A687)=0, "Missing", "")</f>
        <v/>
      </c>
      <c r="E687" s="128" t="str">
        <f t="shared" si="1"/>
        <v/>
      </c>
    </row>
    <row r="688">
      <c r="A688" s="93" t="str">
        <f t="shared" si="2"/>
        <v>#15885</v>
      </c>
      <c r="B688" s="93" t="str">
        <f>IF(COUNTIF(MAIN!B:B, A688)=0, "Missing", "")</f>
        <v/>
      </c>
      <c r="E688" s="128" t="str">
        <f t="shared" si="1"/>
        <v/>
      </c>
    </row>
    <row r="689">
      <c r="A689" s="93" t="str">
        <f t="shared" si="2"/>
        <v>#15886</v>
      </c>
      <c r="B689" s="93" t="str">
        <f>IF(COUNTIF(MAIN!B:B, A689)=0, "Missing", "")</f>
        <v/>
      </c>
      <c r="E689" s="128" t="str">
        <f t="shared" si="1"/>
        <v/>
      </c>
    </row>
    <row r="690">
      <c r="A690" s="93" t="str">
        <f t="shared" si="2"/>
        <v>#15887</v>
      </c>
      <c r="B690" s="93" t="str">
        <f>IF(COUNTIF(MAIN!B:B, A690)=0, "Missing", "")</f>
        <v/>
      </c>
      <c r="E690" s="128" t="str">
        <f t="shared" si="1"/>
        <v/>
      </c>
    </row>
    <row r="691">
      <c r="A691" s="93" t="str">
        <f t="shared" si="2"/>
        <v>#15888</v>
      </c>
      <c r="B691" s="93" t="str">
        <f>IF(COUNTIF(MAIN!B:B, A691)=0, "Missing", "")</f>
        <v/>
      </c>
      <c r="E691" s="128" t="str">
        <f t="shared" si="1"/>
        <v/>
      </c>
    </row>
    <row r="692">
      <c r="A692" s="93" t="str">
        <f t="shared" si="2"/>
        <v>#15889</v>
      </c>
      <c r="B692" s="93" t="str">
        <f>IF(COUNTIF(MAIN!B:B, A692)=0, "Missing", "")</f>
        <v/>
      </c>
      <c r="E692" s="128" t="str">
        <f t="shared" si="1"/>
        <v/>
      </c>
    </row>
    <row r="693">
      <c r="A693" s="93" t="str">
        <f t="shared" si="2"/>
        <v>#15890</v>
      </c>
      <c r="B693" s="93" t="str">
        <f>IF(COUNTIF(MAIN!B:B, A693)=0, "Missing", "")</f>
        <v/>
      </c>
      <c r="E693" s="128" t="str">
        <f t="shared" si="1"/>
        <v/>
      </c>
    </row>
    <row r="694">
      <c r="A694" s="93" t="str">
        <f t="shared" si="2"/>
        <v>#15891</v>
      </c>
      <c r="B694" s="93" t="str">
        <f>IF(COUNTIF(MAIN!B:B, A694)=0, "Missing", "")</f>
        <v/>
      </c>
      <c r="E694" s="128" t="str">
        <f t="shared" si="1"/>
        <v/>
      </c>
    </row>
    <row r="695">
      <c r="A695" s="93" t="str">
        <f t="shared" si="2"/>
        <v>#15892</v>
      </c>
      <c r="B695" s="93" t="str">
        <f>IF(COUNTIF(MAIN!B:B, A695)=0, "Missing", "")</f>
        <v/>
      </c>
      <c r="E695" s="128" t="str">
        <f t="shared" si="1"/>
        <v/>
      </c>
    </row>
    <row r="696">
      <c r="A696" s="93" t="str">
        <f t="shared" si="2"/>
        <v>#15893</v>
      </c>
      <c r="B696" s="93" t="str">
        <f>IF(COUNTIF(MAIN!B:B, A696)=0, "Missing", "")</f>
        <v/>
      </c>
      <c r="E696" s="128" t="str">
        <f t="shared" si="1"/>
        <v/>
      </c>
    </row>
    <row r="697">
      <c r="A697" s="93" t="str">
        <f t="shared" si="2"/>
        <v>#15894</v>
      </c>
      <c r="B697" s="93" t="str">
        <f>IF(COUNTIF(MAIN!B:B, A697)=0, "Missing", "")</f>
        <v/>
      </c>
      <c r="E697" s="128" t="str">
        <f t="shared" si="1"/>
        <v/>
      </c>
    </row>
    <row r="698">
      <c r="A698" s="93" t="str">
        <f t="shared" si="2"/>
        <v>#15895</v>
      </c>
      <c r="B698" s="93" t="str">
        <f>IF(COUNTIF(MAIN!B:B, A698)=0, "Missing", "")</f>
        <v/>
      </c>
      <c r="E698" s="128" t="str">
        <f t="shared" si="1"/>
        <v/>
      </c>
    </row>
    <row r="699">
      <c r="A699" s="93" t="str">
        <f t="shared" si="2"/>
        <v>#15896</v>
      </c>
      <c r="B699" s="93" t="str">
        <f>IF(COUNTIF(MAIN!B:B, A699)=0, "Missing", "")</f>
        <v/>
      </c>
      <c r="E699" s="128" t="str">
        <f t="shared" si="1"/>
        <v/>
      </c>
    </row>
    <row r="700">
      <c r="A700" s="93" t="str">
        <f t="shared" si="2"/>
        <v>#15897</v>
      </c>
      <c r="B700" s="93" t="str">
        <f>IF(COUNTIF(MAIN!B:B, A700)=0, "Missing", "")</f>
        <v/>
      </c>
      <c r="E700" s="128" t="str">
        <f t="shared" si="1"/>
        <v/>
      </c>
    </row>
    <row r="701">
      <c r="A701" s="93" t="str">
        <f t="shared" si="2"/>
        <v>#15898</v>
      </c>
      <c r="B701" s="93" t="str">
        <f>IF(COUNTIF(MAIN!B:B, A701)=0, "Missing", "")</f>
        <v/>
      </c>
      <c r="E701" s="128" t="str">
        <f t="shared" si="1"/>
        <v/>
      </c>
    </row>
    <row r="702">
      <c r="A702" s="93" t="str">
        <f t="shared" si="2"/>
        <v>#15899</v>
      </c>
      <c r="B702" s="93" t="str">
        <f>IF(COUNTIF(MAIN!B:B, A702)=0, "Missing", "")</f>
        <v/>
      </c>
      <c r="E702" s="128" t="str">
        <f t="shared" si="1"/>
        <v/>
      </c>
    </row>
    <row r="703">
      <c r="A703" s="93" t="str">
        <f t="shared" si="2"/>
        <v>#15900</v>
      </c>
      <c r="B703" s="93" t="str">
        <f>IF(COUNTIF(MAIN!B:B, A703)=0, "Missing", "")</f>
        <v/>
      </c>
      <c r="E703" s="128" t="str">
        <f t="shared" si="1"/>
        <v/>
      </c>
    </row>
    <row r="704">
      <c r="A704" s="93" t="str">
        <f t="shared" si="2"/>
        <v>#15901</v>
      </c>
      <c r="B704" s="93" t="str">
        <f>IF(COUNTIF(MAIN!B:B, A704)=0, "Missing", "")</f>
        <v/>
      </c>
      <c r="E704" s="128" t="str">
        <f t="shared" si="1"/>
        <v/>
      </c>
    </row>
    <row r="705">
      <c r="A705" s="93" t="str">
        <f t="shared" si="2"/>
        <v>#15902</v>
      </c>
      <c r="B705" s="93" t="str">
        <f>IF(COUNTIF(MAIN!B:B, A705)=0, "Missing", "")</f>
        <v/>
      </c>
      <c r="E705" s="128" t="str">
        <f t="shared" si="1"/>
        <v/>
      </c>
    </row>
    <row r="706">
      <c r="A706" s="93" t="str">
        <f t="shared" si="2"/>
        <v>#15903</v>
      </c>
      <c r="B706" s="93" t="str">
        <f>IF(COUNTIF(MAIN!B:B, A706)=0, "Missing", "")</f>
        <v/>
      </c>
      <c r="E706" s="128" t="str">
        <f t="shared" si="1"/>
        <v/>
      </c>
    </row>
    <row r="707">
      <c r="A707" s="93" t="str">
        <f t="shared" si="2"/>
        <v>#15904</v>
      </c>
      <c r="B707" s="93" t="str">
        <f>IF(COUNTIF(MAIN!B:B, A707)=0, "Missing", "")</f>
        <v/>
      </c>
      <c r="E707" s="128" t="str">
        <f t="shared" si="1"/>
        <v/>
      </c>
    </row>
    <row r="708">
      <c r="A708" s="93" t="str">
        <f t="shared" si="2"/>
        <v>#15905</v>
      </c>
      <c r="B708" s="93" t="str">
        <f>IF(COUNTIF(MAIN!B:B, A708)=0, "Missing", "")</f>
        <v/>
      </c>
      <c r="E708" s="128" t="str">
        <f t="shared" si="1"/>
        <v/>
      </c>
    </row>
    <row r="709">
      <c r="A709" s="93" t="str">
        <f t="shared" si="2"/>
        <v>#15906</v>
      </c>
      <c r="B709" s="93" t="str">
        <f>IF(COUNTIF(MAIN!B:B, A709)=0, "Missing", "")</f>
        <v/>
      </c>
      <c r="E709" s="128" t="str">
        <f t="shared" si="1"/>
        <v/>
      </c>
    </row>
    <row r="710">
      <c r="A710" s="93" t="str">
        <f t="shared" si="2"/>
        <v>#15907</v>
      </c>
      <c r="B710" s="93" t="str">
        <f>IF(COUNTIF(MAIN!B:B, A710)=0, "Missing", "")</f>
        <v/>
      </c>
      <c r="E710" s="128" t="str">
        <f t="shared" si="1"/>
        <v/>
      </c>
    </row>
    <row r="711">
      <c r="A711" s="93" t="str">
        <f t="shared" si="2"/>
        <v>#15908</v>
      </c>
      <c r="B711" s="93" t="str">
        <f>IF(COUNTIF(MAIN!B:B, A711)=0, "Missing", "")</f>
        <v/>
      </c>
      <c r="E711" s="128" t="str">
        <f t="shared" si="1"/>
        <v/>
      </c>
    </row>
    <row r="712">
      <c r="A712" s="93" t="str">
        <f t="shared" si="2"/>
        <v>#15909</v>
      </c>
      <c r="B712" s="93" t="str">
        <f>IF(COUNTIF(MAIN!B:B, A712)=0, "Missing", "")</f>
        <v/>
      </c>
      <c r="E712" s="128" t="str">
        <f t="shared" si="1"/>
        <v/>
      </c>
    </row>
    <row r="713">
      <c r="A713" s="93" t="str">
        <f t="shared" si="2"/>
        <v>#15910</v>
      </c>
      <c r="B713" s="93" t="str">
        <f>IF(COUNTIF(MAIN!B:B, A713)=0, "Missing", "")</f>
        <v/>
      </c>
      <c r="E713" s="128" t="str">
        <f t="shared" si="1"/>
        <v/>
      </c>
    </row>
    <row r="714">
      <c r="A714" s="93" t="str">
        <f t="shared" si="2"/>
        <v>#15911</v>
      </c>
      <c r="B714" s="93" t="str">
        <f>IF(COUNTIF(MAIN!B:B, A714)=0, "Missing", "")</f>
        <v/>
      </c>
      <c r="E714" s="128" t="str">
        <f t="shared" si="1"/>
        <v/>
      </c>
    </row>
    <row r="715">
      <c r="A715" s="93" t="str">
        <f t="shared" si="2"/>
        <v>#15912</v>
      </c>
      <c r="B715" s="93" t="str">
        <f>IF(COUNTIF(MAIN!B:B, A715)=0, "Missing", "")</f>
        <v/>
      </c>
      <c r="E715" s="128" t="str">
        <f t="shared" si="1"/>
        <v/>
      </c>
    </row>
    <row r="716">
      <c r="A716" s="93" t="str">
        <f t="shared" si="2"/>
        <v>#15913</v>
      </c>
      <c r="B716" s="93" t="str">
        <f>IF(COUNTIF(MAIN!B:B, A716)=0, "Missing", "")</f>
        <v/>
      </c>
      <c r="E716" s="128" t="str">
        <f t="shared" si="1"/>
        <v/>
      </c>
    </row>
    <row r="717">
      <c r="A717" s="93" t="str">
        <f t="shared" si="2"/>
        <v>#15914</v>
      </c>
      <c r="B717" s="93" t="str">
        <f>IF(COUNTIF(MAIN!B:B, A717)=0, "Missing", "")</f>
        <v/>
      </c>
      <c r="E717" s="128" t="str">
        <f t="shared" si="1"/>
        <v/>
      </c>
    </row>
    <row r="718">
      <c r="A718" s="93" t="str">
        <f t="shared" si="2"/>
        <v>#15915</v>
      </c>
      <c r="B718" s="93" t="str">
        <f>IF(COUNTIF(MAIN!B:B, A718)=0, "Missing", "")</f>
        <v/>
      </c>
      <c r="E718" s="128" t="str">
        <f t="shared" si="1"/>
        <v/>
      </c>
    </row>
    <row r="719">
      <c r="A719" s="93" t="str">
        <f t="shared" si="2"/>
        <v>#15916</v>
      </c>
      <c r="B719" s="93" t="str">
        <f>IF(COUNTIF(MAIN!B:B, A719)=0, "Missing", "")</f>
        <v/>
      </c>
      <c r="E719" s="128" t="str">
        <f t="shared" si="1"/>
        <v/>
      </c>
    </row>
    <row r="720">
      <c r="A720" s="93" t="str">
        <f t="shared" si="2"/>
        <v>#15917</v>
      </c>
      <c r="B720" s="93" t="str">
        <f>IF(COUNTIF(MAIN!B:B, A720)=0, "Missing", "")</f>
        <v/>
      </c>
      <c r="E720" s="128" t="str">
        <f t="shared" si="1"/>
        <v/>
      </c>
    </row>
    <row r="721">
      <c r="A721" s="93" t="str">
        <f t="shared" si="2"/>
        <v>#15918</v>
      </c>
      <c r="B721" s="93" t="str">
        <f>IF(COUNTIF(MAIN!B:B, A721)=0, "Missing", "")</f>
        <v/>
      </c>
      <c r="E721" s="128" t="str">
        <f t="shared" si="1"/>
        <v/>
      </c>
    </row>
    <row r="722">
      <c r="A722" s="93" t="str">
        <f t="shared" si="2"/>
        <v>#15919</v>
      </c>
      <c r="B722" s="93" t="str">
        <f>IF(COUNTIF(MAIN!B:B, A722)=0, "Missing", "")</f>
        <v/>
      </c>
      <c r="E722" s="128" t="str">
        <f t="shared" si="1"/>
        <v/>
      </c>
    </row>
    <row r="723">
      <c r="A723" s="93" t="str">
        <f t="shared" si="2"/>
        <v>#15920</v>
      </c>
      <c r="B723" s="93" t="str">
        <f>IF(COUNTIF(MAIN!B:B, A723)=0, "Missing", "")</f>
        <v/>
      </c>
      <c r="E723" s="128" t="str">
        <f t="shared" si="1"/>
        <v/>
      </c>
    </row>
    <row r="724">
      <c r="A724" s="93" t="str">
        <f t="shared" si="2"/>
        <v>#15921</v>
      </c>
      <c r="B724" s="93" t="str">
        <f>IF(COUNTIF(MAIN!B:B, A724)=0, "Missing", "")</f>
        <v/>
      </c>
      <c r="E724" s="128" t="str">
        <f t="shared" si="1"/>
        <v/>
      </c>
    </row>
    <row r="725">
      <c r="A725" s="93" t="str">
        <f t="shared" si="2"/>
        <v>#15922</v>
      </c>
      <c r="B725" s="93" t="str">
        <f>IF(COUNTIF(MAIN!B:B, A725)=0, "Missing", "")</f>
        <v/>
      </c>
      <c r="E725" s="128" t="str">
        <f t="shared" si="1"/>
        <v/>
      </c>
    </row>
    <row r="726">
      <c r="A726" s="93" t="str">
        <f t="shared" si="2"/>
        <v>#15923</v>
      </c>
      <c r="B726" s="93" t="str">
        <f>IF(COUNTIF(MAIN!B:B, A726)=0, "Missing", "")</f>
        <v/>
      </c>
      <c r="E726" s="128" t="str">
        <f t="shared" si="1"/>
        <v/>
      </c>
    </row>
    <row r="727">
      <c r="A727" s="93" t="str">
        <f t="shared" si="2"/>
        <v>#15924</v>
      </c>
      <c r="B727" s="93" t="str">
        <f>IF(COUNTIF(MAIN!B:B, A727)=0, "Missing", "")</f>
        <v/>
      </c>
      <c r="E727" s="128" t="str">
        <f t="shared" si="1"/>
        <v/>
      </c>
    </row>
    <row r="728">
      <c r="A728" s="93" t="str">
        <f t="shared" si="2"/>
        <v>#15925</v>
      </c>
      <c r="B728" s="93" t="str">
        <f>IF(COUNTIF(MAIN!B:B, A728)=0, "Missing", "")</f>
        <v/>
      </c>
      <c r="E728" s="128" t="str">
        <f t="shared" si="1"/>
        <v/>
      </c>
    </row>
    <row r="729">
      <c r="A729" s="93" t="str">
        <f t="shared" si="2"/>
        <v>#15926</v>
      </c>
      <c r="B729" s="93" t="str">
        <f>IF(COUNTIF(MAIN!B:B, A729)=0, "Missing", "")</f>
        <v/>
      </c>
      <c r="E729" s="128" t="str">
        <f t="shared" si="1"/>
        <v/>
      </c>
    </row>
    <row r="730">
      <c r="A730" s="93" t="str">
        <f t="shared" si="2"/>
        <v>#15927</v>
      </c>
      <c r="B730" s="93" t="str">
        <f>IF(COUNTIF(MAIN!B:B, A730)=0, "Missing", "")</f>
        <v/>
      </c>
      <c r="E730" s="128" t="str">
        <f t="shared" si="1"/>
        <v/>
      </c>
    </row>
    <row r="731">
      <c r="A731" s="93" t="str">
        <f t="shared" si="2"/>
        <v>#15928</v>
      </c>
      <c r="B731" s="93" t="str">
        <f>IF(COUNTIF(MAIN!B:B, A731)=0, "Missing", "")</f>
        <v/>
      </c>
      <c r="E731" s="128" t="str">
        <f t="shared" si="1"/>
        <v/>
      </c>
    </row>
    <row r="732">
      <c r="A732" s="93" t="str">
        <f t="shared" si="2"/>
        <v>#15929</v>
      </c>
      <c r="B732" s="93" t="str">
        <f>IF(COUNTIF(MAIN!B:B, A732)=0, "Missing", "")</f>
        <v/>
      </c>
      <c r="E732" s="128" t="str">
        <f t="shared" si="1"/>
        <v/>
      </c>
    </row>
    <row r="733">
      <c r="A733" s="93" t="str">
        <f t="shared" si="2"/>
        <v>#15930</v>
      </c>
      <c r="B733" s="93" t="str">
        <f>IF(COUNTIF(MAIN!B:B, A733)=0, "Missing", "")</f>
        <v/>
      </c>
      <c r="E733" s="128" t="str">
        <f t="shared" si="1"/>
        <v/>
      </c>
    </row>
    <row r="734">
      <c r="A734" s="93" t="str">
        <f t="shared" si="2"/>
        <v>#15931</v>
      </c>
      <c r="B734" s="93" t="str">
        <f>IF(COUNTIF(MAIN!B:B, A734)=0, "Missing", "")</f>
        <v/>
      </c>
      <c r="E734" s="128" t="str">
        <f t="shared" si="1"/>
        <v/>
      </c>
    </row>
    <row r="735">
      <c r="A735" s="93" t="str">
        <f t="shared" si="2"/>
        <v>#15932</v>
      </c>
      <c r="B735" s="93" t="str">
        <f>IF(COUNTIF(MAIN!B:B, A735)=0, "Missing", "")</f>
        <v/>
      </c>
      <c r="E735" s="128" t="str">
        <f t="shared" si="1"/>
        <v/>
      </c>
    </row>
    <row r="736">
      <c r="A736" s="93" t="str">
        <f t="shared" si="2"/>
        <v>#15933</v>
      </c>
      <c r="B736" s="93" t="str">
        <f>IF(COUNTIF(MAIN!B:B, A736)=0, "Missing", "")</f>
        <v/>
      </c>
      <c r="E736" s="128" t="str">
        <f t="shared" si="1"/>
        <v/>
      </c>
    </row>
    <row r="737">
      <c r="A737" s="93" t="str">
        <f t="shared" si="2"/>
        <v>#15934</v>
      </c>
      <c r="B737" s="93" t="str">
        <f>IF(COUNTIF(MAIN!B:B, A737)=0, "Missing", "")</f>
        <v/>
      </c>
      <c r="E737" s="128" t="str">
        <f t="shared" si="1"/>
        <v/>
      </c>
    </row>
    <row r="738">
      <c r="A738" s="93" t="str">
        <f t="shared" si="2"/>
        <v>#15935</v>
      </c>
      <c r="B738" s="93" t="str">
        <f>IF(COUNTIF(MAIN!B:B, A738)=0, "Missing", "")</f>
        <v/>
      </c>
      <c r="E738" s="128" t="str">
        <f t="shared" si="1"/>
        <v/>
      </c>
    </row>
    <row r="739">
      <c r="A739" s="93" t="str">
        <f t="shared" si="2"/>
        <v>#15936</v>
      </c>
      <c r="B739" s="93" t="str">
        <f>IF(COUNTIF(MAIN!B:B, A739)=0, "Missing", "")</f>
        <v/>
      </c>
      <c r="E739" s="128" t="str">
        <f t="shared" si="1"/>
        <v/>
      </c>
    </row>
    <row r="740">
      <c r="A740" s="93" t="str">
        <f t="shared" si="2"/>
        <v>#15937</v>
      </c>
      <c r="B740" s="93" t="str">
        <f>IF(COUNTIF(MAIN!B:B, A740)=0, "Missing", "")</f>
        <v/>
      </c>
      <c r="E740" s="128" t="str">
        <f t="shared" si="1"/>
        <v/>
      </c>
    </row>
    <row r="741">
      <c r="A741" s="93" t="str">
        <f t="shared" si="2"/>
        <v>#15938</v>
      </c>
      <c r="B741" s="93" t="str">
        <f>IF(COUNTIF(MAIN!B:B, A741)=0, "Missing", "")</f>
        <v/>
      </c>
      <c r="E741" s="128" t="str">
        <f t="shared" si="1"/>
        <v/>
      </c>
    </row>
    <row r="742">
      <c r="A742" s="93" t="str">
        <f t="shared" si="2"/>
        <v>#15939</v>
      </c>
      <c r="B742" s="93" t="str">
        <f>IF(COUNTIF(MAIN!B:B, A742)=0, "Missing", "")</f>
        <v/>
      </c>
      <c r="E742" s="128" t="str">
        <f t="shared" si="1"/>
        <v/>
      </c>
    </row>
    <row r="743">
      <c r="A743" s="93" t="str">
        <f t="shared" si="2"/>
        <v>#15940</v>
      </c>
      <c r="B743" s="93" t="str">
        <f>IF(COUNTIF(MAIN!B:B, A743)=0, "Missing", "")</f>
        <v/>
      </c>
      <c r="E743" s="128" t="str">
        <f t="shared" si="1"/>
        <v/>
      </c>
    </row>
    <row r="744">
      <c r="A744" s="93" t="str">
        <f t="shared" si="2"/>
        <v>#15941</v>
      </c>
      <c r="B744" s="93" t="str">
        <f>IF(COUNTIF(MAIN!B:B, A744)=0, "Missing", "")</f>
        <v/>
      </c>
      <c r="E744" s="128" t="str">
        <f t="shared" si="1"/>
        <v/>
      </c>
    </row>
    <row r="745">
      <c r="A745" s="93" t="str">
        <f t="shared" si="2"/>
        <v>#15942</v>
      </c>
      <c r="B745" s="93" t="str">
        <f>IF(COUNTIF(MAIN!B:B, A745)=0, "Missing", "")</f>
        <v/>
      </c>
      <c r="E745" s="128" t="str">
        <f t="shared" si="1"/>
        <v/>
      </c>
    </row>
    <row r="746">
      <c r="A746" s="93" t="str">
        <f t="shared" si="2"/>
        <v>#15943</v>
      </c>
      <c r="B746" s="93" t="str">
        <f>IF(COUNTIF(MAIN!B:B, A746)=0, "Missing", "")</f>
        <v/>
      </c>
      <c r="E746" s="128" t="str">
        <f t="shared" si="1"/>
        <v/>
      </c>
    </row>
    <row r="747">
      <c r="A747" s="93" t="str">
        <f t="shared" si="2"/>
        <v>#15944</v>
      </c>
      <c r="B747" s="93" t="str">
        <f>IF(COUNTIF(MAIN!B:B, A747)=0, "Missing", "")</f>
        <v/>
      </c>
      <c r="E747" s="128" t="str">
        <f t="shared" si="1"/>
        <v/>
      </c>
    </row>
    <row r="748">
      <c r="A748" s="93" t="str">
        <f t="shared" si="2"/>
        <v>#15945</v>
      </c>
      <c r="B748" s="93" t="str">
        <f>IF(COUNTIF(MAIN!B:B, A748)=0, "Missing", "")</f>
        <v/>
      </c>
      <c r="E748" s="128" t="str">
        <f t="shared" si="1"/>
        <v/>
      </c>
    </row>
    <row r="749">
      <c r="A749" s="93" t="str">
        <f t="shared" si="2"/>
        <v>#15946</v>
      </c>
      <c r="B749" s="93" t="str">
        <f>IF(COUNTIF(MAIN!B:B, A749)=0, "Missing", "")</f>
        <v/>
      </c>
      <c r="E749" s="128" t="str">
        <f t="shared" si="1"/>
        <v/>
      </c>
    </row>
    <row r="750">
      <c r="A750" s="93" t="str">
        <f t="shared" si="2"/>
        <v>#15947</v>
      </c>
      <c r="B750" s="93" t="str">
        <f>IF(COUNTIF(MAIN!B:B, A750)=0, "Missing", "")</f>
        <v/>
      </c>
      <c r="E750" s="128" t="str">
        <f t="shared" si="1"/>
        <v/>
      </c>
    </row>
    <row r="751">
      <c r="A751" s="93" t="str">
        <f t="shared" si="2"/>
        <v>#15948</v>
      </c>
      <c r="B751" s="93" t="str">
        <f>IF(COUNTIF(MAIN!B:B, A751)=0, "Missing", "")</f>
        <v/>
      </c>
      <c r="E751" s="128" t="str">
        <f t="shared" si="1"/>
        <v/>
      </c>
    </row>
    <row r="752">
      <c r="A752" s="93" t="str">
        <f t="shared" si="2"/>
        <v>#15949</v>
      </c>
      <c r="B752" s="93" t="str">
        <f>IF(COUNTIF(MAIN!B:B, A752)=0, "Missing", "")</f>
        <v/>
      </c>
      <c r="E752" s="128" t="str">
        <f t="shared" si="1"/>
        <v/>
      </c>
    </row>
    <row r="753">
      <c r="A753" s="93" t="str">
        <f t="shared" si="2"/>
        <v>#15950</v>
      </c>
      <c r="B753" s="93" t="str">
        <f>IF(COUNTIF(MAIN!B:B, A753)=0, "Missing", "")</f>
        <v/>
      </c>
      <c r="E753" s="128" t="str">
        <f t="shared" si="1"/>
        <v/>
      </c>
    </row>
    <row r="754">
      <c r="A754" s="93" t="str">
        <f t="shared" si="2"/>
        <v>#15951</v>
      </c>
      <c r="B754" s="93" t="str">
        <f>IF(COUNTIF(MAIN!B:B, A754)=0, "Missing", "")</f>
        <v/>
      </c>
      <c r="E754" s="128" t="str">
        <f t="shared" si="1"/>
        <v/>
      </c>
    </row>
    <row r="755">
      <c r="A755" s="93" t="str">
        <f t="shared" si="2"/>
        <v>#15952</v>
      </c>
      <c r="B755" s="93" t="str">
        <f>IF(COUNTIF(MAIN!B:B, A755)=0, "Missing", "")</f>
        <v/>
      </c>
      <c r="E755" s="128" t="str">
        <f t="shared" si="1"/>
        <v/>
      </c>
    </row>
    <row r="756">
      <c r="A756" s="93" t="str">
        <f t="shared" si="2"/>
        <v>#15953</v>
      </c>
      <c r="B756" s="93" t="str">
        <f>IF(COUNTIF(MAIN!B:B, A756)=0, "Missing", "")</f>
        <v/>
      </c>
      <c r="E756" s="128" t="str">
        <f t="shared" si="1"/>
        <v/>
      </c>
    </row>
    <row r="757">
      <c r="A757" s="93" t="str">
        <f t="shared" si="2"/>
        <v>#15954</v>
      </c>
      <c r="B757" s="93" t="str">
        <f>IF(COUNTIF(MAIN!B:B, A757)=0, "Missing", "")</f>
        <v/>
      </c>
      <c r="E757" s="128" t="str">
        <f t="shared" si="1"/>
        <v/>
      </c>
    </row>
    <row r="758">
      <c r="A758" s="93" t="str">
        <f t="shared" si="2"/>
        <v>#15955</v>
      </c>
      <c r="B758" s="93" t="str">
        <f>IF(COUNTIF(MAIN!B:B, A758)=0, "Missing", "")</f>
        <v/>
      </c>
      <c r="E758" s="128" t="str">
        <f t="shared" si="1"/>
        <v/>
      </c>
    </row>
    <row r="759">
      <c r="A759" s="93" t="str">
        <f t="shared" si="2"/>
        <v>#15956</v>
      </c>
      <c r="B759" s="93" t="str">
        <f>IF(COUNTIF(MAIN!B:B, A759)=0, "Missing", "")</f>
        <v/>
      </c>
      <c r="E759" s="128" t="str">
        <f t="shared" si="1"/>
        <v/>
      </c>
    </row>
    <row r="760">
      <c r="A760" s="93" t="str">
        <f t="shared" si="2"/>
        <v>#15957</v>
      </c>
      <c r="B760" s="93" t="str">
        <f>IF(COUNTIF(MAIN!B:B, A760)=0, "Missing", "")</f>
        <v/>
      </c>
      <c r="E760" s="128" t="str">
        <f t="shared" si="1"/>
        <v/>
      </c>
    </row>
    <row r="761">
      <c r="A761" s="93" t="str">
        <f t="shared" si="2"/>
        <v>#15958</v>
      </c>
      <c r="B761" s="93" t="str">
        <f>IF(COUNTIF(MAIN!B:B, A761)=0, "Missing", "")</f>
        <v/>
      </c>
      <c r="E761" s="128" t="str">
        <f t="shared" si="1"/>
        <v/>
      </c>
    </row>
    <row r="762">
      <c r="A762" s="93" t="str">
        <f t="shared" si="2"/>
        <v>#15959</v>
      </c>
      <c r="B762" s="93" t="str">
        <f>IF(COUNTIF(MAIN!B:B, A762)=0, "Missing", "")</f>
        <v/>
      </c>
      <c r="E762" s="128" t="str">
        <f t="shared" si="1"/>
        <v/>
      </c>
    </row>
    <row r="763">
      <c r="A763" s="93" t="str">
        <f t="shared" si="2"/>
        <v>#15960</v>
      </c>
      <c r="B763" s="93" t="str">
        <f>IF(COUNTIF(MAIN!B:B, A763)=0, "Missing", "")</f>
        <v/>
      </c>
      <c r="E763" s="128" t="str">
        <f t="shared" si="1"/>
        <v/>
      </c>
    </row>
    <row r="764">
      <c r="A764" s="93" t="str">
        <f t="shared" si="2"/>
        <v>#15961</v>
      </c>
      <c r="B764" s="93" t="str">
        <f>IF(COUNTIF(MAIN!B:B, A764)=0, "Missing", "")</f>
        <v/>
      </c>
      <c r="E764" s="128" t="str">
        <f t="shared" si="1"/>
        <v/>
      </c>
    </row>
    <row r="765">
      <c r="A765" s="93" t="str">
        <f t="shared" si="2"/>
        <v>#15962</v>
      </c>
      <c r="B765" s="93" t="str">
        <f>IF(COUNTIF(MAIN!B:B, A765)=0, "Missing", "")</f>
        <v/>
      </c>
      <c r="E765" s="128" t="str">
        <f t="shared" si="1"/>
        <v/>
      </c>
    </row>
    <row r="766">
      <c r="A766" s="93" t="str">
        <f t="shared" si="2"/>
        <v>#15963</v>
      </c>
      <c r="B766" s="93" t="str">
        <f>IF(COUNTIF(MAIN!B:B, A766)=0, "Missing", "")</f>
        <v/>
      </c>
      <c r="E766" s="128" t="str">
        <f t="shared" si="1"/>
        <v/>
      </c>
    </row>
    <row r="767">
      <c r="A767" s="93" t="str">
        <f t="shared" si="2"/>
        <v>#15964</v>
      </c>
      <c r="B767" s="93" t="str">
        <f>IF(COUNTIF(MAIN!B:B, A767)=0, "Missing", "")</f>
        <v/>
      </c>
      <c r="E767" s="128" t="str">
        <f t="shared" si="1"/>
        <v/>
      </c>
    </row>
    <row r="768">
      <c r="A768" s="93" t="str">
        <f t="shared" si="2"/>
        <v>#15965</v>
      </c>
      <c r="B768" s="93" t="str">
        <f>IF(COUNTIF(MAIN!B:B, A768)=0, "Missing", "")</f>
        <v/>
      </c>
      <c r="E768" s="128" t="str">
        <f t="shared" si="1"/>
        <v/>
      </c>
    </row>
    <row r="769">
      <c r="A769" s="93" t="str">
        <f t="shared" si="2"/>
        <v>#15966</v>
      </c>
      <c r="B769" s="93" t="str">
        <f>IF(COUNTIF(MAIN!B:B, A769)=0, "Missing", "")</f>
        <v/>
      </c>
      <c r="E769" s="128" t="str">
        <f t="shared" si="1"/>
        <v/>
      </c>
    </row>
    <row r="770">
      <c r="A770" s="93" t="str">
        <f t="shared" si="2"/>
        <v>#15967</v>
      </c>
      <c r="B770" s="93" t="str">
        <f>IF(COUNTIF(MAIN!B:B, A770)=0, "Missing", "")</f>
        <v/>
      </c>
      <c r="E770" s="128" t="str">
        <f t="shared" si="1"/>
        <v/>
      </c>
    </row>
    <row r="771">
      <c r="A771" s="93" t="str">
        <f t="shared" si="2"/>
        <v>#15968</v>
      </c>
      <c r="B771" s="93" t="str">
        <f>IF(COUNTIF(MAIN!B:B, A771)=0, "Missing", "")</f>
        <v/>
      </c>
      <c r="E771" s="128" t="str">
        <f t="shared" si="1"/>
        <v/>
      </c>
    </row>
    <row r="772">
      <c r="A772" s="93" t="str">
        <f t="shared" si="2"/>
        <v>#15969</v>
      </c>
      <c r="B772" s="93" t="str">
        <f>IF(COUNTIF(MAIN!B:B, A772)=0, "Missing", "")</f>
        <v/>
      </c>
      <c r="E772" s="128" t="str">
        <f t="shared" si="1"/>
        <v/>
      </c>
    </row>
    <row r="773">
      <c r="A773" s="93" t="str">
        <f t="shared" si="2"/>
        <v>#15970</v>
      </c>
      <c r="B773" s="93" t="str">
        <f>IF(COUNTIF(MAIN!B:B, A773)=0, "Missing", "")</f>
        <v/>
      </c>
      <c r="E773" s="128" t="str">
        <f t="shared" si="1"/>
        <v/>
      </c>
    </row>
    <row r="774">
      <c r="A774" s="93" t="str">
        <f t="shared" si="2"/>
        <v>#15971</v>
      </c>
      <c r="B774" s="93" t="str">
        <f>IF(COUNTIF(MAIN!B:B, A774)=0, "Missing", "")</f>
        <v/>
      </c>
      <c r="E774" s="128" t="str">
        <f t="shared" si="1"/>
        <v/>
      </c>
    </row>
    <row r="775">
      <c r="A775" s="93" t="str">
        <f t="shared" si="2"/>
        <v>#15972</v>
      </c>
      <c r="B775" s="93" t="str">
        <f>IF(COUNTIF(MAIN!B:B, A775)=0, "Missing", "")</f>
        <v/>
      </c>
      <c r="E775" s="128" t="str">
        <f t="shared" si="1"/>
        <v/>
      </c>
    </row>
    <row r="776">
      <c r="A776" s="93" t="str">
        <f t="shared" si="2"/>
        <v>#15973</v>
      </c>
      <c r="B776" s="93" t="str">
        <f>IF(COUNTIF(MAIN!B:B, A776)=0, "Missing", "")</f>
        <v/>
      </c>
      <c r="E776" s="128" t="str">
        <f t="shared" si="1"/>
        <v/>
      </c>
    </row>
    <row r="777">
      <c r="A777" s="93" t="str">
        <f t="shared" si="2"/>
        <v>#15974</v>
      </c>
      <c r="B777" s="93" t="str">
        <f>IF(COUNTIF(MAIN!B:B, A777)=0, "Missing", "")</f>
        <v/>
      </c>
      <c r="E777" s="128" t="str">
        <f t="shared" si="1"/>
        <v/>
      </c>
    </row>
    <row r="778">
      <c r="A778" s="93" t="str">
        <f t="shared" si="2"/>
        <v>#15975</v>
      </c>
      <c r="B778" s="93" t="str">
        <f>IF(COUNTIF(MAIN!B:B, A778)=0, "Missing", "")</f>
        <v/>
      </c>
      <c r="E778" s="128" t="str">
        <f t="shared" si="1"/>
        <v/>
      </c>
    </row>
    <row r="779">
      <c r="A779" s="93" t="str">
        <f t="shared" si="2"/>
        <v>#15976</v>
      </c>
      <c r="B779" s="93" t="str">
        <f>IF(COUNTIF(MAIN!B:B, A779)=0, "Missing", "")</f>
        <v/>
      </c>
      <c r="E779" s="128" t="str">
        <f t="shared" si="1"/>
        <v/>
      </c>
    </row>
    <row r="780">
      <c r="A780" s="93" t="str">
        <f t="shared" si="2"/>
        <v>#15977</v>
      </c>
      <c r="B780" s="93" t="str">
        <f>IF(COUNTIF(MAIN!B:B, A780)=0, "Missing", "")</f>
        <v/>
      </c>
      <c r="E780" s="128" t="str">
        <f t="shared" si="1"/>
        <v/>
      </c>
    </row>
    <row r="781">
      <c r="A781" s="93" t="str">
        <f t="shared" si="2"/>
        <v>#15978</v>
      </c>
      <c r="B781" s="93" t="str">
        <f>IF(COUNTIF(MAIN!B:B, A781)=0, "Missing", "")</f>
        <v/>
      </c>
      <c r="E781" s="128" t="str">
        <f t="shared" si="1"/>
        <v/>
      </c>
    </row>
    <row r="782">
      <c r="A782" s="93" t="str">
        <f t="shared" si="2"/>
        <v>#15979</v>
      </c>
      <c r="B782" s="93" t="str">
        <f>IF(COUNTIF(MAIN!B:B, A782)=0, "Missing", "")</f>
        <v/>
      </c>
      <c r="E782" s="128" t="str">
        <f t="shared" si="1"/>
        <v/>
      </c>
    </row>
    <row r="783">
      <c r="A783" s="93" t="str">
        <f t="shared" si="2"/>
        <v>#15980</v>
      </c>
      <c r="B783" s="93" t="str">
        <f>IF(COUNTIF(MAIN!B:B, A783)=0, "Missing", "")</f>
        <v/>
      </c>
      <c r="E783" s="128" t="str">
        <f t="shared" si="1"/>
        <v/>
      </c>
    </row>
    <row r="784">
      <c r="A784" s="93" t="str">
        <f t="shared" si="2"/>
        <v>#15981</v>
      </c>
      <c r="B784" s="93" t="str">
        <f>IF(COUNTIF(MAIN!B:B, A784)=0, "Missing", "")</f>
        <v/>
      </c>
      <c r="E784" s="128" t="str">
        <f t="shared" si="1"/>
        <v/>
      </c>
    </row>
    <row r="785">
      <c r="A785" s="93" t="str">
        <f t="shared" si="2"/>
        <v>#15982</v>
      </c>
      <c r="B785" s="93" t="str">
        <f>IF(COUNTIF(MAIN!B:B, A785)=0, "Missing", "")</f>
        <v/>
      </c>
      <c r="E785" s="128" t="str">
        <f t="shared" si="1"/>
        <v/>
      </c>
    </row>
    <row r="786">
      <c r="A786" s="93" t="str">
        <f t="shared" si="2"/>
        <v>#15983</v>
      </c>
      <c r="B786" s="93" t="str">
        <f>IF(COUNTIF(MAIN!B:B, A786)=0, "Missing", "")</f>
        <v/>
      </c>
      <c r="E786" s="128" t="str">
        <f t="shared" si="1"/>
        <v/>
      </c>
    </row>
    <row r="787">
      <c r="A787" s="93" t="str">
        <f t="shared" si="2"/>
        <v>#15984</v>
      </c>
      <c r="B787" s="93" t="str">
        <f>IF(COUNTIF(MAIN!B:B, A787)=0, "Missing", "")</f>
        <v/>
      </c>
      <c r="E787" s="128" t="str">
        <f t="shared" si="1"/>
        <v/>
      </c>
    </row>
    <row r="788">
      <c r="A788" s="93" t="str">
        <f t="shared" si="2"/>
        <v>#15985</v>
      </c>
      <c r="B788" s="93" t="str">
        <f>IF(COUNTIF(MAIN!B:B, A788)=0, "Missing", "")</f>
        <v/>
      </c>
      <c r="E788" s="128" t="str">
        <f t="shared" si="1"/>
        <v/>
      </c>
    </row>
    <row r="789">
      <c r="A789" s="93" t="str">
        <f t="shared" si="2"/>
        <v>#15986</v>
      </c>
      <c r="B789" s="93" t="str">
        <f>IF(COUNTIF(MAIN!B:B, A789)=0, "Missing", "")</f>
        <v/>
      </c>
      <c r="E789" s="128" t="str">
        <f t="shared" si="1"/>
        <v/>
      </c>
    </row>
    <row r="790">
      <c r="A790" s="93" t="str">
        <f t="shared" si="2"/>
        <v>#15987</v>
      </c>
      <c r="B790" s="93" t="str">
        <f>IF(COUNTIF(MAIN!B:B, A790)=0, "Missing", "")</f>
        <v/>
      </c>
      <c r="E790" s="128" t="str">
        <f t="shared" si="1"/>
        <v/>
      </c>
    </row>
    <row r="791">
      <c r="A791" s="93" t="str">
        <f t="shared" si="2"/>
        <v>#15988</v>
      </c>
      <c r="B791" s="93" t="str">
        <f>IF(COUNTIF(MAIN!B:B, A791)=0, "Missing", "")</f>
        <v/>
      </c>
      <c r="E791" s="128" t="str">
        <f t="shared" si="1"/>
        <v/>
      </c>
    </row>
    <row r="792">
      <c r="A792" s="93" t="str">
        <f t="shared" si="2"/>
        <v>#15989</v>
      </c>
      <c r="B792" s="93" t="str">
        <f>IF(COUNTIF(MAIN!B:B, A792)=0, "Missing", "")</f>
        <v/>
      </c>
      <c r="E792" s="128" t="str">
        <f t="shared" si="1"/>
        <v/>
      </c>
    </row>
    <row r="793">
      <c r="A793" s="93" t="str">
        <f t="shared" si="2"/>
        <v>#15990</v>
      </c>
      <c r="B793" s="93" t="str">
        <f>IF(COUNTIF(MAIN!B:B, A793)=0, "Missing", "")</f>
        <v/>
      </c>
      <c r="E793" s="128" t="str">
        <f t="shared" si="1"/>
        <v/>
      </c>
    </row>
    <row r="794">
      <c r="A794" s="93" t="str">
        <f t="shared" si="2"/>
        <v>#15991</v>
      </c>
      <c r="B794" s="93" t="str">
        <f>IF(COUNTIF(MAIN!B:B, A794)=0, "Missing", "")</f>
        <v/>
      </c>
      <c r="E794" s="128" t="str">
        <f t="shared" si="1"/>
        <v/>
      </c>
    </row>
    <row r="795">
      <c r="A795" s="93" t="str">
        <f t="shared" si="2"/>
        <v>#15992</v>
      </c>
      <c r="B795" s="93" t="str">
        <f>IF(COUNTIF(MAIN!B:B, A795)=0, "Missing", "")</f>
        <v/>
      </c>
      <c r="E795" s="128" t="str">
        <f t="shared" si="1"/>
        <v/>
      </c>
    </row>
    <row r="796">
      <c r="A796" s="93" t="str">
        <f t="shared" si="2"/>
        <v>#15993</v>
      </c>
      <c r="B796" s="93" t="str">
        <f>IF(COUNTIF(MAIN!B:B, A796)=0, "Missing", "")</f>
        <v/>
      </c>
      <c r="E796" s="128" t="str">
        <f t="shared" si="1"/>
        <v/>
      </c>
    </row>
    <row r="797">
      <c r="A797" s="93" t="str">
        <f t="shared" si="2"/>
        <v>#15994</v>
      </c>
      <c r="B797" s="93" t="str">
        <f>IF(COUNTIF(MAIN!B:B, A797)=0, "Missing", "")</f>
        <v/>
      </c>
      <c r="E797" s="128" t="str">
        <f t="shared" si="1"/>
        <v/>
      </c>
    </row>
    <row r="798">
      <c r="A798" s="93" t="str">
        <f t="shared" si="2"/>
        <v>#15995</v>
      </c>
      <c r="B798" s="93" t="str">
        <f>IF(COUNTIF(MAIN!B:B, A798)=0, "Missing", "")</f>
        <v/>
      </c>
      <c r="E798" s="128" t="str">
        <f t="shared" si="1"/>
        <v/>
      </c>
    </row>
    <row r="799">
      <c r="A799" s="93" t="str">
        <f t="shared" si="2"/>
        <v>#15996</v>
      </c>
      <c r="B799" s="93" t="str">
        <f>IF(COUNTIF(MAIN!B:B, A799)=0, "Missing", "")</f>
        <v/>
      </c>
      <c r="E799" s="128" t="str">
        <f t="shared" si="1"/>
        <v/>
      </c>
    </row>
    <row r="800">
      <c r="A800" s="93" t="str">
        <f t="shared" si="2"/>
        <v>#15997</v>
      </c>
      <c r="B800" s="93" t="str">
        <f>IF(COUNTIF(MAIN!B:B, A800)=0, "Missing", "")</f>
        <v/>
      </c>
      <c r="E800" s="128" t="str">
        <f t="shared" si="1"/>
        <v/>
      </c>
    </row>
    <row r="801">
      <c r="A801" s="93" t="str">
        <f t="shared" si="2"/>
        <v>#15998</v>
      </c>
      <c r="B801" s="93" t="str">
        <f>IF(COUNTIF(MAIN!B:B, A801)=0, "Missing", "")</f>
        <v/>
      </c>
      <c r="E801" s="128" t="str">
        <f t="shared" si="1"/>
        <v/>
      </c>
    </row>
    <row r="802">
      <c r="A802" s="93" t="str">
        <f t="shared" si="2"/>
        <v>#15999</v>
      </c>
      <c r="B802" s="93" t="str">
        <f>IF(COUNTIF(MAIN!B:B, A802)=0, "Missing", "")</f>
        <v/>
      </c>
      <c r="E802" s="128" t="str">
        <f t="shared" si="1"/>
        <v/>
      </c>
    </row>
    <row r="803">
      <c r="A803" s="93" t="str">
        <f t="shared" si="2"/>
        <v>#16000</v>
      </c>
      <c r="B803" s="93" t="str">
        <f>IF(COUNTIF(MAIN!B:B, A803)=0, "Missing", "")</f>
        <v/>
      </c>
      <c r="E803" s="128" t="str">
        <f t="shared" si="1"/>
        <v/>
      </c>
    </row>
    <row r="804">
      <c r="A804" s="93" t="str">
        <f t="shared" si="2"/>
        <v>#16001</v>
      </c>
      <c r="B804" s="93" t="str">
        <f>IF(COUNTIF(MAIN!B:B, A804)=0, "Missing", "")</f>
        <v/>
      </c>
      <c r="E804" s="128" t="str">
        <f t="shared" si="1"/>
        <v/>
      </c>
    </row>
    <row r="805">
      <c r="A805" s="93" t="str">
        <f t="shared" si="2"/>
        <v>#16002</v>
      </c>
      <c r="B805" s="93" t="str">
        <f>IF(COUNTIF(MAIN!B:B, A805)=0, "Missing", "")</f>
        <v/>
      </c>
      <c r="E805" s="128" t="str">
        <f t="shared" si="1"/>
        <v/>
      </c>
    </row>
    <row r="806">
      <c r="A806" s="93" t="str">
        <f t="shared" si="2"/>
        <v>#16003</v>
      </c>
      <c r="B806" s="93" t="str">
        <f>IF(COUNTIF(MAIN!B:B, A806)=0, "Missing", "")</f>
        <v/>
      </c>
      <c r="E806" s="128" t="str">
        <f t="shared" si="1"/>
        <v/>
      </c>
    </row>
    <row r="807">
      <c r="A807" s="93" t="str">
        <f t="shared" si="2"/>
        <v>#16004</v>
      </c>
      <c r="B807" s="93" t="str">
        <f>IF(COUNTIF(MAIN!B:B, A807)=0, "Missing", "")</f>
        <v/>
      </c>
      <c r="E807" s="128" t="str">
        <f t="shared" si="1"/>
        <v/>
      </c>
    </row>
    <row r="808">
      <c r="A808" s="93" t="str">
        <f t="shared" si="2"/>
        <v>#16005</v>
      </c>
      <c r="B808" s="93" t="str">
        <f>IF(COUNTIF(MAIN!B:B, A808)=0, "Missing", "")</f>
        <v/>
      </c>
      <c r="E808" s="128" t="str">
        <f t="shared" si="1"/>
        <v/>
      </c>
    </row>
    <row r="809">
      <c r="A809" s="93" t="str">
        <f t="shared" si="2"/>
        <v>#16006</v>
      </c>
      <c r="B809" s="93" t="str">
        <f>IF(COUNTIF(MAIN!B:B, A809)=0, "Missing", "")</f>
        <v/>
      </c>
      <c r="E809" s="128" t="str">
        <f t="shared" si="1"/>
        <v/>
      </c>
    </row>
    <row r="810">
      <c r="A810" s="93" t="str">
        <f t="shared" si="2"/>
        <v>#16007</v>
      </c>
      <c r="B810" s="93" t="str">
        <f>IF(COUNTIF(MAIN!B:B, A810)=0, "Missing", "")</f>
        <v/>
      </c>
      <c r="E810" s="128" t="str">
        <f t="shared" si="1"/>
        <v/>
      </c>
    </row>
    <row r="811">
      <c r="A811" s="93" t="str">
        <f t="shared" si="2"/>
        <v>#16008</v>
      </c>
      <c r="B811" s="93" t="str">
        <f>IF(COUNTIF(MAIN!B:B, A811)=0, "Missing", "")</f>
        <v/>
      </c>
      <c r="E811" s="128" t="str">
        <f t="shared" si="1"/>
        <v/>
      </c>
    </row>
    <row r="812">
      <c r="A812" s="93" t="str">
        <f t="shared" si="2"/>
        <v>#16009</v>
      </c>
      <c r="B812" s="93" t="str">
        <f>IF(COUNTIF(MAIN!B:B, A812)=0, "Missing", "")</f>
        <v/>
      </c>
      <c r="E812" s="128" t="str">
        <f t="shared" si="1"/>
        <v/>
      </c>
    </row>
    <row r="813">
      <c r="A813" s="93" t="str">
        <f t="shared" si="2"/>
        <v>#16010</v>
      </c>
      <c r="B813" s="93" t="str">
        <f>IF(COUNTIF(MAIN!B:B, A813)=0, "Missing", "")</f>
        <v/>
      </c>
      <c r="E813" s="128" t="str">
        <f t="shared" si="1"/>
        <v/>
      </c>
    </row>
    <row r="814">
      <c r="A814" s="93" t="str">
        <f t="shared" si="2"/>
        <v>#16011</v>
      </c>
      <c r="B814" s="93" t="str">
        <f>IF(COUNTIF(MAIN!B:B, A814)=0, "Missing", "")</f>
        <v/>
      </c>
      <c r="E814" s="128" t="str">
        <f t="shared" si="1"/>
        <v/>
      </c>
    </row>
    <row r="815">
      <c r="A815" s="93" t="str">
        <f t="shared" si="2"/>
        <v>#16012</v>
      </c>
      <c r="B815" s="93" t="str">
        <f>IF(COUNTIF(MAIN!B:B, A815)=0, "Missing", "")</f>
        <v/>
      </c>
      <c r="E815" s="128" t="str">
        <f t="shared" si="1"/>
        <v/>
      </c>
    </row>
    <row r="816">
      <c r="A816" s="93" t="str">
        <f t="shared" si="2"/>
        <v>#16013</v>
      </c>
      <c r="B816" s="93" t="str">
        <f>IF(COUNTIF(MAIN!B:B, A816)=0, "Missing", "")</f>
        <v/>
      </c>
      <c r="E816" s="128" t="str">
        <f t="shared" si="1"/>
        <v/>
      </c>
    </row>
    <row r="817">
      <c r="A817" s="93" t="str">
        <f t="shared" si="2"/>
        <v>#16014</v>
      </c>
      <c r="B817" s="93" t="str">
        <f>IF(COUNTIF(MAIN!B:B, A817)=0, "Missing", "")</f>
        <v/>
      </c>
      <c r="E817" s="128" t="str">
        <f t="shared" si="1"/>
        <v/>
      </c>
    </row>
    <row r="818">
      <c r="A818" s="93" t="str">
        <f t="shared" si="2"/>
        <v>#16015</v>
      </c>
      <c r="B818" s="93" t="str">
        <f>IF(COUNTIF(MAIN!B:B, A818)=0, "Missing", "")</f>
        <v/>
      </c>
      <c r="E818" s="128" t="str">
        <f t="shared" si="1"/>
        <v/>
      </c>
    </row>
    <row r="819">
      <c r="A819" s="93" t="str">
        <f t="shared" si="2"/>
        <v>#16016</v>
      </c>
      <c r="B819" s="93" t="str">
        <f>IF(COUNTIF(MAIN!B:B, A819)=0, "Missing", "")</f>
        <v/>
      </c>
      <c r="E819" s="128" t="str">
        <f t="shared" si="1"/>
        <v/>
      </c>
    </row>
    <row r="820">
      <c r="A820" s="93" t="str">
        <f t="shared" si="2"/>
        <v>#16017</v>
      </c>
      <c r="B820" s="93" t="str">
        <f>IF(COUNTIF(MAIN!B:B, A820)=0, "Missing", "")</f>
        <v/>
      </c>
      <c r="E820" s="128" t="str">
        <f t="shared" si="1"/>
        <v/>
      </c>
    </row>
    <row r="821">
      <c r="A821" s="93" t="str">
        <f t="shared" si="2"/>
        <v>#16018</v>
      </c>
      <c r="B821" s="93" t="str">
        <f>IF(COUNTIF(MAIN!B:B, A821)=0, "Missing", "")</f>
        <v/>
      </c>
      <c r="E821" s="128" t="str">
        <f t="shared" si="1"/>
        <v/>
      </c>
    </row>
    <row r="822">
      <c r="A822" s="93" t="str">
        <f t="shared" si="2"/>
        <v>#16019</v>
      </c>
      <c r="B822" s="93" t="str">
        <f>IF(COUNTIF(MAIN!B:B, A822)=0, "Missing", "")</f>
        <v/>
      </c>
      <c r="E822" s="128" t="str">
        <f t="shared" si="1"/>
        <v/>
      </c>
    </row>
    <row r="823">
      <c r="A823" s="93" t="str">
        <f t="shared" si="2"/>
        <v>#16020</v>
      </c>
      <c r="B823" s="93" t="str">
        <f>IF(COUNTIF(MAIN!B:B, A823)=0, "Missing", "")</f>
        <v/>
      </c>
      <c r="E823" s="128" t="str">
        <f t="shared" si="1"/>
        <v/>
      </c>
    </row>
    <row r="824">
      <c r="A824" s="93" t="str">
        <f t="shared" si="2"/>
        <v>#16021</v>
      </c>
      <c r="B824" s="93" t="str">
        <f>IF(COUNTIF(MAIN!B:B, A824)=0, "Missing", "")</f>
        <v/>
      </c>
      <c r="E824" s="128" t="str">
        <f t="shared" si="1"/>
        <v/>
      </c>
    </row>
    <row r="825">
      <c r="A825" s="93" t="str">
        <f t="shared" si="2"/>
        <v>#16022</v>
      </c>
      <c r="B825" s="93" t="str">
        <f>IF(COUNTIF(MAIN!B:B, A825)=0, "Missing", "")</f>
        <v/>
      </c>
      <c r="E825" s="128" t="str">
        <f t="shared" si="1"/>
        <v/>
      </c>
    </row>
    <row r="826">
      <c r="A826" s="93" t="str">
        <f t="shared" si="2"/>
        <v>#16023</v>
      </c>
      <c r="B826" s="93" t="str">
        <f>IF(COUNTIF(MAIN!B:B, A826)=0, "Missing", "")</f>
        <v/>
      </c>
      <c r="E826" s="128" t="str">
        <f t="shared" si="1"/>
        <v/>
      </c>
    </row>
    <row r="827">
      <c r="A827" s="93" t="str">
        <f t="shared" si="2"/>
        <v>#16024</v>
      </c>
      <c r="B827" s="93" t="str">
        <f>IF(COUNTIF(MAIN!B:B, A827)=0, "Missing", "")</f>
        <v/>
      </c>
      <c r="E827" s="128" t="str">
        <f t="shared" si="1"/>
        <v/>
      </c>
    </row>
    <row r="828">
      <c r="A828" s="93" t="str">
        <f t="shared" si="2"/>
        <v>#16025</v>
      </c>
      <c r="B828" s="93" t="str">
        <f>IF(COUNTIF(MAIN!B:B, A828)=0, "Missing", "")</f>
        <v/>
      </c>
      <c r="E828" s="128" t="str">
        <f t="shared" si="1"/>
        <v/>
      </c>
    </row>
    <row r="829">
      <c r="A829" s="93" t="str">
        <f t="shared" si="2"/>
        <v>#16026</v>
      </c>
      <c r="B829" s="93" t="str">
        <f>IF(COUNTIF(MAIN!B:B, A829)=0, "Missing", "")</f>
        <v/>
      </c>
      <c r="E829" s="128" t="str">
        <f t="shared" si="1"/>
        <v/>
      </c>
    </row>
    <row r="830">
      <c r="A830" s="93" t="str">
        <f t="shared" si="2"/>
        <v>#16027</v>
      </c>
      <c r="B830" s="93" t="str">
        <f>IF(COUNTIF(MAIN!B:B, A830)=0, "Missing", "")</f>
        <v/>
      </c>
      <c r="E830" s="128" t="str">
        <f t="shared" si="1"/>
        <v/>
      </c>
    </row>
    <row r="831">
      <c r="A831" s="93" t="str">
        <f t="shared" si="2"/>
        <v>#16028</v>
      </c>
      <c r="B831" s="93" t="str">
        <f>IF(COUNTIF(MAIN!B:B, A831)=0, "Missing", "")</f>
        <v/>
      </c>
      <c r="E831" s="128" t="str">
        <f t="shared" si="1"/>
        <v/>
      </c>
    </row>
    <row r="832">
      <c r="A832" s="93" t="str">
        <f t="shared" si="2"/>
        <v>#16029</v>
      </c>
      <c r="B832" s="93" t="str">
        <f>IF(COUNTIF(MAIN!B:B, A832)=0, "Missing", "")</f>
        <v/>
      </c>
      <c r="E832" s="128" t="str">
        <f t="shared" si="1"/>
        <v/>
      </c>
    </row>
    <row r="833">
      <c r="A833" s="93" t="str">
        <f t="shared" si="2"/>
        <v>#16030</v>
      </c>
      <c r="B833" s="93" t="str">
        <f>IF(COUNTIF(MAIN!B:B, A833)=0, "Missing", "")</f>
        <v/>
      </c>
      <c r="E833" s="128" t="str">
        <f t="shared" si="1"/>
        <v/>
      </c>
    </row>
    <row r="834">
      <c r="A834" s="93" t="str">
        <f t="shared" si="2"/>
        <v>#16031</v>
      </c>
      <c r="B834" s="93" t="str">
        <f>IF(COUNTIF(MAIN!B:B, A834)=0, "Missing", "")</f>
        <v/>
      </c>
      <c r="E834" s="128" t="str">
        <f t="shared" si="1"/>
        <v/>
      </c>
    </row>
    <row r="835">
      <c r="A835" s="93" t="str">
        <f t="shared" si="2"/>
        <v>#16032</v>
      </c>
      <c r="B835" s="93" t="str">
        <f>IF(COUNTIF(MAIN!B:B, A835)=0, "Missing", "")</f>
        <v/>
      </c>
      <c r="E835" s="128" t="str">
        <f t="shared" si="1"/>
        <v/>
      </c>
    </row>
    <row r="836">
      <c r="A836" s="93" t="str">
        <f t="shared" si="2"/>
        <v>#16033</v>
      </c>
      <c r="B836" s="93" t="str">
        <f>IF(COUNTIF(MAIN!B:B, A836)=0, "Missing", "")</f>
        <v/>
      </c>
      <c r="E836" s="128" t="str">
        <f t="shared" si="1"/>
        <v/>
      </c>
    </row>
    <row r="837">
      <c r="A837" s="93" t="str">
        <f t="shared" si="2"/>
        <v>#16034</v>
      </c>
      <c r="B837" s="93" t="str">
        <f>IF(COUNTIF(MAIN!B:B, A837)=0, "Missing", "")</f>
        <v/>
      </c>
      <c r="E837" s="128" t="str">
        <f t="shared" si="1"/>
        <v/>
      </c>
    </row>
    <row r="838">
      <c r="A838" s="93" t="str">
        <f t="shared" si="2"/>
        <v>#16035</v>
      </c>
      <c r="B838" s="93" t="str">
        <f>IF(COUNTIF(MAIN!B:B, A838)=0, "Missing", "")</f>
        <v/>
      </c>
      <c r="E838" s="128" t="str">
        <f t="shared" si="1"/>
        <v/>
      </c>
    </row>
    <row r="839">
      <c r="A839" s="93" t="str">
        <f t="shared" si="2"/>
        <v>#16036</v>
      </c>
      <c r="B839" s="93" t="str">
        <f>IF(COUNTIF(MAIN!B:B, A839)=0, "Missing", "")</f>
        <v/>
      </c>
      <c r="E839" s="128" t="str">
        <f t="shared" si="1"/>
        <v/>
      </c>
    </row>
    <row r="840">
      <c r="A840" s="93" t="str">
        <f t="shared" si="2"/>
        <v>#16037</v>
      </c>
      <c r="B840" s="93" t="str">
        <f>IF(COUNTIF(MAIN!B:B, A840)=0, "Missing", "")</f>
        <v/>
      </c>
      <c r="E840" s="128" t="str">
        <f t="shared" si="1"/>
        <v/>
      </c>
    </row>
    <row r="841">
      <c r="A841" s="93" t="str">
        <f t="shared" si="2"/>
        <v>#16038</v>
      </c>
      <c r="B841" s="93" t="str">
        <f>IF(COUNTIF(MAIN!B:B, A841)=0, "Missing", "")</f>
        <v/>
      </c>
      <c r="E841" s="128" t="str">
        <f t="shared" si="1"/>
        <v/>
      </c>
    </row>
    <row r="842">
      <c r="A842" s="93" t="str">
        <f t="shared" si="2"/>
        <v>#16039</v>
      </c>
      <c r="B842" s="93" t="str">
        <f>IF(COUNTIF(MAIN!B:B, A842)=0, "Missing", "")</f>
        <v/>
      </c>
      <c r="E842" s="128" t="str">
        <f t="shared" si="1"/>
        <v/>
      </c>
    </row>
    <row r="843">
      <c r="A843" s="93" t="str">
        <f t="shared" si="2"/>
        <v>#16040</v>
      </c>
      <c r="B843" s="93" t="str">
        <f>IF(COUNTIF(MAIN!B:B, A843)=0, "Missing", "")</f>
        <v/>
      </c>
      <c r="E843" s="128" t="str">
        <f t="shared" si="1"/>
        <v/>
      </c>
    </row>
    <row r="844">
      <c r="A844" s="93" t="str">
        <f t="shared" si="2"/>
        <v>#16041</v>
      </c>
      <c r="B844" s="93" t="str">
        <f>IF(COUNTIF(MAIN!B:B, A844)=0, "Missing", "")</f>
        <v/>
      </c>
      <c r="E844" s="128" t="str">
        <f t="shared" si="1"/>
        <v/>
      </c>
    </row>
    <row r="845">
      <c r="A845" s="93" t="str">
        <f t="shared" si="2"/>
        <v>#16042</v>
      </c>
      <c r="B845" s="93" t="str">
        <f>IF(COUNTIF(MAIN!B:B, A845)=0, "Missing", "")</f>
        <v/>
      </c>
      <c r="E845" s="128" t="str">
        <f t="shared" si="1"/>
        <v/>
      </c>
    </row>
    <row r="846">
      <c r="A846" s="93" t="str">
        <f t="shared" si="2"/>
        <v>#16043</v>
      </c>
      <c r="B846" s="93" t="str">
        <f>IF(COUNTIF(MAIN!B:B, A846)=0, "Missing", "")</f>
        <v/>
      </c>
      <c r="E846" s="128" t="str">
        <f t="shared" si="1"/>
        <v/>
      </c>
    </row>
    <row r="847">
      <c r="A847" s="93" t="str">
        <f t="shared" si="2"/>
        <v>#16044</v>
      </c>
      <c r="B847" s="93" t="str">
        <f>IF(COUNTIF(MAIN!B:B, A847)=0, "Missing", "")</f>
        <v/>
      </c>
      <c r="E847" s="128" t="str">
        <f t="shared" si="1"/>
        <v/>
      </c>
    </row>
    <row r="848">
      <c r="A848" s="93" t="str">
        <f t="shared" si="2"/>
        <v>#16045</v>
      </c>
      <c r="B848" s="93" t="str">
        <f>IF(COUNTIF(MAIN!B:B, A848)=0, "Missing", "")</f>
        <v/>
      </c>
      <c r="E848" s="128" t="str">
        <f t="shared" si="1"/>
        <v/>
      </c>
    </row>
    <row r="849">
      <c r="A849" s="93" t="str">
        <f t="shared" si="2"/>
        <v>#16046</v>
      </c>
      <c r="B849" s="93" t="str">
        <f>IF(COUNTIF(MAIN!B:B, A849)=0, "Missing", "")</f>
        <v/>
      </c>
      <c r="E849" s="128" t="str">
        <f t="shared" si="1"/>
        <v/>
      </c>
    </row>
    <row r="850">
      <c r="A850" s="93" t="str">
        <f t="shared" si="2"/>
        <v>#16047</v>
      </c>
      <c r="B850" s="93" t="str">
        <f>IF(COUNTIF(MAIN!B:B, A850)=0, "Missing", "")</f>
        <v/>
      </c>
      <c r="E850" s="128" t="str">
        <f t="shared" si="1"/>
        <v/>
      </c>
    </row>
    <row r="851">
      <c r="A851" s="93" t="str">
        <f t="shared" si="2"/>
        <v>#16048</v>
      </c>
      <c r="B851" s="93" t="str">
        <f>IF(COUNTIF(MAIN!B:B, A851)=0, "Missing", "")</f>
        <v/>
      </c>
      <c r="E851" s="128" t="str">
        <f t="shared" si="1"/>
        <v/>
      </c>
    </row>
    <row r="852">
      <c r="A852" s="93" t="str">
        <f t="shared" si="2"/>
        <v>#16049</v>
      </c>
      <c r="B852" s="93" t="str">
        <f>IF(COUNTIF(MAIN!B:B, A852)=0, "Missing", "")</f>
        <v/>
      </c>
      <c r="E852" s="128" t="str">
        <f t="shared" si="1"/>
        <v/>
      </c>
    </row>
    <row r="853">
      <c r="A853" s="93" t="str">
        <f t="shared" si="2"/>
        <v>#16050</v>
      </c>
      <c r="B853" s="93" t="str">
        <f>IF(COUNTIF(MAIN!B:B, A853)=0, "Missing", "")</f>
        <v/>
      </c>
      <c r="E853" s="128" t="str">
        <f t="shared" si="1"/>
        <v/>
      </c>
    </row>
    <row r="854">
      <c r="A854" s="93" t="str">
        <f t="shared" si="2"/>
        <v>#16051</v>
      </c>
      <c r="B854" s="93" t="str">
        <f>IF(COUNTIF(MAIN!B:B, A854)=0, "Missing", "")</f>
        <v/>
      </c>
      <c r="E854" s="128" t="str">
        <f t="shared" si="1"/>
        <v/>
      </c>
    </row>
    <row r="855">
      <c r="A855" s="93" t="str">
        <f t="shared" si="2"/>
        <v>#16052</v>
      </c>
      <c r="B855" s="93" t="str">
        <f>IF(COUNTIF(MAIN!B:B, A855)=0, "Missing", "")</f>
        <v/>
      </c>
      <c r="E855" s="128" t="str">
        <f t="shared" si="1"/>
        <v/>
      </c>
    </row>
    <row r="856">
      <c r="A856" s="93" t="str">
        <f t="shared" si="2"/>
        <v>#16053</v>
      </c>
      <c r="B856" s="93" t="str">
        <f>IF(COUNTIF(MAIN!B:B, A856)=0, "Missing", "")</f>
        <v/>
      </c>
      <c r="E856" s="128" t="str">
        <f t="shared" si="1"/>
        <v/>
      </c>
    </row>
    <row r="857">
      <c r="A857" s="93" t="str">
        <f t="shared" si="2"/>
        <v>#16054</v>
      </c>
      <c r="B857" s="93" t="str">
        <f>IF(COUNTIF(MAIN!B:B, A857)=0, "Missing", "")</f>
        <v/>
      </c>
      <c r="E857" s="128" t="str">
        <f t="shared" si="1"/>
        <v/>
      </c>
    </row>
    <row r="858">
      <c r="A858" s="93" t="str">
        <f t="shared" si="2"/>
        <v>#16055</v>
      </c>
      <c r="B858" s="93" t="str">
        <f>IF(COUNTIF(MAIN!B:B, A858)=0, "Missing", "")</f>
        <v/>
      </c>
      <c r="E858" s="128" t="str">
        <f t="shared" si="1"/>
        <v/>
      </c>
    </row>
    <row r="859">
      <c r="A859" s="93" t="str">
        <f t="shared" si="2"/>
        <v>#16056</v>
      </c>
      <c r="B859" s="93" t="str">
        <f>IF(COUNTIF(MAIN!B:B, A859)=0, "Missing", "")</f>
        <v/>
      </c>
      <c r="E859" s="128" t="str">
        <f t="shared" si="1"/>
        <v/>
      </c>
    </row>
    <row r="860">
      <c r="A860" s="93" t="str">
        <f t="shared" si="2"/>
        <v>#16057</v>
      </c>
      <c r="B860" s="93" t="str">
        <f>IF(COUNTIF(MAIN!B:B, A860)=0, "Missing", "")</f>
        <v/>
      </c>
      <c r="E860" s="128" t="str">
        <f t="shared" si="1"/>
        <v/>
      </c>
    </row>
    <row r="861">
      <c r="A861" s="93" t="str">
        <f t="shared" si="2"/>
        <v>#16058</v>
      </c>
      <c r="B861" s="93" t="str">
        <f>IF(COUNTIF(MAIN!B:B, A861)=0, "Missing", "")</f>
        <v/>
      </c>
      <c r="E861" s="128" t="str">
        <f t="shared" si="1"/>
        <v/>
      </c>
    </row>
    <row r="862">
      <c r="A862" s="93" t="str">
        <f t="shared" si="2"/>
        <v>#16059</v>
      </c>
      <c r="B862" s="93" t="str">
        <f>IF(COUNTIF(MAIN!B:B, A862)=0, "Missing", "")</f>
        <v/>
      </c>
      <c r="E862" s="128" t="str">
        <f t="shared" si="1"/>
        <v/>
      </c>
    </row>
    <row r="863">
      <c r="A863" s="93" t="str">
        <f t="shared" si="2"/>
        <v>#16060</v>
      </c>
      <c r="B863" s="93" t="str">
        <f>IF(COUNTIF(MAIN!B:B, A863)=0, "Missing", "")</f>
        <v/>
      </c>
      <c r="E863" s="128" t="str">
        <f t="shared" si="1"/>
        <v/>
      </c>
    </row>
    <row r="864">
      <c r="A864" s="93" t="str">
        <f t="shared" si="2"/>
        <v>#16061</v>
      </c>
      <c r="B864" s="93" t="str">
        <f>IF(COUNTIF(MAIN!B:B, A864)=0, "Missing", "")</f>
        <v/>
      </c>
      <c r="E864" s="128" t="str">
        <f t="shared" si="1"/>
        <v/>
      </c>
    </row>
    <row r="865">
      <c r="A865" s="93" t="str">
        <f t="shared" si="2"/>
        <v>#16062</v>
      </c>
      <c r="B865" s="93" t="str">
        <f>IF(COUNTIF(MAIN!B:B, A865)=0, "Missing", "")</f>
        <v/>
      </c>
      <c r="E865" s="128" t="str">
        <f t="shared" si="1"/>
        <v/>
      </c>
    </row>
    <row r="866">
      <c r="A866" s="93" t="str">
        <f t="shared" si="2"/>
        <v>#16063</v>
      </c>
      <c r="B866" s="93" t="str">
        <f>IF(COUNTIF(MAIN!B:B, A866)=0, "Missing", "")</f>
        <v/>
      </c>
      <c r="E866" s="128" t="str">
        <f t="shared" si="1"/>
        <v/>
      </c>
    </row>
    <row r="867">
      <c r="A867" s="93" t="str">
        <f t="shared" si="2"/>
        <v>#16064</v>
      </c>
      <c r="B867" s="93" t="str">
        <f>IF(COUNTIF(MAIN!B:B, A867)=0, "Missing", "")</f>
        <v/>
      </c>
      <c r="E867" s="128" t="str">
        <f t="shared" si="1"/>
        <v/>
      </c>
    </row>
    <row r="868">
      <c r="A868" s="93" t="str">
        <f t="shared" si="2"/>
        <v>#16065</v>
      </c>
      <c r="B868" s="93" t="str">
        <f>IF(COUNTIF(MAIN!B:B, A868)=0, "Missing", "")</f>
        <v/>
      </c>
      <c r="E868" s="128" t="str">
        <f t="shared" si="1"/>
        <v/>
      </c>
    </row>
    <row r="869">
      <c r="A869" s="93" t="str">
        <f t="shared" si="2"/>
        <v>#16066</v>
      </c>
      <c r="B869" s="93" t="str">
        <f>IF(COUNTIF(MAIN!B:B, A869)=0, "Missing", "")</f>
        <v/>
      </c>
      <c r="E869" s="128" t="str">
        <f t="shared" si="1"/>
        <v/>
      </c>
    </row>
    <row r="870">
      <c r="A870" s="93" t="str">
        <f t="shared" si="2"/>
        <v>#16067</v>
      </c>
      <c r="B870" s="93" t="str">
        <f>IF(COUNTIF(MAIN!B:B, A870)=0, "Missing", "")</f>
        <v/>
      </c>
      <c r="E870" s="128" t="str">
        <f t="shared" si="1"/>
        <v/>
      </c>
    </row>
    <row r="871">
      <c r="A871" s="93" t="str">
        <f t="shared" si="2"/>
        <v>#16068</v>
      </c>
      <c r="B871" s="93" t="str">
        <f>IF(COUNTIF(MAIN!B:B, A871)=0, "Missing", "")</f>
        <v/>
      </c>
      <c r="E871" s="128" t="str">
        <f t="shared" si="1"/>
        <v/>
      </c>
    </row>
    <row r="872">
      <c r="A872" s="93" t="str">
        <f t="shared" si="2"/>
        <v>#16069</v>
      </c>
      <c r="B872" s="93" t="str">
        <f>IF(COUNTIF(MAIN!B:B, A872)=0, "Missing", "")</f>
        <v/>
      </c>
      <c r="E872" s="128" t="str">
        <f t="shared" si="1"/>
        <v/>
      </c>
    </row>
    <row r="873">
      <c r="A873" s="93" t="str">
        <f t="shared" si="2"/>
        <v>#16070</v>
      </c>
      <c r="B873" s="93" t="str">
        <f>IF(COUNTIF(MAIN!B:B, A873)=0, "Missing", "")</f>
        <v/>
      </c>
      <c r="E873" s="128" t="str">
        <f t="shared" si="1"/>
        <v/>
      </c>
    </row>
    <row r="874">
      <c r="A874" s="93" t="str">
        <f t="shared" si="2"/>
        <v>#16071</v>
      </c>
      <c r="B874" s="93" t="str">
        <f>IF(COUNTIF(MAIN!B:B, A874)=0, "Missing", "")</f>
        <v/>
      </c>
      <c r="E874" s="128" t="str">
        <f t="shared" si="1"/>
        <v/>
      </c>
    </row>
    <row r="875">
      <c r="A875" s="93" t="str">
        <f t="shared" si="2"/>
        <v>#16072</v>
      </c>
      <c r="B875" s="93" t="str">
        <f>IF(COUNTIF(MAIN!B:B, A875)=0, "Missing", "")</f>
        <v/>
      </c>
      <c r="E875" s="128" t="str">
        <f t="shared" si="1"/>
        <v/>
      </c>
    </row>
    <row r="876">
      <c r="A876" s="93" t="str">
        <f t="shared" si="2"/>
        <v>#16073</v>
      </c>
      <c r="B876" s="93" t="str">
        <f>IF(COUNTIF(MAIN!B:B, A876)=0, "Missing", "")</f>
        <v/>
      </c>
      <c r="E876" s="128" t="str">
        <f t="shared" si="1"/>
        <v/>
      </c>
    </row>
    <row r="877">
      <c r="A877" s="93" t="str">
        <f t="shared" si="2"/>
        <v>#16074</v>
      </c>
      <c r="B877" s="93" t="str">
        <f>IF(COUNTIF(MAIN!B:B, A877)=0, "Missing", "")</f>
        <v/>
      </c>
      <c r="E877" s="128" t="str">
        <f t="shared" si="1"/>
        <v/>
      </c>
    </row>
    <row r="878">
      <c r="A878" s="93" t="str">
        <f t="shared" si="2"/>
        <v>#16075</v>
      </c>
      <c r="B878" s="93" t="str">
        <f>IF(COUNTIF(MAIN!B:B, A878)=0, "Missing", "")</f>
        <v/>
      </c>
      <c r="E878" s="128" t="str">
        <f t="shared" si="1"/>
        <v/>
      </c>
    </row>
    <row r="879">
      <c r="A879" s="93" t="str">
        <f t="shared" si="2"/>
        <v>#16076</v>
      </c>
      <c r="B879" s="93" t="str">
        <f>IF(COUNTIF(MAIN!B:B, A879)=0, "Missing", "")</f>
        <v/>
      </c>
      <c r="E879" s="128" t="str">
        <f t="shared" si="1"/>
        <v/>
      </c>
    </row>
    <row r="880">
      <c r="A880" s="93" t="str">
        <f t="shared" si="2"/>
        <v>#16077</v>
      </c>
      <c r="B880" s="93" t="str">
        <f>IF(COUNTIF(MAIN!B:B, A880)=0, "Missing", "")</f>
        <v/>
      </c>
      <c r="E880" s="128" t="str">
        <f t="shared" si="1"/>
        <v/>
      </c>
    </row>
    <row r="881">
      <c r="A881" s="93" t="str">
        <f t="shared" si="2"/>
        <v>#16078</v>
      </c>
      <c r="B881" s="93" t="str">
        <f>IF(COUNTIF(MAIN!B:B, A881)=0, "Missing", "")</f>
        <v/>
      </c>
      <c r="E881" s="128" t="str">
        <f t="shared" si="1"/>
        <v/>
      </c>
    </row>
    <row r="882">
      <c r="A882" s="93" t="str">
        <f t="shared" si="2"/>
        <v>#16079</v>
      </c>
      <c r="B882" s="93" t="str">
        <f>IF(COUNTIF(MAIN!B:B, A882)=0, "Missing", "")</f>
        <v/>
      </c>
      <c r="E882" s="128" t="str">
        <f t="shared" si="1"/>
        <v/>
      </c>
    </row>
    <row r="883">
      <c r="A883" s="93" t="str">
        <f t="shared" si="2"/>
        <v>#16080</v>
      </c>
      <c r="B883" s="93" t="str">
        <f>IF(COUNTIF(MAIN!B:B, A883)=0, "Missing", "")</f>
        <v/>
      </c>
      <c r="E883" s="128" t="str">
        <f t="shared" si="1"/>
        <v/>
      </c>
    </row>
    <row r="884">
      <c r="A884" s="93" t="str">
        <f t="shared" si="2"/>
        <v>#16081</v>
      </c>
      <c r="B884" s="93" t="str">
        <f>IF(COUNTIF(MAIN!B:B, A884)=0, "Missing", "")</f>
        <v/>
      </c>
      <c r="E884" s="128" t="str">
        <f t="shared" si="1"/>
        <v/>
      </c>
    </row>
    <row r="885">
      <c r="A885" s="93" t="str">
        <f t="shared" si="2"/>
        <v>#16082</v>
      </c>
      <c r="B885" s="93" t="str">
        <f>IF(COUNTIF(MAIN!B:B, A885)=0, "Missing", "")</f>
        <v/>
      </c>
      <c r="E885" s="128" t="str">
        <f t="shared" si="1"/>
        <v/>
      </c>
    </row>
    <row r="886">
      <c r="A886" s="93" t="str">
        <f t="shared" si="2"/>
        <v>#16083</v>
      </c>
      <c r="B886" s="93" t="str">
        <f>IF(COUNTIF(MAIN!B:B, A886)=0, "Missing", "")</f>
        <v/>
      </c>
      <c r="E886" s="128" t="str">
        <f t="shared" si="1"/>
        <v/>
      </c>
    </row>
    <row r="887">
      <c r="A887" s="93" t="str">
        <f t="shared" si="2"/>
        <v>#16084</v>
      </c>
      <c r="B887" s="93" t="str">
        <f>IF(COUNTIF(MAIN!B:B, A887)=0, "Missing", "")</f>
        <v/>
      </c>
      <c r="E887" s="128" t="str">
        <f t="shared" si="1"/>
        <v/>
      </c>
    </row>
    <row r="888">
      <c r="A888" s="93" t="str">
        <f t="shared" si="2"/>
        <v>#16085</v>
      </c>
      <c r="B888" s="93" t="str">
        <f>IF(COUNTIF(MAIN!B:B, A888)=0, "Missing", "")</f>
        <v/>
      </c>
      <c r="E888" s="128" t="str">
        <f t="shared" si="1"/>
        <v/>
      </c>
    </row>
    <row r="889">
      <c r="A889" s="93" t="str">
        <f t="shared" si="2"/>
        <v>#16086</v>
      </c>
      <c r="B889" s="93" t="str">
        <f>IF(COUNTIF(MAIN!B:B, A889)=0, "Missing", "")</f>
        <v/>
      </c>
      <c r="E889" s="128" t="str">
        <f t="shared" si="1"/>
        <v/>
      </c>
    </row>
    <row r="890">
      <c r="A890" s="93" t="str">
        <f t="shared" si="2"/>
        <v>#16087</v>
      </c>
      <c r="B890" s="93" t="str">
        <f>IF(COUNTIF(MAIN!B:B, A890)=0, "Missing", "")</f>
        <v/>
      </c>
      <c r="E890" s="128" t="str">
        <f t="shared" si="1"/>
        <v/>
      </c>
    </row>
    <row r="891">
      <c r="A891" s="93" t="str">
        <f t="shared" si="2"/>
        <v>#16088</v>
      </c>
      <c r="B891" s="93" t="str">
        <f>IF(COUNTIF(MAIN!B:B, A891)=0, "Missing", "")</f>
        <v/>
      </c>
      <c r="E891" s="128" t="str">
        <f t="shared" si="1"/>
        <v/>
      </c>
    </row>
    <row r="892">
      <c r="A892" s="93" t="str">
        <f t="shared" si="2"/>
        <v>#16089</v>
      </c>
      <c r="B892" s="93" t="str">
        <f>IF(COUNTIF(MAIN!B:B, A892)=0, "Missing", "")</f>
        <v/>
      </c>
      <c r="E892" s="128" t="str">
        <f t="shared" si="1"/>
        <v/>
      </c>
    </row>
    <row r="893">
      <c r="A893" s="93" t="str">
        <f t="shared" si="2"/>
        <v>#16090</v>
      </c>
      <c r="B893" s="93" t="str">
        <f>IF(COUNTIF(MAIN!B:B, A893)=0, "Missing", "")</f>
        <v/>
      </c>
      <c r="E893" s="128" t="str">
        <f t="shared" si="1"/>
        <v/>
      </c>
    </row>
    <row r="894">
      <c r="A894" s="93" t="str">
        <f t="shared" si="2"/>
        <v>#16091</v>
      </c>
      <c r="B894" s="93" t="str">
        <f>IF(COUNTIF(MAIN!B:B, A894)=0, "Missing", "")</f>
        <v/>
      </c>
      <c r="E894" s="128" t="str">
        <f t="shared" si="1"/>
        <v/>
      </c>
    </row>
    <row r="895">
      <c r="A895" s="93" t="str">
        <f t="shared" si="2"/>
        <v>#16092</v>
      </c>
      <c r="B895" s="93" t="str">
        <f>IF(COUNTIF(MAIN!B:B, A895)=0, "Missing", "")</f>
        <v/>
      </c>
      <c r="E895" s="128" t="str">
        <f t="shared" si="1"/>
        <v/>
      </c>
    </row>
    <row r="896">
      <c r="A896" s="93" t="str">
        <f t="shared" si="2"/>
        <v>#16093</v>
      </c>
      <c r="B896" s="93" t="str">
        <f>IF(COUNTIF(MAIN!B:B, A896)=0, "Missing", "")</f>
        <v/>
      </c>
      <c r="E896" s="128" t="str">
        <f t="shared" si="1"/>
        <v/>
      </c>
    </row>
    <row r="897">
      <c r="A897" s="93" t="str">
        <f t="shared" si="2"/>
        <v>#16094</v>
      </c>
      <c r="B897" s="93" t="str">
        <f>IF(COUNTIF(MAIN!B:B, A897)=0, "Missing", "")</f>
        <v/>
      </c>
      <c r="E897" s="128" t="str">
        <f t="shared" si="1"/>
        <v/>
      </c>
    </row>
    <row r="898">
      <c r="A898" s="93" t="str">
        <f t="shared" si="2"/>
        <v>#16095</v>
      </c>
      <c r="B898" s="93" t="str">
        <f>IF(COUNTIF(MAIN!B:B, A898)=0, "Missing", "")</f>
        <v/>
      </c>
      <c r="E898" s="128" t="str">
        <f t="shared" si="1"/>
        <v/>
      </c>
    </row>
    <row r="899">
      <c r="A899" s="93" t="str">
        <f t="shared" si="2"/>
        <v>#16096</v>
      </c>
      <c r="B899" s="93" t="str">
        <f>IF(COUNTIF(MAIN!B:B, A899)=0, "Missing", "")</f>
        <v/>
      </c>
      <c r="E899" s="128" t="str">
        <f t="shared" si="1"/>
        <v/>
      </c>
    </row>
    <row r="900">
      <c r="A900" s="93" t="str">
        <f t="shared" si="2"/>
        <v>#16097</v>
      </c>
      <c r="B900" s="93" t="str">
        <f>IF(COUNTIF(MAIN!B:B, A900)=0, "Missing", "")</f>
        <v/>
      </c>
      <c r="E900" s="128" t="str">
        <f t="shared" si="1"/>
        <v/>
      </c>
    </row>
    <row r="901">
      <c r="A901" s="93" t="str">
        <f t="shared" si="2"/>
        <v>#16098</v>
      </c>
      <c r="B901" s="93" t="str">
        <f>IF(COUNTIF(MAIN!B:B, A901)=0, "Missing", "")</f>
        <v/>
      </c>
      <c r="E901" s="128" t="str">
        <f t="shared" si="1"/>
        <v/>
      </c>
    </row>
    <row r="902">
      <c r="A902" s="93" t="str">
        <f t="shared" si="2"/>
        <v>#16099</v>
      </c>
      <c r="B902" s="93" t="str">
        <f>IF(COUNTIF(MAIN!B:B, A902)=0, "Missing", "")</f>
        <v/>
      </c>
      <c r="E902" s="128" t="str">
        <f t="shared" si="1"/>
        <v/>
      </c>
    </row>
    <row r="903">
      <c r="A903" s="93" t="str">
        <f t="shared" si="2"/>
        <v>#16100</v>
      </c>
      <c r="B903" s="93" t="str">
        <f>IF(COUNTIF(MAIN!B:B, A903)=0, "Missing", "")</f>
        <v/>
      </c>
      <c r="E903" s="128" t="str">
        <f t="shared" si="1"/>
        <v/>
      </c>
    </row>
    <row r="904">
      <c r="A904" s="93" t="str">
        <f t="shared" si="2"/>
        <v>#16101</v>
      </c>
      <c r="B904" s="93" t="str">
        <f>IF(COUNTIF(MAIN!B:B, A904)=0, "Missing", "")</f>
        <v/>
      </c>
      <c r="E904" s="128" t="str">
        <f t="shared" si="1"/>
        <v/>
      </c>
    </row>
    <row r="905">
      <c r="A905" s="93" t="str">
        <f t="shared" si="2"/>
        <v>#16102</v>
      </c>
      <c r="B905" s="93" t="str">
        <f>IF(COUNTIF(MAIN!B:B, A905)=0, "Missing", "")</f>
        <v/>
      </c>
      <c r="E905" s="128" t="str">
        <f t="shared" si="1"/>
        <v/>
      </c>
    </row>
    <row r="906">
      <c r="A906" s="93" t="str">
        <f t="shared" si="2"/>
        <v>#16103</v>
      </c>
      <c r="B906" s="93" t="str">
        <f>IF(COUNTIF(MAIN!B:B, A906)=0, "Missing", "")</f>
        <v/>
      </c>
      <c r="E906" s="128" t="str">
        <f t="shared" si="1"/>
        <v/>
      </c>
    </row>
    <row r="907">
      <c r="A907" s="93" t="str">
        <f t="shared" si="2"/>
        <v>#16104</v>
      </c>
      <c r="B907" s="93" t="str">
        <f>IF(COUNTIF(MAIN!B:B, A907)=0, "Missing", "")</f>
        <v/>
      </c>
      <c r="E907" s="128" t="str">
        <f t="shared" si="1"/>
        <v/>
      </c>
    </row>
    <row r="908">
      <c r="A908" s="93" t="str">
        <f t="shared" si="2"/>
        <v>#16105</v>
      </c>
      <c r="B908" s="93" t="str">
        <f>IF(COUNTIF(MAIN!B:B, A908)=0, "Missing", "")</f>
        <v/>
      </c>
      <c r="E908" s="128" t="str">
        <f t="shared" si="1"/>
        <v/>
      </c>
    </row>
    <row r="909">
      <c r="A909" s="93" t="str">
        <f t="shared" si="2"/>
        <v>#16106</v>
      </c>
      <c r="B909" s="93" t="str">
        <f>IF(COUNTIF(MAIN!B:B, A909)=0, "Missing", "")</f>
        <v/>
      </c>
      <c r="E909" s="128" t="str">
        <f t="shared" si="1"/>
        <v/>
      </c>
    </row>
    <row r="910">
      <c r="A910" s="93" t="str">
        <f t="shared" si="2"/>
        <v>#16107</v>
      </c>
      <c r="B910" s="93" t="str">
        <f>IF(COUNTIF(MAIN!B:B, A910)=0, "Missing", "")</f>
        <v/>
      </c>
      <c r="E910" s="128" t="str">
        <f t="shared" si="1"/>
        <v/>
      </c>
    </row>
    <row r="911">
      <c r="A911" s="93" t="str">
        <f t="shared" si="2"/>
        <v>#16108</v>
      </c>
      <c r="B911" s="93" t="str">
        <f>IF(COUNTIF(MAIN!B:B, A911)=0, "Missing", "")</f>
        <v/>
      </c>
      <c r="E911" s="128" t="str">
        <f t="shared" si="1"/>
        <v/>
      </c>
    </row>
    <row r="912">
      <c r="A912" s="93" t="str">
        <f t="shared" si="2"/>
        <v>#16109</v>
      </c>
      <c r="B912" s="93" t="str">
        <f>IF(COUNTIF(MAIN!B:B, A912)=0, "Missing", "")</f>
        <v/>
      </c>
      <c r="E912" s="128" t="str">
        <f t="shared" si="1"/>
        <v/>
      </c>
    </row>
    <row r="913">
      <c r="A913" s="93" t="str">
        <f t="shared" si="2"/>
        <v>#16110</v>
      </c>
      <c r="B913" s="93" t="str">
        <f>IF(COUNTIF(MAIN!B:B, A913)=0, "Missing", "")</f>
        <v/>
      </c>
      <c r="E913" s="128" t="str">
        <f t="shared" si="1"/>
        <v/>
      </c>
    </row>
    <row r="914">
      <c r="A914" s="93" t="str">
        <f t="shared" si="2"/>
        <v>#16111</v>
      </c>
      <c r="B914" s="93" t="str">
        <f>IF(COUNTIF(MAIN!B:B, A914)=0, "Missing", "")</f>
        <v/>
      </c>
      <c r="E914" s="128" t="str">
        <f t="shared" si="1"/>
        <v/>
      </c>
    </row>
    <row r="915">
      <c r="A915" s="93" t="str">
        <f t="shared" si="2"/>
        <v>#16112</v>
      </c>
      <c r="B915" s="93" t="str">
        <f>IF(COUNTIF(MAIN!B:B, A915)=0, "Missing", "")</f>
        <v/>
      </c>
      <c r="E915" s="128" t="str">
        <f t="shared" si="1"/>
        <v/>
      </c>
    </row>
    <row r="916">
      <c r="A916" s="93" t="str">
        <f t="shared" si="2"/>
        <v>#16113</v>
      </c>
      <c r="B916" s="93" t="str">
        <f>IF(COUNTIF(MAIN!B:B, A916)=0, "Missing", "")</f>
        <v/>
      </c>
      <c r="E916" s="128" t="str">
        <f t="shared" si="1"/>
        <v/>
      </c>
    </row>
    <row r="917">
      <c r="A917" s="93" t="str">
        <f t="shared" si="2"/>
        <v>#16114</v>
      </c>
      <c r="B917" s="93" t="str">
        <f>IF(COUNTIF(MAIN!B:B, A917)=0, "Missing", "")</f>
        <v/>
      </c>
      <c r="E917" s="128" t="str">
        <f t="shared" si="1"/>
        <v/>
      </c>
    </row>
    <row r="918">
      <c r="A918" s="93" t="str">
        <f t="shared" si="2"/>
        <v>#16115</v>
      </c>
      <c r="B918" s="93" t="str">
        <f>IF(COUNTIF(MAIN!B:B, A918)=0, "Missing", "")</f>
        <v/>
      </c>
      <c r="E918" s="128" t="str">
        <f t="shared" si="1"/>
        <v/>
      </c>
    </row>
    <row r="919">
      <c r="A919" s="93" t="str">
        <f t="shared" si="2"/>
        <v>#16116</v>
      </c>
      <c r="B919" s="93" t="str">
        <f>IF(COUNTIF(MAIN!B:B, A919)=0, "Missing", "")</f>
        <v/>
      </c>
      <c r="E919" s="128" t="str">
        <f t="shared" si="1"/>
        <v/>
      </c>
    </row>
    <row r="920">
      <c r="A920" s="93" t="str">
        <f t="shared" si="2"/>
        <v>#16117</v>
      </c>
      <c r="B920" s="93" t="str">
        <f>IF(COUNTIF(MAIN!B:B, A920)=0, "Missing", "")</f>
        <v/>
      </c>
      <c r="E920" s="128" t="str">
        <f t="shared" si="1"/>
        <v/>
      </c>
    </row>
    <row r="921">
      <c r="A921" s="93" t="str">
        <f t="shared" si="2"/>
        <v>#16118</v>
      </c>
      <c r="B921" s="93" t="str">
        <f>IF(COUNTIF(MAIN!B:B, A921)=0, "Missing", "")</f>
        <v/>
      </c>
      <c r="E921" s="128" t="str">
        <f t="shared" si="1"/>
        <v/>
      </c>
    </row>
    <row r="922">
      <c r="A922" s="93" t="str">
        <f t="shared" si="2"/>
        <v>#16119</v>
      </c>
      <c r="B922" s="93" t="str">
        <f>IF(COUNTIF(MAIN!B:B, A922)=0, "Missing", "")</f>
        <v/>
      </c>
      <c r="E922" s="128" t="str">
        <f t="shared" si="1"/>
        <v/>
      </c>
    </row>
    <row r="923">
      <c r="A923" s="93" t="str">
        <f t="shared" si="2"/>
        <v>#16120</v>
      </c>
      <c r="B923" s="93" t="str">
        <f>IF(COUNTIF(MAIN!B:B, A923)=0, "Missing", "")</f>
        <v/>
      </c>
      <c r="E923" s="128" t="str">
        <f t="shared" si="1"/>
        <v/>
      </c>
    </row>
    <row r="924">
      <c r="A924" s="93" t="str">
        <f t="shared" si="2"/>
        <v>#16121</v>
      </c>
      <c r="B924" s="93" t="str">
        <f>IF(COUNTIF(MAIN!B:B, A924)=0, "Missing", "")</f>
        <v/>
      </c>
      <c r="E924" s="128" t="str">
        <f t="shared" si="1"/>
        <v/>
      </c>
    </row>
    <row r="925">
      <c r="A925" s="93" t="str">
        <f t="shared" si="2"/>
        <v>#16122</v>
      </c>
      <c r="B925" s="93" t="str">
        <f>IF(COUNTIF(MAIN!B:B, A925)=0, "Missing", "")</f>
        <v/>
      </c>
      <c r="E925" s="128" t="str">
        <f t="shared" si="1"/>
        <v/>
      </c>
    </row>
    <row r="926">
      <c r="A926" s="93" t="str">
        <f t="shared" si="2"/>
        <v>#16123</v>
      </c>
      <c r="B926" s="93" t="str">
        <f>IF(COUNTIF(MAIN!B:B, A926)=0, "Missing", "")</f>
        <v/>
      </c>
      <c r="E926" s="128" t="str">
        <f t="shared" si="1"/>
        <v/>
      </c>
    </row>
    <row r="927">
      <c r="A927" s="93" t="str">
        <f t="shared" si="2"/>
        <v>#16124</v>
      </c>
      <c r="B927" s="93" t="str">
        <f>IF(COUNTIF(MAIN!B:B, A927)=0, "Missing", "")</f>
        <v/>
      </c>
      <c r="E927" s="128" t="str">
        <f t="shared" si="1"/>
        <v/>
      </c>
    </row>
    <row r="928">
      <c r="A928" s="93" t="str">
        <f t="shared" si="2"/>
        <v>#16125</v>
      </c>
      <c r="B928" s="93" t="str">
        <f>IF(COUNTIF(MAIN!B:B, A928)=0, "Missing", "")</f>
        <v/>
      </c>
      <c r="E928" s="128" t="str">
        <f t="shared" si="1"/>
        <v/>
      </c>
    </row>
    <row r="929">
      <c r="A929" s="93" t="str">
        <f t="shared" si="2"/>
        <v>#16126</v>
      </c>
      <c r="B929" s="93" t="str">
        <f>IF(COUNTIF(MAIN!B:B, A929)=0, "Missing", "")</f>
        <v/>
      </c>
      <c r="E929" s="128" t="str">
        <f t="shared" si="1"/>
        <v/>
      </c>
    </row>
    <row r="930">
      <c r="A930" s="93" t="str">
        <f t="shared" si="2"/>
        <v>#16127</v>
      </c>
      <c r="B930" s="93" t="str">
        <f>IF(COUNTIF(MAIN!B:B, A930)=0, "Missing", "")</f>
        <v/>
      </c>
      <c r="E930" s="128" t="str">
        <f t="shared" si="1"/>
        <v/>
      </c>
    </row>
    <row r="931">
      <c r="A931" s="93" t="str">
        <f t="shared" si="2"/>
        <v>#16128</v>
      </c>
      <c r="B931" s="93" t="str">
        <f>IF(COUNTIF(MAIN!B:B, A931)=0, "Missing", "")</f>
        <v/>
      </c>
      <c r="E931" s="128" t="str">
        <f t="shared" si="1"/>
        <v/>
      </c>
    </row>
    <row r="932">
      <c r="A932" s="93" t="str">
        <f t="shared" si="2"/>
        <v>#16129</v>
      </c>
      <c r="B932" s="93" t="str">
        <f>IF(COUNTIF(MAIN!B:B, A932)=0, "Missing", "")</f>
        <v>Missing</v>
      </c>
      <c r="C932" s="84" t="s">
        <v>7992</v>
      </c>
      <c r="E932" s="131" t="str">
        <f t="shared" si="1"/>
        <v>https://utrucking.myshopify.com/admin/orders?query=16129</v>
      </c>
    </row>
    <row r="933">
      <c r="A933" s="93" t="str">
        <f t="shared" si="2"/>
        <v>#16130</v>
      </c>
      <c r="B933" s="93" t="str">
        <f>IF(COUNTIF(MAIN!B:B, A933)=0, "Missing", "")</f>
        <v/>
      </c>
      <c r="E933" s="128" t="str">
        <f t="shared" si="1"/>
        <v/>
      </c>
    </row>
    <row r="934">
      <c r="A934" s="93" t="str">
        <f t="shared" si="2"/>
        <v>#16131</v>
      </c>
      <c r="B934" s="93" t="str">
        <f>IF(COUNTIF(MAIN!B:B, A934)=0, "Missing", "")</f>
        <v/>
      </c>
      <c r="E934" s="128" t="str">
        <f t="shared" si="1"/>
        <v/>
      </c>
    </row>
    <row r="935">
      <c r="A935" s="93" t="str">
        <f t="shared" si="2"/>
        <v>#16132</v>
      </c>
      <c r="B935" s="93" t="str">
        <f>IF(COUNTIF(MAIN!B:B, A935)=0, "Missing", "")</f>
        <v/>
      </c>
      <c r="E935" s="128" t="str">
        <f t="shared" si="1"/>
        <v/>
      </c>
    </row>
    <row r="936">
      <c r="A936" s="93" t="str">
        <f t="shared" si="2"/>
        <v>#16133</v>
      </c>
      <c r="B936" s="93" t="str">
        <f>IF(COUNTIF(MAIN!B:B, A936)=0, "Missing", "")</f>
        <v/>
      </c>
      <c r="E936" s="128" t="str">
        <f t="shared" si="1"/>
        <v/>
      </c>
    </row>
    <row r="937">
      <c r="A937" s="93" t="str">
        <f t="shared" si="2"/>
        <v>#16134</v>
      </c>
      <c r="B937" s="93" t="str">
        <f>IF(COUNTIF(MAIN!B:B, A937)=0, "Missing", "")</f>
        <v/>
      </c>
      <c r="E937" s="128" t="str">
        <f t="shared" si="1"/>
        <v/>
      </c>
    </row>
    <row r="938">
      <c r="A938" s="93" t="str">
        <f t="shared" si="2"/>
        <v>#16135</v>
      </c>
      <c r="B938" s="93" t="str">
        <f>IF(COUNTIF(MAIN!B:B, A938)=0, "Missing", "")</f>
        <v/>
      </c>
      <c r="E938" s="128" t="str">
        <f t="shared" si="1"/>
        <v/>
      </c>
    </row>
    <row r="939">
      <c r="A939" s="93" t="str">
        <f t="shared" si="2"/>
        <v>#16136</v>
      </c>
      <c r="B939" s="93" t="str">
        <f>IF(COUNTIF(MAIN!B:B, A939)=0, "Missing", "")</f>
        <v/>
      </c>
      <c r="E939" s="128" t="str">
        <f t="shared" si="1"/>
        <v/>
      </c>
    </row>
    <row r="940">
      <c r="A940" s="93" t="str">
        <f t="shared" si="2"/>
        <v>#16137</v>
      </c>
      <c r="B940" s="93" t="str">
        <f>IF(COUNTIF(MAIN!B:B, A940)=0, "Missing", "")</f>
        <v/>
      </c>
      <c r="E940" s="128" t="str">
        <f t="shared" si="1"/>
        <v/>
      </c>
    </row>
    <row r="941">
      <c r="A941" s="93" t="str">
        <f t="shared" si="2"/>
        <v>#16138</v>
      </c>
      <c r="B941" s="93" t="str">
        <f>IF(COUNTIF(MAIN!B:B, A941)=0, "Missing", "")</f>
        <v/>
      </c>
      <c r="E941" s="128" t="str">
        <f t="shared" si="1"/>
        <v/>
      </c>
    </row>
    <row r="942">
      <c r="A942" s="93" t="str">
        <f t="shared" si="2"/>
        <v>#16139</v>
      </c>
      <c r="B942" s="93" t="str">
        <f>IF(COUNTIF(MAIN!B:B, A942)=0, "Missing", "")</f>
        <v/>
      </c>
      <c r="E942" s="128" t="str">
        <f t="shared" si="1"/>
        <v/>
      </c>
    </row>
    <row r="943">
      <c r="A943" s="93" t="str">
        <f t="shared" si="2"/>
        <v>#16140</v>
      </c>
      <c r="B943" s="93" t="str">
        <f>IF(COUNTIF(MAIN!B:B, A943)=0, "Missing", "")</f>
        <v/>
      </c>
      <c r="E943" s="128" t="str">
        <f t="shared" si="1"/>
        <v/>
      </c>
    </row>
    <row r="944">
      <c r="A944" s="93" t="str">
        <f t="shared" si="2"/>
        <v>#16141</v>
      </c>
      <c r="B944" s="93" t="str">
        <f>IF(COUNTIF(MAIN!B:B, A944)=0, "Missing", "")</f>
        <v/>
      </c>
      <c r="E944" s="128" t="str">
        <f t="shared" si="1"/>
        <v/>
      </c>
    </row>
    <row r="945">
      <c r="A945" s="93" t="str">
        <f t="shared" si="2"/>
        <v>#16142</v>
      </c>
      <c r="B945" s="93" t="str">
        <f>IF(COUNTIF(MAIN!B:B, A945)=0, "Missing", "")</f>
        <v/>
      </c>
      <c r="E945" s="128" t="str">
        <f t="shared" si="1"/>
        <v/>
      </c>
    </row>
    <row r="946">
      <c r="A946" s="93" t="str">
        <f t="shared" si="2"/>
        <v>#16143</v>
      </c>
      <c r="B946" s="93" t="str">
        <f>IF(COUNTIF(MAIN!B:B, A946)=0, "Missing", "")</f>
        <v/>
      </c>
      <c r="E946" s="128" t="str">
        <f t="shared" si="1"/>
        <v/>
      </c>
    </row>
    <row r="947">
      <c r="A947" s="93" t="str">
        <f t="shared" si="2"/>
        <v>#16144</v>
      </c>
      <c r="B947" s="93" t="str">
        <f>IF(COUNTIF(MAIN!B:B, A947)=0, "Missing", "")</f>
        <v/>
      </c>
      <c r="E947" s="128" t="str">
        <f t="shared" si="1"/>
        <v/>
      </c>
    </row>
    <row r="948">
      <c r="A948" s="93" t="str">
        <f t="shared" si="2"/>
        <v>#16145</v>
      </c>
      <c r="B948" s="93" t="str">
        <f>IF(COUNTIF(MAIN!B:B, A948)=0, "Missing", "")</f>
        <v/>
      </c>
      <c r="E948" s="128" t="str">
        <f t="shared" si="1"/>
        <v/>
      </c>
    </row>
    <row r="949">
      <c r="A949" s="93" t="str">
        <f t="shared" si="2"/>
        <v>#16146</v>
      </c>
      <c r="B949" s="93" t="str">
        <f>IF(COUNTIF(MAIN!B:B, A949)=0, "Missing", "")</f>
        <v/>
      </c>
      <c r="E949" s="128" t="str">
        <f t="shared" si="1"/>
        <v/>
      </c>
    </row>
    <row r="950">
      <c r="A950" s="93" t="str">
        <f t="shared" si="2"/>
        <v>#16147</v>
      </c>
      <c r="B950" s="93" t="str">
        <f>IF(COUNTIF(MAIN!B:B, A950)=0, "Missing", "")</f>
        <v/>
      </c>
      <c r="E950" s="128" t="str">
        <f t="shared" si="1"/>
        <v/>
      </c>
    </row>
    <row r="951">
      <c r="A951" s="93" t="str">
        <f t="shared" si="2"/>
        <v>#16148</v>
      </c>
      <c r="B951" s="93" t="str">
        <f>IF(COUNTIF(MAIN!B:B, A951)=0, "Missing", "")</f>
        <v/>
      </c>
      <c r="E951" s="128" t="str">
        <f t="shared" si="1"/>
        <v/>
      </c>
    </row>
    <row r="952">
      <c r="A952" s="93" t="str">
        <f t="shared" si="2"/>
        <v>#16149</v>
      </c>
      <c r="B952" s="93" t="str">
        <f>IF(COUNTIF(MAIN!B:B, A952)=0, "Missing", "")</f>
        <v>Missing</v>
      </c>
      <c r="E952" s="131" t="str">
        <f t="shared" si="1"/>
        <v>https://utrucking.myshopify.com/admin/orders?query=16149</v>
      </c>
    </row>
    <row r="953">
      <c r="A953" s="93" t="str">
        <f t="shared" si="2"/>
        <v>#16150</v>
      </c>
      <c r="B953" s="93" t="str">
        <f>IF(COUNTIF(MAIN!B:B, A953)=0, "Missing", "")</f>
        <v/>
      </c>
      <c r="E953" s="128" t="str">
        <f t="shared" si="1"/>
        <v/>
      </c>
    </row>
    <row r="954">
      <c r="A954" s="93" t="str">
        <f t="shared" si="2"/>
        <v>#16151</v>
      </c>
      <c r="B954" s="93" t="str">
        <f>IF(COUNTIF(MAIN!B:B, A954)=0, "Missing", "")</f>
        <v/>
      </c>
      <c r="E954" s="128" t="str">
        <f t="shared" si="1"/>
        <v/>
      </c>
    </row>
    <row r="955">
      <c r="A955" s="93" t="str">
        <f t="shared" si="2"/>
        <v>#16152</v>
      </c>
      <c r="B955" s="93" t="str">
        <f>IF(COUNTIF(MAIN!B:B, A955)=0, "Missing", "")</f>
        <v/>
      </c>
      <c r="E955" s="128" t="str">
        <f t="shared" si="1"/>
        <v/>
      </c>
    </row>
    <row r="956">
      <c r="A956" s="93" t="str">
        <f t="shared" si="2"/>
        <v>#16153</v>
      </c>
      <c r="B956" s="93" t="str">
        <f>IF(COUNTIF(MAIN!B:B, A956)=0, "Missing", "")</f>
        <v/>
      </c>
      <c r="E956" s="128" t="str">
        <f t="shared" si="1"/>
        <v/>
      </c>
    </row>
    <row r="957">
      <c r="A957" s="93" t="str">
        <f t="shared" si="2"/>
        <v>#16154</v>
      </c>
      <c r="B957" s="93" t="str">
        <f>IF(COUNTIF(MAIN!B:B, A957)=0, "Missing", "")</f>
        <v/>
      </c>
      <c r="E957" s="128" t="str">
        <f t="shared" si="1"/>
        <v/>
      </c>
    </row>
    <row r="958">
      <c r="A958" s="93" t="str">
        <f t="shared" si="2"/>
        <v>#16155</v>
      </c>
      <c r="B958" s="93" t="str">
        <f>IF(COUNTIF(MAIN!B:B, A958)=0, "Missing", "")</f>
        <v/>
      </c>
      <c r="E958" s="128" t="str">
        <f t="shared" si="1"/>
        <v/>
      </c>
    </row>
    <row r="959">
      <c r="A959" s="93" t="str">
        <f t="shared" si="2"/>
        <v>#16156</v>
      </c>
      <c r="B959" s="93" t="str">
        <f>IF(COUNTIF(MAIN!B:B, A959)=0, "Missing", "")</f>
        <v/>
      </c>
      <c r="E959" s="128" t="str">
        <f t="shared" si="1"/>
        <v/>
      </c>
    </row>
    <row r="960">
      <c r="A960" s="93" t="str">
        <f t="shared" si="2"/>
        <v>#16157</v>
      </c>
      <c r="B960" s="93" t="str">
        <f>IF(COUNTIF(MAIN!B:B, A960)=0, "Missing", "")</f>
        <v/>
      </c>
      <c r="E960" s="128" t="str">
        <f t="shared" si="1"/>
        <v/>
      </c>
    </row>
    <row r="961">
      <c r="A961" s="93" t="str">
        <f t="shared" si="2"/>
        <v>#16158</v>
      </c>
      <c r="B961" s="93" t="str">
        <f>IF(COUNTIF(MAIN!B:B, A961)=0, "Missing", "")</f>
        <v/>
      </c>
      <c r="E961" s="128" t="str">
        <f t="shared" si="1"/>
        <v/>
      </c>
    </row>
    <row r="962">
      <c r="A962" s="93" t="str">
        <f t="shared" si="2"/>
        <v>#16159</v>
      </c>
      <c r="B962" s="93" t="str">
        <f>IF(COUNTIF(MAIN!B:B, A962)=0, "Missing", "")</f>
        <v/>
      </c>
      <c r="E962" s="128" t="str">
        <f t="shared" si="1"/>
        <v/>
      </c>
    </row>
    <row r="963">
      <c r="A963" s="93" t="str">
        <f t="shared" si="2"/>
        <v>#16160</v>
      </c>
      <c r="B963" s="93" t="str">
        <f>IF(COUNTIF(MAIN!B:B, A963)=0, "Missing", "")</f>
        <v/>
      </c>
      <c r="E963" s="128" t="str">
        <f t="shared" si="1"/>
        <v/>
      </c>
    </row>
    <row r="964">
      <c r="A964" s="93" t="str">
        <f t="shared" si="2"/>
        <v>#16161</v>
      </c>
      <c r="B964" s="93" t="str">
        <f>IF(COUNTIF(MAIN!B:B, A964)=0, "Missing", "")</f>
        <v/>
      </c>
      <c r="E964" s="128" t="str">
        <f t="shared" si="1"/>
        <v/>
      </c>
    </row>
    <row r="965">
      <c r="A965" s="93" t="str">
        <f t="shared" si="2"/>
        <v>#16162</v>
      </c>
      <c r="B965" s="93" t="str">
        <f>IF(COUNTIF(MAIN!B:B, A965)=0, "Missing", "")</f>
        <v/>
      </c>
      <c r="E965" s="128" t="str">
        <f t="shared" si="1"/>
        <v/>
      </c>
    </row>
    <row r="966">
      <c r="A966" s="93" t="str">
        <f t="shared" si="2"/>
        <v>#16163</v>
      </c>
      <c r="B966" s="93" t="str">
        <f>IF(COUNTIF(MAIN!B:B, A966)=0, "Missing", "")</f>
        <v/>
      </c>
      <c r="E966" s="128" t="str">
        <f t="shared" si="1"/>
        <v/>
      </c>
    </row>
    <row r="967">
      <c r="A967" s="93" t="str">
        <f t="shared" si="2"/>
        <v>#16164</v>
      </c>
      <c r="B967" s="93" t="str">
        <f>IF(COUNTIF(MAIN!B:B, A967)=0, "Missing", "")</f>
        <v/>
      </c>
      <c r="E967" s="128" t="str">
        <f t="shared" si="1"/>
        <v/>
      </c>
    </row>
    <row r="968">
      <c r="A968" s="93" t="str">
        <f t="shared" si="2"/>
        <v>#16165</v>
      </c>
      <c r="B968" s="93" t="str">
        <f>IF(COUNTIF(MAIN!B:B, A968)=0, "Missing", "")</f>
        <v/>
      </c>
      <c r="E968" s="128" t="str">
        <f t="shared" si="1"/>
        <v/>
      </c>
    </row>
    <row r="969">
      <c r="A969" s="93" t="str">
        <f t="shared" si="2"/>
        <v>#16166</v>
      </c>
      <c r="B969" s="93" t="str">
        <f>IF(COUNTIF(MAIN!B:B, A969)=0, "Missing", "")</f>
        <v/>
      </c>
      <c r="E969" s="128" t="str">
        <f t="shared" si="1"/>
        <v/>
      </c>
    </row>
    <row r="970">
      <c r="A970" s="93" t="str">
        <f t="shared" si="2"/>
        <v>#16167</v>
      </c>
      <c r="B970" s="93" t="str">
        <f>IF(COUNTIF(MAIN!B:B, A970)=0, "Missing", "")</f>
        <v/>
      </c>
      <c r="E970" s="128" t="str">
        <f t="shared" si="1"/>
        <v/>
      </c>
    </row>
    <row r="971">
      <c r="A971" s="93" t="str">
        <f t="shared" si="2"/>
        <v>#16168</v>
      </c>
      <c r="B971" s="93" t="str">
        <f>IF(COUNTIF(MAIN!B:B, A971)=0, "Missing", "")</f>
        <v/>
      </c>
      <c r="E971" s="128" t="str">
        <f t="shared" si="1"/>
        <v/>
      </c>
    </row>
    <row r="972">
      <c r="A972" s="93" t="str">
        <f t="shared" si="2"/>
        <v>#16169</v>
      </c>
      <c r="B972" s="93" t="str">
        <f>IF(COUNTIF(MAIN!B:B, A972)=0, "Missing", "")</f>
        <v/>
      </c>
      <c r="E972" s="128" t="str">
        <f t="shared" si="1"/>
        <v/>
      </c>
    </row>
    <row r="973">
      <c r="A973" s="93" t="str">
        <f t="shared" si="2"/>
        <v>#16170</v>
      </c>
      <c r="B973" s="93" t="str">
        <f>IF(COUNTIF(MAIN!B:B, A973)=0, "Missing", "")</f>
        <v/>
      </c>
      <c r="E973" s="128" t="str">
        <f t="shared" si="1"/>
        <v/>
      </c>
    </row>
    <row r="974">
      <c r="A974" s="93" t="str">
        <f t="shared" si="2"/>
        <v>#16171</v>
      </c>
      <c r="B974" s="93" t="str">
        <f>IF(COUNTIF(MAIN!B:B, A974)=0, "Missing", "")</f>
        <v/>
      </c>
      <c r="E974" s="128" t="str">
        <f t="shared" si="1"/>
        <v/>
      </c>
    </row>
    <row r="975">
      <c r="A975" s="93" t="str">
        <f t="shared" si="2"/>
        <v>#16172</v>
      </c>
      <c r="B975" s="93" t="str">
        <f>IF(COUNTIF(MAIN!B:B, A975)=0, "Missing", "")</f>
        <v/>
      </c>
      <c r="E975" s="128" t="str">
        <f t="shared" si="1"/>
        <v/>
      </c>
    </row>
    <row r="976">
      <c r="A976" s="93" t="str">
        <f t="shared" si="2"/>
        <v>#16173</v>
      </c>
      <c r="B976" s="93" t="str">
        <f>IF(COUNTIF(MAIN!B:B, A976)=0, "Missing", "")</f>
        <v/>
      </c>
      <c r="E976" s="128" t="str">
        <f t="shared" si="1"/>
        <v/>
      </c>
    </row>
    <row r="977">
      <c r="A977" s="93" t="str">
        <f t="shared" si="2"/>
        <v>#16174</v>
      </c>
      <c r="B977" s="93" t="str">
        <f>IF(COUNTIF(MAIN!B:B, A977)=0, "Missing", "")</f>
        <v/>
      </c>
      <c r="E977" s="128" t="str">
        <f t="shared" si="1"/>
        <v/>
      </c>
    </row>
    <row r="978">
      <c r="A978" s="93" t="str">
        <f t="shared" si="2"/>
        <v>#16175</v>
      </c>
      <c r="B978" s="93" t="str">
        <f>IF(COUNTIF(MAIN!B:B, A978)=0, "Missing", "")</f>
        <v/>
      </c>
      <c r="E978" s="128" t="str">
        <f t="shared" si="1"/>
        <v/>
      </c>
    </row>
    <row r="979">
      <c r="A979" s="93" t="str">
        <f t="shared" si="2"/>
        <v>#16176</v>
      </c>
      <c r="B979" s="93" t="str">
        <f>IF(COUNTIF(MAIN!B:B, A979)=0, "Missing", "")</f>
        <v/>
      </c>
      <c r="E979" s="128" t="str">
        <f t="shared" si="1"/>
        <v/>
      </c>
    </row>
    <row r="980">
      <c r="A980" s="93" t="str">
        <f t="shared" si="2"/>
        <v>#16177</v>
      </c>
      <c r="B980" s="93" t="str">
        <f>IF(COUNTIF(MAIN!B:B, A980)=0, "Missing", "")</f>
        <v/>
      </c>
      <c r="E980" s="128" t="str">
        <f t="shared" si="1"/>
        <v/>
      </c>
    </row>
    <row r="981">
      <c r="A981" s="93" t="str">
        <f t="shared" si="2"/>
        <v>#16178</v>
      </c>
      <c r="B981" s="93" t="str">
        <f>IF(COUNTIF(MAIN!B:B, A981)=0, "Missing", "")</f>
        <v/>
      </c>
      <c r="E981" s="128" t="str">
        <f t="shared" si="1"/>
        <v/>
      </c>
    </row>
    <row r="982">
      <c r="A982" s="93" t="str">
        <f t="shared" si="2"/>
        <v>#16179</v>
      </c>
      <c r="B982" s="93" t="str">
        <f>IF(COUNTIF(MAIN!B:B, A982)=0, "Missing", "")</f>
        <v/>
      </c>
      <c r="E982" s="128" t="str">
        <f t="shared" si="1"/>
        <v/>
      </c>
    </row>
    <row r="983">
      <c r="A983" s="93" t="str">
        <f t="shared" si="2"/>
        <v>#16180</v>
      </c>
      <c r="B983" s="93" t="str">
        <f>IF(COUNTIF(MAIN!B:B, A983)=0, "Missing", "")</f>
        <v/>
      </c>
      <c r="E983" s="128" t="str">
        <f t="shared" si="1"/>
        <v/>
      </c>
    </row>
    <row r="984">
      <c r="A984" s="93" t="str">
        <f t="shared" si="2"/>
        <v>#16181</v>
      </c>
      <c r="B984" s="93" t="str">
        <f>IF(COUNTIF(MAIN!B:B, A984)=0, "Missing", "")</f>
        <v/>
      </c>
      <c r="E984" s="128" t="str">
        <f t="shared" si="1"/>
        <v/>
      </c>
    </row>
    <row r="985">
      <c r="A985" s="93" t="str">
        <f t="shared" si="2"/>
        <v>#16182</v>
      </c>
      <c r="B985" s="93" t="str">
        <f>IF(COUNTIF(MAIN!B:B, A985)=0, "Missing", "")</f>
        <v/>
      </c>
      <c r="E985" s="128" t="str">
        <f t="shared" si="1"/>
        <v/>
      </c>
    </row>
    <row r="986">
      <c r="A986" s="93" t="str">
        <f t="shared" si="2"/>
        <v>#16183</v>
      </c>
      <c r="B986" s="93" t="str">
        <f>IF(COUNTIF(MAIN!B:B, A986)=0, "Missing", "")</f>
        <v/>
      </c>
      <c r="E986" s="128" t="str">
        <f t="shared" si="1"/>
        <v/>
      </c>
    </row>
    <row r="987">
      <c r="A987" s="93" t="str">
        <f t="shared" si="2"/>
        <v>#16184</v>
      </c>
      <c r="B987" s="93" t="str">
        <f>IF(COUNTIF(MAIN!B:B, A987)=0, "Missing", "")</f>
        <v/>
      </c>
      <c r="E987" s="128" t="str">
        <f t="shared" si="1"/>
        <v/>
      </c>
    </row>
    <row r="988">
      <c r="A988" s="93" t="str">
        <f t="shared" si="2"/>
        <v>#16185</v>
      </c>
      <c r="B988" s="93" t="str">
        <f>IF(COUNTIF(MAIN!B:B, A988)=0, "Missing", "")</f>
        <v/>
      </c>
      <c r="E988" s="128" t="str">
        <f t="shared" si="1"/>
        <v/>
      </c>
    </row>
    <row r="989">
      <c r="A989" s="93" t="str">
        <f t="shared" si="2"/>
        <v>#16186</v>
      </c>
      <c r="B989" s="93" t="str">
        <f>IF(COUNTIF(MAIN!B:B, A989)=0, "Missing", "")</f>
        <v/>
      </c>
      <c r="E989" s="128" t="str">
        <f t="shared" si="1"/>
        <v/>
      </c>
    </row>
    <row r="990">
      <c r="A990" s="93" t="str">
        <f t="shared" si="2"/>
        <v>#16187</v>
      </c>
      <c r="B990" s="93" t="str">
        <f>IF(COUNTIF(MAIN!B:B, A990)=0, "Missing", "")</f>
        <v/>
      </c>
      <c r="E990" s="128" t="str">
        <f t="shared" si="1"/>
        <v/>
      </c>
    </row>
    <row r="991">
      <c r="A991" s="93" t="str">
        <f t="shared" si="2"/>
        <v>#16188</v>
      </c>
      <c r="B991" s="93" t="str">
        <f>IF(COUNTIF(MAIN!B:B, A991)=0, "Missing", "")</f>
        <v/>
      </c>
      <c r="E991" s="128" t="str">
        <f t="shared" si="1"/>
        <v/>
      </c>
    </row>
    <row r="992">
      <c r="A992" s="93" t="str">
        <f t="shared" si="2"/>
        <v>#16189</v>
      </c>
      <c r="B992" s="93" t="str">
        <f>IF(COUNTIF(MAIN!B:B, A992)=0, "Missing", "")</f>
        <v/>
      </c>
      <c r="E992" s="128" t="str">
        <f t="shared" si="1"/>
        <v/>
      </c>
    </row>
    <row r="993">
      <c r="A993" s="93" t="str">
        <f t="shared" si="2"/>
        <v>#16190</v>
      </c>
      <c r="B993" s="93" t="str">
        <f>IF(COUNTIF(MAIN!B:B, A993)=0, "Missing", "")</f>
        <v/>
      </c>
      <c r="E993" s="128" t="str">
        <f t="shared" si="1"/>
        <v/>
      </c>
    </row>
    <row r="994">
      <c r="A994" s="93" t="str">
        <f t="shared" si="2"/>
        <v>#16191</v>
      </c>
      <c r="B994" s="93" t="str">
        <f>IF(COUNTIF(MAIN!B:B, A994)=0, "Missing", "")</f>
        <v/>
      </c>
      <c r="E994" s="128" t="str">
        <f t="shared" si="1"/>
        <v/>
      </c>
    </row>
    <row r="995">
      <c r="A995" s="93" t="str">
        <f t="shared" si="2"/>
        <v>#16192</v>
      </c>
      <c r="B995" s="93" t="str">
        <f>IF(COUNTIF(MAIN!B:B, A995)=0, "Missing", "")</f>
        <v/>
      </c>
      <c r="E995" s="128" t="str">
        <f t="shared" si="1"/>
        <v/>
      </c>
    </row>
    <row r="996">
      <c r="A996" s="93" t="str">
        <f t="shared" si="2"/>
        <v>#16193</v>
      </c>
      <c r="B996" s="93" t="str">
        <f>IF(COUNTIF(MAIN!B:B, A996)=0, "Missing", "")</f>
        <v/>
      </c>
      <c r="E996" s="128" t="str">
        <f t="shared" si="1"/>
        <v/>
      </c>
    </row>
    <row r="997">
      <c r="A997" s="93" t="str">
        <f t="shared" si="2"/>
        <v>#16194</v>
      </c>
      <c r="B997" s="93" t="str">
        <f>IF(COUNTIF(MAIN!B:B, A997)=0, "Missing", "")</f>
        <v/>
      </c>
      <c r="E997" s="128" t="str">
        <f t="shared" si="1"/>
        <v/>
      </c>
    </row>
    <row r="998">
      <c r="A998" s="93" t="str">
        <f t="shared" si="2"/>
        <v>#16195</v>
      </c>
      <c r="B998" s="93" t="str">
        <f>IF(COUNTIF(MAIN!B:B, A998)=0, "Missing", "")</f>
        <v/>
      </c>
      <c r="E998" s="128" t="str">
        <f t="shared" si="1"/>
        <v/>
      </c>
    </row>
    <row r="999">
      <c r="A999" s="93" t="str">
        <f t="shared" si="2"/>
        <v>#16196</v>
      </c>
      <c r="B999" s="93" t="str">
        <f>IF(COUNTIF(MAIN!B:B, A999)=0, "Missing", "")</f>
        <v/>
      </c>
      <c r="E999" s="128" t="str">
        <f t="shared" si="1"/>
        <v/>
      </c>
    </row>
    <row r="1000">
      <c r="A1000" s="93" t="str">
        <f t="shared" si="2"/>
        <v>#16197</v>
      </c>
      <c r="B1000" s="93" t="str">
        <f>IF(COUNTIF(MAIN!B:B, A1000)=0, "Missing", "")</f>
        <v/>
      </c>
      <c r="E1000" s="128" t="str">
        <f t="shared" si="1"/>
        <v/>
      </c>
    </row>
    <row r="1001">
      <c r="A1001" s="93" t="str">
        <f t="shared" si="2"/>
        <v>#16198</v>
      </c>
      <c r="B1001" s="93" t="str">
        <f>IF(COUNTIF(MAIN!B:B, A1001)=0, "Missing", "")</f>
        <v/>
      </c>
      <c r="E1001" s="128" t="str">
        <f t="shared" si="1"/>
        <v/>
      </c>
    </row>
    <row r="1002">
      <c r="A1002" s="93" t="str">
        <f t="shared" si="2"/>
        <v>#16199</v>
      </c>
      <c r="B1002" s="93" t="str">
        <f>IF(COUNTIF(MAIN!B:B, A1002)=0, "Missing", "")</f>
        <v/>
      </c>
      <c r="E1002" s="128" t="str">
        <f t="shared" si="1"/>
        <v/>
      </c>
    </row>
    <row r="1003">
      <c r="A1003" s="93" t="str">
        <f t="shared" si="2"/>
        <v>#16200</v>
      </c>
      <c r="B1003" s="93" t="str">
        <f>IF(COUNTIF(MAIN!B:B, A1003)=0, "Missing", "")</f>
        <v/>
      </c>
      <c r="E1003" s="128" t="str">
        <f t="shared" si="1"/>
        <v/>
      </c>
    </row>
    <row r="1004">
      <c r="A1004" s="93" t="str">
        <f t="shared" si="2"/>
        <v>#16201</v>
      </c>
      <c r="B1004" s="93" t="str">
        <f>IF(COUNTIF(MAIN!B:B, A1004)=0, "Missing", "")</f>
        <v/>
      </c>
      <c r="E1004" s="128" t="str">
        <f t="shared" si="1"/>
        <v/>
      </c>
    </row>
    <row r="1005">
      <c r="A1005" s="93" t="str">
        <f t="shared" si="2"/>
        <v>#16202</v>
      </c>
      <c r="B1005" s="93" t="str">
        <f>IF(COUNTIF(MAIN!B:B, A1005)=0, "Missing", "")</f>
        <v/>
      </c>
      <c r="E1005" s="128" t="str">
        <f t="shared" si="1"/>
        <v/>
      </c>
    </row>
    <row r="1006">
      <c r="A1006" s="93" t="str">
        <f t="shared" si="2"/>
        <v>#16203</v>
      </c>
      <c r="B1006" s="93" t="str">
        <f>IF(COUNTIF(MAIN!B:B, A1006)=0, "Missing", "")</f>
        <v/>
      </c>
      <c r="E1006" s="128" t="str">
        <f t="shared" si="1"/>
        <v/>
      </c>
    </row>
    <row r="1007">
      <c r="A1007" s="93" t="str">
        <f t="shared" si="2"/>
        <v>#16204</v>
      </c>
      <c r="B1007" s="93" t="str">
        <f>IF(COUNTIF(MAIN!B:B, A1007)=0, "Missing", "")</f>
        <v/>
      </c>
      <c r="E1007" s="128" t="str">
        <f t="shared" si="1"/>
        <v/>
      </c>
    </row>
    <row r="1008">
      <c r="A1008" s="93" t="str">
        <f t="shared" si="2"/>
        <v>#16205</v>
      </c>
      <c r="B1008" s="93" t="str">
        <f>IF(COUNTIF(MAIN!B:B, A1008)=0, "Missing", "")</f>
        <v/>
      </c>
      <c r="E1008" s="128" t="str">
        <f t="shared" si="1"/>
        <v/>
      </c>
    </row>
    <row r="1009">
      <c r="A1009" s="93" t="str">
        <f t="shared" si="2"/>
        <v>#16206</v>
      </c>
      <c r="B1009" s="93" t="str">
        <f>IF(COUNTIF(MAIN!B:B, A1009)=0, "Missing", "")</f>
        <v/>
      </c>
      <c r="E1009" s="128" t="str">
        <f t="shared" si="1"/>
        <v/>
      </c>
    </row>
    <row r="1010">
      <c r="A1010" s="93" t="str">
        <f t="shared" si="2"/>
        <v>#16207</v>
      </c>
      <c r="B1010" s="93" t="str">
        <f>IF(COUNTIF(MAIN!B:B, A1010)=0, "Missing", "")</f>
        <v/>
      </c>
      <c r="E1010" s="128" t="str">
        <f t="shared" si="1"/>
        <v/>
      </c>
    </row>
    <row r="1011">
      <c r="A1011" s="93" t="str">
        <f t="shared" si="2"/>
        <v>#16208</v>
      </c>
      <c r="B1011" s="93" t="str">
        <f>IF(COUNTIF(MAIN!B:B, A1011)=0, "Missing", "")</f>
        <v/>
      </c>
      <c r="E1011" s="128" t="str">
        <f t="shared" si="1"/>
        <v/>
      </c>
    </row>
    <row r="1012">
      <c r="A1012" s="93" t="str">
        <f t="shared" si="2"/>
        <v>#16209</v>
      </c>
      <c r="B1012" s="93" t="str">
        <f>IF(COUNTIF(MAIN!B:B, A1012)=0, "Missing", "")</f>
        <v/>
      </c>
      <c r="E1012" s="128" t="str">
        <f t="shared" si="1"/>
        <v/>
      </c>
    </row>
    <row r="1013">
      <c r="A1013" s="93" t="str">
        <f t="shared" si="2"/>
        <v>#16210</v>
      </c>
      <c r="B1013" s="93" t="str">
        <f>IF(COUNTIF(MAIN!B:B, A1013)=0, "Missing", "")</f>
        <v/>
      </c>
      <c r="E1013" s="128" t="str">
        <f t="shared" si="1"/>
        <v/>
      </c>
    </row>
    <row r="1014">
      <c r="A1014" s="93" t="str">
        <f t="shared" si="2"/>
        <v>#16211</v>
      </c>
      <c r="B1014" s="93" t="str">
        <f>IF(COUNTIF(MAIN!B:B, A1014)=0, "Missing", "")</f>
        <v/>
      </c>
      <c r="E1014" s="128" t="str">
        <f t="shared" si="1"/>
        <v/>
      </c>
    </row>
    <row r="1015">
      <c r="A1015" s="93" t="str">
        <f t="shared" si="2"/>
        <v>#16212</v>
      </c>
      <c r="B1015" s="93" t="str">
        <f>IF(COUNTIF(MAIN!B:B, A1015)=0, "Missing", "")</f>
        <v/>
      </c>
      <c r="E1015" s="128" t="str">
        <f t="shared" si="1"/>
        <v/>
      </c>
    </row>
    <row r="1016">
      <c r="A1016" s="93" t="str">
        <f t="shared" si="2"/>
        <v>#16213</v>
      </c>
      <c r="B1016" s="93" t="str">
        <f>IF(COUNTIF(MAIN!B:B, A1016)=0, "Missing", "")</f>
        <v/>
      </c>
      <c r="E1016" s="128" t="str">
        <f t="shared" si="1"/>
        <v/>
      </c>
    </row>
    <row r="1017">
      <c r="A1017" s="93" t="str">
        <f t="shared" si="2"/>
        <v>#16214</v>
      </c>
      <c r="B1017" s="93" t="str">
        <f>IF(COUNTIF(MAIN!B:B, A1017)=0, "Missing", "")</f>
        <v/>
      </c>
      <c r="E1017" s="128" t="str">
        <f t="shared" si="1"/>
        <v/>
      </c>
    </row>
    <row r="1018">
      <c r="A1018" s="93" t="str">
        <f t="shared" si="2"/>
        <v>#16215</v>
      </c>
      <c r="B1018" s="93" t="str">
        <f>IF(COUNTIF(MAIN!B:B, A1018)=0, "Missing", "")</f>
        <v/>
      </c>
      <c r="E1018" s="128" t="str">
        <f t="shared" si="1"/>
        <v/>
      </c>
    </row>
    <row r="1019">
      <c r="A1019" s="93" t="str">
        <f t="shared" si="2"/>
        <v>#16216</v>
      </c>
      <c r="B1019" s="93" t="str">
        <f>IF(COUNTIF(MAIN!B:B, A1019)=0, "Missing", "")</f>
        <v/>
      </c>
      <c r="E1019" s="128" t="str">
        <f t="shared" si="1"/>
        <v/>
      </c>
    </row>
    <row r="1020">
      <c r="A1020" s="93" t="str">
        <f t="shared" si="2"/>
        <v>#16217</v>
      </c>
      <c r="B1020" s="93" t="str">
        <f>IF(COUNTIF(MAIN!B:B, A1020)=0, "Missing", "")</f>
        <v/>
      </c>
      <c r="E1020" s="128" t="str">
        <f t="shared" si="1"/>
        <v/>
      </c>
    </row>
    <row r="1021">
      <c r="A1021" s="93" t="str">
        <f t="shared" si="2"/>
        <v>#16218</v>
      </c>
      <c r="B1021" s="93" t="str">
        <f>IF(COUNTIF(MAIN!B:B, A1021)=0, "Missing", "")</f>
        <v/>
      </c>
      <c r="E1021" s="128" t="str">
        <f t="shared" si="1"/>
        <v/>
      </c>
    </row>
    <row r="1022">
      <c r="A1022" s="93" t="str">
        <f t="shared" si="2"/>
        <v>#16219</v>
      </c>
      <c r="B1022" s="93" t="str">
        <f>IF(COUNTIF(MAIN!B:B, A1022)=0, "Missing", "")</f>
        <v/>
      </c>
      <c r="E1022" s="128" t="str">
        <f t="shared" si="1"/>
        <v/>
      </c>
    </row>
    <row r="1023">
      <c r="A1023" s="93" t="str">
        <f t="shared" si="2"/>
        <v>#16220</v>
      </c>
      <c r="B1023" s="93" t="str">
        <f>IF(COUNTIF(MAIN!B:B, A1023)=0, "Missing", "")</f>
        <v/>
      </c>
      <c r="E1023" s="128" t="str">
        <f t="shared" si="1"/>
        <v/>
      </c>
    </row>
    <row r="1024">
      <c r="A1024" s="93" t="str">
        <f t="shared" si="2"/>
        <v>#16221</v>
      </c>
      <c r="B1024" s="93" t="str">
        <f>IF(COUNTIF(MAIN!B:B, A1024)=0, "Missing", "")</f>
        <v/>
      </c>
      <c r="E1024" s="128" t="str">
        <f t="shared" si="1"/>
        <v/>
      </c>
    </row>
    <row r="1025">
      <c r="A1025" s="93" t="str">
        <f t="shared" si="2"/>
        <v>#16222</v>
      </c>
      <c r="B1025" s="93" t="str">
        <f>IF(COUNTIF(MAIN!B:B, A1025)=0, "Missing", "")</f>
        <v/>
      </c>
      <c r="E1025" s="128" t="str">
        <f t="shared" si="1"/>
        <v/>
      </c>
    </row>
    <row r="1026">
      <c r="A1026" s="93" t="str">
        <f t="shared" si="2"/>
        <v>#16223</v>
      </c>
      <c r="B1026" s="93" t="str">
        <f>IF(COUNTIF(MAIN!B:B, A1026)=0, "Missing", "")</f>
        <v/>
      </c>
      <c r="E1026" s="128" t="str">
        <f t="shared" si="1"/>
        <v/>
      </c>
    </row>
    <row r="1027">
      <c r="A1027" s="93" t="str">
        <f t="shared" si="2"/>
        <v>#16224</v>
      </c>
      <c r="B1027" s="93" t="str">
        <f>IF(COUNTIF(MAIN!B:B, A1027)=0, "Missing", "")</f>
        <v/>
      </c>
      <c r="E1027" s="128" t="str">
        <f t="shared" si="1"/>
        <v/>
      </c>
    </row>
    <row r="1028">
      <c r="A1028" s="93" t="str">
        <f t="shared" si="2"/>
        <v>#16225</v>
      </c>
      <c r="B1028" s="93" t="str">
        <f>IF(COUNTIF(MAIN!B:B, A1028)=0, "Missing", "")</f>
        <v/>
      </c>
      <c r="E1028" s="128" t="str">
        <f t="shared" si="1"/>
        <v/>
      </c>
    </row>
    <row r="1029">
      <c r="A1029" s="93" t="str">
        <f t="shared" si="2"/>
        <v>#16226</v>
      </c>
      <c r="B1029" s="93" t="str">
        <f>IF(COUNTIF(MAIN!B:B, A1029)=0, "Missing", "")</f>
        <v/>
      </c>
      <c r="E1029" s="128" t="str">
        <f t="shared" si="1"/>
        <v/>
      </c>
    </row>
    <row r="1030">
      <c r="A1030" s="93" t="str">
        <f t="shared" si="2"/>
        <v>#16227</v>
      </c>
      <c r="B1030" s="93" t="str">
        <f>IF(COUNTIF(MAIN!B:B, A1030)=0, "Missing", "")</f>
        <v/>
      </c>
      <c r="E1030" s="128" t="str">
        <f t="shared" si="1"/>
        <v/>
      </c>
    </row>
    <row r="1031">
      <c r="A1031" s="93" t="str">
        <f t="shared" si="2"/>
        <v>#16228</v>
      </c>
      <c r="B1031" s="93" t="str">
        <f>IF(COUNTIF(MAIN!B:B, A1031)=0, "Missing", "")</f>
        <v/>
      </c>
      <c r="E1031" s="128" t="str">
        <f t="shared" si="1"/>
        <v/>
      </c>
    </row>
    <row r="1032">
      <c r="A1032" s="93" t="str">
        <f t="shared" si="2"/>
        <v>#16229</v>
      </c>
      <c r="B1032" s="93" t="str">
        <f>IF(COUNTIF(MAIN!B:B, A1032)=0, "Missing", "")</f>
        <v/>
      </c>
      <c r="E1032" s="128" t="str">
        <f t="shared" si="1"/>
        <v/>
      </c>
    </row>
    <row r="1033">
      <c r="A1033" s="93" t="str">
        <f t="shared" si="2"/>
        <v>#16230</v>
      </c>
      <c r="B1033" s="93" t="str">
        <f>IF(COUNTIF(MAIN!B:B, A1033)=0, "Missing", "")</f>
        <v/>
      </c>
      <c r="E1033" s="128" t="str">
        <f t="shared" si="1"/>
        <v/>
      </c>
    </row>
    <row r="1034">
      <c r="A1034" s="93" t="str">
        <f t="shared" si="2"/>
        <v>#16231</v>
      </c>
      <c r="B1034" s="93" t="str">
        <f>IF(COUNTIF(MAIN!B:B, A1034)=0, "Missing", "")</f>
        <v/>
      </c>
      <c r="E1034" s="128" t="str">
        <f t="shared" si="1"/>
        <v/>
      </c>
    </row>
    <row r="1035">
      <c r="A1035" s="93" t="str">
        <f t="shared" si="2"/>
        <v>#16232</v>
      </c>
      <c r="B1035" s="93" t="str">
        <f>IF(COUNTIF(MAIN!B:B, A1035)=0, "Missing", "")</f>
        <v/>
      </c>
      <c r="E1035" s="128" t="str">
        <f t="shared" si="1"/>
        <v/>
      </c>
    </row>
    <row r="1036">
      <c r="A1036" s="93" t="str">
        <f t="shared" si="2"/>
        <v>#16233</v>
      </c>
      <c r="B1036" s="93" t="str">
        <f>IF(COUNTIF(MAIN!B:B, A1036)=0, "Missing", "")</f>
        <v/>
      </c>
      <c r="E1036" s="128" t="str">
        <f t="shared" si="1"/>
        <v/>
      </c>
    </row>
    <row r="1037">
      <c r="A1037" s="93" t="str">
        <f t="shared" si="2"/>
        <v>#16234</v>
      </c>
      <c r="B1037" s="93" t="str">
        <f>IF(COUNTIF(MAIN!B:B, A1037)=0, "Missing", "")</f>
        <v/>
      </c>
      <c r="E1037" s="128" t="str">
        <f t="shared" si="1"/>
        <v/>
      </c>
    </row>
    <row r="1038">
      <c r="A1038" s="93" t="str">
        <f t="shared" si="2"/>
        <v>#16235</v>
      </c>
      <c r="B1038" s="93" t="str">
        <f>IF(COUNTIF(MAIN!B:B, A1038)=0, "Missing", "")</f>
        <v/>
      </c>
      <c r="E1038" s="128" t="str">
        <f t="shared" si="1"/>
        <v/>
      </c>
    </row>
    <row r="1039">
      <c r="A1039" s="93" t="str">
        <f t="shared" si="2"/>
        <v>#16236</v>
      </c>
      <c r="B1039" s="93" t="str">
        <f>IF(COUNTIF(MAIN!B:B, A1039)=0, "Missing", "")</f>
        <v/>
      </c>
      <c r="E1039" s="128" t="str">
        <f t="shared" si="1"/>
        <v/>
      </c>
    </row>
    <row r="1040">
      <c r="A1040" s="93" t="str">
        <f t="shared" si="2"/>
        <v>#16237</v>
      </c>
      <c r="B1040" s="93" t="str">
        <f>IF(COUNTIF(MAIN!B:B, A1040)=0, "Missing", "")</f>
        <v/>
      </c>
      <c r="E1040" s="128" t="str">
        <f t="shared" si="1"/>
        <v/>
      </c>
    </row>
    <row r="1041">
      <c r="A1041" s="93" t="str">
        <f t="shared" si="2"/>
        <v>#16238</v>
      </c>
      <c r="B1041" s="93" t="str">
        <f>IF(COUNTIF(MAIN!B:B, A1041)=0, "Missing", "")</f>
        <v/>
      </c>
      <c r="E1041" s="128" t="str">
        <f t="shared" si="1"/>
        <v/>
      </c>
    </row>
    <row r="1042">
      <c r="A1042" s="93" t="str">
        <f t="shared" si="2"/>
        <v>#16239</v>
      </c>
      <c r="B1042" s="93" t="str">
        <f>IF(COUNTIF(MAIN!B:B, A1042)=0, "Missing", "")</f>
        <v/>
      </c>
      <c r="E1042" s="128" t="str">
        <f t="shared" si="1"/>
        <v/>
      </c>
    </row>
    <row r="1043">
      <c r="A1043" s="93" t="str">
        <f t="shared" si="2"/>
        <v>#16240</v>
      </c>
      <c r="B1043" s="93" t="str">
        <f>IF(COUNTIF(MAIN!B:B, A1043)=0, "Missing", "")</f>
        <v/>
      </c>
      <c r="E1043" s="128" t="str">
        <f t="shared" si="1"/>
        <v/>
      </c>
    </row>
    <row r="1044">
      <c r="A1044" s="93" t="str">
        <f t="shared" si="2"/>
        <v>#16241</v>
      </c>
      <c r="B1044" s="93" t="str">
        <f>IF(COUNTIF(MAIN!B:B, A1044)=0, "Missing", "")</f>
        <v/>
      </c>
      <c r="E1044" s="128" t="str">
        <f t="shared" si="1"/>
        <v/>
      </c>
    </row>
    <row r="1045">
      <c r="A1045" s="93" t="str">
        <f t="shared" si="2"/>
        <v>#16242</v>
      </c>
      <c r="B1045" s="93" t="str">
        <f>IF(COUNTIF(MAIN!B:B, A1045)=0, "Missing", "")</f>
        <v/>
      </c>
      <c r="E1045" s="128" t="str">
        <f t="shared" si="1"/>
        <v/>
      </c>
    </row>
    <row r="1046">
      <c r="A1046" s="93" t="str">
        <f t="shared" si="2"/>
        <v>#16243</v>
      </c>
      <c r="B1046" s="93" t="str">
        <f>IF(COUNTIF(MAIN!B:B, A1046)=0, "Missing", "")</f>
        <v/>
      </c>
      <c r="E1046" s="128" t="str">
        <f t="shared" si="1"/>
        <v/>
      </c>
    </row>
    <row r="1047">
      <c r="A1047" s="93" t="str">
        <f t="shared" si="2"/>
        <v>#16244</v>
      </c>
      <c r="B1047" s="93" t="str">
        <f>IF(COUNTIF(MAIN!B:B, A1047)=0, "Missing", "")</f>
        <v/>
      </c>
      <c r="E1047" s="128" t="str">
        <f t="shared" si="1"/>
        <v/>
      </c>
    </row>
    <row r="1048">
      <c r="A1048" s="93" t="str">
        <f t="shared" si="2"/>
        <v>#16245</v>
      </c>
      <c r="B1048" s="93" t="str">
        <f>IF(COUNTIF(MAIN!B:B, A1048)=0, "Missing", "")</f>
        <v/>
      </c>
      <c r="E1048" s="128" t="str">
        <f t="shared" si="1"/>
        <v/>
      </c>
    </row>
    <row r="1049">
      <c r="A1049" s="93" t="str">
        <f t="shared" si="2"/>
        <v>#16246</v>
      </c>
      <c r="B1049" s="93" t="str">
        <f>IF(COUNTIF(MAIN!B:B, A1049)=0, "Missing", "")</f>
        <v/>
      </c>
      <c r="E1049" s="128" t="str">
        <f t="shared" si="1"/>
        <v/>
      </c>
    </row>
    <row r="1050">
      <c r="A1050" s="93" t="str">
        <f t="shared" si="2"/>
        <v>#16247</v>
      </c>
      <c r="B1050" s="93" t="str">
        <f>IF(COUNTIF(MAIN!B:B, A1050)=0, "Missing", "")</f>
        <v/>
      </c>
      <c r="E1050" s="128" t="str">
        <f t="shared" si="1"/>
        <v/>
      </c>
    </row>
    <row r="1051">
      <c r="A1051" s="93" t="str">
        <f t="shared" si="2"/>
        <v>#16248</v>
      </c>
      <c r="B1051" s="93" t="str">
        <f>IF(COUNTIF(MAIN!B:B, A1051)=0, "Missing", "")</f>
        <v/>
      </c>
      <c r="E1051" s="128" t="str">
        <f t="shared" si="1"/>
        <v/>
      </c>
    </row>
    <row r="1052">
      <c r="A1052" s="93" t="str">
        <f t="shared" si="2"/>
        <v>#16249</v>
      </c>
      <c r="B1052" s="93" t="str">
        <f>IF(COUNTIF(MAIN!B:B, A1052)=0, "Missing", "")</f>
        <v/>
      </c>
      <c r="E1052" s="128" t="str">
        <f t="shared" si="1"/>
        <v/>
      </c>
    </row>
    <row r="1053">
      <c r="A1053" s="93" t="str">
        <f t="shared" si="2"/>
        <v>#16250</v>
      </c>
      <c r="B1053" s="93" t="str">
        <f>IF(COUNTIF(MAIN!B:B, A1053)=0, "Missing", "")</f>
        <v/>
      </c>
      <c r="E1053" s="128" t="str">
        <f t="shared" si="1"/>
        <v/>
      </c>
    </row>
    <row r="1054">
      <c r="A1054" s="93" t="str">
        <f t="shared" si="2"/>
        <v>#16251</v>
      </c>
      <c r="B1054" s="93" t="str">
        <f>IF(COUNTIF(MAIN!B:B, A1054)=0, "Missing", "")</f>
        <v/>
      </c>
      <c r="E1054" s="128" t="str">
        <f t="shared" si="1"/>
        <v/>
      </c>
    </row>
    <row r="1055">
      <c r="A1055" s="93" t="str">
        <f t="shared" si="2"/>
        <v>#16252</v>
      </c>
      <c r="B1055" s="93" t="str">
        <f>IF(COUNTIF(MAIN!B:B, A1055)=0, "Missing", "")</f>
        <v/>
      </c>
      <c r="E1055" s="128" t="str">
        <f t="shared" si="1"/>
        <v/>
      </c>
    </row>
    <row r="1056">
      <c r="A1056" s="93" t="str">
        <f t="shared" si="2"/>
        <v>#16253</v>
      </c>
      <c r="B1056" s="93" t="str">
        <f>IF(COUNTIF(MAIN!B:B, A1056)=0, "Missing", "")</f>
        <v/>
      </c>
      <c r="E1056" s="128" t="str">
        <f t="shared" si="1"/>
        <v/>
      </c>
    </row>
    <row r="1057">
      <c r="A1057" s="93" t="str">
        <f t="shared" si="2"/>
        <v>#16254</v>
      </c>
      <c r="B1057" s="93" t="str">
        <f>IF(COUNTIF(MAIN!B:B, A1057)=0, "Missing", "")</f>
        <v/>
      </c>
      <c r="E1057" s="128" t="str">
        <f t="shared" si="1"/>
        <v/>
      </c>
    </row>
    <row r="1058">
      <c r="A1058" s="93" t="str">
        <f t="shared" si="2"/>
        <v>#16255</v>
      </c>
      <c r="B1058" s="93" t="str">
        <f>IF(COUNTIF(MAIN!B:B, A1058)=0, "Missing", "")</f>
        <v/>
      </c>
      <c r="E1058" s="128" t="str">
        <f t="shared" si="1"/>
        <v/>
      </c>
    </row>
    <row r="1059">
      <c r="A1059" s="93" t="str">
        <f t="shared" si="2"/>
        <v>#16256</v>
      </c>
      <c r="B1059" s="93" t="str">
        <f>IF(COUNTIF(MAIN!B:B, A1059)=0, "Missing", "")</f>
        <v/>
      </c>
      <c r="E1059" s="128" t="str">
        <f t="shared" si="1"/>
        <v/>
      </c>
    </row>
    <row r="1060">
      <c r="A1060" s="93" t="str">
        <f t="shared" si="2"/>
        <v>#16257</v>
      </c>
      <c r="B1060" s="93" t="str">
        <f>IF(COUNTIF(MAIN!B:B, A1060)=0, "Missing", "")</f>
        <v/>
      </c>
      <c r="E1060" s="128" t="str">
        <f t="shared" si="1"/>
        <v/>
      </c>
    </row>
    <row r="1061">
      <c r="A1061" s="93" t="str">
        <f t="shared" si="2"/>
        <v>#16258</v>
      </c>
      <c r="B1061" s="93" t="str">
        <f>IF(COUNTIF(MAIN!B:B, A1061)=0, "Missing", "")</f>
        <v/>
      </c>
      <c r="E1061" s="128" t="str">
        <f t="shared" si="1"/>
        <v/>
      </c>
    </row>
    <row r="1062">
      <c r="A1062" s="93" t="str">
        <f t="shared" si="2"/>
        <v>#16259</v>
      </c>
      <c r="B1062" s="93" t="str">
        <f>IF(COUNTIF(MAIN!B:B, A1062)=0, "Missing", "")</f>
        <v/>
      </c>
      <c r="E1062" s="128" t="str">
        <f t="shared" si="1"/>
        <v/>
      </c>
    </row>
    <row r="1063">
      <c r="A1063" s="93" t="str">
        <f t="shared" si="2"/>
        <v>#16260</v>
      </c>
      <c r="B1063" s="93" t="str">
        <f>IF(COUNTIF(MAIN!B:B, A1063)=0, "Missing", "")</f>
        <v/>
      </c>
      <c r="E1063" s="128" t="str">
        <f t="shared" si="1"/>
        <v/>
      </c>
    </row>
    <row r="1064">
      <c r="A1064" s="93" t="str">
        <f t="shared" si="2"/>
        <v>#16261</v>
      </c>
      <c r="B1064" s="93" t="str">
        <f>IF(COUNTIF(MAIN!B:B, A1064)=0, "Missing", "")</f>
        <v/>
      </c>
      <c r="E1064" s="128" t="str">
        <f t="shared" si="1"/>
        <v/>
      </c>
    </row>
    <row r="1065">
      <c r="A1065" s="93" t="str">
        <f t="shared" si="2"/>
        <v>#16262</v>
      </c>
      <c r="B1065" s="93" t="str">
        <f>IF(COUNTIF(MAIN!B:B, A1065)=0, "Missing", "")</f>
        <v/>
      </c>
      <c r="E1065" s="128" t="str">
        <f t="shared" si="1"/>
        <v/>
      </c>
    </row>
    <row r="1066">
      <c r="A1066" s="93" t="str">
        <f t="shared" si="2"/>
        <v>#16263</v>
      </c>
      <c r="B1066" s="93" t="str">
        <f>IF(COUNTIF(MAIN!B:B, A1066)=0, "Missing", "")</f>
        <v/>
      </c>
      <c r="E1066" s="128" t="str">
        <f t="shared" si="1"/>
        <v/>
      </c>
    </row>
    <row r="1067">
      <c r="A1067" s="93" t="str">
        <f t="shared" si="2"/>
        <v>#16264</v>
      </c>
      <c r="B1067" s="93" t="str">
        <f>IF(COUNTIF(MAIN!B:B, A1067)=0, "Missing", "")</f>
        <v/>
      </c>
      <c r="E1067" s="128" t="str">
        <f t="shared" si="1"/>
        <v/>
      </c>
    </row>
    <row r="1068">
      <c r="A1068" s="93" t="str">
        <f t="shared" si="2"/>
        <v>#16265</v>
      </c>
      <c r="B1068" s="93" t="str">
        <f>IF(COUNTIF(MAIN!B:B, A1068)=0, "Missing", "")</f>
        <v/>
      </c>
      <c r="E1068" s="128" t="str">
        <f t="shared" si="1"/>
        <v/>
      </c>
    </row>
    <row r="1069">
      <c r="A1069" s="93" t="str">
        <f t="shared" si="2"/>
        <v>#16266</v>
      </c>
      <c r="B1069" s="93" t="str">
        <f>IF(COUNTIF(MAIN!B:B, A1069)=0, "Missing", "")</f>
        <v/>
      </c>
      <c r="E1069" s="128" t="str">
        <f t="shared" si="1"/>
        <v/>
      </c>
    </row>
    <row r="1070">
      <c r="A1070" s="93" t="str">
        <f t="shared" si="2"/>
        <v>#16267</v>
      </c>
      <c r="B1070" s="93" t="str">
        <f>IF(COUNTIF(MAIN!B:B, A1070)=0, "Missing", "")</f>
        <v/>
      </c>
      <c r="E1070" s="128" t="str">
        <f t="shared" si="1"/>
        <v/>
      </c>
    </row>
    <row r="1071">
      <c r="A1071" s="93" t="str">
        <f t="shared" si="2"/>
        <v>#16268</v>
      </c>
      <c r="B1071" s="93" t="str">
        <f>IF(COUNTIF(MAIN!B:B, A1071)=0, "Missing", "")</f>
        <v/>
      </c>
      <c r="E1071" s="128" t="str">
        <f t="shared" si="1"/>
        <v/>
      </c>
    </row>
    <row r="1072">
      <c r="A1072" s="93" t="str">
        <f t="shared" si="2"/>
        <v>#16269</v>
      </c>
      <c r="B1072" s="93" t="str">
        <f>IF(COUNTIF(MAIN!B:B, A1072)=0, "Missing", "")</f>
        <v/>
      </c>
      <c r="E1072" s="128" t="str">
        <f t="shared" si="1"/>
        <v/>
      </c>
    </row>
    <row r="1073">
      <c r="A1073" s="93" t="str">
        <f t="shared" si="2"/>
        <v>#16270</v>
      </c>
      <c r="B1073" s="93" t="str">
        <f>IF(COUNTIF(MAIN!B:B, A1073)=0, "Missing", "")</f>
        <v/>
      </c>
      <c r="E1073" s="128" t="str">
        <f t="shared" si="1"/>
        <v/>
      </c>
    </row>
    <row r="1074">
      <c r="A1074" s="93" t="str">
        <f t="shared" si="2"/>
        <v>#16271</v>
      </c>
      <c r="B1074" s="93" t="str">
        <f>IF(COUNTIF(MAIN!B:B, A1074)=0, "Missing", "")</f>
        <v/>
      </c>
      <c r="E1074" s="128" t="str">
        <f t="shared" si="1"/>
        <v/>
      </c>
    </row>
    <row r="1075">
      <c r="A1075" s="93" t="str">
        <f t="shared" si="2"/>
        <v>#16272</v>
      </c>
      <c r="B1075" s="93" t="str">
        <f>IF(COUNTIF(MAIN!B:B, A1075)=0, "Missing", "")</f>
        <v/>
      </c>
      <c r="E1075" s="128" t="str">
        <f t="shared" si="1"/>
        <v/>
      </c>
    </row>
    <row r="1076">
      <c r="A1076" s="93" t="str">
        <f t="shared" si="2"/>
        <v>#16273</v>
      </c>
      <c r="B1076" s="93" t="str">
        <f>IF(COUNTIF(MAIN!B:B, A1076)=0, "Missing", "")</f>
        <v/>
      </c>
      <c r="E1076" s="128" t="str">
        <f t="shared" si="1"/>
        <v/>
      </c>
    </row>
    <row r="1077">
      <c r="A1077" s="93" t="str">
        <f t="shared" si="2"/>
        <v>#16274</v>
      </c>
      <c r="B1077" s="93" t="str">
        <f>IF(COUNTIF(MAIN!B:B, A1077)=0, "Missing", "")</f>
        <v/>
      </c>
      <c r="E1077" s="128" t="str">
        <f t="shared" si="1"/>
        <v/>
      </c>
    </row>
    <row r="1078">
      <c r="A1078" s="93" t="str">
        <f t="shared" si="2"/>
        <v>#16275</v>
      </c>
      <c r="B1078" s="93" t="str">
        <f>IF(COUNTIF(MAIN!B:B, A1078)=0, "Missing", "")</f>
        <v/>
      </c>
      <c r="E1078" s="128" t="str">
        <f t="shared" si="1"/>
        <v/>
      </c>
    </row>
    <row r="1079">
      <c r="A1079" s="93" t="str">
        <f t="shared" si="2"/>
        <v>#16276</v>
      </c>
      <c r="B1079" s="93" t="str">
        <f>IF(COUNTIF(MAIN!B:B, A1079)=0, "Missing", "")</f>
        <v/>
      </c>
      <c r="E1079" s="128" t="str">
        <f t="shared" si="1"/>
        <v/>
      </c>
    </row>
    <row r="1080">
      <c r="A1080" s="93" t="str">
        <f t="shared" si="2"/>
        <v>#16277</v>
      </c>
      <c r="B1080" s="93" t="str">
        <f>IF(COUNTIF(MAIN!B:B, A1080)=0, "Missing", "")</f>
        <v/>
      </c>
      <c r="E1080" s="128" t="str">
        <f t="shared" si="1"/>
        <v/>
      </c>
    </row>
    <row r="1081">
      <c r="A1081" s="93" t="str">
        <f t="shared" si="2"/>
        <v>#16278</v>
      </c>
      <c r="B1081" s="93" t="str">
        <f>IF(COUNTIF(MAIN!B:B, A1081)=0, "Missing", "")</f>
        <v/>
      </c>
      <c r="E1081" s="128" t="str">
        <f t="shared" si="1"/>
        <v/>
      </c>
    </row>
    <row r="1082">
      <c r="A1082" s="93" t="str">
        <f t="shared" si="2"/>
        <v>#16279</v>
      </c>
      <c r="B1082" s="93" t="str">
        <f>IF(COUNTIF(MAIN!B:B, A1082)=0, "Missing", "")</f>
        <v/>
      </c>
      <c r="E1082" s="128" t="str">
        <f t="shared" si="1"/>
        <v/>
      </c>
    </row>
    <row r="1083">
      <c r="A1083" s="93" t="str">
        <f t="shared" si="2"/>
        <v>#16280</v>
      </c>
      <c r="B1083" s="93" t="str">
        <f>IF(COUNTIF(MAIN!B:B, A1083)=0, "Missing", "")</f>
        <v/>
      </c>
      <c r="E1083" s="128" t="str">
        <f t="shared" si="1"/>
        <v/>
      </c>
    </row>
    <row r="1084">
      <c r="A1084" s="93" t="str">
        <f t="shared" si="2"/>
        <v>#16281</v>
      </c>
      <c r="B1084" s="93" t="str">
        <f>IF(COUNTIF(MAIN!B:B, A1084)=0, "Missing", "")</f>
        <v/>
      </c>
      <c r="E1084" s="128" t="str">
        <f t="shared" si="1"/>
        <v/>
      </c>
    </row>
    <row r="1085">
      <c r="A1085" s="93" t="str">
        <f t="shared" si="2"/>
        <v>#16282</v>
      </c>
      <c r="B1085" s="93" t="str">
        <f>IF(COUNTIF(MAIN!B:B, A1085)=0, "Missing", "")</f>
        <v/>
      </c>
      <c r="E1085" s="128" t="str">
        <f t="shared" si="1"/>
        <v/>
      </c>
    </row>
    <row r="1086">
      <c r="A1086" s="93" t="str">
        <f t="shared" si="2"/>
        <v>#16283</v>
      </c>
      <c r="B1086" s="93" t="str">
        <f>IF(COUNTIF(MAIN!B:B, A1086)=0, "Missing", "")</f>
        <v/>
      </c>
      <c r="E1086" s="128" t="str">
        <f t="shared" si="1"/>
        <v/>
      </c>
    </row>
    <row r="1087">
      <c r="A1087" s="93" t="str">
        <f t="shared" si="2"/>
        <v>#16284</v>
      </c>
      <c r="B1087" s="93" t="str">
        <f>IF(COUNTIF(MAIN!B:B, A1087)=0, "Missing", "")</f>
        <v/>
      </c>
      <c r="E1087" s="128" t="str">
        <f t="shared" si="1"/>
        <v/>
      </c>
    </row>
    <row r="1088">
      <c r="A1088" s="93" t="str">
        <f t="shared" si="2"/>
        <v>#16285</v>
      </c>
      <c r="B1088" s="93" t="str">
        <f>IF(COUNTIF(MAIN!B:B, A1088)=0, "Missing", "")</f>
        <v/>
      </c>
      <c r="E1088" s="128" t="str">
        <f t="shared" si="1"/>
        <v/>
      </c>
    </row>
    <row r="1089">
      <c r="A1089" s="93" t="str">
        <f t="shared" si="2"/>
        <v>#16286</v>
      </c>
      <c r="B1089" s="93" t="str">
        <f>IF(COUNTIF(MAIN!B:B, A1089)=0, "Missing", "")</f>
        <v/>
      </c>
      <c r="E1089" s="128" t="str">
        <f t="shared" si="1"/>
        <v/>
      </c>
    </row>
    <row r="1090">
      <c r="A1090" s="93" t="str">
        <f t="shared" si="2"/>
        <v>#16287</v>
      </c>
      <c r="B1090" s="93" t="str">
        <f>IF(COUNTIF(MAIN!B:B, A1090)=0, "Missing", "")</f>
        <v/>
      </c>
      <c r="E1090" s="128" t="str">
        <f t="shared" si="1"/>
        <v/>
      </c>
    </row>
    <row r="1091">
      <c r="A1091" s="93" t="str">
        <f t="shared" si="2"/>
        <v>#16288</v>
      </c>
      <c r="B1091" s="93" t="str">
        <f>IF(COUNTIF(MAIN!B:B, A1091)=0, "Missing", "")</f>
        <v/>
      </c>
      <c r="E1091" s="128" t="str">
        <f t="shared" si="1"/>
        <v/>
      </c>
    </row>
    <row r="1092">
      <c r="A1092" s="93" t="str">
        <f t="shared" si="2"/>
        <v>#16289</v>
      </c>
      <c r="B1092" s="93" t="str">
        <f>IF(COUNTIF(MAIN!B:B, A1092)=0, "Missing", "")</f>
        <v/>
      </c>
      <c r="E1092" s="128" t="str">
        <f t="shared" si="1"/>
        <v/>
      </c>
    </row>
    <row r="1093">
      <c r="A1093" s="93" t="str">
        <f t="shared" si="2"/>
        <v>#16290</v>
      </c>
      <c r="B1093" s="93" t="str">
        <f>IF(COUNTIF(MAIN!B:B, A1093)=0, "Missing", "")</f>
        <v/>
      </c>
      <c r="E1093" s="128" t="str">
        <f t="shared" si="1"/>
        <v/>
      </c>
    </row>
    <row r="1094">
      <c r="A1094" s="93" t="str">
        <f t="shared" si="2"/>
        <v>#16291</v>
      </c>
      <c r="B1094" s="93" t="str">
        <f>IF(COUNTIF(MAIN!B:B, A1094)=0, "Missing", "")</f>
        <v/>
      </c>
      <c r="E1094" s="128" t="str">
        <f t="shared" si="1"/>
        <v/>
      </c>
    </row>
    <row r="1095">
      <c r="A1095" s="93" t="str">
        <f t="shared" si="2"/>
        <v>#16292</v>
      </c>
      <c r="B1095" s="93" t="str">
        <f>IF(COUNTIF(MAIN!B:B, A1095)=0, "Missing", "")</f>
        <v/>
      </c>
      <c r="E1095" s="128" t="str">
        <f t="shared" si="1"/>
        <v/>
      </c>
    </row>
    <row r="1096">
      <c r="A1096" s="93" t="str">
        <f t="shared" si="2"/>
        <v>#16293</v>
      </c>
      <c r="B1096" s="93" t="str">
        <f>IF(COUNTIF(MAIN!B:B, A1096)=0, "Missing", "")</f>
        <v/>
      </c>
      <c r="E1096" s="128" t="str">
        <f t="shared" si="1"/>
        <v/>
      </c>
    </row>
    <row r="1097">
      <c r="A1097" s="93" t="str">
        <f t="shared" si="2"/>
        <v>#16294</v>
      </c>
      <c r="B1097" s="93" t="str">
        <f>IF(COUNTIF(MAIN!B:B, A1097)=0, "Missing", "")</f>
        <v/>
      </c>
      <c r="E1097" s="128" t="str">
        <f t="shared" si="1"/>
        <v/>
      </c>
    </row>
    <row r="1098">
      <c r="A1098" s="93" t="str">
        <f t="shared" si="2"/>
        <v>#16295</v>
      </c>
      <c r="B1098" s="93" t="str">
        <f>IF(COUNTIF(MAIN!B:B, A1098)=0, "Missing", "")</f>
        <v/>
      </c>
      <c r="E1098" s="128" t="str">
        <f t="shared" si="1"/>
        <v/>
      </c>
    </row>
    <row r="1099">
      <c r="A1099" s="93" t="str">
        <f t="shared" si="2"/>
        <v>#16296</v>
      </c>
      <c r="B1099" s="93" t="str">
        <f>IF(COUNTIF(MAIN!B:B, A1099)=0, "Missing", "")</f>
        <v/>
      </c>
      <c r="E1099" s="128" t="str">
        <f t="shared" si="1"/>
        <v/>
      </c>
    </row>
    <row r="1100">
      <c r="A1100" s="93" t="str">
        <f t="shared" si="2"/>
        <v>#16297</v>
      </c>
      <c r="B1100" s="93" t="str">
        <f>IF(COUNTIF(MAIN!B:B, A1100)=0, "Missing", "")</f>
        <v/>
      </c>
      <c r="E1100" s="128" t="str">
        <f t="shared" si="1"/>
        <v/>
      </c>
    </row>
    <row r="1101">
      <c r="A1101" s="93" t="str">
        <f t="shared" si="2"/>
        <v>#16298</v>
      </c>
      <c r="B1101" s="93" t="str">
        <f>IF(COUNTIF(MAIN!B:B, A1101)=0, "Missing", "")</f>
        <v/>
      </c>
      <c r="E1101" s="128" t="str">
        <f t="shared" si="1"/>
        <v/>
      </c>
    </row>
    <row r="1102">
      <c r="A1102" s="93" t="str">
        <f t="shared" si="2"/>
        <v>#16299</v>
      </c>
      <c r="B1102" s="93" t="str">
        <f>IF(COUNTIF(MAIN!B:B, A1102)=0, "Missing", "")</f>
        <v/>
      </c>
      <c r="E1102" s="128" t="str">
        <f t="shared" si="1"/>
        <v/>
      </c>
    </row>
    <row r="1103">
      <c r="A1103" s="93" t="str">
        <f t="shared" si="2"/>
        <v>#16300</v>
      </c>
      <c r="B1103" s="93" t="str">
        <f>IF(COUNTIF(MAIN!B:B, A1103)=0, "Missing", "")</f>
        <v/>
      </c>
      <c r="E1103" s="128" t="str">
        <f t="shared" si="1"/>
        <v/>
      </c>
    </row>
    <row r="1104">
      <c r="A1104" s="93" t="str">
        <f t="shared" si="2"/>
        <v>#16301</v>
      </c>
      <c r="B1104" s="93" t="str">
        <f>IF(COUNTIF(MAIN!B:B, A1104)=0, "Missing", "")</f>
        <v/>
      </c>
      <c r="E1104" s="128" t="str">
        <f t="shared" si="1"/>
        <v/>
      </c>
    </row>
    <row r="1105">
      <c r="A1105" s="93" t="str">
        <f t="shared" si="2"/>
        <v>#16302</v>
      </c>
      <c r="B1105" s="93" t="str">
        <f>IF(COUNTIF(MAIN!B:B, A1105)=0, "Missing", "")</f>
        <v/>
      </c>
      <c r="E1105" s="128" t="str">
        <f t="shared" si="1"/>
        <v/>
      </c>
    </row>
    <row r="1106">
      <c r="A1106" s="93" t="str">
        <f t="shared" si="2"/>
        <v>#16303</v>
      </c>
      <c r="B1106" s="93" t="str">
        <f>IF(COUNTIF(MAIN!B:B, A1106)=0, "Missing", "")</f>
        <v/>
      </c>
      <c r="E1106" s="128" t="str">
        <f t="shared" si="1"/>
        <v/>
      </c>
    </row>
    <row r="1107">
      <c r="A1107" s="93" t="str">
        <f t="shared" si="2"/>
        <v>#16304</v>
      </c>
      <c r="B1107" s="93" t="str">
        <f>IF(COUNTIF(MAIN!B:B, A1107)=0, "Missing", "")</f>
        <v/>
      </c>
      <c r="E1107" s="128" t="str">
        <f t="shared" si="1"/>
        <v/>
      </c>
    </row>
    <row r="1108">
      <c r="A1108" s="93" t="str">
        <f t="shared" si="2"/>
        <v>#16305</v>
      </c>
      <c r="B1108" s="93" t="str">
        <f>IF(COUNTIF(MAIN!B:B, A1108)=0, "Missing", "")</f>
        <v/>
      </c>
      <c r="E1108" s="128" t="str">
        <f t="shared" si="1"/>
        <v/>
      </c>
    </row>
    <row r="1109">
      <c r="A1109" s="93" t="str">
        <f t="shared" si="2"/>
        <v>#16306</v>
      </c>
      <c r="B1109" s="93" t="str">
        <f>IF(COUNTIF(MAIN!B:B, A1109)=0, "Missing", "")</f>
        <v/>
      </c>
      <c r="E1109" s="128" t="str">
        <f t="shared" si="1"/>
        <v/>
      </c>
    </row>
    <row r="1110">
      <c r="A1110" s="93" t="str">
        <f t="shared" si="2"/>
        <v>#16307</v>
      </c>
      <c r="B1110" s="93" t="str">
        <f>IF(COUNTIF(MAIN!B:B, A1110)=0, "Missing", "")</f>
        <v/>
      </c>
      <c r="E1110" s="128" t="str">
        <f t="shared" si="1"/>
        <v/>
      </c>
    </row>
    <row r="1111">
      <c r="A1111" s="93" t="str">
        <f t="shared" si="2"/>
        <v>#16308</v>
      </c>
      <c r="B1111" s="93" t="str">
        <f>IF(COUNTIF(MAIN!B:B, A1111)=0, "Missing", "")</f>
        <v/>
      </c>
      <c r="E1111" s="128" t="str">
        <f t="shared" si="1"/>
        <v/>
      </c>
    </row>
    <row r="1112">
      <c r="A1112" s="93" t="str">
        <f t="shared" si="2"/>
        <v>#16309</v>
      </c>
      <c r="B1112" s="93" t="str">
        <f>IF(COUNTIF(MAIN!B:B, A1112)=0, "Missing", "")</f>
        <v/>
      </c>
      <c r="E1112" s="128" t="str">
        <f t="shared" si="1"/>
        <v/>
      </c>
    </row>
    <row r="1113">
      <c r="A1113" s="93" t="str">
        <f t="shared" si="2"/>
        <v>#16310</v>
      </c>
      <c r="B1113" s="93" t="str">
        <f>IF(COUNTIF(MAIN!B:B, A1113)=0, "Missing", "")</f>
        <v/>
      </c>
      <c r="E1113" s="128" t="str">
        <f t="shared" si="1"/>
        <v/>
      </c>
    </row>
    <row r="1114">
      <c r="A1114" s="93" t="str">
        <f t="shared" si="2"/>
        <v>#16311</v>
      </c>
      <c r="B1114" s="93" t="str">
        <f>IF(COUNTIF(MAIN!B:B, A1114)=0, "Missing", "")</f>
        <v/>
      </c>
      <c r="E1114" s="128" t="str">
        <f t="shared" si="1"/>
        <v/>
      </c>
    </row>
    <row r="1115">
      <c r="A1115" s="93" t="str">
        <f t="shared" si="2"/>
        <v>#16312</v>
      </c>
      <c r="B1115" s="93" t="str">
        <f>IF(COUNTIF(MAIN!B:B, A1115)=0, "Missing", "")</f>
        <v/>
      </c>
      <c r="E1115" s="128" t="str">
        <f t="shared" si="1"/>
        <v/>
      </c>
    </row>
    <row r="1116">
      <c r="A1116" s="93" t="str">
        <f t="shared" si="2"/>
        <v>#16313</v>
      </c>
      <c r="B1116" s="93" t="str">
        <f>IF(COUNTIF(MAIN!B:B, A1116)=0, "Missing", "")</f>
        <v/>
      </c>
      <c r="E1116" s="128" t="str">
        <f t="shared" si="1"/>
        <v/>
      </c>
    </row>
    <row r="1117">
      <c r="A1117" s="93" t="str">
        <f t="shared" si="2"/>
        <v>#16314</v>
      </c>
      <c r="B1117" s="93" t="str">
        <f>IF(COUNTIF(MAIN!B:B, A1117)=0, "Missing", "")</f>
        <v/>
      </c>
      <c r="E1117" s="128" t="str">
        <f t="shared" si="1"/>
        <v/>
      </c>
    </row>
    <row r="1118">
      <c r="A1118" s="93" t="str">
        <f t="shared" si="2"/>
        <v>#16315</v>
      </c>
      <c r="B1118" s="93" t="str">
        <f>IF(COUNTIF(MAIN!B:B, A1118)=0, "Missing", "")</f>
        <v/>
      </c>
      <c r="E1118" s="128" t="str">
        <f t="shared" si="1"/>
        <v/>
      </c>
    </row>
    <row r="1119">
      <c r="A1119" s="93" t="str">
        <f t="shared" si="2"/>
        <v>#16316</v>
      </c>
      <c r="B1119" s="93" t="str">
        <f>IF(COUNTIF(MAIN!B:B, A1119)=0, "Missing", "")</f>
        <v/>
      </c>
      <c r="E1119" s="128" t="str">
        <f t="shared" si="1"/>
        <v/>
      </c>
    </row>
    <row r="1120">
      <c r="A1120" s="93" t="str">
        <f t="shared" si="2"/>
        <v>#16317</v>
      </c>
      <c r="B1120" s="93" t="str">
        <f>IF(COUNTIF(MAIN!B:B, A1120)=0, "Missing", "")</f>
        <v/>
      </c>
      <c r="E1120" s="128" t="str">
        <f t="shared" si="1"/>
        <v/>
      </c>
    </row>
    <row r="1121">
      <c r="A1121" s="93" t="str">
        <f t="shared" si="2"/>
        <v>#16318</v>
      </c>
      <c r="B1121" s="93" t="str">
        <f>IF(COUNTIF(MAIN!B:B, A1121)=0, "Missing", "")</f>
        <v/>
      </c>
      <c r="E1121" s="128" t="str">
        <f t="shared" si="1"/>
        <v/>
      </c>
    </row>
    <row r="1122">
      <c r="A1122" s="93" t="str">
        <f t="shared" si="2"/>
        <v>#16319</v>
      </c>
      <c r="B1122" s="93" t="str">
        <f>IF(COUNTIF(MAIN!B:B, A1122)=0, "Missing", "")</f>
        <v/>
      </c>
      <c r="E1122" s="128" t="str">
        <f t="shared" si="1"/>
        <v/>
      </c>
    </row>
    <row r="1123">
      <c r="A1123" s="93" t="str">
        <f t="shared" si="2"/>
        <v>#16320</v>
      </c>
      <c r="B1123" s="93" t="str">
        <f>IF(COUNTIF(MAIN!B:B, A1123)=0, "Missing", "")</f>
        <v/>
      </c>
      <c r="E1123" s="128" t="str">
        <f t="shared" si="1"/>
        <v/>
      </c>
    </row>
    <row r="1124">
      <c r="A1124" s="93" t="str">
        <f t="shared" si="2"/>
        <v>#16321</v>
      </c>
      <c r="B1124" s="93" t="str">
        <f>IF(COUNTIF(MAIN!B:B, A1124)=0, "Missing", "")</f>
        <v/>
      </c>
      <c r="E1124" s="128" t="str">
        <f t="shared" si="1"/>
        <v/>
      </c>
    </row>
    <row r="1125">
      <c r="A1125" s="93" t="str">
        <f t="shared" si="2"/>
        <v>#16322</v>
      </c>
      <c r="B1125" s="93" t="str">
        <f>IF(COUNTIF(MAIN!B:B, A1125)=0, "Missing", "")</f>
        <v/>
      </c>
      <c r="E1125" s="128" t="str">
        <f t="shared" si="1"/>
        <v/>
      </c>
    </row>
    <row r="1126">
      <c r="A1126" s="93" t="str">
        <f t="shared" si="2"/>
        <v>#16323</v>
      </c>
      <c r="B1126" s="93" t="str">
        <f>IF(COUNTIF(MAIN!B:B, A1126)=0, "Missing", "")</f>
        <v/>
      </c>
      <c r="E1126" s="128" t="str">
        <f t="shared" si="1"/>
        <v/>
      </c>
    </row>
    <row r="1127">
      <c r="A1127" s="93" t="str">
        <f t="shared" si="2"/>
        <v>#16324</v>
      </c>
      <c r="B1127" s="93" t="str">
        <f>IF(COUNTIF(MAIN!B:B, A1127)=0, "Missing", "")</f>
        <v/>
      </c>
      <c r="E1127" s="128" t="str">
        <f t="shared" si="1"/>
        <v/>
      </c>
    </row>
    <row r="1128">
      <c r="A1128" s="93" t="str">
        <f t="shared" si="2"/>
        <v>#16325</v>
      </c>
      <c r="B1128" s="93" t="str">
        <f>IF(COUNTIF(MAIN!B:B, A1128)=0, "Missing", "")</f>
        <v/>
      </c>
      <c r="E1128" s="128" t="str">
        <f t="shared" si="1"/>
        <v/>
      </c>
    </row>
    <row r="1129">
      <c r="A1129" s="93" t="str">
        <f t="shared" si="2"/>
        <v>#16326</v>
      </c>
      <c r="B1129" s="93" t="str">
        <f>IF(COUNTIF(MAIN!B:B, A1129)=0, "Missing", "")</f>
        <v/>
      </c>
      <c r="E1129" s="128" t="str">
        <f t="shared" si="1"/>
        <v/>
      </c>
    </row>
    <row r="1130">
      <c r="A1130" s="93" t="str">
        <f t="shared" si="2"/>
        <v>#16327</v>
      </c>
      <c r="B1130" s="93" t="str">
        <f>IF(COUNTIF(MAIN!B:B, A1130)=0, "Missing", "")</f>
        <v/>
      </c>
      <c r="E1130" s="128" t="str">
        <f t="shared" si="1"/>
        <v/>
      </c>
    </row>
    <row r="1131">
      <c r="A1131" s="93" t="str">
        <f t="shared" si="2"/>
        <v>#16328</v>
      </c>
      <c r="B1131" s="93" t="str">
        <f>IF(COUNTIF(MAIN!B:B, A1131)=0, "Missing", "")</f>
        <v/>
      </c>
      <c r="E1131" s="128" t="str">
        <f t="shared" si="1"/>
        <v/>
      </c>
    </row>
    <row r="1132">
      <c r="A1132" s="93" t="str">
        <f t="shared" si="2"/>
        <v>#16329</v>
      </c>
      <c r="B1132" s="93" t="str">
        <f>IF(COUNTIF(MAIN!B:B, A1132)=0, "Missing", "")</f>
        <v/>
      </c>
      <c r="E1132" s="128" t="str">
        <f t="shared" si="1"/>
        <v/>
      </c>
    </row>
    <row r="1133">
      <c r="A1133" s="93" t="str">
        <f t="shared" si="2"/>
        <v>#16330</v>
      </c>
      <c r="B1133" s="93" t="str">
        <f>IF(COUNTIF(MAIN!B:B, A1133)=0, "Missing", "")</f>
        <v/>
      </c>
      <c r="E1133" s="128" t="str">
        <f t="shared" si="1"/>
        <v/>
      </c>
    </row>
    <row r="1134">
      <c r="A1134" s="93" t="str">
        <f t="shared" si="2"/>
        <v>#16331</v>
      </c>
      <c r="B1134" s="93" t="str">
        <f>IF(COUNTIF(MAIN!B:B, A1134)=0, "Missing", "")</f>
        <v/>
      </c>
      <c r="E1134" s="128" t="str">
        <f t="shared" si="1"/>
        <v/>
      </c>
    </row>
    <row r="1135">
      <c r="A1135" s="93" t="str">
        <f t="shared" si="2"/>
        <v>#16332</v>
      </c>
      <c r="B1135" s="93" t="str">
        <f>IF(COUNTIF(MAIN!B:B, A1135)=0, "Missing", "")</f>
        <v/>
      </c>
      <c r="E1135" s="128" t="str">
        <f t="shared" si="1"/>
        <v/>
      </c>
    </row>
    <row r="1136">
      <c r="A1136" s="93" t="str">
        <f t="shared" si="2"/>
        <v>#16333</v>
      </c>
      <c r="B1136" s="93" t="str">
        <f>IF(COUNTIF(MAIN!B:B, A1136)=0, "Missing", "")</f>
        <v/>
      </c>
      <c r="E1136" s="128" t="str">
        <f t="shared" si="1"/>
        <v/>
      </c>
    </row>
    <row r="1137">
      <c r="A1137" s="93" t="str">
        <f t="shared" si="2"/>
        <v>#16334</v>
      </c>
      <c r="B1137" s="93" t="str">
        <f>IF(COUNTIF(MAIN!B:B, A1137)=0, "Missing", "")</f>
        <v/>
      </c>
      <c r="E1137" s="128" t="str">
        <f t="shared" si="1"/>
        <v/>
      </c>
    </row>
    <row r="1138">
      <c r="A1138" s="93" t="str">
        <f t="shared" si="2"/>
        <v>#16335</v>
      </c>
      <c r="B1138" s="93" t="str">
        <f>IF(COUNTIF(MAIN!B:B, A1138)=0, "Missing", "")</f>
        <v/>
      </c>
      <c r="E1138" s="128" t="str">
        <f t="shared" si="1"/>
        <v/>
      </c>
    </row>
    <row r="1139">
      <c r="A1139" s="93" t="str">
        <f t="shared" si="2"/>
        <v>#16336</v>
      </c>
      <c r="B1139" s="93" t="str">
        <f>IF(COUNTIF(MAIN!B:B, A1139)=0, "Missing", "")</f>
        <v/>
      </c>
      <c r="E1139" s="128" t="str">
        <f t="shared" si="1"/>
        <v/>
      </c>
    </row>
    <row r="1140">
      <c r="A1140" s="93" t="str">
        <f t="shared" si="2"/>
        <v>#16337</v>
      </c>
      <c r="B1140" s="93" t="str">
        <f>IF(COUNTIF(MAIN!B:B, A1140)=0, "Missing", "")</f>
        <v/>
      </c>
      <c r="E1140" s="128" t="str">
        <f t="shared" si="1"/>
        <v/>
      </c>
    </row>
    <row r="1141">
      <c r="A1141" s="93" t="str">
        <f t="shared" si="2"/>
        <v>#16338</v>
      </c>
      <c r="B1141" s="93" t="str">
        <f>IF(COUNTIF(MAIN!B:B, A1141)=0, "Missing", "")</f>
        <v/>
      </c>
      <c r="E1141" s="128" t="str">
        <f t="shared" si="1"/>
        <v/>
      </c>
    </row>
    <row r="1142">
      <c r="A1142" s="93" t="str">
        <f t="shared" si="2"/>
        <v>#16339</v>
      </c>
      <c r="B1142" s="93" t="str">
        <f>IF(COUNTIF(MAIN!B:B, A1142)=0, "Missing", "")</f>
        <v/>
      </c>
      <c r="E1142" s="128" t="str">
        <f t="shared" si="1"/>
        <v/>
      </c>
    </row>
    <row r="1143">
      <c r="A1143" s="93" t="str">
        <f t="shared" si="2"/>
        <v>#16340</v>
      </c>
      <c r="B1143" s="93" t="str">
        <f>IF(COUNTIF(MAIN!B:B, A1143)=0, "Missing", "")</f>
        <v/>
      </c>
      <c r="E1143" s="128" t="str">
        <f t="shared" si="1"/>
        <v/>
      </c>
    </row>
    <row r="1144">
      <c r="A1144" s="93" t="str">
        <f t="shared" si="2"/>
        <v>#16341</v>
      </c>
      <c r="B1144" s="93" t="str">
        <f>IF(COUNTIF(MAIN!B:B, A1144)=0, "Missing", "")</f>
        <v/>
      </c>
      <c r="E1144" s="128" t="str">
        <f t="shared" si="1"/>
        <v/>
      </c>
    </row>
    <row r="1145">
      <c r="A1145" s="93" t="str">
        <f t="shared" si="2"/>
        <v>#16342</v>
      </c>
      <c r="B1145" s="93" t="str">
        <f>IF(COUNTIF(MAIN!B:B, A1145)=0, "Missing", "")</f>
        <v/>
      </c>
      <c r="E1145" s="128" t="str">
        <f t="shared" si="1"/>
        <v/>
      </c>
    </row>
    <row r="1146">
      <c r="A1146" s="93" t="str">
        <f t="shared" si="2"/>
        <v>#16343</v>
      </c>
      <c r="B1146" s="93" t="str">
        <f>IF(COUNTIF(MAIN!B:B, A1146)=0, "Missing", "")</f>
        <v/>
      </c>
      <c r="E1146" s="128" t="str">
        <f t="shared" si="1"/>
        <v/>
      </c>
    </row>
    <row r="1147">
      <c r="A1147" s="93" t="str">
        <f t="shared" si="2"/>
        <v>#16344</v>
      </c>
      <c r="B1147" s="93" t="str">
        <f>IF(COUNTIF(MAIN!B:B, A1147)=0, "Missing", "")</f>
        <v/>
      </c>
      <c r="E1147" s="128" t="str">
        <f t="shared" si="1"/>
        <v/>
      </c>
    </row>
    <row r="1148">
      <c r="A1148" s="93" t="str">
        <f t="shared" si="2"/>
        <v>#16345</v>
      </c>
      <c r="B1148" s="93" t="str">
        <f>IF(COUNTIF(MAIN!B:B, A1148)=0, "Missing", "")</f>
        <v/>
      </c>
      <c r="E1148" s="128" t="str">
        <f t="shared" si="1"/>
        <v/>
      </c>
    </row>
    <row r="1149">
      <c r="A1149" s="93" t="str">
        <f t="shared" si="2"/>
        <v>#16346</v>
      </c>
      <c r="B1149" s="93" t="str">
        <f>IF(COUNTIF(MAIN!B:B, A1149)=0, "Missing", "")</f>
        <v/>
      </c>
      <c r="E1149" s="128" t="str">
        <f t="shared" si="1"/>
        <v/>
      </c>
    </row>
    <row r="1150">
      <c r="A1150" s="93" t="str">
        <f t="shared" si="2"/>
        <v>#16347</v>
      </c>
      <c r="B1150" s="93" t="str">
        <f>IF(COUNTIF(MAIN!B:B, A1150)=0, "Missing", "")</f>
        <v/>
      </c>
      <c r="E1150" s="128" t="str">
        <f t="shared" si="1"/>
        <v/>
      </c>
    </row>
    <row r="1151">
      <c r="A1151" s="93" t="str">
        <f t="shared" si="2"/>
        <v>#16348</v>
      </c>
      <c r="B1151" s="93" t="str">
        <f>IF(COUNTIF(MAIN!B:B, A1151)=0, "Missing", "")</f>
        <v/>
      </c>
      <c r="E1151" s="128" t="str">
        <f t="shared" si="1"/>
        <v/>
      </c>
    </row>
    <row r="1152">
      <c r="A1152" s="93" t="str">
        <f t="shared" si="2"/>
        <v>#16349</v>
      </c>
      <c r="B1152" s="93" t="str">
        <f>IF(COUNTIF(MAIN!B:B, A1152)=0, "Missing", "")</f>
        <v/>
      </c>
      <c r="E1152" s="128" t="str">
        <f t="shared" si="1"/>
        <v/>
      </c>
    </row>
    <row r="1153">
      <c r="A1153" s="93" t="str">
        <f t="shared" si="2"/>
        <v>#16350</v>
      </c>
      <c r="B1153" s="93" t="str">
        <f>IF(COUNTIF(MAIN!B:B, A1153)=0, "Missing", "")</f>
        <v/>
      </c>
      <c r="E1153" s="128" t="str">
        <f t="shared" si="1"/>
        <v/>
      </c>
    </row>
    <row r="1154">
      <c r="A1154" s="93" t="str">
        <f t="shared" si="2"/>
        <v>#16351</v>
      </c>
      <c r="B1154" s="93" t="str">
        <f>IF(COUNTIF(MAIN!B:B, A1154)=0, "Missing", "")</f>
        <v/>
      </c>
      <c r="E1154" s="128" t="str">
        <f t="shared" si="1"/>
        <v/>
      </c>
    </row>
    <row r="1155">
      <c r="A1155" s="93" t="str">
        <f t="shared" si="2"/>
        <v>#16352</v>
      </c>
      <c r="B1155" s="93" t="str">
        <f>IF(COUNTIF(MAIN!B:B, A1155)=0, "Missing", "")</f>
        <v/>
      </c>
      <c r="E1155" s="128" t="str">
        <f t="shared" si="1"/>
        <v/>
      </c>
    </row>
    <row r="1156">
      <c r="A1156" s="93" t="str">
        <f t="shared" si="2"/>
        <v>#16353</v>
      </c>
      <c r="B1156" s="93" t="str">
        <f>IF(COUNTIF(MAIN!B:B, A1156)=0, "Missing", "")</f>
        <v/>
      </c>
      <c r="E1156" s="128" t="str">
        <f t="shared" si="1"/>
        <v/>
      </c>
    </row>
    <row r="1157">
      <c r="A1157" s="93" t="str">
        <f t="shared" si="2"/>
        <v>#16354</v>
      </c>
      <c r="B1157" s="93" t="str">
        <f>IF(COUNTIF(MAIN!B:B, A1157)=0, "Missing", "")</f>
        <v/>
      </c>
      <c r="E1157" s="128" t="str">
        <f t="shared" si="1"/>
        <v/>
      </c>
    </row>
    <row r="1158">
      <c r="A1158" s="93" t="str">
        <f t="shared" si="2"/>
        <v>#16355</v>
      </c>
      <c r="B1158" s="93" t="str">
        <f>IF(COUNTIF(MAIN!B:B, A1158)=0, "Missing", "")</f>
        <v/>
      </c>
      <c r="E1158" s="128" t="str">
        <f t="shared" si="1"/>
        <v/>
      </c>
    </row>
    <row r="1159">
      <c r="A1159" s="93" t="str">
        <f t="shared" si="2"/>
        <v>#16356</v>
      </c>
      <c r="B1159" s="93" t="str">
        <f>IF(COUNTIF(MAIN!B:B, A1159)=0, "Missing", "")</f>
        <v>Missing</v>
      </c>
      <c r="C1159" s="84" t="s">
        <v>15234</v>
      </c>
      <c r="E1159" s="131" t="str">
        <f t="shared" si="1"/>
        <v>https://utrucking.myshopify.com/admin/orders?query=16356</v>
      </c>
    </row>
    <row r="1160">
      <c r="A1160" s="93" t="str">
        <f t="shared" si="2"/>
        <v>#16357</v>
      </c>
      <c r="B1160" s="93" t="str">
        <f>IF(COUNTIF(MAIN!B:B, A1160)=0, "Missing", "")</f>
        <v/>
      </c>
      <c r="E1160" s="128" t="str">
        <f t="shared" si="1"/>
        <v/>
      </c>
    </row>
    <row r="1161">
      <c r="A1161" s="93" t="str">
        <f t="shared" si="2"/>
        <v>#16358</v>
      </c>
      <c r="B1161" s="93" t="str">
        <f>IF(COUNTIF(MAIN!B:B, A1161)=0, "Missing", "")</f>
        <v/>
      </c>
      <c r="E1161" s="128" t="str">
        <f t="shared" si="1"/>
        <v/>
      </c>
    </row>
    <row r="1162">
      <c r="A1162" s="93" t="str">
        <f t="shared" si="2"/>
        <v>#16359</v>
      </c>
      <c r="B1162" s="93" t="str">
        <f>IF(COUNTIF(MAIN!B:B, A1162)=0, "Missing", "")</f>
        <v/>
      </c>
      <c r="E1162" s="128" t="str">
        <f t="shared" si="1"/>
        <v/>
      </c>
    </row>
    <row r="1163">
      <c r="A1163" s="93" t="str">
        <f t="shared" si="2"/>
        <v>#16360</v>
      </c>
      <c r="B1163" s="93" t="str">
        <f>IF(COUNTIF(MAIN!B:B, A1163)=0, "Missing", "")</f>
        <v/>
      </c>
      <c r="E1163" s="128" t="str">
        <f t="shared" si="1"/>
        <v/>
      </c>
    </row>
    <row r="1164">
      <c r="A1164" s="93" t="str">
        <f t="shared" si="2"/>
        <v>#16361</v>
      </c>
      <c r="B1164" s="93" t="str">
        <f>IF(COUNTIF(MAIN!B:B, A1164)=0, "Missing", "")</f>
        <v/>
      </c>
      <c r="E1164" s="128" t="str">
        <f t="shared" si="1"/>
        <v/>
      </c>
    </row>
    <row r="1165">
      <c r="A1165" s="93" t="str">
        <f t="shared" si="2"/>
        <v>#16362</v>
      </c>
      <c r="B1165" s="93" t="str">
        <f>IF(COUNTIF(MAIN!B:B, A1165)=0, "Missing", "")</f>
        <v/>
      </c>
      <c r="E1165" s="128" t="str">
        <f t="shared" si="1"/>
        <v/>
      </c>
    </row>
    <row r="1166">
      <c r="A1166" s="93" t="str">
        <f t="shared" si="2"/>
        <v>#16363</v>
      </c>
      <c r="B1166" s="93" t="str">
        <f>IF(COUNTIF(MAIN!B:B, A1166)=0, "Missing", "")</f>
        <v/>
      </c>
      <c r="E1166" s="128" t="str">
        <f t="shared" si="1"/>
        <v/>
      </c>
    </row>
    <row r="1167">
      <c r="A1167" s="93" t="str">
        <f t="shared" si="2"/>
        <v>#16364</v>
      </c>
      <c r="B1167" s="93" t="str">
        <f>IF(COUNTIF(MAIN!B:B, A1167)=0, "Missing", "")</f>
        <v/>
      </c>
      <c r="E1167" s="128" t="str">
        <f t="shared" si="1"/>
        <v/>
      </c>
    </row>
    <row r="1168">
      <c r="A1168" s="93" t="str">
        <f t="shared" si="2"/>
        <v>#16365</v>
      </c>
      <c r="B1168" s="93" t="str">
        <f>IF(COUNTIF(MAIN!B:B, A1168)=0, "Missing", "")</f>
        <v/>
      </c>
      <c r="E1168" s="128" t="str">
        <f t="shared" si="1"/>
        <v/>
      </c>
    </row>
    <row r="1169">
      <c r="A1169" s="93" t="str">
        <f t="shared" si="2"/>
        <v>#16366</v>
      </c>
      <c r="B1169" s="93" t="str">
        <f>IF(COUNTIF(MAIN!B:B, A1169)=0, "Missing", "")</f>
        <v/>
      </c>
      <c r="E1169" s="128" t="str">
        <f t="shared" si="1"/>
        <v/>
      </c>
    </row>
    <row r="1170">
      <c r="A1170" s="93" t="str">
        <f t="shared" si="2"/>
        <v>#16367</v>
      </c>
      <c r="B1170" s="93" t="str">
        <f>IF(COUNTIF(MAIN!B:B, A1170)=0, "Missing", "")</f>
        <v/>
      </c>
      <c r="E1170" s="128" t="str">
        <f t="shared" si="1"/>
        <v/>
      </c>
    </row>
    <row r="1171">
      <c r="A1171" s="93" t="str">
        <f t="shared" si="2"/>
        <v>#16368</v>
      </c>
      <c r="B1171" s="93" t="str">
        <f>IF(COUNTIF(MAIN!B:B, A1171)=0, "Missing", "")</f>
        <v/>
      </c>
      <c r="E1171" s="128" t="str">
        <f t="shared" si="1"/>
        <v/>
      </c>
    </row>
    <row r="1172">
      <c r="A1172" s="93" t="str">
        <f t="shared" si="2"/>
        <v>#16369</v>
      </c>
      <c r="B1172" s="93" t="str">
        <f>IF(COUNTIF(MAIN!B:B, A1172)=0, "Missing", "")</f>
        <v/>
      </c>
      <c r="E1172" s="128" t="str">
        <f t="shared" si="1"/>
        <v/>
      </c>
    </row>
    <row r="1173">
      <c r="A1173" s="93" t="str">
        <f t="shared" si="2"/>
        <v>#16370</v>
      </c>
      <c r="B1173" s="93" t="str">
        <f>IF(COUNTIF(MAIN!B:B, A1173)=0, "Missing", "")</f>
        <v/>
      </c>
      <c r="E1173" s="128" t="str">
        <f t="shared" si="1"/>
        <v/>
      </c>
    </row>
    <row r="1174">
      <c r="A1174" s="93" t="str">
        <f t="shared" si="2"/>
        <v>#16371</v>
      </c>
      <c r="B1174" s="93" t="str">
        <f>IF(COUNTIF(MAIN!B:B, A1174)=0, "Missing", "")</f>
        <v/>
      </c>
      <c r="E1174" s="128" t="str">
        <f t="shared" si="1"/>
        <v/>
      </c>
    </row>
    <row r="1175">
      <c r="A1175" s="93" t="str">
        <f t="shared" si="2"/>
        <v>#16372</v>
      </c>
      <c r="B1175" s="93" t="str">
        <f>IF(COUNTIF(MAIN!B:B, A1175)=0, "Missing", "")</f>
        <v/>
      </c>
      <c r="E1175" s="128" t="str">
        <f t="shared" si="1"/>
        <v/>
      </c>
    </row>
    <row r="1176">
      <c r="A1176" s="93" t="str">
        <f t="shared" si="2"/>
        <v>#16373</v>
      </c>
      <c r="B1176" s="93" t="str">
        <f>IF(COUNTIF(MAIN!B:B, A1176)=0, "Missing", "")</f>
        <v/>
      </c>
      <c r="E1176" s="128" t="str">
        <f t="shared" si="1"/>
        <v/>
      </c>
    </row>
    <row r="1177">
      <c r="A1177" s="93" t="str">
        <f t="shared" si="2"/>
        <v>#16374</v>
      </c>
      <c r="B1177" s="93" t="str">
        <f>IF(COUNTIF(MAIN!B:B, A1177)=0, "Missing", "")</f>
        <v/>
      </c>
      <c r="E1177" s="128" t="str">
        <f t="shared" si="1"/>
        <v/>
      </c>
    </row>
    <row r="1178">
      <c r="A1178" s="93" t="str">
        <f t="shared" si="2"/>
        <v>#16375</v>
      </c>
      <c r="B1178" s="93" t="str">
        <f>IF(COUNTIF(MAIN!B:B, A1178)=0, "Missing", "")</f>
        <v/>
      </c>
      <c r="E1178" s="128" t="str">
        <f t="shared" si="1"/>
        <v/>
      </c>
    </row>
    <row r="1179">
      <c r="A1179" s="93" t="str">
        <f t="shared" si="2"/>
        <v>#16376</v>
      </c>
      <c r="B1179" s="93" t="str">
        <f>IF(COUNTIF(MAIN!B:B, A1179)=0, "Missing", "")</f>
        <v>Missing</v>
      </c>
      <c r="C1179" s="84" t="s">
        <v>15235</v>
      </c>
      <c r="E1179" s="131" t="str">
        <f t="shared" si="1"/>
        <v>https://utrucking.myshopify.com/admin/orders?query=16376</v>
      </c>
    </row>
    <row r="1180">
      <c r="A1180" s="93" t="str">
        <f t="shared" si="2"/>
        <v>#16377</v>
      </c>
      <c r="B1180" s="93" t="str">
        <f>IF(COUNTIF(MAIN!B:B, A1180)=0, "Missing", "")</f>
        <v/>
      </c>
      <c r="E1180" s="128" t="str">
        <f t="shared" si="1"/>
        <v/>
      </c>
    </row>
    <row r="1181">
      <c r="A1181" s="93" t="str">
        <f t="shared" si="2"/>
        <v>#16378</v>
      </c>
      <c r="B1181" s="93" t="str">
        <f>IF(COUNTIF(MAIN!B:B, A1181)=0, "Missing", "")</f>
        <v/>
      </c>
      <c r="E1181" s="128" t="str">
        <f t="shared" si="1"/>
        <v/>
      </c>
    </row>
    <row r="1182">
      <c r="A1182" s="93" t="str">
        <f t="shared" si="2"/>
        <v>#16379</v>
      </c>
      <c r="B1182" s="93" t="str">
        <f>IF(COUNTIF(MAIN!B:B, A1182)=0, "Missing", "")</f>
        <v/>
      </c>
      <c r="E1182" s="128" t="str">
        <f t="shared" si="1"/>
        <v/>
      </c>
    </row>
    <row r="1183">
      <c r="A1183" s="93" t="str">
        <f t="shared" si="2"/>
        <v>#16380</v>
      </c>
      <c r="B1183" s="93" t="str">
        <f>IF(COUNTIF(MAIN!B:B, A1183)=0, "Missing", "")</f>
        <v/>
      </c>
      <c r="E1183" s="128" t="str">
        <f t="shared" si="1"/>
        <v/>
      </c>
    </row>
    <row r="1184">
      <c r="A1184" s="93" t="str">
        <f t="shared" si="2"/>
        <v>#16381</v>
      </c>
      <c r="B1184" s="93" t="str">
        <f>IF(COUNTIF(MAIN!B:B, A1184)=0, "Missing", "")</f>
        <v/>
      </c>
      <c r="E1184" s="128" t="str">
        <f t="shared" si="1"/>
        <v/>
      </c>
    </row>
    <row r="1185">
      <c r="A1185" s="93" t="str">
        <f t="shared" si="2"/>
        <v>#16382</v>
      </c>
      <c r="B1185" s="93" t="str">
        <f>IF(COUNTIF(MAIN!B:B, A1185)=0, "Missing", "")</f>
        <v/>
      </c>
      <c r="E1185" s="128" t="str">
        <f t="shared" si="1"/>
        <v/>
      </c>
    </row>
    <row r="1186">
      <c r="A1186" s="93" t="str">
        <f t="shared" si="2"/>
        <v>#16383</v>
      </c>
      <c r="B1186" s="93" t="str">
        <f>IF(COUNTIF(MAIN!B:B, A1186)=0, "Missing", "")</f>
        <v/>
      </c>
      <c r="E1186" s="128" t="str">
        <f t="shared" si="1"/>
        <v/>
      </c>
    </row>
    <row r="1187">
      <c r="A1187" s="93" t="str">
        <f t="shared" si="2"/>
        <v>#16384</v>
      </c>
      <c r="B1187" s="93" t="str">
        <f>IF(COUNTIF(MAIN!B:B, A1187)=0, "Missing", "")</f>
        <v/>
      </c>
      <c r="E1187" s="128" t="str">
        <f t="shared" si="1"/>
        <v/>
      </c>
    </row>
    <row r="1188">
      <c r="A1188" s="93" t="str">
        <f t="shared" si="2"/>
        <v>#16385</v>
      </c>
      <c r="B1188" s="93" t="str">
        <f>IF(COUNTIF(MAIN!B:B, A1188)=0, "Missing", "")</f>
        <v/>
      </c>
      <c r="E1188" s="128" t="str">
        <f t="shared" si="1"/>
        <v/>
      </c>
    </row>
    <row r="1189">
      <c r="A1189" s="93" t="str">
        <f t="shared" si="2"/>
        <v>#16386</v>
      </c>
      <c r="B1189" s="93" t="str">
        <f>IF(COUNTIF(MAIN!B:B, A1189)=0, "Missing", "")</f>
        <v/>
      </c>
      <c r="E1189" s="128" t="str">
        <f t="shared" si="1"/>
        <v/>
      </c>
    </row>
    <row r="1190">
      <c r="A1190" s="93" t="str">
        <f t="shared" si="2"/>
        <v>#16387</v>
      </c>
      <c r="B1190" s="93" t="str">
        <f>IF(COUNTIF(MAIN!B:B, A1190)=0, "Missing", "")</f>
        <v/>
      </c>
      <c r="E1190" s="128" t="str">
        <f t="shared" si="1"/>
        <v/>
      </c>
    </row>
    <row r="1191">
      <c r="A1191" s="93" t="str">
        <f t="shared" si="2"/>
        <v>#16388</v>
      </c>
      <c r="B1191" s="93" t="str">
        <f>IF(COUNTIF(MAIN!B:B, A1191)=0, "Missing", "")</f>
        <v/>
      </c>
      <c r="E1191" s="128" t="str">
        <f t="shared" si="1"/>
        <v/>
      </c>
    </row>
    <row r="1192">
      <c r="A1192" s="93" t="str">
        <f t="shared" si="2"/>
        <v>#16389</v>
      </c>
      <c r="B1192" s="93" t="str">
        <f>IF(COUNTIF(MAIN!B:B, A1192)=0, "Missing", "")</f>
        <v/>
      </c>
      <c r="E1192" s="128" t="str">
        <f t="shared" si="1"/>
        <v/>
      </c>
    </row>
    <row r="1193">
      <c r="A1193" s="93" t="str">
        <f t="shared" si="2"/>
        <v>#16390</v>
      </c>
      <c r="B1193" s="93" t="str">
        <f>IF(COUNTIF(MAIN!B:B, A1193)=0, "Missing", "")</f>
        <v/>
      </c>
      <c r="E1193" s="128" t="str">
        <f t="shared" si="1"/>
        <v/>
      </c>
    </row>
    <row r="1194">
      <c r="A1194" s="93" t="str">
        <f t="shared" si="2"/>
        <v>#16391</v>
      </c>
      <c r="B1194" s="93" t="str">
        <f>IF(COUNTIF(MAIN!B:B, A1194)=0, "Missing", "")</f>
        <v/>
      </c>
      <c r="E1194" s="128" t="str">
        <f t="shared" si="1"/>
        <v/>
      </c>
    </row>
    <row r="1195">
      <c r="A1195" s="93" t="str">
        <f t="shared" si="2"/>
        <v>#16392</v>
      </c>
      <c r="B1195" s="93" t="str">
        <f>IF(COUNTIF(MAIN!B:B, A1195)=0, "Missing", "")</f>
        <v/>
      </c>
      <c r="E1195" s="128" t="str">
        <f t="shared" si="1"/>
        <v/>
      </c>
    </row>
    <row r="1196">
      <c r="A1196" s="93" t="str">
        <f t="shared" si="2"/>
        <v>#16393</v>
      </c>
      <c r="B1196" s="93" t="str">
        <f>IF(COUNTIF(MAIN!B:B, A1196)=0, "Missing", "")</f>
        <v/>
      </c>
      <c r="E1196" s="128" t="str">
        <f t="shared" si="1"/>
        <v/>
      </c>
    </row>
    <row r="1197">
      <c r="A1197" s="93" t="str">
        <f t="shared" si="2"/>
        <v>#16394</v>
      </c>
      <c r="B1197" s="93" t="str">
        <f>IF(COUNTIF(MAIN!B:B, A1197)=0, "Missing", "")</f>
        <v/>
      </c>
      <c r="E1197" s="128" t="str">
        <f t="shared" si="1"/>
        <v/>
      </c>
    </row>
    <row r="1198">
      <c r="A1198" s="93" t="str">
        <f t="shared" si="2"/>
        <v>#16395</v>
      </c>
      <c r="B1198" s="93" t="str">
        <f>IF(COUNTIF(MAIN!B:B, A1198)=0, "Missing", "")</f>
        <v/>
      </c>
      <c r="E1198" s="128" t="str">
        <f t="shared" si="1"/>
        <v/>
      </c>
    </row>
    <row r="1199">
      <c r="A1199" s="93" t="str">
        <f t="shared" si="2"/>
        <v>#16396</v>
      </c>
      <c r="B1199" s="93" t="str">
        <f>IF(COUNTIF(MAIN!B:B, A1199)=0, "Missing", "")</f>
        <v/>
      </c>
      <c r="E1199" s="128" t="str">
        <f t="shared" si="1"/>
        <v/>
      </c>
    </row>
    <row r="1200">
      <c r="A1200" s="93" t="str">
        <f t="shared" si="2"/>
        <v>#16397</v>
      </c>
      <c r="B1200" s="93" t="str">
        <f>IF(COUNTIF(MAIN!B:B, A1200)=0, "Missing", "")</f>
        <v/>
      </c>
      <c r="E1200" s="128" t="str">
        <f t="shared" si="1"/>
        <v/>
      </c>
    </row>
    <row r="1201">
      <c r="A1201" s="93" t="str">
        <f t="shared" si="2"/>
        <v>#16398</v>
      </c>
      <c r="B1201" s="93" t="str">
        <f>IF(COUNTIF(MAIN!B:B, A1201)=0, "Missing", "")</f>
        <v/>
      </c>
      <c r="E1201" s="128" t="str">
        <f t="shared" si="1"/>
        <v/>
      </c>
    </row>
    <row r="1202">
      <c r="A1202" s="93" t="str">
        <f t="shared" si="2"/>
        <v>#16399</v>
      </c>
      <c r="B1202" s="93" t="str">
        <f>IF(COUNTIF(MAIN!B:B, A1202)=0, "Missing", "")</f>
        <v/>
      </c>
      <c r="E1202" s="128" t="str">
        <f t="shared" si="1"/>
        <v/>
      </c>
    </row>
    <row r="1203">
      <c r="A1203" s="93" t="str">
        <f t="shared" si="2"/>
        <v>#16400</v>
      </c>
      <c r="B1203" s="93" t="str">
        <f>IF(COUNTIF(MAIN!B:B, A1203)=0, "Missing", "")</f>
        <v/>
      </c>
      <c r="E1203" s="128" t="str">
        <f t="shared" si="1"/>
        <v/>
      </c>
    </row>
    <row r="1204">
      <c r="A1204" s="93" t="str">
        <f t="shared" si="2"/>
        <v>#16401</v>
      </c>
      <c r="B1204" s="93" t="str">
        <f>IF(COUNTIF(MAIN!B:B, A1204)=0, "Missing", "")</f>
        <v/>
      </c>
      <c r="E1204" s="128" t="str">
        <f t="shared" si="1"/>
        <v/>
      </c>
    </row>
    <row r="1205">
      <c r="A1205" s="93" t="str">
        <f t="shared" si="2"/>
        <v>#16402</v>
      </c>
      <c r="B1205" s="93" t="str">
        <f>IF(COUNTIF(MAIN!B:B, A1205)=0, "Missing", "")</f>
        <v/>
      </c>
      <c r="E1205" s="128" t="str">
        <f t="shared" si="1"/>
        <v/>
      </c>
    </row>
    <row r="1206">
      <c r="A1206" s="93" t="str">
        <f t="shared" si="2"/>
        <v>#16403</v>
      </c>
      <c r="B1206" s="93" t="str">
        <f>IF(COUNTIF(MAIN!B:B, A1206)=0, "Missing", "")</f>
        <v/>
      </c>
      <c r="E1206" s="128" t="str">
        <f t="shared" si="1"/>
        <v/>
      </c>
    </row>
    <row r="1207">
      <c r="A1207" s="93" t="str">
        <f t="shared" si="2"/>
        <v>#16404</v>
      </c>
      <c r="B1207" s="93" t="str">
        <f>IF(COUNTIF(MAIN!B:B, A1207)=0, "Missing", "")</f>
        <v/>
      </c>
      <c r="E1207" s="128" t="str">
        <f t="shared" si="1"/>
        <v/>
      </c>
    </row>
    <row r="1208">
      <c r="A1208" s="93" t="str">
        <f t="shared" si="2"/>
        <v>#16405</v>
      </c>
      <c r="B1208" s="93" t="str">
        <f>IF(COUNTIF(MAIN!B:B, A1208)=0, "Missing", "")</f>
        <v/>
      </c>
      <c r="E1208" s="128" t="str">
        <f t="shared" si="1"/>
        <v/>
      </c>
    </row>
    <row r="1209">
      <c r="A1209" s="93" t="str">
        <f t="shared" si="2"/>
        <v>#16406</v>
      </c>
      <c r="B1209" s="93" t="str">
        <f>IF(COUNTIF(MAIN!B:B, A1209)=0, "Missing", "")</f>
        <v/>
      </c>
      <c r="E1209" s="128" t="str">
        <f t="shared" si="1"/>
        <v/>
      </c>
    </row>
    <row r="1210">
      <c r="A1210" s="93" t="str">
        <f t="shared" si="2"/>
        <v>#16407</v>
      </c>
      <c r="B1210" s="93" t="str">
        <f>IF(COUNTIF(MAIN!B:B, A1210)=0, "Missing", "")</f>
        <v/>
      </c>
      <c r="E1210" s="128" t="str">
        <f t="shared" si="1"/>
        <v/>
      </c>
    </row>
    <row r="1211">
      <c r="A1211" s="93" t="str">
        <f t="shared" si="2"/>
        <v>#16408</v>
      </c>
      <c r="B1211" s="93" t="str">
        <f>IF(COUNTIF(MAIN!B:B, A1211)=0, "Missing", "")</f>
        <v/>
      </c>
      <c r="E1211" s="128" t="str">
        <f t="shared" si="1"/>
        <v/>
      </c>
    </row>
    <row r="1212">
      <c r="A1212" s="93" t="str">
        <f t="shared" si="2"/>
        <v>#16409</v>
      </c>
      <c r="B1212" s="93" t="str">
        <f>IF(COUNTIF(MAIN!B:B, A1212)=0, "Missing", "")</f>
        <v/>
      </c>
      <c r="E1212" s="128" t="str">
        <f t="shared" si="1"/>
        <v/>
      </c>
    </row>
    <row r="1213">
      <c r="A1213" s="93" t="str">
        <f t="shared" si="2"/>
        <v>#16410</v>
      </c>
      <c r="B1213" s="93" t="str">
        <f>IF(COUNTIF(MAIN!B:B, A1213)=0, "Missing", "")</f>
        <v/>
      </c>
      <c r="E1213" s="128" t="str">
        <f t="shared" si="1"/>
        <v/>
      </c>
    </row>
    <row r="1214">
      <c r="A1214" s="93" t="str">
        <f t="shared" si="2"/>
        <v>#16411</v>
      </c>
      <c r="B1214" s="93" t="str">
        <f>IF(COUNTIF(MAIN!B:B, A1214)=0, "Missing", "")</f>
        <v/>
      </c>
      <c r="E1214" s="128" t="str">
        <f t="shared" si="1"/>
        <v/>
      </c>
    </row>
    <row r="1215">
      <c r="A1215" s="93" t="str">
        <f t="shared" si="2"/>
        <v>#16412</v>
      </c>
      <c r="B1215" s="93" t="str">
        <f>IF(COUNTIF(MAIN!B:B, A1215)=0, "Missing", "")</f>
        <v/>
      </c>
      <c r="E1215" s="128" t="str">
        <f t="shared" si="1"/>
        <v/>
      </c>
    </row>
    <row r="1216">
      <c r="A1216" s="93" t="str">
        <f t="shared" si="2"/>
        <v>#16413</v>
      </c>
      <c r="B1216" s="93" t="str">
        <f>IF(COUNTIF(MAIN!B:B, A1216)=0, "Missing", "")</f>
        <v/>
      </c>
      <c r="E1216" s="128" t="str">
        <f t="shared" si="1"/>
        <v/>
      </c>
    </row>
    <row r="1217">
      <c r="A1217" s="93" t="str">
        <f t="shared" si="2"/>
        <v>#16414</v>
      </c>
      <c r="B1217" s="93" t="str">
        <f>IF(COUNTIF(MAIN!B:B, A1217)=0, "Missing", "")</f>
        <v/>
      </c>
      <c r="E1217" s="128" t="str">
        <f t="shared" si="1"/>
        <v/>
      </c>
    </row>
    <row r="1218">
      <c r="A1218" s="93" t="str">
        <f t="shared" si="2"/>
        <v>#16415</v>
      </c>
      <c r="B1218" s="93" t="str">
        <f>IF(COUNTIF(MAIN!B:B, A1218)=0, "Missing", "")</f>
        <v/>
      </c>
      <c r="E1218" s="128" t="str">
        <f t="shared" si="1"/>
        <v/>
      </c>
    </row>
    <row r="1219">
      <c r="A1219" s="93" t="str">
        <f t="shared" si="2"/>
        <v>#16416</v>
      </c>
      <c r="B1219" s="93" t="str">
        <f>IF(COUNTIF(MAIN!B:B, A1219)=0, "Missing", "")</f>
        <v/>
      </c>
      <c r="E1219" s="128" t="str">
        <f t="shared" si="1"/>
        <v/>
      </c>
    </row>
    <row r="1220">
      <c r="A1220" s="93" t="str">
        <f t="shared" si="2"/>
        <v>#16417</v>
      </c>
      <c r="B1220" s="93" t="str">
        <f>IF(COUNTIF(MAIN!B:B, A1220)=0, "Missing", "")</f>
        <v/>
      </c>
      <c r="E1220" s="128" t="str">
        <f t="shared" si="1"/>
        <v/>
      </c>
    </row>
    <row r="1221">
      <c r="A1221" s="93" t="str">
        <f t="shared" si="2"/>
        <v>#16418</v>
      </c>
      <c r="B1221" s="93" t="str">
        <f>IF(COUNTIF(MAIN!B:B, A1221)=0, "Missing", "")</f>
        <v/>
      </c>
      <c r="E1221" s="128" t="str">
        <f t="shared" si="1"/>
        <v/>
      </c>
    </row>
    <row r="1222">
      <c r="A1222" s="93" t="str">
        <f t="shared" si="2"/>
        <v>#16419</v>
      </c>
      <c r="B1222" s="93" t="str">
        <f>IF(COUNTIF(MAIN!B:B, A1222)=0, "Missing", "")</f>
        <v/>
      </c>
      <c r="E1222" s="128" t="str">
        <f t="shared" si="1"/>
        <v/>
      </c>
    </row>
    <row r="1223">
      <c r="A1223" s="93" t="str">
        <f t="shared" si="2"/>
        <v>#16420</v>
      </c>
      <c r="B1223" s="93" t="str">
        <f>IF(COUNTIF(MAIN!B:B, A1223)=0, "Missing", "")</f>
        <v/>
      </c>
      <c r="E1223" s="128" t="str">
        <f t="shared" si="1"/>
        <v/>
      </c>
    </row>
    <row r="1224">
      <c r="A1224" s="93" t="str">
        <f t="shared" si="2"/>
        <v>#16421</v>
      </c>
      <c r="B1224" s="93" t="str">
        <f>IF(COUNTIF(MAIN!B:B, A1224)=0, "Missing", "")</f>
        <v/>
      </c>
      <c r="E1224" s="128" t="str">
        <f t="shared" si="1"/>
        <v/>
      </c>
    </row>
    <row r="1225">
      <c r="A1225" s="93" t="str">
        <f t="shared" si="2"/>
        <v>#16422</v>
      </c>
      <c r="B1225" s="93" t="str">
        <f>IF(COUNTIF(MAIN!B:B, A1225)=0, "Missing", "")</f>
        <v/>
      </c>
      <c r="E1225" s="128" t="str">
        <f t="shared" si="1"/>
        <v/>
      </c>
    </row>
    <row r="1226">
      <c r="A1226" s="93" t="str">
        <f t="shared" si="2"/>
        <v>#16423</v>
      </c>
      <c r="B1226" s="93" t="str">
        <f>IF(COUNTIF(MAIN!B:B, A1226)=0, "Missing", "")</f>
        <v/>
      </c>
      <c r="E1226" s="128" t="str">
        <f t="shared" si="1"/>
        <v/>
      </c>
    </row>
    <row r="1227">
      <c r="A1227" s="93" t="str">
        <f t="shared" si="2"/>
        <v>#16424</v>
      </c>
      <c r="B1227" s="93" t="str">
        <f>IF(COUNTIF(MAIN!B:B, A1227)=0, "Missing", "")</f>
        <v/>
      </c>
      <c r="E1227" s="128" t="str">
        <f t="shared" si="1"/>
        <v/>
      </c>
    </row>
    <row r="1228">
      <c r="A1228" s="93" t="str">
        <f t="shared" si="2"/>
        <v>#16425</v>
      </c>
      <c r="B1228" s="93" t="str">
        <f>IF(COUNTIF(MAIN!B:B, A1228)=0, "Missing", "")</f>
        <v/>
      </c>
      <c r="E1228" s="128" t="str">
        <f t="shared" si="1"/>
        <v/>
      </c>
    </row>
    <row r="1229">
      <c r="A1229" s="93" t="str">
        <f t="shared" si="2"/>
        <v>#16426</v>
      </c>
      <c r="B1229" s="93" t="str">
        <f>IF(COUNTIF(MAIN!B:B, A1229)=0, "Missing", "")</f>
        <v/>
      </c>
      <c r="E1229" s="128" t="str">
        <f t="shared" si="1"/>
        <v/>
      </c>
    </row>
    <row r="1230">
      <c r="A1230" s="93" t="str">
        <f t="shared" si="2"/>
        <v>#16427</v>
      </c>
      <c r="B1230" s="93" t="str">
        <f>IF(COUNTIF(MAIN!B:B, A1230)=0, "Missing", "")</f>
        <v/>
      </c>
      <c r="E1230" s="128" t="str">
        <f t="shared" si="1"/>
        <v/>
      </c>
    </row>
    <row r="1231">
      <c r="A1231" s="93" t="str">
        <f t="shared" si="2"/>
        <v>#16428</v>
      </c>
      <c r="B1231" s="93" t="str">
        <f>IF(COUNTIF(MAIN!B:B, A1231)=0, "Missing", "")</f>
        <v/>
      </c>
      <c r="E1231" s="128" t="str">
        <f t="shared" si="1"/>
        <v/>
      </c>
    </row>
    <row r="1232">
      <c r="A1232" s="93" t="str">
        <f t="shared" si="2"/>
        <v>#16429</v>
      </c>
      <c r="B1232" s="93" t="str">
        <f>IF(COUNTIF(MAIN!B:B, A1232)=0, "Missing", "")</f>
        <v/>
      </c>
      <c r="E1232" s="128" t="str">
        <f t="shared" si="1"/>
        <v/>
      </c>
    </row>
    <row r="1233">
      <c r="A1233" s="93" t="str">
        <f t="shared" si="2"/>
        <v>#16430</v>
      </c>
      <c r="B1233" s="93" t="str">
        <f>IF(COUNTIF(MAIN!B:B, A1233)=0, "Missing", "")</f>
        <v/>
      </c>
      <c r="E1233" s="128" t="str">
        <f t="shared" si="1"/>
        <v/>
      </c>
    </row>
    <row r="1234">
      <c r="A1234" s="93" t="str">
        <f t="shared" si="2"/>
        <v>#16431</v>
      </c>
      <c r="B1234" s="93" t="str">
        <f>IF(COUNTIF(MAIN!B:B, A1234)=0, "Missing", "")</f>
        <v/>
      </c>
      <c r="E1234" s="128" t="str">
        <f t="shared" si="1"/>
        <v/>
      </c>
    </row>
    <row r="1235">
      <c r="A1235" s="93" t="str">
        <f t="shared" si="2"/>
        <v>#16432</v>
      </c>
      <c r="B1235" s="93" t="str">
        <f>IF(COUNTIF(MAIN!B:B, A1235)=0, "Missing", "")</f>
        <v/>
      </c>
      <c r="E1235" s="128" t="str">
        <f t="shared" si="1"/>
        <v/>
      </c>
    </row>
    <row r="1236">
      <c r="A1236" s="93" t="str">
        <f t="shared" si="2"/>
        <v>#16433</v>
      </c>
      <c r="B1236" s="93" t="str">
        <f>IF(COUNTIF(MAIN!B:B, A1236)=0, "Missing", "")</f>
        <v/>
      </c>
      <c r="E1236" s="128" t="str">
        <f t="shared" si="1"/>
        <v/>
      </c>
    </row>
    <row r="1237">
      <c r="A1237" s="93" t="str">
        <f t="shared" si="2"/>
        <v>#16434</v>
      </c>
      <c r="B1237" s="93" t="str">
        <f>IF(COUNTIF(MAIN!B:B, A1237)=0, "Missing", "")</f>
        <v/>
      </c>
      <c r="E1237" s="128" t="str">
        <f t="shared" si="1"/>
        <v/>
      </c>
    </row>
    <row r="1238">
      <c r="A1238" s="93" t="str">
        <f t="shared" si="2"/>
        <v>#16435</v>
      </c>
      <c r="B1238" s="93" t="str">
        <f>IF(COUNTIF(MAIN!B:B, A1238)=0, "Missing", "")</f>
        <v/>
      </c>
      <c r="E1238" s="128" t="str">
        <f t="shared" si="1"/>
        <v/>
      </c>
    </row>
    <row r="1239">
      <c r="A1239" s="93" t="str">
        <f t="shared" si="2"/>
        <v>#16436</v>
      </c>
      <c r="B1239" s="93" t="str">
        <f>IF(COUNTIF(MAIN!B:B, A1239)=0, "Missing", "")</f>
        <v/>
      </c>
      <c r="E1239" s="128" t="str">
        <f t="shared" si="1"/>
        <v/>
      </c>
    </row>
    <row r="1240">
      <c r="A1240" s="93" t="str">
        <f t="shared" si="2"/>
        <v>#16437</v>
      </c>
      <c r="B1240" s="93" t="str">
        <f>IF(COUNTIF(MAIN!B:B, A1240)=0, "Missing", "")</f>
        <v/>
      </c>
      <c r="E1240" s="128" t="str">
        <f t="shared" si="1"/>
        <v/>
      </c>
    </row>
    <row r="1241">
      <c r="A1241" s="93" t="str">
        <f t="shared" si="2"/>
        <v>#16438</v>
      </c>
      <c r="B1241" s="93" t="str">
        <f>IF(COUNTIF(MAIN!B:B, A1241)=0, "Missing", "")</f>
        <v/>
      </c>
      <c r="E1241" s="128" t="str">
        <f t="shared" si="1"/>
        <v/>
      </c>
    </row>
    <row r="1242">
      <c r="A1242" s="93" t="str">
        <f t="shared" si="2"/>
        <v>#16439</v>
      </c>
      <c r="B1242" s="93" t="str">
        <f>IF(COUNTIF(MAIN!B:B, A1242)=0, "Missing", "")</f>
        <v/>
      </c>
      <c r="E1242" s="128" t="str">
        <f t="shared" si="1"/>
        <v/>
      </c>
    </row>
    <row r="1243">
      <c r="A1243" s="93" t="str">
        <f t="shared" si="2"/>
        <v>#16440</v>
      </c>
      <c r="B1243" s="93" t="str">
        <f>IF(COUNTIF(MAIN!B:B, A1243)=0, "Missing", "")</f>
        <v/>
      </c>
      <c r="E1243" s="128" t="str">
        <f t="shared" si="1"/>
        <v/>
      </c>
    </row>
    <row r="1244">
      <c r="A1244" s="93" t="str">
        <f t="shared" si="2"/>
        <v>#16441</v>
      </c>
      <c r="B1244" s="93" t="str">
        <f>IF(COUNTIF(MAIN!B:B, A1244)=0, "Missing", "")</f>
        <v/>
      </c>
      <c r="E1244" s="128" t="str">
        <f t="shared" si="1"/>
        <v/>
      </c>
    </row>
    <row r="1245">
      <c r="A1245" s="93" t="str">
        <f t="shared" si="2"/>
        <v>#16442</v>
      </c>
      <c r="B1245" s="93" t="str">
        <f>IF(COUNTIF(MAIN!B:B, A1245)=0, "Missing", "")</f>
        <v/>
      </c>
      <c r="E1245" s="128" t="str">
        <f t="shared" si="1"/>
        <v/>
      </c>
    </row>
    <row r="1246">
      <c r="A1246" s="93" t="str">
        <f t="shared" si="2"/>
        <v>#16443</v>
      </c>
      <c r="B1246" s="93" t="str">
        <f>IF(COUNTIF(MAIN!B:B, A1246)=0, "Missing", "")</f>
        <v/>
      </c>
      <c r="E1246" s="128" t="str">
        <f t="shared" si="1"/>
        <v/>
      </c>
    </row>
    <row r="1247">
      <c r="A1247" s="93" t="str">
        <f t="shared" si="2"/>
        <v>#16444</v>
      </c>
      <c r="B1247" s="93" t="str">
        <f>IF(COUNTIF(MAIN!B:B, A1247)=0, "Missing", "")</f>
        <v/>
      </c>
      <c r="E1247" s="128" t="str">
        <f t="shared" si="1"/>
        <v/>
      </c>
    </row>
    <row r="1248">
      <c r="A1248" s="93" t="str">
        <f t="shared" si="2"/>
        <v>#16445</v>
      </c>
      <c r="B1248" s="93" t="str">
        <f>IF(COUNTIF(MAIN!B:B, A1248)=0, "Missing", "")</f>
        <v/>
      </c>
      <c r="E1248" s="128" t="str">
        <f t="shared" si="1"/>
        <v/>
      </c>
    </row>
    <row r="1249">
      <c r="A1249" s="93" t="str">
        <f t="shared" si="2"/>
        <v>#16446</v>
      </c>
      <c r="B1249" s="93" t="str">
        <f>IF(COUNTIF(MAIN!B:B, A1249)=0, "Missing", "")</f>
        <v/>
      </c>
      <c r="E1249" s="128" t="str">
        <f t="shared" si="1"/>
        <v/>
      </c>
    </row>
    <row r="1250">
      <c r="A1250" s="93" t="str">
        <f t="shared" si="2"/>
        <v>#16447</v>
      </c>
      <c r="B1250" s="93" t="str">
        <f>IF(COUNTIF(MAIN!B:B, A1250)=0, "Missing", "")</f>
        <v/>
      </c>
      <c r="E1250" s="128" t="str">
        <f t="shared" si="1"/>
        <v/>
      </c>
    </row>
    <row r="1251">
      <c r="A1251" s="93" t="str">
        <f t="shared" si="2"/>
        <v>#16448</v>
      </c>
      <c r="B1251" s="93" t="str">
        <f>IF(COUNTIF(MAIN!B:B, A1251)=0, "Missing", "")</f>
        <v/>
      </c>
      <c r="E1251" s="128" t="str">
        <f t="shared" si="1"/>
        <v/>
      </c>
    </row>
    <row r="1252">
      <c r="A1252" s="93" t="str">
        <f t="shared" si="2"/>
        <v>#16449</v>
      </c>
      <c r="B1252" s="93" t="str">
        <f>IF(COUNTIF(MAIN!B:B, A1252)=0, "Missing", "")</f>
        <v/>
      </c>
      <c r="E1252" s="128" t="str">
        <f t="shared" si="1"/>
        <v/>
      </c>
    </row>
    <row r="1253">
      <c r="A1253" s="93" t="str">
        <f t="shared" si="2"/>
        <v>#16450</v>
      </c>
      <c r="B1253" s="93" t="str">
        <f>IF(COUNTIF(MAIN!B:B, A1253)=0, "Missing", "")</f>
        <v/>
      </c>
      <c r="E1253" s="128" t="str">
        <f t="shared" si="1"/>
        <v/>
      </c>
    </row>
    <row r="1254">
      <c r="A1254" s="93" t="str">
        <f t="shared" si="2"/>
        <v>#16451</v>
      </c>
      <c r="B1254" s="93" t="str">
        <f>IF(COUNTIF(MAIN!B:B, A1254)=0, "Missing", "")</f>
        <v/>
      </c>
      <c r="E1254" s="128" t="str">
        <f t="shared" si="1"/>
        <v/>
      </c>
    </row>
    <row r="1255">
      <c r="A1255" s="93" t="str">
        <f t="shared" si="2"/>
        <v>#16452</v>
      </c>
      <c r="B1255" s="93" t="str">
        <f>IF(COUNTIF(MAIN!B:B, A1255)=0, "Missing", "")</f>
        <v/>
      </c>
      <c r="E1255" s="128" t="str">
        <f t="shared" si="1"/>
        <v/>
      </c>
    </row>
    <row r="1256">
      <c r="A1256" s="93" t="str">
        <f t="shared" si="2"/>
        <v>#16453</v>
      </c>
      <c r="B1256" s="93" t="str">
        <f>IF(COUNTIF(MAIN!B:B, A1256)=0, "Missing", "")</f>
        <v/>
      </c>
      <c r="E1256" s="128" t="str">
        <f t="shared" si="1"/>
        <v/>
      </c>
    </row>
    <row r="1257">
      <c r="A1257" s="93" t="str">
        <f t="shared" si="2"/>
        <v>#16454</v>
      </c>
      <c r="B1257" s="93" t="str">
        <f>IF(COUNTIF(MAIN!B:B, A1257)=0, "Missing", "")</f>
        <v/>
      </c>
      <c r="E1257" s="128" t="str">
        <f t="shared" si="1"/>
        <v/>
      </c>
    </row>
    <row r="1258">
      <c r="A1258" s="93" t="str">
        <f t="shared" si="2"/>
        <v>#16455</v>
      </c>
      <c r="B1258" s="93" t="str">
        <f>IF(COUNTIF(MAIN!B:B, A1258)=0, "Missing", "")</f>
        <v/>
      </c>
      <c r="E1258" s="128" t="str">
        <f t="shared" si="1"/>
        <v/>
      </c>
    </row>
    <row r="1259">
      <c r="A1259" s="93" t="str">
        <f t="shared" si="2"/>
        <v>#16456</v>
      </c>
      <c r="B1259" s="93" t="str">
        <f>IF(COUNTIF(MAIN!B:B, A1259)=0, "Missing", "")</f>
        <v/>
      </c>
      <c r="E1259" s="128" t="str">
        <f t="shared" si="1"/>
        <v/>
      </c>
    </row>
    <row r="1260">
      <c r="A1260" s="93" t="str">
        <f t="shared" si="2"/>
        <v>#16457</v>
      </c>
      <c r="B1260" s="93" t="str">
        <f>IF(COUNTIF(MAIN!B:B, A1260)=0, "Missing", "")</f>
        <v/>
      </c>
      <c r="E1260" s="128" t="str">
        <f t="shared" si="1"/>
        <v/>
      </c>
    </row>
    <row r="1261">
      <c r="A1261" s="93" t="str">
        <f t="shared" si="2"/>
        <v>#16458</v>
      </c>
      <c r="B1261" s="93" t="str">
        <f>IF(COUNTIF(MAIN!B:B, A1261)=0, "Missing", "")</f>
        <v/>
      </c>
      <c r="E1261" s="128" t="str">
        <f t="shared" si="1"/>
        <v/>
      </c>
    </row>
    <row r="1262">
      <c r="A1262" s="93" t="str">
        <f t="shared" si="2"/>
        <v>#16459</v>
      </c>
      <c r="B1262" s="93" t="str">
        <f>IF(COUNTIF(MAIN!B:B, A1262)=0, "Missing", "")</f>
        <v/>
      </c>
      <c r="E1262" s="128" t="str">
        <f t="shared" si="1"/>
        <v/>
      </c>
    </row>
    <row r="1263">
      <c r="A1263" s="93" t="str">
        <f t="shared" si="2"/>
        <v>#16460</v>
      </c>
      <c r="B1263" s="93" t="str">
        <f>IF(COUNTIF(MAIN!B:B, A1263)=0, "Missing", "")</f>
        <v/>
      </c>
      <c r="E1263" s="128" t="str">
        <f t="shared" si="1"/>
        <v/>
      </c>
    </row>
    <row r="1264">
      <c r="A1264" s="93" t="str">
        <f t="shared" si="2"/>
        <v>#16461</v>
      </c>
      <c r="B1264" s="93" t="str">
        <f>IF(COUNTIF(MAIN!B:B, A1264)=0, "Missing", "")</f>
        <v/>
      </c>
      <c r="E1264" s="128" t="str">
        <f t="shared" si="1"/>
        <v/>
      </c>
    </row>
    <row r="1265">
      <c r="A1265" s="93" t="str">
        <f t="shared" si="2"/>
        <v>#16462</v>
      </c>
      <c r="B1265" s="93" t="str">
        <f>IF(COUNTIF(MAIN!B:B, A1265)=0, "Missing", "")</f>
        <v/>
      </c>
      <c r="E1265" s="128" t="str">
        <f t="shared" si="1"/>
        <v/>
      </c>
    </row>
    <row r="1266">
      <c r="A1266" s="93" t="str">
        <f t="shared" si="2"/>
        <v>#16463</v>
      </c>
      <c r="B1266" s="93" t="str">
        <f>IF(COUNTIF(MAIN!B:B, A1266)=0, "Missing", "")</f>
        <v/>
      </c>
      <c r="E1266" s="128" t="str">
        <f t="shared" si="1"/>
        <v/>
      </c>
    </row>
    <row r="1267">
      <c r="A1267" s="93" t="str">
        <f t="shared" si="2"/>
        <v>#16464</v>
      </c>
      <c r="B1267" s="93" t="str">
        <f>IF(COUNTIF(MAIN!B:B, A1267)=0, "Missing", "")</f>
        <v/>
      </c>
      <c r="E1267" s="128" t="str">
        <f t="shared" si="1"/>
        <v/>
      </c>
    </row>
    <row r="1268">
      <c r="A1268" s="93" t="str">
        <f t="shared" si="2"/>
        <v>#16465</v>
      </c>
      <c r="B1268" s="93" t="str">
        <f>IF(COUNTIF(MAIN!B:B, A1268)=0, "Missing", "")</f>
        <v/>
      </c>
      <c r="E1268" s="128" t="str">
        <f t="shared" si="1"/>
        <v/>
      </c>
    </row>
    <row r="1269">
      <c r="A1269" s="93" t="str">
        <f t="shared" si="2"/>
        <v>#16466</v>
      </c>
      <c r="B1269" s="93" t="str">
        <f>IF(COUNTIF(MAIN!B:B, A1269)=0, "Missing", "")</f>
        <v/>
      </c>
      <c r="E1269" s="128" t="str">
        <f t="shared" si="1"/>
        <v/>
      </c>
    </row>
    <row r="1270">
      <c r="A1270" s="93" t="str">
        <f t="shared" si="2"/>
        <v>#16467</v>
      </c>
      <c r="B1270" s="93" t="str">
        <f>IF(COUNTIF(MAIN!B:B, A1270)=0, "Missing", "")</f>
        <v/>
      </c>
      <c r="E1270" s="128" t="str">
        <f t="shared" si="1"/>
        <v/>
      </c>
    </row>
    <row r="1271">
      <c r="A1271" s="93" t="str">
        <f t="shared" si="2"/>
        <v>#16468</v>
      </c>
      <c r="B1271" s="93" t="str">
        <f>IF(COUNTIF(MAIN!B:B, A1271)=0, "Missing", "")</f>
        <v/>
      </c>
      <c r="E1271" s="128" t="str">
        <f t="shared" si="1"/>
        <v/>
      </c>
    </row>
    <row r="1272">
      <c r="A1272" s="93" t="str">
        <f t="shared" si="2"/>
        <v>#16469</v>
      </c>
      <c r="B1272" s="93" t="str">
        <f>IF(COUNTIF(MAIN!B:B, A1272)=0, "Missing", "")</f>
        <v/>
      </c>
      <c r="E1272" s="128" t="str">
        <f t="shared" si="1"/>
        <v/>
      </c>
    </row>
    <row r="1273">
      <c r="A1273" s="93" t="str">
        <f t="shared" si="2"/>
        <v>#16470</v>
      </c>
      <c r="B1273" s="93" t="str">
        <f>IF(COUNTIF(MAIN!B:B, A1273)=0, "Missing", "")</f>
        <v/>
      </c>
      <c r="E1273" s="128" t="str">
        <f t="shared" si="1"/>
        <v/>
      </c>
    </row>
    <row r="1274">
      <c r="A1274" s="93" t="str">
        <f t="shared" si="2"/>
        <v>#16471</v>
      </c>
      <c r="B1274" s="93" t="str">
        <f>IF(COUNTIF(MAIN!B:B, A1274)=0, "Missing", "")</f>
        <v/>
      </c>
      <c r="E1274" s="128" t="str">
        <f t="shared" si="1"/>
        <v/>
      </c>
    </row>
    <row r="1275">
      <c r="A1275" s="93" t="str">
        <f t="shared" si="2"/>
        <v>#16472</v>
      </c>
      <c r="B1275" s="93" t="str">
        <f>IF(COUNTIF(MAIN!B:B, A1275)=0, "Missing", "")</f>
        <v/>
      </c>
      <c r="E1275" s="128" t="str">
        <f t="shared" si="1"/>
        <v/>
      </c>
    </row>
    <row r="1276">
      <c r="A1276" s="93" t="str">
        <f t="shared" si="2"/>
        <v>#16473</v>
      </c>
      <c r="B1276" s="93" t="str">
        <f>IF(COUNTIF(MAIN!B:B, A1276)=0, "Missing", "")</f>
        <v/>
      </c>
      <c r="E1276" s="128" t="str">
        <f t="shared" si="1"/>
        <v/>
      </c>
    </row>
    <row r="1277">
      <c r="A1277" s="93" t="str">
        <f t="shared" si="2"/>
        <v>#16474</v>
      </c>
      <c r="B1277" s="93" t="str">
        <f>IF(COUNTIF(MAIN!B:B, A1277)=0, "Missing", "")</f>
        <v/>
      </c>
      <c r="E1277" s="128" t="str">
        <f t="shared" si="1"/>
        <v/>
      </c>
    </row>
    <row r="1278">
      <c r="A1278" s="93" t="str">
        <f t="shared" si="2"/>
        <v>#16475</v>
      </c>
      <c r="B1278" s="93" t="str">
        <f>IF(COUNTIF(MAIN!B:B, A1278)=0, "Missing", "")</f>
        <v/>
      </c>
      <c r="E1278" s="128" t="str">
        <f t="shared" si="1"/>
        <v/>
      </c>
    </row>
    <row r="1279">
      <c r="A1279" s="93" t="str">
        <f t="shared" si="2"/>
        <v>#16476</v>
      </c>
      <c r="B1279" s="93" t="str">
        <f>IF(COUNTIF(MAIN!B:B, A1279)=0, "Missing", "")</f>
        <v/>
      </c>
      <c r="E1279" s="128" t="str">
        <f t="shared" si="1"/>
        <v/>
      </c>
    </row>
    <row r="1280">
      <c r="A1280" s="93" t="str">
        <f t="shared" si="2"/>
        <v>#16477</v>
      </c>
      <c r="B1280" s="93" t="str">
        <f>IF(COUNTIF(MAIN!B:B, A1280)=0, "Missing", "")</f>
        <v/>
      </c>
      <c r="E1280" s="128" t="str">
        <f t="shared" si="1"/>
        <v/>
      </c>
    </row>
    <row r="1281">
      <c r="A1281" s="93" t="str">
        <f t="shared" si="2"/>
        <v>#16478</v>
      </c>
      <c r="B1281" s="93" t="str">
        <f>IF(COUNTIF(MAIN!B:B, A1281)=0, "Missing", "")</f>
        <v/>
      </c>
      <c r="E1281" s="128" t="str">
        <f t="shared" si="1"/>
        <v/>
      </c>
    </row>
    <row r="1282">
      <c r="A1282" s="93" t="str">
        <f t="shared" si="2"/>
        <v>#16479</v>
      </c>
      <c r="B1282" s="93" t="str">
        <f>IF(COUNTIF(MAIN!B:B, A1282)=0, "Missing", "")</f>
        <v/>
      </c>
      <c r="E1282" s="128" t="str">
        <f t="shared" si="1"/>
        <v/>
      </c>
    </row>
    <row r="1283">
      <c r="A1283" s="93" t="str">
        <f t="shared" si="2"/>
        <v>#16480</v>
      </c>
      <c r="B1283" s="93" t="str">
        <f>IF(COUNTIF(MAIN!B:B, A1283)=0, "Missing", "")</f>
        <v/>
      </c>
      <c r="E1283" s="128" t="str">
        <f t="shared" si="1"/>
        <v/>
      </c>
    </row>
    <row r="1284">
      <c r="A1284" s="93" t="str">
        <f t="shared" si="2"/>
        <v>#16481</v>
      </c>
      <c r="B1284" s="93" t="str">
        <f>IF(COUNTIF(MAIN!B:B, A1284)=0, "Missing", "")</f>
        <v/>
      </c>
      <c r="E1284" s="128" t="str">
        <f t="shared" si="1"/>
        <v/>
      </c>
    </row>
    <row r="1285">
      <c r="A1285" s="93" t="str">
        <f t="shared" si="2"/>
        <v>#16482</v>
      </c>
      <c r="B1285" s="93" t="str">
        <f>IF(COUNTIF(MAIN!B:B, A1285)=0, "Missing", "")</f>
        <v/>
      </c>
      <c r="E1285" s="128" t="str">
        <f t="shared" si="1"/>
        <v/>
      </c>
    </row>
    <row r="1286">
      <c r="A1286" s="93" t="str">
        <f t="shared" si="2"/>
        <v>#16483</v>
      </c>
      <c r="B1286" s="93" t="str">
        <f>IF(COUNTIF(MAIN!B:B, A1286)=0, "Missing", "")</f>
        <v/>
      </c>
      <c r="E1286" s="128" t="str">
        <f t="shared" si="1"/>
        <v/>
      </c>
    </row>
    <row r="1287">
      <c r="A1287" s="93" t="str">
        <f t="shared" si="2"/>
        <v>#16484</v>
      </c>
      <c r="B1287" s="93" t="str">
        <f>IF(COUNTIF(MAIN!B:B, A1287)=0, "Missing", "")</f>
        <v/>
      </c>
      <c r="E1287" s="128" t="str">
        <f t="shared" si="1"/>
        <v/>
      </c>
    </row>
    <row r="1288">
      <c r="A1288" s="93" t="str">
        <f t="shared" si="2"/>
        <v>#16485</v>
      </c>
      <c r="B1288" s="93" t="str">
        <f>IF(COUNTIF(MAIN!B:B, A1288)=0, "Missing", "")</f>
        <v/>
      </c>
      <c r="E1288" s="128" t="str">
        <f t="shared" si="1"/>
        <v/>
      </c>
    </row>
    <row r="1289">
      <c r="A1289" s="93" t="str">
        <f t="shared" si="2"/>
        <v>#16486</v>
      </c>
      <c r="B1289" s="93" t="str">
        <f>IF(COUNTIF(MAIN!B:B, A1289)=0, "Missing", "")</f>
        <v/>
      </c>
      <c r="E1289" s="128" t="str">
        <f t="shared" si="1"/>
        <v/>
      </c>
    </row>
    <row r="1290">
      <c r="A1290" s="93" t="str">
        <f t="shared" si="2"/>
        <v>#16487</v>
      </c>
      <c r="B1290" s="93" t="str">
        <f>IF(COUNTIF(MAIN!B:B, A1290)=0, "Missing", "")</f>
        <v/>
      </c>
      <c r="E1290" s="128" t="str">
        <f t="shared" si="1"/>
        <v/>
      </c>
    </row>
    <row r="1291">
      <c r="A1291" s="93" t="str">
        <f t="shared" si="2"/>
        <v>#16488</v>
      </c>
      <c r="B1291" s="93" t="str">
        <f>IF(COUNTIF(MAIN!B:B, A1291)=0, "Missing", "")</f>
        <v/>
      </c>
      <c r="E1291" s="128" t="str">
        <f t="shared" si="1"/>
        <v/>
      </c>
    </row>
    <row r="1292">
      <c r="A1292" s="93" t="str">
        <f t="shared" si="2"/>
        <v>#16489</v>
      </c>
      <c r="B1292" s="93" t="str">
        <f>IF(COUNTIF(MAIN!B:B, A1292)=0, "Missing", "")</f>
        <v/>
      </c>
      <c r="E1292" s="128" t="str">
        <f t="shared" si="1"/>
        <v/>
      </c>
    </row>
    <row r="1293">
      <c r="A1293" s="93" t="str">
        <f t="shared" si="2"/>
        <v>#16490</v>
      </c>
      <c r="B1293" s="93" t="str">
        <f>IF(COUNTIF(MAIN!B:B, A1293)=0, "Missing", "")</f>
        <v/>
      </c>
      <c r="E1293" s="128" t="str">
        <f t="shared" si="1"/>
        <v/>
      </c>
    </row>
    <row r="1294">
      <c r="A1294" s="93" t="str">
        <f t="shared" si="2"/>
        <v>#16491</v>
      </c>
      <c r="B1294" s="93" t="str">
        <f>IF(COUNTIF(MAIN!B:B, A1294)=0, "Missing", "")</f>
        <v/>
      </c>
      <c r="E1294" s="128" t="str">
        <f t="shared" si="1"/>
        <v/>
      </c>
    </row>
    <row r="1295">
      <c r="A1295" s="93" t="str">
        <f t="shared" si="2"/>
        <v>#16492</v>
      </c>
      <c r="B1295" s="93" t="str">
        <f>IF(COUNTIF(MAIN!B:B, A1295)=0, "Missing", "")</f>
        <v/>
      </c>
      <c r="E1295" s="128" t="str">
        <f t="shared" si="1"/>
        <v/>
      </c>
    </row>
    <row r="1296">
      <c r="A1296" s="93" t="str">
        <f t="shared" si="2"/>
        <v>#16493</v>
      </c>
      <c r="B1296" s="93" t="str">
        <f>IF(COUNTIF(MAIN!B:B, A1296)=0, "Missing", "")</f>
        <v/>
      </c>
      <c r="E1296" s="128" t="str">
        <f t="shared" si="1"/>
        <v/>
      </c>
    </row>
    <row r="1297">
      <c r="A1297" s="93" t="str">
        <f t="shared" si="2"/>
        <v>#16494</v>
      </c>
      <c r="B1297" s="93" t="str">
        <f>IF(COUNTIF(MAIN!B:B, A1297)=0, "Missing", "")</f>
        <v/>
      </c>
      <c r="E1297" s="128" t="str">
        <f t="shared" si="1"/>
        <v/>
      </c>
    </row>
    <row r="1298">
      <c r="A1298" s="93" t="str">
        <f t="shared" si="2"/>
        <v>#16495</v>
      </c>
      <c r="B1298" s="93" t="str">
        <f>IF(COUNTIF(MAIN!B:B, A1298)=0, "Missing", "")</f>
        <v/>
      </c>
      <c r="E1298" s="128" t="str">
        <f t="shared" si="1"/>
        <v/>
      </c>
    </row>
    <row r="1299">
      <c r="A1299" s="93" t="str">
        <f t="shared" si="2"/>
        <v>#16496</v>
      </c>
      <c r="B1299" s="93" t="str">
        <f>IF(COUNTIF(MAIN!B:B, A1299)=0, "Missing", "")</f>
        <v/>
      </c>
      <c r="E1299" s="128" t="str">
        <f t="shared" si="1"/>
        <v/>
      </c>
    </row>
    <row r="1300">
      <c r="A1300" s="93" t="str">
        <f t="shared" si="2"/>
        <v>#16497</v>
      </c>
      <c r="B1300" s="93" t="str">
        <f>IF(COUNTIF(MAIN!B:B, A1300)=0, "Missing", "")</f>
        <v/>
      </c>
      <c r="E1300" s="128" t="str">
        <f t="shared" si="1"/>
        <v/>
      </c>
    </row>
    <row r="1301">
      <c r="A1301" s="93" t="str">
        <f t="shared" si="2"/>
        <v>#16498</v>
      </c>
      <c r="B1301" s="93" t="str">
        <f>IF(COUNTIF(MAIN!B:B, A1301)=0, "Missing", "")</f>
        <v/>
      </c>
      <c r="E1301" s="128" t="str">
        <f t="shared" si="1"/>
        <v/>
      </c>
    </row>
    <row r="1302">
      <c r="A1302" s="93" t="str">
        <f t="shared" si="2"/>
        <v>#16499</v>
      </c>
      <c r="B1302" s="93" t="str">
        <f>IF(COUNTIF(MAIN!B:B, A1302)=0, "Missing", "")</f>
        <v/>
      </c>
      <c r="E1302" s="128" t="str">
        <f t="shared" si="1"/>
        <v/>
      </c>
    </row>
    <row r="1303">
      <c r="A1303" s="93" t="str">
        <f t="shared" si="2"/>
        <v>#16500</v>
      </c>
      <c r="B1303" s="93" t="str">
        <f>IF(COUNTIF(MAIN!B:B, A1303)=0, "Missing", "")</f>
        <v/>
      </c>
      <c r="E1303" s="128" t="str">
        <f t="shared" si="1"/>
        <v/>
      </c>
    </row>
    <row r="1304">
      <c r="A1304" s="93" t="str">
        <f t="shared" si="2"/>
        <v>#16501</v>
      </c>
      <c r="B1304" s="93" t="str">
        <f>IF(COUNTIF(MAIN!B:B, A1304)=0, "Missing", "")</f>
        <v/>
      </c>
      <c r="E1304" s="128" t="str">
        <f t="shared" si="1"/>
        <v/>
      </c>
    </row>
    <row r="1305">
      <c r="A1305" s="93" t="str">
        <f t="shared" si="2"/>
        <v>#16502</v>
      </c>
      <c r="B1305" s="93" t="str">
        <f>IF(COUNTIF(MAIN!B:B, A1305)=0, "Missing", "")</f>
        <v/>
      </c>
      <c r="E1305" s="128" t="str">
        <f t="shared" si="1"/>
        <v/>
      </c>
    </row>
    <row r="1306">
      <c r="A1306" s="93" t="str">
        <f t="shared" si="2"/>
        <v>#16503</v>
      </c>
      <c r="B1306" s="93" t="str">
        <f>IF(COUNTIF(MAIN!B:B, A1306)=0, "Missing", "")</f>
        <v/>
      </c>
      <c r="E1306" s="128" t="str">
        <f t="shared" si="1"/>
        <v/>
      </c>
    </row>
    <row r="1307">
      <c r="A1307" s="93" t="str">
        <f t="shared" si="2"/>
        <v>#16504</v>
      </c>
      <c r="B1307" s="93" t="str">
        <f>IF(COUNTIF(MAIN!B:B, A1307)=0, "Missing", "")</f>
        <v/>
      </c>
      <c r="E1307" s="128" t="str">
        <f t="shared" si="1"/>
        <v/>
      </c>
    </row>
    <row r="1308">
      <c r="A1308" s="93" t="str">
        <f t="shared" si="2"/>
        <v>#16505</v>
      </c>
      <c r="B1308" s="93" t="str">
        <f>IF(COUNTIF(MAIN!B:B, A1308)=0, "Missing", "")</f>
        <v/>
      </c>
      <c r="E1308" s="128" t="str">
        <f t="shared" si="1"/>
        <v/>
      </c>
    </row>
    <row r="1309">
      <c r="A1309" s="93" t="str">
        <f t="shared" si="2"/>
        <v>#16506</v>
      </c>
      <c r="B1309" s="93" t="str">
        <f>IF(COUNTIF(MAIN!B:B, A1309)=0, "Missing", "")</f>
        <v/>
      </c>
      <c r="E1309" s="128" t="str">
        <f t="shared" si="1"/>
        <v/>
      </c>
    </row>
    <row r="1310">
      <c r="A1310" s="93" t="str">
        <f t="shared" si="2"/>
        <v>#16507</v>
      </c>
      <c r="B1310" s="93" t="str">
        <f>IF(COUNTIF(MAIN!B:B, A1310)=0, "Missing", "")</f>
        <v/>
      </c>
      <c r="E1310" s="128" t="str">
        <f t="shared" si="1"/>
        <v/>
      </c>
    </row>
    <row r="1311">
      <c r="A1311" s="93" t="str">
        <f t="shared" si="2"/>
        <v>#16508</v>
      </c>
      <c r="B1311" s="93" t="str">
        <f>IF(COUNTIF(MAIN!B:B, A1311)=0, "Missing", "")</f>
        <v/>
      </c>
      <c r="E1311" s="128" t="str">
        <f t="shared" si="1"/>
        <v/>
      </c>
    </row>
    <row r="1312">
      <c r="A1312" s="93" t="str">
        <f t="shared" si="2"/>
        <v>#16509</v>
      </c>
      <c r="B1312" s="93" t="str">
        <f>IF(COUNTIF(MAIN!B:B, A1312)=0, "Missing", "")</f>
        <v/>
      </c>
      <c r="E1312" s="128" t="str">
        <f t="shared" si="1"/>
        <v/>
      </c>
    </row>
    <row r="1313">
      <c r="A1313" s="93" t="str">
        <f t="shared" si="2"/>
        <v>#16510</v>
      </c>
      <c r="B1313" s="93" t="str">
        <f>IF(COUNTIF(MAIN!B:B, A1313)=0, "Missing", "")</f>
        <v/>
      </c>
      <c r="E1313" s="128" t="str">
        <f t="shared" si="1"/>
        <v/>
      </c>
    </row>
    <row r="1314">
      <c r="A1314" s="93" t="str">
        <f t="shared" si="2"/>
        <v>#16511</v>
      </c>
      <c r="B1314" s="93" t="str">
        <f>IF(COUNTIF(MAIN!B:B, A1314)=0, "Missing", "")</f>
        <v/>
      </c>
      <c r="E1314" s="128" t="str">
        <f t="shared" si="1"/>
        <v/>
      </c>
    </row>
    <row r="1315">
      <c r="A1315" s="93" t="str">
        <f t="shared" si="2"/>
        <v>#16512</v>
      </c>
      <c r="B1315" s="93" t="str">
        <f>IF(COUNTIF(MAIN!B:B, A1315)=0, "Missing", "")</f>
        <v/>
      </c>
      <c r="E1315" s="128" t="str">
        <f t="shared" si="1"/>
        <v/>
      </c>
    </row>
    <row r="1316">
      <c r="A1316" s="93" t="str">
        <f t="shared" si="2"/>
        <v>#16513</v>
      </c>
      <c r="B1316" s="93" t="str">
        <f>IF(COUNTIF(MAIN!B:B, A1316)=0, "Missing", "")</f>
        <v/>
      </c>
      <c r="E1316" s="128" t="str">
        <f t="shared" si="1"/>
        <v/>
      </c>
    </row>
    <row r="1317">
      <c r="A1317" s="93" t="str">
        <f t="shared" si="2"/>
        <v>#16514</v>
      </c>
      <c r="B1317" s="93" t="str">
        <f>IF(COUNTIF(MAIN!B:B, A1317)=0, "Missing", "")</f>
        <v/>
      </c>
      <c r="E1317" s="128" t="str">
        <f t="shared" si="1"/>
        <v/>
      </c>
    </row>
    <row r="1318">
      <c r="A1318" s="93" t="str">
        <f t="shared" si="2"/>
        <v>#16515</v>
      </c>
      <c r="B1318" s="93" t="str">
        <f>IF(COUNTIF(MAIN!B:B, A1318)=0, "Missing", "")</f>
        <v/>
      </c>
      <c r="E1318" s="128" t="str">
        <f t="shared" si="1"/>
        <v/>
      </c>
    </row>
    <row r="1319">
      <c r="A1319" s="93" t="str">
        <f t="shared" si="2"/>
        <v>#16516</v>
      </c>
      <c r="B1319" s="93" t="str">
        <f>IF(COUNTIF(MAIN!B:B, A1319)=0, "Missing", "")</f>
        <v/>
      </c>
      <c r="E1319" s="128" t="str">
        <f t="shared" si="1"/>
        <v/>
      </c>
    </row>
    <row r="1320">
      <c r="A1320" s="93" t="str">
        <f t="shared" si="2"/>
        <v>#16517</v>
      </c>
      <c r="B1320" s="93" t="str">
        <f>IF(COUNTIF(MAIN!B:B, A1320)=0, "Missing", "")</f>
        <v/>
      </c>
      <c r="E1320" s="128" t="str">
        <f t="shared" si="1"/>
        <v/>
      </c>
    </row>
    <row r="1321">
      <c r="A1321" s="93" t="str">
        <f t="shared" si="2"/>
        <v>#16518</v>
      </c>
      <c r="B1321" s="93" t="str">
        <f>IF(COUNTIF(MAIN!B:B, A1321)=0, "Missing", "")</f>
        <v/>
      </c>
      <c r="E1321" s="128" t="str">
        <f t="shared" si="1"/>
        <v/>
      </c>
    </row>
    <row r="1322">
      <c r="A1322" s="93" t="str">
        <f t="shared" si="2"/>
        <v>#16519</v>
      </c>
      <c r="B1322" s="93" t="str">
        <f>IF(COUNTIF(MAIN!B:B, A1322)=0, "Missing", "")</f>
        <v/>
      </c>
      <c r="E1322" s="128" t="str">
        <f t="shared" si="1"/>
        <v/>
      </c>
    </row>
    <row r="1323">
      <c r="A1323" s="93" t="str">
        <f t="shared" si="2"/>
        <v>#16520</v>
      </c>
      <c r="B1323" s="93" t="str">
        <f>IF(COUNTIF(MAIN!B:B, A1323)=0, "Missing", "")</f>
        <v/>
      </c>
      <c r="E1323" s="128" t="str">
        <f t="shared" si="1"/>
        <v/>
      </c>
    </row>
    <row r="1324">
      <c r="A1324" s="93" t="str">
        <f t="shared" si="2"/>
        <v>#16521</v>
      </c>
      <c r="B1324" s="93" t="str">
        <f>IF(COUNTIF(MAIN!B:B, A1324)=0, "Missing", "")</f>
        <v/>
      </c>
      <c r="E1324" s="128" t="str">
        <f t="shared" si="1"/>
        <v/>
      </c>
    </row>
    <row r="1325">
      <c r="A1325" s="93" t="str">
        <f t="shared" si="2"/>
        <v>#16522</v>
      </c>
      <c r="B1325" s="93" t="str">
        <f>IF(COUNTIF(MAIN!B:B, A1325)=0, "Missing", "")</f>
        <v/>
      </c>
      <c r="E1325" s="128" t="str">
        <f t="shared" si="1"/>
        <v/>
      </c>
    </row>
    <row r="1326">
      <c r="A1326" s="93" t="str">
        <f t="shared" si="2"/>
        <v>#16523</v>
      </c>
      <c r="B1326" s="93" t="str">
        <f>IF(COUNTIF(MAIN!B:B, A1326)=0, "Missing", "")</f>
        <v/>
      </c>
      <c r="E1326" s="128" t="str">
        <f t="shared" si="1"/>
        <v/>
      </c>
    </row>
    <row r="1327">
      <c r="A1327" s="93" t="str">
        <f t="shared" si="2"/>
        <v>#16524</v>
      </c>
      <c r="B1327" s="93" t="str">
        <f>IF(COUNTIF(MAIN!B:B, A1327)=0, "Missing", "")</f>
        <v/>
      </c>
      <c r="E1327" s="128" t="str">
        <f t="shared" si="1"/>
        <v/>
      </c>
    </row>
    <row r="1328">
      <c r="A1328" s="93" t="str">
        <f t="shared" si="2"/>
        <v>#16525</v>
      </c>
      <c r="B1328" s="93" t="str">
        <f>IF(COUNTIF(MAIN!B:B, A1328)=0, "Missing", "")</f>
        <v/>
      </c>
      <c r="E1328" s="128" t="str">
        <f t="shared" si="1"/>
        <v/>
      </c>
    </row>
    <row r="1329">
      <c r="A1329" s="93" t="str">
        <f t="shared" si="2"/>
        <v>#16526</v>
      </c>
      <c r="B1329" s="93" t="str">
        <f>IF(COUNTIF(MAIN!B:B, A1329)=0, "Missing", "")</f>
        <v/>
      </c>
      <c r="E1329" s="128" t="str">
        <f t="shared" si="1"/>
        <v/>
      </c>
    </row>
    <row r="1330">
      <c r="A1330" s="93" t="str">
        <f t="shared" si="2"/>
        <v>#16527</v>
      </c>
      <c r="B1330" s="93" t="str">
        <f>IF(COUNTIF(MAIN!B:B, A1330)=0, "Missing", "")</f>
        <v/>
      </c>
      <c r="E1330" s="128" t="str">
        <f t="shared" si="1"/>
        <v/>
      </c>
    </row>
    <row r="1331">
      <c r="A1331" s="93" t="str">
        <f t="shared" si="2"/>
        <v>#16528</v>
      </c>
      <c r="B1331" s="93" t="str">
        <f>IF(COUNTIF(MAIN!B:B, A1331)=0, "Missing", "")</f>
        <v/>
      </c>
      <c r="E1331" s="128" t="str">
        <f t="shared" si="1"/>
        <v/>
      </c>
    </row>
    <row r="1332">
      <c r="A1332" s="93" t="str">
        <f t="shared" si="2"/>
        <v>#16529</v>
      </c>
      <c r="B1332" s="93" t="str">
        <f>IF(COUNTIF(MAIN!B:B, A1332)=0, "Missing", "")</f>
        <v/>
      </c>
      <c r="E1332" s="128" t="str">
        <f t="shared" si="1"/>
        <v/>
      </c>
    </row>
    <row r="1333">
      <c r="A1333" s="93" t="str">
        <f t="shared" si="2"/>
        <v>#16530</v>
      </c>
      <c r="B1333" s="93" t="str">
        <f>IF(COUNTIF(MAIN!B:B, A1333)=0, "Missing", "")</f>
        <v/>
      </c>
      <c r="E1333" s="128" t="str">
        <f t="shared" si="1"/>
        <v/>
      </c>
    </row>
    <row r="1334">
      <c r="A1334" s="93" t="str">
        <f t="shared" si="2"/>
        <v>#16531</v>
      </c>
      <c r="B1334" s="93" t="str">
        <f>IF(COUNTIF(MAIN!B:B, A1334)=0, "Missing", "")</f>
        <v/>
      </c>
      <c r="E1334" s="128" t="str">
        <f t="shared" si="1"/>
        <v/>
      </c>
    </row>
    <row r="1335">
      <c r="A1335" s="93" t="str">
        <f t="shared" si="2"/>
        <v>#16532</v>
      </c>
      <c r="B1335" s="93" t="str">
        <f>IF(COUNTIF(MAIN!B:B, A1335)=0, "Missing", "")</f>
        <v/>
      </c>
      <c r="E1335" s="128" t="str">
        <f t="shared" si="1"/>
        <v/>
      </c>
    </row>
    <row r="1336">
      <c r="A1336" s="93" t="str">
        <f t="shared" si="2"/>
        <v>#16533</v>
      </c>
      <c r="B1336" s="93" t="str">
        <f>IF(COUNTIF(MAIN!B:B, A1336)=0, "Missing", "")</f>
        <v/>
      </c>
      <c r="E1336" s="128" t="str">
        <f t="shared" si="1"/>
        <v/>
      </c>
    </row>
    <row r="1337">
      <c r="A1337" s="93" t="str">
        <f t="shared" si="2"/>
        <v>#16534</v>
      </c>
      <c r="B1337" s="93" t="str">
        <f>IF(COUNTIF(MAIN!B:B, A1337)=0, "Missing", "")</f>
        <v/>
      </c>
      <c r="E1337" s="128" t="str">
        <f t="shared" si="1"/>
        <v/>
      </c>
    </row>
    <row r="1338">
      <c r="A1338" s="93" t="str">
        <f t="shared" si="2"/>
        <v>#16535</v>
      </c>
      <c r="B1338" s="93" t="str">
        <f>IF(COUNTIF(MAIN!B:B, A1338)=0, "Missing", "")</f>
        <v/>
      </c>
      <c r="E1338" s="128" t="str">
        <f t="shared" si="1"/>
        <v/>
      </c>
    </row>
    <row r="1339">
      <c r="A1339" s="93" t="str">
        <f t="shared" si="2"/>
        <v>#16536</v>
      </c>
      <c r="B1339" s="93" t="str">
        <f>IF(COUNTIF(MAIN!B:B, A1339)=0, "Missing", "")</f>
        <v/>
      </c>
      <c r="E1339" s="128" t="str">
        <f t="shared" si="1"/>
        <v/>
      </c>
    </row>
    <row r="1340">
      <c r="A1340" s="93" t="str">
        <f t="shared" si="2"/>
        <v>#16537</v>
      </c>
      <c r="B1340" s="93" t="str">
        <f>IF(COUNTIF(MAIN!B:B, A1340)=0, "Missing", "")</f>
        <v/>
      </c>
      <c r="E1340" s="128" t="str">
        <f t="shared" si="1"/>
        <v/>
      </c>
    </row>
    <row r="1341">
      <c r="A1341" s="93" t="str">
        <f t="shared" si="2"/>
        <v>#16538</v>
      </c>
      <c r="B1341" s="93" t="str">
        <f>IF(COUNTIF(MAIN!B:B, A1341)=0, "Missing", "")</f>
        <v/>
      </c>
      <c r="E1341" s="128" t="str">
        <f t="shared" si="1"/>
        <v/>
      </c>
    </row>
    <row r="1342">
      <c r="A1342" s="93" t="str">
        <f t="shared" si="2"/>
        <v>#16539</v>
      </c>
      <c r="B1342" s="93" t="str">
        <f>IF(COUNTIF(MAIN!B:B, A1342)=0, "Missing", "")</f>
        <v/>
      </c>
      <c r="E1342" s="128" t="str">
        <f t="shared" si="1"/>
        <v/>
      </c>
    </row>
    <row r="1343">
      <c r="A1343" s="93" t="str">
        <f t="shared" si="2"/>
        <v>#16540</v>
      </c>
      <c r="B1343" s="93" t="str">
        <f>IF(COUNTIF(MAIN!B:B, A1343)=0, "Missing", "")</f>
        <v/>
      </c>
      <c r="E1343" s="128" t="str">
        <f t="shared" si="1"/>
        <v/>
      </c>
    </row>
    <row r="1344">
      <c r="A1344" s="93" t="str">
        <f t="shared" si="2"/>
        <v>#16541</v>
      </c>
      <c r="B1344" s="93" t="str">
        <f>IF(COUNTIF(MAIN!B:B, A1344)=0, "Missing", "")</f>
        <v/>
      </c>
      <c r="E1344" s="128" t="str">
        <f t="shared" si="1"/>
        <v/>
      </c>
    </row>
    <row r="1345">
      <c r="A1345" s="93" t="str">
        <f t="shared" si="2"/>
        <v>#16542</v>
      </c>
      <c r="B1345" s="93" t="str">
        <f>IF(COUNTIF(MAIN!B:B, A1345)=0, "Missing", "")</f>
        <v/>
      </c>
      <c r="E1345" s="128" t="str">
        <f t="shared" si="1"/>
        <v/>
      </c>
    </row>
    <row r="1346">
      <c r="A1346" s="93" t="str">
        <f t="shared" si="2"/>
        <v>#16543</v>
      </c>
      <c r="B1346" s="93" t="str">
        <f>IF(COUNTIF(MAIN!B:B, A1346)=0, "Missing", "")</f>
        <v/>
      </c>
      <c r="E1346" s="128" t="str">
        <f t="shared" si="1"/>
        <v/>
      </c>
    </row>
    <row r="1347">
      <c r="A1347" s="93" t="str">
        <f t="shared" si="2"/>
        <v>#16544</v>
      </c>
      <c r="B1347" s="93" t="str">
        <f>IF(COUNTIF(MAIN!B:B, A1347)=0, "Missing", "")</f>
        <v/>
      </c>
      <c r="E1347" s="128" t="str">
        <f t="shared" si="1"/>
        <v/>
      </c>
    </row>
    <row r="1348">
      <c r="A1348" s="93" t="str">
        <f t="shared" si="2"/>
        <v>#16545</v>
      </c>
      <c r="B1348" s="93" t="str">
        <f>IF(COUNTIF(MAIN!B:B, A1348)=0, "Missing", "")</f>
        <v/>
      </c>
      <c r="E1348" s="128" t="str">
        <f t="shared" si="1"/>
        <v/>
      </c>
    </row>
    <row r="1349">
      <c r="A1349" s="93" t="str">
        <f t="shared" si="2"/>
        <v>#16546</v>
      </c>
      <c r="B1349" s="93" t="str">
        <f>IF(COUNTIF(MAIN!B:B, A1349)=0, "Missing", "")</f>
        <v/>
      </c>
      <c r="E1349" s="128" t="str">
        <f t="shared" si="1"/>
        <v/>
      </c>
    </row>
    <row r="1350">
      <c r="A1350" s="93" t="str">
        <f t="shared" si="2"/>
        <v>#16547</v>
      </c>
      <c r="B1350" s="93" t="str">
        <f>IF(COUNTIF(MAIN!B:B, A1350)=0, "Missing", "")</f>
        <v/>
      </c>
      <c r="E1350" s="128" t="str">
        <f t="shared" si="1"/>
        <v/>
      </c>
    </row>
    <row r="1351">
      <c r="A1351" s="93" t="str">
        <f t="shared" si="2"/>
        <v>#16548</v>
      </c>
      <c r="B1351" s="93" t="str">
        <f>IF(COUNTIF(MAIN!B:B, A1351)=0, "Missing", "")</f>
        <v/>
      </c>
      <c r="E1351" s="128" t="str">
        <f t="shared" si="1"/>
        <v/>
      </c>
    </row>
    <row r="1352">
      <c r="A1352" s="93" t="str">
        <f t="shared" si="2"/>
        <v>#16549</v>
      </c>
      <c r="B1352" s="93" t="str">
        <f>IF(COUNTIF(MAIN!B:B, A1352)=0, "Missing", "")</f>
        <v/>
      </c>
      <c r="E1352" s="128" t="str">
        <f t="shared" si="1"/>
        <v/>
      </c>
    </row>
    <row r="1353">
      <c r="A1353" s="93" t="str">
        <f t="shared" si="2"/>
        <v>#16550</v>
      </c>
      <c r="B1353" s="93" t="str">
        <f>IF(COUNTIF(MAIN!B:B, A1353)=0, "Missing", "")</f>
        <v>Missing</v>
      </c>
      <c r="C1353" s="84" t="s">
        <v>15236</v>
      </c>
      <c r="E1353" s="131" t="str">
        <f t="shared" si="1"/>
        <v>https://utrucking.myshopify.com/admin/orders?query=16550</v>
      </c>
    </row>
    <row r="1354">
      <c r="A1354" s="93" t="str">
        <f t="shared" si="2"/>
        <v>#16551</v>
      </c>
      <c r="B1354" s="93" t="str">
        <f>IF(COUNTIF(MAIN!B:B, A1354)=0, "Missing", "")</f>
        <v>Missing</v>
      </c>
      <c r="C1354" s="84" t="s">
        <v>15236</v>
      </c>
      <c r="E1354" s="131" t="str">
        <f t="shared" si="1"/>
        <v>https://utrucking.myshopify.com/admin/orders?query=16551</v>
      </c>
    </row>
    <row r="1355">
      <c r="A1355" s="93" t="str">
        <f t="shared" si="2"/>
        <v>#16552</v>
      </c>
      <c r="B1355" s="93" t="str">
        <f>IF(COUNTIF(MAIN!B:B, A1355)=0, "Missing", "")</f>
        <v/>
      </c>
      <c r="E1355" s="128" t="str">
        <f t="shared" si="1"/>
        <v/>
      </c>
    </row>
    <row r="1356">
      <c r="A1356" s="93" t="str">
        <f t="shared" si="2"/>
        <v>#16553</v>
      </c>
      <c r="B1356" s="93" t="str">
        <f>IF(COUNTIF(MAIN!B:B, A1356)=0, "Missing", "")</f>
        <v/>
      </c>
      <c r="E1356" s="128" t="str">
        <f t="shared" si="1"/>
        <v/>
      </c>
    </row>
    <row r="1357">
      <c r="A1357" s="93" t="str">
        <f t="shared" si="2"/>
        <v>#16554</v>
      </c>
      <c r="B1357" s="93" t="str">
        <f>IF(COUNTIF(MAIN!B:B, A1357)=0, "Missing", "")</f>
        <v/>
      </c>
      <c r="E1357" s="128" t="str">
        <f t="shared" si="1"/>
        <v/>
      </c>
    </row>
    <row r="1358">
      <c r="A1358" s="93" t="str">
        <f t="shared" si="2"/>
        <v>#16555</v>
      </c>
      <c r="B1358" s="93" t="str">
        <f>IF(COUNTIF(MAIN!B:B, A1358)=0, "Missing", "")</f>
        <v/>
      </c>
      <c r="E1358" s="128" t="str">
        <f t="shared" si="1"/>
        <v/>
      </c>
    </row>
    <row r="1359">
      <c r="A1359" s="93" t="str">
        <f t="shared" si="2"/>
        <v>#16556</v>
      </c>
      <c r="B1359" s="93" t="str">
        <f>IF(COUNTIF(MAIN!B:B, A1359)=0, "Missing", "")</f>
        <v>Missing</v>
      </c>
      <c r="C1359" s="84" t="s">
        <v>15236</v>
      </c>
      <c r="E1359" s="131" t="str">
        <f t="shared" si="1"/>
        <v>https://utrucking.myshopify.com/admin/orders?query=16556</v>
      </c>
    </row>
    <row r="1360">
      <c r="A1360" s="93" t="str">
        <f t="shared" si="2"/>
        <v>#16557</v>
      </c>
      <c r="B1360" s="93" t="str">
        <f>IF(COUNTIF(MAIN!B:B, A1360)=0, "Missing", "")</f>
        <v>Missing</v>
      </c>
      <c r="C1360" s="84" t="s">
        <v>15236</v>
      </c>
      <c r="E1360" s="131" t="str">
        <f t="shared" si="1"/>
        <v>https://utrucking.myshopify.com/admin/orders?query=16557</v>
      </c>
    </row>
    <row r="1361">
      <c r="A1361" s="93" t="str">
        <f t="shared" si="2"/>
        <v>#16558</v>
      </c>
      <c r="B1361" s="93" t="str">
        <f>IF(COUNTIF(MAIN!B:B, A1361)=0, "Missing", "")</f>
        <v>Missing</v>
      </c>
      <c r="C1361" s="84" t="s">
        <v>15236</v>
      </c>
      <c r="E1361" s="131" t="str">
        <f t="shared" si="1"/>
        <v>https://utrucking.myshopify.com/admin/orders?query=16558</v>
      </c>
    </row>
    <row r="1362">
      <c r="A1362" s="93" t="str">
        <f t="shared" si="2"/>
        <v>#16559</v>
      </c>
      <c r="B1362" s="93" t="str">
        <f>IF(COUNTIF(MAIN!B:B, A1362)=0, "Missing", "")</f>
        <v>Missing</v>
      </c>
      <c r="C1362" s="84" t="s">
        <v>15236</v>
      </c>
      <c r="E1362" s="131" t="str">
        <f t="shared" si="1"/>
        <v>https://utrucking.myshopify.com/admin/orders?query=16559</v>
      </c>
    </row>
    <row r="1363">
      <c r="A1363" s="93" t="str">
        <f t="shared" si="2"/>
        <v>#16560</v>
      </c>
      <c r="B1363" s="93" t="str">
        <f>IF(COUNTIF(MAIN!B:B, A1363)=0, "Missing", "")</f>
        <v>Missing</v>
      </c>
      <c r="C1363" s="84" t="s">
        <v>15236</v>
      </c>
      <c r="E1363" s="131" t="str">
        <f t="shared" si="1"/>
        <v>https://utrucking.myshopify.com/admin/orders?query=16560</v>
      </c>
    </row>
    <row r="1364">
      <c r="A1364" s="93" t="str">
        <f t="shared" si="2"/>
        <v>#16561</v>
      </c>
      <c r="B1364" s="93" t="str">
        <f>IF(COUNTIF(MAIN!B:B, A1364)=0, "Missing", "")</f>
        <v>Missing</v>
      </c>
      <c r="C1364" s="84" t="s">
        <v>15237</v>
      </c>
      <c r="E1364" s="131" t="str">
        <f t="shared" si="1"/>
        <v>https://utrucking.myshopify.com/admin/orders?query=16561</v>
      </c>
    </row>
    <row r="1365">
      <c r="A1365" s="93" t="str">
        <f t="shared" si="2"/>
        <v>#16562</v>
      </c>
      <c r="B1365" s="93" t="str">
        <f>IF(COUNTIF(MAIN!B:B, A1365)=0, "Missing", "")</f>
        <v>Missing</v>
      </c>
      <c r="C1365" s="84" t="s">
        <v>15237</v>
      </c>
      <c r="E1365" s="131" t="str">
        <f t="shared" si="1"/>
        <v>https://utrucking.myshopify.com/admin/orders?query=16562</v>
      </c>
    </row>
    <row r="1366">
      <c r="A1366" s="93" t="str">
        <f t="shared" si="2"/>
        <v>#16563</v>
      </c>
      <c r="B1366" s="93" t="str">
        <f>IF(COUNTIF(MAIN!B:B, A1366)=0, "Missing", "")</f>
        <v>Missing</v>
      </c>
      <c r="C1366" s="84" t="s">
        <v>15236</v>
      </c>
      <c r="E1366" s="131" t="str">
        <f t="shared" si="1"/>
        <v>https://utrucking.myshopify.com/admin/orders?query=16563</v>
      </c>
    </row>
    <row r="1367">
      <c r="A1367" s="93" t="str">
        <f t="shared" si="2"/>
        <v>#16564</v>
      </c>
      <c r="B1367" s="93" t="str">
        <f>IF(COUNTIF(MAIN!B:B, A1367)=0, "Missing", "")</f>
        <v>Missing</v>
      </c>
      <c r="C1367" s="84" t="s">
        <v>15237</v>
      </c>
      <c r="E1367" s="131" t="str">
        <f t="shared" si="1"/>
        <v>https://utrucking.myshopify.com/admin/orders?query=16564</v>
      </c>
    </row>
    <row r="1368">
      <c r="A1368" s="93" t="str">
        <f t="shared" si="2"/>
        <v>#16565</v>
      </c>
      <c r="B1368" s="93" t="str">
        <f>IF(COUNTIF(MAIN!B:B, A1368)=0, "Missing", "")</f>
        <v>Missing</v>
      </c>
      <c r="C1368" s="84" t="s">
        <v>15236</v>
      </c>
      <c r="E1368" s="131" t="str">
        <f t="shared" si="1"/>
        <v>https://utrucking.myshopify.com/admin/orders?query=16565</v>
      </c>
    </row>
    <row r="1369">
      <c r="A1369" s="93" t="str">
        <f t="shared" si="2"/>
        <v>#16566</v>
      </c>
      <c r="B1369" s="93" t="str">
        <f>IF(COUNTIF(MAIN!B:B, A1369)=0, "Missing", "")</f>
        <v>Missing</v>
      </c>
      <c r="C1369" s="84" t="s">
        <v>15236</v>
      </c>
      <c r="E1369" s="131" t="str">
        <f t="shared" si="1"/>
        <v>https://utrucking.myshopify.com/admin/orders?query=16566</v>
      </c>
    </row>
    <row r="1370">
      <c r="A1370" s="93" t="str">
        <f t="shared" si="2"/>
        <v>#16567</v>
      </c>
      <c r="B1370" s="93" t="str">
        <f>IF(COUNTIF(MAIN!B:B, A1370)=0, "Missing", "")</f>
        <v>Missing</v>
      </c>
      <c r="C1370" s="84" t="s">
        <v>15236</v>
      </c>
      <c r="E1370" s="131" t="str">
        <f t="shared" si="1"/>
        <v>https://utrucking.myshopify.com/admin/orders?query=16567</v>
      </c>
    </row>
    <row r="1371">
      <c r="A1371" s="93" t="str">
        <f t="shared" si="2"/>
        <v>#16568</v>
      </c>
      <c r="B1371" s="93" t="str">
        <f>IF(COUNTIF(MAIN!B:B, A1371)=0, "Missing", "")</f>
        <v>Missing</v>
      </c>
      <c r="C1371" s="84" t="s">
        <v>15236</v>
      </c>
      <c r="E1371" s="131" t="str">
        <f t="shared" si="1"/>
        <v>https://utrucking.myshopify.com/admin/orders?query=16568</v>
      </c>
    </row>
    <row r="1372">
      <c r="A1372" s="93" t="str">
        <f t="shared" si="2"/>
        <v>#16569</v>
      </c>
      <c r="B1372" s="93" t="str">
        <f>IF(COUNTIF(MAIN!B:B, A1372)=0, "Missing", "")</f>
        <v>Missing</v>
      </c>
      <c r="C1372" s="84" t="s">
        <v>15237</v>
      </c>
      <c r="E1372" s="131" t="str">
        <f t="shared" si="1"/>
        <v>https://utrucking.myshopify.com/admin/orders?query=16569</v>
      </c>
    </row>
    <row r="1373">
      <c r="A1373" s="93" t="str">
        <f t="shared" si="2"/>
        <v>#16570</v>
      </c>
      <c r="B1373" s="93" t="str">
        <f>IF(COUNTIF(MAIN!B:B, A1373)=0, "Missing", "")</f>
        <v>Missing</v>
      </c>
      <c r="C1373" s="84" t="s">
        <v>15236</v>
      </c>
      <c r="E1373" s="131" t="str">
        <f t="shared" si="1"/>
        <v>https://utrucking.myshopify.com/admin/orders?query=16570</v>
      </c>
    </row>
    <row r="1374">
      <c r="A1374" s="93" t="str">
        <f t="shared" si="2"/>
        <v>#16571</v>
      </c>
      <c r="B1374" s="93" t="str">
        <f>IF(COUNTIF(MAIN!B:B, A1374)=0, "Missing", "")</f>
        <v>Missing</v>
      </c>
      <c r="C1374" s="84" t="s">
        <v>15237</v>
      </c>
      <c r="E1374" s="131" t="str">
        <f t="shared" si="1"/>
        <v>https://utrucking.myshopify.com/admin/orders?query=16571</v>
      </c>
    </row>
    <row r="1375">
      <c r="A1375" s="93" t="str">
        <f t="shared" si="2"/>
        <v>#16572</v>
      </c>
      <c r="B1375" s="93" t="str">
        <f>IF(COUNTIF(MAIN!B:B, A1375)=0, "Missing", "")</f>
        <v>Missing</v>
      </c>
      <c r="C1375" s="84" t="s">
        <v>15236</v>
      </c>
      <c r="E1375" s="131" t="str">
        <f t="shared" si="1"/>
        <v>https://utrucking.myshopify.com/admin/orders?query=16572</v>
      </c>
    </row>
    <row r="1376">
      <c r="A1376" s="93" t="str">
        <f t="shared" si="2"/>
        <v>#16573</v>
      </c>
      <c r="B1376" s="93" t="str">
        <f>IF(COUNTIF(MAIN!B:B, A1376)=0, "Missing", "")</f>
        <v/>
      </c>
      <c r="E1376" s="128" t="str">
        <f t="shared" si="1"/>
        <v/>
      </c>
    </row>
    <row r="1377">
      <c r="A1377" s="93" t="str">
        <f t="shared" si="2"/>
        <v>#16574</v>
      </c>
      <c r="B1377" s="93" t="str">
        <f>IF(COUNTIF(MAIN!B:B, A1377)=0, "Missing", "")</f>
        <v>Missing</v>
      </c>
      <c r="C1377" s="84" t="s">
        <v>15236</v>
      </c>
      <c r="E1377" s="131" t="str">
        <f t="shared" si="1"/>
        <v>https://utrucking.myshopify.com/admin/orders?query=16574</v>
      </c>
    </row>
    <row r="1378">
      <c r="A1378" s="93" t="str">
        <f t="shared" si="2"/>
        <v>#16575</v>
      </c>
      <c r="B1378" s="93" t="str">
        <f>IF(COUNTIF(MAIN!B:B, A1378)=0, "Missing", "")</f>
        <v>Missing</v>
      </c>
      <c r="C1378" s="84" t="s">
        <v>15237</v>
      </c>
      <c r="E1378" s="131" t="str">
        <f t="shared" si="1"/>
        <v>https://utrucking.myshopify.com/admin/orders?query=16575</v>
      </c>
    </row>
    <row r="1379">
      <c r="A1379" s="93" t="str">
        <f t="shared" si="2"/>
        <v>#16576</v>
      </c>
      <c r="B1379" s="93" t="str">
        <f>IF(COUNTIF(MAIN!B:B, A1379)=0, "Missing", "")</f>
        <v>Missing</v>
      </c>
      <c r="C1379" s="84" t="s">
        <v>15237</v>
      </c>
      <c r="E1379" s="131" t="str">
        <f t="shared" si="1"/>
        <v>https://utrucking.myshopify.com/admin/orders?query=16576</v>
      </c>
    </row>
    <row r="1380">
      <c r="A1380" s="93" t="str">
        <f t="shared" si="2"/>
        <v>#16577</v>
      </c>
      <c r="B1380" s="93" t="str">
        <f>IF(COUNTIF(MAIN!B:B, A1380)=0, "Missing", "")</f>
        <v>Missing</v>
      </c>
      <c r="C1380" s="84" t="s">
        <v>15237</v>
      </c>
      <c r="E1380" s="131" t="str">
        <f t="shared" si="1"/>
        <v>https://utrucking.myshopify.com/admin/orders?query=16577</v>
      </c>
    </row>
    <row r="1381">
      <c r="A1381" s="93" t="str">
        <f t="shared" si="2"/>
        <v>#16578</v>
      </c>
      <c r="B1381" s="93" t="str">
        <f>IF(COUNTIF(MAIN!B:B, A1381)=0, "Missing", "")</f>
        <v>Missing</v>
      </c>
      <c r="C1381" s="84" t="s">
        <v>15237</v>
      </c>
      <c r="E1381" s="131" t="str">
        <f t="shared" si="1"/>
        <v>https://utrucking.myshopify.com/admin/orders?query=16578</v>
      </c>
    </row>
    <row r="1382">
      <c r="A1382" s="93" t="str">
        <f t="shared" si="2"/>
        <v>#16579</v>
      </c>
      <c r="B1382" s="93" t="str">
        <f>IF(COUNTIF(MAIN!B:B, A1382)=0, "Missing", "")</f>
        <v>Missing</v>
      </c>
      <c r="C1382" s="84" t="s">
        <v>15236</v>
      </c>
      <c r="E1382" s="131" t="str">
        <f t="shared" si="1"/>
        <v>https://utrucking.myshopify.com/admin/orders?query=16579</v>
      </c>
    </row>
    <row r="1383">
      <c r="A1383" s="93" t="str">
        <f t="shared" si="2"/>
        <v>#16580</v>
      </c>
      <c r="B1383" s="93" t="str">
        <f>IF(COUNTIF(MAIN!B:B, A1383)=0, "Missing", "")</f>
        <v>Missing</v>
      </c>
      <c r="C1383" s="84" t="s">
        <v>15236</v>
      </c>
      <c r="E1383" s="131" t="str">
        <f t="shared" si="1"/>
        <v>https://utrucking.myshopify.com/admin/orders?query=16580</v>
      </c>
    </row>
    <row r="1384">
      <c r="A1384" s="93" t="str">
        <f t="shared" si="2"/>
        <v>#16581</v>
      </c>
      <c r="B1384" s="93" t="str">
        <f>IF(COUNTIF(MAIN!B:B, A1384)=0, "Missing", "")</f>
        <v>Missing</v>
      </c>
      <c r="C1384" s="84" t="s">
        <v>15236</v>
      </c>
      <c r="E1384" s="131" t="str">
        <f t="shared" si="1"/>
        <v>https://utrucking.myshopify.com/admin/orders?query=16581</v>
      </c>
    </row>
    <row r="1385">
      <c r="A1385" s="93" t="str">
        <f t="shared" si="2"/>
        <v>#16582</v>
      </c>
      <c r="B1385" s="93" t="str">
        <f>IF(COUNTIF(MAIN!B:B, A1385)=0, "Missing", "")</f>
        <v>Missing</v>
      </c>
      <c r="C1385" s="84" t="s">
        <v>15236</v>
      </c>
      <c r="E1385" s="131" t="str">
        <f t="shared" si="1"/>
        <v>https://utrucking.myshopify.com/admin/orders?query=16582</v>
      </c>
    </row>
    <row r="1386">
      <c r="A1386" s="93" t="str">
        <f t="shared" si="2"/>
        <v>#16583</v>
      </c>
      <c r="B1386" s="93" t="str">
        <f>IF(COUNTIF(MAIN!B:B, A1386)=0, "Missing", "")</f>
        <v>Missing</v>
      </c>
      <c r="C1386" s="84" t="s">
        <v>15236</v>
      </c>
      <c r="E1386" s="131" t="str">
        <f t="shared" si="1"/>
        <v>https://utrucking.myshopify.com/admin/orders?query=16583</v>
      </c>
    </row>
    <row r="1387">
      <c r="A1387" s="93" t="str">
        <f t="shared" si="2"/>
        <v>#16584</v>
      </c>
      <c r="B1387" s="93" t="str">
        <f>IF(COUNTIF(MAIN!B:B, A1387)=0, "Missing", "")</f>
        <v>Missing</v>
      </c>
      <c r="C1387" s="84" t="s">
        <v>15236</v>
      </c>
      <c r="E1387" s="131" t="str">
        <f t="shared" si="1"/>
        <v>https://utrucking.myshopify.com/admin/orders?query=16584</v>
      </c>
    </row>
    <row r="1388">
      <c r="A1388" s="93" t="str">
        <f t="shared" si="2"/>
        <v>#16585</v>
      </c>
      <c r="B1388" s="93" t="str">
        <f>IF(COUNTIF(MAIN!B:B, A1388)=0, "Missing", "")</f>
        <v>Missing</v>
      </c>
      <c r="C1388" s="84" t="s">
        <v>15236</v>
      </c>
      <c r="E1388" s="131" t="str">
        <f t="shared" si="1"/>
        <v>https://utrucking.myshopify.com/admin/orders?query=16585</v>
      </c>
    </row>
    <row r="1389">
      <c r="A1389" s="93" t="str">
        <f t="shared" si="2"/>
        <v>#16586</v>
      </c>
      <c r="B1389" s="93" t="str">
        <f>IF(COUNTIF(MAIN!B:B, A1389)=0, "Missing", "")</f>
        <v>Missing</v>
      </c>
      <c r="C1389" s="84" t="s">
        <v>15236</v>
      </c>
      <c r="E1389" s="131" t="str">
        <f t="shared" si="1"/>
        <v>https://utrucking.myshopify.com/admin/orders?query=16586</v>
      </c>
    </row>
    <row r="1390">
      <c r="A1390" s="93" t="str">
        <f t="shared" si="2"/>
        <v>#16587</v>
      </c>
      <c r="B1390" s="93" t="str">
        <f>IF(COUNTIF(MAIN!B:B, A1390)=0, "Missing", "")</f>
        <v>Missing</v>
      </c>
      <c r="C1390" s="84" t="s">
        <v>15236</v>
      </c>
      <c r="E1390" s="131" t="str">
        <f t="shared" si="1"/>
        <v>https://utrucking.myshopify.com/admin/orders?query=16587</v>
      </c>
    </row>
    <row r="1391">
      <c r="A1391" s="93" t="str">
        <f t="shared" si="2"/>
        <v>#16588</v>
      </c>
      <c r="B1391" s="93" t="str">
        <f>IF(COUNTIF(MAIN!B:B, A1391)=0, "Missing", "")</f>
        <v>Missing</v>
      </c>
      <c r="C1391" s="84" t="s">
        <v>15237</v>
      </c>
      <c r="E1391" s="131" t="str">
        <f t="shared" si="1"/>
        <v>https://utrucking.myshopify.com/admin/orders?query=16588</v>
      </c>
    </row>
    <row r="1392">
      <c r="A1392" s="93" t="str">
        <f t="shared" si="2"/>
        <v>#16589</v>
      </c>
      <c r="B1392" s="93" t="str">
        <f>IF(COUNTIF(MAIN!B:B, A1392)=0, "Missing", "")</f>
        <v>Missing</v>
      </c>
      <c r="C1392" s="84" t="s">
        <v>15237</v>
      </c>
      <c r="E1392" s="131" t="str">
        <f t="shared" si="1"/>
        <v>https://utrucking.myshopify.com/admin/orders?query=16589</v>
      </c>
    </row>
    <row r="1393">
      <c r="A1393" s="93" t="str">
        <f t="shared" si="2"/>
        <v>#16590</v>
      </c>
      <c r="B1393" s="93" t="str">
        <f>IF(COUNTIF(MAIN!B:B, A1393)=0, "Missing", "")</f>
        <v>Missing</v>
      </c>
      <c r="C1393" s="84" t="s">
        <v>15237</v>
      </c>
      <c r="E1393" s="131" t="str">
        <f t="shared" si="1"/>
        <v>https://utrucking.myshopify.com/admin/orders?query=16590</v>
      </c>
    </row>
    <row r="1394">
      <c r="A1394" s="93" t="str">
        <f t="shared" si="2"/>
        <v>#16591</v>
      </c>
      <c r="B1394" s="93" t="str">
        <f>IF(COUNTIF(MAIN!B:B, A1394)=0, "Missing", "")</f>
        <v>Missing</v>
      </c>
      <c r="C1394" s="84" t="s">
        <v>15236</v>
      </c>
      <c r="E1394" s="131" t="str">
        <f t="shared" si="1"/>
        <v>https://utrucking.myshopify.com/admin/orders?query=16591</v>
      </c>
    </row>
    <row r="1395">
      <c r="A1395" s="93" t="str">
        <f t="shared" si="2"/>
        <v>#16592</v>
      </c>
      <c r="B1395" s="93" t="str">
        <f>IF(COUNTIF(MAIN!B:B, A1395)=0, "Missing", "")</f>
        <v>Missing</v>
      </c>
      <c r="C1395" s="84" t="s">
        <v>15236</v>
      </c>
      <c r="E1395" s="131" t="str">
        <f t="shared" si="1"/>
        <v>https://utrucking.myshopify.com/admin/orders?query=16592</v>
      </c>
    </row>
    <row r="1396">
      <c r="A1396" s="93" t="str">
        <f t="shared" si="2"/>
        <v>#16593</v>
      </c>
      <c r="B1396" s="93" t="str">
        <f>IF(COUNTIF(MAIN!B:B, A1396)=0, "Missing", "")</f>
        <v>Missing</v>
      </c>
      <c r="C1396" s="84" t="s">
        <v>15236</v>
      </c>
      <c r="E1396" s="131" t="str">
        <f t="shared" si="1"/>
        <v>https://utrucking.myshopify.com/admin/orders?query=16593</v>
      </c>
    </row>
    <row r="1397">
      <c r="A1397" s="93" t="str">
        <f t="shared" si="2"/>
        <v>#16594</v>
      </c>
      <c r="B1397" s="93" t="str">
        <f>IF(COUNTIF(MAIN!B:B, A1397)=0, "Missing", "")</f>
        <v>Missing</v>
      </c>
      <c r="C1397" s="84" t="s">
        <v>15236</v>
      </c>
      <c r="E1397" s="131" t="str">
        <f t="shared" si="1"/>
        <v>https://utrucking.myshopify.com/admin/orders?query=16594</v>
      </c>
    </row>
    <row r="1398">
      <c r="A1398" s="93" t="str">
        <f t="shared" si="2"/>
        <v>#16595</v>
      </c>
      <c r="B1398" s="93" t="str">
        <f>IF(COUNTIF(MAIN!B:B, A1398)=0, "Missing", "")</f>
        <v>Missing</v>
      </c>
      <c r="C1398" s="84" t="s">
        <v>15236</v>
      </c>
      <c r="E1398" s="131" t="str">
        <f t="shared" si="1"/>
        <v>https://utrucking.myshopify.com/admin/orders?query=16595</v>
      </c>
    </row>
    <row r="1399">
      <c r="A1399" s="93" t="str">
        <f t="shared" si="2"/>
        <v>#16596</v>
      </c>
      <c r="B1399" s="93" t="str">
        <f>IF(COUNTIF(MAIN!B:B, A1399)=0, "Missing", "")</f>
        <v>Missing</v>
      </c>
      <c r="C1399" s="84" t="s">
        <v>15236</v>
      </c>
      <c r="E1399" s="131" t="str">
        <f t="shared" si="1"/>
        <v>https://utrucking.myshopify.com/admin/orders?query=16596</v>
      </c>
    </row>
    <row r="1400">
      <c r="A1400" s="93" t="str">
        <f t="shared" si="2"/>
        <v>#16597</v>
      </c>
      <c r="B1400" s="93" t="str">
        <f>IF(COUNTIF(MAIN!B:B, A1400)=0, "Missing", "")</f>
        <v>Missing</v>
      </c>
      <c r="C1400" s="84" t="s">
        <v>15236</v>
      </c>
      <c r="E1400" s="131" t="str">
        <f t="shared" si="1"/>
        <v>https://utrucking.myshopify.com/admin/orders?query=16597</v>
      </c>
    </row>
    <row r="1401">
      <c r="A1401" s="93" t="str">
        <f t="shared" si="2"/>
        <v>#16598</v>
      </c>
      <c r="B1401" s="93" t="str">
        <f>IF(COUNTIF(MAIN!B:B, A1401)=0, "Missing", "")</f>
        <v>Missing</v>
      </c>
      <c r="C1401" s="84" t="s">
        <v>15236</v>
      </c>
      <c r="E1401" s="131" t="str">
        <f t="shared" si="1"/>
        <v>https://utrucking.myshopify.com/admin/orders?query=16598</v>
      </c>
    </row>
    <row r="1402">
      <c r="A1402" s="93" t="str">
        <f t="shared" si="2"/>
        <v>#16599</v>
      </c>
      <c r="B1402" s="93" t="str">
        <f>IF(COUNTIF(MAIN!B:B, A1402)=0, "Missing", "")</f>
        <v>Missing</v>
      </c>
      <c r="C1402" s="84" t="s">
        <v>15236</v>
      </c>
      <c r="E1402" s="131" t="str">
        <f t="shared" si="1"/>
        <v>https://utrucking.myshopify.com/admin/orders?query=16599</v>
      </c>
    </row>
    <row r="1403">
      <c r="A1403" s="93" t="str">
        <f t="shared" si="2"/>
        <v>#16600</v>
      </c>
      <c r="B1403" s="93" t="str">
        <f>IF(COUNTIF(MAIN!B:B, A1403)=0, "Missing", "")</f>
        <v>Missing</v>
      </c>
      <c r="C1403" s="84" t="s">
        <v>15236</v>
      </c>
      <c r="E1403" s="131" t="str">
        <f t="shared" si="1"/>
        <v>https://utrucking.myshopify.com/admin/orders?query=16600</v>
      </c>
    </row>
    <row r="1404">
      <c r="A1404" s="93" t="str">
        <f t="shared" si="2"/>
        <v>#16601</v>
      </c>
      <c r="B1404" s="93" t="str">
        <f>IF(COUNTIF(MAIN!B:B, A1404)=0, "Missing", "")</f>
        <v/>
      </c>
      <c r="E1404" s="128" t="str">
        <f t="shared" si="1"/>
        <v/>
      </c>
    </row>
    <row r="1405">
      <c r="A1405" s="93" t="str">
        <f t="shared" si="2"/>
        <v>#16602</v>
      </c>
      <c r="B1405" s="93" t="str">
        <f>IF(COUNTIF(MAIN!B:B, A1405)=0, "Missing", "")</f>
        <v>Missing</v>
      </c>
      <c r="C1405" s="84" t="s">
        <v>15236</v>
      </c>
      <c r="E1405" s="131" t="str">
        <f t="shared" si="1"/>
        <v>https://utrucking.myshopify.com/admin/orders?query=16602</v>
      </c>
    </row>
    <row r="1406">
      <c r="A1406" s="93" t="str">
        <f t="shared" si="2"/>
        <v>#16603</v>
      </c>
      <c r="B1406" s="93" t="str">
        <f>IF(COUNTIF(MAIN!B:B, A1406)=0, "Missing", "")</f>
        <v>Missing</v>
      </c>
      <c r="C1406" s="84" t="s">
        <v>15236</v>
      </c>
      <c r="E1406" s="131" t="str">
        <f t="shared" si="1"/>
        <v>https://utrucking.myshopify.com/admin/orders?query=16603</v>
      </c>
    </row>
    <row r="1407">
      <c r="A1407" s="93" t="str">
        <f t="shared" si="2"/>
        <v>#16604</v>
      </c>
      <c r="B1407" s="93" t="str">
        <f>IF(COUNTIF(MAIN!B:B, A1407)=0, "Missing", "")</f>
        <v>Missing</v>
      </c>
      <c r="C1407" s="84" t="s">
        <v>15236</v>
      </c>
      <c r="E1407" s="131" t="str">
        <f t="shared" si="1"/>
        <v>https://utrucking.myshopify.com/admin/orders?query=16604</v>
      </c>
    </row>
    <row r="1408">
      <c r="A1408" s="93" t="str">
        <f t="shared" si="2"/>
        <v>#16605</v>
      </c>
      <c r="B1408" s="93" t="str">
        <f>IF(COUNTIF(MAIN!B:B, A1408)=0, "Missing", "")</f>
        <v>Missing</v>
      </c>
      <c r="C1408" s="84" t="s">
        <v>15236</v>
      </c>
      <c r="E1408" s="131" t="str">
        <f t="shared" si="1"/>
        <v>https://utrucking.myshopify.com/admin/orders?query=16605</v>
      </c>
    </row>
    <row r="1409">
      <c r="A1409" s="93" t="str">
        <f t="shared" si="2"/>
        <v>#16606</v>
      </c>
      <c r="B1409" s="93" t="str">
        <f>IF(COUNTIF(MAIN!B:B, A1409)=0, "Missing", "")</f>
        <v>Missing</v>
      </c>
      <c r="C1409" s="84" t="s">
        <v>15236</v>
      </c>
      <c r="E1409" s="131" t="str">
        <f t="shared" si="1"/>
        <v>https://utrucking.myshopify.com/admin/orders?query=16606</v>
      </c>
    </row>
    <row r="1410">
      <c r="A1410" s="93" t="str">
        <f t="shared" si="2"/>
        <v>#16607</v>
      </c>
      <c r="B1410" s="93" t="str">
        <f>IF(COUNTIF(MAIN!B:B, A1410)=0, "Missing", "")</f>
        <v>Missing</v>
      </c>
      <c r="C1410" s="84" t="s">
        <v>15236</v>
      </c>
      <c r="E1410" s="131" t="str">
        <f t="shared" si="1"/>
        <v>https://utrucking.myshopify.com/admin/orders?query=16607</v>
      </c>
    </row>
    <row r="1411">
      <c r="A1411" s="93" t="str">
        <f t="shared" si="2"/>
        <v>#16608</v>
      </c>
      <c r="B1411" s="93" t="str">
        <f>IF(COUNTIF(MAIN!B:B, A1411)=0, "Missing", "")</f>
        <v>Missing</v>
      </c>
      <c r="C1411" s="84" t="s">
        <v>15236</v>
      </c>
      <c r="E1411" s="131" t="str">
        <f t="shared" si="1"/>
        <v>https://utrucking.myshopify.com/admin/orders?query=16608</v>
      </c>
    </row>
    <row r="1412">
      <c r="A1412" s="93" t="str">
        <f t="shared" si="2"/>
        <v>#16609</v>
      </c>
      <c r="B1412" s="93" t="str">
        <f>IF(COUNTIF(MAIN!B:B, A1412)=0, "Missing", "")</f>
        <v>Missing</v>
      </c>
      <c r="C1412" s="84" t="s">
        <v>15236</v>
      </c>
      <c r="E1412" s="131" t="str">
        <f t="shared" si="1"/>
        <v>https://utrucking.myshopify.com/admin/orders?query=16609</v>
      </c>
    </row>
    <row r="1413">
      <c r="A1413" s="93" t="str">
        <f t="shared" si="2"/>
        <v>#16610</v>
      </c>
      <c r="B1413" s="93" t="str">
        <f>IF(COUNTIF(MAIN!B:B, A1413)=0, "Missing", "")</f>
        <v>Missing</v>
      </c>
      <c r="C1413" s="84" t="s">
        <v>15236</v>
      </c>
      <c r="E1413" s="131" t="str">
        <f t="shared" si="1"/>
        <v>https://utrucking.myshopify.com/admin/orders?query=16610</v>
      </c>
    </row>
    <row r="1414">
      <c r="A1414" s="93" t="str">
        <f t="shared" si="2"/>
        <v>#16611</v>
      </c>
      <c r="B1414" s="93" t="str">
        <f>IF(COUNTIF(MAIN!B:B, A1414)=0, "Missing", "")</f>
        <v>Missing</v>
      </c>
      <c r="C1414" s="84" t="s">
        <v>15236</v>
      </c>
      <c r="E1414" s="131" t="str">
        <f t="shared" si="1"/>
        <v>https://utrucking.myshopify.com/admin/orders?query=16611</v>
      </c>
    </row>
    <row r="1415">
      <c r="A1415" s="93" t="str">
        <f t="shared" si="2"/>
        <v>#16612</v>
      </c>
      <c r="B1415" s="93" t="str">
        <f>IF(COUNTIF(MAIN!B:B, A1415)=0, "Missing", "")</f>
        <v>Missing</v>
      </c>
      <c r="C1415" s="84" t="s">
        <v>15236</v>
      </c>
      <c r="E1415" s="131" t="str">
        <f t="shared" si="1"/>
        <v>https://utrucking.myshopify.com/admin/orders?query=16612</v>
      </c>
    </row>
    <row r="1416">
      <c r="A1416" s="93" t="str">
        <f t="shared" si="2"/>
        <v>#16613</v>
      </c>
      <c r="B1416" s="93" t="str">
        <f>IF(COUNTIF(MAIN!B:B, A1416)=0, "Missing", "")</f>
        <v>Missing</v>
      </c>
      <c r="C1416" s="84" t="s">
        <v>15236</v>
      </c>
      <c r="E1416" s="131" t="str">
        <f t="shared" si="1"/>
        <v>https://utrucking.myshopify.com/admin/orders?query=16613</v>
      </c>
    </row>
    <row r="1417">
      <c r="A1417" s="93" t="str">
        <f t="shared" si="2"/>
        <v>#16614</v>
      </c>
      <c r="B1417" s="93" t="str">
        <f>IF(COUNTIF(MAIN!B:B, A1417)=0, "Missing", "")</f>
        <v>Missing</v>
      </c>
      <c r="C1417" s="84" t="s">
        <v>15236</v>
      </c>
      <c r="E1417" s="131" t="str">
        <f t="shared" si="1"/>
        <v>https://utrucking.myshopify.com/admin/orders?query=16614</v>
      </c>
    </row>
    <row r="1418">
      <c r="A1418" s="93" t="str">
        <f t="shared" si="2"/>
        <v>#16615</v>
      </c>
      <c r="B1418" s="93" t="str">
        <f>IF(COUNTIF(MAIN!B:B, A1418)=0, "Missing", "")</f>
        <v>Missing</v>
      </c>
      <c r="C1418" s="84" t="s">
        <v>15236</v>
      </c>
      <c r="E1418" s="131" t="str">
        <f t="shared" si="1"/>
        <v>https://utrucking.myshopify.com/admin/orders?query=16615</v>
      </c>
    </row>
    <row r="1419">
      <c r="A1419" s="93" t="str">
        <f t="shared" si="2"/>
        <v>#16616</v>
      </c>
      <c r="B1419" s="93" t="str">
        <f>IF(COUNTIF(MAIN!B:B, A1419)=0, "Missing", "")</f>
        <v>Missing</v>
      </c>
      <c r="C1419" s="84" t="s">
        <v>15236</v>
      </c>
      <c r="E1419" s="131" t="str">
        <f t="shared" si="1"/>
        <v>https://utrucking.myshopify.com/admin/orders?query=16616</v>
      </c>
    </row>
    <row r="1420">
      <c r="A1420" s="93" t="str">
        <f t="shared" si="2"/>
        <v>#16617</v>
      </c>
      <c r="B1420" s="93" t="str">
        <f>IF(COUNTIF(MAIN!B:B, A1420)=0, "Missing", "")</f>
        <v>Missing</v>
      </c>
      <c r="C1420" s="84" t="s">
        <v>15236</v>
      </c>
      <c r="E1420" s="131" t="str">
        <f t="shared" si="1"/>
        <v>https://utrucking.myshopify.com/admin/orders?query=16617</v>
      </c>
    </row>
    <row r="1421">
      <c r="A1421" s="93" t="str">
        <f t="shared" si="2"/>
        <v>#16618</v>
      </c>
      <c r="B1421" s="93" t="str">
        <f>IF(COUNTIF(MAIN!B:B, A1421)=0, "Missing", "")</f>
        <v>Missing</v>
      </c>
      <c r="C1421" s="84" t="s">
        <v>15236</v>
      </c>
      <c r="E1421" s="131" t="str">
        <f t="shared" si="1"/>
        <v>https://utrucking.myshopify.com/admin/orders?query=16618</v>
      </c>
    </row>
    <row r="1422">
      <c r="A1422" s="93" t="str">
        <f t="shared" si="2"/>
        <v>#16619</v>
      </c>
      <c r="B1422" s="93" t="str">
        <f>IF(COUNTIF(MAIN!B:B, A1422)=0, "Missing", "")</f>
        <v>Missing</v>
      </c>
      <c r="C1422" s="84" t="s">
        <v>15236</v>
      </c>
      <c r="E1422" s="131" t="str">
        <f t="shared" si="1"/>
        <v>https://utrucking.myshopify.com/admin/orders?query=16619</v>
      </c>
    </row>
    <row r="1423">
      <c r="A1423" s="93" t="str">
        <f t="shared" si="2"/>
        <v>#16620</v>
      </c>
      <c r="B1423" s="93" t="str">
        <f>IF(COUNTIF(MAIN!B:B, A1423)=0, "Missing", "")</f>
        <v>Missing</v>
      </c>
      <c r="C1423" s="84" t="s">
        <v>15236</v>
      </c>
      <c r="E1423" s="131" t="str">
        <f t="shared" si="1"/>
        <v>https://utrucking.myshopify.com/admin/orders?query=16620</v>
      </c>
    </row>
    <row r="1424">
      <c r="A1424" s="93" t="str">
        <f t="shared" si="2"/>
        <v>#16621</v>
      </c>
      <c r="B1424" s="93" t="str">
        <f>IF(COUNTIF(MAIN!B:B, A1424)=0, "Missing", "")</f>
        <v>Missing</v>
      </c>
      <c r="C1424" s="84" t="s">
        <v>15236</v>
      </c>
      <c r="E1424" s="131" t="str">
        <f t="shared" si="1"/>
        <v>https://utrucking.myshopify.com/admin/orders?query=16621</v>
      </c>
    </row>
    <row r="1425">
      <c r="A1425" s="93" t="str">
        <f t="shared" si="2"/>
        <v>#16622</v>
      </c>
      <c r="B1425" s="93" t="str">
        <f>IF(COUNTIF(MAIN!B:B, A1425)=0, "Missing", "")</f>
        <v>Missing</v>
      </c>
      <c r="C1425" s="84" t="s">
        <v>15236</v>
      </c>
      <c r="E1425" s="131" t="str">
        <f t="shared" si="1"/>
        <v>https://utrucking.myshopify.com/admin/orders?query=16622</v>
      </c>
    </row>
    <row r="1426">
      <c r="A1426" s="93" t="str">
        <f t="shared" si="2"/>
        <v>#16623</v>
      </c>
      <c r="B1426" s="93" t="str">
        <f>IF(COUNTIF(MAIN!B:B, A1426)=0, "Missing", "")</f>
        <v>Missing</v>
      </c>
      <c r="C1426" s="84" t="s">
        <v>15236</v>
      </c>
      <c r="E1426" s="131" t="str">
        <f t="shared" si="1"/>
        <v>https://utrucking.myshopify.com/admin/orders?query=16623</v>
      </c>
    </row>
    <row r="1427">
      <c r="A1427" s="93" t="str">
        <f t="shared" si="2"/>
        <v>#16624</v>
      </c>
      <c r="B1427" s="93" t="str">
        <f>IF(COUNTIF(MAIN!B:B, A1427)=0, "Missing", "")</f>
        <v>Missing</v>
      </c>
      <c r="C1427" s="84" t="s">
        <v>15236</v>
      </c>
      <c r="E1427" s="131" t="str">
        <f t="shared" si="1"/>
        <v>https://utrucking.myshopify.com/admin/orders?query=16624</v>
      </c>
    </row>
    <row r="1428">
      <c r="A1428" s="93" t="str">
        <f t="shared" si="2"/>
        <v>#16625</v>
      </c>
      <c r="B1428" s="93" t="str">
        <f>IF(COUNTIF(MAIN!B:B, A1428)=0, "Missing", "")</f>
        <v>Missing</v>
      </c>
      <c r="C1428" s="84" t="s">
        <v>15237</v>
      </c>
      <c r="E1428" s="131" t="str">
        <f t="shared" si="1"/>
        <v>https://utrucking.myshopify.com/admin/orders?query=16625</v>
      </c>
    </row>
    <row r="1429">
      <c r="A1429" s="93" t="str">
        <f t="shared" si="2"/>
        <v>#16626</v>
      </c>
      <c r="B1429" s="93" t="str">
        <f>IF(COUNTIF(MAIN!B:B, A1429)=0, "Missing", "")</f>
        <v>Missing</v>
      </c>
      <c r="C1429" s="84" t="s">
        <v>15237</v>
      </c>
      <c r="E1429" s="131" t="str">
        <f t="shared" si="1"/>
        <v>https://utrucking.myshopify.com/admin/orders?query=16626</v>
      </c>
    </row>
    <row r="1430">
      <c r="A1430" s="93" t="str">
        <f t="shared" si="2"/>
        <v>#16627</v>
      </c>
      <c r="B1430" s="93" t="str">
        <f>IF(COUNTIF(MAIN!B:B, A1430)=0, "Missing", "")</f>
        <v>Missing</v>
      </c>
      <c r="C1430" s="84" t="s">
        <v>15237</v>
      </c>
      <c r="E1430" s="131" t="str">
        <f t="shared" si="1"/>
        <v>https://utrucking.myshopify.com/admin/orders?query=16627</v>
      </c>
    </row>
    <row r="1431">
      <c r="A1431" s="93" t="str">
        <f t="shared" si="2"/>
        <v>#16628</v>
      </c>
      <c r="B1431" s="93" t="str">
        <f>IF(COUNTIF(MAIN!B:B, A1431)=0, "Missing", "")</f>
        <v/>
      </c>
      <c r="E1431" s="128" t="str">
        <f t="shared" si="1"/>
        <v/>
      </c>
    </row>
    <row r="1432">
      <c r="A1432" s="93" t="str">
        <f t="shared" si="2"/>
        <v>#16629</v>
      </c>
      <c r="B1432" s="93" t="str">
        <f>IF(COUNTIF(MAIN!B:B, A1432)=0, "Missing", "")</f>
        <v/>
      </c>
      <c r="E1432" s="128" t="str">
        <f t="shared" si="1"/>
        <v/>
      </c>
    </row>
    <row r="1433">
      <c r="A1433" s="93" t="str">
        <f t="shared" si="2"/>
        <v>#16630</v>
      </c>
      <c r="B1433" s="93" t="str">
        <f>IF(COUNTIF(MAIN!B:B, A1433)=0, "Missing", "")</f>
        <v/>
      </c>
      <c r="E1433" s="128" t="str">
        <f t="shared" si="1"/>
        <v/>
      </c>
    </row>
    <row r="1434">
      <c r="A1434" s="93" t="str">
        <f t="shared" si="2"/>
        <v>#16631</v>
      </c>
      <c r="B1434" s="93" t="str">
        <f>IF(COUNTIF(MAIN!B:B, A1434)=0, "Missing", "")</f>
        <v/>
      </c>
      <c r="E1434" s="128" t="str">
        <f t="shared" si="1"/>
        <v/>
      </c>
    </row>
    <row r="1435">
      <c r="A1435" s="93" t="str">
        <f t="shared" si="2"/>
        <v>#16632</v>
      </c>
      <c r="B1435" s="93" t="str">
        <f>IF(COUNTIF(MAIN!B:B, A1435)=0, "Missing", "")</f>
        <v/>
      </c>
      <c r="E1435" s="128" t="str">
        <f t="shared" si="1"/>
        <v/>
      </c>
    </row>
    <row r="1436">
      <c r="A1436" s="93" t="str">
        <f t="shared" si="2"/>
        <v>#16633</v>
      </c>
      <c r="B1436" s="93" t="str">
        <f>IF(COUNTIF(MAIN!B:B, A1436)=0, "Missing", "")</f>
        <v/>
      </c>
      <c r="E1436" s="128" t="str">
        <f t="shared" si="1"/>
        <v/>
      </c>
    </row>
    <row r="1437">
      <c r="A1437" s="93" t="str">
        <f t="shared" si="2"/>
        <v>#16634</v>
      </c>
      <c r="B1437" s="93" t="str">
        <f>IF(COUNTIF(MAIN!B:B, A1437)=0, "Missing", "")</f>
        <v/>
      </c>
      <c r="E1437" s="128" t="str">
        <f t="shared" si="1"/>
        <v/>
      </c>
    </row>
    <row r="1438">
      <c r="A1438" s="93" t="str">
        <f t="shared" si="2"/>
        <v>#16635</v>
      </c>
      <c r="B1438" s="93" t="str">
        <f>IF(COUNTIF(MAIN!B:B, A1438)=0, "Missing", "")</f>
        <v/>
      </c>
      <c r="E1438" s="128" t="str">
        <f t="shared" si="1"/>
        <v/>
      </c>
    </row>
    <row r="1439">
      <c r="A1439" s="93" t="str">
        <f t="shared" si="2"/>
        <v>#16636</v>
      </c>
      <c r="B1439" s="93" t="str">
        <f>IF(COUNTIF(MAIN!B:B, A1439)=0, "Missing", "")</f>
        <v/>
      </c>
      <c r="E1439" s="128" t="str">
        <f t="shared" si="1"/>
        <v/>
      </c>
    </row>
    <row r="1440">
      <c r="A1440" s="93" t="str">
        <f t="shared" si="2"/>
        <v>#16637</v>
      </c>
      <c r="B1440" s="93" t="str">
        <f>IF(COUNTIF(MAIN!B:B, A1440)=0, "Missing", "")</f>
        <v/>
      </c>
      <c r="E1440" s="128" t="str">
        <f t="shared" si="1"/>
        <v/>
      </c>
    </row>
    <row r="1441">
      <c r="A1441" s="93" t="str">
        <f t="shared" si="2"/>
        <v>#16638</v>
      </c>
      <c r="B1441" s="93" t="str">
        <f>IF(COUNTIF(MAIN!B:B, A1441)=0, "Missing", "")</f>
        <v/>
      </c>
      <c r="E1441" s="128" t="str">
        <f t="shared" si="1"/>
        <v/>
      </c>
    </row>
    <row r="1442">
      <c r="A1442" s="93" t="str">
        <f t="shared" si="2"/>
        <v>#16639</v>
      </c>
      <c r="B1442" s="93" t="str">
        <f>IF(COUNTIF(MAIN!B:B, A1442)=0, "Missing", "")</f>
        <v/>
      </c>
      <c r="E1442" s="128" t="str">
        <f t="shared" si="1"/>
        <v/>
      </c>
    </row>
    <row r="1443">
      <c r="A1443" s="93" t="str">
        <f t="shared" si="2"/>
        <v>#16640</v>
      </c>
      <c r="B1443" s="93" t="str">
        <f>IF(COUNTIF(MAIN!B:B, A1443)=0, "Missing", "")</f>
        <v>Missing</v>
      </c>
      <c r="C1443" s="84" t="s">
        <v>15236</v>
      </c>
      <c r="E1443" s="131" t="str">
        <f t="shared" si="1"/>
        <v>https://utrucking.myshopify.com/admin/orders?query=16640</v>
      </c>
    </row>
    <row r="1444">
      <c r="A1444" s="93" t="str">
        <f t="shared" si="2"/>
        <v>#16641</v>
      </c>
      <c r="B1444" s="93" t="str">
        <f>IF(COUNTIF(MAIN!B:B, A1444)=0, "Missing", "")</f>
        <v/>
      </c>
      <c r="E1444" s="128" t="str">
        <f t="shared" si="1"/>
        <v/>
      </c>
    </row>
    <row r="1445">
      <c r="A1445" s="93" t="str">
        <f t="shared" si="2"/>
        <v>#16642</v>
      </c>
      <c r="B1445" s="93" t="str">
        <f>IF(COUNTIF(MAIN!B:B, A1445)=0, "Missing", "")</f>
        <v>Missing</v>
      </c>
      <c r="C1445" s="84" t="s">
        <v>15236</v>
      </c>
      <c r="E1445" s="131" t="str">
        <f t="shared" si="1"/>
        <v>https://utrucking.myshopify.com/admin/orders?query=16642</v>
      </c>
    </row>
    <row r="1446">
      <c r="A1446" s="93" t="str">
        <f t="shared" si="2"/>
        <v>#16643</v>
      </c>
      <c r="B1446" s="93" t="str">
        <f>IF(COUNTIF(MAIN!B:B, A1446)=0, "Missing", "")</f>
        <v/>
      </c>
      <c r="E1446" s="128" t="str">
        <f t="shared" si="1"/>
        <v/>
      </c>
    </row>
    <row r="1447">
      <c r="A1447" s="93" t="str">
        <f t="shared" si="2"/>
        <v>#16644</v>
      </c>
      <c r="B1447" s="93" t="str">
        <f>IF(COUNTIF(MAIN!B:B, A1447)=0, "Missing", "")</f>
        <v/>
      </c>
      <c r="E1447" s="128" t="str">
        <f t="shared" si="1"/>
        <v/>
      </c>
    </row>
    <row r="1448">
      <c r="A1448" s="93" t="str">
        <f t="shared" si="2"/>
        <v>#16645</v>
      </c>
      <c r="B1448" s="93" t="str">
        <f>IF(COUNTIF(MAIN!B:B, A1448)=0, "Missing", "")</f>
        <v/>
      </c>
      <c r="E1448" s="128" t="str">
        <f t="shared" si="1"/>
        <v/>
      </c>
    </row>
    <row r="1449">
      <c r="A1449" s="93" t="str">
        <f t="shared" si="2"/>
        <v>#16646</v>
      </c>
      <c r="B1449" s="93" t="str">
        <f>IF(COUNTIF(MAIN!B:B, A1449)=0, "Missing", "")</f>
        <v/>
      </c>
      <c r="E1449" s="128" t="str">
        <f t="shared" si="1"/>
        <v/>
      </c>
    </row>
    <row r="1450">
      <c r="A1450" s="93" t="str">
        <f t="shared" si="2"/>
        <v>#16647</v>
      </c>
      <c r="B1450" s="93" t="str">
        <f>IF(COUNTIF(MAIN!B:B, A1450)=0, "Missing", "")</f>
        <v/>
      </c>
      <c r="E1450" s="128" t="str">
        <f t="shared" si="1"/>
        <v/>
      </c>
    </row>
    <row r="1451">
      <c r="A1451" s="93" t="str">
        <f t="shared" si="2"/>
        <v>#16648</v>
      </c>
      <c r="B1451" s="93" t="str">
        <f>IF(COUNTIF(MAIN!B:B, A1451)=0, "Missing", "")</f>
        <v/>
      </c>
      <c r="E1451" s="128" t="str">
        <f t="shared" si="1"/>
        <v/>
      </c>
    </row>
    <row r="1452">
      <c r="A1452" s="93" t="str">
        <f t="shared" si="2"/>
        <v>#16649</v>
      </c>
      <c r="B1452" s="93" t="str">
        <f>IF(COUNTIF(MAIN!B:B, A1452)=0, "Missing", "")</f>
        <v/>
      </c>
      <c r="E1452" s="128" t="str">
        <f t="shared" si="1"/>
        <v/>
      </c>
    </row>
    <row r="1453">
      <c r="A1453" s="93" t="str">
        <f t="shared" si="2"/>
        <v>#16650</v>
      </c>
      <c r="B1453" s="93" t="str">
        <f>IF(COUNTIF(MAIN!B:B, A1453)=0, "Missing", "")</f>
        <v/>
      </c>
      <c r="E1453" s="128" t="str">
        <f t="shared" si="1"/>
        <v/>
      </c>
    </row>
    <row r="1454">
      <c r="A1454" s="93" t="str">
        <f t="shared" si="2"/>
        <v>#16651</v>
      </c>
      <c r="B1454" s="93" t="str">
        <f>IF(COUNTIF(MAIN!B:B, A1454)=0, "Missing", "")</f>
        <v/>
      </c>
      <c r="E1454" s="128" t="str">
        <f t="shared" si="1"/>
        <v/>
      </c>
    </row>
    <row r="1455">
      <c r="A1455" s="93" t="str">
        <f t="shared" si="2"/>
        <v>#16652</v>
      </c>
      <c r="B1455" s="93" t="str">
        <f>IF(COUNTIF(MAIN!B:B, A1455)=0, "Missing", "")</f>
        <v/>
      </c>
      <c r="E1455" s="128" t="str">
        <f t="shared" si="1"/>
        <v/>
      </c>
    </row>
    <row r="1456">
      <c r="A1456" s="93" t="str">
        <f t="shared" si="2"/>
        <v>#16653</v>
      </c>
      <c r="B1456" s="93" t="str">
        <f>IF(COUNTIF(MAIN!B:B, A1456)=0, "Missing", "")</f>
        <v/>
      </c>
      <c r="E1456" s="128" t="str">
        <f t="shared" si="1"/>
        <v/>
      </c>
    </row>
    <row r="1457">
      <c r="A1457" s="93" t="str">
        <f t="shared" si="2"/>
        <v>#16654</v>
      </c>
      <c r="B1457" s="93" t="str">
        <f>IF(COUNTIF(MAIN!B:B, A1457)=0, "Missing", "")</f>
        <v/>
      </c>
      <c r="E1457" s="128" t="str">
        <f t="shared" si="1"/>
        <v/>
      </c>
    </row>
    <row r="1458">
      <c r="A1458" s="93" t="str">
        <f t="shared" si="2"/>
        <v>#16655</v>
      </c>
      <c r="B1458" s="93" t="str">
        <f>IF(COUNTIF(MAIN!B:B, A1458)=0, "Missing", "")</f>
        <v>Missing</v>
      </c>
      <c r="C1458" s="84" t="s">
        <v>15236</v>
      </c>
      <c r="E1458" s="131" t="str">
        <f t="shared" si="1"/>
        <v>https://utrucking.myshopify.com/admin/orders?query=16655</v>
      </c>
    </row>
    <row r="1459">
      <c r="A1459" s="93" t="str">
        <f t="shared" si="2"/>
        <v>#16656</v>
      </c>
      <c r="B1459" s="93" t="str">
        <f>IF(COUNTIF(MAIN!B:B, A1459)=0, "Missing", "")</f>
        <v>Missing</v>
      </c>
      <c r="C1459" s="84" t="s">
        <v>15236</v>
      </c>
      <c r="E1459" s="131" t="str">
        <f t="shared" si="1"/>
        <v>https://utrucking.myshopify.com/admin/orders?query=16656</v>
      </c>
    </row>
    <row r="1460">
      <c r="A1460" s="93" t="str">
        <f t="shared" si="2"/>
        <v>#16657</v>
      </c>
      <c r="B1460" s="93" t="str">
        <f>IF(COUNTIF(MAIN!B:B, A1460)=0, "Missing", "")</f>
        <v>Missing</v>
      </c>
      <c r="C1460" s="84" t="s">
        <v>15236</v>
      </c>
      <c r="E1460" s="131" t="str">
        <f t="shared" si="1"/>
        <v>https://utrucking.myshopify.com/admin/orders?query=16657</v>
      </c>
    </row>
    <row r="1461">
      <c r="A1461" s="93" t="str">
        <f t="shared" si="2"/>
        <v>#16658</v>
      </c>
      <c r="B1461" s="93" t="str">
        <f>IF(COUNTIF(MAIN!B:B, A1461)=0, "Missing", "")</f>
        <v>Missing</v>
      </c>
      <c r="C1461" s="84" t="s">
        <v>15236</v>
      </c>
      <c r="E1461" s="131" t="str">
        <f t="shared" si="1"/>
        <v>https://utrucking.myshopify.com/admin/orders?query=16658</v>
      </c>
    </row>
    <row r="1462">
      <c r="A1462" s="93" t="str">
        <f t="shared" si="2"/>
        <v>#16659</v>
      </c>
      <c r="B1462" s="93" t="str">
        <f>IF(COUNTIF(MAIN!B:B, A1462)=0, "Missing", "")</f>
        <v>Missing</v>
      </c>
      <c r="C1462" s="84" t="s">
        <v>15236</v>
      </c>
      <c r="E1462" s="131" t="str">
        <f t="shared" si="1"/>
        <v>https://utrucking.myshopify.com/admin/orders?query=16659</v>
      </c>
    </row>
    <row r="1463">
      <c r="A1463" s="93" t="str">
        <f t="shared" si="2"/>
        <v>#16660</v>
      </c>
      <c r="B1463" s="93" t="str">
        <f>IF(COUNTIF(MAIN!B:B, A1463)=0, "Missing", "")</f>
        <v>Missing</v>
      </c>
      <c r="C1463" s="84" t="s">
        <v>15236</v>
      </c>
      <c r="E1463" s="131" t="str">
        <f t="shared" si="1"/>
        <v>https://utrucking.myshopify.com/admin/orders?query=16660</v>
      </c>
    </row>
    <row r="1464">
      <c r="A1464" s="93" t="str">
        <f t="shared" si="2"/>
        <v>#16661</v>
      </c>
      <c r="B1464" s="93" t="str">
        <f>IF(COUNTIF(MAIN!B:B, A1464)=0, "Missing", "")</f>
        <v>Missing</v>
      </c>
      <c r="C1464" s="84" t="s">
        <v>15236</v>
      </c>
      <c r="E1464" s="131" t="str">
        <f t="shared" si="1"/>
        <v>https://utrucking.myshopify.com/admin/orders?query=16661</v>
      </c>
    </row>
    <row r="1465">
      <c r="A1465" s="93" t="str">
        <f t="shared" si="2"/>
        <v>#16662</v>
      </c>
      <c r="B1465" s="93" t="str">
        <f>IF(COUNTIF(MAIN!B:B, A1465)=0, "Missing", "")</f>
        <v>Missing</v>
      </c>
      <c r="C1465" s="84" t="s">
        <v>15236</v>
      </c>
      <c r="E1465" s="131" t="str">
        <f t="shared" si="1"/>
        <v>https://utrucking.myshopify.com/admin/orders?query=16662</v>
      </c>
    </row>
    <row r="1466">
      <c r="A1466" s="93" t="str">
        <f t="shared" si="2"/>
        <v>#16663</v>
      </c>
      <c r="B1466" s="93" t="str">
        <f>IF(COUNTIF(MAIN!B:B, A1466)=0, "Missing", "")</f>
        <v>Missing</v>
      </c>
      <c r="C1466" s="84" t="s">
        <v>15236</v>
      </c>
      <c r="E1466" s="131" t="str">
        <f t="shared" si="1"/>
        <v>https://utrucking.myshopify.com/admin/orders?query=16663</v>
      </c>
    </row>
    <row r="1467">
      <c r="A1467" s="93" t="str">
        <f t="shared" si="2"/>
        <v>#16664</v>
      </c>
      <c r="B1467" s="93" t="str">
        <f>IF(COUNTIF(MAIN!B:B, A1467)=0, "Missing", "")</f>
        <v>Missing</v>
      </c>
      <c r="C1467" s="84" t="s">
        <v>15236</v>
      </c>
      <c r="E1467" s="131" t="str">
        <f t="shared" si="1"/>
        <v>https://utrucking.myshopify.com/admin/orders?query=16664</v>
      </c>
    </row>
    <row r="1468">
      <c r="A1468" s="93" t="str">
        <f t="shared" si="2"/>
        <v>#16665</v>
      </c>
      <c r="B1468" s="93" t="str">
        <f>IF(COUNTIF(MAIN!B:B, A1468)=0, "Missing", "")</f>
        <v>Missing</v>
      </c>
      <c r="C1468" s="84" t="s">
        <v>15236</v>
      </c>
      <c r="E1468" s="131" t="str">
        <f t="shared" si="1"/>
        <v>https://utrucking.myshopify.com/admin/orders?query=16665</v>
      </c>
    </row>
    <row r="1469">
      <c r="A1469" s="93" t="str">
        <f t="shared" si="2"/>
        <v>#16666</v>
      </c>
      <c r="B1469" s="93" t="str">
        <f>IF(COUNTIF(MAIN!B:B, A1469)=0, "Missing", "")</f>
        <v>Missing</v>
      </c>
      <c r="C1469" s="84" t="s">
        <v>15236</v>
      </c>
      <c r="E1469" s="131" t="str">
        <f t="shared" si="1"/>
        <v>https://utrucking.myshopify.com/admin/orders?query=16666</v>
      </c>
    </row>
    <row r="1470">
      <c r="A1470" s="93" t="str">
        <f t="shared" si="2"/>
        <v>#16667</v>
      </c>
      <c r="B1470" s="93" t="str">
        <f>IF(COUNTIF(MAIN!B:B, A1470)=0, "Missing", "")</f>
        <v>Missing</v>
      </c>
      <c r="C1470" s="84" t="s">
        <v>15236</v>
      </c>
      <c r="E1470" s="131" t="str">
        <f t="shared" si="1"/>
        <v>https://utrucking.myshopify.com/admin/orders?query=16667</v>
      </c>
    </row>
    <row r="1471">
      <c r="A1471" s="93" t="str">
        <f t="shared" si="2"/>
        <v>#16668</v>
      </c>
      <c r="B1471" s="93" t="str">
        <f>IF(COUNTIF(MAIN!B:B, A1471)=0, "Missing", "")</f>
        <v>Missing</v>
      </c>
      <c r="C1471" s="84" t="s">
        <v>15236</v>
      </c>
      <c r="E1471" s="131" t="str">
        <f t="shared" si="1"/>
        <v>https://utrucking.myshopify.com/admin/orders?query=16668</v>
      </c>
    </row>
    <row r="1472">
      <c r="A1472" s="93" t="str">
        <f t="shared" si="2"/>
        <v>#16669</v>
      </c>
      <c r="B1472" s="93" t="str">
        <f>IF(COUNTIF(MAIN!B:B, A1472)=0, "Missing", "")</f>
        <v>Missing</v>
      </c>
      <c r="C1472" s="84" t="s">
        <v>15236</v>
      </c>
      <c r="E1472" s="131" t="str">
        <f t="shared" si="1"/>
        <v>https://utrucking.myshopify.com/admin/orders?query=16669</v>
      </c>
    </row>
    <row r="1473">
      <c r="A1473" s="93" t="str">
        <f t="shared" si="2"/>
        <v>#16670</v>
      </c>
      <c r="B1473" s="93" t="str">
        <f>IF(COUNTIF(MAIN!B:B, A1473)=0, "Missing", "")</f>
        <v>Missing</v>
      </c>
      <c r="C1473" s="84" t="s">
        <v>15236</v>
      </c>
      <c r="E1473" s="131" t="str">
        <f t="shared" si="1"/>
        <v>https://utrucking.myshopify.com/admin/orders?query=16670</v>
      </c>
    </row>
    <row r="1474">
      <c r="A1474" s="93" t="str">
        <f t="shared" si="2"/>
        <v>#16671</v>
      </c>
      <c r="B1474" s="93" t="str">
        <f>IF(COUNTIF(MAIN!B:B, A1474)=0, "Missing", "")</f>
        <v>Missing</v>
      </c>
      <c r="C1474" s="84" t="s">
        <v>15236</v>
      </c>
      <c r="E1474" s="131" t="str">
        <f t="shared" si="1"/>
        <v>https://utrucking.myshopify.com/admin/orders?query=16671</v>
      </c>
    </row>
    <row r="1475">
      <c r="A1475" s="93" t="str">
        <f t="shared" si="2"/>
        <v>#16672</v>
      </c>
      <c r="B1475" s="93" t="str">
        <f>IF(COUNTIF(MAIN!B:B, A1475)=0, "Missing", "")</f>
        <v>Missing</v>
      </c>
      <c r="C1475" s="84" t="s">
        <v>15236</v>
      </c>
      <c r="E1475" s="131" t="str">
        <f t="shared" si="1"/>
        <v>https://utrucking.myshopify.com/admin/orders?query=16672</v>
      </c>
    </row>
    <row r="1476">
      <c r="A1476" s="93" t="str">
        <f t="shared" si="2"/>
        <v>#16673</v>
      </c>
      <c r="B1476" s="93" t="str">
        <f>IF(COUNTIF(MAIN!B:B, A1476)=0, "Missing", "")</f>
        <v>Missing</v>
      </c>
      <c r="C1476" s="84" t="s">
        <v>15236</v>
      </c>
      <c r="E1476" s="131" t="str">
        <f t="shared" si="1"/>
        <v>https://utrucking.myshopify.com/admin/orders?query=16673</v>
      </c>
    </row>
    <row r="1477">
      <c r="A1477" s="93" t="str">
        <f t="shared" si="2"/>
        <v>#16674</v>
      </c>
      <c r="B1477" s="93" t="str">
        <f>IF(COUNTIF(MAIN!B:B, A1477)=0, "Missing", "")</f>
        <v>Missing</v>
      </c>
      <c r="C1477" s="84" t="s">
        <v>15236</v>
      </c>
      <c r="E1477" s="131" t="str">
        <f t="shared" si="1"/>
        <v>https://utrucking.myshopify.com/admin/orders?query=16674</v>
      </c>
    </row>
    <row r="1478">
      <c r="A1478" s="93" t="str">
        <f t="shared" si="2"/>
        <v>#16675</v>
      </c>
      <c r="B1478" s="93" t="str">
        <f>IF(COUNTIF(MAIN!B:B, A1478)=0, "Missing", "")</f>
        <v>Missing</v>
      </c>
      <c r="C1478" s="84" t="s">
        <v>15236</v>
      </c>
      <c r="E1478" s="131" t="str">
        <f t="shared" si="1"/>
        <v>https://utrucking.myshopify.com/admin/orders?query=16675</v>
      </c>
    </row>
    <row r="1479">
      <c r="A1479" s="93" t="str">
        <f t="shared" si="2"/>
        <v>#16676</v>
      </c>
      <c r="B1479" s="93" t="str">
        <f>IF(COUNTIF(MAIN!B:B, A1479)=0, "Missing", "")</f>
        <v>Missing</v>
      </c>
      <c r="C1479" s="84" t="s">
        <v>15236</v>
      </c>
      <c r="E1479" s="131" t="str">
        <f t="shared" si="1"/>
        <v>https://utrucking.myshopify.com/admin/orders?query=16676</v>
      </c>
    </row>
    <row r="1480">
      <c r="A1480" s="93" t="str">
        <f t="shared" si="2"/>
        <v>#16677</v>
      </c>
      <c r="B1480" s="93" t="str">
        <f>IF(COUNTIF(MAIN!B:B, A1480)=0, "Missing", "")</f>
        <v>Missing</v>
      </c>
      <c r="C1480" s="84" t="s">
        <v>15236</v>
      </c>
      <c r="E1480" s="131" t="str">
        <f t="shared" si="1"/>
        <v>https://utrucking.myshopify.com/admin/orders?query=16677</v>
      </c>
    </row>
    <row r="1481">
      <c r="A1481" s="93" t="str">
        <f t="shared" si="2"/>
        <v>#16678</v>
      </c>
      <c r="B1481" s="93" t="str">
        <f>IF(COUNTIF(MAIN!B:B, A1481)=0, "Missing", "")</f>
        <v>Missing</v>
      </c>
      <c r="C1481" s="84" t="s">
        <v>15236</v>
      </c>
      <c r="E1481" s="131" t="str">
        <f t="shared" si="1"/>
        <v>https://utrucking.myshopify.com/admin/orders?query=16678</v>
      </c>
    </row>
    <row r="1482">
      <c r="A1482" s="93" t="str">
        <f t="shared" si="2"/>
        <v>#16679</v>
      </c>
      <c r="B1482" s="93" t="str">
        <f>IF(COUNTIF(MAIN!B:B, A1482)=0, "Missing", "")</f>
        <v/>
      </c>
      <c r="E1482" s="128" t="str">
        <f t="shared" si="1"/>
        <v/>
      </c>
    </row>
    <row r="1483">
      <c r="A1483" s="93" t="str">
        <f t="shared" si="2"/>
        <v>#16680</v>
      </c>
      <c r="B1483" s="93" t="str">
        <f>IF(COUNTIF(MAIN!B:B, A1483)=0, "Missing", "")</f>
        <v/>
      </c>
      <c r="E1483" s="128" t="str">
        <f t="shared" si="1"/>
        <v/>
      </c>
    </row>
    <row r="1484">
      <c r="A1484" s="93" t="str">
        <f t="shared" si="2"/>
        <v>#16681</v>
      </c>
      <c r="B1484" s="93" t="str">
        <f>IF(COUNTIF(MAIN!B:B, A1484)=0, "Missing", "")</f>
        <v/>
      </c>
      <c r="E1484" s="128" t="str">
        <f t="shared" si="1"/>
        <v/>
      </c>
    </row>
    <row r="1485">
      <c r="A1485" s="93" t="str">
        <f t="shared" si="2"/>
        <v>#16682</v>
      </c>
      <c r="B1485" s="93" t="str">
        <f>IF(COUNTIF(MAIN!B:B, A1485)=0, "Missing", "")</f>
        <v/>
      </c>
      <c r="E1485" s="128" t="str">
        <f t="shared" si="1"/>
        <v/>
      </c>
    </row>
    <row r="1486">
      <c r="A1486" s="93" t="str">
        <f t="shared" si="2"/>
        <v>#16683</v>
      </c>
      <c r="B1486" s="93" t="str">
        <f>IF(COUNTIF(MAIN!B:B, A1486)=0, "Missing", "")</f>
        <v/>
      </c>
      <c r="E1486" s="128" t="str">
        <f t="shared" si="1"/>
        <v/>
      </c>
    </row>
    <row r="1487">
      <c r="A1487" s="93" t="str">
        <f t="shared" si="2"/>
        <v>#16684</v>
      </c>
      <c r="B1487" s="93" t="str">
        <f>IF(COUNTIF(MAIN!B:B, A1487)=0, "Missing", "")</f>
        <v/>
      </c>
      <c r="E1487" s="128" t="str">
        <f t="shared" si="1"/>
        <v/>
      </c>
    </row>
    <row r="1488">
      <c r="A1488" s="93" t="str">
        <f t="shared" si="2"/>
        <v>#16685</v>
      </c>
      <c r="B1488" s="93" t="str">
        <f>IF(COUNTIF(MAIN!B:B, A1488)=0, "Missing", "")</f>
        <v/>
      </c>
      <c r="E1488" s="128" t="str">
        <f t="shared" si="1"/>
        <v/>
      </c>
    </row>
    <row r="1489">
      <c r="A1489" s="93" t="str">
        <f t="shared" si="2"/>
        <v>#16686</v>
      </c>
      <c r="B1489" s="93" t="str">
        <f>IF(COUNTIF(MAIN!B:B, A1489)=0, "Missing", "")</f>
        <v/>
      </c>
      <c r="E1489" s="128" t="str">
        <f t="shared" si="1"/>
        <v/>
      </c>
    </row>
    <row r="1490">
      <c r="A1490" s="93" t="str">
        <f t="shared" si="2"/>
        <v>#16687</v>
      </c>
      <c r="B1490" s="93" t="str">
        <f>IF(COUNTIF(MAIN!B:B, A1490)=0, "Missing", "")</f>
        <v>Missing</v>
      </c>
      <c r="C1490" s="84" t="s">
        <v>15236</v>
      </c>
      <c r="E1490" s="131" t="str">
        <f t="shared" si="1"/>
        <v>https://utrucking.myshopify.com/admin/orders?query=16687</v>
      </c>
    </row>
    <row r="1491">
      <c r="A1491" s="93" t="str">
        <f t="shared" si="2"/>
        <v>#16688</v>
      </c>
      <c r="B1491" s="93" t="str">
        <f>IF(COUNTIF(MAIN!B:B, A1491)=0, "Missing", "")</f>
        <v/>
      </c>
      <c r="E1491" s="128" t="str">
        <f t="shared" si="1"/>
        <v/>
      </c>
    </row>
    <row r="1492">
      <c r="A1492" s="93" t="str">
        <f t="shared" si="2"/>
        <v>#16689</v>
      </c>
      <c r="B1492" s="93" t="str">
        <f>IF(COUNTIF(MAIN!B:B, A1492)=0, "Missing", "")</f>
        <v/>
      </c>
      <c r="E1492" s="128" t="str">
        <f t="shared" si="1"/>
        <v/>
      </c>
    </row>
    <row r="1493">
      <c r="A1493" s="93" t="str">
        <f t="shared" si="2"/>
        <v>#16690</v>
      </c>
      <c r="B1493" s="93" t="str">
        <f>IF(COUNTIF(MAIN!B:B, A1493)=0, "Missing", "")</f>
        <v/>
      </c>
      <c r="E1493" s="128" t="str">
        <f t="shared" si="1"/>
        <v/>
      </c>
    </row>
    <row r="1494">
      <c r="A1494" s="93" t="str">
        <f t="shared" si="2"/>
        <v>#16691</v>
      </c>
      <c r="B1494" s="93" t="str">
        <f>IF(COUNTIF(MAIN!B:B, A1494)=0, "Missing", "")</f>
        <v/>
      </c>
      <c r="E1494" s="128" t="str">
        <f t="shared" si="1"/>
        <v/>
      </c>
    </row>
    <row r="1495">
      <c r="A1495" s="93" t="str">
        <f t="shared" si="2"/>
        <v>#16692</v>
      </c>
      <c r="B1495" s="93" t="str">
        <f>IF(COUNTIF(MAIN!B:B, A1495)=0, "Missing", "")</f>
        <v/>
      </c>
      <c r="E1495" s="128" t="str">
        <f t="shared" si="1"/>
        <v/>
      </c>
    </row>
    <row r="1496">
      <c r="A1496" s="93" t="str">
        <f t="shared" si="2"/>
        <v>#16693</v>
      </c>
      <c r="B1496" s="93" t="str">
        <f>IF(COUNTIF(MAIN!B:B, A1496)=0, "Missing", "")</f>
        <v/>
      </c>
      <c r="E1496" s="128" t="str">
        <f t="shared" si="1"/>
        <v/>
      </c>
    </row>
    <row r="1497">
      <c r="A1497" s="93" t="str">
        <f t="shared" si="2"/>
        <v>#16694</v>
      </c>
      <c r="B1497" s="93" t="str">
        <f>IF(COUNTIF(MAIN!B:B, A1497)=0, "Missing", "")</f>
        <v/>
      </c>
      <c r="E1497" s="128" t="str">
        <f t="shared" si="1"/>
        <v/>
      </c>
    </row>
    <row r="1498">
      <c r="A1498" s="93" t="str">
        <f t="shared" si="2"/>
        <v>#16695</v>
      </c>
      <c r="B1498" s="93" t="str">
        <f>IF(COUNTIF(MAIN!B:B, A1498)=0, "Missing", "")</f>
        <v/>
      </c>
      <c r="E1498" s="128" t="str">
        <f t="shared" si="1"/>
        <v/>
      </c>
    </row>
    <row r="1499">
      <c r="A1499" s="93" t="str">
        <f t="shared" si="2"/>
        <v>#16696</v>
      </c>
      <c r="B1499" s="93" t="str">
        <f>IF(COUNTIF(MAIN!B:B, A1499)=0, "Missing", "")</f>
        <v/>
      </c>
      <c r="E1499" s="128" t="str">
        <f t="shared" si="1"/>
        <v/>
      </c>
    </row>
    <row r="1500">
      <c r="A1500" s="93" t="str">
        <f t="shared" si="2"/>
        <v>#16697</v>
      </c>
      <c r="B1500" s="93" t="str">
        <f>IF(COUNTIF(MAIN!B:B, A1500)=0, "Missing", "")</f>
        <v/>
      </c>
      <c r="E1500" s="128" t="str">
        <f t="shared" si="1"/>
        <v/>
      </c>
    </row>
    <row r="1501">
      <c r="A1501" s="93" t="str">
        <f t="shared" si="2"/>
        <v>#16698</v>
      </c>
      <c r="B1501" s="93" t="str">
        <f>IF(COUNTIF(MAIN!B:B, A1501)=0, "Missing", "")</f>
        <v/>
      </c>
      <c r="E1501" s="128" t="str">
        <f t="shared" si="1"/>
        <v/>
      </c>
    </row>
    <row r="1502">
      <c r="A1502" s="93" t="str">
        <f t="shared" si="2"/>
        <v>#16699</v>
      </c>
      <c r="B1502" s="93" t="str">
        <f>IF(COUNTIF(MAIN!B:B, A1502)=0, "Missing", "")</f>
        <v/>
      </c>
      <c r="E1502" s="128" t="str">
        <f t="shared" si="1"/>
        <v/>
      </c>
    </row>
    <row r="1503">
      <c r="A1503" s="93" t="str">
        <f t="shared" si="2"/>
        <v>#16700</v>
      </c>
      <c r="B1503" s="93" t="str">
        <f>IF(COUNTIF(MAIN!B:B, A1503)=0, "Missing", "")</f>
        <v/>
      </c>
      <c r="E1503" s="128" t="str">
        <f t="shared" si="1"/>
        <v/>
      </c>
    </row>
    <row r="1504">
      <c r="A1504" s="93" t="str">
        <f t="shared" si="2"/>
        <v>#16701</v>
      </c>
      <c r="B1504" s="93" t="str">
        <f>IF(COUNTIF(MAIN!B:B, A1504)=0, "Missing", "")</f>
        <v/>
      </c>
      <c r="E1504" s="128" t="str">
        <f t="shared" si="1"/>
        <v/>
      </c>
    </row>
    <row r="1505">
      <c r="A1505" s="93" t="str">
        <f t="shared" si="2"/>
        <v>#16702</v>
      </c>
      <c r="B1505" s="93" t="str">
        <f>IF(COUNTIF(MAIN!B:B, A1505)=0, "Missing", "")</f>
        <v/>
      </c>
      <c r="E1505" s="128" t="str">
        <f t="shared" si="1"/>
        <v/>
      </c>
    </row>
    <row r="1506">
      <c r="A1506" s="93" t="str">
        <f t="shared" si="2"/>
        <v>#16703</v>
      </c>
      <c r="B1506" s="93" t="str">
        <f>IF(COUNTIF(MAIN!B:B, A1506)=0, "Missing", "")</f>
        <v/>
      </c>
      <c r="E1506" s="128" t="str">
        <f t="shared" si="1"/>
        <v/>
      </c>
    </row>
    <row r="1507">
      <c r="A1507" s="93" t="str">
        <f t="shared" si="2"/>
        <v>#16704</v>
      </c>
      <c r="B1507" s="93" t="str">
        <f>IF(COUNTIF(MAIN!B:B, A1507)=0, "Missing", "")</f>
        <v/>
      </c>
      <c r="E1507" s="128" t="str">
        <f t="shared" si="1"/>
        <v/>
      </c>
    </row>
    <row r="1508">
      <c r="A1508" s="93" t="str">
        <f t="shared" si="2"/>
        <v>#16705</v>
      </c>
      <c r="B1508" s="93" t="str">
        <f>IF(COUNTIF(MAIN!B:B, A1508)=0, "Missing", "")</f>
        <v/>
      </c>
      <c r="E1508" s="128" t="str">
        <f t="shared" si="1"/>
        <v/>
      </c>
    </row>
    <row r="1509">
      <c r="A1509" s="93" t="str">
        <f t="shared" si="2"/>
        <v>#16706</v>
      </c>
      <c r="B1509" s="93" t="str">
        <f>IF(COUNTIF(MAIN!B:B, A1509)=0, "Missing", "")</f>
        <v/>
      </c>
      <c r="E1509" s="128" t="str">
        <f t="shared" si="1"/>
        <v/>
      </c>
    </row>
    <row r="1510">
      <c r="A1510" s="93" t="str">
        <f t="shared" si="2"/>
        <v>#16707</v>
      </c>
      <c r="B1510" s="93" t="str">
        <f>IF(COUNTIF(MAIN!B:B, A1510)=0, "Missing", "")</f>
        <v/>
      </c>
      <c r="E1510" s="128" t="str">
        <f t="shared" si="1"/>
        <v/>
      </c>
    </row>
    <row r="1511">
      <c r="A1511" s="93" t="str">
        <f t="shared" si="2"/>
        <v>#16708</v>
      </c>
      <c r="B1511" s="93" t="str">
        <f>IF(COUNTIF(MAIN!B:B, A1511)=0, "Missing", "")</f>
        <v/>
      </c>
      <c r="E1511" s="128" t="str">
        <f t="shared" si="1"/>
        <v/>
      </c>
    </row>
    <row r="1512">
      <c r="A1512" s="93" t="str">
        <f t="shared" si="2"/>
        <v>#16709</v>
      </c>
      <c r="B1512" s="93" t="str">
        <f>IF(COUNTIF(MAIN!B:B, A1512)=0, "Missing", "")</f>
        <v/>
      </c>
      <c r="E1512" s="128" t="str">
        <f t="shared" si="1"/>
        <v/>
      </c>
    </row>
    <row r="1513">
      <c r="A1513" s="93" t="str">
        <f t="shared" si="2"/>
        <v>#16710</v>
      </c>
      <c r="B1513" s="93" t="str">
        <f>IF(COUNTIF(MAIN!B:B, A1513)=0, "Missing", "")</f>
        <v/>
      </c>
      <c r="E1513" s="128" t="str">
        <f t="shared" si="1"/>
        <v/>
      </c>
    </row>
    <row r="1514">
      <c r="A1514" s="93" t="str">
        <f t="shared" si="2"/>
        <v>#16711</v>
      </c>
      <c r="B1514" s="93" t="str">
        <f>IF(COUNTIF(MAIN!B:B, A1514)=0, "Missing", "")</f>
        <v/>
      </c>
      <c r="E1514" s="128" t="str">
        <f t="shared" si="1"/>
        <v/>
      </c>
    </row>
    <row r="1515">
      <c r="A1515" s="93" t="str">
        <f t="shared" si="2"/>
        <v>#16712</v>
      </c>
      <c r="B1515" s="93" t="str">
        <f>IF(COUNTIF(MAIN!B:B, A1515)=0, "Missing", "")</f>
        <v/>
      </c>
      <c r="E1515" s="128" t="str">
        <f t="shared" si="1"/>
        <v/>
      </c>
    </row>
    <row r="1516">
      <c r="A1516" s="93" t="str">
        <f t="shared" si="2"/>
        <v>#16713</v>
      </c>
      <c r="B1516" s="93" t="str">
        <f>IF(COUNTIF(MAIN!B:B, A1516)=0, "Missing", "")</f>
        <v/>
      </c>
      <c r="E1516" s="128" t="str">
        <f t="shared" si="1"/>
        <v/>
      </c>
    </row>
    <row r="1517">
      <c r="A1517" s="93" t="str">
        <f t="shared" si="2"/>
        <v>#16714</v>
      </c>
      <c r="B1517" s="93" t="str">
        <f>IF(COUNTIF(MAIN!B:B, A1517)=0, "Missing", "")</f>
        <v/>
      </c>
      <c r="E1517" s="128" t="str">
        <f t="shared" si="1"/>
        <v/>
      </c>
    </row>
    <row r="1518">
      <c r="A1518" s="93" t="str">
        <f t="shared" si="2"/>
        <v>#16715</v>
      </c>
      <c r="B1518" s="93" t="str">
        <f>IF(COUNTIF(MAIN!B:B, A1518)=0, "Missing", "")</f>
        <v/>
      </c>
      <c r="E1518" s="128" t="str">
        <f t="shared" si="1"/>
        <v/>
      </c>
    </row>
    <row r="1519">
      <c r="A1519" s="93" t="str">
        <f t="shared" si="2"/>
        <v>#16716</v>
      </c>
      <c r="B1519" s="93" t="str">
        <f>IF(COUNTIF(MAIN!B:B, A1519)=0, "Missing", "")</f>
        <v/>
      </c>
      <c r="E1519" s="128" t="str">
        <f t="shared" si="1"/>
        <v/>
      </c>
    </row>
    <row r="1520">
      <c r="A1520" s="93" t="str">
        <f t="shared" si="2"/>
        <v>#16717</v>
      </c>
      <c r="B1520" s="93" t="str">
        <f>IF(COUNTIF(MAIN!B:B, A1520)=0, "Missing", "")</f>
        <v/>
      </c>
      <c r="E1520" s="128" t="str">
        <f t="shared" si="1"/>
        <v/>
      </c>
    </row>
    <row r="1521">
      <c r="A1521" s="93" t="str">
        <f t="shared" si="2"/>
        <v>#16718</v>
      </c>
      <c r="B1521" s="93" t="str">
        <f>IF(COUNTIF(MAIN!B:B, A1521)=0, "Missing", "")</f>
        <v/>
      </c>
      <c r="E1521" s="128" t="str">
        <f t="shared" si="1"/>
        <v/>
      </c>
    </row>
    <row r="1522">
      <c r="A1522" s="93" t="str">
        <f t="shared" si="2"/>
        <v>#16719</v>
      </c>
      <c r="B1522" s="93" t="str">
        <f>IF(COUNTIF(MAIN!B:B, A1522)=0, "Missing", "")</f>
        <v/>
      </c>
      <c r="E1522" s="128" t="str">
        <f t="shared" si="1"/>
        <v/>
      </c>
    </row>
    <row r="1523">
      <c r="A1523" s="93" t="str">
        <f t="shared" si="2"/>
        <v>#16720</v>
      </c>
      <c r="B1523" s="93" t="str">
        <f>IF(COUNTIF(MAIN!B:B, A1523)=0, "Missing", "")</f>
        <v>Missing</v>
      </c>
      <c r="C1523" s="84" t="s">
        <v>15236</v>
      </c>
      <c r="E1523" s="131" t="str">
        <f t="shared" si="1"/>
        <v>https://utrucking.myshopify.com/admin/orders?query=16720</v>
      </c>
    </row>
    <row r="1524">
      <c r="A1524" s="93" t="str">
        <f t="shared" si="2"/>
        <v>#16721</v>
      </c>
      <c r="B1524" s="93" t="str">
        <f>IF(COUNTIF(MAIN!B:B, A1524)=0, "Missing", "")</f>
        <v>Missing</v>
      </c>
      <c r="C1524" s="84" t="s">
        <v>15236</v>
      </c>
      <c r="E1524" s="131" t="str">
        <f t="shared" si="1"/>
        <v>https://utrucking.myshopify.com/admin/orders?query=16721</v>
      </c>
    </row>
    <row r="1525">
      <c r="A1525" s="93" t="str">
        <f t="shared" si="2"/>
        <v>#16722</v>
      </c>
      <c r="B1525" s="93" t="str">
        <f>IF(COUNTIF(MAIN!B:B, A1525)=0, "Missing", "")</f>
        <v/>
      </c>
      <c r="E1525" s="128" t="str">
        <f t="shared" si="1"/>
        <v/>
      </c>
    </row>
    <row r="1526">
      <c r="A1526" s="93" t="str">
        <f t="shared" si="2"/>
        <v>#16723</v>
      </c>
      <c r="B1526" s="93" t="str">
        <f>IF(COUNTIF(MAIN!B:B, A1526)=0, "Missing", "")</f>
        <v>Missing</v>
      </c>
      <c r="C1526" s="84" t="s">
        <v>15236</v>
      </c>
      <c r="E1526" s="131" t="str">
        <f t="shared" si="1"/>
        <v>https://utrucking.myshopify.com/admin/orders?query=16723</v>
      </c>
    </row>
    <row r="1527">
      <c r="A1527" s="93" t="str">
        <f t="shared" si="2"/>
        <v>#16724</v>
      </c>
      <c r="B1527" s="93" t="str">
        <f>IF(COUNTIF(MAIN!B:B, A1527)=0, "Missing", "")</f>
        <v>Missing</v>
      </c>
      <c r="C1527" s="84" t="s">
        <v>15236</v>
      </c>
      <c r="E1527" s="131" t="str">
        <f t="shared" si="1"/>
        <v>https://utrucking.myshopify.com/admin/orders?query=16724</v>
      </c>
    </row>
    <row r="1528">
      <c r="A1528" s="93" t="str">
        <f t="shared" si="2"/>
        <v>#16725</v>
      </c>
      <c r="B1528" s="93" t="str">
        <f>IF(COUNTIF(MAIN!B:B, A1528)=0, "Missing", "")</f>
        <v>Missing</v>
      </c>
      <c r="C1528" s="84" t="s">
        <v>15236</v>
      </c>
      <c r="E1528" s="131" t="str">
        <f t="shared" si="1"/>
        <v>https://utrucking.myshopify.com/admin/orders?query=16725</v>
      </c>
    </row>
    <row r="1529">
      <c r="A1529" s="93" t="str">
        <f t="shared" si="2"/>
        <v>#16726</v>
      </c>
      <c r="B1529" s="93" t="str">
        <f>IF(COUNTIF(MAIN!B:B, A1529)=0, "Missing", "")</f>
        <v>Missing</v>
      </c>
      <c r="C1529" s="84" t="s">
        <v>15236</v>
      </c>
      <c r="E1529" s="131" t="str">
        <f t="shared" si="1"/>
        <v>https://utrucking.myshopify.com/admin/orders?query=16726</v>
      </c>
    </row>
    <row r="1530">
      <c r="A1530" s="93" t="str">
        <f t="shared" si="2"/>
        <v>#16727</v>
      </c>
      <c r="B1530" s="93" t="str">
        <f>IF(COUNTIF(MAIN!B:B, A1530)=0, "Missing", "")</f>
        <v>Missing</v>
      </c>
      <c r="C1530" s="84" t="s">
        <v>15236</v>
      </c>
      <c r="E1530" s="131" t="str">
        <f t="shared" si="1"/>
        <v>https://utrucking.myshopify.com/admin/orders?query=16727</v>
      </c>
    </row>
    <row r="1531">
      <c r="A1531" s="93" t="str">
        <f t="shared" si="2"/>
        <v>#16728</v>
      </c>
      <c r="B1531" s="93" t="str">
        <f>IF(COUNTIF(MAIN!B:B, A1531)=0, "Missing", "")</f>
        <v>Missing</v>
      </c>
      <c r="C1531" s="84" t="s">
        <v>15236</v>
      </c>
      <c r="E1531" s="131" t="str">
        <f t="shared" si="1"/>
        <v>https://utrucking.myshopify.com/admin/orders?query=16728</v>
      </c>
    </row>
    <row r="1532">
      <c r="A1532" s="93" t="str">
        <f t="shared" si="2"/>
        <v>#16729</v>
      </c>
      <c r="B1532" s="93" t="str">
        <f>IF(COUNTIF(MAIN!B:B, A1532)=0, "Missing", "")</f>
        <v>Missing</v>
      </c>
      <c r="C1532" s="84" t="s">
        <v>15236</v>
      </c>
      <c r="E1532" s="131" t="str">
        <f t="shared" si="1"/>
        <v>https://utrucking.myshopify.com/admin/orders?query=16729</v>
      </c>
    </row>
    <row r="1533">
      <c r="A1533" s="93" t="str">
        <f t="shared" si="2"/>
        <v>#16730</v>
      </c>
      <c r="B1533" s="93" t="str">
        <f>IF(COUNTIF(MAIN!B:B, A1533)=0, "Missing", "")</f>
        <v>Missing</v>
      </c>
      <c r="C1533" s="84" t="s">
        <v>15236</v>
      </c>
      <c r="E1533" s="131" t="str">
        <f t="shared" si="1"/>
        <v>https://utrucking.myshopify.com/admin/orders?query=16730</v>
      </c>
    </row>
    <row r="1534">
      <c r="A1534" s="93" t="str">
        <f t="shared" si="2"/>
        <v>#16731</v>
      </c>
      <c r="B1534" s="93" t="str">
        <f>IF(COUNTIF(MAIN!B:B, A1534)=0, "Missing", "")</f>
        <v>Missing</v>
      </c>
      <c r="C1534" s="84" t="s">
        <v>15236</v>
      </c>
      <c r="E1534" s="131" t="str">
        <f t="shared" si="1"/>
        <v>https://utrucking.myshopify.com/admin/orders?query=16731</v>
      </c>
    </row>
    <row r="1535">
      <c r="A1535" s="93" t="str">
        <f t="shared" si="2"/>
        <v>#16732</v>
      </c>
      <c r="B1535" s="93" t="str">
        <f>IF(COUNTIF(MAIN!B:B, A1535)=0, "Missing", "")</f>
        <v>Missing</v>
      </c>
      <c r="C1535" s="84" t="s">
        <v>15236</v>
      </c>
      <c r="E1535" s="131" t="str">
        <f t="shared" si="1"/>
        <v>https://utrucking.myshopify.com/admin/orders?query=16732</v>
      </c>
    </row>
    <row r="1536">
      <c r="A1536" s="93" t="str">
        <f t="shared" si="2"/>
        <v>#16733</v>
      </c>
      <c r="B1536" s="93" t="str">
        <f>IF(COUNTIF(MAIN!B:B, A1536)=0, "Missing", "")</f>
        <v>Missing</v>
      </c>
      <c r="C1536" s="84" t="s">
        <v>15236</v>
      </c>
      <c r="E1536" s="131" t="str">
        <f t="shared" si="1"/>
        <v>https://utrucking.myshopify.com/admin/orders?query=16733</v>
      </c>
    </row>
    <row r="1537">
      <c r="A1537" s="93" t="str">
        <f t="shared" si="2"/>
        <v>#16734</v>
      </c>
      <c r="B1537" s="93" t="str">
        <f>IF(COUNTIF(MAIN!B:B, A1537)=0, "Missing", "")</f>
        <v>Missing</v>
      </c>
      <c r="C1537" s="84" t="s">
        <v>15236</v>
      </c>
      <c r="E1537" s="131" t="str">
        <f t="shared" si="1"/>
        <v>https://utrucking.myshopify.com/admin/orders?query=16734</v>
      </c>
    </row>
    <row r="1538">
      <c r="A1538" s="93" t="str">
        <f t="shared" si="2"/>
        <v>#16735</v>
      </c>
      <c r="B1538" s="93" t="str">
        <f>IF(COUNTIF(MAIN!B:B, A1538)=0, "Missing", "")</f>
        <v>Missing</v>
      </c>
      <c r="C1538" s="84" t="s">
        <v>15236</v>
      </c>
      <c r="E1538" s="131" t="str">
        <f t="shared" si="1"/>
        <v>https://utrucking.myshopify.com/admin/orders?query=16735</v>
      </c>
    </row>
    <row r="1539">
      <c r="A1539" s="93" t="str">
        <f t="shared" si="2"/>
        <v>#16736</v>
      </c>
      <c r="B1539" s="93" t="str">
        <f>IF(COUNTIF(MAIN!B:B, A1539)=0, "Missing", "")</f>
        <v>Missing</v>
      </c>
      <c r="C1539" s="84" t="s">
        <v>15236</v>
      </c>
      <c r="E1539" s="131" t="str">
        <f t="shared" si="1"/>
        <v>https://utrucking.myshopify.com/admin/orders?query=16736</v>
      </c>
    </row>
    <row r="1540">
      <c r="A1540" s="93" t="str">
        <f t="shared" si="2"/>
        <v>#16737</v>
      </c>
      <c r="B1540" s="93" t="str">
        <f>IF(COUNTIF(MAIN!B:B, A1540)=0, "Missing", "")</f>
        <v>Missing</v>
      </c>
      <c r="C1540" s="84" t="s">
        <v>15236</v>
      </c>
      <c r="E1540" s="131" t="str">
        <f t="shared" si="1"/>
        <v>https://utrucking.myshopify.com/admin/orders?query=16737</v>
      </c>
    </row>
    <row r="1541">
      <c r="A1541" s="93" t="str">
        <f t="shared" si="2"/>
        <v>#16738</v>
      </c>
      <c r="B1541" s="93" t="str">
        <f>IF(COUNTIF(MAIN!B:B, A1541)=0, "Missing", "")</f>
        <v>Missing</v>
      </c>
      <c r="C1541" s="84" t="s">
        <v>15236</v>
      </c>
      <c r="E1541" s="131" t="str">
        <f t="shared" si="1"/>
        <v>https://utrucking.myshopify.com/admin/orders?query=16738</v>
      </c>
    </row>
    <row r="1542">
      <c r="A1542" s="93" t="str">
        <f t="shared" si="2"/>
        <v>#16739</v>
      </c>
      <c r="B1542" s="93" t="str">
        <f>IF(COUNTIF(MAIN!B:B, A1542)=0, "Missing", "")</f>
        <v>Missing</v>
      </c>
      <c r="C1542" s="84" t="s">
        <v>15236</v>
      </c>
      <c r="E1542" s="131" t="str">
        <f t="shared" si="1"/>
        <v>https://utrucking.myshopify.com/admin/orders?query=16739</v>
      </c>
    </row>
    <row r="1543">
      <c r="A1543" s="93" t="str">
        <f t="shared" si="2"/>
        <v>#16740</v>
      </c>
      <c r="B1543" s="93" t="str">
        <f>IF(COUNTIF(MAIN!B:B, A1543)=0, "Missing", "")</f>
        <v>Missing</v>
      </c>
      <c r="C1543" s="84" t="s">
        <v>15236</v>
      </c>
      <c r="E1543" s="131" t="str">
        <f t="shared" si="1"/>
        <v>https://utrucking.myshopify.com/admin/orders?query=16740</v>
      </c>
    </row>
    <row r="1544">
      <c r="A1544" s="93" t="str">
        <f t="shared" si="2"/>
        <v>#16741</v>
      </c>
      <c r="B1544" s="93" t="str">
        <f>IF(COUNTIF(MAIN!B:B, A1544)=0, "Missing", "")</f>
        <v>Missing</v>
      </c>
      <c r="C1544" s="84" t="s">
        <v>15236</v>
      </c>
      <c r="E1544" s="131" t="str">
        <f t="shared" si="1"/>
        <v>https://utrucking.myshopify.com/admin/orders?query=16741</v>
      </c>
    </row>
    <row r="1545">
      <c r="A1545" s="93" t="str">
        <f t="shared" si="2"/>
        <v>#16742</v>
      </c>
      <c r="B1545" s="93" t="str">
        <f>IF(COUNTIF(MAIN!B:B, A1545)=0, "Missing", "")</f>
        <v>Missing</v>
      </c>
      <c r="C1545" s="84" t="s">
        <v>15236</v>
      </c>
      <c r="E1545" s="131" t="str">
        <f t="shared" si="1"/>
        <v>https://utrucking.myshopify.com/admin/orders?query=16742</v>
      </c>
    </row>
    <row r="1546">
      <c r="A1546" s="93" t="str">
        <f t="shared" si="2"/>
        <v>#16743</v>
      </c>
      <c r="B1546" s="93" t="str">
        <f>IF(COUNTIF(MAIN!B:B, A1546)=0, "Missing", "")</f>
        <v>Missing</v>
      </c>
      <c r="C1546" s="84" t="s">
        <v>15236</v>
      </c>
      <c r="E1546" s="131" t="str">
        <f t="shared" si="1"/>
        <v>https://utrucking.myshopify.com/admin/orders?query=16743</v>
      </c>
    </row>
    <row r="1547">
      <c r="A1547" s="93" t="str">
        <f t="shared" si="2"/>
        <v>#16744</v>
      </c>
      <c r="B1547" s="93" t="str">
        <f>IF(COUNTIF(MAIN!B:B, A1547)=0, "Missing", "")</f>
        <v>Missing</v>
      </c>
      <c r="C1547" s="84" t="s">
        <v>15236</v>
      </c>
      <c r="E1547" s="131" t="str">
        <f t="shared" si="1"/>
        <v>https://utrucking.myshopify.com/admin/orders?query=16744</v>
      </c>
    </row>
    <row r="1548">
      <c r="A1548" s="93" t="str">
        <f t="shared" si="2"/>
        <v>#16745</v>
      </c>
      <c r="B1548" s="93" t="str">
        <f>IF(COUNTIF(MAIN!B:B, A1548)=0, "Missing", "")</f>
        <v>Missing</v>
      </c>
      <c r="C1548" s="84" t="s">
        <v>15236</v>
      </c>
      <c r="E1548" s="131" t="str">
        <f t="shared" si="1"/>
        <v>https://utrucking.myshopify.com/admin/orders?query=16745</v>
      </c>
    </row>
    <row r="1549">
      <c r="A1549" s="93" t="str">
        <f t="shared" si="2"/>
        <v>#16746</v>
      </c>
      <c r="B1549" s="93" t="str">
        <f>IF(COUNTIF(MAIN!B:B, A1549)=0, "Missing", "")</f>
        <v>Missing</v>
      </c>
      <c r="C1549" s="84" t="s">
        <v>15236</v>
      </c>
      <c r="E1549" s="131" t="str">
        <f t="shared" si="1"/>
        <v>https://utrucking.myshopify.com/admin/orders?query=16746</v>
      </c>
    </row>
    <row r="1550">
      <c r="A1550" s="93" t="str">
        <f t="shared" si="2"/>
        <v>#16747</v>
      </c>
      <c r="B1550" s="93" t="str">
        <f>IF(COUNTIF(MAIN!B:B, A1550)=0, "Missing", "")</f>
        <v/>
      </c>
      <c r="E1550" s="128" t="str">
        <f t="shared" si="1"/>
        <v/>
      </c>
    </row>
    <row r="1551">
      <c r="A1551" s="93" t="str">
        <f t="shared" si="2"/>
        <v>#16748</v>
      </c>
      <c r="B1551" s="93" t="str">
        <f>IF(COUNTIF(MAIN!B:B, A1551)=0, "Missing", "")</f>
        <v>Missing</v>
      </c>
      <c r="C1551" s="84" t="s">
        <v>15236</v>
      </c>
      <c r="E1551" s="131" t="str">
        <f t="shared" si="1"/>
        <v>https://utrucking.myshopify.com/admin/orders?query=16748</v>
      </c>
    </row>
    <row r="1552">
      <c r="A1552" s="93" t="str">
        <f t="shared" si="2"/>
        <v>#16749</v>
      </c>
      <c r="B1552" s="93" t="str">
        <f>IF(COUNTIF(MAIN!B:B, A1552)=0, "Missing", "")</f>
        <v>Missing</v>
      </c>
      <c r="C1552" s="84" t="s">
        <v>15236</v>
      </c>
      <c r="E1552" s="131" t="str">
        <f t="shared" si="1"/>
        <v>https://utrucking.myshopify.com/admin/orders?query=16749</v>
      </c>
    </row>
    <row r="1553">
      <c r="A1553" s="93" t="str">
        <f t="shared" si="2"/>
        <v>#16750</v>
      </c>
      <c r="B1553" s="93" t="str">
        <f>IF(COUNTIF(MAIN!B:B, A1553)=0, "Missing", "")</f>
        <v>Missing</v>
      </c>
      <c r="C1553" s="84" t="s">
        <v>15236</v>
      </c>
      <c r="E1553" s="131" t="str">
        <f t="shared" si="1"/>
        <v>https://utrucking.myshopify.com/admin/orders?query=16750</v>
      </c>
    </row>
    <row r="1554">
      <c r="A1554" s="93" t="str">
        <f t="shared" si="2"/>
        <v>#16751</v>
      </c>
      <c r="B1554" s="93" t="str">
        <f>IF(COUNTIF(MAIN!B:B, A1554)=0, "Missing", "")</f>
        <v>Missing</v>
      </c>
      <c r="C1554" s="84" t="s">
        <v>15236</v>
      </c>
      <c r="E1554" s="131" t="str">
        <f t="shared" si="1"/>
        <v>https://utrucking.myshopify.com/admin/orders?query=16751</v>
      </c>
    </row>
    <row r="1555">
      <c r="A1555" s="93" t="str">
        <f t="shared" si="2"/>
        <v>#16752</v>
      </c>
      <c r="B1555" s="93" t="str">
        <f>IF(COUNTIF(MAIN!B:B, A1555)=0, "Missing", "")</f>
        <v>Missing</v>
      </c>
      <c r="C1555" s="84" t="s">
        <v>15236</v>
      </c>
      <c r="E1555" s="131" t="str">
        <f t="shared" si="1"/>
        <v>https://utrucking.myshopify.com/admin/orders?query=16752</v>
      </c>
    </row>
    <row r="1556">
      <c r="A1556" s="93" t="str">
        <f t="shared" si="2"/>
        <v>#16753</v>
      </c>
      <c r="B1556" s="93" t="str">
        <f>IF(COUNTIF(MAIN!B:B, A1556)=0, "Missing", "")</f>
        <v>Missing</v>
      </c>
      <c r="C1556" s="84" t="s">
        <v>15236</v>
      </c>
      <c r="E1556" s="131" t="str">
        <f t="shared" si="1"/>
        <v>https://utrucking.myshopify.com/admin/orders?query=16753</v>
      </c>
    </row>
    <row r="1557">
      <c r="A1557" s="93" t="str">
        <f t="shared" si="2"/>
        <v>#16754</v>
      </c>
      <c r="B1557" s="93" t="str">
        <f>IF(COUNTIF(MAIN!B:B, A1557)=0, "Missing", "")</f>
        <v/>
      </c>
      <c r="E1557" s="128" t="str">
        <f t="shared" si="1"/>
        <v/>
      </c>
    </row>
    <row r="1558">
      <c r="A1558" s="93" t="str">
        <f t="shared" si="2"/>
        <v>#16755</v>
      </c>
      <c r="B1558" s="93" t="str">
        <f>IF(COUNTIF(MAIN!B:B, A1558)=0, "Missing", "")</f>
        <v/>
      </c>
      <c r="E1558" s="128" t="str">
        <f t="shared" si="1"/>
        <v/>
      </c>
    </row>
    <row r="1559">
      <c r="A1559" s="93" t="str">
        <f t="shared" si="2"/>
        <v>#16756</v>
      </c>
      <c r="B1559" s="93" t="str">
        <f>IF(COUNTIF(MAIN!B:B, A1559)=0, "Missing", "")</f>
        <v/>
      </c>
      <c r="E1559" s="128" t="str">
        <f t="shared" si="1"/>
        <v/>
      </c>
    </row>
    <row r="1560">
      <c r="A1560" s="93" t="str">
        <f t="shared" si="2"/>
        <v>#16757</v>
      </c>
      <c r="B1560" s="93" t="str">
        <f>IF(COUNTIF(MAIN!B:B, A1560)=0, "Missing", "")</f>
        <v/>
      </c>
      <c r="E1560" s="128" t="str">
        <f t="shared" si="1"/>
        <v/>
      </c>
    </row>
    <row r="1561">
      <c r="A1561" s="93" t="str">
        <f t="shared" si="2"/>
        <v>#16758</v>
      </c>
      <c r="B1561" s="93" t="str">
        <f>IF(COUNTIF(MAIN!B:B, A1561)=0, "Missing", "")</f>
        <v>Missing</v>
      </c>
      <c r="C1561" s="84" t="s">
        <v>15236</v>
      </c>
      <c r="E1561" s="131" t="str">
        <f t="shared" si="1"/>
        <v>https://utrucking.myshopify.com/admin/orders?query=16758</v>
      </c>
    </row>
    <row r="1562">
      <c r="A1562" s="93" t="str">
        <f t="shared" si="2"/>
        <v>#16759</v>
      </c>
      <c r="B1562" s="93" t="str">
        <f>IF(COUNTIF(MAIN!B:B, A1562)=0, "Missing", "")</f>
        <v>Missing</v>
      </c>
      <c r="C1562" s="84" t="s">
        <v>15236</v>
      </c>
      <c r="E1562" s="131" t="str">
        <f t="shared" si="1"/>
        <v>https://utrucking.myshopify.com/admin/orders?query=16759</v>
      </c>
    </row>
    <row r="1563">
      <c r="A1563" s="93" t="str">
        <f t="shared" si="2"/>
        <v>#16760</v>
      </c>
      <c r="B1563" s="93" t="str">
        <f>IF(COUNTIF(MAIN!B:B, A1563)=0, "Missing", "")</f>
        <v>Missing</v>
      </c>
      <c r="C1563" s="84" t="s">
        <v>15236</v>
      </c>
      <c r="E1563" s="131" t="str">
        <f t="shared" si="1"/>
        <v>https://utrucking.myshopify.com/admin/orders?query=16760</v>
      </c>
    </row>
    <row r="1564">
      <c r="A1564" s="93" t="str">
        <f t="shared" si="2"/>
        <v>#16761</v>
      </c>
      <c r="B1564" s="93" t="str">
        <f>IF(COUNTIF(MAIN!B:B, A1564)=0, "Missing", "")</f>
        <v>Missing</v>
      </c>
      <c r="C1564" s="84" t="s">
        <v>15236</v>
      </c>
      <c r="E1564" s="131" t="str">
        <f t="shared" si="1"/>
        <v>https://utrucking.myshopify.com/admin/orders?query=16761</v>
      </c>
    </row>
    <row r="1565">
      <c r="A1565" s="93" t="str">
        <f t="shared" si="2"/>
        <v>#16762</v>
      </c>
      <c r="B1565" s="93" t="str">
        <f>IF(COUNTIF(MAIN!B:B, A1565)=0, "Missing", "")</f>
        <v>Missing</v>
      </c>
      <c r="C1565" s="84" t="s">
        <v>15236</v>
      </c>
      <c r="E1565" s="131" t="str">
        <f t="shared" si="1"/>
        <v>https://utrucking.myshopify.com/admin/orders?query=16762</v>
      </c>
    </row>
    <row r="1566">
      <c r="A1566" s="93" t="str">
        <f t="shared" si="2"/>
        <v>#16763</v>
      </c>
      <c r="B1566" s="93" t="str">
        <f>IF(COUNTIF(MAIN!B:B, A1566)=0, "Missing", "")</f>
        <v>Missing</v>
      </c>
      <c r="C1566" s="84" t="s">
        <v>15236</v>
      </c>
      <c r="E1566" s="131" t="str">
        <f t="shared" si="1"/>
        <v>https://utrucking.myshopify.com/admin/orders?query=16763</v>
      </c>
    </row>
    <row r="1567">
      <c r="A1567" s="93" t="str">
        <f t="shared" si="2"/>
        <v>#16764</v>
      </c>
      <c r="B1567" s="93" t="str">
        <f>IF(COUNTIF(MAIN!B:B, A1567)=0, "Missing", "")</f>
        <v/>
      </c>
      <c r="E1567" s="128" t="str">
        <f t="shared" si="1"/>
        <v/>
      </c>
    </row>
    <row r="1568">
      <c r="A1568" s="93" t="str">
        <f t="shared" si="2"/>
        <v>#16765</v>
      </c>
      <c r="B1568" s="93" t="str">
        <f>IF(COUNTIF(MAIN!B:B, A1568)=0, "Missing", "")</f>
        <v/>
      </c>
      <c r="E1568" s="128" t="str">
        <f t="shared" si="1"/>
        <v/>
      </c>
    </row>
    <row r="1569">
      <c r="A1569" s="93" t="str">
        <f t="shared" si="2"/>
        <v>#16766</v>
      </c>
      <c r="B1569" s="93" t="str">
        <f>IF(COUNTIF(MAIN!B:B, A1569)=0, "Missing", "")</f>
        <v>Missing</v>
      </c>
      <c r="C1569" s="84" t="s">
        <v>15236</v>
      </c>
      <c r="E1569" s="131" t="str">
        <f t="shared" si="1"/>
        <v>https://utrucking.myshopify.com/admin/orders?query=16766</v>
      </c>
    </row>
    <row r="1570">
      <c r="A1570" s="93" t="str">
        <f t="shared" si="2"/>
        <v>#16767</v>
      </c>
      <c r="B1570" s="93" t="str">
        <f>IF(COUNTIF(MAIN!B:B, A1570)=0, "Missing", "")</f>
        <v>Missing</v>
      </c>
      <c r="C1570" s="84" t="s">
        <v>15236</v>
      </c>
      <c r="E1570" s="131" t="str">
        <f t="shared" si="1"/>
        <v>https://utrucking.myshopify.com/admin/orders?query=16767</v>
      </c>
    </row>
    <row r="1571">
      <c r="A1571" s="93" t="str">
        <f t="shared" si="2"/>
        <v>#16768</v>
      </c>
      <c r="B1571" s="93" t="str">
        <f>IF(COUNTIF(MAIN!B:B, A1571)=0, "Missing", "")</f>
        <v/>
      </c>
      <c r="E1571" s="128" t="str">
        <f t="shared" si="1"/>
        <v/>
      </c>
    </row>
    <row r="1572">
      <c r="A1572" s="93" t="str">
        <f t="shared" si="2"/>
        <v>#16769</v>
      </c>
      <c r="B1572" s="93" t="str">
        <f>IF(COUNTIF(MAIN!B:B, A1572)=0, "Missing", "")</f>
        <v/>
      </c>
      <c r="E1572" s="128" t="str">
        <f t="shared" si="1"/>
        <v/>
      </c>
    </row>
    <row r="1573">
      <c r="A1573" s="93" t="str">
        <f t="shared" si="2"/>
        <v>#16770</v>
      </c>
      <c r="B1573" s="93" t="str">
        <f>IF(COUNTIF(MAIN!B:B, A1573)=0, "Missing", "")</f>
        <v/>
      </c>
      <c r="E1573" s="128" t="str">
        <f t="shared" si="1"/>
        <v/>
      </c>
    </row>
    <row r="1574">
      <c r="A1574" s="93" t="str">
        <f t="shared" si="2"/>
        <v>#16771</v>
      </c>
      <c r="B1574" s="93" t="str">
        <f>IF(COUNTIF(MAIN!B:B, A1574)=0, "Missing", "")</f>
        <v/>
      </c>
      <c r="E1574" s="128" t="str">
        <f t="shared" si="1"/>
        <v/>
      </c>
    </row>
    <row r="1575">
      <c r="A1575" s="93" t="str">
        <f t="shared" si="2"/>
        <v>#16772</v>
      </c>
      <c r="B1575" s="93" t="str">
        <f>IF(COUNTIF(MAIN!B:B, A1575)=0, "Missing", "")</f>
        <v/>
      </c>
      <c r="E1575" s="128" t="str">
        <f t="shared" si="1"/>
        <v/>
      </c>
    </row>
    <row r="1576">
      <c r="A1576" s="93" t="str">
        <f t="shared" si="2"/>
        <v>#16773</v>
      </c>
      <c r="B1576" s="93" t="str">
        <f>IF(COUNTIF(MAIN!B:B, A1576)=0, "Missing", "")</f>
        <v/>
      </c>
      <c r="E1576" s="128" t="str">
        <f t="shared" si="1"/>
        <v/>
      </c>
    </row>
    <row r="1577">
      <c r="A1577" s="93" t="str">
        <f t="shared" si="2"/>
        <v>#16774</v>
      </c>
      <c r="B1577" s="93" t="str">
        <f>IF(COUNTIF(MAIN!B:B, A1577)=0, "Missing", "")</f>
        <v/>
      </c>
      <c r="E1577" s="128" t="str">
        <f t="shared" si="1"/>
        <v/>
      </c>
    </row>
    <row r="1578">
      <c r="A1578" s="93" t="str">
        <f t="shared" si="2"/>
        <v>#16775</v>
      </c>
      <c r="B1578" s="93" t="str">
        <f>IF(COUNTIF(MAIN!B:B, A1578)=0, "Missing", "")</f>
        <v/>
      </c>
      <c r="E1578" s="128" t="str">
        <f t="shared" si="1"/>
        <v/>
      </c>
    </row>
    <row r="1579">
      <c r="A1579" s="93" t="str">
        <f t="shared" si="2"/>
        <v>#16776</v>
      </c>
      <c r="B1579" s="93" t="str">
        <f>IF(COUNTIF(MAIN!B:B, A1579)=0, "Missing", "")</f>
        <v/>
      </c>
      <c r="E1579" s="128" t="str">
        <f t="shared" si="1"/>
        <v/>
      </c>
    </row>
    <row r="1580">
      <c r="A1580" s="93" t="str">
        <f t="shared" si="2"/>
        <v>#16777</v>
      </c>
      <c r="B1580" s="93" t="str">
        <f>IF(COUNTIF(MAIN!B:B, A1580)=0, "Missing", "")</f>
        <v/>
      </c>
      <c r="E1580" s="128" t="str">
        <f t="shared" si="1"/>
        <v/>
      </c>
    </row>
    <row r="1581">
      <c r="A1581" s="93" t="str">
        <f t="shared" si="2"/>
        <v>#16778</v>
      </c>
      <c r="B1581" s="93" t="str">
        <f>IF(COUNTIF(MAIN!B:B, A1581)=0, "Missing", "")</f>
        <v/>
      </c>
      <c r="E1581" s="128" t="str">
        <f t="shared" si="1"/>
        <v/>
      </c>
    </row>
    <row r="1582">
      <c r="A1582" s="93" t="str">
        <f t="shared" si="2"/>
        <v>#16779</v>
      </c>
      <c r="B1582" s="93" t="str">
        <f>IF(COUNTIF(MAIN!B:B, A1582)=0, "Missing", "")</f>
        <v/>
      </c>
      <c r="E1582" s="128" t="str">
        <f t="shared" si="1"/>
        <v/>
      </c>
    </row>
    <row r="1583">
      <c r="A1583" s="93" t="str">
        <f t="shared" si="2"/>
        <v>#16780</v>
      </c>
      <c r="B1583" s="93" t="str">
        <f>IF(COUNTIF(MAIN!B:B, A1583)=0, "Missing", "")</f>
        <v/>
      </c>
      <c r="E1583" s="128" t="str">
        <f t="shared" si="1"/>
        <v/>
      </c>
    </row>
    <row r="1584">
      <c r="A1584" s="93" t="str">
        <f t="shared" si="2"/>
        <v>#16781</v>
      </c>
      <c r="B1584" s="93" t="str">
        <f>IF(COUNTIF(MAIN!B:B, A1584)=0, "Missing", "")</f>
        <v/>
      </c>
      <c r="E1584" s="128" t="str">
        <f t="shared" si="1"/>
        <v/>
      </c>
    </row>
    <row r="1585">
      <c r="A1585" s="93" t="str">
        <f t="shared" si="2"/>
        <v>#16782</v>
      </c>
      <c r="B1585" s="93" t="str">
        <f>IF(COUNTIF(MAIN!B:B, A1585)=0, "Missing", "")</f>
        <v/>
      </c>
      <c r="E1585" s="128" t="str">
        <f t="shared" si="1"/>
        <v/>
      </c>
    </row>
    <row r="1586">
      <c r="A1586" s="93" t="str">
        <f t="shared" si="2"/>
        <v>#16783</v>
      </c>
      <c r="B1586" s="93" t="str">
        <f>IF(COUNTIF(MAIN!B:B, A1586)=0, "Missing", "")</f>
        <v/>
      </c>
      <c r="E1586" s="128" t="str">
        <f t="shared" si="1"/>
        <v/>
      </c>
    </row>
    <row r="1587">
      <c r="A1587" s="93" t="str">
        <f t="shared" si="2"/>
        <v>#16784</v>
      </c>
      <c r="B1587" s="93" t="str">
        <f>IF(COUNTIF(MAIN!B:B, A1587)=0, "Missing", "")</f>
        <v/>
      </c>
      <c r="E1587" s="128" t="str">
        <f t="shared" si="1"/>
        <v/>
      </c>
    </row>
    <row r="1588">
      <c r="A1588" s="93" t="str">
        <f t="shared" si="2"/>
        <v>#16785</v>
      </c>
      <c r="B1588" s="93" t="str">
        <f>IF(COUNTIF(MAIN!B:B, A1588)=0, "Missing", "")</f>
        <v/>
      </c>
      <c r="E1588" s="128" t="str">
        <f t="shared" si="1"/>
        <v/>
      </c>
    </row>
    <row r="1589">
      <c r="A1589" s="93" t="str">
        <f t="shared" si="2"/>
        <v>#16786</v>
      </c>
      <c r="B1589" s="93" t="str">
        <f>IF(COUNTIF(MAIN!B:B, A1589)=0, "Missing", "")</f>
        <v/>
      </c>
      <c r="E1589" s="128" t="str">
        <f t="shared" si="1"/>
        <v/>
      </c>
    </row>
    <row r="1590">
      <c r="A1590" s="93" t="str">
        <f t="shared" si="2"/>
        <v>#16787</v>
      </c>
      <c r="B1590" s="93" t="str">
        <f>IF(COUNTIF(MAIN!B:B, A1590)=0, "Missing", "")</f>
        <v/>
      </c>
      <c r="E1590" s="128" t="str">
        <f t="shared" si="1"/>
        <v/>
      </c>
    </row>
    <row r="1591">
      <c r="A1591" s="93" t="str">
        <f t="shared" si="2"/>
        <v>#16788</v>
      </c>
      <c r="B1591" s="93" t="str">
        <f>IF(COUNTIF(MAIN!B:B, A1591)=0, "Missing", "")</f>
        <v>Missing</v>
      </c>
      <c r="C1591" s="84" t="s">
        <v>15236</v>
      </c>
      <c r="E1591" s="131" t="str">
        <f t="shared" si="1"/>
        <v>https://utrucking.myshopify.com/admin/orders?query=16788</v>
      </c>
    </row>
    <row r="1592">
      <c r="A1592" s="93" t="str">
        <f t="shared" si="2"/>
        <v>#16789</v>
      </c>
      <c r="B1592" s="93" t="str">
        <f>IF(COUNTIF(MAIN!B:B, A1592)=0, "Missing", "")</f>
        <v>Missing</v>
      </c>
      <c r="C1592" s="84" t="s">
        <v>15236</v>
      </c>
      <c r="E1592" s="131" t="str">
        <f t="shared" si="1"/>
        <v>https://utrucking.myshopify.com/admin/orders?query=16789</v>
      </c>
    </row>
    <row r="1593">
      <c r="A1593" s="93" t="str">
        <f t="shared" si="2"/>
        <v>#16790</v>
      </c>
      <c r="B1593" s="93" t="str">
        <f>IF(COUNTIF(MAIN!B:B, A1593)=0, "Missing", "")</f>
        <v>Missing</v>
      </c>
      <c r="C1593" s="84" t="s">
        <v>15236</v>
      </c>
      <c r="E1593" s="131" t="str">
        <f t="shared" si="1"/>
        <v>https://utrucking.myshopify.com/admin/orders?query=16790</v>
      </c>
    </row>
    <row r="1594">
      <c r="A1594" s="93" t="str">
        <f t="shared" si="2"/>
        <v>#16791</v>
      </c>
      <c r="B1594" s="93" t="str">
        <f>IF(COUNTIF(MAIN!B:B, A1594)=0, "Missing", "")</f>
        <v>Missing</v>
      </c>
      <c r="C1594" s="84" t="s">
        <v>15236</v>
      </c>
      <c r="E1594" s="131" t="str">
        <f t="shared" si="1"/>
        <v>https://utrucking.myshopify.com/admin/orders?query=16791</v>
      </c>
    </row>
    <row r="1595">
      <c r="A1595" s="93" t="str">
        <f t="shared" si="2"/>
        <v>#16792</v>
      </c>
      <c r="B1595" s="93" t="str">
        <f>IF(COUNTIF(MAIN!B:B, A1595)=0, "Missing", "")</f>
        <v>Missing</v>
      </c>
      <c r="C1595" s="84" t="s">
        <v>15236</v>
      </c>
      <c r="E1595" s="131" t="str">
        <f t="shared" si="1"/>
        <v>https://utrucking.myshopify.com/admin/orders?query=16792</v>
      </c>
    </row>
    <row r="1596">
      <c r="A1596" s="93" t="str">
        <f t="shared" si="2"/>
        <v>#16793</v>
      </c>
      <c r="B1596" s="93" t="str">
        <f>IF(COUNTIF(MAIN!B:B, A1596)=0, "Missing", "")</f>
        <v>Missing</v>
      </c>
      <c r="C1596" s="84" t="s">
        <v>15236</v>
      </c>
      <c r="E1596" s="131" t="str">
        <f t="shared" si="1"/>
        <v>https://utrucking.myshopify.com/admin/orders?query=16793</v>
      </c>
    </row>
    <row r="1597">
      <c r="A1597" s="93" t="str">
        <f t="shared" si="2"/>
        <v>#16794</v>
      </c>
      <c r="B1597" s="93" t="str">
        <f>IF(COUNTIF(MAIN!B:B, A1597)=0, "Missing", "")</f>
        <v>Missing</v>
      </c>
      <c r="C1597" s="84" t="s">
        <v>15236</v>
      </c>
      <c r="E1597" s="131" t="str">
        <f t="shared" si="1"/>
        <v>https://utrucking.myshopify.com/admin/orders?query=16794</v>
      </c>
    </row>
    <row r="1598">
      <c r="A1598" s="93" t="str">
        <f t="shared" si="2"/>
        <v>#16795</v>
      </c>
      <c r="B1598" s="93" t="str">
        <f>IF(COUNTIF(MAIN!B:B, A1598)=0, "Missing", "")</f>
        <v>Missing</v>
      </c>
      <c r="C1598" s="84" t="s">
        <v>15236</v>
      </c>
      <c r="E1598" s="131" t="str">
        <f t="shared" si="1"/>
        <v>https://utrucking.myshopify.com/admin/orders?query=16795</v>
      </c>
    </row>
    <row r="1599">
      <c r="A1599" s="93" t="str">
        <f t="shared" si="2"/>
        <v>#16796</v>
      </c>
      <c r="B1599" s="93" t="str">
        <f>IF(COUNTIF(MAIN!B:B, A1599)=0, "Missing", "")</f>
        <v>Missing</v>
      </c>
      <c r="C1599" s="84" t="s">
        <v>15236</v>
      </c>
      <c r="E1599" s="131" t="str">
        <f t="shared" si="1"/>
        <v>https://utrucking.myshopify.com/admin/orders?query=16796</v>
      </c>
    </row>
    <row r="1600">
      <c r="A1600" s="93" t="str">
        <f t="shared" si="2"/>
        <v>#16797</v>
      </c>
      <c r="B1600" s="93" t="str">
        <f>IF(COUNTIF(MAIN!B:B, A1600)=0, "Missing", "")</f>
        <v>Missing</v>
      </c>
      <c r="C1600" s="84" t="s">
        <v>15236</v>
      </c>
      <c r="E1600" s="131" t="str">
        <f t="shared" si="1"/>
        <v>https://utrucking.myshopify.com/admin/orders?query=16797</v>
      </c>
    </row>
    <row r="1601">
      <c r="A1601" s="93" t="str">
        <f t="shared" si="2"/>
        <v>#16798</v>
      </c>
      <c r="B1601" s="93" t="str">
        <f>IF(COUNTIF(MAIN!B:B, A1601)=0, "Missing", "")</f>
        <v>Missing</v>
      </c>
      <c r="C1601" s="84" t="s">
        <v>15236</v>
      </c>
      <c r="E1601" s="131" t="str">
        <f t="shared" si="1"/>
        <v>https://utrucking.myshopify.com/admin/orders?query=16798</v>
      </c>
    </row>
    <row r="1602">
      <c r="A1602" s="93" t="str">
        <f t="shared" si="2"/>
        <v>#16799</v>
      </c>
      <c r="B1602" s="93" t="str">
        <f>IF(COUNTIF(MAIN!B:B, A1602)=0, "Missing", "")</f>
        <v>Missing</v>
      </c>
      <c r="C1602" s="84" t="s">
        <v>15236</v>
      </c>
      <c r="E1602" s="131" t="str">
        <f t="shared" si="1"/>
        <v>https://utrucking.myshopify.com/admin/orders?query=16799</v>
      </c>
    </row>
    <row r="1603">
      <c r="A1603" s="93" t="str">
        <f t="shared" si="2"/>
        <v>#16800</v>
      </c>
      <c r="B1603" s="93" t="str">
        <f>IF(COUNTIF(MAIN!B:B, A1603)=0, "Missing", "")</f>
        <v>Missing</v>
      </c>
      <c r="C1603" s="84" t="s">
        <v>15236</v>
      </c>
      <c r="E1603" s="131" t="str">
        <f t="shared" si="1"/>
        <v>https://utrucking.myshopify.com/admin/orders?query=16800</v>
      </c>
    </row>
    <row r="1604">
      <c r="A1604" s="93" t="str">
        <f t="shared" si="2"/>
        <v>#16801</v>
      </c>
      <c r="B1604" s="93" t="str">
        <f>IF(COUNTIF(MAIN!B:B, A1604)=0, "Missing", "")</f>
        <v>Missing</v>
      </c>
      <c r="C1604" s="84" t="s">
        <v>15236</v>
      </c>
      <c r="E1604" s="131" t="str">
        <f t="shared" si="1"/>
        <v>https://utrucking.myshopify.com/admin/orders?query=16801</v>
      </c>
    </row>
    <row r="1605">
      <c r="A1605" s="93" t="str">
        <f t="shared" si="2"/>
        <v>#16802</v>
      </c>
      <c r="B1605" s="93" t="str">
        <f>IF(COUNTIF(MAIN!B:B, A1605)=0, "Missing", "")</f>
        <v>Missing</v>
      </c>
      <c r="C1605" s="84" t="s">
        <v>15236</v>
      </c>
      <c r="E1605" s="131" t="str">
        <f t="shared" si="1"/>
        <v>https://utrucking.myshopify.com/admin/orders?query=16802</v>
      </c>
    </row>
    <row r="1606">
      <c r="A1606" s="93" t="str">
        <f t="shared" si="2"/>
        <v>#16803</v>
      </c>
      <c r="B1606" s="93" t="str">
        <f>IF(COUNTIF(MAIN!B:B, A1606)=0, "Missing", "")</f>
        <v>Missing</v>
      </c>
      <c r="C1606" s="84" t="s">
        <v>15236</v>
      </c>
      <c r="E1606" s="131" t="str">
        <f t="shared" si="1"/>
        <v>https://utrucking.myshopify.com/admin/orders?query=16803</v>
      </c>
    </row>
    <row r="1607">
      <c r="A1607" s="93" t="str">
        <f t="shared" si="2"/>
        <v>#16804</v>
      </c>
      <c r="B1607" s="93" t="str">
        <f>IF(COUNTIF(MAIN!B:B, A1607)=0, "Missing", "")</f>
        <v>Missing</v>
      </c>
      <c r="C1607" s="84" t="s">
        <v>15236</v>
      </c>
      <c r="E1607" s="131" t="str">
        <f t="shared" si="1"/>
        <v>https://utrucking.myshopify.com/admin/orders?query=16804</v>
      </c>
    </row>
    <row r="1608">
      <c r="A1608" s="93" t="str">
        <f t="shared" si="2"/>
        <v>#16805</v>
      </c>
      <c r="B1608" s="93" t="str">
        <f>IF(COUNTIF(MAIN!B:B, A1608)=0, "Missing", "")</f>
        <v>Missing</v>
      </c>
      <c r="C1608" s="84" t="s">
        <v>15236</v>
      </c>
      <c r="E1608" s="131" t="str">
        <f t="shared" si="1"/>
        <v>https://utrucking.myshopify.com/admin/orders?query=16805</v>
      </c>
    </row>
    <row r="1609">
      <c r="A1609" s="93" t="str">
        <f t="shared" si="2"/>
        <v>#16806</v>
      </c>
      <c r="B1609" s="93" t="str">
        <f>IF(COUNTIF(MAIN!B:B, A1609)=0, "Missing", "")</f>
        <v>Missing</v>
      </c>
      <c r="C1609" s="84" t="s">
        <v>15236</v>
      </c>
      <c r="E1609" s="131" t="str">
        <f t="shared" si="1"/>
        <v>https://utrucking.myshopify.com/admin/orders?query=16806</v>
      </c>
    </row>
    <row r="1610">
      <c r="A1610" s="93" t="str">
        <f t="shared" si="2"/>
        <v>#16807</v>
      </c>
      <c r="B1610" s="93" t="str">
        <f>IF(COUNTIF(MAIN!B:B, A1610)=0, "Missing", "")</f>
        <v/>
      </c>
      <c r="E1610" s="128" t="str">
        <f t="shared" si="1"/>
        <v/>
      </c>
    </row>
    <row r="1611">
      <c r="A1611" s="93" t="str">
        <f t="shared" si="2"/>
        <v>#16808</v>
      </c>
      <c r="B1611" s="93" t="str">
        <f>IF(COUNTIF(MAIN!B:B, A1611)=0, "Missing", "")</f>
        <v/>
      </c>
      <c r="E1611" s="128" t="str">
        <f t="shared" si="1"/>
        <v/>
      </c>
    </row>
    <row r="1612">
      <c r="A1612" s="93" t="str">
        <f t="shared" si="2"/>
        <v>#16809</v>
      </c>
      <c r="B1612" s="93" t="str">
        <f>IF(COUNTIF(MAIN!B:B, A1612)=0, "Missing", "")</f>
        <v/>
      </c>
      <c r="E1612" s="128" t="str">
        <f t="shared" si="1"/>
        <v/>
      </c>
    </row>
    <row r="1613">
      <c r="A1613" s="93" t="str">
        <f t="shared" si="2"/>
        <v>#16810</v>
      </c>
      <c r="B1613" s="93" t="str">
        <f>IF(COUNTIF(MAIN!B:B, A1613)=0, "Missing", "")</f>
        <v/>
      </c>
      <c r="E1613" s="128" t="str">
        <f t="shared" si="1"/>
        <v/>
      </c>
    </row>
    <row r="1614">
      <c r="A1614" s="93" t="str">
        <f t="shared" si="2"/>
        <v>#16811</v>
      </c>
      <c r="B1614" s="93" t="str">
        <f>IF(COUNTIF(MAIN!B:B, A1614)=0, "Missing", "")</f>
        <v/>
      </c>
      <c r="E1614" s="128" t="str">
        <f t="shared" si="1"/>
        <v/>
      </c>
    </row>
    <row r="1615">
      <c r="A1615" s="93" t="str">
        <f t="shared" si="2"/>
        <v>#16812</v>
      </c>
      <c r="B1615" s="93" t="str">
        <f>IF(COUNTIF(MAIN!B:B, A1615)=0, "Missing", "")</f>
        <v/>
      </c>
      <c r="E1615" s="128" t="str">
        <f t="shared" si="1"/>
        <v/>
      </c>
    </row>
    <row r="1616">
      <c r="A1616" s="93" t="str">
        <f t="shared" si="2"/>
        <v>#16813</v>
      </c>
      <c r="B1616" s="93" t="str">
        <f>IF(COUNTIF(MAIN!B:B, A1616)=0, "Missing", "")</f>
        <v/>
      </c>
      <c r="E1616" s="128" t="str">
        <f t="shared" si="1"/>
        <v/>
      </c>
    </row>
    <row r="1617">
      <c r="A1617" s="93" t="str">
        <f t="shared" si="2"/>
        <v>#16814</v>
      </c>
      <c r="B1617" s="93" t="str">
        <f>IF(COUNTIF(MAIN!B:B, A1617)=0, "Missing", "")</f>
        <v/>
      </c>
      <c r="E1617" s="128" t="str">
        <f t="shared" si="1"/>
        <v/>
      </c>
    </row>
    <row r="1618">
      <c r="A1618" s="93" t="str">
        <f t="shared" si="2"/>
        <v>#16815</v>
      </c>
      <c r="B1618" s="93" t="str">
        <f>IF(COUNTIF(MAIN!B:B, A1618)=0, "Missing", "")</f>
        <v/>
      </c>
      <c r="E1618" s="128" t="str">
        <f t="shared" si="1"/>
        <v/>
      </c>
    </row>
    <row r="1619">
      <c r="A1619" s="93" t="str">
        <f t="shared" si="2"/>
        <v>#16816</v>
      </c>
      <c r="B1619" s="93" t="str">
        <f>IF(COUNTIF(MAIN!B:B, A1619)=0, "Missing", "")</f>
        <v/>
      </c>
      <c r="E1619" s="128" t="str">
        <f t="shared" si="1"/>
        <v/>
      </c>
    </row>
    <row r="1620">
      <c r="A1620" s="93" t="str">
        <f t="shared" si="2"/>
        <v>#16817</v>
      </c>
      <c r="B1620" s="93" t="str">
        <f>IF(COUNTIF(MAIN!B:B, A1620)=0, "Missing", "")</f>
        <v/>
      </c>
      <c r="E1620" s="128" t="str">
        <f t="shared" si="1"/>
        <v/>
      </c>
    </row>
    <row r="1621">
      <c r="A1621" s="93" t="str">
        <f t="shared" si="2"/>
        <v>#16818</v>
      </c>
      <c r="B1621" s="93" t="str">
        <f>IF(COUNTIF(MAIN!B:B, A1621)=0, "Missing", "")</f>
        <v/>
      </c>
      <c r="E1621" s="128" t="str">
        <f t="shared" si="1"/>
        <v/>
      </c>
    </row>
    <row r="1622">
      <c r="A1622" s="93" t="str">
        <f t="shared" si="2"/>
        <v>#16819</v>
      </c>
      <c r="B1622" s="93" t="str">
        <f>IF(COUNTIF(MAIN!B:B, A1622)=0, "Missing", "")</f>
        <v/>
      </c>
      <c r="E1622" s="128" t="str">
        <f t="shared" si="1"/>
        <v/>
      </c>
    </row>
    <row r="1623">
      <c r="A1623" s="93" t="str">
        <f t="shared" si="2"/>
        <v>#16820</v>
      </c>
      <c r="B1623" s="93" t="str">
        <f>IF(COUNTIF(MAIN!B:B, A1623)=0, "Missing", "")</f>
        <v/>
      </c>
      <c r="E1623" s="128" t="str">
        <f t="shared" si="1"/>
        <v/>
      </c>
    </row>
    <row r="1624">
      <c r="A1624" s="93" t="str">
        <f t="shared" si="2"/>
        <v>#16821</v>
      </c>
      <c r="B1624" s="93" t="str">
        <f>IF(COUNTIF(MAIN!B:B, A1624)=0, "Missing", "")</f>
        <v/>
      </c>
      <c r="E1624" s="128" t="str">
        <f t="shared" si="1"/>
        <v/>
      </c>
    </row>
    <row r="1625">
      <c r="A1625" s="93" t="str">
        <f t="shared" si="2"/>
        <v>#16822</v>
      </c>
      <c r="B1625" s="93" t="str">
        <f>IF(COUNTIF(MAIN!B:B, A1625)=0, "Missing", "")</f>
        <v/>
      </c>
      <c r="E1625" s="128" t="str">
        <f t="shared" si="1"/>
        <v/>
      </c>
    </row>
    <row r="1626">
      <c r="A1626" s="93" t="str">
        <f t="shared" si="2"/>
        <v>#16823</v>
      </c>
      <c r="B1626" s="93" t="str">
        <f>IF(COUNTIF(MAIN!B:B, A1626)=0, "Missing", "")</f>
        <v/>
      </c>
      <c r="E1626" s="128" t="str">
        <f t="shared" si="1"/>
        <v/>
      </c>
    </row>
    <row r="1627">
      <c r="A1627" s="93" t="str">
        <f t="shared" si="2"/>
        <v>#16824</v>
      </c>
      <c r="B1627" s="93" t="str">
        <f>IF(COUNTIF(MAIN!B:B, A1627)=0, "Missing", "")</f>
        <v/>
      </c>
      <c r="E1627" s="128" t="str">
        <f t="shared" si="1"/>
        <v/>
      </c>
    </row>
    <row r="1628">
      <c r="A1628" s="93" t="str">
        <f t="shared" si="2"/>
        <v>#16825</v>
      </c>
      <c r="B1628" s="93" t="str">
        <f>IF(COUNTIF(MAIN!B:B, A1628)=0, "Missing", "")</f>
        <v/>
      </c>
      <c r="E1628" s="128" t="str">
        <f t="shared" si="1"/>
        <v/>
      </c>
    </row>
    <row r="1629">
      <c r="A1629" s="93" t="str">
        <f t="shared" si="2"/>
        <v>#16826</v>
      </c>
      <c r="B1629" s="93" t="str">
        <f>IF(COUNTIF(MAIN!B:B, A1629)=0, "Missing", "")</f>
        <v/>
      </c>
      <c r="E1629" s="128" t="str">
        <f t="shared" si="1"/>
        <v/>
      </c>
    </row>
    <row r="1630">
      <c r="A1630" s="93" t="str">
        <f t="shared" si="2"/>
        <v>#16827</v>
      </c>
      <c r="B1630" s="93" t="str">
        <f>IF(COUNTIF(MAIN!B:B, A1630)=0, "Missing", "")</f>
        <v/>
      </c>
      <c r="E1630" s="128" t="str">
        <f t="shared" si="1"/>
        <v/>
      </c>
    </row>
    <row r="1631">
      <c r="A1631" s="93" t="str">
        <f t="shared" si="2"/>
        <v>#16828</v>
      </c>
      <c r="B1631" s="93" t="str">
        <f>IF(COUNTIF(MAIN!B:B, A1631)=0, "Missing", "")</f>
        <v/>
      </c>
      <c r="E1631" s="128" t="str">
        <f t="shared" si="1"/>
        <v/>
      </c>
    </row>
    <row r="1632">
      <c r="A1632" s="93" t="str">
        <f t="shared" si="2"/>
        <v>#16829</v>
      </c>
      <c r="B1632" s="93" t="str">
        <f>IF(COUNTIF(MAIN!B:B, A1632)=0, "Missing", "")</f>
        <v/>
      </c>
      <c r="E1632" s="128" t="str">
        <f t="shared" si="1"/>
        <v/>
      </c>
    </row>
    <row r="1633">
      <c r="A1633" s="93" t="str">
        <f t="shared" si="2"/>
        <v>#16830</v>
      </c>
      <c r="B1633" s="93" t="str">
        <f>IF(COUNTIF(MAIN!B:B, A1633)=0, "Missing", "")</f>
        <v/>
      </c>
      <c r="E1633" s="128" t="str">
        <f t="shared" si="1"/>
        <v/>
      </c>
    </row>
    <row r="1634">
      <c r="A1634" s="93" t="str">
        <f t="shared" si="2"/>
        <v>#16831</v>
      </c>
      <c r="B1634" s="93" t="str">
        <f>IF(COUNTIF(MAIN!B:B, A1634)=0, "Missing", "")</f>
        <v/>
      </c>
      <c r="E1634" s="128" t="str">
        <f t="shared" si="1"/>
        <v/>
      </c>
    </row>
    <row r="1635">
      <c r="A1635" s="93" t="str">
        <f t="shared" si="2"/>
        <v>#16832</v>
      </c>
      <c r="B1635" s="93" t="str">
        <f>IF(COUNTIF(MAIN!B:B, A1635)=0, "Missing", "")</f>
        <v/>
      </c>
      <c r="E1635" s="128" t="str">
        <f t="shared" si="1"/>
        <v/>
      </c>
    </row>
    <row r="1636">
      <c r="A1636" s="93" t="str">
        <f t="shared" si="2"/>
        <v>#16833</v>
      </c>
      <c r="B1636" s="93" t="str">
        <f>IF(COUNTIF(MAIN!B:B, A1636)=0, "Missing", "")</f>
        <v>Missing</v>
      </c>
      <c r="C1636" s="84" t="s">
        <v>15238</v>
      </c>
      <c r="E1636" s="131" t="str">
        <f t="shared" si="1"/>
        <v>https://utrucking.myshopify.com/admin/orders?query=16833</v>
      </c>
    </row>
    <row r="1637">
      <c r="A1637" s="93" t="str">
        <f t="shared" si="2"/>
        <v>#16834</v>
      </c>
      <c r="B1637" s="93" t="str">
        <f>IF(COUNTIF(MAIN!B:B, A1637)=0, "Missing", "")</f>
        <v/>
      </c>
      <c r="E1637" s="128" t="str">
        <f t="shared" si="1"/>
        <v/>
      </c>
    </row>
    <row r="1638">
      <c r="A1638" s="93" t="str">
        <f t="shared" si="2"/>
        <v>#16835</v>
      </c>
      <c r="B1638" s="93" t="str">
        <f>IF(COUNTIF(MAIN!B:B, A1638)=0, "Missing", "")</f>
        <v/>
      </c>
      <c r="E1638" s="128" t="str">
        <f t="shared" si="1"/>
        <v/>
      </c>
    </row>
    <row r="1639">
      <c r="A1639" s="93" t="str">
        <f t="shared" si="2"/>
        <v>#16836</v>
      </c>
      <c r="B1639" s="93" t="str">
        <f>IF(COUNTIF(MAIN!B:B, A1639)=0, "Missing", "")</f>
        <v/>
      </c>
      <c r="E1639" s="128" t="str">
        <f t="shared" si="1"/>
        <v/>
      </c>
    </row>
    <row r="1640">
      <c r="A1640" s="93" t="str">
        <f t="shared" si="2"/>
        <v>#16837</v>
      </c>
      <c r="B1640" s="93" t="str">
        <f>IF(COUNTIF(MAIN!B:B, A1640)=0, "Missing", "")</f>
        <v>Missing</v>
      </c>
      <c r="C1640" s="84" t="s">
        <v>15238</v>
      </c>
      <c r="E1640" s="131" t="str">
        <f t="shared" si="1"/>
        <v>https://utrucking.myshopify.com/admin/orders?query=16837</v>
      </c>
    </row>
    <row r="1641">
      <c r="A1641" s="93" t="str">
        <f t="shared" si="2"/>
        <v>#16838</v>
      </c>
      <c r="B1641" s="93" t="str">
        <f>IF(COUNTIF(MAIN!B:B, A1641)=0, "Missing", "")</f>
        <v/>
      </c>
      <c r="E1641" s="128" t="str">
        <f t="shared" si="1"/>
        <v/>
      </c>
    </row>
    <row r="1642">
      <c r="A1642" s="93" t="str">
        <f t="shared" si="2"/>
        <v>#16839</v>
      </c>
      <c r="B1642" s="93" t="str">
        <f>IF(COUNTIF(MAIN!B:B, A1642)=0, "Missing", "")</f>
        <v>Missing</v>
      </c>
      <c r="C1642" s="84" t="s">
        <v>15239</v>
      </c>
      <c r="E1642" s="131" t="str">
        <f t="shared" si="1"/>
        <v>https://utrucking.myshopify.com/admin/orders?query=16839</v>
      </c>
    </row>
    <row r="1643">
      <c r="A1643" s="93" t="str">
        <f t="shared" si="2"/>
        <v>#16840</v>
      </c>
      <c r="B1643" s="93" t="str">
        <f>IF(COUNTIF(MAIN!B:B, A1643)=0, "Missing", "")</f>
        <v>Missing</v>
      </c>
      <c r="C1643" s="84" t="s">
        <v>15239</v>
      </c>
      <c r="E1643" s="131" t="str">
        <f t="shared" si="1"/>
        <v>https://utrucking.myshopify.com/admin/orders?query=16840</v>
      </c>
    </row>
    <row r="1644">
      <c r="A1644" s="93" t="str">
        <f t="shared" si="2"/>
        <v>#16841</v>
      </c>
      <c r="B1644" s="93" t="str">
        <f>IF(COUNTIF(MAIN!B:B, A1644)=0, "Missing", "")</f>
        <v/>
      </c>
      <c r="E1644" s="128" t="str">
        <f t="shared" si="1"/>
        <v/>
      </c>
    </row>
    <row r="1645">
      <c r="A1645" s="93" t="str">
        <f t="shared" si="2"/>
        <v>#16842</v>
      </c>
      <c r="B1645" s="93" t="str">
        <f>IF(COUNTIF(MAIN!B:B, A1645)=0, "Missing", "")</f>
        <v/>
      </c>
      <c r="E1645" s="128" t="str">
        <f t="shared" si="1"/>
        <v/>
      </c>
    </row>
    <row r="1646">
      <c r="A1646" s="93" t="str">
        <f t="shared" si="2"/>
        <v>#16843</v>
      </c>
      <c r="B1646" s="93" t="str">
        <f>IF(COUNTIF(MAIN!B:B, A1646)=0, "Missing", "")</f>
        <v>Missing</v>
      </c>
      <c r="C1646" s="84" t="s">
        <v>15239</v>
      </c>
      <c r="E1646" s="131" t="str">
        <f t="shared" si="1"/>
        <v>https://utrucking.myshopify.com/admin/orders?query=16843</v>
      </c>
    </row>
    <row r="1647">
      <c r="A1647" s="93" t="str">
        <f t="shared" si="2"/>
        <v>#16844</v>
      </c>
      <c r="B1647" s="93" t="str">
        <f>IF(COUNTIF(MAIN!B:B, A1647)=0, "Missing", "")</f>
        <v>Missing</v>
      </c>
      <c r="C1647" s="84" t="s">
        <v>15239</v>
      </c>
      <c r="E1647" s="131" t="str">
        <f t="shared" si="1"/>
        <v>https://utrucking.myshopify.com/admin/orders?query=16844</v>
      </c>
    </row>
    <row r="1648">
      <c r="A1648" s="93" t="str">
        <f t="shared" si="2"/>
        <v>#16845</v>
      </c>
      <c r="B1648" s="93" t="str">
        <f>IF(COUNTIF(MAIN!B:B, A1648)=0, "Missing", "")</f>
        <v>Missing</v>
      </c>
      <c r="C1648" s="84" t="s">
        <v>15239</v>
      </c>
      <c r="E1648" s="131" t="str">
        <f t="shared" si="1"/>
        <v>https://utrucking.myshopify.com/admin/orders?query=16845</v>
      </c>
    </row>
    <row r="1649">
      <c r="A1649" s="93" t="str">
        <f t="shared" si="2"/>
        <v>#16846</v>
      </c>
      <c r="B1649" s="93" t="str">
        <f>IF(COUNTIF(MAIN!B:B, A1649)=0, "Missing", "")</f>
        <v>Missing</v>
      </c>
      <c r="C1649" s="84" t="s">
        <v>15239</v>
      </c>
      <c r="E1649" s="131" t="str">
        <f t="shared" si="1"/>
        <v>https://utrucking.myshopify.com/admin/orders?query=16846</v>
      </c>
    </row>
    <row r="1650">
      <c r="A1650" s="93" t="str">
        <f t="shared" si="2"/>
        <v>#16847</v>
      </c>
      <c r="B1650" s="93" t="str">
        <f>IF(COUNTIF(MAIN!B:B, A1650)=0, "Missing", "")</f>
        <v>Missing</v>
      </c>
      <c r="C1650" s="84" t="s">
        <v>15239</v>
      </c>
      <c r="E1650" s="131" t="str">
        <f t="shared" si="1"/>
        <v>https://utrucking.myshopify.com/admin/orders?query=16847</v>
      </c>
    </row>
    <row r="1651">
      <c r="A1651" s="93" t="str">
        <f t="shared" si="2"/>
        <v>#16848</v>
      </c>
      <c r="B1651" s="93" t="str">
        <f>IF(COUNTIF(MAIN!B:B, A1651)=0, "Missing", "")</f>
        <v>Missing</v>
      </c>
      <c r="C1651" s="84" t="s">
        <v>15239</v>
      </c>
      <c r="E1651" s="131" t="str">
        <f t="shared" si="1"/>
        <v>https://utrucking.myshopify.com/admin/orders?query=16848</v>
      </c>
    </row>
    <row r="1652">
      <c r="A1652" s="93" t="str">
        <f t="shared" si="2"/>
        <v>#16849</v>
      </c>
      <c r="B1652" s="93" t="str">
        <f>IF(COUNTIF(MAIN!B:B, A1652)=0, "Missing", "")</f>
        <v>Missing</v>
      </c>
      <c r="C1652" s="84" t="s">
        <v>15239</v>
      </c>
      <c r="E1652" s="131" t="str">
        <f t="shared" si="1"/>
        <v>https://utrucking.myshopify.com/admin/orders?query=16849</v>
      </c>
    </row>
    <row r="1653">
      <c r="A1653" s="93" t="str">
        <f t="shared" si="2"/>
        <v>#16850</v>
      </c>
      <c r="B1653" s="93" t="str">
        <f>IF(COUNTIF(MAIN!B:B, A1653)=0, "Missing", "")</f>
        <v>Missing</v>
      </c>
      <c r="C1653" s="84" t="s">
        <v>15239</v>
      </c>
      <c r="E1653" s="131" t="str">
        <f t="shared" si="1"/>
        <v>https://utrucking.myshopify.com/admin/orders?query=16850</v>
      </c>
    </row>
    <row r="1654">
      <c r="A1654" s="93" t="str">
        <f t="shared" si="2"/>
        <v>#16851</v>
      </c>
      <c r="B1654" s="93" t="str">
        <f>IF(COUNTIF(MAIN!B:B, A1654)=0, "Missing", "")</f>
        <v>Missing</v>
      </c>
      <c r="C1654" s="84" t="s">
        <v>15239</v>
      </c>
      <c r="E1654" s="131" t="str">
        <f t="shared" si="1"/>
        <v>https://utrucking.myshopify.com/admin/orders?query=16851</v>
      </c>
    </row>
    <row r="1655">
      <c r="A1655" s="93" t="str">
        <f t="shared" si="2"/>
        <v>#16852</v>
      </c>
      <c r="B1655" s="93" t="str">
        <f>IF(COUNTIF(MAIN!B:B, A1655)=0, "Missing", "")</f>
        <v>Missing</v>
      </c>
      <c r="C1655" s="84" t="s">
        <v>15239</v>
      </c>
      <c r="E1655" s="131" t="str">
        <f t="shared" si="1"/>
        <v>https://utrucking.myshopify.com/admin/orders?query=16852</v>
      </c>
    </row>
    <row r="1656">
      <c r="A1656" s="93" t="str">
        <f t="shared" si="2"/>
        <v>#16853</v>
      </c>
      <c r="B1656" s="93" t="str">
        <f>IF(COUNTIF(MAIN!B:B, A1656)=0, "Missing", "")</f>
        <v>Missing</v>
      </c>
      <c r="C1656" s="84" t="s">
        <v>15239</v>
      </c>
      <c r="E1656" s="131" t="str">
        <f t="shared" si="1"/>
        <v>https://utrucking.myshopify.com/admin/orders?query=16853</v>
      </c>
    </row>
    <row r="1657">
      <c r="A1657" s="93" t="str">
        <f t="shared" si="2"/>
        <v>#16854</v>
      </c>
      <c r="B1657" s="93" t="str">
        <f>IF(COUNTIF(MAIN!B:B, A1657)=0, "Missing", "")</f>
        <v>Missing</v>
      </c>
      <c r="C1657" s="84" t="s">
        <v>15239</v>
      </c>
      <c r="E1657" s="131" t="str">
        <f t="shared" si="1"/>
        <v>https://utrucking.myshopify.com/admin/orders?query=16854</v>
      </c>
    </row>
    <row r="1658">
      <c r="A1658" s="93" t="str">
        <f t="shared" si="2"/>
        <v>#16855</v>
      </c>
      <c r="B1658" s="93" t="str">
        <f>IF(COUNTIF(MAIN!B:B, A1658)=0, "Missing", "")</f>
        <v>Missing</v>
      </c>
      <c r="C1658" s="84" t="s">
        <v>15239</v>
      </c>
      <c r="E1658" s="131" t="str">
        <f t="shared" si="1"/>
        <v>https://utrucking.myshopify.com/admin/orders?query=16855</v>
      </c>
    </row>
    <row r="1659">
      <c r="A1659" s="93" t="str">
        <f t="shared" si="2"/>
        <v>#16856</v>
      </c>
      <c r="B1659" s="93" t="str">
        <f>IF(COUNTIF(MAIN!B:B, A1659)=0, "Missing", "")</f>
        <v>Missing</v>
      </c>
      <c r="C1659" s="84" t="s">
        <v>15239</v>
      </c>
      <c r="E1659" s="131" t="str">
        <f t="shared" si="1"/>
        <v>https://utrucking.myshopify.com/admin/orders?query=16856</v>
      </c>
    </row>
    <row r="1660">
      <c r="A1660" s="93" t="str">
        <f t="shared" si="2"/>
        <v>#16857</v>
      </c>
      <c r="B1660" s="93" t="str">
        <f>IF(COUNTIF(MAIN!B:B, A1660)=0, "Missing", "")</f>
        <v>Missing</v>
      </c>
      <c r="C1660" s="84" t="s">
        <v>15239</v>
      </c>
      <c r="E1660" s="131" t="str">
        <f t="shared" si="1"/>
        <v>https://utrucking.myshopify.com/admin/orders?query=16857</v>
      </c>
    </row>
    <row r="1661">
      <c r="A1661" s="93" t="str">
        <f t="shared" si="2"/>
        <v>#16858</v>
      </c>
      <c r="B1661" s="93" t="str">
        <f>IF(COUNTIF(MAIN!B:B, A1661)=0, "Missing", "")</f>
        <v>Missing</v>
      </c>
      <c r="C1661" s="84" t="s">
        <v>15239</v>
      </c>
      <c r="E1661" s="131" t="str">
        <f t="shared" si="1"/>
        <v>https://utrucking.myshopify.com/admin/orders?query=16858</v>
      </c>
    </row>
    <row r="1662">
      <c r="A1662" s="93" t="str">
        <f t="shared" si="2"/>
        <v>#16859</v>
      </c>
      <c r="B1662" s="93" t="str">
        <f>IF(COUNTIF(MAIN!B:B, A1662)=0, "Missing", "")</f>
        <v>Missing</v>
      </c>
      <c r="C1662" s="84" t="s">
        <v>15239</v>
      </c>
      <c r="E1662" s="131" t="str">
        <f t="shared" si="1"/>
        <v>https://utrucking.myshopify.com/admin/orders?query=16859</v>
      </c>
    </row>
    <row r="1663">
      <c r="A1663" s="93" t="str">
        <f t="shared" si="2"/>
        <v>#16860</v>
      </c>
      <c r="B1663" s="93" t="str">
        <f>IF(COUNTIF(MAIN!B:B, A1663)=0, "Missing", "")</f>
        <v>Missing</v>
      </c>
      <c r="C1663" s="84" t="s">
        <v>15239</v>
      </c>
      <c r="E1663" s="131" t="str">
        <f t="shared" si="1"/>
        <v>https://utrucking.myshopify.com/admin/orders?query=16860</v>
      </c>
    </row>
    <row r="1664">
      <c r="A1664" s="93" t="str">
        <f t="shared" si="2"/>
        <v>#16861</v>
      </c>
      <c r="B1664" s="93" t="str">
        <f>IF(COUNTIF(MAIN!B:B, A1664)=0, "Missing", "")</f>
        <v>Missing</v>
      </c>
      <c r="C1664" s="84" t="s">
        <v>15239</v>
      </c>
      <c r="E1664" s="131" t="str">
        <f t="shared" si="1"/>
        <v>https://utrucking.myshopify.com/admin/orders?query=16861</v>
      </c>
    </row>
    <row r="1665">
      <c r="A1665" s="93" t="str">
        <f t="shared" si="2"/>
        <v>#16862</v>
      </c>
      <c r="B1665" s="93" t="str">
        <f>IF(COUNTIF(MAIN!B:B, A1665)=0, "Missing", "")</f>
        <v>Missing</v>
      </c>
      <c r="C1665" s="84" t="s">
        <v>15239</v>
      </c>
      <c r="E1665" s="131" t="str">
        <f t="shared" si="1"/>
        <v>https://utrucking.myshopify.com/admin/orders?query=16862</v>
      </c>
    </row>
    <row r="1666">
      <c r="A1666" s="93" t="str">
        <f t="shared" si="2"/>
        <v>#16863</v>
      </c>
      <c r="B1666" s="93" t="str">
        <f>IF(COUNTIF(MAIN!B:B, A1666)=0, "Missing", "")</f>
        <v>Missing</v>
      </c>
      <c r="C1666" s="84" t="s">
        <v>15239</v>
      </c>
      <c r="E1666" s="131" t="str">
        <f t="shared" si="1"/>
        <v>https://utrucking.myshopify.com/admin/orders?query=16863</v>
      </c>
    </row>
    <row r="1667">
      <c r="A1667" s="93" t="str">
        <f t="shared" si="2"/>
        <v>#16864</v>
      </c>
      <c r="B1667" s="93" t="str">
        <f>IF(COUNTIF(MAIN!B:B, A1667)=0, "Missing", "")</f>
        <v>Missing</v>
      </c>
      <c r="C1667" s="84" t="s">
        <v>15239</v>
      </c>
      <c r="E1667" s="131" t="str">
        <f t="shared" si="1"/>
        <v>https://utrucking.myshopify.com/admin/orders?query=16864</v>
      </c>
    </row>
    <row r="1668">
      <c r="A1668" s="93" t="str">
        <f t="shared" si="2"/>
        <v>#16865</v>
      </c>
      <c r="B1668" s="93" t="str">
        <f>IF(COUNTIF(MAIN!B:B, A1668)=0, "Missing", "")</f>
        <v>Missing</v>
      </c>
      <c r="C1668" s="84" t="s">
        <v>15239</v>
      </c>
      <c r="E1668" s="131" t="str">
        <f t="shared" si="1"/>
        <v>https://utrucking.myshopify.com/admin/orders?query=16865</v>
      </c>
    </row>
    <row r="1669">
      <c r="A1669" s="93" t="str">
        <f t="shared" si="2"/>
        <v>#16866</v>
      </c>
      <c r="B1669" s="93" t="str">
        <f>IF(COUNTIF(MAIN!B:B, A1669)=0, "Missing", "")</f>
        <v>Missing</v>
      </c>
      <c r="C1669" s="84" t="s">
        <v>15238</v>
      </c>
      <c r="E1669" s="131" t="str">
        <f t="shared" si="1"/>
        <v>https://utrucking.myshopify.com/admin/orders?query=16866</v>
      </c>
    </row>
    <row r="1670">
      <c r="A1670" s="93" t="str">
        <f t="shared" si="2"/>
        <v>#16867</v>
      </c>
      <c r="B1670" s="93" t="str">
        <f>IF(COUNTIF(MAIN!B:B, A1670)=0, "Missing", "")</f>
        <v>Missing</v>
      </c>
      <c r="C1670" s="84" t="s">
        <v>15239</v>
      </c>
      <c r="E1670" s="131" t="str">
        <f t="shared" si="1"/>
        <v>https://utrucking.myshopify.com/admin/orders?query=16867</v>
      </c>
    </row>
    <row r="1671">
      <c r="A1671" s="93" t="str">
        <f t="shared" si="2"/>
        <v>#16868</v>
      </c>
      <c r="B1671" s="93" t="str">
        <f>IF(COUNTIF(MAIN!B:B, A1671)=0, "Missing", "")</f>
        <v>Missing</v>
      </c>
      <c r="C1671" s="84" t="s">
        <v>15239</v>
      </c>
      <c r="E1671" s="131" t="str">
        <f t="shared" si="1"/>
        <v>https://utrucking.myshopify.com/admin/orders?query=16868</v>
      </c>
    </row>
    <row r="1672">
      <c r="A1672" s="93" t="str">
        <f t="shared" si="2"/>
        <v>#16869</v>
      </c>
      <c r="B1672" s="93" t="str">
        <f>IF(COUNTIF(MAIN!B:B, A1672)=0, "Missing", "")</f>
        <v>Missing</v>
      </c>
      <c r="C1672" s="84" t="s">
        <v>15239</v>
      </c>
      <c r="E1672" s="131" t="str">
        <f t="shared" si="1"/>
        <v>https://utrucking.myshopify.com/admin/orders?query=16869</v>
      </c>
    </row>
    <row r="1673">
      <c r="A1673" s="93" t="str">
        <f t="shared" si="2"/>
        <v>#16870</v>
      </c>
      <c r="B1673" s="93" t="str">
        <f>IF(COUNTIF(MAIN!B:B, A1673)=0, "Missing", "")</f>
        <v>Missing</v>
      </c>
      <c r="C1673" s="84" t="s">
        <v>15239</v>
      </c>
      <c r="E1673" s="131" t="str">
        <f t="shared" si="1"/>
        <v>https://utrucking.myshopify.com/admin/orders?query=16870</v>
      </c>
    </row>
    <row r="1674">
      <c r="A1674" s="93" t="str">
        <f t="shared" si="2"/>
        <v>#16871</v>
      </c>
      <c r="B1674" s="93" t="str">
        <f>IF(COUNTIF(MAIN!B:B, A1674)=0, "Missing", "")</f>
        <v>Missing</v>
      </c>
      <c r="C1674" s="84" t="s">
        <v>15239</v>
      </c>
      <c r="E1674" s="131" t="str">
        <f t="shared" si="1"/>
        <v>https://utrucking.myshopify.com/admin/orders?query=16871</v>
      </c>
    </row>
    <row r="1675">
      <c r="A1675" s="93" t="str">
        <f t="shared" si="2"/>
        <v>#16872</v>
      </c>
      <c r="B1675" s="93" t="str">
        <f>IF(COUNTIF(MAIN!B:B, A1675)=0, "Missing", "")</f>
        <v/>
      </c>
      <c r="E1675" s="128" t="str">
        <f t="shared" si="1"/>
        <v/>
      </c>
    </row>
    <row r="1676">
      <c r="A1676" s="93" t="str">
        <f t="shared" si="2"/>
        <v>#16873</v>
      </c>
      <c r="B1676" s="93" t="str">
        <f>IF(COUNTIF(MAIN!B:B, A1676)=0, "Missing", "")</f>
        <v>Missing</v>
      </c>
      <c r="C1676" s="84" t="s">
        <v>15239</v>
      </c>
      <c r="E1676" s="131" t="str">
        <f t="shared" si="1"/>
        <v>https://utrucking.myshopify.com/admin/orders?query=16873</v>
      </c>
    </row>
    <row r="1677">
      <c r="A1677" s="93" t="str">
        <f t="shared" si="2"/>
        <v>#16874</v>
      </c>
      <c r="B1677" s="93" t="str">
        <f>IF(COUNTIF(MAIN!B:B, A1677)=0, "Missing", "")</f>
        <v/>
      </c>
      <c r="E1677" s="128" t="str">
        <f t="shared" si="1"/>
        <v/>
      </c>
    </row>
    <row r="1678">
      <c r="A1678" s="93" t="str">
        <f t="shared" si="2"/>
        <v>#16875</v>
      </c>
      <c r="B1678" s="93" t="str">
        <f>IF(COUNTIF(MAIN!B:B, A1678)=0, "Missing", "")</f>
        <v>Missing</v>
      </c>
      <c r="C1678" s="84" t="s">
        <v>15239</v>
      </c>
      <c r="E1678" s="131" t="str">
        <f t="shared" si="1"/>
        <v>https://utrucking.myshopify.com/admin/orders?query=16875</v>
      </c>
    </row>
    <row r="1679">
      <c r="A1679" s="93" t="str">
        <f t="shared" si="2"/>
        <v>#16876</v>
      </c>
      <c r="B1679" s="93" t="str">
        <f>IF(COUNTIF(MAIN!B:B, A1679)=0, "Missing", "")</f>
        <v>Missing</v>
      </c>
      <c r="C1679" s="84" t="s">
        <v>15239</v>
      </c>
      <c r="E1679" s="131" t="str">
        <f t="shared" si="1"/>
        <v>https://utrucking.myshopify.com/admin/orders?query=16876</v>
      </c>
    </row>
    <row r="1680">
      <c r="A1680" s="93" t="str">
        <f t="shared" si="2"/>
        <v>#16877</v>
      </c>
      <c r="B1680" s="93" t="str">
        <f>IF(COUNTIF(MAIN!B:B, A1680)=0, "Missing", "")</f>
        <v>Missing</v>
      </c>
      <c r="C1680" s="84" t="s">
        <v>15239</v>
      </c>
      <c r="E1680" s="131" t="str">
        <f t="shared" si="1"/>
        <v>https://utrucking.myshopify.com/admin/orders?query=16877</v>
      </c>
    </row>
    <row r="1681">
      <c r="A1681" s="93" t="str">
        <f t="shared" si="2"/>
        <v>#16878</v>
      </c>
      <c r="B1681" s="93" t="str">
        <f>IF(COUNTIF(MAIN!B:B, A1681)=0, "Missing", "")</f>
        <v>Missing</v>
      </c>
      <c r="C1681" s="84" t="s">
        <v>15239</v>
      </c>
      <c r="E1681" s="131" t="str">
        <f t="shared" si="1"/>
        <v>https://utrucking.myshopify.com/admin/orders?query=16878</v>
      </c>
    </row>
    <row r="1682">
      <c r="A1682" s="93" t="str">
        <f t="shared" si="2"/>
        <v>#16879</v>
      </c>
      <c r="B1682" s="93" t="str">
        <f>IF(COUNTIF(MAIN!B:B, A1682)=0, "Missing", "")</f>
        <v/>
      </c>
      <c r="E1682" s="128" t="str">
        <f t="shared" si="1"/>
        <v/>
      </c>
    </row>
    <row r="1683">
      <c r="A1683" s="93" t="str">
        <f t="shared" si="2"/>
        <v>#16880</v>
      </c>
      <c r="B1683" s="93" t="str">
        <f>IF(COUNTIF(MAIN!B:B, A1683)=0, "Missing", "")</f>
        <v>Missing</v>
      </c>
      <c r="C1683" s="84" t="s">
        <v>15239</v>
      </c>
      <c r="E1683" s="131" t="str">
        <f t="shared" si="1"/>
        <v>https://utrucking.myshopify.com/admin/orders?query=16880</v>
      </c>
    </row>
    <row r="1684">
      <c r="A1684" s="93" t="str">
        <f t="shared" si="2"/>
        <v>#16881</v>
      </c>
      <c r="B1684" s="93" t="str">
        <f>IF(COUNTIF(MAIN!B:B, A1684)=0, "Missing", "")</f>
        <v>Missing</v>
      </c>
      <c r="C1684" s="84" t="s">
        <v>15239</v>
      </c>
      <c r="E1684" s="131" t="str">
        <f t="shared" si="1"/>
        <v>https://utrucking.myshopify.com/admin/orders?query=16881</v>
      </c>
    </row>
    <row r="1685">
      <c r="A1685" s="93" t="str">
        <f t="shared" si="2"/>
        <v>#16882</v>
      </c>
      <c r="B1685" s="93" t="str">
        <f>IF(COUNTIF(MAIN!B:B, A1685)=0, "Missing", "")</f>
        <v>Missing</v>
      </c>
      <c r="C1685" s="84" t="s">
        <v>15239</v>
      </c>
      <c r="E1685" s="131" t="str">
        <f t="shared" si="1"/>
        <v>https://utrucking.myshopify.com/admin/orders?query=16882</v>
      </c>
    </row>
    <row r="1686">
      <c r="A1686" s="93" t="str">
        <f t="shared" si="2"/>
        <v>#16883</v>
      </c>
      <c r="B1686" s="93" t="str">
        <f>IF(COUNTIF(MAIN!B:B, A1686)=0, "Missing", "")</f>
        <v>Missing</v>
      </c>
      <c r="C1686" s="84" t="s">
        <v>15239</v>
      </c>
      <c r="E1686" s="131" t="str">
        <f t="shared" si="1"/>
        <v>https://utrucking.myshopify.com/admin/orders?query=16883</v>
      </c>
    </row>
    <row r="1687">
      <c r="A1687" s="93" t="str">
        <f t="shared" si="2"/>
        <v>#16884</v>
      </c>
      <c r="B1687" s="93" t="str">
        <f>IF(COUNTIF(MAIN!B:B, A1687)=0, "Missing", "")</f>
        <v>Missing</v>
      </c>
      <c r="C1687" s="84" t="s">
        <v>15239</v>
      </c>
      <c r="E1687" s="131" t="str">
        <f t="shared" si="1"/>
        <v>https://utrucking.myshopify.com/admin/orders?query=16884</v>
      </c>
    </row>
    <row r="1688">
      <c r="A1688" s="93" t="str">
        <f t="shared" si="2"/>
        <v>#16885</v>
      </c>
      <c r="B1688" s="93" t="str">
        <f>IF(COUNTIF(MAIN!B:B, A1688)=0, "Missing", "")</f>
        <v>Missing</v>
      </c>
      <c r="C1688" s="84" t="s">
        <v>15239</v>
      </c>
      <c r="E1688" s="131" t="str">
        <f t="shared" si="1"/>
        <v>https://utrucking.myshopify.com/admin/orders?query=16885</v>
      </c>
    </row>
    <row r="1689">
      <c r="A1689" s="93" t="str">
        <f t="shared" si="2"/>
        <v>#16886</v>
      </c>
      <c r="B1689" s="93" t="str">
        <f>IF(COUNTIF(MAIN!B:B, A1689)=0, "Missing", "")</f>
        <v>Missing</v>
      </c>
      <c r="C1689" s="84" t="s">
        <v>15239</v>
      </c>
      <c r="E1689" s="131" t="str">
        <f t="shared" si="1"/>
        <v>https://utrucking.myshopify.com/admin/orders?query=16886</v>
      </c>
    </row>
    <row r="1690">
      <c r="A1690" s="93" t="str">
        <f t="shared" si="2"/>
        <v>#16887</v>
      </c>
      <c r="B1690" s="93" t="str">
        <f>IF(COUNTIF(MAIN!B:B, A1690)=0, "Missing", "")</f>
        <v>Missing</v>
      </c>
      <c r="C1690" s="84" t="s">
        <v>15239</v>
      </c>
      <c r="E1690" s="131" t="str">
        <f t="shared" si="1"/>
        <v>https://utrucking.myshopify.com/admin/orders?query=16887</v>
      </c>
    </row>
    <row r="1691">
      <c r="A1691" s="93" t="str">
        <f t="shared" si="2"/>
        <v>#16888</v>
      </c>
      <c r="B1691" s="93" t="str">
        <f>IF(COUNTIF(MAIN!B:B, A1691)=0, "Missing", "")</f>
        <v>Missing</v>
      </c>
      <c r="C1691" s="84" t="s">
        <v>15239</v>
      </c>
      <c r="E1691" s="131" t="str">
        <f t="shared" si="1"/>
        <v>https://utrucking.myshopify.com/admin/orders?query=16888</v>
      </c>
    </row>
    <row r="1692">
      <c r="A1692" s="93" t="str">
        <f t="shared" si="2"/>
        <v>#16889</v>
      </c>
      <c r="B1692" s="93" t="str">
        <f>IF(COUNTIF(MAIN!B:B, A1692)=0, "Missing", "")</f>
        <v>Missing</v>
      </c>
      <c r="C1692" s="84" t="s">
        <v>15239</v>
      </c>
      <c r="E1692" s="131" t="str">
        <f t="shared" si="1"/>
        <v>https://utrucking.myshopify.com/admin/orders?query=16889</v>
      </c>
    </row>
    <row r="1693">
      <c r="A1693" s="93" t="str">
        <f t="shared" si="2"/>
        <v>#16890</v>
      </c>
      <c r="B1693" s="93" t="str">
        <f>IF(COUNTIF(MAIN!B:B, A1693)=0, "Missing", "")</f>
        <v>Missing</v>
      </c>
      <c r="C1693" s="84" t="s">
        <v>15239</v>
      </c>
      <c r="E1693" s="131" t="str">
        <f t="shared" si="1"/>
        <v>https://utrucking.myshopify.com/admin/orders?query=16890</v>
      </c>
    </row>
    <row r="1694">
      <c r="A1694" s="93" t="str">
        <f t="shared" si="2"/>
        <v>#16891</v>
      </c>
      <c r="B1694" s="93" t="str">
        <f>IF(COUNTIF(MAIN!B:B, A1694)=0, "Missing", "")</f>
        <v>Missing</v>
      </c>
      <c r="C1694" s="84" t="s">
        <v>15239</v>
      </c>
      <c r="E1694" s="131" t="str">
        <f t="shared" si="1"/>
        <v>https://utrucking.myshopify.com/admin/orders?query=16891</v>
      </c>
    </row>
    <row r="1695">
      <c r="A1695" s="93" t="str">
        <f t="shared" si="2"/>
        <v>#16892</v>
      </c>
      <c r="B1695" s="93" t="str">
        <f>IF(COUNTIF(MAIN!B:B, A1695)=0, "Missing", "")</f>
        <v>Missing</v>
      </c>
      <c r="C1695" s="84" t="s">
        <v>15239</v>
      </c>
      <c r="E1695" s="131" t="str">
        <f t="shared" si="1"/>
        <v>https://utrucking.myshopify.com/admin/orders?query=16892</v>
      </c>
    </row>
    <row r="1696">
      <c r="A1696" s="93" t="str">
        <f t="shared" si="2"/>
        <v>#16893</v>
      </c>
      <c r="B1696" s="93" t="str">
        <f>IF(COUNTIF(MAIN!B:B, A1696)=0, "Missing", "")</f>
        <v>Missing</v>
      </c>
      <c r="C1696" s="84" t="s">
        <v>15239</v>
      </c>
      <c r="E1696" s="131" t="str">
        <f t="shared" si="1"/>
        <v>https://utrucking.myshopify.com/admin/orders?query=16893</v>
      </c>
    </row>
    <row r="1697">
      <c r="A1697" s="93" t="str">
        <f t="shared" si="2"/>
        <v>#16894</v>
      </c>
      <c r="B1697" s="93" t="str">
        <f>IF(COUNTIF(MAIN!B:B, A1697)=0, "Missing", "")</f>
        <v>Missing</v>
      </c>
      <c r="C1697" s="84" t="s">
        <v>15239</v>
      </c>
      <c r="E1697" s="131" t="str">
        <f t="shared" si="1"/>
        <v>https://utrucking.myshopify.com/admin/orders?query=16894</v>
      </c>
    </row>
    <row r="1698">
      <c r="A1698" s="93" t="str">
        <f t="shared" si="2"/>
        <v>#16895</v>
      </c>
      <c r="B1698" s="93" t="str">
        <f>IF(COUNTIF(MAIN!B:B, A1698)=0, "Missing", "")</f>
        <v>Missing</v>
      </c>
      <c r="C1698" s="84" t="s">
        <v>15239</v>
      </c>
      <c r="E1698" s="131" t="str">
        <f t="shared" si="1"/>
        <v>https://utrucking.myshopify.com/admin/orders?query=16895</v>
      </c>
    </row>
    <row r="1699">
      <c r="A1699" s="93" t="str">
        <f t="shared" si="2"/>
        <v>#16896</v>
      </c>
      <c r="B1699" s="93" t="str">
        <f>IF(COUNTIF(MAIN!B:B, A1699)=0, "Missing", "")</f>
        <v>Missing</v>
      </c>
      <c r="C1699" s="84" t="s">
        <v>15239</v>
      </c>
      <c r="E1699" s="131" t="str">
        <f t="shared" si="1"/>
        <v>https://utrucking.myshopify.com/admin/orders?query=16896</v>
      </c>
    </row>
    <row r="1700">
      <c r="A1700" s="93" t="str">
        <f t="shared" si="2"/>
        <v>#16897</v>
      </c>
      <c r="B1700" s="93" t="str">
        <f>IF(COUNTIF(MAIN!B:B, A1700)=0, "Missing", "")</f>
        <v>Missing</v>
      </c>
      <c r="C1700" s="84" t="s">
        <v>15239</v>
      </c>
      <c r="E1700" s="131" t="str">
        <f t="shared" si="1"/>
        <v>https://utrucking.myshopify.com/admin/orders?query=16897</v>
      </c>
    </row>
    <row r="1701">
      <c r="A1701" s="93" t="str">
        <f t="shared" si="2"/>
        <v>#16898</v>
      </c>
      <c r="B1701" s="93" t="str">
        <f>IF(COUNTIF(MAIN!B:B, A1701)=0, "Missing", "")</f>
        <v>Missing</v>
      </c>
      <c r="C1701" s="84" t="s">
        <v>15239</v>
      </c>
      <c r="E1701" s="131" t="str">
        <f t="shared" si="1"/>
        <v>https://utrucking.myshopify.com/admin/orders?query=16898</v>
      </c>
    </row>
    <row r="1702">
      <c r="A1702" s="93" t="str">
        <f t="shared" si="2"/>
        <v>#16899</v>
      </c>
      <c r="B1702" s="93" t="str">
        <f>IF(COUNTIF(MAIN!B:B, A1702)=0, "Missing", "")</f>
        <v>Missing</v>
      </c>
      <c r="C1702" s="84" t="s">
        <v>15239</v>
      </c>
      <c r="E1702" s="131" t="str">
        <f t="shared" si="1"/>
        <v>https://utrucking.myshopify.com/admin/orders?query=16899</v>
      </c>
    </row>
    <row r="1703">
      <c r="A1703" s="93" t="str">
        <f t="shared" si="2"/>
        <v>#16900</v>
      </c>
      <c r="B1703" s="93" t="str">
        <f>IF(COUNTIF(MAIN!B:B, A1703)=0, "Missing", "")</f>
        <v>Missing</v>
      </c>
      <c r="C1703" s="84" t="s">
        <v>15239</v>
      </c>
      <c r="E1703" s="131" t="str">
        <f t="shared" si="1"/>
        <v>https://utrucking.myshopify.com/admin/orders?query=16900</v>
      </c>
    </row>
    <row r="1704">
      <c r="A1704" s="93" t="str">
        <f t="shared" si="2"/>
        <v>#16901</v>
      </c>
      <c r="B1704" s="93" t="str">
        <f>IF(COUNTIF(MAIN!B:B, A1704)=0, "Missing", "")</f>
        <v>Missing</v>
      </c>
      <c r="C1704" s="84" t="s">
        <v>15239</v>
      </c>
      <c r="E1704" s="131" t="str">
        <f t="shared" si="1"/>
        <v>https://utrucking.myshopify.com/admin/orders?query=16901</v>
      </c>
    </row>
    <row r="1705">
      <c r="A1705" s="93" t="str">
        <f t="shared" si="2"/>
        <v>#16902</v>
      </c>
      <c r="B1705" s="93" t="str">
        <f>IF(COUNTIF(MAIN!B:B, A1705)=0, "Missing", "")</f>
        <v>Missing</v>
      </c>
      <c r="C1705" s="84" t="s">
        <v>15239</v>
      </c>
      <c r="E1705" s="131" t="str">
        <f t="shared" si="1"/>
        <v>https://utrucking.myshopify.com/admin/orders?query=16902</v>
      </c>
    </row>
    <row r="1706">
      <c r="A1706" s="93" t="str">
        <f t="shared" si="2"/>
        <v>#16903</v>
      </c>
      <c r="B1706" s="93" t="str">
        <f>IF(COUNTIF(MAIN!B:B, A1706)=0, "Missing", "")</f>
        <v>Missing</v>
      </c>
      <c r="C1706" s="84" t="s">
        <v>15239</v>
      </c>
      <c r="E1706" s="131" t="str">
        <f t="shared" si="1"/>
        <v>https://utrucking.myshopify.com/admin/orders?query=16903</v>
      </c>
    </row>
    <row r="1707">
      <c r="A1707" s="93" t="str">
        <f t="shared" si="2"/>
        <v>#16904</v>
      </c>
      <c r="B1707" s="93" t="str">
        <f>IF(COUNTIF(MAIN!B:B, A1707)=0, "Missing", "")</f>
        <v>Missing</v>
      </c>
      <c r="C1707" s="84" t="s">
        <v>15239</v>
      </c>
      <c r="E1707" s="131" t="str">
        <f t="shared" si="1"/>
        <v>https://utrucking.myshopify.com/admin/orders?query=16904</v>
      </c>
    </row>
    <row r="1708">
      <c r="A1708" s="93" t="str">
        <f t="shared" si="2"/>
        <v>#16905</v>
      </c>
      <c r="B1708" s="93" t="str">
        <f>IF(COUNTIF(MAIN!B:B, A1708)=0, "Missing", "")</f>
        <v>Missing</v>
      </c>
      <c r="C1708" s="84" t="s">
        <v>15239</v>
      </c>
      <c r="E1708" s="131" t="str">
        <f t="shared" si="1"/>
        <v>https://utrucking.myshopify.com/admin/orders?query=16905</v>
      </c>
    </row>
    <row r="1709">
      <c r="A1709" s="93" t="str">
        <f t="shared" si="2"/>
        <v>#16906</v>
      </c>
      <c r="B1709" s="93" t="str">
        <f>IF(COUNTIF(MAIN!B:B, A1709)=0, "Missing", "")</f>
        <v>Missing</v>
      </c>
      <c r="C1709" s="84" t="s">
        <v>15239</v>
      </c>
      <c r="E1709" s="131" t="str">
        <f t="shared" si="1"/>
        <v>https://utrucking.myshopify.com/admin/orders?query=16906</v>
      </c>
    </row>
    <row r="1710">
      <c r="A1710" s="93" t="str">
        <f t="shared" si="2"/>
        <v>#16907</v>
      </c>
      <c r="B1710" s="93" t="str">
        <f>IF(COUNTIF(MAIN!B:B, A1710)=0, "Missing", "")</f>
        <v>Missing</v>
      </c>
      <c r="C1710" s="84" t="s">
        <v>15239</v>
      </c>
      <c r="E1710" s="131" t="str">
        <f t="shared" si="1"/>
        <v>https://utrucking.myshopify.com/admin/orders?query=16907</v>
      </c>
    </row>
    <row r="1711">
      <c r="A1711" s="93" t="str">
        <f t="shared" si="2"/>
        <v>#16908</v>
      </c>
      <c r="B1711" s="93" t="str">
        <f>IF(COUNTIF(MAIN!B:B, A1711)=0, "Missing", "")</f>
        <v>Missing</v>
      </c>
      <c r="C1711" s="84" t="s">
        <v>15239</v>
      </c>
      <c r="E1711" s="131" t="str">
        <f t="shared" si="1"/>
        <v>https://utrucking.myshopify.com/admin/orders?query=16908</v>
      </c>
    </row>
    <row r="1712">
      <c r="A1712" s="93" t="str">
        <f t="shared" si="2"/>
        <v>#16909</v>
      </c>
      <c r="B1712" s="93" t="str">
        <f>IF(COUNTIF(MAIN!B:B, A1712)=0, "Missing", "")</f>
        <v>Missing</v>
      </c>
      <c r="C1712" s="84" t="s">
        <v>15239</v>
      </c>
      <c r="E1712" s="131" t="str">
        <f t="shared" si="1"/>
        <v>https://utrucking.myshopify.com/admin/orders?query=16909</v>
      </c>
    </row>
    <row r="1713">
      <c r="A1713" s="93" t="str">
        <f t="shared" si="2"/>
        <v>#16910</v>
      </c>
      <c r="B1713" s="93" t="str">
        <f>IF(COUNTIF(MAIN!B:B, A1713)=0, "Missing", "")</f>
        <v>Missing</v>
      </c>
      <c r="C1713" s="84" t="s">
        <v>15239</v>
      </c>
      <c r="E1713" s="131" t="str">
        <f t="shared" si="1"/>
        <v>https://utrucking.myshopify.com/admin/orders?query=16910</v>
      </c>
    </row>
    <row r="1714">
      <c r="A1714" s="93" t="str">
        <f t="shared" si="2"/>
        <v>#16911</v>
      </c>
      <c r="B1714" s="93" t="str">
        <f>IF(COUNTIF(MAIN!B:B, A1714)=0, "Missing", "")</f>
        <v>Missing</v>
      </c>
      <c r="C1714" s="84" t="s">
        <v>15239</v>
      </c>
      <c r="E1714" s="131" t="str">
        <f t="shared" si="1"/>
        <v>https://utrucking.myshopify.com/admin/orders?query=16911</v>
      </c>
    </row>
    <row r="1715">
      <c r="A1715" s="93" t="str">
        <f t="shared" si="2"/>
        <v>#16912</v>
      </c>
      <c r="B1715" s="93" t="str">
        <f>IF(COUNTIF(MAIN!B:B, A1715)=0, "Missing", "")</f>
        <v>Missing</v>
      </c>
      <c r="C1715" s="84" t="s">
        <v>15239</v>
      </c>
      <c r="E1715" s="131" t="str">
        <f t="shared" si="1"/>
        <v>https://utrucking.myshopify.com/admin/orders?query=16912</v>
      </c>
    </row>
    <row r="1716">
      <c r="A1716" s="93" t="str">
        <f t="shared" si="2"/>
        <v>#16913</v>
      </c>
      <c r="B1716" s="93" t="str">
        <f>IF(COUNTIF(MAIN!B:B, A1716)=0, "Missing", "")</f>
        <v>Missing</v>
      </c>
      <c r="C1716" s="84" t="s">
        <v>15239</v>
      </c>
      <c r="E1716" s="131" t="str">
        <f t="shared" si="1"/>
        <v>https://utrucking.myshopify.com/admin/orders?query=16913</v>
      </c>
    </row>
    <row r="1717">
      <c r="A1717" s="93" t="str">
        <f t="shared" si="2"/>
        <v>#16914</v>
      </c>
      <c r="B1717" s="93" t="str">
        <f>IF(COUNTIF(MAIN!B:B, A1717)=0, "Missing", "")</f>
        <v>Missing</v>
      </c>
      <c r="C1717" s="84" t="s">
        <v>15239</v>
      </c>
      <c r="E1717" s="131" t="str">
        <f t="shared" si="1"/>
        <v>https://utrucking.myshopify.com/admin/orders?query=16914</v>
      </c>
    </row>
    <row r="1718">
      <c r="A1718" s="93" t="str">
        <f t="shared" si="2"/>
        <v>#16915</v>
      </c>
      <c r="B1718" s="93" t="str">
        <f>IF(COUNTIF(MAIN!B:B, A1718)=0, "Missing", "")</f>
        <v>Missing</v>
      </c>
      <c r="C1718" s="84" t="s">
        <v>15239</v>
      </c>
      <c r="E1718" s="131" t="str">
        <f t="shared" si="1"/>
        <v>https://utrucking.myshopify.com/admin/orders?query=16915</v>
      </c>
    </row>
    <row r="1719">
      <c r="A1719" s="93" t="str">
        <f t="shared" si="2"/>
        <v>#16916</v>
      </c>
      <c r="B1719" s="93" t="str">
        <f>IF(COUNTIF(MAIN!B:B, A1719)=0, "Missing", "")</f>
        <v>Missing</v>
      </c>
      <c r="C1719" s="84" t="s">
        <v>15239</v>
      </c>
      <c r="E1719" s="131" t="str">
        <f t="shared" si="1"/>
        <v>https://utrucking.myshopify.com/admin/orders?query=16916</v>
      </c>
    </row>
    <row r="1720">
      <c r="A1720" s="93" t="str">
        <f t="shared" si="2"/>
        <v>#16917</v>
      </c>
      <c r="B1720" s="93" t="str">
        <f>IF(COUNTIF(MAIN!B:B, A1720)=0, "Missing", "")</f>
        <v>Missing</v>
      </c>
      <c r="C1720" s="84" t="s">
        <v>15239</v>
      </c>
      <c r="E1720" s="131" t="str">
        <f t="shared" si="1"/>
        <v>https://utrucking.myshopify.com/admin/orders?query=16917</v>
      </c>
    </row>
    <row r="1721">
      <c r="A1721" s="93" t="str">
        <f t="shared" si="2"/>
        <v>#16918</v>
      </c>
      <c r="B1721" s="93" t="str">
        <f>IF(COUNTIF(MAIN!B:B, A1721)=0, "Missing", "")</f>
        <v>Missing</v>
      </c>
      <c r="C1721" s="84" t="s">
        <v>15239</v>
      </c>
      <c r="E1721" s="131" t="str">
        <f t="shared" si="1"/>
        <v>https://utrucking.myshopify.com/admin/orders?query=16918</v>
      </c>
    </row>
    <row r="1722">
      <c r="A1722" s="93" t="str">
        <f t="shared" si="2"/>
        <v>#16919</v>
      </c>
      <c r="B1722" s="93" t="str">
        <f>IF(COUNTIF(MAIN!B:B, A1722)=0, "Missing", "")</f>
        <v>Missing</v>
      </c>
      <c r="C1722" s="84" t="s">
        <v>15239</v>
      </c>
      <c r="E1722" s="131" t="str">
        <f t="shared" si="1"/>
        <v>https://utrucking.myshopify.com/admin/orders?query=16919</v>
      </c>
    </row>
    <row r="1723">
      <c r="A1723" s="93" t="str">
        <f t="shared" si="2"/>
        <v>#16920</v>
      </c>
      <c r="B1723" s="93" t="str">
        <f>IF(COUNTIF(MAIN!B:B, A1723)=0, "Missing", "")</f>
        <v>Missing</v>
      </c>
      <c r="C1723" s="84" t="s">
        <v>15239</v>
      </c>
      <c r="E1723" s="131" t="str">
        <f t="shared" si="1"/>
        <v>https://utrucking.myshopify.com/admin/orders?query=16920</v>
      </c>
    </row>
    <row r="1724">
      <c r="A1724" s="93" t="str">
        <f t="shared" si="2"/>
        <v>#16921</v>
      </c>
      <c r="B1724" s="93" t="str">
        <f>IF(COUNTIF(MAIN!B:B, A1724)=0, "Missing", "")</f>
        <v>Missing</v>
      </c>
      <c r="C1724" s="84" t="s">
        <v>15239</v>
      </c>
      <c r="E1724" s="131" t="str">
        <f t="shared" si="1"/>
        <v>https://utrucking.myshopify.com/admin/orders?query=16921</v>
      </c>
    </row>
    <row r="1725">
      <c r="A1725" s="93" t="str">
        <f t="shared" si="2"/>
        <v>#16922</v>
      </c>
      <c r="B1725" s="93" t="str">
        <f>IF(COUNTIF(MAIN!B:B, A1725)=0, "Missing", "")</f>
        <v>Missing</v>
      </c>
      <c r="C1725" s="84" t="s">
        <v>15239</v>
      </c>
      <c r="E1725" s="131" t="str">
        <f t="shared" si="1"/>
        <v>https://utrucking.myshopify.com/admin/orders?query=16922</v>
      </c>
    </row>
    <row r="1726">
      <c r="A1726" s="93" t="str">
        <f t="shared" si="2"/>
        <v>#16923</v>
      </c>
      <c r="B1726" s="93" t="str">
        <f>IF(COUNTIF(MAIN!B:B, A1726)=0, "Missing", "")</f>
        <v>Missing</v>
      </c>
      <c r="C1726" s="84" t="s">
        <v>15239</v>
      </c>
      <c r="E1726" s="131" t="str">
        <f t="shared" si="1"/>
        <v>https://utrucking.myshopify.com/admin/orders?query=16923</v>
      </c>
    </row>
    <row r="1727">
      <c r="A1727" s="93" t="str">
        <f t="shared" si="2"/>
        <v>#16924</v>
      </c>
      <c r="B1727" s="93" t="str">
        <f>IF(COUNTIF(MAIN!B:B, A1727)=0, "Missing", "")</f>
        <v>Missing</v>
      </c>
      <c r="C1727" s="84" t="s">
        <v>15239</v>
      </c>
      <c r="E1727" s="131" t="str">
        <f t="shared" si="1"/>
        <v>https://utrucking.myshopify.com/admin/orders?query=16924</v>
      </c>
    </row>
    <row r="1728">
      <c r="A1728" s="93" t="str">
        <f t="shared" si="2"/>
        <v>#16925</v>
      </c>
      <c r="B1728" s="93" t="str">
        <f>IF(COUNTIF(MAIN!B:B, A1728)=0, "Missing", "")</f>
        <v>Missing</v>
      </c>
      <c r="C1728" s="84" t="s">
        <v>15239</v>
      </c>
      <c r="E1728" s="131" t="str">
        <f t="shared" si="1"/>
        <v>https://utrucking.myshopify.com/admin/orders?query=16925</v>
      </c>
    </row>
    <row r="1729">
      <c r="A1729" s="93" t="str">
        <f t="shared" si="2"/>
        <v>#16926</v>
      </c>
      <c r="B1729" s="93" t="str">
        <f>IF(COUNTIF(MAIN!B:B, A1729)=0, "Missing", "")</f>
        <v>Missing</v>
      </c>
      <c r="C1729" s="84" t="s">
        <v>15239</v>
      </c>
      <c r="E1729" s="131" t="str">
        <f t="shared" si="1"/>
        <v>https://utrucking.myshopify.com/admin/orders?query=16926</v>
      </c>
    </row>
    <row r="1730">
      <c r="A1730" s="93" t="str">
        <f t="shared" si="2"/>
        <v>#16927</v>
      </c>
      <c r="B1730" s="93" t="str">
        <f>IF(COUNTIF(MAIN!B:B, A1730)=0, "Missing", "")</f>
        <v>Missing</v>
      </c>
      <c r="C1730" s="84" t="s">
        <v>15239</v>
      </c>
      <c r="E1730" s="131" t="str">
        <f t="shared" si="1"/>
        <v>https://utrucking.myshopify.com/admin/orders?query=16927</v>
      </c>
    </row>
    <row r="1731">
      <c r="A1731" s="93" t="str">
        <f t="shared" si="2"/>
        <v>#16928</v>
      </c>
      <c r="B1731" s="93" t="str">
        <f>IF(COUNTIF(MAIN!B:B, A1731)=0, "Missing", "")</f>
        <v>Missing</v>
      </c>
      <c r="C1731" s="84" t="s">
        <v>15239</v>
      </c>
      <c r="E1731" s="131" t="str">
        <f t="shared" si="1"/>
        <v>https://utrucking.myshopify.com/admin/orders?query=16928</v>
      </c>
    </row>
    <row r="1732">
      <c r="A1732" s="93" t="str">
        <f t="shared" si="2"/>
        <v>#16929</v>
      </c>
      <c r="B1732" s="93" t="str">
        <f>IF(COUNTIF(MAIN!B:B, A1732)=0, "Missing", "")</f>
        <v>Missing</v>
      </c>
      <c r="C1732" s="84" t="s">
        <v>15239</v>
      </c>
      <c r="E1732" s="131" t="str">
        <f t="shared" si="1"/>
        <v>https://utrucking.myshopify.com/admin/orders?query=16929</v>
      </c>
    </row>
    <row r="1733">
      <c r="A1733" s="93" t="str">
        <f t="shared" si="2"/>
        <v>#16930</v>
      </c>
      <c r="B1733" s="93" t="str">
        <f>IF(COUNTIF(MAIN!B:B, A1733)=0, "Missing", "")</f>
        <v>Missing</v>
      </c>
      <c r="C1733" s="84" t="s">
        <v>15239</v>
      </c>
      <c r="E1733" s="131" t="str">
        <f t="shared" si="1"/>
        <v>https://utrucking.myshopify.com/admin/orders?query=16930</v>
      </c>
    </row>
    <row r="1734">
      <c r="A1734" s="93" t="str">
        <f t="shared" si="2"/>
        <v>#16931</v>
      </c>
      <c r="B1734" s="93" t="str">
        <f>IF(COUNTIF(MAIN!B:B, A1734)=0, "Missing", "")</f>
        <v>Missing</v>
      </c>
      <c r="C1734" s="84" t="s">
        <v>15239</v>
      </c>
      <c r="E1734" s="131" t="str">
        <f t="shared" si="1"/>
        <v>https://utrucking.myshopify.com/admin/orders?query=16931</v>
      </c>
    </row>
    <row r="1735">
      <c r="A1735" s="93" t="str">
        <f t="shared" si="2"/>
        <v>#16932</v>
      </c>
      <c r="B1735" s="93" t="str">
        <f>IF(COUNTIF(MAIN!B:B, A1735)=0, "Missing", "")</f>
        <v>Missing</v>
      </c>
      <c r="C1735" s="84" t="s">
        <v>15239</v>
      </c>
      <c r="E1735" s="131" t="str">
        <f t="shared" si="1"/>
        <v>https://utrucking.myshopify.com/admin/orders?query=16932</v>
      </c>
    </row>
    <row r="1736">
      <c r="A1736" s="93" t="str">
        <f t="shared" si="2"/>
        <v>#16933</v>
      </c>
      <c r="B1736" s="93" t="str">
        <f>IF(COUNTIF(MAIN!B:B, A1736)=0, "Missing", "")</f>
        <v>Missing</v>
      </c>
      <c r="C1736" s="84" t="s">
        <v>15239</v>
      </c>
      <c r="E1736" s="131" t="str">
        <f t="shared" si="1"/>
        <v>https://utrucking.myshopify.com/admin/orders?query=16933</v>
      </c>
    </row>
    <row r="1737">
      <c r="A1737" s="93" t="str">
        <f t="shared" si="2"/>
        <v>#16934</v>
      </c>
      <c r="B1737" s="93" t="str">
        <f>IF(COUNTIF(MAIN!B:B, A1737)=0, "Missing", "")</f>
        <v>Missing</v>
      </c>
      <c r="C1737" s="84" t="s">
        <v>15239</v>
      </c>
      <c r="E1737" s="131" t="str">
        <f t="shared" si="1"/>
        <v>https://utrucking.myshopify.com/admin/orders?query=16934</v>
      </c>
    </row>
    <row r="1738">
      <c r="A1738" s="93" t="str">
        <f t="shared" si="2"/>
        <v>#16935</v>
      </c>
      <c r="B1738" s="93" t="str">
        <f>IF(COUNTIF(MAIN!B:B, A1738)=0, "Missing", "")</f>
        <v>Missing</v>
      </c>
      <c r="C1738" s="84" t="s">
        <v>15239</v>
      </c>
      <c r="E1738" s="131" t="str">
        <f t="shared" si="1"/>
        <v>https://utrucking.myshopify.com/admin/orders?query=16935</v>
      </c>
    </row>
    <row r="1739">
      <c r="A1739" s="93" t="str">
        <f t="shared" si="2"/>
        <v>#16936</v>
      </c>
      <c r="B1739" s="93" t="str">
        <f>IF(COUNTIF(MAIN!B:B, A1739)=0, "Missing", "")</f>
        <v>Missing</v>
      </c>
      <c r="C1739" s="84" t="s">
        <v>15239</v>
      </c>
      <c r="E1739" s="131" t="str">
        <f t="shared" si="1"/>
        <v>https://utrucking.myshopify.com/admin/orders?query=16936</v>
      </c>
    </row>
    <row r="1740">
      <c r="A1740" s="93" t="str">
        <f t="shared" si="2"/>
        <v>#16937</v>
      </c>
      <c r="B1740" s="93" t="str">
        <f>IF(COUNTIF(MAIN!B:B, A1740)=0, "Missing", "")</f>
        <v>Missing</v>
      </c>
      <c r="C1740" s="84" t="s">
        <v>15239</v>
      </c>
      <c r="E1740" s="131" t="str">
        <f t="shared" si="1"/>
        <v>https://utrucking.myshopify.com/admin/orders?query=16937</v>
      </c>
    </row>
    <row r="1741">
      <c r="A1741" s="93" t="str">
        <f t="shared" si="2"/>
        <v>#16938</v>
      </c>
      <c r="B1741" s="93" t="str">
        <f>IF(COUNTIF(MAIN!B:B, A1741)=0, "Missing", "")</f>
        <v>Missing</v>
      </c>
      <c r="C1741" s="84" t="s">
        <v>15239</v>
      </c>
      <c r="E1741" s="131" t="str">
        <f t="shared" si="1"/>
        <v>https://utrucking.myshopify.com/admin/orders?query=16938</v>
      </c>
    </row>
    <row r="1742">
      <c r="A1742" s="93" t="str">
        <f t="shared" si="2"/>
        <v>#16939</v>
      </c>
      <c r="B1742" s="93" t="str">
        <f>IF(COUNTIF(MAIN!B:B, A1742)=0, "Missing", "")</f>
        <v>Missing</v>
      </c>
      <c r="C1742" s="84" t="s">
        <v>15239</v>
      </c>
      <c r="E1742" s="131" t="str">
        <f t="shared" si="1"/>
        <v>https://utrucking.myshopify.com/admin/orders?query=16939</v>
      </c>
    </row>
    <row r="1743">
      <c r="A1743" s="93" t="str">
        <f t="shared" si="2"/>
        <v>#16940</v>
      </c>
      <c r="B1743" s="93" t="str">
        <f>IF(COUNTIF(MAIN!B:B, A1743)=0, "Missing", "")</f>
        <v>Missing</v>
      </c>
      <c r="C1743" s="84" t="s">
        <v>15239</v>
      </c>
      <c r="E1743" s="131" t="str">
        <f t="shared" si="1"/>
        <v>https://utrucking.myshopify.com/admin/orders?query=16940</v>
      </c>
    </row>
    <row r="1744">
      <c r="A1744" s="93" t="str">
        <f t="shared" si="2"/>
        <v>#16941</v>
      </c>
      <c r="B1744" s="93" t="str">
        <f>IF(COUNTIF(MAIN!B:B, A1744)=0, "Missing", "")</f>
        <v>Missing</v>
      </c>
      <c r="C1744" s="84" t="s">
        <v>15239</v>
      </c>
      <c r="E1744" s="131" t="str">
        <f t="shared" si="1"/>
        <v>https://utrucking.myshopify.com/admin/orders?query=16941</v>
      </c>
    </row>
    <row r="1745">
      <c r="A1745" s="93" t="str">
        <f t="shared" si="2"/>
        <v>#16942</v>
      </c>
      <c r="B1745" s="93" t="str">
        <f>IF(COUNTIF(MAIN!B:B, A1745)=0, "Missing", "")</f>
        <v>Missing</v>
      </c>
      <c r="C1745" s="84" t="s">
        <v>15239</v>
      </c>
      <c r="E1745" s="131" t="str">
        <f t="shared" si="1"/>
        <v>https://utrucking.myshopify.com/admin/orders?query=16942</v>
      </c>
    </row>
    <row r="1746">
      <c r="A1746" s="93" t="str">
        <f t="shared" si="2"/>
        <v>#16943</v>
      </c>
      <c r="B1746" s="93" t="str">
        <f>IF(COUNTIF(MAIN!B:B, A1746)=0, "Missing", "")</f>
        <v>Missing</v>
      </c>
      <c r="C1746" s="84" t="s">
        <v>15239</v>
      </c>
      <c r="E1746" s="131" t="str">
        <f t="shared" si="1"/>
        <v>https://utrucking.myshopify.com/admin/orders?query=16943</v>
      </c>
    </row>
    <row r="1747">
      <c r="A1747" s="93" t="str">
        <f t="shared" si="2"/>
        <v>#16944</v>
      </c>
      <c r="B1747" s="93" t="str">
        <f>IF(COUNTIF(MAIN!B:B, A1747)=0, "Missing", "")</f>
        <v>Missing</v>
      </c>
      <c r="C1747" s="84" t="s">
        <v>15239</v>
      </c>
      <c r="E1747" s="131" t="str">
        <f t="shared" si="1"/>
        <v>https://utrucking.myshopify.com/admin/orders?query=16944</v>
      </c>
    </row>
    <row r="1748">
      <c r="A1748" s="93" t="str">
        <f t="shared" si="2"/>
        <v>#16945</v>
      </c>
      <c r="B1748" s="93" t="str">
        <f>IF(COUNTIF(MAIN!B:B, A1748)=0, "Missing", "")</f>
        <v/>
      </c>
      <c r="E1748" s="128" t="str">
        <f t="shared" si="1"/>
        <v/>
      </c>
    </row>
    <row r="1749">
      <c r="A1749" s="93" t="str">
        <f t="shared" si="2"/>
        <v>#16946</v>
      </c>
      <c r="B1749" s="93" t="str">
        <f>IF(COUNTIF(MAIN!B:B, A1749)=0, "Missing", "")</f>
        <v>Missing</v>
      </c>
      <c r="C1749" s="84" t="s">
        <v>15239</v>
      </c>
      <c r="E1749" s="131" t="str">
        <f t="shared" si="1"/>
        <v>https://utrucking.myshopify.com/admin/orders?query=16946</v>
      </c>
    </row>
    <row r="1750">
      <c r="A1750" s="93" t="str">
        <f t="shared" si="2"/>
        <v>#16947</v>
      </c>
      <c r="B1750" s="93" t="str">
        <f>IF(COUNTIF(MAIN!B:B, A1750)=0, "Missing", "")</f>
        <v>Missing</v>
      </c>
      <c r="C1750" s="84" t="s">
        <v>15239</v>
      </c>
      <c r="E1750" s="131" t="str">
        <f t="shared" si="1"/>
        <v>https://utrucking.myshopify.com/admin/orders?query=16947</v>
      </c>
    </row>
    <row r="1751">
      <c r="A1751" s="93" t="str">
        <f t="shared" si="2"/>
        <v>#16948</v>
      </c>
      <c r="B1751" s="93" t="str">
        <f>IF(COUNTIF(MAIN!B:B, A1751)=0, "Missing", "")</f>
        <v>Missing</v>
      </c>
      <c r="C1751" s="84" t="s">
        <v>15239</v>
      </c>
      <c r="E1751" s="131" t="str">
        <f t="shared" si="1"/>
        <v>https://utrucking.myshopify.com/admin/orders?query=16948</v>
      </c>
    </row>
    <row r="1752">
      <c r="A1752" s="93" t="str">
        <f t="shared" si="2"/>
        <v>#16949</v>
      </c>
      <c r="B1752" s="93" t="str">
        <f>IF(COUNTIF(MAIN!B:B, A1752)=0, "Missing", "")</f>
        <v>Missing</v>
      </c>
      <c r="C1752" s="84" t="s">
        <v>15239</v>
      </c>
      <c r="E1752" s="131" t="str">
        <f t="shared" si="1"/>
        <v>https://utrucking.myshopify.com/admin/orders?query=16949</v>
      </c>
    </row>
    <row r="1753">
      <c r="A1753" s="93" t="str">
        <f t="shared" si="2"/>
        <v>#16950</v>
      </c>
      <c r="B1753" s="93" t="str">
        <f>IF(COUNTIF(MAIN!B:B, A1753)=0, "Missing", "")</f>
        <v>Missing</v>
      </c>
      <c r="C1753" s="84" t="s">
        <v>15239</v>
      </c>
      <c r="E1753" s="131" t="str">
        <f t="shared" si="1"/>
        <v>https://utrucking.myshopify.com/admin/orders?query=16950</v>
      </c>
    </row>
    <row r="1754">
      <c r="A1754" s="93" t="str">
        <f t="shared" si="2"/>
        <v>#16951</v>
      </c>
      <c r="B1754" s="93" t="str">
        <f>IF(COUNTIF(MAIN!B:B, A1754)=0, "Missing", "")</f>
        <v>Missing</v>
      </c>
      <c r="C1754" s="84" t="s">
        <v>15239</v>
      </c>
      <c r="E1754" s="131" t="str">
        <f t="shared" si="1"/>
        <v>https://utrucking.myshopify.com/admin/orders?query=16951</v>
      </c>
    </row>
    <row r="1755">
      <c r="A1755" s="93" t="str">
        <f t="shared" si="2"/>
        <v>#16952</v>
      </c>
      <c r="B1755" s="93" t="str">
        <f>IF(COUNTIF(MAIN!B:B, A1755)=0, "Missing", "")</f>
        <v>Missing</v>
      </c>
      <c r="C1755" s="84" t="s">
        <v>15239</v>
      </c>
      <c r="E1755" s="131" t="str">
        <f t="shared" si="1"/>
        <v>https://utrucking.myshopify.com/admin/orders?query=16952</v>
      </c>
    </row>
    <row r="1756">
      <c r="A1756" s="93" t="str">
        <f t="shared" si="2"/>
        <v>#16953</v>
      </c>
      <c r="B1756" s="93" t="str">
        <f>IF(COUNTIF(MAIN!B:B, A1756)=0, "Missing", "")</f>
        <v>Missing</v>
      </c>
      <c r="C1756" s="84" t="s">
        <v>15239</v>
      </c>
      <c r="E1756" s="131" t="str">
        <f t="shared" si="1"/>
        <v>https://utrucking.myshopify.com/admin/orders?query=16953</v>
      </c>
    </row>
    <row r="1757">
      <c r="A1757" s="93" t="str">
        <f t="shared" si="2"/>
        <v>#16954</v>
      </c>
      <c r="B1757" s="93" t="str">
        <f>IF(COUNTIF(MAIN!B:B, A1757)=0, "Missing", "")</f>
        <v>Missing</v>
      </c>
      <c r="C1757" s="84" t="s">
        <v>15239</v>
      </c>
      <c r="E1757" s="131" t="str">
        <f t="shared" si="1"/>
        <v>https://utrucking.myshopify.com/admin/orders?query=16954</v>
      </c>
    </row>
    <row r="1758">
      <c r="A1758" s="93" t="str">
        <f t="shared" si="2"/>
        <v>#16955</v>
      </c>
      <c r="B1758" s="93" t="str">
        <f>IF(COUNTIF(MAIN!B:B, A1758)=0, "Missing", "")</f>
        <v>Missing</v>
      </c>
      <c r="C1758" s="84" t="s">
        <v>15239</v>
      </c>
      <c r="E1758" s="131" t="str">
        <f t="shared" si="1"/>
        <v>https://utrucking.myshopify.com/admin/orders?query=16955</v>
      </c>
    </row>
    <row r="1759">
      <c r="A1759" s="93" t="str">
        <f t="shared" si="2"/>
        <v>#16956</v>
      </c>
      <c r="B1759" s="93" t="str">
        <f>IF(COUNTIF(MAIN!B:B, A1759)=0, "Missing", "")</f>
        <v>Missing</v>
      </c>
      <c r="C1759" s="84" t="s">
        <v>15239</v>
      </c>
      <c r="E1759" s="131" t="str">
        <f t="shared" si="1"/>
        <v>https://utrucking.myshopify.com/admin/orders?query=16956</v>
      </c>
    </row>
    <row r="1760">
      <c r="A1760" s="93" t="str">
        <f t="shared" si="2"/>
        <v>#16957</v>
      </c>
      <c r="B1760" s="93" t="str">
        <f>IF(COUNTIF(MAIN!B:B, A1760)=0, "Missing", "")</f>
        <v>Missing</v>
      </c>
      <c r="C1760" s="84" t="s">
        <v>15239</v>
      </c>
      <c r="E1760" s="131" t="str">
        <f t="shared" si="1"/>
        <v>https://utrucking.myshopify.com/admin/orders?query=16957</v>
      </c>
    </row>
    <row r="1761">
      <c r="A1761" s="93" t="str">
        <f t="shared" si="2"/>
        <v>#16958</v>
      </c>
      <c r="B1761" s="93" t="str">
        <f>IF(COUNTIF(MAIN!B:B, A1761)=0, "Missing", "")</f>
        <v>Missing</v>
      </c>
      <c r="C1761" s="84" t="s">
        <v>15239</v>
      </c>
      <c r="E1761" s="131" t="str">
        <f t="shared" si="1"/>
        <v>https://utrucking.myshopify.com/admin/orders?query=16958</v>
      </c>
    </row>
    <row r="1762">
      <c r="A1762" s="93" t="str">
        <f t="shared" si="2"/>
        <v>#16959</v>
      </c>
      <c r="B1762" s="93" t="str">
        <f>IF(COUNTIF(MAIN!B:B, A1762)=0, "Missing", "")</f>
        <v>Missing</v>
      </c>
      <c r="C1762" s="84" t="s">
        <v>15239</v>
      </c>
      <c r="E1762" s="131" t="str">
        <f t="shared" si="1"/>
        <v>https://utrucking.myshopify.com/admin/orders?query=16959</v>
      </c>
    </row>
    <row r="1763">
      <c r="A1763" s="93" t="str">
        <f t="shared" si="2"/>
        <v>#16960</v>
      </c>
      <c r="B1763" s="93" t="str">
        <f>IF(COUNTIF(MAIN!B:B, A1763)=0, "Missing", "")</f>
        <v>Missing</v>
      </c>
      <c r="C1763" s="84" t="s">
        <v>15239</v>
      </c>
      <c r="E1763" s="131" t="str">
        <f t="shared" si="1"/>
        <v>https://utrucking.myshopify.com/admin/orders?query=16960</v>
      </c>
    </row>
    <row r="1764">
      <c r="A1764" s="93" t="str">
        <f t="shared" si="2"/>
        <v>#16961</v>
      </c>
      <c r="B1764" s="93" t="str">
        <f>IF(COUNTIF(MAIN!B:B, A1764)=0, "Missing", "")</f>
        <v>Missing</v>
      </c>
      <c r="C1764" s="84" t="s">
        <v>15239</v>
      </c>
      <c r="E1764" s="131" t="str">
        <f t="shared" si="1"/>
        <v>https://utrucking.myshopify.com/admin/orders?query=16961</v>
      </c>
    </row>
    <row r="1765">
      <c r="A1765" s="93" t="str">
        <f t="shared" si="2"/>
        <v>#16962</v>
      </c>
      <c r="B1765" s="93" t="str">
        <f>IF(COUNTIF(MAIN!B:B, A1765)=0, "Missing", "")</f>
        <v>Missing</v>
      </c>
      <c r="C1765" s="84" t="s">
        <v>15239</v>
      </c>
      <c r="E1765" s="131" t="str">
        <f t="shared" si="1"/>
        <v>https://utrucking.myshopify.com/admin/orders?query=16962</v>
      </c>
    </row>
    <row r="1766">
      <c r="A1766" s="93" t="str">
        <f t="shared" si="2"/>
        <v>#16963</v>
      </c>
      <c r="B1766" s="93" t="str">
        <f>IF(COUNTIF(MAIN!B:B, A1766)=0, "Missing", "")</f>
        <v>Missing</v>
      </c>
      <c r="C1766" s="84" t="s">
        <v>15239</v>
      </c>
      <c r="E1766" s="131" t="str">
        <f t="shared" si="1"/>
        <v>https://utrucking.myshopify.com/admin/orders?query=16963</v>
      </c>
    </row>
    <row r="1767">
      <c r="A1767" s="93" t="str">
        <f t="shared" si="2"/>
        <v>#16964</v>
      </c>
      <c r="B1767" s="93" t="str">
        <f>IF(COUNTIF(MAIN!B:B, A1767)=0, "Missing", "")</f>
        <v>Missing</v>
      </c>
      <c r="C1767" s="84" t="s">
        <v>15239</v>
      </c>
      <c r="E1767" s="131" t="str">
        <f t="shared" si="1"/>
        <v>https://utrucking.myshopify.com/admin/orders?query=16964</v>
      </c>
    </row>
    <row r="1768">
      <c r="A1768" s="93" t="str">
        <f t="shared" si="2"/>
        <v>#16965</v>
      </c>
      <c r="B1768" s="93" t="str">
        <f>IF(COUNTIF(MAIN!B:B, A1768)=0, "Missing", "")</f>
        <v>Missing</v>
      </c>
      <c r="C1768" s="84" t="s">
        <v>15239</v>
      </c>
      <c r="E1768" s="131" t="str">
        <f t="shared" si="1"/>
        <v>https://utrucking.myshopify.com/admin/orders?query=16965</v>
      </c>
    </row>
    <row r="1769">
      <c r="A1769" s="93" t="str">
        <f t="shared" si="2"/>
        <v>#16966</v>
      </c>
      <c r="B1769" s="93" t="str">
        <f>IF(COUNTIF(MAIN!B:B, A1769)=0, "Missing", "")</f>
        <v>Missing</v>
      </c>
      <c r="C1769" s="84" t="s">
        <v>15239</v>
      </c>
      <c r="E1769" s="131" t="str">
        <f t="shared" si="1"/>
        <v>https://utrucking.myshopify.com/admin/orders?query=16966</v>
      </c>
    </row>
    <row r="1770">
      <c r="A1770" s="93" t="str">
        <f t="shared" si="2"/>
        <v>#16967</v>
      </c>
      <c r="B1770" s="93" t="str">
        <f>IF(COUNTIF(MAIN!B:B, A1770)=0, "Missing", "")</f>
        <v>Missing</v>
      </c>
      <c r="C1770" s="84" t="s">
        <v>15239</v>
      </c>
      <c r="E1770" s="131" t="str">
        <f t="shared" si="1"/>
        <v>https://utrucking.myshopify.com/admin/orders?query=16967</v>
      </c>
    </row>
    <row r="1771">
      <c r="A1771" s="93" t="str">
        <f t="shared" si="2"/>
        <v>#16968</v>
      </c>
      <c r="B1771" s="93" t="str">
        <f>IF(COUNTIF(MAIN!B:B, A1771)=0, "Missing", "")</f>
        <v>Missing</v>
      </c>
      <c r="C1771" s="84" t="s">
        <v>15239</v>
      </c>
      <c r="E1771" s="131" t="str">
        <f t="shared" si="1"/>
        <v>https://utrucking.myshopify.com/admin/orders?query=16968</v>
      </c>
    </row>
    <row r="1772">
      <c r="A1772" s="93" t="str">
        <f t="shared" si="2"/>
        <v>#16969</v>
      </c>
      <c r="B1772" s="93" t="str">
        <f>IF(COUNTIF(MAIN!B:B, A1772)=0, "Missing", "")</f>
        <v>Missing</v>
      </c>
      <c r="C1772" s="84" t="s">
        <v>15239</v>
      </c>
      <c r="E1772" s="131" t="str">
        <f t="shared" si="1"/>
        <v>https://utrucking.myshopify.com/admin/orders?query=16969</v>
      </c>
    </row>
    <row r="1773">
      <c r="A1773" s="93" t="str">
        <f t="shared" si="2"/>
        <v>#16970</v>
      </c>
      <c r="B1773" s="93" t="str">
        <f>IF(COUNTIF(MAIN!B:B, A1773)=0, "Missing", "")</f>
        <v>Missing</v>
      </c>
      <c r="C1773" s="84" t="s">
        <v>15239</v>
      </c>
      <c r="E1773" s="131" t="str">
        <f t="shared" si="1"/>
        <v>https://utrucking.myshopify.com/admin/orders?query=16970</v>
      </c>
    </row>
    <row r="1774">
      <c r="A1774" s="93" t="str">
        <f t="shared" si="2"/>
        <v>#16971</v>
      </c>
      <c r="B1774" s="93" t="str">
        <f>IF(COUNTIF(MAIN!B:B, A1774)=0, "Missing", "")</f>
        <v>Missing</v>
      </c>
      <c r="C1774" s="84" t="s">
        <v>15239</v>
      </c>
      <c r="E1774" s="131" t="str">
        <f t="shared" si="1"/>
        <v>https://utrucking.myshopify.com/admin/orders?query=16971</v>
      </c>
    </row>
    <row r="1775">
      <c r="A1775" s="93" t="str">
        <f t="shared" si="2"/>
        <v>#16972</v>
      </c>
      <c r="B1775" s="93" t="str">
        <f>IF(COUNTIF(MAIN!B:B, A1775)=0, "Missing", "")</f>
        <v>Missing</v>
      </c>
      <c r="C1775" s="84" t="s">
        <v>15239</v>
      </c>
      <c r="E1775" s="131" t="str">
        <f t="shared" si="1"/>
        <v>https://utrucking.myshopify.com/admin/orders?query=16972</v>
      </c>
    </row>
    <row r="1776">
      <c r="A1776" s="93" t="str">
        <f t="shared" si="2"/>
        <v>#16973</v>
      </c>
      <c r="B1776" s="93" t="str">
        <f>IF(COUNTIF(MAIN!B:B, A1776)=0, "Missing", "")</f>
        <v>Missing</v>
      </c>
      <c r="C1776" s="84" t="s">
        <v>15239</v>
      </c>
      <c r="E1776" s="131" t="str">
        <f t="shared" si="1"/>
        <v>https://utrucking.myshopify.com/admin/orders?query=16973</v>
      </c>
    </row>
    <row r="1777">
      <c r="A1777" s="93" t="str">
        <f t="shared" si="2"/>
        <v>#16974</v>
      </c>
      <c r="B1777" s="93" t="str">
        <f>IF(COUNTIF(MAIN!B:B, A1777)=0, "Missing", "")</f>
        <v>Missing</v>
      </c>
      <c r="C1777" s="84" t="s">
        <v>15239</v>
      </c>
      <c r="E1777" s="131" t="str">
        <f t="shared" si="1"/>
        <v>https://utrucking.myshopify.com/admin/orders?query=16974</v>
      </c>
    </row>
    <row r="1778">
      <c r="A1778" s="93" t="str">
        <f t="shared" si="2"/>
        <v>#16975</v>
      </c>
      <c r="B1778" s="93" t="str">
        <f>IF(COUNTIF(MAIN!B:B, A1778)=0, "Missing", "")</f>
        <v>Missing</v>
      </c>
      <c r="C1778" s="84" t="s">
        <v>15239</v>
      </c>
      <c r="E1778" s="131" t="str">
        <f t="shared" si="1"/>
        <v>https://utrucking.myshopify.com/admin/orders?query=16975</v>
      </c>
    </row>
    <row r="1779">
      <c r="A1779" s="93" t="str">
        <f t="shared" si="2"/>
        <v>#16976</v>
      </c>
      <c r="B1779" s="93" t="str">
        <f>IF(COUNTIF(MAIN!B:B, A1779)=0, "Missing", "")</f>
        <v>Missing</v>
      </c>
      <c r="C1779" s="84" t="s">
        <v>15239</v>
      </c>
      <c r="E1779" s="131" t="str">
        <f t="shared" si="1"/>
        <v>https://utrucking.myshopify.com/admin/orders?query=16976</v>
      </c>
    </row>
    <row r="1780">
      <c r="A1780" s="93" t="str">
        <f t="shared" si="2"/>
        <v>#16977</v>
      </c>
      <c r="B1780" s="93" t="str">
        <f>IF(COUNTIF(MAIN!B:B, A1780)=0, "Missing", "")</f>
        <v>Missing</v>
      </c>
      <c r="C1780" s="84" t="s">
        <v>15239</v>
      </c>
      <c r="E1780" s="131" t="str">
        <f t="shared" si="1"/>
        <v>https://utrucking.myshopify.com/admin/orders?query=16977</v>
      </c>
    </row>
    <row r="1781">
      <c r="A1781" s="93" t="str">
        <f t="shared" si="2"/>
        <v>#16978</v>
      </c>
      <c r="B1781" s="93" t="str">
        <f>IF(COUNTIF(MAIN!B:B, A1781)=0, "Missing", "")</f>
        <v>Missing</v>
      </c>
      <c r="C1781" s="84" t="s">
        <v>15239</v>
      </c>
      <c r="E1781" s="131" t="str">
        <f t="shared" si="1"/>
        <v>https://utrucking.myshopify.com/admin/orders?query=16978</v>
      </c>
    </row>
    <row r="1782">
      <c r="A1782" s="93" t="str">
        <f t="shared" si="2"/>
        <v>#16979</v>
      </c>
      <c r="B1782" s="93" t="str">
        <f>IF(COUNTIF(MAIN!B:B, A1782)=0, "Missing", "")</f>
        <v>Missing</v>
      </c>
      <c r="C1782" s="84" t="s">
        <v>15239</v>
      </c>
      <c r="E1782" s="131" t="str">
        <f t="shared" si="1"/>
        <v>https://utrucking.myshopify.com/admin/orders?query=16979</v>
      </c>
    </row>
    <row r="1783">
      <c r="A1783" s="93" t="str">
        <f t="shared" si="2"/>
        <v>#16980</v>
      </c>
      <c r="B1783" s="93" t="str">
        <f>IF(COUNTIF(MAIN!B:B, A1783)=0, "Missing", "")</f>
        <v>Missing</v>
      </c>
      <c r="C1783" s="84" t="s">
        <v>15239</v>
      </c>
      <c r="E1783" s="131" t="str">
        <f t="shared" si="1"/>
        <v>https://utrucking.myshopify.com/admin/orders?query=16980</v>
      </c>
    </row>
    <row r="1784">
      <c r="A1784" s="93" t="str">
        <f t="shared" si="2"/>
        <v>#16981</v>
      </c>
      <c r="B1784" s="93" t="str">
        <f>IF(COUNTIF(MAIN!B:B, A1784)=0, "Missing", "")</f>
        <v>Missing</v>
      </c>
      <c r="C1784" s="84" t="s">
        <v>15239</v>
      </c>
      <c r="E1784" s="131" t="str">
        <f t="shared" si="1"/>
        <v>https://utrucking.myshopify.com/admin/orders?query=16981</v>
      </c>
    </row>
    <row r="1785">
      <c r="A1785" s="93" t="str">
        <f t="shared" si="2"/>
        <v>#16982</v>
      </c>
      <c r="B1785" s="93" t="str">
        <f>IF(COUNTIF(MAIN!B:B, A1785)=0, "Missing", "")</f>
        <v>Missing</v>
      </c>
      <c r="C1785" s="84" t="s">
        <v>15239</v>
      </c>
      <c r="E1785" s="131" t="str">
        <f t="shared" si="1"/>
        <v>https://utrucking.myshopify.com/admin/orders?query=16982</v>
      </c>
    </row>
    <row r="1786">
      <c r="A1786" s="93" t="str">
        <f t="shared" si="2"/>
        <v>#16983</v>
      </c>
      <c r="B1786" s="93" t="str">
        <f>IF(COUNTIF(MAIN!B:B, A1786)=0, "Missing", "")</f>
        <v>Missing</v>
      </c>
      <c r="C1786" s="84" t="s">
        <v>15239</v>
      </c>
      <c r="E1786" s="131" t="str">
        <f t="shared" si="1"/>
        <v>https://utrucking.myshopify.com/admin/orders?query=16983</v>
      </c>
    </row>
    <row r="1787">
      <c r="A1787" s="93" t="str">
        <f t="shared" si="2"/>
        <v>#16984</v>
      </c>
      <c r="B1787" s="93" t="str">
        <f>IF(COUNTIF(MAIN!B:B, A1787)=0, "Missing", "")</f>
        <v>Missing</v>
      </c>
      <c r="C1787" s="84" t="s">
        <v>15239</v>
      </c>
      <c r="E1787" s="131" t="str">
        <f t="shared" si="1"/>
        <v>https://utrucking.myshopify.com/admin/orders?query=16984</v>
      </c>
    </row>
    <row r="1788">
      <c r="A1788" s="93" t="str">
        <f t="shared" si="2"/>
        <v>#16985</v>
      </c>
      <c r="B1788" s="93" t="str">
        <f>IF(COUNTIF(MAIN!B:B, A1788)=0, "Missing", "")</f>
        <v>Missing</v>
      </c>
      <c r="C1788" s="84" t="s">
        <v>15239</v>
      </c>
      <c r="E1788" s="131" t="str">
        <f t="shared" si="1"/>
        <v>https://utrucking.myshopify.com/admin/orders?query=16985</v>
      </c>
    </row>
    <row r="1789">
      <c r="A1789" s="93" t="str">
        <f t="shared" si="2"/>
        <v>#16986</v>
      </c>
      <c r="B1789" s="93" t="str">
        <f>IF(COUNTIF(MAIN!B:B, A1789)=0, "Missing", "")</f>
        <v>Missing</v>
      </c>
      <c r="C1789" s="84" t="s">
        <v>15239</v>
      </c>
      <c r="E1789" s="131" t="str">
        <f t="shared" si="1"/>
        <v>https://utrucking.myshopify.com/admin/orders?query=16986</v>
      </c>
    </row>
    <row r="1790">
      <c r="A1790" s="93" t="str">
        <f t="shared" si="2"/>
        <v>#16987</v>
      </c>
      <c r="B1790" s="93" t="str">
        <f>IF(COUNTIF(MAIN!B:B, A1790)=0, "Missing", "")</f>
        <v>Missing</v>
      </c>
      <c r="C1790" s="84" t="s">
        <v>15239</v>
      </c>
      <c r="E1790" s="131" t="str">
        <f t="shared" si="1"/>
        <v>https://utrucking.myshopify.com/admin/orders?query=16987</v>
      </c>
    </row>
    <row r="1791">
      <c r="A1791" s="93" t="str">
        <f t="shared" si="2"/>
        <v>#16988</v>
      </c>
      <c r="B1791" s="93" t="str">
        <f>IF(COUNTIF(MAIN!B:B, A1791)=0, "Missing", "")</f>
        <v>Missing</v>
      </c>
      <c r="C1791" s="84" t="s">
        <v>15239</v>
      </c>
      <c r="E1791" s="131" t="str">
        <f t="shared" si="1"/>
        <v>https://utrucking.myshopify.com/admin/orders?query=16988</v>
      </c>
    </row>
    <row r="1792">
      <c r="A1792" s="93" t="str">
        <f t="shared" si="2"/>
        <v>#16989</v>
      </c>
      <c r="B1792" s="93" t="str">
        <f>IF(COUNTIF(MAIN!B:B, A1792)=0, "Missing", "")</f>
        <v/>
      </c>
      <c r="E1792" s="128" t="str">
        <f t="shared" si="1"/>
        <v/>
      </c>
    </row>
    <row r="1793">
      <c r="A1793" s="93" t="str">
        <f t="shared" si="2"/>
        <v>#16990</v>
      </c>
      <c r="B1793" s="93" t="str">
        <f>IF(COUNTIF(MAIN!B:B, A1793)=0, "Missing", "")</f>
        <v>Missing</v>
      </c>
      <c r="C1793" s="84" t="s">
        <v>15239</v>
      </c>
      <c r="E1793" s="131" t="str">
        <f t="shared" si="1"/>
        <v>https://utrucking.myshopify.com/admin/orders?query=16990</v>
      </c>
    </row>
    <row r="1794">
      <c r="A1794" s="93" t="str">
        <f t="shared" si="2"/>
        <v>#16991</v>
      </c>
      <c r="B1794" s="93" t="str">
        <f>IF(COUNTIF(MAIN!B:B, A1794)=0, "Missing", "")</f>
        <v>Missing</v>
      </c>
      <c r="C1794" s="84" t="s">
        <v>15239</v>
      </c>
      <c r="E1794" s="131" t="str">
        <f t="shared" si="1"/>
        <v>https://utrucking.myshopify.com/admin/orders?query=16991</v>
      </c>
    </row>
    <row r="1795">
      <c r="A1795" s="93" t="str">
        <f t="shared" si="2"/>
        <v>#16992</v>
      </c>
      <c r="B1795" s="93" t="str">
        <f>IF(COUNTIF(MAIN!B:B, A1795)=0, "Missing", "")</f>
        <v>Missing</v>
      </c>
      <c r="C1795" s="84" t="s">
        <v>15239</v>
      </c>
      <c r="E1795" s="131" t="str">
        <f t="shared" si="1"/>
        <v>https://utrucking.myshopify.com/admin/orders?query=16992</v>
      </c>
    </row>
    <row r="1796">
      <c r="A1796" s="93" t="str">
        <f t="shared" si="2"/>
        <v>#16993</v>
      </c>
      <c r="B1796" s="93" t="str">
        <f>IF(COUNTIF(MAIN!B:B, A1796)=0, "Missing", "")</f>
        <v>Missing</v>
      </c>
      <c r="C1796" s="84" t="s">
        <v>15239</v>
      </c>
      <c r="E1796" s="131" t="str">
        <f t="shared" si="1"/>
        <v>https://utrucking.myshopify.com/admin/orders?query=16993</v>
      </c>
    </row>
    <row r="1797">
      <c r="A1797" s="93" t="str">
        <f t="shared" si="2"/>
        <v>#16994</v>
      </c>
      <c r="B1797" s="93" t="str">
        <f>IF(COUNTIF(MAIN!B:B, A1797)=0, "Missing", "")</f>
        <v>Missing</v>
      </c>
      <c r="C1797" s="84" t="s">
        <v>15239</v>
      </c>
      <c r="E1797" s="131" t="str">
        <f t="shared" si="1"/>
        <v>https://utrucking.myshopify.com/admin/orders?query=16994</v>
      </c>
    </row>
    <row r="1798">
      <c r="A1798" s="93" t="str">
        <f t="shared" si="2"/>
        <v>#16995</v>
      </c>
      <c r="B1798" s="93" t="str">
        <f>IF(COUNTIF(MAIN!B:B, A1798)=0, "Missing", "")</f>
        <v>Missing</v>
      </c>
      <c r="C1798" s="84" t="s">
        <v>15239</v>
      </c>
      <c r="E1798" s="131" t="str">
        <f t="shared" si="1"/>
        <v>https://utrucking.myshopify.com/admin/orders?query=16995</v>
      </c>
    </row>
    <row r="1799">
      <c r="A1799" s="93" t="str">
        <f t="shared" si="2"/>
        <v>#16996</v>
      </c>
      <c r="B1799" s="93" t="str">
        <f>IF(COUNTIF(MAIN!B:B, A1799)=0, "Missing", "")</f>
        <v>Missing</v>
      </c>
      <c r="C1799" s="84" t="s">
        <v>15239</v>
      </c>
      <c r="E1799" s="131" t="str">
        <f t="shared" si="1"/>
        <v>https://utrucking.myshopify.com/admin/orders?query=16996</v>
      </c>
    </row>
    <row r="1800">
      <c r="A1800" s="93" t="str">
        <f t="shared" si="2"/>
        <v>#16997</v>
      </c>
      <c r="B1800" s="93" t="str">
        <f>IF(COUNTIF(MAIN!B:B, A1800)=0, "Missing", "")</f>
        <v>Missing</v>
      </c>
      <c r="C1800" s="84" t="s">
        <v>15239</v>
      </c>
      <c r="E1800" s="131" t="str">
        <f t="shared" si="1"/>
        <v>https://utrucking.myshopify.com/admin/orders?query=16997</v>
      </c>
    </row>
    <row r="1801">
      <c r="A1801" s="93" t="str">
        <f t="shared" si="2"/>
        <v>#16998</v>
      </c>
      <c r="B1801" s="93" t="str">
        <f>IF(COUNTIF(MAIN!B:B, A1801)=0, "Missing", "")</f>
        <v>Missing</v>
      </c>
      <c r="C1801" s="84" t="s">
        <v>15239</v>
      </c>
      <c r="E1801" s="131" t="str">
        <f t="shared" si="1"/>
        <v>https://utrucking.myshopify.com/admin/orders?query=16998</v>
      </c>
    </row>
    <row r="1802">
      <c r="A1802" s="93" t="str">
        <f t="shared" si="2"/>
        <v>#16999</v>
      </c>
      <c r="B1802" s="93" t="str">
        <f>IF(COUNTIF(MAIN!B:B, A1802)=0, "Missing", "")</f>
        <v>Missing</v>
      </c>
      <c r="C1802" s="84" t="s">
        <v>15239</v>
      </c>
      <c r="E1802" s="131" t="str">
        <f t="shared" si="1"/>
        <v>https://utrucking.myshopify.com/admin/orders?query=16999</v>
      </c>
    </row>
    <row r="1803">
      <c r="A1803" s="93" t="str">
        <f t="shared" si="2"/>
        <v>#17000</v>
      </c>
      <c r="B1803" s="93" t="str">
        <f>IF(COUNTIF(MAIN!B:B, A1803)=0, "Missing", "")</f>
        <v>Missing</v>
      </c>
      <c r="C1803" s="84" t="s">
        <v>15239</v>
      </c>
      <c r="E1803" s="131" t="str">
        <f t="shared" si="1"/>
        <v>https://utrucking.myshopify.com/admin/orders?query=17000</v>
      </c>
    </row>
    <row r="1804">
      <c r="A1804" s="93" t="str">
        <f t="shared" si="2"/>
        <v>#17001</v>
      </c>
      <c r="B1804" s="93" t="str">
        <f>IF(COUNTIF(MAIN!B:B, A1804)=0, "Missing", "")</f>
        <v>Missing</v>
      </c>
      <c r="C1804" s="84" t="s">
        <v>15239</v>
      </c>
      <c r="E1804" s="131" t="str">
        <f t="shared" si="1"/>
        <v>https://utrucking.myshopify.com/admin/orders?query=17001</v>
      </c>
    </row>
    <row r="1805">
      <c r="A1805" s="93" t="str">
        <f t="shared" si="2"/>
        <v>#17002</v>
      </c>
      <c r="B1805" s="93" t="str">
        <f>IF(COUNTIF(MAIN!B:B, A1805)=0, "Missing", "")</f>
        <v>Missing</v>
      </c>
      <c r="C1805" s="84" t="s">
        <v>15239</v>
      </c>
      <c r="E1805" s="131" t="str">
        <f t="shared" si="1"/>
        <v>https://utrucking.myshopify.com/admin/orders?query=17002</v>
      </c>
    </row>
    <row r="1806">
      <c r="A1806" s="93" t="str">
        <f t="shared" si="2"/>
        <v>#17003</v>
      </c>
      <c r="B1806" s="93" t="str">
        <f>IF(COUNTIF(MAIN!B:B, A1806)=0, "Missing", "")</f>
        <v>Missing</v>
      </c>
      <c r="C1806" s="84" t="s">
        <v>15239</v>
      </c>
      <c r="E1806" s="131" t="str">
        <f t="shared" si="1"/>
        <v>https://utrucking.myshopify.com/admin/orders?query=17003</v>
      </c>
    </row>
    <row r="1807">
      <c r="A1807" s="93" t="str">
        <f t="shared" si="2"/>
        <v>#17004</v>
      </c>
      <c r="B1807" s="93" t="str">
        <f>IF(COUNTIF(MAIN!B:B, A1807)=0, "Missing", "")</f>
        <v>Missing</v>
      </c>
      <c r="C1807" s="84" t="s">
        <v>15239</v>
      </c>
      <c r="E1807" s="131" t="str">
        <f t="shared" si="1"/>
        <v>https://utrucking.myshopify.com/admin/orders?query=17004</v>
      </c>
    </row>
    <row r="1808">
      <c r="A1808" s="93" t="str">
        <f t="shared" si="2"/>
        <v>#17005</v>
      </c>
      <c r="B1808" s="93" t="str">
        <f>IF(COUNTIF(MAIN!B:B, A1808)=0, "Missing", "")</f>
        <v>Missing</v>
      </c>
      <c r="C1808" s="84" t="s">
        <v>15239</v>
      </c>
      <c r="E1808" s="131" t="str">
        <f t="shared" si="1"/>
        <v>https://utrucking.myshopify.com/admin/orders?query=17005</v>
      </c>
    </row>
    <row r="1809">
      <c r="A1809" s="93" t="str">
        <f t="shared" si="2"/>
        <v>#17006</v>
      </c>
      <c r="B1809" s="93" t="str">
        <f>IF(COUNTIF(MAIN!B:B, A1809)=0, "Missing", "")</f>
        <v>Missing</v>
      </c>
      <c r="C1809" s="84" t="s">
        <v>15239</v>
      </c>
      <c r="E1809" s="131" t="str">
        <f t="shared" si="1"/>
        <v>https://utrucking.myshopify.com/admin/orders?query=17006</v>
      </c>
    </row>
    <row r="1810">
      <c r="A1810" s="93" t="str">
        <f t="shared" si="2"/>
        <v>#17007</v>
      </c>
      <c r="B1810" s="93" t="str">
        <f>IF(COUNTIF(MAIN!B:B, A1810)=0, "Missing", "")</f>
        <v>Missing</v>
      </c>
      <c r="C1810" s="84" t="s">
        <v>15239</v>
      </c>
      <c r="E1810" s="131" t="str">
        <f t="shared" si="1"/>
        <v>https://utrucking.myshopify.com/admin/orders?query=17007</v>
      </c>
    </row>
    <row r="1811">
      <c r="A1811" s="93" t="str">
        <f t="shared" si="2"/>
        <v>#17008</v>
      </c>
      <c r="B1811" s="93" t="str">
        <f>IF(COUNTIF(MAIN!B:B, A1811)=0, "Missing", "")</f>
        <v>Missing</v>
      </c>
      <c r="C1811" s="84" t="s">
        <v>15239</v>
      </c>
      <c r="E1811" s="131" t="str">
        <f t="shared" si="1"/>
        <v>https://utrucking.myshopify.com/admin/orders?query=17008</v>
      </c>
    </row>
    <row r="1812">
      <c r="A1812" s="93" t="str">
        <f t="shared" si="2"/>
        <v>#17009</v>
      </c>
      <c r="B1812" s="93" t="str">
        <f>IF(COUNTIF(MAIN!B:B, A1812)=0, "Missing", "")</f>
        <v>Missing</v>
      </c>
      <c r="C1812" s="84" t="s">
        <v>15239</v>
      </c>
      <c r="E1812" s="131" t="str">
        <f t="shared" si="1"/>
        <v>https://utrucking.myshopify.com/admin/orders?query=17009</v>
      </c>
    </row>
    <row r="1813">
      <c r="A1813" s="93" t="str">
        <f t="shared" si="2"/>
        <v>#17010</v>
      </c>
      <c r="B1813" s="93" t="str">
        <f>IF(COUNTIF(MAIN!B:B, A1813)=0, "Missing", "")</f>
        <v>Missing</v>
      </c>
      <c r="C1813" s="84" t="s">
        <v>15239</v>
      </c>
      <c r="E1813" s="131" t="str">
        <f t="shared" si="1"/>
        <v>https://utrucking.myshopify.com/admin/orders?query=17010</v>
      </c>
    </row>
    <row r="1814">
      <c r="A1814" s="93" t="str">
        <f t="shared" si="2"/>
        <v>#17011</v>
      </c>
      <c r="B1814" s="93" t="str">
        <f>IF(COUNTIF(MAIN!B:B, A1814)=0, "Missing", "")</f>
        <v>Missing</v>
      </c>
      <c r="C1814" s="84" t="s">
        <v>15239</v>
      </c>
      <c r="E1814" s="131" t="str">
        <f t="shared" si="1"/>
        <v>https://utrucking.myshopify.com/admin/orders?query=17011</v>
      </c>
    </row>
    <row r="1815">
      <c r="A1815" s="93" t="str">
        <f t="shared" si="2"/>
        <v>#17012</v>
      </c>
      <c r="B1815" s="93" t="str">
        <f>IF(COUNTIF(MAIN!B:B, A1815)=0, "Missing", "")</f>
        <v>Missing</v>
      </c>
      <c r="C1815" s="84" t="s">
        <v>15239</v>
      </c>
      <c r="E1815" s="131" t="str">
        <f t="shared" si="1"/>
        <v>https://utrucking.myshopify.com/admin/orders?query=17012</v>
      </c>
    </row>
    <row r="1816">
      <c r="A1816" s="93" t="str">
        <f t="shared" si="2"/>
        <v>#17013</v>
      </c>
      <c r="B1816" s="93" t="str">
        <f>IF(COUNTIF(MAIN!B:B, A1816)=0, "Missing", "")</f>
        <v>Missing</v>
      </c>
      <c r="C1816" s="84" t="s">
        <v>15239</v>
      </c>
      <c r="E1816" s="131" t="str">
        <f t="shared" si="1"/>
        <v>https://utrucking.myshopify.com/admin/orders?query=17013</v>
      </c>
    </row>
    <row r="1817">
      <c r="A1817" s="93" t="str">
        <f t="shared" si="2"/>
        <v>#17014</v>
      </c>
      <c r="B1817" s="93" t="str">
        <f>IF(COUNTIF(MAIN!B:B, A1817)=0, "Missing", "")</f>
        <v>Missing</v>
      </c>
      <c r="C1817" s="84" t="s">
        <v>15239</v>
      </c>
      <c r="E1817" s="131" t="str">
        <f t="shared" si="1"/>
        <v>https://utrucking.myshopify.com/admin/orders?query=17014</v>
      </c>
    </row>
    <row r="1818">
      <c r="A1818" s="93" t="str">
        <f t="shared" si="2"/>
        <v>#17015</v>
      </c>
      <c r="B1818" s="93" t="str">
        <f>IF(COUNTIF(MAIN!B:B, A1818)=0, "Missing", "")</f>
        <v>Missing</v>
      </c>
      <c r="C1818" s="84" t="s">
        <v>15239</v>
      </c>
      <c r="E1818" s="131" t="str">
        <f t="shared" si="1"/>
        <v>https://utrucking.myshopify.com/admin/orders?query=17015</v>
      </c>
    </row>
    <row r="1819">
      <c r="A1819" s="93" t="str">
        <f t="shared" si="2"/>
        <v>#17016</v>
      </c>
      <c r="B1819" s="93" t="str">
        <f>IF(COUNTIF(MAIN!B:B, A1819)=0, "Missing", "")</f>
        <v>Missing</v>
      </c>
      <c r="C1819" s="84" t="s">
        <v>15239</v>
      </c>
      <c r="E1819" s="131" t="str">
        <f t="shared" si="1"/>
        <v>https://utrucking.myshopify.com/admin/orders?query=17016</v>
      </c>
    </row>
    <row r="1820">
      <c r="A1820" s="93" t="str">
        <f t="shared" si="2"/>
        <v>#17017</v>
      </c>
      <c r="B1820" s="93" t="str">
        <f>IF(COUNTIF(MAIN!B:B, A1820)=0, "Missing", "")</f>
        <v>Missing</v>
      </c>
      <c r="C1820" s="84" t="s">
        <v>15239</v>
      </c>
      <c r="E1820" s="131" t="str">
        <f t="shared" si="1"/>
        <v>https://utrucking.myshopify.com/admin/orders?query=17017</v>
      </c>
    </row>
    <row r="1821">
      <c r="A1821" s="93" t="str">
        <f t="shared" si="2"/>
        <v>#17018</v>
      </c>
      <c r="B1821" s="93" t="str">
        <f>IF(COUNTIF(MAIN!B:B, A1821)=0, "Missing", "")</f>
        <v>Missing</v>
      </c>
      <c r="C1821" s="84" t="s">
        <v>15239</v>
      </c>
      <c r="E1821" s="131" t="str">
        <f t="shared" si="1"/>
        <v>https://utrucking.myshopify.com/admin/orders?query=17018</v>
      </c>
    </row>
    <row r="1822">
      <c r="A1822" s="93" t="str">
        <f t="shared" si="2"/>
        <v>#17019</v>
      </c>
      <c r="B1822" s="93" t="str">
        <f>IF(COUNTIF(MAIN!B:B, A1822)=0, "Missing", "")</f>
        <v>Missing</v>
      </c>
      <c r="C1822" s="84" t="s">
        <v>15239</v>
      </c>
      <c r="E1822" s="131" t="str">
        <f t="shared" si="1"/>
        <v>https://utrucking.myshopify.com/admin/orders?query=17019</v>
      </c>
    </row>
    <row r="1823">
      <c r="A1823" s="93" t="str">
        <f t="shared" si="2"/>
        <v>#17020</v>
      </c>
      <c r="B1823" s="93" t="str">
        <f>IF(COUNTIF(MAIN!B:B, A1823)=0, "Missing", "")</f>
        <v>Missing</v>
      </c>
      <c r="C1823" s="84" t="s">
        <v>15239</v>
      </c>
      <c r="E1823" s="131" t="str">
        <f t="shared" si="1"/>
        <v>https://utrucking.myshopify.com/admin/orders?query=17020</v>
      </c>
    </row>
    <row r="1824">
      <c r="A1824" s="93" t="str">
        <f t="shared" si="2"/>
        <v>#17021</v>
      </c>
      <c r="B1824" s="93" t="str">
        <f>IF(COUNTIF(MAIN!B:B, A1824)=0, "Missing", "")</f>
        <v>Missing</v>
      </c>
      <c r="C1824" s="84" t="s">
        <v>15239</v>
      </c>
      <c r="E1824" s="131" t="str">
        <f t="shared" si="1"/>
        <v>https://utrucking.myshopify.com/admin/orders?query=17021</v>
      </c>
    </row>
    <row r="1825">
      <c r="A1825" s="93" t="str">
        <f t="shared" si="2"/>
        <v>#17022</v>
      </c>
      <c r="B1825" s="93" t="str">
        <f>IF(COUNTIF(MAIN!B:B, A1825)=0, "Missing", "")</f>
        <v>Missing</v>
      </c>
      <c r="C1825" s="84" t="s">
        <v>15239</v>
      </c>
      <c r="E1825" s="131" t="str">
        <f t="shared" si="1"/>
        <v>https://utrucking.myshopify.com/admin/orders?query=17022</v>
      </c>
    </row>
    <row r="1826">
      <c r="A1826" s="93" t="str">
        <f t="shared" si="2"/>
        <v>#17023</v>
      </c>
      <c r="B1826" s="93" t="str">
        <f>IF(COUNTIF(MAIN!B:B, A1826)=0, "Missing", "")</f>
        <v>Missing</v>
      </c>
      <c r="C1826" s="84" t="s">
        <v>15239</v>
      </c>
      <c r="E1826" s="131" t="str">
        <f t="shared" si="1"/>
        <v>https://utrucking.myshopify.com/admin/orders?query=17023</v>
      </c>
    </row>
    <row r="1827">
      <c r="A1827" s="93" t="str">
        <f t="shared" si="2"/>
        <v>#17024</v>
      </c>
      <c r="B1827" s="93" t="str">
        <f>IF(COUNTIF(MAIN!B:B, A1827)=0, "Missing", "")</f>
        <v>Missing</v>
      </c>
      <c r="C1827" s="84" t="s">
        <v>15239</v>
      </c>
      <c r="E1827" s="131" t="str">
        <f t="shared" si="1"/>
        <v>https://utrucking.myshopify.com/admin/orders?query=17024</v>
      </c>
    </row>
    <row r="1828">
      <c r="A1828" s="93" t="str">
        <f t="shared" si="2"/>
        <v>#17025</v>
      </c>
      <c r="B1828" s="93" t="str">
        <f>IF(COUNTIF(MAIN!B:B, A1828)=0, "Missing", "")</f>
        <v>Missing</v>
      </c>
      <c r="C1828" s="84" t="s">
        <v>15239</v>
      </c>
      <c r="E1828" s="131" t="str">
        <f t="shared" si="1"/>
        <v>https://utrucking.myshopify.com/admin/orders?query=17025</v>
      </c>
    </row>
    <row r="1829">
      <c r="A1829" s="93" t="str">
        <f t="shared" si="2"/>
        <v>#17026</v>
      </c>
      <c r="B1829" s="93" t="str">
        <f>IF(COUNTIF(MAIN!B:B, A1829)=0, "Missing", "")</f>
        <v>Missing</v>
      </c>
      <c r="C1829" s="84" t="s">
        <v>15239</v>
      </c>
      <c r="E1829" s="131" t="str">
        <f t="shared" si="1"/>
        <v>https://utrucking.myshopify.com/admin/orders?query=17026</v>
      </c>
    </row>
    <row r="1830">
      <c r="A1830" s="93" t="str">
        <f t="shared" si="2"/>
        <v>#17027</v>
      </c>
      <c r="B1830" s="93" t="str">
        <f>IF(COUNTIF(MAIN!B:B, A1830)=0, "Missing", "")</f>
        <v>Missing</v>
      </c>
      <c r="C1830" s="84" t="s">
        <v>15239</v>
      </c>
      <c r="E1830" s="131" t="str">
        <f t="shared" si="1"/>
        <v>https://utrucking.myshopify.com/admin/orders?query=17027</v>
      </c>
    </row>
    <row r="1831">
      <c r="A1831" s="93" t="str">
        <f t="shared" si="2"/>
        <v>#17028</v>
      </c>
      <c r="B1831" s="93" t="str">
        <f>IF(COUNTIF(MAIN!B:B, A1831)=0, "Missing", "")</f>
        <v>Missing</v>
      </c>
      <c r="C1831" s="84" t="s">
        <v>15239</v>
      </c>
      <c r="E1831" s="131" t="str">
        <f t="shared" si="1"/>
        <v>https://utrucking.myshopify.com/admin/orders?query=17028</v>
      </c>
    </row>
    <row r="1832">
      <c r="A1832" s="93" t="str">
        <f t="shared" si="2"/>
        <v>#17029</v>
      </c>
      <c r="B1832" s="93" t="str">
        <f>IF(COUNTIF(MAIN!B:B, A1832)=0, "Missing", "")</f>
        <v>Missing</v>
      </c>
      <c r="C1832" s="84" t="s">
        <v>15239</v>
      </c>
      <c r="E1832" s="131" t="str">
        <f t="shared" si="1"/>
        <v>https://utrucking.myshopify.com/admin/orders?query=17029</v>
      </c>
    </row>
    <row r="1833">
      <c r="A1833" s="93" t="str">
        <f t="shared" si="2"/>
        <v>#17030</v>
      </c>
      <c r="B1833" s="93" t="str">
        <f>IF(COUNTIF(MAIN!B:B, A1833)=0, "Missing", "")</f>
        <v>Missing</v>
      </c>
      <c r="C1833" s="84" t="s">
        <v>15239</v>
      </c>
      <c r="E1833" s="131" t="str">
        <f t="shared" si="1"/>
        <v>https://utrucking.myshopify.com/admin/orders?query=17030</v>
      </c>
    </row>
    <row r="1834">
      <c r="A1834" s="93" t="str">
        <f t="shared" si="2"/>
        <v>#17031</v>
      </c>
      <c r="B1834" s="93" t="str">
        <f>IF(COUNTIF(MAIN!B:B, A1834)=0, "Missing", "")</f>
        <v>Missing</v>
      </c>
      <c r="C1834" s="84" t="s">
        <v>15239</v>
      </c>
      <c r="E1834" s="131" t="str">
        <f t="shared" si="1"/>
        <v>https://utrucking.myshopify.com/admin/orders?query=17031</v>
      </c>
    </row>
    <row r="1835">
      <c r="A1835" s="93" t="str">
        <f t="shared" si="2"/>
        <v>#17032</v>
      </c>
      <c r="B1835" s="93" t="str">
        <f>IF(COUNTIF(MAIN!B:B, A1835)=0, "Missing", "")</f>
        <v>Missing</v>
      </c>
      <c r="C1835" s="84" t="s">
        <v>15239</v>
      </c>
      <c r="E1835" s="131" t="str">
        <f t="shared" si="1"/>
        <v>https://utrucking.myshopify.com/admin/orders?query=17032</v>
      </c>
    </row>
    <row r="1836">
      <c r="A1836" s="93" t="str">
        <f t="shared" si="2"/>
        <v>#17033</v>
      </c>
      <c r="B1836" s="93" t="str">
        <f>IF(COUNTIF(MAIN!B:B, A1836)=0, "Missing", "")</f>
        <v>Missing</v>
      </c>
      <c r="C1836" s="84" t="s">
        <v>15239</v>
      </c>
      <c r="E1836" s="131" t="str">
        <f t="shared" si="1"/>
        <v>https://utrucking.myshopify.com/admin/orders?query=17033</v>
      </c>
    </row>
    <row r="1837">
      <c r="A1837" s="93" t="str">
        <f t="shared" si="2"/>
        <v>#17034</v>
      </c>
      <c r="B1837" s="93" t="str">
        <f>IF(COUNTIF(MAIN!B:B, A1837)=0, "Missing", "")</f>
        <v>Missing</v>
      </c>
      <c r="C1837" s="84" t="s">
        <v>15239</v>
      </c>
      <c r="E1837" s="131" t="str">
        <f t="shared" si="1"/>
        <v>https://utrucking.myshopify.com/admin/orders?query=17034</v>
      </c>
    </row>
    <row r="1838">
      <c r="A1838" s="93" t="str">
        <f t="shared" si="2"/>
        <v>#17035</v>
      </c>
      <c r="B1838" s="93" t="str">
        <f>IF(COUNTIF(MAIN!B:B, A1838)=0, "Missing", "")</f>
        <v>Missing</v>
      </c>
      <c r="C1838" s="84" t="s">
        <v>15239</v>
      </c>
      <c r="E1838" s="131" t="str">
        <f t="shared" si="1"/>
        <v>https://utrucking.myshopify.com/admin/orders?query=17035</v>
      </c>
    </row>
    <row r="1839">
      <c r="A1839" s="93" t="str">
        <f t="shared" si="2"/>
        <v>#17036</v>
      </c>
      <c r="B1839" s="93" t="str">
        <f>IF(COUNTIF(MAIN!B:B, A1839)=0, "Missing", "")</f>
        <v>Missing</v>
      </c>
      <c r="C1839" s="84" t="s">
        <v>15239</v>
      </c>
      <c r="E1839" s="131" t="str">
        <f t="shared" si="1"/>
        <v>https://utrucking.myshopify.com/admin/orders?query=17036</v>
      </c>
    </row>
    <row r="1840">
      <c r="A1840" s="93" t="str">
        <f t="shared" si="2"/>
        <v>#17037</v>
      </c>
      <c r="B1840" s="93" t="str">
        <f>IF(COUNTIF(MAIN!B:B, A1840)=0, "Missing", "")</f>
        <v>Missing</v>
      </c>
      <c r="C1840" s="84" t="s">
        <v>15239</v>
      </c>
      <c r="E1840" s="131" t="str">
        <f t="shared" si="1"/>
        <v>https://utrucking.myshopify.com/admin/orders?query=17037</v>
      </c>
    </row>
    <row r="1841">
      <c r="A1841" s="93" t="str">
        <f t="shared" si="2"/>
        <v>#17038</v>
      </c>
      <c r="B1841" s="93" t="str">
        <f>IF(COUNTIF(MAIN!B:B, A1841)=0, "Missing", "")</f>
        <v>Missing</v>
      </c>
      <c r="C1841" s="84" t="s">
        <v>15239</v>
      </c>
      <c r="E1841" s="131" t="str">
        <f t="shared" si="1"/>
        <v>https://utrucking.myshopify.com/admin/orders?query=17038</v>
      </c>
    </row>
    <row r="1842">
      <c r="A1842" s="93" t="str">
        <f t="shared" si="2"/>
        <v>#17039</v>
      </c>
      <c r="B1842" s="93" t="str">
        <f>IF(COUNTIF(MAIN!B:B, A1842)=0, "Missing", "")</f>
        <v>Missing</v>
      </c>
      <c r="C1842" s="84" t="s">
        <v>15239</v>
      </c>
      <c r="E1842" s="131" t="str">
        <f t="shared" si="1"/>
        <v>https://utrucking.myshopify.com/admin/orders?query=17039</v>
      </c>
    </row>
    <row r="1843">
      <c r="A1843" s="93" t="str">
        <f t="shared" si="2"/>
        <v>#17040</v>
      </c>
      <c r="B1843" s="93" t="str">
        <f>IF(COUNTIF(MAIN!B:B, A1843)=0, "Missing", "")</f>
        <v>Missing</v>
      </c>
      <c r="C1843" s="84" t="s">
        <v>15239</v>
      </c>
      <c r="E1843" s="131" t="str">
        <f t="shared" si="1"/>
        <v>https://utrucking.myshopify.com/admin/orders?query=17040</v>
      </c>
    </row>
    <row r="1844">
      <c r="A1844" s="93" t="str">
        <f t="shared" si="2"/>
        <v>#17041</v>
      </c>
      <c r="B1844" s="93" t="str">
        <f>IF(COUNTIF(MAIN!B:B, A1844)=0, "Missing", "")</f>
        <v>Missing</v>
      </c>
      <c r="C1844" s="84" t="s">
        <v>15238</v>
      </c>
      <c r="E1844" s="131" t="str">
        <f t="shared" si="1"/>
        <v>https://utrucking.myshopify.com/admin/orders?query=17041</v>
      </c>
    </row>
    <row r="1845">
      <c r="A1845" s="93" t="str">
        <f t="shared" si="2"/>
        <v>#17042</v>
      </c>
      <c r="B1845" s="93" t="str">
        <f>IF(COUNTIF(MAIN!B:B, A1845)=0, "Missing", "")</f>
        <v/>
      </c>
      <c r="E1845" s="128" t="str">
        <f t="shared" si="1"/>
        <v/>
      </c>
    </row>
    <row r="1846">
      <c r="A1846" s="93" t="str">
        <f t="shared" si="2"/>
        <v>#17043</v>
      </c>
      <c r="B1846" s="93" t="str">
        <f>IF(COUNTIF(MAIN!B:B, A1846)=0, "Missing", "")</f>
        <v/>
      </c>
      <c r="E1846" s="128" t="str">
        <f t="shared" si="1"/>
        <v/>
      </c>
    </row>
    <row r="1847">
      <c r="A1847" s="93" t="str">
        <f t="shared" si="2"/>
        <v>#17044</v>
      </c>
      <c r="B1847" s="93" t="str">
        <f>IF(COUNTIF(MAIN!B:B, A1847)=0, "Missing", "")</f>
        <v/>
      </c>
      <c r="E1847" s="128" t="str">
        <f t="shared" si="1"/>
        <v/>
      </c>
    </row>
    <row r="1848">
      <c r="A1848" s="93" t="str">
        <f t="shared" si="2"/>
        <v>#17045</v>
      </c>
      <c r="B1848" s="93" t="str">
        <f>IF(COUNTIF(MAIN!B:B, A1848)=0, "Missing", "")</f>
        <v>Missing</v>
      </c>
      <c r="C1848" s="84" t="s">
        <v>15238</v>
      </c>
      <c r="E1848" s="131" t="str">
        <f t="shared" si="1"/>
        <v>https://utrucking.myshopify.com/admin/orders?query=17045</v>
      </c>
    </row>
    <row r="1849">
      <c r="A1849" s="93" t="str">
        <f t="shared" si="2"/>
        <v>#17046</v>
      </c>
      <c r="B1849" s="93" t="str">
        <f>IF(COUNTIF(MAIN!B:B, A1849)=0, "Missing", "")</f>
        <v/>
      </c>
      <c r="E1849" s="128" t="str">
        <f t="shared" si="1"/>
        <v/>
      </c>
    </row>
    <row r="1850">
      <c r="A1850" s="93" t="str">
        <f t="shared" si="2"/>
        <v>#17047</v>
      </c>
      <c r="B1850" s="93" t="str">
        <f>IF(COUNTIF(MAIN!B:B, A1850)=0, "Missing", "")</f>
        <v>Missing</v>
      </c>
      <c r="C1850" s="84" t="s">
        <v>15238</v>
      </c>
      <c r="E1850" s="131" t="str">
        <f t="shared" si="1"/>
        <v>https://utrucking.myshopify.com/admin/orders?query=17047</v>
      </c>
    </row>
    <row r="1851">
      <c r="A1851" s="93" t="str">
        <f t="shared" si="2"/>
        <v>#17048</v>
      </c>
      <c r="B1851" s="93" t="str">
        <f>IF(COUNTIF(MAIN!B:B, A1851)=0, "Missing", "")</f>
        <v/>
      </c>
      <c r="E1851" s="128" t="str">
        <f t="shared" si="1"/>
        <v/>
      </c>
    </row>
    <row r="1852">
      <c r="A1852" s="93" t="str">
        <f t="shared" si="2"/>
        <v>#17049</v>
      </c>
      <c r="B1852" s="93" t="str">
        <f>IF(COUNTIF(MAIN!B:B, A1852)=0, "Missing", "")</f>
        <v/>
      </c>
      <c r="E1852" s="128" t="str">
        <f t="shared" si="1"/>
        <v/>
      </c>
    </row>
    <row r="1853">
      <c r="A1853" s="93" t="str">
        <f t="shared" si="2"/>
        <v>#17050</v>
      </c>
      <c r="B1853" s="93" t="str">
        <f>IF(COUNTIF(MAIN!B:B, A1853)=0, "Missing", "")</f>
        <v/>
      </c>
      <c r="E1853" s="128" t="str">
        <f t="shared" si="1"/>
        <v/>
      </c>
    </row>
    <row r="1854">
      <c r="A1854" s="93" t="str">
        <f t="shared" si="2"/>
        <v>#17051</v>
      </c>
      <c r="B1854" s="93" t="str">
        <f>IF(COUNTIF(MAIN!B:B, A1854)=0, "Missing", "")</f>
        <v/>
      </c>
      <c r="E1854" s="128" t="str">
        <f t="shared" si="1"/>
        <v/>
      </c>
    </row>
    <row r="1855">
      <c r="A1855" s="93" t="str">
        <f t="shared" si="2"/>
        <v>#17052</v>
      </c>
      <c r="B1855" s="93" t="str">
        <f>IF(COUNTIF(MAIN!B:B, A1855)=0, "Missing", "")</f>
        <v/>
      </c>
      <c r="E1855" s="128" t="str">
        <f t="shared" si="1"/>
        <v/>
      </c>
    </row>
    <row r="1856">
      <c r="A1856" s="93" t="str">
        <f t="shared" si="2"/>
        <v>#17053</v>
      </c>
      <c r="B1856" s="93" t="str">
        <f>IF(COUNTIF(MAIN!B:B, A1856)=0, "Missing", "")</f>
        <v/>
      </c>
      <c r="E1856" s="128" t="str">
        <f t="shared" si="1"/>
        <v/>
      </c>
    </row>
    <row r="1857">
      <c r="A1857" s="93" t="str">
        <f t="shared" si="2"/>
        <v>#17054</v>
      </c>
      <c r="B1857" s="93" t="str">
        <f>IF(COUNTIF(MAIN!B:B, A1857)=0, "Missing", "")</f>
        <v/>
      </c>
      <c r="E1857" s="128" t="str">
        <f t="shared" si="1"/>
        <v/>
      </c>
    </row>
    <row r="1858">
      <c r="A1858" s="93" t="str">
        <f t="shared" si="2"/>
        <v>#17055</v>
      </c>
      <c r="B1858" s="93" t="str">
        <f>IF(COUNTIF(MAIN!B:B, A1858)=0, "Missing", "")</f>
        <v/>
      </c>
      <c r="E1858" s="128" t="str">
        <f t="shared" si="1"/>
        <v/>
      </c>
    </row>
    <row r="1859">
      <c r="A1859" s="93" t="str">
        <f t="shared" si="2"/>
        <v>#17056</v>
      </c>
      <c r="B1859" s="93" t="str">
        <f>IF(COUNTIF(MAIN!B:B, A1859)=0, "Missing", "")</f>
        <v/>
      </c>
      <c r="E1859" s="128" t="str">
        <f t="shared" si="1"/>
        <v/>
      </c>
    </row>
    <row r="1860">
      <c r="A1860" s="93" t="str">
        <f t="shared" si="2"/>
        <v>#17057</v>
      </c>
      <c r="B1860" s="93" t="str">
        <f>IF(COUNTIF(MAIN!B:B, A1860)=0, "Missing", "")</f>
        <v>Missing</v>
      </c>
      <c r="C1860" s="84" t="s">
        <v>15238</v>
      </c>
      <c r="E1860" s="131" t="str">
        <f t="shared" si="1"/>
        <v>https://utrucking.myshopify.com/admin/orders?query=17057</v>
      </c>
    </row>
    <row r="1861">
      <c r="A1861" s="93" t="str">
        <f t="shared" si="2"/>
        <v>#17058</v>
      </c>
      <c r="B1861" s="93" t="str">
        <f>IF(COUNTIF(MAIN!B:B, A1861)=0, "Missing", "")</f>
        <v>Missing</v>
      </c>
      <c r="C1861" s="84" t="s">
        <v>15238</v>
      </c>
      <c r="E1861" s="131" t="str">
        <f t="shared" si="1"/>
        <v>https://utrucking.myshopify.com/admin/orders?query=17058</v>
      </c>
    </row>
    <row r="1862">
      <c r="A1862" s="93" t="str">
        <f t="shared" si="2"/>
        <v>#17059</v>
      </c>
      <c r="B1862" s="93" t="str">
        <f>IF(COUNTIF(MAIN!B:B, A1862)=0, "Missing", "")</f>
        <v>Missing</v>
      </c>
      <c r="C1862" s="84" t="s">
        <v>15238</v>
      </c>
      <c r="E1862" s="131" t="str">
        <f t="shared" si="1"/>
        <v>https://utrucking.myshopify.com/admin/orders?query=17059</v>
      </c>
    </row>
    <row r="1863">
      <c r="A1863" s="93" t="str">
        <f t="shared" si="2"/>
        <v>#17060</v>
      </c>
      <c r="B1863" s="93" t="str">
        <f>IF(COUNTIF(MAIN!B:B, A1863)=0, "Missing", "")</f>
        <v/>
      </c>
      <c r="E1863" s="128" t="str">
        <f t="shared" si="1"/>
        <v/>
      </c>
    </row>
    <row r="1864">
      <c r="A1864" s="93" t="str">
        <f t="shared" si="2"/>
        <v>#17061</v>
      </c>
      <c r="B1864" s="93" t="str">
        <f>IF(COUNTIF(MAIN!B:B, A1864)=0, "Missing", "")</f>
        <v/>
      </c>
      <c r="E1864" s="128" t="str">
        <f t="shared" si="1"/>
        <v/>
      </c>
    </row>
    <row r="1865">
      <c r="A1865" s="93" t="str">
        <f t="shared" si="2"/>
        <v>#17062</v>
      </c>
      <c r="B1865" s="93" t="str">
        <f>IF(COUNTIF(MAIN!B:B, A1865)=0, "Missing", "")</f>
        <v/>
      </c>
      <c r="E1865" s="128" t="str">
        <f t="shared" si="1"/>
        <v/>
      </c>
    </row>
    <row r="1866">
      <c r="A1866" s="93" t="str">
        <f t="shared" si="2"/>
        <v>#17063</v>
      </c>
      <c r="B1866" s="93" t="str">
        <f>IF(COUNTIF(MAIN!B:B, A1866)=0, "Missing", "")</f>
        <v/>
      </c>
      <c r="E1866" s="128" t="str">
        <f t="shared" si="1"/>
        <v/>
      </c>
    </row>
    <row r="1867">
      <c r="A1867" s="93" t="str">
        <f t="shared" si="2"/>
        <v>#17064</v>
      </c>
      <c r="B1867" s="93" t="str">
        <f>IF(COUNTIF(MAIN!B:B, A1867)=0, "Missing", "")</f>
        <v/>
      </c>
      <c r="E1867" s="128" t="str">
        <f t="shared" si="1"/>
        <v/>
      </c>
    </row>
    <row r="1868">
      <c r="A1868" s="93" t="str">
        <f t="shared" si="2"/>
        <v>#17065</v>
      </c>
      <c r="B1868" s="93" t="str">
        <f>IF(COUNTIF(MAIN!B:B, A1868)=0, "Missing", "")</f>
        <v/>
      </c>
      <c r="E1868" s="128" t="str">
        <f t="shared" si="1"/>
        <v/>
      </c>
    </row>
    <row r="1869">
      <c r="A1869" s="93" t="str">
        <f t="shared" si="2"/>
        <v>#17066</v>
      </c>
      <c r="B1869" s="93" t="str">
        <f>IF(COUNTIF(MAIN!B:B, A1869)=0, "Missing", "")</f>
        <v/>
      </c>
      <c r="E1869" s="128" t="str">
        <f t="shared" si="1"/>
        <v/>
      </c>
    </row>
    <row r="1870">
      <c r="A1870" s="93" t="str">
        <f t="shared" si="2"/>
        <v>#17067</v>
      </c>
      <c r="B1870" s="93" t="str">
        <f>IF(COUNTIF(MAIN!B:B, A1870)=0, "Missing", "")</f>
        <v/>
      </c>
      <c r="E1870" s="128" t="str">
        <f t="shared" si="1"/>
        <v/>
      </c>
    </row>
    <row r="1871">
      <c r="A1871" s="93" t="str">
        <f t="shared" si="2"/>
        <v>#17068</v>
      </c>
      <c r="B1871" s="93" t="str">
        <f>IF(COUNTIF(MAIN!B:B, A1871)=0, "Missing", "")</f>
        <v/>
      </c>
      <c r="E1871" s="128" t="str">
        <f t="shared" si="1"/>
        <v/>
      </c>
    </row>
    <row r="1872">
      <c r="A1872" s="93" t="str">
        <f t="shared" si="2"/>
        <v>#17069</v>
      </c>
      <c r="B1872" s="93" t="str">
        <f>IF(COUNTIF(MAIN!B:B, A1872)=0, "Missing", "")</f>
        <v/>
      </c>
      <c r="E1872" s="128" t="str">
        <f t="shared" si="1"/>
        <v/>
      </c>
    </row>
    <row r="1873">
      <c r="A1873" s="93" t="str">
        <f t="shared" si="2"/>
        <v>#17070</v>
      </c>
      <c r="B1873" s="93" t="str">
        <f>IF(COUNTIF(MAIN!B:B, A1873)=0, "Missing", "")</f>
        <v/>
      </c>
      <c r="E1873" s="128" t="str">
        <f t="shared" si="1"/>
        <v/>
      </c>
    </row>
    <row r="1874">
      <c r="A1874" s="93" t="str">
        <f t="shared" si="2"/>
        <v>#17071</v>
      </c>
      <c r="B1874" s="93" t="str">
        <f>IF(COUNTIF(MAIN!B:B, A1874)=0, "Missing", "")</f>
        <v/>
      </c>
      <c r="E1874" s="128" t="str">
        <f t="shared" si="1"/>
        <v/>
      </c>
    </row>
    <row r="1875">
      <c r="A1875" s="93" t="str">
        <f t="shared" si="2"/>
        <v>#17072</v>
      </c>
      <c r="B1875" s="93" t="str">
        <f>IF(COUNTIF(MAIN!B:B, A1875)=0, "Missing", "")</f>
        <v/>
      </c>
      <c r="E1875" s="128" t="str">
        <f t="shared" si="1"/>
        <v/>
      </c>
    </row>
    <row r="1876">
      <c r="A1876" s="93" t="str">
        <f t="shared" si="2"/>
        <v>#17073</v>
      </c>
      <c r="B1876" s="93" t="str">
        <f>IF(COUNTIF(MAIN!B:B, A1876)=0, "Missing", "")</f>
        <v/>
      </c>
      <c r="E1876" s="128" t="str">
        <f t="shared" si="1"/>
        <v/>
      </c>
    </row>
    <row r="1877">
      <c r="A1877" s="93" t="str">
        <f t="shared" si="2"/>
        <v>#17074</v>
      </c>
      <c r="B1877" s="93" t="str">
        <f>IF(COUNTIF(MAIN!B:B, A1877)=0, "Missing", "")</f>
        <v/>
      </c>
      <c r="E1877" s="128" t="str">
        <f t="shared" si="1"/>
        <v/>
      </c>
    </row>
    <row r="1878">
      <c r="A1878" s="93" t="str">
        <f t="shared" si="2"/>
        <v>#17075</v>
      </c>
      <c r="B1878" s="93" t="str">
        <f>IF(COUNTIF(MAIN!B:B, A1878)=0, "Missing", "")</f>
        <v/>
      </c>
      <c r="E1878" s="128" t="str">
        <f t="shared" si="1"/>
        <v/>
      </c>
    </row>
    <row r="1879">
      <c r="A1879" s="93" t="str">
        <f t="shared" si="2"/>
        <v>#17076</v>
      </c>
      <c r="B1879" s="93" t="str">
        <f>IF(COUNTIF(MAIN!B:B, A1879)=0, "Missing", "")</f>
        <v>Missing</v>
      </c>
      <c r="C1879" s="84" t="s">
        <v>15238</v>
      </c>
      <c r="E1879" s="131" t="str">
        <f t="shared" si="1"/>
        <v>https://utrucking.myshopify.com/admin/orders?query=17076</v>
      </c>
    </row>
    <row r="1880">
      <c r="A1880" s="93" t="str">
        <f t="shared" si="2"/>
        <v>#17077</v>
      </c>
      <c r="B1880" s="93" t="str">
        <f>IF(COUNTIF(MAIN!B:B, A1880)=0, "Missing", "")</f>
        <v>Missing</v>
      </c>
      <c r="C1880" s="84" t="s">
        <v>15240</v>
      </c>
      <c r="E1880" s="131" t="str">
        <f t="shared" si="1"/>
        <v>https://utrucking.myshopify.com/admin/orders?query=17077</v>
      </c>
    </row>
    <row r="1881">
      <c r="A1881" s="93" t="str">
        <f t="shared" si="2"/>
        <v>#17078</v>
      </c>
      <c r="B1881" s="93" t="str">
        <f>IF(COUNTIF(MAIN!B:B, A1881)=0, "Missing", "")</f>
        <v>Missing</v>
      </c>
      <c r="C1881" s="84" t="s">
        <v>15240</v>
      </c>
      <c r="E1881" s="131" t="str">
        <f t="shared" si="1"/>
        <v>https://utrucking.myshopify.com/admin/orders?query=17078</v>
      </c>
    </row>
    <row r="1882">
      <c r="A1882" s="93" t="str">
        <f t="shared" si="2"/>
        <v>#17079</v>
      </c>
      <c r="B1882" s="93" t="str">
        <f>IF(COUNTIF(MAIN!B:B, A1882)=0, "Missing", "")</f>
        <v>Missing</v>
      </c>
      <c r="C1882" s="84" t="s">
        <v>15240</v>
      </c>
      <c r="E1882" s="131" t="str">
        <f t="shared" si="1"/>
        <v>https://utrucking.myshopify.com/admin/orders?query=17079</v>
      </c>
    </row>
    <row r="1883">
      <c r="A1883" s="93" t="str">
        <f t="shared" si="2"/>
        <v>#17080</v>
      </c>
      <c r="B1883" s="93" t="str">
        <f>IF(COUNTIF(MAIN!B:B, A1883)=0, "Missing", "")</f>
        <v>Missing</v>
      </c>
      <c r="C1883" s="84" t="s">
        <v>15240</v>
      </c>
      <c r="E1883" s="131" t="str">
        <f t="shared" si="1"/>
        <v>https://utrucking.myshopify.com/admin/orders?query=17080</v>
      </c>
    </row>
    <row r="1884">
      <c r="A1884" s="93" t="str">
        <f t="shared" si="2"/>
        <v>#17081</v>
      </c>
      <c r="B1884" s="93" t="str">
        <f>IF(COUNTIF(MAIN!B:B, A1884)=0, "Missing", "")</f>
        <v/>
      </c>
      <c r="E1884" s="128" t="str">
        <f t="shared" si="1"/>
        <v/>
      </c>
    </row>
    <row r="1885">
      <c r="A1885" s="93" t="str">
        <f t="shared" si="2"/>
        <v>#17082</v>
      </c>
      <c r="B1885" s="93" t="str">
        <f>IF(COUNTIF(MAIN!B:B, A1885)=0, "Missing", "")</f>
        <v/>
      </c>
      <c r="E1885" s="128" t="str">
        <f t="shared" si="1"/>
        <v/>
      </c>
    </row>
    <row r="1886">
      <c r="A1886" s="93" t="str">
        <f t="shared" si="2"/>
        <v>#17083</v>
      </c>
      <c r="B1886" s="93" t="str">
        <f>IF(COUNTIF(MAIN!B:B, A1886)=0, "Missing", "")</f>
        <v/>
      </c>
      <c r="E1886" s="128" t="str">
        <f t="shared" si="1"/>
        <v/>
      </c>
    </row>
    <row r="1887">
      <c r="A1887" s="93" t="str">
        <f t="shared" si="2"/>
        <v>#17084</v>
      </c>
      <c r="B1887" s="93" t="str">
        <f>IF(COUNTIF(MAIN!B:B, A1887)=0, "Missing", "")</f>
        <v/>
      </c>
      <c r="E1887" s="128" t="str">
        <f t="shared" si="1"/>
        <v/>
      </c>
    </row>
    <row r="1888">
      <c r="A1888" s="93" t="str">
        <f t="shared" si="2"/>
        <v>#17085</v>
      </c>
      <c r="B1888" s="93" t="str">
        <f>IF(COUNTIF(MAIN!B:B, A1888)=0, "Missing", "")</f>
        <v/>
      </c>
      <c r="E1888" s="128" t="str">
        <f t="shared" si="1"/>
        <v/>
      </c>
    </row>
    <row r="1889">
      <c r="A1889" s="93" t="str">
        <f t="shared" si="2"/>
        <v>#17086</v>
      </c>
      <c r="B1889" s="93" t="str">
        <f>IF(COUNTIF(MAIN!B:B, A1889)=0, "Missing", "")</f>
        <v/>
      </c>
      <c r="E1889" s="128" t="str">
        <f t="shared" si="1"/>
        <v/>
      </c>
    </row>
    <row r="1890">
      <c r="A1890" s="93" t="str">
        <f t="shared" si="2"/>
        <v>#17087</v>
      </c>
      <c r="B1890" s="93" t="str">
        <f>IF(COUNTIF(MAIN!B:B, A1890)=0, "Missing", "")</f>
        <v/>
      </c>
      <c r="E1890" s="128" t="str">
        <f t="shared" si="1"/>
        <v/>
      </c>
    </row>
    <row r="1891">
      <c r="A1891" s="93" t="str">
        <f t="shared" si="2"/>
        <v>#17088</v>
      </c>
      <c r="B1891" s="93" t="str">
        <f>IF(COUNTIF(MAIN!B:B, A1891)=0, "Missing", "")</f>
        <v/>
      </c>
      <c r="E1891" s="128" t="str">
        <f t="shared" si="1"/>
        <v/>
      </c>
    </row>
    <row r="1892">
      <c r="A1892" s="93" t="str">
        <f t="shared" si="2"/>
        <v>#17089</v>
      </c>
      <c r="B1892" s="93" t="str">
        <f>IF(COUNTIF(MAIN!B:B, A1892)=0, "Missing", "")</f>
        <v/>
      </c>
      <c r="E1892" s="128" t="str">
        <f t="shared" si="1"/>
        <v/>
      </c>
    </row>
    <row r="1893">
      <c r="A1893" s="93" t="str">
        <f t="shared" si="2"/>
        <v>#17090</v>
      </c>
      <c r="B1893" s="93" t="str">
        <f>IF(COUNTIF(MAIN!B:B, A1893)=0, "Missing", "")</f>
        <v/>
      </c>
      <c r="E1893" s="128" t="str">
        <f t="shared" si="1"/>
        <v/>
      </c>
    </row>
    <row r="1894">
      <c r="A1894" s="93" t="str">
        <f t="shared" si="2"/>
        <v>#17091</v>
      </c>
      <c r="B1894" s="93" t="str">
        <f>IF(COUNTIF(MAIN!B:B, A1894)=0, "Missing", "")</f>
        <v/>
      </c>
      <c r="E1894" s="128" t="str">
        <f t="shared" si="1"/>
        <v/>
      </c>
    </row>
    <row r="1895">
      <c r="A1895" s="93" t="str">
        <f t="shared" si="2"/>
        <v>#17092</v>
      </c>
      <c r="B1895" s="93" t="str">
        <f>IF(COUNTIF(MAIN!B:B, A1895)=0, "Missing", "")</f>
        <v/>
      </c>
      <c r="E1895" s="128" t="str">
        <f t="shared" si="1"/>
        <v/>
      </c>
    </row>
    <row r="1896">
      <c r="A1896" s="93" t="str">
        <f t="shared" si="2"/>
        <v>#17093</v>
      </c>
      <c r="B1896" s="93" t="str">
        <f>IF(COUNTIF(MAIN!B:B, A1896)=0, "Missing", "")</f>
        <v/>
      </c>
      <c r="E1896" s="128" t="str">
        <f t="shared" si="1"/>
        <v/>
      </c>
    </row>
    <row r="1897">
      <c r="A1897" s="93" t="str">
        <f t="shared" si="2"/>
        <v>#17094</v>
      </c>
      <c r="B1897" s="93" t="str">
        <f>IF(COUNTIF(MAIN!B:B, A1897)=0, "Missing", "")</f>
        <v/>
      </c>
      <c r="E1897" s="128" t="str">
        <f t="shared" si="1"/>
        <v/>
      </c>
    </row>
    <row r="1898">
      <c r="A1898" s="93" t="str">
        <f t="shared" si="2"/>
        <v>#17095</v>
      </c>
      <c r="B1898" s="93" t="str">
        <f>IF(COUNTIF(MAIN!B:B, A1898)=0, "Missing", "")</f>
        <v/>
      </c>
      <c r="E1898" s="128" t="str">
        <f t="shared" si="1"/>
        <v/>
      </c>
    </row>
    <row r="1899">
      <c r="A1899" s="93" t="str">
        <f t="shared" si="2"/>
        <v>#17096</v>
      </c>
      <c r="B1899" s="93" t="str">
        <f>IF(COUNTIF(MAIN!B:B, A1899)=0, "Missing", "")</f>
        <v/>
      </c>
      <c r="E1899" s="128" t="str">
        <f t="shared" si="1"/>
        <v/>
      </c>
    </row>
    <row r="1900">
      <c r="A1900" s="93" t="str">
        <f t="shared" si="2"/>
        <v>#17097</v>
      </c>
      <c r="B1900" s="93" t="str">
        <f>IF(COUNTIF(MAIN!B:B, A1900)=0, "Missing", "")</f>
        <v/>
      </c>
      <c r="E1900" s="128" t="str">
        <f t="shared" si="1"/>
        <v/>
      </c>
    </row>
    <row r="1901">
      <c r="A1901" s="93" t="str">
        <f t="shared" si="2"/>
        <v>#17098</v>
      </c>
      <c r="B1901" s="93" t="str">
        <f>IF(COUNTIF(MAIN!B:B, A1901)=0, "Missing", "")</f>
        <v/>
      </c>
      <c r="E1901" s="128" t="str">
        <f t="shared" si="1"/>
        <v/>
      </c>
    </row>
    <row r="1902">
      <c r="A1902" s="93" t="str">
        <f t="shared" si="2"/>
        <v>#17099</v>
      </c>
      <c r="B1902" s="93" t="str">
        <f>IF(COUNTIF(MAIN!B:B, A1902)=0, "Missing", "")</f>
        <v/>
      </c>
      <c r="E1902" s="128" t="str">
        <f t="shared" si="1"/>
        <v/>
      </c>
    </row>
    <row r="1903">
      <c r="A1903" s="93" t="str">
        <f t="shared" si="2"/>
        <v>#17100</v>
      </c>
      <c r="B1903" s="93" t="str">
        <f>IF(COUNTIF(MAIN!B:B, A1903)=0, "Missing", "")</f>
        <v/>
      </c>
      <c r="E1903" s="128" t="str">
        <f t="shared" si="1"/>
        <v/>
      </c>
    </row>
    <row r="1904">
      <c r="A1904" s="93" t="str">
        <f t="shared" si="2"/>
        <v>#17101</v>
      </c>
      <c r="B1904" s="93" t="str">
        <f>IF(COUNTIF(MAIN!B:B, A1904)=0, "Missing", "")</f>
        <v/>
      </c>
      <c r="E1904" s="128" t="str">
        <f t="shared" si="1"/>
        <v/>
      </c>
    </row>
    <row r="1905">
      <c r="A1905" s="93" t="str">
        <f t="shared" si="2"/>
        <v>#17102</v>
      </c>
      <c r="B1905" s="93" t="str">
        <f>IF(COUNTIF(MAIN!B:B, A1905)=0, "Missing", "")</f>
        <v/>
      </c>
      <c r="E1905" s="128" t="str">
        <f t="shared" si="1"/>
        <v/>
      </c>
    </row>
    <row r="1906">
      <c r="A1906" s="93" t="str">
        <f t="shared" si="2"/>
        <v>#17103</v>
      </c>
      <c r="B1906" s="93" t="str">
        <f>IF(COUNTIF(MAIN!B:B, A1906)=0, "Missing", "")</f>
        <v/>
      </c>
      <c r="E1906" s="128" t="str">
        <f t="shared" si="1"/>
        <v/>
      </c>
    </row>
    <row r="1907">
      <c r="A1907" s="93" t="str">
        <f t="shared" si="2"/>
        <v>#17104</v>
      </c>
      <c r="B1907" s="93" t="str">
        <f>IF(COUNTIF(MAIN!B:B, A1907)=0, "Missing", "")</f>
        <v/>
      </c>
      <c r="E1907" s="128" t="str">
        <f t="shared" si="1"/>
        <v/>
      </c>
    </row>
    <row r="1908">
      <c r="A1908" s="93" t="str">
        <f t="shared" si="2"/>
        <v>#17105</v>
      </c>
      <c r="B1908" s="93" t="str">
        <f>IF(COUNTIF(MAIN!B:B, A1908)=0, "Missing", "")</f>
        <v/>
      </c>
      <c r="E1908" s="128" t="str">
        <f t="shared" si="1"/>
        <v/>
      </c>
    </row>
    <row r="1909">
      <c r="A1909" s="93" t="str">
        <f t="shared" si="2"/>
        <v>#17106</v>
      </c>
      <c r="B1909" s="93" t="str">
        <f>IF(COUNTIF(MAIN!B:B, A1909)=0, "Missing", "")</f>
        <v/>
      </c>
      <c r="E1909" s="128" t="str">
        <f t="shared" si="1"/>
        <v/>
      </c>
    </row>
    <row r="1910">
      <c r="A1910" s="93" t="str">
        <f t="shared" si="2"/>
        <v>#17107</v>
      </c>
      <c r="B1910" s="93" t="str">
        <f>IF(COUNTIF(MAIN!B:B, A1910)=0, "Missing", "")</f>
        <v/>
      </c>
      <c r="E1910" s="128" t="str">
        <f t="shared" si="1"/>
        <v/>
      </c>
    </row>
    <row r="1911">
      <c r="A1911" s="93" t="str">
        <f t="shared" si="2"/>
        <v>#17108</v>
      </c>
      <c r="B1911" s="93" t="str">
        <f>IF(COUNTIF(MAIN!B:B, A1911)=0, "Missing", "")</f>
        <v/>
      </c>
      <c r="E1911" s="128" t="str">
        <f t="shared" si="1"/>
        <v/>
      </c>
    </row>
    <row r="1912">
      <c r="A1912" s="93" t="str">
        <f t="shared" si="2"/>
        <v>#17109</v>
      </c>
      <c r="B1912" s="93" t="str">
        <f>IF(COUNTIF(MAIN!B:B, A1912)=0, "Missing", "")</f>
        <v/>
      </c>
      <c r="E1912" s="128" t="str">
        <f t="shared" si="1"/>
        <v/>
      </c>
    </row>
    <row r="1913">
      <c r="A1913" s="93" t="str">
        <f t="shared" si="2"/>
        <v>#17110</v>
      </c>
      <c r="B1913" s="93" t="str">
        <f>IF(COUNTIF(MAIN!B:B, A1913)=0, "Missing", "")</f>
        <v/>
      </c>
      <c r="E1913" s="128" t="str">
        <f t="shared" si="1"/>
        <v/>
      </c>
    </row>
    <row r="1914">
      <c r="A1914" s="93" t="str">
        <f t="shared" si="2"/>
        <v>#17111</v>
      </c>
      <c r="B1914" s="93" t="str">
        <f>IF(COUNTIF(MAIN!B:B, A1914)=0, "Missing", "")</f>
        <v/>
      </c>
      <c r="E1914" s="128" t="str">
        <f t="shared" si="1"/>
        <v/>
      </c>
    </row>
    <row r="1915">
      <c r="A1915" s="93" t="str">
        <f t="shared" si="2"/>
        <v>#17112</v>
      </c>
      <c r="B1915" s="93" t="str">
        <f>IF(COUNTIF(MAIN!B:B, A1915)=0, "Missing", "")</f>
        <v/>
      </c>
      <c r="E1915" s="128" t="str">
        <f t="shared" si="1"/>
        <v/>
      </c>
    </row>
    <row r="1916">
      <c r="A1916" s="93" t="str">
        <f t="shared" si="2"/>
        <v>#17113</v>
      </c>
      <c r="B1916" s="93" t="str">
        <f>IF(COUNTIF(MAIN!B:B, A1916)=0, "Missing", "")</f>
        <v/>
      </c>
      <c r="E1916" s="128" t="str">
        <f t="shared" si="1"/>
        <v/>
      </c>
    </row>
    <row r="1917">
      <c r="A1917" s="93" t="str">
        <f t="shared" si="2"/>
        <v>#17114</v>
      </c>
      <c r="B1917" s="93" t="str">
        <f>IF(COUNTIF(MAIN!B:B, A1917)=0, "Missing", "")</f>
        <v/>
      </c>
      <c r="E1917" s="128" t="str">
        <f t="shared" si="1"/>
        <v/>
      </c>
    </row>
    <row r="1918">
      <c r="A1918" s="93" t="str">
        <f t="shared" si="2"/>
        <v>#17115</v>
      </c>
      <c r="B1918" s="93" t="str">
        <f>IF(COUNTIF(MAIN!B:B, A1918)=0, "Missing", "")</f>
        <v/>
      </c>
      <c r="E1918" s="128" t="str">
        <f t="shared" si="1"/>
        <v/>
      </c>
    </row>
    <row r="1919">
      <c r="A1919" s="93" t="str">
        <f t="shared" si="2"/>
        <v>#17116</v>
      </c>
      <c r="B1919" s="93" t="str">
        <f>IF(COUNTIF(MAIN!B:B, A1919)=0, "Missing", "")</f>
        <v/>
      </c>
      <c r="E1919" s="128" t="str">
        <f t="shared" si="1"/>
        <v/>
      </c>
    </row>
    <row r="1920">
      <c r="A1920" s="93" t="str">
        <f t="shared" si="2"/>
        <v>#17117</v>
      </c>
      <c r="B1920" s="93" t="str">
        <f>IF(COUNTIF(MAIN!B:B, A1920)=0, "Missing", "")</f>
        <v/>
      </c>
      <c r="E1920" s="128" t="str">
        <f t="shared" si="1"/>
        <v/>
      </c>
    </row>
    <row r="1921">
      <c r="A1921" s="93" t="str">
        <f t="shared" si="2"/>
        <v>#17118</v>
      </c>
      <c r="B1921" s="93" t="str">
        <f>IF(COUNTIF(MAIN!B:B, A1921)=0, "Missing", "")</f>
        <v/>
      </c>
      <c r="E1921" s="128" t="str">
        <f t="shared" si="1"/>
        <v/>
      </c>
    </row>
    <row r="1922">
      <c r="A1922" s="93" t="str">
        <f t="shared" si="2"/>
        <v>#17119</v>
      </c>
      <c r="B1922" s="93" t="str">
        <f>IF(COUNTIF(MAIN!B:B, A1922)=0, "Missing", "")</f>
        <v/>
      </c>
      <c r="E1922" s="128" t="str">
        <f t="shared" si="1"/>
        <v/>
      </c>
    </row>
    <row r="1923">
      <c r="A1923" s="93" t="str">
        <f t="shared" si="2"/>
        <v>#17120</v>
      </c>
      <c r="B1923" s="93" t="str">
        <f>IF(COUNTIF(MAIN!B:B, A1923)=0, "Missing", "")</f>
        <v/>
      </c>
      <c r="E1923" s="128" t="str">
        <f t="shared" si="1"/>
        <v/>
      </c>
    </row>
    <row r="1924">
      <c r="A1924" s="93" t="str">
        <f t="shared" si="2"/>
        <v>#17121</v>
      </c>
      <c r="B1924" s="93" t="str">
        <f>IF(COUNTIF(MAIN!B:B, A1924)=0, "Missing", "")</f>
        <v/>
      </c>
      <c r="E1924" s="128" t="str">
        <f t="shared" si="1"/>
        <v/>
      </c>
    </row>
    <row r="1925">
      <c r="A1925" s="93" t="str">
        <f t="shared" si="2"/>
        <v>#17122</v>
      </c>
      <c r="B1925" s="93" t="str">
        <f>IF(COUNTIF(MAIN!B:B, A1925)=0, "Missing", "")</f>
        <v/>
      </c>
      <c r="E1925" s="128" t="str">
        <f t="shared" si="1"/>
        <v/>
      </c>
    </row>
    <row r="1926">
      <c r="A1926" s="93" t="str">
        <f t="shared" si="2"/>
        <v>#17123</v>
      </c>
      <c r="B1926" s="93" t="str">
        <f>IF(COUNTIF(MAIN!B:B, A1926)=0, "Missing", "")</f>
        <v/>
      </c>
      <c r="E1926" s="128" t="str">
        <f t="shared" si="1"/>
        <v/>
      </c>
    </row>
    <row r="1927">
      <c r="A1927" s="93" t="str">
        <f t="shared" si="2"/>
        <v>#17124</v>
      </c>
      <c r="B1927" s="93" t="str">
        <f>IF(COUNTIF(MAIN!B:B, A1927)=0, "Missing", "")</f>
        <v/>
      </c>
      <c r="E1927" s="128" t="str">
        <f t="shared" si="1"/>
        <v/>
      </c>
    </row>
    <row r="1928">
      <c r="A1928" s="93" t="str">
        <f t="shared" si="2"/>
        <v>#17125</v>
      </c>
      <c r="B1928" s="93" t="str">
        <f>IF(COUNTIF(MAIN!B:B, A1928)=0, "Missing", "")</f>
        <v/>
      </c>
      <c r="E1928" s="128" t="str">
        <f t="shared" si="1"/>
        <v/>
      </c>
    </row>
    <row r="1929">
      <c r="A1929" s="93" t="str">
        <f t="shared" si="2"/>
        <v>#17126</v>
      </c>
      <c r="B1929" s="93" t="str">
        <f>IF(COUNTIF(MAIN!B:B, A1929)=0, "Missing", "")</f>
        <v/>
      </c>
      <c r="E1929" s="128" t="str">
        <f t="shared" si="1"/>
        <v/>
      </c>
    </row>
    <row r="1930">
      <c r="A1930" s="93" t="str">
        <f t="shared" si="2"/>
        <v>#17127</v>
      </c>
      <c r="B1930" s="93" t="str">
        <f>IF(COUNTIF(MAIN!B:B, A1930)=0, "Missing", "")</f>
        <v/>
      </c>
      <c r="E1930" s="128" t="str">
        <f t="shared" si="1"/>
        <v/>
      </c>
    </row>
    <row r="1931">
      <c r="A1931" s="93" t="str">
        <f t="shared" si="2"/>
        <v>#17128</v>
      </c>
      <c r="B1931" s="93" t="str">
        <f>IF(COUNTIF(MAIN!B:B, A1931)=0, "Missing", "")</f>
        <v/>
      </c>
      <c r="E1931" s="128" t="str">
        <f t="shared" si="1"/>
        <v/>
      </c>
    </row>
    <row r="1932">
      <c r="A1932" s="93" t="str">
        <f t="shared" si="2"/>
        <v>#17129</v>
      </c>
      <c r="B1932" s="93" t="str">
        <f>IF(COUNTIF(MAIN!B:B, A1932)=0, "Missing", "")</f>
        <v/>
      </c>
      <c r="E1932" s="128" t="str">
        <f t="shared" si="1"/>
        <v/>
      </c>
    </row>
    <row r="1933">
      <c r="A1933" s="93" t="str">
        <f t="shared" si="2"/>
        <v>#17130</v>
      </c>
      <c r="B1933" s="93" t="str">
        <f>IF(COUNTIF(MAIN!B:B, A1933)=0, "Missing", "")</f>
        <v/>
      </c>
      <c r="E1933" s="128" t="str">
        <f t="shared" si="1"/>
        <v/>
      </c>
    </row>
    <row r="1934">
      <c r="A1934" s="93" t="str">
        <f t="shared" si="2"/>
        <v>#17131</v>
      </c>
      <c r="B1934" s="93" t="str">
        <f>IF(COUNTIF(MAIN!B:B, A1934)=0, "Missing", "")</f>
        <v/>
      </c>
      <c r="E1934" s="128" t="str">
        <f t="shared" si="1"/>
        <v/>
      </c>
    </row>
    <row r="1935">
      <c r="A1935" s="93" t="str">
        <f t="shared" si="2"/>
        <v>#17132</v>
      </c>
      <c r="B1935" s="93" t="str">
        <f>IF(COUNTIF(MAIN!B:B, A1935)=0, "Missing", "")</f>
        <v/>
      </c>
      <c r="E1935" s="128" t="str">
        <f t="shared" si="1"/>
        <v/>
      </c>
    </row>
    <row r="1936">
      <c r="A1936" s="93" t="str">
        <f t="shared" si="2"/>
        <v>#17133</v>
      </c>
      <c r="B1936" s="93" t="str">
        <f>IF(COUNTIF(MAIN!B:B, A1936)=0, "Missing", "")</f>
        <v/>
      </c>
      <c r="E1936" s="128" t="str">
        <f t="shared" si="1"/>
        <v/>
      </c>
    </row>
    <row r="1937">
      <c r="A1937" s="93" t="str">
        <f t="shared" si="2"/>
        <v>#17134</v>
      </c>
      <c r="B1937" s="93" t="str">
        <f>IF(COUNTIF(MAIN!B:B, A1937)=0, "Missing", "")</f>
        <v>Missing</v>
      </c>
      <c r="C1937" s="84" t="s">
        <v>15240</v>
      </c>
      <c r="E1937" s="131" t="str">
        <f t="shared" si="1"/>
        <v>https://utrucking.myshopify.com/admin/orders?query=17134</v>
      </c>
    </row>
    <row r="1938">
      <c r="A1938" s="93" t="str">
        <f t="shared" si="2"/>
        <v>#17135</v>
      </c>
      <c r="B1938" s="93" t="str">
        <f>IF(COUNTIF(MAIN!B:B, A1938)=0, "Missing", "")</f>
        <v/>
      </c>
      <c r="E1938" s="128" t="str">
        <f t="shared" si="1"/>
        <v/>
      </c>
    </row>
    <row r="1939">
      <c r="A1939" s="93" t="str">
        <f t="shared" si="2"/>
        <v>#17136</v>
      </c>
      <c r="B1939" s="93" t="str">
        <f>IF(COUNTIF(MAIN!B:B, A1939)=0, "Missing", "")</f>
        <v/>
      </c>
      <c r="E1939" s="128" t="str">
        <f t="shared" si="1"/>
        <v/>
      </c>
    </row>
    <row r="1940">
      <c r="A1940" s="93" t="str">
        <f t="shared" si="2"/>
        <v>#17137</v>
      </c>
      <c r="B1940" s="93" t="str">
        <f>IF(COUNTIF(MAIN!B:B, A1940)=0, "Missing", "")</f>
        <v/>
      </c>
      <c r="E1940" s="128" t="str">
        <f t="shared" si="1"/>
        <v/>
      </c>
    </row>
    <row r="1941">
      <c r="A1941" s="93" t="str">
        <f t="shared" si="2"/>
        <v>#17138</v>
      </c>
      <c r="B1941" s="93" t="str">
        <f>IF(COUNTIF(MAIN!B:B, A1941)=0, "Missing", "")</f>
        <v/>
      </c>
      <c r="E1941" s="128" t="str">
        <f t="shared" si="1"/>
        <v/>
      </c>
    </row>
    <row r="1942">
      <c r="A1942" s="93" t="str">
        <f t="shared" si="2"/>
        <v>#17139</v>
      </c>
      <c r="B1942" s="93" t="str">
        <f>IF(COUNTIF(MAIN!B:B, A1942)=0, "Missing", "")</f>
        <v/>
      </c>
      <c r="E1942" s="128" t="str">
        <f t="shared" si="1"/>
        <v/>
      </c>
    </row>
    <row r="1943">
      <c r="A1943" s="93" t="str">
        <f t="shared" si="2"/>
        <v>#17140</v>
      </c>
      <c r="B1943" s="93" t="str">
        <f>IF(COUNTIF(MAIN!B:B, A1943)=0, "Missing", "")</f>
        <v/>
      </c>
      <c r="E1943" s="128" t="str">
        <f t="shared" si="1"/>
        <v/>
      </c>
    </row>
    <row r="1944">
      <c r="A1944" s="93" t="str">
        <f t="shared" si="2"/>
        <v>#17141</v>
      </c>
      <c r="B1944" s="93" t="str">
        <f>IF(COUNTIF(MAIN!B:B, A1944)=0, "Missing", "")</f>
        <v/>
      </c>
      <c r="E1944" s="128" t="str">
        <f t="shared" si="1"/>
        <v/>
      </c>
    </row>
    <row r="1945">
      <c r="A1945" s="93" t="str">
        <f t="shared" si="2"/>
        <v>#17142</v>
      </c>
      <c r="B1945" s="93" t="str">
        <f>IF(COUNTIF(MAIN!B:B, A1945)=0, "Missing", "")</f>
        <v>Missing</v>
      </c>
      <c r="C1945" s="84" t="s">
        <v>14151</v>
      </c>
      <c r="E1945" s="131" t="str">
        <f t="shared" si="1"/>
        <v>https://utrucking.myshopify.com/admin/orders?query=17142</v>
      </c>
    </row>
    <row r="1946">
      <c r="A1946" s="93" t="str">
        <f t="shared" si="2"/>
        <v>#17143</v>
      </c>
      <c r="B1946" s="93" t="str">
        <f>IF(COUNTIF(MAIN!B:B, A1946)=0, "Missing", "")</f>
        <v/>
      </c>
      <c r="E1946" s="128" t="str">
        <f t="shared" si="1"/>
        <v/>
      </c>
    </row>
    <row r="1947">
      <c r="A1947" s="93" t="str">
        <f t="shared" si="2"/>
        <v>#17144</v>
      </c>
      <c r="B1947" s="93" t="str">
        <f>IF(COUNTIF(MAIN!B:B, A1947)=0, "Missing", "")</f>
        <v/>
      </c>
      <c r="E1947" s="128" t="str">
        <f t="shared" si="1"/>
        <v/>
      </c>
    </row>
    <row r="1948">
      <c r="A1948" s="93" t="str">
        <f t="shared" si="2"/>
        <v>#17145</v>
      </c>
      <c r="B1948" s="93" t="str">
        <f>IF(COUNTIF(MAIN!B:B, A1948)=0, "Missing", "")</f>
        <v>Missing</v>
      </c>
      <c r="C1948" s="84" t="s">
        <v>15240</v>
      </c>
      <c r="E1948" s="131" t="str">
        <f t="shared" si="1"/>
        <v>https://utrucking.myshopify.com/admin/orders?query=17145</v>
      </c>
    </row>
    <row r="1949">
      <c r="A1949" s="93" t="str">
        <f t="shared" si="2"/>
        <v>#17146</v>
      </c>
      <c r="B1949" s="93" t="str">
        <f>IF(COUNTIF(MAIN!B:B, A1949)=0, "Missing", "")</f>
        <v/>
      </c>
      <c r="E1949" s="128" t="str">
        <f t="shared" si="1"/>
        <v/>
      </c>
    </row>
    <row r="1950">
      <c r="A1950" s="93" t="str">
        <f t="shared" si="2"/>
        <v>#17147</v>
      </c>
      <c r="B1950" s="93" t="str">
        <f>IF(COUNTIF(MAIN!B:B, A1950)=0, "Missing", "")</f>
        <v/>
      </c>
      <c r="E1950" s="128" t="str">
        <f t="shared" si="1"/>
        <v/>
      </c>
    </row>
    <row r="1951">
      <c r="A1951" s="93" t="str">
        <f t="shared" si="2"/>
        <v>#17148</v>
      </c>
      <c r="B1951" s="93" t="str">
        <f>IF(COUNTIF(MAIN!B:B, A1951)=0, "Missing", "")</f>
        <v/>
      </c>
      <c r="E1951" s="128" t="str">
        <f t="shared" si="1"/>
        <v/>
      </c>
    </row>
    <row r="1952">
      <c r="A1952" s="93" t="str">
        <f t="shared" si="2"/>
        <v>#17149</v>
      </c>
      <c r="B1952" s="93" t="str">
        <f>IF(COUNTIF(MAIN!B:B, A1952)=0, "Missing", "")</f>
        <v/>
      </c>
      <c r="E1952" s="128" t="str">
        <f t="shared" si="1"/>
        <v/>
      </c>
    </row>
    <row r="1953">
      <c r="A1953" s="93" t="str">
        <f t="shared" si="2"/>
        <v>#17150</v>
      </c>
      <c r="B1953" s="93" t="str">
        <f>IF(COUNTIF(MAIN!B:B, A1953)=0, "Missing", "")</f>
        <v/>
      </c>
      <c r="E1953" s="128" t="str">
        <f t="shared" si="1"/>
        <v/>
      </c>
    </row>
    <row r="1954">
      <c r="A1954" s="93" t="str">
        <f t="shared" si="2"/>
        <v>#17151</v>
      </c>
      <c r="B1954" s="93" t="str">
        <f>IF(COUNTIF(MAIN!B:B, A1954)=0, "Missing", "")</f>
        <v/>
      </c>
      <c r="E1954" s="128" t="str">
        <f t="shared" si="1"/>
        <v/>
      </c>
    </row>
    <row r="1955">
      <c r="A1955" s="93" t="str">
        <f t="shared" si="2"/>
        <v>#17152</v>
      </c>
      <c r="B1955" s="93" t="str">
        <f>IF(COUNTIF(MAIN!B:B, A1955)=0, "Missing", "")</f>
        <v/>
      </c>
      <c r="E1955" s="128" t="str">
        <f t="shared" si="1"/>
        <v/>
      </c>
    </row>
    <row r="1956">
      <c r="A1956" s="93" t="str">
        <f t="shared" si="2"/>
        <v>#17153</v>
      </c>
      <c r="B1956" s="93" t="str">
        <f>IF(COUNTIF(MAIN!B:B, A1956)=0, "Missing", "")</f>
        <v/>
      </c>
      <c r="E1956" s="128" t="str">
        <f t="shared" si="1"/>
        <v/>
      </c>
    </row>
    <row r="1957">
      <c r="A1957" s="93" t="str">
        <f t="shared" si="2"/>
        <v>#17154</v>
      </c>
      <c r="B1957" s="93" t="str">
        <f>IF(COUNTIF(MAIN!B:B, A1957)=0, "Missing", "")</f>
        <v/>
      </c>
      <c r="E1957" s="128" t="str">
        <f t="shared" si="1"/>
        <v/>
      </c>
    </row>
    <row r="1958">
      <c r="A1958" s="93" t="str">
        <f t="shared" si="2"/>
        <v>#17155</v>
      </c>
      <c r="B1958" s="93" t="str">
        <f>IF(COUNTIF(MAIN!B:B, A1958)=0, "Missing", "")</f>
        <v/>
      </c>
      <c r="E1958" s="128" t="str">
        <f t="shared" si="1"/>
        <v/>
      </c>
    </row>
    <row r="1959">
      <c r="A1959" s="93" t="str">
        <f t="shared" si="2"/>
        <v>#17156</v>
      </c>
      <c r="B1959" s="93" t="str">
        <f>IF(COUNTIF(MAIN!B:B, A1959)=0, "Missing", "")</f>
        <v/>
      </c>
      <c r="E1959" s="128" t="str">
        <f t="shared" si="1"/>
        <v/>
      </c>
    </row>
    <row r="1960">
      <c r="A1960" s="93" t="str">
        <f t="shared" si="2"/>
        <v>#17157</v>
      </c>
      <c r="B1960" s="93" t="str">
        <f>IF(COUNTIF(MAIN!B:B, A1960)=0, "Missing", "")</f>
        <v/>
      </c>
      <c r="E1960" s="128" t="str">
        <f t="shared" si="1"/>
        <v/>
      </c>
    </row>
    <row r="1961">
      <c r="A1961" s="93" t="str">
        <f t="shared" si="2"/>
        <v>#17158</v>
      </c>
      <c r="B1961" s="93" t="str">
        <f>IF(COUNTIF(MAIN!B:B, A1961)=0, "Missing", "")</f>
        <v/>
      </c>
      <c r="E1961" s="128" t="str">
        <f t="shared" si="1"/>
        <v/>
      </c>
    </row>
    <row r="1962">
      <c r="A1962" s="93" t="str">
        <f t="shared" si="2"/>
        <v>#17159</v>
      </c>
      <c r="B1962" s="93" t="str">
        <f>IF(COUNTIF(MAIN!B:B, A1962)=0, "Missing", "")</f>
        <v/>
      </c>
      <c r="E1962" s="128" t="str">
        <f t="shared" si="1"/>
        <v/>
      </c>
    </row>
    <row r="1963">
      <c r="A1963" s="93" t="str">
        <f t="shared" si="2"/>
        <v>#17160</v>
      </c>
      <c r="B1963" s="93" t="str">
        <f>IF(COUNTIF(MAIN!B:B, A1963)=0, "Missing", "")</f>
        <v/>
      </c>
      <c r="E1963" s="128" t="str">
        <f t="shared" si="1"/>
        <v/>
      </c>
    </row>
    <row r="1964">
      <c r="A1964" s="93" t="str">
        <f t="shared" si="2"/>
        <v>#17161</v>
      </c>
      <c r="B1964" s="93" t="str">
        <f>IF(COUNTIF(MAIN!B:B, A1964)=0, "Missing", "")</f>
        <v>Missing</v>
      </c>
      <c r="C1964" s="84" t="s">
        <v>15238</v>
      </c>
      <c r="E1964" s="131" t="str">
        <f t="shared" si="1"/>
        <v>https://utrucking.myshopify.com/admin/orders?query=17161</v>
      </c>
    </row>
    <row r="1965">
      <c r="A1965" s="93" t="str">
        <f t="shared" si="2"/>
        <v>#17162</v>
      </c>
      <c r="B1965" s="93" t="str">
        <f>IF(COUNTIF(MAIN!B:B, A1965)=0, "Missing", "")</f>
        <v/>
      </c>
      <c r="E1965" s="128" t="str">
        <f t="shared" si="1"/>
        <v/>
      </c>
    </row>
    <row r="1966">
      <c r="A1966" s="93" t="str">
        <f t="shared" si="2"/>
        <v>#17163</v>
      </c>
      <c r="B1966" s="93" t="str">
        <f>IF(COUNTIF(MAIN!B:B, A1966)=0, "Missing", "")</f>
        <v/>
      </c>
      <c r="E1966" s="128" t="str">
        <f t="shared" si="1"/>
        <v/>
      </c>
    </row>
    <row r="1967">
      <c r="A1967" s="93" t="str">
        <f t="shared" si="2"/>
        <v>#17164</v>
      </c>
      <c r="B1967" s="93" t="str">
        <f>IF(COUNTIF(MAIN!B:B, A1967)=0, "Missing", "")</f>
        <v/>
      </c>
      <c r="E1967" s="128" t="str">
        <f t="shared" si="1"/>
        <v/>
      </c>
    </row>
    <row r="1968">
      <c r="A1968" s="93" t="str">
        <f t="shared" si="2"/>
        <v>#17165</v>
      </c>
      <c r="B1968" s="93" t="str">
        <f>IF(COUNTIF(MAIN!B:B, A1968)=0, "Missing", "")</f>
        <v/>
      </c>
      <c r="E1968" s="128" t="str">
        <f t="shared" si="1"/>
        <v/>
      </c>
    </row>
    <row r="1969">
      <c r="A1969" s="93" t="str">
        <f t="shared" si="2"/>
        <v>#17166</v>
      </c>
      <c r="B1969" s="93" t="str">
        <f>IF(COUNTIF(MAIN!B:B, A1969)=0, "Missing", "")</f>
        <v/>
      </c>
      <c r="E1969" s="128" t="str">
        <f t="shared" si="1"/>
        <v/>
      </c>
    </row>
    <row r="1970">
      <c r="A1970" s="93" t="str">
        <f t="shared" si="2"/>
        <v>#17167</v>
      </c>
      <c r="B1970" s="93" t="str">
        <f>IF(COUNTIF(MAIN!B:B, A1970)=0, "Missing", "")</f>
        <v/>
      </c>
      <c r="E1970" s="128" t="str">
        <f t="shared" si="1"/>
        <v/>
      </c>
    </row>
    <row r="1971">
      <c r="A1971" s="93" t="str">
        <f t="shared" si="2"/>
        <v>#17168</v>
      </c>
      <c r="B1971" s="93" t="str">
        <f>IF(COUNTIF(MAIN!B:B, A1971)=0, "Missing", "")</f>
        <v/>
      </c>
      <c r="E1971" s="128" t="str">
        <f t="shared" si="1"/>
        <v/>
      </c>
    </row>
    <row r="1972">
      <c r="A1972" s="93" t="str">
        <f t="shared" si="2"/>
        <v>#17169</v>
      </c>
      <c r="B1972" s="93" t="str">
        <f>IF(COUNTIF(MAIN!B:B, A1972)=0, "Missing", "")</f>
        <v/>
      </c>
      <c r="E1972" s="128" t="str">
        <f t="shared" si="1"/>
        <v/>
      </c>
    </row>
    <row r="1973">
      <c r="A1973" s="93" t="str">
        <f t="shared" si="2"/>
        <v>#17170</v>
      </c>
      <c r="B1973" s="93" t="str">
        <f>IF(COUNTIF(MAIN!B:B, A1973)=0, "Missing", "")</f>
        <v/>
      </c>
      <c r="E1973" s="128" t="str">
        <f t="shared" si="1"/>
        <v/>
      </c>
    </row>
    <row r="1974">
      <c r="A1974" s="93" t="str">
        <f t="shared" si="2"/>
        <v>#17171</v>
      </c>
      <c r="B1974" s="93" t="str">
        <f>IF(COUNTIF(MAIN!B:B, A1974)=0, "Missing", "")</f>
        <v/>
      </c>
      <c r="E1974" s="128" t="str">
        <f t="shared" si="1"/>
        <v/>
      </c>
    </row>
    <row r="1975">
      <c r="A1975" s="93" t="str">
        <f t="shared" si="2"/>
        <v>#17172</v>
      </c>
      <c r="B1975" s="93" t="str">
        <f>IF(COUNTIF(MAIN!B:B, A1975)=0, "Missing", "")</f>
        <v/>
      </c>
      <c r="E1975" s="128" t="str">
        <f t="shared" si="1"/>
        <v/>
      </c>
    </row>
    <row r="1976">
      <c r="A1976" s="93" t="str">
        <f t="shared" si="2"/>
        <v>#17173</v>
      </c>
      <c r="B1976" s="93" t="str">
        <f>IF(COUNTIF(MAIN!B:B, A1976)=0, "Missing", "")</f>
        <v/>
      </c>
      <c r="E1976" s="128" t="str">
        <f t="shared" si="1"/>
        <v/>
      </c>
    </row>
    <row r="1977">
      <c r="A1977" s="93" t="str">
        <f t="shared" si="2"/>
        <v>#17174</v>
      </c>
      <c r="B1977" s="93" t="str">
        <f>IF(COUNTIF(MAIN!B:B, A1977)=0, "Missing", "")</f>
        <v/>
      </c>
      <c r="E1977" s="128" t="str">
        <f t="shared" si="1"/>
        <v/>
      </c>
    </row>
    <row r="1978">
      <c r="A1978" s="93" t="str">
        <f t="shared" si="2"/>
        <v>#17175</v>
      </c>
      <c r="B1978" s="93" t="str">
        <f>IF(COUNTIF(MAIN!B:B, A1978)=0, "Missing", "")</f>
        <v/>
      </c>
      <c r="E1978" s="128" t="str">
        <f t="shared" si="1"/>
        <v/>
      </c>
    </row>
    <row r="1979">
      <c r="A1979" s="93" t="str">
        <f t="shared" si="2"/>
        <v>#17176</v>
      </c>
      <c r="B1979" s="93" t="str">
        <f>IF(COUNTIF(MAIN!B:B, A1979)=0, "Missing", "")</f>
        <v/>
      </c>
      <c r="E1979" s="128" t="str">
        <f t="shared" si="1"/>
        <v/>
      </c>
    </row>
    <row r="1980">
      <c r="A1980" s="93" t="str">
        <f t="shared" si="2"/>
        <v>#17177</v>
      </c>
      <c r="B1980" s="93" t="str">
        <f>IF(COUNTIF(MAIN!B:B, A1980)=0, "Missing", "")</f>
        <v/>
      </c>
      <c r="E1980" s="128" t="str">
        <f t="shared" si="1"/>
        <v/>
      </c>
    </row>
    <row r="1981">
      <c r="A1981" s="93" t="str">
        <f t="shared" si="2"/>
        <v>#17178</v>
      </c>
      <c r="B1981" s="93" t="str">
        <f>IF(COUNTIF(MAIN!B:B, A1981)=0, "Missing", "")</f>
        <v/>
      </c>
      <c r="E1981" s="128" t="str">
        <f t="shared" si="1"/>
        <v/>
      </c>
    </row>
    <row r="1982">
      <c r="A1982" s="93" t="str">
        <f t="shared" si="2"/>
        <v>#17179</v>
      </c>
      <c r="B1982" s="93" t="str">
        <f>IF(COUNTIF(MAIN!B:B, A1982)=0, "Missing", "")</f>
        <v>Missing</v>
      </c>
      <c r="C1982" s="84" t="s">
        <v>15240</v>
      </c>
      <c r="E1982" s="131" t="str">
        <f t="shared" si="1"/>
        <v>https://utrucking.myshopify.com/admin/orders?query=17179</v>
      </c>
    </row>
    <row r="1983">
      <c r="A1983" s="93" t="str">
        <f t="shared" si="2"/>
        <v>#17180</v>
      </c>
      <c r="B1983" s="93" t="str">
        <f>IF(COUNTIF(MAIN!B:B, A1983)=0, "Missing", "")</f>
        <v/>
      </c>
      <c r="E1983" s="128" t="str">
        <f t="shared" si="1"/>
        <v/>
      </c>
    </row>
    <row r="1984">
      <c r="A1984" s="93" t="str">
        <f t="shared" si="2"/>
        <v>#17181</v>
      </c>
      <c r="B1984" s="93" t="str">
        <f>IF(COUNTIF(MAIN!B:B, A1984)=0, "Missing", "")</f>
        <v/>
      </c>
      <c r="E1984" s="128" t="str">
        <f t="shared" si="1"/>
        <v/>
      </c>
    </row>
    <row r="1985">
      <c r="A1985" s="93" t="str">
        <f t="shared" si="2"/>
        <v>#17182</v>
      </c>
      <c r="B1985" s="93" t="str">
        <f>IF(COUNTIF(MAIN!B:B, A1985)=0, "Missing", "")</f>
        <v>Missing</v>
      </c>
      <c r="C1985" s="84" t="s">
        <v>15240</v>
      </c>
      <c r="E1985" s="131" t="str">
        <f t="shared" si="1"/>
        <v>https://utrucking.myshopify.com/admin/orders?query=17182</v>
      </c>
    </row>
    <row r="1986">
      <c r="A1986" s="93" t="str">
        <f t="shared" si="2"/>
        <v>#17183</v>
      </c>
      <c r="B1986" s="93" t="str">
        <f>IF(COUNTIF(MAIN!B:B, A1986)=0, "Missing", "")</f>
        <v/>
      </c>
      <c r="E1986" s="128" t="str">
        <f t="shared" si="1"/>
        <v/>
      </c>
    </row>
    <row r="1987">
      <c r="A1987" s="93" t="str">
        <f t="shared" si="2"/>
        <v>#17184</v>
      </c>
      <c r="B1987" s="93" t="str">
        <f>IF(COUNTIF(MAIN!B:B, A1987)=0, "Missing", "")</f>
        <v/>
      </c>
      <c r="E1987" s="128" t="str">
        <f t="shared" si="1"/>
        <v/>
      </c>
    </row>
    <row r="1988">
      <c r="A1988" s="93" t="str">
        <f t="shared" si="2"/>
        <v>#17185</v>
      </c>
      <c r="B1988" s="93" t="str">
        <f>IF(COUNTIF(MAIN!B:B, A1988)=0, "Missing", "")</f>
        <v/>
      </c>
      <c r="E1988" s="128" t="str">
        <f t="shared" si="1"/>
        <v/>
      </c>
    </row>
    <row r="1989">
      <c r="A1989" s="93" t="str">
        <f t="shared" si="2"/>
        <v>#17186</v>
      </c>
      <c r="B1989" s="93" t="str">
        <f>IF(COUNTIF(MAIN!B:B, A1989)=0, "Missing", "")</f>
        <v/>
      </c>
      <c r="E1989" s="128" t="str">
        <f t="shared" si="1"/>
        <v/>
      </c>
    </row>
    <row r="1990">
      <c r="A1990" s="93" t="str">
        <f t="shared" si="2"/>
        <v>#17187</v>
      </c>
      <c r="B1990" s="93" t="str">
        <f>IF(COUNTIF(MAIN!B:B, A1990)=0, "Missing", "")</f>
        <v/>
      </c>
      <c r="E1990" s="128" t="str">
        <f t="shared" si="1"/>
        <v/>
      </c>
    </row>
    <row r="1991">
      <c r="A1991" s="93" t="str">
        <f t="shared" si="2"/>
        <v>#17188</v>
      </c>
      <c r="B1991" s="93" t="str">
        <f>IF(COUNTIF(MAIN!B:B, A1991)=0, "Missing", "")</f>
        <v/>
      </c>
      <c r="E1991" s="128" t="str">
        <f t="shared" si="1"/>
        <v/>
      </c>
    </row>
    <row r="1992">
      <c r="A1992" s="93" t="str">
        <f t="shared" si="2"/>
        <v>#17189</v>
      </c>
      <c r="B1992" s="93" t="str">
        <f>IF(COUNTIF(MAIN!B:B, A1992)=0, "Missing", "")</f>
        <v/>
      </c>
      <c r="E1992" s="128" t="str">
        <f t="shared" si="1"/>
        <v/>
      </c>
    </row>
    <row r="1993">
      <c r="A1993" s="93" t="str">
        <f t="shared" si="2"/>
        <v>#17190</v>
      </c>
      <c r="B1993" s="93" t="str">
        <f>IF(COUNTIF(MAIN!B:B, A1993)=0, "Missing", "")</f>
        <v/>
      </c>
      <c r="E1993" s="128" t="str">
        <f t="shared" si="1"/>
        <v/>
      </c>
    </row>
    <row r="1994">
      <c r="A1994" s="93" t="str">
        <f t="shared" si="2"/>
        <v>#17191</v>
      </c>
      <c r="B1994" s="93" t="str">
        <f>IF(COUNTIF(MAIN!B:B, A1994)=0, "Missing", "")</f>
        <v/>
      </c>
      <c r="E1994" s="128" t="str">
        <f t="shared" si="1"/>
        <v/>
      </c>
    </row>
    <row r="1995">
      <c r="A1995" s="93" t="str">
        <f t="shared" si="2"/>
        <v>#17192</v>
      </c>
      <c r="B1995" s="93" t="str">
        <f>IF(COUNTIF(MAIN!B:B, A1995)=0, "Missing", "")</f>
        <v/>
      </c>
      <c r="E1995" s="128" t="str">
        <f t="shared" si="1"/>
        <v/>
      </c>
    </row>
    <row r="1996">
      <c r="A1996" s="93" t="str">
        <f t="shared" si="2"/>
        <v>#17193</v>
      </c>
      <c r="B1996" s="93" t="str">
        <f>IF(COUNTIF(MAIN!B:B, A1996)=0, "Missing", "")</f>
        <v/>
      </c>
      <c r="E1996" s="128" t="str">
        <f t="shared" si="1"/>
        <v/>
      </c>
    </row>
    <row r="1997">
      <c r="A1997" s="93" t="str">
        <f t="shared" si="2"/>
        <v>#17194</v>
      </c>
      <c r="B1997" s="93" t="str">
        <f>IF(COUNTIF(MAIN!B:B, A1997)=0, "Missing", "")</f>
        <v/>
      </c>
      <c r="E1997" s="128" t="str">
        <f t="shared" si="1"/>
        <v/>
      </c>
    </row>
    <row r="1998">
      <c r="A1998" s="93" t="str">
        <f t="shared" si="2"/>
        <v>#17195</v>
      </c>
      <c r="B1998" s="93" t="str">
        <f>IF(COUNTIF(MAIN!B:B, A1998)=0, "Missing", "")</f>
        <v/>
      </c>
      <c r="E1998" s="128" t="str">
        <f t="shared" si="1"/>
        <v/>
      </c>
    </row>
    <row r="1999">
      <c r="A1999" s="93" t="str">
        <f t="shared" si="2"/>
        <v>#17196</v>
      </c>
      <c r="B1999" s="93" t="str">
        <f>IF(COUNTIF(MAIN!B:B, A1999)=0, "Missing", "")</f>
        <v/>
      </c>
      <c r="E1999" s="128" t="str">
        <f t="shared" si="1"/>
        <v/>
      </c>
    </row>
    <row r="2000">
      <c r="A2000" s="93" t="str">
        <f t="shared" si="2"/>
        <v>#17197</v>
      </c>
      <c r="B2000" s="93" t="str">
        <f>IF(COUNTIF(MAIN!B:B, A2000)=0, "Missing", "")</f>
        <v/>
      </c>
      <c r="E2000" s="128" t="str">
        <f t="shared" si="1"/>
        <v/>
      </c>
    </row>
    <row r="2001">
      <c r="A2001" s="93" t="str">
        <f t="shared" si="2"/>
        <v>#17198</v>
      </c>
      <c r="B2001" s="93" t="str">
        <f>IF(COUNTIF(MAIN!B:B, A2001)=0, "Missing", "")</f>
        <v>Missing</v>
      </c>
      <c r="C2001" s="84" t="s">
        <v>15238</v>
      </c>
      <c r="E2001" s="131" t="str">
        <f t="shared" si="1"/>
        <v>https://utrucking.myshopify.com/admin/orders?query=17198</v>
      </c>
    </row>
    <row r="2002">
      <c r="A2002" s="93" t="str">
        <f t="shared" si="2"/>
        <v>#17199</v>
      </c>
      <c r="B2002" s="93" t="str">
        <f>IF(COUNTIF(MAIN!B:B, A2002)=0, "Missing", "")</f>
        <v/>
      </c>
      <c r="E2002" s="128" t="str">
        <f t="shared" si="1"/>
        <v/>
      </c>
    </row>
    <row r="2003">
      <c r="A2003" s="93" t="str">
        <f t="shared" si="2"/>
        <v>#17200</v>
      </c>
      <c r="B2003" s="93" t="str">
        <f>IF(COUNTIF(MAIN!B:B, A2003)=0, "Missing", "")</f>
        <v/>
      </c>
      <c r="E2003" s="128" t="str">
        <f t="shared" si="1"/>
        <v/>
      </c>
    </row>
    <row r="2004">
      <c r="A2004" s="93" t="str">
        <f t="shared" si="2"/>
        <v>#17201</v>
      </c>
      <c r="B2004" s="93" t="str">
        <f>IF(COUNTIF(MAIN!B:B, A2004)=0, "Missing", "")</f>
        <v/>
      </c>
      <c r="E2004" s="128" t="str">
        <f t="shared" si="1"/>
        <v/>
      </c>
    </row>
    <row r="2005">
      <c r="A2005" s="93" t="str">
        <f t="shared" si="2"/>
        <v>#17202</v>
      </c>
      <c r="B2005" s="93" t="str">
        <f>IF(COUNTIF(MAIN!B:B, A2005)=0, "Missing", "")</f>
        <v/>
      </c>
      <c r="E2005" s="128" t="str">
        <f t="shared" si="1"/>
        <v/>
      </c>
    </row>
    <row r="2006">
      <c r="A2006" s="93" t="str">
        <f t="shared" si="2"/>
        <v>#17203</v>
      </c>
      <c r="B2006" s="93" t="str">
        <f>IF(COUNTIF(MAIN!B:B, A2006)=0, "Missing", "")</f>
        <v/>
      </c>
      <c r="E2006" s="128" t="str">
        <f t="shared" si="1"/>
        <v/>
      </c>
    </row>
    <row r="2007">
      <c r="A2007" s="93" t="str">
        <f t="shared" si="2"/>
        <v>#17204</v>
      </c>
      <c r="B2007" s="93" t="str">
        <f>IF(COUNTIF(MAIN!B:B, A2007)=0, "Missing", "")</f>
        <v/>
      </c>
      <c r="E2007" s="128" t="str">
        <f t="shared" si="1"/>
        <v/>
      </c>
    </row>
    <row r="2008">
      <c r="A2008" s="93" t="str">
        <f t="shared" si="2"/>
        <v>#17205</v>
      </c>
      <c r="B2008" s="93" t="str">
        <f>IF(COUNTIF(MAIN!B:B, A2008)=0, "Missing", "")</f>
        <v/>
      </c>
      <c r="E2008" s="128" t="str">
        <f t="shared" si="1"/>
        <v/>
      </c>
    </row>
    <row r="2009">
      <c r="A2009" s="93" t="str">
        <f t="shared" si="2"/>
        <v>#17206</v>
      </c>
      <c r="B2009" s="93" t="str">
        <f>IF(COUNTIF(MAIN!B:B, A2009)=0, "Missing", "")</f>
        <v/>
      </c>
      <c r="E2009" s="128" t="str">
        <f t="shared" si="1"/>
        <v/>
      </c>
    </row>
    <row r="2010">
      <c r="A2010" s="93" t="str">
        <f t="shared" si="2"/>
        <v>#17207</v>
      </c>
      <c r="B2010" s="93" t="str">
        <f>IF(COUNTIF(MAIN!B:B, A2010)=0, "Missing", "")</f>
        <v/>
      </c>
      <c r="E2010" s="128" t="str">
        <f t="shared" si="1"/>
        <v/>
      </c>
    </row>
    <row r="2011">
      <c r="A2011" s="93" t="str">
        <f t="shared" si="2"/>
        <v>#17208</v>
      </c>
      <c r="B2011" s="93" t="str">
        <f>IF(COUNTIF(MAIN!B:B, A2011)=0, "Missing", "")</f>
        <v/>
      </c>
      <c r="E2011" s="128" t="str">
        <f t="shared" si="1"/>
        <v/>
      </c>
    </row>
    <row r="2012">
      <c r="A2012" s="93" t="str">
        <f t="shared" si="2"/>
        <v>#17209</v>
      </c>
      <c r="B2012" s="93" t="str">
        <f>IF(COUNTIF(MAIN!B:B, A2012)=0, "Missing", "")</f>
        <v/>
      </c>
      <c r="E2012" s="128" t="str">
        <f t="shared" si="1"/>
        <v/>
      </c>
    </row>
    <row r="2013">
      <c r="A2013" s="93" t="str">
        <f t="shared" si="2"/>
        <v>#17210</v>
      </c>
      <c r="B2013" s="93" t="str">
        <f>IF(COUNTIF(MAIN!B:B, A2013)=0, "Missing", "")</f>
        <v/>
      </c>
      <c r="E2013" s="128" t="str">
        <f t="shared" si="1"/>
        <v/>
      </c>
    </row>
    <row r="2014">
      <c r="A2014" s="93" t="str">
        <f t="shared" si="2"/>
        <v>#17211</v>
      </c>
      <c r="B2014" s="93" t="str">
        <f>IF(COUNTIF(MAIN!B:B, A2014)=0, "Missing", "")</f>
        <v/>
      </c>
      <c r="E2014" s="128" t="str">
        <f t="shared" si="1"/>
        <v/>
      </c>
    </row>
    <row r="2015">
      <c r="A2015" s="93" t="str">
        <f t="shared" si="2"/>
        <v>#17212</v>
      </c>
      <c r="B2015" s="93" t="str">
        <f>IF(COUNTIF(MAIN!B:B, A2015)=0, "Missing", "")</f>
        <v/>
      </c>
      <c r="E2015" s="128" t="str">
        <f t="shared" si="1"/>
        <v/>
      </c>
    </row>
    <row r="2016">
      <c r="A2016" s="93" t="str">
        <f t="shared" si="2"/>
        <v>#17213</v>
      </c>
      <c r="B2016" s="93" t="str">
        <f>IF(COUNTIF(MAIN!B:B, A2016)=0, "Missing", "")</f>
        <v/>
      </c>
      <c r="E2016" s="128" t="str">
        <f t="shared" si="1"/>
        <v/>
      </c>
    </row>
    <row r="2017">
      <c r="A2017" s="93" t="str">
        <f t="shared" si="2"/>
        <v>#17214</v>
      </c>
      <c r="B2017" s="93" t="str">
        <f>IF(COUNTIF(MAIN!B:B, A2017)=0, "Missing", "")</f>
        <v/>
      </c>
      <c r="E2017" s="128" t="str">
        <f t="shared" si="1"/>
        <v/>
      </c>
    </row>
    <row r="2018">
      <c r="A2018" s="93" t="str">
        <f t="shared" si="2"/>
        <v>#17215</v>
      </c>
      <c r="B2018" s="93" t="str">
        <f>IF(COUNTIF(MAIN!B:B, A2018)=0, "Missing", "")</f>
        <v/>
      </c>
      <c r="E2018" s="128" t="str">
        <f t="shared" si="1"/>
        <v/>
      </c>
    </row>
    <row r="2019">
      <c r="A2019" s="93" t="str">
        <f t="shared" si="2"/>
        <v>#17216</v>
      </c>
      <c r="B2019" s="93" t="str">
        <f>IF(COUNTIF(MAIN!B:B, A2019)=0, "Missing", "")</f>
        <v/>
      </c>
      <c r="E2019" s="128" t="str">
        <f t="shared" si="1"/>
        <v/>
      </c>
    </row>
    <row r="2020">
      <c r="A2020" s="93" t="str">
        <f t="shared" si="2"/>
        <v>#17217</v>
      </c>
      <c r="B2020" s="93" t="str">
        <f>IF(COUNTIF(MAIN!B:B, A2020)=0, "Missing", "")</f>
        <v/>
      </c>
      <c r="E2020" s="128" t="str">
        <f t="shared" si="1"/>
        <v/>
      </c>
    </row>
    <row r="2021">
      <c r="A2021" s="93" t="str">
        <f t="shared" si="2"/>
        <v>#17218</v>
      </c>
      <c r="B2021" s="93" t="str">
        <f>IF(COUNTIF(MAIN!B:B, A2021)=0, "Missing", "")</f>
        <v/>
      </c>
      <c r="E2021" s="128" t="str">
        <f t="shared" si="1"/>
        <v/>
      </c>
    </row>
    <row r="2022">
      <c r="A2022" s="93" t="str">
        <f t="shared" si="2"/>
        <v>#17219</v>
      </c>
      <c r="B2022" s="93" t="str">
        <f>IF(COUNTIF(MAIN!B:B, A2022)=0, "Missing", "")</f>
        <v/>
      </c>
      <c r="E2022" s="128" t="str">
        <f t="shared" si="1"/>
        <v/>
      </c>
    </row>
    <row r="2023">
      <c r="A2023" s="93" t="str">
        <f t="shared" si="2"/>
        <v>#17220</v>
      </c>
      <c r="B2023" s="93" t="str">
        <f>IF(COUNTIF(MAIN!B:B, A2023)=0, "Missing", "")</f>
        <v/>
      </c>
      <c r="E2023" s="128" t="str">
        <f t="shared" si="1"/>
        <v/>
      </c>
    </row>
    <row r="2024">
      <c r="A2024" s="93" t="str">
        <f t="shared" si="2"/>
        <v>#17221</v>
      </c>
      <c r="B2024" s="93" t="str">
        <f>IF(COUNTIF(MAIN!B:B, A2024)=0, "Missing", "")</f>
        <v>Missing</v>
      </c>
      <c r="C2024" s="84" t="s">
        <v>14151</v>
      </c>
      <c r="E2024" s="131" t="str">
        <f t="shared" si="1"/>
        <v>https://utrucking.myshopify.com/admin/orders?query=17221</v>
      </c>
    </row>
    <row r="2025">
      <c r="A2025" s="93" t="str">
        <f t="shared" si="2"/>
        <v>#17222</v>
      </c>
      <c r="B2025" s="93" t="str">
        <f>IF(COUNTIF(MAIN!B:B, A2025)=0, "Missing", "")</f>
        <v>Missing</v>
      </c>
      <c r="C2025" s="84" t="s">
        <v>15241</v>
      </c>
      <c r="E2025" s="131" t="str">
        <f t="shared" si="1"/>
        <v>https://utrucking.myshopify.com/admin/orders?query=17222</v>
      </c>
    </row>
    <row r="2026">
      <c r="A2026" s="93" t="str">
        <f t="shared" si="2"/>
        <v>#17223</v>
      </c>
      <c r="B2026" s="93" t="str">
        <f>IF(COUNTIF(MAIN!B:B, A2026)=0, "Missing", "")</f>
        <v/>
      </c>
      <c r="E2026" s="128" t="str">
        <f t="shared" si="1"/>
        <v/>
      </c>
    </row>
    <row r="2027">
      <c r="A2027" s="93" t="str">
        <f t="shared" si="2"/>
        <v>#17224</v>
      </c>
      <c r="B2027" s="93" t="str">
        <f>IF(COUNTIF(MAIN!B:B, A2027)=0, "Missing", "")</f>
        <v/>
      </c>
      <c r="E2027" s="128" t="str">
        <f t="shared" si="1"/>
        <v/>
      </c>
    </row>
    <row r="2028">
      <c r="A2028" s="93" t="str">
        <f t="shared" si="2"/>
        <v>#17225</v>
      </c>
      <c r="B2028" s="93" t="str">
        <f>IF(COUNTIF(MAIN!B:B, A2028)=0, "Missing", "")</f>
        <v/>
      </c>
      <c r="E2028" s="128" t="str">
        <f t="shared" si="1"/>
        <v/>
      </c>
    </row>
    <row r="2029">
      <c r="A2029" s="93" t="str">
        <f t="shared" si="2"/>
        <v>#17226</v>
      </c>
      <c r="B2029" s="93" t="str">
        <f>IF(COUNTIF(MAIN!B:B, A2029)=0, "Missing", "")</f>
        <v/>
      </c>
      <c r="E2029" s="128" t="str">
        <f t="shared" si="1"/>
        <v/>
      </c>
    </row>
    <row r="2030">
      <c r="A2030" s="93" t="str">
        <f t="shared" si="2"/>
        <v>#17227</v>
      </c>
      <c r="B2030" s="93" t="str">
        <f>IF(COUNTIF(MAIN!B:B, A2030)=0, "Missing", "")</f>
        <v/>
      </c>
      <c r="E2030" s="128" t="str">
        <f t="shared" si="1"/>
        <v/>
      </c>
    </row>
    <row r="2031">
      <c r="A2031" s="93" t="str">
        <f t="shared" si="2"/>
        <v>#17228</v>
      </c>
      <c r="B2031" s="93" t="str">
        <f>IF(COUNTIF(MAIN!B:B, A2031)=0, "Missing", "")</f>
        <v/>
      </c>
      <c r="E2031" s="128" t="str">
        <f t="shared" si="1"/>
        <v/>
      </c>
    </row>
    <row r="2032">
      <c r="A2032" s="93" t="str">
        <f t="shared" si="2"/>
        <v>#17229</v>
      </c>
      <c r="B2032" s="93" t="str">
        <f>IF(COUNTIF(MAIN!B:B, A2032)=0, "Missing", "")</f>
        <v/>
      </c>
      <c r="E2032" s="128" t="str">
        <f t="shared" si="1"/>
        <v/>
      </c>
    </row>
    <row r="2033">
      <c r="A2033" s="93" t="str">
        <f t="shared" si="2"/>
        <v>#17230</v>
      </c>
      <c r="B2033" s="93" t="str">
        <f>IF(COUNTIF(MAIN!B:B, A2033)=0, "Missing", "")</f>
        <v/>
      </c>
      <c r="E2033" s="128" t="str">
        <f t="shared" si="1"/>
        <v/>
      </c>
    </row>
    <row r="2034">
      <c r="A2034" s="93" t="str">
        <f t="shared" si="2"/>
        <v>#17231</v>
      </c>
      <c r="B2034" s="93" t="str">
        <f>IF(COUNTIF(MAIN!B:B, A2034)=0, "Missing", "")</f>
        <v/>
      </c>
      <c r="E2034" s="128" t="str">
        <f t="shared" si="1"/>
        <v/>
      </c>
    </row>
    <row r="2035">
      <c r="A2035" s="93" t="str">
        <f t="shared" si="2"/>
        <v>#17232</v>
      </c>
      <c r="B2035" s="93" t="str">
        <f>IF(COUNTIF(MAIN!B:B, A2035)=0, "Missing", "")</f>
        <v/>
      </c>
      <c r="E2035" s="128" t="str">
        <f t="shared" si="1"/>
        <v/>
      </c>
    </row>
    <row r="2036">
      <c r="A2036" s="93" t="str">
        <f t="shared" si="2"/>
        <v>#17233</v>
      </c>
      <c r="B2036" s="93" t="str">
        <f>IF(COUNTIF(MAIN!B:B, A2036)=0, "Missing", "")</f>
        <v/>
      </c>
      <c r="E2036" s="128" t="str">
        <f t="shared" si="1"/>
        <v/>
      </c>
    </row>
    <row r="2037">
      <c r="A2037" s="93" t="str">
        <f t="shared" si="2"/>
        <v>#17234</v>
      </c>
      <c r="B2037" s="93" t="str">
        <f>IF(COUNTIF(MAIN!B:B, A2037)=0, "Missing", "")</f>
        <v/>
      </c>
      <c r="E2037" s="128" t="str">
        <f t="shared" si="1"/>
        <v/>
      </c>
    </row>
    <row r="2038">
      <c r="A2038" s="93" t="str">
        <f t="shared" si="2"/>
        <v>#17235</v>
      </c>
      <c r="B2038" s="93" t="str">
        <f>IF(COUNTIF(MAIN!B:B, A2038)=0, "Missing", "")</f>
        <v/>
      </c>
      <c r="E2038" s="128" t="str">
        <f t="shared" si="1"/>
        <v/>
      </c>
    </row>
    <row r="2039">
      <c r="A2039" s="93" t="str">
        <f t="shared" si="2"/>
        <v>#17236</v>
      </c>
      <c r="B2039" s="93" t="str">
        <f>IF(COUNTIF(MAIN!B:B, A2039)=0, "Missing", "")</f>
        <v/>
      </c>
      <c r="E2039" s="128" t="str">
        <f t="shared" si="1"/>
        <v/>
      </c>
    </row>
    <row r="2040">
      <c r="A2040" s="93" t="str">
        <f t="shared" si="2"/>
        <v>#17237</v>
      </c>
      <c r="B2040" s="93" t="str">
        <f>IF(COUNTIF(MAIN!B:B, A2040)=0, "Missing", "")</f>
        <v/>
      </c>
      <c r="E2040" s="128" t="str">
        <f t="shared" si="1"/>
        <v/>
      </c>
    </row>
    <row r="2041">
      <c r="A2041" s="93" t="str">
        <f t="shared" si="2"/>
        <v>#17238</v>
      </c>
      <c r="B2041" s="93" t="str">
        <f>IF(COUNTIF(MAIN!B:B, A2041)=0, "Missing", "")</f>
        <v/>
      </c>
      <c r="E2041" s="128" t="str">
        <f t="shared" si="1"/>
        <v/>
      </c>
    </row>
    <row r="2042">
      <c r="A2042" s="93" t="str">
        <f t="shared" si="2"/>
        <v>#17239</v>
      </c>
      <c r="B2042" s="93" t="str">
        <f>IF(COUNTIF(MAIN!B:B, A2042)=0, "Missing", "")</f>
        <v/>
      </c>
      <c r="E2042" s="128" t="str">
        <f t="shared" si="1"/>
        <v/>
      </c>
    </row>
    <row r="2043">
      <c r="A2043" s="93" t="str">
        <f t="shared" si="2"/>
        <v>#17240</v>
      </c>
      <c r="B2043" s="93" t="str">
        <f>IF(COUNTIF(MAIN!B:B, A2043)=0, "Missing", "")</f>
        <v/>
      </c>
      <c r="E2043" s="128" t="str">
        <f t="shared" si="1"/>
        <v/>
      </c>
    </row>
    <row r="2044">
      <c r="A2044" s="93" t="str">
        <f t="shared" si="2"/>
        <v>#17241</v>
      </c>
      <c r="B2044" s="93" t="str">
        <f>IF(COUNTIF(MAIN!B:B, A2044)=0, "Missing", "")</f>
        <v/>
      </c>
      <c r="E2044" s="128" t="str">
        <f t="shared" si="1"/>
        <v/>
      </c>
    </row>
    <row r="2045">
      <c r="A2045" s="93" t="str">
        <f t="shared" si="2"/>
        <v>#17242</v>
      </c>
      <c r="B2045" s="93" t="str">
        <f>IF(COUNTIF(MAIN!B:B, A2045)=0, "Missing", "")</f>
        <v/>
      </c>
      <c r="E2045" s="128" t="str">
        <f t="shared" si="1"/>
        <v/>
      </c>
    </row>
    <row r="2046">
      <c r="A2046" s="93" t="str">
        <f t="shared" si="2"/>
        <v>#17243</v>
      </c>
      <c r="B2046" s="93" t="str">
        <f>IF(COUNTIF(MAIN!B:B, A2046)=0, "Missing", "")</f>
        <v/>
      </c>
      <c r="E2046" s="128" t="str">
        <f t="shared" si="1"/>
        <v/>
      </c>
    </row>
    <row r="2047">
      <c r="A2047" s="93" t="str">
        <f t="shared" si="2"/>
        <v>#17244</v>
      </c>
      <c r="B2047" s="93" t="str">
        <f>IF(COUNTIF(MAIN!B:B, A2047)=0, "Missing", "")</f>
        <v/>
      </c>
      <c r="E2047" s="128" t="str">
        <f t="shared" si="1"/>
        <v/>
      </c>
    </row>
    <row r="2048">
      <c r="A2048" s="93" t="str">
        <f t="shared" si="2"/>
        <v>#17245</v>
      </c>
      <c r="B2048" s="93" t="str">
        <f>IF(COUNTIF(MAIN!B:B, A2048)=0, "Missing", "")</f>
        <v/>
      </c>
      <c r="E2048" s="128" t="str">
        <f t="shared" si="1"/>
        <v/>
      </c>
    </row>
    <row r="2049">
      <c r="A2049" s="93" t="str">
        <f t="shared" si="2"/>
        <v>#17246</v>
      </c>
      <c r="B2049" s="93" t="str">
        <f>IF(COUNTIF(MAIN!B:B, A2049)=0, "Missing", "")</f>
        <v/>
      </c>
      <c r="E2049" s="128" t="str">
        <f t="shared" si="1"/>
        <v/>
      </c>
    </row>
    <row r="2050">
      <c r="A2050" s="93" t="str">
        <f t="shared" si="2"/>
        <v>#17247</v>
      </c>
      <c r="B2050" s="93" t="str">
        <f>IF(COUNTIF(MAIN!B:B, A2050)=0, "Missing", "")</f>
        <v/>
      </c>
      <c r="E2050" s="128" t="str">
        <f t="shared" si="1"/>
        <v/>
      </c>
    </row>
    <row r="2051">
      <c r="A2051" s="93" t="str">
        <f t="shared" si="2"/>
        <v>#17248</v>
      </c>
      <c r="B2051" s="93" t="str">
        <f>IF(COUNTIF(MAIN!B:B, A2051)=0, "Missing", "")</f>
        <v/>
      </c>
      <c r="E2051" s="128" t="str">
        <f t="shared" si="1"/>
        <v/>
      </c>
    </row>
    <row r="2052">
      <c r="A2052" s="93" t="str">
        <f t="shared" si="2"/>
        <v>#17249</v>
      </c>
      <c r="B2052" s="93" t="str">
        <f>IF(COUNTIF(MAIN!B:B, A2052)=0, "Missing", "")</f>
        <v/>
      </c>
      <c r="E2052" s="128" t="str">
        <f t="shared" si="1"/>
        <v/>
      </c>
    </row>
    <row r="2053">
      <c r="A2053" s="93" t="str">
        <f t="shared" si="2"/>
        <v>#17250</v>
      </c>
      <c r="B2053" s="93" t="str">
        <f>IF(COUNTIF(MAIN!B:B, A2053)=0, "Missing", "")</f>
        <v/>
      </c>
      <c r="E2053" s="128" t="str">
        <f t="shared" si="1"/>
        <v/>
      </c>
    </row>
    <row r="2054">
      <c r="A2054" s="93" t="str">
        <f t="shared" si="2"/>
        <v>#17251</v>
      </c>
      <c r="B2054" s="93" t="str">
        <f>IF(COUNTIF(MAIN!B:B, A2054)=0, "Missing", "")</f>
        <v/>
      </c>
      <c r="E2054" s="128" t="str">
        <f t="shared" si="1"/>
        <v/>
      </c>
    </row>
    <row r="2055">
      <c r="A2055" s="93" t="str">
        <f t="shared" si="2"/>
        <v>#17252</v>
      </c>
      <c r="B2055" s="93" t="str">
        <f>IF(COUNTIF(MAIN!B:B, A2055)=0, "Missing", "")</f>
        <v/>
      </c>
      <c r="E2055" s="128" t="str">
        <f t="shared" si="1"/>
        <v/>
      </c>
    </row>
    <row r="2056">
      <c r="A2056" s="93" t="str">
        <f t="shared" si="2"/>
        <v>#17253</v>
      </c>
      <c r="B2056" s="93" t="str">
        <f>IF(COUNTIF(MAIN!B:B, A2056)=0, "Missing", "")</f>
        <v/>
      </c>
      <c r="E2056" s="128" t="str">
        <f t="shared" si="1"/>
        <v/>
      </c>
    </row>
    <row r="2057">
      <c r="A2057" s="93" t="str">
        <f t="shared" si="2"/>
        <v>#17254</v>
      </c>
      <c r="B2057" s="93" t="str">
        <f>IF(COUNTIF(MAIN!B:B, A2057)=0, "Missing", "")</f>
        <v/>
      </c>
      <c r="E2057" s="128" t="str">
        <f t="shared" si="1"/>
        <v/>
      </c>
    </row>
    <row r="2058">
      <c r="A2058" s="93" t="str">
        <f t="shared" si="2"/>
        <v>#17255</v>
      </c>
      <c r="B2058" s="93" t="str">
        <f>IF(COUNTIF(MAIN!B:B, A2058)=0, "Missing", "")</f>
        <v/>
      </c>
      <c r="E2058" s="128" t="str">
        <f t="shared" si="1"/>
        <v/>
      </c>
    </row>
    <row r="2059">
      <c r="A2059" s="93" t="str">
        <f t="shared" si="2"/>
        <v>#17256</v>
      </c>
      <c r="B2059" s="93" t="str">
        <f>IF(COUNTIF(MAIN!B:B, A2059)=0, "Missing", "")</f>
        <v/>
      </c>
      <c r="E2059" s="128" t="str">
        <f t="shared" si="1"/>
        <v/>
      </c>
    </row>
    <row r="2060">
      <c r="A2060" s="93" t="str">
        <f t="shared" si="2"/>
        <v>#17257</v>
      </c>
      <c r="B2060" s="93" t="str">
        <f>IF(COUNTIF(MAIN!B:B, A2060)=0, "Missing", "")</f>
        <v/>
      </c>
      <c r="E2060" s="128" t="str">
        <f t="shared" si="1"/>
        <v/>
      </c>
    </row>
    <row r="2061">
      <c r="A2061" s="93" t="str">
        <f t="shared" si="2"/>
        <v>#17258</v>
      </c>
      <c r="B2061" s="93" t="str">
        <f>IF(COUNTIF(MAIN!B:B, A2061)=0, "Missing", "")</f>
        <v/>
      </c>
      <c r="E2061" s="128" t="str">
        <f t="shared" si="1"/>
        <v/>
      </c>
    </row>
    <row r="2062">
      <c r="A2062" s="93" t="str">
        <f t="shared" si="2"/>
        <v>#17259</v>
      </c>
      <c r="B2062" s="93" t="str">
        <f>IF(COUNTIF(MAIN!B:B, A2062)=0, "Missing", "")</f>
        <v/>
      </c>
      <c r="E2062" s="128" t="str">
        <f t="shared" si="1"/>
        <v/>
      </c>
    </row>
    <row r="2063">
      <c r="A2063" s="93" t="str">
        <f t="shared" si="2"/>
        <v>#17260</v>
      </c>
      <c r="B2063" s="93" t="str">
        <f>IF(COUNTIF(MAIN!B:B, A2063)=0, "Missing", "")</f>
        <v>Missing</v>
      </c>
      <c r="C2063" s="84" t="s">
        <v>15231</v>
      </c>
      <c r="E2063" s="131" t="str">
        <f t="shared" si="1"/>
        <v>https://utrucking.myshopify.com/admin/orders?query=17260</v>
      </c>
    </row>
    <row r="2064">
      <c r="A2064" s="93" t="str">
        <f t="shared" si="2"/>
        <v>#17261</v>
      </c>
      <c r="B2064" s="93" t="str">
        <f>IF(COUNTIF(MAIN!B:B, A2064)=0, "Missing", "")</f>
        <v/>
      </c>
      <c r="E2064" s="128" t="str">
        <f t="shared" si="1"/>
        <v/>
      </c>
    </row>
    <row r="2065">
      <c r="A2065" s="93" t="str">
        <f t="shared" si="2"/>
        <v>#17262</v>
      </c>
      <c r="B2065" s="93" t="str">
        <f>IF(COUNTIF(MAIN!B:B, A2065)=0, "Missing", "")</f>
        <v>Missing</v>
      </c>
      <c r="C2065" s="84" t="s">
        <v>15231</v>
      </c>
      <c r="E2065" s="131" t="str">
        <f t="shared" si="1"/>
        <v>https://utrucking.myshopify.com/admin/orders?query=17262</v>
      </c>
    </row>
    <row r="2066">
      <c r="A2066" s="93" t="str">
        <f t="shared" si="2"/>
        <v>#17263</v>
      </c>
      <c r="B2066" s="93" t="str">
        <f>IF(COUNTIF(MAIN!B:B, A2066)=0, "Missing", "")</f>
        <v/>
      </c>
      <c r="E2066" s="128" t="str">
        <f t="shared" si="1"/>
        <v/>
      </c>
    </row>
    <row r="2067">
      <c r="A2067" s="93" t="str">
        <f t="shared" si="2"/>
        <v>#17264</v>
      </c>
      <c r="B2067" s="93" t="str">
        <f>IF(COUNTIF(MAIN!B:B, A2067)=0, "Missing", "")</f>
        <v/>
      </c>
      <c r="E2067" s="128" t="str">
        <f t="shared" si="1"/>
        <v/>
      </c>
    </row>
    <row r="2068">
      <c r="A2068" s="93" t="str">
        <f t="shared" si="2"/>
        <v>#17265</v>
      </c>
      <c r="B2068" s="93" t="str">
        <f>IF(COUNTIF(MAIN!B:B, A2068)=0, "Missing", "")</f>
        <v/>
      </c>
      <c r="E2068" s="128" t="str">
        <f t="shared" si="1"/>
        <v/>
      </c>
    </row>
    <row r="2069">
      <c r="A2069" s="93" t="str">
        <f t="shared" si="2"/>
        <v>#17266</v>
      </c>
      <c r="B2069" s="93" t="str">
        <f>IF(COUNTIF(MAIN!B:B, A2069)=0, "Missing", "")</f>
        <v/>
      </c>
      <c r="E2069" s="128" t="str">
        <f t="shared" si="1"/>
        <v/>
      </c>
    </row>
    <row r="2070">
      <c r="A2070" s="93" t="str">
        <f t="shared" si="2"/>
        <v>#17267</v>
      </c>
      <c r="B2070" s="93" t="str">
        <f>IF(COUNTIF(MAIN!B:B, A2070)=0, "Missing", "")</f>
        <v/>
      </c>
      <c r="E2070" s="128" t="str">
        <f t="shared" si="1"/>
        <v/>
      </c>
    </row>
    <row r="2071">
      <c r="A2071" s="93" t="str">
        <f t="shared" si="2"/>
        <v>#17268</v>
      </c>
      <c r="B2071" s="93" t="str">
        <f>IF(COUNTIF(MAIN!B:B, A2071)=0, "Missing", "")</f>
        <v/>
      </c>
      <c r="E2071" s="128" t="str">
        <f t="shared" si="1"/>
        <v/>
      </c>
    </row>
    <row r="2072">
      <c r="A2072" s="93" t="str">
        <f t="shared" si="2"/>
        <v>#17269</v>
      </c>
      <c r="B2072" s="93" t="str">
        <f>IF(COUNTIF(MAIN!B:B, A2072)=0, "Missing", "")</f>
        <v/>
      </c>
      <c r="E2072" s="128" t="str">
        <f t="shared" si="1"/>
        <v/>
      </c>
    </row>
    <row r="2073">
      <c r="A2073" s="93" t="str">
        <f t="shared" si="2"/>
        <v>#17270</v>
      </c>
      <c r="B2073" s="93" t="str">
        <f>IF(COUNTIF(MAIN!B:B, A2073)=0, "Missing", "")</f>
        <v/>
      </c>
      <c r="E2073" s="128" t="str">
        <f t="shared" si="1"/>
        <v/>
      </c>
    </row>
    <row r="2074">
      <c r="A2074" s="93" t="str">
        <f t="shared" si="2"/>
        <v>#17271</v>
      </c>
      <c r="B2074" s="93" t="str">
        <f>IF(COUNTIF(MAIN!B:B, A2074)=0, "Missing", "")</f>
        <v/>
      </c>
      <c r="E2074" s="128" t="str">
        <f t="shared" si="1"/>
        <v/>
      </c>
    </row>
    <row r="2075">
      <c r="A2075" s="93" t="str">
        <f t="shared" si="2"/>
        <v>#17272</v>
      </c>
      <c r="B2075" s="93" t="str">
        <f>IF(COUNTIF(MAIN!B:B, A2075)=0, "Missing", "")</f>
        <v/>
      </c>
      <c r="E2075" s="128" t="str">
        <f t="shared" si="1"/>
        <v/>
      </c>
    </row>
    <row r="2076">
      <c r="A2076" s="93" t="str">
        <f t="shared" si="2"/>
        <v>#17273</v>
      </c>
      <c r="B2076" s="93" t="str">
        <f>IF(COUNTIF(MAIN!B:B, A2076)=0, "Missing", "")</f>
        <v/>
      </c>
      <c r="E2076" s="128" t="str">
        <f t="shared" si="1"/>
        <v/>
      </c>
    </row>
    <row r="2077">
      <c r="A2077" s="93" t="str">
        <f t="shared" si="2"/>
        <v>#17274</v>
      </c>
      <c r="B2077" s="93" t="str">
        <f>IF(COUNTIF(MAIN!B:B, A2077)=0, "Missing", "")</f>
        <v>Missing</v>
      </c>
      <c r="C2077" s="84" t="s">
        <v>15240</v>
      </c>
      <c r="E2077" s="131" t="str">
        <f t="shared" si="1"/>
        <v>https://utrucking.myshopify.com/admin/orders?query=17274</v>
      </c>
    </row>
    <row r="2078">
      <c r="A2078" s="93" t="str">
        <f t="shared" si="2"/>
        <v>#17275</v>
      </c>
      <c r="B2078" s="93" t="str">
        <f>IF(COUNTIF(MAIN!B:B, A2078)=0, "Missing", "")</f>
        <v>Missing</v>
      </c>
      <c r="C2078" s="84" t="s">
        <v>15240</v>
      </c>
      <c r="E2078" s="131" t="str">
        <f t="shared" si="1"/>
        <v>https://utrucking.myshopify.com/admin/orders?query=17275</v>
      </c>
    </row>
    <row r="2079">
      <c r="A2079" s="93" t="str">
        <f t="shared" si="2"/>
        <v>#17276</v>
      </c>
      <c r="B2079" s="93" t="str">
        <f>IF(COUNTIF(MAIN!B:B, A2079)=0, "Missing", "")</f>
        <v>Missing</v>
      </c>
      <c r="C2079" s="84" t="s">
        <v>15240</v>
      </c>
      <c r="E2079" s="131" t="str">
        <f t="shared" si="1"/>
        <v>https://utrucking.myshopify.com/admin/orders?query=17276</v>
      </c>
    </row>
    <row r="2080">
      <c r="A2080" s="93" t="str">
        <f t="shared" si="2"/>
        <v>#17277</v>
      </c>
      <c r="B2080" s="93" t="str">
        <f>IF(COUNTIF(MAIN!B:B, A2080)=0, "Missing", "")</f>
        <v/>
      </c>
      <c r="E2080" s="128" t="str">
        <f t="shared" si="1"/>
        <v/>
      </c>
    </row>
    <row r="2081">
      <c r="A2081" s="93" t="str">
        <f t="shared" si="2"/>
        <v>#17278</v>
      </c>
      <c r="B2081" s="93" t="str">
        <f>IF(COUNTIF(MAIN!B:B, A2081)=0, "Missing", "")</f>
        <v/>
      </c>
      <c r="E2081" s="128" t="str">
        <f t="shared" si="1"/>
        <v/>
      </c>
    </row>
    <row r="2082">
      <c r="A2082" s="93" t="str">
        <f t="shared" si="2"/>
        <v>#17279</v>
      </c>
      <c r="B2082" s="93" t="str">
        <f>IF(COUNTIF(MAIN!B:B, A2082)=0, "Missing", "")</f>
        <v/>
      </c>
      <c r="E2082" s="128" t="str">
        <f t="shared" si="1"/>
        <v/>
      </c>
    </row>
    <row r="2083">
      <c r="A2083" s="93" t="str">
        <f t="shared" si="2"/>
        <v>#17280</v>
      </c>
      <c r="B2083" s="93" t="str">
        <f>IF(COUNTIF(MAIN!B:B, A2083)=0, "Missing", "")</f>
        <v/>
      </c>
      <c r="E2083" s="128" t="str">
        <f t="shared" si="1"/>
        <v/>
      </c>
    </row>
    <row r="2084">
      <c r="A2084" s="93" t="str">
        <f t="shared" si="2"/>
        <v>#17281</v>
      </c>
      <c r="B2084" s="93" t="str">
        <f>IF(COUNTIF(MAIN!B:B, A2084)=0, "Missing", "")</f>
        <v/>
      </c>
      <c r="E2084" s="128" t="str">
        <f t="shared" si="1"/>
        <v/>
      </c>
    </row>
    <row r="2085">
      <c r="A2085" s="93" t="str">
        <f t="shared" si="2"/>
        <v>#17282</v>
      </c>
      <c r="B2085" s="93" t="str">
        <f>IF(COUNTIF(MAIN!B:B, A2085)=0, "Missing", "")</f>
        <v/>
      </c>
      <c r="E2085" s="128" t="str">
        <f t="shared" si="1"/>
        <v/>
      </c>
    </row>
    <row r="2086">
      <c r="A2086" s="93" t="str">
        <f t="shared" si="2"/>
        <v>#17283</v>
      </c>
      <c r="B2086" s="93" t="str">
        <f>IF(COUNTIF(MAIN!B:B, A2086)=0, "Missing", "")</f>
        <v/>
      </c>
      <c r="E2086" s="128" t="str">
        <f t="shared" si="1"/>
        <v/>
      </c>
    </row>
    <row r="2087">
      <c r="A2087" s="93" t="str">
        <f t="shared" si="2"/>
        <v>#17284</v>
      </c>
      <c r="B2087" s="93" t="str">
        <f>IF(COUNTIF(MAIN!B:B, A2087)=0, "Missing", "")</f>
        <v>Missing</v>
      </c>
      <c r="C2087" s="84" t="s">
        <v>15240</v>
      </c>
      <c r="E2087" s="131" t="str">
        <f t="shared" si="1"/>
        <v>https://utrucking.myshopify.com/admin/orders?query=17284</v>
      </c>
    </row>
    <row r="2088">
      <c r="A2088" s="93" t="str">
        <f t="shared" si="2"/>
        <v>#17285</v>
      </c>
      <c r="B2088" s="93" t="str">
        <f>IF(COUNTIF(MAIN!B:B, A2088)=0, "Missing", "")</f>
        <v>Missing</v>
      </c>
      <c r="C2088" s="84" t="s">
        <v>15240</v>
      </c>
      <c r="E2088" s="131" t="str">
        <f t="shared" si="1"/>
        <v>https://utrucking.myshopify.com/admin/orders?query=17285</v>
      </c>
    </row>
    <row r="2089">
      <c r="A2089" s="93" t="str">
        <f t="shared" si="2"/>
        <v>#17286</v>
      </c>
      <c r="B2089" s="93" t="str">
        <f>IF(COUNTIF(MAIN!B:B, A2089)=0, "Missing", "")</f>
        <v/>
      </c>
      <c r="E2089" s="128" t="str">
        <f t="shared" si="1"/>
        <v/>
      </c>
    </row>
    <row r="2090">
      <c r="A2090" s="93" t="str">
        <f t="shared" si="2"/>
        <v>#17287</v>
      </c>
      <c r="B2090" s="93" t="str">
        <f>IF(COUNTIF(MAIN!B:B, A2090)=0, "Missing", "")</f>
        <v>Missing</v>
      </c>
      <c r="C2090" s="84" t="s">
        <v>15240</v>
      </c>
      <c r="E2090" s="131" t="str">
        <f t="shared" si="1"/>
        <v>https://utrucking.myshopify.com/admin/orders?query=17287</v>
      </c>
    </row>
    <row r="2091">
      <c r="A2091" s="93" t="str">
        <f t="shared" si="2"/>
        <v>#17288</v>
      </c>
      <c r="B2091" s="93" t="str">
        <f>IF(COUNTIF(MAIN!B:B, A2091)=0, "Missing", "")</f>
        <v/>
      </c>
      <c r="E2091" s="128" t="str">
        <f t="shared" si="1"/>
        <v/>
      </c>
    </row>
    <row r="2092">
      <c r="A2092" s="93" t="str">
        <f t="shared" si="2"/>
        <v>#17289</v>
      </c>
      <c r="B2092" s="93" t="str">
        <f>IF(COUNTIF(MAIN!B:B, A2092)=0, "Missing", "")</f>
        <v/>
      </c>
      <c r="E2092" s="128" t="str">
        <f t="shared" si="1"/>
        <v/>
      </c>
    </row>
    <row r="2093">
      <c r="A2093" s="93" t="str">
        <f t="shared" si="2"/>
        <v>#17290</v>
      </c>
      <c r="B2093" s="93" t="str">
        <f>IF(COUNTIF(MAIN!B:B, A2093)=0, "Missing", "")</f>
        <v/>
      </c>
      <c r="E2093" s="128" t="str">
        <f t="shared" si="1"/>
        <v/>
      </c>
    </row>
    <row r="2094">
      <c r="A2094" s="93" t="str">
        <f t="shared" si="2"/>
        <v>#17291</v>
      </c>
      <c r="B2094" s="93" t="str">
        <f>IF(COUNTIF(MAIN!B:B, A2094)=0, "Missing", "")</f>
        <v/>
      </c>
      <c r="E2094" s="128" t="str">
        <f t="shared" si="1"/>
        <v/>
      </c>
    </row>
    <row r="2095">
      <c r="A2095" s="93" t="str">
        <f t="shared" si="2"/>
        <v>#17292</v>
      </c>
      <c r="B2095" s="93" t="str">
        <f>IF(COUNTIF(MAIN!B:B, A2095)=0, "Missing", "")</f>
        <v/>
      </c>
      <c r="E2095" s="128" t="str">
        <f t="shared" si="1"/>
        <v/>
      </c>
    </row>
    <row r="2096">
      <c r="A2096" s="93" t="str">
        <f t="shared" si="2"/>
        <v>#17293</v>
      </c>
      <c r="B2096" s="93" t="str">
        <f>IF(COUNTIF(MAIN!B:B, A2096)=0, "Missing", "")</f>
        <v/>
      </c>
      <c r="E2096" s="128" t="str">
        <f t="shared" si="1"/>
        <v/>
      </c>
    </row>
    <row r="2097">
      <c r="A2097" s="93" t="str">
        <f t="shared" si="2"/>
        <v>#17294</v>
      </c>
      <c r="B2097" s="93" t="str">
        <f>IF(COUNTIF(MAIN!B:B, A2097)=0, "Missing", "")</f>
        <v/>
      </c>
      <c r="E2097" s="128" t="str">
        <f t="shared" si="1"/>
        <v/>
      </c>
    </row>
    <row r="2098">
      <c r="A2098" s="93" t="str">
        <f t="shared" si="2"/>
        <v>#17295</v>
      </c>
      <c r="B2098" s="93" t="str">
        <f>IF(COUNTIF(MAIN!B:B, A2098)=0, "Missing", "")</f>
        <v/>
      </c>
      <c r="E2098" s="128" t="str">
        <f t="shared" si="1"/>
        <v/>
      </c>
    </row>
    <row r="2099">
      <c r="A2099" s="93" t="str">
        <f t="shared" si="2"/>
        <v>#17296</v>
      </c>
      <c r="B2099" s="93" t="str">
        <f>IF(COUNTIF(MAIN!B:B, A2099)=0, "Missing", "")</f>
        <v/>
      </c>
      <c r="E2099" s="128" t="str">
        <f t="shared" si="1"/>
        <v/>
      </c>
    </row>
    <row r="2100">
      <c r="A2100" s="93" t="str">
        <f t="shared" si="2"/>
        <v>#17297</v>
      </c>
      <c r="B2100" s="93" t="str">
        <f>IF(COUNTIF(MAIN!B:B, A2100)=0, "Missing", "")</f>
        <v/>
      </c>
      <c r="E2100" s="128" t="str">
        <f t="shared" si="1"/>
        <v/>
      </c>
    </row>
    <row r="2101">
      <c r="A2101" s="93" t="str">
        <f t="shared" si="2"/>
        <v>#17298</v>
      </c>
      <c r="B2101" s="93" t="str">
        <f>IF(COUNTIF(MAIN!B:B, A2101)=0, "Missing", "")</f>
        <v/>
      </c>
      <c r="E2101" s="128" t="str">
        <f t="shared" si="1"/>
        <v/>
      </c>
    </row>
    <row r="2102">
      <c r="A2102" s="93" t="str">
        <f t="shared" si="2"/>
        <v>#17299</v>
      </c>
      <c r="B2102" s="93" t="str">
        <f>IF(COUNTIF(MAIN!B:B, A2102)=0, "Missing", "")</f>
        <v/>
      </c>
      <c r="E2102" s="128" t="str">
        <f t="shared" si="1"/>
        <v/>
      </c>
    </row>
    <row r="2103">
      <c r="A2103" s="93" t="str">
        <f t="shared" si="2"/>
        <v>#17300</v>
      </c>
      <c r="B2103" s="93" t="str">
        <f>IF(COUNTIF(MAIN!B:B, A2103)=0, "Missing", "")</f>
        <v/>
      </c>
      <c r="E2103" s="128" t="str">
        <f t="shared" si="1"/>
        <v/>
      </c>
    </row>
    <row r="2104">
      <c r="A2104" s="93" t="str">
        <f t="shared" si="2"/>
        <v>#17301</v>
      </c>
      <c r="B2104" s="93" t="str">
        <f>IF(COUNTIF(MAIN!B:B, A2104)=0, "Missing", "")</f>
        <v/>
      </c>
      <c r="E2104" s="128" t="str">
        <f t="shared" si="1"/>
        <v/>
      </c>
    </row>
    <row r="2105">
      <c r="A2105" s="93" t="str">
        <f t="shared" si="2"/>
        <v>#17302</v>
      </c>
      <c r="B2105" s="93" t="str">
        <f>IF(COUNTIF(MAIN!B:B, A2105)=0, "Missing", "")</f>
        <v/>
      </c>
      <c r="E2105" s="128" t="str">
        <f t="shared" si="1"/>
        <v/>
      </c>
    </row>
    <row r="2106">
      <c r="A2106" s="93" t="str">
        <f t="shared" si="2"/>
        <v>#17303</v>
      </c>
      <c r="B2106" s="93" t="str">
        <f>IF(COUNTIF(MAIN!B:B, A2106)=0, "Missing", "")</f>
        <v/>
      </c>
      <c r="E2106" s="128" t="str">
        <f t="shared" si="1"/>
        <v/>
      </c>
    </row>
    <row r="2107">
      <c r="A2107" s="93" t="str">
        <f t="shared" si="2"/>
        <v>#17304</v>
      </c>
      <c r="B2107" s="93" t="str">
        <f>IF(COUNTIF(MAIN!B:B, A2107)=0, "Missing", "")</f>
        <v/>
      </c>
      <c r="E2107" s="128" t="str">
        <f t="shared" si="1"/>
        <v/>
      </c>
    </row>
    <row r="2108">
      <c r="A2108" s="93" t="str">
        <f t="shared" si="2"/>
        <v>#17305</v>
      </c>
      <c r="B2108" s="93" t="str">
        <f>IF(COUNTIF(MAIN!B:B, A2108)=0, "Missing", "")</f>
        <v/>
      </c>
      <c r="E2108" s="128" t="str">
        <f t="shared" si="1"/>
        <v/>
      </c>
    </row>
    <row r="2109">
      <c r="A2109" s="93" t="str">
        <f t="shared" si="2"/>
        <v>#17306</v>
      </c>
      <c r="B2109" s="93" t="str">
        <f>IF(COUNTIF(MAIN!B:B, A2109)=0, "Missing", "")</f>
        <v>Missing</v>
      </c>
      <c r="C2109" s="84" t="s">
        <v>15238</v>
      </c>
      <c r="E2109" s="131" t="str">
        <f t="shared" si="1"/>
        <v>https://utrucking.myshopify.com/admin/orders?query=17306</v>
      </c>
    </row>
    <row r="2110">
      <c r="A2110" s="93" t="str">
        <f t="shared" si="2"/>
        <v>#17307</v>
      </c>
      <c r="B2110" s="93" t="str">
        <f>IF(COUNTIF(MAIN!B:B, A2110)=0, "Missing", "")</f>
        <v/>
      </c>
      <c r="E2110" s="128" t="str">
        <f t="shared" si="1"/>
        <v/>
      </c>
    </row>
    <row r="2111">
      <c r="A2111" s="93" t="str">
        <f t="shared" si="2"/>
        <v>#17308</v>
      </c>
      <c r="B2111" s="93" t="str">
        <f>IF(COUNTIF(MAIN!B:B, A2111)=0, "Missing", "")</f>
        <v/>
      </c>
      <c r="E2111" s="128" t="str">
        <f t="shared" si="1"/>
        <v/>
      </c>
    </row>
    <row r="2112">
      <c r="A2112" s="93" t="str">
        <f t="shared" si="2"/>
        <v>#17309</v>
      </c>
      <c r="B2112" s="93" t="str">
        <f>IF(COUNTIF(MAIN!B:B, A2112)=0, "Missing", "")</f>
        <v/>
      </c>
      <c r="E2112" s="128" t="str">
        <f t="shared" si="1"/>
        <v/>
      </c>
    </row>
    <row r="2113">
      <c r="A2113" s="93" t="str">
        <f t="shared" si="2"/>
        <v>#17310</v>
      </c>
      <c r="B2113" s="93" t="str">
        <f>IF(COUNTIF(MAIN!B:B, A2113)=0, "Missing", "")</f>
        <v/>
      </c>
      <c r="E2113" s="128" t="str">
        <f t="shared" si="1"/>
        <v/>
      </c>
    </row>
    <row r="2114">
      <c r="A2114" s="93" t="str">
        <f t="shared" si="2"/>
        <v>#17311</v>
      </c>
      <c r="B2114" s="93" t="str">
        <f>IF(COUNTIF(MAIN!B:B, A2114)=0, "Missing", "")</f>
        <v/>
      </c>
      <c r="E2114" s="128" t="str">
        <f t="shared" si="1"/>
        <v/>
      </c>
    </row>
    <row r="2115">
      <c r="A2115" s="93" t="str">
        <f t="shared" si="2"/>
        <v>#17312</v>
      </c>
      <c r="B2115" s="93" t="str">
        <f>IF(COUNTIF(MAIN!B:B, A2115)=0, "Missing", "")</f>
        <v/>
      </c>
      <c r="E2115" s="128" t="str">
        <f t="shared" si="1"/>
        <v/>
      </c>
    </row>
    <row r="2116">
      <c r="A2116" s="93" t="str">
        <f t="shared" si="2"/>
        <v>#17313</v>
      </c>
      <c r="B2116" s="93" t="str">
        <f>IF(COUNTIF(MAIN!B:B, A2116)=0, "Missing", "")</f>
        <v/>
      </c>
      <c r="E2116" s="128" t="str">
        <f t="shared" si="1"/>
        <v/>
      </c>
    </row>
    <row r="2117">
      <c r="A2117" s="93" t="str">
        <f t="shared" si="2"/>
        <v>#17314</v>
      </c>
      <c r="B2117" s="93" t="str">
        <f>IF(COUNTIF(MAIN!B:B, A2117)=0, "Missing", "")</f>
        <v/>
      </c>
      <c r="E2117" s="128" t="str">
        <f t="shared" si="1"/>
        <v/>
      </c>
    </row>
    <row r="2118">
      <c r="A2118" s="93" t="str">
        <f t="shared" si="2"/>
        <v>#17315</v>
      </c>
      <c r="B2118" s="93" t="str">
        <f>IF(COUNTIF(MAIN!B:B, A2118)=0, "Missing", "")</f>
        <v/>
      </c>
      <c r="E2118" s="128" t="str">
        <f t="shared" si="1"/>
        <v/>
      </c>
    </row>
    <row r="2119">
      <c r="A2119" s="93" t="str">
        <f t="shared" si="2"/>
        <v>#17316</v>
      </c>
      <c r="B2119" s="93" t="str">
        <f>IF(COUNTIF(MAIN!B:B, A2119)=0, "Missing", "")</f>
        <v>Missing</v>
      </c>
      <c r="C2119" s="84" t="s">
        <v>15240</v>
      </c>
      <c r="E2119" s="131" t="str">
        <f t="shared" si="1"/>
        <v>https://utrucking.myshopify.com/admin/orders?query=17316</v>
      </c>
    </row>
    <row r="2120">
      <c r="A2120" s="93" t="str">
        <f t="shared" si="2"/>
        <v>#17317</v>
      </c>
      <c r="B2120" s="93" t="str">
        <f>IF(COUNTIF(MAIN!B:B, A2120)=0, "Missing", "")</f>
        <v/>
      </c>
      <c r="E2120" s="128" t="str">
        <f t="shared" si="1"/>
        <v/>
      </c>
    </row>
    <row r="2121">
      <c r="A2121" s="93" t="str">
        <f t="shared" si="2"/>
        <v>#17318</v>
      </c>
      <c r="B2121" s="93" t="str">
        <f>IF(COUNTIF(MAIN!B:B, A2121)=0, "Missing", "")</f>
        <v/>
      </c>
      <c r="E2121" s="128" t="str">
        <f t="shared" si="1"/>
        <v/>
      </c>
    </row>
    <row r="2122">
      <c r="A2122" s="93" t="str">
        <f t="shared" si="2"/>
        <v>#17319</v>
      </c>
      <c r="B2122" s="93" t="str">
        <f>IF(COUNTIF(MAIN!B:B, A2122)=0, "Missing", "")</f>
        <v>Missing</v>
      </c>
      <c r="C2122" s="84" t="s">
        <v>15240</v>
      </c>
      <c r="E2122" s="131" t="str">
        <f t="shared" si="1"/>
        <v>https://utrucking.myshopify.com/admin/orders?query=17319</v>
      </c>
    </row>
    <row r="2123">
      <c r="A2123" s="93" t="str">
        <f t="shared" si="2"/>
        <v>#17320</v>
      </c>
      <c r="B2123" s="93" t="str">
        <f>IF(COUNTIF(MAIN!B:B, A2123)=0, "Missing", "")</f>
        <v/>
      </c>
      <c r="E2123" s="128" t="str">
        <f t="shared" si="1"/>
        <v/>
      </c>
    </row>
    <row r="2124">
      <c r="A2124" s="93" t="str">
        <f t="shared" si="2"/>
        <v>#17321</v>
      </c>
      <c r="B2124" s="93" t="str">
        <f>IF(COUNTIF(MAIN!B:B, A2124)=0, "Missing", "")</f>
        <v>Missing</v>
      </c>
      <c r="C2124" s="84" t="s">
        <v>15240</v>
      </c>
      <c r="E2124" s="131" t="str">
        <f t="shared" si="1"/>
        <v>https://utrucking.myshopify.com/admin/orders?query=17321</v>
      </c>
    </row>
    <row r="2125">
      <c r="A2125" s="93" t="str">
        <f t="shared" si="2"/>
        <v>#17322</v>
      </c>
      <c r="B2125" s="93" t="str">
        <f>IF(COUNTIF(MAIN!B:B, A2125)=0, "Missing", "")</f>
        <v>Missing</v>
      </c>
      <c r="C2125" s="84" t="s">
        <v>15240</v>
      </c>
      <c r="E2125" s="131" t="str">
        <f t="shared" si="1"/>
        <v>https://utrucking.myshopify.com/admin/orders?query=17322</v>
      </c>
    </row>
    <row r="2126">
      <c r="A2126" s="93" t="str">
        <f t="shared" si="2"/>
        <v>#17323</v>
      </c>
      <c r="B2126" s="93" t="str">
        <f>IF(COUNTIF(MAIN!B:B, A2126)=0, "Missing", "")</f>
        <v/>
      </c>
      <c r="E2126" s="128" t="str">
        <f t="shared" si="1"/>
        <v/>
      </c>
    </row>
    <row r="2127">
      <c r="A2127" s="93" t="str">
        <f t="shared" si="2"/>
        <v>#17324</v>
      </c>
      <c r="B2127" s="93" t="str">
        <f>IF(COUNTIF(MAIN!B:B, A2127)=0, "Missing", "")</f>
        <v/>
      </c>
      <c r="E2127" s="128" t="str">
        <f t="shared" si="1"/>
        <v/>
      </c>
    </row>
    <row r="2128">
      <c r="A2128" s="93" t="str">
        <f t="shared" si="2"/>
        <v>#17325</v>
      </c>
      <c r="B2128" s="93" t="str">
        <f>IF(COUNTIF(MAIN!B:B, A2128)=0, "Missing", "")</f>
        <v/>
      </c>
      <c r="E2128" s="128" t="str">
        <f t="shared" si="1"/>
        <v/>
      </c>
    </row>
    <row r="2129">
      <c r="A2129" s="93" t="str">
        <f t="shared" si="2"/>
        <v>#17326</v>
      </c>
      <c r="B2129" s="93" t="str">
        <f>IF(COUNTIF(MAIN!B:B, A2129)=0, "Missing", "")</f>
        <v/>
      </c>
      <c r="E2129" s="128" t="str">
        <f t="shared" si="1"/>
        <v/>
      </c>
    </row>
    <row r="2130">
      <c r="A2130" s="93" t="str">
        <f t="shared" si="2"/>
        <v>#17327</v>
      </c>
      <c r="B2130" s="93" t="str">
        <f>IF(COUNTIF(MAIN!B:B, A2130)=0, "Missing", "")</f>
        <v/>
      </c>
      <c r="E2130" s="128" t="str">
        <f t="shared" si="1"/>
        <v/>
      </c>
    </row>
    <row r="2131">
      <c r="A2131" s="93" t="str">
        <f t="shared" si="2"/>
        <v>#17328</v>
      </c>
      <c r="B2131" s="93" t="str">
        <f>IF(COUNTIF(MAIN!B:B, A2131)=0, "Missing", "")</f>
        <v>Missing</v>
      </c>
      <c r="C2131" s="84" t="s">
        <v>15240</v>
      </c>
      <c r="E2131" s="131" t="str">
        <f t="shared" si="1"/>
        <v>https://utrucking.myshopify.com/admin/orders?query=17328</v>
      </c>
    </row>
    <row r="2132">
      <c r="A2132" s="93" t="str">
        <f t="shared" si="2"/>
        <v>#17329</v>
      </c>
      <c r="B2132" s="93" t="str">
        <f>IF(COUNTIF(MAIN!B:B, A2132)=0, "Missing", "")</f>
        <v/>
      </c>
      <c r="E2132" s="128" t="str">
        <f t="shared" si="1"/>
        <v/>
      </c>
    </row>
    <row r="2133">
      <c r="A2133" s="93" t="str">
        <f t="shared" si="2"/>
        <v>#17330</v>
      </c>
      <c r="B2133" s="93" t="str">
        <f>IF(COUNTIF(MAIN!B:B, A2133)=0, "Missing", "")</f>
        <v/>
      </c>
      <c r="E2133" s="128" t="str">
        <f t="shared" si="1"/>
        <v/>
      </c>
    </row>
    <row r="2134">
      <c r="A2134" s="93" t="str">
        <f t="shared" si="2"/>
        <v>#17331</v>
      </c>
      <c r="B2134" s="93" t="str">
        <f>IF(COUNTIF(MAIN!B:B, A2134)=0, "Missing", "")</f>
        <v/>
      </c>
      <c r="E2134" s="128" t="str">
        <f t="shared" si="1"/>
        <v/>
      </c>
    </row>
    <row r="2135">
      <c r="A2135" s="93" t="str">
        <f t="shared" si="2"/>
        <v>#17332</v>
      </c>
      <c r="B2135" s="93" t="str">
        <f>IF(COUNTIF(MAIN!B:B, A2135)=0, "Missing", "")</f>
        <v/>
      </c>
      <c r="E2135" s="128" t="str">
        <f t="shared" si="1"/>
        <v/>
      </c>
    </row>
    <row r="2136">
      <c r="A2136" s="93" t="str">
        <f t="shared" si="2"/>
        <v>#17333</v>
      </c>
      <c r="B2136" s="93" t="str">
        <f>IF(COUNTIF(MAIN!B:B, A2136)=0, "Missing", "")</f>
        <v/>
      </c>
      <c r="E2136" s="128" t="str">
        <f t="shared" si="1"/>
        <v/>
      </c>
    </row>
    <row r="2137">
      <c r="A2137" s="93" t="str">
        <f t="shared" si="2"/>
        <v>#17334</v>
      </c>
      <c r="B2137" s="93" t="str">
        <f>IF(COUNTIF(MAIN!B:B, A2137)=0, "Missing", "")</f>
        <v/>
      </c>
      <c r="E2137" s="128" t="str">
        <f t="shared" si="1"/>
        <v/>
      </c>
    </row>
    <row r="2138">
      <c r="A2138" s="93" t="str">
        <f t="shared" si="2"/>
        <v>#17335</v>
      </c>
      <c r="B2138" s="93" t="str">
        <f>IF(COUNTIF(MAIN!B:B, A2138)=0, "Missing", "")</f>
        <v/>
      </c>
      <c r="E2138" s="128" t="str">
        <f t="shared" si="1"/>
        <v/>
      </c>
    </row>
    <row r="2139">
      <c r="A2139" s="93" t="str">
        <f t="shared" si="2"/>
        <v>#17336</v>
      </c>
      <c r="B2139" s="93" t="str">
        <f>IF(COUNTIF(MAIN!B:B, A2139)=0, "Missing", "")</f>
        <v/>
      </c>
      <c r="E2139" s="128" t="str">
        <f t="shared" si="1"/>
        <v/>
      </c>
    </row>
    <row r="2140">
      <c r="A2140" s="93" t="str">
        <f t="shared" si="2"/>
        <v>#17337</v>
      </c>
      <c r="B2140" s="93" t="str">
        <f>IF(COUNTIF(MAIN!B:B, A2140)=0, "Missing", "")</f>
        <v/>
      </c>
      <c r="E2140" s="128" t="str">
        <f t="shared" si="1"/>
        <v/>
      </c>
    </row>
    <row r="2141">
      <c r="A2141" s="93" t="str">
        <f t="shared" si="2"/>
        <v>#17338</v>
      </c>
      <c r="B2141" s="93" t="str">
        <f>IF(COUNTIF(MAIN!B:B, A2141)=0, "Missing", "")</f>
        <v/>
      </c>
      <c r="E2141" s="128" t="str">
        <f t="shared" si="1"/>
        <v/>
      </c>
    </row>
    <row r="2142">
      <c r="A2142" s="93" t="str">
        <f t="shared" si="2"/>
        <v>#17339</v>
      </c>
      <c r="B2142" s="93" t="str">
        <f>IF(COUNTIF(MAIN!B:B, A2142)=0, "Missing", "")</f>
        <v/>
      </c>
      <c r="E2142" s="128" t="str">
        <f t="shared" si="1"/>
        <v/>
      </c>
    </row>
    <row r="2143">
      <c r="A2143" s="93" t="str">
        <f t="shared" si="2"/>
        <v>#17340</v>
      </c>
      <c r="B2143" s="93" t="str">
        <f>IF(COUNTIF(MAIN!B:B, A2143)=0, "Missing", "")</f>
        <v/>
      </c>
      <c r="E2143" s="128" t="str">
        <f t="shared" si="1"/>
        <v/>
      </c>
    </row>
    <row r="2144">
      <c r="A2144" s="93" t="str">
        <f t="shared" si="2"/>
        <v>#17341</v>
      </c>
      <c r="B2144" s="93" t="str">
        <f>IF(COUNTIF(MAIN!B:B, A2144)=0, "Missing", "")</f>
        <v/>
      </c>
      <c r="E2144" s="128" t="str">
        <f t="shared" si="1"/>
        <v/>
      </c>
    </row>
    <row r="2145">
      <c r="A2145" s="93" t="str">
        <f t="shared" si="2"/>
        <v>#17342</v>
      </c>
      <c r="B2145" s="93" t="str">
        <f>IF(COUNTIF(MAIN!B:B, A2145)=0, "Missing", "")</f>
        <v/>
      </c>
      <c r="E2145" s="128" t="str">
        <f t="shared" si="1"/>
        <v/>
      </c>
    </row>
    <row r="2146">
      <c r="A2146" s="93" t="str">
        <f t="shared" si="2"/>
        <v>#17343</v>
      </c>
      <c r="B2146" s="93" t="str">
        <f>IF(COUNTIF(MAIN!B:B, A2146)=0, "Missing", "")</f>
        <v/>
      </c>
      <c r="E2146" s="128" t="str">
        <f t="shared" si="1"/>
        <v/>
      </c>
    </row>
    <row r="2147">
      <c r="A2147" s="93" t="str">
        <f t="shared" si="2"/>
        <v>#17344</v>
      </c>
      <c r="B2147" s="93" t="str">
        <f>IF(COUNTIF(MAIN!B:B, A2147)=0, "Missing", "")</f>
        <v/>
      </c>
      <c r="E2147" s="128" t="str">
        <f t="shared" si="1"/>
        <v/>
      </c>
    </row>
    <row r="2148">
      <c r="A2148" s="93" t="str">
        <f t="shared" si="2"/>
        <v>#17345</v>
      </c>
      <c r="B2148" s="93" t="str">
        <f>IF(COUNTIF(MAIN!B:B, A2148)=0, "Missing", "")</f>
        <v/>
      </c>
      <c r="E2148" s="128" t="str">
        <f t="shared" si="1"/>
        <v/>
      </c>
    </row>
    <row r="2149">
      <c r="A2149" s="93" t="str">
        <f t="shared" si="2"/>
        <v>#17346</v>
      </c>
      <c r="B2149" s="93" t="str">
        <f>IF(COUNTIF(MAIN!B:B, A2149)=0, "Missing", "")</f>
        <v/>
      </c>
      <c r="E2149" s="128" t="str">
        <f t="shared" si="1"/>
        <v/>
      </c>
    </row>
    <row r="2150">
      <c r="A2150" s="93" t="str">
        <f t="shared" si="2"/>
        <v>#17347</v>
      </c>
      <c r="B2150" s="93" t="str">
        <f>IF(COUNTIF(MAIN!B:B, A2150)=0, "Missing", "")</f>
        <v/>
      </c>
      <c r="E2150" s="128" t="str">
        <f t="shared" si="1"/>
        <v/>
      </c>
    </row>
    <row r="2151">
      <c r="A2151" s="93" t="str">
        <f t="shared" si="2"/>
        <v>#17348</v>
      </c>
      <c r="B2151" s="93" t="str">
        <f>IF(COUNTIF(MAIN!B:B, A2151)=0, "Missing", "")</f>
        <v/>
      </c>
      <c r="E2151" s="128" t="str">
        <f t="shared" si="1"/>
        <v/>
      </c>
    </row>
    <row r="2152">
      <c r="A2152" s="93" t="str">
        <f t="shared" si="2"/>
        <v>#17349</v>
      </c>
      <c r="B2152" s="93" t="str">
        <f>IF(COUNTIF(MAIN!B:B, A2152)=0, "Missing", "")</f>
        <v/>
      </c>
      <c r="E2152" s="128" t="str">
        <f t="shared" si="1"/>
        <v/>
      </c>
    </row>
    <row r="2153">
      <c r="A2153" s="93" t="str">
        <f t="shared" si="2"/>
        <v>#17350</v>
      </c>
      <c r="B2153" s="93" t="str">
        <f>IF(COUNTIF(MAIN!B:B, A2153)=0, "Missing", "")</f>
        <v/>
      </c>
      <c r="E2153" s="128" t="str">
        <f t="shared" si="1"/>
        <v/>
      </c>
    </row>
    <row r="2154">
      <c r="A2154" s="93" t="str">
        <f t="shared" si="2"/>
        <v>#17351</v>
      </c>
      <c r="B2154" s="93" t="str">
        <f>IF(COUNTIF(MAIN!B:B, A2154)=0, "Missing", "")</f>
        <v/>
      </c>
      <c r="E2154" s="128" t="str">
        <f t="shared" si="1"/>
        <v/>
      </c>
    </row>
    <row r="2155">
      <c r="A2155" s="93" t="str">
        <f t="shared" si="2"/>
        <v>#17352</v>
      </c>
      <c r="B2155" s="93" t="str">
        <f>IF(COUNTIF(MAIN!B:B, A2155)=0, "Missing", "")</f>
        <v/>
      </c>
      <c r="E2155" s="128" t="str">
        <f t="shared" si="1"/>
        <v/>
      </c>
    </row>
    <row r="2156">
      <c r="A2156" s="93" t="str">
        <f t="shared" si="2"/>
        <v>#17353</v>
      </c>
      <c r="B2156" s="93" t="str">
        <f>IF(COUNTIF(MAIN!B:B, A2156)=0, "Missing", "")</f>
        <v/>
      </c>
      <c r="E2156" s="128" t="str">
        <f t="shared" si="1"/>
        <v/>
      </c>
    </row>
    <row r="2157">
      <c r="A2157" s="93" t="str">
        <f t="shared" si="2"/>
        <v>#17354</v>
      </c>
      <c r="B2157" s="93" t="str">
        <f>IF(COUNTIF(MAIN!B:B, A2157)=0, "Missing", "")</f>
        <v/>
      </c>
      <c r="E2157" s="128" t="str">
        <f t="shared" si="1"/>
        <v/>
      </c>
    </row>
    <row r="2158">
      <c r="A2158" s="93" t="str">
        <f t="shared" si="2"/>
        <v>#17355</v>
      </c>
      <c r="B2158" s="93" t="str">
        <f>IF(COUNTIF(MAIN!B:B, A2158)=0, "Missing", "")</f>
        <v/>
      </c>
      <c r="E2158" s="128" t="str">
        <f t="shared" si="1"/>
        <v/>
      </c>
    </row>
    <row r="2159">
      <c r="A2159" s="93" t="str">
        <f t="shared" si="2"/>
        <v>#17356</v>
      </c>
      <c r="B2159" s="93" t="str">
        <f>IF(COUNTIF(MAIN!B:B, A2159)=0, "Missing", "")</f>
        <v/>
      </c>
      <c r="E2159" s="128" t="str">
        <f t="shared" si="1"/>
        <v/>
      </c>
    </row>
    <row r="2160">
      <c r="A2160" s="93" t="str">
        <f t="shared" si="2"/>
        <v>#17357</v>
      </c>
      <c r="B2160" s="93" t="str">
        <f>IF(COUNTIF(MAIN!B:B, A2160)=0, "Missing", "")</f>
        <v/>
      </c>
      <c r="E2160" s="128" t="str">
        <f t="shared" si="1"/>
        <v/>
      </c>
    </row>
    <row r="2161">
      <c r="A2161" s="93" t="str">
        <f t="shared" si="2"/>
        <v>#17358</v>
      </c>
      <c r="B2161" s="93" t="str">
        <f>IF(COUNTIF(MAIN!B:B, A2161)=0, "Missing", "")</f>
        <v/>
      </c>
      <c r="E2161" s="128" t="str">
        <f t="shared" si="1"/>
        <v/>
      </c>
    </row>
    <row r="2162">
      <c r="A2162" s="93" t="str">
        <f t="shared" si="2"/>
        <v>#17359</v>
      </c>
      <c r="B2162" s="93" t="str">
        <f>IF(COUNTIF(MAIN!B:B, A2162)=0, "Missing", "")</f>
        <v/>
      </c>
      <c r="E2162" s="128" t="str">
        <f t="shared" si="1"/>
        <v/>
      </c>
    </row>
    <row r="2163">
      <c r="A2163" s="93" t="str">
        <f t="shared" si="2"/>
        <v>#17360</v>
      </c>
      <c r="B2163" s="93" t="str">
        <f>IF(COUNTIF(MAIN!B:B, A2163)=0, "Missing", "")</f>
        <v/>
      </c>
      <c r="E2163" s="128" t="str">
        <f t="shared" si="1"/>
        <v/>
      </c>
    </row>
    <row r="2164">
      <c r="A2164" s="93" t="str">
        <f t="shared" si="2"/>
        <v>#17361</v>
      </c>
      <c r="B2164" s="93" t="str">
        <f>IF(COUNTIF(MAIN!B:B, A2164)=0, "Missing", "")</f>
        <v/>
      </c>
      <c r="E2164" s="128" t="str">
        <f t="shared" si="1"/>
        <v/>
      </c>
    </row>
    <row r="2165">
      <c r="A2165" s="93" t="str">
        <f t="shared" si="2"/>
        <v>#17362</v>
      </c>
      <c r="B2165" s="93" t="str">
        <f>IF(COUNTIF(MAIN!B:B, A2165)=0, "Missing", "")</f>
        <v/>
      </c>
      <c r="E2165" s="128" t="str">
        <f t="shared" si="1"/>
        <v/>
      </c>
    </row>
    <row r="2166">
      <c r="A2166" s="93" t="str">
        <f t="shared" si="2"/>
        <v>#17363</v>
      </c>
      <c r="B2166" s="93" t="str">
        <f>IF(COUNTIF(MAIN!B:B, A2166)=0, "Missing", "")</f>
        <v/>
      </c>
      <c r="E2166" s="128" t="str">
        <f t="shared" si="1"/>
        <v/>
      </c>
    </row>
    <row r="2167">
      <c r="A2167" s="93" t="str">
        <f t="shared" si="2"/>
        <v>#17364</v>
      </c>
      <c r="B2167" s="93" t="str">
        <f>IF(COUNTIF(MAIN!B:B, A2167)=0, "Missing", "")</f>
        <v/>
      </c>
      <c r="E2167" s="128" t="str">
        <f t="shared" si="1"/>
        <v/>
      </c>
    </row>
    <row r="2168">
      <c r="A2168" s="93" t="str">
        <f t="shared" si="2"/>
        <v>#17365</v>
      </c>
      <c r="B2168" s="93" t="str">
        <f>IF(COUNTIF(MAIN!B:B, A2168)=0, "Missing", "")</f>
        <v/>
      </c>
      <c r="E2168" s="128" t="str">
        <f t="shared" si="1"/>
        <v/>
      </c>
    </row>
    <row r="2169">
      <c r="A2169" s="93" t="str">
        <f t="shared" si="2"/>
        <v>#17366</v>
      </c>
      <c r="B2169" s="93" t="str">
        <f>IF(COUNTIF(MAIN!B:B, A2169)=0, "Missing", "")</f>
        <v/>
      </c>
      <c r="E2169" s="128" t="str">
        <f t="shared" si="1"/>
        <v/>
      </c>
    </row>
    <row r="2170">
      <c r="A2170" s="93" t="str">
        <f t="shared" si="2"/>
        <v>#17367</v>
      </c>
      <c r="B2170" s="93" t="str">
        <f>IF(COUNTIF(MAIN!B:B, A2170)=0, "Missing", "")</f>
        <v/>
      </c>
      <c r="E2170" s="128" t="str">
        <f t="shared" si="1"/>
        <v/>
      </c>
    </row>
    <row r="2171">
      <c r="A2171" s="93" t="str">
        <f t="shared" si="2"/>
        <v>#17368</v>
      </c>
      <c r="B2171" s="93" t="str">
        <f>IF(COUNTIF(MAIN!B:B, A2171)=0, "Missing", "")</f>
        <v/>
      </c>
      <c r="E2171" s="128" t="str">
        <f t="shared" si="1"/>
        <v/>
      </c>
    </row>
    <row r="2172">
      <c r="A2172" s="93" t="str">
        <f t="shared" si="2"/>
        <v>#17369</v>
      </c>
      <c r="B2172" s="93" t="str">
        <f>IF(COUNTIF(MAIN!B:B, A2172)=0, "Missing", "")</f>
        <v/>
      </c>
      <c r="E2172" s="128" t="str">
        <f t="shared" si="1"/>
        <v/>
      </c>
    </row>
    <row r="2173">
      <c r="A2173" s="93" t="str">
        <f t="shared" si="2"/>
        <v>#17370</v>
      </c>
      <c r="B2173" s="93" t="str">
        <f>IF(COUNTIF(MAIN!B:B, A2173)=0, "Missing", "")</f>
        <v/>
      </c>
      <c r="E2173" s="128" t="str">
        <f t="shared" si="1"/>
        <v/>
      </c>
    </row>
    <row r="2174">
      <c r="A2174" s="93" t="str">
        <f t="shared" si="2"/>
        <v>#17371</v>
      </c>
      <c r="B2174" s="93" t="str">
        <f>IF(COUNTIF(MAIN!B:B, A2174)=0, "Missing", "")</f>
        <v/>
      </c>
      <c r="E2174" s="128" t="str">
        <f t="shared" si="1"/>
        <v/>
      </c>
    </row>
    <row r="2175">
      <c r="A2175" s="93" t="str">
        <f t="shared" si="2"/>
        <v>#17372</v>
      </c>
      <c r="B2175" s="93" t="str">
        <f>IF(COUNTIF(MAIN!B:B, A2175)=0, "Missing", "")</f>
        <v/>
      </c>
      <c r="E2175" s="128" t="str">
        <f t="shared" si="1"/>
        <v/>
      </c>
    </row>
    <row r="2176">
      <c r="A2176" s="93" t="str">
        <f t="shared" si="2"/>
        <v>#17373</v>
      </c>
      <c r="B2176" s="93" t="str">
        <f>IF(COUNTIF(MAIN!B:B, A2176)=0, "Missing", "")</f>
        <v/>
      </c>
      <c r="E2176" s="128" t="str">
        <f t="shared" si="1"/>
        <v/>
      </c>
    </row>
    <row r="2177">
      <c r="A2177" s="93" t="str">
        <f t="shared" si="2"/>
        <v>#17374</v>
      </c>
      <c r="B2177" s="93" t="str">
        <f>IF(COUNTIF(MAIN!B:B, A2177)=0, "Missing", "")</f>
        <v/>
      </c>
      <c r="E2177" s="128" t="str">
        <f t="shared" si="1"/>
        <v/>
      </c>
    </row>
    <row r="2178">
      <c r="A2178" s="93" t="str">
        <f t="shared" si="2"/>
        <v>#17375</v>
      </c>
      <c r="B2178" s="93" t="str">
        <f>IF(COUNTIF(MAIN!B:B, A2178)=0, "Missing", "")</f>
        <v/>
      </c>
      <c r="E2178" s="128" t="str">
        <f t="shared" si="1"/>
        <v/>
      </c>
    </row>
    <row r="2179">
      <c r="A2179" s="93" t="str">
        <f t="shared" si="2"/>
        <v>#17376</v>
      </c>
      <c r="B2179" s="93" t="str">
        <f>IF(COUNTIF(MAIN!B:B, A2179)=0, "Missing", "")</f>
        <v/>
      </c>
      <c r="E2179" s="128" t="str">
        <f t="shared" si="1"/>
        <v/>
      </c>
    </row>
    <row r="2180">
      <c r="A2180" s="93" t="str">
        <f t="shared" si="2"/>
        <v>#17377</v>
      </c>
      <c r="B2180" s="93" t="str">
        <f>IF(COUNTIF(MAIN!B:B, A2180)=0, "Missing", "")</f>
        <v/>
      </c>
      <c r="E2180" s="128" t="str">
        <f t="shared" si="1"/>
        <v/>
      </c>
    </row>
    <row r="2181">
      <c r="A2181" s="93" t="str">
        <f t="shared" si="2"/>
        <v>#17378</v>
      </c>
      <c r="B2181" s="93" t="str">
        <f>IF(COUNTIF(MAIN!B:B, A2181)=0, "Missing", "")</f>
        <v/>
      </c>
      <c r="E2181" s="128" t="str">
        <f t="shared" si="1"/>
        <v/>
      </c>
    </row>
    <row r="2182">
      <c r="A2182" s="93" t="str">
        <f t="shared" si="2"/>
        <v>#17379</v>
      </c>
      <c r="B2182" s="93" t="str">
        <f>IF(COUNTIF(MAIN!B:B, A2182)=0, "Missing", "")</f>
        <v/>
      </c>
      <c r="E2182" s="128" t="str">
        <f t="shared" si="1"/>
        <v/>
      </c>
    </row>
    <row r="2183">
      <c r="A2183" s="93" t="str">
        <f t="shared" si="2"/>
        <v>#17380</v>
      </c>
      <c r="B2183" s="93" t="str">
        <f>IF(COUNTIF(MAIN!B:B, A2183)=0, "Missing", "")</f>
        <v/>
      </c>
      <c r="E2183" s="128" t="str">
        <f t="shared" si="1"/>
        <v/>
      </c>
    </row>
    <row r="2184">
      <c r="A2184" s="93" t="str">
        <f t="shared" si="2"/>
        <v>#17381</v>
      </c>
      <c r="B2184" s="93" t="str">
        <f>IF(COUNTIF(MAIN!B:B, A2184)=0, "Missing", "")</f>
        <v/>
      </c>
      <c r="E2184" s="128" t="str">
        <f t="shared" si="1"/>
        <v/>
      </c>
    </row>
    <row r="2185">
      <c r="A2185" s="93" t="str">
        <f t="shared" si="2"/>
        <v>#17382</v>
      </c>
      <c r="B2185" s="93" t="str">
        <f>IF(COUNTIF(MAIN!B:B, A2185)=0, "Missing", "")</f>
        <v/>
      </c>
      <c r="E2185" s="128" t="str">
        <f t="shared" si="1"/>
        <v/>
      </c>
    </row>
    <row r="2186">
      <c r="A2186" s="93" t="str">
        <f t="shared" si="2"/>
        <v>#17383</v>
      </c>
      <c r="B2186" s="93" t="str">
        <f>IF(COUNTIF(MAIN!B:B, A2186)=0, "Missing", "")</f>
        <v/>
      </c>
      <c r="E2186" s="128" t="str">
        <f t="shared" si="1"/>
        <v/>
      </c>
    </row>
    <row r="2187">
      <c r="A2187" s="93" t="str">
        <f t="shared" si="2"/>
        <v>#17384</v>
      </c>
      <c r="B2187" s="93" t="str">
        <f>IF(COUNTIF(MAIN!B:B, A2187)=0, "Missing", "")</f>
        <v/>
      </c>
      <c r="E2187" s="128" t="str">
        <f t="shared" si="1"/>
        <v/>
      </c>
    </row>
    <row r="2188">
      <c r="A2188" s="93" t="str">
        <f t="shared" si="2"/>
        <v>#17385</v>
      </c>
      <c r="B2188" s="93" t="str">
        <f>IF(COUNTIF(MAIN!B:B, A2188)=0, "Missing", "")</f>
        <v/>
      </c>
      <c r="E2188" s="128" t="str">
        <f t="shared" si="1"/>
        <v/>
      </c>
    </row>
    <row r="2189">
      <c r="A2189" s="93" t="str">
        <f t="shared" si="2"/>
        <v>#17386</v>
      </c>
      <c r="B2189" s="93" t="str">
        <f>IF(COUNTIF(MAIN!B:B, A2189)=0, "Missing", "")</f>
        <v/>
      </c>
      <c r="E2189" s="128" t="str">
        <f t="shared" si="1"/>
        <v/>
      </c>
    </row>
    <row r="2190">
      <c r="A2190" s="93" t="str">
        <f t="shared" si="2"/>
        <v>#17387</v>
      </c>
      <c r="B2190" s="93" t="str">
        <f>IF(COUNTIF(MAIN!B:B, A2190)=0, "Missing", "")</f>
        <v/>
      </c>
      <c r="E2190" s="128" t="str">
        <f t="shared" si="1"/>
        <v/>
      </c>
    </row>
    <row r="2191">
      <c r="A2191" s="93" t="str">
        <f t="shared" si="2"/>
        <v>#17388</v>
      </c>
      <c r="B2191" s="93" t="str">
        <f>IF(COUNTIF(MAIN!B:B, A2191)=0, "Missing", "")</f>
        <v/>
      </c>
      <c r="E2191" s="128" t="str">
        <f t="shared" si="1"/>
        <v/>
      </c>
    </row>
    <row r="2192">
      <c r="A2192" s="93" t="str">
        <f t="shared" si="2"/>
        <v>#17389</v>
      </c>
      <c r="B2192" s="93" t="str">
        <f>IF(COUNTIF(MAIN!B:B, A2192)=0, "Missing", "")</f>
        <v/>
      </c>
      <c r="E2192" s="128" t="str">
        <f t="shared" si="1"/>
        <v/>
      </c>
    </row>
    <row r="2193">
      <c r="A2193" s="93" t="str">
        <f t="shared" si="2"/>
        <v>#17390</v>
      </c>
      <c r="B2193" s="93" t="str">
        <f>IF(COUNTIF(MAIN!B:B, A2193)=0, "Missing", "")</f>
        <v/>
      </c>
      <c r="E2193" s="128" t="str">
        <f t="shared" si="1"/>
        <v/>
      </c>
    </row>
    <row r="2194">
      <c r="A2194" s="93" t="str">
        <f t="shared" si="2"/>
        <v>#17391</v>
      </c>
      <c r="B2194" s="93" t="str">
        <f>IF(COUNTIF(MAIN!B:B, A2194)=0, "Missing", "")</f>
        <v/>
      </c>
      <c r="E2194" s="128" t="str">
        <f t="shared" si="1"/>
        <v/>
      </c>
    </row>
    <row r="2195">
      <c r="A2195" s="93" t="str">
        <f t="shared" si="2"/>
        <v>#17392</v>
      </c>
      <c r="B2195" s="93" t="str">
        <f>IF(COUNTIF(MAIN!B:B, A2195)=0, "Missing", "")</f>
        <v/>
      </c>
      <c r="E2195" s="128" t="str">
        <f t="shared" si="1"/>
        <v/>
      </c>
    </row>
    <row r="2196">
      <c r="A2196" s="93" t="str">
        <f t="shared" si="2"/>
        <v>#17393</v>
      </c>
      <c r="B2196" s="93" t="str">
        <f>IF(COUNTIF(MAIN!B:B, A2196)=0, "Missing", "")</f>
        <v/>
      </c>
      <c r="E2196" s="128" t="str">
        <f t="shared" si="1"/>
        <v/>
      </c>
    </row>
    <row r="2197">
      <c r="A2197" s="93" t="str">
        <f t="shared" si="2"/>
        <v>#17394</v>
      </c>
      <c r="B2197" s="93" t="str">
        <f>IF(COUNTIF(MAIN!B:B, A2197)=0, "Missing", "")</f>
        <v/>
      </c>
      <c r="E2197" s="128" t="str">
        <f t="shared" si="1"/>
        <v/>
      </c>
    </row>
    <row r="2198">
      <c r="A2198" s="93" t="str">
        <f t="shared" si="2"/>
        <v>#17395</v>
      </c>
      <c r="B2198" s="93" t="str">
        <f>IF(COUNTIF(MAIN!B:B, A2198)=0, "Missing", "")</f>
        <v/>
      </c>
      <c r="E2198" s="128" t="str">
        <f t="shared" si="1"/>
        <v/>
      </c>
    </row>
    <row r="2199">
      <c r="A2199" s="93" t="str">
        <f t="shared" si="2"/>
        <v>#17396</v>
      </c>
      <c r="B2199" s="93" t="str">
        <f>IF(COUNTIF(MAIN!B:B, A2199)=0, "Missing", "")</f>
        <v/>
      </c>
      <c r="E2199" s="128" t="str">
        <f t="shared" si="1"/>
        <v/>
      </c>
    </row>
    <row r="2200">
      <c r="A2200" s="93" t="str">
        <f t="shared" si="2"/>
        <v>#17397</v>
      </c>
      <c r="B2200" s="93" t="str">
        <f>IF(COUNTIF(MAIN!B:B, A2200)=0, "Missing", "")</f>
        <v/>
      </c>
      <c r="E2200" s="128" t="str">
        <f t="shared" si="1"/>
        <v/>
      </c>
    </row>
    <row r="2201">
      <c r="A2201" s="93" t="str">
        <f t="shared" si="2"/>
        <v>#17398</v>
      </c>
      <c r="B2201" s="93" t="str">
        <f>IF(COUNTIF(MAIN!B:B, A2201)=0, "Missing", "")</f>
        <v/>
      </c>
      <c r="E2201" s="128" t="str">
        <f t="shared" si="1"/>
        <v/>
      </c>
    </row>
    <row r="2202">
      <c r="A2202" s="93" t="str">
        <f t="shared" si="2"/>
        <v>#17399</v>
      </c>
      <c r="B2202" s="93" t="str">
        <f>IF(COUNTIF(MAIN!B:B, A2202)=0, "Missing", "")</f>
        <v/>
      </c>
      <c r="E2202" s="128" t="str">
        <f t="shared" si="1"/>
        <v/>
      </c>
    </row>
    <row r="2203">
      <c r="A2203" s="93" t="str">
        <f t="shared" si="2"/>
        <v>#17400</v>
      </c>
      <c r="B2203" s="93" t="str">
        <f>IF(COUNTIF(MAIN!B:B, A2203)=0, "Missing", "")</f>
        <v/>
      </c>
      <c r="E2203" s="128" t="str">
        <f t="shared" si="1"/>
        <v/>
      </c>
    </row>
    <row r="2204">
      <c r="A2204" s="93" t="str">
        <f t="shared" si="2"/>
        <v>#17401</v>
      </c>
      <c r="B2204" s="93" t="str">
        <f>IF(COUNTIF(MAIN!B:B, A2204)=0, "Missing", "")</f>
        <v/>
      </c>
      <c r="E2204" s="128" t="str">
        <f t="shared" si="1"/>
        <v/>
      </c>
    </row>
    <row r="2205">
      <c r="A2205" s="93" t="str">
        <f t="shared" si="2"/>
        <v>#17402</v>
      </c>
      <c r="B2205" s="93" t="str">
        <f>IF(COUNTIF(MAIN!B:B, A2205)=0, "Missing", "")</f>
        <v/>
      </c>
      <c r="E2205" s="128" t="str">
        <f t="shared" si="1"/>
        <v/>
      </c>
    </row>
    <row r="2206">
      <c r="A2206" s="93" t="str">
        <f t="shared" si="2"/>
        <v>#17403</v>
      </c>
      <c r="B2206" s="93" t="str">
        <f>IF(COUNTIF(MAIN!B:B, A2206)=0, "Missing", "")</f>
        <v/>
      </c>
      <c r="E2206" s="128" t="str">
        <f t="shared" si="1"/>
        <v/>
      </c>
    </row>
    <row r="2207">
      <c r="A2207" s="93" t="str">
        <f t="shared" si="2"/>
        <v>#17404</v>
      </c>
      <c r="B2207" s="93" t="str">
        <f>IF(COUNTIF(MAIN!B:B, A2207)=0, "Missing", "")</f>
        <v/>
      </c>
      <c r="E2207" s="128" t="str">
        <f t="shared" si="1"/>
        <v/>
      </c>
    </row>
    <row r="2208">
      <c r="A2208" s="93" t="str">
        <f t="shared" si="2"/>
        <v>#17405</v>
      </c>
      <c r="B2208" s="93" t="str">
        <f>IF(COUNTIF(MAIN!B:B, A2208)=0, "Missing", "")</f>
        <v/>
      </c>
      <c r="E2208" s="128" t="str">
        <f t="shared" si="1"/>
        <v/>
      </c>
    </row>
    <row r="2209">
      <c r="A2209" s="93" t="str">
        <f t="shared" si="2"/>
        <v>#17406</v>
      </c>
      <c r="B2209" s="93" t="str">
        <f>IF(COUNTIF(MAIN!B:B, A2209)=0, "Missing", "")</f>
        <v/>
      </c>
      <c r="E2209" s="128" t="str">
        <f t="shared" si="1"/>
        <v/>
      </c>
    </row>
    <row r="2210">
      <c r="A2210" s="93" t="str">
        <f t="shared" si="2"/>
        <v>#17407</v>
      </c>
      <c r="B2210" s="93" t="str">
        <f>IF(COUNTIF(MAIN!B:B, A2210)=0, "Missing", "")</f>
        <v/>
      </c>
      <c r="E2210" s="128" t="str">
        <f t="shared" si="1"/>
        <v/>
      </c>
    </row>
    <row r="2211">
      <c r="A2211" s="93" t="str">
        <f t="shared" si="2"/>
        <v>#17408</v>
      </c>
      <c r="B2211" s="93" t="str">
        <f>IF(COUNTIF(MAIN!B:B, A2211)=0, "Missing", "")</f>
        <v/>
      </c>
      <c r="E2211" s="128" t="str">
        <f t="shared" si="1"/>
        <v/>
      </c>
    </row>
    <row r="2212">
      <c r="A2212" s="93" t="str">
        <f t="shared" si="2"/>
        <v>#17409</v>
      </c>
      <c r="B2212" s="93" t="str">
        <f>IF(COUNTIF(MAIN!B:B, A2212)=0, "Missing", "")</f>
        <v/>
      </c>
      <c r="E2212" s="128" t="str">
        <f t="shared" si="1"/>
        <v/>
      </c>
    </row>
    <row r="2213">
      <c r="A2213" s="93" t="str">
        <f t="shared" si="2"/>
        <v>#17410</v>
      </c>
      <c r="B2213" s="93" t="str">
        <f>IF(COUNTIF(MAIN!B:B, A2213)=0, "Missing", "")</f>
        <v/>
      </c>
      <c r="E2213" s="128" t="str">
        <f t="shared" si="1"/>
        <v/>
      </c>
    </row>
    <row r="2214">
      <c r="A2214" s="93" t="str">
        <f t="shared" si="2"/>
        <v>#17411</v>
      </c>
      <c r="B2214" s="93" t="str">
        <f>IF(COUNTIF(MAIN!B:B, A2214)=0, "Missing", "")</f>
        <v>Missing</v>
      </c>
      <c r="C2214" s="84" t="s">
        <v>15238</v>
      </c>
      <c r="E2214" s="131" t="str">
        <f t="shared" si="1"/>
        <v>https://utrucking.myshopify.com/admin/orders?query=17411</v>
      </c>
    </row>
    <row r="2215">
      <c r="A2215" s="93" t="str">
        <f t="shared" si="2"/>
        <v>#17412</v>
      </c>
      <c r="B2215" s="93" t="str">
        <f>IF(COUNTIF(MAIN!B:B, A2215)=0, "Missing", "")</f>
        <v/>
      </c>
      <c r="E2215" s="128" t="str">
        <f t="shared" si="1"/>
        <v/>
      </c>
    </row>
    <row r="2216">
      <c r="A2216" s="93" t="str">
        <f t="shared" si="2"/>
        <v>#17413</v>
      </c>
      <c r="B2216" s="93" t="str">
        <f>IF(COUNTIF(MAIN!B:B, A2216)=0, "Missing", "")</f>
        <v/>
      </c>
      <c r="E2216" s="128" t="str">
        <f t="shared" si="1"/>
        <v/>
      </c>
    </row>
    <row r="2217">
      <c r="A2217" s="93" t="str">
        <f t="shared" si="2"/>
        <v>#17414</v>
      </c>
      <c r="B2217" s="93" t="str">
        <f>IF(COUNTIF(MAIN!B:B, A2217)=0, "Missing", "")</f>
        <v>Missing</v>
      </c>
      <c r="C2217" s="84" t="s">
        <v>15238</v>
      </c>
      <c r="E2217" s="131" t="str">
        <f t="shared" si="1"/>
        <v>https://utrucking.myshopify.com/admin/orders?query=17414</v>
      </c>
    </row>
    <row r="2218">
      <c r="A2218" s="93" t="str">
        <f t="shared" si="2"/>
        <v>#17415</v>
      </c>
      <c r="B2218" s="93" t="str">
        <f>IF(COUNTIF(MAIN!B:B, A2218)=0, "Missing", "")</f>
        <v/>
      </c>
      <c r="E2218" s="128" t="str">
        <f t="shared" si="1"/>
        <v/>
      </c>
    </row>
    <row r="2219">
      <c r="A2219" s="93" t="str">
        <f t="shared" si="2"/>
        <v>#17416</v>
      </c>
      <c r="B2219" s="93" t="str">
        <f>IF(COUNTIF(MAIN!B:B, A2219)=0, "Missing", "")</f>
        <v>Missing</v>
      </c>
      <c r="C2219" s="84" t="s">
        <v>15238</v>
      </c>
      <c r="E2219" s="131" t="str">
        <f t="shared" si="1"/>
        <v>https://utrucking.myshopify.com/admin/orders?query=17416</v>
      </c>
    </row>
    <row r="2220">
      <c r="A2220" s="93" t="str">
        <f t="shared" si="2"/>
        <v>#17417</v>
      </c>
      <c r="B2220" s="93" t="str">
        <f>IF(COUNTIF(MAIN!B:B, A2220)=0, "Missing", "")</f>
        <v/>
      </c>
      <c r="E2220" s="128" t="str">
        <f t="shared" si="1"/>
        <v/>
      </c>
    </row>
    <row r="2221">
      <c r="A2221" s="93" t="str">
        <f t="shared" si="2"/>
        <v>#17418</v>
      </c>
      <c r="B2221" s="93" t="str">
        <f>IF(COUNTIF(MAIN!B:B, A2221)=0, "Missing", "")</f>
        <v/>
      </c>
      <c r="E2221" s="128" t="str">
        <f t="shared" si="1"/>
        <v/>
      </c>
    </row>
    <row r="2222">
      <c r="A2222" s="93" t="str">
        <f t="shared" si="2"/>
        <v>#17419</v>
      </c>
      <c r="B2222" s="93" t="str">
        <f>IF(COUNTIF(MAIN!B:B, A2222)=0, "Missing", "")</f>
        <v/>
      </c>
      <c r="E2222" s="128" t="str">
        <f t="shared" si="1"/>
        <v/>
      </c>
    </row>
    <row r="2223">
      <c r="A2223" s="93" t="str">
        <f t="shared" si="2"/>
        <v>#17420</v>
      </c>
      <c r="B2223" s="93" t="str">
        <f>IF(COUNTIF(MAIN!B:B, A2223)=0, "Missing", "")</f>
        <v/>
      </c>
      <c r="E2223" s="128" t="str">
        <f t="shared" si="1"/>
        <v/>
      </c>
    </row>
    <row r="2224">
      <c r="A2224" s="93" t="str">
        <f t="shared" si="2"/>
        <v>#17421</v>
      </c>
      <c r="B2224" s="93" t="str">
        <f>IF(COUNTIF(MAIN!B:B, A2224)=0, "Missing", "")</f>
        <v/>
      </c>
      <c r="E2224" s="128" t="str">
        <f t="shared" si="1"/>
        <v/>
      </c>
    </row>
    <row r="2225">
      <c r="A2225" s="93" t="str">
        <f t="shared" si="2"/>
        <v>#17422</v>
      </c>
      <c r="B2225" s="93" t="str">
        <f>IF(COUNTIF(MAIN!B:B, A2225)=0, "Missing", "")</f>
        <v/>
      </c>
      <c r="E2225" s="128" t="str">
        <f t="shared" si="1"/>
        <v/>
      </c>
    </row>
    <row r="2226">
      <c r="A2226" s="93" t="str">
        <f t="shared" si="2"/>
        <v>#17423</v>
      </c>
      <c r="B2226" s="93" t="str">
        <f>IF(COUNTIF(MAIN!B:B, A2226)=0, "Missing", "")</f>
        <v/>
      </c>
      <c r="E2226" s="128" t="str">
        <f t="shared" si="1"/>
        <v/>
      </c>
    </row>
    <row r="2227">
      <c r="A2227" s="93" t="str">
        <f t="shared" si="2"/>
        <v>#17424</v>
      </c>
      <c r="B2227" s="93" t="str">
        <f>IF(COUNTIF(MAIN!B:B, A2227)=0, "Missing", "")</f>
        <v/>
      </c>
      <c r="E2227" s="128" t="str">
        <f t="shared" si="1"/>
        <v/>
      </c>
    </row>
    <row r="2228">
      <c r="A2228" s="93" t="str">
        <f t="shared" si="2"/>
        <v>#17425</v>
      </c>
      <c r="B2228" s="93" t="str">
        <f>IF(COUNTIF(MAIN!B:B, A2228)=0, "Missing", "")</f>
        <v/>
      </c>
      <c r="E2228" s="128" t="str">
        <f t="shared" si="1"/>
        <v/>
      </c>
    </row>
    <row r="2229">
      <c r="A2229" s="93" t="str">
        <f t="shared" si="2"/>
        <v>#17426</v>
      </c>
      <c r="B2229" s="93" t="str">
        <f>IF(COUNTIF(MAIN!B:B, A2229)=0, "Missing", "")</f>
        <v/>
      </c>
      <c r="E2229" s="128" t="str">
        <f t="shared" si="1"/>
        <v/>
      </c>
    </row>
    <row r="2230">
      <c r="A2230" s="93" t="str">
        <f t="shared" si="2"/>
        <v>#17427</v>
      </c>
      <c r="B2230" s="93" t="str">
        <f>IF(COUNTIF(MAIN!B:B, A2230)=0, "Missing", "")</f>
        <v/>
      </c>
      <c r="E2230" s="128" t="str">
        <f t="shared" si="1"/>
        <v/>
      </c>
    </row>
    <row r="2231">
      <c r="A2231" s="93" t="str">
        <f t="shared" si="2"/>
        <v>#17428</v>
      </c>
      <c r="B2231" s="93" t="str">
        <f>IF(COUNTIF(MAIN!B:B, A2231)=0, "Missing", "")</f>
        <v/>
      </c>
      <c r="E2231" s="128" t="str">
        <f t="shared" si="1"/>
        <v/>
      </c>
    </row>
    <row r="2232">
      <c r="A2232" s="93" t="str">
        <f t="shared" si="2"/>
        <v>#17429</v>
      </c>
      <c r="B2232" s="93" t="str">
        <f>IF(COUNTIF(MAIN!B:B, A2232)=0, "Missing", "")</f>
        <v/>
      </c>
      <c r="E2232" s="128" t="str">
        <f t="shared" si="1"/>
        <v/>
      </c>
    </row>
    <row r="2233">
      <c r="A2233" s="93" t="str">
        <f t="shared" si="2"/>
        <v>#17430</v>
      </c>
      <c r="B2233" s="93" t="str">
        <f>IF(COUNTIF(MAIN!B:B, A2233)=0, "Missing", "")</f>
        <v/>
      </c>
      <c r="E2233" s="128" t="str">
        <f t="shared" si="1"/>
        <v/>
      </c>
    </row>
    <row r="2234">
      <c r="A2234" s="93" t="str">
        <f t="shared" si="2"/>
        <v>#17431</v>
      </c>
      <c r="B2234" s="93" t="str">
        <f>IF(COUNTIF(MAIN!B:B, A2234)=0, "Missing", "")</f>
        <v/>
      </c>
      <c r="E2234" s="128" t="str">
        <f t="shared" si="1"/>
        <v/>
      </c>
    </row>
    <row r="2235">
      <c r="A2235" s="93" t="str">
        <f t="shared" si="2"/>
        <v>#17432</v>
      </c>
      <c r="B2235" s="93" t="str">
        <f>IF(COUNTIF(MAIN!B:B, A2235)=0, "Missing", "")</f>
        <v/>
      </c>
      <c r="E2235" s="128" t="str">
        <f t="shared" si="1"/>
        <v/>
      </c>
    </row>
    <row r="2236">
      <c r="A2236" s="93" t="str">
        <f t="shared" si="2"/>
        <v>#17433</v>
      </c>
      <c r="B2236" s="93" t="str">
        <f>IF(COUNTIF(MAIN!B:B, A2236)=0, "Missing", "")</f>
        <v/>
      </c>
      <c r="E2236" s="128" t="str">
        <f t="shared" si="1"/>
        <v/>
      </c>
    </row>
    <row r="2237">
      <c r="A2237" s="93" t="str">
        <f t="shared" si="2"/>
        <v>#17434</v>
      </c>
      <c r="B2237" s="93" t="str">
        <f>IF(COUNTIF(MAIN!B:B, A2237)=0, "Missing", "")</f>
        <v/>
      </c>
      <c r="E2237" s="128" t="str">
        <f t="shared" si="1"/>
        <v/>
      </c>
    </row>
    <row r="2238">
      <c r="A2238" s="93" t="str">
        <f t="shared" si="2"/>
        <v>#17435</v>
      </c>
      <c r="B2238" s="93" t="str">
        <f>IF(COUNTIF(MAIN!B:B, A2238)=0, "Missing", "")</f>
        <v/>
      </c>
      <c r="E2238" s="128" t="str">
        <f t="shared" si="1"/>
        <v/>
      </c>
    </row>
    <row r="2239">
      <c r="A2239" s="93" t="str">
        <f t="shared" si="2"/>
        <v>#17436</v>
      </c>
      <c r="B2239" s="93" t="str">
        <f>IF(COUNTIF(MAIN!B:B, A2239)=0, "Missing", "")</f>
        <v/>
      </c>
      <c r="E2239" s="128" t="str">
        <f t="shared" si="1"/>
        <v/>
      </c>
    </row>
    <row r="2240">
      <c r="A2240" s="93" t="str">
        <f t="shared" si="2"/>
        <v>#17437</v>
      </c>
      <c r="B2240" s="93" t="str">
        <f>IF(COUNTIF(MAIN!B:B, A2240)=0, "Missing", "")</f>
        <v/>
      </c>
      <c r="E2240" s="128" t="str">
        <f t="shared" si="1"/>
        <v/>
      </c>
    </row>
    <row r="2241">
      <c r="A2241" s="93" t="str">
        <f t="shared" si="2"/>
        <v>#17438</v>
      </c>
      <c r="B2241" s="93" t="str">
        <f>IF(COUNTIF(MAIN!B:B, A2241)=0, "Missing", "")</f>
        <v/>
      </c>
      <c r="E2241" s="128" t="str">
        <f t="shared" si="1"/>
        <v/>
      </c>
    </row>
    <row r="2242">
      <c r="A2242" s="93" t="str">
        <f t="shared" si="2"/>
        <v>#17439</v>
      </c>
      <c r="B2242" s="93" t="str">
        <f>IF(COUNTIF(MAIN!B:B, A2242)=0, "Missing", "")</f>
        <v/>
      </c>
      <c r="E2242" s="128" t="str">
        <f t="shared" si="1"/>
        <v/>
      </c>
    </row>
    <row r="2243">
      <c r="A2243" s="93" t="str">
        <f t="shared" si="2"/>
        <v>#17440</v>
      </c>
      <c r="B2243" s="93" t="str">
        <f>IF(COUNTIF(MAIN!B:B, A2243)=0, "Missing", "")</f>
        <v/>
      </c>
      <c r="E2243" s="128" t="str">
        <f t="shared" si="1"/>
        <v/>
      </c>
    </row>
    <row r="2244">
      <c r="A2244" s="93" t="str">
        <f t="shared" si="2"/>
        <v>#17441</v>
      </c>
      <c r="B2244" s="93" t="str">
        <f>IF(COUNTIF(MAIN!B:B, A2244)=0, "Missing", "")</f>
        <v/>
      </c>
      <c r="E2244" s="128" t="str">
        <f t="shared" si="1"/>
        <v/>
      </c>
    </row>
    <row r="2245">
      <c r="A2245" s="93" t="str">
        <f t="shared" si="2"/>
        <v>#17442</v>
      </c>
      <c r="B2245" s="93" t="str">
        <f>IF(COUNTIF(MAIN!B:B, A2245)=0, "Missing", "")</f>
        <v/>
      </c>
      <c r="E2245" s="128" t="str">
        <f t="shared" si="1"/>
        <v/>
      </c>
    </row>
    <row r="2246">
      <c r="A2246" s="93" t="str">
        <f t="shared" si="2"/>
        <v>#17443</v>
      </c>
      <c r="B2246" s="93" t="str">
        <f>IF(COUNTIF(MAIN!B:B, A2246)=0, "Missing", "")</f>
        <v/>
      </c>
      <c r="E2246" s="128" t="str">
        <f t="shared" si="1"/>
        <v/>
      </c>
    </row>
    <row r="2247">
      <c r="A2247" s="93" t="str">
        <f t="shared" si="2"/>
        <v>#17444</v>
      </c>
      <c r="B2247" s="93" t="str">
        <f>IF(COUNTIF(MAIN!B:B, A2247)=0, "Missing", "")</f>
        <v/>
      </c>
      <c r="E2247" s="128" t="str">
        <f t="shared" si="1"/>
        <v/>
      </c>
    </row>
    <row r="2248">
      <c r="A2248" s="93" t="str">
        <f t="shared" si="2"/>
        <v>#17445</v>
      </c>
      <c r="B2248" s="93" t="str">
        <f>IF(COUNTIF(MAIN!B:B, A2248)=0, "Missing", "")</f>
        <v/>
      </c>
      <c r="E2248" s="128" t="str">
        <f t="shared" si="1"/>
        <v/>
      </c>
    </row>
    <row r="2249">
      <c r="A2249" s="93" t="str">
        <f t="shared" si="2"/>
        <v>#17446</v>
      </c>
      <c r="B2249" s="93" t="str">
        <f>IF(COUNTIF(MAIN!B:B, A2249)=0, "Missing", "")</f>
        <v/>
      </c>
      <c r="E2249" s="128" t="str">
        <f t="shared" si="1"/>
        <v/>
      </c>
    </row>
    <row r="2250">
      <c r="A2250" s="93" t="str">
        <f t="shared" si="2"/>
        <v>#17447</v>
      </c>
      <c r="B2250" s="93" t="str">
        <f>IF(COUNTIF(MAIN!B:B, A2250)=0, "Missing", "")</f>
        <v/>
      </c>
      <c r="E2250" s="128" t="str">
        <f t="shared" si="1"/>
        <v/>
      </c>
    </row>
    <row r="2251">
      <c r="A2251" s="93" t="str">
        <f t="shared" si="2"/>
        <v>#17448</v>
      </c>
      <c r="B2251" s="93" t="str">
        <f>IF(COUNTIF(MAIN!B:B, A2251)=0, "Missing", "")</f>
        <v/>
      </c>
      <c r="E2251" s="128" t="str">
        <f t="shared" si="1"/>
        <v/>
      </c>
    </row>
    <row r="2252">
      <c r="A2252" s="93" t="str">
        <f t="shared" si="2"/>
        <v>#17449</v>
      </c>
      <c r="B2252" s="93" t="str">
        <f>IF(COUNTIF(MAIN!B:B, A2252)=0, "Missing", "")</f>
        <v/>
      </c>
      <c r="E2252" s="128" t="str">
        <f t="shared" si="1"/>
        <v/>
      </c>
    </row>
    <row r="2253">
      <c r="A2253" s="93" t="str">
        <f t="shared" si="2"/>
        <v>#17450</v>
      </c>
      <c r="B2253" s="93" t="str">
        <f>IF(COUNTIF(MAIN!B:B, A2253)=0, "Missing", "")</f>
        <v/>
      </c>
      <c r="E2253" s="128" t="str">
        <f t="shared" si="1"/>
        <v/>
      </c>
    </row>
    <row r="2254">
      <c r="A2254" s="93" t="str">
        <f t="shared" si="2"/>
        <v>#17451</v>
      </c>
      <c r="B2254" s="93" t="str">
        <f>IF(COUNTIF(MAIN!B:B, A2254)=0, "Missing", "")</f>
        <v/>
      </c>
      <c r="E2254" s="128" t="str">
        <f t="shared" si="1"/>
        <v/>
      </c>
    </row>
    <row r="2255">
      <c r="A2255" s="93" t="str">
        <f t="shared" si="2"/>
        <v>#17452</v>
      </c>
      <c r="B2255" s="93" t="str">
        <f>IF(COUNTIF(MAIN!B:B, A2255)=0, "Missing", "")</f>
        <v/>
      </c>
      <c r="E2255" s="128" t="str">
        <f t="shared" si="1"/>
        <v/>
      </c>
    </row>
    <row r="2256">
      <c r="A2256" s="93" t="str">
        <f t="shared" si="2"/>
        <v>#17453</v>
      </c>
      <c r="B2256" s="93" t="str">
        <f>IF(COUNTIF(MAIN!B:B, A2256)=0, "Missing", "")</f>
        <v/>
      </c>
      <c r="E2256" s="128" t="str">
        <f t="shared" si="1"/>
        <v/>
      </c>
    </row>
    <row r="2257">
      <c r="A2257" s="93" t="str">
        <f t="shared" si="2"/>
        <v>#17454</v>
      </c>
      <c r="B2257" s="93" t="str">
        <f>IF(COUNTIF(MAIN!B:B, A2257)=0, "Missing", "")</f>
        <v/>
      </c>
      <c r="E2257" s="128" t="str">
        <f t="shared" si="1"/>
        <v/>
      </c>
    </row>
    <row r="2258">
      <c r="A2258" s="93" t="str">
        <f t="shared" si="2"/>
        <v>#17455</v>
      </c>
      <c r="B2258" s="93" t="str">
        <f>IF(COUNTIF(MAIN!B:B, A2258)=0, "Missing", "")</f>
        <v/>
      </c>
      <c r="E2258" s="128" t="str">
        <f t="shared" si="1"/>
        <v/>
      </c>
    </row>
    <row r="2259">
      <c r="A2259" s="93" t="str">
        <f t="shared" si="2"/>
        <v>#17456</v>
      </c>
      <c r="B2259" s="93" t="str">
        <f>IF(COUNTIF(MAIN!B:B, A2259)=0, "Missing", "")</f>
        <v/>
      </c>
      <c r="E2259" s="128" t="str">
        <f t="shared" si="1"/>
        <v/>
      </c>
    </row>
    <row r="2260">
      <c r="A2260" s="93" t="str">
        <f t="shared" si="2"/>
        <v>#17457</v>
      </c>
      <c r="B2260" s="93" t="str">
        <f>IF(COUNTIF(MAIN!B:B, A2260)=0, "Missing", "")</f>
        <v/>
      </c>
      <c r="E2260" s="128" t="str">
        <f t="shared" si="1"/>
        <v/>
      </c>
    </row>
    <row r="2261">
      <c r="A2261" s="93" t="str">
        <f t="shared" si="2"/>
        <v>#17458</v>
      </c>
      <c r="B2261" s="93" t="str">
        <f>IF(COUNTIF(MAIN!B:B, A2261)=0, "Missing", "")</f>
        <v/>
      </c>
      <c r="E2261" s="128" t="str">
        <f t="shared" si="1"/>
        <v/>
      </c>
    </row>
    <row r="2262">
      <c r="A2262" s="93" t="str">
        <f t="shared" si="2"/>
        <v>#17459</v>
      </c>
      <c r="B2262" s="93" t="str">
        <f>IF(COUNTIF(MAIN!B:B, A2262)=0, "Missing", "")</f>
        <v/>
      </c>
      <c r="E2262" s="128" t="str">
        <f t="shared" si="1"/>
        <v/>
      </c>
    </row>
    <row r="2263">
      <c r="A2263" s="93" t="str">
        <f t="shared" si="2"/>
        <v>#17460</v>
      </c>
      <c r="B2263" s="93" t="str">
        <f>IF(COUNTIF(MAIN!B:B, A2263)=0, "Missing", "")</f>
        <v/>
      </c>
      <c r="E2263" s="128" t="str">
        <f t="shared" si="1"/>
        <v/>
      </c>
    </row>
    <row r="2264">
      <c r="A2264" s="93" t="str">
        <f t="shared" si="2"/>
        <v>#17461</v>
      </c>
      <c r="B2264" s="93" t="str">
        <f>IF(COUNTIF(MAIN!B:B, A2264)=0, "Missing", "")</f>
        <v/>
      </c>
      <c r="E2264" s="128" t="str">
        <f t="shared" si="1"/>
        <v/>
      </c>
    </row>
    <row r="2265">
      <c r="A2265" s="93" t="str">
        <f t="shared" si="2"/>
        <v>#17462</v>
      </c>
      <c r="B2265" s="93" t="str">
        <f>IF(COUNTIF(MAIN!B:B, A2265)=0, "Missing", "")</f>
        <v/>
      </c>
      <c r="E2265" s="128" t="str">
        <f t="shared" si="1"/>
        <v/>
      </c>
    </row>
    <row r="2266">
      <c r="A2266" s="93" t="str">
        <f t="shared" si="2"/>
        <v>#17463</v>
      </c>
      <c r="B2266" s="93" t="str">
        <f>IF(COUNTIF(MAIN!B:B, A2266)=0, "Missing", "")</f>
        <v/>
      </c>
      <c r="E2266" s="128" t="str">
        <f t="shared" si="1"/>
        <v/>
      </c>
    </row>
    <row r="2267">
      <c r="A2267" s="93" t="str">
        <f t="shared" si="2"/>
        <v>#17464</v>
      </c>
      <c r="B2267" s="93" t="str">
        <f>IF(COUNTIF(MAIN!B:B, A2267)=0, "Missing", "")</f>
        <v/>
      </c>
      <c r="E2267" s="128" t="str">
        <f t="shared" si="1"/>
        <v/>
      </c>
    </row>
    <row r="2268">
      <c r="A2268" s="93" t="str">
        <f t="shared" si="2"/>
        <v>#17465</v>
      </c>
      <c r="B2268" s="93" t="str">
        <f>IF(COUNTIF(MAIN!B:B, A2268)=0, "Missing", "")</f>
        <v/>
      </c>
      <c r="E2268" s="128" t="str">
        <f t="shared" si="1"/>
        <v/>
      </c>
    </row>
    <row r="2269">
      <c r="A2269" s="93" t="str">
        <f t="shared" si="2"/>
        <v>#17466</v>
      </c>
      <c r="B2269" s="93" t="str">
        <f>IF(COUNTIF(MAIN!B:B, A2269)=0, "Missing", "")</f>
        <v/>
      </c>
      <c r="E2269" s="128" t="str">
        <f t="shared" si="1"/>
        <v/>
      </c>
    </row>
    <row r="2270">
      <c r="A2270" s="93" t="str">
        <f t="shared" si="2"/>
        <v>#17467</v>
      </c>
      <c r="B2270" s="93" t="str">
        <f>IF(COUNTIF(MAIN!B:B, A2270)=0, "Missing", "")</f>
        <v/>
      </c>
      <c r="E2270" s="128" t="str">
        <f t="shared" si="1"/>
        <v/>
      </c>
    </row>
    <row r="2271">
      <c r="A2271" s="93" t="str">
        <f t="shared" si="2"/>
        <v>#17468</v>
      </c>
      <c r="B2271" s="93" t="str">
        <f>IF(COUNTIF(MAIN!B:B, A2271)=0, "Missing", "")</f>
        <v/>
      </c>
      <c r="E2271" s="128" t="str">
        <f t="shared" si="1"/>
        <v/>
      </c>
    </row>
    <row r="2272">
      <c r="A2272" s="93" t="str">
        <f t="shared" si="2"/>
        <v>#17469</v>
      </c>
      <c r="B2272" s="93" t="str">
        <f>IF(COUNTIF(MAIN!B:B, A2272)=0, "Missing", "")</f>
        <v/>
      </c>
      <c r="E2272" s="128" t="str">
        <f t="shared" si="1"/>
        <v/>
      </c>
    </row>
    <row r="2273">
      <c r="A2273" s="93" t="str">
        <f t="shared" si="2"/>
        <v>#17470</v>
      </c>
      <c r="B2273" s="93" t="str">
        <f>IF(COUNTIF(MAIN!B:B, A2273)=0, "Missing", "")</f>
        <v/>
      </c>
      <c r="E2273" s="128" t="str">
        <f t="shared" si="1"/>
        <v/>
      </c>
    </row>
    <row r="2274">
      <c r="A2274" s="93" t="str">
        <f t="shared" si="2"/>
        <v>#17471</v>
      </c>
      <c r="B2274" s="93" t="str">
        <f>IF(COUNTIF(MAIN!B:B, A2274)=0, "Missing", "")</f>
        <v/>
      </c>
      <c r="E2274" s="128" t="str">
        <f t="shared" si="1"/>
        <v/>
      </c>
    </row>
    <row r="2275">
      <c r="A2275" s="93" t="str">
        <f t="shared" si="2"/>
        <v>#17472</v>
      </c>
      <c r="B2275" s="93" t="str">
        <f>IF(COUNTIF(MAIN!B:B, A2275)=0, "Missing", "")</f>
        <v/>
      </c>
      <c r="E2275" s="128" t="str">
        <f t="shared" si="1"/>
        <v/>
      </c>
    </row>
    <row r="2276">
      <c r="A2276" s="93" t="str">
        <f t="shared" si="2"/>
        <v>#17473</v>
      </c>
      <c r="B2276" s="93" t="str">
        <f>IF(COUNTIF(MAIN!B:B, A2276)=0, "Missing", "")</f>
        <v/>
      </c>
      <c r="E2276" s="128" t="str">
        <f t="shared" si="1"/>
        <v/>
      </c>
    </row>
    <row r="2277">
      <c r="A2277" s="93" t="str">
        <f t="shared" si="2"/>
        <v>#17474</v>
      </c>
      <c r="B2277" s="93" t="str">
        <f>IF(COUNTIF(MAIN!B:B, A2277)=0, "Missing", "")</f>
        <v/>
      </c>
      <c r="E2277" s="128" t="str">
        <f t="shared" si="1"/>
        <v/>
      </c>
    </row>
    <row r="2278">
      <c r="A2278" s="93" t="str">
        <f t="shared" si="2"/>
        <v>#17475</v>
      </c>
      <c r="B2278" s="93" t="str">
        <f>IF(COUNTIF(MAIN!B:B, A2278)=0, "Missing", "")</f>
        <v/>
      </c>
      <c r="E2278" s="128" t="str">
        <f t="shared" si="1"/>
        <v/>
      </c>
    </row>
    <row r="2279">
      <c r="A2279" s="93" t="str">
        <f t="shared" si="2"/>
        <v>#17476</v>
      </c>
      <c r="B2279" s="93" t="str">
        <f>IF(COUNTIF(MAIN!B:B, A2279)=0, "Missing", "")</f>
        <v>Missing</v>
      </c>
      <c r="C2279" s="84" t="s">
        <v>15238</v>
      </c>
      <c r="E2279" s="131" t="str">
        <f t="shared" si="1"/>
        <v>https://utrucking.myshopify.com/admin/orders?query=17476</v>
      </c>
    </row>
    <row r="2280">
      <c r="A2280" s="93" t="str">
        <f t="shared" si="2"/>
        <v>#17477</v>
      </c>
      <c r="B2280" s="93" t="str">
        <f>IF(COUNTIF(MAIN!B:B, A2280)=0, "Missing", "")</f>
        <v>Missing</v>
      </c>
      <c r="C2280" s="84" t="s">
        <v>15238</v>
      </c>
      <c r="E2280" s="131" t="str">
        <f t="shared" si="1"/>
        <v>https://utrucking.myshopify.com/admin/orders?query=17477</v>
      </c>
    </row>
    <row r="2281">
      <c r="A2281" s="93" t="str">
        <f t="shared" si="2"/>
        <v>#17478</v>
      </c>
      <c r="B2281" s="93" t="str">
        <f>IF(COUNTIF(MAIN!B:B, A2281)=0, "Missing", "")</f>
        <v/>
      </c>
      <c r="E2281" s="128" t="str">
        <f t="shared" si="1"/>
        <v/>
      </c>
    </row>
    <row r="2282">
      <c r="A2282" s="93" t="str">
        <f t="shared" si="2"/>
        <v>#17479</v>
      </c>
      <c r="B2282" s="93" t="str">
        <f>IF(COUNTIF(MAIN!B:B, A2282)=0, "Missing", "")</f>
        <v/>
      </c>
      <c r="E2282" s="128" t="str">
        <f t="shared" si="1"/>
        <v/>
      </c>
    </row>
    <row r="2283">
      <c r="A2283" s="93" t="str">
        <f t="shared" si="2"/>
        <v>#17480</v>
      </c>
      <c r="B2283" s="93" t="str">
        <f>IF(COUNTIF(MAIN!B:B, A2283)=0, "Missing", "")</f>
        <v/>
      </c>
      <c r="E2283" s="128" t="str">
        <f t="shared" si="1"/>
        <v/>
      </c>
    </row>
    <row r="2284">
      <c r="A2284" s="93" t="str">
        <f t="shared" si="2"/>
        <v>#17481</v>
      </c>
      <c r="B2284" s="93" t="str">
        <f>IF(COUNTIF(MAIN!B:B, A2284)=0, "Missing", "")</f>
        <v/>
      </c>
      <c r="E2284" s="128" t="str">
        <f t="shared" si="1"/>
        <v/>
      </c>
    </row>
    <row r="2285">
      <c r="A2285" s="93" t="str">
        <f t="shared" si="2"/>
        <v>#17482</v>
      </c>
      <c r="B2285" s="93" t="str">
        <f>IF(COUNTIF(MAIN!B:B, A2285)=0, "Missing", "")</f>
        <v/>
      </c>
      <c r="E2285" s="128" t="str">
        <f t="shared" si="1"/>
        <v/>
      </c>
    </row>
    <row r="2286">
      <c r="A2286" s="93" t="str">
        <f t="shared" si="2"/>
        <v>#17483</v>
      </c>
      <c r="B2286" s="93" t="str">
        <f>IF(COUNTIF(MAIN!B:B, A2286)=0, "Missing", "")</f>
        <v/>
      </c>
      <c r="E2286" s="128" t="str">
        <f t="shared" si="1"/>
        <v/>
      </c>
    </row>
    <row r="2287">
      <c r="A2287" s="93" t="str">
        <f t="shared" si="2"/>
        <v>#17484</v>
      </c>
      <c r="B2287" s="93" t="str">
        <f>IF(COUNTIF(MAIN!B:B, A2287)=0, "Missing", "")</f>
        <v/>
      </c>
      <c r="E2287" s="128" t="str">
        <f t="shared" si="1"/>
        <v/>
      </c>
    </row>
    <row r="2288">
      <c r="A2288" s="93" t="str">
        <f t="shared" si="2"/>
        <v>#17485</v>
      </c>
      <c r="B2288" s="93" t="str">
        <f>IF(COUNTIF(MAIN!B:B, A2288)=0, "Missing", "")</f>
        <v/>
      </c>
      <c r="E2288" s="128" t="str">
        <f t="shared" si="1"/>
        <v/>
      </c>
    </row>
    <row r="2289">
      <c r="A2289" s="93" t="str">
        <f t="shared" si="2"/>
        <v>#17486</v>
      </c>
      <c r="B2289" s="93" t="str">
        <f>IF(COUNTIF(MAIN!B:B, A2289)=0, "Missing", "")</f>
        <v/>
      </c>
      <c r="E2289" s="128" t="str">
        <f t="shared" si="1"/>
        <v/>
      </c>
    </row>
    <row r="2290">
      <c r="A2290" s="93" t="str">
        <f t="shared" si="2"/>
        <v>#17487</v>
      </c>
      <c r="B2290" s="93" t="str">
        <f>IF(COUNTIF(MAIN!B:B, A2290)=0, "Missing", "")</f>
        <v/>
      </c>
      <c r="E2290" s="128" t="str">
        <f t="shared" si="1"/>
        <v/>
      </c>
    </row>
    <row r="2291">
      <c r="A2291" s="93" t="str">
        <f t="shared" si="2"/>
        <v>#17488</v>
      </c>
      <c r="B2291" s="93" t="str">
        <f>IF(COUNTIF(MAIN!B:B, A2291)=0, "Missing", "")</f>
        <v/>
      </c>
      <c r="E2291" s="128" t="str">
        <f t="shared" si="1"/>
        <v/>
      </c>
    </row>
    <row r="2292">
      <c r="A2292" s="93" t="str">
        <f t="shared" si="2"/>
        <v>#17489</v>
      </c>
      <c r="B2292" s="93" t="str">
        <f>IF(COUNTIF(MAIN!B:B, A2292)=0, "Missing", "")</f>
        <v/>
      </c>
      <c r="E2292" s="128" t="str">
        <f t="shared" si="1"/>
        <v/>
      </c>
    </row>
    <row r="2293">
      <c r="A2293" s="93" t="str">
        <f t="shared" si="2"/>
        <v>#17490</v>
      </c>
      <c r="B2293" s="93" t="str">
        <f>IF(COUNTIF(MAIN!B:B, A2293)=0, "Missing", "")</f>
        <v/>
      </c>
      <c r="E2293" s="128" t="str">
        <f t="shared" si="1"/>
        <v/>
      </c>
    </row>
    <row r="2294">
      <c r="A2294" s="93" t="str">
        <f t="shared" si="2"/>
        <v>#17491</v>
      </c>
      <c r="B2294" s="93" t="str">
        <f>IF(COUNTIF(MAIN!B:B, A2294)=0, "Missing", "")</f>
        <v/>
      </c>
      <c r="E2294" s="128" t="str">
        <f t="shared" si="1"/>
        <v/>
      </c>
    </row>
    <row r="2295">
      <c r="A2295" s="93" t="str">
        <f t="shared" si="2"/>
        <v>#17492</v>
      </c>
      <c r="B2295" s="93" t="str">
        <f>IF(COUNTIF(MAIN!B:B, A2295)=0, "Missing", "")</f>
        <v/>
      </c>
      <c r="E2295" s="128" t="str">
        <f t="shared" si="1"/>
        <v/>
      </c>
    </row>
    <row r="2296">
      <c r="A2296" s="93" t="str">
        <f t="shared" si="2"/>
        <v>#17493</v>
      </c>
      <c r="B2296" s="93" t="str">
        <f>IF(COUNTIF(MAIN!B:B, A2296)=0, "Missing", "")</f>
        <v/>
      </c>
      <c r="E2296" s="128" t="str">
        <f t="shared" si="1"/>
        <v/>
      </c>
    </row>
    <row r="2297">
      <c r="A2297" s="93" t="str">
        <f t="shared" si="2"/>
        <v>#17494</v>
      </c>
      <c r="B2297" s="93" t="str">
        <f>IF(COUNTIF(MAIN!B:B, A2297)=0, "Missing", "")</f>
        <v/>
      </c>
      <c r="E2297" s="128" t="str">
        <f t="shared" si="1"/>
        <v/>
      </c>
    </row>
    <row r="2298">
      <c r="A2298" s="93" t="str">
        <f t="shared" si="2"/>
        <v>#17495</v>
      </c>
      <c r="B2298" s="93" t="str">
        <f>IF(COUNTIF(MAIN!B:B, A2298)=0, "Missing", "")</f>
        <v/>
      </c>
      <c r="E2298" s="128" t="str">
        <f t="shared" si="1"/>
        <v/>
      </c>
    </row>
    <row r="2299">
      <c r="A2299" s="93" t="str">
        <f t="shared" si="2"/>
        <v>#17496</v>
      </c>
      <c r="B2299" s="93" t="str">
        <f>IF(COUNTIF(MAIN!B:B, A2299)=0, "Missing", "")</f>
        <v/>
      </c>
      <c r="E2299" s="128" t="str">
        <f t="shared" si="1"/>
        <v/>
      </c>
    </row>
    <row r="2300">
      <c r="A2300" s="93" t="str">
        <f t="shared" si="2"/>
        <v>#17497</v>
      </c>
      <c r="B2300" s="93" t="str">
        <f>IF(COUNTIF(MAIN!B:B, A2300)=0, "Missing", "")</f>
        <v/>
      </c>
      <c r="E2300" s="128" t="str">
        <f t="shared" si="1"/>
        <v/>
      </c>
    </row>
    <row r="2301">
      <c r="A2301" s="93" t="str">
        <f t="shared" si="2"/>
        <v>#17498</v>
      </c>
      <c r="B2301" s="93" t="str">
        <f>IF(COUNTIF(MAIN!B:B, A2301)=0, "Missing", "")</f>
        <v/>
      </c>
      <c r="E2301" s="128" t="str">
        <f t="shared" si="1"/>
        <v/>
      </c>
    </row>
    <row r="2302">
      <c r="A2302" s="93" t="str">
        <f t="shared" si="2"/>
        <v>#17499</v>
      </c>
      <c r="B2302" s="93" t="str">
        <f>IF(COUNTIF(MAIN!B:B, A2302)=0, "Missing", "")</f>
        <v/>
      </c>
      <c r="E2302" s="128" t="str">
        <f t="shared" si="1"/>
        <v/>
      </c>
    </row>
    <row r="2303">
      <c r="A2303" s="93" t="str">
        <f t="shared" si="2"/>
        <v>#17500</v>
      </c>
      <c r="B2303" s="93" t="str">
        <f>IF(COUNTIF(MAIN!B:B, A2303)=0, "Missing", "")</f>
        <v/>
      </c>
      <c r="E2303" s="128" t="str">
        <f t="shared" si="1"/>
        <v/>
      </c>
    </row>
    <row r="2304">
      <c r="A2304" s="93" t="str">
        <f t="shared" si="2"/>
        <v>#17501</v>
      </c>
      <c r="B2304" s="93" t="str">
        <f>IF(COUNTIF(MAIN!B:B, A2304)=0, "Missing", "")</f>
        <v/>
      </c>
      <c r="E2304" s="128" t="str">
        <f t="shared" si="1"/>
        <v/>
      </c>
    </row>
    <row r="2305">
      <c r="A2305" s="93" t="str">
        <f t="shared" si="2"/>
        <v>#17502</v>
      </c>
      <c r="B2305" s="93" t="str">
        <f>IF(COUNTIF(MAIN!B:B, A2305)=0, "Missing", "")</f>
        <v/>
      </c>
      <c r="E2305" s="128" t="str">
        <f t="shared" si="1"/>
        <v/>
      </c>
    </row>
    <row r="2306">
      <c r="A2306" s="93" t="str">
        <f t="shared" si="2"/>
        <v>#17503</v>
      </c>
      <c r="B2306" s="93" t="str">
        <f>IF(COUNTIF(MAIN!B:B, A2306)=0, "Missing", "")</f>
        <v/>
      </c>
      <c r="E2306" s="128" t="str">
        <f t="shared" si="1"/>
        <v/>
      </c>
    </row>
    <row r="2307">
      <c r="A2307" s="93" t="str">
        <f t="shared" si="2"/>
        <v>#17504</v>
      </c>
      <c r="B2307" s="93" t="str">
        <f>IF(COUNTIF(MAIN!B:B, A2307)=0, "Missing", "")</f>
        <v/>
      </c>
      <c r="E2307" s="128" t="str">
        <f t="shared" si="1"/>
        <v/>
      </c>
    </row>
    <row r="2308">
      <c r="A2308" s="93" t="str">
        <f t="shared" si="2"/>
        <v>#17505</v>
      </c>
      <c r="B2308" s="93" t="str">
        <f>IF(COUNTIF(MAIN!B:B, A2308)=0, "Missing", "")</f>
        <v/>
      </c>
      <c r="E2308" s="128" t="str">
        <f t="shared" si="1"/>
        <v/>
      </c>
    </row>
    <row r="2309">
      <c r="A2309" s="93" t="str">
        <f t="shared" si="2"/>
        <v>#17506</v>
      </c>
      <c r="B2309" s="93" t="str">
        <f>IF(COUNTIF(MAIN!B:B, A2309)=0, "Missing", "")</f>
        <v/>
      </c>
      <c r="E2309" s="128" t="str">
        <f t="shared" si="1"/>
        <v/>
      </c>
    </row>
    <row r="2310">
      <c r="A2310" s="93" t="str">
        <f t="shared" si="2"/>
        <v>#17507</v>
      </c>
      <c r="B2310" s="93" t="str">
        <f>IF(COUNTIF(MAIN!B:B, A2310)=0, "Missing", "")</f>
        <v/>
      </c>
      <c r="E2310" s="128" t="str">
        <f t="shared" si="1"/>
        <v/>
      </c>
    </row>
    <row r="2311">
      <c r="A2311" s="93" t="str">
        <f t="shared" si="2"/>
        <v>#17508</v>
      </c>
      <c r="B2311" s="93" t="str">
        <f>IF(COUNTIF(MAIN!B:B, A2311)=0, "Missing", "")</f>
        <v/>
      </c>
      <c r="E2311" s="128" t="str">
        <f t="shared" si="1"/>
        <v/>
      </c>
    </row>
    <row r="2312">
      <c r="A2312" s="93" t="str">
        <f t="shared" si="2"/>
        <v>#17509</v>
      </c>
      <c r="B2312" s="93" t="str">
        <f>IF(COUNTIF(MAIN!B:B, A2312)=0, "Missing", "")</f>
        <v/>
      </c>
      <c r="E2312" s="128" t="str">
        <f t="shared" si="1"/>
        <v/>
      </c>
    </row>
    <row r="2313">
      <c r="A2313" s="93" t="str">
        <f t="shared" si="2"/>
        <v>#17510</v>
      </c>
      <c r="B2313" s="93" t="str">
        <f>IF(COUNTIF(MAIN!B:B, A2313)=0, "Missing", "")</f>
        <v/>
      </c>
      <c r="E2313" s="128" t="str">
        <f t="shared" si="1"/>
        <v/>
      </c>
    </row>
    <row r="2314">
      <c r="A2314" s="93" t="str">
        <f t="shared" si="2"/>
        <v>#17511</v>
      </c>
      <c r="B2314" s="93" t="str">
        <f>IF(COUNTIF(MAIN!B:B, A2314)=0, "Missing", "")</f>
        <v/>
      </c>
      <c r="E2314" s="128" t="str">
        <f t="shared" si="1"/>
        <v/>
      </c>
    </row>
    <row r="2315">
      <c r="A2315" s="93" t="str">
        <f t="shared" si="2"/>
        <v>#17512</v>
      </c>
      <c r="B2315" s="93" t="str">
        <f>IF(COUNTIF(MAIN!B:B, A2315)=0, "Missing", "")</f>
        <v/>
      </c>
      <c r="E2315" s="128" t="str">
        <f t="shared" si="1"/>
        <v/>
      </c>
    </row>
    <row r="2316">
      <c r="A2316" s="93" t="str">
        <f t="shared" si="2"/>
        <v>#17513</v>
      </c>
      <c r="B2316" s="93" t="str">
        <f>IF(COUNTIF(MAIN!B:B, A2316)=0, "Missing", "")</f>
        <v/>
      </c>
      <c r="E2316" s="128" t="str">
        <f t="shared" si="1"/>
        <v/>
      </c>
    </row>
    <row r="2317">
      <c r="A2317" s="93" t="str">
        <f t="shared" si="2"/>
        <v>#17514</v>
      </c>
      <c r="B2317" s="93" t="str">
        <f>IF(COUNTIF(MAIN!B:B, A2317)=0, "Missing", "")</f>
        <v/>
      </c>
      <c r="E2317" s="128" t="str">
        <f t="shared" si="1"/>
        <v/>
      </c>
    </row>
    <row r="2318">
      <c r="A2318" s="93" t="str">
        <f t="shared" si="2"/>
        <v>#17515</v>
      </c>
      <c r="B2318" s="93" t="str">
        <f>IF(COUNTIF(MAIN!B:B, A2318)=0, "Missing", "")</f>
        <v/>
      </c>
      <c r="E2318" s="128" t="str">
        <f t="shared" si="1"/>
        <v/>
      </c>
    </row>
    <row r="2319">
      <c r="A2319" s="93" t="str">
        <f t="shared" si="2"/>
        <v>#17516</v>
      </c>
      <c r="B2319" s="93" t="str">
        <f>IF(COUNTIF(MAIN!B:B, A2319)=0, "Missing", "")</f>
        <v/>
      </c>
      <c r="E2319" s="128" t="str">
        <f t="shared" si="1"/>
        <v/>
      </c>
    </row>
    <row r="2320">
      <c r="A2320" s="93" t="str">
        <f t="shared" si="2"/>
        <v>#17517</v>
      </c>
      <c r="B2320" s="93" t="str">
        <f>IF(COUNTIF(MAIN!B:B, A2320)=0, "Missing", "")</f>
        <v/>
      </c>
      <c r="E2320" s="128" t="str">
        <f t="shared" si="1"/>
        <v/>
      </c>
    </row>
    <row r="2321">
      <c r="A2321" s="93" t="str">
        <f t="shared" si="2"/>
        <v>#17518</v>
      </c>
      <c r="B2321" s="93" t="str">
        <f>IF(COUNTIF(MAIN!B:B, A2321)=0, "Missing", "")</f>
        <v/>
      </c>
      <c r="E2321" s="128" t="str">
        <f t="shared" si="1"/>
        <v/>
      </c>
    </row>
    <row r="2322">
      <c r="A2322" s="93" t="str">
        <f t="shared" si="2"/>
        <v>#17519</v>
      </c>
      <c r="B2322" s="93" t="str">
        <f>IF(COUNTIF(MAIN!B:B, A2322)=0, "Missing", "")</f>
        <v/>
      </c>
      <c r="E2322" s="128" t="str">
        <f t="shared" si="1"/>
        <v/>
      </c>
    </row>
    <row r="2323">
      <c r="A2323" s="93" t="str">
        <f t="shared" si="2"/>
        <v>#17520</v>
      </c>
      <c r="B2323" s="93" t="str">
        <f>IF(COUNTIF(MAIN!B:B, A2323)=0, "Missing", "")</f>
        <v/>
      </c>
      <c r="E2323" s="128" t="str">
        <f t="shared" si="1"/>
        <v/>
      </c>
    </row>
    <row r="2324">
      <c r="A2324" s="93" t="str">
        <f t="shared" si="2"/>
        <v>#17521</v>
      </c>
      <c r="B2324" s="93" t="str">
        <f>IF(COUNTIF(MAIN!B:B, A2324)=0, "Missing", "")</f>
        <v/>
      </c>
      <c r="E2324" s="128" t="str">
        <f t="shared" si="1"/>
        <v/>
      </c>
    </row>
    <row r="2325">
      <c r="A2325" s="93" t="str">
        <f t="shared" si="2"/>
        <v>#17522</v>
      </c>
      <c r="B2325" s="93" t="str">
        <f>IF(COUNTIF(MAIN!B:B, A2325)=0, "Missing", "")</f>
        <v/>
      </c>
      <c r="E2325" s="128" t="str">
        <f t="shared" si="1"/>
        <v/>
      </c>
    </row>
    <row r="2326">
      <c r="A2326" s="93" t="str">
        <f t="shared" si="2"/>
        <v>#17523</v>
      </c>
      <c r="B2326" s="93" t="str">
        <f>IF(COUNTIF(MAIN!B:B, A2326)=0, "Missing", "")</f>
        <v/>
      </c>
      <c r="E2326" s="128" t="str">
        <f t="shared" si="1"/>
        <v/>
      </c>
    </row>
    <row r="2327">
      <c r="A2327" s="93" t="str">
        <f t="shared" si="2"/>
        <v>#17524</v>
      </c>
      <c r="B2327" s="93" t="str">
        <f>IF(COUNTIF(MAIN!B:B, A2327)=0, "Missing", "")</f>
        <v/>
      </c>
      <c r="E2327" s="128" t="str">
        <f t="shared" si="1"/>
        <v/>
      </c>
    </row>
    <row r="2328">
      <c r="A2328" s="93" t="str">
        <f t="shared" si="2"/>
        <v>#17525</v>
      </c>
      <c r="B2328" s="93" t="str">
        <f>IF(COUNTIF(MAIN!B:B, A2328)=0, "Missing", "")</f>
        <v/>
      </c>
      <c r="E2328" s="128" t="str">
        <f t="shared" si="1"/>
        <v/>
      </c>
    </row>
    <row r="2329">
      <c r="A2329" s="93" t="str">
        <f t="shared" si="2"/>
        <v>#17526</v>
      </c>
      <c r="B2329" s="93" t="str">
        <f>IF(COUNTIF(MAIN!B:B, A2329)=0, "Missing", "")</f>
        <v/>
      </c>
      <c r="E2329" s="128" t="str">
        <f t="shared" si="1"/>
        <v/>
      </c>
    </row>
    <row r="2330">
      <c r="A2330" s="93" t="str">
        <f t="shared" si="2"/>
        <v>#17527</v>
      </c>
      <c r="B2330" s="93" t="str">
        <f>IF(COUNTIF(MAIN!B:B, A2330)=0, "Missing", "")</f>
        <v/>
      </c>
      <c r="E2330" s="128" t="str">
        <f t="shared" si="1"/>
        <v/>
      </c>
    </row>
    <row r="2331">
      <c r="A2331" s="93" t="str">
        <f t="shared" si="2"/>
        <v>#17528</v>
      </c>
      <c r="B2331" s="93" t="str">
        <f>IF(COUNTIF(MAIN!B:B, A2331)=0, "Missing", "")</f>
        <v/>
      </c>
      <c r="E2331" s="128" t="str">
        <f t="shared" si="1"/>
        <v/>
      </c>
    </row>
    <row r="2332">
      <c r="A2332" s="93" t="str">
        <f t="shared" si="2"/>
        <v>#17529</v>
      </c>
      <c r="B2332" s="93" t="str">
        <f>IF(COUNTIF(MAIN!B:B, A2332)=0, "Missing", "")</f>
        <v/>
      </c>
      <c r="E2332" s="128" t="str">
        <f t="shared" si="1"/>
        <v/>
      </c>
    </row>
    <row r="2333">
      <c r="A2333" s="93" t="str">
        <f t="shared" si="2"/>
        <v>#17530</v>
      </c>
      <c r="B2333" s="93" t="str">
        <f>IF(COUNTIF(MAIN!B:B, A2333)=0, "Missing", "")</f>
        <v/>
      </c>
      <c r="E2333" s="128" t="str">
        <f t="shared" si="1"/>
        <v/>
      </c>
    </row>
    <row r="2334">
      <c r="A2334" s="93" t="str">
        <f t="shared" si="2"/>
        <v>#17531</v>
      </c>
      <c r="B2334" s="93" t="str">
        <f>IF(COUNTIF(MAIN!B:B, A2334)=0, "Missing", "")</f>
        <v/>
      </c>
      <c r="E2334" s="128" t="str">
        <f t="shared" si="1"/>
        <v/>
      </c>
    </row>
    <row r="2335">
      <c r="A2335" s="93" t="str">
        <f t="shared" si="2"/>
        <v>#17532</v>
      </c>
      <c r="B2335" s="93" t="str">
        <f>IF(COUNTIF(MAIN!B:B, A2335)=0, "Missing", "")</f>
        <v/>
      </c>
      <c r="E2335" s="128" t="str">
        <f t="shared" si="1"/>
        <v/>
      </c>
    </row>
    <row r="2336">
      <c r="A2336" s="93" t="str">
        <f t="shared" si="2"/>
        <v>#17533</v>
      </c>
      <c r="B2336" s="93" t="str">
        <f>IF(COUNTIF(MAIN!B:B, A2336)=0, "Missing", "")</f>
        <v/>
      </c>
      <c r="E2336" s="128" t="str">
        <f t="shared" si="1"/>
        <v/>
      </c>
    </row>
    <row r="2337">
      <c r="A2337" s="93" t="str">
        <f t="shared" si="2"/>
        <v>#17534</v>
      </c>
      <c r="B2337" s="93" t="str">
        <f>IF(COUNTIF(MAIN!B:B, A2337)=0, "Missing", "")</f>
        <v/>
      </c>
      <c r="E2337" s="128" t="str">
        <f t="shared" si="1"/>
        <v/>
      </c>
    </row>
    <row r="2338">
      <c r="A2338" s="93" t="str">
        <f t="shared" si="2"/>
        <v>#17535</v>
      </c>
      <c r="B2338" s="93" t="str">
        <f>IF(COUNTIF(MAIN!B:B, A2338)=0, "Missing", "")</f>
        <v/>
      </c>
      <c r="E2338" s="128" t="str">
        <f t="shared" si="1"/>
        <v/>
      </c>
    </row>
    <row r="2339">
      <c r="A2339" s="93" t="str">
        <f t="shared" si="2"/>
        <v>#17536</v>
      </c>
      <c r="B2339" s="93" t="str">
        <f>IF(COUNTIF(MAIN!B:B, A2339)=0, "Missing", "")</f>
        <v/>
      </c>
      <c r="E2339" s="128" t="str">
        <f t="shared" si="1"/>
        <v/>
      </c>
    </row>
    <row r="2340">
      <c r="A2340" s="93" t="str">
        <f t="shared" si="2"/>
        <v>#17537</v>
      </c>
      <c r="B2340" s="93" t="str">
        <f>IF(COUNTIF(MAIN!B:B, A2340)=0, "Missing", "")</f>
        <v/>
      </c>
      <c r="E2340" s="128" t="str">
        <f t="shared" si="1"/>
        <v/>
      </c>
    </row>
    <row r="2341">
      <c r="A2341" s="93" t="str">
        <f t="shared" si="2"/>
        <v>#17538</v>
      </c>
      <c r="B2341" s="93" t="str">
        <f>IF(COUNTIF(MAIN!B:B, A2341)=0, "Missing", "")</f>
        <v/>
      </c>
      <c r="E2341" s="128" t="str">
        <f t="shared" si="1"/>
        <v/>
      </c>
    </row>
    <row r="2342">
      <c r="A2342" s="93" t="str">
        <f t="shared" si="2"/>
        <v>#17539</v>
      </c>
      <c r="B2342" s="93" t="str">
        <f>IF(COUNTIF(MAIN!B:B, A2342)=0, "Missing", "")</f>
        <v/>
      </c>
      <c r="E2342" s="128" t="str">
        <f t="shared" si="1"/>
        <v/>
      </c>
    </row>
    <row r="2343">
      <c r="A2343" s="93" t="str">
        <f t="shared" si="2"/>
        <v>#17540</v>
      </c>
      <c r="B2343" s="93" t="str">
        <f>IF(COUNTIF(MAIN!B:B, A2343)=0, "Missing", "")</f>
        <v/>
      </c>
      <c r="E2343" s="128" t="str">
        <f t="shared" si="1"/>
        <v/>
      </c>
    </row>
    <row r="2344">
      <c r="A2344" s="93" t="str">
        <f t="shared" si="2"/>
        <v>#17541</v>
      </c>
      <c r="B2344" s="93" t="str">
        <f>IF(COUNTIF(MAIN!B:B, A2344)=0, "Missing", "")</f>
        <v/>
      </c>
      <c r="E2344" s="128" t="str">
        <f t="shared" si="1"/>
        <v/>
      </c>
    </row>
    <row r="2345">
      <c r="A2345" s="93" t="str">
        <f t="shared" si="2"/>
        <v>#17542</v>
      </c>
      <c r="B2345" s="93" t="str">
        <f>IF(COUNTIF(MAIN!B:B, A2345)=0, "Missing", "")</f>
        <v/>
      </c>
      <c r="E2345" s="128" t="str">
        <f t="shared" si="1"/>
        <v/>
      </c>
    </row>
    <row r="2346">
      <c r="A2346" s="93" t="str">
        <f t="shared" si="2"/>
        <v>#17543</v>
      </c>
      <c r="B2346" s="93" t="str">
        <f>IF(COUNTIF(MAIN!B:B, A2346)=0, "Missing", "")</f>
        <v/>
      </c>
      <c r="E2346" s="128" t="str">
        <f t="shared" si="1"/>
        <v/>
      </c>
    </row>
    <row r="2347">
      <c r="A2347" s="93" t="str">
        <f t="shared" si="2"/>
        <v>#17544</v>
      </c>
      <c r="B2347" s="93" t="str">
        <f>IF(COUNTIF(MAIN!B:B, A2347)=0, "Missing", "")</f>
        <v/>
      </c>
      <c r="E2347" s="128" t="str">
        <f t="shared" si="1"/>
        <v/>
      </c>
    </row>
    <row r="2348">
      <c r="A2348" s="93" t="str">
        <f t="shared" si="2"/>
        <v>#17545</v>
      </c>
      <c r="B2348" s="93" t="str">
        <f>IF(COUNTIF(MAIN!B:B, A2348)=0, "Missing", "")</f>
        <v/>
      </c>
      <c r="E2348" s="128" t="str">
        <f t="shared" si="1"/>
        <v/>
      </c>
    </row>
    <row r="2349">
      <c r="A2349" s="93" t="str">
        <f t="shared" si="2"/>
        <v>#17546</v>
      </c>
      <c r="B2349" s="93" t="str">
        <f>IF(COUNTIF(MAIN!B:B, A2349)=0, "Missing", "")</f>
        <v/>
      </c>
      <c r="E2349" s="128" t="str">
        <f t="shared" si="1"/>
        <v/>
      </c>
    </row>
    <row r="2350">
      <c r="A2350" s="93" t="str">
        <f t="shared" si="2"/>
        <v>#17547</v>
      </c>
      <c r="B2350" s="93" t="str">
        <f>IF(COUNTIF(MAIN!B:B, A2350)=0, "Missing", "")</f>
        <v/>
      </c>
      <c r="E2350" s="128" t="str">
        <f t="shared" si="1"/>
        <v/>
      </c>
    </row>
    <row r="2351">
      <c r="A2351" s="93" t="str">
        <f t="shared" si="2"/>
        <v>#17548</v>
      </c>
      <c r="B2351" s="93" t="str">
        <f>IF(COUNTIF(MAIN!B:B, A2351)=0, "Missing", "")</f>
        <v/>
      </c>
      <c r="E2351" s="128" t="str">
        <f t="shared" si="1"/>
        <v/>
      </c>
    </row>
    <row r="2352">
      <c r="A2352" s="93" t="str">
        <f t="shared" si="2"/>
        <v>#17549</v>
      </c>
      <c r="B2352" s="93" t="str">
        <f>IF(COUNTIF(MAIN!B:B, A2352)=0, "Missing", "")</f>
        <v/>
      </c>
      <c r="E2352" s="128" t="str">
        <f t="shared" si="1"/>
        <v/>
      </c>
    </row>
    <row r="2353">
      <c r="A2353" s="93" t="str">
        <f t="shared" si="2"/>
        <v>#17550</v>
      </c>
      <c r="B2353" s="93" t="str">
        <f>IF(COUNTIF(MAIN!B:B, A2353)=0, "Missing", "")</f>
        <v/>
      </c>
      <c r="E2353" s="128" t="str">
        <f t="shared" si="1"/>
        <v/>
      </c>
    </row>
    <row r="2354">
      <c r="A2354" s="93" t="str">
        <f t="shared" si="2"/>
        <v>#17551</v>
      </c>
      <c r="B2354" s="93" t="str">
        <f>IF(COUNTIF(MAIN!B:B, A2354)=0, "Missing", "")</f>
        <v/>
      </c>
      <c r="E2354" s="128" t="str">
        <f t="shared" si="1"/>
        <v/>
      </c>
    </row>
    <row r="2355">
      <c r="A2355" s="93" t="str">
        <f t="shared" si="2"/>
        <v>#17552</v>
      </c>
      <c r="B2355" s="93" t="str">
        <f>IF(COUNTIF(MAIN!B:B, A2355)=0, "Missing", "")</f>
        <v/>
      </c>
      <c r="E2355" s="128" t="str">
        <f t="shared" si="1"/>
        <v/>
      </c>
    </row>
    <row r="2356">
      <c r="A2356" s="93" t="str">
        <f t="shared" si="2"/>
        <v>#17553</v>
      </c>
      <c r="B2356" s="93" t="str">
        <f>IF(COUNTIF(MAIN!B:B, A2356)=0, "Missing", "")</f>
        <v/>
      </c>
      <c r="E2356" s="128" t="str">
        <f t="shared" si="1"/>
        <v/>
      </c>
    </row>
    <row r="2357">
      <c r="A2357" s="93" t="str">
        <f t="shared" si="2"/>
        <v>#17554</v>
      </c>
      <c r="B2357" s="93" t="str">
        <f>IF(COUNTIF(MAIN!B:B, A2357)=0, "Missing", "")</f>
        <v/>
      </c>
      <c r="E2357" s="128" t="str">
        <f t="shared" si="1"/>
        <v/>
      </c>
    </row>
    <row r="2358">
      <c r="A2358" s="93" t="str">
        <f t="shared" si="2"/>
        <v>#17555</v>
      </c>
      <c r="B2358" s="93" t="str">
        <f>IF(COUNTIF(MAIN!B:B, A2358)=0, "Missing", "")</f>
        <v/>
      </c>
      <c r="E2358" s="128" t="str">
        <f t="shared" si="1"/>
        <v/>
      </c>
    </row>
    <row r="2359">
      <c r="A2359" s="93" t="str">
        <f t="shared" si="2"/>
        <v>#17556</v>
      </c>
      <c r="B2359" s="93" t="str">
        <f>IF(COUNTIF(MAIN!B:B, A2359)=0, "Missing", "")</f>
        <v/>
      </c>
      <c r="E2359" s="128" t="str">
        <f t="shared" si="1"/>
        <v/>
      </c>
    </row>
    <row r="2360">
      <c r="A2360" s="93" t="str">
        <f t="shared" si="2"/>
        <v>#17557</v>
      </c>
      <c r="B2360" s="93" t="str">
        <f>IF(COUNTIF(MAIN!B:B, A2360)=0, "Missing", "")</f>
        <v/>
      </c>
      <c r="E2360" s="128" t="str">
        <f t="shared" si="1"/>
        <v/>
      </c>
    </row>
    <row r="2361">
      <c r="A2361" s="93" t="str">
        <f t="shared" si="2"/>
        <v>#17558</v>
      </c>
      <c r="B2361" s="93" t="str">
        <f>IF(COUNTIF(MAIN!B:B, A2361)=0, "Missing", "")</f>
        <v/>
      </c>
      <c r="E2361" s="128" t="str">
        <f t="shared" si="1"/>
        <v/>
      </c>
    </row>
    <row r="2362">
      <c r="A2362" s="93" t="str">
        <f t="shared" si="2"/>
        <v>#17559</v>
      </c>
      <c r="B2362" s="93" t="str">
        <f>IF(COUNTIF(MAIN!B:B, A2362)=0, "Missing", "")</f>
        <v/>
      </c>
      <c r="E2362" s="128" t="str">
        <f t="shared" si="1"/>
        <v/>
      </c>
    </row>
    <row r="2363">
      <c r="A2363" s="93" t="str">
        <f t="shared" si="2"/>
        <v>#17560</v>
      </c>
      <c r="B2363" s="93" t="str">
        <f>IF(COUNTIF(MAIN!B:B, A2363)=0, "Missing", "")</f>
        <v/>
      </c>
      <c r="E2363" s="128" t="str">
        <f t="shared" si="1"/>
        <v/>
      </c>
    </row>
    <row r="2364">
      <c r="A2364" s="93" t="str">
        <f t="shared" si="2"/>
        <v>#17561</v>
      </c>
      <c r="B2364" s="93" t="str">
        <f>IF(COUNTIF(MAIN!B:B, A2364)=0, "Missing", "")</f>
        <v/>
      </c>
      <c r="E2364" s="128" t="str">
        <f t="shared" si="1"/>
        <v/>
      </c>
    </row>
    <row r="2365">
      <c r="A2365" s="93" t="str">
        <f t="shared" si="2"/>
        <v>#17562</v>
      </c>
      <c r="B2365" s="93" t="str">
        <f>IF(COUNTIF(MAIN!B:B, A2365)=0, "Missing", "")</f>
        <v/>
      </c>
      <c r="E2365" s="128" t="str">
        <f t="shared" si="1"/>
        <v/>
      </c>
    </row>
    <row r="2366">
      <c r="A2366" s="93" t="str">
        <f t="shared" si="2"/>
        <v>#17563</v>
      </c>
      <c r="B2366" s="93" t="str">
        <f>IF(COUNTIF(MAIN!B:B, A2366)=0, "Missing", "")</f>
        <v/>
      </c>
      <c r="E2366" s="128" t="str">
        <f t="shared" si="1"/>
        <v/>
      </c>
    </row>
    <row r="2367">
      <c r="A2367" s="93" t="str">
        <f t="shared" si="2"/>
        <v>#17564</v>
      </c>
      <c r="B2367" s="93" t="str">
        <f>IF(COUNTIF(MAIN!B:B, A2367)=0, "Missing", "")</f>
        <v/>
      </c>
      <c r="E2367" s="128" t="str">
        <f t="shared" si="1"/>
        <v/>
      </c>
    </row>
    <row r="2368">
      <c r="A2368" s="93" t="str">
        <f t="shared" si="2"/>
        <v>#17565</v>
      </c>
      <c r="B2368" s="93" t="str">
        <f>IF(COUNTIF(MAIN!B:B, A2368)=0, "Missing", "")</f>
        <v/>
      </c>
      <c r="E2368" s="128" t="str">
        <f t="shared" si="1"/>
        <v/>
      </c>
    </row>
    <row r="2369">
      <c r="A2369" s="93" t="str">
        <f t="shared" si="2"/>
        <v>#17566</v>
      </c>
      <c r="B2369" s="93" t="str">
        <f>IF(COUNTIF(MAIN!B:B, A2369)=0, "Missing", "")</f>
        <v/>
      </c>
      <c r="E2369" s="128" t="str">
        <f t="shared" si="1"/>
        <v/>
      </c>
    </row>
    <row r="2370">
      <c r="A2370" s="93" t="str">
        <f t="shared" si="2"/>
        <v>#17567</v>
      </c>
      <c r="B2370" s="93" t="str">
        <f>IF(COUNTIF(MAIN!B:B, A2370)=0, "Missing", "")</f>
        <v/>
      </c>
      <c r="E2370" s="128" t="str">
        <f t="shared" si="1"/>
        <v/>
      </c>
    </row>
    <row r="2371">
      <c r="A2371" s="93" t="str">
        <f t="shared" si="2"/>
        <v>#17568</v>
      </c>
      <c r="B2371" s="93" t="str">
        <f>IF(COUNTIF(MAIN!B:B, A2371)=0, "Missing", "")</f>
        <v/>
      </c>
      <c r="E2371" s="128" t="str">
        <f t="shared" si="1"/>
        <v/>
      </c>
    </row>
    <row r="2372">
      <c r="A2372" s="93" t="str">
        <f t="shared" si="2"/>
        <v>#17569</v>
      </c>
      <c r="B2372" s="93" t="str">
        <f>IF(COUNTIF(MAIN!B:B, A2372)=0, "Missing", "")</f>
        <v/>
      </c>
      <c r="E2372" s="128" t="str">
        <f t="shared" si="1"/>
        <v/>
      </c>
    </row>
    <row r="2373">
      <c r="A2373" s="93" t="str">
        <f t="shared" si="2"/>
        <v>#17570</v>
      </c>
      <c r="B2373" s="93" t="str">
        <f>IF(COUNTIF(MAIN!B:B, A2373)=0, "Missing", "")</f>
        <v/>
      </c>
      <c r="E2373" s="128" t="str">
        <f t="shared" si="1"/>
        <v/>
      </c>
    </row>
    <row r="2374">
      <c r="A2374" s="93" t="str">
        <f t="shared" si="2"/>
        <v>#17571</v>
      </c>
      <c r="B2374" s="93" t="str">
        <f>IF(COUNTIF(MAIN!B:B, A2374)=0, "Missing", "")</f>
        <v/>
      </c>
      <c r="E2374" s="128" t="str">
        <f t="shared" si="1"/>
        <v/>
      </c>
    </row>
    <row r="2375">
      <c r="A2375" s="93" t="str">
        <f t="shared" si="2"/>
        <v>#17572</v>
      </c>
      <c r="B2375" s="93" t="str">
        <f>IF(COUNTIF(MAIN!B:B, A2375)=0, "Missing", "")</f>
        <v/>
      </c>
      <c r="E2375" s="128" t="str">
        <f t="shared" si="1"/>
        <v/>
      </c>
    </row>
    <row r="2376">
      <c r="A2376" s="93" t="str">
        <f t="shared" si="2"/>
        <v>#17573</v>
      </c>
      <c r="B2376" s="93" t="str">
        <f>IF(COUNTIF(MAIN!B:B, A2376)=0, "Missing", "")</f>
        <v/>
      </c>
      <c r="E2376" s="128" t="str">
        <f t="shared" si="1"/>
        <v/>
      </c>
    </row>
    <row r="2377">
      <c r="A2377" s="93" t="str">
        <f t="shared" si="2"/>
        <v>#17574</v>
      </c>
      <c r="B2377" s="93" t="str">
        <f>IF(COUNTIF(MAIN!B:B, A2377)=0, "Missing", "")</f>
        <v/>
      </c>
      <c r="E2377" s="128" t="str">
        <f t="shared" si="1"/>
        <v/>
      </c>
    </row>
    <row r="2378">
      <c r="A2378" s="93" t="str">
        <f t="shared" si="2"/>
        <v>#17575</v>
      </c>
      <c r="B2378" s="93" t="str">
        <f>IF(COUNTIF(MAIN!B:B, A2378)=0, "Missing", "")</f>
        <v>Missing</v>
      </c>
      <c r="C2378" s="84" t="s">
        <v>15242</v>
      </c>
      <c r="E2378" s="131" t="str">
        <f t="shared" si="1"/>
        <v>https://utrucking.myshopify.com/admin/orders?query=17575</v>
      </c>
    </row>
    <row r="2379">
      <c r="A2379" s="93" t="str">
        <f t="shared" si="2"/>
        <v>#17576</v>
      </c>
      <c r="B2379" s="93" t="str">
        <f>IF(COUNTIF(MAIN!B:B, A2379)=0, "Missing", "")</f>
        <v/>
      </c>
      <c r="E2379" s="128" t="str">
        <f t="shared" si="1"/>
        <v/>
      </c>
    </row>
    <row r="2380">
      <c r="A2380" s="93" t="str">
        <f t="shared" si="2"/>
        <v>#17577</v>
      </c>
      <c r="B2380" s="93" t="str">
        <f>IF(COUNTIF(MAIN!B:B, A2380)=0, "Missing", "")</f>
        <v/>
      </c>
      <c r="E2380" s="128" t="str">
        <f t="shared" si="1"/>
        <v/>
      </c>
    </row>
    <row r="2381">
      <c r="A2381" s="93" t="str">
        <f t="shared" si="2"/>
        <v>#17578</v>
      </c>
      <c r="B2381" s="93" t="str">
        <f>IF(COUNTIF(MAIN!B:B, A2381)=0, "Missing", "")</f>
        <v/>
      </c>
      <c r="E2381" s="128" t="str">
        <f t="shared" si="1"/>
        <v/>
      </c>
    </row>
    <row r="2382">
      <c r="A2382" s="93" t="str">
        <f t="shared" si="2"/>
        <v>#17579</v>
      </c>
      <c r="B2382" s="93" t="str">
        <f>IF(COUNTIF(MAIN!B:B, A2382)=0, "Missing", "")</f>
        <v/>
      </c>
      <c r="E2382" s="128" t="str">
        <f t="shared" si="1"/>
        <v/>
      </c>
    </row>
    <row r="2383">
      <c r="A2383" s="93" t="str">
        <f t="shared" si="2"/>
        <v>#17580</v>
      </c>
      <c r="B2383" s="93" t="str">
        <f>IF(COUNTIF(MAIN!B:B, A2383)=0, "Missing", "")</f>
        <v/>
      </c>
      <c r="E2383" s="128" t="str">
        <f t="shared" si="1"/>
        <v/>
      </c>
    </row>
    <row r="2384">
      <c r="A2384" s="93" t="str">
        <f t="shared" si="2"/>
        <v>#17581</v>
      </c>
      <c r="B2384" s="93" t="str">
        <f>IF(COUNTIF(MAIN!B:B, A2384)=0, "Missing", "")</f>
        <v/>
      </c>
      <c r="E2384" s="128" t="str">
        <f t="shared" si="1"/>
        <v/>
      </c>
    </row>
    <row r="2385">
      <c r="A2385" s="93" t="str">
        <f t="shared" si="2"/>
        <v>#17582</v>
      </c>
      <c r="B2385" s="93" t="str">
        <f>IF(COUNTIF(MAIN!B:B, A2385)=0, "Missing", "")</f>
        <v/>
      </c>
      <c r="E2385" s="128" t="str">
        <f t="shared" si="1"/>
        <v/>
      </c>
    </row>
    <row r="2386">
      <c r="A2386" s="93" t="str">
        <f t="shared" si="2"/>
        <v>#17583</v>
      </c>
      <c r="B2386" s="93" t="str">
        <f>IF(COUNTIF(MAIN!B:B, A2386)=0, "Missing", "")</f>
        <v/>
      </c>
      <c r="E2386" s="128" t="str">
        <f t="shared" si="1"/>
        <v/>
      </c>
    </row>
    <row r="2387">
      <c r="A2387" s="93" t="str">
        <f t="shared" si="2"/>
        <v>#17584</v>
      </c>
      <c r="B2387" s="93" t="str">
        <f>IF(COUNTIF(MAIN!B:B, A2387)=0, "Missing", "")</f>
        <v/>
      </c>
      <c r="E2387" s="128" t="str">
        <f t="shared" si="1"/>
        <v/>
      </c>
    </row>
    <row r="2388">
      <c r="A2388" s="93" t="str">
        <f t="shared" si="2"/>
        <v>#17585</v>
      </c>
      <c r="B2388" s="93" t="str">
        <f>IF(COUNTIF(MAIN!B:B, A2388)=0, "Missing", "")</f>
        <v/>
      </c>
      <c r="E2388" s="128" t="str">
        <f t="shared" si="1"/>
        <v/>
      </c>
    </row>
    <row r="2389">
      <c r="A2389" s="93" t="str">
        <f t="shared" si="2"/>
        <v>#17586</v>
      </c>
      <c r="B2389" s="93" t="str">
        <f>IF(COUNTIF(MAIN!B:B, A2389)=0, "Missing", "")</f>
        <v/>
      </c>
      <c r="E2389" s="128" t="str">
        <f t="shared" si="1"/>
        <v/>
      </c>
    </row>
    <row r="2390">
      <c r="A2390" s="93" t="str">
        <f t="shared" si="2"/>
        <v>#17587</v>
      </c>
      <c r="B2390" s="93" t="str">
        <f>IF(COUNTIF(MAIN!B:B, A2390)=0, "Missing", "")</f>
        <v/>
      </c>
      <c r="E2390" s="128" t="str">
        <f t="shared" si="1"/>
        <v/>
      </c>
    </row>
    <row r="2391">
      <c r="A2391" s="93" t="str">
        <f t="shared" si="2"/>
        <v>#17588</v>
      </c>
      <c r="B2391" s="93" t="str">
        <f>IF(COUNTIF(MAIN!B:B, A2391)=0, "Missing", "")</f>
        <v/>
      </c>
      <c r="E2391" s="128" t="str">
        <f t="shared" si="1"/>
        <v/>
      </c>
    </row>
    <row r="2392">
      <c r="A2392" s="93" t="str">
        <f t="shared" si="2"/>
        <v>#17589</v>
      </c>
      <c r="B2392" s="93" t="str">
        <f>IF(COUNTIF(MAIN!B:B, A2392)=0, "Missing", "")</f>
        <v/>
      </c>
      <c r="E2392" s="128" t="str">
        <f t="shared" si="1"/>
        <v/>
      </c>
    </row>
    <row r="2393">
      <c r="A2393" s="93" t="str">
        <f t="shared" si="2"/>
        <v>#17590</v>
      </c>
      <c r="B2393" s="93" t="str">
        <f>IF(COUNTIF(MAIN!B:B, A2393)=0, "Missing", "")</f>
        <v/>
      </c>
      <c r="E2393" s="128" t="str">
        <f t="shared" si="1"/>
        <v/>
      </c>
    </row>
    <row r="2394">
      <c r="A2394" s="93" t="str">
        <f t="shared" si="2"/>
        <v>#17591</v>
      </c>
      <c r="B2394" s="93" t="str">
        <f>IF(COUNTIF(MAIN!B:B, A2394)=0, "Missing", "")</f>
        <v/>
      </c>
      <c r="E2394" s="128" t="str">
        <f t="shared" si="1"/>
        <v/>
      </c>
    </row>
    <row r="2395">
      <c r="A2395" s="93" t="str">
        <f t="shared" si="2"/>
        <v>#17592</v>
      </c>
      <c r="B2395" s="93" t="str">
        <f>IF(COUNTIF(MAIN!B:B, A2395)=0, "Missing", "")</f>
        <v/>
      </c>
      <c r="E2395" s="128" t="str">
        <f t="shared" si="1"/>
        <v/>
      </c>
    </row>
    <row r="2396">
      <c r="A2396" s="93" t="str">
        <f t="shared" si="2"/>
        <v>#17593</v>
      </c>
      <c r="B2396" s="93" t="str">
        <f>IF(COUNTIF(MAIN!B:B, A2396)=0, "Missing", "")</f>
        <v/>
      </c>
      <c r="E2396" s="128" t="str">
        <f t="shared" si="1"/>
        <v/>
      </c>
    </row>
    <row r="2397">
      <c r="A2397" s="93" t="str">
        <f t="shared" si="2"/>
        <v>#17594</v>
      </c>
      <c r="B2397" s="93" t="str">
        <f>IF(COUNTIF(MAIN!B:B, A2397)=0, "Missing", "")</f>
        <v/>
      </c>
      <c r="E2397" s="128" t="str">
        <f t="shared" si="1"/>
        <v/>
      </c>
    </row>
    <row r="2398">
      <c r="A2398" s="93" t="str">
        <f t="shared" si="2"/>
        <v>#17595</v>
      </c>
      <c r="B2398" s="93" t="str">
        <f>IF(COUNTIF(MAIN!B:B, A2398)=0, "Missing", "")</f>
        <v/>
      </c>
      <c r="E2398" s="128" t="str">
        <f t="shared" si="1"/>
        <v/>
      </c>
    </row>
    <row r="2399">
      <c r="A2399" s="93" t="str">
        <f t="shared" si="2"/>
        <v>#17596</v>
      </c>
      <c r="B2399" s="93" t="str">
        <f>IF(COUNTIF(MAIN!B:B, A2399)=0, "Missing", "")</f>
        <v/>
      </c>
      <c r="E2399" s="128" t="str">
        <f t="shared" si="1"/>
        <v/>
      </c>
    </row>
    <row r="2400">
      <c r="A2400" s="93" t="str">
        <f t="shared" si="2"/>
        <v>#17597</v>
      </c>
      <c r="B2400" s="93" t="str">
        <f>IF(COUNTIF(MAIN!B:B, A2400)=0, "Missing", "")</f>
        <v/>
      </c>
      <c r="E2400" s="128" t="str">
        <f t="shared" si="1"/>
        <v/>
      </c>
    </row>
    <row r="2401">
      <c r="A2401" s="93" t="str">
        <f t="shared" si="2"/>
        <v>#17598</v>
      </c>
      <c r="B2401" s="93" t="str">
        <f>IF(COUNTIF(MAIN!B:B, A2401)=0, "Missing", "")</f>
        <v/>
      </c>
      <c r="E2401" s="128" t="str">
        <f t="shared" si="1"/>
        <v/>
      </c>
    </row>
    <row r="2402">
      <c r="A2402" s="93" t="str">
        <f t="shared" si="2"/>
        <v>#17599</v>
      </c>
      <c r="B2402" s="93" t="str">
        <f>IF(COUNTIF(MAIN!B:B, A2402)=0, "Missing", "")</f>
        <v/>
      </c>
      <c r="E2402" s="128" t="str">
        <f t="shared" si="1"/>
        <v/>
      </c>
    </row>
    <row r="2403">
      <c r="A2403" s="93" t="str">
        <f t="shared" si="2"/>
        <v>#17600</v>
      </c>
      <c r="B2403" s="93" t="str">
        <f>IF(COUNTIF(MAIN!B:B, A2403)=0, "Missing", "")</f>
        <v/>
      </c>
      <c r="E2403" s="128" t="str">
        <f t="shared" si="1"/>
        <v/>
      </c>
    </row>
    <row r="2404">
      <c r="A2404" s="93" t="str">
        <f t="shared" si="2"/>
        <v>#17601</v>
      </c>
      <c r="B2404" s="93" t="str">
        <f>IF(COUNTIF(MAIN!B:B, A2404)=0, "Missing", "")</f>
        <v/>
      </c>
      <c r="E2404" s="128" t="str">
        <f t="shared" si="1"/>
        <v/>
      </c>
    </row>
    <row r="2405">
      <c r="A2405" s="93" t="str">
        <f t="shared" si="2"/>
        <v>#17602</v>
      </c>
      <c r="B2405" s="93" t="str">
        <f>IF(COUNTIF(MAIN!B:B, A2405)=0, "Missing", "")</f>
        <v/>
      </c>
      <c r="E2405" s="128" t="str">
        <f t="shared" si="1"/>
        <v/>
      </c>
    </row>
    <row r="2406">
      <c r="A2406" s="93" t="str">
        <f t="shared" si="2"/>
        <v>#17603</v>
      </c>
      <c r="B2406" s="93" t="str">
        <f>IF(COUNTIF(MAIN!B:B, A2406)=0, "Missing", "")</f>
        <v/>
      </c>
      <c r="E2406" s="128" t="str">
        <f t="shared" si="1"/>
        <v/>
      </c>
    </row>
    <row r="2407">
      <c r="A2407" s="93" t="str">
        <f t="shared" si="2"/>
        <v>#17604</v>
      </c>
      <c r="B2407" s="93" t="str">
        <f>IF(COUNTIF(MAIN!B:B, A2407)=0, "Missing", "")</f>
        <v/>
      </c>
      <c r="E2407" s="128" t="str">
        <f t="shared" si="1"/>
        <v/>
      </c>
    </row>
    <row r="2408">
      <c r="A2408" s="93" t="str">
        <f t="shared" si="2"/>
        <v>#17605</v>
      </c>
      <c r="B2408" s="93" t="str">
        <f>IF(COUNTIF(MAIN!B:B, A2408)=0, "Missing", "")</f>
        <v/>
      </c>
      <c r="E2408" s="128" t="str">
        <f t="shared" si="1"/>
        <v/>
      </c>
    </row>
    <row r="2409">
      <c r="A2409" s="93" t="str">
        <f t="shared" si="2"/>
        <v>#17606</v>
      </c>
      <c r="B2409" s="93" t="str">
        <f>IF(COUNTIF(MAIN!B:B, A2409)=0, "Missing", "")</f>
        <v/>
      </c>
      <c r="E2409" s="128" t="str">
        <f t="shared" si="1"/>
        <v/>
      </c>
    </row>
    <row r="2410">
      <c r="A2410" s="93" t="str">
        <f t="shared" si="2"/>
        <v>#17607</v>
      </c>
      <c r="B2410" s="93" t="str">
        <f>IF(COUNTIF(MAIN!B:B, A2410)=0, "Missing", "")</f>
        <v/>
      </c>
      <c r="E2410" s="128" t="str">
        <f t="shared" si="1"/>
        <v/>
      </c>
    </row>
    <row r="2411">
      <c r="A2411" s="93" t="str">
        <f t="shared" si="2"/>
        <v>#17608</v>
      </c>
      <c r="B2411" s="93" t="str">
        <f>IF(COUNTIF(MAIN!B:B, A2411)=0, "Missing", "")</f>
        <v/>
      </c>
      <c r="E2411" s="128" t="str">
        <f t="shared" si="1"/>
        <v/>
      </c>
    </row>
    <row r="2412">
      <c r="A2412" s="93" t="str">
        <f t="shared" si="2"/>
        <v>#17609</v>
      </c>
      <c r="B2412" s="93" t="str">
        <f>IF(COUNTIF(MAIN!B:B, A2412)=0, "Missing", "")</f>
        <v>Missing</v>
      </c>
      <c r="C2412" s="84" t="s">
        <v>15243</v>
      </c>
      <c r="E2412" s="131" t="str">
        <f t="shared" si="1"/>
        <v>https://utrucking.myshopify.com/admin/orders?query=17609</v>
      </c>
    </row>
    <row r="2413">
      <c r="A2413" s="93" t="str">
        <f t="shared" si="2"/>
        <v>#17610</v>
      </c>
      <c r="B2413" s="93" t="str">
        <f>IF(COUNTIF(MAIN!B:B, A2413)=0, "Missing", "")</f>
        <v/>
      </c>
      <c r="E2413" s="128" t="str">
        <f t="shared" si="1"/>
        <v/>
      </c>
    </row>
    <row r="2414">
      <c r="A2414" s="93" t="str">
        <f t="shared" si="2"/>
        <v>#17611</v>
      </c>
      <c r="B2414" s="93" t="str">
        <f>IF(COUNTIF(MAIN!B:B, A2414)=0, "Missing", "")</f>
        <v/>
      </c>
      <c r="E2414" s="128" t="str">
        <f t="shared" si="1"/>
        <v/>
      </c>
    </row>
    <row r="2415">
      <c r="A2415" s="93" t="str">
        <f t="shared" si="2"/>
        <v>#17612</v>
      </c>
      <c r="B2415" s="93" t="str">
        <f>IF(COUNTIF(MAIN!B:B, A2415)=0, "Missing", "")</f>
        <v/>
      </c>
      <c r="E2415" s="128" t="str">
        <f t="shared" si="1"/>
        <v/>
      </c>
    </row>
    <row r="2416">
      <c r="A2416" s="93" t="str">
        <f t="shared" si="2"/>
        <v>#17613</v>
      </c>
      <c r="B2416" s="93" t="str">
        <f>IF(COUNTIF(MAIN!B:B, A2416)=0, "Missing", "")</f>
        <v/>
      </c>
      <c r="E2416" s="128" t="str">
        <f t="shared" si="1"/>
        <v/>
      </c>
    </row>
    <row r="2417">
      <c r="A2417" s="93" t="str">
        <f t="shared" si="2"/>
        <v>#17614</v>
      </c>
      <c r="B2417" s="93" t="str">
        <f>IF(COUNTIF(MAIN!B:B, A2417)=0, "Missing", "")</f>
        <v/>
      </c>
      <c r="E2417" s="128" t="str">
        <f t="shared" si="1"/>
        <v/>
      </c>
    </row>
    <row r="2418">
      <c r="A2418" s="93" t="str">
        <f t="shared" si="2"/>
        <v>#17615</v>
      </c>
      <c r="B2418" s="93" t="str">
        <f>IF(COUNTIF(MAIN!B:B, A2418)=0, "Missing", "")</f>
        <v/>
      </c>
      <c r="E2418" s="128" t="str">
        <f t="shared" si="1"/>
        <v/>
      </c>
    </row>
    <row r="2419">
      <c r="A2419" s="93" t="str">
        <f t="shared" si="2"/>
        <v>#17616</v>
      </c>
      <c r="B2419" s="93" t="str">
        <f>IF(COUNTIF(MAIN!B:B, A2419)=0, "Missing", "")</f>
        <v/>
      </c>
      <c r="E2419" s="128" t="str">
        <f t="shared" si="1"/>
        <v/>
      </c>
    </row>
    <row r="2420">
      <c r="A2420" s="93" t="str">
        <f t="shared" si="2"/>
        <v>#17617</v>
      </c>
      <c r="B2420" s="93" t="str">
        <f>IF(COUNTIF(MAIN!B:B, A2420)=0, "Missing", "")</f>
        <v/>
      </c>
      <c r="E2420" s="128" t="str">
        <f t="shared" si="1"/>
        <v/>
      </c>
    </row>
    <row r="2421">
      <c r="A2421" s="93" t="str">
        <f t="shared" si="2"/>
        <v>#17618</v>
      </c>
      <c r="B2421" s="93" t="str">
        <f>IF(COUNTIF(MAIN!B:B, A2421)=0, "Missing", "")</f>
        <v/>
      </c>
      <c r="E2421" s="128" t="str">
        <f t="shared" si="1"/>
        <v/>
      </c>
    </row>
    <row r="2422">
      <c r="A2422" s="93" t="str">
        <f t="shared" si="2"/>
        <v>#17619</v>
      </c>
      <c r="B2422" s="93" t="str">
        <f>IF(COUNTIF(MAIN!B:B, A2422)=0, "Missing", "")</f>
        <v/>
      </c>
      <c r="E2422" s="128" t="str">
        <f t="shared" si="1"/>
        <v/>
      </c>
    </row>
    <row r="2423">
      <c r="A2423" s="93" t="str">
        <f t="shared" si="2"/>
        <v>#17620</v>
      </c>
      <c r="B2423" s="93" t="str">
        <f>IF(COUNTIF(MAIN!B:B, A2423)=0, "Missing", "")</f>
        <v/>
      </c>
      <c r="E2423" s="128" t="str">
        <f t="shared" si="1"/>
        <v/>
      </c>
    </row>
    <row r="2424">
      <c r="A2424" s="93" t="str">
        <f t="shared" si="2"/>
        <v>#17621</v>
      </c>
      <c r="B2424" s="93" t="str">
        <f>IF(COUNTIF(MAIN!B:B, A2424)=0, "Missing", "")</f>
        <v/>
      </c>
      <c r="E2424" s="128" t="str">
        <f t="shared" si="1"/>
        <v/>
      </c>
    </row>
    <row r="2425">
      <c r="A2425" s="93" t="str">
        <f t="shared" si="2"/>
        <v>#17622</v>
      </c>
      <c r="B2425" s="93" t="str">
        <f>IF(COUNTIF(MAIN!B:B, A2425)=0, "Missing", "")</f>
        <v/>
      </c>
      <c r="E2425" s="128" t="str">
        <f t="shared" si="1"/>
        <v/>
      </c>
    </row>
    <row r="2426">
      <c r="A2426" s="93" t="str">
        <f t="shared" si="2"/>
        <v>#17623</v>
      </c>
      <c r="B2426" s="93" t="str">
        <f>IF(COUNTIF(MAIN!B:B, A2426)=0, "Missing", "")</f>
        <v/>
      </c>
      <c r="E2426" s="128" t="str">
        <f t="shared" si="1"/>
        <v/>
      </c>
    </row>
    <row r="2427">
      <c r="A2427" s="93" t="str">
        <f t="shared" si="2"/>
        <v>#17624</v>
      </c>
      <c r="B2427" s="93" t="str">
        <f>IF(COUNTIF(MAIN!B:B, A2427)=0, "Missing", "")</f>
        <v/>
      </c>
      <c r="E2427" s="128" t="str">
        <f t="shared" si="1"/>
        <v/>
      </c>
    </row>
    <row r="2428">
      <c r="A2428" s="93" t="str">
        <f t="shared" si="2"/>
        <v>#17625</v>
      </c>
      <c r="B2428" s="93" t="str">
        <f>IF(COUNTIF(MAIN!B:B, A2428)=0, "Missing", "")</f>
        <v/>
      </c>
      <c r="E2428" s="128" t="str">
        <f t="shared" si="1"/>
        <v/>
      </c>
    </row>
    <row r="2429">
      <c r="A2429" s="93" t="str">
        <f t="shared" si="2"/>
        <v>#17626</v>
      </c>
      <c r="B2429" s="93" t="str">
        <f>IF(COUNTIF(MAIN!B:B, A2429)=0, "Missing", "")</f>
        <v/>
      </c>
      <c r="E2429" s="128" t="str">
        <f t="shared" si="1"/>
        <v/>
      </c>
    </row>
    <row r="2430">
      <c r="A2430" s="93" t="str">
        <f t="shared" si="2"/>
        <v>#17627</v>
      </c>
      <c r="B2430" s="93" t="str">
        <f>IF(COUNTIF(MAIN!B:B, A2430)=0, "Missing", "")</f>
        <v/>
      </c>
      <c r="E2430" s="128" t="str">
        <f t="shared" si="1"/>
        <v/>
      </c>
    </row>
    <row r="2431">
      <c r="A2431" s="93" t="str">
        <f t="shared" si="2"/>
        <v>#17628</v>
      </c>
      <c r="B2431" s="93" t="str">
        <f>IF(COUNTIF(MAIN!B:B, A2431)=0, "Missing", "")</f>
        <v/>
      </c>
      <c r="E2431" s="128" t="str">
        <f t="shared" si="1"/>
        <v/>
      </c>
    </row>
    <row r="2432">
      <c r="A2432" s="93" t="str">
        <f t="shared" si="2"/>
        <v>#17629</v>
      </c>
      <c r="B2432" s="93" t="str">
        <f>IF(COUNTIF(MAIN!B:B, A2432)=0, "Missing", "")</f>
        <v/>
      </c>
      <c r="E2432" s="128" t="str">
        <f t="shared" si="1"/>
        <v/>
      </c>
    </row>
    <row r="2433">
      <c r="A2433" s="93" t="str">
        <f t="shared" si="2"/>
        <v>#17630</v>
      </c>
      <c r="B2433" s="93" t="str">
        <f>IF(COUNTIF(MAIN!B:B, A2433)=0, "Missing", "")</f>
        <v/>
      </c>
      <c r="E2433" s="128" t="str">
        <f t="shared" si="1"/>
        <v/>
      </c>
    </row>
    <row r="2434">
      <c r="A2434" s="93" t="str">
        <f t="shared" si="2"/>
        <v>#17631</v>
      </c>
      <c r="B2434" s="93" t="str">
        <f>IF(COUNTIF(MAIN!B:B, A2434)=0, "Missing", "")</f>
        <v/>
      </c>
      <c r="E2434" s="128" t="str">
        <f t="shared" si="1"/>
        <v/>
      </c>
    </row>
    <row r="2435">
      <c r="A2435" s="93" t="str">
        <f t="shared" si="2"/>
        <v>#17632</v>
      </c>
      <c r="B2435" s="93" t="str">
        <f>IF(COUNTIF(MAIN!B:B, A2435)=0, "Missing", "")</f>
        <v/>
      </c>
      <c r="E2435" s="128" t="str">
        <f t="shared" si="1"/>
        <v/>
      </c>
    </row>
    <row r="2436">
      <c r="A2436" s="93" t="str">
        <f t="shared" si="2"/>
        <v>#17633</v>
      </c>
      <c r="B2436" s="93" t="str">
        <f>IF(COUNTIF(MAIN!B:B, A2436)=0, "Missing", "")</f>
        <v/>
      </c>
      <c r="E2436" s="128" t="str">
        <f t="shared" si="1"/>
        <v/>
      </c>
    </row>
    <row r="2437">
      <c r="A2437" s="93" t="str">
        <f t="shared" si="2"/>
        <v>#17634</v>
      </c>
      <c r="B2437" s="93" t="str">
        <f>IF(COUNTIF(MAIN!B:B, A2437)=0, "Missing", "")</f>
        <v/>
      </c>
      <c r="E2437" s="128" t="str">
        <f t="shared" si="1"/>
        <v/>
      </c>
    </row>
    <row r="2438">
      <c r="A2438" s="93" t="str">
        <f t="shared" si="2"/>
        <v>#17635</v>
      </c>
      <c r="B2438" s="93" t="str">
        <f>IF(COUNTIF(MAIN!B:B, A2438)=0, "Missing", "")</f>
        <v/>
      </c>
      <c r="E2438" s="128" t="str">
        <f t="shared" si="1"/>
        <v/>
      </c>
    </row>
    <row r="2439">
      <c r="A2439" s="93" t="str">
        <f t="shared" si="2"/>
        <v>#17636</v>
      </c>
      <c r="B2439" s="93" t="str">
        <f>IF(COUNTIF(MAIN!B:B, A2439)=0, "Missing", "")</f>
        <v>Missing</v>
      </c>
      <c r="C2439" s="84" t="s">
        <v>15243</v>
      </c>
      <c r="E2439" s="131" t="str">
        <f t="shared" si="1"/>
        <v>https://utrucking.myshopify.com/admin/orders?query=17636</v>
      </c>
    </row>
    <row r="2440">
      <c r="A2440" s="93" t="str">
        <f t="shared" si="2"/>
        <v>#17637</v>
      </c>
      <c r="B2440" s="93" t="str">
        <f>IF(COUNTIF(MAIN!B:B, A2440)=0, "Missing", "")</f>
        <v/>
      </c>
      <c r="E2440" s="128" t="str">
        <f t="shared" si="1"/>
        <v/>
      </c>
    </row>
    <row r="2441">
      <c r="A2441" s="93" t="str">
        <f t="shared" si="2"/>
        <v>#17638</v>
      </c>
      <c r="B2441" s="93" t="str">
        <f>IF(COUNTIF(MAIN!B:B, A2441)=0, "Missing", "")</f>
        <v/>
      </c>
      <c r="E2441" s="128" t="str">
        <f t="shared" si="1"/>
        <v/>
      </c>
    </row>
    <row r="2442">
      <c r="A2442" s="93" t="str">
        <f t="shared" si="2"/>
        <v>#17639</v>
      </c>
      <c r="B2442" s="93" t="str">
        <f>IF(COUNTIF(MAIN!B:B, A2442)=0, "Missing", "")</f>
        <v/>
      </c>
      <c r="E2442" s="128" t="str">
        <f t="shared" si="1"/>
        <v/>
      </c>
    </row>
    <row r="2443">
      <c r="A2443" s="93" t="str">
        <f t="shared" si="2"/>
        <v>#17640</v>
      </c>
      <c r="B2443" s="93" t="str">
        <f>IF(COUNTIF(MAIN!B:B, A2443)=0, "Missing", "")</f>
        <v/>
      </c>
      <c r="E2443" s="128" t="str">
        <f t="shared" si="1"/>
        <v/>
      </c>
    </row>
    <row r="2444">
      <c r="A2444" s="93" t="str">
        <f t="shared" si="2"/>
        <v>#17641</v>
      </c>
      <c r="B2444" s="93" t="str">
        <f>IF(COUNTIF(MAIN!B:B, A2444)=0, "Missing", "")</f>
        <v/>
      </c>
      <c r="E2444" s="128" t="str">
        <f t="shared" si="1"/>
        <v/>
      </c>
    </row>
    <row r="2445">
      <c r="A2445" s="93" t="str">
        <f t="shared" si="2"/>
        <v>#17642</v>
      </c>
      <c r="B2445" s="93" t="str">
        <f>IF(COUNTIF(MAIN!B:B, A2445)=0, "Missing", "")</f>
        <v/>
      </c>
      <c r="E2445" s="128" t="str">
        <f t="shared" si="1"/>
        <v/>
      </c>
    </row>
    <row r="2446">
      <c r="A2446" s="93" t="str">
        <f t="shared" si="2"/>
        <v>#17643</v>
      </c>
      <c r="B2446" s="93" t="str">
        <f>IF(COUNTIF(MAIN!B:B, A2446)=0, "Missing", "")</f>
        <v/>
      </c>
      <c r="E2446" s="128" t="str">
        <f t="shared" si="1"/>
        <v/>
      </c>
    </row>
    <row r="2447">
      <c r="A2447" s="93" t="str">
        <f t="shared" si="2"/>
        <v>#17644</v>
      </c>
      <c r="B2447" s="93" t="str">
        <f>IF(COUNTIF(MAIN!B:B, A2447)=0, "Missing", "")</f>
        <v/>
      </c>
      <c r="E2447" s="128" t="str">
        <f t="shared" si="1"/>
        <v/>
      </c>
    </row>
    <row r="2448">
      <c r="A2448" s="93" t="str">
        <f t="shared" si="2"/>
        <v>#17645</v>
      </c>
      <c r="B2448" s="93" t="str">
        <f>IF(COUNTIF(MAIN!B:B, A2448)=0, "Missing", "")</f>
        <v/>
      </c>
      <c r="E2448" s="128" t="str">
        <f t="shared" si="1"/>
        <v/>
      </c>
    </row>
    <row r="2449">
      <c r="A2449" s="93" t="str">
        <f t="shared" si="2"/>
        <v>#17646</v>
      </c>
      <c r="B2449" s="93" t="str">
        <f>IF(COUNTIF(MAIN!B:B, A2449)=0, "Missing", "")</f>
        <v/>
      </c>
      <c r="E2449" s="128" t="str">
        <f t="shared" si="1"/>
        <v/>
      </c>
    </row>
    <row r="2450">
      <c r="A2450" s="93" t="str">
        <f t="shared" si="2"/>
        <v>#17647</v>
      </c>
      <c r="B2450" s="93" t="str">
        <f>IF(COUNTIF(MAIN!B:B, A2450)=0, "Missing", "")</f>
        <v/>
      </c>
      <c r="E2450" s="128" t="str">
        <f t="shared" si="1"/>
        <v/>
      </c>
    </row>
    <row r="2451">
      <c r="A2451" s="93" t="str">
        <f t="shared" si="2"/>
        <v>#17648</v>
      </c>
      <c r="B2451" s="93" t="str">
        <f>IF(COUNTIF(MAIN!B:B, A2451)=0, "Missing", "")</f>
        <v/>
      </c>
      <c r="E2451" s="128" t="str">
        <f t="shared" si="1"/>
        <v/>
      </c>
    </row>
    <row r="2452">
      <c r="A2452" s="93" t="str">
        <f t="shared" si="2"/>
        <v>#17649</v>
      </c>
      <c r="B2452" s="93" t="str">
        <f>IF(COUNTIF(MAIN!B:B, A2452)=0, "Missing", "")</f>
        <v/>
      </c>
      <c r="E2452" s="128" t="str">
        <f t="shared" si="1"/>
        <v/>
      </c>
    </row>
    <row r="2453">
      <c r="A2453" s="93" t="str">
        <f t="shared" si="2"/>
        <v>#17650</v>
      </c>
      <c r="B2453" s="93" t="str">
        <f>IF(COUNTIF(MAIN!B:B, A2453)=0, "Missing", "")</f>
        <v/>
      </c>
      <c r="E2453" s="128" t="str">
        <f t="shared" si="1"/>
        <v/>
      </c>
    </row>
    <row r="2454">
      <c r="A2454" s="93" t="str">
        <f t="shared" si="2"/>
        <v>#17651</v>
      </c>
      <c r="B2454" s="93" t="str">
        <f>IF(COUNTIF(MAIN!B:B, A2454)=0, "Missing", "")</f>
        <v/>
      </c>
      <c r="E2454" s="128" t="str">
        <f t="shared" si="1"/>
        <v/>
      </c>
    </row>
    <row r="2455">
      <c r="A2455" s="93" t="str">
        <f t="shared" si="2"/>
        <v>#17652</v>
      </c>
      <c r="B2455" s="93" t="str">
        <f>IF(COUNTIF(MAIN!B:B, A2455)=0, "Missing", "")</f>
        <v/>
      </c>
      <c r="E2455" s="128" t="str">
        <f t="shared" si="1"/>
        <v/>
      </c>
    </row>
    <row r="2456">
      <c r="A2456" s="93" t="str">
        <f t="shared" si="2"/>
        <v>#17653</v>
      </c>
      <c r="B2456" s="93" t="str">
        <f>IF(COUNTIF(MAIN!B:B, A2456)=0, "Missing", "")</f>
        <v/>
      </c>
      <c r="E2456" s="128" t="str">
        <f t="shared" si="1"/>
        <v/>
      </c>
    </row>
    <row r="2457">
      <c r="A2457" s="93" t="str">
        <f t="shared" si="2"/>
        <v>#17654</v>
      </c>
      <c r="B2457" s="93" t="str">
        <f>IF(COUNTIF(MAIN!B:B, A2457)=0, "Missing", "")</f>
        <v/>
      </c>
      <c r="E2457" s="128" t="str">
        <f t="shared" si="1"/>
        <v/>
      </c>
    </row>
    <row r="2458">
      <c r="A2458" s="93" t="str">
        <f t="shared" si="2"/>
        <v>#17655</v>
      </c>
      <c r="B2458" s="93" t="str">
        <f>IF(COUNTIF(MAIN!B:B, A2458)=0, "Missing", "")</f>
        <v/>
      </c>
      <c r="E2458" s="128" t="str">
        <f t="shared" si="1"/>
        <v/>
      </c>
    </row>
    <row r="2459">
      <c r="A2459" s="93" t="str">
        <f t="shared" si="2"/>
        <v>#17656</v>
      </c>
      <c r="B2459" s="93" t="str">
        <f>IF(COUNTIF(MAIN!B:B, A2459)=0, "Missing", "")</f>
        <v/>
      </c>
      <c r="E2459" s="128" t="str">
        <f t="shared" si="1"/>
        <v/>
      </c>
    </row>
    <row r="2460">
      <c r="A2460" s="93" t="str">
        <f t="shared" si="2"/>
        <v>#17657</v>
      </c>
      <c r="B2460" s="93" t="str">
        <f>IF(COUNTIF(MAIN!B:B, A2460)=0, "Missing", "")</f>
        <v/>
      </c>
      <c r="E2460" s="128" t="str">
        <f t="shared" si="1"/>
        <v/>
      </c>
    </row>
    <row r="2461">
      <c r="A2461" s="93" t="str">
        <f t="shared" si="2"/>
        <v>#17658</v>
      </c>
      <c r="B2461" s="93" t="str">
        <f>IF(COUNTIF(MAIN!B:B, A2461)=0, "Missing", "")</f>
        <v/>
      </c>
      <c r="E2461" s="128" t="str">
        <f t="shared" si="1"/>
        <v/>
      </c>
    </row>
    <row r="2462">
      <c r="A2462" s="93" t="str">
        <f t="shared" si="2"/>
        <v>#17659</v>
      </c>
      <c r="B2462" s="93" t="str">
        <f>IF(COUNTIF(MAIN!B:B, A2462)=0, "Missing", "")</f>
        <v>Missing</v>
      </c>
      <c r="C2462" s="84" t="s">
        <v>15243</v>
      </c>
      <c r="E2462" s="131" t="str">
        <f t="shared" si="1"/>
        <v>https://utrucking.myshopify.com/admin/orders?query=17659</v>
      </c>
    </row>
    <row r="2463">
      <c r="A2463" s="93" t="str">
        <f t="shared" si="2"/>
        <v>#17660</v>
      </c>
      <c r="B2463" s="93" t="str">
        <f>IF(COUNTIF(MAIN!B:B, A2463)=0, "Missing", "")</f>
        <v/>
      </c>
      <c r="E2463" s="128" t="str">
        <f t="shared" si="1"/>
        <v/>
      </c>
    </row>
    <row r="2464">
      <c r="A2464" s="93" t="str">
        <f t="shared" si="2"/>
        <v>#17661</v>
      </c>
      <c r="B2464" s="93" t="str">
        <f>IF(COUNTIF(MAIN!B:B, A2464)=0, "Missing", "")</f>
        <v/>
      </c>
      <c r="E2464" s="128" t="str">
        <f t="shared" si="1"/>
        <v/>
      </c>
    </row>
    <row r="2465">
      <c r="A2465" s="93" t="str">
        <f t="shared" si="2"/>
        <v>#17662</v>
      </c>
      <c r="B2465" s="93" t="str">
        <f>IF(COUNTIF(MAIN!B:B, A2465)=0, "Missing", "")</f>
        <v/>
      </c>
      <c r="E2465" s="128" t="str">
        <f t="shared" si="1"/>
        <v/>
      </c>
    </row>
    <row r="2466">
      <c r="A2466" s="93" t="str">
        <f t="shared" si="2"/>
        <v>#17663</v>
      </c>
      <c r="B2466" s="93" t="str">
        <f>IF(COUNTIF(MAIN!B:B, A2466)=0, "Missing", "")</f>
        <v/>
      </c>
      <c r="E2466" s="128" t="str">
        <f t="shared" si="1"/>
        <v/>
      </c>
    </row>
    <row r="2467">
      <c r="A2467" s="93" t="str">
        <f t="shared" si="2"/>
        <v>#17664</v>
      </c>
      <c r="B2467" s="93" t="str">
        <f>IF(COUNTIF(MAIN!B:B, A2467)=0, "Missing", "")</f>
        <v/>
      </c>
      <c r="E2467" s="128" t="str">
        <f t="shared" si="1"/>
        <v/>
      </c>
    </row>
    <row r="2468">
      <c r="A2468" s="93" t="str">
        <f t="shared" si="2"/>
        <v>#17665</v>
      </c>
      <c r="B2468" s="93" t="str">
        <f>IF(COUNTIF(MAIN!B:B, A2468)=0, "Missing", "")</f>
        <v/>
      </c>
      <c r="E2468" s="128" t="str">
        <f t="shared" si="1"/>
        <v/>
      </c>
    </row>
    <row r="2469">
      <c r="A2469" s="93" t="str">
        <f t="shared" si="2"/>
        <v>#17666</v>
      </c>
      <c r="B2469" s="93" t="str">
        <f>IF(COUNTIF(MAIN!B:B, A2469)=0, "Missing", "")</f>
        <v/>
      </c>
      <c r="E2469" s="128" t="str">
        <f t="shared" si="1"/>
        <v/>
      </c>
    </row>
    <row r="2470">
      <c r="A2470" s="93" t="str">
        <f t="shared" si="2"/>
        <v>#17667</v>
      </c>
      <c r="B2470" s="93" t="str">
        <f>IF(COUNTIF(MAIN!B:B, A2470)=0, "Missing", "")</f>
        <v>Missing</v>
      </c>
      <c r="C2470" s="84" t="s">
        <v>15238</v>
      </c>
      <c r="E2470" s="131" t="str">
        <f t="shared" si="1"/>
        <v>https://utrucking.myshopify.com/admin/orders?query=17667</v>
      </c>
    </row>
    <row r="2471">
      <c r="A2471" s="93" t="str">
        <f t="shared" si="2"/>
        <v>#17668</v>
      </c>
      <c r="B2471" s="93" t="str">
        <f>IF(COUNTIF(MAIN!B:B, A2471)=0, "Missing", "")</f>
        <v/>
      </c>
      <c r="E2471" s="128" t="str">
        <f t="shared" si="1"/>
        <v/>
      </c>
    </row>
    <row r="2472">
      <c r="A2472" s="93" t="str">
        <f t="shared" si="2"/>
        <v>#17669</v>
      </c>
      <c r="B2472" s="93" t="str">
        <f>IF(COUNTIF(MAIN!B:B, A2472)=0, "Missing", "")</f>
        <v/>
      </c>
      <c r="E2472" s="128" t="str">
        <f t="shared" si="1"/>
        <v/>
      </c>
    </row>
    <row r="2473">
      <c r="A2473" s="93" t="str">
        <f t="shared" si="2"/>
        <v>#17670</v>
      </c>
      <c r="B2473" s="93" t="str">
        <f>IF(COUNTIF(MAIN!B:B, A2473)=0, "Missing", "")</f>
        <v/>
      </c>
      <c r="E2473" s="128" t="str">
        <f t="shared" si="1"/>
        <v/>
      </c>
    </row>
    <row r="2474">
      <c r="A2474" s="93" t="str">
        <f t="shared" si="2"/>
        <v>#17671</v>
      </c>
      <c r="B2474" s="93" t="str">
        <f>IF(COUNTIF(MAIN!B:B, A2474)=0, "Missing", "")</f>
        <v/>
      </c>
      <c r="E2474" s="128" t="str">
        <f t="shared" si="1"/>
        <v/>
      </c>
    </row>
    <row r="2475">
      <c r="A2475" s="93" t="str">
        <f t="shared" si="2"/>
        <v>#17672</v>
      </c>
      <c r="B2475" s="93" t="str">
        <f>IF(COUNTIF(MAIN!B:B, A2475)=0, "Missing", "")</f>
        <v/>
      </c>
      <c r="E2475" s="128" t="str">
        <f t="shared" si="1"/>
        <v/>
      </c>
    </row>
    <row r="2476">
      <c r="A2476" s="93" t="str">
        <f t="shared" si="2"/>
        <v>#17673</v>
      </c>
      <c r="B2476" s="93" t="str">
        <f>IF(COUNTIF(MAIN!B:B, A2476)=0, "Missing", "")</f>
        <v/>
      </c>
      <c r="E2476" s="128" t="str">
        <f t="shared" si="1"/>
        <v/>
      </c>
    </row>
    <row r="2477">
      <c r="A2477" s="93" t="str">
        <f t="shared" si="2"/>
        <v>#17674</v>
      </c>
      <c r="B2477" s="93" t="str">
        <f>IF(COUNTIF(MAIN!B:B, A2477)=0, "Missing", "")</f>
        <v/>
      </c>
      <c r="E2477" s="128" t="str">
        <f t="shared" si="1"/>
        <v/>
      </c>
    </row>
    <row r="2478">
      <c r="A2478" s="93" t="str">
        <f t="shared" si="2"/>
        <v>#17675</v>
      </c>
      <c r="B2478" s="93" t="str">
        <f>IF(COUNTIF(MAIN!B:B, A2478)=0, "Missing", "")</f>
        <v/>
      </c>
      <c r="E2478" s="128" t="str">
        <f t="shared" si="1"/>
        <v/>
      </c>
    </row>
    <row r="2479">
      <c r="A2479" s="93" t="str">
        <f t="shared" si="2"/>
        <v>#17676</v>
      </c>
      <c r="B2479" s="93" t="str">
        <f>IF(COUNTIF(MAIN!B:B, A2479)=0, "Missing", "")</f>
        <v/>
      </c>
      <c r="E2479" s="128" t="str">
        <f t="shared" si="1"/>
        <v/>
      </c>
    </row>
    <row r="2480">
      <c r="A2480" s="93" t="str">
        <f t="shared" si="2"/>
        <v>#17677</v>
      </c>
      <c r="B2480" s="93" t="str">
        <f>IF(COUNTIF(MAIN!B:B, A2480)=0, "Missing", "")</f>
        <v/>
      </c>
      <c r="E2480" s="128" t="str">
        <f t="shared" si="1"/>
        <v/>
      </c>
    </row>
    <row r="2481">
      <c r="A2481" s="93" t="str">
        <f t="shared" si="2"/>
        <v>#17678</v>
      </c>
      <c r="B2481" s="93" t="str">
        <f>IF(COUNTIF(MAIN!B:B, A2481)=0, "Missing", "")</f>
        <v/>
      </c>
      <c r="E2481" s="128" t="str">
        <f t="shared" si="1"/>
        <v/>
      </c>
    </row>
    <row r="2482">
      <c r="A2482" s="93" t="str">
        <f t="shared" si="2"/>
        <v>#17679</v>
      </c>
      <c r="B2482" s="93" t="str">
        <f>IF(COUNTIF(MAIN!B:B, A2482)=0, "Missing", "")</f>
        <v/>
      </c>
      <c r="E2482" s="128" t="str">
        <f t="shared" si="1"/>
        <v/>
      </c>
    </row>
    <row r="2483">
      <c r="A2483" s="93" t="str">
        <f t="shared" si="2"/>
        <v>#17680</v>
      </c>
      <c r="B2483" s="93" t="str">
        <f>IF(COUNTIF(MAIN!B:B, A2483)=0, "Missing", "")</f>
        <v/>
      </c>
      <c r="E2483" s="128" t="str">
        <f t="shared" si="1"/>
        <v/>
      </c>
    </row>
    <row r="2484">
      <c r="A2484" s="93" t="str">
        <f t="shared" si="2"/>
        <v>#17681</v>
      </c>
      <c r="B2484" s="93" t="str">
        <f>IF(COUNTIF(MAIN!B:B, A2484)=0, "Missing", "")</f>
        <v/>
      </c>
      <c r="E2484" s="128" t="str">
        <f t="shared" si="1"/>
        <v/>
      </c>
    </row>
    <row r="2485">
      <c r="A2485" s="93" t="str">
        <f t="shared" si="2"/>
        <v>#17682</v>
      </c>
      <c r="B2485" s="93" t="str">
        <f>IF(COUNTIF(MAIN!B:B, A2485)=0, "Missing", "")</f>
        <v/>
      </c>
      <c r="E2485" s="128" t="str">
        <f t="shared" si="1"/>
        <v/>
      </c>
    </row>
    <row r="2486">
      <c r="A2486" s="93" t="str">
        <f t="shared" si="2"/>
        <v>#17683</v>
      </c>
      <c r="B2486" s="93" t="str">
        <f>IF(COUNTIF(MAIN!B:B, A2486)=0, "Missing", "")</f>
        <v/>
      </c>
      <c r="E2486" s="128" t="str">
        <f t="shared" si="1"/>
        <v/>
      </c>
    </row>
    <row r="2487">
      <c r="A2487" s="93" t="str">
        <f t="shared" si="2"/>
        <v>#17684</v>
      </c>
      <c r="B2487" s="93" t="str">
        <f>IF(COUNTIF(MAIN!B:B, A2487)=0, "Missing", "")</f>
        <v/>
      </c>
      <c r="E2487" s="128" t="str">
        <f t="shared" si="1"/>
        <v/>
      </c>
    </row>
    <row r="2488">
      <c r="A2488" s="93" t="str">
        <f t="shared" si="2"/>
        <v>#17685</v>
      </c>
      <c r="B2488" s="93" t="str">
        <f>IF(COUNTIF(MAIN!B:B, A2488)=0, "Missing", "")</f>
        <v/>
      </c>
      <c r="E2488" s="128" t="str">
        <f t="shared" si="1"/>
        <v/>
      </c>
    </row>
    <row r="2489">
      <c r="A2489" s="93" t="str">
        <f t="shared" si="2"/>
        <v>#17686</v>
      </c>
      <c r="B2489" s="93" t="str">
        <f>IF(COUNTIF(MAIN!B:B, A2489)=0, "Missing", "")</f>
        <v/>
      </c>
      <c r="E2489" s="128" t="str">
        <f t="shared" si="1"/>
        <v/>
      </c>
    </row>
    <row r="2490">
      <c r="A2490" s="93" t="str">
        <f t="shared" si="2"/>
        <v>#17687</v>
      </c>
      <c r="B2490" s="93" t="str">
        <f>IF(COUNTIF(MAIN!B:B, A2490)=0, "Missing", "")</f>
        <v/>
      </c>
      <c r="E2490" s="128" t="str">
        <f t="shared" si="1"/>
        <v/>
      </c>
    </row>
    <row r="2491">
      <c r="A2491" s="93" t="str">
        <f t="shared" si="2"/>
        <v>#17688</v>
      </c>
      <c r="B2491" s="93" t="str">
        <f>IF(COUNTIF(MAIN!B:B, A2491)=0, "Missing", "")</f>
        <v/>
      </c>
      <c r="E2491" s="128" t="str">
        <f t="shared" si="1"/>
        <v/>
      </c>
    </row>
    <row r="2492">
      <c r="A2492" s="93" t="str">
        <f t="shared" si="2"/>
        <v>#17689</v>
      </c>
      <c r="B2492" s="93" t="str">
        <f>IF(COUNTIF(MAIN!B:B, A2492)=0, "Missing", "")</f>
        <v/>
      </c>
      <c r="E2492" s="128" t="str">
        <f t="shared" si="1"/>
        <v/>
      </c>
    </row>
    <row r="2493">
      <c r="A2493" s="93" t="str">
        <f t="shared" si="2"/>
        <v>#17690</v>
      </c>
      <c r="B2493" s="93" t="str">
        <f>IF(COUNTIF(MAIN!B:B, A2493)=0, "Missing", "")</f>
        <v/>
      </c>
      <c r="E2493" s="128" t="str">
        <f t="shared" si="1"/>
        <v/>
      </c>
    </row>
    <row r="2494">
      <c r="A2494" s="93" t="str">
        <f t="shared" si="2"/>
        <v>#17691</v>
      </c>
      <c r="B2494" s="93" t="str">
        <f>IF(COUNTIF(MAIN!B:B, A2494)=0, "Missing", "")</f>
        <v/>
      </c>
      <c r="E2494" s="128" t="str">
        <f t="shared" si="1"/>
        <v/>
      </c>
    </row>
    <row r="2495">
      <c r="A2495" s="93" t="str">
        <f t="shared" si="2"/>
        <v>#17692</v>
      </c>
      <c r="B2495" s="93" t="str">
        <f>IF(COUNTIF(MAIN!B:B, A2495)=0, "Missing", "")</f>
        <v/>
      </c>
      <c r="E2495" s="128" t="str">
        <f t="shared" si="1"/>
        <v/>
      </c>
    </row>
    <row r="2496">
      <c r="A2496" s="93" t="str">
        <f t="shared" si="2"/>
        <v>#17693</v>
      </c>
      <c r="B2496" s="93" t="str">
        <f>IF(COUNTIF(MAIN!B:B, A2496)=0, "Missing", "")</f>
        <v/>
      </c>
      <c r="E2496" s="128" t="str">
        <f t="shared" si="1"/>
        <v/>
      </c>
    </row>
    <row r="2497">
      <c r="A2497" s="93" t="str">
        <f t="shared" si="2"/>
        <v>#17694</v>
      </c>
      <c r="B2497" s="93" t="str">
        <f>IF(COUNTIF(MAIN!B:B, A2497)=0, "Missing", "")</f>
        <v/>
      </c>
      <c r="E2497" s="128" t="str">
        <f t="shared" si="1"/>
        <v/>
      </c>
    </row>
    <row r="2498">
      <c r="A2498" s="93" t="str">
        <f t="shared" si="2"/>
        <v>#17695</v>
      </c>
      <c r="B2498" s="93" t="str">
        <f>IF(COUNTIF(MAIN!B:B, A2498)=0, "Missing", "")</f>
        <v/>
      </c>
      <c r="E2498" s="128" t="str">
        <f t="shared" si="1"/>
        <v/>
      </c>
    </row>
    <row r="2499">
      <c r="A2499" s="93" t="str">
        <f t="shared" si="2"/>
        <v>#17696</v>
      </c>
      <c r="B2499" s="93" t="str">
        <f>IF(COUNTIF(MAIN!B:B, A2499)=0, "Missing", "")</f>
        <v>Missing</v>
      </c>
      <c r="C2499" s="84" t="s">
        <v>15238</v>
      </c>
      <c r="E2499" s="131" t="str">
        <f t="shared" si="1"/>
        <v>https://utrucking.myshopify.com/admin/orders?query=17696</v>
      </c>
    </row>
    <row r="2500">
      <c r="A2500" s="93" t="str">
        <f t="shared" si="2"/>
        <v>#17697</v>
      </c>
      <c r="B2500" s="93" t="str">
        <f>IF(COUNTIF(MAIN!B:B, A2500)=0, "Missing", "")</f>
        <v/>
      </c>
      <c r="E2500" s="128" t="str">
        <f t="shared" si="1"/>
        <v/>
      </c>
    </row>
    <row r="2501">
      <c r="A2501" s="93" t="str">
        <f t="shared" si="2"/>
        <v>#17698</v>
      </c>
      <c r="B2501" s="93" t="str">
        <f>IF(COUNTIF(MAIN!B:B, A2501)=0, "Missing", "")</f>
        <v/>
      </c>
      <c r="E2501" s="128" t="str">
        <f t="shared" si="1"/>
        <v/>
      </c>
    </row>
    <row r="2502">
      <c r="A2502" s="93" t="str">
        <f t="shared" si="2"/>
        <v>#17699</v>
      </c>
      <c r="B2502" s="93" t="str">
        <f>IF(COUNTIF(MAIN!B:B, A2502)=0, "Missing", "")</f>
        <v>Missing</v>
      </c>
      <c r="C2502" s="84" t="s">
        <v>15238</v>
      </c>
      <c r="E2502" s="131" t="str">
        <f t="shared" si="1"/>
        <v>https://utrucking.myshopify.com/admin/orders?query=17699</v>
      </c>
    </row>
    <row r="2503">
      <c r="A2503" s="93" t="str">
        <f t="shared" si="2"/>
        <v>#17700</v>
      </c>
      <c r="B2503" s="93" t="str">
        <f>IF(COUNTIF(MAIN!B:B, A2503)=0, "Missing", "")</f>
        <v/>
      </c>
      <c r="E2503" s="128" t="str">
        <f t="shared" si="1"/>
        <v/>
      </c>
    </row>
    <row r="2504">
      <c r="A2504" s="93" t="str">
        <f t="shared" si="2"/>
        <v>#17701</v>
      </c>
      <c r="B2504" s="93" t="str">
        <f>IF(COUNTIF(MAIN!B:B, A2504)=0, "Missing", "")</f>
        <v/>
      </c>
      <c r="E2504" s="128" t="str">
        <f t="shared" si="1"/>
        <v/>
      </c>
    </row>
    <row r="2505">
      <c r="A2505" s="93" t="str">
        <f t="shared" si="2"/>
        <v>#17702</v>
      </c>
      <c r="B2505" s="93" t="str">
        <f>IF(COUNTIF(MAIN!B:B, A2505)=0, "Missing", "")</f>
        <v/>
      </c>
      <c r="E2505" s="128" t="str">
        <f t="shared" si="1"/>
        <v/>
      </c>
    </row>
    <row r="2506">
      <c r="A2506" s="93" t="str">
        <f t="shared" si="2"/>
        <v>#17703</v>
      </c>
      <c r="B2506" s="93" t="str">
        <f>IF(COUNTIF(MAIN!B:B, A2506)=0, "Missing", "")</f>
        <v/>
      </c>
      <c r="E2506" s="128" t="str">
        <f t="shared" si="1"/>
        <v/>
      </c>
    </row>
    <row r="2507">
      <c r="A2507" s="93" t="str">
        <f t="shared" si="2"/>
        <v>#17704</v>
      </c>
      <c r="B2507" s="93" t="str">
        <f>IF(COUNTIF(MAIN!B:B, A2507)=0, "Missing", "")</f>
        <v/>
      </c>
      <c r="E2507" s="128" t="str">
        <f t="shared" si="1"/>
        <v/>
      </c>
    </row>
    <row r="2508">
      <c r="A2508" s="93" t="str">
        <f t="shared" si="2"/>
        <v>#17705</v>
      </c>
      <c r="B2508" s="93" t="str">
        <f>IF(COUNTIF(MAIN!B:B, A2508)=0, "Missing", "")</f>
        <v/>
      </c>
      <c r="E2508" s="128" t="str">
        <f t="shared" si="1"/>
        <v/>
      </c>
    </row>
    <row r="2509">
      <c r="A2509" s="93" t="str">
        <f t="shared" si="2"/>
        <v>#17706</v>
      </c>
      <c r="B2509" s="93" t="str">
        <f>IF(COUNTIF(MAIN!B:B, A2509)=0, "Missing", "")</f>
        <v/>
      </c>
      <c r="E2509" s="128" t="str">
        <f t="shared" si="1"/>
        <v/>
      </c>
    </row>
    <row r="2510">
      <c r="A2510" s="93" t="str">
        <f t="shared" si="2"/>
        <v>#17707</v>
      </c>
      <c r="B2510" s="93" t="str">
        <f>IF(COUNTIF(MAIN!B:B, A2510)=0, "Missing", "")</f>
        <v/>
      </c>
      <c r="E2510" s="128" t="str">
        <f t="shared" si="1"/>
        <v/>
      </c>
    </row>
    <row r="2511">
      <c r="A2511" s="93" t="str">
        <f t="shared" si="2"/>
        <v>#17708</v>
      </c>
      <c r="B2511" s="93" t="str">
        <f>IF(COUNTIF(MAIN!B:B, A2511)=0, "Missing", "")</f>
        <v/>
      </c>
      <c r="E2511" s="128" t="str">
        <f t="shared" si="1"/>
        <v/>
      </c>
    </row>
    <row r="2512">
      <c r="A2512" s="93" t="str">
        <f t="shared" si="2"/>
        <v>#17709</v>
      </c>
      <c r="B2512" s="93" t="str">
        <f>IF(COUNTIF(MAIN!B:B, A2512)=0, "Missing", "")</f>
        <v/>
      </c>
      <c r="E2512" s="128" t="str">
        <f t="shared" si="1"/>
        <v/>
      </c>
    </row>
    <row r="2513">
      <c r="A2513" s="93" t="str">
        <f t="shared" si="2"/>
        <v>#17710</v>
      </c>
      <c r="B2513" s="93" t="str">
        <f>IF(COUNTIF(MAIN!B:B, A2513)=0, "Missing", "")</f>
        <v/>
      </c>
      <c r="E2513" s="128" t="str">
        <f t="shared" si="1"/>
        <v/>
      </c>
    </row>
    <row r="2514">
      <c r="A2514" s="93" t="str">
        <f t="shared" si="2"/>
        <v>#17711</v>
      </c>
      <c r="B2514" s="93" t="str">
        <f>IF(COUNTIF(MAIN!B:B, A2514)=0, "Missing", "")</f>
        <v/>
      </c>
      <c r="E2514" s="128" t="str">
        <f t="shared" si="1"/>
        <v/>
      </c>
    </row>
    <row r="2515">
      <c r="A2515" s="93" t="str">
        <f t="shared" si="2"/>
        <v>#17712</v>
      </c>
      <c r="B2515" s="93" t="str">
        <f>IF(COUNTIF(MAIN!B:B, A2515)=0, "Missing", "")</f>
        <v/>
      </c>
      <c r="E2515" s="128" t="str">
        <f t="shared" si="1"/>
        <v/>
      </c>
    </row>
    <row r="2516">
      <c r="A2516" s="93" t="str">
        <f t="shared" si="2"/>
        <v>#17713</v>
      </c>
      <c r="B2516" s="93" t="str">
        <f>IF(COUNTIF(MAIN!B:B, A2516)=0, "Missing", "")</f>
        <v/>
      </c>
      <c r="E2516" s="128" t="str">
        <f t="shared" si="1"/>
        <v/>
      </c>
    </row>
    <row r="2517">
      <c r="A2517" s="93" t="str">
        <f t="shared" si="2"/>
        <v>#17714</v>
      </c>
      <c r="B2517" s="93" t="str">
        <f>IF(COUNTIF(MAIN!B:B, A2517)=0, "Missing", "")</f>
        <v/>
      </c>
      <c r="E2517" s="128" t="str">
        <f t="shared" si="1"/>
        <v/>
      </c>
    </row>
    <row r="2518">
      <c r="A2518" s="93" t="str">
        <f t="shared" si="2"/>
        <v>#17715</v>
      </c>
      <c r="B2518" s="93" t="str">
        <f>IF(COUNTIF(MAIN!B:B, A2518)=0, "Missing", "")</f>
        <v/>
      </c>
      <c r="E2518" s="128" t="str">
        <f t="shared" si="1"/>
        <v/>
      </c>
    </row>
    <row r="2519">
      <c r="A2519" s="93" t="str">
        <f t="shared" si="2"/>
        <v>#17716</v>
      </c>
      <c r="B2519" s="93" t="str">
        <f>IF(COUNTIF(MAIN!B:B, A2519)=0, "Missing", "")</f>
        <v/>
      </c>
      <c r="E2519" s="128" t="str">
        <f t="shared" si="1"/>
        <v/>
      </c>
    </row>
    <row r="2520">
      <c r="A2520" s="93" t="str">
        <f t="shared" si="2"/>
        <v>#17717</v>
      </c>
      <c r="B2520" s="93" t="str">
        <f>IF(COUNTIF(MAIN!B:B, A2520)=0, "Missing", "")</f>
        <v/>
      </c>
      <c r="E2520" s="128" t="str">
        <f t="shared" si="1"/>
        <v/>
      </c>
    </row>
    <row r="2521">
      <c r="A2521" s="93" t="str">
        <f t="shared" si="2"/>
        <v>#17718</v>
      </c>
      <c r="B2521" s="93" t="str">
        <f>IF(COUNTIF(MAIN!B:B, A2521)=0, "Missing", "")</f>
        <v/>
      </c>
      <c r="E2521" s="128" t="str">
        <f t="shared" si="1"/>
        <v/>
      </c>
    </row>
    <row r="2522">
      <c r="A2522" s="93" t="str">
        <f t="shared" si="2"/>
        <v>#17719</v>
      </c>
      <c r="B2522" s="93" t="str">
        <f>IF(COUNTIF(MAIN!B:B, A2522)=0, "Missing", "")</f>
        <v/>
      </c>
      <c r="E2522" s="128" t="str">
        <f t="shared" si="1"/>
        <v/>
      </c>
    </row>
    <row r="2523">
      <c r="A2523" s="93" t="str">
        <f t="shared" si="2"/>
        <v>#17720</v>
      </c>
      <c r="B2523" s="93" t="str">
        <f>IF(COUNTIF(MAIN!B:B, A2523)=0, "Missing", "")</f>
        <v/>
      </c>
      <c r="E2523" s="128" t="str">
        <f t="shared" si="1"/>
        <v/>
      </c>
    </row>
    <row r="2524">
      <c r="A2524" s="93" t="str">
        <f t="shared" si="2"/>
        <v>#17721</v>
      </c>
      <c r="B2524" s="93" t="str">
        <f>IF(COUNTIF(MAIN!B:B, A2524)=0, "Missing", "")</f>
        <v/>
      </c>
      <c r="E2524" s="128" t="str">
        <f t="shared" si="1"/>
        <v/>
      </c>
    </row>
    <row r="2525">
      <c r="A2525" s="93" t="str">
        <f t="shared" si="2"/>
        <v>#17722</v>
      </c>
      <c r="B2525" s="93" t="str">
        <f>IF(COUNTIF(MAIN!B:B, A2525)=0, "Missing", "")</f>
        <v/>
      </c>
      <c r="E2525" s="128" t="str">
        <f t="shared" si="1"/>
        <v/>
      </c>
    </row>
    <row r="2526">
      <c r="A2526" s="93" t="str">
        <f t="shared" si="2"/>
        <v>#17723</v>
      </c>
      <c r="B2526" s="93" t="str">
        <f>IF(COUNTIF(MAIN!B:B, A2526)=0, "Missing", "")</f>
        <v/>
      </c>
      <c r="E2526" s="128" t="str">
        <f t="shared" si="1"/>
        <v/>
      </c>
    </row>
    <row r="2527">
      <c r="A2527" s="93" t="str">
        <f t="shared" si="2"/>
        <v>#17724</v>
      </c>
      <c r="B2527" s="93" t="str">
        <f>IF(COUNTIF(MAIN!B:B, A2527)=0, "Missing", "")</f>
        <v/>
      </c>
      <c r="E2527" s="128" t="str">
        <f t="shared" si="1"/>
        <v/>
      </c>
    </row>
    <row r="2528">
      <c r="A2528" s="93" t="str">
        <f t="shared" si="2"/>
        <v>#17725</v>
      </c>
      <c r="B2528" s="93" t="str">
        <f>IF(COUNTIF(MAIN!B:B, A2528)=0, "Missing", "")</f>
        <v/>
      </c>
      <c r="E2528" s="128" t="str">
        <f t="shared" si="1"/>
        <v/>
      </c>
    </row>
    <row r="2529">
      <c r="A2529" s="93" t="str">
        <f t="shared" si="2"/>
        <v>#17726</v>
      </c>
      <c r="B2529" s="93" t="str">
        <f>IF(COUNTIF(MAIN!B:B, A2529)=0, "Missing", "")</f>
        <v/>
      </c>
      <c r="E2529" s="128" t="str">
        <f t="shared" si="1"/>
        <v/>
      </c>
    </row>
    <row r="2530">
      <c r="A2530" s="93" t="str">
        <f t="shared" si="2"/>
        <v>#17727</v>
      </c>
      <c r="B2530" s="93" t="str">
        <f>IF(COUNTIF(MAIN!B:B, A2530)=0, "Missing", "")</f>
        <v/>
      </c>
      <c r="E2530" s="128" t="str">
        <f t="shared" si="1"/>
        <v/>
      </c>
    </row>
    <row r="2531">
      <c r="A2531" s="93" t="str">
        <f t="shared" si="2"/>
        <v>#17728</v>
      </c>
      <c r="B2531" s="93" t="str">
        <f>IF(COUNTIF(MAIN!B:B, A2531)=0, "Missing", "")</f>
        <v/>
      </c>
      <c r="E2531" s="128" t="str">
        <f t="shared" si="1"/>
        <v/>
      </c>
    </row>
    <row r="2532">
      <c r="A2532" s="93" t="str">
        <f t="shared" si="2"/>
        <v>#17729</v>
      </c>
      <c r="B2532" s="93" t="str">
        <f>IF(COUNTIF(MAIN!B:B, A2532)=0, "Missing", "")</f>
        <v/>
      </c>
      <c r="E2532" s="128" t="str">
        <f t="shared" si="1"/>
        <v/>
      </c>
    </row>
    <row r="2533">
      <c r="A2533" s="93" t="str">
        <f t="shared" si="2"/>
        <v>#17730</v>
      </c>
      <c r="B2533" s="93" t="str">
        <f>IF(COUNTIF(MAIN!B:B, A2533)=0, "Missing", "")</f>
        <v/>
      </c>
      <c r="E2533" s="128" t="str">
        <f t="shared" si="1"/>
        <v/>
      </c>
    </row>
    <row r="2534">
      <c r="A2534" s="93" t="str">
        <f t="shared" si="2"/>
        <v>#17731</v>
      </c>
      <c r="B2534" s="93" t="str">
        <f>IF(COUNTIF(MAIN!B:B, A2534)=0, "Missing", "")</f>
        <v/>
      </c>
      <c r="E2534" s="128" t="str">
        <f t="shared" si="1"/>
        <v/>
      </c>
    </row>
    <row r="2535">
      <c r="A2535" s="93" t="str">
        <f t="shared" si="2"/>
        <v>#17732</v>
      </c>
      <c r="B2535" s="93" t="str">
        <f>IF(COUNTIF(MAIN!B:B, A2535)=0, "Missing", "")</f>
        <v/>
      </c>
      <c r="E2535" s="128" t="str">
        <f t="shared" si="1"/>
        <v/>
      </c>
    </row>
    <row r="2536">
      <c r="A2536" s="93" t="str">
        <f t="shared" si="2"/>
        <v>#17733</v>
      </c>
      <c r="B2536" s="93" t="str">
        <f>IF(COUNTIF(MAIN!B:B, A2536)=0, "Missing", "")</f>
        <v/>
      </c>
      <c r="E2536" s="128" t="str">
        <f t="shared" si="1"/>
        <v/>
      </c>
    </row>
    <row r="2537">
      <c r="A2537" s="93" t="str">
        <f t="shared" si="2"/>
        <v>#17734</v>
      </c>
      <c r="B2537" s="93" t="str">
        <f>IF(COUNTIF(MAIN!B:B, A2537)=0, "Missing", "")</f>
        <v/>
      </c>
      <c r="E2537" s="128" t="str">
        <f t="shared" si="1"/>
        <v/>
      </c>
    </row>
    <row r="2538">
      <c r="A2538" s="93" t="str">
        <f t="shared" si="2"/>
        <v>#17735</v>
      </c>
      <c r="B2538" s="93" t="str">
        <f>IF(COUNTIF(MAIN!B:B, A2538)=0, "Missing", "")</f>
        <v/>
      </c>
      <c r="E2538" s="128" t="str">
        <f t="shared" si="1"/>
        <v/>
      </c>
    </row>
    <row r="2539">
      <c r="A2539" s="93" t="str">
        <f t="shared" si="2"/>
        <v>#17736</v>
      </c>
      <c r="B2539" s="93" t="str">
        <f>IF(COUNTIF(MAIN!B:B, A2539)=0, "Missing", "")</f>
        <v/>
      </c>
      <c r="E2539" s="128" t="str">
        <f t="shared" si="1"/>
        <v/>
      </c>
    </row>
    <row r="2540">
      <c r="A2540" s="93" t="str">
        <f t="shared" si="2"/>
        <v>#17737</v>
      </c>
      <c r="B2540" s="93" t="str">
        <f>IF(COUNTIF(MAIN!B:B, A2540)=0, "Missing", "")</f>
        <v/>
      </c>
      <c r="E2540" s="128" t="str">
        <f t="shared" si="1"/>
        <v/>
      </c>
    </row>
    <row r="2541">
      <c r="A2541" s="93" t="str">
        <f t="shared" si="2"/>
        <v>#17738</v>
      </c>
      <c r="B2541" s="93" t="str">
        <f>IF(COUNTIF(MAIN!B:B, A2541)=0, "Missing", "")</f>
        <v/>
      </c>
      <c r="E2541" s="128" t="str">
        <f t="shared" si="1"/>
        <v/>
      </c>
    </row>
    <row r="2542">
      <c r="A2542" s="93" t="str">
        <f t="shared" si="2"/>
        <v>#17739</v>
      </c>
      <c r="B2542" s="93" t="str">
        <f>IF(COUNTIF(MAIN!B:B, A2542)=0, "Missing", "")</f>
        <v/>
      </c>
      <c r="E2542" s="128" t="str">
        <f t="shared" si="1"/>
        <v/>
      </c>
    </row>
    <row r="2543">
      <c r="A2543" s="93" t="str">
        <f t="shared" si="2"/>
        <v>#17740</v>
      </c>
      <c r="B2543" s="93" t="str">
        <f>IF(COUNTIF(MAIN!B:B, A2543)=0, "Missing", "")</f>
        <v/>
      </c>
      <c r="E2543" s="128" t="str">
        <f t="shared" si="1"/>
        <v/>
      </c>
    </row>
    <row r="2544">
      <c r="A2544" s="93" t="str">
        <f t="shared" si="2"/>
        <v>#17741</v>
      </c>
      <c r="B2544" s="93" t="str">
        <f>IF(COUNTIF(MAIN!B:B, A2544)=0, "Missing", "")</f>
        <v/>
      </c>
      <c r="E2544" s="128" t="str">
        <f t="shared" si="1"/>
        <v/>
      </c>
    </row>
    <row r="2545">
      <c r="A2545" s="93" t="str">
        <f t="shared" si="2"/>
        <v>#17742</v>
      </c>
      <c r="B2545" s="93" t="str">
        <f>IF(COUNTIF(MAIN!B:B, A2545)=0, "Missing", "")</f>
        <v/>
      </c>
      <c r="E2545" s="128" t="str">
        <f t="shared" si="1"/>
        <v/>
      </c>
    </row>
    <row r="2546">
      <c r="A2546" s="93" t="str">
        <f t="shared" si="2"/>
        <v>#17743</v>
      </c>
      <c r="B2546" s="93" t="str">
        <f>IF(COUNTIF(MAIN!B:B, A2546)=0, "Missing", "")</f>
        <v/>
      </c>
      <c r="E2546" s="128" t="str">
        <f t="shared" si="1"/>
        <v/>
      </c>
    </row>
    <row r="2547">
      <c r="A2547" s="93" t="str">
        <f t="shared" si="2"/>
        <v>#17744</v>
      </c>
      <c r="B2547" s="93" t="str">
        <f>IF(COUNTIF(MAIN!B:B, A2547)=0, "Missing", "")</f>
        <v/>
      </c>
      <c r="E2547" s="128" t="str">
        <f t="shared" si="1"/>
        <v/>
      </c>
    </row>
    <row r="2548">
      <c r="A2548" s="93" t="str">
        <f t="shared" si="2"/>
        <v>#17745</v>
      </c>
      <c r="B2548" s="93" t="str">
        <f>IF(COUNTIF(MAIN!B:B, A2548)=0, "Missing", "")</f>
        <v/>
      </c>
      <c r="E2548" s="128" t="str">
        <f t="shared" si="1"/>
        <v/>
      </c>
    </row>
    <row r="2549">
      <c r="A2549" s="93" t="str">
        <f t="shared" si="2"/>
        <v>#17746</v>
      </c>
      <c r="B2549" s="93" t="str">
        <f>IF(COUNTIF(MAIN!B:B, A2549)=0, "Missing", "")</f>
        <v/>
      </c>
      <c r="E2549" s="128" t="str">
        <f t="shared" si="1"/>
        <v/>
      </c>
    </row>
    <row r="2550">
      <c r="A2550" s="93" t="str">
        <f t="shared" si="2"/>
        <v>#17747</v>
      </c>
      <c r="B2550" s="93" t="str">
        <f>IF(COUNTIF(MAIN!B:B, A2550)=0, "Missing", "")</f>
        <v/>
      </c>
      <c r="E2550" s="128" t="str">
        <f t="shared" si="1"/>
        <v/>
      </c>
    </row>
    <row r="2551">
      <c r="A2551" s="93" t="str">
        <f t="shared" si="2"/>
        <v>#17748</v>
      </c>
      <c r="B2551" s="93" t="str">
        <f>IF(COUNTIF(MAIN!B:B, A2551)=0, "Missing", "")</f>
        <v/>
      </c>
      <c r="E2551" s="128" t="str">
        <f t="shared" si="1"/>
        <v/>
      </c>
    </row>
    <row r="2552">
      <c r="A2552" s="93" t="str">
        <f t="shared" si="2"/>
        <v>#17749</v>
      </c>
      <c r="B2552" s="93" t="str">
        <f>IF(COUNTIF(MAIN!B:B, A2552)=0, "Missing", "")</f>
        <v/>
      </c>
      <c r="E2552" s="128" t="str">
        <f t="shared" si="1"/>
        <v/>
      </c>
    </row>
    <row r="2553">
      <c r="A2553" s="93" t="str">
        <f t="shared" si="2"/>
        <v>#17750</v>
      </c>
      <c r="B2553" s="93" t="str">
        <f>IF(COUNTIF(MAIN!B:B, A2553)=0, "Missing", "")</f>
        <v/>
      </c>
      <c r="E2553" s="128" t="str">
        <f t="shared" si="1"/>
        <v/>
      </c>
    </row>
    <row r="2554">
      <c r="A2554" s="93" t="str">
        <f t="shared" si="2"/>
        <v>#17751</v>
      </c>
      <c r="B2554" s="93" t="str">
        <f>IF(COUNTIF(MAIN!B:B, A2554)=0, "Missing", "")</f>
        <v/>
      </c>
      <c r="E2554" s="128" t="str">
        <f t="shared" si="1"/>
        <v/>
      </c>
    </row>
    <row r="2555">
      <c r="A2555" s="93" t="str">
        <f t="shared" si="2"/>
        <v>#17752</v>
      </c>
      <c r="B2555" s="93" t="str">
        <f>IF(COUNTIF(MAIN!B:B, A2555)=0, "Missing", "")</f>
        <v/>
      </c>
      <c r="E2555" s="128" t="str">
        <f t="shared" si="1"/>
        <v/>
      </c>
    </row>
    <row r="2556">
      <c r="A2556" s="93" t="str">
        <f t="shared" si="2"/>
        <v>#17753</v>
      </c>
      <c r="B2556" s="93" t="str">
        <f>IF(COUNTIF(MAIN!B:B, A2556)=0, "Missing", "")</f>
        <v/>
      </c>
      <c r="E2556" s="128" t="str">
        <f t="shared" si="1"/>
        <v/>
      </c>
    </row>
    <row r="2557">
      <c r="A2557" s="93" t="str">
        <f t="shared" si="2"/>
        <v>#17754</v>
      </c>
      <c r="B2557" s="93" t="str">
        <f>IF(COUNTIF(MAIN!B:B, A2557)=0, "Missing", "")</f>
        <v/>
      </c>
      <c r="E2557" s="128" t="str">
        <f t="shared" si="1"/>
        <v/>
      </c>
    </row>
    <row r="2558">
      <c r="A2558" s="93" t="str">
        <f t="shared" si="2"/>
        <v>#17755</v>
      </c>
      <c r="B2558" s="93" t="str">
        <f>IF(COUNTIF(MAIN!B:B, A2558)=0, "Missing", "")</f>
        <v/>
      </c>
      <c r="E2558" s="128" t="str">
        <f t="shared" si="1"/>
        <v/>
      </c>
    </row>
    <row r="2559">
      <c r="A2559" s="93" t="str">
        <f t="shared" si="2"/>
        <v>#17756</v>
      </c>
      <c r="B2559" s="93" t="str">
        <f>IF(COUNTIF(MAIN!B:B, A2559)=0, "Missing", "")</f>
        <v/>
      </c>
      <c r="E2559" s="128" t="str">
        <f t="shared" si="1"/>
        <v/>
      </c>
    </row>
    <row r="2560">
      <c r="A2560" s="93" t="str">
        <f t="shared" si="2"/>
        <v>#17757</v>
      </c>
      <c r="B2560" s="93" t="str">
        <f>IF(COUNTIF(MAIN!B:B, A2560)=0, "Missing", "")</f>
        <v/>
      </c>
      <c r="E2560" s="128" t="str">
        <f t="shared" si="1"/>
        <v/>
      </c>
    </row>
    <row r="2561">
      <c r="A2561" s="93" t="str">
        <f t="shared" si="2"/>
        <v>#17758</v>
      </c>
      <c r="B2561" s="93" t="str">
        <f>IF(COUNTIF(MAIN!B:B, A2561)=0, "Missing", "")</f>
        <v/>
      </c>
      <c r="E2561" s="128" t="str">
        <f t="shared" si="1"/>
        <v/>
      </c>
    </row>
    <row r="2562">
      <c r="A2562" s="93" t="str">
        <f t="shared" si="2"/>
        <v>#17759</v>
      </c>
      <c r="B2562" s="93" t="str">
        <f>IF(COUNTIF(MAIN!B:B, A2562)=0, "Missing", "")</f>
        <v/>
      </c>
      <c r="E2562" s="128" t="str">
        <f t="shared" si="1"/>
        <v/>
      </c>
    </row>
    <row r="2563">
      <c r="A2563" s="93" t="str">
        <f t="shared" si="2"/>
        <v>#17760</v>
      </c>
      <c r="B2563" s="93" t="str">
        <f>IF(COUNTIF(MAIN!B:B, A2563)=0, "Missing", "")</f>
        <v/>
      </c>
      <c r="E2563" s="128" t="str">
        <f t="shared" si="1"/>
        <v/>
      </c>
    </row>
    <row r="2564">
      <c r="A2564" s="93" t="str">
        <f t="shared" si="2"/>
        <v>#17761</v>
      </c>
      <c r="B2564" s="93" t="str">
        <f>IF(COUNTIF(MAIN!B:B, A2564)=0, "Missing", "")</f>
        <v/>
      </c>
      <c r="E2564" s="128" t="str">
        <f t="shared" si="1"/>
        <v/>
      </c>
    </row>
    <row r="2565">
      <c r="A2565" s="93" t="str">
        <f t="shared" si="2"/>
        <v>#17762</v>
      </c>
      <c r="B2565" s="93" t="str">
        <f>IF(COUNTIF(MAIN!B:B, A2565)=0, "Missing", "")</f>
        <v/>
      </c>
      <c r="E2565" s="128" t="str">
        <f t="shared" si="1"/>
        <v/>
      </c>
    </row>
    <row r="2566">
      <c r="A2566" s="93" t="str">
        <f t="shared" si="2"/>
        <v>#17763</v>
      </c>
      <c r="B2566" s="93" t="str">
        <f>IF(COUNTIF(MAIN!B:B, A2566)=0, "Missing", "")</f>
        <v/>
      </c>
      <c r="E2566" s="128" t="str">
        <f t="shared" si="1"/>
        <v/>
      </c>
    </row>
    <row r="2567">
      <c r="A2567" s="93" t="str">
        <f t="shared" si="2"/>
        <v>#17764</v>
      </c>
      <c r="B2567" s="93" t="str">
        <f>IF(COUNTIF(MAIN!B:B, A2567)=0, "Missing", "")</f>
        <v/>
      </c>
      <c r="E2567" s="128" t="str">
        <f t="shared" si="1"/>
        <v/>
      </c>
    </row>
    <row r="2568">
      <c r="A2568" s="93" t="str">
        <f t="shared" si="2"/>
        <v>#17765</v>
      </c>
      <c r="B2568" s="93" t="str">
        <f>IF(COUNTIF(MAIN!B:B, A2568)=0, "Missing", "")</f>
        <v/>
      </c>
      <c r="E2568" s="128" t="str">
        <f t="shared" si="1"/>
        <v/>
      </c>
    </row>
    <row r="2569">
      <c r="A2569" s="93" t="str">
        <f t="shared" si="2"/>
        <v>#17766</v>
      </c>
      <c r="B2569" s="93" t="str">
        <f>IF(COUNTIF(MAIN!B:B, A2569)=0, "Missing", "")</f>
        <v/>
      </c>
      <c r="E2569" s="128" t="str">
        <f t="shared" si="1"/>
        <v/>
      </c>
    </row>
    <row r="2570">
      <c r="A2570" s="93" t="str">
        <f t="shared" si="2"/>
        <v>#17767</v>
      </c>
      <c r="B2570" s="93" t="str">
        <f>IF(COUNTIF(MAIN!B:B, A2570)=0, "Missing", "")</f>
        <v/>
      </c>
      <c r="E2570" s="128" t="str">
        <f t="shared" si="1"/>
        <v/>
      </c>
    </row>
    <row r="2571">
      <c r="A2571" s="93" t="str">
        <f t="shared" si="2"/>
        <v>#17768</v>
      </c>
      <c r="B2571" s="93" t="str">
        <f>IF(COUNTIF(MAIN!B:B, A2571)=0, "Missing", "")</f>
        <v/>
      </c>
      <c r="E2571" s="128" t="str">
        <f t="shared" si="1"/>
        <v/>
      </c>
    </row>
    <row r="2572">
      <c r="A2572" s="93" t="str">
        <f t="shared" si="2"/>
        <v>#17769</v>
      </c>
      <c r="B2572" s="93" t="str">
        <f>IF(COUNTIF(MAIN!B:B, A2572)=0, "Missing", "")</f>
        <v/>
      </c>
      <c r="E2572" s="128" t="str">
        <f t="shared" si="1"/>
        <v/>
      </c>
    </row>
    <row r="2573">
      <c r="A2573" s="93" t="str">
        <f t="shared" si="2"/>
        <v>#17770</v>
      </c>
      <c r="B2573" s="93" t="str">
        <f>IF(COUNTIF(MAIN!B:B, A2573)=0, "Missing", "")</f>
        <v/>
      </c>
      <c r="E2573" s="128" t="str">
        <f t="shared" si="1"/>
        <v/>
      </c>
    </row>
    <row r="2574">
      <c r="A2574" s="93" t="str">
        <f t="shared" si="2"/>
        <v>#17771</v>
      </c>
      <c r="B2574" s="93" t="str">
        <f>IF(COUNTIF(MAIN!B:B, A2574)=0, "Missing", "")</f>
        <v/>
      </c>
      <c r="E2574" s="128" t="str">
        <f t="shared" si="1"/>
        <v/>
      </c>
    </row>
    <row r="2575">
      <c r="A2575" s="93" t="str">
        <f t="shared" si="2"/>
        <v>#17772</v>
      </c>
      <c r="B2575" s="93" t="str">
        <f>IF(COUNTIF(MAIN!B:B, A2575)=0, "Missing", "")</f>
        <v/>
      </c>
      <c r="E2575" s="128" t="str">
        <f t="shared" si="1"/>
        <v/>
      </c>
    </row>
    <row r="2576">
      <c r="A2576" s="93" t="str">
        <f t="shared" si="2"/>
        <v>#17773</v>
      </c>
      <c r="B2576" s="93" t="str">
        <f>IF(COUNTIF(MAIN!B:B, A2576)=0, "Missing", "")</f>
        <v/>
      </c>
      <c r="E2576" s="128" t="str">
        <f t="shared" si="1"/>
        <v/>
      </c>
    </row>
    <row r="2577">
      <c r="A2577" s="93" t="str">
        <f t="shared" si="2"/>
        <v>#17774</v>
      </c>
      <c r="B2577" s="93" t="str">
        <f>IF(COUNTIF(MAIN!B:B, A2577)=0, "Missing", "")</f>
        <v/>
      </c>
      <c r="E2577" s="128" t="str">
        <f t="shared" si="1"/>
        <v/>
      </c>
    </row>
    <row r="2578">
      <c r="A2578" s="93" t="str">
        <f t="shared" si="2"/>
        <v>#17775</v>
      </c>
      <c r="B2578" s="93" t="str">
        <f>IF(COUNTIF(MAIN!B:B, A2578)=0, "Missing", "")</f>
        <v/>
      </c>
      <c r="E2578" s="128" t="str">
        <f t="shared" si="1"/>
        <v/>
      </c>
    </row>
    <row r="2579">
      <c r="A2579" s="93" t="str">
        <f t="shared" si="2"/>
        <v>#17776</v>
      </c>
      <c r="B2579" s="93" t="str">
        <f>IF(COUNTIF(MAIN!B:B, A2579)=0, "Missing", "")</f>
        <v/>
      </c>
      <c r="E2579" s="128" t="str">
        <f t="shared" si="1"/>
        <v/>
      </c>
    </row>
    <row r="2580">
      <c r="A2580" s="93" t="str">
        <f t="shared" si="2"/>
        <v>#17777</v>
      </c>
      <c r="B2580" s="93" t="str">
        <f>IF(COUNTIF(MAIN!B:B, A2580)=0, "Missing", "")</f>
        <v/>
      </c>
      <c r="E2580" s="128" t="str">
        <f t="shared" si="1"/>
        <v/>
      </c>
    </row>
    <row r="2581">
      <c r="A2581" s="93" t="str">
        <f t="shared" si="2"/>
        <v>#17778</v>
      </c>
      <c r="B2581" s="93" t="str">
        <f>IF(COUNTIF(MAIN!B:B, A2581)=0, "Missing", "")</f>
        <v/>
      </c>
      <c r="E2581" s="128" t="str">
        <f t="shared" si="1"/>
        <v/>
      </c>
    </row>
    <row r="2582">
      <c r="A2582" s="93" t="str">
        <f t="shared" si="2"/>
        <v>#17779</v>
      </c>
      <c r="B2582" s="93" t="str">
        <f>IF(COUNTIF(MAIN!B:B, A2582)=0, "Missing", "")</f>
        <v/>
      </c>
      <c r="E2582" s="128" t="str">
        <f t="shared" si="1"/>
        <v/>
      </c>
    </row>
    <row r="2583">
      <c r="A2583" s="93" t="str">
        <f t="shared" si="2"/>
        <v>#17780</v>
      </c>
      <c r="B2583" s="93" t="str">
        <f>IF(COUNTIF(MAIN!B:B, A2583)=0, "Missing", "")</f>
        <v/>
      </c>
      <c r="E2583" s="128" t="str">
        <f t="shared" si="1"/>
        <v/>
      </c>
    </row>
    <row r="2584">
      <c r="A2584" s="93" t="str">
        <f t="shared" si="2"/>
        <v>#17781</v>
      </c>
      <c r="B2584" s="93" t="str">
        <f>IF(COUNTIF(MAIN!B:B, A2584)=0, "Missing", "")</f>
        <v/>
      </c>
      <c r="E2584" s="128" t="str">
        <f t="shared" si="1"/>
        <v/>
      </c>
    </row>
    <row r="2585">
      <c r="A2585" s="93" t="str">
        <f t="shared" si="2"/>
        <v>#17782</v>
      </c>
      <c r="B2585" s="93" t="str">
        <f>IF(COUNTIF(MAIN!B:B, A2585)=0, "Missing", "")</f>
        <v/>
      </c>
      <c r="E2585" s="128" t="str">
        <f t="shared" si="1"/>
        <v/>
      </c>
    </row>
    <row r="2586">
      <c r="A2586" s="93" t="str">
        <f t="shared" si="2"/>
        <v>#17783</v>
      </c>
      <c r="B2586" s="93" t="str">
        <f>IF(COUNTIF(MAIN!B:B, A2586)=0, "Missing", "")</f>
        <v/>
      </c>
      <c r="E2586" s="128" t="str">
        <f t="shared" si="1"/>
        <v/>
      </c>
    </row>
    <row r="2587">
      <c r="A2587" s="93" t="str">
        <f t="shared" si="2"/>
        <v>#17784</v>
      </c>
      <c r="B2587" s="93" t="str">
        <f>IF(COUNTIF(MAIN!B:B, A2587)=0, "Missing", "")</f>
        <v/>
      </c>
      <c r="E2587" s="128" t="str">
        <f t="shared" si="1"/>
        <v/>
      </c>
    </row>
    <row r="2588">
      <c r="A2588" s="93" t="str">
        <f t="shared" si="2"/>
        <v>#17785</v>
      </c>
      <c r="B2588" s="93" t="str">
        <f>IF(COUNTIF(MAIN!B:B, A2588)=0, "Missing", "")</f>
        <v/>
      </c>
      <c r="E2588" s="128" t="str">
        <f t="shared" si="1"/>
        <v/>
      </c>
    </row>
    <row r="2589">
      <c r="A2589" s="93" t="str">
        <f t="shared" si="2"/>
        <v>#17786</v>
      </c>
      <c r="B2589" s="93" t="str">
        <f>IF(COUNTIF(MAIN!B:B, A2589)=0, "Missing", "")</f>
        <v/>
      </c>
      <c r="E2589" s="128" t="str">
        <f t="shared" si="1"/>
        <v/>
      </c>
    </row>
    <row r="2590">
      <c r="A2590" s="93" t="str">
        <f t="shared" si="2"/>
        <v>#17787</v>
      </c>
      <c r="B2590" s="93" t="str">
        <f>IF(COUNTIF(MAIN!B:B, A2590)=0, "Missing", "")</f>
        <v/>
      </c>
      <c r="E2590" s="128" t="str">
        <f t="shared" si="1"/>
        <v/>
      </c>
    </row>
    <row r="2591">
      <c r="A2591" s="93" t="str">
        <f t="shared" si="2"/>
        <v>#17788</v>
      </c>
      <c r="B2591" s="93" t="str">
        <f>IF(COUNTIF(MAIN!B:B, A2591)=0, "Missing", "")</f>
        <v/>
      </c>
      <c r="E2591" s="128" t="str">
        <f t="shared" si="1"/>
        <v/>
      </c>
    </row>
    <row r="2592">
      <c r="A2592" s="93" t="str">
        <f t="shared" si="2"/>
        <v>#17789</v>
      </c>
      <c r="B2592" s="93" t="str">
        <f>IF(COUNTIF(MAIN!B:B, A2592)=0, "Missing", "")</f>
        <v/>
      </c>
      <c r="E2592" s="128" t="str">
        <f t="shared" si="1"/>
        <v/>
      </c>
    </row>
    <row r="2593">
      <c r="A2593" s="93" t="str">
        <f t="shared" si="2"/>
        <v>#17790</v>
      </c>
      <c r="B2593" s="93" t="str">
        <f>IF(COUNTIF(MAIN!B:B, A2593)=0, "Missing", "")</f>
        <v/>
      </c>
      <c r="E2593" s="128" t="str">
        <f t="shared" si="1"/>
        <v/>
      </c>
    </row>
    <row r="2594">
      <c r="A2594" s="93" t="str">
        <f t="shared" si="2"/>
        <v>#17791</v>
      </c>
      <c r="B2594" s="93" t="str">
        <f>IF(COUNTIF(MAIN!B:B, A2594)=0, "Missing", "")</f>
        <v/>
      </c>
      <c r="E2594" s="128" t="str">
        <f t="shared" si="1"/>
        <v/>
      </c>
    </row>
    <row r="2595">
      <c r="A2595" s="93" t="str">
        <f t="shared" si="2"/>
        <v>#17792</v>
      </c>
      <c r="B2595" s="93" t="str">
        <f>IF(COUNTIF(MAIN!B:B, A2595)=0, "Missing", "")</f>
        <v/>
      </c>
      <c r="E2595" s="128" t="str">
        <f t="shared" si="1"/>
        <v/>
      </c>
    </row>
    <row r="2596">
      <c r="A2596" s="93" t="str">
        <f t="shared" si="2"/>
        <v>#17793</v>
      </c>
      <c r="B2596" s="93" t="str">
        <f>IF(COUNTIF(MAIN!B:B, A2596)=0, "Missing", "")</f>
        <v/>
      </c>
      <c r="E2596" s="128" t="str">
        <f t="shared" si="1"/>
        <v/>
      </c>
    </row>
    <row r="2597">
      <c r="A2597" s="93" t="str">
        <f t="shared" si="2"/>
        <v>#17794</v>
      </c>
      <c r="B2597" s="93" t="str">
        <f>IF(COUNTIF(MAIN!B:B, A2597)=0, "Missing", "")</f>
        <v>Missing</v>
      </c>
      <c r="C2597" s="84" t="s">
        <v>15238</v>
      </c>
      <c r="E2597" s="131" t="str">
        <f t="shared" si="1"/>
        <v>https://utrucking.myshopify.com/admin/orders?query=17794</v>
      </c>
    </row>
    <row r="2598">
      <c r="A2598" s="93" t="str">
        <f t="shared" si="2"/>
        <v>#17795</v>
      </c>
      <c r="B2598" s="93" t="str">
        <f>IF(COUNTIF(MAIN!B:B, A2598)=0, "Missing", "")</f>
        <v/>
      </c>
      <c r="E2598" s="128" t="str">
        <f t="shared" si="1"/>
        <v/>
      </c>
    </row>
    <row r="2599">
      <c r="A2599" s="93" t="str">
        <f t="shared" si="2"/>
        <v>#17796</v>
      </c>
      <c r="B2599" s="93" t="str">
        <f>IF(COUNTIF(MAIN!B:B, A2599)=0, "Missing", "")</f>
        <v/>
      </c>
      <c r="E2599" s="128" t="str">
        <f t="shared" si="1"/>
        <v/>
      </c>
    </row>
    <row r="2600">
      <c r="A2600" s="93" t="str">
        <f t="shared" si="2"/>
        <v>#17797</v>
      </c>
      <c r="B2600" s="93" t="str">
        <f>IF(COUNTIF(MAIN!B:B, A2600)=0, "Missing", "")</f>
        <v/>
      </c>
      <c r="E2600" s="128" t="str">
        <f t="shared" si="1"/>
        <v/>
      </c>
    </row>
    <row r="2601">
      <c r="A2601" s="93" t="str">
        <f t="shared" si="2"/>
        <v>#17798</v>
      </c>
      <c r="B2601" s="93" t="str">
        <f>IF(COUNTIF(MAIN!B:B, A2601)=0, "Missing", "")</f>
        <v/>
      </c>
      <c r="E2601" s="128" t="str">
        <f t="shared" si="1"/>
        <v/>
      </c>
    </row>
    <row r="2602">
      <c r="A2602" s="93" t="str">
        <f t="shared" si="2"/>
        <v>#17799</v>
      </c>
      <c r="B2602" s="93" t="str">
        <f>IF(COUNTIF(MAIN!B:B, A2602)=0, "Missing", "")</f>
        <v/>
      </c>
      <c r="E2602" s="128" t="str">
        <f t="shared" si="1"/>
        <v/>
      </c>
    </row>
    <row r="2603">
      <c r="A2603" s="93" t="str">
        <f t="shared" si="2"/>
        <v>#17800</v>
      </c>
      <c r="B2603" s="93" t="str">
        <f>IF(COUNTIF(MAIN!B:B, A2603)=0, "Missing", "")</f>
        <v/>
      </c>
      <c r="E2603" s="128" t="str">
        <f t="shared" si="1"/>
        <v/>
      </c>
    </row>
    <row r="2604">
      <c r="A2604" s="93" t="str">
        <f t="shared" si="2"/>
        <v>#17801</v>
      </c>
      <c r="B2604" s="93" t="str">
        <f>IF(COUNTIF(MAIN!B:B, A2604)=0, "Missing", "")</f>
        <v/>
      </c>
      <c r="E2604" s="128" t="str">
        <f t="shared" si="1"/>
        <v/>
      </c>
    </row>
    <row r="2605">
      <c r="A2605" s="93" t="str">
        <f t="shared" si="2"/>
        <v>#17802</v>
      </c>
      <c r="B2605" s="93" t="str">
        <f>IF(COUNTIF(MAIN!B:B, A2605)=0, "Missing", "")</f>
        <v/>
      </c>
      <c r="E2605" s="128" t="str">
        <f t="shared" si="1"/>
        <v/>
      </c>
    </row>
    <row r="2606">
      <c r="A2606" s="93" t="str">
        <f t="shared" si="2"/>
        <v>#17803</v>
      </c>
      <c r="B2606" s="93" t="str">
        <f>IF(COUNTIF(MAIN!B:B, A2606)=0, "Missing", "")</f>
        <v/>
      </c>
      <c r="E2606" s="128" t="str">
        <f t="shared" si="1"/>
        <v/>
      </c>
    </row>
    <row r="2607">
      <c r="A2607" s="93" t="str">
        <f t="shared" si="2"/>
        <v>#17804</v>
      </c>
      <c r="B2607" s="93" t="str">
        <f>IF(COUNTIF(MAIN!B:B, A2607)=0, "Missing", "")</f>
        <v/>
      </c>
      <c r="E2607" s="128" t="str">
        <f t="shared" si="1"/>
        <v/>
      </c>
    </row>
    <row r="2608">
      <c r="A2608" s="93" t="str">
        <f t="shared" si="2"/>
        <v>#17805</v>
      </c>
      <c r="B2608" s="93" t="str">
        <f>IF(COUNTIF(MAIN!B:B, A2608)=0, "Missing", "")</f>
        <v/>
      </c>
      <c r="E2608" s="128" t="str">
        <f t="shared" si="1"/>
        <v/>
      </c>
    </row>
    <row r="2609">
      <c r="A2609" s="93" t="str">
        <f t="shared" si="2"/>
        <v>#17806</v>
      </c>
      <c r="B2609" s="93" t="str">
        <f>IF(COUNTIF(MAIN!B:B, A2609)=0, "Missing", "")</f>
        <v/>
      </c>
      <c r="E2609" s="128" t="str">
        <f t="shared" si="1"/>
        <v/>
      </c>
    </row>
    <row r="2610">
      <c r="A2610" s="93" t="str">
        <f t="shared" si="2"/>
        <v>#17807</v>
      </c>
      <c r="B2610" s="93" t="str">
        <f>IF(COUNTIF(MAIN!B:B, A2610)=0, "Missing", "")</f>
        <v/>
      </c>
      <c r="E2610" s="128" t="str">
        <f t="shared" si="1"/>
        <v/>
      </c>
    </row>
    <row r="2611">
      <c r="A2611" s="93" t="str">
        <f t="shared" si="2"/>
        <v>#17808</v>
      </c>
      <c r="B2611" s="93" t="str">
        <f>IF(COUNTIF(MAIN!B:B, A2611)=0, "Missing", "")</f>
        <v/>
      </c>
      <c r="E2611" s="128" t="str">
        <f t="shared" si="1"/>
        <v/>
      </c>
    </row>
    <row r="2612">
      <c r="A2612" s="93" t="str">
        <f t="shared" si="2"/>
        <v>#17809</v>
      </c>
      <c r="B2612" s="93" t="str">
        <f>IF(COUNTIF(MAIN!B:B, A2612)=0, "Missing", "")</f>
        <v/>
      </c>
      <c r="E2612" s="128" t="str">
        <f t="shared" si="1"/>
        <v/>
      </c>
    </row>
    <row r="2613">
      <c r="A2613" s="93" t="str">
        <f t="shared" si="2"/>
        <v>#17810</v>
      </c>
      <c r="B2613" s="93" t="str">
        <f>IF(COUNTIF(MAIN!B:B, A2613)=0, "Missing", "")</f>
        <v/>
      </c>
      <c r="E2613" s="128" t="str">
        <f t="shared" si="1"/>
        <v/>
      </c>
    </row>
    <row r="2614">
      <c r="A2614" s="93" t="str">
        <f t="shared" si="2"/>
        <v>#17811</v>
      </c>
      <c r="B2614" s="93" t="str">
        <f>IF(COUNTIF(MAIN!B:B, A2614)=0, "Missing", "")</f>
        <v/>
      </c>
      <c r="E2614" s="128" t="str">
        <f t="shared" si="1"/>
        <v/>
      </c>
    </row>
    <row r="2615">
      <c r="A2615" s="93" t="str">
        <f t="shared" si="2"/>
        <v>#17812</v>
      </c>
      <c r="B2615" s="93" t="str">
        <f>IF(COUNTIF(MAIN!B:B, A2615)=0, "Missing", "")</f>
        <v/>
      </c>
      <c r="E2615" s="128" t="str">
        <f t="shared" si="1"/>
        <v/>
      </c>
    </row>
    <row r="2616">
      <c r="A2616" s="93" t="str">
        <f t="shared" si="2"/>
        <v>#17813</v>
      </c>
      <c r="B2616" s="93" t="str">
        <f>IF(COUNTIF(MAIN!B:B, A2616)=0, "Missing", "")</f>
        <v/>
      </c>
      <c r="E2616" s="128" t="str">
        <f t="shared" si="1"/>
        <v/>
      </c>
    </row>
    <row r="2617">
      <c r="A2617" s="93" t="str">
        <f t="shared" si="2"/>
        <v>#17814</v>
      </c>
      <c r="B2617" s="93" t="str">
        <f>IF(COUNTIF(MAIN!B:B, A2617)=0, "Missing", "")</f>
        <v/>
      </c>
      <c r="E2617" s="128" t="str">
        <f t="shared" si="1"/>
        <v/>
      </c>
    </row>
    <row r="2618">
      <c r="A2618" s="93" t="str">
        <f t="shared" si="2"/>
        <v>#17815</v>
      </c>
      <c r="B2618" s="93" t="str">
        <f>IF(COUNTIF(MAIN!B:B, A2618)=0, "Missing", "")</f>
        <v/>
      </c>
      <c r="E2618" s="128" t="str">
        <f t="shared" si="1"/>
        <v/>
      </c>
    </row>
    <row r="2619">
      <c r="A2619" s="93" t="str">
        <f t="shared" si="2"/>
        <v>#17816</v>
      </c>
      <c r="B2619" s="93" t="str">
        <f>IF(COUNTIF(MAIN!B:B, A2619)=0, "Missing", "")</f>
        <v/>
      </c>
      <c r="E2619" s="128" t="str">
        <f t="shared" si="1"/>
        <v/>
      </c>
    </row>
    <row r="2620">
      <c r="A2620" s="93" t="str">
        <f t="shared" si="2"/>
        <v>#17817</v>
      </c>
      <c r="B2620" s="93" t="str">
        <f>IF(COUNTIF(MAIN!B:B, A2620)=0, "Missing", "")</f>
        <v/>
      </c>
      <c r="E2620" s="128" t="str">
        <f t="shared" si="1"/>
        <v/>
      </c>
    </row>
    <row r="2621">
      <c r="A2621" s="93" t="str">
        <f t="shared" si="2"/>
        <v>#17818</v>
      </c>
      <c r="B2621" s="93" t="str">
        <f>IF(COUNTIF(MAIN!B:B, A2621)=0, "Missing", "")</f>
        <v/>
      </c>
      <c r="E2621" s="128" t="str">
        <f t="shared" si="1"/>
        <v/>
      </c>
    </row>
    <row r="2622">
      <c r="A2622" s="93" t="str">
        <f t="shared" si="2"/>
        <v>#17819</v>
      </c>
      <c r="B2622" s="93" t="str">
        <f>IF(COUNTIF(MAIN!B:B, A2622)=0, "Missing", "")</f>
        <v/>
      </c>
      <c r="E2622" s="128" t="str">
        <f t="shared" si="1"/>
        <v/>
      </c>
    </row>
    <row r="2623">
      <c r="A2623" s="93" t="str">
        <f t="shared" si="2"/>
        <v>#17820</v>
      </c>
      <c r="B2623" s="93" t="str">
        <f>IF(COUNTIF(MAIN!B:B, A2623)=0, "Missing", "")</f>
        <v/>
      </c>
      <c r="E2623" s="128" t="str">
        <f t="shared" si="1"/>
        <v/>
      </c>
    </row>
    <row r="2624">
      <c r="A2624" s="93" t="str">
        <f t="shared" si="2"/>
        <v>#17821</v>
      </c>
      <c r="B2624" s="93" t="str">
        <f>IF(COUNTIF(MAIN!B:B, A2624)=0, "Missing", "")</f>
        <v/>
      </c>
      <c r="E2624" s="128" t="str">
        <f t="shared" si="1"/>
        <v/>
      </c>
    </row>
    <row r="2625">
      <c r="A2625" s="93" t="str">
        <f t="shared" si="2"/>
        <v>#17822</v>
      </c>
      <c r="B2625" s="93" t="str">
        <f>IF(COUNTIF(MAIN!B:B, A2625)=0, "Missing", "")</f>
        <v/>
      </c>
      <c r="E2625" s="128" t="str">
        <f t="shared" si="1"/>
        <v/>
      </c>
    </row>
    <row r="2626">
      <c r="A2626" s="93" t="str">
        <f t="shared" si="2"/>
        <v>#17823</v>
      </c>
      <c r="B2626" s="93" t="str">
        <f>IF(COUNTIF(MAIN!B:B, A2626)=0, "Missing", "")</f>
        <v/>
      </c>
      <c r="E2626" s="128" t="str">
        <f t="shared" si="1"/>
        <v/>
      </c>
    </row>
    <row r="2627">
      <c r="A2627" s="93" t="str">
        <f t="shared" si="2"/>
        <v>#17824</v>
      </c>
      <c r="B2627" s="93" t="str">
        <f>IF(COUNTIF(MAIN!B:B, A2627)=0, "Missing", "")</f>
        <v/>
      </c>
      <c r="E2627" s="128" t="str">
        <f t="shared" si="1"/>
        <v/>
      </c>
    </row>
    <row r="2628">
      <c r="A2628" s="93" t="str">
        <f t="shared" si="2"/>
        <v>#17825</v>
      </c>
      <c r="B2628" s="93" t="str">
        <f>IF(COUNTIF(MAIN!B:B, A2628)=0, "Missing", "")</f>
        <v/>
      </c>
      <c r="E2628" s="128" t="str">
        <f t="shared" si="1"/>
        <v/>
      </c>
    </row>
    <row r="2629">
      <c r="A2629" s="93" t="str">
        <f t="shared" si="2"/>
        <v>#17826</v>
      </c>
      <c r="B2629" s="93" t="str">
        <f>IF(COUNTIF(MAIN!B:B, A2629)=0, "Missing", "")</f>
        <v/>
      </c>
      <c r="E2629" s="128" t="str">
        <f t="shared" si="1"/>
        <v/>
      </c>
    </row>
    <row r="2630">
      <c r="A2630" s="93" t="str">
        <f t="shared" si="2"/>
        <v>#17827</v>
      </c>
      <c r="B2630" s="93" t="str">
        <f>IF(COUNTIF(MAIN!B:B, A2630)=0, "Missing", "")</f>
        <v/>
      </c>
      <c r="E2630" s="128" t="str">
        <f t="shared" si="1"/>
        <v/>
      </c>
    </row>
    <row r="2631">
      <c r="A2631" s="93" t="str">
        <f t="shared" si="2"/>
        <v>#17828</v>
      </c>
      <c r="B2631" s="93" t="str">
        <f>IF(COUNTIF(MAIN!B:B, A2631)=0, "Missing", "")</f>
        <v/>
      </c>
      <c r="E2631" s="128" t="str">
        <f t="shared" si="1"/>
        <v/>
      </c>
    </row>
    <row r="2632">
      <c r="A2632" s="93" t="str">
        <f t="shared" si="2"/>
        <v>#17829</v>
      </c>
      <c r="B2632" s="93" t="str">
        <f>IF(COUNTIF(MAIN!B:B, A2632)=0, "Missing", "")</f>
        <v/>
      </c>
      <c r="E2632" s="128" t="str">
        <f t="shared" si="1"/>
        <v/>
      </c>
    </row>
    <row r="2633">
      <c r="A2633" s="93" t="str">
        <f t="shared" si="2"/>
        <v>#17830</v>
      </c>
      <c r="B2633" s="93" t="str">
        <f>IF(COUNTIF(MAIN!B:B, A2633)=0, "Missing", "")</f>
        <v/>
      </c>
      <c r="E2633" s="128" t="str">
        <f t="shared" si="1"/>
        <v/>
      </c>
    </row>
    <row r="2634">
      <c r="A2634" s="93" t="str">
        <f t="shared" si="2"/>
        <v>#17831</v>
      </c>
      <c r="B2634" s="93" t="str">
        <f>IF(COUNTIF(MAIN!B:B, A2634)=0, "Missing", "")</f>
        <v/>
      </c>
      <c r="E2634" s="128" t="str">
        <f t="shared" si="1"/>
        <v/>
      </c>
    </row>
    <row r="2635">
      <c r="A2635" s="93" t="str">
        <f t="shared" si="2"/>
        <v>#17832</v>
      </c>
      <c r="B2635" s="93" t="str">
        <f>IF(COUNTIF(MAIN!B:B, A2635)=0, "Missing", "")</f>
        <v/>
      </c>
      <c r="E2635" s="128" t="str">
        <f t="shared" si="1"/>
        <v/>
      </c>
    </row>
    <row r="2636">
      <c r="A2636" s="93" t="str">
        <f t="shared" si="2"/>
        <v>#17833</v>
      </c>
      <c r="B2636" s="93" t="str">
        <f>IF(COUNTIF(MAIN!B:B, A2636)=0, "Missing", "")</f>
        <v/>
      </c>
      <c r="E2636" s="128" t="str">
        <f t="shared" si="1"/>
        <v/>
      </c>
    </row>
    <row r="2637">
      <c r="A2637" s="93" t="str">
        <f t="shared" si="2"/>
        <v>#17834</v>
      </c>
      <c r="B2637" s="93" t="str">
        <f>IF(COUNTIF(MAIN!B:B, A2637)=0, "Missing", "")</f>
        <v/>
      </c>
      <c r="E2637" s="128" t="str">
        <f t="shared" si="1"/>
        <v/>
      </c>
    </row>
    <row r="2638">
      <c r="A2638" s="93" t="str">
        <f t="shared" si="2"/>
        <v>#17835</v>
      </c>
      <c r="B2638" s="93" t="str">
        <f>IF(COUNTIF(MAIN!B:B, A2638)=0, "Missing", "")</f>
        <v/>
      </c>
      <c r="E2638" s="128" t="str">
        <f t="shared" si="1"/>
        <v/>
      </c>
    </row>
    <row r="2639">
      <c r="A2639" s="93" t="str">
        <f t="shared" si="2"/>
        <v>#17836</v>
      </c>
      <c r="B2639" s="93" t="str">
        <f>IF(COUNTIF(MAIN!B:B, A2639)=0, "Missing", "")</f>
        <v/>
      </c>
      <c r="E2639" s="128" t="str">
        <f t="shared" si="1"/>
        <v/>
      </c>
    </row>
    <row r="2640">
      <c r="A2640" s="93" t="str">
        <f t="shared" si="2"/>
        <v>#17837</v>
      </c>
      <c r="B2640" s="93" t="str">
        <f>IF(COUNTIF(MAIN!B:B, A2640)=0, "Missing", "")</f>
        <v/>
      </c>
      <c r="E2640" s="128" t="str">
        <f t="shared" si="1"/>
        <v/>
      </c>
    </row>
    <row r="2641">
      <c r="A2641" s="93" t="str">
        <f t="shared" si="2"/>
        <v>#17838</v>
      </c>
      <c r="B2641" s="93" t="str">
        <f>IF(COUNTIF(MAIN!B:B, A2641)=0, "Missing", "")</f>
        <v/>
      </c>
      <c r="E2641" s="128" t="str">
        <f t="shared" si="1"/>
        <v/>
      </c>
    </row>
    <row r="2642">
      <c r="A2642" s="93" t="str">
        <f t="shared" si="2"/>
        <v>#17839</v>
      </c>
      <c r="B2642" s="93" t="str">
        <f>IF(COUNTIF(MAIN!B:B, A2642)=0, "Missing", "")</f>
        <v/>
      </c>
      <c r="E2642" s="128" t="str">
        <f t="shared" si="1"/>
        <v/>
      </c>
    </row>
    <row r="2643">
      <c r="A2643" s="93" t="str">
        <f t="shared" si="2"/>
        <v>#17840</v>
      </c>
      <c r="B2643" s="93" t="str">
        <f>IF(COUNTIF(MAIN!B:B, A2643)=0, "Missing", "")</f>
        <v/>
      </c>
      <c r="E2643" s="128" t="str">
        <f t="shared" si="1"/>
        <v/>
      </c>
    </row>
    <row r="2644">
      <c r="A2644" s="93" t="str">
        <f t="shared" si="2"/>
        <v>#17841</v>
      </c>
      <c r="B2644" s="93" t="str">
        <f>IF(COUNTIF(MAIN!B:B, A2644)=0, "Missing", "")</f>
        <v/>
      </c>
      <c r="E2644" s="128" t="str">
        <f t="shared" si="1"/>
        <v/>
      </c>
    </row>
    <row r="2645">
      <c r="A2645" s="93" t="str">
        <f t="shared" si="2"/>
        <v>#17842</v>
      </c>
      <c r="B2645" s="93" t="str">
        <f>IF(COUNTIF(MAIN!B:B, A2645)=0, "Missing", "")</f>
        <v/>
      </c>
      <c r="E2645" s="128" t="str">
        <f t="shared" si="1"/>
        <v/>
      </c>
    </row>
    <row r="2646">
      <c r="A2646" s="93" t="str">
        <f t="shared" si="2"/>
        <v>#17843</v>
      </c>
      <c r="B2646" s="93" t="str">
        <f>IF(COUNTIF(MAIN!B:B, A2646)=0, "Missing", "")</f>
        <v/>
      </c>
      <c r="E2646" s="128" t="str">
        <f t="shared" si="1"/>
        <v/>
      </c>
    </row>
    <row r="2647">
      <c r="A2647" s="93" t="str">
        <f t="shared" si="2"/>
        <v>#17844</v>
      </c>
      <c r="B2647" s="93" t="str">
        <f>IF(COUNTIF(MAIN!B:B, A2647)=0, "Missing", "")</f>
        <v/>
      </c>
      <c r="E2647" s="128" t="str">
        <f t="shared" si="1"/>
        <v/>
      </c>
    </row>
    <row r="2648">
      <c r="A2648" s="93" t="str">
        <f t="shared" si="2"/>
        <v>#17845</v>
      </c>
      <c r="B2648" s="93" t="str">
        <f>IF(COUNTIF(MAIN!B:B, A2648)=0, "Missing", "")</f>
        <v/>
      </c>
      <c r="E2648" s="128" t="str">
        <f t="shared" si="1"/>
        <v/>
      </c>
    </row>
    <row r="2649">
      <c r="A2649" s="93" t="str">
        <f t="shared" si="2"/>
        <v>#17846</v>
      </c>
      <c r="B2649" s="93" t="str">
        <f>IF(COUNTIF(MAIN!B:B, A2649)=0, "Missing", "")</f>
        <v/>
      </c>
      <c r="E2649" s="128" t="str">
        <f t="shared" si="1"/>
        <v/>
      </c>
    </row>
    <row r="2650">
      <c r="A2650" s="93" t="str">
        <f t="shared" si="2"/>
        <v>#17847</v>
      </c>
      <c r="B2650" s="93" t="str">
        <f>IF(COUNTIF(MAIN!B:B, A2650)=0, "Missing", "")</f>
        <v/>
      </c>
      <c r="E2650" s="128" t="str">
        <f t="shared" si="1"/>
        <v/>
      </c>
    </row>
    <row r="2651">
      <c r="A2651" s="93" t="str">
        <f t="shared" si="2"/>
        <v>#17848</v>
      </c>
      <c r="B2651" s="93" t="str">
        <f>IF(COUNTIF(MAIN!B:B, A2651)=0, "Missing", "")</f>
        <v/>
      </c>
      <c r="E2651" s="128" t="str">
        <f t="shared" si="1"/>
        <v/>
      </c>
    </row>
    <row r="2652">
      <c r="A2652" s="93" t="str">
        <f t="shared" si="2"/>
        <v>#17849</v>
      </c>
      <c r="B2652" s="93" t="str">
        <f>IF(COUNTIF(MAIN!B:B, A2652)=0, "Missing", "")</f>
        <v/>
      </c>
      <c r="E2652" s="128" t="str">
        <f t="shared" si="1"/>
        <v/>
      </c>
    </row>
    <row r="2653">
      <c r="A2653" s="93" t="str">
        <f t="shared" si="2"/>
        <v>#17850</v>
      </c>
      <c r="B2653" s="93" t="str">
        <f>IF(COUNTIF(MAIN!B:B, A2653)=0, "Missing", "")</f>
        <v/>
      </c>
      <c r="E2653" s="128" t="str">
        <f t="shared" si="1"/>
        <v/>
      </c>
    </row>
    <row r="2654">
      <c r="A2654" s="93" t="str">
        <f t="shared" si="2"/>
        <v>#17851</v>
      </c>
      <c r="B2654" s="93" t="str">
        <f>IF(COUNTIF(MAIN!B:B, A2654)=0, "Missing", "")</f>
        <v/>
      </c>
      <c r="E2654" s="128" t="str">
        <f t="shared" si="1"/>
        <v/>
      </c>
    </row>
    <row r="2655">
      <c r="A2655" s="93" t="str">
        <f t="shared" si="2"/>
        <v>#17852</v>
      </c>
      <c r="B2655" s="93" t="str">
        <f>IF(COUNTIF(MAIN!B:B, A2655)=0, "Missing", "")</f>
        <v/>
      </c>
      <c r="E2655" s="128" t="str">
        <f t="shared" si="1"/>
        <v/>
      </c>
    </row>
    <row r="2656">
      <c r="A2656" s="93" t="str">
        <f t="shared" si="2"/>
        <v>#17853</v>
      </c>
      <c r="B2656" s="93" t="str">
        <f>IF(COUNTIF(MAIN!B:B, A2656)=0, "Missing", "")</f>
        <v/>
      </c>
      <c r="E2656" s="128" t="str">
        <f t="shared" si="1"/>
        <v/>
      </c>
    </row>
    <row r="2657">
      <c r="A2657" s="93" t="str">
        <f t="shared" si="2"/>
        <v>#17854</v>
      </c>
      <c r="B2657" s="93" t="str">
        <f>IF(COUNTIF(MAIN!B:B, A2657)=0, "Missing", "")</f>
        <v/>
      </c>
      <c r="E2657" s="128" t="str">
        <f t="shared" si="1"/>
        <v/>
      </c>
    </row>
    <row r="2658">
      <c r="A2658" s="93" t="str">
        <f t="shared" si="2"/>
        <v>#17855</v>
      </c>
      <c r="B2658" s="93" t="str">
        <f>IF(COUNTIF(MAIN!B:B, A2658)=0, "Missing", "")</f>
        <v/>
      </c>
      <c r="E2658" s="128" t="str">
        <f t="shared" si="1"/>
        <v/>
      </c>
    </row>
    <row r="2659">
      <c r="A2659" s="93" t="str">
        <f t="shared" si="2"/>
        <v>#17856</v>
      </c>
      <c r="B2659" s="93" t="str">
        <f>IF(COUNTIF(MAIN!B:B, A2659)=0, "Missing", "")</f>
        <v/>
      </c>
      <c r="E2659" s="128" t="str">
        <f t="shared" si="1"/>
        <v/>
      </c>
    </row>
    <row r="2660">
      <c r="A2660" s="93" t="str">
        <f t="shared" si="2"/>
        <v>#17857</v>
      </c>
      <c r="B2660" s="93" t="str">
        <f>IF(COUNTIF(MAIN!B:B, A2660)=0, "Missing", "")</f>
        <v/>
      </c>
      <c r="E2660" s="128" t="str">
        <f t="shared" si="1"/>
        <v/>
      </c>
    </row>
    <row r="2661">
      <c r="A2661" s="93" t="str">
        <f t="shared" si="2"/>
        <v>#17858</v>
      </c>
      <c r="B2661" s="93" t="str">
        <f>IF(COUNTIF(MAIN!B:B, A2661)=0, "Missing", "")</f>
        <v/>
      </c>
      <c r="E2661" s="128" t="str">
        <f t="shared" si="1"/>
        <v/>
      </c>
    </row>
    <row r="2662">
      <c r="A2662" s="93" t="str">
        <f t="shared" si="2"/>
        <v>#17859</v>
      </c>
      <c r="B2662" s="93" t="str">
        <f>IF(COUNTIF(MAIN!B:B, A2662)=0, "Missing", "")</f>
        <v/>
      </c>
      <c r="E2662" s="128" t="str">
        <f t="shared" si="1"/>
        <v/>
      </c>
    </row>
    <row r="2663">
      <c r="A2663" s="93" t="str">
        <f t="shared" si="2"/>
        <v>#17860</v>
      </c>
      <c r="B2663" s="93" t="str">
        <f>IF(COUNTIF(MAIN!B:B, A2663)=0, "Missing", "")</f>
        <v/>
      </c>
      <c r="E2663" s="128" t="str">
        <f t="shared" si="1"/>
        <v/>
      </c>
    </row>
    <row r="2664">
      <c r="A2664" s="93" t="str">
        <f t="shared" si="2"/>
        <v>#17861</v>
      </c>
      <c r="B2664" s="93" t="str">
        <f>IF(COUNTIF(MAIN!B:B, A2664)=0, "Missing", "")</f>
        <v/>
      </c>
      <c r="E2664" s="128" t="str">
        <f t="shared" si="1"/>
        <v/>
      </c>
    </row>
    <row r="2665">
      <c r="A2665" s="93" t="str">
        <f t="shared" si="2"/>
        <v>#17862</v>
      </c>
      <c r="B2665" s="93" t="str">
        <f>IF(COUNTIF(MAIN!B:B, A2665)=0, "Missing", "")</f>
        <v/>
      </c>
      <c r="E2665" s="128" t="str">
        <f t="shared" si="1"/>
        <v/>
      </c>
    </row>
    <row r="2666">
      <c r="A2666" s="93" t="str">
        <f t="shared" si="2"/>
        <v>#17863</v>
      </c>
      <c r="B2666" s="93" t="str">
        <f>IF(COUNTIF(MAIN!B:B, A2666)=0, "Missing", "")</f>
        <v/>
      </c>
      <c r="E2666" s="128" t="str">
        <f t="shared" si="1"/>
        <v/>
      </c>
    </row>
    <row r="2667">
      <c r="A2667" s="93" t="str">
        <f t="shared" si="2"/>
        <v>#17864</v>
      </c>
      <c r="B2667" s="93" t="str">
        <f>IF(COUNTIF(MAIN!B:B, A2667)=0, "Missing", "")</f>
        <v/>
      </c>
      <c r="E2667" s="128" t="str">
        <f t="shared" si="1"/>
        <v/>
      </c>
    </row>
    <row r="2668">
      <c r="A2668" s="93" t="str">
        <f t="shared" si="2"/>
        <v>#17865</v>
      </c>
      <c r="B2668" s="93" t="str">
        <f>IF(COUNTIF(MAIN!B:B, A2668)=0, "Missing", "")</f>
        <v/>
      </c>
      <c r="E2668" s="128" t="str">
        <f t="shared" si="1"/>
        <v/>
      </c>
    </row>
    <row r="2669">
      <c r="A2669" s="93" t="str">
        <f t="shared" si="2"/>
        <v>#17866</v>
      </c>
      <c r="B2669" s="93" t="str">
        <f>IF(COUNTIF(MAIN!B:B, A2669)=0, "Missing", "")</f>
        <v/>
      </c>
      <c r="E2669" s="128" t="str">
        <f t="shared" si="1"/>
        <v/>
      </c>
    </row>
    <row r="2670">
      <c r="A2670" s="93" t="str">
        <f t="shared" si="2"/>
        <v>#17867</v>
      </c>
      <c r="B2670" s="93" t="str">
        <f>IF(COUNTIF(MAIN!B:B, A2670)=0, "Missing", "")</f>
        <v/>
      </c>
      <c r="E2670" s="128" t="str">
        <f t="shared" si="1"/>
        <v/>
      </c>
    </row>
    <row r="2671">
      <c r="A2671" s="93" t="str">
        <f t="shared" si="2"/>
        <v>#17868</v>
      </c>
      <c r="B2671" s="93" t="str">
        <f>IF(COUNTIF(MAIN!B:B, A2671)=0, "Missing", "")</f>
        <v/>
      </c>
      <c r="E2671" s="128" t="str">
        <f t="shared" si="1"/>
        <v/>
      </c>
    </row>
    <row r="2672">
      <c r="A2672" s="93" t="str">
        <f t="shared" si="2"/>
        <v>#17869</v>
      </c>
      <c r="B2672" s="93" t="str">
        <f>IF(COUNTIF(MAIN!B:B, A2672)=0, "Missing", "")</f>
        <v/>
      </c>
      <c r="E2672" s="128" t="str">
        <f t="shared" si="1"/>
        <v/>
      </c>
    </row>
    <row r="2673">
      <c r="A2673" s="93" t="str">
        <f t="shared" si="2"/>
        <v>#17870</v>
      </c>
      <c r="B2673" s="93" t="str">
        <f>IF(COUNTIF(MAIN!B:B, A2673)=0, "Missing", "")</f>
        <v/>
      </c>
      <c r="E2673" s="128" t="str">
        <f t="shared" si="1"/>
        <v/>
      </c>
    </row>
    <row r="2674">
      <c r="A2674" s="93" t="str">
        <f t="shared" si="2"/>
        <v>#17871</v>
      </c>
      <c r="B2674" s="93" t="str">
        <f>IF(COUNTIF(MAIN!B:B, A2674)=0, "Missing", "")</f>
        <v/>
      </c>
      <c r="E2674" s="128" t="str">
        <f t="shared" si="1"/>
        <v/>
      </c>
    </row>
    <row r="2675">
      <c r="A2675" s="93" t="str">
        <f t="shared" si="2"/>
        <v>#17872</v>
      </c>
      <c r="B2675" s="93" t="str">
        <f>IF(COUNTIF(MAIN!B:B, A2675)=0, "Missing", "")</f>
        <v/>
      </c>
      <c r="E2675" s="128" t="str">
        <f t="shared" si="1"/>
        <v/>
      </c>
    </row>
    <row r="2676">
      <c r="A2676" s="93" t="str">
        <f t="shared" si="2"/>
        <v>#17873</v>
      </c>
      <c r="B2676" s="93" t="str">
        <f>IF(COUNTIF(MAIN!B:B, A2676)=0, "Missing", "")</f>
        <v/>
      </c>
      <c r="E2676" s="128" t="str">
        <f t="shared" si="1"/>
        <v/>
      </c>
    </row>
    <row r="2677">
      <c r="A2677" s="93" t="str">
        <f t="shared" si="2"/>
        <v>#17874</v>
      </c>
      <c r="B2677" s="93" t="str">
        <f>IF(COUNTIF(MAIN!B:B, A2677)=0, "Missing", "")</f>
        <v/>
      </c>
      <c r="E2677" s="128" t="str">
        <f t="shared" si="1"/>
        <v/>
      </c>
    </row>
    <row r="2678">
      <c r="A2678" s="93" t="str">
        <f t="shared" si="2"/>
        <v>#17875</v>
      </c>
      <c r="B2678" s="93" t="str">
        <f>IF(COUNTIF(MAIN!B:B, A2678)=0, "Missing", "")</f>
        <v/>
      </c>
      <c r="E2678" s="128" t="str">
        <f t="shared" si="1"/>
        <v/>
      </c>
    </row>
    <row r="2679">
      <c r="A2679" s="93" t="str">
        <f t="shared" si="2"/>
        <v>#17876</v>
      </c>
      <c r="B2679" s="93" t="str">
        <f>IF(COUNTIF(MAIN!B:B, A2679)=0, "Missing", "")</f>
        <v/>
      </c>
      <c r="E2679" s="128" t="str">
        <f t="shared" si="1"/>
        <v/>
      </c>
    </row>
    <row r="2680">
      <c r="A2680" s="93" t="str">
        <f t="shared" si="2"/>
        <v>#17877</v>
      </c>
      <c r="B2680" s="93" t="str">
        <f>IF(COUNTIF(MAIN!B:B, A2680)=0, "Missing", "")</f>
        <v/>
      </c>
      <c r="E2680" s="128" t="str">
        <f t="shared" si="1"/>
        <v/>
      </c>
    </row>
    <row r="2681">
      <c r="A2681" s="93" t="str">
        <f t="shared" si="2"/>
        <v>#17878</v>
      </c>
      <c r="B2681" s="93" t="str">
        <f>IF(COUNTIF(MAIN!B:B, A2681)=0, "Missing", "")</f>
        <v/>
      </c>
      <c r="E2681" s="128" t="str">
        <f t="shared" si="1"/>
        <v/>
      </c>
    </row>
    <row r="2682">
      <c r="A2682" s="93" t="str">
        <f t="shared" si="2"/>
        <v>#17879</v>
      </c>
      <c r="B2682" s="93" t="str">
        <f>IF(COUNTIF(MAIN!B:B, A2682)=0, "Missing", "")</f>
        <v/>
      </c>
      <c r="E2682" s="128" t="str">
        <f t="shared" si="1"/>
        <v/>
      </c>
    </row>
    <row r="2683">
      <c r="A2683" s="93" t="str">
        <f t="shared" si="2"/>
        <v>#17880</v>
      </c>
      <c r="B2683" s="93" t="str">
        <f>IF(COUNTIF(MAIN!B:B, A2683)=0, "Missing", "")</f>
        <v/>
      </c>
      <c r="E2683" s="128" t="str">
        <f t="shared" si="1"/>
        <v/>
      </c>
    </row>
    <row r="2684">
      <c r="A2684" s="93" t="str">
        <f t="shared" si="2"/>
        <v>#17881</v>
      </c>
      <c r="B2684" s="93" t="str">
        <f>IF(COUNTIF(MAIN!B:B, A2684)=0, "Missing", "")</f>
        <v/>
      </c>
      <c r="E2684" s="128" t="str">
        <f t="shared" si="1"/>
        <v/>
      </c>
    </row>
    <row r="2685">
      <c r="A2685" s="93" t="str">
        <f t="shared" si="2"/>
        <v>#17882</v>
      </c>
      <c r="B2685" s="93" t="str">
        <f>IF(COUNTIF(MAIN!B:B, A2685)=0, "Missing", "")</f>
        <v/>
      </c>
      <c r="E2685" s="128" t="str">
        <f t="shared" si="1"/>
        <v/>
      </c>
    </row>
    <row r="2686">
      <c r="A2686" s="93" t="str">
        <f t="shared" si="2"/>
        <v>#17883</v>
      </c>
      <c r="B2686" s="93" t="str">
        <f>IF(COUNTIF(MAIN!B:B, A2686)=0, "Missing", "")</f>
        <v/>
      </c>
      <c r="E2686" s="128" t="str">
        <f t="shared" si="1"/>
        <v/>
      </c>
    </row>
    <row r="2687">
      <c r="A2687" s="93" t="str">
        <f t="shared" si="2"/>
        <v>#17884</v>
      </c>
      <c r="B2687" s="93" t="str">
        <f>IF(COUNTIF(MAIN!B:B, A2687)=0, "Missing", "")</f>
        <v/>
      </c>
      <c r="E2687" s="128" t="str">
        <f t="shared" si="1"/>
        <v/>
      </c>
    </row>
    <row r="2688">
      <c r="A2688" s="93" t="str">
        <f t="shared" si="2"/>
        <v>#17885</v>
      </c>
      <c r="B2688" s="93" t="str">
        <f>IF(COUNTIF(MAIN!B:B, A2688)=0, "Missing", "")</f>
        <v/>
      </c>
      <c r="E2688" s="128" t="str">
        <f t="shared" si="1"/>
        <v/>
      </c>
    </row>
    <row r="2689">
      <c r="A2689" s="93" t="str">
        <f t="shared" si="2"/>
        <v>#17886</v>
      </c>
      <c r="B2689" s="93" t="str">
        <f>IF(COUNTIF(MAIN!B:B, A2689)=0, "Missing", "")</f>
        <v/>
      </c>
      <c r="E2689" s="128" t="str">
        <f t="shared" si="1"/>
        <v/>
      </c>
    </row>
    <row r="2690">
      <c r="A2690" s="93" t="str">
        <f t="shared" si="2"/>
        <v>#17887</v>
      </c>
      <c r="B2690" s="93" t="str">
        <f>IF(COUNTIF(MAIN!B:B, A2690)=0, "Missing", "")</f>
        <v/>
      </c>
      <c r="E2690" s="128" t="str">
        <f t="shared" si="1"/>
        <v/>
      </c>
    </row>
    <row r="2691">
      <c r="A2691" s="93" t="str">
        <f t="shared" si="2"/>
        <v>#17888</v>
      </c>
      <c r="B2691" s="93" t="str">
        <f>IF(COUNTIF(MAIN!B:B, A2691)=0, "Missing", "")</f>
        <v/>
      </c>
      <c r="E2691" s="128" t="str">
        <f t="shared" si="1"/>
        <v/>
      </c>
    </row>
    <row r="2692">
      <c r="A2692" s="93" t="str">
        <f t="shared" si="2"/>
        <v>#17889</v>
      </c>
      <c r="B2692" s="93" t="str">
        <f>IF(COUNTIF(MAIN!B:B, A2692)=0, "Missing", "")</f>
        <v/>
      </c>
      <c r="E2692" s="128" t="str">
        <f t="shared" si="1"/>
        <v/>
      </c>
    </row>
    <row r="2693">
      <c r="A2693" s="93" t="str">
        <f t="shared" si="2"/>
        <v>#17890</v>
      </c>
      <c r="B2693" s="93" t="str">
        <f>IF(COUNTIF(MAIN!B:B, A2693)=0, "Missing", "")</f>
        <v/>
      </c>
      <c r="E2693" s="128" t="str">
        <f t="shared" si="1"/>
        <v/>
      </c>
    </row>
    <row r="2694">
      <c r="A2694" s="93" t="str">
        <f t="shared" si="2"/>
        <v>#17891</v>
      </c>
      <c r="B2694" s="93" t="str">
        <f>IF(COUNTIF(MAIN!B:B, A2694)=0, "Missing", "")</f>
        <v/>
      </c>
      <c r="E2694" s="128" t="str">
        <f t="shared" si="1"/>
        <v/>
      </c>
    </row>
    <row r="2695">
      <c r="A2695" s="93" t="str">
        <f t="shared" si="2"/>
        <v>#17892</v>
      </c>
      <c r="B2695" s="93" t="str">
        <f>IF(COUNTIF(MAIN!B:B, A2695)=0, "Missing", "")</f>
        <v/>
      </c>
      <c r="E2695" s="128" t="str">
        <f t="shared" si="1"/>
        <v/>
      </c>
    </row>
    <row r="2696">
      <c r="A2696" s="93" t="str">
        <f t="shared" si="2"/>
        <v>#17893</v>
      </c>
      <c r="B2696" s="93" t="str">
        <f>IF(COUNTIF(MAIN!B:B, A2696)=0, "Missing", "")</f>
        <v/>
      </c>
      <c r="E2696" s="128" t="str">
        <f t="shared" si="1"/>
        <v/>
      </c>
    </row>
    <row r="2697">
      <c r="A2697" s="93" t="str">
        <f t="shared" si="2"/>
        <v>#17894</v>
      </c>
      <c r="B2697" s="93" t="str">
        <f>IF(COUNTIF(MAIN!B:B, A2697)=0, "Missing", "")</f>
        <v/>
      </c>
      <c r="E2697" s="128" t="str">
        <f t="shared" si="1"/>
        <v/>
      </c>
    </row>
    <row r="2698">
      <c r="A2698" s="93" t="str">
        <f t="shared" si="2"/>
        <v>#17895</v>
      </c>
      <c r="B2698" s="93" t="str">
        <f>IF(COUNTIF(MAIN!B:B, A2698)=0, "Missing", "")</f>
        <v/>
      </c>
      <c r="E2698" s="128" t="str">
        <f t="shared" si="1"/>
        <v/>
      </c>
    </row>
    <row r="2699">
      <c r="A2699" s="93" t="str">
        <f t="shared" si="2"/>
        <v>#17896</v>
      </c>
      <c r="B2699" s="93" t="str">
        <f>IF(COUNTIF(MAIN!B:B, A2699)=0, "Missing", "")</f>
        <v/>
      </c>
      <c r="E2699" s="128" t="str">
        <f t="shared" si="1"/>
        <v/>
      </c>
    </row>
    <row r="2700">
      <c r="A2700" s="93" t="str">
        <f t="shared" si="2"/>
        <v>#17897</v>
      </c>
      <c r="B2700" s="93" t="str">
        <f>IF(COUNTIF(MAIN!B:B, A2700)=0, "Missing", "")</f>
        <v/>
      </c>
      <c r="E2700" s="128" t="str">
        <f t="shared" si="1"/>
        <v/>
      </c>
    </row>
    <row r="2701">
      <c r="A2701" s="93" t="str">
        <f t="shared" si="2"/>
        <v>#17898</v>
      </c>
      <c r="B2701" s="93" t="str">
        <f>IF(COUNTIF(MAIN!B:B, A2701)=0, "Missing", "")</f>
        <v/>
      </c>
      <c r="E2701" s="128" t="str">
        <f t="shared" si="1"/>
        <v/>
      </c>
    </row>
    <row r="2702">
      <c r="A2702" s="93" t="str">
        <f t="shared" si="2"/>
        <v>#17899</v>
      </c>
      <c r="B2702" s="93" t="str">
        <f>IF(COUNTIF(MAIN!B:B, A2702)=0, "Missing", "")</f>
        <v/>
      </c>
      <c r="E2702" s="128" t="str">
        <f t="shared" si="1"/>
        <v/>
      </c>
    </row>
    <row r="2703">
      <c r="A2703" s="93" t="str">
        <f t="shared" si="2"/>
        <v>#17900</v>
      </c>
      <c r="B2703" s="93" t="str">
        <f>IF(COUNTIF(MAIN!B:B, A2703)=0, "Missing", "")</f>
        <v/>
      </c>
      <c r="E2703" s="128" t="str">
        <f t="shared" si="1"/>
        <v/>
      </c>
    </row>
    <row r="2704">
      <c r="A2704" s="93" t="str">
        <f t="shared" si="2"/>
        <v>#17901</v>
      </c>
      <c r="B2704" s="93" t="str">
        <f>IF(COUNTIF(MAIN!B:B, A2704)=0, "Missing", "")</f>
        <v/>
      </c>
      <c r="E2704" s="128" t="str">
        <f t="shared" si="1"/>
        <v/>
      </c>
    </row>
    <row r="2705">
      <c r="A2705" s="93" t="str">
        <f t="shared" si="2"/>
        <v>#17902</v>
      </c>
      <c r="B2705" s="93" t="str">
        <f>IF(COUNTIF(MAIN!B:B, A2705)=0, "Missing", "")</f>
        <v/>
      </c>
      <c r="E2705" s="128" t="str">
        <f t="shared" si="1"/>
        <v/>
      </c>
    </row>
    <row r="2706">
      <c r="A2706" s="93" t="str">
        <f t="shared" si="2"/>
        <v>#17903</v>
      </c>
      <c r="B2706" s="93" t="str">
        <f>IF(COUNTIF(MAIN!B:B, A2706)=0, "Missing", "")</f>
        <v/>
      </c>
      <c r="E2706" s="128" t="str">
        <f t="shared" si="1"/>
        <v/>
      </c>
    </row>
    <row r="2707">
      <c r="A2707" s="93" t="str">
        <f t="shared" si="2"/>
        <v>#17904</v>
      </c>
      <c r="B2707" s="93" t="str">
        <f>IF(COUNTIF(MAIN!B:B, A2707)=0, "Missing", "")</f>
        <v/>
      </c>
      <c r="E2707" s="128" t="str">
        <f t="shared" si="1"/>
        <v/>
      </c>
    </row>
    <row r="2708">
      <c r="A2708" s="93" t="str">
        <f t="shared" si="2"/>
        <v>#17905</v>
      </c>
      <c r="B2708" s="93" t="str">
        <f>IF(COUNTIF(MAIN!B:B, A2708)=0, "Missing", "")</f>
        <v/>
      </c>
      <c r="E2708" s="128" t="str">
        <f t="shared" si="1"/>
        <v/>
      </c>
    </row>
    <row r="2709">
      <c r="A2709" s="93" t="str">
        <f t="shared" si="2"/>
        <v>#17906</v>
      </c>
      <c r="B2709" s="93" t="str">
        <f>IF(COUNTIF(MAIN!B:B, A2709)=0, "Missing", "")</f>
        <v/>
      </c>
      <c r="E2709" s="128" t="str">
        <f t="shared" si="1"/>
        <v/>
      </c>
    </row>
    <row r="2710">
      <c r="A2710" s="93" t="str">
        <f t="shared" si="2"/>
        <v>#17907</v>
      </c>
      <c r="B2710" s="93" t="str">
        <f>IF(COUNTIF(MAIN!B:B, A2710)=0, "Missing", "")</f>
        <v/>
      </c>
      <c r="E2710" s="128" t="str">
        <f t="shared" si="1"/>
        <v/>
      </c>
    </row>
    <row r="2711">
      <c r="A2711" s="93" t="str">
        <f t="shared" si="2"/>
        <v>#17908</v>
      </c>
      <c r="B2711" s="93" t="str">
        <f>IF(COUNTIF(MAIN!B:B, A2711)=0, "Missing", "")</f>
        <v/>
      </c>
      <c r="E2711" s="128" t="str">
        <f t="shared" si="1"/>
        <v/>
      </c>
    </row>
    <row r="2712">
      <c r="A2712" s="93" t="str">
        <f t="shared" si="2"/>
        <v>#17909</v>
      </c>
      <c r="B2712" s="93" t="str">
        <f>IF(COUNTIF(MAIN!B:B, A2712)=0, "Missing", "")</f>
        <v/>
      </c>
      <c r="E2712" s="128" t="str">
        <f t="shared" si="1"/>
        <v/>
      </c>
    </row>
    <row r="2713">
      <c r="A2713" s="93" t="str">
        <f t="shared" si="2"/>
        <v>#17910</v>
      </c>
      <c r="B2713" s="93" t="str">
        <f>IF(COUNTIF(MAIN!B:B, A2713)=0, "Missing", "")</f>
        <v/>
      </c>
      <c r="E2713" s="128" t="str">
        <f t="shared" si="1"/>
        <v/>
      </c>
    </row>
    <row r="2714">
      <c r="A2714" s="93" t="str">
        <f t="shared" si="2"/>
        <v>#17911</v>
      </c>
      <c r="B2714" s="93" t="str">
        <f>IF(COUNTIF(MAIN!B:B, A2714)=0, "Missing", "")</f>
        <v/>
      </c>
      <c r="E2714" s="128" t="str">
        <f t="shared" si="1"/>
        <v/>
      </c>
    </row>
    <row r="2715">
      <c r="A2715" s="93" t="str">
        <f t="shared" si="2"/>
        <v>#17912</v>
      </c>
      <c r="B2715" s="93" t="str">
        <f>IF(COUNTIF(MAIN!B:B, A2715)=0, "Missing", "")</f>
        <v/>
      </c>
      <c r="E2715" s="128" t="str">
        <f t="shared" si="1"/>
        <v/>
      </c>
    </row>
    <row r="2716">
      <c r="A2716" s="93" t="str">
        <f t="shared" si="2"/>
        <v>#17913</v>
      </c>
      <c r="B2716" s="93" t="str">
        <f>IF(COUNTIF(MAIN!B:B, A2716)=0, "Missing", "")</f>
        <v/>
      </c>
      <c r="E2716" s="128" t="str">
        <f t="shared" si="1"/>
        <v/>
      </c>
    </row>
    <row r="2717">
      <c r="A2717" s="93" t="str">
        <f t="shared" si="2"/>
        <v>#17914</v>
      </c>
      <c r="B2717" s="93" t="str">
        <f>IF(COUNTIF(MAIN!B:B, A2717)=0, "Missing", "")</f>
        <v/>
      </c>
      <c r="E2717" s="128" t="str">
        <f t="shared" si="1"/>
        <v/>
      </c>
    </row>
    <row r="2718">
      <c r="A2718" s="93" t="str">
        <f t="shared" si="2"/>
        <v>#17915</v>
      </c>
      <c r="B2718" s="93" t="str">
        <f>IF(COUNTIF(MAIN!B:B, A2718)=0, "Missing", "")</f>
        <v/>
      </c>
      <c r="E2718" s="128" t="str">
        <f t="shared" si="1"/>
        <v/>
      </c>
    </row>
    <row r="2719">
      <c r="A2719" s="93" t="str">
        <f t="shared" si="2"/>
        <v>#17916</v>
      </c>
      <c r="B2719" s="93" t="str">
        <f>IF(COUNTIF(MAIN!B:B, A2719)=0, "Missing", "")</f>
        <v/>
      </c>
      <c r="E2719" s="128" t="str">
        <f t="shared" si="1"/>
        <v/>
      </c>
    </row>
    <row r="2720">
      <c r="A2720" s="93" t="str">
        <f t="shared" si="2"/>
        <v>#17917</v>
      </c>
      <c r="B2720" s="93" t="str">
        <f>IF(COUNTIF(MAIN!B:B, A2720)=0, "Missing", "")</f>
        <v/>
      </c>
      <c r="E2720" s="128" t="str">
        <f t="shared" si="1"/>
        <v/>
      </c>
    </row>
    <row r="2721">
      <c r="A2721" s="93" t="str">
        <f t="shared" si="2"/>
        <v>#17918</v>
      </c>
      <c r="B2721" s="93" t="str">
        <f>IF(COUNTIF(MAIN!B:B, A2721)=0, "Missing", "")</f>
        <v/>
      </c>
      <c r="E2721" s="128" t="str">
        <f t="shared" si="1"/>
        <v/>
      </c>
    </row>
    <row r="2722">
      <c r="A2722" s="93" t="str">
        <f t="shared" si="2"/>
        <v>#17919</v>
      </c>
      <c r="B2722" s="93" t="str">
        <f>IF(COUNTIF(MAIN!B:B, A2722)=0, "Missing", "")</f>
        <v/>
      </c>
      <c r="E2722" s="128" t="str">
        <f t="shared" si="1"/>
        <v/>
      </c>
    </row>
    <row r="2723">
      <c r="A2723" s="93" t="str">
        <f t="shared" si="2"/>
        <v>#17920</v>
      </c>
      <c r="B2723" s="93" t="str">
        <f>IF(COUNTIF(MAIN!B:B, A2723)=0, "Missing", "")</f>
        <v/>
      </c>
      <c r="E2723" s="128" t="str">
        <f t="shared" si="1"/>
        <v/>
      </c>
    </row>
    <row r="2724">
      <c r="A2724" s="93" t="str">
        <f t="shared" si="2"/>
        <v>#17921</v>
      </c>
      <c r="B2724" s="93" t="str">
        <f>IF(COUNTIF(MAIN!B:B, A2724)=0, "Missing", "")</f>
        <v/>
      </c>
      <c r="E2724" s="128" t="str">
        <f t="shared" si="1"/>
        <v/>
      </c>
    </row>
    <row r="2725">
      <c r="A2725" s="93" t="str">
        <f t="shared" si="2"/>
        <v>#17922</v>
      </c>
      <c r="B2725" s="93" t="str">
        <f>IF(COUNTIF(MAIN!B:B, A2725)=0, "Missing", "")</f>
        <v/>
      </c>
      <c r="E2725" s="128" t="str">
        <f t="shared" si="1"/>
        <v/>
      </c>
    </row>
    <row r="2726">
      <c r="A2726" s="93" t="str">
        <f t="shared" si="2"/>
        <v>#17923</v>
      </c>
      <c r="B2726" s="93" t="str">
        <f>IF(COUNTIF(MAIN!B:B, A2726)=0, "Missing", "")</f>
        <v/>
      </c>
      <c r="E2726" s="128" t="str">
        <f t="shared" si="1"/>
        <v/>
      </c>
    </row>
    <row r="2727">
      <c r="A2727" s="93" t="str">
        <f t="shared" si="2"/>
        <v>#17924</v>
      </c>
      <c r="B2727" s="93" t="str">
        <f>IF(COUNTIF(MAIN!B:B, A2727)=0, "Missing", "")</f>
        <v/>
      </c>
      <c r="E2727" s="128" t="str">
        <f t="shared" si="1"/>
        <v/>
      </c>
    </row>
    <row r="2728">
      <c r="A2728" s="93" t="str">
        <f t="shared" si="2"/>
        <v>#17925</v>
      </c>
      <c r="B2728" s="93" t="str">
        <f>IF(COUNTIF(MAIN!B:B, A2728)=0, "Missing", "")</f>
        <v/>
      </c>
      <c r="E2728" s="128" t="str">
        <f t="shared" si="1"/>
        <v/>
      </c>
    </row>
    <row r="2729">
      <c r="A2729" s="93" t="str">
        <f t="shared" si="2"/>
        <v>#17926</v>
      </c>
      <c r="B2729" s="93" t="str">
        <f>IF(COUNTIF(MAIN!B:B, A2729)=0, "Missing", "")</f>
        <v/>
      </c>
      <c r="E2729" s="128" t="str">
        <f t="shared" si="1"/>
        <v/>
      </c>
    </row>
    <row r="2730">
      <c r="A2730" s="93" t="str">
        <f t="shared" si="2"/>
        <v>#17927</v>
      </c>
      <c r="B2730" s="93" t="str">
        <f>IF(COUNTIF(MAIN!B:B, A2730)=0, "Missing", "")</f>
        <v/>
      </c>
      <c r="E2730" s="128" t="str">
        <f t="shared" si="1"/>
        <v/>
      </c>
    </row>
    <row r="2731">
      <c r="A2731" s="93" t="str">
        <f t="shared" si="2"/>
        <v>#17928</v>
      </c>
      <c r="B2731" s="93" t="str">
        <f>IF(COUNTIF(MAIN!B:B, A2731)=0, "Missing", "")</f>
        <v/>
      </c>
      <c r="E2731" s="128" t="str">
        <f t="shared" si="1"/>
        <v/>
      </c>
    </row>
    <row r="2732">
      <c r="A2732" s="93" t="str">
        <f t="shared" si="2"/>
        <v>#17929</v>
      </c>
      <c r="B2732" s="93" t="str">
        <f>IF(COUNTIF(MAIN!B:B, A2732)=0, "Missing", "")</f>
        <v/>
      </c>
      <c r="E2732" s="128" t="str">
        <f t="shared" si="1"/>
        <v/>
      </c>
    </row>
    <row r="2733">
      <c r="A2733" s="93" t="str">
        <f t="shared" si="2"/>
        <v>#17930</v>
      </c>
      <c r="B2733" s="93" t="str">
        <f>IF(COUNTIF(MAIN!B:B, A2733)=0, "Missing", "")</f>
        <v/>
      </c>
      <c r="E2733" s="128" t="str">
        <f t="shared" si="1"/>
        <v/>
      </c>
    </row>
    <row r="2734">
      <c r="A2734" s="93" t="str">
        <f t="shared" si="2"/>
        <v>#17931</v>
      </c>
      <c r="B2734" s="93" t="str">
        <f>IF(COUNTIF(MAIN!B:B, A2734)=0, "Missing", "")</f>
        <v>Missing</v>
      </c>
      <c r="C2734" s="84" t="s">
        <v>15238</v>
      </c>
      <c r="E2734" s="131" t="str">
        <f t="shared" si="1"/>
        <v>https://utrucking.myshopify.com/admin/orders?query=17931</v>
      </c>
    </row>
    <row r="2735">
      <c r="A2735" s="93" t="str">
        <f t="shared" si="2"/>
        <v>#17932</v>
      </c>
      <c r="B2735" s="93" t="str">
        <f>IF(COUNTIF(MAIN!B:B, A2735)=0, "Missing", "")</f>
        <v/>
      </c>
      <c r="E2735" s="128" t="str">
        <f t="shared" si="1"/>
        <v/>
      </c>
    </row>
    <row r="2736">
      <c r="A2736" s="93" t="str">
        <f t="shared" si="2"/>
        <v>#17933</v>
      </c>
      <c r="B2736" s="93" t="str">
        <f>IF(COUNTIF(MAIN!B:B, A2736)=0, "Missing", "")</f>
        <v/>
      </c>
      <c r="E2736" s="128" t="str">
        <f t="shared" si="1"/>
        <v/>
      </c>
    </row>
    <row r="2737">
      <c r="A2737" s="93" t="str">
        <f t="shared" si="2"/>
        <v>#17934</v>
      </c>
      <c r="B2737" s="93" t="str">
        <f>IF(COUNTIF(MAIN!B:B, A2737)=0, "Missing", "")</f>
        <v/>
      </c>
      <c r="E2737" s="128" t="str">
        <f t="shared" si="1"/>
        <v/>
      </c>
    </row>
    <row r="2738">
      <c r="A2738" s="93" t="str">
        <f t="shared" si="2"/>
        <v>#17935</v>
      </c>
      <c r="B2738" s="93" t="str">
        <f>IF(COUNTIF(MAIN!B:B, A2738)=0, "Missing", "")</f>
        <v/>
      </c>
      <c r="E2738" s="128" t="str">
        <f t="shared" si="1"/>
        <v/>
      </c>
    </row>
    <row r="2739">
      <c r="A2739" s="93" t="str">
        <f t="shared" si="2"/>
        <v>#17936</v>
      </c>
      <c r="B2739" s="93" t="str">
        <f>IF(COUNTIF(MAIN!B:B, A2739)=0, "Missing", "")</f>
        <v/>
      </c>
      <c r="E2739" s="128" t="str">
        <f t="shared" si="1"/>
        <v/>
      </c>
    </row>
    <row r="2740">
      <c r="A2740" s="93" t="str">
        <f t="shared" si="2"/>
        <v>#17937</v>
      </c>
      <c r="B2740" s="93" t="str">
        <f>IF(COUNTIF(MAIN!B:B, A2740)=0, "Missing", "")</f>
        <v/>
      </c>
      <c r="E2740" s="128" t="str">
        <f t="shared" si="1"/>
        <v/>
      </c>
    </row>
    <row r="2741">
      <c r="A2741" s="93" t="str">
        <f t="shared" si="2"/>
        <v>#17938</v>
      </c>
      <c r="B2741" s="93" t="str">
        <f>IF(COUNTIF(MAIN!B:B, A2741)=0, "Missing", "")</f>
        <v/>
      </c>
      <c r="E2741" s="128" t="str">
        <f t="shared" si="1"/>
        <v/>
      </c>
    </row>
    <row r="2742">
      <c r="A2742" s="93" t="str">
        <f t="shared" si="2"/>
        <v>#17939</v>
      </c>
      <c r="B2742" s="93" t="str">
        <f>IF(COUNTIF(MAIN!B:B, A2742)=0, "Missing", "")</f>
        <v/>
      </c>
      <c r="E2742" s="128" t="str">
        <f t="shared" si="1"/>
        <v/>
      </c>
    </row>
    <row r="2743">
      <c r="A2743" s="93" t="str">
        <f t="shared" si="2"/>
        <v>#17940</v>
      </c>
      <c r="B2743" s="93" t="str">
        <f>IF(COUNTIF(MAIN!B:B, A2743)=0, "Missing", "")</f>
        <v/>
      </c>
      <c r="E2743" s="128" t="str">
        <f t="shared" si="1"/>
        <v/>
      </c>
    </row>
    <row r="2744">
      <c r="A2744" s="93" t="str">
        <f t="shared" si="2"/>
        <v>#17941</v>
      </c>
      <c r="B2744" s="93" t="str">
        <f>IF(COUNTIF(MAIN!B:B, A2744)=0, "Missing", "")</f>
        <v/>
      </c>
      <c r="E2744" s="128" t="str">
        <f t="shared" si="1"/>
        <v/>
      </c>
    </row>
    <row r="2745">
      <c r="A2745" s="93" t="str">
        <f t="shared" si="2"/>
        <v>#17942</v>
      </c>
      <c r="B2745" s="93" t="str">
        <f>IF(COUNTIF(MAIN!B:B, A2745)=0, "Missing", "")</f>
        <v/>
      </c>
      <c r="E2745" s="128" t="str">
        <f t="shared" si="1"/>
        <v/>
      </c>
    </row>
    <row r="2746">
      <c r="A2746" s="93" t="str">
        <f t="shared" si="2"/>
        <v>#17943</v>
      </c>
      <c r="B2746" s="93" t="str">
        <f>IF(COUNTIF(MAIN!B:B, A2746)=0, "Missing", "")</f>
        <v/>
      </c>
      <c r="E2746" s="128" t="str">
        <f t="shared" si="1"/>
        <v/>
      </c>
    </row>
    <row r="2747">
      <c r="A2747" s="93" t="str">
        <f t="shared" si="2"/>
        <v>#17944</v>
      </c>
      <c r="B2747" s="93" t="str">
        <f>IF(COUNTIF(MAIN!B:B, A2747)=0, "Missing", "")</f>
        <v/>
      </c>
      <c r="E2747" s="128" t="str">
        <f t="shared" si="1"/>
        <v/>
      </c>
    </row>
    <row r="2748">
      <c r="A2748" s="93" t="str">
        <f t="shared" si="2"/>
        <v>#17945</v>
      </c>
      <c r="B2748" s="93" t="str">
        <f>IF(COUNTIF(MAIN!B:B, A2748)=0, "Missing", "")</f>
        <v/>
      </c>
      <c r="E2748" s="128" t="str">
        <f t="shared" si="1"/>
        <v/>
      </c>
    </row>
    <row r="2749">
      <c r="A2749" s="93" t="str">
        <f t="shared" si="2"/>
        <v>#17946</v>
      </c>
      <c r="B2749" s="93" t="str">
        <f>IF(COUNTIF(MAIN!B:B, A2749)=0, "Missing", "")</f>
        <v/>
      </c>
      <c r="E2749" s="128" t="str">
        <f t="shared" si="1"/>
        <v/>
      </c>
    </row>
    <row r="2750">
      <c r="A2750" s="93" t="str">
        <f t="shared" si="2"/>
        <v>#17947</v>
      </c>
      <c r="B2750" s="93" t="str">
        <f>IF(COUNTIF(MAIN!B:B, A2750)=0, "Missing", "")</f>
        <v/>
      </c>
      <c r="E2750" s="128" t="str">
        <f t="shared" si="1"/>
        <v/>
      </c>
    </row>
    <row r="2751">
      <c r="A2751" s="93" t="str">
        <f t="shared" si="2"/>
        <v>#17948</v>
      </c>
      <c r="B2751" s="93" t="str">
        <f>IF(COUNTIF(MAIN!B:B, A2751)=0, "Missing", "")</f>
        <v/>
      </c>
      <c r="E2751" s="128" t="str">
        <f t="shared" si="1"/>
        <v/>
      </c>
    </row>
    <row r="2752">
      <c r="A2752" s="93" t="str">
        <f t="shared" si="2"/>
        <v>#17949</v>
      </c>
      <c r="B2752" s="93" t="str">
        <f>IF(COUNTIF(MAIN!B:B, A2752)=0, "Missing", "")</f>
        <v/>
      </c>
      <c r="E2752" s="128" t="str">
        <f t="shared" si="1"/>
        <v/>
      </c>
    </row>
    <row r="2753">
      <c r="A2753" s="93" t="str">
        <f t="shared" si="2"/>
        <v>#17950</v>
      </c>
      <c r="B2753" s="93" t="str">
        <f>IF(COUNTIF(MAIN!B:B, A2753)=0, "Missing", "")</f>
        <v/>
      </c>
      <c r="E2753" s="128" t="str">
        <f t="shared" si="1"/>
        <v/>
      </c>
    </row>
    <row r="2754">
      <c r="A2754" s="93" t="str">
        <f t="shared" si="2"/>
        <v>#17951</v>
      </c>
      <c r="B2754" s="93" t="str">
        <f>IF(COUNTIF(MAIN!B:B, A2754)=0, "Missing", "")</f>
        <v/>
      </c>
      <c r="E2754" s="128" t="str">
        <f t="shared" si="1"/>
        <v/>
      </c>
    </row>
    <row r="2755">
      <c r="A2755" s="93" t="str">
        <f t="shared" si="2"/>
        <v>#17952</v>
      </c>
      <c r="B2755" s="93" t="str">
        <f>IF(COUNTIF(MAIN!B:B, A2755)=0, "Missing", "")</f>
        <v/>
      </c>
      <c r="E2755" s="128" t="str">
        <f t="shared" si="1"/>
        <v/>
      </c>
    </row>
    <row r="2756">
      <c r="A2756" s="93" t="str">
        <f t="shared" si="2"/>
        <v>#17953</v>
      </c>
      <c r="B2756" s="93" t="str">
        <f>IF(COUNTIF(MAIN!B:B, A2756)=0, "Missing", "")</f>
        <v/>
      </c>
      <c r="E2756" s="128" t="str">
        <f t="shared" si="1"/>
        <v/>
      </c>
    </row>
    <row r="2757">
      <c r="A2757" s="93" t="str">
        <f t="shared" si="2"/>
        <v>#17954</v>
      </c>
      <c r="B2757" s="93" t="str">
        <f>IF(COUNTIF(MAIN!B:B, A2757)=0, "Missing", "")</f>
        <v/>
      </c>
      <c r="E2757" s="128" t="str">
        <f t="shared" si="1"/>
        <v/>
      </c>
    </row>
    <row r="2758">
      <c r="A2758" s="93" t="str">
        <f t="shared" si="2"/>
        <v>#17955</v>
      </c>
      <c r="B2758" s="93" t="str">
        <f>IF(COUNTIF(MAIN!B:B, A2758)=0, "Missing", "")</f>
        <v/>
      </c>
      <c r="E2758" s="128" t="str">
        <f t="shared" si="1"/>
        <v/>
      </c>
    </row>
    <row r="2759">
      <c r="A2759" s="93" t="str">
        <f t="shared" si="2"/>
        <v>#17956</v>
      </c>
      <c r="B2759" s="93" t="str">
        <f>IF(COUNTIF(MAIN!B:B, A2759)=0, "Missing", "")</f>
        <v/>
      </c>
      <c r="E2759" s="128" t="str">
        <f t="shared" si="1"/>
        <v/>
      </c>
    </row>
    <row r="2760">
      <c r="A2760" s="93" t="str">
        <f t="shared" si="2"/>
        <v>#17957</v>
      </c>
      <c r="B2760" s="93" t="str">
        <f>IF(COUNTIF(MAIN!B:B, A2760)=0, "Missing", "")</f>
        <v/>
      </c>
      <c r="E2760" s="128" t="str">
        <f t="shared" si="1"/>
        <v/>
      </c>
    </row>
    <row r="2761">
      <c r="A2761" s="93" t="str">
        <f t="shared" si="2"/>
        <v>#17958</v>
      </c>
      <c r="B2761" s="93" t="str">
        <f>IF(COUNTIF(MAIN!B:B, A2761)=0, "Missing", "")</f>
        <v/>
      </c>
      <c r="E2761" s="128" t="str">
        <f t="shared" si="1"/>
        <v/>
      </c>
    </row>
    <row r="2762">
      <c r="A2762" s="93" t="str">
        <f t="shared" si="2"/>
        <v>#17959</v>
      </c>
      <c r="B2762" s="93" t="str">
        <f>IF(COUNTIF(MAIN!B:B, A2762)=0, "Missing", "")</f>
        <v/>
      </c>
      <c r="E2762" s="128" t="str">
        <f t="shared" si="1"/>
        <v/>
      </c>
    </row>
    <row r="2763">
      <c r="A2763" s="93" t="str">
        <f t="shared" si="2"/>
        <v>#17960</v>
      </c>
      <c r="B2763" s="93" t="str">
        <f>IF(COUNTIF(MAIN!B:B, A2763)=0, "Missing", "")</f>
        <v/>
      </c>
      <c r="E2763" s="128" t="str">
        <f t="shared" si="1"/>
        <v/>
      </c>
    </row>
    <row r="2764">
      <c r="A2764" s="93" t="str">
        <f t="shared" si="2"/>
        <v>#17961</v>
      </c>
      <c r="B2764" s="93" t="str">
        <f>IF(COUNTIF(MAIN!B:B, A2764)=0, "Missing", "")</f>
        <v/>
      </c>
      <c r="E2764" s="128" t="str">
        <f t="shared" si="1"/>
        <v/>
      </c>
    </row>
    <row r="2765">
      <c r="A2765" s="93" t="str">
        <f t="shared" si="2"/>
        <v>#17962</v>
      </c>
      <c r="B2765" s="93" t="str">
        <f>IF(COUNTIF(MAIN!B:B, A2765)=0, "Missing", "")</f>
        <v/>
      </c>
      <c r="E2765" s="128" t="str">
        <f t="shared" si="1"/>
        <v/>
      </c>
    </row>
    <row r="2766">
      <c r="A2766" s="93" t="str">
        <f t="shared" si="2"/>
        <v>#17963</v>
      </c>
      <c r="B2766" s="93" t="str">
        <f>IF(COUNTIF(MAIN!B:B, A2766)=0, "Missing", "")</f>
        <v/>
      </c>
      <c r="E2766" s="128" t="str">
        <f t="shared" si="1"/>
        <v/>
      </c>
    </row>
    <row r="2767">
      <c r="A2767" s="93" t="str">
        <f t="shared" si="2"/>
        <v>#17964</v>
      </c>
      <c r="B2767" s="93" t="str">
        <f>IF(COUNTIF(MAIN!B:B, A2767)=0, "Missing", "")</f>
        <v/>
      </c>
      <c r="E2767" s="128" t="str">
        <f t="shared" si="1"/>
        <v/>
      </c>
    </row>
    <row r="2768">
      <c r="A2768" s="93" t="str">
        <f t="shared" si="2"/>
        <v>#17965</v>
      </c>
      <c r="B2768" s="93" t="str">
        <f>IF(COUNTIF(MAIN!B:B, A2768)=0, "Missing", "")</f>
        <v/>
      </c>
      <c r="E2768" s="128" t="str">
        <f t="shared" si="1"/>
        <v/>
      </c>
    </row>
    <row r="2769">
      <c r="A2769" s="93" t="str">
        <f t="shared" si="2"/>
        <v>#17966</v>
      </c>
      <c r="B2769" s="93" t="str">
        <f>IF(COUNTIF(MAIN!B:B, A2769)=0, "Missing", "")</f>
        <v/>
      </c>
      <c r="E2769" s="128" t="str">
        <f t="shared" si="1"/>
        <v/>
      </c>
    </row>
    <row r="2770">
      <c r="A2770" s="93" t="str">
        <f t="shared" si="2"/>
        <v>#17967</v>
      </c>
      <c r="B2770" s="93" t="str">
        <f>IF(COUNTIF(MAIN!B:B, A2770)=0, "Missing", "")</f>
        <v/>
      </c>
      <c r="E2770" s="128" t="str">
        <f t="shared" si="1"/>
        <v/>
      </c>
    </row>
    <row r="2771">
      <c r="A2771" s="93" t="str">
        <f t="shared" si="2"/>
        <v>#17968</v>
      </c>
      <c r="B2771" s="93" t="str">
        <f>IF(COUNTIF(MAIN!B:B, A2771)=0, "Missing", "")</f>
        <v/>
      </c>
      <c r="E2771" s="128" t="str">
        <f t="shared" si="1"/>
        <v/>
      </c>
    </row>
    <row r="2772">
      <c r="A2772" s="93" t="str">
        <f t="shared" si="2"/>
        <v>#17969</v>
      </c>
      <c r="B2772" s="93" t="str">
        <f>IF(COUNTIF(MAIN!B:B, A2772)=0, "Missing", "")</f>
        <v/>
      </c>
      <c r="E2772" s="128" t="str">
        <f t="shared" si="1"/>
        <v/>
      </c>
    </row>
    <row r="2773">
      <c r="A2773" s="93" t="str">
        <f t="shared" si="2"/>
        <v>#17970</v>
      </c>
      <c r="B2773" s="93" t="str">
        <f>IF(COUNTIF(MAIN!B:B, A2773)=0, "Missing", "")</f>
        <v/>
      </c>
      <c r="E2773" s="128" t="str">
        <f t="shared" si="1"/>
        <v/>
      </c>
    </row>
    <row r="2774">
      <c r="A2774" s="93" t="str">
        <f t="shared" si="2"/>
        <v>#17971</v>
      </c>
      <c r="B2774" s="93" t="str">
        <f>IF(COUNTIF(MAIN!B:B, A2774)=0, "Missing", "")</f>
        <v/>
      </c>
      <c r="E2774" s="128" t="str">
        <f t="shared" si="1"/>
        <v/>
      </c>
    </row>
    <row r="2775">
      <c r="A2775" s="93" t="str">
        <f t="shared" si="2"/>
        <v>#17972</v>
      </c>
      <c r="B2775" s="93" t="str">
        <f>IF(COUNTIF(MAIN!B:B, A2775)=0, "Missing", "")</f>
        <v/>
      </c>
      <c r="E2775" s="128" t="str">
        <f t="shared" si="1"/>
        <v/>
      </c>
    </row>
    <row r="2776">
      <c r="A2776" s="93" t="str">
        <f t="shared" si="2"/>
        <v>#17973</v>
      </c>
      <c r="B2776" s="93" t="str">
        <f>IF(COUNTIF(MAIN!B:B, A2776)=0, "Missing", "")</f>
        <v/>
      </c>
      <c r="E2776" s="128" t="str">
        <f t="shared" si="1"/>
        <v/>
      </c>
    </row>
    <row r="2777">
      <c r="A2777" s="93" t="str">
        <f t="shared" si="2"/>
        <v>#17974</v>
      </c>
      <c r="B2777" s="93" t="str">
        <f>IF(COUNTIF(MAIN!B:B, A2777)=0, "Missing", "")</f>
        <v/>
      </c>
      <c r="E2777" s="128" t="str">
        <f t="shared" si="1"/>
        <v/>
      </c>
    </row>
    <row r="2778">
      <c r="A2778" s="93" t="str">
        <f t="shared" si="2"/>
        <v>#17975</v>
      </c>
      <c r="B2778" s="93" t="str">
        <f>IF(COUNTIF(MAIN!B:B, A2778)=0, "Missing", "")</f>
        <v/>
      </c>
      <c r="E2778" s="128" t="str">
        <f t="shared" si="1"/>
        <v/>
      </c>
    </row>
    <row r="2779">
      <c r="A2779" s="93" t="str">
        <f t="shared" si="2"/>
        <v>#17976</v>
      </c>
      <c r="B2779" s="93" t="str">
        <f>IF(COUNTIF(MAIN!B:B, A2779)=0, "Missing", "")</f>
        <v/>
      </c>
      <c r="E2779" s="128" t="str">
        <f t="shared" si="1"/>
        <v/>
      </c>
    </row>
    <row r="2780">
      <c r="A2780" s="93" t="str">
        <f t="shared" si="2"/>
        <v>#17977</v>
      </c>
      <c r="B2780" s="93" t="str">
        <f>IF(COUNTIF(MAIN!B:B, A2780)=0, "Missing", "")</f>
        <v/>
      </c>
      <c r="E2780" s="128" t="str">
        <f t="shared" si="1"/>
        <v/>
      </c>
    </row>
    <row r="2781">
      <c r="A2781" s="93" t="str">
        <f t="shared" si="2"/>
        <v>#17978</v>
      </c>
      <c r="B2781" s="93" t="str">
        <f>IF(COUNTIF(MAIN!B:B, A2781)=0, "Missing", "")</f>
        <v/>
      </c>
      <c r="E2781" s="128" t="str">
        <f t="shared" si="1"/>
        <v/>
      </c>
    </row>
    <row r="2782">
      <c r="A2782" s="93" t="str">
        <f t="shared" si="2"/>
        <v>#17979</v>
      </c>
      <c r="B2782" s="93" t="str">
        <f>IF(COUNTIF(MAIN!B:B, A2782)=0, "Missing", "")</f>
        <v/>
      </c>
      <c r="E2782" s="128" t="str">
        <f t="shared" si="1"/>
        <v/>
      </c>
    </row>
    <row r="2783">
      <c r="A2783" s="93" t="str">
        <f t="shared" si="2"/>
        <v>#17980</v>
      </c>
      <c r="B2783" s="93" t="str">
        <f>IF(COUNTIF(MAIN!B:B, A2783)=0, "Missing", "")</f>
        <v/>
      </c>
      <c r="E2783" s="128" t="str">
        <f t="shared" si="1"/>
        <v/>
      </c>
    </row>
    <row r="2784">
      <c r="A2784" s="93" t="str">
        <f t="shared" si="2"/>
        <v>#17981</v>
      </c>
      <c r="B2784" s="93" t="str">
        <f>IF(COUNTIF(MAIN!B:B, A2784)=0, "Missing", "")</f>
        <v/>
      </c>
      <c r="E2784" s="128" t="str">
        <f t="shared" si="1"/>
        <v/>
      </c>
    </row>
    <row r="2785">
      <c r="A2785" s="93" t="str">
        <f t="shared" si="2"/>
        <v>#17982</v>
      </c>
      <c r="B2785" s="93" t="str">
        <f>IF(COUNTIF(MAIN!B:B, A2785)=0, "Missing", "")</f>
        <v/>
      </c>
      <c r="E2785" s="128" t="str">
        <f t="shared" si="1"/>
        <v/>
      </c>
    </row>
    <row r="2786">
      <c r="A2786" s="93" t="str">
        <f t="shared" si="2"/>
        <v>#17983</v>
      </c>
      <c r="B2786" s="93" t="str">
        <f>IF(COUNTIF(MAIN!B:B, A2786)=0, "Missing", "")</f>
        <v/>
      </c>
      <c r="E2786" s="128" t="str">
        <f t="shared" si="1"/>
        <v/>
      </c>
    </row>
    <row r="2787">
      <c r="A2787" s="93" t="str">
        <f t="shared" si="2"/>
        <v>#17984</v>
      </c>
      <c r="B2787" s="93" t="str">
        <f>IF(COUNTIF(MAIN!B:B, A2787)=0, "Missing", "")</f>
        <v/>
      </c>
      <c r="E2787" s="128" t="str">
        <f t="shared" si="1"/>
        <v/>
      </c>
    </row>
    <row r="2788">
      <c r="A2788" s="93" t="str">
        <f t="shared" si="2"/>
        <v>#17985</v>
      </c>
      <c r="B2788" s="93" t="str">
        <f>IF(COUNTIF(MAIN!B:B, A2788)=0, "Missing", "")</f>
        <v/>
      </c>
      <c r="E2788" s="128" t="str">
        <f t="shared" si="1"/>
        <v/>
      </c>
    </row>
    <row r="2789">
      <c r="A2789" s="93" t="str">
        <f t="shared" si="2"/>
        <v>#17986</v>
      </c>
      <c r="B2789" s="93" t="str">
        <f>IF(COUNTIF(MAIN!B:B, A2789)=0, "Missing", "")</f>
        <v/>
      </c>
      <c r="E2789" s="128" t="str">
        <f t="shared" si="1"/>
        <v/>
      </c>
    </row>
    <row r="2790">
      <c r="A2790" s="93" t="str">
        <f t="shared" si="2"/>
        <v>#17987</v>
      </c>
      <c r="B2790" s="93" t="str">
        <f>IF(COUNTIF(MAIN!B:B, A2790)=0, "Missing", "")</f>
        <v/>
      </c>
      <c r="E2790" s="128" t="str">
        <f t="shared" si="1"/>
        <v/>
      </c>
    </row>
    <row r="2791">
      <c r="A2791" s="93" t="str">
        <f t="shared" si="2"/>
        <v>#17988</v>
      </c>
      <c r="B2791" s="93" t="str">
        <f>IF(COUNTIF(MAIN!B:B, A2791)=0, "Missing", "")</f>
        <v/>
      </c>
      <c r="E2791" s="128" t="str">
        <f t="shared" si="1"/>
        <v/>
      </c>
    </row>
    <row r="2792">
      <c r="A2792" s="93" t="str">
        <f t="shared" si="2"/>
        <v>#17989</v>
      </c>
      <c r="B2792" s="93" t="str">
        <f>IF(COUNTIF(MAIN!B:B, A2792)=0, "Missing", "")</f>
        <v/>
      </c>
      <c r="E2792" s="128" t="str">
        <f t="shared" si="1"/>
        <v/>
      </c>
    </row>
    <row r="2793">
      <c r="A2793" s="93" t="str">
        <f t="shared" si="2"/>
        <v>#17990</v>
      </c>
      <c r="B2793" s="93" t="str">
        <f>IF(COUNTIF(MAIN!B:B, A2793)=0, "Missing", "")</f>
        <v/>
      </c>
      <c r="E2793" s="128" t="str">
        <f t="shared" si="1"/>
        <v/>
      </c>
    </row>
    <row r="2794">
      <c r="A2794" s="93" t="str">
        <f t="shared" si="2"/>
        <v>#17991</v>
      </c>
      <c r="B2794" s="93" t="str">
        <f>IF(COUNTIF(MAIN!B:B, A2794)=0, "Missing", "")</f>
        <v/>
      </c>
      <c r="E2794" s="128" t="str">
        <f t="shared" si="1"/>
        <v/>
      </c>
    </row>
    <row r="2795">
      <c r="A2795" s="93" t="str">
        <f t="shared" si="2"/>
        <v>#17992</v>
      </c>
      <c r="B2795" s="93" t="str">
        <f>IF(COUNTIF(MAIN!B:B, A2795)=0, "Missing", "")</f>
        <v/>
      </c>
      <c r="E2795" s="128" t="str">
        <f t="shared" si="1"/>
        <v/>
      </c>
    </row>
    <row r="2796">
      <c r="A2796" s="93" t="str">
        <f t="shared" si="2"/>
        <v>#17993</v>
      </c>
      <c r="B2796" s="93" t="str">
        <f>IF(COUNTIF(MAIN!B:B, A2796)=0, "Missing", "")</f>
        <v/>
      </c>
      <c r="E2796" s="128" t="str">
        <f t="shared" si="1"/>
        <v/>
      </c>
    </row>
    <row r="2797">
      <c r="A2797" s="93" t="str">
        <f t="shared" si="2"/>
        <v>#17994</v>
      </c>
      <c r="B2797" s="93" t="str">
        <f>IF(COUNTIF(MAIN!B:B, A2797)=0, "Missing", "")</f>
        <v/>
      </c>
      <c r="E2797" s="128" t="str">
        <f t="shared" si="1"/>
        <v/>
      </c>
    </row>
    <row r="2798">
      <c r="A2798" s="93" t="str">
        <f t="shared" si="2"/>
        <v>#17995</v>
      </c>
      <c r="B2798" s="93" t="str">
        <f>IF(COUNTIF(MAIN!B:B, A2798)=0, "Missing", "")</f>
        <v/>
      </c>
      <c r="E2798" s="128" t="str">
        <f t="shared" si="1"/>
        <v/>
      </c>
    </row>
    <row r="2799">
      <c r="A2799" s="93" t="str">
        <f t="shared" si="2"/>
        <v>#17996</v>
      </c>
      <c r="B2799" s="93" t="str">
        <f>IF(COUNTIF(MAIN!B:B, A2799)=0, "Missing", "")</f>
        <v/>
      </c>
      <c r="E2799" s="128" t="str">
        <f t="shared" si="1"/>
        <v/>
      </c>
    </row>
    <row r="2800">
      <c r="A2800" s="93" t="str">
        <f t="shared" si="2"/>
        <v>#17997</v>
      </c>
      <c r="B2800" s="93" t="str">
        <f>IF(COUNTIF(MAIN!B:B, A2800)=0, "Missing", "")</f>
        <v/>
      </c>
      <c r="E2800" s="128" t="str">
        <f t="shared" si="1"/>
        <v/>
      </c>
    </row>
    <row r="2801">
      <c r="A2801" s="93" t="str">
        <f t="shared" si="2"/>
        <v>#17998</v>
      </c>
      <c r="B2801" s="93" t="str">
        <f>IF(COUNTIF(MAIN!B:B, A2801)=0, "Missing", "")</f>
        <v/>
      </c>
      <c r="E2801" s="128" t="str">
        <f t="shared" si="1"/>
        <v/>
      </c>
    </row>
    <row r="2802">
      <c r="A2802" s="93" t="str">
        <f t="shared" si="2"/>
        <v>#17999</v>
      </c>
      <c r="B2802" s="93" t="str">
        <f>IF(COUNTIF(MAIN!B:B, A2802)=0, "Missing", "")</f>
        <v/>
      </c>
      <c r="E2802" s="128" t="str">
        <f t="shared" si="1"/>
        <v/>
      </c>
    </row>
    <row r="2803">
      <c r="A2803" s="93" t="str">
        <f t="shared" si="2"/>
        <v>#18000</v>
      </c>
      <c r="B2803" s="93" t="str">
        <f>IF(COUNTIF(MAIN!B:B, A2803)=0, "Missing", "")</f>
        <v/>
      </c>
      <c r="E2803" s="128" t="str">
        <f t="shared" si="1"/>
        <v/>
      </c>
    </row>
    <row r="2804">
      <c r="A2804" s="93" t="str">
        <f t="shared" si="2"/>
        <v>#18001</v>
      </c>
      <c r="B2804" s="93" t="str">
        <f>IF(COUNTIF(MAIN!B:B, A2804)=0, "Missing", "")</f>
        <v/>
      </c>
      <c r="E2804" s="128" t="str">
        <f t="shared" si="1"/>
        <v/>
      </c>
    </row>
    <row r="2805">
      <c r="A2805" s="93" t="str">
        <f t="shared" si="2"/>
        <v>#18002</v>
      </c>
      <c r="B2805" s="93" t="str">
        <f>IF(COUNTIF(MAIN!B:B, A2805)=0, "Missing", "")</f>
        <v/>
      </c>
      <c r="E2805" s="128" t="str">
        <f t="shared" si="1"/>
        <v/>
      </c>
    </row>
    <row r="2806">
      <c r="A2806" s="93" t="str">
        <f t="shared" si="2"/>
        <v>#18003</v>
      </c>
      <c r="B2806" s="93" t="str">
        <f>IF(COUNTIF(MAIN!B:B, A2806)=0, "Missing", "")</f>
        <v/>
      </c>
      <c r="E2806" s="128" t="str">
        <f t="shared" si="1"/>
        <v/>
      </c>
    </row>
    <row r="2807">
      <c r="A2807" s="93" t="str">
        <f t="shared" si="2"/>
        <v>#18004</v>
      </c>
      <c r="B2807" s="93" t="str">
        <f>IF(COUNTIF(MAIN!B:B, A2807)=0, "Missing", "")</f>
        <v/>
      </c>
      <c r="E2807" s="128" t="str">
        <f t="shared" si="1"/>
        <v/>
      </c>
    </row>
    <row r="2808">
      <c r="A2808" s="93" t="str">
        <f t="shared" si="2"/>
        <v>#18005</v>
      </c>
      <c r="B2808" s="93" t="str">
        <f>IF(COUNTIF(MAIN!B:B, A2808)=0, "Missing", "")</f>
        <v/>
      </c>
      <c r="E2808" s="128" t="str">
        <f t="shared" si="1"/>
        <v/>
      </c>
    </row>
    <row r="2809">
      <c r="A2809" s="93" t="str">
        <f t="shared" si="2"/>
        <v>#18006</v>
      </c>
      <c r="B2809" s="93" t="str">
        <f>IF(COUNTIF(MAIN!B:B, A2809)=0, "Missing", "")</f>
        <v/>
      </c>
      <c r="E2809" s="128" t="str">
        <f t="shared" si="1"/>
        <v/>
      </c>
    </row>
    <row r="2810">
      <c r="A2810" s="93" t="str">
        <f t="shared" si="2"/>
        <v>#18007</v>
      </c>
      <c r="B2810" s="93" t="str">
        <f>IF(COUNTIF(MAIN!B:B, A2810)=0, "Missing", "")</f>
        <v/>
      </c>
      <c r="E2810" s="128" t="str">
        <f t="shared" si="1"/>
        <v/>
      </c>
    </row>
    <row r="2811">
      <c r="A2811" s="93" t="str">
        <f t="shared" si="2"/>
        <v>#18008</v>
      </c>
      <c r="B2811" s="93" t="str">
        <f>IF(COUNTIF(MAIN!B:B, A2811)=0, "Missing", "")</f>
        <v/>
      </c>
      <c r="E2811" s="128" t="str">
        <f t="shared" si="1"/>
        <v/>
      </c>
    </row>
    <row r="2812">
      <c r="A2812" s="93" t="str">
        <f t="shared" si="2"/>
        <v>#18009</v>
      </c>
      <c r="B2812" s="93" t="str">
        <f>IF(COUNTIF(MAIN!B:B, A2812)=0, "Missing", "")</f>
        <v/>
      </c>
      <c r="E2812" s="128" t="str">
        <f t="shared" si="1"/>
        <v/>
      </c>
    </row>
    <row r="2813">
      <c r="A2813" s="93" t="str">
        <f t="shared" si="2"/>
        <v>#18010</v>
      </c>
      <c r="B2813" s="93" t="str">
        <f>IF(COUNTIF(MAIN!B:B, A2813)=0, "Missing", "")</f>
        <v/>
      </c>
      <c r="E2813" s="128" t="str">
        <f t="shared" si="1"/>
        <v/>
      </c>
    </row>
    <row r="2814">
      <c r="A2814" s="93" t="str">
        <f t="shared" si="2"/>
        <v>#18011</v>
      </c>
      <c r="B2814" s="93" t="str">
        <f>IF(COUNTIF(MAIN!B:B, A2814)=0, "Missing", "")</f>
        <v/>
      </c>
      <c r="E2814" s="128" t="str">
        <f t="shared" si="1"/>
        <v/>
      </c>
    </row>
    <row r="2815">
      <c r="A2815" s="93" t="str">
        <f t="shared" si="2"/>
        <v>#18012</v>
      </c>
      <c r="B2815" s="93" t="str">
        <f>IF(COUNTIF(MAIN!B:B, A2815)=0, "Missing", "")</f>
        <v/>
      </c>
      <c r="E2815" s="128" t="str">
        <f t="shared" si="1"/>
        <v/>
      </c>
    </row>
    <row r="2816">
      <c r="A2816" s="93" t="str">
        <f t="shared" si="2"/>
        <v>#18013</v>
      </c>
      <c r="B2816" s="93" t="str">
        <f>IF(COUNTIF(MAIN!B:B, A2816)=0, "Missing", "")</f>
        <v/>
      </c>
      <c r="E2816" s="128" t="str">
        <f t="shared" si="1"/>
        <v/>
      </c>
    </row>
    <row r="2817">
      <c r="A2817" s="93" t="str">
        <f t="shared" si="2"/>
        <v>#18014</v>
      </c>
      <c r="B2817" s="93" t="str">
        <f>IF(COUNTIF(MAIN!B:B, A2817)=0, "Missing", "")</f>
        <v/>
      </c>
      <c r="E2817" s="128" t="str">
        <f t="shared" si="1"/>
        <v/>
      </c>
    </row>
    <row r="2818">
      <c r="A2818" s="93" t="str">
        <f t="shared" si="2"/>
        <v>#18015</v>
      </c>
      <c r="B2818" s="93" t="str">
        <f>IF(COUNTIF(MAIN!B:B, A2818)=0, "Missing", "")</f>
        <v/>
      </c>
      <c r="E2818" s="128" t="str">
        <f t="shared" si="1"/>
        <v/>
      </c>
    </row>
    <row r="2819">
      <c r="A2819" s="93" t="str">
        <f t="shared" si="2"/>
        <v>#18016</v>
      </c>
      <c r="B2819" s="93" t="str">
        <f>IF(COUNTIF(MAIN!B:B, A2819)=0, "Missing", "")</f>
        <v/>
      </c>
      <c r="E2819" s="128" t="str">
        <f t="shared" si="1"/>
        <v/>
      </c>
    </row>
    <row r="2820">
      <c r="A2820" s="93" t="str">
        <f t="shared" si="2"/>
        <v>#18017</v>
      </c>
      <c r="B2820" s="93" t="str">
        <f>IF(COUNTIF(MAIN!B:B, A2820)=0, "Missing", "")</f>
        <v/>
      </c>
      <c r="E2820" s="128" t="str">
        <f t="shared" si="1"/>
        <v/>
      </c>
    </row>
    <row r="2821">
      <c r="A2821" s="93" t="str">
        <f t="shared" si="2"/>
        <v>#18018</v>
      </c>
      <c r="B2821" s="93" t="str">
        <f>IF(COUNTIF(MAIN!B:B, A2821)=0, "Missing", "")</f>
        <v/>
      </c>
      <c r="E2821" s="128" t="str">
        <f t="shared" si="1"/>
        <v/>
      </c>
    </row>
    <row r="2822">
      <c r="A2822" s="93" t="str">
        <f t="shared" si="2"/>
        <v>#18019</v>
      </c>
      <c r="B2822" s="93" t="str">
        <f>IF(COUNTIF(MAIN!B:B, A2822)=0, "Missing", "")</f>
        <v/>
      </c>
      <c r="E2822" s="128" t="str">
        <f t="shared" si="1"/>
        <v/>
      </c>
    </row>
    <row r="2823">
      <c r="A2823" s="93" t="str">
        <f t="shared" si="2"/>
        <v>#18020</v>
      </c>
      <c r="B2823" s="93" t="str">
        <f>IF(COUNTIF(MAIN!B:B, A2823)=0, "Missing", "")</f>
        <v/>
      </c>
      <c r="E2823" s="128" t="str">
        <f t="shared" si="1"/>
        <v/>
      </c>
    </row>
    <row r="2824">
      <c r="A2824" s="93" t="str">
        <f t="shared" si="2"/>
        <v>#18021</v>
      </c>
      <c r="B2824" s="93" t="str">
        <f>IF(COUNTIF(MAIN!B:B, A2824)=0, "Missing", "")</f>
        <v/>
      </c>
      <c r="E2824" s="128" t="str">
        <f t="shared" si="1"/>
        <v/>
      </c>
    </row>
    <row r="2825">
      <c r="A2825" s="93" t="str">
        <f t="shared" si="2"/>
        <v>#18022</v>
      </c>
      <c r="B2825" s="93" t="str">
        <f>IF(COUNTIF(MAIN!B:B, A2825)=0, "Missing", "")</f>
        <v/>
      </c>
      <c r="E2825" s="128" t="str">
        <f t="shared" si="1"/>
        <v/>
      </c>
    </row>
    <row r="2826">
      <c r="A2826" s="93" t="str">
        <f t="shared" si="2"/>
        <v>#18023</v>
      </c>
      <c r="B2826" s="93" t="str">
        <f>IF(COUNTIF(MAIN!B:B, A2826)=0, "Missing", "")</f>
        <v/>
      </c>
      <c r="E2826" s="128" t="str">
        <f t="shared" si="1"/>
        <v/>
      </c>
    </row>
    <row r="2827">
      <c r="A2827" s="93" t="str">
        <f t="shared" si="2"/>
        <v>#18024</v>
      </c>
      <c r="B2827" s="93" t="str">
        <f>IF(COUNTIF(MAIN!B:B, A2827)=0, "Missing", "")</f>
        <v/>
      </c>
      <c r="E2827" s="128" t="str">
        <f t="shared" si="1"/>
        <v/>
      </c>
    </row>
    <row r="2828">
      <c r="A2828" s="93" t="str">
        <f t="shared" si="2"/>
        <v>#18025</v>
      </c>
      <c r="B2828" s="93" t="str">
        <f>IF(COUNTIF(MAIN!B:B, A2828)=0, "Missing", "")</f>
        <v/>
      </c>
      <c r="E2828" s="128" t="str">
        <f t="shared" si="1"/>
        <v/>
      </c>
    </row>
    <row r="2829">
      <c r="A2829" s="93" t="str">
        <f t="shared" si="2"/>
        <v>#18026</v>
      </c>
      <c r="B2829" s="93" t="str">
        <f>IF(COUNTIF(MAIN!B:B, A2829)=0, "Missing", "")</f>
        <v/>
      </c>
      <c r="E2829" s="128" t="str">
        <f t="shared" si="1"/>
        <v/>
      </c>
    </row>
    <row r="2830">
      <c r="A2830" s="93" t="str">
        <f t="shared" si="2"/>
        <v>#18027</v>
      </c>
      <c r="B2830" s="93" t="str">
        <f>IF(COUNTIF(MAIN!B:B, A2830)=0, "Missing", "")</f>
        <v/>
      </c>
      <c r="E2830" s="128" t="str">
        <f t="shared" si="1"/>
        <v/>
      </c>
    </row>
    <row r="2831">
      <c r="A2831" s="93" t="str">
        <f t="shared" si="2"/>
        <v>#18028</v>
      </c>
      <c r="B2831" s="93" t="str">
        <f>IF(COUNTIF(MAIN!B:B, A2831)=0, "Missing", "")</f>
        <v/>
      </c>
      <c r="E2831" s="128" t="str">
        <f t="shared" si="1"/>
        <v/>
      </c>
    </row>
    <row r="2832">
      <c r="A2832" s="93" t="str">
        <f t="shared" si="2"/>
        <v>#18029</v>
      </c>
      <c r="B2832" s="93" t="str">
        <f>IF(COUNTIF(MAIN!B:B, A2832)=0, "Missing", "")</f>
        <v/>
      </c>
      <c r="E2832" s="128" t="str">
        <f t="shared" si="1"/>
        <v/>
      </c>
    </row>
    <row r="2833">
      <c r="A2833" s="93" t="str">
        <f t="shared" si="2"/>
        <v>#18030</v>
      </c>
      <c r="B2833" s="93" t="str">
        <f>IF(COUNTIF(MAIN!B:B, A2833)=0, "Missing", "")</f>
        <v/>
      </c>
      <c r="E2833" s="128" t="str">
        <f t="shared" si="1"/>
        <v/>
      </c>
    </row>
    <row r="2834">
      <c r="A2834" s="93" t="str">
        <f t="shared" si="2"/>
        <v>#18031</v>
      </c>
      <c r="B2834" s="93" t="str">
        <f>IF(COUNTIF(MAIN!B:B, A2834)=0, "Missing", "")</f>
        <v/>
      </c>
      <c r="E2834" s="128" t="str">
        <f t="shared" si="1"/>
        <v/>
      </c>
    </row>
    <row r="2835">
      <c r="A2835" s="93" t="str">
        <f t="shared" si="2"/>
        <v>#18032</v>
      </c>
      <c r="B2835" s="93" t="str">
        <f>IF(COUNTIF(MAIN!B:B, A2835)=0, "Missing", "")</f>
        <v/>
      </c>
      <c r="E2835" s="128" t="str">
        <f t="shared" si="1"/>
        <v/>
      </c>
    </row>
    <row r="2836">
      <c r="A2836" s="93" t="str">
        <f t="shared" si="2"/>
        <v>#18033</v>
      </c>
      <c r="B2836" s="93" t="str">
        <f>IF(COUNTIF(MAIN!B:B, A2836)=0, "Missing", "")</f>
        <v/>
      </c>
      <c r="E2836" s="128" t="str">
        <f t="shared" si="1"/>
        <v/>
      </c>
    </row>
    <row r="2837">
      <c r="A2837" s="93" t="str">
        <f t="shared" si="2"/>
        <v>#18034</v>
      </c>
      <c r="B2837" s="93" t="str">
        <f>IF(COUNTIF(MAIN!B:B, A2837)=0, "Missing", "")</f>
        <v/>
      </c>
      <c r="E2837" s="128" t="str">
        <f t="shared" si="1"/>
        <v/>
      </c>
    </row>
    <row r="2838">
      <c r="A2838" s="93" t="str">
        <f t="shared" si="2"/>
        <v>#18035</v>
      </c>
      <c r="B2838" s="93" t="str">
        <f>IF(COUNTIF(MAIN!B:B, A2838)=0, "Missing", "")</f>
        <v/>
      </c>
      <c r="E2838" s="128" t="str">
        <f t="shared" si="1"/>
        <v/>
      </c>
    </row>
    <row r="2839">
      <c r="A2839" s="93" t="str">
        <f t="shared" si="2"/>
        <v>#18036</v>
      </c>
      <c r="B2839" s="93" t="str">
        <f>IF(COUNTIF(MAIN!B:B, A2839)=0, "Missing", "")</f>
        <v/>
      </c>
      <c r="E2839" s="128" t="str">
        <f t="shared" si="1"/>
        <v/>
      </c>
    </row>
    <row r="2840">
      <c r="A2840" s="93" t="str">
        <f t="shared" si="2"/>
        <v>#18037</v>
      </c>
      <c r="B2840" s="93" t="str">
        <f>IF(COUNTIF(MAIN!B:B, A2840)=0, "Missing", "")</f>
        <v/>
      </c>
      <c r="E2840" s="128" t="str">
        <f t="shared" si="1"/>
        <v/>
      </c>
    </row>
    <row r="2841">
      <c r="A2841" s="93" t="str">
        <f t="shared" si="2"/>
        <v>#18038</v>
      </c>
      <c r="B2841" s="93" t="str">
        <f>IF(COUNTIF(MAIN!B:B, A2841)=0, "Missing", "")</f>
        <v/>
      </c>
      <c r="E2841" s="128" t="str">
        <f t="shared" si="1"/>
        <v/>
      </c>
    </row>
    <row r="2842">
      <c r="A2842" s="93" t="str">
        <f t="shared" si="2"/>
        <v>#18039</v>
      </c>
      <c r="B2842" s="93" t="str">
        <f>IF(COUNTIF(MAIN!B:B, A2842)=0, "Missing", "")</f>
        <v/>
      </c>
      <c r="E2842" s="128" t="str">
        <f t="shared" si="1"/>
        <v/>
      </c>
    </row>
    <row r="2843">
      <c r="A2843" s="93" t="str">
        <f t="shared" si="2"/>
        <v>#18040</v>
      </c>
      <c r="B2843" s="93" t="str">
        <f>IF(COUNTIF(MAIN!B:B, A2843)=0, "Missing", "")</f>
        <v/>
      </c>
      <c r="E2843" s="128" t="str">
        <f t="shared" si="1"/>
        <v/>
      </c>
    </row>
    <row r="2844">
      <c r="A2844" s="93" t="str">
        <f t="shared" si="2"/>
        <v>#18041</v>
      </c>
      <c r="B2844" s="93" t="str">
        <f>IF(COUNTIF(MAIN!B:B, A2844)=0, "Missing", "")</f>
        <v/>
      </c>
      <c r="E2844" s="128" t="str">
        <f t="shared" si="1"/>
        <v/>
      </c>
    </row>
    <row r="2845">
      <c r="A2845" s="93" t="str">
        <f t="shared" si="2"/>
        <v>#18042</v>
      </c>
      <c r="B2845" s="93" t="str">
        <f>IF(COUNTIF(MAIN!B:B, A2845)=0, "Missing", "")</f>
        <v/>
      </c>
      <c r="E2845" s="128" t="str">
        <f t="shared" si="1"/>
        <v/>
      </c>
    </row>
    <row r="2846">
      <c r="A2846" s="93" t="str">
        <f t="shared" si="2"/>
        <v>#18043</v>
      </c>
      <c r="B2846" s="93" t="str">
        <f>IF(COUNTIF(MAIN!B:B, A2846)=0, "Missing", "")</f>
        <v/>
      </c>
      <c r="E2846" s="128" t="str">
        <f t="shared" si="1"/>
        <v/>
      </c>
    </row>
    <row r="2847">
      <c r="A2847" s="93" t="str">
        <f t="shared" si="2"/>
        <v>#18044</v>
      </c>
      <c r="B2847" s="93" t="str">
        <f>IF(COUNTIF(MAIN!B:B, A2847)=0, "Missing", "")</f>
        <v/>
      </c>
      <c r="E2847" s="128" t="str">
        <f t="shared" si="1"/>
        <v/>
      </c>
    </row>
    <row r="2848">
      <c r="A2848" s="93" t="str">
        <f t="shared" si="2"/>
        <v>#18045</v>
      </c>
      <c r="B2848" s="93" t="str">
        <f>IF(COUNTIF(MAIN!B:B, A2848)=0, "Missing", "")</f>
        <v/>
      </c>
      <c r="E2848" s="128" t="str">
        <f t="shared" si="1"/>
        <v/>
      </c>
    </row>
    <row r="2849">
      <c r="A2849" s="93" t="str">
        <f t="shared" si="2"/>
        <v>#18046</v>
      </c>
      <c r="B2849" s="93" t="str">
        <f>IF(COUNTIF(MAIN!B:B, A2849)=0, "Missing", "")</f>
        <v/>
      </c>
      <c r="E2849" s="128" t="str">
        <f t="shared" si="1"/>
        <v/>
      </c>
    </row>
    <row r="2850">
      <c r="A2850" s="93" t="str">
        <f t="shared" si="2"/>
        <v>#18047</v>
      </c>
      <c r="B2850" s="93" t="str">
        <f>IF(COUNTIF(MAIN!B:B, A2850)=0, "Missing", "")</f>
        <v/>
      </c>
      <c r="E2850" s="128" t="str">
        <f t="shared" si="1"/>
        <v/>
      </c>
    </row>
    <row r="2851">
      <c r="A2851" s="93" t="str">
        <f t="shared" si="2"/>
        <v>#18048</v>
      </c>
      <c r="B2851" s="93" t="str">
        <f>IF(COUNTIF(MAIN!B:B, A2851)=0, "Missing", "")</f>
        <v/>
      </c>
      <c r="E2851" s="128" t="str">
        <f t="shared" si="1"/>
        <v/>
      </c>
    </row>
    <row r="2852">
      <c r="A2852" s="93" t="str">
        <f t="shared" si="2"/>
        <v>#18049</v>
      </c>
      <c r="B2852" s="93" t="str">
        <f>IF(COUNTIF(MAIN!B:B, A2852)=0, "Missing", "")</f>
        <v/>
      </c>
      <c r="E2852" s="128" t="str">
        <f t="shared" si="1"/>
        <v/>
      </c>
    </row>
    <row r="2853">
      <c r="A2853" s="93" t="str">
        <f t="shared" si="2"/>
        <v>#18050</v>
      </c>
      <c r="B2853" s="93" t="str">
        <f>IF(COUNTIF(MAIN!B:B, A2853)=0, "Missing", "")</f>
        <v/>
      </c>
      <c r="E2853" s="128" t="str">
        <f t="shared" si="1"/>
        <v/>
      </c>
    </row>
    <row r="2854">
      <c r="A2854" s="93" t="str">
        <f t="shared" si="2"/>
        <v>#18051</v>
      </c>
      <c r="B2854" s="93" t="str">
        <f>IF(COUNTIF(MAIN!B:B, A2854)=0, "Missing", "")</f>
        <v/>
      </c>
      <c r="E2854" s="128" t="str">
        <f t="shared" si="1"/>
        <v/>
      </c>
    </row>
    <row r="2855">
      <c r="A2855" s="93" t="str">
        <f t="shared" si="2"/>
        <v>#18052</v>
      </c>
      <c r="B2855" s="93" t="str">
        <f>IF(COUNTIF(MAIN!B:B, A2855)=0, "Missing", "")</f>
        <v/>
      </c>
      <c r="E2855" s="128" t="str">
        <f t="shared" si="1"/>
        <v/>
      </c>
    </row>
    <row r="2856">
      <c r="A2856" s="93" t="str">
        <f t="shared" si="2"/>
        <v>#18053</v>
      </c>
      <c r="B2856" s="93" t="str">
        <f>IF(COUNTIF(MAIN!B:B, A2856)=0, "Missing", "")</f>
        <v/>
      </c>
      <c r="E2856" s="128" t="str">
        <f t="shared" si="1"/>
        <v/>
      </c>
    </row>
    <row r="2857">
      <c r="A2857" s="93" t="str">
        <f t="shared" si="2"/>
        <v>#18054</v>
      </c>
      <c r="B2857" s="93" t="str">
        <f>IF(COUNTIF(MAIN!B:B, A2857)=0, "Missing", "")</f>
        <v/>
      </c>
      <c r="E2857" s="128" t="str">
        <f t="shared" si="1"/>
        <v/>
      </c>
    </row>
    <row r="2858">
      <c r="A2858" s="93" t="str">
        <f t="shared" si="2"/>
        <v>#18055</v>
      </c>
      <c r="B2858" s="93" t="str">
        <f>IF(COUNTIF(MAIN!B:B, A2858)=0, "Missing", "")</f>
        <v/>
      </c>
      <c r="E2858" s="128" t="str">
        <f t="shared" si="1"/>
        <v/>
      </c>
    </row>
    <row r="2859">
      <c r="A2859" s="93" t="str">
        <f t="shared" si="2"/>
        <v>#18056</v>
      </c>
      <c r="B2859" s="93" t="str">
        <f>IF(COUNTIF(MAIN!B:B, A2859)=0, "Missing", "")</f>
        <v>Missing</v>
      </c>
      <c r="C2859" s="84" t="s">
        <v>15238</v>
      </c>
      <c r="E2859" s="131" t="str">
        <f t="shared" si="1"/>
        <v>https://utrucking.myshopify.com/admin/orders?query=18056</v>
      </c>
    </row>
    <row r="2860">
      <c r="A2860" s="93" t="str">
        <f t="shared" si="2"/>
        <v>#18057</v>
      </c>
      <c r="B2860" s="93" t="str">
        <f>IF(COUNTIF(MAIN!B:B, A2860)=0, "Missing", "")</f>
        <v/>
      </c>
      <c r="E2860" s="128" t="str">
        <f t="shared" si="1"/>
        <v/>
      </c>
    </row>
    <row r="2861">
      <c r="A2861" s="93" t="str">
        <f t="shared" si="2"/>
        <v>#18058</v>
      </c>
      <c r="B2861" s="93" t="str">
        <f>IF(COUNTIF(MAIN!B:B, A2861)=0, "Missing", "")</f>
        <v/>
      </c>
      <c r="E2861" s="128" t="str">
        <f t="shared" si="1"/>
        <v/>
      </c>
    </row>
    <row r="2862">
      <c r="A2862" s="93" t="str">
        <f t="shared" si="2"/>
        <v>#18059</v>
      </c>
      <c r="B2862" s="93" t="str">
        <f>IF(COUNTIF(MAIN!B:B, A2862)=0, "Missing", "")</f>
        <v/>
      </c>
      <c r="E2862" s="128" t="str">
        <f t="shared" si="1"/>
        <v/>
      </c>
    </row>
    <row r="2863">
      <c r="A2863" s="93" t="str">
        <f t="shared" si="2"/>
        <v>#18060</v>
      </c>
      <c r="B2863" s="93" t="str">
        <f>IF(COUNTIF(MAIN!B:B, A2863)=0, "Missing", "")</f>
        <v/>
      </c>
      <c r="E2863" s="128" t="str">
        <f t="shared" si="1"/>
        <v/>
      </c>
    </row>
    <row r="2864">
      <c r="A2864" s="93" t="str">
        <f t="shared" si="2"/>
        <v>#18061</v>
      </c>
      <c r="B2864" s="93" t="str">
        <f>IF(COUNTIF(MAIN!B:B, A2864)=0, "Missing", "")</f>
        <v/>
      </c>
      <c r="E2864" s="128" t="str">
        <f t="shared" si="1"/>
        <v/>
      </c>
    </row>
    <row r="2865">
      <c r="A2865" s="93" t="str">
        <f t="shared" si="2"/>
        <v>#18062</v>
      </c>
      <c r="B2865" s="93" t="str">
        <f>IF(COUNTIF(MAIN!B:B, A2865)=0, "Missing", "")</f>
        <v/>
      </c>
      <c r="E2865" s="128" t="str">
        <f t="shared" si="1"/>
        <v/>
      </c>
    </row>
    <row r="2866">
      <c r="A2866" s="93" t="str">
        <f t="shared" si="2"/>
        <v>#18063</v>
      </c>
      <c r="B2866" s="93" t="str">
        <f>IF(COUNTIF(MAIN!B:B, A2866)=0, "Missing", "")</f>
        <v/>
      </c>
      <c r="E2866" s="128" t="str">
        <f t="shared" si="1"/>
        <v/>
      </c>
    </row>
    <row r="2867">
      <c r="A2867" s="93" t="str">
        <f t="shared" si="2"/>
        <v>#18064</v>
      </c>
      <c r="B2867" s="93" t="str">
        <f>IF(COUNTIF(MAIN!B:B, A2867)=0, "Missing", "")</f>
        <v/>
      </c>
      <c r="E2867" s="128" t="str">
        <f t="shared" si="1"/>
        <v/>
      </c>
    </row>
    <row r="2868">
      <c r="A2868" s="93" t="str">
        <f t="shared" si="2"/>
        <v>#18065</v>
      </c>
      <c r="B2868" s="93" t="str">
        <f>IF(COUNTIF(MAIN!B:B, A2868)=0, "Missing", "")</f>
        <v/>
      </c>
      <c r="E2868" s="128" t="str">
        <f t="shared" si="1"/>
        <v/>
      </c>
    </row>
    <row r="2869">
      <c r="A2869" s="93" t="str">
        <f t="shared" si="2"/>
        <v>#18066</v>
      </c>
      <c r="B2869" s="93" t="str">
        <f>IF(COUNTIF(MAIN!B:B, A2869)=0, "Missing", "")</f>
        <v/>
      </c>
      <c r="E2869" s="128" t="str">
        <f t="shared" si="1"/>
        <v/>
      </c>
    </row>
    <row r="2870">
      <c r="A2870" s="93" t="str">
        <f t="shared" si="2"/>
        <v>#18067</v>
      </c>
      <c r="B2870" s="93" t="str">
        <f>IF(COUNTIF(MAIN!B:B, A2870)=0, "Missing", "")</f>
        <v/>
      </c>
      <c r="E2870" s="128" t="str">
        <f t="shared" si="1"/>
        <v/>
      </c>
    </row>
    <row r="2871">
      <c r="A2871" s="93" t="str">
        <f t="shared" si="2"/>
        <v>#18068</v>
      </c>
      <c r="B2871" s="93" t="str">
        <f>IF(COUNTIF(MAIN!B:B, A2871)=0, "Missing", "")</f>
        <v/>
      </c>
      <c r="E2871" s="128" t="str">
        <f t="shared" si="1"/>
        <v/>
      </c>
    </row>
    <row r="2872">
      <c r="A2872" s="93" t="str">
        <f t="shared" si="2"/>
        <v>#18069</v>
      </c>
      <c r="B2872" s="93" t="str">
        <f>IF(COUNTIF(MAIN!B:B, A2872)=0, "Missing", "")</f>
        <v/>
      </c>
      <c r="E2872" s="128" t="str">
        <f t="shared" si="1"/>
        <v/>
      </c>
    </row>
    <row r="2873">
      <c r="A2873" s="93" t="str">
        <f t="shared" si="2"/>
        <v>#18070</v>
      </c>
      <c r="B2873" s="93" t="str">
        <f>IF(COUNTIF(MAIN!B:B, A2873)=0, "Missing", "")</f>
        <v/>
      </c>
      <c r="E2873" s="128" t="str">
        <f t="shared" si="1"/>
        <v/>
      </c>
    </row>
    <row r="2874">
      <c r="A2874" s="93" t="str">
        <f t="shared" si="2"/>
        <v>#18071</v>
      </c>
      <c r="B2874" s="93" t="str">
        <f>IF(COUNTIF(MAIN!B:B, A2874)=0, "Missing", "")</f>
        <v/>
      </c>
      <c r="E2874" s="128" t="str">
        <f t="shared" si="1"/>
        <v/>
      </c>
    </row>
    <row r="2875">
      <c r="A2875" s="93" t="str">
        <f t="shared" si="2"/>
        <v>#18072</v>
      </c>
      <c r="B2875" s="93" t="str">
        <f>IF(COUNTIF(MAIN!B:B, A2875)=0, "Missing", "")</f>
        <v/>
      </c>
      <c r="E2875" s="128" t="str">
        <f t="shared" si="1"/>
        <v/>
      </c>
    </row>
    <row r="2876">
      <c r="A2876" s="93" t="str">
        <f t="shared" si="2"/>
        <v>#18073</v>
      </c>
      <c r="B2876" s="93" t="str">
        <f>IF(COUNTIF(MAIN!B:B, A2876)=0, "Missing", "")</f>
        <v/>
      </c>
      <c r="E2876" s="128" t="str">
        <f t="shared" si="1"/>
        <v/>
      </c>
    </row>
    <row r="2877">
      <c r="A2877" s="93" t="str">
        <f t="shared" si="2"/>
        <v>#18074</v>
      </c>
      <c r="B2877" s="93" t="str">
        <f>IF(COUNTIF(MAIN!B:B, A2877)=0, "Missing", "")</f>
        <v/>
      </c>
      <c r="E2877" s="128" t="str">
        <f t="shared" si="1"/>
        <v/>
      </c>
    </row>
    <row r="2878">
      <c r="A2878" s="93" t="str">
        <f t="shared" si="2"/>
        <v>#18075</v>
      </c>
      <c r="B2878" s="93" t="str">
        <f>IF(COUNTIF(MAIN!B:B, A2878)=0, "Missing", "")</f>
        <v/>
      </c>
      <c r="E2878" s="128" t="str">
        <f t="shared" si="1"/>
        <v/>
      </c>
    </row>
    <row r="2879">
      <c r="A2879" s="93" t="str">
        <f t="shared" si="2"/>
        <v>#18076</v>
      </c>
      <c r="B2879" s="93" t="str">
        <f>IF(COUNTIF(MAIN!B:B, A2879)=0, "Missing", "")</f>
        <v/>
      </c>
      <c r="E2879" s="128" t="str">
        <f t="shared" si="1"/>
        <v/>
      </c>
    </row>
    <row r="2880">
      <c r="A2880" s="93" t="str">
        <f t="shared" si="2"/>
        <v>#18077</v>
      </c>
      <c r="B2880" s="93" t="str">
        <f>IF(COUNTIF(MAIN!B:B, A2880)=0, "Missing", "")</f>
        <v/>
      </c>
      <c r="E2880" s="128" t="str">
        <f t="shared" si="1"/>
        <v/>
      </c>
    </row>
    <row r="2881">
      <c r="A2881" s="93" t="str">
        <f t="shared" si="2"/>
        <v>#18078</v>
      </c>
      <c r="B2881" s="93" t="str">
        <f>IF(COUNTIF(MAIN!B:B, A2881)=0, "Missing", "")</f>
        <v/>
      </c>
      <c r="E2881" s="128" t="str">
        <f t="shared" si="1"/>
        <v/>
      </c>
    </row>
    <row r="2882">
      <c r="A2882" s="93" t="str">
        <f t="shared" si="2"/>
        <v>#18079</v>
      </c>
      <c r="B2882" s="93" t="str">
        <f>IF(COUNTIF(MAIN!B:B, A2882)=0, "Missing", "")</f>
        <v/>
      </c>
      <c r="E2882" s="128" t="str">
        <f t="shared" si="1"/>
        <v/>
      </c>
    </row>
    <row r="2883">
      <c r="A2883" s="93" t="str">
        <f t="shared" si="2"/>
        <v>#18080</v>
      </c>
      <c r="B2883" s="93" t="str">
        <f>IF(COUNTIF(MAIN!B:B, A2883)=0, "Missing", "")</f>
        <v/>
      </c>
      <c r="E2883" s="128" t="str">
        <f t="shared" si="1"/>
        <v/>
      </c>
    </row>
    <row r="2884">
      <c r="A2884" s="93" t="str">
        <f t="shared" si="2"/>
        <v>#18081</v>
      </c>
      <c r="B2884" s="93" t="str">
        <f>IF(COUNTIF(MAIN!B:B, A2884)=0, "Missing", "")</f>
        <v/>
      </c>
      <c r="E2884" s="128" t="str">
        <f t="shared" si="1"/>
        <v/>
      </c>
    </row>
    <row r="2885">
      <c r="A2885" s="93" t="str">
        <f t="shared" si="2"/>
        <v>#18082</v>
      </c>
      <c r="B2885" s="93" t="str">
        <f>IF(COUNTIF(MAIN!B:B, A2885)=0, "Missing", "")</f>
        <v/>
      </c>
      <c r="E2885" s="128" t="str">
        <f t="shared" si="1"/>
        <v/>
      </c>
    </row>
    <row r="2886">
      <c r="A2886" s="93" t="str">
        <f t="shared" si="2"/>
        <v>#18083</v>
      </c>
      <c r="B2886" s="93" t="str">
        <f>IF(COUNTIF(MAIN!B:B, A2886)=0, "Missing", "")</f>
        <v/>
      </c>
      <c r="E2886" s="128" t="str">
        <f t="shared" si="1"/>
        <v/>
      </c>
    </row>
    <row r="2887">
      <c r="A2887" s="93" t="str">
        <f t="shared" si="2"/>
        <v>#18084</v>
      </c>
      <c r="B2887" s="93" t="str">
        <f>IF(COUNTIF(MAIN!B:B, A2887)=0, "Missing", "")</f>
        <v/>
      </c>
      <c r="E2887" s="128" t="str">
        <f t="shared" si="1"/>
        <v/>
      </c>
    </row>
    <row r="2888">
      <c r="A2888" s="93" t="str">
        <f t="shared" si="2"/>
        <v>#18085</v>
      </c>
      <c r="B2888" s="93" t="str">
        <f>IF(COUNTIF(MAIN!B:B, A2888)=0, "Missing", "")</f>
        <v/>
      </c>
      <c r="E2888" s="128" t="str">
        <f t="shared" si="1"/>
        <v/>
      </c>
    </row>
    <row r="2889">
      <c r="A2889" s="93" t="str">
        <f t="shared" si="2"/>
        <v>#18086</v>
      </c>
      <c r="B2889" s="93" t="str">
        <f>IF(COUNTIF(MAIN!B:B, A2889)=0, "Missing", "")</f>
        <v/>
      </c>
      <c r="E2889" s="128" t="str">
        <f t="shared" si="1"/>
        <v/>
      </c>
    </row>
    <row r="2890">
      <c r="A2890" s="93" t="str">
        <f t="shared" si="2"/>
        <v>#18087</v>
      </c>
      <c r="B2890" s="93" t="str">
        <f>IF(COUNTIF(MAIN!B:B, A2890)=0, "Missing", "")</f>
        <v/>
      </c>
      <c r="E2890" s="128" t="str">
        <f t="shared" si="1"/>
        <v/>
      </c>
    </row>
    <row r="2891">
      <c r="A2891" s="93" t="str">
        <f t="shared" si="2"/>
        <v>#18088</v>
      </c>
      <c r="B2891" s="93" t="str">
        <f>IF(COUNTIF(MAIN!B:B, A2891)=0, "Missing", "")</f>
        <v/>
      </c>
      <c r="E2891" s="128" t="str">
        <f t="shared" si="1"/>
        <v/>
      </c>
    </row>
    <row r="2892">
      <c r="A2892" s="93" t="str">
        <f t="shared" si="2"/>
        <v>#18089</v>
      </c>
      <c r="B2892" s="93" t="str">
        <f>IF(COUNTIF(MAIN!B:B, A2892)=0, "Missing", "")</f>
        <v/>
      </c>
      <c r="E2892" s="128" t="str">
        <f t="shared" si="1"/>
        <v/>
      </c>
    </row>
    <row r="2893">
      <c r="A2893" s="93" t="str">
        <f t="shared" si="2"/>
        <v>#18090</v>
      </c>
      <c r="B2893" s="93" t="str">
        <f>IF(COUNTIF(MAIN!B:B, A2893)=0, "Missing", "")</f>
        <v/>
      </c>
      <c r="E2893" s="128" t="str">
        <f t="shared" si="1"/>
        <v/>
      </c>
    </row>
    <row r="2894">
      <c r="A2894" s="93" t="str">
        <f t="shared" si="2"/>
        <v>#18091</v>
      </c>
      <c r="B2894" s="93" t="str">
        <f>IF(COUNTIF(MAIN!B:B, A2894)=0, "Missing", "")</f>
        <v/>
      </c>
      <c r="E2894" s="128" t="str">
        <f t="shared" si="1"/>
        <v/>
      </c>
    </row>
    <row r="2895">
      <c r="A2895" s="93" t="str">
        <f t="shared" si="2"/>
        <v>#18092</v>
      </c>
      <c r="B2895" s="93" t="str">
        <f>IF(COUNTIF(MAIN!B:B, A2895)=0, "Missing", "")</f>
        <v/>
      </c>
      <c r="E2895" s="128" t="str">
        <f t="shared" si="1"/>
        <v/>
      </c>
    </row>
    <row r="2896">
      <c r="A2896" s="93" t="str">
        <f t="shared" si="2"/>
        <v>#18093</v>
      </c>
      <c r="B2896" s="93" t="str">
        <f>IF(COUNTIF(MAIN!B:B, A2896)=0, "Missing", "")</f>
        <v/>
      </c>
      <c r="E2896" s="128" t="str">
        <f t="shared" si="1"/>
        <v/>
      </c>
    </row>
    <row r="2897">
      <c r="A2897" s="93" t="str">
        <f t="shared" si="2"/>
        <v>#18094</v>
      </c>
      <c r="B2897" s="93" t="str">
        <f>IF(COUNTIF(MAIN!B:B, A2897)=0, "Missing", "")</f>
        <v/>
      </c>
      <c r="E2897" s="128" t="str">
        <f t="shared" si="1"/>
        <v/>
      </c>
    </row>
    <row r="2898">
      <c r="A2898" s="93" t="str">
        <f t="shared" si="2"/>
        <v>#18095</v>
      </c>
      <c r="B2898" s="93" t="str">
        <f>IF(COUNTIF(MAIN!B:B, A2898)=0, "Missing", "")</f>
        <v/>
      </c>
      <c r="E2898" s="128" t="str">
        <f t="shared" si="1"/>
        <v/>
      </c>
    </row>
    <row r="2899">
      <c r="A2899" s="93" t="str">
        <f t="shared" si="2"/>
        <v>#18096</v>
      </c>
      <c r="B2899" s="93" t="str">
        <f>IF(COUNTIF(MAIN!B:B, A2899)=0, "Missing", "")</f>
        <v/>
      </c>
      <c r="E2899" s="128" t="str">
        <f t="shared" si="1"/>
        <v/>
      </c>
    </row>
    <row r="2900">
      <c r="A2900" s="93" t="str">
        <f t="shared" si="2"/>
        <v>#18097</v>
      </c>
      <c r="B2900" s="93" t="str">
        <f>IF(COUNTIF(MAIN!B:B, A2900)=0, "Missing", "")</f>
        <v/>
      </c>
      <c r="E2900" s="128" t="str">
        <f t="shared" si="1"/>
        <v/>
      </c>
    </row>
    <row r="2901">
      <c r="A2901" s="93" t="str">
        <f t="shared" si="2"/>
        <v>#18098</v>
      </c>
      <c r="B2901" s="93" t="str">
        <f>IF(COUNTIF(MAIN!B:B, A2901)=0, "Missing", "")</f>
        <v/>
      </c>
      <c r="E2901" s="128" t="str">
        <f t="shared" si="1"/>
        <v/>
      </c>
    </row>
    <row r="2902">
      <c r="A2902" s="93" t="str">
        <f t="shared" si="2"/>
        <v>#18099</v>
      </c>
      <c r="B2902" s="93" t="str">
        <f>IF(COUNTIF(MAIN!B:B, A2902)=0, "Missing", "")</f>
        <v/>
      </c>
      <c r="E2902" s="128" t="str">
        <f t="shared" si="1"/>
        <v/>
      </c>
    </row>
    <row r="2903">
      <c r="A2903" s="93" t="str">
        <f t="shared" si="2"/>
        <v>#18100</v>
      </c>
      <c r="B2903" s="93" t="str">
        <f>IF(COUNTIF(MAIN!B:B, A2903)=0, "Missing", "")</f>
        <v/>
      </c>
      <c r="E2903" s="128" t="str">
        <f t="shared" si="1"/>
        <v/>
      </c>
    </row>
    <row r="2904">
      <c r="A2904" s="93" t="str">
        <f t="shared" si="2"/>
        <v>#18101</v>
      </c>
      <c r="B2904" s="93" t="str">
        <f>IF(COUNTIF(MAIN!B:B, A2904)=0, "Missing", "")</f>
        <v/>
      </c>
      <c r="E2904" s="128" t="str">
        <f t="shared" si="1"/>
        <v/>
      </c>
    </row>
    <row r="2905">
      <c r="A2905" s="93" t="str">
        <f t="shared" si="2"/>
        <v>#18102</v>
      </c>
      <c r="B2905" s="93" t="str">
        <f>IF(COUNTIF(MAIN!B:B, A2905)=0, "Missing", "")</f>
        <v/>
      </c>
      <c r="E2905" s="128" t="str">
        <f t="shared" si="1"/>
        <v/>
      </c>
    </row>
    <row r="2906">
      <c r="A2906" s="93" t="str">
        <f t="shared" si="2"/>
        <v>#18103</v>
      </c>
      <c r="B2906" s="93" t="str">
        <f>IF(COUNTIF(MAIN!B:B, A2906)=0, "Missing", "")</f>
        <v/>
      </c>
      <c r="E2906" s="128" t="str">
        <f t="shared" si="1"/>
        <v/>
      </c>
    </row>
    <row r="2907">
      <c r="A2907" s="93" t="str">
        <f t="shared" si="2"/>
        <v>#18104</v>
      </c>
      <c r="B2907" s="93" t="str">
        <f>IF(COUNTIF(MAIN!B:B, A2907)=0, "Missing", "")</f>
        <v/>
      </c>
      <c r="E2907" s="128" t="str">
        <f t="shared" si="1"/>
        <v/>
      </c>
    </row>
    <row r="2908">
      <c r="A2908" s="93" t="str">
        <f t="shared" si="2"/>
        <v>#18105</v>
      </c>
      <c r="B2908" s="93" t="str">
        <f>IF(COUNTIF(MAIN!B:B, A2908)=0, "Missing", "")</f>
        <v/>
      </c>
      <c r="E2908" s="128" t="str">
        <f t="shared" si="1"/>
        <v/>
      </c>
    </row>
    <row r="2909">
      <c r="A2909" s="93" t="str">
        <f t="shared" si="2"/>
        <v>#18106</v>
      </c>
      <c r="B2909" s="93" t="str">
        <f>IF(COUNTIF(MAIN!B:B, A2909)=0, "Missing", "")</f>
        <v/>
      </c>
      <c r="E2909" s="128" t="str">
        <f t="shared" si="1"/>
        <v/>
      </c>
    </row>
    <row r="2910">
      <c r="A2910" s="93" t="str">
        <f t="shared" si="2"/>
        <v>#18107</v>
      </c>
      <c r="B2910" s="93" t="str">
        <f>IF(COUNTIF(MAIN!B:B, A2910)=0, "Missing", "")</f>
        <v/>
      </c>
      <c r="E2910" s="128" t="str">
        <f t="shared" si="1"/>
        <v/>
      </c>
    </row>
    <row r="2911">
      <c r="A2911" s="93" t="str">
        <f t="shared" si="2"/>
        <v>#18108</v>
      </c>
      <c r="B2911" s="93" t="str">
        <f>IF(COUNTIF(MAIN!B:B, A2911)=0, "Missing", "")</f>
        <v/>
      </c>
      <c r="E2911" s="128" t="str">
        <f t="shared" si="1"/>
        <v/>
      </c>
    </row>
    <row r="2912">
      <c r="A2912" s="93" t="str">
        <f t="shared" si="2"/>
        <v>#18109</v>
      </c>
      <c r="B2912" s="93" t="str">
        <f>IF(COUNTIF(MAIN!B:B, A2912)=0, "Missing", "")</f>
        <v/>
      </c>
      <c r="E2912" s="128" t="str">
        <f t="shared" si="1"/>
        <v/>
      </c>
    </row>
    <row r="2913">
      <c r="A2913" s="93" t="str">
        <f t="shared" si="2"/>
        <v>#18110</v>
      </c>
      <c r="B2913" s="93" t="str">
        <f>IF(COUNTIF(MAIN!B:B, A2913)=0, "Missing", "")</f>
        <v/>
      </c>
      <c r="E2913" s="128" t="str">
        <f t="shared" si="1"/>
        <v/>
      </c>
    </row>
    <row r="2914">
      <c r="A2914" s="93" t="str">
        <f t="shared" si="2"/>
        <v>#18111</v>
      </c>
      <c r="B2914" s="93" t="str">
        <f>IF(COUNTIF(MAIN!B:B, A2914)=0, "Missing", "")</f>
        <v/>
      </c>
      <c r="E2914" s="128" t="str">
        <f t="shared" si="1"/>
        <v/>
      </c>
    </row>
    <row r="2915">
      <c r="A2915" s="93" t="str">
        <f t="shared" si="2"/>
        <v>#18112</v>
      </c>
      <c r="B2915" s="93" t="str">
        <f>IF(COUNTIF(MAIN!B:B, A2915)=0, "Missing", "")</f>
        <v/>
      </c>
      <c r="E2915" s="128" t="str">
        <f t="shared" si="1"/>
        <v/>
      </c>
    </row>
    <row r="2916">
      <c r="A2916" s="93" t="str">
        <f t="shared" si="2"/>
        <v>#18113</v>
      </c>
      <c r="B2916" s="93" t="str">
        <f>IF(COUNTIF(MAIN!B:B, A2916)=0, "Missing", "")</f>
        <v/>
      </c>
      <c r="E2916" s="128" t="str">
        <f t="shared" si="1"/>
        <v/>
      </c>
    </row>
    <row r="2917">
      <c r="A2917" s="93" t="str">
        <f t="shared" si="2"/>
        <v>#18114</v>
      </c>
      <c r="B2917" s="93" t="str">
        <f>IF(COUNTIF(MAIN!B:B, A2917)=0, "Missing", "")</f>
        <v/>
      </c>
      <c r="E2917" s="128" t="str">
        <f t="shared" si="1"/>
        <v/>
      </c>
    </row>
    <row r="2918">
      <c r="A2918" s="93" t="str">
        <f t="shared" si="2"/>
        <v>#18115</v>
      </c>
      <c r="B2918" s="93" t="str">
        <f>IF(COUNTIF(MAIN!B:B, A2918)=0, "Missing", "")</f>
        <v/>
      </c>
      <c r="E2918" s="128" t="str">
        <f t="shared" si="1"/>
        <v/>
      </c>
    </row>
    <row r="2919">
      <c r="A2919" s="93" t="str">
        <f t="shared" si="2"/>
        <v>#18116</v>
      </c>
      <c r="B2919" s="93" t="str">
        <f>IF(COUNTIF(MAIN!B:B, A2919)=0, "Missing", "")</f>
        <v/>
      </c>
      <c r="E2919" s="128" t="str">
        <f t="shared" si="1"/>
        <v/>
      </c>
    </row>
    <row r="2920">
      <c r="A2920" s="93" t="str">
        <f t="shared" si="2"/>
        <v>#18117</v>
      </c>
      <c r="B2920" s="93" t="str">
        <f>IF(COUNTIF(MAIN!B:B, A2920)=0, "Missing", "")</f>
        <v/>
      </c>
      <c r="E2920" s="128" t="str">
        <f t="shared" si="1"/>
        <v/>
      </c>
    </row>
    <row r="2921">
      <c r="A2921" s="93" t="str">
        <f t="shared" si="2"/>
        <v>#18118</v>
      </c>
      <c r="B2921" s="93" t="str">
        <f>IF(COUNTIF(MAIN!B:B, A2921)=0, "Missing", "")</f>
        <v/>
      </c>
      <c r="E2921" s="128" t="str">
        <f t="shared" si="1"/>
        <v/>
      </c>
    </row>
    <row r="2922">
      <c r="A2922" s="93" t="str">
        <f t="shared" si="2"/>
        <v>#18119</v>
      </c>
      <c r="B2922" s="93" t="str">
        <f>IF(COUNTIF(MAIN!B:B, A2922)=0, "Missing", "")</f>
        <v/>
      </c>
      <c r="E2922" s="128" t="str">
        <f t="shared" si="1"/>
        <v/>
      </c>
    </row>
    <row r="2923">
      <c r="A2923" s="93" t="str">
        <f t="shared" si="2"/>
        <v>#18120</v>
      </c>
      <c r="B2923" s="93" t="str">
        <f>IF(COUNTIF(MAIN!B:B, A2923)=0, "Missing", "")</f>
        <v/>
      </c>
      <c r="E2923" s="128" t="str">
        <f t="shared" si="1"/>
        <v/>
      </c>
    </row>
    <row r="2924">
      <c r="A2924" s="93" t="str">
        <f t="shared" si="2"/>
        <v>#18121</v>
      </c>
      <c r="B2924" s="93" t="str">
        <f>IF(COUNTIF(MAIN!B:B, A2924)=0, "Missing", "")</f>
        <v/>
      </c>
      <c r="E2924" s="128" t="str">
        <f t="shared" si="1"/>
        <v/>
      </c>
    </row>
    <row r="2925">
      <c r="A2925" s="93" t="str">
        <f t="shared" si="2"/>
        <v>#18122</v>
      </c>
      <c r="B2925" s="93" t="str">
        <f>IF(COUNTIF(MAIN!B:B, A2925)=0, "Missing", "")</f>
        <v/>
      </c>
      <c r="E2925" s="128" t="str">
        <f t="shared" si="1"/>
        <v/>
      </c>
    </row>
    <row r="2926">
      <c r="A2926" s="93" t="str">
        <f t="shared" si="2"/>
        <v>#18123</v>
      </c>
      <c r="B2926" s="93" t="str">
        <f>IF(COUNTIF(MAIN!B:B, A2926)=0, "Missing", "")</f>
        <v/>
      </c>
      <c r="E2926" s="128" t="str">
        <f t="shared" si="1"/>
        <v/>
      </c>
    </row>
    <row r="2927">
      <c r="A2927" s="93" t="str">
        <f t="shared" si="2"/>
        <v>#18124</v>
      </c>
      <c r="B2927" s="93" t="str">
        <f>IF(COUNTIF(MAIN!B:B, A2927)=0, "Missing", "")</f>
        <v/>
      </c>
      <c r="E2927" s="128" t="str">
        <f t="shared" si="1"/>
        <v/>
      </c>
    </row>
    <row r="2928">
      <c r="A2928" s="93" t="str">
        <f t="shared" si="2"/>
        <v>#18125</v>
      </c>
      <c r="B2928" s="93" t="str">
        <f>IF(COUNTIF(MAIN!B:B, A2928)=0, "Missing", "")</f>
        <v/>
      </c>
      <c r="E2928" s="128" t="str">
        <f t="shared" si="1"/>
        <v/>
      </c>
    </row>
    <row r="2929">
      <c r="A2929" s="93" t="str">
        <f t="shared" si="2"/>
        <v>#18126</v>
      </c>
      <c r="B2929" s="93" t="str">
        <f>IF(COUNTIF(MAIN!B:B, A2929)=0, "Missing", "")</f>
        <v/>
      </c>
      <c r="E2929" s="128" t="str">
        <f t="shared" si="1"/>
        <v/>
      </c>
    </row>
    <row r="2930">
      <c r="A2930" s="93" t="str">
        <f t="shared" si="2"/>
        <v>#18127</v>
      </c>
      <c r="B2930" s="93" t="str">
        <f>IF(COUNTIF(MAIN!B:B, A2930)=0, "Missing", "")</f>
        <v/>
      </c>
      <c r="E2930" s="128" t="str">
        <f t="shared" si="1"/>
        <v/>
      </c>
    </row>
    <row r="2931">
      <c r="A2931" s="93" t="str">
        <f t="shared" si="2"/>
        <v>#18128</v>
      </c>
      <c r="B2931" s="93" t="str">
        <f>IF(COUNTIF(MAIN!B:B, A2931)=0, "Missing", "")</f>
        <v/>
      </c>
      <c r="E2931" s="128" t="str">
        <f t="shared" si="1"/>
        <v/>
      </c>
    </row>
    <row r="2932">
      <c r="A2932" s="93" t="str">
        <f t="shared" si="2"/>
        <v>#18129</v>
      </c>
      <c r="B2932" s="93" t="str">
        <f>IF(COUNTIF(MAIN!B:B, A2932)=0, "Missing", "")</f>
        <v/>
      </c>
      <c r="E2932" s="128" t="str">
        <f t="shared" si="1"/>
        <v/>
      </c>
    </row>
    <row r="2933">
      <c r="A2933" s="93" t="str">
        <f t="shared" si="2"/>
        <v>#18130</v>
      </c>
      <c r="B2933" s="93" t="str">
        <f>IF(COUNTIF(MAIN!B:B, A2933)=0, "Missing", "")</f>
        <v/>
      </c>
      <c r="E2933" s="128" t="str">
        <f t="shared" si="1"/>
        <v/>
      </c>
    </row>
    <row r="2934">
      <c r="A2934" s="93" t="str">
        <f t="shared" si="2"/>
        <v>#18131</v>
      </c>
      <c r="B2934" s="93" t="str">
        <f>IF(COUNTIF(MAIN!B:B, A2934)=0, "Missing", "")</f>
        <v/>
      </c>
      <c r="E2934" s="128" t="str">
        <f t="shared" si="1"/>
        <v/>
      </c>
    </row>
    <row r="2935">
      <c r="A2935" s="93" t="str">
        <f t="shared" si="2"/>
        <v>#18132</v>
      </c>
      <c r="B2935" s="93" t="str">
        <f>IF(COUNTIF(MAIN!B:B, A2935)=0, "Missing", "")</f>
        <v/>
      </c>
      <c r="E2935" s="128" t="str">
        <f t="shared" si="1"/>
        <v/>
      </c>
    </row>
    <row r="2936">
      <c r="A2936" s="93" t="str">
        <f t="shared" si="2"/>
        <v>#18133</v>
      </c>
      <c r="B2936" s="93" t="str">
        <f>IF(COUNTIF(MAIN!B:B, A2936)=0, "Missing", "")</f>
        <v/>
      </c>
      <c r="E2936" s="128" t="str">
        <f t="shared" si="1"/>
        <v/>
      </c>
    </row>
    <row r="2937">
      <c r="A2937" s="93" t="str">
        <f t="shared" si="2"/>
        <v>#18134</v>
      </c>
      <c r="B2937" s="93" t="str">
        <f>IF(COUNTIF(MAIN!B:B, A2937)=0, "Missing", "")</f>
        <v/>
      </c>
      <c r="E2937" s="128" t="str">
        <f t="shared" si="1"/>
        <v/>
      </c>
    </row>
    <row r="2938">
      <c r="A2938" s="93" t="str">
        <f t="shared" si="2"/>
        <v>#18135</v>
      </c>
      <c r="B2938" s="93" t="str">
        <f>IF(COUNTIF(MAIN!B:B, A2938)=0, "Missing", "")</f>
        <v/>
      </c>
      <c r="E2938" s="128" t="str">
        <f t="shared" si="1"/>
        <v/>
      </c>
    </row>
    <row r="2939">
      <c r="A2939" s="93" t="str">
        <f t="shared" si="2"/>
        <v>#18136</v>
      </c>
      <c r="B2939" s="93" t="str">
        <f>IF(COUNTIF(MAIN!B:B, A2939)=0, "Missing", "")</f>
        <v/>
      </c>
      <c r="E2939" s="128" t="str">
        <f t="shared" si="1"/>
        <v/>
      </c>
    </row>
    <row r="2940">
      <c r="A2940" s="93" t="str">
        <f t="shared" si="2"/>
        <v>#18137</v>
      </c>
      <c r="B2940" s="93" t="str">
        <f>IF(COUNTIF(MAIN!B:B, A2940)=0, "Missing", "")</f>
        <v/>
      </c>
      <c r="E2940" s="128" t="str">
        <f t="shared" si="1"/>
        <v/>
      </c>
    </row>
    <row r="2941">
      <c r="A2941" s="93" t="str">
        <f t="shared" si="2"/>
        <v>#18138</v>
      </c>
      <c r="B2941" s="93" t="str">
        <f>IF(COUNTIF(MAIN!B:B, A2941)=0, "Missing", "")</f>
        <v/>
      </c>
      <c r="E2941" s="128" t="str">
        <f t="shared" si="1"/>
        <v/>
      </c>
    </row>
    <row r="2942">
      <c r="A2942" s="93" t="str">
        <f t="shared" si="2"/>
        <v>#18139</v>
      </c>
      <c r="B2942" s="93" t="str">
        <f>IF(COUNTIF(MAIN!B:B, A2942)=0, "Missing", "")</f>
        <v/>
      </c>
      <c r="E2942" s="128" t="str">
        <f t="shared" si="1"/>
        <v/>
      </c>
    </row>
    <row r="2943">
      <c r="A2943" s="93" t="str">
        <f t="shared" si="2"/>
        <v>#18140</v>
      </c>
      <c r="B2943" s="93" t="str">
        <f>IF(COUNTIF(MAIN!B:B, A2943)=0, "Missing", "")</f>
        <v/>
      </c>
      <c r="E2943" s="128" t="str">
        <f t="shared" si="1"/>
        <v/>
      </c>
    </row>
    <row r="2944">
      <c r="A2944" s="93" t="str">
        <f t="shared" si="2"/>
        <v>#18141</v>
      </c>
      <c r="B2944" s="93" t="str">
        <f>IF(COUNTIF(MAIN!B:B, A2944)=0, "Missing", "")</f>
        <v/>
      </c>
      <c r="E2944" s="128" t="str">
        <f t="shared" si="1"/>
        <v/>
      </c>
    </row>
    <row r="2945">
      <c r="A2945" s="93" t="str">
        <f t="shared" si="2"/>
        <v>#18142</v>
      </c>
      <c r="B2945" s="93" t="str">
        <f>IF(COUNTIF(MAIN!B:B, A2945)=0, "Missing", "")</f>
        <v/>
      </c>
      <c r="E2945" s="128" t="str">
        <f t="shared" si="1"/>
        <v/>
      </c>
    </row>
    <row r="2946">
      <c r="A2946" s="93" t="str">
        <f t="shared" si="2"/>
        <v>#18143</v>
      </c>
      <c r="B2946" s="93" t="str">
        <f>IF(COUNTIF(MAIN!B:B, A2946)=0, "Missing", "")</f>
        <v/>
      </c>
      <c r="E2946" s="128" t="str">
        <f t="shared" si="1"/>
        <v/>
      </c>
    </row>
    <row r="2947">
      <c r="A2947" s="93" t="str">
        <f t="shared" si="2"/>
        <v>#18144</v>
      </c>
      <c r="B2947" s="93" t="str">
        <f>IF(COUNTIF(MAIN!B:B, A2947)=0, "Missing", "")</f>
        <v/>
      </c>
      <c r="E2947" s="128" t="str">
        <f t="shared" si="1"/>
        <v/>
      </c>
    </row>
    <row r="2948">
      <c r="A2948" s="93" t="str">
        <f t="shared" si="2"/>
        <v>#18145</v>
      </c>
      <c r="B2948" s="93" t="str">
        <f>IF(COUNTIF(MAIN!B:B, A2948)=0, "Missing", "")</f>
        <v/>
      </c>
      <c r="E2948" s="128" t="str">
        <f t="shared" si="1"/>
        <v/>
      </c>
    </row>
    <row r="2949">
      <c r="A2949" s="93" t="str">
        <f t="shared" si="2"/>
        <v>#18146</v>
      </c>
      <c r="B2949" s="93" t="str">
        <f>IF(COUNTIF(MAIN!B:B, A2949)=0, "Missing", "")</f>
        <v/>
      </c>
      <c r="E2949" s="128" t="str">
        <f t="shared" si="1"/>
        <v/>
      </c>
    </row>
    <row r="2950">
      <c r="A2950" s="93" t="str">
        <f t="shared" si="2"/>
        <v>#18147</v>
      </c>
      <c r="B2950" s="93" t="str">
        <f>IF(COUNTIF(MAIN!B:B, A2950)=0, "Missing", "")</f>
        <v/>
      </c>
      <c r="E2950" s="128" t="str">
        <f t="shared" si="1"/>
        <v/>
      </c>
    </row>
    <row r="2951">
      <c r="A2951" s="93" t="str">
        <f t="shared" si="2"/>
        <v>#18148</v>
      </c>
      <c r="B2951" s="93" t="str">
        <f>IF(COUNTIF(MAIN!B:B, A2951)=0, "Missing", "")</f>
        <v/>
      </c>
      <c r="E2951" s="128" t="str">
        <f t="shared" si="1"/>
        <v/>
      </c>
    </row>
    <row r="2952">
      <c r="A2952" s="93" t="str">
        <f t="shared" si="2"/>
        <v>#18149</v>
      </c>
      <c r="B2952" s="93" t="str">
        <f>IF(COUNTIF(MAIN!B:B, A2952)=0, "Missing", "")</f>
        <v/>
      </c>
      <c r="E2952" s="128" t="str">
        <f t="shared" si="1"/>
        <v/>
      </c>
    </row>
    <row r="2953">
      <c r="A2953" s="93" t="str">
        <f t="shared" si="2"/>
        <v>#18150</v>
      </c>
      <c r="B2953" s="93" t="str">
        <f>IF(COUNTIF(MAIN!B:B, A2953)=0, "Missing", "")</f>
        <v/>
      </c>
      <c r="E2953" s="128" t="str">
        <f t="shared" si="1"/>
        <v/>
      </c>
    </row>
    <row r="2954">
      <c r="A2954" s="93" t="str">
        <f t="shared" si="2"/>
        <v>#18151</v>
      </c>
      <c r="B2954" s="93" t="str">
        <f>IF(COUNTIF(MAIN!B:B, A2954)=0, "Missing", "")</f>
        <v/>
      </c>
      <c r="E2954" s="128" t="str">
        <f t="shared" si="1"/>
        <v/>
      </c>
    </row>
    <row r="2955">
      <c r="A2955" s="93" t="str">
        <f t="shared" si="2"/>
        <v>#18152</v>
      </c>
      <c r="B2955" s="93" t="str">
        <f>IF(COUNTIF(MAIN!B:B, A2955)=0, "Missing", "")</f>
        <v/>
      </c>
      <c r="E2955" s="128" t="str">
        <f t="shared" si="1"/>
        <v/>
      </c>
    </row>
    <row r="2956">
      <c r="A2956" s="93" t="str">
        <f t="shared" si="2"/>
        <v>#18153</v>
      </c>
      <c r="B2956" s="93" t="str">
        <f>IF(COUNTIF(MAIN!B:B, A2956)=0, "Missing", "")</f>
        <v/>
      </c>
      <c r="E2956" s="128" t="str">
        <f t="shared" si="1"/>
        <v/>
      </c>
    </row>
    <row r="2957">
      <c r="A2957" s="93" t="str">
        <f t="shared" si="2"/>
        <v>#18154</v>
      </c>
      <c r="B2957" s="93" t="str">
        <f>IF(COUNTIF(MAIN!B:B, A2957)=0, "Missing", "")</f>
        <v/>
      </c>
      <c r="E2957" s="128" t="str">
        <f t="shared" si="1"/>
        <v/>
      </c>
    </row>
    <row r="2958">
      <c r="A2958" s="93" t="str">
        <f t="shared" si="2"/>
        <v>#18155</v>
      </c>
      <c r="B2958" s="93" t="str">
        <f>IF(COUNTIF(MAIN!B:B, A2958)=0, "Missing", "")</f>
        <v/>
      </c>
      <c r="E2958" s="128" t="str">
        <f t="shared" si="1"/>
        <v/>
      </c>
    </row>
    <row r="2959">
      <c r="A2959" s="93" t="str">
        <f t="shared" si="2"/>
        <v>#18156</v>
      </c>
      <c r="B2959" s="93" t="str">
        <f>IF(COUNTIF(MAIN!B:B, A2959)=0, "Missing", "")</f>
        <v/>
      </c>
      <c r="E2959" s="128" t="str">
        <f t="shared" si="1"/>
        <v/>
      </c>
    </row>
    <row r="2960">
      <c r="A2960" s="93" t="str">
        <f t="shared" si="2"/>
        <v>#18157</v>
      </c>
      <c r="B2960" s="93" t="str">
        <f>IF(COUNTIF(MAIN!B:B, A2960)=0, "Missing", "")</f>
        <v/>
      </c>
      <c r="E2960" s="128" t="str">
        <f t="shared" si="1"/>
        <v/>
      </c>
    </row>
    <row r="2961">
      <c r="A2961" s="93" t="str">
        <f t="shared" si="2"/>
        <v>#18158</v>
      </c>
      <c r="B2961" s="93" t="str">
        <f>IF(COUNTIF(MAIN!B:B, A2961)=0, "Missing", "")</f>
        <v/>
      </c>
      <c r="E2961" s="128" t="str">
        <f t="shared" si="1"/>
        <v/>
      </c>
    </row>
    <row r="2962">
      <c r="A2962" s="93" t="str">
        <f t="shared" si="2"/>
        <v>#18159</v>
      </c>
      <c r="B2962" s="93" t="str">
        <f>IF(COUNTIF(MAIN!B:B, A2962)=0, "Missing", "")</f>
        <v/>
      </c>
      <c r="E2962" s="128" t="str">
        <f t="shared" si="1"/>
        <v/>
      </c>
    </row>
    <row r="2963">
      <c r="A2963" s="93" t="str">
        <f t="shared" si="2"/>
        <v>#18160</v>
      </c>
      <c r="B2963" s="93" t="str">
        <f>IF(COUNTIF(MAIN!B:B, A2963)=0, "Missing", "")</f>
        <v/>
      </c>
      <c r="E2963" s="128" t="str">
        <f t="shared" si="1"/>
        <v/>
      </c>
    </row>
    <row r="2964">
      <c r="A2964" s="93" t="str">
        <f t="shared" si="2"/>
        <v>#18161</v>
      </c>
      <c r="B2964" s="93" t="str">
        <f>IF(COUNTIF(MAIN!B:B, A2964)=0, "Missing", "")</f>
        <v/>
      </c>
      <c r="E2964" s="128" t="str">
        <f t="shared" si="1"/>
        <v/>
      </c>
    </row>
    <row r="2965">
      <c r="A2965" s="93" t="str">
        <f t="shared" si="2"/>
        <v>#18162</v>
      </c>
      <c r="B2965" s="93" t="str">
        <f>IF(COUNTIF(MAIN!B:B, A2965)=0, "Missing", "")</f>
        <v/>
      </c>
      <c r="E2965" s="128" t="str">
        <f t="shared" si="1"/>
        <v/>
      </c>
    </row>
    <row r="2966">
      <c r="A2966" s="93" t="str">
        <f t="shared" si="2"/>
        <v>#18163</v>
      </c>
      <c r="B2966" s="93" t="str">
        <f>IF(COUNTIF(MAIN!B:B, A2966)=0, "Missing", "")</f>
        <v/>
      </c>
      <c r="E2966" s="128" t="str">
        <f t="shared" si="1"/>
        <v/>
      </c>
    </row>
    <row r="2967">
      <c r="A2967" s="93" t="str">
        <f t="shared" si="2"/>
        <v>#18164</v>
      </c>
      <c r="B2967" s="93" t="str">
        <f>IF(COUNTIF(MAIN!B:B, A2967)=0, "Missing", "")</f>
        <v/>
      </c>
      <c r="E2967" s="128" t="str">
        <f t="shared" si="1"/>
        <v/>
      </c>
    </row>
    <row r="2968">
      <c r="A2968" s="93" t="str">
        <f t="shared" si="2"/>
        <v>#18165</v>
      </c>
      <c r="B2968" s="93" t="str">
        <f>IF(COUNTIF(MAIN!B:B, A2968)=0, "Missing", "")</f>
        <v/>
      </c>
      <c r="E2968" s="128" t="str">
        <f t="shared" si="1"/>
        <v/>
      </c>
    </row>
    <row r="2969">
      <c r="A2969" s="93" t="str">
        <f t="shared" si="2"/>
        <v>#18166</v>
      </c>
      <c r="B2969" s="93" t="str">
        <f>IF(COUNTIF(MAIN!B:B, A2969)=0, "Missing", "")</f>
        <v/>
      </c>
      <c r="E2969" s="128" t="str">
        <f t="shared" si="1"/>
        <v/>
      </c>
    </row>
    <row r="2970">
      <c r="A2970" s="93" t="str">
        <f t="shared" si="2"/>
        <v>#18167</v>
      </c>
      <c r="B2970" s="93" t="str">
        <f>IF(COUNTIF(MAIN!B:B, A2970)=0, "Missing", "")</f>
        <v/>
      </c>
      <c r="E2970" s="128" t="str">
        <f t="shared" si="1"/>
        <v/>
      </c>
    </row>
    <row r="2971">
      <c r="A2971" s="93" t="str">
        <f t="shared" si="2"/>
        <v>#18168</v>
      </c>
      <c r="B2971" s="93" t="str">
        <f>IF(COUNTIF(MAIN!B:B, A2971)=0, "Missing", "")</f>
        <v/>
      </c>
      <c r="E2971" s="128" t="str">
        <f t="shared" si="1"/>
        <v/>
      </c>
    </row>
    <row r="2972">
      <c r="A2972" s="93" t="str">
        <f t="shared" si="2"/>
        <v>#18169</v>
      </c>
      <c r="B2972" s="93" t="str">
        <f>IF(COUNTIF(MAIN!B:B, A2972)=0, "Missing", "")</f>
        <v/>
      </c>
      <c r="E2972" s="128" t="str">
        <f t="shared" si="1"/>
        <v/>
      </c>
    </row>
    <row r="2973">
      <c r="A2973" s="93" t="str">
        <f t="shared" si="2"/>
        <v>#18170</v>
      </c>
      <c r="B2973" s="93" t="str">
        <f>IF(COUNTIF(MAIN!B:B, A2973)=0, "Missing", "")</f>
        <v/>
      </c>
      <c r="E2973" s="128" t="str">
        <f t="shared" si="1"/>
        <v/>
      </c>
    </row>
    <row r="2974">
      <c r="A2974" s="93" t="str">
        <f t="shared" si="2"/>
        <v>#18171</v>
      </c>
      <c r="B2974" s="93" t="str">
        <f>IF(COUNTIF(MAIN!B:B, A2974)=0, "Missing", "")</f>
        <v/>
      </c>
      <c r="E2974" s="128" t="str">
        <f t="shared" si="1"/>
        <v/>
      </c>
    </row>
    <row r="2975">
      <c r="A2975" s="93" t="str">
        <f t="shared" si="2"/>
        <v>#18172</v>
      </c>
      <c r="B2975" s="93" t="str">
        <f>IF(COUNTIF(MAIN!B:B, A2975)=0, "Missing", "")</f>
        <v/>
      </c>
      <c r="E2975" s="128" t="str">
        <f t="shared" si="1"/>
        <v/>
      </c>
    </row>
    <row r="2976">
      <c r="A2976" s="93" t="str">
        <f t="shared" si="2"/>
        <v>#18173</v>
      </c>
      <c r="B2976" s="93" t="str">
        <f>IF(COUNTIF(MAIN!B:B, A2976)=0, "Missing", "")</f>
        <v/>
      </c>
      <c r="E2976" s="128" t="str">
        <f t="shared" si="1"/>
        <v/>
      </c>
    </row>
    <row r="2977">
      <c r="A2977" s="93" t="str">
        <f t="shared" si="2"/>
        <v>#18174</v>
      </c>
      <c r="B2977" s="93" t="str">
        <f>IF(COUNTIF(MAIN!B:B, A2977)=0, "Missing", "")</f>
        <v/>
      </c>
      <c r="E2977" s="128" t="str">
        <f t="shared" si="1"/>
        <v/>
      </c>
    </row>
    <row r="2978">
      <c r="A2978" s="93" t="str">
        <f t="shared" si="2"/>
        <v>#18175</v>
      </c>
      <c r="B2978" s="93" t="str">
        <f>IF(COUNTIF(MAIN!B:B, A2978)=0, "Missing", "")</f>
        <v/>
      </c>
      <c r="E2978" s="128" t="str">
        <f t="shared" si="1"/>
        <v/>
      </c>
    </row>
    <row r="2979">
      <c r="A2979" s="93" t="str">
        <f t="shared" si="2"/>
        <v>#18176</v>
      </c>
      <c r="B2979" s="93" t="str">
        <f>IF(COUNTIF(MAIN!B:B, A2979)=0, "Missing", "")</f>
        <v/>
      </c>
      <c r="E2979" s="128" t="str">
        <f t="shared" si="1"/>
        <v/>
      </c>
    </row>
    <row r="2980">
      <c r="A2980" s="93" t="str">
        <f t="shared" si="2"/>
        <v>#18177</v>
      </c>
      <c r="B2980" s="93" t="str">
        <f>IF(COUNTIF(MAIN!B:B, A2980)=0, "Missing", "")</f>
        <v/>
      </c>
      <c r="E2980" s="128" t="str">
        <f t="shared" si="1"/>
        <v/>
      </c>
    </row>
    <row r="2981">
      <c r="A2981" s="93" t="str">
        <f t="shared" si="2"/>
        <v>#18178</v>
      </c>
      <c r="B2981" s="93" t="str">
        <f>IF(COUNTIF(MAIN!B:B, A2981)=0, "Missing", "")</f>
        <v/>
      </c>
      <c r="E2981" s="128" t="str">
        <f t="shared" si="1"/>
        <v/>
      </c>
    </row>
    <row r="2982">
      <c r="A2982" s="93" t="str">
        <f t="shared" si="2"/>
        <v>#18179</v>
      </c>
      <c r="B2982" s="93" t="str">
        <f>IF(COUNTIF(MAIN!B:B, A2982)=0, "Missing", "")</f>
        <v/>
      </c>
      <c r="E2982" s="128" t="str">
        <f t="shared" si="1"/>
        <v/>
      </c>
    </row>
    <row r="2983">
      <c r="A2983" s="93" t="str">
        <f t="shared" si="2"/>
        <v>#18180</v>
      </c>
      <c r="B2983" s="93" t="str">
        <f>IF(COUNTIF(MAIN!B:B, A2983)=0, "Missing", "")</f>
        <v/>
      </c>
      <c r="E2983" s="128" t="str">
        <f t="shared" si="1"/>
        <v/>
      </c>
    </row>
    <row r="2984">
      <c r="A2984" s="93" t="str">
        <f t="shared" si="2"/>
        <v>#18181</v>
      </c>
      <c r="B2984" s="93" t="str">
        <f>IF(COUNTIF(MAIN!B:B, A2984)=0, "Missing", "")</f>
        <v/>
      </c>
      <c r="E2984" s="128" t="str">
        <f t="shared" si="1"/>
        <v/>
      </c>
    </row>
    <row r="2985">
      <c r="A2985" s="93" t="str">
        <f t="shared" si="2"/>
        <v>#18182</v>
      </c>
      <c r="B2985" s="93" t="str">
        <f>IF(COUNTIF(MAIN!B:B, A2985)=0, "Missing", "")</f>
        <v/>
      </c>
      <c r="E2985" s="128" t="str">
        <f t="shared" si="1"/>
        <v/>
      </c>
    </row>
    <row r="2986">
      <c r="A2986" s="93" t="str">
        <f t="shared" si="2"/>
        <v>#18183</v>
      </c>
      <c r="B2986" s="93" t="str">
        <f>IF(COUNTIF(MAIN!B:B, A2986)=0, "Missing", "")</f>
        <v/>
      </c>
      <c r="E2986" s="128" t="str">
        <f t="shared" si="1"/>
        <v/>
      </c>
    </row>
    <row r="2987">
      <c r="A2987" s="93" t="str">
        <f t="shared" si="2"/>
        <v>#18184</v>
      </c>
      <c r="B2987" s="93" t="str">
        <f>IF(COUNTIF(MAIN!B:B, A2987)=0, "Missing", "")</f>
        <v/>
      </c>
      <c r="E2987" s="128" t="str">
        <f t="shared" si="1"/>
        <v/>
      </c>
    </row>
    <row r="2988">
      <c r="A2988" s="93" t="str">
        <f t="shared" si="2"/>
        <v>#18185</v>
      </c>
      <c r="B2988" s="93" t="str">
        <f>IF(COUNTIF(MAIN!B:B, A2988)=0, "Missing", "")</f>
        <v/>
      </c>
      <c r="E2988" s="128" t="str">
        <f t="shared" si="1"/>
        <v/>
      </c>
    </row>
    <row r="2989">
      <c r="A2989" s="93" t="str">
        <f t="shared" si="2"/>
        <v>#18186</v>
      </c>
      <c r="B2989" s="93" t="str">
        <f>IF(COUNTIF(MAIN!B:B, A2989)=0, "Missing", "")</f>
        <v/>
      </c>
      <c r="E2989" s="128" t="str">
        <f t="shared" si="1"/>
        <v/>
      </c>
    </row>
    <row r="2990">
      <c r="A2990" s="93" t="str">
        <f t="shared" si="2"/>
        <v>#18187</v>
      </c>
      <c r="B2990" s="93" t="str">
        <f>IF(COUNTIF(MAIN!B:B, A2990)=0, "Missing", "")</f>
        <v/>
      </c>
      <c r="E2990" s="128" t="str">
        <f t="shared" si="1"/>
        <v/>
      </c>
    </row>
    <row r="2991">
      <c r="A2991" s="93" t="str">
        <f t="shared" si="2"/>
        <v>#18188</v>
      </c>
      <c r="B2991" s="93" t="str">
        <f>IF(COUNTIF(MAIN!B:B, A2991)=0, "Missing", "")</f>
        <v/>
      </c>
      <c r="E2991" s="128" t="str">
        <f t="shared" si="1"/>
        <v/>
      </c>
    </row>
    <row r="2992">
      <c r="A2992" s="93" t="str">
        <f t="shared" si="2"/>
        <v>#18189</v>
      </c>
      <c r="B2992" s="93" t="str">
        <f>IF(COUNTIF(MAIN!B:B, A2992)=0, "Missing", "")</f>
        <v/>
      </c>
      <c r="E2992" s="128" t="str">
        <f t="shared" si="1"/>
        <v/>
      </c>
    </row>
    <row r="2993">
      <c r="A2993" s="93" t="str">
        <f t="shared" si="2"/>
        <v>#18190</v>
      </c>
      <c r="B2993" s="93" t="str">
        <f>IF(COUNTIF(MAIN!B:B, A2993)=0, "Missing", "")</f>
        <v/>
      </c>
      <c r="E2993" s="128" t="str">
        <f t="shared" si="1"/>
        <v/>
      </c>
    </row>
    <row r="2994">
      <c r="A2994" s="93" t="str">
        <f t="shared" si="2"/>
        <v>#18191</v>
      </c>
      <c r="B2994" s="93" t="str">
        <f>IF(COUNTIF(MAIN!B:B, A2994)=0, "Missing", "")</f>
        <v/>
      </c>
      <c r="E2994" s="128" t="str">
        <f t="shared" si="1"/>
        <v/>
      </c>
    </row>
    <row r="2995">
      <c r="A2995" s="93" t="str">
        <f t="shared" si="2"/>
        <v>#18192</v>
      </c>
      <c r="B2995" s="93" t="str">
        <f>IF(COUNTIF(MAIN!B:B, A2995)=0, "Missing", "")</f>
        <v/>
      </c>
      <c r="E2995" s="128" t="str">
        <f t="shared" si="1"/>
        <v/>
      </c>
    </row>
    <row r="2996">
      <c r="A2996" s="93" t="str">
        <f t="shared" si="2"/>
        <v>#18193</v>
      </c>
      <c r="B2996" s="93" t="str">
        <f>IF(COUNTIF(MAIN!B:B, A2996)=0, "Missing", "")</f>
        <v/>
      </c>
      <c r="E2996" s="128" t="str">
        <f t="shared" si="1"/>
        <v/>
      </c>
    </row>
    <row r="2997">
      <c r="A2997" s="93" t="str">
        <f t="shared" si="2"/>
        <v>#18194</v>
      </c>
      <c r="B2997" s="93" t="str">
        <f>IF(COUNTIF(MAIN!B:B, A2997)=0, "Missing", "")</f>
        <v/>
      </c>
      <c r="E2997" s="128" t="str">
        <f t="shared" si="1"/>
        <v/>
      </c>
    </row>
    <row r="2998">
      <c r="A2998" s="93" t="str">
        <f t="shared" si="2"/>
        <v>#18195</v>
      </c>
      <c r="B2998" s="93" t="str">
        <f>IF(COUNTIF(MAIN!B:B, A2998)=0, "Missing", "")</f>
        <v/>
      </c>
      <c r="E2998" s="128" t="str">
        <f t="shared" si="1"/>
        <v/>
      </c>
    </row>
    <row r="2999">
      <c r="A2999" s="93" t="str">
        <f t="shared" si="2"/>
        <v>#18196</v>
      </c>
      <c r="B2999" s="93" t="str">
        <f>IF(COUNTIF(MAIN!B:B, A2999)=0, "Missing", "")</f>
        <v/>
      </c>
      <c r="E2999" s="128" t="str">
        <f t="shared" si="1"/>
        <v/>
      </c>
    </row>
    <row r="3000">
      <c r="A3000" s="93" t="str">
        <f t="shared" si="2"/>
        <v>#18197</v>
      </c>
      <c r="B3000" s="93" t="str">
        <f>IF(COUNTIF(MAIN!B:B, A3000)=0, "Missing", "")</f>
        <v/>
      </c>
      <c r="E3000" s="128" t="str">
        <f t="shared" si="1"/>
        <v/>
      </c>
    </row>
    <row r="3001">
      <c r="A3001" s="93" t="str">
        <f t="shared" si="2"/>
        <v>#18198</v>
      </c>
      <c r="B3001" s="93" t="str">
        <f>IF(COUNTIF(MAIN!B:B, A3001)=0, "Missing", "")</f>
        <v/>
      </c>
      <c r="E3001" s="128" t="str">
        <f t="shared" si="1"/>
        <v/>
      </c>
    </row>
    <row r="3002">
      <c r="A3002" s="93" t="str">
        <f t="shared" si="2"/>
        <v>#18199</v>
      </c>
      <c r="B3002" s="93" t="str">
        <f>IF(COUNTIF(MAIN!B:B, A3002)=0, "Missing", "")</f>
        <v/>
      </c>
      <c r="E3002" s="128" t="str">
        <f t="shared" si="1"/>
        <v/>
      </c>
    </row>
    <row r="3003">
      <c r="A3003" s="93" t="str">
        <f t="shared" si="2"/>
        <v>#18200</v>
      </c>
      <c r="B3003" s="93" t="str">
        <f>IF(COUNTIF(MAIN!B:B, A3003)=0, "Missing", "")</f>
        <v/>
      </c>
      <c r="E3003" s="128" t="str">
        <f t="shared" si="1"/>
        <v/>
      </c>
    </row>
    <row r="3004">
      <c r="A3004" s="93" t="str">
        <f t="shared" si="2"/>
        <v>#18201</v>
      </c>
      <c r="B3004" s="93" t="str">
        <f>IF(COUNTIF(MAIN!B:B, A3004)=0, "Missing", "")</f>
        <v/>
      </c>
      <c r="E3004" s="128" t="str">
        <f t="shared" si="1"/>
        <v/>
      </c>
    </row>
    <row r="3005">
      <c r="A3005" s="93" t="str">
        <f t="shared" si="2"/>
        <v>#18202</v>
      </c>
      <c r="B3005" s="93" t="str">
        <f>IF(COUNTIF(MAIN!B:B, A3005)=0, "Missing", "")</f>
        <v/>
      </c>
      <c r="E3005" s="128" t="str">
        <f t="shared" si="1"/>
        <v/>
      </c>
    </row>
    <row r="3006">
      <c r="A3006" s="93" t="str">
        <f t="shared" si="2"/>
        <v>#18203</v>
      </c>
      <c r="B3006" s="93" t="str">
        <f>IF(COUNTIF(MAIN!B:B, A3006)=0, "Missing", "")</f>
        <v/>
      </c>
      <c r="E3006" s="128" t="str">
        <f t="shared" si="1"/>
        <v/>
      </c>
    </row>
    <row r="3007">
      <c r="A3007" s="93" t="str">
        <f t="shared" si="2"/>
        <v>#18204</v>
      </c>
      <c r="B3007" s="93" t="str">
        <f>IF(COUNTIF(MAIN!B:B, A3007)=0, "Missing", "")</f>
        <v/>
      </c>
      <c r="E3007" s="128" t="str">
        <f t="shared" si="1"/>
        <v/>
      </c>
    </row>
    <row r="3008">
      <c r="A3008" s="93" t="str">
        <f t="shared" si="2"/>
        <v>#18205</v>
      </c>
      <c r="B3008" s="93" t="str">
        <f>IF(COUNTIF(MAIN!B:B, A3008)=0, "Missing", "")</f>
        <v/>
      </c>
      <c r="E3008" s="128" t="str">
        <f t="shared" si="1"/>
        <v/>
      </c>
    </row>
    <row r="3009">
      <c r="A3009" s="93" t="str">
        <f t="shared" si="2"/>
        <v>#18206</v>
      </c>
      <c r="B3009" s="93" t="str">
        <f>IF(COUNTIF(MAIN!B:B, A3009)=0, "Missing", "")</f>
        <v/>
      </c>
      <c r="E3009" s="128" t="str">
        <f t="shared" si="1"/>
        <v/>
      </c>
    </row>
    <row r="3010">
      <c r="A3010" s="93" t="str">
        <f t="shared" si="2"/>
        <v>#18207</v>
      </c>
      <c r="B3010" s="93" t="str">
        <f>IF(COUNTIF(MAIN!B:B, A3010)=0, "Missing", "")</f>
        <v/>
      </c>
      <c r="E3010" s="128" t="str">
        <f t="shared" si="1"/>
        <v/>
      </c>
    </row>
    <row r="3011">
      <c r="A3011" s="93" t="str">
        <f t="shared" si="2"/>
        <v>#18208</v>
      </c>
      <c r="B3011" s="93" t="str">
        <f>IF(COUNTIF(MAIN!B:B, A3011)=0, "Missing", "")</f>
        <v/>
      </c>
      <c r="E3011" s="128" t="str">
        <f t="shared" si="1"/>
        <v/>
      </c>
    </row>
    <row r="3012">
      <c r="A3012" s="93" t="str">
        <f t="shared" si="2"/>
        <v>#18209</v>
      </c>
      <c r="B3012" s="93" t="str">
        <f>IF(COUNTIF(MAIN!B:B, A3012)=0, "Missing", "")</f>
        <v/>
      </c>
      <c r="E3012" s="128" t="str">
        <f t="shared" si="1"/>
        <v/>
      </c>
    </row>
    <row r="3013">
      <c r="A3013" s="93" t="str">
        <f t="shared" si="2"/>
        <v>#18210</v>
      </c>
      <c r="B3013" s="93" t="str">
        <f>IF(COUNTIF(MAIN!B:B, A3013)=0, "Missing", "")</f>
        <v/>
      </c>
      <c r="E3013" s="128" t="str">
        <f t="shared" si="1"/>
        <v/>
      </c>
    </row>
    <row r="3014">
      <c r="A3014" s="93" t="str">
        <f t="shared" si="2"/>
        <v>#18211</v>
      </c>
      <c r="B3014" s="93" t="str">
        <f>IF(COUNTIF(MAIN!B:B, A3014)=0, "Missing", "")</f>
        <v/>
      </c>
      <c r="E3014" s="128" t="str">
        <f t="shared" si="1"/>
        <v/>
      </c>
    </row>
    <row r="3015">
      <c r="A3015" s="93" t="str">
        <f t="shared" si="2"/>
        <v>#18212</v>
      </c>
      <c r="B3015" s="93" t="str">
        <f>IF(COUNTIF(MAIN!B:B, A3015)=0, "Missing", "")</f>
        <v/>
      </c>
      <c r="E3015" s="128" t="str">
        <f t="shared" si="1"/>
        <v/>
      </c>
    </row>
    <row r="3016">
      <c r="A3016" s="93" t="str">
        <f t="shared" si="2"/>
        <v>#18213</v>
      </c>
      <c r="B3016" s="93" t="str">
        <f>IF(COUNTIF(MAIN!B:B, A3016)=0, "Missing", "")</f>
        <v/>
      </c>
      <c r="E3016" s="128" t="str">
        <f t="shared" si="1"/>
        <v/>
      </c>
    </row>
    <row r="3017">
      <c r="A3017" s="93" t="str">
        <f t="shared" si="2"/>
        <v>#18214</v>
      </c>
      <c r="B3017" s="93" t="str">
        <f>IF(COUNTIF(MAIN!B:B, A3017)=0, "Missing", "")</f>
        <v/>
      </c>
      <c r="E3017" s="128" t="str">
        <f t="shared" si="1"/>
        <v/>
      </c>
    </row>
    <row r="3018">
      <c r="A3018" s="93" t="str">
        <f t="shared" si="2"/>
        <v>#18215</v>
      </c>
      <c r="B3018" s="93" t="str">
        <f>IF(COUNTIF(MAIN!B:B, A3018)=0, "Missing", "")</f>
        <v/>
      </c>
      <c r="E3018" s="128" t="str">
        <f t="shared" si="1"/>
        <v/>
      </c>
    </row>
    <row r="3019">
      <c r="A3019" s="93" t="str">
        <f t="shared" si="2"/>
        <v>#18216</v>
      </c>
      <c r="B3019" s="93" t="str">
        <f>IF(COUNTIF(MAIN!B:B, A3019)=0, "Missing", "")</f>
        <v/>
      </c>
      <c r="E3019" s="128" t="str">
        <f t="shared" si="1"/>
        <v/>
      </c>
    </row>
    <row r="3020">
      <c r="A3020" s="93" t="str">
        <f t="shared" si="2"/>
        <v>#18217</v>
      </c>
      <c r="B3020" s="93" t="str">
        <f>IF(COUNTIF(MAIN!B:B, A3020)=0, "Missing", "")</f>
        <v/>
      </c>
      <c r="E3020" s="128" t="str">
        <f t="shared" si="1"/>
        <v/>
      </c>
    </row>
    <row r="3021">
      <c r="A3021" s="93" t="str">
        <f t="shared" si="2"/>
        <v>#18218</v>
      </c>
      <c r="B3021" s="93" t="str">
        <f>IF(COUNTIF(MAIN!B:B, A3021)=0, "Missing", "")</f>
        <v/>
      </c>
      <c r="E3021" s="128" t="str">
        <f t="shared" si="1"/>
        <v/>
      </c>
    </row>
    <row r="3022">
      <c r="A3022" s="93" t="str">
        <f t="shared" si="2"/>
        <v>#18219</v>
      </c>
      <c r="B3022" s="93" t="str">
        <f>IF(COUNTIF(MAIN!B:B, A3022)=0, "Missing", "")</f>
        <v/>
      </c>
      <c r="E3022" s="128" t="str">
        <f t="shared" si="1"/>
        <v/>
      </c>
    </row>
    <row r="3023">
      <c r="A3023" s="93" t="str">
        <f t="shared" si="2"/>
        <v>#18220</v>
      </c>
      <c r="B3023" s="93" t="str">
        <f>IF(COUNTIF(MAIN!B:B, A3023)=0, "Missing", "")</f>
        <v/>
      </c>
      <c r="E3023" s="128" t="str">
        <f t="shared" si="1"/>
        <v/>
      </c>
    </row>
    <row r="3024">
      <c r="A3024" s="93" t="str">
        <f t="shared" si="2"/>
        <v>#18221</v>
      </c>
      <c r="B3024" s="93" t="str">
        <f>IF(COUNTIF(MAIN!B:B, A3024)=0, "Missing", "")</f>
        <v/>
      </c>
      <c r="E3024" s="128" t="str">
        <f t="shared" si="1"/>
        <v/>
      </c>
    </row>
    <row r="3025">
      <c r="A3025" s="93" t="str">
        <f t="shared" si="2"/>
        <v>#18222</v>
      </c>
      <c r="B3025" s="93" t="str">
        <f>IF(COUNTIF(MAIN!B:B, A3025)=0, "Missing", "")</f>
        <v/>
      </c>
      <c r="E3025" s="128" t="str">
        <f t="shared" si="1"/>
        <v/>
      </c>
    </row>
    <row r="3026">
      <c r="A3026" s="93" t="str">
        <f t="shared" si="2"/>
        <v>#18223</v>
      </c>
      <c r="B3026" s="93" t="str">
        <f>IF(COUNTIF(MAIN!B:B, A3026)=0, "Missing", "")</f>
        <v/>
      </c>
      <c r="E3026" s="128" t="str">
        <f t="shared" si="1"/>
        <v/>
      </c>
    </row>
    <row r="3027">
      <c r="A3027" s="93" t="str">
        <f t="shared" si="2"/>
        <v>#18224</v>
      </c>
      <c r="B3027" s="93" t="str">
        <f>IF(COUNTIF(MAIN!B:B, A3027)=0, "Missing", "")</f>
        <v/>
      </c>
      <c r="E3027" s="128" t="str">
        <f t="shared" si="1"/>
        <v/>
      </c>
    </row>
    <row r="3028">
      <c r="A3028" s="93" t="str">
        <f t="shared" si="2"/>
        <v>#18225</v>
      </c>
      <c r="B3028" s="93" t="str">
        <f>IF(COUNTIF(MAIN!B:B, A3028)=0, "Missing", "")</f>
        <v/>
      </c>
      <c r="E3028" s="128" t="str">
        <f t="shared" si="1"/>
        <v/>
      </c>
    </row>
    <row r="3029">
      <c r="A3029" s="93" t="str">
        <f t="shared" si="2"/>
        <v>#18226</v>
      </c>
      <c r="B3029" s="93" t="str">
        <f>IF(COUNTIF(MAIN!B:B, A3029)=0, "Missing", "")</f>
        <v/>
      </c>
      <c r="E3029" s="128" t="str">
        <f t="shared" si="1"/>
        <v/>
      </c>
    </row>
    <row r="3030">
      <c r="A3030" s="93" t="str">
        <f t="shared" si="2"/>
        <v>#18227</v>
      </c>
      <c r="B3030" s="93" t="str">
        <f>IF(COUNTIF(MAIN!B:B, A3030)=0, "Missing", "")</f>
        <v/>
      </c>
      <c r="E3030" s="128" t="str">
        <f t="shared" si="1"/>
        <v/>
      </c>
    </row>
    <row r="3031">
      <c r="A3031" s="93" t="str">
        <f t="shared" si="2"/>
        <v>#18228</v>
      </c>
      <c r="B3031" s="93" t="str">
        <f>IF(COUNTIF(MAIN!B:B, A3031)=0, "Missing", "")</f>
        <v/>
      </c>
      <c r="E3031" s="128" t="str">
        <f t="shared" si="1"/>
        <v/>
      </c>
    </row>
    <row r="3032">
      <c r="A3032" s="93" t="str">
        <f t="shared" si="2"/>
        <v>#18229</v>
      </c>
      <c r="B3032" s="93" t="str">
        <f>IF(COUNTIF(MAIN!B:B, A3032)=0, "Missing", "")</f>
        <v/>
      </c>
      <c r="E3032" s="128" t="str">
        <f t="shared" si="1"/>
        <v/>
      </c>
    </row>
    <row r="3033">
      <c r="A3033" s="93" t="str">
        <f t="shared" si="2"/>
        <v>#18230</v>
      </c>
      <c r="B3033" s="93" t="str">
        <f>IF(COUNTIF(MAIN!B:B, A3033)=0, "Missing", "")</f>
        <v/>
      </c>
      <c r="E3033" s="128" t="str">
        <f t="shared" si="1"/>
        <v/>
      </c>
    </row>
    <row r="3034">
      <c r="A3034" s="93" t="str">
        <f t="shared" si="2"/>
        <v>#18231</v>
      </c>
      <c r="B3034" s="93" t="str">
        <f>IF(COUNTIF(MAIN!B:B, A3034)=0, "Missing", "")</f>
        <v/>
      </c>
      <c r="E3034" s="128" t="str">
        <f t="shared" si="1"/>
        <v/>
      </c>
    </row>
    <row r="3035">
      <c r="A3035" s="93" t="str">
        <f t="shared" si="2"/>
        <v>#18232</v>
      </c>
      <c r="B3035" s="93" t="str">
        <f>IF(COUNTIF(MAIN!B:B, A3035)=0, "Missing", "")</f>
        <v/>
      </c>
      <c r="E3035" s="128" t="str">
        <f t="shared" si="1"/>
        <v/>
      </c>
    </row>
    <row r="3036">
      <c r="A3036" s="93" t="str">
        <f t="shared" si="2"/>
        <v>#18233</v>
      </c>
      <c r="B3036" s="93" t="str">
        <f>IF(COUNTIF(MAIN!B:B, A3036)=0, "Missing", "")</f>
        <v/>
      </c>
      <c r="E3036" s="128" t="str">
        <f t="shared" si="1"/>
        <v/>
      </c>
    </row>
    <row r="3037">
      <c r="A3037" s="93" t="str">
        <f t="shared" si="2"/>
        <v>#18234</v>
      </c>
      <c r="B3037" s="93" t="str">
        <f>IF(COUNTIF(MAIN!B:B, A3037)=0, "Missing", "")</f>
        <v/>
      </c>
      <c r="E3037" s="128" t="str">
        <f t="shared" si="1"/>
        <v/>
      </c>
    </row>
    <row r="3038">
      <c r="A3038" s="93" t="str">
        <f t="shared" si="2"/>
        <v>#18235</v>
      </c>
      <c r="B3038" s="93" t="str">
        <f>IF(COUNTIF(MAIN!B:B, A3038)=0, "Missing", "")</f>
        <v/>
      </c>
      <c r="E3038" s="128" t="str">
        <f t="shared" si="1"/>
        <v/>
      </c>
    </row>
    <row r="3039">
      <c r="A3039" s="93" t="str">
        <f t="shared" si="2"/>
        <v>#18236</v>
      </c>
      <c r="B3039" s="93" t="str">
        <f>IF(COUNTIF(MAIN!B:B, A3039)=0, "Missing", "")</f>
        <v/>
      </c>
      <c r="E3039" s="128" t="str">
        <f t="shared" si="1"/>
        <v/>
      </c>
    </row>
    <row r="3040">
      <c r="A3040" s="93" t="str">
        <f t="shared" si="2"/>
        <v>#18237</v>
      </c>
      <c r="B3040" s="93" t="str">
        <f>IF(COUNTIF(MAIN!B:B, A3040)=0, "Missing", "")</f>
        <v/>
      </c>
      <c r="E3040" s="128" t="str">
        <f t="shared" si="1"/>
        <v/>
      </c>
    </row>
    <row r="3041">
      <c r="A3041" s="93" t="str">
        <f t="shared" si="2"/>
        <v>#18238</v>
      </c>
      <c r="B3041" s="93" t="str">
        <f>IF(COUNTIF(MAIN!B:B, A3041)=0, "Missing", "")</f>
        <v/>
      </c>
      <c r="E3041" s="128" t="str">
        <f t="shared" si="1"/>
        <v/>
      </c>
    </row>
    <row r="3042">
      <c r="A3042" s="93" t="str">
        <f t="shared" si="2"/>
        <v>#18239</v>
      </c>
      <c r="B3042" s="93" t="str">
        <f>IF(COUNTIF(MAIN!B:B, A3042)=0, "Missing", "")</f>
        <v/>
      </c>
      <c r="E3042" s="128" t="str">
        <f t="shared" si="1"/>
        <v/>
      </c>
    </row>
    <row r="3043">
      <c r="A3043" s="93" t="str">
        <f t="shared" si="2"/>
        <v>#18240</v>
      </c>
      <c r="B3043" s="93" t="str">
        <f>IF(COUNTIF(MAIN!B:B, A3043)=0, "Missing", "")</f>
        <v/>
      </c>
      <c r="E3043" s="128" t="str">
        <f t="shared" si="1"/>
        <v/>
      </c>
    </row>
    <row r="3044">
      <c r="A3044" s="93" t="str">
        <f t="shared" si="2"/>
        <v>#18241</v>
      </c>
      <c r="B3044" s="93" t="str">
        <f>IF(COUNTIF(MAIN!B:B, A3044)=0, "Missing", "")</f>
        <v/>
      </c>
      <c r="E3044" s="128" t="str">
        <f t="shared" si="1"/>
        <v/>
      </c>
    </row>
    <row r="3045">
      <c r="A3045" s="93" t="str">
        <f t="shared" si="2"/>
        <v>#18242</v>
      </c>
      <c r="B3045" s="93" t="str">
        <f>IF(COUNTIF(MAIN!B:B, A3045)=0, "Missing", "")</f>
        <v/>
      </c>
      <c r="E3045" s="128" t="str">
        <f t="shared" si="1"/>
        <v/>
      </c>
    </row>
    <row r="3046">
      <c r="A3046" s="93" t="str">
        <f t="shared" si="2"/>
        <v>#18243</v>
      </c>
      <c r="B3046" s="93" t="str">
        <f>IF(COUNTIF(MAIN!B:B, A3046)=0, "Missing", "")</f>
        <v/>
      </c>
      <c r="E3046" s="128" t="str">
        <f t="shared" si="1"/>
        <v/>
      </c>
    </row>
    <row r="3047">
      <c r="A3047" s="93" t="str">
        <f t="shared" si="2"/>
        <v>#18244</v>
      </c>
      <c r="B3047" s="93" t="str">
        <f>IF(COUNTIF(MAIN!B:B, A3047)=0, "Missing", "")</f>
        <v/>
      </c>
      <c r="E3047" s="128" t="str">
        <f t="shared" si="1"/>
        <v/>
      </c>
    </row>
    <row r="3048">
      <c r="A3048" s="93" t="str">
        <f t="shared" si="2"/>
        <v>#18245</v>
      </c>
      <c r="B3048" s="93" t="str">
        <f>IF(COUNTIF(MAIN!B:B, A3048)=0, "Missing", "")</f>
        <v/>
      </c>
      <c r="E3048" s="128" t="str">
        <f t="shared" si="1"/>
        <v/>
      </c>
    </row>
    <row r="3049">
      <c r="A3049" s="93" t="str">
        <f t="shared" si="2"/>
        <v>#18246</v>
      </c>
      <c r="B3049" s="93" t="str">
        <f>IF(COUNTIF(MAIN!B:B, A3049)=0, "Missing", "")</f>
        <v/>
      </c>
      <c r="E3049" s="128" t="str">
        <f t="shared" si="1"/>
        <v/>
      </c>
    </row>
    <row r="3050">
      <c r="A3050" s="93" t="str">
        <f t="shared" si="2"/>
        <v>#18247</v>
      </c>
      <c r="B3050" s="93" t="str">
        <f>IF(COUNTIF(MAIN!B:B, A3050)=0, "Missing", "")</f>
        <v/>
      </c>
      <c r="E3050" s="128" t="str">
        <f t="shared" si="1"/>
        <v/>
      </c>
    </row>
    <row r="3051">
      <c r="A3051" s="93" t="str">
        <f t="shared" si="2"/>
        <v>#18248</v>
      </c>
      <c r="B3051" s="93" t="str">
        <f>IF(COUNTIF(MAIN!B:B, A3051)=0, "Missing", "")</f>
        <v/>
      </c>
      <c r="E3051" s="128" t="str">
        <f t="shared" si="1"/>
        <v/>
      </c>
    </row>
    <row r="3052">
      <c r="A3052" s="93" t="str">
        <f t="shared" si="2"/>
        <v>#18249</v>
      </c>
      <c r="B3052" s="93" t="str">
        <f>IF(COUNTIF(MAIN!B:B, A3052)=0, "Missing", "")</f>
        <v/>
      </c>
      <c r="E3052" s="128" t="str">
        <f t="shared" si="1"/>
        <v/>
      </c>
    </row>
    <row r="3053">
      <c r="A3053" s="93" t="str">
        <f t="shared" si="2"/>
        <v>#18250</v>
      </c>
      <c r="B3053" s="93" t="str">
        <f>IF(COUNTIF(MAIN!B:B, A3053)=0, "Missing", "")</f>
        <v/>
      </c>
      <c r="E3053" s="128" t="str">
        <f t="shared" si="1"/>
        <v/>
      </c>
    </row>
    <row r="3054">
      <c r="A3054" s="93" t="str">
        <f t="shared" si="2"/>
        <v>#18251</v>
      </c>
      <c r="B3054" s="93" t="str">
        <f>IF(COUNTIF(MAIN!B:B, A3054)=0, "Missing", "")</f>
        <v/>
      </c>
      <c r="E3054" s="128" t="str">
        <f t="shared" si="1"/>
        <v/>
      </c>
    </row>
    <row r="3055">
      <c r="A3055" s="93" t="str">
        <f t="shared" si="2"/>
        <v>#18252</v>
      </c>
      <c r="B3055" s="93" t="str">
        <f>IF(COUNTIF(MAIN!B:B, A3055)=0, "Missing", "")</f>
        <v/>
      </c>
      <c r="E3055" s="128" t="str">
        <f t="shared" si="1"/>
        <v/>
      </c>
    </row>
    <row r="3056">
      <c r="A3056" s="93" t="str">
        <f t="shared" si="2"/>
        <v>#18253</v>
      </c>
      <c r="B3056" s="93" t="str">
        <f>IF(COUNTIF(MAIN!B:B, A3056)=0, "Missing", "")</f>
        <v/>
      </c>
      <c r="E3056" s="128" t="str">
        <f t="shared" si="1"/>
        <v/>
      </c>
    </row>
    <row r="3057">
      <c r="A3057" s="93" t="str">
        <f t="shared" si="2"/>
        <v>#18254</v>
      </c>
      <c r="B3057" s="93" t="str">
        <f>IF(COUNTIF(MAIN!B:B, A3057)=0, "Missing", "")</f>
        <v/>
      </c>
      <c r="E3057" s="128" t="str">
        <f t="shared" si="1"/>
        <v/>
      </c>
    </row>
    <row r="3058">
      <c r="A3058" s="93" t="str">
        <f t="shared" si="2"/>
        <v>#18255</v>
      </c>
      <c r="B3058" s="93" t="str">
        <f>IF(COUNTIF(MAIN!B:B, A3058)=0, "Missing", "")</f>
        <v/>
      </c>
      <c r="E3058" s="128" t="str">
        <f t="shared" si="1"/>
        <v/>
      </c>
    </row>
    <row r="3059">
      <c r="A3059" s="93" t="str">
        <f t="shared" si="2"/>
        <v>#18256</v>
      </c>
      <c r="B3059" s="93" t="str">
        <f>IF(COUNTIF(MAIN!B:B, A3059)=0, "Missing", "")</f>
        <v/>
      </c>
      <c r="E3059" s="128" t="str">
        <f t="shared" si="1"/>
        <v/>
      </c>
    </row>
    <row r="3060">
      <c r="A3060" s="93" t="str">
        <f t="shared" si="2"/>
        <v>#18257</v>
      </c>
      <c r="B3060" s="93" t="str">
        <f>IF(COUNTIF(MAIN!B:B, A3060)=0, "Missing", "")</f>
        <v/>
      </c>
      <c r="E3060" s="128" t="str">
        <f t="shared" si="1"/>
        <v/>
      </c>
    </row>
    <row r="3061">
      <c r="A3061" s="93" t="str">
        <f t="shared" si="2"/>
        <v>#18258</v>
      </c>
      <c r="B3061" s="93" t="str">
        <f>IF(COUNTIF(MAIN!B:B, A3061)=0, "Missing", "")</f>
        <v/>
      </c>
      <c r="E3061" s="128" t="str">
        <f t="shared" si="1"/>
        <v/>
      </c>
    </row>
    <row r="3062">
      <c r="A3062" s="93" t="str">
        <f t="shared" si="2"/>
        <v>#18259</v>
      </c>
      <c r="B3062" s="93" t="str">
        <f>IF(COUNTIF(MAIN!B:B, A3062)=0, "Missing", "")</f>
        <v/>
      </c>
      <c r="E3062" s="128" t="str">
        <f t="shared" si="1"/>
        <v/>
      </c>
    </row>
    <row r="3063">
      <c r="A3063" s="93" t="str">
        <f t="shared" si="2"/>
        <v>#18260</v>
      </c>
      <c r="B3063" s="93" t="str">
        <f>IF(COUNTIF(MAIN!B:B, A3063)=0, "Missing", "")</f>
        <v/>
      </c>
      <c r="E3063" s="128" t="str">
        <f t="shared" si="1"/>
        <v/>
      </c>
    </row>
    <row r="3064">
      <c r="A3064" s="93" t="str">
        <f t="shared" si="2"/>
        <v>#18261</v>
      </c>
      <c r="B3064" s="93" t="str">
        <f>IF(COUNTIF(MAIN!B:B, A3064)=0, "Missing", "")</f>
        <v/>
      </c>
      <c r="E3064" s="128" t="str">
        <f t="shared" si="1"/>
        <v/>
      </c>
    </row>
    <row r="3065">
      <c r="A3065" s="93" t="str">
        <f t="shared" si="2"/>
        <v>#18262</v>
      </c>
      <c r="B3065" s="93" t="str">
        <f>IF(COUNTIF(MAIN!B:B, A3065)=0, "Missing", "")</f>
        <v/>
      </c>
      <c r="E3065" s="128" t="str">
        <f t="shared" si="1"/>
        <v/>
      </c>
    </row>
    <row r="3066">
      <c r="A3066" s="93" t="str">
        <f t="shared" si="2"/>
        <v>#18263</v>
      </c>
      <c r="B3066" s="93" t="str">
        <f>IF(COUNTIF(MAIN!B:B, A3066)=0, "Missing", "")</f>
        <v/>
      </c>
      <c r="E3066" s="128" t="str">
        <f t="shared" si="1"/>
        <v/>
      </c>
    </row>
    <row r="3067">
      <c r="A3067" s="93" t="str">
        <f t="shared" si="2"/>
        <v>#18264</v>
      </c>
      <c r="B3067" s="93" t="str">
        <f>IF(COUNTIF(MAIN!B:B, A3067)=0, "Missing", "")</f>
        <v/>
      </c>
      <c r="E3067" s="128" t="str">
        <f t="shared" si="1"/>
        <v/>
      </c>
    </row>
    <row r="3068">
      <c r="A3068" s="93" t="str">
        <f t="shared" si="2"/>
        <v>#18265</v>
      </c>
      <c r="B3068" s="93" t="str">
        <f>IF(COUNTIF(MAIN!B:B, A3068)=0, "Missing", "")</f>
        <v/>
      </c>
      <c r="E3068" s="128" t="str">
        <f t="shared" si="1"/>
        <v/>
      </c>
    </row>
    <row r="3069">
      <c r="A3069" s="93" t="str">
        <f t="shared" si="2"/>
        <v>#18266</v>
      </c>
      <c r="B3069" s="93" t="str">
        <f>IF(COUNTIF(MAIN!B:B, A3069)=0, "Missing", "")</f>
        <v/>
      </c>
      <c r="E3069" s="128" t="str">
        <f t="shared" si="1"/>
        <v/>
      </c>
    </row>
    <row r="3070">
      <c r="A3070" s="93" t="str">
        <f t="shared" si="2"/>
        <v>#18267</v>
      </c>
      <c r="B3070" s="93" t="str">
        <f>IF(COUNTIF(MAIN!B:B, A3070)=0, "Missing", "")</f>
        <v/>
      </c>
      <c r="E3070" s="128" t="str">
        <f t="shared" si="1"/>
        <v/>
      </c>
    </row>
    <row r="3071">
      <c r="A3071" s="93" t="str">
        <f t="shared" si="2"/>
        <v>#18268</v>
      </c>
      <c r="B3071" s="93" t="str">
        <f>IF(COUNTIF(MAIN!B:B, A3071)=0, "Missing", "")</f>
        <v/>
      </c>
      <c r="E3071" s="128" t="str">
        <f t="shared" si="1"/>
        <v/>
      </c>
    </row>
    <row r="3072">
      <c r="A3072" s="93" t="str">
        <f t="shared" si="2"/>
        <v>#18269</v>
      </c>
      <c r="B3072" s="93" t="str">
        <f>IF(COUNTIF(MAIN!B:B, A3072)=0, "Missing", "")</f>
        <v/>
      </c>
      <c r="E3072" s="128" t="str">
        <f t="shared" si="1"/>
        <v/>
      </c>
    </row>
    <row r="3073">
      <c r="A3073" s="93" t="str">
        <f t="shared" si="2"/>
        <v>#18270</v>
      </c>
      <c r="B3073" s="93" t="str">
        <f>IF(COUNTIF(MAIN!B:B, A3073)=0, "Missing", "")</f>
        <v/>
      </c>
      <c r="E3073" s="128" t="str">
        <f t="shared" si="1"/>
        <v/>
      </c>
    </row>
    <row r="3074">
      <c r="A3074" s="93" t="str">
        <f t="shared" si="2"/>
        <v>#18271</v>
      </c>
      <c r="B3074" s="93" t="str">
        <f>IF(COUNTIF(MAIN!B:B, A3074)=0, "Missing", "")</f>
        <v/>
      </c>
      <c r="E3074" s="128" t="str">
        <f t="shared" si="1"/>
        <v/>
      </c>
    </row>
    <row r="3075">
      <c r="A3075" s="93" t="str">
        <f t="shared" si="2"/>
        <v>#18272</v>
      </c>
      <c r="B3075" s="93" t="str">
        <f>IF(COUNTIF(MAIN!B:B, A3075)=0, "Missing", "")</f>
        <v/>
      </c>
      <c r="E3075" s="128" t="str">
        <f t="shared" si="1"/>
        <v/>
      </c>
    </row>
    <row r="3076">
      <c r="A3076" s="93" t="str">
        <f t="shared" si="2"/>
        <v>#18273</v>
      </c>
      <c r="B3076" s="93" t="str">
        <f>IF(COUNTIF(MAIN!B:B, A3076)=0, "Missing", "")</f>
        <v/>
      </c>
      <c r="E3076" s="128" t="str">
        <f t="shared" si="1"/>
        <v/>
      </c>
    </row>
    <row r="3077">
      <c r="A3077" s="93" t="str">
        <f t="shared" si="2"/>
        <v>#18274</v>
      </c>
      <c r="B3077" s="93" t="str">
        <f>IF(COUNTIF(MAIN!B:B, A3077)=0, "Missing", "")</f>
        <v/>
      </c>
      <c r="E3077" s="128" t="str">
        <f t="shared" si="1"/>
        <v/>
      </c>
    </row>
    <row r="3078">
      <c r="A3078" s="93" t="str">
        <f t="shared" si="2"/>
        <v>#18275</v>
      </c>
      <c r="B3078" s="93" t="str">
        <f>IF(COUNTIF(MAIN!B:B, A3078)=0, "Missing", "")</f>
        <v/>
      </c>
      <c r="E3078" s="128" t="str">
        <f t="shared" si="1"/>
        <v/>
      </c>
    </row>
    <row r="3079">
      <c r="A3079" s="93" t="str">
        <f t="shared" si="2"/>
        <v>#18276</v>
      </c>
      <c r="B3079" s="93" t="str">
        <f>IF(COUNTIF(MAIN!B:B, A3079)=0, "Missing", "")</f>
        <v/>
      </c>
      <c r="E3079" s="128" t="str">
        <f t="shared" si="1"/>
        <v/>
      </c>
    </row>
    <row r="3080">
      <c r="A3080" s="93" t="str">
        <f t="shared" si="2"/>
        <v>#18277</v>
      </c>
      <c r="B3080" s="93" t="str">
        <f>IF(COUNTIF(MAIN!B:B, A3080)=0, "Missing", "")</f>
        <v/>
      </c>
      <c r="E3080" s="128" t="str">
        <f t="shared" si="1"/>
        <v/>
      </c>
    </row>
    <row r="3081">
      <c r="A3081" s="93" t="str">
        <f t="shared" si="2"/>
        <v>#18278</v>
      </c>
      <c r="B3081" s="93" t="str">
        <f>IF(COUNTIF(MAIN!B:B, A3081)=0, "Missing", "")</f>
        <v/>
      </c>
      <c r="E3081" s="128" t="str">
        <f t="shared" si="1"/>
        <v/>
      </c>
    </row>
    <row r="3082">
      <c r="A3082" s="93" t="str">
        <f t="shared" si="2"/>
        <v>#18279</v>
      </c>
      <c r="B3082" s="93" t="str">
        <f>IF(COUNTIF(MAIN!B:B, A3082)=0, "Missing", "")</f>
        <v/>
      </c>
      <c r="E3082" s="128" t="str">
        <f t="shared" si="1"/>
        <v/>
      </c>
    </row>
    <row r="3083">
      <c r="A3083" s="93" t="str">
        <f t="shared" si="2"/>
        <v>#18280</v>
      </c>
      <c r="B3083" s="93" t="str">
        <f>IF(COUNTIF(MAIN!B:B, A3083)=0, "Missing", "")</f>
        <v/>
      </c>
      <c r="E3083" s="128" t="str">
        <f t="shared" si="1"/>
        <v/>
      </c>
    </row>
    <row r="3084">
      <c r="A3084" s="93" t="str">
        <f t="shared" si="2"/>
        <v>#18281</v>
      </c>
      <c r="B3084" s="93" t="str">
        <f>IF(COUNTIF(MAIN!B:B, A3084)=0, "Missing", "")</f>
        <v/>
      </c>
      <c r="E3084" s="128" t="str">
        <f t="shared" si="1"/>
        <v/>
      </c>
    </row>
    <row r="3085">
      <c r="A3085" s="93" t="str">
        <f t="shared" si="2"/>
        <v>#18282</v>
      </c>
      <c r="B3085" s="93" t="str">
        <f>IF(COUNTIF(MAIN!B:B, A3085)=0, "Missing", "")</f>
        <v/>
      </c>
      <c r="E3085" s="128" t="str">
        <f t="shared" si="1"/>
        <v/>
      </c>
    </row>
    <row r="3086">
      <c r="A3086" s="93" t="str">
        <f t="shared" si="2"/>
        <v>#18283</v>
      </c>
      <c r="B3086" s="93" t="str">
        <f>IF(COUNTIF(MAIN!B:B, A3086)=0, "Missing", "")</f>
        <v/>
      </c>
      <c r="E3086" s="128" t="str">
        <f t="shared" si="1"/>
        <v/>
      </c>
    </row>
    <row r="3087">
      <c r="A3087" s="93" t="str">
        <f t="shared" si="2"/>
        <v>#18284</v>
      </c>
      <c r="B3087" s="93" t="str">
        <f>IF(COUNTIF(MAIN!B:B, A3087)=0, "Missing", "")</f>
        <v/>
      </c>
      <c r="E3087" s="128" t="str">
        <f t="shared" si="1"/>
        <v/>
      </c>
    </row>
    <row r="3088">
      <c r="A3088" s="93" t="str">
        <f t="shared" si="2"/>
        <v>#18285</v>
      </c>
      <c r="B3088" s="93" t="str">
        <f>IF(COUNTIF(MAIN!B:B, A3088)=0, "Missing", "")</f>
        <v/>
      </c>
      <c r="E3088" s="128" t="str">
        <f t="shared" si="1"/>
        <v/>
      </c>
    </row>
    <row r="3089">
      <c r="A3089" s="93" t="str">
        <f t="shared" si="2"/>
        <v>#18286</v>
      </c>
      <c r="B3089" s="93" t="str">
        <f>IF(COUNTIF(MAIN!B:B, A3089)=0, "Missing", "")</f>
        <v/>
      </c>
      <c r="E3089" s="128" t="str">
        <f t="shared" si="1"/>
        <v/>
      </c>
    </row>
    <row r="3090">
      <c r="A3090" s="93" t="str">
        <f t="shared" si="2"/>
        <v>#18287</v>
      </c>
      <c r="B3090" s="93" t="str">
        <f>IF(COUNTIF(MAIN!B:B, A3090)=0, "Missing", "")</f>
        <v/>
      </c>
      <c r="E3090" s="128" t="str">
        <f t="shared" si="1"/>
        <v/>
      </c>
    </row>
    <row r="3091">
      <c r="A3091" s="93" t="str">
        <f t="shared" si="2"/>
        <v>#18288</v>
      </c>
      <c r="B3091" s="93" t="str">
        <f>IF(COUNTIF(MAIN!B:B, A3091)=0, "Missing", "")</f>
        <v/>
      </c>
      <c r="E3091" s="128" t="str">
        <f t="shared" si="1"/>
        <v/>
      </c>
    </row>
    <row r="3092">
      <c r="A3092" s="93" t="str">
        <f t="shared" si="2"/>
        <v>#18289</v>
      </c>
      <c r="B3092" s="93" t="str">
        <f>IF(COUNTIF(MAIN!B:B, A3092)=0, "Missing", "")</f>
        <v/>
      </c>
      <c r="E3092" s="128" t="str">
        <f t="shared" si="1"/>
        <v/>
      </c>
    </row>
    <row r="3093">
      <c r="A3093" s="93" t="str">
        <f t="shared" si="2"/>
        <v>#18290</v>
      </c>
      <c r="B3093" s="93" t="str">
        <f>IF(COUNTIF(MAIN!B:B, A3093)=0, "Missing", "")</f>
        <v/>
      </c>
      <c r="E3093" s="128" t="str">
        <f t="shared" si="1"/>
        <v/>
      </c>
    </row>
    <row r="3094">
      <c r="A3094" s="93" t="str">
        <f t="shared" si="2"/>
        <v>#18291</v>
      </c>
      <c r="B3094" s="93" t="str">
        <f>IF(COUNTIF(MAIN!B:B, A3094)=0, "Missing", "")</f>
        <v/>
      </c>
      <c r="E3094" s="128" t="str">
        <f t="shared" si="1"/>
        <v/>
      </c>
    </row>
    <row r="3095">
      <c r="A3095" s="93" t="str">
        <f t="shared" si="2"/>
        <v>#18292</v>
      </c>
      <c r="B3095" s="93" t="str">
        <f>IF(COUNTIF(MAIN!B:B, A3095)=0, "Missing", "")</f>
        <v/>
      </c>
      <c r="E3095" s="128" t="str">
        <f t="shared" si="1"/>
        <v/>
      </c>
    </row>
    <row r="3096">
      <c r="A3096" s="93" t="str">
        <f t="shared" si="2"/>
        <v>#18293</v>
      </c>
      <c r="B3096" s="93" t="str">
        <f>IF(COUNTIF(MAIN!B:B, A3096)=0, "Missing", "")</f>
        <v/>
      </c>
      <c r="E3096" s="128" t="str">
        <f t="shared" si="1"/>
        <v/>
      </c>
    </row>
    <row r="3097">
      <c r="A3097" s="93" t="str">
        <f t="shared" si="2"/>
        <v>#18294</v>
      </c>
      <c r="B3097" s="93" t="str">
        <f>IF(COUNTIF(MAIN!B:B, A3097)=0, "Missing", "")</f>
        <v/>
      </c>
      <c r="E3097" s="128" t="str">
        <f t="shared" si="1"/>
        <v/>
      </c>
    </row>
    <row r="3098">
      <c r="A3098" s="93" t="str">
        <f t="shared" si="2"/>
        <v>#18295</v>
      </c>
      <c r="B3098" s="93" t="str">
        <f>IF(COUNTIF(MAIN!B:B, A3098)=0, "Missing", "")</f>
        <v/>
      </c>
      <c r="E3098" s="128" t="str">
        <f t="shared" si="1"/>
        <v/>
      </c>
    </row>
    <row r="3099">
      <c r="A3099" s="93" t="str">
        <f t="shared" si="2"/>
        <v>#18296</v>
      </c>
      <c r="B3099" s="93" t="str">
        <f>IF(COUNTIF(MAIN!B:B, A3099)=0, "Missing", "")</f>
        <v/>
      </c>
      <c r="E3099" s="128" t="str">
        <f t="shared" si="1"/>
        <v/>
      </c>
    </row>
    <row r="3100">
      <c r="A3100" s="93" t="str">
        <f t="shared" si="2"/>
        <v>#18297</v>
      </c>
      <c r="B3100" s="93" t="str">
        <f>IF(COUNTIF(MAIN!B:B, A3100)=0, "Missing", "")</f>
        <v/>
      </c>
      <c r="E3100" s="128" t="str">
        <f t="shared" si="1"/>
        <v/>
      </c>
    </row>
    <row r="3101">
      <c r="A3101" s="93" t="str">
        <f t="shared" si="2"/>
        <v>#18298</v>
      </c>
      <c r="B3101" s="93" t="str">
        <f>IF(COUNTIF(MAIN!B:B, A3101)=0, "Missing", "")</f>
        <v/>
      </c>
      <c r="E3101" s="128" t="str">
        <f t="shared" si="1"/>
        <v/>
      </c>
    </row>
    <row r="3102">
      <c r="A3102" s="93" t="str">
        <f t="shared" si="2"/>
        <v>#18299</v>
      </c>
      <c r="B3102" s="93" t="str">
        <f>IF(COUNTIF(MAIN!B:B, A3102)=0, "Missing", "")</f>
        <v/>
      </c>
      <c r="E3102" s="128" t="str">
        <f t="shared" si="1"/>
        <v/>
      </c>
    </row>
    <row r="3103">
      <c r="A3103" s="93" t="str">
        <f t="shared" si="2"/>
        <v>#18300</v>
      </c>
      <c r="B3103" s="93" t="str">
        <f>IF(COUNTIF(MAIN!B:B, A3103)=0, "Missing", "")</f>
        <v/>
      </c>
      <c r="E3103" s="128" t="str">
        <f t="shared" si="1"/>
        <v/>
      </c>
    </row>
    <row r="3104">
      <c r="A3104" s="93" t="str">
        <f t="shared" si="2"/>
        <v>#18301</v>
      </c>
      <c r="B3104" s="93" t="str">
        <f>IF(COUNTIF(MAIN!B:B, A3104)=0, "Missing", "")</f>
        <v/>
      </c>
      <c r="E3104" s="128" t="str">
        <f t="shared" si="1"/>
        <v/>
      </c>
    </row>
    <row r="3105">
      <c r="A3105" s="93" t="str">
        <f t="shared" si="2"/>
        <v>#18302</v>
      </c>
      <c r="B3105" s="93" t="str">
        <f>IF(COUNTIF(MAIN!B:B, A3105)=0, "Missing", "")</f>
        <v/>
      </c>
      <c r="E3105" s="128" t="str">
        <f t="shared" si="1"/>
        <v/>
      </c>
    </row>
    <row r="3106">
      <c r="A3106" s="93" t="str">
        <f t="shared" si="2"/>
        <v>#18303</v>
      </c>
      <c r="B3106" s="93" t="str">
        <f>IF(COUNTIF(MAIN!B:B, A3106)=0, "Missing", "")</f>
        <v/>
      </c>
      <c r="E3106" s="128" t="str">
        <f t="shared" si="1"/>
        <v/>
      </c>
    </row>
    <row r="3107">
      <c r="A3107" s="93" t="str">
        <f t="shared" si="2"/>
        <v>#18304</v>
      </c>
      <c r="B3107" s="93" t="str">
        <f>IF(COUNTIF(MAIN!B:B, A3107)=0, "Missing", "")</f>
        <v/>
      </c>
      <c r="E3107" s="128" t="str">
        <f t="shared" si="1"/>
        <v/>
      </c>
    </row>
    <row r="3108">
      <c r="A3108" s="93" t="str">
        <f t="shared" si="2"/>
        <v>#18305</v>
      </c>
      <c r="B3108" s="93" t="str">
        <f>IF(COUNTIF(MAIN!B:B, A3108)=0, "Missing", "")</f>
        <v/>
      </c>
      <c r="E3108" s="128" t="str">
        <f t="shared" si="1"/>
        <v/>
      </c>
    </row>
    <row r="3109">
      <c r="A3109" s="93" t="str">
        <f t="shared" si="2"/>
        <v>#18306</v>
      </c>
      <c r="B3109" s="93" t="str">
        <f>IF(COUNTIF(MAIN!B:B, A3109)=0, "Missing", "")</f>
        <v/>
      </c>
      <c r="E3109" s="128" t="str">
        <f t="shared" si="1"/>
        <v/>
      </c>
    </row>
    <row r="3110">
      <c r="A3110" s="93" t="str">
        <f t="shared" si="2"/>
        <v>#18307</v>
      </c>
      <c r="B3110" s="93" t="str">
        <f>IF(COUNTIF(MAIN!B:B, A3110)=0, "Missing", "")</f>
        <v/>
      </c>
      <c r="E3110" s="128" t="str">
        <f t="shared" si="1"/>
        <v/>
      </c>
    </row>
    <row r="3111">
      <c r="A3111" s="93" t="str">
        <f t="shared" si="2"/>
        <v>#18308</v>
      </c>
      <c r="B3111" s="93" t="str">
        <f>IF(COUNTIF(MAIN!B:B, A3111)=0, "Missing", "")</f>
        <v/>
      </c>
      <c r="E3111" s="128" t="str">
        <f t="shared" si="1"/>
        <v/>
      </c>
    </row>
    <row r="3112">
      <c r="A3112" s="93" t="str">
        <f t="shared" si="2"/>
        <v>#18309</v>
      </c>
      <c r="B3112" s="93" t="str">
        <f>IF(COUNTIF(MAIN!B:B, A3112)=0, "Missing", "")</f>
        <v/>
      </c>
      <c r="E3112" s="128" t="str">
        <f t="shared" si="1"/>
        <v/>
      </c>
    </row>
    <row r="3113">
      <c r="A3113" s="93" t="str">
        <f t="shared" si="2"/>
        <v>#18310</v>
      </c>
      <c r="B3113" s="93" t="str">
        <f>IF(COUNTIF(MAIN!B:B, A3113)=0, "Missing", "")</f>
        <v/>
      </c>
      <c r="E3113" s="128" t="str">
        <f t="shared" si="1"/>
        <v/>
      </c>
    </row>
    <row r="3114">
      <c r="A3114" s="93" t="str">
        <f t="shared" si="2"/>
        <v>#18311</v>
      </c>
      <c r="B3114" s="93" t="str">
        <f>IF(COUNTIF(MAIN!B:B, A3114)=0, "Missing", "")</f>
        <v/>
      </c>
      <c r="E3114" s="128" t="str">
        <f t="shared" si="1"/>
        <v/>
      </c>
    </row>
    <row r="3115">
      <c r="A3115" s="93" t="str">
        <f t="shared" si="2"/>
        <v>#18312</v>
      </c>
      <c r="B3115" s="93" t="str">
        <f>IF(COUNTIF(MAIN!B:B, A3115)=0, "Missing", "")</f>
        <v/>
      </c>
      <c r="E3115" s="128" t="str">
        <f t="shared" si="1"/>
        <v/>
      </c>
    </row>
    <row r="3116">
      <c r="A3116" s="93" t="str">
        <f t="shared" si="2"/>
        <v>#18313</v>
      </c>
      <c r="B3116" s="93" t="str">
        <f>IF(COUNTIF(MAIN!B:B, A3116)=0, "Missing", "")</f>
        <v/>
      </c>
      <c r="E3116" s="128" t="str">
        <f t="shared" si="1"/>
        <v/>
      </c>
    </row>
    <row r="3117">
      <c r="A3117" s="93" t="str">
        <f t="shared" si="2"/>
        <v>#18314</v>
      </c>
      <c r="B3117" s="93" t="str">
        <f>IF(COUNTIF(MAIN!B:B, A3117)=0, "Missing", "")</f>
        <v/>
      </c>
      <c r="E3117" s="128" t="str">
        <f t="shared" si="1"/>
        <v/>
      </c>
    </row>
    <row r="3118">
      <c r="A3118" s="93" t="str">
        <f t="shared" si="2"/>
        <v>#18315</v>
      </c>
      <c r="B3118" s="93" t="str">
        <f>IF(COUNTIF(MAIN!B:B, A3118)=0, "Missing", "")</f>
        <v/>
      </c>
      <c r="E3118" s="128" t="str">
        <f t="shared" si="1"/>
        <v/>
      </c>
    </row>
    <row r="3119">
      <c r="A3119" s="93" t="str">
        <f t="shared" si="2"/>
        <v>#18316</v>
      </c>
      <c r="B3119" s="93" t="str">
        <f>IF(COUNTIF(MAIN!B:B, A3119)=0, "Missing", "")</f>
        <v/>
      </c>
      <c r="E3119" s="128" t="str">
        <f t="shared" si="1"/>
        <v/>
      </c>
    </row>
    <row r="3120">
      <c r="A3120" s="93" t="str">
        <f t="shared" si="2"/>
        <v>#18317</v>
      </c>
      <c r="B3120" s="93" t="str">
        <f>IF(COUNTIF(MAIN!B:B, A3120)=0, "Missing", "")</f>
        <v/>
      </c>
      <c r="E3120" s="128" t="str">
        <f t="shared" si="1"/>
        <v/>
      </c>
    </row>
    <row r="3121">
      <c r="A3121" s="93" t="str">
        <f t="shared" si="2"/>
        <v>#18318</v>
      </c>
      <c r="B3121" s="93" t="str">
        <f>IF(COUNTIF(MAIN!B:B, A3121)=0, "Missing", "")</f>
        <v/>
      </c>
      <c r="E3121" s="128" t="str">
        <f t="shared" si="1"/>
        <v/>
      </c>
    </row>
    <row r="3122">
      <c r="A3122" s="93" t="str">
        <f t="shared" si="2"/>
        <v>#18319</v>
      </c>
      <c r="B3122" s="93" t="str">
        <f>IF(COUNTIF(MAIN!B:B, A3122)=0, "Missing", "")</f>
        <v/>
      </c>
      <c r="E3122" s="128" t="str">
        <f t="shared" si="1"/>
        <v/>
      </c>
    </row>
    <row r="3123">
      <c r="A3123" s="93" t="str">
        <f t="shared" si="2"/>
        <v>#18320</v>
      </c>
      <c r="B3123" s="93" t="str">
        <f>IF(COUNTIF(MAIN!B:B, A3123)=0, "Missing", "")</f>
        <v/>
      </c>
      <c r="E3123" s="128" t="str">
        <f t="shared" si="1"/>
        <v/>
      </c>
    </row>
    <row r="3124">
      <c r="A3124" s="93" t="str">
        <f t="shared" si="2"/>
        <v>#18321</v>
      </c>
      <c r="B3124" s="93" t="str">
        <f>IF(COUNTIF(MAIN!B:B, A3124)=0, "Missing", "")</f>
        <v/>
      </c>
      <c r="E3124" s="128" t="str">
        <f t="shared" si="1"/>
        <v/>
      </c>
    </row>
    <row r="3125">
      <c r="A3125" s="93" t="str">
        <f t="shared" si="2"/>
        <v>#18322</v>
      </c>
      <c r="B3125" s="93" t="str">
        <f>IF(COUNTIF(MAIN!B:B, A3125)=0, "Missing", "")</f>
        <v/>
      </c>
      <c r="E3125" s="128" t="str">
        <f t="shared" si="1"/>
        <v/>
      </c>
    </row>
    <row r="3126">
      <c r="A3126" s="93" t="str">
        <f t="shared" si="2"/>
        <v>#18323</v>
      </c>
      <c r="B3126" s="93" t="str">
        <f>IF(COUNTIF(MAIN!B:B, A3126)=0, "Missing", "")</f>
        <v/>
      </c>
      <c r="E3126" s="128" t="str">
        <f t="shared" si="1"/>
        <v/>
      </c>
    </row>
    <row r="3127">
      <c r="A3127" s="93" t="str">
        <f t="shared" si="2"/>
        <v>#18324</v>
      </c>
      <c r="B3127" s="93" t="str">
        <f>IF(COUNTIF(MAIN!B:B, A3127)=0, "Missing", "")</f>
        <v/>
      </c>
      <c r="E3127" s="128" t="str">
        <f t="shared" si="1"/>
        <v/>
      </c>
    </row>
    <row r="3128">
      <c r="A3128" s="93" t="str">
        <f t="shared" si="2"/>
        <v>#18325</v>
      </c>
      <c r="B3128" s="93" t="str">
        <f>IF(COUNTIF(MAIN!B:B, A3128)=0, "Missing", "")</f>
        <v/>
      </c>
      <c r="E3128" s="128" t="str">
        <f t="shared" si="1"/>
        <v/>
      </c>
    </row>
    <row r="3129">
      <c r="A3129" s="93" t="str">
        <f t="shared" si="2"/>
        <v>#18326</v>
      </c>
      <c r="B3129" s="93" t="str">
        <f>IF(COUNTIF(MAIN!B:B, A3129)=0, "Missing", "")</f>
        <v/>
      </c>
      <c r="E3129" s="128" t="str">
        <f t="shared" si="1"/>
        <v/>
      </c>
    </row>
    <row r="3130">
      <c r="A3130" s="93" t="str">
        <f t="shared" si="2"/>
        <v>#18327</v>
      </c>
      <c r="B3130" s="93" t="str">
        <f>IF(COUNTIF(MAIN!B:B, A3130)=0, "Missing", "")</f>
        <v/>
      </c>
      <c r="E3130" s="128" t="str">
        <f t="shared" si="1"/>
        <v/>
      </c>
    </row>
    <row r="3131">
      <c r="A3131" s="93" t="str">
        <f t="shared" si="2"/>
        <v>#18328</v>
      </c>
      <c r="B3131" s="93" t="str">
        <f>IF(COUNTIF(MAIN!B:B, A3131)=0, "Missing", "")</f>
        <v/>
      </c>
      <c r="E3131" s="128" t="str">
        <f t="shared" si="1"/>
        <v/>
      </c>
    </row>
    <row r="3132">
      <c r="A3132" s="93" t="str">
        <f t="shared" si="2"/>
        <v>#18329</v>
      </c>
      <c r="B3132" s="93" t="str">
        <f>IF(COUNTIF(MAIN!B:B, A3132)=0, "Missing", "")</f>
        <v/>
      </c>
      <c r="E3132" s="128" t="str">
        <f t="shared" si="1"/>
        <v/>
      </c>
    </row>
    <row r="3133">
      <c r="A3133" s="93" t="str">
        <f t="shared" si="2"/>
        <v>#18330</v>
      </c>
      <c r="B3133" s="93" t="str">
        <f>IF(COUNTIF(MAIN!B:B, A3133)=0, "Missing", "")</f>
        <v/>
      </c>
      <c r="E3133" s="128" t="str">
        <f t="shared" si="1"/>
        <v/>
      </c>
    </row>
    <row r="3134">
      <c r="A3134" s="93" t="str">
        <f t="shared" si="2"/>
        <v>#18331</v>
      </c>
      <c r="B3134" s="93" t="str">
        <f>IF(COUNTIF(MAIN!B:B, A3134)=0, "Missing", "")</f>
        <v/>
      </c>
      <c r="E3134" s="128" t="str">
        <f t="shared" si="1"/>
        <v/>
      </c>
    </row>
    <row r="3135">
      <c r="A3135" s="93" t="str">
        <f t="shared" si="2"/>
        <v>#18332</v>
      </c>
      <c r="B3135" s="93" t="str">
        <f>IF(COUNTIF(MAIN!B:B, A3135)=0, "Missing", "")</f>
        <v/>
      </c>
      <c r="E3135" s="128" t="str">
        <f t="shared" si="1"/>
        <v/>
      </c>
    </row>
    <row r="3136">
      <c r="A3136" s="93" t="str">
        <f t="shared" si="2"/>
        <v>#18333</v>
      </c>
      <c r="B3136" s="93" t="str">
        <f>IF(COUNTIF(MAIN!B:B, A3136)=0, "Missing", "")</f>
        <v/>
      </c>
      <c r="E3136" s="128" t="str">
        <f t="shared" si="1"/>
        <v/>
      </c>
    </row>
    <row r="3137">
      <c r="A3137" s="93" t="str">
        <f t="shared" si="2"/>
        <v>#18334</v>
      </c>
      <c r="B3137" s="93" t="str">
        <f>IF(COUNTIF(MAIN!B:B, A3137)=0, "Missing", "")</f>
        <v/>
      </c>
      <c r="E3137" s="128" t="str">
        <f t="shared" si="1"/>
        <v/>
      </c>
    </row>
    <row r="3138">
      <c r="A3138" s="93" t="str">
        <f t="shared" si="2"/>
        <v>#18335</v>
      </c>
      <c r="B3138" s="93" t="str">
        <f>IF(COUNTIF(MAIN!B:B, A3138)=0, "Missing", "")</f>
        <v/>
      </c>
      <c r="E3138" s="128" t="str">
        <f t="shared" si="1"/>
        <v/>
      </c>
    </row>
    <row r="3139">
      <c r="A3139" s="93" t="str">
        <f t="shared" si="2"/>
        <v>#18336</v>
      </c>
      <c r="B3139" s="93" t="str">
        <f>IF(COUNTIF(MAIN!B:B, A3139)=0, "Missing", "")</f>
        <v/>
      </c>
      <c r="E3139" s="128" t="str">
        <f t="shared" si="1"/>
        <v/>
      </c>
    </row>
    <row r="3140">
      <c r="A3140" s="93" t="str">
        <f t="shared" si="2"/>
        <v>#18337</v>
      </c>
      <c r="B3140" s="93" t="str">
        <f>IF(COUNTIF(MAIN!B:B, A3140)=0, "Missing", "")</f>
        <v/>
      </c>
      <c r="E3140" s="128" t="str">
        <f t="shared" si="1"/>
        <v/>
      </c>
    </row>
    <row r="3141">
      <c r="A3141" s="93" t="str">
        <f t="shared" si="2"/>
        <v>#18338</v>
      </c>
      <c r="B3141" s="93" t="str">
        <f>IF(COUNTIF(MAIN!B:B, A3141)=0, "Missing", "")</f>
        <v/>
      </c>
      <c r="E3141" s="128" t="str">
        <f t="shared" si="1"/>
        <v/>
      </c>
    </row>
    <row r="3142">
      <c r="A3142" s="93" t="str">
        <f t="shared" si="2"/>
        <v>#18339</v>
      </c>
      <c r="B3142" s="93" t="str">
        <f>IF(COUNTIF(MAIN!B:B, A3142)=0, "Missing", "")</f>
        <v/>
      </c>
      <c r="E3142" s="128" t="str">
        <f t="shared" si="1"/>
        <v/>
      </c>
    </row>
    <row r="3143">
      <c r="A3143" s="93" t="str">
        <f t="shared" si="2"/>
        <v>#18340</v>
      </c>
      <c r="B3143" s="93" t="str">
        <f>IF(COUNTIF(MAIN!B:B, A3143)=0, "Missing", "")</f>
        <v/>
      </c>
      <c r="E3143" s="128" t="str">
        <f t="shared" si="1"/>
        <v/>
      </c>
    </row>
    <row r="3144">
      <c r="A3144" s="93" t="str">
        <f t="shared" si="2"/>
        <v>#18341</v>
      </c>
      <c r="B3144" s="93" t="str">
        <f>IF(COUNTIF(MAIN!B:B, A3144)=0, "Missing", "")</f>
        <v/>
      </c>
      <c r="E3144" s="128" t="str">
        <f t="shared" si="1"/>
        <v/>
      </c>
    </row>
    <row r="3145">
      <c r="A3145" s="93" t="str">
        <f t="shared" si="2"/>
        <v>#18342</v>
      </c>
      <c r="B3145" s="93" t="str">
        <f>IF(COUNTIF(MAIN!B:B, A3145)=0, "Missing", "")</f>
        <v/>
      </c>
      <c r="E3145" s="128" t="str">
        <f t="shared" si="1"/>
        <v/>
      </c>
    </row>
    <row r="3146">
      <c r="A3146" s="93" t="str">
        <f t="shared" si="2"/>
        <v>#18343</v>
      </c>
      <c r="B3146" s="93" t="str">
        <f>IF(COUNTIF(MAIN!B:B, A3146)=0, "Missing", "")</f>
        <v/>
      </c>
      <c r="E3146" s="128" t="str">
        <f t="shared" si="1"/>
        <v/>
      </c>
    </row>
    <row r="3147">
      <c r="A3147" s="93" t="str">
        <f t="shared" si="2"/>
        <v>#18344</v>
      </c>
      <c r="B3147" s="93" t="str">
        <f>IF(COUNTIF(MAIN!B:B, A3147)=0, "Missing", "")</f>
        <v/>
      </c>
      <c r="E3147" s="128" t="str">
        <f t="shared" si="1"/>
        <v/>
      </c>
    </row>
    <row r="3148">
      <c r="A3148" s="93" t="str">
        <f t="shared" si="2"/>
        <v>#18345</v>
      </c>
      <c r="B3148" s="93" t="str">
        <f>IF(COUNTIF(MAIN!B:B, A3148)=0, "Missing", "")</f>
        <v/>
      </c>
      <c r="E3148" s="128" t="str">
        <f t="shared" si="1"/>
        <v/>
      </c>
    </row>
    <row r="3149">
      <c r="A3149" s="93" t="str">
        <f t="shared" si="2"/>
        <v>#18346</v>
      </c>
      <c r="B3149" s="93" t="str">
        <f>IF(COUNTIF(MAIN!B:B, A3149)=0, "Missing", "")</f>
        <v/>
      </c>
      <c r="E3149" s="128" t="str">
        <f t="shared" si="1"/>
        <v/>
      </c>
    </row>
    <row r="3150">
      <c r="A3150" s="93" t="str">
        <f t="shared" si="2"/>
        <v>#18347</v>
      </c>
      <c r="B3150" s="93" t="str">
        <f>IF(COUNTIF(MAIN!B:B, A3150)=0, "Missing", "")</f>
        <v/>
      </c>
      <c r="E3150" s="128" t="str">
        <f t="shared" si="1"/>
        <v/>
      </c>
    </row>
    <row r="3151">
      <c r="A3151" s="93" t="str">
        <f t="shared" si="2"/>
        <v>#18348</v>
      </c>
      <c r="B3151" s="93" t="str">
        <f>IF(COUNTIF(MAIN!B:B, A3151)=0, "Missing", "")</f>
        <v/>
      </c>
      <c r="E3151" s="128" t="str">
        <f t="shared" si="1"/>
        <v/>
      </c>
    </row>
    <row r="3152">
      <c r="A3152" s="93" t="str">
        <f t="shared" si="2"/>
        <v>#18349</v>
      </c>
      <c r="B3152" s="93" t="str">
        <f>IF(COUNTIF(MAIN!B:B, A3152)=0, "Missing", "")</f>
        <v/>
      </c>
      <c r="E3152" s="128" t="str">
        <f t="shared" si="1"/>
        <v/>
      </c>
    </row>
    <row r="3153">
      <c r="A3153" s="93" t="str">
        <f t="shared" si="2"/>
        <v>#18350</v>
      </c>
      <c r="B3153" s="93" t="str">
        <f>IF(COUNTIF(MAIN!B:B, A3153)=0, "Missing", "")</f>
        <v/>
      </c>
      <c r="E3153" s="128" t="str">
        <f t="shared" si="1"/>
        <v/>
      </c>
    </row>
    <row r="3154">
      <c r="A3154" s="93" t="str">
        <f t="shared" si="2"/>
        <v>#18351</v>
      </c>
      <c r="B3154" s="93" t="str">
        <f>IF(COUNTIF(MAIN!B:B, A3154)=0, "Missing", "")</f>
        <v/>
      </c>
      <c r="E3154" s="128" t="str">
        <f t="shared" si="1"/>
        <v/>
      </c>
    </row>
    <row r="3155">
      <c r="A3155" s="93" t="str">
        <f t="shared" si="2"/>
        <v>#18352</v>
      </c>
      <c r="B3155" s="93" t="str">
        <f>IF(COUNTIF(MAIN!B:B, A3155)=0, "Missing", "")</f>
        <v/>
      </c>
      <c r="E3155" s="128" t="str">
        <f t="shared" si="1"/>
        <v/>
      </c>
    </row>
    <row r="3156">
      <c r="A3156" s="93" t="str">
        <f t="shared" si="2"/>
        <v>#18353</v>
      </c>
      <c r="B3156" s="93" t="str">
        <f>IF(COUNTIF(MAIN!B:B, A3156)=0, "Missing", "")</f>
        <v/>
      </c>
      <c r="E3156" s="128" t="str">
        <f t="shared" si="1"/>
        <v/>
      </c>
    </row>
    <row r="3157">
      <c r="A3157" s="93" t="str">
        <f t="shared" si="2"/>
        <v>#18354</v>
      </c>
      <c r="B3157" s="93" t="str">
        <f>IF(COUNTIF(MAIN!B:B, A3157)=0, "Missing", "")</f>
        <v/>
      </c>
      <c r="E3157" s="128" t="str">
        <f t="shared" si="1"/>
        <v/>
      </c>
    </row>
    <row r="3158">
      <c r="A3158" s="93" t="str">
        <f t="shared" si="2"/>
        <v>#18355</v>
      </c>
      <c r="B3158" s="93" t="str">
        <f>IF(COUNTIF(MAIN!B:B, A3158)=0, "Missing", "")</f>
        <v/>
      </c>
      <c r="E3158" s="128" t="str">
        <f t="shared" si="1"/>
        <v/>
      </c>
    </row>
    <row r="3159">
      <c r="A3159" s="93" t="str">
        <f t="shared" si="2"/>
        <v>#18356</v>
      </c>
      <c r="B3159" s="93" t="str">
        <f>IF(COUNTIF(MAIN!B:B, A3159)=0, "Missing", "")</f>
        <v/>
      </c>
      <c r="E3159" s="128" t="str">
        <f t="shared" si="1"/>
        <v/>
      </c>
    </row>
    <row r="3160">
      <c r="A3160" s="93" t="str">
        <f t="shared" si="2"/>
        <v>#18357</v>
      </c>
      <c r="B3160" s="93" t="str">
        <f>IF(COUNTIF(MAIN!B:B, A3160)=0, "Missing", "")</f>
        <v/>
      </c>
      <c r="E3160" s="128" t="str">
        <f t="shared" si="1"/>
        <v/>
      </c>
    </row>
    <row r="3161">
      <c r="A3161" s="93" t="str">
        <f t="shared" si="2"/>
        <v>#18358</v>
      </c>
      <c r="B3161" s="93" t="str">
        <f>IF(COUNTIF(MAIN!B:B, A3161)=0, "Missing", "")</f>
        <v/>
      </c>
      <c r="E3161" s="128" t="str">
        <f t="shared" si="1"/>
        <v/>
      </c>
    </row>
    <row r="3162">
      <c r="A3162" s="93" t="str">
        <f t="shared" si="2"/>
        <v>#18359</v>
      </c>
      <c r="B3162" s="93" t="str">
        <f>IF(COUNTIF(MAIN!B:B, A3162)=0, "Missing", "")</f>
        <v/>
      </c>
      <c r="E3162" s="128" t="str">
        <f t="shared" si="1"/>
        <v/>
      </c>
    </row>
    <row r="3163">
      <c r="A3163" s="93" t="str">
        <f t="shared" si="2"/>
        <v>#18360</v>
      </c>
      <c r="B3163" s="93" t="str">
        <f>IF(COUNTIF(MAIN!B:B, A3163)=0, "Missing", "")</f>
        <v/>
      </c>
      <c r="E3163" s="128" t="str">
        <f t="shared" si="1"/>
        <v/>
      </c>
    </row>
    <row r="3164">
      <c r="A3164" s="93" t="str">
        <f t="shared" si="2"/>
        <v>#18361</v>
      </c>
      <c r="B3164" s="93" t="str">
        <f>IF(COUNTIF(MAIN!B:B, A3164)=0, "Missing", "")</f>
        <v/>
      </c>
      <c r="E3164" s="128" t="str">
        <f t="shared" si="1"/>
        <v/>
      </c>
    </row>
    <row r="3165">
      <c r="A3165" s="93" t="str">
        <f t="shared" si="2"/>
        <v>#18362</v>
      </c>
      <c r="B3165" s="93" t="str">
        <f>IF(COUNTIF(MAIN!B:B, A3165)=0, "Missing", "")</f>
        <v/>
      </c>
      <c r="E3165" s="128" t="str">
        <f t="shared" si="1"/>
        <v/>
      </c>
    </row>
    <row r="3166">
      <c r="A3166" s="93" t="str">
        <f t="shared" si="2"/>
        <v>#18363</v>
      </c>
      <c r="B3166" s="93" t="str">
        <f>IF(COUNTIF(MAIN!B:B, A3166)=0, "Missing", "")</f>
        <v/>
      </c>
      <c r="E3166" s="128" t="str">
        <f t="shared" si="1"/>
        <v/>
      </c>
    </row>
    <row r="3167">
      <c r="A3167" s="93" t="str">
        <f t="shared" si="2"/>
        <v>#18364</v>
      </c>
      <c r="B3167" s="93" t="str">
        <f>IF(COUNTIF(MAIN!B:B, A3167)=0, "Missing", "")</f>
        <v/>
      </c>
      <c r="E3167" s="128" t="str">
        <f t="shared" si="1"/>
        <v/>
      </c>
    </row>
    <row r="3168">
      <c r="A3168" s="93" t="str">
        <f t="shared" si="2"/>
        <v>#18365</v>
      </c>
      <c r="B3168" s="93" t="str">
        <f>IF(COUNTIF(MAIN!B:B, A3168)=0, "Missing", "")</f>
        <v/>
      </c>
      <c r="E3168" s="128" t="str">
        <f t="shared" si="1"/>
        <v/>
      </c>
    </row>
    <row r="3169">
      <c r="A3169" s="93" t="str">
        <f t="shared" si="2"/>
        <v>#18366</v>
      </c>
      <c r="B3169" s="93" t="str">
        <f>IF(COUNTIF(MAIN!B:B, A3169)=0, "Missing", "")</f>
        <v/>
      </c>
      <c r="E3169" s="128" t="str">
        <f t="shared" si="1"/>
        <v/>
      </c>
    </row>
    <row r="3170">
      <c r="A3170" s="93" t="str">
        <f t="shared" si="2"/>
        <v>#18367</v>
      </c>
      <c r="B3170" s="93" t="str">
        <f>IF(COUNTIF(MAIN!B:B, A3170)=0, "Missing", "")</f>
        <v/>
      </c>
      <c r="E3170" s="128" t="str">
        <f t="shared" si="1"/>
        <v/>
      </c>
    </row>
    <row r="3171">
      <c r="A3171" s="93" t="str">
        <f t="shared" si="2"/>
        <v>#18368</v>
      </c>
      <c r="B3171" s="93" t="str">
        <f>IF(COUNTIF(MAIN!B:B, A3171)=0, "Missing", "")</f>
        <v/>
      </c>
      <c r="E3171" s="128" t="str">
        <f t="shared" si="1"/>
        <v/>
      </c>
    </row>
    <row r="3172">
      <c r="A3172" s="93" t="str">
        <f t="shared" si="2"/>
        <v>#18369</v>
      </c>
      <c r="B3172" s="93" t="str">
        <f>IF(COUNTIF(MAIN!B:B, A3172)=0, "Missing", "")</f>
        <v/>
      </c>
      <c r="E3172" s="128" t="str">
        <f t="shared" si="1"/>
        <v/>
      </c>
    </row>
    <row r="3173">
      <c r="A3173" s="93" t="str">
        <f t="shared" si="2"/>
        <v>#18370</v>
      </c>
      <c r="B3173" s="93" t="str">
        <f>IF(COUNTIF(MAIN!B:B, A3173)=0, "Missing", "")</f>
        <v/>
      </c>
      <c r="E3173" s="128" t="str">
        <f t="shared" si="1"/>
        <v/>
      </c>
    </row>
    <row r="3174">
      <c r="A3174" s="93" t="str">
        <f t="shared" si="2"/>
        <v>#18371</v>
      </c>
      <c r="B3174" s="93" t="str">
        <f>IF(COUNTIF(MAIN!B:B, A3174)=0, "Missing", "")</f>
        <v/>
      </c>
      <c r="E3174" s="128" t="str">
        <f t="shared" si="1"/>
        <v/>
      </c>
    </row>
    <row r="3175">
      <c r="A3175" s="93" t="str">
        <f t="shared" si="2"/>
        <v>#18372</v>
      </c>
      <c r="B3175" s="93" t="str">
        <f>IF(COUNTIF(MAIN!B:B, A3175)=0, "Missing", "")</f>
        <v/>
      </c>
      <c r="E3175" s="128" t="str">
        <f t="shared" si="1"/>
        <v/>
      </c>
    </row>
    <row r="3176">
      <c r="A3176" s="93" t="str">
        <f t="shared" si="2"/>
        <v>#18373</v>
      </c>
      <c r="B3176" s="93" t="str">
        <f>IF(COUNTIF(MAIN!B:B, A3176)=0, "Missing", "")</f>
        <v/>
      </c>
      <c r="E3176" s="128" t="str">
        <f t="shared" si="1"/>
        <v/>
      </c>
    </row>
    <row r="3177">
      <c r="A3177" s="93" t="str">
        <f t="shared" si="2"/>
        <v>#18374</v>
      </c>
      <c r="B3177" s="93" t="str">
        <f>IF(COUNTIF(MAIN!B:B, A3177)=0, "Missing", "")</f>
        <v/>
      </c>
      <c r="E3177" s="128" t="str">
        <f t="shared" si="1"/>
        <v/>
      </c>
    </row>
    <row r="3178">
      <c r="A3178" s="93" t="str">
        <f t="shared" si="2"/>
        <v>#18375</v>
      </c>
      <c r="B3178" s="93" t="str">
        <f>IF(COUNTIF(MAIN!B:B, A3178)=0, "Missing", "")</f>
        <v/>
      </c>
      <c r="E3178" s="128" t="str">
        <f t="shared" si="1"/>
        <v/>
      </c>
    </row>
    <row r="3179">
      <c r="A3179" s="93" t="str">
        <f t="shared" si="2"/>
        <v>#18376</v>
      </c>
      <c r="B3179" s="93" t="str">
        <f>IF(COUNTIF(MAIN!B:B, A3179)=0, "Missing", "")</f>
        <v/>
      </c>
      <c r="E3179" s="128" t="str">
        <f t="shared" si="1"/>
        <v/>
      </c>
    </row>
    <row r="3180">
      <c r="A3180" s="93" t="str">
        <f t="shared" si="2"/>
        <v>#18377</v>
      </c>
      <c r="B3180" s="93" t="str">
        <f>IF(COUNTIF(MAIN!B:B, A3180)=0, "Missing", "")</f>
        <v/>
      </c>
      <c r="E3180" s="128" t="str">
        <f t="shared" si="1"/>
        <v/>
      </c>
    </row>
    <row r="3181">
      <c r="A3181" s="93" t="str">
        <f t="shared" si="2"/>
        <v>#18378</v>
      </c>
      <c r="B3181" s="93" t="str">
        <f>IF(COUNTIF(MAIN!B:B, A3181)=0, "Missing", "")</f>
        <v/>
      </c>
      <c r="E3181" s="128" t="str">
        <f t="shared" si="1"/>
        <v/>
      </c>
    </row>
    <row r="3182">
      <c r="A3182" s="93" t="str">
        <f t="shared" si="2"/>
        <v>#18379</v>
      </c>
      <c r="B3182" s="93" t="str">
        <f>IF(COUNTIF(MAIN!B:B, A3182)=0, "Missing", "")</f>
        <v/>
      </c>
      <c r="E3182" s="128" t="str">
        <f t="shared" si="1"/>
        <v/>
      </c>
    </row>
    <row r="3183">
      <c r="A3183" s="93" t="str">
        <f t="shared" si="2"/>
        <v>#18380</v>
      </c>
      <c r="B3183" s="93" t="str">
        <f>IF(COUNTIF(MAIN!B:B, A3183)=0, "Missing", "")</f>
        <v/>
      </c>
      <c r="E3183" s="128" t="str">
        <f t="shared" si="1"/>
        <v/>
      </c>
    </row>
    <row r="3184">
      <c r="A3184" s="93" t="str">
        <f t="shared" si="2"/>
        <v>#18381</v>
      </c>
      <c r="B3184" s="93" t="str">
        <f>IF(COUNTIF(MAIN!B:B, A3184)=0, "Missing", "")</f>
        <v/>
      </c>
      <c r="E3184" s="128" t="str">
        <f t="shared" si="1"/>
        <v/>
      </c>
    </row>
    <row r="3185">
      <c r="A3185" s="93" t="str">
        <f t="shared" si="2"/>
        <v>#18382</v>
      </c>
      <c r="B3185" s="93" t="str">
        <f>IF(COUNTIF(MAIN!B:B, A3185)=0, "Missing", "")</f>
        <v/>
      </c>
      <c r="E3185" s="128" t="str">
        <f t="shared" si="1"/>
        <v/>
      </c>
    </row>
    <row r="3186">
      <c r="A3186" s="93" t="str">
        <f t="shared" si="2"/>
        <v>#18383</v>
      </c>
      <c r="B3186" s="93" t="str">
        <f>IF(COUNTIF(MAIN!B:B, A3186)=0, "Missing", "")</f>
        <v/>
      </c>
      <c r="E3186" s="128" t="str">
        <f t="shared" si="1"/>
        <v/>
      </c>
    </row>
    <row r="3187">
      <c r="A3187" s="93" t="str">
        <f t="shared" si="2"/>
        <v>#18384</v>
      </c>
      <c r="B3187" s="93" t="str">
        <f>IF(COUNTIF(MAIN!B:B, A3187)=0, "Missing", "")</f>
        <v/>
      </c>
      <c r="E3187" s="128" t="str">
        <f t="shared" si="1"/>
        <v/>
      </c>
    </row>
    <row r="3188">
      <c r="A3188" s="93" t="str">
        <f t="shared" si="2"/>
        <v>#18385</v>
      </c>
      <c r="B3188" s="93" t="str">
        <f>IF(COUNTIF(MAIN!B:B, A3188)=0, "Missing", "")</f>
        <v/>
      </c>
      <c r="E3188" s="128" t="str">
        <f t="shared" si="1"/>
        <v/>
      </c>
    </row>
    <row r="3189">
      <c r="A3189" s="93" t="str">
        <f t="shared" si="2"/>
        <v>#18386</v>
      </c>
      <c r="B3189" s="93" t="str">
        <f>IF(COUNTIF(MAIN!B:B, A3189)=0, "Missing", "")</f>
        <v/>
      </c>
      <c r="E3189" s="128" t="str">
        <f t="shared" si="1"/>
        <v/>
      </c>
    </row>
    <row r="3190">
      <c r="A3190" s="93" t="str">
        <f t="shared" si="2"/>
        <v>#18387</v>
      </c>
      <c r="B3190" s="93" t="str">
        <f>IF(COUNTIF(MAIN!B:B, A3190)=0, "Missing", "")</f>
        <v/>
      </c>
      <c r="E3190" s="128" t="str">
        <f t="shared" si="1"/>
        <v/>
      </c>
    </row>
    <row r="3191">
      <c r="A3191" s="93" t="str">
        <f t="shared" si="2"/>
        <v>#18388</v>
      </c>
      <c r="B3191" s="93" t="str">
        <f>IF(COUNTIF(MAIN!B:B, A3191)=0, "Missing", "")</f>
        <v/>
      </c>
      <c r="E3191" s="128" t="str">
        <f t="shared" si="1"/>
        <v/>
      </c>
    </row>
    <row r="3192">
      <c r="A3192" s="93" t="str">
        <f t="shared" si="2"/>
        <v>#18389</v>
      </c>
      <c r="B3192" s="93" t="str">
        <f>IF(COUNTIF(MAIN!B:B, A3192)=0, "Missing", "")</f>
        <v/>
      </c>
      <c r="E3192" s="128" t="str">
        <f t="shared" si="1"/>
        <v/>
      </c>
    </row>
    <row r="3193">
      <c r="A3193" s="93" t="str">
        <f t="shared" si="2"/>
        <v>#18390</v>
      </c>
      <c r="B3193" s="93" t="str">
        <f>IF(COUNTIF(MAIN!B:B, A3193)=0, "Missing", "")</f>
        <v/>
      </c>
      <c r="E3193" s="128" t="str">
        <f t="shared" si="1"/>
        <v/>
      </c>
    </row>
    <row r="3194">
      <c r="A3194" s="93" t="str">
        <f t="shared" si="2"/>
        <v>#18391</v>
      </c>
      <c r="B3194" s="93" t="str">
        <f>IF(COUNTIF(MAIN!B:B, A3194)=0, "Missing", "")</f>
        <v/>
      </c>
      <c r="E3194" s="128" t="str">
        <f t="shared" si="1"/>
        <v/>
      </c>
    </row>
    <row r="3195">
      <c r="A3195" s="93" t="str">
        <f t="shared" si="2"/>
        <v>#18392</v>
      </c>
      <c r="B3195" s="93" t="str">
        <f>IF(COUNTIF(MAIN!B:B, A3195)=0, "Missing", "")</f>
        <v/>
      </c>
      <c r="E3195" s="128" t="str">
        <f t="shared" si="1"/>
        <v/>
      </c>
    </row>
    <row r="3196">
      <c r="A3196" s="93" t="str">
        <f t="shared" si="2"/>
        <v>#18393</v>
      </c>
      <c r="B3196" s="93" t="str">
        <f>IF(COUNTIF(MAIN!B:B, A3196)=0, "Missing", "")</f>
        <v/>
      </c>
      <c r="E3196" s="128" t="str">
        <f t="shared" si="1"/>
        <v/>
      </c>
    </row>
    <row r="3197">
      <c r="A3197" s="93" t="str">
        <f t="shared" si="2"/>
        <v>#18394</v>
      </c>
      <c r="B3197" s="93" t="str">
        <f>IF(COUNTIF(MAIN!B:B, A3197)=0, "Missing", "")</f>
        <v/>
      </c>
      <c r="E3197" s="128" t="str">
        <f t="shared" si="1"/>
        <v/>
      </c>
    </row>
    <row r="3198">
      <c r="A3198" s="93" t="str">
        <f t="shared" si="2"/>
        <v>#18395</v>
      </c>
      <c r="B3198" s="93" t="str">
        <f>IF(COUNTIF(MAIN!B:B, A3198)=0, "Missing", "")</f>
        <v/>
      </c>
      <c r="E3198" s="128" t="str">
        <f t="shared" si="1"/>
        <v/>
      </c>
    </row>
    <row r="3199">
      <c r="A3199" s="93" t="str">
        <f t="shared" si="2"/>
        <v>#18396</v>
      </c>
      <c r="B3199" s="93" t="str">
        <f>IF(COUNTIF(MAIN!B:B, A3199)=0, "Missing", "")</f>
        <v/>
      </c>
      <c r="E3199" s="128" t="str">
        <f t="shared" si="1"/>
        <v/>
      </c>
    </row>
    <row r="3200">
      <c r="A3200" s="93" t="str">
        <f t="shared" si="2"/>
        <v>#18397</v>
      </c>
      <c r="B3200" s="93" t="str">
        <f>IF(COUNTIF(MAIN!B:B, A3200)=0, "Missing", "")</f>
        <v/>
      </c>
      <c r="E3200" s="128" t="str">
        <f t="shared" si="1"/>
        <v/>
      </c>
    </row>
    <row r="3201">
      <c r="A3201" s="93" t="str">
        <f t="shared" si="2"/>
        <v>#18398</v>
      </c>
      <c r="B3201" s="93" t="str">
        <f>IF(COUNTIF(MAIN!B:B, A3201)=0, "Missing", "")</f>
        <v/>
      </c>
      <c r="E3201" s="128" t="str">
        <f t="shared" si="1"/>
        <v/>
      </c>
    </row>
  </sheetData>
  <conditionalFormatting sqref="A1:B3201 F1">
    <cfRule type="expression" dxfId="6" priority="1">
      <formula>$B1="Missing"</formula>
    </cfRule>
  </conditionalFormatting>
  <conditionalFormatting sqref="A1:J3201">
    <cfRule type="expression" dxfId="7" priority="2">
      <formula>$A1=$G$2</formula>
    </cfRule>
  </conditionalFormatting>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3.0"/>
    <col customWidth="1" min="3" max="3" width="38.5"/>
    <col customWidth="1" min="4" max="4" width="13.75"/>
    <col customWidth="1" min="5" max="5" width="9.88"/>
  </cols>
  <sheetData>
    <row r="1">
      <c r="A1" s="127" t="s">
        <v>14211</v>
      </c>
      <c r="B1" s="97" t="s">
        <v>15225</v>
      </c>
      <c r="C1" s="98" t="s">
        <v>14048</v>
      </c>
      <c r="D1" s="97" t="s">
        <v>15226</v>
      </c>
      <c r="E1" s="98" t="s">
        <v>0</v>
      </c>
    </row>
    <row r="2">
      <c r="A2" s="12" t="s">
        <v>39</v>
      </c>
      <c r="B2" s="93" t="str">
        <f>IF(COUNTIF(MAIN!B:B, A2)=0, "Missing", "")</f>
        <v/>
      </c>
      <c r="C2" s="128"/>
      <c r="E2" s="128" t="str">
        <f t="shared" ref="E2:E4001" si="1">IF(B2="Missing", HYPERLINK("https://utrucking.myshopify.com/admin/orders?query="&amp;RIGHT(A2,LEN(A2)-1)), "")</f>
        <v/>
      </c>
      <c r="F2" s="129" t="s">
        <v>15227</v>
      </c>
      <c r="G2" s="130" t="str">
        <f t="array" ref="G2">XLOOKUP("*",MAIN!B:B,MAIN!B:B,"",2,-1)</f>
        <v>#18401</v>
      </c>
      <c r="P2" s="84" t="s">
        <v>15244</v>
      </c>
    </row>
    <row r="3">
      <c r="A3" s="93" t="str">
        <f t="shared" ref="A3:A4001" si="2">IF(VALUE(RIGHT(A2,LEN(A2)-1))+1&lt;=20000,"#"&amp;VALUE(RIGHT(A2,LEN(A2)-1))+1,"")</f>
        <v>#13852</v>
      </c>
      <c r="B3" s="93" t="str">
        <f>IF(AND(COUNTIF(MAIN!B:B, A3)=0, IFERROR(SEARCH("return", C3)&gt;0, FALSE)), "Rental Return", IF(COUNTIF(MAIN!B:B, A3)=0, "Missing", ""))</f>
        <v>Missing</v>
      </c>
      <c r="C3" s="133" t="s">
        <v>15245</v>
      </c>
      <c r="E3" s="131" t="str">
        <f t="shared" si="1"/>
        <v>https://utrucking.myshopify.com/admin/orders?query=13852</v>
      </c>
    </row>
    <row r="4">
      <c r="A4" s="93" t="str">
        <f t="shared" si="2"/>
        <v>#13853</v>
      </c>
      <c r="B4" s="93" t="str">
        <f>IF(AND(COUNTIF(MAIN!B:B, A4)=0, IFERROR(SEARCH("return", C4)&gt;0, FALSE)), "Rental Return", IF(COUNTIF(MAIN!B:B, A4)=0, "Missing", ""))</f>
        <v>Missing</v>
      </c>
      <c r="C4" s="133" t="s">
        <v>15246</v>
      </c>
      <c r="E4" s="131" t="str">
        <f t="shared" si="1"/>
        <v>https://utrucking.myshopify.com/admin/orders?query=13853</v>
      </c>
    </row>
    <row r="5">
      <c r="A5" s="93" t="str">
        <f t="shared" si="2"/>
        <v>#13854</v>
      </c>
      <c r="B5" s="93" t="str">
        <f>IF(AND(COUNTIF(MAIN!B:B, A5)=0, IFERROR(SEARCH("return", C5)&gt;0, FALSE)), "Rental Return", IF(COUNTIF(MAIN!B:B, A5)=0, "Missing", ""))</f>
        <v>Missing</v>
      </c>
      <c r="C5" s="133" t="s">
        <v>15246</v>
      </c>
      <c r="E5" s="131" t="str">
        <f t="shared" si="1"/>
        <v>https://utrucking.myshopify.com/admin/orders?query=13854</v>
      </c>
    </row>
    <row r="6">
      <c r="A6" s="93" t="str">
        <f t="shared" si="2"/>
        <v>#13855</v>
      </c>
      <c r="B6" s="93" t="str">
        <f>IF(AND(COUNTIF(MAIN!B:B, A6)=0, IFERROR(SEARCH("return", C6)&gt;0, FALSE)), "Rental Return", IF(COUNTIF(MAIN!B:B, A6)=0, "Missing", ""))</f>
        <v>Missing</v>
      </c>
      <c r="C6" s="133" t="s">
        <v>15246</v>
      </c>
      <c r="E6" s="131" t="str">
        <f t="shared" si="1"/>
        <v>https://utrucking.myshopify.com/admin/orders?query=13855</v>
      </c>
    </row>
    <row r="7">
      <c r="A7" s="93" t="str">
        <f t="shared" si="2"/>
        <v>#13856</v>
      </c>
      <c r="B7" s="93" t="str">
        <f>IF(AND(COUNTIF(MAIN!B:B, A7)=0, IFERROR(SEARCH("return", C7)&gt;0, FALSE)), "Rental Return", IF(COUNTIF(MAIN!B:B, A7)=0, "Missing", ""))</f>
        <v>Missing</v>
      </c>
      <c r="C7" s="133" t="s">
        <v>15247</v>
      </c>
      <c r="E7" s="131" t="str">
        <f t="shared" si="1"/>
        <v>https://utrucking.myshopify.com/admin/orders?query=13856</v>
      </c>
    </row>
    <row r="8">
      <c r="A8" s="93" t="str">
        <f t="shared" si="2"/>
        <v>#13857</v>
      </c>
      <c r="B8" s="93" t="str">
        <f>IF(AND(COUNTIF(MAIN!B:B, A8)=0, IFERROR(SEARCH("return", C8)&gt;0, FALSE)), "Rental Return", IF(COUNTIF(MAIN!B:B, A8)=0, "Missing", ""))</f>
        <v>Missing</v>
      </c>
      <c r="C8" s="133" t="s">
        <v>15248</v>
      </c>
      <c r="E8" s="131" t="str">
        <f t="shared" si="1"/>
        <v>https://utrucking.myshopify.com/admin/orders?query=13857</v>
      </c>
    </row>
    <row r="9">
      <c r="A9" s="93" t="str">
        <f t="shared" si="2"/>
        <v>#13858</v>
      </c>
      <c r="B9" s="93" t="str">
        <f>IF(AND(COUNTIF(MAIN!B:B, A9)=0, IFERROR(SEARCH("return", C9)&gt;0, FALSE)), "Rental Return", IF(COUNTIF(MAIN!B:B, A9)=0, "Missing", ""))</f>
        <v>Missing</v>
      </c>
      <c r="C9" s="133" t="s">
        <v>15249</v>
      </c>
      <c r="E9" s="131" t="str">
        <f t="shared" si="1"/>
        <v>https://utrucking.myshopify.com/admin/orders?query=13858</v>
      </c>
    </row>
    <row r="10">
      <c r="A10" s="93" t="str">
        <f t="shared" si="2"/>
        <v>#13859</v>
      </c>
      <c r="B10" s="93" t="str">
        <f>IF(AND(COUNTIF(MAIN!B:B, A10)=0, IFERROR(SEARCH("return", C10)&gt;0, FALSE)), "Rental Return", IF(COUNTIF(MAIN!B:B, A10)=0, "Missing", ""))</f>
        <v>Missing</v>
      </c>
      <c r="C10" s="133" t="s">
        <v>15246</v>
      </c>
      <c r="E10" s="131" t="str">
        <f t="shared" si="1"/>
        <v>https://utrucking.myshopify.com/admin/orders?query=13859</v>
      </c>
    </row>
    <row r="11">
      <c r="A11" s="93" t="str">
        <f t="shared" si="2"/>
        <v>#13860</v>
      </c>
      <c r="B11" s="93" t="str">
        <f>IF(AND(COUNTIF(MAIN!B:B, A11)=0, IFERROR(SEARCH("return", C11)&gt;0, FALSE)), "Rental Return", IF(COUNTIF(MAIN!B:B, A11)=0, "Missing", ""))</f>
        <v>Missing</v>
      </c>
      <c r="C11" s="133" t="s">
        <v>15250</v>
      </c>
      <c r="E11" s="131" t="str">
        <f t="shared" si="1"/>
        <v>https://utrucking.myshopify.com/admin/orders?query=13860</v>
      </c>
    </row>
    <row r="12">
      <c r="A12" s="93" t="str">
        <f t="shared" si="2"/>
        <v>#13861</v>
      </c>
      <c r="B12" s="93" t="str">
        <f>IF(AND(COUNTIF(MAIN!B:B, A12)=0, IFERROR(SEARCH("return", C12)&gt;0, FALSE)), "Rental Return", IF(COUNTIF(MAIN!B:B, A12)=0, "Missing", ""))</f>
        <v>Missing</v>
      </c>
      <c r="C12" s="133" t="s">
        <v>15246</v>
      </c>
      <c r="E12" s="131" t="str">
        <f t="shared" si="1"/>
        <v>https://utrucking.myshopify.com/admin/orders?query=13861</v>
      </c>
    </row>
    <row r="13">
      <c r="A13" s="93" t="str">
        <f t="shared" si="2"/>
        <v>#13862</v>
      </c>
      <c r="B13" s="93" t="str">
        <f>IF(AND(COUNTIF(MAIN!B:B, A13)=0, IFERROR(SEARCH("return", C13)&gt;0, FALSE)), "Rental Return", IF(COUNTIF(MAIN!B:B, A13)=0, "Missing", ""))</f>
        <v>Missing</v>
      </c>
      <c r="C13" s="133" t="s">
        <v>15246</v>
      </c>
      <c r="E13" s="131" t="str">
        <f t="shared" si="1"/>
        <v>https://utrucking.myshopify.com/admin/orders?query=13862</v>
      </c>
    </row>
    <row r="14">
      <c r="A14" s="93" t="str">
        <f t="shared" si="2"/>
        <v>#13863</v>
      </c>
      <c r="B14" s="93" t="str">
        <f>IF(AND(COUNTIF(MAIN!B:B, A14)=0, IFERROR(SEARCH("return", C14)&gt;0, FALSE)), "Rental Return", IF(COUNTIF(MAIN!B:B, A14)=0, "Missing", ""))</f>
        <v>Missing</v>
      </c>
      <c r="C14" s="133" t="s">
        <v>15246</v>
      </c>
      <c r="E14" s="131" t="str">
        <f t="shared" si="1"/>
        <v>https://utrucking.myshopify.com/admin/orders?query=13863</v>
      </c>
    </row>
    <row r="15">
      <c r="A15" s="93" t="str">
        <f t="shared" si="2"/>
        <v>#13864</v>
      </c>
      <c r="B15" s="93" t="str">
        <f>IF(AND(COUNTIF(MAIN!B:B, A15)=0, IFERROR(SEARCH("return", C15)&gt;0, FALSE)), "Rental Return", IF(COUNTIF(MAIN!B:B, A15)=0, "Missing", ""))</f>
        <v>Missing</v>
      </c>
      <c r="C15" s="133" t="s">
        <v>15251</v>
      </c>
      <c r="E15" s="131" t="str">
        <f t="shared" si="1"/>
        <v>https://utrucking.myshopify.com/admin/orders?query=13864</v>
      </c>
    </row>
    <row r="16">
      <c r="A16" s="93" t="str">
        <f t="shared" si="2"/>
        <v>#13865</v>
      </c>
      <c r="B16" s="93" t="str">
        <f>IF(AND(COUNTIF(MAIN!B:B, A16)=0, IFERROR(SEARCH("return", C16)&gt;0, FALSE)), "Rental Return", IF(COUNTIF(MAIN!B:B, A16)=0, "Missing", ""))</f>
        <v>Missing</v>
      </c>
      <c r="C16" s="133" t="s">
        <v>15246</v>
      </c>
      <c r="E16" s="131" t="str">
        <f t="shared" si="1"/>
        <v>https://utrucking.myshopify.com/admin/orders?query=13865</v>
      </c>
    </row>
    <row r="17">
      <c r="A17" s="93" t="str">
        <f t="shared" si="2"/>
        <v>#13866</v>
      </c>
      <c r="B17" s="93" t="str">
        <f>IF(AND(COUNTIF(MAIN!B:B, A17)=0, IFERROR(SEARCH("return", C17)&gt;0, FALSE)), "Rental Return", IF(COUNTIF(MAIN!B:B, A17)=0, "Missing", ""))</f>
        <v>Missing</v>
      </c>
      <c r="C17" s="133" t="s">
        <v>15249</v>
      </c>
      <c r="E17" s="131" t="str">
        <f t="shared" si="1"/>
        <v>https://utrucking.myshopify.com/admin/orders?query=13866</v>
      </c>
    </row>
    <row r="18">
      <c r="A18" s="93" t="str">
        <f t="shared" si="2"/>
        <v>#13867</v>
      </c>
      <c r="B18" s="93" t="str">
        <f>IF(AND(COUNTIF(MAIN!B:B, A18)=0, IFERROR(SEARCH("return", C18)&gt;0, FALSE)), "Rental Return", IF(COUNTIF(MAIN!B:B, A18)=0, "Missing", ""))</f>
        <v>Missing</v>
      </c>
      <c r="C18" s="133" t="s">
        <v>15246</v>
      </c>
      <c r="E18" s="131" t="str">
        <f t="shared" si="1"/>
        <v>https://utrucking.myshopify.com/admin/orders?query=13867</v>
      </c>
    </row>
    <row r="19">
      <c r="A19" s="93" t="str">
        <f t="shared" si="2"/>
        <v>#13868</v>
      </c>
      <c r="B19" s="93" t="str">
        <f>IF(AND(COUNTIF(MAIN!B:B, A19)=0, IFERROR(SEARCH("return", C19)&gt;0, FALSE)), "Rental Return", IF(COUNTIF(MAIN!B:B, A19)=0, "Missing", ""))</f>
        <v>Missing</v>
      </c>
      <c r="C19" s="133" t="s">
        <v>15246</v>
      </c>
      <c r="E19" s="131" t="str">
        <f t="shared" si="1"/>
        <v>https://utrucking.myshopify.com/admin/orders?query=13868</v>
      </c>
    </row>
    <row r="20">
      <c r="A20" s="93" t="str">
        <f t="shared" si="2"/>
        <v>#13869</v>
      </c>
      <c r="B20" s="93" t="str">
        <f>IF(AND(COUNTIF(MAIN!B:B, A20)=0, IFERROR(SEARCH("return", C20)&gt;0, FALSE)), "Rental Return", IF(COUNTIF(MAIN!B:B, A20)=0, "Missing", ""))</f>
        <v>Missing</v>
      </c>
      <c r="C20" s="133" t="s">
        <v>15252</v>
      </c>
      <c r="E20" s="131" t="str">
        <f t="shared" si="1"/>
        <v>https://utrucking.myshopify.com/admin/orders?query=13869</v>
      </c>
    </row>
    <row r="21">
      <c r="A21" s="93" t="str">
        <f t="shared" si="2"/>
        <v>#13870</v>
      </c>
      <c r="B21" s="93" t="str">
        <f>IF(AND(COUNTIF(MAIN!B:B, A21)=0, IFERROR(SEARCH("return", C21)&gt;0, FALSE)), "Rental Return", IF(COUNTIF(MAIN!B:B, A21)=0, "Missing", ""))</f>
        <v>Missing</v>
      </c>
      <c r="C21" s="133" t="s">
        <v>15249</v>
      </c>
      <c r="E21" s="131" t="str">
        <f t="shared" si="1"/>
        <v>https://utrucking.myshopify.com/admin/orders?query=13870</v>
      </c>
    </row>
    <row r="22">
      <c r="A22" s="93" t="str">
        <f t="shared" si="2"/>
        <v>#13871</v>
      </c>
      <c r="B22" s="93" t="str">
        <f>IF(AND(COUNTIF(MAIN!B:B, A22)=0, IFERROR(SEARCH("return", C22)&gt;0, FALSE)), "Rental Return", IF(COUNTIF(MAIN!B:B, A22)=0, "Missing", ""))</f>
        <v>Missing</v>
      </c>
      <c r="C22" s="133" t="s">
        <v>15248</v>
      </c>
      <c r="E22" s="131" t="str">
        <f t="shared" si="1"/>
        <v>https://utrucking.myshopify.com/admin/orders?query=13871</v>
      </c>
    </row>
    <row r="23">
      <c r="A23" s="93" t="str">
        <f t="shared" si="2"/>
        <v>#13872</v>
      </c>
      <c r="B23" s="93" t="str">
        <f>IF(AND(COUNTIF(MAIN!B:B, A23)=0, IFERROR(SEARCH("return", C23)&gt;0, FALSE)), "Rental Return", IF(COUNTIF(MAIN!B:B, A23)=0, "Missing", ""))</f>
        <v>Missing</v>
      </c>
      <c r="C23" s="133" t="s">
        <v>15252</v>
      </c>
      <c r="E23" s="131" t="str">
        <f t="shared" si="1"/>
        <v>https://utrucking.myshopify.com/admin/orders?query=13872</v>
      </c>
    </row>
    <row r="24">
      <c r="A24" s="93" t="str">
        <f t="shared" si="2"/>
        <v>#13873</v>
      </c>
      <c r="B24" s="93" t="str">
        <f>IF(AND(COUNTIF(MAIN!B:B, A24)=0, IFERROR(SEARCH("return", C24)&gt;0, FALSE)), "Rental Return", IF(COUNTIF(MAIN!B:B, A24)=0, "Missing", ""))</f>
        <v>Missing</v>
      </c>
      <c r="C24" s="133" t="s">
        <v>15249</v>
      </c>
      <c r="E24" s="131" t="str">
        <f t="shared" si="1"/>
        <v>https://utrucking.myshopify.com/admin/orders?query=13873</v>
      </c>
    </row>
    <row r="25">
      <c r="A25" s="93" t="str">
        <f t="shared" si="2"/>
        <v>#13874</v>
      </c>
      <c r="B25" s="93" t="str">
        <f>IF(AND(COUNTIF(MAIN!B:B, A25)=0, IFERROR(SEARCH("return", C25)&gt;0, FALSE)), "Rental Return", IF(COUNTIF(MAIN!B:B, A25)=0, "Missing", ""))</f>
        <v>Missing</v>
      </c>
      <c r="C25" s="133" t="s">
        <v>15246</v>
      </c>
      <c r="E25" s="131" t="str">
        <f t="shared" si="1"/>
        <v>https://utrucking.myshopify.com/admin/orders?query=13874</v>
      </c>
    </row>
    <row r="26">
      <c r="A26" s="93" t="str">
        <f t="shared" si="2"/>
        <v>#13875</v>
      </c>
      <c r="B26" s="93" t="str">
        <f>IF(AND(COUNTIF(MAIN!B:B, A26)=0, IFERROR(SEARCH("return", C26)&gt;0, FALSE)), "Rental Return", IF(COUNTIF(MAIN!B:B, A26)=0, "Missing", ""))</f>
        <v>Missing</v>
      </c>
      <c r="C26" s="133" t="s">
        <v>15249</v>
      </c>
      <c r="E26" s="131" t="str">
        <f t="shared" si="1"/>
        <v>https://utrucking.myshopify.com/admin/orders?query=13875</v>
      </c>
    </row>
    <row r="27">
      <c r="A27" s="93" t="str">
        <f t="shared" si="2"/>
        <v>#13876</v>
      </c>
      <c r="B27" s="93" t="str">
        <f>IF(AND(COUNTIF(MAIN!B:B, A27)=0, IFERROR(SEARCH("return", C27)&gt;0, FALSE)), "Rental Return", IF(COUNTIF(MAIN!B:B, A27)=0, "Missing", ""))</f>
        <v>Missing</v>
      </c>
      <c r="C27" s="133" t="s">
        <v>15249</v>
      </c>
      <c r="E27" s="131" t="str">
        <f t="shared" si="1"/>
        <v>https://utrucking.myshopify.com/admin/orders?query=13876</v>
      </c>
    </row>
    <row r="28">
      <c r="A28" s="93" t="str">
        <f t="shared" si="2"/>
        <v>#13877</v>
      </c>
      <c r="B28" s="93" t="str">
        <f>IF(AND(COUNTIF(MAIN!B:B, A28)=0, IFERROR(SEARCH("return", C28)&gt;0, FALSE)), "Rental Return", IF(COUNTIF(MAIN!B:B, A28)=0, "Missing", ""))</f>
        <v>Missing</v>
      </c>
      <c r="C28" s="133" t="s">
        <v>15246</v>
      </c>
      <c r="E28" s="131" t="str">
        <f t="shared" si="1"/>
        <v>https://utrucking.myshopify.com/admin/orders?query=13877</v>
      </c>
    </row>
    <row r="29">
      <c r="A29" s="93" t="str">
        <f t="shared" si="2"/>
        <v>#13878</v>
      </c>
      <c r="B29" s="93" t="str">
        <f>IF(AND(COUNTIF(MAIN!B:B, A29)=0, IFERROR(SEARCH("return", C29)&gt;0, FALSE)), "Rental Return", IF(COUNTIF(MAIN!B:B, A29)=0, "Missing", ""))</f>
        <v>Missing</v>
      </c>
      <c r="C29" s="133" t="s">
        <v>15246</v>
      </c>
      <c r="E29" s="131" t="str">
        <f t="shared" si="1"/>
        <v>https://utrucking.myshopify.com/admin/orders?query=13878</v>
      </c>
    </row>
    <row r="30">
      <c r="A30" s="93" t="str">
        <f t="shared" si="2"/>
        <v>#13879</v>
      </c>
      <c r="B30" s="93" t="str">
        <f>IF(AND(COUNTIF(MAIN!B:B, A30)=0, IFERROR(SEARCH("return", C30)&gt;0, FALSE)), "Rental Return", IF(COUNTIF(MAIN!B:B, A30)=0, "Missing", ""))</f>
        <v>Missing</v>
      </c>
      <c r="C30" s="133" t="s">
        <v>15246</v>
      </c>
      <c r="E30" s="131" t="str">
        <f t="shared" si="1"/>
        <v>https://utrucking.myshopify.com/admin/orders?query=13879</v>
      </c>
    </row>
    <row r="31">
      <c r="A31" s="93" t="str">
        <f t="shared" si="2"/>
        <v>#13880</v>
      </c>
      <c r="B31" s="93" t="str">
        <f>IF(AND(COUNTIF(MAIN!B:B, A31)=0, IFERROR(SEARCH("return", C31)&gt;0, FALSE)), "Rental Return", IF(COUNTIF(MAIN!B:B, A31)=0, "Missing", ""))</f>
        <v>Missing</v>
      </c>
      <c r="C31" s="133" t="s">
        <v>15249</v>
      </c>
      <c r="E31" s="131" t="str">
        <f t="shared" si="1"/>
        <v>https://utrucking.myshopify.com/admin/orders?query=13880</v>
      </c>
    </row>
    <row r="32">
      <c r="A32" s="93" t="str">
        <f t="shared" si="2"/>
        <v>#13881</v>
      </c>
      <c r="B32" s="93" t="str">
        <f>IF(AND(COUNTIF(MAIN!B:B, A32)=0, IFERROR(SEARCH("return", C32)&gt;0, FALSE)), "Rental Return", IF(COUNTIF(MAIN!B:B, A32)=0, "Missing", ""))</f>
        <v>Missing</v>
      </c>
      <c r="C32" s="133" t="s">
        <v>15246</v>
      </c>
      <c r="E32" s="131" t="str">
        <f t="shared" si="1"/>
        <v>https://utrucking.myshopify.com/admin/orders?query=13881</v>
      </c>
    </row>
    <row r="33">
      <c r="A33" s="93" t="str">
        <f t="shared" si="2"/>
        <v>#13882</v>
      </c>
      <c r="B33" s="93" t="str">
        <f>IF(AND(COUNTIF(MAIN!B:B, A33)=0, IFERROR(SEARCH("return", C33)&gt;0, FALSE)), "Rental Return", IF(COUNTIF(MAIN!B:B, A33)=0, "Missing", ""))</f>
        <v>Missing</v>
      </c>
      <c r="C33" s="133" t="s">
        <v>15249</v>
      </c>
      <c r="E33" s="131" t="str">
        <f t="shared" si="1"/>
        <v>https://utrucking.myshopify.com/admin/orders?query=13882</v>
      </c>
    </row>
    <row r="34">
      <c r="A34" s="93" t="str">
        <f t="shared" si="2"/>
        <v>#13883</v>
      </c>
      <c r="B34" s="93" t="str">
        <f>IF(AND(COUNTIF(MAIN!B:B, A34)=0, IFERROR(SEARCH("return", C34)&gt;0, FALSE)), "Rental Return", IF(COUNTIF(MAIN!B:B, A34)=0, "Missing", ""))</f>
        <v>Missing</v>
      </c>
      <c r="C34" s="133" t="s">
        <v>15253</v>
      </c>
      <c r="E34" s="131" t="str">
        <f t="shared" si="1"/>
        <v>https://utrucking.myshopify.com/admin/orders?query=13883</v>
      </c>
    </row>
    <row r="35">
      <c r="A35" s="93" t="str">
        <f t="shared" si="2"/>
        <v>#13884</v>
      </c>
      <c r="B35" s="93" t="str">
        <f>IF(AND(COUNTIF(MAIN!B:B, A35)=0, IFERROR(SEARCH("return", C35)&gt;0, FALSE)), "Rental Return", IF(COUNTIF(MAIN!B:B, A35)=0, "Missing", ""))</f>
        <v>Missing</v>
      </c>
      <c r="C35" s="133" t="s">
        <v>15246</v>
      </c>
      <c r="E35" s="131" t="str">
        <f t="shared" si="1"/>
        <v>https://utrucking.myshopify.com/admin/orders?query=13884</v>
      </c>
    </row>
    <row r="36">
      <c r="A36" s="93" t="str">
        <f t="shared" si="2"/>
        <v>#13885</v>
      </c>
      <c r="B36" s="93" t="str">
        <f>IF(AND(COUNTIF(MAIN!B:B, A36)=0, IFERROR(SEARCH("return", C36)&gt;0, FALSE)), "Rental Return", IF(COUNTIF(MAIN!B:B, A36)=0, "Missing", ""))</f>
        <v>Missing</v>
      </c>
      <c r="C36" s="133" t="s">
        <v>15246</v>
      </c>
      <c r="E36" s="131" t="str">
        <f t="shared" si="1"/>
        <v>https://utrucking.myshopify.com/admin/orders?query=13885</v>
      </c>
    </row>
    <row r="37">
      <c r="A37" s="93" t="str">
        <f t="shared" si="2"/>
        <v>#13886</v>
      </c>
      <c r="B37" s="93" t="str">
        <f>IF(AND(COUNTIF(MAIN!B:B, A37)=0, IFERROR(SEARCH("return", C37)&gt;0, FALSE)), "Rental Return", IF(COUNTIF(MAIN!B:B, A37)=0, "Missing", ""))</f>
        <v>Missing</v>
      </c>
      <c r="C37" s="133" t="s">
        <v>15246</v>
      </c>
      <c r="E37" s="131" t="str">
        <f t="shared" si="1"/>
        <v>https://utrucking.myshopify.com/admin/orders?query=13886</v>
      </c>
    </row>
    <row r="38">
      <c r="A38" s="93" t="str">
        <f t="shared" si="2"/>
        <v>#13887</v>
      </c>
      <c r="B38" s="93" t="str">
        <f>IF(AND(COUNTIF(MAIN!B:B, A38)=0, IFERROR(SEARCH("return", C38)&gt;0, FALSE)), "Rental Return", IF(COUNTIF(MAIN!B:B, A38)=0, "Missing", ""))</f>
        <v>Missing</v>
      </c>
      <c r="C38" s="133" t="s">
        <v>15246</v>
      </c>
      <c r="E38" s="131" t="str">
        <f t="shared" si="1"/>
        <v>https://utrucking.myshopify.com/admin/orders?query=13887</v>
      </c>
    </row>
    <row r="39">
      <c r="A39" s="93" t="str">
        <f t="shared" si="2"/>
        <v>#13888</v>
      </c>
      <c r="B39" s="93" t="str">
        <f>IF(AND(COUNTIF(MAIN!B:B, A39)=0, IFERROR(SEARCH("return", C39)&gt;0, FALSE)), "Rental Return", IF(COUNTIF(MAIN!B:B, A39)=0, "Missing", ""))</f>
        <v>Missing</v>
      </c>
      <c r="C39" s="133" t="s">
        <v>15249</v>
      </c>
      <c r="E39" s="131" t="str">
        <f t="shared" si="1"/>
        <v>https://utrucking.myshopify.com/admin/orders?query=13888</v>
      </c>
    </row>
    <row r="40">
      <c r="A40" s="93" t="str">
        <f t="shared" si="2"/>
        <v>#13889</v>
      </c>
      <c r="B40" s="93" t="str">
        <f>IF(AND(COUNTIF(MAIN!B:B, A40)=0, IFERROR(SEARCH("return", C40)&gt;0, FALSE)), "Rental Return", IF(COUNTIF(MAIN!B:B, A40)=0, "Missing", ""))</f>
        <v>Missing</v>
      </c>
      <c r="C40" s="133" t="s">
        <v>15249</v>
      </c>
      <c r="E40" s="131" t="str">
        <f t="shared" si="1"/>
        <v>https://utrucking.myshopify.com/admin/orders?query=13889</v>
      </c>
    </row>
    <row r="41">
      <c r="A41" s="93" t="str">
        <f t="shared" si="2"/>
        <v>#13890</v>
      </c>
      <c r="B41" s="93" t="str">
        <f>IF(AND(COUNTIF(MAIN!B:B, A41)=0, IFERROR(SEARCH("return", C41)&gt;0, FALSE)), "Rental Return", IF(COUNTIF(MAIN!B:B, A41)=0, "Missing", ""))</f>
        <v>Missing</v>
      </c>
      <c r="C41" s="133" t="s">
        <v>15249</v>
      </c>
      <c r="E41" s="131" t="str">
        <f t="shared" si="1"/>
        <v>https://utrucking.myshopify.com/admin/orders?query=13890</v>
      </c>
    </row>
    <row r="42">
      <c r="A42" s="93" t="str">
        <f t="shared" si="2"/>
        <v>#13891</v>
      </c>
      <c r="B42" s="93" t="str">
        <f>IF(AND(COUNTIF(MAIN!B:B, A42)=0, IFERROR(SEARCH("return", C42)&gt;0, FALSE)), "Rental Return", IF(COUNTIF(MAIN!B:B, A42)=0, "Missing", ""))</f>
        <v>Missing</v>
      </c>
      <c r="C42" s="133" t="s">
        <v>15251</v>
      </c>
      <c r="E42" s="131" t="str">
        <f t="shared" si="1"/>
        <v>https://utrucking.myshopify.com/admin/orders?query=13891</v>
      </c>
    </row>
    <row r="43">
      <c r="A43" s="93" t="str">
        <f t="shared" si="2"/>
        <v>#13892</v>
      </c>
      <c r="B43" s="93" t="str">
        <f>IF(AND(COUNTIF(MAIN!B:B, A43)=0, IFERROR(SEARCH("return", C43)&gt;0, FALSE)), "Rental Return", IF(COUNTIF(MAIN!B:B, A43)=0, "Missing", ""))</f>
        <v>Missing</v>
      </c>
      <c r="C43" s="133" t="s">
        <v>15246</v>
      </c>
      <c r="E43" s="131" t="str">
        <f t="shared" si="1"/>
        <v>https://utrucking.myshopify.com/admin/orders?query=13892</v>
      </c>
    </row>
    <row r="44">
      <c r="A44" s="93" t="str">
        <f t="shared" si="2"/>
        <v>#13893</v>
      </c>
      <c r="B44" s="93" t="str">
        <f>IF(AND(COUNTIF(MAIN!B:B, A44)=0, IFERROR(SEARCH("return", C44)&gt;0, FALSE)), "Rental Return", IF(COUNTIF(MAIN!B:B, A44)=0, "Missing", ""))</f>
        <v>Missing</v>
      </c>
      <c r="C44" s="133" t="s">
        <v>15249</v>
      </c>
      <c r="E44" s="131" t="str">
        <f t="shared" si="1"/>
        <v>https://utrucking.myshopify.com/admin/orders?query=13893</v>
      </c>
    </row>
    <row r="45">
      <c r="A45" s="93" t="str">
        <f t="shared" si="2"/>
        <v>#13894</v>
      </c>
      <c r="B45" s="93" t="str">
        <f>IF(AND(COUNTIF(MAIN!B:B, A45)=0, IFERROR(SEARCH("return", C45)&gt;0, FALSE)), "Rental Return", IF(COUNTIF(MAIN!B:B, A45)=0, "Missing", ""))</f>
        <v>Missing</v>
      </c>
      <c r="C45" s="133" t="s">
        <v>15246</v>
      </c>
      <c r="E45" s="131" t="str">
        <f t="shared" si="1"/>
        <v>https://utrucking.myshopify.com/admin/orders?query=13894</v>
      </c>
    </row>
    <row r="46">
      <c r="A46" s="93" t="str">
        <f t="shared" si="2"/>
        <v>#13895</v>
      </c>
      <c r="B46" s="93" t="str">
        <f>IF(AND(COUNTIF(MAIN!B:B, A46)=0, IFERROR(SEARCH("return", C46)&gt;0, FALSE)), "Rental Return", IF(COUNTIF(MAIN!B:B, A46)=0, "Missing", ""))</f>
        <v>Missing</v>
      </c>
      <c r="C46" s="133" t="s">
        <v>15253</v>
      </c>
      <c r="E46" s="131" t="str">
        <f t="shared" si="1"/>
        <v>https://utrucking.myshopify.com/admin/orders?query=13895</v>
      </c>
    </row>
    <row r="47">
      <c r="A47" s="93" t="str">
        <f t="shared" si="2"/>
        <v>#13896</v>
      </c>
      <c r="B47" s="93" t="str">
        <f>IF(AND(COUNTIF(MAIN!B:B, A47)=0, IFERROR(SEARCH("return", C47)&gt;0, FALSE)), "Rental Return", IF(COUNTIF(MAIN!B:B, A47)=0, "Missing", ""))</f>
        <v>Missing</v>
      </c>
      <c r="C47" s="133" t="s">
        <v>15251</v>
      </c>
      <c r="E47" s="131" t="str">
        <f t="shared" si="1"/>
        <v>https://utrucking.myshopify.com/admin/orders?query=13896</v>
      </c>
    </row>
    <row r="48">
      <c r="A48" s="93" t="str">
        <f t="shared" si="2"/>
        <v>#13897</v>
      </c>
      <c r="B48" s="93" t="str">
        <f>IF(AND(COUNTIF(MAIN!B:B, A48)=0, IFERROR(SEARCH("return", C48)&gt;0, FALSE)), "Rental Return", IF(COUNTIF(MAIN!B:B, A48)=0, "Missing", ""))</f>
        <v>Missing</v>
      </c>
      <c r="C48" s="133" t="s">
        <v>15251</v>
      </c>
      <c r="E48" s="131" t="str">
        <f t="shared" si="1"/>
        <v>https://utrucking.myshopify.com/admin/orders?query=13897</v>
      </c>
    </row>
    <row r="49">
      <c r="A49" s="93" t="str">
        <f t="shared" si="2"/>
        <v>#13898</v>
      </c>
      <c r="B49" s="93" t="str">
        <f>IF(AND(COUNTIF(MAIN!B:B, A49)=0, IFERROR(SEARCH("return", C49)&gt;0, FALSE)), "Rental Return", IF(COUNTIF(MAIN!B:B, A49)=0, "Missing", ""))</f>
        <v>Missing</v>
      </c>
      <c r="C49" s="133" t="s">
        <v>15246</v>
      </c>
      <c r="E49" s="131" t="str">
        <f t="shared" si="1"/>
        <v>https://utrucking.myshopify.com/admin/orders?query=13898</v>
      </c>
    </row>
    <row r="50">
      <c r="A50" s="93" t="str">
        <f t="shared" si="2"/>
        <v>#13899</v>
      </c>
      <c r="B50" s="93" t="str">
        <f>IF(AND(COUNTIF(MAIN!B:B, A50)=0, IFERROR(SEARCH("return", C50)&gt;0, FALSE)), "Rental Return", IF(COUNTIF(MAIN!B:B, A50)=0, "Missing", ""))</f>
        <v>Missing</v>
      </c>
      <c r="C50" s="133" t="s">
        <v>15254</v>
      </c>
      <c r="E50" s="131" t="str">
        <f t="shared" si="1"/>
        <v>https://utrucking.myshopify.com/admin/orders?query=13899</v>
      </c>
    </row>
    <row r="51">
      <c r="A51" s="93" t="str">
        <f t="shared" si="2"/>
        <v>#13900</v>
      </c>
      <c r="B51" s="93" t="str">
        <f>IF(AND(COUNTIF(MAIN!B:B, A51)=0, IFERROR(SEARCH("return", C51)&gt;0, FALSE)), "Rental Return", IF(COUNTIF(MAIN!B:B, A51)=0, "Missing", ""))</f>
        <v>Missing</v>
      </c>
      <c r="C51" s="133" t="s">
        <v>15246</v>
      </c>
      <c r="E51" s="131" t="str">
        <f t="shared" si="1"/>
        <v>https://utrucking.myshopify.com/admin/orders?query=13900</v>
      </c>
    </row>
    <row r="52">
      <c r="A52" s="93" t="str">
        <f t="shared" si="2"/>
        <v>#13901</v>
      </c>
      <c r="B52" s="93" t="str">
        <f>IF(AND(COUNTIF(MAIN!B:B, A52)=0, IFERROR(SEARCH("return", C52)&gt;0, FALSE)), "Rental Return", IF(COUNTIF(MAIN!B:B, A52)=0, "Missing", ""))</f>
        <v>Missing</v>
      </c>
      <c r="C52" s="133" t="s">
        <v>15249</v>
      </c>
      <c r="E52" s="131" t="str">
        <f t="shared" si="1"/>
        <v>https://utrucking.myshopify.com/admin/orders?query=13901</v>
      </c>
    </row>
    <row r="53">
      <c r="A53" s="93" t="str">
        <f t="shared" si="2"/>
        <v>#13902</v>
      </c>
      <c r="B53" s="93" t="str">
        <f>IF(AND(COUNTIF(MAIN!B:B, A53)=0, IFERROR(SEARCH("return", C53)&gt;0, FALSE)), "Rental Return", IF(COUNTIF(MAIN!B:B, A53)=0, "Missing", ""))</f>
        <v>Missing</v>
      </c>
      <c r="C53" s="133" t="s">
        <v>15246</v>
      </c>
      <c r="E53" s="131" t="str">
        <f t="shared" si="1"/>
        <v>https://utrucking.myshopify.com/admin/orders?query=13902</v>
      </c>
    </row>
    <row r="54">
      <c r="A54" s="93" t="str">
        <f t="shared" si="2"/>
        <v>#13903</v>
      </c>
      <c r="B54" s="93" t="str">
        <f>IF(AND(COUNTIF(MAIN!B:B, A54)=0, IFERROR(SEARCH("return", C54)&gt;0, FALSE)), "Rental Return", IF(COUNTIF(MAIN!B:B, A54)=0, "Missing", ""))</f>
        <v>Rental Return</v>
      </c>
      <c r="C54" s="133" t="s">
        <v>15255</v>
      </c>
      <c r="E54" s="128" t="str">
        <f t="shared" si="1"/>
        <v/>
      </c>
    </row>
    <row r="55">
      <c r="A55" s="93" t="str">
        <f t="shared" si="2"/>
        <v>#13904</v>
      </c>
      <c r="B55" s="93" t="str">
        <f>IF(AND(COUNTIF(MAIN!B:B, A55)=0, IFERROR(SEARCH("return", C55)&gt;0, FALSE)), "Rental Return", IF(COUNTIF(MAIN!B:B, A55)=0, "Missing", ""))</f>
        <v>Missing</v>
      </c>
      <c r="C55" s="133" t="s">
        <v>15249</v>
      </c>
      <c r="E55" s="131" t="str">
        <f t="shared" si="1"/>
        <v>https://utrucking.myshopify.com/admin/orders?query=13904</v>
      </c>
    </row>
    <row r="56">
      <c r="A56" s="93" t="str">
        <f t="shared" si="2"/>
        <v>#13905</v>
      </c>
      <c r="B56" s="93" t="str">
        <f>IF(AND(COUNTIF(MAIN!B:B, A56)=0, IFERROR(SEARCH("return", C56)&gt;0, FALSE)), "Rental Return", IF(COUNTIF(MAIN!B:B, A56)=0, "Missing", ""))</f>
        <v>Missing</v>
      </c>
      <c r="C56" s="133" t="s">
        <v>15246</v>
      </c>
      <c r="E56" s="131" t="str">
        <f t="shared" si="1"/>
        <v>https://utrucking.myshopify.com/admin/orders?query=13905</v>
      </c>
    </row>
    <row r="57">
      <c r="A57" s="93" t="str">
        <f t="shared" si="2"/>
        <v>#13906</v>
      </c>
      <c r="B57" s="93" t="str">
        <f>IF(AND(COUNTIF(MAIN!B:B, A57)=0, IFERROR(SEARCH("return", C57)&gt;0, FALSE)), "Rental Return", IF(COUNTIF(MAIN!B:B, A57)=0, "Missing", ""))</f>
        <v>Missing</v>
      </c>
      <c r="C57" s="133" t="s">
        <v>15246</v>
      </c>
      <c r="E57" s="131" t="str">
        <f t="shared" si="1"/>
        <v>https://utrucking.myshopify.com/admin/orders?query=13906</v>
      </c>
    </row>
    <row r="58">
      <c r="A58" s="93" t="str">
        <f t="shared" si="2"/>
        <v>#13907</v>
      </c>
      <c r="B58" s="93" t="str">
        <f>IF(AND(COUNTIF(MAIN!B:B, A58)=0, IFERROR(SEARCH("return", C58)&gt;0, FALSE)), "Rental Return", IF(COUNTIF(MAIN!B:B, A58)=0, "Missing", ""))</f>
        <v>Missing</v>
      </c>
      <c r="C58" s="133" t="s">
        <v>15256</v>
      </c>
      <c r="E58" s="131" t="str">
        <f t="shared" si="1"/>
        <v>https://utrucking.myshopify.com/admin/orders?query=13907</v>
      </c>
    </row>
    <row r="59">
      <c r="A59" s="93" t="str">
        <f t="shared" si="2"/>
        <v>#13908</v>
      </c>
      <c r="B59" s="93" t="str">
        <f>IF(AND(COUNTIF(MAIN!B:B, A59)=0, IFERROR(SEARCH("return", C59)&gt;0, FALSE)), "Rental Return", IF(COUNTIF(MAIN!B:B, A59)=0, "Missing", ""))</f>
        <v>Rental Return</v>
      </c>
      <c r="C59" s="133" t="s">
        <v>1111</v>
      </c>
      <c r="E59" s="128" t="str">
        <f t="shared" si="1"/>
        <v/>
      </c>
    </row>
    <row r="60">
      <c r="A60" s="93" t="str">
        <f t="shared" si="2"/>
        <v>#13909</v>
      </c>
      <c r="B60" s="93" t="str">
        <f>IF(AND(COUNTIF(MAIN!B:B, A60)=0, IFERROR(SEARCH("return", C60)&gt;0, FALSE)), "Rental Return", IF(COUNTIF(MAIN!B:B, A60)=0, "Missing", ""))</f>
        <v>Missing</v>
      </c>
      <c r="C60" s="133" t="s">
        <v>15246</v>
      </c>
      <c r="E60" s="131" t="str">
        <f t="shared" si="1"/>
        <v>https://utrucking.myshopify.com/admin/orders?query=13909</v>
      </c>
    </row>
    <row r="61">
      <c r="A61" s="93" t="str">
        <f t="shared" si="2"/>
        <v>#13910</v>
      </c>
      <c r="B61" s="93" t="str">
        <f>IF(AND(COUNTIF(MAIN!B:B, A61)=0, IFERROR(SEARCH("return", C61)&gt;0, FALSE)), "Rental Return", IF(COUNTIF(MAIN!B:B, A61)=0, "Missing", ""))</f>
        <v>Missing</v>
      </c>
      <c r="C61" s="133" t="s">
        <v>15249</v>
      </c>
      <c r="E61" s="131" t="str">
        <f t="shared" si="1"/>
        <v>https://utrucking.myshopify.com/admin/orders?query=13910</v>
      </c>
    </row>
    <row r="62">
      <c r="A62" s="93" t="str">
        <f t="shared" si="2"/>
        <v>#13911</v>
      </c>
      <c r="B62" s="93" t="str">
        <f>IF(AND(COUNTIF(MAIN!B:B, A62)=0, IFERROR(SEARCH("return", C62)&gt;0, FALSE)), "Rental Return", IF(COUNTIF(MAIN!B:B, A62)=0, "Missing", ""))</f>
        <v>Missing</v>
      </c>
      <c r="C62" s="133" t="s">
        <v>15246</v>
      </c>
      <c r="E62" s="131" t="str">
        <f t="shared" si="1"/>
        <v>https://utrucking.myshopify.com/admin/orders?query=13911</v>
      </c>
    </row>
    <row r="63">
      <c r="A63" s="93" t="str">
        <f t="shared" si="2"/>
        <v>#13912</v>
      </c>
      <c r="B63" s="93" t="str">
        <f>IF(AND(COUNTIF(MAIN!B:B, A63)=0, IFERROR(SEARCH("return", C63)&gt;0, FALSE)), "Rental Return", IF(COUNTIF(MAIN!B:B, A63)=0, "Missing", ""))</f>
        <v>Missing</v>
      </c>
      <c r="C63" s="133" t="s">
        <v>15246</v>
      </c>
      <c r="E63" s="131" t="str">
        <f t="shared" si="1"/>
        <v>https://utrucking.myshopify.com/admin/orders?query=13912</v>
      </c>
    </row>
    <row r="64">
      <c r="A64" s="93" t="str">
        <f t="shared" si="2"/>
        <v>#13913</v>
      </c>
      <c r="B64" s="93" t="str">
        <f>IF(AND(COUNTIF(MAIN!B:B, A64)=0, IFERROR(SEARCH("return", C64)&gt;0, FALSE)), "Rental Return", IF(COUNTIF(MAIN!B:B, A64)=0, "Missing", ""))</f>
        <v>Missing</v>
      </c>
      <c r="C64" s="133" t="s">
        <v>15246</v>
      </c>
      <c r="E64" s="131" t="str">
        <f t="shared" si="1"/>
        <v>https://utrucking.myshopify.com/admin/orders?query=13913</v>
      </c>
    </row>
    <row r="65">
      <c r="A65" s="93" t="str">
        <f t="shared" si="2"/>
        <v>#13914</v>
      </c>
      <c r="B65" s="93" t="str">
        <f>IF(AND(COUNTIF(MAIN!B:B, A65)=0, IFERROR(SEARCH("return", C65)&gt;0, FALSE)), "Rental Return", IF(COUNTIF(MAIN!B:B, A65)=0, "Missing", ""))</f>
        <v>Rental Return</v>
      </c>
      <c r="C65" s="133" t="s">
        <v>15257</v>
      </c>
      <c r="E65" s="128" t="str">
        <f t="shared" si="1"/>
        <v/>
      </c>
    </row>
    <row r="66">
      <c r="A66" s="93" t="str">
        <f t="shared" si="2"/>
        <v>#13915</v>
      </c>
      <c r="B66" s="93" t="str">
        <f>IF(AND(COUNTIF(MAIN!B:B, A66)=0, IFERROR(SEARCH("return", C66)&gt;0, FALSE)), "Rental Return", IF(COUNTIF(MAIN!B:B, A66)=0, "Missing", ""))</f>
        <v>Missing</v>
      </c>
      <c r="C66" s="133" t="s">
        <v>15246</v>
      </c>
      <c r="E66" s="131" t="str">
        <f t="shared" si="1"/>
        <v>https://utrucking.myshopify.com/admin/orders?query=13915</v>
      </c>
    </row>
    <row r="67">
      <c r="A67" s="93" t="str">
        <f t="shared" si="2"/>
        <v>#13916</v>
      </c>
      <c r="B67" s="93" t="str">
        <f>IF(AND(COUNTIF(MAIN!B:B, A67)=0, IFERROR(SEARCH("return", C67)&gt;0, FALSE)), "Rental Return", IF(COUNTIF(MAIN!B:B, A67)=0, "Missing", ""))</f>
        <v>Missing</v>
      </c>
      <c r="C67" s="133" t="s">
        <v>15246</v>
      </c>
      <c r="E67" s="131" t="str">
        <f t="shared" si="1"/>
        <v>https://utrucking.myshopify.com/admin/orders?query=13916</v>
      </c>
    </row>
    <row r="68">
      <c r="A68" s="93" t="str">
        <f t="shared" si="2"/>
        <v>#13917</v>
      </c>
      <c r="B68" s="93" t="str">
        <f>IF(AND(COUNTIF(MAIN!B:B, A68)=0, IFERROR(SEARCH("return", C68)&gt;0, FALSE)), "Rental Return", IF(COUNTIF(MAIN!B:B, A68)=0, "Missing", ""))</f>
        <v>Missing</v>
      </c>
      <c r="C68" s="133" t="s">
        <v>15246</v>
      </c>
      <c r="E68" s="131" t="str">
        <f t="shared" si="1"/>
        <v>https://utrucking.myshopify.com/admin/orders?query=13917</v>
      </c>
    </row>
    <row r="69">
      <c r="A69" s="93" t="str">
        <f t="shared" si="2"/>
        <v>#13918</v>
      </c>
      <c r="B69" s="93" t="str">
        <f>IF(AND(COUNTIF(MAIN!B:B, A69)=0, IFERROR(SEARCH("return", C69)&gt;0, FALSE)), "Rental Return", IF(COUNTIF(MAIN!B:B, A69)=0, "Missing", ""))</f>
        <v/>
      </c>
      <c r="C69" s="128"/>
      <c r="E69" s="128" t="str">
        <f t="shared" si="1"/>
        <v/>
      </c>
    </row>
    <row r="70">
      <c r="A70" s="93" t="str">
        <f t="shared" si="2"/>
        <v>#13919</v>
      </c>
      <c r="B70" s="93" t="str">
        <f>IF(AND(COUNTIF(MAIN!B:B, A70)=0, IFERROR(SEARCH("return", C70)&gt;0, FALSE)), "Rental Return", IF(COUNTIF(MAIN!B:B, A70)=0, "Missing", ""))</f>
        <v>Missing</v>
      </c>
      <c r="C70" s="133" t="s">
        <v>15251</v>
      </c>
      <c r="E70" s="131" t="str">
        <f t="shared" si="1"/>
        <v>https://utrucking.myshopify.com/admin/orders?query=13919</v>
      </c>
    </row>
    <row r="71">
      <c r="A71" s="93" t="str">
        <f t="shared" si="2"/>
        <v>#13920</v>
      </c>
      <c r="B71" s="93" t="str">
        <f>IF(AND(COUNTIF(MAIN!B:B, A71)=0, IFERROR(SEARCH("return", C71)&gt;0, FALSE)), "Rental Return", IF(COUNTIF(MAIN!B:B, A71)=0, "Missing", ""))</f>
        <v>Missing</v>
      </c>
      <c r="C71" s="133" t="s">
        <v>15246</v>
      </c>
      <c r="E71" s="131" t="str">
        <f t="shared" si="1"/>
        <v>https://utrucking.myshopify.com/admin/orders?query=13920</v>
      </c>
    </row>
    <row r="72">
      <c r="A72" s="93" t="str">
        <f t="shared" si="2"/>
        <v>#13921</v>
      </c>
      <c r="B72" s="93" t="str">
        <f>IF(AND(COUNTIF(MAIN!B:B, A72)=0, IFERROR(SEARCH("return", C72)&gt;0, FALSE)), "Rental Return", IF(COUNTIF(MAIN!B:B, A72)=0, "Missing", ""))</f>
        <v>Missing</v>
      </c>
      <c r="C72" s="133" t="s">
        <v>15246</v>
      </c>
      <c r="E72" s="131" t="str">
        <f t="shared" si="1"/>
        <v>https://utrucking.myshopify.com/admin/orders?query=13921</v>
      </c>
    </row>
    <row r="73">
      <c r="A73" s="93" t="str">
        <f t="shared" si="2"/>
        <v>#13922</v>
      </c>
      <c r="B73" s="93" t="str">
        <f>IF(AND(COUNTIF(MAIN!B:B, A73)=0, IFERROR(SEARCH("return", C73)&gt;0, FALSE)), "Rental Return", IF(COUNTIF(MAIN!B:B, A73)=0, "Missing", ""))</f>
        <v>Missing</v>
      </c>
      <c r="C73" s="133" t="s">
        <v>15249</v>
      </c>
      <c r="E73" s="131" t="str">
        <f t="shared" si="1"/>
        <v>https://utrucking.myshopify.com/admin/orders?query=13922</v>
      </c>
    </row>
    <row r="74">
      <c r="A74" s="93" t="str">
        <f t="shared" si="2"/>
        <v>#13923</v>
      </c>
      <c r="B74" s="93" t="str">
        <f>IF(AND(COUNTIF(MAIN!B:B, A74)=0, IFERROR(SEARCH("return", C74)&gt;0, FALSE)), "Rental Return", IF(COUNTIF(MAIN!B:B, A74)=0, "Missing", ""))</f>
        <v>Missing</v>
      </c>
      <c r="C74" s="133" t="s">
        <v>15246</v>
      </c>
      <c r="E74" s="131" t="str">
        <f t="shared" si="1"/>
        <v>https://utrucking.myshopify.com/admin/orders?query=13923</v>
      </c>
    </row>
    <row r="75">
      <c r="A75" s="93" t="str">
        <f t="shared" si="2"/>
        <v>#13924</v>
      </c>
      <c r="B75" s="93" t="str">
        <f>IF(AND(COUNTIF(MAIN!B:B, A75)=0, IFERROR(SEARCH("return", C75)&gt;0, FALSE)), "Rental Return", IF(COUNTIF(MAIN!B:B, A75)=0, "Missing", ""))</f>
        <v>Missing</v>
      </c>
      <c r="C75" s="133" t="s">
        <v>15250</v>
      </c>
      <c r="E75" s="131" t="str">
        <f t="shared" si="1"/>
        <v>https://utrucking.myshopify.com/admin/orders?query=13924</v>
      </c>
    </row>
    <row r="76">
      <c r="A76" s="93" t="str">
        <f t="shared" si="2"/>
        <v>#13925</v>
      </c>
      <c r="B76" s="93" t="str">
        <f>IF(AND(COUNTIF(MAIN!B:B, A76)=0, IFERROR(SEARCH("return", C76)&gt;0, FALSE)), "Rental Return", IF(COUNTIF(MAIN!B:B, A76)=0, "Missing", ""))</f>
        <v>Rental Return</v>
      </c>
      <c r="C76" s="133" t="s">
        <v>15258</v>
      </c>
      <c r="E76" s="128" t="str">
        <f t="shared" si="1"/>
        <v/>
      </c>
    </row>
    <row r="77">
      <c r="A77" s="93" t="str">
        <f t="shared" si="2"/>
        <v>#13926</v>
      </c>
      <c r="B77" s="93" t="str">
        <f>IF(AND(COUNTIF(MAIN!B:B, A77)=0, IFERROR(SEARCH("return", C77)&gt;0, FALSE)), "Rental Return", IF(COUNTIF(MAIN!B:B, A77)=0, "Missing", ""))</f>
        <v>Missing</v>
      </c>
      <c r="C77" s="133" t="s">
        <v>15251</v>
      </c>
      <c r="E77" s="131" t="str">
        <f t="shared" si="1"/>
        <v>https://utrucking.myshopify.com/admin/orders?query=13926</v>
      </c>
    </row>
    <row r="78">
      <c r="A78" s="93" t="str">
        <f t="shared" si="2"/>
        <v>#13927</v>
      </c>
      <c r="B78" s="93" t="str">
        <f>IF(AND(COUNTIF(MAIN!B:B, A78)=0, IFERROR(SEARCH("return", C78)&gt;0, FALSE)), "Rental Return", IF(COUNTIF(MAIN!B:B, A78)=0, "Missing", ""))</f>
        <v>Missing</v>
      </c>
      <c r="C78" s="133" t="s">
        <v>15246</v>
      </c>
      <c r="E78" s="131" t="str">
        <f t="shared" si="1"/>
        <v>https://utrucking.myshopify.com/admin/orders?query=13927</v>
      </c>
    </row>
    <row r="79">
      <c r="A79" s="93" t="str">
        <f t="shared" si="2"/>
        <v>#13928</v>
      </c>
      <c r="B79" s="93" t="str">
        <f>IF(AND(COUNTIF(MAIN!B:B, A79)=0, IFERROR(SEARCH("return", C79)&gt;0, FALSE)), "Rental Return", IF(COUNTIF(MAIN!B:B, A79)=0, "Missing", ""))</f>
        <v>Missing</v>
      </c>
      <c r="C79" s="133" t="s">
        <v>15249</v>
      </c>
      <c r="E79" s="131" t="str">
        <f t="shared" si="1"/>
        <v>https://utrucking.myshopify.com/admin/orders?query=13928</v>
      </c>
    </row>
    <row r="80">
      <c r="A80" s="93" t="str">
        <f t="shared" si="2"/>
        <v>#13929</v>
      </c>
      <c r="B80" s="93" t="str">
        <f>IF(AND(COUNTIF(MAIN!B:B, A80)=0, IFERROR(SEARCH("return", C80)&gt;0, FALSE)), "Rental Return", IF(COUNTIF(MAIN!B:B, A80)=0, "Missing", ""))</f>
        <v>Missing</v>
      </c>
      <c r="C80" s="133" t="s">
        <v>15251</v>
      </c>
      <c r="E80" s="131" t="str">
        <f t="shared" si="1"/>
        <v>https://utrucking.myshopify.com/admin/orders?query=13929</v>
      </c>
    </row>
    <row r="81">
      <c r="A81" s="93" t="str">
        <f t="shared" si="2"/>
        <v>#13930</v>
      </c>
      <c r="B81" s="93" t="str">
        <f>IF(AND(COUNTIF(MAIN!B:B, A81)=0, IFERROR(SEARCH("return", C81)&gt;0, FALSE)), "Rental Return", IF(COUNTIF(MAIN!B:B, A81)=0, "Missing", ""))</f>
        <v>Missing</v>
      </c>
      <c r="C81" s="133" t="s">
        <v>15246</v>
      </c>
      <c r="E81" s="131" t="str">
        <f t="shared" si="1"/>
        <v>https://utrucking.myshopify.com/admin/orders?query=13930</v>
      </c>
    </row>
    <row r="82">
      <c r="A82" s="93" t="str">
        <f t="shared" si="2"/>
        <v>#13931</v>
      </c>
      <c r="B82" s="93" t="str">
        <f>IF(AND(COUNTIF(MAIN!B:B, A82)=0, IFERROR(SEARCH("return", C82)&gt;0, FALSE)), "Rental Return", IF(COUNTIF(MAIN!B:B, A82)=0, "Missing", ""))</f>
        <v>Missing</v>
      </c>
      <c r="C82" s="133" t="s">
        <v>15246</v>
      </c>
      <c r="E82" s="131" t="str">
        <f t="shared" si="1"/>
        <v>https://utrucking.myshopify.com/admin/orders?query=13931</v>
      </c>
    </row>
    <row r="83">
      <c r="A83" s="93" t="str">
        <f t="shared" si="2"/>
        <v>#13932</v>
      </c>
      <c r="B83" s="93" t="str">
        <f>IF(AND(COUNTIF(MAIN!B:B, A83)=0, IFERROR(SEARCH("return", C83)&gt;0, FALSE)), "Rental Return", IF(COUNTIF(MAIN!B:B, A83)=0, "Missing", ""))</f>
        <v>Missing</v>
      </c>
      <c r="C83" s="133" t="s">
        <v>15246</v>
      </c>
      <c r="E83" s="131" t="str">
        <f t="shared" si="1"/>
        <v>https://utrucking.myshopify.com/admin/orders?query=13932</v>
      </c>
    </row>
    <row r="84">
      <c r="A84" s="93" t="str">
        <f t="shared" si="2"/>
        <v>#13933</v>
      </c>
      <c r="B84" s="93" t="str">
        <f>IF(AND(COUNTIF(MAIN!B:B, A84)=0, IFERROR(SEARCH("return", C84)&gt;0, FALSE)), "Rental Return", IF(COUNTIF(MAIN!B:B, A84)=0, "Missing", ""))</f>
        <v>Missing</v>
      </c>
      <c r="C84" s="133" t="s">
        <v>15245</v>
      </c>
      <c r="E84" s="131" t="str">
        <f t="shared" si="1"/>
        <v>https://utrucking.myshopify.com/admin/orders?query=13933</v>
      </c>
    </row>
    <row r="85">
      <c r="A85" s="93" t="str">
        <f t="shared" si="2"/>
        <v>#13934</v>
      </c>
      <c r="B85" s="93" t="str">
        <f>IF(AND(COUNTIF(MAIN!B:B, A85)=0, IFERROR(SEARCH("return", C85)&gt;0, FALSE)), "Rental Return", IF(COUNTIF(MAIN!B:B, A85)=0, "Missing", ""))</f>
        <v>Missing</v>
      </c>
      <c r="C85" s="133" t="s">
        <v>15246</v>
      </c>
      <c r="E85" s="131" t="str">
        <f t="shared" si="1"/>
        <v>https://utrucking.myshopify.com/admin/orders?query=13934</v>
      </c>
    </row>
    <row r="86">
      <c r="A86" s="93" t="str">
        <f t="shared" si="2"/>
        <v>#13935</v>
      </c>
      <c r="B86" s="93" t="str">
        <f>IF(AND(COUNTIF(MAIN!B:B, A86)=0, IFERROR(SEARCH("return", C86)&gt;0, FALSE)), "Rental Return", IF(COUNTIF(MAIN!B:B, A86)=0, "Missing", ""))</f>
        <v>Missing</v>
      </c>
      <c r="C86" s="133" t="s">
        <v>15253</v>
      </c>
      <c r="E86" s="131" t="str">
        <f t="shared" si="1"/>
        <v>https://utrucking.myshopify.com/admin/orders?query=13935</v>
      </c>
    </row>
    <row r="87">
      <c r="A87" s="93" t="str">
        <f t="shared" si="2"/>
        <v>#13936</v>
      </c>
      <c r="B87" s="93" t="str">
        <f>IF(AND(COUNTIF(MAIN!B:B, A87)=0, IFERROR(SEARCH("return", C87)&gt;0, FALSE)), "Rental Return", IF(COUNTIF(MAIN!B:B, A87)=0, "Missing", ""))</f>
        <v>Missing</v>
      </c>
      <c r="C87" s="133" t="s">
        <v>15251</v>
      </c>
      <c r="E87" s="131" t="str">
        <f t="shared" si="1"/>
        <v>https://utrucking.myshopify.com/admin/orders?query=13936</v>
      </c>
    </row>
    <row r="88">
      <c r="A88" s="93" t="str">
        <f t="shared" si="2"/>
        <v>#13937</v>
      </c>
      <c r="B88" s="93" t="str">
        <f>IF(AND(COUNTIF(MAIN!B:B, A88)=0, IFERROR(SEARCH("return", C88)&gt;0, FALSE)), "Rental Return", IF(COUNTIF(MAIN!B:B, A88)=0, "Missing", ""))</f>
        <v>Rental Return</v>
      </c>
      <c r="C88" s="133" t="s">
        <v>15258</v>
      </c>
      <c r="E88" s="128" t="str">
        <f t="shared" si="1"/>
        <v/>
      </c>
    </row>
    <row r="89">
      <c r="A89" s="93" t="str">
        <f t="shared" si="2"/>
        <v>#13938</v>
      </c>
      <c r="B89" s="93" t="str">
        <f>IF(AND(COUNTIF(MAIN!B:B, A89)=0, IFERROR(SEARCH("return", C89)&gt;0, FALSE)), "Rental Return", IF(COUNTIF(MAIN!B:B, A89)=0, "Missing", ""))</f>
        <v>Missing</v>
      </c>
      <c r="C89" s="133" t="s">
        <v>15256</v>
      </c>
      <c r="E89" s="131" t="str">
        <f t="shared" si="1"/>
        <v>https://utrucking.myshopify.com/admin/orders?query=13938</v>
      </c>
    </row>
    <row r="90">
      <c r="A90" s="93" t="str">
        <f t="shared" si="2"/>
        <v>#13939</v>
      </c>
      <c r="B90" s="93" t="str">
        <f>IF(AND(COUNTIF(MAIN!B:B, A90)=0, IFERROR(SEARCH("return", C90)&gt;0, FALSE)), "Rental Return", IF(COUNTIF(MAIN!B:B, A90)=0, "Missing", ""))</f>
        <v>Missing</v>
      </c>
      <c r="C90" s="133" t="s">
        <v>15246</v>
      </c>
      <c r="E90" s="131" t="str">
        <f t="shared" si="1"/>
        <v>https://utrucking.myshopify.com/admin/orders?query=13939</v>
      </c>
    </row>
    <row r="91">
      <c r="A91" s="93" t="str">
        <f t="shared" si="2"/>
        <v>#13940</v>
      </c>
      <c r="B91" s="93" t="str">
        <f>IF(AND(COUNTIF(MAIN!B:B, A91)=0, IFERROR(SEARCH("return", C91)&gt;0, FALSE)), "Rental Return", IF(COUNTIF(MAIN!B:B, A91)=0, "Missing", ""))</f>
        <v>Missing</v>
      </c>
      <c r="C91" s="133" t="s">
        <v>15246</v>
      </c>
      <c r="E91" s="131" t="str">
        <f t="shared" si="1"/>
        <v>https://utrucking.myshopify.com/admin/orders?query=13940</v>
      </c>
    </row>
    <row r="92">
      <c r="A92" s="93" t="str">
        <f t="shared" si="2"/>
        <v>#13941</v>
      </c>
      <c r="B92" s="93" t="str">
        <f>IF(AND(COUNTIF(MAIN!B:B, A92)=0, IFERROR(SEARCH("return", C92)&gt;0, FALSE)), "Rental Return", IF(COUNTIF(MAIN!B:B, A92)=0, "Missing", ""))</f>
        <v>Missing</v>
      </c>
      <c r="C92" s="133" t="s">
        <v>15246</v>
      </c>
      <c r="E92" s="131" t="str">
        <f t="shared" si="1"/>
        <v>https://utrucking.myshopify.com/admin/orders?query=13941</v>
      </c>
    </row>
    <row r="93">
      <c r="A93" s="93" t="str">
        <f t="shared" si="2"/>
        <v>#13942</v>
      </c>
      <c r="B93" s="93" t="str">
        <f>IF(AND(COUNTIF(MAIN!B:B, A93)=0, IFERROR(SEARCH("return", C93)&gt;0, FALSE)), "Rental Return", IF(COUNTIF(MAIN!B:B, A93)=0, "Missing", ""))</f>
        <v>Missing</v>
      </c>
      <c r="C93" s="133" t="s">
        <v>15249</v>
      </c>
      <c r="E93" s="131" t="str">
        <f t="shared" si="1"/>
        <v>https://utrucking.myshopify.com/admin/orders?query=13942</v>
      </c>
    </row>
    <row r="94">
      <c r="A94" s="93" t="str">
        <f t="shared" si="2"/>
        <v>#13943</v>
      </c>
      <c r="B94" s="93" t="str">
        <f>IF(AND(COUNTIF(MAIN!B:B, A94)=0, IFERROR(SEARCH("return", C94)&gt;0, FALSE)), "Rental Return", IF(COUNTIF(MAIN!B:B, A94)=0, "Missing", ""))</f>
        <v>Missing</v>
      </c>
      <c r="C94" s="133" t="s">
        <v>15246</v>
      </c>
      <c r="E94" s="131" t="str">
        <f t="shared" si="1"/>
        <v>https://utrucking.myshopify.com/admin/orders?query=13943</v>
      </c>
    </row>
    <row r="95">
      <c r="A95" s="93" t="str">
        <f t="shared" si="2"/>
        <v>#13944</v>
      </c>
      <c r="B95" s="93" t="str">
        <f>IF(AND(COUNTIF(MAIN!B:B, A95)=0, IFERROR(SEARCH("return", C95)&gt;0, FALSE)), "Rental Return", IF(COUNTIF(MAIN!B:B, A95)=0, "Missing", ""))</f>
        <v>Missing</v>
      </c>
      <c r="C95" s="133" t="s">
        <v>15246</v>
      </c>
      <c r="E95" s="131" t="str">
        <f t="shared" si="1"/>
        <v>https://utrucking.myshopify.com/admin/orders?query=13944</v>
      </c>
    </row>
    <row r="96">
      <c r="A96" s="93" t="str">
        <f t="shared" si="2"/>
        <v>#13945</v>
      </c>
      <c r="B96" s="93" t="str">
        <f>IF(AND(COUNTIF(MAIN!B:B, A96)=0, IFERROR(SEARCH("return", C96)&gt;0, FALSE)), "Rental Return", IF(COUNTIF(MAIN!B:B, A96)=0, "Missing", ""))</f>
        <v>Missing</v>
      </c>
      <c r="C96" s="133" t="s">
        <v>15246</v>
      </c>
      <c r="E96" s="131" t="str">
        <f t="shared" si="1"/>
        <v>https://utrucking.myshopify.com/admin/orders?query=13945</v>
      </c>
    </row>
    <row r="97">
      <c r="A97" s="93" t="str">
        <f t="shared" si="2"/>
        <v>#13946</v>
      </c>
      <c r="B97" s="93" t="str">
        <f>IF(AND(COUNTIF(MAIN!B:B, A97)=0, IFERROR(SEARCH("return", C97)&gt;0, FALSE)), "Rental Return", IF(COUNTIF(MAIN!B:B, A97)=0, "Missing", ""))</f>
        <v>Missing</v>
      </c>
      <c r="C97" s="133" t="s">
        <v>15246</v>
      </c>
      <c r="E97" s="131" t="str">
        <f t="shared" si="1"/>
        <v>https://utrucking.myshopify.com/admin/orders?query=13946</v>
      </c>
    </row>
    <row r="98">
      <c r="A98" s="93" t="str">
        <f t="shared" si="2"/>
        <v>#13947</v>
      </c>
      <c r="B98" s="93" t="str">
        <f>IF(AND(COUNTIF(MAIN!B:B, A98)=0, IFERROR(SEARCH("return", C98)&gt;0, FALSE)), "Rental Return", IF(COUNTIF(MAIN!B:B, A98)=0, "Missing", ""))</f>
        <v>Missing</v>
      </c>
      <c r="C98" s="133" t="s">
        <v>15246</v>
      </c>
      <c r="E98" s="131" t="str">
        <f t="shared" si="1"/>
        <v>https://utrucking.myshopify.com/admin/orders?query=13947</v>
      </c>
    </row>
    <row r="99">
      <c r="A99" s="93" t="str">
        <f t="shared" si="2"/>
        <v>#13948</v>
      </c>
      <c r="B99" s="93" t="str">
        <f>IF(AND(COUNTIF(MAIN!B:B, A99)=0, IFERROR(SEARCH("return", C99)&gt;0, FALSE)), "Rental Return", IF(COUNTIF(MAIN!B:B, A99)=0, "Missing", ""))</f>
        <v>Missing</v>
      </c>
      <c r="C99" s="133" t="s">
        <v>15251</v>
      </c>
      <c r="E99" s="131" t="str">
        <f t="shared" si="1"/>
        <v>https://utrucking.myshopify.com/admin/orders?query=13948</v>
      </c>
    </row>
    <row r="100">
      <c r="A100" s="93" t="str">
        <f t="shared" si="2"/>
        <v>#13949</v>
      </c>
      <c r="B100" s="93" t="str">
        <f>IF(AND(COUNTIF(MAIN!B:B, A100)=0, IFERROR(SEARCH("return", C100)&gt;0, FALSE)), "Rental Return", IF(COUNTIF(MAIN!B:B, A100)=0, "Missing", ""))</f>
        <v>Missing</v>
      </c>
      <c r="C100" s="133" t="s">
        <v>15246</v>
      </c>
      <c r="E100" s="131" t="str">
        <f t="shared" si="1"/>
        <v>https://utrucking.myshopify.com/admin/orders?query=13949</v>
      </c>
    </row>
    <row r="101">
      <c r="A101" s="93" t="str">
        <f t="shared" si="2"/>
        <v>#13950</v>
      </c>
      <c r="B101" s="93" t="str">
        <f>IF(AND(COUNTIF(MAIN!B:B, A101)=0, IFERROR(SEARCH("return", C101)&gt;0, FALSE)), "Rental Return", IF(COUNTIF(MAIN!B:B, A101)=0, "Missing", ""))</f>
        <v>Missing</v>
      </c>
      <c r="C101" s="133" t="s">
        <v>15246</v>
      </c>
      <c r="E101" s="131" t="str">
        <f t="shared" si="1"/>
        <v>https://utrucking.myshopify.com/admin/orders?query=13950</v>
      </c>
    </row>
    <row r="102">
      <c r="A102" s="93" t="str">
        <f t="shared" si="2"/>
        <v>#13951</v>
      </c>
      <c r="B102" s="93" t="str">
        <f>IF(AND(COUNTIF(MAIN!B:B, A102)=0, IFERROR(SEARCH("return", C102)&gt;0, FALSE)), "Rental Return", IF(COUNTIF(MAIN!B:B, A102)=0, "Missing", ""))</f>
        <v>Missing</v>
      </c>
      <c r="C102" s="133" t="s">
        <v>15249</v>
      </c>
      <c r="E102" s="131" t="str">
        <f t="shared" si="1"/>
        <v>https://utrucking.myshopify.com/admin/orders?query=13951</v>
      </c>
    </row>
    <row r="103">
      <c r="A103" s="93" t="str">
        <f t="shared" si="2"/>
        <v>#13952</v>
      </c>
      <c r="B103" s="93" t="str">
        <f>IF(AND(COUNTIF(MAIN!B:B, A103)=0, IFERROR(SEARCH("return", C103)&gt;0, FALSE)), "Rental Return", IF(COUNTIF(MAIN!B:B, A103)=0, "Missing", ""))</f>
        <v>Missing</v>
      </c>
      <c r="C103" s="133" t="s">
        <v>15246</v>
      </c>
      <c r="E103" s="131" t="str">
        <f t="shared" si="1"/>
        <v>https://utrucking.myshopify.com/admin/orders?query=13952</v>
      </c>
    </row>
    <row r="104">
      <c r="A104" s="93" t="str">
        <f t="shared" si="2"/>
        <v>#13953</v>
      </c>
      <c r="B104" s="93" t="str">
        <f>IF(AND(COUNTIF(MAIN!B:B, A104)=0, IFERROR(SEARCH("return", C104)&gt;0, FALSE)), "Rental Return", IF(COUNTIF(MAIN!B:B, A104)=0, "Missing", ""))</f>
        <v>Missing</v>
      </c>
      <c r="C104" s="133" t="s">
        <v>15246</v>
      </c>
      <c r="E104" s="131" t="str">
        <f t="shared" si="1"/>
        <v>https://utrucking.myshopify.com/admin/orders?query=13953</v>
      </c>
    </row>
    <row r="105">
      <c r="A105" s="93" t="str">
        <f t="shared" si="2"/>
        <v>#13954</v>
      </c>
      <c r="B105" s="93" t="str">
        <f>IF(AND(COUNTIF(MAIN!B:B, A105)=0, IFERROR(SEARCH("return", C105)&gt;0, FALSE)), "Rental Return", IF(COUNTIF(MAIN!B:B, A105)=0, "Missing", ""))</f>
        <v>Missing</v>
      </c>
      <c r="C105" s="133" t="s">
        <v>15249</v>
      </c>
      <c r="E105" s="131" t="str">
        <f t="shared" si="1"/>
        <v>https://utrucking.myshopify.com/admin/orders?query=13954</v>
      </c>
    </row>
    <row r="106">
      <c r="A106" s="93" t="str">
        <f t="shared" si="2"/>
        <v>#13955</v>
      </c>
      <c r="B106" s="93" t="str">
        <f>IF(AND(COUNTIF(MAIN!B:B, A106)=0, IFERROR(SEARCH("return", C106)&gt;0, FALSE)), "Rental Return", IF(COUNTIF(MAIN!B:B, A106)=0, "Missing", ""))</f>
        <v>Missing</v>
      </c>
      <c r="C106" s="133" t="s">
        <v>15246</v>
      </c>
      <c r="E106" s="131" t="str">
        <f t="shared" si="1"/>
        <v>https://utrucking.myshopify.com/admin/orders?query=13955</v>
      </c>
    </row>
    <row r="107">
      <c r="A107" s="93" t="str">
        <f t="shared" si="2"/>
        <v>#13956</v>
      </c>
      <c r="B107" s="93" t="str">
        <f>IF(AND(COUNTIF(MAIN!B:B, A107)=0, IFERROR(SEARCH("return", C107)&gt;0, FALSE)), "Rental Return", IF(COUNTIF(MAIN!B:B, A107)=0, "Missing", ""))</f>
        <v>Missing</v>
      </c>
      <c r="C107" s="133" t="s">
        <v>15246</v>
      </c>
      <c r="E107" s="131" t="str">
        <f t="shared" si="1"/>
        <v>https://utrucking.myshopify.com/admin/orders?query=13956</v>
      </c>
    </row>
    <row r="108">
      <c r="A108" s="93" t="str">
        <f t="shared" si="2"/>
        <v>#13957</v>
      </c>
      <c r="B108" s="93" t="str">
        <f>IF(AND(COUNTIF(MAIN!B:B, A108)=0, IFERROR(SEARCH("return", C108)&gt;0, FALSE)), "Rental Return", IF(COUNTIF(MAIN!B:B, A108)=0, "Missing", ""))</f>
        <v>Missing</v>
      </c>
      <c r="C108" s="133" t="s">
        <v>15246</v>
      </c>
      <c r="E108" s="131" t="str">
        <f t="shared" si="1"/>
        <v>https://utrucking.myshopify.com/admin/orders?query=13957</v>
      </c>
    </row>
    <row r="109">
      <c r="A109" s="93" t="str">
        <f t="shared" si="2"/>
        <v>#13958</v>
      </c>
      <c r="B109" s="93" t="str">
        <f>IF(AND(COUNTIF(MAIN!B:B, A109)=0, IFERROR(SEARCH("return", C109)&gt;0, FALSE)), "Rental Return", IF(COUNTIF(MAIN!B:B, A109)=0, "Missing", ""))</f>
        <v>Missing</v>
      </c>
      <c r="C109" s="133" t="s">
        <v>15249</v>
      </c>
      <c r="E109" s="131" t="str">
        <f t="shared" si="1"/>
        <v>https://utrucking.myshopify.com/admin/orders?query=13958</v>
      </c>
    </row>
    <row r="110">
      <c r="A110" s="93" t="str">
        <f t="shared" si="2"/>
        <v>#13959</v>
      </c>
      <c r="B110" s="93" t="str">
        <f>IF(AND(COUNTIF(MAIN!B:B, A110)=0, IFERROR(SEARCH("return", C110)&gt;0, FALSE)), "Rental Return", IF(COUNTIF(MAIN!B:B, A110)=0, "Missing", ""))</f>
        <v>Missing</v>
      </c>
      <c r="C110" s="133" t="s">
        <v>15246</v>
      </c>
      <c r="E110" s="131" t="str">
        <f t="shared" si="1"/>
        <v>https://utrucking.myshopify.com/admin/orders?query=13959</v>
      </c>
    </row>
    <row r="111">
      <c r="A111" s="93" t="str">
        <f t="shared" si="2"/>
        <v>#13960</v>
      </c>
      <c r="B111" s="93" t="str">
        <f>IF(AND(COUNTIF(MAIN!B:B, A111)=0, IFERROR(SEARCH("return", C111)&gt;0, FALSE)), "Rental Return", IF(COUNTIF(MAIN!B:B, A111)=0, "Missing", ""))</f>
        <v>Missing</v>
      </c>
      <c r="C111" s="133" t="s">
        <v>15245</v>
      </c>
      <c r="E111" s="131" t="str">
        <f t="shared" si="1"/>
        <v>https://utrucking.myshopify.com/admin/orders?query=13960</v>
      </c>
    </row>
    <row r="112">
      <c r="A112" s="93" t="str">
        <f t="shared" si="2"/>
        <v>#13961</v>
      </c>
      <c r="B112" s="93" t="str">
        <f>IF(AND(COUNTIF(MAIN!B:B, A112)=0, IFERROR(SEARCH("return", C112)&gt;0, FALSE)), "Rental Return", IF(COUNTIF(MAIN!B:B, A112)=0, "Missing", ""))</f>
        <v>Missing</v>
      </c>
      <c r="C112" s="133" t="s">
        <v>15246</v>
      </c>
      <c r="E112" s="131" t="str">
        <f t="shared" si="1"/>
        <v>https://utrucking.myshopify.com/admin/orders?query=13961</v>
      </c>
    </row>
    <row r="113">
      <c r="A113" s="93" t="str">
        <f t="shared" si="2"/>
        <v>#13962</v>
      </c>
      <c r="B113" s="93" t="str">
        <f>IF(AND(COUNTIF(MAIN!B:B, A113)=0, IFERROR(SEARCH("return", C113)&gt;0, FALSE)), "Rental Return", IF(COUNTIF(MAIN!B:B, A113)=0, "Missing", ""))</f>
        <v>Missing</v>
      </c>
      <c r="C113" s="133" t="s">
        <v>15249</v>
      </c>
      <c r="E113" s="131" t="str">
        <f t="shared" si="1"/>
        <v>https://utrucking.myshopify.com/admin/orders?query=13962</v>
      </c>
    </row>
    <row r="114">
      <c r="A114" s="93" t="str">
        <f t="shared" si="2"/>
        <v>#13963</v>
      </c>
      <c r="B114" s="93" t="str">
        <f>IF(AND(COUNTIF(MAIN!B:B, A114)=0, IFERROR(SEARCH("return", C114)&gt;0, FALSE)), "Rental Return", IF(COUNTIF(MAIN!B:B, A114)=0, "Missing", ""))</f>
        <v>Missing</v>
      </c>
      <c r="C114" s="133" t="s">
        <v>15246</v>
      </c>
      <c r="E114" s="131" t="str">
        <f t="shared" si="1"/>
        <v>https://utrucking.myshopify.com/admin/orders?query=13963</v>
      </c>
    </row>
    <row r="115">
      <c r="A115" s="93" t="str">
        <f t="shared" si="2"/>
        <v>#13964</v>
      </c>
      <c r="B115" s="93" t="str">
        <f>IF(AND(COUNTIF(MAIN!B:B, A115)=0, IFERROR(SEARCH("return", C115)&gt;0, FALSE)), "Rental Return", IF(COUNTIF(MAIN!B:B, A115)=0, "Missing", ""))</f>
        <v>Missing</v>
      </c>
      <c r="C115" s="133" t="s">
        <v>15246</v>
      </c>
      <c r="E115" s="131" t="str">
        <f t="shared" si="1"/>
        <v>https://utrucking.myshopify.com/admin/orders?query=13964</v>
      </c>
    </row>
    <row r="116">
      <c r="A116" s="93" t="str">
        <f t="shared" si="2"/>
        <v>#13965</v>
      </c>
      <c r="B116" s="93" t="str">
        <f>IF(AND(COUNTIF(MAIN!B:B, A116)=0, IFERROR(SEARCH("return", C116)&gt;0, FALSE)), "Rental Return", IF(COUNTIF(MAIN!B:B, A116)=0, "Missing", ""))</f>
        <v>Missing</v>
      </c>
      <c r="C116" s="133" t="s">
        <v>15246</v>
      </c>
      <c r="E116" s="131" t="str">
        <f t="shared" si="1"/>
        <v>https://utrucking.myshopify.com/admin/orders?query=13965</v>
      </c>
    </row>
    <row r="117">
      <c r="A117" s="93" t="str">
        <f t="shared" si="2"/>
        <v>#13966</v>
      </c>
      <c r="B117" s="93" t="str">
        <f>IF(AND(COUNTIF(MAIN!B:B, A117)=0, IFERROR(SEARCH("return", C117)&gt;0, FALSE)), "Rental Return", IF(COUNTIF(MAIN!B:B, A117)=0, "Missing", ""))</f>
        <v>Missing</v>
      </c>
      <c r="C117" s="133" t="s">
        <v>15246</v>
      </c>
      <c r="E117" s="131" t="str">
        <f t="shared" si="1"/>
        <v>https://utrucking.myshopify.com/admin/orders?query=13966</v>
      </c>
    </row>
    <row r="118">
      <c r="A118" s="93" t="str">
        <f t="shared" si="2"/>
        <v>#13967</v>
      </c>
      <c r="B118" s="93" t="str">
        <f>IF(AND(COUNTIF(MAIN!B:B, A118)=0, IFERROR(SEARCH("return", C118)&gt;0, FALSE)), "Rental Return", IF(COUNTIF(MAIN!B:B, A118)=0, "Missing", ""))</f>
        <v>Missing</v>
      </c>
      <c r="C118" s="133" t="s">
        <v>15246</v>
      </c>
      <c r="E118" s="131" t="str">
        <f t="shared" si="1"/>
        <v>https://utrucking.myshopify.com/admin/orders?query=13967</v>
      </c>
    </row>
    <row r="119">
      <c r="A119" s="93" t="str">
        <f t="shared" si="2"/>
        <v>#13968</v>
      </c>
      <c r="B119" s="93" t="str">
        <f>IF(AND(COUNTIF(MAIN!B:B, A119)=0, IFERROR(SEARCH("return", C119)&gt;0, FALSE)), "Rental Return", IF(COUNTIF(MAIN!B:B, A119)=0, "Missing", ""))</f>
        <v>Missing</v>
      </c>
      <c r="C119" s="133" t="s">
        <v>15246</v>
      </c>
      <c r="E119" s="131" t="str">
        <f t="shared" si="1"/>
        <v>https://utrucking.myshopify.com/admin/orders?query=13968</v>
      </c>
    </row>
    <row r="120">
      <c r="A120" s="93" t="str">
        <f t="shared" si="2"/>
        <v>#13969</v>
      </c>
      <c r="B120" s="93" t="str">
        <f>IF(AND(COUNTIF(MAIN!B:B, A120)=0, IFERROR(SEARCH("return", C120)&gt;0, FALSE)), "Rental Return", IF(COUNTIF(MAIN!B:B, A120)=0, "Missing", ""))</f>
        <v>Missing</v>
      </c>
      <c r="C120" s="133" t="s">
        <v>15252</v>
      </c>
      <c r="E120" s="131" t="str">
        <f t="shared" si="1"/>
        <v>https://utrucking.myshopify.com/admin/orders?query=13969</v>
      </c>
    </row>
    <row r="121">
      <c r="A121" s="93" t="str">
        <f t="shared" si="2"/>
        <v>#13970</v>
      </c>
      <c r="B121" s="93" t="str">
        <f>IF(AND(COUNTIF(MAIN!B:B, A121)=0, IFERROR(SEARCH("return", C121)&gt;0, FALSE)), "Rental Return", IF(COUNTIF(MAIN!B:B, A121)=0, "Missing", ""))</f>
        <v>Missing</v>
      </c>
      <c r="C121" s="133" t="s">
        <v>15246</v>
      </c>
      <c r="E121" s="131" t="str">
        <f t="shared" si="1"/>
        <v>https://utrucking.myshopify.com/admin/orders?query=13970</v>
      </c>
    </row>
    <row r="122">
      <c r="A122" s="93" t="str">
        <f t="shared" si="2"/>
        <v>#13971</v>
      </c>
      <c r="B122" s="93" t="str">
        <f>IF(AND(COUNTIF(MAIN!B:B, A122)=0, IFERROR(SEARCH("return", C122)&gt;0, FALSE)), "Rental Return", IF(COUNTIF(MAIN!B:B, A122)=0, "Missing", ""))</f>
        <v>Missing</v>
      </c>
      <c r="C122" s="133" t="s">
        <v>15246</v>
      </c>
      <c r="E122" s="131" t="str">
        <f t="shared" si="1"/>
        <v>https://utrucking.myshopify.com/admin/orders?query=13971</v>
      </c>
    </row>
    <row r="123">
      <c r="A123" s="93" t="str">
        <f t="shared" si="2"/>
        <v>#13972</v>
      </c>
      <c r="B123" s="93" t="str">
        <f>IF(AND(COUNTIF(MAIN!B:B, A123)=0, IFERROR(SEARCH("return", C123)&gt;0, FALSE)), "Rental Return", IF(COUNTIF(MAIN!B:B, A123)=0, "Missing", ""))</f>
        <v>Missing</v>
      </c>
      <c r="C123" s="133" t="s">
        <v>15259</v>
      </c>
      <c r="E123" s="131" t="str">
        <f t="shared" si="1"/>
        <v>https://utrucking.myshopify.com/admin/orders?query=13972</v>
      </c>
    </row>
    <row r="124">
      <c r="A124" s="93" t="str">
        <f t="shared" si="2"/>
        <v>#13973</v>
      </c>
      <c r="B124" s="93" t="str">
        <f>IF(AND(COUNTIF(MAIN!B:B, A124)=0, IFERROR(SEARCH("return", C124)&gt;0, FALSE)), "Rental Return", IF(COUNTIF(MAIN!B:B, A124)=0, "Missing", ""))</f>
        <v>Rental Return</v>
      </c>
      <c r="C124" s="133" t="s">
        <v>15258</v>
      </c>
      <c r="E124" s="128" t="str">
        <f t="shared" si="1"/>
        <v/>
      </c>
    </row>
    <row r="125">
      <c r="A125" s="93" t="str">
        <f t="shared" si="2"/>
        <v>#13974</v>
      </c>
      <c r="B125" s="93" t="str">
        <f>IF(AND(COUNTIF(MAIN!B:B, A125)=0, IFERROR(SEARCH("return", C125)&gt;0, FALSE)), "Rental Return", IF(COUNTIF(MAIN!B:B, A125)=0, "Missing", ""))</f>
        <v>Missing</v>
      </c>
      <c r="C125" s="133" t="s">
        <v>15246</v>
      </c>
      <c r="E125" s="131" t="str">
        <f t="shared" si="1"/>
        <v>https://utrucking.myshopify.com/admin/orders?query=13974</v>
      </c>
    </row>
    <row r="126">
      <c r="A126" s="93" t="str">
        <f t="shared" si="2"/>
        <v>#13975</v>
      </c>
      <c r="B126" s="93" t="str">
        <f>IF(AND(COUNTIF(MAIN!B:B, A126)=0, IFERROR(SEARCH("return", C126)&gt;0, FALSE)), "Rental Return", IF(COUNTIF(MAIN!B:B, A126)=0, "Missing", ""))</f>
        <v>Missing</v>
      </c>
      <c r="C126" s="133" t="s">
        <v>15246</v>
      </c>
      <c r="E126" s="131" t="str">
        <f t="shared" si="1"/>
        <v>https://utrucking.myshopify.com/admin/orders?query=13975</v>
      </c>
    </row>
    <row r="127">
      <c r="A127" s="93" t="str">
        <f t="shared" si="2"/>
        <v>#13976</v>
      </c>
      <c r="B127" s="93" t="str">
        <f>IF(AND(COUNTIF(MAIN!B:B, A127)=0, IFERROR(SEARCH("return", C127)&gt;0, FALSE)), "Rental Return", IF(COUNTIF(MAIN!B:B, A127)=0, "Missing", ""))</f>
        <v>Missing</v>
      </c>
      <c r="C127" s="133" t="s">
        <v>15252</v>
      </c>
      <c r="E127" s="131" t="str">
        <f t="shared" si="1"/>
        <v>https://utrucking.myshopify.com/admin/orders?query=13976</v>
      </c>
    </row>
    <row r="128">
      <c r="A128" s="93" t="str">
        <f t="shared" si="2"/>
        <v>#13977</v>
      </c>
      <c r="B128" s="93" t="str">
        <f>IF(AND(COUNTIF(MAIN!B:B, A128)=0, IFERROR(SEARCH("return", C128)&gt;0, FALSE)), "Rental Return", IF(COUNTIF(MAIN!B:B, A128)=0, "Missing", ""))</f>
        <v>Missing</v>
      </c>
      <c r="C128" s="133" t="s">
        <v>15246</v>
      </c>
      <c r="E128" s="131" t="str">
        <f t="shared" si="1"/>
        <v>https://utrucking.myshopify.com/admin/orders?query=13977</v>
      </c>
    </row>
    <row r="129">
      <c r="A129" s="93" t="str">
        <f t="shared" si="2"/>
        <v>#13978</v>
      </c>
      <c r="B129" s="93" t="str">
        <f>IF(AND(COUNTIF(MAIN!B:B, A129)=0, IFERROR(SEARCH("return", C129)&gt;0, FALSE)), "Rental Return", IF(COUNTIF(MAIN!B:B, A129)=0, "Missing", ""))</f>
        <v>Missing</v>
      </c>
      <c r="C129" s="133" t="s">
        <v>15246</v>
      </c>
      <c r="E129" s="131" t="str">
        <f t="shared" si="1"/>
        <v>https://utrucking.myshopify.com/admin/orders?query=13978</v>
      </c>
    </row>
    <row r="130">
      <c r="A130" s="93" t="str">
        <f t="shared" si="2"/>
        <v>#13979</v>
      </c>
      <c r="B130" s="93" t="str">
        <f>IF(AND(COUNTIF(MAIN!B:B, A130)=0, IFERROR(SEARCH("return", C130)&gt;0, FALSE)), "Rental Return", IF(COUNTIF(MAIN!B:B, A130)=0, "Missing", ""))</f>
        <v>Missing</v>
      </c>
      <c r="C130" s="133" t="s">
        <v>15246</v>
      </c>
      <c r="E130" s="131" t="str">
        <f t="shared" si="1"/>
        <v>https://utrucking.myshopify.com/admin/orders?query=13979</v>
      </c>
    </row>
    <row r="131">
      <c r="A131" s="93" t="str">
        <f t="shared" si="2"/>
        <v>#13980</v>
      </c>
      <c r="B131" s="93" t="str">
        <f>IF(AND(COUNTIF(MAIN!B:B, A131)=0, IFERROR(SEARCH("return", C131)&gt;0, FALSE)), "Rental Return", IF(COUNTIF(MAIN!B:B, A131)=0, "Missing", ""))</f>
        <v>Missing</v>
      </c>
      <c r="C131" s="133" t="s">
        <v>15246</v>
      </c>
      <c r="E131" s="131" t="str">
        <f t="shared" si="1"/>
        <v>https://utrucking.myshopify.com/admin/orders?query=13980</v>
      </c>
    </row>
    <row r="132">
      <c r="A132" s="93" t="str">
        <f t="shared" si="2"/>
        <v>#13981</v>
      </c>
      <c r="B132" s="93" t="str">
        <f>IF(AND(COUNTIF(MAIN!B:B, A132)=0, IFERROR(SEARCH("return", C132)&gt;0, FALSE)), "Rental Return", IF(COUNTIF(MAIN!B:B, A132)=0, "Missing", ""))</f>
        <v>Missing</v>
      </c>
      <c r="C132" s="133" t="s">
        <v>15246</v>
      </c>
      <c r="E132" s="131" t="str">
        <f t="shared" si="1"/>
        <v>https://utrucking.myshopify.com/admin/orders?query=13981</v>
      </c>
    </row>
    <row r="133">
      <c r="A133" s="93" t="str">
        <f t="shared" si="2"/>
        <v>#13982</v>
      </c>
      <c r="B133" s="93" t="str">
        <f>IF(AND(COUNTIF(MAIN!B:B, A133)=0, IFERROR(SEARCH("return", C133)&gt;0, FALSE)), "Rental Return", IF(COUNTIF(MAIN!B:B, A133)=0, "Missing", ""))</f>
        <v>Rental Return</v>
      </c>
      <c r="C133" s="133" t="s">
        <v>15258</v>
      </c>
      <c r="E133" s="128" t="str">
        <f t="shared" si="1"/>
        <v/>
      </c>
    </row>
    <row r="134">
      <c r="A134" s="93" t="str">
        <f t="shared" si="2"/>
        <v>#13983</v>
      </c>
      <c r="B134" s="93" t="str">
        <f>IF(AND(COUNTIF(MAIN!B:B, A134)=0, IFERROR(SEARCH("return", C134)&gt;0, FALSE)), "Rental Return", IF(COUNTIF(MAIN!B:B, A134)=0, "Missing", ""))</f>
        <v>Missing</v>
      </c>
      <c r="C134" s="133" t="s">
        <v>15246</v>
      </c>
      <c r="E134" s="131" t="str">
        <f t="shared" si="1"/>
        <v>https://utrucking.myshopify.com/admin/orders?query=13983</v>
      </c>
    </row>
    <row r="135">
      <c r="A135" s="93" t="str">
        <f t="shared" si="2"/>
        <v>#13984</v>
      </c>
      <c r="B135" s="93" t="str">
        <f>IF(AND(COUNTIF(MAIN!B:B, A135)=0, IFERROR(SEARCH("return", C135)&gt;0, FALSE)), "Rental Return", IF(COUNTIF(MAIN!B:B, A135)=0, "Missing", ""))</f>
        <v>Missing</v>
      </c>
      <c r="C135" s="133" t="s">
        <v>15246</v>
      </c>
      <c r="E135" s="131" t="str">
        <f t="shared" si="1"/>
        <v>https://utrucking.myshopify.com/admin/orders?query=13984</v>
      </c>
    </row>
    <row r="136">
      <c r="A136" s="93" t="str">
        <f t="shared" si="2"/>
        <v>#13985</v>
      </c>
      <c r="B136" s="93" t="str">
        <f>IF(AND(COUNTIF(MAIN!B:B, A136)=0, IFERROR(SEARCH("return", C136)&gt;0, FALSE)), "Rental Return", IF(COUNTIF(MAIN!B:B, A136)=0, "Missing", ""))</f>
        <v>Missing</v>
      </c>
      <c r="C136" s="133" t="s">
        <v>15246</v>
      </c>
      <c r="E136" s="131" t="str">
        <f t="shared" si="1"/>
        <v>https://utrucking.myshopify.com/admin/orders?query=13985</v>
      </c>
    </row>
    <row r="137">
      <c r="A137" s="93" t="str">
        <f t="shared" si="2"/>
        <v>#13986</v>
      </c>
      <c r="B137" s="93" t="str">
        <f>IF(AND(COUNTIF(MAIN!B:B, A137)=0, IFERROR(SEARCH("return", C137)&gt;0, FALSE)), "Rental Return", IF(COUNTIF(MAIN!B:B, A137)=0, "Missing", ""))</f>
        <v>Missing</v>
      </c>
      <c r="C137" s="133" t="s">
        <v>15249</v>
      </c>
      <c r="E137" s="131" t="str">
        <f t="shared" si="1"/>
        <v>https://utrucking.myshopify.com/admin/orders?query=13986</v>
      </c>
    </row>
    <row r="138">
      <c r="A138" s="93" t="str">
        <f t="shared" si="2"/>
        <v>#13987</v>
      </c>
      <c r="B138" s="93" t="str">
        <f>IF(AND(COUNTIF(MAIN!B:B, A138)=0, IFERROR(SEARCH("return", C138)&gt;0, FALSE)), "Rental Return", IF(COUNTIF(MAIN!B:B, A138)=0, "Missing", ""))</f>
        <v>Missing</v>
      </c>
      <c r="C138" s="133" t="s">
        <v>15246</v>
      </c>
      <c r="E138" s="131" t="str">
        <f t="shared" si="1"/>
        <v>https://utrucking.myshopify.com/admin/orders?query=13987</v>
      </c>
    </row>
    <row r="139">
      <c r="A139" s="93" t="str">
        <f t="shared" si="2"/>
        <v>#13988</v>
      </c>
      <c r="B139" s="93" t="str">
        <f>IF(AND(COUNTIF(MAIN!B:B, A139)=0, IFERROR(SEARCH("return", C139)&gt;0, FALSE)), "Rental Return", IF(COUNTIF(MAIN!B:B, A139)=0, "Missing", ""))</f>
        <v>Missing</v>
      </c>
      <c r="C139" s="133" t="s">
        <v>15246</v>
      </c>
      <c r="E139" s="131" t="str">
        <f t="shared" si="1"/>
        <v>https://utrucking.myshopify.com/admin/orders?query=13988</v>
      </c>
    </row>
    <row r="140">
      <c r="A140" s="93" t="str">
        <f t="shared" si="2"/>
        <v>#13989</v>
      </c>
      <c r="B140" s="93" t="str">
        <f>IF(AND(COUNTIF(MAIN!B:B, A140)=0, IFERROR(SEARCH("return", C140)&gt;0, FALSE)), "Rental Return", IF(COUNTIF(MAIN!B:B, A140)=0, "Missing", ""))</f>
        <v>Missing</v>
      </c>
      <c r="C140" s="133" t="s">
        <v>15246</v>
      </c>
      <c r="E140" s="131" t="str">
        <f t="shared" si="1"/>
        <v>https://utrucking.myshopify.com/admin/orders?query=13989</v>
      </c>
    </row>
    <row r="141">
      <c r="A141" s="93" t="str">
        <f t="shared" si="2"/>
        <v>#13990</v>
      </c>
      <c r="B141" s="93" t="str">
        <f>IF(AND(COUNTIF(MAIN!B:B, A141)=0, IFERROR(SEARCH("return", C141)&gt;0, FALSE)), "Rental Return", IF(COUNTIF(MAIN!B:B, A141)=0, "Missing", ""))</f>
        <v>Missing</v>
      </c>
      <c r="C141" s="133" t="s">
        <v>15260</v>
      </c>
      <c r="E141" s="131" t="str">
        <f t="shared" si="1"/>
        <v>https://utrucking.myshopify.com/admin/orders?query=13990</v>
      </c>
    </row>
    <row r="142">
      <c r="A142" s="93" t="str">
        <f t="shared" si="2"/>
        <v>#13991</v>
      </c>
      <c r="B142" s="93" t="str">
        <f>IF(AND(COUNTIF(MAIN!B:B, A142)=0, IFERROR(SEARCH("return", C142)&gt;0, FALSE)), "Rental Return", IF(COUNTIF(MAIN!B:B, A142)=0, "Missing", ""))</f>
        <v>Missing</v>
      </c>
      <c r="C142" s="133" t="s">
        <v>15246</v>
      </c>
      <c r="E142" s="131" t="str">
        <f t="shared" si="1"/>
        <v>https://utrucking.myshopify.com/admin/orders?query=13991</v>
      </c>
    </row>
    <row r="143">
      <c r="A143" s="93" t="str">
        <f t="shared" si="2"/>
        <v>#13992</v>
      </c>
      <c r="B143" s="93" t="str">
        <f>IF(AND(COUNTIF(MAIN!B:B, A143)=0, IFERROR(SEARCH("return", C143)&gt;0, FALSE)), "Rental Return", IF(COUNTIF(MAIN!B:B, A143)=0, "Missing", ""))</f>
        <v>Missing</v>
      </c>
      <c r="C143" s="133" t="s">
        <v>15251</v>
      </c>
      <c r="E143" s="131" t="str">
        <f t="shared" si="1"/>
        <v>https://utrucking.myshopify.com/admin/orders?query=13992</v>
      </c>
    </row>
    <row r="144">
      <c r="A144" s="93" t="str">
        <f t="shared" si="2"/>
        <v>#13993</v>
      </c>
      <c r="B144" s="93" t="str">
        <f>IF(AND(COUNTIF(MAIN!B:B, A144)=0, IFERROR(SEARCH("return", C144)&gt;0, FALSE)), "Rental Return", IF(COUNTIF(MAIN!B:B, A144)=0, "Missing", ""))</f>
        <v>Missing</v>
      </c>
      <c r="C144" s="133" t="s">
        <v>15246</v>
      </c>
      <c r="E144" s="131" t="str">
        <f t="shared" si="1"/>
        <v>https://utrucking.myshopify.com/admin/orders?query=13993</v>
      </c>
    </row>
    <row r="145">
      <c r="A145" s="93" t="str">
        <f t="shared" si="2"/>
        <v>#13994</v>
      </c>
      <c r="B145" s="93" t="str">
        <f>IF(AND(COUNTIF(MAIN!B:B, A145)=0, IFERROR(SEARCH("return", C145)&gt;0, FALSE)), "Rental Return", IF(COUNTIF(MAIN!B:B, A145)=0, "Missing", ""))</f>
        <v>Missing</v>
      </c>
      <c r="C145" s="133" t="s">
        <v>15249</v>
      </c>
      <c r="E145" s="131" t="str">
        <f t="shared" si="1"/>
        <v>https://utrucking.myshopify.com/admin/orders?query=13994</v>
      </c>
    </row>
    <row r="146">
      <c r="A146" s="93" t="str">
        <f t="shared" si="2"/>
        <v>#13995</v>
      </c>
      <c r="B146" s="93" t="str">
        <f>IF(AND(COUNTIF(MAIN!B:B, A146)=0, IFERROR(SEARCH("return", C146)&gt;0, FALSE)), "Rental Return", IF(COUNTIF(MAIN!B:B, A146)=0, "Missing", ""))</f>
        <v>Missing</v>
      </c>
      <c r="C146" s="133" t="s">
        <v>15246</v>
      </c>
      <c r="E146" s="131" t="str">
        <f t="shared" si="1"/>
        <v>https://utrucking.myshopify.com/admin/orders?query=13995</v>
      </c>
    </row>
    <row r="147">
      <c r="A147" s="93" t="str">
        <f t="shared" si="2"/>
        <v>#13996</v>
      </c>
      <c r="B147" s="93" t="str">
        <f>IF(AND(COUNTIF(MAIN!B:B, A147)=0, IFERROR(SEARCH("return", C147)&gt;0, FALSE)), "Rental Return", IF(COUNTIF(MAIN!B:B, A147)=0, "Missing", ""))</f>
        <v>Missing</v>
      </c>
      <c r="C147" s="133" t="s">
        <v>15246</v>
      </c>
      <c r="E147" s="131" t="str">
        <f t="shared" si="1"/>
        <v>https://utrucking.myshopify.com/admin/orders?query=13996</v>
      </c>
    </row>
    <row r="148">
      <c r="A148" s="93" t="str">
        <f t="shared" si="2"/>
        <v>#13997</v>
      </c>
      <c r="B148" s="93" t="str">
        <f>IF(AND(COUNTIF(MAIN!B:B, A148)=0, IFERROR(SEARCH("return", C148)&gt;0, FALSE)), "Rental Return", IF(COUNTIF(MAIN!B:B, A148)=0, "Missing", ""))</f>
        <v>Missing</v>
      </c>
      <c r="C148" s="133" t="s">
        <v>15246</v>
      </c>
      <c r="E148" s="131" t="str">
        <f t="shared" si="1"/>
        <v>https://utrucking.myshopify.com/admin/orders?query=13997</v>
      </c>
    </row>
    <row r="149">
      <c r="A149" s="93" t="str">
        <f t="shared" si="2"/>
        <v>#13998</v>
      </c>
      <c r="B149" s="93" t="str">
        <f>IF(AND(COUNTIF(MAIN!B:B, A149)=0, IFERROR(SEARCH("return", C149)&gt;0, FALSE)), "Rental Return", IF(COUNTIF(MAIN!B:B, A149)=0, "Missing", ""))</f>
        <v>Missing</v>
      </c>
      <c r="C149" s="133" t="s">
        <v>15246</v>
      </c>
      <c r="E149" s="131" t="str">
        <f t="shared" si="1"/>
        <v>https://utrucking.myshopify.com/admin/orders?query=13998</v>
      </c>
    </row>
    <row r="150">
      <c r="A150" s="93" t="str">
        <f t="shared" si="2"/>
        <v>#13999</v>
      </c>
      <c r="B150" s="93" t="str">
        <f>IF(AND(COUNTIF(MAIN!B:B, A150)=0, IFERROR(SEARCH("return", C150)&gt;0, FALSE)), "Rental Return", IF(COUNTIF(MAIN!B:B, A150)=0, "Missing", ""))</f>
        <v>Missing</v>
      </c>
      <c r="C150" s="133" t="s">
        <v>15246</v>
      </c>
      <c r="E150" s="131" t="str">
        <f t="shared" si="1"/>
        <v>https://utrucking.myshopify.com/admin/orders?query=13999</v>
      </c>
    </row>
    <row r="151">
      <c r="A151" s="93" t="str">
        <f t="shared" si="2"/>
        <v>#14000</v>
      </c>
      <c r="B151" s="93" t="str">
        <f>IF(AND(COUNTIF(MAIN!B:B, A151)=0, IFERROR(SEARCH("return", C151)&gt;0, FALSE)), "Rental Return", IF(COUNTIF(MAIN!B:B, A151)=0, "Missing", ""))</f>
        <v>Missing</v>
      </c>
      <c r="C151" s="133" t="s">
        <v>15246</v>
      </c>
      <c r="E151" s="131" t="str">
        <f t="shared" si="1"/>
        <v>https://utrucking.myshopify.com/admin/orders?query=14000</v>
      </c>
    </row>
    <row r="152">
      <c r="A152" s="93" t="str">
        <f t="shared" si="2"/>
        <v>#14001</v>
      </c>
      <c r="B152" s="93" t="str">
        <f>IF(AND(COUNTIF(MAIN!B:B, A152)=0, IFERROR(SEARCH("return", C152)&gt;0, FALSE)), "Rental Return", IF(COUNTIF(MAIN!B:B, A152)=0, "Missing", ""))</f>
        <v>Missing</v>
      </c>
      <c r="C152" s="133" t="s">
        <v>15253</v>
      </c>
      <c r="E152" s="131" t="str">
        <f t="shared" si="1"/>
        <v>https://utrucking.myshopify.com/admin/orders?query=14001</v>
      </c>
    </row>
    <row r="153">
      <c r="A153" s="93" t="str">
        <f t="shared" si="2"/>
        <v>#14002</v>
      </c>
      <c r="B153" s="93" t="str">
        <f>IF(AND(COUNTIF(MAIN!B:B, A153)=0, IFERROR(SEARCH("return", C153)&gt;0, FALSE)), "Rental Return", IF(COUNTIF(MAIN!B:B, A153)=0, "Missing", ""))</f>
        <v>Missing</v>
      </c>
      <c r="C153" s="133" t="s">
        <v>15245</v>
      </c>
      <c r="E153" s="131" t="str">
        <f t="shared" si="1"/>
        <v>https://utrucking.myshopify.com/admin/orders?query=14002</v>
      </c>
    </row>
    <row r="154">
      <c r="A154" s="93" t="str">
        <f t="shared" si="2"/>
        <v>#14003</v>
      </c>
      <c r="B154" s="93" t="str">
        <f>IF(AND(COUNTIF(MAIN!B:B, A154)=0, IFERROR(SEARCH("return", C154)&gt;0, FALSE)), "Rental Return", IF(COUNTIF(MAIN!B:B, A154)=0, "Missing", ""))</f>
        <v>Missing</v>
      </c>
      <c r="C154" s="133" t="s">
        <v>15249</v>
      </c>
      <c r="E154" s="131" t="str">
        <f t="shared" si="1"/>
        <v>https://utrucking.myshopify.com/admin/orders?query=14003</v>
      </c>
    </row>
    <row r="155">
      <c r="A155" s="93" t="str">
        <f t="shared" si="2"/>
        <v>#14004</v>
      </c>
      <c r="B155" s="93" t="str">
        <f>IF(AND(COUNTIF(MAIN!B:B, A155)=0, IFERROR(SEARCH("return", C155)&gt;0, FALSE)), "Rental Return", IF(COUNTIF(MAIN!B:B, A155)=0, "Missing", ""))</f>
        <v>Missing</v>
      </c>
      <c r="C155" s="133" t="s">
        <v>15246</v>
      </c>
      <c r="E155" s="131" t="str">
        <f t="shared" si="1"/>
        <v>https://utrucking.myshopify.com/admin/orders?query=14004</v>
      </c>
    </row>
    <row r="156">
      <c r="A156" s="93" t="str">
        <f t="shared" si="2"/>
        <v>#14005</v>
      </c>
      <c r="B156" s="93" t="str">
        <f>IF(AND(COUNTIF(MAIN!B:B, A156)=0, IFERROR(SEARCH("return", C156)&gt;0, FALSE)), "Rental Return", IF(COUNTIF(MAIN!B:B, A156)=0, "Missing", ""))</f>
        <v>Missing</v>
      </c>
      <c r="C156" s="133" t="s">
        <v>15246</v>
      </c>
      <c r="E156" s="131" t="str">
        <f t="shared" si="1"/>
        <v>https://utrucking.myshopify.com/admin/orders?query=14005</v>
      </c>
    </row>
    <row r="157">
      <c r="A157" s="93" t="str">
        <f t="shared" si="2"/>
        <v>#14006</v>
      </c>
      <c r="B157" s="93" t="str">
        <f>IF(AND(COUNTIF(MAIN!B:B, A157)=0, IFERROR(SEARCH("return", C157)&gt;0, FALSE)), "Rental Return", IF(COUNTIF(MAIN!B:B, A157)=0, "Missing", ""))</f>
        <v>Missing</v>
      </c>
      <c r="C157" s="133" t="s">
        <v>15246</v>
      </c>
      <c r="E157" s="131" t="str">
        <f t="shared" si="1"/>
        <v>https://utrucking.myshopify.com/admin/orders?query=14006</v>
      </c>
    </row>
    <row r="158">
      <c r="A158" s="93" t="str">
        <f t="shared" si="2"/>
        <v>#14007</v>
      </c>
      <c r="B158" s="93" t="str">
        <f>IF(AND(COUNTIF(MAIN!B:B, A158)=0, IFERROR(SEARCH("return", C158)&gt;0, FALSE)), "Rental Return", IF(COUNTIF(MAIN!B:B, A158)=0, "Missing", ""))</f>
        <v>Missing</v>
      </c>
      <c r="C158" s="133" t="s">
        <v>15249</v>
      </c>
      <c r="E158" s="131" t="str">
        <f t="shared" si="1"/>
        <v>https://utrucking.myshopify.com/admin/orders?query=14007</v>
      </c>
    </row>
    <row r="159">
      <c r="A159" s="93" t="str">
        <f t="shared" si="2"/>
        <v>#14008</v>
      </c>
      <c r="B159" s="93" t="str">
        <f>IF(AND(COUNTIF(MAIN!B:B, A159)=0, IFERROR(SEARCH("return", C159)&gt;0, FALSE)), "Rental Return", IF(COUNTIF(MAIN!B:B, A159)=0, "Missing", ""))</f>
        <v>Missing</v>
      </c>
      <c r="C159" s="133" t="s">
        <v>15246</v>
      </c>
      <c r="E159" s="131" t="str">
        <f t="shared" si="1"/>
        <v>https://utrucking.myshopify.com/admin/orders?query=14008</v>
      </c>
    </row>
    <row r="160">
      <c r="A160" s="93" t="str">
        <f t="shared" si="2"/>
        <v>#14009</v>
      </c>
      <c r="B160" s="93" t="str">
        <f>IF(AND(COUNTIF(MAIN!B:B, A160)=0, IFERROR(SEARCH("return", C160)&gt;0, FALSE)), "Rental Return", IF(COUNTIF(MAIN!B:B, A160)=0, "Missing", ""))</f>
        <v>Missing</v>
      </c>
      <c r="C160" s="133" t="s">
        <v>15246</v>
      </c>
      <c r="E160" s="131" t="str">
        <f t="shared" si="1"/>
        <v>https://utrucking.myshopify.com/admin/orders?query=14009</v>
      </c>
    </row>
    <row r="161">
      <c r="A161" s="93" t="str">
        <f t="shared" si="2"/>
        <v>#14010</v>
      </c>
      <c r="B161" s="93" t="str">
        <f>IF(AND(COUNTIF(MAIN!B:B, A161)=0, IFERROR(SEARCH("return", C161)&gt;0, FALSE)), "Rental Return", IF(COUNTIF(MAIN!B:B, A161)=0, "Missing", ""))</f>
        <v>Missing</v>
      </c>
      <c r="C161" s="133" t="s">
        <v>15249</v>
      </c>
      <c r="E161" s="131" t="str">
        <f t="shared" si="1"/>
        <v>https://utrucking.myshopify.com/admin/orders?query=14010</v>
      </c>
    </row>
    <row r="162">
      <c r="A162" s="93" t="str">
        <f t="shared" si="2"/>
        <v>#14011</v>
      </c>
      <c r="B162" s="93" t="str">
        <f>IF(AND(COUNTIF(MAIN!B:B, A162)=0, IFERROR(SEARCH("return", C162)&gt;0, FALSE)), "Rental Return", IF(COUNTIF(MAIN!B:B, A162)=0, "Missing", ""))</f>
        <v>Missing</v>
      </c>
      <c r="C162" s="133" t="s">
        <v>15249</v>
      </c>
      <c r="E162" s="131" t="str">
        <f t="shared" si="1"/>
        <v>https://utrucking.myshopify.com/admin/orders?query=14011</v>
      </c>
    </row>
    <row r="163">
      <c r="A163" s="93" t="str">
        <f t="shared" si="2"/>
        <v>#14012</v>
      </c>
      <c r="B163" s="93" t="str">
        <f>IF(AND(COUNTIF(MAIN!B:B, A163)=0, IFERROR(SEARCH("return", C163)&gt;0, FALSE)), "Rental Return", IF(COUNTIF(MAIN!B:B, A163)=0, "Missing", ""))</f>
        <v>Missing</v>
      </c>
      <c r="C163" s="133" t="s">
        <v>15246</v>
      </c>
      <c r="E163" s="131" t="str">
        <f t="shared" si="1"/>
        <v>https://utrucking.myshopify.com/admin/orders?query=14012</v>
      </c>
    </row>
    <row r="164">
      <c r="A164" s="93" t="str">
        <f t="shared" si="2"/>
        <v>#14013</v>
      </c>
      <c r="B164" s="93" t="str">
        <f>IF(AND(COUNTIF(MAIN!B:B, A164)=0, IFERROR(SEARCH("return", C164)&gt;0, FALSE)), "Rental Return", IF(COUNTIF(MAIN!B:B, A164)=0, "Missing", ""))</f>
        <v>Missing</v>
      </c>
      <c r="C164" s="133" t="s">
        <v>15246</v>
      </c>
      <c r="E164" s="131" t="str">
        <f t="shared" si="1"/>
        <v>https://utrucking.myshopify.com/admin/orders?query=14013</v>
      </c>
    </row>
    <row r="165">
      <c r="A165" s="93" t="str">
        <f t="shared" si="2"/>
        <v>#14014</v>
      </c>
      <c r="B165" s="93" t="str">
        <f>IF(AND(COUNTIF(MAIN!B:B, A165)=0, IFERROR(SEARCH("return", C165)&gt;0, FALSE)), "Rental Return", IF(COUNTIF(MAIN!B:B, A165)=0, "Missing", ""))</f>
        <v>Missing</v>
      </c>
      <c r="C165" s="133" t="s">
        <v>15246</v>
      </c>
      <c r="E165" s="131" t="str">
        <f t="shared" si="1"/>
        <v>https://utrucking.myshopify.com/admin/orders?query=14014</v>
      </c>
    </row>
    <row r="166">
      <c r="A166" s="93" t="str">
        <f t="shared" si="2"/>
        <v>#14015</v>
      </c>
      <c r="B166" s="93" t="str">
        <f>IF(AND(COUNTIF(MAIN!B:B, A166)=0, IFERROR(SEARCH("return", C166)&gt;0, FALSE)), "Rental Return", IF(COUNTIF(MAIN!B:B, A166)=0, "Missing", ""))</f>
        <v>Missing</v>
      </c>
      <c r="C166" s="133" t="s">
        <v>15246</v>
      </c>
      <c r="E166" s="131" t="str">
        <f t="shared" si="1"/>
        <v>https://utrucking.myshopify.com/admin/orders?query=14015</v>
      </c>
    </row>
    <row r="167">
      <c r="A167" s="93" t="str">
        <f t="shared" si="2"/>
        <v>#14016</v>
      </c>
      <c r="B167" s="93" t="str">
        <f>IF(AND(COUNTIF(MAIN!B:B, A167)=0, IFERROR(SEARCH("return", C167)&gt;0, FALSE)), "Rental Return", IF(COUNTIF(MAIN!B:B, A167)=0, "Missing", ""))</f>
        <v>Missing</v>
      </c>
      <c r="C167" s="133" t="s">
        <v>15246</v>
      </c>
      <c r="E167" s="131" t="str">
        <f t="shared" si="1"/>
        <v>https://utrucking.myshopify.com/admin/orders?query=14016</v>
      </c>
    </row>
    <row r="168">
      <c r="A168" s="93" t="str">
        <f t="shared" si="2"/>
        <v>#14017</v>
      </c>
      <c r="B168" s="93" t="str">
        <f>IF(AND(COUNTIF(MAIN!B:B, A168)=0, IFERROR(SEARCH("return", C168)&gt;0, FALSE)), "Rental Return", IF(COUNTIF(MAIN!B:B, A168)=0, "Missing", ""))</f>
        <v>Missing</v>
      </c>
      <c r="C168" s="133" t="s">
        <v>15246</v>
      </c>
      <c r="E168" s="131" t="str">
        <f t="shared" si="1"/>
        <v>https://utrucking.myshopify.com/admin/orders?query=14017</v>
      </c>
    </row>
    <row r="169">
      <c r="A169" s="93" t="str">
        <f t="shared" si="2"/>
        <v>#14018</v>
      </c>
      <c r="B169" s="93" t="str">
        <f>IF(AND(COUNTIF(MAIN!B:B, A169)=0, IFERROR(SEARCH("return", C169)&gt;0, FALSE)), "Rental Return", IF(COUNTIF(MAIN!B:B, A169)=0, "Missing", ""))</f>
        <v>Missing</v>
      </c>
      <c r="C169" s="133" t="s">
        <v>15246</v>
      </c>
      <c r="E169" s="131" t="str">
        <f t="shared" si="1"/>
        <v>https://utrucking.myshopify.com/admin/orders?query=14018</v>
      </c>
    </row>
    <row r="170">
      <c r="A170" s="93" t="str">
        <f t="shared" si="2"/>
        <v>#14019</v>
      </c>
      <c r="B170" s="93" t="str">
        <f>IF(AND(COUNTIF(MAIN!B:B, A170)=0, IFERROR(SEARCH("return", C170)&gt;0, FALSE)), "Rental Return", IF(COUNTIF(MAIN!B:B, A170)=0, "Missing", ""))</f>
        <v>Missing</v>
      </c>
      <c r="C170" s="133" t="s">
        <v>15249</v>
      </c>
      <c r="E170" s="131" t="str">
        <f t="shared" si="1"/>
        <v>https://utrucking.myshopify.com/admin/orders?query=14019</v>
      </c>
    </row>
    <row r="171">
      <c r="A171" s="93" t="str">
        <f t="shared" si="2"/>
        <v>#14020</v>
      </c>
      <c r="B171" s="93" t="str">
        <f>IF(AND(COUNTIF(MAIN!B:B, A171)=0, IFERROR(SEARCH("return", C171)&gt;0, FALSE)), "Rental Return", IF(COUNTIF(MAIN!B:B, A171)=0, "Missing", ""))</f>
        <v>Missing</v>
      </c>
      <c r="C171" s="133" t="s">
        <v>15246</v>
      </c>
      <c r="E171" s="131" t="str">
        <f t="shared" si="1"/>
        <v>https://utrucking.myshopify.com/admin/orders?query=14020</v>
      </c>
    </row>
    <row r="172">
      <c r="A172" s="93" t="str">
        <f t="shared" si="2"/>
        <v>#14021</v>
      </c>
      <c r="B172" s="93" t="str">
        <f>IF(AND(COUNTIF(MAIN!B:B, A172)=0, IFERROR(SEARCH("return", C172)&gt;0, FALSE)), "Rental Return", IF(COUNTIF(MAIN!B:B, A172)=0, "Missing", ""))</f>
        <v>Missing</v>
      </c>
      <c r="C172" s="133" t="s">
        <v>15246</v>
      </c>
      <c r="E172" s="131" t="str">
        <f t="shared" si="1"/>
        <v>https://utrucking.myshopify.com/admin/orders?query=14021</v>
      </c>
    </row>
    <row r="173">
      <c r="A173" s="93" t="str">
        <f t="shared" si="2"/>
        <v>#14022</v>
      </c>
      <c r="B173" s="93" t="str">
        <f>IF(AND(COUNTIF(MAIN!B:B, A173)=0, IFERROR(SEARCH("return", C173)&gt;0, FALSE)), "Rental Return", IF(COUNTIF(MAIN!B:B, A173)=0, "Missing", ""))</f>
        <v>Missing</v>
      </c>
      <c r="C173" s="133" t="s">
        <v>15246</v>
      </c>
      <c r="E173" s="131" t="str">
        <f t="shared" si="1"/>
        <v>https://utrucking.myshopify.com/admin/orders?query=14022</v>
      </c>
    </row>
    <row r="174">
      <c r="A174" s="93" t="str">
        <f t="shared" si="2"/>
        <v>#14023</v>
      </c>
      <c r="B174" s="93" t="str">
        <f>IF(AND(COUNTIF(MAIN!B:B, A174)=0, IFERROR(SEARCH("return", C174)&gt;0, FALSE)), "Rental Return", IF(COUNTIF(MAIN!B:B, A174)=0, "Missing", ""))</f>
        <v>Missing</v>
      </c>
      <c r="C174" s="133" t="s">
        <v>15246</v>
      </c>
      <c r="E174" s="131" t="str">
        <f t="shared" si="1"/>
        <v>https://utrucking.myshopify.com/admin/orders?query=14023</v>
      </c>
    </row>
    <row r="175">
      <c r="A175" s="93" t="str">
        <f t="shared" si="2"/>
        <v>#14024</v>
      </c>
      <c r="B175" s="93" t="str">
        <f>IF(AND(COUNTIF(MAIN!B:B, A175)=0, IFERROR(SEARCH("return", C175)&gt;0, FALSE)), "Rental Return", IF(COUNTIF(MAIN!B:B, A175)=0, "Missing", ""))</f>
        <v>Missing</v>
      </c>
      <c r="C175" s="133" t="s">
        <v>15246</v>
      </c>
      <c r="E175" s="131" t="str">
        <f t="shared" si="1"/>
        <v>https://utrucking.myshopify.com/admin/orders?query=14024</v>
      </c>
    </row>
    <row r="176">
      <c r="A176" s="93" t="str">
        <f t="shared" si="2"/>
        <v>#14025</v>
      </c>
      <c r="B176" s="93" t="str">
        <f>IF(AND(COUNTIF(MAIN!B:B, A176)=0, IFERROR(SEARCH("return", C176)&gt;0, FALSE)), "Rental Return", IF(COUNTIF(MAIN!B:B, A176)=0, "Missing", ""))</f>
        <v>Missing</v>
      </c>
      <c r="C176" s="133" t="s">
        <v>15246</v>
      </c>
      <c r="E176" s="131" t="str">
        <f t="shared" si="1"/>
        <v>https://utrucking.myshopify.com/admin/orders?query=14025</v>
      </c>
    </row>
    <row r="177">
      <c r="A177" s="93" t="str">
        <f t="shared" si="2"/>
        <v>#14026</v>
      </c>
      <c r="B177" s="93" t="str">
        <f>IF(AND(COUNTIF(MAIN!B:B, A177)=0, IFERROR(SEARCH("return", C177)&gt;0, FALSE)), "Rental Return", IF(COUNTIF(MAIN!B:B, A177)=0, "Missing", ""))</f>
        <v>Missing</v>
      </c>
      <c r="C177" s="133" t="s">
        <v>15251</v>
      </c>
      <c r="E177" s="131" t="str">
        <f t="shared" si="1"/>
        <v>https://utrucking.myshopify.com/admin/orders?query=14026</v>
      </c>
    </row>
    <row r="178">
      <c r="A178" s="93" t="str">
        <f t="shared" si="2"/>
        <v>#14027</v>
      </c>
      <c r="B178" s="93" t="str">
        <f>IF(AND(COUNTIF(MAIN!B:B, A178)=0, IFERROR(SEARCH("return", C178)&gt;0, FALSE)), "Rental Return", IF(COUNTIF(MAIN!B:B, A178)=0, "Missing", ""))</f>
        <v>Missing</v>
      </c>
      <c r="C178" s="133" t="s">
        <v>15246</v>
      </c>
      <c r="E178" s="131" t="str">
        <f t="shared" si="1"/>
        <v>https://utrucking.myshopify.com/admin/orders?query=14027</v>
      </c>
    </row>
    <row r="179">
      <c r="A179" s="93" t="str">
        <f t="shared" si="2"/>
        <v>#14028</v>
      </c>
      <c r="B179" s="93" t="str">
        <f>IF(AND(COUNTIF(MAIN!B:B, A179)=0, IFERROR(SEARCH("return", C179)&gt;0, FALSE)), "Rental Return", IF(COUNTIF(MAIN!B:B, A179)=0, "Missing", ""))</f>
        <v>Rental Return</v>
      </c>
      <c r="C179" s="133" t="s">
        <v>15261</v>
      </c>
      <c r="E179" s="128" t="str">
        <f t="shared" si="1"/>
        <v/>
      </c>
    </row>
    <row r="180">
      <c r="A180" s="93" t="str">
        <f t="shared" si="2"/>
        <v>#14029</v>
      </c>
      <c r="B180" s="93" t="str">
        <f>IF(AND(COUNTIF(MAIN!B:B, A180)=0, IFERROR(SEARCH("return", C180)&gt;0, FALSE)), "Rental Return", IF(COUNTIF(MAIN!B:B, A180)=0, "Missing", ""))</f>
        <v>Missing</v>
      </c>
      <c r="C180" s="133" t="s">
        <v>15249</v>
      </c>
      <c r="E180" s="131" t="str">
        <f t="shared" si="1"/>
        <v>https://utrucking.myshopify.com/admin/orders?query=14029</v>
      </c>
    </row>
    <row r="181">
      <c r="A181" s="93" t="str">
        <f t="shared" si="2"/>
        <v>#14030</v>
      </c>
      <c r="B181" s="93" t="str">
        <f>IF(AND(COUNTIF(MAIN!B:B, A181)=0, IFERROR(SEARCH("return", C181)&gt;0, FALSE)), "Rental Return", IF(COUNTIF(MAIN!B:B, A181)=0, "Missing", ""))</f>
        <v>Missing</v>
      </c>
      <c r="C181" s="133" t="s">
        <v>15248</v>
      </c>
      <c r="E181" s="131" t="str">
        <f t="shared" si="1"/>
        <v>https://utrucking.myshopify.com/admin/orders?query=14030</v>
      </c>
    </row>
    <row r="182">
      <c r="A182" s="93" t="str">
        <f t="shared" si="2"/>
        <v>#14031</v>
      </c>
      <c r="B182" s="93" t="str">
        <f>IF(AND(COUNTIF(MAIN!B:B, A182)=0, IFERROR(SEARCH("return", C182)&gt;0, FALSE)), "Rental Return", IF(COUNTIF(MAIN!B:B, A182)=0, "Missing", ""))</f>
        <v>Missing</v>
      </c>
      <c r="C182" s="133" t="s">
        <v>15251</v>
      </c>
      <c r="E182" s="131" t="str">
        <f t="shared" si="1"/>
        <v>https://utrucking.myshopify.com/admin/orders?query=14031</v>
      </c>
    </row>
    <row r="183">
      <c r="A183" s="93" t="str">
        <f t="shared" si="2"/>
        <v>#14032</v>
      </c>
      <c r="B183" s="93" t="str">
        <f>IF(AND(COUNTIF(MAIN!B:B, A183)=0, IFERROR(SEARCH("return", C183)&gt;0, FALSE)), "Rental Return", IF(COUNTIF(MAIN!B:B, A183)=0, "Missing", ""))</f>
        <v>Missing</v>
      </c>
      <c r="C183" s="133" t="s">
        <v>15249</v>
      </c>
      <c r="E183" s="131" t="str">
        <f t="shared" si="1"/>
        <v>https://utrucking.myshopify.com/admin/orders?query=14032</v>
      </c>
    </row>
    <row r="184">
      <c r="A184" s="93" t="str">
        <f t="shared" si="2"/>
        <v>#14033</v>
      </c>
      <c r="B184" s="93" t="str">
        <f>IF(AND(COUNTIF(MAIN!B:B, A184)=0, IFERROR(SEARCH("return", C184)&gt;0, FALSE)), "Rental Return", IF(COUNTIF(MAIN!B:B, A184)=0, "Missing", ""))</f>
        <v>Missing</v>
      </c>
      <c r="C184" s="133" t="s">
        <v>15246</v>
      </c>
      <c r="E184" s="131" t="str">
        <f t="shared" si="1"/>
        <v>https://utrucking.myshopify.com/admin/orders?query=14033</v>
      </c>
    </row>
    <row r="185">
      <c r="A185" s="93" t="str">
        <f t="shared" si="2"/>
        <v>#14034</v>
      </c>
      <c r="B185" s="93" t="str">
        <f>IF(AND(COUNTIF(MAIN!B:B, A185)=0, IFERROR(SEARCH("return", C185)&gt;0, FALSE)), "Rental Return", IF(COUNTIF(MAIN!B:B, A185)=0, "Missing", ""))</f>
        <v>Missing</v>
      </c>
      <c r="C185" s="133" t="s">
        <v>15256</v>
      </c>
      <c r="E185" s="131" t="str">
        <f t="shared" si="1"/>
        <v>https://utrucking.myshopify.com/admin/orders?query=14034</v>
      </c>
    </row>
    <row r="186">
      <c r="A186" s="93" t="str">
        <f t="shared" si="2"/>
        <v>#14035</v>
      </c>
      <c r="B186" s="93" t="str">
        <f>IF(AND(COUNTIF(MAIN!B:B, A186)=0, IFERROR(SEARCH("return", C186)&gt;0, FALSE)), "Rental Return", IF(COUNTIF(MAIN!B:B, A186)=0, "Missing", ""))</f>
        <v>Missing</v>
      </c>
      <c r="C186" s="133" t="s">
        <v>15252</v>
      </c>
      <c r="E186" s="131" t="str">
        <f t="shared" si="1"/>
        <v>https://utrucking.myshopify.com/admin/orders?query=14035</v>
      </c>
    </row>
    <row r="187">
      <c r="A187" s="93" t="str">
        <f t="shared" si="2"/>
        <v>#14036</v>
      </c>
      <c r="B187" s="93" t="str">
        <f>IF(AND(COUNTIF(MAIN!B:B, A187)=0, IFERROR(SEARCH("return", C187)&gt;0, FALSE)), "Rental Return", IF(COUNTIF(MAIN!B:B, A187)=0, "Missing", ""))</f>
        <v>Missing</v>
      </c>
      <c r="C187" s="133" t="s">
        <v>15246</v>
      </c>
      <c r="E187" s="131" t="str">
        <f t="shared" si="1"/>
        <v>https://utrucking.myshopify.com/admin/orders?query=14036</v>
      </c>
    </row>
    <row r="188">
      <c r="A188" s="93" t="str">
        <f t="shared" si="2"/>
        <v>#14037</v>
      </c>
      <c r="B188" s="93" t="str">
        <f>IF(AND(COUNTIF(MAIN!B:B, A188)=0, IFERROR(SEARCH("return", C188)&gt;0, FALSE)), "Rental Return", IF(COUNTIF(MAIN!B:B, A188)=0, "Missing", ""))</f>
        <v>Missing</v>
      </c>
      <c r="C188" s="133" t="s">
        <v>15246</v>
      </c>
      <c r="E188" s="131" t="str">
        <f t="shared" si="1"/>
        <v>https://utrucking.myshopify.com/admin/orders?query=14037</v>
      </c>
    </row>
    <row r="189">
      <c r="A189" s="93" t="str">
        <f t="shared" si="2"/>
        <v>#14038</v>
      </c>
      <c r="B189" s="93" t="str">
        <f>IF(AND(COUNTIF(MAIN!B:B, A189)=0, IFERROR(SEARCH("return", C189)&gt;0, FALSE)), "Rental Return", IF(COUNTIF(MAIN!B:B, A189)=0, "Missing", ""))</f>
        <v>Missing</v>
      </c>
      <c r="C189" s="133" t="s">
        <v>15246</v>
      </c>
      <c r="E189" s="131" t="str">
        <f t="shared" si="1"/>
        <v>https://utrucking.myshopify.com/admin/orders?query=14038</v>
      </c>
    </row>
    <row r="190">
      <c r="A190" s="93" t="str">
        <f t="shared" si="2"/>
        <v>#14039</v>
      </c>
      <c r="B190" s="93" t="str">
        <f>IF(AND(COUNTIF(MAIN!B:B, A190)=0, IFERROR(SEARCH("return", C190)&gt;0, FALSE)), "Rental Return", IF(COUNTIF(MAIN!B:B, A190)=0, "Missing", ""))</f>
        <v>Missing</v>
      </c>
      <c r="C190" s="133" t="s">
        <v>15246</v>
      </c>
      <c r="E190" s="131" t="str">
        <f t="shared" si="1"/>
        <v>https://utrucking.myshopify.com/admin/orders?query=14039</v>
      </c>
    </row>
    <row r="191">
      <c r="A191" s="93" t="str">
        <f t="shared" si="2"/>
        <v>#14040</v>
      </c>
      <c r="B191" s="93" t="str">
        <f>IF(AND(COUNTIF(MAIN!B:B, A191)=0, IFERROR(SEARCH("return", C191)&gt;0, FALSE)), "Rental Return", IF(COUNTIF(MAIN!B:B, A191)=0, "Missing", ""))</f>
        <v>Missing</v>
      </c>
      <c r="C191" s="133" t="s">
        <v>15246</v>
      </c>
      <c r="E191" s="131" t="str">
        <f t="shared" si="1"/>
        <v>https://utrucking.myshopify.com/admin/orders?query=14040</v>
      </c>
    </row>
    <row r="192">
      <c r="A192" s="93" t="str">
        <f t="shared" si="2"/>
        <v>#14041</v>
      </c>
      <c r="B192" s="93" t="str">
        <f>IF(AND(COUNTIF(MAIN!B:B, A192)=0, IFERROR(SEARCH("return", C192)&gt;0, FALSE)), "Rental Return", IF(COUNTIF(MAIN!B:B, A192)=0, "Missing", ""))</f>
        <v>Missing</v>
      </c>
      <c r="C192" s="133" t="s">
        <v>15251</v>
      </c>
      <c r="E192" s="131" t="str">
        <f t="shared" si="1"/>
        <v>https://utrucking.myshopify.com/admin/orders?query=14041</v>
      </c>
    </row>
    <row r="193">
      <c r="A193" s="93" t="str">
        <f t="shared" si="2"/>
        <v>#14042</v>
      </c>
      <c r="B193" s="93" t="str">
        <f>IF(AND(COUNTIF(MAIN!B:B, A193)=0, IFERROR(SEARCH("return", C193)&gt;0, FALSE)), "Rental Return", IF(COUNTIF(MAIN!B:B, A193)=0, "Missing", ""))</f>
        <v>Missing</v>
      </c>
      <c r="C193" s="133" t="s">
        <v>15246</v>
      </c>
      <c r="E193" s="131" t="str">
        <f t="shared" si="1"/>
        <v>https://utrucking.myshopify.com/admin/orders?query=14042</v>
      </c>
    </row>
    <row r="194">
      <c r="A194" s="93" t="str">
        <f t="shared" si="2"/>
        <v>#14043</v>
      </c>
      <c r="B194" s="93" t="str">
        <f>IF(AND(COUNTIF(MAIN!B:B, A194)=0, IFERROR(SEARCH("return", C194)&gt;0, FALSE)), "Rental Return", IF(COUNTIF(MAIN!B:B, A194)=0, "Missing", ""))</f>
        <v>Missing</v>
      </c>
      <c r="C194" s="133" t="s">
        <v>15246</v>
      </c>
      <c r="E194" s="131" t="str">
        <f t="shared" si="1"/>
        <v>https://utrucking.myshopify.com/admin/orders?query=14043</v>
      </c>
    </row>
    <row r="195">
      <c r="A195" s="93" t="str">
        <f t="shared" si="2"/>
        <v>#14044</v>
      </c>
      <c r="B195" s="93" t="str">
        <f>IF(AND(COUNTIF(MAIN!B:B, A195)=0, IFERROR(SEARCH("return", C195)&gt;0, FALSE)), "Rental Return", IF(COUNTIF(MAIN!B:B, A195)=0, "Missing", ""))</f>
        <v>Missing</v>
      </c>
      <c r="C195" s="133" t="s">
        <v>15251</v>
      </c>
      <c r="E195" s="131" t="str">
        <f t="shared" si="1"/>
        <v>https://utrucking.myshopify.com/admin/orders?query=14044</v>
      </c>
    </row>
    <row r="196">
      <c r="A196" s="93" t="str">
        <f t="shared" si="2"/>
        <v>#14045</v>
      </c>
      <c r="B196" s="93" t="str">
        <f>IF(AND(COUNTIF(MAIN!B:B, A196)=0, IFERROR(SEARCH("return", C196)&gt;0, FALSE)), "Rental Return", IF(COUNTIF(MAIN!B:B, A196)=0, "Missing", ""))</f>
        <v/>
      </c>
      <c r="C196" s="128"/>
      <c r="E196" s="128" t="str">
        <f t="shared" si="1"/>
        <v/>
      </c>
    </row>
    <row r="197">
      <c r="A197" s="93" t="str">
        <f t="shared" si="2"/>
        <v>#14046</v>
      </c>
      <c r="B197" s="93" t="str">
        <f>IF(AND(COUNTIF(MAIN!B:B, A197)=0, IFERROR(SEARCH("return", C197)&gt;0, FALSE)), "Rental Return", IF(COUNTIF(MAIN!B:B, A197)=0, "Missing", ""))</f>
        <v>Missing</v>
      </c>
      <c r="C197" s="133" t="s">
        <v>15246</v>
      </c>
      <c r="E197" s="131" t="str">
        <f t="shared" si="1"/>
        <v>https://utrucking.myshopify.com/admin/orders?query=14046</v>
      </c>
    </row>
    <row r="198">
      <c r="A198" s="93" t="str">
        <f t="shared" si="2"/>
        <v>#14047</v>
      </c>
      <c r="B198" s="93" t="str">
        <f>IF(AND(COUNTIF(MAIN!B:B, A198)=0, IFERROR(SEARCH("return", C198)&gt;0, FALSE)), "Rental Return", IF(COUNTIF(MAIN!B:B, A198)=0, "Missing", ""))</f>
        <v>Missing</v>
      </c>
      <c r="C198" s="133" t="s">
        <v>15246</v>
      </c>
      <c r="E198" s="131" t="str">
        <f t="shared" si="1"/>
        <v>https://utrucking.myshopify.com/admin/orders?query=14047</v>
      </c>
    </row>
    <row r="199">
      <c r="A199" s="93" t="str">
        <f t="shared" si="2"/>
        <v>#14048</v>
      </c>
      <c r="B199" s="93" t="str">
        <f>IF(AND(COUNTIF(MAIN!B:B, A199)=0, IFERROR(SEARCH("return", C199)&gt;0, FALSE)), "Rental Return", IF(COUNTIF(MAIN!B:B, A199)=0, "Missing", ""))</f>
        <v>Missing</v>
      </c>
      <c r="C199" s="133" t="s">
        <v>15249</v>
      </c>
      <c r="E199" s="131" t="str">
        <f t="shared" si="1"/>
        <v>https://utrucking.myshopify.com/admin/orders?query=14048</v>
      </c>
    </row>
    <row r="200">
      <c r="A200" s="93" t="str">
        <f t="shared" si="2"/>
        <v>#14049</v>
      </c>
      <c r="B200" s="93" t="str">
        <f>IF(AND(COUNTIF(MAIN!B:B, A200)=0, IFERROR(SEARCH("return", C200)&gt;0, FALSE)), "Rental Return", IF(COUNTIF(MAIN!B:B, A200)=0, "Missing", ""))</f>
        <v>Missing</v>
      </c>
      <c r="C200" s="133" t="s">
        <v>15262</v>
      </c>
      <c r="E200" s="131" t="str">
        <f t="shared" si="1"/>
        <v>https://utrucking.myshopify.com/admin/orders?query=14049</v>
      </c>
    </row>
    <row r="201">
      <c r="A201" s="93" t="str">
        <f t="shared" si="2"/>
        <v>#14050</v>
      </c>
      <c r="B201" s="93" t="str">
        <f>IF(AND(COUNTIF(MAIN!B:B, A201)=0, IFERROR(SEARCH("return", C201)&gt;0, FALSE)), "Rental Return", IF(COUNTIF(MAIN!B:B, A201)=0, "Missing", ""))</f>
        <v>Missing</v>
      </c>
      <c r="C201" s="133" t="s">
        <v>15251</v>
      </c>
      <c r="E201" s="131" t="str">
        <f t="shared" si="1"/>
        <v>https://utrucking.myshopify.com/admin/orders?query=14050</v>
      </c>
    </row>
    <row r="202">
      <c r="A202" s="93" t="str">
        <f t="shared" si="2"/>
        <v>#14051</v>
      </c>
      <c r="B202" s="93" t="str">
        <f>IF(AND(COUNTIF(MAIN!B:B, A202)=0, IFERROR(SEARCH("return", C202)&gt;0, FALSE)), "Rental Return", IF(COUNTIF(MAIN!B:B, A202)=0, "Missing", ""))</f>
        <v>Missing</v>
      </c>
      <c r="C202" s="133" t="s">
        <v>15246</v>
      </c>
      <c r="E202" s="131" t="str">
        <f t="shared" si="1"/>
        <v>https://utrucking.myshopify.com/admin/orders?query=14051</v>
      </c>
    </row>
    <row r="203">
      <c r="A203" s="93" t="str">
        <f t="shared" si="2"/>
        <v>#14052</v>
      </c>
      <c r="B203" s="93" t="str">
        <f>IF(AND(COUNTIF(MAIN!B:B, A203)=0, IFERROR(SEARCH("return", C203)&gt;0, FALSE)), "Rental Return", IF(COUNTIF(MAIN!B:B, A203)=0, "Missing", ""))</f>
        <v>Rental Return</v>
      </c>
      <c r="C203" s="133" t="s">
        <v>15257</v>
      </c>
      <c r="E203" s="128" t="str">
        <f t="shared" si="1"/>
        <v/>
      </c>
    </row>
    <row r="204">
      <c r="A204" s="93" t="str">
        <f t="shared" si="2"/>
        <v>#14053</v>
      </c>
      <c r="B204" s="93" t="str">
        <f>IF(AND(COUNTIF(MAIN!B:B, A204)=0, IFERROR(SEARCH("return", C204)&gt;0, FALSE)), "Rental Return", IF(COUNTIF(MAIN!B:B, A204)=0, "Missing", ""))</f>
        <v>Missing</v>
      </c>
      <c r="C204" s="133" t="s">
        <v>15249</v>
      </c>
      <c r="E204" s="131" t="str">
        <f t="shared" si="1"/>
        <v>https://utrucking.myshopify.com/admin/orders?query=14053</v>
      </c>
    </row>
    <row r="205">
      <c r="A205" s="93" t="str">
        <f t="shared" si="2"/>
        <v>#14054</v>
      </c>
      <c r="B205" s="93" t="str">
        <f>IF(AND(COUNTIF(MAIN!B:B, A205)=0, IFERROR(SEARCH("return", C205)&gt;0, FALSE)), "Rental Return", IF(COUNTIF(MAIN!B:B, A205)=0, "Missing", ""))</f>
        <v>Missing</v>
      </c>
      <c r="C205" s="133" t="s">
        <v>15246</v>
      </c>
      <c r="E205" s="131" t="str">
        <f t="shared" si="1"/>
        <v>https://utrucking.myshopify.com/admin/orders?query=14054</v>
      </c>
    </row>
    <row r="206">
      <c r="A206" s="93" t="str">
        <f t="shared" si="2"/>
        <v>#14055</v>
      </c>
      <c r="B206" s="93" t="str">
        <f>IF(AND(COUNTIF(MAIN!B:B, A206)=0, IFERROR(SEARCH("return", C206)&gt;0, FALSE)), "Rental Return", IF(COUNTIF(MAIN!B:B, A206)=0, "Missing", ""))</f>
        <v>Missing</v>
      </c>
      <c r="C206" s="133" t="s">
        <v>15252</v>
      </c>
      <c r="E206" s="131" t="str">
        <f t="shared" si="1"/>
        <v>https://utrucking.myshopify.com/admin/orders?query=14055</v>
      </c>
    </row>
    <row r="207">
      <c r="A207" s="93" t="str">
        <f t="shared" si="2"/>
        <v>#14056</v>
      </c>
      <c r="B207" s="93" t="str">
        <f>IF(AND(COUNTIF(MAIN!B:B, A207)=0, IFERROR(SEARCH("return", C207)&gt;0, FALSE)), "Rental Return", IF(COUNTIF(MAIN!B:B, A207)=0, "Missing", ""))</f>
        <v>Missing</v>
      </c>
      <c r="C207" s="133" t="s">
        <v>15249</v>
      </c>
      <c r="E207" s="131" t="str">
        <f t="shared" si="1"/>
        <v>https://utrucking.myshopify.com/admin/orders?query=14056</v>
      </c>
    </row>
    <row r="208">
      <c r="A208" s="93" t="str">
        <f t="shared" si="2"/>
        <v>#14057</v>
      </c>
      <c r="B208" s="93" t="str">
        <f>IF(AND(COUNTIF(MAIN!B:B, A208)=0, IFERROR(SEARCH("return", C208)&gt;0, FALSE)), "Rental Return", IF(COUNTIF(MAIN!B:B, A208)=0, "Missing", ""))</f>
        <v>Missing</v>
      </c>
      <c r="C208" s="133" t="s">
        <v>15246</v>
      </c>
      <c r="E208" s="131" t="str">
        <f t="shared" si="1"/>
        <v>https://utrucking.myshopify.com/admin/orders?query=14057</v>
      </c>
    </row>
    <row r="209">
      <c r="A209" s="93" t="str">
        <f t="shared" si="2"/>
        <v>#14058</v>
      </c>
      <c r="B209" s="93" t="str">
        <f>IF(AND(COUNTIF(MAIN!B:B, A209)=0, IFERROR(SEARCH("return", C209)&gt;0, FALSE)), "Rental Return", IF(COUNTIF(MAIN!B:B, A209)=0, "Missing", ""))</f>
        <v>Missing</v>
      </c>
      <c r="C209" s="133" t="s">
        <v>15246</v>
      </c>
      <c r="E209" s="131" t="str">
        <f t="shared" si="1"/>
        <v>https://utrucking.myshopify.com/admin/orders?query=14058</v>
      </c>
    </row>
    <row r="210">
      <c r="A210" s="93" t="str">
        <f t="shared" si="2"/>
        <v>#14059</v>
      </c>
      <c r="B210" s="93" t="str">
        <f>IF(AND(COUNTIF(MAIN!B:B, A210)=0, IFERROR(SEARCH("return", C210)&gt;0, FALSE)), "Rental Return", IF(COUNTIF(MAIN!B:B, A210)=0, "Missing", ""))</f>
        <v>Missing</v>
      </c>
      <c r="C210" s="133" t="s">
        <v>15246</v>
      </c>
      <c r="E210" s="131" t="str">
        <f t="shared" si="1"/>
        <v>https://utrucking.myshopify.com/admin/orders?query=14059</v>
      </c>
    </row>
    <row r="211">
      <c r="A211" s="93" t="str">
        <f t="shared" si="2"/>
        <v>#14060</v>
      </c>
      <c r="B211" s="93" t="str">
        <f>IF(AND(COUNTIF(MAIN!B:B, A211)=0, IFERROR(SEARCH("return", C211)&gt;0, FALSE)), "Rental Return", IF(COUNTIF(MAIN!B:B, A211)=0, "Missing", ""))</f>
        <v>Missing</v>
      </c>
      <c r="C211" s="133" t="s">
        <v>15252</v>
      </c>
      <c r="E211" s="131" t="str">
        <f t="shared" si="1"/>
        <v>https://utrucking.myshopify.com/admin/orders?query=14060</v>
      </c>
    </row>
    <row r="212">
      <c r="A212" s="93" t="str">
        <f t="shared" si="2"/>
        <v>#14061</v>
      </c>
      <c r="B212" s="93" t="str">
        <f>IF(AND(COUNTIF(MAIN!B:B, A212)=0, IFERROR(SEARCH("return", C212)&gt;0, FALSE)), "Rental Return", IF(COUNTIF(MAIN!B:B, A212)=0, "Missing", ""))</f>
        <v>Missing</v>
      </c>
      <c r="C212" s="133" t="s">
        <v>15246</v>
      </c>
      <c r="E212" s="131" t="str">
        <f t="shared" si="1"/>
        <v>https://utrucking.myshopify.com/admin/orders?query=14061</v>
      </c>
    </row>
    <row r="213">
      <c r="A213" s="93" t="str">
        <f t="shared" si="2"/>
        <v>#14062</v>
      </c>
      <c r="B213" s="93" t="str">
        <f>IF(AND(COUNTIF(MAIN!B:B, A213)=0, IFERROR(SEARCH("return", C213)&gt;0, FALSE)), "Rental Return", IF(COUNTIF(MAIN!B:B, A213)=0, "Missing", ""))</f>
        <v>Missing</v>
      </c>
      <c r="C213" s="133" t="s">
        <v>15251</v>
      </c>
      <c r="E213" s="131" t="str">
        <f t="shared" si="1"/>
        <v>https://utrucking.myshopify.com/admin/orders?query=14062</v>
      </c>
    </row>
    <row r="214">
      <c r="A214" s="93" t="str">
        <f t="shared" si="2"/>
        <v>#14063</v>
      </c>
      <c r="B214" s="93" t="str">
        <f>IF(AND(COUNTIF(MAIN!B:B, A214)=0, IFERROR(SEARCH("return", C214)&gt;0, FALSE)), "Rental Return", IF(COUNTIF(MAIN!B:B, A214)=0, "Missing", ""))</f>
        <v>Missing</v>
      </c>
      <c r="C214" s="133" t="s">
        <v>15246</v>
      </c>
      <c r="E214" s="131" t="str">
        <f t="shared" si="1"/>
        <v>https://utrucking.myshopify.com/admin/orders?query=14063</v>
      </c>
    </row>
    <row r="215">
      <c r="A215" s="93" t="str">
        <f t="shared" si="2"/>
        <v>#14064</v>
      </c>
      <c r="B215" s="93" t="str">
        <f>IF(AND(COUNTIF(MAIN!B:B, A215)=0, IFERROR(SEARCH("return", C215)&gt;0, FALSE)), "Rental Return", IF(COUNTIF(MAIN!B:B, A215)=0, "Missing", ""))</f>
        <v>Missing</v>
      </c>
      <c r="C215" s="133" t="s">
        <v>15246</v>
      </c>
      <c r="E215" s="131" t="str">
        <f t="shared" si="1"/>
        <v>https://utrucking.myshopify.com/admin/orders?query=14064</v>
      </c>
    </row>
    <row r="216">
      <c r="A216" s="93" t="str">
        <f t="shared" si="2"/>
        <v>#14065</v>
      </c>
      <c r="B216" s="93" t="str">
        <f>IF(AND(COUNTIF(MAIN!B:B, A216)=0, IFERROR(SEARCH("return", C216)&gt;0, FALSE)), "Rental Return", IF(COUNTIF(MAIN!B:B, A216)=0, "Missing", ""))</f>
        <v>Missing</v>
      </c>
      <c r="C216" s="133" t="s">
        <v>15246</v>
      </c>
      <c r="E216" s="131" t="str">
        <f t="shared" si="1"/>
        <v>https://utrucking.myshopify.com/admin/orders?query=14065</v>
      </c>
    </row>
    <row r="217">
      <c r="A217" s="93" t="str">
        <f t="shared" si="2"/>
        <v>#14066</v>
      </c>
      <c r="B217" s="93" t="str">
        <f>IF(AND(COUNTIF(MAIN!B:B, A217)=0, IFERROR(SEARCH("return", C217)&gt;0, FALSE)), "Rental Return", IF(COUNTIF(MAIN!B:B, A217)=0, "Missing", ""))</f>
        <v>Rental Return</v>
      </c>
      <c r="C217" s="133" t="s">
        <v>1111</v>
      </c>
      <c r="E217" s="128" t="str">
        <f t="shared" si="1"/>
        <v/>
      </c>
    </row>
    <row r="218">
      <c r="A218" s="93" t="str">
        <f t="shared" si="2"/>
        <v>#14067</v>
      </c>
      <c r="B218" s="93" t="str">
        <f>IF(AND(COUNTIF(MAIN!B:B, A218)=0, IFERROR(SEARCH("return", C218)&gt;0, FALSE)), "Rental Return", IF(COUNTIF(MAIN!B:B, A218)=0, "Missing", ""))</f>
        <v>Missing</v>
      </c>
      <c r="C218" s="133" t="s">
        <v>15246</v>
      </c>
      <c r="E218" s="131" t="str">
        <f t="shared" si="1"/>
        <v>https://utrucking.myshopify.com/admin/orders?query=14067</v>
      </c>
    </row>
    <row r="219">
      <c r="A219" s="93" t="str">
        <f t="shared" si="2"/>
        <v>#14068</v>
      </c>
      <c r="B219" s="93" t="str">
        <f>IF(AND(COUNTIF(MAIN!B:B, A219)=0, IFERROR(SEARCH("return", C219)&gt;0, FALSE)), "Rental Return", IF(COUNTIF(MAIN!B:B, A219)=0, "Missing", ""))</f>
        <v>Missing</v>
      </c>
      <c r="C219" s="133" t="s">
        <v>15246</v>
      </c>
      <c r="E219" s="131" t="str">
        <f t="shared" si="1"/>
        <v>https://utrucking.myshopify.com/admin/orders?query=14068</v>
      </c>
    </row>
    <row r="220">
      <c r="A220" s="93" t="str">
        <f t="shared" si="2"/>
        <v>#14069</v>
      </c>
      <c r="B220" s="93" t="str">
        <f>IF(AND(COUNTIF(MAIN!B:B, A220)=0, IFERROR(SEARCH("return", C220)&gt;0, FALSE)), "Rental Return", IF(COUNTIF(MAIN!B:B, A220)=0, "Missing", ""))</f>
        <v>Rental Return</v>
      </c>
      <c r="C220" s="133" t="s">
        <v>15257</v>
      </c>
      <c r="E220" s="128" t="str">
        <f t="shared" si="1"/>
        <v/>
      </c>
    </row>
    <row r="221">
      <c r="A221" s="93" t="str">
        <f t="shared" si="2"/>
        <v>#14070</v>
      </c>
      <c r="B221" s="93" t="str">
        <f>IF(AND(COUNTIF(MAIN!B:B, A221)=0, IFERROR(SEARCH("return", C221)&gt;0, FALSE)), "Rental Return", IF(COUNTIF(MAIN!B:B, A221)=0, "Missing", ""))</f>
        <v>Missing</v>
      </c>
      <c r="C221" s="133" t="s">
        <v>15246</v>
      </c>
      <c r="E221" s="131" t="str">
        <f t="shared" si="1"/>
        <v>https://utrucking.myshopify.com/admin/orders?query=14070</v>
      </c>
    </row>
    <row r="222">
      <c r="A222" s="93" t="str">
        <f t="shared" si="2"/>
        <v>#14071</v>
      </c>
      <c r="B222" s="93" t="str">
        <f>IF(AND(COUNTIF(MAIN!B:B, A222)=0, IFERROR(SEARCH("return", C222)&gt;0, FALSE)), "Rental Return", IF(COUNTIF(MAIN!B:B, A222)=0, "Missing", ""))</f>
        <v>Missing</v>
      </c>
      <c r="C222" s="133" t="s">
        <v>15246</v>
      </c>
      <c r="E222" s="131" t="str">
        <f t="shared" si="1"/>
        <v>https://utrucking.myshopify.com/admin/orders?query=14071</v>
      </c>
    </row>
    <row r="223">
      <c r="A223" s="93" t="str">
        <f t="shared" si="2"/>
        <v>#14072</v>
      </c>
      <c r="B223" s="93" t="str">
        <f>IF(AND(COUNTIF(MAIN!B:B, A223)=0, IFERROR(SEARCH("return", C223)&gt;0, FALSE)), "Rental Return", IF(COUNTIF(MAIN!B:B, A223)=0, "Missing", ""))</f>
        <v>Missing</v>
      </c>
      <c r="C223" s="133" t="s">
        <v>15246</v>
      </c>
      <c r="E223" s="131" t="str">
        <f t="shared" si="1"/>
        <v>https://utrucking.myshopify.com/admin/orders?query=14072</v>
      </c>
    </row>
    <row r="224">
      <c r="A224" s="93" t="str">
        <f t="shared" si="2"/>
        <v>#14073</v>
      </c>
      <c r="B224" s="93" t="str">
        <f>IF(AND(COUNTIF(MAIN!B:B, A224)=0, IFERROR(SEARCH("return", C224)&gt;0, FALSE)), "Rental Return", IF(COUNTIF(MAIN!B:B, A224)=0, "Missing", ""))</f>
        <v>Missing</v>
      </c>
      <c r="C224" s="133" t="s">
        <v>15246</v>
      </c>
      <c r="E224" s="131" t="str">
        <f t="shared" si="1"/>
        <v>https://utrucking.myshopify.com/admin/orders?query=14073</v>
      </c>
    </row>
    <row r="225">
      <c r="A225" s="93" t="str">
        <f t="shared" si="2"/>
        <v>#14074</v>
      </c>
      <c r="B225" s="93" t="str">
        <f>IF(AND(COUNTIF(MAIN!B:B, A225)=0, IFERROR(SEARCH("return", C225)&gt;0, FALSE)), "Rental Return", IF(COUNTIF(MAIN!B:B, A225)=0, "Missing", ""))</f>
        <v>Missing</v>
      </c>
      <c r="C225" s="133" t="s">
        <v>15251</v>
      </c>
      <c r="E225" s="131" t="str">
        <f t="shared" si="1"/>
        <v>https://utrucking.myshopify.com/admin/orders?query=14074</v>
      </c>
    </row>
    <row r="226">
      <c r="A226" s="93" t="str">
        <f t="shared" si="2"/>
        <v>#14075</v>
      </c>
      <c r="B226" s="93" t="str">
        <f>IF(AND(COUNTIF(MAIN!B:B, A226)=0, IFERROR(SEARCH("return", C226)&gt;0, FALSE)), "Rental Return", IF(COUNTIF(MAIN!B:B, A226)=0, "Missing", ""))</f>
        <v/>
      </c>
      <c r="C226" s="128"/>
      <c r="E226" s="128" t="str">
        <f t="shared" si="1"/>
        <v/>
      </c>
    </row>
    <row r="227">
      <c r="A227" s="93" t="str">
        <f t="shared" si="2"/>
        <v>#14076</v>
      </c>
      <c r="B227" s="93" t="str">
        <f>IF(AND(COUNTIF(MAIN!B:B, A227)=0, IFERROR(SEARCH("return", C227)&gt;0, FALSE)), "Rental Return", IF(COUNTIF(MAIN!B:B, A227)=0, "Missing", ""))</f>
        <v>Missing</v>
      </c>
      <c r="C227" s="133" t="s">
        <v>15252</v>
      </c>
      <c r="E227" s="131" t="str">
        <f t="shared" si="1"/>
        <v>https://utrucking.myshopify.com/admin/orders?query=14076</v>
      </c>
    </row>
    <row r="228">
      <c r="A228" s="93" t="str">
        <f t="shared" si="2"/>
        <v>#14077</v>
      </c>
      <c r="B228" s="93" t="str">
        <f>IF(AND(COUNTIF(MAIN!B:B, A228)=0, IFERROR(SEARCH("return", C228)&gt;0, FALSE)), "Rental Return", IF(COUNTIF(MAIN!B:B, A228)=0, "Missing", ""))</f>
        <v>Missing</v>
      </c>
      <c r="C228" s="133" t="s">
        <v>15249</v>
      </c>
      <c r="E228" s="131" t="str">
        <f t="shared" si="1"/>
        <v>https://utrucking.myshopify.com/admin/orders?query=14077</v>
      </c>
    </row>
    <row r="229">
      <c r="A229" s="93" t="str">
        <f t="shared" si="2"/>
        <v>#14078</v>
      </c>
      <c r="B229" s="93" t="str">
        <f>IF(AND(COUNTIF(MAIN!B:B, A229)=0, IFERROR(SEARCH("return", C229)&gt;0, FALSE)), "Rental Return", IF(COUNTIF(MAIN!B:B, A229)=0, "Missing", ""))</f>
        <v>Missing</v>
      </c>
      <c r="C229" s="133" t="s">
        <v>15252</v>
      </c>
      <c r="E229" s="131" t="str">
        <f t="shared" si="1"/>
        <v>https://utrucking.myshopify.com/admin/orders?query=14078</v>
      </c>
    </row>
    <row r="230">
      <c r="A230" s="93" t="str">
        <f t="shared" si="2"/>
        <v>#14079</v>
      </c>
      <c r="B230" s="93" t="str">
        <f>IF(AND(COUNTIF(MAIN!B:B, A230)=0, IFERROR(SEARCH("return", C230)&gt;0, FALSE)), "Rental Return", IF(COUNTIF(MAIN!B:B, A230)=0, "Missing", ""))</f>
        <v>Missing</v>
      </c>
      <c r="C230" s="133" t="s">
        <v>15246</v>
      </c>
      <c r="E230" s="131" t="str">
        <f t="shared" si="1"/>
        <v>https://utrucking.myshopify.com/admin/orders?query=14079</v>
      </c>
    </row>
    <row r="231">
      <c r="A231" s="93" t="str">
        <f t="shared" si="2"/>
        <v>#14080</v>
      </c>
      <c r="B231" s="93" t="str">
        <f>IF(AND(COUNTIF(MAIN!B:B, A231)=0, IFERROR(SEARCH("return", C231)&gt;0, FALSE)), "Rental Return", IF(COUNTIF(MAIN!B:B, A231)=0, "Missing", ""))</f>
        <v>Missing</v>
      </c>
      <c r="C231" s="133" t="s">
        <v>15251</v>
      </c>
      <c r="E231" s="131" t="str">
        <f t="shared" si="1"/>
        <v>https://utrucking.myshopify.com/admin/orders?query=14080</v>
      </c>
    </row>
    <row r="232">
      <c r="A232" s="93" t="str">
        <f t="shared" si="2"/>
        <v>#14081</v>
      </c>
      <c r="B232" s="93" t="str">
        <f>IF(AND(COUNTIF(MAIN!B:B, A232)=0, IFERROR(SEARCH("return", C232)&gt;0, FALSE)), "Rental Return", IF(COUNTIF(MAIN!B:B, A232)=0, "Missing", ""))</f>
        <v>Missing</v>
      </c>
      <c r="C232" s="133" t="s">
        <v>15249</v>
      </c>
      <c r="E232" s="131" t="str">
        <f t="shared" si="1"/>
        <v>https://utrucking.myshopify.com/admin/orders?query=14081</v>
      </c>
    </row>
    <row r="233">
      <c r="A233" s="93" t="str">
        <f t="shared" si="2"/>
        <v>#14082</v>
      </c>
      <c r="B233" s="93" t="str">
        <f>IF(AND(COUNTIF(MAIN!B:B, A233)=0, IFERROR(SEARCH("return", C233)&gt;0, FALSE)), "Rental Return", IF(COUNTIF(MAIN!B:B, A233)=0, "Missing", ""))</f>
        <v>Missing</v>
      </c>
      <c r="C233" s="133" t="s">
        <v>15246</v>
      </c>
      <c r="E233" s="131" t="str">
        <f t="shared" si="1"/>
        <v>https://utrucking.myshopify.com/admin/orders?query=14082</v>
      </c>
    </row>
    <row r="234">
      <c r="A234" s="93" t="str">
        <f t="shared" si="2"/>
        <v>#14083</v>
      </c>
      <c r="B234" s="93" t="str">
        <f>IF(AND(COUNTIF(MAIN!B:B, A234)=0, IFERROR(SEARCH("return", C234)&gt;0, FALSE)), "Rental Return", IF(COUNTIF(MAIN!B:B, A234)=0, "Missing", ""))</f>
        <v>Missing</v>
      </c>
      <c r="C234" s="133" t="s">
        <v>15249</v>
      </c>
      <c r="E234" s="131" t="str">
        <f t="shared" si="1"/>
        <v>https://utrucking.myshopify.com/admin/orders?query=14083</v>
      </c>
    </row>
    <row r="235">
      <c r="A235" s="93" t="str">
        <f t="shared" si="2"/>
        <v>#14084</v>
      </c>
      <c r="B235" s="93" t="str">
        <f>IF(AND(COUNTIF(MAIN!B:B, A235)=0, IFERROR(SEARCH("return", C235)&gt;0, FALSE)), "Rental Return", IF(COUNTIF(MAIN!B:B, A235)=0, "Missing", ""))</f>
        <v>Missing</v>
      </c>
      <c r="C235" s="133" t="s">
        <v>15249</v>
      </c>
      <c r="E235" s="131" t="str">
        <f t="shared" si="1"/>
        <v>https://utrucking.myshopify.com/admin/orders?query=14084</v>
      </c>
    </row>
    <row r="236">
      <c r="A236" s="93" t="str">
        <f t="shared" si="2"/>
        <v>#14085</v>
      </c>
      <c r="B236" s="93" t="str">
        <f>IF(AND(COUNTIF(MAIN!B:B, A236)=0, IFERROR(SEARCH("return", C236)&gt;0, FALSE)), "Rental Return", IF(COUNTIF(MAIN!B:B, A236)=0, "Missing", ""))</f>
        <v>Missing</v>
      </c>
      <c r="C236" s="133" t="s">
        <v>15246</v>
      </c>
      <c r="E236" s="131" t="str">
        <f t="shared" si="1"/>
        <v>https://utrucking.myshopify.com/admin/orders?query=14085</v>
      </c>
    </row>
    <row r="237">
      <c r="A237" s="93" t="str">
        <f t="shared" si="2"/>
        <v>#14086</v>
      </c>
      <c r="B237" s="93" t="str">
        <f>IF(AND(COUNTIF(MAIN!B:B, A237)=0, IFERROR(SEARCH("return", C237)&gt;0, FALSE)), "Rental Return", IF(COUNTIF(MAIN!B:B, A237)=0, "Missing", ""))</f>
        <v>Missing</v>
      </c>
      <c r="C237" s="133" t="s">
        <v>15246</v>
      </c>
      <c r="E237" s="131" t="str">
        <f t="shared" si="1"/>
        <v>https://utrucking.myshopify.com/admin/orders?query=14086</v>
      </c>
    </row>
    <row r="238">
      <c r="A238" s="93" t="str">
        <f t="shared" si="2"/>
        <v>#14087</v>
      </c>
      <c r="B238" s="93" t="str">
        <f>IF(AND(COUNTIF(MAIN!B:B, A238)=0, IFERROR(SEARCH("return", C238)&gt;0, FALSE)), "Rental Return", IF(COUNTIF(MAIN!B:B, A238)=0, "Missing", ""))</f>
        <v>Missing</v>
      </c>
      <c r="C238" s="133" t="s">
        <v>15251</v>
      </c>
      <c r="E238" s="131" t="str">
        <f t="shared" si="1"/>
        <v>https://utrucking.myshopify.com/admin/orders?query=14087</v>
      </c>
    </row>
    <row r="239">
      <c r="A239" s="93" t="str">
        <f t="shared" si="2"/>
        <v>#14088</v>
      </c>
      <c r="B239" s="93" t="str">
        <f>IF(AND(COUNTIF(MAIN!B:B, A239)=0, IFERROR(SEARCH("return", C239)&gt;0, FALSE)), "Rental Return", IF(COUNTIF(MAIN!B:B, A239)=0, "Missing", ""))</f>
        <v>Missing</v>
      </c>
      <c r="C239" s="133" t="s">
        <v>15246</v>
      </c>
      <c r="E239" s="131" t="str">
        <f t="shared" si="1"/>
        <v>https://utrucking.myshopify.com/admin/orders?query=14088</v>
      </c>
    </row>
    <row r="240">
      <c r="A240" s="93" t="str">
        <f t="shared" si="2"/>
        <v>#14089</v>
      </c>
      <c r="B240" s="93" t="str">
        <f>IF(AND(COUNTIF(MAIN!B:B, A240)=0, IFERROR(SEARCH("return", C240)&gt;0, FALSE)), "Rental Return", IF(COUNTIF(MAIN!B:B, A240)=0, "Missing", ""))</f>
        <v>Missing</v>
      </c>
      <c r="C240" s="133" t="s">
        <v>15246</v>
      </c>
      <c r="E240" s="131" t="str">
        <f t="shared" si="1"/>
        <v>https://utrucking.myshopify.com/admin/orders?query=14089</v>
      </c>
    </row>
    <row r="241">
      <c r="A241" s="93" t="str">
        <f t="shared" si="2"/>
        <v>#14090</v>
      </c>
      <c r="B241" s="93" t="str">
        <f>IF(AND(COUNTIF(MAIN!B:B, A241)=0, IFERROR(SEARCH("return", C241)&gt;0, FALSE)), "Rental Return", IF(COUNTIF(MAIN!B:B, A241)=0, "Missing", ""))</f>
        <v>Missing</v>
      </c>
      <c r="C241" s="133" t="s">
        <v>15246</v>
      </c>
      <c r="E241" s="131" t="str">
        <f t="shared" si="1"/>
        <v>https://utrucking.myshopify.com/admin/orders?query=14090</v>
      </c>
    </row>
    <row r="242">
      <c r="A242" s="93" t="str">
        <f t="shared" si="2"/>
        <v>#14091</v>
      </c>
      <c r="B242" s="93" t="str">
        <f>IF(AND(COUNTIF(MAIN!B:B, A242)=0, IFERROR(SEARCH("return", C242)&gt;0, FALSE)), "Rental Return", IF(COUNTIF(MAIN!B:B, A242)=0, "Missing", ""))</f>
        <v>Missing</v>
      </c>
      <c r="C242" s="133" t="s">
        <v>15246</v>
      </c>
      <c r="E242" s="131" t="str">
        <f t="shared" si="1"/>
        <v>https://utrucking.myshopify.com/admin/orders?query=14091</v>
      </c>
    </row>
    <row r="243">
      <c r="A243" s="93" t="str">
        <f t="shared" si="2"/>
        <v>#14092</v>
      </c>
      <c r="B243" s="93" t="str">
        <f>IF(AND(COUNTIF(MAIN!B:B, A243)=0, IFERROR(SEARCH("return", C243)&gt;0, FALSE)), "Rental Return", IF(COUNTIF(MAIN!B:B, A243)=0, "Missing", ""))</f>
        <v>Missing</v>
      </c>
      <c r="C243" s="133" t="s">
        <v>15246</v>
      </c>
      <c r="E243" s="131" t="str">
        <f t="shared" si="1"/>
        <v>https://utrucking.myshopify.com/admin/orders?query=14092</v>
      </c>
    </row>
    <row r="244">
      <c r="A244" s="93" t="str">
        <f t="shared" si="2"/>
        <v>#14093</v>
      </c>
      <c r="B244" s="93" t="str">
        <f>IF(AND(COUNTIF(MAIN!B:B, A244)=0, IFERROR(SEARCH("return", C244)&gt;0, FALSE)), "Rental Return", IF(COUNTIF(MAIN!B:B, A244)=0, "Missing", ""))</f>
        <v>Missing</v>
      </c>
      <c r="C244" s="133" t="s">
        <v>15246</v>
      </c>
      <c r="E244" s="131" t="str">
        <f t="shared" si="1"/>
        <v>https://utrucking.myshopify.com/admin/orders?query=14093</v>
      </c>
    </row>
    <row r="245">
      <c r="A245" s="93" t="str">
        <f t="shared" si="2"/>
        <v>#14094</v>
      </c>
      <c r="B245" s="93" t="str">
        <f>IF(AND(COUNTIF(MAIN!B:B, A245)=0, IFERROR(SEARCH("return", C245)&gt;0, FALSE)), "Rental Return", IF(COUNTIF(MAIN!B:B, A245)=0, "Missing", ""))</f>
        <v>Missing</v>
      </c>
      <c r="C245" s="133" t="s">
        <v>15246</v>
      </c>
      <c r="E245" s="131" t="str">
        <f t="shared" si="1"/>
        <v>https://utrucking.myshopify.com/admin/orders?query=14094</v>
      </c>
    </row>
    <row r="246">
      <c r="A246" s="93" t="str">
        <f t="shared" si="2"/>
        <v>#14095</v>
      </c>
      <c r="B246" s="93" t="str">
        <f>IF(AND(COUNTIF(MAIN!B:B, A246)=0, IFERROR(SEARCH("return", C246)&gt;0, FALSE)), "Rental Return", IF(COUNTIF(MAIN!B:B, A246)=0, "Missing", ""))</f>
        <v>Missing</v>
      </c>
      <c r="C246" s="133" t="s">
        <v>15249</v>
      </c>
      <c r="E246" s="131" t="str">
        <f t="shared" si="1"/>
        <v>https://utrucking.myshopify.com/admin/orders?query=14095</v>
      </c>
    </row>
    <row r="247">
      <c r="A247" s="93" t="str">
        <f t="shared" si="2"/>
        <v>#14096</v>
      </c>
      <c r="B247" s="93" t="str">
        <f>IF(AND(COUNTIF(MAIN!B:B, A247)=0, IFERROR(SEARCH("return", C247)&gt;0, FALSE)), "Rental Return", IF(COUNTIF(MAIN!B:B, A247)=0, "Missing", ""))</f>
        <v>Missing</v>
      </c>
      <c r="C247" s="133" t="s">
        <v>15246</v>
      </c>
      <c r="E247" s="131" t="str">
        <f t="shared" si="1"/>
        <v>https://utrucking.myshopify.com/admin/orders?query=14096</v>
      </c>
    </row>
    <row r="248">
      <c r="A248" s="93" t="str">
        <f t="shared" si="2"/>
        <v>#14097</v>
      </c>
      <c r="B248" s="93" t="str">
        <f>IF(AND(COUNTIF(MAIN!B:B, A248)=0, IFERROR(SEARCH("return", C248)&gt;0, FALSE)), "Rental Return", IF(COUNTIF(MAIN!B:B, A248)=0, "Missing", ""))</f>
        <v>Missing</v>
      </c>
      <c r="C248" s="133" t="s">
        <v>15249</v>
      </c>
      <c r="E248" s="131" t="str">
        <f t="shared" si="1"/>
        <v>https://utrucking.myshopify.com/admin/orders?query=14097</v>
      </c>
    </row>
    <row r="249">
      <c r="A249" s="93" t="str">
        <f t="shared" si="2"/>
        <v>#14098</v>
      </c>
      <c r="B249" s="93" t="str">
        <f>IF(AND(COUNTIF(MAIN!B:B, A249)=0, IFERROR(SEARCH("return", C249)&gt;0, FALSE)), "Rental Return", IF(COUNTIF(MAIN!B:B, A249)=0, "Missing", ""))</f>
        <v/>
      </c>
      <c r="C249" s="128"/>
      <c r="E249" s="128" t="str">
        <f t="shared" si="1"/>
        <v/>
      </c>
    </row>
    <row r="250">
      <c r="A250" s="93" t="str">
        <f t="shared" si="2"/>
        <v>#14099</v>
      </c>
      <c r="B250" s="93" t="str">
        <f>IF(AND(COUNTIF(MAIN!B:B, A250)=0, IFERROR(SEARCH("return", C250)&gt;0, FALSE)), "Rental Return", IF(COUNTIF(MAIN!B:B, A250)=0, "Missing", ""))</f>
        <v>Missing</v>
      </c>
      <c r="C250" s="133" t="s">
        <v>15246</v>
      </c>
      <c r="E250" s="131" t="str">
        <f t="shared" si="1"/>
        <v>https://utrucking.myshopify.com/admin/orders?query=14099</v>
      </c>
    </row>
    <row r="251">
      <c r="A251" s="93" t="str">
        <f t="shared" si="2"/>
        <v>#14100</v>
      </c>
      <c r="B251" s="93" t="str">
        <f>IF(AND(COUNTIF(MAIN!B:B, A251)=0, IFERROR(SEARCH("return", C251)&gt;0, FALSE)), "Rental Return", IF(COUNTIF(MAIN!B:B, A251)=0, "Missing", ""))</f>
        <v>Missing</v>
      </c>
      <c r="C251" s="133" t="s">
        <v>15251</v>
      </c>
      <c r="E251" s="131" t="str">
        <f t="shared" si="1"/>
        <v>https://utrucking.myshopify.com/admin/orders?query=14100</v>
      </c>
    </row>
    <row r="252">
      <c r="A252" s="93" t="str">
        <f t="shared" si="2"/>
        <v>#14101</v>
      </c>
      <c r="B252" s="93" t="str">
        <f>IF(AND(COUNTIF(MAIN!B:B, A252)=0, IFERROR(SEARCH("return", C252)&gt;0, FALSE)), "Rental Return", IF(COUNTIF(MAIN!B:B, A252)=0, "Missing", ""))</f>
        <v>Missing</v>
      </c>
      <c r="C252" s="133" t="s">
        <v>15251</v>
      </c>
      <c r="E252" s="131" t="str">
        <f t="shared" si="1"/>
        <v>https://utrucking.myshopify.com/admin/orders?query=14101</v>
      </c>
    </row>
    <row r="253">
      <c r="A253" s="93" t="str">
        <f t="shared" si="2"/>
        <v>#14102</v>
      </c>
      <c r="B253" s="93" t="str">
        <f>IF(AND(COUNTIF(MAIN!B:B, A253)=0, IFERROR(SEARCH("return", C253)&gt;0, FALSE)), "Rental Return", IF(COUNTIF(MAIN!B:B, A253)=0, "Missing", ""))</f>
        <v>Missing</v>
      </c>
      <c r="C253" s="133" t="s">
        <v>15246</v>
      </c>
      <c r="E253" s="131" t="str">
        <f t="shared" si="1"/>
        <v>https://utrucking.myshopify.com/admin/orders?query=14102</v>
      </c>
    </row>
    <row r="254">
      <c r="A254" s="93" t="str">
        <f t="shared" si="2"/>
        <v>#14103</v>
      </c>
      <c r="B254" s="93" t="str">
        <f>IF(AND(COUNTIF(MAIN!B:B, A254)=0, IFERROR(SEARCH("return", C254)&gt;0, FALSE)), "Rental Return", IF(COUNTIF(MAIN!B:B, A254)=0, "Missing", ""))</f>
        <v>Missing</v>
      </c>
      <c r="C254" s="133" t="s">
        <v>15246</v>
      </c>
      <c r="E254" s="131" t="str">
        <f t="shared" si="1"/>
        <v>https://utrucking.myshopify.com/admin/orders?query=14103</v>
      </c>
    </row>
    <row r="255">
      <c r="A255" s="93" t="str">
        <f t="shared" si="2"/>
        <v>#14104</v>
      </c>
      <c r="B255" s="93" t="str">
        <f>IF(AND(COUNTIF(MAIN!B:B, A255)=0, IFERROR(SEARCH("return", C255)&gt;0, FALSE)), "Rental Return", IF(COUNTIF(MAIN!B:B, A255)=0, "Missing", ""))</f>
        <v>Missing</v>
      </c>
      <c r="C255" s="133" t="s">
        <v>15246</v>
      </c>
      <c r="E255" s="131" t="str">
        <f t="shared" si="1"/>
        <v>https://utrucking.myshopify.com/admin/orders?query=14104</v>
      </c>
    </row>
    <row r="256">
      <c r="A256" s="93" t="str">
        <f t="shared" si="2"/>
        <v>#14105</v>
      </c>
      <c r="B256" s="93" t="str">
        <f>IF(AND(COUNTIF(MAIN!B:B, A256)=0, IFERROR(SEARCH("return", C256)&gt;0, FALSE)), "Rental Return", IF(COUNTIF(MAIN!B:B, A256)=0, "Missing", ""))</f>
        <v>Missing</v>
      </c>
      <c r="C256" s="133" t="s">
        <v>15246</v>
      </c>
      <c r="E256" s="131" t="str">
        <f t="shared" si="1"/>
        <v>https://utrucking.myshopify.com/admin/orders?query=14105</v>
      </c>
    </row>
    <row r="257">
      <c r="A257" s="93" t="str">
        <f t="shared" si="2"/>
        <v>#14106</v>
      </c>
      <c r="B257" s="93" t="str">
        <f>IF(AND(COUNTIF(MAIN!B:B, A257)=0, IFERROR(SEARCH("return", C257)&gt;0, FALSE)), "Rental Return", IF(COUNTIF(MAIN!B:B, A257)=0, "Missing", ""))</f>
        <v>Missing</v>
      </c>
      <c r="C257" s="133" t="s">
        <v>15246</v>
      </c>
      <c r="E257" s="131" t="str">
        <f t="shared" si="1"/>
        <v>https://utrucking.myshopify.com/admin/orders?query=14106</v>
      </c>
    </row>
    <row r="258">
      <c r="A258" s="93" t="str">
        <f t="shared" si="2"/>
        <v>#14107</v>
      </c>
      <c r="B258" s="93" t="str">
        <f>IF(AND(COUNTIF(MAIN!B:B, A258)=0, IFERROR(SEARCH("return", C258)&gt;0, FALSE)), "Rental Return", IF(COUNTIF(MAIN!B:B, A258)=0, "Missing", ""))</f>
        <v>Missing</v>
      </c>
      <c r="C258" s="133" t="s">
        <v>15246</v>
      </c>
      <c r="E258" s="131" t="str">
        <f t="shared" si="1"/>
        <v>https://utrucking.myshopify.com/admin/orders?query=14107</v>
      </c>
    </row>
    <row r="259">
      <c r="A259" s="93" t="str">
        <f t="shared" si="2"/>
        <v>#14108</v>
      </c>
      <c r="B259" s="93" t="str">
        <f>IF(AND(COUNTIF(MAIN!B:B, A259)=0, IFERROR(SEARCH("return", C259)&gt;0, FALSE)), "Rental Return", IF(COUNTIF(MAIN!B:B, A259)=0, "Missing", ""))</f>
        <v>Missing</v>
      </c>
      <c r="C259" s="133" t="s">
        <v>15246</v>
      </c>
      <c r="E259" s="131" t="str">
        <f t="shared" si="1"/>
        <v>https://utrucking.myshopify.com/admin/orders?query=14108</v>
      </c>
    </row>
    <row r="260">
      <c r="A260" s="93" t="str">
        <f t="shared" si="2"/>
        <v>#14109</v>
      </c>
      <c r="B260" s="93" t="str">
        <f>IF(AND(COUNTIF(MAIN!B:B, A260)=0, IFERROR(SEARCH("return", C260)&gt;0, FALSE)), "Rental Return", IF(COUNTIF(MAIN!B:B, A260)=0, "Missing", ""))</f>
        <v>Missing</v>
      </c>
      <c r="C260" s="133" t="s">
        <v>15246</v>
      </c>
      <c r="E260" s="131" t="str">
        <f t="shared" si="1"/>
        <v>https://utrucking.myshopify.com/admin/orders?query=14109</v>
      </c>
    </row>
    <row r="261">
      <c r="A261" s="93" t="str">
        <f t="shared" si="2"/>
        <v>#14110</v>
      </c>
      <c r="B261" s="93" t="str">
        <f>IF(AND(COUNTIF(MAIN!B:B, A261)=0, IFERROR(SEARCH("return", C261)&gt;0, FALSE)), "Rental Return", IF(COUNTIF(MAIN!B:B, A261)=0, "Missing", ""))</f>
        <v>Missing</v>
      </c>
      <c r="C261" s="133" t="s">
        <v>15251</v>
      </c>
      <c r="E261" s="131" t="str">
        <f t="shared" si="1"/>
        <v>https://utrucking.myshopify.com/admin/orders?query=14110</v>
      </c>
    </row>
    <row r="262">
      <c r="A262" s="93" t="str">
        <f t="shared" si="2"/>
        <v>#14111</v>
      </c>
      <c r="B262" s="93" t="str">
        <f>IF(AND(COUNTIF(MAIN!B:B, A262)=0, IFERROR(SEARCH("return", C262)&gt;0, FALSE)), "Rental Return", IF(COUNTIF(MAIN!B:B, A262)=0, "Missing", ""))</f>
        <v>Missing</v>
      </c>
      <c r="C262" s="133" t="s">
        <v>15251</v>
      </c>
      <c r="E262" s="131" t="str">
        <f t="shared" si="1"/>
        <v>https://utrucking.myshopify.com/admin/orders?query=14111</v>
      </c>
    </row>
    <row r="263">
      <c r="A263" s="93" t="str">
        <f t="shared" si="2"/>
        <v>#14112</v>
      </c>
      <c r="B263" s="93" t="str">
        <f>IF(AND(COUNTIF(MAIN!B:B, A263)=0, IFERROR(SEARCH("return", C263)&gt;0, FALSE)), "Rental Return", IF(COUNTIF(MAIN!B:B, A263)=0, "Missing", ""))</f>
        <v>Missing</v>
      </c>
      <c r="C263" s="133" t="s">
        <v>15246</v>
      </c>
      <c r="E263" s="131" t="str">
        <f t="shared" si="1"/>
        <v>https://utrucking.myshopify.com/admin/orders?query=14112</v>
      </c>
    </row>
    <row r="264">
      <c r="A264" s="93" t="str">
        <f t="shared" si="2"/>
        <v>#14113</v>
      </c>
      <c r="B264" s="93" t="str">
        <f>IF(AND(COUNTIF(MAIN!B:B, A264)=0, IFERROR(SEARCH("return", C264)&gt;0, FALSE)), "Rental Return", IF(COUNTIF(MAIN!B:B, A264)=0, "Missing", ""))</f>
        <v>Missing</v>
      </c>
      <c r="C264" s="133" t="s">
        <v>15249</v>
      </c>
      <c r="E264" s="131" t="str">
        <f t="shared" si="1"/>
        <v>https://utrucking.myshopify.com/admin/orders?query=14113</v>
      </c>
    </row>
    <row r="265">
      <c r="A265" s="93" t="str">
        <f t="shared" si="2"/>
        <v>#14114</v>
      </c>
      <c r="B265" s="93" t="str">
        <f>IF(AND(COUNTIF(MAIN!B:B, A265)=0, IFERROR(SEARCH("return", C265)&gt;0, FALSE)), "Rental Return", IF(COUNTIF(MAIN!B:B, A265)=0, "Missing", ""))</f>
        <v>Missing</v>
      </c>
      <c r="C265" s="133" t="s">
        <v>15246</v>
      </c>
      <c r="E265" s="131" t="str">
        <f t="shared" si="1"/>
        <v>https://utrucking.myshopify.com/admin/orders?query=14114</v>
      </c>
    </row>
    <row r="266">
      <c r="A266" s="93" t="str">
        <f t="shared" si="2"/>
        <v>#14115</v>
      </c>
      <c r="B266" s="93" t="str">
        <f>IF(AND(COUNTIF(MAIN!B:B, A266)=0, IFERROR(SEARCH("return", C266)&gt;0, FALSE)), "Rental Return", IF(COUNTIF(MAIN!B:B, A266)=0, "Missing", ""))</f>
        <v>Missing</v>
      </c>
      <c r="C266" s="133" t="s">
        <v>15249</v>
      </c>
      <c r="E266" s="131" t="str">
        <f t="shared" si="1"/>
        <v>https://utrucking.myshopify.com/admin/orders?query=14115</v>
      </c>
    </row>
    <row r="267">
      <c r="A267" s="93" t="str">
        <f t="shared" si="2"/>
        <v>#14116</v>
      </c>
      <c r="B267" s="93" t="str">
        <f>IF(AND(COUNTIF(MAIN!B:B, A267)=0, IFERROR(SEARCH("return", C267)&gt;0, FALSE)), "Rental Return", IF(COUNTIF(MAIN!B:B, A267)=0, "Missing", ""))</f>
        <v/>
      </c>
      <c r="C267" s="128"/>
      <c r="E267" s="128" t="str">
        <f t="shared" si="1"/>
        <v/>
      </c>
    </row>
    <row r="268">
      <c r="A268" s="93" t="str">
        <f t="shared" si="2"/>
        <v>#14117</v>
      </c>
      <c r="B268" s="93" t="str">
        <f>IF(AND(COUNTIF(MAIN!B:B, A268)=0, IFERROR(SEARCH("return", C268)&gt;0, FALSE)), "Rental Return", IF(COUNTIF(MAIN!B:B, A268)=0, "Missing", ""))</f>
        <v>Missing</v>
      </c>
      <c r="C268" s="133" t="s">
        <v>15246</v>
      </c>
      <c r="E268" s="131" t="str">
        <f t="shared" si="1"/>
        <v>https://utrucking.myshopify.com/admin/orders?query=14117</v>
      </c>
    </row>
    <row r="269">
      <c r="A269" s="93" t="str">
        <f t="shared" si="2"/>
        <v>#14118</v>
      </c>
      <c r="B269" s="93" t="str">
        <f>IF(AND(COUNTIF(MAIN!B:B, A269)=0, IFERROR(SEARCH("return", C269)&gt;0, FALSE)), "Rental Return", IF(COUNTIF(MAIN!B:B, A269)=0, "Missing", ""))</f>
        <v>Missing</v>
      </c>
      <c r="C269" s="133" t="s">
        <v>15246</v>
      </c>
      <c r="E269" s="131" t="str">
        <f t="shared" si="1"/>
        <v>https://utrucking.myshopify.com/admin/orders?query=14118</v>
      </c>
    </row>
    <row r="270">
      <c r="A270" s="93" t="str">
        <f t="shared" si="2"/>
        <v>#14119</v>
      </c>
      <c r="B270" s="93" t="str">
        <f>IF(AND(COUNTIF(MAIN!B:B, A270)=0, IFERROR(SEARCH("return", C270)&gt;0, FALSE)), "Rental Return", IF(COUNTIF(MAIN!B:B, A270)=0, "Missing", ""))</f>
        <v>Missing</v>
      </c>
      <c r="C270" s="133" t="s">
        <v>15249</v>
      </c>
      <c r="E270" s="131" t="str">
        <f t="shared" si="1"/>
        <v>https://utrucking.myshopify.com/admin/orders?query=14119</v>
      </c>
    </row>
    <row r="271">
      <c r="A271" s="93" t="str">
        <f t="shared" si="2"/>
        <v>#14120</v>
      </c>
      <c r="B271" s="93" t="str">
        <f>IF(AND(COUNTIF(MAIN!B:B, A271)=0, IFERROR(SEARCH("return", C271)&gt;0, FALSE)), "Rental Return", IF(COUNTIF(MAIN!B:B, A271)=0, "Missing", ""))</f>
        <v>Missing</v>
      </c>
      <c r="C271" s="133" t="s">
        <v>15246</v>
      </c>
      <c r="E271" s="131" t="str">
        <f t="shared" si="1"/>
        <v>https://utrucking.myshopify.com/admin/orders?query=14120</v>
      </c>
    </row>
    <row r="272">
      <c r="A272" s="93" t="str">
        <f t="shared" si="2"/>
        <v>#14121</v>
      </c>
      <c r="B272" s="93" t="str">
        <f>IF(AND(COUNTIF(MAIN!B:B, A272)=0, IFERROR(SEARCH("return", C272)&gt;0, FALSE)), "Rental Return", IF(COUNTIF(MAIN!B:B, A272)=0, "Missing", ""))</f>
        <v>Missing</v>
      </c>
      <c r="C272" s="133" t="s">
        <v>15249</v>
      </c>
      <c r="E272" s="131" t="str">
        <f t="shared" si="1"/>
        <v>https://utrucking.myshopify.com/admin/orders?query=14121</v>
      </c>
    </row>
    <row r="273">
      <c r="A273" s="93" t="str">
        <f t="shared" si="2"/>
        <v>#14122</v>
      </c>
      <c r="B273" s="93" t="str">
        <f>IF(AND(COUNTIF(MAIN!B:B, A273)=0, IFERROR(SEARCH("return", C273)&gt;0, FALSE)), "Rental Return", IF(COUNTIF(MAIN!B:B, A273)=0, "Missing", ""))</f>
        <v>Missing</v>
      </c>
      <c r="C273" s="133" t="s">
        <v>15246</v>
      </c>
      <c r="E273" s="131" t="str">
        <f t="shared" si="1"/>
        <v>https://utrucking.myshopify.com/admin/orders?query=14122</v>
      </c>
    </row>
    <row r="274">
      <c r="A274" s="93" t="str">
        <f t="shared" si="2"/>
        <v>#14123</v>
      </c>
      <c r="B274" s="93" t="str">
        <f>IF(AND(COUNTIF(MAIN!B:B, A274)=0, IFERROR(SEARCH("return", C274)&gt;0, FALSE)), "Rental Return", IF(COUNTIF(MAIN!B:B, A274)=0, "Missing", ""))</f>
        <v>Missing</v>
      </c>
      <c r="C274" s="133" t="s">
        <v>15251</v>
      </c>
      <c r="E274" s="131" t="str">
        <f t="shared" si="1"/>
        <v>https://utrucking.myshopify.com/admin/orders?query=14123</v>
      </c>
    </row>
    <row r="275">
      <c r="A275" s="93" t="str">
        <f t="shared" si="2"/>
        <v>#14124</v>
      </c>
      <c r="B275" s="93" t="str">
        <f>IF(AND(COUNTIF(MAIN!B:B, A275)=0, IFERROR(SEARCH("return", C275)&gt;0, FALSE)), "Rental Return", IF(COUNTIF(MAIN!B:B, A275)=0, "Missing", ""))</f>
        <v>Missing</v>
      </c>
      <c r="C275" s="133" t="s">
        <v>15246</v>
      </c>
      <c r="E275" s="131" t="str">
        <f t="shared" si="1"/>
        <v>https://utrucking.myshopify.com/admin/orders?query=14124</v>
      </c>
    </row>
    <row r="276">
      <c r="A276" s="93" t="str">
        <f t="shared" si="2"/>
        <v>#14125</v>
      </c>
      <c r="B276" s="93" t="str">
        <f>IF(AND(COUNTIF(MAIN!B:B, A276)=0, IFERROR(SEARCH("return", C276)&gt;0, FALSE)), "Rental Return", IF(COUNTIF(MAIN!B:B, A276)=0, "Missing", ""))</f>
        <v>Missing</v>
      </c>
      <c r="C276" s="133" t="s">
        <v>15251</v>
      </c>
      <c r="E276" s="131" t="str">
        <f t="shared" si="1"/>
        <v>https://utrucking.myshopify.com/admin/orders?query=14125</v>
      </c>
    </row>
    <row r="277">
      <c r="A277" s="93" t="str">
        <f t="shared" si="2"/>
        <v>#14126</v>
      </c>
      <c r="B277" s="93" t="str">
        <f>IF(AND(COUNTIF(MAIN!B:B, A277)=0, IFERROR(SEARCH("return", C277)&gt;0, FALSE)), "Rental Return", IF(COUNTIF(MAIN!B:B, A277)=0, "Missing", ""))</f>
        <v>Missing</v>
      </c>
      <c r="C277" s="133" t="s">
        <v>15246</v>
      </c>
      <c r="E277" s="131" t="str">
        <f t="shared" si="1"/>
        <v>https://utrucking.myshopify.com/admin/orders?query=14126</v>
      </c>
    </row>
    <row r="278">
      <c r="A278" s="93" t="str">
        <f t="shared" si="2"/>
        <v>#14127</v>
      </c>
      <c r="B278" s="93" t="str">
        <f>IF(AND(COUNTIF(MAIN!B:B, A278)=0, IFERROR(SEARCH("return", C278)&gt;0, FALSE)), "Rental Return", IF(COUNTIF(MAIN!B:B, A278)=0, "Missing", ""))</f>
        <v>Missing</v>
      </c>
      <c r="C278" s="133" t="s">
        <v>15246</v>
      </c>
      <c r="E278" s="131" t="str">
        <f t="shared" si="1"/>
        <v>https://utrucking.myshopify.com/admin/orders?query=14127</v>
      </c>
    </row>
    <row r="279">
      <c r="A279" s="93" t="str">
        <f t="shared" si="2"/>
        <v>#14128</v>
      </c>
      <c r="B279" s="93" t="str">
        <f>IF(AND(COUNTIF(MAIN!B:B, A279)=0, IFERROR(SEARCH("return", C279)&gt;0, FALSE)), "Rental Return", IF(COUNTIF(MAIN!B:B, A279)=0, "Missing", ""))</f>
        <v>Missing</v>
      </c>
      <c r="C279" s="133" t="s">
        <v>15251</v>
      </c>
      <c r="E279" s="131" t="str">
        <f t="shared" si="1"/>
        <v>https://utrucking.myshopify.com/admin/orders?query=14128</v>
      </c>
    </row>
    <row r="280">
      <c r="A280" s="93" t="str">
        <f t="shared" si="2"/>
        <v>#14129</v>
      </c>
      <c r="B280" s="93" t="str">
        <f>IF(AND(COUNTIF(MAIN!B:B, A280)=0, IFERROR(SEARCH("return", C280)&gt;0, FALSE)), "Rental Return", IF(COUNTIF(MAIN!B:B, A280)=0, "Missing", ""))</f>
        <v>Missing</v>
      </c>
      <c r="C280" s="133" t="s">
        <v>15246</v>
      </c>
      <c r="E280" s="131" t="str">
        <f t="shared" si="1"/>
        <v>https://utrucking.myshopify.com/admin/orders?query=14129</v>
      </c>
    </row>
    <row r="281">
      <c r="A281" s="93" t="str">
        <f t="shared" si="2"/>
        <v>#14130</v>
      </c>
      <c r="B281" s="93" t="str">
        <f>IF(AND(COUNTIF(MAIN!B:B, A281)=0, IFERROR(SEARCH("return", C281)&gt;0, FALSE)), "Rental Return", IF(COUNTIF(MAIN!B:B, A281)=0, "Missing", ""))</f>
        <v>Missing</v>
      </c>
      <c r="C281" s="133" t="s">
        <v>15246</v>
      </c>
      <c r="E281" s="131" t="str">
        <f t="shared" si="1"/>
        <v>https://utrucking.myshopify.com/admin/orders?query=14130</v>
      </c>
    </row>
    <row r="282">
      <c r="A282" s="93" t="str">
        <f t="shared" si="2"/>
        <v>#14131</v>
      </c>
      <c r="B282" s="93" t="str">
        <f>IF(AND(COUNTIF(MAIN!B:B, A282)=0, IFERROR(SEARCH("return", C282)&gt;0, FALSE)), "Rental Return", IF(COUNTIF(MAIN!B:B, A282)=0, "Missing", ""))</f>
        <v>Missing</v>
      </c>
      <c r="C282" s="133" t="s">
        <v>15246</v>
      </c>
      <c r="E282" s="131" t="str">
        <f t="shared" si="1"/>
        <v>https://utrucking.myshopify.com/admin/orders?query=14131</v>
      </c>
    </row>
    <row r="283">
      <c r="A283" s="93" t="str">
        <f t="shared" si="2"/>
        <v>#14132</v>
      </c>
      <c r="B283" s="93" t="str">
        <f>IF(AND(COUNTIF(MAIN!B:B, A283)=0, IFERROR(SEARCH("return", C283)&gt;0, FALSE)), "Rental Return", IF(COUNTIF(MAIN!B:B, A283)=0, "Missing", ""))</f>
        <v>Missing</v>
      </c>
      <c r="C283" s="133" t="s">
        <v>15249</v>
      </c>
      <c r="E283" s="131" t="str">
        <f t="shared" si="1"/>
        <v>https://utrucking.myshopify.com/admin/orders?query=14132</v>
      </c>
    </row>
    <row r="284">
      <c r="A284" s="93" t="str">
        <f t="shared" si="2"/>
        <v>#14133</v>
      </c>
      <c r="B284" s="93" t="str">
        <f>IF(AND(COUNTIF(MAIN!B:B, A284)=0, IFERROR(SEARCH("return", C284)&gt;0, FALSE)), "Rental Return", IF(COUNTIF(MAIN!B:B, A284)=0, "Missing", ""))</f>
        <v>Missing</v>
      </c>
      <c r="C284" s="133" t="s">
        <v>15246</v>
      </c>
      <c r="E284" s="131" t="str">
        <f t="shared" si="1"/>
        <v>https://utrucking.myshopify.com/admin/orders?query=14133</v>
      </c>
    </row>
    <row r="285">
      <c r="A285" s="93" t="str">
        <f t="shared" si="2"/>
        <v>#14134</v>
      </c>
      <c r="B285" s="93" t="str">
        <f>IF(AND(COUNTIF(MAIN!B:B, A285)=0, IFERROR(SEARCH("return", C285)&gt;0, FALSE)), "Rental Return", IF(COUNTIF(MAIN!B:B, A285)=0, "Missing", ""))</f>
        <v>Missing</v>
      </c>
      <c r="C285" s="133" t="s">
        <v>15246</v>
      </c>
      <c r="E285" s="131" t="str">
        <f t="shared" si="1"/>
        <v>https://utrucking.myshopify.com/admin/orders?query=14134</v>
      </c>
    </row>
    <row r="286">
      <c r="A286" s="93" t="str">
        <f t="shared" si="2"/>
        <v>#14135</v>
      </c>
      <c r="B286" s="93" t="str">
        <f>IF(AND(COUNTIF(MAIN!B:B, A286)=0, IFERROR(SEARCH("return", C286)&gt;0, FALSE)), "Rental Return", IF(COUNTIF(MAIN!B:B, A286)=0, "Missing", ""))</f>
        <v>Missing</v>
      </c>
      <c r="C286" s="133" t="s">
        <v>15248</v>
      </c>
      <c r="E286" s="131" t="str">
        <f t="shared" si="1"/>
        <v>https://utrucking.myshopify.com/admin/orders?query=14135</v>
      </c>
    </row>
    <row r="287">
      <c r="A287" s="93" t="str">
        <f t="shared" si="2"/>
        <v>#14136</v>
      </c>
      <c r="B287" s="93" t="str">
        <f>IF(AND(COUNTIF(MAIN!B:B, A287)=0, IFERROR(SEARCH("return", C287)&gt;0, FALSE)), "Rental Return", IF(COUNTIF(MAIN!B:B, A287)=0, "Missing", ""))</f>
        <v>Missing</v>
      </c>
      <c r="C287" s="133" t="s">
        <v>15246</v>
      </c>
      <c r="E287" s="131" t="str">
        <f t="shared" si="1"/>
        <v>https://utrucking.myshopify.com/admin/orders?query=14136</v>
      </c>
    </row>
    <row r="288">
      <c r="A288" s="93" t="str">
        <f t="shared" si="2"/>
        <v>#14137</v>
      </c>
      <c r="B288" s="93" t="str">
        <f>IF(AND(COUNTIF(MAIN!B:B, A288)=0, IFERROR(SEARCH("return", C288)&gt;0, FALSE)), "Rental Return", IF(COUNTIF(MAIN!B:B, A288)=0, "Missing", ""))</f>
        <v>Missing</v>
      </c>
      <c r="C288" s="133" t="s">
        <v>15246</v>
      </c>
      <c r="E288" s="131" t="str">
        <f t="shared" si="1"/>
        <v>https://utrucking.myshopify.com/admin/orders?query=14137</v>
      </c>
    </row>
    <row r="289">
      <c r="A289" s="93" t="str">
        <f t="shared" si="2"/>
        <v>#14138</v>
      </c>
      <c r="B289" s="93" t="str">
        <f>IF(AND(COUNTIF(MAIN!B:B, A289)=0, IFERROR(SEARCH("return", C289)&gt;0, FALSE)), "Rental Return", IF(COUNTIF(MAIN!B:B, A289)=0, "Missing", ""))</f>
        <v>Missing</v>
      </c>
      <c r="C289" s="133" t="s">
        <v>15249</v>
      </c>
      <c r="E289" s="131" t="str">
        <f t="shared" si="1"/>
        <v>https://utrucking.myshopify.com/admin/orders?query=14138</v>
      </c>
    </row>
    <row r="290">
      <c r="A290" s="93" t="str">
        <f t="shared" si="2"/>
        <v>#14139</v>
      </c>
      <c r="B290" s="93" t="str">
        <f>IF(AND(COUNTIF(MAIN!B:B, A290)=0, IFERROR(SEARCH("return", C290)&gt;0, FALSE)), "Rental Return", IF(COUNTIF(MAIN!B:B, A290)=0, "Missing", ""))</f>
        <v>Missing</v>
      </c>
      <c r="C290" s="133" t="s">
        <v>15246</v>
      </c>
      <c r="E290" s="131" t="str">
        <f t="shared" si="1"/>
        <v>https://utrucking.myshopify.com/admin/orders?query=14139</v>
      </c>
    </row>
    <row r="291">
      <c r="A291" s="93" t="str">
        <f t="shared" si="2"/>
        <v>#14140</v>
      </c>
      <c r="B291" s="93" t="str">
        <f>IF(AND(COUNTIF(MAIN!B:B, A291)=0, IFERROR(SEARCH("return", C291)&gt;0, FALSE)), "Rental Return", IF(COUNTIF(MAIN!B:B, A291)=0, "Missing", ""))</f>
        <v>Missing</v>
      </c>
      <c r="C291" s="133" t="s">
        <v>15251</v>
      </c>
      <c r="E291" s="131" t="str">
        <f t="shared" si="1"/>
        <v>https://utrucking.myshopify.com/admin/orders?query=14140</v>
      </c>
    </row>
    <row r="292">
      <c r="A292" s="93" t="str">
        <f t="shared" si="2"/>
        <v>#14141</v>
      </c>
      <c r="B292" s="93" t="str">
        <f>IF(AND(COUNTIF(MAIN!B:B, A292)=0, IFERROR(SEARCH("return", C292)&gt;0, FALSE)), "Rental Return", IF(COUNTIF(MAIN!B:B, A292)=0, "Missing", ""))</f>
        <v>Missing</v>
      </c>
      <c r="C292" s="133" t="s">
        <v>15246</v>
      </c>
      <c r="E292" s="131" t="str">
        <f t="shared" si="1"/>
        <v>https://utrucking.myshopify.com/admin/orders?query=14141</v>
      </c>
    </row>
    <row r="293">
      <c r="A293" s="93" t="str">
        <f t="shared" si="2"/>
        <v>#14142</v>
      </c>
      <c r="B293" s="93" t="str">
        <f>IF(AND(COUNTIF(MAIN!B:B, A293)=0, IFERROR(SEARCH("return", C293)&gt;0, FALSE)), "Rental Return", IF(COUNTIF(MAIN!B:B, A293)=0, "Missing", ""))</f>
        <v>Missing</v>
      </c>
      <c r="C293" s="133" t="s">
        <v>15246</v>
      </c>
      <c r="E293" s="131" t="str">
        <f t="shared" si="1"/>
        <v>https://utrucking.myshopify.com/admin/orders?query=14142</v>
      </c>
    </row>
    <row r="294">
      <c r="A294" s="93" t="str">
        <f t="shared" si="2"/>
        <v>#14143</v>
      </c>
      <c r="B294" s="93" t="str">
        <f>IF(AND(COUNTIF(MAIN!B:B, A294)=0, IFERROR(SEARCH("return", C294)&gt;0, FALSE)), "Rental Return", IF(COUNTIF(MAIN!B:B, A294)=0, "Missing", ""))</f>
        <v>Missing</v>
      </c>
      <c r="C294" s="133" t="s">
        <v>15246</v>
      </c>
      <c r="E294" s="131" t="str">
        <f t="shared" si="1"/>
        <v>https://utrucking.myshopify.com/admin/orders?query=14143</v>
      </c>
    </row>
    <row r="295">
      <c r="A295" s="93" t="str">
        <f t="shared" si="2"/>
        <v>#14144</v>
      </c>
      <c r="B295" s="93" t="str">
        <f>IF(AND(COUNTIF(MAIN!B:B, A295)=0, IFERROR(SEARCH("return", C295)&gt;0, FALSE)), "Rental Return", IF(COUNTIF(MAIN!B:B, A295)=0, "Missing", ""))</f>
        <v>Missing</v>
      </c>
      <c r="C295" s="133" t="s">
        <v>15246</v>
      </c>
      <c r="E295" s="131" t="str">
        <f t="shared" si="1"/>
        <v>https://utrucking.myshopify.com/admin/orders?query=14144</v>
      </c>
    </row>
    <row r="296">
      <c r="A296" s="93" t="str">
        <f t="shared" si="2"/>
        <v>#14145</v>
      </c>
      <c r="B296" s="93" t="str">
        <f>IF(AND(COUNTIF(MAIN!B:B, A296)=0, IFERROR(SEARCH("return", C296)&gt;0, FALSE)), "Rental Return", IF(COUNTIF(MAIN!B:B, A296)=0, "Missing", ""))</f>
        <v>Missing</v>
      </c>
      <c r="C296" s="133" t="s">
        <v>15246</v>
      </c>
      <c r="E296" s="131" t="str">
        <f t="shared" si="1"/>
        <v>https://utrucking.myshopify.com/admin/orders?query=14145</v>
      </c>
    </row>
    <row r="297">
      <c r="A297" s="93" t="str">
        <f t="shared" si="2"/>
        <v>#14146</v>
      </c>
      <c r="B297" s="93" t="str">
        <f>IF(AND(COUNTIF(MAIN!B:B, A297)=0, IFERROR(SEARCH("return", C297)&gt;0, FALSE)), "Rental Return", IF(COUNTIF(MAIN!B:B, A297)=0, "Missing", ""))</f>
        <v>Missing</v>
      </c>
      <c r="C297" s="133" t="s">
        <v>15246</v>
      </c>
      <c r="E297" s="131" t="str">
        <f t="shared" si="1"/>
        <v>https://utrucking.myshopify.com/admin/orders?query=14146</v>
      </c>
    </row>
    <row r="298">
      <c r="A298" s="93" t="str">
        <f t="shared" si="2"/>
        <v>#14147</v>
      </c>
      <c r="B298" s="93" t="str">
        <f>IF(AND(COUNTIF(MAIN!B:B, A298)=0, IFERROR(SEARCH("return", C298)&gt;0, FALSE)), "Rental Return", IF(COUNTIF(MAIN!B:B, A298)=0, "Missing", ""))</f>
        <v>Missing</v>
      </c>
      <c r="C298" s="133" t="s">
        <v>15254</v>
      </c>
      <c r="E298" s="131" t="str">
        <f t="shared" si="1"/>
        <v>https://utrucking.myshopify.com/admin/orders?query=14147</v>
      </c>
    </row>
    <row r="299">
      <c r="A299" s="93" t="str">
        <f t="shared" si="2"/>
        <v>#14148</v>
      </c>
      <c r="B299" s="93" t="str">
        <f>IF(AND(COUNTIF(MAIN!B:B, A299)=0, IFERROR(SEARCH("return", C299)&gt;0, FALSE)), "Rental Return", IF(COUNTIF(MAIN!B:B, A299)=0, "Missing", ""))</f>
        <v>Missing</v>
      </c>
      <c r="C299" s="133" t="s">
        <v>15249</v>
      </c>
      <c r="E299" s="131" t="str">
        <f t="shared" si="1"/>
        <v>https://utrucking.myshopify.com/admin/orders?query=14148</v>
      </c>
    </row>
    <row r="300">
      <c r="A300" s="93" t="str">
        <f t="shared" si="2"/>
        <v>#14149</v>
      </c>
      <c r="B300" s="93" t="str">
        <f>IF(AND(COUNTIF(MAIN!B:B, A300)=0, IFERROR(SEARCH("return", C300)&gt;0, FALSE)), "Rental Return", IF(COUNTIF(MAIN!B:B, A300)=0, "Missing", ""))</f>
        <v>Rental Return</v>
      </c>
      <c r="C300" s="133" t="s">
        <v>15258</v>
      </c>
      <c r="E300" s="128" t="str">
        <f t="shared" si="1"/>
        <v/>
      </c>
    </row>
    <row r="301">
      <c r="A301" s="93" t="str">
        <f t="shared" si="2"/>
        <v>#14150</v>
      </c>
      <c r="B301" s="93" t="str">
        <f>IF(AND(COUNTIF(MAIN!B:B, A301)=0, IFERROR(SEARCH("return", C301)&gt;0, FALSE)), "Rental Return", IF(COUNTIF(MAIN!B:B, A301)=0, "Missing", ""))</f>
        <v>Missing</v>
      </c>
      <c r="C301" s="133" t="s">
        <v>15246</v>
      </c>
      <c r="E301" s="131" t="str">
        <f t="shared" si="1"/>
        <v>https://utrucking.myshopify.com/admin/orders?query=14150</v>
      </c>
    </row>
    <row r="302">
      <c r="A302" s="93" t="str">
        <f t="shared" si="2"/>
        <v>#14151</v>
      </c>
      <c r="B302" s="93" t="str">
        <f>IF(AND(COUNTIF(MAIN!B:B, A302)=0, IFERROR(SEARCH("return", C302)&gt;0, FALSE)), "Rental Return", IF(COUNTIF(MAIN!B:B, A302)=0, "Missing", ""))</f>
        <v>Missing</v>
      </c>
      <c r="C302" s="133" t="s">
        <v>15246</v>
      </c>
      <c r="E302" s="131" t="str">
        <f t="shared" si="1"/>
        <v>https://utrucking.myshopify.com/admin/orders?query=14151</v>
      </c>
    </row>
    <row r="303">
      <c r="A303" s="93" t="str">
        <f t="shared" si="2"/>
        <v>#14152</v>
      </c>
      <c r="B303" s="93" t="str">
        <f>IF(AND(COUNTIF(MAIN!B:B, A303)=0, IFERROR(SEARCH("return", C303)&gt;0, FALSE)), "Rental Return", IF(COUNTIF(MAIN!B:B, A303)=0, "Missing", ""))</f>
        <v>Missing</v>
      </c>
      <c r="C303" s="133" t="s">
        <v>15254</v>
      </c>
      <c r="E303" s="131" t="str">
        <f t="shared" si="1"/>
        <v>https://utrucking.myshopify.com/admin/orders?query=14152</v>
      </c>
    </row>
    <row r="304">
      <c r="A304" s="93" t="str">
        <f t="shared" si="2"/>
        <v>#14153</v>
      </c>
      <c r="B304" s="93" t="str">
        <f>IF(AND(COUNTIF(MAIN!B:B, A304)=0, IFERROR(SEARCH("return", C304)&gt;0, FALSE)), "Rental Return", IF(COUNTIF(MAIN!B:B, A304)=0, "Missing", ""))</f>
        <v>Missing</v>
      </c>
      <c r="C304" s="133" t="s">
        <v>15246</v>
      </c>
      <c r="E304" s="131" t="str">
        <f t="shared" si="1"/>
        <v>https://utrucking.myshopify.com/admin/orders?query=14153</v>
      </c>
    </row>
    <row r="305">
      <c r="A305" s="93" t="str">
        <f t="shared" si="2"/>
        <v>#14154</v>
      </c>
      <c r="B305" s="93" t="str">
        <f>IF(AND(COUNTIF(MAIN!B:B, A305)=0, IFERROR(SEARCH("return", C305)&gt;0, FALSE)), "Rental Return", IF(COUNTIF(MAIN!B:B, A305)=0, "Missing", ""))</f>
        <v>Missing</v>
      </c>
      <c r="C305" s="133" t="s">
        <v>15246</v>
      </c>
      <c r="E305" s="131" t="str">
        <f t="shared" si="1"/>
        <v>https://utrucking.myshopify.com/admin/orders?query=14154</v>
      </c>
    </row>
    <row r="306">
      <c r="A306" s="93" t="str">
        <f t="shared" si="2"/>
        <v>#14155</v>
      </c>
      <c r="B306" s="93" t="str">
        <f>IF(AND(COUNTIF(MAIN!B:B, A306)=0, IFERROR(SEARCH("return", C306)&gt;0, FALSE)), "Rental Return", IF(COUNTIF(MAIN!B:B, A306)=0, "Missing", ""))</f>
        <v>Missing</v>
      </c>
      <c r="C306" s="133" t="s">
        <v>15246</v>
      </c>
      <c r="E306" s="131" t="str">
        <f t="shared" si="1"/>
        <v>https://utrucking.myshopify.com/admin/orders?query=14155</v>
      </c>
    </row>
    <row r="307">
      <c r="A307" s="93" t="str">
        <f t="shared" si="2"/>
        <v>#14156</v>
      </c>
      <c r="B307" s="93" t="str">
        <f>IF(AND(COUNTIF(MAIN!B:B, A307)=0, IFERROR(SEARCH("return", C307)&gt;0, FALSE)), "Rental Return", IF(COUNTIF(MAIN!B:B, A307)=0, "Missing", ""))</f>
        <v>Missing</v>
      </c>
      <c r="C307" s="133" t="s">
        <v>15246</v>
      </c>
      <c r="E307" s="131" t="str">
        <f t="shared" si="1"/>
        <v>https://utrucking.myshopify.com/admin/orders?query=14156</v>
      </c>
    </row>
    <row r="308">
      <c r="A308" s="93" t="str">
        <f t="shared" si="2"/>
        <v>#14157</v>
      </c>
      <c r="B308" s="93" t="str">
        <f>IF(AND(COUNTIF(MAIN!B:B, A308)=0, IFERROR(SEARCH("return", C308)&gt;0, FALSE)), "Rental Return", IF(COUNTIF(MAIN!B:B, A308)=0, "Missing", ""))</f>
        <v>Missing</v>
      </c>
      <c r="C308" s="133" t="s">
        <v>15246</v>
      </c>
      <c r="E308" s="131" t="str">
        <f t="shared" si="1"/>
        <v>https://utrucking.myshopify.com/admin/orders?query=14157</v>
      </c>
    </row>
    <row r="309">
      <c r="A309" s="93" t="str">
        <f t="shared" si="2"/>
        <v>#14158</v>
      </c>
      <c r="B309" s="93" t="str">
        <f>IF(AND(COUNTIF(MAIN!B:B, A309)=0, IFERROR(SEARCH("return", C309)&gt;0, FALSE)), "Rental Return", IF(COUNTIF(MAIN!B:B, A309)=0, "Missing", ""))</f>
        <v>Rental Return</v>
      </c>
      <c r="C309" s="133" t="s">
        <v>15258</v>
      </c>
      <c r="E309" s="128" t="str">
        <f t="shared" si="1"/>
        <v/>
      </c>
    </row>
    <row r="310">
      <c r="A310" s="93" t="str">
        <f t="shared" si="2"/>
        <v>#14159</v>
      </c>
      <c r="B310" s="93" t="str">
        <f>IF(AND(COUNTIF(MAIN!B:B, A310)=0, IFERROR(SEARCH("return", C310)&gt;0, FALSE)), "Rental Return", IF(COUNTIF(MAIN!B:B, A310)=0, "Missing", ""))</f>
        <v>Missing</v>
      </c>
      <c r="C310" s="133" t="s">
        <v>15246</v>
      </c>
      <c r="E310" s="131" t="str">
        <f t="shared" si="1"/>
        <v>https://utrucking.myshopify.com/admin/orders?query=14159</v>
      </c>
    </row>
    <row r="311">
      <c r="A311" s="93" t="str">
        <f t="shared" si="2"/>
        <v>#14160</v>
      </c>
      <c r="B311" s="93" t="str">
        <f>IF(AND(COUNTIF(MAIN!B:B, A311)=0, IFERROR(SEARCH("return", C311)&gt;0, FALSE)), "Rental Return", IF(COUNTIF(MAIN!B:B, A311)=0, "Missing", ""))</f>
        <v>Missing</v>
      </c>
      <c r="C311" s="133" t="s">
        <v>15249</v>
      </c>
      <c r="E311" s="131" t="str">
        <f t="shared" si="1"/>
        <v>https://utrucking.myshopify.com/admin/orders?query=14160</v>
      </c>
    </row>
    <row r="312">
      <c r="A312" s="93" t="str">
        <f t="shared" si="2"/>
        <v>#14161</v>
      </c>
      <c r="B312" s="93" t="str">
        <f>IF(AND(COUNTIF(MAIN!B:B, A312)=0, IFERROR(SEARCH("return", C312)&gt;0, FALSE)), "Rental Return", IF(COUNTIF(MAIN!B:B, A312)=0, "Missing", ""))</f>
        <v>Missing</v>
      </c>
      <c r="C312" s="133" t="s">
        <v>15246</v>
      </c>
      <c r="E312" s="131" t="str">
        <f t="shared" si="1"/>
        <v>https://utrucking.myshopify.com/admin/orders?query=14161</v>
      </c>
    </row>
    <row r="313">
      <c r="A313" s="93" t="str">
        <f t="shared" si="2"/>
        <v>#14162</v>
      </c>
      <c r="B313" s="93" t="str">
        <f>IF(AND(COUNTIF(MAIN!B:B, A313)=0, IFERROR(SEARCH("return", C313)&gt;0, FALSE)), "Rental Return", IF(COUNTIF(MAIN!B:B, A313)=0, "Missing", ""))</f>
        <v>Missing</v>
      </c>
      <c r="C313" s="133" t="s">
        <v>15246</v>
      </c>
      <c r="E313" s="131" t="str">
        <f t="shared" si="1"/>
        <v>https://utrucking.myshopify.com/admin/orders?query=14162</v>
      </c>
    </row>
    <row r="314">
      <c r="A314" s="93" t="str">
        <f t="shared" si="2"/>
        <v>#14163</v>
      </c>
      <c r="B314" s="93" t="str">
        <f>IF(AND(COUNTIF(MAIN!B:B, A314)=0, IFERROR(SEARCH("return", C314)&gt;0, FALSE)), "Rental Return", IF(COUNTIF(MAIN!B:B, A314)=0, "Missing", ""))</f>
        <v>Missing</v>
      </c>
      <c r="C314" s="133" t="s">
        <v>15246</v>
      </c>
      <c r="E314" s="131" t="str">
        <f t="shared" si="1"/>
        <v>https://utrucking.myshopify.com/admin/orders?query=14163</v>
      </c>
    </row>
    <row r="315">
      <c r="A315" s="93" t="str">
        <f t="shared" si="2"/>
        <v>#14164</v>
      </c>
      <c r="B315" s="93" t="str">
        <f>IF(AND(COUNTIF(MAIN!B:B, A315)=0, IFERROR(SEARCH("return", C315)&gt;0, FALSE)), "Rental Return", IF(COUNTIF(MAIN!B:B, A315)=0, "Missing", ""))</f>
        <v>Missing</v>
      </c>
      <c r="C315" s="133" t="s">
        <v>15246</v>
      </c>
      <c r="E315" s="131" t="str">
        <f t="shared" si="1"/>
        <v>https://utrucking.myshopify.com/admin/orders?query=14164</v>
      </c>
    </row>
    <row r="316">
      <c r="A316" s="93" t="str">
        <f t="shared" si="2"/>
        <v>#14165</v>
      </c>
      <c r="B316" s="93" t="str">
        <f>IF(AND(COUNTIF(MAIN!B:B, A316)=0, IFERROR(SEARCH("return", C316)&gt;0, FALSE)), "Rental Return", IF(COUNTIF(MAIN!B:B, A316)=0, "Missing", ""))</f>
        <v>Rental Return</v>
      </c>
      <c r="C316" s="133" t="s">
        <v>1111</v>
      </c>
      <c r="E316" s="128" t="str">
        <f t="shared" si="1"/>
        <v/>
      </c>
    </row>
    <row r="317">
      <c r="A317" s="93" t="str">
        <f t="shared" si="2"/>
        <v>#14166</v>
      </c>
      <c r="B317" s="93" t="str">
        <f>IF(AND(COUNTIF(MAIN!B:B, A317)=0, IFERROR(SEARCH("return", C317)&gt;0, FALSE)), "Rental Return", IF(COUNTIF(MAIN!B:B, A317)=0, "Missing", ""))</f>
        <v>Missing</v>
      </c>
      <c r="C317" s="133" t="s">
        <v>15246</v>
      </c>
      <c r="E317" s="131" t="str">
        <f t="shared" si="1"/>
        <v>https://utrucking.myshopify.com/admin/orders?query=14166</v>
      </c>
    </row>
    <row r="318">
      <c r="A318" s="93" t="str">
        <f t="shared" si="2"/>
        <v>#14167</v>
      </c>
      <c r="B318" s="93" t="str">
        <f>IF(AND(COUNTIF(MAIN!B:B, A318)=0, IFERROR(SEARCH("return", C318)&gt;0, FALSE)), "Rental Return", IF(COUNTIF(MAIN!B:B, A318)=0, "Missing", ""))</f>
        <v>Missing</v>
      </c>
      <c r="C318" s="133" t="s">
        <v>15246</v>
      </c>
      <c r="E318" s="131" t="str">
        <f t="shared" si="1"/>
        <v>https://utrucking.myshopify.com/admin/orders?query=14167</v>
      </c>
    </row>
    <row r="319">
      <c r="A319" s="93" t="str">
        <f t="shared" si="2"/>
        <v>#14168</v>
      </c>
      <c r="B319" s="93" t="str">
        <f>IF(AND(COUNTIF(MAIN!B:B, A319)=0, IFERROR(SEARCH("return", C319)&gt;0, FALSE)), "Rental Return", IF(COUNTIF(MAIN!B:B, A319)=0, "Missing", ""))</f>
        <v>Missing</v>
      </c>
      <c r="C319" s="133" t="s">
        <v>15249</v>
      </c>
      <c r="E319" s="131" t="str">
        <f t="shared" si="1"/>
        <v>https://utrucking.myshopify.com/admin/orders?query=14168</v>
      </c>
    </row>
    <row r="320">
      <c r="A320" s="93" t="str">
        <f t="shared" si="2"/>
        <v>#14169</v>
      </c>
      <c r="B320" s="93" t="str">
        <f>IF(AND(COUNTIF(MAIN!B:B, A320)=0, IFERROR(SEARCH("return", C320)&gt;0, FALSE)), "Rental Return", IF(COUNTIF(MAIN!B:B, A320)=0, "Missing", ""))</f>
        <v>Missing</v>
      </c>
      <c r="C320" s="133" t="s">
        <v>15246</v>
      </c>
      <c r="E320" s="131" t="str">
        <f t="shared" si="1"/>
        <v>https://utrucking.myshopify.com/admin/orders?query=14169</v>
      </c>
    </row>
    <row r="321">
      <c r="A321" s="93" t="str">
        <f t="shared" si="2"/>
        <v>#14170</v>
      </c>
      <c r="B321" s="93" t="str">
        <f>IF(AND(COUNTIF(MAIN!B:B, A321)=0, IFERROR(SEARCH("return", C321)&gt;0, FALSE)), "Rental Return", IF(COUNTIF(MAIN!B:B, A321)=0, "Missing", ""))</f>
        <v>Missing</v>
      </c>
      <c r="C321" s="133" t="s">
        <v>15249</v>
      </c>
      <c r="E321" s="131" t="str">
        <f t="shared" si="1"/>
        <v>https://utrucking.myshopify.com/admin/orders?query=14170</v>
      </c>
    </row>
    <row r="322">
      <c r="A322" s="93" t="str">
        <f t="shared" si="2"/>
        <v>#14171</v>
      </c>
      <c r="B322" s="93" t="str">
        <f>IF(AND(COUNTIF(MAIN!B:B, A322)=0, IFERROR(SEARCH("return", C322)&gt;0, FALSE)), "Rental Return", IF(COUNTIF(MAIN!B:B, A322)=0, "Missing", ""))</f>
        <v/>
      </c>
      <c r="C322" s="128"/>
      <c r="E322" s="128" t="str">
        <f t="shared" si="1"/>
        <v/>
      </c>
    </row>
    <row r="323">
      <c r="A323" s="93" t="str">
        <f t="shared" si="2"/>
        <v>#14172</v>
      </c>
      <c r="B323" s="93" t="str">
        <f>IF(AND(COUNTIF(MAIN!B:B, A323)=0, IFERROR(SEARCH("return", C323)&gt;0, FALSE)), "Rental Return", IF(COUNTIF(MAIN!B:B, A323)=0, "Missing", ""))</f>
        <v>Missing</v>
      </c>
      <c r="C323" s="133" t="s">
        <v>15263</v>
      </c>
      <c r="E323" s="131" t="str">
        <f t="shared" si="1"/>
        <v>https://utrucking.myshopify.com/admin/orders?query=14172</v>
      </c>
    </row>
    <row r="324">
      <c r="A324" s="93" t="str">
        <f t="shared" si="2"/>
        <v>#14173</v>
      </c>
      <c r="B324" s="93" t="str">
        <f>IF(AND(COUNTIF(MAIN!B:B, A324)=0, IFERROR(SEARCH("return", C324)&gt;0, FALSE)), "Rental Return", IF(COUNTIF(MAIN!B:B, A324)=0, "Missing", ""))</f>
        <v>Missing</v>
      </c>
      <c r="C324" s="133" t="s">
        <v>15246</v>
      </c>
      <c r="E324" s="131" t="str">
        <f t="shared" si="1"/>
        <v>https://utrucking.myshopify.com/admin/orders?query=14173</v>
      </c>
    </row>
    <row r="325">
      <c r="A325" s="93" t="str">
        <f t="shared" si="2"/>
        <v>#14174</v>
      </c>
      <c r="B325" s="93" t="str">
        <f>IF(AND(COUNTIF(MAIN!B:B, A325)=0, IFERROR(SEARCH("return", C325)&gt;0, FALSE)), "Rental Return", IF(COUNTIF(MAIN!B:B, A325)=0, "Missing", ""))</f>
        <v>Missing</v>
      </c>
      <c r="C325" s="133" t="s">
        <v>15246</v>
      </c>
      <c r="E325" s="131" t="str">
        <f t="shared" si="1"/>
        <v>https://utrucking.myshopify.com/admin/orders?query=14174</v>
      </c>
    </row>
    <row r="326">
      <c r="A326" s="93" t="str">
        <f t="shared" si="2"/>
        <v>#14175</v>
      </c>
      <c r="B326" s="93" t="str">
        <f>IF(AND(COUNTIF(MAIN!B:B, A326)=0, IFERROR(SEARCH("return", C326)&gt;0, FALSE)), "Rental Return", IF(COUNTIF(MAIN!B:B, A326)=0, "Missing", ""))</f>
        <v>Missing</v>
      </c>
      <c r="C326" s="133" t="s">
        <v>15252</v>
      </c>
      <c r="E326" s="131" t="str">
        <f t="shared" si="1"/>
        <v>https://utrucking.myshopify.com/admin/orders?query=14175</v>
      </c>
    </row>
    <row r="327">
      <c r="A327" s="93" t="str">
        <f t="shared" si="2"/>
        <v>#14176</v>
      </c>
      <c r="B327" s="93" t="str">
        <f>IF(AND(COUNTIF(MAIN!B:B, A327)=0, IFERROR(SEARCH("return", C327)&gt;0, FALSE)), "Rental Return", IF(COUNTIF(MAIN!B:B, A327)=0, "Missing", ""))</f>
        <v>Missing</v>
      </c>
      <c r="C327" s="133" t="s">
        <v>15246</v>
      </c>
      <c r="E327" s="131" t="str">
        <f t="shared" si="1"/>
        <v>https://utrucking.myshopify.com/admin/orders?query=14176</v>
      </c>
    </row>
    <row r="328">
      <c r="A328" s="93" t="str">
        <f t="shared" si="2"/>
        <v>#14177</v>
      </c>
      <c r="B328" s="93" t="str">
        <f>IF(AND(COUNTIF(MAIN!B:B, A328)=0, IFERROR(SEARCH("return", C328)&gt;0, FALSE)), "Rental Return", IF(COUNTIF(MAIN!B:B, A328)=0, "Missing", ""))</f>
        <v>Missing</v>
      </c>
      <c r="C328" s="133" t="s">
        <v>15249</v>
      </c>
      <c r="E328" s="131" t="str">
        <f t="shared" si="1"/>
        <v>https://utrucking.myshopify.com/admin/orders?query=14177</v>
      </c>
    </row>
    <row r="329">
      <c r="A329" s="93" t="str">
        <f t="shared" si="2"/>
        <v>#14178</v>
      </c>
      <c r="B329" s="93" t="str">
        <f>IF(AND(COUNTIF(MAIN!B:B, A329)=0, IFERROR(SEARCH("return", C329)&gt;0, FALSE)), "Rental Return", IF(COUNTIF(MAIN!B:B, A329)=0, "Missing", ""))</f>
        <v>Missing</v>
      </c>
      <c r="C329" s="133" t="s">
        <v>15246</v>
      </c>
      <c r="E329" s="131" t="str">
        <f t="shared" si="1"/>
        <v>https://utrucking.myshopify.com/admin/orders?query=14178</v>
      </c>
    </row>
    <row r="330">
      <c r="A330" s="93" t="str">
        <f t="shared" si="2"/>
        <v>#14179</v>
      </c>
      <c r="B330" s="93" t="str">
        <f>IF(AND(COUNTIF(MAIN!B:B, A330)=0, IFERROR(SEARCH("return", C330)&gt;0, FALSE)), "Rental Return", IF(COUNTIF(MAIN!B:B, A330)=0, "Missing", ""))</f>
        <v>Rental Return</v>
      </c>
      <c r="C330" s="133" t="s">
        <v>15264</v>
      </c>
      <c r="E330" s="128" t="str">
        <f t="shared" si="1"/>
        <v/>
      </c>
    </row>
    <row r="331">
      <c r="A331" s="93" t="str">
        <f t="shared" si="2"/>
        <v>#14180</v>
      </c>
      <c r="B331" s="93" t="str">
        <f>IF(AND(COUNTIF(MAIN!B:B, A331)=0, IFERROR(SEARCH("return", C331)&gt;0, FALSE)), "Rental Return", IF(COUNTIF(MAIN!B:B, A331)=0, "Missing", ""))</f>
        <v>Missing</v>
      </c>
      <c r="C331" s="133" t="s">
        <v>15249</v>
      </c>
      <c r="E331" s="131" t="str">
        <f t="shared" si="1"/>
        <v>https://utrucking.myshopify.com/admin/orders?query=14180</v>
      </c>
    </row>
    <row r="332">
      <c r="A332" s="93" t="str">
        <f t="shared" si="2"/>
        <v>#14181</v>
      </c>
      <c r="B332" s="93" t="str">
        <f>IF(AND(COUNTIF(MAIN!B:B, A332)=0, IFERROR(SEARCH("return", C332)&gt;0, FALSE)), "Rental Return", IF(COUNTIF(MAIN!B:B, A332)=0, "Missing", ""))</f>
        <v>Missing</v>
      </c>
      <c r="C332" s="133" t="s">
        <v>15249</v>
      </c>
      <c r="E332" s="131" t="str">
        <f t="shared" si="1"/>
        <v>https://utrucking.myshopify.com/admin/orders?query=14181</v>
      </c>
    </row>
    <row r="333">
      <c r="A333" s="93" t="str">
        <f t="shared" si="2"/>
        <v>#14182</v>
      </c>
      <c r="B333" s="93" t="str">
        <f>IF(AND(COUNTIF(MAIN!B:B, A333)=0, IFERROR(SEARCH("return", C333)&gt;0, FALSE)), "Rental Return", IF(COUNTIF(MAIN!B:B, A333)=0, "Missing", ""))</f>
        <v>Missing</v>
      </c>
      <c r="C333" s="133" t="s">
        <v>15246</v>
      </c>
      <c r="E333" s="131" t="str">
        <f t="shared" si="1"/>
        <v>https://utrucking.myshopify.com/admin/orders?query=14182</v>
      </c>
    </row>
    <row r="334">
      <c r="A334" s="93" t="str">
        <f t="shared" si="2"/>
        <v>#14183</v>
      </c>
      <c r="B334" s="93" t="str">
        <f>IF(AND(COUNTIF(MAIN!B:B, A334)=0, IFERROR(SEARCH("return", C334)&gt;0, FALSE)), "Rental Return", IF(COUNTIF(MAIN!B:B, A334)=0, "Missing", ""))</f>
        <v>Missing</v>
      </c>
      <c r="C334" s="133" t="s">
        <v>15246</v>
      </c>
      <c r="E334" s="131" t="str">
        <f t="shared" si="1"/>
        <v>https://utrucking.myshopify.com/admin/orders?query=14183</v>
      </c>
    </row>
    <row r="335">
      <c r="A335" s="93" t="str">
        <f t="shared" si="2"/>
        <v>#14184</v>
      </c>
      <c r="B335" s="93" t="str">
        <f>IF(AND(COUNTIF(MAIN!B:B, A335)=0, IFERROR(SEARCH("return", C335)&gt;0, FALSE)), "Rental Return", IF(COUNTIF(MAIN!B:B, A335)=0, "Missing", ""))</f>
        <v>Missing</v>
      </c>
      <c r="C335" s="133" t="s">
        <v>15246</v>
      </c>
      <c r="E335" s="131" t="str">
        <f t="shared" si="1"/>
        <v>https://utrucking.myshopify.com/admin/orders?query=14184</v>
      </c>
    </row>
    <row r="336">
      <c r="A336" s="93" t="str">
        <f t="shared" si="2"/>
        <v>#14185</v>
      </c>
      <c r="B336" s="93" t="str">
        <f>IF(AND(COUNTIF(MAIN!B:B, A336)=0, IFERROR(SEARCH("return", C336)&gt;0, FALSE)), "Rental Return", IF(COUNTIF(MAIN!B:B, A336)=0, "Missing", ""))</f>
        <v>Missing</v>
      </c>
      <c r="C336" s="133" t="s">
        <v>15246</v>
      </c>
      <c r="E336" s="131" t="str">
        <f t="shared" si="1"/>
        <v>https://utrucking.myshopify.com/admin/orders?query=14185</v>
      </c>
    </row>
    <row r="337">
      <c r="A337" s="93" t="str">
        <f t="shared" si="2"/>
        <v>#14186</v>
      </c>
      <c r="B337" s="93" t="str">
        <f>IF(AND(COUNTIF(MAIN!B:B, A337)=0, IFERROR(SEARCH("return", C337)&gt;0, FALSE)), "Rental Return", IF(COUNTIF(MAIN!B:B, A337)=0, "Missing", ""))</f>
        <v>Missing</v>
      </c>
      <c r="C337" s="133" t="s">
        <v>15246</v>
      </c>
      <c r="E337" s="131" t="str">
        <f t="shared" si="1"/>
        <v>https://utrucking.myshopify.com/admin/orders?query=14186</v>
      </c>
    </row>
    <row r="338">
      <c r="A338" s="93" t="str">
        <f t="shared" si="2"/>
        <v>#14187</v>
      </c>
      <c r="B338" s="93" t="str">
        <f>IF(AND(COUNTIF(MAIN!B:B, A338)=0, IFERROR(SEARCH("return", C338)&gt;0, FALSE)), "Rental Return", IF(COUNTIF(MAIN!B:B, A338)=0, "Missing", ""))</f>
        <v>Missing</v>
      </c>
      <c r="C338" s="133" t="s">
        <v>15249</v>
      </c>
      <c r="E338" s="131" t="str">
        <f t="shared" si="1"/>
        <v>https://utrucking.myshopify.com/admin/orders?query=14187</v>
      </c>
    </row>
    <row r="339">
      <c r="A339" s="93" t="str">
        <f t="shared" si="2"/>
        <v>#14188</v>
      </c>
      <c r="B339" s="93" t="str">
        <f>IF(AND(COUNTIF(MAIN!B:B, A339)=0, IFERROR(SEARCH("return", C339)&gt;0, FALSE)), "Rental Return", IF(COUNTIF(MAIN!B:B, A339)=0, "Missing", ""))</f>
        <v>Missing</v>
      </c>
      <c r="C339" s="133" t="s">
        <v>15246</v>
      </c>
      <c r="E339" s="131" t="str">
        <f t="shared" si="1"/>
        <v>https://utrucking.myshopify.com/admin/orders?query=14188</v>
      </c>
    </row>
    <row r="340">
      <c r="A340" s="93" t="str">
        <f t="shared" si="2"/>
        <v>#14189</v>
      </c>
      <c r="B340" s="93" t="str">
        <f>IF(AND(COUNTIF(MAIN!B:B, A340)=0, IFERROR(SEARCH("return", C340)&gt;0, FALSE)), "Rental Return", IF(COUNTIF(MAIN!B:B, A340)=0, "Missing", ""))</f>
        <v>Missing</v>
      </c>
      <c r="C340" s="133" t="s">
        <v>15251</v>
      </c>
      <c r="E340" s="131" t="str">
        <f t="shared" si="1"/>
        <v>https://utrucking.myshopify.com/admin/orders?query=14189</v>
      </c>
    </row>
    <row r="341">
      <c r="A341" s="93" t="str">
        <f t="shared" si="2"/>
        <v>#14190</v>
      </c>
      <c r="B341" s="93" t="str">
        <f>IF(AND(COUNTIF(MAIN!B:B, A341)=0, IFERROR(SEARCH("return", C341)&gt;0, FALSE)), "Rental Return", IF(COUNTIF(MAIN!B:B, A341)=0, "Missing", ""))</f>
        <v>Missing</v>
      </c>
      <c r="C341" s="133" t="s">
        <v>15245</v>
      </c>
      <c r="E341" s="131" t="str">
        <f t="shared" si="1"/>
        <v>https://utrucking.myshopify.com/admin/orders?query=14190</v>
      </c>
    </row>
    <row r="342">
      <c r="A342" s="93" t="str">
        <f t="shared" si="2"/>
        <v>#14191</v>
      </c>
      <c r="B342" s="93" t="str">
        <f>IF(AND(COUNTIF(MAIN!B:B, A342)=0, IFERROR(SEARCH("return", C342)&gt;0, FALSE)), "Rental Return", IF(COUNTIF(MAIN!B:B, A342)=0, "Missing", ""))</f>
        <v/>
      </c>
      <c r="C342" s="128"/>
      <c r="E342" s="128" t="str">
        <f t="shared" si="1"/>
        <v/>
      </c>
    </row>
    <row r="343">
      <c r="A343" s="93" t="str">
        <f t="shared" si="2"/>
        <v>#14192</v>
      </c>
      <c r="B343" s="93" t="str">
        <f>IF(AND(COUNTIF(MAIN!B:B, A343)=0, IFERROR(SEARCH("return", C343)&gt;0, FALSE)), "Rental Return", IF(COUNTIF(MAIN!B:B, A343)=0, "Missing", ""))</f>
        <v>Missing</v>
      </c>
      <c r="C343" s="133" t="s">
        <v>15246</v>
      </c>
      <c r="E343" s="131" t="str">
        <f t="shared" si="1"/>
        <v>https://utrucking.myshopify.com/admin/orders?query=14192</v>
      </c>
    </row>
    <row r="344">
      <c r="A344" s="93" t="str">
        <f t="shared" si="2"/>
        <v>#14193</v>
      </c>
      <c r="B344" s="93" t="str">
        <f>IF(AND(COUNTIF(MAIN!B:B, A344)=0, IFERROR(SEARCH("return", C344)&gt;0, FALSE)), "Rental Return", IF(COUNTIF(MAIN!B:B, A344)=0, "Missing", ""))</f>
        <v>Missing</v>
      </c>
      <c r="C344" s="133" t="s">
        <v>15246</v>
      </c>
      <c r="E344" s="131" t="str">
        <f t="shared" si="1"/>
        <v>https://utrucking.myshopify.com/admin/orders?query=14193</v>
      </c>
    </row>
    <row r="345">
      <c r="A345" s="93" t="str">
        <f t="shared" si="2"/>
        <v>#14194</v>
      </c>
      <c r="B345" s="93" t="str">
        <f>IF(AND(COUNTIF(MAIN!B:B, A345)=0, IFERROR(SEARCH("return", C345)&gt;0, FALSE)), "Rental Return", IF(COUNTIF(MAIN!B:B, A345)=0, "Missing", ""))</f>
        <v/>
      </c>
      <c r="C345" s="128"/>
      <c r="E345" s="128" t="str">
        <f t="shared" si="1"/>
        <v/>
      </c>
    </row>
    <row r="346">
      <c r="A346" s="93" t="str">
        <f t="shared" si="2"/>
        <v>#14195</v>
      </c>
      <c r="B346" s="93" t="str">
        <f>IF(AND(COUNTIF(MAIN!B:B, A346)=0, IFERROR(SEARCH("return", C346)&gt;0, FALSE)), "Rental Return", IF(COUNTIF(MAIN!B:B, A346)=0, "Missing", ""))</f>
        <v>Missing</v>
      </c>
      <c r="C346" s="133" t="s">
        <v>15251</v>
      </c>
      <c r="E346" s="131" t="str">
        <f t="shared" si="1"/>
        <v>https://utrucking.myshopify.com/admin/orders?query=14195</v>
      </c>
    </row>
    <row r="347">
      <c r="A347" s="93" t="str">
        <f t="shared" si="2"/>
        <v>#14196</v>
      </c>
      <c r="B347" s="93" t="str">
        <f>IF(AND(COUNTIF(MAIN!B:B, A347)=0, IFERROR(SEARCH("return", C347)&gt;0, FALSE)), "Rental Return", IF(COUNTIF(MAIN!B:B, A347)=0, "Missing", ""))</f>
        <v>Missing</v>
      </c>
      <c r="C347" s="133" t="s">
        <v>15252</v>
      </c>
      <c r="E347" s="131" t="str">
        <f t="shared" si="1"/>
        <v>https://utrucking.myshopify.com/admin/orders?query=14196</v>
      </c>
    </row>
    <row r="348">
      <c r="A348" s="93" t="str">
        <f t="shared" si="2"/>
        <v>#14197</v>
      </c>
      <c r="B348" s="93" t="str">
        <f>IF(AND(COUNTIF(MAIN!B:B, A348)=0, IFERROR(SEARCH("return", C348)&gt;0, FALSE)), "Rental Return", IF(COUNTIF(MAIN!B:B, A348)=0, "Missing", ""))</f>
        <v>Missing</v>
      </c>
      <c r="C348" s="133" t="s">
        <v>15251</v>
      </c>
      <c r="E348" s="131" t="str">
        <f t="shared" si="1"/>
        <v>https://utrucking.myshopify.com/admin/orders?query=14197</v>
      </c>
    </row>
    <row r="349">
      <c r="A349" s="93" t="str">
        <f t="shared" si="2"/>
        <v>#14198</v>
      </c>
      <c r="B349" s="93" t="str">
        <f>IF(AND(COUNTIF(MAIN!B:B, A349)=0, IFERROR(SEARCH("return", C349)&gt;0, FALSE)), "Rental Return", IF(COUNTIF(MAIN!B:B, A349)=0, "Missing", ""))</f>
        <v>Missing</v>
      </c>
      <c r="C349" s="133" t="s">
        <v>15249</v>
      </c>
      <c r="E349" s="131" t="str">
        <f t="shared" si="1"/>
        <v>https://utrucking.myshopify.com/admin/orders?query=14198</v>
      </c>
    </row>
    <row r="350">
      <c r="A350" s="93" t="str">
        <f t="shared" si="2"/>
        <v>#14199</v>
      </c>
      <c r="B350" s="93" t="str">
        <f>IF(AND(COUNTIF(MAIN!B:B, A350)=0, IFERROR(SEARCH("return", C350)&gt;0, FALSE)), "Rental Return", IF(COUNTIF(MAIN!B:B, A350)=0, "Missing", ""))</f>
        <v>Missing</v>
      </c>
      <c r="C350" s="133" t="s">
        <v>15250</v>
      </c>
      <c r="E350" s="131" t="str">
        <f t="shared" si="1"/>
        <v>https://utrucking.myshopify.com/admin/orders?query=14199</v>
      </c>
    </row>
    <row r="351">
      <c r="A351" s="93" t="str">
        <f t="shared" si="2"/>
        <v>#14200</v>
      </c>
      <c r="B351" s="93" t="str">
        <f>IF(AND(COUNTIF(MAIN!B:B, A351)=0, IFERROR(SEARCH("return", C351)&gt;0, FALSE)), "Rental Return", IF(COUNTIF(MAIN!B:B, A351)=0, "Missing", ""))</f>
        <v>Missing</v>
      </c>
      <c r="C351" s="133" t="s">
        <v>15246</v>
      </c>
      <c r="E351" s="131" t="str">
        <f t="shared" si="1"/>
        <v>https://utrucking.myshopify.com/admin/orders?query=14200</v>
      </c>
    </row>
    <row r="352">
      <c r="A352" s="93" t="str">
        <f t="shared" si="2"/>
        <v>#14201</v>
      </c>
      <c r="B352" s="93" t="str">
        <f>IF(AND(COUNTIF(MAIN!B:B, A352)=0, IFERROR(SEARCH("return", C352)&gt;0, FALSE)), "Rental Return", IF(COUNTIF(MAIN!B:B, A352)=0, "Missing", ""))</f>
        <v>Missing</v>
      </c>
      <c r="C352" s="133" t="s">
        <v>15246</v>
      </c>
      <c r="E352" s="131" t="str">
        <f t="shared" si="1"/>
        <v>https://utrucking.myshopify.com/admin/orders?query=14201</v>
      </c>
    </row>
    <row r="353">
      <c r="A353" s="93" t="str">
        <f t="shared" si="2"/>
        <v>#14202</v>
      </c>
      <c r="B353" s="93" t="str">
        <f>IF(AND(COUNTIF(MAIN!B:B, A353)=0, IFERROR(SEARCH("return", C353)&gt;0, FALSE)), "Rental Return", IF(COUNTIF(MAIN!B:B, A353)=0, "Missing", ""))</f>
        <v>Missing</v>
      </c>
      <c r="C353" s="133" t="s">
        <v>15246</v>
      </c>
      <c r="E353" s="131" t="str">
        <f t="shared" si="1"/>
        <v>https://utrucking.myshopify.com/admin/orders?query=14202</v>
      </c>
    </row>
    <row r="354">
      <c r="A354" s="93" t="str">
        <f t="shared" si="2"/>
        <v>#14203</v>
      </c>
      <c r="B354" s="93" t="str">
        <f>IF(AND(COUNTIF(MAIN!B:B, A354)=0, IFERROR(SEARCH("return", C354)&gt;0, FALSE)), "Rental Return", IF(COUNTIF(MAIN!B:B, A354)=0, "Missing", ""))</f>
        <v>Rental Return</v>
      </c>
      <c r="C354" s="133" t="s">
        <v>15258</v>
      </c>
      <c r="E354" s="128" t="str">
        <f t="shared" si="1"/>
        <v/>
      </c>
    </row>
    <row r="355">
      <c r="A355" s="93" t="str">
        <f t="shared" si="2"/>
        <v>#14204</v>
      </c>
      <c r="B355" s="93" t="str">
        <f>IF(AND(COUNTIF(MAIN!B:B, A355)=0, IFERROR(SEARCH("return", C355)&gt;0, FALSE)), "Rental Return", IF(COUNTIF(MAIN!B:B, A355)=0, "Missing", ""))</f>
        <v>Missing</v>
      </c>
      <c r="C355" s="133" t="s">
        <v>15246</v>
      </c>
      <c r="E355" s="131" t="str">
        <f t="shared" si="1"/>
        <v>https://utrucking.myshopify.com/admin/orders?query=14204</v>
      </c>
    </row>
    <row r="356">
      <c r="A356" s="93" t="str">
        <f t="shared" si="2"/>
        <v>#14205</v>
      </c>
      <c r="B356" s="93" t="str">
        <f>IF(AND(COUNTIF(MAIN!B:B, A356)=0, IFERROR(SEARCH("return", C356)&gt;0, FALSE)), "Rental Return", IF(COUNTIF(MAIN!B:B, A356)=0, "Missing", ""))</f>
        <v>Missing</v>
      </c>
      <c r="C356" s="133" t="s">
        <v>15246</v>
      </c>
      <c r="E356" s="131" t="str">
        <f t="shared" si="1"/>
        <v>https://utrucking.myshopify.com/admin/orders?query=14205</v>
      </c>
    </row>
    <row r="357">
      <c r="A357" s="93" t="str">
        <f t="shared" si="2"/>
        <v>#14206</v>
      </c>
      <c r="B357" s="93" t="str">
        <f>IF(AND(COUNTIF(MAIN!B:B, A357)=0, IFERROR(SEARCH("return", C357)&gt;0, FALSE)), "Rental Return", IF(COUNTIF(MAIN!B:B, A357)=0, "Missing", ""))</f>
        <v>Missing</v>
      </c>
      <c r="C357" s="133" t="s">
        <v>15246</v>
      </c>
      <c r="E357" s="131" t="str">
        <f t="shared" si="1"/>
        <v>https://utrucking.myshopify.com/admin/orders?query=14206</v>
      </c>
    </row>
    <row r="358">
      <c r="A358" s="93" t="str">
        <f t="shared" si="2"/>
        <v>#14207</v>
      </c>
      <c r="B358" s="93" t="str">
        <f>IF(AND(COUNTIF(MAIN!B:B, A358)=0, IFERROR(SEARCH("return", C358)&gt;0, FALSE)), "Rental Return", IF(COUNTIF(MAIN!B:B, A358)=0, "Missing", ""))</f>
        <v>Rental Return</v>
      </c>
      <c r="C358" s="133" t="s">
        <v>15258</v>
      </c>
      <c r="E358" s="128" t="str">
        <f t="shared" si="1"/>
        <v/>
      </c>
    </row>
    <row r="359">
      <c r="A359" s="93" t="str">
        <f t="shared" si="2"/>
        <v>#14208</v>
      </c>
      <c r="B359" s="93" t="str">
        <f>IF(AND(COUNTIF(MAIN!B:B, A359)=0, IFERROR(SEARCH("return", C359)&gt;0, FALSE)), "Rental Return", IF(COUNTIF(MAIN!B:B, A359)=0, "Missing", ""))</f>
        <v>Missing</v>
      </c>
      <c r="C359" s="133" t="s">
        <v>15246</v>
      </c>
      <c r="E359" s="131" t="str">
        <f t="shared" si="1"/>
        <v>https://utrucking.myshopify.com/admin/orders?query=14208</v>
      </c>
    </row>
    <row r="360">
      <c r="A360" s="93" t="str">
        <f t="shared" si="2"/>
        <v>#14209</v>
      </c>
      <c r="B360" s="93" t="str">
        <f>IF(AND(COUNTIF(MAIN!B:B, A360)=0, IFERROR(SEARCH("return", C360)&gt;0, FALSE)), "Rental Return", IF(COUNTIF(MAIN!B:B, A360)=0, "Missing", ""))</f>
        <v>Missing</v>
      </c>
      <c r="C360" s="133" t="s">
        <v>15249</v>
      </c>
      <c r="E360" s="131" t="str">
        <f t="shared" si="1"/>
        <v>https://utrucking.myshopify.com/admin/orders?query=14209</v>
      </c>
    </row>
    <row r="361">
      <c r="A361" s="93" t="str">
        <f t="shared" si="2"/>
        <v>#14210</v>
      </c>
      <c r="B361" s="93" t="str">
        <f>IF(AND(COUNTIF(MAIN!B:B, A361)=0, IFERROR(SEARCH("return", C361)&gt;0, FALSE)), "Rental Return", IF(COUNTIF(MAIN!B:B, A361)=0, "Missing", ""))</f>
        <v>Missing</v>
      </c>
      <c r="C361" s="133" t="s">
        <v>15251</v>
      </c>
      <c r="E361" s="131" t="str">
        <f t="shared" si="1"/>
        <v>https://utrucking.myshopify.com/admin/orders?query=14210</v>
      </c>
    </row>
    <row r="362">
      <c r="A362" s="93" t="str">
        <f t="shared" si="2"/>
        <v>#14211</v>
      </c>
      <c r="B362" s="93" t="str">
        <f>IF(AND(COUNTIF(MAIN!B:B, A362)=0, IFERROR(SEARCH("return", C362)&gt;0, FALSE)), "Rental Return", IF(COUNTIF(MAIN!B:B, A362)=0, "Missing", ""))</f>
        <v>Missing</v>
      </c>
      <c r="C362" s="133" t="s">
        <v>15246</v>
      </c>
      <c r="E362" s="131" t="str">
        <f t="shared" si="1"/>
        <v>https://utrucking.myshopify.com/admin/orders?query=14211</v>
      </c>
    </row>
    <row r="363">
      <c r="A363" s="93" t="str">
        <f t="shared" si="2"/>
        <v>#14212</v>
      </c>
      <c r="B363" s="93" t="str">
        <f>IF(AND(COUNTIF(MAIN!B:B, A363)=0, IFERROR(SEARCH("return", C363)&gt;0, FALSE)), "Rental Return", IF(COUNTIF(MAIN!B:B, A363)=0, "Missing", ""))</f>
        <v>Missing</v>
      </c>
      <c r="C363" s="133" t="s">
        <v>15249</v>
      </c>
      <c r="E363" s="131" t="str">
        <f t="shared" si="1"/>
        <v>https://utrucking.myshopify.com/admin/orders?query=14212</v>
      </c>
    </row>
    <row r="364">
      <c r="A364" s="93" t="str">
        <f t="shared" si="2"/>
        <v>#14213</v>
      </c>
      <c r="B364" s="93" t="str">
        <f>IF(AND(COUNTIF(MAIN!B:B, A364)=0, IFERROR(SEARCH("return", C364)&gt;0, FALSE)), "Rental Return", IF(COUNTIF(MAIN!B:B, A364)=0, "Missing", ""))</f>
        <v>Missing</v>
      </c>
      <c r="C364" s="133" t="s">
        <v>15249</v>
      </c>
      <c r="E364" s="131" t="str">
        <f t="shared" si="1"/>
        <v>https://utrucking.myshopify.com/admin/orders?query=14213</v>
      </c>
    </row>
    <row r="365">
      <c r="A365" s="93" t="str">
        <f t="shared" si="2"/>
        <v>#14214</v>
      </c>
      <c r="B365" s="93" t="str">
        <f>IF(AND(COUNTIF(MAIN!B:B, A365)=0, IFERROR(SEARCH("return", C365)&gt;0, FALSE)), "Rental Return", IF(COUNTIF(MAIN!B:B, A365)=0, "Missing", ""))</f>
        <v>Missing</v>
      </c>
      <c r="C365" s="133" t="s">
        <v>15249</v>
      </c>
      <c r="E365" s="131" t="str">
        <f t="shared" si="1"/>
        <v>https://utrucking.myshopify.com/admin/orders?query=14214</v>
      </c>
    </row>
    <row r="366">
      <c r="A366" s="93" t="str">
        <f t="shared" si="2"/>
        <v>#14215</v>
      </c>
      <c r="B366" s="93" t="str">
        <f>IF(AND(COUNTIF(MAIN!B:B, A366)=0, IFERROR(SEARCH("return", C366)&gt;0, FALSE)), "Rental Return", IF(COUNTIF(MAIN!B:B, A366)=0, "Missing", ""))</f>
        <v>Missing</v>
      </c>
      <c r="C366" s="133" t="s">
        <v>15246</v>
      </c>
      <c r="E366" s="131" t="str">
        <f t="shared" si="1"/>
        <v>https://utrucking.myshopify.com/admin/orders?query=14215</v>
      </c>
    </row>
    <row r="367">
      <c r="A367" s="93" t="str">
        <f t="shared" si="2"/>
        <v>#14216</v>
      </c>
      <c r="B367" s="93" t="str">
        <f>IF(AND(COUNTIF(MAIN!B:B, A367)=0, IFERROR(SEARCH("return", C367)&gt;0, FALSE)), "Rental Return", IF(COUNTIF(MAIN!B:B, A367)=0, "Missing", ""))</f>
        <v>Missing</v>
      </c>
      <c r="C367" s="133" t="s">
        <v>15248</v>
      </c>
      <c r="E367" s="131" t="str">
        <f t="shared" si="1"/>
        <v>https://utrucking.myshopify.com/admin/orders?query=14216</v>
      </c>
    </row>
    <row r="368">
      <c r="A368" s="93" t="str">
        <f t="shared" si="2"/>
        <v>#14217</v>
      </c>
      <c r="B368" s="93" t="str">
        <f>IF(AND(COUNTIF(MAIN!B:B, A368)=0, IFERROR(SEARCH("return", C368)&gt;0, FALSE)), "Rental Return", IF(COUNTIF(MAIN!B:B, A368)=0, "Missing", ""))</f>
        <v>Missing</v>
      </c>
      <c r="C368" s="133" t="s">
        <v>15246</v>
      </c>
      <c r="E368" s="131" t="str">
        <f t="shared" si="1"/>
        <v>https://utrucking.myshopify.com/admin/orders?query=14217</v>
      </c>
    </row>
    <row r="369">
      <c r="A369" s="93" t="str">
        <f t="shared" si="2"/>
        <v>#14218</v>
      </c>
      <c r="B369" s="93" t="str">
        <f>IF(AND(COUNTIF(MAIN!B:B, A369)=0, IFERROR(SEARCH("return", C369)&gt;0, FALSE)), "Rental Return", IF(COUNTIF(MAIN!B:B, A369)=0, "Missing", ""))</f>
        <v>Missing</v>
      </c>
      <c r="C369" s="133" t="s">
        <v>15246</v>
      </c>
      <c r="E369" s="131" t="str">
        <f t="shared" si="1"/>
        <v>https://utrucking.myshopify.com/admin/orders?query=14218</v>
      </c>
    </row>
    <row r="370">
      <c r="A370" s="93" t="str">
        <f t="shared" si="2"/>
        <v>#14219</v>
      </c>
      <c r="B370" s="93" t="str">
        <f>IF(AND(COUNTIF(MAIN!B:B, A370)=0, IFERROR(SEARCH("return", C370)&gt;0, FALSE)), "Rental Return", IF(COUNTIF(MAIN!B:B, A370)=0, "Missing", ""))</f>
        <v>Missing</v>
      </c>
      <c r="C370" s="133" t="s">
        <v>15246</v>
      </c>
      <c r="E370" s="131" t="str">
        <f t="shared" si="1"/>
        <v>https://utrucking.myshopify.com/admin/orders?query=14219</v>
      </c>
    </row>
    <row r="371">
      <c r="A371" s="93" t="str">
        <f t="shared" si="2"/>
        <v>#14220</v>
      </c>
      <c r="B371" s="93" t="str">
        <f>IF(AND(COUNTIF(MAIN!B:B, A371)=0, IFERROR(SEARCH("return", C371)&gt;0, FALSE)), "Rental Return", IF(COUNTIF(MAIN!B:B, A371)=0, "Missing", ""))</f>
        <v>Missing</v>
      </c>
      <c r="C371" s="133" t="s">
        <v>15252</v>
      </c>
      <c r="E371" s="131" t="str">
        <f t="shared" si="1"/>
        <v>https://utrucking.myshopify.com/admin/orders?query=14220</v>
      </c>
    </row>
    <row r="372">
      <c r="A372" s="93" t="str">
        <f t="shared" si="2"/>
        <v>#14221</v>
      </c>
      <c r="B372" s="93" t="str">
        <f>IF(AND(COUNTIF(MAIN!B:B, A372)=0, IFERROR(SEARCH("return", C372)&gt;0, FALSE)), "Rental Return", IF(COUNTIF(MAIN!B:B, A372)=0, "Missing", ""))</f>
        <v>Missing</v>
      </c>
      <c r="C372" s="133" t="s">
        <v>15249</v>
      </c>
      <c r="E372" s="131" t="str">
        <f t="shared" si="1"/>
        <v>https://utrucking.myshopify.com/admin/orders?query=14221</v>
      </c>
    </row>
    <row r="373">
      <c r="A373" s="93" t="str">
        <f t="shared" si="2"/>
        <v>#14222</v>
      </c>
      <c r="B373" s="93" t="str">
        <f>IF(AND(COUNTIF(MAIN!B:B, A373)=0, IFERROR(SEARCH("return", C373)&gt;0, FALSE)), "Rental Return", IF(COUNTIF(MAIN!B:B, A373)=0, "Missing", ""))</f>
        <v>Missing</v>
      </c>
      <c r="C373" s="133" t="s">
        <v>15246</v>
      </c>
      <c r="E373" s="131" t="str">
        <f t="shared" si="1"/>
        <v>https://utrucking.myshopify.com/admin/orders?query=14222</v>
      </c>
    </row>
    <row r="374">
      <c r="A374" s="93" t="str">
        <f t="shared" si="2"/>
        <v>#14223</v>
      </c>
      <c r="B374" s="93" t="str">
        <f>IF(AND(COUNTIF(MAIN!B:B, A374)=0, IFERROR(SEARCH("return", C374)&gt;0, FALSE)), "Rental Return", IF(COUNTIF(MAIN!B:B, A374)=0, "Missing", ""))</f>
        <v>Missing</v>
      </c>
      <c r="C374" s="133" t="s">
        <v>15246</v>
      </c>
      <c r="E374" s="131" t="str">
        <f t="shared" si="1"/>
        <v>https://utrucking.myshopify.com/admin/orders?query=14223</v>
      </c>
    </row>
    <row r="375">
      <c r="A375" s="93" t="str">
        <f t="shared" si="2"/>
        <v>#14224</v>
      </c>
      <c r="B375" s="93" t="str">
        <f>IF(AND(COUNTIF(MAIN!B:B, A375)=0, IFERROR(SEARCH("return", C375)&gt;0, FALSE)), "Rental Return", IF(COUNTIF(MAIN!B:B, A375)=0, "Missing", ""))</f>
        <v/>
      </c>
      <c r="C375" s="128"/>
      <c r="E375" s="128" t="str">
        <f t="shared" si="1"/>
        <v/>
      </c>
    </row>
    <row r="376">
      <c r="A376" s="93" t="str">
        <f t="shared" si="2"/>
        <v>#14225</v>
      </c>
      <c r="B376" s="93" t="str">
        <f>IF(AND(COUNTIF(MAIN!B:B, A376)=0, IFERROR(SEARCH("return", C376)&gt;0, FALSE)), "Rental Return", IF(COUNTIF(MAIN!B:B, A376)=0, "Missing", ""))</f>
        <v>Missing</v>
      </c>
      <c r="C376" s="133" t="s">
        <v>15246</v>
      </c>
      <c r="E376" s="131" t="str">
        <f t="shared" si="1"/>
        <v>https://utrucking.myshopify.com/admin/orders?query=14225</v>
      </c>
    </row>
    <row r="377">
      <c r="A377" s="93" t="str">
        <f t="shared" si="2"/>
        <v>#14226</v>
      </c>
      <c r="B377" s="93" t="str">
        <f>IF(AND(COUNTIF(MAIN!B:B, A377)=0, IFERROR(SEARCH("return", C377)&gt;0, FALSE)), "Rental Return", IF(COUNTIF(MAIN!B:B, A377)=0, "Missing", ""))</f>
        <v>Missing</v>
      </c>
      <c r="C377" s="133" t="s">
        <v>15249</v>
      </c>
      <c r="E377" s="131" t="str">
        <f t="shared" si="1"/>
        <v>https://utrucking.myshopify.com/admin/orders?query=14226</v>
      </c>
    </row>
    <row r="378">
      <c r="A378" s="93" t="str">
        <f t="shared" si="2"/>
        <v>#14227</v>
      </c>
      <c r="B378" s="93" t="str">
        <f>IF(AND(COUNTIF(MAIN!B:B, A378)=0, IFERROR(SEARCH("return", C378)&gt;0, FALSE)), "Rental Return", IF(COUNTIF(MAIN!B:B, A378)=0, "Missing", ""))</f>
        <v>Missing</v>
      </c>
      <c r="C378" s="133" t="s">
        <v>15246</v>
      </c>
      <c r="E378" s="131" t="str">
        <f t="shared" si="1"/>
        <v>https://utrucking.myshopify.com/admin/orders?query=14227</v>
      </c>
    </row>
    <row r="379">
      <c r="A379" s="93" t="str">
        <f t="shared" si="2"/>
        <v>#14228</v>
      </c>
      <c r="B379" s="93" t="str">
        <f>IF(AND(COUNTIF(MAIN!B:B, A379)=0, IFERROR(SEARCH("return", C379)&gt;0, FALSE)), "Rental Return", IF(COUNTIF(MAIN!B:B, A379)=0, "Missing", ""))</f>
        <v>Missing</v>
      </c>
      <c r="C379" s="133" t="s">
        <v>15251</v>
      </c>
      <c r="E379" s="131" t="str">
        <f t="shared" si="1"/>
        <v>https://utrucking.myshopify.com/admin/orders?query=14228</v>
      </c>
    </row>
    <row r="380">
      <c r="A380" s="93" t="str">
        <f t="shared" si="2"/>
        <v>#14229</v>
      </c>
      <c r="B380" s="93" t="str">
        <f>IF(AND(COUNTIF(MAIN!B:B, A380)=0, IFERROR(SEARCH("return", C380)&gt;0, FALSE)), "Rental Return", IF(COUNTIF(MAIN!B:B, A380)=0, "Missing", ""))</f>
        <v>Missing</v>
      </c>
      <c r="C380" s="133" t="s">
        <v>15251</v>
      </c>
      <c r="E380" s="131" t="str">
        <f t="shared" si="1"/>
        <v>https://utrucking.myshopify.com/admin/orders?query=14229</v>
      </c>
    </row>
    <row r="381">
      <c r="A381" s="93" t="str">
        <f t="shared" si="2"/>
        <v>#14230</v>
      </c>
      <c r="B381" s="93" t="str">
        <f>IF(AND(COUNTIF(MAIN!B:B, A381)=0, IFERROR(SEARCH("return", C381)&gt;0, FALSE)), "Rental Return", IF(COUNTIF(MAIN!B:B, A381)=0, "Missing", ""))</f>
        <v>Missing</v>
      </c>
      <c r="C381" s="133" t="s">
        <v>15246</v>
      </c>
      <c r="E381" s="131" t="str">
        <f t="shared" si="1"/>
        <v>https://utrucking.myshopify.com/admin/orders?query=14230</v>
      </c>
    </row>
    <row r="382">
      <c r="A382" s="93" t="str">
        <f t="shared" si="2"/>
        <v>#14231</v>
      </c>
      <c r="B382" s="93" t="str">
        <f>IF(AND(COUNTIF(MAIN!B:B, A382)=0, IFERROR(SEARCH("return", C382)&gt;0, FALSE)), "Rental Return", IF(COUNTIF(MAIN!B:B, A382)=0, "Missing", ""))</f>
        <v>Missing</v>
      </c>
      <c r="C382" s="133" t="s">
        <v>15246</v>
      </c>
      <c r="E382" s="131" t="str">
        <f t="shared" si="1"/>
        <v>https://utrucking.myshopify.com/admin/orders?query=14231</v>
      </c>
    </row>
    <row r="383">
      <c r="A383" s="93" t="str">
        <f t="shared" si="2"/>
        <v>#14232</v>
      </c>
      <c r="B383" s="93" t="str">
        <f>IF(AND(COUNTIF(MAIN!B:B, A383)=0, IFERROR(SEARCH("return", C383)&gt;0, FALSE)), "Rental Return", IF(COUNTIF(MAIN!B:B, A383)=0, "Missing", ""))</f>
        <v>Rental Return</v>
      </c>
      <c r="C383" s="133" t="s">
        <v>1111</v>
      </c>
      <c r="E383" s="128" t="str">
        <f t="shared" si="1"/>
        <v/>
      </c>
    </row>
    <row r="384">
      <c r="A384" s="93" t="str">
        <f t="shared" si="2"/>
        <v>#14233</v>
      </c>
      <c r="B384" s="93" t="str">
        <f>IF(AND(COUNTIF(MAIN!B:B, A384)=0, IFERROR(SEARCH("return", C384)&gt;0, FALSE)), "Rental Return", IF(COUNTIF(MAIN!B:B, A384)=0, "Missing", ""))</f>
        <v>Missing</v>
      </c>
      <c r="C384" s="133" t="s">
        <v>15246</v>
      </c>
      <c r="E384" s="131" t="str">
        <f t="shared" si="1"/>
        <v>https://utrucking.myshopify.com/admin/orders?query=14233</v>
      </c>
    </row>
    <row r="385">
      <c r="A385" s="93" t="str">
        <f t="shared" si="2"/>
        <v>#14234</v>
      </c>
      <c r="B385" s="93" t="str">
        <f>IF(AND(COUNTIF(MAIN!B:B, A385)=0, IFERROR(SEARCH("return", C385)&gt;0, FALSE)), "Rental Return", IF(COUNTIF(MAIN!B:B, A385)=0, "Missing", ""))</f>
        <v>Missing</v>
      </c>
      <c r="C385" s="133" t="s">
        <v>15246</v>
      </c>
      <c r="E385" s="131" t="str">
        <f t="shared" si="1"/>
        <v>https://utrucking.myshopify.com/admin/orders?query=14234</v>
      </c>
    </row>
    <row r="386">
      <c r="A386" s="93" t="str">
        <f t="shared" si="2"/>
        <v>#14235</v>
      </c>
      <c r="B386" s="93" t="str">
        <f>IF(AND(COUNTIF(MAIN!B:B, A386)=0, IFERROR(SEARCH("return", C386)&gt;0, FALSE)), "Rental Return", IF(COUNTIF(MAIN!B:B, A386)=0, "Missing", ""))</f>
        <v/>
      </c>
      <c r="C386" s="128"/>
      <c r="E386" s="128" t="str">
        <f t="shared" si="1"/>
        <v/>
      </c>
    </row>
    <row r="387">
      <c r="A387" s="93" t="str">
        <f t="shared" si="2"/>
        <v>#14236</v>
      </c>
      <c r="B387" s="93" t="str">
        <f>IF(AND(COUNTIF(MAIN!B:B, A387)=0, IFERROR(SEARCH("return", C387)&gt;0, FALSE)), "Rental Return", IF(COUNTIF(MAIN!B:B, A387)=0, "Missing", ""))</f>
        <v>Missing</v>
      </c>
      <c r="C387" s="133" t="s">
        <v>15246</v>
      </c>
      <c r="E387" s="131" t="str">
        <f t="shared" si="1"/>
        <v>https://utrucking.myshopify.com/admin/orders?query=14236</v>
      </c>
    </row>
    <row r="388">
      <c r="A388" s="93" t="str">
        <f t="shared" si="2"/>
        <v>#14237</v>
      </c>
      <c r="B388" s="93" t="str">
        <f>IF(AND(COUNTIF(MAIN!B:B, A388)=0, IFERROR(SEARCH("return", C388)&gt;0, FALSE)), "Rental Return", IF(COUNTIF(MAIN!B:B, A388)=0, "Missing", ""))</f>
        <v>Missing</v>
      </c>
      <c r="C388" s="133" t="s">
        <v>15246</v>
      </c>
      <c r="E388" s="131" t="str">
        <f t="shared" si="1"/>
        <v>https://utrucking.myshopify.com/admin/orders?query=14237</v>
      </c>
    </row>
    <row r="389">
      <c r="A389" s="93" t="str">
        <f t="shared" si="2"/>
        <v>#14238</v>
      </c>
      <c r="B389" s="93" t="str">
        <f>IF(AND(COUNTIF(MAIN!B:B, A389)=0, IFERROR(SEARCH("return", C389)&gt;0, FALSE)), "Rental Return", IF(COUNTIF(MAIN!B:B, A389)=0, "Missing", ""))</f>
        <v>Missing</v>
      </c>
      <c r="C389" s="133" t="s">
        <v>15249</v>
      </c>
      <c r="E389" s="131" t="str">
        <f t="shared" si="1"/>
        <v>https://utrucking.myshopify.com/admin/orders?query=14238</v>
      </c>
    </row>
    <row r="390">
      <c r="A390" s="93" t="str">
        <f t="shared" si="2"/>
        <v>#14239</v>
      </c>
      <c r="B390" s="93" t="str">
        <f>IF(AND(COUNTIF(MAIN!B:B, A390)=0, IFERROR(SEARCH("return", C390)&gt;0, FALSE)), "Rental Return", IF(COUNTIF(MAIN!B:B, A390)=0, "Missing", ""))</f>
        <v>Missing</v>
      </c>
      <c r="C390" s="133" t="s">
        <v>15246</v>
      </c>
      <c r="E390" s="131" t="str">
        <f t="shared" si="1"/>
        <v>https://utrucking.myshopify.com/admin/orders?query=14239</v>
      </c>
    </row>
    <row r="391">
      <c r="A391" s="93" t="str">
        <f t="shared" si="2"/>
        <v>#14240</v>
      </c>
      <c r="B391" s="93" t="str">
        <f>IF(AND(COUNTIF(MAIN!B:B, A391)=0, IFERROR(SEARCH("return", C391)&gt;0, FALSE)), "Rental Return", IF(COUNTIF(MAIN!B:B, A391)=0, "Missing", ""))</f>
        <v>Missing</v>
      </c>
      <c r="C391" s="133" t="s">
        <v>15246</v>
      </c>
      <c r="E391" s="131" t="str">
        <f t="shared" si="1"/>
        <v>https://utrucking.myshopify.com/admin/orders?query=14240</v>
      </c>
    </row>
    <row r="392">
      <c r="A392" s="93" t="str">
        <f t="shared" si="2"/>
        <v>#14241</v>
      </c>
      <c r="B392" s="93" t="str">
        <f>IF(AND(COUNTIF(MAIN!B:B, A392)=0, IFERROR(SEARCH("return", C392)&gt;0, FALSE)), "Rental Return", IF(COUNTIF(MAIN!B:B, A392)=0, "Missing", ""))</f>
        <v>Missing</v>
      </c>
      <c r="C392" s="133" t="s">
        <v>15249</v>
      </c>
      <c r="E392" s="131" t="str">
        <f t="shared" si="1"/>
        <v>https://utrucking.myshopify.com/admin/orders?query=14241</v>
      </c>
    </row>
    <row r="393">
      <c r="A393" s="93" t="str">
        <f t="shared" si="2"/>
        <v>#14242</v>
      </c>
      <c r="B393" s="93" t="str">
        <f>IF(AND(COUNTIF(MAIN!B:B, A393)=0, IFERROR(SEARCH("return", C393)&gt;0, FALSE)), "Rental Return", IF(COUNTIF(MAIN!B:B, A393)=0, "Missing", ""))</f>
        <v>Missing</v>
      </c>
      <c r="C393" s="133" t="s">
        <v>15246</v>
      </c>
      <c r="E393" s="131" t="str">
        <f t="shared" si="1"/>
        <v>https://utrucking.myshopify.com/admin/orders?query=14242</v>
      </c>
    </row>
    <row r="394">
      <c r="A394" s="93" t="str">
        <f t="shared" si="2"/>
        <v>#14243</v>
      </c>
      <c r="B394" s="93" t="str">
        <f>IF(AND(COUNTIF(MAIN!B:B, A394)=0, IFERROR(SEARCH("return", C394)&gt;0, FALSE)), "Rental Return", IF(COUNTIF(MAIN!B:B, A394)=0, "Missing", ""))</f>
        <v>Missing</v>
      </c>
      <c r="C394" s="133" t="s">
        <v>15246</v>
      </c>
      <c r="E394" s="131" t="str">
        <f t="shared" si="1"/>
        <v>https://utrucking.myshopify.com/admin/orders?query=14243</v>
      </c>
    </row>
    <row r="395">
      <c r="A395" s="93" t="str">
        <f t="shared" si="2"/>
        <v>#14244</v>
      </c>
      <c r="B395" s="93" t="str">
        <f>IF(AND(COUNTIF(MAIN!B:B, A395)=0, IFERROR(SEARCH("return", C395)&gt;0, FALSE)), "Rental Return", IF(COUNTIF(MAIN!B:B, A395)=0, "Missing", ""))</f>
        <v>Missing</v>
      </c>
      <c r="C395" s="133" t="s">
        <v>15249</v>
      </c>
      <c r="E395" s="131" t="str">
        <f t="shared" si="1"/>
        <v>https://utrucking.myshopify.com/admin/orders?query=14244</v>
      </c>
    </row>
    <row r="396">
      <c r="A396" s="93" t="str">
        <f t="shared" si="2"/>
        <v>#14245</v>
      </c>
      <c r="B396" s="93" t="str">
        <f>IF(AND(COUNTIF(MAIN!B:B, A396)=0, IFERROR(SEARCH("return", C396)&gt;0, FALSE)), "Rental Return", IF(COUNTIF(MAIN!B:B, A396)=0, "Missing", ""))</f>
        <v>Missing</v>
      </c>
      <c r="C396" s="133" t="s">
        <v>15251</v>
      </c>
      <c r="E396" s="131" t="str">
        <f t="shared" si="1"/>
        <v>https://utrucking.myshopify.com/admin/orders?query=14245</v>
      </c>
    </row>
    <row r="397">
      <c r="A397" s="93" t="str">
        <f t="shared" si="2"/>
        <v>#14246</v>
      </c>
      <c r="B397" s="93" t="str">
        <f>IF(AND(COUNTIF(MAIN!B:B, A397)=0, IFERROR(SEARCH("return", C397)&gt;0, FALSE)), "Rental Return", IF(COUNTIF(MAIN!B:B, A397)=0, "Missing", ""))</f>
        <v>Missing</v>
      </c>
      <c r="C397" s="133" t="s">
        <v>15251</v>
      </c>
      <c r="E397" s="131" t="str">
        <f t="shared" si="1"/>
        <v>https://utrucking.myshopify.com/admin/orders?query=14246</v>
      </c>
    </row>
    <row r="398">
      <c r="A398" s="93" t="str">
        <f t="shared" si="2"/>
        <v>#14247</v>
      </c>
      <c r="B398" s="93" t="str">
        <f>IF(AND(COUNTIF(MAIN!B:B, A398)=0, IFERROR(SEARCH("return", C398)&gt;0, FALSE)), "Rental Return", IF(COUNTIF(MAIN!B:B, A398)=0, "Missing", ""))</f>
        <v>Missing</v>
      </c>
      <c r="C398" s="133" t="s">
        <v>15246</v>
      </c>
      <c r="E398" s="131" t="str">
        <f t="shared" si="1"/>
        <v>https://utrucking.myshopify.com/admin/orders?query=14247</v>
      </c>
    </row>
    <row r="399">
      <c r="A399" s="93" t="str">
        <f t="shared" si="2"/>
        <v>#14248</v>
      </c>
      <c r="B399" s="93" t="str">
        <f>IF(AND(COUNTIF(MAIN!B:B, A399)=0, IFERROR(SEARCH("return", C399)&gt;0, FALSE)), "Rental Return", IF(COUNTIF(MAIN!B:B, A399)=0, "Missing", ""))</f>
        <v>Missing</v>
      </c>
      <c r="C399" s="133" t="s">
        <v>15246</v>
      </c>
      <c r="E399" s="131" t="str">
        <f t="shared" si="1"/>
        <v>https://utrucking.myshopify.com/admin/orders?query=14248</v>
      </c>
    </row>
    <row r="400">
      <c r="A400" s="93" t="str">
        <f t="shared" si="2"/>
        <v>#14249</v>
      </c>
      <c r="B400" s="93" t="str">
        <f>IF(AND(COUNTIF(MAIN!B:B, A400)=0, IFERROR(SEARCH("return", C400)&gt;0, FALSE)), "Rental Return", IF(COUNTIF(MAIN!B:B, A400)=0, "Missing", ""))</f>
        <v>Missing</v>
      </c>
      <c r="C400" s="133" t="s">
        <v>15246</v>
      </c>
      <c r="E400" s="131" t="str">
        <f t="shared" si="1"/>
        <v>https://utrucking.myshopify.com/admin/orders?query=14249</v>
      </c>
    </row>
    <row r="401">
      <c r="A401" s="93" t="str">
        <f t="shared" si="2"/>
        <v>#14250</v>
      </c>
      <c r="B401" s="93" t="str">
        <f>IF(AND(COUNTIF(MAIN!B:B, A401)=0, IFERROR(SEARCH("return", C401)&gt;0, FALSE)), "Rental Return", IF(COUNTIF(MAIN!B:B, A401)=0, "Missing", ""))</f>
        <v>Missing</v>
      </c>
      <c r="C401" s="133" t="s">
        <v>15246</v>
      </c>
      <c r="E401" s="131" t="str">
        <f t="shared" si="1"/>
        <v>https://utrucking.myshopify.com/admin/orders?query=14250</v>
      </c>
    </row>
    <row r="402">
      <c r="A402" s="93" t="str">
        <f t="shared" si="2"/>
        <v>#14251</v>
      </c>
      <c r="B402" s="93" t="str">
        <f>IF(AND(COUNTIF(MAIN!B:B, A402)=0, IFERROR(SEARCH("return", C402)&gt;0, FALSE)), "Rental Return", IF(COUNTIF(MAIN!B:B, A402)=0, "Missing", ""))</f>
        <v>Missing</v>
      </c>
      <c r="C402" s="133" t="s">
        <v>15246</v>
      </c>
      <c r="E402" s="131" t="str">
        <f t="shared" si="1"/>
        <v>https://utrucking.myshopify.com/admin/orders?query=14251</v>
      </c>
    </row>
    <row r="403">
      <c r="A403" s="93" t="str">
        <f t="shared" si="2"/>
        <v>#14252</v>
      </c>
      <c r="B403" s="93" t="str">
        <f>IF(AND(COUNTIF(MAIN!B:B, A403)=0, IFERROR(SEARCH("return", C403)&gt;0, FALSE)), "Rental Return", IF(COUNTIF(MAIN!B:B, A403)=0, "Missing", ""))</f>
        <v>Missing</v>
      </c>
      <c r="C403" s="133" t="s">
        <v>15246</v>
      </c>
      <c r="E403" s="131" t="str">
        <f t="shared" si="1"/>
        <v>https://utrucking.myshopify.com/admin/orders?query=14252</v>
      </c>
    </row>
    <row r="404">
      <c r="A404" s="93" t="str">
        <f t="shared" si="2"/>
        <v>#14253</v>
      </c>
      <c r="B404" s="93" t="str">
        <f>IF(AND(COUNTIF(MAIN!B:B, A404)=0, IFERROR(SEARCH("return", C404)&gt;0, FALSE)), "Rental Return", IF(COUNTIF(MAIN!B:B, A404)=0, "Missing", ""))</f>
        <v>Missing</v>
      </c>
      <c r="C404" s="133" t="s">
        <v>15246</v>
      </c>
      <c r="E404" s="131" t="str">
        <f t="shared" si="1"/>
        <v>https://utrucking.myshopify.com/admin/orders?query=14253</v>
      </c>
    </row>
    <row r="405">
      <c r="A405" s="93" t="str">
        <f t="shared" si="2"/>
        <v>#14254</v>
      </c>
      <c r="B405" s="93" t="str">
        <f>IF(AND(COUNTIF(MAIN!B:B, A405)=0, IFERROR(SEARCH("return", C405)&gt;0, FALSE)), "Rental Return", IF(COUNTIF(MAIN!B:B, A405)=0, "Missing", ""))</f>
        <v>Rental Return</v>
      </c>
      <c r="C405" s="133" t="s">
        <v>1111</v>
      </c>
      <c r="E405" s="128" t="str">
        <f t="shared" si="1"/>
        <v/>
      </c>
    </row>
    <row r="406">
      <c r="A406" s="93" t="str">
        <f t="shared" si="2"/>
        <v>#14255</v>
      </c>
      <c r="B406" s="93" t="str">
        <f>IF(AND(COUNTIF(MAIN!B:B, A406)=0, IFERROR(SEARCH("return", C406)&gt;0, FALSE)), "Rental Return", IF(COUNTIF(MAIN!B:B, A406)=0, "Missing", ""))</f>
        <v>Missing</v>
      </c>
      <c r="C406" s="133" t="s">
        <v>15246</v>
      </c>
      <c r="E406" s="131" t="str">
        <f t="shared" si="1"/>
        <v>https://utrucking.myshopify.com/admin/orders?query=14255</v>
      </c>
    </row>
    <row r="407">
      <c r="A407" s="93" t="str">
        <f t="shared" si="2"/>
        <v>#14256</v>
      </c>
      <c r="B407" s="93" t="str">
        <f>IF(AND(COUNTIF(MAIN!B:B, A407)=0, IFERROR(SEARCH("return", C407)&gt;0, FALSE)), "Rental Return", IF(COUNTIF(MAIN!B:B, A407)=0, "Missing", ""))</f>
        <v>Missing</v>
      </c>
      <c r="C407" s="133" t="s">
        <v>15249</v>
      </c>
      <c r="E407" s="131" t="str">
        <f t="shared" si="1"/>
        <v>https://utrucking.myshopify.com/admin/orders?query=14256</v>
      </c>
    </row>
    <row r="408">
      <c r="A408" s="93" t="str">
        <f t="shared" si="2"/>
        <v>#14257</v>
      </c>
      <c r="B408" s="93" t="str">
        <f>IF(AND(COUNTIF(MAIN!B:B, A408)=0, IFERROR(SEARCH("return", C408)&gt;0, FALSE)), "Rental Return", IF(COUNTIF(MAIN!B:B, A408)=0, "Missing", ""))</f>
        <v>Rental Return</v>
      </c>
      <c r="C408" s="133" t="s">
        <v>1111</v>
      </c>
      <c r="E408" s="128" t="str">
        <f t="shared" si="1"/>
        <v/>
      </c>
    </row>
    <row r="409">
      <c r="A409" s="93" t="str">
        <f t="shared" si="2"/>
        <v>#14258</v>
      </c>
      <c r="B409" s="93" t="str">
        <f>IF(AND(COUNTIF(MAIN!B:B, A409)=0, IFERROR(SEARCH("return", C409)&gt;0, FALSE)), "Rental Return", IF(COUNTIF(MAIN!B:B, A409)=0, "Missing", ""))</f>
        <v>Missing</v>
      </c>
      <c r="C409" s="133" t="s">
        <v>15246</v>
      </c>
      <c r="E409" s="131" t="str">
        <f t="shared" si="1"/>
        <v>https://utrucking.myshopify.com/admin/orders?query=14258</v>
      </c>
    </row>
    <row r="410">
      <c r="A410" s="93" t="str">
        <f t="shared" si="2"/>
        <v>#14259</v>
      </c>
      <c r="B410" s="93" t="str">
        <f>IF(AND(COUNTIF(MAIN!B:B, A410)=0, IFERROR(SEARCH("return", C410)&gt;0, FALSE)), "Rental Return", IF(COUNTIF(MAIN!B:B, A410)=0, "Missing", ""))</f>
        <v>Rental Return</v>
      </c>
      <c r="C410" s="133" t="s">
        <v>15255</v>
      </c>
      <c r="E410" s="128" t="str">
        <f t="shared" si="1"/>
        <v/>
      </c>
    </row>
    <row r="411">
      <c r="A411" s="93" t="str">
        <f t="shared" si="2"/>
        <v>#14260</v>
      </c>
      <c r="B411" s="93" t="str">
        <f>IF(AND(COUNTIF(MAIN!B:B, A411)=0, IFERROR(SEARCH("return", C411)&gt;0, FALSE)), "Rental Return", IF(COUNTIF(MAIN!B:B, A411)=0, "Missing", ""))</f>
        <v>Missing</v>
      </c>
      <c r="C411" s="133" t="s">
        <v>15251</v>
      </c>
      <c r="E411" s="131" t="str">
        <f t="shared" si="1"/>
        <v>https://utrucking.myshopify.com/admin/orders?query=14260</v>
      </c>
    </row>
    <row r="412">
      <c r="A412" s="93" t="str">
        <f t="shared" si="2"/>
        <v>#14261</v>
      </c>
      <c r="B412" s="93" t="str">
        <f>IF(AND(COUNTIF(MAIN!B:B, A412)=0, IFERROR(SEARCH("return", C412)&gt;0, FALSE)), "Rental Return", IF(COUNTIF(MAIN!B:B, A412)=0, "Missing", ""))</f>
        <v>Missing</v>
      </c>
      <c r="C412" s="133" t="s">
        <v>15249</v>
      </c>
      <c r="E412" s="131" t="str">
        <f t="shared" si="1"/>
        <v>https://utrucking.myshopify.com/admin/orders?query=14261</v>
      </c>
    </row>
    <row r="413">
      <c r="A413" s="93" t="str">
        <f t="shared" si="2"/>
        <v>#14262</v>
      </c>
      <c r="B413" s="93" t="str">
        <f>IF(AND(COUNTIF(MAIN!B:B, A413)=0, IFERROR(SEARCH("return", C413)&gt;0, FALSE)), "Rental Return", IF(COUNTIF(MAIN!B:B, A413)=0, "Missing", ""))</f>
        <v>Rental Return</v>
      </c>
      <c r="C413" s="133" t="s">
        <v>15261</v>
      </c>
      <c r="E413" s="128" t="str">
        <f t="shared" si="1"/>
        <v/>
      </c>
    </row>
    <row r="414">
      <c r="A414" s="93" t="str">
        <f t="shared" si="2"/>
        <v>#14263</v>
      </c>
      <c r="B414" s="93" t="str">
        <f>IF(AND(COUNTIF(MAIN!B:B, A414)=0, IFERROR(SEARCH("return", C414)&gt;0, FALSE)), "Rental Return", IF(COUNTIF(MAIN!B:B, A414)=0, "Missing", ""))</f>
        <v>Missing</v>
      </c>
      <c r="C414" s="133" t="s">
        <v>15246</v>
      </c>
      <c r="E414" s="131" t="str">
        <f t="shared" si="1"/>
        <v>https://utrucking.myshopify.com/admin/orders?query=14263</v>
      </c>
    </row>
    <row r="415">
      <c r="A415" s="93" t="str">
        <f t="shared" si="2"/>
        <v>#14264</v>
      </c>
      <c r="B415" s="93" t="str">
        <f>IF(AND(COUNTIF(MAIN!B:B, A415)=0, IFERROR(SEARCH("return", C415)&gt;0, FALSE)), "Rental Return", IF(COUNTIF(MAIN!B:B, A415)=0, "Missing", ""))</f>
        <v>Rental Return</v>
      </c>
      <c r="C415" s="133" t="s">
        <v>15258</v>
      </c>
      <c r="E415" s="128" t="str">
        <f t="shared" si="1"/>
        <v/>
      </c>
    </row>
    <row r="416">
      <c r="A416" s="93" t="str">
        <f t="shared" si="2"/>
        <v>#14265</v>
      </c>
      <c r="B416" s="93" t="str">
        <f>IF(AND(COUNTIF(MAIN!B:B, A416)=0, IFERROR(SEARCH("return", C416)&gt;0, FALSE)), "Rental Return", IF(COUNTIF(MAIN!B:B, A416)=0, "Missing", ""))</f>
        <v>Missing</v>
      </c>
      <c r="C416" s="133" t="s">
        <v>15246</v>
      </c>
      <c r="E416" s="131" t="str">
        <f t="shared" si="1"/>
        <v>https://utrucking.myshopify.com/admin/orders?query=14265</v>
      </c>
    </row>
    <row r="417">
      <c r="A417" s="93" t="str">
        <f t="shared" si="2"/>
        <v>#14266</v>
      </c>
      <c r="B417" s="93" t="str">
        <f>IF(AND(COUNTIF(MAIN!B:B, A417)=0, IFERROR(SEARCH("return", C417)&gt;0, FALSE)), "Rental Return", IF(COUNTIF(MAIN!B:B, A417)=0, "Missing", ""))</f>
        <v>Missing</v>
      </c>
      <c r="C417" s="133" t="s">
        <v>15246</v>
      </c>
      <c r="E417" s="131" t="str">
        <f t="shared" si="1"/>
        <v>https://utrucking.myshopify.com/admin/orders?query=14266</v>
      </c>
    </row>
    <row r="418">
      <c r="A418" s="93" t="str">
        <f t="shared" si="2"/>
        <v>#14267</v>
      </c>
      <c r="B418" s="93" t="str">
        <f>IF(AND(COUNTIF(MAIN!B:B, A418)=0, IFERROR(SEARCH("return", C418)&gt;0, FALSE)), "Rental Return", IF(COUNTIF(MAIN!B:B, A418)=0, "Missing", ""))</f>
        <v>Missing</v>
      </c>
      <c r="C418" s="133" t="s">
        <v>15246</v>
      </c>
      <c r="E418" s="131" t="str">
        <f t="shared" si="1"/>
        <v>https://utrucking.myshopify.com/admin/orders?query=14267</v>
      </c>
    </row>
    <row r="419">
      <c r="A419" s="93" t="str">
        <f t="shared" si="2"/>
        <v>#14268</v>
      </c>
      <c r="B419" s="93" t="str">
        <f>IF(AND(COUNTIF(MAIN!B:B, A419)=0, IFERROR(SEARCH("return", C419)&gt;0, FALSE)), "Rental Return", IF(COUNTIF(MAIN!B:B, A419)=0, "Missing", ""))</f>
        <v>Missing</v>
      </c>
      <c r="C419" s="133" t="s">
        <v>15246</v>
      </c>
      <c r="E419" s="131" t="str">
        <f t="shared" si="1"/>
        <v>https://utrucking.myshopify.com/admin/orders?query=14268</v>
      </c>
    </row>
    <row r="420">
      <c r="A420" s="93" t="str">
        <f t="shared" si="2"/>
        <v>#14269</v>
      </c>
      <c r="B420" s="93" t="str">
        <f>IF(AND(COUNTIF(MAIN!B:B, A420)=0, IFERROR(SEARCH("return", C420)&gt;0, FALSE)), "Rental Return", IF(COUNTIF(MAIN!B:B, A420)=0, "Missing", ""))</f>
        <v>Missing</v>
      </c>
      <c r="C420" s="133" t="s">
        <v>15251</v>
      </c>
      <c r="E420" s="131" t="str">
        <f t="shared" si="1"/>
        <v>https://utrucking.myshopify.com/admin/orders?query=14269</v>
      </c>
    </row>
    <row r="421">
      <c r="A421" s="93" t="str">
        <f t="shared" si="2"/>
        <v>#14270</v>
      </c>
      <c r="B421" s="93" t="str">
        <f>IF(AND(COUNTIF(MAIN!B:B, A421)=0, IFERROR(SEARCH("return", C421)&gt;0, FALSE)), "Rental Return", IF(COUNTIF(MAIN!B:B, A421)=0, "Missing", ""))</f>
        <v>Missing</v>
      </c>
      <c r="C421" s="133" t="s">
        <v>15246</v>
      </c>
      <c r="E421" s="131" t="str">
        <f t="shared" si="1"/>
        <v>https://utrucking.myshopify.com/admin/orders?query=14270</v>
      </c>
    </row>
    <row r="422">
      <c r="A422" s="93" t="str">
        <f t="shared" si="2"/>
        <v>#14271</v>
      </c>
      <c r="B422" s="93" t="str">
        <f>IF(AND(COUNTIF(MAIN!B:B, A422)=0, IFERROR(SEARCH("return", C422)&gt;0, FALSE)), "Rental Return", IF(COUNTIF(MAIN!B:B, A422)=0, "Missing", ""))</f>
        <v>Missing</v>
      </c>
      <c r="C422" s="133" t="s">
        <v>15249</v>
      </c>
      <c r="E422" s="131" t="str">
        <f t="shared" si="1"/>
        <v>https://utrucking.myshopify.com/admin/orders?query=14271</v>
      </c>
    </row>
    <row r="423">
      <c r="A423" s="93" t="str">
        <f t="shared" si="2"/>
        <v>#14272</v>
      </c>
      <c r="B423" s="93" t="str">
        <f>IF(AND(COUNTIF(MAIN!B:B, A423)=0, IFERROR(SEARCH("return", C423)&gt;0, FALSE)), "Rental Return", IF(COUNTIF(MAIN!B:B, A423)=0, "Missing", ""))</f>
        <v>Missing</v>
      </c>
      <c r="C423" s="133" t="s">
        <v>15246</v>
      </c>
      <c r="E423" s="131" t="str">
        <f t="shared" si="1"/>
        <v>https://utrucking.myshopify.com/admin/orders?query=14272</v>
      </c>
    </row>
    <row r="424">
      <c r="A424" s="93" t="str">
        <f t="shared" si="2"/>
        <v>#14273</v>
      </c>
      <c r="B424" s="93" t="str">
        <f>IF(AND(COUNTIF(MAIN!B:B, A424)=0, IFERROR(SEARCH("return", C424)&gt;0, FALSE)), "Rental Return", IF(COUNTIF(MAIN!B:B, A424)=0, "Missing", ""))</f>
        <v>Rental Return</v>
      </c>
      <c r="C424" s="133" t="s">
        <v>15258</v>
      </c>
      <c r="E424" s="128" t="str">
        <f t="shared" si="1"/>
        <v/>
      </c>
    </row>
    <row r="425">
      <c r="A425" s="93" t="str">
        <f t="shared" si="2"/>
        <v>#14274</v>
      </c>
      <c r="B425" s="93" t="str">
        <f>IF(AND(COUNTIF(MAIN!B:B, A425)=0, IFERROR(SEARCH("return", C425)&gt;0, FALSE)), "Rental Return", IF(COUNTIF(MAIN!B:B, A425)=0, "Missing", ""))</f>
        <v>Missing</v>
      </c>
      <c r="C425" s="133" t="s">
        <v>15246</v>
      </c>
      <c r="E425" s="131" t="str">
        <f t="shared" si="1"/>
        <v>https://utrucking.myshopify.com/admin/orders?query=14274</v>
      </c>
    </row>
    <row r="426">
      <c r="A426" s="93" t="str">
        <f t="shared" si="2"/>
        <v>#14275</v>
      </c>
      <c r="B426" s="93" t="str">
        <f>IF(AND(COUNTIF(MAIN!B:B, A426)=0, IFERROR(SEARCH("return", C426)&gt;0, FALSE)), "Rental Return", IF(COUNTIF(MAIN!B:B, A426)=0, "Missing", ""))</f>
        <v>Rental Return</v>
      </c>
      <c r="C426" s="133" t="s">
        <v>15255</v>
      </c>
      <c r="E426" s="128" t="str">
        <f t="shared" si="1"/>
        <v/>
      </c>
    </row>
    <row r="427">
      <c r="A427" s="93" t="str">
        <f t="shared" si="2"/>
        <v>#14276</v>
      </c>
      <c r="B427" s="93" t="str">
        <f>IF(AND(COUNTIF(MAIN!B:B, A427)=0, IFERROR(SEARCH("return", C427)&gt;0, FALSE)), "Rental Return", IF(COUNTIF(MAIN!B:B, A427)=0, "Missing", ""))</f>
        <v>Missing</v>
      </c>
      <c r="C427" s="133" t="s">
        <v>15249</v>
      </c>
      <c r="E427" s="131" t="str">
        <f t="shared" si="1"/>
        <v>https://utrucking.myshopify.com/admin/orders?query=14276</v>
      </c>
    </row>
    <row r="428">
      <c r="A428" s="93" t="str">
        <f t="shared" si="2"/>
        <v>#14277</v>
      </c>
      <c r="B428" s="93" t="str">
        <f>IF(AND(COUNTIF(MAIN!B:B, A428)=0, IFERROR(SEARCH("return", C428)&gt;0, FALSE)), "Rental Return", IF(COUNTIF(MAIN!B:B, A428)=0, "Missing", ""))</f>
        <v>Missing</v>
      </c>
      <c r="C428" s="133" t="s">
        <v>15246</v>
      </c>
      <c r="E428" s="131" t="str">
        <f t="shared" si="1"/>
        <v>https://utrucking.myshopify.com/admin/orders?query=14277</v>
      </c>
    </row>
    <row r="429">
      <c r="A429" s="93" t="str">
        <f t="shared" si="2"/>
        <v>#14278</v>
      </c>
      <c r="B429" s="93" t="str">
        <f>IF(AND(COUNTIF(MAIN!B:B, A429)=0, IFERROR(SEARCH("return", C429)&gt;0, FALSE)), "Rental Return", IF(COUNTIF(MAIN!B:B, A429)=0, "Missing", ""))</f>
        <v>Missing</v>
      </c>
      <c r="C429" s="133" t="s">
        <v>15246</v>
      </c>
      <c r="E429" s="131" t="str">
        <f t="shared" si="1"/>
        <v>https://utrucking.myshopify.com/admin/orders?query=14278</v>
      </c>
    </row>
    <row r="430">
      <c r="A430" s="93" t="str">
        <f t="shared" si="2"/>
        <v>#14279</v>
      </c>
      <c r="B430" s="93" t="str">
        <f>IF(AND(COUNTIF(MAIN!B:B, A430)=0, IFERROR(SEARCH("return", C430)&gt;0, FALSE)), "Rental Return", IF(COUNTIF(MAIN!B:B, A430)=0, "Missing", ""))</f>
        <v>Missing</v>
      </c>
      <c r="C430" s="133" t="s">
        <v>15246</v>
      </c>
      <c r="E430" s="131" t="str">
        <f t="shared" si="1"/>
        <v>https://utrucking.myshopify.com/admin/orders?query=14279</v>
      </c>
    </row>
    <row r="431">
      <c r="A431" s="93" t="str">
        <f t="shared" si="2"/>
        <v>#14280</v>
      </c>
      <c r="B431" s="93" t="str">
        <f>IF(AND(COUNTIF(MAIN!B:B, A431)=0, IFERROR(SEARCH("return", C431)&gt;0, FALSE)), "Rental Return", IF(COUNTIF(MAIN!B:B, A431)=0, "Missing", ""))</f>
        <v>Missing</v>
      </c>
      <c r="C431" s="133" t="s">
        <v>15246</v>
      </c>
      <c r="E431" s="131" t="str">
        <f t="shared" si="1"/>
        <v>https://utrucking.myshopify.com/admin/orders?query=14280</v>
      </c>
    </row>
    <row r="432">
      <c r="A432" s="93" t="str">
        <f t="shared" si="2"/>
        <v>#14281</v>
      </c>
      <c r="B432" s="93" t="str">
        <f>IF(AND(COUNTIF(MAIN!B:B, A432)=0, IFERROR(SEARCH("return", C432)&gt;0, FALSE)), "Rental Return", IF(COUNTIF(MAIN!B:B, A432)=0, "Missing", ""))</f>
        <v>Missing</v>
      </c>
      <c r="C432" s="133" t="s">
        <v>15249</v>
      </c>
      <c r="E432" s="131" t="str">
        <f t="shared" si="1"/>
        <v>https://utrucking.myshopify.com/admin/orders?query=14281</v>
      </c>
    </row>
    <row r="433">
      <c r="A433" s="93" t="str">
        <f t="shared" si="2"/>
        <v>#14282</v>
      </c>
      <c r="B433" s="93" t="str">
        <f>IF(AND(COUNTIF(MAIN!B:B, A433)=0, IFERROR(SEARCH("return", C433)&gt;0, FALSE)), "Rental Return", IF(COUNTIF(MAIN!B:B, A433)=0, "Missing", ""))</f>
        <v>Missing</v>
      </c>
      <c r="C433" s="133" t="s">
        <v>15252</v>
      </c>
      <c r="E433" s="131" t="str">
        <f t="shared" si="1"/>
        <v>https://utrucking.myshopify.com/admin/orders?query=14282</v>
      </c>
    </row>
    <row r="434">
      <c r="A434" s="93" t="str">
        <f t="shared" si="2"/>
        <v>#14283</v>
      </c>
      <c r="B434" s="93" t="str">
        <f>IF(AND(COUNTIF(MAIN!B:B, A434)=0, IFERROR(SEARCH("return", C434)&gt;0, FALSE)), "Rental Return", IF(COUNTIF(MAIN!B:B, A434)=0, "Missing", ""))</f>
        <v>Missing</v>
      </c>
      <c r="C434" s="133" t="s">
        <v>15246</v>
      </c>
      <c r="E434" s="131" t="str">
        <f t="shared" si="1"/>
        <v>https://utrucking.myshopify.com/admin/orders?query=14283</v>
      </c>
    </row>
    <row r="435">
      <c r="A435" s="93" t="str">
        <f t="shared" si="2"/>
        <v>#14284</v>
      </c>
      <c r="B435" s="93" t="str">
        <f>IF(AND(COUNTIF(MAIN!B:B, A435)=0, IFERROR(SEARCH("return", C435)&gt;0, FALSE)), "Rental Return", IF(COUNTIF(MAIN!B:B, A435)=0, "Missing", ""))</f>
        <v>Missing</v>
      </c>
      <c r="C435" s="133" t="s">
        <v>15246</v>
      </c>
      <c r="E435" s="131" t="str">
        <f t="shared" si="1"/>
        <v>https://utrucking.myshopify.com/admin/orders?query=14284</v>
      </c>
    </row>
    <row r="436">
      <c r="A436" s="93" t="str">
        <f t="shared" si="2"/>
        <v>#14285</v>
      </c>
      <c r="B436" s="93" t="str">
        <f>IF(AND(COUNTIF(MAIN!B:B, A436)=0, IFERROR(SEARCH("return", C436)&gt;0, FALSE)), "Rental Return", IF(COUNTIF(MAIN!B:B, A436)=0, "Missing", ""))</f>
        <v>Missing</v>
      </c>
      <c r="C436" s="133" t="s">
        <v>15246</v>
      </c>
      <c r="E436" s="131" t="str">
        <f t="shared" si="1"/>
        <v>https://utrucking.myshopify.com/admin/orders?query=14285</v>
      </c>
    </row>
    <row r="437">
      <c r="A437" s="93" t="str">
        <f t="shared" si="2"/>
        <v>#14286</v>
      </c>
      <c r="B437" s="93" t="str">
        <f>IF(AND(COUNTIF(MAIN!B:B, A437)=0, IFERROR(SEARCH("return", C437)&gt;0, FALSE)), "Rental Return", IF(COUNTIF(MAIN!B:B, A437)=0, "Missing", ""))</f>
        <v>Missing</v>
      </c>
      <c r="C437" s="133" t="s">
        <v>15246</v>
      </c>
      <c r="E437" s="131" t="str">
        <f t="shared" si="1"/>
        <v>https://utrucking.myshopify.com/admin/orders?query=14286</v>
      </c>
    </row>
    <row r="438">
      <c r="A438" s="93" t="str">
        <f t="shared" si="2"/>
        <v>#14287</v>
      </c>
      <c r="B438" s="93" t="str">
        <f>IF(AND(COUNTIF(MAIN!B:B, A438)=0, IFERROR(SEARCH("return", C438)&gt;0, FALSE)), "Rental Return", IF(COUNTIF(MAIN!B:B, A438)=0, "Missing", ""))</f>
        <v>Missing</v>
      </c>
      <c r="C438" s="133" t="s">
        <v>15246</v>
      </c>
      <c r="E438" s="131" t="str">
        <f t="shared" si="1"/>
        <v>https://utrucking.myshopify.com/admin/orders?query=14287</v>
      </c>
    </row>
    <row r="439">
      <c r="A439" s="93" t="str">
        <f t="shared" si="2"/>
        <v>#14288</v>
      </c>
      <c r="B439" s="93" t="str">
        <f>IF(AND(COUNTIF(MAIN!B:B, A439)=0, IFERROR(SEARCH("return", C439)&gt;0, FALSE)), "Rental Return", IF(COUNTIF(MAIN!B:B, A439)=0, "Missing", ""))</f>
        <v>Missing</v>
      </c>
      <c r="C439" s="133" t="s">
        <v>15246</v>
      </c>
      <c r="E439" s="131" t="str">
        <f t="shared" si="1"/>
        <v>https://utrucking.myshopify.com/admin/orders?query=14288</v>
      </c>
    </row>
    <row r="440">
      <c r="A440" s="93" t="str">
        <f t="shared" si="2"/>
        <v>#14289</v>
      </c>
      <c r="B440" s="93" t="str">
        <f>IF(AND(COUNTIF(MAIN!B:B, A440)=0, IFERROR(SEARCH("return", C440)&gt;0, FALSE)), "Rental Return", IF(COUNTIF(MAIN!B:B, A440)=0, "Missing", ""))</f>
        <v>Missing</v>
      </c>
      <c r="C440" s="133" t="s">
        <v>15249</v>
      </c>
      <c r="E440" s="131" t="str">
        <f t="shared" si="1"/>
        <v>https://utrucking.myshopify.com/admin/orders?query=14289</v>
      </c>
    </row>
    <row r="441">
      <c r="A441" s="93" t="str">
        <f t="shared" si="2"/>
        <v>#14290</v>
      </c>
      <c r="B441" s="93" t="str">
        <f>IF(AND(COUNTIF(MAIN!B:B, A441)=0, IFERROR(SEARCH("return", C441)&gt;0, FALSE)), "Rental Return", IF(COUNTIF(MAIN!B:B, A441)=0, "Missing", ""))</f>
        <v>Missing</v>
      </c>
      <c r="C441" s="133" t="s">
        <v>15246</v>
      </c>
      <c r="E441" s="131" t="str">
        <f t="shared" si="1"/>
        <v>https://utrucking.myshopify.com/admin/orders?query=14290</v>
      </c>
    </row>
    <row r="442">
      <c r="A442" s="93" t="str">
        <f t="shared" si="2"/>
        <v>#14291</v>
      </c>
      <c r="B442" s="93" t="str">
        <f>IF(AND(COUNTIF(MAIN!B:B, A442)=0, IFERROR(SEARCH("return", C442)&gt;0, FALSE)), "Rental Return", IF(COUNTIF(MAIN!B:B, A442)=0, "Missing", ""))</f>
        <v>Missing</v>
      </c>
      <c r="C442" s="133" t="s">
        <v>15249</v>
      </c>
      <c r="E442" s="131" t="str">
        <f t="shared" si="1"/>
        <v>https://utrucking.myshopify.com/admin/orders?query=14291</v>
      </c>
    </row>
    <row r="443">
      <c r="A443" s="93" t="str">
        <f t="shared" si="2"/>
        <v>#14292</v>
      </c>
      <c r="B443" s="93" t="str">
        <f>IF(AND(COUNTIF(MAIN!B:B, A443)=0, IFERROR(SEARCH("return", C443)&gt;0, FALSE)), "Rental Return", IF(COUNTIF(MAIN!B:B, A443)=0, "Missing", ""))</f>
        <v>Missing</v>
      </c>
      <c r="C443" s="133" t="s">
        <v>15251</v>
      </c>
      <c r="E443" s="131" t="str">
        <f t="shared" si="1"/>
        <v>https://utrucking.myshopify.com/admin/orders?query=14292</v>
      </c>
    </row>
    <row r="444">
      <c r="A444" s="93" t="str">
        <f t="shared" si="2"/>
        <v>#14293</v>
      </c>
      <c r="B444" s="93" t="str">
        <f>IF(AND(COUNTIF(MAIN!B:B, A444)=0, IFERROR(SEARCH("return", C444)&gt;0, FALSE)), "Rental Return", IF(COUNTIF(MAIN!B:B, A444)=0, "Missing", ""))</f>
        <v>Missing</v>
      </c>
      <c r="C444" s="133" t="s">
        <v>15246</v>
      </c>
      <c r="E444" s="131" t="str">
        <f t="shared" si="1"/>
        <v>https://utrucking.myshopify.com/admin/orders?query=14293</v>
      </c>
    </row>
    <row r="445">
      <c r="A445" s="93" t="str">
        <f t="shared" si="2"/>
        <v>#14294</v>
      </c>
      <c r="B445" s="93" t="str">
        <f>IF(AND(COUNTIF(MAIN!B:B, A445)=0, IFERROR(SEARCH("return", C445)&gt;0, FALSE)), "Rental Return", IF(COUNTIF(MAIN!B:B, A445)=0, "Missing", ""))</f>
        <v>Missing</v>
      </c>
      <c r="C445" s="133" t="s">
        <v>15246</v>
      </c>
      <c r="E445" s="131" t="str">
        <f t="shared" si="1"/>
        <v>https://utrucking.myshopify.com/admin/orders?query=14294</v>
      </c>
    </row>
    <row r="446">
      <c r="A446" s="93" t="str">
        <f t="shared" si="2"/>
        <v>#14295</v>
      </c>
      <c r="B446" s="93" t="str">
        <f>IF(AND(COUNTIF(MAIN!B:B, A446)=0, IFERROR(SEARCH("return", C446)&gt;0, FALSE)), "Rental Return", IF(COUNTIF(MAIN!B:B, A446)=0, "Missing", ""))</f>
        <v>Missing</v>
      </c>
      <c r="C446" s="133" t="s">
        <v>15249</v>
      </c>
      <c r="E446" s="131" t="str">
        <f t="shared" si="1"/>
        <v>https://utrucking.myshopify.com/admin/orders?query=14295</v>
      </c>
    </row>
    <row r="447">
      <c r="A447" s="93" t="str">
        <f t="shared" si="2"/>
        <v>#14296</v>
      </c>
      <c r="B447" s="93" t="str">
        <f>IF(AND(COUNTIF(MAIN!B:B, A447)=0, IFERROR(SEARCH("return", C447)&gt;0, FALSE)), "Rental Return", IF(COUNTIF(MAIN!B:B, A447)=0, "Missing", ""))</f>
        <v/>
      </c>
      <c r="C447" s="128"/>
      <c r="E447" s="128" t="str">
        <f t="shared" si="1"/>
        <v/>
      </c>
    </row>
    <row r="448">
      <c r="A448" s="93" t="str">
        <f t="shared" si="2"/>
        <v>#14297</v>
      </c>
      <c r="B448" s="93" t="str">
        <f>IF(AND(COUNTIF(MAIN!B:B, A448)=0, IFERROR(SEARCH("return", C448)&gt;0, FALSE)), "Rental Return", IF(COUNTIF(MAIN!B:B, A448)=0, "Missing", ""))</f>
        <v>Missing</v>
      </c>
      <c r="C448" s="133" t="s">
        <v>15249</v>
      </c>
      <c r="E448" s="131" t="str">
        <f t="shared" si="1"/>
        <v>https://utrucking.myshopify.com/admin/orders?query=14297</v>
      </c>
    </row>
    <row r="449">
      <c r="A449" s="93" t="str">
        <f t="shared" si="2"/>
        <v>#14298</v>
      </c>
      <c r="B449" s="93" t="str">
        <f>IF(AND(COUNTIF(MAIN!B:B, A449)=0, IFERROR(SEARCH("return", C449)&gt;0, FALSE)), "Rental Return", IF(COUNTIF(MAIN!B:B, A449)=0, "Missing", ""))</f>
        <v>Missing</v>
      </c>
      <c r="C449" s="133" t="s">
        <v>15246</v>
      </c>
      <c r="E449" s="131" t="str">
        <f t="shared" si="1"/>
        <v>https://utrucking.myshopify.com/admin/orders?query=14298</v>
      </c>
    </row>
    <row r="450">
      <c r="A450" s="93" t="str">
        <f t="shared" si="2"/>
        <v>#14299</v>
      </c>
      <c r="B450" s="93" t="str">
        <f>IF(AND(COUNTIF(MAIN!B:B, A450)=0, IFERROR(SEARCH("return", C450)&gt;0, FALSE)), "Rental Return", IF(COUNTIF(MAIN!B:B, A450)=0, "Missing", ""))</f>
        <v>Missing</v>
      </c>
      <c r="C450" s="133" t="s">
        <v>15246</v>
      </c>
      <c r="E450" s="131" t="str">
        <f t="shared" si="1"/>
        <v>https://utrucking.myshopify.com/admin/orders?query=14299</v>
      </c>
    </row>
    <row r="451">
      <c r="A451" s="93" t="str">
        <f t="shared" si="2"/>
        <v>#14300</v>
      </c>
      <c r="B451" s="93" t="str">
        <f>IF(AND(COUNTIF(MAIN!B:B, A451)=0, IFERROR(SEARCH("return", C451)&gt;0, FALSE)), "Rental Return", IF(COUNTIF(MAIN!B:B, A451)=0, "Missing", ""))</f>
        <v>Missing</v>
      </c>
      <c r="C451" s="133" t="s">
        <v>15246</v>
      </c>
      <c r="E451" s="131" t="str">
        <f t="shared" si="1"/>
        <v>https://utrucking.myshopify.com/admin/orders?query=14300</v>
      </c>
    </row>
    <row r="452">
      <c r="A452" s="93" t="str">
        <f t="shared" si="2"/>
        <v>#14301</v>
      </c>
      <c r="B452" s="93" t="str">
        <f>IF(AND(COUNTIF(MAIN!B:B, A452)=0, IFERROR(SEARCH("return", C452)&gt;0, FALSE)), "Rental Return", IF(COUNTIF(MAIN!B:B, A452)=0, "Missing", ""))</f>
        <v>Missing</v>
      </c>
      <c r="C452" s="133" t="s">
        <v>15246</v>
      </c>
      <c r="E452" s="131" t="str">
        <f t="shared" si="1"/>
        <v>https://utrucking.myshopify.com/admin/orders?query=14301</v>
      </c>
    </row>
    <row r="453">
      <c r="A453" s="93" t="str">
        <f t="shared" si="2"/>
        <v>#14302</v>
      </c>
      <c r="B453" s="93" t="str">
        <f>IF(AND(COUNTIF(MAIN!B:B, A453)=0, IFERROR(SEARCH("return", C453)&gt;0, FALSE)), "Rental Return", IF(COUNTIF(MAIN!B:B, A453)=0, "Missing", ""))</f>
        <v>Rental Return</v>
      </c>
      <c r="C453" s="133" t="s">
        <v>15265</v>
      </c>
      <c r="E453" s="128" t="str">
        <f t="shared" si="1"/>
        <v/>
      </c>
    </row>
    <row r="454">
      <c r="A454" s="93" t="str">
        <f t="shared" si="2"/>
        <v>#14303</v>
      </c>
      <c r="B454" s="93" t="str">
        <f>IF(AND(COUNTIF(MAIN!B:B, A454)=0, IFERROR(SEARCH("return", C454)&gt;0, FALSE)), "Rental Return", IF(COUNTIF(MAIN!B:B, A454)=0, "Missing", ""))</f>
        <v>Missing</v>
      </c>
      <c r="C454" s="133" t="s">
        <v>15246</v>
      </c>
      <c r="E454" s="131" t="str">
        <f t="shared" si="1"/>
        <v>https://utrucking.myshopify.com/admin/orders?query=14303</v>
      </c>
    </row>
    <row r="455">
      <c r="A455" s="93" t="str">
        <f t="shared" si="2"/>
        <v>#14304</v>
      </c>
      <c r="B455" s="93" t="str">
        <f>IF(AND(COUNTIF(MAIN!B:B, A455)=0, IFERROR(SEARCH("return", C455)&gt;0, FALSE)), "Rental Return", IF(COUNTIF(MAIN!B:B, A455)=0, "Missing", ""))</f>
        <v>Missing</v>
      </c>
      <c r="C455" s="133" t="s">
        <v>15254</v>
      </c>
      <c r="E455" s="131" t="str">
        <f t="shared" si="1"/>
        <v>https://utrucking.myshopify.com/admin/orders?query=14304</v>
      </c>
    </row>
    <row r="456">
      <c r="A456" s="93" t="str">
        <f t="shared" si="2"/>
        <v>#14305</v>
      </c>
      <c r="B456" s="93" t="str">
        <f>IF(AND(COUNTIF(MAIN!B:B, A456)=0, IFERROR(SEARCH("return", C456)&gt;0, FALSE)), "Rental Return", IF(COUNTIF(MAIN!B:B, A456)=0, "Missing", ""))</f>
        <v>Missing</v>
      </c>
      <c r="C456" s="133" t="s">
        <v>15249</v>
      </c>
      <c r="E456" s="131" t="str">
        <f t="shared" si="1"/>
        <v>https://utrucking.myshopify.com/admin/orders?query=14305</v>
      </c>
    </row>
    <row r="457">
      <c r="A457" s="93" t="str">
        <f t="shared" si="2"/>
        <v>#14306</v>
      </c>
      <c r="B457" s="93" t="str">
        <f>IF(AND(COUNTIF(MAIN!B:B, A457)=0, IFERROR(SEARCH("return", C457)&gt;0, FALSE)), "Rental Return", IF(COUNTIF(MAIN!B:B, A457)=0, "Missing", ""))</f>
        <v>Missing</v>
      </c>
      <c r="C457" s="133" t="s">
        <v>15251</v>
      </c>
      <c r="E457" s="131" t="str">
        <f t="shared" si="1"/>
        <v>https://utrucking.myshopify.com/admin/orders?query=14306</v>
      </c>
    </row>
    <row r="458">
      <c r="A458" s="93" t="str">
        <f t="shared" si="2"/>
        <v>#14307</v>
      </c>
      <c r="B458" s="93" t="str">
        <f>IF(AND(COUNTIF(MAIN!B:B, A458)=0, IFERROR(SEARCH("return", C458)&gt;0, FALSE)), "Rental Return", IF(COUNTIF(MAIN!B:B, A458)=0, "Missing", ""))</f>
        <v>Missing</v>
      </c>
      <c r="C458" s="133" t="s">
        <v>15249</v>
      </c>
      <c r="E458" s="131" t="str">
        <f t="shared" si="1"/>
        <v>https://utrucking.myshopify.com/admin/orders?query=14307</v>
      </c>
    </row>
    <row r="459">
      <c r="A459" s="93" t="str">
        <f t="shared" si="2"/>
        <v>#14308</v>
      </c>
      <c r="B459" s="93" t="str">
        <f>IF(AND(COUNTIF(MAIN!B:B, A459)=0, IFERROR(SEARCH("return", C459)&gt;0, FALSE)), "Rental Return", IF(COUNTIF(MAIN!B:B, A459)=0, "Missing", ""))</f>
        <v>Missing</v>
      </c>
      <c r="C459" s="133" t="s">
        <v>15246</v>
      </c>
      <c r="E459" s="131" t="str">
        <f t="shared" si="1"/>
        <v>https://utrucking.myshopify.com/admin/orders?query=14308</v>
      </c>
    </row>
    <row r="460">
      <c r="A460" s="93" t="str">
        <f t="shared" si="2"/>
        <v>#14309</v>
      </c>
      <c r="B460" s="93" t="str">
        <f>IF(AND(COUNTIF(MAIN!B:B, A460)=0, IFERROR(SEARCH("return", C460)&gt;0, FALSE)), "Rental Return", IF(COUNTIF(MAIN!B:B, A460)=0, "Missing", ""))</f>
        <v>Missing</v>
      </c>
      <c r="C460" s="133" t="s">
        <v>15246</v>
      </c>
      <c r="E460" s="131" t="str">
        <f t="shared" si="1"/>
        <v>https://utrucking.myshopify.com/admin/orders?query=14309</v>
      </c>
    </row>
    <row r="461">
      <c r="A461" s="93" t="str">
        <f t="shared" si="2"/>
        <v>#14310</v>
      </c>
      <c r="B461" s="93" t="str">
        <f>IF(AND(COUNTIF(MAIN!B:B, A461)=0, IFERROR(SEARCH("return", C461)&gt;0, FALSE)), "Rental Return", IF(COUNTIF(MAIN!B:B, A461)=0, "Missing", ""))</f>
        <v>Missing</v>
      </c>
      <c r="C461" s="133" t="s">
        <v>15246</v>
      </c>
      <c r="E461" s="131" t="str">
        <f t="shared" si="1"/>
        <v>https://utrucking.myshopify.com/admin/orders?query=14310</v>
      </c>
    </row>
    <row r="462">
      <c r="A462" s="93" t="str">
        <f t="shared" si="2"/>
        <v>#14311</v>
      </c>
      <c r="B462" s="93" t="str">
        <f>IF(AND(COUNTIF(MAIN!B:B, A462)=0, IFERROR(SEARCH("return", C462)&gt;0, FALSE)), "Rental Return", IF(COUNTIF(MAIN!B:B, A462)=0, "Missing", ""))</f>
        <v>Missing</v>
      </c>
      <c r="C462" s="133" t="s">
        <v>15246</v>
      </c>
      <c r="E462" s="131" t="str">
        <f t="shared" si="1"/>
        <v>https://utrucking.myshopify.com/admin/orders?query=14311</v>
      </c>
    </row>
    <row r="463">
      <c r="A463" s="93" t="str">
        <f t="shared" si="2"/>
        <v>#14312</v>
      </c>
      <c r="B463" s="93" t="str">
        <f>IF(AND(COUNTIF(MAIN!B:B, A463)=0, IFERROR(SEARCH("return", C463)&gt;0, FALSE)), "Rental Return", IF(COUNTIF(MAIN!B:B, A463)=0, "Missing", ""))</f>
        <v>Missing</v>
      </c>
      <c r="C463" s="133" t="s">
        <v>15246</v>
      </c>
      <c r="E463" s="131" t="str">
        <f t="shared" si="1"/>
        <v>https://utrucking.myshopify.com/admin/orders?query=14312</v>
      </c>
    </row>
    <row r="464">
      <c r="A464" s="93" t="str">
        <f t="shared" si="2"/>
        <v>#14313</v>
      </c>
      <c r="B464" s="93" t="str">
        <f>IF(AND(COUNTIF(MAIN!B:B, A464)=0, IFERROR(SEARCH("return", C464)&gt;0, FALSE)), "Rental Return", IF(COUNTIF(MAIN!B:B, A464)=0, "Missing", ""))</f>
        <v>Missing</v>
      </c>
      <c r="C464" s="133" t="s">
        <v>15246</v>
      </c>
      <c r="E464" s="131" t="str">
        <f t="shared" si="1"/>
        <v>https://utrucking.myshopify.com/admin/orders?query=14313</v>
      </c>
    </row>
    <row r="465">
      <c r="A465" s="93" t="str">
        <f t="shared" si="2"/>
        <v>#14314</v>
      </c>
      <c r="B465" s="93" t="str">
        <f>IF(AND(COUNTIF(MAIN!B:B, A465)=0, IFERROR(SEARCH("return", C465)&gt;0, FALSE)), "Rental Return", IF(COUNTIF(MAIN!B:B, A465)=0, "Missing", ""))</f>
        <v>Missing</v>
      </c>
      <c r="C465" s="133" t="s">
        <v>15246</v>
      </c>
      <c r="E465" s="131" t="str">
        <f t="shared" si="1"/>
        <v>https://utrucking.myshopify.com/admin/orders?query=14314</v>
      </c>
    </row>
    <row r="466">
      <c r="A466" s="93" t="str">
        <f t="shared" si="2"/>
        <v>#14315</v>
      </c>
      <c r="B466" s="93" t="str">
        <f>IF(AND(COUNTIF(MAIN!B:B, A466)=0, IFERROR(SEARCH("return", C466)&gt;0, FALSE)), "Rental Return", IF(COUNTIF(MAIN!B:B, A466)=0, "Missing", ""))</f>
        <v>Missing</v>
      </c>
      <c r="C466" s="133" t="s">
        <v>15246</v>
      </c>
      <c r="E466" s="131" t="str">
        <f t="shared" si="1"/>
        <v>https://utrucking.myshopify.com/admin/orders?query=14315</v>
      </c>
    </row>
    <row r="467">
      <c r="A467" s="93" t="str">
        <f t="shared" si="2"/>
        <v>#14316</v>
      </c>
      <c r="B467" s="93" t="str">
        <f>IF(AND(COUNTIF(MAIN!B:B, A467)=0, IFERROR(SEARCH("return", C467)&gt;0, FALSE)), "Rental Return", IF(COUNTIF(MAIN!B:B, A467)=0, "Missing", ""))</f>
        <v>Missing</v>
      </c>
      <c r="C467" s="133" t="s">
        <v>15252</v>
      </c>
      <c r="E467" s="131" t="str">
        <f t="shared" si="1"/>
        <v>https://utrucking.myshopify.com/admin/orders?query=14316</v>
      </c>
    </row>
    <row r="468">
      <c r="A468" s="93" t="str">
        <f t="shared" si="2"/>
        <v>#14317</v>
      </c>
      <c r="B468" s="93" t="str">
        <f>IF(AND(COUNTIF(MAIN!B:B, A468)=0, IFERROR(SEARCH("return", C468)&gt;0, FALSE)), "Rental Return", IF(COUNTIF(MAIN!B:B, A468)=0, "Missing", ""))</f>
        <v>Missing</v>
      </c>
      <c r="C468" s="133" t="s">
        <v>15249</v>
      </c>
      <c r="E468" s="131" t="str">
        <f t="shared" si="1"/>
        <v>https://utrucking.myshopify.com/admin/orders?query=14317</v>
      </c>
    </row>
    <row r="469">
      <c r="A469" s="93" t="str">
        <f t="shared" si="2"/>
        <v>#14318</v>
      </c>
      <c r="B469" s="93" t="str">
        <f>IF(AND(COUNTIF(MAIN!B:B, A469)=0, IFERROR(SEARCH("return", C469)&gt;0, FALSE)), "Rental Return", IF(COUNTIF(MAIN!B:B, A469)=0, "Missing", ""))</f>
        <v>Missing</v>
      </c>
      <c r="C469" s="133" t="s">
        <v>15246</v>
      </c>
      <c r="E469" s="131" t="str">
        <f t="shared" si="1"/>
        <v>https://utrucking.myshopify.com/admin/orders?query=14318</v>
      </c>
    </row>
    <row r="470">
      <c r="A470" s="93" t="str">
        <f t="shared" si="2"/>
        <v>#14319</v>
      </c>
      <c r="B470" s="93" t="str">
        <f>IF(AND(COUNTIF(MAIN!B:B, A470)=0, IFERROR(SEARCH("return", C470)&gt;0, FALSE)), "Rental Return", IF(COUNTIF(MAIN!B:B, A470)=0, "Missing", ""))</f>
        <v>Missing</v>
      </c>
      <c r="C470" s="133" t="s">
        <v>15245</v>
      </c>
      <c r="E470" s="131" t="str">
        <f t="shared" si="1"/>
        <v>https://utrucking.myshopify.com/admin/orders?query=14319</v>
      </c>
    </row>
    <row r="471">
      <c r="A471" s="93" t="str">
        <f t="shared" si="2"/>
        <v>#14320</v>
      </c>
      <c r="B471" s="93" t="str">
        <f>IF(AND(COUNTIF(MAIN!B:B, A471)=0, IFERROR(SEARCH("return", C471)&gt;0, FALSE)), "Rental Return", IF(COUNTIF(MAIN!B:B, A471)=0, "Missing", ""))</f>
        <v>Rental Return</v>
      </c>
      <c r="C471" s="133" t="s">
        <v>15258</v>
      </c>
      <c r="E471" s="128" t="str">
        <f t="shared" si="1"/>
        <v/>
      </c>
    </row>
    <row r="472">
      <c r="A472" s="93" t="str">
        <f t="shared" si="2"/>
        <v>#14321</v>
      </c>
      <c r="B472" s="93" t="str">
        <f>IF(AND(COUNTIF(MAIN!B:B, A472)=0, IFERROR(SEARCH("return", C472)&gt;0, FALSE)), "Rental Return", IF(COUNTIF(MAIN!B:B, A472)=0, "Missing", ""))</f>
        <v>Missing</v>
      </c>
      <c r="C472" s="133" t="s">
        <v>15246</v>
      </c>
      <c r="E472" s="131" t="str">
        <f t="shared" si="1"/>
        <v>https://utrucking.myshopify.com/admin/orders?query=14321</v>
      </c>
    </row>
    <row r="473">
      <c r="A473" s="93" t="str">
        <f t="shared" si="2"/>
        <v>#14322</v>
      </c>
      <c r="B473" s="93" t="str">
        <f>IF(AND(COUNTIF(MAIN!B:B, A473)=0, IFERROR(SEARCH("return", C473)&gt;0, FALSE)), "Rental Return", IF(COUNTIF(MAIN!B:B, A473)=0, "Missing", ""))</f>
        <v>Missing</v>
      </c>
      <c r="C473" s="133" t="s">
        <v>15246</v>
      </c>
      <c r="E473" s="131" t="str">
        <f t="shared" si="1"/>
        <v>https://utrucking.myshopify.com/admin/orders?query=14322</v>
      </c>
    </row>
    <row r="474">
      <c r="A474" s="93" t="str">
        <f t="shared" si="2"/>
        <v>#14323</v>
      </c>
      <c r="B474" s="93" t="str">
        <f>IF(AND(COUNTIF(MAIN!B:B, A474)=0, IFERROR(SEARCH("return", C474)&gt;0, FALSE)), "Rental Return", IF(COUNTIF(MAIN!B:B, A474)=0, "Missing", ""))</f>
        <v>Missing</v>
      </c>
      <c r="C474" s="133" t="s">
        <v>15246</v>
      </c>
      <c r="E474" s="131" t="str">
        <f t="shared" si="1"/>
        <v>https://utrucking.myshopify.com/admin/orders?query=14323</v>
      </c>
    </row>
    <row r="475">
      <c r="A475" s="93" t="str">
        <f t="shared" si="2"/>
        <v>#14324</v>
      </c>
      <c r="B475" s="93" t="str">
        <f>IF(AND(COUNTIF(MAIN!B:B, A475)=0, IFERROR(SEARCH("return", C475)&gt;0, FALSE)), "Rental Return", IF(COUNTIF(MAIN!B:B, A475)=0, "Missing", ""))</f>
        <v>Missing</v>
      </c>
      <c r="C475" s="133" t="s">
        <v>15249</v>
      </c>
      <c r="E475" s="131" t="str">
        <f t="shared" si="1"/>
        <v>https://utrucking.myshopify.com/admin/orders?query=14324</v>
      </c>
    </row>
    <row r="476">
      <c r="A476" s="93" t="str">
        <f t="shared" si="2"/>
        <v>#14325</v>
      </c>
      <c r="B476" s="93" t="str">
        <f>IF(AND(COUNTIF(MAIN!B:B, A476)=0, IFERROR(SEARCH("return", C476)&gt;0, FALSE)), "Rental Return", IF(COUNTIF(MAIN!B:B, A476)=0, "Missing", ""))</f>
        <v>Missing</v>
      </c>
      <c r="C476" s="133" t="s">
        <v>15246</v>
      </c>
      <c r="E476" s="131" t="str">
        <f t="shared" si="1"/>
        <v>https://utrucking.myshopify.com/admin/orders?query=14325</v>
      </c>
    </row>
    <row r="477">
      <c r="A477" s="93" t="str">
        <f t="shared" si="2"/>
        <v>#14326</v>
      </c>
      <c r="B477" s="93" t="str">
        <f>IF(AND(COUNTIF(MAIN!B:B, A477)=0, IFERROR(SEARCH("return", C477)&gt;0, FALSE)), "Rental Return", IF(COUNTIF(MAIN!B:B, A477)=0, "Missing", ""))</f>
        <v>Missing</v>
      </c>
      <c r="C477" s="133" t="s">
        <v>15246</v>
      </c>
      <c r="E477" s="131" t="str">
        <f t="shared" si="1"/>
        <v>https://utrucking.myshopify.com/admin/orders?query=14326</v>
      </c>
    </row>
    <row r="478">
      <c r="A478" s="93" t="str">
        <f t="shared" si="2"/>
        <v>#14327</v>
      </c>
      <c r="B478" s="93" t="str">
        <f>IF(AND(COUNTIF(MAIN!B:B, A478)=0, IFERROR(SEARCH("return", C478)&gt;0, FALSE)), "Rental Return", IF(COUNTIF(MAIN!B:B, A478)=0, "Missing", ""))</f>
        <v>Missing</v>
      </c>
      <c r="C478" s="133" t="s">
        <v>15246</v>
      </c>
      <c r="E478" s="131" t="str">
        <f t="shared" si="1"/>
        <v>https://utrucking.myshopify.com/admin/orders?query=14327</v>
      </c>
    </row>
    <row r="479">
      <c r="A479" s="93" t="str">
        <f t="shared" si="2"/>
        <v>#14328</v>
      </c>
      <c r="B479" s="93" t="str">
        <f>IF(AND(COUNTIF(MAIN!B:B, A479)=0, IFERROR(SEARCH("return", C479)&gt;0, FALSE)), "Rental Return", IF(COUNTIF(MAIN!B:B, A479)=0, "Missing", ""))</f>
        <v>Missing</v>
      </c>
      <c r="C479" s="133" t="s">
        <v>15246</v>
      </c>
      <c r="E479" s="131" t="str">
        <f t="shared" si="1"/>
        <v>https://utrucking.myshopify.com/admin/orders?query=14328</v>
      </c>
    </row>
    <row r="480">
      <c r="A480" s="93" t="str">
        <f t="shared" si="2"/>
        <v>#14329</v>
      </c>
      <c r="B480" s="93" t="str">
        <f>IF(AND(COUNTIF(MAIN!B:B, A480)=0, IFERROR(SEARCH("return", C480)&gt;0, FALSE)), "Rental Return", IF(COUNTIF(MAIN!B:B, A480)=0, "Missing", ""))</f>
        <v>Missing</v>
      </c>
      <c r="C480" s="133" t="s">
        <v>15246</v>
      </c>
      <c r="E480" s="131" t="str">
        <f t="shared" si="1"/>
        <v>https://utrucking.myshopify.com/admin/orders?query=14329</v>
      </c>
    </row>
    <row r="481">
      <c r="A481" s="93" t="str">
        <f t="shared" si="2"/>
        <v>#14330</v>
      </c>
      <c r="B481" s="93" t="str">
        <f>IF(AND(COUNTIF(MAIN!B:B, A481)=0, IFERROR(SEARCH("return", C481)&gt;0, FALSE)), "Rental Return", IF(COUNTIF(MAIN!B:B, A481)=0, "Missing", ""))</f>
        <v>Missing</v>
      </c>
      <c r="C481" s="133" t="s">
        <v>15246</v>
      </c>
      <c r="E481" s="131" t="str">
        <f t="shared" si="1"/>
        <v>https://utrucking.myshopify.com/admin/orders?query=14330</v>
      </c>
    </row>
    <row r="482">
      <c r="A482" s="93" t="str">
        <f t="shared" si="2"/>
        <v>#14331</v>
      </c>
      <c r="B482" s="93" t="str">
        <f>IF(AND(COUNTIF(MAIN!B:B, A482)=0, IFERROR(SEARCH("return", C482)&gt;0, FALSE)), "Rental Return", IF(COUNTIF(MAIN!B:B, A482)=0, "Missing", ""))</f>
        <v>Missing</v>
      </c>
      <c r="C482" s="133" t="s">
        <v>15246</v>
      </c>
      <c r="E482" s="131" t="str">
        <f t="shared" si="1"/>
        <v>https://utrucking.myshopify.com/admin/orders?query=14331</v>
      </c>
    </row>
    <row r="483">
      <c r="A483" s="93" t="str">
        <f t="shared" si="2"/>
        <v>#14332</v>
      </c>
      <c r="B483" s="93" t="str">
        <f>IF(AND(COUNTIF(MAIN!B:B, A483)=0, IFERROR(SEARCH("return", C483)&gt;0, FALSE)), "Rental Return", IF(COUNTIF(MAIN!B:B, A483)=0, "Missing", ""))</f>
        <v>Missing</v>
      </c>
      <c r="C483" s="133" t="s">
        <v>15249</v>
      </c>
      <c r="E483" s="131" t="str">
        <f t="shared" si="1"/>
        <v>https://utrucking.myshopify.com/admin/orders?query=14332</v>
      </c>
    </row>
    <row r="484">
      <c r="A484" s="93" t="str">
        <f t="shared" si="2"/>
        <v>#14333</v>
      </c>
      <c r="B484" s="93" t="str">
        <f>IF(AND(COUNTIF(MAIN!B:B, A484)=0, IFERROR(SEARCH("return", C484)&gt;0, FALSE)), "Rental Return", IF(COUNTIF(MAIN!B:B, A484)=0, "Missing", ""))</f>
        <v>Missing</v>
      </c>
      <c r="C484" s="133" t="s">
        <v>15256</v>
      </c>
      <c r="E484" s="131" t="str">
        <f t="shared" si="1"/>
        <v>https://utrucking.myshopify.com/admin/orders?query=14333</v>
      </c>
    </row>
    <row r="485">
      <c r="A485" s="93" t="str">
        <f t="shared" si="2"/>
        <v>#14334</v>
      </c>
      <c r="B485" s="93" t="str">
        <f>IF(AND(COUNTIF(MAIN!B:B, A485)=0, IFERROR(SEARCH("return", C485)&gt;0, FALSE)), "Rental Return", IF(COUNTIF(MAIN!B:B, A485)=0, "Missing", ""))</f>
        <v>Missing</v>
      </c>
      <c r="C485" s="133" t="s">
        <v>15249</v>
      </c>
      <c r="E485" s="131" t="str">
        <f t="shared" si="1"/>
        <v>https://utrucking.myshopify.com/admin/orders?query=14334</v>
      </c>
    </row>
    <row r="486">
      <c r="A486" s="93" t="str">
        <f t="shared" si="2"/>
        <v>#14335</v>
      </c>
      <c r="B486" s="93" t="str">
        <f>IF(AND(COUNTIF(MAIN!B:B, A486)=0, IFERROR(SEARCH("return", C486)&gt;0, FALSE)), "Rental Return", IF(COUNTIF(MAIN!B:B, A486)=0, "Missing", ""))</f>
        <v>Missing</v>
      </c>
      <c r="C486" s="133" t="s">
        <v>15246</v>
      </c>
      <c r="E486" s="131" t="str">
        <f t="shared" si="1"/>
        <v>https://utrucking.myshopify.com/admin/orders?query=14335</v>
      </c>
    </row>
    <row r="487">
      <c r="A487" s="93" t="str">
        <f t="shared" si="2"/>
        <v>#14336</v>
      </c>
      <c r="B487" s="93" t="str">
        <f>IF(AND(COUNTIF(MAIN!B:B, A487)=0, IFERROR(SEARCH("return", C487)&gt;0, FALSE)), "Rental Return", IF(COUNTIF(MAIN!B:B, A487)=0, "Missing", ""))</f>
        <v>Missing</v>
      </c>
      <c r="C487" s="133" t="s">
        <v>15246</v>
      </c>
      <c r="E487" s="131" t="str">
        <f t="shared" si="1"/>
        <v>https://utrucking.myshopify.com/admin/orders?query=14336</v>
      </c>
    </row>
    <row r="488">
      <c r="A488" s="93" t="str">
        <f t="shared" si="2"/>
        <v>#14337</v>
      </c>
      <c r="B488" s="93" t="str">
        <f>IF(AND(COUNTIF(MAIN!B:B, A488)=0, IFERROR(SEARCH("return", C488)&gt;0, FALSE)), "Rental Return", IF(COUNTIF(MAIN!B:B, A488)=0, "Missing", ""))</f>
        <v>Missing</v>
      </c>
      <c r="C488" s="133" t="s">
        <v>15246</v>
      </c>
      <c r="E488" s="131" t="str">
        <f t="shared" si="1"/>
        <v>https://utrucking.myshopify.com/admin/orders?query=14337</v>
      </c>
    </row>
    <row r="489">
      <c r="A489" s="93" t="str">
        <f t="shared" si="2"/>
        <v>#14338</v>
      </c>
      <c r="B489" s="93" t="str">
        <f>IF(AND(COUNTIF(MAIN!B:B, A489)=0, IFERROR(SEARCH("return", C489)&gt;0, FALSE)), "Rental Return", IF(COUNTIF(MAIN!B:B, A489)=0, "Missing", ""))</f>
        <v>Missing</v>
      </c>
      <c r="C489" s="133" t="s">
        <v>15246</v>
      </c>
      <c r="E489" s="131" t="str">
        <f t="shared" si="1"/>
        <v>https://utrucking.myshopify.com/admin/orders?query=14338</v>
      </c>
    </row>
    <row r="490">
      <c r="A490" s="93" t="str">
        <f t="shared" si="2"/>
        <v>#14339</v>
      </c>
      <c r="B490" s="93" t="str">
        <f>IF(AND(COUNTIF(MAIN!B:B, A490)=0, IFERROR(SEARCH("return", C490)&gt;0, FALSE)), "Rental Return", IF(COUNTIF(MAIN!B:B, A490)=0, "Missing", ""))</f>
        <v>Missing</v>
      </c>
      <c r="C490" s="133" t="s">
        <v>15245</v>
      </c>
      <c r="E490" s="131" t="str">
        <f t="shared" si="1"/>
        <v>https://utrucking.myshopify.com/admin/orders?query=14339</v>
      </c>
    </row>
    <row r="491">
      <c r="A491" s="93" t="str">
        <f t="shared" si="2"/>
        <v>#14340</v>
      </c>
      <c r="B491" s="93" t="str">
        <f>IF(AND(COUNTIF(MAIN!B:B, A491)=0, IFERROR(SEARCH("return", C491)&gt;0, FALSE)), "Rental Return", IF(COUNTIF(MAIN!B:B, A491)=0, "Missing", ""))</f>
        <v>Rental Return</v>
      </c>
      <c r="C491" s="133" t="s">
        <v>1111</v>
      </c>
      <c r="E491" s="128" t="str">
        <f t="shared" si="1"/>
        <v/>
      </c>
    </row>
    <row r="492">
      <c r="A492" s="93" t="str">
        <f t="shared" si="2"/>
        <v>#14341</v>
      </c>
      <c r="B492" s="93" t="str">
        <f>IF(AND(COUNTIF(MAIN!B:B, A492)=0, IFERROR(SEARCH("return", C492)&gt;0, FALSE)), "Rental Return", IF(COUNTIF(MAIN!B:B, A492)=0, "Missing", ""))</f>
        <v/>
      </c>
      <c r="C492" s="128"/>
      <c r="E492" s="128" t="str">
        <f t="shared" si="1"/>
        <v/>
      </c>
    </row>
    <row r="493">
      <c r="A493" s="93" t="str">
        <f t="shared" si="2"/>
        <v>#14342</v>
      </c>
      <c r="B493" s="93" t="str">
        <f>IF(AND(COUNTIF(MAIN!B:B, A493)=0, IFERROR(SEARCH("return", C493)&gt;0, FALSE)), "Rental Return", IF(COUNTIF(MAIN!B:B, A493)=0, "Missing", ""))</f>
        <v/>
      </c>
      <c r="C493" s="128"/>
      <c r="E493" s="128" t="str">
        <f t="shared" si="1"/>
        <v/>
      </c>
    </row>
    <row r="494">
      <c r="A494" s="93" t="str">
        <f t="shared" si="2"/>
        <v>#14343</v>
      </c>
      <c r="B494" s="93" t="str">
        <f>IF(AND(COUNTIF(MAIN!B:B, A494)=0, IFERROR(SEARCH("return", C494)&gt;0, FALSE)), "Rental Return", IF(COUNTIF(MAIN!B:B, A494)=0, "Missing", ""))</f>
        <v>Missing</v>
      </c>
      <c r="C494" s="133" t="s">
        <v>15246</v>
      </c>
      <c r="E494" s="131" t="str">
        <f t="shared" si="1"/>
        <v>https://utrucking.myshopify.com/admin/orders?query=14343</v>
      </c>
    </row>
    <row r="495">
      <c r="A495" s="93" t="str">
        <f t="shared" si="2"/>
        <v>#14344</v>
      </c>
      <c r="B495" s="93" t="str">
        <f>IF(AND(COUNTIF(MAIN!B:B, A495)=0, IFERROR(SEARCH("return", C495)&gt;0, FALSE)), "Rental Return", IF(COUNTIF(MAIN!B:B, A495)=0, "Missing", ""))</f>
        <v>Missing</v>
      </c>
      <c r="C495" s="133" t="s">
        <v>15246</v>
      </c>
      <c r="E495" s="131" t="str">
        <f t="shared" si="1"/>
        <v>https://utrucking.myshopify.com/admin/orders?query=14344</v>
      </c>
    </row>
    <row r="496">
      <c r="A496" s="93" t="str">
        <f t="shared" si="2"/>
        <v>#14345</v>
      </c>
      <c r="B496" s="93" t="str">
        <f>IF(AND(COUNTIF(MAIN!B:B, A496)=0, IFERROR(SEARCH("return", C496)&gt;0, FALSE)), "Rental Return", IF(COUNTIF(MAIN!B:B, A496)=0, "Missing", ""))</f>
        <v>Rental Return</v>
      </c>
      <c r="C496" s="133" t="s">
        <v>1111</v>
      </c>
      <c r="E496" s="128" t="str">
        <f t="shared" si="1"/>
        <v/>
      </c>
    </row>
    <row r="497">
      <c r="A497" s="93" t="str">
        <f t="shared" si="2"/>
        <v>#14346</v>
      </c>
      <c r="B497" s="93" t="str">
        <f>IF(AND(COUNTIF(MAIN!B:B, A497)=0, IFERROR(SEARCH("return", C497)&gt;0, FALSE)), "Rental Return", IF(COUNTIF(MAIN!B:B, A497)=0, "Missing", ""))</f>
        <v/>
      </c>
      <c r="C497" s="128"/>
      <c r="E497" s="128" t="str">
        <f t="shared" si="1"/>
        <v/>
      </c>
    </row>
    <row r="498">
      <c r="A498" s="93" t="str">
        <f t="shared" si="2"/>
        <v>#14347</v>
      </c>
      <c r="B498" s="93" t="str">
        <f>IF(AND(COUNTIF(MAIN!B:B, A498)=0, IFERROR(SEARCH("return", C498)&gt;0, FALSE)), "Rental Return", IF(COUNTIF(MAIN!B:B, A498)=0, "Missing", ""))</f>
        <v>Missing</v>
      </c>
      <c r="C498" s="133" t="s">
        <v>15246</v>
      </c>
      <c r="E498" s="131" t="str">
        <f t="shared" si="1"/>
        <v>https://utrucking.myshopify.com/admin/orders?query=14347</v>
      </c>
    </row>
    <row r="499">
      <c r="A499" s="93" t="str">
        <f t="shared" si="2"/>
        <v>#14348</v>
      </c>
      <c r="B499" s="93" t="str">
        <f>IF(AND(COUNTIF(MAIN!B:B, A499)=0, IFERROR(SEARCH("return", C499)&gt;0, FALSE)), "Rental Return", IF(COUNTIF(MAIN!B:B, A499)=0, "Missing", ""))</f>
        <v>Missing</v>
      </c>
      <c r="C499" s="133" t="s">
        <v>15249</v>
      </c>
      <c r="E499" s="131" t="str">
        <f t="shared" si="1"/>
        <v>https://utrucking.myshopify.com/admin/orders?query=14348</v>
      </c>
    </row>
    <row r="500">
      <c r="A500" s="93" t="str">
        <f t="shared" si="2"/>
        <v>#14349</v>
      </c>
      <c r="B500" s="93" t="str">
        <f>IF(AND(COUNTIF(MAIN!B:B, A500)=0, IFERROR(SEARCH("return", C500)&gt;0, FALSE)), "Rental Return", IF(COUNTIF(MAIN!B:B, A500)=0, "Missing", ""))</f>
        <v>Missing</v>
      </c>
      <c r="C500" s="133" t="s">
        <v>15249</v>
      </c>
      <c r="E500" s="131" t="str">
        <f t="shared" si="1"/>
        <v>https://utrucking.myshopify.com/admin/orders?query=14349</v>
      </c>
    </row>
    <row r="501">
      <c r="A501" s="93" t="str">
        <f t="shared" si="2"/>
        <v>#14350</v>
      </c>
      <c r="B501" s="93" t="str">
        <f>IF(AND(COUNTIF(MAIN!B:B, A501)=0, IFERROR(SEARCH("return", C501)&gt;0, FALSE)), "Rental Return", IF(COUNTIF(MAIN!B:B, A501)=0, "Missing", ""))</f>
        <v>Missing</v>
      </c>
      <c r="C501" s="133" t="s">
        <v>15249</v>
      </c>
      <c r="E501" s="131" t="str">
        <f t="shared" si="1"/>
        <v>https://utrucking.myshopify.com/admin/orders?query=14350</v>
      </c>
    </row>
    <row r="502">
      <c r="A502" s="93" t="str">
        <f t="shared" si="2"/>
        <v>#14351</v>
      </c>
      <c r="B502" s="93" t="str">
        <f>IF(AND(COUNTIF(MAIN!B:B, A502)=0, IFERROR(SEARCH("return", C502)&gt;0, FALSE)), "Rental Return", IF(COUNTIF(MAIN!B:B, A502)=0, "Missing", ""))</f>
        <v>Missing</v>
      </c>
      <c r="C502" s="133" t="s">
        <v>15246</v>
      </c>
      <c r="E502" s="131" t="str">
        <f t="shared" si="1"/>
        <v>https://utrucking.myshopify.com/admin/orders?query=14351</v>
      </c>
    </row>
    <row r="503">
      <c r="A503" s="93" t="str">
        <f t="shared" si="2"/>
        <v>#14352</v>
      </c>
      <c r="B503" s="93" t="str">
        <f>IF(AND(COUNTIF(MAIN!B:B, A503)=0, IFERROR(SEARCH("return", C503)&gt;0, FALSE)), "Rental Return", IF(COUNTIF(MAIN!B:B, A503)=0, "Missing", ""))</f>
        <v>Missing</v>
      </c>
      <c r="C503" s="133" t="s">
        <v>15246</v>
      </c>
      <c r="E503" s="131" t="str">
        <f t="shared" si="1"/>
        <v>https://utrucking.myshopify.com/admin/orders?query=14352</v>
      </c>
    </row>
    <row r="504">
      <c r="A504" s="93" t="str">
        <f t="shared" si="2"/>
        <v>#14353</v>
      </c>
      <c r="B504" s="93" t="str">
        <f>IF(AND(COUNTIF(MAIN!B:B, A504)=0, IFERROR(SEARCH("return", C504)&gt;0, FALSE)), "Rental Return", IF(COUNTIF(MAIN!B:B, A504)=0, "Missing", ""))</f>
        <v>Missing</v>
      </c>
      <c r="C504" s="133" t="s">
        <v>15246</v>
      </c>
      <c r="E504" s="131" t="str">
        <f t="shared" si="1"/>
        <v>https://utrucking.myshopify.com/admin/orders?query=14353</v>
      </c>
    </row>
    <row r="505">
      <c r="A505" s="93" t="str">
        <f t="shared" si="2"/>
        <v>#14354</v>
      </c>
      <c r="B505" s="93" t="str">
        <f>IF(AND(COUNTIF(MAIN!B:B, A505)=0, IFERROR(SEARCH("return", C505)&gt;0, FALSE)), "Rental Return", IF(COUNTIF(MAIN!B:B, A505)=0, "Missing", ""))</f>
        <v>Missing</v>
      </c>
      <c r="C505" s="133" t="s">
        <v>15246</v>
      </c>
      <c r="E505" s="131" t="str">
        <f t="shared" si="1"/>
        <v>https://utrucking.myshopify.com/admin/orders?query=14354</v>
      </c>
    </row>
    <row r="506">
      <c r="A506" s="93" t="str">
        <f t="shared" si="2"/>
        <v>#14355</v>
      </c>
      <c r="B506" s="93" t="str">
        <f>IF(AND(COUNTIF(MAIN!B:B, A506)=0, IFERROR(SEARCH("return", C506)&gt;0, FALSE)), "Rental Return", IF(COUNTIF(MAIN!B:B, A506)=0, "Missing", ""))</f>
        <v>Missing</v>
      </c>
      <c r="C506" s="133" t="s">
        <v>15246</v>
      </c>
      <c r="E506" s="131" t="str">
        <f t="shared" si="1"/>
        <v>https://utrucking.myshopify.com/admin/orders?query=14355</v>
      </c>
    </row>
    <row r="507">
      <c r="A507" s="93" t="str">
        <f t="shared" si="2"/>
        <v>#14356</v>
      </c>
      <c r="B507" s="93" t="str">
        <f>IF(AND(COUNTIF(MAIN!B:B, A507)=0, IFERROR(SEARCH("return", C507)&gt;0, FALSE)), "Rental Return", IF(COUNTIF(MAIN!B:B, A507)=0, "Missing", ""))</f>
        <v>Missing</v>
      </c>
      <c r="C507" s="133" t="s">
        <v>15249</v>
      </c>
      <c r="E507" s="131" t="str">
        <f t="shared" si="1"/>
        <v>https://utrucking.myshopify.com/admin/orders?query=14356</v>
      </c>
    </row>
    <row r="508">
      <c r="A508" s="93" t="str">
        <f t="shared" si="2"/>
        <v>#14357</v>
      </c>
      <c r="B508" s="93" t="str">
        <f>IF(AND(COUNTIF(MAIN!B:B, A508)=0, IFERROR(SEARCH("return", C508)&gt;0, FALSE)), "Rental Return", IF(COUNTIF(MAIN!B:B, A508)=0, "Missing", ""))</f>
        <v>Missing</v>
      </c>
      <c r="C508" s="133" t="s">
        <v>15246</v>
      </c>
      <c r="E508" s="131" t="str">
        <f t="shared" si="1"/>
        <v>https://utrucking.myshopify.com/admin/orders?query=14357</v>
      </c>
    </row>
    <row r="509">
      <c r="A509" s="93" t="str">
        <f t="shared" si="2"/>
        <v>#14358</v>
      </c>
      <c r="B509" s="93" t="str">
        <f>IF(AND(COUNTIF(MAIN!B:B, A509)=0, IFERROR(SEARCH("return", C509)&gt;0, FALSE)), "Rental Return", IF(COUNTIF(MAIN!B:B, A509)=0, "Missing", ""))</f>
        <v>Rental Return</v>
      </c>
      <c r="C509" s="133" t="s">
        <v>15258</v>
      </c>
      <c r="E509" s="128" t="str">
        <f t="shared" si="1"/>
        <v/>
      </c>
    </row>
    <row r="510">
      <c r="A510" s="93" t="str">
        <f t="shared" si="2"/>
        <v>#14359</v>
      </c>
      <c r="B510" s="93" t="str">
        <f>IF(AND(COUNTIF(MAIN!B:B, A510)=0, IFERROR(SEARCH("return", C510)&gt;0, FALSE)), "Rental Return", IF(COUNTIF(MAIN!B:B, A510)=0, "Missing", ""))</f>
        <v>Missing</v>
      </c>
      <c r="C510" s="133" t="s">
        <v>15246</v>
      </c>
      <c r="E510" s="131" t="str">
        <f t="shared" si="1"/>
        <v>https://utrucking.myshopify.com/admin/orders?query=14359</v>
      </c>
    </row>
    <row r="511">
      <c r="A511" s="93" t="str">
        <f t="shared" si="2"/>
        <v>#14360</v>
      </c>
      <c r="B511" s="93" t="str">
        <f>IF(AND(COUNTIF(MAIN!B:B, A511)=0, IFERROR(SEARCH("return", C511)&gt;0, FALSE)), "Rental Return", IF(COUNTIF(MAIN!B:B, A511)=0, "Missing", ""))</f>
        <v>Missing</v>
      </c>
      <c r="C511" s="133" t="s">
        <v>15246</v>
      </c>
      <c r="E511" s="131" t="str">
        <f t="shared" si="1"/>
        <v>https://utrucking.myshopify.com/admin/orders?query=14360</v>
      </c>
    </row>
    <row r="512">
      <c r="A512" s="93" t="str">
        <f t="shared" si="2"/>
        <v>#14361</v>
      </c>
      <c r="B512" s="93" t="str">
        <f>IF(AND(COUNTIF(MAIN!B:B, A512)=0, IFERROR(SEARCH("return", C512)&gt;0, FALSE)), "Rental Return", IF(COUNTIF(MAIN!B:B, A512)=0, "Missing", ""))</f>
        <v>Missing</v>
      </c>
      <c r="C512" s="133" t="s">
        <v>15246</v>
      </c>
      <c r="E512" s="131" t="str">
        <f t="shared" si="1"/>
        <v>https://utrucking.myshopify.com/admin/orders?query=14361</v>
      </c>
    </row>
    <row r="513">
      <c r="A513" s="93" t="str">
        <f t="shared" si="2"/>
        <v>#14362</v>
      </c>
      <c r="B513" s="93" t="str">
        <f>IF(AND(COUNTIF(MAIN!B:B, A513)=0, IFERROR(SEARCH("return", C513)&gt;0, FALSE)), "Rental Return", IF(COUNTIF(MAIN!B:B, A513)=0, "Missing", ""))</f>
        <v>Missing</v>
      </c>
      <c r="C513" s="133" t="s">
        <v>15246</v>
      </c>
      <c r="E513" s="131" t="str">
        <f t="shared" si="1"/>
        <v>https://utrucking.myshopify.com/admin/orders?query=14362</v>
      </c>
    </row>
    <row r="514">
      <c r="A514" s="93" t="str">
        <f t="shared" si="2"/>
        <v>#14363</v>
      </c>
      <c r="B514" s="93" t="str">
        <f>IF(AND(COUNTIF(MAIN!B:B, A514)=0, IFERROR(SEARCH("return", C514)&gt;0, FALSE)), "Rental Return", IF(COUNTIF(MAIN!B:B, A514)=0, "Missing", ""))</f>
        <v>Missing</v>
      </c>
      <c r="C514" s="133" t="s">
        <v>15263</v>
      </c>
      <c r="E514" s="131" t="str">
        <f t="shared" si="1"/>
        <v>https://utrucking.myshopify.com/admin/orders?query=14363</v>
      </c>
    </row>
    <row r="515">
      <c r="A515" s="93" t="str">
        <f t="shared" si="2"/>
        <v>#14364</v>
      </c>
      <c r="B515" s="93" t="str">
        <f>IF(AND(COUNTIF(MAIN!B:B, A515)=0, IFERROR(SEARCH("return", C515)&gt;0, FALSE)), "Rental Return", IF(COUNTIF(MAIN!B:B, A515)=0, "Missing", ""))</f>
        <v>Missing</v>
      </c>
      <c r="C515" s="133" t="s">
        <v>15246</v>
      </c>
      <c r="E515" s="131" t="str">
        <f t="shared" si="1"/>
        <v>https://utrucking.myshopify.com/admin/orders?query=14364</v>
      </c>
    </row>
    <row r="516">
      <c r="A516" s="93" t="str">
        <f t="shared" si="2"/>
        <v>#14365</v>
      </c>
      <c r="B516" s="93" t="str">
        <f>IF(AND(COUNTIF(MAIN!B:B, A516)=0, IFERROR(SEARCH("return", C516)&gt;0, FALSE)), "Rental Return", IF(COUNTIF(MAIN!B:B, A516)=0, "Missing", ""))</f>
        <v>Missing</v>
      </c>
      <c r="C516" s="133" t="s">
        <v>15246</v>
      </c>
      <c r="E516" s="131" t="str">
        <f t="shared" si="1"/>
        <v>https://utrucking.myshopify.com/admin/orders?query=14365</v>
      </c>
    </row>
    <row r="517">
      <c r="A517" s="93" t="str">
        <f t="shared" si="2"/>
        <v>#14366</v>
      </c>
      <c r="B517" s="93" t="str">
        <f>IF(AND(COUNTIF(MAIN!B:B, A517)=0, IFERROR(SEARCH("return", C517)&gt;0, FALSE)), "Rental Return", IF(COUNTIF(MAIN!B:B, A517)=0, "Missing", ""))</f>
        <v/>
      </c>
      <c r="C517" s="128"/>
      <c r="E517" s="128" t="str">
        <f t="shared" si="1"/>
        <v/>
      </c>
    </row>
    <row r="518">
      <c r="A518" s="93" t="str">
        <f t="shared" si="2"/>
        <v>#14367</v>
      </c>
      <c r="B518" s="93" t="str">
        <f>IF(AND(COUNTIF(MAIN!B:B, A518)=0, IFERROR(SEARCH("return", C518)&gt;0, FALSE)), "Rental Return", IF(COUNTIF(MAIN!B:B, A518)=0, "Missing", ""))</f>
        <v>Missing</v>
      </c>
      <c r="C518" s="133" t="s">
        <v>15246</v>
      </c>
      <c r="E518" s="131" t="str">
        <f t="shared" si="1"/>
        <v>https://utrucking.myshopify.com/admin/orders?query=14367</v>
      </c>
    </row>
    <row r="519">
      <c r="A519" s="93" t="str">
        <f t="shared" si="2"/>
        <v>#14368</v>
      </c>
      <c r="B519" s="93" t="str">
        <f>IF(AND(COUNTIF(MAIN!B:B, A519)=0, IFERROR(SEARCH("return", C519)&gt;0, FALSE)), "Rental Return", IF(COUNTIF(MAIN!B:B, A519)=0, "Missing", ""))</f>
        <v>Missing</v>
      </c>
      <c r="C519" s="133" t="s">
        <v>15246</v>
      </c>
      <c r="E519" s="131" t="str">
        <f t="shared" si="1"/>
        <v>https://utrucking.myshopify.com/admin/orders?query=14368</v>
      </c>
    </row>
    <row r="520">
      <c r="A520" s="93" t="str">
        <f t="shared" si="2"/>
        <v>#14369</v>
      </c>
      <c r="B520" s="93" t="str">
        <f>IF(AND(COUNTIF(MAIN!B:B, A520)=0, IFERROR(SEARCH("return", C520)&gt;0, FALSE)), "Rental Return", IF(COUNTIF(MAIN!B:B, A520)=0, "Missing", ""))</f>
        <v>Missing</v>
      </c>
      <c r="C520" s="133" t="s">
        <v>15251</v>
      </c>
      <c r="E520" s="131" t="str">
        <f t="shared" si="1"/>
        <v>https://utrucking.myshopify.com/admin/orders?query=14369</v>
      </c>
    </row>
    <row r="521">
      <c r="A521" s="93" t="str">
        <f t="shared" si="2"/>
        <v>#14370</v>
      </c>
      <c r="B521" s="93" t="str">
        <f>IF(AND(COUNTIF(MAIN!B:B, A521)=0, IFERROR(SEARCH("return", C521)&gt;0, FALSE)), "Rental Return", IF(COUNTIF(MAIN!B:B, A521)=0, "Missing", ""))</f>
        <v>Missing</v>
      </c>
      <c r="C521" s="133" t="s">
        <v>15246</v>
      </c>
      <c r="E521" s="131" t="str">
        <f t="shared" si="1"/>
        <v>https://utrucking.myshopify.com/admin/orders?query=14370</v>
      </c>
    </row>
    <row r="522">
      <c r="A522" s="93" t="str">
        <f t="shared" si="2"/>
        <v>#14371</v>
      </c>
      <c r="B522" s="93" t="str">
        <f>IF(AND(COUNTIF(MAIN!B:B, A522)=0, IFERROR(SEARCH("return", C522)&gt;0, FALSE)), "Rental Return", IF(COUNTIF(MAIN!B:B, A522)=0, "Missing", ""))</f>
        <v>Missing</v>
      </c>
      <c r="C522" s="133" t="s">
        <v>15251</v>
      </c>
      <c r="E522" s="131" t="str">
        <f t="shared" si="1"/>
        <v>https://utrucking.myshopify.com/admin/orders?query=14371</v>
      </c>
    </row>
    <row r="523">
      <c r="A523" s="93" t="str">
        <f t="shared" si="2"/>
        <v>#14372</v>
      </c>
      <c r="B523" s="93" t="str">
        <f>IF(AND(COUNTIF(MAIN!B:B, A523)=0, IFERROR(SEARCH("return", C523)&gt;0, FALSE)), "Rental Return", IF(COUNTIF(MAIN!B:B, A523)=0, "Missing", ""))</f>
        <v>Missing</v>
      </c>
      <c r="C523" s="133" t="s">
        <v>15249</v>
      </c>
      <c r="E523" s="131" t="str">
        <f t="shared" si="1"/>
        <v>https://utrucking.myshopify.com/admin/orders?query=14372</v>
      </c>
    </row>
    <row r="524">
      <c r="A524" s="93" t="str">
        <f t="shared" si="2"/>
        <v>#14373</v>
      </c>
      <c r="B524" s="93" t="str">
        <f>IF(AND(COUNTIF(MAIN!B:B, A524)=0, IFERROR(SEARCH("return", C524)&gt;0, FALSE)), "Rental Return", IF(COUNTIF(MAIN!B:B, A524)=0, "Missing", ""))</f>
        <v>Missing</v>
      </c>
      <c r="C524" s="133" t="s">
        <v>15246</v>
      </c>
      <c r="E524" s="131" t="str">
        <f t="shared" si="1"/>
        <v>https://utrucking.myshopify.com/admin/orders?query=14373</v>
      </c>
    </row>
    <row r="525">
      <c r="A525" s="93" t="str">
        <f t="shared" si="2"/>
        <v>#14374</v>
      </c>
      <c r="B525" s="93" t="str">
        <f>IF(AND(COUNTIF(MAIN!B:B, A525)=0, IFERROR(SEARCH("return", C525)&gt;0, FALSE)), "Rental Return", IF(COUNTIF(MAIN!B:B, A525)=0, "Missing", ""))</f>
        <v>Missing</v>
      </c>
      <c r="C525" s="133" t="s">
        <v>15246</v>
      </c>
      <c r="E525" s="131" t="str">
        <f t="shared" si="1"/>
        <v>https://utrucking.myshopify.com/admin/orders?query=14374</v>
      </c>
    </row>
    <row r="526">
      <c r="A526" s="93" t="str">
        <f t="shared" si="2"/>
        <v>#14375</v>
      </c>
      <c r="B526" s="93" t="str">
        <f>IF(AND(COUNTIF(MAIN!B:B, A526)=0, IFERROR(SEARCH("return", C526)&gt;0, FALSE)), "Rental Return", IF(COUNTIF(MAIN!B:B, A526)=0, "Missing", ""))</f>
        <v>Missing</v>
      </c>
      <c r="C526" s="133" t="s">
        <v>15246</v>
      </c>
      <c r="E526" s="131" t="str">
        <f t="shared" si="1"/>
        <v>https://utrucking.myshopify.com/admin/orders?query=14375</v>
      </c>
    </row>
    <row r="527">
      <c r="A527" s="93" t="str">
        <f t="shared" si="2"/>
        <v>#14376</v>
      </c>
      <c r="B527" s="93" t="str">
        <f>IF(AND(COUNTIF(MAIN!B:B, A527)=0, IFERROR(SEARCH("return", C527)&gt;0, FALSE)), "Rental Return", IF(COUNTIF(MAIN!B:B, A527)=0, "Missing", ""))</f>
        <v>Missing</v>
      </c>
      <c r="C527" s="133" t="s">
        <v>15246</v>
      </c>
      <c r="E527" s="131" t="str">
        <f t="shared" si="1"/>
        <v>https://utrucking.myshopify.com/admin/orders?query=14376</v>
      </c>
    </row>
    <row r="528">
      <c r="A528" s="93" t="str">
        <f t="shared" si="2"/>
        <v>#14377</v>
      </c>
      <c r="B528" s="93" t="str">
        <f>IF(AND(COUNTIF(MAIN!B:B, A528)=0, IFERROR(SEARCH("return", C528)&gt;0, FALSE)), "Rental Return", IF(COUNTIF(MAIN!B:B, A528)=0, "Missing", ""))</f>
        <v>Missing</v>
      </c>
      <c r="C528" s="133" t="s">
        <v>15246</v>
      </c>
      <c r="E528" s="131" t="str">
        <f t="shared" si="1"/>
        <v>https://utrucking.myshopify.com/admin/orders?query=14377</v>
      </c>
    </row>
    <row r="529">
      <c r="A529" s="93" t="str">
        <f t="shared" si="2"/>
        <v>#14378</v>
      </c>
      <c r="B529" s="93" t="str">
        <f>IF(AND(COUNTIF(MAIN!B:B, A529)=0, IFERROR(SEARCH("return", C529)&gt;0, FALSE)), "Rental Return", IF(COUNTIF(MAIN!B:B, A529)=0, "Missing", ""))</f>
        <v>Missing</v>
      </c>
      <c r="C529" s="133" t="s">
        <v>15246</v>
      </c>
      <c r="E529" s="131" t="str">
        <f t="shared" si="1"/>
        <v>https://utrucking.myshopify.com/admin/orders?query=14378</v>
      </c>
    </row>
    <row r="530">
      <c r="A530" s="93" t="str">
        <f t="shared" si="2"/>
        <v>#14379</v>
      </c>
      <c r="B530" s="93" t="str">
        <f>IF(AND(COUNTIF(MAIN!B:B, A530)=0, IFERROR(SEARCH("return", C530)&gt;0, FALSE)), "Rental Return", IF(COUNTIF(MAIN!B:B, A530)=0, "Missing", ""))</f>
        <v>Rental Return</v>
      </c>
      <c r="C530" s="133" t="s">
        <v>15257</v>
      </c>
      <c r="E530" s="128" t="str">
        <f t="shared" si="1"/>
        <v/>
      </c>
    </row>
    <row r="531">
      <c r="A531" s="93" t="str">
        <f t="shared" si="2"/>
        <v>#14380</v>
      </c>
      <c r="B531" s="93" t="str">
        <f>IF(AND(COUNTIF(MAIN!B:B, A531)=0, IFERROR(SEARCH("return", C531)&gt;0, FALSE)), "Rental Return", IF(COUNTIF(MAIN!B:B, A531)=0, "Missing", ""))</f>
        <v>Missing</v>
      </c>
      <c r="C531" s="133" t="s">
        <v>15251</v>
      </c>
      <c r="E531" s="131" t="str">
        <f t="shared" si="1"/>
        <v>https://utrucking.myshopify.com/admin/orders?query=14380</v>
      </c>
    </row>
    <row r="532">
      <c r="A532" s="93" t="str">
        <f t="shared" si="2"/>
        <v>#14381</v>
      </c>
      <c r="B532" s="93" t="str">
        <f>IF(AND(COUNTIF(MAIN!B:B, A532)=0, IFERROR(SEARCH("return", C532)&gt;0, FALSE)), "Rental Return", IF(COUNTIF(MAIN!B:B, A532)=0, "Missing", ""))</f>
        <v>Missing</v>
      </c>
      <c r="C532" s="133" t="s">
        <v>15245</v>
      </c>
      <c r="E532" s="131" t="str">
        <f t="shared" si="1"/>
        <v>https://utrucking.myshopify.com/admin/orders?query=14381</v>
      </c>
    </row>
    <row r="533">
      <c r="A533" s="93" t="str">
        <f t="shared" si="2"/>
        <v>#14382</v>
      </c>
      <c r="B533" s="93" t="str">
        <f>IF(AND(COUNTIF(MAIN!B:B, A533)=0, IFERROR(SEARCH("return", C533)&gt;0, FALSE)), "Rental Return", IF(COUNTIF(MAIN!B:B, A533)=0, "Missing", ""))</f>
        <v>Missing</v>
      </c>
      <c r="C533" s="133" t="s">
        <v>15246</v>
      </c>
      <c r="E533" s="131" t="str">
        <f t="shared" si="1"/>
        <v>https://utrucking.myshopify.com/admin/orders?query=14382</v>
      </c>
    </row>
    <row r="534">
      <c r="A534" s="93" t="str">
        <f t="shared" si="2"/>
        <v>#14383</v>
      </c>
      <c r="B534" s="93" t="str">
        <f>IF(AND(COUNTIF(MAIN!B:B, A534)=0, IFERROR(SEARCH("return", C534)&gt;0, FALSE)), "Rental Return", IF(COUNTIF(MAIN!B:B, A534)=0, "Missing", ""))</f>
        <v>Missing</v>
      </c>
      <c r="C534" s="133" t="s">
        <v>15246</v>
      </c>
      <c r="E534" s="131" t="str">
        <f t="shared" si="1"/>
        <v>https://utrucking.myshopify.com/admin/orders?query=14383</v>
      </c>
    </row>
    <row r="535">
      <c r="A535" s="93" t="str">
        <f t="shared" si="2"/>
        <v>#14384</v>
      </c>
      <c r="B535" s="93" t="str">
        <f>IF(AND(COUNTIF(MAIN!B:B, A535)=0, IFERROR(SEARCH("return", C535)&gt;0, FALSE)), "Rental Return", IF(COUNTIF(MAIN!B:B, A535)=0, "Missing", ""))</f>
        <v>Missing</v>
      </c>
      <c r="C535" s="133" t="s">
        <v>15246</v>
      </c>
      <c r="E535" s="131" t="str">
        <f t="shared" si="1"/>
        <v>https://utrucking.myshopify.com/admin/orders?query=14384</v>
      </c>
    </row>
    <row r="536">
      <c r="A536" s="93" t="str">
        <f t="shared" si="2"/>
        <v>#14385</v>
      </c>
      <c r="B536" s="93" t="str">
        <f>IF(AND(COUNTIF(MAIN!B:B, A536)=0, IFERROR(SEARCH("return", C536)&gt;0, FALSE)), "Rental Return", IF(COUNTIF(MAIN!B:B, A536)=0, "Missing", ""))</f>
        <v>Missing</v>
      </c>
      <c r="C536" s="133" t="s">
        <v>15246</v>
      </c>
      <c r="E536" s="131" t="str">
        <f t="shared" si="1"/>
        <v>https://utrucking.myshopify.com/admin/orders?query=14385</v>
      </c>
    </row>
    <row r="537">
      <c r="A537" s="93" t="str">
        <f t="shared" si="2"/>
        <v>#14386</v>
      </c>
      <c r="B537" s="93" t="str">
        <f>IF(AND(COUNTIF(MAIN!B:B, A537)=0, IFERROR(SEARCH("return", C537)&gt;0, FALSE)), "Rental Return", IF(COUNTIF(MAIN!B:B, A537)=0, "Missing", ""))</f>
        <v>Missing</v>
      </c>
      <c r="C537" s="133" t="s">
        <v>15246</v>
      </c>
      <c r="E537" s="131" t="str">
        <f t="shared" si="1"/>
        <v>https://utrucking.myshopify.com/admin/orders?query=14386</v>
      </c>
    </row>
    <row r="538">
      <c r="A538" s="93" t="str">
        <f t="shared" si="2"/>
        <v>#14387</v>
      </c>
      <c r="B538" s="93" t="str">
        <f>IF(AND(COUNTIF(MAIN!B:B, A538)=0, IFERROR(SEARCH("return", C538)&gt;0, FALSE)), "Rental Return", IF(COUNTIF(MAIN!B:B, A538)=0, "Missing", ""))</f>
        <v>Missing</v>
      </c>
      <c r="C538" s="133" t="s">
        <v>15246</v>
      </c>
      <c r="E538" s="131" t="str">
        <f t="shared" si="1"/>
        <v>https://utrucking.myshopify.com/admin/orders?query=14387</v>
      </c>
    </row>
    <row r="539">
      <c r="A539" s="93" t="str">
        <f t="shared" si="2"/>
        <v>#14388</v>
      </c>
      <c r="B539" s="93" t="str">
        <f>IF(AND(COUNTIF(MAIN!B:B, A539)=0, IFERROR(SEARCH("return", C539)&gt;0, FALSE)), "Rental Return", IF(COUNTIF(MAIN!B:B, A539)=0, "Missing", ""))</f>
        <v>Missing</v>
      </c>
      <c r="C539" s="133" t="s">
        <v>15249</v>
      </c>
      <c r="E539" s="131" t="str">
        <f t="shared" si="1"/>
        <v>https://utrucking.myshopify.com/admin/orders?query=14388</v>
      </c>
    </row>
    <row r="540">
      <c r="A540" s="93" t="str">
        <f t="shared" si="2"/>
        <v>#14389</v>
      </c>
      <c r="B540" s="93" t="str">
        <f>IF(AND(COUNTIF(MAIN!B:B, A540)=0, IFERROR(SEARCH("return", C540)&gt;0, FALSE)), "Rental Return", IF(COUNTIF(MAIN!B:B, A540)=0, "Missing", ""))</f>
        <v>Missing</v>
      </c>
      <c r="C540" s="133" t="s">
        <v>15263</v>
      </c>
      <c r="E540" s="131" t="str">
        <f t="shared" si="1"/>
        <v>https://utrucking.myshopify.com/admin/orders?query=14389</v>
      </c>
    </row>
    <row r="541">
      <c r="A541" s="93" t="str">
        <f t="shared" si="2"/>
        <v>#14390</v>
      </c>
      <c r="B541" s="93" t="str">
        <f>IF(AND(COUNTIF(MAIN!B:B, A541)=0, IFERROR(SEARCH("return", C541)&gt;0, FALSE)), "Rental Return", IF(COUNTIF(MAIN!B:B, A541)=0, "Missing", ""))</f>
        <v>Missing</v>
      </c>
      <c r="C541" s="133" t="s">
        <v>15249</v>
      </c>
      <c r="E541" s="131" t="str">
        <f t="shared" si="1"/>
        <v>https://utrucking.myshopify.com/admin/orders?query=14390</v>
      </c>
    </row>
    <row r="542">
      <c r="A542" s="93" t="str">
        <f t="shared" si="2"/>
        <v>#14391</v>
      </c>
      <c r="B542" s="93" t="str">
        <f>IF(AND(COUNTIF(MAIN!B:B, A542)=0, IFERROR(SEARCH("return", C542)&gt;0, FALSE)), "Rental Return", IF(COUNTIF(MAIN!B:B, A542)=0, "Missing", ""))</f>
        <v>Missing</v>
      </c>
      <c r="C542" s="133" t="s">
        <v>15246</v>
      </c>
      <c r="E542" s="131" t="str">
        <f t="shared" si="1"/>
        <v>https://utrucking.myshopify.com/admin/orders?query=14391</v>
      </c>
    </row>
    <row r="543">
      <c r="A543" s="93" t="str">
        <f t="shared" si="2"/>
        <v>#14392</v>
      </c>
      <c r="B543" s="93" t="str">
        <f>IF(AND(COUNTIF(MAIN!B:B, A543)=0, IFERROR(SEARCH("return", C543)&gt;0, FALSE)), "Rental Return", IF(COUNTIF(MAIN!B:B, A543)=0, "Missing", ""))</f>
        <v>Missing</v>
      </c>
      <c r="C543" s="133" t="s">
        <v>15250</v>
      </c>
      <c r="E543" s="131" t="str">
        <f t="shared" si="1"/>
        <v>https://utrucking.myshopify.com/admin/orders?query=14392</v>
      </c>
    </row>
    <row r="544">
      <c r="A544" s="93" t="str">
        <f t="shared" si="2"/>
        <v>#14393</v>
      </c>
      <c r="B544" s="93" t="str">
        <f>IF(AND(COUNTIF(MAIN!B:B, A544)=0, IFERROR(SEARCH("return", C544)&gt;0, FALSE)), "Rental Return", IF(COUNTIF(MAIN!B:B, A544)=0, "Missing", ""))</f>
        <v>Missing</v>
      </c>
      <c r="C544" s="133" t="s">
        <v>15246</v>
      </c>
      <c r="E544" s="131" t="str">
        <f t="shared" si="1"/>
        <v>https://utrucking.myshopify.com/admin/orders?query=14393</v>
      </c>
    </row>
    <row r="545">
      <c r="A545" s="93" t="str">
        <f t="shared" si="2"/>
        <v>#14394</v>
      </c>
      <c r="B545" s="93" t="str">
        <f>IF(AND(COUNTIF(MAIN!B:B, A545)=0, IFERROR(SEARCH("return", C545)&gt;0, FALSE)), "Rental Return", IF(COUNTIF(MAIN!B:B, A545)=0, "Missing", ""))</f>
        <v>Missing</v>
      </c>
      <c r="C545" s="133" t="s">
        <v>15246</v>
      </c>
      <c r="E545" s="131" t="str">
        <f t="shared" si="1"/>
        <v>https://utrucking.myshopify.com/admin/orders?query=14394</v>
      </c>
    </row>
    <row r="546">
      <c r="A546" s="93" t="str">
        <f t="shared" si="2"/>
        <v>#14395</v>
      </c>
      <c r="B546" s="93" t="str">
        <f>IF(AND(COUNTIF(MAIN!B:B, A546)=0, IFERROR(SEARCH("return", C546)&gt;0, FALSE)), "Rental Return", IF(COUNTIF(MAIN!B:B, A546)=0, "Missing", ""))</f>
        <v>Missing</v>
      </c>
      <c r="C546" s="133" t="s">
        <v>15246</v>
      </c>
      <c r="E546" s="131" t="str">
        <f t="shared" si="1"/>
        <v>https://utrucking.myshopify.com/admin/orders?query=14395</v>
      </c>
    </row>
    <row r="547">
      <c r="A547" s="93" t="str">
        <f t="shared" si="2"/>
        <v>#14396</v>
      </c>
      <c r="B547" s="93" t="str">
        <f>IF(AND(COUNTIF(MAIN!B:B, A547)=0, IFERROR(SEARCH("return", C547)&gt;0, FALSE)), "Rental Return", IF(COUNTIF(MAIN!B:B, A547)=0, "Missing", ""))</f>
        <v>Missing</v>
      </c>
      <c r="C547" s="133" t="s">
        <v>15245</v>
      </c>
      <c r="E547" s="131" t="str">
        <f t="shared" si="1"/>
        <v>https://utrucking.myshopify.com/admin/orders?query=14396</v>
      </c>
    </row>
    <row r="548">
      <c r="A548" s="93" t="str">
        <f t="shared" si="2"/>
        <v>#14397</v>
      </c>
      <c r="B548" s="93" t="str">
        <f>IF(AND(COUNTIF(MAIN!B:B, A548)=0, IFERROR(SEARCH("return", C548)&gt;0, FALSE)), "Rental Return", IF(COUNTIF(MAIN!B:B, A548)=0, "Missing", ""))</f>
        <v>Missing</v>
      </c>
      <c r="C548" s="133" t="s">
        <v>15246</v>
      </c>
      <c r="E548" s="131" t="str">
        <f t="shared" si="1"/>
        <v>https://utrucking.myshopify.com/admin/orders?query=14397</v>
      </c>
    </row>
    <row r="549">
      <c r="A549" s="93" t="str">
        <f t="shared" si="2"/>
        <v>#14398</v>
      </c>
      <c r="B549" s="93" t="str">
        <f>IF(AND(COUNTIF(MAIN!B:B, A549)=0, IFERROR(SEARCH("return", C549)&gt;0, FALSE)), "Rental Return", IF(COUNTIF(MAIN!B:B, A549)=0, "Missing", ""))</f>
        <v>Missing</v>
      </c>
      <c r="C549" s="133" t="s">
        <v>15249</v>
      </c>
      <c r="E549" s="131" t="str">
        <f t="shared" si="1"/>
        <v>https://utrucking.myshopify.com/admin/orders?query=14398</v>
      </c>
    </row>
    <row r="550">
      <c r="A550" s="93" t="str">
        <f t="shared" si="2"/>
        <v>#14399</v>
      </c>
      <c r="B550" s="93" t="str">
        <f>IF(AND(COUNTIF(MAIN!B:B, A550)=0, IFERROR(SEARCH("return", C550)&gt;0, FALSE)), "Rental Return", IF(COUNTIF(MAIN!B:B, A550)=0, "Missing", ""))</f>
        <v>Missing</v>
      </c>
      <c r="C550" s="133" t="s">
        <v>15251</v>
      </c>
      <c r="E550" s="131" t="str">
        <f t="shared" si="1"/>
        <v>https://utrucking.myshopify.com/admin/orders?query=14399</v>
      </c>
    </row>
    <row r="551">
      <c r="A551" s="93" t="str">
        <f t="shared" si="2"/>
        <v>#14400</v>
      </c>
      <c r="B551" s="93" t="str">
        <f>IF(AND(COUNTIF(MAIN!B:B, A551)=0, IFERROR(SEARCH("return", C551)&gt;0, FALSE)), "Rental Return", IF(COUNTIF(MAIN!B:B, A551)=0, "Missing", ""))</f>
        <v>Missing</v>
      </c>
      <c r="C551" s="133" t="s">
        <v>15246</v>
      </c>
      <c r="E551" s="131" t="str">
        <f t="shared" si="1"/>
        <v>https://utrucking.myshopify.com/admin/orders?query=14400</v>
      </c>
    </row>
    <row r="552">
      <c r="A552" s="93" t="str">
        <f t="shared" si="2"/>
        <v>#14401</v>
      </c>
      <c r="B552" s="93" t="str">
        <f>IF(AND(COUNTIF(MAIN!B:B, A552)=0, IFERROR(SEARCH("return", C552)&gt;0, FALSE)), "Rental Return", IF(COUNTIF(MAIN!B:B, A552)=0, "Missing", ""))</f>
        <v>Missing</v>
      </c>
      <c r="C552" s="133" t="s">
        <v>15251</v>
      </c>
      <c r="E552" s="131" t="str">
        <f t="shared" si="1"/>
        <v>https://utrucking.myshopify.com/admin/orders?query=14401</v>
      </c>
    </row>
    <row r="553">
      <c r="A553" s="93" t="str">
        <f t="shared" si="2"/>
        <v>#14402</v>
      </c>
      <c r="B553" s="93" t="str">
        <f>IF(AND(COUNTIF(MAIN!B:B, A553)=0, IFERROR(SEARCH("return", C553)&gt;0, FALSE)), "Rental Return", IF(COUNTIF(MAIN!B:B, A553)=0, "Missing", ""))</f>
        <v>Missing</v>
      </c>
      <c r="C553" s="133" t="s">
        <v>15251</v>
      </c>
      <c r="E553" s="131" t="str">
        <f t="shared" si="1"/>
        <v>https://utrucking.myshopify.com/admin/orders?query=14402</v>
      </c>
    </row>
    <row r="554">
      <c r="A554" s="93" t="str">
        <f t="shared" si="2"/>
        <v>#14403</v>
      </c>
      <c r="B554" s="93" t="str">
        <f>IF(AND(COUNTIF(MAIN!B:B, A554)=0, IFERROR(SEARCH("return", C554)&gt;0, FALSE)), "Rental Return", IF(COUNTIF(MAIN!B:B, A554)=0, "Missing", ""))</f>
        <v>Missing</v>
      </c>
      <c r="C554" s="133" t="s">
        <v>15246</v>
      </c>
      <c r="E554" s="131" t="str">
        <f t="shared" si="1"/>
        <v>https://utrucking.myshopify.com/admin/orders?query=14403</v>
      </c>
    </row>
    <row r="555">
      <c r="A555" s="93" t="str">
        <f t="shared" si="2"/>
        <v>#14404</v>
      </c>
      <c r="B555" s="93" t="str">
        <f>IF(AND(COUNTIF(MAIN!B:B, A555)=0, IFERROR(SEARCH("return", C555)&gt;0, FALSE)), "Rental Return", IF(COUNTIF(MAIN!B:B, A555)=0, "Missing", ""))</f>
        <v>Missing</v>
      </c>
      <c r="C555" s="133" t="s">
        <v>15249</v>
      </c>
      <c r="E555" s="131" t="str">
        <f t="shared" si="1"/>
        <v>https://utrucking.myshopify.com/admin/orders?query=14404</v>
      </c>
    </row>
    <row r="556">
      <c r="A556" s="93" t="str">
        <f t="shared" si="2"/>
        <v>#14405</v>
      </c>
      <c r="B556" s="93" t="str">
        <f>IF(AND(COUNTIF(MAIN!B:B, A556)=0, IFERROR(SEARCH("return", C556)&gt;0, FALSE)), "Rental Return", IF(COUNTIF(MAIN!B:B, A556)=0, "Missing", ""))</f>
        <v>Missing</v>
      </c>
      <c r="C556" s="133" t="s">
        <v>15246</v>
      </c>
      <c r="E556" s="131" t="str">
        <f t="shared" si="1"/>
        <v>https://utrucking.myshopify.com/admin/orders?query=14405</v>
      </c>
    </row>
    <row r="557">
      <c r="A557" s="93" t="str">
        <f t="shared" si="2"/>
        <v>#14406</v>
      </c>
      <c r="B557" s="93" t="str">
        <f>IF(AND(COUNTIF(MAIN!B:B, A557)=0, IFERROR(SEARCH("return", C557)&gt;0, FALSE)), "Rental Return", IF(COUNTIF(MAIN!B:B, A557)=0, "Missing", ""))</f>
        <v>Missing</v>
      </c>
      <c r="C557" s="133" t="s">
        <v>15246</v>
      </c>
      <c r="E557" s="131" t="str">
        <f t="shared" si="1"/>
        <v>https://utrucking.myshopify.com/admin/orders?query=14406</v>
      </c>
    </row>
    <row r="558">
      <c r="A558" s="93" t="str">
        <f t="shared" si="2"/>
        <v>#14407</v>
      </c>
      <c r="B558" s="93" t="str">
        <f>IF(AND(COUNTIF(MAIN!B:B, A558)=0, IFERROR(SEARCH("return", C558)&gt;0, FALSE)), "Rental Return", IF(COUNTIF(MAIN!B:B, A558)=0, "Missing", ""))</f>
        <v>Missing</v>
      </c>
      <c r="C558" s="133" t="s">
        <v>15249</v>
      </c>
      <c r="E558" s="131" t="str">
        <f t="shared" si="1"/>
        <v>https://utrucking.myshopify.com/admin/orders?query=14407</v>
      </c>
    </row>
    <row r="559">
      <c r="A559" s="93" t="str">
        <f t="shared" si="2"/>
        <v>#14408</v>
      </c>
      <c r="B559" s="93" t="str">
        <f>IF(AND(COUNTIF(MAIN!B:B, A559)=0, IFERROR(SEARCH("return", C559)&gt;0, FALSE)), "Rental Return", IF(COUNTIF(MAIN!B:B, A559)=0, "Missing", ""))</f>
        <v>Missing</v>
      </c>
      <c r="C559" s="133" t="s">
        <v>15246</v>
      </c>
      <c r="E559" s="131" t="str">
        <f t="shared" si="1"/>
        <v>https://utrucking.myshopify.com/admin/orders?query=14408</v>
      </c>
    </row>
    <row r="560">
      <c r="A560" s="93" t="str">
        <f t="shared" si="2"/>
        <v>#14409</v>
      </c>
      <c r="B560" s="93" t="str">
        <f>IF(AND(COUNTIF(MAIN!B:B, A560)=0, IFERROR(SEARCH("return", C560)&gt;0, FALSE)), "Rental Return", IF(COUNTIF(MAIN!B:B, A560)=0, "Missing", ""))</f>
        <v/>
      </c>
      <c r="C560" s="128"/>
      <c r="E560" s="128" t="str">
        <f t="shared" si="1"/>
        <v/>
      </c>
    </row>
    <row r="561">
      <c r="A561" s="93" t="str">
        <f t="shared" si="2"/>
        <v>#14410</v>
      </c>
      <c r="B561" s="93" t="str">
        <f>IF(AND(COUNTIF(MAIN!B:B, A561)=0, IFERROR(SEARCH("return", C561)&gt;0, FALSE)), "Rental Return", IF(COUNTIF(MAIN!B:B, A561)=0, "Missing", ""))</f>
        <v>Missing</v>
      </c>
      <c r="C561" s="133" t="s">
        <v>15246</v>
      </c>
      <c r="E561" s="131" t="str">
        <f t="shared" si="1"/>
        <v>https://utrucking.myshopify.com/admin/orders?query=14410</v>
      </c>
    </row>
    <row r="562">
      <c r="A562" s="93" t="str">
        <f t="shared" si="2"/>
        <v>#14411</v>
      </c>
      <c r="B562" s="93" t="str">
        <f>IF(AND(COUNTIF(MAIN!B:B, A562)=0, IFERROR(SEARCH("return", C562)&gt;0, FALSE)), "Rental Return", IF(COUNTIF(MAIN!B:B, A562)=0, "Missing", ""))</f>
        <v>Missing</v>
      </c>
      <c r="C562" s="133" t="s">
        <v>15246</v>
      </c>
      <c r="E562" s="131" t="str">
        <f t="shared" si="1"/>
        <v>https://utrucking.myshopify.com/admin/orders?query=14411</v>
      </c>
    </row>
    <row r="563">
      <c r="A563" s="93" t="str">
        <f t="shared" si="2"/>
        <v>#14412</v>
      </c>
      <c r="B563" s="93" t="str">
        <f>IF(AND(COUNTIF(MAIN!B:B, A563)=0, IFERROR(SEARCH("return", C563)&gt;0, FALSE)), "Rental Return", IF(COUNTIF(MAIN!B:B, A563)=0, "Missing", ""))</f>
        <v>Missing</v>
      </c>
      <c r="C563" s="133" t="s">
        <v>15246</v>
      </c>
      <c r="E563" s="131" t="str">
        <f t="shared" si="1"/>
        <v>https://utrucking.myshopify.com/admin/orders?query=14412</v>
      </c>
    </row>
    <row r="564">
      <c r="A564" s="93" t="str">
        <f t="shared" si="2"/>
        <v>#14413</v>
      </c>
      <c r="B564" s="93" t="str">
        <f>IF(AND(COUNTIF(MAIN!B:B, A564)=0, IFERROR(SEARCH("return", C564)&gt;0, FALSE)), "Rental Return", IF(COUNTIF(MAIN!B:B, A564)=0, "Missing", ""))</f>
        <v>Missing</v>
      </c>
      <c r="C564" s="133" t="s">
        <v>15246</v>
      </c>
      <c r="E564" s="131" t="str">
        <f t="shared" si="1"/>
        <v>https://utrucking.myshopify.com/admin/orders?query=14413</v>
      </c>
    </row>
    <row r="565">
      <c r="A565" s="93" t="str">
        <f t="shared" si="2"/>
        <v>#14414</v>
      </c>
      <c r="B565" s="93" t="str">
        <f>IF(AND(COUNTIF(MAIN!B:B, A565)=0, IFERROR(SEARCH("return", C565)&gt;0, FALSE)), "Rental Return", IF(COUNTIF(MAIN!B:B, A565)=0, "Missing", ""))</f>
        <v>Missing</v>
      </c>
      <c r="C565" s="133" t="s">
        <v>15246</v>
      </c>
      <c r="E565" s="131" t="str">
        <f t="shared" si="1"/>
        <v>https://utrucking.myshopify.com/admin/orders?query=14414</v>
      </c>
    </row>
    <row r="566">
      <c r="A566" s="93" t="str">
        <f t="shared" si="2"/>
        <v>#14415</v>
      </c>
      <c r="B566" s="93" t="str">
        <f>IF(AND(COUNTIF(MAIN!B:B, A566)=0, IFERROR(SEARCH("return", C566)&gt;0, FALSE)), "Rental Return", IF(COUNTIF(MAIN!B:B, A566)=0, "Missing", ""))</f>
        <v>Rental Return</v>
      </c>
      <c r="C566" s="133" t="s">
        <v>15261</v>
      </c>
      <c r="E566" s="128" t="str">
        <f t="shared" si="1"/>
        <v/>
      </c>
    </row>
    <row r="567">
      <c r="A567" s="93" t="str">
        <f t="shared" si="2"/>
        <v>#14416</v>
      </c>
      <c r="B567" s="93" t="str">
        <f>IF(AND(COUNTIF(MAIN!B:B, A567)=0, IFERROR(SEARCH("return", C567)&gt;0, FALSE)), "Rental Return", IF(COUNTIF(MAIN!B:B, A567)=0, "Missing", ""))</f>
        <v>Missing</v>
      </c>
      <c r="C567" s="133" t="s">
        <v>15256</v>
      </c>
      <c r="E567" s="131" t="str">
        <f t="shared" si="1"/>
        <v>https://utrucking.myshopify.com/admin/orders?query=14416</v>
      </c>
    </row>
    <row r="568">
      <c r="A568" s="93" t="str">
        <f t="shared" si="2"/>
        <v>#14417</v>
      </c>
      <c r="B568" s="93" t="str">
        <f>IF(AND(COUNTIF(MAIN!B:B, A568)=0, IFERROR(SEARCH("return", C568)&gt;0, FALSE)), "Rental Return", IF(COUNTIF(MAIN!B:B, A568)=0, "Missing", ""))</f>
        <v>Missing</v>
      </c>
      <c r="C568" s="133" t="s">
        <v>15246</v>
      </c>
      <c r="E568" s="131" t="str">
        <f t="shared" si="1"/>
        <v>https://utrucking.myshopify.com/admin/orders?query=14417</v>
      </c>
    </row>
    <row r="569">
      <c r="A569" s="93" t="str">
        <f t="shared" si="2"/>
        <v>#14418</v>
      </c>
      <c r="B569" s="93" t="str">
        <f>IF(AND(COUNTIF(MAIN!B:B, A569)=0, IFERROR(SEARCH("return", C569)&gt;0, FALSE)), "Rental Return", IF(COUNTIF(MAIN!B:B, A569)=0, "Missing", ""))</f>
        <v>Missing</v>
      </c>
      <c r="C569" s="133" t="s">
        <v>15246</v>
      </c>
      <c r="E569" s="131" t="str">
        <f t="shared" si="1"/>
        <v>https://utrucking.myshopify.com/admin/orders?query=14418</v>
      </c>
    </row>
    <row r="570">
      <c r="A570" s="93" t="str">
        <f t="shared" si="2"/>
        <v>#14419</v>
      </c>
      <c r="B570" s="93" t="str">
        <f>IF(AND(COUNTIF(MAIN!B:B, A570)=0, IFERROR(SEARCH("return", C570)&gt;0, FALSE)), "Rental Return", IF(COUNTIF(MAIN!B:B, A570)=0, "Missing", ""))</f>
        <v>Missing</v>
      </c>
      <c r="C570" s="133" t="s">
        <v>15246</v>
      </c>
      <c r="E570" s="131" t="str">
        <f t="shared" si="1"/>
        <v>https://utrucking.myshopify.com/admin/orders?query=14419</v>
      </c>
    </row>
    <row r="571">
      <c r="A571" s="93" t="str">
        <f t="shared" si="2"/>
        <v>#14420</v>
      </c>
      <c r="B571" s="93" t="str">
        <f>IF(AND(COUNTIF(MAIN!B:B, A571)=0, IFERROR(SEARCH("return", C571)&gt;0, FALSE)), "Rental Return", IF(COUNTIF(MAIN!B:B, A571)=0, "Missing", ""))</f>
        <v>Missing</v>
      </c>
      <c r="C571" s="133" t="s">
        <v>15246</v>
      </c>
      <c r="E571" s="131" t="str">
        <f t="shared" si="1"/>
        <v>https://utrucking.myshopify.com/admin/orders?query=14420</v>
      </c>
    </row>
    <row r="572">
      <c r="A572" s="93" t="str">
        <f t="shared" si="2"/>
        <v>#14421</v>
      </c>
      <c r="B572" s="93" t="str">
        <f>IF(AND(COUNTIF(MAIN!B:B, A572)=0, IFERROR(SEARCH("return", C572)&gt;0, FALSE)), "Rental Return", IF(COUNTIF(MAIN!B:B, A572)=0, "Missing", ""))</f>
        <v>Missing</v>
      </c>
      <c r="C572" s="133" t="s">
        <v>15246</v>
      </c>
      <c r="E572" s="131" t="str">
        <f t="shared" si="1"/>
        <v>https://utrucking.myshopify.com/admin/orders?query=14421</v>
      </c>
    </row>
    <row r="573">
      <c r="A573" s="93" t="str">
        <f t="shared" si="2"/>
        <v>#14422</v>
      </c>
      <c r="B573" s="93" t="str">
        <f>IF(AND(COUNTIF(MAIN!B:B, A573)=0, IFERROR(SEARCH("return", C573)&gt;0, FALSE)), "Rental Return", IF(COUNTIF(MAIN!B:B, A573)=0, "Missing", ""))</f>
        <v>Missing</v>
      </c>
      <c r="C573" s="133" t="s">
        <v>15246</v>
      </c>
      <c r="E573" s="131" t="str">
        <f t="shared" si="1"/>
        <v>https://utrucking.myshopify.com/admin/orders?query=14422</v>
      </c>
    </row>
    <row r="574">
      <c r="A574" s="93" t="str">
        <f t="shared" si="2"/>
        <v>#14423</v>
      </c>
      <c r="B574" s="93" t="str">
        <f>IF(AND(COUNTIF(MAIN!B:B, A574)=0, IFERROR(SEARCH("return", C574)&gt;0, FALSE)), "Rental Return", IF(COUNTIF(MAIN!B:B, A574)=0, "Missing", ""))</f>
        <v>Rental Return</v>
      </c>
      <c r="C574" s="133" t="s">
        <v>15265</v>
      </c>
      <c r="E574" s="128" t="str">
        <f t="shared" si="1"/>
        <v/>
      </c>
    </row>
    <row r="575">
      <c r="A575" s="93" t="str">
        <f t="shared" si="2"/>
        <v>#14424</v>
      </c>
      <c r="B575" s="93" t="str">
        <f>IF(AND(COUNTIF(MAIN!B:B, A575)=0, IFERROR(SEARCH("return", C575)&gt;0, FALSE)), "Rental Return", IF(COUNTIF(MAIN!B:B, A575)=0, "Missing", ""))</f>
        <v>Missing</v>
      </c>
      <c r="C575" s="133" t="s">
        <v>15246</v>
      </c>
      <c r="E575" s="131" t="str">
        <f t="shared" si="1"/>
        <v>https://utrucking.myshopify.com/admin/orders?query=14424</v>
      </c>
    </row>
    <row r="576">
      <c r="A576" s="93" t="str">
        <f t="shared" si="2"/>
        <v>#14425</v>
      </c>
      <c r="B576" s="93" t="str">
        <f>IF(AND(COUNTIF(MAIN!B:B, A576)=0, IFERROR(SEARCH("return", C576)&gt;0, FALSE)), "Rental Return", IF(COUNTIF(MAIN!B:B, A576)=0, "Missing", ""))</f>
        <v>Missing</v>
      </c>
      <c r="C576" s="133" t="s">
        <v>15248</v>
      </c>
      <c r="E576" s="131" t="str">
        <f t="shared" si="1"/>
        <v>https://utrucking.myshopify.com/admin/orders?query=14425</v>
      </c>
    </row>
    <row r="577">
      <c r="A577" s="93" t="str">
        <f t="shared" si="2"/>
        <v>#14426</v>
      </c>
      <c r="B577" s="93" t="str">
        <f>IF(AND(COUNTIF(MAIN!B:B, A577)=0, IFERROR(SEARCH("return", C577)&gt;0, FALSE)), "Rental Return", IF(COUNTIF(MAIN!B:B, A577)=0, "Missing", ""))</f>
        <v>Missing</v>
      </c>
      <c r="C577" s="133" t="s">
        <v>15246</v>
      </c>
      <c r="E577" s="131" t="str">
        <f t="shared" si="1"/>
        <v>https://utrucking.myshopify.com/admin/orders?query=14426</v>
      </c>
    </row>
    <row r="578">
      <c r="A578" s="93" t="str">
        <f t="shared" si="2"/>
        <v>#14427</v>
      </c>
      <c r="B578" s="93" t="str">
        <f>IF(AND(COUNTIF(MAIN!B:B, A578)=0, IFERROR(SEARCH("return", C578)&gt;0, FALSE)), "Rental Return", IF(COUNTIF(MAIN!B:B, A578)=0, "Missing", ""))</f>
        <v>Missing</v>
      </c>
      <c r="C578" s="133" t="s">
        <v>15246</v>
      </c>
      <c r="E578" s="131" t="str">
        <f t="shared" si="1"/>
        <v>https://utrucking.myshopify.com/admin/orders?query=14427</v>
      </c>
    </row>
    <row r="579">
      <c r="A579" s="93" t="str">
        <f t="shared" si="2"/>
        <v>#14428</v>
      </c>
      <c r="B579" s="93" t="str">
        <f>IF(AND(COUNTIF(MAIN!B:B, A579)=0, IFERROR(SEARCH("return", C579)&gt;0, FALSE)), "Rental Return", IF(COUNTIF(MAIN!B:B, A579)=0, "Missing", ""))</f>
        <v>Missing</v>
      </c>
      <c r="C579" s="133" t="s">
        <v>15246</v>
      </c>
      <c r="E579" s="131" t="str">
        <f t="shared" si="1"/>
        <v>https://utrucking.myshopify.com/admin/orders?query=14428</v>
      </c>
    </row>
    <row r="580">
      <c r="A580" s="93" t="str">
        <f t="shared" si="2"/>
        <v>#14429</v>
      </c>
      <c r="B580" s="93" t="str">
        <f>IF(AND(COUNTIF(MAIN!B:B, A580)=0, IFERROR(SEARCH("return", C580)&gt;0, FALSE)), "Rental Return", IF(COUNTIF(MAIN!B:B, A580)=0, "Missing", ""))</f>
        <v>Missing</v>
      </c>
      <c r="C580" s="133" t="s">
        <v>15246</v>
      </c>
      <c r="E580" s="131" t="str">
        <f t="shared" si="1"/>
        <v>https://utrucking.myshopify.com/admin/orders?query=14429</v>
      </c>
    </row>
    <row r="581">
      <c r="A581" s="93" t="str">
        <f t="shared" si="2"/>
        <v>#14430</v>
      </c>
      <c r="B581" s="93" t="str">
        <f>IF(AND(COUNTIF(MAIN!B:B, A581)=0, IFERROR(SEARCH("return", C581)&gt;0, FALSE)), "Rental Return", IF(COUNTIF(MAIN!B:B, A581)=0, "Missing", ""))</f>
        <v>Rental Return</v>
      </c>
      <c r="C581" s="133" t="s">
        <v>15265</v>
      </c>
      <c r="E581" s="128" t="str">
        <f t="shared" si="1"/>
        <v/>
      </c>
    </row>
    <row r="582">
      <c r="A582" s="93" t="str">
        <f t="shared" si="2"/>
        <v>#14431</v>
      </c>
      <c r="B582" s="93" t="str">
        <f>IF(AND(COUNTIF(MAIN!B:B, A582)=0, IFERROR(SEARCH("return", C582)&gt;0, FALSE)), "Rental Return", IF(COUNTIF(MAIN!B:B, A582)=0, "Missing", ""))</f>
        <v>Missing</v>
      </c>
      <c r="C582" s="133" t="s">
        <v>15246</v>
      </c>
      <c r="E582" s="131" t="str">
        <f t="shared" si="1"/>
        <v>https://utrucking.myshopify.com/admin/orders?query=14431</v>
      </c>
    </row>
    <row r="583">
      <c r="A583" s="93" t="str">
        <f t="shared" si="2"/>
        <v>#14432</v>
      </c>
      <c r="B583" s="93" t="str">
        <f>IF(AND(COUNTIF(MAIN!B:B, A583)=0, IFERROR(SEARCH("return", C583)&gt;0, FALSE)), "Rental Return", IF(COUNTIF(MAIN!B:B, A583)=0, "Missing", ""))</f>
        <v>Missing</v>
      </c>
      <c r="C583" s="133" t="s">
        <v>15246</v>
      </c>
      <c r="E583" s="131" t="str">
        <f t="shared" si="1"/>
        <v>https://utrucking.myshopify.com/admin/orders?query=14432</v>
      </c>
    </row>
    <row r="584">
      <c r="A584" s="93" t="str">
        <f t="shared" si="2"/>
        <v>#14433</v>
      </c>
      <c r="B584" s="93" t="str">
        <f>IF(AND(COUNTIF(MAIN!B:B, A584)=0, IFERROR(SEARCH("return", C584)&gt;0, FALSE)), "Rental Return", IF(COUNTIF(MAIN!B:B, A584)=0, "Missing", ""))</f>
        <v>Missing</v>
      </c>
      <c r="C584" s="133" t="s">
        <v>15246</v>
      </c>
      <c r="E584" s="131" t="str">
        <f t="shared" si="1"/>
        <v>https://utrucking.myshopify.com/admin/orders?query=14433</v>
      </c>
    </row>
    <row r="585">
      <c r="A585" s="93" t="str">
        <f t="shared" si="2"/>
        <v>#14434</v>
      </c>
      <c r="B585" s="93" t="str">
        <f>IF(AND(COUNTIF(MAIN!B:B, A585)=0, IFERROR(SEARCH("return", C585)&gt;0, FALSE)), "Rental Return", IF(COUNTIF(MAIN!B:B, A585)=0, "Missing", ""))</f>
        <v>Rental Return</v>
      </c>
      <c r="C585" s="133" t="s">
        <v>15255</v>
      </c>
      <c r="E585" s="128" t="str">
        <f t="shared" si="1"/>
        <v/>
      </c>
    </row>
    <row r="586">
      <c r="A586" s="93" t="str">
        <f t="shared" si="2"/>
        <v>#14435</v>
      </c>
      <c r="B586" s="93" t="str">
        <f>IF(AND(COUNTIF(MAIN!B:B, A586)=0, IFERROR(SEARCH("return", C586)&gt;0, FALSE)), "Rental Return", IF(COUNTIF(MAIN!B:B, A586)=0, "Missing", ""))</f>
        <v>Missing</v>
      </c>
      <c r="C586" s="133" t="s">
        <v>15248</v>
      </c>
      <c r="E586" s="131" t="str">
        <f t="shared" si="1"/>
        <v>https://utrucking.myshopify.com/admin/orders?query=14435</v>
      </c>
    </row>
    <row r="587">
      <c r="A587" s="93" t="str">
        <f t="shared" si="2"/>
        <v>#14436</v>
      </c>
      <c r="B587" s="93" t="str">
        <f>IF(AND(COUNTIF(MAIN!B:B, A587)=0, IFERROR(SEARCH("return", C587)&gt;0, FALSE)), "Rental Return", IF(COUNTIF(MAIN!B:B, A587)=0, "Missing", ""))</f>
        <v>Missing</v>
      </c>
      <c r="C587" s="133" t="s">
        <v>15249</v>
      </c>
      <c r="E587" s="131" t="str">
        <f t="shared" si="1"/>
        <v>https://utrucking.myshopify.com/admin/orders?query=14436</v>
      </c>
    </row>
    <row r="588">
      <c r="A588" s="93" t="str">
        <f t="shared" si="2"/>
        <v>#14437</v>
      </c>
      <c r="B588" s="93" t="str">
        <f>IF(AND(COUNTIF(MAIN!B:B, A588)=0, IFERROR(SEARCH("return", C588)&gt;0, FALSE)), "Rental Return", IF(COUNTIF(MAIN!B:B, A588)=0, "Missing", ""))</f>
        <v>Missing</v>
      </c>
      <c r="C588" s="133" t="s">
        <v>15246</v>
      </c>
      <c r="E588" s="131" t="str">
        <f t="shared" si="1"/>
        <v>https://utrucking.myshopify.com/admin/orders?query=14437</v>
      </c>
    </row>
    <row r="589">
      <c r="A589" s="93" t="str">
        <f t="shared" si="2"/>
        <v>#14438</v>
      </c>
      <c r="B589" s="93" t="str">
        <f>IF(AND(COUNTIF(MAIN!B:B, A589)=0, IFERROR(SEARCH("return", C589)&gt;0, FALSE)), "Rental Return", IF(COUNTIF(MAIN!B:B, A589)=0, "Missing", ""))</f>
        <v>Missing</v>
      </c>
      <c r="C589" s="133" t="s">
        <v>15246</v>
      </c>
      <c r="E589" s="131" t="str">
        <f t="shared" si="1"/>
        <v>https://utrucking.myshopify.com/admin/orders?query=14438</v>
      </c>
    </row>
    <row r="590">
      <c r="A590" s="93" t="str">
        <f t="shared" si="2"/>
        <v>#14439</v>
      </c>
      <c r="B590" s="93" t="str">
        <f>IF(AND(COUNTIF(MAIN!B:B, A590)=0, IFERROR(SEARCH("return", C590)&gt;0, FALSE)), "Rental Return", IF(COUNTIF(MAIN!B:B, A590)=0, "Missing", ""))</f>
        <v>Missing</v>
      </c>
      <c r="C590" s="133" t="s">
        <v>15246</v>
      </c>
      <c r="E590" s="131" t="str">
        <f t="shared" si="1"/>
        <v>https://utrucking.myshopify.com/admin/orders?query=14439</v>
      </c>
    </row>
    <row r="591">
      <c r="A591" s="93" t="str">
        <f t="shared" si="2"/>
        <v>#14440</v>
      </c>
      <c r="B591" s="93" t="str">
        <f>IF(AND(COUNTIF(MAIN!B:B, A591)=0, IFERROR(SEARCH("return", C591)&gt;0, FALSE)), "Rental Return", IF(COUNTIF(MAIN!B:B, A591)=0, "Missing", ""))</f>
        <v>Missing</v>
      </c>
      <c r="C591" s="133" t="s">
        <v>15246</v>
      </c>
      <c r="E591" s="131" t="str">
        <f t="shared" si="1"/>
        <v>https://utrucking.myshopify.com/admin/orders?query=14440</v>
      </c>
    </row>
    <row r="592">
      <c r="A592" s="93" t="str">
        <f t="shared" si="2"/>
        <v>#14441</v>
      </c>
      <c r="B592" s="93" t="str">
        <f>IF(AND(COUNTIF(MAIN!B:B, A592)=0, IFERROR(SEARCH("return", C592)&gt;0, FALSE)), "Rental Return", IF(COUNTIF(MAIN!B:B, A592)=0, "Missing", ""))</f>
        <v>Missing</v>
      </c>
      <c r="C592" s="133" t="s">
        <v>15246</v>
      </c>
      <c r="E592" s="131" t="str">
        <f t="shared" si="1"/>
        <v>https://utrucking.myshopify.com/admin/orders?query=14441</v>
      </c>
    </row>
    <row r="593">
      <c r="A593" s="93" t="str">
        <f t="shared" si="2"/>
        <v>#14442</v>
      </c>
      <c r="B593" s="93" t="str">
        <f>IF(AND(COUNTIF(MAIN!B:B, A593)=0, IFERROR(SEARCH("return", C593)&gt;0, FALSE)), "Rental Return", IF(COUNTIF(MAIN!B:B, A593)=0, "Missing", ""))</f>
        <v>Missing</v>
      </c>
      <c r="C593" s="133" t="s">
        <v>15246</v>
      </c>
      <c r="E593" s="131" t="str">
        <f t="shared" si="1"/>
        <v>https://utrucking.myshopify.com/admin/orders?query=14442</v>
      </c>
    </row>
    <row r="594">
      <c r="A594" s="93" t="str">
        <f t="shared" si="2"/>
        <v>#14443</v>
      </c>
      <c r="B594" s="93" t="str">
        <f>IF(AND(COUNTIF(MAIN!B:B, A594)=0, IFERROR(SEARCH("return", C594)&gt;0, FALSE)), "Rental Return", IF(COUNTIF(MAIN!B:B, A594)=0, "Missing", ""))</f>
        <v>Missing</v>
      </c>
      <c r="C594" s="133" t="s">
        <v>15246</v>
      </c>
      <c r="E594" s="131" t="str">
        <f t="shared" si="1"/>
        <v>https://utrucking.myshopify.com/admin/orders?query=14443</v>
      </c>
    </row>
    <row r="595">
      <c r="A595" s="93" t="str">
        <f t="shared" si="2"/>
        <v>#14444</v>
      </c>
      <c r="B595" s="93" t="str">
        <f>IF(AND(COUNTIF(MAIN!B:B, A595)=0, IFERROR(SEARCH("return", C595)&gt;0, FALSE)), "Rental Return", IF(COUNTIF(MAIN!B:B, A595)=0, "Missing", ""))</f>
        <v>Missing</v>
      </c>
      <c r="C595" s="133" t="s">
        <v>15246</v>
      </c>
      <c r="E595" s="131" t="str">
        <f t="shared" si="1"/>
        <v>https://utrucking.myshopify.com/admin/orders?query=14444</v>
      </c>
    </row>
    <row r="596">
      <c r="A596" s="93" t="str">
        <f t="shared" si="2"/>
        <v>#14445</v>
      </c>
      <c r="B596" s="93" t="str">
        <f>IF(AND(COUNTIF(MAIN!B:B, A596)=0, IFERROR(SEARCH("return", C596)&gt;0, FALSE)), "Rental Return", IF(COUNTIF(MAIN!B:B, A596)=0, "Missing", ""))</f>
        <v>Missing</v>
      </c>
      <c r="C596" s="133" t="s">
        <v>15246</v>
      </c>
      <c r="E596" s="131" t="str">
        <f t="shared" si="1"/>
        <v>https://utrucking.myshopify.com/admin/orders?query=14445</v>
      </c>
    </row>
    <row r="597">
      <c r="A597" s="93" t="str">
        <f t="shared" si="2"/>
        <v>#14446</v>
      </c>
      <c r="B597" s="93" t="str">
        <f>IF(AND(COUNTIF(MAIN!B:B, A597)=0, IFERROR(SEARCH("return", C597)&gt;0, FALSE)), "Rental Return", IF(COUNTIF(MAIN!B:B, A597)=0, "Missing", ""))</f>
        <v>Missing</v>
      </c>
      <c r="C597" s="133" t="s">
        <v>15246</v>
      </c>
      <c r="E597" s="131" t="str">
        <f t="shared" si="1"/>
        <v>https://utrucking.myshopify.com/admin/orders?query=14446</v>
      </c>
    </row>
    <row r="598">
      <c r="A598" s="93" t="str">
        <f t="shared" si="2"/>
        <v>#14447</v>
      </c>
      <c r="B598" s="93" t="str">
        <f>IF(AND(COUNTIF(MAIN!B:B, A598)=0, IFERROR(SEARCH("return", C598)&gt;0, FALSE)), "Rental Return", IF(COUNTIF(MAIN!B:B, A598)=0, "Missing", ""))</f>
        <v>Missing</v>
      </c>
      <c r="C598" s="133" t="s">
        <v>15246</v>
      </c>
      <c r="E598" s="131" t="str">
        <f t="shared" si="1"/>
        <v>https://utrucking.myshopify.com/admin/orders?query=14447</v>
      </c>
    </row>
    <row r="599">
      <c r="A599" s="93" t="str">
        <f t="shared" si="2"/>
        <v>#14448</v>
      </c>
      <c r="B599" s="93" t="str">
        <f>IF(AND(COUNTIF(MAIN!B:B, A599)=0, IFERROR(SEARCH("return", C599)&gt;0, FALSE)), "Rental Return", IF(COUNTIF(MAIN!B:B, A599)=0, "Missing", ""))</f>
        <v>Missing</v>
      </c>
      <c r="C599" s="133" t="s">
        <v>15248</v>
      </c>
      <c r="E599" s="131" t="str">
        <f t="shared" si="1"/>
        <v>https://utrucking.myshopify.com/admin/orders?query=14448</v>
      </c>
    </row>
    <row r="600">
      <c r="A600" s="93" t="str">
        <f t="shared" si="2"/>
        <v>#14449</v>
      </c>
      <c r="B600" s="93" t="str">
        <f>IF(AND(COUNTIF(MAIN!B:B, A600)=0, IFERROR(SEARCH("return", C600)&gt;0, FALSE)), "Rental Return", IF(COUNTIF(MAIN!B:B, A600)=0, "Missing", ""))</f>
        <v>Missing</v>
      </c>
      <c r="C600" s="133" t="s">
        <v>15246</v>
      </c>
      <c r="E600" s="131" t="str">
        <f t="shared" si="1"/>
        <v>https://utrucking.myshopify.com/admin/orders?query=14449</v>
      </c>
    </row>
    <row r="601">
      <c r="A601" s="93" t="str">
        <f t="shared" si="2"/>
        <v>#14450</v>
      </c>
      <c r="B601" s="93" t="str">
        <f>IF(AND(COUNTIF(MAIN!B:B, A601)=0, IFERROR(SEARCH("return", C601)&gt;0, FALSE)), "Rental Return", IF(COUNTIF(MAIN!B:B, A601)=0, "Missing", ""))</f>
        <v>Missing</v>
      </c>
      <c r="C601" s="133" t="s">
        <v>15249</v>
      </c>
      <c r="E601" s="131" t="str">
        <f t="shared" si="1"/>
        <v>https://utrucking.myshopify.com/admin/orders?query=14450</v>
      </c>
    </row>
    <row r="602">
      <c r="A602" s="93" t="str">
        <f t="shared" si="2"/>
        <v>#14451</v>
      </c>
      <c r="B602" s="93" t="str">
        <f>IF(AND(COUNTIF(MAIN!B:B, A602)=0, IFERROR(SEARCH("return", C602)&gt;0, FALSE)), "Rental Return", IF(COUNTIF(MAIN!B:B, A602)=0, "Missing", ""))</f>
        <v>Missing</v>
      </c>
      <c r="C602" s="133" t="s">
        <v>15246</v>
      </c>
      <c r="E602" s="131" t="str">
        <f t="shared" si="1"/>
        <v>https://utrucking.myshopify.com/admin/orders?query=14451</v>
      </c>
    </row>
    <row r="603">
      <c r="A603" s="93" t="str">
        <f t="shared" si="2"/>
        <v>#14452</v>
      </c>
      <c r="B603" s="93" t="str">
        <f>IF(AND(COUNTIF(MAIN!B:B, A603)=0, IFERROR(SEARCH("return", C603)&gt;0, FALSE)), "Rental Return", IF(COUNTIF(MAIN!B:B, A603)=0, "Missing", ""))</f>
        <v>Missing</v>
      </c>
      <c r="C603" s="133" t="s">
        <v>15250</v>
      </c>
      <c r="E603" s="131" t="str">
        <f t="shared" si="1"/>
        <v>https://utrucking.myshopify.com/admin/orders?query=14452</v>
      </c>
    </row>
    <row r="604">
      <c r="A604" s="93" t="str">
        <f t="shared" si="2"/>
        <v>#14453</v>
      </c>
      <c r="B604" s="93" t="str">
        <f>IF(AND(COUNTIF(MAIN!B:B, A604)=0, IFERROR(SEARCH("return", C604)&gt;0, FALSE)), "Rental Return", IF(COUNTIF(MAIN!B:B, A604)=0, "Missing", ""))</f>
        <v>Missing</v>
      </c>
      <c r="C604" s="133" t="s">
        <v>15252</v>
      </c>
      <c r="E604" s="131" t="str">
        <f t="shared" si="1"/>
        <v>https://utrucking.myshopify.com/admin/orders?query=14453</v>
      </c>
    </row>
    <row r="605">
      <c r="A605" s="93" t="str">
        <f t="shared" si="2"/>
        <v>#14454</v>
      </c>
      <c r="B605" s="93" t="str">
        <f>IF(AND(COUNTIF(MAIN!B:B, A605)=0, IFERROR(SEARCH("return", C605)&gt;0, FALSE)), "Rental Return", IF(COUNTIF(MAIN!B:B, A605)=0, "Missing", ""))</f>
        <v>Rental Return</v>
      </c>
      <c r="C605" s="133" t="s">
        <v>1111</v>
      </c>
      <c r="E605" s="128" t="str">
        <f t="shared" si="1"/>
        <v/>
      </c>
    </row>
    <row r="606">
      <c r="A606" s="93" t="str">
        <f t="shared" si="2"/>
        <v>#14455</v>
      </c>
      <c r="B606" s="93" t="str">
        <f>IF(AND(COUNTIF(MAIN!B:B, A606)=0, IFERROR(SEARCH("return", C606)&gt;0, FALSE)), "Rental Return", IF(COUNTIF(MAIN!B:B, A606)=0, "Missing", ""))</f>
        <v>Missing</v>
      </c>
      <c r="C606" s="133" t="s">
        <v>15246</v>
      </c>
      <c r="E606" s="131" t="str">
        <f t="shared" si="1"/>
        <v>https://utrucking.myshopify.com/admin/orders?query=14455</v>
      </c>
    </row>
    <row r="607">
      <c r="A607" s="93" t="str">
        <f t="shared" si="2"/>
        <v>#14456</v>
      </c>
      <c r="B607" s="93" t="str">
        <f>IF(AND(COUNTIF(MAIN!B:B, A607)=0, IFERROR(SEARCH("return", C607)&gt;0, FALSE)), "Rental Return", IF(COUNTIF(MAIN!B:B, A607)=0, "Missing", ""))</f>
        <v>Missing</v>
      </c>
      <c r="C607" s="133" t="s">
        <v>15251</v>
      </c>
      <c r="E607" s="131" t="str">
        <f t="shared" si="1"/>
        <v>https://utrucking.myshopify.com/admin/orders?query=14456</v>
      </c>
    </row>
    <row r="608">
      <c r="A608" s="93" t="str">
        <f t="shared" si="2"/>
        <v>#14457</v>
      </c>
      <c r="B608" s="93" t="str">
        <f>IF(AND(COUNTIF(MAIN!B:B, A608)=0, IFERROR(SEARCH("return", C608)&gt;0, FALSE)), "Rental Return", IF(COUNTIF(MAIN!B:B, A608)=0, "Missing", ""))</f>
        <v>Missing</v>
      </c>
      <c r="C608" s="133" t="s">
        <v>15246</v>
      </c>
      <c r="E608" s="131" t="str">
        <f t="shared" si="1"/>
        <v>https://utrucking.myshopify.com/admin/orders?query=14457</v>
      </c>
    </row>
    <row r="609">
      <c r="A609" s="93" t="str">
        <f t="shared" si="2"/>
        <v>#14458</v>
      </c>
      <c r="B609" s="93" t="str">
        <f>IF(AND(COUNTIF(MAIN!B:B, A609)=0, IFERROR(SEARCH("return", C609)&gt;0, FALSE)), "Rental Return", IF(COUNTIF(MAIN!B:B, A609)=0, "Missing", ""))</f>
        <v>Missing</v>
      </c>
      <c r="C609" s="133" t="s">
        <v>15246</v>
      </c>
      <c r="E609" s="131" t="str">
        <f t="shared" si="1"/>
        <v>https://utrucking.myshopify.com/admin/orders?query=14458</v>
      </c>
    </row>
    <row r="610">
      <c r="A610" s="93" t="str">
        <f t="shared" si="2"/>
        <v>#14459</v>
      </c>
      <c r="B610" s="93" t="str">
        <f>IF(AND(COUNTIF(MAIN!B:B, A610)=0, IFERROR(SEARCH("return", C610)&gt;0, FALSE)), "Rental Return", IF(COUNTIF(MAIN!B:B, A610)=0, "Missing", ""))</f>
        <v>Missing</v>
      </c>
      <c r="C610" s="133" t="s">
        <v>15249</v>
      </c>
      <c r="E610" s="131" t="str">
        <f t="shared" si="1"/>
        <v>https://utrucking.myshopify.com/admin/orders?query=14459</v>
      </c>
    </row>
    <row r="611">
      <c r="A611" s="93" t="str">
        <f t="shared" si="2"/>
        <v>#14460</v>
      </c>
      <c r="B611" s="93" t="str">
        <f>IF(AND(COUNTIF(MAIN!B:B, A611)=0, IFERROR(SEARCH("return", C611)&gt;0, FALSE)), "Rental Return", IF(COUNTIF(MAIN!B:B, A611)=0, "Missing", ""))</f>
        <v>Missing</v>
      </c>
      <c r="C611" s="133" t="s">
        <v>15246</v>
      </c>
      <c r="E611" s="131" t="str">
        <f t="shared" si="1"/>
        <v>https://utrucking.myshopify.com/admin/orders?query=14460</v>
      </c>
    </row>
    <row r="612">
      <c r="A612" s="93" t="str">
        <f t="shared" si="2"/>
        <v>#14461</v>
      </c>
      <c r="B612" s="93" t="str">
        <f>IF(AND(COUNTIF(MAIN!B:B, A612)=0, IFERROR(SEARCH("return", C612)&gt;0, FALSE)), "Rental Return", IF(COUNTIF(MAIN!B:B, A612)=0, "Missing", ""))</f>
        <v>Missing</v>
      </c>
      <c r="C612" s="133" t="s">
        <v>15246</v>
      </c>
      <c r="E612" s="131" t="str">
        <f t="shared" si="1"/>
        <v>https://utrucking.myshopify.com/admin/orders?query=14461</v>
      </c>
    </row>
    <row r="613">
      <c r="A613" s="93" t="str">
        <f t="shared" si="2"/>
        <v>#14462</v>
      </c>
      <c r="B613" s="93" t="str">
        <f>IF(AND(COUNTIF(MAIN!B:B, A613)=0, IFERROR(SEARCH("return", C613)&gt;0, FALSE)), "Rental Return", IF(COUNTIF(MAIN!B:B, A613)=0, "Missing", ""))</f>
        <v>Missing</v>
      </c>
      <c r="C613" s="133" t="s">
        <v>15246</v>
      </c>
      <c r="E613" s="131" t="str">
        <f t="shared" si="1"/>
        <v>https://utrucking.myshopify.com/admin/orders?query=14462</v>
      </c>
    </row>
    <row r="614">
      <c r="A614" s="93" t="str">
        <f t="shared" si="2"/>
        <v>#14463</v>
      </c>
      <c r="B614" s="93" t="str">
        <f>IF(AND(COUNTIF(MAIN!B:B, A614)=0, IFERROR(SEARCH("return", C614)&gt;0, FALSE)), "Rental Return", IF(COUNTIF(MAIN!B:B, A614)=0, "Missing", ""))</f>
        <v>Missing</v>
      </c>
      <c r="C614" s="133" t="s">
        <v>15251</v>
      </c>
      <c r="E614" s="131" t="str">
        <f t="shared" si="1"/>
        <v>https://utrucking.myshopify.com/admin/orders?query=14463</v>
      </c>
    </row>
    <row r="615">
      <c r="A615" s="93" t="str">
        <f t="shared" si="2"/>
        <v>#14464</v>
      </c>
      <c r="B615" s="93" t="str">
        <f>IF(AND(COUNTIF(MAIN!B:B, A615)=0, IFERROR(SEARCH("return", C615)&gt;0, FALSE)), "Rental Return", IF(COUNTIF(MAIN!B:B, A615)=0, "Missing", ""))</f>
        <v>Missing</v>
      </c>
      <c r="C615" s="133" t="s">
        <v>15246</v>
      </c>
      <c r="E615" s="131" t="str">
        <f t="shared" si="1"/>
        <v>https://utrucking.myshopify.com/admin/orders?query=14464</v>
      </c>
    </row>
    <row r="616">
      <c r="A616" s="93" t="str">
        <f t="shared" si="2"/>
        <v>#14465</v>
      </c>
      <c r="B616" s="93" t="str">
        <f>IF(AND(COUNTIF(MAIN!B:B, A616)=0, IFERROR(SEARCH("return", C616)&gt;0, FALSE)), "Rental Return", IF(COUNTIF(MAIN!B:B, A616)=0, "Missing", ""))</f>
        <v>Missing</v>
      </c>
      <c r="C616" s="133" t="s">
        <v>15246</v>
      </c>
      <c r="E616" s="131" t="str">
        <f t="shared" si="1"/>
        <v>https://utrucking.myshopify.com/admin/orders?query=14465</v>
      </c>
    </row>
    <row r="617">
      <c r="A617" s="93" t="str">
        <f t="shared" si="2"/>
        <v>#14466</v>
      </c>
      <c r="B617" s="93" t="str">
        <f>IF(AND(COUNTIF(MAIN!B:B, A617)=0, IFERROR(SEARCH("return", C617)&gt;0, FALSE)), "Rental Return", IF(COUNTIF(MAIN!B:B, A617)=0, "Missing", ""))</f>
        <v>Missing</v>
      </c>
      <c r="C617" s="133" t="s">
        <v>15246</v>
      </c>
      <c r="E617" s="131" t="str">
        <f t="shared" si="1"/>
        <v>https://utrucking.myshopify.com/admin/orders?query=14466</v>
      </c>
    </row>
    <row r="618">
      <c r="A618" s="93" t="str">
        <f t="shared" si="2"/>
        <v>#14467</v>
      </c>
      <c r="B618" s="93" t="str">
        <f>IF(AND(COUNTIF(MAIN!B:B, A618)=0, IFERROR(SEARCH("return", C618)&gt;0, FALSE)), "Rental Return", IF(COUNTIF(MAIN!B:B, A618)=0, "Missing", ""))</f>
        <v>Missing</v>
      </c>
      <c r="C618" s="133" t="s">
        <v>15246</v>
      </c>
      <c r="E618" s="131" t="str">
        <f t="shared" si="1"/>
        <v>https://utrucking.myshopify.com/admin/orders?query=14467</v>
      </c>
    </row>
    <row r="619">
      <c r="A619" s="93" t="str">
        <f t="shared" si="2"/>
        <v>#14468</v>
      </c>
      <c r="B619" s="93" t="str">
        <f>IF(AND(COUNTIF(MAIN!B:B, A619)=0, IFERROR(SEARCH("return", C619)&gt;0, FALSE)), "Rental Return", IF(COUNTIF(MAIN!B:B, A619)=0, "Missing", ""))</f>
        <v>Rental Return</v>
      </c>
      <c r="C619" s="133" t="s">
        <v>1111</v>
      </c>
      <c r="E619" s="128" t="str">
        <f t="shared" si="1"/>
        <v/>
      </c>
    </row>
    <row r="620">
      <c r="A620" s="93" t="str">
        <f t="shared" si="2"/>
        <v>#14469</v>
      </c>
      <c r="B620" s="93" t="str">
        <f>IF(AND(COUNTIF(MAIN!B:B, A620)=0, IFERROR(SEARCH("return", C620)&gt;0, FALSE)), "Rental Return", IF(COUNTIF(MAIN!B:B, A620)=0, "Missing", ""))</f>
        <v>Missing</v>
      </c>
      <c r="C620" s="133" t="s">
        <v>15246</v>
      </c>
      <c r="E620" s="131" t="str">
        <f t="shared" si="1"/>
        <v>https://utrucking.myshopify.com/admin/orders?query=14469</v>
      </c>
    </row>
    <row r="621">
      <c r="A621" s="93" t="str">
        <f t="shared" si="2"/>
        <v>#14470</v>
      </c>
      <c r="B621" s="93" t="str">
        <f>IF(AND(COUNTIF(MAIN!B:B, A621)=0, IFERROR(SEARCH("return", C621)&gt;0, FALSE)), "Rental Return", IF(COUNTIF(MAIN!B:B, A621)=0, "Missing", ""))</f>
        <v>Missing</v>
      </c>
      <c r="C621" s="133" t="s">
        <v>15246</v>
      </c>
      <c r="E621" s="131" t="str">
        <f t="shared" si="1"/>
        <v>https://utrucking.myshopify.com/admin/orders?query=14470</v>
      </c>
    </row>
    <row r="622">
      <c r="A622" s="93" t="str">
        <f t="shared" si="2"/>
        <v>#14471</v>
      </c>
      <c r="B622" s="93" t="str">
        <f>IF(AND(COUNTIF(MAIN!B:B, A622)=0, IFERROR(SEARCH("return", C622)&gt;0, FALSE)), "Rental Return", IF(COUNTIF(MAIN!B:B, A622)=0, "Missing", ""))</f>
        <v>Missing</v>
      </c>
      <c r="C622" s="133" t="s">
        <v>15246</v>
      </c>
      <c r="E622" s="131" t="str">
        <f t="shared" si="1"/>
        <v>https://utrucking.myshopify.com/admin/orders?query=14471</v>
      </c>
    </row>
    <row r="623">
      <c r="A623" s="93" t="str">
        <f t="shared" si="2"/>
        <v>#14472</v>
      </c>
      <c r="B623" s="93" t="str">
        <f>IF(AND(COUNTIF(MAIN!B:B, A623)=0, IFERROR(SEARCH("return", C623)&gt;0, FALSE)), "Rental Return", IF(COUNTIF(MAIN!B:B, A623)=0, "Missing", ""))</f>
        <v>Missing</v>
      </c>
      <c r="C623" s="133" t="s">
        <v>15246</v>
      </c>
      <c r="E623" s="131" t="str">
        <f t="shared" si="1"/>
        <v>https://utrucking.myshopify.com/admin/orders?query=14472</v>
      </c>
    </row>
    <row r="624">
      <c r="A624" s="93" t="str">
        <f t="shared" si="2"/>
        <v>#14473</v>
      </c>
      <c r="B624" s="93" t="str">
        <f>IF(AND(COUNTIF(MAIN!B:B, A624)=0, IFERROR(SEARCH("return", C624)&gt;0, FALSE)), "Rental Return", IF(COUNTIF(MAIN!B:B, A624)=0, "Missing", ""))</f>
        <v/>
      </c>
      <c r="C624" s="128"/>
      <c r="E624" s="128" t="str">
        <f t="shared" si="1"/>
        <v/>
      </c>
    </row>
    <row r="625">
      <c r="A625" s="93" t="str">
        <f t="shared" si="2"/>
        <v>#14474</v>
      </c>
      <c r="B625" s="93" t="str">
        <f>IF(AND(COUNTIF(MAIN!B:B, A625)=0, IFERROR(SEARCH("return", C625)&gt;0, FALSE)), "Rental Return", IF(COUNTIF(MAIN!B:B, A625)=0, "Missing", ""))</f>
        <v>Missing</v>
      </c>
      <c r="C625" s="133" t="s">
        <v>15246</v>
      </c>
      <c r="E625" s="131" t="str">
        <f t="shared" si="1"/>
        <v>https://utrucking.myshopify.com/admin/orders?query=14474</v>
      </c>
    </row>
    <row r="626">
      <c r="A626" s="93" t="str">
        <f t="shared" si="2"/>
        <v>#14475</v>
      </c>
      <c r="B626" s="93" t="str">
        <f>IF(AND(COUNTIF(MAIN!B:B, A626)=0, IFERROR(SEARCH("return", C626)&gt;0, FALSE)), "Rental Return", IF(COUNTIF(MAIN!B:B, A626)=0, "Missing", ""))</f>
        <v>Missing</v>
      </c>
      <c r="C626" s="133" t="s">
        <v>15246</v>
      </c>
      <c r="E626" s="131" t="str">
        <f t="shared" si="1"/>
        <v>https://utrucking.myshopify.com/admin/orders?query=14475</v>
      </c>
    </row>
    <row r="627">
      <c r="A627" s="93" t="str">
        <f t="shared" si="2"/>
        <v>#14476</v>
      </c>
      <c r="B627" s="93" t="str">
        <f>IF(AND(COUNTIF(MAIN!B:B, A627)=0, IFERROR(SEARCH("return", C627)&gt;0, FALSE)), "Rental Return", IF(COUNTIF(MAIN!B:B, A627)=0, "Missing", ""))</f>
        <v>Missing</v>
      </c>
      <c r="C627" s="133" t="s">
        <v>15246</v>
      </c>
      <c r="E627" s="131" t="str">
        <f t="shared" si="1"/>
        <v>https://utrucking.myshopify.com/admin/orders?query=14476</v>
      </c>
    </row>
    <row r="628">
      <c r="A628" s="93" t="str">
        <f t="shared" si="2"/>
        <v>#14477</v>
      </c>
      <c r="B628" s="93" t="str">
        <f>IF(AND(COUNTIF(MAIN!B:B, A628)=0, IFERROR(SEARCH("return", C628)&gt;0, FALSE)), "Rental Return", IF(COUNTIF(MAIN!B:B, A628)=0, "Missing", ""))</f>
        <v>Missing</v>
      </c>
      <c r="C628" s="133" t="s">
        <v>15246</v>
      </c>
      <c r="E628" s="131" t="str">
        <f t="shared" si="1"/>
        <v>https://utrucking.myshopify.com/admin/orders?query=14477</v>
      </c>
    </row>
    <row r="629">
      <c r="A629" s="93" t="str">
        <f t="shared" si="2"/>
        <v>#14478</v>
      </c>
      <c r="B629" s="93" t="str">
        <f>IF(AND(COUNTIF(MAIN!B:B, A629)=0, IFERROR(SEARCH("return", C629)&gt;0, FALSE)), "Rental Return", IF(COUNTIF(MAIN!B:B, A629)=0, "Missing", ""))</f>
        <v/>
      </c>
      <c r="C629" s="133" t="s">
        <v>15261</v>
      </c>
      <c r="E629" s="128" t="str">
        <f t="shared" si="1"/>
        <v/>
      </c>
    </row>
    <row r="630">
      <c r="A630" s="93" t="str">
        <f t="shared" si="2"/>
        <v>#14479</v>
      </c>
      <c r="B630" s="93" t="str">
        <f>IF(AND(COUNTIF(MAIN!B:B, A630)=0, IFERROR(SEARCH("return", C630)&gt;0, FALSE)), "Rental Return", IF(COUNTIF(MAIN!B:B, A630)=0, "Missing", ""))</f>
        <v>Missing</v>
      </c>
      <c r="C630" s="133" t="s">
        <v>15246</v>
      </c>
      <c r="E630" s="131" t="str">
        <f t="shared" si="1"/>
        <v>https://utrucking.myshopify.com/admin/orders?query=14479</v>
      </c>
    </row>
    <row r="631">
      <c r="A631" s="93" t="str">
        <f t="shared" si="2"/>
        <v>#14480</v>
      </c>
      <c r="B631" s="93" t="str">
        <f>IF(AND(COUNTIF(MAIN!B:B, A631)=0, IFERROR(SEARCH("return", C631)&gt;0, FALSE)), "Rental Return", IF(COUNTIF(MAIN!B:B, A631)=0, "Missing", ""))</f>
        <v>Missing</v>
      </c>
      <c r="C631" s="133" t="s">
        <v>15249</v>
      </c>
      <c r="E631" s="131" t="str">
        <f t="shared" si="1"/>
        <v>https://utrucking.myshopify.com/admin/orders?query=14480</v>
      </c>
    </row>
    <row r="632">
      <c r="A632" s="93" t="str">
        <f t="shared" si="2"/>
        <v>#14481</v>
      </c>
      <c r="B632" s="93" t="str">
        <f>IF(AND(COUNTIF(MAIN!B:B, A632)=0, IFERROR(SEARCH("return", C632)&gt;0, FALSE)), "Rental Return", IF(COUNTIF(MAIN!B:B, A632)=0, "Missing", ""))</f>
        <v>Missing</v>
      </c>
      <c r="C632" s="133" t="s">
        <v>15246</v>
      </c>
      <c r="E632" s="131" t="str">
        <f t="shared" si="1"/>
        <v>https://utrucking.myshopify.com/admin/orders?query=14481</v>
      </c>
    </row>
    <row r="633">
      <c r="A633" s="93" t="str">
        <f t="shared" si="2"/>
        <v>#14482</v>
      </c>
      <c r="B633" s="93" t="str">
        <f>IF(AND(COUNTIF(MAIN!B:B, A633)=0, IFERROR(SEARCH("return", C633)&gt;0, FALSE)), "Rental Return", IF(COUNTIF(MAIN!B:B, A633)=0, "Missing", ""))</f>
        <v>Missing</v>
      </c>
      <c r="C633" s="133" t="s">
        <v>15251</v>
      </c>
      <c r="E633" s="131" t="str">
        <f t="shared" si="1"/>
        <v>https://utrucking.myshopify.com/admin/orders?query=14482</v>
      </c>
    </row>
    <row r="634">
      <c r="A634" s="93" t="str">
        <f t="shared" si="2"/>
        <v>#14483</v>
      </c>
      <c r="B634" s="93" t="str">
        <f>IF(AND(COUNTIF(MAIN!B:B, A634)=0, IFERROR(SEARCH("return", C634)&gt;0, FALSE)), "Rental Return", IF(COUNTIF(MAIN!B:B, A634)=0, "Missing", ""))</f>
        <v>Missing</v>
      </c>
      <c r="C634" s="133" t="s">
        <v>15246</v>
      </c>
      <c r="E634" s="131" t="str">
        <f t="shared" si="1"/>
        <v>https://utrucking.myshopify.com/admin/orders?query=14483</v>
      </c>
    </row>
    <row r="635">
      <c r="A635" s="93" t="str">
        <f t="shared" si="2"/>
        <v>#14484</v>
      </c>
      <c r="B635" s="93" t="str">
        <f>IF(AND(COUNTIF(MAIN!B:B, A635)=0, IFERROR(SEARCH("return", C635)&gt;0, FALSE)), "Rental Return", IF(COUNTIF(MAIN!B:B, A635)=0, "Missing", ""))</f>
        <v>Missing</v>
      </c>
      <c r="C635" s="133" t="s">
        <v>15246</v>
      </c>
      <c r="E635" s="131" t="str">
        <f t="shared" si="1"/>
        <v>https://utrucking.myshopify.com/admin/orders?query=14484</v>
      </c>
    </row>
    <row r="636">
      <c r="A636" s="93" t="str">
        <f t="shared" si="2"/>
        <v>#14485</v>
      </c>
      <c r="B636" s="93" t="str">
        <f>IF(AND(COUNTIF(MAIN!B:B, A636)=0, IFERROR(SEARCH("return", C636)&gt;0, FALSE)), "Rental Return", IF(COUNTIF(MAIN!B:B, A636)=0, "Missing", ""))</f>
        <v>Missing</v>
      </c>
      <c r="C636" s="133" t="s">
        <v>15251</v>
      </c>
      <c r="E636" s="131" t="str">
        <f t="shared" si="1"/>
        <v>https://utrucking.myshopify.com/admin/orders?query=14485</v>
      </c>
    </row>
    <row r="637">
      <c r="A637" s="93" t="str">
        <f t="shared" si="2"/>
        <v>#14486</v>
      </c>
      <c r="B637" s="93" t="str">
        <f>IF(AND(COUNTIF(MAIN!B:B, A637)=0, IFERROR(SEARCH("return", C637)&gt;0, FALSE)), "Rental Return", IF(COUNTIF(MAIN!B:B, A637)=0, "Missing", ""))</f>
        <v>Missing</v>
      </c>
      <c r="C637" s="133" t="s">
        <v>15248</v>
      </c>
      <c r="E637" s="131" t="str">
        <f t="shared" si="1"/>
        <v>https://utrucking.myshopify.com/admin/orders?query=14486</v>
      </c>
    </row>
    <row r="638">
      <c r="A638" s="93" t="str">
        <f t="shared" si="2"/>
        <v>#14487</v>
      </c>
      <c r="B638" s="93" t="str">
        <f>IF(AND(COUNTIF(MAIN!B:B, A638)=0, IFERROR(SEARCH("return", C638)&gt;0, FALSE)), "Rental Return", IF(COUNTIF(MAIN!B:B, A638)=0, "Missing", ""))</f>
        <v>Missing</v>
      </c>
      <c r="C638" s="133" t="s">
        <v>15249</v>
      </c>
      <c r="E638" s="131" t="str">
        <f t="shared" si="1"/>
        <v>https://utrucking.myshopify.com/admin/orders?query=14487</v>
      </c>
    </row>
    <row r="639">
      <c r="A639" s="93" t="str">
        <f t="shared" si="2"/>
        <v>#14488</v>
      </c>
      <c r="B639" s="93" t="str">
        <f>IF(AND(COUNTIF(MAIN!B:B, A639)=0, IFERROR(SEARCH("return", C639)&gt;0, FALSE)), "Rental Return", IF(COUNTIF(MAIN!B:B, A639)=0, "Missing", ""))</f>
        <v>Missing</v>
      </c>
      <c r="C639" s="133" t="s">
        <v>15246</v>
      </c>
      <c r="E639" s="131" t="str">
        <f t="shared" si="1"/>
        <v>https://utrucking.myshopify.com/admin/orders?query=14488</v>
      </c>
    </row>
    <row r="640">
      <c r="A640" s="93" t="str">
        <f t="shared" si="2"/>
        <v>#14489</v>
      </c>
      <c r="B640" s="93" t="str">
        <f>IF(AND(COUNTIF(MAIN!B:B, A640)=0, IFERROR(SEARCH("return", C640)&gt;0, FALSE)), "Rental Return", IF(COUNTIF(MAIN!B:B, A640)=0, "Missing", ""))</f>
        <v>Missing</v>
      </c>
      <c r="C640" s="133" t="s">
        <v>15246</v>
      </c>
      <c r="E640" s="131" t="str">
        <f t="shared" si="1"/>
        <v>https://utrucking.myshopify.com/admin/orders?query=14489</v>
      </c>
    </row>
    <row r="641">
      <c r="A641" s="93" t="str">
        <f t="shared" si="2"/>
        <v>#14490</v>
      </c>
      <c r="B641" s="93" t="str">
        <f>IF(AND(COUNTIF(MAIN!B:B, A641)=0, IFERROR(SEARCH("return", C641)&gt;0, FALSE)), "Rental Return", IF(COUNTIF(MAIN!B:B, A641)=0, "Missing", ""))</f>
        <v>Missing</v>
      </c>
      <c r="C641" s="133" t="s">
        <v>15248</v>
      </c>
      <c r="E641" s="131" t="str">
        <f t="shared" si="1"/>
        <v>https://utrucking.myshopify.com/admin/orders?query=14490</v>
      </c>
    </row>
    <row r="642">
      <c r="A642" s="93" t="str">
        <f t="shared" si="2"/>
        <v>#14491</v>
      </c>
      <c r="B642" s="93" t="str">
        <f>IF(AND(COUNTIF(MAIN!B:B, A642)=0, IFERROR(SEARCH("return", C642)&gt;0, FALSE)), "Rental Return", IF(COUNTIF(MAIN!B:B, A642)=0, "Missing", ""))</f>
        <v>Rental Return</v>
      </c>
      <c r="C642" s="133" t="s">
        <v>1111</v>
      </c>
      <c r="E642" s="128" t="str">
        <f t="shared" si="1"/>
        <v/>
      </c>
    </row>
    <row r="643">
      <c r="A643" s="93" t="str">
        <f t="shared" si="2"/>
        <v>#14492</v>
      </c>
      <c r="B643" s="93" t="str">
        <f>IF(AND(COUNTIF(MAIN!B:B, A643)=0, IFERROR(SEARCH("return", C643)&gt;0, FALSE)), "Rental Return", IF(COUNTIF(MAIN!B:B, A643)=0, "Missing", ""))</f>
        <v>Missing</v>
      </c>
      <c r="C643" s="133" t="s">
        <v>15246</v>
      </c>
      <c r="E643" s="131" t="str">
        <f t="shared" si="1"/>
        <v>https://utrucking.myshopify.com/admin/orders?query=14492</v>
      </c>
    </row>
    <row r="644">
      <c r="A644" s="93" t="str">
        <f t="shared" si="2"/>
        <v>#14493</v>
      </c>
      <c r="B644" s="93" t="str">
        <f>IF(AND(COUNTIF(MAIN!B:B, A644)=0, IFERROR(SEARCH("return", C644)&gt;0, FALSE)), "Rental Return", IF(COUNTIF(MAIN!B:B, A644)=0, "Missing", ""))</f>
        <v>Missing</v>
      </c>
      <c r="C644" s="133" t="s">
        <v>15246</v>
      </c>
      <c r="E644" s="131" t="str">
        <f t="shared" si="1"/>
        <v>https://utrucking.myshopify.com/admin/orders?query=14493</v>
      </c>
    </row>
    <row r="645">
      <c r="A645" s="93" t="str">
        <f t="shared" si="2"/>
        <v>#14494</v>
      </c>
      <c r="B645" s="93" t="str">
        <f>IF(AND(COUNTIF(MAIN!B:B, A645)=0, IFERROR(SEARCH("return", C645)&gt;0, FALSE)), "Rental Return", IF(COUNTIF(MAIN!B:B, A645)=0, "Missing", ""))</f>
        <v>Missing</v>
      </c>
      <c r="C645" s="133" t="s">
        <v>15251</v>
      </c>
      <c r="E645" s="131" t="str">
        <f t="shared" si="1"/>
        <v>https://utrucking.myshopify.com/admin/orders?query=14494</v>
      </c>
    </row>
    <row r="646">
      <c r="A646" s="93" t="str">
        <f t="shared" si="2"/>
        <v>#14495</v>
      </c>
      <c r="B646" s="93" t="str">
        <f>IF(AND(COUNTIF(MAIN!B:B, A646)=0, IFERROR(SEARCH("return", C646)&gt;0, FALSE)), "Rental Return", IF(COUNTIF(MAIN!B:B, A646)=0, "Missing", ""))</f>
        <v>Missing</v>
      </c>
      <c r="C646" s="133" t="s">
        <v>15251</v>
      </c>
      <c r="E646" s="131" t="str">
        <f t="shared" si="1"/>
        <v>https://utrucking.myshopify.com/admin/orders?query=14495</v>
      </c>
    </row>
    <row r="647">
      <c r="A647" s="93" t="str">
        <f t="shared" si="2"/>
        <v>#14496</v>
      </c>
      <c r="B647" s="93" t="str">
        <f>IF(AND(COUNTIF(MAIN!B:B, A647)=0, IFERROR(SEARCH("return", C647)&gt;0, FALSE)), "Rental Return", IF(COUNTIF(MAIN!B:B, A647)=0, "Missing", ""))</f>
        <v>Rental Return</v>
      </c>
      <c r="C647" s="133" t="s">
        <v>15258</v>
      </c>
      <c r="E647" s="128" t="str">
        <f t="shared" si="1"/>
        <v/>
      </c>
    </row>
    <row r="648">
      <c r="A648" s="93" t="str">
        <f t="shared" si="2"/>
        <v>#14497</v>
      </c>
      <c r="B648" s="93" t="str">
        <f>IF(AND(COUNTIF(MAIN!B:B, A648)=0, IFERROR(SEARCH("return", C648)&gt;0, FALSE)), "Rental Return", IF(COUNTIF(MAIN!B:B, A648)=0, "Missing", ""))</f>
        <v>Missing</v>
      </c>
      <c r="C648" s="133" t="s">
        <v>15246</v>
      </c>
      <c r="E648" s="131" t="str">
        <f t="shared" si="1"/>
        <v>https://utrucking.myshopify.com/admin/orders?query=14497</v>
      </c>
    </row>
    <row r="649">
      <c r="A649" s="93" t="str">
        <f t="shared" si="2"/>
        <v>#14498</v>
      </c>
      <c r="B649" s="93" t="str">
        <f>IF(AND(COUNTIF(MAIN!B:B, A649)=0, IFERROR(SEARCH("return", C649)&gt;0, FALSE)), "Rental Return", IF(COUNTIF(MAIN!B:B, A649)=0, "Missing", ""))</f>
        <v>Rental Return</v>
      </c>
      <c r="C649" s="133" t="s">
        <v>1111</v>
      </c>
      <c r="E649" s="128" t="str">
        <f t="shared" si="1"/>
        <v/>
      </c>
    </row>
    <row r="650">
      <c r="A650" s="93" t="str">
        <f t="shared" si="2"/>
        <v>#14499</v>
      </c>
      <c r="B650" s="93" t="str">
        <f>IF(AND(COUNTIF(MAIN!B:B, A650)=0, IFERROR(SEARCH("return", C650)&gt;0, FALSE)), "Rental Return", IF(COUNTIF(MAIN!B:B, A650)=0, "Missing", ""))</f>
        <v>Rental Return</v>
      </c>
      <c r="C650" s="133" t="s">
        <v>15258</v>
      </c>
      <c r="E650" s="128" t="str">
        <f t="shared" si="1"/>
        <v/>
      </c>
    </row>
    <row r="651">
      <c r="A651" s="93" t="str">
        <f t="shared" si="2"/>
        <v>#14500</v>
      </c>
      <c r="B651" s="93" t="str">
        <f>IF(AND(COUNTIF(MAIN!B:B, A651)=0, IFERROR(SEARCH("return", C651)&gt;0, FALSE)), "Rental Return", IF(COUNTIF(MAIN!B:B, A651)=0, "Missing", ""))</f>
        <v>Missing</v>
      </c>
      <c r="C651" s="133" t="s">
        <v>15246</v>
      </c>
      <c r="E651" s="131" t="str">
        <f t="shared" si="1"/>
        <v>https://utrucking.myshopify.com/admin/orders?query=14500</v>
      </c>
    </row>
    <row r="652">
      <c r="A652" s="93" t="str">
        <f t="shared" si="2"/>
        <v>#14501</v>
      </c>
      <c r="B652" s="93" t="str">
        <f>IF(AND(COUNTIF(MAIN!B:B, A652)=0, IFERROR(SEARCH("return", C652)&gt;0, FALSE)), "Rental Return", IF(COUNTIF(MAIN!B:B, A652)=0, "Missing", ""))</f>
        <v>Missing</v>
      </c>
      <c r="C652" s="133" t="s">
        <v>15249</v>
      </c>
      <c r="E652" s="131" t="str">
        <f t="shared" si="1"/>
        <v>https://utrucking.myshopify.com/admin/orders?query=14501</v>
      </c>
    </row>
    <row r="653">
      <c r="A653" s="93" t="str">
        <f t="shared" si="2"/>
        <v>#14502</v>
      </c>
      <c r="B653" s="93" t="str">
        <f>IF(AND(COUNTIF(MAIN!B:B, A653)=0, IFERROR(SEARCH("return", C653)&gt;0, FALSE)), "Rental Return", IF(COUNTIF(MAIN!B:B, A653)=0, "Missing", ""))</f>
        <v>Rental Return</v>
      </c>
      <c r="C653" s="133" t="s">
        <v>1111</v>
      </c>
      <c r="E653" s="128" t="str">
        <f t="shared" si="1"/>
        <v/>
      </c>
    </row>
    <row r="654">
      <c r="A654" s="93" t="str">
        <f t="shared" si="2"/>
        <v>#14503</v>
      </c>
      <c r="B654" s="93" t="str">
        <f>IF(AND(COUNTIF(MAIN!B:B, A654)=0, IFERROR(SEARCH("return", C654)&gt;0, FALSE)), "Rental Return", IF(COUNTIF(MAIN!B:B, A654)=0, "Missing", ""))</f>
        <v>Missing</v>
      </c>
      <c r="C654" s="133" t="s">
        <v>15249</v>
      </c>
      <c r="E654" s="131" t="str">
        <f t="shared" si="1"/>
        <v>https://utrucking.myshopify.com/admin/orders?query=14503</v>
      </c>
    </row>
    <row r="655">
      <c r="A655" s="93" t="str">
        <f t="shared" si="2"/>
        <v>#14504</v>
      </c>
      <c r="B655" s="93" t="str">
        <f>IF(AND(COUNTIF(MAIN!B:B, A655)=0, IFERROR(SEARCH("return", C655)&gt;0, FALSE)), "Rental Return", IF(COUNTIF(MAIN!B:B, A655)=0, "Missing", ""))</f>
        <v>Missing</v>
      </c>
      <c r="C655" s="133" t="s">
        <v>15249</v>
      </c>
      <c r="E655" s="131" t="str">
        <f t="shared" si="1"/>
        <v>https://utrucking.myshopify.com/admin/orders?query=14504</v>
      </c>
    </row>
    <row r="656">
      <c r="A656" s="93" t="str">
        <f t="shared" si="2"/>
        <v>#14505</v>
      </c>
      <c r="B656" s="93" t="str">
        <f>IF(AND(COUNTIF(MAIN!B:B, A656)=0, IFERROR(SEARCH("return", C656)&gt;0, FALSE)), "Rental Return", IF(COUNTIF(MAIN!B:B, A656)=0, "Missing", ""))</f>
        <v>Missing</v>
      </c>
      <c r="C656" s="133" t="s">
        <v>15249</v>
      </c>
      <c r="E656" s="131" t="str">
        <f t="shared" si="1"/>
        <v>https://utrucking.myshopify.com/admin/orders?query=14505</v>
      </c>
    </row>
    <row r="657">
      <c r="A657" s="93" t="str">
        <f t="shared" si="2"/>
        <v>#14506</v>
      </c>
      <c r="B657" s="93" t="str">
        <f>IF(AND(COUNTIF(MAIN!B:B, A657)=0, IFERROR(SEARCH("return", C657)&gt;0, FALSE)), "Rental Return", IF(COUNTIF(MAIN!B:B, A657)=0, "Missing", ""))</f>
        <v>Missing</v>
      </c>
      <c r="C657" s="133" t="s">
        <v>15249</v>
      </c>
      <c r="E657" s="131" t="str">
        <f t="shared" si="1"/>
        <v>https://utrucking.myshopify.com/admin/orders?query=14506</v>
      </c>
    </row>
    <row r="658">
      <c r="A658" s="93" t="str">
        <f t="shared" si="2"/>
        <v>#14507</v>
      </c>
      <c r="B658" s="93" t="str">
        <f>IF(AND(COUNTIF(MAIN!B:B, A658)=0, IFERROR(SEARCH("return", C658)&gt;0, FALSE)), "Rental Return", IF(COUNTIF(MAIN!B:B, A658)=0, "Missing", ""))</f>
        <v>Missing</v>
      </c>
      <c r="C658" s="133" t="s">
        <v>15246</v>
      </c>
      <c r="E658" s="131" t="str">
        <f t="shared" si="1"/>
        <v>https://utrucking.myshopify.com/admin/orders?query=14507</v>
      </c>
    </row>
    <row r="659">
      <c r="A659" s="93" t="str">
        <f t="shared" si="2"/>
        <v>#14508</v>
      </c>
      <c r="B659" s="93" t="str">
        <f>IF(AND(COUNTIF(MAIN!B:B, A659)=0, IFERROR(SEARCH("return", C659)&gt;0, FALSE)), "Rental Return", IF(COUNTIF(MAIN!B:B, A659)=0, "Missing", ""))</f>
        <v>Missing</v>
      </c>
      <c r="C659" s="133" t="s">
        <v>15246</v>
      </c>
      <c r="E659" s="131" t="str">
        <f t="shared" si="1"/>
        <v>https://utrucking.myshopify.com/admin/orders?query=14508</v>
      </c>
    </row>
    <row r="660">
      <c r="A660" s="93" t="str">
        <f t="shared" si="2"/>
        <v>#14509</v>
      </c>
      <c r="B660" s="93" t="str">
        <f>IF(AND(COUNTIF(MAIN!B:B, A660)=0, IFERROR(SEARCH("return", C660)&gt;0, FALSE)), "Rental Return", IF(COUNTIF(MAIN!B:B, A660)=0, "Missing", ""))</f>
        <v>Missing</v>
      </c>
      <c r="C660" s="133" t="s">
        <v>15246</v>
      </c>
      <c r="E660" s="131" t="str">
        <f t="shared" si="1"/>
        <v>https://utrucking.myshopify.com/admin/orders?query=14509</v>
      </c>
    </row>
    <row r="661">
      <c r="A661" s="93" t="str">
        <f t="shared" si="2"/>
        <v>#14510</v>
      </c>
      <c r="B661" s="93" t="str">
        <f>IF(AND(COUNTIF(MAIN!B:B, A661)=0, IFERROR(SEARCH("return", C661)&gt;0, FALSE)), "Rental Return", IF(COUNTIF(MAIN!B:B, A661)=0, "Missing", ""))</f>
        <v>Missing</v>
      </c>
      <c r="C661" s="133" t="s">
        <v>15246</v>
      </c>
      <c r="E661" s="131" t="str">
        <f t="shared" si="1"/>
        <v>https://utrucking.myshopify.com/admin/orders?query=14510</v>
      </c>
    </row>
    <row r="662">
      <c r="A662" s="93" t="str">
        <f t="shared" si="2"/>
        <v>#14511</v>
      </c>
      <c r="B662" s="93" t="str">
        <f>IF(AND(COUNTIF(MAIN!B:B, A662)=0, IFERROR(SEARCH("return", C662)&gt;0, FALSE)), "Rental Return", IF(COUNTIF(MAIN!B:B, A662)=0, "Missing", ""))</f>
        <v>Missing</v>
      </c>
      <c r="C662" s="133" t="s">
        <v>15249</v>
      </c>
      <c r="E662" s="131" t="str">
        <f t="shared" si="1"/>
        <v>https://utrucking.myshopify.com/admin/orders?query=14511</v>
      </c>
    </row>
    <row r="663">
      <c r="A663" s="93" t="str">
        <f t="shared" si="2"/>
        <v>#14512</v>
      </c>
      <c r="B663" s="93" t="str">
        <f>IF(AND(COUNTIF(MAIN!B:B, A663)=0, IFERROR(SEARCH("return", C663)&gt;0, FALSE)), "Rental Return", IF(COUNTIF(MAIN!B:B, A663)=0, "Missing", ""))</f>
        <v>Missing</v>
      </c>
      <c r="C663" s="133" t="s">
        <v>15246</v>
      </c>
      <c r="E663" s="131" t="str">
        <f t="shared" si="1"/>
        <v>https://utrucking.myshopify.com/admin/orders?query=14512</v>
      </c>
    </row>
    <row r="664">
      <c r="A664" s="93" t="str">
        <f t="shared" si="2"/>
        <v>#14513</v>
      </c>
      <c r="B664" s="93" t="str">
        <f>IF(AND(COUNTIF(MAIN!B:B, A664)=0, IFERROR(SEARCH("return", C664)&gt;0, FALSE)), "Rental Return", IF(COUNTIF(MAIN!B:B, A664)=0, "Missing", ""))</f>
        <v>Missing</v>
      </c>
      <c r="C664" s="133" t="s">
        <v>15246</v>
      </c>
      <c r="E664" s="131" t="str">
        <f t="shared" si="1"/>
        <v>https://utrucking.myshopify.com/admin/orders?query=14513</v>
      </c>
    </row>
    <row r="665">
      <c r="A665" s="93" t="str">
        <f t="shared" si="2"/>
        <v>#14514</v>
      </c>
      <c r="B665" s="93" t="str">
        <f>IF(AND(COUNTIF(MAIN!B:B, A665)=0, IFERROR(SEARCH("return", C665)&gt;0, FALSE)), "Rental Return", IF(COUNTIF(MAIN!B:B, A665)=0, "Missing", ""))</f>
        <v>Missing</v>
      </c>
      <c r="C665" s="133" t="s">
        <v>15249</v>
      </c>
      <c r="E665" s="131" t="str">
        <f t="shared" si="1"/>
        <v>https://utrucking.myshopify.com/admin/orders?query=14514</v>
      </c>
    </row>
    <row r="666">
      <c r="A666" s="93" t="str">
        <f t="shared" si="2"/>
        <v>#14515</v>
      </c>
      <c r="B666" s="93" t="str">
        <f>IF(AND(COUNTIF(MAIN!B:B, A666)=0, IFERROR(SEARCH("return", C666)&gt;0, FALSE)), "Rental Return", IF(COUNTIF(MAIN!B:B, A666)=0, "Missing", ""))</f>
        <v>Rental Return</v>
      </c>
      <c r="C666" s="133" t="s">
        <v>15261</v>
      </c>
      <c r="E666" s="128" t="str">
        <f t="shared" si="1"/>
        <v/>
      </c>
    </row>
    <row r="667">
      <c r="A667" s="93" t="str">
        <f t="shared" si="2"/>
        <v>#14516</v>
      </c>
      <c r="B667" s="93" t="str">
        <f>IF(AND(COUNTIF(MAIN!B:B, A667)=0, IFERROR(SEARCH("return", C667)&gt;0, FALSE)), "Rental Return", IF(COUNTIF(MAIN!B:B, A667)=0, "Missing", ""))</f>
        <v>Missing</v>
      </c>
      <c r="C667" s="133" t="s">
        <v>15246</v>
      </c>
      <c r="E667" s="131" t="str">
        <f t="shared" si="1"/>
        <v>https://utrucking.myshopify.com/admin/orders?query=14516</v>
      </c>
    </row>
    <row r="668">
      <c r="A668" s="93" t="str">
        <f t="shared" si="2"/>
        <v>#14517</v>
      </c>
      <c r="B668" s="93" t="str">
        <f>IF(AND(COUNTIF(MAIN!B:B, A668)=0, IFERROR(SEARCH("return", C668)&gt;0, FALSE)), "Rental Return", IF(COUNTIF(MAIN!B:B, A668)=0, "Missing", ""))</f>
        <v>Missing</v>
      </c>
      <c r="C668" s="133" t="s">
        <v>15251</v>
      </c>
      <c r="E668" s="131" t="str">
        <f t="shared" si="1"/>
        <v>https://utrucking.myshopify.com/admin/orders?query=14517</v>
      </c>
    </row>
    <row r="669">
      <c r="A669" s="93" t="str">
        <f t="shared" si="2"/>
        <v>#14518</v>
      </c>
      <c r="B669" s="93" t="str">
        <f>IF(AND(COUNTIF(MAIN!B:B, A669)=0, IFERROR(SEARCH("return", C669)&gt;0, FALSE)), "Rental Return", IF(COUNTIF(MAIN!B:B, A669)=0, "Missing", ""))</f>
        <v>Rental Return</v>
      </c>
      <c r="C669" s="133" t="s">
        <v>1111</v>
      </c>
      <c r="E669" s="128" t="str">
        <f t="shared" si="1"/>
        <v/>
      </c>
    </row>
    <row r="670">
      <c r="A670" s="93" t="str">
        <f t="shared" si="2"/>
        <v>#14519</v>
      </c>
      <c r="B670" s="93" t="str">
        <f>IF(AND(COUNTIF(MAIN!B:B, A670)=0, IFERROR(SEARCH("return", C670)&gt;0, FALSE)), "Rental Return", IF(COUNTIF(MAIN!B:B, A670)=0, "Missing", ""))</f>
        <v>Missing</v>
      </c>
      <c r="C670" s="133" t="s">
        <v>15246</v>
      </c>
      <c r="E670" s="131" t="str">
        <f t="shared" si="1"/>
        <v>https://utrucking.myshopify.com/admin/orders?query=14519</v>
      </c>
    </row>
    <row r="671">
      <c r="A671" s="93" t="str">
        <f t="shared" si="2"/>
        <v>#14520</v>
      </c>
      <c r="B671" s="93" t="str">
        <f>IF(AND(COUNTIF(MAIN!B:B, A671)=0, IFERROR(SEARCH("return", C671)&gt;0, FALSE)), "Rental Return", IF(COUNTIF(MAIN!B:B, A671)=0, "Missing", ""))</f>
        <v>Missing</v>
      </c>
      <c r="C671" s="133" t="s">
        <v>15246</v>
      </c>
      <c r="E671" s="131" t="str">
        <f t="shared" si="1"/>
        <v>https://utrucking.myshopify.com/admin/orders?query=14520</v>
      </c>
    </row>
    <row r="672">
      <c r="A672" s="93" t="str">
        <f t="shared" si="2"/>
        <v>#14521</v>
      </c>
      <c r="B672" s="93" t="str">
        <f>IF(AND(COUNTIF(MAIN!B:B, A672)=0, IFERROR(SEARCH("return", C672)&gt;0, FALSE)), "Rental Return", IF(COUNTIF(MAIN!B:B, A672)=0, "Missing", ""))</f>
        <v>Missing</v>
      </c>
      <c r="C672" s="133" t="s">
        <v>15246</v>
      </c>
      <c r="E672" s="131" t="str">
        <f t="shared" si="1"/>
        <v>https://utrucking.myshopify.com/admin/orders?query=14521</v>
      </c>
    </row>
    <row r="673">
      <c r="A673" s="93" t="str">
        <f t="shared" si="2"/>
        <v>#14522</v>
      </c>
      <c r="B673" s="93" t="str">
        <f>IF(AND(COUNTIF(MAIN!B:B, A673)=0, IFERROR(SEARCH("return", C673)&gt;0, FALSE)), "Rental Return", IF(COUNTIF(MAIN!B:B, A673)=0, "Missing", ""))</f>
        <v>Missing</v>
      </c>
      <c r="C673" s="133" t="s">
        <v>15251</v>
      </c>
      <c r="E673" s="131" t="str">
        <f t="shared" si="1"/>
        <v>https://utrucking.myshopify.com/admin/orders?query=14522</v>
      </c>
    </row>
    <row r="674">
      <c r="A674" s="93" t="str">
        <f t="shared" si="2"/>
        <v>#14523</v>
      </c>
      <c r="B674" s="93" t="str">
        <f>IF(AND(COUNTIF(MAIN!B:B, A674)=0, IFERROR(SEARCH("return", C674)&gt;0, FALSE)), "Rental Return", IF(COUNTIF(MAIN!B:B, A674)=0, "Missing", ""))</f>
        <v>Missing</v>
      </c>
      <c r="C674" s="133" t="s">
        <v>15249</v>
      </c>
      <c r="E674" s="131" t="str">
        <f t="shared" si="1"/>
        <v>https://utrucking.myshopify.com/admin/orders?query=14523</v>
      </c>
    </row>
    <row r="675">
      <c r="A675" s="93" t="str">
        <f t="shared" si="2"/>
        <v>#14524</v>
      </c>
      <c r="B675" s="93" t="str">
        <f>IF(AND(COUNTIF(MAIN!B:B, A675)=0, IFERROR(SEARCH("return", C675)&gt;0, FALSE)), "Rental Return", IF(COUNTIF(MAIN!B:B, A675)=0, "Missing", ""))</f>
        <v>Missing</v>
      </c>
      <c r="C675" s="133" t="s">
        <v>15246</v>
      </c>
      <c r="E675" s="131" t="str">
        <f t="shared" si="1"/>
        <v>https://utrucking.myshopify.com/admin/orders?query=14524</v>
      </c>
    </row>
    <row r="676">
      <c r="A676" s="93" t="str">
        <f t="shared" si="2"/>
        <v>#14525</v>
      </c>
      <c r="B676" s="93" t="str">
        <f>IF(AND(COUNTIF(MAIN!B:B, A676)=0, IFERROR(SEARCH("return", C676)&gt;0, FALSE)), "Rental Return", IF(COUNTIF(MAIN!B:B, A676)=0, "Missing", ""))</f>
        <v>Missing</v>
      </c>
      <c r="C676" s="133" t="s">
        <v>15252</v>
      </c>
      <c r="E676" s="131" t="str">
        <f t="shared" si="1"/>
        <v>https://utrucking.myshopify.com/admin/orders?query=14525</v>
      </c>
    </row>
    <row r="677">
      <c r="A677" s="93" t="str">
        <f t="shared" si="2"/>
        <v>#14526</v>
      </c>
      <c r="B677" s="93" t="str">
        <f>IF(AND(COUNTIF(MAIN!B:B, A677)=0, IFERROR(SEARCH("return", C677)&gt;0, FALSE)), "Rental Return", IF(COUNTIF(MAIN!B:B, A677)=0, "Missing", ""))</f>
        <v>Missing</v>
      </c>
      <c r="C677" s="133" t="s">
        <v>15251</v>
      </c>
      <c r="E677" s="131" t="str">
        <f t="shared" si="1"/>
        <v>https://utrucking.myshopify.com/admin/orders?query=14526</v>
      </c>
    </row>
    <row r="678">
      <c r="A678" s="93" t="str">
        <f t="shared" si="2"/>
        <v>#14527</v>
      </c>
      <c r="B678" s="93" t="str">
        <f>IF(AND(COUNTIF(MAIN!B:B, A678)=0, IFERROR(SEARCH("return", C678)&gt;0, FALSE)), "Rental Return", IF(COUNTIF(MAIN!B:B, A678)=0, "Missing", ""))</f>
        <v>Missing</v>
      </c>
      <c r="C678" s="133" t="s">
        <v>15249</v>
      </c>
      <c r="E678" s="131" t="str">
        <f t="shared" si="1"/>
        <v>https://utrucking.myshopify.com/admin/orders?query=14527</v>
      </c>
    </row>
    <row r="679">
      <c r="A679" s="93" t="str">
        <f t="shared" si="2"/>
        <v>#14528</v>
      </c>
      <c r="B679" s="93" t="str">
        <f>IF(AND(COUNTIF(MAIN!B:B, A679)=0, IFERROR(SEARCH("return", C679)&gt;0, FALSE)), "Rental Return", IF(COUNTIF(MAIN!B:B, A679)=0, "Missing", ""))</f>
        <v/>
      </c>
      <c r="C679" s="128"/>
      <c r="E679" s="128" t="str">
        <f t="shared" si="1"/>
        <v/>
      </c>
    </row>
    <row r="680">
      <c r="A680" s="93" t="str">
        <f t="shared" si="2"/>
        <v>#14529</v>
      </c>
      <c r="B680" s="93" t="str">
        <f>IF(AND(COUNTIF(MAIN!B:B, A680)=0, IFERROR(SEARCH("return", C680)&gt;0, FALSE)), "Rental Return", IF(COUNTIF(MAIN!B:B, A680)=0, "Missing", ""))</f>
        <v>Missing</v>
      </c>
      <c r="C680" s="133" t="s">
        <v>15246</v>
      </c>
      <c r="E680" s="131" t="str">
        <f t="shared" si="1"/>
        <v>https://utrucking.myshopify.com/admin/orders?query=14529</v>
      </c>
    </row>
    <row r="681">
      <c r="A681" s="93" t="str">
        <f t="shared" si="2"/>
        <v>#14530</v>
      </c>
      <c r="B681" s="93" t="str">
        <f>IF(AND(COUNTIF(MAIN!B:B, A681)=0, IFERROR(SEARCH("return", C681)&gt;0, FALSE)), "Rental Return", IF(COUNTIF(MAIN!B:B, A681)=0, "Missing", ""))</f>
        <v>Missing</v>
      </c>
      <c r="C681" s="133" t="s">
        <v>15246</v>
      </c>
      <c r="E681" s="131" t="str">
        <f t="shared" si="1"/>
        <v>https://utrucking.myshopify.com/admin/orders?query=14530</v>
      </c>
    </row>
    <row r="682">
      <c r="A682" s="93" t="str">
        <f t="shared" si="2"/>
        <v>#14531</v>
      </c>
      <c r="B682" s="93" t="str">
        <f>IF(AND(COUNTIF(MAIN!B:B, A682)=0, IFERROR(SEARCH("return", C682)&gt;0, FALSE)), "Rental Return", IF(COUNTIF(MAIN!B:B, A682)=0, "Missing", ""))</f>
        <v>Missing</v>
      </c>
      <c r="C682" s="133" t="s">
        <v>15246</v>
      </c>
      <c r="E682" s="131" t="str">
        <f t="shared" si="1"/>
        <v>https://utrucking.myshopify.com/admin/orders?query=14531</v>
      </c>
    </row>
    <row r="683">
      <c r="A683" s="93" t="str">
        <f t="shared" si="2"/>
        <v>#14532</v>
      </c>
      <c r="B683" s="93" t="str">
        <f>IF(AND(COUNTIF(MAIN!B:B, A683)=0, IFERROR(SEARCH("return", C683)&gt;0, FALSE)), "Rental Return", IF(COUNTIF(MAIN!B:B, A683)=0, "Missing", ""))</f>
        <v>Missing</v>
      </c>
      <c r="C683" s="133" t="s">
        <v>15246</v>
      </c>
      <c r="E683" s="131" t="str">
        <f t="shared" si="1"/>
        <v>https://utrucking.myshopify.com/admin/orders?query=14532</v>
      </c>
    </row>
    <row r="684">
      <c r="A684" s="93" t="str">
        <f t="shared" si="2"/>
        <v>#14533</v>
      </c>
      <c r="B684" s="93" t="str">
        <f>IF(AND(COUNTIF(MAIN!B:B, A684)=0, IFERROR(SEARCH("return", C684)&gt;0, FALSE)), "Rental Return", IF(COUNTIF(MAIN!B:B, A684)=0, "Missing", ""))</f>
        <v>Missing</v>
      </c>
      <c r="C684" s="133" t="s">
        <v>15246</v>
      </c>
      <c r="E684" s="131" t="str">
        <f t="shared" si="1"/>
        <v>https://utrucking.myshopify.com/admin/orders?query=14533</v>
      </c>
    </row>
    <row r="685">
      <c r="A685" s="93" t="str">
        <f t="shared" si="2"/>
        <v>#14534</v>
      </c>
      <c r="B685" s="93" t="str">
        <f>IF(AND(COUNTIF(MAIN!B:B, A685)=0, IFERROR(SEARCH("return", C685)&gt;0, FALSE)), "Rental Return", IF(COUNTIF(MAIN!B:B, A685)=0, "Missing", ""))</f>
        <v>Missing</v>
      </c>
      <c r="C685" s="133" t="s">
        <v>15246</v>
      </c>
      <c r="E685" s="131" t="str">
        <f t="shared" si="1"/>
        <v>https://utrucking.myshopify.com/admin/orders?query=14534</v>
      </c>
    </row>
    <row r="686">
      <c r="A686" s="93" t="str">
        <f t="shared" si="2"/>
        <v>#14535</v>
      </c>
      <c r="B686" s="93" t="str">
        <f>IF(AND(COUNTIF(MAIN!B:B, A686)=0, IFERROR(SEARCH("return", C686)&gt;0, FALSE)), "Rental Return", IF(COUNTIF(MAIN!B:B, A686)=0, "Missing", ""))</f>
        <v>Missing</v>
      </c>
      <c r="C686" s="133" t="s">
        <v>15246</v>
      </c>
      <c r="E686" s="131" t="str">
        <f t="shared" si="1"/>
        <v>https://utrucking.myshopify.com/admin/orders?query=14535</v>
      </c>
    </row>
    <row r="687">
      <c r="A687" s="93" t="str">
        <f t="shared" si="2"/>
        <v>#14536</v>
      </c>
      <c r="B687" s="93" t="str">
        <f>IF(AND(COUNTIF(MAIN!B:B, A687)=0, IFERROR(SEARCH("return", C687)&gt;0, FALSE)), "Rental Return", IF(COUNTIF(MAIN!B:B, A687)=0, "Missing", ""))</f>
        <v>Missing</v>
      </c>
      <c r="C687" s="133" t="s">
        <v>15246</v>
      </c>
      <c r="E687" s="131" t="str">
        <f t="shared" si="1"/>
        <v>https://utrucking.myshopify.com/admin/orders?query=14536</v>
      </c>
    </row>
    <row r="688">
      <c r="A688" s="93" t="str">
        <f t="shared" si="2"/>
        <v>#14537</v>
      </c>
      <c r="B688" s="93" t="str">
        <f>IF(AND(COUNTIF(MAIN!B:B, A688)=0, IFERROR(SEARCH("return", C688)&gt;0, FALSE)), "Rental Return", IF(COUNTIF(MAIN!B:B, A688)=0, "Missing", ""))</f>
        <v>Missing</v>
      </c>
      <c r="C688" s="133" t="s">
        <v>15251</v>
      </c>
      <c r="E688" s="131" t="str">
        <f t="shared" si="1"/>
        <v>https://utrucking.myshopify.com/admin/orders?query=14537</v>
      </c>
    </row>
    <row r="689">
      <c r="A689" s="93" t="str">
        <f t="shared" si="2"/>
        <v>#14538</v>
      </c>
      <c r="B689" s="93" t="str">
        <f>IF(AND(COUNTIF(MAIN!B:B, A689)=0, IFERROR(SEARCH("return", C689)&gt;0, FALSE)), "Rental Return", IF(COUNTIF(MAIN!B:B, A689)=0, "Missing", ""))</f>
        <v>Missing</v>
      </c>
      <c r="C689" s="133" t="s">
        <v>15246</v>
      </c>
      <c r="E689" s="131" t="str">
        <f t="shared" si="1"/>
        <v>https://utrucking.myshopify.com/admin/orders?query=14538</v>
      </c>
    </row>
    <row r="690">
      <c r="A690" s="93" t="str">
        <f t="shared" si="2"/>
        <v>#14539</v>
      </c>
      <c r="B690" s="93" t="str">
        <f>IF(AND(COUNTIF(MAIN!B:B, A690)=0, IFERROR(SEARCH("return", C690)&gt;0, FALSE)), "Rental Return", IF(COUNTIF(MAIN!B:B, A690)=0, "Missing", ""))</f>
        <v>Missing</v>
      </c>
      <c r="C690" s="133" t="s">
        <v>15246</v>
      </c>
      <c r="E690" s="131" t="str">
        <f t="shared" si="1"/>
        <v>https://utrucking.myshopify.com/admin/orders?query=14539</v>
      </c>
    </row>
    <row r="691">
      <c r="A691" s="93" t="str">
        <f t="shared" si="2"/>
        <v>#14540</v>
      </c>
      <c r="B691" s="93" t="str">
        <f>IF(AND(COUNTIF(MAIN!B:B, A691)=0, IFERROR(SEARCH("return", C691)&gt;0, FALSE)), "Rental Return", IF(COUNTIF(MAIN!B:B, A691)=0, "Missing", ""))</f>
        <v>Missing</v>
      </c>
      <c r="C691" s="133" t="s">
        <v>15251</v>
      </c>
      <c r="E691" s="131" t="str">
        <f t="shared" si="1"/>
        <v>https://utrucking.myshopify.com/admin/orders?query=14540</v>
      </c>
    </row>
    <row r="692">
      <c r="A692" s="93" t="str">
        <f t="shared" si="2"/>
        <v>#14541</v>
      </c>
      <c r="B692" s="93" t="str">
        <f>IF(AND(COUNTIF(MAIN!B:B, A692)=0, IFERROR(SEARCH("return", C692)&gt;0, FALSE)), "Rental Return", IF(COUNTIF(MAIN!B:B, A692)=0, "Missing", ""))</f>
        <v>Rental Return</v>
      </c>
      <c r="C692" s="133" t="s">
        <v>15258</v>
      </c>
      <c r="E692" s="128" t="str">
        <f t="shared" si="1"/>
        <v/>
      </c>
    </row>
    <row r="693">
      <c r="A693" s="93" t="str">
        <f t="shared" si="2"/>
        <v>#14542</v>
      </c>
      <c r="B693" s="93" t="str">
        <f>IF(AND(COUNTIF(MAIN!B:B, A693)=0, IFERROR(SEARCH("return", C693)&gt;0, FALSE)), "Rental Return", IF(COUNTIF(MAIN!B:B, A693)=0, "Missing", ""))</f>
        <v>Missing</v>
      </c>
      <c r="C693" s="133" t="s">
        <v>15246</v>
      </c>
      <c r="E693" s="131" t="str">
        <f t="shared" si="1"/>
        <v>https://utrucking.myshopify.com/admin/orders?query=14542</v>
      </c>
    </row>
    <row r="694">
      <c r="A694" s="93" t="str">
        <f t="shared" si="2"/>
        <v>#14543</v>
      </c>
      <c r="B694" s="93" t="str">
        <f>IF(AND(COUNTIF(MAIN!B:B, A694)=0, IFERROR(SEARCH("return", C694)&gt;0, FALSE)), "Rental Return", IF(COUNTIF(MAIN!B:B, A694)=0, "Missing", ""))</f>
        <v>Missing</v>
      </c>
      <c r="C694" s="133" t="s">
        <v>15248</v>
      </c>
      <c r="E694" s="131" t="str">
        <f t="shared" si="1"/>
        <v>https://utrucking.myshopify.com/admin/orders?query=14543</v>
      </c>
    </row>
    <row r="695">
      <c r="A695" s="93" t="str">
        <f t="shared" si="2"/>
        <v>#14544</v>
      </c>
      <c r="B695" s="93" t="str">
        <f>IF(AND(COUNTIF(MAIN!B:B, A695)=0, IFERROR(SEARCH("return", C695)&gt;0, FALSE)), "Rental Return", IF(COUNTIF(MAIN!B:B, A695)=0, "Missing", ""))</f>
        <v>Missing</v>
      </c>
      <c r="C695" s="133" t="s">
        <v>15251</v>
      </c>
      <c r="E695" s="131" t="str">
        <f t="shared" si="1"/>
        <v>https://utrucking.myshopify.com/admin/orders?query=14544</v>
      </c>
    </row>
    <row r="696">
      <c r="A696" s="93" t="str">
        <f t="shared" si="2"/>
        <v>#14545</v>
      </c>
      <c r="B696" s="93" t="str">
        <f>IF(AND(COUNTIF(MAIN!B:B, A696)=0, IFERROR(SEARCH("return", C696)&gt;0, FALSE)), "Rental Return", IF(COUNTIF(MAIN!B:B, A696)=0, "Missing", ""))</f>
        <v>Missing</v>
      </c>
      <c r="C696" s="133" t="s">
        <v>15246</v>
      </c>
      <c r="E696" s="131" t="str">
        <f t="shared" si="1"/>
        <v>https://utrucking.myshopify.com/admin/orders?query=14545</v>
      </c>
    </row>
    <row r="697">
      <c r="A697" s="93" t="str">
        <f t="shared" si="2"/>
        <v>#14546</v>
      </c>
      <c r="B697" s="93" t="str">
        <f>IF(AND(COUNTIF(MAIN!B:B, A697)=0, IFERROR(SEARCH("return", C697)&gt;0, FALSE)), "Rental Return", IF(COUNTIF(MAIN!B:B, A697)=0, "Missing", ""))</f>
        <v>Rental Return</v>
      </c>
      <c r="C697" s="133" t="s">
        <v>15258</v>
      </c>
      <c r="E697" s="128" t="str">
        <f t="shared" si="1"/>
        <v/>
      </c>
    </row>
    <row r="698">
      <c r="A698" s="93" t="str">
        <f t="shared" si="2"/>
        <v>#14547</v>
      </c>
      <c r="B698" s="93" t="str">
        <f>IF(AND(COUNTIF(MAIN!B:B, A698)=0, IFERROR(SEARCH("return", C698)&gt;0, FALSE)), "Rental Return", IF(COUNTIF(MAIN!B:B, A698)=0, "Missing", ""))</f>
        <v>Rental Return</v>
      </c>
      <c r="C698" s="133" t="s">
        <v>15264</v>
      </c>
      <c r="E698" s="128" t="str">
        <f t="shared" si="1"/>
        <v/>
      </c>
    </row>
    <row r="699">
      <c r="A699" s="93" t="str">
        <f t="shared" si="2"/>
        <v>#14548</v>
      </c>
      <c r="B699" s="93" t="str">
        <f>IF(AND(COUNTIF(MAIN!B:B, A699)=0, IFERROR(SEARCH("return", C699)&gt;0, FALSE)), "Rental Return", IF(COUNTIF(MAIN!B:B, A699)=0, "Missing", ""))</f>
        <v>Missing</v>
      </c>
      <c r="C699" s="133" t="s">
        <v>15246</v>
      </c>
      <c r="E699" s="131" t="str">
        <f t="shared" si="1"/>
        <v>https://utrucking.myshopify.com/admin/orders?query=14548</v>
      </c>
    </row>
    <row r="700">
      <c r="A700" s="93" t="str">
        <f t="shared" si="2"/>
        <v>#14549</v>
      </c>
      <c r="B700" s="93" t="str">
        <f>IF(AND(COUNTIF(MAIN!B:B, A700)=0, IFERROR(SEARCH("return", C700)&gt;0, FALSE)), "Rental Return", IF(COUNTIF(MAIN!B:B, A700)=0, "Missing", ""))</f>
        <v>Rental Return</v>
      </c>
      <c r="C700" s="133" t="s">
        <v>1111</v>
      </c>
      <c r="E700" s="128" t="str">
        <f t="shared" si="1"/>
        <v/>
      </c>
    </row>
    <row r="701">
      <c r="A701" s="93" t="str">
        <f t="shared" si="2"/>
        <v>#14550</v>
      </c>
      <c r="B701" s="93" t="str">
        <f>IF(AND(COUNTIF(MAIN!B:B, A701)=0, IFERROR(SEARCH("return", C701)&gt;0, FALSE)), "Rental Return", IF(COUNTIF(MAIN!B:B, A701)=0, "Missing", ""))</f>
        <v>Missing</v>
      </c>
      <c r="C701" s="133" t="s">
        <v>15246</v>
      </c>
      <c r="E701" s="131" t="str">
        <f t="shared" si="1"/>
        <v>https://utrucking.myshopify.com/admin/orders?query=14550</v>
      </c>
    </row>
    <row r="702">
      <c r="A702" s="93" t="str">
        <f t="shared" si="2"/>
        <v>#14551</v>
      </c>
      <c r="B702" s="93" t="str">
        <f>IF(AND(COUNTIF(MAIN!B:B, A702)=0, IFERROR(SEARCH("return", C702)&gt;0, FALSE)), "Rental Return", IF(COUNTIF(MAIN!B:B, A702)=0, "Missing", ""))</f>
        <v>Missing</v>
      </c>
      <c r="C702" s="133" t="s">
        <v>15249</v>
      </c>
      <c r="E702" s="131" t="str">
        <f t="shared" si="1"/>
        <v>https://utrucking.myshopify.com/admin/orders?query=14551</v>
      </c>
    </row>
    <row r="703">
      <c r="A703" s="93" t="str">
        <f t="shared" si="2"/>
        <v>#14552</v>
      </c>
      <c r="B703" s="93" t="str">
        <f>IF(AND(COUNTIF(MAIN!B:B, A703)=0, IFERROR(SEARCH("return", C703)&gt;0, FALSE)), "Rental Return", IF(COUNTIF(MAIN!B:B, A703)=0, "Missing", ""))</f>
        <v>Missing</v>
      </c>
      <c r="C703" s="133" t="s">
        <v>15246</v>
      </c>
      <c r="E703" s="131" t="str">
        <f t="shared" si="1"/>
        <v>https://utrucking.myshopify.com/admin/orders?query=14552</v>
      </c>
    </row>
    <row r="704">
      <c r="A704" s="93" t="str">
        <f t="shared" si="2"/>
        <v>#14553</v>
      </c>
      <c r="B704" s="93" t="str">
        <f>IF(AND(COUNTIF(MAIN!B:B, A704)=0, IFERROR(SEARCH("return", C704)&gt;0, FALSE)), "Rental Return", IF(COUNTIF(MAIN!B:B, A704)=0, "Missing", ""))</f>
        <v>Missing</v>
      </c>
      <c r="C704" s="133" t="s">
        <v>15246</v>
      </c>
      <c r="E704" s="131" t="str">
        <f t="shared" si="1"/>
        <v>https://utrucking.myshopify.com/admin/orders?query=14553</v>
      </c>
    </row>
    <row r="705">
      <c r="A705" s="93" t="str">
        <f t="shared" si="2"/>
        <v>#14554</v>
      </c>
      <c r="B705" s="93" t="str">
        <f>IF(AND(COUNTIF(MAIN!B:B, A705)=0, IFERROR(SEARCH("return", C705)&gt;0, FALSE)), "Rental Return", IF(COUNTIF(MAIN!B:B, A705)=0, "Missing", ""))</f>
        <v>Missing</v>
      </c>
      <c r="C705" s="133" t="s">
        <v>15249</v>
      </c>
      <c r="E705" s="131" t="str">
        <f t="shared" si="1"/>
        <v>https://utrucking.myshopify.com/admin/orders?query=14554</v>
      </c>
    </row>
    <row r="706">
      <c r="A706" s="93" t="str">
        <f t="shared" si="2"/>
        <v>#14555</v>
      </c>
      <c r="B706" s="93" t="str">
        <f>IF(AND(COUNTIF(MAIN!B:B, A706)=0, IFERROR(SEARCH("return", C706)&gt;0, FALSE)), "Rental Return", IF(COUNTIF(MAIN!B:B, A706)=0, "Missing", ""))</f>
        <v>Rental Return</v>
      </c>
      <c r="C706" s="133" t="s">
        <v>1111</v>
      </c>
      <c r="E706" s="128" t="str">
        <f t="shared" si="1"/>
        <v/>
      </c>
    </row>
    <row r="707">
      <c r="A707" s="93" t="str">
        <f t="shared" si="2"/>
        <v>#14556</v>
      </c>
      <c r="B707" s="93" t="str">
        <f>IF(AND(COUNTIF(MAIN!B:B, A707)=0, IFERROR(SEARCH("return", C707)&gt;0, FALSE)), "Rental Return", IF(COUNTIF(MAIN!B:B, A707)=0, "Missing", ""))</f>
        <v>Missing</v>
      </c>
      <c r="C707" s="133" t="s">
        <v>15246</v>
      </c>
      <c r="E707" s="131" t="str">
        <f t="shared" si="1"/>
        <v>https://utrucking.myshopify.com/admin/orders?query=14556</v>
      </c>
    </row>
    <row r="708">
      <c r="A708" s="93" t="str">
        <f t="shared" si="2"/>
        <v>#14557</v>
      </c>
      <c r="B708" s="93" t="str">
        <f>IF(AND(COUNTIF(MAIN!B:B, A708)=0, IFERROR(SEARCH("return", C708)&gt;0, FALSE)), "Rental Return", IF(COUNTIF(MAIN!B:B, A708)=0, "Missing", ""))</f>
        <v>Missing</v>
      </c>
      <c r="C708" s="133" t="s">
        <v>15246</v>
      </c>
      <c r="E708" s="131" t="str">
        <f t="shared" si="1"/>
        <v>https://utrucking.myshopify.com/admin/orders?query=14557</v>
      </c>
    </row>
    <row r="709">
      <c r="A709" s="93" t="str">
        <f t="shared" si="2"/>
        <v>#14558</v>
      </c>
      <c r="B709" s="93" t="str">
        <f>IF(AND(COUNTIF(MAIN!B:B, A709)=0, IFERROR(SEARCH("return", C709)&gt;0, FALSE)), "Rental Return", IF(COUNTIF(MAIN!B:B, A709)=0, "Missing", ""))</f>
        <v>Missing</v>
      </c>
      <c r="C709" s="133" t="s">
        <v>15249</v>
      </c>
      <c r="E709" s="131" t="str">
        <f t="shared" si="1"/>
        <v>https://utrucking.myshopify.com/admin/orders?query=14558</v>
      </c>
    </row>
    <row r="710">
      <c r="A710" s="93" t="str">
        <f t="shared" si="2"/>
        <v>#14559</v>
      </c>
      <c r="B710" s="93" t="str">
        <f>IF(AND(COUNTIF(MAIN!B:B, A710)=0, IFERROR(SEARCH("return", C710)&gt;0, FALSE)), "Rental Return", IF(COUNTIF(MAIN!B:B, A710)=0, "Missing", ""))</f>
        <v>Missing</v>
      </c>
      <c r="C710" s="133" t="s">
        <v>15245</v>
      </c>
      <c r="E710" s="131" t="str">
        <f t="shared" si="1"/>
        <v>https://utrucking.myshopify.com/admin/orders?query=14559</v>
      </c>
    </row>
    <row r="711">
      <c r="A711" s="93" t="str">
        <f t="shared" si="2"/>
        <v>#14560</v>
      </c>
      <c r="B711" s="93" t="str">
        <f>IF(AND(COUNTIF(MAIN!B:B, A711)=0, IFERROR(SEARCH("return", C711)&gt;0, FALSE)), "Rental Return", IF(COUNTIF(MAIN!B:B, A711)=0, "Missing", ""))</f>
        <v>Missing</v>
      </c>
      <c r="C711" s="133" t="s">
        <v>15251</v>
      </c>
      <c r="E711" s="131" t="str">
        <f t="shared" si="1"/>
        <v>https://utrucking.myshopify.com/admin/orders?query=14560</v>
      </c>
    </row>
    <row r="712">
      <c r="A712" s="93" t="str">
        <f t="shared" si="2"/>
        <v>#14561</v>
      </c>
      <c r="B712" s="93" t="str">
        <f>IF(AND(COUNTIF(MAIN!B:B, A712)=0, IFERROR(SEARCH("return", C712)&gt;0, FALSE)), "Rental Return", IF(COUNTIF(MAIN!B:B, A712)=0, "Missing", ""))</f>
        <v>Missing</v>
      </c>
      <c r="C712" s="133" t="s">
        <v>15246</v>
      </c>
      <c r="E712" s="131" t="str">
        <f t="shared" si="1"/>
        <v>https://utrucking.myshopify.com/admin/orders?query=14561</v>
      </c>
    </row>
    <row r="713">
      <c r="A713" s="93" t="str">
        <f t="shared" si="2"/>
        <v>#14562</v>
      </c>
      <c r="B713" s="93" t="str">
        <f>IF(AND(COUNTIF(MAIN!B:B, A713)=0, IFERROR(SEARCH("return", C713)&gt;0, FALSE)), "Rental Return", IF(COUNTIF(MAIN!B:B, A713)=0, "Missing", ""))</f>
        <v>Missing</v>
      </c>
      <c r="C713" s="133" t="s">
        <v>15245</v>
      </c>
      <c r="E713" s="131" t="str">
        <f t="shared" si="1"/>
        <v>https://utrucking.myshopify.com/admin/orders?query=14562</v>
      </c>
    </row>
    <row r="714">
      <c r="A714" s="93" t="str">
        <f t="shared" si="2"/>
        <v>#14563</v>
      </c>
      <c r="B714" s="93" t="str">
        <f>IF(AND(COUNTIF(MAIN!B:B, A714)=0, IFERROR(SEARCH("return", C714)&gt;0, FALSE)), "Rental Return", IF(COUNTIF(MAIN!B:B, A714)=0, "Missing", ""))</f>
        <v>Missing</v>
      </c>
      <c r="C714" s="133" t="s">
        <v>15246</v>
      </c>
      <c r="E714" s="131" t="str">
        <f t="shared" si="1"/>
        <v>https://utrucking.myshopify.com/admin/orders?query=14563</v>
      </c>
    </row>
    <row r="715">
      <c r="A715" s="93" t="str">
        <f t="shared" si="2"/>
        <v>#14564</v>
      </c>
      <c r="B715" s="93" t="str">
        <f>IF(AND(COUNTIF(MAIN!B:B, A715)=0, IFERROR(SEARCH("return", C715)&gt;0, FALSE)), "Rental Return", IF(COUNTIF(MAIN!B:B, A715)=0, "Missing", ""))</f>
        <v>Missing</v>
      </c>
      <c r="C715" s="133" t="s">
        <v>15246</v>
      </c>
      <c r="E715" s="131" t="str">
        <f t="shared" si="1"/>
        <v>https://utrucking.myshopify.com/admin/orders?query=14564</v>
      </c>
    </row>
    <row r="716">
      <c r="A716" s="93" t="str">
        <f t="shared" si="2"/>
        <v>#14565</v>
      </c>
      <c r="B716" s="93" t="str">
        <f>IF(AND(COUNTIF(MAIN!B:B, A716)=0, IFERROR(SEARCH("return", C716)&gt;0, FALSE)), "Rental Return", IF(COUNTIF(MAIN!B:B, A716)=0, "Missing", ""))</f>
        <v>Missing</v>
      </c>
      <c r="C716" s="133" t="s">
        <v>15246</v>
      </c>
      <c r="E716" s="131" t="str">
        <f t="shared" si="1"/>
        <v>https://utrucking.myshopify.com/admin/orders?query=14565</v>
      </c>
    </row>
    <row r="717">
      <c r="A717" s="93" t="str">
        <f t="shared" si="2"/>
        <v>#14566</v>
      </c>
      <c r="B717" s="93" t="str">
        <f>IF(AND(COUNTIF(MAIN!B:B, A717)=0, IFERROR(SEARCH("return", C717)&gt;0, FALSE)), "Rental Return", IF(COUNTIF(MAIN!B:B, A717)=0, "Missing", ""))</f>
        <v>Rental Return</v>
      </c>
      <c r="C717" s="133" t="s">
        <v>15264</v>
      </c>
      <c r="E717" s="128" t="str">
        <f t="shared" si="1"/>
        <v/>
      </c>
    </row>
    <row r="718">
      <c r="A718" s="93" t="str">
        <f t="shared" si="2"/>
        <v>#14567</v>
      </c>
      <c r="B718" s="93" t="str">
        <f>IF(AND(COUNTIF(MAIN!B:B, A718)=0, IFERROR(SEARCH("return", C718)&gt;0, FALSE)), "Rental Return", IF(COUNTIF(MAIN!B:B, A718)=0, "Missing", ""))</f>
        <v/>
      </c>
      <c r="C718" s="128"/>
      <c r="E718" s="128" t="str">
        <f t="shared" si="1"/>
        <v/>
      </c>
    </row>
    <row r="719">
      <c r="A719" s="93" t="str">
        <f t="shared" si="2"/>
        <v>#14568</v>
      </c>
      <c r="B719" s="93" t="str">
        <f>IF(AND(COUNTIF(MAIN!B:B, A719)=0, IFERROR(SEARCH("return", C719)&gt;0, FALSE)), "Rental Return", IF(COUNTIF(MAIN!B:B, A719)=0, "Missing", ""))</f>
        <v>Missing</v>
      </c>
      <c r="C719" s="133" t="s">
        <v>15246</v>
      </c>
      <c r="E719" s="131" t="str">
        <f t="shared" si="1"/>
        <v>https://utrucking.myshopify.com/admin/orders?query=14568</v>
      </c>
    </row>
    <row r="720">
      <c r="A720" s="93" t="str">
        <f t="shared" si="2"/>
        <v>#14569</v>
      </c>
      <c r="B720" s="93" t="str">
        <f>IF(AND(COUNTIF(MAIN!B:B, A720)=0, IFERROR(SEARCH("return", C720)&gt;0, FALSE)), "Rental Return", IF(COUNTIF(MAIN!B:B, A720)=0, "Missing", ""))</f>
        <v>Missing</v>
      </c>
      <c r="C720" s="133" t="s">
        <v>15246</v>
      </c>
      <c r="E720" s="131" t="str">
        <f t="shared" si="1"/>
        <v>https://utrucking.myshopify.com/admin/orders?query=14569</v>
      </c>
    </row>
    <row r="721">
      <c r="A721" s="93" t="str">
        <f t="shared" si="2"/>
        <v>#14570</v>
      </c>
      <c r="B721" s="93" t="str">
        <f>IF(AND(COUNTIF(MAIN!B:B, A721)=0, IFERROR(SEARCH("return", C721)&gt;0, FALSE)), "Rental Return", IF(COUNTIF(MAIN!B:B, A721)=0, "Missing", ""))</f>
        <v>Missing</v>
      </c>
      <c r="C721" s="133" t="s">
        <v>15249</v>
      </c>
      <c r="E721" s="131" t="str">
        <f t="shared" si="1"/>
        <v>https://utrucking.myshopify.com/admin/orders?query=14570</v>
      </c>
    </row>
    <row r="722">
      <c r="A722" s="93" t="str">
        <f t="shared" si="2"/>
        <v>#14571</v>
      </c>
      <c r="B722" s="93" t="str">
        <f>IF(AND(COUNTIF(MAIN!B:B, A722)=0, IFERROR(SEARCH("return", C722)&gt;0, FALSE)), "Rental Return", IF(COUNTIF(MAIN!B:B, A722)=0, "Missing", ""))</f>
        <v>Missing</v>
      </c>
      <c r="C722" s="133" t="s">
        <v>15246</v>
      </c>
      <c r="E722" s="131" t="str">
        <f t="shared" si="1"/>
        <v>https://utrucking.myshopify.com/admin/orders?query=14571</v>
      </c>
    </row>
    <row r="723">
      <c r="A723" s="93" t="str">
        <f t="shared" si="2"/>
        <v>#14572</v>
      </c>
      <c r="B723" s="93" t="str">
        <f>IF(AND(COUNTIF(MAIN!B:B, A723)=0, IFERROR(SEARCH("return", C723)&gt;0, FALSE)), "Rental Return", IF(COUNTIF(MAIN!B:B, A723)=0, "Missing", ""))</f>
        <v>Missing</v>
      </c>
      <c r="C723" s="133" t="s">
        <v>15249</v>
      </c>
      <c r="E723" s="131" t="str">
        <f t="shared" si="1"/>
        <v>https://utrucking.myshopify.com/admin/orders?query=14572</v>
      </c>
    </row>
    <row r="724">
      <c r="A724" s="93" t="str">
        <f t="shared" si="2"/>
        <v>#14573</v>
      </c>
      <c r="B724" s="93" t="str">
        <f>IF(AND(COUNTIF(MAIN!B:B, A724)=0, IFERROR(SEARCH("return", C724)&gt;0, FALSE)), "Rental Return", IF(COUNTIF(MAIN!B:B, A724)=0, "Missing", ""))</f>
        <v>Missing</v>
      </c>
      <c r="C724" s="133" t="s">
        <v>15246</v>
      </c>
      <c r="E724" s="131" t="str">
        <f t="shared" si="1"/>
        <v>https://utrucking.myshopify.com/admin/orders?query=14573</v>
      </c>
    </row>
    <row r="725">
      <c r="A725" s="93" t="str">
        <f t="shared" si="2"/>
        <v>#14574</v>
      </c>
      <c r="B725" s="93" t="str">
        <f>IF(AND(COUNTIF(MAIN!B:B, A725)=0, IFERROR(SEARCH("return", C725)&gt;0, FALSE)), "Rental Return", IF(COUNTIF(MAIN!B:B, A725)=0, "Missing", ""))</f>
        <v>Rental Return</v>
      </c>
      <c r="C725" s="133" t="s">
        <v>15258</v>
      </c>
      <c r="E725" s="128" t="str">
        <f t="shared" si="1"/>
        <v/>
      </c>
    </row>
    <row r="726">
      <c r="A726" s="93" t="str">
        <f t="shared" si="2"/>
        <v>#14575</v>
      </c>
      <c r="B726" s="93" t="str">
        <f>IF(AND(COUNTIF(MAIN!B:B, A726)=0, IFERROR(SEARCH("return", C726)&gt;0, FALSE)), "Rental Return", IF(COUNTIF(MAIN!B:B, A726)=0, "Missing", ""))</f>
        <v>Missing</v>
      </c>
      <c r="C726" s="133" t="s">
        <v>15246</v>
      </c>
      <c r="E726" s="131" t="str">
        <f t="shared" si="1"/>
        <v>https://utrucking.myshopify.com/admin/orders?query=14575</v>
      </c>
    </row>
    <row r="727">
      <c r="A727" s="93" t="str">
        <f t="shared" si="2"/>
        <v>#14576</v>
      </c>
      <c r="B727" s="93" t="str">
        <f>IF(AND(COUNTIF(MAIN!B:B, A727)=0, IFERROR(SEARCH("return", C727)&gt;0, FALSE)), "Rental Return", IF(COUNTIF(MAIN!B:B, A727)=0, "Missing", ""))</f>
        <v>Missing</v>
      </c>
      <c r="C727" s="133" t="s">
        <v>15246</v>
      </c>
      <c r="E727" s="131" t="str">
        <f t="shared" si="1"/>
        <v>https://utrucking.myshopify.com/admin/orders?query=14576</v>
      </c>
    </row>
    <row r="728">
      <c r="A728" s="93" t="str">
        <f t="shared" si="2"/>
        <v>#14577</v>
      </c>
      <c r="B728" s="93" t="str">
        <f>IF(AND(COUNTIF(MAIN!B:B, A728)=0, IFERROR(SEARCH("return", C728)&gt;0, FALSE)), "Rental Return", IF(COUNTIF(MAIN!B:B, A728)=0, "Missing", ""))</f>
        <v>Missing</v>
      </c>
      <c r="C728" s="133" t="s">
        <v>15246</v>
      </c>
      <c r="E728" s="131" t="str">
        <f t="shared" si="1"/>
        <v>https://utrucking.myshopify.com/admin/orders?query=14577</v>
      </c>
    </row>
    <row r="729">
      <c r="A729" s="93" t="str">
        <f t="shared" si="2"/>
        <v>#14578</v>
      </c>
      <c r="B729" s="93" t="str">
        <f>IF(AND(COUNTIF(MAIN!B:B, A729)=0, IFERROR(SEARCH("return", C729)&gt;0, FALSE)), "Rental Return", IF(COUNTIF(MAIN!B:B, A729)=0, "Missing", ""))</f>
        <v>Missing</v>
      </c>
      <c r="C729" s="133" t="s">
        <v>15246</v>
      </c>
      <c r="E729" s="131" t="str">
        <f t="shared" si="1"/>
        <v>https://utrucking.myshopify.com/admin/orders?query=14578</v>
      </c>
    </row>
    <row r="730">
      <c r="A730" s="93" t="str">
        <f t="shared" si="2"/>
        <v>#14579</v>
      </c>
      <c r="B730" s="93" t="str">
        <f>IF(AND(COUNTIF(MAIN!B:B, A730)=0, IFERROR(SEARCH("return", C730)&gt;0, FALSE)), "Rental Return", IF(COUNTIF(MAIN!B:B, A730)=0, "Missing", ""))</f>
        <v>Missing</v>
      </c>
      <c r="C730" s="133" t="s">
        <v>15246</v>
      </c>
      <c r="E730" s="131" t="str">
        <f t="shared" si="1"/>
        <v>https://utrucking.myshopify.com/admin/orders?query=14579</v>
      </c>
    </row>
    <row r="731">
      <c r="A731" s="93" t="str">
        <f t="shared" si="2"/>
        <v>#14580</v>
      </c>
      <c r="B731" s="93" t="str">
        <f>IF(AND(COUNTIF(MAIN!B:B, A731)=0, IFERROR(SEARCH("return", C731)&gt;0, FALSE)), "Rental Return", IF(COUNTIF(MAIN!B:B, A731)=0, "Missing", ""))</f>
        <v>Missing</v>
      </c>
      <c r="C731" s="133" t="s">
        <v>15246</v>
      </c>
      <c r="E731" s="131" t="str">
        <f t="shared" si="1"/>
        <v>https://utrucking.myshopify.com/admin/orders?query=14580</v>
      </c>
    </row>
    <row r="732">
      <c r="A732" s="93" t="str">
        <f t="shared" si="2"/>
        <v>#14581</v>
      </c>
      <c r="B732" s="93" t="str">
        <f>IF(AND(COUNTIF(MAIN!B:B, A732)=0, IFERROR(SEARCH("return", C732)&gt;0, FALSE)), "Rental Return", IF(COUNTIF(MAIN!B:B, A732)=0, "Missing", ""))</f>
        <v>Rental Return</v>
      </c>
      <c r="C732" s="133" t="s">
        <v>15258</v>
      </c>
      <c r="E732" s="128" t="str">
        <f t="shared" si="1"/>
        <v/>
      </c>
    </row>
    <row r="733">
      <c r="A733" s="93" t="str">
        <f t="shared" si="2"/>
        <v>#14582</v>
      </c>
      <c r="B733" s="93" t="str">
        <f>IF(AND(COUNTIF(MAIN!B:B, A733)=0, IFERROR(SEARCH("return", C733)&gt;0, FALSE)), "Rental Return", IF(COUNTIF(MAIN!B:B, A733)=0, "Missing", ""))</f>
        <v>Missing</v>
      </c>
      <c r="C733" s="133" t="s">
        <v>15246</v>
      </c>
      <c r="E733" s="131" t="str">
        <f t="shared" si="1"/>
        <v>https://utrucking.myshopify.com/admin/orders?query=14582</v>
      </c>
    </row>
    <row r="734">
      <c r="A734" s="93" t="str">
        <f t="shared" si="2"/>
        <v>#14583</v>
      </c>
      <c r="B734" s="93" t="str">
        <f>IF(AND(COUNTIF(MAIN!B:B, A734)=0, IFERROR(SEARCH("return", C734)&gt;0, FALSE)), "Rental Return", IF(COUNTIF(MAIN!B:B, A734)=0, "Missing", ""))</f>
        <v>Missing</v>
      </c>
      <c r="C734" s="133" t="s">
        <v>15249</v>
      </c>
      <c r="E734" s="131" t="str">
        <f t="shared" si="1"/>
        <v>https://utrucking.myshopify.com/admin/orders?query=14583</v>
      </c>
    </row>
    <row r="735">
      <c r="A735" s="93" t="str">
        <f t="shared" si="2"/>
        <v>#14584</v>
      </c>
      <c r="B735" s="93" t="str">
        <f>IF(AND(COUNTIF(MAIN!B:B, A735)=0, IFERROR(SEARCH("return", C735)&gt;0, FALSE)), "Rental Return", IF(COUNTIF(MAIN!B:B, A735)=0, "Missing", ""))</f>
        <v>Missing</v>
      </c>
      <c r="C735" s="133" t="s">
        <v>15246</v>
      </c>
      <c r="E735" s="131" t="str">
        <f t="shared" si="1"/>
        <v>https://utrucking.myshopify.com/admin/orders?query=14584</v>
      </c>
    </row>
    <row r="736">
      <c r="A736" s="93" t="str">
        <f t="shared" si="2"/>
        <v>#14585</v>
      </c>
      <c r="B736" s="93" t="str">
        <f>IF(AND(COUNTIF(MAIN!B:B, A736)=0, IFERROR(SEARCH("return", C736)&gt;0, FALSE)), "Rental Return", IF(COUNTIF(MAIN!B:B, A736)=0, "Missing", ""))</f>
        <v>Missing</v>
      </c>
      <c r="C736" s="133" t="s">
        <v>15252</v>
      </c>
      <c r="E736" s="131" t="str">
        <f t="shared" si="1"/>
        <v>https://utrucking.myshopify.com/admin/orders?query=14585</v>
      </c>
    </row>
    <row r="737">
      <c r="A737" s="93" t="str">
        <f t="shared" si="2"/>
        <v>#14586</v>
      </c>
      <c r="B737" s="93" t="str">
        <f>IF(AND(COUNTIF(MAIN!B:B, A737)=0, IFERROR(SEARCH("return", C737)&gt;0, FALSE)), "Rental Return", IF(COUNTIF(MAIN!B:B, A737)=0, "Missing", ""))</f>
        <v>Missing</v>
      </c>
      <c r="C737" s="133" t="s">
        <v>15246</v>
      </c>
      <c r="E737" s="131" t="str">
        <f t="shared" si="1"/>
        <v>https://utrucking.myshopify.com/admin/orders?query=14586</v>
      </c>
    </row>
    <row r="738">
      <c r="A738" s="93" t="str">
        <f t="shared" si="2"/>
        <v>#14587</v>
      </c>
      <c r="B738" s="93" t="str">
        <f>IF(AND(COUNTIF(MAIN!B:B, A738)=0, IFERROR(SEARCH("return", C738)&gt;0, FALSE)), "Rental Return", IF(COUNTIF(MAIN!B:B, A738)=0, "Missing", ""))</f>
        <v/>
      </c>
      <c r="C738" s="128"/>
      <c r="E738" s="128" t="str">
        <f t="shared" si="1"/>
        <v/>
      </c>
    </row>
    <row r="739">
      <c r="A739" s="93" t="str">
        <f t="shared" si="2"/>
        <v>#14588</v>
      </c>
      <c r="B739" s="93" t="str">
        <f>IF(AND(COUNTIF(MAIN!B:B, A739)=0, IFERROR(SEARCH("return", C739)&gt;0, FALSE)), "Rental Return", IF(COUNTIF(MAIN!B:B, A739)=0, "Missing", ""))</f>
        <v/>
      </c>
      <c r="C739" s="128"/>
      <c r="E739" s="128" t="str">
        <f t="shared" si="1"/>
        <v/>
      </c>
    </row>
    <row r="740">
      <c r="A740" s="93" t="str">
        <f t="shared" si="2"/>
        <v>#14589</v>
      </c>
      <c r="B740" s="93" t="str">
        <f>IF(AND(COUNTIF(MAIN!B:B, A740)=0, IFERROR(SEARCH("return", C740)&gt;0, FALSE)), "Rental Return", IF(COUNTIF(MAIN!B:B, A740)=0, "Missing", ""))</f>
        <v/>
      </c>
      <c r="C740" s="128"/>
      <c r="E740" s="128" t="str">
        <f t="shared" si="1"/>
        <v/>
      </c>
    </row>
    <row r="741">
      <c r="A741" s="93" t="str">
        <f t="shared" si="2"/>
        <v>#14590</v>
      </c>
      <c r="B741" s="93" t="str">
        <f>IF(AND(COUNTIF(MAIN!B:B, A741)=0, IFERROR(SEARCH("return", C741)&gt;0, FALSE)), "Rental Return", IF(COUNTIF(MAIN!B:B, A741)=0, "Missing", ""))</f>
        <v>Missing</v>
      </c>
      <c r="C741" s="133" t="s">
        <v>15251</v>
      </c>
      <c r="E741" s="131" t="str">
        <f t="shared" si="1"/>
        <v>https://utrucking.myshopify.com/admin/orders?query=14590</v>
      </c>
    </row>
    <row r="742">
      <c r="A742" s="93" t="str">
        <f t="shared" si="2"/>
        <v>#14591</v>
      </c>
      <c r="B742" s="93" t="str">
        <f>IF(AND(COUNTIF(MAIN!B:B, A742)=0, IFERROR(SEARCH("return", C742)&gt;0, FALSE)), "Rental Return", IF(COUNTIF(MAIN!B:B, A742)=0, "Missing", ""))</f>
        <v>Missing</v>
      </c>
      <c r="C742" s="133" t="s">
        <v>15246</v>
      </c>
      <c r="E742" s="131" t="str">
        <f t="shared" si="1"/>
        <v>https://utrucking.myshopify.com/admin/orders?query=14591</v>
      </c>
    </row>
    <row r="743">
      <c r="A743" s="93" t="str">
        <f t="shared" si="2"/>
        <v>#14592</v>
      </c>
      <c r="B743" s="93" t="str">
        <f>IF(AND(COUNTIF(MAIN!B:B, A743)=0, IFERROR(SEARCH("return", C743)&gt;0, FALSE)), "Rental Return", IF(COUNTIF(MAIN!B:B, A743)=0, "Missing", ""))</f>
        <v>Missing</v>
      </c>
      <c r="C743" s="133" t="s">
        <v>15246</v>
      </c>
      <c r="E743" s="131" t="str">
        <f t="shared" si="1"/>
        <v>https://utrucking.myshopify.com/admin/orders?query=14592</v>
      </c>
    </row>
    <row r="744">
      <c r="A744" s="93" t="str">
        <f t="shared" si="2"/>
        <v>#14593</v>
      </c>
      <c r="B744" s="93" t="str">
        <f>IF(AND(COUNTIF(MAIN!B:B, A744)=0, IFERROR(SEARCH("return", C744)&gt;0, FALSE)), "Rental Return", IF(COUNTIF(MAIN!B:B, A744)=0, "Missing", ""))</f>
        <v/>
      </c>
      <c r="C744" s="128"/>
      <c r="E744" s="128" t="str">
        <f t="shared" si="1"/>
        <v/>
      </c>
    </row>
    <row r="745">
      <c r="A745" s="93" t="str">
        <f t="shared" si="2"/>
        <v>#14594</v>
      </c>
      <c r="B745" s="93" t="str">
        <f>IF(AND(COUNTIF(MAIN!B:B, A745)=0, IFERROR(SEARCH("return", C745)&gt;0, FALSE)), "Rental Return", IF(COUNTIF(MAIN!B:B, A745)=0, "Missing", ""))</f>
        <v>Missing</v>
      </c>
      <c r="C745" s="133" t="s">
        <v>15246</v>
      </c>
      <c r="E745" s="131" t="str">
        <f t="shared" si="1"/>
        <v>https://utrucking.myshopify.com/admin/orders?query=14594</v>
      </c>
    </row>
    <row r="746">
      <c r="A746" s="93" t="str">
        <f t="shared" si="2"/>
        <v>#14595</v>
      </c>
      <c r="B746" s="93" t="str">
        <f>IF(AND(COUNTIF(MAIN!B:B, A746)=0, IFERROR(SEARCH("return", C746)&gt;0, FALSE)), "Rental Return", IF(COUNTIF(MAIN!B:B, A746)=0, "Missing", ""))</f>
        <v>Missing</v>
      </c>
      <c r="C746" s="133" t="s">
        <v>15246</v>
      </c>
      <c r="E746" s="131" t="str">
        <f t="shared" si="1"/>
        <v>https://utrucking.myshopify.com/admin/orders?query=14595</v>
      </c>
    </row>
    <row r="747">
      <c r="A747" s="93" t="str">
        <f t="shared" si="2"/>
        <v>#14596</v>
      </c>
      <c r="B747" s="93" t="str">
        <f>IF(AND(COUNTIF(MAIN!B:B, A747)=0, IFERROR(SEARCH("return", C747)&gt;0, FALSE)), "Rental Return", IF(COUNTIF(MAIN!B:B, A747)=0, "Missing", ""))</f>
        <v>Missing</v>
      </c>
      <c r="C747" s="133" t="s">
        <v>15246</v>
      </c>
      <c r="E747" s="131" t="str">
        <f t="shared" si="1"/>
        <v>https://utrucking.myshopify.com/admin/orders?query=14596</v>
      </c>
    </row>
    <row r="748">
      <c r="A748" s="93" t="str">
        <f t="shared" si="2"/>
        <v>#14597</v>
      </c>
      <c r="B748" s="93" t="str">
        <f>IF(AND(COUNTIF(MAIN!B:B, A748)=0, IFERROR(SEARCH("return", C748)&gt;0, FALSE)), "Rental Return", IF(COUNTIF(MAIN!B:B, A748)=0, "Missing", ""))</f>
        <v>Missing</v>
      </c>
      <c r="C748" s="133" t="s">
        <v>15251</v>
      </c>
      <c r="E748" s="131" t="str">
        <f t="shared" si="1"/>
        <v>https://utrucking.myshopify.com/admin/orders?query=14597</v>
      </c>
    </row>
    <row r="749">
      <c r="A749" s="93" t="str">
        <f t="shared" si="2"/>
        <v>#14598</v>
      </c>
      <c r="B749" s="93" t="str">
        <f>IF(AND(COUNTIF(MAIN!B:B, A749)=0, IFERROR(SEARCH("return", C749)&gt;0, FALSE)), "Rental Return", IF(COUNTIF(MAIN!B:B, A749)=0, "Missing", ""))</f>
        <v>Missing</v>
      </c>
      <c r="C749" s="133" t="s">
        <v>15246</v>
      </c>
      <c r="E749" s="131" t="str">
        <f t="shared" si="1"/>
        <v>https://utrucking.myshopify.com/admin/orders?query=14598</v>
      </c>
    </row>
    <row r="750">
      <c r="A750" s="93" t="str">
        <f t="shared" si="2"/>
        <v>#14599</v>
      </c>
      <c r="B750" s="93" t="str">
        <f>IF(AND(COUNTIF(MAIN!B:B, A750)=0, IFERROR(SEARCH("return", C750)&gt;0, FALSE)), "Rental Return", IF(COUNTIF(MAIN!B:B, A750)=0, "Missing", ""))</f>
        <v>Missing</v>
      </c>
      <c r="C750" s="133" t="s">
        <v>15246</v>
      </c>
      <c r="E750" s="131" t="str">
        <f t="shared" si="1"/>
        <v>https://utrucking.myshopify.com/admin/orders?query=14599</v>
      </c>
    </row>
    <row r="751">
      <c r="A751" s="93" t="str">
        <f t="shared" si="2"/>
        <v>#14600</v>
      </c>
      <c r="B751" s="93" t="str">
        <f>IF(AND(COUNTIF(MAIN!B:B, A751)=0, IFERROR(SEARCH("return", C751)&gt;0, FALSE)), "Rental Return", IF(COUNTIF(MAIN!B:B, A751)=0, "Missing", ""))</f>
        <v>Missing</v>
      </c>
      <c r="C751" s="133" t="s">
        <v>15246</v>
      </c>
      <c r="E751" s="131" t="str">
        <f t="shared" si="1"/>
        <v>https://utrucking.myshopify.com/admin/orders?query=14600</v>
      </c>
    </row>
    <row r="752">
      <c r="A752" s="93" t="str">
        <f t="shared" si="2"/>
        <v>#14601</v>
      </c>
      <c r="B752" s="93" t="str">
        <f>IF(AND(COUNTIF(MAIN!B:B, A752)=0, IFERROR(SEARCH("return", C752)&gt;0, FALSE)), "Rental Return", IF(COUNTIF(MAIN!B:B, A752)=0, "Missing", ""))</f>
        <v>Rental Return</v>
      </c>
      <c r="C752" s="133" t="s">
        <v>1111</v>
      </c>
      <c r="E752" s="128" t="str">
        <f t="shared" si="1"/>
        <v/>
      </c>
    </row>
    <row r="753">
      <c r="A753" s="93" t="str">
        <f t="shared" si="2"/>
        <v>#14602</v>
      </c>
      <c r="B753" s="93" t="str">
        <f>IF(AND(COUNTIF(MAIN!B:B, A753)=0, IFERROR(SEARCH("return", C753)&gt;0, FALSE)), "Rental Return", IF(COUNTIF(MAIN!B:B, A753)=0, "Missing", ""))</f>
        <v>Missing</v>
      </c>
      <c r="C753" s="133" t="s">
        <v>15249</v>
      </c>
      <c r="E753" s="131" t="str">
        <f t="shared" si="1"/>
        <v>https://utrucking.myshopify.com/admin/orders?query=14602</v>
      </c>
    </row>
    <row r="754">
      <c r="A754" s="93" t="str">
        <f t="shared" si="2"/>
        <v>#14603</v>
      </c>
      <c r="B754" s="93" t="str">
        <f>IF(AND(COUNTIF(MAIN!B:B, A754)=0, IFERROR(SEARCH("return", C754)&gt;0, FALSE)), "Rental Return", IF(COUNTIF(MAIN!B:B, A754)=0, "Missing", ""))</f>
        <v>Rental Return</v>
      </c>
      <c r="C754" s="133" t="s">
        <v>15258</v>
      </c>
      <c r="E754" s="128" t="str">
        <f t="shared" si="1"/>
        <v/>
      </c>
    </row>
    <row r="755">
      <c r="A755" s="93" t="str">
        <f t="shared" si="2"/>
        <v>#14604</v>
      </c>
      <c r="B755" s="93" t="str">
        <f>IF(AND(COUNTIF(MAIN!B:B, A755)=0, IFERROR(SEARCH("return", C755)&gt;0, FALSE)), "Rental Return", IF(COUNTIF(MAIN!B:B, A755)=0, "Missing", ""))</f>
        <v>Missing</v>
      </c>
      <c r="C755" s="133" t="s">
        <v>15246</v>
      </c>
      <c r="E755" s="131" t="str">
        <f t="shared" si="1"/>
        <v>https://utrucking.myshopify.com/admin/orders?query=14604</v>
      </c>
    </row>
    <row r="756">
      <c r="A756" s="93" t="str">
        <f t="shared" si="2"/>
        <v>#14605</v>
      </c>
      <c r="B756" s="93" t="str">
        <f>IF(AND(COUNTIF(MAIN!B:B, A756)=0, IFERROR(SEARCH("return", C756)&gt;0, FALSE)), "Rental Return", IF(COUNTIF(MAIN!B:B, A756)=0, "Missing", ""))</f>
        <v>Missing</v>
      </c>
      <c r="C756" s="133" t="s">
        <v>15266</v>
      </c>
      <c r="E756" s="131" t="str">
        <f t="shared" si="1"/>
        <v>https://utrucking.myshopify.com/admin/orders?query=14605</v>
      </c>
    </row>
    <row r="757">
      <c r="A757" s="93" t="str">
        <f t="shared" si="2"/>
        <v>#14606</v>
      </c>
      <c r="B757" s="93" t="str">
        <f>IF(AND(COUNTIF(MAIN!B:B, A757)=0, IFERROR(SEARCH("return", C757)&gt;0, FALSE)), "Rental Return", IF(COUNTIF(MAIN!B:B, A757)=0, "Missing", ""))</f>
        <v>Missing</v>
      </c>
      <c r="C757" s="133" t="s">
        <v>15253</v>
      </c>
      <c r="E757" s="131" t="str">
        <f t="shared" si="1"/>
        <v>https://utrucking.myshopify.com/admin/orders?query=14606</v>
      </c>
    </row>
    <row r="758">
      <c r="A758" s="93" t="str">
        <f t="shared" si="2"/>
        <v>#14607</v>
      </c>
      <c r="B758" s="93" t="str">
        <f>IF(AND(COUNTIF(MAIN!B:B, A758)=0, IFERROR(SEARCH("return", C758)&gt;0, FALSE)), "Rental Return", IF(COUNTIF(MAIN!B:B, A758)=0, "Missing", ""))</f>
        <v>Missing</v>
      </c>
      <c r="C758" s="133" t="s">
        <v>15246</v>
      </c>
      <c r="E758" s="131" t="str">
        <f t="shared" si="1"/>
        <v>https://utrucking.myshopify.com/admin/orders?query=14607</v>
      </c>
    </row>
    <row r="759">
      <c r="A759" s="93" t="str">
        <f t="shared" si="2"/>
        <v>#14608</v>
      </c>
      <c r="B759" s="93" t="str">
        <f>IF(AND(COUNTIF(MAIN!B:B, A759)=0, IFERROR(SEARCH("return", C759)&gt;0, FALSE)), "Rental Return", IF(COUNTIF(MAIN!B:B, A759)=0, "Missing", ""))</f>
        <v>Missing</v>
      </c>
      <c r="C759" s="133" t="s">
        <v>15246</v>
      </c>
      <c r="E759" s="131" t="str">
        <f t="shared" si="1"/>
        <v>https://utrucking.myshopify.com/admin/orders?query=14608</v>
      </c>
    </row>
    <row r="760">
      <c r="A760" s="93" t="str">
        <f t="shared" si="2"/>
        <v>#14609</v>
      </c>
      <c r="B760" s="93" t="str">
        <f>IF(AND(COUNTIF(MAIN!B:B, A760)=0, IFERROR(SEARCH("return", C760)&gt;0, FALSE)), "Rental Return", IF(COUNTIF(MAIN!B:B, A760)=0, "Missing", ""))</f>
        <v>Missing</v>
      </c>
      <c r="C760" s="133" t="s">
        <v>15246</v>
      </c>
      <c r="E760" s="131" t="str">
        <f t="shared" si="1"/>
        <v>https://utrucking.myshopify.com/admin/orders?query=14609</v>
      </c>
    </row>
    <row r="761">
      <c r="A761" s="93" t="str">
        <f t="shared" si="2"/>
        <v>#14610</v>
      </c>
      <c r="B761" s="93" t="str">
        <f>IF(AND(COUNTIF(MAIN!B:B, A761)=0, IFERROR(SEARCH("return", C761)&gt;0, FALSE)), "Rental Return", IF(COUNTIF(MAIN!B:B, A761)=0, "Missing", ""))</f>
        <v>Rental Return</v>
      </c>
      <c r="C761" s="133" t="s">
        <v>15258</v>
      </c>
      <c r="E761" s="128" t="str">
        <f t="shared" si="1"/>
        <v/>
      </c>
    </row>
    <row r="762">
      <c r="A762" s="93" t="str">
        <f t="shared" si="2"/>
        <v>#14611</v>
      </c>
      <c r="B762" s="93" t="str">
        <f>IF(AND(COUNTIF(MAIN!B:B, A762)=0, IFERROR(SEARCH("return", C762)&gt;0, FALSE)), "Rental Return", IF(COUNTIF(MAIN!B:B, A762)=0, "Missing", ""))</f>
        <v>Missing</v>
      </c>
      <c r="C762" s="133" t="s">
        <v>15246</v>
      </c>
      <c r="E762" s="131" t="str">
        <f t="shared" si="1"/>
        <v>https://utrucking.myshopify.com/admin/orders?query=14611</v>
      </c>
    </row>
    <row r="763">
      <c r="A763" s="93" t="str">
        <f t="shared" si="2"/>
        <v>#14612</v>
      </c>
      <c r="B763" s="93" t="str">
        <f>IF(AND(COUNTIF(MAIN!B:B, A763)=0, IFERROR(SEARCH("return", C763)&gt;0, FALSE)), "Rental Return", IF(COUNTIF(MAIN!B:B, A763)=0, "Missing", ""))</f>
        <v>Missing</v>
      </c>
      <c r="C763" s="133" t="s">
        <v>15246</v>
      </c>
      <c r="E763" s="131" t="str">
        <f t="shared" si="1"/>
        <v>https://utrucking.myshopify.com/admin/orders?query=14612</v>
      </c>
    </row>
    <row r="764">
      <c r="A764" s="93" t="str">
        <f t="shared" si="2"/>
        <v>#14613</v>
      </c>
      <c r="B764" s="93" t="str">
        <f>IF(AND(COUNTIF(MAIN!B:B, A764)=0, IFERROR(SEARCH("return", C764)&gt;0, FALSE)), "Rental Return", IF(COUNTIF(MAIN!B:B, A764)=0, "Missing", ""))</f>
        <v>Missing</v>
      </c>
      <c r="C764" s="133" t="s">
        <v>15246</v>
      </c>
      <c r="E764" s="131" t="str">
        <f t="shared" si="1"/>
        <v>https://utrucking.myshopify.com/admin/orders?query=14613</v>
      </c>
    </row>
    <row r="765">
      <c r="A765" s="93" t="str">
        <f t="shared" si="2"/>
        <v>#14614</v>
      </c>
      <c r="B765" s="93" t="str">
        <f>IF(AND(COUNTIF(MAIN!B:B, A765)=0, IFERROR(SEARCH("return", C765)&gt;0, FALSE)), "Rental Return", IF(COUNTIF(MAIN!B:B, A765)=0, "Missing", ""))</f>
        <v>Missing</v>
      </c>
      <c r="C765" s="133" t="s">
        <v>15246</v>
      </c>
      <c r="E765" s="131" t="str">
        <f t="shared" si="1"/>
        <v>https://utrucking.myshopify.com/admin/orders?query=14614</v>
      </c>
    </row>
    <row r="766">
      <c r="A766" s="93" t="str">
        <f t="shared" si="2"/>
        <v>#14615</v>
      </c>
      <c r="B766" s="93" t="str">
        <f>IF(AND(COUNTIF(MAIN!B:B, A766)=0, IFERROR(SEARCH("return", C766)&gt;0, FALSE)), "Rental Return", IF(COUNTIF(MAIN!B:B, A766)=0, "Missing", ""))</f>
        <v>Rental Return</v>
      </c>
      <c r="C766" s="133" t="s">
        <v>15258</v>
      </c>
      <c r="E766" s="128" t="str">
        <f t="shared" si="1"/>
        <v/>
      </c>
    </row>
    <row r="767">
      <c r="A767" s="93" t="str">
        <f t="shared" si="2"/>
        <v>#14616</v>
      </c>
      <c r="B767" s="93" t="str">
        <f>IF(AND(COUNTIF(MAIN!B:B, A767)=0, IFERROR(SEARCH("return", C767)&gt;0, FALSE)), "Rental Return", IF(COUNTIF(MAIN!B:B, A767)=0, "Missing", ""))</f>
        <v>Missing</v>
      </c>
      <c r="C767" s="133" t="s">
        <v>15251</v>
      </c>
      <c r="E767" s="131" t="str">
        <f t="shared" si="1"/>
        <v>https://utrucking.myshopify.com/admin/orders?query=14616</v>
      </c>
    </row>
    <row r="768">
      <c r="A768" s="93" t="str">
        <f t="shared" si="2"/>
        <v>#14617</v>
      </c>
      <c r="B768" s="93" t="str">
        <f>IF(AND(COUNTIF(MAIN!B:B, A768)=0, IFERROR(SEARCH("return", C768)&gt;0, FALSE)), "Rental Return", IF(COUNTIF(MAIN!B:B, A768)=0, "Missing", ""))</f>
        <v>Missing</v>
      </c>
      <c r="C768" s="133" t="s">
        <v>15249</v>
      </c>
      <c r="E768" s="131" t="str">
        <f t="shared" si="1"/>
        <v>https://utrucking.myshopify.com/admin/orders?query=14617</v>
      </c>
    </row>
    <row r="769">
      <c r="A769" s="93" t="str">
        <f t="shared" si="2"/>
        <v>#14618</v>
      </c>
      <c r="B769" s="93" t="str">
        <f>IF(AND(COUNTIF(MAIN!B:B, A769)=0, IFERROR(SEARCH("return", C769)&gt;0, FALSE)), "Rental Return", IF(COUNTIF(MAIN!B:B, A769)=0, "Missing", ""))</f>
        <v>Rental Return</v>
      </c>
      <c r="C769" s="133" t="s">
        <v>15257</v>
      </c>
      <c r="E769" s="128" t="str">
        <f t="shared" si="1"/>
        <v/>
      </c>
    </row>
    <row r="770">
      <c r="A770" s="93" t="str">
        <f t="shared" si="2"/>
        <v>#14619</v>
      </c>
      <c r="B770" s="93" t="str">
        <f>IF(AND(COUNTIF(MAIN!B:B, A770)=0, IFERROR(SEARCH("return", C770)&gt;0, FALSE)), "Rental Return", IF(COUNTIF(MAIN!B:B, A770)=0, "Missing", ""))</f>
        <v>Missing</v>
      </c>
      <c r="C770" s="133" t="s">
        <v>15246</v>
      </c>
      <c r="E770" s="131" t="str">
        <f t="shared" si="1"/>
        <v>https://utrucking.myshopify.com/admin/orders?query=14619</v>
      </c>
    </row>
    <row r="771">
      <c r="A771" s="93" t="str">
        <f t="shared" si="2"/>
        <v>#14620</v>
      </c>
      <c r="B771" s="93" t="str">
        <f>IF(AND(COUNTIF(MAIN!B:B, A771)=0, IFERROR(SEARCH("return", C771)&gt;0, FALSE)), "Rental Return", IF(COUNTIF(MAIN!B:B, A771)=0, "Missing", ""))</f>
        <v>Rental Return</v>
      </c>
      <c r="C771" s="133" t="s">
        <v>1111</v>
      </c>
      <c r="E771" s="128" t="str">
        <f t="shared" si="1"/>
        <v/>
      </c>
    </row>
    <row r="772">
      <c r="A772" s="93" t="str">
        <f t="shared" si="2"/>
        <v>#14621</v>
      </c>
      <c r="B772" s="93" t="str">
        <f>IF(AND(COUNTIF(MAIN!B:B, A772)=0, IFERROR(SEARCH("return", C772)&gt;0, FALSE)), "Rental Return", IF(COUNTIF(MAIN!B:B, A772)=0, "Missing", ""))</f>
        <v>Rental Return</v>
      </c>
      <c r="C772" s="133" t="s">
        <v>15258</v>
      </c>
      <c r="E772" s="128" t="str">
        <f t="shared" si="1"/>
        <v/>
      </c>
    </row>
    <row r="773">
      <c r="A773" s="93" t="str">
        <f t="shared" si="2"/>
        <v>#14622</v>
      </c>
      <c r="B773" s="93" t="str">
        <f>IF(AND(COUNTIF(MAIN!B:B, A773)=0, IFERROR(SEARCH("return", C773)&gt;0, FALSE)), "Rental Return", IF(COUNTIF(MAIN!B:B, A773)=0, "Missing", ""))</f>
        <v>Rental Return</v>
      </c>
      <c r="C773" s="133" t="s">
        <v>1111</v>
      </c>
      <c r="E773" s="128" t="str">
        <f t="shared" si="1"/>
        <v/>
      </c>
    </row>
    <row r="774">
      <c r="A774" s="93" t="str">
        <f t="shared" si="2"/>
        <v>#14623</v>
      </c>
      <c r="B774" s="93" t="str">
        <f>IF(AND(COUNTIF(MAIN!B:B, A774)=0, IFERROR(SEARCH("return", C774)&gt;0, FALSE)), "Rental Return", IF(COUNTIF(MAIN!B:B, A774)=0, "Missing", ""))</f>
        <v>Missing</v>
      </c>
      <c r="C774" s="133" t="s">
        <v>15251</v>
      </c>
      <c r="E774" s="131" t="str">
        <f t="shared" si="1"/>
        <v>https://utrucking.myshopify.com/admin/orders?query=14623</v>
      </c>
    </row>
    <row r="775">
      <c r="A775" s="93" t="str">
        <f t="shared" si="2"/>
        <v>#14624</v>
      </c>
      <c r="B775" s="93" t="str">
        <f>IF(AND(COUNTIF(MAIN!B:B, A775)=0, IFERROR(SEARCH("return", C775)&gt;0, FALSE)), "Rental Return", IF(COUNTIF(MAIN!B:B, A775)=0, "Missing", ""))</f>
        <v>Missing</v>
      </c>
      <c r="C775" s="133" t="s">
        <v>15246</v>
      </c>
      <c r="E775" s="131" t="str">
        <f t="shared" si="1"/>
        <v>https://utrucking.myshopify.com/admin/orders?query=14624</v>
      </c>
    </row>
    <row r="776">
      <c r="A776" s="93" t="str">
        <f t="shared" si="2"/>
        <v>#14625</v>
      </c>
      <c r="B776" s="93" t="str">
        <f>IF(AND(COUNTIF(MAIN!B:B, A776)=0, IFERROR(SEARCH("return", C776)&gt;0, FALSE)), "Rental Return", IF(COUNTIF(MAIN!B:B, A776)=0, "Missing", ""))</f>
        <v>Missing</v>
      </c>
      <c r="C776" s="133" t="s">
        <v>15246</v>
      </c>
      <c r="E776" s="131" t="str">
        <f t="shared" si="1"/>
        <v>https://utrucking.myshopify.com/admin/orders?query=14625</v>
      </c>
    </row>
    <row r="777">
      <c r="A777" s="93" t="str">
        <f t="shared" si="2"/>
        <v>#14626</v>
      </c>
      <c r="B777" s="93" t="str">
        <f>IF(AND(COUNTIF(MAIN!B:B, A777)=0, IFERROR(SEARCH("return", C777)&gt;0, FALSE)), "Rental Return", IF(COUNTIF(MAIN!B:B, A777)=0, "Missing", ""))</f>
        <v>Missing</v>
      </c>
      <c r="C777" s="133" t="s">
        <v>15246</v>
      </c>
      <c r="E777" s="131" t="str">
        <f t="shared" si="1"/>
        <v>https://utrucking.myshopify.com/admin/orders?query=14626</v>
      </c>
    </row>
    <row r="778">
      <c r="A778" s="93" t="str">
        <f t="shared" si="2"/>
        <v>#14627</v>
      </c>
      <c r="B778" s="93" t="str">
        <f>IF(AND(COUNTIF(MAIN!B:B, A778)=0, IFERROR(SEARCH("return", C778)&gt;0, FALSE)), "Rental Return", IF(COUNTIF(MAIN!B:B, A778)=0, "Missing", ""))</f>
        <v>Rental Return</v>
      </c>
      <c r="C778" s="133" t="s">
        <v>15257</v>
      </c>
      <c r="E778" s="128" t="str">
        <f t="shared" si="1"/>
        <v/>
      </c>
    </row>
    <row r="779">
      <c r="A779" s="93" t="str">
        <f t="shared" si="2"/>
        <v>#14628</v>
      </c>
      <c r="B779" s="93" t="str">
        <f>IF(AND(COUNTIF(MAIN!B:B, A779)=0, IFERROR(SEARCH("return", C779)&gt;0, FALSE)), "Rental Return", IF(COUNTIF(MAIN!B:B, A779)=0, "Missing", ""))</f>
        <v>Missing</v>
      </c>
      <c r="C779" s="133" t="s">
        <v>15249</v>
      </c>
      <c r="E779" s="131" t="str">
        <f t="shared" si="1"/>
        <v>https://utrucking.myshopify.com/admin/orders?query=14628</v>
      </c>
    </row>
    <row r="780">
      <c r="A780" s="93" t="str">
        <f t="shared" si="2"/>
        <v>#14629</v>
      </c>
      <c r="B780" s="93" t="str">
        <f>IF(AND(COUNTIF(MAIN!B:B, A780)=0, IFERROR(SEARCH("return", C780)&gt;0, FALSE)), "Rental Return", IF(COUNTIF(MAIN!B:B, A780)=0, "Missing", ""))</f>
        <v>Missing</v>
      </c>
      <c r="C780" s="133" t="s">
        <v>15246</v>
      </c>
      <c r="E780" s="131" t="str">
        <f t="shared" si="1"/>
        <v>https://utrucking.myshopify.com/admin/orders?query=14629</v>
      </c>
    </row>
    <row r="781">
      <c r="A781" s="93" t="str">
        <f t="shared" si="2"/>
        <v>#14630</v>
      </c>
      <c r="B781" s="93" t="str">
        <f>IF(AND(COUNTIF(MAIN!B:B, A781)=0, IFERROR(SEARCH("return", C781)&gt;0, FALSE)), "Rental Return", IF(COUNTIF(MAIN!B:B, A781)=0, "Missing", ""))</f>
        <v>Missing</v>
      </c>
      <c r="C781" s="133" t="s">
        <v>15249</v>
      </c>
      <c r="E781" s="131" t="str">
        <f t="shared" si="1"/>
        <v>https://utrucking.myshopify.com/admin/orders?query=14630</v>
      </c>
    </row>
    <row r="782">
      <c r="A782" s="93" t="str">
        <f t="shared" si="2"/>
        <v>#14631</v>
      </c>
      <c r="B782" s="93" t="str">
        <f>IF(AND(COUNTIF(MAIN!B:B, A782)=0, IFERROR(SEARCH("return", C782)&gt;0, FALSE)), "Rental Return", IF(COUNTIF(MAIN!B:B, A782)=0, "Missing", ""))</f>
        <v>Missing</v>
      </c>
      <c r="C782" s="133" t="s">
        <v>15246</v>
      </c>
      <c r="E782" s="131" t="str">
        <f t="shared" si="1"/>
        <v>https://utrucking.myshopify.com/admin/orders?query=14631</v>
      </c>
    </row>
    <row r="783">
      <c r="A783" s="93" t="str">
        <f t="shared" si="2"/>
        <v>#14632</v>
      </c>
      <c r="B783" s="93" t="str">
        <f>IF(AND(COUNTIF(MAIN!B:B, A783)=0, IFERROR(SEARCH("return", C783)&gt;0, FALSE)), "Rental Return", IF(COUNTIF(MAIN!B:B, A783)=0, "Missing", ""))</f>
        <v>Missing</v>
      </c>
      <c r="C783" s="133" t="s">
        <v>15246</v>
      </c>
      <c r="E783" s="131" t="str">
        <f t="shared" si="1"/>
        <v>https://utrucking.myshopify.com/admin/orders?query=14632</v>
      </c>
    </row>
    <row r="784">
      <c r="A784" s="93" t="str">
        <f t="shared" si="2"/>
        <v>#14633</v>
      </c>
      <c r="B784" s="93" t="str">
        <f>IF(AND(COUNTIF(MAIN!B:B, A784)=0, IFERROR(SEARCH("return", C784)&gt;0, FALSE)), "Rental Return", IF(COUNTIF(MAIN!B:B, A784)=0, "Missing", ""))</f>
        <v>Missing</v>
      </c>
      <c r="C784" s="133" t="s">
        <v>15251</v>
      </c>
      <c r="E784" s="131" t="str">
        <f t="shared" si="1"/>
        <v>https://utrucking.myshopify.com/admin/orders?query=14633</v>
      </c>
    </row>
    <row r="785">
      <c r="A785" s="93" t="str">
        <f t="shared" si="2"/>
        <v>#14634</v>
      </c>
      <c r="B785" s="93" t="str">
        <f>IF(AND(COUNTIF(MAIN!B:B, A785)=0, IFERROR(SEARCH("return", C785)&gt;0, FALSE)), "Rental Return", IF(COUNTIF(MAIN!B:B, A785)=0, "Missing", ""))</f>
        <v>Missing</v>
      </c>
      <c r="C785" s="133" t="s">
        <v>15262</v>
      </c>
      <c r="E785" s="131" t="str">
        <f t="shared" si="1"/>
        <v>https://utrucking.myshopify.com/admin/orders?query=14634</v>
      </c>
    </row>
    <row r="786">
      <c r="A786" s="93" t="str">
        <f t="shared" si="2"/>
        <v>#14635</v>
      </c>
      <c r="B786" s="93" t="str">
        <f>IF(AND(COUNTIF(MAIN!B:B, A786)=0, IFERROR(SEARCH("return", C786)&gt;0, FALSE)), "Rental Return", IF(COUNTIF(MAIN!B:B, A786)=0, "Missing", ""))</f>
        <v>Missing</v>
      </c>
      <c r="C786" s="133" t="s">
        <v>15246</v>
      </c>
      <c r="E786" s="131" t="str">
        <f t="shared" si="1"/>
        <v>https://utrucking.myshopify.com/admin/orders?query=14635</v>
      </c>
    </row>
    <row r="787">
      <c r="A787" s="93" t="str">
        <f t="shared" si="2"/>
        <v>#14636</v>
      </c>
      <c r="B787" s="93" t="str">
        <f>IF(AND(COUNTIF(MAIN!B:B, A787)=0, IFERROR(SEARCH("return", C787)&gt;0, FALSE)), "Rental Return", IF(COUNTIF(MAIN!B:B, A787)=0, "Missing", ""))</f>
        <v>Missing</v>
      </c>
      <c r="C787" s="133" t="s">
        <v>15249</v>
      </c>
      <c r="E787" s="131" t="str">
        <f t="shared" si="1"/>
        <v>https://utrucking.myshopify.com/admin/orders?query=14636</v>
      </c>
    </row>
    <row r="788">
      <c r="A788" s="93" t="str">
        <f t="shared" si="2"/>
        <v>#14637</v>
      </c>
      <c r="B788" s="93" t="str">
        <f>IF(AND(COUNTIF(MAIN!B:B, A788)=0, IFERROR(SEARCH("return", C788)&gt;0, FALSE)), "Rental Return", IF(COUNTIF(MAIN!B:B, A788)=0, "Missing", ""))</f>
        <v>Missing</v>
      </c>
      <c r="C788" s="133" t="s">
        <v>15246</v>
      </c>
      <c r="E788" s="131" t="str">
        <f t="shared" si="1"/>
        <v>https://utrucking.myshopify.com/admin/orders?query=14637</v>
      </c>
    </row>
    <row r="789">
      <c r="A789" s="93" t="str">
        <f t="shared" si="2"/>
        <v>#14638</v>
      </c>
      <c r="B789" s="93" t="str">
        <f>IF(AND(COUNTIF(MAIN!B:B, A789)=0, IFERROR(SEARCH("return", C789)&gt;0, FALSE)), "Rental Return", IF(COUNTIF(MAIN!B:B, A789)=0, "Missing", ""))</f>
        <v>Missing</v>
      </c>
      <c r="C789" s="133" t="s">
        <v>15246</v>
      </c>
      <c r="E789" s="131" t="str">
        <f t="shared" si="1"/>
        <v>https://utrucking.myshopify.com/admin/orders?query=14638</v>
      </c>
    </row>
    <row r="790">
      <c r="A790" s="93" t="str">
        <f t="shared" si="2"/>
        <v>#14639</v>
      </c>
      <c r="B790" s="93" t="str">
        <f>IF(AND(COUNTIF(MAIN!B:B, A790)=0, IFERROR(SEARCH("return", C790)&gt;0, FALSE)), "Rental Return", IF(COUNTIF(MAIN!B:B, A790)=0, "Missing", ""))</f>
        <v>Missing</v>
      </c>
      <c r="C790" s="133" t="s">
        <v>15246</v>
      </c>
      <c r="E790" s="131" t="str">
        <f t="shared" si="1"/>
        <v>https://utrucking.myshopify.com/admin/orders?query=14639</v>
      </c>
    </row>
    <row r="791">
      <c r="A791" s="93" t="str">
        <f t="shared" si="2"/>
        <v>#14640</v>
      </c>
      <c r="B791" s="93" t="str">
        <f>IF(AND(COUNTIF(MAIN!B:B, A791)=0, IFERROR(SEARCH("return", C791)&gt;0, FALSE)), "Rental Return", IF(COUNTIF(MAIN!B:B, A791)=0, "Missing", ""))</f>
        <v>Missing</v>
      </c>
      <c r="C791" s="133" t="s">
        <v>15245</v>
      </c>
      <c r="E791" s="131" t="str">
        <f t="shared" si="1"/>
        <v>https://utrucking.myshopify.com/admin/orders?query=14640</v>
      </c>
    </row>
    <row r="792">
      <c r="A792" s="93" t="str">
        <f t="shared" si="2"/>
        <v>#14641</v>
      </c>
      <c r="B792" s="93" t="str">
        <f>IF(AND(COUNTIF(MAIN!B:B, A792)=0, IFERROR(SEARCH("return", C792)&gt;0, FALSE)), "Rental Return", IF(COUNTIF(MAIN!B:B, A792)=0, "Missing", ""))</f>
        <v>Missing</v>
      </c>
      <c r="C792" s="133" t="s">
        <v>15248</v>
      </c>
      <c r="E792" s="131" t="str">
        <f t="shared" si="1"/>
        <v>https://utrucking.myshopify.com/admin/orders?query=14641</v>
      </c>
    </row>
    <row r="793">
      <c r="A793" s="93" t="str">
        <f t="shared" si="2"/>
        <v>#14642</v>
      </c>
      <c r="B793" s="93" t="str">
        <f>IF(AND(COUNTIF(MAIN!B:B, A793)=0, IFERROR(SEARCH("return", C793)&gt;0, FALSE)), "Rental Return", IF(COUNTIF(MAIN!B:B, A793)=0, "Missing", ""))</f>
        <v>Missing</v>
      </c>
      <c r="C793" s="133" t="s">
        <v>15246</v>
      </c>
      <c r="E793" s="131" t="str">
        <f t="shared" si="1"/>
        <v>https://utrucking.myshopify.com/admin/orders?query=14642</v>
      </c>
    </row>
    <row r="794">
      <c r="A794" s="93" t="str">
        <f t="shared" si="2"/>
        <v>#14643</v>
      </c>
      <c r="B794" s="93" t="str">
        <f>IF(AND(COUNTIF(MAIN!B:B, A794)=0, IFERROR(SEARCH("return", C794)&gt;0, FALSE)), "Rental Return", IF(COUNTIF(MAIN!B:B, A794)=0, "Missing", ""))</f>
        <v>Missing</v>
      </c>
      <c r="C794" s="133" t="s">
        <v>15246</v>
      </c>
      <c r="E794" s="131" t="str">
        <f t="shared" si="1"/>
        <v>https://utrucking.myshopify.com/admin/orders?query=14643</v>
      </c>
    </row>
    <row r="795">
      <c r="A795" s="93" t="str">
        <f t="shared" si="2"/>
        <v>#14644</v>
      </c>
      <c r="B795" s="93" t="str">
        <f>IF(AND(COUNTIF(MAIN!B:B, A795)=0, IFERROR(SEARCH("return", C795)&gt;0, FALSE)), "Rental Return", IF(COUNTIF(MAIN!B:B, A795)=0, "Missing", ""))</f>
        <v>Rental Return</v>
      </c>
      <c r="C795" s="133" t="s">
        <v>15258</v>
      </c>
      <c r="E795" s="128" t="str">
        <f t="shared" si="1"/>
        <v/>
      </c>
    </row>
    <row r="796">
      <c r="A796" s="93" t="str">
        <f t="shared" si="2"/>
        <v>#14645</v>
      </c>
      <c r="B796" s="93" t="str">
        <f>IF(AND(COUNTIF(MAIN!B:B, A796)=0, IFERROR(SEARCH("return", C796)&gt;0, FALSE)), "Rental Return", IF(COUNTIF(MAIN!B:B, A796)=0, "Missing", ""))</f>
        <v>Missing</v>
      </c>
      <c r="C796" s="133" t="s">
        <v>15249</v>
      </c>
      <c r="E796" s="131" t="str">
        <f t="shared" si="1"/>
        <v>https://utrucking.myshopify.com/admin/orders?query=14645</v>
      </c>
    </row>
    <row r="797">
      <c r="A797" s="93" t="str">
        <f t="shared" si="2"/>
        <v>#14646</v>
      </c>
      <c r="B797" s="93" t="str">
        <f>IF(AND(COUNTIF(MAIN!B:B, A797)=0, IFERROR(SEARCH("return", C797)&gt;0, FALSE)), "Rental Return", IF(COUNTIF(MAIN!B:B, A797)=0, "Missing", ""))</f>
        <v>Rental Return</v>
      </c>
      <c r="C797" s="133" t="s">
        <v>15258</v>
      </c>
      <c r="E797" s="128" t="str">
        <f t="shared" si="1"/>
        <v/>
      </c>
    </row>
    <row r="798">
      <c r="A798" s="93" t="str">
        <f t="shared" si="2"/>
        <v>#14647</v>
      </c>
      <c r="B798" s="93" t="str">
        <f>IF(AND(COUNTIF(MAIN!B:B, A798)=0, IFERROR(SEARCH("return", C798)&gt;0, FALSE)), "Rental Return", IF(COUNTIF(MAIN!B:B, A798)=0, "Missing", ""))</f>
        <v>Missing</v>
      </c>
      <c r="C798" s="133" t="s">
        <v>15246</v>
      </c>
      <c r="E798" s="131" t="str">
        <f t="shared" si="1"/>
        <v>https://utrucking.myshopify.com/admin/orders?query=14647</v>
      </c>
    </row>
    <row r="799">
      <c r="A799" s="93" t="str">
        <f t="shared" si="2"/>
        <v>#14648</v>
      </c>
      <c r="B799" s="93" t="str">
        <f>IF(AND(COUNTIF(MAIN!B:B, A799)=0, IFERROR(SEARCH("return", C799)&gt;0, FALSE)), "Rental Return", IF(COUNTIF(MAIN!B:B, A799)=0, "Missing", ""))</f>
        <v>Missing</v>
      </c>
      <c r="C799" s="133" t="s">
        <v>15251</v>
      </c>
      <c r="E799" s="131" t="str">
        <f t="shared" si="1"/>
        <v>https://utrucking.myshopify.com/admin/orders?query=14648</v>
      </c>
    </row>
    <row r="800">
      <c r="A800" s="93" t="str">
        <f t="shared" si="2"/>
        <v>#14649</v>
      </c>
      <c r="B800" s="93" t="str">
        <f>IF(AND(COUNTIF(MAIN!B:B, A800)=0, IFERROR(SEARCH("return", C800)&gt;0, FALSE)), "Rental Return", IF(COUNTIF(MAIN!B:B, A800)=0, "Missing", ""))</f>
        <v>Missing</v>
      </c>
      <c r="C800" s="133" t="s">
        <v>15267</v>
      </c>
      <c r="E800" s="131" t="str">
        <f t="shared" si="1"/>
        <v>https://utrucking.myshopify.com/admin/orders?query=14649</v>
      </c>
    </row>
    <row r="801">
      <c r="A801" s="93" t="str">
        <f t="shared" si="2"/>
        <v>#14650</v>
      </c>
      <c r="B801" s="93" t="str">
        <f>IF(AND(COUNTIF(MAIN!B:B, A801)=0, IFERROR(SEARCH("return", C801)&gt;0, FALSE)), "Rental Return", IF(COUNTIF(MAIN!B:B, A801)=0, "Missing", ""))</f>
        <v>Missing</v>
      </c>
      <c r="C801" s="133" t="s">
        <v>15246</v>
      </c>
      <c r="E801" s="131" t="str">
        <f t="shared" si="1"/>
        <v>https://utrucking.myshopify.com/admin/orders?query=14650</v>
      </c>
    </row>
    <row r="802">
      <c r="A802" s="93" t="str">
        <f t="shared" si="2"/>
        <v>#14651</v>
      </c>
      <c r="B802" s="93" t="str">
        <f>IF(AND(COUNTIF(MAIN!B:B, A802)=0, IFERROR(SEARCH("return", C802)&gt;0, FALSE)), "Rental Return", IF(COUNTIF(MAIN!B:B, A802)=0, "Missing", ""))</f>
        <v>Missing</v>
      </c>
      <c r="C802" s="133" t="s">
        <v>15251</v>
      </c>
      <c r="E802" s="131" t="str">
        <f t="shared" si="1"/>
        <v>https://utrucking.myshopify.com/admin/orders?query=14651</v>
      </c>
    </row>
    <row r="803">
      <c r="A803" s="93" t="str">
        <f t="shared" si="2"/>
        <v>#14652</v>
      </c>
      <c r="B803" s="93" t="str">
        <f>IF(AND(COUNTIF(MAIN!B:B, A803)=0, IFERROR(SEARCH("return", C803)&gt;0, FALSE)), "Rental Return", IF(COUNTIF(MAIN!B:B, A803)=0, "Missing", ""))</f>
        <v/>
      </c>
      <c r="C803" s="128"/>
      <c r="E803" s="128" t="str">
        <f t="shared" si="1"/>
        <v/>
      </c>
    </row>
    <row r="804">
      <c r="A804" s="93" t="str">
        <f t="shared" si="2"/>
        <v>#14653</v>
      </c>
      <c r="B804" s="93" t="str">
        <f>IF(AND(COUNTIF(MAIN!B:B, A804)=0, IFERROR(SEARCH("return", C804)&gt;0, FALSE)), "Rental Return", IF(COUNTIF(MAIN!B:B, A804)=0, "Missing", ""))</f>
        <v>Missing</v>
      </c>
      <c r="C804" s="133" t="s">
        <v>15246</v>
      </c>
      <c r="E804" s="131" t="str">
        <f t="shared" si="1"/>
        <v>https://utrucking.myshopify.com/admin/orders?query=14653</v>
      </c>
    </row>
    <row r="805">
      <c r="A805" s="93" t="str">
        <f t="shared" si="2"/>
        <v>#14654</v>
      </c>
      <c r="B805" s="93" t="str">
        <f>IF(AND(COUNTIF(MAIN!B:B, A805)=0, IFERROR(SEARCH("return", C805)&gt;0, FALSE)), "Rental Return", IF(COUNTIF(MAIN!B:B, A805)=0, "Missing", ""))</f>
        <v>Missing</v>
      </c>
      <c r="C805" s="133" t="s">
        <v>15246</v>
      </c>
      <c r="E805" s="131" t="str">
        <f t="shared" si="1"/>
        <v>https://utrucking.myshopify.com/admin/orders?query=14654</v>
      </c>
    </row>
    <row r="806">
      <c r="A806" s="93" t="str">
        <f t="shared" si="2"/>
        <v>#14655</v>
      </c>
      <c r="B806" s="93" t="str">
        <f>IF(AND(COUNTIF(MAIN!B:B, A806)=0, IFERROR(SEARCH("return", C806)&gt;0, FALSE)), "Rental Return", IF(COUNTIF(MAIN!B:B, A806)=0, "Missing", ""))</f>
        <v>Missing</v>
      </c>
      <c r="C806" s="133" t="s">
        <v>15246</v>
      </c>
      <c r="E806" s="131" t="str">
        <f t="shared" si="1"/>
        <v>https://utrucking.myshopify.com/admin/orders?query=14655</v>
      </c>
    </row>
    <row r="807">
      <c r="A807" s="93" t="str">
        <f t="shared" si="2"/>
        <v>#14656</v>
      </c>
      <c r="B807" s="93" t="str">
        <f>IF(AND(COUNTIF(MAIN!B:B, A807)=0, IFERROR(SEARCH("return", C807)&gt;0, FALSE)), "Rental Return", IF(COUNTIF(MAIN!B:B, A807)=0, "Missing", ""))</f>
        <v>Missing</v>
      </c>
      <c r="C807" s="133" t="s">
        <v>15246</v>
      </c>
      <c r="E807" s="131" t="str">
        <f t="shared" si="1"/>
        <v>https://utrucking.myshopify.com/admin/orders?query=14656</v>
      </c>
    </row>
    <row r="808">
      <c r="A808" s="93" t="str">
        <f t="shared" si="2"/>
        <v>#14657</v>
      </c>
      <c r="B808" s="93" t="str">
        <f>IF(AND(COUNTIF(MAIN!B:B, A808)=0, IFERROR(SEARCH("return", C808)&gt;0, FALSE)), "Rental Return", IF(COUNTIF(MAIN!B:B, A808)=0, "Missing", ""))</f>
        <v>Missing</v>
      </c>
      <c r="C808" s="133" t="s">
        <v>15246</v>
      </c>
      <c r="E808" s="131" t="str">
        <f t="shared" si="1"/>
        <v>https://utrucking.myshopify.com/admin/orders?query=14657</v>
      </c>
    </row>
    <row r="809">
      <c r="A809" s="93" t="str">
        <f t="shared" si="2"/>
        <v>#14658</v>
      </c>
      <c r="B809" s="93" t="str">
        <f>IF(AND(COUNTIF(MAIN!B:B, A809)=0, IFERROR(SEARCH("return", C809)&gt;0, FALSE)), "Rental Return", IF(COUNTIF(MAIN!B:B, A809)=0, "Missing", ""))</f>
        <v>Missing</v>
      </c>
      <c r="C809" s="133" t="s">
        <v>15253</v>
      </c>
      <c r="E809" s="131" t="str">
        <f t="shared" si="1"/>
        <v>https://utrucking.myshopify.com/admin/orders?query=14658</v>
      </c>
    </row>
    <row r="810">
      <c r="A810" s="93" t="str">
        <f t="shared" si="2"/>
        <v>#14659</v>
      </c>
      <c r="B810" s="93" t="str">
        <f>IF(AND(COUNTIF(MAIN!B:B, A810)=0, IFERROR(SEARCH("return", C810)&gt;0, FALSE)), "Rental Return", IF(COUNTIF(MAIN!B:B, A810)=0, "Missing", ""))</f>
        <v>Missing</v>
      </c>
      <c r="C810" s="133" t="s">
        <v>15249</v>
      </c>
      <c r="E810" s="131" t="str">
        <f t="shared" si="1"/>
        <v>https://utrucking.myshopify.com/admin/orders?query=14659</v>
      </c>
    </row>
    <row r="811">
      <c r="A811" s="93" t="str">
        <f t="shared" si="2"/>
        <v>#14660</v>
      </c>
      <c r="B811" s="93" t="str">
        <f>IF(AND(COUNTIF(MAIN!B:B, A811)=0, IFERROR(SEARCH("return", C811)&gt;0, FALSE)), "Rental Return", IF(COUNTIF(MAIN!B:B, A811)=0, "Missing", ""))</f>
        <v>Missing</v>
      </c>
      <c r="C811" s="133" t="s">
        <v>15251</v>
      </c>
      <c r="E811" s="131" t="str">
        <f t="shared" si="1"/>
        <v>https://utrucking.myshopify.com/admin/orders?query=14660</v>
      </c>
    </row>
    <row r="812">
      <c r="A812" s="93" t="str">
        <f t="shared" si="2"/>
        <v>#14661</v>
      </c>
      <c r="B812" s="93" t="str">
        <f>IF(AND(COUNTIF(MAIN!B:B, A812)=0, IFERROR(SEARCH("return", C812)&gt;0, FALSE)), "Rental Return", IF(COUNTIF(MAIN!B:B, A812)=0, "Missing", ""))</f>
        <v>Missing</v>
      </c>
      <c r="C812" s="133" t="s">
        <v>15251</v>
      </c>
      <c r="E812" s="131" t="str">
        <f t="shared" si="1"/>
        <v>https://utrucking.myshopify.com/admin/orders?query=14661</v>
      </c>
    </row>
    <row r="813">
      <c r="A813" s="93" t="str">
        <f t="shared" si="2"/>
        <v>#14662</v>
      </c>
      <c r="B813" s="93" t="str">
        <f>IF(AND(COUNTIF(MAIN!B:B, A813)=0, IFERROR(SEARCH("return", C813)&gt;0, FALSE)), "Rental Return", IF(COUNTIF(MAIN!B:B, A813)=0, "Missing", ""))</f>
        <v>Missing</v>
      </c>
      <c r="C813" s="133" t="s">
        <v>15246</v>
      </c>
      <c r="E813" s="131" t="str">
        <f t="shared" si="1"/>
        <v>https://utrucking.myshopify.com/admin/orders?query=14662</v>
      </c>
    </row>
    <row r="814">
      <c r="A814" s="93" t="str">
        <f t="shared" si="2"/>
        <v>#14663</v>
      </c>
      <c r="B814" s="93" t="str">
        <f>IF(AND(COUNTIF(MAIN!B:B, A814)=0, IFERROR(SEARCH("return", C814)&gt;0, FALSE)), "Rental Return", IF(COUNTIF(MAIN!B:B, A814)=0, "Missing", ""))</f>
        <v>Missing</v>
      </c>
      <c r="C814" s="133" t="s">
        <v>15246</v>
      </c>
      <c r="E814" s="131" t="str">
        <f t="shared" si="1"/>
        <v>https://utrucking.myshopify.com/admin/orders?query=14663</v>
      </c>
    </row>
    <row r="815">
      <c r="A815" s="93" t="str">
        <f t="shared" si="2"/>
        <v>#14664</v>
      </c>
      <c r="B815" s="93" t="str">
        <f>IF(AND(COUNTIF(MAIN!B:B, A815)=0, IFERROR(SEARCH("return", C815)&gt;0, FALSE)), "Rental Return", IF(COUNTIF(MAIN!B:B, A815)=0, "Missing", ""))</f>
        <v>Missing</v>
      </c>
      <c r="C815" s="133" t="s">
        <v>15246</v>
      </c>
      <c r="E815" s="131" t="str">
        <f t="shared" si="1"/>
        <v>https://utrucking.myshopify.com/admin/orders?query=14664</v>
      </c>
    </row>
    <row r="816">
      <c r="A816" s="93" t="str">
        <f t="shared" si="2"/>
        <v>#14665</v>
      </c>
      <c r="B816" s="93" t="str">
        <f>IF(AND(COUNTIF(MAIN!B:B, A816)=0, IFERROR(SEARCH("return", C816)&gt;0, FALSE)), "Rental Return", IF(COUNTIF(MAIN!B:B, A816)=0, "Missing", ""))</f>
        <v>Missing</v>
      </c>
      <c r="C816" s="133" t="s">
        <v>15249</v>
      </c>
      <c r="E816" s="131" t="str">
        <f t="shared" si="1"/>
        <v>https://utrucking.myshopify.com/admin/orders?query=14665</v>
      </c>
    </row>
    <row r="817">
      <c r="A817" s="93" t="str">
        <f t="shared" si="2"/>
        <v>#14666</v>
      </c>
      <c r="B817" s="93" t="str">
        <f>IF(AND(COUNTIF(MAIN!B:B, A817)=0, IFERROR(SEARCH("return", C817)&gt;0, FALSE)), "Rental Return", IF(COUNTIF(MAIN!B:B, A817)=0, "Missing", ""))</f>
        <v>Missing</v>
      </c>
      <c r="C817" s="133" t="s">
        <v>15246</v>
      </c>
      <c r="E817" s="131" t="str">
        <f t="shared" si="1"/>
        <v>https://utrucking.myshopify.com/admin/orders?query=14666</v>
      </c>
    </row>
    <row r="818">
      <c r="A818" s="93" t="str">
        <f t="shared" si="2"/>
        <v>#14667</v>
      </c>
      <c r="B818" s="93" t="str">
        <f>IF(AND(COUNTIF(MAIN!B:B, A818)=0, IFERROR(SEARCH("return", C818)&gt;0, FALSE)), "Rental Return", IF(COUNTIF(MAIN!B:B, A818)=0, "Missing", ""))</f>
        <v/>
      </c>
      <c r="C818" s="128"/>
      <c r="E818" s="128" t="str">
        <f t="shared" si="1"/>
        <v/>
      </c>
    </row>
    <row r="819">
      <c r="A819" s="93" t="str">
        <f t="shared" si="2"/>
        <v>#14668</v>
      </c>
      <c r="B819" s="93" t="str">
        <f>IF(AND(COUNTIF(MAIN!B:B, A819)=0, IFERROR(SEARCH("return", C819)&gt;0, FALSE)), "Rental Return", IF(COUNTIF(MAIN!B:B, A819)=0, "Missing", ""))</f>
        <v>Missing</v>
      </c>
      <c r="C819" s="133" t="s">
        <v>15246</v>
      </c>
      <c r="E819" s="131" t="str">
        <f t="shared" si="1"/>
        <v>https://utrucking.myshopify.com/admin/orders?query=14668</v>
      </c>
    </row>
    <row r="820">
      <c r="A820" s="93" t="str">
        <f t="shared" si="2"/>
        <v>#14669</v>
      </c>
      <c r="B820" s="93" t="str">
        <f>IF(AND(COUNTIF(MAIN!B:B, A820)=0, IFERROR(SEARCH("return", C820)&gt;0, FALSE)), "Rental Return", IF(COUNTIF(MAIN!B:B, A820)=0, "Missing", ""))</f>
        <v>Missing</v>
      </c>
      <c r="C820" s="133" t="s">
        <v>15249</v>
      </c>
      <c r="E820" s="131" t="str">
        <f t="shared" si="1"/>
        <v>https://utrucking.myshopify.com/admin/orders?query=14669</v>
      </c>
    </row>
    <row r="821">
      <c r="A821" s="93" t="str">
        <f t="shared" si="2"/>
        <v>#14670</v>
      </c>
      <c r="B821" s="93" t="str">
        <f>IF(AND(COUNTIF(MAIN!B:B, A821)=0, IFERROR(SEARCH("return", C821)&gt;0, FALSE)), "Rental Return", IF(COUNTIF(MAIN!B:B, A821)=0, "Missing", ""))</f>
        <v>Missing</v>
      </c>
      <c r="C821" s="133" t="s">
        <v>15248</v>
      </c>
      <c r="E821" s="131" t="str">
        <f t="shared" si="1"/>
        <v>https://utrucking.myshopify.com/admin/orders?query=14670</v>
      </c>
    </row>
    <row r="822">
      <c r="A822" s="93" t="str">
        <f t="shared" si="2"/>
        <v>#14671</v>
      </c>
      <c r="B822" s="93" t="str">
        <f>IF(AND(COUNTIF(MAIN!B:B, A822)=0, IFERROR(SEARCH("return", C822)&gt;0, FALSE)), "Rental Return", IF(COUNTIF(MAIN!B:B, A822)=0, "Missing", ""))</f>
        <v>Missing</v>
      </c>
      <c r="C822" s="133" t="s">
        <v>15251</v>
      </c>
      <c r="E822" s="131" t="str">
        <f t="shared" si="1"/>
        <v>https://utrucking.myshopify.com/admin/orders?query=14671</v>
      </c>
    </row>
    <row r="823">
      <c r="A823" s="93" t="str">
        <f t="shared" si="2"/>
        <v>#14672</v>
      </c>
      <c r="B823" s="93" t="str">
        <f>IF(AND(COUNTIF(MAIN!B:B, A823)=0, IFERROR(SEARCH("return", C823)&gt;0, FALSE)), "Rental Return", IF(COUNTIF(MAIN!B:B, A823)=0, "Missing", ""))</f>
        <v>Missing</v>
      </c>
      <c r="C823" s="133" t="s">
        <v>15246</v>
      </c>
      <c r="E823" s="131" t="str">
        <f t="shared" si="1"/>
        <v>https://utrucking.myshopify.com/admin/orders?query=14672</v>
      </c>
    </row>
    <row r="824">
      <c r="A824" s="93" t="str">
        <f t="shared" si="2"/>
        <v>#14673</v>
      </c>
      <c r="B824" s="93" t="str">
        <f>IF(AND(COUNTIF(MAIN!B:B, A824)=0, IFERROR(SEARCH("return", C824)&gt;0, FALSE)), "Rental Return", IF(COUNTIF(MAIN!B:B, A824)=0, "Missing", ""))</f>
        <v>Missing</v>
      </c>
      <c r="C824" s="133" t="s">
        <v>15246</v>
      </c>
      <c r="E824" s="131" t="str">
        <f t="shared" si="1"/>
        <v>https://utrucking.myshopify.com/admin/orders?query=14673</v>
      </c>
    </row>
    <row r="825">
      <c r="A825" s="93" t="str">
        <f t="shared" si="2"/>
        <v>#14674</v>
      </c>
      <c r="B825" s="93" t="str">
        <f>IF(AND(COUNTIF(MAIN!B:B, A825)=0, IFERROR(SEARCH("return", C825)&gt;0, FALSE)), "Rental Return", IF(COUNTIF(MAIN!B:B, A825)=0, "Missing", ""))</f>
        <v>Rental Return</v>
      </c>
      <c r="C825" s="133" t="s">
        <v>15258</v>
      </c>
      <c r="E825" s="128" t="str">
        <f t="shared" si="1"/>
        <v/>
      </c>
    </row>
    <row r="826">
      <c r="A826" s="93" t="str">
        <f t="shared" si="2"/>
        <v>#14675</v>
      </c>
      <c r="B826" s="93" t="str">
        <f>IF(AND(COUNTIF(MAIN!B:B, A826)=0, IFERROR(SEARCH("return", C826)&gt;0, FALSE)), "Rental Return", IF(COUNTIF(MAIN!B:B, A826)=0, "Missing", ""))</f>
        <v>Missing</v>
      </c>
      <c r="C826" s="133" t="s">
        <v>15246</v>
      </c>
      <c r="E826" s="131" t="str">
        <f t="shared" si="1"/>
        <v>https://utrucking.myshopify.com/admin/orders?query=14675</v>
      </c>
    </row>
    <row r="827">
      <c r="A827" s="93" t="str">
        <f t="shared" si="2"/>
        <v>#14676</v>
      </c>
      <c r="B827" s="93" t="str">
        <f>IF(AND(COUNTIF(MAIN!B:B, A827)=0, IFERROR(SEARCH("return", C827)&gt;0, FALSE)), "Rental Return", IF(COUNTIF(MAIN!B:B, A827)=0, "Missing", ""))</f>
        <v>Rental Return</v>
      </c>
      <c r="C827" s="133" t="s">
        <v>1111</v>
      </c>
      <c r="E827" s="128" t="str">
        <f t="shared" si="1"/>
        <v/>
      </c>
    </row>
    <row r="828">
      <c r="A828" s="93" t="str">
        <f t="shared" si="2"/>
        <v>#14677</v>
      </c>
      <c r="B828" s="93" t="str">
        <f>IF(AND(COUNTIF(MAIN!B:B, A828)=0, IFERROR(SEARCH("return", C828)&gt;0, FALSE)), "Rental Return", IF(COUNTIF(MAIN!B:B, A828)=0, "Missing", ""))</f>
        <v>Missing</v>
      </c>
      <c r="C828" s="133" t="s">
        <v>15246</v>
      </c>
      <c r="E828" s="131" t="str">
        <f t="shared" si="1"/>
        <v>https://utrucking.myshopify.com/admin/orders?query=14677</v>
      </c>
    </row>
    <row r="829">
      <c r="A829" s="93" t="str">
        <f t="shared" si="2"/>
        <v>#14678</v>
      </c>
      <c r="B829" s="93" t="str">
        <f>IF(AND(COUNTIF(MAIN!B:B, A829)=0, IFERROR(SEARCH("return", C829)&gt;0, FALSE)), "Rental Return", IF(COUNTIF(MAIN!B:B, A829)=0, "Missing", ""))</f>
        <v>Rental Return</v>
      </c>
      <c r="C829" s="133" t="s">
        <v>1111</v>
      </c>
      <c r="E829" s="128" t="str">
        <f t="shared" si="1"/>
        <v/>
      </c>
    </row>
    <row r="830">
      <c r="A830" s="93" t="str">
        <f t="shared" si="2"/>
        <v>#14679</v>
      </c>
      <c r="B830" s="93" t="str">
        <f>IF(AND(COUNTIF(MAIN!B:B, A830)=0, IFERROR(SEARCH("return", C830)&gt;0, FALSE)), "Rental Return", IF(COUNTIF(MAIN!B:B, A830)=0, "Missing", ""))</f>
        <v>Missing</v>
      </c>
      <c r="C830" s="133" t="s">
        <v>15248</v>
      </c>
      <c r="E830" s="131" t="str">
        <f t="shared" si="1"/>
        <v>https://utrucking.myshopify.com/admin/orders?query=14679</v>
      </c>
    </row>
    <row r="831">
      <c r="A831" s="93" t="str">
        <f t="shared" si="2"/>
        <v>#14680</v>
      </c>
      <c r="B831" s="93" t="str">
        <f>IF(AND(COUNTIF(MAIN!B:B, A831)=0, IFERROR(SEARCH("return", C831)&gt;0, FALSE)), "Rental Return", IF(COUNTIF(MAIN!B:B, A831)=0, "Missing", ""))</f>
        <v>Missing</v>
      </c>
      <c r="C831" s="133" t="s">
        <v>15246</v>
      </c>
      <c r="E831" s="131" t="str">
        <f t="shared" si="1"/>
        <v>https://utrucking.myshopify.com/admin/orders?query=14680</v>
      </c>
    </row>
    <row r="832">
      <c r="A832" s="93" t="str">
        <f t="shared" si="2"/>
        <v>#14681</v>
      </c>
      <c r="B832" s="93" t="str">
        <f>IF(AND(COUNTIF(MAIN!B:B, A832)=0, IFERROR(SEARCH("return", C832)&gt;0, FALSE)), "Rental Return", IF(COUNTIF(MAIN!B:B, A832)=0, "Missing", ""))</f>
        <v>Missing</v>
      </c>
      <c r="C832" s="133" t="s">
        <v>15251</v>
      </c>
      <c r="E832" s="131" t="str">
        <f t="shared" si="1"/>
        <v>https://utrucking.myshopify.com/admin/orders?query=14681</v>
      </c>
    </row>
    <row r="833">
      <c r="A833" s="93" t="str">
        <f t="shared" si="2"/>
        <v>#14682</v>
      </c>
      <c r="B833" s="93" t="str">
        <f>IF(AND(COUNTIF(MAIN!B:B, A833)=0, IFERROR(SEARCH("return", C833)&gt;0, FALSE)), "Rental Return", IF(COUNTIF(MAIN!B:B, A833)=0, "Missing", ""))</f>
        <v>Missing</v>
      </c>
      <c r="C833" s="133" t="s">
        <v>15246</v>
      </c>
      <c r="E833" s="131" t="str">
        <f t="shared" si="1"/>
        <v>https://utrucking.myshopify.com/admin/orders?query=14682</v>
      </c>
    </row>
    <row r="834">
      <c r="A834" s="93" t="str">
        <f t="shared" si="2"/>
        <v>#14683</v>
      </c>
      <c r="B834" s="93" t="str">
        <f>IF(AND(COUNTIF(MAIN!B:B, A834)=0, IFERROR(SEARCH("return", C834)&gt;0, FALSE)), "Rental Return", IF(COUNTIF(MAIN!B:B, A834)=0, "Missing", ""))</f>
        <v>Missing</v>
      </c>
      <c r="C834" s="133" t="s">
        <v>15246</v>
      </c>
      <c r="E834" s="131" t="str">
        <f t="shared" si="1"/>
        <v>https://utrucking.myshopify.com/admin/orders?query=14683</v>
      </c>
    </row>
    <row r="835">
      <c r="A835" s="93" t="str">
        <f t="shared" si="2"/>
        <v>#14684</v>
      </c>
      <c r="B835" s="93" t="str">
        <f>IF(AND(COUNTIF(MAIN!B:B, A835)=0, IFERROR(SEARCH("return", C835)&gt;0, FALSE)), "Rental Return", IF(COUNTIF(MAIN!B:B, A835)=0, "Missing", ""))</f>
        <v>Missing</v>
      </c>
      <c r="C835" s="133" t="s">
        <v>15251</v>
      </c>
      <c r="E835" s="131" t="str">
        <f t="shared" si="1"/>
        <v>https://utrucking.myshopify.com/admin/orders?query=14684</v>
      </c>
    </row>
    <row r="836">
      <c r="A836" s="93" t="str">
        <f t="shared" si="2"/>
        <v>#14685</v>
      </c>
      <c r="B836" s="93" t="str">
        <f>IF(AND(COUNTIF(MAIN!B:B, A836)=0, IFERROR(SEARCH("return", C836)&gt;0, FALSE)), "Rental Return", IF(COUNTIF(MAIN!B:B, A836)=0, "Missing", ""))</f>
        <v>Missing</v>
      </c>
      <c r="C836" s="133" t="s">
        <v>15251</v>
      </c>
      <c r="E836" s="131" t="str">
        <f t="shared" si="1"/>
        <v>https://utrucking.myshopify.com/admin/orders?query=14685</v>
      </c>
    </row>
    <row r="837">
      <c r="A837" s="93" t="str">
        <f t="shared" si="2"/>
        <v>#14686</v>
      </c>
      <c r="B837" s="93" t="str">
        <f>IF(AND(COUNTIF(MAIN!B:B, A837)=0, IFERROR(SEARCH("return", C837)&gt;0, FALSE)), "Rental Return", IF(COUNTIF(MAIN!B:B, A837)=0, "Missing", ""))</f>
        <v>Missing</v>
      </c>
      <c r="C837" s="133" t="s">
        <v>15246</v>
      </c>
      <c r="E837" s="131" t="str">
        <f t="shared" si="1"/>
        <v>https://utrucking.myshopify.com/admin/orders?query=14686</v>
      </c>
    </row>
    <row r="838">
      <c r="A838" s="93" t="str">
        <f t="shared" si="2"/>
        <v>#14687</v>
      </c>
      <c r="B838" s="93" t="str">
        <f>IF(AND(COUNTIF(MAIN!B:B, A838)=0, IFERROR(SEARCH("return", C838)&gt;0, FALSE)), "Rental Return", IF(COUNTIF(MAIN!B:B, A838)=0, "Missing", ""))</f>
        <v>Rental Return</v>
      </c>
      <c r="C838" s="133" t="s">
        <v>15258</v>
      </c>
      <c r="E838" s="128" t="str">
        <f t="shared" si="1"/>
        <v/>
      </c>
    </row>
    <row r="839">
      <c r="A839" s="93" t="str">
        <f t="shared" si="2"/>
        <v>#14688</v>
      </c>
      <c r="B839" s="93" t="str">
        <f>IF(AND(COUNTIF(MAIN!B:B, A839)=0, IFERROR(SEARCH("return", C839)&gt;0, FALSE)), "Rental Return", IF(COUNTIF(MAIN!B:B, A839)=0, "Missing", ""))</f>
        <v>Missing</v>
      </c>
      <c r="C839" s="133" t="s">
        <v>15246</v>
      </c>
      <c r="E839" s="131" t="str">
        <f t="shared" si="1"/>
        <v>https://utrucking.myshopify.com/admin/orders?query=14688</v>
      </c>
    </row>
    <row r="840">
      <c r="A840" s="93" t="str">
        <f t="shared" si="2"/>
        <v>#14689</v>
      </c>
      <c r="B840" s="93" t="str">
        <f>IF(AND(COUNTIF(MAIN!B:B, A840)=0, IFERROR(SEARCH("return", C840)&gt;0, FALSE)), "Rental Return", IF(COUNTIF(MAIN!B:B, A840)=0, "Missing", ""))</f>
        <v>Missing</v>
      </c>
      <c r="C840" s="133" t="s">
        <v>15249</v>
      </c>
      <c r="E840" s="131" t="str">
        <f t="shared" si="1"/>
        <v>https://utrucking.myshopify.com/admin/orders?query=14689</v>
      </c>
    </row>
    <row r="841">
      <c r="A841" s="93" t="str">
        <f t="shared" si="2"/>
        <v>#14690</v>
      </c>
      <c r="B841" s="93" t="str">
        <f>IF(AND(COUNTIF(MAIN!B:B, A841)=0, IFERROR(SEARCH("return", C841)&gt;0, FALSE)), "Rental Return", IF(COUNTIF(MAIN!B:B, A841)=0, "Missing", ""))</f>
        <v>Missing</v>
      </c>
      <c r="C841" s="133" t="s">
        <v>15251</v>
      </c>
      <c r="E841" s="131" t="str">
        <f t="shared" si="1"/>
        <v>https://utrucking.myshopify.com/admin/orders?query=14690</v>
      </c>
    </row>
    <row r="842">
      <c r="A842" s="93" t="str">
        <f t="shared" si="2"/>
        <v>#14691</v>
      </c>
      <c r="B842" s="93" t="str">
        <f>IF(AND(COUNTIF(MAIN!B:B, A842)=0, IFERROR(SEARCH("return", C842)&gt;0, FALSE)), "Rental Return", IF(COUNTIF(MAIN!B:B, A842)=0, "Missing", ""))</f>
        <v>Missing</v>
      </c>
      <c r="C842" s="133" t="s">
        <v>15245</v>
      </c>
      <c r="E842" s="131" t="str">
        <f t="shared" si="1"/>
        <v>https://utrucking.myshopify.com/admin/orders?query=14691</v>
      </c>
    </row>
    <row r="843">
      <c r="A843" s="93" t="str">
        <f t="shared" si="2"/>
        <v>#14692</v>
      </c>
      <c r="B843" s="93" t="str">
        <f>IF(AND(COUNTIF(MAIN!B:B, A843)=0, IFERROR(SEARCH("return", C843)&gt;0, FALSE)), "Rental Return", IF(COUNTIF(MAIN!B:B, A843)=0, "Missing", ""))</f>
        <v>Missing</v>
      </c>
      <c r="C843" s="133" t="s">
        <v>15246</v>
      </c>
      <c r="E843" s="131" t="str">
        <f t="shared" si="1"/>
        <v>https://utrucking.myshopify.com/admin/orders?query=14692</v>
      </c>
    </row>
    <row r="844">
      <c r="A844" s="93" t="str">
        <f t="shared" si="2"/>
        <v>#14693</v>
      </c>
      <c r="B844" s="93" t="str">
        <f>IF(AND(COUNTIF(MAIN!B:B, A844)=0, IFERROR(SEARCH("return", C844)&gt;0, FALSE)), "Rental Return", IF(COUNTIF(MAIN!B:B, A844)=0, "Missing", ""))</f>
        <v>Missing</v>
      </c>
      <c r="C844" s="133" t="s">
        <v>15251</v>
      </c>
      <c r="E844" s="131" t="str">
        <f t="shared" si="1"/>
        <v>https://utrucking.myshopify.com/admin/orders?query=14693</v>
      </c>
    </row>
    <row r="845">
      <c r="A845" s="93" t="str">
        <f t="shared" si="2"/>
        <v>#14694</v>
      </c>
      <c r="B845" s="93" t="str">
        <f>IF(AND(COUNTIF(MAIN!B:B, A845)=0, IFERROR(SEARCH("return", C845)&gt;0, FALSE)), "Rental Return", IF(COUNTIF(MAIN!B:B, A845)=0, "Missing", ""))</f>
        <v>Missing</v>
      </c>
      <c r="C845" s="133" t="s">
        <v>15246</v>
      </c>
      <c r="E845" s="131" t="str">
        <f t="shared" si="1"/>
        <v>https://utrucking.myshopify.com/admin/orders?query=14694</v>
      </c>
    </row>
    <row r="846">
      <c r="A846" s="93" t="str">
        <f t="shared" si="2"/>
        <v>#14695</v>
      </c>
      <c r="B846" s="93" t="str">
        <f>IF(AND(COUNTIF(MAIN!B:B, A846)=0, IFERROR(SEARCH("return", C846)&gt;0, FALSE)), "Rental Return", IF(COUNTIF(MAIN!B:B, A846)=0, "Missing", ""))</f>
        <v>Missing</v>
      </c>
      <c r="C846" s="133" t="s">
        <v>15246</v>
      </c>
      <c r="E846" s="131" t="str">
        <f t="shared" si="1"/>
        <v>https://utrucking.myshopify.com/admin/orders?query=14695</v>
      </c>
    </row>
    <row r="847">
      <c r="A847" s="93" t="str">
        <f t="shared" si="2"/>
        <v>#14696</v>
      </c>
      <c r="B847" s="93" t="str">
        <f>IF(AND(COUNTIF(MAIN!B:B, A847)=0, IFERROR(SEARCH("return", C847)&gt;0, FALSE)), "Rental Return", IF(COUNTIF(MAIN!B:B, A847)=0, "Missing", ""))</f>
        <v>Missing</v>
      </c>
      <c r="C847" s="133" t="s">
        <v>15246</v>
      </c>
      <c r="E847" s="131" t="str">
        <f t="shared" si="1"/>
        <v>https://utrucking.myshopify.com/admin/orders?query=14696</v>
      </c>
    </row>
    <row r="848">
      <c r="A848" s="93" t="str">
        <f t="shared" si="2"/>
        <v>#14697</v>
      </c>
      <c r="B848" s="93" t="str">
        <f>IF(AND(COUNTIF(MAIN!B:B, A848)=0, IFERROR(SEARCH("return", C848)&gt;0, FALSE)), "Rental Return", IF(COUNTIF(MAIN!B:B, A848)=0, "Missing", ""))</f>
        <v>Missing</v>
      </c>
      <c r="C848" s="133" t="s">
        <v>15246</v>
      </c>
      <c r="E848" s="131" t="str">
        <f t="shared" si="1"/>
        <v>https://utrucking.myshopify.com/admin/orders?query=14697</v>
      </c>
    </row>
    <row r="849">
      <c r="A849" s="93" t="str">
        <f t="shared" si="2"/>
        <v>#14698</v>
      </c>
      <c r="B849" s="93" t="str">
        <f>IF(AND(COUNTIF(MAIN!B:B, A849)=0, IFERROR(SEARCH("return", C849)&gt;0, FALSE)), "Rental Return", IF(COUNTIF(MAIN!B:B, A849)=0, "Missing", ""))</f>
        <v>Missing</v>
      </c>
      <c r="C849" s="133" t="s">
        <v>15256</v>
      </c>
      <c r="E849" s="131" t="str">
        <f t="shared" si="1"/>
        <v>https://utrucking.myshopify.com/admin/orders?query=14698</v>
      </c>
    </row>
    <row r="850">
      <c r="A850" s="93" t="str">
        <f t="shared" si="2"/>
        <v>#14699</v>
      </c>
      <c r="B850" s="93" t="str">
        <f>IF(AND(COUNTIF(MAIN!B:B, A850)=0, IFERROR(SEARCH("return", C850)&gt;0, FALSE)), "Rental Return", IF(COUNTIF(MAIN!B:B, A850)=0, "Missing", ""))</f>
        <v>Missing</v>
      </c>
      <c r="C850" s="133" t="s">
        <v>15246</v>
      </c>
      <c r="E850" s="131" t="str">
        <f t="shared" si="1"/>
        <v>https://utrucking.myshopify.com/admin/orders?query=14699</v>
      </c>
    </row>
    <row r="851">
      <c r="A851" s="93" t="str">
        <f t="shared" si="2"/>
        <v>#14700</v>
      </c>
      <c r="B851" s="93" t="str">
        <f>IF(AND(COUNTIF(MAIN!B:B, A851)=0, IFERROR(SEARCH("return", C851)&gt;0, FALSE)), "Rental Return", IF(COUNTIF(MAIN!B:B, A851)=0, "Missing", ""))</f>
        <v>Missing</v>
      </c>
      <c r="C851" s="133" t="s">
        <v>15246</v>
      </c>
      <c r="E851" s="131" t="str">
        <f t="shared" si="1"/>
        <v>https://utrucking.myshopify.com/admin/orders?query=14700</v>
      </c>
    </row>
    <row r="852">
      <c r="A852" s="93" t="str">
        <f t="shared" si="2"/>
        <v>#14701</v>
      </c>
      <c r="B852" s="93" t="str">
        <f>IF(AND(COUNTIF(MAIN!B:B, A852)=0, IFERROR(SEARCH("return", C852)&gt;0, FALSE)), "Rental Return", IF(COUNTIF(MAIN!B:B, A852)=0, "Missing", ""))</f>
        <v>Missing</v>
      </c>
      <c r="C852" s="133" t="s">
        <v>15246</v>
      </c>
      <c r="E852" s="131" t="str">
        <f t="shared" si="1"/>
        <v>https://utrucking.myshopify.com/admin/orders?query=14701</v>
      </c>
    </row>
    <row r="853">
      <c r="A853" s="93" t="str">
        <f t="shared" si="2"/>
        <v>#14702</v>
      </c>
      <c r="B853" s="93" t="str">
        <f>IF(AND(COUNTIF(MAIN!B:B, A853)=0, IFERROR(SEARCH("return", C853)&gt;0, FALSE)), "Rental Return", IF(COUNTIF(MAIN!B:B, A853)=0, "Missing", ""))</f>
        <v>Missing</v>
      </c>
      <c r="C853" s="133" t="s">
        <v>15246</v>
      </c>
      <c r="E853" s="131" t="str">
        <f t="shared" si="1"/>
        <v>https://utrucking.myshopify.com/admin/orders?query=14702</v>
      </c>
    </row>
    <row r="854">
      <c r="A854" s="93" t="str">
        <f t="shared" si="2"/>
        <v>#14703</v>
      </c>
      <c r="B854" s="93" t="str">
        <f>IF(AND(COUNTIF(MAIN!B:B, A854)=0, IFERROR(SEARCH("return", C854)&gt;0, FALSE)), "Rental Return", IF(COUNTIF(MAIN!B:B, A854)=0, "Missing", ""))</f>
        <v>Missing</v>
      </c>
      <c r="C854" s="133" t="s">
        <v>15246</v>
      </c>
      <c r="E854" s="131" t="str">
        <f t="shared" si="1"/>
        <v>https://utrucking.myshopify.com/admin/orders?query=14703</v>
      </c>
    </row>
    <row r="855">
      <c r="A855" s="93" t="str">
        <f t="shared" si="2"/>
        <v>#14704</v>
      </c>
      <c r="B855" s="93" t="str">
        <f>IF(AND(COUNTIF(MAIN!B:B, A855)=0, IFERROR(SEARCH("return", C855)&gt;0, FALSE)), "Rental Return", IF(COUNTIF(MAIN!B:B, A855)=0, "Missing", ""))</f>
        <v>Missing</v>
      </c>
      <c r="C855" s="133" t="s">
        <v>15246</v>
      </c>
      <c r="E855" s="131" t="str">
        <f t="shared" si="1"/>
        <v>https://utrucking.myshopify.com/admin/orders?query=14704</v>
      </c>
    </row>
    <row r="856">
      <c r="A856" s="93" t="str">
        <f t="shared" si="2"/>
        <v>#14705</v>
      </c>
      <c r="B856" s="93" t="str">
        <f>IF(AND(COUNTIF(MAIN!B:B, A856)=0, IFERROR(SEARCH("return", C856)&gt;0, FALSE)), "Rental Return", IF(COUNTIF(MAIN!B:B, A856)=0, "Missing", ""))</f>
        <v>Missing</v>
      </c>
      <c r="C856" s="133" t="s">
        <v>15246</v>
      </c>
      <c r="E856" s="131" t="str">
        <f t="shared" si="1"/>
        <v>https://utrucking.myshopify.com/admin/orders?query=14705</v>
      </c>
    </row>
    <row r="857">
      <c r="A857" s="93" t="str">
        <f t="shared" si="2"/>
        <v>#14706</v>
      </c>
      <c r="B857" s="93" t="str">
        <f>IF(AND(COUNTIF(MAIN!B:B, A857)=0, IFERROR(SEARCH("return", C857)&gt;0, FALSE)), "Rental Return", IF(COUNTIF(MAIN!B:B, A857)=0, "Missing", ""))</f>
        <v>Missing</v>
      </c>
      <c r="C857" s="133" t="s">
        <v>15246</v>
      </c>
      <c r="E857" s="131" t="str">
        <f t="shared" si="1"/>
        <v>https://utrucking.myshopify.com/admin/orders?query=14706</v>
      </c>
    </row>
    <row r="858">
      <c r="A858" s="93" t="str">
        <f t="shared" si="2"/>
        <v>#14707</v>
      </c>
      <c r="B858" s="93" t="str">
        <f>IF(AND(COUNTIF(MAIN!B:B, A858)=0, IFERROR(SEARCH("return", C858)&gt;0, FALSE)), "Rental Return", IF(COUNTIF(MAIN!B:B, A858)=0, "Missing", ""))</f>
        <v>Missing</v>
      </c>
      <c r="C858" s="133" t="s">
        <v>15268</v>
      </c>
      <c r="E858" s="131" t="str">
        <f t="shared" si="1"/>
        <v>https://utrucking.myshopify.com/admin/orders?query=14707</v>
      </c>
    </row>
    <row r="859">
      <c r="A859" s="93" t="str">
        <f t="shared" si="2"/>
        <v>#14708</v>
      </c>
      <c r="B859" s="93" t="str">
        <f>IF(AND(COUNTIF(MAIN!B:B, A859)=0, IFERROR(SEARCH("return", C859)&gt;0, FALSE)), "Rental Return", IF(COUNTIF(MAIN!B:B, A859)=0, "Missing", ""))</f>
        <v>Missing</v>
      </c>
      <c r="C859" s="133" t="s">
        <v>15269</v>
      </c>
      <c r="E859" s="131" t="str">
        <f t="shared" si="1"/>
        <v>https://utrucking.myshopify.com/admin/orders?query=14708</v>
      </c>
    </row>
    <row r="860">
      <c r="A860" s="93" t="str">
        <f t="shared" si="2"/>
        <v>#14709</v>
      </c>
      <c r="B860" s="93" t="str">
        <f>IF(AND(COUNTIF(MAIN!B:B, A860)=0, IFERROR(SEARCH("return", C860)&gt;0, FALSE)), "Rental Return", IF(COUNTIF(MAIN!B:B, A860)=0, "Missing", ""))</f>
        <v>Missing</v>
      </c>
      <c r="C860" s="133" t="s">
        <v>15246</v>
      </c>
      <c r="E860" s="131" t="str">
        <f t="shared" si="1"/>
        <v>https://utrucking.myshopify.com/admin/orders?query=14709</v>
      </c>
    </row>
    <row r="861">
      <c r="A861" s="93" t="str">
        <f t="shared" si="2"/>
        <v>#14710</v>
      </c>
      <c r="B861" s="93" t="str">
        <f>IF(AND(COUNTIF(MAIN!B:B, A861)=0, IFERROR(SEARCH("return", C861)&gt;0, FALSE)), "Rental Return", IF(COUNTIF(MAIN!B:B, A861)=0, "Missing", ""))</f>
        <v>Missing</v>
      </c>
      <c r="C861" s="133" t="s">
        <v>15249</v>
      </c>
      <c r="E861" s="131" t="str">
        <f t="shared" si="1"/>
        <v>https://utrucking.myshopify.com/admin/orders?query=14710</v>
      </c>
    </row>
    <row r="862">
      <c r="A862" s="93" t="str">
        <f t="shared" si="2"/>
        <v>#14711</v>
      </c>
      <c r="B862" s="93" t="str">
        <f>IF(AND(COUNTIF(MAIN!B:B, A862)=0, IFERROR(SEARCH("return", C862)&gt;0, FALSE)), "Rental Return", IF(COUNTIF(MAIN!B:B, A862)=0, "Missing", ""))</f>
        <v/>
      </c>
      <c r="C862" s="128"/>
      <c r="E862" s="128" t="str">
        <f t="shared" si="1"/>
        <v/>
      </c>
    </row>
    <row r="863">
      <c r="A863" s="93" t="str">
        <f t="shared" si="2"/>
        <v>#14712</v>
      </c>
      <c r="B863" s="93" t="str">
        <f>IF(AND(COUNTIF(MAIN!B:B, A863)=0, IFERROR(SEARCH("return", C863)&gt;0, FALSE)), "Rental Return", IF(COUNTIF(MAIN!B:B, A863)=0, "Missing", ""))</f>
        <v>Missing</v>
      </c>
      <c r="C863" s="133" t="s">
        <v>15246</v>
      </c>
      <c r="E863" s="131" t="str">
        <f t="shared" si="1"/>
        <v>https://utrucking.myshopify.com/admin/orders?query=14712</v>
      </c>
    </row>
    <row r="864">
      <c r="A864" s="93" t="str">
        <f t="shared" si="2"/>
        <v>#14713</v>
      </c>
      <c r="B864" s="93" t="str">
        <f>IF(AND(COUNTIF(MAIN!B:B, A864)=0, IFERROR(SEARCH("return", C864)&gt;0, FALSE)), "Rental Return", IF(COUNTIF(MAIN!B:B, A864)=0, "Missing", ""))</f>
        <v>Missing</v>
      </c>
      <c r="C864" s="133" t="s">
        <v>15246</v>
      </c>
      <c r="E864" s="131" t="str">
        <f t="shared" si="1"/>
        <v>https://utrucking.myshopify.com/admin/orders?query=14713</v>
      </c>
    </row>
    <row r="865">
      <c r="A865" s="93" t="str">
        <f t="shared" si="2"/>
        <v>#14714</v>
      </c>
      <c r="B865" s="93" t="str">
        <f>IF(AND(COUNTIF(MAIN!B:B, A865)=0, IFERROR(SEARCH("return", C865)&gt;0, FALSE)), "Rental Return", IF(COUNTIF(MAIN!B:B, A865)=0, "Missing", ""))</f>
        <v>Rental Return</v>
      </c>
      <c r="C865" s="133" t="s">
        <v>1111</v>
      </c>
      <c r="E865" s="128" t="str">
        <f t="shared" si="1"/>
        <v/>
      </c>
    </row>
    <row r="866">
      <c r="A866" s="93" t="str">
        <f t="shared" si="2"/>
        <v>#14715</v>
      </c>
      <c r="B866" s="93" t="str">
        <f>IF(AND(COUNTIF(MAIN!B:B, A866)=0, IFERROR(SEARCH("return", C866)&gt;0, FALSE)), "Rental Return", IF(COUNTIF(MAIN!B:B, A866)=0, "Missing", ""))</f>
        <v>Missing</v>
      </c>
      <c r="C866" s="133" t="s">
        <v>15246</v>
      </c>
      <c r="E866" s="131" t="str">
        <f t="shared" si="1"/>
        <v>https://utrucking.myshopify.com/admin/orders?query=14715</v>
      </c>
    </row>
    <row r="867">
      <c r="A867" s="93" t="str">
        <f t="shared" si="2"/>
        <v>#14716</v>
      </c>
      <c r="B867" s="93" t="str">
        <f>IF(AND(COUNTIF(MAIN!B:B, A867)=0, IFERROR(SEARCH("return", C867)&gt;0, FALSE)), "Rental Return", IF(COUNTIF(MAIN!B:B, A867)=0, "Missing", ""))</f>
        <v>Missing</v>
      </c>
      <c r="C867" s="133" t="s">
        <v>15249</v>
      </c>
      <c r="E867" s="131" t="str">
        <f t="shared" si="1"/>
        <v>https://utrucking.myshopify.com/admin/orders?query=14716</v>
      </c>
    </row>
    <row r="868">
      <c r="A868" s="93" t="str">
        <f t="shared" si="2"/>
        <v>#14717</v>
      </c>
      <c r="B868" s="93" t="str">
        <f>IF(AND(COUNTIF(MAIN!B:B, A868)=0, IFERROR(SEARCH("return", C868)&gt;0, FALSE)), "Rental Return", IF(COUNTIF(MAIN!B:B, A868)=0, "Missing", ""))</f>
        <v>Missing</v>
      </c>
      <c r="C868" s="133" t="s">
        <v>15246</v>
      </c>
      <c r="E868" s="131" t="str">
        <f t="shared" si="1"/>
        <v>https://utrucking.myshopify.com/admin/orders?query=14717</v>
      </c>
    </row>
    <row r="869">
      <c r="A869" s="93" t="str">
        <f t="shared" si="2"/>
        <v>#14718</v>
      </c>
      <c r="B869" s="93" t="str">
        <f>IF(AND(COUNTIF(MAIN!B:B, A869)=0, IFERROR(SEARCH("return", C869)&gt;0, FALSE)), "Rental Return", IF(COUNTIF(MAIN!B:B, A869)=0, "Missing", ""))</f>
        <v>Missing</v>
      </c>
      <c r="C869" s="133" t="s">
        <v>15251</v>
      </c>
      <c r="E869" s="131" t="str">
        <f t="shared" si="1"/>
        <v>https://utrucking.myshopify.com/admin/orders?query=14718</v>
      </c>
    </row>
    <row r="870">
      <c r="A870" s="93" t="str">
        <f t="shared" si="2"/>
        <v>#14719</v>
      </c>
      <c r="B870" s="93" t="str">
        <f>IF(AND(COUNTIF(MAIN!B:B, A870)=0, IFERROR(SEARCH("return", C870)&gt;0, FALSE)), "Rental Return", IF(COUNTIF(MAIN!B:B, A870)=0, "Missing", ""))</f>
        <v>Missing</v>
      </c>
      <c r="C870" s="133" t="s">
        <v>15246</v>
      </c>
      <c r="E870" s="131" t="str">
        <f t="shared" si="1"/>
        <v>https://utrucking.myshopify.com/admin/orders?query=14719</v>
      </c>
    </row>
    <row r="871">
      <c r="A871" s="93" t="str">
        <f t="shared" si="2"/>
        <v>#14720</v>
      </c>
      <c r="B871" s="93" t="str">
        <f>IF(AND(COUNTIF(MAIN!B:B, A871)=0, IFERROR(SEARCH("return", C871)&gt;0, FALSE)), "Rental Return", IF(COUNTIF(MAIN!B:B, A871)=0, "Missing", ""))</f>
        <v>Missing</v>
      </c>
      <c r="C871" s="133" t="s">
        <v>15251</v>
      </c>
      <c r="E871" s="131" t="str">
        <f t="shared" si="1"/>
        <v>https://utrucking.myshopify.com/admin/orders?query=14720</v>
      </c>
    </row>
    <row r="872">
      <c r="A872" s="93" t="str">
        <f t="shared" si="2"/>
        <v>#14721</v>
      </c>
      <c r="B872" s="93" t="str">
        <f>IF(AND(COUNTIF(MAIN!B:B, A872)=0, IFERROR(SEARCH("return", C872)&gt;0, FALSE)), "Rental Return", IF(COUNTIF(MAIN!B:B, A872)=0, "Missing", ""))</f>
        <v>Missing</v>
      </c>
      <c r="C872" s="133" t="s">
        <v>15249</v>
      </c>
      <c r="E872" s="131" t="str">
        <f t="shared" si="1"/>
        <v>https://utrucking.myshopify.com/admin/orders?query=14721</v>
      </c>
    </row>
    <row r="873">
      <c r="A873" s="93" t="str">
        <f t="shared" si="2"/>
        <v>#14722</v>
      </c>
      <c r="B873" s="93" t="str">
        <f>IF(AND(COUNTIF(MAIN!B:B, A873)=0, IFERROR(SEARCH("return", C873)&gt;0, FALSE)), "Rental Return", IF(COUNTIF(MAIN!B:B, A873)=0, "Missing", ""))</f>
        <v>Missing</v>
      </c>
      <c r="C873" s="133" t="s">
        <v>15249</v>
      </c>
      <c r="E873" s="131" t="str">
        <f t="shared" si="1"/>
        <v>https://utrucking.myshopify.com/admin/orders?query=14722</v>
      </c>
    </row>
    <row r="874">
      <c r="A874" s="93" t="str">
        <f t="shared" si="2"/>
        <v>#14723</v>
      </c>
      <c r="B874" s="93" t="str">
        <f>IF(AND(COUNTIF(MAIN!B:B, A874)=0, IFERROR(SEARCH("return", C874)&gt;0, FALSE)), "Rental Return", IF(COUNTIF(MAIN!B:B, A874)=0, "Missing", ""))</f>
        <v>Missing</v>
      </c>
      <c r="C874" s="133" t="s">
        <v>15251</v>
      </c>
      <c r="E874" s="131" t="str">
        <f t="shared" si="1"/>
        <v>https://utrucking.myshopify.com/admin/orders?query=14723</v>
      </c>
    </row>
    <row r="875">
      <c r="A875" s="93" t="str">
        <f t="shared" si="2"/>
        <v>#14724</v>
      </c>
      <c r="B875" s="93" t="str">
        <f>IF(AND(COUNTIF(MAIN!B:B, A875)=0, IFERROR(SEARCH("return", C875)&gt;0, FALSE)), "Rental Return", IF(COUNTIF(MAIN!B:B, A875)=0, "Missing", ""))</f>
        <v>Missing</v>
      </c>
      <c r="C875" s="133" t="s">
        <v>15251</v>
      </c>
      <c r="E875" s="131" t="str">
        <f t="shared" si="1"/>
        <v>https://utrucking.myshopify.com/admin/orders?query=14724</v>
      </c>
    </row>
    <row r="876">
      <c r="A876" s="93" t="str">
        <f t="shared" si="2"/>
        <v>#14725</v>
      </c>
      <c r="B876" s="93" t="str">
        <f>IF(AND(COUNTIF(MAIN!B:B, A876)=0, IFERROR(SEARCH("return", C876)&gt;0, FALSE)), "Rental Return", IF(COUNTIF(MAIN!B:B, A876)=0, "Missing", ""))</f>
        <v>Missing</v>
      </c>
      <c r="C876" s="133" t="s">
        <v>15267</v>
      </c>
      <c r="E876" s="131" t="str">
        <f t="shared" si="1"/>
        <v>https://utrucking.myshopify.com/admin/orders?query=14725</v>
      </c>
    </row>
    <row r="877">
      <c r="A877" s="93" t="str">
        <f t="shared" si="2"/>
        <v>#14726</v>
      </c>
      <c r="B877" s="93" t="str">
        <f>IF(AND(COUNTIF(MAIN!B:B, A877)=0, IFERROR(SEARCH("return", C877)&gt;0, FALSE)), "Rental Return", IF(COUNTIF(MAIN!B:B, A877)=0, "Missing", ""))</f>
        <v>Rental Return</v>
      </c>
      <c r="C877" s="133" t="s">
        <v>1111</v>
      </c>
      <c r="E877" s="128" t="str">
        <f t="shared" si="1"/>
        <v/>
      </c>
    </row>
    <row r="878">
      <c r="A878" s="93" t="str">
        <f t="shared" si="2"/>
        <v>#14727</v>
      </c>
      <c r="B878" s="93" t="str">
        <f>IF(AND(COUNTIF(MAIN!B:B, A878)=0, IFERROR(SEARCH("return", C878)&gt;0, FALSE)), "Rental Return", IF(COUNTIF(MAIN!B:B, A878)=0, "Missing", ""))</f>
        <v>Missing</v>
      </c>
      <c r="C878" s="133" t="s">
        <v>15246</v>
      </c>
      <c r="E878" s="131" t="str">
        <f t="shared" si="1"/>
        <v>https://utrucking.myshopify.com/admin/orders?query=14727</v>
      </c>
    </row>
    <row r="879">
      <c r="A879" s="93" t="str">
        <f t="shared" si="2"/>
        <v>#14728</v>
      </c>
      <c r="B879" s="93" t="str">
        <f>IF(AND(COUNTIF(MAIN!B:B, A879)=0, IFERROR(SEARCH("return", C879)&gt;0, FALSE)), "Rental Return", IF(COUNTIF(MAIN!B:B, A879)=0, "Missing", ""))</f>
        <v>Missing</v>
      </c>
      <c r="C879" s="133" t="s">
        <v>15251</v>
      </c>
      <c r="E879" s="131" t="str">
        <f t="shared" si="1"/>
        <v>https://utrucking.myshopify.com/admin/orders?query=14728</v>
      </c>
    </row>
    <row r="880">
      <c r="A880" s="93" t="str">
        <f t="shared" si="2"/>
        <v>#14729</v>
      </c>
      <c r="B880" s="93" t="str">
        <f>IF(AND(COUNTIF(MAIN!B:B, A880)=0, IFERROR(SEARCH("return", C880)&gt;0, FALSE)), "Rental Return", IF(COUNTIF(MAIN!B:B, A880)=0, "Missing", ""))</f>
        <v>Rental Return</v>
      </c>
      <c r="C880" s="133" t="s">
        <v>15258</v>
      </c>
      <c r="E880" s="128" t="str">
        <f t="shared" si="1"/>
        <v/>
      </c>
    </row>
    <row r="881">
      <c r="A881" s="93" t="str">
        <f t="shared" si="2"/>
        <v>#14730</v>
      </c>
      <c r="B881" s="93" t="str">
        <f>IF(AND(COUNTIF(MAIN!B:B, A881)=0, IFERROR(SEARCH("return", C881)&gt;0, FALSE)), "Rental Return", IF(COUNTIF(MAIN!B:B, A881)=0, "Missing", ""))</f>
        <v>Rental Return</v>
      </c>
      <c r="C881" s="133" t="s">
        <v>15258</v>
      </c>
      <c r="E881" s="128" t="str">
        <f t="shared" si="1"/>
        <v/>
      </c>
    </row>
    <row r="882">
      <c r="A882" s="93" t="str">
        <f t="shared" si="2"/>
        <v>#14731</v>
      </c>
      <c r="B882" s="93" t="str">
        <f>IF(AND(COUNTIF(MAIN!B:B, A882)=0, IFERROR(SEARCH("return", C882)&gt;0, FALSE)), "Rental Return", IF(COUNTIF(MAIN!B:B, A882)=0, "Missing", ""))</f>
        <v>Missing</v>
      </c>
      <c r="C882" s="133" t="s">
        <v>15246</v>
      </c>
      <c r="E882" s="131" t="str">
        <f t="shared" si="1"/>
        <v>https://utrucking.myshopify.com/admin/orders?query=14731</v>
      </c>
    </row>
    <row r="883">
      <c r="A883" s="93" t="str">
        <f t="shared" si="2"/>
        <v>#14732</v>
      </c>
      <c r="B883" s="93" t="str">
        <f>IF(AND(COUNTIF(MAIN!B:B, A883)=0, IFERROR(SEARCH("return", C883)&gt;0, FALSE)), "Rental Return", IF(COUNTIF(MAIN!B:B, A883)=0, "Missing", ""))</f>
        <v>Rental Return</v>
      </c>
      <c r="C883" s="133" t="s">
        <v>15258</v>
      </c>
      <c r="E883" s="128" t="str">
        <f t="shared" si="1"/>
        <v/>
      </c>
    </row>
    <row r="884">
      <c r="A884" s="93" t="str">
        <f t="shared" si="2"/>
        <v>#14733</v>
      </c>
      <c r="B884" s="93" t="str">
        <f>IF(AND(COUNTIF(MAIN!B:B, A884)=0, IFERROR(SEARCH("return", C884)&gt;0, FALSE)), "Rental Return", IF(COUNTIF(MAIN!B:B, A884)=0, "Missing", ""))</f>
        <v>Missing</v>
      </c>
      <c r="C884" s="133" t="s">
        <v>15246</v>
      </c>
      <c r="E884" s="131" t="str">
        <f t="shared" si="1"/>
        <v>https://utrucking.myshopify.com/admin/orders?query=14733</v>
      </c>
    </row>
    <row r="885">
      <c r="A885" s="93" t="str">
        <f t="shared" si="2"/>
        <v>#14734</v>
      </c>
      <c r="B885" s="93" t="str">
        <f>IF(AND(COUNTIF(MAIN!B:B, A885)=0, IFERROR(SEARCH("return", C885)&gt;0, FALSE)), "Rental Return", IF(COUNTIF(MAIN!B:B, A885)=0, "Missing", ""))</f>
        <v>Missing</v>
      </c>
      <c r="C885" s="133" t="s">
        <v>15246</v>
      </c>
      <c r="E885" s="131" t="str">
        <f t="shared" si="1"/>
        <v>https://utrucking.myshopify.com/admin/orders?query=14734</v>
      </c>
    </row>
    <row r="886">
      <c r="A886" s="93" t="str">
        <f t="shared" si="2"/>
        <v>#14735</v>
      </c>
      <c r="B886" s="93" t="str">
        <f>IF(AND(COUNTIF(MAIN!B:B, A886)=0, IFERROR(SEARCH("return", C886)&gt;0, FALSE)), "Rental Return", IF(COUNTIF(MAIN!B:B, A886)=0, "Missing", ""))</f>
        <v>Missing</v>
      </c>
      <c r="C886" s="133" t="s">
        <v>15246</v>
      </c>
      <c r="E886" s="131" t="str">
        <f t="shared" si="1"/>
        <v>https://utrucking.myshopify.com/admin/orders?query=14735</v>
      </c>
    </row>
    <row r="887">
      <c r="A887" s="93" t="str">
        <f t="shared" si="2"/>
        <v>#14736</v>
      </c>
      <c r="B887" s="93" t="str">
        <f>IF(AND(COUNTIF(MAIN!B:B, A887)=0, IFERROR(SEARCH("return", C887)&gt;0, FALSE)), "Rental Return", IF(COUNTIF(MAIN!B:B, A887)=0, "Missing", ""))</f>
        <v>Missing</v>
      </c>
      <c r="C887" s="133" t="s">
        <v>15246</v>
      </c>
      <c r="E887" s="131" t="str">
        <f t="shared" si="1"/>
        <v>https://utrucking.myshopify.com/admin/orders?query=14736</v>
      </c>
    </row>
    <row r="888">
      <c r="A888" s="93" t="str">
        <f t="shared" si="2"/>
        <v>#14737</v>
      </c>
      <c r="B888" s="93" t="str">
        <f>IF(AND(COUNTIF(MAIN!B:B, A888)=0, IFERROR(SEARCH("return", C888)&gt;0, FALSE)), "Rental Return", IF(COUNTIF(MAIN!B:B, A888)=0, "Missing", ""))</f>
        <v>Rental Return</v>
      </c>
      <c r="C888" s="133" t="s">
        <v>15258</v>
      </c>
      <c r="E888" s="128" t="str">
        <f t="shared" si="1"/>
        <v/>
      </c>
    </row>
    <row r="889">
      <c r="A889" s="93" t="str">
        <f t="shared" si="2"/>
        <v>#14738</v>
      </c>
      <c r="B889" s="93" t="str">
        <f>IF(AND(COUNTIF(MAIN!B:B, A889)=0, IFERROR(SEARCH("return", C889)&gt;0, FALSE)), "Rental Return", IF(COUNTIF(MAIN!B:B, A889)=0, "Missing", ""))</f>
        <v>Missing</v>
      </c>
      <c r="C889" s="133" t="s">
        <v>15246</v>
      </c>
      <c r="E889" s="131" t="str">
        <f t="shared" si="1"/>
        <v>https://utrucking.myshopify.com/admin/orders?query=14738</v>
      </c>
    </row>
    <row r="890">
      <c r="A890" s="93" t="str">
        <f t="shared" si="2"/>
        <v>#14739</v>
      </c>
      <c r="B890" s="93" t="str">
        <f>IF(AND(COUNTIF(MAIN!B:B, A890)=0, IFERROR(SEARCH("return", C890)&gt;0, FALSE)), "Rental Return", IF(COUNTIF(MAIN!B:B, A890)=0, "Missing", ""))</f>
        <v>Missing</v>
      </c>
      <c r="C890" s="133" t="s">
        <v>15246</v>
      </c>
      <c r="E890" s="131" t="str">
        <f t="shared" si="1"/>
        <v>https://utrucking.myshopify.com/admin/orders?query=14739</v>
      </c>
    </row>
    <row r="891">
      <c r="A891" s="93" t="str">
        <f t="shared" si="2"/>
        <v>#14740</v>
      </c>
      <c r="B891" s="93" t="str">
        <f>IF(AND(COUNTIF(MAIN!B:B, A891)=0, IFERROR(SEARCH("return", C891)&gt;0, FALSE)), "Rental Return", IF(COUNTIF(MAIN!B:B, A891)=0, "Missing", ""))</f>
        <v/>
      </c>
      <c r="C891" s="128"/>
      <c r="E891" s="128" t="str">
        <f t="shared" si="1"/>
        <v/>
      </c>
    </row>
    <row r="892">
      <c r="A892" s="93" t="str">
        <f t="shared" si="2"/>
        <v>#14741</v>
      </c>
      <c r="B892" s="93" t="str">
        <f>IF(AND(COUNTIF(MAIN!B:B, A892)=0, IFERROR(SEARCH("return", C892)&gt;0, FALSE)), "Rental Return", IF(COUNTIF(MAIN!B:B, A892)=0, "Missing", ""))</f>
        <v>Missing</v>
      </c>
      <c r="C892" s="133" t="s">
        <v>15251</v>
      </c>
      <c r="E892" s="131" t="str">
        <f t="shared" si="1"/>
        <v>https://utrucking.myshopify.com/admin/orders?query=14741</v>
      </c>
    </row>
    <row r="893">
      <c r="A893" s="93" t="str">
        <f t="shared" si="2"/>
        <v>#14742</v>
      </c>
      <c r="B893" s="93" t="str">
        <f>IF(AND(COUNTIF(MAIN!B:B, A893)=0, IFERROR(SEARCH("return", C893)&gt;0, FALSE)), "Rental Return", IF(COUNTIF(MAIN!B:B, A893)=0, "Missing", ""))</f>
        <v>Missing</v>
      </c>
      <c r="C893" s="133" t="s">
        <v>15246</v>
      </c>
      <c r="E893" s="131" t="str">
        <f t="shared" si="1"/>
        <v>https://utrucking.myshopify.com/admin/orders?query=14742</v>
      </c>
    </row>
    <row r="894">
      <c r="A894" s="93" t="str">
        <f t="shared" si="2"/>
        <v>#14743</v>
      </c>
      <c r="B894" s="93" t="str">
        <f>IF(AND(COUNTIF(MAIN!B:B, A894)=0, IFERROR(SEARCH("return", C894)&gt;0, FALSE)), "Rental Return", IF(COUNTIF(MAIN!B:B, A894)=0, "Missing", ""))</f>
        <v>Missing</v>
      </c>
      <c r="C894" s="133" t="s">
        <v>15246</v>
      </c>
      <c r="E894" s="131" t="str">
        <f t="shared" si="1"/>
        <v>https://utrucking.myshopify.com/admin/orders?query=14743</v>
      </c>
    </row>
    <row r="895">
      <c r="A895" s="93" t="str">
        <f t="shared" si="2"/>
        <v>#14744</v>
      </c>
      <c r="B895" s="93" t="str">
        <f>IF(AND(COUNTIF(MAIN!B:B, A895)=0, IFERROR(SEARCH("return", C895)&gt;0, FALSE)), "Rental Return", IF(COUNTIF(MAIN!B:B, A895)=0, "Missing", ""))</f>
        <v>Rental Return</v>
      </c>
      <c r="C895" s="133" t="s">
        <v>1111</v>
      </c>
      <c r="E895" s="128" t="str">
        <f t="shared" si="1"/>
        <v/>
      </c>
    </row>
    <row r="896">
      <c r="A896" s="93" t="str">
        <f t="shared" si="2"/>
        <v>#14745</v>
      </c>
      <c r="B896" s="93" t="str">
        <f>IF(AND(COUNTIF(MAIN!B:B, A896)=0, IFERROR(SEARCH("return", C896)&gt;0, FALSE)), "Rental Return", IF(COUNTIF(MAIN!B:B, A896)=0, "Missing", ""))</f>
        <v>Rental Return</v>
      </c>
      <c r="C896" s="133" t="s">
        <v>1111</v>
      </c>
      <c r="E896" s="128" t="str">
        <f t="shared" si="1"/>
        <v/>
      </c>
    </row>
    <row r="897">
      <c r="A897" s="93" t="str">
        <f t="shared" si="2"/>
        <v>#14746</v>
      </c>
      <c r="B897" s="93" t="str">
        <f>IF(AND(COUNTIF(MAIN!B:B, A897)=0, IFERROR(SEARCH("return", C897)&gt;0, FALSE)), "Rental Return", IF(COUNTIF(MAIN!B:B, A897)=0, "Missing", ""))</f>
        <v>Missing</v>
      </c>
      <c r="C897" s="133" t="s">
        <v>15246</v>
      </c>
      <c r="E897" s="131" t="str">
        <f t="shared" si="1"/>
        <v>https://utrucking.myshopify.com/admin/orders?query=14746</v>
      </c>
    </row>
    <row r="898">
      <c r="A898" s="93" t="str">
        <f t="shared" si="2"/>
        <v>#14747</v>
      </c>
      <c r="B898" s="93" t="str">
        <f>IF(AND(COUNTIF(MAIN!B:B, A898)=0, IFERROR(SEARCH("return", C898)&gt;0, FALSE)), "Rental Return", IF(COUNTIF(MAIN!B:B, A898)=0, "Missing", ""))</f>
        <v>Missing</v>
      </c>
      <c r="C898" s="133" t="s">
        <v>15246</v>
      </c>
      <c r="E898" s="131" t="str">
        <f t="shared" si="1"/>
        <v>https://utrucking.myshopify.com/admin/orders?query=14747</v>
      </c>
    </row>
    <row r="899">
      <c r="A899" s="93" t="str">
        <f t="shared" si="2"/>
        <v>#14748</v>
      </c>
      <c r="B899" s="93" t="str">
        <f>IF(AND(COUNTIF(MAIN!B:B, A899)=0, IFERROR(SEARCH("return", C899)&gt;0, FALSE)), "Rental Return", IF(COUNTIF(MAIN!B:B, A899)=0, "Missing", ""))</f>
        <v>Missing</v>
      </c>
      <c r="C899" s="133" t="s">
        <v>15249</v>
      </c>
      <c r="E899" s="131" t="str">
        <f t="shared" si="1"/>
        <v>https://utrucking.myshopify.com/admin/orders?query=14748</v>
      </c>
    </row>
    <row r="900">
      <c r="A900" s="93" t="str">
        <f t="shared" si="2"/>
        <v>#14749</v>
      </c>
      <c r="B900" s="93" t="str">
        <f>IF(AND(COUNTIF(MAIN!B:B, A900)=0, IFERROR(SEARCH("return", C900)&gt;0, FALSE)), "Rental Return", IF(COUNTIF(MAIN!B:B, A900)=0, "Missing", ""))</f>
        <v>Missing</v>
      </c>
      <c r="C900" s="133" t="s">
        <v>15246</v>
      </c>
      <c r="E900" s="131" t="str">
        <f t="shared" si="1"/>
        <v>https://utrucking.myshopify.com/admin/orders?query=14749</v>
      </c>
    </row>
    <row r="901">
      <c r="A901" s="93" t="str">
        <f t="shared" si="2"/>
        <v>#14750</v>
      </c>
      <c r="B901" s="93" t="str">
        <f>IF(AND(COUNTIF(MAIN!B:B, A901)=0, IFERROR(SEARCH("return", C901)&gt;0, FALSE)), "Rental Return", IF(COUNTIF(MAIN!B:B, A901)=0, "Missing", ""))</f>
        <v>Rental Return</v>
      </c>
      <c r="C901" s="133" t="s">
        <v>15257</v>
      </c>
      <c r="E901" s="128" t="str">
        <f t="shared" si="1"/>
        <v/>
      </c>
    </row>
    <row r="902">
      <c r="A902" s="93" t="str">
        <f t="shared" si="2"/>
        <v>#14751</v>
      </c>
      <c r="B902" s="93" t="str">
        <f>IF(AND(COUNTIF(MAIN!B:B, A902)=0, IFERROR(SEARCH("return", C902)&gt;0, FALSE)), "Rental Return", IF(COUNTIF(MAIN!B:B, A902)=0, "Missing", ""))</f>
        <v>Missing</v>
      </c>
      <c r="C902" s="133" t="s">
        <v>15249</v>
      </c>
      <c r="E902" s="131" t="str">
        <f t="shared" si="1"/>
        <v>https://utrucking.myshopify.com/admin/orders?query=14751</v>
      </c>
    </row>
    <row r="903">
      <c r="A903" s="93" t="str">
        <f t="shared" si="2"/>
        <v>#14752</v>
      </c>
      <c r="B903" s="93" t="str">
        <f>IF(AND(COUNTIF(MAIN!B:B, A903)=0, IFERROR(SEARCH("return", C903)&gt;0, FALSE)), "Rental Return", IF(COUNTIF(MAIN!B:B, A903)=0, "Missing", ""))</f>
        <v>Missing</v>
      </c>
      <c r="C903" s="133" t="s">
        <v>15249</v>
      </c>
      <c r="E903" s="131" t="str">
        <f t="shared" si="1"/>
        <v>https://utrucking.myshopify.com/admin/orders?query=14752</v>
      </c>
    </row>
    <row r="904">
      <c r="A904" s="93" t="str">
        <f t="shared" si="2"/>
        <v>#14753</v>
      </c>
      <c r="B904" s="93" t="str">
        <f>IF(AND(COUNTIF(MAIN!B:B, A904)=0, IFERROR(SEARCH("return", C904)&gt;0, FALSE)), "Rental Return", IF(COUNTIF(MAIN!B:B, A904)=0, "Missing", ""))</f>
        <v>Missing</v>
      </c>
      <c r="C904" s="133" t="s">
        <v>15251</v>
      </c>
      <c r="E904" s="131" t="str">
        <f t="shared" si="1"/>
        <v>https://utrucking.myshopify.com/admin/orders?query=14753</v>
      </c>
    </row>
    <row r="905">
      <c r="A905" s="93" t="str">
        <f t="shared" si="2"/>
        <v>#14754</v>
      </c>
      <c r="B905" s="93" t="str">
        <f>IF(AND(COUNTIF(MAIN!B:B, A905)=0, IFERROR(SEARCH("return", C905)&gt;0, FALSE)), "Rental Return", IF(COUNTIF(MAIN!B:B, A905)=0, "Missing", ""))</f>
        <v>Missing</v>
      </c>
      <c r="C905" s="133" t="s">
        <v>15249</v>
      </c>
      <c r="E905" s="131" t="str">
        <f t="shared" si="1"/>
        <v>https://utrucking.myshopify.com/admin/orders?query=14754</v>
      </c>
    </row>
    <row r="906">
      <c r="A906" s="93" t="str">
        <f t="shared" si="2"/>
        <v>#14755</v>
      </c>
      <c r="B906" s="93" t="str">
        <f>IF(AND(COUNTIF(MAIN!B:B, A906)=0, IFERROR(SEARCH("return", C906)&gt;0, FALSE)), "Rental Return", IF(COUNTIF(MAIN!B:B, A906)=0, "Missing", ""))</f>
        <v/>
      </c>
      <c r="C906" s="128"/>
      <c r="E906" s="128" t="str">
        <f t="shared" si="1"/>
        <v/>
      </c>
    </row>
    <row r="907">
      <c r="A907" s="93" t="str">
        <f t="shared" si="2"/>
        <v>#14756</v>
      </c>
      <c r="B907" s="93" t="str">
        <f>IF(AND(COUNTIF(MAIN!B:B, A907)=0, IFERROR(SEARCH("return", C907)&gt;0, FALSE)), "Rental Return", IF(COUNTIF(MAIN!B:B, A907)=0, "Missing", ""))</f>
        <v>Rental Return</v>
      </c>
      <c r="C907" s="133" t="s">
        <v>15257</v>
      </c>
      <c r="E907" s="128" t="str">
        <f t="shared" si="1"/>
        <v/>
      </c>
    </row>
    <row r="908">
      <c r="A908" s="93" t="str">
        <f t="shared" si="2"/>
        <v>#14757</v>
      </c>
      <c r="B908" s="93" t="str">
        <f>IF(AND(COUNTIF(MAIN!B:B, A908)=0, IFERROR(SEARCH("return", C908)&gt;0, FALSE)), "Rental Return", IF(COUNTIF(MAIN!B:B, A908)=0, "Missing", ""))</f>
        <v>Missing</v>
      </c>
      <c r="C908" s="133" t="s">
        <v>15246</v>
      </c>
      <c r="E908" s="131" t="str">
        <f t="shared" si="1"/>
        <v>https://utrucking.myshopify.com/admin/orders?query=14757</v>
      </c>
    </row>
    <row r="909">
      <c r="A909" s="93" t="str">
        <f t="shared" si="2"/>
        <v>#14758</v>
      </c>
      <c r="B909" s="93" t="str">
        <f>IF(AND(COUNTIF(MAIN!B:B, A909)=0, IFERROR(SEARCH("return", C909)&gt;0, FALSE)), "Rental Return", IF(COUNTIF(MAIN!B:B, A909)=0, "Missing", ""))</f>
        <v>Missing</v>
      </c>
      <c r="C909" s="133" t="s">
        <v>15246</v>
      </c>
      <c r="E909" s="131" t="str">
        <f t="shared" si="1"/>
        <v>https://utrucking.myshopify.com/admin/orders?query=14758</v>
      </c>
    </row>
    <row r="910">
      <c r="A910" s="93" t="str">
        <f t="shared" si="2"/>
        <v>#14759</v>
      </c>
      <c r="B910" s="93" t="str">
        <f>IF(AND(COUNTIF(MAIN!B:B, A910)=0, IFERROR(SEARCH("return", C910)&gt;0, FALSE)), "Rental Return", IF(COUNTIF(MAIN!B:B, A910)=0, "Missing", ""))</f>
        <v>Rental Return</v>
      </c>
      <c r="C910" s="133" t="s">
        <v>1111</v>
      </c>
      <c r="E910" s="128" t="str">
        <f t="shared" si="1"/>
        <v/>
      </c>
    </row>
    <row r="911">
      <c r="A911" s="93" t="str">
        <f t="shared" si="2"/>
        <v>#14760</v>
      </c>
      <c r="B911" s="93" t="str">
        <f>IF(AND(COUNTIF(MAIN!B:B, A911)=0, IFERROR(SEARCH("return", C911)&gt;0, FALSE)), "Rental Return", IF(COUNTIF(MAIN!B:B, A911)=0, "Missing", ""))</f>
        <v>Missing</v>
      </c>
      <c r="C911" s="133" t="s">
        <v>15251</v>
      </c>
      <c r="E911" s="131" t="str">
        <f t="shared" si="1"/>
        <v>https://utrucking.myshopify.com/admin/orders?query=14760</v>
      </c>
    </row>
    <row r="912">
      <c r="A912" s="93" t="str">
        <f t="shared" si="2"/>
        <v>#14761</v>
      </c>
      <c r="B912" s="93" t="str">
        <f>IF(AND(COUNTIF(MAIN!B:B, A912)=0, IFERROR(SEARCH("return", C912)&gt;0, FALSE)), "Rental Return", IF(COUNTIF(MAIN!B:B, A912)=0, "Missing", ""))</f>
        <v>Missing</v>
      </c>
      <c r="C912" s="133" t="s">
        <v>15249</v>
      </c>
      <c r="E912" s="131" t="str">
        <f t="shared" si="1"/>
        <v>https://utrucking.myshopify.com/admin/orders?query=14761</v>
      </c>
    </row>
    <row r="913">
      <c r="A913" s="93" t="str">
        <f t="shared" si="2"/>
        <v>#14762</v>
      </c>
      <c r="B913" s="93" t="str">
        <f>IF(AND(COUNTIF(MAIN!B:B, A913)=0, IFERROR(SEARCH("return", C913)&gt;0, FALSE)), "Rental Return", IF(COUNTIF(MAIN!B:B, A913)=0, "Missing", ""))</f>
        <v>Missing</v>
      </c>
      <c r="C913" s="133" t="s">
        <v>15249</v>
      </c>
      <c r="E913" s="131" t="str">
        <f t="shared" si="1"/>
        <v>https://utrucking.myshopify.com/admin/orders?query=14762</v>
      </c>
    </row>
    <row r="914">
      <c r="A914" s="93" t="str">
        <f t="shared" si="2"/>
        <v>#14763</v>
      </c>
      <c r="B914" s="93" t="str">
        <f>IF(AND(COUNTIF(MAIN!B:B, A914)=0, IFERROR(SEARCH("return", C914)&gt;0, FALSE)), "Rental Return", IF(COUNTIF(MAIN!B:B, A914)=0, "Missing", ""))</f>
        <v>Rental Return</v>
      </c>
      <c r="C914" s="133" t="s">
        <v>15258</v>
      </c>
      <c r="E914" s="128" t="str">
        <f t="shared" si="1"/>
        <v/>
      </c>
    </row>
    <row r="915">
      <c r="A915" s="93" t="str">
        <f t="shared" si="2"/>
        <v>#14764</v>
      </c>
      <c r="B915" s="93" t="str">
        <f>IF(AND(COUNTIF(MAIN!B:B, A915)=0, IFERROR(SEARCH("return", C915)&gt;0, FALSE)), "Rental Return", IF(COUNTIF(MAIN!B:B, A915)=0, "Missing", ""))</f>
        <v>Missing</v>
      </c>
      <c r="C915" s="133" t="s">
        <v>15249</v>
      </c>
      <c r="E915" s="131" t="str">
        <f t="shared" si="1"/>
        <v>https://utrucking.myshopify.com/admin/orders?query=14764</v>
      </c>
    </row>
    <row r="916">
      <c r="A916" s="93" t="str">
        <f t="shared" si="2"/>
        <v>#14765</v>
      </c>
      <c r="B916" s="93" t="str">
        <f>IF(AND(COUNTIF(MAIN!B:B, A916)=0, IFERROR(SEARCH("return", C916)&gt;0, FALSE)), "Rental Return", IF(COUNTIF(MAIN!B:B, A916)=0, "Missing", ""))</f>
        <v>Missing</v>
      </c>
      <c r="C916" s="133" t="s">
        <v>15246</v>
      </c>
      <c r="E916" s="131" t="str">
        <f t="shared" si="1"/>
        <v>https://utrucking.myshopify.com/admin/orders?query=14765</v>
      </c>
    </row>
    <row r="917">
      <c r="A917" s="93" t="str">
        <f t="shared" si="2"/>
        <v>#14766</v>
      </c>
      <c r="B917" s="93" t="str">
        <f>IF(AND(COUNTIF(MAIN!B:B, A917)=0, IFERROR(SEARCH("return", C917)&gt;0, FALSE)), "Rental Return", IF(COUNTIF(MAIN!B:B, A917)=0, "Missing", ""))</f>
        <v>Missing</v>
      </c>
      <c r="C917" s="133" t="s">
        <v>15246</v>
      </c>
      <c r="E917" s="131" t="str">
        <f t="shared" si="1"/>
        <v>https://utrucking.myshopify.com/admin/orders?query=14766</v>
      </c>
    </row>
    <row r="918">
      <c r="A918" s="93" t="str">
        <f t="shared" si="2"/>
        <v>#14767</v>
      </c>
      <c r="B918" s="93" t="str">
        <f>IF(AND(COUNTIF(MAIN!B:B, A918)=0, IFERROR(SEARCH("return", C918)&gt;0, FALSE)), "Rental Return", IF(COUNTIF(MAIN!B:B, A918)=0, "Missing", ""))</f>
        <v>Missing</v>
      </c>
      <c r="C918" s="133" t="s">
        <v>15248</v>
      </c>
      <c r="E918" s="131" t="str">
        <f t="shared" si="1"/>
        <v>https://utrucking.myshopify.com/admin/orders?query=14767</v>
      </c>
    </row>
    <row r="919">
      <c r="A919" s="93" t="str">
        <f t="shared" si="2"/>
        <v>#14768</v>
      </c>
      <c r="B919" s="93" t="str">
        <f>IF(AND(COUNTIF(MAIN!B:B, A919)=0, IFERROR(SEARCH("return", C919)&gt;0, FALSE)), "Rental Return", IF(COUNTIF(MAIN!B:B, A919)=0, "Missing", ""))</f>
        <v>Missing</v>
      </c>
      <c r="C919" s="133" t="s">
        <v>15246</v>
      </c>
      <c r="E919" s="131" t="str">
        <f t="shared" si="1"/>
        <v>https://utrucking.myshopify.com/admin/orders?query=14768</v>
      </c>
    </row>
    <row r="920">
      <c r="A920" s="93" t="str">
        <f t="shared" si="2"/>
        <v>#14769</v>
      </c>
      <c r="B920" s="93" t="str">
        <f>IF(AND(COUNTIF(MAIN!B:B, A920)=0, IFERROR(SEARCH("return", C920)&gt;0, FALSE)), "Rental Return", IF(COUNTIF(MAIN!B:B, A920)=0, "Missing", ""))</f>
        <v>Missing</v>
      </c>
      <c r="C920" s="133" t="s">
        <v>15246</v>
      </c>
      <c r="E920" s="131" t="str">
        <f t="shared" si="1"/>
        <v>https://utrucking.myshopify.com/admin/orders?query=14769</v>
      </c>
    </row>
    <row r="921">
      <c r="A921" s="93" t="str">
        <f t="shared" si="2"/>
        <v>#14770</v>
      </c>
      <c r="B921" s="93" t="str">
        <f>IF(AND(COUNTIF(MAIN!B:B, A921)=0, IFERROR(SEARCH("return", C921)&gt;0, FALSE)), "Rental Return", IF(COUNTIF(MAIN!B:B, A921)=0, "Missing", ""))</f>
        <v>Missing</v>
      </c>
      <c r="C921" s="133" t="s">
        <v>15246</v>
      </c>
      <c r="E921" s="131" t="str">
        <f t="shared" si="1"/>
        <v>https://utrucking.myshopify.com/admin/orders?query=14770</v>
      </c>
    </row>
    <row r="922">
      <c r="A922" s="93" t="str">
        <f t="shared" si="2"/>
        <v>#14771</v>
      </c>
      <c r="B922" s="93" t="str">
        <f>IF(AND(COUNTIF(MAIN!B:B, A922)=0, IFERROR(SEARCH("return", C922)&gt;0, FALSE)), "Rental Return", IF(COUNTIF(MAIN!B:B, A922)=0, "Missing", ""))</f>
        <v>Missing</v>
      </c>
      <c r="C922" s="133" t="s">
        <v>15246</v>
      </c>
      <c r="E922" s="131" t="str">
        <f t="shared" si="1"/>
        <v>https://utrucking.myshopify.com/admin/orders?query=14771</v>
      </c>
    </row>
    <row r="923">
      <c r="A923" s="93" t="str">
        <f t="shared" si="2"/>
        <v>#14772</v>
      </c>
      <c r="B923" s="93" t="str">
        <f>IF(AND(COUNTIF(MAIN!B:B, A923)=0, IFERROR(SEARCH("return", C923)&gt;0, FALSE)), "Rental Return", IF(COUNTIF(MAIN!B:B, A923)=0, "Missing", ""))</f>
        <v>Missing</v>
      </c>
      <c r="C923" s="133" t="s">
        <v>15249</v>
      </c>
      <c r="E923" s="131" t="str">
        <f t="shared" si="1"/>
        <v>https://utrucking.myshopify.com/admin/orders?query=14772</v>
      </c>
    </row>
    <row r="924">
      <c r="A924" s="93" t="str">
        <f t="shared" si="2"/>
        <v>#14773</v>
      </c>
      <c r="B924" s="93" t="str">
        <f>IF(AND(COUNTIF(MAIN!B:B, A924)=0, IFERROR(SEARCH("return", C924)&gt;0, FALSE)), "Rental Return", IF(COUNTIF(MAIN!B:B, A924)=0, "Missing", ""))</f>
        <v>Missing</v>
      </c>
      <c r="C924" s="133" t="s">
        <v>15246</v>
      </c>
      <c r="E924" s="131" t="str">
        <f t="shared" si="1"/>
        <v>https://utrucking.myshopify.com/admin/orders?query=14773</v>
      </c>
    </row>
    <row r="925">
      <c r="A925" s="93" t="str">
        <f t="shared" si="2"/>
        <v>#14774</v>
      </c>
      <c r="B925" s="93" t="str">
        <f>IF(AND(COUNTIF(MAIN!B:B, A925)=0, IFERROR(SEARCH("return", C925)&gt;0, FALSE)), "Rental Return", IF(COUNTIF(MAIN!B:B, A925)=0, "Missing", ""))</f>
        <v>Missing</v>
      </c>
      <c r="C925" s="133" t="s">
        <v>15246</v>
      </c>
      <c r="E925" s="131" t="str">
        <f t="shared" si="1"/>
        <v>https://utrucking.myshopify.com/admin/orders?query=14774</v>
      </c>
    </row>
    <row r="926">
      <c r="A926" s="93" t="str">
        <f t="shared" si="2"/>
        <v>#14775</v>
      </c>
      <c r="B926" s="93" t="str">
        <f>IF(AND(COUNTIF(MAIN!B:B, A926)=0, IFERROR(SEARCH("return", C926)&gt;0, FALSE)), "Rental Return", IF(COUNTIF(MAIN!B:B, A926)=0, "Missing", ""))</f>
        <v>Missing</v>
      </c>
      <c r="C926" s="133" t="s">
        <v>15251</v>
      </c>
      <c r="E926" s="131" t="str">
        <f t="shared" si="1"/>
        <v>https://utrucking.myshopify.com/admin/orders?query=14775</v>
      </c>
    </row>
    <row r="927">
      <c r="A927" s="93" t="str">
        <f t="shared" si="2"/>
        <v>#14776</v>
      </c>
      <c r="B927" s="93" t="str">
        <f>IF(AND(COUNTIF(MAIN!B:B, A927)=0, IFERROR(SEARCH("return", C927)&gt;0, FALSE)), "Rental Return", IF(COUNTIF(MAIN!B:B, A927)=0, "Missing", ""))</f>
        <v>Missing</v>
      </c>
      <c r="C927" s="133" t="s">
        <v>15246</v>
      </c>
      <c r="E927" s="131" t="str">
        <f t="shared" si="1"/>
        <v>https://utrucking.myshopify.com/admin/orders?query=14776</v>
      </c>
    </row>
    <row r="928">
      <c r="A928" s="93" t="str">
        <f t="shared" si="2"/>
        <v>#14777</v>
      </c>
      <c r="B928" s="93" t="str">
        <f>IF(AND(COUNTIF(MAIN!B:B, A928)=0, IFERROR(SEARCH("return", C928)&gt;0, FALSE)), "Rental Return", IF(COUNTIF(MAIN!B:B, A928)=0, "Missing", ""))</f>
        <v>Missing</v>
      </c>
      <c r="C928" s="133" t="s">
        <v>15246</v>
      </c>
      <c r="E928" s="131" t="str">
        <f t="shared" si="1"/>
        <v>https://utrucking.myshopify.com/admin/orders?query=14777</v>
      </c>
    </row>
    <row r="929">
      <c r="A929" s="93" t="str">
        <f t="shared" si="2"/>
        <v>#14778</v>
      </c>
      <c r="B929" s="93" t="str">
        <f>IF(AND(COUNTIF(MAIN!B:B, A929)=0, IFERROR(SEARCH("return", C929)&gt;0, FALSE)), "Rental Return", IF(COUNTIF(MAIN!B:B, A929)=0, "Missing", ""))</f>
        <v>Rental Return</v>
      </c>
      <c r="C929" s="133" t="s">
        <v>15257</v>
      </c>
      <c r="E929" s="128" t="str">
        <f t="shared" si="1"/>
        <v/>
      </c>
    </row>
    <row r="930">
      <c r="A930" s="93" t="str">
        <f t="shared" si="2"/>
        <v>#14779</v>
      </c>
      <c r="B930" s="93" t="str">
        <f>IF(AND(COUNTIF(MAIN!B:B, A930)=0, IFERROR(SEARCH("return", C930)&gt;0, FALSE)), "Rental Return", IF(COUNTIF(MAIN!B:B, A930)=0, "Missing", ""))</f>
        <v>Missing</v>
      </c>
      <c r="C930" s="133" t="s">
        <v>15246</v>
      </c>
      <c r="E930" s="131" t="str">
        <f t="shared" si="1"/>
        <v>https://utrucking.myshopify.com/admin/orders?query=14779</v>
      </c>
    </row>
    <row r="931">
      <c r="A931" s="93" t="str">
        <f t="shared" si="2"/>
        <v>#14780</v>
      </c>
      <c r="B931" s="93" t="str">
        <f>IF(AND(COUNTIF(MAIN!B:B, A931)=0, IFERROR(SEARCH("return", C931)&gt;0, FALSE)), "Rental Return", IF(COUNTIF(MAIN!B:B, A931)=0, "Missing", ""))</f>
        <v>Missing</v>
      </c>
      <c r="C931" s="133" t="s">
        <v>15249</v>
      </c>
      <c r="E931" s="131" t="str">
        <f t="shared" si="1"/>
        <v>https://utrucking.myshopify.com/admin/orders?query=14780</v>
      </c>
    </row>
    <row r="932">
      <c r="A932" s="93" t="str">
        <f t="shared" si="2"/>
        <v>#14781</v>
      </c>
      <c r="B932" s="93" t="str">
        <f>IF(AND(COUNTIF(MAIN!B:B, A932)=0, IFERROR(SEARCH("return", C932)&gt;0, FALSE)), "Rental Return", IF(COUNTIF(MAIN!B:B, A932)=0, "Missing", ""))</f>
        <v>Missing</v>
      </c>
      <c r="C932" s="133" t="s">
        <v>15266</v>
      </c>
      <c r="E932" s="131" t="str">
        <f t="shared" si="1"/>
        <v>https://utrucking.myshopify.com/admin/orders?query=14781</v>
      </c>
    </row>
    <row r="933">
      <c r="A933" s="93" t="str">
        <f t="shared" si="2"/>
        <v>#14782</v>
      </c>
      <c r="B933" s="93" t="str">
        <f>IF(AND(COUNTIF(MAIN!B:B, A933)=0, IFERROR(SEARCH("return", C933)&gt;0, FALSE)), "Rental Return", IF(COUNTIF(MAIN!B:B, A933)=0, "Missing", ""))</f>
        <v>Missing</v>
      </c>
      <c r="C933" s="133" t="s">
        <v>15249</v>
      </c>
      <c r="E933" s="131" t="str">
        <f t="shared" si="1"/>
        <v>https://utrucking.myshopify.com/admin/orders?query=14782</v>
      </c>
    </row>
    <row r="934">
      <c r="A934" s="93" t="str">
        <f t="shared" si="2"/>
        <v>#14783</v>
      </c>
      <c r="B934" s="93" t="str">
        <f>IF(AND(COUNTIF(MAIN!B:B, A934)=0, IFERROR(SEARCH("return", C934)&gt;0, FALSE)), "Rental Return", IF(COUNTIF(MAIN!B:B, A934)=0, "Missing", ""))</f>
        <v>Rental Return</v>
      </c>
      <c r="C934" s="133" t="s">
        <v>1111</v>
      </c>
      <c r="E934" s="128" t="str">
        <f t="shared" si="1"/>
        <v/>
      </c>
    </row>
    <row r="935">
      <c r="A935" s="93" t="str">
        <f t="shared" si="2"/>
        <v>#14784</v>
      </c>
      <c r="B935" s="93" t="str">
        <f>IF(AND(COUNTIF(MAIN!B:B, A935)=0, IFERROR(SEARCH("return", C935)&gt;0, FALSE)), "Rental Return", IF(COUNTIF(MAIN!B:B, A935)=0, "Missing", ""))</f>
        <v>Rental Return</v>
      </c>
      <c r="C935" s="133" t="s">
        <v>1111</v>
      </c>
      <c r="E935" s="128" t="str">
        <f t="shared" si="1"/>
        <v/>
      </c>
    </row>
    <row r="936">
      <c r="A936" s="93" t="str">
        <f t="shared" si="2"/>
        <v>#14785</v>
      </c>
      <c r="B936" s="93" t="str">
        <f>IF(AND(COUNTIF(MAIN!B:B, A936)=0, IFERROR(SEARCH("return", C936)&gt;0, FALSE)), "Rental Return", IF(COUNTIF(MAIN!B:B, A936)=0, "Missing", ""))</f>
        <v>Missing</v>
      </c>
      <c r="C936" s="133" t="s">
        <v>15246</v>
      </c>
      <c r="E936" s="131" t="str">
        <f t="shared" si="1"/>
        <v>https://utrucking.myshopify.com/admin/orders?query=14785</v>
      </c>
    </row>
    <row r="937">
      <c r="A937" s="93" t="str">
        <f t="shared" si="2"/>
        <v>#14786</v>
      </c>
      <c r="B937" s="93" t="str">
        <f>IF(AND(COUNTIF(MAIN!B:B, A937)=0, IFERROR(SEARCH("return", C937)&gt;0, FALSE)), "Rental Return", IF(COUNTIF(MAIN!B:B, A937)=0, "Missing", ""))</f>
        <v>Missing</v>
      </c>
      <c r="C937" s="133" t="s">
        <v>15246</v>
      </c>
      <c r="E937" s="131" t="str">
        <f t="shared" si="1"/>
        <v>https://utrucking.myshopify.com/admin/orders?query=14786</v>
      </c>
    </row>
    <row r="938">
      <c r="A938" s="93" t="str">
        <f t="shared" si="2"/>
        <v>#14787</v>
      </c>
      <c r="B938" s="93" t="str">
        <f>IF(AND(COUNTIF(MAIN!B:B, A938)=0, IFERROR(SEARCH("return", C938)&gt;0, FALSE)), "Rental Return", IF(COUNTIF(MAIN!B:B, A938)=0, "Missing", ""))</f>
        <v>Missing</v>
      </c>
      <c r="C938" s="133" t="s">
        <v>15270</v>
      </c>
      <c r="E938" s="131" t="str">
        <f t="shared" si="1"/>
        <v>https://utrucking.myshopify.com/admin/orders?query=14787</v>
      </c>
    </row>
    <row r="939">
      <c r="A939" s="93" t="str">
        <f t="shared" si="2"/>
        <v>#14788</v>
      </c>
      <c r="B939" s="93" t="str">
        <f>IF(AND(COUNTIF(MAIN!B:B, A939)=0, IFERROR(SEARCH("return", C939)&gt;0, FALSE)), "Rental Return", IF(COUNTIF(MAIN!B:B, A939)=0, "Missing", ""))</f>
        <v>Missing</v>
      </c>
      <c r="C939" s="133" t="s">
        <v>15249</v>
      </c>
      <c r="E939" s="131" t="str">
        <f t="shared" si="1"/>
        <v>https://utrucking.myshopify.com/admin/orders?query=14788</v>
      </c>
    </row>
    <row r="940">
      <c r="A940" s="93" t="str">
        <f t="shared" si="2"/>
        <v>#14789</v>
      </c>
      <c r="B940" s="93" t="str">
        <f>IF(AND(COUNTIF(MAIN!B:B, A940)=0, IFERROR(SEARCH("return", C940)&gt;0, FALSE)), "Rental Return", IF(COUNTIF(MAIN!B:B, A940)=0, "Missing", ""))</f>
        <v>Rental Return</v>
      </c>
      <c r="C940" s="133" t="s">
        <v>15257</v>
      </c>
      <c r="E940" s="128" t="str">
        <f t="shared" si="1"/>
        <v/>
      </c>
    </row>
    <row r="941">
      <c r="A941" s="93" t="str">
        <f t="shared" si="2"/>
        <v>#14790</v>
      </c>
      <c r="B941" s="93" t="str">
        <f>IF(AND(COUNTIF(MAIN!B:B, A941)=0, IFERROR(SEARCH("return", C941)&gt;0, FALSE)), "Rental Return", IF(COUNTIF(MAIN!B:B, A941)=0, "Missing", ""))</f>
        <v>Rental Return</v>
      </c>
      <c r="C941" s="133" t="s">
        <v>15258</v>
      </c>
      <c r="E941" s="128" t="str">
        <f t="shared" si="1"/>
        <v/>
      </c>
    </row>
    <row r="942">
      <c r="A942" s="93" t="str">
        <f t="shared" si="2"/>
        <v>#14791</v>
      </c>
      <c r="B942" s="93" t="str">
        <f>IF(AND(COUNTIF(MAIN!B:B, A942)=0, IFERROR(SEARCH("return", C942)&gt;0, FALSE)), "Rental Return", IF(COUNTIF(MAIN!B:B, A942)=0, "Missing", ""))</f>
        <v>Missing</v>
      </c>
      <c r="C942" s="133" t="s">
        <v>15271</v>
      </c>
      <c r="E942" s="131" t="str">
        <f t="shared" si="1"/>
        <v>https://utrucking.myshopify.com/admin/orders?query=14791</v>
      </c>
    </row>
    <row r="943">
      <c r="A943" s="93" t="str">
        <f t="shared" si="2"/>
        <v>#14792</v>
      </c>
      <c r="B943" s="93" t="str">
        <f>IF(AND(COUNTIF(MAIN!B:B, A943)=0, IFERROR(SEARCH("return", C943)&gt;0, FALSE)), "Rental Return", IF(COUNTIF(MAIN!B:B, A943)=0, "Missing", ""))</f>
        <v>Missing</v>
      </c>
      <c r="C943" s="133" t="s">
        <v>15246</v>
      </c>
      <c r="E943" s="131" t="str">
        <f t="shared" si="1"/>
        <v>https://utrucking.myshopify.com/admin/orders?query=14792</v>
      </c>
    </row>
    <row r="944">
      <c r="A944" s="93" t="str">
        <f t="shared" si="2"/>
        <v>#14793</v>
      </c>
      <c r="B944" s="93" t="str">
        <f>IF(AND(COUNTIF(MAIN!B:B, A944)=0, IFERROR(SEARCH("return", C944)&gt;0, FALSE)), "Rental Return", IF(COUNTIF(MAIN!B:B, A944)=0, "Missing", ""))</f>
        <v>Missing</v>
      </c>
      <c r="C944" s="133" t="s">
        <v>15245</v>
      </c>
      <c r="E944" s="131" t="str">
        <f t="shared" si="1"/>
        <v>https://utrucking.myshopify.com/admin/orders?query=14793</v>
      </c>
    </row>
    <row r="945">
      <c r="A945" s="93" t="str">
        <f t="shared" si="2"/>
        <v>#14794</v>
      </c>
      <c r="B945" s="93" t="str">
        <f>IF(AND(COUNTIF(MAIN!B:B, A945)=0, IFERROR(SEARCH("return", C945)&gt;0, FALSE)), "Rental Return", IF(COUNTIF(MAIN!B:B, A945)=0, "Missing", ""))</f>
        <v>Rental Return</v>
      </c>
      <c r="C945" s="133" t="s">
        <v>1111</v>
      </c>
      <c r="E945" s="128" t="str">
        <f t="shared" si="1"/>
        <v/>
      </c>
    </row>
    <row r="946">
      <c r="A946" s="93" t="str">
        <f t="shared" si="2"/>
        <v>#14795</v>
      </c>
      <c r="B946" s="93" t="str">
        <f>IF(AND(COUNTIF(MAIN!B:B, A946)=0, IFERROR(SEARCH("return", C946)&gt;0, FALSE)), "Rental Return", IF(COUNTIF(MAIN!B:B, A946)=0, "Missing", ""))</f>
        <v>Missing</v>
      </c>
      <c r="C946" s="133" t="s">
        <v>15246</v>
      </c>
      <c r="E946" s="131" t="str">
        <f t="shared" si="1"/>
        <v>https://utrucking.myshopify.com/admin/orders?query=14795</v>
      </c>
    </row>
    <row r="947">
      <c r="A947" s="93" t="str">
        <f t="shared" si="2"/>
        <v>#14796</v>
      </c>
      <c r="B947" s="93" t="str">
        <f>IF(AND(COUNTIF(MAIN!B:B, A947)=0, IFERROR(SEARCH("return", C947)&gt;0, FALSE)), "Rental Return", IF(COUNTIF(MAIN!B:B, A947)=0, "Missing", ""))</f>
        <v>Missing</v>
      </c>
      <c r="C947" s="133" t="s">
        <v>15246</v>
      </c>
      <c r="E947" s="131" t="str">
        <f t="shared" si="1"/>
        <v>https://utrucking.myshopify.com/admin/orders?query=14796</v>
      </c>
    </row>
    <row r="948">
      <c r="A948" s="93" t="str">
        <f t="shared" si="2"/>
        <v>#14797</v>
      </c>
      <c r="B948" s="93" t="str">
        <f>IF(AND(COUNTIF(MAIN!B:B, A948)=0, IFERROR(SEARCH("return", C948)&gt;0, FALSE)), "Rental Return", IF(COUNTIF(MAIN!B:B, A948)=0, "Missing", ""))</f>
        <v>Missing</v>
      </c>
      <c r="C948" s="133" t="s">
        <v>15246</v>
      </c>
      <c r="E948" s="131" t="str">
        <f t="shared" si="1"/>
        <v>https://utrucking.myshopify.com/admin/orders?query=14797</v>
      </c>
    </row>
    <row r="949">
      <c r="A949" s="93" t="str">
        <f t="shared" si="2"/>
        <v>#14798</v>
      </c>
      <c r="B949" s="93" t="str">
        <f>IF(AND(COUNTIF(MAIN!B:B, A949)=0, IFERROR(SEARCH("return", C949)&gt;0, FALSE)), "Rental Return", IF(COUNTIF(MAIN!B:B, A949)=0, "Missing", ""))</f>
        <v>Missing</v>
      </c>
      <c r="C949" s="133" t="s">
        <v>15246</v>
      </c>
      <c r="E949" s="131" t="str">
        <f t="shared" si="1"/>
        <v>https://utrucking.myshopify.com/admin/orders?query=14798</v>
      </c>
    </row>
    <row r="950">
      <c r="A950" s="93" t="str">
        <f t="shared" si="2"/>
        <v>#14799</v>
      </c>
      <c r="B950" s="93" t="str">
        <f>IF(AND(COUNTIF(MAIN!B:B, A950)=0, IFERROR(SEARCH("return", C950)&gt;0, FALSE)), "Rental Return", IF(COUNTIF(MAIN!B:B, A950)=0, "Missing", ""))</f>
        <v>Missing</v>
      </c>
      <c r="C950" s="133" t="s">
        <v>15246</v>
      </c>
      <c r="E950" s="131" t="str">
        <f t="shared" si="1"/>
        <v>https://utrucking.myshopify.com/admin/orders?query=14799</v>
      </c>
    </row>
    <row r="951">
      <c r="A951" s="93" t="str">
        <f t="shared" si="2"/>
        <v>#14800</v>
      </c>
      <c r="B951" s="93" t="str">
        <f>IF(AND(COUNTIF(MAIN!B:B, A951)=0, IFERROR(SEARCH("return", C951)&gt;0, FALSE)), "Rental Return", IF(COUNTIF(MAIN!B:B, A951)=0, "Missing", ""))</f>
        <v>Missing</v>
      </c>
      <c r="C951" s="133" t="s">
        <v>15251</v>
      </c>
      <c r="E951" s="131" t="str">
        <f t="shared" si="1"/>
        <v>https://utrucking.myshopify.com/admin/orders?query=14800</v>
      </c>
    </row>
    <row r="952">
      <c r="A952" s="93" t="str">
        <f t="shared" si="2"/>
        <v>#14801</v>
      </c>
      <c r="B952" s="93" t="str">
        <f>IF(AND(COUNTIF(MAIN!B:B, A952)=0, IFERROR(SEARCH("return", C952)&gt;0, FALSE)), "Rental Return", IF(COUNTIF(MAIN!B:B, A952)=0, "Missing", ""))</f>
        <v>Missing</v>
      </c>
      <c r="C952" s="133" t="s">
        <v>15246</v>
      </c>
      <c r="E952" s="131" t="str">
        <f t="shared" si="1"/>
        <v>https://utrucking.myshopify.com/admin/orders?query=14801</v>
      </c>
    </row>
    <row r="953">
      <c r="A953" s="93" t="str">
        <f t="shared" si="2"/>
        <v>#14802</v>
      </c>
      <c r="B953" s="93" t="str">
        <f>IF(AND(COUNTIF(MAIN!B:B, A953)=0, IFERROR(SEARCH("return", C953)&gt;0, FALSE)), "Rental Return", IF(COUNTIF(MAIN!B:B, A953)=0, "Missing", ""))</f>
        <v>Missing</v>
      </c>
      <c r="C953" s="133" t="s">
        <v>15246</v>
      </c>
      <c r="E953" s="131" t="str">
        <f t="shared" si="1"/>
        <v>https://utrucking.myshopify.com/admin/orders?query=14802</v>
      </c>
    </row>
    <row r="954">
      <c r="A954" s="93" t="str">
        <f t="shared" si="2"/>
        <v>#14803</v>
      </c>
      <c r="B954" s="93" t="str">
        <f>IF(AND(COUNTIF(MAIN!B:B, A954)=0, IFERROR(SEARCH("return", C954)&gt;0, FALSE)), "Rental Return", IF(COUNTIF(MAIN!B:B, A954)=0, "Missing", ""))</f>
        <v/>
      </c>
      <c r="C954" s="128"/>
      <c r="E954" s="128" t="str">
        <f t="shared" si="1"/>
        <v/>
      </c>
    </row>
    <row r="955">
      <c r="A955" s="93" t="str">
        <f t="shared" si="2"/>
        <v>#14804</v>
      </c>
      <c r="B955" s="93" t="str">
        <f>IF(AND(COUNTIF(MAIN!B:B, A955)=0, IFERROR(SEARCH("return", C955)&gt;0, FALSE)), "Rental Return", IF(COUNTIF(MAIN!B:B, A955)=0, "Missing", ""))</f>
        <v>Rental Return</v>
      </c>
      <c r="C955" s="133" t="s">
        <v>15264</v>
      </c>
      <c r="E955" s="128" t="str">
        <f t="shared" si="1"/>
        <v/>
      </c>
    </row>
    <row r="956">
      <c r="A956" s="93" t="str">
        <f t="shared" si="2"/>
        <v>#14805</v>
      </c>
      <c r="B956" s="93" t="str">
        <f>IF(AND(COUNTIF(MAIN!B:B, A956)=0, IFERROR(SEARCH("return", C956)&gt;0, FALSE)), "Rental Return", IF(COUNTIF(MAIN!B:B, A956)=0, "Missing", ""))</f>
        <v>Missing</v>
      </c>
      <c r="C956" s="133" t="s">
        <v>15251</v>
      </c>
      <c r="E956" s="131" t="str">
        <f t="shared" si="1"/>
        <v>https://utrucking.myshopify.com/admin/orders?query=14805</v>
      </c>
    </row>
    <row r="957">
      <c r="A957" s="93" t="str">
        <f t="shared" si="2"/>
        <v>#14806</v>
      </c>
      <c r="B957" s="93" t="str">
        <f>IF(AND(COUNTIF(MAIN!B:B, A957)=0, IFERROR(SEARCH("return", C957)&gt;0, FALSE)), "Rental Return", IF(COUNTIF(MAIN!B:B, A957)=0, "Missing", ""))</f>
        <v>Missing</v>
      </c>
      <c r="C957" s="133" t="s">
        <v>15245</v>
      </c>
      <c r="E957" s="131" t="str">
        <f t="shared" si="1"/>
        <v>https://utrucking.myshopify.com/admin/orders?query=14806</v>
      </c>
    </row>
    <row r="958">
      <c r="A958" s="93" t="str">
        <f t="shared" si="2"/>
        <v>#14807</v>
      </c>
      <c r="B958" s="93" t="str">
        <f>IF(AND(COUNTIF(MAIN!B:B, A958)=0, IFERROR(SEARCH("return", C958)&gt;0, FALSE)), "Rental Return", IF(COUNTIF(MAIN!B:B, A958)=0, "Missing", ""))</f>
        <v>Rental Return</v>
      </c>
      <c r="C958" s="133" t="s">
        <v>15258</v>
      </c>
      <c r="E958" s="128" t="str">
        <f t="shared" si="1"/>
        <v/>
      </c>
    </row>
    <row r="959">
      <c r="A959" s="93" t="str">
        <f t="shared" si="2"/>
        <v>#14808</v>
      </c>
      <c r="B959" s="93" t="str">
        <f>IF(AND(COUNTIF(MAIN!B:B, A959)=0, IFERROR(SEARCH("return", C959)&gt;0, FALSE)), "Rental Return", IF(COUNTIF(MAIN!B:B, A959)=0, "Missing", ""))</f>
        <v>Missing</v>
      </c>
      <c r="C959" s="133" t="s">
        <v>15249</v>
      </c>
      <c r="E959" s="131" t="str">
        <f t="shared" si="1"/>
        <v>https://utrucking.myshopify.com/admin/orders?query=14808</v>
      </c>
    </row>
    <row r="960">
      <c r="A960" s="93" t="str">
        <f t="shared" si="2"/>
        <v>#14809</v>
      </c>
      <c r="B960" s="93" t="str">
        <f>IF(AND(COUNTIF(MAIN!B:B, A960)=0, IFERROR(SEARCH("return", C960)&gt;0, FALSE)), "Rental Return", IF(COUNTIF(MAIN!B:B, A960)=0, "Missing", ""))</f>
        <v>Missing</v>
      </c>
      <c r="C960" s="133" t="s">
        <v>15268</v>
      </c>
      <c r="E960" s="131" t="str">
        <f t="shared" si="1"/>
        <v>https://utrucking.myshopify.com/admin/orders?query=14809</v>
      </c>
    </row>
    <row r="961">
      <c r="A961" s="93" t="str">
        <f t="shared" si="2"/>
        <v>#14810</v>
      </c>
      <c r="B961" s="93" t="str">
        <f>IF(AND(COUNTIF(MAIN!B:B, A961)=0, IFERROR(SEARCH("return", C961)&gt;0, FALSE)), "Rental Return", IF(COUNTIF(MAIN!B:B, A961)=0, "Missing", ""))</f>
        <v>Missing</v>
      </c>
      <c r="C961" s="133" t="s">
        <v>15246</v>
      </c>
      <c r="E961" s="131" t="str">
        <f t="shared" si="1"/>
        <v>https://utrucking.myshopify.com/admin/orders?query=14810</v>
      </c>
    </row>
    <row r="962">
      <c r="A962" s="93" t="str">
        <f t="shared" si="2"/>
        <v>#14811</v>
      </c>
      <c r="B962" s="93" t="str">
        <f>IF(AND(COUNTIF(MAIN!B:B, A962)=0, IFERROR(SEARCH("return", C962)&gt;0, FALSE)), "Rental Return", IF(COUNTIF(MAIN!B:B, A962)=0, "Missing", ""))</f>
        <v>Missing</v>
      </c>
      <c r="C962" s="133" t="s">
        <v>15246</v>
      </c>
      <c r="E962" s="131" t="str">
        <f t="shared" si="1"/>
        <v>https://utrucking.myshopify.com/admin/orders?query=14811</v>
      </c>
    </row>
    <row r="963">
      <c r="A963" s="93" t="str">
        <f t="shared" si="2"/>
        <v>#14812</v>
      </c>
      <c r="B963" s="93" t="str">
        <f>IF(AND(COUNTIF(MAIN!B:B, A963)=0, IFERROR(SEARCH("return", C963)&gt;0, FALSE)), "Rental Return", IF(COUNTIF(MAIN!B:B, A963)=0, "Missing", ""))</f>
        <v>Rental Return</v>
      </c>
      <c r="C963" s="133" t="s">
        <v>15258</v>
      </c>
      <c r="E963" s="128" t="str">
        <f t="shared" si="1"/>
        <v/>
      </c>
    </row>
    <row r="964">
      <c r="A964" s="93" t="str">
        <f t="shared" si="2"/>
        <v>#14813</v>
      </c>
      <c r="B964" s="93" t="str">
        <f>IF(AND(COUNTIF(MAIN!B:B, A964)=0, IFERROR(SEARCH("return", C964)&gt;0, FALSE)), "Rental Return", IF(COUNTIF(MAIN!B:B, A964)=0, "Missing", ""))</f>
        <v>Missing</v>
      </c>
      <c r="C964" s="133" t="s">
        <v>15246</v>
      </c>
      <c r="E964" s="131" t="str">
        <f t="shared" si="1"/>
        <v>https://utrucking.myshopify.com/admin/orders?query=14813</v>
      </c>
    </row>
    <row r="965">
      <c r="A965" s="93" t="str">
        <f t="shared" si="2"/>
        <v>#14814</v>
      </c>
      <c r="B965" s="93" t="str">
        <f>IF(AND(COUNTIF(MAIN!B:B, A965)=0, IFERROR(SEARCH("return", C965)&gt;0, FALSE)), "Rental Return", IF(COUNTIF(MAIN!B:B, A965)=0, "Missing", ""))</f>
        <v>Missing</v>
      </c>
      <c r="C965" s="133" t="s">
        <v>15251</v>
      </c>
      <c r="E965" s="131" t="str">
        <f t="shared" si="1"/>
        <v>https://utrucking.myshopify.com/admin/orders?query=14814</v>
      </c>
    </row>
    <row r="966">
      <c r="A966" s="93" t="str">
        <f t="shared" si="2"/>
        <v>#14815</v>
      </c>
      <c r="B966" s="93" t="str">
        <f>IF(AND(COUNTIF(MAIN!B:B, A966)=0, IFERROR(SEARCH("return", C966)&gt;0, FALSE)), "Rental Return", IF(COUNTIF(MAIN!B:B, A966)=0, "Missing", ""))</f>
        <v>Rental Return</v>
      </c>
      <c r="C966" s="133" t="s">
        <v>1111</v>
      </c>
      <c r="E966" s="128" t="str">
        <f t="shared" si="1"/>
        <v/>
      </c>
    </row>
    <row r="967">
      <c r="A967" s="93" t="str">
        <f t="shared" si="2"/>
        <v>#14816</v>
      </c>
      <c r="B967" s="93" t="str">
        <f>IF(AND(COUNTIF(MAIN!B:B, A967)=0, IFERROR(SEARCH("return", C967)&gt;0, FALSE)), "Rental Return", IF(COUNTIF(MAIN!B:B, A967)=0, "Missing", ""))</f>
        <v>Rental Return</v>
      </c>
      <c r="C967" s="133" t="s">
        <v>15257</v>
      </c>
      <c r="E967" s="128" t="str">
        <f t="shared" si="1"/>
        <v/>
      </c>
    </row>
    <row r="968">
      <c r="A968" s="93" t="str">
        <f t="shared" si="2"/>
        <v>#14817</v>
      </c>
      <c r="B968" s="93" t="str">
        <f>IF(AND(COUNTIF(MAIN!B:B, A968)=0, IFERROR(SEARCH("return", C968)&gt;0, FALSE)), "Rental Return", IF(COUNTIF(MAIN!B:B, A968)=0, "Missing", ""))</f>
        <v>Rental Return</v>
      </c>
      <c r="C968" s="133" t="s">
        <v>15258</v>
      </c>
      <c r="E968" s="128" t="str">
        <f t="shared" si="1"/>
        <v/>
      </c>
    </row>
    <row r="969">
      <c r="A969" s="93" t="str">
        <f t="shared" si="2"/>
        <v>#14818</v>
      </c>
      <c r="B969" s="93" t="str">
        <f>IF(AND(COUNTIF(MAIN!B:B, A969)=0, IFERROR(SEARCH("return", C969)&gt;0, FALSE)), "Rental Return", IF(COUNTIF(MAIN!B:B, A969)=0, "Missing", ""))</f>
        <v>Missing</v>
      </c>
      <c r="C969" s="133" t="s">
        <v>15251</v>
      </c>
      <c r="E969" s="131" t="str">
        <f t="shared" si="1"/>
        <v>https://utrucking.myshopify.com/admin/orders?query=14818</v>
      </c>
    </row>
    <row r="970">
      <c r="A970" s="93" t="str">
        <f t="shared" si="2"/>
        <v>#14819</v>
      </c>
      <c r="B970" s="93" t="str">
        <f>IF(AND(COUNTIF(MAIN!B:B, A970)=0, IFERROR(SEARCH("return", C970)&gt;0, FALSE)), "Rental Return", IF(COUNTIF(MAIN!B:B, A970)=0, "Missing", ""))</f>
        <v>Missing</v>
      </c>
      <c r="C970" s="133" t="s">
        <v>15246</v>
      </c>
      <c r="E970" s="131" t="str">
        <f t="shared" si="1"/>
        <v>https://utrucking.myshopify.com/admin/orders?query=14819</v>
      </c>
    </row>
    <row r="971">
      <c r="A971" s="93" t="str">
        <f t="shared" si="2"/>
        <v>#14820</v>
      </c>
      <c r="B971" s="93" t="str">
        <f>IF(AND(COUNTIF(MAIN!B:B, A971)=0, IFERROR(SEARCH("return", C971)&gt;0, FALSE)), "Rental Return", IF(COUNTIF(MAIN!B:B, A971)=0, "Missing", ""))</f>
        <v>Missing</v>
      </c>
      <c r="C971" s="133" t="s">
        <v>15251</v>
      </c>
      <c r="E971" s="131" t="str">
        <f t="shared" si="1"/>
        <v>https://utrucking.myshopify.com/admin/orders?query=14820</v>
      </c>
    </row>
    <row r="972">
      <c r="A972" s="93" t="str">
        <f t="shared" si="2"/>
        <v>#14821</v>
      </c>
      <c r="B972" s="93" t="str">
        <f>IF(AND(COUNTIF(MAIN!B:B, A972)=0, IFERROR(SEARCH("return", C972)&gt;0, FALSE)), "Rental Return", IF(COUNTIF(MAIN!B:B, A972)=0, "Missing", ""))</f>
        <v>Missing</v>
      </c>
      <c r="C972" s="133" t="s">
        <v>15249</v>
      </c>
      <c r="E972" s="131" t="str">
        <f t="shared" si="1"/>
        <v>https://utrucking.myshopify.com/admin/orders?query=14821</v>
      </c>
    </row>
    <row r="973">
      <c r="A973" s="93" t="str">
        <f t="shared" si="2"/>
        <v>#14822</v>
      </c>
      <c r="B973" s="93" t="str">
        <f>IF(AND(COUNTIF(MAIN!B:B, A973)=0, IFERROR(SEARCH("return", C973)&gt;0, FALSE)), "Rental Return", IF(COUNTIF(MAIN!B:B, A973)=0, "Missing", ""))</f>
        <v>Missing</v>
      </c>
      <c r="C973" s="133" t="s">
        <v>15246</v>
      </c>
      <c r="E973" s="131" t="str">
        <f t="shared" si="1"/>
        <v>https://utrucking.myshopify.com/admin/orders?query=14822</v>
      </c>
    </row>
    <row r="974">
      <c r="A974" s="93" t="str">
        <f t="shared" si="2"/>
        <v>#14823</v>
      </c>
      <c r="B974" s="93" t="str">
        <f>IF(AND(COUNTIF(MAIN!B:B, A974)=0, IFERROR(SEARCH("return", C974)&gt;0, FALSE)), "Rental Return", IF(COUNTIF(MAIN!B:B, A974)=0, "Missing", ""))</f>
        <v>Rental Return</v>
      </c>
      <c r="C974" s="133" t="s">
        <v>15258</v>
      </c>
      <c r="E974" s="128" t="str">
        <f t="shared" si="1"/>
        <v/>
      </c>
    </row>
    <row r="975">
      <c r="A975" s="93" t="str">
        <f t="shared" si="2"/>
        <v>#14824</v>
      </c>
      <c r="B975" s="93" t="str">
        <f>IF(AND(COUNTIF(MAIN!B:B, A975)=0, IFERROR(SEARCH("return", C975)&gt;0, FALSE)), "Rental Return", IF(COUNTIF(MAIN!B:B, A975)=0, "Missing", ""))</f>
        <v>Missing</v>
      </c>
      <c r="C975" s="133" t="s">
        <v>15250</v>
      </c>
      <c r="E975" s="131" t="str">
        <f t="shared" si="1"/>
        <v>https://utrucking.myshopify.com/admin/orders?query=14824</v>
      </c>
    </row>
    <row r="976">
      <c r="A976" s="93" t="str">
        <f t="shared" si="2"/>
        <v>#14825</v>
      </c>
      <c r="B976" s="93" t="str">
        <f>IF(AND(COUNTIF(MAIN!B:B, A976)=0, IFERROR(SEARCH("return", C976)&gt;0, FALSE)), "Rental Return", IF(COUNTIF(MAIN!B:B, A976)=0, "Missing", ""))</f>
        <v/>
      </c>
      <c r="C976" s="128"/>
      <c r="E976" s="128" t="str">
        <f t="shared" si="1"/>
        <v/>
      </c>
    </row>
    <row r="977">
      <c r="A977" s="93" t="str">
        <f t="shared" si="2"/>
        <v>#14826</v>
      </c>
      <c r="B977" s="93" t="str">
        <f>IF(AND(COUNTIF(MAIN!B:B, A977)=0, IFERROR(SEARCH("return", C977)&gt;0, FALSE)), "Rental Return", IF(COUNTIF(MAIN!B:B, A977)=0, "Missing", ""))</f>
        <v>Missing</v>
      </c>
      <c r="C977" s="133" t="s">
        <v>15246</v>
      </c>
      <c r="E977" s="131" t="str">
        <f t="shared" si="1"/>
        <v>https://utrucking.myshopify.com/admin/orders?query=14826</v>
      </c>
    </row>
    <row r="978">
      <c r="A978" s="93" t="str">
        <f t="shared" si="2"/>
        <v>#14827</v>
      </c>
      <c r="B978" s="93" t="str">
        <f>IF(AND(COUNTIF(MAIN!B:B, A978)=0, IFERROR(SEARCH("return", C978)&gt;0, FALSE)), "Rental Return", IF(COUNTIF(MAIN!B:B, A978)=0, "Missing", ""))</f>
        <v>Rental Return</v>
      </c>
      <c r="C978" s="133" t="s">
        <v>15257</v>
      </c>
      <c r="E978" s="128" t="str">
        <f t="shared" si="1"/>
        <v/>
      </c>
    </row>
    <row r="979">
      <c r="A979" s="93" t="str">
        <f t="shared" si="2"/>
        <v>#14828</v>
      </c>
      <c r="B979" s="93" t="str">
        <f>IF(AND(COUNTIF(MAIN!B:B, A979)=0, IFERROR(SEARCH("return", C979)&gt;0, FALSE)), "Rental Return", IF(COUNTIF(MAIN!B:B, A979)=0, "Missing", ""))</f>
        <v>Rental Return</v>
      </c>
      <c r="C979" s="133" t="s">
        <v>15258</v>
      </c>
      <c r="E979" s="128" t="str">
        <f t="shared" si="1"/>
        <v/>
      </c>
    </row>
    <row r="980">
      <c r="A980" s="93" t="str">
        <f t="shared" si="2"/>
        <v>#14829</v>
      </c>
      <c r="B980" s="93" t="str">
        <f>IF(AND(COUNTIF(MAIN!B:B, A980)=0, IFERROR(SEARCH("return", C980)&gt;0, FALSE)), "Rental Return", IF(COUNTIF(MAIN!B:B, A980)=0, "Missing", ""))</f>
        <v>Missing</v>
      </c>
      <c r="C980" s="133" t="s">
        <v>15246</v>
      </c>
      <c r="E980" s="131" t="str">
        <f t="shared" si="1"/>
        <v>https://utrucking.myshopify.com/admin/orders?query=14829</v>
      </c>
    </row>
    <row r="981">
      <c r="A981" s="93" t="str">
        <f t="shared" si="2"/>
        <v>#14830</v>
      </c>
      <c r="B981" s="93" t="str">
        <f>IF(AND(COUNTIF(MAIN!B:B, A981)=0, IFERROR(SEARCH("return", C981)&gt;0, FALSE)), "Rental Return", IF(COUNTIF(MAIN!B:B, A981)=0, "Missing", ""))</f>
        <v>Rental Return</v>
      </c>
      <c r="C981" s="133" t="s">
        <v>15264</v>
      </c>
      <c r="E981" s="128" t="str">
        <f t="shared" si="1"/>
        <v/>
      </c>
    </row>
    <row r="982">
      <c r="A982" s="93" t="str">
        <f t="shared" si="2"/>
        <v>#14831</v>
      </c>
      <c r="B982" s="93" t="str">
        <f>IF(AND(COUNTIF(MAIN!B:B, A982)=0, IFERROR(SEARCH("return", C982)&gt;0, FALSE)), "Rental Return", IF(COUNTIF(MAIN!B:B, A982)=0, "Missing", ""))</f>
        <v>Missing</v>
      </c>
      <c r="C982" s="133" t="s">
        <v>15250</v>
      </c>
      <c r="E982" s="131" t="str">
        <f t="shared" si="1"/>
        <v>https://utrucking.myshopify.com/admin/orders?query=14831</v>
      </c>
    </row>
    <row r="983">
      <c r="A983" s="93" t="str">
        <f t="shared" si="2"/>
        <v>#14832</v>
      </c>
      <c r="B983" s="93" t="str">
        <f>IF(AND(COUNTIF(MAIN!B:B, A983)=0, IFERROR(SEARCH("return", C983)&gt;0, FALSE)), "Rental Return", IF(COUNTIF(MAIN!B:B, A983)=0, "Missing", ""))</f>
        <v>Rental Return</v>
      </c>
      <c r="C983" s="133" t="s">
        <v>15265</v>
      </c>
      <c r="E983" s="128" t="str">
        <f t="shared" si="1"/>
        <v/>
      </c>
    </row>
    <row r="984">
      <c r="A984" s="93" t="str">
        <f t="shared" si="2"/>
        <v>#14833</v>
      </c>
      <c r="B984" s="93" t="str">
        <f>IF(AND(COUNTIF(MAIN!B:B, A984)=0, IFERROR(SEARCH("return", C984)&gt;0, FALSE)), "Rental Return", IF(COUNTIF(MAIN!B:B, A984)=0, "Missing", ""))</f>
        <v>Rental Return</v>
      </c>
      <c r="C984" s="133" t="s">
        <v>15258</v>
      </c>
      <c r="E984" s="128" t="str">
        <f t="shared" si="1"/>
        <v/>
      </c>
    </row>
    <row r="985">
      <c r="A985" s="93" t="str">
        <f t="shared" si="2"/>
        <v>#14834</v>
      </c>
      <c r="B985" s="93" t="str">
        <f>IF(AND(COUNTIF(MAIN!B:B, A985)=0, IFERROR(SEARCH("return", C985)&gt;0, FALSE)), "Rental Return", IF(COUNTIF(MAIN!B:B, A985)=0, "Missing", ""))</f>
        <v>Rental Return</v>
      </c>
      <c r="C985" s="133" t="s">
        <v>15258</v>
      </c>
      <c r="E985" s="128" t="str">
        <f t="shared" si="1"/>
        <v/>
      </c>
    </row>
    <row r="986">
      <c r="A986" s="93" t="str">
        <f t="shared" si="2"/>
        <v>#14835</v>
      </c>
      <c r="B986" s="93" t="str">
        <f>IF(AND(COUNTIF(MAIN!B:B, A986)=0, IFERROR(SEARCH("return", C986)&gt;0, FALSE)), "Rental Return", IF(COUNTIF(MAIN!B:B, A986)=0, "Missing", ""))</f>
        <v>Rental Return</v>
      </c>
      <c r="C986" s="133" t="s">
        <v>1111</v>
      </c>
      <c r="E986" s="128" t="str">
        <f t="shared" si="1"/>
        <v/>
      </c>
    </row>
    <row r="987">
      <c r="A987" s="93" t="str">
        <f t="shared" si="2"/>
        <v>#14836</v>
      </c>
      <c r="B987" s="93" t="str">
        <f>IF(AND(COUNTIF(MAIN!B:B, A987)=0, IFERROR(SEARCH("return", C987)&gt;0, FALSE)), "Rental Return", IF(COUNTIF(MAIN!B:B, A987)=0, "Missing", ""))</f>
        <v>Rental Return</v>
      </c>
      <c r="C987" s="133" t="s">
        <v>15258</v>
      </c>
      <c r="E987" s="128" t="str">
        <f t="shared" si="1"/>
        <v/>
      </c>
    </row>
    <row r="988">
      <c r="A988" s="93" t="str">
        <f t="shared" si="2"/>
        <v>#14837</v>
      </c>
      <c r="B988" s="93" t="str">
        <f>IF(AND(COUNTIF(MAIN!B:B, A988)=0, IFERROR(SEARCH("return", C988)&gt;0, FALSE)), "Rental Return", IF(COUNTIF(MAIN!B:B, A988)=0, "Missing", ""))</f>
        <v>Missing</v>
      </c>
      <c r="C988" s="133" t="s">
        <v>15251</v>
      </c>
      <c r="E988" s="131" t="str">
        <f t="shared" si="1"/>
        <v>https://utrucking.myshopify.com/admin/orders?query=14837</v>
      </c>
    </row>
    <row r="989">
      <c r="A989" s="93" t="str">
        <f t="shared" si="2"/>
        <v>#14838</v>
      </c>
      <c r="B989" s="93" t="str">
        <f>IF(AND(COUNTIF(MAIN!B:B, A989)=0, IFERROR(SEARCH("return", C989)&gt;0, FALSE)), "Rental Return", IF(COUNTIF(MAIN!B:B, A989)=0, "Missing", ""))</f>
        <v>Rental Return</v>
      </c>
      <c r="C989" s="133" t="s">
        <v>1111</v>
      </c>
      <c r="E989" s="128" t="str">
        <f t="shared" si="1"/>
        <v/>
      </c>
    </row>
    <row r="990">
      <c r="A990" s="93" t="str">
        <f t="shared" si="2"/>
        <v>#14839</v>
      </c>
      <c r="B990" s="93" t="str">
        <f>IF(AND(COUNTIF(MAIN!B:B, A990)=0, IFERROR(SEARCH("return", C990)&gt;0, FALSE)), "Rental Return", IF(COUNTIF(MAIN!B:B, A990)=0, "Missing", ""))</f>
        <v>Rental Return</v>
      </c>
      <c r="C990" s="133" t="s">
        <v>15257</v>
      </c>
      <c r="E990" s="128" t="str">
        <f t="shared" si="1"/>
        <v/>
      </c>
    </row>
    <row r="991">
      <c r="A991" s="93" t="str">
        <f t="shared" si="2"/>
        <v>#14840</v>
      </c>
      <c r="B991" s="93" t="str">
        <f>IF(AND(COUNTIF(MAIN!B:B, A991)=0, IFERROR(SEARCH("return", C991)&gt;0, FALSE)), "Rental Return", IF(COUNTIF(MAIN!B:B, A991)=0, "Missing", ""))</f>
        <v>Missing</v>
      </c>
      <c r="C991" s="133" t="s">
        <v>15246</v>
      </c>
      <c r="E991" s="131" t="str">
        <f t="shared" si="1"/>
        <v>https://utrucking.myshopify.com/admin/orders?query=14840</v>
      </c>
    </row>
    <row r="992">
      <c r="A992" s="93" t="str">
        <f t="shared" si="2"/>
        <v>#14841</v>
      </c>
      <c r="B992" s="93" t="str">
        <f>IF(AND(COUNTIF(MAIN!B:B, A992)=0, IFERROR(SEARCH("return", C992)&gt;0, FALSE)), "Rental Return", IF(COUNTIF(MAIN!B:B, A992)=0, "Missing", ""))</f>
        <v>Missing</v>
      </c>
      <c r="C992" s="133" t="s">
        <v>15246</v>
      </c>
      <c r="E992" s="131" t="str">
        <f t="shared" si="1"/>
        <v>https://utrucking.myshopify.com/admin/orders?query=14841</v>
      </c>
    </row>
    <row r="993">
      <c r="A993" s="93" t="str">
        <f t="shared" si="2"/>
        <v>#14842</v>
      </c>
      <c r="B993" s="93" t="str">
        <f>IF(AND(COUNTIF(MAIN!B:B, A993)=0, IFERROR(SEARCH("return", C993)&gt;0, FALSE)), "Rental Return", IF(COUNTIF(MAIN!B:B, A993)=0, "Missing", ""))</f>
        <v>Missing</v>
      </c>
      <c r="C993" s="133" t="s">
        <v>15246</v>
      </c>
      <c r="E993" s="131" t="str">
        <f t="shared" si="1"/>
        <v>https://utrucking.myshopify.com/admin/orders?query=14842</v>
      </c>
    </row>
    <row r="994">
      <c r="A994" s="93" t="str">
        <f t="shared" si="2"/>
        <v>#14843</v>
      </c>
      <c r="B994" s="93" t="str">
        <f>IF(AND(COUNTIF(MAIN!B:B, A994)=0, IFERROR(SEARCH("return", C994)&gt;0, FALSE)), "Rental Return", IF(COUNTIF(MAIN!B:B, A994)=0, "Missing", ""))</f>
        <v>Rental Return</v>
      </c>
      <c r="C994" s="133" t="s">
        <v>15257</v>
      </c>
      <c r="E994" s="128" t="str">
        <f t="shared" si="1"/>
        <v/>
      </c>
    </row>
    <row r="995">
      <c r="A995" s="93" t="str">
        <f t="shared" si="2"/>
        <v>#14844</v>
      </c>
      <c r="B995" s="93" t="str">
        <f>IF(AND(COUNTIF(MAIN!B:B, A995)=0, IFERROR(SEARCH("return", C995)&gt;0, FALSE)), "Rental Return", IF(COUNTIF(MAIN!B:B, A995)=0, "Missing", ""))</f>
        <v>Missing</v>
      </c>
      <c r="C995" s="133" t="s">
        <v>15251</v>
      </c>
      <c r="E995" s="131" t="str">
        <f t="shared" si="1"/>
        <v>https://utrucking.myshopify.com/admin/orders?query=14844</v>
      </c>
    </row>
    <row r="996">
      <c r="A996" s="93" t="str">
        <f t="shared" si="2"/>
        <v>#14845</v>
      </c>
      <c r="B996" s="93" t="str">
        <f>IF(AND(COUNTIF(MAIN!B:B, A996)=0, IFERROR(SEARCH("return", C996)&gt;0, FALSE)), "Rental Return", IF(COUNTIF(MAIN!B:B, A996)=0, "Missing", ""))</f>
        <v>Rental Return</v>
      </c>
      <c r="C996" s="133" t="s">
        <v>15258</v>
      </c>
      <c r="E996" s="128" t="str">
        <f t="shared" si="1"/>
        <v/>
      </c>
    </row>
    <row r="997">
      <c r="A997" s="93" t="str">
        <f t="shared" si="2"/>
        <v>#14846</v>
      </c>
      <c r="B997" s="93" t="str">
        <f>IF(AND(COUNTIF(MAIN!B:B, A997)=0, IFERROR(SEARCH("return", C997)&gt;0, FALSE)), "Rental Return", IF(COUNTIF(MAIN!B:B, A997)=0, "Missing", ""))</f>
        <v>Missing</v>
      </c>
      <c r="C997" s="133" t="s">
        <v>15246</v>
      </c>
      <c r="E997" s="131" t="str">
        <f t="shared" si="1"/>
        <v>https://utrucking.myshopify.com/admin/orders?query=14846</v>
      </c>
    </row>
    <row r="998">
      <c r="A998" s="93" t="str">
        <f t="shared" si="2"/>
        <v>#14847</v>
      </c>
      <c r="B998" s="93" t="str">
        <f>IF(AND(COUNTIF(MAIN!B:B, A998)=0, IFERROR(SEARCH("return", C998)&gt;0, FALSE)), "Rental Return", IF(COUNTIF(MAIN!B:B, A998)=0, "Missing", ""))</f>
        <v>Missing</v>
      </c>
      <c r="C998" s="133" t="s">
        <v>15246</v>
      </c>
      <c r="E998" s="131" t="str">
        <f t="shared" si="1"/>
        <v>https://utrucking.myshopify.com/admin/orders?query=14847</v>
      </c>
    </row>
    <row r="999">
      <c r="A999" s="93" t="str">
        <f t="shared" si="2"/>
        <v>#14848</v>
      </c>
      <c r="B999" s="93" t="str">
        <f>IF(AND(COUNTIF(MAIN!B:B, A999)=0, IFERROR(SEARCH("return", C999)&gt;0, FALSE)), "Rental Return", IF(COUNTIF(MAIN!B:B, A999)=0, "Missing", ""))</f>
        <v>Rental Return</v>
      </c>
      <c r="C999" s="133" t="s">
        <v>15258</v>
      </c>
      <c r="E999" s="128" t="str">
        <f t="shared" si="1"/>
        <v/>
      </c>
    </row>
    <row r="1000">
      <c r="A1000" s="93" t="str">
        <f t="shared" si="2"/>
        <v>#14849</v>
      </c>
      <c r="B1000" s="93" t="str">
        <f>IF(AND(COUNTIF(MAIN!B:B, A1000)=0, IFERROR(SEARCH("return", C1000)&gt;0, FALSE)), "Rental Return", IF(COUNTIF(MAIN!B:B, A1000)=0, "Missing", ""))</f>
        <v/>
      </c>
      <c r="C1000" s="128"/>
      <c r="E1000" s="128" t="str">
        <f t="shared" si="1"/>
        <v/>
      </c>
    </row>
    <row r="1001">
      <c r="A1001" s="93" t="str">
        <f t="shared" si="2"/>
        <v>#14850</v>
      </c>
      <c r="B1001" s="93" t="str">
        <f>IF(AND(COUNTIF(MAIN!B:B, A1001)=0, IFERROR(SEARCH("return", C1001)&gt;0, FALSE)), "Rental Return", IF(COUNTIF(MAIN!B:B, A1001)=0, "Missing", ""))</f>
        <v>Rental Return</v>
      </c>
      <c r="C1001" s="133" t="s">
        <v>15257</v>
      </c>
      <c r="E1001" s="128" t="str">
        <f t="shared" si="1"/>
        <v/>
      </c>
    </row>
    <row r="1002">
      <c r="A1002" s="93" t="str">
        <f t="shared" si="2"/>
        <v>#14851</v>
      </c>
      <c r="B1002" s="93" t="str">
        <f>IF(AND(COUNTIF(MAIN!B:B, A1002)=0, IFERROR(SEARCH("return", C1002)&gt;0, FALSE)), "Rental Return", IF(COUNTIF(MAIN!B:B, A1002)=0, "Missing", ""))</f>
        <v>Rental Return</v>
      </c>
      <c r="C1002" s="133" t="s">
        <v>15258</v>
      </c>
      <c r="E1002" s="128" t="str">
        <f t="shared" si="1"/>
        <v/>
      </c>
    </row>
    <row r="1003">
      <c r="A1003" s="93" t="str">
        <f t="shared" si="2"/>
        <v>#14852</v>
      </c>
      <c r="B1003" s="93" t="str">
        <f>IF(AND(COUNTIF(MAIN!B:B, A1003)=0, IFERROR(SEARCH("return", C1003)&gt;0, FALSE)), "Rental Return", IF(COUNTIF(MAIN!B:B, A1003)=0, "Missing", ""))</f>
        <v>Missing</v>
      </c>
      <c r="C1003" s="133" t="s">
        <v>15246</v>
      </c>
      <c r="E1003" s="131" t="str">
        <f t="shared" si="1"/>
        <v>https://utrucking.myshopify.com/admin/orders?query=14852</v>
      </c>
    </row>
    <row r="1004">
      <c r="A1004" s="93" t="str">
        <f t="shared" si="2"/>
        <v>#14853</v>
      </c>
      <c r="B1004" s="93" t="str">
        <f>IF(AND(COUNTIF(MAIN!B:B, A1004)=0, IFERROR(SEARCH("return", C1004)&gt;0, FALSE)), "Rental Return", IF(COUNTIF(MAIN!B:B, A1004)=0, "Missing", ""))</f>
        <v/>
      </c>
      <c r="C1004" s="128"/>
      <c r="E1004" s="128" t="str">
        <f t="shared" si="1"/>
        <v/>
      </c>
    </row>
    <row r="1005">
      <c r="A1005" s="93" t="str">
        <f t="shared" si="2"/>
        <v>#14854</v>
      </c>
      <c r="B1005" s="93" t="str">
        <f>IF(AND(COUNTIF(MAIN!B:B, A1005)=0, IFERROR(SEARCH("return", C1005)&gt;0, FALSE)), "Rental Return", IF(COUNTIF(MAIN!B:B, A1005)=0, "Missing", ""))</f>
        <v>Rental Return</v>
      </c>
      <c r="C1005" s="133" t="s">
        <v>15258</v>
      </c>
      <c r="E1005" s="128" t="str">
        <f t="shared" si="1"/>
        <v/>
      </c>
    </row>
    <row r="1006">
      <c r="A1006" s="93" t="str">
        <f t="shared" si="2"/>
        <v>#14855</v>
      </c>
      <c r="B1006" s="93" t="str">
        <f>IF(AND(COUNTIF(MAIN!B:B, A1006)=0, IFERROR(SEARCH("return", C1006)&gt;0, FALSE)), "Rental Return", IF(COUNTIF(MAIN!B:B, A1006)=0, "Missing", ""))</f>
        <v>Rental Return</v>
      </c>
      <c r="C1006" s="133" t="s">
        <v>15258</v>
      </c>
      <c r="E1006" s="128" t="str">
        <f t="shared" si="1"/>
        <v/>
      </c>
    </row>
    <row r="1007">
      <c r="A1007" s="93" t="str">
        <f t="shared" si="2"/>
        <v>#14856</v>
      </c>
      <c r="B1007" s="93" t="str">
        <f>IF(AND(COUNTIF(MAIN!B:B, A1007)=0, IFERROR(SEARCH("return", C1007)&gt;0, FALSE)), "Rental Return", IF(COUNTIF(MAIN!B:B, A1007)=0, "Missing", ""))</f>
        <v>Rental Return</v>
      </c>
      <c r="C1007" s="133" t="s">
        <v>1111</v>
      </c>
      <c r="E1007" s="128" t="str">
        <f t="shared" si="1"/>
        <v/>
      </c>
    </row>
    <row r="1008">
      <c r="A1008" s="93" t="str">
        <f t="shared" si="2"/>
        <v>#14857</v>
      </c>
      <c r="B1008" s="93" t="str">
        <f>IF(AND(COUNTIF(MAIN!B:B, A1008)=0, IFERROR(SEARCH("return", C1008)&gt;0, FALSE)), "Rental Return", IF(COUNTIF(MAIN!B:B, A1008)=0, "Missing", ""))</f>
        <v>Rental Return</v>
      </c>
      <c r="C1008" s="133" t="s">
        <v>15258</v>
      </c>
      <c r="E1008" s="128" t="str">
        <f t="shared" si="1"/>
        <v/>
      </c>
    </row>
    <row r="1009">
      <c r="A1009" s="93" t="str">
        <f t="shared" si="2"/>
        <v>#14858</v>
      </c>
      <c r="B1009" s="93" t="str">
        <f>IF(AND(COUNTIF(MAIN!B:B, A1009)=0, IFERROR(SEARCH("return", C1009)&gt;0, FALSE)), "Rental Return", IF(COUNTIF(MAIN!B:B, A1009)=0, "Missing", ""))</f>
        <v>Rental Return</v>
      </c>
      <c r="C1009" s="133" t="s">
        <v>1111</v>
      </c>
      <c r="E1009" s="128" t="str">
        <f t="shared" si="1"/>
        <v/>
      </c>
    </row>
    <row r="1010">
      <c r="A1010" s="93" t="str">
        <f t="shared" si="2"/>
        <v>#14859</v>
      </c>
      <c r="B1010" s="93" t="str">
        <f>IF(AND(COUNTIF(MAIN!B:B, A1010)=0, IFERROR(SEARCH("return", C1010)&gt;0, FALSE)), "Rental Return", IF(COUNTIF(MAIN!B:B, A1010)=0, "Missing", ""))</f>
        <v>Rental Return</v>
      </c>
      <c r="C1010" s="133" t="s">
        <v>15261</v>
      </c>
      <c r="E1010" s="128" t="str">
        <f t="shared" si="1"/>
        <v/>
      </c>
    </row>
    <row r="1011">
      <c r="A1011" s="93" t="str">
        <f t="shared" si="2"/>
        <v>#14860</v>
      </c>
      <c r="B1011" s="93" t="str">
        <f>IF(AND(COUNTIF(MAIN!B:B, A1011)=0, IFERROR(SEARCH("return", C1011)&gt;0, FALSE)), "Rental Return", IF(COUNTIF(MAIN!B:B, A1011)=0, "Missing", ""))</f>
        <v>Missing</v>
      </c>
      <c r="C1011" s="133" t="s">
        <v>15249</v>
      </c>
      <c r="E1011" s="131" t="str">
        <f t="shared" si="1"/>
        <v>https://utrucking.myshopify.com/admin/orders?query=14860</v>
      </c>
    </row>
    <row r="1012">
      <c r="A1012" s="93" t="str">
        <f t="shared" si="2"/>
        <v>#14861</v>
      </c>
      <c r="B1012" s="93" t="str">
        <f>IF(AND(COUNTIF(MAIN!B:B, A1012)=0, IFERROR(SEARCH("return", C1012)&gt;0, FALSE)), "Rental Return", IF(COUNTIF(MAIN!B:B, A1012)=0, "Missing", ""))</f>
        <v>Missing</v>
      </c>
      <c r="C1012" s="133" t="s">
        <v>15248</v>
      </c>
      <c r="E1012" s="131" t="str">
        <f t="shared" si="1"/>
        <v>https://utrucking.myshopify.com/admin/orders?query=14861</v>
      </c>
    </row>
    <row r="1013">
      <c r="A1013" s="93" t="str">
        <f t="shared" si="2"/>
        <v>#14862</v>
      </c>
      <c r="B1013" s="93" t="str">
        <f>IF(AND(COUNTIF(MAIN!B:B, A1013)=0, IFERROR(SEARCH("return", C1013)&gt;0, FALSE)), "Rental Return", IF(COUNTIF(MAIN!B:B, A1013)=0, "Missing", ""))</f>
        <v>Missing</v>
      </c>
      <c r="C1013" s="133" t="s">
        <v>15246</v>
      </c>
      <c r="E1013" s="131" t="str">
        <f t="shared" si="1"/>
        <v>https://utrucking.myshopify.com/admin/orders?query=14862</v>
      </c>
    </row>
    <row r="1014">
      <c r="A1014" s="93" t="str">
        <f t="shared" si="2"/>
        <v>#14863</v>
      </c>
      <c r="B1014" s="93" t="str">
        <f>IF(AND(COUNTIF(MAIN!B:B, A1014)=0, IFERROR(SEARCH("return", C1014)&gt;0, FALSE)), "Rental Return", IF(COUNTIF(MAIN!B:B, A1014)=0, "Missing", ""))</f>
        <v>Missing</v>
      </c>
      <c r="C1014" s="133" t="s">
        <v>15246</v>
      </c>
      <c r="E1014" s="131" t="str">
        <f t="shared" si="1"/>
        <v>https://utrucking.myshopify.com/admin/orders?query=14863</v>
      </c>
    </row>
    <row r="1015">
      <c r="A1015" s="93" t="str">
        <f t="shared" si="2"/>
        <v>#14864</v>
      </c>
      <c r="B1015" s="93" t="str">
        <f>IF(AND(COUNTIF(MAIN!B:B, A1015)=0, IFERROR(SEARCH("return", C1015)&gt;0, FALSE)), "Rental Return", IF(COUNTIF(MAIN!B:B, A1015)=0, "Missing", ""))</f>
        <v>Missing</v>
      </c>
      <c r="C1015" s="133" t="s">
        <v>15245</v>
      </c>
      <c r="E1015" s="131" t="str">
        <f t="shared" si="1"/>
        <v>https://utrucking.myshopify.com/admin/orders?query=14864</v>
      </c>
    </row>
    <row r="1016">
      <c r="A1016" s="93" t="str">
        <f t="shared" si="2"/>
        <v>#14865</v>
      </c>
      <c r="B1016" s="93" t="str">
        <f>IF(AND(COUNTIF(MAIN!B:B, A1016)=0, IFERROR(SEARCH("return", C1016)&gt;0, FALSE)), "Rental Return", IF(COUNTIF(MAIN!B:B, A1016)=0, "Missing", ""))</f>
        <v>Rental Return</v>
      </c>
      <c r="C1016" s="133" t="s">
        <v>15258</v>
      </c>
      <c r="E1016" s="128" t="str">
        <f t="shared" si="1"/>
        <v/>
      </c>
    </row>
    <row r="1017">
      <c r="A1017" s="93" t="str">
        <f t="shared" si="2"/>
        <v>#14866</v>
      </c>
      <c r="B1017" s="93" t="str">
        <f>IF(AND(COUNTIF(MAIN!B:B, A1017)=0, IFERROR(SEARCH("return", C1017)&gt;0, FALSE)), "Rental Return", IF(COUNTIF(MAIN!B:B, A1017)=0, "Missing", ""))</f>
        <v>Missing</v>
      </c>
      <c r="C1017" s="133" t="s">
        <v>15246</v>
      </c>
      <c r="E1017" s="131" t="str">
        <f t="shared" si="1"/>
        <v>https://utrucking.myshopify.com/admin/orders?query=14866</v>
      </c>
    </row>
    <row r="1018">
      <c r="A1018" s="93" t="str">
        <f t="shared" si="2"/>
        <v>#14867</v>
      </c>
      <c r="B1018" s="93" t="str">
        <f>IF(AND(COUNTIF(MAIN!B:B, A1018)=0, IFERROR(SEARCH("return", C1018)&gt;0, FALSE)), "Rental Return", IF(COUNTIF(MAIN!B:B, A1018)=0, "Missing", ""))</f>
        <v>Rental Return</v>
      </c>
      <c r="C1018" s="133" t="s">
        <v>15258</v>
      </c>
      <c r="E1018" s="128" t="str">
        <f t="shared" si="1"/>
        <v/>
      </c>
    </row>
    <row r="1019">
      <c r="A1019" s="93" t="str">
        <f t="shared" si="2"/>
        <v>#14868</v>
      </c>
      <c r="B1019" s="93" t="str">
        <f>IF(AND(COUNTIF(MAIN!B:B, A1019)=0, IFERROR(SEARCH("return", C1019)&gt;0, FALSE)), "Rental Return", IF(COUNTIF(MAIN!B:B, A1019)=0, "Missing", ""))</f>
        <v>Missing</v>
      </c>
      <c r="C1019" s="133" t="s">
        <v>15267</v>
      </c>
      <c r="E1019" s="131" t="str">
        <f t="shared" si="1"/>
        <v>https://utrucking.myshopify.com/admin/orders?query=14868</v>
      </c>
    </row>
    <row r="1020">
      <c r="A1020" s="93" t="str">
        <f t="shared" si="2"/>
        <v>#14869</v>
      </c>
      <c r="B1020" s="93" t="str">
        <f>IF(AND(COUNTIF(MAIN!B:B, A1020)=0, IFERROR(SEARCH("return", C1020)&gt;0, FALSE)), "Rental Return", IF(COUNTIF(MAIN!B:B, A1020)=0, "Missing", ""))</f>
        <v>Missing</v>
      </c>
      <c r="C1020" s="133" t="s">
        <v>15246</v>
      </c>
      <c r="E1020" s="131" t="str">
        <f t="shared" si="1"/>
        <v>https://utrucking.myshopify.com/admin/orders?query=14869</v>
      </c>
    </row>
    <row r="1021">
      <c r="A1021" s="93" t="str">
        <f t="shared" si="2"/>
        <v>#14870</v>
      </c>
      <c r="B1021" s="93" t="str">
        <f>IF(AND(COUNTIF(MAIN!B:B, A1021)=0, IFERROR(SEARCH("return", C1021)&gt;0, FALSE)), "Rental Return", IF(COUNTIF(MAIN!B:B, A1021)=0, "Missing", ""))</f>
        <v>Rental Return</v>
      </c>
      <c r="C1021" s="133" t="s">
        <v>15257</v>
      </c>
      <c r="E1021" s="128" t="str">
        <f t="shared" si="1"/>
        <v/>
      </c>
    </row>
    <row r="1022">
      <c r="A1022" s="93" t="str">
        <f t="shared" si="2"/>
        <v>#14871</v>
      </c>
      <c r="B1022" s="93" t="str">
        <f>IF(AND(COUNTIF(MAIN!B:B, A1022)=0, IFERROR(SEARCH("return", C1022)&gt;0, FALSE)), "Rental Return", IF(COUNTIF(MAIN!B:B, A1022)=0, "Missing", ""))</f>
        <v>Rental Return</v>
      </c>
      <c r="C1022" s="133" t="s">
        <v>15258</v>
      </c>
      <c r="E1022" s="128" t="str">
        <f t="shared" si="1"/>
        <v/>
      </c>
    </row>
    <row r="1023">
      <c r="A1023" s="93" t="str">
        <f t="shared" si="2"/>
        <v>#14872</v>
      </c>
      <c r="B1023" s="93" t="str">
        <f>IF(AND(COUNTIF(MAIN!B:B, A1023)=0, IFERROR(SEARCH("return", C1023)&gt;0, FALSE)), "Rental Return", IF(COUNTIF(MAIN!B:B, A1023)=0, "Missing", ""))</f>
        <v>Rental Return</v>
      </c>
      <c r="C1023" s="133" t="s">
        <v>15258</v>
      </c>
      <c r="E1023" s="128" t="str">
        <f t="shared" si="1"/>
        <v/>
      </c>
    </row>
    <row r="1024">
      <c r="A1024" s="93" t="str">
        <f t="shared" si="2"/>
        <v>#14873</v>
      </c>
      <c r="B1024" s="93" t="str">
        <f>IF(AND(COUNTIF(MAIN!B:B, A1024)=0, IFERROR(SEARCH("return", C1024)&gt;0, FALSE)), "Rental Return", IF(COUNTIF(MAIN!B:B, A1024)=0, "Missing", ""))</f>
        <v>Missing</v>
      </c>
      <c r="C1024" s="133" t="s">
        <v>15246</v>
      </c>
      <c r="E1024" s="131" t="str">
        <f t="shared" si="1"/>
        <v>https://utrucking.myshopify.com/admin/orders?query=14873</v>
      </c>
    </row>
    <row r="1025">
      <c r="A1025" s="93" t="str">
        <f t="shared" si="2"/>
        <v>#14874</v>
      </c>
      <c r="B1025" s="93" t="str">
        <f>IF(AND(COUNTIF(MAIN!B:B, A1025)=0, IFERROR(SEARCH("return", C1025)&gt;0, FALSE)), "Rental Return", IF(COUNTIF(MAIN!B:B, A1025)=0, "Missing", ""))</f>
        <v>Missing</v>
      </c>
      <c r="C1025" s="133" t="s">
        <v>15251</v>
      </c>
      <c r="E1025" s="131" t="str">
        <f t="shared" si="1"/>
        <v>https://utrucking.myshopify.com/admin/orders?query=14874</v>
      </c>
    </row>
    <row r="1026">
      <c r="A1026" s="93" t="str">
        <f t="shared" si="2"/>
        <v>#14875</v>
      </c>
      <c r="B1026" s="93" t="str">
        <f>IF(AND(COUNTIF(MAIN!B:B, A1026)=0, IFERROR(SEARCH("return", C1026)&gt;0, FALSE)), "Rental Return", IF(COUNTIF(MAIN!B:B, A1026)=0, "Missing", ""))</f>
        <v>Missing</v>
      </c>
      <c r="C1026" s="133" t="s">
        <v>15249</v>
      </c>
      <c r="E1026" s="131" t="str">
        <f t="shared" si="1"/>
        <v>https://utrucking.myshopify.com/admin/orders?query=14875</v>
      </c>
    </row>
    <row r="1027">
      <c r="A1027" s="93" t="str">
        <f t="shared" si="2"/>
        <v>#14876</v>
      </c>
      <c r="B1027" s="93" t="str">
        <f>IF(AND(COUNTIF(MAIN!B:B, A1027)=0, IFERROR(SEARCH("return", C1027)&gt;0, FALSE)), "Rental Return", IF(COUNTIF(MAIN!B:B, A1027)=0, "Missing", ""))</f>
        <v>Rental Return</v>
      </c>
      <c r="C1027" s="133" t="s">
        <v>15258</v>
      </c>
      <c r="E1027" s="128" t="str">
        <f t="shared" si="1"/>
        <v/>
      </c>
    </row>
    <row r="1028">
      <c r="A1028" s="93" t="str">
        <f t="shared" si="2"/>
        <v>#14877</v>
      </c>
      <c r="B1028" s="93" t="str">
        <f>IF(AND(COUNTIF(MAIN!B:B, A1028)=0, IFERROR(SEARCH("return", C1028)&gt;0, FALSE)), "Rental Return", IF(COUNTIF(MAIN!B:B, A1028)=0, "Missing", ""))</f>
        <v>Rental Return</v>
      </c>
      <c r="C1028" s="133" t="s">
        <v>1111</v>
      </c>
      <c r="E1028" s="128" t="str">
        <f t="shared" si="1"/>
        <v/>
      </c>
    </row>
    <row r="1029">
      <c r="A1029" s="93" t="str">
        <f t="shared" si="2"/>
        <v>#14878</v>
      </c>
      <c r="B1029" s="93" t="str">
        <f>IF(AND(COUNTIF(MAIN!B:B, A1029)=0, IFERROR(SEARCH("return", C1029)&gt;0, FALSE)), "Rental Return", IF(COUNTIF(MAIN!B:B, A1029)=0, "Missing", ""))</f>
        <v>Rental Return</v>
      </c>
      <c r="C1029" s="133" t="s">
        <v>1111</v>
      </c>
      <c r="E1029" s="128" t="str">
        <f t="shared" si="1"/>
        <v/>
      </c>
    </row>
    <row r="1030">
      <c r="A1030" s="93" t="str">
        <f t="shared" si="2"/>
        <v>#14879</v>
      </c>
      <c r="B1030" s="93" t="str">
        <f>IF(AND(COUNTIF(MAIN!B:B, A1030)=0, IFERROR(SEARCH("return", C1030)&gt;0, FALSE)), "Rental Return", IF(COUNTIF(MAIN!B:B, A1030)=0, "Missing", ""))</f>
        <v>Rental Return</v>
      </c>
      <c r="C1030" s="133" t="s">
        <v>1111</v>
      </c>
      <c r="E1030" s="128" t="str">
        <f t="shared" si="1"/>
        <v/>
      </c>
    </row>
    <row r="1031">
      <c r="A1031" s="93" t="str">
        <f t="shared" si="2"/>
        <v>#14880</v>
      </c>
      <c r="B1031" s="93" t="str">
        <f>IF(AND(COUNTIF(MAIN!B:B, A1031)=0, IFERROR(SEARCH("return", C1031)&gt;0, FALSE)), "Rental Return", IF(COUNTIF(MAIN!B:B, A1031)=0, "Missing", ""))</f>
        <v>Rental Return</v>
      </c>
      <c r="C1031" s="133" t="s">
        <v>1111</v>
      </c>
      <c r="E1031" s="128" t="str">
        <f t="shared" si="1"/>
        <v/>
      </c>
    </row>
    <row r="1032">
      <c r="A1032" s="93" t="str">
        <f t="shared" si="2"/>
        <v>#14881</v>
      </c>
      <c r="B1032" s="93" t="str">
        <f>IF(AND(COUNTIF(MAIN!B:B, A1032)=0, IFERROR(SEARCH("return", C1032)&gt;0, FALSE)), "Rental Return", IF(COUNTIF(MAIN!B:B, A1032)=0, "Missing", ""))</f>
        <v>Rental Return</v>
      </c>
      <c r="C1032" s="133" t="s">
        <v>15257</v>
      </c>
      <c r="E1032" s="128" t="str">
        <f t="shared" si="1"/>
        <v/>
      </c>
    </row>
    <row r="1033">
      <c r="A1033" s="93" t="str">
        <f t="shared" si="2"/>
        <v>#14882</v>
      </c>
      <c r="B1033" s="93" t="str">
        <f>IF(AND(COUNTIF(MAIN!B:B, A1033)=0, IFERROR(SEARCH("return", C1033)&gt;0, FALSE)), "Rental Return", IF(COUNTIF(MAIN!B:B, A1033)=0, "Missing", ""))</f>
        <v>Rental Return</v>
      </c>
      <c r="C1033" s="133" t="s">
        <v>15264</v>
      </c>
      <c r="E1033" s="128" t="str">
        <f t="shared" si="1"/>
        <v/>
      </c>
    </row>
    <row r="1034">
      <c r="A1034" s="93" t="str">
        <f t="shared" si="2"/>
        <v>#14883</v>
      </c>
      <c r="B1034" s="93" t="str">
        <f>IF(AND(COUNTIF(MAIN!B:B, A1034)=0, IFERROR(SEARCH("return", C1034)&gt;0, FALSE)), "Rental Return", IF(COUNTIF(MAIN!B:B, A1034)=0, "Missing", ""))</f>
        <v>Rental Return</v>
      </c>
      <c r="C1034" s="133" t="s">
        <v>15258</v>
      </c>
      <c r="E1034" s="128" t="str">
        <f t="shared" si="1"/>
        <v/>
      </c>
    </row>
    <row r="1035">
      <c r="A1035" s="93" t="str">
        <f t="shared" si="2"/>
        <v>#14884</v>
      </c>
      <c r="B1035" s="93" t="str">
        <f>IF(AND(COUNTIF(MAIN!B:B, A1035)=0, IFERROR(SEARCH("return", C1035)&gt;0, FALSE)), "Rental Return", IF(COUNTIF(MAIN!B:B, A1035)=0, "Missing", ""))</f>
        <v>Missing</v>
      </c>
      <c r="C1035" s="133" t="s">
        <v>15246</v>
      </c>
      <c r="E1035" s="131" t="str">
        <f t="shared" si="1"/>
        <v>https://utrucking.myshopify.com/admin/orders?query=14884</v>
      </c>
    </row>
    <row r="1036">
      <c r="A1036" s="93" t="str">
        <f t="shared" si="2"/>
        <v>#14885</v>
      </c>
      <c r="B1036" s="93" t="str">
        <f>IF(AND(COUNTIF(MAIN!B:B, A1036)=0, IFERROR(SEARCH("return", C1036)&gt;0, FALSE)), "Rental Return", IF(COUNTIF(MAIN!B:B, A1036)=0, "Missing", ""))</f>
        <v>Rental Return</v>
      </c>
      <c r="C1036" s="133" t="s">
        <v>15257</v>
      </c>
      <c r="E1036" s="128" t="str">
        <f t="shared" si="1"/>
        <v/>
      </c>
    </row>
    <row r="1037">
      <c r="A1037" s="93" t="str">
        <f t="shared" si="2"/>
        <v>#14886</v>
      </c>
      <c r="B1037" s="93" t="str">
        <f>IF(AND(COUNTIF(MAIN!B:B, A1037)=0, IFERROR(SEARCH("return", C1037)&gt;0, FALSE)), "Rental Return", IF(COUNTIF(MAIN!B:B, A1037)=0, "Missing", ""))</f>
        <v>Rental Return</v>
      </c>
      <c r="C1037" s="133" t="s">
        <v>15258</v>
      </c>
      <c r="E1037" s="128" t="str">
        <f t="shared" si="1"/>
        <v/>
      </c>
    </row>
    <row r="1038">
      <c r="A1038" s="93" t="str">
        <f t="shared" si="2"/>
        <v>#14887</v>
      </c>
      <c r="B1038" s="93" t="str">
        <f>IF(AND(COUNTIF(MAIN!B:B, A1038)=0, IFERROR(SEARCH("return", C1038)&gt;0, FALSE)), "Rental Return", IF(COUNTIF(MAIN!B:B, A1038)=0, "Missing", ""))</f>
        <v>Rental Return</v>
      </c>
      <c r="C1038" s="133" t="s">
        <v>15257</v>
      </c>
      <c r="E1038" s="128" t="str">
        <f t="shared" si="1"/>
        <v/>
      </c>
    </row>
    <row r="1039">
      <c r="A1039" s="93" t="str">
        <f t="shared" si="2"/>
        <v>#14888</v>
      </c>
      <c r="B1039" s="93" t="str">
        <f>IF(AND(COUNTIF(MAIN!B:B, A1039)=0, IFERROR(SEARCH("return", C1039)&gt;0, FALSE)), "Rental Return", IF(COUNTIF(MAIN!B:B, A1039)=0, "Missing", ""))</f>
        <v>Rental Return</v>
      </c>
      <c r="C1039" s="133" t="s">
        <v>1111</v>
      </c>
      <c r="E1039" s="128" t="str">
        <f t="shared" si="1"/>
        <v/>
      </c>
    </row>
    <row r="1040">
      <c r="A1040" s="93" t="str">
        <f t="shared" si="2"/>
        <v>#14889</v>
      </c>
      <c r="B1040" s="93" t="str">
        <f>IF(AND(COUNTIF(MAIN!B:B, A1040)=0, IFERROR(SEARCH("return", C1040)&gt;0, FALSE)), "Rental Return", IF(COUNTIF(MAIN!B:B, A1040)=0, "Missing", ""))</f>
        <v>Rental Return</v>
      </c>
      <c r="C1040" s="133" t="s">
        <v>15257</v>
      </c>
      <c r="E1040" s="128" t="str">
        <f t="shared" si="1"/>
        <v/>
      </c>
    </row>
    <row r="1041">
      <c r="A1041" s="93" t="str">
        <f t="shared" si="2"/>
        <v>#14890</v>
      </c>
      <c r="B1041" s="93" t="str">
        <f>IF(AND(COUNTIF(MAIN!B:B, A1041)=0, IFERROR(SEARCH("return", C1041)&gt;0, FALSE)), "Rental Return", IF(COUNTIF(MAIN!B:B, A1041)=0, "Missing", ""))</f>
        <v>Missing</v>
      </c>
      <c r="C1041" s="133" t="s">
        <v>15246</v>
      </c>
      <c r="E1041" s="131" t="str">
        <f t="shared" si="1"/>
        <v>https://utrucking.myshopify.com/admin/orders?query=14890</v>
      </c>
    </row>
    <row r="1042">
      <c r="A1042" s="93" t="str">
        <f t="shared" si="2"/>
        <v>#14891</v>
      </c>
      <c r="B1042" s="93" t="str">
        <f>IF(AND(COUNTIF(MAIN!B:B, A1042)=0, IFERROR(SEARCH("return", C1042)&gt;0, FALSE)), "Rental Return", IF(COUNTIF(MAIN!B:B, A1042)=0, "Missing", ""))</f>
        <v>Missing</v>
      </c>
      <c r="C1042" s="133" t="s">
        <v>15246</v>
      </c>
      <c r="E1042" s="131" t="str">
        <f t="shared" si="1"/>
        <v>https://utrucking.myshopify.com/admin/orders?query=14891</v>
      </c>
    </row>
    <row r="1043">
      <c r="A1043" s="93" t="str">
        <f t="shared" si="2"/>
        <v>#14892</v>
      </c>
      <c r="B1043" s="93" t="str">
        <f>IF(AND(COUNTIF(MAIN!B:B, A1043)=0, IFERROR(SEARCH("return", C1043)&gt;0, FALSE)), "Rental Return", IF(COUNTIF(MAIN!B:B, A1043)=0, "Missing", ""))</f>
        <v>Missing</v>
      </c>
      <c r="C1043" s="133" t="s">
        <v>15245</v>
      </c>
      <c r="E1043" s="131" t="str">
        <f t="shared" si="1"/>
        <v>https://utrucking.myshopify.com/admin/orders?query=14892</v>
      </c>
    </row>
    <row r="1044">
      <c r="A1044" s="93" t="str">
        <f t="shared" si="2"/>
        <v>#14893</v>
      </c>
      <c r="B1044" s="93" t="str">
        <f>IF(AND(COUNTIF(MAIN!B:B, A1044)=0, IFERROR(SEARCH("return", C1044)&gt;0, FALSE)), "Rental Return", IF(COUNTIF(MAIN!B:B, A1044)=0, "Missing", ""))</f>
        <v>Missing</v>
      </c>
      <c r="C1044" s="133" t="s">
        <v>15269</v>
      </c>
      <c r="E1044" s="131" t="str">
        <f t="shared" si="1"/>
        <v>https://utrucking.myshopify.com/admin/orders?query=14893</v>
      </c>
    </row>
    <row r="1045">
      <c r="A1045" s="93" t="str">
        <f t="shared" si="2"/>
        <v>#14894</v>
      </c>
      <c r="B1045" s="93" t="str">
        <f>IF(AND(COUNTIF(MAIN!B:B, A1045)=0, IFERROR(SEARCH("return", C1045)&gt;0, FALSE)), "Rental Return", IF(COUNTIF(MAIN!B:B, A1045)=0, "Missing", ""))</f>
        <v>Rental Return</v>
      </c>
      <c r="C1045" s="133" t="s">
        <v>15261</v>
      </c>
      <c r="E1045" s="128" t="str">
        <f t="shared" si="1"/>
        <v/>
      </c>
    </row>
    <row r="1046">
      <c r="A1046" s="93" t="str">
        <f t="shared" si="2"/>
        <v>#14895</v>
      </c>
      <c r="B1046" s="93" t="str">
        <f>IF(AND(COUNTIF(MAIN!B:B, A1046)=0, IFERROR(SEARCH("return", C1046)&gt;0, FALSE)), "Rental Return", IF(COUNTIF(MAIN!B:B, A1046)=0, "Missing", ""))</f>
        <v>Rental Return</v>
      </c>
      <c r="C1046" s="133" t="s">
        <v>15258</v>
      </c>
      <c r="E1046" s="128" t="str">
        <f t="shared" si="1"/>
        <v/>
      </c>
    </row>
    <row r="1047">
      <c r="A1047" s="93" t="str">
        <f t="shared" si="2"/>
        <v>#14896</v>
      </c>
      <c r="B1047" s="93" t="str">
        <f>IF(AND(COUNTIF(MAIN!B:B, A1047)=0, IFERROR(SEARCH("return", C1047)&gt;0, FALSE)), "Rental Return", IF(COUNTIF(MAIN!B:B, A1047)=0, "Missing", ""))</f>
        <v>Rental Return</v>
      </c>
      <c r="C1047" s="133" t="s">
        <v>15258</v>
      </c>
      <c r="E1047" s="128" t="str">
        <f t="shared" si="1"/>
        <v/>
      </c>
    </row>
    <row r="1048">
      <c r="A1048" s="93" t="str">
        <f t="shared" si="2"/>
        <v>#14897</v>
      </c>
      <c r="B1048" s="93" t="str">
        <f>IF(AND(COUNTIF(MAIN!B:B, A1048)=0, IFERROR(SEARCH("return", C1048)&gt;0, FALSE)), "Rental Return", IF(COUNTIF(MAIN!B:B, A1048)=0, "Missing", ""))</f>
        <v>Missing</v>
      </c>
      <c r="C1048" s="133" t="s">
        <v>15246</v>
      </c>
      <c r="E1048" s="131" t="str">
        <f t="shared" si="1"/>
        <v>https://utrucking.myshopify.com/admin/orders?query=14897</v>
      </c>
    </row>
    <row r="1049">
      <c r="A1049" s="93" t="str">
        <f t="shared" si="2"/>
        <v>#14898</v>
      </c>
      <c r="B1049" s="93" t="str">
        <f>IF(AND(COUNTIF(MAIN!B:B, A1049)=0, IFERROR(SEARCH("return", C1049)&gt;0, FALSE)), "Rental Return", IF(COUNTIF(MAIN!B:B, A1049)=0, "Missing", ""))</f>
        <v>Missing</v>
      </c>
      <c r="C1049" s="133" t="s">
        <v>15251</v>
      </c>
      <c r="E1049" s="131" t="str">
        <f t="shared" si="1"/>
        <v>https://utrucking.myshopify.com/admin/orders?query=14898</v>
      </c>
    </row>
    <row r="1050">
      <c r="A1050" s="93" t="str">
        <f t="shared" si="2"/>
        <v>#14899</v>
      </c>
      <c r="B1050" s="93" t="str">
        <f>IF(AND(COUNTIF(MAIN!B:B, A1050)=0, IFERROR(SEARCH("return", C1050)&gt;0, FALSE)), "Rental Return", IF(COUNTIF(MAIN!B:B, A1050)=0, "Missing", ""))</f>
        <v>Rental Return</v>
      </c>
      <c r="C1050" s="133" t="s">
        <v>15258</v>
      </c>
      <c r="E1050" s="128" t="str">
        <f t="shared" si="1"/>
        <v/>
      </c>
    </row>
    <row r="1051">
      <c r="A1051" s="93" t="str">
        <f t="shared" si="2"/>
        <v>#14900</v>
      </c>
      <c r="B1051" s="93" t="str">
        <f>IF(AND(COUNTIF(MAIN!B:B, A1051)=0, IFERROR(SEARCH("return", C1051)&gt;0, FALSE)), "Rental Return", IF(COUNTIF(MAIN!B:B, A1051)=0, "Missing", ""))</f>
        <v>Rental Return</v>
      </c>
      <c r="C1051" s="133" t="s">
        <v>15258</v>
      </c>
      <c r="E1051" s="128" t="str">
        <f t="shared" si="1"/>
        <v/>
      </c>
    </row>
    <row r="1052">
      <c r="A1052" s="93" t="str">
        <f t="shared" si="2"/>
        <v>#14901</v>
      </c>
      <c r="B1052" s="93" t="str">
        <f>IF(AND(COUNTIF(MAIN!B:B, A1052)=0, IFERROR(SEARCH("return", C1052)&gt;0, FALSE)), "Rental Return", IF(COUNTIF(MAIN!B:B, A1052)=0, "Missing", ""))</f>
        <v>Missing</v>
      </c>
      <c r="C1052" s="133" t="s">
        <v>15246</v>
      </c>
      <c r="E1052" s="131" t="str">
        <f t="shared" si="1"/>
        <v>https://utrucking.myshopify.com/admin/orders?query=14901</v>
      </c>
    </row>
    <row r="1053">
      <c r="A1053" s="93" t="str">
        <f t="shared" si="2"/>
        <v>#14902</v>
      </c>
      <c r="B1053" s="93" t="str">
        <f>IF(AND(COUNTIF(MAIN!B:B, A1053)=0, IFERROR(SEARCH("return", C1053)&gt;0, FALSE)), "Rental Return", IF(COUNTIF(MAIN!B:B, A1053)=0, "Missing", ""))</f>
        <v>Rental Return</v>
      </c>
      <c r="C1053" s="133" t="s">
        <v>1111</v>
      </c>
      <c r="E1053" s="128" t="str">
        <f t="shared" si="1"/>
        <v/>
      </c>
    </row>
    <row r="1054">
      <c r="A1054" s="93" t="str">
        <f t="shared" si="2"/>
        <v>#14903</v>
      </c>
      <c r="B1054" s="93" t="str">
        <f>IF(AND(COUNTIF(MAIN!B:B, A1054)=0, IFERROR(SEARCH("return", C1054)&gt;0, FALSE)), "Rental Return", IF(COUNTIF(MAIN!B:B, A1054)=0, "Missing", ""))</f>
        <v>Missing</v>
      </c>
      <c r="C1054" s="133" t="s">
        <v>15251</v>
      </c>
      <c r="E1054" s="131" t="str">
        <f t="shared" si="1"/>
        <v>https://utrucking.myshopify.com/admin/orders?query=14903</v>
      </c>
    </row>
    <row r="1055">
      <c r="A1055" s="93" t="str">
        <f t="shared" si="2"/>
        <v>#14904</v>
      </c>
      <c r="B1055" s="93" t="str">
        <f>IF(AND(COUNTIF(MAIN!B:B, A1055)=0, IFERROR(SEARCH("return", C1055)&gt;0, FALSE)), "Rental Return", IF(COUNTIF(MAIN!B:B, A1055)=0, "Missing", ""))</f>
        <v>Rental Return</v>
      </c>
      <c r="C1055" s="133" t="s">
        <v>15264</v>
      </c>
      <c r="E1055" s="128" t="str">
        <f t="shared" si="1"/>
        <v/>
      </c>
    </row>
    <row r="1056">
      <c r="A1056" s="93" t="str">
        <f t="shared" si="2"/>
        <v>#14905</v>
      </c>
      <c r="B1056" s="93" t="str">
        <f>IF(AND(COUNTIF(MAIN!B:B, A1056)=0, IFERROR(SEARCH("return", C1056)&gt;0, FALSE)), "Rental Return", IF(COUNTIF(MAIN!B:B, A1056)=0, "Missing", ""))</f>
        <v>Rental Return</v>
      </c>
      <c r="C1056" s="133" t="s">
        <v>15261</v>
      </c>
      <c r="E1056" s="128" t="str">
        <f t="shared" si="1"/>
        <v/>
      </c>
    </row>
    <row r="1057">
      <c r="A1057" s="93" t="str">
        <f t="shared" si="2"/>
        <v>#14906</v>
      </c>
      <c r="B1057" s="93" t="str">
        <f>IF(AND(COUNTIF(MAIN!B:B, A1057)=0, IFERROR(SEARCH("return", C1057)&gt;0, FALSE)), "Rental Return", IF(COUNTIF(MAIN!B:B, A1057)=0, "Missing", ""))</f>
        <v>Missing</v>
      </c>
      <c r="C1057" s="133" t="s">
        <v>15246</v>
      </c>
      <c r="E1057" s="131" t="str">
        <f t="shared" si="1"/>
        <v>https://utrucking.myshopify.com/admin/orders?query=14906</v>
      </c>
    </row>
    <row r="1058">
      <c r="A1058" s="93" t="str">
        <f t="shared" si="2"/>
        <v>#14907</v>
      </c>
      <c r="B1058" s="93" t="str">
        <f>IF(AND(COUNTIF(MAIN!B:B, A1058)=0, IFERROR(SEARCH("return", C1058)&gt;0, FALSE)), "Rental Return", IF(COUNTIF(MAIN!B:B, A1058)=0, "Missing", ""))</f>
        <v>Missing</v>
      </c>
      <c r="C1058" s="133" t="s">
        <v>15246</v>
      </c>
      <c r="E1058" s="131" t="str">
        <f t="shared" si="1"/>
        <v>https://utrucking.myshopify.com/admin/orders?query=14907</v>
      </c>
    </row>
    <row r="1059">
      <c r="A1059" s="93" t="str">
        <f t="shared" si="2"/>
        <v>#14908</v>
      </c>
      <c r="B1059" s="93" t="str">
        <f>IF(AND(COUNTIF(MAIN!B:B, A1059)=0, IFERROR(SEARCH("return", C1059)&gt;0, FALSE)), "Rental Return", IF(COUNTIF(MAIN!B:B, A1059)=0, "Missing", ""))</f>
        <v>Missing</v>
      </c>
      <c r="C1059" s="133" t="s">
        <v>15252</v>
      </c>
      <c r="E1059" s="131" t="str">
        <f t="shared" si="1"/>
        <v>https://utrucking.myshopify.com/admin/orders?query=14908</v>
      </c>
    </row>
    <row r="1060">
      <c r="A1060" s="93" t="str">
        <f t="shared" si="2"/>
        <v>#14909</v>
      </c>
      <c r="B1060" s="93" t="str">
        <f>IF(AND(COUNTIF(MAIN!B:B, A1060)=0, IFERROR(SEARCH("return", C1060)&gt;0, FALSE)), "Rental Return", IF(COUNTIF(MAIN!B:B, A1060)=0, "Missing", ""))</f>
        <v>Missing</v>
      </c>
      <c r="C1060" s="133" t="s">
        <v>15248</v>
      </c>
      <c r="E1060" s="131" t="str">
        <f t="shared" si="1"/>
        <v>https://utrucking.myshopify.com/admin/orders?query=14909</v>
      </c>
    </row>
    <row r="1061">
      <c r="A1061" s="93" t="str">
        <f t="shared" si="2"/>
        <v>#14910</v>
      </c>
      <c r="B1061" s="93" t="str">
        <f>IF(AND(COUNTIF(MAIN!B:B, A1061)=0, IFERROR(SEARCH("return", C1061)&gt;0, FALSE)), "Rental Return", IF(COUNTIF(MAIN!B:B, A1061)=0, "Missing", ""))</f>
        <v>Rental Return</v>
      </c>
      <c r="C1061" s="133" t="s">
        <v>15257</v>
      </c>
      <c r="E1061" s="128" t="str">
        <f t="shared" si="1"/>
        <v/>
      </c>
    </row>
    <row r="1062">
      <c r="A1062" s="93" t="str">
        <f t="shared" si="2"/>
        <v>#14911</v>
      </c>
      <c r="B1062" s="93" t="str">
        <f>IF(AND(COUNTIF(MAIN!B:B, A1062)=0, IFERROR(SEARCH("return", C1062)&gt;0, FALSE)), "Rental Return", IF(COUNTIF(MAIN!B:B, A1062)=0, "Missing", ""))</f>
        <v>Missing</v>
      </c>
      <c r="C1062" s="133" t="s">
        <v>15246</v>
      </c>
      <c r="E1062" s="131" t="str">
        <f t="shared" si="1"/>
        <v>https://utrucking.myshopify.com/admin/orders?query=14911</v>
      </c>
    </row>
    <row r="1063">
      <c r="A1063" s="93" t="str">
        <f t="shared" si="2"/>
        <v>#14912</v>
      </c>
      <c r="B1063" s="93" t="str">
        <f>IF(AND(COUNTIF(MAIN!B:B, A1063)=0, IFERROR(SEARCH("return", C1063)&gt;0, FALSE)), "Rental Return", IF(COUNTIF(MAIN!B:B, A1063)=0, "Missing", ""))</f>
        <v>Missing</v>
      </c>
      <c r="C1063" s="133" t="s">
        <v>15246</v>
      </c>
      <c r="E1063" s="131" t="str">
        <f t="shared" si="1"/>
        <v>https://utrucking.myshopify.com/admin/orders?query=14912</v>
      </c>
    </row>
    <row r="1064">
      <c r="A1064" s="93" t="str">
        <f t="shared" si="2"/>
        <v>#14913</v>
      </c>
      <c r="B1064" s="93" t="str">
        <f>IF(AND(COUNTIF(MAIN!B:B, A1064)=0, IFERROR(SEARCH("return", C1064)&gt;0, FALSE)), "Rental Return", IF(COUNTIF(MAIN!B:B, A1064)=0, "Missing", ""))</f>
        <v>Missing</v>
      </c>
      <c r="C1064" s="133" t="s">
        <v>15248</v>
      </c>
      <c r="E1064" s="131" t="str">
        <f t="shared" si="1"/>
        <v>https://utrucking.myshopify.com/admin/orders?query=14913</v>
      </c>
    </row>
    <row r="1065">
      <c r="A1065" s="93" t="str">
        <f t="shared" si="2"/>
        <v>#14914</v>
      </c>
      <c r="B1065" s="93" t="str">
        <f>IF(AND(COUNTIF(MAIN!B:B, A1065)=0, IFERROR(SEARCH("return", C1065)&gt;0, FALSE)), "Rental Return", IF(COUNTIF(MAIN!B:B, A1065)=0, "Missing", ""))</f>
        <v>Rental Return</v>
      </c>
      <c r="C1065" s="133" t="s">
        <v>15258</v>
      </c>
      <c r="E1065" s="128" t="str">
        <f t="shared" si="1"/>
        <v/>
      </c>
    </row>
    <row r="1066">
      <c r="A1066" s="93" t="str">
        <f t="shared" si="2"/>
        <v>#14915</v>
      </c>
      <c r="B1066" s="93" t="str">
        <f>IF(AND(COUNTIF(MAIN!B:B, A1066)=0, IFERROR(SEARCH("return", C1066)&gt;0, FALSE)), "Rental Return", IF(COUNTIF(MAIN!B:B, A1066)=0, "Missing", ""))</f>
        <v>Missing</v>
      </c>
      <c r="C1066" s="133" t="s">
        <v>15249</v>
      </c>
      <c r="E1066" s="131" t="str">
        <f t="shared" si="1"/>
        <v>https://utrucking.myshopify.com/admin/orders?query=14915</v>
      </c>
    </row>
    <row r="1067">
      <c r="A1067" s="93" t="str">
        <f t="shared" si="2"/>
        <v>#14916</v>
      </c>
      <c r="B1067" s="93" t="str">
        <f>IF(AND(COUNTIF(MAIN!B:B, A1067)=0, IFERROR(SEARCH("return", C1067)&gt;0, FALSE)), "Rental Return", IF(COUNTIF(MAIN!B:B, A1067)=0, "Missing", ""))</f>
        <v>Missing</v>
      </c>
      <c r="C1067" s="133" t="s">
        <v>15246</v>
      </c>
      <c r="E1067" s="131" t="str">
        <f t="shared" si="1"/>
        <v>https://utrucking.myshopify.com/admin/orders?query=14916</v>
      </c>
    </row>
    <row r="1068">
      <c r="A1068" s="93" t="str">
        <f t="shared" si="2"/>
        <v>#14917</v>
      </c>
      <c r="B1068" s="93" t="str">
        <f>IF(AND(COUNTIF(MAIN!B:B, A1068)=0, IFERROR(SEARCH("return", C1068)&gt;0, FALSE)), "Rental Return", IF(COUNTIF(MAIN!B:B, A1068)=0, "Missing", ""))</f>
        <v>Rental Return</v>
      </c>
      <c r="C1068" s="133" t="s">
        <v>1111</v>
      </c>
      <c r="E1068" s="128" t="str">
        <f t="shared" si="1"/>
        <v/>
      </c>
    </row>
    <row r="1069">
      <c r="A1069" s="93" t="str">
        <f t="shared" si="2"/>
        <v>#14918</v>
      </c>
      <c r="B1069" s="93" t="str">
        <f>IF(AND(COUNTIF(MAIN!B:B, A1069)=0, IFERROR(SEARCH("return", C1069)&gt;0, FALSE)), "Rental Return", IF(COUNTIF(MAIN!B:B, A1069)=0, "Missing", ""))</f>
        <v>Missing</v>
      </c>
      <c r="C1069" s="133" t="s">
        <v>15251</v>
      </c>
      <c r="E1069" s="131" t="str">
        <f t="shared" si="1"/>
        <v>https://utrucking.myshopify.com/admin/orders?query=14918</v>
      </c>
    </row>
    <row r="1070">
      <c r="A1070" s="93" t="str">
        <f t="shared" si="2"/>
        <v>#14919</v>
      </c>
      <c r="B1070" s="93" t="str">
        <f>IF(AND(COUNTIF(MAIN!B:B, A1070)=0, IFERROR(SEARCH("return", C1070)&gt;0, FALSE)), "Rental Return", IF(COUNTIF(MAIN!B:B, A1070)=0, "Missing", ""))</f>
        <v>Missing</v>
      </c>
      <c r="C1070" s="133" t="s">
        <v>15246</v>
      </c>
      <c r="E1070" s="131" t="str">
        <f t="shared" si="1"/>
        <v>https://utrucking.myshopify.com/admin/orders?query=14919</v>
      </c>
    </row>
    <row r="1071">
      <c r="A1071" s="93" t="str">
        <f t="shared" si="2"/>
        <v>#14920</v>
      </c>
      <c r="B1071" s="93" t="str">
        <f>IF(AND(COUNTIF(MAIN!B:B, A1071)=0, IFERROR(SEARCH("return", C1071)&gt;0, FALSE)), "Rental Return", IF(COUNTIF(MAIN!B:B, A1071)=0, "Missing", ""))</f>
        <v>Missing</v>
      </c>
      <c r="C1071" s="133" t="s">
        <v>15246</v>
      </c>
      <c r="E1071" s="131" t="str">
        <f t="shared" si="1"/>
        <v>https://utrucking.myshopify.com/admin/orders?query=14920</v>
      </c>
    </row>
    <row r="1072">
      <c r="A1072" s="93" t="str">
        <f t="shared" si="2"/>
        <v>#14921</v>
      </c>
      <c r="B1072" s="93" t="str">
        <f>IF(AND(COUNTIF(MAIN!B:B, A1072)=0, IFERROR(SEARCH("return", C1072)&gt;0, FALSE)), "Rental Return", IF(COUNTIF(MAIN!B:B, A1072)=0, "Missing", ""))</f>
        <v>Missing</v>
      </c>
      <c r="C1072" s="133" t="s">
        <v>15246</v>
      </c>
      <c r="E1072" s="131" t="str">
        <f t="shared" si="1"/>
        <v>https://utrucking.myshopify.com/admin/orders?query=14921</v>
      </c>
    </row>
    <row r="1073">
      <c r="A1073" s="93" t="str">
        <f t="shared" si="2"/>
        <v>#14922</v>
      </c>
      <c r="B1073" s="93" t="str">
        <f>IF(AND(COUNTIF(MAIN!B:B, A1073)=0, IFERROR(SEARCH("return", C1073)&gt;0, FALSE)), "Rental Return", IF(COUNTIF(MAIN!B:B, A1073)=0, "Missing", ""))</f>
        <v>Rental Return</v>
      </c>
      <c r="C1073" s="133" t="s">
        <v>15257</v>
      </c>
      <c r="E1073" s="128" t="str">
        <f t="shared" si="1"/>
        <v/>
      </c>
    </row>
    <row r="1074">
      <c r="A1074" s="93" t="str">
        <f t="shared" si="2"/>
        <v>#14923</v>
      </c>
      <c r="B1074" s="93" t="str">
        <f>IF(AND(COUNTIF(MAIN!B:B, A1074)=0, IFERROR(SEARCH("return", C1074)&gt;0, FALSE)), "Rental Return", IF(COUNTIF(MAIN!B:B, A1074)=0, "Missing", ""))</f>
        <v>Rental Return</v>
      </c>
      <c r="C1074" s="133" t="s">
        <v>1111</v>
      </c>
      <c r="E1074" s="128" t="str">
        <f t="shared" si="1"/>
        <v/>
      </c>
    </row>
    <row r="1075">
      <c r="A1075" s="93" t="str">
        <f t="shared" si="2"/>
        <v>#14924</v>
      </c>
      <c r="B1075" s="93" t="str">
        <f>IF(AND(COUNTIF(MAIN!B:B, A1075)=0, IFERROR(SEARCH("return", C1075)&gt;0, FALSE)), "Rental Return", IF(COUNTIF(MAIN!B:B, A1075)=0, "Missing", ""))</f>
        <v>Rental Return</v>
      </c>
      <c r="C1075" s="133" t="s">
        <v>15258</v>
      </c>
      <c r="E1075" s="128" t="str">
        <f t="shared" si="1"/>
        <v/>
      </c>
    </row>
    <row r="1076">
      <c r="A1076" s="93" t="str">
        <f t="shared" si="2"/>
        <v>#14925</v>
      </c>
      <c r="B1076" s="93" t="str">
        <f>IF(AND(COUNTIF(MAIN!B:B, A1076)=0, IFERROR(SEARCH("return", C1076)&gt;0, FALSE)), "Rental Return", IF(COUNTIF(MAIN!B:B, A1076)=0, "Missing", ""))</f>
        <v>Missing</v>
      </c>
      <c r="C1076" s="133" t="s">
        <v>15246</v>
      </c>
      <c r="E1076" s="131" t="str">
        <f t="shared" si="1"/>
        <v>https://utrucking.myshopify.com/admin/orders?query=14925</v>
      </c>
    </row>
    <row r="1077">
      <c r="A1077" s="93" t="str">
        <f t="shared" si="2"/>
        <v>#14926</v>
      </c>
      <c r="B1077" s="93" t="str">
        <f>IF(AND(COUNTIF(MAIN!B:B, A1077)=0, IFERROR(SEARCH("return", C1077)&gt;0, FALSE)), "Rental Return", IF(COUNTIF(MAIN!B:B, A1077)=0, "Missing", ""))</f>
        <v>Rental Return</v>
      </c>
      <c r="C1077" s="133" t="s">
        <v>15258</v>
      </c>
      <c r="E1077" s="128" t="str">
        <f t="shared" si="1"/>
        <v/>
      </c>
    </row>
    <row r="1078">
      <c r="A1078" s="93" t="str">
        <f t="shared" si="2"/>
        <v>#14927</v>
      </c>
      <c r="B1078" s="93" t="str">
        <f>IF(AND(COUNTIF(MAIN!B:B, A1078)=0, IFERROR(SEARCH("return", C1078)&gt;0, FALSE)), "Rental Return", IF(COUNTIF(MAIN!B:B, A1078)=0, "Missing", ""))</f>
        <v/>
      </c>
      <c r="C1078" s="128"/>
      <c r="E1078" s="128" t="str">
        <f t="shared" si="1"/>
        <v/>
      </c>
    </row>
    <row r="1079">
      <c r="A1079" s="93" t="str">
        <f t="shared" si="2"/>
        <v>#14928</v>
      </c>
      <c r="B1079" s="93" t="str">
        <f>IF(AND(COUNTIF(MAIN!B:B, A1079)=0, IFERROR(SEARCH("return", C1079)&gt;0, FALSE)), "Rental Return", IF(COUNTIF(MAIN!B:B, A1079)=0, "Missing", ""))</f>
        <v>Missing</v>
      </c>
      <c r="C1079" s="133" t="s">
        <v>15245</v>
      </c>
      <c r="E1079" s="131" t="str">
        <f t="shared" si="1"/>
        <v>https://utrucking.myshopify.com/admin/orders?query=14928</v>
      </c>
    </row>
    <row r="1080">
      <c r="A1080" s="93" t="str">
        <f t="shared" si="2"/>
        <v>#14929</v>
      </c>
      <c r="B1080" s="93" t="str">
        <f>IF(AND(COUNTIF(MAIN!B:B, A1080)=0, IFERROR(SEARCH("return", C1080)&gt;0, FALSE)), "Rental Return", IF(COUNTIF(MAIN!B:B, A1080)=0, "Missing", ""))</f>
        <v>Rental Return</v>
      </c>
      <c r="C1080" s="133" t="s">
        <v>15257</v>
      </c>
      <c r="E1080" s="128" t="str">
        <f t="shared" si="1"/>
        <v/>
      </c>
    </row>
    <row r="1081">
      <c r="A1081" s="93" t="str">
        <f t="shared" si="2"/>
        <v>#14930</v>
      </c>
      <c r="B1081" s="93" t="str">
        <f>IF(AND(COUNTIF(MAIN!B:B, A1081)=0, IFERROR(SEARCH("return", C1081)&gt;0, FALSE)), "Rental Return", IF(COUNTIF(MAIN!B:B, A1081)=0, "Missing", ""))</f>
        <v>Missing</v>
      </c>
      <c r="C1081" s="133" t="s">
        <v>15251</v>
      </c>
      <c r="E1081" s="131" t="str">
        <f t="shared" si="1"/>
        <v>https://utrucking.myshopify.com/admin/orders?query=14930</v>
      </c>
    </row>
    <row r="1082">
      <c r="A1082" s="93" t="str">
        <f t="shared" si="2"/>
        <v>#14931</v>
      </c>
      <c r="B1082" s="93" t="str">
        <f>IF(AND(COUNTIF(MAIN!B:B, A1082)=0, IFERROR(SEARCH("return", C1082)&gt;0, FALSE)), "Rental Return", IF(COUNTIF(MAIN!B:B, A1082)=0, "Missing", ""))</f>
        <v>Rental Return</v>
      </c>
      <c r="C1082" s="133" t="s">
        <v>1111</v>
      </c>
      <c r="E1082" s="128" t="str">
        <f t="shared" si="1"/>
        <v/>
      </c>
    </row>
    <row r="1083">
      <c r="A1083" s="93" t="str">
        <f t="shared" si="2"/>
        <v>#14932</v>
      </c>
      <c r="B1083" s="93" t="str">
        <f>IF(AND(COUNTIF(MAIN!B:B, A1083)=0, IFERROR(SEARCH("return", C1083)&gt;0, FALSE)), "Rental Return", IF(COUNTIF(MAIN!B:B, A1083)=0, "Missing", ""))</f>
        <v>Missing</v>
      </c>
      <c r="C1083" s="133" t="s">
        <v>15246</v>
      </c>
      <c r="E1083" s="131" t="str">
        <f t="shared" si="1"/>
        <v>https://utrucking.myshopify.com/admin/orders?query=14932</v>
      </c>
    </row>
    <row r="1084">
      <c r="A1084" s="93" t="str">
        <f t="shared" si="2"/>
        <v>#14933</v>
      </c>
      <c r="B1084" s="93" t="str">
        <f>IF(AND(COUNTIF(MAIN!B:B, A1084)=0, IFERROR(SEARCH("return", C1084)&gt;0, FALSE)), "Rental Return", IF(COUNTIF(MAIN!B:B, A1084)=0, "Missing", ""))</f>
        <v>Rental Return</v>
      </c>
      <c r="C1084" s="133" t="s">
        <v>15258</v>
      </c>
      <c r="E1084" s="128" t="str">
        <f t="shared" si="1"/>
        <v/>
      </c>
    </row>
    <row r="1085">
      <c r="A1085" s="93" t="str">
        <f t="shared" si="2"/>
        <v>#14934</v>
      </c>
      <c r="B1085" s="93" t="str">
        <f>IF(AND(COUNTIF(MAIN!B:B, A1085)=0, IFERROR(SEARCH("return", C1085)&gt;0, FALSE)), "Rental Return", IF(COUNTIF(MAIN!B:B, A1085)=0, "Missing", ""))</f>
        <v>Rental Return</v>
      </c>
      <c r="C1085" s="133" t="s">
        <v>15257</v>
      </c>
      <c r="E1085" s="128" t="str">
        <f t="shared" si="1"/>
        <v/>
      </c>
    </row>
    <row r="1086">
      <c r="A1086" s="93" t="str">
        <f t="shared" si="2"/>
        <v>#14935</v>
      </c>
      <c r="B1086" s="93" t="str">
        <f>IF(AND(COUNTIF(MAIN!B:B, A1086)=0, IFERROR(SEARCH("return", C1086)&gt;0, FALSE)), "Rental Return", IF(COUNTIF(MAIN!B:B, A1086)=0, "Missing", ""))</f>
        <v>Missing</v>
      </c>
      <c r="C1086" s="133" t="s">
        <v>15251</v>
      </c>
      <c r="E1086" s="131" t="str">
        <f t="shared" si="1"/>
        <v>https://utrucking.myshopify.com/admin/orders?query=14935</v>
      </c>
    </row>
    <row r="1087">
      <c r="A1087" s="93" t="str">
        <f t="shared" si="2"/>
        <v>#14936</v>
      </c>
      <c r="B1087" s="93" t="str">
        <f>IF(AND(COUNTIF(MAIN!B:B, A1087)=0, IFERROR(SEARCH("return", C1087)&gt;0, FALSE)), "Rental Return", IF(COUNTIF(MAIN!B:B, A1087)=0, "Missing", ""))</f>
        <v>Rental Return</v>
      </c>
      <c r="C1087" s="133" t="s">
        <v>1111</v>
      </c>
      <c r="E1087" s="128" t="str">
        <f t="shared" si="1"/>
        <v/>
      </c>
    </row>
    <row r="1088">
      <c r="A1088" s="93" t="str">
        <f t="shared" si="2"/>
        <v>#14937</v>
      </c>
      <c r="B1088" s="93" t="str">
        <f>IF(AND(COUNTIF(MAIN!B:B, A1088)=0, IFERROR(SEARCH("return", C1088)&gt;0, FALSE)), "Rental Return", IF(COUNTIF(MAIN!B:B, A1088)=0, "Missing", ""))</f>
        <v>Missing</v>
      </c>
      <c r="C1088" s="133" t="s">
        <v>15246</v>
      </c>
      <c r="E1088" s="131" t="str">
        <f t="shared" si="1"/>
        <v>https://utrucking.myshopify.com/admin/orders?query=14937</v>
      </c>
    </row>
    <row r="1089">
      <c r="A1089" s="93" t="str">
        <f t="shared" si="2"/>
        <v>#14938</v>
      </c>
      <c r="B1089" s="93" t="str">
        <f>IF(AND(COUNTIF(MAIN!B:B, A1089)=0, IFERROR(SEARCH("return", C1089)&gt;0, FALSE)), "Rental Return", IF(COUNTIF(MAIN!B:B, A1089)=0, "Missing", ""))</f>
        <v/>
      </c>
      <c r="C1089" s="128"/>
      <c r="E1089" s="128" t="str">
        <f t="shared" si="1"/>
        <v/>
      </c>
    </row>
    <row r="1090">
      <c r="A1090" s="93" t="str">
        <f t="shared" si="2"/>
        <v>#14939</v>
      </c>
      <c r="B1090" s="93" t="str">
        <f>IF(AND(COUNTIF(MAIN!B:B, A1090)=0, IFERROR(SEARCH("return", C1090)&gt;0, FALSE)), "Rental Return", IF(COUNTIF(MAIN!B:B, A1090)=0, "Missing", ""))</f>
        <v>Rental Return</v>
      </c>
      <c r="C1090" s="133" t="s">
        <v>15258</v>
      </c>
      <c r="E1090" s="128" t="str">
        <f t="shared" si="1"/>
        <v/>
      </c>
    </row>
    <row r="1091">
      <c r="A1091" s="93" t="str">
        <f t="shared" si="2"/>
        <v>#14940</v>
      </c>
      <c r="B1091" s="93" t="str">
        <f>IF(AND(COUNTIF(MAIN!B:B, A1091)=0, IFERROR(SEARCH("return", C1091)&gt;0, FALSE)), "Rental Return", IF(COUNTIF(MAIN!B:B, A1091)=0, "Missing", ""))</f>
        <v>Rental Return</v>
      </c>
      <c r="C1091" s="133" t="s">
        <v>15264</v>
      </c>
      <c r="E1091" s="128" t="str">
        <f t="shared" si="1"/>
        <v/>
      </c>
    </row>
    <row r="1092">
      <c r="A1092" s="93" t="str">
        <f t="shared" si="2"/>
        <v>#14941</v>
      </c>
      <c r="B1092" s="93" t="str">
        <f>IF(AND(COUNTIF(MAIN!B:B, A1092)=0, IFERROR(SEARCH("return", C1092)&gt;0, FALSE)), "Rental Return", IF(COUNTIF(MAIN!B:B, A1092)=0, "Missing", ""))</f>
        <v>Rental Return</v>
      </c>
      <c r="C1092" s="133" t="s">
        <v>15258</v>
      </c>
      <c r="E1092" s="128" t="str">
        <f t="shared" si="1"/>
        <v/>
      </c>
    </row>
    <row r="1093">
      <c r="A1093" s="93" t="str">
        <f t="shared" si="2"/>
        <v>#14942</v>
      </c>
      <c r="B1093" s="93" t="str">
        <f>IF(AND(COUNTIF(MAIN!B:B, A1093)=0, IFERROR(SEARCH("return", C1093)&gt;0, FALSE)), "Rental Return", IF(COUNTIF(MAIN!B:B, A1093)=0, "Missing", ""))</f>
        <v>Missing</v>
      </c>
      <c r="C1093" s="133" t="s">
        <v>15251</v>
      </c>
      <c r="E1093" s="131" t="str">
        <f t="shared" si="1"/>
        <v>https://utrucking.myshopify.com/admin/orders?query=14942</v>
      </c>
    </row>
    <row r="1094">
      <c r="A1094" s="93" t="str">
        <f t="shared" si="2"/>
        <v>#14943</v>
      </c>
      <c r="B1094" s="93" t="str">
        <f>IF(AND(COUNTIF(MAIN!B:B, A1094)=0, IFERROR(SEARCH("return", C1094)&gt;0, FALSE)), "Rental Return", IF(COUNTIF(MAIN!B:B, A1094)=0, "Missing", ""))</f>
        <v>Rental Return</v>
      </c>
      <c r="C1094" s="133" t="s">
        <v>15258</v>
      </c>
      <c r="E1094" s="128" t="str">
        <f t="shared" si="1"/>
        <v/>
      </c>
    </row>
    <row r="1095">
      <c r="A1095" s="93" t="str">
        <f t="shared" si="2"/>
        <v>#14944</v>
      </c>
      <c r="B1095" s="93" t="str">
        <f>IF(AND(COUNTIF(MAIN!B:B, A1095)=0, IFERROR(SEARCH("return", C1095)&gt;0, FALSE)), "Rental Return", IF(COUNTIF(MAIN!B:B, A1095)=0, "Missing", ""))</f>
        <v>Rental Return</v>
      </c>
      <c r="C1095" s="133" t="s">
        <v>1111</v>
      </c>
      <c r="E1095" s="128" t="str">
        <f t="shared" si="1"/>
        <v/>
      </c>
    </row>
    <row r="1096">
      <c r="A1096" s="93" t="str">
        <f t="shared" si="2"/>
        <v>#14945</v>
      </c>
      <c r="B1096" s="93" t="str">
        <f>IF(AND(COUNTIF(MAIN!B:B, A1096)=0, IFERROR(SEARCH("return", C1096)&gt;0, FALSE)), "Rental Return", IF(COUNTIF(MAIN!B:B, A1096)=0, "Missing", ""))</f>
        <v>Rental Return</v>
      </c>
      <c r="C1096" s="133" t="s">
        <v>1111</v>
      </c>
      <c r="E1096" s="128" t="str">
        <f t="shared" si="1"/>
        <v/>
      </c>
    </row>
    <row r="1097">
      <c r="A1097" s="93" t="str">
        <f t="shared" si="2"/>
        <v>#14946</v>
      </c>
      <c r="B1097" s="93" t="str">
        <f>IF(AND(COUNTIF(MAIN!B:B, A1097)=0, IFERROR(SEARCH("return", C1097)&gt;0, FALSE)), "Rental Return", IF(COUNTIF(MAIN!B:B, A1097)=0, "Missing", ""))</f>
        <v>Missing</v>
      </c>
      <c r="C1097" s="133" t="s">
        <v>15250</v>
      </c>
      <c r="E1097" s="131" t="str">
        <f t="shared" si="1"/>
        <v>https://utrucking.myshopify.com/admin/orders?query=14946</v>
      </c>
    </row>
    <row r="1098">
      <c r="A1098" s="93" t="str">
        <f t="shared" si="2"/>
        <v>#14947</v>
      </c>
      <c r="B1098" s="93" t="str">
        <f>IF(AND(COUNTIF(MAIN!B:B, A1098)=0, IFERROR(SEARCH("return", C1098)&gt;0, FALSE)), "Rental Return", IF(COUNTIF(MAIN!B:B, A1098)=0, "Missing", ""))</f>
        <v>Missing</v>
      </c>
      <c r="C1098" s="133" t="s">
        <v>15246</v>
      </c>
      <c r="E1098" s="131" t="str">
        <f t="shared" si="1"/>
        <v>https://utrucking.myshopify.com/admin/orders?query=14947</v>
      </c>
    </row>
    <row r="1099">
      <c r="A1099" s="93" t="str">
        <f t="shared" si="2"/>
        <v>#14948</v>
      </c>
      <c r="B1099" s="93" t="str">
        <f>IF(AND(COUNTIF(MAIN!B:B, A1099)=0, IFERROR(SEARCH("return", C1099)&gt;0, FALSE)), "Rental Return", IF(COUNTIF(MAIN!B:B, A1099)=0, "Missing", ""))</f>
        <v>Missing</v>
      </c>
      <c r="C1099" s="133" t="s">
        <v>15272</v>
      </c>
      <c r="E1099" s="131" t="str">
        <f t="shared" si="1"/>
        <v>https://utrucking.myshopify.com/admin/orders?query=14948</v>
      </c>
    </row>
    <row r="1100">
      <c r="A1100" s="93" t="str">
        <f t="shared" si="2"/>
        <v>#14949</v>
      </c>
      <c r="B1100" s="93" t="str">
        <f>IF(AND(COUNTIF(MAIN!B:B, A1100)=0, IFERROR(SEARCH("return", C1100)&gt;0, FALSE)), "Rental Return", IF(COUNTIF(MAIN!B:B, A1100)=0, "Missing", ""))</f>
        <v>Rental Return</v>
      </c>
      <c r="C1100" s="133" t="s">
        <v>15258</v>
      </c>
      <c r="E1100" s="128" t="str">
        <f t="shared" si="1"/>
        <v/>
      </c>
    </row>
    <row r="1101">
      <c r="A1101" s="93" t="str">
        <f t="shared" si="2"/>
        <v>#14950</v>
      </c>
      <c r="B1101" s="93" t="str">
        <f>IF(AND(COUNTIF(MAIN!B:B, A1101)=0, IFERROR(SEARCH("return", C1101)&gt;0, FALSE)), "Rental Return", IF(COUNTIF(MAIN!B:B, A1101)=0, "Missing", ""))</f>
        <v>Rental Return</v>
      </c>
      <c r="C1101" s="133" t="s">
        <v>1111</v>
      </c>
      <c r="E1101" s="128" t="str">
        <f t="shared" si="1"/>
        <v/>
      </c>
    </row>
    <row r="1102">
      <c r="A1102" s="93" t="str">
        <f t="shared" si="2"/>
        <v>#14951</v>
      </c>
      <c r="B1102" s="93" t="str">
        <f>IF(AND(COUNTIF(MAIN!B:B, A1102)=0, IFERROR(SEARCH("return", C1102)&gt;0, FALSE)), "Rental Return", IF(COUNTIF(MAIN!B:B, A1102)=0, "Missing", ""))</f>
        <v>Rental Return</v>
      </c>
      <c r="C1102" s="133" t="s">
        <v>15258</v>
      </c>
      <c r="E1102" s="128" t="str">
        <f t="shared" si="1"/>
        <v/>
      </c>
    </row>
    <row r="1103">
      <c r="A1103" s="93" t="str">
        <f t="shared" si="2"/>
        <v>#14952</v>
      </c>
      <c r="B1103" s="93" t="str">
        <f>IF(AND(COUNTIF(MAIN!B:B, A1103)=0, IFERROR(SEARCH("return", C1103)&gt;0, FALSE)), "Rental Return", IF(COUNTIF(MAIN!B:B, A1103)=0, "Missing", ""))</f>
        <v>Rental Return</v>
      </c>
      <c r="C1103" s="133" t="s">
        <v>15255</v>
      </c>
      <c r="E1103" s="128" t="str">
        <f t="shared" si="1"/>
        <v/>
      </c>
    </row>
    <row r="1104">
      <c r="A1104" s="93" t="str">
        <f t="shared" si="2"/>
        <v>#14953</v>
      </c>
      <c r="B1104" s="93" t="str">
        <f>IF(AND(COUNTIF(MAIN!B:B, A1104)=0, IFERROR(SEARCH("return", C1104)&gt;0, FALSE)), "Rental Return", IF(COUNTIF(MAIN!B:B, A1104)=0, "Missing", ""))</f>
        <v>Missing</v>
      </c>
      <c r="C1104" s="133" t="s">
        <v>15245</v>
      </c>
      <c r="E1104" s="131" t="str">
        <f t="shared" si="1"/>
        <v>https://utrucking.myshopify.com/admin/orders?query=14953</v>
      </c>
    </row>
    <row r="1105">
      <c r="A1105" s="93" t="str">
        <f t="shared" si="2"/>
        <v>#14954</v>
      </c>
      <c r="B1105" s="93" t="str">
        <f>IF(AND(COUNTIF(MAIN!B:B, A1105)=0, IFERROR(SEARCH("return", C1105)&gt;0, FALSE)), "Rental Return", IF(COUNTIF(MAIN!B:B, A1105)=0, "Missing", ""))</f>
        <v>Rental Return</v>
      </c>
      <c r="C1105" s="133" t="s">
        <v>15258</v>
      </c>
      <c r="E1105" s="128" t="str">
        <f t="shared" si="1"/>
        <v/>
      </c>
    </row>
    <row r="1106">
      <c r="A1106" s="93" t="str">
        <f t="shared" si="2"/>
        <v>#14955</v>
      </c>
      <c r="B1106" s="93" t="str">
        <f>IF(AND(COUNTIF(MAIN!B:B, A1106)=0, IFERROR(SEARCH("return", C1106)&gt;0, FALSE)), "Rental Return", IF(COUNTIF(MAIN!B:B, A1106)=0, "Missing", ""))</f>
        <v>Rental Return</v>
      </c>
      <c r="C1106" s="133" t="s">
        <v>1111</v>
      </c>
      <c r="E1106" s="128" t="str">
        <f t="shared" si="1"/>
        <v/>
      </c>
    </row>
    <row r="1107">
      <c r="A1107" s="93" t="str">
        <f t="shared" si="2"/>
        <v>#14956</v>
      </c>
      <c r="B1107" s="93" t="str">
        <f>IF(AND(COUNTIF(MAIN!B:B, A1107)=0, IFERROR(SEARCH("return", C1107)&gt;0, FALSE)), "Rental Return", IF(COUNTIF(MAIN!B:B, A1107)=0, "Missing", ""))</f>
        <v>Missing</v>
      </c>
      <c r="C1107" s="133" t="s">
        <v>15251</v>
      </c>
      <c r="E1107" s="131" t="str">
        <f t="shared" si="1"/>
        <v>https://utrucking.myshopify.com/admin/orders?query=14956</v>
      </c>
    </row>
    <row r="1108">
      <c r="A1108" s="93" t="str">
        <f t="shared" si="2"/>
        <v>#14957</v>
      </c>
      <c r="B1108" s="93" t="str">
        <f>IF(AND(COUNTIF(MAIN!B:B, A1108)=0, IFERROR(SEARCH("return", C1108)&gt;0, FALSE)), "Rental Return", IF(COUNTIF(MAIN!B:B, A1108)=0, "Missing", ""))</f>
        <v>Rental Return</v>
      </c>
      <c r="C1108" s="133" t="s">
        <v>1111</v>
      </c>
      <c r="E1108" s="128" t="str">
        <f t="shared" si="1"/>
        <v/>
      </c>
    </row>
    <row r="1109">
      <c r="A1109" s="93" t="str">
        <f t="shared" si="2"/>
        <v>#14958</v>
      </c>
      <c r="B1109" s="93" t="str">
        <f>IF(AND(COUNTIF(MAIN!B:B, A1109)=0, IFERROR(SEARCH("return", C1109)&gt;0, FALSE)), "Rental Return", IF(COUNTIF(MAIN!B:B, A1109)=0, "Missing", ""))</f>
        <v/>
      </c>
      <c r="C1109" s="128"/>
      <c r="E1109" s="128" t="str">
        <f t="shared" si="1"/>
        <v/>
      </c>
    </row>
    <row r="1110">
      <c r="A1110" s="93" t="str">
        <f t="shared" si="2"/>
        <v>#14959</v>
      </c>
      <c r="B1110" s="93" t="str">
        <f>IF(AND(COUNTIF(MAIN!B:B, A1110)=0, IFERROR(SEARCH("return", C1110)&gt;0, FALSE)), "Rental Return", IF(COUNTIF(MAIN!B:B, A1110)=0, "Missing", ""))</f>
        <v>Rental Return</v>
      </c>
      <c r="C1110" s="133" t="s">
        <v>15261</v>
      </c>
      <c r="E1110" s="128" t="str">
        <f t="shared" si="1"/>
        <v/>
      </c>
    </row>
    <row r="1111">
      <c r="A1111" s="93" t="str">
        <f t="shared" si="2"/>
        <v>#14960</v>
      </c>
      <c r="B1111" s="93" t="str">
        <f>IF(AND(COUNTIF(MAIN!B:B, A1111)=0, IFERROR(SEARCH("return", C1111)&gt;0, FALSE)), "Rental Return", IF(COUNTIF(MAIN!B:B, A1111)=0, "Missing", ""))</f>
        <v/>
      </c>
      <c r="C1111" s="128"/>
      <c r="E1111" s="128" t="str">
        <f t="shared" si="1"/>
        <v/>
      </c>
    </row>
    <row r="1112">
      <c r="A1112" s="93" t="str">
        <f t="shared" si="2"/>
        <v>#14961</v>
      </c>
      <c r="B1112" s="93" t="str">
        <f>IF(AND(COUNTIF(MAIN!B:B, A1112)=0, IFERROR(SEARCH("return", C1112)&gt;0, FALSE)), "Rental Return", IF(COUNTIF(MAIN!B:B, A1112)=0, "Missing", ""))</f>
        <v>Missing</v>
      </c>
      <c r="C1112" s="133" t="s">
        <v>15248</v>
      </c>
      <c r="E1112" s="131" t="str">
        <f t="shared" si="1"/>
        <v>https://utrucking.myshopify.com/admin/orders?query=14961</v>
      </c>
    </row>
    <row r="1113">
      <c r="A1113" s="93" t="str">
        <f t="shared" si="2"/>
        <v>#14962</v>
      </c>
      <c r="B1113" s="93" t="str">
        <f>IF(AND(COUNTIF(MAIN!B:B, A1113)=0, IFERROR(SEARCH("return", C1113)&gt;0, FALSE)), "Rental Return", IF(COUNTIF(MAIN!B:B, A1113)=0, "Missing", ""))</f>
        <v>Missing</v>
      </c>
      <c r="C1113" s="133" t="s">
        <v>15246</v>
      </c>
      <c r="E1113" s="131" t="str">
        <f t="shared" si="1"/>
        <v>https://utrucking.myshopify.com/admin/orders?query=14962</v>
      </c>
    </row>
    <row r="1114">
      <c r="A1114" s="93" t="str">
        <f t="shared" si="2"/>
        <v>#14963</v>
      </c>
      <c r="B1114" s="93" t="str">
        <f>IF(AND(COUNTIF(MAIN!B:B, A1114)=0, IFERROR(SEARCH("return", C1114)&gt;0, FALSE)), "Rental Return", IF(COUNTIF(MAIN!B:B, A1114)=0, "Missing", ""))</f>
        <v>Rental Return</v>
      </c>
      <c r="C1114" s="133" t="s">
        <v>15258</v>
      </c>
      <c r="E1114" s="128" t="str">
        <f t="shared" si="1"/>
        <v/>
      </c>
    </row>
    <row r="1115">
      <c r="A1115" s="93" t="str">
        <f t="shared" si="2"/>
        <v>#14964</v>
      </c>
      <c r="B1115" s="93" t="str">
        <f>IF(AND(COUNTIF(MAIN!B:B, A1115)=0, IFERROR(SEARCH("return", C1115)&gt;0, FALSE)), "Rental Return", IF(COUNTIF(MAIN!B:B, A1115)=0, "Missing", ""))</f>
        <v>Missing</v>
      </c>
      <c r="C1115" s="133" t="s">
        <v>15251</v>
      </c>
      <c r="E1115" s="131" t="str">
        <f t="shared" si="1"/>
        <v>https://utrucking.myshopify.com/admin/orders?query=14964</v>
      </c>
    </row>
    <row r="1116">
      <c r="A1116" s="93" t="str">
        <f t="shared" si="2"/>
        <v>#14965</v>
      </c>
      <c r="B1116" s="93" t="str">
        <f>IF(AND(COUNTIF(MAIN!B:B, A1116)=0, IFERROR(SEARCH("return", C1116)&gt;0, FALSE)), "Rental Return", IF(COUNTIF(MAIN!B:B, A1116)=0, "Missing", ""))</f>
        <v>Rental Return</v>
      </c>
      <c r="C1116" s="133" t="s">
        <v>15258</v>
      </c>
      <c r="E1116" s="128" t="str">
        <f t="shared" si="1"/>
        <v/>
      </c>
    </row>
    <row r="1117">
      <c r="A1117" s="93" t="str">
        <f t="shared" si="2"/>
        <v>#14966</v>
      </c>
      <c r="B1117" s="93" t="str">
        <f>IF(AND(COUNTIF(MAIN!B:B, A1117)=0, IFERROR(SEARCH("return", C1117)&gt;0, FALSE)), "Rental Return", IF(COUNTIF(MAIN!B:B, A1117)=0, "Missing", ""))</f>
        <v>Rental Return</v>
      </c>
      <c r="C1117" s="133" t="s">
        <v>15261</v>
      </c>
      <c r="E1117" s="128" t="str">
        <f t="shared" si="1"/>
        <v/>
      </c>
    </row>
    <row r="1118">
      <c r="A1118" s="93" t="str">
        <f t="shared" si="2"/>
        <v>#14967</v>
      </c>
      <c r="B1118" s="93" t="str">
        <f>IF(AND(COUNTIF(MAIN!B:B, A1118)=0, IFERROR(SEARCH("return", C1118)&gt;0, FALSE)), "Rental Return", IF(COUNTIF(MAIN!B:B, A1118)=0, "Missing", ""))</f>
        <v>Missing</v>
      </c>
      <c r="C1118" s="133" t="s">
        <v>15246</v>
      </c>
      <c r="E1118" s="131" t="str">
        <f t="shared" si="1"/>
        <v>https://utrucking.myshopify.com/admin/orders?query=14967</v>
      </c>
    </row>
    <row r="1119">
      <c r="A1119" s="93" t="str">
        <f t="shared" si="2"/>
        <v>#14968</v>
      </c>
      <c r="B1119" s="93" t="str">
        <f>IF(AND(COUNTIF(MAIN!B:B, A1119)=0, IFERROR(SEARCH("return", C1119)&gt;0, FALSE)), "Rental Return", IF(COUNTIF(MAIN!B:B, A1119)=0, "Missing", ""))</f>
        <v>Rental Return</v>
      </c>
      <c r="C1119" s="133" t="s">
        <v>1111</v>
      </c>
      <c r="E1119" s="128" t="str">
        <f t="shared" si="1"/>
        <v/>
      </c>
    </row>
    <row r="1120">
      <c r="A1120" s="93" t="str">
        <f t="shared" si="2"/>
        <v>#14969</v>
      </c>
      <c r="B1120" s="93" t="str">
        <f>IF(AND(COUNTIF(MAIN!B:B, A1120)=0, IFERROR(SEARCH("return", C1120)&gt;0, FALSE)), "Rental Return", IF(COUNTIF(MAIN!B:B, A1120)=0, "Missing", ""))</f>
        <v>Missing</v>
      </c>
      <c r="C1120" s="133" t="s">
        <v>15251</v>
      </c>
      <c r="E1120" s="131" t="str">
        <f t="shared" si="1"/>
        <v>https://utrucking.myshopify.com/admin/orders?query=14969</v>
      </c>
    </row>
    <row r="1121">
      <c r="A1121" s="93" t="str">
        <f t="shared" si="2"/>
        <v>#14970</v>
      </c>
      <c r="B1121" s="93" t="str">
        <f>IF(AND(COUNTIF(MAIN!B:B, A1121)=0, IFERROR(SEARCH("return", C1121)&gt;0, FALSE)), "Rental Return", IF(COUNTIF(MAIN!B:B, A1121)=0, "Missing", ""))</f>
        <v>Missing</v>
      </c>
      <c r="C1121" s="133" t="s">
        <v>15251</v>
      </c>
      <c r="E1121" s="131" t="str">
        <f t="shared" si="1"/>
        <v>https://utrucking.myshopify.com/admin/orders?query=14970</v>
      </c>
    </row>
    <row r="1122">
      <c r="A1122" s="93" t="str">
        <f t="shared" si="2"/>
        <v>#14971</v>
      </c>
      <c r="B1122" s="93" t="str">
        <f>IF(AND(COUNTIF(MAIN!B:B, A1122)=0, IFERROR(SEARCH("return", C1122)&gt;0, FALSE)), "Rental Return", IF(COUNTIF(MAIN!B:B, A1122)=0, "Missing", ""))</f>
        <v>Missing</v>
      </c>
      <c r="C1122" s="133" t="s">
        <v>15251</v>
      </c>
      <c r="E1122" s="131" t="str">
        <f t="shared" si="1"/>
        <v>https://utrucking.myshopify.com/admin/orders?query=14971</v>
      </c>
    </row>
    <row r="1123">
      <c r="A1123" s="93" t="str">
        <f t="shared" si="2"/>
        <v>#14972</v>
      </c>
      <c r="B1123" s="93" t="str">
        <f>IF(AND(COUNTIF(MAIN!B:B, A1123)=0, IFERROR(SEARCH("return", C1123)&gt;0, FALSE)), "Rental Return", IF(COUNTIF(MAIN!B:B, A1123)=0, "Missing", ""))</f>
        <v>Rental Return</v>
      </c>
      <c r="C1123" s="133" t="s">
        <v>1111</v>
      </c>
      <c r="E1123" s="128" t="str">
        <f t="shared" si="1"/>
        <v/>
      </c>
    </row>
    <row r="1124">
      <c r="A1124" s="93" t="str">
        <f t="shared" si="2"/>
        <v>#14973</v>
      </c>
      <c r="B1124" s="93" t="str">
        <f>IF(AND(COUNTIF(MAIN!B:B, A1124)=0, IFERROR(SEARCH("return", C1124)&gt;0, FALSE)), "Rental Return", IF(COUNTIF(MAIN!B:B, A1124)=0, "Missing", ""))</f>
        <v>Rental Return</v>
      </c>
      <c r="C1124" s="133" t="s">
        <v>15261</v>
      </c>
      <c r="E1124" s="128" t="str">
        <f t="shared" si="1"/>
        <v/>
      </c>
    </row>
    <row r="1125">
      <c r="A1125" s="93" t="str">
        <f t="shared" si="2"/>
        <v>#14974</v>
      </c>
      <c r="B1125" s="93" t="str">
        <f>IF(AND(COUNTIF(MAIN!B:B, A1125)=0, IFERROR(SEARCH("return", C1125)&gt;0, FALSE)), "Rental Return", IF(COUNTIF(MAIN!B:B, A1125)=0, "Missing", ""))</f>
        <v>Missing</v>
      </c>
      <c r="C1125" s="133" t="s">
        <v>15251</v>
      </c>
      <c r="E1125" s="131" t="str">
        <f t="shared" si="1"/>
        <v>https://utrucking.myshopify.com/admin/orders?query=14974</v>
      </c>
    </row>
    <row r="1126">
      <c r="A1126" s="93" t="str">
        <f t="shared" si="2"/>
        <v>#14975</v>
      </c>
      <c r="B1126" s="93" t="str">
        <f>IF(AND(COUNTIF(MAIN!B:B, A1126)=0, IFERROR(SEARCH("return", C1126)&gt;0, FALSE)), "Rental Return", IF(COUNTIF(MAIN!B:B, A1126)=0, "Missing", ""))</f>
        <v>Rental Return</v>
      </c>
      <c r="C1126" s="133" t="s">
        <v>15265</v>
      </c>
      <c r="E1126" s="128" t="str">
        <f t="shared" si="1"/>
        <v/>
      </c>
    </row>
    <row r="1127">
      <c r="A1127" s="93" t="str">
        <f t="shared" si="2"/>
        <v>#14976</v>
      </c>
      <c r="B1127" s="93" t="str">
        <f>IF(AND(COUNTIF(MAIN!B:B, A1127)=0, IFERROR(SEARCH("return", C1127)&gt;0, FALSE)), "Rental Return", IF(COUNTIF(MAIN!B:B, A1127)=0, "Missing", ""))</f>
        <v>Missing</v>
      </c>
      <c r="C1127" s="133" t="s">
        <v>15251</v>
      </c>
      <c r="E1127" s="131" t="str">
        <f t="shared" si="1"/>
        <v>https://utrucking.myshopify.com/admin/orders?query=14976</v>
      </c>
    </row>
    <row r="1128">
      <c r="A1128" s="93" t="str">
        <f t="shared" si="2"/>
        <v>#14977</v>
      </c>
      <c r="B1128" s="93" t="str">
        <f>IF(AND(COUNTIF(MAIN!B:B, A1128)=0, IFERROR(SEARCH("return", C1128)&gt;0, FALSE)), "Rental Return", IF(COUNTIF(MAIN!B:B, A1128)=0, "Missing", ""))</f>
        <v>Missing</v>
      </c>
      <c r="C1128" s="133" t="s">
        <v>15251</v>
      </c>
      <c r="E1128" s="131" t="str">
        <f t="shared" si="1"/>
        <v>https://utrucking.myshopify.com/admin/orders?query=14977</v>
      </c>
    </row>
    <row r="1129">
      <c r="A1129" s="93" t="str">
        <f t="shared" si="2"/>
        <v>#14978</v>
      </c>
      <c r="B1129" s="93" t="str">
        <f>IF(AND(COUNTIF(MAIN!B:B, A1129)=0, IFERROR(SEARCH("return", C1129)&gt;0, FALSE)), "Rental Return", IF(COUNTIF(MAIN!B:B, A1129)=0, "Missing", ""))</f>
        <v/>
      </c>
      <c r="C1129" s="128"/>
      <c r="E1129" s="128" t="str">
        <f t="shared" si="1"/>
        <v/>
      </c>
    </row>
    <row r="1130">
      <c r="A1130" s="93" t="str">
        <f t="shared" si="2"/>
        <v>#14979</v>
      </c>
      <c r="B1130" s="93" t="str">
        <f>IF(AND(COUNTIF(MAIN!B:B, A1130)=0, IFERROR(SEARCH("return", C1130)&gt;0, FALSE)), "Rental Return", IF(COUNTIF(MAIN!B:B, A1130)=0, "Missing", ""))</f>
        <v/>
      </c>
      <c r="C1130" s="128"/>
      <c r="E1130" s="128" t="str">
        <f t="shared" si="1"/>
        <v/>
      </c>
    </row>
    <row r="1131">
      <c r="A1131" s="93" t="str">
        <f t="shared" si="2"/>
        <v>#14980</v>
      </c>
      <c r="B1131" s="93" t="str">
        <f>IF(AND(COUNTIF(MAIN!B:B, A1131)=0, IFERROR(SEARCH("return", C1131)&gt;0, FALSE)), "Rental Return", IF(COUNTIF(MAIN!B:B, A1131)=0, "Missing", ""))</f>
        <v>Missing</v>
      </c>
      <c r="C1131" s="133" t="s">
        <v>15251</v>
      </c>
      <c r="E1131" s="131" t="str">
        <f t="shared" si="1"/>
        <v>https://utrucking.myshopify.com/admin/orders?query=14980</v>
      </c>
    </row>
    <row r="1132">
      <c r="A1132" s="93" t="str">
        <f t="shared" si="2"/>
        <v>#14981</v>
      </c>
      <c r="B1132" s="93" t="str">
        <f>IF(AND(COUNTIF(MAIN!B:B, A1132)=0, IFERROR(SEARCH("return", C1132)&gt;0, FALSE)), "Rental Return", IF(COUNTIF(MAIN!B:B, A1132)=0, "Missing", ""))</f>
        <v>Rental Return</v>
      </c>
      <c r="C1132" s="133" t="s">
        <v>1111</v>
      </c>
      <c r="E1132" s="128" t="str">
        <f t="shared" si="1"/>
        <v/>
      </c>
    </row>
    <row r="1133">
      <c r="A1133" s="93" t="str">
        <f t="shared" si="2"/>
        <v>#14982</v>
      </c>
      <c r="B1133" s="93" t="str">
        <f>IF(AND(COUNTIF(MAIN!B:B, A1133)=0, IFERROR(SEARCH("return", C1133)&gt;0, FALSE)), "Rental Return", IF(COUNTIF(MAIN!B:B, A1133)=0, "Missing", ""))</f>
        <v>Missing</v>
      </c>
      <c r="C1133" s="133" t="s">
        <v>15248</v>
      </c>
      <c r="E1133" s="131" t="str">
        <f t="shared" si="1"/>
        <v>https://utrucking.myshopify.com/admin/orders?query=14982</v>
      </c>
    </row>
    <row r="1134">
      <c r="A1134" s="93" t="str">
        <f t="shared" si="2"/>
        <v>#14983</v>
      </c>
      <c r="B1134" s="93" t="str">
        <f>IF(AND(COUNTIF(MAIN!B:B, A1134)=0, IFERROR(SEARCH("return", C1134)&gt;0, FALSE)), "Rental Return", IF(COUNTIF(MAIN!B:B, A1134)=0, "Missing", ""))</f>
        <v/>
      </c>
      <c r="C1134" s="128"/>
      <c r="E1134" s="128" t="str">
        <f t="shared" si="1"/>
        <v/>
      </c>
    </row>
    <row r="1135">
      <c r="A1135" s="93" t="str">
        <f t="shared" si="2"/>
        <v>#14984</v>
      </c>
      <c r="B1135" s="93" t="str">
        <f>IF(AND(COUNTIF(MAIN!B:B, A1135)=0, IFERROR(SEARCH("return", C1135)&gt;0, FALSE)), "Rental Return", IF(COUNTIF(MAIN!B:B, A1135)=0, "Missing", ""))</f>
        <v/>
      </c>
      <c r="C1135" s="128"/>
      <c r="E1135" s="128" t="str">
        <f t="shared" si="1"/>
        <v/>
      </c>
    </row>
    <row r="1136">
      <c r="A1136" s="93" t="str">
        <f t="shared" si="2"/>
        <v>#14985</v>
      </c>
      <c r="B1136" s="93" t="str">
        <f>IF(AND(COUNTIF(MAIN!B:B, A1136)=0, IFERROR(SEARCH("return", C1136)&gt;0, FALSE)), "Rental Return", IF(COUNTIF(MAIN!B:B, A1136)=0, "Missing", ""))</f>
        <v>Rental Return</v>
      </c>
      <c r="C1136" s="133" t="s">
        <v>15258</v>
      </c>
      <c r="E1136" s="128" t="str">
        <f t="shared" si="1"/>
        <v/>
      </c>
    </row>
    <row r="1137">
      <c r="A1137" s="93" t="str">
        <f t="shared" si="2"/>
        <v>#14986</v>
      </c>
      <c r="B1137" s="93" t="str">
        <f>IF(AND(COUNTIF(MAIN!B:B, A1137)=0, IFERROR(SEARCH("return", C1137)&gt;0, FALSE)), "Rental Return", IF(COUNTIF(MAIN!B:B, A1137)=0, "Missing", ""))</f>
        <v>Rental Return</v>
      </c>
      <c r="C1137" s="133" t="s">
        <v>15255</v>
      </c>
      <c r="E1137" s="128" t="str">
        <f t="shared" si="1"/>
        <v/>
      </c>
    </row>
    <row r="1138">
      <c r="A1138" s="93" t="str">
        <f t="shared" si="2"/>
        <v>#14987</v>
      </c>
      <c r="B1138" s="93" t="str">
        <f>IF(AND(COUNTIF(MAIN!B:B, A1138)=0, IFERROR(SEARCH("return", C1138)&gt;0, FALSE)), "Rental Return", IF(COUNTIF(MAIN!B:B, A1138)=0, "Missing", ""))</f>
        <v>Missing</v>
      </c>
      <c r="C1138" s="133" t="s">
        <v>15246</v>
      </c>
      <c r="E1138" s="131" t="str">
        <f t="shared" si="1"/>
        <v>https://utrucking.myshopify.com/admin/orders?query=14987</v>
      </c>
    </row>
    <row r="1139">
      <c r="A1139" s="93" t="str">
        <f t="shared" si="2"/>
        <v>#14988</v>
      </c>
      <c r="B1139" s="93" t="str">
        <f>IF(AND(COUNTIF(MAIN!B:B, A1139)=0, IFERROR(SEARCH("return", C1139)&gt;0, FALSE)), "Rental Return", IF(COUNTIF(MAIN!B:B, A1139)=0, "Missing", ""))</f>
        <v/>
      </c>
      <c r="C1139" s="128"/>
      <c r="E1139" s="128" t="str">
        <f t="shared" si="1"/>
        <v/>
      </c>
    </row>
    <row r="1140">
      <c r="A1140" s="93" t="str">
        <f t="shared" si="2"/>
        <v>#14989</v>
      </c>
      <c r="B1140" s="93" t="str">
        <f>IF(AND(COUNTIF(MAIN!B:B, A1140)=0, IFERROR(SEARCH("return", C1140)&gt;0, FALSE)), "Rental Return", IF(COUNTIF(MAIN!B:B, A1140)=0, "Missing", ""))</f>
        <v/>
      </c>
      <c r="C1140" s="128"/>
      <c r="E1140" s="128" t="str">
        <f t="shared" si="1"/>
        <v/>
      </c>
    </row>
    <row r="1141">
      <c r="A1141" s="93" t="str">
        <f t="shared" si="2"/>
        <v>#14990</v>
      </c>
      <c r="B1141" s="93" t="str">
        <f>IF(AND(COUNTIF(MAIN!B:B, A1141)=0, IFERROR(SEARCH("return", C1141)&gt;0, FALSE)), "Rental Return", IF(COUNTIF(MAIN!B:B, A1141)=0, "Missing", ""))</f>
        <v>Missing</v>
      </c>
      <c r="C1141" s="133" t="s">
        <v>15246</v>
      </c>
      <c r="E1141" s="131" t="str">
        <f t="shared" si="1"/>
        <v>https://utrucking.myshopify.com/admin/orders?query=14990</v>
      </c>
    </row>
    <row r="1142">
      <c r="A1142" s="93" t="str">
        <f t="shared" si="2"/>
        <v>#14991</v>
      </c>
      <c r="B1142" s="93" t="str">
        <f>IF(AND(COUNTIF(MAIN!B:B, A1142)=0, IFERROR(SEARCH("return", C1142)&gt;0, FALSE)), "Rental Return", IF(COUNTIF(MAIN!B:B, A1142)=0, "Missing", ""))</f>
        <v>Rental Return</v>
      </c>
      <c r="C1142" s="133" t="s">
        <v>15257</v>
      </c>
      <c r="E1142" s="128" t="str">
        <f t="shared" si="1"/>
        <v/>
      </c>
    </row>
    <row r="1143">
      <c r="A1143" s="93" t="str">
        <f t="shared" si="2"/>
        <v>#14992</v>
      </c>
      <c r="B1143" s="93" t="str">
        <f>IF(AND(COUNTIF(MAIN!B:B, A1143)=0, IFERROR(SEARCH("return", C1143)&gt;0, FALSE)), "Rental Return", IF(COUNTIF(MAIN!B:B, A1143)=0, "Missing", ""))</f>
        <v>Missing</v>
      </c>
      <c r="C1143" s="133" t="s">
        <v>15267</v>
      </c>
      <c r="E1143" s="131" t="str">
        <f t="shared" si="1"/>
        <v>https://utrucking.myshopify.com/admin/orders?query=14992</v>
      </c>
    </row>
    <row r="1144">
      <c r="A1144" s="93" t="str">
        <f t="shared" si="2"/>
        <v>#14993</v>
      </c>
      <c r="B1144" s="93" t="str">
        <f>IF(AND(COUNTIF(MAIN!B:B, A1144)=0, IFERROR(SEARCH("return", C1144)&gt;0, FALSE)), "Rental Return", IF(COUNTIF(MAIN!B:B, A1144)=0, "Missing", ""))</f>
        <v>Rental Return</v>
      </c>
      <c r="C1144" s="133" t="s">
        <v>15264</v>
      </c>
      <c r="E1144" s="128" t="str">
        <f t="shared" si="1"/>
        <v/>
      </c>
    </row>
    <row r="1145">
      <c r="A1145" s="93" t="str">
        <f t="shared" si="2"/>
        <v>#14994</v>
      </c>
      <c r="B1145" s="93" t="str">
        <f>IF(AND(COUNTIF(MAIN!B:B, A1145)=0, IFERROR(SEARCH("return", C1145)&gt;0, FALSE)), "Rental Return", IF(COUNTIF(MAIN!B:B, A1145)=0, "Missing", ""))</f>
        <v/>
      </c>
      <c r="C1145" s="133" t="s">
        <v>15270</v>
      </c>
      <c r="E1145" s="128" t="str">
        <f t="shared" si="1"/>
        <v/>
      </c>
    </row>
    <row r="1146">
      <c r="A1146" s="93" t="str">
        <f t="shared" si="2"/>
        <v>#14995</v>
      </c>
      <c r="B1146" s="93" t="str">
        <f>IF(AND(COUNTIF(MAIN!B:B, A1146)=0, IFERROR(SEARCH("return", C1146)&gt;0, FALSE)), "Rental Return", IF(COUNTIF(MAIN!B:B, A1146)=0, "Missing", ""))</f>
        <v>Missing</v>
      </c>
      <c r="C1146" s="133" t="s">
        <v>15251</v>
      </c>
      <c r="E1146" s="131" t="str">
        <f t="shared" si="1"/>
        <v>https://utrucking.myshopify.com/admin/orders?query=14995</v>
      </c>
    </row>
    <row r="1147">
      <c r="A1147" s="93" t="str">
        <f t="shared" si="2"/>
        <v>#14996</v>
      </c>
      <c r="B1147" s="93" t="str">
        <f>IF(AND(COUNTIF(MAIN!B:B, A1147)=0, IFERROR(SEARCH("return", C1147)&gt;0, FALSE)), "Rental Return", IF(COUNTIF(MAIN!B:B, A1147)=0, "Missing", ""))</f>
        <v/>
      </c>
      <c r="C1147" s="133" t="s">
        <v>15273</v>
      </c>
      <c r="E1147" s="128" t="str">
        <f t="shared" si="1"/>
        <v/>
      </c>
    </row>
    <row r="1148">
      <c r="A1148" s="93" t="str">
        <f t="shared" si="2"/>
        <v>#14997</v>
      </c>
      <c r="B1148" s="93" t="str">
        <f>IF(AND(COUNTIF(MAIN!B:B, A1148)=0, IFERROR(SEARCH("return", C1148)&gt;0, FALSE)), "Rental Return", IF(COUNTIF(MAIN!B:B, A1148)=0, "Missing", ""))</f>
        <v>Missing</v>
      </c>
      <c r="C1148" s="133" t="s">
        <v>15267</v>
      </c>
      <c r="E1148" s="131" t="str">
        <f t="shared" si="1"/>
        <v>https://utrucking.myshopify.com/admin/orders?query=14997</v>
      </c>
    </row>
    <row r="1149">
      <c r="A1149" s="93" t="str">
        <f t="shared" si="2"/>
        <v>#14998</v>
      </c>
      <c r="B1149" s="93" t="str">
        <f>IF(AND(COUNTIF(MAIN!B:B, A1149)=0, IFERROR(SEARCH("return", C1149)&gt;0, FALSE)), "Rental Return", IF(COUNTIF(MAIN!B:B, A1149)=0, "Missing", ""))</f>
        <v>Rental Return</v>
      </c>
      <c r="C1149" s="133" t="s">
        <v>15261</v>
      </c>
      <c r="E1149" s="128" t="str">
        <f t="shared" si="1"/>
        <v/>
      </c>
    </row>
    <row r="1150">
      <c r="A1150" s="93" t="str">
        <f t="shared" si="2"/>
        <v>#14999</v>
      </c>
      <c r="B1150" s="93" t="str">
        <f>IF(AND(COUNTIF(MAIN!B:B, A1150)=0, IFERROR(SEARCH("return", C1150)&gt;0, FALSE)), "Rental Return", IF(COUNTIF(MAIN!B:B, A1150)=0, "Missing", ""))</f>
        <v/>
      </c>
      <c r="C1150" s="128"/>
      <c r="E1150" s="128" t="str">
        <f t="shared" si="1"/>
        <v/>
      </c>
    </row>
    <row r="1151">
      <c r="A1151" s="93" t="str">
        <f t="shared" si="2"/>
        <v>#15000</v>
      </c>
      <c r="B1151" s="93" t="str">
        <f>IF(AND(COUNTIF(MAIN!B:B, A1151)=0, IFERROR(SEARCH("return", C1151)&gt;0, FALSE)), "Rental Return", IF(COUNTIF(MAIN!B:B, A1151)=0, "Missing", ""))</f>
        <v>Missing</v>
      </c>
      <c r="C1151" s="133" t="s">
        <v>15267</v>
      </c>
      <c r="E1151" s="131" t="str">
        <f t="shared" si="1"/>
        <v>https://utrucking.myshopify.com/admin/orders?query=15000</v>
      </c>
    </row>
    <row r="1152">
      <c r="A1152" s="93" t="str">
        <f t="shared" si="2"/>
        <v>#15001</v>
      </c>
      <c r="B1152" s="93" t="str">
        <f>IF(AND(COUNTIF(MAIN!B:B, A1152)=0, IFERROR(SEARCH("return", C1152)&gt;0, FALSE)), "Rental Return", IF(COUNTIF(MAIN!B:B, A1152)=0, "Missing", ""))</f>
        <v>Missing</v>
      </c>
      <c r="C1152" s="133" t="s">
        <v>15251</v>
      </c>
      <c r="E1152" s="131" t="str">
        <f t="shared" si="1"/>
        <v>https://utrucking.myshopify.com/admin/orders?query=15001</v>
      </c>
    </row>
    <row r="1153">
      <c r="A1153" s="93" t="str">
        <f t="shared" si="2"/>
        <v>#15002</v>
      </c>
      <c r="B1153" s="93" t="str">
        <f>IF(AND(COUNTIF(MAIN!B:B, A1153)=0, IFERROR(SEARCH("return", C1153)&gt;0, FALSE)), "Rental Return", IF(COUNTIF(MAIN!B:B, A1153)=0, "Missing", ""))</f>
        <v/>
      </c>
      <c r="C1153" s="128"/>
      <c r="E1153" s="128" t="str">
        <f t="shared" si="1"/>
        <v/>
      </c>
    </row>
    <row r="1154">
      <c r="A1154" s="93" t="str">
        <f t="shared" si="2"/>
        <v>#15003</v>
      </c>
      <c r="B1154" s="93" t="str">
        <f>IF(AND(COUNTIF(MAIN!B:B, A1154)=0, IFERROR(SEARCH("return", C1154)&gt;0, FALSE)), "Rental Return", IF(COUNTIF(MAIN!B:B, A1154)=0, "Missing", ""))</f>
        <v>Rental Return</v>
      </c>
      <c r="C1154" s="133" t="s">
        <v>15264</v>
      </c>
      <c r="E1154" s="128" t="str">
        <f t="shared" si="1"/>
        <v/>
      </c>
    </row>
    <row r="1155">
      <c r="A1155" s="93" t="str">
        <f t="shared" si="2"/>
        <v>#15004</v>
      </c>
      <c r="B1155" s="93" t="str">
        <f>IF(AND(COUNTIF(MAIN!B:B, A1155)=0, IFERROR(SEARCH("return", C1155)&gt;0, FALSE)), "Rental Return", IF(COUNTIF(MAIN!B:B, A1155)=0, "Missing", ""))</f>
        <v>Missing</v>
      </c>
      <c r="C1155" s="133" t="s">
        <v>15248</v>
      </c>
      <c r="E1155" s="131" t="str">
        <f t="shared" si="1"/>
        <v>https://utrucking.myshopify.com/admin/orders?query=15004</v>
      </c>
    </row>
    <row r="1156">
      <c r="A1156" s="93" t="str">
        <f t="shared" si="2"/>
        <v>#15005</v>
      </c>
      <c r="B1156" s="93" t="str">
        <f>IF(AND(COUNTIF(MAIN!B:B, A1156)=0, IFERROR(SEARCH("return", C1156)&gt;0, FALSE)), "Rental Return", IF(COUNTIF(MAIN!B:B, A1156)=0, "Missing", ""))</f>
        <v/>
      </c>
      <c r="C1156" s="133" t="s">
        <v>15274</v>
      </c>
      <c r="E1156" s="128" t="str">
        <f t="shared" si="1"/>
        <v/>
      </c>
    </row>
    <row r="1157">
      <c r="A1157" s="93" t="str">
        <f t="shared" si="2"/>
        <v>#15006</v>
      </c>
      <c r="B1157" s="93" t="str">
        <f>IF(AND(COUNTIF(MAIN!B:B, A1157)=0, IFERROR(SEARCH("return", C1157)&gt;0, FALSE)), "Rental Return", IF(COUNTIF(MAIN!B:B, A1157)=0, "Missing", ""))</f>
        <v>Rental Return</v>
      </c>
      <c r="C1157" s="133" t="s">
        <v>15255</v>
      </c>
      <c r="E1157" s="128" t="str">
        <f t="shared" si="1"/>
        <v/>
      </c>
    </row>
    <row r="1158">
      <c r="A1158" s="93" t="str">
        <f t="shared" si="2"/>
        <v>#15007</v>
      </c>
      <c r="B1158" s="93" t="str">
        <f>IF(AND(COUNTIF(MAIN!B:B, A1158)=0, IFERROR(SEARCH("return", C1158)&gt;0, FALSE)), "Rental Return", IF(COUNTIF(MAIN!B:B, A1158)=0, "Missing", ""))</f>
        <v>Missing</v>
      </c>
      <c r="C1158" s="133" t="s">
        <v>15256</v>
      </c>
      <c r="E1158" s="131" t="str">
        <f t="shared" si="1"/>
        <v>https://utrucking.myshopify.com/admin/orders?query=15007</v>
      </c>
    </row>
    <row r="1159">
      <c r="A1159" s="93" t="str">
        <f t="shared" si="2"/>
        <v>#15008</v>
      </c>
      <c r="B1159" s="93" t="str">
        <f>IF(AND(COUNTIF(MAIN!B:B, A1159)=0, IFERROR(SEARCH("return", C1159)&gt;0, FALSE)), "Rental Return", IF(COUNTIF(MAIN!B:B, A1159)=0, "Missing", ""))</f>
        <v>Missing</v>
      </c>
      <c r="C1159" s="133" t="s">
        <v>15251</v>
      </c>
      <c r="E1159" s="131" t="str">
        <f t="shared" si="1"/>
        <v>https://utrucking.myshopify.com/admin/orders?query=15008</v>
      </c>
    </row>
    <row r="1160">
      <c r="A1160" s="93" t="str">
        <f t="shared" si="2"/>
        <v>#15009</v>
      </c>
      <c r="B1160" s="93" t="str">
        <f>IF(AND(COUNTIF(MAIN!B:B, A1160)=0, IFERROR(SEARCH("return", C1160)&gt;0, FALSE)), "Rental Return", IF(COUNTIF(MAIN!B:B, A1160)=0, "Missing", ""))</f>
        <v/>
      </c>
      <c r="C1160" s="128"/>
      <c r="E1160" s="128" t="str">
        <f t="shared" si="1"/>
        <v/>
      </c>
    </row>
    <row r="1161">
      <c r="A1161" s="93" t="str">
        <f t="shared" si="2"/>
        <v>#15010</v>
      </c>
      <c r="B1161" s="93" t="str">
        <f>IF(AND(COUNTIF(MAIN!B:B, A1161)=0, IFERROR(SEARCH("return", C1161)&gt;0, FALSE)), "Rental Return", IF(COUNTIF(MAIN!B:B, A1161)=0, "Missing", ""))</f>
        <v>Missing</v>
      </c>
      <c r="C1161" s="133" t="s">
        <v>15251</v>
      </c>
      <c r="E1161" s="131" t="str">
        <f t="shared" si="1"/>
        <v>https://utrucking.myshopify.com/admin/orders?query=15010</v>
      </c>
    </row>
    <row r="1162">
      <c r="A1162" s="93" t="str">
        <f t="shared" si="2"/>
        <v>#15011</v>
      </c>
      <c r="B1162" s="93" t="str">
        <f>IF(AND(COUNTIF(MAIN!B:B, A1162)=0, IFERROR(SEARCH("return", C1162)&gt;0, FALSE)), "Rental Return", IF(COUNTIF(MAIN!B:B, A1162)=0, "Missing", ""))</f>
        <v/>
      </c>
      <c r="C1162" s="128"/>
      <c r="E1162" s="128" t="str">
        <f t="shared" si="1"/>
        <v/>
      </c>
    </row>
    <row r="1163">
      <c r="A1163" s="93" t="str">
        <f t="shared" si="2"/>
        <v>#15012</v>
      </c>
      <c r="B1163" s="93" t="str">
        <f>IF(AND(COUNTIF(MAIN!B:B, A1163)=0, IFERROR(SEARCH("return", C1163)&gt;0, FALSE)), "Rental Return", IF(COUNTIF(MAIN!B:B, A1163)=0, "Missing", ""))</f>
        <v>Missing</v>
      </c>
      <c r="C1163" s="133" t="s">
        <v>15251</v>
      </c>
      <c r="E1163" s="131" t="str">
        <f t="shared" si="1"/>
        <v>https://utrucking.myshopify.com/admin/orders?query=15012</v>
      </c>
    </row>
    <row r="1164">
      <c r="A1164" s="93" t="str">
        <f t="shared" si="2"/>
        <v>#15013</v>
      </c>
      <c r="B1164" s="93" t="str">
        <f>IF(AND(COUNTIF(MAIN!B:B, A1164)=0, IFERROR(SEARCH("return", C1164)&gt;0, FALSE)), "Rental Return", IF(COUNTIF(MAIN!B:B, A1164)=0, "Missing", ""))</f>
        <v>Rental Return</v>
      </c>
      <c r="C1164" s="133" t="s">
        <v>15258</v>
      </c>
      <c r="E1164" s="128" t="str">
        <f t="shared" si="1"/>
        <v/>
      </c>
    </row>
    <row r="1165">
      <c r="A1165" s="93" t="str">
        <f t="shared" si="2"/>
        <v>#15014</v>
      </c>
      <c r="B1165" s="93" t="str">
        <f>IF(AND(COUNTIF(MAIN!B:B, A1165)=0, IFERROR(SEARCH("return", C1165)&gt;0, FALSE)), "Rental Return", IF(COUNTIF(MAIN!B:B, A1165)=0, "Missing", ""))</f>
        <v>Rental Return</v>
      </c>
      <c r="C1165" s="133" t="s">
        <v>15255</v>
      </c>
      <c r="E1165" s="128" t="str">
        <f t="shared" si="1"/>
        <v/>
      </c>
    </row>
    <row r="1166">
      <c r="A1166" s="93" t="str">
        <f t="shared" si="2"/>
        <v>#15015</v>
      </c>
      <c r="B1166" s="93" t="str">
        <f>IF(AND(COUNTIF(MAIN!B:B, A1166)=0, IFERROR(SEARCH("return", C1166)&gt;0, FALSE)), "Rental Return", IF(COUNTIF(MAIN!B:B, A1166)=0, "Missing", ""))</f>
        <v>Rental Return</v>
      </c>
      <c r="C1166" s="133" t="s">
        <v>15258</v>
      </c>
      <c r="E1166" s="128" t="str">
        <f t="shared" si="1"/>
        <v/>
      </c>
    </row>
    <row r="1167">
      <c r="A1167" s="93" t="str">
        <f t="shared" si="2"/>
        <v>#15016</v>
      </c>
      <c r="B1167" s="93" t="str">
        <f>IF(AND(COUNTIF(MAIN!B:B, A1167)=0, IFERROR(SEARCH("return", C1167)&gt;0, FALSE)), "Rental Return", IF(COUNTIF(MAIN!B:B, A1167)=0, "Missing", ""))</f>
        <v/>
      </c>
      <c r="C1167" s="128"/>
      <c r="E1167" s="128" t="str">
        <f t="shared" si="1"/>
        <v/>
      </c>
    </row>
    <row r="1168">
      <c r="A1168" s="93" t="str">
        <f t="shared" si="2"/>
        <v>#15017</v>
      </c>
      <c r="B1168" s="93" t="str">
        <f>IF(AND(COUNTIF(MAIN!B:B, A1168)=0, IFERROR(SEARCH("return", C1168)&gt;0, FALSE)), "Rental Return", IF(COUNTIF(MAIN!B:B, A1168)=0, "Missing", ""))</f>
        <v>Missing</v>
      </c>
      <c r="C1168" s="133" t="s">
        <v>15270</v>
      </c>
      <c r="E1168" s="131" t="str">
        <f t="shared" si="1"/>
        <v>https://utrucking.myshopify.com/admin/orders?query=15017</v>
      </c>
    </row>
    <row r="1169">
      <c r="A1169" s="93" t="str">
        <f t="shared" si="2"/>
        <v>#15018</v>
      </c>
      <c r="B1169" s="93" t="str">
        <f>IF(AND(COUNTIF(MAIN!B:B, A1169)=0, IFERROR(SEARCH("return", C1169)&gt;0, FALSE)), "Rental Return", IF(COUNTIF(MAIN!B:B, A1169)=0, "Missing", ""))</f>
        <v>Rental Return</v>
      </c>
      <c r="C1169" s="133" t="s">
        <v>15261</v>
      </c>
      <c r="E1169" s="128" t="str">
        <f t="shared" si="1"/>
        <v/>
      </c>
    </row>
    <row r="1170">
      <c r="A1170" s="93" t="str">
        <f t="shared" si="2"/>
        <v>#15019</v>
      </c>
      <c r="B1170" s="93" t="str">
        <f>IF(AND(COUNTIF(MAIN!B:B, A1170)=0, IFERROR(SEARCH("return", C1170)&gt;0, FALSE)), "Rental Return", IF(COUNTIF(MAIN!B:B, A1170)=0, "Missing", ""))</f>
        <v>Missing</v>
      </c>
      <c r="C1170" s="133" t="s">
        <v>15251</v>
      </c>
      <c r="E1170" s="131" t="str">
        <f t="shared" si="1"/>
        <v>https://utrucking.myshopify.com/admin/orders?query=15019</v>
      </c>
    </row>
    <row r="1171">
      <c r="A1171" s="93" t="str">
        <f t="shared" si="2"/>
        <v>#15020</v>
      </c>
      <c r="B1171" s="93" t="str">
        <f>IF(AND(COUNTIF(MAIN!B:B, A1171)=0, IFERROR(SEARCH("return", C1171)&gt;0, FALSE)), "Rental Return", IF(COUNTIF(MAIN!B:B, A1171)=0, "Missing", ""))</f>
        <v/>
      </c>
      <c r="C1171" s="128"/>
      <c r="E1171" s="128" t="str">
        <f t="shared" si="1"/>
        <v/>
      </c>
    </row>
    <row r="1172">
      <c r="A1172" s="93" t="str">
        <f t="shared" si="2"/>
        <v>#15021</v>
      </c>
      <c r="B1172" s="93" t="str">
        <f>IF(AND(COUNTIF(MAIN!B:B, A1172)=0, IFERROR(SEARCH("return", C1172)&gt;0, FALSE)), "Rental Return", IF(COUNTIF(MAIN!B:B, A1172)=0, "Missing", ""))</f>
        <v>Missing</v>
      </c>
      <c r="C1172" s="133" t="s">
        <v>15251</v>
      </c>
      <c r="E1172" s="131" t="str">
        <f t="shared" si="1"/>
        <v>https://utrucking.myshopify.com/admin/orders?query=15021</v>
      </c>
    </row>
    <row r="1173">
      <c r="A1173" s="93" t="str">
        <f t="shared" si="2"/>
        <v>#15022</v>
      </c>
      <c r="B1173" s="93" t="str">
        <f>IF(AND(COUNTIF(MAIN!B:B, A1173)=0, IFERROR(SEARCH("return", C1173)&gt;0, FALSE)), "Rental Return", IF(COUNTIF(MAIN!B:B, A1173)=0, "Missing", ""))</f>
        <v>Rental Return</v>
      </c>
      <c r="C1173" s="133" t="s">
        <v>15255</v>
      </c>
      <c r="E1173" s="128" t="str">
        <f t="shared" si="1"/>
        <v/>
      </c>
    </row>
    <row r="1174">
      <c r="A1174" s="93" t="str">
        <f t="shared" si="2"/>
        <v>#15023</v>
      </c>
      <c r="B1174" s="93" t="str">
        <f>IF(AND(COUNTIF(MAIN!B:B, A1174)=0, IFERROR(SEARCH("return", C1174)&gt;0, FALSE)), "Rental Return", IF(COUNTIF(MAIN!B:B, A1174)=0, "Missing", ""))</f>
        <v/>
      </c>
      <c r="C1174" s="133" t="s">
        <v>15273</v>
      </c>
      <c r="E1174" s="128" t="str">
        <f t="shared" si="1"/>
        <v/>
      </c>
    </row>
    <row r="1175">
      <c r="A1175" s="93" t="str">
        <f t="shared" si="2"/>
        <v>#15024</v>
      </c>
      <c r="B1175" s="93" t="str">
        <f>IF(AND(COUNTIF(MAIN!B:B, A1175)=0, IFERROR(SEARCH("return", C1175)&gt;0, FALSE)), "Rental Return", IF(COUNTIF(MAIN!B:B, A1175)=0, "Missing", ""))</f>
        <v>Rental Return</v>
      </c>
      <c r="C1175" s="133" t="s">
        <v>15261</v>
      </c>
      <c r="E1175" s="128" t="str">
        <f t="shared" si="1"/>
        <v/>
      </c>
    </row>
    <row r="1176">
      <c r="A1176" s="93" t="str">
        <f t="shared" si="2"/>
        <v>#15025</v>
      </c>
      <c r="B1176" s="93" t="str">
        <f>IF(AND(COUNTIF(MAIN!B:B, A1176)=0, IFERROR(SEARCH("return", C1176)&gt;0, FALSE)), "Rental Return", IF(COUNTIF(MAIN!B:B, A1176)=0, "Missing", ""))</f>
        <v/>
      </c>
      <c r="C1176" s="128"/>
      <c r="E1176" s="128" t="str">
        <f t="shared" si="1"/>
        <v/>
      </c>
    </row>
    <row r="1177">
      <c r="A1177" s="93" t="str">
        <f t="shared" si="2"/>
        <v>#15026</v>
      </c>
      <c r="B1177" s="93" t="str">
        <f>IF(AND(COUNTIF(MAIN!B:B, A1177)=0, IFERROR(SEARCH("return", C1177)&gt;0, FALSE)), "Rental Return", IF(COUNTIF(MAIN!B:B, A1177)=0, "Missing", ""))</f>
        <v>Missing</v>
      </c>
      <c r="C1177" s="133" t="s">
        <v>15250</v>
      </c>
      <c r="E1177" s="131" t="str">
        <f t="shared" si="1"/>
        <v>https://utrucking.myshopify.com/admin/orders?query=15026</v>
      </c>
    </row>
    <row r="1178">
      <c r="A1178" s="93" t="str">
        <f t="shared" si="2"/>
        <v>#15027</v>
      </c>
      <c r="B1178" s="93" t="str">
        <f>IF(AND(COUNTIF(MAIN!B:B, A1178)=0, IFERROR(SEARCH("return", C1178)&gt;0, FALSE)), "Rental Return", IF(COUNTIF(MAIN!B:B, A1178)=0, "Missing", ""))</f>
        <v>Missing</v>
      </c>
      <c r="C1178" s="133" t="s">
        <v>15271</v>
      </c>
      <c r="E1178" s="131" t="str">
        <f t="shared" si="1"/>
        <v>https://utrucking.myshopify.com/admin/orders?query=15027</v>
      </c>
    </row>
    <row r="1179">
      <c r="A1179" s="93" t="str">
        <f t="shared" si="2"/>
        <v>#15028</v>
      </c>
      <c r="B1179" s="93" t="str">
        <f>IF(AND(COUNTIF(MAIN!B:B, A1179)=0, IFERROR(SEARCH("return", C1179)&gt;0, FALSE)), "Rental Return", IF(COUNTIF(MAIN!B:B, A1179)=0, "Missing", ""))</f>
        <v/>
      </c>
      <c r="C1179" s="128"/>
      <c r="E1179" s="128" t="str">
        <f t="shared" si="1"/>
        <v/>
      </c>
    </row>
    <row r="1180">
      <c r="A1180" s="93" t="str">
        <f t="shared" si="2"/>
        <v>#15029</v>
      </c>
      <c r="B1180" s="93" t="str">
        <f>IF(AND(COUNTIF(MAIN!B:B, A1180)=0, IFERROR(SEARCH("return", C1180)&gt;0, FALSE)), "Rental Return", IF(COUNTIF(MAIN!B:B, A1180)=0, "Missing", ""))</f>
        <v/>
      </c>
      <c r="C1180" s="128"/>
      <c r="E1180" s="128" t="str">
        <f t="shared" si="1"/>
        <v/>
      </c>
    </row>
    <row r="1181">
      <c r="A1181" s="93" t="str">
        <f t="shared" si="2"/>
        <v>#15030</v>
      </c>
      <c r="B1181" s="93" t="str">
        <f>IF(AND(COUNTIF(MAIN!B:B, A1181)=0, IFERROR(SEARCH("return", C1181)&gt;0, FALSE)), "Rental Return", IF(COUNTIF(MAIN!B:B, A1181)=0, "Missing", ""))</f>
        <v/>
      </c>
      <c r="C1181" s="128"/>
      <c r="E1181" s="128" t="str">
        <f t="shared" si="1"/>
        <v/>
      </c>
    </row>
    <row r="1182">
      <c r="A1182" s="93" t="str">
        <f t="shared" si="2"/>
        <v>#15031</v>
      </c>
      <c r="B1182" s="93" t="str">
        <f>IF(AND(COUNTIF(MAIN!B:B, A1182)=0, IFERROR(SEARCH("return", C1182)&gt;0, FALSE)), "Rental Return", IF(COUNTIF(MAIN!B:B, A1182)=0, "Missing", ""))</f>
        <v>Rental Return</v>
      </c>
      <c r="C1182" s="133" t="s">
        <v>15261</v>
      </c>
      <c r="E1182" s="128" t="str">
        <f t="shared" si="1"/>
        <v/>
      </c>
    </row>
    <row r="1183">
      <c r="A1183" s="93" t="str">
        <f t="shared" si="2"/>
        <v>#15032</v>
      </c>
      <c r="B1183" s="93" t="str">
        <f>IF(AND(COUNTIF(MAIN!B:B, A1183)=0, IFERROR(SEARCH("return", C1183)&gt;0, FALSE)), "Rental Return", IF(COUNTIF(MAIN!B:B, A1183)=0, "Missing", ""))</f>
        <v/>
      </c>
      <c r="C1183" s="128"/>
      <c r="E1183" s="128" t="str">
        <f t="shared" si="1"/>
        <v/>
      </c>
    </row>
    <row r="1184">
      <c r="A1184" s="93" t="str">
        <f t="shared" si="2"/>
        <v>#15033</v>
      </c>
      <c r="B1184" s="93" t="str">
        <f>IF(AND(COUNTIF(MAIN!B:B, A1184)=0, IFERROR(SEARCH("return", C1184)&gt;0, FALSE)), "Rental Return", IF(COUNTIF(MAIN!B:B, A1184)=0, "Missing", ""))</f>
        <v>Rental Return</v>
      </c>
      <c r="C1184" s="133" t="s">
        <v>15261</v>
      </c>
      <c r="E1184" s="128" t="str">
        <f t="shared" si="1"/>
        <v/>
      </c>
    </row>
    <row r="1185">
      <c r="A1185" s="93" t="str">
        <f t="shared" si="2"/>
        <v>#15034</v>
      </c>
      <c r="B1185" s="93" t="str">
        <f>IF(AND(COUNTIF(MAIN!B:B, A1185)=0, IFERROR(SEARCH("return", C1185)&gt;0, FALSE)), "Rental Return", IF(COUNTIF(MAIN!B:B, A1185)=0, "Missing", ""))</f>
        <v>Rental Return</v>
      </c>
      <c r="C1185" s="133" t="s">
        <v>15255</v>
      </c>
      <c r="E1185" s="128" t="str">
        <f t="shared" si="1"/>
        <v/>
      </c>
    </row>
    <row r="1186">
      <c r="A1186" s="93" t="str">
        <f t="shared" si="2"/>
        <v>#15035</v>
      </c>
      <c r="B1186" s="93" t="str">
        <f>IF(AND(COUNTIF(MAIN!B:B, A1186)=0, IFERROR(SEARCH("return", C1186)&gt;0, FALSE)), "Rental Return", IF(COUNTIF(MAIN!B:B, A1186)=0, "Missing", ""))</f>
        <v>Rental Return</v>
      </c>
      <c r="C1186" s="133" t="s">
        <v>15255</v>
      </c>
      <c r="E1186" s="128" t="str">
        <f t="shared" si="1"/>
        <v/>
      </c>
    </row>
    <row r="1187">
      <c r="A1187" s="93" t="str">
        <f t="shared" si="2"/>
        <v>#15036</v>
      </c>
      <c r="B1187" s="93" t="str">
        <f>IF(AND(COUNTIF(MAIN!B:B, A1187)=0, IFERROR(SEARCH("return", C1187)&gt;0, FALSE)), "Rental Return", IF(COUNTIF(MAIN!B:B, A1187)=0, "Missing", ""))</f>
        <v/>
      </c>
      <c r="C1187" s="128"/>
      <c r="E1187" s="128" t="str">
        <f t="shared" si="1"/>
        <v/>
      </c>
    </row>
    <row r="1188">
      <c r="A1188" s="93" t="str">
        <f t="shared" si="2"/>
        <v>#15037</v>
      </c>
      <c r="B1188" s="93" t="str">
        <f>IF(AND(COUNTIF(MAIN!B:B, A1188)=0, IFERROR(SEARCH("return", C1188)&gt;0, FALSE)), "Rental Return", IF(COUNTIF(MAIN!B:B, A1188)=0, "Missing", ""))</f>
        <v/>
      </c>
      <c r="C1188" s="128"/>
      <c r="E1188" s="128" t="str">
        <f t="shared" si="1"/>
        <v/>
      </c>
    </row>
    <row r="1189">
      <c r="A1189" s="93" t="str">
        <f t="shared" si="2"/>
        <v>#15038</v>
      </c>
      <c r="B1189" s="93" t="str">
        <f>IF(AND(COUNTIF(MAIN!B:B, A1189)=0, IFERROR(SEARCH("return", C1189)&gt;0, FALSE)), "Rental Return", IF(COUNTIF(MAIN!B:B, A1189)=0, "Missing", ""))</f>
        <v>Missing</v>
      </c>
      <c r="C1189" s="133" t="s">
        <v>15248</v>
      </c>
      <c r="E1189" s="131" t="str">
        <f t="shared" si="1"/>
        <v>https://utrucking.myshopify.com/admin/orders?query=15038</v>
      </c>
    </row>
    <row r="1190">
      <c r="A1190" s="93" t="str">
        <f t="shared" si="2"/>
        <v>#15039</v>
      </c>
      <c r="B1190" s="93" t="str">
        <f>IF(AND(COUNTIF(MAIN!B:B, A1190)=0, IFERROR(SEARCH("return", C1190)&gt;0, FALSE)), "Rental Return", IF(COUNTIF(MAIN!B:B, A1190)=0, "Missing", ""))</f>
        <v/>
      </c>
      <c r="C1190" s="128"/>
      <c r="E1190" s="128" t="str">
        <f t="shared" si="1"/>
        <v/>
      </c>
    </row>
    <row r="1191">
      <c r="A1191" s="93" t="str">
        <f t="shared" si="2"/>
        <v>#15040</v>
      </c>
      <c r="B1191" s="93" t="str">
        <f>IF(AND(COUNTIF(MAIN!B:B, A1191)=0, IFERROR(SEARCH("return", C1191)&gt;0, FALSE)), "Rental Return", IF(COUNTIF(MAIN!B:B, A1191)=0, "Missing", ""))</f>
        <v/>
      </c>
      <c r="C1191" s="128"/>
      <c r="E1191" s="128" t="str">
        <f t="shared" si="1"/>
        <v/>
      </c>
    </row>
    <row r="1192">
      <c r="A1192" s="93" t="str">
        <f t="shared" si="2"/>
        <v>#15041</v>
      </c>
      <c r="B1192" s="93" t="str">
        <f>IF(AND(COUNTIF(MAIN!B:B, A1192)=0, IFERROR(SEARCH("return", C1192)&gt;0, FALSE)), "Rental Return", IF(COUNTIF(MAIN!B:B, A1192)=0, "Missing", ""))</f>
        <v/>
      </c>
      <c r="C1192" s="128"/>
      <c r="E1192" s="128" t="str">
        <f t="shared" si="1"/>
        <v/>
      </c>
    </row>
    <row r="1193">
      <c r="A1193" s="93" t="str">
        <f t="shared" si="2"/>
        <v>#15042</v>
      </c>
      <c r="B1193" s="93" t="str">
        <f>IF(AND(COUNTIF(MAIN!B:B, A1193)=0, IFERROR(SEARCH("return", C1193)&gt;0, FALSE)), "Rental Return", IF(COUNTIF(MAIN!B:B, A1193)=0, "Missing", ""))</f>
        <v>Rental Return</v>
      </c>
      <c r="C1193" s="133" t="s">
        <v>15255</v>
      </c>
      <c r="E1193" s="128" t="str">
        <f t="shared" si="1"/>
        <v/>
      </c>
    </row>
    <row r="1194">
      <c r="A1194" s="93" t="str">
        <f t="shared" si="2"/>
        <v>#15043</v>
      </c>
      <c r="B1194" s="93" t="str">
        <f>IF(AND(COUNTIF(MAIN!B:B, A1194)=0, IFERROR(SEARCH("return", C1194)&gt;0, FALSE)), "Rental Return", IF(COUNTIF(MAIN!B:B, A1194)=0, "Missing", ""))</f>
        <v>Rental Return</v>
      </c>
      <c r="C1194" s="133" t="s">
        <v>15261</v>
      </c>
      <c r="E1194" s="128" t="str">
        <f t="shared" si="1"/>
        <v/>
      </c>
    </row>
    <row r="1195">
      <c r="A1195" s="93" t="str">
        <f t="shared" si="2"/>
        <v>#15044</v>
      </c>
      <c r="B1195" s="93" t="str">
        <f>IF(AND(COUNTIF(MAIN!B:B, A1195)=0, IFERROR(SEARCH("return", C1195)&gt;0, FALSE)), "Rental Return", IF(COUNTIF(MAIN!B:B, A1195)=0, "Missing", ""))</f>
        <v>Rental Return</v>
      </c>
      <c r="C1195" s="133" t="s">
        <v>15261</v>
      </c>
      <c r="E1195" s="128" t="str">
        <f t="shared" si="1"/>
        <v/>
      </c>
    </row>
    <row r="1196">
      <c r="A1196" s="93" t="str">
        <f t="shared" si="2"/>
        <v>#15045</v>
      </c>
      <c r="B1196" s="93" t="str">
        <f>IF(AND(COUNTIF(MAIN!B:B, A1196)=0, IFERROR(SEARCH("return", C1196)&gt;0, FALSE)), "Rental Return", IF(COUNTIF(MAIN!B:B, A1196)=0, "Missing", ""))</f>
        <v>Missing</v>
      </c>
      <c r="C1196" s="133" t="s">
        <v>15250</v>
      </c>
      <c r="E1196" s="131" t="str">
        <f t="shared" si="1"/>
        <v>https://utrucking.myshopify.com/admin/orders?query=15045</v>
      </c>
    </row>
    <row r="1197">
      <c r="A1197" s="93" t="str">
        <f t="shared" si="2"/>
        <v>#15046</v>
      </c>
      <c r="B1197" s="93" t="str">
        <f>IF(AND(COUNTIF(MAIN!B:B, A1197)=0, IFERROR(SEARCH("return", C1197)&gt;0, FALSE)), "Rental Return", IF(COUNTIF(MAIN!B:B, A1197)=0, "Missing", ""))</f>
        <v>Rental Return</v>
      </c>
      <c r="C1197" s="133" t="s">
        <v>15261</v>
      </c>
      <c r="E1197" s="128" t="str">
        <f t="shared" si="1"/>
        <v/>
      </c>
    </row>
    <row r="1198">
      <c r="A1198" s="93" t="str">
        <f t="shared" si="2"/>
        <v>#15047</v>
      </c>
      <c r="B1198" s="93" t="str">
        <f>IF(AND(COUNTIF(MAIN!B:B, A1198)=0, IFERROR(SEARCH("return", C1198)&gt;0, FALSE)), "Rental Return", IF(COUNTIF(MAIN!B:B, A1198)=0, "Missing", ""))</f>
        <v>Rental Return</v>
      </c>
      <c r="C1198" s="133" t="s">
        <v>15261</v>
      </c>
      <c r="E1198" s="128" t="str">
        <f t="shared" si="1"/>
        <v/>
      </c>
    </row>
    <row r="1199">
      <c r="A1199" s="93" t="str">
        <f t="shared" si="2"/>
        <v>#15048</v>
      </c>
      <c r="B1199" s="93" t="str">
        <f>IF(AND(COUNTIF(MAIN!B:B, A1199)=0, IFERROR(SEARCH("return", C1199)&gt;0, FALSE)), "Rental Return", IF(COUNTIF(MAIN!B:B, A1199)=0, "Missing", ""))</f>
        <v>Rental Return</v>
      </c>
      <c r="C1199" s="133" t="s">
        <v>15257</v>
      </c>
      <c r="E1199" s="128" t="str">
        <f t="shared" si="1"/>
        <v/>
      </c>
    </row>
    <row r="1200">
      <c r="A1200" s="93" t="str">
        <f t="shared" si="2"/>
        <v>#15049</v>
      </c>
      <c r="B1200" s="93" t="str">
        <f>IF(AND(COUNTIF(MAIN!B:B, A1200)=0, IFERROR(SEARCH("return", C1200)&gt;0, FALSE)), "Rental Return", IF(COUNTIF(MAIN!B:B, A1200)=0, "Missing", ""))</f>
        <v>Missing</v>
      </c>
      <c r="C1200" s="133" t="s">
        <v>644</v>
      </c>
      <c r="E1200" s="131" t="str">
        <f t="shared" si="1"/>
        <v>https://utrucking.myshopify.com/admin/orders?query=15049</v>
      </c>
    </row>
    <row r="1201">
      <c r="A1201" s="93" t="str">
        <f t="shared" si="2"/>
        <v>#15050</v>
      </c>
      <c r="B1201" s="93" t="str">
        <f>IF(AND(COUNTIF(MAIN!B:B, A1201)=0, IFERROR(SEARCH("return", C1201)&gt;0, FALSE)), "Rental Return", IF(COUNTIF(MAIN!B:B, A1201)=0, "Missing", ""))</f>
        <v>Rental Return</v>
      </c>
      <c r="C1201" s="133" t="s">
        <v>15261</v>
      </c>
      <c r="E1201" s="128" t="str">
        <f t="shared" si="1"/>
        <v/>
      </c>
    </row>
    <row r="1202">
      <c r="A1202" s="93" t="str">
        <f t="shared" si="2"/>
        <v>#15051</v>
      </c>
      <c r="B1202" s="93" t="str">
        <f>IF(AND(COUNTIF(MAIN!B:B, A1202)=0, IFERROR(SEARCH("return", C1202)&gt;0, FALSE)), "Rental Return", IF(COUNTIF(MAIN!B:B, A1202)=0, "Missing", ""))</f>
        <v>Missing</v>
      </c>
      <c r="C1202" s="133" t="s">
        <v>15251</v>
      </c>
      <c r="E1202" s="131" t="str">
        <f t="shared" si="1"/>
        <v>https://utrucking.myshopify.com/admin/orders?query=15051</v>
      </c>
    </row>
    <row r="1203">
      <c r="A1203" s="93" t="str">
        <f t="shared" si="2"/>
        <v>#15052</v>
      </c>
      <c r="B1203" s="93" t="str">
        <f>IF(AND(COUNTIF(MAIN!B:B, A1203)=0, IFERROR(SEARCH("return", C1203)&gt;0, FALSE)), "Rental Return", IF(COUNTIF(MAIN!B:B, A1203)=0, "Missing", ""))</f>
        <v>Rental Return</v>
      </c>
      <c r="C1203" s="133" t="s">
        <v>15257</v>
      </c>
      <c r="E1203" s="128" t="str">
        <f t="shared" si="1"/>
        <v/>
      </c>
    </row>
    <row r="1204">
      <c r="A1204" s="93" t="str">
        <f t="shared" si="2"/>
        <v>#15053</v>
      </c>
      <c r="B1204" s="93" t="str">
        <f>IF(AND(COUNTIF(MAIN!B:B, A1204)=0, IFERROR(SEARCH("return", C1204)&gt;0, FALSE)), "Rental Return", IF(COUNTIF(MAIN!B:B, A1204)=0, "Missing", ""))</f>
        <v>Rental Return</v>
      </c>
      <c r="C1204" s="133" t="s">
        <v>15261</v>
      </c>
      <c r="E1204" s="128" t="str">
        <f t="shared" si="1"/>
        <v/>
      </c>
    </row>
    <row r="1205">
      <c r="A1205" s="93" t="str">
        <f t="shared" si="2"/>
        <v>#15054</v>
      </c>
      <c r="B1205" s="93" t="str">
        <f>IF(AND(COUNTIF(MAIN!B:B, A1205)=0, IFERROR(SEARCH("return", C1205)&gt;0, FALSE)), "Rental Return", IF(COUNTIF(MAIN!B:B, A1205)=0, "Missing", ""))</f>
        <v/>
      </c>
      <c r="C1205" s="128"/>
      <c r="E1205" s="128" t="str">
        <f t="shared" si="1"/>
        <v/>
      </c>
    </row>
    <row r="1206">
      <c r="A1206" s="93" t="str">
        <f t="shared" si="2"/>
        <v>#15055</v>
      </c>
      <c r="B1206" s="93" t="str">
        <f>IF(AND(COUNTIF(MAIN!B:B, A1206)=0, IFERROR(SEARCH("return", C1206)&gt;0, FALSE)), "Rental Return", IF(COUNTIF(MAIN!B:B, A1206)=0, "Missing", ""))</f>
        <v/>
      </c>
      <c r="C1206" s="128"/>
      <c r="E1206" s="128" t="str">
        <f t="shared" si="1"/>
        <v/>
      </c>
    </row>
    <row r="1207">
      <c r="A1207" s="93" t="str">
        <f t="shared" si="2"/>
        <v>#15056</v>
      </c>
      <c r="B1207" s="93" t="str">
        <f>IF(AND(COUNTIF(MAIN!B:B, A1207)=0, IFERROR(SEARCH("return", C1207)&gt;0, FALSE)), "Rental Return", IF(COUNTIF(MAIN!B:B, A1207)=0, "Missing", ""))</f>
        <v>Rental Return</v>
      </c>
      <c r="C1207" s="133" t="s">
        <v>15255</v>
      </c>
      <c r="E1207" s="128" t="str">
        <f t="shared" si="1"/>
        <v/>
      </c>
    </row>
    <row r="1208">
      <c r="A1208" s="93" t="str">
        <f t="shared" si="2"/>
        <v>#15057</v>
      </c>
      <c r="B1208" s="93" t="str">
        <f>IF(AND(COUNTIF(MAIN!B:B, A1208)=0, IFERROR(SEARCH("return", C1208)&gt;0, FALSE)), "Rental Return", IF(COUNTIF(MAIN!B:B, A1208)=0, "Missing", ""))</f>
        <v>Rental Return</v>
      </c>
      <c r="C1208" s="133" t="s">
        <v>15261</v>
      </c>
      <c r="E1208" s="128" t="str">
        <f t="shared" si="1"/>
        <v/>
      </c>
    </row>
    <row r="1209">
      <c r="A1209" s="93" t="str">
        <f t="shared" si="2"/>
        <v>#15058</v>
      </c>
      <c r="B1209" s="93" t="str">
        <f>IF(AND(COUNTIF(MAIN!B:B, A1209)=0, IFERROR(SEARCH("return", C1209)&gt;0, FALSE)), "Rental Return", IF(COUNTIF(MAIN!B:B, A1209)=0, "Missing", ""))</f>
        <v>Missing</v>
      </c>
      <c r="C1209" s="133" t="s">
        <v>15275</v>
      </c>
      <c r="E1209" s="131" t="str">
        <f t="shared" si="1"/>
        <v>https://utrucking.myshopify.com/admin/orders?query=15058</v>
      </c>
    </row>
    <row r="1210">
      <c r="A1210" s="93" t="str">
        <f t="shared" si="2"/>
        <v>#15059</v>
      </c>
      <c r="B1210" s="93" t="str">
        <f>IF(AND(COUNTIF(MAIN!B:B, A1210)=0, IFERROR(SEARCH("return", C1210)&gt;0, FALSE)), "Rental Return", IF(COUNTIF(MAIN!B:B, A1210)=0, "Missing", ""))</f>
        <v>Missing</v>
      </c>
      <c r="C1210" s="133" t="s">
        <v>15275</v>
      </c>
      <c r="E1210" s="131" t="str">
        <f t="shared" si="1"/>
        <v>https://utrucking.myshopify.com/admin/orders?query=15059</v>
      </c>
    </row>
    <row r="1211">
      <c r="A1211" s="93" t="str">
        <f t="shared" si="2"/>
        <v>#15060</v>
      </c>
      <c r="B1211" s="93" t="str">
        <f>IF(AND(COUNTIF(MAIN!B:B, A1211)=0, IFERROR(SEARCH("return", C1211)&gt;0, FALSE)), "Rental Return", IF(COUNTIF(MAIN!B:B, A1211)=0, "Missing", ""))</f>
        <v/>
      </c>
      <c r="C1211" s="128"/>
      <c r="E1211" s="128" t="str">
        <f t="shared" si="1"/>
        <v/>
      </c>
    </row>
    <row r="1212">
      <c r="A1212" s="93" t="str">
        <f t="shared" si="2"/>
        <v>#15061</v>
      </c>
      <c r="B1212" s="93" t="str">
        <f>IF(AND(COUNTIF(MAIN!B:B, A1212)=0, IFERROR(SEARCH("return", C1212)&gt;0, FALSE)), "Rental Return", IF(COUNTIF(MAIN!B:B, A1212)=0, "Missing", ""))</f>
        <v>Missing</v>
      </c>
      <c r="C1212" s="133" t="s">
        <v>15275</v>
      </c>
      <c r="E1212" s="131" t="str">
        <f t="shared" si="1"/>
        <v>https://utrucking.myshopify.com/admin/orders?query=15061</v>
      </c>
    </row>
    <row r="1213">
      <c r="A1213" s="93" t="str">
        <f t="shared" si="2"/>
        <v>#15062</v>
      </c>
      <c r="B1213" s="93" t="str">
        <f>IF(AND(COUNTIF(MAIN!B:B, A1213)=0, IFERROR(SEARCH("return", C1213)&gt;0, FALSE)), "Rental Return", IF(COUNTIF(MAIN!B:B, A1213)=0, "Missing", ""))</f>
        <v>Missing</v>
      </c>
      <c r="C1213" s="133" t="s">
        <v>15275</v>
      </c>
      <c r="E1213" s="131" t="str">
        <f t="shared" si="1"/>
        <v>https://utrucking.myshopify.com/admin/orders?query=15062</v>
      </c>
    </row>
    <row r="1214">
      <c r="A1214" s="93" t="str">
        <f t="shared" si="2"/>
        <v>#15063</v>
      </c>
      <c r="B1214" s="93" t="str">
        <f>IF(AND(COUNTIF(MAIN!B:B, A1214)=0, IFERROR(SEARCH("return", C1214)&gt;0, FALSE)), "Rental Return", IF(COUNTIF(MAIN!B:B, A1214)=0, "Missing", ""))</f>
        <v>Missing</v>
      </c>
      <c r="C1214" s="133" t="s">
        <v>15269</v>
      </c>
      <c r="E1214" s="131" t="str">
        <f t="shared" si="1"/>
        <v>https://utrucking.myshopify.com/admin/orders?query=15063</v>
      </c>
    </row>
    <row r="1215">
      <c r="A1215" s="93" t="str">
        <f t="shared" si="2"/>
        <v>#15064</v>
      </c>
      <c r="B1215" s="93" t="str">
        <f>IF(AND(COUNTIF(MAIN!B:B, A1215)=0, IFERROR(SEARCH("return", C1215)&gt;0, FALSE)), "Rental Return", IF(COUNTIF(MAIN!B:B, A1215)=0, "Missing", ""))</f>
        <v/>
      </c>
      <c r="C1215" s="128"/>
      <c r="E1215" s="128" t="str">
        <f t="shared" si="1"/>
        <v/>
      </c>
    </row>
    <row r="1216">
      <c r="A1216" s="93" t="str">
        <f t="shared" si="2"/>
        <v>#15065</v>
      </c>
      <c r="B1216" s="93" t="str">
        <f>IF(AND(COUNTIF(MAIN!B:B, A1216)=0, IFERROR(SEARCH("return", C1216)&gt;0, FALSE)), "Rental Return", IF(COUNTIF(MAIN!B:B, A1216)=0, "Missing", ""))</f>
        <v>Missing</v>
      </c>
      <c r="C1216" s="133" t="s">
        <v>15275</v>
      </c>
      <c r="E1216" s="131" t="str">
        <f t="shared" si="1"/>
        <v>https://utrucking.myshopify.com/admin/orders?query=15065</v>
      </c>
    </row>
    <row r="1217">
      <c r="A1217" s="93" t="str">
        <f t="shared" si="2"/>
        <v>#15066</v>
      </c>
      <c r="B1217" s="93" t="str">
        <f>IF(AND(COUNTIF(MAIN!B:B, A1217)=0, IFERROR(SEARCH("return", C1217)&gt;0, FALSE)), "Rental Return", IF(COUNTIF(MAIN!B:B, A1217)=0, "Missing", ""))</f>
        <v>Rental Return</v>
      </c>
      <c r="C1217" s="133" t="s">
        <v>15255</v>
      </c>
      <c r="E1217" s="128" t="str">
        <f t="shared" si="1"/>
        <v/>
      </c>
    </row>
    <row r="1218">
      <c r="A1218" s="93" t="str">
        <f t="shared" si="2"/>
        <v>#15067</v>
      </c>
      <c r="B1218" s="93" t="str">
        <f>IF(AND(COUNTIF(MAIN!B:B, A1218)=0, IFERROR(SEARCH("return", C1218)&gt;0, FALSE)), "Rental Return", IF(COUNTIF(MAIN!B:B, A1218)=0, "Missing", ""))</f>
        <v>Missing</v>
      </c>
      <c r="C1218" s="133" t="s">
        <v>15275</v>
      </c>
      <c r="E1218" s="131" t="str">
        <f t="shared" si="1"/>
        <v>https://utrucking.myshopify.com/admin/orders?query=15067</v>
      </c>
    </row>
    <row r="1219">
      <c r="A1219" s="93" t="str">
        <f t="shared" si="2"/>
        <v>#15068</v>
      </c>
      <c r="B1219" s="93" t="str">
        <f>IF(AND(COUNTIF(MAIN!B:B, A1219)=0, IFERROR(SEARCH("return", C1219)&gt;0, FALSE)), "Rental Return", IF(COUNTIF(MAIN!B:B, A1219)=0, "Missing", ""))</f>
        <v>Missing</v>
      </c>
      <c r="C1219" s="133" t="s">
        <v>15275</v>
      </c>
      <c r="E1219" s="131" t="str">
        <f t="shared" si="1"/>
        <v>https://utrucking.myshopify.com/admin/orders?query=15068</v>
      </c>
    </row>
    <row r="1220">
      <c r="A1220" s="93" t="str">
        <f t="shared" si="2"/>
        <v>#15069</v>
      </c>
      <c r="B1220" s="93" t="str">
        <f>IF(AND(COUNTIF(MAIN!B:B, A1220)=0, IFERROR(SEARCH("return", C1220)&gt;0, FALSE)), "Rental Return", IF(COUNTIF(MAIN!B:B, A1220)=0, "Missing", ""))</f>
        <v>Rental Return</v>
      </c>
      <c r="C1220" s="133" t="s">
        <v>15264</v>
      </c>
      <c r="E1220" s="128" t="str">
        <f t="shared" si="1"/>
        <v/>
      </c>
    </row>
    <row r="1221">
      <c r="A1221" s="93" t="str">
        <f t="shared" si="2"/>
        <v>#15070</v>
      </c>
      <c r="B1221" s="93" t="str">
        <f>IF(AND(COUNTIF(MAIN!B:B, A1221)=0, IFERROR(SEARCH("return", C1221)&gt;0, FALSE)), "Rental Return", IF(COUNTIF(MAIN!B:B, A1221)=0, "Missing", ""))</f>
        <v>Rental Return</v>
      </c>
      <c r="C1221" s="133" t="s">
        <v>15257</v>
      </c>
      <c r="E1221" s="128" t="str">
        <f t="shared" si="1"/>
        <v/>
      </c>
    </row>
    <row r="1222">
      <c r="A1222" s="93" t="str">
        <f t="shared" si="2"/>
        <v>#15071</v>
      </c>
      <c r="B1222" s="93" t="str">
        <f>IF(AND(COUNTIF(MAIN!B:B, A1222)=0, IFERROR(SEARCH("return", C1222)&gt;0, FALSE)), "Rental Return", IF(COUNTIF(MAIN!B:B, A1222)=0, "Missing", ""))</f>
        <v/>
      </c>
      <c r="C1222" s="128"/>
      <c r="E1222" s="128" t="str">
        <f t="shared" si="1"/>
        <v/>
      </c>
    </row>
    <row r="1223">
      <c r="A1223" s="93" t="str">
        <f t="shared" si="2"/>
        <v>#15072</v>
      </c>
      <c r="B1223" s="93" t="str">
        <f>IF(AND(COUNTIF(MAIN!B:B, A1223)=0, IFERROR(SEARCH("return", C1223)&gt;0, FALSE)), "Rental Return", IF(COUNTIF(MAIN!B:B, A1223)=0, "Missing", ""))</f>
        <v>Missing</v>
      </c>
      <c r="C1223" s="133" t="s">
        <v>15275</v>
      </c>
      <c r="E1223" s="131" t="str">
        <f t="shared" si="1"/>
        <v>https://utrucking.myshopify.com/admin/orders?query=15072</v>
      </c>
    </row>
    <row r="1224">
      <c r="A1224" s="93" t="str">
        <f t="shared" si="2"/>
        <v>#15073</v>
      </c>
      <c r="B1224" s="93" t="str">
        <f>IF(AND(COUNTIF(MAIN!B:B, A1224)=0, IFERROR(SEARCH("return", C1224)&gt;0, FALSE)), "Rental Return", IF(COUNTIF(MAIN!B:B, A1224)=0, "Missing", ""))</f>
        <v/>
      </c>
      <c r="C1224" s="128"/>
      <c r="E1224" s="128" t="str">
        <f t="shared" si="1"/>
        <v/>
      </c>
    </row>
    <row r="1225">
      <c r="A1225" s="93" t="str">
        <f t="shared" si="2"/>
        <v>#15074</v>
      </c>
      <c r="B1225" s="93" t="str">
        <f>IF(AND(COUNTIF(MAIN!B:B, A1225)=0, IFERROR(SEARCH("return", C1225)&gt;0, FALSE)), "Rental Return", IF(COUNTIF(MAIN!B:B, A1225)=0, "Missing", ""))</f>
        <v/>
      </c>
      <c r="C1225" s="128"/>
      <c r="E1225" s="128" t="str">
        <f t="shared" si="1"/>
        <v/>
      </c>
    </row>
    <row r="1226">
      <c r="A1226" s="93" t="str">
        <f t="shared" si="2"/>
        <v>#15075</v>
      </c>
      <c r="B1226" s="93" t="str">
        <f>IF(AND(COUNTIF(MAIN!B:B, A1226)=0, IFERROR(SEARCH("return", C1226)&gt;0, FALSE)), "Rental Return", IF(COUNTIF(MAIN!B:B, A1226)=0, "Missing", ""))</f>
        <v/>
      </c>
      <c r="C1226" s="128"/>
      <c r="E1226" s="128" t="str">
        <f t="shared" si="1"/>
        <v/>
      </c>
    </row>
    <row r="1227">
      <c r="A1227" s="93" t="str">
        <f t="shared" si="2"/>
        <v>#15076</v>
      </c>
      <c r="B1227" s="93" t="str">
        <f>IF(AND(COUNTIF(MAIN!B:B, A1227)=0, IFERROR(SEARCH("return", C1227)&gt;0, FALSE)), "Rental Return", IF(COUNTIF(MAIN!B:B, A1227)=0, "Missing", ""))</f>
        <v>Missing</v>
      </c>
      <c r="C1227" s="133" t="s">
        <v>15275</v>
      </c>
      <c r="E1227" s="131" t="str">
        <f t="shared" si="1"/>
        <v>https://utrucking.myshopify.com/admin/orders?query=15076</v>
      </c>
    </row>
    <row r="1228">
      <c r="A1228" s="93" t="str">
        <f t="shared" si="2"/>
        <v>#15077</v>
      </c>
      <c r="B1228" s="93" t="str">
        <f>IF(AND(COUNTIF(MAIN!B:B, A1228)=0, IFERROR(SEARCH("return", C1228)&gt;0, FALSE)), "Rental Return", IF(COUNTIF(MAIN!B:B, A1228)=0, "Missing", ""))</f>
        <v>Rental Return</v>
      </c>
      <c r="C1228" s="133" t="s">
        <v>15265</v>
      </c>
      <c r="E1228" s="128" t="str">
        <f t="shared" si="1"/>
        <v/>
      </c>
    </row>
    <row r="1229">
      <c r="A1229" s="93" t="str">
        <f t="shared" si="2"/>
        <v>#15078</v>
      </c>
      <c r="B1229" s="93" t="str">
        <f>IF(AND(COUNTIF(MAIN!B:B, A1229)=0, IFERROR(SEARCH("return", C1229)&gt;0, FALSE)), "Rental Return", IF(COUNTIF(MAIN!B:B, A1229)=0, "Missing", ""))</f>
        <v>Rental Return</v>
      </c>
      <c r="C1229" s="133" t="s">
        <v>15261</v>
      </c>
      <c r="E1229" s="128" t="str">
        <f t="shared" si="1"/>
        <v/>
      </c>
    </row>
    <row r="1230">
      <c r="A1230" s="93" t="str">
        <f t="shared" si="2"/>
        <v>#15079</v>
      </c>
      <c r="B1230" s="93" t="str">
        <f>IF(AND(COUNTIF(MAIN!B:B, A1230)=0, IFERROR(SEARCH("return", C1230)&gt;0, FALSE)), "Rental Return", IF(COUNTIF(MAIN!B:B, A1230)=0, "Missing", ""))</f>
        <v/>
      </c>
      <c r="C1230" s="128"/>
      <c r="E1230" s="128" t="str">
        <f t="shared" si="1"/>
        <v/>
      </c>
    </row>
    <row r="1231">
      <c r="A1231" s="93" t="str">
        <f t="shared" si="2"/>
        <v>#15080</v>
      </c>
      <c r="B1231" s="93" t="str">
        <f>IF(AND(COUNTIF(MAIN!B:B, A1231)=0, IFERROR(SEARCH("return", C1231)&gt;0, FALSE)), "Rental Return", IF(COUNTIF(MAIN!B:B, A1231)=0, "Missing", ""))</f>
        <v/>
      </c>
      <c r="C1231" s="128"/>
      <c r="E1231" s="128" t="str">
        <f t="shared" si="1"/>
        <v/>
      </c>
    </row>
    <row r="1232">
      <c r="A1232" s="93" t="str">
        <f t="shared" si="2"/>
        <v>#15081</v>
      </c>
      <c r="B1232" s="93" t="str">
        <f>IF(AND(COUNTIF(MAIN!B:B, A1232)=0, IFERROR(SEARCH("return", C1232)&gt;0, FALSE)), "Rental Return", IF(COUNTIF(MAIN!B:B, A1232)=0, "Missing", ""))</f>
        <v/>
      </c>
      <c r="C1232" s="128"/>
      <c r="E1232" s="128" t="str">
        <f t="shared" si="1"/>
        <v/>
      </c>
    </row>
    <row r="1233">
      <c r="A1233" s="93" t="str">
        <f t="shared" si="2"/>
        <v>#15082</v>
      </c>
      <c r="B1233" s="93" t="str">
        <f>IF(AND(COUNTIF(MAIN!B:B, A1233)=0, IFERROR(SEARCH("return", C1233)&gt;0, FALSE)), "Rental Return", IF(COUNTIF(MAIN!B:B, A1233)=0, "Missing", ""))</f>
        <v/>
      </c>
      <c r="C1233" s="128"/>
      <c r="E1233" s="128" t="str">
        <f t="shared" si="1"/>
        <v/>
      </c>
    </row>
    <row r="1234">
      <c r="A1234" s="93" t="str">
        <f t="shared" si="2"/>
        <v>#15083</v>
      </c>
      <c r="B1234" s="93" t="str">
        <f>IF(AND(COUNTIF(MAIN!B:B, A1234)=0, IFERROR(SEARCH("return", C1234)&gt;0, FALSE)), "Rental Return", IF(COUNTIF(MAIN!B:B, A1234)=0, "Missing", ""))</f>
        <v>Rental Return</v>
      </c>
      <c r="C1234" s="133" t="s">
        <v>1111</v>
      </c>
      <c r="E1234" s="128" t="str">
        <f t="shared" si="1"/>
        <v/>
      </c>
    </row>
    <row r="1235">
      <c r="A1235" s="93" t="str">
        <f t="shared" si="2"/>
        <v>#15084</v>
      </c>
      <c r="B1235" s="93" t="str">
        <f>IF(AND(COUNTIF(MAIN!B:B, A1235)=0, IFERROR(SEARCH("return", C1235)&gt;0, FALSE)), "Rental Return", IF(COUNTIF(MAIN!B:B, A1235)=0, "Missing", ""))</f>
        <v/>
      </c>
      <c r="C1235" s="128"/>
      <c r="E1235" s="128" t="str">
        <f t="shared" si="1"/>
        <v/>
      </c>
    </row>
    <row r="1236">
      <c r="A1236" s="93" t="str">
        <f t="shared" si="2"/>
        <v>#15085</v>
      </c>
      <c r="B1236" s="93" t="str">
        <f>IF(AND(COUNTIF(MAIN!B:B, A1236)=0, IFERROR(SEARCH("return", C1236)&gt;0, FALSE)), "Rental Return", IF(COUNTIF(MAIN!B:B, A1236)=0, "Missing", ""))</f>
        <v/>
      </c>
      <c r="C1236" s="128"/>
      <c r="E1236" s="128" t="str">
        <f t="shared" si="1"/>
        <v/>
      </c>
    </row>
    <row r="1237">
      <c r="A1237" s="93" t="str">
        <f t="shared" si="2"/>
        <v>#15086</v>
      </c>
      <c r="B1237" s="93" t="str">
        <f>IF(AND(COUNTIF(MAIN!B:B, A1237)=0, IFERROR(SEARCH("return", C1237)&gt;0, FALSE)), "Rental Return", IF(COUNTIF(MAIN!B:B, A1237)=0, "Missing", ""))</f>
        <v>Missing</v>
      </c>
      <c r="C1237" s="133" t="s">
        <v>15275</v>
      </c>
      <c r="E1237" s="131" t="str">
        <f t="shared" si="1"/>
        <v>https://utrucking.myshopify.com/admin/orders?query=15086</v>
      </c>
    </row>
    <row r="1238">
      <c r="A1238" s="93" t="str">
        <f t="shared" si="2"/>
        <v>#15087</v>
      </c>
      <c r="B1238" s="93" t="str">
        <f>IF(AND(COUNTIF(MAIN!B:B, A1238)=0, IFERROR(SEARCH("return", C1238)&gt;0, FALSE)), "Rental Return", IF(COUNTIF(MAIN!B:B, A1238)=0, "Missing", ""))</f>
        <v>Missing</v>
      </c>
      <c r="C1238" s="133" t="s">
        <v>15275</v>
      </c>
      <c r="E1238" s="131" t="str">
        <f t="shared" si="1"/>
        <v>https://utrucking.myshopify.com/admin/orders?query=15087</v>
      </c>
    </row>
    <row r="1239">
      <c r="A1239" s="93" t="str">
        <f t="shared" si="2"/>
        <v>#15088</v>
      </c>
      <c r="B1239" s="93" t="str">
        <f>IF(AND(COUNTIF(MAIN!B:B, A1239)=0, IFERROR(SEARCH("return", C1239)&gt;0, FALSE)), "Rental Return", IF(COUNTIF(MAIN!B:B, A1239)=0, "Missing", ""))</f>
        <v>Missing</v>
      </c>
      <c r="C1239" s="133" t="s">
        <v>15275</v>
      </c>
      <c r="E1239" s="131" t="str">
        <f t="shared" si="1"/>
        <v>https://utrucking.myshopify.com/admin/orders?query=15088</v>
      </c>
    </row>
    <row r="1240">
      <c r="A1240" s="93" t="str">
        <f t="shared" si="2"/>
        <v>#15089</v>
      </c>
      <c r="B1240" s="93" t="str">
        <f>IF(AND(COUNTIF(MAIN!B:B, A1240)=0, IFERROR(SEARCH("return", C1240)&gt;0, FALSE)), "Rental Return", IF(COUNTIF(MAIN!B:B, A1240)=0, "Missing", ""))</f>
        <v>Rental Return</v>
      </c>
      <c r="C1240" s="133" t="s">
        <v>15265</v>
      </c>
      <c r="E1240" s="128" t="str">
        <f t="shared" si="1"/>
        <v/>
      </c>
    </row>
    <row r="1241">
      <c r="A1241" s="93" t="str">
        <f t="shared" si="2"/>
        <v>#15090</v>
      </c>
      <c r="B1241" s="93" t="str">
        <f>IF(AND(COUNTIF(MAIN!B:B, A1241)=0, IFERROR(SEARCH("return", C1241)&gt;0, FALSE)), "Rental Return", IF(COUNTIF(MAIN!B:B, A1241)=0, "Missing", ""))</f>
        <v>Rental Return</v>
      </c>
      <c r="C1241" s="133" t="s">
        <v>15264</v>
      </c>
      <c r="E1241" s="128" t="str">
        <f t="shared" si="1"/>
        <v/>
      </c>
    </row>
    <row r="1242">
      <c r="A1242" s="93" t="str">
        <f t="shared" si="2"/>
        <v>#15091</v>
      </c>
      <c r="B1242" s="93" t="str">
        <f>IF(AND(COUNTIF(MAIN!B:B, A1242)=0, IFERROR(SEARCH("return", C1242)&gt;0, FALSE)), "Rental Return", IF(COUNTIF(MAIN!B:B, A1242)=0, "Missing", ""))</f>
        <v>Missing</v>
      </c>
      <c r="C1242" s="133" t="s">
        <v>15275</v>
      </c>
      <c r="E1242" s="131" t="str">
        <f t="shared" si="1"/>
        <v>https://utrucking.myshopify.com/admin/orders?query=15091</v>
      </c>
    </row>
    <row r="1243">
      <c r="A1243" s="93" t="str">
        <f t="shared" si="2"/>
        <v>#15092</v>
      </c>
      <c r="B1243" s="93" t="str">
        <f>IF(AND(COUNTIF(MAIN!B:B, A1243)=0, IFERROR(SEARCH("return", C1243)&gt;0, FALSE)), "Rental Return", IF(COUNTIF(MAIN!B:B, A1243)=0, "Missing", ""))</f>
        <v/>
      </c>
      <c r="C1243" s="128"/>
      <c r="E1243" s="128" t="str">
        <f t="shared" si="1"/>
        <v/>
      </c>
    </row>
    <row r="1244">
      <c r="A1244" s="93" t="str">
        <f t="shared" si="2"/>
        <v>#15093</v>
      </c>
      <c r="B1244" s="93" t="str">
        <f>IF(AND(COUNTIF(MAIN!B:B, A1244)=0, IFERROR(SEARCH("return", C1244)&gt;0, FALSE)), "Rental Return", IF(COUNTIF(MAIN!B:B, A1244)=0, "Missing", ""))</f>
        <v/>
      </c>
      <c r="C1244" s="128"/>
      <c r="E1244" s="128" t="str">
        <f t="shared" si="1"/>
        <v/>
      </c>
    </row>
    <row r="1245">
      <c r="A1245" s="93" t="str">
        <f t="shared" si="2"/>
        <v>#15094</v>
      </c>
      <c r="B1245" s="93" t="str">
        <f>IF(AND(COUNTIF(MAIN!B:B, A1245)=0, IFERROR(SEARCH("return", C1245)&gt;0, FALSE)), "Rental Return", IF(COUNTIF(MAIN!B:B, A1245)=0, "Missing", ""))</f>
        <v/>
      </c>
      <c r="C1245" s="128"/>
      <c r="E1245" s="128" t="str">
        <f t="shared" si="1"/>
        <v/>
      </c>
    </row>
    <row r="1246">
      <c r="A1246" s="93" t="str">
        <f t="shared" si="2"/>
        <v>#15095</v>
      </c>
      <c r="B1246" s="93" t="str">
        <f>IF(AND(COUNTIF(MAIN!B:B, A1246)=0, IFERROR(SEARCH("return", C1246)&gt;0, FALSE)), "Rental Return", IF(COUNTIF(MAIN!B:B, A1246)=0, "Missing", ""))</f>
        <v/>
      </c>
      <c r="C1246" s="128"/>
      <c r="E1246" s="128" t="str">
        <f t="shared" si="1"/>
        <v/>
      </c>
    </row>
    <row r="1247">
      <c r="A1247" s="93" t="str">
        <f t="shared" si="2"/>
        <v>#15096</v>
      </c>
      <c r="B1247" s="93" t="str">
        <f>IF(AND(COUNTIF(MAIN!B:B, A1247)=0, IFERROR(SEARCH("return", C1247)&gt;0, FALSE)), "Rental Return", IF(COUNTIF(MAIN!B:B, A1247)=0, "Missing", ""))</f>
        <v/>
      </c>
      <c r="C1247" s="128"/>
      <c r="E1247" s="128" t="str">
        <f t="shared" si="1"/>
        <v/>
      </c>
    </row>
    <row r="1248">
      <c r="A1248" s="93" t="str">
        <f t="shared" si="2"/>
        <v>#15097</v>
      </c>
      <c r="B1248" s="93" t="str">
        <f>IF(AND(COUNTIF(MAIN!B:B, A1248)=0, IFERROR(SEARCH("return", C1248)&gt;0, FALSE)), "Rental Return", IF(COUNTIF(MAIN!B:B, A1248)=0, "Missing", ""))</f>
        <v/>
      </c>
      <c r="C1248" s="128"/>
      <c r="E1248" s="128" t="str">
        <f t="shared" si="1"/>
        <v/>
      </c>
    </row>
    <row r="1249">
      <c r="A1249" s="93" t="str">
        <f t="shared" si="2"/>
        <v>#15098</v>
      </c>
      <c r="B1249" s="93" t="str">
        <f>IF(AND(COUNTIF(MAIN!B:B, A1249)=0, IFERROR(SEARCH("return", C1249)&gt;0, FALSE)), "Rental Return", IF(COUNTIF(MAIN!B:B, A1249)=0, "Missing", ""))</f>
        <v/>
      </c>
      <c r="C1249" s="128"/>
      <c r="E1249" s="128" t="str">
        <f t="shared" si="1"/>
        <v/>
      </c>
    </row>
    <row r="1250">
      <c r="A1250" s="93" t="str">
        <f t="shared" si="2"/>
        <v>#15099</v>
      </c>
      <c r="B1250" s="93" t="str">
        <f>IF(AND(COUNTIF(MAIN!B:B, A1250)=0, IFERROR(SEARCH("return", C1250)&gt;0, FALSE)), "Rental Return", IF(COUNTIF(MAIN!B:B, A1250)=0, "Missing", ""))</f>
        <v>Rental Return</v>
      </c>
      <c r="C1250" s="133" t="s">
        <v>15258</v>
      </c>
      <c r="E1250" s="128" t="str">
        <f t="shared" si="1"/>
        <v/>
      </c>
    </row>
    <row r="1251">
      <c r="A1251" s="93" t="str">
        <f t="shared" si="2"/>
        <v>#15100</v>
      </c>
      <c r="B1251" s="93" t="str">
        <f>IF(AND(COUNTIF(MAIN!B:B, A1251)=0, IFERROR(SEARCH("return", C1251)&gt;0, FALSE)), "Rental Return", IF(COUNTIF(MAIN!B:B, A1251)=0, "Missing", ""))</f>
        <v>Missing</v>
      </c>
      <c r="C1251" s="133" t="s">
        <v>15250</v>
      </c>
      <c r="E1251" s="131" t="str">
        <f t="shared" si="1"/>
        <v>https://utrucking.myshopify.com/admin/orders?query=15100</v>
      </c>
    </row>
    <row r="1252">
      <c r="A1252" s="93" t="str">
        <f t="shared" si="2"/>
        <v>#15101</v>
      </c>
      <c r="B1252" s="93" t="str">
        <f>IF(AND(COUNTIF(MAIN!B:B, A1252)=0, IFERROR(SEARCH("return", C1252)&gt;0, FALSE)), "Rental Return", IF(COUNTIF(MAIN!B:B, A1252)=0, "Missing", ""))</f>
        <v/>
      </c>
      <c r="C1252" s="128"/>
      <c r="E1252" s="128" t="str">
        <f t="shared" si="1"/>
        <v/>
      </c>
    </row>
    <row r="1253">
      <c r="A1253" s="93" t="str">
        <f t="shared" si="2"/>
        <v>#15102</v>
      </c>
      <c r="B1253" s="93" t="str">
        <f>IF(AND(COUNTIF(MAIN!B:B, A1253)=0, IFERROR(SEARCH("return", C1253)&gt;0, FALSE)), "Rental Return", IF(COUNTIF(MAIN!B:B, A1253)=0, "Missing", ""))</f>
        <v>Missing</v>
      </c>
      <c r="C1253" s="133" t="s">
        <v>15276</v>
      </c>
      <c r="E1253" s="131" t="str">
        <f t="shared" si="1"/>
        <v>https://utrucking.myshopify.com/admin/orders?query=15102</v>
      </c>
    </row>
    <row r="1254">
      <c r="A1254" s="93" t="str">
        <f t="shared" si="2"/>
        <v>#15103</v>
      </c>
      <c r="B1254" s="93" t="str">
        <f>IF(AND(COUNTIF(MAIN!B:B, A1254)=0, IFERROR(SEARCH("return", C1254)&gt;0, FALSE)), "Rental Return", IF(COUNTIF(MAIN!B:B, A1254)=0, "Missing", ""))</f>
        <v/>
      </c>
      <c r="C1254" s="128"/>
      <c r="E1254" s="128" t="str">
        <f t="shared" si="1"/>
        <v/>
      </c>
    </row>
    <row r="1255">
      <c r="A1255" s="93" t="str">
        <f t="shared" si="2"/>
        <v>#15104</v>
      </c>
      <c r="B1255" s="93" t="str">
        <f>IF(AND(COUNTIF(MAIN!B:B, A1255)=0, IFERROR(SEARCH("return", C1255)&gt;0, FALSE)), "Rental Return", IF(COUNTIF(MAIN!B:B, A1255)=0, "Missing", ""))</f>
        <v/>
      </c>
      <c r="C1255" s="128"/>
      <c r="E1255" s="128" t="str">
        <f t="shared" si="1"/>
        <v/>
      </c>
    </row>
    <row r="1256">
      <c r="A1256" s="93" t="str">
        <f t="shared" si="2"/>
        <v>#15105</v>
      </c>
      <c r="B1256" s="93" t="str">
        <f>IF(AND(COUNTIF(MAIN!B:B, A1256)=0, IFERROR(SEARCH("return", C1256)&gt;0, FALSE)), "Rental Return", IF(COUNTIF(MAIN!B:B, A1256)=0, "Missing", ""))</f>
        <v>Rental Return</v>
      </c>
      <c r="C1256" s="133" t="s">
        <v>15261</v>
      </c>
      <c r="E1256" s="128" t="str">
        <f t="shared" si="1"/>
        <v/>
      </c>
    </row>
    <row r="1257">
      <c r="A1257" s="93" t="str">
        <f t="shared" si="2"/>
        <v>#15106</v>
      </c>
      <c r="B1257" s="93" t="str">
        <f>IF(AND(COUNTIF(MAIN!B:B, A1257)=0, IFERROR(SEARCH("return", C1257)&gt;0, FALSE)), "Rental Return", IF(COUNTIF(MAIN!B:B, A1257)=0, "Missing", ""))</f>
        <v>Rental Return</v>
      </c>
      <c r="C1257" s="133" t="s">
        <v>15261</v>
      </c>
      <c r="E1257" s="128" t="str">
        <f t="shared" si="1"/>
        <v/>
      </c>
    </row>
    <row r="1258">
      <c r="A1258" s="93" t="str">
        <f t="shared" si="2"/>
        <v>#15107</v>
      </c>
      <c r="B1258" s="93" t="str">
        <f>IF(AND(COUNTIF(MAIN!B:B, A1258)=0, IFERROR(SEARCH("return", C1258)&gt;0, FALSE)), "Rental Return", IF(COUNTIF(MAIN!B:B, A1258)=0, "Missing", ""))</f>
        <v>Rental Return</v>
      </c>
      <c r="C1258" s="133" t="s">
        <v>1111</v>
      </c>
      <c r="E1258" s="128" t="str">
        <f t="shared" si="1"/>
        <v/>
      </c>
    </row>
    <row r="1259">
      <c r="A1259" s="93" t="str">
        <f t="shared" si="2"/>
        <v>#15108</v>
      </c>
      <c r="B1259" s="93" t="str">
        <f>IF(AND(COUNTIF(MAIN!B:B, A1259)=0, IFERROR(SEARCH("return", C1259)&gt;0, FALSE)), "Rental Return", IF(COUNTIF(MAIN!B:B, A1259)=0, "Missing", ""))</f>
        <v>Missing</v>
      </c>
      <c r="C1259" s="133" t="s">
        <v>15250</v>
      </c>
      <c r="E1259" s="131" t="str">
        <f t="shared" si="1"/>
        <v>https://utrucking.myshopify.com/admin/orders?query=15108</v>
      </c>
    </row>
    <row r="1260">
      <c r="A1260" s="93" t="str">
        <f t="shared" si="2"/>
        <v>#15109</v>
      </c>
      <c r="B1260" s="93" t="str">
        <f>IF(AND(COUNTIF(MAIN!B:B, A1260)=0, IFERROR(SEARCH("return", C1260)&gt;0, FALSE)), "Rental Return", IF(COUNTIF(MAIN!B:B, A1260)=0, "Missing", ""))</f>
        <v/>
      </c>
      <c r="C1260" s="128"/>
      <c r="E1260" s="128" t="str">
        <f t="shared" si="1"/>
        <v/>
      </c>
    </row>
    <row r="1261">
      <c r="A1261" s="93" t="str">
        <f t="shared" si="2"/>
        <v>#15110</v>
      </c>
      <c r="B1261" s="93" t="str">
        <f>IF(AND(COUNTIF(MAIN!B:B, A1261)=0, IFERROR(SEARCH("return", C1261)&gt;0, FALSE)), "Rental Return", IF(COUNTIF(MAIN!B:B, A1261)=0, "Missing", ""))</f>
        <v/>
      </c>
      <c r="C1261" s="128"/>
      <c r="E1261" s="128" t="str">
        <f t="shared" si="1"/>
        <v/>
      </c>
    </row>
    <row r="1262">
      <c r="A1262" s="93" t="str">
        <f t="shared" si="2"/>
        <v>#15111</v>
      </c>
      <c r="B1262" s="93" t="str">
        <f>IF(AND(COUNTIF(MAIN!B:B, A1262)=0, IFERROR(SEARCH("return", C1262)&gt;0, FALSE)), "Rental Return", IF(COUNTIF(MAIN!B:B, A1262)=0, "Missing", ""))</f>
        <v/>
      </c>
      <c r="C1262" s="128"/>
      <c r="E1262" s="128" t="str">
        <f t="shared" si="1"/>
        <v/>
      </c>
    </row>
    <row r="1263">
      <c r="A1263" s="93" t="str">
        <f t="shared" si="2"/>
        <v>#15112</v>
      </c>
      <c r="B1263" s="93" t="str">
        <f>IF(AND(COUNTIF(MAIN!B:B, A1263)=0, IFERROR(SEARCH("return", C1263)&gt;0, FALSE)), "Rental Return", IF(COUNTIF(MAIN!B:B, A1263)=0, "Missing", ""))</f>
        <v>Rental Return</v>
      </c>
      <c r="C1263" s="133" t="s">
        <v>15261</v>
      </c>
      <c r="E1263" s="128" t="str">
        <f t="shared" si="1"/>
        <v/>
      </c>
    </row>
    <row r="1264">
      <c r="A1264" s="93" t="str">
        <f t="shared" si="2"/>
        <v>#15113</v>
      </c>
      <c r="B1264" s="93" t="str">
        <f>IF(AND(COUNTIF(MAIN!B:B, A1264)=0, IFERROR(SEARCH("return", C1264)&gt;0, FALSE)), "Rental Return", IF(COUNTIF(MAIN!B:B, A1264)=0, "Missing", ""))</f>
        <v>Rental Return</v>
      </c>
      <c r="C1264" s="133" t="s">
        <v>15261</v>
      </c>
      <c r="E1264" s="128" t="str">
        <f t="shared" si="1"/>
        <v/>
      </c>
    </row>
    <row r="1265">
      <c r="A1265" s="93" t="str">
        <f t="shared" si="2"/>
        <v>#15114</v>
      </c>
      <c r="B1265" s="93" t="str">
        <f>IF(AND(COUNTIF(MAIN!B:B, A1265)=0, IFERROR(SEARCH("return", C1265)&gt;0, FALSE)), "Rental Return", IF(COUNTIF(MAIN!B:B, A1265)=0, "Missing", ""))</f>
        <v/>
      </c>
      <c r="C1265" s="128"/>
      <c r="E1265" s="128" t="str">
        <f t="shared" si="1"/>
        <v/>
      </c>
    </row>
    <row r="1266">
      <c r="A1266" s="93" t="str">
        <f t="shared" si="2"/>
        <v>#15115</v>
      </c>
      <c r="B1266" s="93" t="str">
        <f>IF(AND(COUNTIF(MAIN!B:B, A1266)=0, IFERROR(SEARCH("return", C1266)&gt;0, FALSE)), "Rental Return", IF(COUNTIF(MAIN!B:B, A1266)=0, "Missing", ""))</f>
        <v>Missing</v>
      </c>
      <c r="C1266" s="133" t="s">
        <v>95</v>
      </c>
      <c r="E1266" s="131" t="str">
        <f t="shared" si="1"/>
        <v>https://utrucking.myshopify.com/admin/orders?query=15115</v>
      </c>
    </row>
    <row r="1267">
      <c r="A1267" s="93" t="str">
        <f t="shared" si="2"/>
        <v>#15116</v>
      </c>
      <c r="B1267" s="93" t="str">
        <f>IF(AND(COUNTIF(MAIN!B:B, A1267)=0, IFERROR(SEARCH("return", C1267)&gt;0, FALSE)), "Rental Return", IF(COUNTIF(MAIN!B:B, A1267)=0, "Missing", ""))</f>
        <v/>
      </c>
      <c r="C1267" s="128"/>
      <c r="E1267" s="128" t="str">
        <f t="shared" si="1"/>
        <v/>
      </c>
    </row>
    <row r="1268">
      <c r="A1268" s="93" t="str">
        <f t="shared" si="2"/>
        <v>#15117</v>
      </c>
      <c r="B1268" s="93" t="str">
        <f>IF(AND(COUNTIF(MAIN!B:B, A1268)=0, IFERROR(SEARCH("return", C1268)&gt;0, FALSE)), "Rental Return", IF(COUNTIF(MAIN!B:B, A1268)=0, "Missing", ""))</f>
        <v>Missing</v>
      </c>
      <c r="C1268" s="133" t="s">
        <v>15276</v>
      </c>
      <c r="E1268" s="131" t="str">
        <f t="shared" si="1"/>
        <v>https://utrucking.myshopify.com/admin/orders?query=15117</v>
      </c>
    </row>
    <row r="1269">
      <c r="A1269" s="93" t="str">
        <f t="shared" si="2"/>
        <v>#15118</v>
      </c>
      <c r="B1269" s="93" t="str">
        <f>IF(AND(COUNTIF(MAIN!B:B, A1269)=0, IFERROR(SEARCH("return", C1269)&gt;0, FALSE)), "Rental Return", IF(COUNTIF(MAIN!B:B, A1269)=0, "Missing", ""))</f>
        <v/>
      </c>
      <c r="C1269" s="128"/>
      <c r="E1269" s="128" t="str">
        <f t="shared" si="1"/>
        <v/>
      </c>
    </row>
    <row r="1270">
      <c r="A1270" s="93" t="str">
        <f t="shared" si="2"/>
        <v>#15119</v>
      </c>
      <c r="B1270" s="93" t="str">
        <f>IF(AND(COUNTIF(MAIN!B:B, A1270)=0, IFERROR(SEARCH("return", C1270)&gt;0, FALSE)), "Rental Return", IF(COUNTIF(MAIN!B:B, A1270)=0, "Missing", ""))</f>
        <v/>
      </c>
      <c r="C1270" s="128"/>
      <c r="E1270" s="128" t="str">
        <f t="shared" si="1"/>
        <v/>
      </c>
    </row>
    <row r="1271">
      <c r="A1271" s="93" t="str">
        <f t="shared" si="2"/>
        <v>#15120</v>
      </c>
      <c r="B1271" s="93" t="str">
        <f>IF(AND(COUNTIF(MAIN!B:B, A1271)=0, IFERROR(SEARCH("return", C1271)&gt;0, FALSE)), "Rental Return", IF(COUNTIF(MAIN!B:B, A1271)=0, "Missing", ""))</f>
        <v/>
      </c>
      <c r="C1271" s="128"/>
      <c r="E1271" s="128" t="str">
        <f t="shared" si="1"/>
        <v/>
      </c>
    </row>
    <row r="1272">
      <c r="A1272" s="93" t="str">
        <f t="shared" si="2"/>
        <v>#15121</v>
      </c>
      <c r="B1272" s="93" t="str">
        <f>IF(AND(COUNTIF(MAIN!B:B, A1272)=0, IFERROR(SEARCH("return", C1272)&gt;0, FALSE)), "Rental Return", IF(COUNTIF(MAIN!B:B, A1272)=0, "Missing", ""))</f>
        <v/>
      </c>
      <c r="C1272" s="128"/>
      <c r="E1272" s="128" t="str">
        <f t="shared" si="1"/>
        <v/>
      </c>
    </row>
    <row r="1273">
      <c r="A1273" s="93" t="str">
        <f t="shared" si="2"/>
        <v>#15122</v>
      </c>
      <c r="B1273" s="93" t="str">
        <f>IF(AND(COUNTIF(MAIN!B:B, A1273)=0, IFERROR(SEARCH("return", C1273)&gt;0, FALSE)), "Rental Return", IF(COUNTIF(MAIN!B:B, A1273)=0, "Missing", ""))</f>
        <v/>
      </c>
      <c r="C1273" s="128"/>
      <c r="E1273" s="128" t="str">
        <f t="shared" si="1"/>
        <v/>
      </c>
    </row>
    <row r="1274">
      <c r="A1274" s="93" t="str">
        <f t="shared" si="2"/>
        <v>#15123</v>
      </c>
      <c r="B1274" s="93" t="str">
        <f>IF(AND(COUNTIF(MAIN!B:B, A1274)=0, IFERROR(SEARCH("return", C1274)&gt;0, FALSE)), "Rental Return", IF(COUNTIF(MAIN!B:B, A1274)=0, "Missing", ""))</f>
        <v/>
      </c>
      <c r="C1274" s="128"/>
      <c r="E1274" s="128" t="str">
        <f t="shared" si="1"/>
        <v/>
      </c>
    </row>
    <row r="1275">
      <c r="A1275" s="93" t="str">
        <f t="shared" si="2"/>
        <v>#15124</v>
      </c>
      <c r="B1275" s="93" t="str">
        <f>IF(AND(COUNTIF(MAIN!B:B, A1275)=0, IFERROR(SEARCH("return", C1275)&gt;0, FALSE)), "Rental Return", IF(COUNTIF(MAIN!B:B, A1275)=0, "Missing", ""))</f>
        <v/>
      </c>
      <c r="C1275" s="128"/>
      <c r="E1275" s="128" t="str">
        <f t="shared" si="1"/>
        <v/>
      </c>
    </row>
    <row r="1276">
      <c r="A1276" s="93" t="str">
        <f t="shared" si="2"/>
        <v>#15125</v>
      </c>
      <c r="B1276" s="93" t="str">
        <f>IF(AND(COUNTIF(MAIN!B:B, A1276)=0, IFERROR(SEARCH("return", C1276)&gt;0, FALSE)), "Rental Return", IF(COUNTIF(MAIN!B:B, A1276)=0, "Missing", ""))</f>
        <v>Missing</v>
      </c>
      <c r="C1276" s="133" t="s">
        <v>15277</v>
      </c>
      <c r="E1276" s="131" t="str">
        <f t="shared" si="1"/>
        <v>https://utrucking.myshopify.com/admin/orders?query=15125</v>
      </c>
    </row>
    <row r="1277">
      <c r="A1277" s="93" t="str">
        <f t="shared" si="2"/>
        <v>#15126</v>
      </c>
      <c r="B1277" s="93" t="str">
        <f>IF(AND(COUNTIF(MAIN!B:B, A1277)=0, IFERROR(SEARCH("return", C1277)&gt;0, FALSE)), "Rental Return", IF(COUNTIF(MAIN!B:B, A1277)=0, "Missing", ""))</f>
        <v>Missing</v>
      </c>
      <c r="C1277" s="133" t="s">
        <v>15277</v>
      </c>
      <c r="E1277" s="131" t="str">
        <f t="shared" si="1"/>
        <v>https://utrucking.myshopify.com/admin/orders?query=15126</v>
      </c>
    </row>
    <row r="1278">
      <c r="A1278" s="93" t="str">
        <f t="shared" si="2"/>
        <v>#15127</v>
      </c>
      <c r="B1278" s="93" t="str">
        <f>IF(AND(COUNTIF(MAIN!B:B, A1278)=0, IFERROR(SEARCH("return", C1278)&gt;0, FALSE)), "Rental Return", IF(COUNTIF(MAIN!B:B, A1278)=0, "Missing", ""))</f>
        <v>Rental Return</v>
      </c>
      <c r="C1278" s="133" t="s">
        <v>15264</v>
      </c>
      <c r="E1278" s="128" t="str">
        <f t="shared" si="1"/>
        <v/>
      </c>
    </row>
    <row r="1279">
      <c r="A1279" s="93" t="str">
        <f t="shared" si="2"/>
        <v>#15128</v>
      </c>
      <c r="B1279" s="93" t="str">
        <f>IF(AND(COUNTIF(MAIN!B:B, A1279)=0, IFERROR(SEARCH("return", C1279)&gt;0, FALSE)), "Rental Return", IF(COUNTIF(MAIN!B:B, A1279)=0, "Missing", ""))</f>
        <v/>
      </c>
      <c r="C1279" s="128"/>
      <c r="E1279" s="128" t="str">
        <f t="shared" si="1"/>
        <v/>
      </c>
    </row>
    <row r="1280">
      <c r="A1280" s="93" t="str">
        <f t="shared" si="2"/>
        <v>#15129</v>
      </c>
      <c r="B1280" s="93" t="str">
        <f>IF(AND(COUNTIF(MAIN!B:B, A1280)=0, IFERROR(SEARCH("return", C1280)&gt;0, FALSE)), "Rental Return", IF(COUNTIF(MAIN!B:B, A1280)=0, "Missing", ""))</f>
        <v/>
      </c>
      <c r="C1280" s="128"/>
      <c r="E1280" s="128" t="str">
        <f t="shared" si="1"/>
        <v/>
      </c>
    </row>
    <row r="1281">
      <c r="A1281" s="93" t="str">
        <f t="shared" si="2"/>
        <v>#15130</v>
      </c>
      <c r="B1281" s="93" t="str">
        <f>IF(AND(COUNTIF(MAIN!B:B, A1281)=0, IFERROR(SEARCH("return", C1281)&gt;0, FALSE)), "Rental Return", IF(COUNTIF(MAIN!B:B, A1281)=0, "Missing", ""))</f>
        <v/>
      </c>
      <c r="C1281" s="128"/>
      <c r="E1281" s="128" t="str">
        <f t="shared" si="1"/>
        <v/>
      </c>
    </row>
    <row r="1282">
      <c r="A1282" s="93" t="str">
        <f t="shared" si="2"/>
        <v>#15131</v>
      </c>
      <c r="B1282" s="93" t="str">
        <f>IF(AND(COUNTIF(MAIN!B:B, A1282)=0, IFERROR(SEARCH("return", C1282)&gt;0, FALSE)), "Rental Return", IF(COUNTIF(MAIN!B:B, A1282)=0, "Missing", ""))</f>
        <v>Missing</v>
      </c>
      <c r="C1282" s="133" t="s">
        <v>15245</v>
      </c>
      <c r="E1282" s="131" t="str">
        <f t="shared" si="1"/>
        <v>https://utrucking.myshopify.com/admin/orders?query=15131</v>
      </c>
    </row>
    <row r="1283">
      <c r="A1283" s="93" t="str">
        <f t="shared" si="2"/>
        <v>#15132</v>
      </c>
      <c r="B1283" s="93" t="str">
        <f>IF(AND(COUNTIF(MAIN!B:B, A1283)=0, IFERROR(SEARCH("return", C1283)&gt;0, FALSE)), "Rental Return", IF(COUNTIF(MAIN!B:B, A1283)=0, "Missing", ""))</f>
        <v/>
      </c>
      <c r="C1283" s="128"/>
      <c r="E1283" s="128" t="str">
        <f t="shared" si="1"/>
        <v/>
      </c>
    </row>
    <row r="1284">
      <c r="A1284" s="93" t="str">
        <f t="shared" si="2"/>
        <v>#15133</v>
      </c>
      <c r="B1284" s="93" t="str">
        <f>IF(AND(COUNTIF(MAIN!B:B, A1284)=0, IFERROR(SEARCH("return", C1284)&gt;0, FALSE)), "Rental Return", IF(COUNTIF(MAIN!B:B, A1284)=0, "Missing", ""))</f>
        <v/>
      </c>
      <c r="C1284" s="128"/>
      <c r="E1284" s="128" t="str">
        <f t="shared" si="1"/>
        <v/>
      </c>
    </row>
    <row r="1285">
      <c r="A1285" s="93" t="str">
        <f t="shared" si="2"/>
        <v>#15134</v>
      </c>
      <c r="B1285" s="93" t="str">
        <f>IF(AND(COUNTIF(MAIN!B:B, A1285)=0, IFERROR(SEARCH("return", C1285)&gt;0, FALSE)), "Rental Return", IF(COUNTIF(MAIN!B:B, A1285)=0, "Missing", ""))</f>
        <v/>
      </c>
      <c r="C1285" s="128"/>
      <c r="E1285" s="128" t="str">
        <f t="shared" si="1"/>
        <v/>
      </c>
    </row>
    <row r="1286">
      <c r="A1286" s="93" t="str">
        <f t="shared" si="2"/>
        <v>#15135</v>
      </c>
      <c r="B1286" s="93" t="str">
        <f>IF(AND(COUNTIF(MAIN!B:B, A1286)=0, IFERROR(SEARCH("return", C1286)&gt;0, FALSE)), "Rental Return", IF(COUNTIF(MAIN!B:B, A1286)=0, "Missing", ""))</f>
        <v/>
      </c>
      <c r="C1286" s="128"/>
      <c r="E1286" s="128" t="str">
        <f t="shared" si="1"/>
        <v/>
      </c>
    </row>
    <row r="1287">
      <c r="A1287" s="93" t="str">
        <f t="shared" si="2"/>
        <v>#15136</v>
      </c>
      <c r="B1287" s="93" t="str">
        <f>IF(AND(COUNTIF(MAIN!B:B, A1287)=0, IFERROR(SEARCH("return", C1287)&gt;0, FALSE)), "Rental Return", IF(COUNTIF(MAIN!B:B, A1287)=0, "Missing", ""))</f>
        <v/>
      </c>
      <c r="C1287" s="128"/>
      <c r="E1287" s="128" t="str">
        <f t="shared" si="1"/>
        <v/>
      </c>
    </row>
    <row r="1288">
      <c r="A1288" s="93" t="str">
        <f t="shared" si="2"/>
        <v>#15137</v>
      </c>
      <c r="B1288" s="93" t="str">
        <f>IF(AND(COUNTIF(MAIN!B:B, A1288)=0, IFERROR(SEARCH("return", C1288)&gt;0, FALSE)), "Rental Return", IF(COUNTIF(MAIN!B:B, A1288)=0, "Missing", ""))</f>
        <v/>
      </c>
      <c r="C1288" s="128"/>
      <c r="E1288" s="128" t="str">
        <f t="shared" si="1"/>
        <v/>
      </c>
    </row>
    <row r="1289">
      <c r="A1289" s="93" t="str">
        <f t="shared" si="2"/>
        <v>#15138</v>
      </c>
      <c r="B1289" s="93" t="str">
        <f>IF(AND(COUNTIF(MAIN!B:B, A1289)=0, IFERROR(SEARCH("return", C1289)&gt;0, FALSE)), "Rental Return", IF(COUNTIF(MAIN!B:B, A1289)=0, "Missing", ""))</f>
        <v/>
      </c>
      <c r="C1289" s="128"/>
      <c r="E1289" s="128" t="str">
        <f t="shared" si="1"/>
        <v/>
      </c>
    </row>
    <row r="1290">
      <c r="A1290" s="93" t="str">
        <f t="shared" si="2"/>
        <v>#15139</v>
      </c>
      <c r="B1290" s="93" t="str">
        <f>IF(AND(COUNTIF(MAIN!B:B, A1290)=0, IFERROR(SEARCH("return", C1290)&gt;0, FALSE)), "Rental Return", IF(COUNTIF(MAIN!B:B, A1290)=0, "Missing", ""))</f>
        <v/>
      </c>
      <c r="C1290" s="128"/>
      <c r="E1290" s="128" t="str">
        <f t="shared" si="1"/>
        <v/>
      </c>
    </row>
    <row r="1291">
      <c r="A1291" s="93" t="str">
        <f t="shared" si="2"/>
        <v>#15140</v>
      </c>
      <c r="B1291" s="93" t="str">
        <f>IF(AND(COUNTIF(MAIN!B:B, A1291)=0, IFERROR(SEARCH("return", C1291)&gt;0, FALSE)), "Rental Return", IF(COUNTIF(MAIN!B:B, A1291)=0, "Missing", ""))</f>
        <v/>
      </c>
      <c r="C1291" s="128"/>
      <c r="E1291" s="128" t="str">
        <f t="shared" si="1"/>
        <v/>
      </c>
    </row>
    <row r="1292">
      <c r="A1292" s="93" t="str">
        <f t="shared" si="2"/>
        <v>#15141</v>
      </c>
      <c r="B1292" s="93" t="str">
        <f>IF(AND(COUNTIF(MAIN!B:B, A1292)=0, IFERROR(SEARCH("return", C1292)&gt;0, FALSE)), "Rental Return", IF(COUNTIF(MAIN!B:B, A1292)=0, "Missing", ""))</f>
        <v/>
      </c>
      <c r="C1292" s="128"/>
      <c r="E1292" s="128" t="str">
        <f t="shared" si="1"/>
        <v/>
      </c>
    </row>
    <row r="1293">
      <c r="A1293" s="93" t="str">
        <f t="shared" si="2"/>
        <v>#15142</v>
      </c>
      <c r="B1293" s="93" t="str">
        <f>IF(AND(COUNTIF(MAIN!B:B, A1293)=0, IFERROR(SEARCH("return", C1293)&gt;0, FALSE)), "Rental Return", IF(COUNTIF(MAIN!B:B, A1293)=0, "Missing", ""))</f>
        <v/>
      </c>
      <c r="C1293" s="128"/>
      <c r="E1293" s="128" t="str">
        <f t="shared" si="1"/>
        <v/>
      </c>
    </row>
    <row r="1294">
      <c r="A1294" s="93" t="str">
        <f t="shared" si="2"/>
        <v>#15143</v>
      </c>
      <c r="B1294" s="93" t="str">
        <f>IF(AND(COUNTIF(MAIN!B:B, A1294)=0, IFERROR(SEARCH("return", C1294)&gt;0, FALSE)), "Rental Return", IF(COUNTIF(MAIN!B:B, A1294)=0, "Missing", ""))</f>
        <v/>
      </c>
      <c r="C1294" s="128"/>
      <c r="E1294" s="128" t="str">
        <f t="shared" si="1"/>
        <v/>
      </c>
    </row>
    <row r="1295">
      <c r="A1295" s="93" t="str">
        <f t="shared" si="2"/>
        <v>#15144</v>
      </c>
      <c r="B1295" s="93" t="str">
        <f>IF(AND(COUNTIF(MAIN!B:B, A1295)=0, IFERROR(SEARCH("return", C1295)&gt;0, FALSE)), "Rental Return", IF(COUNTIF(MAIN!B:B, A1295)=0, "Missing", ""))</f>
        <v/>
      </c>
      <c r="C1295" s="128"/>
      <c r="E1295" s="128" t="str">
        <f t="shared" si="1"/>
        <v/>
      </c>
    </row>
    <row r="1296">
      <c r="A1296" s="93" t="str">
        <f t="shared" si="2"/>
        <v>#15145</v>
      </c>
      <c r="B1296" s="93" t="str">
        <f>IF(AND(COUNTIF(MAIN!B:B, A1296)=0, IFERROR(SEARCH("return", C1296)&gt;0, FALSE)), "Rental Return", IF(COUNTIF(MAIN!B:B, A1296)=0, "Missing", ""))</f>
        <v/>
      </c>
      <c r="C1296" s="128"/>
      <c r="E1296" s="128" t="str">
        <f t="shared" si="1"/>
        <v/>
      </c>
    </row>
    <row r="1297">
      <c r="A1297" s="93" t="str">
        <f t="shared" si="2"/>
        <v>#15146</v>
      </c>
      <c r="B1297" s="93" t="str">
        <f>IF(AND(COUNTIF(MAIN!B:B, A1297)=0, IFERROR(SEARCH("return", C1297)&gt;0, FALSE)), "Rental Return", IF(COUNTIF(MAIN!B:B, A1297)=0, "Missing", ""))</f>
        <v/>
      </c>
      <c r="C1297" s="128"/>
      <c r="E1297" s="128" t="str">
        <f t="shared" si="1"/>
        <v/>
      </c>
    </row>
    <row r="1298">
      <c r="A1298" s="93" t="str">
        <f t="shared" si="2"/>
        <v>#15147</v>
      </c>
      <c r="B1298" s="93" t="str">
        <f>IF(AND(COUNTIF(MAIN!B:B, A1298)=0, IFERROR(SEARCH("return", C1298)&gt;0, FALSE)), "Rental Return", IF(COUNTIF(MAIN!B:B, A1298)=0, "Missing", ""))</f>
        <v/>
      </c>
      <c r="C1298" s="128"/>
      <c r="E1298" s="128" t="str">
        <f t="shared" si="1"/>
        <v/>
      </c>
    </row>
    <row r="1299">
      <c r="A1299" s="93" t="str">
        <f t="shared" si="2"/>
        <v>#15148</v>
      </c>
      <c r="B1299" s="93" t="str">
        <f>IF(AND(COUNTIF(MAIN!B:B, A1299)=0, IFERROR(SEARCH("return", C1299)&gt;0, FALSE)), "Rental Return", IF(COUNTIF(MAIN!B:B, A1299)=0, "Missing", ""))</f>
        <v/>
      </c>
      <c r="C1299" s="128"/>
      <c r="E1299" s="128" t="str">
        <f t="shared" si="1"/>
        <v/>
      </c>
    </row>
    <row r="1300">
      <c r="A1300" s="93" t="str">
        <f t="shared" si="2"/>
        <v>#15149</v>
      </c>
      <c r="B1300" s="93" t="str">
        <f>IF(AND(COUNTIF(MAIN!B:B, A1300)=0, IFERROR(SEARCH("return", C1300)&gt;0, FALSE)), "Rental Return", IF(COUNTIF(MAIN!B:B, A1300)=0, "Missing", ""))</f>
        <v>Rental Return</v>
      </c>
      <c r="C1300" s="133" t="s">
        <v>15278</v>
      </c>
      <c r="E1300" s="128" t="str">
        <f t="shared" si="1"/>
        <v/>
      </c>
    </row>
    <row r="1301">
      <c r="A1301" s="93" t="str">
        <f t="shared" si="2"/>
        <v>#15150</v>
      </c>
      <c r="B1301" s="93" t="str">
        <f>IF(AND(COUNTIF(MAIN!B:B, A1301)=0, IFERROR(SEARCH("return", C1301)&gt;0, FALSE)), "Rental Return", IF(COUNTIF(MAIN!B:B, A1301)=0, "Missing", ""))</f>
        <v/>
      </c>
      <c r="C1301" s="128"/>
      <c r="E1301" s="128" t="str">
        <f t="shared" si="1"/>
        <v/>
      </c>
    </row>
    <row r="1302">
      <c r="A1302" s="93" t="str">
        <f t="shared" si="2"/>
        <v>#15151</v>
      </c>
      <c r="B1302" s="93" t="str">
        <f>IF(AND(COUNTIF(MAIN!B:B, A1302)=0, IFERROR(SEARCH("return", C1302)&gt;0, FALSE)), "Rental Return", IF(COUNTIF(MAIN!B:B, A1302)=0, "Missing", ""))</f>
        <v/>
      </c>
      <c r="C1302" s="128"/>
      <c r="E1302" s="128" t="str">
        <f t="shared" si="1"/>
        <v/>
      </c>
    </row>
    <row r="1303">
      <c r="A1303" s="93" t="str">
        <f t="shared" si="2"/>
        <v>#15152</v>
      </c>
      <c r="B1303" s="93" t="str">
        <f>IF(AND(COUNTIF(MAIN!B:B, A1303)=0, IFERROR(SEARCH("return", C1303)&gt;0, FALSE)), "Rental Return", IF(COUNTIF(MAIN!B:B, A1303)=0, "Missing", ""))</f>
        <v>Rental Return</v>
      </c>
      <c r="C1303" s="133" t="s">
        <v>1111</v>
      </c>
      <c r="E1303" s="128" t="str">
        <f t="shared" si="1"/>
        <v/>
      </c>
    </row>
    <row r="1304">
      <c r="A1304" s="93" t="str">
        <f t="shared" si="2"/>
        <v>#15153</v>
      </c>
      <c r="B1304" s="93" t="str">
        <f>IF(AND(COUNTIF(MAIN!B:B, A1304)=0, IFERROR(SEARCH("return", C1304)&gt;0, FALSE)), "Rental Return", IF(COUNTIF(MAIN!B:B, A1304)=0, "Missing", ""))</f>
        <v>Rental Return</v>
      </c>
      <c r="C1304" s="133" t="s">
        <v>15278</v>
      </c>
      <c r="E1304" s="128" t="str">
        <f t="shared" si="1"/>
        <v/>
      </c>
    </row>
    <row r="1305">
      <c r="A1305" s="93" t="str">
        <f t="shared" si="2"/>
        <v>#15154</v>
      </c>
      <c r="B1305" s="93" t="str">
        <f>IF(AND(COUNTIF(MAIN!B:B, A1305)=0, IFERROR(SEARCH("return", C1305)&gt;0, FALSE)), "Rental Return", IF(COUNTIF(MAIN!B:B, A1305)=0, "Missing", ""))</f>
        <v>Rental Return</v>
      </c>
      <c r="C1305" s="133" t="s">
        <v>15264</v>
      </c>
      <c r="E1305" s="128" t="str">
        <f t="shared" si="1"/>
        <v/>
      </c>
    </row>
    <row r="1306">
      <c r="A1306" s="93" t="str">
        <f t="shared" si="2"/>
        <v>#15155</v>
      </c>
      <c r="B1306" s="93" t="str">
        <f>IF(AND(COUNTIF(MAIN!B:B, A1306)=0, IFERROR(SEARCH("return", C1306)&gt;0, FALSE)), "Rental Return", IF(COUNTIF(MAIN!B:B, A1306)=0, "Missing", ""))</f>
        <v>Missing</v>
      </c>
      <c r="C1306" s="133" t="s">
        <v>95</v>
      </c>
      <c r="E1306" s="131" t="str">
        <f t="shared" si="1"/>
        <v>https://utrucking.myshopify.com/admin/orders?query=15155</v>
      </c>
    </row>
    <row r="1307">
      <c r="A1307" s="93" t="str">
        <f t="shared" si="2"/>
        <v>#15156</v>
      </c>
      <c r="B1307" s="93" t="str">
        <f>IF(AND(COUNTIF(MAIN!B:B, A1307)=0, IFERROR(SEARCH("return", C1307)&gt;0, FALSE)), "Rental Return", IF(COUNTIF(MAIN!B:B, A1307)=0, "Missing", ""))</f>
        <v>Rental Return</v>
      </c>
      <c r="C1307" s="133" t="s">
        <v>15264</v>
      </c>
      <c r="E1307" s="128" t="str">
        <f t="shared" si="1"/>
        <v/>
      </c>
    </row>
    <row r="1308">
      <c r="A1308" s="93" t="str">
        <f t="shared" si="2"/>
        <v>#15157</v>
      </c>
      <c r="B1308" s="93" t="str">
        <f>IF(AND(COUNTIF(MAIN!B:B, A1308)=0, IFERROR(SEARCH("return", C1308)&gt;0, FALSE)), "Rental Return", IF(COUNTIF(MAIN!B:B, A1308)=0, "Missing", ""))</f>
        <v/>
      </c>
      <c r="C1308" s="128"/>
      <c r="E1308" s="128" t="str">
        <f t="shared" si="1"/>
        <v/>
      </c>
    </row>
    <row r="1309">
      <c r="A1309" s="93" t="str">
        <f t="shared" si="2"/>
        <v>#15158</v>
      </c>
      <c r="B1309" s="93" t="str">
        <f>IF(AND(COUNTIF(MAIN!B:B, A1309)=0, IFERROR(SEARCH("return", C1309)&gt;0, FALSE)), "Rental Return", IF(COUNTIF(MAIN!B:B, A1309)=0, "Missing", ""))</f>
        <v/>
      </c>
      <c r="C1309" s="128"/>
      <c r="E1309" s="128" t="str">
        <f t="shared" si="1"/>
        <v/>
      </c>
    </row>
    <row r="1310">
      <c r="A1310" s="93" t="str">
        <f t="shared" si="2"/>
        <v>#15159</v>
      </c>
      <c r="B1310" s="93" t="str">
        <f>IF(AND(COUNTIF(MAIN!B:B, A1310)=0, IFERROR(SEARCH("return", C1310)&gt;0, FALSE)), "Rental Return", IF(COUNTIF(MAIN!B:B, A1310)=0, "Missing", ""))</f>
        <v/>
      </c>
      <c r="C1310" s="128"/>
      <c r="E1310" s="128" t="str">
        <f t="shared" si="1"/>
        <v/>
      </c>
    </row>
    <row r="1311">
      <c r="A1311" s="93" t="str">
        <f t="shared" si="2"/>
        <v>#15160</v>
      </c>
      <c r="B1311" s="93" t="str">
        <f>IF(AND(COUNTIF(MAIN!B:B, A1311)=0, IFERROR(SEARCH("return", C1311)&gt;0, FALSE)), "Rental Return", IF(COUNTIF(MAIN!B:B, A1311)=0, "Missing", ""))</f>
        <v/>
      </c>
      <c r="C1311" s="128"/>
      <c r="E1311" s="128" t="str">
        <f t="shared" si="1"/>
        <v/>
      </c>
    </row>
    <row r="1312">
      <c r="A1312" s="93" t="str">
        <f t="shared" si="2"/>
        <v>#15161</v>
      </c>
      <c r="B1312" s="93" t="str">
        <f>IF(AND(COUNTIF(MAIN!B:B, A1312)=0, IFERROR(SEARCH("return", C1312)&gt;0, FALSE)), "Rental Return", IF(COUNTIF(MAIN!B:B, A1312)=0, "Missing", ""))</f>
        <v/>
      </c>
      <c r="C1312" s="128"/>
      <c r="E1312" s="128" t="str">
        <f t="shared" si="1"/>
        <v/>
      </c>
    </row>
    <row r="1313">
      <c r="A1313" s="93" t="str">
        <f t="shared" si="2"/>
        <v>#15162</v>
      </c>
      <c r="B1313" s="93" t="str">
        <f>IF(AND(COUNTIF(MAIN!B:B, A1313)=0, IFERROR(SEARCH("return", C1313)&gt;0, FALSE)), "Rental Return", IF(COUNTIF(MAIN!B:B, A1313)=0, "Missing", ""))</f>
        <v/>
      </c>
      <c r="C1313" s="128"/>
      <c r="E1313" s="128" t="str">
        <f t="shared" si="1"/>
        <v/>
      </c>
    </row>
    <row r="1314">
      <c r="A1314" s="93" t="str">
        <f t="shared" si="2"/>
        <v>#15163</v>
      </c>
      <c r="B1314" s="93" t="str">
        <f>IF(AND(COUNTIF(MAIN!B:B, A1314)=0, IFERROR(SEARCH("return", C1314)&gt;0, FALSE)), "Rental Return", IF(COUNTIF(MAIN!B:B, A1314)=0, "Missing", ""))</f>
        <v/>
      </c>
      <c r="C1314" s="128"/>
      <c r="E1314" s="128" t="str">
        <f t="shared" si="1"/>
        <v/>
      </c>
    </row>
    <row r="1315">
      <c r="A1315" s="93" t="str">
        <f t="shared" si="2"/>
        <v>#15164</v>
      </c>
      <c r="B1315" s="93" t="str">
        <f>IF(AND(COUNTIF(MAIN!B:B, A1315)=0, IFERROR(SEARCH("return", C1315)&gt;0, FALSE)), "Rental Return", IF(COUNTIF(MAIN!B:B, A1315)=0, "Missing", ""))</f>
        <v/>
      </c>
      <c r="C1315" s="128"/>
      <c r="E1315" s="128" t="str">
        <f t="shared" si="1"/>
        <v/>
      </c>
    </row>
    <row r="1316">
      <c r="A1316" s="93" t="str">
        <f t="shared" si="2"/>
        <v>#15165</v>
      </c>
      <c r="B1316" s="93" t="str">
        <f>IF(AND(COUNTIF(MAIN!B:B, A1316)=0, IFERROR(SEARCH("return", C1316)&gt;0, FALSE)), "Rental Return", IF(COUNTIF(MAIN!B:B, A1316)=0, "Missing", ""))</f>
        <v/>
      </c>
      <c r="C1316" s="128"/>
      <c r="E1316" s="128" t="str">
        <f t="shared" si="1"/>
        <v/>
      </c>
    </row>
    <row r="1317">
      <c r="A1317" s="93" t="str">
        <f t="shared" si="2"/>
        <v>#15166</v>
      </c>
      <c r="B1317" s="93" t="str">
        <f>IF(AND(COUNTIF(MAIN!B:B, A1317)=0, IFERROR(SEARCH("return", C1317)&gt;0, FALSE)), "Rental Return", IF(COUNTIF(MAIN!B:B, A1317)=0, "Missing", ""))</f>
        <v/>
      </c>
      <c r="C1317" s="128"/>
      <c r="E1317" s="128" t="str">
        <f t="shared" si="1"/>
        <v/>
      </c>
    </row>
    <row r="1318">
      <c r="A1318" s="93" t="str">
        <f t="shared" si="2"/>
        <v>#15167</v>
      </c>
      <c r="B1318" s="93" t="str">
        <f>IF(AND(COUNTIF(MAIN!B:B, A1318)=0, IFERROR(SEARCH("return", C1318)&gt;0, FALSE)), "Rental Return", IF(COUNTIF(MAIN!B:B, A1318)=0, "Missing", ""))</f>
        <v/>
      </c>
      <c r="C1318" s="128"/>
      <c r="E1318" s="128" t="str">
        <f t="shared" si="1"/>
        <v/>
      </c>
    </row>
    <row r="1319">
      <c r="A1319" s="93" t="str">
        <f t="shared" si="2"/>
        <v>#15168</v>
      </c>
      <c r="B1319" s="93" t="str">
        <f>IF(AND(COUNTIF(MAIN!B:B, A1319)=0, IFERROR(SEARCH("return", C1319)&gt;0, FALSE)), "Rental Return", IF(COUNTIF(MAIN!B:B, A1319)=0, "Missing", ""))</f>
        <v/>
      </c>
      <c r="C1319" s="128"/>
      <c r="E1319" s="128" t="str">
        <f t="shared" si="1"/>
        <v/>
      </c>
    </row>
    <row r="1320">
      <c r="A1320" s="93" t="str">
        <f t="shared" si="2"/>
        <v>#15169</v>
      </c>
      <c r="B1320" s="93" t="str">
        <f>IF(AND(COUNTIF(MAIN!B:B, A1320)=0, IFERROR(SEARCH("return", C1320)&gt;0, FALSE)), "Rental Return", IF(COUNTIF(MAIN!B:B, A1320)=0, "Missing", ""))</f>
        <v/>
      </c>
      <c r="C1320" s="128"/>
      <c r="E1320" s="128" t="str">
        <f t="shared" si="1"/>
        <v/>
      </c>
    </row>
    <row r="1321">
      <c r="A1321" s="93" t="str">
        <f t="shared" si="2"/>
        <v>#15170</v>
      </c>
      <c r="B1321" s="93" t="str">
        <f>IF(AND(COUNTIF(MAIN!B:B, A1321)=0, IFERROR(SEARCH("return", C1321)&gt;0, FALSE)), "Rental Return", IF(COUNTIF(MAIN!B:B, A1321)=0, "Missing", ""))</f>
        <v/>
      </c>
      <c r="C1321" s="128"/>
      <c r="E1321" s="128" t="str">
        <f t="shared" si="1"/>
        <v/>
      </c>
    </row>
    <row r="1322">
      <c r="A1322" s="93" t="str">
        <f t="shared" si="2"/>
        <v>#15171</v>
      </c>
      <c r="B1322" s="93" t="str">
        <f>IF(AND(COUNTIF(MAIN!B:B, A1322)=0, IFERROR(SEARCH("return", C1322)&gt;0, FALSE)), "Rental Return", IF(COUNTIF(MAIN!B:B, A1322)=0, "Missing", ""))</f>
        <v/>
      </c>
      <c r="C1322" s="128"/>
      <c r="E1322" s="128" t="str">
        <f t="shared" si="1"/>
        <v/>
      </c>
    </row>
    <row r="1323">
      <c r="A1323" s="93" t="str">
        <f t="shared" si="2"/>
        <v>#15172</v>
      </c>
      <c r="B1323" s="93" t="str">
        <f>IF(AND(COUNTIF(MAIN!B:B, A1323)=0, IFERROR(SEARCH("return", C1323)&gt;0, FALSE)), "Rental Return", IF(COUNTIF(MAIN!B:B, A1323)=0, "Missing", ""))</f>
        <v/>
      </c>
      <c r="C1323" s="128"/>
      <c r="E1323" s="128" t="str">
        <f t="shared" si="1"/>
        <v/>
      </c>
    </row>
    <row r="1324">
      <c r="A1324" s="93" t="str">
        <f t="shared" si="2"/>
        <v>#15173</v>
      </c>
      <c r="B1324" s="93" t="str">
        <f>IF(AND(COUNTIF(MAIN!B:B, A1324)=0, IFERROR(SEARCH("return", C1324)&gt;0, FALSE)), "Rental Return", IF(COUNTIF(MAIN!B:B, A1324)=0, "Missing", ""))</f>
        <v/>
      </c>
      <c r="C1324" s="128"/>
      <c r="E1324" s="128" t="str">
        <f t="shared" si="1"/>
        <v/>
      </c>
    </row>
    <row r="1325">
      <c r="A1325" s="93" t="str">
        <f t="shared" si="2"/>
        <v>#15174</v>
      </c>
      <c r="B1325" s="93" t="str">
        <f>IF(AND(COUNTIF(MAIN!B:B, A1325)=0, IFERROR(SEARCH("return", C1325)&gt;0, FALSE)), "Rental Return", IF(COUNTIF(MAIN!B:B, A1325)=0, "Missing", ""))</f>
        <v>Rental Return</v>
      </c>
      <c r="C1325" s="133" t="s">
        <v>1111</v>
      </c>
      <c r="E1325" s="128" t="str">
        <f t="shared" si="1"/>
        <v/>
      </c>
    </row>
    <row r="1326">
      <c r="A1326" s="93" t="str">
        <f t="shared" si="2"/>
        <v>#15175</v>
      </c>
      <c r="B1326" s="93" t="str">
        <f>IF(AND(COUNTIF(MAIN!B:B, A1326)=0, IFERROR(SEARCH("return", C1326)&gt;0, FALSE)), "Rental Return", IF(COUNTIF(MAIN!B:B, A1326)=0, "Missing", ""))</f>
        <v/>
      </c>
      <c r="C1326" s="128"/>
      <c r="E1326" s="128" t="str">
        <f t="shared" si="1"/>
        <v/>
      </c>
    </row>
    <row r="1327">
      <c r="A1327" s="93" t="str">
        <f t="shared" si="2"/>
        <v>#15176</v>
      </c>
      <c r="B1327" s="93" t="str">
        <f>IF(AND(COUNTIF(MAIN!B:B, A1327)=0, IFERROR(SEARCH("return", C1327)&gt;0, FALSE)), "Rental Return", IF(COUNTIF(MAIN!B:B, A1327)=0, "Missing", ""))</f>
        <v>Rental Return</v>
      </c>
      <c r="C1327" s="133" t="s">
        <v>15264</v>
      </c>
      <c r="E1327" s="128" t="str">
        <f t="shared" si="1"/>
        <v/>
      </c>
    </row>
    <row r="1328">
      <c r="A1328" s="93" t="str">
        <f t="shared" si="2"/>
        <v>#15177</v>
      </c>
      <c r="B1328" s="93" t="str">
        <f>IF(AND(COUNTIF(MAIN!B:B, A1328)=0, IFERROR(SEARCH("return", C1328)&gt;0, FALSE)), "Rental Return", IF(COUNTIF(MAIN!B:B, A1328)=0, "Missing", ""))</f>
        <v/>
      </c>
      <c r="C1328" s="128"/>
      <c r="E1328" s="128" t="str">
        <f t="shared" si="1"/>
        <v/>
      </c>
    </row>
    <row r="1329">
      <c r="A1329" s="93" t="str">
        <f t="shared" si="2"/>
        <v>#15178</v>
      </c>
      <c r="B1329" s="93" t="str">
        <f>IF(AND(COUNTIF(MAIN!B:B, A1329)=0, IFERROR(SEARCH("return", C1329)&gt;0, FALSE)), "Rental Return", IF(COUNTIF(MAIN!B:B, A1329)=0, "Missing", ""))</f>
        <v/>
      </c>
      <c r="C1329" s="128"/>
      <c r="E1329" s="128" t="str">
        <f t="shared" si="1"/>
        <v/>
      </c>
    </row>
    <row r="1330">
      <c r="A1330" s="93" t="str">
        <f t="shared" si="2"/>
        <v>#15179</v>
      </c>
      <c r="B1330" s="93" t="str">
        <f>IF(AND(COUNTIF(MAIN!B:B, A1330)=0, IFERROR(SEARCH("return", C1330)&gt;0, FALSE)), "Rental Return", IF(COUNTIF(MAIN!B:B, A1330)=0, "Missing", ""))</f>
        <v/>
      </c>
      <c r="C1330" s="128"/>
      <c r="E1330" s="128" t="str">
        <f t="shared" si="1"/>
        <v/>
      </c>
    </row>
    <row r="1331">
      <c r="A1331" s="93" t="str">
        <f t="shared" si="2"/>
        <v>#15180</v>
      </c>
      <c r="B1331" s="93" t="str">
        <f>IF(AND(COUNTIF(MAIN!B:B, A1331)=0, IFERROR(SEARCH("return", C1331)&gt;0, FALSE)), "Rental Return", IF(COUNTIF(MAIN!B:B, A1331)=0, "Missing", ""))</f>
        <v/>
      </c>
      <c r="C1331" s="128"/>
      <c r="E1331" s="128" t="str">
        <f t="shared" si="1"/>
        <v/>
      </c>
    </row>
    <row r="1332">
      <c r="A1332" s="93" t="str">
        <f t="shared" si="2"/>
        <v>#15181</v>
      </c>
      <c r="B1332" s="93" t="str">
        <f>IF(AND(COUNTIF(MAIN!B:B, A1332)=0, IFERROR(SEARCH("return", C1332)&gt;0, FALSE)), "Rental Return", IF(COUNTIF(MAIN!B:B, A1332)=0, "Missing", ""))</f>
        <v/>
      </c>
      <c r="C1332" s="128"/>
      <c r="E1332" s="128" t="str">
        <f t="shared" si="1"/>
        <v/>
      </c>
    </row>
    <row r="1333">
      <c r="A1333" s="93" t="str">
        <f t="shared" si="2"/>
        <v>#15182</v>
      </c>
      <c r="B1333" s="93" t="str">
        <f>IF(AND(COUNTIF(MAIN!B:B, A1333)=0, IFERROR(SEARCH("return", C1333)&gt;0, FALSE)), "Rental Return", IF(COUNTIF(MAIN!B:B, A1333)=0, "Missing", ""))</f>
        <v/>
      </c>
      <c r="C1333" s="128"/>
      <c r="E1333" s="128" t="str">
        <f t="shared" si="1"/>
        <v/>
      </c>
    </row>
    <row r="1334">
      <c r="A1334" s="93" t="str">
        <f t="shared" si="2"/>
        <v>#15183</v>
      </c>
      <c r="B1334" s="93" t="str">
        <f>IF(AND(COUNTIF(MAIN!B:B, A1334)=0, IFERROR(SEARCH("return", C1334)&gt;0, FALSE)), "Rental Return", IF(COUNTIF(MAIN!B:B, A1334)=0, "Missing", ""))</f>
        <v/>
      </c>
      <c r="C1334" s="128"/>
      <c r="E1334" s="128" t="str">
        <f t="shared" si="1"/>
        <v/>
      </c>
    </row>
    <row r="1335">
      <c r="A1335" s="93" t="str">
        <f t="shared" si="2"/>
        <v>#15184</v>
      </c>
      <c r="B1335" s="93" t="str">
        <f>IF(AND(COUNTIF(MAIN!B:B, A1335)=0, IFERROR(SEARCH("return", C1335)&gt;0, FALSE)), "Rental Return", IF(COUNTIF(MAIN!B:B, A1335)=0, "Missing", ""))</f>
        <v/>
      </c>
      <c r="C1335" s="128"/>
      <c r="E1335" s="128" t="str">
        <f t="shared" si="1"/>
        <v/>
      </c>
    </row>
    <row r="1336">
      <c r="A1336" s="93" t="str">
        <f t="shared" si="2"/>
        <v>#15185</v>
      </c>
      <c r="B1336" s="93" t="str">
        <f>IF(AND(COUNTIF(MAIN!B:B, A1336)=0, IFERROR(SEARCH("return", C1336)&gt;0, FALSE)), "Rental Return", IF(COUNTIF(MAIN!B:B, A1336)=0, "Missing", ""))</f>
        <v/>
      </c>
      <c r="C1336" s="128"/>
      <c r="E1336" s="128" t="str">
        <f t="shared" si="1"/>
        <v/>
      </c>
    </row>
    <row r="1337">
      <c r="A1337" s="93" t="str">
        <f t="shared" si="2"/>
        <v>#15186</v>
      </c>
      <c r="B1337" s="93" t="str">
        <f>IF(AND(COUNTIF(MAIN!B:B, A1337)=0, IFERROR(SEARCH("return", C1337)&gt;0, FALSE)), "Rental Return", IF(COUNTIF(MAIN!B:B, A1337)=0, "Missing", ""))</f>
        <v/>
      </c>
      <c r="C1337" s="128"/>
      <c r="E1337" s="128" t="str">
        <f t="shared" si="1"/>
        <v/>
      </c>
    </row>
    <row r="1338">
      <c r="A1338" s="93" t="str">
        <f t="shared" si="2"/>
        <v>#15187</v>
      </c>
      <c r="B1338" s="93" t="str">
        <f>IF(AND(COUNTIF(MAIN!B:B, A1338)=0, IFERROR(SEARCH("return", C1338)&gt;0, FALSE)), "Rental Return", IF(COUNTIF(MAIN!B:B, A1338)=0, "Missing", ""))</f>
        <v/>
      </c>
      <c r="C1338" s="128"/>
      <c r="E1338" s="128" t="str">
        <f t="shared" si="1"/>
        <v/>
      </c>
    </row>
    <row r="1339">
      <c r="A1339" s="93" t="str">
        <f t="shared" si="2"/>
        <v>#15188</v>
      </c>
      <c r="B1339" s="93" t="str">
        <f>IF(AND(COUNTIF(MAIN!B:B, A1339)=0, IFERROR(SEARCH("return", C1339)&gt;0, FALSE)), "Rental Return", IF(COUNTIF(MAIN!B:B, A1339)=0, "Missing", ""))</f>
        <v/>
      </c>
      <c r="C1339" s="128"/>
      <c r="E1339" s="128" t="str">
        <f t="shared" si="1"/>
        <v/>
      </c>
    </row>
    <row r="1340">
      <c r="A1340" s="93" t="str">
        <f t="shared" si="2"/>
        <v>#15189</v>
      </c>
      <c r="B1340" s="93" t="str">
        <f>IF(AND(COUNTIF(MAIN!B:B, A1340)=0, IFERROR(SEARCH("return", C1340)&gt;0, FALSE)), "Rental Return", IF(COUNTIF(MAIN!B:B, A1340)=0, "Missing", ""))</f>
        <v/>
      </c>
      <c r="C1340" s="128"/>
      <c r="E1340" s="128" t="str">
        <f t="shared" si="1"/>
        <v/>
      </c>
    </row>
    <row r="1341">
      <c r="A1341" s="93" t="str">
        <f t="shared" si="2"/>
        <v>#15190</v>
      </c>
      <c r="B1341" s="93" t="str">
        <f>IF(AND(COUNTIF(MAIN!B:B, A1341)=0, IFERROR(SEARCH("return", C1341)&gt;0, FALSE)), "Rental Return", IF(COUNTIF(MAIN!B:B, A1341)=0, "Missing", ""))</f>
        <v/>
      </c>
      <c r="C1341" s="128"/>
      <c r="E1341" s="128" t="str">
        <f t="shared" si="1"/>
        <v/>
      </c>
    </row>
    <row r="1342">
      <c r="A1342" s="93" t="str">
        <f t="shared" si="2"/>
        <v>#15191</v>
      </c>
      <c r="B1342" s="93" t="str">
        <f>IF(AND(COUNTIF(MAIN!B:B, A1342)=0, IFERROR(SEARCH("return", C1342)&gt;0, FALSE)), "Rental Return", IF(COUNTIF(MAIN!B:B, A1342)=0, "Missing", ""))</f>
        <v/>
      </c>
      <c r="C1342" s="128"/>
      <c r="E1342" s="128" t="str">
        <f t="shared" si="1"/>
        <v/>
      </c>
    </row>
    <row r="1343">
      <c r="A1343" s="93" t="str">
        <f t="shared" si="2"/>
        <v>#15192</v>
      </c>
      <c r="B1343" s="93" t="str">
        <f>IF(AND(COUNTIF(MAIN!B:B, A1343)=0, IFERROR(SEARCH("return", C1343)&gt;0, FALSE)), "Rental Return", IF(COUNTIF(MAIN!B:B, A1343)=0, "Missing", ""))</f>
        <v/>
      </c>
      <c r="C1343" s="128"/>
      <c r="E1343" s="128" t="str">
        <f t="shared" si="1"/>
        <v/>
      </c>
    </row>
    <row r="1344">
      <c r="A1344" s="93" t="str">
        <f t="shared" si="2"/>
        <v>#15193</v>
      </c>
      <c r="B1344" s="93" t="str">
        <f>IF(AND(COUNTIF(MAIN!B:B, A1344)=0, IFERROR(SEARCH("return", C1344)&gt;0, FALSE)), "Rental Return", IF(COUNTIF(MAIN!B:B, A1344)=0, "Missing", ""))</f>
        <v/>
      </c>
      <c r="C1344" s="128"/>
      <c r="E1344" s="128" t="str">
        <f t="shared" si="1"/>
        <v/>
      </c>
    </row>
    <row r="1345">
      <c r="A1345" s="93" t="str">
        <f t="shared" si="2"/>
        <v>#15194</v>
      </c>
      <c r="B1345" s="93" t="str">
        <f>IF(AND(COUNTIF(MAIN!B:B, A1345)=0, IFERROR(SEARCH("return", C1345)&gt;0, FALSE)), "Rental Return", IF(COUNTIF(MAIN!B:B, A1345)=0, "Missing", ""))</f>
        <v>Rental Return</v>
      </c>
      <c r="C1345" s="133" t="s">
        <v>15261</v>
      </c>
      <c r="E1345" s="128" t="str">
        <f t="shared" si="1"/>
        <v/>
      </c>
    </row>
    <row r="1346">
      <c r="A1346" s="93" t="str">
        <f t="shared" si="2"/>
        <v>#15195</v>
      </c>
      <c r="B1346" s="93" t="str">
        <f>IF(AND(COUNTIF(MAIN!B:B, A1346)=0, IFERROR(SEARCH("return", C1346)&gt;0, FALSE)), "Rental Return", IF(COUNTIF(MAIN!B:B, A1346)=0, "Missing", ""))</f>
        <v/>
      </c>
      <c r="C1346" s="128"/>
      <c r="E1346" s="128" t="str">
        <f t="shared" si="1"/>
        <v/>
      </c>
    </row>
    <row r="1347">
      <c r="A1347" s="93" t="str">
        <f t="shared" si="2"/>
        <v>#15196</v>
      </c>
      <c r="B1347" s="93" t="str">
        <f>IF(AND(COUNTIF(MAIN!B:B, A1347)=0, IFERROR(SEARCH("return", C1347)&gt;0, FALSE)), "Rental Return", IF(COUNTIF(MAIN!B:B, A1347)=0, "Missing", ""))</f>
        <v/>
      </c>
      <c r="C1347" s="128"/>
      <c r="E1347" s="128" t="str">
        <f t="shared" si="1"/>
        <v/>
      </c>
    </row>
    <row r="1348">
      <c r="A1348" s="93" t="str">
        <f t="shared" si="2"/>
        <v>#15197</v>
      </c>
      <c r="B1348" s="93" t="str">
        <f>IF(AND(COUNTIF(MAIN!B:B, A1348)=0, IFERROR(SEARCH("return", C1348)&gt;0, FALSE)), "Rental Return", IF(COUNTIF(MAIN!B:B, A1348)=0, "Missing", ""))</f>
        <v/>
      </c>
      <c r="C1348" s="128"/>
      <c r="E1348" s="128" t="str">
        <f t="shared" si="1"/>
        <v/>
      </c>
    </row>
    <row r="1349">
      <c r="A1349" s="93" t="str">
        <f t="shared" si="2"/>
        <v>#15198</v>
      </c>
      <c r="B1349" s="93" t="str">
        <f>IF(AND(COUNTIF(MAIN!B:B, A1349)=0, IFERROR(SEARCH("return", C1349)&gt;0, FALSE)), "Rental Return", IF(COUNTIF(MAIN!B:B, A1349)=0, "Missing", ""))</f>
        <v/>
      </c>
      <c r="C1349" s="128"/>
      <c r="E1349" s="128" t="str">
        <f t="shared" si="1"/>
        <v/>
      </c>
    </row>
    <row r="1350">
      <c r="A1350" s="93" t="str">
        <f t="shared" si="2"/>
        <v>#15199</v>
      </c>
      <c r="B1350" s="93" t="str">
        <f>IF(AND(COUNTIF(MAIN!B:B, A1350)=0, IFERROR(SEARCH("return", C1350)&gt;0, FALSE)), "Rental Return", IF(COUNTIF(MAIN!B:B, A1350)=0, "Missing", ""))</f>
        <v/>
      </c>
      <c r="C1350" s="128"/>
      <c r="E1350" s="128" t="str">
        <f t="shared" si="1"/>
        <v/>
      </c>
    </row>
    <row r="1351">
      <c r="A1351" s="93" t="str">
        <f t="shared" si="2"/>
        <v>#15200</v>
      </c>
      <c r="B1351" s="93" t="str">
        <f>IF(AND(COUNTIF(MAIN!B:B, A1351)=0, IFERROR(SEARCH("return", C1351)&gt;0, FALSE)), "Rental Return", IF(COUNTIF(MAIN!B:B, A1351)=0, "Missing", ""))</f>
        <v/>
      </c>
      <c r="C1351" s="128"/>
      <c r="E1351" s="128" t="str">
        <f t="shared" si="1"/>
        <v/>
      </c>
    </row>
    <row r="1352">
      <c r="A1352" s="93" t="str">
        <f t="shared" si="2"/>
        <v>#15201</v>
      </c>
      <c r="B1352" s="93" t="str">
        <f>IF(AND(COUNTIF(MAIN!B:B, A1352)=0, IFERROR(SEARCH("return", C1352)&gt;0, FALSE)), "Rental Return", IF(COUNTIF(MAIN!B:B, A1352)=0, "Missing", ""))</f>
        <v/>
      </c>
      <c r="C1352" s="128"/>
      <c r="E1352" s="128" t="str">
        <f t="shared" si="1"/>
        <v/>
      </c>
    </row>
    <row r="1353">
      <c r="A1353" s="93" t="str">
        <f t="shared" si="2"/>
        <v>#15202</v>
      </c>
      <c r="B1353" s="93" t="str">
        <f>IF(AND(COUNTIF(MAIN!B:B, A1353)=0, IFERROR(SEARCH("return", C1353)&gt;0, FALSE)), "Rental Return", IF(COUNTIF(MAIN!B:B, A1353)=0, "Missing", ""))</f>
        <v>Missing</v>
      </c>
      <c r="C1353" s="133" t="s">
        <v>15228</v>
      </c>
      <c r="E1353" s="131" t="str">
        <f t="shared" si="1"/>
        <v>https://utrucking.myshopify.com/admin/orders?query=15202</v>
      </c>
    </row>
    <row r="1354">
      <c r="A1354" s="93" t="str">
        <f t="shared" si="2"/>
        <v>#15203</v>
      </c>
      <c r="B1354" s="93" t="str">
        <f>IF(AND(COUNTIF(MAIN!B:B, A1354)=0, IFERROR(SEARCH("return", C1354)&gt;0, FALSE)), "Rental Return", IF(COUNTIF(MAIN!B:B, A1354)=0, "Missing", ""))</f>
        <v/>
      </c>
      <c r="C1354" s="128"/>
      <c r="E1354" s="128" t="str">
        <f t="shared" si="1"/>
        <v/>
      </c>
    </row>
    <row r="1355">
      <c r="A1355" s="93" t="str">
        <f t="shared" si="2"/>
        <v>#15204</v>
      </c>
      <c r="B1355" s="93" t="str">
        <f>IF(AND(COUNTIF(MAIN!B:B, A1355)=0, IFERROR(SEARCH("return", C1355)&gt;0, FALSE)), "Rental Return", IF(COUNTIF(MAIN!B:B, A1355)=0, "Missing", ""))</f>
        <v>Rental Return</v>
      </c>
      <c r="C1355" s="133" t="s">
        <v>15229</v>
      </c>
      <c r="E1355" s="128" t="str">
        <f t="shared" si="1"/>
        <v/>
      </c>
    </row>
    <row r="1356">
      <c r="A1356" s="93" t="str">
        <f t="shared" si="2"/>
        <v>#15205</v>
      </c>
      <c r="B1356" s="93" t="str">
        <f>IF(AND(COUNTIF(MAIN!B:B, A1356)=0, IFERROR(SEARCH("return", C1356)&gt;0, FALSE)), "Rental Return", IF(COUNTIF(MAIN!B:B, A1356)=0, "Missing", ""))</f>
        <v/>
      </c>
      <c r="C1356" s="128"/>
      <c r="E1356" s="128" t="str">
        <f t="shared" si="1"/>
        <v/>
      </c>
    </row>
    <row r="1357">
      <c r="A1357" s="93" t="str">
        <f t="shared" si="2"/>
        <v>#15206</v>
      </c>
      <c r="B1357" s="93" t="str">
        <f>IF(AND(COUNTIF(MAIN!B:B, A1357)=0, IFERROR(SEARCH("return", C1357)&gt;0, FALSE)), "Rental Return", IF(COUNTIF(MAIN!B:B, A1357)=0, "Missing", ""))</f>
        <v/>
      </c>
      <c r="C1357" s="128"/>
      <c r="E1357" s="128" t="str">
        <f t="shared" si="1"/>
        <v/>
      </c>
    </row>
    <row r="1358">
      <c r="A1358" s="93" t="str">
        <f t="shared" si="2"/>
        <v>#15207</v>
      </c>
      <c r="B1358" s="93" t="str">
        <f>IF(AND(COUNTIF(MAIN!B:B, A1358)=0, IFERROR(SEARCH("return", C1358)&gt;0, FALSE)), "Rental Return", IF(COUNTIF(MAIN!B:B, A1358)=0, "Missing", ""))</f>
        <v/>
      </c>
      <c r="C1358" s="128"/>
      <c r="E1358" s="128" t="str">
        <f t="shared" si="1"/>
        <v/>
      </c>
    </row>
    <row r="1359">
      <c r="A1359" s="93" t="str">
        <f t="shared" si="2"/>
        <v>#15208</v>
      </c>
      <c r="B1359" s="93" t="str">
        <f>IF(AND(COUNTIF(MAIN!B:B, A1359)=0, IFERROR(SEARCH("return", C1359)&gt;0, FALSE)), "Rental Return", IF(COUNTIF(MAIN!B:B, A1359)=0, "Missing", ""))</f>
        <v>Rental Return</v>
      </c>
      <c r="C1359" s="133" t="s">
        <v>15229</v>
      </c>
      <c r="E1359" s="128" t="str">
        <f t="shared" si="1"/>
        <v/>
      </c>
    </row>
    <row r="1360">
      <c r="A1360" s="93" t="str">
        <f t="shared" si="2"/>
        <v>#15209</v>
      </c>
      <c r="B1360" s="93" t="str">
        <f>IF(AND(COUNTIF(MAIN!B:B, A1360)=0, IFERROR(SEARCH("return", C1360)&gt;0, FALSE)), "Rental Return", IF(COUNTIF(MAIN!B:B, A1360)=0, "Missing", ""))</f>
        <v/>
      </c>
      <c r="C1360" s="128"/>
      <c r="E1360" s="128" t="str">
        <f t="shared" si="1"/>
        <v/>
      </c>
    </row>
    <row r="1361">
      <c r="A1361" s="93" t="str">
        <f t="shared" si="2"/>
        <v>#15210</v>
      </c>
      <c r="B1361" s="93" t="str">
        <f>IF(AND(COUNTIF(MAIN!B:B, A1361)=0, IFERROR(SEARCH("return", C1361)&gt;0, FALSE)), "Rental Return", IF(COUNTIF(MAIN!B:B, A1361)=0, "Missing", ""))</f>
        <v/>
      </c>
      <c r="C1361" s="128"/>
      <c r="E1361" s="128" t="str">
        <f t="shared" si="1"/>
        <v/>
      </c>
    </row>
    <row r="1362">
      <c r="A1362" s="93" t="str">
        <f t="shared" si="2"/>
        <v>#15211</v>
      </c>
      <c r="B1362" s="93" t="str">
        <f>IF(AND(COUNTIF(MAIN!B:B, A1362)=0, IFERROR(SEARCH("return", C1362)&gt;0, FALSE)), "Rental Return", IF(COUNTIF(MAIN!B:B, A1362)=0, "Missing", ""))</f>
        <v>Missing</v>
      </c>
      <c r="C1362" s="133" t="s">
        <v>15230</v>
      </c>
      <c r="E1362" s="131" t="str">
        <f t="shared" si="1"/>
        <v>https://utrucking.myshopify.com/admin/orders?query=15211</v>
      </c>
    </row>
    <row r="1363">
      <c r="A1363" s="93" t="str">
        <f t="shared" si="2"/>
        <v>#15212</v>
      </c>
      <c r="B1363" s="93" t="str">
        <f>IF(AND(COUNTIF(MAIN!B:B, A1363)=0, IFERROR(SEARCH("return", C1363)&gt;0, FALSE)), "Rental Return", IF(COUNTIF(MAIN!B:B, A1363)=0, "Missing", ""))</f>
        <v/>
      </c>
      <c r="C1363" s="128"/>
      <c r="E1363" s="128" t="str">
        <f t="shared" si="1"/>
        <v/>
      </c>
    </row>
    <row r="1364">
      <c r="A1364" s="93" t="str">
        <f t="shared" si="2"/>
        <v>#15213</v>
      </c>
      <c r="B1364" s="93" t="str">
        <f>IF(AND(COUNTIF(MAIN!B:B, A1364)=0, IFERROR(SEARCH("return", C1364)&gt;0, FALSE)), "Rental Return", IF(COUNTIF(MAIN!B:B, A1364)=0, "Missing", ""))</f>
        <v/>
      </c>
      <c r="C1364" s="128"/>
      <c r="E1364" s="128" t="str">
        <f t="shared" si="1"/>
        <v/>
      </c>
    </row>
    <row r="1365">
      <c r="A1365" s="93" t="str">
        <f t="shared" si="2"/>
        <v>#15214</v>
      </c>
      <c r="B1365" s="93" t="str">
        <f>IF(AND(COUNTIF(MAIN!B:B, A1365)=0, IFERROR(SEARCH("return", C1365)&gt;0, FALSE)), "Rental Return", IF(COUNTIF(MAIN!B:B, A1365)=0, "Missing", ""))</f>
        <v/>
      </c>
      <c r="C1365" s="128"/>
      <c r="E1365" s="128" t="str">
        <f t="shared" si="1"/>
        <v/>
      </c>
    </row>
    <row r="1366">
      <c r="A1366" s="93" t="str">
        <f t="shared" si="2"/>
        <v>#15215</v>
      </c>
      <c r="B1366" s="93" t="str">
        <f>IF(AND(COUNTIF(MAIN!B:B, A1366)=0, IFERROR(SEARCH("return", C1366)&gt;0, FALSE)), "Rental Return", IF(COUNTIF(MAIN!B:B, A1366)=0, "Missing", ""))</f>
        <v/>
      </c>
      <c r="C1366" s="128"/>
      <c r="E1366" s="128" t="str">
        <f t="shared" si="1"/>
        <v/>
      </c>
    </row>
    <row r="1367">
      <c r="A1367" s="93" t="str">
        <f t="shared" si="2"/>
        <v>#15216</v>
      </c>
      <c r="B1367" s="93" t="str">
        <f>IF(AND(COUNTIF(MAIN!B:B, A1367)=0, IFERROR(SEARCH("return", C1367)&gt;0, FALSE)), "Rental Return", IF(COUNTIF(MAIN!B:B, A1367)=0, "Missing", ""))</f>
        <v/>
      </c>
      <c r="C1367" s="128"/>
      <c r="E1367" s="128" t="str">
        <f t="shared" si="1"/>
        <v/>
      </c>
    </row>
    <row r="1368">
      <c r="A1368" s="93" t="str">
        <f t="shared" si="2"/>
        <v>#15217</v>
      </c>
      <c r="B1368" s="93" t="str">
        <f>IF(AND(COUNTIF(MAIN!B:B, A1368)=0, IFERROR(SEARCH("return", C1368)&gt;0, FALSE)), "Rental Return", IF(COUNTIF(MAIN!B:B, A1368)=0, "Missing", ""))</f>
        <v/>
      </c>
      <c r="C1368" s="128"/>
      <c r="E1368" s="128" t="str">
        <f t="shared" si="1"/>
        <v/>
      </c>
    </row>
    <row r="1369">
      <c r="A1369" s="93" t="str">
        <f t="shared" si="2"/>
        <v>#15218</v>
      </c>
      <c r="B1369" s="93" t="str">
        <f>IF(AND(COUNTIF(MAIN!B:B, A1369)=0, IFERROR(SEARCH("return", C1369)&gt;0, FALSE)), "Rental Return", IF(COUNTIF(MAIN!B:B, A1369)=0, "Missing", ""))</f>
        <v/>
      </c>
      <c r="C1369" s="128"/>
      <c r="E1369" s="128" t="str">
        <f t="shared" si="1"/>
        <v/>
      </c>
    </row>
    <row r="1370">
      <c r="A1370" s="93" t="str">
        <f t="shared" si="2"/>
        <v>#15219</v>
      </c>
      <c r="B1370" s="93" t="str">
        <f>IF(AND(COUNTIF(MAIN!B:B, A1370)=0, IFERROR(SEARCH("return", C1370)&gt;0, FALSE)), "Rental Return", IF(COUNTIF(MAIN!B:B, A1370)=0, "Missing", ""))</f>
        <v/>
      </c>
      <c r="C1370" s="128"/>
      <c r="E1370" s="128" t="str">
        <f t="shared" si="1"/>
        <v/>
      </c>
    </row>
    <row r="1371">
      <c r="A1371" s="93" t="str">
        <f t="shared" si="2"/>
        <v>#15220</v>
      </c>
      <c r="B1371" s="93" t="str">
        <f>IF(AND(COUNTIF(MAIN!B:B, A1371)=0, IFERROR(SEARCH("return", C1371)&gt;0, FALSE)), "Rental Return", IF(COUNTIF(MAIN!B:B, A1371)=0, "Missing", ""))</f>
        <v/>
      </c>
      <c r="C1371" s="128"/>
      <c r="E1371" s="128" t="str">
        <f t="shared" si="1"/>
        <v/>
      </c>
    </row>
    <row r="1372">
      <c r="A1372" s="93" t="str">
        <f t="shared" si="2"/>
        <v>#15221</v>
      </c>
      <c r="B1372" s="93" t="str">
        <f>IF(AND(COUNTIF(MAIN!B:B, A1372)=0, IFERROR(SEARCH("return", C1372)&gt;0, FALSE)), "Rental Return", IF(COUNTIF(MAIN!B:B, A1372)=0, "Missing", ""))</f>
        <v/>
      </c>
      <c r="C1372" s="128"/>
      <c r="E1372" s="128" t="str">
        <f t="shared" si="1"/>
        <v/>
      </c>
    </row>
    <row r="1373">
      <c r="A1373" s="93" t="str">
        <f t="shared" si="2"/>
        <v>#15222</v>
      </c>
      <c r="B1373" s="93" t="str">
        <f>IF(AND(COUNTIF(MAIN!B:B, A1373)=0, IFERROR(SEARCH("return", C1373)&gt;0, FALSE)), "Rental Return", IF(COUNTIF(MAIN!B:B, A1373)=0, "Missing", ""))</f>
        <v/>
      </c>
      <c r="C1373" s="128"/>
      <c r="E1373" s="128" t="str">
        <f t="shared" si="1"/>
        <v/>
      </c>
    </row>
    <row r="1374">
      <c r="A1374" s="93" t="str">
        <f t="shared" si="2"/>
        <v>#15223</v>
      </c>
      <c r="B1374" s="93" t="str">
        <f>IF(AND(COUNTIF(MAIN!B:B, A1374)=0, IFERROR(SEARCH("return", C1374)&gt;0, FALSE)), "Rental Return", IF(COUNTIF(MAIN!B:B, A1374)=0, "Missing", ""))</f>
        <v/>
      </c>
      <c r="C1374" s="128"/>
      <c r="E1374" s="128" t="str">
        <f t="shared" si="1"/>
        <v/>
      </c>
    </row>
    <row r="1375">
      <c r="A1375" s="93" t="str">
        <f t="shared" si="2"/>
        <v>#15224</v>
      </c>
      <c r="B1375" s="93" t="str">
        <f>IF(AND(COUNTIF(MAIN!B:B, A1375)=0, IFERROR(SEARCH("return", C1375)&gt;0, FALSE)), "Rental Return", IF(COUNTIF(MAIN!B:B, A1375)=0, "Missing", ""))</f>
        <v/>
      </c>
      <c r="C1375" s="128"/>
      <c r="E1375" s="128" t="str">
        <f t="shared" si="1"/>
        <v/>
      </c>
    </row>
    <row r="1376">
      <c r="A1376" s="93" t="str">
        <f t="shared" si="2"/>
        <v>#15225</v>
      </c>
      <c r="B1376" s="93" t="str">
        <f>IF(AND(COUNTIF(MAIN!B:B, A1376)=0, IFERROR(SEARCH("return", C1376)&gt;0, FALSE)), "Rental Return", IF(COUNTIF(MAIN!B:B, A1376)=0, "Missing", ""))</f>
        <v/>
      </c>
      <c r="C1376" s="128"/>
      <c r="E1376" s="128" t="str">
        <f t="shared" si="1"/>
        <v/>
      </c>
    </row>
    <row r="1377">
      <c r="A1377" s="93" t="str">
        <f t="shared" si="2"/>
        <v>#15226</v>
      </c>
      <c r="B1377" s="93" t="str">
        <f>IF(AND(COUNTIF(MAIN!B:B, A1377)=0, IFERROR(SEARCH("return", C1377)&gt;0, FALSE)), "Rental Return", IF(COUNTIF(MAIN!B:B, A1377)=0, "Missing", ""))</f>
        <v/>
      </c>
      <c r="C1377" s="128"/>
      <c r="E1377" s="128" t="str">
        <f t="shared" si="1"/>
        <v/>
      </c>
    </row>
    <row r="1378">
      <c r="A1378" s="93" t="str">
        <f t="shared" si="2"/>
        <v>#15227</v>
      </c>
      <c r="B1378" s="93" t="str">
        <f>IF(AND(COUNTIF(MAIN!B:B, A1378)=0, IFERROR(SEARCH("return", C1378)&gt;0, FALSE)), "Rental Return", IF(COUNTIF(MAIN!B:B, A1378)=0, "Missing", ""))</f>
        <v/>
      </c>
      <c r="C1378" s="128"/>
      <c r="E1378" s="128" t="str">
        <f t="shared" si="1"/>
        <v/>
      </c>
    </row>
    <row r="1379">
      <c r="A1379" s="93" t="str">
        <f t="shared" si="2"/>
        <v>#15228</v>
      </c>
      <c r="B1379" s="93" t="str">
        <f>IF(AND(COUNTIF(MAIN!B:B, A1379)=0, IFERROR(SEARCH("return", C1379)&gt;0, FALSE)), "Rental Return", IF(COUNTIF(MAIN!B:B, A1379)=0, "Missing", ""))</f>
        <v/>
      </c>
      <c r="C1379" s="128"/>
      <c r="E1379" s="128" t="str">
        <f t="shared" si="1"/>
        <v/>
      </c>
    </row>
    <row r="1380">
      <c r="A1380" s="93" t="str">
        <f t="shared" si="2"/>
        <v>#15229</v>
      </c>
      <c r="B1380" s="93" t="str">
        <f>IF(AND(COUNTIF(MAIN!B:B, A1380)=0, IFERROR(SEARCH("return", C1380)&gt;0, FALSE)), "Rental Return", IF(COUNTIF(MAIN!B:B, A1380)=0, "Missing", ""))</f>
        <v/>
      </c>
      <c r="C1380" s="128"/>
      <c r="E1380" s="128" t="str">
        <f t="shared" si="1"/>
        <v/>
      </c>
    </row>
    <row r="1381">
      <c r="A1381" s="93" t="str">
        <f t="shared" si="2"/>
        <v>#15230</v>
      </c>
      <c r="B1381" s="93" t="str">
        <f>IF(AND(COUNTIF(MAIN!B:B, A1381)=0, IFERROR(SEARCH("return", C1381)&gt;0, FALSE)), "Rental Return", IF(COUNTIF(MAIN!B:B, A1381)=0, "Missing", ""))</f>
        <v/>
      </c>
      <c r="C1381" s="128"/>
      <c r="E1381" s="128" t="str">
        <f t="shared" si="1"/>
        <v/>
      </c>
    </row>
    <row r="1382">
      <c r="A1382" s="93" t="str">
        <f t="shared" si="2"/>
        <v>#15231</v>
      </c>
      <c r="B1382" s="93" t="str">
        <f>IF(AND(COUNTIF(MAIN!B:B, A1382)=0, IFERROR(SEARCH("return", C1382)&gt;0, FALSE)), "Rental Return", IF(COUNTIF(MAIN!B:B, A1382)=0, "Missing", ""))</f>
        <v>Rental Return</v>
      </c>
      <c r="C1382" s="133" t="s">
        <v>15229</v>
      </c>
      <c r="E1382" s="128" t="str">
        <f t="shared" si="1"/>
        <v/>
      </c>
    </row>
    <row r="1383">
      <c r="A1383" s="93" t="str">
        <f t="shared" si="2"/>
        <v>#15232</v>
      </c>
      <c r="B1383" s="93" t="str">
        <f>IF(AND(COUNTIF(MAIN!B:B, A1383)=0, IFERROR(SEARCH("return", C1383)&gt;0, FALSE)), "Rental Return", IF(COUNTIF(MAIN!B:B, A1383)=0, "Missing", ""))</f>
        <v/>
      </c>
      <c r="C1383" s="128"/>
      <c r="E1383" s="128" t="str">
        <f t="shared" si="1"/>
        <v/>
      </c>
    </row>
    <row r="1384">
      <c r="A1384" s="93" t="str">
        <f t="shared" si="2"/>
        <v>#15233</v>
      </c>
      <c r="B1384" s="93" t="str">
        <f>IF(AND(COUNTIF(MAIN!B:B, A1384)=0, IFERROR(SEARCH("return", C1384)&gt;0, FALSE)), "Rental Return", IF(COUNTIF(MAIN!B:B, A1384)=0, "Missing", ""))</f>
        <v/>
      </c>
      <c r="C1384" s="128"/>
      <c r="E1384" s="128" t="str">
        <f t="shared" si="1"/>
        <v/>
      </c>
    </row>
    <row r="1385">
      <c r="A1385" s="93" t="str">
        <f t="shared" si="2"/>
        <v>#15234</v>
      </c>
      <c r="B1385" s="93" t="str">
        <f>IF(AND(COUNTIF(MAIN!B:B, A1385)=0, IFERROR(SEARCH("return", C1385)&gt;0, FALSE)), "Rental Return", IF(COUNTIF(MAIN!B:B, A1385)=0, "Missing", ""))</f>
        <v>Rental Return</v>
      </c>
      <c r="C1385" s="133" t="s">
        <v>15229</v>
      </c>
      <c r="E1385" s="128" t="str">
        <f t="shared" si="1"/>
        <v/>
      </c>
    </row>
    <row r="1386">
      <c r="A1386" s="93" t="str">
        <f t="shared" si="2"/>
        <v>#15235</v>
      </c>
      <c r="B1386" s="93" t="str">
        <f>IF(AND(COUNTIF(MAIN!B:B, A1386)=0, IFERROR(SEARCH("return", C1386)&gt;0, FALSE)), "Rental Return", IF(COUNTIF(MAIN!B:B, A1386)=0, "Missing", ""))</f>
        <v>Rental Return</v>
      </c>
      <c r="C1386" s="133" t="s">
        <v>15229</v>
      </c>
      <c r="E1386" s="128" t="str">
        <f t="shared" si="1"/>
        <v/>
      </c>
    </row>
    <row r="1387">
      <c r="A1387" s="93" t="str">
        <f t="shared" si="2"/>
        <v>#15236</v>
      </c>
      <c r="B1387" s="93" t="str">
        <f>IF(AND(COUNTIF(MAIN!B:B, A1387)=0, IFERROR(SEARCH("return", C1387)&gt;0, FALSE)), "Rental Return", IF(COUNTIF(MAIN!B:B, A1387)=0, "Missing", ""))</f>
        <v/>
      </c>
      <c r="C1387" s="128"/>
      <c r="E1387" s="128" t="str">
        <f t="shared" si="1"/>
        <v/>
      </c>
    </row>
    <row r="1388">
      <c r="A1388" s="93" t="str">
        <f t="shared" si="2"/>
        <v>#15237</v>
      </c>
      <c r="B1388" s="93" t="str">
        <f>IF(AND(COUNTIF(MAIN!B:B, A1388)=0, IFERROR(SEARCH("return", C1388)&gt;0, FALSE)), "Rental Return", IF(COUNTIF(MAIN!B:B, A1388)=0, "Missing", ""))</f>
        <v/>
      </c>
      <c r="C1388" s="128"/>
      <c r="E1388" s="128" t="str">
        <f t="shared" si="1"/>
        <v/>
      </c>
    </row>
    <row r="1389">
      <c r="A1389" s="93" t="str">
        <f t="shared" si="2"/>
        <v>#15238</v>
      </c>
      <c r="B1389" s="93" t="str">
        <f>IF(AND(COUNTIF(MAIN!B:B, A1389)=0, IFERROR(SEARCH("return", C1389)&gt;0, FALSE)), "Rental Return", IF(COUNTIF(MAIN!B:B, A1389)=0, "Missing", ""))</f>
        <v>Rental Return</v>
      </c>
      <c r="C1389" s="133" t="s">
        <v>15229</v>
      </c>
      <c r="E1389" s="128" t="str">
        <f t="shared" si="1"/>
        <v/>
      </c>
    </row>
    <row r="1390">
      <c r="A1390" s="93" t="str">
        <f t="shared" si="2"/>
        <v>#15239</v>
      </c>
      <c r="B1390" s="93" t="str">
        <f>IF(AND(COUNTIF(MAIN!B:B, A1390)=0, IFERROR(SEARCH("return", C1390)&gt;0, FALSE)), "Rental Return", IF(COUNTIF(MAIN!B:B, A1390)=0, "Missing", ""))</f>
        <v/>
      </c>
      <c r="C1390" s="128"/>
      <c r="E1390" s="128" t="str">
        <f t="shared" si="1"/>
        <v/>
      </c>
    </row>
    <row r="1391">
      <c r="A1391" s="93" t="str">
        <f t="shared" si="2"/>
        <v>#15240</v>
      </c>
      <c r="B1391" s="93" t="str">
        <f>IF(AND(COUNTIF(MAIN!B:B, A1391)=0, IFERROR(SEARCH("return", C1391)&gt;0, FALSE)), "Rental Return", IF(COUNTIF(MAIN!B:B, A1391)=0, "Missing", ""))</f>
        <v/>
      </c>
      <c r="C1391" s="128"/>
      <c r="E1391" s="128" t="str">
        <f t="shared" si="1"/>
        <v/>
      </c>
    </row>
    <row r="1392">
      <c r="A1392" s="93" t="str">
        <f t="shared" si="2"/>
        <v>#15241</v>
      </c>
      <c r="B1392" s="93" t="str">
        <f>IF(AND(COUNTIF(MAIN!B:B, A1392)=0, IFERROR(SEARCH("return", C1392)&gt;0, FALSE)), "Rental Return", IF(COUNTIF(MAIN!B:B, A1392)=0, "Missing", ""))</f>
        <v/>
      </c>
      <c r="C1392" s="128"/>
      <c r="E1392" s="128" t="str">
        <f t="shared" si="1"/>
        <v/>
      </c>
    </row>
    <row r="1393">
      <c r="A1393" s="93" t="str">
        <f t="shared" si="2"/>
        <v>#15242</v>
      </c>
      <c r="B1393" s="93" t="str">
        <f>IF(AND(COUNTIF(MAIN!B:B, A1393)=0, IFERROR(SEARCH("return", C1393)&gt;0, FALSE)), "Rental Return", IF(COUNTIF(MAIN!B:B, A1393)=0, "Missing", ""))</f>
        <v/>
      </c>
      <c r="C1393" s="128"/>
      <c r="E1393" s="128" t="str">
        <f t="shared" si="1"/>
        <v/>
      </c>
    </row>
    <row r="1394">
      <c r="A1394" s="93" t="str">
        <f t="shared" si="2"/>
        <v>#15243</v>
      </c>
      <c r="B1394" s="93" t="str">
        <f>IF(AND(COUNTIF(MAIN!B:B, A1394)=0, IFERROR(SEARCH("return", C1394)&gt;0, FALSE)), "Rental Return", IF(COUNTIF(MAIN!B:B, A1394)=0, "Missing", ""))</f>
        <v/>
      </c>
      <c r="C1394" s="128"/>
      <c r="E1394" s="128" t="str">
        <f t="shared" si="1"/>
        <v/>
      </c>
    </row>
    <row r="1395">
      <c r="A1395" s="93" t="str">
        <f t="shared" si="2"/>
        <v>#15244</v>
      </c>
      <c r="B1395" s="93" t="str">
        <f>IF(AND(COUNTIF(MAIN!B:B, A1395)=0, IFERROR(SEARCH("return", C1395)&gt;0, FALSE)), "Rental Return", IF(COUNTIF(MAIN!B:B, A1395)=0, "Missing", ""))</f>
        <v/>
      </c>
      <c r="C1395" s="128"/>
      <c r="E1395" s="128" t="str">
        <f t="shared" si="1"/>
        <v/>
      </c>
    </row>
    <row r="1396">
      <c r="A1396" s="93" t="str">
        <f t="shared" si="2"/>
        <v>#15245</v>
      </c>
      <c r="B1396" s="93" t="str">
        <f>IF(AND(COUNTIF(MAIN!B:B, A1396)=0, IFERROR(SEARCH("return", C1396)&gt;0, FALSE)), "Rental Return", IF(COUNTIF(MAIN!B:B, A1396)=0, "Missing", ""))</f>
        <v/>
      </c>
      <c r="C1396" s="128"/>
      <c r="E1396" s="128" t="str">
        <f t="shared" si="1"/>
        <v/>
      </c>
    </row>
    <row r="1397">
      <c r="A1397" s="93" t="str">
        <f t="shared" si="2"/>
        <v>#15246</v>
      </c>
      <c r="B1397" s="93" t="str">
        <f>IF(AND(COUNTIF(MAIN!B:B, A1397)=0, IFERROR(SEARCH("return", C1397)&gt;0, FALSE)), "Rental Return", IF(COUNTIF(MAIN!B:B, A1397)=0, "Missing", ""))</f>
        <v/>
      </c>
      <c r="C1397" s="128"/>
      <c r="E1397" s="128" t="str">
        <f t="shared" si="1"/>
        <v/>
      </c>
    </row>
    <row r="1398">
      <c r="A1398" s="93" t="str">
        <f t="shared" si="2"/>
        <v>#15247</v>
      </c>
      <c r="B1398" s="93" t="str">
        <f>IF(AND(COUNTIF(MAIN!B:B, A1398)=0, IFERROR(SEARCH("return", C1398)&gt;0, FALSE)), "Rental Return", IF(COUNTIF(MAIN!B:B, A1398)=0, "Missing", ""))</f>
        <v/>
      </c>
      <c r="C1398" s="128"/>
      <c r="E1398" s="128" t="str">
        <f t="shared" si="1"/>
        <v/>
      </c>
    </row>
    <row r="1399">
      <c r="A1399" s="93" t="str">
        <f t="shared" si="2"/>
        <v>#15248</v>
      </c>
      <c r="B1399" s="93" t="str">
        <f>IF(AND(COUNTIF(MAIN!B:B, A1399)=0, IFERROR(SEARCH("return", C1399)&gt;0, FALSE)), "Rental Return", IF(COUNTIF(MAIN!B:B, A1399)=0, "Missing", ""))</f>
        <v/>
      </c>
      <c r="C1399" s="128"/>
      <c r="E1399" s="128" t="str">
        <f t="shared" si="1"/>
        <v/>
      </c>
    </row>
    <row r="1400">
      <c r="A1400" s="93" t="str">
        <f t="shared" si="2"/>
        <v>#15249</v>
      </c>
      <c r="B1400" s="93" t="str">
        <f>IF(AND(COUNTIF(MAIN!B:B, A1400)=0, IFERROR(SEARCH("return", C1400)&gt;0, FALSE)), "Rental Return", IF(COUNTIF(MAIN!B:B, A1400)=0, "Missing", ""))</f>
        <v>Rental Return</v>
      </c>
      <c r="C1400" s="133" t="s">
        <v>15229</v>
      </c>
      <c r="E1400" s="128" t="str">
        <f t="shared" si="1"/>
        <v/>
      </c>
    </row>
    <row r="1401">
      <c r="A1401" s="93" t="str">
        <f t="shared" si="2"/>
        <v>#15250</v>
      </c>
      <c r="B1401" s="93" t="str">
        <f>IF(AND(COUNTIF(MAIN!B:B, A1401)=0, IFERROR(SEARCH("return", C1401)&gt;0, FALSE)), "Rental Return", IF(COUNTIF(MAIN!B:B, A1401)=0, "Missing", ""))</f>
        <v/>
      </c>
      <c r="C1401" s="128"/>
      <c r="E1401" s="128" t="str">
        <f t="shared" si="1"/>
        <v/>
      </c>
    </row>
    <row r="1402">
      <c r="A1402" s="93" t="str">
        <f t="shared" si="2"/>
        <v>#15251</v>
      </c>
      <c r="B1402" s="93" t="str">
        <f>IF(AND(COUNTIF(MAIN!B:B, A1402)=0, IFERROR(SEARCH("return", C1402)&gt;0, FALSE)), "Rental Return", IF(COUNTIF(MAIN!B:B, A1402)=0, "Missing", ""))</f>
        <v/>
      </c>
      <c r="C1402" s="128"/>
      <c r="E1402" s="128" t="str">
        <f t="shared" si="1"/>
        <v/>
      </c>
    </row>
    <row r="1403">
      <c r="A1403" s="93" t="str">
        <f t="shared" si="2"/>
        <v>#15252</v>
      </c>
      <c r="B1403" s="93" t="str">
        <f>IF(AND(COUNTIF(MAIN!B:B, A1403)=0, IFERROR(SEARCH("return", C1403)&gt;0, FALSE)), "Rental Return", IF(COUNTIF(MAIN!B:B, A1403)=0, "Missing", ""))</f>
        <v/>
      </c>
      <c r="C1403" s="128"/>
      <c r="E1403" s="128" t="str">
        <f t="shared" si="1"/>
        <v/>
      </c>
    </row>
    <row r="1404">
      <c r="A1404" s="93" t="str">
        <f t="shared" si="2"/>
        <v>#15253</v>
      </c>
      <c r="B1404" s="93" t="str">
        <f>IF(AND(COUNTIF(MAIN!B:B, A1404)=0, IFERROR(SEARCH("return", C1404)&gt;0, FALSE)), "Rental Return", IF(COUNTIF(MAIN!B:B, A1404)=0, "Missing", ""))</f>
        <v/>
      </c>
      <c r="C1404" s="128"/>
      <c r="E1404" s="128" t="str">
        <f t="shared" si="1"/>
        <v/>
      </c>
    </row>
    <row r="1405">
      <c r="A1405" s="93" t="str">
        <f t="shared" si="2"/>
        <v>#15254</v>
      </c>
      <c r="B1405" s="93" t="str">
        <f>IF(AND(COUNTIF(MAIN!B:B, A1405)=0, IFERROR(SEARCH("return", C1405)&gt;0, FALSE)), "Rental Return", IF(COUNTIF(MAIN!B:B, A1405)=0, "Missing", ""))</f>
        <v/>
      </c>
      <c r="C1405" s="128"/>
      <c r="E1405" s="128" t="str">
        <f t="shared" si="1"/>
        <v/>
      </c>
    </row>
    <row r="1406">
      <c r="A1406" s="93" t="str">
        <f t="shared" si="2"/>
        <v>#15255</v>
      </c>
      <c r="B1406" s="93" t="str">
        <f>IF(AND(COUNTIF(MAIN!B:B, A1406)=0, IFERROR(SEARCH("return", C1406)&gt;0, FALSE)), "Rental Return", IF(COUNTIF(MAIN!B:B, A1406)=0, "Missing", ""))</f>
        <v/>
      </c>
      <c r="C1406" s="128"/>
      <c r="E1406" s="128" t="str">
        <f t="shared" si="1"/>
        <v/>
      </c>
    </row>
    <row r="1407">
      <c r="A1407" s="93" t="str">
        <f t="shared" si="2"/>
        <v>#15256</v>
      </c>
      <c r="B1407" s="93" t="str">
        <f>IF(AND(COUNTIF(MAIN!B:B, A1407)=0, IFERROR(SEARCH("return", C1407)&gt;0, FALSE)), "Rental Return", IF(COUNTIF(MAIN!B:B, A1407)=0, "Missing", ""))</f>
        <v/>
      </c>
      <c r="C1407" s="128"/>
      <c r="E1407" s="128" t="str">
        <f t="shared" si="1"/>
        <v/>
      </c>
    </row>
    <row r="1408">
      <c r="A1408" s="93" t="str">
        <f t="shared" si="2"/>
        <v>#15257</v>
      </c>
      <c r="B1408" s="93" t="str">
        <f>IF(AND(COUNTIF(MAIN!B:B, A1408)=0, IFERROR(SEARCH("return", C1408)&gt;0, FALSE)), "Rental Return", IF(COUNTIF(MAIN!B:B, A1408)=0, "Missing", ""))</f>
        <v/>
      </c>
      <c r="C1408" s="128"/>
      <c r="E1408" s="128" t="str">
        <f t="shared" si="1"/>
        <v/>
      </c>
    </row>
    <row r="1409">
      <c r="A1409" s="93" t="str">
        <f t="shared" si="2"/>
        <v>#15258</v>
      </c>
      <c r="B1409" s="93" t="str">
        <f>IF(AND(COUNTIF(MAIN!B:B, A1409)=0, IFERROR(SEARCH("return", C1409)&gt;0, FALSE)), "Rental Return", IF(COUNTIF(MAIN!B:B, A1409)=0, "Missing", ""))</f>
        <v>Rental Return</v>
      </c>
      <c r="C1409" s="133" t="s">
        <v>15229</v>
      </c>
      <c r="E1409" s="128" t="str">
        <f t="shared" si="1"/>
        <v/>
      </c>
    </row>
    <row r="1410">
      <c r="A1410" s="93" t="str">
        <f t="shared" si="2"/>
        <v>#15259</v>
      </c>
      <c r="B1410" s="93" t="str">
        <f>IF(AND(COUNTIF(MAIN!B:B, A1410)=0, IFERROR(SEARCH("return", C1410)&gt;0, FALSE)), "Rental Return", IF(COUNTIF(MAIN!B:B, A1410)=0, "Missing", ""))</f>
        <v/>
      </c>
      <c r="C1410" s="128"/>
      <c r="E1410" s="128" t="str">
        <f t="shared" si="1"/>
        <v/>
      </c>
    </row>
    <row r="1411">
      <c r="A1411" s="93" t="str">
        <f t="shared" si="2"/>
        <v>#15260</v>
      </c>
      <c r="B1411" s="93" t="str">
        <f>IF(AND(COUNTIF(MAIN!B:B, A1411)=0, IFERROR(SEARCH("return", C1411)&gt;0, FALSE)), "Rental Return", IF(COUNTIF(MAIN!B:B, A1411)=0, "Missing", ""))</f>
        <v/>
      </c>
      <c r="C1411" s="128"/>
      <c r="E1411" s="128" t="str">
        <f t="shared" si="1"/>
        <v/>
      </c>
    </row>
    <row r="1412">
      <c r="A1412" s="93" t="str">
        <f t="shared" si="2"/>
        <v>#15261</v>
      </c>
      <c r="B1412" s="93" t="str">
        <f>IF(AND(COUNTIF(MAIN!B:B, A1412)=0, IFERROR(SEARCH("return", C1412)&gt;0, FALSE)), "Rental Return", IF(COUNTIF(MAIN!B:B, A1412)=0, "Missing", ""))</f>
        <v/>
      </c>
      <c r="C1412" s="128"/>
      <c r="E1412" s="128" t="str">
        <f t="shared" si="1"/>
        <v/>
      </c>
    </row>
    <row r="1413">
      <c r="A1413" s="93" t="str">
        <f t="shared" si="2"/>
        <v>#15262</v>
      </c>
      <c r="B1413" s="93" t="str">
        <f>IF(AND(COUNTIF(MAIN!B:B, A1413)=0, IFERROR(SEARCH("return", C1413)&gt;0, FALSE)), "Rental Return", IF(COUNTIF(MAIN!B:B, A1413)=0, "Missing", ""))</f>
        <v/>
      </c>
      <c r="C1413" s="128"/>
      <c r="E1413" s="128" t="str">
        <f t="shared" si="1"/>
        <v/>
      </c>
    </row>
    <row r="1414">
      <c r="A1414" s="93" t="str">
        <f t="shared" si="2"/>
        <v>#15263</v>
      </c>
      <c r="B1414" s="93" t="str">
        <f>IF(AND(COUNTIF(MAIN!B:B, A1414)=0, IFERROR(SEARCH("return", C1414)&gt;0, FALSE)), "Rental Return", IF(COUNTIF(MAIN!B:B, A1414)=0, "Missing", ""))</f>
        <v/>
      </c>
      <c r="C1414" s="128"/>
      <c r="E1414" s="128" t="str">
        <f t="shared" si="1"/>
        <v/>
      </c>
    </row>
    <row r="1415">
      <c r="A1415" s="93" t="str">
        <f t="shared" si="2"/>
        <v>#15264</v>
      </c>
      <c r="B1415" s="93" t="str">
        <f>IF(AND(COUNTIF(MAIN!B:B, A1415)=0, IFERROR(SEARCH("return", C1415)&gt;0, FALSE)), "Rental Return", IF(COUNTIF(MAIN!B:B, A1415)=0, "Missing", ""))</f>
        <v/>
      </c>
      <c r="C1415" s="128"/>
      <c r="E1415" s="128" t="str">
        <f t="shared" si="1"/>
        <v/>
      </c>
    </row>
    <row r="1416">
      <c r="A1416" s="93" t="str">
        <f t="shared" si="2"/>
        <v>#15265</v>
      </c>
      <c r="B1416" s="93" t="str">
        <f>IF(AND(COUNTIF(MAIN!B:B, A1416)=0, IFERROR(SEARCH("return", C1416)&gt;0, FALSE)), "Rental Return", IF(COUNTIF(MAIN!B:B, A1416)=0, "Missing", ""))</f>
        <v/>
      </c>
      <c r="C1416" s="128"/>
      <c r="E1416" s="128" t="str">
        <f t="shared" si="1"/>
        <v/>
      </c>
    </row>
    <row r="1417">
      <c r="A1417" s="93" t="str">
        <f t="shared" si="2"/>
        <v>#15266</v>
      </c>
      <c r="B1417" s="93" t="str">
        <f>IF(AND(COUNTIF(MAIN!B:B, A1417)=0, IFERROR(SEARCH("return", C1417)&gt;0, FALSE)), "Rental Return", IF(COUNTIF(MAIN!B:B, A1417)=0, "Missing", ""))</f>
        <v/>
      </c>
      <c r="C1417" s="128"/>
      <c r="E1417" s="128" t="str">
        <f t="shared" si="1"/>
        <v/>
      </c>
    </row>
    <row r="1418">
      <c r="A1418" s="93" t="str">
        <f t="shared" si="2"/>
        <v>#15267</v>
      </c>
      <c r="B1418" s="93" t="str">
        <f>IF(AND(COUNTIF(MAIN!B:B, A1418)=0, IFERROR(SEARCH("return", C1418)&gt;0, FALSE)), "Rental Return", IF(COUNTIF(MAIN!B:B, A1418)=0, "Missing", ""))</f>
        <v/>
      </c>
      <c r="C1418" s="128"/>
      <c r="E1418" s="128" t="str">
        <f t="shared" si="1"/>
        <v/>
      </c>
    </row>
    <row r="1419">
      <c r="A1419" s="93" t="str">
        <f t="shared" si="2"/>
        <v>#15268</v>
      </c>
      <c r="B1419" s="93" t="str">
        <f>IF(AND(COUNTIF(MAIN!B:B, A1419)=0, IFERROR(SEARCH("return", C1419)&gt;0, FALSE)), "Rental Return", IF(COUNTIF(MAIN!B:B, A1419)=0, "Missing", ""))</f>
        <v/>
      </c>
      <c r="C1419" s="128"/>
      <c r="E1419" s="128" t="str">
        <f t="shared" si="1"/>
        <v/>
      </c>
    </row>
    <row r="1420">
      <c r="A1420" s="93" t="str">
        <f t="shared" si="2"/>
        <v>#15269</v>
      </c>
      <c r="B1420" s="93" t="str">
        <f>IF(AND(COUNTIF(MAIN!B:B, A1420)=0, IFERROR(SEARCH("return", C1420)&gt;0, FALSE)), "Rental Return", IF(COUNTIF(MAIN!B:B, A1420)=0, "Missing", ""))</f>
        <v/>
      </c>
      <c r="C1420" s="128"/>
      <c r="E1420" s="128" t="str">
        <f t="shared" si="1"/>
        <v/>
      </c>
    </row>
    <row r="1421">
      <c r="A1421" s="93" t="str">
        <f t="shared" si="2"/>
        <v>#15270</v>
      </c>
      <c r="B1421" s="93" t="str">
        <f>IF(AND(COUNTIF(MAIN!B:B, A1421)=0, IFERROR(SEARCH("return", C1421)&gt;0, FALSE)), "Rental Return", IF(COUNTIF(MAIN!B:B, A1421)=0, "Missing", ""))</f>
        <v/>
      </c>
      <c r="C1421" s="128"/>
      <c r="E1421" s="128" t="str">
        <f t="shared" si="1"/>
        <v/>
      </c>
    </row>
    <row r="1422">
      <c r="A1422" s="93" t="str">
        <f t="shared" si="2"/>
        <v>#15271</v>
      </c>
      <c r="B1422" s="93" t="str">
        <f>IF(AND(COUNTIF(MAIN!B:B, A1422)=0, IFERROR(SEARCH("return", C1422)&gt;0, FALSE)), "Rental Return", IF(COUNTIF(MAIN!B:B, A1422)=0, "Missing", ""))</f>
        <v/>
      </c>
      <c r="C1422" s="128"/>
      <c r="E1422" s="128" t="str">
        <f t="shared" si="1"/>
        <v/>
      </c>
    </row>
    <row r="1423">
      <c r="A1423" s="93" t="str">
        <f t="shared" si="2"/>
        <v>#15272</v>
      </c>
      <c r="B1423" s="93" t="str">
        <f>IF(AND(COUNTIF(MAIN!B:B, A1423)=0, IFERROR(SEARCH("return", C1423)&gt;0, FALSE)), "Rental Return", IF(COUNTIF(MAIN!B:B, A1423)=0, "Missing", ""))</f>
        <v/>
      </c>
      <c r="C1423" s="128"/>
      <c r="E1423" s="128" t="str">
        <f t="shared" si="1"/>
        <v/>
      </c>
    </row>
    <row r="1424">
      <c r="A1424" s="93" t="str">
        <f t="shared" si="2"/>
        <v>#15273</v>
      </c>
      <c r="B1424" s="93" t="str">
        <f>IF(AND(COUNTIF(MAIN!B:B, A1424)=0, IFERROR(SEARCH("return", C1424)&gt;0, FALSE)), "Rental Return", IF(COUNTIF(MAIN!B:B, A1424)=0, "Missing", ""))</f>
        <v/>
      </c>
      <c r="C1424" s="128"/>
      <c r="E1424" s="128" t="str">
        <f t="shared" si="1"/>
        <v/>
      </c>
    </row>
    <row r="1425">
      <c r="A1425" s="93" t="str">
        <f t="shared" si="2"/>
        <v>#15274</v>
      </c>
      <c r="B1425" s="93" t="str">
        <f>IF(AND(COUNTIF(MAIN!B:B, A1425)=0, IFERROR(SEARCH("return", C1425)&gt;0, FALSE)), "Rental Return", IF(COUNTIF(MAIN!B:B, A1425)=0, "Missing", ""))</f>
        <v/>
      </c>
      <c r="C1425" s="128"/>
      <c r="E1425" s="128" t="str">
        <f t="shared" si="1"/>
        <v/>
      </c>
    </row>
    <row r="1426">
      <c r="A1426" s="93" t="str">
        <f t="shared" si="2"/>
        <v>#15275</v>
      </c>
      <c r="B1426" s="93" t="str">
        <f>IF(AND(COUNTIF(MAIN!B:B, A1426)=0, IFERROR(SEARCH("return", C1426)&gt;0, FALSE)), "Rental Return", IF(COUNTIF(MAIN!B:B, A1426)=0, "Missing", ""))</f>
        <v/>
      </c>
      <c r="C1426" s="128"/>
      <c r="E1426" s="128" t="str">
        <f t="shared" si="1"/>
        <v/>
      </c>
    </row>
    <row r="1427">
      <c r="A1427" s="93" t="str">
        <f t="shared" si="2"/>
        <v>#15276</v>
      </c>
      <c r="B1427" s="93" t="str">
        <f>IF(AND(COUNTIF(MAIN!B:B, A1427)=0, IFERROR(SEARCH("return", C1427)&gt;0, FALSE)), "Rental Return", IF(COUNTIF(MAIN!B:B, A1427)=0, "Missing", ""))</f>
        <v/>
      </c>
      <c r="C1427" s="128"/>
      <c r="E1427" s="128" t="str">
        <f t="shared" si="1"/>
        <v/>
      </c>
    </row>
    <row r="1428">
      <c r="A1428" s="93" t="str">
        <f t="shared" si="2"/>
        <v>#15277</v>
      </c>
      <c r="B1428" s="93" t="str">
        <f>IF(AND(COUNTIF(MAIN!B:B, A1428)=0, IFERROR(SEARCH("return", C1428)&gt;0, FALSE)), "Rental Return", IF(COUNTIF(MAIN!B:B, A1428)=0, "Missing", ""))</f>
        <v/>
      </c>
      <c r="C1428" s="128"/>
      <c r="E1428" s="128" t="str">
        <f t="shared" si="1"/>
        <v/>
      </c>
    </row>
    <row r="1429">
      <c r="A1429" s="93" t="str">
        <f t="shared" si="2"/>
        <v>#15278</v>
      </c>
      <c r="B1429" s="93" t="str">
        <f>IF(AND(COUNTIF(MAIN!B:B, A1429)=0, IFERROR(SEARCH("return", C1429)&gt;0, FALSE)), "Rental Return", IF(COUNTIF(MAIN!B:B, A1429)=0, "Missing", ""))</f>
        <v/>
      </c>
      <c r="C1429" s="128"/>
      <c r="E1429" s="128" t="str">
        <f t="shared" si="1"/>
        <v/>
      </c>
    </row>
    <row r="1430">
      <c r="A1430" s="93" t="str">
        <f t="shared" si="2"/>
        <v>#15279</v>
      </c>
      <c r="B1430" s="93" t="str">
        <f>IF(AND(COUNTIF(MAIN!B:B, A1430)=0, IFERROR(SEARCH("return", C1430)&gt;0, FALSE)), "Rental Return", IF(COUNTIF(MAIN!B:B, A1430)=0, "Missing", ""))</f>
        <v/>
      </c>
      <c r="C1430" s="128"/>
      <c r="E1430" s="128" t="str">
        <f t="shared" si="1"/>
        <v/>
      </c>
    </row>
    <row r="1431">
      <c r="A1431" s="93" t="str">
        <f t="shared" si="2"/>
        <v>#15280</v>
      </c>
      <c r="B1431" s="93" t="str">
        <f>IF(AND(COUNTIF(MAIN!B:B, A1431)=0, IFERROR(SEARCH("return", C1431)&gt;0, FALSE)), "Rental Return", IF(COUNTIF(MAIN!B:B, A1431)=0, "Missing", ""))</f>
        <v/>
      </c>
      <c r="C1431" s="128"/>
      <c r="E1431" s="128" t="str">
        <f t="shared" si="1"/>
        <v/>
      </c>
    </row>
    <row r="1432">
      <c r="A1432" s="93" t="str">
        <f t="shared" si="2"/>
        <v>#15281</v>
      </c>
      <c r="B1432" s="93" t="str">
        <f>IF(AND(COUNTIF(MAIN!B:B, A1432)=0, IFERROR(SEARCH("return", C1432)&gt;0, FALSE)), "Rental Return", IF(COUNTIF(MAIN!B:B, A1432)=0, "Missing", ""))</f>
        <v/>
      </c>
      <c r="C1432" s="128"/>
      <c r="E1432" s="128" t="str">
        <f t="shared" si="1"/>
        <v/>
      </c>
    </row>
    <row r="1433">
      <c r="A1433" s="93" t="str">
        <f t="shared" si="2"/>
        <v>#15282</v>
      </c>
      <c r="B1433" s="93" t="str">
        <f>IF(AND(COUNTIF(MAIN!B:B, A1433)=0, IFERROR(SEARCH("return", C1433)&gt;0, FALSE)), "Rental Return", IF(COUNTIF(MAIN!B:B, A1433)=0, "Missing", ""))</f>
        <v/>
      </c>
      <c r="C1433" s="128"/>
      <c r="E1433" s="128" t="str">
        <f t="shared" si="1"/>
        <v/>
      </c>
    </row>
    <row r="1434">
      <c r="A1434" s="93" t="str">
        <f t="shared" si="2"/>
        <v>#15283</v>
      </c>
      <c r="B1434" s="93" t="str">
        <f>IF(AND(COUNTIF(MAIN!B:B, A1434)=0, IFERROR(SEARCH("return", C1434)&gt;0, FALSE)), "Rental Return", IF(COUNTIF(MAIN!B:B, A1434)=0, "Missing", ""))</f>
        <v/>
      </c>
      <c r="C1434" s="128"/>
      <c r="E1434" s="128" t="str">
        <f t="shared" si="1"/>
        <v/>
      </c>
    </row>
    <row r="1435">
      <c r="A1435" s="93" t="str">
        <f t="shared" si="2"/>
        <v>#15284</v>
      </c>
      <c r="B1435" s="93" t="str">
        <f>IF(AND(COUNTIF(MAIN!B:B, A1435)=0, IFERROR(SEARCH("return", C1435)&gt;0, FALSE)), "Rental Return", IF(COUNTIF(MAIN!B:B, A1435)=0, "Missing", ""))</f>
        <v/>
      </c>
      <c r="C1435" s="128"/>
      <c r="E1435" s="128" t="str">
        <f t="shared" si="1"/>
        <v/>
      </c>
    </row>
    <row r="1436">
      <c r="A1436" s="93" t="str">
        <f t="shared" si="2"/>
        <v>#15285</v>
      </c>
      <c r="B1436" s="93" t="str">
        <f>IF(AND(COUNTIF(MAIN!B:B, A1436)=0, IFERROR(SEARCH("return", C1436)&gt;0, FALSE)), "Rental Return", IF(COUNTIF(MAIN!B:B, A1436)=0, "Missing", ""))</f>
        <v/>
      </c>
      <c r="C1436" s="128"/>
      <c r="E1436" s="128" t="str">
        <f t="shared" si="1"/>
        <v/>
      </c>
    </row>
    <row r="1437">
      <c r="A1437" s="93" t="str">
        <f t="shared" si="2"/>
        <v>#15286</v>
      </c>
      <c r="B1437" s="93" t="str">
        <f>IF(AND(COUNTIF(MAIN!B:B, A1437)=0, IFERROR(SEARCH("return", C1437)&gt;0, FALSE)), "Rental Return", IF(COUNTIF(MAIN!B:B, A1437)=0, "Missing", ""))</f>
        <v/>
      </c>
      <c r="C1437" s="128"/>
      <c r="E1437" s="128" t="str">
        <f t="shared" si="1"/>
        <v/>
      </c>
    </row>
    <row r="1438">
      <c r="A1438" s="93" t="str">
        <f t="shared" si="2"/>
        <v>#15287</v>
      </c>
      <c r="B1438" s="93" t="str">
        <f>IF(AND(COUNTIF(MAIN!B:B, A1438)=0, IFERROR(SEARCH("return", C1438)&gt;0, FALSE)), "Rental Return", IF(COUNTIF(MAIN!B:B, A1438)=0, "Missing", ""))</f>
        <v/>
      </c>
      <c r="C1438" s="128"/>
      <c r="E1438" s="128" t="str">
        <f t="shared" si="1"/>
        <v/>
      </c>
    </row>
    <row r="1439">
      <c r="A1439" s="93" t="str">
        <f t="shared" si="2"/>
        <v>#15288</v>
      </c>
      <c r="B1439" s="93" t="str">
        <f>IF(AND(COUNTIF(MAIN!B:B, A1439)=0, IFERROR(SEARCH("return", C1439)&gt;0, FALSE)), "Rental Return", IF(COUNTIF(MAIN!B:B, A1439)=0, "Missing", ""))</f>
        <v/>
      </c>
      <c r="C1439" s="128"/>
      <c r="E1439" s="128" t="str">
        <f t="shared" si="1"/>
        <v/>
      </c>
    </row>
    <row r="1440">
      <c r="A1440" s="93" t="str">
        <f t="shared" si="2"/>
        <v>#15289</v>
      </c>
      <c r="B1440" s="93" t="str">
        <f>IF(AND(COUNTIF(MAIN!B:B, A1440)=0, IFERROR(SEARCH("return", C1440)&gt;0, FALSE)), "Rental Return", IF(COUNTIF(MAIN!B:B, A1440)=0, "Missing", ""))</f>
        <v/>
      </c>
      <c r="C1440" s="128"/>
      <c r="E1440" s="128" t="str">
        <f t="shared" si="1"/>
        <v/>
      </c>
    </row>
    <row r="1441">
      <c r="A1441" s="93" t="str">
        <f t="shared" si="2"/>
        <v>#15290</v>
      </c>
      <c r="B1441" s="93" t="str">
        <f>IF(AND(COUNTIF(MAIN!B:B, A1441)=0, IFERROR(SEARCH("return", C1441)&gt;0, FALSE)), "Rental Return", IF(COUNTIF(MAIN!B:B, A1441)=0, "Missing", ""))</f>
        <v/>
      </c>
      <c r="C1441" s="128"/>
      <c r="E1441" s="128" t="str">
        <f t="shared" si="1"/>
        <v/>
      </c>
    </row>
    <row r="1442">
      <c r="A1442" s="93" t="str">
        <f t="shared" si="2"/>
        <v>#15291</v>
      </c>
      <c r="B1442" s="93" t="str">
        <f>IF(AND(COUNTIF(MAIN!B:B, A1442)=0, IFERROR(SEARCH("return", C1442)&gt;0, FALSE)), "Rental Return", IF(COUNTIF(MAIN!B:B, A1442)=0, "Missing", ""))</f>
        <v/>
      </c>
      <c r="C1442" s="128"/>
      <c r="E1442" s="128" t="str">
        <f t="shared" si="1"/>
        <v/>
      </c>
    </row>
    <row r="1443">
      <c r="A1443" s="93" t="str">
        <f t="shared" si="2"/>
        <v>#15292</v>
      </c>
      <c r="B1443" s="93" t="str">
        <f>IF(AND(COUNTIF(MAIN!B:B, A1443)=0, IFERROR(SEARCH("return", C1443)&gt;0, FALSE)), "Rental Return", IF(COUNTIF(MAIN!B:B, A1443)=0, "Missing", ""))</f>
        <v/>
      </c>
      <c r="C1443" s="128"/>
      <c r="E1443" s="128" t="str">
        <f t="shared" si="1"/>
        <v/>
      </c>
    </row>
    <row r="1444">
      <c r="A1444" s="93" t="str">
        <f t="shared" si="2"/>
        <v>#15293</v>
      </c>
      <c r="B1444" s="93" t="str">
        <f>IF(AND(COUNTIF(MAIN!B:B, A1444)=0, IFERROR(SEARCH("return", C1444)&gt;0, FALSE)), "Rental Return", IF(COUNTIF(MAIN!B:B, A1444)=0, "Missing", ""))</f>
        <v/>
      </c>
      <c r="C1444" s="128"/>
      <c r="E1444" s="128" t="str">
        <f t="shared" si="1"/>
        <v/>
      </c>
    </row>
    <row r="1445">
      <c r="A1445" s="93" t="str">
        <f t="shared" si="2"/>
        <v>#15294</v>
      </c>
      <c r="B1445" s="93" t="str">
        <f>IF(AND(COUNTIF(MAIN!B:B, A1445)=0, IFERROR(SEARCH("return", C1445)&gt;0, FALSE)), "Rental Return", IF(COUNTIF(MAIN!B:B, A1445)=0, "Missing", ""))</f>
        <v/>
      </c>
      <c r="C1445" s="128"/>
      <c r="E1445" s="128" t="str">
        <f t="shared" si="1"/>
        <v/>
      </c>
    </row>
    <row r="1446">
      <c r="A1446" s="93" t="str">
        <f t="shared" si="2"/>
        <v>#15295</v>
      </c>
      <c r="B1446" s="93" t="str">
        <f>IF(AND(COUNTIF(MAIN!B:B, A1446)=0, IFERROR(SEARCH("return", C1446)&gt;0, FALSE)), "Rental Return", IF(COUNTIF(MAIN!B:B, A1446)=0, "Missing", ""))</f>
        <v/>
      </c>
      <c r="C1446" s="128"/>
      <c r="E1446" s="128" t="str">
        <f t="shared" si="1"/>
        <v/>
      </c>
    </row>
    <row r="1447">
      <c r="A1447" s="93" t="str">
        <f t="shared" si="2"/>
        <v>#15296</v>
      </c>
      <c r="B1447" s="93" t="str">
        <f>IF(AND(COUNTIF(MAIN!B:B, A1447)=0, IFERROR(SEARCH("return", C1447)&gt;0, FALSE)), "Rental Return", IF(COUNTIF(MAIN!B:B, A1447)=0, "Missing", ""))</f>
        <v/>
      </c>
      <c r="C1447" s="128"/>
      <c r="E1447" s="128" t="str">
        <f t="shared" si="1"/>
        <v/>
      </c>
    </row>
    <row r="1448">
      <c r="A1448" s="93" t="str">
        <f t="shared" si="2"/>
        <v>#15297</v>
      </c>
      <c r="B1448" s="93" t="str">
        <f>IF(AND(COUNTIF(MAIN!B:B, A1448)=0, IFERROR(SEARCH("return", C1448)&gt;0, FALSE)), "Rental Return", IF(COUNTIF(MAIN!B:B, A1448)=0, "Missing", ""))</f>
        <v/>
      </c>
      <c r="C1448" s="128"/>
      <c r="E1448" s="128" t="str">
        <f t="shared" si="1"/>
        <v/>
      </c>
    </row>
    <row r="1449">
      <c r="A1449" s="93" t="str">
        <f t="shared" si="2"/>
        <v>#15298</v>
      </c>
      <c r="B1449" s="93" t="str">
        <f>IF(AND(COUNTIF(MAIN!B:B, A1449)=0, IFERROR(SEARCH("return", C1449)&gt;0, FALSE)), "Rental Return", IF(COUNTIF(MAIN!B:B, A1449)=0, "Missing", ""))</f>
        <v/>
      </c>
      <c r="C1449" s="128"/>
      <c r="E1449" s="128" t="str">
        <f t="shared" si="1"/>
        <v/>
      </c>
    </row>
    <row r="1450">
      <c r="A1450" s="93" t="str">
        <f t="shared" si="2"/>
        <v>#15299</v>
      </c>
      <c r="B1450" s="93" t="str">
        <f>IF(AND(COUNTIF(MAIN!B:B, A1450)=0, IFERROR(SEARCH("return", C1450)&gt;0, FALSE)), "Rental Return", IF(COUNTIF(MAIN!B:B, A1450)=0, "Missing", ""))</f>
        <v/>
      </c>
      <c r="C1450" s="128"/>
      <c r="E1450" s="128" t="str">
        <f t="shared" si="1"/>
        <v/>
      </c>
    </row>
    <row r="1451">
      <c r="A1451" s="93" t="str">
        <f t="shared" si="2"/>
        <v>#15300</v>
      </c>
      <c r="B1451" s="93" t="str">
        <f>IF(AND(COUNTIF(MAIN!B:B, A1451)=0, IFERROR(SEARCH("return", C1451)&gt;0, FALSE)), "Rental Return", IF(COUNTIF(MAIN!B:B, A1451)=0, "Missing", ""))</f>
        <v/>
      </c>
      <c r="C1451" s="128"/>
      <c r="E1451" s="128" t="str">
        <f t="shared" si="1"/>
        <v/>
      </c>
    </row>
    <row r="1452">
      <c r="A1452" s="93" t="str">
        <f t="shared" si="2"/>
        <v>#15301</v>
      </c>
      <c r="B1452" s="93" t="str">
        <f>IF(AND(COUNTIF(MAIN!B:B, A1452)=0, IFERROR(SEARCH("return", C1452)&gt;0, FALSE)), "Rental Return", IF(COUNTIF(MAIN!B:B, A1452)=0, "Missing", ""))</f>
        <v>Missing</v>
      </c>
      <c r="C1452" s="133" t="s">
        <v>15228</v>
      </c>
      <c r="E1452" s="131" t="str">
        <f t="shared" si="1"/>
        <v>https://utrucking.myshopify.com/admin/orders?query=15301</v>
      </c>
    </row>
    <row r="1453">
      <c r="A1453" s="93" t="str">
        <f t="shared" si="2"/>
        <v>#15302</v>
      </c>
      <c r="B1453" s="93" t="str">
        <f>IF(AND(COUNTIF(MAIN!B:B, A1453)=0, IFERROR(SEARCH("return", C1453)&gt;0, FALSE)), "Rental Return", IF(COUNTIF(MAIN!B:B, A1453)=0, "Missing", ""))</f>
        <v/>
      </c>
      <c r="C1453" s="128"/>
      <c r="E1453" s="128" t="str">
        <f t="shared" si="1"/>
        <v/>
      </c>
    </row>
    <row r="1454">
      <c r="A1454" s="93" t="str">
        <f t="shared" si="2"/>
        <v>#15303</v>
      </c>
      <c r="B1454" s="93" t="str">
        <f>IF(AND(COUNTIF(MAIN!B:B, A1454)=0, IFERROR(SEARCH("return", C1454)&gt;0, FALSE)), "Rental Return", IF(COUNTIF(MAIN!B:B, A1454)=0, "Missing", ""))</f>
        <v/>
      </c>
      <c r="C1454" s="128"/>
      <c r="E1454" s="128" t="str">
        <f t="shared" si="1"/>
        <v/>
      </c>
    </row>
    <row r="1455">
      <c r="A1455" s="93" t="str">
        <f t="shared" si="2"/>
        <v>#15304</v>
      </c>
      <c r="B1455" s="93" t="str">
        <f>IF(AND(COUNTIF(MAIN!B:B, A1455)=0, IFERROR(SEARCH("return", C1455)&gt;0, FALSE)), "Rental Return", IF(COUNTIF(MAIN!B:B, A1455)=0, "Missing", ""))</f>
        <v/>
      </c>
      <c r="C1455" s="128"/>
      <c r="E1455" s="128" t="str">
        <f t="shared" si="1"/>
        <v/>
      </c>
    </row>
    <row r="1456">
      <c r="A1456" s="93" t="str">
        <f t="shared" si="2"/>
        <v>#15305</v>
      </c>
      <c r="B1456" s="93" t="str">
        <f>IF(AND(COUNTIF(MAIN!B:B, A1456)=0, IFERROR(SEARCH("return", C1456)&gt;0, FALSE)), "Rental Return", IF(COUNTIF(MAIN!B:B, A1456)=0, "Missing", ""))</f>
        <v>Missing</v>
      </c>
      <c r="C1456" s="133" t="s">
        <v>15228</v>
      </c>
      <c r="E1456" s="131" t="str">
        <f t="shared" si="1"/>
        <v>https://utrucking.myshopify.com/admin/orders?query=15305</v>
      </c>
    </row>
    <row r="1457">
      <c r="A1457" s="93" t="str">
        <f t="shared" si="2"/>
        <v>#15306</v>
      </c>
      <c r="B1457" s="93" t="str">
        <f>IF(AND(COUNTIF(MAIN!B:B, A1457)=0, IFERROR(SEARCH("return", C1457)&gt;0, FALSE)), "Rental Return", IF(COUNTIF(MAIN!B:B, A1457)=0, "Missing", ""))</f>
        <v>Missing</v>
      </c>
      <c r="C1457" s="133" t="s">
        <v>15228</v>
      </c>
      <c r="E1457" s="131" t="str">
        <f t="shared" si="1"/>
        <v>https://utrucking.myshopify.com/admin/orders?query=15306</v>
      </c>
    </row>
    <row r="1458">
      <c r="A1458" s="93" t="str">
        <f t="shared" si="2"/>
        <v>#15307</v>
      </c>
      <c r="B1458" s="93" t="str">
        <f>IF(AND(COUNTIF(MAIN!B:B, A1458)=0, IFERROR(SEARCH("return", C1458)&gt;0, FALSE)), "Rental Return", IF(COUNTIF(MAIN!B:B, A1458)=0, "Missing", ""))</f>
        <v/>
      </c>
      <c r="C1458" s="128"/>
      <c r="E1458" s="128" t="str">
        <f t="shared" si="1"/>
        <v/>
      </c>
    </row>
    <row r="1459">
      <c r="A1459" s="93" t="str">
        <f t="shared" si="2"/>
        <v>#15308</v>
      </c>
      <c r="B1459" s="93" t="str">
        <f>IF(AND(COUNTIF(MAIN!B:B, A1459)=0, IFERROR(SEARCH("return", C1459)&gt;0, FALSE)), "Rental Return", IF(COUNTIF(MAIN!B:B, A1459)=0, "Missing", ""))</f>
        <v/>
      </c>
      <c r="C1459" s="128"/>
      <c r="E1459" s="128" t="str">
        <f t="shared" si="1"/>
        <v/>
      </c>
    </row>
    <row r="1460">
      <c r="A1460" s="93" t="str">
        <f t="shared" si="2"/>
        <v>#15309</v>
      </c>
      <c r="B1460" s="93" t="str">
        <f>IF(AND(COUNTIF(MAIN!B:B, A1460)=0, IFERROR(SEARCH("return", C1460)&gt;0, FALSE)), "Rental Return", IF(COUNTIF(MAIN!B:B, A1460)=0, "Missing", ""))</f>
        <v/>
      </c>
      <c r="C1460" s="128"/>
      <c r="E1460" s="128" t="str">
        <f t="shared" si="1"/>
        <v/>
      </c>
    </row>
    <row r="1461">
      <c r="A1461" s="93" t="str">
        <f t="shared" si="2"/>
        <v>#15310</v>
      </c>
      <c r="B1461" s="93" t="str">
        <f>IF(AND(COUNTIF(MAIN!B:B, A1461)=0, IFERROR(SEARCH("return", C1461)&gt;0, FALSE)), "Rental Return", IF(COUNTIF(MAIN!B:B, A1461)=0, "Missing", ""))</f>
        <v/>
      </c>
      <c r="C1461" s="128"/>
      <c r="E1461" s="128" t="str">
        <f t="shared" si="1"/>
        <v/>
      </c>
    </row>
    <row r="1462">
      <c r="A1462" s="93" t="str">
        <f t="shared" si="2"/>
        <v>#15311</v>
      </c>
      <c r="B1462" s="93" t="str">
        <f>IF(AND(COUNTIF(MAIN!B:B, A1462)=0, IFERROR(SEARCH("return", C1462)&gt;0, FALSE)), "Rental Return", IF(COUNTIF(MAIN!B:B, A1462)=0, "Missing", ""))</f>
        <v/>
      </c>
      <c r="C1462" s="128"/>
      <c r="E1462" s="128" t="str">
        <f t="shared" si="1"/>
        <v/>
      </c>
    </row>
    <row r="1463">
      <c r="A1463" s="93" t="str">
        <f t="shared" si="2"/>
        <v>#15312</v>
      </c>
      <c r="B1463" s="93" t="str">
        <f>IF(AND(COUNTIF(MAIN!B:B, A1463)=0, IFERROR(SEARCH("return", C1463)&gt;0, FALSE)), "Rental Return", IF(COUNTIF(MAIN!B:B, A1463)=0, "Missing", ""))</f>
        <v/>
      </c>
      <c r="C1463" s="128"/>
      <c r="E1463" s="128" t="str">
        <f t="shared" si="1"/>
        <v/>
      </c>
    </row>
    <row r="1464">
      <c r="A1464" s="93" t="str">
        <f t="shared" si="2"/>
        <v>#15313</v>
      </c>
      <c r="B1464" s="93" t="str">
        <f>IF(AND(COUNTIF(MAIN!B:B, A1464)=0, IFERROR(SEARCH("return", C1464)&gt;0, FALSE)), "Rental Return", IF(COUNTIF(MAIN!B:B, A1464)=0, "Missing", ""))</f>
        <v/>
      </c>
      <c r="C1464" s="128"/>
      <c r="E1464" s="128" t="str">
        <f t="shared" si="1"/>
        <v/>
      </c>
    </row>
    <row r="1465">
      <c r="A1465" s="93" t="str">
        <f t="shared" si="2"/>
        <v>#15314</v>
      </c>
      <c r="B1465" s="93" t="str">
        <f>IF(AND(COUNTIF(MAIN!B:B, A1465)=0, IFERROR(SEARCH("return", C1465)&gt;0, FALSE)), "Rental Return", IF(COUNTIF(MAIN!B:B, A1465)=0, "Missing", ""))</f>
        <v/>
      </c>
      <c r="C1465" s="128"/>
      <c r="E1465" s="128" t="str">
        <f t="shared" si="1"/>
        <v/>
      </c>
    </row>
    <row r="1466">
      <c r="A1466" s="93" t="str">
        <f t="shared" si="2"/>
        <v>#15315</v>
      </c>
      <c r="B1466" s="93" t="str">
        <f>IF(AND(COUNTIF(MAIN!B:B, A1466)=0, IFERROR(SEARCH("return", C1466)&gt;0, FALSE)), "Rental Return", IF(COUNTIF(MAIN!B:B, A1466)=0, "Missing", ""))</f>
        <v/>
      </c>
      <c r="C1466" s="128"/>
      <c r="E1466" s="128" t="str">
        <f t="shared" si="1"/>
        <v/>
      </c>
    </row>
    <row r="1467">
      <c r="A1467" s="93" t="str">
        <f t="shared" si="2"/>
        <v>#15316</v>
      </c>
      <c r="B1467" s="93" t="str">
        <f>IF(AND(COUNTIF(MAIN!B:B, A1467)=0, IFERROR(SEARCH("return", C1467)&gt;0, FALSE)), "Rental Return", IF(COUNTIF(MAIN!B:B, A1467)=0, "Missing", ""))</f>
        <v/>
      </c>
      <c r="C1467" s="128"/>
      <c r="E1467" s="128" t="str">
        <f t="shared" si="1"/>
        <v/>
      </c>
    </row>
    <row r="1468">
      <c r="A1468" s="93" t="str">
        <f t="shared" si="2"/>
        <v>#15317</v>
      </c>
      <c r="B1468" s="93" t="str">
        <f>IF(AND(COUNTIF(MAIN!B:B, A1468)=0, IFERROR(SEARCH("return", C1468)&gt;0, FALSE)), "Rental Return", IF(COUNTIF(MAIN!B:B, A1468)=0, "Missing", ""))</f>
        <v/>
      </c>
      <c r="C1468" s="128"/>
      <c r="E1468" s="128" t="str">
        <f t="shared" si="1"/>
        <v/>
      </c>
    </row>
    <row r="1469">
      <c r="A1469" s="93" t="str">
        <f t="shared" si="2"/>
        <v>#15318</v>
      </c>
      <c r="B1469" s="93" t="str">
        <f>IF(AND(COUNTIF(MAIN!B:B, A1469)=0, IFERROR(SEARCH("return", C1469)&gt;0, FALSE)), "Rental Return", IF(COUNTIF(MAIN!B:B, A1469)=0, "Missing", ""))</f>
        <v/>
      </c>
      <c r="C1469" s="128"/>
      <c r="E1469" s="128" t="str">
        <f t="shared" si="1"/>
        <v/>
      </c>
    </row>
    <row r="1470">
      <c r="A1470" s="93" t="str">
        <f t="shared" si="2"/>
        <v>#15319</v>
      </c>
      <c r="B1470" s="93" t="str">
        <f>IF(AND(COUNTIF(MAIN!B:B, A1470)=0, IFERROR(SEARCH("return", C1470)&gt;0, FALSE)), "Rental Return", IF(COUNTIF(MAIN!B:B, A1470)=0, "Missing", ""))</f>
        <v/>
      </c>
      <c r="C1470" s="128"/>
      <c r="E1470" s="128" t="str">
        <f t="shared" si="1"/>
        <v/>
      </c>
    </row>
    <row r="1471">
      <c r="A1471" s="93" t="str">
        <f t="shared" si="2"/>
        <v>#15320</v>
      </c>
      <c r="B1471" s="93" t="str">
        <f>IF(AND(COUNTIF(MAIN!B:B, A1471)=0, IFERROR(SEARCH("return", C1471)&gt;0, FALSE)), "Rental Return", IF(COUNTIF(MAIN!B:B, A1471)=0, "Missing", ""))</f>
        <v/>
      </c>
      <c r="C1471" s="128"/>
      <c r="E1471" s="128" t="str">
        <f t="shared" si="1"/>
        <v/>
      </c>
    </row>
    <row r="1472">
      <c r="A1472" s="93" t="str">
        <f t="shared" si="2"/>
        <v>#15321</v>
      </c>
      <c r="B1472" s="93" t="str">
        <f>IF(AND(COUNTIF(MAIN!B:B, A1472)=0, IFERROR(SEARCH("return", C1472)&gt;0, FALSE)), "Rental Return", IF(COUNTIF(MAIN!B:B, A1472)=0, "Missing", ""))</f>
        <v/>
      </c>
      <c r="C1472" s="128"/>
      <c r="E1472" s="128" t="str">
        <f t="shared" si="1"/>
        <v/>
      </c>
    </row>
    <row r="1473">
      <c r="A1473" s="93" t="str">
        <f t="shared" si="2"/>
        <v>#15322</v>
      </c>
      <c r="B1473" s="93" t="str">
        <f>IF(AND(COUNTIF(MAIN!B:B, A1473)=0, IFERROR(SEARCH("return", C1473)&gt;0, FALSE)), "Rental Return", IF(COUNTIF(MAIN!B:B, A1473)=0, "Missing", ""))</f>
        <v/>
      </c>
      <c r="C1473" s="128"/>
      <c r="E1473" s="128" t="str">
        <f t="shared" si="1"/>
        <v/>
      </c>
    </row>
    <row r="1474">
      <c r="A1474" s="93" t="str">
        <f t="shared" si="2"/>
        <v>#15323</v>
      </c>
      <c r="B1474" s="93" t="str">
        <f>IF(AND(COUNTIF(MAIN!B:B, A1474)=0, IFERROR(SEARCH("return", C1474)&gt;0, FALSE)), "Rental Return", IF(COUNTIF(MAIN!B:B, A1474)=0, "Missing", ""))</f>
        <v/>
      </c>
      <c r="C1474" s="128"/>
      <c r="E1474" s="128" t="str">
        <f t="shared" si="1"/>
        <v/>
      </c>
    </row>
    <row r="1475">
      <c r="A1475" s="93" t="str">
        <f t="shared" si="2"/>
        <v>#15324</v>
      </c>
      <c r="B1475" s="93" t="str">
        <f>IF(AND(COUNTIF(MAIN!B:B, A1475)=0, IFERROR(SEARCH("return", C1475)&gt;0, FALSE)), "Rental Return", IF(COUNTIF(MAIN!B:B, A1475)=0, "Missing", ""))</f>
        <v/>
      </c>
      <c r="C1475" s="128"/>
      <c r="E1475" s="128" t="str">
        <f t="shared" si="1"/>
        <v/>
      </c>
    </row>
    <row r="1476">
      <c r="A1476" s="93" t="str">
        <f t="shared" si="2"/>
        <v>#15325</v>
      </c>
      <c r="B1476" s="93" t="str">
        <f>IF(AND(COUNTIF(MAIN!B:B, A1476)=0, IFERROR(SEARCH("return", C1476)&gt;0, FALSE)), "Rental Return", IF(COUNTIF(MAIN!B:B, A1476)=0, "Missing", ""))</f>
        <v/>
      </c>
      <c r="C1476" s="128"/>
      <c r="E1476" s="128" t="str">
        <f t="shared" si="1"/>
        <v/>
      </c>
    </row>
    <row r="1477">
      <c r="A1477" s="93" t="str">
        <f t="shared" si="2"/>
        <v>#15326</v>
      </c>
      <c r="B1477" s="93" t="str">
        <f>IF(AND(COUNTIF(MAIN!B:B, A1477)=0, IFERROR(SEARCH("return", C1477)&gt;0, FALSE)), "Rental Return", IF(COUNTIF(MAIN!B:B, A1477)=0, "Missing", ""))</f>
        <v/>
      </c>
      <c r="C1477" s="128"/>
      <c r="E1477" s="128" t="str">
        <f t="shared" si="1"/>
        <v/>
      </c>
    </row>
    <row r="1478">
      <c r="A1478" s="93" t="str">
        <f t="shared" si="2"/>
        <v>#15327</v>
      </c>
      <c r="B1478" s="93" t="str">
        <f>IF(AND(COUNTIF(MAIN!B:B, A1478)=0, IFERROR(SEARCH("return", C1478)&gt;0, FALSE)), "Rental Return", IF(COUNTIF(MAIN!B:B, A1478)=0, "Missing", ""))</f>
        <v/>
      </c>
      <c r="C1478" s="128"/>
      <c r="E1478" s="128" t="str">
        <f t="shared" si="1"/>
        <v/>
      </c>
    </row>
    <row r="1479">
      <c r="A1479" s="93" t="str">
        <f t="shared" si="2"/>
        <v>#15328</v>
      </c>
      <c r="B1479" s="93" t="str">
        <f>IF(AND(COUNTIF(MAIN!B:B, A1479)=0, IFERROR(SEARCH("return", C1479)&gt;0, FALSE)), "Rental Return", IF(COUNTIF(MAIN!B:B, A1479)=0, "Missing", ""))</f>
        <v/>
      </c>
      <c r="C1479" s="128"/>
      <c r="E1479" s="128" t="str">
        <f t="shared" si="1"/>
        <v/>
      </c>
    </row>
    <row r="1480">
      <c r="A1480" s="93" t="str">
        <f t="shared" si="2"/>
        <v>#15329</v>
      </c>
      <c r="B1480" s="93" t="str">
        <f>IF(AND(COUNTIF(MAIN!B:B, A1480)=0, IFERROR(SEARCH("return", C1480)&gt;0, FALSE)), "Rental Return", IF(COUNTIF(MAIN!B:B, A1480)=0, "Missing", ""))</f>
        <v/>
      </c>
      <c r="C1480" s="128"/>
      <c r="E1480" s="128" t="str">
        <f t="shared" si="1"/>
        <v/>
      </c>
    </row>
    <row r="1481">
      <c r="A1481" s="93" t="str">
        <f t="shared" si="2"/>
        <v>#15330</v>
      </c>
      <c r="B1481" s="93" t="str">
        <f>IF(AND(COUNTIF(MAIN!B:B, A1481)=0, IFERROR(SEARCH("return", C1481)&gt;0, FALSE)), "Rental Return", IF(COUNTIF(MAIN!B:B, A1481)=0, "Missing", ""))</f>
        <v/>
      </c>
      <c r="C1481" s="128"/>
      <c r="E1481" s="128" t="str">
        <f t="shared" si="1"/>
        <v/>
      </c>
    </row>
    <row r="1482">
      <c r="A1482" s="93" t="str">
        <f t="shared" si="2"/>
        <v>#15331</v>
      </c>
      <c r="B1482" s="93" t="str">
        <f>IF(AND(COUNTIF(MAIN!B:B, A1482)=0, IFERROR(SEARCH("return", C1482)&gt;0, FALSE)), "Rental Return", IF(COUNTIF(MAIN!B:B, A1482)=0, "Missing", ""))</f>
        <v/>
      </c>
      <c r="C1482" s="128"/>
      <c r="E1482" s="128" t="str">
        <f t="shared" si="1"/>
        <v/>
      </c>
    </row>
    <row r="1483">
      <c r="A1483" s="93" t="str">
        <f t="shared" si="2"/>
        <v>#15332</v>
      </c>
      <c r="B1483" s="93" t="str">
        <f>IF(AND(COUNTIF(MAIN!B:B, A1483)=0, IFERROR(SEARCH("return", C1483)&gt;0, FALSE)), "Rental Return", IF(COUNTIF(MAIN!B:B, A1483)=0, "Missing", ""))</f>
        <v/>
      </c>
      <c r="C1483" s="128"/>
      <c r="E1483" s="128" t="str">
        <f t="shared" si="1"/>
        <v/>
      </c>
    </row>
    <row r="1484">
      <c r="A1484" s="93" t="str">
        <f t="shared" si="2"/>
        <v>#15333</v>
      </c>
      <c r="B1484" s="93" t="str">
        <f>IF(AND(COUNTIF(MAIN!B:B, A1484)=0, IFERROR(SEARCH("return", C1484)&gt;0, FALSE)), "Rental Return", IF(COUNTIF(MAIN!B:B, A1484)=0, "Missing", ""))</f>
        <v/>
      </c>
      <c r="C1484" s="128"/>
      <c r="E1484" s="128" t="str">
        <f t="shared" si="1"/>
        <v/>
      </c>
    </row>
    <row r="1485">
      <c r="A1485" s="93" t="str">
        <f t="shared" si="2"/>
        <v>#15334</v>
      </c>
      <c r="B1485" s="93" t="str">
        <f>IF(AND(COUNTIF(MAIN!B:B, A1485)=0, IFERROR(SEARCH("return", C1485)&gt;0, FALSE)), "Rental Return", IF(COUNTIF(MAIN!B:B, A1485)=0, "Missing", ""))</f>
        <v/>
      </c>
      <c r="C1485" s="128"/>
      <c r="E1485" s="128" t="str">
        <f t="shared" si="1"/>
        <v/>
      </c>
    </row>
    <row r="1486">
      <c r="A1486" s="93" t="str">
        <f t="shared" si="2"/>
        <v>#15335</v>
      </c>
      <c r="B1486" s="93" t="str">
        <f>IF(AND(COUNTIF(MAIN!B:B, A1486)=0, IFERROR(SEARCH("return", C1486)&gt;0, FALSE)), "Rental Return", IF(COUNTIF(MAIN!B:B, A1486)=0, "Missing", ""))</f>
        <v/>
      </c>
      <c r="C1486" s="128"/>
      <c r="E1486" s="128" t="str">
        <f t="shared" si="1"/>
        <v/>
      </c>
    </row>
    <row r="1487">
      <c r="A1487" s="93" t="str">
        <f t="shared" si="2"/>
        <v>#15336</v>
      </c>
      <c r="B1487" s="93" t="str">
        <f>IF(AND(COUNTIF(MAIN!B:B, A1487)=0, IFERROR(SEARCH("return", C1487)&gt;0, FALSE)), "Rental Return", IF(COUNTIF(MAIN!B:B, A1487)=0, "Missing", ""))</f>
        <v/>
      </c>
      <c r="C1487" s="128"/>
      <c r="E1487" s="128" t="str">
        <f t="shared" si="1"/>
        <v/>
      </c>
    </row>
    <row r="1488">
      <c r="A1488" s="93" t="str">
        <f t="shared" si="2"/>
        <v>#15337</v>
      </c>
      <c r="B1488" s="93" t="str">
        <f>IF(AND(COUNTIF(MAIN!B:B, A1488)=0, IFERROR(SEARCH("return", C1488)&gt;0, FALSE)), "Rental Return", IF(COUNTIF(MAIN!B:B, A1488)=0, "Missing", ""))</f>
        <v/>
      </c>
      <c r="C1488" s="128"/>
      <c r="E1488" s="128" t="str">
        <f t="shared" si="1"/>
        <v/>
      </c>
    </row>
    <row r="1489">
      <c r="A1489" s="93" t="str">
        <f t="shared" si="2"/>
        <v>#15338</v>
      </c>
      <c r="B1489" s="93" t="str">
        <f>IF(AND(COUNTIF(MAIN!B:B, A1489)=0, IFERROR(SEARCH("return", C1489)&gt;0, FALSE)), "Rental Return", IF(COUNTIF(MAIN!B:B, A1489)=0, "Missing", ""))</f>
        <v/>
      </c>
      <c r="C1489" s="128"/>
      <c r="E1489" s="128" t="str">
        <f t="shared" si="1"/>
        <v/>
      </c>
    </row>
    <row r="1490">
      <c r="A1490" s="93" t="str">
        <f t="shared" si="2"/>
        <v>#15339</v>
      </c>
      <c r="B1490" s="93" t="str">
        <f>IF(AND(COUNTIF(MAIN!B:B, A1490)=0, IFERROR(SEARCH("return", C1490)&gt;0, FALSE)), "Rental Return", IF(COUNTIF(MAIN!B:B, A1490)=0, "Missing", ""))</f>
        <v/>
      </c>
      <c r="C1490" s="128"/>
      <c r="E1490" s="128" t="str">
        <f t="shared" si="1"/>
        <v/>
      </c>
    </row>
    <row r="1491">
      <c r="A1491" s="93" t="str">
        <f t="shared" si="2"/>
        <v>#15340</v>
      </c>
      <c r="B1491" s="93" t="str">
        <f>IF(AND(COUNTIF(MAIN!B:B, A1491)=0, IFERROR(SEARCH("return", C1491)&gt;0, FALSE)), "Rental Return", IF(COUNTIF(MAIN!B:B, A1491)=0, "Missing", ""))</f>
        <v/>
      </c>
      <c r="C1491" s="128"/>
      <c r="E1491" s="128" t="str">
        <f t="shared" si="1"/>
        <v/>
      </c>
    </row>
    <row r="1492">
      <c r="A1492" s="93" t="str">
        <f t="shared" si="2"/>
        <v>#15341</v>
      </c>
      <c r="B1492" s="93" t="str">
        <f>IF(AND(COUNTIF(MAIN!B:B, A1492)=0, IFERROR(SEARCH("return", C1492)&gt;0, FALSE)), "Rental Return", IF(COUNTIF(MAIN!B:B, A1492)=0, "Missing", ""))</f>
        <v/>
      </c>
      <c r="C1492" s="128"/>
      <c r="E1492" s="128" t="str">
        <f t="shared" si="1"/>
        <v/>
      </c>
    </row>
    <row r="1493">
      <c r="A1493" s="93" t="str">
        <f t="shared" si="2"/>
        <v>#15342</v>
      </c>
      <c r="B1493" s="93" t="str">
        <f>IF(AND(COUNTIF(MAIN!B:B, A1493)=0, IFERROR(SEARCH("return", C1493)&gt;0, FALSE)), "Rental Return", IF(COUNTIF(MAIN!B:B, A1493)=0, "Missing", ""))</f>
        <v/>
      </c>
      <c r="C1493" s="128"/>
      <c r="E1493" s="128" t="str">
        <f t="shared" si="1"/>
        <v/>
      </c>
    </row>
    <row r="1494">
      <c r="A1494" s="93" t="str">
        <f t="shared" si="2"/>
        <v>#15343</v>
      </c>
      <c r="B1494" s="93" t="str">
        <f>IF(AND(COUNTIF(MAIN!B:B, A1494)=0, IFERROR(SEARCH("return", C1494)&gt;0, FALSE)), "Rental Return", IF(COUNTIF(MAIN!B:B, A1494)=0, "Missing", ""))</f>
        <v/>
      </c>
      <c r="C1494" s="128"/>
      <c r="E1494" s="128" t="str">
        <f t="shared" si="1"/>
        <v/>
      </c>
    </row>
    <row r="1495">
      <c r="A1495" s="93" t="str">
        <f t="shared" si="2"/>
        <v>#15344</v>
      </c>
      <c r="B1495" s="93" t="str">
        <f>IF(AND(COUNTIF(MAIN!B:B, A1495)=0, IFERROR(SEARCH("return", C1495)&gt;0, FALSE)), "Rental Return", IF(COUNTIF(MAIN!B:B, A1495)=0, "Missing", ""))</f>
        <v/>
      </c>
      <c r="C1495" s="128"/>
      <c r="E1495" s="128" t="str">
        <f t="shared" si="1"/>
        <v/>
      </c>
    </row>
    <row r="1496">
      <c r="A1496" s="93" t="str">
        <f t="shared" si="2"/>
        <v>#15345</v>
      </c>
      <c r="B1496" s="93" t="str">
        <f>IF(AND(COUNTIF(MAIN!B:B, A1496)=0, IFERROR(SEARCH("return", C1496)&gt;0, FALSE)), "Rental Return", IF(COUNTIF(MAIN!B:B, A1496)=0, "Missing", ""))</f>
        <v/>
      </c>
      <c r="C1496" s="128"/>
      <c r="E1496" s="128" t="str">
        <f t="shared" si="1"/>
        <v/>
      </c>
    </row>
    <row r="1497">
      <c r="A1497" s="93" t="str">
        <f t="shared" si="2"/>
        <v>#15346</v>
      </c>
      <c r="B1497" s="93" t="str">
        <f>IF(AND(COUNTIF(MAIN!B:B, A1497)=0, IFERROR(SEARCH("return", C1497)&gt;0, FALSE)), "Rental Return", IF(COUNTIF(MAIN!B:B, A1497)=0, "Missing", ""))</f>
        <v/>
      </c>
      <c r="C1497" s="128"/>
      <c r="E1497" s="128" t="str">
        <f t="shared" si="1"/>
        <v/>
      </c>
    </row>
    <row r="1498">
      <c r="A1498" s="93" t="str">
        <f t="shared" si="2"/>
        <v>#15347</v>
      </c>
      <c r="B1498" s="93" t="str">
        <f>IF(AND(COUNTIF(MAIN!B:B, A1498)=0, IFERROR(SEARCH("return", C1498)&gt;0, FALSE)), "Rental Return", IF(COUNTIF(MAIN!B:B, A1498)=0, "Missing", ""))</f>
        <v/>
      </c>
      <c r="C1498" s="128"/>
      <c r="E1498" s="128" t="str">
        <f t="shared" si="1"/>
        <v/>
      </c>
    </row>
    <row r="1499">
      <c r="A1499" s="93" t="str">
        <f t="shared" si="2"/>
        <v>#15348</v>
      </c>
      <c r="B1499" s="93" t="str">
        <f>IF(AND(COUNTIF(MAIN!B:B, A1499)=0, IFERROR(SEARCH("return", C1499)&gt;0, FALSE)), "Rental Return", IF(COUNTIF(MAIN!B:B, A1499)=0, "Missing", ""))</f>
        <v/>
      </c>
      <c r="C1499" s="128"/>
      <c r="E1499" s="128" t="str">
        <f t="shared" si="1"/>
        <v/>
      </c>
    </row>
    <row r="1500">
      <c r="A1500" s="93" t="str">
        <f t="shared" si="2"/>
        <v>#15349</v>
      </c>
      <c r="B1500" s="93" t="str">
        <f>IF(AND(COUNTIF(MAIN!B:B, A1500)=0, IFERROR(SEARCH("return", C1500)&gt;0, FALSE)), "Rental Return", IF(COUNTIF(MAIN!B:B, A1500)=0, "Missing", ""))</f>
        <v/>
      </c>
      <c r="C1500" s="128"/>
      <c r="E1500" s="128" t="str">
        <f t="shared" si="1"/>
        <v/>
      </c>
    </row>
    <row r="1501">
      <c r="A1501" s="93" t="str">
        <f t="shared" si="2"/>
        <v>#15350</v>
      </c>
      <c r="B1501" s="93" t="str">
        <f>IF(AND(COUNTIF(MAIN!B:B, A1501)=0, IFERROR(SEARCH("return", C1501)&gt;0, FALSE)), "Rental Return", IF(COUNTIF(MAIN!B:B, A1501)=0, "Missing", ""))</f>
        <v/>
      </c>
      <c r="C1501" s="128"/>
      <c r="E1501" s="128" t="str">
        <f t="shared" si="1"/>
        <v/>
      </c>
    </row>
    <row r="1502">
      <c r="A1502" s="93" t="str">
        <f t="shared" si="2"/>
        <v>#15351</v>
      </c>
      <c r="B1502" s="93" t="str">
        <f>IF(AND(COUNTIF(MAIN!B:B, A1502)=0, IFERROR(SEARCH("return", C1502)&gt;0, FALSE)), "Rental Return", IF(COUNTIF(MAIN!B:B, A1502)=0, "Missing", ""))</f>
        <v/>
      </c>
      <c r="C1502" s="128"/>
      <c r="E1502" s="128" t="str">
        <f t="shared" si="1"/>
        <v/>
      </c>
    </row>
    <row r="1503">
      <c r="A1503" s="93" t="str">
        <f t="shared" si="2"/>
        <v>#15352</v>
      </c>
      <c r="B1503" s="93" t="str">
        <f>IF(AND(COUNTIF(MAIN!B:B, A1503)=0, IFERROR(SEARCH("return", C1503)&gt;0, FALSE)), "Rental Return", IF(COUNTIF(MAIN!B:B, A1503)=0, "Missing", ""))</f>
        <v/>
      </c>
      <c r="C1503" s="128"/>
      <c r="E1503" s="128" t="str">
        <f t="shared" si="1"/>
        <v/>
      </c>
    </row>
    <row r="1504">
      <c r="A1504" s="93" t="str">
        <f t="shared" si="2"/>
        <v>#15353</v>
      </c>
      <c r="B1504" s="93" t="str">
        <f>IF(AND(COUNTIF(MAIN!B:B, A1504)=0, IFERROR(SEARCH("return", C1504)&gt;0, FALSE)), "Rental Return", IF(COUNTIF(MAIN!B:B, A1504)=0, "Missing", ""))</f>
        <v/>
      </c>
      <c r="C1504" s="128"/>
      <c r="E1504" s="128" t="str">
        <f t="shared" si="1"/>
        <v/>
      </c>
    </row>
    <row r="1505">
      <c r="A1505" s="93" t="str">
        <f t="shared" si="2"/>
        <v>#15354</v>
      </c>
      <c r="B1505" s="93" t="str">
        <f>IF(AND(COUNTIF(MAIN!B:B, A1505)=0, IFERROR(SEARCH("return", C1505)&gt;0, FALSE)), "Rental Return", IF(COUNTIF(MAIN!B:B, A1505)=0, "Missing", ""))</f>
        <v/>
      </c>
      <c r="C1505" s="128"/>
      <c r="E1505" s="128" t="str">
        <f t="shared" si="1"/>
        <v/>
      </c>
    </row>
    <row r="1506">
      <c r="A1506" s="93" t="str">
        <f t="shared" si="2"/>
        <v>#15355</v>
      </c>
      <c r="B1506" s="93" t="str">
        <f>IF(AND(COUNTIF(MAIN!B:B, A1506)=0, IFERROR(SEARCH("return", C1506)&gt;0, FALSE)), "Rental Return", IF(COUNTIF(MAIN!B:B, A1506)=0, "Missing", ""))</f>
        <v/>
      </c>
      <c r="C1506" s="128"/>
      <c r="E1506" s="128" t="str">
        <f t="shared" si="1"/>
        <v/>
      </c>
    </row>
    <row r="1507">
      <c r="A1507" s="93" t="str">
        <f t="shared" si="2"/>
        <v>#15356</v>
      </c>
      <c r="B1507" s="93" t="str">
        <f>IF(AND(COUNTIF(MAIN!B:B, A1507)=0, IFERROR(SEARCH("return", C1507)&gt;0, FALSE)), "Rental Return", IF(COUNTIF(MAIN!B:B, A1507)=0, "Missing", ""))</f>
        <v/>
      </c>
      <c r="C1507" s="128"/>
      <c r="E1507" s="128" t="str">
        <f t="shared" si="1"/>
        <v/>
      </c>
    </row>
    <row r="1508">
      <c r="A1508" s="93" t="str">
        <f t="shared" si="2"/>
        <v>#15357</v>
      </c>
      <c r="B1508" s="93" t="str">
        <f>IF(AND(COUNTIF(MAIN!B:B, A1508)=0, IFERROR(SEARCH("return", C1508)&gt;0, FALSE)), "Rental Return", IF(COUNTIF(MAIN!B:B, A1508)=0, "Missing", ""))</f>
        <v/>
      </c>
      <c r="C1508" s="128"/>
      <c r="E1508" s="128" t="str">
        <f t="shared" si="1"/>
        <v/>
      </c>
    </row>
    <row r="1509">
      <c r="A1509" s="93" t="str">
        <f t="shared" si="2"/>
        <v>#15358</v>
      </c>
      <c r="B1509" s="93" t="str">
        <f>IF(AND(COUNTIF(MAIN!B:B, A1509)=0, IFERROR(SEARCH("return", C1509)&gt;0, FALSE)), "Rental Return", IF(COUNTIF(MAIN!B:B, A1509)=0, "Missing", ""))</f>
        <v/>
      </c>
      <c r="C1509" s="128"/>
      <c r="E1509" s="128" t="str">
        <f t="shared" si="1"/>
        <v/>
      </c>
    </row>
    <row r="1510">
      <c r="A1510" s="93" t="str">
        <f t="shared" si="2"/>
        <v>#15359</v>
      </c>
      <c r="B1510" s="93" t="str">
        <f>IF(AND(COUNTIF(MAIN!B:B, A1510)=0, IFERROR(SEARCH("return", C1510)&gt;0, FALSE)), "Rental Return", IF(COUNTIF(MAIN!B:B, A1510)=0, "Missing", ""))</f>
        <v/>
      </c>
      <c r="C1510" s="128"/>
      <c r="E1510" s="128" t="str">
        <f t="shared" si="1"/>
        <v/>
      </c>
    </row>
    <row r="1511">
      <c r="A1511" s="93" t="str">
        <f t="shared" si="2"/>
        <v>#15360</v>
      </c>
      <c r="B1511" s="93" t="str">
        <f>IF(AND(COUNTIF(MAIN!B:B, A1511)=0, IFERROR(SEARCH("return", C1511)&gt;0, FALSE)), "Rental Return", IF(COUNTIF(MAIN!B:B, A1511)=0, "Missing", ""))</f>
        <v/>
      </c>
      <c r="C1511" s="128"/>
      <c r="E1511" s="128" t="str">
        <f t="shared" si="1"/>
        <v/>
      </c>
    </row>
    <row r="1512">
      <c r="A1512" s="93" t="str">
        <f t="shared" si="2"/>
        <v>#15361</v>
      </c>
      <c r="B1512" s="93" t="str">
        <f>IF(AND(COUNTIF(MAIN!B:B, A1512)=0, IFERROR(SEARCH("return", C1512)&gt;0, FALSE)), "Rental Return", IF(COUNTIF(MAIN!B:B, A1512)=0, "Missing", ""))</f>
        <v/>
      </c>
      <c r="C1512" s="128"/>
      <c r="E1512" s="128" t="str">
        <f t="shared" si="1"/>
        <v/>
      </c>
    </row>
    <row r="1513">
      <c r="A1513" s="93" t="str">
        <f t="shared" si="2"/>
        <v>#15362</v>
      </c>
      <c r="B1513" s="93" t="str">
        <f>IF(AND(COUNTIF(MAIN!B:B, A1513)=0, IFERROR(SEARCH("return", C1513)&gt;0, FALSE)), "Rental Return", IF(COUNTIF(MAIN!B:B, A1513)=0, "Missing", ""))</f>
        <v/>
      </c>
      <c r="C1513" s="128"/>
      <c r="E1513" s="128" t="str">
        <f t="shared" si="1"/>
        <v/>
      </c>
    </row>
    <row r="1514">
      <c r="A1514" s="93" t="str">
        <f t="shared" si="2"/>
        <v>#15363</v>
      </c>
      <c r="B1514" s="93" t="str">
        <f>IF(AND(COUNTIF(MAIN!B:B, A1514)=0, IFERROR(SEARCH("return", C1514)&gt;0, FALSE)), "Rental Return", IF(COUNTIF(MAIN!B:B, A1514)=0, "Missing", ""))</f>
        <v/>
      </c>
      <c r="C1514" s="128"/>
      <c r="E1514" s="128" t="str">
        <f t="shared" si="1"/>
        <v/>
      </c>
    </row>
    <row r="1515">
      <c r="A1515" s="93" t="str">
        <f t="shared" si="2"/>
        <v>#15364</v>
      </c>
      <c r="B1515" s="93" t="str">
        <f>IF(AND(COUNTIF(MAIN!B:B, A1515)=0, IFERROR(SEARCH("return", C1515)&gt;0, FALSE)), "Rental Return", IF(COUNTIF(MAIN!B:B, A1515)=0, "Missing", ""))</f>
        <v/>
      </c>
      <c r="C1515" s="128"/>
      <c r="E1515" s="128" t="str">
        <f t="shared" si="1"/>
        <v/>
      </c>
    </row>
    <row r="1516">
      <c r="A1516" s="93" t="str">
        <f t="shared" si="2"/>
        <v>#15365</v>
      </c>
      <c r="B1516" s="93" t="str">
        <f>IF(AND(COUNTIF(MAIN!B:B, A1516)=0, IFERROR(SEARCH("return", C1516)&gt;0, FALSE)), "Rental Return", IF(COUNTIF(MAIN!B:B, A1516)=0, "Missing", ""))</f>
        <v/>
      </c>
      <c r="C1516" s="128"/>
      <c r="E1516" s="128" t="str">
        <f t="shared" si="1"/>
        <v/>
      </c>
    </row>
    <row r="1517">
      <c r="A1517" s="93" t="str">
        <f t="shared" si="2"/>
        <v>#15366</v>
      </c>
      <c r="B1517" s="93" t="str">
        <f>IF(AND(COUNTIF(MAIN!B:B, A1517)=0, IFERROR(SEARCH("return", C1517)&gt;0, FALSE)), "Rental Return", IF(COUNTIF(MAIN!B:B, A1517)=0, "Missing", ""))</f>
        <v>Missing</v>
      </c>
      <c r="C1517" s="133" t="s">
        <v>15228</v>
      </c>
      <c r="E1517" s="131" t="str">
        <f t="shared" si="1"/>
        <v>https://utrucking.myshopify.com/admin/orders?query=15366</v>
      </c>
    </row>
    <row r="1518">
      <c r="A1518" s="93" t="str">
        <f t="shared" si="2"/>
        <v>#15367</v>
      </c>
      <c r="B1518" s="93" t="str">
        <f>IF(AND(COUNTIF(MAIN!B:B, A1518)=0, IFERROR(SEARCH("return", C1518)&gt;0, FALSE)), "Rental Return", IF(COUNTIF(MAIN!B:B, A1518)=0, "Missing", ""))</f>
        <v/>
      </c>
      <c r="C1518" s="128"/>
      <c r="E1518" s="128" t="str">
        <f t="shared" si="1"/>
        <v/>
      </c>
    </row>
    <row r="1519">
      <c r="A1519" s="93" t="str">
        <f t="shared" si="2"/>
        <v>#15368</v>
      </c>
      <c r="B1519" s="93" t="str">
        <f>IF(AND(COUNTIF(MAIN!B:B, A1519)=0, IFERROR(SEARCH("return", C1519)&gt;0, FALSE)), "Rental Return", IF(COUNTIF(MAIN!B:B, A1519)=0, "Missing", ""))</f>
        <v/>
      </c>
      <c r="C1519" s="128"/>
      <c r="E1519" s="128" t="str">
        <f t="shared" si="1"/>
        <v/>
      </c>
    </row>
    <row r="1520">
      <c r="A1520" s="93" t="str">
        <f t="shared" si="2"/>
        <v>#15369</v>
      </c>
      <c r="B1520" s="93" t="str">
        <f>IF(AND(COUNTIF(MAIN!B:B, A1520)=0, IFERROR(SEARCH("return", C1520)&gt;0, FALSE)), "Rental Return", IF(COUNTIF(MAIN!B:B, A1520)=0, "Missing", ""))</f>
        <v/>
      </c>
      <c r="C1520" s="128"/>
      <c r="E1520" s="128" t="str">
        <f t="shared" si="1"/>
        <v/>
      </c>
    </row>
    <row r="1521">
      <c r="A1521" s="93" t="str">
        <f t="shared" si="2"/>
        <v>#15370</v>
      </c>
      <c r="B1521" s="93" t="str">
        <f>IF(AND(COUNTIF(MAIN!B:B, A1521)=0, IFERROR(SEARCH("return", C1521)&gt;0, FALSE)), "Rental Return", IF(COUNTIF(MAIN!B:B, A1521)=0, "Missing", ""))</f>
        <v/>
      </c>
      <c r="C1521" s="128"/>
      <c r="E1521" s="128" t="str">
        <f t="shared" si="1"/>
        <v/>
      </c>
    </row>
    <row r="1522">
      <c r="A1522" s="93" t="str">
        <f t="shared" si="2"/>
        <v>#15371</v>
      </c>
      <c r="B1522" s="93" t="str">
        <f>IF(AND(COUNTIF(MAIN!B:B, A1522)=0, IFERROR(SEARCH("return", C1522)&gt;0, FALSE)), "Rental Return", IF(COUNTIF(MAIN!B:B, A1522)=0, "Missing", ""))</f>
        <v/>
      </c>
      <c r="C1522" s="128"/>
      <c r="E1522" s="128" t="str">
        <f t="shared" si="1"/>
        <v/>
      </c>
    </row>
    <row r="1523">
      <c r="A1523" s="93" t="str">
        <f t="shared" si="2"/>
        <v>#15372</v>
      </c>
      <c r="B1523" s="93" t="str">
        <f>IF(AND(COUNTIF(MAIN!B:B, A1523)=0, IFERROR(SEARCH("return", C1523)&gt;0, FALSE)), "Rental Return", IF(COUNTIF(MAIN!B:B, A1523)=0, "Missing", ""))</f>
        <v/>
      </c>
      <c r="C1523" s="128"/>
      <c r="E1523" s="128" t="str">
        <f t="shared" si="1"/>
        <v/>
      </c>
    </row>
    <row r="1524">
      <c r="A1524" s="93" t="str">
        <f t="shared" si="2"/>
        <v>#15373</v>
      </c>
      <c r="B1524" s="93" t="str">
        <f>IF(AND(COUNTIF(MAIN!B:B, A1524)=0, IFERROR(SEARCH("return", C1524)&gt;0, FALSE)), "Rental Return", IF(COUNTIF(MAIN!B:B, A1524)=0, "Missing", ""))</f>
        <v/>
      </c>
      <c r="C1524" s="128"/>
      <c r="E1524" s="128" t="str">
        <f t="shared" si="1"/>
        <v/>
      </c>
    </row>
    <row r="1525">
      <c r="A1525" s="93" t="str">
        <f t="shared" si="2"/>
        <v>#15374</v>
      </c>
      <c r="B1525" s="93" t="str">
        <f>IF(AND(COUNTIF(MAIN!B:B, A1525)=0, IFERROR(SEARCH("return", C1525)&gt;0, FALSE)), "Rental Return", IF(COUNTIF(MAIN!B:B, A1525)=0, "Missing", ""))</f>
        <v/>
      </c>
      <c r="C1525" s="128"/>
      <c r="E1525" s="128" t="str">
        <f t="shared" si="1"/>
        <v/>
      </c>
    </row>
    <row r="1526">
      <c r="A1526" s="93" t="str">
        <f t="shared" si="2"/>
        <v>#15375</v>
      </c>
      <c r="B1526" s="93" t="str">
        <f>IF(AND(COUNTIF(MAIN!B:B, A1526)=0, IFERROR(SEARCH("return", C1526)&gt;0, FALSE)), "Rental Return", IF(COUNTIF(MAIN!B:B, A1526)=0, "Missing", ""))</f>
        <v/>
      </c>
      <c r="C1526" s="128"/>
      <c r="E1526" s="128" t="str">
        <f t="shared" si="1"/>
        <v/>
      </c>
    </row>
    <row r="1527">
      <c r="A1527" s="93" t="str">
        <f t="shared" si="2"/>
        <v>#15376</v>
      </c>
      <c r="B1527" s="93" t="str">
        <f>IF(AND(COUNTIF(MAIN!B:B, A1527)=0, IFERROR(SEARCH("return", C1527)&gt;0, FALSE)), "Rental Return", IF(COUNTIF(MAIN!B:B, A1527)=0, "Missing", ""))</f>
        <v/>
      </c>
      <c r="C1527" s="128"/>
      <c r="E1527" s="128" t="str">
        <f t="shared" si="1"/>
        <v/>
      </c>
    </row>
    <row r="1528">
      <c r="A1528" s="93" t="str">
        <f t="shared" si="2"/>
        <v>#15377</v>
      </c>
      <c r="B1528" s="93" t="str">
        <f>IF(AND(COUNTIF(MAIN!B:B, A1528)=0, IFERROR(SEARCH("return", C1528)&gt;0, FALSE)), "Rental Return", IF(COUNTIF(MAIN!B:B, A1528)=0, "Missing", ""))</f>
        <v/>
      </c>
      <c r="C1528" s="128"/>
      <c r="E1528" s="128" t="str">
        <f t="shared" si="1"/>
        <v/>
      </c>
    </row>
    <row r="1529">
      <c r="A1529" s="93" t="str">
        <f t="shared" si="2"/>
        <v>#15378</v>
      </c>
      <c r="B1529" s="93" t="str">
        <f>IF(AND(COUNTIF(MAIN!B:B, A1529)=0, IFERROR(SEARCH("return", C1529)&gt;0, FALSE)), "Rental Return", IF(COUNTIF(MAIN!B:B, A1529)=0, "Missing", ""))</f>
        <v/>
      </c>
      <c r="C1529" s="128"/>
      <c r="E1529" s="128" t="str">
        <f t="shared" si="1"/>
        <v/>
      </c>
    </row>
    <row r="1530">
      <c r="A1530" s="93" t="str">
        <f t="shared" si="2"/>
        <v>#15379</v>
      </c>
      <c r="B1530" s="93" t="str">
        <f>IF(AND(COUNTIF(MAIN!B:B, A1530)=0, IFERROR(SEARCH("return", C1530)&gt;0, FALSE)), "Rental Return", IF(COUNTIF(MAIN!B:B, A1530)=0, "Missing", ""))</f>
        <v/>
      </c>
      <c r="C1530" s="128"/>
      <c r="E1530" s="128" t="str">
        <f t="shared" si="1"/>
        <v/>
      </c>
    </row>
    <row r="1531">
      <c r="A1531" s="93" t="str">
        <f t="shared" si="2"/>
        <v>#15380</v>
      </c>
      <c r="B1531" s="93" t="str">
        <f>IF(AND(COUNTIF(MAIN!B:B, A1531)=0, IFERROR(SEARCH("return", C1531)&gt;0, FALSE)), "Rental Return", IF(COUNTIF(MAIN!B:B, A1531)=0, "Missing", ""))</f>
        <v/>
      </c>
      <c r="C1531" s="128"/>
      <c r="E1531" s="128" t="str">
        <f t="shared" si="1"/>
        <v/>
      </c>
    </row>
    <row r="1532">
      <c r="A1532" s="93" t="str">
        <f t="shared" si="2"/>
        <v>#15381</v>
      </c>
      <c r="B1532" s="93" t="str">
        <f>IF(AND(COUNTIF(MAIN!B:B, A1532)=0, IFERROR(SEARCH("return", C1532)&gt;0, FALSE)), "Rental Return", IF(COUNTIF(MAIN!B:B, A1532)=0, "Missing", ""))</f>
        <v/>
      </c>
      <c r="C1532" s="128"/>
      <c r="E1532" s="128" t="str">
        <f t="shared" si="1"/>
        <v/>
      </c>
    </row>
    <row r="1533">
      <c r="A1533" s="93" t="str">
        <f t="shared" si="2"/>
        <v>#15382</v>
      </c>
      <c r="B1533" s="93" t="str">
        <f>IF(AND(COUNTIF(MAIN!B:B, A1533)=0, IFERROR(SEARCH("return", C1533)&gt;0, FALSE)), "Rental Return", IF(COUNTIF(MAIN!B:B, A1533)=0, "Missing", ""))</f>
        <v/>
      </c>
      <c r="C1533" s="128"/>
      <c r="E1533" s="128" t="str">
        <f t="shared" si="1"/>
        <v/>
      </c>
    </row>
    <row r="1534">
      <c r="A1534" s="93" t="str">
        <f t="shared" si="2"/>
        <v>#15383</v>
      </c>
      <c r="B1534" s="93" t="str">
        <f>IF(AND(COUNTIF(MAIN!B:B, A1534)=0, IFERROR(SEARCH("return", C1534)&gt;0, FALSE)), "Rental Return", IF(COUNTIF(MAIN!B:B, A1534)=0, "Missing", ""))</f>
        <v/>
      </c>
      <c r="C1534" s="128"/>
      <c r="E1534" s="128" t="str">
        <f t="shared" si="1"/>
        <v/>
      </c>
    </row>
    <row r="1535">
      <c r="A1535" s="93" t="str">
        <f t="shared" si="2"/>
        <v>#15384</v>
      </c>
      <c r="B1535" s="93" t="str">
        <f>IF(AND(COUNTIF(MAIN!B:B, A1535)=0, IFERROR(SEARCH("return", C1535)&gt;0, FALSE)), "Rental Return", IF(COUNTIF(MAIN!B:B, A1535)=0, "Missing", ""))</f>
        <v/>
      </c>
      <c r="C1535" s="128"/>
      <c r="E1535" s="128" t="str">
        <f t="shared" si="1"/>
        <v/>
      </c>
    </row>
    <row r="1536">
      <c r="A1536" s="93" t="str">
        <f t="shared" si="2"/>
        <v>#15385</v>
      </c>
      <c r="B1536" s="93" t="str">
        <f>IF(AND(COUNTIF(MAIN!B:B, A1536)=0, IFERROR(SEARCH("return", C1536)&gt;0, FALSE)), "Rental Return", IF(COUNTIF(MAIN!B:B, A1536)=0, "Missing", ""))</f>
        <v/>
      </c>
      <c r="C1536" s="128"/>
      <c r="E1536" s="128" t="str">
        <f t="shared" si="1"/>
        <v/>
      </c>
    </row>
    <row r="1537">
      <c r="A1537" s="93" t="str">
        <f t="shared" si="2"/>
        <v>#15386</v>
      </c>
      <c r="B1537" s="93" t="str">
        <f>IF(AND(COUNTIF(MAIN!B:B, A1537)=0, IFERROR(SEARCH("return", C1537)&gt;0, FALSE)), "Rental Return", IF(COUNTIF(MAIN!B:B, A1537)=0, "Missing", ""))</f>
        <v/>
      </c>
      <c r="C1537" s="128"/>
      <c r="E1537" s="128" t="str">
        <f t="shared" si="1"/>
        <v/>
      </c>
    </row>
    <row r="1538">
      <c r="A1538" s="93" t="str">
        <f t="shared" si="2"/>
        <v>#15387</v>
      </c>
      <c r="B1538" s="93" t="str">
        <f>IF(AND(COUNTIF(MAIN!B:B, A1538)=0, IFERROR(SEARCH("return", C1538)&gt;0, FALSE)), "Rental Return", IF(COUNTIF(MAIN!B:B, A1538)=0, "Missing", ""))</f>
        <v/>
      </c>
      <c r="C1538" s="128"/>
      <c r="E1538" s="128" t="str">
        <f t="shared" si="1"/>
        <v/>
      </c>
    </row>
    <row r="1539">
      <c r="A1539" s="93" t="str">
        <f t="shared" si="2"/>
        <v>#15388</v>
      </c>
      <c r="B1539" s="93" t="str">
        <f>IF(AND(COUNTIF(MAIN!B:B, A1539)=0, IFERROR(SEARCH("return", C1539)&gt;0, FALSE)), "Rental Return", IF(COUNTIF(MAIN!B:B, A1539)=0, "Missing", ""))</f>
        <v/>
      </c>
      <c r="C1539" s="128"/>
      <c r="E1539" s="128" t="str">
        <f t="shared" si="1"/>
        <v/>
      </c>
    </row>
    <row r="1540">
      <c r="A1540" s="93" t="str">
        <f t="shared" si="2"/>
        <v>#15389</v>
      </c>
      <c r="B1540" s="93" t="str">
        <f>IF(AND(COUNTIF(MAIN!B:B, A1540)=0, IFERROR(SEARCH("return", C1540)&gt;0, FALSE)), "Rental Return", IF(COUNTIF(MAIN!B:B, A1540)=0, "Missing", ""))</f>
        <v/>
      </c>
      <c r="C1540" s="128"/>
      <c r="E1540" s="128" t="str">
        <f t="shared" si="1"/>
        <v/>
      </c>
    </row>
    <row r="1541">
      <c r="A1541" s="93" t="str">
        <f t="shared" si="2"/>
        <v>#15390</v>
      </c>
      <c r="B1541" s="93" t="str">
        <f>IF(AND(COUNTIF(MAIN!B:B, A1541)=0, IFERROR(SEARCH("return", C1541)&gt;0, FALSE)), "Rental Return", IF(COUNTIF(MAIN!B:B, A1541)=0, "Missing", ""))</f>
        <v/>
      </c>
      <c r="C1541" s="128"/>
      <c r="E1541" s="128" t="str">
        <f t="shared" si="1"/>
        <v/>
      </c>
    </row>
    <row r="1542">
      <c r="A1542" s="93" t="str">
        <f t="shared" si="2"/>
        <v>#15391</v>
      </c>
      <c r="B1542" s="93" t="str">
        <f>IF(AND(COUNTIF(MAIN!B:B, A1542)=0, IFERROR(SEARCH("return", C1542)&gt;0, FALSE)), "Rental Return", IF(COUNTIF(MAIN!B:B, A1542)=0, "Missing", ""))</f>
        <v/>
      </c>
      <c r="C1542" s="128"/>
      <c r="E1542" s="128" t="str">
        <f t="shared" si="1"/>
        <v/>
      </c>
    </row>
    <row r="1543">
      <c r="A1543" s="93" t="str">
        <f t="shared" si="2"/>
        <v>#15392</v>
      </c>
      <c r="B1543" s="93" t="str">
        <f>IF(AND(COUNTIF(MAIN!B:B, A1543)=0, IFERROR(SEARCH("return", C1543)&gt;0, FALSE)), "Rental Return", IF(COUNTIF(MAIN!B:B, A1543)=0, "Missing", ""))</f>
        <v/>
      </c>
      <c r="C1543" s="128"/>
      <c r="E1543" s="128" t="str">
        <f t="shared" si="1"/>
        <v/>
      </c>
    </row>
    <row r="1544">
      <c r="A1544" s="93" t="str">
        <f t="shared" si="2"/>
        <v>#15393</v>
      </c>
      <c r="B1544" s="93" t="str">
        <f>IF(AND(COUNTIF(MAIN!B:B, A1544)=0, IFERROR(SEARCH("return", C1544)&gt;0, FALSE)), "Rental Return", IF(COUNTIF(MAIN!B:B, A1544)=0, "Missing", ""))</f>
        <v/>
      </c>
      <c r="C1544" s="128"/>
      <c r="E1544" s="128" t="str">
        <f t="shared" si="1"/>
        <v/>
      </c>
    </row>
    <row r="1545">
      <c r="A1545" s="93" t="str">
        <f t="shared" si="2"/>
        <v>#15394</v>
      </c>
      <c r="B1545" s="93" t="str">
        <f>IF(AND(COUNTIF(MAIN!B:B, A1545)=0, IFERROR(SEARCH("return", C1545)&gt;0, FALSE)), "Rental Return", IF(COUNTIF(MAIN!B:B, A1545)=0, "Missing", ""))</f>
        <v/>
      </c>
      <c r="C1545" s="128"/>
      <c r="E1545" s="128" t="str">
        <f t="shared" si="1"/>
        <v/>
      </c>
    </row>
    <row r="1546">
      <c r="A1546" s="93" t="str">
        <f t="shared" si="2"/>
        <v>#15395</v>
      </c>
      <c r="B1546" s="93" t="str">
        <f>IF(AND(COUNTIF(MAIN!B:B, A1546)=0, IFERROR(SEARCH("return", C1546)&gt;0, FALSE)), "Rental Return", IF(COUNTIF(MAIN!B:B, A1546)=0, "Missing", ""))</f>
        <v/>
      </c>
      <c r="C1546" s="128"/>
      <c r="E1546" s="128" t="str">
        <f t="shared" si="1"/>
        <v/>
      </c>
    </row>
    <row r="1547">
      <c r="A1547" s="93" t="str">
        <f t="shared" si="2"/>
        <v>#15396</v>
      </c>
      <c r="B1547" s="93" t="str">
        <f>IF(AND(COUNTIF(MAIN!B:B, A1547)=0, IFERROR(SEARCH("return", C1547)&gt;0, FALSE)), "Rental Return", IF(COUNTIF(MAIN!B:B, A1547)=0, "Missing", ""))</f>
        <v/>
      </c>
      <c r="C1547" s="128"/>
      <c r="E1547" s="128" t="str">
        <f t="shared" si="1"/>
        <v/>
      </c>
    </row>
    <row r="1548">
      <c r="A1548" s="93" t="str">
        <f t="shared" si="2"/>
        <v>#15397</v>
      </c>
      <c r="B1548" s="93" t="str">
        <f>IF(AND(COUNTIF(MAIN!B:B, A1548)=0, IFERROR(SEARCH("return", C1548)&gt;0, FALSE)), "Rental Return", IF(COUNTIF(MAIN!B:B, A1548)=0, "Missing", ""))</f>
        <v/>
      </c>
      <c r="C1548" s="128"/>
      <c r="E1548" s="128" t="str">
        <f t="shared" si="1"/>
        <v/>
      </c>
    </row>
    <row r="1549">
      <c r="A1549" s="93" t="str">
        <f t="shared" si="2"/>
        <v>#15398</v>
      </c>
      <c r="B1549" s="93" t="str">
        <f>IF(AND(COUNTIF(MAIN!B:B, A1549)=0, IFERROR(SEARCH("return", C1549)&gt;0, FALSE)), "Rental Return", IF(COUNTIF(MAIN!B:B, A1549)=0, "Missing", ""))</f>
        <v/>
      </c>
      <c r="C1549" s="128"/>
      <c r="E1549" s="128" t="str">
        <f t="shared" si="1"/>
        <v/>
      </c>
    </row>
    <row r="1550">
      <c r="A1550" s="93" t="str">
        <f t="shared" si="2"/>
        <v>#15399</v>
      </c>
      <c r="B1550" s="93" t="str">
        <f>IF(AND(COUNTIF(MAIN!B:B, A1550)=0, IFERROR(SEARCH("return", C1550)&gt;0, FALSE)), "Rental Return", IF(COUNTIF(MAIN!B:B, A1550)=0, "Missing", ""))</f>
        <v/>
      </c>
      <c r="C1550" s="128"/>
      <c r="E1550" s="128" t="str">
        <f t="shared" si="1"/>
        <v/>
      </c>
    </row>
    <row r="1551">
      <c r="A1551" s="93" t="str">
        <f t="shared" si="2"/>
        <v>#15400</v>
      </c>
      <c r="B1551" s="93" t="str">
        <f>IF(AND(COUNTIF(MAIN!B:B, A1551)=0, IFERROR(SEARCH("return", C1551)&gt;0, FALSE)), "Rental Return", IF(COUNTIF(MAIN!B:B, A1551)=0, "Missing", ""))</f>
        <v/>
      </c>
      <c r="C1551" s="128"/>
      <c r="E1551" s="128" t="str">
        <f t="shared" si="1"/>
        <v/>
      </c>
    </row>
    <row r="1552">
      <c r="A1552" s="93" t="str">
        <f t="shared" si="2"/>
        <v>#15401</v>
      </c>
      <c r="B1552" s="93" t="str">
        <f>IF(AND(COUNTIF(MAIN!B:B, A1552)=0, IFERROR(SEARCH("return", C1552)&gt;0, FALSE)), "Rental Return", IF(COUNTIF(MAIN!B:B, A1552)=0, "Missing", ""))</f>
        <v/>
      </c>
      <c r="C1552" s="128"/>
      <c r="E1552" s="128" t="str">
        <f t="shared" si="1"/>
        <v/>
      </c>
    </row>
    <row r="1553">
      <c r="A1553" s="93" t="str">
        <f t="shared" si="2"/>
        <v>#15402</v>
      </c>
      <c r="B1553" s="93" t="str">
        <f>IF(AND(COUNTIF(MAIN!B:B, A1553)=0, IFERROR(SEARCH("return", C1553)&gt;0, FALSE)), "Rental Return", IF(COUNTIF(MAIN!B:B, A1553)=0, "Missing", ""))</f>
        <v/>
      </c>
      <c r="C1553" s="128"/>
      <c r="E1553" s="128" t="str">
        <f t="shared" si="1"/>
        <v/>
      </c>
    </row>
    <row r="1554">
      <c r="A1554" s="93" t="str">
        <f t="shared" si="2"/>
        <v>#15403</v>
      </c>
      <c r="B1554" s="93" t="str">
        <f>IF(AND(COUNTIF(MAIN!B:B, A1554)=0, IFERROR(SEARCH("return", C1554)&gt;0, FALSE)), "Rental Return", IF(COUNTIF(MAIN!B:B, A1554)=0, "Missing", ""))</f>
        <v/>
      </c>
      <c r="C1554" s="128"/>
      <c r="E1554" s="128" t="str">
        <f t="shared" si="1"/>
        <v/>
      </c>
    </row>
    <row r="1555">
      <c r="A1555" s="93" t="str">
        <f t="shared" si="2"/>
        <v>#15404</v>
      </c>
      <c r="B1555" s="93" t="str">
        <f>IF(AND(COUNTIF(MAIN!B:B, A1555)=0, IFERROR(SEARCH("return", C1555)&gt;0, FALSE)), "Rental Return", IF(COUNTIF(MAIN!B:B, A1555)=0, "Missing", ""))</f>
        <v/>
      </c>
      <c r="C1555" s="128"/>
      <c r="E1555" s="128" t="str">
        <f t="shared" si="1"/>
        <v/>
      </c>
    </row>
    <row r="1556">
      <c r="A1556" s="93" t="str">
        <f t="shared" si="2"/>
        <v>#15405</v>
      </c>
      <c r="B1556" s="93" t="str">
        <f>IF(AND(COUNTIF(MAIN!B:B, A1556)=0, IFERROR(SEARCH("return", C1556)&gt;0, FALSE)), "Rental Return", IF(COUNTIF(MAIN!B:B, A1556)=0, "Missing", ""))</f>
        <v/>
      </c>
      <c r="C1556" s="128"/>
      <c r="E1556" s="128" t="str">
        <f t="shared" si="1"/>
        <v/>
      </c>
    </row>
    <row r="1557">
      <c r="A1557" s="93" t="str">
        <f t="shared" si="2"/>
        <v>#15406</v>
      </c>
      <c r="B1557" s="93" t="str">
        <f>IF(AND(COUNTIF(MAIN!B:B, A1557)=0, IFERROR(SEARCH("return", C1557)&gt;0, FALSE)), "Rental Return", IF(COUNTIF(MAIN!B:B, A1557)=0, "Missing", ""))</f>
        <v/>
      </c>
      <c r="C1557" s="128"/>
      <c r="E1557" s="128" t="str">
        <f t="shared" si="1"/>
        <v/>
      </c>
    </row>
    <row r="1558">
      <c r="A1558" s="93" t="str">
        <f t="shared" si="2"/>
        <v>#15407</v>
      </c>
      <c r="B1558" s="93" t="str">
        <f>IF(AND(COUNTIF(MAIN!B:B, A1558)=0, IFERROR(SEARCH("return", C1558)&gt;0, FALSE)), "Rental Return", IF(COUNTIF(MAIN!B:B, A1558)=0, "Missing", ""))</f>
        <v/>
      </c>
      <c r="C1558" s="128"/>
      <c r="E1558" s="128" t="str">
        <f t="shared" si="1"/>
        <v/>
      </c>
    </row>
    <row r="1559">
      <c r="A1559" s="93" t="str">
        <f t="shared" si="2"/>
        <v>#15408</v>
      </c>
      <c r="B1559" s="93" t="str">
        <f>IF(AND(COUNTIF(MAIN!B:B, A1559)=0, IFERROR(SEARCH("return", C1559)&gt;0, FALSE)), "Rental Return", IF(COUNTIF(MAIN!B:B, A1559)=0, "Missing", ""))</f>
        <v/>
      </c>
      <c r="C1559" s="128"/>
      <c r="E1559" s="128" t="str">
        <f t="shared" si="1"/>
        <v/>
      </c>
    </row>
    <row r="1560">
      <c r="A1560" s="93" t="str">
        <f t="shared" si="2"/>
        <v>#15409</v>
      </c>
      <c r="B1560" s="93" t="str">
        <f>IF(AND(COUNTIF(MAIN!B:B, A1560)=0, IFERROR(SEARCH("return", C1560)&gt;0, FALSE)), "Rental Return", IF(COUNTIF(MAIN!B:B, A1560)=0, "Missing", ""))</f>
        <v/>
      </c>
      <c r="C1560" s="128"/>
      <c r="E1560" s="128" t="str">
        <f t="shared" si="1"/>
        <v/>
      </c>
    </row>
    <row r="1561">
      <c r="A1561" s="93" t="str">
        <f t="shared" si="2"/>
        <v>#15410</v>
      </c>
      <c r="B1561" s="93" t="str">
        <f>IF(AND(COUNTIF(MAIN!B:B, A1561)=0, IFERROR(SEARCH("return", C1561)&gt;0, FALSE)), "Rental Return", IF(COUNTIF(MAIN!B:B, A1561)=0, "Missing", ""))</f>
        <v/>
      </c>
      <c r="C1561" s="128"/>
      <c r="E1561" s="128" t="str">
        <f t="shared" si="1"/>
        <v/>
      </c>
    </row>
    <row r="1562">
      <c r="A1562" s="93" t="str">
        <f t="shared" si="2"/>
        <v>#15411</v>
      </c>
      <c r="B1562" s="93" t="str">
        <f>IF(AND(COUNTIF(MAIN!B:B, A1562)=0, IFERROR(SEARCH("return", C1562)&gt;0, FALSE)), "Rental Return", IF(COUNTIF(MAIN!B:B, A1562)=0, "Missing", ""))</f>
        <v/>
      </c>
      <c r="C1562" s="128"/>
      <c r="E1562" s="128" t="str">
        <f t="shared" si="1"/>
        <v/>
      </c>
    </row>
    <row r="1563">
      <c r="A1563" s="93" t="str">
        <f t="shared" si="2"/>
        <v>#15412</v>
      </c>
      <c r="B1563" s="93" t="str">
        <f>IF(AND(COUNTIF(MAIN!B:B, A1563)=0, IFERROR(SEARCH("return", C1563)&gt;0, FALSE)), "Rental Return", IF(COUNTIF(MAIN!B:B, A1563)=0, "Missing", ""))</f>
        <v/>
      </c>
      <c r="C1563" s="128"/>
      <c r="E1563" s="128" t="str">
        <f t="shared" si="1"/>
        <v/>
      </c>
    </row>
    <row r="1564">
      <c r="A1564" s="93" t="str">
        <f t="shared" si="2"/>
        <v>#15413</v>
      </c>
      <c r="B1564" s="93" t="str">
        <f>IF(AND(COUNTIF(MAIN!B:B, A1564)=0, IFERROR(SEARCH("return", C1564)&gt;0, FALSE)), "Rental Return", IF(COUNTIF(MAIN!B:B, A1564)=0, "Missing", ""))</f>
        <v/>
      </c>
      <c r="C1564" s="128"/>
      <c r="E1564" s="128" t="str">
        <f t="shared" si="1"/>
        <v/>
      </c>
    </row>
    <row r="1565">
      <c r="A1565" s="93" t="str">
        <f t="shared" si="2"/>
        <v>#15414</v>
      </c>
      <c r="B1565" s="93" t="str">
        <f>IF(AND(COUNTIF(MAIN!B:B, A1565)=0, IFERROR(SEARCH("return", C1565)&gt;0, FALSE)), "Rental Return", IF(COUNTIF(MAIN!B:B, A1565)=0, "Missing", ""))</f>
        <v/>
      </c>
      <c r="C1565" s="128"/>
      <c r="E1565" s="128" t="str">
        <f t="shared" si="1"/>
        <v/>
      </c>
    </row>
    <row r="1566">
      <c r="A1566" s="93" t="str">
        <f t="shared" si="2"/>
        <v>#15415</v>
      </c>
      <c r="B1566" s="93" t="str">
        <f>IF(AND(COUNTIF(MAIN!B:B, A1566)=0, IFERROR(SEARCH("return", C1566)&gt;0, FALSE)), "Rental Return", IF(COUNTIF(MAIN!B:B, A1566)=0, "Missing", ""))</f>
        <v/>
      </c>
      <c r="C1566" s="128"/>
      <c r="E1566" s="128" t="str">
        <f t="shared" si="1"/>
        <v/>
      </c>
    </row>
    <row r="1567">
      <c r="A1567" s="93" t="str">
        <f t="shared" si="2"/>
        <v>#15416</v>
      </c>
      <c r="B1567" s="93" t="str">
        <f>IF(AND(COUNTIF(MAIN!B:B, A1567)=0, IFERROR(SEARCH("return", C1567)&gt;0, FALSE)), "Rental Return", IF(COUNTIF(MAIN!B:B, A1567)=0, "Missing", ""))</f>
        <v/>
      </c>
      <c r="C1567" s="128"/>
      <c r="E1567" s="128" t="str">
        <f t="shared" si="1"/>
        <v/>
      </c>
    </row>
    <row r="1568">
      <c r="A1568" s="93" t="str">
        <f t="shared" si="2"/>
        <v>#15417</v>
      </c>
      <c r="B1568" s="93" t="str">
        <f>IF(AND(COUNTIF(MAIN!B:B, A1568)=0, IFERROR(SEARCH("return", C1568)&gt;0, FALSE)), "Rental Return", IF(COUNTIF(MAIN!B:B, A1568)=0, "Missing", ""))</f>
        <v/>
      </c>
      <c r="C1568" s="128"/>
      <c r="E1568" s="128" t="str">
        <f t="shared" si="1"/>
        <v/>
      </c>
    </row>
    <row r="1569">
      <c r="A1569" s="93" t="str">
        <f t="shared" si="2"/>
        <v>#15418</v>
      </c>
      <c r="B1569" s="93" t="str">
        <f>IF(AND(COUNTIF(MAIN!B:B, A1569)=0, IFERROR(SEARCH("return", C1569)&gt;0, FALSE)), "Rental Return", IF(COUNTIF(MAIN!B:B, A1569)=0, "Missing", ""))</f>
        <v/>
      </c>
      <c r="C1569" s="128"/>
      <c r="E1569" s="128" t="str">
        <f t="shared" si="1"/>
        <v/>
      </c>
    </row>
    <row r="1570">
      <c r="A1570" s="93" t="str">
        <f t="shared" si="2"/>
        <v>#15419</v>
      </c>
      <c r="B1570" s="93" t="str">
        <f>IF(AND(COUNTIF(MAIN!B:B, A1570)=0, IFERROR(SEARCH("return", C1570)&gt;0, FALSE)), "Rental Return", IF(COUNTIF(MAIN!B:B, A1570)=0, "Missing", ""))</f>
        <v/>
      </c>
      <c r="C1570" s="128"/>
      <c r="E1570" s="128" t="str">
        <f t="shared" si="1"/>
        <v/>
      </c>
    </row>
    <row r="1571">
      <c r="A1571" s="93" t="str">
        <f t="shared" si="2"/>
        <v>#15420</v>
      </c>
      <c r="B1571" s="93" t="str">
        <f>IF(AND(COUNTIF(MAIN!B:B, A1571)=0, IFERROR(SEARCH("return", C1571)&gt;0, FALSE)), "Rental Return", IF(COUNTIF(MAIN!B:B, A1571)=0, "Missing", ""))</f>
        <v/>
      </c>
      <c r="C1571" s="128"/>
      <c r="E1571" s="128" t="str">
        <f t="shared" si="1"/>
        <v/>
      </c>
    </row>
    <row r="1572">
      <c r="A1572" s="93" t="str">
        <f t="shared" si="2"/>
        <v>#15421</v>
      </c>
      <c r="B1572" s="93" t="str">
        <f>IF(AND(COUNTIF(MAIN!B:B, A1572)=0, IFERROR(SEARCH("return", C1572)&gt;0, FALSE)), "Rental Return", IF(COUNTIF(MAIN!B:B, A1572)=0, "Missing", ""))</f>
        <v/>
      </c>
      <c r="C1572" s="128"/>
      <c r="E1572" s="128" t="str">
        <f t="shared" si="1"/>
        <v/>
      </c>
    </row>
    <row r="1573">
      <c r="A1573" s="93" t="str">
        <f t="shared" si="2"/>
        <v>#15422</v>
      </c>
      <c r="B1573" s="93" t="str">
        <f>IF(AND(COUNTIF(MAIN!B:B, A1573)=0, IFERROR(SEARCH("return", C1573)&gt;0, FALSE)), "Rental Return", IF(COUNTIF(MAIN!B:B, A1573)=0, "Missing", ""))</f>
        <v/>
      </c>
      <c r="C1573" s="128"/>
      <c r="E1573" s="128" t="str">
        <f t="shared" si="1"/>
        <v/>
      </c>
    </row>
    <row r="1574">
      <c r="A1574" s="93" t="str">
        <f t="shared" si="2"/>
        <v>#15423</v>
      </c>
      <c r="B1574" s="93" t="str">
        <f>IF(AND(COUNTIF(MAIN!B:B, A1574)=0, IFERROR(SEARCH("return", C1574)&gt;0, FALSE)), "Rental Return", IF(COUNTIF(MAIN!B:B, A1574)=0, "Missing", ""))</f>
        <v/>
      </c>
      <c r="C1574" s="128"/>
      <c r="E1574" s="128" t="str">
        <f t="shared" si="1"/>
        <v/>
      </c>
    </row>
    <row r="1575">
      <c r="A1575" s="93" t="str">
        <f t="shared" si="2"/>
        <v>#15424</v>
      </c>
      <c r="B1575" s="93" t="str">
        <f>IF(AND(COUNTIF(MAIN!B:B, A1575)=0, IFERROR(SEARCH("return", C1575)&gt;0, FALSE)), "Rental Return", IF(COUNTIF(MAIN!B:B, A1575)=0, "Missing", ""))</f>
        <v/>
      </c>
      <c r="C1575" s="128"/>
      <c r="E1575" s="128" t="str">
        <f t="shared" si="1"/>
        <v/>
      </c>
    </row>
    <row r="1576">
      <c r="A1576" s="93" t="str">
        <f t="shared" si="2"/>
        <v>#15425</v>
      </c>
      <c r="B1576" s="93" t="str">
        <f>IF(AND(COUNTIF(MAIN!B:B, A1576)=0, IFERROR(SEARCH("return", C1576)&gt;0, FALSE)), "Rental Return", IF(COUNTIF(MAIN!B:B, A1576)=0, "Missing", ""))</f>
        <v/>
      </c>
      <c r="C1576" s="128"/>
      <c r="E1576" s="128" t="str">
        <f t="shared" si="1"/>
        <v/>
      </c>
    </row>
    <row r="1577">
      <c r="A1577" s="93" t="str">
        <f t="shared" si="2"/>
        <v>#15426</v>
      </c>
      <c r="B1577" s="93" t="str">
        <f>IF(AND(COUNTIF(MAIN!B:B, A1577)=0, IFERROR(SEARCH("return", C1577)&gt;0, FALSE)), "Rental Return", IF(COUNTIF(MAIN!B:B, A1577)=0, "Missing", ""))</f>
        <v/>
      </c>
      <c r="C1577" s="128"/>
      <c r="E1577" s="128" t="str">
        <f t="shared" si="1"/>
        <v/>
      </c>
    </row>
    <row r="1578">
      <c r="A1578" s="93" t="str">
        <f t="shared" si="2"/>
        <v>#15427</v>
      </c>
      <c r="B1578" s="93" t="str">
        <f>IF(AND(COUNTIF(MAIN!B:B, A1578)=0, IFERROR(SEARCH("return", C1578)&gt;0, FALSE)), "Rental Return", IF(COUNTIF(MAIN!B:B, A1578)=0, "Missing", ""))</f>
        <v/>
      </c>
      <c r="C1578" s="128"/>
      <c r="E1578" s="128" t="str">
        <f t="shared" si="1"/>
        <v/>
      </c>
    </row>
    <row r="1579">
      <c r="A1579" s="93" t="str">
        <f t="shared" si="2"/>
        <v>#15428</v>
      </c>
      <c r="B1579" s="93" t="str">
        <f>IF(AND(COUNTIF(MAIN!B:B, A1579)=0, IFERROR(SEARCH("return", C1579)&gt;0, FALSE)), "Rental Return", IF(COUNTIF(MAIN!B:B, A1579)=0, "Missing", ""))</f>
        <v/>
      </c>
      <c r="C1579" s="128"/>
      <c r="E1579" s="128" t="str">
        <f t="shared" si="1"/>
        <v/>
      </c>
    </row>
    <row r="1580">
      <c r="A1580" s="93" t="str">
        <f t="shared" si="2"/>
        <v>#15429</v>
      </c>
      <c r="B1580" s="93" t="str">
        <f>IF(AND(COUNTIF(MAIN!B:B, A1580)=0, IFERROR(SEARCH("return", C1580)&gt;0, FALSE)), "Rental Return", IF(COUNTIF(MAIN!B:B, A1580)=0, "Missing", ""))</f>
        <v/>
      </c>
      <c r="C1580" s="128"/>
      <c r="E1580" s="128" t="str">
        <f t="shared" si="1"/>
        <v/>
      </c>
    </row>
    <row r="1581">
      <c r="A1581" s="93" t="str">
        <f t="shared" si="2"/>
        <v>#15430</v>
      </c>
      <c r="B1581" s="93" t="str">
        <f>IF(AND(COUNTIF(MAIN!B:B, A1581)=0, IFERROR(SEARCH("return", C1581)&gt;0, FALSE)), "Rental Return", IF(COUNTIF(MAIN!B:B, A1581)=0, "Missing", ""))</f>
        <v>Missing</v>
      </c>
      <c r="C1581" s="133" t="s">
        <v>15231</v>
      </c>
      <c r="D1581" s="84"/>
      <c r="E1581" s="131" t="str">
        <f t="shared" si="1"/>
        <v>https://utrucking.myshopify.com/admin/orders?query=15430</v>
      </c>
    </row>
    <row r="1582">
      <c r="A1582" s="93" t="str">
        <f t="shared" si="2"/>
        <v>#15431</v>
      </c>
      <c r="B1582" s="93" t="str">
        <f>IF(AND(COUNTIF(MAIN!B:B, A1582)=0, IFERROR(SEARCH("return", C1582)&gt;0, FALSE)), "Rental Return", IF(COUNTIF(MAIN!B:B, A1582)=0, "Missing", ""))</f>
        <v/>
      </c>
      <c r="C1582" s="128"/>
      <c r="E1582" s="128" t="str">
        <f t="shared" si="1"/>
        <v/>
      </c>
    </row>
    <row r="1583">
      <c r="A1583" s="93" t="str">
        <f t="shared" si="2"/>
        <v>#15432</v>
      </c>
      <c r="B1583" s="93" t="str">
        <f>IF(AND(COUNTIF(MAIN!B:B, A1583)=0, IFERROR(SEARCH("return", C1583)&gt;0, FALSE)), "Rental Return", IF(COUNTIF(MAIN!B:B, A1583)=0, "Missing", ""))</f>
        <v/>
      </c>
      <c r="C1583" s="128"/>
      <c r="E1583" s="128" t="str">
        <f t="shared" si="1"/>
        <v/>
      </c>
    </row>
    <row r="1584">
      <c r="A1584" s="93" t="str">
        <f t="shared" si="2"/>
        <v>#15433</v>
      </c>
      <c r="B1584" s="93" t="str">
        <f>IF(AND(COUNTIF(MAIN!B:B, A1584)=0, IFERROR(SEARCH("return", C1584)&gt;0, FALSE)), "Rental Return", IF(COUNTIF(MAIN!B:B, A1584)=0, "Missing", ""))</f>
        <v>Missing</v>
      </c>
      <c r="C1584" s="133" t="s">
        <v>14071</v>
      </c>
      <c r="D1584" s="84"/>
      <c r="E1584" s="131" t="str">
        <f t="shared" si="1"/>
        <v>https://utrucking.myshopify.com/admin/orders?query=15433</v>
      </c>
    </row>
    <row r="1585">
      <c r="A1585" s="93" t="str">
        <f t="shared" si="2"/>
        <v>#15434</v>
      </c>
      <c r="B1585" s="93" t="str">
        <f>IF(AND(COUNTIF(MAIN!B:B, A1585)=0, IFERROR(SEARCH("return", C1585)&gt;0, FALSE)), "Rental Return", IF(COUNTIF(MAIN!B:B, A1585)=0, "Missing", ""))</f>
        <v/>
      </c>
      <c r="C1585" s="128"/>
      <c r="E1585" s="128" t="str">
        <f t="shared" si="1"/>
        <v/>
      </c>
    </row>
    <row r="1586">
      <c r="A1586" s="93" t="str">
        <f t="shared" si="2"/>
        <v>#15435</v>
      </c>
      <c r="B1586" s="93" t="str">
        <f>IF(AND(COUNTIF(MAIN!B:B, A1586)=0, IFERROR(SEARCH("return", C1586)&gt;0, FALSE)), "Rental Return", IF(COUNTIF(MAIN!B:B, A1586)=0, "Missing", ""))</f>
        <v/>
      </c>
      <c r="C1586" s="128"/>
      <c r="E1586" s="128" t="str">
        <f t="shared" si="1"/>
        <v/>
      </c>
    </row>
    <row r="1587">
      <c r="A1587" s="93" t="str">
        <f t="shared" si="2"/>
        <v>#15436</v>
      </c>
      <c r="B1587" s="93" t="str">
        <f>IF(AND(COUNTIF(MAIN!B:B, A1587)=0, IFERROR(SEARCH("return", C1587)&gt;0, FALSE)), "Rental Return", IF(COUNTIF(MAIN!B:B, A1587)=0, "Missing", ""))</f>
        <v/>
      </c>
      <c r="C1587" s="128"/>
      <c r="E1587" s="128" t="str">
        <f t="shared" si="1"/>
        <v/>
      </c>
    </row>
    <row r="1588">
      <c r="A1588" s="93" t="str">
        <f t="shared" si="2"/>
        <v>#15437</v>
      </c>
      <c r="B1588" s="93" t="str">
        <f>IF(AND(COUNTIF(MAIN!B:B, A1588)=0, IFERROR(SEARCH("return", C1588)&gt;0, FALSE)), "Rental Return", IF(COUNTIF(MAIN!B:B, A1588)=0, "Missing", ""))</f>
        <v/>
      </c>
      <c r="C1588" s="128"/>
      <c r="E1588" s="128" t="str">
        <f t="shared" si="1"/>
        <v/>
      </c>
    </row>
    <row r="1589">
      <c r="A1589" s="93" t="str">
        <f t="shared" si="2"/>
        <v>#15438</v>
      </c>
      <c r="B1589" s="93" t="str">
        <f>IF(AND(COUNTIF(MAIN!B:B, A1589)=0, IFERROR(SEARCH("return", C1589)&gt;0, FALSE)), "Rental Return", IF(COUNTIF(MAIN!B:B, A1589)=0, "Missing", ""))</f>
        <v/>
      </c>
      <c r="C1589" s="128"/>
      <c r="E1589" s="128" t="str">
        <f t="shared" si="1"/>
        <v/>
      </c>
    </row>
    <row r="1590">
      <c r="A1590" s="93" t="str">
        <f t="shared" si="2"/>
        <v>#15439</v>
      </c>
      <c r="B1590" s="93" t="str">
        <f>IF(AND(COUNTIF(MAIN!B:B, A1590)=0, IFERROR(SEARCH("return", C1590)&gt;0, FALSE)), "Rental Return", IF(COUNTIF(MAIN!B:B, A1590)=0, "Missing", ""))</f>
        <v/>
      </c>
      <c r="C1590" s="128"/>
      <c r="E1590" s="128" t="str">
        <f t="shared" si="1"/>
        <v/>
      </c>
    </row>
    <row r="1591">
      <c r="A1591" s="93" t="str">
        <f t="shared" si="2"/>
        <v>#15440</v>
      </c>
      <c r="B1591" s="93" t="str">
        <f>IF(AND(COUNTIF(MAIN!B:B, A1591)=0, IFERROR(SEARCH("return", C1591)&gt;0, FALSE)), "Rental Return", IF(COUNTIF(MAIN!B:B, A1591)=0, "Missing", ""))</f>
        <v/>
      </c>
      <c r="C1591" s="128"/>
      <c r="E1591" s="128" t="str">
        <f t="shared" si="1"/>
        <v/>
      </c>
    </row>
    <row r="1592">
      <c r="A1592" s="93" t="str">
        <f t="shared" si="2"/>
        <v>#15441</v>
      </c>
      <c r="B1592" s="93" t="str">
        <f>IF(AND(COUNTIF(MAIN!B:B, A1592)=0, IFERROR(SEARCH("return", C1592)&gt;0, FALSE)), "Rental Return", IF(COUNTIF(MAIN!B:B, A1592)=0, "Missing", ""))</f>
        <v/>
      </c>
      <c r="C1592" s="128"/>
      <c r="E1592" s="128" t="str">
        <f t="shared" si="1"/>
        <v/>
      </c>
    </row>
    <row r="1593">
      <c r="A1593" s="93" t="str">
        <f t="shared" si="2"/>
        <v>#15442</v>
      </c>
      <c r="B1593" s="93" t="str">
        <f>IF(AND(COUNTIF(MAIN!B:B, A1593)=0, IFERROR(SEARCH("return", C1593)&gt;0, FALSE)), "Rental Return", IF(COUNTIF(MAIN!B:B, A1593)=0, "Missing", ""))</f>
        <v/>
      </c>
      <c r="C1593" s="128"/>
      <c r="E1593" s="128" t="str">
        <f t="shared" si="1"/>
        <v/>
      </c>
    </row>
    <row r="1594">
      <c r="A1594" s="93" t="str">
        <f t="shared" si="2"/>
        <v>#15443</v>
      </c>
      <c r="B1594" s="93" t="str">
        <f>IF(AND(COUNTIF(MAIN!B:B, A1594)=0, IFERROR(SEARCH("return", C1594)&gt;0, FALSE)), "Rental Return", IF(COUNTIF(MAIN!B:B, A1594)=0, "Missing", ""))</f>
        <v/>
      </c>
      <c r="C1594" s="128"/>
      <c r="E1594" s="128" t="str">
        <f t="shared" si="1"/>
        <v/>
      </c>
    </row>
    <row r="1595">
      <c r="A1595" s="93" t="str">
        <f t="shared" si="2"/>
        <v>#15444</v>
      </c>
      <c r="B1595" s="93" t="str">
        <f>IF(AND(COUNTIF(MAIN!B:B, A1595)=0, IFERROR(SEARCH("return", C1595)&gt;0, FALSE)), "Rental Return", IF(COUNTIF(MAIN!B:B, A1595)=0, "Missing", ""))</f>
        <v/>
      </c>
      <c r="C1595" s="128"/>
      <c r="E1595" s="128" t="str">
        <f t="shared" si="1"/>
        <v/>
      </c>
    </row>
    <row r="1596">
      <c r="A1596" s="93" t="str">
        <f t="shared" si="2"/>
        <v>#15445</v>
      </c>
      <c r="B1596" s="93" t="str">
        <f>IF(AND(COUNTIF(MAIN!B:B, A1596)=0, IFERROR(SEARCH("return", C1596)&gt;0, FALSE)), "Rental Return", IF(COUNTIF(MAIN!B:B, A1596)=0, "Missing", ""))</f>
        <v/>
      </c>
      <c r="C1596" s="128"/>
      <c r="E1596" s="128" t="str">
        <f t="shared" si="1"/>
        <v/>
      </c>
    </row>
    <row r="1597">
      <c r="A1597" s="93" t="str">
        <f t="shared" si="2"/>
        <v>#15446</v>
      </c>
      <c r="B1597" s="93" t="str">
        <f>IF(AND(COUNTIF(MAIN!B:B, A1597)=0, IFERROR(SEARCH("return", C1597)&gt;0, FALSE)), "Rental Return", IF(COUNTIF(MAIN!B:B, A1597)=0, "Missing", ""))</f>
        <v/>
      </c>
      <c r="C1597" s="128"/>
      <c r="E1597" s="128" t="str">
        <f t="shared" si="1"/>
        <v/>
      </c>
    </row>
    <row r="1598">
      <c r="A1598" s="93" t="str">
        <f t="shared" si="2"/>
        <v>#15447</v>
      </c>
      <c r="B1598" s="93" t="str">
        <f>IF(AND(COUNTIF(MAIN!B:B, A1598)=0, IFERROR(SEARCH("return", C1598)&gt;0, FALSE)), "Rental Return", IF(COUNTIF(MAIN!B:B, A1598)=0, "Missing", ""))</f>
        <v/>
      </c>
      <c r="C1598" s="128"/>
      <c r="E1598" s="128" t="str">
        <f t="shared" si="1"/>
        <v/>
      </c>
    </row>
    <row r="1599">
      <c r="A1599" s="93" t="str">
        <f t="shared" si="2"/>
        <v>#15448</v>
      </c>
      <c r="B1599" s="93" t="str">
        <f>IF(AND(COUNTIF(MAIN!B:B, A1599)=0, IFERROR(SEARCH("return", C1599)&gt;0, FALSE)), "Rental Return", IF(COUNTIF(MAIN!B:B, A1599)=0, "Missing", ""))</f>
        <v/>
      </c>
      <c r="C1599" s="128"/>
      <c r="E1599" s="128" t="str">
        <f t="shared" si="1"/>
        <v/>
      </c>
    </row>
    <row r="1600">
      <c r="A1600" s="93" t="str">
        <f t="shared" si="2"/>
        <v>#15449</v>
      </c>
      <c r="B1600" s="93" t="str">
        <f>IF(AND(COUNTIF(MAIN!B:B, A1600)=0, IFERROR(SEARCH("return", C1600)&gt;0, FALSE)), "Rental Return", IF(COUNTIF(MAIN!B:B, A1600)=0, "Missing", ""))</f>
        <v/>
      </c>
      <c r="C1600" s="128"/>
      <c r="E1600" s="128" t="str">
        <f t="shared" si="1"/>
        <v/>
      </c>
    </row>
    <row r="1601">
      <c r="A1601" s="93" t="str">
        <f t="shared" si="2"/>
        <v>#15450</v>
      </c>
      <c r="B1601" s="93" t="str">
        <f>IF(AND(COUNTIF(MAIN!B:B, A1601)=0, IFERROR(SEARCH("return", C1601)&gt;0, FALSE)), "Rental Return", IF(COUNTIF(MAIN!B:B, A1601)=0, "Missing", ""))</f>
        <v/>
      </c>
      <c r="C1601" s="128"/>
      <c r="E1601" s="128" t="str">
        <f t="shared" si="1"/>
        <v/>
      </c>
    </row>
    <row r="1602">
      <c r="A1602" s="93" t="str">
        <f t="shared" si="2"/>
        <v>#15451</v>
      </c>
      <c r="B1602" s="93" t="str">
        <f>IF(AND(COUNTIF(MAIN!B:B, A1602)=0, IFERROR(SEARCH("return", C1602)&gt;0, FALSE)), "Rental Return", IF(COUNTIF(MAIN!B:B, A1602)=0, "Missing", ""))</f>
        <v/>
      </c>
      <c r="C1602" s="128"/>
      <c r="E1602" s="128" t="str">
        <f t="shared" si="1"/>
        <v/>
      </c>
    </row>
    <row r="1603">
      <c r="A1603" s="93" t="str">
        <f t="shared" si="2"/>
        <v>#15452</v>
      </c>
      <c r="B1603" s="93" t="str">
        <f>IF(AND(COUNTIF(MAIN!B:B, A1603)=0, IFERROR(SEARCH("return", C1603)&gt;0, FALSE)), "Rental Return", IF(COUNTIF(MAIN!B:B, A1603)=0, "Missing", ""))</f>
        <v/>
      </c>
      <c r="C1603" s="128"/>
      <c r="E1603" s="128" t="str">
        <f t="shared" si="1"/>
        <v/>
      </c>
    </row>
    <row r="1604">
      <c r="A1604" s="93" t="str">
        <f t="shared" si="2"/>
        <v>#15453</v>
      </c>
      <c r="B1604" s="93" t="str">
        <f>IF(AND(COUNTIF(MAIN!B:B, A1604)=0, IFERROR(SEARCH("return", C1604)&gt;0, FALSE)), "Rental Return", IF(COUNTIF(MAIN!B:B, A1604)=0, "Missing", ""))</f>
        <v/>
      </c>
      <c r="C1604" s="128"/>
      <c r="E1604" s="128" t="str">
        <f t="shared" si="1"/>
        <v/>
      </c>
    </row>
    <row r="1605">
      <c r="A1605" s="93" t="str">
        <f t="shared" si="2"/>
        <v>#15454</v>
      </c>
      <c r="B1605" s="93" t="str">
        <f>IF(AND(COUNTIF(MAIN!B:B, A1605)=0, IFERROR(SEARCH("return", C1605)&gt;0, FALSE)), "Rental Return", IF(COUNTIF(MAIN!B:B, A1605)=0, "Missing", ""))</f>
        <v/>
      </c>
      <c r="C1605" s="128"/>
      <c r="E1605" s="128" t="str">
        <f t="shared" si="1"/>
        <v/>
      </c>
    </row>
    <row r="1606">
      <c r="A1606" s="93" t="str">
        <f t="shared" si="2"/>
        <v>#15455</v>
      </c>
      <c r="B1606" s="93" t="str">
        <f>IF(AND(COUNTIF(MAIN!B:B, A1606)=0, IFERROR(SEARCH("return", C1606)&gt;0, FALSE)), "Rental Return", IF(COUNTIF(MAIN!B:B, A1606)=0, "Missing", ""))</f>
        <v/>
      </c>
      <c r="C1606" s="128"/>
      <c r="E1606" s="128" t="str">
        <f t="shared" si="1"/>
        <v/>
      </c>
    </row>
    <row r="1607">
      <c r="A1607" s="93" t="str">
        <f t="shared" si="2"/>
        <v>#15456</v>
      </c>
      <c r="B1607" s="93" t="str">
        <f>IF(AND(COUNTIF(MAIN!B:B, A1607)=0, IFERROR(SEARCH("return", C1607)&gt;0, FALSE)), "Rental Return", IF(COUNTIF(MAIN!B:B, A1607)=0, "Missing", ""))</f>
        <v/>
      </c>
      <c r="C1607" s="128"/>
      <c r="E1607" s="128" t="str">
        <f t="shared" si="1"/>
        <v/>
      </c>
    </row>
    <row r="1608">
      <c r="A1608" s="93" t="str">
        <f t="shared" si="2"/>
        <v>#15457</v>
      </c>
      <c r="B1608" s="93" t="str">
        <f>IF(AND(COUNTIF(MAIN!B:B, A1608)=0, IFERROR(SEARCH("return", C1608)&gt;0, FALSE)), "Rental Return", IF(COUNTIF(MAIN!B:B, A1608)=0, "Missing", ""))</f>
        <v/>
      </c>
      <c r="C1608" s="128"/>
      <c r="E1608" s="128" t="str">
        <f t="shared" si="1"/>
        <v/>
      </c>
    </row>
    <row r="1609">
      <c r="A1609" s="93" t="str">
        <f t="shared" si="2"/>
        <v>#15458</v>
      </c>
      <c r="B1609" s="93" t="str">
        <f>IF(AND(COUNTIF(MAIN!B:B, A1609)=0, IFERROR(SEARCH("return", C1609)&gt;0, FALSE)), "Rental Return", IF(COUNTIF(MAIN!B:B, A1609)=0, "Missing", ""))</f>
        <v/>
      </c>
      <c r="C1609" s="128"/>
      <c r="E1609" s="128" t="str">
        <f t="shared" si="1"/>
        <v/>
      </c>
    </row>
    <row r="1610">
      <c r="A1610" s="93" t="str">
        <f t="shared" si="2"/>
        <v>#15459</v>
      </c>
      <c r="B1610" s="93" t="str">
        <f>IF(AND(COUNTIF(MAIN!B:B, A1610)=0, IFERROR(SEARCH("return", C1610)&gt;0, FALSE)), "Rental Return", IF(COUNTIF(MAIN!B:B, A1610)=0, "Missing", ""))</f>
        <v/>
      </c>
      <c r="C1610" s="128"/>
      <c r="E1610" s="128" t="str">
        <f t="shared" si="1"/>
        <v/>
      </c>
    </row>
    <row r="1611">
      <c r="A1611" s="93" t="str">
        <f t="shared" si="2"/>
        <v>#15460</v>
      </c>
      <c r="B1611" s="93" t="str">
        <f>IF(AND(COUNTIF(MAIN!B:B, A1611)=0, IFERROR(SEARCH("return", C1611)&gt;0, FALSE)), "Rental Return", IF(COUNTIF(MAIN!B:B, A1611)=0, "Missing", ""))</f>
        <v/>
      </c>
      <c r="C1611" s="128"/>
      <c r="E1611" s="128" t="str">
        <f t="shared" si="1"/>
        <v/>
      </c>
    </row>
    <row r="1612">
      <c r="A1612" s="93" t="str">
        <f t="shared" si="2"/>
        <v>#15461</v>
      </c>
      <c r="B1612" s="93" t="str">
        <f>IF(AND(COUNTIF(MAIN!B:B, A1612)=0, IFERROR(SEARCH("return", C1612)&gt;0, FALSE)), "Rental Return", IF(COUNTIF(MAIN!B:B, A1612)=0, "Missing", ""))</f>
        <v/>
      </c>
      <c r="C1612" s="128"/>
      <c r="E1612" s="128" t="str">
        <f t="shared" si="1"/>
        <v/>
      </c>
    </row>
    <row r="1613">
      <c r="A1613" s="93" t="str">
        <f t="shared" si="2"/>
        <v>#15462</v>
      </c>
      <c r="B1613" s="93" t="str">
        <f>IF(AND(COUNTIF(MAIN!B:B, A1613)=0, IFERROR(SEARCH("return", C1613)&gt;0, FALSE)), "Rental Return", IF(COUNTIF(MAIN!B:B, A1613)=0, "Missing", ""))</f>
        <v/>
      </c>
      <c r="C1613" s="128"/>
      <c r="E1613" s="128" t="str">
        <f t="shared" si="1"/>
        <v/>
      </c>
    </row>
    <row r="1614">
      <c r="A1614" s="93" t="str">
        <f t="shared" si="2"/>
        <v>#15463</v>
      </c>
      <c r="B1614" s="93" t="str">
        <f>IF(AND(COUNTIF(MAIN!B:B, A1614)=0, IFERROR(SEARCH("return", C1614)&gt;0, FALSE)), "Rental Return", IF(COUNTIF(MAIN!B:B, A1614)=0, "Missing", ""))</f>
        <v/>
      </c>
      <c r="C1614" s="128"/>
      <c r="E1614" s="128" t="str">
        <f t="shared" si="1"/>
        <v/>
      </c>
    </row>
    <row r="1615">
      <c r="A1615" s="93" t="str">
        <f t="shared" si="2"/>
        <v>#15464</v>
      </c>
      <c r="B1615" s="93" t="str">
        <f>IF(AND(COUNTIF(MAIN!B:B, A1615)=0, IFERROR(SEARCH("return", C1615)&gt;0, FALSE)), "Rental Return", IF(COUNTIF(MAIN!B:B, A1615)=0, "Missing", ""))</f>
        <v/>
      </c>
      <c r="C1615" s="128"/>
      <c r="E1615" s="128" t="str">
        <f t="shared" si="1"/>
        <v/>
      </c>
    </row>
    <row r="1616">
      <c r="A1616" s="93" t="str">
        <f t="shared" si="2"/>
        <v>#15465</v>
      </c>
      <c r="B1616" s="93" t="str">
        <f>IF(AND(COUNTIF(MAIN!B:B, A1616)=0, IFERROR(SEARCH("return", C1616)&gt;0, FALSE)), "Rental Return", IF(COUNTIF(MAIN!B:B, A1616)=0, "Missing", ""))</f>
        <v/>
      </c>
      <c r="C1616" s="128"/>
      <c r="E1616" s="128" t="str">
        <f t="shared" si="1"/>
        <v/>
      </c>
    </row>
    <row r="1617">
      <c r="A1617" s="93" t="str">
        <f t="shared" si="2"/>
        <v>#15466</v>
      </c>
      <c r="B1617" s="93" t="str">
        <f>IF(AND(COUNTIF(MAIN!B:B, A1617)=0, IFERROR(SEARCH("return", C1617)&gt;0, FALSE)), "Rental Return", IF(COUNTIF(MAIN!B:B, A1617)=0, "Missing", ""))</f>
        <v/>
      </c>
      <c r="C1617" s="128"/>
      <c r="E1617" s="128" t="str">
        <f t="shared" si="1"/>
        <v/>
      </c>
    </row>
    <row r="1618">
      <c r="A1618" s="93" t="str">
        <f t="shared" si="2"/>
        <v>#15467</v>
      </c>
      <c r="B1618" s="93" t="str">
        <f>IF(AND(COUNTIF(MAIN!B:B, A1618)=0, IFERROR(SEARCH("return", C1618)&gt;0, FALSE)), "Rental Return", IF(COUNTIF(MAIN!B:B, A1618)=0, "Missing", ""))</f>
        <v/>
      </c>
      <c r="C1618" s="128"/>
      <c r="E1618" s="128" t="str">
        <f t="shared" si="1"/>
        <v/>
      </c>
    </row>
    <row r="1619">
      <c r="A1619" s="93" t="str">
        <f t="shared" si="2"/>
        <v>#15468</v>
      </c>
      <c r="B1619" s="93" t="str">
        <f>IF(AND(COUNTIF(MAIN!B:B, A1619)=0, IFERROR(SEARCH("return", C1619)&gt;0, FALSE)), "Rental Return", IF(COUNTIF(MAIN!B:B, A1619)=0, "Missing", ""))</f>
        <v/>
      </c>
      <c r="C1619" s="128"/>
      <c r="E1619" s="128" t="str">
        <f t="shared" si="1"/>
        <v/>
      </c>
    </row>
    <row r="1620">
      <c r="A1620" s="93" t="str">
        <f t="shared" si="2"/>
        <v>#15469</v>
      </c>
      <c r="B1620" s="93" t="str">
        <f>IF(AND(COUNTIF(MAIN!B:B, A1620)=0, IFERROR(SEARCH("return", C1620)&gt;0, FALSE)), "Rental Return", IF(COUNTIF(MAIN!B:B, A1620)=0, "Missing", ""))</f>
        <v/>
      </c>
      <c r="C1620" s="128"/>
      <c r="E1620" s="128" t="str">
        <f t="shared" si="1"/>
        <v/>
      </c>
    </row>
    <row r="1621">
      <c r="A1621" s="93" t="str">
        <f t="shared" si="2"/>
        <v>#15470</v>
      </c>
      <c r="B1621" s="93" t="str">
        <f>IF(AND(COUNTIF(MAIN!B:B, A1621)=0, IFERROR(SEARCH("return", C1621)&gt;0, FALSE)), "Rental Return", IF(COUNTIF(MAIN!B:B, A1621)=0, "Missing", ""))</f>
        <v/>
      </c>
      <c r="C1621" s="128"/>
      <c r="E1621" s="128" t="str">
        <f t="shared" si="1"/>
        <v/>
      </c>
    </row>
    <row r="1622">
      <c r="A1622" s="93" t="str">
        <f t="shared" si="2"/>
        <v>#15471</v>
      </c>
      <c r="B1622" s="93" t="str">
        <f>IF(AND(COUNTIF(MAIN!B:B, A1622)=0, IFERROR(SEARCH("return", C1622)&gt;0, FALSE)), "Rental Return", IF(COUNTIF(MAIN!B:B, A1622)=0, "Missing", ""))</f>
        <v/>
      </c>
      <c r="C1622" s="128"/>
      <c r="E1622" s="128" t="str">
        <f t="shared" si="1"/>
        <v/>
      </c>
    </row>
    <row r="1623">
      <c r="A1623" s="93" t="str">
        <f t="shared" si="2"/>
        <v>#15472</v>
      </c>
      <c r="B1623" s="93" t="str">
        <f>IF(AND(COUNTIF(MAIN!B:B, A1623)=0, IFERROR(SEARCH("return", C1623)&gt;0, FALSE)), "Rental Return", IF(COUNTIF(MAIN!B:B, A1623)=0, "Missing", ""))</f>
        <v/>
      </c>
      <c r="C1623" s="128"/>
      <c r="E1623" s="128" t="str">
        <f t="shared" si="1"/>
        <v/>
      </c>
    </row>
    <row r="1624">
      <c r="A1624" s="93" t="str">
        <f t="shared" si="2"/>
        <v>#15473</v>
      </c>
      <c r="B1624" s="93" t="str">
        <f>IF(AND(COUNTIF(MAIN!B:B, A1624)=0, IFERROR(SEARCH("return", C1624)&gt;0, FALSE)), "Rental Return", IF(COUNTIF(MAIN!B:B, A1624)=0, "Missing", ""))</f>
        <v/>
      </c>
      <c r="C1624" s="128"/>
      <c r="E1624" s="128" t="str">
        <f t="shared" si="1"/>
        <v/>
      </c>
    </row>
    <row r="1625">
      <c r="A1625" s="93" t="str">
        <f t="shared" si="2"/>
        <v>#15474</v>
      </c>
      <c r="B1625" s="93" t="str">
        <f>IF(AND(COUNTIF(MAIN!B:B, A1625)=0, IFERROR(SEARCH("return", C1625)&gt;0, FALSE)), "Rental Return", IF(COUNTIF(MAIN!B:B, A1625)=0, "Missing", ""))</f>
        <v/>
      </c>
      <c r="C1625" s="128"/>
      <c r="E1625" s="128" t="str">
        <f t="shared" si="1"/>
        <v/>
      </c>
    </row>
    <row r="1626">
      <c r="A1626" s="93" t="str">
        <f t="shared" si="2"/>
        <v>#15475</v>
      </c>
      <c r="B1626" s="93" t="str">
        <f>IF(AND(COUNTIF(MAIN!B:B, A1626)=0, IFERROR(SEARCH("return", C1626)&gt;0, FALSE)), "Rental Return", IF(COUNTIF(MAIN!B:B, A1626)=0, "Missing", ""))</f>
        <v/>
      </c>
      <c r="C1626" s="128"/>
      <c r="E1626" s="128" t="str">
        <f t="shared" si="1"/>
        <v/>
      </c>
    </row>
    <row r="1627">
      <c r="A1627" s="93" t="str">
        <f t="shared" si="2"/>
        <v>#15476</v>
      </c>
      <c r="B1627" s="93" t="str">
        <f>IF(AND(COUNTIF(MAIN!B:B, A1627)=0, IFERROR(SEARCH("return", C1627)&gt;0, FALSE)), "Rental Return", IF(COUNTIF(MAIN!B:B, A1627)=0, "Missing", ""))</f>
        <v/>
      </c>
      <c r="C1627" s="128"/>
      <c r="E1627" s="128" t="str">
        <f t="shared" si="1"/>
        <v/>
      </c>
    </row>
    <row r="1628">
      <c r="A1628" s="93" t="str">
        <f t="shared" si="2"/>
        <v>#15477</v>
      </c>
      <c r="B1628" s="93" t="str">
        <f>IF(AND(COUNTIF(MAIN!B:B, A1628)=0, IFERROR(SEARCH("return", C1628)&gt;0, FALSE)), "Rental Return", IF(COUNTIF(MAIN!B:B, A1628)=0, "Missing", ""))</f>
        <v/>
      </c>
      <c r="C1628" s="128"/>
      <c r="E1628" s="128" t="str">
        <f t="shared" si="1"/>
        <v/>
      </c>
    </row>
    <row r="1629">
      <c r="A1629" s="93" t="str">
        <f t="shared" si="2"/>
        <v>#15478</v>
      </c>
      <c r="B1629" s="93" t="str">
        <f>IF(AND(COUNTIF(MAIN!B:B, A1629)=0, IFERROR(SEARCH("return", C1629)&gt;0, FALSE)), "Rental Return", IF(COUNTIF(MAIN!B:B, A1629)=0, "Missing", ""))</f>
        <v/>
      </c>
      <c r="C1629" s="128"/>
      <c r="E1629" s="128" t="str">
        <f t="shared" si="1"/>
        <v/>
      </c>
    </row>
    <row r="1630">
      <c r="A1630" s="93" t="str">
        <f t="shared" si="2"/>
        <v>#15479</v>
      </c>
      <c r="B1630" s="93" t="str">
        <f>IF(AND(COUNTIF(MAIN!B:B, A1630)=0, IFERROR(SEARCH("return", C1630)&gt;0, FALSE)), "Rental Return", IF(COUNTIF(MAIN!B:B, A1630)=0, "Missing", ""))</f>
        <v/>
      </c>
      <c r="C1630" s="128"/>
      <c r="E1630" s="128" t="str">
        <f t="shared" si="1"/>
        <v/>
      </c>
    </row>
    <row r="1631">
      <c r="A1631" s="93" t="str">
        <f t="shared" si="2"/>
        <v>#15480</v>
      </c>
      <c r="B1631" s="93" t="str">
        <f>IF(AND(COUNTIF(MAIN!B:B, A1631)=0, IFERROR(SEARCH("return", C1631)&gt;0, FALSE)), "Rental Return", IF(COUNTIF(MAIN!B:B, A1631)=0, "Missing", ""))</f>
        <v/>
      </c>
      <c r="C1631" s="128"/>
      <c r="E1631" s="128" t="str">
        <f t="shared" si="1"/>
        <v/>
      </c>
    </row>
    <row r="1632">
      <c r="A1632" s="93" t="str">
        <f t="shared" si="2"/>
        <v>#15481</v>
      </c>
      <c r="B1632" s="93" t="str">
        <f>IF(AND(COUNTIF(MAIN!B:B, A1632)=0, IFERROR(SEARCH("return", C1632)&gt;0, FALSE)), "Rental Return", IF(COUNTIF(MAIN!B:B, A1632)=0, "Missing", ""))</f>
        <v/>
      </c>
      <c r="C1632" s="128"/>
      <c r="E1632" s="128" t="str">
        <f t="shared" si="1"/>
        <v/>
      </c>
    </row>
    <row r="1633">
      <c r="A1633" s="93" t="str">
        <f t="shared" si="2"/>
        <v>#15482</v>
      </c>
      <c r="B1633" s="93" t="str">
        <f>IF(AND(COUNTIF(MAIN!B:B, A1633)=0, IFERROR(SEARCH("return", C1633)&gt;0, FALSE)), "Rental Return", IF(COUNTIF(MAIN!B:B, A1633)=0, "Missing", ""))</f>
        <v/>
      </c>
      <c r="C1633" s="128"/>
      <c r="E1633" s="128" t="str">
        <f t="shared" si="1"/>
        <v/>
      </c>
    </row>
    <row r="1634">
      <c r="A1634" s="93" t="str">
        <f t="shared" si="2"/>
        <v>#15483</v>
      </c>
      <c r="B1634" s="93" t="str">
        <f>IF(AND(COUNTIF(MAIN!B:B, A1634)=0, IFERROR(SEARCH("return", C1634)&gt;0, FALSE)), "Rental Return", IF(COUNTIF(MAIN!B:B, A1634)=0, "Missing", ""))</f>
        <v/>
      </c>
      <c r="C1634" s="128"/>
      <c r="E1634" s="128" t="str">
        <f t="shared" si="1"/>
        <v/>
      </c>
    </row>
    <row r="1635">
      <c r="A1635" s="93" t="str">
        <f t="shared" si="2"/>
        <v>#15484</v>
      </c>
      <c r="B1635" s="93" t="str">
        <f>IF(AND(COUNTIF(MAIN!B:B, A1635)=0, IFERROR(SEARCH("return", C1635)&gt;0, FALSE)), "Rental Return", IF(COUNTIF(MAIN!B:B, A1635)=0, "Missing", ""))</f>
        <v/>
      </c>
      <c r="C1635" s="128"/>
      <c r="E1635" s="128" t="str">
        <f t="shared" si="1"/>
        <v/>
      </c>
    </row>
    <row r="1636">
      <c r="A1636" s="93" t="str">
        <f t="shared" si="2"/>
        <v>#15485</v>
      </c>
      <c r="B1636" s="93" t="str">
        <f>IF(AND(COUNTIF(MAIN!B:B, A1636)=0, IFERROR(SEARCH("return", C1636)&gt;0, FALSE)), "Rental Return", IF(COUNTIF(MAIN!B:B, A1636)=0, "Missing", ""))</f>
        <v/>
      </c>
      <c r="C1636" s="128"/>
      <c r="E1636" s="128" t="str">
        <f t="shared" si="1"/>
        <v/>
      </c>
    </row>
    <row r="1637">
      <c r="A1637" s="93" t="str">
        <f t="shared" si="2"/>
        <v>#15486</v>
      </c>
      <c r="B1637" s="93" t="str">
        <f>IF(AND(COUNTIF(MAIN!B:B, A1637)=0, IFERROR(SEARCH("return", C1637)&gt;0, FALSE)), "Rental Return", IF(COUNTIF(MAIN!B:B, A1637)=0, "Missing", ""))</f>
        <v/>
      </c>
      <c r="C1637" s="128"/>
      <c r="E1637" s="128" t="str">
        <f t="shared" si="1"/>
        <v/>
      </c>
    </row>
    <row r="1638">
      <c r="A1638" s="93" t="str">
        <f t="shared" si="2"/>
        <v>#15487</v>
      </c>
      <c r="B1638" s="93" t="str">
        <f>IF(AND(COUNTIF(MAIN!B:B, A1638)=0, IFERROR(SEARCH("return", C1638)&gt;0, FALSE)), "Rental Return", IF(COUNTIF(MAIN!B:B, A1638)=0, "Missing", ""))</f>
        <v/>
      </c>
      <c r="C1638" s="128"/>
      <c r="E1638" s="128" t="str">
        <f t="shared" si="1"/>
        <v/>
      </c>
    </row>
    <row r="1639">
      <c r="A1639" s="93" t="str">
        <f t="shared" si="2"/>
        <v>#15488</v>
      </c>
      <c r="B1639" s="93" t="str">
        <f>IF(AND(COUNTIF(MAIN!B:B, A1639)=0, IFERROR(SEARCH("return", C1639)&gt;0, FALSE)), "Rental Return", IF(COUNTIF(MAIN!B:B, A1639)=0, "Missing", ""))</f>
        <v/>
      </c>
      <c r="C1639" s="128"/>
      <c r="E1639" s="128" t="str">
        <f t="shared" si="1"/>
        <v/>
      </c>
    </row>
    <row r="1640">
      <c r="A1640" s="93" t="str">
        <f t="shared" si="2"/>
        <v>#15489</v>
      </c>
      <c r="B1640" s="93" t="str">
        <f>IF(AND(COUNTIF(MAIN!B:B, A1640)=0, IFERROR(SEARCH("return", C1640)&gt;0, FALSE)), "Rental Return", IF(COUNTIF(MAIN!B:B, A1640)=0, "Missing", ""))</f>
        <v/>
      </c>
      <c r="C1640" s="128"/>
      <c r="E1640" s="128" t="str">
        <f t="shared" si="1"/>
        <v/>
      </c>
    </row>
    <row r="1641">
      <c r="A1641" s="93" t="str">
        <f t="shared" si="2"/>
        <v>#15490</v>
      </c>
      <c r="B1641" s="93" t="str">
        <f>IF(AND(COUNTIF(MAIN!B:B, A1641)=0, IFERROR(SEARCH("return", C1641)&gt;0, FALSE)), "Rental Return", IF(COUNTIF(MAIN!B:B, A1641)=0, "Missing", ""))</f>
        <v/>
      </c>
      <c r="C1641" s="128"/>
      <c r="E1641" s="128" t="str">
        <f t="shared" si="1"/>
        <v/>
      </c>
    </row>
    <row r="1642">
      <c r="A1642" s="93" t="str">
        <f t="shared" si="2"/>
        <v>#15491</v>
      </c>
      <c r="B1642" s="93" t="str">
        <f>IF(AND(COUNTIF(MAIN!B:B, A1642)=0, IFERROR(SEARCH("return", C1642)&gt;0, FALSE)), "Rental Return", IF(COUNTIF(MAIN!B:B, A1642)=0, "Missing", ""))</f>
        <v/>
      </c>
      <c r="C1642" s="128"/>
      <c r="E1642" s="128" t="str">
        <f t="shared" si="1"/>
        <v/>
      </c>
    </row>
    <row r="1643">
      <c r="A1643" s="93" t="str">
        <f t="shared" si="2"/>
        <v>#15492</v>
      </c>
      <c r="B1643" s="93" t="str">
        <f>IF(AND(COUNTIF(MAIN!B:B, A1643)=0, IFERROR(SEARCH("return", C1643)&gt;0, FALSE)), "Rental Return", IF(COUNTIF(MAIN!B:B, A1643)=0, "Missing", ""))</f>
        <v/>
      </c>
      <c r="C1643" s="128"/>
      <c r="E1643" s="128" t="str">
        <f t="shared" si="1"/>
        <v/>
      </c>
    </row>
    <row r="1644">
      <c r="A1644" s="93" t="str">
        <f t="shared" si="2"/>
        <v>#15493</v>
      </c>
      <c r="B1644" s="93" t="str">
        <f>IF(AND(COUNTIF(MAIN!B:B, A1644)=0, IFERROR(SEARCH("return", C1644)&gt;0, FALSE)), "Rental Return", IF(COUNTIF(MAIN!B:B, A1644)=0, "Missing", ""))</f>
        <v/>
      </c>
      <c r="C1644" s="128"/>
      <c r="E1644" s="128" t="str">
        <f t="shared" si="1"/>
        <v/>
      </c>
    </row>
    <row r="1645">
      <c r="A1645" s="93" t="str">
        <f t="shared" si="2"/>
        <v>#15494</v>
      </c>
      <c r="B1645" s="93" t="str">
        <f>IF(AND(COUNTIF(MAIN!B:B, A1645)=0, IFERROR(SEARCH("return", C1645)&gt;0, FALSE)), "Rental Return", IF(COUNTIF(MAIN!B:B, A1645)=0, "Missing", ""))</f>
        <v/>
      </c>
      <c r="C1645" s="128"/>
      <c r="E1645" s="128" t="str">
        <f t="shared" si="1"/>
        <v/>
      </c>
    </row>
    <row r="1646">
      <c r="A1646" s="93" t="str">
        <f t="shared" si="2"/>
        <v>#15495</v>
      </c>
      <c r="B1646" s="93" t="str">
        <f>IF(AND(COUNTIF(MAIN!B:B, A1646)=0, IFERROR(SEARCH("return", C1646)&gt;0, FALSE)), "Rental Return", IF(COUNTIF(MAIN!B:B, A1646)=0, "Missing", ""))</f>
        <v/>
      </c>
      <c r="C1646" s="128"/>
      <c r="E1646" s="128" t="str">
        <f t="shared" si="1"/>
        <v/>
      </c>
    </row>
    <row r="1647">
      <c r="A1647" s="93" t="str">
        <f t="shared" si="2"/>
        <v>#15496</v>
      </c>
      <c r="B1647" s="93" t="str">
        <f>IF(AND(COUNTIF(MAIN!B:B, A1647)=0, IFERROR(SEARCH("return", C1647)&gt;0, FALSE)), "Rental Return", IF(COUNTIF(MAIN!B:B, A1647)=0, "Missing", ""))</f>
        <v/>
      </c>
      <c r="C1647" s="128"/>
      <c r="E1647" s="128" t="str">
        <f t="shared" si="1"/>
        <v/>
      </c>
    </row>
    <row r="1648">
      <c r="A1648" s="93" t="str">
        <f t="shared" si="2"/>
        <v>#15497</v>
      </c>
      <c r="B1648" s="93" t="str">
        <f>IF(AND(COUNTIF(MAIN!B:B, A1648)=0, IFERROR(SEARCH("return", C1648)&gt;0, FALSE)), "Rental Return", IF(COUNTIF(MAIN!B:B, A1648)=0, "Missing", ""))</f>
        <v/>
      </c>
      <c r="C1648" s="128"/>
      <c r="E1648" s="128" t="str">
        <f t="shared" si="1"/>
        <v/>
      </c>
    </row>
    <row r="1649">
      <c r="A1649" s="93" t="str">
        <f t="shared" si="2"/>
        <v>#15498</v>
      </c>
      <c r="B1649" s="93" t="str">
        <f>IF(AND(COUNTIF(MAIN!B:B, A1649)=0, IFERROR(SEARCH("return", C1649)&gt;0, FALSE)), "Rental Return", IF(COUNTIF(MAIN!B:B, A1649)=0, "Missing", ""))</f>
        <v/>
      </c>
      <c r="C1649" s="128"/>
      <c r="E1649" s="128" t="str">
        <f t="shared" si="1"/>
        <v/>
      </c>
    </row>
    <row r="1650">
      <c r="A1650" s="93" t="str">
        <f t="shared" si="2"/>
        <v>#15499</v>
      </c>
      <c r="B1650" s="93" t="str">
        <f>IF(AND(COUNTIF(MAIN!B:B, A1650)=0, IFERROR(SEARCH("return", C1650)&gt;0, FALSE)), "Rental Return", IF(COUNTIF(MAIN!B:B, A1650)=0, "Missing", ""))</f>
        <v/>
      </c>
      <c r="C1650" s="128"/>
      <c r="E1650" s="128" t="str">
        <f t="shared" si="1"/>
        <v/>
      </c>
    </row>
    <row r="1651">
      <c r="A1651" s="93" t="str">
        <f t="shared" si="2"/>
        <v>#15500</v>
      </c>
      <c r="B1651" s="93" t="str">
        <f>IF(AND(COUNTIF(MAIN!B:B, A1651)=0, IFERROR(SEARCH("return", C1651)&gt;0, FALSE)), "Rental Return", IF(COUNTIF(MAIN!B:B, A1651)=0, "Missing", ""))</f>
        <v/>
      </c>
      <c r="C1651" s="128"/>
      <c r="E1651" s="128" t="str">
        <f t="shared" si="1"/>
        <v/>
      </c>
    </row>
    <row r="1652">
      <c r="A1652" s="93" t="str">
        <f t="shared" si="2"/>
        <v>#15501</v>
      </c>
      <c r="B1652" s="93" t="str">
        <f>IF(AND(COUNTIF(MAIN!B:B, A1652)=0, IFERROR(SEARCH("return", C1652)&gt;0, FALSE)), "Rental Return", IF(COUNTIF(MAIN!B:B, A1652)=0, "Missing", ""))</f>
        <v/>
      </c>
      <c r="C1652" s="128"/>
      <c r="E1652" s="128" t="str">
        <f t="shared" si="1"/>
        <v/>
      </c>
    </row>
    <row r="1653">
      <c r="A1653" s="93" t="str">
        <f t="shared" si="2"/>
        <v>#15502</v>
      </c>
      <c r="B1653" s="93" t="str">
        <f>IF(AND(COUNTIF(MAIN!B:B, A1653)=0, IFERROR(SEARCH("return", C1653)&gt;0, FALSE)), "Rental Return", IF(COUNTIF(MAIN!B:B, A1653)=0, "Missing", ""))</f>
        <v/>
      </c>
      <c r="C1653" s="128"/>
      <c r="E1653" s="128" t="str">
        <f t="shared" si="1"/>
        <v/>
      </c>
    </row>
    <row r="1654">
      <c r="A1654" s="93" t="str">
        <f t="shared" si="2"/>
        <v>#15503</v>
      </c>
      <c r="B1654" s="93" t="str">
        <f>IF(AND(COUNTIF(MAIN!B:B, A1654)=0, IFERROR(SEARCH("return", C1654)&gt;0, FALSE)), "Rental Return", IF(COUNTIF(MAIN!B:B, A1654)=0, "Missing", ""))</f>
        <v/>
      </c>
      <c r="C1654" s="128"/>
      <c r="E1654" s="128" t="str">
        <f t="shared" si="1"/>
        <v/>
      </c>
    </row>
    <row r="1655">
      <c r="A1655" s="93" t="str">
        <f t="shared" si="2"/>
        <v>#15504</v>
      </c>
      <c r="B1655" s="93" t="str">
        <f>IF(AND(COUNTIF(MAIN!B:B, A1655)=0, IFERROR(SEARCH("return", C1655)&gt;0, FALSE)), "Rental Return", IF(COUNTIF(MAIN!B:B, A1655)=0, "Missing", ""))</f>
        <v/>
      </c>
      <c r="C1655" s="128"/>
      <c r="E1655" s="128" t="str">
        <f t="shared" si="1"/>
        <v/>
      </c>
    </row>
    <row r="1656">
      <c r="A1656" s="93" t="str">
        <f t="shared" si="2"/>
        <v>#15505</v>
      </c>
      <c r="B1656" s="93" t="str">
        <f>IF(AND(COUNTIF(MAIN!B:B, A1656)=0, IFERROR(SEARCH("return", C1656)&gt;0, FALSE)), "Rental Return", IF(COUNTIF(MAIN!B:B, A1656)=0, "Missing", ""))</f>
        <v/>
      </c>
      <c r="C1656" s="128"/>
      <c r="E1656" s="128" t="str">
        <f t="shared" si="1"/>
        <v/>
      </c>
    </row>
    <row r="1657">
      <c r="A1657" s="93" t="str">
        <f t="shared" si="2"/>
        <v>#15506</v>
      </c>
      <c r="B1657" s="93" t="str">
        <f>IF(AND(COUNTIF(MAIN!B:B, A1657)=0, IFERROR(SEARCH("return", C1657)&gt;0, FALSE)), "Rental Return", IF(COUNTIF(MAIN!B:B, A1657)=0, "Missing", ""))</f>
        <v/>
      </c>
      <c r="C1657" s="128"/>
      <c r="E1657" s="128" t="str">
        <f t="shared" si="1"/>
        <v/>
      </c>
    </row>
    <row r="1658">
      <c r="A1658" s="93" t="str">
        <f t="shared" si="2"/>
        <v>#15507</v>
      </c>
      <c r="B1658" s="93" t="str">
        <f>IF(AND(COUNTIF(MAIN!B:B, A1658)=0, IFERROR(SEARCH("return", C1658)&gt;0, FALSE)), "Rental Return", IF(COUNTIF(MAIN!B:B, A1658)=0, "Missing", ""))</f>
        <v/>
      </c>
      <c r="C1658" s="128"/>
      <c r="E1658" s="128" t="str">
        <f t="shared" si="1"/>
        <v/>
      </c>
    </row>
    <row r="1659">
      <c r="A1659" s="93" t="str">
        <f t="shared" si="2"/>
        <v>#15508</v>
      </c>
      <c r="B1659" s="93" t="str">
        <f>IF(AND(COUNTIF(MAIN!B:B, A1659)=0, IFERROR(SEARCH("return", C1659)&gt;0, FALSE)), "Rental Return", IF(COUNTIF(MAIN!B:B, A1659)=0, "Missing", ""))</f>
        <v/>
      </c>
      <c r="C1659" s="128"/>
      <c r="E1659" s="128" t="str">
        <f t="shared" si="1"/>
        <v/>
      </c>
    </row>
    <row r="1660">
      <c r="A1660" s="93" t="str">
        <f t="shared" si="2"/>
        <v>#15509</v>
      </c>
      <c r="B1660" s="93" t="str">
        <f>IF(AND(COUNTIF(MAIN!B:B, A1660)=0, IFERROR(SEARCH("return", C1660)&gt;0, FALSE)), "Rental Return", IF(COUNTIF(MAIN!B:B, A1660)=0, "Missing", ""))</f>
        <v/>
      </c>
      <c r="C1660" s="128"/>
      <c r="E1660" s="128" t="str">
        <f t="shared" si="1"/>
        <v/>
      </c>
    </row>
    <row r="1661">
      <c r="A1661" s="93" t="str">
        <f t="shared" si="2"/>
        <v>#15510</v>
      </c>
      <c r="B1661" s="93" t="str">
        <f>IF(AND(COUNTIF(MAIN!B:B, A1661)=0, IFERROR(SEARCH("return", C1661)&gt;0, FALSE)), "Rental Return", IF(COUNTIF(MAIN!B:B, A1661)=0, "Missing", ""))</f>
        <v/>
      </c>
      <c r="C1661" s="128"/>
      <c r="E1661" s="128" t="str">
        <f t="shared" si="1"/>
        <v/>
      </c>
    </row>
    <row r="1662">
      <c r="A1662" s="93" t="str">
        <f t="shared" si="2"/>
        <v>#15511</v>
      </c>
      <c r="B1662" s="93" t="str">
        <f>IF(AND(COUNTIF(MAIN!B:B, A1662)=0, IFERROR(SEARCH("return", C1662)&gt;0, FALSE)), "Rental Return", IF(COUNTIF(MAIN!B:B, A1662)=0, "Missing", ""))</f>
        <v/>
      </c>
      <c r="C1662" s="128"/>
      <c r="E1662" s="128" t="str">
        <f t="shared" si="1"/>
        <v/>
      </c>
    </row>
    <row r="1663">
      <c r="A1663" s="93" t="str">
        <f t="shared" si="2"/>
        <v>#15512</v>
      </c>
      <c r="B1663" s="93" t="str">
        <f>IF(AND(COUNTIF(MAIN!B:B, A1663)=0, IFERROR(SEARCH("return", C1663)&gt;0, FALSE)), "Rental Return", IF(COUNTIF(MAIN!B:B, A1663)=0, "Missing", ""))</f>
        <v/>
      </c>
      <c r="C1663" s="128"/>
      <c r="E1663" s="128" t="str">
        <f t="shared" si="1"/>
        <v/>
      </c>
    </row>
    <row r="1664">
      <c r="A1664" s="93" t="str">
        <f t="shared" si="2"/>
        <v>#15513</v>
      </c>
      <c r="B1664" s="93" t="str">
        <f>IF(AND(COUNTIF(MAIN!B:B, A1664)=0, IFERROR(SEARCH("return", C1664)&gt;0, FALSE)), "Rental Return", IF(COUNTIF(MAIN!B:B, A1664)=0, "Missing", ""))</f>
        <v/>
      </c>
      <c r="C1664" s="128"/>
      <c r="E1664" s="128" t="str">
        <f t="shared" si="1"/>
        <v/>
      </c>
    </row>
    <row r="1665">
      <c r="A1665" s="93" t="str">
        <f t="shared" si="2"/>
        <v>#15514</v>
      </c>
      <c r="B1665" s="93" t="str">
        <f>IF(AND(COUNTIF(MAIN!B:B, A1665)=0, IFERROR(SEARCH("return", C1665)&gt;0, FALSE)), "Rental Return", IF(COUNTIF(MAIN!B:B, A1665)=0, "Missing", ""))</f>
        <v/>
      </c>
      <c r="C1665" s="133" t="s">
        <v>15232</v>
      </c>
      <c r="D1665" s="132">
        <v>45859.0</v>
      </c>
      <c r="E1665" s="128" t="str">
        <f t="shared" si="1"/>
        <v/>
      </c>
    </row>
    <row r="1666">
      <c r="A1666" s="93" t="str">
        <f t="shared" si="2"/>
        <v>#15515</v>
      </c>
      <c r="B1666" s="93" t="str">
        <f>IF(AND(COUNTIF(MAIN!B:B, A1666)=0, IFERROR(SEARCH("return", C1666)&gt;0, FALSE)), "Rental Return", IF(COUNTIF(MAIN!B:B, A1666)=0, "Missing", ""))</f>
        <v/>
      </c>
      <c r="C1666" s="128"/>
      <c r="E1666" s="128" t="str">
        <f t="shared" si="1"/>
        <v/>
      </c>
    </row>
    <row r="1667">
      <c r="A1667" s="93" t="str">
        <f t="shared" si="2"/>
        <v>#15516</v>
      </c>
      <c r="B1667" s="93" t="str">
        <f>IF(AND(COUNTIF(MAIN!B:B, A1667)=0, IFERROR(SEARCH("return", C1667)&gt;0, FALSE)), "Rental Return", IF(COUNTIF(MAIN!B:B, A1667)=0, "Missing", ""))</f>
        <v/>
      </c>
      <c r="C1667" s="128"/>
      <c r="E1667" s="128" t="str">
        <f t="shared" si="1"/>
        <v/>
      </c>
    </row>
    <row r="1668">
      <c r="A1668" s="93" t="str">
        <f t="shared" si="2"/>
        <v>#15517</v>
      </c>
      <c r="B1668" s="93" t="str">
        <f>IF(AND(COUNTIF(MAIN!B:B, A1668)=0, IFERROR(SEARCH("return", C1668)&gt;0, FALSE)), "Rental Return", IF(COUNTIF(MAIN!B:B, A1668)=0, "Missing", ""))</f>
        <v/>
      </c>
      <c r="C1668" s="128"/>
      <c r="E1668" s="128" t="str">
        <f t="shared" si="1"/>
        <v/>
      </c>
    </row>
    <row r="1669">
      <c r="A1669" s="93" t="str">
        <f t="shared" si="2"/>
        <v>#15518</v>
      </c>
      <c r="B1669" s="93" t="str">
        <f>IF(AND(COUNTIF(MAIN!B:B, A1669)=0, IFERROR(SEARCH("return", C1669)&gt;0, FALSE)), "Rental Return", IF(COUNTIF(MAIN!B:B, A1669)=0, "Missing", ""))</f>
        <v/>
      </c>
      <c r="C1669" s="128"/>
      <c r="E1669" s="128" t="str">
        <f t="shared" si="1"/>
        <v/>
      </c>
    </row>
    <row r="1670">
      <c r="A1670" s="93" t="str">
        <f t="shared" si="2"/>
        <v>#15519</v>
      </c>
      <c r="B1670" s="93" t="str">
        <f>IF(AND(COUNTIF(MAIN!B:B, A1670)=0, IFERROR(SEARCH("return", C1670)&gt;0, FALSE)), "Rental Return", IF(COUNTIF(MAIN!B:B, A1670)=0, "Missing", ""))</f>
        <v/>
      </c>
      <c r="C1670" s="128"/>
      <c r="E1670" s="128" t="str">
        <f t="shared" si="1"/>
        <v/>
      </c>
    </row>
    <row r="1671">
      <c r="A1671" s="93" t="str">
        <f t="shared" si="2"/>
        <v>#15520</v>
      </c>
      <c r="B1671" s="93" t="str">
        <f>IF(AND(COUNTIF(MAIN!B:B, A1671)=0, IFERROR(SEARCH("return", C1671)&gt;0, FALSE)), "Rental Return", IF(COUNTIF(MAIN!B:B, A1671)=0, "Missing", ""))</f>
        <v/>
      </c>
      <c r="C1671" s="128"/>
      <c r="E1671" s="128" t="str">
        <f t="shared" si="1"/>
        <v/>
      </c>
    </row>
    <row r="1672">
      <c r="A1672" s="93" t="str">
        <f t="shared" si="2"/>
        <v>#15521</v>
      </c>
      <c r="B1672" s="93" t="str">
        <f>IF(AND(COUNTIF(MAIN!B:B, A1672)=0, IFERROR(SEARCH("return", C1672)&gt;0, FALSE)), "Rental Return", IF(COUNTIF(MAIN!B:B, A1672)=0, "Missing", ""))</f>
        <v/>
      </c>
      <c r="C1672" s="128"/>
      <c r="E1672" s="128" t="str">
        <f t="shared" si="1"/>
        <v/>
      </c>
    </row>
    <row r="1673">
      <c r="A1673" s="93" t="str">
        <f t="shared" si="2"/>
        <v>#15522</v>
      </c>
      <c r="B1673" s="93" t="str">
        <f>IF(AND(COUNTIF(MAIN!B:B, A1673)=0, IFERROR(SEARCH("return", C1673)&gt;0, FALSE)), "Rental Return", IF(COUNTIF(MAIN!B:B, A1673)=0, "Missing", ""))</f>
        <v/>
      </c>
      <c r="C1673" s="128"/>
      <c r="E1673" s="128" t="str">
        <f t="shared" si="1"/>
        <v/>
      </c>
    </row>
    <row r="1674">
      <c r="A1674" s="93" t="str">
        <f t="shared" si="2"/>
        <v>#15523</v>
      </c>
      <c r="B1674" s="93" t="str">
        <f>IF(AND(COUNTIF(MAIN!B:B, A1674)=0, IFERROR(SEARCH("return", C1674)&gt;0, FALSE)), "Rental Return", IF(COUNTIF(MAIN!B:B, A1674)=0, "Missing", ""))</f>
        <v/>
      </c>
      <c r="C1674" s="128"/>
      <c r="E1674" s="128" t="str">
        <f t="shared" si="1"/>
        <v/>
      </c>
    </row>
    <row r="1675">
      <c r="A1675" s="93" t="str">
        <f t="shared" si="2"/>
        <v>#15524</v>
      </c>
      <c r="B1675" s="93" t="str">
        <f>IF(AND(COUNTIF(MAIN!B:B, A1675)=0, IFERROR(SEARCH("return", C1675)&gt;0, FALSE)), "Rental Return", IF(COUNTIF(MAIN!B:B, A1675)=0, "Missing", ""))</f>
        <v/>
      </c>
      <c r="C1675" s="128"/>
      <c r="E1675" s="128" t="str">
        <f t="shared" si="1"/>
        <v/>
      </c>
    </row>
    <row r="1676">
      <c r="A1676" s="93" t="str">
        <f t="shared" si="2"/>
        <v>#15525</v>
      </c>
      <c r="B1676" s="93" t="str">
        <f>IF(AND(COUNTIF(MAIN!B:B, A1676)=0, IFERROR(SEARCH("return", C1676)&gt;0, FALSE)), "Rental Return", IF(COUNTIF(MAIN!B:B, A1676)=0, "Missing", ""))</f>
        <v/>
      </c>
      <c r="C1676" s="128"/>
      <c r="E1676" s="128" t="str">
        <f t="shared" si="1"/>
        <v/>
      </c>
    </row>
    <row r="1677">
      <c r="A1677" s="93" t="str">
        <f t="shared" si="2"/>
        <v>#15526</v>
      </c>
      <c r="B1677" s="93" t="str">
        <f>IF(AND(COUNTIF(MAIN!B:B, A1677)=0, IFERROR(SEARCH("return", C1677)&gt;0, FALSE)), "Rental Return", IF(COUNTIF(MAIN!B:B, A1677)=0, "Missing", ""))</f>
        <v/>
      </c>
      <c r="C1677" s="128"/>
      <c r="E1677" s="128" t="str">
        <f t="shared" si="1"/>
        <v/>
      </c>
    </row>
    <row r="1678">
      <c r="A1678" s="93" t="str">
        <f t="shared" si="2"/>
        <v>#15527</v>
      </c>
      <c r="B1678" s="93" t="str">
        <f>IF(AND(COUNTIF(MAIN!B:B, A1678)=0, IFERROR(SEARCH("return", C1678)&gt;0, FALSE)), "Rental Return", IF(COUNTIF(MAIN!B:B, A1678)=0, "Missing", ""))</f>
        <v/>
      </c>
      <c r="C1678" s="128"/>
      <c r="E1678" s="128" t="str">
        <f t="shared" si="1"/>
        <v/>
      </c>
    </row>
    <row r="1679">
      <c r="A1679" s="93" t="str">
        <f t="shared" si="2"/>
        <v>#15528</v>
      </c>
      <c r="B1679" s="93" t="str">
        <f>IF(AND(COUNTIF(MAIN!B:B, A1679)=0, IFERROR(SEARCH("return", C1679)&gt;0, FALSE)), "Rental Return", IF(COUNTIF(MAIN!B:B, A1679)=0, "Missing", ""))</f>
        <v/>
      </c>
      <c r="C1679" s="128"/>
      <c r="E1679" s="128" t="str">
        <f t="shared" si="1"/>
        <v/>
      </c>
    </row>
    <row r="1680">
      <c r="A1680" s="93" t="str">
        <f t="shared" si="2"/>
        <v>#15529</v>
      </c>
      <c r="B1680" s="93" t="str">
        <f>IF(AND(COUNTIF(MAIN!B:B, A1680)=0, IFERROR(SEARCH("return", C1680)&gt;0, FALSE)), "Rental Return", IF(COUNTIF(MAIN!B:B, A1680)=0, "Missing", ""))</f>
        <v/>
      </c>
      <c r="C1680" s="128"/>
      <c r="E1680" s="128" t="str">
        <f t="shared" si="1"/>
        <v/>
      </c>
    </row>
    <row r="1681">
      <c r="A1681" s="93" t="str">
        <f t="shared" si="2"/>
        <v>#15530</v>
      </c>
      <c r="B1681" s="93" t="str">
        <f>IF(AND(COUNTIF(MAIN!B:B, A1681)=0, IFERROR(SEARCH("return", C1681)&gt;0, FALSE)), "Rental Return", IF(COUNTIF(MAIN!B:B, A1681)=0, "Missing", ""))</f>
        <v/>
      </c>
      <c r="C1681" s="128"/>
      <c r="E1681" s="128" t="str">
        <f t="shared" si="1"/>
        <v/>
      </c>
    </row>
    <row r="1682">
      <c r="A1682" s="93" t="str">
        <f t="shared" si="2"/>
        <v>#15531</v>
      </c>
      <c r="B1682" s="93" t="str">
        <f>IF(AND(COUNTIF(MAIN!B:B, A1682)=0, IFERROR(SEARCH("return", C1682)&gt;0, FALSE)), "Rental Return", IF(COUNTIF(MAIN!B:B, A1682)=0, "Missing", ""))</f>
        <v/>
      </c>
      <c r="C1682" s="128"/>
      <c r="E1682" s="128" t="str">
        <f t="shared" si="1"/>
        <v/>
      </c>
    </row>
    <row r="1683">
      <c r="A1683" s="93" t="str">
        <f t="shared" si="2"/>
        <v>#15532</v>
      </c>
      <c r="B1683" s="93" t="str">
        <f>IF(AND(COUNTIF(MAIN!B:B, A1683)=0, IFERROR(SEARCH("return", C1683)&gt;0, FALSE)), "Rental Return", IF(COUNTIF(MAIN!B:B, A1683)=0, "Missing", ""))</f>
        <v/>
      </c>
      <c r="C1683" s="128"/>
      <c r="E1683" s="128" t="str">
        <f t="shared" si="1"/>
        <v/>
      </c>
    </row>
    <row r="1684">
      <c r="A1684" s="93" t="str">
        <f t="shared" si="2"/>
        <v>#15533</v>
      </c>
      <c r="B1684" s="93" t="str">
        <f>IF(AND(COUNTIF(MAIN!B:B, A1684)=0, IFERROR(SEARCH("return", C1684)&gt;0, FALSE)), "Rental Return", IF(COUNTIF(MAIN!B:B, A1684)=0, "Missing", ""))</f>
        <v/>
      </c>
      <c r="C1684" s="128"/>
      <c r="E1684" s="128" t="str">
        <f t="shared" si="1"/>
        <v/>
      </c>
    </row>
    <row r="1685">
      <c r="A1685" s="93" t="str">
        <f t="shared" si="2"/>
        <v>#15534</v>
      </c>
      <c r="B1685" s="93" t="str">
        <f>IF(AND(COUNTIF(MAIN!B:B, A1685)=0, IFERROR(SEARCH("return", C1685)&gt;0, FALSE)), "Rental Return", IF(COUNTIF(MAIN!B:B, A1685)=0, "Missing", ""))</f>
        <v/>
      </c>
      <c r="C1685" s="128"/>
      <c r="E1685" s="128" t="str">
        <f t="shared" si="1"/>
        <v/>
      </c>
    </row>
    <row r="1686">
      <c r="A1686" s="93" t="str">
        <f t="shared" si="2"/>
        <v>#15535</v>
      </c>
      <c r="B1686" s="93" t="str">
        <f>IF(AND(COUNTIF(MAIN!B:B, A1686)=0, IFERROR(SEARCH("return", C1686)&gt;0, FALSE)), "Rental Return", IF(COUNTIF(MAIN!B:B, A1686)=0, "Missing", ""))</f>
        <v/>
      </c>
      <c r="C1686" s="128"/>
      <c r="E1686" s="128" t="str">
        <f t="shared" si="1"/>
        <v/>
      </c>
    </row>
    <row r="1687">
      <c r="A1687" s="93" t="str">
        <f t="shared" si="2"/>
        <v>#15536</v>
      </c>
      <c r="B1687" s="93" t="str">
        <f>IF(AND(COUNTIF(MAIN!B:B, A1687)=0, IFERROR(SEARCH("return", C1687)&gt;0, FALSE)), "Rental Return", IF(COUNTIF(MAIN!B:B, A1687)=0, "Missing", ""))</f>
        <v/>
      </c>
      <c r="C1687" s="128"/>
      <c r="E1687" s="128" t="str">
        <f t="shared" si="1"/>
        <v/>
      </c>
    </row>
    <row r="1688">
      <c r="A1688" s="93" t="str">
        <f t="shared" si="2"/>
        <v>#15537</v>
      </c>
      <c r="B1688" s="93" t="str">
        <f>IF(AND(COUNTIF(MAIN!B:B, A1688)=0, IFERROR(SEARCH("return", C1688)&gt;0, FALSE)), "Rental Return", IF(COUNTIF(MAIN!B:B, A1688)=0, "Missing", ""))</f>
        <v/>
      </c>
      <c r="C1688" s="128"/>
      <c r="E1688" s="128" t="str">
        <f t="shared" si="1"/>
        <v/>
      </c>
    </row>
    <row r="1689">
      <c r="A1689" s="93" t="str">
        <f t="shared" si="2"/>
        <v>#15538</v>
      </c>
      <c r="B1689" s="93" t="str">
        <f>IF(AND(COUNTIF(MAIN!B:B, A1689)=0, IFERROR(SEARCH("return", C1689)&gt;0, FALSE)), "Rental Return", IF(COUNTIF(MAIN!B:B, A1689)=0, "Missing", ""))</f>
        <v/>
      </c>
      <c r="C1689" s="128"/>
      <c r="E1689" s="128" t="str">
        <f t="shared" si="1"/>
        <v/>
      </c>
    </row>
    <row r="1690">
      <c r="A1690" s="93" t="str">
        <f t="shared" si="2"/>
        <v>#15539</v>
      </c>
      <c r="B1690" s="93" t="str">
        <f>IF(AND(COUNTIF(MAIN!B:B, A1690)=0, IFERROR(SEARCH("return", C1690)&gt;0, FALSE)), "Rental Return", IF(COUNTIF(MAIN!B:B, A1690)=0, "Missing", ""))</f>
        <v/>
      </c>
      <c r="C1690" s="128"/>
      <c r="E1690" s="128" t="str">
        <f t="shared" si="1"/>
        <v/>
      </c>
    </row>
    <row r="1691">
      <c r="A1691" s="93" t="str">
        <f t="shared" si="2"/>
        <v>#15540</v>
      </c>
      <c r="B1691" s="93" t="str">
        <f>IF(AND(COUNTIF(MAIN!B:B, A1691)=0, IFERROR(SEARCH("return", C1691)&gt;0, FALSE)), "Rental Return", IF(COUNTIF(MAIN!B:B, A1691)=0, "Missing", ""))</f>
        <v/>
      </c>
      <c r="C1691" s="128"/>
      <c r="E1691" s="128" t="str">
        <f t="shared" si="1"/>
        <v/>
      </c>
    </row>
    <row r="1692">
      <c r="A1692" s="93" t="str">
        <f t="shared" si="2"/>
        <v>#15541</v>
      </c>
      <c r="B1692" s="93" t="str">
        <f>IF(AND(COUNTIF(MAIN!B:B, A1692)=0, IFERROR(SEARCH("return", C1692)&gt;0, FALSE)), "Rental Return", IF(COUNTIF(MAIN!B:B, A1692)=0, "Missing", ""))</f>
        <v/>
      </c>
      <c r="C1692" s="128"/>
      <c r="E1692" s="128" t="str">
        <f t="shared" si="1"/>
        <v/>
      </c>
    </row>
    <row r="1693">
      <c r="A1693" s="93" t="str">
        <f t="shared" si="2"/>
        <v>#15542</v>
      </c>
      <c r="B1693" s="93" t="str">
        <f>IF(AND(COUNTIF(MAIN!B:B, A1693)=0, IFERROR(SEARCH("return", C1693)&gt;0, FALSE)), "Rental Return", IF(COUNTIF(MAIN!B:B, A1693)=0, "Missing", ""))</f>
        <v/>
      </c>
      <c r="C1693" s="128"/>
      <c r="E1693" s="128" t="str">
        <f t="shared" si="1"/>
        <v/>
      </c>
    </row>
    <row r="1694">
      <c r="A1694" s="93" t="str">
        <f t="shared" si="2"/>
        <v>#15543</v>
      </c>
      <c r="B1694" s="93" t="str">
        <f>IF(AND(COUNTIF(MAIN!B:B, A1694)=0, IFERROR(SEARCH("return", C1694)&gt;0, FALSE)), "Rental Return", IF(COUNTIF(MAIN!B:B, A1694)=0, "Missing", ""))</f>
        <v/>
      </c>
      <c r="C1694" s="128"/>
      <c r="E1694" s="128" t="str">
        <f t="shared" si="1"/>
        <v/>
      </c>
    </row>
    <row r="1695">
      <c r="A1695" s="93" t="str">
        <f t="shared" si="2"/>
        <v>#15544</v>
      </c>
      <c r="B1695" s="93" t="str">
        <f>IF(AND(COUNTIF(MAIN!B:B, A1695)=0, IFERROR(SEARCH("return", C1695)&gt;0, FALSE)), "Rental Return", IF(COUNTIF(MAIN!B:B, A1695)=0, "Missing", ""))</f>
        <v/>
      </c>
      <c r="C1695" s="128"/>
      <c r="E1695" s="128" t="str">
        <f t="shared" si="1"/>
        <v/>
      </c>
    </row>
    <row r="1696">
      <c r="A1696" s="93" t="str">
        <f t="shared" si="2"/>
        <v>#15545</v>
      </c>
      <c r="B1696" s="93" t="str">
        <f>IF(AND(COUNTIF(MAIN!B:B, A1696)=0, IFERROR(SEARCH("return", C1696)&gt;0, FALSE)), "Rental Return", IF(COUNTIF(MAIN!B:B, A1696)=0, "Missing", ""))</f>
        <v/>
      </c>
      <c r="C1696" s="128"/>
      <c r="E1696" s="128" t="str">
        <f t="shared" si="1"/>
        <v/>
      </c>
    </row>
    <row r="1697">
      <c r="A1697" s="93" t="str">
        <f t="shared" si="2"/>
        <v>#15546</v>
      </c>
      <c r="B1697" s="93" t="str">
        <f>IF(AND(COUNTIF(MAIN!B:B, A1697)=0, IFERROR(SEARCH("return", C1697)&gt;0, FALSE)), "Rental Return", IF(COUNTIF(MAIN!B:B, A1697)=0, "Missing", ""))</f>
        <v/>
      </c>
      <c r="C1697" s="128"/>
      <c r="E1697" s="128" t="str">
        <f t="shared" si="1"/>
        <v/>
      </c>
    </row>
    <row r="1698">
      <c r="A1698" s="93" t="str">
        <f t="shared" si="2"/>
        <v>#15547</v>
      </c>
      <c r="B1698" s="93" t="str">
        <f>IF(AND(COUNTIF(MAIN!B:B, A1698)=0, IFERROR(SEARCH("return", C1698)&gt;0, FALSE)), "Rental Return", IF(COUNTIF(MAIN!B:B, A1698)=0, "Missing", ""))</f>
        <v/>
      </c>
      <c r="C1698" s="128"/>
      <c r="E1698" s="128" t="str">
        <f t="shared" si="1"/>
        <v/>
      </c>
    </row>
    <row r="1699">
      <c r="A1699" s="93" t="str">
        <f t="shared" si="2"/>
        <v>#15548</v>
      </c>
      <c r="B1699" s="93" t="str">
        <f>IF(AND(COUNTIF(MAIN!B:B, A1699)=0, IFERROR(SEARCH("return", C1699)&gt;0, FALSE)), "Rental Return", IF(COUNTIF(MAIN!B:B, A1699)=0, "Missing", ""))</f>
        <v/>
      </c>
      <c r="C1699" s="128"/>
      <c r="E1699" s="128" t="str">
        <f t="shared" si="1"/>
        <v/>
      </c>
    </row>
    <row r="1700">
      <c r="A1700" s="93" t="str">
        <f t="shared" si="2"/>
        <v>#15549</v>
      </c>
      <c r="B1700" s="93" t="str">
        <f>IF(AND(COUNTIF(MAIN!B:B, A1700)=0, IFERROR(SEARCH("return", C1700)&gt;0, FALSE)), "Rental Return", IF(COUNTIF(MAIN!B:B, A1700)=0, "Missing", ""))</f>
        <v/>
      </c>
      <c r="C1700" s="128"/>
      <c r="E1700" s="128" t="str">
        <f t="shared" si="1"/>
        <v/>
      </c>
    </row>
    <row r="1701">
      <c r="A1701" s="93" t="str">
        <f t="shared" si="2"/>
        <v>#15550</v>
      </c>
      <c r="B1701" s="93" t="str">
        <f>IF(AND(COUNTIF(MAIN!B:B, A1701)=0, IFERROR(SEARCH("return", C1701)&gt;0, FALSE)), "Rental Return", IF(COUNTIF(MAIN!B:B, A1701)=0, "Missing", ""))</f>
        <v/>
      </c>
      <c r="C1701" s="128"/>
      <c r="E1701" s="128" t="str">
        <f t="shared" si="1"/>
        <v/>
      </c>
    </row>
    <row r="1702">
      <c r="A1702" s="93" t="str">
        <f t="shared" si="2"/>
        <v>#15551</v>
      </c>
      <c r="B1702" s="93" t="str">
        <f>IF(AND(COUNTIF(MAIN!B:B, A1702)=0, IFERROR(SEARCH("return", C1702)&gt;0, FALSE)), "Rental Return", IF(COUNTIF(MAIN!B:B, A1702)=0, "Missing", ""))</f>
        <v/>
      </c>
      <c r="C1702" s="128"/>
      <c r="E1702" s="128" t="str">
        <f t="shared" si="1"/>
        <v/>
      </c>
    </row>
    <row r="1703">
      <c r="A1703" s="93" t="str">
        <f t="shared" si="2"/>
        <v>#15552</v>
      </c>
      <c r="B1703" s="93" t="str">
        <f>IF(AND(COUNTIF(MAIN!B:B, A1703)=0, IFERROR(SEARCH("return", C1703)&gt;0, FALSE)), "Rental Return", IF(COUNTIF(MAIN!B:B, A1703)=0, "Missing", ""))</f>
        <v/>
      </c>
      <c r="C1703" s="128"/>
      <c r="E1703" s="128" t="str">
        <f t="shared" si="1"/>
        <v/>
      </c>
    </row>
    <row r="1704">
      <c r="A1704" s="93" t="str">
        <f t="shared" si="2"/>
        <v>#15553</v>
      </c>
      <c r="B1704" s="93" t="str">
        <f>IF(AND(COUNTIF(MAIN!B:B, A1704)=0, IFERROR(SEARCH("return", C1704)&gt;0, FALSE)), "Rental Return", IF(COUNTIF(MAIN!B:B, A1704)=0, "Missing", ""))</f>
        <v/>
      </c>
      <c r="C1704" s="128"/>
      <c r="E1704" s="128" t="str">
        <f t="shared" si="1"/>
        <v/>
      </c>
    </row>
    <row r="1705">
      <c r="A1705" s="93" t="str">
        <f t="shared" si="2"/>
        <v>#15554</v>
      </c>
      <c r="B1705" s="93" t="str">
        <f>IF(AND(COUNTIF(MAIN!B:B, A1705)=0, IFERROR(SEARCH("return", C1705)&gt;0, FALSE)), "Rental Return", IF(COUNTIF(MAIN!B:B, A1705)=0, "Missing", ""))</f>
        <v/>
      </c>
      <c r="C1705" s="128"/>
      <c r="E1705" s="128" t="str">
        <f t="shared" si="1"/>
        <v/>
      </c>
    </row>
    <row r="1706">
      <c r="A1706" s="93" t="str">
        <f t="shared" si="2"/>
        <v>#15555</v>
      </c>
      <c r="B1706" s="93" t="str">
        <f>IF(AND(COUNTIF(MAIN!B:B, A1706)=0, IFERROR(SEARCH("return", C1706)&gt;0, FALSE)), "Rental Return", IF(COUNTIF(MAIN!B:B, A1706)=0, "Missing", ""))</f>
        <v/>
      </c>
      <c r="C1706" s="128"/>
      <c r="E1706" s="128" t="str">
        <f t="shared" si="1"/>
        <v/>
      </c>
    </row>
    <row r="1707">
      <c r="A1707" s="93" t="str">
        <f t="shared" si="2"/>
        <v>#15556</v>
      </c>
      <c r="B1707" s="93" t="str">
        <f>IF(AND(COUNTIF(MAIN!B:B, A1707)=0, IFERROR(SEARCH("return", C1707)&gt;0, FALSE)), "Rental Return", IF(COUNTIF(MAIN!B:B, A1707)=0, "Missing", ""))</f>
        <v/>
      </c>
      <c r="C1707" s="128"/>
      <c r="E1707" s="128" t="str">
        <f t="shared" si="1"/>
        <v/>
      </c>
    </row>
    <row r="1708">
      <c r="A1708" s="93" t="str">
        <f t="shared" si="2"/>
        <v>#15557</v>
      </c>
      <c r="B1708" s="93" t="str">
        <f>IF(AND(COUNTIF(MAIN!B:B, A1708)=0, IFERROR(SEARCH("return", C1708)&gt;0, FALSE)), "Rental Return", IF(COUNTIF(MAIN!B:B, A1708)=0, "Missing", ""))</f>
        <v/>
      </c>
      <c r="C1708" s="128"/>
      <c r="E1708" s="128" t="str">
        <f t="shared" si="1"/>
        <v/>
      </c>
    </row>
    <row r="1709">
      <c r="A1709" s="93" t="str">
        <f t="shared" si="2"/>
        <v>#15558</v>
      </c>
      <c r="B1709" s="93" t="str">
        <f>IF(AND(COUNTIF(MAIN!B:B, A1709)=0, IFERROR(SEARCH("return", C1709)&gt;0, FALSE)), "Rental Return", IF(COUNTIF(MAIN!B:B, A1709)=0, "Missing", ""))</f>
        <v/>
      </c>
      <c r="C1709" s="128"/>
      <c r="E1709" s="128" t="str">
        <f t="shared" si="1"/>
        <v/>
      </c>
    </row>
    <row r="1710">
      <c r="A1710" s="93" t="str">
        <f t="shared" si="2"/>
        <v>#15559</v>
      </c>
      <c r="B1710" s="93" t="str">
        <f>IF(AND(COUNTIF(MAIN!B:B, A1710)=0, IFERROR(SEARCH("return", C1710)&gt;0, FALSE)), "Rental Return", IF(COUNTIF(MAIN!B:B, A1710)=0, "Missing", ""))</f>
        <v/>
      </c>
      <c r="C1710" s="128"/>
      <c r="E1710" s="128" t="str">
        <f t="shared" si="1"/>
        <v/>
      </c>
    </row>
    <row r="1711">
      <c r="A1711" s="93" t="str">
        <f t="shared" si="2"/>
        <v>#15560</v>
      </c>
      <c r="B1711" s="93" t="str">
        <f>IF(AND(COUNTIF(MAIN!B:B, A1711)=0, IFERROR(SEARCH("return", C1711)&gt;0, FALSE)), "Rental Return", IF(COUNTIF(MAIN!B:B, A1711)=0, "Missing", ""))</f>
        <v/>
      </c>
      <c r="C1711" s="128"/>
      <c r="E1711" s="128" t="str">
        <f t="shared" si="1"/>
        <v/>
      </c>
    </row>
    <row r="1712">
      <c r="A1712" s="93" t="str">
        <f t="shared" si="2"/>
        <v>#15561</v>
      </c>
      <c r="B1712" s="93" t="str">
        <f>IF(AND(COUNTIF(MAIN!B:B, A1712)=0, IFERROR(SEARCH("return", C1712)&gt;0, FALSE)), "Rental Return", IF(COUNTIF(MAIN!B:B, A1712)=0, "Missing", ""))</f>
        <v/>
      </c>
      <c r="C1712" s="128"/>
      <c r="E1712" s="128" t="str">
        <f t="shared" si="1"/>
        <v/>
      </c>
    </row>
    <row r="1713">
      <c r="A1713" s="93" t="str">
        <f t="shared" si="2"/>
        <v>#15562</v>
      </c>
      <c r="B1713" s="93" t="str">
        <f>IF(AND(COUNTIF(MAIN!B:B, A1713)=0, IFERROR(SEARCH("return", C1713)&gt;0, FALSE)), "Rental Return", IF(COUNTIF(MAIN!B:B, A1713)=0, "Missing", ""))</f>
        <v/>
      </c>
      <c r="C1713" s="128"/>
      <c r="E1713" s="128" t="str">
        <f t="shared" si="1"/>
        <v/>
      </c>
    </row>
    <row r="1714">
      <c r="A1714" s="93" t="str">
        <f t="shared" si="2"/>
        <v>#15563</v>
      </c>
      <c r="B1714" s="93" t="str">
        <f>IF(AND(COUNTIF(MAIN!B:B, A1714)=0, IFERROR(SEARCH("return", C1714)&gt;0, FALSE)), "Rental Return", IF(COUNTIF(MAIN!B:B, A1714)=0, "Missing", ""))</f>
        <v/>
      </c>
      <c r="C1714" s="128"/>
      <c r="E1714" s="128" t="str">
        <f t="shared" si="1"/>
        <v/>
      </c>
    </row>
    <row r="1715">
      <c r="A1715" s="93" t="str">
        <f t="shared" si="2"/>
        <v>#15564</v>
      </c>
      <c r="B1715" s="93" t="str">
        <f>IF(AND(COUNTIF(MAIN!B:B, A1715)=0, IFERROR(SEARCH("return", C1715)&gt;0, FALSE)), "Rental Return", IF(COUNTIF(MAIN!B:B, A1715)=0, "Missing", ""))</f>
        <v/>
      </c>
      <c r="C1715" s="128"/>
      <c r="E1715" s="128" t="str">
        <f t="shared" si="1"/>
        <v/>
      </c>
    </row>
    <row r="1716">
      <c r="A1716" s="93" t="str">
        <f t="shared" si="2"/>
        <v>#15565</v>
      </c>
      <c r="B1716" s="93" t="str">
        <f>IF(AND(COUNTIF(MAIN!B:B, A1716)=0, IFERROR(SEARCH("return", C1716)&gt;0, FALSE)), "Rental Return", IF(COUNTIF(MAIN!B:B, A1716)=0, "Missing", ""))</f>
        <v/>
      </c>
      <c r="C1716" s="128"/>
      <c r="E1716" s="128" t="str">
        <f t="shared" si="1"/>
        <v/>
      </c>
    </row>
    <row r="1717">
      <c r="A1717" s="93" t="str">
        <f t="shared" si="2"/>
        <v>#15566</v>
      </c>
      <c r="B1717" s="93" t="str">
        <f>IF(AND(COUNTIF(MAIN!B:B, A1717)=0, IFERROR(SEARCH("return", C1717)&gt;0, FALSE)), "Rental Return", IF(COUNTIF(MAIN!B:B, A1717)=0, "Missing", ""))</f>
        <v/>
      </c>
      <c r="C1717" s="128"/>
      <c r="E1717" s="128" t="str">
        <f t="shared" si="1"/>
        <v/>
      </c>
    </row>
    <row r="1718">
      <c r="A1718" s="93" t="str">
        <f t="shared" si="2"/>
        <v>#15567</v>
      </c>
      <c r="B1718" s="93" t="str">
        <f>IF(AND(COUNTIF(MAIN!B:B, A1718)=0, IFERROR(SEARCH("return", C1718)&gt;0, FALSE)), "Rental Return", IF(COUNTIF(MAIN!B:B, A1718)=0, "Missing", ""))</f>
        <v/>
      </c>
      <c r="C1718" s="128"/>
      <c r="E1718" s="128" t="str">
        <f t="shared" si="1"/>
        <v/>
      </c>
    </row>
    <row r="1719">
      <c r="A1719" s="93" t="str">
        <f t="shared" si="2"/>
        <v>#15568</v>
      </c>
      <c r="B1719" s="93" t="str">
        <f>IF(AND(COUNTIF(MAIN!B:B, A1719)=0, IFERROR(SEARCH("return", C1719)&gt;0, FALSE)), "Rental Return", IF(COUNTIF(MAIN!B:B, A1719)=0, "Missing", ""))</f>
        <v/>
      </c>
      <c r="C1719" s="128"/>
      <c r="E1719" s="128" t="str">
        <f t="shared" si="1"/>
        <v/>
      </c>
    </row>
    <row r="1720">
      <c r="A1720" s="93" t="str">
        <f t="shared" si="2"/>
        <v>#15569</v>
      </c>
      <c r="B1720" s="93" t="str">
        <f>IF(AND(COUNTIF(MAIN!B:B, A1720)=0, IFERROR(SEARCH("return", C1720)&gt;0, FALSE)), "Rental Return", IF(COUNTIF(MAIN!B:B, A1720)=0, "Missing", ""))</f>
        <v/>
      </c>
      <c r="C1720" s="128"/>
      <c r="E1720" s="128" t="str">
        <f t="shared" si="1"/>
        <v/>
      </c>
    </row>
    <row r="1721">
      <c r="A1721" s="93" t="str">
        <f t="shared" si="2"/>
        <v>#15570</v>
      </c>
      <c r="B1721" s="93" t="str">
        <f>IF(AND(COUNTIF(MAIN!B:B, A1721)=0, IFERROR(SEARCH("return", C1721)&gt;0, FALSE)), "Rental Return", IF(COUNTIF(MAIN!B:B, A1721)=0, "Missing", ""))</f>
        <v/>
      </c>
      <c r="C1721" s="128"/>
      <c r="E1721" s="128" t="str">
        <f t="shared" si="1"/>
        <v/>
      </c>
    </row>
    <row r="1722">
      <c r="A1722" s="93" t="str">
        <f t="shared" si="2"/>
        <v>#15571</v>
      </c>
      <c r="B1722" s="93" t="str">
        <f>IF(AND(COUNTIF(MAIN!B:B, A1722)=0, IFERROR(SEARCH("return", C1722)&gt;0, FALSE)), "Rental Return", IF(COUNTIF(MAIN!B:B, A1722)=0, "Missing", ""))</f>
        <v/>
      </c>
      <c r="C1722" s="128"/>
      <c r="E1722" s="128" t="str">
        <f t="shared" si="1"/>
        <v/>
      </c>
    </row>
    <row r="1723">
      <c r="A1723" s="93" t="str">
        <f t="shared" si="2"/>
        <v>#15572</v>
      </c>
      <c r="B1723" s="93" t="str">
        <f>IF(AND(COUNTIF(MAIN!B:B, A1723)=0, IFERROR(SEARCH("return", C1723)&gt;0, FALSE)), "Rental Return", IF(COUNTIF(MAIN!B:B, A1723)=0, "Missing", ""))</f>
        <v/>
      </c>
      <c r="C1723" s="128"/>
      <c r="E1723" s="128" t="str">
        <f t="shared" si="1"/>
        <v/>
      </c>
    </row>
    <row r="1724">
      <c r="A1724" s="93" t="str">
        <f t="shared" si="2"/>
        <v>#15573</v>
      </c>
      <c r="B1724" s="93" t="str">
        <f>IF(AND(COUNTIF(MAIN!B:B, A1724)=0, IFERROR(SEARCH("return", C1724)&gt;0, FALSE)), "Rental Return", IF(COUNTIF(MAIN!B:B, A1724)=0, "Missing", ""))</f>
        <v/>
      </c>
      <c r="C1724" s="128"/>
      <c r="E1724" s="128" t="str">
        <f t="shared" si="1"/>
        <v/>
      </c>
    </row>
    <row r="1725">
      <c r="A1725" s="93" t="str">
        <f t="shared" si="2"/>
        <v>#15574</v>
      </c>
      <c r="B1725" s="93" t="str">
        <f>IF(AND(COUNTIF(MAIN!B:B, A1725)=0, IFERROR(SEARCH("return", C1725)&gt;0, FALSE)), "Rental Return", IF(COUNTIF(MAIN!B:B, A1725)=0, "Missing", ""))</f>
        <v/>
      </c>
      <c r="C1725" s="128"/>
      <c r="E1725" s="128" t="str">
        <f t="shared" si="1"/>
        <v/>
      </c>
    </row>
    <row r="1726">
      <c r="A1726" s="93" t="str">
        <f t="shared" si="2"/>
        <v>#15575</v>
      </c>
      <c r="B1726" s="93" t="str">
        <f>IF(AND(COUNTIF(MAIN!B:B, A1726)=0, IFERROR(SEARCH("return", C1726)&gt;0, FALSE)), "Rental Return", IF(COUNTIF(MAIN!B:B, A1726)=0, "Missing", ""))</f>
        <v/>
      </c>
      <c r="C1726" s="128"/>
      <c r="E1726" s="128" t="str">
        <f t="shared" si="1"/>
        <v/>
      </c>
    </row>
    <row r="1727">
      <c r="A1727" s="93" t="str">
        <f t="shared" si="2"/>
        <v>#15576</v>
      </c>
      <c r="B1727" s="93" t="str">
        <f>IF(AND(COUNTIF(MAIN!B:B, A1727)=0, IFERROR(SEARCH("return", C1727)&gt;0, FALSE)), "Rental Return", IF(COUNTIF(MAIN!B:B, A1727)=0, "Missing", ""))</f>
        <v/>
      </c>
      <c r="C1727" s="128"/>
      <c r="E1727" s="128" t="str">
        <f t="shared" si="1"/>
        <v/>
      </c>
    </row>
    <row r="1728">
      <c r="A1728" s="93" t="str">
        <f t="shared" si="2"/>
        <v>#15577</v>
      </c>
      <c r="B1728" s="93" t="str">
        <f>IF(AND(COUNTIF(MAIN!B:B, A1728)=0, IFERROR(SEARCH("return", C1728)&gt;0, FALSE)), "Rental Return", IF(COUNTIF(MAIN!B:B, A1728)=0, "Missing", ""))</f>
        <v/>
      </c>
      <c r="C1728" s="128"/>
      <c r="E1728" s="128" t="str">
        <f t="shared" si="1"/>
        <v/>
      </c>
    </row>
    <row r="1729">
      <c r="A1729" s="93" t="str">
        <f t="shared" si="2"/>
        <v>#15578</v>
      </c>
      <c r="B1729" s="93" t="str">
        <f>IF(AND(COUNTIF(MAIN!B:B, A1729)=0, IFERROR(SEARCH("return", C1729)&gt;0, FALSE)), "Rental Return", IF(COUNTIF(MAIN!B:B, A1729)=0, "Missing", ""))</f>
        <v/>
      </c>
      <c r="C1729" s="128"/>
      <c r="E1729" s="128" t="str">
        <f t="shared" si="1"/>
        <v/>
      </c>
    </row>
    <row r="1730">
      <c r="A1730" s="93" t="str">
        <f t="shared" si="2"/>
        <v>#15579</v>
      </c>
      <c r="B1730" s="93" t="str">
        <f>IF(AND(COUNTIF(MAIN!B:B, A1730)=0, IFERROR(SEARCH("return", C1730)&gt;0, FALSE)), "Rental Return", IF(COUNTIF(MAIN!B:B, A1730)=0, "Missing", ""))</f>
        <v/>
      </c>
      <c r="C1730" s="128"/>
      <c r="E1730" s="128" t="str">
        <f t="shared" si="1"/>
        <v/>
      </c>
    </row>
    <row r="1731">
      <c r="A1731" s="93" t="str">
        <f t="shared" si="2"/>
        <v>#15580</v>
      </c>
      <c r="B1731" s="93" t="str">
        <f>IF(AND(COUNTIF(MAIN!B:B, A1731)=0, IFERROR(SEARCH("return", C1731)&gt;0, FALSE)), "Rental Return", IF(COUNTIF(MAIN!B:B, A1731)=0, "Missing", ""))</f>
        <v/>
      </c>
      <c r="C1731" s="128"/>
      <c r="E1731" s="128" t="str">
        <f t="shared" si="1"/>
        <v/>
      </c>
    </row>
    <row r="1732">
      <c r="A1732" s="93" t="str">
        <f t="shared" si="2"/>
        <v>#15581</v>
      </c>
      <c r="B1732" s="93" t="str">
        <f>IF(AND(COUNTIF(MAIN!B:B, A1732)=0, IFERROR(SEARCH("return", C1732)&gt;0, FALSE)), "Rental Return", IF(COUNTIF(MAIN!B:B, A1732)=0, "Missing", ""))</f>
        <v/>
      </c>
      <c r="C1732" s="128"/>
      <c r="E1732" s="128" t="str">
        <f t="shared" si="1"/>
        <v/>
      </c>
    </row>
    <row r="1733">
      <c r="A1733" s="93" t="str">
        <f t="shared" si="2"/>
        <v>#15582</v>
      </c>
      <c r="B1733" s="93" t="str">
        <f>IF(AND(COUNTIF(MAIN!B:B, A1733)=0, IFERROR(SEARCH("return", C1733)&gt;0, FALSE)), "Rental Return", IF(COUNTIF(MAIN!B:B, A1733)=0, "Missing", ""))</f>
        <v/>
      </c>
      <c r="C1733" s="128"/>
      <c r="E1733" s="128" t="str">
        <f t="shared" si="1"/>
        <v/>
      </c>
    </row>
    <row r="1734">
      <c r="A1734" s="93" t="str">
        <f t="shared" si="2"/>
        <v>#15583</v>
      </c>
      <c r="B1734" s="93" t="str">
        <f>IF(AND(COUNTIF(MAIN!B:B, A1734)=0, IFERROR(SEARCH("return", C1734)&gt;0, FALSE)), "Rental Return", IF(COUNTIF(MAIN!B:B, A1734)=0, "Missing", ""))</f>
        <v/>
      </c>
      <c r="C1734" s="128"/>
      <c r="E1734" s="128" t="str">
        <f t="shared" si="1"/>
        <v/>
      </c>
    </row>
    <row r="1735">
      <c r="A1735" s="93" t="str">
        <f t="shared" si="2"/>
        <v>#15584</v>
      </c>
      <c r="B1735" s="93" t="str">
        <f>IF(AND(COUNTIF(MAIN!B:B, A1735)=0, IFERROR(SEARCH("return", C1735)&gt;0, FALSE)), "Rental Return", IF(COUNTIF(MAIN!B:B, A1735)=0, "Missing", ""))</f>
        <v/>
      </c>
      <c r="C1735" s="128"/>
      <c r="E1735" s="128" t="str">
        <f t="shared" si="1"/>
        <v/>
      </c>
    </row>
    <row r="1736">
      <c r="A1736" s="93" t="str">
        <f t="shared" si="2"/>
        <v>#15585</v>
      </c>
      <c r="B1736" s="93" t="str">
        <f>IF(AND(COUNTIF(MAIN!B:B, A1736)=0, IFERROR(SEARCH("return", C1736)&gt;0, FALSE)), "Rental Return", IF(COUNTIF(MAIN!B:B, A1736)=0, "Missing", ""))</f>
        <v/>
      </c>
      <c r="C1736" s="128"/>
      <c r="E1736" s="128" t="str">
        <f t="shared" si="1"/>
        <v/>
      </c>
    </row>
    <row r="1737">
      <c r="A1737" s="93" t="str">
        <f t="shared" si="2"/>
        <v>#15586</v>
      </c>
      <c r="B1737" s="93" t="str">
        <f>IF(AND(COUNTIF(MAIN!B:B, A1737)=0, IFERROR(SEARCH("return", C1737)&gt;0, FALSE)), "Rental Return", IF(COUNTIF(MAIN!B:B, A1737)=0, "Missing", ""))</f>
        <v/>
      </c>
      <c r="C1737" s="128"/>
      <c r="E1737" s="128" t="str">
        <f t="shared" si="1"/>
        <v/>
      </c>
    </row>
    <row r="1738">
      <c r="A1738" s="93" t="str">
        <f t="shared" si="2"/>
        <v>#15587</v>
      </c>
      <c r="B1738" s="93" t="str">
        <f>IF(AND(COUNTIF(MAIN!B:B, A1738)=0, IFERROR(SEARCH("return", C1738)&gt;0, FALSE)), "Rental Return", IF(COUNTIF(MAIN!B:B, A1738)=0, "Missing", ""))</f>
        <v/>
      </c>
      <c r="C1738" s="128"/>
      <c r="E1738" s="128" t="str">
        <f t="shared" si="1"/>
        <v/>
      </c>
    </row>
    <row r="1739">
      <c r="A1739" s="93" t="str">
        <f t="shared" si="2"/>
        <v>#15588</v>
      </c>
      <c r="B1739" s="93" t="str">
        <f>IF(AND(COUNTIF(MAIN!B:B, A1739)=0, IFERROR(SEARCH("return", C1739)&gt;0, FALSE)), "Rental Return", IF(COUNTIF(MAIN!B:B, A1739)=0, "Missing", ""))</f>
        <v/>
      </c>
      <c r="C1739" s="128"/>
      <c r="E1739" s="128" t="str">
        <f t="shared" si="1"/>
        <v/>
      </c>
    </row>
    <row r="1740">
      <c r="A1740" s="93" t="str">
        <f t="shared" si="2"/>
        <v>#15589</v>
      </c>
      <c r="B1740" s="93" t="str">
        <f>IF(AND(COUNTIF(MAIN!B:B, A1740)=0, IFERROR(SEARCH("return", C1740)&gt;0, FALSE)), "Rental Return", IF(COUNTIF(MAIN!B:B, A1740)=0, "Missing", ""))</f>
        <v/>
      </c>
      <c r="C1740" s="128"/>
      <c r="E1740" s="128" t="str">
        <f t="shared" si="1"/>
        <v/>
      </c>
    </row>
    <row r="1741">
      <c r="A1741" s="93" t="str">
        <f t="shared" si="2"/>
        <v>#15590</v>
      </c>
      <c r="B1741" s="93" t="str">
        <f>IF(AND(COUNTIF(MAIN!B:B, A1741)=0, IFERROR(SEARCH("return", C1741)&gt;0, FALSE)), "Rental Return", IF(COUNTIF(MAIN!B:B, A1741)=0, "Missing", ""))</f>
        <v/>
      </c>
      <c r="C1741" s="128"/>
      <c r="E1741" s="128" t="str">
        <f t="shared" si="1"/>
        <v/>
      </c>
    </row>
    <row r="1742">
      <c r="A1742" s="93" t="str">
        <f t="shared" si="2"/>
        <v>#15591</v>
      </c>
      <c r="B1742" s="93" t="str">
        <f>IF(AND(COUNTIF(MAIN!B:B, A1742)=0, IFERROR(SEARCH("return", C1742)&gt;0, FALSE)), "Rental Return", IF(COUNTIF(MAIN!B:B, A1742)=0, "Missing", ""))</f>
        <v/>
      </c>
      <c r="C1742" s="128"/>
      <c r="E1742" s="128" t="str">
        <f t="shared" si="1"/>
        <v/>
      </c>
    </row>
    <row r="1743">
      <c r="A1743" s="93" t="str">
        <f t="shared" si="2"/>
        <v>#15592</v>
      </c>
      <c r="B1743" s="93" t="str">
        <f>IF(AND(COUNTIF(MAIN!B:B, A1743)=0, IFERROR(SEARCH("return", C1743)&gt;0, FALSE)), "Rental Return", IF(COUNTIF(MAIN!B:B, A1743)=0, "Missing", ""))</f>
        <v/>
      </c>
      <c r="C1743" s="128"/>
      <c r="E1743" s="128" t="str">
        <f t="shared" si="1"/>
        <v/>
      </c>
    </row>
    <row r="1744">
      <c r="A1744" s="93" t="str">
        <f t="shared" si="2"/>
        <v>#15593</v>
      </c>
      <c r="B1744" s="93" t="str">
        <f>IF(AND(COUNTIF(MAIN!B:B, A1744)=0, IFERROR(SEARCH("return", C1744)&gt;0, FALSE)), "Rental Return", IF(COUNTIF(MAIN!B:B, A1744)=0, "Missing", ""))</f>
        <v/>
      </c>
      <c r="C1744" s="128"/>
      <c r="E1744" s="128" t="str">
        <f t="shared" si="1"/>
        <v/>
      </c>
    </row>
    <row r="1745">
      <c r="A1745" s="93" t="str">
        <f t="shared" si="2"/>
        <v>#15594</v>
      </c>
      <c r="B1745" s="93" t="str">
        <f>IF(AND(COUNTIF(MAIN!B:B, A1745)=0, IFERROR(SEARCH("return", C1745)&gt;0, FALSE)), "Rental Return", IF(COUNTIF(MAIN!B:B, A1745)=0, "Missing", ""))</f>
        <v/>
      </c>
      <c r="C1745" s="128"/>
      <c r="E1745" s="128" t="str">
        <f t="shared" si="1"/>
        <v/>
      </c>
    </row>
    <row r="1746">
      <c r="A1746" s="93" t="str">
        <f t="shared" si="2"/>
        <v>#15595</v>
      </c>
      <c r="B1746" s="93" t="str">
        <f>IF(AND(COUNTIF(MAIN!B:B, A1746)=0, IFERROR(SEARCH("return", C1746)&gt;0, FALSE)), "Rental Return", IF(COUNTIF(MAIN!B:B, A1746)=0, "Missing", ""))</f>
        <v/>
      </c>
      <c r="C1746" s="128"/>
      <c r="E1746" s="128" t="str">
        <f t="shared" si="1"/>
        <v/>
      </c>
    </row>
    <row r="1747">
      <c r="A1747" s="93" t="str">
        <f t="shared" si="2"/>
        <v>#15596</v>
      </c>
      <c r="B1747" s="93" t="str">
        <f>IF(AND(COUNTIF(MAIN!B:B, A1747)=0, IFERROR(SEARCH("return", C1747)&gt;0, FALSE)), "Rental Return", IF(COUNTIF(MAIN!B:B, A1747)=0, "Missing", ""))</f>
        <v/>
      </c>
      <c r="C1747" s="128"/>
      <c r="E1747" s="128" t="str">
        <f t="shared" si="1"/>
        <v/>
      </c>
    </row>
    <row r="1748">
      <c r="A1748" s="93" t="str">
        <f t="shared" si="2"/>
        <v>#15597</v>
      </c>
      <c r="B1748" s="93" t="str">
        <f>IF(AND(COUNTIF(MAIN!B:B, A1748)=0, IFERROR(SEARCH("return", C1748)&gt;0, FALSE)), "Rental Return", IF(COUNTIF(MAIN!B:B, A1748)=0, "Missing", ""))</f>
        <v/>
      </c>
      <c r="C1748" s="128"/>
      <c r="E1748" s="128" t="str">
        <f t="shared" si="1"/>
        <v/>
      </c>
    </row>
    <row r="1749">
      <c r="A1749" s="93" t="str">
        <f t="shared" si="2"/>
        <v>#15598</v>
      </c>
      <c r="B1749" s="93" t="str">
        <f>IF(AND(COUNTIF(MAIN!B:B, A1749)=0, IFERROR(SEARCH("return", C1749)&gt;0, FALSE)), "Rental Return", IF(COUNTIF(MAIN!B:B, A1749)=0, "Missing", ""))</f>
        <v/>
      </c>
      <c r="C1749" s="128"/>
      <c r="E1749" s="128" t="str">
        <f t="shared" si="1"/>
        <v/>
      </c>
    </row>
    <row r="1750">
      <c r="A1750" s="93" t="str">
        <f t="shared" si="2"/>
        <v>#15599</v>
      </c>
      <c r="B1750" s="93" t="str">
        <f>IF(AND(COUNTIF(MAIN!B:B, A1750)=0, IFERROR(SEARCH("return", C1750)&gt;0, FALSE)), "Rental Return", IF(COUNTIF(MAIN!B:B, A1750)=0, "Missing", ""))</f>
        <v/>
      </c>
      <c r="C1750" s="128"/>
      <c r="E1750" s="128" t="str">
        <f t="shared" si="1"/>
        <v/>
      </c>
    </row>
    <row r="1751">
      <c r="A1751" s="93" t="str">
        <f t="shared" si="2"/>
        <v>#15600</v>
      </c>
      <c r="B1751" s="93" t="str">
        <f>IF(AND(COUNTIF(MAIN!B:B, A1751)=0, IFERROR(SEARCH("return", C1751)&gt;0, FALSE)), "Rental Return", IF(COUNTIF(MAIN!B:B, A1751)=0, "Missing", ""))</f>
        <v/>
      </c>
      <c r="C1751" s="128"/>
      <c r="E1751" s="128" t="str">
        <f t="shared" si="1"/>
        <v/>
      </c>
    </row>
    <row r="1752">
      <c r="A1752" s="93" t="str">
        <f t="shared" si="2"/>
        <v>#15601</v>
      </c>
      <c r="B1752" s="93" t="str">
        <f>IF(AND(COUNTIF(MAIN!B:B, A1752)=0, IFERROR(SEARCH("return", C1752)&gt;0, FALSE)), "Rental Return", IF(COUNTIF(MAIN!B:B, A1752)=0, "Missing", ""))</f>
        <v/>
      </c>
      <c r="C1752" s="128"/>
      <c r="E1752" s="128" t="str">
        <f t="shared" si="1"/>
        <v/>
      </c>
    </row>
    <row r="1753">
      <c r="A1753" s="93" t="str">
        <f t="shared" si="2"/>
        <v>#15602</v>
      </c>
      <c r="B1753" s="93" t="str">
        <f>IF(AND(COUNTIF(MAIN!B:B, A1753)=0, IFERROR(SEARCH("return", C1753)&gt;0, FALSE)), "Rental Return", IF(COUNTIF(MAIN!B:B, A1753)=0, "Missing", ""))</f>
        <v/>
      </c>
      <c r="C1753" s="128"/>
      <c r="E1753" s="128" t="str">
        <f t="shared" si="1"/>
        <v/>
      </c>
    </row>
    <row r="1754">
      <c r="A1754" s="93" t="str">
        <f t="shared" si="2"/>
        <v>#15603</v>
      </c>
      <c r="B1754" s="93" t="str">
        <f>IF(AND(COUNTIF(MAIN!B:B, A1754)=0, IFERROR(SEARCH("return", C1754)&gt;0, FALSE)), "Rental Return", IF(COUNTIF(MAIN!B:B, A1754)=0, "Missing", ""))</f>
        <v/>
      </c>
      <c r="C1754" s="128"/>
      <c r="E1754" s="128" t="str">
        <f t="shared" si="1"/>
        <v/>
      </c>
    </row>
    <row r="1755">
      <c r="A1755" s="93" t="str">
        <f t="shared" si="2"/>
        <v>#15604</v>
      </c>
      <c r="B1755" s="93" t="str">
        <f>IF(AND(COUNTIF(MAIN!B:B, A1755)=0, IFERROR(SEARCH("return", C1755)&gt;0, FALSE)), "Rental Return", IF(COUNTIF(MAIN!B:B, A1755)=0, "Missing", ""))</f>
        <v/>
      </c>
      <c r="C1755" s="128"/>
      <c r="E1755" s="128" t="str">
        <f t="shared" si="1"/>
        <v/>
      </c>
    </row>
    <row r="1756">
      <c r="A1756" s="93" t="str">
        <f t="shared" si="2"/>
        <v>#15605</v>
      </c>
      <c r="B1756" s="93" t="str">
        <f>IF(AND(COUNTIF(MAIN!B:B, A1756)=0, IFERROR(SEARCH("return", C1756)&gt;0, FALSE)), "Rental Return", IF(COUNTIF(MAIN!B:B, A1756)=0, "Missing", ""))</f>
        <v/>
      </c>
      <c r="C1756" s="128"/>
      <c r="E1756" s="128" t="str">
        <f t="shared" si="1"/>
        <v/>
      </c>
    </row>
    <row r="1757">
      <c r="A1757" s="93" t="str">
        <f t="shared" si="2"/>
        <v>#15606</v>
      </c>
      <c r="B1757" s="93" t="str">
        <f>IF(AND(COUNTIF(MAIN!B:B, A1757)=0, IFERROR(SEARCH("return", C1757)&gt;0, FALSE)), "Rental Return", IF(COUNTIF(MAIN!B:B, A1757)=0, "Missing", ""))</f>
        <v/>
      </c>
      <c r="C1757" s="128"/>
      <c r="E1757" s="128" t="str">
        <f t="shared" si="1"/>
        <v/>
      </c>
    </row>
    <row r="1758">
      <c r="A1758" s="93" t="str">
        <f t="shared" si="2"/>
        <v>#15607</v>
      </c>
      <c r="B1758" s="93" t="str">
        <f>IF(AND(COUNTIF(MAIN!B:B, A1758)=0, IFERROR(SEARCH("return", C1758)&gt;0, FALSE)), "Rental Return", IF(COUNTIF(MAIN!B:B, A1758)=0, "Missing", ""))</f>
        <v/>
      </c>
      <c r="C1758" s="128"/>
      <c r="E1758" s="128" t="str">
        <f t="shared" si="1"/>
        <v/>
      </c>
    </row>
    <row r="1759">
      <c r="A1759" s="93" t="str">
        <f t="shared" si="2"/>
        <v>#15608</v>
      </c>
      <c r="B1759" s="93" t="str">
        <f>IF(AND(COUNTIF(MAIN!B:B, A1759)=0, IFERROR(SEARCH("return", C1759)&gt;0, FALSE)), "Rental Return", IF(COUNTIF(MAIN!B:B, A1759)=0, "Missing", ""))</f>
        <v/>
      </c>
      <c r="C1759" s="128"/>
      <c r="E1759" s="128" t="str">
        <f t="shared" si="1"/>
        <v/>
      </c>
    </row>
    <row r="1760">
      <c r="A1760" s="93" t="str">
        <f t="shared" si="2"/>
        <v>#15609</v>
      </c>
      <c r="B1760" s="93" t="str">
        <f>IF(AND(COUNTIF(MAIN!B:B, A1760)=0, IFERROR(SEARCH("return", C1760)&gt;0, FALSE)), "Rental Return", IF(COUNTIF(MAIN!B:B, A1760)=0, "Missing", ""))</f>
        <v/>
      </c>
      <c r="C1760" s="128"/>
      <c r="E1760" s="128" t="str">
        <f t="shared" si="1"/>
        <v/>
      </c>
    </row>
    <row r="1761">
      <c r="A1761" s="93" t="str">
        <f t="shared" si="2"/>
        <v>#15610</v>
      </c>
      <c r="B1761" s="93" t="str">
        <f>IF(AND(COUNTIF(MAIN!B:B, A1761)=0, IFERROR(SEARCH("return", C1761)&gt;0, FALSE)), "Rental Return", IF(COUNTIF(MAIN!B:B, A1761)=0, "Missing", ""))</f>
        <v/>
      </c>
      <c r="C1761" s="128"/>
      <c r="E1761" s="128" t="str">
        <f t="shared" si="1"/>
        <v/>
      </c>
    </row>
    <row r="1762">
      <c r="A1762" s="93" t="str">
        <f t="shared" si="2"/>
        <v>#15611</v>
      </c>
      <c r="B1762" s="93" t="str">
        <f>IF(AND(COUNTIF(MAIN!B:B, A1762)=0, IFERROR(SEARCH("return", C1762)&gt;0, FALSE)), "Rental Return", IF(COUNTIF(MAIN!B:B, A1762)=0, "Missing", ""))</f>
        <v/>
      </c>
      <c r="C1762" s="128"/>
      <c r="E1762" s="128" t="str">
        <f t="shared" si="1"/>
        <v/>
      </c>
    </row>
    <row r="1763">
      <c r="A1763" s="93" t="str">
        <f t="shared" si="2"/>
        <v>#15612</v>
      </c>
      <c r="B1763" s="93" t="str">
        <f>IF(AND(COUNTIF(MAIN!B:B, A1763)=0, IFERROR(SEARCH("return", C1763)&gt;0, FALSE)), "Rental Return", IF(COUNTIF(MAIN!B:B, A1763)=0, "Missing", ""))</f>
        <v/>
      </c>
      <c r="C1763" s="128"/>
      <c r="E1763" s="128" t="str">
        <f t="shared" si="1"/>
        <v/>
      </c>
    </row>
    <row r="1764">
      <c r="A1764" s="93" t="str">
        <f t="shared" si="2"/>
        <v>#15613</v>
      </c>
      <c r="B1764" s="93" t="str">
        <f>IF(AND(COUNTIF(MAIN!B:B, A1764)=0, IFERROR(SEARCH("return", C1764)&gt;0, FALSE)), "Rental Return", IF(COUNTIF(MAIN!B:B, A1764)=0, "Missing", ""))</f>
        <v/>
      </c>
      <c r="C1764" s="128"/>
      <c r="E1764" s="128" t="str">
        <f t="shared" si="1"/>
        <v/>
      </c>
    </row>
    <row r="1765">
      <c r="A1765" s="93" t="str">
        <f t="shared" si="2"/>
        <v>#15614</v>
      </c>
      <c r="B1765" s="93" t="str">
        <f>IF(AND(COUNTIF(MAIN!B:B, A1765)=0, IFERROR(SEARCH("return", C1765)&gt;0, FALSE)), "Rental Return", IF(COUNTIF(MAIN!B:B, A1765)=0, "Missing", ""))</f>
        <v/>
      </c>
      <c r="C1765" s="128"/>
      <c r="E1765" s="128" t="str">
        <f t="shared" si="1"/>
        <v/>
      </c>
    </row>
    <row r="1766">
      <c r="A1766" s="93" t="str">
        <f t="shared" si="2"/>
        <v>#15615</v>
      </c>
      <c r="B1766" s="93" t="str">
        <f>IF(AND(COUNTIF(MAIN!B:B, A1766)=0, IFERROR(SEARCH("return", C1766)&gt;0, FALSE)), "Rental Return", IF(COUNTIF(MAIN!B:B, A1766)=0, "Missing", ""))</f>
        <v/>
      </c>
      <c r="C1766" s="128"/>
      <c r="E1766" s="128" t="str">
        <f t="shared" si="1"/>
        <v/>
      </c>
    </row>
    <row r="1767">
      <c r="A1767" s="93" t="str">
        <f t="shared" si="2"/>
        <v>#15616</v>
      </c>
      <c r="B1767" s="93" t="str">
        <f>IF(AND(COUNTIF(MAIN!B:B, A1767)=0, IFERROR(SEARCH("return", C1767)&gt;0, FALSE)), "Rental Return", IF(COUNTIF(MAIN!B:B, A1767)=0, "Missing", ""))</f>
        <v/>
      </c>
      <c r="C1767" s="128"/>
      <c r="E1767" s="128" t="str">
        <f t="shared" si="1"/>
        <v/>
      </c>
    </row>
    <row r="1768">
      <c r="A1768" s="93" t="str">
        <f t="shared" si="2"/>
        <v>#15617</v>
      </c>
      <c r="B1768" s="93" t="str">
        <f>IF(AND(COUNTIF(MAIN!B:B, A1768)=0, IFERROR(SEARCH("return", C1768)&gt;0, FALSE)), "Rental Return", IF(COUNTIF(MAIN!B:B, A1768)=0, "Missing", ""))</f>
        <v/>
      </c>
      <c r="C1768" s="128"/>
      <c r="E1768" s="128" t="str">
        <f t="shared" si="1"/>
        <v/>
      </c>
    </row>
    <row r="1769">
      <c r="A1769" s="93" t="str">
        <f t="shared" si="2"/>
        <v>#15618</v>
      </c>
      <c r="B1769" s="93" t="str">
        <f>IF(AND(COUNTIF(MAIN!B:B, A1769)=0, IFERROR(SEARCH("return", C1769)&gt;0, FALSE)), "Rental Return", IF(COUNTIF(MAIN!B:B, A1769)=0, "Missing", ""))</f>
        <v/>
      </c>
      <c r="C1769" s="128"/>
      <c r="E1769" s="128" t="str">
        <f t="shared" si="1"/>
        <v/>
      </c>
    </row>
    <row r="1770">
      <c r="A1770" s="93" t="str">
        <f t="shared" si="2"/>
        <v>#15619</v>
      </c>
      <c r="B1770" s="93" t="str">
        <f>IF(AND(COUNTIF(MAIN!B:B, A1770)=0, IFERROR(SEARCH("return", C1770)&gt;0, FALSE)), "Rental Return", IF(COUNTIF(MAIN!B:B, A1770)=0, "Missing", ""))</f>
        <v/>
      </c>
      <c r="C1770" s="128"/>
      <c r="E1770" s="128" t="str">
        <f t="shared" si="1"/>
        <v/>
      </c>
    </row>
    <row r="1771">
      <c r="A1771" s="93" t="str">
        <f t="shared" si="2"/>
        <v>#15620</v>
      </c>
      <c r="B1771" s="93" t="str">
        <f>IF(AND(COUNTIF(MAIN!B:B, A1771)=0, IFERROR(SEARCH("return", C1771)&gt;0, FALSE)), "Rental Return", IF(COUNTIF(MAIN!B:B, A1771)=0, "Missing", ""))</f>
        <v/>
      </c>
      <c r="C1771" s="128"/>
      <c r="E1771" s="128" t="str">
        <f t="shared" si="1"/>
        <v/>
      </c>
    </row>
    <row r="1772">
      <c r="A1772" s="93" t="str">
        <f t="shared" si="2"/>
        <v>#15621</v>
      </c>
      <c r="B1772" s="93" t="str">
        <f>IF(AND(COUNTIF(MAIN!B:B, A1772)=0, IFERROR(SEARCH("return", C1772)&gt;0, FALSE)), "Rental Return", IF(COUNTIF(MAIN!B:B, A1772)=0, "Missing", ""))</f>
        <v/>
      </c>
      <c r="C1772" s="128"/>
      <c r="E1772" s="128" t="str">
        <f t="shared" si="1"/>
        <v/>
      </c>
    </row>
    <row r="1773">
      <c r="A1773" s="93" t="str">
        <f t="shared" si="2"/>
        <v>#15622</v>
      </c>
      <c r="B1773" s="93" t="str">
        <f>IF(AND(COUNTIF(MAIN!B:B, A1773)=0, IFERROR(SEARCH("return", C1773)&gt;0, FALSE)), "Rental Return", IF(COUNTIF(MAIN!B:B, A1773)=0, "Missing", ""))</f>
        <v/>
      </c>
      <c r="C1773" s="128"/>
      <c r="E1773" s="128" t="str">
        <f t="shared" si="1"/>
        <v/>
      </c>
    </row>
    <row r="1774">
      <c r="A1774" s="93" t="str">
        <f t="shared" si="2"/>
        <v>#15623</v>
      </c>
      <c r="B1774" s="93" t="str">
        <f>IF(AND(COUNTIF(MAIN!B:B, A1774)=0, IFERROR(SEARCH("return", C1774)&gt;0, FALSE)), "Rental Return", IF(COUNTIF(MAIN!B:B, A1774)=0, "Missing", ""))</f>
        <v/>
      </c>
      <c r="C1774" s="128"/>
      <c r="E1774" s="128" t="str">
        <f t="shared" si="1"/>
        <v/>
      </c>
    </row>
    <row r="1775">
      <c r="A1775" s="93" t="str">
        <f t="shared" si="2"/>
        <v>#15624</v>
      </c>
      <c r="B1775" s="93" t="str">
        <f>IF(AND(COUNTIF(MAIN!B:B, A1775)=0, IFERROR(SEARCH("return", C1775)&gt;0, FALSE)), "Rental Return", IF(COUNTIF(MAIN!B:B, A1775)=0, "Missing", ""))</f>
        <v/>
      </c>
      <c r="C1775" s="128"/>
      <c r="E1775" s="128" t="str">
        <f t="shared" si="1"/>
        <v/>
      </c>
    </row>
    <row r="1776">
      <c r="A1776" s="93" t="str">
        <f t="shared" si="2"/>
        <v>#15625</v>
      </c>
      <c r="B1776" s="93" t="str">
        <f>IF(COUNTIF(MAIN!B:B, A1776)=0, "Missing", "")</f>
        <v/>
      </c>
      <c r="C1776" s="128"/>
      <c r="E1776" s="128" t="str">
        <f t="shared" si="1"/>
        <v/>
      </c>
    </row>
    <row r="1777">
      <c r="A1777" s="93" t="str">
        <f t="shared" si="2"/>
        <v>#15626</v>
      </c>
      <c r="B1777" s="93" t="str">
        <f>IF(COUNTIF(MAIN!B:B, A1777)=0, "Missing", "")</f>
        <v/>
      </c>
      <c r="C1777" s="128"/>
      <c r="E1777" s="128" t="str">
        <f t="shared" si="1"/>
        <v/>
      </c>
    </row>
    <row r="1778">
      <c r="A1778" s="93" t="str">
        <f t="shared" si="2"/>
        <v>#15627</v>
      </c>
      <c r="B1778" s="93" t="str">
        <f>IF(COUNTIF(MAIN!B:B, A1778)=0, "Missing", "")</f>
        <v/>
      </c>
      <c r="C1778" s="128"/>
      <c r="E1778" s="128" t="str">
        <f t="shared" si="1"/>
        <v/>
      </c>
    </row>
    <row r="1779">
      <c r="A1779" s="93" t="str">
        <f t="shared" si="2"/>
        <v>#15628</v>
      </c>
      <c r="B1779" s="93" t="str">
        <f>IF(COUNTIF(MAIN!B:B, A1779)=0, "Missing", "")</f>
        <v/>
      </c>
      <c r="C1779" s="128"/>
      <c r="E1779" s="128" t="str">
        <f t="shared" si="1"/>
        <v/>
      </c>
    </row>
    <row r="1780">
      <c r="A1780" s="93" t="str">
        <f t="shared" si="2"/>
        <v>#15629</v>
      </c>
      <c r="B1780" s="93" t="str">
        <f>IF(COUNTIF(MAIN!B:B, A1780)=0, "Missing", "")</f>
        <v/>
      </c>
      <c r="C1780" s="128"/>
      <c r="E1780" s="128" t="str">
        <f t="shared" si="1"/>
        <v/>
      </c>
    </row>
    <row r="1781">
      <c r="A1781" s="93" t="str">
        <f t="shared" si="2"/>
        <v>#15630</v>
      </c>
      <c r="B1781" s="93" t="str">
        <f>IF(COUNTIF(MAIN!B:B, A1781)=0, "Missing", "")</f>
        <v/>
      </c>
      <c r="C1781" s="128"/>
      <c r="E1781" s="128" t="str">
        <f t="shared" si="1"/>
        <v/>
      </c>
    </row>
    <row r="1782">
      <c r="A1782" s="93" t="str">
        <f t="shared" si="2"/>
        <v>#15631</v>
      </c>
      <c r="B1782" s="93" t="str">
        <f>IF(COUNTIF(MAIN!B:B, A1782)=0, "Missing", "")</f>
        <v/>
      </c>
      <c r="C1782" s="128"/>
      <c r="E1782" s="128" t="str">
        <f t="shared" si="1"/>
        <v/>
      </c>
    </row>
    <row r="1783">
      <c r="A1783" s="93" t="str">
        <f t="shared" si="2"/>
        <v>#15632</v>
      </c>
      <c r="B1783" s="93" t="str">
        <f>IF(COUNTIF(MAIN!B:B, A1783)=0, "Missing", "")</f>
        <v/>
      </c>
      <c r="C1783" s="128"/>
      <c r="E1783" s="128" t="str">
        <f t="shared" si="1"/>
        <v/>
      </c>
    </row>
    <row r="1784">
      <c r="A1784" s="93" t="str">
        <f t="shared" si="2"/>
        <v>#15633</v>
      </c>
      <c r="B1784" s="93" t="str">
        <f>IF(COUNTIF(MAIN!B:B, A1784)=0, "Missing", "")</f>
        <v/>
      </c>
      <c r="C1784" s="128"/>
      <c r="E1784" s="128" t="str">
        <f t="shared" si="1"/>
        <v/>
      </c>
    </row>
    <row r="1785">
      <c r="A1785" s="93" t="str">
        <f t="shared" si="2"/>
        <v>#15634</v>
      </c>
      <c r="B1785" s="93" t="str">
        <f>IF(COUNTIF(MAIN!B:B, A1785)=0, "Missing", "")</f>
        <v/>
      </c>
      <c r="C1785" s="128"/>
      <c r="E1785" s="128" t="str">
        <f t="shared" si="1"/>
        <v/>
      </c>
    </row>
    <row r="1786">
      <c r="A1786" s="93" t="str">
        <f t="shared" si="2"/>
        <v>#15635</v>
      </c>
      <c r="B1786" s="93" t="str">
        <f>IF(COUNTIF(MAIN!B:B, A1786)=0, "Missing", "")</f>
        <v/>
      </c>
      <c r="C1786" s="128"/>
      <c r="E1786" s="128" t="str">
        <f t="shared" si="1"/>
        <v/>
      </c>
    </row>
    <row r="1787">
      <c r="A1787" s="93" t="str">
        <f t="shared" si="2"/>
        <v>#15636</v>
      </c>
      <c r="B1787" s="93" t="str">
        <f>IF(COUNTIF(MAIN!B:B, A1787)=0, "Missing", "")</f>
        <v/>
      </c>
      <c r="C1787" s="128"/>
      <c r="E1787" s="128" t="str">
        <f t="shared" si="1"/>
        <v/>
      </c>
    </row>
    <row r="1788">
      <c r="A1788" s="93" t="str">
        <f t="shared" si="2"/>
        <v>#15637</v>
      </c>
      <c r="B1788" s="93" t="str">
        <f>IF(COUNTIF(MAIN!B:B, A1788)=0, "Missing", "")</f>
        <v/>
      </c>
      <c r="C1788" s="128"/>
      <c r="E1788" s="128" t="str">
        <f t="shared" si="1"/>
        <v/>
      </c>
    </row>
    <row r="1789">
      <c r="A1789" s="93" t="str">
        <f t="shared" si="2"/>
        <v>#15638</v>
      </c>
      <c r="B1789" s="93" t="str">
        <f>IF(COUNTIF(MAIN!B:B, A1789)=0, "Missing", "")</f>
        <v/>
      </c>
      <c r="C1789" s="128"/>
      <c r="E1789" s="128" t="str">
        <f t="shared" si="1"/>
        <v/>
      </c>
    </row>
    <row r="1790">
      <c r="A1790" s="93" t="str">
        <f t="shared" si="2"/>
        <v>#15639</v>
      </c>
      <c r="B1790" s="93" t="str">
        <f>IF(COUNTIF(MAIN!B:B, A1790)=0, "Missing", "")</f>
        <v/>
      </c>
      <c r="C1790" s="128"/>
      <c r="E1790" s="128" t="str">
        <f t="shared" si="1"/>
        <v/>
      </c>
    </row>
    <row r="1791">
      <c r="A1791" s="93" t="str">
        <f t="shared" si="2"/>
        <v>#15640</v>
      </c>
      <c r="B1791" s="93" t="str">
        <f>IF(COUNTIF(MAIN!B:B, A1791)=0, "Missing", "")</f>
        <v/>
      </c>
      <c r="C1791" s="128"/>
      <c r="E1791" s="128" t="str">
        <f t="shared" si="1"/>
        <v/>
      </c>
    </row>
    <row r="1792">
      <c r="A1792" s="93" t="str">
        <f t="shared" si="2"/>
        <v>#15641</v>
      </c>
      <c r="B1792" s="93" t="str">
        <f>IF(COUNTIF(MAIN!B:B, A1792)=0, "Missing", "")</f>
        <v/>
      </c>
      <c r="C1792" s="128"/>
      <c r="E1792" s="128" t="str">
        <f t="shared" si="1"/>
        <v/>
      </c>
    </row>
    <row r="1793">
      <c r="A1793" s="93" t="str">
        <f t="shared" si="2"/>
        <v>#15642</v>
      </c>
      <c r="B1793" s="93" t="str">
        <f>IF(COUNTIF(MAIN!B:B, A1793)=0, "Missing", "")</f>
        <v/>
      </c>
      <c r="C1793" s="128"/>
      <c r="E1793" s="128" t="str">
        <f t="shared" si="1"/>
        <v/>
      </c>
    </row>
    <row r="1794">
      <c r="A1794" s="93" t="str">
        <f t="shared" si="2"/>
        <v>#15643</v>
      </c>
      <c r="B1794" s="93" t="str">
        <f>IF(COUNTIF(MAIN!B:B, A1794)=0, "Missing", "")</f>
        <v/>
      </c>
      <c r="C1794" s="128"/>
      <c r="E1794" s="128" t="str">
        <f t="shared" si="1"/>
        <v/>
      </c>
    </row>
    <row r="1795">
      <c r="A1795" s="93" t="str">
        <f t="shared" si="2"/>
        <v>#15644</v>
      </c>
      <c r="B1795" s="93" t="str">
        <f>IF(COUNTIF(MAIN!B:B, A1795)=0, "Missing", "")</f>
        <v/>
      </c>
      <c r="C1795" s="128"/>
      <c r="E1795" s="128" t="str">
        <f t="shared" si="1"/>
        <v/>
      </c>
    </row>
    <row r="1796">
      <c r="A1796" s="93" t="str">
        <f t="shared" si="2"/>
        <v>#15645</v>
      </c>
      <c r="B1796" s="93" t="str">
        <f>IF(COUNTIF(MAIN!B:B, A1796)=0, "Missing", "")</f>
        <v/>
      </c>
      <c r="C1796" s="128"/>
      <c r="E1796" s="128" t="str">
        <f t="shared" si="1"/>
        <v/>
      </c>
    </row>
    <row r="1797">
      <c r="A1797" s="93" t="str">
        <f t="shared" si="2"/>
        <v>#15646</v>
      </c>
      <c r="B1797" s="93" t="str">
        <f>IF(COUNTIF(MAIN!B:B, A1797)=0, "Missing", "")</f>
        <v/>
      </c>
      <c r="C1797" s="128"/>
      <c r="E1797" s="128" t="str">
        <f t="shared" si="1"/>
        <v/>
      </c>
    </row>
    <row r="1798">
      <c r="A1798" s="93" t="str">
        <f t="shared" si="2"/>
        <v>#15647</v>
      </c>
      <c r="B1798" s="93" t="str">
        <f>IF(COUNTIF(MAIN!B:B, A1798)=0, "Missing", "")</f>
        <v/>
      </c>
      <c r="C1798" s="128"/>
      <c r="E1798" s="128" t="str">
        <f t="shared" si="1"/>
        <v/>
      </c>
    </row>
    <row r="1799">
      <c r="A1799" s="93" t="str">
        <f t="shared" si="2"/>
        <v>#15648</v>
      </c>
      <c r="B1799" s="93" t="str">
        <f>IF(COUNTIF(MAIN!B:B, A1799)=0, "Missing", "")</f>
        <v/>
      </c>
      <c r="C1799" s="128"/>
      <c r="E1799" s="128" t="str">
        <f t="shared" si="1"/>
        <v/>
      </c>
    </row>
    <row r="1800">
      <c r="A1800" s="93" t="str">
        <f t="shared" si="2"/>
        <v>#15649</v>
      </c>
      <c r="B1800" s="93" t="str">
        <f>IF(COUNTIF(MAIN!B:B, A1800)=0, "Missing", "")</f>
        <v/>
      </c>
      <c r="C1800" s="128"/>
      <c r="E1800" s="128" t="str">
        <f t="shared" si="1"/>
        <v/>
      </c>
    </row>
    <row r="1801">
      <c r="A1801" s="93" t="str">
        <f t="shared" si="2"/>
        <v>#15650</v>
      </c>
      <c r="B1801" s="93" t="str">
        <f>IF(COUNTIF(MAIN!B:B, A1801)=0, "Missing", "")</f>
        <v/>
      </c>
      <c r="C1801" s="128"/>
      <c r="E1801" s="128" t="str">
        <f t="shared" si="1"/>
        <v/>
      </c>
    </row>
    <row r="1802">
      <c r="A1802" s="93" t="str">
        <f t="shared" si="2"/>
        <v>#15651</v>
      </c>
      <c r="B1802" s="93" t="str">
        <f>IF(COUNTIF(MAIN!B:B, A1802)=0, "Missing", "")</f>
        <v/>
      </c>
      <c r="C1802" s="128"/>
      <c r="E1802" s="128" t="str">
        <f t="shared" si="1"/>
        <v/>
      </c>
    </row>
    <row r="1803">
      <c r="A1803" s="93" t="str">
        <f t="shared" si="2"/>
        <v>#15652</v>
      </c>
      <c r="B1803" s="93" t="str">
        <f>IF(COUNTIF(MAIN!B:B, A1803)=0, "Missing", "")</f>
        <v/>
      </c>
      <c r="C1803" s="128"/>
      <c r="E1803" s="128" t="str">
        <f t="shared" si="1"/>
        <v/>
      </c>
    </row>
    <row r="1804">
      <c r="A1804" s="93" t="str">
        <f t="shared" si="2"/>
        <v>#15653</v>
      </c>
      <c r="B1804" s="93" t="str">
        <f>IF(COUNTIF(MAIN!B:B, A1804)=0, "Missing", "")</f>
        <v/>
      </c>
      <c r="C1804" s="128"/>
      <c r="E1804" s="128" t="str">
        <f t="shared" si="1"/>
        <v/>
      </c>
    </row>
    <row r="1805">
      <c r="A1805" s="93" t="str">
        <f t="shared" si="2"/>
        <v>#15654</v>
      </c>
      <c r="B1805" s="93" t="str">
        <f>IF(COUNTIF(MAIN!B:B, A1805)=0, "Missing", "")</f>
        <v/>
      </c>
      <c r="C1805" s="128"/>
      <c r="E1805" s="128" t="str">
        <f t="shared" si="1"/>
        <v/>
      </c>
    </row>
    <row r="1806">
      <c r="A1806" s="93" t="str">
        <f t="shared" si="2"/>
        <v>#15655</v>
      </c>
      <c r="B1806" s="93" t="str">
        <f>IF(COUNTIF(MAIN!B:B, A1806)=0, "Missing", "")</f>
        <v/>
      </c>
      <c r="C1806" s="128"/>
      <c r="E1806" s="128" t="str">
        <f t="shared" si="1"/>
        <v/>
      </c>
    </row>
    <row r="1807">
      <c r="A1807" s="93" t="str">
        <f t="shared" si="2"/>
        <v>#15656</v>
      </c>
      <c r="B1807" s="93" t="str">
        <f>IF(COUNTIF(MAIN!B:B, A1807)=0, "Missing", "")</f>
        <v/>
      </c>
      <c r="C1807" s="128"/>
      <c r="E1807" s="128" t="str">
        <f t="shared" si="1"/>
        <v/>
      </c>
    </row>
    <row r="1808">
      <c r="A1808" s="93" t="str">
        <f t="shared" si="2"/>
        <v>#15657</v>
      </c>
      <c r="B1808" s="93" t="str">
        <f>IF(COUNTIF(MAIN!B:B, A1808)=0, "Missing", "")</f>
        <v/>
      </c>
      <c r="C1808" s="128"/>
      <c r="E1808" s="128" t="str">
        <f t="shared" si="1"/>
        <v/>
      </c>
    </row>
    <row r="1809">
      <c r="A1809" s="93" t="str">
        <f t="shared" si="2"/>
        <v>#15658</v>
      </c>
      <c r="B1809" s="93" t="str">
        <f>IF(COUNTIF(MAIN!B:B, A1809)=0, "Missing", "")</f>
        <v/>
      </c>
      <c r="C1809" s="128"/>
      <c r="E1809" s="128" t="str">
        <f t="shared" si="1"/>
        <v/>
      </c>
    </row>
    <row r="1810">
      <c r="A1810" s="93" t="str">
        <f t="shared" si="2"/>
        <v>#15659</v>
      </c>
      <c r="B1810" s="93" t="str">
        <f>IF(COUNTIF(MAIN!B:B, A1810)=0, "Missing", "")</f>
        <v/>
      </c>
      <c r="C1810" s="128"/>
      <c r="E1810" s="128" t="str">
        <f t="shared" si="1"/>
        <v/>
      </c>
    </row>
    <row r="1811">
      <c r="A1811" s="93" t="str">
        <f t="shared" si="2"/>
        <v>#15660</v>
      </c>
      <c r="B1811" s="93" t="str">
        <f>IF(COUNTIF(MAIN!B:B, A1811)=0, "Missing", "")</f>
        <v/>
      </c>
      <c r="C1811" s="128"/>
      <c r="E1811" s="128" t="str">
        <f t="shared" si="1"/>
        <v/>
      </c>
    </row>
    <row r="1812">
      <c r="A1812" s="93" t="str">
        <f t="shared" si="2"/>
        <v>#15661</v>
      </c>
      <c r="B1812" s="93" t="str">
        <f>IF(COUNTIF(MAIN!B:B, A1812)=0, "Missing", "")</f>
        <v/>
      </c>
      <c r="C1812" s="128"/>
      <c r="E1812" s="128" t="str">
        <f t="shared" si="1"/>
        <v/>
      </c>
    </row>
    <row r="1813">
      <c r="A1813" s="93" t="str">
        <f t="shared" si="2"/>
        <v>#15662</v>
      </c>
      <c r="B1813" s="93" t="str">
        <f>IF(COUNTIF(MAIN!B:B, A1813)=0, "Missing", "")</f>
        <v/>
      </c>
      <c r="C1813" s="128"/>
      <c r="E1813" s="128" t="str">
        <f t="shared" si="1"/>
        <v/>
      </c>
    </row>
    <row r="1814">
      <c r="A1814" s="93" t="str">
        <f t="shared" si="2"/>
        <v>#15663</v>
      </c>
      <c r="B1814" s="93" t="str">
        <f>IF(COUNTIF(MAIN!B:B, A1814)=0, "Missing", "")</f>
        <v/>
      </c>
      <c r="C1814" s="128"/>
      <c r="E1814" s="128" t="str">
        <f t="shared" si="1"/>
        <v/>
      </c>
    </row>
    <row r="1815">
      <c r="A1815" s="93" t="str">
        <f t="shared" si="2"/>
        <v>#15664</v>
      </c>
      <c r="B1815" s="93" t="str">
        <f>IF(COUNTIF(MAIN!B:B, A1815)=0, "Missing", "")</f>
        <v/>
      </c>
      <c r="C1815" s="128"/>
      <c r="E1815" s="128" t="str">
        <f t="shared" si="1"/>
        <v/>
      </c>
    </row>
    <row r="1816">
      <c r="A1816" s="93" t="str">
        <f t="shared" si="2"/>
        <v>#15665</v>
      </c>
      <c r="B1816" s="93" t="str">
        <f>IF(COUNTIF(MAIN!B:B, A1816)=0, "Missing", "")</f>
        <v/>
      </c>
      <c r="C1816" s="128"/>
      <c r="E1816" s="128" t="str">
        <f t="shared" si="1"/>
        <v/>
      </c>
    </row>
    <row r="1817">
      <c r="A1817" s="93" t="str">
        <f t="shared" si="2"/>
        <v>#15666</v>
      </c>
      <c r="B1817" s="93" t="str">
        <f>IF(COUNTIF(MAIN!B:B, A1817)=0, "Missing", "")</f>
        <v/>
      </c>
      <c r="C1817" s="128"/>
      <c r="E1817" s="128" t="str">
        <f t="shared" si="1"/>
        <v/>
      </c>
    </row>
    <row r="1818">
      <c r="A1818" s="93" t="str">
        <f t="shared" si="2"/>
        <v>#15667</v>
      </c>
      <c r="B1818" s="93" t="str">
        <f>IF(COUNTIF(MAIN!B:B, A1818)=0, "Missing", "")</f>
        <v/>
      </c>
      <c r="C1818" s="128"/>
      <c r="E1818" s="128" t="str">
        <f t="shared" si="1"/>
        <v/>
      </c>
    </row>
    <row r="1819">
      <c r="A1819" s="93" t="str">
        <f t="shared" si="2"/>
        <v>#15668</v>
      </c>
      <c r="B1819" s="93" t="str">
        <f>IF(COUNTIF(MAIN!B:B, A1819)=0, "Missing", "")</f>
        <v/>
      </c>
      <c r="C1819" s="128"/>
      <c r="E1819" s="128" t="str">
        <f t="shared" si="1"/>
        <v/>
      </c>
    </row>
    <row r="1820">
      <c r="A1820" s="93" t="str">
        <f t="shared" si="2"/>
        <v>#15669</v>
      </c>
      <c r="B1820" s="93" t="str">
        <f>IF(COUNTIF(MAIN!B:B, A1820)=0, "Missing", "")</f>
        <v/>
      </c>
      <c r="C1820" s="128"/>
      <c r="E1820" s="128" t="str">
        <f t="shared" si="1"/>
        <v/>
      </c>
    </row>
    <row r="1821">
      <c r="A1821" s="93" t="str">
        <f t="shared" si="2"/>
        <v>#15670</v>
      </c>
      <c r="B1821" s="93" t="str">
        <f>IF(COUNTIF(MAIN!B:B, A1821)=0, "Missing", "")</f>
        <v/>
      </c>
      <c r="C1821" s="128"/>
      <c r="E1821" s="128" t="str">
        <f t="shared" si="1"/>
        <v/>
      </c>
    </row>
    <row r="1822">
      <c r="A1822" s="93" t="str">
        <f t="shared" si="2"/>
        <v>#15671</v>
      </c>
      <c r="B1822" s="93" t="str">
        <f>IF(COUNTIF(MAIN!B:B, A1822)=0, "Missing", "")</f>
        <v/>
      </c>
      <c r="C1822" s="128"/>
      <c r="E1822" s="128" t="str">
        <f t="shared" si="1"/>
        <v/>
      </c>
    </row>
    <row r="1823">
      <c r="A1823" s="93" t="str">
        <f t="shared" si="2"/>
        <v>#15672</v>
      </c>
      <c r="B1823" s="93" t="str">
        <f>IF(COUNTIF(MAIN!B:B, A1823)=0, "Missing", "")</f>
        <v/>
      </c>
      <c r="C1823" s="128"/>
      <c r="E1823" s="128" t="str">
        <f t="shared" si="1"/>
        <v/>
      </c>
    </row>
    <row r="1824">
      <c r="A1824" s="93" t="str">
        <f t="shared" si="2"/>
        <v>#15673</v>
      </c>
      <c r="B1824" s="93" t="str">
        <f>IF(COUNTIF(MAIN!B:B, A1824)=0, "Missing", "")</f>
        <v/>
      </c>
      <c r="C1824" s="128"/>
      <c r="E1824" s="128" t="str">
        <f t="shared" si="1"/>
        <v/>
      </c>
    </row>
    <row r="1825">
      <c r="A1825" s="93" t="str">
        <f t="shared" si="2"/>
        <v>#15674</v>
      </c>
      <c r="B1825" s="93" t="str">
        <f>IF(COUNTIF(MAIN!B:B, A1825)=0, "Missing", "")</f>
        <v/>
      </c>
      <c r="C1825" s="128"/>
      <c r="E1825" s="128" t="str">
        <f t="shared" si="1"/>
        <v/>
      </c>
    </row>
    <row r="1826">
      <c r="A1826" s="93" t="str">
        <f t="shared" si="2"/>
        <v>#15675</v>
      </c>
      <c r="B1826" s="93" t="str">
        <f>IF(COUNTIF(MAIN!B:B, A1826)=0, "Missing", "")</f>
        <v/>
      </c>
      <c r="C1826" s="128"/>
      <c r="E1826" s="128" t="str">
        <f t="shared" si="1"/>
        <v/>
      </c>
    </row>
    <row r="1827">
      <c r="A1827" s="93" t="str">
        <f t="shared" si="2"/>
        <v>#15676</v>
      </c>
      <c r="B1827" s="93" t="str">
        <f>IF(COUNTIF(MAIN!B:B, A1827)=0, "Missing", "")</f>
        <v/>
      </c>
      <c r="C1827" s="128"/>
      <c r="E1827" s="128" t="str">
        <f t="shared" si="1"/>
        <v/>
      </c>
    </row>
    <row r="1828">
      <c r="A1828" s="93" t="str">
        <f t="shared" si="2"/>
        <v>#15677</v>
      </c>
      <c r="B1828" s="93" t="str">
        <f>IF(COUNTIF(MAIN!B:B, A1828)=0, "Missing", "")</f>
        <v/>
      </c>
      <c r="C1828" s="128"/>
      <c r="E1828" s="128" t="str">
        <f t="shared" si="1"/>
        <v/>
      </c>
    </row>
    <row r="1829">
      <c r="A1829" s="93" t="str">
        <f t="shared" si="2"/>
        <v>#15678</v>
      </c>
      <c r="B1829" s="93" t="str">
        <f>IF(COUNTIF(MAIN!B:B, A1829)=0, "Missing", "")</f>
        <v/>
      </c>
      <c r="C1829" s="128"/>
      <c r="E1829" s="128" t="str">
        <f t="shared" si="1"/>
        <v/>
      </c>
    </row>
    <row r="1830">
      <c r="A1830" s="93" t="str">
        <f t="shared" si="2"/>
        <v>#15679</v>
      </c>
      <c r="B1830" s="93" t="str">
        <f>IF(COUNTIF(MAIN!B:B, A1830)=0, "Missing", "")</f>
        <v/>
      </c>
      <c r="C1830" s="128"/>
      <c r="E1830" s="128" t="str">
        <f t="shared" si="1"/>
        <v/>
      </c>
    </row>
    <row r="1831">
      <c r="A1831" s="93" t="str">
        <f t="shared" si="2"/>
        <v>#15680</v>
      </c>
      <c r="B1831" s="93" t="str">
        <f>IF(COUNTIF(MAIN!B:B, A1831)=0, "Missing", "")</f>
        <v/>
      </c>
      <c r="C1831" s="128"/>
      <c r="E1831" s="128" t="str">
        <f t="shared" si="1"/>
        <v/>
      </c>
    </row>
    <row r="1832">
      <c r="A1832" s="93" t="str">
        <f t="shared" si="2"/>
        <v>#15681</v>
      </c>
      <c r="B1832" s="93" t="str">
        <f>IF(COUNTIF(MAIN!B:B, A1832)=0, "Missing", "")</f>
        <v/>
      </c>
      <c r="C1832" s="128"/>
      <c r="E1832" s="128" t="str">
        <f t="shared" si="1"/>
        <v/>
      </c>
    </row>
    <row r="1833">
      <c r="A1833" s="93" t="str">
        <f t="shared" si="2"/>
        <v>#15682</v>
      </c>
      <c r="B1833" s="93" t="str">
        <f>IF(COUNTIF(MAIN!B:B, A1833)=0, "Missing", "")</f>
        <v/>
      </c>
      <c r="C1833" s="128"/>
      <c r="E1833" s="128" t="str">
        <f t="shared" si="1"/>
        <v/>
      </c>
    </row>
    <row r="1834">
      <c r="A1834" s="93" t="str">
        <f t="shared" si="2"/>
        <v>#15683</v>
      </c>
      <c r="B1834" s="93" t="str">
        <f>IF(COUNTIF(MAIN!B:B, A1834)=0, "Missing", "")</f>
        <v/>
      </c>
      <c r="C1834" s="128"/>
      <c r="E1834" s="128" t="str">
        <f t="shared" si="1"/>
        <v/>
      </c>
    </row>
    <row r="1835">
      <c r="A1835" s="93" t="str">
        <f t="shared" si="2"/>
        <v>#15684</v>
      </c>
      <c r="B1835" s="93" t="str">
        <f>IF(COUNTIF(MAIN!B:B, A1835)=0, "Missing", "")</f>
        <v/>
      </c>
      <c r="C1835" s="128"/>
      <c r="E1835" s="128" t="str">
        <f t="shared" si="1"/>
        <v/>
      </c>
    </row>
    <row r="1836">
      <c r="A1836" s="93" t="str">
        <f t="shared" si="2"/>
        <v>#15685</v>
      </c>
      <c r="B1836" s="93" t="str">
        <f>IF(COUNTIF(MAIN!B:B, A1836)=0, "Missing", "")</f>
        <v/>
      </c>
      <c r="C1836" s="128"/>
      <c r="E1836" s="128" t="str">
        <f t="shared" si="1"/>
        <v/>
      </c>
    </row>
    <row r="1837">
      <c r="A1837" s="93" t="str">
        <f t="shared" si="2"/>
        <v>#15686</v>
      </c>
      <c r="B1837" s="93" t="str">
        <f>IF(COUNTIF(MAIN!B:B, A1837)=0, "Missing", "")</f>
        <v/>
      </c>
      <c r="C1837" s="128"/>
      <c r="E1837" s="128" t="str">
        <f t="shared" si="1"/>
        <v/>
      </c>
    </row>
    <row r="1838">
      <c r="A1838" s="93" t="str">
        <f t="shared" si="2"/>
        <v>#15687</v>
      </c>
      <c r="B1838" s="93" t="str">
        <f>IF(COUNTIF(MAIN!B:B, A1838)=0, "Missing", "")</f>
        <v/>
      </c>
      <c r="C1838" s="128"/>
      <c r="E1838" s="128" t="str">
        <f t="shared" si="1"/>
        <v/>
      </c>
    </row>
    <row r="1839">
      <c r="A1839" s="93" t="str">
        <f t="shared" si="2"/>
        <v>#15688</v>
      </c>
      <c r="B1839" s="93" t="str">
        <f>IF(COUNTIF(MAIN!B:B, A1839)=0, "Missing", "")</f>
        <v/>
      </c>
      <c r="C1839" s="128"/>
      <c r="E1839" s="128" t="str">
        <f t="shared" si="1"/>
        <v/>
      </c>
    </row>
    <row r="1840">
      <c r="A1840" s="93" t="str">
        <f t="shared" si="2"/>
        <v>#15689</v>
      </c>
      <c r="B1840" s="93" t="str">
        <f>IF(COUNTIF(MAIN!B:B, A1840)=0, "Missing", "")</f>
        <v/>
      </c>
      <c r="C1840" s="128"/>
      <c r="E1840" s="128" t="str">
        <f t="shared" si="1"/>
        <v/>
      </c>
    </row>
    <row r="1841">
      <c r="A1841" s="93" t="str">
        <f t="shared" si="2"/>
        <v>#15690</v>
      </c>
      <c r="B1841" s="93" t="str">
        <f>IF(COUNTIF(MAIN!B:B, A1841)=0, "Missing", "")</f>
        <v/>
      </c>
      <c r="C1841" s="128"/>
      <c r="E1841" s="128" t="str">
        <f t="shared" si="1"/>
        <v/>
      </c>
    </row>
    <row r="1842">
      <c r="A1842" s="93" t="str">
        <f t="shared" si="2"/>
        <v>#15691</v>
      </c>
      <c r="B1842" s="93" t="str">
        <f>IF(COUNTIF(MAIN!B:B, A1842)=0, "Missing", "")</f>
        <v/>
      </c>
      <c r="C1842" s="128"/>
      <c r="E1842" s="128" t="str">
        <f t="shared" si="1"/>
        <v/>
      </c>
    </row>
    <row r="1843">
      <c r="A1843" s="93" t="str">
        <f t="shared" si="2"/>
        <v>#15692</v>
      </c>
      <c r="B1843" s="93" t="str">
        <f>IF(COUNTIF(MAIN!B:B, A1843)=0, "Missing", "")</f>
        <v/>
      </c>
      <c r="C1843" s="128"/>
      <c r="E1843" s="128" t="str">
        <f t="shared" si="1"/>
        <v/>
      </c>
    </row>
    <row r="1844">
      <c r="A1844" s="93" t="str">
        <f t="shared" si="2"/>
        <v>#15693</v>
      </c>
      <c r="B1844" s="93" t="str">
        <f>IF(COUNTIF(MAIN!B:B, A1844)=0, "Missing", "")</f>
        <v/>
      </c>
      <c r="C1844" s="128"/>
      <c r="E1844" s="128" t="str">
        <f t="shared" si="1"/>
        <v/>
      </c>
    </row>
    <row r="1845">
      <c r="A1845" s="93" t="str">
        <f t="shared" si="2"/>
        <v>#15694</v>
      </c>
      <c r="B1845" s="93" t="str">
        <f>IF(COUNTIF(MAIN!B:B, A1845)=0, "Missing", "")</f>
        <v>Missing</v>
      </c>
      <c r="C1845" s="128"/>
      <c r="E1845" s="131" t="str">
        <f t="shared" si="1"/>
        <v>https://utrucking.myshopify.com/admin/orders?query=15694</v>
      </c>
    </row>
    <row r="1846">
      <c r="A1846" s="93" t="str">
        <f t="shared" si="2"/>
        <v>#15695</v>
      </c>
      <c r="B1846" s="93" t="str">
        <f>IF(COUNTIF(MAIN!B:B, A1846)=0, "Missing", "")</f>
        <v/>
      </c>
      <c r="C1846" s="128"/>
      <c r="E1846" s="128" t="str">
        <f t="shared" si="1"/>
        <v/>
      </c>
    </row>
    <row r="1847">
      <c r="A1847" s="93" t="str">
        <f t="shared" si="2"/>
        <v>#15696</v>
      </c>
      <c r="B1847" s="93" t="str">
        <f>IF(COUNTIF(MAIN!B:B, A1847)=0, "Missing", "")</f>
        <v/>
      </c>
      <c r="C1847" s="128"/>
      <c r="E1847" s="128" t="str">
        <f t="shared" si="1"/>
        <v/>
      </c>
    </row>
    <row r="1848">
      <c r="A1848" s="93" t="str">
        <f t="shared" si="2"/>
        <v>#15697</v>
      </c>
      <c r="B1848" s="93" t="str">
        <f>IF(COUNTIF(MAIN!B:B, A1848)=0, "Missing", "")</f>
        <v/>
      </c>
      <c r="C1848" s="128"/>
      <c r="E1848" s="128" t="str">
        <f t="shared" si="1"/>
        <v/>
      </c>
    </row>
    <row r="1849">
      <c r="A1849" s="93" t="str">
        <f t="shared" si="2"/>
        <v>#15698</v>
      </c>
      <c r="B1849" s="93" t="str">
        <f>IF(COUNTIF(MAIN!B:B, A1849)=0, "Missing", "")</f>
        <v/>
      </c>
      <c r="C1849" s="128"/>
      <c r="E1849" s="128" t="str">
        <f t="shared" si="1"/>
        <v/>
      </c>
    </row>
    <row r="1850">
      <c r="A1850" s="93" t="str">
        <f t="shared" si="2"/>
        <v>#15699</v>
      </c>
      <c r="B1850" s="93" t="str">
        <f>IF(COUNTIF(MAIN!B:B, A1850)=0, "Missing", "")</f>
        <v/>
      </c>
      <c r="C1850" s="128"/>
      <c r="E1850" s="128" t="str">
        <f t="shared" si="1"/>
        <v/>
      </c>
    </row>
    <row r="1851">
      <c r="A1851" s="93" t="str">
        <f t="shared" si="2"/>
        <v>#15700</v>
      </c>
      <c r="B1851" s="93" t="str">
        <f>IF(COUNTIF(MAIN!B:B, A1851)=0, "Missing", "")</f>
        <v/>
      </c>
      <c r="C1851" s="128"/>
      <c r="E1851" s="128" t="str">
        <f t="shared" si="1"/>
        <v/>
      </c>
    </row>
    <row r="1852">
      <c r="A1852" s="93" t="str">
        <f t="shared" si="2"/>
        <v>#15701</v>
      </c>
      <c r="B1852" s="93" t="str">
        <f>IF(COUNTIF(MAIN!B:B, A1852)=0, "Missing", "")</f>
        <v/>
      </c>
      <c r="C1852" s="128"/>
      <c r="E1852" s="128" t="str">
        <f t="shared" si="1"/>
        <v/>
      </c>
    </row>
    <row r="1853">
      <c r="A1853" s="93" t="str">
        <f t="shared" si="2"/>
        <v>#15702</v>
      </c>
      <c r="B1853" s="93" t="str">
        <f>IF(COUNTIF(MAIN!B:B, A1853)=0, "Missing", "")</f>
        <v/>
      </c>
      <c r="C1853" s="128"/>
      <c r="E1853" s="128" t="str">
        <f t="shared" si="1"/>
        <v/>
      </c>
    </row>
    <row r="1854">
      <c r="A1854" s="93" t="str">
        <f t="shared" si="2"/>
        <v>#15703</v>
      </c>
      <c r="B1854" s="93" t="str">
        <f>IF(COUNTIF(MAIN!B:B, A1854)=0, "Missing", "")</f>
        <v/>
      </c>
      <c r="C1854" s="128"/>
      <c r="E1854" s="128" t="str">
        <f t="shared" si="1"/>
        <v/>
      </c>
    </row>
    <row r="1855">
      <c r="A1855" s="93" t="str">
        <f t="shared" si="2"/>
        <v>#15704</v>
      </c>
      <c r="B1855" s="93" t="str">
        <f>IF(COUNTIF(MAIN!B:B, A1855)=0, "Missing", "")</f>
        <v/>
      </c>
      <c r="C1855" s="128"/>
      <c r="E1855" s="128" t="str">
        <f t="shared" si="1"/>
        <v/>
      </c>
    </row>
    <row r="1856">
      <c r="A1856" s="93" t="str">
        <f t="shared" si="2"/>
        <v>#15705</v>
      </c>
      <c r="B1856" s="93" t="str">
        <f>IF(COUNTIF(MAIN!B:B, A1856)=0, "Missing", "")</f>
        <v/>
      </c>
      <c r="C1856" s="128"/>
      <c r="E1856" s="128" t="str">
        <f t="shared" si="1"/>
        <v/>
      </c>
    </row>
    <row r="1857">
      <c r="A1857" s="93" t="str">
        <f t="shared" si="2"/>
        <v>#15706</v>
      </c>
      <c r="B1857" s="93" t="str">
        <f>IF(COUNTIF(MAIN!B:B, A1857)=0, "Missing", "")</f>
        <v/>
      </c>
      <c r="C1857" s="128"/>
      <c r="E1857" s="128" t="str">
        <f t="shared" si="1"/>
        <v/>
      </c>
    </row>
    <row r="1858">
      <c r="A1858" s="93" t="str">
        <f t="shared" si="2"/>
        <v>#15707</v>
      </c>
      <c r="B1858" s="93" t="str">
        <f>IF(COUNTIF(MAIN!B:B, A1858)=0, "Missing", "")</f>
        <v/>
      </c>
      <c r="C1858" s="128"/>
      <c r="E1858" s="128" t="str">
        <f t="shared" si="1"/>
        <v/>
      </c>
    </row>
    <row r="1859">
      <c r="A1859" s="93" t="str">
        <f t="shared" si="2"/>
        <v>#15708</v>
      </c>
      <c r="B1859" s="93" t="str">
        <f>IF(COUNTIF(MAIN!B:B, A1859)=0, "Missing", "")</f>
        <v/>
      </c>
      <c r="C1859" s="128"/>
      <c r="E1859" s="128" t="str">
        <f t="shared" si="1"/>
        <v/>
      </c>
    </row>
    <row r="1860">
      <c r="A1860" s="93" t="str">
        <f t="shared" si="2"/>
        <v>#15709</v>
      </c>
      <c r="B1860" s="93" t="str">
        <f>IF(COUNTIF(MAIN!B:B, A1860)=0, "Missing", "")</f>
        <v/>
      </c>
      <c r="C1860" s="128"/>
      <c r="E1860" s="128" t="str">
        <f t="shared" si="1"/>
        <v/>
      </c>
    </row>
    <row r="1861">
      <c r="A1861" s="93" t="str">
        <f t="shared" si="2"/>
        <v>#15710</v>
      </c>
      <c r="B1861" s="93" t="str">
        <f>IF(COUNTIF(MAIN!B:B, A1861)=0, "Missing", "")</f>
        <v/>
      </c>
      <c r="C1861" s="128"/>
      <c r="E1861" s="128" t="str">
        <f t="shared" si="1"/>
        <v/>
      </c>
    </row>
    <row r="1862">
      <c r="A1862" s="93" t="str">
        <f t="shared" si="2"/>
        <v>#15711</v>
      </c>
      <c r="B1862" s="93" t="str">
        <f>IF(COUNTIF(MAIN!B:B, A1862)=0, "Missing", "")</f>
        <v>Missing</v>
      </c>
      <c r="C1862" s="128"/>
      <c r="E1862" s="131" t="str">
        <f t="shared" si="1"/>
        <v>https://utrucking.myshopify.com/admin/orders?query=15711</v>
      </c>
    </row>
    <row r="1863">
      <c r="A1863" s="93" t="str">
        <f t="shared" si="2"/>
        <v>#15712</v>
      </c>
      <c r="B1863" s="93" t="str">
        <f>IF(COUNTIF(MAIN!B:B, A1863)=0, "Missing", "")</f>
        <v/>
      </c>
      <c r="C1863" s="128"/>
      <c r="E1863" s="128" t="str">
        <f t="shared" si="1"/>
        <v/>
      </c>
    </row>
    <row r="1864">
      <c r="A1864" s="93" t="str">
        <f t="shared" si="2"/>
        <v>#15713</v>
      </c>
      <c r="B1864" s="93" t="str">
        <f>IF(COUNTIF(MAIN!B:B, A1864)=0, "Missing", "")</f>
        <v/>
      </c>
      <c r="C1864" s="128"/>
      <c r="E1864" s="128" t="str">
        <f t="shared" si="1"/>
        <v/>
      </c>
    </row>
    <row r="1865">
      <c r="A1865" s="93" t="str">
        <f t="shared" si="2"/>
        <v>#15714</v>
      </c>
      <c r="B1865" s="93" t="str">
        <f>IF(COUNTIF(MAIN!B:B, A1865)=0, "Missing", "")</f>
        <v/>
      </c>
      <c r="C1865" s="128"/>
      <c r="E1865" s="128" t="str">
        <f t="shared" si="1"/>
        <v/>
      </c>
    </row>
    <row r="1866">
      <c r="A1866" s="93" t="str">
        <f t="shared" si="2"/>
        <v>#15715</v>
      </c>
      <c r="B1866" s="93" t="str">
        <f>IF(COUNTIF(MAIN!B:B, A1866)=0, "Missing", "")</f>
        <v/>
      </c>
      <c r="C1866" s="128"/>
      <c r="E1866" s="128" t="str">
        <f t="shared" si="1"/>
        <v/>
      </c>
    </row>
    <row r="1867">
      <c r="A1867" s="93" t="str">
        <f t="shared" si="2"/>
        <v>#15716</v>
      </c>
      <c r="B1867" s="93" t="str">
        <f>IF(COUNTIF(MAIN!B:B, A1867)=0, "Missing", "")</f>
        <v/>
      </c>
      <c r="C1867" s="128"/>
      <c r="E1867" s="128" t="str">
        <f t="shared" si="1"/>
        <v/>
      </c>
    </row>
    <row r="1868">
      <c r="A1868" s="93" t="str">
        <f t="shared" si="2"/>
        <v>#15717</v>
      </c>
      <c r="B1868" s="93" t="str">
        <f>IF(COUNTIF(MAIN!B:B, A1868)=0, "Missing", "")</f>
        <v/>
      </c>
      <c r="C1868" s="128"/>
      <c r="E1868" s="128" t="str">
        <f t="shared" si="1"/>
        <v/>
      </c>
    </row>
    <row r="1869">
      <c r="A1869" s="93" t="str">
        <f t="shared" si="2"/>
        <v>#15718</v>
      </c>
      <c r="B1869" s="93" t="str">
        <f>IF(COUNTIF(MAIN!B:B, A1869)=0, "Missing", "")</f>
        <v/>
      </c>
      <c r="C1869" s="128"/>
      <c r="E1869" s="128" t="str">
        <f t="shared" si="1"/>
        <v/>
      </c>
    </row>
    <row r="1870">
      <c r="A1870" s="93" t="str">
        <f t="shared" si="2"/>
        <v>#15719</v>
      </c>
      <c r="B1870" s="93" t="str">
        <f>IF(COUNTIF(MAIN!B:B, A1870)=0, "Missing", "")</f>
        <v/>
      </c>
      <c r="C1870" s="128"/>
      <c r="E1870" s="128" t="str">
        <f t="shared" si="1"/>
        <v/>
      </c>
    </row>
    <row r="1871">
      <c r="A1871" s="93" t="str">
        <f t="shared" si="2"/>
        <v>#15720</v>
      </c>
      <c r="B1871" s="93" t="str">
        <f>IF(COUNTIF(MAIN!B:B, A1871)=0, "Missing", "")</f>
        <v/>
      </c>
      <c r="C1871" s="128"/>
      <c r="E1871" s="128" t="str">
        <f t="shared" si="1"/>
        <v/>
      </c>
    </row>
    <row r="1872">
      <c r="A1872" s="93" t="str">
        <f t="shared" si="2"/>
        <v>#15721</v>
      </c>
      <c r="B1872" s="93" t="str">
        <f>IF(COUNTIF(MAIN!B:B, A1872)=0, "Missing", "")</f>
        <v/>
      </c>
      <c r="C1872" s="128"/>
      <c r="E1872" s="128" t="str">
        <f t="shared" si="1"/>
        <v/>
      </c>
    </row>
    <row r="1873">
      <c r="A1873" s="93" t="str">
        <f t="shared" si="2"/>
        <v>#15722</v>
      </c>
      <c r="B1873" s="93" t="str">
        <f>IF(COUNTIF(MAIN!B:B, A1873)=0, "Missing", "")</f>
        <v/>
      </c>
      <c r="C1873" s="128"/>
      <c r="E1873" s="128" t="str">
        <f t="shared" si="1"/>
        <v/>
      </c>
    </row>
    <row r="1874">
      <c r="A1874" s="93" t="str">
        <f t="shared" si="2"/>
        <v>#15723</v>
      </c>
      <c r="B1874" s="93" t="str">
        <f>IF(COUNTIF(MAIN!B:B, A1874)=0, "Missing", "")</f>
        <v/>
      </c>
      <c r="C1874" s="128"/>
      <c r="E1874" s="128" t="str">
        <f t="shared" si="1"/>
        <v/>
      </c>
    </row>
    <row r="1875">
      <c r="A1875" s="93" t="str">
        <f t="shared" si="2"/>
        <v>#15724</v>
      </c>
      <c r="B1875" s="93" t="str">
        <f>IF(COUNTIF(MAIN!B:B, A1875)=0, "Missing", "")</f>
        <v/>
      </c>
      <c r="C1875" s="128"/>
      <c r="E1875" s="128" t="str">
        <f t="shared" si="1"/>
        <v/>
      </c>
    </row>
    <row r="1876">
      <c r="A1876" s="93" t="str">
        <f t="shared" si="2"/>
        <v>#15725</v>
      </c>
      <c r="B1876" s="93" t="str">
        <f>IF(COUNTIF(MAIN!B:B, A1876)=0, "Missing", "")</f>
        <v/>
      </c>
      <c r="C1876" s="128"/>
      <c r="E1876" s="128" t="str">
        <f t="shared" si="1"/>
        <v/>
      </c>
    </row>
    <row r="1877">
      <c r="A1877" s="93" t="str">
        <f t="shared" si="2"/>
        <v>#15726</v>
      </c>
      <c r="B1877" s="93" t="str">
        <f>IF(COUNTIF(MAIN!B:B, A1877)=0, "Missing", "")</f>
        <v/>
      </c>
      <c r="C1877" s="128"/>
      <c r="E1877" s="128" t="str">
        <f t="shared" si="1"/>
        <v/>
      </c>
    </row>
    <row r="1878">
      <c r="A1878" s="93" t="str">
        <f t="shared" si="2"/>
        <v>#15727</v>
      </c>
      <c r="B1878" s="93" t="str">
        <f>IF(COUNTIF(MAIN!B:B, A1878)=0, "Missing", "")</f>
        <v/>
      </c>
      <c r="C1878" s="128"/>
      <c r="E1878" s="128" t="str">
        <f t="shared" si="1"/>
        <v/>
      </c>
    </row>
    <row r="1879">
      <c r="A1879" s="93" t="str">
        <f t="shared" si="2"/>
        <v>#15728</v>
      </c>
      <c r="B1879" s="93" t="str">
        <f>IF(COUNTIF(MAIN!B:B, A1879)=0, "Missing", "")</f>
        <v/>
      </c>
      <c r="C1879" s="128"/>
      <c r="E1879" s="128" t="str">
        <f t="shared" si="1"/>
        <v/>
      </c>
    </row>
    <row r="1880">
      <c r="A1880" s="93" t="str">
        <f t="shared" si="2"/>
        <v>#15729</v>
      </c>
      <c r="B1880" s="93" t="str">
        <f>IF(COUNTIF(MAIN!B:B, A1880)=0, "Missing", "")</f>
        <v/>
      </c>
      <c r="C1880" s="128"/>
      <c r="E1880" s="128" t="str">
        <f t="shared" si="1"/>
        <v/>
      </c>
    </row>
    <row r="1881">
      <c r="A1881" s="93" t="str">
        <f t="shared" si="2"/>
        <v>#15730</v>
      </c>
      <c r="B1881" s="93" t="str">
        <f>IF(COUNTIF(MAIN!B:B, A1881)=0, "Missing", "")</f>
        <v/>
      </c>
      <c r="C1881" s="128"/>
      <c r="E1881" s="128" t="str">
        <f t="shared" si="1"/>
        <v/>
      </c>
    </row>
    <row r="1882">
      <c r="A1882" s="93" t="str">
        <f t="shared" si="2"/>
        <v>#15731</v>
      </c>
      <c r="B1882" s="93" t="str">
        <f>IF(COUNTIF(MAIN!B:B, A1882)=0, "Missing", "")</f>
        <v/>
      </c>
      <c r="C1882" s="128"/>
      <c r="E1882" s="128" t="str">
        <f t="shared" si="1"/>
        <v/>
      </c>
    </row>
    <row r="1883">
      <c r="A1883" s="93" t="str">
        <f t="shared" si="2"/>
        <v>#15732</v>
      </c>
      <c r="B1883" s="93" t="str">
        <f>IF(COUNTIF(MAIN!B:B, A1883)=0, "Missing", "")</f>
        <v/>
      </c>
      <c r="C1883" s="128"/>
      <c r="E1883" s="128" t="str">
        <f t="shared" si="1"/>
        <v/>
      </c>
    </row>
    <row r="1884">
      <c r="A1884" s="93" t="str">
        <f t="shared" si="2"/>
        <v>#15733</v>
      </c>
      <c r="B1884" s="93" t="str">
        <f>IF(COUNTIF(MAIN!B:B, A1884)=0, "Missing", "")</f>
        <v/>
      </c>
      <c r="C1884" s="128"/>
      <c r="E1884" s="128" t="str">
        <f t="shared" si="1"/>
        <v/>
      </c>
    </row>
    <row r="1885">
      <c r="A1885" s="93" t="str">
        <f t="shared" si="2"/>
        <v>#15734</v>
      </c>
      <c r="B1885" s="93" t="str">
        <f>IF(COUNTIF(MAIN!B:B, A1885)=0, "Missing", "")</f>
        <v/>
      </c>
      <c r="C1885" s="128"/>
      <c r="E1885" s="128" t="str">
        <f t="shared" si="1"/>
        <v/>
      </c>
    </row>
    <row r="1886">
      <c r="A1886" s="93" t="str">
        <f t="shared" si="2"/>
        <v>#15735</v>
      </c>
      <c r="B1886" s="93" t="str">
        <f>IF(COUNTIF(MAIN!B:B, A1886)=0, "Missing", "")</f>
        <v/>
      </c>
      <c r="C1886" s="128"/>
      <c r="E1886" s="128" t="str">
        <f t="shared" si="1"/>
        <v/>
      </c>
    </row>
    <row r="1887">
      <c r="A1887" s="93" t="str">
        <f t="shared" si="2"/>
        <v>#15736</v>
      </c>
      <c r="B1887" s="93" t="str">
        <f>IF(COUNTIF(MAIN!B:B, A1887)=0, "Missing", "")</f>
        <v/>
      </c>
      <c r="C1887" s="128"/>
      <c r="E1887" s="128" t="str">
        <f t="shared" si="1"/>
        <v/>
      </c>
    </row>
    <row r="1888">
      <c r="A1888" s="93" t="str">
        <f t="shared" si="2"/>
        <v>#15737</v>
      </c>
      <c r="B1888" s="93" t="str">
        <f>IF(COUNTIF(MAIN!B:B, A1888)=0, "Missing", "")</f>
        <v/>
      </c>
      <c r="C1888" s="128"/>
      <c r="E1888" s="128" t="str">
        <f t="shared" si="1"/>
        <v/>
      </c>
    </row>
    <row r="1889">
      <c r="A1889" s="93" t="str">
        <f t="shared" si="2"/>
        <v>#15738</v>
      </c>
      <c r="B1889" s="93" t="str">
        <f>IF(COUNTIF(MAIN!B:B, A1889)=0, "Missing", "")</f>
        <v/>
      </c>
      <c r="C1889" s="128"/>
      <c r="E1889" s="128" t="str">
        <f t="shared" si="1"/>
        <v/>
      </c>
    </row>
    <row r="1890">
      <c r="A1890" s="93" t="str">
        <f t="shared" si="2"/>
        <v>#15739</v>
      </c>
      <c r="B1890" s="93" t="str">
        <f>IF(COUNTIF(MAIN!B:B, A1890)=0, "Missing", "")</f>
        <v/>
      </c>
      <c r="C1890" s="128"/>
      <c r="E1890" s="128" t="str">
        <f t="shared" si="1"/>
        <v/>
      </c>
    </row>
    <row r="1891">
      <c r="A1891" s="93" t="str">
        <f t="shared" si="2"/>
        <v>#15740</v>
      </c>
      <c r="B1891" s="93" t="str">
        <f>IF(COUNTIF(MAIN!B:B, A1891)=0, "Missing", "")</f>
        <v/>
      </c>
      <c r="C1891" s="128"/>
      <c r="E1891" s="128" t="str">
        <f t="shared" si="1"/>
        <v/>
      </c>
    </row>
    <row r="1892">
      <c r="A1892" s="93" t="str">
        <f t="shared" si="2"/>
        <v>#15741</v>
      </c>
      <c r="B1892" s="93" t="str">
        <f>IF(COUNTIF(MAIN!B:B, A1892)=0, "Missing", "")</f>
        <v/>
      </c>
      <c r="C1892" s="128"/>
      <c r="E1892" s="128" t="str">
        <f t="shared" si="1"/>
        <v/>
      </c>
    </row>
    <row r="1893">
      <c r="A1893" s="93" t="str">
        <f t="shared" si="2"/>
        <v>#15742</v>
      </c>
      <c r="B1893" s="93" t="str">
        <f>IF(COUNTIF(MAIN!B:B, A1893)=0, "Missing", "")</f>
        <v/>
      </c>
      <c r="C1893" s="128"/>
      <c r="E1893" s="128" t="str">
        <f t="shared" si="1"/>
        <v/>
      </c>
    </row>
    <row r="1894">
      <c r="A1894" s="93" t="str">
        <f t="shared" si="2"/>
        <v>#15743</v>
      </c>
      <c r="B1894" s="93" t="str">
        <f>IF(COUNTIF(MAIN!B:B, A1894)=0, "Missing", "")</f>
        <v/>
      </c>
      <c r="C1894" s="128"/>
      <c r="E1894" s="128" t="str">
        <f t="shared" si="1"/>
        <v/>
      </c>
    </row>
    <row r="1895">
      <c r="A1895" s="93" t="str">
        <f t="shared" si="2"/>
        <v>#15744</v>
      </c>
      <c r="B1895" s="93" t="str">
        <f>IF(COUNTIF(MAIN!B:B, A1895)=0, "Missing", "")</f>
        <v/>
      </c>
      <c r="C1895" s="128"/>
      <c r="E1895" s="128" t="str">
        <f t="shared" si="1"/>
        <v/>
      </c>
    </row>
    <row r="1896">
      <c r="A1896" s="93" t="str">
        <f t="shared" si="2"/>
        <v>#15745</v>
      </c>
      <c r="B1896" s="93" t="str">
        <f>IF(COUNTIF(MAIN!B:B, A1896)=0, "Missing", "")</f>
        <v/>
      </c>
      <c r="C1896" s="128"/>
      <c r="E1896" s="128" t="str">
        <f t="shared" si="1"/>
        <v/>
      </c>
    </row>
    <row r="1897">
      <c r="A1897" s="93" t="str">
        <f t="shared" si="2"/>
        <v>#15746</v>
      </c>
      <c r="B1897" s="93" t="str">
        <f>IF(COUNTIF(MAIN!B:B, A1897)=0, "Missing", "")</f>
        <v/>
      </c>
      <c r="C1897" s="128"/>
      <c r="E1897" s="128" t="str">
        <f t="shared" si="1"/>
        <v/>
      </c>
    </row>
    <row r="1898">
      <c r="A1898" s="93" t="str">
        <f t="shared" si="2"/>
        <v>#15747</v>
      </c>
      <c r="B1898" s="93" t="str">
        <f>IF(COUNTIF(MAIN!B:B, A1898)=0, "Missing", "")</f>
        <v/>
      </c>
      <c r="C1898" s="128"/>
      <c r="E1898" s="128" t="str">
        <f t="shared" si="1"/>
        <v/>
      </c>
    </row>
    <row r="1899">
      <c r="A1899" s="93" t="str">
        <f t="shared" si="2"/>
        <v>#15748</v>
      </c>
      <c r="B1899" s="93" t="str">
        <f>IF(COUNTIF(MAIN!B:B, A1899)=0, "Missing", "")</f>
        <v/>
      </c>
      <c r="C1899" s="128"/>
      <c r="E1899" s="128" t="str">
        <f t="shared" si="1"/>
        <v/>
      </c>
    </row>
    <row r="1900">
      <c r="A1900" s="93" t="str">
        <f t="shared" si="2"/>
        <v>#15749</v>
      </c>
      <c r="B1900" s="93" t="str">
        <f>IF(COUNTIF(MAIN!B:B, A1900)=0, "Missing", "")</f>
        <v/>
      </c>
      <c r="C1900" s="128"/>
      <c r="E1900" s="128" t="str">
        <f t="shared" si="1"/>
        <v/>
      </c>
    </row>
    <row r="1901">
      <c r="A1901" s="93" t="str">
        <f t="shared" si="2"/>
        <v>#15750</v>
      </c>
      <c r="B1901" s="93" t="str">
        <f>IF(COUNTIF(MAIN!B:B, A1901)=0, "Missing", "")</f>
        <v/>
      </c>
      <c r="C1901" s="128"/>
      <c r="E1901" s="128" t="str">
        <f t="shared" si="1"/>
        <v/>
      </c>
    </row>
    <row r="1902">
      <c r="A1902" s="93" t="str">
        <f t="shared" si="2"/>
        <v>#15751</v>
      </c>
      <c r="B1902" s="93" t="str">
        <f>IF(COUNTIF(MAIN!B:B, A1902)=0, "Missing", "")</f>
        <v/>
      </c>
      <c r="C1902" s="128"/>
      <c r="E1902" s="128" t="str">
        <f t="shared" si="1"/>
        <v/>
      </c>
    </row>
    <row r="1903">
      <c r="A1903" s="93" t="str">
        <f t="shared" si="2"/>
        <v>#15752</v>
      </c>
      <c r="B1903" s="93" t="str">
        <f>IF(COUNTIF(MAIN!B:B, A1903)=0, "Missing", "")</f>
        <v/>
      </c>
      <c r="C1903" s="128"/>
      <c r="E1903" s="128" t="str">
        <f t="shared" si="1"/>
        <v/>
      </c>
    </row>
    <row r="1904">
      <c r="A1904" s="93" t="str">
        <f t="shared" si="2"/>
        <v>#15753</v>
      </c>
      <c r="B1904" s="93" t="str">
        <f>IF(COUNTIF(MAIN!B:B, A1904)=0, "Missing", "")</f>
        <v/>
      </c>
      <c r="C1904" s="128"/>
      <c r="E1904" s="128" t="str">
        <f t="shared" si="1"/>
        <v/>
      </c>
    </row>
    <row r="1905">
      <c r="A1905" s="93" t="str">
        <f t="shared" si="2"/>
        <v>#15754</v>
      </c>
      <c r="B1905" s="93" t="str">
        <f>IF(COUNTIF(MAIN!B:B, A1905)=0, "Missing", "")</f>
        <v/>
      </c>
      <c r="C1905" s="128"/>
      <c r="E1905" s="128" t="str">
        <f t="shared" si="1"/>
        <v/>
      </c>
    </row>
    <row r="1906">
      <c r="A1906" s="93" t="str">
        <f t="shared" si="2"/>
        <v>#15755</v>
      </c>
      <c r="B1906" s="93" t="str">
        <f>IF(COUNTIF(MAIN!B:B, A1906)=0, "Missing", "")</f>
        <v/>
      </c>
      <c r="C1906" s="128"/>
      <c r="E1906" s="128" t="str">
        <f t="shared" si="1"/>
        <v/>
      </c>
    </row>
    <row r="1907">
      <c r="A1907" s="93" t="str">
        <f t="shared" si="2"/>
        <v>#15756</v>
      </c>
      <c r="B1907" s="93" t="str">
        <f>IF(COUNTIF(MAIN!B:B, A1907)=0, "Missing", "")</f>
        <v/>
      </c>
      <c r="C1907" s="128"/>
      <c r="E1907" s="128" t="str">
        <f t="shared" si="1"/>
        <v/>
      </c>
    </row>
    <row r="1908">
      <c r="A1908" s="93" t="str">
        <f t="shared" si="2"/>
        <v>#15757</v>
      </c>
      <c r="B1908" s="93" t="str">
        <f>IF(COUNTIF(MAIN!B:B, A1908)=0, "Missing", "")</f>
        <v/>
      </c>
      <c r="C1908" s="128"/>
      <c r="E1908" s="128" t="str">
        <f t="shared" si="1"/>
        <v/>
      </c>
    </row>
    <row r="1909">
      <c r="A1909" s="93" t="str">
        <f t="shared" si="2"/>
        <v>#15758</v>
      </c>
      <c r="B1909" s="93" t="str">
        <f>IF(COUNTIF(MAIN!B:B, A1909)=0, "Missing", "")</f>
        <v/>
      </c>
      <c r="C1909" s="128"/>
      <c r="E1909" s="128" t="str">
        <f t="shared" si="1"/>
        <v/>
      </c>
    </row>
    <row r="1910">
      <c r="A1910" s="93" t="str">
        <f t="shared" si="2"/>
        <v>#15759</v>
      </c>
      <c r="B1910" s="93" t="str">
        <f>IF(COUNTIF(MAIN!B:B, A1910)=0, "Missing", "")</f>
        <v/>
      </c>
      <c r="C1910" s="128"/>
      <c r="E1910" s="128" t="str">
        <f t="shared" si="1"/>
        <v/>
      </c>
    </row>
    <row r="1911">
      <c r="A1911" s="93" t="str">
        <f t="shared" si="2"/>
        <v>#15760</v>
      </c>
      <c r="B1911" s="93" t="str">
        <f>IF(COUNTIF(MAIN!B:B, A1911)=0, "Missing", "")</f>
        <v/>
      </c>
      <c r="C1911" s="128"/>
      <c r="E1911" s="128" t="str">
        <f t="shared" si="1"/>
        <v/>
      </c>
    </row>
    <row r="1912">
      <c r="A1912" s="93" t="str">
        <f t="shared" si="2"/>
        <v>#15761</v>
      </c>
      <c r="B1912" s="93" t="str">
        <f>IF(COUNTIF(MAIN!B:B, A1912)=0, "Missing", "")</f>
        <v/>
      </c>
      <c r="C1912" s="128"/>
      <c r="E1912" s="128" t="str">
        <f t="shared" si="1"/>
        <v/>
      </c>
    </row>
    <row r="1913">
      <c r="A1913" s="93" t="str">
        <f t="shared" si="2"/>
        <v>#15762</v>
      </c>
      <c r="B1913" s="93" t="str">
        <f>IF(COUNTIF(MAIN!B:B, A1913)=0, "Missing", "")</f>
        <v/>
      </c>
      <c r="C1913" s="128"/>
      <c r="E1913" s="128" t="str">
        <f t="shared" si="1"/>
        <v/>
      </c>
    </row>
    <row r="1914">
      <c r="A1914" s="93" t="str">
        <f t="shared" si="2"/>
        <v>#15763</v>
      </c>
      <c r="B1914" s="93" t="str">
        <f>IF(COUNTIF(MAIN!B:B, A1914)=0, "Missing", "")</f>
        <v/>
      </c>
      <c r="C1914" s="128"/>
      <c r="E1914" s="128" t="str">
        <f t="shared" si="1"/>
        <v/>
      </c>
    </row>
    <row r="1915">
      <c r="A1915" s="93" t="str">
        <f t="shared" si="2"/>
        <v>#15764</v>
      </c>
      <c r="B1915" s="93" t="str">
        <f>IF(COUNTIF(MAIN!B:B, A1915)=0, "Missing", "")</f>
        <v/>
      </c>
      <c r="C1915" s="128"/>
      <c r="E1915" s="128" t="str">
        <f t="shared" si="1"/>
        <v/>
      </c>
    </row>
    <row r="1916">
      <c r="A1916" s="93" t="str">
        <f t="shared" si="2"/>
        <v>#15765</v>
      </c>
      <c r="B1916" s="93" t="str">
        <f>IF(COUNTIF(MAIN!B:B, A1916)=0, "Missing", "")</f>
        <v/>
      </c>
      <c r="C1916" s="128"/>
      <c r="E1916" s="128" t="str">
        <f t="shared" si="1"/>
        <v/>
      </c>
    </row>
    <row r="1917">
      <c r="A1917" s="93" t="str">
        <f t="shared" si="2"/>
        <v>#15766</v>
      </c>
      <c r="B1917" s="93" t="str">
        <f>IF(COUNTIF(MAIN!B:B, A1917)=0, "Missing", "")</f>
        <v/>
      </c>
      <c r="C1917" s="128"/>
      <c r="E1917" s="128" t="str">
        <f t="shared" si="1"/>
        <v/>
      </c>
    </row>
    <row r="1918">
      <c r="A1918" s="93" t="str">
        <f t="shared" si="2"/>
        <v>#15767</v>
      </c>
      <c r="B1918" s="93" t="str">
        <f>IF(COUNTIF(MAIN!B:B, A1918)=0, "Missing", "")</f>
        <v/>
      </c>
      <c r="C1918" s="128"/>
      <c r="E1918" s="128" t="str">
        <f t="shared" si="1"/>
        <v/>
      </c>
    </row>
    <row r="1919">
      <c r="A1919" s="93" t="str">
        <f t="shared" si="2"/>
        <v>#15768</v>
      </c>
      <c r="B1919" s="93" t="str">
        <f>IF(COUNTIF(MAIN!B:B, A1919)=0, "Missing", "")</f>
        <v/>
      </c>
      <c r="C1919" s="128"/>
      <c r="E1919" s="128" t="str">
        <f t="shared" si="1"/>
        <v/>
      </c>
    </row>
    <row r="1920">
      <c r="A1920" s="93" t="str">
        <f t="shared" si="2"/>
        <v>#15769</v>
      </c>
      <c r="B1920" s="93" t="str">
        <f>IF(COUNTIF(MAIN!B:B, A1920)=0, "Missing", "")</f>
        <v/>
      </c>
      <c r="C1920" s="128"/>
      <c r="E1920" s="128" t="str">
        <f t="shared" si="1"/>
        <v/>
      </c>
    </row>
    <row r="1921">
      <c r="A1921" s="93" t="str">
        <f t="shared" si="2"/>
        <v>#15770</v>
      </c>
      <c r="B1921" s="93" t="str">
        <f>IF(COUNTIF(MAIN!B:B, A1921)=0, "Missing", "")</f>
        <v/>
      </c>
      <c r="C1921" s="128"/>
      <c r="E1921" s="128" t="str">
        <f t="shared" si="1"/>
        <v/>
      </c>
    </row>
    <row r="1922">
      <c r="A1922" s="93" t="str">
        <f t="shared" si="2"/>
        <v>#15771</v>
      </c>
      <c r="B1922" s="93" t="str">
        <f>IF(COUNTIF(MAIN!B:B, A1922)=0, "Missing", "")</f>
        <v/>
      </c>
      <c r="C1922" s="128"/>
      <c r="E1922" s="128" t="str">
        <f t="shared" si="1"/>
        <v/>
      </c>
    </row>
    <row r="1923">
      <c r="A1923" s="93" t="str">
        <f t="shared" si="2"/>
        <v>#15772</v>
      </c>
      <c r="B1923" s="93" t="str">
        <f>IF(COUNTIF(MAIN!B:B, A1923)=0, "Missing", "")</f>
        <v/>
      </c>
      <c r="C1923" s="128"/>
      <c r="E1923" s="128" t="str">
        <f t="shared" si="1"/>
        <v/>
      </c>
    </row>
    <row r="1924">
      <c r="A1924" s="93" t="str">
        <f t="shared" si="2"/>
        <v>#15773</v>
      </c>
      <c r="B1924" s="93" t="str">
        <f>IF(COUNTIF(MAIN!B:B, A1924)=0, "Missing", "")</f>
        <v/>
      </c>
      <c r="C1924" s="128"/>
      <c r="E1924" s="128" t="str">
        <f t="shared" si="1"/>
        <v/>
      </c>
    </row>
    <row r="1925">
      <c r="A1925" s="93" t="str">
        <f t="shared" si="2"/>
        <v>#15774</v>
      </c>
      <c r="B1925" s="93" t="str">
        <f>IF(COUNTIF(MAIN!B:B, A1925)=0, "Missing", "")</f>
        <v/>
      </c>
      <c r="C1925" s="128"/>
      <c r="E1925" s="128" t="str">
        <f t="shared" si="1"/>
        <v/>
      </c>
    </row>
    <row r="1926">
      <c r="A1926" s="93" t="str">
        <f t="shared" si="2"/>
        <v>#15775</v>
      </c>
      <c r="B1926" s="93" t="str">
        <f>IF(COUNTIF(MAIN!B:B, A1926)=0, "Missing", "")</f>
        <v/>
      </c>
      <c r="C1926" s="128"/>
      <c r="E1926" s="128" t="str">
        <f t="shared" si="1"/>
        <v/>
      </c>
    </row>
    <row r="1927">
      <c r="A1927" s="93" t="str">
        <f t="shared" si="2"/>
        <v>#15776</v>
      </c>
      <c r="B1927" s="93" t="str">
        <f>IF(COUNTIF(MAIN!B:B, A1927)=0, "Missing", "")</f>
        <v/>
      </c>
      <c r="C1927" s="128"/>
      <c r="E1927" s="128" t="str">
        <f t="shared" si="1"/>
        <v/>
      </c>
    </row>
    <row r="1928">
      <c r="A1928" s="93" t="str">
        <f t="shared" si="2"/>
        <v>#15777</v>
      </c>
      <c r="B1928" s="93" t="str">
        <f>IF(COUNTIF(MAIN!B:B, A1928)=0, "Missing", "")</f>
        <v/>
      </c>
      <c r="C1928" s="128"/>
      <c r="E1928" s="128" t="str">
        <f t="shared" si="1"/>
        <v/>
      </c>
    </row>
    <row r="1929">
      <c r="A1929" s="93" t="str">
        <f t="shared" si="2"/>
        <v>#15778</v>
      </c>
      <c r="B1929" s="93" t="str">
        <f>IF(COUNTIF(MAIN!B:B, A1929)=0, "Missing", "")</f>
        <v/>
      </c>
      <c r="C1929" s="128"/>
      <c r="E1929" s="128" t="str">
        <f t="shared" si="1"/>
        <v/>
      </c>
    </row>
    <row r="1930">
      <c r="A1930" s="93" t="str">
        <f t="shared" si="2"/>
        <v>#15779</v>
      </c>
      <c r="B1930" s="93" t="str">
        <f>IF(COUNTIF(MAIN!B:B, A1930)=0, "Missing", "")</f>
        <v/>
      </c>
      <c r="C1930" s="128"/>
      <c r="E1930" s="128" t="str">
        <f t="shared" si="1"/>
        <v/>
      </c>
    </row>
    <row r="1931">
      <c r="A1931" s="93" t="str">
        <f t="shared" si="2"/>
        <v>#15780</v>
      </c>
      <c r="B1931" s="93" t="str">
        <f>IF(COUNTIF(MAIN!B:B, A1931)=0, "Missing", "")</f>
        <v/>
      </c>
      <c r="C1931" s="128"/>
      <c r="E1931" s="128" t="str">
        <f t="shared" si="1"/>
        <v/>
      </c>
    </row>
    <row r="1932">
      <c r="A1932" s="93" t="str">
        <f t="shared" si="2"/>
        <v>#15781</v>
      </c>
      <c r="B1932" s="93" t="str">
        <f>IF(COUNTIF(MAIN!B:B, A1932)=0, "Missing", "")</f>
        <v/>
      </c>
      <c r="C1932" s="128"/>
      <c r="E1932" s="128" t="str">
        <f t="shared" si="1"/>
        <v/>
      </c>
    </row>
    <row r="1933">
      <c r="A1933" s="93" t="str">
        <f t="shared" si="2"/>
        <v>#15782</v>
      </c>
      <c r="B1933" s="93" t="str">
        <f>IF(COUNTIF(MAIN!B:B, A1933)=0, "Missing", "")</f>
        <v/>
      </c>
      <c r="C1933" s="128"/>
      <c r="E1933" s="128" t="str">
        <f t="shared" si="1"/>
        <v/>
      </c>
    </row>
    <row r="1934">
      <c r="A1934" s="93" t="str">
        <f t="shared" si="2"/>
        <v>#15783</v>
      </c>
      <c r="B1934" s="93" t="str">
        <f>IF(COUNTIF(MAIN!B:B, A1934)=0, "Missing", "")</f>
        <v/>
      </c>
      <c r="C1934" s="128"/>
      <c r="E1934" s="128" t="str">
        <f t="shared" si="1"/>
        <v/>
      </c>
    </row>
    <row r="1935">
      <c r="A1935" s="93" t="str">
        <f t="shared" si="2"/>
        <v>#15784</v>
      </c>
      <c r="B1935" s="93" t="str">
        <f>IF(COUNTIF(MAIN!B:B, A1935)=0, "Missing", "")</f>
        <v/>
      </c>
      <c r="C1935" s="128"/>
      <c r="E1935" s="128" t="str">
        <f t="shared" si="1"/>
        <v/>
      </c>
    </row>
    <row r="1936">
      <c r="A1936" s="93" t="str">
        <f t="shared" si="2"/>
        <v>#15785</v>
      </c>
      <c r="B1936" s="93" t="str">
        <f>IF(COUNTIF(MAIN!B:B, A1936)=0, "Missing", "")</f>
        <v/>
      </c>
      <c r="C1936" s="128"/>
      <c r="E1936" s="128" t="str">
        <f t="shared" si="1"/>
        <v/>
      </c>
    </row>
    <row r="1937">
      <c r="A1937" s="93" t="str">
        <f t="shared" si="2"/>
        <v>#15786</v>
      </c>
      <c r="B1937" s="93" t="str">
        <f>IF(COUNTIF(MAIN!B:B, A1937)=0, "Missing", "")</f>
        <v/>
      </c>
      <c r="C1937" s="128"/>
      <c r="E1937" s="128" t="str">
        <f t="shared" si="1"/>
        <v/>
      </c>
    </row>
    <row r="1938">
      <c r="A1938" s="93" t="str">
        <f t="shared" si="2"/>
        <v>#15787</v>
      </c>
      <c r="B1938" s="93" t="str">
        <f>IF(COUNTIF(MAIN!B:B, A1938)=0, "Missing", "")</f>
        <v/>
      </c>
      <c r="C1938" s="128"/>
      <c r="E1938" s="128" t="str">
        <f t="shared" si="1"/>
        <v/>
      </c>
    </row>
    <row r="1939">
      <c r="A1939" s="93" t="str">
        <f t="shared" si="2"/>
        <v>#15788</v>
      </c>
      <c r="B1939" s="93" t="str">
        <f>IF(COUNTIF(MAIN!B:B, A1939)=0, "Missing", "")</f>
        <v/>
      </c>
      <c r="C1939" s="128"/>
      <c r="E1939" s="128" t="str">
        <f t="shared" si="1"/>
        <v/>
      </c>
    </row>
    <row r="1940">
      <c r="A1940" s="93" t="str">
        <f t="shared" si="2"/>
        <v>#15789</v>
      </c>
      <c r="B1940" s="93" t="str">
        <f>IF(COUNTIF(MAIN!B:B, A1940)=0, "Missing", "")</f>
        <v/>
      </c>
      <c r="C1940" s="128"/>
      <c r="E1940" s="128" t="str">
        <f t="shared" si="1"/>
        <v/>
      </c>
    </row>
    <row r="1941">
      <c r="A1941" s="93" t="str">
        <f t="shared" si="2"/>
        <v>#15790</v>
      </c>
      <c r="B1941" s="93" t="str">
        <f>IF(COUNTIF(MAIN!B:B, A1941)=0, "Missing", "")</f>
        <v/>
      </c>
      <c r="C1941" s="128"/>
      <c r="E1941" s="128" t="str">
        <f t="shared" si="1"/>
        <v/>
      </c>
    </row>
    <row r="1942">
      <c r="A1942" s="93" t="str">
        <f t="shared" si="2"/>
        <v>#15791</v>
      </c>
      <c r="B1942" s="93" t="str">
        <f>IF(COUNTIF(MAIN!B:B, A1942)=0, "Missing", "")</f>
        <v/>
      </c>
      <c r="C1942" s="128"/>
      <c r="E1942" s="128" t="str">
        <f t="shared" si="1"/>
        <v/>
      </c>
    </row>
    <row r="1943">
      <c r="A1943" s="93" t="str">
        <f t="shared" si="2"/>
        <v>#15792</v>
      </c>
      <c r="B1943" s="93" t="str">
        <f>IF(COUNTIF(MAIN!B:B, A1943)=0, "Missing", "")</f>
        <v/>
      </c>
      <c r="C1943" s="128"/>
      <c r="E1943" s="128" t="str">
        <f t="shared" si="1"/>
        <v/>
      </c>
    </row>
    <row r="1944">
      <c r="A1944" s="93" t="str">
        <f t="shared" si="2"/>
        <v>#15793</v>
      </c>
      <c r="B1944" s="93" t="str">
        <f>IF(COUNTIF(MAIN!B:B, A1944)=0, "Missing", "")</f>
        <v/>
      </c>
      <c r="C1944" s="128"/>
      <c r="E1944" s="128" t="str">
        <f t="shared" si="1"/>
        <v/>
      </c>
    </row>
    <row r="1945">
      <c r="A1945" s="93" t="str">
        <f t="shared" si="2"/>
        <v>#15794</v>
      </c>
      <c r="B1945" s="93" t="str">
        <f>IF(COUNTIF(MAIN!B:B, A1945)=0, "Missing", "")</f>
        <v/>
      </c>
      <c r="C1945" s="128"/>
      <c r="E1945" s="128" t="str">
        <f t="shared" si="1"/>
        <v/>
      </c>
    </row>
    <row r="1946">
      <c r="A1946" s="93" t="str">
        <f t="shared" si="2"/>
        <v>#15795</v>
      </c>
      <c r="B1946" s="93" t="str">
        <f>IF(COUNTIF(MAIN!B:B, A1946)=0, "Missing", "")</f>
        <v/>
      </c>
      <c r="C1946" s="128"/>
      <c r="E1946" s="128" t="str">
        <f t="shared" si="1"/>
        <v/>
      </c>
    </row>
    <row r="1947">
      <c r="A1947" s="93" t="str">
        <f t="shared" si="2"/>
        <v>#15796</v>
      </c>
      <c r="B1947" s="93" t="str">
        <f>IF(COUNTIF(MAIN!B:B, A1947)=0, "Missing", "")</f>
        <v/>
      </c>
      <c r="C1947" s="128"/>
      <c r="E1947" s="128" t="str">
        <f t="shared" si="1"/>
        <v/>
      </c>
    </row>
    <row r="1948">
      <c r="A1948" s="93" t="str">
        <f t="shared" si="2"/>
        <v>#15797</v>
      </c>
      <c r="B1948" s="93" t="str">
        <f>IF(COUNTIF(MAIN!B:B, A1948)=0, "Missing", "")</f>
        <v/>
      </c>
      <c r="C1948" s="128"/>
      <c r="E1948" s="128" t="str">
        <f t="shared" si="1"/>
        <v/>
      </c>
    </row>
    <row r="1949">
      <c r="A1949" s="93" t="str">
        <f t="shared" si="2"/>
        <v>#15798</v>
      </c>
      <c r="B1949" s="93" t="str">
        <f>IF(COUNTIF(MAIN!B:B, A1949)=0, "Missing", "")</f>
        <v/>
      </c>
      <c r="C1949" s="128"/>
      <c r="E1949" s="128" t="str">
        <f t="shared" si="1"/>
        <v/>
      </c>
    </row>
    <row r="1950">
      <c r="A1950" s="93" t="str">
        <f t="shared" si="2"/>
        <v>#15799</v>
      </c>
      <c r="B1950" s="93" t="str">
        <f>IF(COUNTIF(MAIN!B:B, A1950)=0, "Missing", "")</f>
        <v/>
      </c>
      <c r="C1950" s="128"/>
      <c r="E1950" s="128" t="str">
        <f t="shared" si="1"/>
        <v/>
      </c>
    </row>
    <row r="1951">
      <c r="A1951" s="93" t="str">
        <f t="shared" si="2"/>
        <v>#15800</v>
      </c>
      <c r="B1951" s="93" t="str">
        <f>IF(COUNTIF(MAIN!B:B, A1951)=0, "Missing", "")</f>
        <v/>
      </c>
      <c r="C1951" s="128"/>
      <c r="E1951" s="128" t="str">
        <f t="shared" si="1"/>
        <v/>
      </c>
    </row>
    <row r="1952">
      <c r="A1952" s="93" t="str">
        <f t="shared" si="2"/>
        <v>#15801</v>
      </c>
      <c r="B1952" s="93" t="str">
        <f>IF(COUNTIF(MAIN!B:B, A1952)=0, "Missing", "")</f>
        <v/>
      </c>
      <c r="C1952" s="128"/>
      <c r="E1952" s="128" t="str">
        <f t="shared" si="1"/>
        <v/>
      </c>
    </row>
    <row r="1953">
      <c r="A1953" s="93" t="str">
        <f t="shared" si="2"/>
        <v>#15802</v>
      </c>
      <c r="B1953" s="93" t="str">
        <f>IF(COUNTIF(MAIN!B:B, A1953)=0, "Missing", "")</f>
        <v/>
      </c>
      <c r="C1953" s="128"/>
      <c r="E1953" s="128" t="str">
        <f t="shared" si="1"/>
        <v/>
      </c>
    </row>
    <row r="1954">
      <c r="A1954" s="93" t="str">
        <f t="shared" si="2"/>
        <v>#15803</v>
      </c>
      <c r="B1954" s="93" t="str">
        <f>IF(COUNTIF(MAIN!B:B, A1954)=0, "Missing", "")</f>
        <v/>
      </c>
      <c r="C1954" s="128"/>
      <c r="E1954" s="128" t="str">
        <f t="shared" si="1"/>
        <v/>
      </c>
    </row>
    <row r="1955">
      <c r="A1955" s="93" t="str">
        <f t="shared" si="2"/>
        <v>#15804</v>
      </c>
      <c r="B1955" s="93" t="str">
        <f>IF(COUNTIF(MAIN!B:B, A1955)=0, "Missing", "")</f>
        <v/>
      </c>
      <c r="C1955" s="128"/>
      <c r="E1955" s="128" t="str">
        <f t="shared" si="1"/>
        <v/>
      </c>
    </row>
    <row r="1956">
      <c r="A1956" s="93" t="str">
        <f t="shared" si="2"/>
        <v>#15805</v>
      </c>
      <c r="B1956" s="93" t="str">
        <f>IF(COUNTIF(MAIN!B:B, A1956)=0, "Missing", "")</f>
        <v/>
      </c>
      <c r="C1956" s="128"/>
      <c r="E1956" s="128" t="str">
        <f t="shared" si="1"/>
        <v/>
      </c>
    </row>
    <row r="1957">
      <c r="A1957" s="93" t="str">
        <f t="shared" si="2"/>
        <v>#15806</v>
      </c>
      <c r="B1957" s="93" t="str">
        <f>IF(COUNTIF(MAIN!B:B, A1957)=0, "Missing", "")</f>
        <v/>
      </c>
      <c r="C1957" s="128"/>
      <c r="E1957" s="128" t="str">
        <f t="shared" si="1"/>
        <v/>
      </c>
    </row>
    <row r="1958">
      <c r="A1958" s="93" t="str">
        <f t="shared" si="2"/>
        <v>#15807</v>
      </c>
      <c r="B1958" s="93" t="str">
        <f>IF(COUNTIF(MAIN!B:B, A1958)=0, "Missing", "")</f>
        <v/>
      </c>
      <c r="C1958" s="128"/>
      <c r="E1958" s="128" t="str">
        <f t="shared" si="1"/>
        <v/>
      </c>
    </row>
    <row r="1959">
      <c r="A1959" s="93" t="str">
        <f t="shared" si="2"/>
        <v>#15808</v>
      </c>
      <c r="B1959" s="93" t="str">
        <f>IF(COUNTIF(MAIN!B:B, A1959)=0, "Missing", "")</f>
        <v/>
      </c>
      <c r="C1959" s="128"/>
      <c r="E1959" s="128" t="str">
        <f t="shared" si="1"/>
        <v/>
      </c>
    </row>
    <row r="1960">
      <c r="A1960" s="93" t="str">
        <f t="shared" si="2"/>
        <v>#15809</v>
      </c>
      <c r="B1960" s="93" t="str">
        <f>IF(COUNTIF(MAIN!B:B, A1960)=0, "Missing", "")</f>
        <v/>
      </c>
      <c r="C1960" s="128"/>
      <c r="E1960" s="128" t="str">
        <f t="shared" si="1"/>
        <v/>
      </c>
    </row>
    <row r="1961">
      <c r="A1961" s="93" t="str">
        <f t="shared" si="2"/>
        <v>#15810</v>
      </c>
      <c r="B1961" s="93" t="str">
        <f>IF(COUNTIF(MAIN!B:B, A1961)=0, "Missing", "")</f>
        <v/>
      </c>
      <c r="C1961" s="128"/>
      <c r="E1961" s="128" t="str">
        <f t="shared" si="1"/>
        <v/>
      </c>
    </row>
    <row r="1962">
      <c r="A1962" s="93" t="str">
        <f t="shared" si="2"/>
        <v>#15811</v>
      </c>
      <c r="B1962" s="93" t="str">
        <f>IF(COUNTIF(MAIN!B:B, A1962)=0, "Missing", "")</f>
        <v/>
      </c>
      <c r="C1962" s="128"/>
      <c r="E1962" s="128" t="str">
        <f t="shared" si="1"/>
        <v/>
      </c>
    </row>
    <row r="1963">
      <c r="A1963" s="93" t="str">
        <f t="shared" si="2"/>
        <v>#15812</v>
      </c>
      <c r="B1963" s="93" t="str">
        <f>IF(COUNTIF(MAIN!B:B, A1963)=0, "Missing", "")</f>
        <v/>
      </c>
      <c r="C1963" s="128"/>
      <c r="E1963" s="128" t="str">
        <f t="shared" si="1"/>
        <v/>
      </c>
    </row>
    <row r="1964">
      <c r="A1964" s="93" t="str">
        <f t="shared" si="2"/>
        <v>#15813</v>
      </c>
      <c r="B1964" s="93" t="str">
        <f>IF(COUNTIF(MAIN!B:B, A1964)=0, "Missing", "")</f>
        <v/>
      </c>
      <c r="C1964" s="128"/>
      <c r="E1964" s="128" t="str">
        <f t="shared" si="1"/>
        <v/>
      </c>
    </row>
    <row r="1965">
      <c r="A1965" s="93" t="str">
        <f t="shared" si="2"/>
        <v>#15814</v>
      </c>
      <c r="B1965" s="93" t="str">
        <f>IF(COUNTIF(MAIN!B:B, A1965)=0, "Missing", "")</f>
        <v/>
      </c>
      <c r="C1965" s="128"/>
      <c r="E1965" s="128" t="str">
        <f t="shared" si="1"/>
        <v/>
      </c>
    </row>
    <row r="1966">
      <c r="A1966" s="93" t="str">
        <f t="shared" si="2"/>
        <v>#15815</v>
      </c>
      <c r="B1966" s="93" t="str">
        <f>IF(COUNTIF(MAIN!B:B, A1966)=0, "Missing", "")</f>
        <v/>
      </c>
      <c r="C1966" s="128"/>
      <c r="E1966" s="128" t="str">
        <f t="shared" si="1"/>
        <v/>
      </c>
    </row>
    <row r="1967">
      <c r="A1967" s="93" t="str">
        <f t="shared" si="2"/>
        <v>#15816</v>
      </c>
      <c r="B1967" s="93" t="str">
        <f>IF(COUNTIF(MAIN!B:B, A1967)=0, "Missing", "")</f>
        <v/>
      </c>
      <c r="C1967" s="128"/>
      <c r="E1967" s="128" t="str">
        <f t="shared" si="1"/>
        <v/>
      </c>
    </row>
    <row r="1968">
      <c r="A1968" s="93" t="str">
        <f t="shared" si="2"/>
        <v>#15817</v>
      </c>
      <c r="B1968" s="93" t="str">
        <f>IF(COUNTIF(MAIN!B:B, A1968)=0, "Missing", "")</f>
        <v/>
      </c>
      <c r="C1968" s="128"/>
      <c r="E1968" s="128" t="str">
        <f t="shared" si="1"/>
        <v/>
      </c>
    </row>
    <row r="1969">
      <c r="A1969" s="93" t="str">
        <f t="shared" si="2"/>
        <v>#15818</v>
      </c>
      <c r="B1969" s="93" t="str">
        <f>IF(COUNTIF(MAIN!B:B, A1969)=0, "Missing", "")</f>
        <v/>
      </c>
      <c r="C1969" s="128"/>
      <c r="E1969" s="128" t="str">
        <f t="shared" si="1"/>
        <v/>
      </c>
    </row>
    <row r="1970">
      <c r="A1970" s="93" t="str">
        <f t="shared" si="2"/>
        <v>#15819</v>
      </c>
      <c r="B1970" s="93" t="str">
        <f>IF(COUNTIF(MAIN!B:B, A1970)=0, "Missing", "")</f>
        <v/>
      </c>
      <c r="C1970" s="128"/>
      <c r="E1970" s="128" t="str">
        <f t="shared" si="1"/>
        <v/>
      </c>
    </row>
    <row r="1971">
      <c r="A1971" s="93" t="str">
        <f t="shared" si="2"/>
        <v>#15820</v>
      </c>
      <c r="B1971" s="93" t="str">
        <f>IF(COUNTIF(MAIN!B:B, A1971)=0, "Missing", "")</f>
        <v/>
      </c>
      <c r="C1971" s="128"/>
      <c r="E1971" s="128" t="str">
        <f t="shared" si="1"/>
        <v/>
      </c>
    </row>
    <row r="1972">
      <c r="A1972" s="93" t="str">
        <f t="shared" si="2"/>
        <v>#15821</v>
      </c>
      <c r="B1972" s="93" t="str">
        <f>IF(COUNTIF(MAIN!B:B, A1972)=0, "Missing", "")</f>
        <v/>
      </c>
      <c r="C1972" s="128"/>
      <c r="E1972" s="128" t="str">
        <f t="shared" si="1"/>
        <v/>
      </c>
    </row>
    <row r="1973">
      <c r="A1973" s="93" t="str">
        <f t="shared" si="2"/>
        <v>#15822</v>
      </c>
      <c r="B1973" s="93" t="str">
        <f>IF(COUNTIF(MAIN!B:B, A1973)=0, "Missing", "")</f>
        <v/>
      </c>
      <c r="C1973" s="128"/>
      <c r="E1973" s="128" t="str">
        <f t="shared" si="1"/>
        <v/>
      </c>
    </row>
    <row r="1974">
      <c r="A1974" s="93" t="str">
        <f t="shared" si="2"/>
        <v>#15823</v>
      </c>
      <c r="B1974" s="93" t="str">
        <f>IF(COUNTIF(MAIN!B:B, A1974)=0, "Missing", "")</f>
        <v/>
      </c>
      <c r="C1974" s="128"/>
      <c r="E1974" s="128" t="str">
        <f t="shared" si="1"/>
        <v/>
      </c>
    </row>
    <row r="1975">
      <c r="A1975" s="93" t="str">
        <f t="shared" si="2"/>
        <v>#15824</v>
      </c>
      <c r="B1975" s="93" t="str">
        <f>IF(COUNTIF(MAIN!B:B, A1975)=0, "Missing", "")</f>
        <v/>
      </c>
      <c r="C1975" s="128"/>
      <c r="E1975" s="128" t="str">
        <f t="shared" si="1"/>
        <v/>
      </c>
    </row>
    <row r="1976">
      <c r="A1976" s="93" t="str">
        <f t="shared" si="2"/>
        <v>#15825</v>
      </c>
      <c r="B1976" s="93" t="str">
        <f>IF(COUNTIF(MAIN!B:B, A1976)=0, "Missing", "")</f>
        <v/>
      </c>
      <c r="C1976" s="128"/>
      <c r="E1976" s="128" t="str">
        <f t="shared" si="1"/>
        <v/>
      </c>
    </row>
    <row r="1977">
      <c r="A1977" s="93" t="str">
        <f t="shared" si="2"/>
        <v>#15826</v>
      </c>
      <c r="B1977" s="93" t="str">
        <f>IF(COUNTIF(MAIN!B:B, A1977)=0, "Missing", "")</f>
        <v/>
      </c>
      <c r="C1977" s="128"/>
      <c r="E1977" s="128" t="str">
        <f t="shared" si="1"/>
        <v/>
      </c>
    </row>
    <row r="1978">
      <c r="A1978" s="93" t="str">
        <f t="shared" si="2"/>
        <v>#15827</v>
      </c>
      <c r="B1978" s="93" t="str">
        <f>IF(COUNTIF(MAIN!B:B, A1978)=0, "Missing", "")</f>
        <v/>
      </c>
      <c r="C1978" s="128"/>
      <c r="E1978" s="128" t="str">
        <f t="shared" si="1"/>
        <v/>
      </c>
    </row>
    <row r="1979">
      <c r="A1979" s="93" t="str">
        <f t="shared" si="2"/>
        <v>#15828</v>
      </c>
      <c r="B1979" s="93" t="str">
        <f>IF(COUNTIF(MAIN!B:B, A1979)=0, "Missing", "")</f>
        <v/>
      </c>
      <c r="C1979" s="128"/>
      <c r="E1979" s="128" t="str">
        <f t="shared" si="1"/>
        <v/>
      </c>
    </row>
    <row r="1980">
      <c r="A1980" s="93" t="str">
        <f t="shared" si="2"/>
        <v>#15829</v>
      </c>
      <c r="B1980" s="93" t="str">
        <f>IF(COUNTIF(MAIN!B:B, A1980)=0, "Missing", "")</f>
        <v/>
      </c>
      <c r="C1980" s="128"/>
      <c r="E1980" s="128" t="str">
        <f t="shared" si="1"/>
        <v/>
      </c>
    </row>
    <row r="1981">
      <c r="A1981" s="93" t="str">
        <f t="shared" si="2"/>
        <v>#15830</v>
      </c>
      <c r="B1981" s="93" t="str">
        <f>IF(COUNTIF(MAIN!B:B, A1981)=0, "Missing", "")</f>
        <v/>
      </c>
      <c r="C1981" s="128"/>
      <c r="E1981" s="128" t="str">
        <f t="shared" si="1"/>
        <v/>
      </c>
    </row>
    <row r="1982">
      <c r="A1982" s="93" t="str">
        <f t="shared" si="2"/>
        <v>#15831</v>
      </c>
      <c r="B1982" s="93" t="str">
        <f>IF(COUNTIF(MAIN!B:B, A1982)=0, "Missing", "")</f>
        <v/>
      </c>
      <c r="C1982" s="128"/>
      <c r="E1982" s="128" t="str">
        <f t="shared" si="1"/>
        <v/>
      </c>
    </row>
    <row r="1983">
      <c r="A1983" s="93" t="str">
        <f t="shared" si="2"/>
        <v>#15832</v>
      </c>
      <c r="B1983" s="93" t="str">
        <f>IF(COUNTIF(MAIN!B:B, A1983)=0, "Missing", "")</f>
        <v/>
      </c>
      <c r="C1983" s="128"/>
      <c r="E1983" s="128" t="str">
        <f t="shared" si="1"/>
        <v/>
      </c>
    </row>
    <row r="1984">
      <c r="A1984" s="93" t="str">
        <f t="shared" si="2"/>
        <v>#15833</v>
      </c>
      <c r="B1984" s="93" t="str">
        <f>IF(COUNTIF(MAIN!B:B, A1984)=0, "Missing", "")</f>
        <v/>
      </c>
      <c r="C1984" s="128"/>
      <c r="E1984" s="128" t="str">
        <f t="shared" si="1"/>
        <v/>
      </c>
    </row>
    <row r="1985">
      <c r="A1985" s="93" t="str">
        <f t="shared" si="2"/>
        <v>#15834</v>
      </c>
      <c r="B1985" s="93" t="str">
        <f>IF(COUNTIF(MAIN!B:B, A1985)=0, "Missing", "")</f>
        <v/>
      </c>
      <c r="C1985" s="128"/>
      <c r="E1985" s="128" t="str">
        <f t="shared" si="1"/>
        <v/>
      </c>
    </row>
    <row r="1986">
      <c r="A1986" s="93" t="str">
        <f t="shared" si="2"/>
        <v>#15835</v>
      </c>
      <c r="B1986" s="93" t="str">
        <f>IF(COUNTIF(MAIN!B:B, A1986)=0, "Missing", "")</f>
        <v/>
      </c>
      <c r="C1986" s="128"/>
      <c r="E1986" s="128" t="str">
        <f t="shared" si="1"/>
        <v/>
      </c>
    </row>
    <row r="1987">
      <c r="A1987" s="93" t="str">
        <f t="shared" si="2"/>
        <v>#15836</v>
      </c>
      <c r="B1987" s="93" t="str">
        <f>IF(COUNTIF(MAIN!B:B, A1987)=0, "Missing", "")</f>
        <v/>
      </c>
      <c r="C1987" s="128"/>
      <c r="E1987" s="128" t="str">
        <f t="shared" si="1"/>
        <v/>
      </c>
    </row>
    <row r="1988">
      <c r="A1988" s="93" t="str">
        <f t="shared" si="2"/>
        <v>#15837</v>
      </c>
      <c r="B1988" s="93" t="str">
        <f>IF(COUNTIF(MAIN!B:B, A1988)=0, "Missing", "")</f>
        <v/>
      </c>
      <c r="C1988" s="128"/>
      <c r="E1988" s="128" t="str">
        <f t="shared" si="1"/>
        <v/>
      </c>
    </row>
    <row r="1989">
      <c r="A1989" s="93" t="str">
        <f t="shared" si="2"/>
        <v>#15838</v>
      </c>
      <c r="B1989" s="93" t="str">
        <f>IF(COUNTIF(MAIN!B:B, A1989)=0, "Missing", "")</f>
        <v/>
      </c>
      <c r="C1989" s="128"/>
      <c r="E1989" s="128" t="str">
        <f t="shared" si="1"/>
        <v/>
      </c>
    </row>
    <row r="1990">
      <c r="A1990" s="93" t="str">
        <f t="shared" si="2"/>
        <v>#15839</v>
      </c>
      <c r="B1990" s="93" t="str">
        <f>IF(COUNTIF(MAIN!B:B, A1990)=0, "Missing", "")</f>
        <v/>
      </c>
      <c r="C1990" s="128"/>
      <c r="E1990" s="128" t="str">
        <f t="shared" si="1"/>
        <v/>
      </c>
    </row>
    <row r="1991">
      <c r="A1991" s="93" t="str">
        <f t="shared" si="2"/>
        <v>#15840</v>
      </c>
      <c r="B1991" s="93" t="str">
        <f>IF(COUNTIF(MAIN!B:B, A1991)=0, "Missing", "")</f>
        <v/>
      </c>
      <c r="C1991" s="128"/>
      <c r="E1991" s="128" t="str">
        <f t="shared" si="1"/>
        <v/>
      </c>
    </row>
    <row r="1992">
      <c r="A1992" s="93" t="str">
        <f t="shared" si="2"/>
        <v>#15841</v>
      </c>
      <c r="B1992" s="93" t="str">
        <f>IF(COUNTIF(MAIN!B:B, A1992)=0, "Missing", "")</f>
        <v/>
      </c>
      <c r="C1992" s="128"/>
      <c r="E1992" s="128" t="str">
        <f t="shared" si="1"/>
        <v/>
      </c>
    </row>
    <row r="1993">
      <c r="A1993" s="93" t="str">
        <f t="shared" si="2"/>
        <v>#15842</v>
      </c>
      <c r="B1993" s="93" t="str">
        <f>IF(COUNTIF(MAIN!B:B, A1993)=0, "Missing", "")</f>
        <v/>
      </c>
      <c r="C1993" s="128"/>
      <c r="E1993" s="128" t="str">
        <f t="shared" si="1"/>
        <v/>
      </c>
    </row>
    <row r="1994">
      <c r="A1994" s="93" t="str">
        <f t="shared" si="2"/>
        <v>#15843</v>
      </c>
      <c r="B1994" s="93" t="str">
        <f>IF(COUNTIF(MAIN!B:B, A1994)=0, "Missing", "")</f>
        <v/>
      </c>
      <c r="C1994" s="128"/>
      <c r="E1994" s="128" t="str">
        <f t="shared" si="1"/>
        <v/>
      </c>
    </row>
    <row r="1995">
      <c r="A1995" s="93" t="str">
        <f t="shared" si="2"/>
        <v>#15844</v>
      </c>
      <c r="B1995" s="93" t="str">
        <f>IF(COUNTIF(MAIN!B:B, A1995)=0, "Missing", "")</f>
        <v/>
      </c>
      <c r="C1995" s="128"/>
      <c r="E1995" s="128" t="str">
        <f t="shared" si="1"/>
        <v/>
      </c>
    </row>
    <row r="1996">
      <c r="A1996" s="93" t="str">
        <f t="shared" si="2"/>
        <v>#15845</v>
      </c>
      <c r="B1996" s="93" t="str">
        <f>IF(COUNTIF(MAIN!B:B, A1996)=0, "Missing", "")</f>
        <v/>
      </c>
      <c r="C1996" s="128"/>
      <c r="E1996" s="128" t="str">
        <f t="shared" si="1"/>
        <v/>
      </c>
    </row>
    <row r="1997">
      <c r="A1997" s="93" t="str">
        <f t="shared" si="2"/>
        <v>#15846</v>
      </c>
      <c r="B1997" s="93" t="str">
        <f>IF(COUNTIF(MAIN!B:B, A1997)=0, "Missing", "")</f>
        <v/>
      </c>
      <c r="C1997" s="128"/>
      <c r="E1997" s="128" t="str">
        <f t="shared" si="1"/>
        <v/>
      </c>
    </row>
    <row r="1998">
      <c r="A1998" s="93" t="str">
        <f t="shared" si="2"/>
        <v>#15847</v>
      </c>
      <c r="B1998" s="93" t="str">
        <f>IF(COUNTIF(MAIN!B:B, A1998)=0, "Missing", "")</f>
        <v/>
      </c>
      <c r="C1998" s="128"/>
      <c r="E1998" s="128" t="str">
        <f t="shared" si="1"/>
        <v/>
      </c>
    </row>
    <row r="1999">
      <c r="A1999" s="93" t="str">
        <f t="shared" si="2"/>
        <v>#15848</v>
      </c>
      <c r="B1999" s="93" t="str">
        <f>IF(COUNTIF(MAIN!B:B, A1999)=0, "Missing", "")</f>
        <v/>
      </c>
      <c r="C1999" s="128"/>
      <c r="E1999" s="128" t="str">
        <f t="shared" si="1"/>
        <v/>
      </c>
    </row>
    <row r="2000">
      <c r="A2000" s="93" t="str">
        <f t="shared" si="2"/>
        <v>#15849</v>
      </c>
      <c r="B2000" s="93" t="str">
        <f>IF(COUNTIF(MAIN!B:B, A2000)=0, "Missing", "")</f>
        <v/>
      </c>
      <c r="C2000" s="128"/>
      <c r="E2000" s="128" t="str">
        <f t="shared" si="1"/>
        <v/>
      </c>
    </row>
    <row r="2001">
      <c r="A2001" s="93" t="str">
        <f t="shared" si="2"/>
        <v>#15850</v>
      </c>
      <c r="B2001" s="93" t="str">
        <f>IF(COUNTIF(MAIN!B:B, A2001)=0, "Missing", "")</f>
        <v/>
      </c>
      <c r="C2001" s="128"/>
      <c r="E2001" s="128" t="str">
        <f t="shared" si="1"/>
        <v/>
      </c>
    </row>
    <row r="2002">
      <c r="A2002" s="93" t="str">
        <f t="shared" si="2"/>
        <v>#15851</v>
      </c>
      <c r="B2002" s="93" t="str">
        <f>IF(COUNTIF(MAIN!B:B, A2002)=0, "Missing", "")</f>
        <v/>
      </c>
      <c r="C2002" s="128"/>
      <c r="E2002" s="128" t="str">
        <f t="shared" si="1"/>
        <v/>
      </c>
    </row>
    <row r="2003">
      <c r="A2003" s="93" t="str">
        <f t="shared" si="2"/>
        <v>#15852</v>
      </c>
      <c r="B2003" s="93" t="str">
        <f>IF(COUNTIF(MAIN!B:B, A2003)=0, "Missing", "")</f>
        <v/>
      </c>
      <c r="C2003" s="128"/>
      <c r="E2003" s="128" t="str">
        <f t="shared" si="1"/>
        <v/>
      </c>
    </row>
    <row r="2004">
      <c r="A2004" s="93" t="str">
        <f t="shared" si="2"/>
        <v>#15853</v>
      </c>
      <c r="B2004" s="93" t="str">
        <f>IF(COUNTIF(MAIN!B:B, A2004)=0, "Missing", "")</f>
        <v/>
      </c>
      <c r="C2004" s="128"/>
      <c r="E2004" s="128" t="str">
        <f t="shared" si="1"/>
        <v/>
      </c>
    </row>
    <row r="2005">
      <c r="A2005" s="93" t="str">
        <f t="shared" si="2"/>
        <v>#15854</v>
      </c>
      <c r="B2005" s="93" t="str">
        <f>IF(COUNTIF(MAIN!B:B, A2005)=0, "Missing", "")</f>
        <v/>
      </c>
      <c r="C2005" s="128"/>
      <c r="E2005" s="128" t="str">
        <f t="shared" si="1"/>
        <v/>
      </c>
    </row>
    <row r="2006">
      <c r="A2006" s="93" t="str">
        <f t="shared" si="2"/>
        <v>#15855</v>
      </c>
      <c r="B2006" s="93" t="str">
        <f>IF(COUNTIF(MAIN!B:B, A2006)=0, "Missing", "")</f>
        <v/>
      </c>
      <c r="C2006" s="128"/>
      <c r="E2006" s="128" t="str">
        <f t="shared" si="1"/>
        <v/>
      </c>
    </row>
    <row r="2007">
      <c r="A2007" s="93" t="str">
        <f t="shared" si="2"/>
        <v>#15856</v>
      </c>
      <c r="B2007" s="93" t="str">
        <f>IF(COUNTIF(MAIN!B:B, A2007)=0, "Missing", "")</f>
        <v/>
      </c>
      <c r="C2007" s="128"/>
      <c r="E2007" s="128" t="str">
        <f t="shared" si="1"/>
        <v/>
      </c>
    </row>
    <row r="2008">
      <c r="A2008" s="93" t="str">
        <f t="shared" si="2"/>
        <v>#15857</v>
      </c>
      <c r="B2008" s="93" t="str">
        <f>IF(COUNTIF(MAIN!B:B, A2008)=0, "Missing", "")</f>
        <v/>
      </c>
      <c r="C2008" s="128"/>
      <c r="E2008" s="128" t="str">
        <f t="shared" si="1"/>
        <v/>
      </c>
    </row>
    <row r="2009">
      <c r="A2009" s="93" t="str">
        <f t="shared" si="2"/>
        <v>#15858</v>
      </c>
      <c r="B2009" s="93" t="str">
        <f>IF(COUNTIF(MAIN!B:B, A2009)=0, "Missing", "")</f>
        <v/>
      </c>
      <c r="C2009" s="128"/>
      <c r="E2009" s="128" t="str">
        <f t="shared" si="1"/>
        <v/>
      </c>
    </row>
    <row r="2010">
      <c r="A2010" s="93" t="str">
        <f t="shared" si="2"/>
        <v>#15859</v>
      </c>
      <c r="B2010" s="93" t="str">
        <f>IF(COUNTIF(MAIN!B:B, A2010)=0, "Missing", "")</f>
        <v/>
      </c>
      <c r="C2010" s="128"/>
      <c r="E2010" s="128" t="str">
        <f t="shared" si="1"/>
        <v/>
      </c>
    </row>
    <row r="2011">
      <c r="A2011" s="93" t="str">
        <f t="shared" si="2"/>
        <v>#15860</v>
      </c>
      <c r="B2011" s="93" t="str">
        <f>IF(COUNTIF(MAIN!B:B, A2011)=0, "Missing", "")</f>
        <v/>
      </c>
      <c r="C2011" s="128"/>
      <c r="E2011" s="128" t="str">
        <f t="shared" si="1"/>
        <v/>
      </c>
    </row>
    <row r="2012">
      <c r="A2012" s="93" t="str">
        <f t="shared" si="2"/>
        <v>#15861</v>
      </c>
      <c r="B2012" s="93" t="str">
        <f>IF(COUNTIF(MAIN!B:B, A2012)=0, "Missing", "")</f>
        <v/>
      </c>
      <c r="C2012" s="128"/>
      <c r="E2012" s="128" t="str">
        <f t="shared" si="1"/>
        <v/>
      </c>
    </row>
    <row r="2013">
      <c r="A2013" s="93" t="str">
        <f t="shared" si="2"/>
        <v>#15862</v>
      </c>
      <c r="B2013" s="93" t="str">
        <f>IF(COUNTIF(MAIN!B:B, A2013)=0, "Missing", "")</f>
        <v/>
      </c>
      <c r="C2013" s="128"/>
      <c r="E2013" s="128" t="str">
        <f t="shared" si="1"/>
        <v/>
      </c>
    </row>
    <row r="2014">
      <c r="A2014" s="93" t="str">
        <f t="shared" si="2"/>
        <v>#15863</v>
      </c>
      <c r="B2014" s="93" t="str">
        <f>IF(COUNTIF(MAIN!B:B, A2014)=0, "Missing", "")</f>
        <v/>
      </c>
      <c r="C2014" s="128"/>
      <c r="E2014" s="128" t="str">
        <f t="shared" si="1"/>
        <v/>
      </c>
    </row>
    <row r="2015">
      <c r="A2015" s="93" t="str">
        <f t="shared" si="2"/>
        <v>#15864</v>
      </c>
      <c r="B2015" s="93" t="str">
        <f>IF(COUNTIF(MAIN!B:B, A2015)=0, "Missing", "")</f>
        <v/>
      </c>
      <c r="C2015" s="128"/>
      <c r="E2015" s="128" t="str">
        <f t="shared" si="1"/>
        <v/>
      </c>
    </row>
    <row r="2016">
      <c r="A2016" s="93" t="str">
        <f t="shared" si="2"/>
        <v>#15865</v>
      </c>
      <c r="B2016" s="93" t="str">
        <f>IF(COUNTIF(MAIN!B:B, A2016)=0, "Missing", "")</f>
        <v/>
      </c>
      <c r="C2016" s="128"/>
      <c r="E2016" s="128" t="str">
        <f t="shared" si="1"/>
        <v/>
      </c>
    </row>
    <row r="2017">
      <c r="A2017" s="93" t="str">
        <f t="shared" si="2"/>
        <v>#15866</v>
      </c>
      <c r="B2017" s="93" t="str">
        <f>IF(COUNTIF(MAIN!B:B, A2017)=0, "Missing", "")</f>
        <v/>
      </c>
      <c r="C2017" s="128"/>
      <c r="E2017" s="128" t="str">
        <f t="shared" si="1"/>
        <v/>
      </c>
    </row>
    <row r="2018">
      <c r="A2018" s="93" t="str">
        <f t="shared" si="2"/>
        <v>#15867</v>
      </c>
      <c r="B2018" s="93" t="str">
        <f>IF(COUNTIF(MAIN!B:B, A2018)=0, "Missing", "")</f>
        <v/>
      </c>
      <c r="C2018" s="128"/>
      <c r="E2018" s="128" t="str">
        <f t="shared" si="1"/>
        <v/>
      </c>
    </row>
    <row r="2019">
      <c r="A2019" s="93" t="str">
        <f t="shared" si="2"/>
        <v>#15868</v>
      </c>
      <c r="B2019" s="93" t="str">
        <f>IF(COUNTIF(MAIN!B:B, A2019)=0, "Missing", "")</f>
        <v/>
      </c>
      <c r="C2019" s="128"/>
      <c r="E2019" s="128" t="str">
        <f t="shared" si="1"/>
        <v/>
      </c>
    </row>
    <row r="2020">
      <c r="A2020" s="93" t="str">
        <f t="shared" si="2"/>
        <v>#15869</v>
      </c>
      <c r="B2020" s="93" t="str">
        <f>IF(COUNTIF(MAIN!B:B, A2020)=0, "Missing", "")</f>
        <v/>
      </c>
      <c r="C2020" s="128"/>
      <c r="E2020" s="128" t="str">
        <f t="shared" si="1"/>
        <v/>
      </c>
    </row>
    <row r="2021">
      <c r="A2021" s="93" t="str">
        <f t="shared" si="2"/>
        <v>#15870</v>
      </c>
      <c r="B2021" s="93" t="str">
        <f>IF(COUNTIF(MAIN!B:B, A2021)=0, "Missing", "")</f>
        <v/>
      </c>
      <c r="C2021" s="128"/>
      <c r="E2021" s="128" t="str">
        <f t="shared" si="1"/>
        <v/>
      </c>
    </row>
    <row r="2022">
      <c r="A2022" s="93" t="str">
        <f t="shared" si="2"/>
        <v>#15871</v>
      </c>
      <c r="B2022" s="93" t="str">
        <f>IF(COUNTIF(MAIN!B:B, A2022)=0, "Missing", "")</f>
        <v/>
      </c>
      <c r="C2022" s="128"/>
      <c r="E2022" s="128" t="str">
        <f t="shared" si="1"/>
        <v/>
      </c>
    </row>
    <row r="2023">
      <c r="A2023" s="93" t="str">
        <f t="shared" si="2"/>
        <v>#15872</v>
      </c>
      <c r="B2023" s="93" t="str">
        <f>IF(COUNTIF(MAIN!B:B, A2023)=0, "Missing", "")</f>
        <v/>
      </c>
      <c r="C2023" s="128"/>
      <c r="E2023" s="128" t="str">
        <f t="shared" si="1"/>
        <v/>
      </c>
    </row>
    <row r="2024">
      <c r="A2024" s="93" t="str">
        <f t="shared" si="2"/>
        <v>#15873</v>
      </c>
      <c r="B2024" s="93" t="str">
        <f>IF(COUNTIF(MAIN!B:B, A2024)=0, "Missing", "")</f>
        <v/>
      </c>
      <c r="C2024" s="128"/>
      <c r="E2024" s="128" t="str">
        <f t="shared" si="1"/>
        <v/>
      </c>
    </row>
    <row r="2025">
      <c r="A2025" s="93" t="str">
        <f t="shared" si="2"/>
        <v>#15874</v>
      </c>
      <c r="B2025" s="93" t="str">
        <f>IF(COUNTIF(MAIN!B:B, A2025)=0, "Missing", "")</f>
        <v/>
      </c>
      <c r="C2025" s="128"/>
      <c r="E2025" s="128" t="str">
        <f t="shared" si="1"/>
        <v/>
      </c>
    </row>
    <row r="2026">
      <c r="A2026" s="93" t="str">
        <f t="shared" si="2"/>
        <v>#15875</v>
      </c>
      <c r="B2026" s="93" t="str">
        <f>IF(COUNTIF(MAIN!B:B, A2026)=0, "Missing", "")</f>
        <v/>
      </c>
      <c r="C2026" s="128"/>
      <c r="E2026" s="128" t="str">
        <f t="shared" si="1"/>
        <v/>
      </c>
    </row>
    <row r="2027">
      <c r="A2027" s="93" t="str">
        <f t="shared" si="2"/>
        <v>#15876</v>
      </c>
      <c r="B2027" s="93" t="str">
        <f>IF(COUNTIF(MAIN!B:B, A2027)=0, "Missing", "")</f>
        <v/>
      </c>
      <c r="C2027" s="128"/>
      <c r="E2027" s="128" t="str">
        <f t="shared" si="1"/>
        <v/>
      </c>
    </row>
    <row r="2028">
      <c r="A2028" s="93" t="str">
        <f t="shared" si="2"/>
        <v>#15877</v>
      </c>
      <c r="B2028" s="93" t="str">
        <f>IF(COUNTIF(MAIN!B:B, A2028)=0, "Missing", "")</f>
        <v/>
      </c>
      <c r="C2028" s="128"/>
      <c r="E2028" s="128" t="str">
        <f t="shared" si="1"/>
        <v/>
      </c>
    </row>
    <row r="2029">
      <c r="A2029" s="93" t="str">
        <f t="shared" si="2"/>
        <v>#15878</v>
      </c>
      <c r="B2029" s="93" t="str">
        <f>IF(COUNTIF(MAIN!B:B, A2029)=0, "Missing", "")</f>
        <v/>
      </c>
      <c r="C2029" s="128"/>
      <c r="E2029" s="128" t="str">
        <f t="shared" si="1"/>
        <v/>
      </c>
    </row>
    <row r="2030">
      <c r="A2030" s="93" t="str">
        <f t="shared" si="2"/>
        <v>#15879</v>
      </c>
      <c r="B2030" s="93" t="str">
        <f>IF(COUNTIF(MAIN!B:B, A2030)=0, "Missing", "")</f>
        <v/>
      </c>
      <c r="C2030" s="128"/>
      <c r="E2030" s="128" t="str">
        <f t="shared" si="1"/>
        <v/>
      </c>
    </row>
    <row r="2031">
      <c r="A2031" s="93" t="str">
        <f t="shared" si="2"/>
        <v>#15880</v>
      </c>
      <c r="B2031" s="93" t="str">
        <f>IF(COUNTIF(MAIN!B:B, A2031)=0, "Missing", "")</f>
        <v/>
      </c>
      <c r="C2031" s="128"/>
      <c r="E2031" s="128" t="str">
        <f t="shared" si="1"/>
        <v/>
      </c>
    </row>
    <row r="2032">
      <c r="A2032" s="93" t="str">
        <f t="shared" si="2"/>
        <v>#15881</v>
      </c>
      <c r="B2032" s="93" t="str">
        <f>IF(COUNTIF(MAIN!B:B, A2032)=0, "Missing", "")</f>
        <v/>
      </c>
      <c r="C2032" s="128"/>
      <c r="E2032" s="128" t="str">
        <f t="shared" si="1"/>
        <v/>
      </c>
    </row>
    <row r="2033">
      <c r="A2033" s="93" t="str">
        <f t="shared" si="2"/>
        <v>#15882</v>
      </c>
      <c r="B2033" s="93" t="str">
        <f>IF(COUNTIF(MAIN!B:B, A2033)=0, "Missing", "")</f>
        <v/>
      </c>
      <c r="C2033" s="128"/>
      <c r="E2033" s="128" t="str">
        <f t="shared" si="1"/>
        <v/>
      </c>
    </row>
    <row r="2034">
      <c r="A2034" s="93" t="str">
        <f t="shared" si="2"/>
        <v>#15883</v>
      </c>
      <c r="B2034" s="93" t="str">
        <f>IF(COUNTIF(MAIN!B:B, A2034)=0, "Missing", "")</f>
        <v/>
      </c>
      <c r="C2034" s="128"/>
      <c r="E2034" s="128" t="str">
        <f t="shared" si="1"/>
        <v/>
      </c>
    </row>
    <row r="2035">
      <c r="A2035" s="93" t="str">
        <f t="shared" si="2"/>
        <v>#15884</v>
      </c>
      <c r="B2035" s="93" t="str">
        <f>IF(COUNTIF(MAIN!B:B, A2035)=0, "Missing", "")</f>
        <v/>
      </c>
      <c r="C2035" s="128"/>
      <c r="E2035" s="128" t="str">
        <f t="shared" si="1"/>
        <v/>
      </c>
    </row>
    <row r="2036">
      <c r="A2036" s="93" t="str">
        <f t="shared" si="2"/>
        <v>#15885</v>
      </c>
      <c r="B2036" s="93" t="str">
        <f>IF(COUNTIF(MAIN!B:B, A2036)=0, "Missing", "")</f>
        <v/>
      </c>
      <c r="C2036" s="128"/>
      <c r="E2036" s="128" t="str">
        <f t="shared" si="1"/>
        <v/>
      </c>
    </row>
    <row r="2037">
      <c r="A2037" s="93" t="str">
        <f t="shared" si="2"/>
        <v>#15886</v>
      </c>
      <c r="B2037" s="93" t="str">
        <f>IF(COUNTIF(MAIN!B:B, A2037)=0, "Missing", "")</f>
        <v/>
      </c>
      <c r="C2037" s="128"/>
      <c r="E2037" s="128" t="str">
        <f t="shared" si="1"/>
        <v/>
      </c>
    </row>
    <row r="2038">
      <c r="A2038" s="93" t="str">
        <f t="shared" si="2"/>
        <v>#15887</v>
      </c>
      <c r="B2038" s="93" t="str">
        <f>IF(COUNTIF(MAIN!B:B, A2038)=0, "Missing", "")</f>
        <v/>
      </c>
      <c r="C2038" s="128"/>
      <c r="E2038" s="128" t="str">
        <f t="shared" si="1"/>
        <v/>
      </c>
    </row>
    <row r="2039">
      <c r="A2039" s="93" t="str">
        <f t="shared" si="2"/>
        <v>#15888</v>
      </c>
      <c r="B2039" s="93" t="str">
        <f>IF(COUNTIF(MAIN!B:B, A2039)=0, "Missing", "")</f>
        <v/>
      </c>
      <c r="C2039" s="128"/>
      <c r="E2039" s="128" t="str">
        <f t="shared" si="1"/>
        <v/>
      </c>
    </row>
    <row r="2040">
      <c r="A2040" s="93" t="str">
        <f t="shared" si="2"/>
        <v>#15889</v>
      </c>
      <c r="B2040" s="93" t="str">
        <f>IF(COUNTIF(MAIN!B:B, A2040)=0, "Missing", "")</f>
        <v/>
      </c>
      <c r="C2040" s="128"/>
      <c r="E2040" s="128" t="str">
        <f t="shared" si="1"/>
        <v/>
      </c>
    </row>
    <row r="2041">
      <c r="A2041" s="93" t="str">
        <f t="shared" si="2"/>
        <v>#15890</v>
      </c>
      <c r="B2041" s="93" t="str">
        <f>IF(COUNTIF(MAIN!B:B, A2041)=0, "Missing", "")</f>
        <v/>
      </c>
      <c r="C2041" s="128"/>
      <c r="E2041" s="128" t="str">
        <f t="shared" si="1"/>
        <v/>
      </c>
    </row>
    <row r="2042">
      <c r="A2042" s="93" t="str">
        <f t="shared" si="2"/>
        <v>#15891</v>
      </c>
      <c r="B2042" s="93" t="str">
        <f>IF(COUNTIF(MAIN!B:B, A2042)=0, "Missing", "")</f>
        <v/>
      </c>
      <c r="C2042" s="128"/>
      <c r="E2042" s="128" t="str">
        <f t="shared" si="1"/>
        <v/>
      </c>
    </row>
    <row r="2043">
      <c r="A2043" s="93" t="str">
        <f t="shared" si="2"/>
        <v>#15892</v>
      </c>
      <c r="B2043" s="93" t="str">
        <f>IF(COUNTIF(MAIN!B:B, A2043)=0, "Missing", "")</f>
        <v/>
      </c>
      <c r="C2043" s="128"/>
      <c r="E2043" s="128" t="str">
        <f t="shared" si="1"/>
        <v/>
      </c>
    </row>
    <row r="2044">
      <c r="A2044" s="93" t="str">
        <f t="shared" si="2"/>
        <v>#15893</v>
      </c>
      <c r="B2044" s="93" t="str">
        <f>IF(COUNTIF(MAIN!B:B, A2044)=0, "Missing", "")</f>
        <v/>
      </c>
      <c r="C2044" s="128"/>
      <c r="E2044" s="128" t="str">
        <f t="shared" si="1"/>
        <v/>
      </c>
    </row>
    <row r="2045">
      <c r="A2045" s="93" t="str">
        <f t="shared" si="2"/>
        <v>#15894</v>
      </c>
      <c r="B2045" s="93" t="str">
        <f>IF(COUNTIF(MAIN!B:B, A2045)=0, "Missing", "")</f>
        <v/>
      </c>
      <c r="C2045" s="128"/>
      <c r="E2045" s="128" t="str">
        <f t="shared" si="1"/>
        <v/>
      </c>
    </row>
    <row r="2046">
      <c r="A2046" s="93" t="str">
        <f t="shared" si="2"/>
        <v>#15895</v>
      </c>
      <c r="B2046" s="93" t="str">
        <f>IF(COUNTIF(MAIN!B:B, A2046)=0, "Missing", "")</f>
        <v/>
      </c>
      <c r="C2046" s="128"/>
      <c r="E2046" s="128" t="str">
        <f t="shared" si="1"/>
        <v/>
      </c>
    </row>
    <row r="2047">
      <c r="A2047" s="93" t="str">
        <f t="shared" si="2"/>
        <v>#15896</v>
      </c>
      <c r="B2047" s="93" t="str">
        <f>IF(COUNTIF(MAIN!B:B, A2047)=0, "Missing", "")</f>
        <v/>
      </c>
      <c r="C2047" s="128"/>
      <c r="E2047" s="128" t="str">
        <f t="shared" si="1"/>
        <v/>
      </c>
    </row>
    <row r="2048">
      <c r="A2048" s="93" t="str">
        <f t="shared" si="2"/>
        <v>#15897</v>
      </c>
      <c r="B2048" s="93" t="str">
        <f>IF(COUNTIF(MAIN!B:B, A2048)=0, "Missing", "")</f>
        <v/>
      </c>
      <c r="C2048" s="128"/>
      <c r="E2048" s="128" t="str">
        <f t="shared" si="1"/>
        <v/>
      </c>
    </row>
    <row r="2049">
      <c r="A2049" s="93" t="str">
        <f t="shared" si="2"/>
        <v>#15898</v>
      </c>
      <c r="B2049" s="93" t="str">
        <f>IF(COUNTIF(MAIN!B:B, A2049)=0, "Missing", "")</f>
        <v/>
      </c>
      <c r="C2049" s="128"/>
      <c r="E2049" s="128" t="str">
        <f t="shared" si="1"/>
        <v/>
      </c>
    </row>
    <row r="2050">
      <c r="A2050" s="93" t="str">
        <f t="shared" si="2"/>
        <v>#15899</v>
      </c>
      <c r="B2050" s="93" t="str">
        <f>IF(COUNTIF(MAIN!B:B, A2050)=0, "Missing", "")</f>
        <v/>
      </c>
      <c r="C2050" s="128"/>
      <c r="E2050" s="128" t="str">
        <f t="shared" si="1"/>
        <v/>
      </c>
    </row>
    <row r="2051">
      <c r="A2051" s="93" t="str">
        <f t="shared" si="2"/>
        <v>#15900</v>
      </c>
      <c r="B2051" s="93" t="str">
        <f>IF(COUNTIF(MAIN!B:B, A2051)=0, "Missing", "")</f>
        <v/>
      </c>
      <c r="C2051" s="128"/>
      <c r="E2051" s="128" t="str">
        <f t="shared" si="1"/>
        <v/>
      </c>
    </row>
    <row r="2052">
      <c r="A2052" s="93" t="str">
        <f t="shared" si="2"/>
        <v>#15901</v>
      </c>
      <c r="B2052" s="93" t="str">
        <f>IF(COUNTIF(MAIN!B:B, A2052)=0, "Missing", "")</f>
        <v/>
      </c>
      <c r="C2052" s="128"/>
      <c r="E2052" s="128" t="str">
        <f t="shared" si="1"/>
        <v/>
      </c>
    </row>
    <row r="2053">
      <c r="A2053" s="93" t="str">
        <f t="shared" si="2"/>
        <v>#15902</v>
      </c>
      <c r="B2053" s="93" t="str">
        <f>IF(COUNTIF(MAIN!B:B, A2053)=0, "Missing", "")</f>
        <v/>
      </c>
      <c r="C2053" s="128"/>
      <c r="E2053" s="128" t="str">
        <f t="shared" si="1"/>
        <v/>
      </c>
    </row>
    <row r="2054">
      <c r="A2054" s="93" t="str">
        <f t="shared" si="2"/>
        <v>#15903</v>
      </c>
      <c r="B2054" s="93" t="str">
        <f>IF(COUNTIF(MAIN!B:B, A2054)=0, "Missing", "")</f>
        <v/>
      </c>
      <c r="C2054" s="128"/>
      <c r="E2054" s="128" t="str">
        <f t="shared" si="1"/>
        <v/>
      </c>
    </row>
    <row r="2055">
      <c r="A2055" s="93" t="str">
        <f t="shared" si="2"/>
        <v>#15904</v>
      </c>
      <c r="B2055" s="93" t="str">
        <f>IF(COUNTIF(MAIN!B:B, A2055)=0, "Missing", "")</f>
        <v/>
      </c>
      <c r="C2055" s="128"/>
      <c r="E2055" s="128" t="str">
        <f t="shared" si="1"/>
        <v/>
      </c>
    </row>
    <row r="2056">
      <c r="A2056" s="93" t="str">
        <f t="shared" si="2"/>
        <v>#15905</v>
      </c>
      <c r="B2056" s="93" t="str">
        <f>IF(COUNTIF(MAIN!B:B, A2056)=0, "Missing", "")</f>
        <v/>
      </c>
      <c r="C2056" s="128"/>
      <c r="E2056" s="128" t="str">
        <f t="shared" si="1"/>
        <v/>
      </c>
    </row>
    <row r="2057">
      <c r="A2057" s="93" t="str">
        <f t="shared" si="2"/>
        <v>#15906</v>
      </c>
      <c r="B2057" s="93" t="str">
        <f>IF(COUNTIF(MAIN!B:B, A2057)=0, "Missing", "")</f>
        <v/>
      </c>
      <c r="C2057" s="128"/>
      <c r="E2057" s="128" t="str">
        <f t="shared" si="1"/>
        <v/>
      </c>
    </row>
    <row r="2058">
      <c r="A2058" s="93" t="str">
        <f t="shared" si="2"/>
        <v>#15907</v>
      </c>
      <c r="B2058" s="93" t="str">
        <f>IF(COUNTIF(MAIN!B:B, A2058)=0, "Missing", "")</f>
        <v/>
      </c>
      <c r="C2058" s="128"/>
      <c r="E2058" s="128" t="str">
        <f t="shared" si="1"/>
        <v/>
      </c>
    </row>
    <row r="2059">
      <c r="A2059" s="93" t="str">
        <f t="shared" si="2"/>
        <v>#15908</v>
      </c>
      <c r="B2059" s="93" t="str">
        <f>IF(COUNTIF(MAIN!B:B, A2059)=0, "Missing", "")</f>
        <v/>
      </c>
      <c r="C2059" s="128"/>
      <c r="E2059" s="128" t="str">
        <f t="shared" si="1"/>
        <v/>
      </c>
    </row>
    <row r="2060">
      <c r="A2060" s="93" t="str">
        <f t="shared" si="2"/>
        <v>#15909</v>
      </c>
      <c r="B2060" s="93" t="str">
        <f>IF(COUNTIF(MAIN!B:B, A2060)=0, "Missing", "")</f>
        <v/>
      </c>
      <c r="C2060" s="128"/>
      <c r="E2060" s="128" t="str">
        <f t="shared" si="1"/>
        <v/>
      </c>
    </row>
    <row r="2061">
      <c r="A2061" s="93" t="str">
        <f t="shared" si="2"/>
        <v>#15910</v>
      </c>
      <c r="B2061" s="93" t="str">
        <f>IF(COUNTIF(MAIN!B:B, A2061)=0, "Missing", "")</f>
        <v/>
      </c>
      <c r="C2061" s="128"/>
      <c r="E2061" s="128" t="str">
        <f t="shared" si="1"/>
        <v/>
      </c>
    </row>
    <row r="2062">
      <c r="A2062" s="93" t="str">
        <f t="shared" si="2"/>
        <v>#15911</v>
      </c>
      <c r="B2062" s="93" t="str">
        <f>IF(COUNTIF(MAIN!B:B, A2062)=0, "Missing", "")</f>
        <v/>
      </c>
      <c r="C2062" s="128"/>
      <c r="E2062" s="128" t="str">
        <f t="shared" si="1"/>
        <v/>
      </c>
    </row>
    <row r="2063">
      <c r="A2063" s="93" t="str">
        <f t="shared" si="2"/>
        <v>#15912</v>
      </c>
      <c r="B2063" s="93" t="str">
        <f>IF(COUNTIF(MAIN!B:B, A2063)=0, "Missing", "")</f>
        <v/>
      </c>
      <c r="C2063" s="128"/>
      <c r="E2063" s="128" t="str">
        <f t="shared" si="1"/>
        <v/>
      </c>
    </row>
    <row r="2064">
      <c r="A2064" s="93" t="str">
        <f t="shared" si="2"/>
        <v>#15913</v>
      </c>
      <c r="B2064" s="93" t="str">
        <f>IF(COUNTIF(MAIN!B:B, A2064)=0, "Missing", "")</f>
        <v/>
      </c>
      <c r="C2064" s="128"/>
      <c r="E2064" s="128" t="str">
        <f t="shared" si="1"/>
        <v/>
      </c>
    </row>
    <row r="2065">
      <c r="A2065" s="93" t="str">
        <f t="shared" si="2"/>
        <v>#15914</v>
      </c>
      <c r="B2065" s="93" t="str">
        <f>IF(COUNTIF(MAIN!B:B, A2065)=0, "Missing", "")</f>
        <v/>
      </c>
      <c r="C2065" s="128"/>
      <c r="E2065" s="128" t="str">
        <f t="shared" si="1"/>
        <v/>
      </c>
    </row>
    <row r="2066">
      <c r="A2066" s="93" t="str">
        <f t="shared" si="2"/>
        <v>#15915</v>
      </c>
      <c r="B2066" s="93" t="str">
        <f>IF(COUNTIF(MAIN!B:B, A2066)=0, "Missing", "")</f>
        <v/>
      </c>
      <c r="C2066" s="128"/>
      <c r="E2066" s="128" t="str">
        <f t="shared" si="1"/>
        <v/>
      </c>
    </row>
    <row r="2067">
      <c r="A2067" s="93" t="str">
        <f t="shared" si="2"/>
        <v>#15916</v>
      </c>
      <c r="B2067" s="93" t="str">
        <f>IF(COUNTIF(MAIN!B:B, A2067)=0, "Missing", "")</f>
        <v/>
      </c>
      <c r="C2067" s="128"/>
      <c r="E2067" s="128" t="str">
        <f t="shared" si="1"/>
        <v/>
      </c>
    </row>
    <row r="2068">
      <c r="A2068" s="93" t="str">
        <f t="shared" si="2"/>
        <v>#15917</v>
      </c>
      <c r="B2068" s="93" t="str">
        <f>IF(COUNTIF(MAIN!B:B, A2068)=0, "Missing", "")</f>
        <v/>
      </c>
      <c r="C2068" s="128"/>
      <c r="E2068" s="128" t="str">
        <f t="shared" si="1"/>
        <v/>
      </c>
    </row>
    <row r="2069">
      <c r="A2069" s="93" t="str">
        <f t="shared" si="2"/>
        <v>#15918</v>
      </c>
      <c r="B2069" s="93" t="str">
        <f>IF(COUNTIF(MAIN!B:B, A2069)=0, "Missing", "")</f>
        <v/>
      </c>
      <c r="C2069" s="128"/>
      <c r="E2069" s="128" t="str">
        <f t="shared" si="1"/>
        <v/>
      </c>
    </row>
    <row r="2070">
      <c r="A2070" s="93" t="str">
        <f t="shared" si="2"/>
        <v>#15919</v>
      </c>
      <c r="B2070" s="93" t="str">
        <f>IF(COUNTIF(MAIN!B:B, A2070)=0, "Missing", "")</f>
        <v/>
      </c>
      <c r="C2070" s="128"/>
      <c r="E2070" s="128" t="str">
        <f t="shared" si="1"/>
        <v/>
      </c>
    </row>
    <row r="2071">
      <c r="A2071" s="93" t="str">
        <f t="shared" si="2"/>
        <v>#15920</v>
      </c>
      <c r="B2071" s="93" t="str">
        <f>IF(COUNTIF(MAIN!B:B, A2071)=0, "Missing", "")</f>
        <v/>
      </c>
      <c r="C2071" s="128"/>
      <c r="E2071" s="128" t="str">
        <f t="shared" si="1"/>
        <v/>
      </c>
    </row>
    <row r="2072">
      <c r="A2072" s="93" t="str">
        <f t="shared" si="2"/>
        <v>#15921</v>
      </c>
      <c r="B2072" s="93" t="str">
        <f>IF(COUNTIF(MAIN!B:B, A2072)=0, "Missing", "")</f>
        <v/>
      </c>
      <c r="C2072" s="128"/>
      <c r="E2072" s="128" t="str">
        <f t="shared" si="1"/>
        <v/>
      </c>
    </row>
    <row r="2073">
      <c r="A2073" s="93" t="str">
        <f t="shared" si="2"/>
        <v>#15922</v>
      </c>
      <c r="B2073" s="93" t="str">
        <f>IF(COUNTIF(MAIN!B:B, A2073)=0, "Missing", "")</f>
        <v/>
      </c>
      <c r="C2073" s="128"/>
      <c r="E2073" s="128" t="str">
        <f t="shared" si="1"/>
        <v/>
      </c>
    </row>
    <row r="2074">
      <c r="A2074" s="93" t="str">
        <f t="shared" si="2"/>
        <v>#15923</v>
      </c>
      <c r="B2074" s="93" t="str">
        <f>IF(COUNTIF(MAIN!B:B, A2074)=0, "Missing", "")</f>
        <v/>
      </c>
      <c r="C2074" s="128"/>
      <c r="E2074" s="128" t="str">
        <f t="shared" si="1"/>
        <v/>
      </c>
    </row>
    <row r="2075">
      <c r="A2075" s="93" t="str">
        <f t="shared" si="2"/>
        <v>#15924</v>
      </c>
      <c r="B2075" s="93" t="str">
        <f>IF(COUNTIF(MAIN!B:B, A2075)=0, "Missing", "")</f>
        <v/>
      </c>
      <c r="C2075" s="128"/>
      <c r="E2075" s="128" t="str">
        <f t="shared" si="1"/>
        <v/>
      </c>
    </row>
    <row r="2076">
      <c r="A2076" s="93" t="str">
        <f t="shared" si="2"/>
        <v>#15925</v>
      </c>
      <c r="B2076" s="93" t="str">
        <f>IF(COUNTIF(MAIN!B:B, A2076)=0, "Missing", "")</f>
        <v/>
      </c>
      <c r="C2076" s="128"/>
      <c r="E2076" s="128" t="str">
        <f t="shared" si="1"/>
        <v/>
      </c>
    </row>
    <row r="2077">
      <c r="A2077" s="93" t="str">
        <f t="shared" si="2"/>
        <v>#15926</v>
      </c>
      <c r="B2077" s="93" t="str">
        <f>IF(COUNTIF(MAIN!B:B, A2077)=0, "Missing", "")</f>
        <v/>
      </c>
      <c r="C2077" s="128"/>
      <c r="E2077" s="128" t="str">
        <f t="shared" si="1"/>
        <v/>
      </c>
    </row>
    <row r="2078">
      <c r="A2078" s="93" t="str">
        <f t="shared" si="2"/>
        <v>#15927</v>
      </c>
      <c r="B2078" s="93" t="str">
        <f>IF(COUNTIF(MAIN!B:B, A2078)=0, "Missing", "")</f>
        <v/>
      </c>
      <c r="C2078" s="128"/>
      <c r="E2078" s="128" t="str">
        <f t="shared" si="1"/>
        <v/>
      </c>
    </row>
    <row r="2079">
      <c r="A2079" s="93" t="str">
        <f t="shared" si="2"/>
        <v>#15928</v>
      </c>
      <c r="B2079" s="93" t="str">
        <f>IF(COUNTIF(MAIN!B:B, A2079)=0, "Missing", "")</f>
        <v/>
      </c>
      <c r="C2079" s="128"/>
      <c r="E2079" s="128" t="str">
        <f t="shared" si="1"/>
        <v/>
      </c>
    </row>
    <row r="2080">
      <c r="A2080" s="93" t="str">
        <f t="shared" si="2"/>
        <v>#15929</v>
      </c>
      <c r="B2080" s="93" t="str">
        <f>IF(COUNTIF(MAIN!B:B, A2080)=0, "Missing", "")</f>
        <v/>
      </c>
      <c r="C2080" s="128"/>
      <c r="E2080" s="128" t="str">
        <f t="shared" si="1"/>
        <v/>
      </c>
    </row>
    <row r="2081">
      <c r="A2081" s="93" t="str">
        <f t="shared" si="2"/>
        <v>#15930</v>
      </c>
      <c r="B2081" s="93" t="str">
        <f>IF(COUNTIF(MAIN!B:B, A2081)=0, "Missing", "")</f>
        <v/>
      </c>
      <c r="C2081" s="128"/>
      <c r="E2081" s="128" t="str">
        <f t="shared" si="1"/>
        <v/>
      </c>
    </row>
    <row r="2082">
      <c r="A2082" s="93" t="str">
        <f t="shared" si="2"/>
        <v>#15931</v>
      </c>
      <c r="B2082" s="93" t="str">
        <f>IF(COUNTIF(MAIN!B:B, A2082)=0, "Missing", "")</f>
        <v/>
      </c>
      <c r="C2082" s="128"/>
      <c r="E2082" s="128" t="str">
        <f t="shared" si="1"/>
        <v/>
      </c>
    </row>
    <row r="2083">
      <c r="A2083" s="93" t="str">
        <f t="shared" si="2"/>
        <v>#15932</v>
      </c>
      <c r="B2083" s="93" t="str">
        <f>IF(COUNTIF(MAIN!B:B, A2083)=0, "Missing", "")</f>
        <v/>
      </c>
      <c r="C2083" s="128"/>
      <c r="E2083" s="128" t="str">
        <f t="shared" si="1"/>
        <v/>
      </c>
    </row>
    <row r="2084">
      <c r="A2084" s="93" t="str">
        <f t="shared" si="2"/>
        <v>#15933</v>
      </c>
      <c r="B2084" s="93" t="str">
        <f>IF(COUNTIF(MAIN!B:B, A2084)=0, "Missing", "")</f>
        <v/>
      </c>
      <c r="C2084" s="128"/>
      <c r="E2084" s="128" t="str">
        <f t="shared" si="1"/>
        <v/>
      </c>
    </row>
    <row r="2085">
      <c r="A2085" s="93" t="str">
        <f t="shared" si="2"/>
        <v>#15934</v>
      </c>
      <c r="B2085" s="93" t="str">
        <f>IF(COUNTIF(MAIN!B:B, A2085)=0, "Missing", "")</f>
        <v/>
      </c>
      <c r="C2085" s="128"/>
      <c r="E2085" s="128" t="str">
        <f t="shared" si="1"/>
        <v/>
      </c>
    </row>
    <row r="2086">
      <c r="A2086" s="93" t="str">
        <f t="shared" si="2"/>
        <v>#15935</v>
      </c>
      <c r="B2086" s="93" t="str">
        <f>IF(COUNTIF(MAIN!B:B, A2086)=0, "Missing", "")</f>
        <v/>
      </c>
      <c r="C2086" s="128"/>
      <c r="E2086" s="128" t="str">
        <f t="shared" si="1"/>
        <v/>
      </c>
    </row>
    <row r="2087">
      <c r="A2087" s="93" t="str">
        <f t="shared" si="2"/>
        <v>#15936</v>
      </c>
      <c r="B2087" s="93" t="str">
        <f>IF(COUNTIF(MAIN!B:B, A2087)=0, "Missing", "")</f>
        <v/>
      </c>
      <c r="C2087" s="128"/>
      <c r="E2087" s="128" t="str">
        <f t="shared" si="1"/>
        <v/>
      </c>
    </row>
    <row r="2088">
      <c r="A2088" s="93" t="str">
        <f t="shared" si="2"/>
        <v>#15937</v>
      </c>
      <c r="B2088" s="93" t="str">
        <f>IF(COUNTIF(MAIN!B:B, A2088)=0, "Missing", "")</f>
        <v/>
      </c>
      <c r="C2088" s="128"/>
      <c r="E2088" s="128" t="str">
        <f t="shared" si="1"/>
        <v/>
      </c>
    </row>
    <row r="2089">
      <c r="A2089" s="93" t="str">
        <f t="shared" si="2"/>
        <v>#15938</v>
      </c>
      <c r="B2089" s="93" t="str">
        <f>IF(COUNTIF(MAIN!B:B, A2089)=0, "Missing", "")</f>
        <v/>
      </c>
      <c r="C2089" s="128"/>
      <c r="E2089" s="128" t="str">
        <f t="shared" si="1"/>
        <v/>
      </c>
    </row>
    <row r="2090">
      <c r="A2090" s="93" t="str">
        <f t="shared" si="2"/>
        <v>#15939</v>
      </c>
      <c r="B2090" s="93" t="str">
        <f>IF(COUNTIF(MAIN!B:B, A2090)=0, "Missing", "")</f>
        <v/>
      </c>
      <c r="C2090" s="128"/>
      <c r="E2090" s="128" t="str">
        <f t="shared" si="1"/>
        <v/>
      </c>
    </row>
    <row r="2091">
      <c r="A2091" s="93" t="str">
        <f t="shared" si="2"/>
        <v>#15940</v>
      </c>
      <c r="B2091" s="93" t="str">
        <f>IF(COUNTIF(MAIN!B:B, A2091)=0, "Missing", "")</f>
        <v/>
      </c>
      <c r="C2091" s="128"/>
      <c r="E2091" s="128" t="str">
        <f t="shared" si="1"/>
        <v/>
      </c>
    </row>
    <row r="2092">
      <c r="A2092" s="93" t="str">
        <f t="shared" si="2"/>
        <v>#15941</v>
      </c>
      <c r="B2092" s="93" t="str">
        <f>IF(COUNTIF(MAIN!B:B, A2092)=0, "Missing", "")</f>
        <v/>
      </c>
      <c r="C2092" s="128"/>
      <c r="E2092" s="128" t="str">
        <f t="shared" si="1"/>
        <v/>
      </c>
    </row>
    <row r="2093">
      <c r="A2093" s="93" t="str">
        <f t="shared" si="2"/>
        <v>#15942</v>
      </c>
      <c r="B2093" s="93" t="str">
        <f>IF(COUNTIF(MAIN!B:B, A2093)=0, "Missing", "")</f>
        <v/>
      </c>
      <c r="C2093" s="128"/>
      <c r="E2093" s="128" t="str">
        <f t="shared" si="1"/>
        <v/>
      </c>
    </row>
    <row r="2094">
      <c r="A2094" s="93" t="str">
        <f t="shared" si="2"/>
        <v>#15943</v>
      </c>
      <c r="B2094" s="93" t="str">
        <f>IF(COUNTIF(MAIN!B:B, A2094)=0, "Missing", "")</f>
        <v/>
      </c>
      <c r="C2094" s="128"/>
      <c r="E2094" s="128" t="str">
        <f t="shared" si="1"/>
        <v/>
      </c>
    </row>
    <row r="2095">
      <c r="A2095" s="93" t="str">
        <f t="shared" si="2"/>
        <v>#15944</v>
      </c>
      <c r="B2095" s="93" t="str">
        <f>IF(COUNTIF(MAIN!B:B, A2095)=0, "Missing", "")</f>
        <v/>
      </c>
      <c r="C2095" s="128"/>
      <c r="E2095" s="128" t="str">
        <f t="shared" si="1"/>
        <v/>
      </c>
    </row>
    <row r="2096">
      <c r="A2096" s="93" t="str">
        <f t="shared" si="2"/>
        <v>#15945</v>
      </c>
      <c r="B2096" s="93" t="str">
        <f>IF(COUNTIF(MAIN!B:B, A2096)=0, "Missing", "")</f>
        <v/>
      </c>
      <c r="C2096" s="128"/>
      <c r="E2096" s="128" t="str">
        <f t="shared" si="1"/>
        <v/>
      </c>
    </row>
    <row r="2097">
      <c r="A2097" s="93" t="str">
        <f t="shared" si="2"/>
        <v>#15946</v>
      </c>
      <c r="B2097" s="93" t="str">
        <f>IF(COUNTIF(MAIN!B:B, A2097)=0, "Missing", "")</f>
        <v/>
      </c>
      <c r="C2097" s="128"/>
      <c r="E2097" s="128" t="str">
        <f t="shared" si="1"/>
        <v/>
      </c>
    </row>
    <row r="2098">
      <c r="A2098" s="93" t="str">
        <f t="shared" si="2"/>
        <v>#15947</v>
      </c>
      <c r="B2098" s="93" t="str">
        <f>IF(COUNTIF(MAIN!B:B, A2098)=0, "Missing", "")</f>
        <v/>
      </c>
      <c r="C2098" s="128"/>
      <c r="E2098" s="128" t="str">
        <f t="shared" si="1"/>
        <v/>
      </c>
    </row>
    <row r="2099">
      <c r="A2099" s="93" t="str">
        <f t="shared" si="2"/>
        <v>#15948</v>
      </c>
      <c r="B2099" s="93" t="str">
        <f>IF(COUNTIF(MAIN!B:B, A2099)=0, "Missing", "")</f>
        <v/>
      </c>
      <c r="C2099" s="128"/>
      <c r="E2099" s="128" t="str">
        <f t="shared" si="1"/>
        <v/>
      </c>
    </row>
    <row r="2100">
      <c r="A2100" s="93" t="str">
        <f t="shared" si="2"/>
        <v>#15949</v>
      </c>
      <c r="B2100" s="93" t="str">
        <f>IF(COUNTIF(MAIN!B:B, A2100)=0, "Missing", "")</f>
        <v/>
      </c>
      <c r="C2100" s="128"/>
      <c r="E2100" s="128" t="str">
        <f t="shared" si="1"/>
        <v/>
      </c>
    </row>
    <row r="2101">
      <c r="A2101" s="93" t="str">
        <f t="shared" si="2"/>
        <v>#15950</v>
      </c>
      <c r="B2101" s="93" t="str">
        <f>IF(COUNTIF(MAIN!B:B, A2101)=0, "Missing", "")</f>
        <v/>
      </c>
      <c r="C2101" s="128"/>
      <c r="E2101" s="128" t="str">
        <f t="shared" si="1"/>
        <v/>
      </c>
    </row>
    <row r="2102">
      <c r="A2102" s="93" t="str">
        <f t="shared" si="2"/>
        <v>#15951</v>
      </c>
      <c r="B2102" s="93" t="str">
        <f>IF(COUNTIF(MAIN!B:B, A2102)=0, "Missing", "")</f>
        <v/>
      </c>
      <c r="C2102" s="128"/>
      <c r="E2102" s="128" t="str">
        <f t="shared" si="1"/>
        <v/>
      </c>
    </row>
    <row r="2103">
      <c r="A2103" s="93" t="str">
        <f t="shared" si="2"/>
        <v>#15952</v>
      </c>
      <c r="B2103" s="93" t="str">
        <f>IF(COUNTIF(MAIN!B:B, A2103)=0, "Missing", "")</f>
        <v/>
      </c>
      <c r="C2103" s="128"/>
      <c r="E2103" s="128" t="str">
        <f t="shared" si="1"/>
        <v/>
      </c>
    </row>
    <row r="2104">
      <c r="A2104" s="93" t="str">
        <f t="shared" si="2"/>
        <v>#15953</v>
      </c>
      <c r="B2104" s="93" t="str">
        <f>IF(COUNTIF(MAIN!B:B, A2104)=0, "Missing", "")</f>
        <v/>
      </c>
      <c r="C2104" s="128"/>
      <c r="E2104" s="128" t="str">
        <f t="shared" si="1"/>
        <v/>
      </c>
    </row>
    <row r="2105">
      <c r="A2105" s="93" t="str">
        <f t="shared" si="2"/>
        <v>#15954</v>
      </c>
      <c r="B2105" s="93" t="str">
        <f>IF(COUNTIF(MAIN!B:B, A2105)=0, "Missing", "")</f>
        <v/>
      </c>
      <c r="C2105" s="128"/>
      <c r="E2105" s="128" t="str">
        <f t="shared" si="1"/>
        <v/>
      </c>
    </row>
    <row r="2106">
      <c r="A2106" s="93" t="str">
        <f t="shared" si="2"/>
        <v>#15955</v>
      </c>
      <c r="B2106" s="93" t="str">
        <f>IF(COUNTIF(MAIN!B:B, A2106)=0, "Missing", "")</f>
        <v/>
      </c>
      <c r="C2106" s="128"/>
      <c r="E2106" s="128" t="str">
        <f t="shared" si="1"/>
        <v/>
      </c>
    </row>
    <row r="2107">
      <c r="A2107" s="93" t="str">
        <f t="shared" si="2"/>
        <v>#15956</v>
      </c>
      <c r="B2107" s="93" t="str">
        <f>IF(COUNTIF(MAIN!B:B, A2107)=0, "Missing", "")</f>
        <v/>
      </c>
      <c r="C2107" s="128"/>
      <c r="E2107" s="128" t="str">
        <f t="shared" si="1"/>
        <v/>
      </c>
    </row>
    <row r="2108">
      <c r="A2108" s="93" t="str">
        <f t="shared" si="2"/>
        <v>#15957</v>
      </c>
      <c r="B2108" s="93" t="str">
        <f>IF(COUNTIF(MAIN!B:B, A2108)=0, "Missing", "")</f>
        <v/>
      </c>
      <c r="C2108" s="128"/>
      <c r="E2108" s="128" t="str">
        <f t="shared" si="1"/>
        <v/>
      </c>
    </row>
    <row r="2109">
      <c r="A2109" s="93" t="str">
        <f t="shared" si="2"/>
        <v>#15958</v>
      </c>
      <c r="B2109" s="93" t="str">
        <f>IF(COUNTIF(MAIN!B:B, A2109)=0, "Missing", "")</f>
        <v/>
      </c>
      <c r="C2109" s="128"/>
      <c r="E2109" s="128" t="str">
        <f t="shared" si="1"/>
        <v/>
      </c>
    </row>
    <row r="2110">
      <c r="A2110" s="93" t="str">
        <f t="shared" si="2"/>
        <v>#15959</v>
      </c>
      <c r="B2110" s="93" t="str">
        <f>IF(COUNTIF(MAIN!B:B, A2110)=0, "Missing", "")</f>
        <v/>
      </c>
      <c r="C2110" s="128"/>
      <c r="E2110" s="128" t="str">
        <f t="shared" si="1"/>
        <v/>
      </c>
    </row>
    <row r="2111">
      <c r="A2111" s="93" t="str">
        <f t="shared" si="2"/>
        <v>#15960</v>
      </c>
      <c r="B2111" s="93" t="str">
        <f>IF(COUNTIF(MAIN!B:B, A2111)=0, "Missing", "")</f>
        <v/>
      </c>
      <c r="C2111" s="128"/>
      <c r="E2111" s="128" t="str">
        <f t="shared" si="1"/>
        <v/>
      </c>
    </row>
    <row r="2112">
      <c r="A2112" s="93" t="str">
        <f t="shared" si="2"/>
        <v>#15961</v>
      </c>
      <c r="B2112" s="93" t="str">
        <f>IF(COUNTIF(MAIN!B:B, A2112)=0, "Missing", "")</f>
        <v/>
      </c>
      <c r="C2112" s="128"/>
      <c r="E2112" s="128" t="str">
        <f t="shared" si="1"/>
        <v/>
      </c>
    </row>
    <row r="2113">
      <c r="A2113" s="93" t="str">
        <f t="shared" si="2"/>
        <v>#15962</v>
      </c>
      <c r="B2113" s="93" t="str">
        <f>IF(COUNTIF(MAIN!B:B, A2113)=0, "Missing", "")</f>
        <v/>
      </c>
      <c r="C2113" s="128"/>
      <c r="E2113" s="128" t="str">
        <f t="shared" si="1"/>
        <v/>
      </c>
    </row>
    <row r="2114">
      <c r="A2114" s="93" t="str">
        <f t="shared" si="2"/>
        <v>#15963</v>
      </c>
      <c r="B2114" s="93" t="str">
        <f>IF(COUNTIF(MAIN!B:B, A2114)=0, "Missing", "")</f>
        <v/>
      </c>
      <c r="C2114" s="128"/>
      <c r="E2114" s="128" t="str">
        <f t="shared" si="1"/>
        <v/>
      </c>
    </row>
    <row r="2115">
      <c r="A2115" s="93" t="str">
        <f t="shared" si="2"/>
        <v>#15964</v>
      </c>
      <c r="B2115" s="93" t="str">
        <f>IF(COUNTIF(MAIN!B:B, A2115)=0, "Missing", "")</f>
        <v/>
      </c>
      <c r="C2115" s="128"/>
      <c r="E2115" s="128" t="str">
        <f t="shared" si="1"/>
        <v/>
      </c>
    </row>
    <row r="2116">
      <c r="A2116" s="93" t="str">
        <f t="shared" si="2"/>
        <v>#15965</v>
      </c>
      <c r="B2116" s="93" t="str">
        <f>IF(COUNTIF(MAIN!B:B, A2116)=0, "Missing", "")</f>
        <v/>
      </c>
      <c r="C2116" s="128"/>
      <c r="E2116" s="128" t="str">
        <f t="shared" si="1"/>
        <v/>
      </c>
    </row>
    <row r="2117">
      <c r="A2117" s="93" t="str">
        <f t="shared" si="2"/>
        <v>#15966</v>
      </c>
      <c r="B2117" s="93" t="str">
        <f>IF(COUNTIF(MAIN!B:B, A2117)=0, "Missing", "")</f>
        <v/>
      </c>
      <c r="C2117" s="128"/>
      <c r="E2117" s="128" t="str">
        <f t="shared" si="1"/>
        <v/>
      </c>
    </row>
    <row r="2118">
      <c r="A2118" s="93" t="str">
        <f t="shared" si="2"/>
        <v>#15967</v>
      </c>
      <c r="B2118" s="93" t="str">
        <f>IF(COUNTIF(MAIN!B:B, A2118)=0, "Missing", "")</f>
        <v/>
      </c>
      <c r="C2118" s="128"/>
      <c r="E2118" s="128" t="str">
        <f t="shared" si="1"/>
        <v/>
      </c>
    </row>
    <row r="2119">
      <c r="A2119" s="93" t="str">
        <f t="shared" si="2"/>
        <v>#15968</v>
      </c>
      <c r="B2119" s="93" t="str">
        <f>IF(COUNTIF(MAIN!B:B, A2119)=0, "Missing", "")</f>
        <v/>
      </c>
      <c r="C2119" s="128"/>
      <c r="E2119" s="128" t="str">
        <f t="shared" si="1"/>
        <v/>
      </c>
    </row>
    <row r="2120">
      <c r="A2120" s="93" t="str">
        <f t="shared" si="2"/>
        <v>#15969</v>
      </c>
      <c r="B2120" s="93" t="str">
        <f>IF(COUNTIF(MAIN!B:B, A2120)=0, "Missing", "")</f>
        <v/>
      </c>
      <c r="C2120" s="128"/>
      <c r="E2120" s="128" t="str">
        <f t="shared" si="1"/>
        <v/>
      </c>
    </row>
    <row r="2121">
      <c r="A2121" s="93" t="str">
        <f t="shared" si="2"/>
        <v>#15970</v>
      </c>
      <c r="B2121" s="93" t="str">
        <f>IF(COUNTIF(MAIN!B:B, A2121)=0, "Missing", "")</f>
        <v/>
      </c>
      <c r="C2121" s="128"/>
      <c r="E2121" s="128" t="str">
        <f t="shared" si="1"/>
        <v/>
      </c>
    </row>
    <row r="2122">
      <c r="A2122" s="93" t="str">
        <f t="shared" si="2"/>
        <v>#15971</v>
      </c>
      <c r="B2122" s="93" t="str">
        <f>IF(COUNTIF(MAIN!B:B, A2122)=0, "Missing", "")</f>
        <v/>
      </c>
      <c r="C2122" s="128"/>
      <c r="E2122" s="128" t="str">
        <f t="shared" si="1"/>
        <v/>
      </c>
    </row>
    <row r="2123">
      <c r="A2123" s="93" t="str">
        <f t="shared" si="2"/>
        <v>#15972</v>
      </c>
      <c r="B2123" s="93" t="str">
        <f>IF(COUNTIF(MAIN!B:B, A2123)=0, "Missing", "")</f>
        <v/>
      </c>
      <c r="C2123" s="128"/>
      <c r="E2123" s="128" t="str">
        <f t="shared" si="1"/>
        <v/>
      </c>
    </row>
    <row r="2124">
      <c r="A2124" s="93" t="str">
        <f t="shared" si="2"/>
        <v>#15973</v>
      </c>
      <c r="B2124" s="93" t="str">
        <f>IF(COUNTIF(MAIN!B:B, A2124)=0, "Missing", "")</f>
        <v/>
      </c>
      <c r="C2124" s="128"/>
      <c r="E2124" s="128" t="str">
        <f t="shared" si="1"/>
        <v/>
      </c>
    </row>
    <row r="2125">
      <c r="A2125" s="93" t="str">
        <f t="shared" si="2"/>
        <v>#15974</v>
      </c>
      <c r="B2125" s="93" t="str">
        <f>IF(COUNTIF(MAIN!B:B, A2125)=0, "Missing", "")</f>
        <v/>
      </c>
      <c r="C2125" s="128"/>
      <c r="E2125" s="128" t="str">
        <f t="shared" si="1"/>
        <v/>
      </c>
    </row>
    <row r="2126">
      <c r="A2126" s="93" t="str">
        <f t="shared" si="2"/>
        <v>#15975</v>
      </c>
      <c r="B2126" s="93" t="str">
        <f>IF(COUNTIF(MAIN!B:B, A2126)=0, "Missing", "")</f>
        <v/>
      </c>
      <c r="C2126" s="128"/>
      <c r="E2126" s="128" t="str">
        <f t="shared" si="1"/>
        <v/>
      </c>
    </row>
    <row r="2127">
      <c r="A2127" s="93" t="str">
        <f t="shared" si="2"/>
        <v>#15976</v>
      </c>
      <c r="B2127" s="93" t="str">
        <f>IF(COUNTIF(MAIN!B:B, A2127)=0, "Missing", "")</f>
        <v/>
      </c>
      <c r="C2127" s="128"/>
      <c r="E2127" s="128" t="str">
        <f t="shared" si="1"/>
        <v/>
      </c>
    </row>
    <row r="2128">
      <c r="A2128" s="93" t="str">
        <f t="shared" si="2"/>
        <v>#15977</v>
      </c>
      <c r="B2128" s="93" t="str">
        <f>IF(COUNTIF(MAIN!B:B, A2128)=0, "Missing", "")</f>
        <v/>
      </c>
      <c r="C2128" s="128"/>
      <c r="E2128" s="128" t="str">
        <f t="shared" si="1"/>
        <v/>
      </c>
    </row>
    <row r="2129">
      <c r="A2129" s="93" t="str">
        <f t="shared" si="2"/>
        <v>#15978</v>
      </c>
      <c r="B2129" s="93" t="str">
        <f>IF(COUNTIF(MAIN!B:B, A2129)=0, "Missing", "")</f>
        <v/>
      </c>
      <c r="C2129" s="128"/>
      <c r="E2129" s="128" t="str">
        <f t="shared" si="1"/>
        <v/>
      </c>
    </row>
    <row r="2130">
      <c r="A2130" s="93" t="str">
        <f t="shared" si="2"/>
        <v>#15979</v>
      </c>
      <c r="B2130" s="93" t="str">
        <f>IF(COUNTIF(MAIN!B:B, A2130)=0, "Missing", "")</f>
        <v/>
      </c>
      <c r="C2130" s="128"/>
      <c r="E2130" s="128" t="str">
        <f t="shared" si="1"/>
        <v/>
      </c>
    </row>
    <row r="2131">
      <c r="A2131" s="93" t="str">
        <f t="shared" si="2"/>
        <v>#15980</v>
      </c>
      <c r="B2131" s="93" t="str">
        <f>IF(COUNTIF(MAIN!B:B, A2131)=0, "Missing", "")</f>
        <v/>
      </c>
      <c r="C2131" s="128"/>
      <c r="E2131" s="128" t="str">
        <f t="shared" si="1"/>
        <v/>
      </c>
    </row>
    <row r="2132">
      <c r="A2132" s="93" t="str">
        <f t="shared" si="2"/>
        <v>#15981</v>
      </c>
      <c r="B2132" s="93" t="str">
        <f>IF(COUNTIF(MAIN!B:B, A2132)=0, "Missing", "")</f>
        <v/>
      </c>
      <c r="C2132" s="128"/>
      <c r="E2132" s="128" t="str">
        <f t="shared" si="1"/>
        <v/>
      </c>
    </row>
    <row r="2133">
      <c r="A2133" s="93" t="str">
        <f t="shared" si="2"/>
        <v>#15982</v>
      </c>
      <c r="B2133" s="93" t="str">
        <f>IF(COUNTIF(MAIN!B:B, A2133)=0, "Missing", "")</f>
        <v/>
      </c>
      <c r="C2133" s="128"/>
      <c r="E2133" s="128" t="str">
        <f t="shared" si="1"/>
        <v/>
      </c>
    </row>
    <row r="2134">
      <c r="A2134" s="93" t="str">
        <f t="shared" si="2"/>
        <v>#15983</v>
      </c>
      <c r="B2134" s="93" t="str">
        <f>IF(COUNTIF(MAIN!B:B, A2134)=0, "Missing", "")</f>
        <v/>
      </c>
      <c r="C2134" s="128"/>
      <c r="E2134" s="128" t="str">
        <f t="shared" si="1"/>
        <v/>
      </c>
    </row>
    <row r="2135">
      <c r="A2135" s="93" t="str">
        <f t="shared" si="2"/>
        <v>#15984</v>
      </c>
      <c r="B2135" s="93" t="str">
        <f>IF(COUNTIF(MAIN!B:B, A2135)=0, "Missing", "")</f>
        <v/>
      </c>
      <c r="C2135" s="128"/>
      <c r="E2135" s="128" t="str">
        <f t="shared" si="1"/>
        <v/>
      </c>
    </row>
    <row r="2136">
      <c r="A2136" s="93" t="str">
        <f t="shared" si="2"/>
        <v>#15985</v>
      </c>
      <c r="B2136" s="93" t="str">
        <f>IF(COUNTIF(MAIN!B:B, A2136)=0, "Missing", "")</f>
        <v/>
      </c>
      <c r="C2136" s="128"/>
      <c r="E2136" s="128" t="str">
        <f t="shared" si="1"/>
        <v/>
      </c>
    </row>
    <row r="2137">
      <c r="A2137" s="93" t="str">
        <f t="shared" si="2"/>
        <v>#15986</v>
      </c>
      <c r="B2137" s="93" t="str">
        <f>IF(COUNTIF(MAIN!B:B, A2137)=0, "Missing", "")</f>
        <v/>
      </c>
      <c r="C2137" s="128"/>
      <c r="E2137" s="128" t="str">
        <f t="shared" si="1"/>
        <v/>
      </c>
    </row>
    <row r="2138">
      <c r="A2138" s="93" t="str">
        <f t="shared" si="2"/>
        <v>#15987</v>
      </c>
      <c r="B2138" s="93" t="str">
        <f>IF(COUNTIF(MAIN!B:B, A2138)=0, "Missing", "")</f>
        <v/>
      </c>
      <c r="C2138" s="128"/>
      <c r="E2138" s="128" t="str">
        <f t="shared" si="1"/>
        <v/>
      </c>
    </row>
    <row r="2139">
      <c r="A2139" s="93" t="str">
        <f t="shared" si="2"/>
        <v>#15988</v>
      </c>
      <c r="B2139" s="93" t="str">
        <f>IF(COUNTIF(MAIN!B:B, A2139)=0, "Missing", "")</f>
        <v/>
      </c>
      <c r="C2139" s="128"/>
      <c r="E2139" s="128" t="str">
        <f t="shared" si="1"/>
        <v/>
      </c>
    </row>
    <row r="2140">
      <c r="A2140" s="93" t="str">
        <f t="shared" si="2"/>
        <v>#15989</v>
      </c>
      <c r="B2140" s="93" t="str">
        <f>IF(COUNTIF(MAIN!B:B, A2140)=0, "Missing", "")</f>
        <v/>
      </c>
      <c r="C2140" s="128"/>
      <c r="E2140" s="128" t="str">
        <f t="shared" si="1"/>
        <v/>
      </c>
    </row>
    <row r="2141">
      <c r="A2141" s="93" t="str">
        <f t="shared" si="2"/>
        <v>#15990</v>
      </c>
      <c r="B2141" s="93" t="str">
        <f>IF(COUNTIF(MAIN!B:B, A2141)=0, "Missing", "")</f>
        <v/>
      </c>
      <c r="C2141" s="128"/>
      <c r="E2141" s="128" t="str">
        <f t="shared" si="1"/>
        <v/>
      </c>
    </row>
    <row r="2142">
      <c r="A2142" s="93" t="str">
        <f t="shared" si="2"/>
        <v>#15991</v>
      </c>
      <c r="B2142" s="93" t="str">
        <f>IF(COUNTIF(MAIN!B:B, A2142)=0, "Missing", "")</f>
        <v/>
      </c>
      <c r="C2142" s="128"/>
      <c r="E2142" s="128" t="str">
        <f t="shared" si="1"/>
        <v/>
      </c>
    </row>
    <row r="2143">
      <c r="A2143" s="93" t="str">
        <f t="shared" si="2"/>
        <v>#15992</v>
      </c>
      <c r="B2143" s="93" t="str">
        <f>IF(COUNTIF(MAIN!B:B, A2143)=0, "Missing", "")</f>
        <v/>
      </c>
      <c r="C2143" s="128"/>
      <c r="E2143" s="128" t="str">
        <f t="shared" si="1"/>
        <v/>
      </c>
    </row>
    <row r="2144">
      <c r="A2144" s="93" t="str">
        <f t="shared" si="2"/>
        <v>#15993</v>
      </c>
      <c r="B2144" s="93" t="str">
        <f>IF(COUNTIF(MAIN!B:B, A2144)=0, "Missing", "")</f>
        <v/>
      </c>
      <c r="C2144" s="128"/>
      <c r="E2144" s="128" t="str">
        <f t="shared" si="1"/>
        <v/>
      </c>
    </row>
    <row r="2145">
      <c r="A2145" s="93" t="str">
        <f t="shared" si="2"/>
        <v>#15994</v>
      </c>
      <c r="B2145" s="93" t="str">
        <f>IF(COUNTIF(MAIN!B:B, A2145)=0, "Missing", "")</f>
        <v/>
      </c>
      <c r="C2145" s="128"/>
      <c r="E2145" s="128" t="str">
        <f t="shared" si="1"/>
        <v/>
      </c>
    </row>
    <row r="2146">
      <c r="A2146" s="93" t="str">
        <f t="shared" si="2"/>
        <v>#15995</v>
      </c>
      <c r="B2146" s="93" t="str">
        <f>IF(COUNTIF(MAIN!B:B, A2146)=0, "Missing", "")</f>
        <v/>
      </c>
      <c r="C2146" s="128"/>
      <c r="E2146" s="128" t="str">
        <f t="shared" si="1"/>
        <v/>
      </c>
    </row>
    <row r="2147">
      <c r="A2147" s="93" t="str">
        <f t="shared" si="2"/>
        <v>#15996</v>
      </c>
      <c r="B2147" s="93" t="str">
        <f>IF(COUNTIF(MAIN!B:B, A2147)=0, "Missing", "")</f>
        <v/>
      </c>
      <c r="C2147" s="128"/>
      <c r="E2147" s="128" t="str">
        <f t="shared" si="1"/>
        <v/>
      </c>
    </row>
    <row r="2148">
      <c r="A2148" s="93" t="str">
        <f t="shared" si="2"/>
        <v>#15997</v>
      </c>
      <c r="B2148" s="93" t="str">
        <f>IF(COUNTIF(MAIN!B:B, A2148)=0, "Missing", "")</f>
        <v/>
      </c>
      <c r="C2148" s="128"/>
      <c r="E2148" s="128" t="str">
        <f t="shared" si="1"/>
        <v/>
      </c>
    </row>
    <row r="2149">
      <c r="A2149" s="93" t="str">
        <f t="shared" si="2"/>
        <v>#15998</v>
      </c>
      <c r="B2149" s="93" t="str">
        <f>IF(COUNTIF(MAIN!B:B, A2149)=0, "Missing", "")</f>
        <v/>
      </c>
      <c r="C2149" s="128"/>
      <c r="E2149" s="128" t="str">
        <f t="shared" si="1"/>
        <v/>
      </c>
    </row>
    <row r="2150">
      <c r="A2150" s="93" t="str">
        <f t="shared" si="2"/>
        <v>#15999</v>
      </c>
      <c r="B2150" s="93" t="str">
        <f>IF(COUNTIF(MAIN!B:B, A2150)=0, "Missing", "")</f>
        <v/>
      </c>
      <c r="C2150" s="128"/>
      <c r="E2150" s="128" t="str">
        <f t="shared" si="1"/>
        <v/>
      </c>
    </row>
    <row r="2151">
      <c r="A2151" s="93" t="str">
        <f t="shared" si="2"/>
        <v>#16000</v>
      </c>
      <c r="B2151" s="93" t="str">
        <f>IF(COUNTIF(MAIN!B:B, A2151)=0, "Missing", "")</f>
        <v/>
      </c>
      <c r="C2151" s="128"/>
      <c r="E2151" s="128" t="str">
        <f t="shared" si="1"/>
        <v/>
      </c>
    </row>
    <row r="2152">
      <c r="A2152" s="93" t="str">
        <f t="shared" si="2"/>
        <v>#16001</v>
      </c>
      <c r="B2152" s="93" t="str">
        <f>IF(COUNTIF(MAIN!B:B, A2152)=0, "Missing", "")</f>
        <v/>
      </c>
      <c r="C2152" s="128"/>
      <c r="E2152" s="128" t="str">
        <f t="shared" si="1"/>
        <v/>
      </c>
    </row>
    <row r="2153">
      <c r="A2153" s="93" t="str">
        <f t="shared" si="2"/>
        <v>#16002</v>
      </c>
      <c r="B2153" s="93" t="str">
        <f>IF(COUNTIF(MAIN!B:B, A2153)=0, "Missing", "")</f>
        <v/>
      </c>
      <c r="C2153" s="128"/>
      <c r="E2153" s="128" t="str">
        <f t="shared" si="1"/>
        <v/>
      </c>
    </row>
    <row r="2154">
      <c r="A2154" s="93" t="str">
        <f t="shared" si="2"/>
        <v>#16003</v>
      </c>
      <c r="B2154" s="93" t="str">
        <f>IF(COUNTIF(MAIN!B:B, A2154)=0, "Missing", "")</f>
        <v/>
      </c>
      <c r="C2154" s="128"/>
      <c r="E2154" s="128" t="str">
        <f t="shared" si="1"/>
        <v/>
      </c>
    </row>
    <row r="2155">
      <c r="A2155" s="93" t="str">
        <f t="shared" si="2"/>
        <v>#16004</v>
      </c>
      <c r="B2155" s="93" t="str">
        <f>IF(COUNTIF(MAIN!B:B, A2155)=0, "Missing", "")</f>
        <v/>
      </c>
      <c r="C2155" s="128"/>
      <c r="E2155" s="128" t="str">
        <f t="shared" si="1"/>
        <v/>
      </c>
    </row>
    <row r="2156">
      <c r="A2156" s="93" t="str">
        <f t="shared" si="2"/>
        <v>#16005</v>
      </c>
      <c r="B2156" s="93" t="str">
        <f>IF(COUNTIF(MAIN!B:B, A2156)=0, "Missing", "")</f>
        <v/>
      </c>
      <c r="C2156" s="128"/>
      <c r="E2156" s="128" t="str">
        <f t="shared" si="1"/>
        <v/>
      </c>
    </row>
    <row r="2157">
      <c r="A2157" s="93" t="str">
        <f t="shared" si="2"/>
        <v>#16006</v>
      </c>
      <c r="B2157" s="93" t="str">
        <f>IF(COUNTIF(MAIN!B:B, A2157)=0, "Missing", "")</f>
        <v/>
      </c>
      <c r="C2157" s="128"/>
      <c r="E2157" s="128" t="str">
        <f t="shared" si="1"/>
        <v/>
      </c>
    </row>
    <row r="2158">
      <c r="A2158" s="93" t="str">
        <f t="shared" si="2"/>
        <v>#16007</v>
      </c>
      <c r="B2158" s="93" t="str">
        <f>IF(COUNTIF(MAIN!B:B, A2158)=0, "Missing", "")</f>
        <v/>
      </c>
      <c r="C2158" s="128"/>
      <c r="E2158" s="128" t="str">
        <f t="shared" si="1"/>
        <v/>
      </c>
    </row>
    <row r="2159">
      <c r="A2159" s="93" t="str">
        <f t="shared" si="2"/>
        <v>#16008</v>
      </c>
      <c r="B2159" s="93" t="str">
        <f>IF(COUNTIF(MAIN!B:B, A2159)=0, "Missing", "")</f>
        <v/>
      </c>
      <c r="C2159" s="128"/>
      <c r="E2159" s="128" t="str">
        <f t="shared" si="1"/>
        <v/>
      </c>
    </row>
    <row r="2160">
      <c r="A2160" s="93" t="str">
        <f t="shared" si="2"/>
        <v>#16009</v>
      </c>
      <c r="B2160" s="93" t="str">
        <f>IF(COUNTIF(MAIN!B:B, A2160)=0, "Missing", "")</f>
        <v/>
      </c>
      <c r="C2160" s="128"/>
      <c r="E2160" s="128" t="str">
        <f t="shared" si="1"/>
        <v/>
      </c>
    </row>
    <row r="2161">
      <c r="A2161" s="93" t="str">
        <f t="shared" si="2"/>
        <v>#16010</v>
      </c>
      <c r="B2161" s="93" t="str">
        <f>IF(COUNTIF(MAIN!B:B, A2161)=0, "Missing", "")</f>
        <v/>
      </c>
      <c r="C2161" s="128"/>
      <c r="E2161" s="128" t="str">
        <f t="shared" si="1"/>
        <v/>
      </c>
    </row>
    <row r="2162">
      <c r="A2162" s="93" t="str">
        <f t="shared" si="2"/>
        <v>#16011</v>
      </c>
      <c r="B2162" s="93" t="str">
        <f>IF(COUNTIF(MAIN!B:B, A2162)=0, "Missing", "")</f>
        <v/>
      </c>
      <c r="C2162" s="128"/>
      <c r="E2162" s="128" t="str">
        <f t="shared" si="1"/>
        <v/>
      </c>
    </row>
    <row r="2163">
      <c r="A2163" s="93" t="str">
        <f t="shared" si="2"/>
        <v>#16012</v>
      </c>
      <c r="B2163" s="93" t="str">
        <f>IF(COUNTIF(MAIN!B:B, A2163)=0, "Missing", "")</f>
        <v/>
      </c>
      <c r="C2163" s="128"/>
      <c r="E2163" s="128" t="str">
        <f t="shared" si="1"/>
        <v/>
      </c>
    </row>
    <row r="2164">
      <c r="A2164" s="93" t="str">
        <f t="shared" si="2"/>
        <v>#16013</v>
      </c>
      <c r="B2164" s="93" t="str">
        <f>IF(COUNTIF(MAIN!B:B, A2164)=0, "Missing", "")</f>
        <v/>
      </c>
      <c r="C2164" s="128"/>
      <c r="E2164" s="128" t="str">
        <f t="shared" si="1"/>
        <v/>
      </c>
    </row>
    <row r="2165">
      <c r="A2165" s="93" t="str">
        <f t="shared" si="2"/>
        <v>#16014</v>
      </c>
      <c r="B2165" s="93" t="str">
        <f>IF(COUNTIF(MAIN!B:B, A2165)=0, "Missing", "")</f>
        <v/>
      </c>
      <c r="C2165" s="128"/>
      <c r="E2165" s="128" t="str">
        <f t="shared" si="1"/>
        <v/>
      </c>
    </row>
    <row r="2166">
      <c r="A2166" s="93" t="str">
        <f t="shared" si="2"/>
        <v>#16015</v>
      </c>
      <c r="B2166" s="93" t="str">
        <f>IF(COUNTIF(MAIN!B:B, A2166)=0, "Missing", "")</f>
        <v/>
      </c>
      <c r="C2166" s="128"/>
      <c r="E2166" s="128" t="str">
        <f t="shared" si="1"/>
        <v/>
      </c>
    </row>
    <row r="2167">
      <c r="A2167" s="93" t="str">
        <f t="shared" si="2"/>
        <v>#16016</v>
      </c>
      <c r="B2167" s="93" t="str">
        <f>IF(COUNTIF(MAIN!B:B, A2167)=0, "Missing", "")</f>
        <v/>
      </c>
      <c r="C2167" s="128"/>
      <c r="E2167" s="128" t="str">
        <f t="shared" si="1"/>
        <v/>
      </c>
    </row>
    <row r="2168">
      <c r="A2168" s="93" t="str">
        <f t="shared" si="2"/>
        <v>#16017</v>
      </c>
      <c r="B2168" s="93" t="str">
        <f>IF(COUNTIF(MAIN!B:B, A2168)=0, "Missing", "")</f>
        <v/>
      </c>
      <c r="C2168" s="128"/>
      <c r="E2168" s="128" t="str">
        <f t="shared" si="1"/>
        <v/>
      </c>
    </row>
    <row r="2169">
      <c r="A2169" s="93" t="str">
        <f t="shared" si="2"/>
        <v>#16018</v>
      </c>
      <c r="B2169" s="93" t="str">
        <f>IF(COUNTIF(MAIN!B:B, A2169)=0, "Missing", "")</f>
        <v/>
      </c>
      <c r="C2169" s="128"/>
      <c r="E2169" s="128" t="str">
        <f t="shared" si="1"/>
        <v/>
      </c>
    </row>
    <row r="2170">
      <c r="A2170" s="93" t="str">
        <f t="shared" si="2"/>
        <v>#16019</v>
      </c>
      <c r="B2170" s="93" t="str">
        <f>IF(COUNTIF(MAIN!B:B, A2170)=0, "Missing", "")</f>
        <v/>
      </c>
      <c r="C2170" s="128"/>
      <c r="E2170" s="128" t="str">
        <f t="shared" si="1"/>
        <v/>
      </c>
    </row>
    <row r="2171">
      <c r="A2171" s="93" t="str">
        <f t="shared" si="2"/>
        <v>#16020</v>
      </c>
      <c r="B2171" s="93" t="str">
        <f>IF(COUNTIF(MAIN!B:B, A2171)=0, "Missing", "")</f>
        <v/>
      </c>
      <c r="C2171" s="128"/>
      <c r="E2171" s="128" t="str">
        <f t="shared" si="1"/>
        <v/>
      </c>
    </row>
    <row r="2172">
      <c r="A2172" s="93" t="str">
        <f t="shared" si="2"/>
        <v>#16021</v>
      </c>
      <c r="B2172" s="93" t="str">
        <f>IF(COUNTIF(MAIN!B:B, A2172)=0, "Missing", "")</f>
        <v/>
      </c>
      <c r="C2172" s="128"/>
      <c r="E2172" s="128" t="str">
        <f t="shared" si="1"/>
        <v/>
      </c>
    </row>
    <row r="2173">
      <c r="A2173" s="93" t="str">
        <f t="shared" si="2"/>
        <v>#16022</v>
      </c>
      <c r="B2173" s="93" t="str">
        <f>IF(COUNTIF(MAIN!B:B, A2173)=0, "Missing", "")</f>
        <v/>
      </c>
      <c r="C2173" s="128"/>
      <c r="E2173" s="128" t="str">
        <f t="shared" si="1"/>
        <v/>
      </c>
    </row>
    <row r="2174">
      <c r="A2174" s="93" t="str">
        <f t="shared" si="2"/>
        <v>#16023</v>
      </c>
      <c r="B2174" s="93" t="str">
        <f>IF(COUNTIF(MAIN!B:B, A2174)=0, "Missing", "")</f>
        <v/>
      </c>
      <c r="C2174" s="128"/>
      <c r="E2174" s="128" t="str">
        <f t="shared" si="1"/>
        <v/>
      </c>
    </row>
    <row r="2175">
      <c r="A2175" s="93" t="str">
        <f t="shared" si="2"/>
        <v>#16024</v>
      </c>
      <c r="B2175" s="93" t="str">
        <f>IF(COUNTIF(MAIN!B:B, A2175)=0, "Missing", "")</f>
        <v/>
      </c>
      <c r="C2175" s="128"/>
      <c r="E2175" s="128" t="str">
        <f t="shared" si="1"/>
        <v/>
      </c>
    </row>
    <row r="2176">
      <c r="A2176" s="93" t="str">
        <f t="shared" si="2"/>
        <v>#16025</v>
      </c>
      <c r="B2176" s="93" t="str">
        <f>IF(COUNTIF(MAIN!B:B, A2176)=0, "Missing", "")</f>
        <v/>
      </c>
      <c r="C2176" s="128"/>
      <c r="E2176" s="128" t="str">
        <f t="shared" si="1"/>
        <v/>
      </c>
    </row>
    <row r="2177">
      <c r="A2177" s="93" t="str">
        <f t="shared" si="2"/>
        <v>#16026</v>
      </c>
      <c r="B2177" s="93" t="str">
        <f>IF(COUNTIF(MAIN!B:B, A2177)=0, "Missing", "")</f>
        <v/>
      </c>
      <c r="C2177" s="128"/>
      <c r="E2177" s="128" t="str">
        <f t="shared" si="1"/>
        <v/>
      </c>
    </row>
    <row r="2178">
      <c r="A2178" s="93" t="str">
        <f t="shared" si="2"/>
        <v>#16027</v>
      </c>
      <c r="B2178" s="93" t="str">
        <f>IF(COUNTIF(MAIN!B:B, A2178)=0, "Missing", "")</f>
        <v/>
      </c>
      <c r="C2178" s="128"/>
      <c r="E2178" s="128" t="str">
        <f t="shared" si="1"/>
        <v/>
      </c>
    </row>
    <row r="2179">
      <c r="A2179" s="93" t="str">
        <f t="shared" si="2"/>
        <v>#16028</v>
      </c>
      <c r="B2179" s="93" t="str">
        <f>IF(COUNTIF(MAIN!B:B, A2179)=0, "Missing", "")</f>
        <v/>
      </c>
      <c r="C2179" s="128"/>
      <c r="E2179" s="128" t="str">
        <f t="shared" si="1"/>
        <v/>
      </c>
    </row>
    <row r="2180">
      <c r="A2180" s="93" t="str">
        <f t="shared" si="2"/>
        <v>#16029</v>
      </c>
      <c r="B2180" s="93" t="str">
        <f>IF(COUNTIF(MAIN!B:B, A2180)=0, "Missing", "")</f>
        <v/>
      </c>
      <c r="C2180" s="128"/>
      <c r="E2180" s="128" t="str">
        <f t="shared" si="1"/>
        <v/>
      </c>
    </row>
    <row r="2181">
      <c r="A2181" s="93" t="str">
        <f t="shared" si="2"/>
        <v>#16030</v>
      </c>
      <c r="B2181" s="93" t="str">
        <f>IF(COUNTIF(MAIN!B:B, A2181)=0, "Missing", "")</f>
        <v/>
      </c>
      <c r="C2181" s="128"/>
      <c r="E2181" s="128" t="str">
        <f t="shared" si="1"/>
        <v/>
      </c>
    </row>
    <row r="2182">
      <c r="A2182" s="93" t="str">
        <f t="shared" si="2"/>
        <v>#16031</v>
      </c>
      <c r="B2182" s="93" t="str">
        <f>IF(COUNTIF(MAIN!B:B, A2182)=0, "Missing", "")</f>
        <v/>
      </c>
      <c r="C2182" s="128"/>
      <c r="E2182" s="128" t="str">
        <f t="shared" si="1"/>
        <v/>
      </c>
    </row>
    <row r="2183">
      <c r="A2183" s="93" t="str">
        <f t="shared" si="2"/>
        <v>#16032</v>
      </c>
      <c r="B2183" s="93" t="str">
        <f>IF(COUNTIF(MAIN!B:B, A2183)=0, "Missing", "")</f>
        <v/>
      </c>
      <c r="C2183" s="128"/>
      <c r="E2183" s="128" t="str">
        <f t="shared" si="1"/>
        <v/>
      </c>
    </row>
    <row r="2184">
      <c r="A2184" s="93" t="str">
        <f t="shared" si="2"/>
        <v>#16033</v>
      </c>
      <c r="B2184" s="93" t="str">
        <f>IF(COUNTIF(MAIN!B:B, A2184)=0, "Missing", "")</f>
        <v/>
      </c>
      <c r="C2184" s="128"/>
      <c r="E2184" s="128" t="str">
        <f t="shared" si="1"/>
        <v/>
      </c>
    </row>
    <row r="2185">
      <c r="A2185" s="93" t="str">
        <f t="shared" si="2"/>
        <v>#16034</v>
      </c>
      <c r="B2185" s="93" t="str">
        <f>IF(COUNTIF(MAIN!B:B, A2185)=0, "Missing", "")</f>
        <v/>
      </c>
      <c r="C2185" s="128"/>
      <c r="E2185" s="128" t="str">
        <f t="shared" si="1"/>
        <v/>
      </c>
    </row>
    <row r="2186">
      <c r="A2186" s="93" t="str">
        <f t="shared" si="2"/>
        <v>#16035</v>
      </c>
      <c r="B2186" s="93" t="str">
        <f>IF(COUNTIF(MAIN!B:B, A2186)=0, "Missing", "")</f>
        <v/>
      </c>
      <c r="C2186" s="128"/>
      <c r="E2186" s="128" t="str">
        <f t="shared" si="1"/>
        <v/>
      </c>
    </row>
    <row r="2187">
      <c r="A2187" s="93" t="str">
        <f t="shared" si="2"/>
        <v>#16036</v>
      </c>
      <c r="B2187" s="93" t="str">
        <f>IF(COUNTIF(MAIN!B:B, A2187)=0, "Missing", "")</f>
        <v/>
      </c>
      <c r="C2187" s="128"/>
      <c r="E2187" s="128" t="str">
        <f t="shared" si="1"/>
        <v/>
      </c>
    </row>
    <row r="2188">
      <c r="A2188" s="93" t="str">
        <f t="shared" si="2"/>
        <v>#16037</v>
      </c>
      <c r="B2188" s="93" t="str">
        <f>IF(COUNTIF(MAIN!B:B, A2188)=0, "Missing", "")</f>
        <v/>
      </c>
      <c r="C2188" s="128"/>
      <c r="E2188" s="128" t="str">
        <f t="shared" si="1"/>
        <v/>
      </c>
    </row>
    <row r="2189">
      <c r="A2189" s="93" t="str">
        <f t="shared" si="2"/>
        <v>#16038</v>
      </c>
      <c r="B2189" s="93" t="str">
        <f>IF(COUNTIF(MAIN!B:B, A2189)=0, "Missing", "")</f>
        <v/>
      </c>
      <c r="C2189" s="128"/>
      <c r="E2189" s="128" t="str">
        <f t="shared" si="1"/>
        <v/>
      </c>
    </row>
    <row r="2190">
      <c r="A2190" s="93" t="str">
        <f t="shared" si="2"/>
        <v>#16039</v>
      </c>
      <c r="B2190" s="93" t="str">
        <f>IF(COUNTIF(MAIN!B:B, A2190)=0, "Missing", "")</f>
        <v/>
      </c>
      <c r="C2190" s="128"/>
      <c r="E2190" s="128" t="str">
        <f t="shared" si="1"/>
        <v/>
      </c>
    </row>
    <row r="2191">
      <c r="A2191" s="93" t="str">
        <f t="shared" si="2"/>
        <v>#16040</v>
      </c>
      <c r="B2191" s="93" t="str">
        <f>IF(COUNTIF(MAIN!B:B, A2191)=0, "Missing", "")</f>
        <v/>
      </c>
      <c r="C2191" s="128"/>
      <c r="E2191" s="128" t="str">
        <f t="shared" si="1"/>
        <v/>
      </c>
    </row>
    <row r="2192">
      <c r="A2192" s="93" t="str">
        <f t="shared" si="2"/>
        <v>#16041</v>
      </c>
      <c r="B2192" s="93" t="str">
        <f>IF(COUNTIF(MAIN!B:B, A2192)=0, "Missing", "")</f>
        <v/>
      </c>
      <c r="C2192" s="128"/>
      <c r="E2192" s="128" t="str">
        <f t="shared" si="1"/>
        <v/>
      </c>
    </row>
    <row r="2193">
      <c r="A2193" s="93" t="str">
        <f t="shared" si="2"/>
        <v>#16042</v>
      </c>
      <c r="B2193" s="93" t="str">
        <f>IF(COUNTIF(MAIN!B:B, A2193)=0, "Missing", "")</f>
        <v/>
      </c>
      <c r="C2193" s="128"/>
      <c r="E2193" s="128" t="str">
        <f t="shared" si="1"/>
        <v/>
      </c>
    </row>
    <row r="2194">
      <c r="A2194" s="93" t="str">
        <f t="shared" si="2"/>
        <v>#16043</v>
      </c>
      <c r="B2194" s="93" t="str">
        <f>IF(COUNTIF(MAIN!B:B, A2194)=0, "Missing", "")</f>
        <v/>
      </c>
      <c r="C2194" s="128"/>
      <c r="E2194" s="128" t="str">
        <f t="shared" si="1"/>
        <v/>
      </c>
    </row>
    <row r="2195">
      <c r="A2195" s="93" t="str">
        <f t="shared" si="2"/>
        <v>#16044</v>
      </c>
      <c r="B2195" s="93" t="str">
        <f>IF(COUNTIF(MAIN!B:B, A2195)=0, "Missing", "")</f>
        <v/>
      </c>
      <c r="C2195" s="128"/>
      <c r="E2195" s="128" t="str">
        <f t="shared" si="1"/>
        <v/>
      </c>
    </row>
    <row r="2196">
      <c r="A2196" s="93" t="str">
        <f t="shared" si="2"/>
        <v>#16045</v>
      </c>
      <c r="B2196" s="93" t="str">
        <f>IF(COUNTIF(MAIN!B:B, A2196)=0, "Missing", "")</f>
        <v/>
      </c>
      <c r="C2196" s="128"/>
      <c r="E2196" s="128" t="str">
        <f t="shared" si="1"/>
        <v/>
      </c>
    </row>
    <row r="2197">
      <c r="A2197" s="93" t="str">
        <f t="shared" si="2"/>
        <v>#16046</v>
      </c>
      <c r="B2197" s="93" t="str">
        <f>IF(COUNTIF(MAIN!B:B, A2197)=0, "Missing", "")</f>
        <v/>
      </c>
      <c r="C2197" s="128"/>
      <c r="E2197" s="128" t="str">
        <f t="shared" si="1"/>
        <v/>
      </c>
    </row>
    <row r="2198">
      <c r="A2198" s="93" t="str">
        <f t="shared" si="2"/>
        <v>#16047</v>
      </c>
      <c r="B2198" s="93" t="str">
        <f>IF(COUNTIF(MAIN!B:B, A2198)=0, "Missing", "")</f>
        <v/>
      </c>
      <c r="C2198" s="128"/>
      <c r="E2198" s="128" t="str">
        <f t="shared" si="1"/>
        <v/>
      </c>
    </row>
    <row r="2199">
      <c r="A2199" s="93" t="str">
        <f t="shared" si="2"/>
        <v>#16048</v>
      </c>
      <c r="B2199" s="93" t="str">
        <f>IF(COUNTIF(MAIN!B:B, A2199)=0, "Missing", "")</f>
        <v/>
      </c>
      <c r="C2199" s="128"/>
      <c r="E2199" s="128" t="str">
        <f t="shared" si="1"/>
        <v/>
      </c>
    </row>
    <row r="2200">
      <c r="A2200" s="93" t="str">
        <f t="shared" si="2"/>
        <v>#16049</v>
      </c>
      <c r="B2200" s="93" t="str">
        <f>IF(COUNTIF(MAIN!B:B, A2200)=0, "Missing", "")</f>
        <v/>
      </c>
      <c r="C2200" s="128"/>
      <c r="E2200" s="128" t="str">
        <f t="shared" si="1"/>
        <v/>
      </c>
    </row>
    <row r="2201">
      <c r="A2201" s="93" t="str">
        <f t="shared" si="2"/>
        <v>#16050</v>
      </c>
      <c r="B2201" s="93" t="str">
        <f>IF(COUNTIF(MAIN!B:B, A2201)=0, "Missing", "")</f>
        <v/>
      </c>
      <c r="C2201" s="128"/>
      <c r="E2201" s="128" t="str">
        <f t="shared" si="1"/>
        <v/>
      </c>
    </row>
    <row r="2202">
      <c r="A2202" s="93" t="str">
        <f t="shared" si="2"/>
        <v>#16051</v>
      </c>
      <c r="B2202" s="93" t="str">
        <f>IF(COUNTIF(MAIN!B:B, A2202)=0, "Missing", "")</f>
        <v/>
      </c>
      <c r="C2202" s="128"/>
      <c r="E2202" s="128" t="str">
        <f t="shared" si="1"/>
        <v/>
      </c>
    </row>
    <row r="2203">
      <c r="A2203" s="93" t="str">
        <f t="shared" si="2"/>
        <v>#16052</v>
      </c>
      <c r="B2203" s="93" t="str">
        <f>IF(COUNTIF(MAIN!B:B, A2203)=0, "Missing", "")</f>
        <v/>
      </c>
      <c r="C2203" s="128"/>
      <c r="E2203" s="128" t="str">
        <f t="shared" si="1"/>
        <v/>
      </c>
    </row>
    <row r="2204">
      <c r="A2204" s="93" t="str">
        <f t="shared" si="2"/>
        <v>#16053</v>
      </c>
      <c r="B2204" s="93" t="str">
        <f>IF(COUNTIF(MAIN!B:B, A2204)=0, "Missing", "")</f>
        <v/>
      </c>
      <c r="C2204" s="128"/>
      <c r="E2204" s="128" t="str">
        <f t="shared" si="1"/>
        <v/>
      </c>
    </row>
    <row r="2205">
      <c r="A2205" s="93" t="str">
        <f t="shared" si="2"/>
        <v>#16054</v>
      </c>
      <c r="B2205" s="93" t="str">
        <f>IF(COUNTIF(MAIN!B:B, A2205)=0, "Missing", "")</f>
        <v/>
      </c>
      <c r="C2205" s="128"/>
      <c r="E2205" s="128" t="str">
        <f t="shared" si="1"/>
        <v/>
      </c>
    </row>
    <row r="2206">
      <c r="A2206" s="93" t="str">
        <f t="shared" si="2"/>
        <v>#16055</v>
      </c>
      <c r="B2206" s="93" t="str">
        <f>IF(COUNTIF(MAIN!B:B, A2206)=0, "Missing", "")</f>
        <v/>
      </c>
      <c r="C2206" s="128"/>
      <c r="E2206" s="128" t="str">
        <f t="shared" si="1"/>
        <v/>
      </c>
    </row>
    <row r="2207">
      <c r="A2207" s="93" t="str">
        <f t="shared" si="2"/>
        <v>#16056</v>
      </c>
      <c r="B2207" s="93" t="str">
        <f>IF(COUNTIF(MAIN!B:B, A2207)=0, "Missing", "")</f>
        <v/>
      </c>
      <c r="C2207" s="128"/>
      <c r="E2207" s="128" t="str">
        <f t="shared" si="1"/>
        <v/>
      </c>
    </row>
    <row r="2208">
      <c r="A2208" s="93" t="str">
        <f t="shared" si="2"/>
        <v>#16057</v>
      </c>
      <c r="B2208" s="93" t="str">
        <f>IF(COUNTIF(MAIN!B:B, A2208)=0, "Missing", "")</f>
        <v/>
      </c>
      <c r="C2208" s="128"/>
      <c r="E2208" s="128" t="str">
        <f t="shared" si="1"/>
        <v/>
      </c>
    </row>
    <row r="2209">
      <c r="A2209" s="93" t="str">
        <f t="shared" si="2"/>
        <v>#16058</v>
      </c>
      <c r="B2209" s="93" t="str">
        <f>IF(COUNTIF(MAIN!B:B, A2209)=0, "Missing", "")</f>
        <v/>
      </c>
      <c r="C2209" s="128"/>
      <c r="E2209" s="128" t="str">
        <f t="shared" si="1"/>
        <v/>
      </c>
    </row>
    <row r="2210">
      <c r="A2210" s="93" t="str">
        <f t="shared" si="2"/>
        <v>#16059</v>
      </c>
      <c r="B2210" s="93" t="str">
        <f>IF(COUNTIF(MAIN!B:B, A2210)=0, "Missing", "")</f>
        <v/>
      </c>
      <c r="C2210" s="128"/>
      <c r="E2210" s="128" t="str">
        <f t="shared" si="1"/>
        <v/>
      </c>
    </row>
    <row r="2211">
      <c r="A2211" s="93" t="str">
        <f t="shared" si="2"/>
        <v>#16060</v>
      </c>
      <c r="B2211" s="93" t="str">
        <f>IF(COUNTIF(MAIN!B:B, A2211)=0, "Missing", "")</f>
        <v/>
      </c>
      <c r="C2211" s="128"/>
      <c r="E2211" s="128" t="str">
        <f t="shared" si="1"/>
        <v/>
      </c>
    </row>
    <row r="2212">
      <c r="A2212" s="93" t="str">
        <f t="shared" si="2"/>
        <v>#16061</v>
      </c>
      <c r="B2212" s="93" t="str">
        <f>IF(COUNTIF(MAIN!B:B, A2212)=0, "Missing", "")</f>
        <v/>
      </c>
      <c r="C2212" s="128"/>
      <c r="E2212" s="128" t="str">
        <f t="shared" si="1"/>
        <v/>
      </c>
    </row>
    <row r="2213">
      <c r="A2213" s="93" t="str">
        <f t="shared" si="2"/>
        <v>#16062</v>
      </c>
      <c r="B2213" s="93" t="str">
        <f>IF(COUNTIF(MAIN!B:B, A2213)=0, "Missing", "")</f>
        <v/>
      </c>
      <c r="C2213" s="128"/>
      <c r="E2213" s="128" t="str">
        <f t="shared" si="1"/>
        <v/>
      </c>
    </row>
    <row r="2214">
      <c r="A2214" s="93" t="str">
        <f t="shared" si="2"/>
        <v>#16063</v>
      </c>
      <c r="B2214" s="93" t="str">
        <f>IF(COUNTIF(MAIN!B:B, A2214)=0, "Missing", "")</f>
        <v/>
      </c>
      <c r="C2214" s="128"/>
      <c r="E2214" s="128" t="str">
        <f t="shared" si="1"/>
        <v/>
      </c>
    </row>
    <row r="2215">
      <c r="A2215" s="93" t="str">
        <f t="shared" si="2"/>
        <v>#16064</v>
      </c>
      <c r="B2215" s="93" t="str">
        <f>IF(COUNTIF(MAIN!B:B, A2215)=0, "Missing", "")</f>
        <v/>
      </c>
      <c r="C2215" s="128"/>
      <c r="E2215" s="128" t="str">
        <f t="shared" si="1"/>
        <v/>
      </c>
    </row>
    <row r="2216">
      <c r="A2216" s="93" t="str">
        <f t="shared" si="2"/>
        <v>#16065</v>
      </c>
      <c r="B2216" s="93" t="str">
        <f>IF(COUNTIF(MAIN!B:B, A2216)=0, "Missing", "")</f>
        <v/>
      </c>
      <c r="C2216" s="128"/>
      <c r="E2216" s="128" t="str">
        <f t="shared" si="1"/>
        <v/>
      </c>
    </row>
    <row r="2217">
      <c r="A2217" s="93" t="str">
        <f t="shared" si="2"/>
        <v>#16066</v>
      </c>
      <c r="B2217" s="93" t="str">
        <f>IF(COUNTIF(MAIN!B:B, A2217)=0, "Missing", "")</f>
        <v/>
      </c>
      <c r="C2217" s="128"/>
      <c r="E2217" s="128" t="str">
        <f t="shared" si="1"/>
        <v/>
      </c>
    </row>
    <row r="2218">
      <c r="A2218" s="93" t="str">
        <f t="shared" si="2"/>
        <v>#16067</v>
      </c>
      <c r="B2218" s="93" t="str">
        <f>IF(COUNTIF(MAIN!B:B, A2218)=0, "Missing", "")</f>
        <v/>
      </c>
      <c r="C2218" s="128"/>
      <c r="E2218" s="128" t="str">
        <f t="shared" si="1"/>
        <v/>
      </c>
    </row>
    <row r="2219">
      <c r="A2219" s="93" t="str">
        <f t="shared" si="2"/>
        <v>#16068</v>
      </c>
      <c r="B2219" s="93" t="str">
        <f>IF(COUNTIF(MAIN!B:B, A2219)=0, "Missing", "")</f>
        <v/>
      </c>
      <c r="C2219" s="128"/>
      <c r="E2219" s="128" t="str">
        <f t="shared" si="1"/>
        <v/>
      </c>
    </row>
    <row r="2220">
      <c r="A2220" s="93" t="str">
        <f t="shared" si="2"/>
        <v>#16069</v>
      </c>
      <c r="B2220" s="93" t="str">
        <f>IF(COUNTIF(MAIN!B:B, A2220)=0, "Missing", "")</f>
        <v/>
      </c>
      <c r="C2220" s="128"/>
      <c r="E2220" s="128" t="str">
        <f t="shared" si="1"/>
        <v/>
      </c>
    </row>
    <row r="2221">
      <c r="A2221" s="93" t="str">
        <f t="shared" si="2"/>
        <v>#16070</v>
      </c>
      <c r="B2221" s="93" t="str">
        <f>IF(COUNTIF(MAIN!B:B, A2221)=0, "Missing", "")</f>
        <v/>
      </c>
      <c r="C2221" s="128"/>
      <c r="E2221" s="128" t="str">
        <f t="shared" si="1"/>
        <v/>
      </c>
    </row>
    <row r="2222">
      <c r="A2222" s="93" t="str">
        <f t="shared" si="2"/>
        <v>#16071</v>
      </c>
      <c r="B2222" s="93" t="str">
        <f>IF(COUNTIF(MAIN!B:B, A2222)=0, "Missing", "")</f>
        <v/>
      </c>
      <c r="C2222" s="128"/>
      <c r="E2222" s="128" t="str">
        <f t="shared" si="1"/>
        <v/>
      </c>
    </row>
    <row r="2223">
      <c r="A2223" s="93" t="str">
        <f t="shared" si="2"/>
        <v>#16072</v>
      </c>
      <c r="B2223" s="93" t="str">
        <f>IF(COUNTIF(MAIN!B:B, A2223)=0, "Missing", "")</f>
        <v/>
      </c>
      <c r="C2223" s="128"/>
      <c r="E2223" s="128" t="str">
        <f t="shared" si="1"/>
        <v/>
      </c>
    </row>
    <row r="2224">
      <c r="A2224" s="93" t="str">
        <f t="shared" si="2"/>
        <v>#16073</v>
      </c>
      <c r="B2224" s="93" t="str">
        <f>IF(COUNTIF(MAIN!B:B, A2224)=0, "Missing", "")</f>
        <v/>
      </c>
      <c r="C2224" s="128"/>
      <c r="E2224" s="128" t="str">
        <f t="shared" si="1"/>
        <v/>
      </c>
    </row>
    <row r="2225">
      <c r="A2225" s="93" t="str">
        <f t="shared" si="2"/>
        <v>#16074</v>
      </c>
      <c r="B2225" s="93" t="str">
        <f>IF(COUNTIF(MAIN!B:B, A2225)=0, "Missing", "")</f>
        <v/>
      </c>
      <c r="C2225" s="128"/>
      <c r="E2225" s="128" t="str">
        <f t="shared" si="1"/>
        <v/>
      </c>
    </row>
    <row r="2226">
      <c r="A2226" s="93" t="str">
        <f t="shared" si="2"/>
        <v>#16075</v>
      </c>
      <c r="B2226" s="93" t="str">
        <f>IF(COUNTIF(MAIN!B:B, A2226)=0, "Missing", "")</f>
        <v/>
      </c>
      <c r="C2226" s="128"/>
      <c r="E2226" s="128" t="str">
        <f t="shared" si="1"/>
        <v/>
      </c>
    </row>
    <row r="2227">
      <c r="A2227" s="93" t="str">
        <f t="shared" si="2"/>
        <v>#16076</v>
      </c>
      <c r="B2227" s="93" t="str">
        <f>IF(COUNTIF(MAIN!B:B, A2227)=0, "Missing", "")</f>
        <v/>
      </c>
      <c r="C2227" s="128"/>
      <c r="E2227" s="128" t="str">
        <f t="shared" si="1"/>
        <v/>
      </c>
    </row>
    <row r="2228">
      <c r="A2228" s="93" t="str">
        <f t="shared" si="2"/>
        <v>#16077</v>
      </c>
      <c r="B2228" s="93" t="str">
        <f>IF(COUNTIF(MAIN!B:B, A2228)=0, "Missing", "")</f>
        <v/>
      </c>
      <c r="C2228" s="128"/>
      <c r="E2228" s="128" t="str">
        <f t="shared" si="1"/>
        <v/>
      </c>
    </row>
    <row r="2229">
      <c r="A2229" s="93" t="str">
        <f t="shared" si="2"/>
        <v>#16078</v>
      </c>
      <c r="B2229" s="93" t="str">
        <f>IF(COUNTIF(MAIN!B:B, A2229)=0, "Missing", "")</f>
        <v/>
      </c>
      <c r="C2229" s="128"/>
      <c r="E2229" s="128" t="str">
        <f t="shared" si="1"/>
        <v/>
      </c>
    </row>
    <row r="2230">
      <c r="A2230" s="93" t="str">
        <f t="shared" si="2"/>
        <v>#16079</v>
      </c>
      <c r="B2230" s="93" t="str">
        <f>IF(COUNTIF(MAIN!B:B, A2230)=0, "Missing", "")</f>
        <v/>
      </c>
      <c r="C2230" s="128"/>
      <c r="E2230" s="128" t="str">
        <f t="shared" si="1"/>
        <v/>
      </c>
    </row>
    <row r="2231">
      <c r="A2231" s="93" t="str">
        <f t="shared" si="2"/>
        <v>#16080</v>
      </c>
      <c r="B2231" s="93" t="str">
        <f>IF(COUNTIF(MAIN!B:B, A2231)=0, "Missing", "")</f>
        <v/>
      </c>
      <c r="C2231" s="128"/>
      <c r="E2231" s="128" t="str">
        <f t="shared" si="1"/>
        <v/>
      </c>
    </row>
    <row r="2232">
      <c r="A2232" s="93" t="str">
        <f t="shared" si="2"/>
        <v>#16081</v>
      </c>
      <c r="B2232" s="93" t="str">
        <f>IF(COUNTIF(MAIN!B:B, A2232)=0, "Missing", "")</f>
        <v/>
      </c>
      <c r="C2232" s="128"/>
      <c r="E2232" s="128" t="str">
        <f t="shared" si="1"/>
        <v/>
      </c>
    </row>
    <row r="2233">
      <c r="A2233" s="93" t="str">
        <f t="shared" si="2"/>
        <v>#16082</v>
      </c>
      <c r="B2233" s="93" t="str">
        <f>IF(COUNTIF(MAIN!B:B, A2233)=0, "Missing", "")</f>
        <v/>
      </c>
      <c r="C2233" s="128"/>
      <c r="E2233" s="128" t="str">
        <f t="shared" si="1"/>
        <v/>
      </c>
    </row>
    <row r="2234">
      <c r="A2234" s="93" t="str">
        <f t="shared" si="2"/>
        <v>#16083</v>
      </c>
      <c r="B2234" s="93" t="str">
        <f>IF(COUNTIF(MAIN!B:B, A2234)=0, "Missing", "")</f>
        <v/>
      </c>
      <c r="C2234" s="128"/>
      <c r="E2234" s="128" t="str">
        <f t="shared" si="1"/>
        <v/>
      </c>
    </row>
    <row r="2235">
      <c r="A2235" s="93" t="str">
        <f t="shared" si="2"/>
        <v>#16084</v>
      </c>
      <c r="B2235" s="93" t="str">
        <f>IF(COUNTIF(MAIN!B:B, A2235)=0, "Missing", "")</f>
        <v/>
      </c>
      <c r="C2235" s="128"/>
      <c r="E2235" s="128" t="str">
        <f t="shared" si="1"/>
        <v/>
      </c>
    </row>
    <row r="2236">
      <c r="A2236" s="93" t="str">
        <f t="shared" si="2"/>
        <v>#16085</v>
      </c>
      <c r="B2236" s="93" t="str">
        <f>IF(COUNTIF(MAIN!B:B, A2236)=0, "Missing", "")</f>
        <v/>
      </c>
      <c r="C2236" s="128"/>
      <c r="E2236" s="128" t="str">
        <f t="shared" si="1"/>
        <v/>
      </c>
    </row>
    <row r="2237">
      <c r="A2237" s="93" t="str">
        <f t="shared" si="2"/>
        <v>#16086</v>
      </c>
      <c r="B2237" s="93" t="str">
        <f>IF(COUNTIF(MAIN!B:B, A2237)=0, "Missing", "")</f>
        <v/>
      </c>
      <c r="C2237" s="128"/>
      <c r="E2237" s="128" t="str">
        <f t="shared" si="1"/>
        <v/>
      </c>
    </row>
    <row r="2238">
      <c r="A2238" s="93" t="str">
        <f t="shared" si="2"/>
        <v>#16087</v>
      </c>
      <c r="B2238" s="93" t="str">
        <f>IF(COUNTIF(MAIN!B:B, A2238)=0, "Missing", "")</f>
        <v/>
      </c>
      <c r="C2238" s="128"/>
      <c r="E2238" s="128" t="str">
        <f t="shared" si="1"/>
        <v/>
      </c>
    </row>
    <row r="2239">
      <c r="A2239" s="93" t="str">
        <f t="shared" si="2"/>
        <v>#16088</v>
      </c>
      <c r="B2239" s="93" t="str">
        <f>IF(COUNTIF(MAIN!B:B, A2239)=0, "Missing", "")</f>
        <v/>
      </c>
      <c r="C2239" s="128"/>
      <c r="E2239" s="128" t="str">
        <f t="shared" si="1"/>
        <v/>
      </c>
    </row>
    <row r="2240">
      <c r="A2240" s="93" t="str">
        <f t="shared" si="2"/>
        <v>#16089</v>
      </c>
      <c r="B2240" s="93" t="str">
        <f>IF(COUNTIF(MAIN!B:B, A2240)=0, "Missing", "")</f>
        <v/>
      </c>
      <c r="C2240" s="128"/>
      <c r="E2240" s="128" t="str">
        <f t="shared" si="1"/>
        <v/>
      </c>
    </row>
    <row r="2241">
      <c r="A2241" s="93" t="str">
        <f t="shared" si="2"/>
        <v>#16090</v>
      </c>
      <c r="B2241" s="93" t="str">
        <f>IF(COUNTIF(MAIN!B:B, A2241)=0, "Missing", "")</f>
        <v/>
      </c>
      <c r="C2241" s="128"/>
      <c r="E2241" s="128" t="str">
        <f t="shared" si="1"/>
        <v/>
      </c>
    </row>
    <row r="2242">
      <c r="A2242" s="93" t="str">
        <f t="shared" si="2"/>
        <v>#16091</v>
      </c>
      <c r="B2242" s="93" t="str">
        <f>IF(COUNTIF(MAIN!B:B, A2242)=0, "Missing", "")</f>
        <v/>
      </c>
      <c r="C2242" s="128"/>
      <c r="E2242" s="128" t="str">
        <f t="shared" si="1"/>
        <v/>
      </c>
    </row>
    <row r="2243">
      <c r="A2243" s="93" t="str">
        <f t="shared" si="2"/>
        <v>#16092</v>
      </c>
      <c r="B2243" s="93" t="str">
        <f>IF(COUNTIF(MAIN!B:B, A2243)=0, "Missing", "")</f>
        <v/>
      </c>
      <c r="C2243" s="128"/>
      <c r="E2243" s="128" t="str">
        <f t="shared" si="1"/>
        <v/>
      </c>
    </row>
    <row r="2244">
      <c r="A2244" s="93" t="str">
        <f t="shared" si="2"/>
        <v>#16093</v>
      </c>
      <c r="B2244" s="93" t="str">
        <f>IF(COUNTIF(MAIN!B:B, A2244)=0, "Missing", "")</f>
        <v/>
      </c>
      <c r="C2244" s="128"/>
      <c r="E2244" s="128" t="str">
        <f t="shared" si="1"/>
        <v/>
      </c>
    </row>
    <row r="2245">
      <c r="A2245" s="93" t="str">
        <f t="shared" si="2"/>
        <v>#16094</v>
      </c>
      <c r="B2245" s="93" t="str">
        <f>IF(COUNTIF(MAIN!B:B, A2245)=0, "Missing", "")</f>
        <v/>
      </c>
      <c r="C2245" s="128"/>
      <c r="E2245" s="128" t="str">
        <f t="shared" si="1"/>
        <v/>
      </c>
    </row>
    <row r="2246">
      <c r="A2246" s="93" t="str">
        <f t="shared" si="2"/>
        <v>#16095</v>
      </c>
      <c r="B2246" s="93" t="str">
        <f>IF(COUNTIF(MAIN!B:B, A2246)=0, "Missing", "")</f>
        <v/>
      </c>
      <c r="C2246" s="128"/>
      <c r="E2246" s="128" t="str">
        <f t="shared" si="1"/>
        <v/>
      </c>
    </row>
    <row r="2247">
      <c r="A2247" s="93" t="str">
        <f t="shared" si="2"/>
        <v>#16096</v>
      </c>
      <c r="B2247" s="93" t="str">
        <f>IF(COUNTIF(MAIN!B:B, A2247)=0, "Missing", "")</f>
        <v/>
      </c>
      <c r="C2247" s="128"/>
      <c r="E2247" s="128" t="str">
        <f t="shared" si="1"/>
        <v/>
      </c>
    </row>
    <row r="2248">
      <c r="A2248" s="93" t="str">
        <f t="shared" si="2"/>
        <v>#16097</v>
      </c>
      <c r="B2248" s="93" t="str">
        <f>IF(COUNTIF(MAIN!B:B, A2248)=0, "Missing", "")</f>
        <v/>
      </c>
      <c r="C2248" s="128"/>
      <c r="E2248" s="128" t="str">
        <f t="shared" si="1"/>
        <v/>
      </c>
    </row>
    <row r="2249">
      <c r="A2249" s="93" t="str">
        <f t="shared" si="2"/>
        <v>#16098</v>
      </c>
      <c r="B2249" s="93" t="str">
        <f>IF(COUNTIF(MAIN!B:B, A2249)=0, "Missing", "")</f>
        <v/>
      </c>
      <c r="C2249" s="128"/>
      <c r="E2249" s="128" t="str">
        <f t="shared" si="1"/>
        <v/>
      </c>
    </row>
    <row r="2250">
      <c r="A2250" s="93" t="str">
        <f t="shared" si="2"/>
        <v>#16099</v>
      </c>
      <c r="B2250" s="93" t="str">
        <f>IF(COUNTIF(MAIN!B:B, A2250)=0, "Missing", "")</f>
        <v/>
      </c>
      <c r="C2250" s="128"/>
      <c r="E2250" s="128" t="str">
        <f t="shared" si="1"/>
        <v/>
      </c>
    </row>
    <row r="2251">
      <c r="A2251" s="93" t="str">
        <f t="shared" si="2"/>
        <v>#16100</v>
      </c>
      <c r="B2251" s="93" t="str">
        <f>IF(COUNTIF(MAIN!B:B, A2251)=0, "Missing", "")</f>
        <v/>
      </c>
      <c r="C2251" s="128"/>
      <c r="E2251" s="128" t="str">
        <f t="shared" si="1"/>
        <v/>
      </c>
    </row>
    <row r="2252">
      <c r="A2252" s="93" t="str">
        <f t="shared" si="2"/>
        <v>#16101</v>
      </c>
      <c r="B2252" s="93" t="str">
        <f>IF(COUNTIF(MAIN!B:B, A2252)=0, "Missing", "")</f>
        <v/>
      </c>
      <c r="C2252" s="128"/>
      <c r="E2252" s="128" t="str">
        <f t="shared" si="1"/>
        <v/>
      </c>
    </row>
    <row r="2253">
      <c r="A2253" s="93" t="str">
        <f t="shared" si="2"/>
        <v>#16102</v>
      </c>
      <c r="B2253" s="93" t="str">
        <f>IF(COUNTIF(MAIN!B:B, A2253)=0, "Missing", "")</f>
        <v/>
      </c>
      <c r="C2253" s="128"/>
      <c r="E2253" s="128" t="str">
        <f t="shared" si="1"/>
        <v/>
      </c>
    </row>
    <row r="2254">
      <c r="A2254" s="93" t="str">
        <f t="shared" si="2"/>
        <v>#16103</v>
      </c>
      <c r="B2254" s="93" t="str">
        <f>IF(COUNTIF(MAIN!B:B, A2254)=0, "Missing", "")</f>
        <v/>
      </c>
      <c r="C2254" s="128"/>
      <c r="E2254" s="128" t="str">
        <f t="shared" si="1"/>
        <v/>
      </c>
    </row>
    <row r="2255">
      <c r="A2255" s="93" t="str">
        <f t="shared" si="2"/>
        <v>#16104</v>
      </c>
      <c r="B2255" s="93" t="str">
        <f>IF(COUNTIF(MAIN!B:B, A2255)=0, "Missing", "")</f>
        <v/>
      </c>
      <c r="C2255" s="128"/>
      <c r="E2255" s="128" t="str">
        <f t="shared" si="1"/>
        <v/>
      </c>
    </row>
    <row r="2256">
      <c r="A2256" s="93" t="str">
        <f t="shared" si="2"/>
        <v>#16105</v>
      </c>
      <c r="B2256" s="93" t="str">
        <f>IF(COUNTIF(MAIN!B:B, A2256)=0, "Missing", "")</f>
        <v/>
      </c>
      <c r="C2256" s="128"/>
      <c r="E2256" s="128" t="str">
        <f t="shared" si="1"/>
        <v/>
      </c>
    </row>
    <row r="2257">
      <c r="A2257" s="93" t="str">
        <f t="shared" si="2"/>
        <v>#16106</v>
      </c>
      <c r="B2257" s="93" t="str">
        <f>IF(COUNTIF(MAIN!B:B, A2257)=0, "Missing", "")</f>
        <v/>
      </c>
      <c r="C2257" s="128"/>
      <c r="E2257" s="128" t="str">
        <f t="shared" si="1"/>
        <v/>
      </c>
    </row>
    <row r="2258">
      <c r="A2258" s="93" t="str">
        <f t="shared" si="2"/>
        <v>#16107</v>
      </c>
      <c r="B2258" s="93" t="str">
        <f>IF(COUNTIF(MAIN!B:B, A2258)=0, "Missing", "")</f>
        <v/>
      </c>
      <c r="C2258" s="128"/>
      <c r="E2258" s="128" t="str">
        <f t="shared" si="1"/>
        <v/>
      </c>
    </row>
    <row r="2259">
      <c r="A2259" s="93" t="str">
        <f t="shared" si="2"/>
        <v>#16108</v>
      </c>
      <c r="B2259" s="93" t="str">
        <f>IF(COUNTIF(MAIN!B:B, A2259)=0, "Missing", "")</f>
        <v/>
      </c>
      <c r="C2259" s="128"/>
      <c r="E2259" s="128" t="str">
        <f t="shared" si="1"/>
        <v/>
      </c>
    </row>
    <row r="2260">
      <c r="A2260" s="93" t="str">
        <f t="shared" si="2"/>
        <v>#16109</v>
      </c>
      <c r="B2260" s="93" t="str">
        <f>IF(COUNTIF(MAIN!B:B, A2260)=0, "Missing", "")</f>
        <v/>
      </c>
      <c r="C2260" s="128"/>
      <c r="E2260" s="128" t="str">
        <f t="shared" si="1"/>
        <v/>
      </c>
    </row>
    <row r="2261">
      <c r="A2261" s="93" t="str">
        <f t="shared" si="2"/>
        <v>#16110</v>
      </c>
      <c r="B2261" s="93" t="str">
        <f>IF(COUNTIF(MAIN!B:B, A2261)=0, "Missing", "")</f>
        <v/>
      </c>
      <c r="C2261" s="128"/>
      <c r="E2261" s="128" t="str">
        <f t="shared" si="1"/>
        <v/>
      </c>
    </row>
    <row r="2262">
      <c r="A2262" s="93" t="str">
        <f t="shared" si="2"/>
        <v>#16111</v>
      </c>
      <c r="B2262" s="93" t="str">
        <f>IF(COUNTIF(MAIN!B:B, A2262)=0, "Missing", "")</f>
        <v/>
      </c>
      <c r="C2262" s="128"/>
      <c r="E2262" s="128" t="str">
        <f t="shared" si="1"/>
        <v/>
      </c>
    </row>
    <row r="2263">
      <c r="A2263" s="93" t="str">
        <f t="shared" si="2"/>
        <v>#16112</v>
      </c>
      <c r="B2263" s="93" t="str">
        <f>IF(COUNTIF(MAIN!B:B, A2263)=0, "Missing", "")</f>
        <v/>
      </c>
      <c r="C2263" s="128"/>
      <c r="E2263" s="128" t="str">
        <f t="shared" si="1"/>
        <v/>
      </c>
    </row>
    <row r="2264">
      <c r="A2264" s="93" t="str">
        <f t="shared" si="2"/>
        <v>#16113</v>
      </c>
      <c r="B2264" s="93" t="str">
        <f>IF(COUNTIF(MAIN!B:B, A2264)=0, "Missing", "")</f>
        <v/>
      </c>
      <c r="C2264" s="128"/>
      <c r="E2264" s="128" t="str">
        <f t="shared" si="1"/>
        <v/>
      </c>
    </row>
    <row r="2265">
      <c r="A2265" s="93" t="str">
        <f t="shared" si="2"/>
        <v>#16114</v>
      </c>
      <c r="B2265" s="93" t="str">
        <f>IF(COUNTIF(MAIN!B:B, A2265)=0, "Missing", "")</f>
        <v/>
      </c>
      <c r="C2265" s="128"/>
      <c r="E2265" s="128" t="str">
        <f t="shared" si="1"/>
        <v/>
      </c>
    </row>
    <row r="2266">
      <c r="A2266" s="93" t="str">
        <f t="shared" si="2"/>
        <v>#16115</v>
      </c>
      <c r="B2266" s="93" t="str">
        <f>IF(COUNTIF(MAIN!B:B, A2266)=0, "Missing", "")</f>
        <v/>
      </c>
      <c r="C2266" s="128"/>
      <c r="E2266" s="128" t="str">
        <f t="shared" si="1"/>
        <v/>
      </c>
    </row>
    <row r="2267">
      <c r="A2267" s="93" t="str">
        <f t="shared" si="2"/>
        <v>#16116</v>
      </c>
      <c r="B2267" s="93" t="str">
        <f>IF(COUNTIF(MAIN!B:B, A2267)=0, "Missing", "")</f>
        <v/>
      </c>
      <c r="C2267" s="128"/>
      <c r="E2267" s="128" t="str">
        <f t="shared" si="1"/>
        <v/>
      </c>
    </row>
    <row r="2268">
      <c r="A2268" s="93" t="str">
        <f t="shared" si="2"/>
        <v>#16117</v>
      </c>
      <c r="B2268" s="93" t="str">
        <f>IF(COUNTIF(MAIN!B:B, A2268)=0, "Missing", "")</f>
        <v/>
      </c>
      <c r="C2268" s="128"/>
      <c r="E2268" s="128" t="str">
        <f t="shared" si="1"/>
        <v/>
      </c>
    </row>
    <row r="2269">
      <c r="A2269" s="93" t="str">
        <f t="shared" si="2"/>
        <v>#16118</v>
      </c>
      <c r="B2269" s="93" t="str">
        <f>IF(COUNTIF(MAIN!B:B, A2269)=0, "Missing", "")</f>
        <v/>
      </c>
      <c r="C2269" s="128"/>
      <c r="E2269" s="128" t="str">
        <f t="shared" si="1"/>
        <v/>
      </c>
    </row>
    <row r="2270">
      <c r="A2270" s="93" t="str">
        <f t="shared" si="2"/>
        <v>#16119</v>
      </c>
      <c r="B2270" s="93" t="str">
        <f>IF(COUNTIF(MAIN!B:B, A2270)=0, "Missing", "")</f>
        <v/>
      </c>
      <c r="C2270" s="128"/>
      <c r="E2270" s="128" t="str">
        <f t="shared" si="1"/>
        <v/>
      </c>
    </row>
    <row r="2271">
      <c r="A2271" s="93" t="str">
        <f t="shared" si="2"/>
        <v>#16120</v>
      </c>
      <c r="B2271" s="93" t="str">
        <f>IF(COUNTIF(MAIN!B:B, A2271)=0, "Missing", "")</f>
        <v/>
      </c>
      <c r="C2271" s="128"/>
      <c r="E2271" s="128" t="str">
        <f t="shared" si="1"/>
        <v/>
      </c>
    </row>
    <row r="2272">
      <c r="A2272" s="93" t="str">
        <f t="shared" si="2"/>
        <v>#16121</v>
      </c>
      <c r="B2272" s="93" t="str">
        <f>IF(COUNTIF(MAIN!B:B, A2272)=0, "Missing", "")</f>
        <v/>
      </c>
      <c r="C2272" s="128"/>
      <c r="E2272" s="128" t="str">
        <f t="shared" si="1"/>
        <v/>
      </c>
    </row>
    <row r="2273">
      <c r="A2273" s="93" t="str">
        <f t="shared" si="2"/>
        <v>#16122</v>
      </c>
      <c r="B2273" s="93" t="str">
        <f>IF(COUNTIF(MAIN!B:B, A2273)=0, "Missing", "")</f>
        <v/>
      </c>
      <c r="C2273" s="128"/>
      <c r="E2273" s="128" t="str">
        <f t="shared" si="1"/>
        <v/>
      </c>
    </row>
    <row r="2274">
      <c r="A2274" s="93" t="str">
        <f t="shared" si="2"/>
        <v>#16123</v>
      </c>
      <c r="B2274" s="93" t="str">
        <f>IF(COUNTIF(MAIN!B:B, A2274)=0, "Missing", "")</f>
        <v/>
      </c>
      <c r="C2274" s="128"/>
      <c r="E2274" s="128" t="str">
        <f t="shared" si="1"/>
        <v/>
      </c>
    </row>
    <row r="2275">
      <c r="A2275" s="93" t="str">
        <f t="shared" si="2"/>
        <v>#16124</v>
      </c>
      <c r="B2275" s="93" t="str">
        <f>IF(COUNTIF(MAIN!B:B, A2275)=0, "Missing", "")</f>
        <v/>
      </c>
      <c r="C2275" s="128"/>
      <c r="E2275" s="128" t="str">
        <f t="shared" si="1"/>
        <v/>
      </c>
    </row>
    <row r="2276">
      <c r="A2276" s="93" t="str">
        <f t="shared" si="2"/>
        <v>#16125</v>
      </c>
      <c r="B2276" s="93" t="str">
        <f>IF(COUNTIF(MAIN!B:B, A2276)=0, "Missing", "")</f>
        <v/>
      </c>
      <c r="C2276" s="128"/>
      <c r="E2276" s="128" t="str">
        <f t="shared" si="1"/>
        <v/>
      </c>
    </row>
    <row r="2277">
      <c r="A2277" s="93" t="str">
        <f t="shared" si="2"/>
        <v>#16126</v>
      </c>
      <c r="B2277" s="93" t="str">
        <f>IF(COUNTIF(MAIN!B:B, A2277)=0, "Missing", "")</f>
        <v/>
      </c>
      <c r="C2277" s="128"/>
      <c r="E2277" s="128" t="str">
        <f t="shared" si="1"/>
        <v/>
      </c>
    </row>
    <row r="2278">
      <c r="A2278" s="93" t="str">
        <f t="shared" si="2"/>
        <v>#16127</v>
      </c>
      <c r="B2278" s="93" t="str">
        <f>IF(COUNTIF(MAIN!B:B, A2278)=0, "Missing", "")</f>
        <v/>
      </c>
      <c r="C2278" s="128"/>
      <c r="E2278" s="128" t="str">
        <f t="shared" si="1"/>
        <v/>
      </c>
    </row>
    <row r="2279">
      <c r="A2279" s="93" t="str">
        <f t="shared" si="2"/>
        <v>#16128</v>
      </c>
      <c r="B2279" s="93" t="str">
        <f>IF(COUNTIF(MAIN!B:B, A2279)=0, "Missing", "")</f>
        <v/>
      </c>
      <c r="C2279" s="128"/>
      <c r="E2279" s="128" t="str">
        <f t="shared" si="1"/>
        <v/>
      </c>
    </row>
    <row r="2280">
      <c r="A2280" s="93" t="str">
        <f t="shared" si="2"/>
        <v>#16129</v>
      </c>
      <c r="B2280" s="93" t="str">
        <f>IF(COUNTIF(MAIN!B:B, A2280)=0, "Missing", "")</f>
        <v>Missing</v>
      </c>
      <c r="C2280" s="128"/>
      <c r="E2280" s="131" t="str">
        <f t="shared" si="1"/>
        <v>https://utrucking.myshopify.com/admin/orders?query=16129</v>
      </c>
    </row>
    <row r="2281">
      <c r="A2281" s="93" t="str">
        <f t="shared" si="2"/>
        <v>#16130</v>
      </c>
      <c r="B2281" s="93" t="str">
        <f>IF(COUNTIF(MAIN!B:B, A2281)=0, "Missing", "")</f>
        <v/>
      </c>
      <c r="C2281" s="128"/>
      <c r="E2281" s="128" t="str">
        <f t="shared" si="1"/>
        <v/>
      </c>
    </row>
    <row r="2282">
      <c r="A2282" s="93" t="str">
        <f t="shared" si="2"/>
        <v>#16131</v>
      </c>
      <c r="B2282" s="93" t="str">
        <f>IF(COUNTIF(MAIN!B:B, A2282)=0, "Missing", "")</f>
        <v/>
      </c>
      <c r="C2282" s="128"/>
      <c r="E2282" s="128" t="str">
        <f t="shared" si="1"/>
        <v/>
      </c>
    </row>
    <row r="2283">
      <c r="A2283" s="93" t="str">
        <f t="shared" si="2"/>
        <v>#16132</v>
      </c>
      <c r="B2283" s="93" t="str">
        <f>IF(COUNTIF(MAIN!B:B, A2283)=0, "Missing", "")</f>
        <v/>
      </c>
      <c r="C2283" s="128"/>
      <c r="E2283" s="128" t="str">
        <f t="shared" si="1"/>
        <v/>
      </c>
    </row>
    <row r="2284">
      <c r="A2284" s="93" t="str">
        <f t="shared" si="2"/>
        <v>#16133</v>
      </c>
      <c r="B2284" s="93" t="str">
        <f>IF(COUNTIF(MAIN!B:B, A2284)=0, "Missing", "")</f>
        <v/>
      </c>
      <c r="C2284" s="128"/>
      <c r="E2284" s="128" t="str">
        <f t="shared" si="1"/>
        <v/>
      </c>
    </row>
    <row r="2285">
      <c r="A2285" s="93" t="str">
        <f t="shared" si="2"/>
        <v>#16134</v>
      </c>
      <c r="B2285" s="93" t="str">
        <f>IF(COUNTIF(MAIN!B:B, A2285)=0, "Missing", "")</f>
        <v/>
      </c>
      <c r="C2285" s="128"/>
      <c r="E2285" s="128" t="str">
        <f t="shared" si="1"/>
        <v/>
      </c>
    </row>
    <row r="2286">
      <c r="A2286" s="93" t="str">
        <f t="shared" si="2"/>
        <v>#16135</v>
      </c>
      <c r="B2286" s="93" t="str">
        <f>IF(COUNTIF(MAIN!B:B, A2286)=0, "Missing", "")</f>
        <v/>
      </c>
      <c r="C2286" s="128"/>
      <c r="E2286" s="128" t="str">
        <f t="shared" si="1"/>
        <v/>
      </c>
    </row>
    <row r="2287">
      <c r="A2287" s="93" t="str">
        <f t="shared" si="2"/>
        <v>#16136</v>
      </c>
      <c r="B2287" s="93" t="str">
        <f>IF(COUNTIF(MAIN!B:B, A2287)=0, "Missing", "")</f>
        <v/>
      </c>
      <c r="C2287" s="128"/>
      <c r="E2287" s="128" t="str">
        <f t="shared" si="1"/>
        <v/>
      </c>
    </row>
    <row r="2288">
      <c r="A2288" s="93" t="str">
        <f t="shared" si="2"/>
        <v>#16137</v>
      </c>
      <c r="B2288" s="93" t="str">
        <f>IF(COUNTIF(MAIN!B:B, A2288)=0, "Missing", "")</f>
        <v/>
      </c>
      <c r="C2288" s="128"/>
      <c r="E2288" s="128" t="str">
        <f t="shared" si="1"/>
        <v/>
      </c>
    </row>
    <row r="2289">
      <c r="A2289" s="93" t="str">
        <f t="shared" si="2"/>
        <v>#16138</v>
      </c>
      <c r="B2289" s="93" t="str">
        <f>IF(COUNTIF(MAIN!B:B, A2289)=0, "Missing", "")</f>
        <v/>
      </c>
      <c r="C2289" s="128"/>
      <c r="E2289" s="128" t="str">
        <f t="shared" si="1"/>
        <v/>
      </c>
    </row>
    <row r="2290">
      <c r="A2290" s="93" t="str">
        <f t="shared" si="2"/>
        <v>#16139</v>
      </c>
      <c r="B2290" s="93" t="str">
        <f>IF(COUNTIF(MAIN!B:B, A2290)=0, "Missing", "")</f>
        <v/>
      </c>
      <c r="C2290" s="128"/>
      <c r="E2290" s="128" t="str">
        <f t="shared" si="1"/>
        <v/>
      </c>
    </row>
    <row r="2291">
      <c r="A2291" s="93" t="str">
        <f t="shared" si="2"/>
        <v>#16140</v>
      </c>
      <c r="B2291" s="93" t="str">
        <f>IF(COUNTIF(MAIN!B:B, A2291)=0, "Missing", "")</f>
        <v/>
      </c>
      <c r="C2291" s="128"/>
      <c r="E2291" s="128" t="str">
        <f t="shared" si="1"/>
        <v/>
      </c>
    </row>
    <row r="2292">
      <c r="A2292" s="93" t="str">
        <f t="shared" si="2"/>
        <v>#16141</v>
      </c>
      <c r="B2292" s="93" t="str">
        <f>IF(COUNTIF(MAIN!B:B, A2292)=0, "Missing", "")</f>
        <v/>
      </c>
      <c r="C2292" s="128"/>
      <c r="E2292" s="128" t="str">
        <f t="shared" si="1"/>
        <v/>
      </c>
    </row>
    <row r="2293">
      <c r="A2293" s="93" t="str">
        <f t="shared" si="2"/>
        <v>#16142</v>
      </c>
      <c r="B2293" s="93" t="str">
        <f>IF(COUNTIF(MAIN!B:B, A2293)=0, "Missing", "")</f>
        <v/>
      </c>
      <c r="C2293" s="128"/>
      <c r="E2293" s="128" t="str">
        <f t="shared" si="1"/>
        <v/>
      </c>
    </row>
    <row r="2294">
      <c r="A2294" s="93" t="str">
        <f t="shared" si="2"/>
        <v>#16143</v>
      </c>
      <c r="B2294" s="93" t="str">
        <f>IF(COUNTIF(MAIN!B:B, A2294)=0, "Missing", "")</f>
        <v/>
      </c>
      <c r="C2294" s="128"/>
      <c r="E2294" s="128" t="str">
        <f t="shared" si="1"/>
        <v/>
      </c>
    </row>
    <row r="2295">
      <c r="A2295" s="93" t="str">
        <f t="shared" si="2"/>
        <v>#16144</v>
      </c>
      <c r="B2295" s="93" t="str">
        <f>IF(COUNTIF(MAIN!B:B, A2295)=0, "Missing", "")</f>
        <v/>
      </c>
      <c r="C2295" s="128"/>
      <c r="E2295" s="128" t="str">
        <f t="shared" si="1"/>
        <v/>
      </c>
    </row>
    <row r="2296">
      <c r="A2296" s="93" t="str">
        <f t="shared" si="2"/>
        <v>#16145</v>
      </c>
      <c r="B2296" s="93" t="str">
        <f>IF(COUNTIF(MAIN!B:B, A2296)=0, "Missing", "")</f>
        <v/>
      </c>
      <c r="C2296" s="128"/>
      <c r="E2296" s="128" t="str">
        <f t="shared" si="1"/>
        <v/>
      </c>
    </row>
    <row r="2297">
      <c r="A2297" s="93" t="str">
        <f t="shared" si="2"/>
        <v>#16146</v>
      </c>
      <c r="B2297" s="93" t="str">
        <f>IF(COUNTIF(MAIN!B:B, A2297)=0, "Missing", "")</f>
        <v/>
      </c>
      <c r="C2297" s="128"/>
      <c r="E2297" s="128" t="str">
        <f t="shared" si="1"/>
        <v/>
      </c>
    </row>
    <row r="2298">
      <c r="A2298" s="93" t="str">
        <f t="shared" si="2"/>
        <v>#16147</v>
      </c>
      <c r="B2298" s="93" t="str">
        <f>IF(COUNTIF(MAIN!B:B, A2298)=0, "Missing", "")</f>
        <v/>
      </c>
      <c r="C2298" s="128"/>
      <c r="E2298" s="128" t="str">
        <f t="shared" si="1"/>
        <v/>
      </c>
    </row>
    <row r="2299">
      <c r="A2299" s="93" t="str">
        <f t="shared" si="2"/>
        <v>#16148</v>
      </c>
      <c r="B2299" s="93" t="str">
        <f>IF(COUNTIF(MAIN!B:B, A2299)=0, "Missing", "")</f>
        <v/>
      </c>
      <c r="C2299" s="128"/>
      <c r="E2299" s="128" t="str">
        <f t="shared" si="1"/>
        <v/>
      </c>
    </row>
    <row r="2300">
      <c r="A2300" s="93" t="str">
        <f t="shared" si="2"/>
        <v>#16149</v>
      </c>
      <c r="B2300" s="93" t="str">
        <f>IF(COUNTIF(MAIN!B:B, A2300)=0, "Missing", "")</f>
        <v>Missing</v>
      </c>
      <c r="C2300" s="128"/>
      <c r="E2300" s="131" t="str">
        <f t="shared" si="1"/>
        <v>https://utrucking.myshopify.com/admin/orders?query=16149</v>
      </c>
    </row>
    <row r="2301">
      <c r="A2301" s="93" t="str">
        <f t="shared" si="2"/>
        <v>#16150</v>
      </c>
      <c r="B2301" s="93" t="str">
        <f>IF(COUNTIF(MAIN!B:B, A2301)=0, "Missing", "")</f>
        <v/>
      </c>
      <c r="C2301" s="128"/>
      <c r="E2301" s="128" t="str">
        <f t="shared" si="1"/>
        <v/>
      </c>
    </row>
    <row r="2302">
      <c r="A2302" s="93" t="str">
        <f t="shared" si="2"/>
        <v>#16151</v>
      </c>
      <c r="B2302" s="93" t="str">
        <f>IF(COUNTIF(MAIN!B:B, A2302)=0, "Missing", "")</f>
        <v/>
      </c>
      <c r="C2302" s="128"/>
      <c r="E2302" s="128" t="str">
        <f t="shared" si="1"/>
        <v/>
      </c>
    </row>
    <row r="2303">
      <c r="A2303" s="93" t="str">
        <f t="shared" si="2"/>
        <v>#16152</v>
      </c>
      <c r="B2303" s="93" t="str">
        <f>IF(COUNTIF(MAIN!B:B, A2303)=0, "Missing", "")</f>
        <v/>
      </c>
      <c r="C2303" s="128"/>
      <c r="E2303" s="128" t="str">
        <f t="shared" si="1"/>
        <v/>
      </c>
    </row>
    <row r="2304">
      <c r="A2304" s="93" t="str">
        <f t="shared" si="2"/>
        <v>#16153</v>
      </c>
      <c r="B2304" s="93" t="str">
        <f>IF(COUNTIF(MAIN!B:B, A2304)=0, "Missing", "")</f>
        <v/>
      </c>
      <c r="C2304" s="128"/>
      <c r="E2304" s="128" t="str">
        <f t="shared" si="1"/>
        <v/>
      </c>
    </row>
    <row r="2305">
      <c r="A2305" s="93" t="str">
        <f t="shared" si="2"/>
        <v>#16154</v>
      </c>
      <c r="B2305" s="93" t="str">
        <f>IF(COUNTIF(MAIN!B:B, A2305)=0, "Missing", "")</f>
        <v/>
      </c>
      <c r="C2305" s="128"/>
      <c r="E2305" s="128" t="str">
        <f t="shared" si="1"/>
        <v/>
      </c>
    </row>
    <row r="2306">
      <c r="A2306" s="93" t="str">
        <f t="shared" si="2"/>
        <v>#16155</v>
      </c>
      <c r="B2306" s="93" t="str">
        <f>IF(COUNTIF(MAIN!B:B, A2306)=0, "Missing", "")</f>
        <v/>
      </c>
      <c r="C2306" s="128"/>
      <c r="E2306" s="128" t="str">
        <f t="shared" si="1"/>
        <v/>
      </c>
    </row>
    <row r="2307">
      <c r="A2307" s="93" t="str">
        <f t="shared" si="2"/>
        <v>#16156</v>
      </c>
      <c r="B2307" s="93" t="str">
        <f>IF(COUNTIF(MAIN!B:B, A2307)=0, "Missing", "")</f>
        <v/>
      </c>
      <c r="C2307" s="128"/>
      <c r="E2307" s="128" t="str">
        <f t="shared" si="1"/>
        <v/>
      </c>
    </row>
    <row r="2308">
      <c r="A2308" s="93" t="str">
        <f t="shared" si="2"/>
        <v>#16157</v>
      </c>
      <c r="B2308" s="93" t="str">
        <f>IF(COUNTIF(MAIN!B:B, A2308)=0, "Missing", "")</f>
        <v/>
      </c>
      <c r="C2308" s="128"/>
      <c r="E2308" s="128" t="str">
        <f t="shared" si="1"/>
        <v/>
      </c>
    </row>
    <row r="2309">
      <c r="A2309" s="93" t="str">
        <f t="shared" si="2"/>
        <v>#16158</v>
      </c>
      <c r="B2309" s="93" t="str">
        <f>IF(COUNTIF(MAIN!B:B, A2309)=0, "Missing", "")</f>
        <v/>
      </c>
      <c r="C2309" s="128"/>
      <c r="E2309" s="128" t="str">
        <f t="shared" si="1"/>
        <v/>
      </c>
    </row>
    <row r="2310">
      <c r="A2310" s="93" t="str">
        <f t="shared" si="2"/>
        <v>#16159</v>
      </c>
      <c r="B2310" s="93" t="str">
        <f>IF(COUNTIF(MAIN!B:B, A2310)=0, "Missing", "")</f>
        <v/>
      </c>
      <c r="C2310" s="128"/>
      <c r="E2310" s="128" t="str">
        <f t="shared" si="1"/>
        <v/>
      </c>
    </row>
    <row r="2311">
      <c r="A2311" s="93" t="str">
        <f t="shared" si="2"/>
        <v>#16160</v>
      </c>
      <c r="B2311" s="93" t="str">
        <f>IF(COUNTIF(MAIN!B:B, A2311)=0, "Missing", "")</f>
        <v/>
      </c>
      <c r="C2311" s="128"/>
      <c r="E2311" s="128" t="str">
        <f t="shared" si="1"/>
        <v/>
      </c>
    </row>
    <row r="2312">
      <c r="A2312" s="93" t="str">
        <f t="shared" si="2"/>
        <v>#16161</v>
      </c>
      <c r="B2312" s="93" t="str">
        <f>IF(COUNTIF(MAIN!B:B, A2312)=0, "Missing", "")</f>
        <v/>
      </c>
      <c r="C2312" s="128"/>
      <c r="E2312" s="128" t="str">
        <f t="shared" si="1"/>
        <v/>
      </c>
    </row>
    <row r="2313">
      <c r="A2313" s="93" t="str">
        <f t="shared" si="2"/>
        <v>#16162</v>
      </c>
      <c r="B2313" s="93" t="str">
        <f>IF(COUNTIF(MAIN!B:B, A2313)=0, "Missing", "")</f>
        <v/>
      </c>
      <c r="C2313" s="128"/>
      <c r="E2313" s="128" t="str">
        <f t="shared" si="1"/>
        <v/>
      </c>
    </row>
    <row r="2314">
      <c r="A2314" s="93" t="str">
        <f t="shared" si="2"/>
        <v>#16163</v>
      </c>
      <c r="B2314" s="93" t="str">
        <f>IF(COUNTIF(MAIN!B:B, A2314)=0, "Missing", "")</f>
        <v/>
      </c>
      <c r="C2314" s="128"/>
      <c r="E2314" s="128" t="str">
        <f t="shared" si="1"/>
        <v/>
      </c>
    </row>
    <row r="2315">
      <c r="A2315" s="93" t="str">
        <f t="shared" si="2"/>
        <v>#16164</v>
      </c>
      <c r="B2315" s="93" t="str">
        <f>IF(COUNTIF(MAIN!B:B, A2315)=0, "Missing", "")</f>
        <v/>
      </c>
      <c r="C2315" s="128"/>
      <c r="E2315" s="128" t="str">
        <f t="shared" si="1"/>
        <v/>
      </c>
    </row>
    <row r="2316">
      <c r="A2316" s="93" t="str">
        <f t="shared" si="2"/>
        <v>#16165</v>
      </c>
      <c r="B2316" s="93" t="str">
        <f>IF(COUNTIF(MAIN!B:B, A2316)=0, "Missing", "")</f>
        <v/>
      </c>
      <c r="C2316" s="128"/>
      <c r="E2316" s="128" t="str">
        <f t="shared" si="1"/>
        <v/>
      </c>
    </row>
    <row r="2317">
      <c r="A2317" s="93" t="str">
        <f t="shared" si="2"/>
        <v>#16166</v>
      </c>
      <c r="B2317" s="93" t="str">
        <f>IF(COUNTIF(MAIN!B:B, A2317)=0, "Missing", "")</f>
        <v/>
      </c>
      <c r="C2317" s="128"/>
      <c r="E2317" s="128" t="str">
        <f t="shared" si="1"/>
        <v/>
      </c>
    </row>
    <row r="2318">
      <c r="A2318" s="93" t="str">
        <f t="shared" si="2"/>
        <v>#16167</v>
      </c>
      <c r="B2318" s="93" t="str">
        <f>IF(COUNTIF(MAIN!B:B, A2318)=0, "Missing", "")</f>
        <v/>
      </c>
      <c r="C2318" s="128"/>
      <c r="E2318" s="128" t="str">
        <f t="shared" si="1"/>
        <v/>
      </c>
    </row>
    <row r="2319">
      <c r="A2319" s="93" t="str">
        <f t="shared" si="2"/>
        <v>#16168</v>
      </c>
      <c r="B2319" s="93" t="str">
        <f>IF(COUNTIF(MAIN!B:B, A2319)=0, "Missing", "")</f>
        <v/>
      </c>
      <c r="C2319" s="128"/>
      <c r="E2319" s="128" t="str">
        <f t="shared" si="1"/>
        <v/>
      </c>
    </row>
    <row r="2320">
      <c r="A2320" s="93" t="str">
        <f t="shared" si="2"/>
        <v>#16169</v>
      </c>
      <c r="B2320" s="93" t="str">
        <f>IF(COUNTIF(MAIN!B:B, A2320)=0, "Missing", "")</f>
        <v/>
      </c>
      <c r="C2320" s="128"/>
      <c r="E2320" s="128" t="str">
        <f t="shared" si="1"/>
        <v/>
      </c>
    </row>
    <row r="2321">
      <c r="A2321" s="93" t="str">
        <f t="shared" si="2"/>
        <v>#16170</v>
      </c>
      <c r="B2321" s="93" t="str">
        <f>IF(COUNTIF(MAIN!B:B, A2321)=0, "Missing", "")</f>
        <v/>
      </c>
      <c r="C2321" s="128"/>
      <c r="E2321" s="128" t="str">
        <f t="shared" si="1"/>
        <v/>
      </c>
    </row>
    <row r="2322">
      <c r="A2322" s="93" t="str">
        <f t="shared" si="2"/>
        <v>#16171</v>
      </c>
      <c r="B2322" s="93" t="str">
        <f>IF(COUNTIF(MAIN!B:B, A2322)=0, "Missing", "")</f>
        <v/>
      </c>
      <c r="C2322" s="128"/>
      <c r="E2322" s="128" t="str">
        <f t="shared" si="1"/>
        <v/>
      </c>
    </row>
    <row r="2323">
      <c r="A2323" s="93" t="str">
        <f t="shared" si="2"/>
        <v>#16172</v>
      </c>
      <c r="B2323" s="93" t="str">
        <f>IF(COUNTIF(MAIN!B:B, A2323)=0, "Missing", "")</f>
        <v/>
      </c>
      <c r="C2323" s="128"/>
      <c r="E2323" s="128" t="str">
        <f t="shared" si="1"/>
        <v/>
      </c>
    </row>
    <row r="2324">
      <c r="A2324" s="93" t="str">
        <f t="shared" si="2"/>
        <v>#16173</v>
      </c>
      <c r="B2324" s="93" t="str">
        <f>IF(COUNTIF(MAIN!B:B, A2324)=0, "Missing", "")</f>
        <v/>
      </c>
      <c r="C2324" s="128"/>
      <c r="E2324" s="128" t="str">
        <f t="shared" si="1"/>
        <v/>
      </c>
    </row>
    <row r="2325">
      <c r="A2325" s="93" t="str">
        <f t="shared" si="2"/>
        <v>#16174</v>
      </c>
      <c r="B2325" s="93" t="str">
        <f>IF(COUNTIF(MAIN!B:B, A2325)=0, "Missing", "")</f>
        <v/>
      </c>
      <c r="C2325" s="128"/>
      <c r="E2325" s="128" t="str">
        <f t="shared" si="1"/>
        <v/>
      </c>
    </row>
    <row r="2326">
      <c r="A2326" s="93" t="str">
        <f t="shared" si="2"/>
        <v>#16175</v>
      </c>
      <c r="B2326" s="93" t="str">
        <f>IF(COUNTIF(MAIN!B:B, A2326)=0, "Missing", "")</f>
        <v/>
      </c>
      <c r="C2326" s="128"/>
      <c r="E2326" s="128" t="str">
        <f t="shared" si="1"/>
        <v/>
      </c>
    </row>
    <row r="2327">
      <c r="A2327" s="93" t="str">
        <f t="shared" si="2"/>
        <v>#16176</v>
      </c>
      <c r="B2327" s="93" t="str">
        <f>IF(COUNTIF(MAIN!B:B, A2327)=0, "Missing", "")</f>
        <v/>
      </c>
      <c r="C2327" s="128"/>
      <c r="E2327" s="128" t="str">
        <f t="shared" si="1"/>
        <v/>
      </c>
    </row>
    <row r="2328">
      <c r="A2328" s="93" t="str">
        <f t="shared" si="2"/>
        <v>#16177</v>
      </c>
      <c r="B2328" s="93" t="str">
        <f>IF(COUNTIF(MAIN!B:B, A2328)=0, "Missing", "")</f>
        <v/>
      </c>
      <c r="C2328" s="128"/>
      <c r="E2328" s="128" t="str">
        <f t="shared" si="1"/>
        <v/>
      </c>
    </row>
    <row r="2329">
      <c r="A2329" s="93" t="str">
        <f t="shared" si="2"/>
        <v>#16178</v>
      </c>
      <c r="B2329" s="93" t="str">
        <f>IF(COUNTIF(MAIN!B:B, A2329)=0, "Missing", "")</f>
        <v/>
      </c>
      <c r="C2329" s="128"/>
      <c r="E2329" s="128" t="str">
        <f t="shared" si="1"/>
        <v/>
      </c>
    </row>
    <row r="2330">
      <c r="A2330" s="93" t="str">
        <f t="shared" si="2"/>
        <v>#16179</v>
      </c>
      <c r="B2330" s="93" t="str">
        <f>IF(COUNTIF(MAIN!B:B, A2330)=0, "Missing", "")</f>
        <v/>
      </c>
      <c r="C2330" s="128"/>
      <c r="E2330" s="128" t="str">
        <f t="shared" si="1"/>
        <v/>
      </c>
    </row>
    <row r="2331">
      <c r="A2331" s="93" t="str">
        <f t="shared" si="2"/>
        <v>#16180</v>
      </c>
      <c r="B2331" s="93" t="str">
        <f>IF(COUNTIF(MAIN!B:B, A2331)=0, "Missing", "")</f>
        <v/>
      </c>
      <c r="C2331" s="128"/>
      <c r="E2331" s="128" t="str">
        <f t="shared" si="1"/>
        <v/>
      </c>
    </row>
    <row r="2332">
      <c r="A2332" s="93" t="str">
        <f t="shared" si="2"/>
        <v>#16181</v>
      </c>
      <c r="B2332" s="93" t="str">
        <f>IF(COUNTIF(MAIN!B:B, A2332)=0, "Missing", "")</f>
        <v/>
      </c>
      <c r="C2332" s="128"/>
      <c r="E2332" s="128" t="str">
        <f t="shared" si="1"/>
        <v/>
      </c>
    </row>
    <row r="2333">
      <c r="A2333" s="93" t="str">
        <f t="shared" si="2"/>
        <v>#16182</v>
      </c>
      <c r="B2333" s="93" t="str">
        <f>IF(COUNTIF(MAIN!B:B, A2333)=0, "Missing", "")</f>
        <v/>
      </c>
      <c r="C2333" s="128"/>
      <c r="E2333" s="128" t="str">
        <f t="shared" si="1"/>
        <v/>
      </c>
    </row>
    <row r="2334">
      <c r="A2334" s="93" t="str">
        <f t="shared" si="2"/>
        <v>#16183</v>
      </c>
      <c r="B2334" s="93" t="str">
        <f>IF(COUNTIF(MAIN!B:B, A2334)=0, "Missing", "")</f>
        <v/>
      </c>
      <c r="C2334" s="128"/>
      <c r="E2334" s="128" t="str">
        <f t="shared" si="1"/>
        <v/>
      </c>
    </row>
    <row r="2335">
      <c r="A2335" s="93" t="str">
        <f t="shared" si="2"/>
        <v>#16184</v>
      </c>
      <c r="B2335" s="93" t="str">
        <f>IF(COUNTIF(MAIN!B:B, A2335)=0, "Missing", "")</f>
        <v/>
      </c>
      <c r="C2335" s="128"/>
      <c r="E2335" s="128" t="str">
        <f t="shared" si="1"/>
        <v/>
      </c>
    </row>
    <row r="2336">
      <c r="A2336" s="93" t="str">
        <f t="shared" si="2"/>
        <v>#16185</v>
      </c>
      <c r="B2336" s="93" t="str">
        <f>IF(COUNTIF(MAIN!B:B, A2336)=0, "Missing", "")</f>
        <v/>
      </c>
      <c r="C2336" s="128"/>
      <c r="E2336" s="128" t="str">
        <f t="shared" si="1"/>
        <v/>
      </c>
    </row>
    <row r="2337">
      <c r="A2337" s="93" t="str">
        <f t="shared" si="2"/>
        <v>#16186</v>
      </c>
      <c r="B2337" s="93" t="str">
        <f>IF(COUNTIF(MAIN!B:B, A2337)=0, "Missing", "")</f>
        <v/>
      </c>
      <c r="C2337" s="128"/>
      <c r="E2337" s="128" t="str">
        <f t="shared" si="1"/>
        <v/>
      </c>
    </row>
    <row r="2338">
      <c r="A2338" s="93" t="str">
        <f t="shared" si="2"/>
        <v>#16187</v>
      </c>
      <c r="B2338" s="93" t="str">
        <f>IF(COUNTIF(MAIN!B:B, A2338)=0, "Missing", "")</f>
        <v/>
      </c>
      <c r="C2338" s="128"/>
      <c r="E2338" s="128" t="str">
        <f t="shared" si="1"/>
        <v/>
      </c>
    </row>
    <row r="2339">
      <c r="A2339" s="93" t="str">
        <f t="shared" si="2"/>
        <v>#16188</v>
      </c>
      <c r="B2339" s="93" t="str">
        <f>IF(COUNTIF(MAIN!B:B, A2339)=0, "Missing", "")</f>
        <v/>
      </c>
      <c r="C2339" s="128"/>
      <c r="E2339" s="128" t="str">
        <f t="shared" si="1"/>
        <v/>
      </c>
    </row>
    <row r="2340">
      <c r="A2340" s="93" t="str">
        <f t="shared" si="2"/>
        <v>#16189</v>
      </c>
      <c r="B2340" s="93" t="str">
        <f>IF(COUNTIF(MAIN!B:B, A2340)=0, "Missing", "")</f>
        <v/>
      </c>
      <c r="C2340" s="128"/>
      <c r="E2340" s="128" t="str">
        <f t="shared" si="1"/>
        <v/>
      </c>
    </row>
    <row r="2341">
      <c r="A2341" s="93" t="str">
        <f t="shared" si="2"/>
        <v>#16190</v>
      </c>
      <c r="B2341" s="93" t="str">
        <f>IF(COUNTIF(MAIN!B:B, A2341)=0, "Missing", "")</f>
        <v/>
      </c>
      <c r="C2341" s="128"/>
      <c r="E2341" s="128" t="str">
        <f t="shared" si="1"/>
        <v/>
      </c>
    </row>
    <row r="2342">
      <c r="A2342" s="93" t="str">
        <f t="shared" si="2"/>
        <v>#16191</v>
      </c>
      <c r="B2342" s="93" t="str">
        <f>IF(COUNTIF(MAIN!B:B, A2342)=0, "Missing", "")</f>
        <v/>
      </c>
      <c r="C2342" s="128"/>
      <c r="E2342" s="128" t="str">
        <f t="shared" si="1"/>
        <v/>
      </c>
    </row>
    <row r="2343">
      <c r="A2343" s="93" t="str">
        <f t="shared" si="2"/>
        <v>#16192</v>
      </c>
      <c r="B2343" s="93" t="str">
        <f>IF(COUNTIF(MAIN!B:B, A2343)=0, "Missing", "")</f>
        <v/>
      </c>
      <c r="C2343" s="128"/>
      <c r="E2343" s="128" t="str">
        <f t="shared" si="1"/>
        <v/>
      </c>
    </row>
    <row r="2344">
      <c r="A2344" s="93" t="str">
        <f t="shared" si="2"/>
        <v>#16193</v>
      </c>
      <c r="B2344" s="93" t="str">
        <f>IF(COUNTIF(MAIN!B:B, A2344)=0, "Missing", "")</f>
        <v/>
      </c>
      <c r="C2344" s="128"/>
      <c r="E2344" s="128" t="str">
        <f t="shared" si="1"/>
        <v/>
      </c>
    </row>
    <row r="2345">
      <c r="A2345" s="93" t="str">
        <f t="shared" si="2"/>
        <v>#16194</v>
      </c>
      <c r="B2345" s="93" t="str">
        <f>IF(COUNTIF(MAIN!B:B, A2345)=0, "Missing", "")</f>
        <v/>
      </c>
      <c r="C2345" s="128"/>
      <c r="E2345" s="128" t="str">
        <f t="shared" si="1"/>
        <v/>
      </c>
    </row>
    <row r="2346">
      <c r="A2346" s="93" t="str">
        <f t="shared" si="2"/>
        <v>#16195</v>
      </c>
      <c r="B2346" s="93" t="str">
        <f>IF(COUNTIF(MAIN!B:B, A2346)=0, "Missing", "")</f>
        <v/>
      </c>
      <c r="C2346" s="128"/>
      <c r="E2346" s="128" t="str">
        <f t="shared" si="1"/>
        <v/>
      </c>
    </row>
    <row r="2347">
      <c r="A2347" s="93" t="str">
        <f t="shared" si="2"/>
        <v>#16196</v>
      </c>
      <c r="B2347" s="93" t="str">
        <f>IF(COUNTIF(MAIN!B:B, A2347)=0, "Missing", "")</f>
        <v/>
      </c>
      <c r="C2347" s="128"/>
      <c r="E2347" s="128" t="str">
        <f t="shared" si="1"/>
        <v/>
      </c>
    </row>
    <row r="2348">
      <c r="A2348" s="93" t="str">
        <f t="shared" si="2"/>
        <v>#16197</v>
      </c>
      <c r="B2348" s="93" t="str">
        <f>IF(COUNTIF(MAIN!B:B, A2348)=0, "Missing", "")</f>
        <v/>
      </c>
      <c r="C2348" s="128"/>
      <c r="E2348" s="128" t="str">
        <f t="shared" si="1"/>
        <v/>
      </c>
    </row>
    <row r="2349">
      <c r="A2349" s="93" t="str">
        <f t="shared" si="2"/>
        <v>#16198</v>
      </c>
      <c r="B2349" s="93" t="str">
        <f>IF(COUNTIF(MAIN!B:B, A2349)=0, "Missing", "")</f>
        <v/>
      </c>
      <c r="C2349" s="128"/>
      <c r="E2349" s="128" t="str">
        <f t="shared" si="1"/>
        <v/>
      </c>
    </row>
    <row r="2350">
      <c r="A2350" s="93" t="str">
        <f t="shared" si="2"/>
        <v>#16199</v>
      </c>
      <c r="B2350" s="93" t="str">
        <f>IF(COUNTIF(MAIN!B:B, A2350)=0, "Missing", "")</f>
        <v/>
      </c>
      <c r="C2350" s="128"/>
      <c r="E2350" s="128" t="str">
        <f t="shared" si="1"/>
        <v/>
      </c>
    </row>
    <row r="2351">
      <c r="A2351" s="93" t="str">
        <f t="shared" si="2"/>
        <v>#16200</v>
      </c>
      <c r="B2351" s="93" t="str">
        <f>IF(COUNTIF(MAIN!B:B, A2351)=0, "Missing", "")</f>
        <v/>
      </c>
      <c r="C2351" s="128"/>
      <c r="E2351" s="128" t="str">
        <f t="shared" si="1"/>
        <v/>
      </c>
    </row>
    <row r="2352">
      <c r="A2352" s="93" t="str">
        <f t="shared" si="2"/>
        <v>#16201</v>
      </c>
      <c r="B2352" s="93" t="str">
        <f>IF(COUNTIF(MAIN!B:B, A2352)=0, "Missing", "")</f>
        <v/>
      </c>
      <c r="C2352" s="128"/>
      <c r="E2352" s="128" t="str">
        <f t="shared" si="1"/>
        <v/>
      </c>
    </row>
    <row r="2353">
      <c r="A2353" s="93" t="str">
        <f t="shared" si="2"/>
        <v>#16202</v>
      </c>
      <c r="B2353" s="93" t="str">
        <f>IF(COUNTIF(MAIN!B:B, A2353)=0, "Missing", "")</f>
        <v/>
      </c>
      <c r="C2353" s="128"/>
      <c r="E2353" s="128" t="str">
        <f t="shared" si="1"/>
        <v/>
      </c>
    </row>
    <row r="2354">
      <c r="A2354" s="93" t="str">
        <f t="shared" si="2"/>
        <v>#16203</v>
      </c>
      <c r="B2354" s="93" t="str">
        <f>IF(COUNTIF(MAIN!B:B, A2354)=0, "Missing", "")</f>
        <v/>
      </c>
      <c r="C2354" s="128"/>
      <c r="E2354" s="128" t="str">
        <f t="shared" si="1"/>
        <v/>
      </c>
    </row>
    <row r="2355">
      <c r="A2355" s="93" t="str">
        <f t="shared" si="2"/>
        <v>#16204</v>
      </c>
      <c r="B2355" s="93" t="str">
        <f>IF(COUNTIF(MAIN!B:B, A2355)=0, "Missing", "")</f>
        <v/>
      </c>
      <c r="C2355" s="128"/>
      <c r="E2355" s="128" t="str">
        <f t="shared" si="1"/>
        <v/>
      </c>
    </row>
    <row r="2356">
      <c r="A2356" s="93" t="str">
        <f t="shared" si="2"/>
        <v>#16205</v>
      </c>
      <c r="B2356" s="93" t="str">
        <f>IF(COUNTIF(MAIN!B:B, A2356)=0, "Missing", "")</f>
        <v/>
      </c>
      <c r="C2356" s="128"/>
      <c r="E2356" s="128" t="str">
        <f t="shared" si="1"/>
        <v/>
      </c>
    </row>
    <row r="2357">
      <c r="A2357" s="93" t="str">
        <f t="shared" si="2"/>
        <v>#16206</v>
      </c>
      <c r="B2357" s="93" t="str">
        <f>IF(COUNTIF(MAIN!B:B, A2357)=0, "Missing", "")</f>
        <v/>
      </c>
      <c r="C2357" s="128"/>
      <c r="E2357" s="128" t="str">
        <f t="shared" si="1"/>
        <v/>
      </c>
    </row>
    <row r="2358">
      <c r="A2358" s="93" t="str">
        <f t="shared" si="2"/>
        <v>#16207</v>
      </c>
      <c r="B2358" s="93" t="str">
        <f>IF(COUNTIF(MAIN!B:B, A2358)=0, "Missing", "")</f>
        <v/>
      </c>
      <c r="C2358" s="128"/>
      <c r="E2358" s="128" t="str">
        <f t="shared" si="1"/>
        <v/>
      </c>
    </row>
    <row r="2359">
      <c r="A2359" s="93" t="str">
        <f t="shared" si="2"/>
        <v>#16208</v>
      </c>
      <c r="B2359" s="93" t="str">
        <f>IF(COUNTIF(MAIN!B:B, A2359)=0, "Missing", "")</f>
        <v/>
      </c>
      <c r="C2359" s="128"/>
      <c r="E2359" s="128" t="str">
        <f t="shared" si="1"/>
        <v/>
      </c>
    </row>
    <row r="2360">
      <c r="A2360" s="93" t="str">
        <f t="shared" si="2"/>
        <v>#16209</v>
      </c>
      <c r="B2360" s="93" t="str">
        <f>IF(COUNTIF(MAIN!B:B, A2360)=0, "Missing", "")</f>
        <v/>
      </c>
      <c r="C2360" s="128"/>
      <c r="E2360" s="128" t="str">
        <f t="shared" si="1"/>
        <v/>
      </c>
    </row>
    <row r="2361">
      <c r="A2361" s="93" t="str">
        <f t="shared" si="2"/>
        <v>#16210</v>
      </c>
      <c r="B2361" s="93" t="str">
        <f>IF(COUNTIF(MAIN!B:B, A2361)=0, "Missing", "")</f>
        <v/>
      </c>
      <c r="C2361" s="128"/>
      <c r="E2361" s="128" t="str">
        <f t="shared" si="1"/>
        <v/>
      </c>
    </row>
    <row r="2362">
      <c r="A2362" s="93" t="str">
        <f t="shared" si="2"/>
        <v>#16211</v>
      </c>
      <c r="B2362" s="93" t="str">
        <f>IF(COUNTIF(MAIN!B:B, A2362)=0, "Missing", "")</f>
        <v/>
      </c>
      <c r="C2362" s="128"/>
      <c r="E2362" s="128" t="str">
        <f t="shared" si="1"/>
        <v/>
      </c>
    </row>
    <row r="2363">
      <c r="A2363" s="93" t="str">
        <f t="shared" si="2"/>
        <v>#16212</v>
      </c>
      <c r="B2363" s="93" t="str">
        <f>IF(COUNTIF(MAIN!B:B, A2363)=0, "Missing", "")</f>
        <v/>
      </c>
      <c r="C2363" s="128"/>
      <c r="E2363" s="128" t="str">
        <f t="shared" si="1"/>
        <v/>
      </c>
    </row>
    <row r="2364">
      <c r="A2364" s="93" t="str">
        <f t="shared" si="2"/>
        <v>#16213</v>
      </c>
      <c r="B2364" s="93" t="str">
        <f>IF(COUNTIF(MAIN!B:B, A2364)=0, "Missing", "")</f>
        <v/>
      </c>
      <c r="C2364" s="128"/>
      <c r="E2364" s="128" t="str">
        <f t="shared" si="1"/>
        <v/>
      </c>
    </row>
    <row r="2365">
      <c r="A2365" s="93" t="str">
        <f t="shared" si="2"/>
        <v>#16214</v>
      </c>
      <c r="B2365" s="93" t="str">
        <f>IF(COUNTIF(MAIN!B:B, A2365)=0, "Missing", "")</f>
        <v/>
      </c>
      <c r="C2365" s="128"/>
      <c r="E2365" s="128" t="str">
        <f t="shared" si="1"/>
        <v/>
      </c>
    </row>
    <row r="2366">
      <c r="A2366" s="93" t="str">
        <f t="shared" si="2"/>
        <v>#16215</v>
      </c>
      <c r="B2366" s="93" t="str">
        <f>IF(COUNTIF(MAIN!B:B, A2366)=0, "Missing", "")</f>
        <v/>
      </c>
      <c r="C2366" s="128"/>
      <c r="E2366" s="128" t="str">
        <f t="shared" si="1"/>
        <v/>
      </c>
    </row>
    <row r="2367">
      <c r="A2367" s="93" t="str">
        <f t="shared" si="2"/>
        <v>#16216</v>
      </c>
      <c r="B2367" s="93" t="str">
        <f>IF(COUNTIF(MAIN!B:B, A2367)=0, "Missing", "")</f>
        <v/>
      </c>
      <c r="C2367" s="128"/>
      <c r="E2367" s="128" t="str">
        <f t="shared" si="1"/>
        <v/>
      </c>
    </row>
    <row r="2368">
      <c r="A2368" s="93" t="str">
        <f t="shared" si="2"/>
        <v>#16217</v>
      </c>
      <c r="B2368" s="93" t="str">
        <f>IF(COUNTIF(MAIN!B:B, A2368)=0, "Missing", "")</f>
        <v/>
      </c>
      <c r="C2368" s="128"/>
      <c r="E2368" s="128" t="str">
        <f t="shared" si="1"/>
        <v/>
      </c>
    </row>
    <row r="2369">
      <c r="A2369" s="93" t="str">
        <f t="shared" si="2"/>
        <v>#16218</v>
      </c>
      <c r="B2369" s="93" t="str">
        <f>IF(COUNTIF(MAIN!B:B, A2369)=0, "Missing", "")</f>
        <v/>
      </c>
      <c r="C2369" s="128"/>
      <c r="E2369" s="128" t="str">
        <f t="shared" si="1"/>
        <v/>
      </c>
    </row>
    <row r="2370">
      <c r="A2370" s="93" t="str">
        <f t="shared" si="2"/>
        <v>#16219</v>
      </c>
      <c r="B2370" s="93" t="str">
        <f>IF(COUNTIF(MAIN!B:B, A2370)=0, "Missing", "")</f>
        <v/>
      </c>
      <c r="C2370" s="128"/>
      <c r="E2370" s="128" t="str">
        <f t="shared" si="1"/>
        <v/>
      </c>
    </row>
    <row r="2371">
      <c r="A2371" s="93" t="str">
        <f t="shared" si="2"/>
        <v>#16220</v>
      </c>
      <c r="B2371" s="93" t="str">
        <f>IF(COUNTIF(MAIN!B:B, A2371)=0, "Missing", "")</f>
        <v/>
      </c>
      <c r="C2371" s="128"/>
      <c r="E2371" s="128" t="str">
        <f t="shared" si="1"/>
        <v/>
      </c>
    </row>
    <row r="2372">
      <c r="A2372" s="93" t="str">
        <f t="shared" si="2"/>
        <v>#16221</v>
      </c>
      <c r="B2372" s="93" t="str">
        <f>IF(COUNTIF(MAIN!B:B, A2372)=0, "Missing", "")</f>
        <v/>
      </c>
      <c r="C2372" s="128"/>
      <c r="E2372" s="128" t="str">
        <f t="shared" si="1"/>
        <v/>
      </c>
    </row>
    <row r="2373">
      <c r="A2373" s="93" t="str">
        <f t="shared" si="2"/>
        <v>#16222</v>
      </c>
      <c r="B2373" s="93" t="str">
        <f>IF(COUNTIF(MAIN!B:B, A2373)=0, "Missing", "")</f>
        <v/>
      </c>
      <c r="C2373" s="128"/>
      <c r="E2373" s="128" t="str">
        <f t="shared" si="1"/>
        <v/>
      </c>
    </row>
    <row r="2374">
      <c r="A2374" s="93" t="str">
        <f t="shared" si="2"/>
        <v>#16223</v>
      </c>
      <c r="B2374" s="93" t="str">
        <f>IF(COUNTIF(MAIN!B:B, A2374)=0, "Missing", "")</f>
        <v/>
      </c>
      <c r="C2374" s="128"/>
      <c r="E2374" s="128" t="str">
        <f t="shared" si="1"/>
        <v/>
      </c>
    </row>
    <row r="2375">
      <c r="A2375" s="93" t="str">
        <f t="shared" si="2"/>
        <v>#16224</v>
      </c>
      <c r="B2375" s="93" t="str">
        <f>IF(COUNTIF(MAIN!B:B, A2375)=0, "Missing", "")</f>
        <v/>
      </c>
      <c r="C2375" s="128"/>
      <c r="E2375" s="128" t="str">
        <f t="shared" si="1"/>
        <v/>
      </c>
    </row>
    <row r="2376">
      <c r="A2376" s="93" t="str">
        <f t="shared" si="2"/>
        <v>#16225</v>
      </c>
      <c r="B2376" s="93" t="str">
        <f>IF(COUNTIF(MAIN!B:B, A2376)=0, "Missing", "")</f>
        <v/>
      </c>
      <c r="C2376" s="128"/>
      <c r="E2376" s="128" t="str">
        <f t="shared" si="1"/>
        <v/>
      </c>
    </row>
    <row r="2377">
      <c r="A2377" s="93" t="str">
        <f t="shared" si="2"/>
        <v>#16226</v>
      </c>
      <c r="B2377" s="93" t="str">
        <f>IF(COUNTIF(MAIN!B:B, A2377)=0, "Missing", "")</f>
        <v/>
      </c>
      <c r="C2377" s="128"/>
      <c r="E2377" s="128" t="str">
        <f t="shared" si="1"/>
        <v/>
      </c>
    </row>
    <row r="2378">
      <c r="A2378" s="93" t="str">
        <f t="shared" si="2"/>
        <v>#16227</v>
      </c>
      <c r="B2378" s="93" t="str">
        <f>IF(COUNTIF(MAIN!B:B, A2378)=0, "Missing", "")</f>
        <v/>
      </c>
      <c r="C2378" s="128"/>
      <c r="E2378" s="128" t="str">
        <f t="shared" si="1"/>
        <v/>
      </c>
    </row>
    <row r="2379">
      <c r="A2379" s="93" t="str">
        <f t="shared" si="2"/>
        <v>#16228</v>
      </c>
      <c r="B2379" s="93" t="str">
        <f>IF(COUNTIF(MAIN!B:B, A2379)=0, "Missing", "")</f>
        <v/>
      </c>
      <c r="C2379" s="128"/>
      <c r="E2379" s="128" t="str">
        <f t="shared" si="1"/>
        <v/>
      </c>
    </row>
    <row r="2380">
      <c r="A2380" s="93" t="str">
        <f t="shared" si="2"/>
        <v>#16229</v>
      </c>
      <c r="B2380" s="93" t="str">
        <f>IF(COUNTIF(MAIN!B:B, A2380)=0, "Missing", "")</f>
        <v/>
      </c>
      <c r="C2380" s="128"/>
      <c r="E2380" s="128" t="str">
        <f t="shared" si="1"/>
        <v/>
      </c>
    </row>
    <row r="2381">
      <c r="A2381" s="93" t="str">
        <f t="shared" si="2"/>
        <v>#16230</v>
      </c>
      <c r="B2381" s="93" t="str">
        <f>IF(COUNTIF(MAIN!B:B, A2381)=0, "Missing", "")</f>
        <v/>
      </c>
      <c r="C2381" s="128"/>
      <c r="E2381" s="128" t="str">
        <f t="shared" si="1"/>
        <v/>
      </c>
    </row>
    <row r="2382">
      <c r="A2382" s="93" t="str">
        <f t="shared" si="2"/>
        <v>#16231</v>
      </c>
      <c r="B2382" s="93" t="str">
        <f>IF(COUNTIF(MAIN!B:B, A2382)=0, "Missing", "")</f>
        <v/>
      </c>
      <c r="C2382" s="128"/>
      <c r="E2382" s="128" t="str">
        <f t="shared" si="1"/>
        <v/>
      </c>
    </row>
    <row r="2383">
      <c r="A2383" s="93" t="str">
        <f t="shared" si="2"/>
        <v>#16232</v>
      </c>
      <c r="B2383" s="93" t="str">
        <f>IF(COUNTIF(MAIN!B:B, A2383)=0, "Missing", "")</f>
        <v/>
      </c>
      <c r="C2383" s="128"/>
      <c r="E2383" s="128" t="str">
        <f t="shared" si="1"/>
        <v/>
      </c>
    </row>
    <row r="2384">
      <c r="A2384" s="93" t="str">
        <f t="shared" si="2"/>
        <v>#16233</v>
      </c>
      <c r="B2384" s="93" t="str">
        <f>IF(COUNTIF(MAIN!B:B, A2384)=0, "Missing", "")</f>
        <v/>
      </c>
      <c r="C2384" s="128"/>
      <c r="E2384" s="128" t="str">
        <f t="shared" si="1"/>
        <v/>
      </c>
    </row>
    <row r="2385">
      <c r="A2385" s="93" t="str">
        <f t="shared" si="2"/>
        <v>#16234</v>
      </c>
      <c r="B2385" s="93" t="str">
        <f>IF(COUNTIF(MAIN!B:B, A2385)=0, "Missing", "")</f>
        <v/>
      </c>
      <c r="C2385" s="128"/>
      <c r="E2385" s="128" t="str">
        <f t="shared" si="1"/>
        <v/>
      </c>
    </row>
    <row r="2386">
      <c r="A2386" s="93" t="str">
        <f t="shared" si="2"/>
        <v>#16235</v>
      </c>
      <c r="B2386" s="93" t="str">
        <f>IF(COUNTIF(MAIN!B:B, A2386)=0, "Missing", "")</f>
        <v/>
      </c>
      <c r="C2386" s="128"/>
      <c r="E2386" s="128" t="str">
        <f t="shared" si="1"/>
        <v/>
      </c>
    </row>
    <row r="2387">
      <c r="A2387" s="93" t="str">
        <f t="shared" si="2"/>
        <v>#16236</v>
      </c>
      <c r="B2387" s="93" t="str">
        <f>IF(COUNTIF(MAIN!B:B, A2387)=0, "Missing", "")</f>
        <v/>
      </c>
      <c r="C2387" s="128"/>
      <c r="E2387" s="128" t="str">
        <f t="shared" si="1"/>
        <v/>
      </c>
    </row>
    <row r="2388">
      <c r="A2388" s="93" t="str">
        <f t="shared" si="2"/>
        <v>#16237</v>
      </c>
      <c r="B2388" s="93" t="str">
        <f>IF(COUNTIF(MAIN!B:B, A2388)=0, "Missing", "")</f>
        <v/>
      </c>
      <c r="C2388" s="128"/>
      <c r="E2388" s="128" t="str">
        <f t="shared" si="1"/>
        <v/>
      </c>
    </row>
    <row r="2389">
      <c r="A2389" s="93" t="str">
        <f t="shared" si="2"/>
        <v>#16238</v>
      </c>
      <c r="B2389" s="93" t="str">
        <f>IF(COUNTIF(MAIN!B:B, A2389)=0, "Missing", "")</f>
        <v/>
      </c>
      <c r="C2389" s="128"/>
      <c r="E2389" s="128" t="str">
        <f t="shared" si="1"/>
        <v/>
      </c>
    </row>
    <row r="2390">
      <c r="A2390" s="93" t="str">
        <f t="shared" si="2"/>
        <v>#16239</v>
      </c>
      <c r="B2390" s="93" t="str">
        <f>IF(COUNTIF(MAIN!B:B, A2390)=0, "Missing", "")</f>
        <v/>
      </c>
      <c r="C2390" s="128"/>
      <c r="E2390" s="128" t="str">
        <f t="shared" si="1"/>
        <v/>
      </c>
    </row>
    <row r="2391">
      <c r="A2391" s="93" t="str">
        <f t="shared" si="2"/>
        <v>#16240</v>
      </c>
      <c r="B2391" s="93" t="str">
        <f>IF(COUNTIF(MAIN!B:B, A2391)=0, "Missing", "")</f>
        <v/>
      </c>
      <c r="C2391" s="128"/>
      <c r="E2391" s="128" t="str">
        <f t="shared" si="1"/>
        <v/>
      </c>
    </row>
    <row r="2392">
      <c r="A2392" s="93" t="str">
        <f t="shared" si="2"/>
        <v>#16241</v>
      </c>
      <c r="B2392" s="93" t="str">
        <f>IF(COUNTIF(MAIN!B:B, A2392)=0, "Missing", "")</f>
        <v/>
      </c>
      <c r="C2392" s="128"/>
      <c r="E2392" s="128" t="str">
        <f t="shared" si="1"/>
        <v/>
      </c>
    </row>
    <row r="2393">
      <c r="A2393" s="93" t="str">
        <f t="shared" si="2"/>
        <v>#16242</v>
      </c>
      <c r="B2393" s="93" t="str">
        <f>IF(COUNTIF(MAIN!B:B, A2393)=0, "Missing", "")</f>
        <v/>
      </c>
      <c r="C2393" s="128"/>
      <c r="E2393" s="128" t="str">
        <f t="shared" si="1"/>
        <v/>
      </c>
    </row>
    <row r="2394">
      <c r="A2394" s="93" t="str">
        <f t="shared" si="2"/>
        <v>#16243</v>
      </c>
      <c r="B2394" s="93" t="str">
        <f>IF(COUNTIF(MAIN!B:B, A2394)=0, "Missing", "")</f>
        <v/>
      </c>
      <c r="C2394" s="128"/>
      <c r="E2394" s="128" t="str">
        <f t="shared" si="1"/>
        <v/>
      </c>
    </row>
    <row r="2395">
      <c r="A2395" s="93" t="str">
        <f t="shared" si="2"/>
        <v>#16244</v>
      </c>
      <c r="B2395" s="93" t="str">
        <f>IF(COUNTIF(MAIN!B:B, A2395)=0, "Missing", "")</f>
        <v/>
      </c>
      <c r="C2395" s="128"/>
      <c r="E2395" s="128" t="str">
        <f t="shared" si="1"/>
        <v/>
      </c>
    </row>
    <row r="2396">
      <c r="A2396" s="93" t="str">
        <f t="shared" si="2"/>
        <v>#16245</v>
      </c>
      <c r="B2396" s="93" t="str">
        <f>IF(COUNTIF(MAIN!B:B, A2396)=0, "Missing", "")</f>
        <v/>
      </c>
      <c r="C2396" s="128"/>
      <c r="E2396" s="128" t="str">
        <f t="shared" si="1"/>
        <v/>
      </c>
    </row>
    <row r="2397">
      <c r="A2397" s="93" t="str">
        <f t="shared" si="2"/>
        <v>#16246</v>
      </c>
      <c r="B2397" s="93" t="str">
        <f>IF(COUNTIF(MAIN!B:B, A2397)=0, "Missing", "")</f>
        <v/>
      </c>
      <c r="C2397" s="128"/>
      <c r="E2397" s="128" t="str">
        <f t="shared" si="1"/>
        <v/>
      </c>
    </row>
    <row r="2398">
      <c r="A2398" s="93" t="str">
        <f t="shared" si="2"/>
        <v>#16247</v>
      </c>
      <c r="B2398" s="93" t="str">
        <f>IF(COUNTIF(MAIN!B:B, A2398)=0, "Missing", "")</f>
        <v/>
      </c>
      <c r="C2398" s="128"/>
      <c r="E2398" s="128" t="str">
        <f t="shared" si="1"/>
        <v/>
      </c>
    </row>
    <row r="2399">
      <c r="A2399" s="93" t="str">
        <f t="shared" si="2"/>
        <v>#16248</v>
      </c>
      <c r="B2399" s="93" t="str">
        <f>IF(COUNTIF(MAIN!B:B, A2399)=0, "Missing", "")</f>
        <v/>
      </c>
      <c r="C2399" s="128"/>
      <c r="E2399" s="128" t="str">
        <f t="shared" si="1"/>
        <v/>
      </c>
    </row>
    <row r="2400">
      <c r="A2400" s="93" t="str">
        <f t="shared" si="2"/>
        <v>#16249</v>
      </c>
      <c r="B2400" s="93" t="str">
        <f>IF(COUNTIF(MAIN!B:B, A2400)=0, "Missing", "")</f>
        <v/>
      </c>
      <c r="C2400" s="128"/>
      <c r="E2400" s="128" t="str">
        <f t="shared" si="1"/>
        <v/>
      </c>
    </row>
    <row r="2401">
      <c r="A2401" s="93" t="str">
        <f t="shared" si="2"/>
        <v>#16250</v>
      </c>
      <c r="B2401" s="93" t="str">
        <f>IF(COUNTIF(MAIN!B:B, A2401)=0, "Missing", "")</f>
        <v/>
      </c>
      <c r="C2401" s="128"/>
      <c r="E2401" s="128" t="str">
        <f t="shared" si="1"/>
        <v/>
      </c>
    </row>
    <row r="2402">
      <c r="A2402" s="93" t="str">
        <f t="shared" si="2"/>
        <v>#16251</v>
      </c>
      <c r="B2402" s="93" t="str">
        <f>IF(COUNTIF(MAIN!B:B, A2402)=0, "Missing", "")</f>
        <v/>
      </c>
      <c r="C2402" s="128"/>
      <c r="E2402" s="128" t="str">
        <f t="shared" si="1"/>
        <v/>
      </c>
    </row>
    <row r="2403">
      <c r="A2403" s="93" t="str">
        <f t="shared" si="2"/>
        <v>#16252</v>
      </c>
      <c r="B2403" s="93" t="str">
        <f>IF(COUNTIF(MAIN!B:B, A2403)=0, "Missing", "")</f>
        <v/>
      </c>
      <c r="C2403" s="128"/>
      <c r="E2403" s="128" t="str">
        <f t="shared" si="1"/>
        <v/>
      </c>
    </row>
    <row r="2404">
      <c r="A2404" s="93" t="str">
        <f t="shared" si="2"/>
        <v>#16253</v>
      </c>
      <c r="B2404" s="93" t="str">
        <f>IF(COUNTIF(MAIN!B:B, A2404)=0, "Missing", "")</f>
        <v/>
      </c>
      <c r="C2404" s="128"/>
      <c r="E2404" s="128" t="str">
        <f t="shared" si="1"/>
        <v/>
      </c>
    </row>
    <row r="2405">
      <c r="A2405" s="93" t="str">
        <f t="shared" si="2"/>
        <v>#16254</v>
      </c>
      <c r="B2405" s="93" t="str">
        <f>IF(COUNTIF(MAIN!B:B, A2405)=0, "Missing", "")</f>
        <v/>
      </c>
      <c r="C2405" s="128"/>
      <c r="E2405" s="128" t="str">
        <f t="shared" si="1"/>
        <v/>
      </c>
    </row>
    <row r="2406">
      <c r="A2406" s="93" t="str">
        <f t="shared" si="2"/>
        <v>#16255</v>
      </c>
      <c r="B2406" s="93" t="str">
        <f>IF(COUNTIF(MAIN!B:B, A2406)=0, "Missing", "")</f>
        <v/>
      </c>
      <c r="C2406" s="128"/>
      <c r="E2406" s="128" t="str">
        <f t="shared" si="1"/>
        <v/>
      </c>
    </row>
    <row r="2407">
      <c r="A2407" s="93" t="str">
        <f t="shared" si="2"/>
        <v>#16256</v>
      </c>
      <c r="B2407" s="93" t="str">
        <f>IF(COUNTIF(MAIN!B:B, A2407)=0, "Missing", "")</f>
        <v/>
      </c>
      <c r="C2407" s="128"/>
      <c r="E2407" s="128" t="str">
        <f t="shared" si="1"/>
        <v/>
      </c>
    </row>
    <row r="2408">
      <c r="A2408" s="93" t="str">
        <f t="shared" si="2"/>
        <v>#16257</v>
      </c>
      <c r="B2408" s="93" t="str">
        <f>IF(COUNTIF(MAIN!B:B, A2408)=0, "Missing", "")</f>
        <v/>
      </c>
      <c r="C2408" s="128"/>
      <c r="E2408" s="128" t="str">
        <f t="shared" si="1"/>
        <v/>
      </c>
    </row>
    <row r="2409">
      <c r="A2409" s="93" t="str">
        <f t="shared" si="2"/>
        <v>#16258</v>
      </c>
      <c r="B2409" s="93" t="str">
        <f>IF(COUNTIF(MAIN!B:B, A2409)=0, "Missing", "")</f>
        <v/>
      </c>
      <c r="C2409" s="128"/>
      <c r="E2409" s="128" t="str">
        <f t="shared" si="1"/>
        <v/>
      </c>
    </row>
    <row r="2410">
      <c r="A2410" s="93" t="str">
        <f t="shared" si="2"/>
        <v>#16259</v>
      </c>
      <c r="B2410" s="93" t="str">
        <f>IF(COUNTIF(MAIN!B:B, A2410)=0, "Missing", "")</f>
        <v/>
      </c>
      <c r="C2410" s="128"/>
      <c r="E2410" s="128" t="str">
        <f t="shared" si="1"/>
        <v/>
      </c>
    </row>
    <row r="2411">
      <c r="A2411" s="93" t="str">
        <f t="shared" si="2"/>
        <v>#16260</v>
      </c>
      <c r="B2411" s="93" t="str">
        <f>IF(COUNTIF(MAIN!B:B, A2411)=0, "Missing", "")</f>
        <v/>
      </c>
      <c r="C2411" s="128"/>
      <c r="E2411" s="128" t="str">
        <f t="shared" si="1"/>
        <v/>
      </c>
    </row>
    <row r="2412">
      <c r="A2412" s="93" t="str">
        <f t="shared" si="2"/>
        <v>#16261</v>
      </c>
      <c r="B2412" s="93" t="str">
        <f>IF(COUNTIF(MAIN!B:B, A2412)=0, "Missing", "")</f>
        <v/>
      </c>
      <c r="C2412" s="128"/>
      <c r="E2412" s="128" t="str">
        <f t="shared" si="1"/>
        <v/>
      </c>
    </row>
    <row r="2413">
      <c r="A2413" s="93" t="str">
        <f t="shared" si="2"/>
        <v>#16262</v>
      </c>
      <c r="B2413" s="93" t="str">
        <f>IF(COUNTIF(MAIN!B:B, A2413)=0, "Missing", "")</f>
        <v/>
      </c>
      <c r="C2413" s="128"/>
      <c r="E2413" s="128" t="str">
        <f t="shared" si="1"/>
        <v/>
      </c>
    </row>
    <row r="2414">
      <c r="A2414" s="93" t="str">
        <f t="shared" si="2"/>
        <v>#16263</v>
      </c>
      <c r="B2414" s="93" t="str">
        <f>IF(COUNTIF(MAIN!B:B, A2414)=0, "Missing", "")</f>
        <v/>
      </c>
      <c r="C2414" s="128"/>
      <c r="E2414" s="128" t="str">
        <f t="shared" si="1"/>
        <v/>
      </c>
    </row>
    <row r="2415">
      <c r="A2415" s="93" t="str">
        <f t="shared" si="2"/>
        <v>#16264</v>
      </c>
      <c r="B2415" s="93" t="str">
        <f>IF(COUNTIF(MAIN!B:B, A2415)=0, "Missing", "")</f>
        <v/>
      </c>
      <c r="C2415" s="128"/>
      <c r="E2415" s="128" t="str">
        <f t="shared" si="1"/>
        <v/>
      </c>
    </row>
    <row r="2416">
      <c r="A2416" s="93" t="str">
        <f t="shared" si="2"/>
        <v>#16265</v>
      </c>
      <c r="B2416" s="93" t="str">
        <f>IF(COUNTIF(MAIN!B:B, A2416)=0, "Missing", "")</f>
        <v/>
      </c>
      <c r="C2416" s="128"/>
      <c r="E2416" s="128" t="str">
        <f t="shared" si="1"/>
        <v/>
      </c>
    </row>
    <row r="2417">
      <c r="A2417" s="93" t="str">
        <f t="shared" si="2"/>
        <v>#16266</v>
      </c>
      <c r="B2417" s="93" t="str">
        <f>IF(COUNTIF(MAIN!B:B, A2417)=0, "Missing", "")</f>
        <v/>
      </c>
      <c r="C2417" s="128"/>
      <c r="E2417" s="128" t="str">
        <f t="shared" si="1"/>
        <v/>
      </c>
    </row>
    <row r="2418">
      <c r="A2418" s="93" t="str">
        <f t="shared" si="2"/>
        <v>#16267</v>
      </c>
      <c r="B2418" s="93" t="str">
        <f>IF(COUNTIF(MAIN!B:B, A2418)=0, "Missing", "")</f>
        <v/>
      </c>
      <c r="C2418" s="128"/>
      <c r="E2418" s="128" t="str">
        <f t="shared" si="1"/>
        <v/>
      </c>
    </row>
    <row r="2419">
      <c r="A2419" s="93" t="str">
        <f t="shared" si="2"/>
        <v>#16268</v>
      </c>
      <c r="B2419" s="93" t="str">
        <f>IF(COUNTIF(MAIN!B:B, A2419)=0, "Missing", "")</f>
        <v/>
      </c>
      <c r="C2419" s="128"/>
      <c r="E2419" s="128" t="str">
        <f t="shared" si="1"/>
        <v/>
      </c>
    </row>
    <row r="2420">
      <c r="A2420" s="93" t="str">
        <f t="shared" si="2"/>
        <v>#16269</v>
      </c>
      <c r="B2420" s="93" t="str">
        <f>IF(COUNTIF(MAIN!B:B, A2420)=0, "Missing", "")</f>
        <v/>
      </c>
      <c r="C2420" s="128"/>
      <c r="E2420" s="128" t="str">
        <f t="shared" si="1"/>
        <v/>
      </c>
    </row>
    <row r="2421">
      <c r="A2421" s="93" t="str">
        <f t="shared" si="2"/>
        <v>#16270</v>
      </c>
      <c r="B2421" s="93" t="str">
        <f>IF(COUNTIF(MAIN!B:B, A2421)=0, "Missing", "")</f>
        <v/>
      </c>
      <c r="C2421" s="128"/>
      <c r="E2421" s="128" t="str">
        <f t="shared" si="1"/>
        <v/>
      </c>
    </row>
    <row r="2422">
      <c r="A2422" s="93" t="str">
        <f t="shared" si="2"/>
        <v>#16271</v>
      </c>
      <c r="B2422" s="93" t="str">
        <f>IF(COUNTIF(MAIN!B:B, A2422)=0, "Missing", "")</f>
        <v/>
      </c>
      <c r="C2422" s="128"/>
      <c r="E2422" s="128" t="str">
        <f t="shared" si="1"/>
        <v/>
      </c>
    </row>
    <row r="2423">
      <c r="A2423" s="93" t="str">
        <f t="shared" si="2"/>
        <v>#16272</v>
      </c>
      <c r="B2423" s="93" t="str">
        <f>IF(COUNTIF(MAIN!B:B, A2423)=0, "Missing", "")</f>
        <v/>
      </c>
      <c r="C2423" s="128"/>
      <c r="E2423" s="128" t="str">
        <f t="shared" si="1"/>
        <v/>
      </c>
    </row>
    <row r="2424">
      <c r="A2424" s="93" t="str">
        <f t="shared" si="2"/>
        <v>#16273</v>
      </c>
      <c r="B2424" s="93" t="str">
        <f>IF(COUNTIF(MAIN!B:B, A2424)=0, "Missing", "")</f>
        <v/>
      </c>
      <c r="C2424" s="128"/>
      <c r="E2424" s="128" t="str">
        <f t="shared" si="1"/>
        <v/>
      </c>
    </row>
    <row r="2425">
      <c r="A2425" s="93" t="str">
        <f t="shared" si="2"/>
        <v>#16274</v>
      </c>
      <c r="B2425" s="93" t="str">
        <f>IF(COUNTIF(MAIN!B:B, A2425)=0, "Missing", "")</f>
        <v/>
      </c>
      <c r="C2425" s="128"/>
      <c r="E2425" s="128" t="str">
        <f t="shared" si="1"/>
        <v/>
      </c>
    </row>
    <row r="2426">
      <c r="A2426" s="93" t="str">
        <f t="shared" si="2"/>
        <v>#16275</v>
      </c>
      <c r="B2426" s="93" t="str">
        <f>IF(COUNTIF(MAIN!B:B, A2426)=0, "Missing", "")</f>
        <v/>
      </c>
      <c r="C2426" s="128"/>
      <c r="E2426" s="128" t="str">
        <f t="shared" si="1"/>
        <v/>
      </c>
    </row>
    <row r="2427">
      <c r="A2427" s="93" t="str">
        <f t="shared" si="2"/>
        <v>#16276</v>
      </c>
      <c r="B2427" s="93" t="str">
        <f>IF(COUNTIF(MAIN!B:B, A2427)=0, "Missing", "")</f>
        <v/>
      </c>
      <c r="C2427" s="128"/>
      <c r="E2427" s="128" t="str">
        <f t="shared" si="1"/>
        <v/>
      </c>
    </row>
    <row r="2428">
      <c r="A2428" s="93" t="str">
        <f t="shared" si="2"/>
        <v>#16277</v>
      </c>
      <c r="B2428" s="93" t="str">
        <f>IF(COUNTIF(MAIN!B:B, A2428)=0, "Missing", "")</f>
        <v/>
      </c>
      <c r="C2428" s="128"/>
      <c r="E2428" s="128" t="str">
        <f t="shared" si="1"/>
        <v/>
      </c>
    </row>
    <row r="2429">
      <c r="A2429" s="93" t="str">
        <f t="shared" si="2"/>
        <v>#16278</v>
      </c>
      <c r="B2429" s="93" t="str">
        <f>IF(COUNTIF(MAIN!B:B, A2429)=0, "Missing", "")</f>
        <v/>
      </c>
      <c r="C2429" s="128"/>
      <c r="E2429" s="128" t="str">
        <f t="shared" si="1"/>
        <v/>
      </c>
    </row>
    <row r="2430">
      <c r="A2430" s="93" t="str">
        <f t="shared" si="2"/>
        <v>#16279</v>
      </c>
      <c r="B2430" s="93" t="str">
        <f>IF(COUNTIF(MAIN!B:B, A2430)=0, "Missing", "")</f>
        <v/>
      </c>
      <c r="C2430" s="128"/>
      <c r="E2430" s="128" t="str">
        <f t="shared" si="1"/>
        <v/>
      </c>
    </row>
    <row r="2431">
      <c r="A2431" s="93" t="str">
        <f t="shared" si="2"/>
        <v>#16280</v>
      </c>
      <c r="B2431" s="93" t="str">
        <f>IF(COUNTIF(MAIN!B:B, A2431)=0, "Missing", "")</f>
        <v/>
      </c>
      <c r="C2431" s="128"/>
      <c r="E2431" s="128" t="str">
        <f t="shared" si="1"/>
        <v/>
      </c>
    </row>
    <row r="2432">
      <c r="A2432" s="93" t="str">
        <f t="shared" si="2"/>
        <v>#16281</v>
      </c>
      <c r="B2432" s="93" t="str">
        <f>IF(COUNTIF(MAIN!B:B, A2432)=0, "Missing", "")</f>
        <v/>
      </c>
      <c r="C2432" s="128"/>
      <c r="E2432" s="128" t="str">
        <f t="shared" si="1"/>
        <v/>
      </c>
    </row>
    <row r="2433">
      <c r="A2433" s="93" t="str">
        <f t="shared" si="2"/>
        <v>#16282</v>
      </c>
      <c r="B2433" s="93" t="str">
        <f>IF(COUNTIF(MAIN!B:B, A2433)=0, "Missing", "")</f>
        <v/>
      </c>
      <c r="C2433" s="128"/>
      <c r="E2433" s="128" t="str">
        <f t="shared" si="1"/>
        <v/>
      </c>
    </row>
    <row r="2434">
      <c r="A2434" s="93" t="str">
        <f t="shared" si="2"/>
        <v>#16283</v>
      </c>
      <c r="B2434" s="93" t="str">
        <f>IF(COUNTIF(MAIN!B:B, A2434)=0, "Missing", "")</f>
        <v/>
      </c>
      <c r="C2434" s="128"/>
      <c r="E2434" s="128" t="str">
        <f t="shared" si="1"/>
        <v/>
      </c>
    </row>
    <row r="2435">
      <c r="A2435" s="93" t="str">
        <f t="shared" si="2"/>
        <v>#16284</v>
      </c>
      <c r="B2435" s="93" t="str">
        <f>IF(COUNTIF(MAIN!B:B, A2435)=0, "Missing", "")</f>
        <v/>
      </c>
      <c r="C2435" s="128"/>
      <c r="E2435" s="128" t="str">
        <f t="shared" si="1"/>
        <v/>
      </c>
    </row>
    <row r="2436">
      <c r="A2436" s="93" t="str">
        <f t="shared" si="2"/>
        <v>#16285</v>
      </c>
      <c r="B2436" s="93" t="str">
        <f>IF(COUNTIF(MAIN!B:B, A2436)=0, "Missing", "")</f>
        <v/>
      </c>
      <c r="C2436" s="128"/>
      <c r="E2436" s="128" t="str">
        <f t="shared" si="1"/>
        <v/>
      </c>
    </row>
    <row r="2437">
      <c r="A2437" s="93" t="str">
        <f t="shared" si="2"/>
        <v>#16286</v>
      </c>
      <c r="B2437" s="93" t="str">
        <f>IF(COUNTIF(MAIN!B:B, A2437)=0, "Missing", "")</f>
        <v/>
      </c>
      <c r="C2437" s="128"/>
      <c r="E2437" s="128" t="str">
        <f t="shared" si="1"/>
        <v/>
      </c>
    </row>
    <row r="2438">
      <c r="A2438" s="93" t="str">
        <f t="shared" si="2"/>
        <v>#16287</v>
      </c>
      <c r="B2438" s="93" t="str">
        <f>IF(COUNTIF(MAIN!B:B, A2438)=0, "Missing", "")</f>
        <v/>
      </c>
      <c r="C2438" s="128"/>
      <c r="E2438" s="128" t="str">
        <f t="shared" si="1"/>
        <v/>
      </c>
    </row>
    <row r="2439">
      <c r="A2439" s="93" t="str">
        <f t="shared" si="2"/>
        <v>#16288</v>
      </c>
      <c r="B2439" s="93" t="str">
        <f>IF(COUNTIF(MAIN!B:B, A2439)=0, "Missing", "")</f>
        <v/>
      </c>
      <c r="C2439" s="128"/>
      <c r="E2439" s="128" t="str">
        <f t="shared" si="1"/>
        <v/>
      </c>
    </row>
    <row r="2440">
      <c r="A2440" s="93" t="str">
        <f t="shared" si="2"/>
        <v>#16289</v>
      </c>
      <c r="B2440" s="93" t="str">
        <f>IF(COUNTIF(MAIN!B:B, A2440)=0, "Missing", "")</f>
        <v/>
      </c>
      <c r="C2440" s="128"/>
      <c r="E2440" s="128" t="str">
        <f t="shared" si="1"/>
        <v/>
      </c>
    </row>
    <row r="2441">
      <c r="A2441" s="93" t="str">
        <f t="shared" si="2"/>
        <v>#16290</v>
      </c>
      <c r="B2441" s="93" t="str">
        <f>IF(COUNTIF(MAIN!B:B, A2441)=0, "Missing", "")</f>
        <v/>
      </c>
      <c r="C2441" s="128"/>
      <c r="E2441" s="128" t="str">
        <f t="shared" si="1"/>
        <v/>
      </c>
    </row>
    <row r="2442">
      <c r="A2442" s="93" t="str">
        <f t="shared" si="2"/>
        <v>#16291</v>
      </c>
      <c r="B2442" s="93" t="str">
        <f>IF(COUNTIF(MAIN!B:B, A2442)=0, "Missing", "")</f>
        <v/>
      </c>
      <c r="C2442" s="128"/>
      <c r="E2442" s="128" t="str">
        <f t="shared" si="1"/>
        <v/>
      </c>
    </row>
    <row r="2443">
      <c r="A2443" s="93" t="str">
        <f t="shared" si="2"/>
        <v>#16292</v>
      </c>
      <c r="B2443" s="93" t="str">
        <f>IF(COUNTIF(MAIN!B:B, A2443)=0, "Missing", "")</f>
        <v/>
      </c>
      <c r="C2443" s="128"/>
      <c r="E2443" s="128" t="str">
        <f t="shared" si="1"/>
        <v/>
      </c>
    </row>
    <row r="2444">
      <c r="A2444" s="93" t="str">
        <f t="shared" si="2"/>
        <v>#16293</v>
      </c>
      <c r="B2444" s="93" t="str">
        <f>IF(COUNTIF(MAIN!B:B, A2444)=0, "Missing", "")</f>
        <v/>
      </c>
      <c r="C2444" s="128"/>
      <c r="E2444" s="128" t="str">
        <f t="shared" si="1"/>
        <v/>
      </c>
    </row>
    <row r="2445">
      <c r="A2445" s="93" t="str">
        <f t="shared" si="2"/>
        <v>#16294</v>
      </c>
      <c r="B2445" s="93" t="str">
        <f>IF(COUNTIF(MAIN!B:B, A2445)=0, "Missing", "")</f>
        <v/>
      </c>
      <c r="C2445" s="128"/>
      <c r="E2445" s="128" t="str">
        <f t="shared" si="1"/>
        <v/>
      </c>
    </row>
    <row r="2446">
      <c r="A2446" s="93" t="str">
        <f t="shared" si="2"/>
        <v>#16295</v>
      </c>
      <c r="B2446" s="93" t="str">
        <f>IF(COUNTIF(MAIN!B:B, A2446)=0, "Missing", "")</f>
        <v/>
      </c>
      <c r="C2446" s="128"/>
      <c r="E2446" s="128" t="str">
        <f t="shared" si="1"/>
        <v/>
      </c>
    </row>
    <row r="2447">
      <c r="A2447" s="93" t="str">
        <f t="shared" si="2"/>
        <v>#16296</v>
      </c>
      <c r="B2447" s="93" t="str">
        <f>IF(COUNTIF(MAIN!B:B, A2447)=0, "Missing", "")</f>
        <v/>
      </c>
      <c r="C2447" s="128"/>
      <c r="E2447" s="128" t="str">
        <f t="shared" si="1"/>
        <v/>
      </c>
    </row>
    <row r="2448">
      <c r="A2448" s="93" t="str">
        <f t="shared" si="2"/>
        <v>#16297</v>
      </c>
      <c r="B2448" s="93" t="str">
        <f>IF(COUNTIF(MAIN!B:B, A2448)=0, "Missing", "")</f>
        <v/>
      </c>
      <c r="C2448" s="128"/>
      <c r="E2448" s="128" t="str">
        <f t="shared" si="1"/>
        <v/>
      </c>
    </row>
    <row r="2449">
      <c r="A2449" s="93" t="str">
        <f t="shared" si="2"/>
        <v>#16298</v>
      </c>
      <c r="B2449" s="93" t="str">
        <f>IF(COUNTIF(MAIN!B:B, A2449)=0, "Missing", "")</f>
        <v/>
      </c>
      <c r="C2449" s="128"/>
      <c r="E2449" s="128" t="str">
        <f t="shared" si="1"/>
        <v/>
      </c>
    </row>
    <row r="2450">
      <c r="A2450" s="93" t="str">
        <f t="shared" si="2"/>
        <v>#16299</v>
      </c>
      <c r="B2450" s="93" t="str">
        <f>IF(COUNTIF(MAIN!B:B, A2450)=0, "Missing", "")</f>
        <v/>
      </c>
      <c r="C2450" s="128"/>
      <c r="E2450" s="128" t="str">
        <f t="shared" si="1"/>
        <v/>
      </c>
    </row>
    <row r="2451">
      <c r="A2451" s="93" t="str">
        <f t="shared" si="2"/>
        <v>#16300</v>
      </c>
      <c r="B2451" s="93" t="str">
        <f>IF(COUNTIF(MAIN!B:B, A2451)=0, "Missing", "")</f>
        <v/>
      </c>
      <c r="C2451" s="128"/>
      <c r="E2451" s="128" t="str">
        <f t="shared" si="1"/>
        <v/>
      </c>
    </row>
    <row r="2452">
      <c r="A2452" s="93" t="str">
        <f t="shared" si="2"/>
        <v>#16301</v>
      </c>
      <c r="B2452" s="93" t="str">
        <f>IF(COUNTIF(MAIN!B:B, A2452)=0, "Missing", "")</f>
        <v/>
      </c>
      <c r="C2452" s="128"/>
      <c r="E2452" s="128" t="str">
        <f t="shared" si="1"/>
        <v/>
      </c>
    </row>
    <row r="2453">
      <c r="A2453" s="93" t="str">
        <f t="shared" si="2"/>
        <v>#16302</v>
      </c>
      <c r="B2453" s="93" t="str">
        <f>IF(COUNTIF(MAIN!B:B, A2453)=0, "Missing", "")</f>
        <v/>
      </c>
      <c r="C2453" s="128"/>
      <c r="E2453" s="128" t="str">
        <f t="shared" si="1"/>
        <v/>
      </c>
    </row>
    <row r="2454">
      <c r="A2454" s="93" t="str">
        <f t="shared" si="2"/>
        <v>#16303</v>
      </c>
      <c r="B2454" s="93" t="str">
        <f>IF(COUNTIF(MAIN!B:B, A2454)=0, "Missing", "")</f>
        <v/>
      </c>
      <c r="C2454" s="128"/>
      <c r="E2454" s="128" t="str">
        <f t="shared" si="1"/>
        <v/>
      </c>
    </row>
    <row r="2455">
      <c r="A2455" s="93" t="str">
        <f t="shared" si="2"/>
        <v>#16304</v>
      </c>
      <c r="B2455" s="93" t="str">
        <f>IF(COUNTIF(MAIN!B:B, A2455)=0, "Missing", "")</f>
        <v/>
      </c>
      <c r="C2455" s="128"/>
      <c r="E2455" s="128" t="str">
        <f t="shared" si="1"/>
        <v/>
      </c>
    </row>
    <row r="2456">
      <c r="A2456" s="93" t="str">
        <f t="shared" si="2"/>
        <v>#16305</v>
      </c>
      <c r="B2456" s="93" t="str">
        <f>IF(COUNTIF(MAIN!B:B, A2456)=0, "Missing", "")</f>
        <v/>
      </c>
      <c r="C2456" s="128"/>
      <c r="E2456" s="128" t="str">
        <f t="shared" si="1"/>
        <v/>
      </c>
    </row>
    <row r="2457">
      <c r="A2457" s="93" t="str">
        <f t="shared" si="2"/>
        <v>#16306</v>
      </c>
      <c r="B2457" s="93" t="str">
        <f>IF(COUNTIF(MAIN!B:B, A2457)=0, "Missing", "")</f>
        <v/>
      </c>
      <c r="C2457" s="128"/>
      <c r="E2457" s="128" t="str">
        <f t="shared" si="1"/>
        <v/>
      </c>
    </row>
    <row r="2458">
      <c r="A2458" s="93" t="str">
        <f t="shared" si="2"/>
        <v>#16307</v>
      </c>
      <c r="B2458" s="93" t="str">
        <f>IF(COUNTIF(MAIN!B:B, A2458)=0, "Missing", "")</f>
        <v/>
      </c>
      <c r="C2458" s="128"/>
      <c r="E2458" s="128" t="str">
        <f t="shared" si="1"/>
        <v/>
      </c>
    </row>
    <row r="2459">
      <c r="A2459" s="93" t="str">
        <f t="shared" si="2"/>
        <v>#16308</v>
      </c>
      <c r="B2459" s="93" t="str">
        <f>IF(COUNTIF(MAIN!B:B, A2459)=0, "Missing", "")</f>
        <v/>
      </c>
      <c r="C2459" s="128"/>
      <c r="E2459" s="128" t="str">
        <f t="shared" si="1"/>
        <v/>
      </c>
    </row>
    <row r="2460">
      <c r="A2460" s="93" t="str">
        <f t="shared" si="2"/>
        <v>#16309</v>
      </c>
      <c r="B2460" s="93" t="str">
        <f>IF(COUNTIF(MAIN!B:B, A2460)=0, "Missing", "")</f>
        <v/>
      </c>
      <c r="C2460" s="128"/>
      <c r="E2460" s="128" t="str">
        <f t="shared" si="1"/>
        <v/>
      </c>
    </row>
    <row r="2461">
      <c r="A2461" s="93" t="str">
        <f t="shared" si="2"/>
        <v>#16310</v>
      </c>
      <c r="B2461" s="93" t="str">
        <f>IF(COUNTIF(MAIN!B:B, A2461)=0, "Missing", "")</f>
        <v/>
      </c>
      <c r="C2461" s="128"/>
      <c r="E2461" s="128" t="str">
        <f t="shared" si="1"/>
        <v/>
      </c>
    </row>
    <row r="2462">
      <c r="A2462" s="93" t="str">
        <f t="shared" si="2"/>
        <v>#16311</v>
      </c>
      <c r="B2462" s="93" t="str">
        <f>IF(COUNTIF(MAIN!B:B, A2462)=0, "Missing", "")</f>
        <v/>
      </c>
      <c r="C2462" s="128"/>
      <c r="E2462" s="128" t="str">
        <f t="shared" si="1"/>
        <v/>
      </c>
    </row>
    <row r="2463">
      <c r="A2463" s="93" t="str">
        <f t="shared" si="2"/>
        <v>#16312</v>
      </c>
      <c r="B2463" s="93" t="str">
        <f>IF(COUNTIF(MAIN!B:B, A2463)=0, "Missing", "")</f>
        <v/>
      </c>
      <c r="C2463" s="128"/>
      <c r="E2463" s="128" t="str">
        <f t="shared" si="1"/>
        <v/>
      </c>
    </row>
    <row r="2464">
      <c r="A2464" s="93" t="str">
        <f t="shared" si="2"/>
        <v>#16313</v>
      </c>
      <c r="B2464" s="93" t="str">
        <f>IF(COUNTIF(MAIN!B:B, A2464)=0, "Missing", "")</f>
        <v/>
      </c>
      <c r="C2464" s="128"/>
      <c r="E2464" s="128" t="str">
        <f t="shared" si="1"/>
        <v/>
      </c>
    </row>
    <row r="2465">
      <c r="A2465" s="93" t="str">
        <f t="shared" si="2"/>
        <v>#16314</v>
      </c>
      <c r="B2465" s="93" t="str">
        <f>IF(COUNTIF(MAIN!B:B, A2465)=0, "Missing", "")</f>
        <v/>
      </c>
      <c r="C2465" s="128"/>
      <c r="E2465" s="128" t="str">
        <f t="shared" si="1"/>
        <v/>
      </c>
    </row>
    <row r="2466">
      <c r="A2466" s="93" t="str">
        <f t="shared" si="2"/>
        <v>#16315</v>
      </c>
      <c r="B2466" s="93" t="str">
        <f>IF(COUNTIF(MAIN!B:B, A2466)=0, "Missing", "")</f>
        <v/>
      </c>
      <c r="C2466" s="128"/>
      <c r="E2466" s="128" t="str">
        <f t="shared" si="1"/>
        <v/>
      </c>
    </row>
    <row r="2467">
      <c r="A2467" s="93" t="str">
        <f t="shared" si="2"/>
        <v>#16316</v>
      </c>
      <c r="B2467" s="93" t="str">
        <f>IF(COUNTIF(MAIN!B:B, A2467)=0, "Missing", "")</f>
        <v/>
      </c>
      <c r="C2467" s="128"/>
      <c r="E2467" s="128" t="str">
        <f t="shared" si="1"/>
        <v/>
      </c>
    </row>
    <row r="2468">
      <c r="A2468" s="93" t="str">
        <f t="shared" si="2"/>
        <v>#16317</v>
      </c>
      <c r="B2468" s="93" t="str">
        <f>IF(COUNTIF(MAIN!B:B, A2468)=0, "Missing", "")</f>
        <v/>
      </c>
      <c r="C2468" s="128"/>
      <c r="E2468" s="128" t="str">
        <f t="shared" si="1"/>
        <v/>
      </c>
    </row>
    <row r="2469">
      <c r="A2469" s="93" t="str">
        <f t="shared" si="2"/>
        <v>#16318</v>
      </c>
      <c r="B2469" s="93" t="str">
        <f>IF(COUNTIF(MAIN!B:B, A2469)=0, "Missing", "")</f>
        <v/>
      </c>
      <c r="C2469" s="128"/>
      <c r="E2469" s="128" t="str">
        <f t="shared" si="1"/>
        <v/>
      </c>
    </row>
    <row r="2470">
      <c r="A2470" s="93" t="str">
        <f t="shared" si="2"/>
        <v>#16319</v>
      </c>
      <c r="B2470" s="93" t="str">
        <f>IF(COUNTIF(MAIN!B:B, A2470)=0, "Missing", "")</f>
        <v/>
      </c>
      <c r="C2470" s="128"/>
      <c r="E2470" s="128" t="str">
        <f t="shared" si="1"/>
        <v/>
      </c>
    </row>
    <row r="2471">
      <c r="A2471" s="93" t="str">
        <f t="shared" si="2"/>
        <v>#16320</v>
      </c>
      <c r="B2471" s="93" t="str">
        <f>IF(COUNTIF(MAIN!B:B, A2471)=0, "Missing", "")</f>
        <v/>
      </c>
      <c r="C2471" s="128"/>
      <c r="E2471" s="128" t="str">
        <f t="shared" si="1"/>
        <v/>
      </c>
    </row>
    <row r="2472">
      <c r="A2472" s="93" t="str">
        <f t="shared" si="2"/>
        <v>#16321</v>
      </c>
      <c r="B2472" s="93" t="str">
        <f>IF(COUNTIF(MAIN!B:B, A2472)=0, "Missing", "")</f>
        <v/>
      </c>
      <c r="C2472" s="128"/>
      <c r="E2472" s="128" t="str">
        <f t="shared" si="1"/>
        <v/>
      </c>
    </row>
    <row r="2473">
      <c r="A2473" s="93" t="str">
        <f t="shared" si="2"/>
        <v>#16322</v>
      </c>
      <c r="B2473" s="93" t="str">
        <f>IF(COUNTIF(MAIN!B:B, A2473)=0, "Missing", "")</f>
        <v/>
      </c>
      <c r="C2473" s="128"/>
      <c r="E2473" s="128" t="str">
        <f t="shared" si="1"/>
        <v/>
      </c>
    </row>
    <row r="2474">
      <c r="A2474" s="93" t="str">
        <f t="shared" si="2"/>
        <v>#16323</v>
      </c>
      <c r="B2474" s="93" t="str">
        <f>IF(COUNTIF(MAIN!B:B, A2474)=0, "Missing", "")</f>
        <v/>
      </c>
      <c r="C2474" s="128"/>
      <c r="E2474" s="128" t="str">
        <f t="shared" si="1"/>
        <v/>
      </c>
    </row>
    <row r="2475">
      <c r="A2475" s="93" t="str">
        <f t="shared" si="2"/>
        <v>#16324</v>
      </c>
      <c r="B2475" s="93" t="str">
        <f>IF(COUNTIF(MAIN!B:B, A2475)=0, "Missing", "")</f>
        <v/>
      </c>
      <c r="C2475" s="128"/>
      <c r="E2475" s="128" t="str">
        <f t="shared" si="1"/>
        <v/>
      </c>
    </row>
    <row r="2476">
      <c r="A2476" s="93" t="str">
        <f t="shared" si="2"/>
        <v>#16325</v>
      </c>
      <c r="B2476" s="93" t="str">
        <f>IF(COUNTIF(MAIN!B:B, A2476)=0, "Missing", "")</f>
        <v/>
      </c>
      <c r="C2476" s="128"/>
      <c r="E2476" s="128" t="str">
        <f t="shared" si="1"/>
        <v/>
      </c>
    </row>
    <row r="2477">
      <c r="A2477" s="93" t="str">
        <f t="shared" si="2"/>
        <v>#16326</v>
      </c>
      <c r="B2477" s="93" t="str">
        <f>IF(COUNTIF(MAIN!B:B, A2477)=0, "Missing", "")</f>
        <v/>
      </c>
      <c r="C2477" s="128"/>
      <c r="E2477" s="128" t="str">
        <f t="shared" si="1"/>
        <v/>
      </c>
    </row>
    <row r="2478">
      <c r="A2478" s="93" t="str">
        <f t="shared" si="2"/>
        <v>#16327</v>
      </c>
      <c r="B2478" s="93" t="str">
        <f>IF(COUNTIF(MAIN!B:B, A2478)=0, "Missing", "")</f>
        <v/>
      </c>
      <c r="C2478" s="128"/>
      <c r="E2478" s="128" t="str">
        <f t="shared" si="1"/>
        <v/>
      </c>
    </row>
    <row r="2479">
      <c r="A2479" s="93" t="str">
        <f t="shared" si="2"/>
        <v>#16328</v>
      </c>
      <c r="B2479" s="93" t="str">
        <f>IF(COUNTIF(MAIN!B:B, A2479)=0, "Missing", "")</f>
        <v/>
      </c>
      <c r="C2479" s="128"/>
      <c r="E2479" s="128" t="str">
        <f t="shared" si="1"/>
        <v/>
      </c>
    </row>
    <row r="2480">
      <c r="A2480" s="93" t="str">
        <f t="shared" si="2"/>
        <v>#16329</v>
      </c>
      <c r="B2480" s="93" t="str">
        <f>IF(COUNTIF(MAIN!B:B, A2480)=0, "Missing", "")</f>
        <v/>
      </c>
      <c r="C2480" s="128"/>
      <c r="E2480" s="128" t="str">
        <f t="shared" si="1"/>
        <v/>
      </c>
    </row>
    <row r="2481">
      <c r="A2481" s="93" t="str">
        <f t="shared" si="2"/>
        <v>#16330</v>
      </c>
      <c r="B2481" s="93" t="str">
        <f>IF(COUNTIF(MAIN!B:B, A2481)=0, "Missing", "")</f>
        <v/>
      </c>
      <c r="C2481" s="128"/>
      <c r="E2481" s="128" t="str">
        <f t="shared" si="1"/>
        <v/>
      </c>
    </row>
    <row r="2482">
      <c r="A2482" s="93" t="str">
        <f t="shared" si="2"/>
        <v>#16331</v>
      </c>
      <c r="B2482" s="93" t="str">
        <f>IF(COUNTIF(MAIN!B:B, A2482)=0, "Missing", "")</f>
        <v/>
      </c>
      <c r="C2482" s="128"/>
      <c r="E2482" s="128" t="str">
        <f t="shared" si="1"/>
        <v/>
      </c>
    </row>
    <row r="2483">
      <c r="A2483" s="93" t="str">
        <f t="shared" si="2"/>
        <v>#16332</v>
      </c>
      <c r="B2483" s="93" t="str">
        <f>IF(COUNTIF(MAIN!B:B, A2483)=0, "Missing", "")</f>
        <v/>
      </c>
      <c r="C2483" s="128"/>
      <c r="E2483" s="128" t="str">
        <f t="shared" si="1"/>
        <v/>
      </c>
    </row>
    <row r="2484">
      <c r="A2484" s="93" t="str">
        <f t="shared" si="2"/>
        <v>#16333</v>
      </c>
      <c r="B2484" s="93" t="str">
        <f>IF(COUNTIF(MAIN!B:B, A2484)=0, "Missing", "")</f>
        <v/>
      </c>
      <c r="C2484" s="128"/>
      <c r="E2484" s="128" t="str">
        <f t="shared" si="1"/>
        <v/>
      </c>
    </row>
    <row r="2485">
      <c r="A2485" s="93" t="str">
        <f t="shared" si="2"/>
        <v>#16334</v>
      </c>
      <c r="B2485" s="93" t="str">
        <f>IF(COUNTIF(MAIN!B:B, A2485)=0, "Missing", "")</f>
        <v/>
      </c>
      <c r="C2485" s="128"/>
      <c r="E2485" s="128" t="str">
        <f t="shared" si="1"/>
        <v/>
      </c>
    </row>
    <row r="2486">
      <c r="A2486" s="93" t="str">
        <f t="shared" si="2"/>
        <v>#16335</v>
      </c>
      <c r="B2486" s="93" t="str">
        <f>IF(COUNTIF(MAIN!B:B, A2486)=0, "Missing", "")</f>
        <v/>
      </c>
      <c r="C2486" s="128"/>
      <c r="E2486" s="128" t="str">
        <f t="shared" si="1"/>
        <v/>
      </c>
    </row>
    <row r="2487">
      <c r="A2487" s="93" t="str">
        <f t="shared" si="2"/>
        <v>#16336</v>
      </c>
      <c r="B2487" s="93" t="str">
        <f>IF(COUNTIF(MAIN!B:B, A2487)=0, "Missing", "")</f>
        <v/>
      </c>
      <c r="C2487" s="128"/>
      <c r="E2487" s="128" t="str">
        <f t="shared" si="1"/>
        <v/>
      </c>
    </row>
    <row r="2488">
      <c r="A2488" s="93" t="str">
        <f t="shared" si="2"/>
        <v>#16337</v>
      </c>
      <c r="B2488" s="93" t="str">
        <f>IF(COUNTIF(MAIN!B:B, A2488)=0, "Missing", "")</f>
        <v/>
      </c>
      <c r="C2488" s="128"/>
      <c r="E2488" s="128" t="str">
        <f t="shared" si="1"/>
        <v/>
      </c>
    </row>
    <row r="2489">
      <c r="A2489" s="93" t="str">
        <f t="shared" si="2"/>
        <v>#16338</v>
      </c>
      <c r="B2489" s="93" t="str">
        <f>IF(COUNTIF(MAIN!B:B, A2489)=0, "Missing", "")</f>
        <v/>
      </c>
      <c r="C2489" s="128"/>
      <c r="E2489" s="128" t="str">
        <f t="shared" si="1"/>
        <v/>
      </c>
    </row>
    <row r="2490">
      <c r="A2490" s="93" t="str">
        <f t="shared" si="2"/>
        <v>#16339</v>
      </c>
      <c r="B2490" s="93" t="str">
        <f>IF(COUNTIF(MAIN!B:B, A2490)=0, "Missing", "")</f>
        <v/>
      </c>
      <c r="C2490" s="128"/>
      <c r="E2490" s="128" t="str">
        <f t="shared" si="1"/>
        <v/>
      </c>
    </row>
    <row r="2491">
      <c r="A2491" s="93" t="str">
        <f t="shared" si="2"/>
        <v>#16340</v>
      </c>
      <c r="B2491" s="93" t="str">
        <f>IF(COUNTIF(MAIN!B:B, A2491)=0, "Missing", "")</f>
        <v/>
      </c>
      <c r="C2491" s="128"/>
      <c r="E2491" s="128" t="str">
        <f t="shared" si="1"/>
        <v/>
      </c>
    </row>
    <row r="2492">
      <c r="A2492" s="93" t="str">
        <f t="shared" si="2"/>
        <v>#16341</v>
      </c>
      <c r="B2492" s="93" t="str">
        <f>IF(COUNTIF(MAIN!B:B, A2492)=0, "Missing", "")</f>
        <v/>
      </c>
      <c r="C2492" s="128"/>
      <c r="E2492" s="128" t="str">
        <f t="shared" si="1"/>
        <v/>
      </c>
    </row>
    <row r="2493">
      <c r="A2493" s="93" t="str">
        <f t="shared" si="2"/>
        <v>#16342</v>
      </c>
      <c r="B2493" s="93" t="str">
        <f>IF(COUNTIF(MAIN!B:B, A2493)=0, "Missing", "")</f>
        <v/>
      </c>
      <c r="C2493" s="128"/>
      <c r="E2493" s="128" t="str">
        <f t="shared" si="1"/>
        <v/>
      </c>
    </row>
    <row r="2494">
      <c r="A2494" s="93" t="str">
        <f t="shared" si="2"/>
        <v>#16343</v>
      </c>
      <c r="B2494" s="93" t="str">
        <f>IF(COUNTIF(MAIN!B:B, A2494)=0, "Missing", "")</f>
        <v/>
      </c>
      <c r="C2494" s="128"/>
      <c r="E2494" s="128" t="str">
        <f t="shared" si="1"/>
        <v/>
      </c>
    </row>
    <row r="2495">
      <c r="A2495" s="93" t="str">
        <f t="shared" si="2"/>
        <v>#16344</v>
      </c>
      <c r="B2495" s="93" t="str">
        <f>IF(COUNTIF(MAIN!B:B, A2495)=0, "Missing", "")</f>
        <v/>
      </c>
      <c r="C2495" s="128"/>
      <c r="E2495" s="128" t="str">
        <f t="shared" si="1"/>
        <v/>
      </c>
    </row>
    <row r="2496">
      <c r="A2496" s="93" t="str">
        <f t="shared" si="2"/>
        <v>#16345</v>
      </c>
      <c r="B2496" s="93" t="str">
        <f>IF(COUNTIF(MAIN!B:B, A2496)=0, "Missing", "")</f>
        <v/>
      </c>
      <c r="C2496" s="128"/>
      <c r="E2496" s="128" t="str">
        <f t="shared" si="1"/>
        <v/>
      </c>
    </row>
    <row r="2497">
      <c r="A2497" s="93" t="str">
        <f t="shared" si="2"/>
        <v>#16346</v>
      </c>
      <c r="B2497" s="93" t="str">
        <f>IF(COUNTIF(MAIN!B:B, A2497)=0, "Missing", "")</f>
        <v/>
      </c>
      <c r="C2497" s="128"/>
      <c r="E2497" s="128" t="str">
        <f t="shared" si="1"/>
        <v/>
      </c>
    </row>
    <row r="2498">
      <c r="A2498" s="93" t="str">
        <f t="shared" si="2"/>
        <v>#16347</v>
      </c>
      <c r="B2498" s="93" t="str">
        <f>IF(COUNTIF(MAIN!B:B, A2498)=0, "Missing", "")</f>
        <v/>
      </c>
      <c r="C2498" s="128"/>
      <c r="E2498" s="128" t="str">
        <f t="shared" si="1"/>
        <v/>
      </c>
    </row>
    <row r="2499">
      <c r="A2499" s="93" t="str">
        <f t="shared" si="2"/>
        <v>#16348</v>
      </c>
      <c r="B2499" s="93" t="str">
        <f>IF(COUNTIF(MAIN!B:B, A2499)=0, "Missing", "")</f>
        <v/>
      </c>
      <c r="C2499" s="128"/>
      <c r="E2499" s="128" t="str">
        <f t="shared" si="1"/>
        <v/>
      </c>
    </row>
    <row r="2500">
      <c r="A2500" s="93" t="str">
        <f t="shared" si="2"/>
        <v>#16349</v>
      </c>
      <c r="B2500" s="93" t="str">
        <f>IF(COUNTIF(MAIN!B:B, A2500)=0, "Missing", "")</f>
        <v/>
      </c>
      <c r="C2500" s="128"/>
      <c r="E2500" s="128" t="str">
        <f t="shared" si="1"/>
        <v/>
      </c>
    </row>
    <row r="2501">
      <c r="A2501" s="93" t="str">
        <f t="shared" si="2"/>
        <v>#16350</v>
      </c>
      <c r="B2501" s="93" t="str">
        <f>IF(COUNTIF(MAIN!B:B, A2501)=0, "Missing", "")</f>
        <v/>
      </c>
      <c r="C2501" s="128"/>
      <c r="E2501" s="128" t="str">
        <f t="shared" si="1"/>
        <v/>
      </c>
    </row>
    <row r="2502">
      <c r="A2502" s="93" t="str">
        <f t="shared" si="2"/>
        <v>#16351</v>
      </c>
      <c r="B2502" s="93" t="str">
        <f>IF(COUNTIF(MAIN!B:B, A2502)=0, "Missing", "")</f>
        <v/>
      </c>
      <c r="C2502" s="128"/>
      <c r="E2502" s="128" t="str">
        <f t="shared" si="1"/>
        <v/>
      </c>
    </row>
    <row r="2503">
      <c r="A2503" s="93" t="str">
        <f t="shared" si="2"/>
        <v>#16352</v>
      </c>
      <c r="B2503" s="93" t="str">
        <f>IF(COUNTIF(MAIN!B:B, A2503)=0, "Missing", "")</f>
        <v/>
      </c>
      <c r="C2503" s="128"/>
      <c r="E2503" s="128" t="str">
        <f t="shared" si="1"/>
        <v/>
      </c>
    </row>
    <row r="2504">
      <c r="A2504" s="93" t="str">
        <f t="shared" si="2"/>
        <v>#16353</v>
      </c>
      <c r="B2504" s="93" t="str">
        <f>IF(COUNTIF(MAIN!B:B, A2504)=0, "Missing", "")</f>
        <v/>
      </c>
      <c r="C2504" s="128"/>
      <c r="E2504" s="128" t="str">
        <f t="shared" si="1"/>
        <v/>
      </c>
    </row>
    <row r="2505">
      <c r="A2505" s="93" t="str">
        <f t="shared" si="2"/>
        <v>#16354</v>
      </c>
      <c r="B2505" s="93" t="str">
        <f>IF(COUNTIF(MAIN!B:B, A2505)=0, "Missing", "")</f>
        <v/>
      </c>
      <c r="C2505" s="128"/>
      <c r="E2505" s="128" t="str">
        <f t="shared" si="1"/>
        <v/>
      </c>
    </row>
    <row r="2506">
      <c r="A2506" s="93" t="str">
        <f t="shared" si="2"/>
        <v>#16355</v>
      </c>
      <c r="B2506" s="93" t="str">
        <f>IF(COUNTIF(MAIN!B:B, A2506)=0, "Missing", "")</f>
        <v/>
      </c>
      <c r="C2506" s="128"/>
      <c r="E2506" s="128" t="str">
        <f t="shared" si="1"/>
        <v/>
      </c>
    </row>
    <row r="2507">
      <c r="A2507" s="93" t="str">
        <f t="shared" si="2"/>
        <v>#16356</v>
      </c>
      <c r="B2507" s="93" t="str">
        <f>IF(COUNTIF(MAIN!B:B, A2507)=0, "Missing", "")</f>
        <v>Missing</v>
      </c>
      <c r="C2507" s="128"/>
      <c r="E2507" s="131" t="str">
        <f t="shared" si="1"/>
        <v>https://utrucking.myshopify.com/admin/orders?query=16356</v>
      </c>
    </row>
    <row r="2508">
      <c r="A2508" s="93" t="str">
        <f t="shared" si="2"/>
        <v>#16357</v>
      </c>
      <c r="B2508" s="93" t="str">
        <f>IF(COUNTIF(MAIN!B:B, A2508)=0, "Missing", "")</f>
        <v/>
      </c>
      <c r="C2508" s="128"/>
      <c r="E2508" s="128" t="str">
        <f t="shared" si="1"/>
        <v/>
      </c>
    </row>
    <row r="2509">
      <c r="A2509" s="93" t="str">
        <f t="shared" si="2"/>
        <v>#16358</v>
      </c>
      <c r="B2509" s="93" t="str">
        <f>IF(COUNTIF(MAIN!B:B, A2509)=0, "Missing", "")</f>
        <v/>
      </c>
      <c r="C2509" s="128"/>
      <c r="E2509" s="128" t="str">
        <f t="shared" si="1"/>
        <v/>
      </c>
    </row>
    <row r="2510">
      <c r="A2510" s="93" t="str">
        <f t="shared" si="2"/>
        <v>#16359</v>
      </c>
      <c r="B2510" s="93" t="str">
        <f>IF(COUNTIF(MAIN!B:B, A2510)=0, "Missing", "")</f>
        <v/>
      </c>
      <c r="C2510" s="128"/>
      <c r="E2510" s="128" t="str">
        <f t="shared" si="1"/>
        <v/>
      </c>
    </row>
    <row r="2511">
      <c r="A2511" s="93" t="str">
        <f t="shared" si="2"/>
        <v>#16360</v>
      </c>
      <c r="B2511" s="93" t="str">
        <f>IF(COUNTIF(MAIN!B:B, A2511)=0, "Missing", "")</f>
        <v/>
      </c>
      <c r="C2511" s="128"/>
      <c r="E2511" s="128" t="str">
        <f t="shared" si="1"/>
        <v/>
      </c>
    </row>
    <row r="2512">
      <c r="A2512" s="93" t="str">
        <f t="shared" si="2"/>
        <v>#16361</v>
      </c>
      <c r="B2512" s="93" t="str">
        <f>IF(COUNTIF(MAIN!B:B, A2512)=0, "Missing", "")</f>
        <v/>
      </c>
      <c r="C2512" s="128"/>
      <c r="E2512" s="128" t="str">
        <f t="shared" si="1"/>
        <v/>
      </c>
    </row>
    <row r="2513">
      <c r="A2513" s="93" t="str">
        <f t="shared" si="2"/>
        <v>#16362</v>
      </c>
      <c r="B2513" s="93" t="str">
        <f>IF(COUNTIF(MAIN!B:B, A2513)=0, "Missing", "")</f>
        <v/>
      </c>
      <c r="C2513" s="128"/>
      <c r="E2513" s="128" t="str">
        <f t="shared" si="1"/>
        <v/>
      </c>
    </row>
    <row r="2514">
      <c r="A2514" s="93" t="str">
        <f t="shared" si="2"/>
        <v>#16363</v>
      </c>
      <c r="B2514" s="93" t="str">
        <f>IF(COUNTIF(MAIN!B:B, A2514)=0, "Missing", "")</f>
        <v/>
      </c>
      <c r="C2514" s="128"/>
      <c r="E2514" s="128" t="str">
        <f t="shared" si="1"/>
        <v/>
      </c>
    </row>
    <row r="2515">
      <c r="A2515" s="93" t="str">
        <f t="shared" si="2"/>
        <v>#16364</v>
      </c>
      <c r="B2515" s="93" t="str">
        <f>IF(COUNTIF(MAIN!B:B, A2515)=0, "Missing", "")</f>
        <v/>
      </c>
      <c r="C2515" s="128"/>
      <c r="E2515" s="128" t="str">
        <f t="shared" si="1"/>
        <v/>
      </c>
    </row>
    <row r="2516">
      <c r="A2516" s="93" t="str">
        <f t="shared" si="2"/>
        <v>#16365</v>
      </c>
      <c r="B2516" s="93" t="str">
        <f>IF(COUNTIF(MAIN!B:B, A2516)=0, "Missing", "")</f>
        <v/>
      </c>
      <c r="C2516" s="128"/>
      <c r="E2516" s="128" t="str">
        <f t="shared" si="1"/>
        <v/>
      </c>
    </row>
    <row r="2517">
      <c r="A2517" s="93" t="str">
        <f t="shared" si="2"/>
        <v>#16366</v>
      </c>
      <c r="B2517" s="93" t="str">
        <f>IF(COUNTIF(MAIN!B:B, A2517)=0, "Missing", "")</f>
        <v/>
      </c>
      <c r="C2517" s="128"/>
      <c r="E2517" s="128" t="str">
        <f t="shared" si="1"/>
        <v/>
      </c>
    </row>
    <row r="2518">
      <c r="A2518" s="93" t="str">
        <f t="shared" si="2"/>
        <v>#16367</v>
      </c>
      <c r="B2518" s="93" t="str">
        <f>IF(COUNTIF(MAIN!B:B, A2518)=0, "Missing", "")</f>
        <v/>
      </c>
      <c r="C2518" s="128"/>
      <c r="E2518" s="128" t="str">
        <f t="shared" si="1"/>
        <v/>
      </c>
    </row>
    <row r="2519">
      <c r="A2519" s="93" t="str">
        <f t="shared" si="2"/>
        <v>#16368</v>
      </c>
      <c r="B2519" s="93" t="str">
        <f>IF(COUNTIF(MAIN!B:B, A2519)=0, "Missing", "")</f>
        <v/>
      </c>
      <c r="C2519" s="128"/>
      <c r="E2519" s="128" t="str">
        <f t="shared" si="1"/>
        <v/>
      </c>
    </row>
    <row r="2520">
      <c r="A2520" s="93" t="str">
        <f t="shared" si="2"/>
        <v>#16369</v>
      </c>
      <c r="B2520" s="93" t="str">
        <f>IF(COUNTIF(MAIN!B:B, A2520)=0, "Missing", "")</f>
        <v/>
      </c>
      <c r="C2520" s="128"/>
      <c r="E2520" s="128" t="str">
        <f t="shared" si="1"/>
        <v/>
      </c>
    </row>
    <row r="2521">
      <c r="A2521" s="93" t="str">
        <f t="shared" si="2"/>
        <v>#16370</v>
      </c>
      <c r="B2521" s="93" t="str">
        <f>IF(COUNTIF(MAIN!B:B, A2521)=0, "Missing", "")</f>
        <v/>
      </c>
      <c r="C2521" s="128"/>
      <c r="E2521" s="128" t="str">
        <f t="shared" si="1"/>
        <v/>
      </c>
    </row>
    <row r="2522">
      <c r="A2522" s="93" t="str">
        <f t="shared" si="2"/>
        <v>#16371</v>
      </c>
      <c r="B2522" s="93" t="str">
        <f>IF(COUNTIF(MAIN!B:B, A2522)=0, "Missing", "")</f>
        <v/>
      </c>
      <c r="C2522" s="128"/>
      <c r="E2522" s="128" t="str">
        <f t="shared" si="1"/>
        <v/>
      </c>
    </row>
    <row r="2523">
      <c r="A2523" s="93" t="str">
        <f t="shared" si="2"/>
        <v>#16372</v>
      </c>
      <c r="B2523" s="93" t="str">
        <f>IF(COUNTIF(MAIN!B:B, A2523)=0, "Missing", "")</f>
        <v/>
      </c>
      <c r="C2523" s="128"/>
      <c r="E2523" s="128" t="str">
        <f t="shared" si="1"/>
        <v/>
      </c>
    </row>
    <row r="2524">
      <c r="A2524" s="93" t="str">
        <f t="shared" si="2"/>
        <v>#16373</v>
      </c>
      <c r="B2524" s="93" t="str">
        <f>IF(COUNTIF(MAIN!B:B, A2524)=0, "Missing", "")</f>
        <v/>
      </c>
      <c r="C2524" s="128"/>
      <c r="E2524" s="128" t="str">
        <f t="shared" si="1"/>
        <v/>
      </c>
    </row>
    <row r="2525">
      <c r="A2525" s="93" t="str">
        <f t="shared" si="2"/>
        <v>#16374</v>
      </c>
      <c r="B2525" s="93" t="str">
        <f>IF(COUNTIF(MAIN!B:B, A2525)=0, "Missing", "")</f>
        <v/>
      </c>
      <c r="C2525" s="128"/>
      <c r="E2525" s="128" t="str">
        <f t="shared" si="1"/>
        <v/>
      </c>
    </row>
    <row r="2526">
      <c r="A2526" s="93" t="str">
        <f t="shared" si="2"/>
        <v>#16375</v>
      </c>
      <c r="B2526" s="93" t="str">
        <f>IF(COUNTIF(MAIN!B:B, A2526)=0, "Missing", "")</f>
        <v/>
      </c>
      <c r="C2526" s="128"/>
      <c r="E2526" s="128" t="str">
        <f t="shared" si="1"/>
        <v/>
      </c>
    </row>
    <row r="2527">
      <c r="A2527" s="93" t="str">
        <f t="shared" si="2"/>
        <v>#16376</v>
      </c>
      <c r="B2527" s="93" t="str">
        <f>IF(COUNTIF(MAIN!B:B, A2527)=0, "Missing", "")</f>
        <v>Missing</v>
      </c>
      <c r="C2527" s="84" t="s">
        <v>15235</v>
      </c>
      <c r="E2527" s="131" t="str">
        <f t="shared" si="1"/>
        <v>https://utrucking.myshopify.com/admin/orders?query=16376</v>
      </c>
    </row>
    <row r="2528">
      <c r="A2528" s="93" t="str">
        <f t="shared" si="2"/>
        <v>#16377</v>
      </c>
      <c r="B2528" s="93" t="str">
        <f>IF(COUNTIF(MAIN!B:B, A2528)=0, "Missing", "")</f>
        <v/>
      </c>
      <c r="C2528" s="128"/>
      <c r="E2528" s="128" t="str">
        <f t="shared" si="1"/>
        <v/>
      </c>
    </row>
    <row r="2529">
      <c r="A2529" s="93" t="str">
        <f t="shared" si="2"/>
        <v>#16378</v>
      </c>
      <c r="B2529" s="93" t="str">
        <f>IF(COUNTIF(MAIN!B:B, A2529)=0, "Missing", "")</f>
        <v/>
      </c>
      <c r="C2529" s="128"/>
      <c r="E2529" s="128" t="str">
        <f t="shared" si="1"/>
        <v/>
      </c>
    </row>
    <row r="2530">
      <c r="A2530" s="93" t="str">
        <f t="shared" si="2"/>
        <v>#16379</v>
      </c>
      <c r="B2530" s="93" t="str">
        <f>IF(COUNTIF(MAIN!B:B, A2530)=0, "Missing", "")</f>
        <v/>
      </c>
      <c r="C2530" s="128"/>
      <c r="E2530" s="128" t="str">
        <f t="shared" si="1"/>
        <v/>
      </c>
    </row>
    <row r="2531">
      <c r="A2531" s="93" t="str">
        <f t="shared" si="2"/>
        <v>#16380</v>
      </c>
      <c r="B2531" s="93" t="str">
        <f>IF(COUNTIF(MAIN!B:B, A2531)=0, "Missing", "")</f>
        <v/>
      </c>
      <c r="C2531" s="128"/>
      <c r="E2531" s="128" t="str">
        <f t="shared" si="1"/>
        <v/>
      </c>
    </row>
    <row r="2532">
      <c r="A2532" s="93" t="str">
        <f t="shared" si="2"/>
        <v>#16381</v>
      </c>
      <c r="B2532" s="93" t="str">
        <f>IF(COUNTIF(MAIN!B:B, A2532)=0, "Missing", "")</f>
        <v/>
      </c>
      <c r="C2532" s="128"/>
      <c r="E2532" s="128" t="str">
        <f t="shared" si="1"/>
        <v/>
      </c>
    </row>
    <row r="2533">
      <c r="A2533" s="93" t="str">
        <f t="shared" si="2"/>
        <v>#16382</v>
      </c>
      <c r="B2533" s="93" t="str">
        <f>IF(COUNTIF(MAIN!B:B, A2533)=0, "Missing", "")</f>
        <v/>
      </c>
      <c r="C2533" s="128"/>
      <c r="E2533" s="128" t="str">
        <f t="shared" si="1"/>
        <v/>
      </c>
    </row>
    <row r="2534">
      <c r="A2534" s="93" t="str">
        <f t="shared" si="2"/>
        <v>#16383</v>
      </c>
      <c r="B2534" s="93" t="str">
        <f>IF(COUNTIF(MAIN!B:B, A2534)=0, "Missing", "")</f>
        <v/>
      </c>
      <c r="C2534" s="128"/>
      <c r="E2534" s="128" t="str">
        <f t="shared" si="1"/>
        <v/>
      </c>
    </row>
    <row r="2535">
      <c r="A2535" s="93" t="str">
        <f t="shared" si="2"/>
        <v>#16384</v>
      </c>
      <c r="B2535" s="93" t="str">
        <f>IF(COUNTIF(MAIN!B:B, A2535)=0, "Missing", "")</f>
        <v/>
      </c>
      <c r="C2535" s="128"/>
      <c r="E2535" s="128" t="str">
        <f t="shared" si="1"/>
        <v/>
      </c>
    </row>
    <row r="2536">
      <c r="A2536" s="93" t="str">
        <f t="shared" si="2"/>
        <v>#16385</v>
      </c>
      <c r="B2536" s="93" t="str">
        <f>IF(COUNTIF(MAIN!B:B, A2536)=0, "Missing", "")</f>
        <v/>
      </c>
      <c r="C2536" s="128"/>
      <c r="E2536" s="128" t="str">
        <f t="shared" si="1"/>
        <v/>
      </c>
    </row>
    <row r="2537">
      <c r="A2537" s="93" t="str">
        <f t="shared" si="2"/>
        <v>#16386</v>
      </c>
      <c r="B2537" s="93" t="str">
        <f>IF(COUNTIF(MAIN!B:B, A2537)=0, "Missing", "")</f>
        <v/>
      </c>
      <c r="C2537" s="128"/>
      <c r="E2537" s="128" t="str">
        <f t="shared" si="1"/>
        <v/>
      </c>
    </row>
    <row r="2538">
      <c r="A2538" s="93" t="str">
        <f t="shared" si="2"/>
        <v>#16387</v>
      </c>
      <c r="B2538" s="93" t="str">
        <f>IF(COUNTIF(MAIN!B:B, A2538)=0, "Missing", "")</f>
        <v/>
      </c>
      <c r="C2538" s="128"/>
      <c r="E2538" s="128" t="str">
        <f t="shared" si="1"/>
        <v/>
      </c>
    </row>
    <row r="2539">
      <c r="A2539" s="93" t="str">
        <f t="shared" si="2"/>
        <v>#16388</v>
      </c>
      <c r="B2539" s="93" t="str">
        <f>IF(COUNTIF(MAIN!B:B, A2539)=0, "Missing", "")</f>
        <v/>
      </c>
      <c r="C2539" s="128"/>
      <c r="E2539" s="128" t="str">
        <f t="shared" si="1"/>
        <v/>
      </c>
    </row>
    <row r="2540">
      <c r="A2540" s="93" t="str">
        <f t="shared" si="2"/>
        <v>#16389</v>
      </c>
      <c r="B2540" s="93" t="str">
        <f>IF(COUNTIF(MAIN!B:B, A2540)=0, "Missing", "")</f>
        <v/>
      </c>
      <c r="C2540" s="128"/>
      <c r="E2540" s="128" t="str">
        <f t="shared" si="1"/>
        <v/>
      </c>
    </row>
    <row r="2541">
      <c r="A2541" s="93" t="str">
        <f t="shared" si="2"/>
        <v>#16390</v>
      </c>
      <c r="B2541" s="93" t="str">
        <f>IF(COUNTIF(MAIN!B:B, A2541)=0, "Missing", "")</f>
        <v/>
      </c>
      <c r="C2541" s="128"/>
      <c r="E2541" s="128" t="str">
        <f t="shared" si="1"/>
        <v/>
      </c>
    </row>
    <row r="2542">
      <c r="A2542" s="93" t="str">
        <f t="shared" si="2"/>
        <v>#16391</v>
      </c>
      <c r="B2542" s="93" t="str">
        <f>IF(COUNTIF(MAIN!B:B, A2542)=0, "Missing", "")</f>
        <v/>
      </c>
      <c r="C2542" s="128"/>
      <c r="E2542" s="128" t="str">
        <f t="shared" si="1"/>
        <v/>
      </c>
    </row>
    <row r="2543">
      <c r="A2543" s="93" t="str">
        <f t="shared" si="2"/>
        <v>#16392</v>
      </c>
      <c r="B2543" s="93" t="str">
        <f>IF(COUNTIF(MAIN!B:B, A2543)=0, "Missing", "")</f>
        <v/>
      </c>
      <c r="C2543" s="128"/>
      <c r="E2543" s="128" t="str">
        <f t="shared" si="1"/>
        <v/>
      </c>
    </row>
    <row r="2544">
      <c r="A2544" s="93" t="str">
        <f t="shared" si="2"/>
        <v>#16393</v>
      </c>
      <c r="B2544" s="93" t="str">
        <f>IF(COUNTIF(MAIN!B:B, A2544)=0, "Missing", "")</f>
        <v/>
      </c>
      <c r="C2544" s="128"/>
      <c r="E2544" s="128" t="str">
        <f t="shared" si="1"/>
        <v/>
      </c>
    </row>
    <row r="2545">
      <c r="A2545" s="93" t="str">
        <f t="shared" si="2"/>
        <v>#16394</v>
      </c>
      <c r="B2545" s="93" t="str">
        <f>IF(COUNTIF(MAIN!B:B, A2545)=0, "Missing", "")</f>
        <v/>
      </c>
      <c r="C2545" s="128"/>
      <c r="E2545" s="128" t="str">
        <f t="shared" si="1"/>
        <v/>
      </c>
    </row>
    <row r="2546">
      <c r="A2546" s="93" t="str">
        <f t="shared" si="2"/>
        <v>#16395</v>
      </c>
      <c r="B2546" s="93" t="str">
        <f>IF(COUNTIF(MAIN!B:B, A2546)=0, "Missing", "")</f>
        <v/>
      </c>
      <c r="C2546" s="128"/>
      <c r="E2546" s="128" t="str">
        <f t="shared" si="1"/>
        <v/>
      </c>
    </row>
    <row r="2547">
      <c r="A2547" s="93" t="str">
        <f t="shared" si="2"/>
        <v>#16396</v>
      </c>
      <c r="B2547" s="93" t="str">
        <f>IF(COUNTIF(MAIN!B:B, A2547)=0, "Missing", "")</f>
        <v/>
      </c>
      <c r="C2547" s="128"/>
      <c r="E2547" s="128" t="str">
        <f t="shared" si="1"/>
        <v/>
      </c>
    </row>
    <row r="2548">
      <c r="A2548" s="93" t="str">
        <f t="shared" si="2"/>
        <v>#16397</v>
      </c>
      <c r="B2548" s="93" t="str">
        <f>IF(COUNTIF(MAIN!B:B, A2548)=0, "Missing", "")</f>
        <v/>
      </c>
      <c r="C2548" s="128"/>
      <c r="E2548" s="128" t="str">
        <f t="shared" si="1"/>
        <v/>
      </c>
    </row>
    <row r="2549">
      <c r="A2549" s="93" t="str">
        <f t="shared" si="2"/>
        <v>#16398</v>
      </c>
      <c r="B2549" s="93" t="str">
        <f>IF(COUNTIF(MAIN!B:B, A2549)=0, "Missing", "")</f>
        <v/>
      </c>
      <c r="C2549" s="128"/>
      <c r="E2549" s="128" t="str">
        <f t="shared" si="1"/>
        <v/>
      </c>
    </row>
    <row r="2550">
      <c r="A2550" s="93" t="str">
        <f t="shared" si="2"/>
        <v>#16399</v>
      </c>
      <c r="B2550" s="93" t="str">
        <f>IF(COUNTIF(MAIN!B:B, A2550)=0, "Missing", "")</f>
        <v/>
      </c>
      <c r="C2550" s="128"/>
      <c r="E2550" s="128" t="str">
        <f t="shared" si="1"/>
        <v/>
      </c>
    </row>
    <row r="2551">
      <c r="A2551" s="93" t="str">
        <f t="shared" si="2"/>
        <v>#16400</v>
      </c>
      <c r="B2551" s="93" t="str">
        <f>IF(COUNTIF(MAIN!B:B, A2551)=0, "Missing", "")</f>
        <v/>
      </c>
      <c r="C2551" s="128"/>
      <c r="E2551" s="128" t="str">
        <f t="shared" si="1"/>
        <v/>
      </c>
    </row>
    <row r="2552">
      <c r="A2552" s="93" t="str">
        <f t="shared" si="2"/>
        <v>#16401</v>
      </c>
      <c r="B2552" s="93" t="str">
        <f>IF(COUNTIF(MAIN!B:B, A2552)=0, "Missing", "")</f>
        <v/>
      </c>
      <c r="C2552" s="128"/>
      <c r="E2552" s="128" t="str">
        <f t="shared" si="1"/>
        <v/>
      </c>
    </row>
    <row r="2553">
      <c r="A2553" s="93" t="str">
        <f t="shared" si="2"/>
        <v>#16402</v>
      </c>
      <c r="B2553" s="93" t="str">
        <f>IF(COUNTIF(MAIN!B:B, A2553)=0, "Missing", "")</f>
        <v/>
      </c>
      <c r="C2553" s="128"/>
      <c r="E2553" s="128" t="str">
        <f t="shared" si="1"/>
        <v/>
      </c>
    </row>
    <row r="2554">
      <c r="A2554" s="93" t="str">
        <f t="shared" si="2"/>
        <v>#16403</v>
      </c>
      <c r="B2554" s="93" t="str">
        <f>IF(COUNTIF(MAIN!B:B, A2554)=0, "Missing", "")</f>
        <v/>
      </c>
      <c r="C2554" s="128"/>
      <c r="E2554" s="128" t="str">
        <f t="shared" si="1"/>
        <v/>
      </c>
    </row>
    <row r="2555">
      <c r="A2555" s="93" t="str">
        <f t="shared" si="2"/>
        <v>#16404</v>
      </c>
      <c r="B2555" s="93" t="str">
        <f>IF(COUNTIF(MAIN!B:B, A2555)=0, "Missing", "")</f>
        <v/>
      </c>
      <c r="C2555" s="128"/>
      <c r="E2555" s="128" t="str">
        <f t="shared" si="1"/>
        <v/>
      </c>
    </row>
    <row r="2556">
      <c r="A2556" s="93" t="str">
        <f t="shared" si="2"/>
        <v>#16405</v>
      </c>
      <c r="B2556" s="93" t="str">
        <f>IF(COUNTIF(MAIN!B:B, A2556)=0, "Missing", "")</f>
        <v/>
      </c>
      <c r="C2556" s="128"/>
      <c r="E2556" s="128" t="str">
        <f t="shared" si="1"/>
        <v/>
      </c>
    </row>
    <row r="2557">
      <c r="A2557" s="93" t="str">
        <f t="shared" si="2"/>
        <v>#16406</v>
      </c>
      <c r="B2557" s="93" t="str">
        <f>IF(COUNTIF(MAIN!B:B, A2557)=0, "Missing", "")</f>
        <v/>
      </c>
      <c r="C2557" s="128"/>
      <c r="E2557" s="128" t="str">
        <f t="shared" si="1"/>
        <v/>
      </c>
    </row>
    <row r="2558">
      <c r="A2558" s="93" t="str">
        <f t="shared" si="2"/>
        <v>#16407</v>
      </c>
      <c r="B2558" s="93" t="str">
        <f>IF(COUNTIF(MAIN!B:B, A2558)=0, "Missing", "")</f>
        <v/>
      </c>
      <c r="C2558" s="128"/>
      <c r="E2558" s="128" t="str">
        <f t="shared" si="1"/>
        <v/>
      </c>
    </row>
    <row r="2559">
      <c r="A2559" s="93" t="str">
        <f t="shared" si="2"/>
        <v>#16408</v>
      </c>
      <c r="B2559" s="93" t="str">
        <f>IF(COUNTIF(MAIN!B:B, A2559)=0, "Missing", "")</f>
        <v/>
      </c>
      <c r="C2559" s="128"/>
      <c r="E2559" s="128" t="str">
        <f t="shared" si="1"/>
        <v/>
      </c>
    </row>
    <row r="2560">
      <c r="A2560" s="93" t="str">
        <f t="shared" si="2"/>
        <v>#16409</v>
      </c>
      <c r="B2560" s="93" t="str">
        <f>IF(COUNTIF(MAIN!B:B, A2560)=0, "Missing", "")</f>
        <v/>
      </c>
      <c r="C2560" s="128"/>
      <c r="E2560" s="128" t="str">
        <f t="shared" si="1"/>
        <v/>
      </c>
    </row>
    <row r="2561">
      <c r="A2561" s="93" t="str">
        <f t="shared" si="2"/>
        <v>#16410</v>
      </c>
      <c r="B2561" s="93" t="str">
        <f>IF(COUNTIF(MAIN!B:B, A2561)=0, "Missing", "")</f>
        <v/>
      </c>
      <c r="C2561" s="128"/>
      <c r="E2561" s="128" t="str">
        <f t="shared" si="1"/>
        <v/>
      </c>
    </row>
    <row r="2562">
      <c r="A2562" s="93" t="str">
        <f t="shared" si="2"/>
        <v>#16411</v>
      </c>
      <c r="B2562" s="93" t="str">
        <f>IF(COUNTIF(MAIN!B:B, A2562)=0, "Missing", "")</f>
        <v/>
      </c>
      <c r="C2562" s="128"/>
      <c r="E2562" s="128" t="str">
        <f t="shared" si="1"/>
        <v/>
      </c>
    </row>
    <row r="2563">
      <c r="A2563" s="93" t="str">
        <f t="shared" si="2"/>
        <v>#16412</v>
      </c>
      <c r="B2563" s="93" t="str">
        <f>IF(COUNTIF(MAIN!B:B, A2563)=0, "Missing", "")</f>
        <v/>
      </c>
      <c r="C2563" s="128"/>
      <c r="E2563" s="128" t="str">
        <f t="shared" si="1"/>
        <v/>
      </c>
    </row>
    <row r="2564">
      <c r="A2564" s="93" t="str">
        <f t="shared" si="2"/>
        <v>#16413</v>
      </c>
      <c r="B2564" s="93" t="str">
        <f>IF(COUNTIF(MAIN!B:B, A2564)=0, "Missing", "")</f>
        <v/>
      </c>
      <c r="C2564" s="128"/>
      <c r="E2564" s="128" t="str">
        <f t="shared" si="1"/>
        <v/>
      </c>
    </row>
    <row r="2565">
      <c r="A2565" s="93" t="str">
        <f t="shared" si="2"/>
        <v>#16414</v>
      </c>
      <c r="B2565" s="93" t="str">
        <f>IF(COUNTIF(MAIN!B:B, A2565)=0, "Missing", "")</f>
        <v/>
      </c>
      <c r="C2565" s="128"/>
      <c r="E2565" s="128" t="str">
        <f t="shared" si="1"/>
        <v/>
      </c>
    </row>
    <row r="2566">
      <c r="A2566" s="93" t="str">
        <f t="shared" si="2"/>
        <v>#16415</v>
      </c>
      <c r="B2566" s="93" t="str">
        <f>IF(COUNTIF(MAIN!B:B, A2566)=0, "Missing", "")</f>
        <v/>
      </c>
      <c r="C2566" s="128"/>
      <c r="E2566" s="128" t="str">
        <f t="shared" si="1"/>
        <v/>
      </c>
    </row>
    <row r="2567">
      <c r="A2567" s="93" t="str">
        <f t="shared" si="2"/>
        <v>#16416</v>
      </c>
      <c r="B2567" s="93" t="str">
        <f>IF(COUNTIF(MAIN!B:B, A2567)=0, "Missing", "")</f>
        <v/>
      </c>
      <c r="C2567" s="128"/>
      <c r="E2567" s="128" t="str">
        <f t="shared" si="1"/>
        <v/>
      </c>
    </row>
    <row r="2568">
      <c r="A2568" s="93" t="str">
        <f t="shared" si="2"/>
        <v>#16417</v>
      </c>
      <c r="B2568" s="93" t="str">
        <f>IF(COUNTIF(MAIN!B:B, A2568)=0, "Missing", "")</f>
        <v/>
      </c>
      <c r="C2568" s="128"/>
      <c r="E2568" s="128" t="str">
        <f t="shared" si="1"/>
        <v/>
      </c>
    </row>
    <row r="2569">
      <c r="A2569" s="93" t="str">
        <f t="shared" si="2"/>
        <v>#16418</v>
      </c>
      <c r="B2569" s="93" t="str">
        <f>IF(COUNTIF(MAIN!B:B, A2569)=0, "Missing", "")</f>
        <v/>
      </c>
      <c r="C2569" s="128"/>
      <c r="E2569" s="128" t="str">
        <f t="shared" si="1"/>
        <v/>
      </c>
    </row>
    <row r="2570">
      <c r="A2570" s="93" t="str">
        <f t="shared" si="2"/>
        <v>#16419</v>
      </c>
      <c r="B2570" s="93" t="str">
        <f>IF(COUNTIF(MAIN!B:B, A2570)=0, "Missing", "")</f>
        <v/>
      </c>
      <c r="C2570" s="128"/>
      <c r="E2570" s="128" t="str">
        <f t="shared" si="1"/>
        <v/>
      </c>
    </row>
    <row r="2571">
      <c r="A2571" s="93" t="str">
        <f t="shared" si="2"/>
        <v>#16420</v>
      </c>
      <c r="B2571" s="93" t="str">
        <f>IF(COUNTIF(MAIN!B:B, A2571)=0, "Missing", "")</f>
        <v/>
      </c>
      <c r="C2571" s="128"/>
      <c r="E2571" s="128" t="str">
        <f t="shared" si="1"/>
        <v/>
      </c>
    </row>
    <row r="2572">
      <c r="A2572" s="93" t="str">
        <f t="shared" si="2"/>
        <v>#16421</v>
      </c>
      <c r="B2572" s="93" t="str">
        <f>IF(COUNTIF(MAIN!B:B, A2572)=0, "Missing", "")</f>
        <v/>
      </c>
      <c r="C2572" s="128"/>
      <c r="E2572" s="128" t="str">
        <f t="shared" si="1"/>
        <v/>
      </c>
    </row>
    <row r="2573">
      <c r="A2573" s="93" t="str">
        <f t="shared" si="2"/>
        <v>#16422</v>
      </c>
      <c r="B2573" s="93" t="str">
        <f>IF(COUNTIF(MAIN!B:B, A2573)=0, "Missing", "")</f>
        <v/>
      </c>
      <c r="C2573" s="128"/>
      <c r="E2573" s="128" t="str">
        <f t="shared" si="1"/>
        <v/>
      </c>
    </row>
    <row r="2574">
      <c r="A2574" s="93" t="str">
        <f t="shared" si="2"/>
        <v>#16423</v>
      </c>
      <c r="B2574" s="93" t="str">
        <f>IF(COUNTIF(MAIN!B:B, A2574)=0, "Missing", "")</f>
        <v/>
      </c>
      <c r="C2574" s="128"/>
      <c r="E2574" s="128" t="str">
        <f t="shared" si="1"/>
        <v/>
      </c>
    </row>
    <row r="2575">
      <c r="A2575" s="93" t="str">
        <f t="shared" si="2"/>
        <v>#16424</v>
      </c>
      <c r="B2575" s="93" t="str">
        <f>IF(COUNTIF(MAIN!B:B, A2575)=0, "Missing", "")</f>
        <v/>
      </c>
      <c r="C2575" s="128"/>
      <c r="E2575" s="128" t="str">
        <f t="shared" si="1"/>
        <v/>
      </c>
    </row>
    <row r="2576">
      <c r="A2576" s="93" t="str">
        <f t="shared" si="2"/>
        <v>#16425</v>
      </c>
      <c r="B2576" s="93" t="str">
        <f>IF(COUNTIF(MAIN!B:B, A2576)=0, "Missing", "")</f>
        <v/>
      </c>
      <c r="C2576" s="128"/>
      <c r="E2576" s="128" t="str">
        <f t="shared" si="1"/>
        <v/>
      </c>
    </row>
    <row r="2577">
      <c r="A2577" s="93" t="str">
        <f t="shared" si="2"/>
        <v>#16426</v>
      </c>
      <c r="B2577" s="93" t="str">
        <f>IF(COUNTIF(MAIN!B:B, A2577)=0, "Missing", "")</f>
        <v/>
      </c>
      <c r="C2577" s="128"/>
      <c r="E2577" s="128" t="str">
        <f t="shared" si="1"/>
        <v/>
      </c>
    </row>
    <row r="2578">
      <c r="A2578" s="93" t="str">
        <f t="shared" si="2"/>
        <v>#16427</v>
      </c>
      <c r="B2578" s="93" t="str">
        <f>IF(COUNTIF(MAIN!B:B, A2578)=0, "Missing", "")</f>
        <v/>
      </c>
      <c r="C2578" s="128"/>
      <c r="E2578" s="128" t="str">
        <f t="shared" si="1"/>
        <v/>
      </c>
    </row>
    <row r="2579">
      <c r="A2579" s="93" t="str">
        <f t="shared" si="2"/>
        <v>#16428</v>
      </c>
      <c r="B2579" s="93" t="str">
        <f>IF(COUNTIF(MAIN!B:B, A2579)=0, "Missing", "")</f>
        <v/>
      </c>
      <c r="C2579" s="128"/>
      <c r="E2579" s="128" t="str">
        <f t="shared" si="1"/>
        <v/>
      </c>
    </row>
    <row r="2580">
      <c r="A2580" s="93" t="str">
        <f t="shared" si="2"/>
        <v>#16429</v>
      </c>
      <c r="B2580" s="93" t="str">
        <f>IF(COUNTIF(MAIN!B:B, A2580)=0, "Missing", "")</f>
        <v/>
      </c>
      <c r="C2580" s="128"/>
      <c r="E2580" s="128" t="str">
        <f t="shared" si="1"/>
        <v/>
      </c>
    </row>
    <row r="2581">
      <c r="A2581" s="93" t="str">
        <f t="shared" si="2"/>
        <v>#16430</v>
      </c>
      <c r="B2581" s="93" t="str">
        <f>IF(COUNTIF(MAIN!B:B, A2581)=0, "Missing", "")</f>
        <v/>
      </c>
      <c r="C2581" s="128"/>
      <c r="E2581" s="128" t="str">
        <f t="shared" si="1"/>
        <v/>
      </c>
    </row>
    <row r="2582">
      <c r="A2582" s="93" t="str">
        <f t="shared" si="2"/>
        <v>#16431</v>
      </c>
      <c r="B2582" s="93" t="str">
        <f>IF(COUNTIF(MAIN!B:B, A2582)=0, "Missing", "")</f>
        <v/>
      </c>
      <c r="C2582" s="128"/>
      <c r="E2582" s="128" t="str">
        <f t="shared" si="1"/>
        <v/>
      </c>
    </row>
    <row r="2583">
      <c r="A2583" s="93" t="str">
        <f t="shared" si="2"/>
        <v>#16432</v>
      </c>
      <c r="B2583" s="93" t="str">
        <f>IF(COUNTIF(MAIN!B:B, A2583)=0, "Missing", "")</f>
        <v/>
      </c>
      <c r="C2583" s="128"/>
      <c r="E2583" s="128" t="str">
        <f t="shared" si="1"/>
        <v/>
      </c>
    </row>
    <row r="2584">
      <c r="A2584" s="93" t="str">
        <f t="shared" si="2"/>
        <v>#16433</v>
      </c>
      <c r="B2584" s="93" t="str">
        <f>IF(COUNTIF(MAIN!B:B, A2584)=0, "Missing", "")</f>
        <v/>
      </c>
      <c r="C2584" s="128"/>
      <c r="E2584" s="128" t="str">
        <f t="shared" si="1"/>
        <v/>
      </c>
    </row>
    <row r="2585">
      <c r="A2585" s="93" t="str">
        <f t="shared" si="2"/>
        <v>#16434</v>
      </c>
      <c r="B2585" s="93" t="str">
        <f>IF(COUNTIF(MAIN!B:B, A2585)=0, "Missing", "")</f>
        <v/>
      </c>
      <c r="C2585" s="128"/>
      <c r="E2585" s="128" t="str">
        <f t="shared" si="1"/>
        <v/>
      </c>
    </row>
    <row r="2586">
      <c r="A2586" s="93" t="str">
        <f t="shared" si="2"/>
        <v>#16435</v>
      </c>
      <c r="B2586" s="93" t="str">
        <f>IF(COUNTIF(MAIN!B:B, A2586)=0, "Missing", "")</f>
        <v/>
      </c>
      <c r="C2586" s="128"/>
      <c r="E2586" s="128" t="str">
        <f t="shared" si="1"/>
        <v/>
      </c>
    </row>
    <row r="2587">
      <c r="A2587" s="93" t="str">
        <f t="shared" si="2"/>
        <v>#16436</v>
      </c>
      <c r="B2587" s="93" t="str">
        <f>IF(COUNTIF(MAIN!B:B, A2587)=0, "Missing", "")</f>
        <v/>
      </c>
      <c r="C2587" s="128"/>
      <c r="E2587" s="128" t="str">
        <f t="shared" si="1"/>
        <v/>
      </c>
    </row>
    <row r="2588">
      <c r="A2588" s="93" t="str">
        <f t="shared" si="2"/>
        <v>#16437</v>
      </c>
      <c r="B2588" s="93" t="str">
        <f>IF(COUNTIF(MAIN!B:B, A2588)=0, "Missing", "")</f>
        <v/>
      </c>
      <c r="C2588" s="128"/>
      <c r="E2588" s="128" t="str">
        <f t="shared" si="1"/>
        <v/>
      </c>
    </row>
    <row r="2589">
      <c r="A2589" s="93" t="str">
        <f t="shared" si="2"/>
        <v>#16438</v>
      </c>
      <c r="B2589" s="93" t="str">
        <f>IF(COUNTIF(MAIN!B:B, A2589)=0, "Missing", "")</f>
        <v/>
      </c>
      <c r="C2589" s="128"/>
      <c r="E2589" s="128" t="str">
        <f t="shared" si="1"/>
        <v/>
      </c>
    </row>
    <row r="2590">
      <c r="A2590" s="93" t="str">
        <f t="shared" si="2"/>
        <v>#16439</v>
      </c>
      <c r="B2590" s="93" t="str">
        <f>IF(COUNTIF(MAIN!B:B, A2590)=0, "Missing", "")</f>
        <v/>
      </c>
      <c r="C2590" s="128"/>
      <c r="E2590" s="128" t="str">
        <f t="shared" si="1"/>
        <v/>
      </c>
    </row>
    <row r="2591">
      <c r="A2591" s="93" t="str">
        <f t="shared" si="2"/>
        <v>#16440</v>
      </c>
      <c r="B2591" s="93" t="str">
        <f>IF(COUNTIF(MAIN!B:B, A2591)=0, "Missing", "")</f>
        <v/>
      </c>
      <c r="C2591" s="128"/>
      <c r="E2591" s="128" t="str">
        <f t="shared" si="1"/>
        <v/>
      </c>
    </row>
    <row r="2592">
      <c r="A2592" s="93" t="str">
        <f t="shared" si="2"/>
        <v>#16441</v>
      </c>
      <c r="B2592" s="93" t="str">
        <f>IF(COUNTIF(MAIN!B:B, A2592)=0, "Missing", "")</f>
        <v/>
      </c>
      <c r="C2592" s="128"/>
      <c r="E2592" s="128" t="str">
        <f t="shared" si="1"/>
        <v/>
      </c>
    </row>
    <row r="2593">
      <c r="A2593" s="93" t="str">
        <f t="shared" si="2"/>
        <v>#16442</v>
      </c>
      <c r="B2593" s="93" t="str">
        <f>IF(COUNTIF(MAIN!B:B, A2593)=0, "Missing", "")</f>
        <v/>
      </c>
      <c r="C2593" s="128"/>
      <c r="E2593" s="128" t="str">
        <f t="shared" si="1"/>
        <v/>
      </c>
    </row>
    <row r="2594">
      <c r="A2594" s="93" t="str">
        <f t="shared" si="2"/>
        <v>#16443</v>
      </c>
      <c r="B2594" s="93" t="str">
        <f>IF(COUNTIF(MAIN!B:B, A2594)=0, "Missing", "")</f>
        <v/>
      </c>
      <c r="C2594" s="128"/>
      <c r="E2594" s="128" t="str">
        <f t="shared" si="1"/>
        <v/>
      </c>
    </row>
    <row r="2595">
      <c r="A2595" s="93" t="str">
        <f t="shared" si="2"/>
        <v>#16444</v>
      </c>
      <c r="B2595" s="93" t="str">
        <f>IF(COUNTIF(MAIN!B:B, A2595)=0, "Missing", "")</f>
        <v/>
      </c>
      <c r="C2595" s="128"/>
      <c r="E2595" s="128" t="str">
        <f t="shared" si="1"/>
        <v/>
      </c>
    </row>
    <row r="2596">
      <c r="A2596" s="93" t="str">
        <f t="shared" si="2"/>
        <v>#16445</v>
      </c>
      <c r="B2596" s="93" t="str">
        <f>IF(COUNTIF(MAIN!B:B, A2596)=0, "Missing", "")</f>
        <v/>
      </c>
      <c r="C2596" s="128"/>
      <c r="E2596" s="128" t="str">
        <f t="shared" si="1"/>
        <v/>
      </c>
    </row>
    <row r="2597">
      <c r="A2597" s="93" t="str">
        <f t="shared" si="2"/>
        <v>#16446</v>
      </c>
      <c r="B2597" s="93" t="str">
        <f>IF(COUNTIF(MAIN!B:B, A2597)=0, "Missing", "")</f>
        <v/>
      </c>
      <c r="C2597" s="128"/>
      <c r="E2597" s="128" t="str">
        <f t="shared" si="1"/>
        <v/>
      </c>
    </row>
    <row r="2598">
      <c r="A2598" s="93" t="str">
        <f t="shared" si="2"/>
        <v>#16447</v>
      </c>
      <c r="B2598" s="93" t="str">
        <f>IF(COUNTIF(MAIN!B:B, A2598)=0, "Missing", "")</f>
        <v/>
      </c>
      <c r="C2598" s="128"/>
      <c r="E2598" s="128" t="str">
        <f t="shared" si="1"/>
        <v/>
      </c>
    </row>
    <row r="2599">
      <c r="A2599" s="93" t="str">
        <f t="shared" si="2"/>
        <v>#16448</v>
      </c>
      <c r="B2599" s="93" t="str">
        <f>IF(COUNTIF(MAIN!B:B, A2599)=0, "Missing", "")</f>
        <v/>
      </c>
      <c r="C2599" s="128"/>
      <c r="E2599" s="128" t="str">
        <f t="shared" si="1"/>
        <v/>
      </c>
    </row>
    <row r="2600">
      <c r="A2600" s="93" t="str">
        <f t="shared" si="2"/>
        <v>#16449</v>
      </c>
      <c r="B2600" s="93" t="str">
        <f>IF(COUNTIF(MAIN!B:B, A2600)=0, "Missing", "")</f>
        <v/>
      </c>
      <c r="C2600" s="128"/>
      <c r="E2600" s="128" t="str">
        <f t="shared" si="1"/>
        <v/>
      </c>
    </row>
    <row r="2601">
      <c r="A2601" s="93" t="str">
        <f t="shared" si="2"/>
        <v>#16450</v>
      </c>
      <c r="B2601" s="93" t="str">
        <f>IF(COUNTIF(MAIN!B:B, A2601)=0, "Missing", "")</f>
        <v/>
      </c>
      <c r="C2601" s="128"/>
      <c r="E2601" s="128" t="str">
        <f t="shared" si="1"/>
        <v/>
      </c>
    </row>
    <row r="2602">
      <c r="A2602" s="93" t="str">
        <f t="shared" si="2"/>
        <v>#16451</v>
      </c>
      <c r="B2602" s="93" t="str">
        <f>IF(COUNTIF(MAIN!B:B, A2602)=0, "Missing", "")</f>
        <v/>
      </c>
      <c r="C2602" s="128"/>
      <c r="E2602" s="128" t="str">
        <f t="shared" si="1"/>
        <v/>
      </c>
    </row>
    <row r="2603">
      <c r="A2603" s="93" t="str">
        <f t="shared" si="2"/>
        <v>#16452</v>
      </c>
      <c r="B2603" s="93" t="str">
        <f>IF(COUNTIF(MAIN!B:B, A2603)=0, "Missing", "")</f>
        <v/>
      </c>
      <c r="C2603" s="128"/>
      <c r="E2603" s="128" t="str">
        <f t="shared" si="1"/>
        <v/>
      </c>
    </row>
    <row r="2604">
      <c r="A2604" s="93" t="str">
        <f t="shared" si="2"/>
        <v>#16453</v>
      </c>
      <c r="B2604" s="93" t="str">
        <f>IF(COUNTIF(MAIN!B:B, A2604)=0, "Missing", "")</f>
        <v/>
      </c>
      <c r="C2604" s="128"/>
      <c r="E2604" s="128" t="str">
        <f t="shared" si="1"/>
        <v/>
      </c>
    </row>
    <row r="2605">
      <c r="A2605" s="93" t="str">
        <f t="shared" si="2"/>
        <v>#16454</v>
      </c>
      <c r="B2605" s="93" t="str">
        <f>IF(COUNTIF(MAIN!B:B, A2605)=0, "Missing", "")</f>
        <v/>
      </c>
      <c r="C2605" s="128"/>
      <c r="E2605" s="128" t="str">
        <f t="shared" si="1"/>
        <v/>
      </c>
    </row>
    <row r="2606">
      <c r="A2606" s="93" t="str">
        <f t="shared" si="2"/>
        <v>#16455</v>
      </c>
      <c r="B2606" s="93" t="str">
        <f>IF(COUNTIF(MAIN!B:B, A2606)=0, "Missing", "")</f>
        <v/>
      </c>
      <c r="C2606" s="128"/>
      <c r="E2606" s="128" t="str">
        <f t="shared" si="1"/>
        <v/>
      </c>
    </row>
    <row r="2607">
      <c r="A2607" s="93" t="str">
        <f t="shared" si="2"/>
        <v>#16456</v>
      </c>
      <c r="B2607" s="93" t="str">
        <f>IF(COUNTIF(MAIN!B:B, A2607)=0, "Missing", "")</f>
        <v/>
      </c>
      <c r="C2607" s="128"/>
      <c r="E2607" s="128" t="str">
        <f t="shared" si="1"/>
        <v/>
      </c>
    </row>
    <row r="2608">
      <c r="A2608" s="93" t="str">
        <f t="shared" si="2"/>
        <v>#16457</v>
      </c>
      <c r="B2608" s="93" t="str">
        <f>IF(COUNTIF(MAIN!B:B, A2608)=0, "Missing", "")</f>
        <v/>
      </c>
      <c r="C2608" s="128"/>
      <c r="E2608" s="128" t="str">
        <f t="shared" si="1"/>
        <v/>
      </c>
    </row>
    <row r="2609">
      <c r="A2609" s="93" t="str">
        <f t="shared" si="2"/>
        <v>#16458</v>
      </c>
      <c r="B2609" s="93" t="str">
        <f>IF(COUNTIF(MAIN!B:B, A2609)=0, "Missing", "")</f>
        <v/>
      </c>
      <c r="C2609" s="128"/>
      <c r="E2609" s="128" t="str">
        <f t="shared" si="1"/>
        <v/>
      </c>
    </row>
    <row r="2610">
      <c r="A2610" s="93" t="str">
        <f t="shared" si="2"/>
        <v>#16459</v>
      </c>
      <c r="B2610" s="93" t="str">
        <f>IF(COUNTIF(MAIN!B:B, A2610)=0, "Missing", "")</f>
        <v/>
      </c>
      <c r="C2610" s="128"/>
      <c r="E2610" s="128" t="str">
        <f t="shared" si="1"/>
        <v/>
      </c>
    </row>
    <row r="2611">
      <c r="A2611" s="93" t="str">
        <f t="shared" si="2"/>
        <v>#16460</v>
      </c>
      <c r="B2611" s="93" t="str">
        <f>IF(COUNTIF(MAIN!B:B, A2611)=0, "Missing", "")</f>
        <v/>
      </c>
      <c r="C2611" s="128"/>
      <c r="E2611" s="128" t="str">
        <f t="shared" si="1"/>
        <v/>
      </c>
    </row>
    <row r="2612">
      <c r="A2612" s="93" t="str">
        <f t="shared" si="2"/>
        <v>#16461</v>
      </c>
      <c r="B2612" s="93" t="str">
        <f>IF(COUNTIF(MAIN!B:B, A2612)=0, "Missing", "")</f>
        <v/>
      </c>
      <c r="C2612" s="128"/>
      <c r="E2612" s="128" t="str">
        <f t="shared" si="1"/>
        <v/>
      </c>
    </row>
    <row r="2613">
      <c r="A2613" s="93" t="str">
        <f t="shared" si="2"/>
        <v>#16462</v>
      </c>
      <c r="B2613" s="93" t="str">
        <f>IF(COUNTIF(MAIN!B:B, A2613)=0, "Missing", "")</f>
        <v/>
      </c>
      <c r="C2613" s="128"/>
      <c r="E2613" s="128" t="str">
        <f t="shared" si="1"/>
        <v/>
      </c>
    </row>
    <row r="2614">
      <c r="A2614" s="93" t="str">
        <f t="shared" si="2"/>
        <v>#16463</v>
      </c>
      <c r="B2614" s="93" t="str">
        <f>IF(COUNTIF(MAIN!B:B, A2614)=0, "Missing", "")</f>
        <v/>
      </c>
      <c r="C2614" s="128"/>
      <c r="E2614" s="128" t="str">
        <f t="shared" si="1"/>
        <v/>
      </c>
    </row>
    <row r="2615">
      <c r="A2615" s="93" t="str">
        <f t="shared" si="2"/>
        <v>#16464</v>
      </c>
      <c r="B2615" s="93" t="str">
        <f>IF(COUNTIF(MAIN!B:B, A2615)=0, "Missing", "")</f>
        <v/>
      </c>
      <c r="C2615" s="128"/>
      <c r="E2615" s="128" t="str">
        <f t="shared" si="1"/>
        <v/>
      </c>
    </row>
    <row r="2616">
      <c r="A2616" s="93" t="str">
        <f t="shared" si="2"/>
        <v>#16465</v>
      </c>
      <c r="B2616" s="93" t="str">
        <f>IF(COUNTIF(MAIN!B:B, A2616)=0, "Missing", "")</f>
        <v/>
      </c>
      <c r="C2616" s="128"/>
      <c r="E2616" s="128" t="str">
        <f t="shared" si="1"/>
        <v/>
      </c>
    </row>
    <row r="2617">
      <c r="A2617" s="93" t="str">
        <f t="shared" si="2"/>
        <v>#16466</v>
      </c>
      <c r="B2617" s="93" t="str">
        <f>IF(COUNTIF(MAIN!B:B, A2617)=0, "Missing", "")</f>
        <v/>
      </c>
      <c r="C2617" s="128"/>
      <c r="E2617" s="128" t="str">
        <f t="shared" si="1"/>
        <v/>
      </c>
    </row>
    <row r="2618">
      <c r="A2618" s="93" t="str">
        <f t="shared" si="2"/>
        <v>#16467</v>
      </c>
      <c r="B2618" s="93" t="str">
        <f>IF(COUNTIF(MAIN!B:B, A2618)=0, "Missing", "")</f>
        <v/>
      </c>
      <c r="C2618" s="128"/>
      <c r="E2618" s="128" t="str">
        <f t="shared" si="1"/>
        <v/>
      </c>
    </row>
    <row r="2619">
      <c r="A2619" s="93" t="str">
        <f t="shared" si="2"/>
        <v>#16468</v>
      </c>
      <c r="B2619" s="93" t="str">
        <f>IF(COUNTIF(MAIN!B:B, A2619)=0, "Missing", "")</f>
        <v/>
      </c>
      <c r="C2619" s="128"/>
      <c r="E2619" s="128" t="str">
        <f t="shared" si="1"/>
        <v/>
      </c>
    </row>
    <row r="2620">
      <c r="A2620" s="93" t="str">
        <f t="shared" si="2"/>
        <v>#16469</v>
      </c>
      <c r="B2620" s="93" t="str">
        <f>IF(COUNTIF(MAIN!B:B, A2620)=0, "Missing", "")</f>
        <v/>
      </c>
      <c r="C2620" s="128"/>
      <c r="E2620" s="128" t="str">
        <f t="shared" si="1"/>
        <v/>
      </c>
    </row>
    <row r="2621">
      <c r="A2621" s="93" t="str">
        <f t="shared" si="2"/>
        <v>#16470</v>
      </c>
      <c r="B2621" s="93" t="str">
        <f>IF(COUNTIF(MAIN!B:B, A2621)=0, "Missing", "")</f>
        <v/>
      </c>
      <c r="C2621" s="128"/>
      <c r="E2621" s="128" t="str">
        <f t="shared" si="1"/>
        <v/>
      </c>
    </row>
    <row r="2622">
      <c r="A2622" s="93" t="str">
        <f t="shared" si="2"/>
        <v>#16471</v>
      </c>
      <c r="B2622" s="93" t="str">
        <f>IF(COUNTIF(MAIN!B:B, A2622)=0, "Missing", "")</f>
        <v/>
      </c>
      <c r="C2622" s="128"/>
      <c r="E2622" s="128" t="str">
        <f t="shared" si="1"/>
        <v/>
      </c>
    </row>
    <row r="2623">
      <c r="A2623" s="93" t="str">
        <f t="shared" si="2"/>
        <v>#16472</v>
      </c>
      <c r="B2623" s="93" t="str">
        <f>IF(COUNTIF(MAIN!B:B, A2623)=0, "Missing", "")</f>
        <v/>
      </c>
      <c r="C2623" s="128"/>
      <c r="E2623" s="128" t="str">
        <f t="shared" si="1"/>
        <v/>
      </c>
    </row>
    <row r="2624">
      <c r="A2624" s="93" t="str">
        <f t="shared" si="2"/>
        <v>#16473</v>
      </c>
      <c r="B2624" s="93" t="str">
        <f>IF(COUNTIF(MAIN!B:B, A2624)=0, "Missing", "")</f>
        <v/>
      </c>
      <c r="C2624" s="128"/>
      <c r="E2624" s="128" t="str">
        <f t="shared" si="1"/>
        <v/>
      </c>
    </row>
    <row r="2625">
      <c r="A2625" s="93" t="str">
        <f t="shared" si="2"/>
        <v>#16474</v>
      </c>
      <c r="B2625" s="93" t="str">
        <f>IF(COUNTIF(MAIN!B:B, A2625)=0, "Missing", "")</f>
        <v/>
      </c>
      <c r="C2625" s="128"/>
      <c r="E2625" s="128" t="str">
        <f t="shared" si="1"/>
        <v/>
      </c>
    </row>
    <row r="2626">
      <c r="A2626" s="93" t="str">
        <f t="shared" si="2"/>
        <v>#16475</v>
      </c>
      <c r="B2626" s="93" t="str">
        <f>IF(COUNTIF(MAIN!B:B, A2626)=0, "Missing", "")</f>
        <v/>
      </c>
      <c r="C2626" s="128"/>
      <c r="E2626" s="128" t="str">
        <f t="shared" si="1"/>
        <v/>
      </c>
    </row>
    <row r="2627">
      <c r="A2627" s="93" t="str">
        <f t="shared" si="2"/>
        <v>#16476</v>
      </c>
      <c r="B2627" s="93" t="str">
        <f>IF(COUNTIF(MAIN!B:B, A2627)=0, "Missing", "")</f>
        <v/>
      </c>
      <c r="C2627" s="128"/>
      <c r="E2627" s="128" t="str">
        <f t="shared" si="1"/>
        <v/>
      </c>
    </row>
    <row r="2628">
      <c r="A2628" s="93" t="str">
        <f t="shared" si="2"/>
        <v>#16477</v>
      </c>
      <c r="B2628" s="93" t="str">
        <f>IF(COUNTIF(MAIN!B:B, A2628)=0, "Missing", "")</f>
        <v/>
      </c>
      <c r="C2628" s="128"/>
      <c r="E2628" s="128" t="str">
        <f t="shared" si="1"/>
        <v/>
      </c>
    </row>
    <row r="2629">
      <c r="A2629" s="93" t="str">
        <f t="shared" si="2"/>
        <v>#16478</v>
      </c>
      <c r="B2629" s="93" t="str">
        <f>IF(COUNTIF(MAIN!B:B, A2629)=0, "Missing", "")</f>
        <v/>
      </c>
      <c r="C2629" s="128"/>
      <c r="E2629" s="128" t="str">
        <f t="shared" si="1"/>
        <v/>
      </c>
    </row>
    <row r="2630">
      <c r="A2630" s="93" t="str">
        <f t="shared" si="2"/>
        <v>#16479</v>
      </c>
      <c r="B2630" s="93" t="str">
        <f>IF(COUNTIF(MAIN!B:B, A2630)=0, "Missing", "")</f>
        <v/>
      </c>
      <c r="C2630" s="128"/>
      <c r="E2630" s="128" t="str">
        <f t="shared" si="1"/>
        <v/>
      </c>
    </row>
    <row r="2631">
      <c r="A2631" s="93" t="str">
        <f t="shared" si="2"/>
        <v>#16480</v>
      </c>
      <c r="B2631" s="93" t="str">
        <f>IF(COUNTIF(MAIN!B:B, A2631)=0, "Missing", "")</f>
        <v/>
      </c>
      <c r="C2631" s="128"/>
      <c r="E2631" s="128" t="str">
        <f t="shared" si="1"/>
        <v/>
      </c>
    </row>
    <row r="2632">
      <c r="A2632" s="93" t="str">
        <f t="shared" si="2"/>
        <v>#16481</v>
      </c>
      <c r="B2632" s="93" t="str">
        <f>IF(COUNTIF(MAIN!B:B, A2632)=0, "Missing", "")</f>
        <v/>
      </c>
      <c r="C2632" s="128"/>
      <c r="E2632" s="128" t="str">
        <f t="shared" si="1"/>
        <v/>
      </c>
    </row>
    <row r="2633">
      <c r="A2633" s="93" t="str">
        <f t="shared" si="2"/>
        <v>#16482</v>
      </c>
      <c r="B2633" s="93" t="str">
        <f>IF(COUNTIF(MAIN!B:B, A2633)=0, "Missing", "")</f>
        <v/>
      </c>
      <c r="C2633" s="128"/>
      <c r="E2633" s="128" t="str">
        <f t="shared" si="1"/>
        <v/>
      </c>
    </row>
    <row r="2634">
      <c r="A2634" s="93" t="str">
        <f t="shared" si="2"/>
        <v>#16483</v>
      </c>
      <c r="B2634" s="93" t="str">
        <f>IF(COUNTIF(MAIN!B:B, A2634)=0, "Missing", "")</f>
        <v/>
      </c>
      <c r="C2634" s="128"/>
      <c r="E2634" s="128" t="str">
        <f t="shared" si="1"/>
        <v/>
      </c>
    </row>
    <row r="2635">
      <c r="A2635" s="93" t="str">
        <f t="shared" si="2"/>
        <v>#16484</v>
      </c>
      <c r="B2635" s="93" t="str">
        <f>IF(COUNTIF(MAIN!B:B, A2635)=0, "Missing", "")</f>
        <v/>
      </c>
      <c r="C2635" s="128"/>
      <c r="E2635" s="128" t="str">
        <f t="shared" si="1"/>
        <v/>
      </c>
    </row>
    <row r="2636">
      <c r="A2636" s="93" t="str">
        <f t="shared" si="2"/>
        <v>#16485</v>
      </c>
      <c r="B2636" s="93" t="str">
        <f>IF(COUNTIF(MAIN!B:B, A2636)=0, "Missing", "")</f>
        <v/>
      </c>
      <c r="C2636" s="128"/>
      <c r="E2636" s="128" t="str">
        <f t="shared" si="1"/>
        <v/>
      </c>
    </row>
    <row r="2637">
      <c r="A2637" s="93" t="str">
        <f t="shared" si="2"/>
        <v>#16486</v>
      </c>
      <c r="B2637" s="93" t="str">
        <f>IF(COUNTIF(MAIN!B:B, A2637)=0, "Missing", "")</f>
        <v/>
      </c>
      <c r="C2637" s="128"/>
      <c r="E2637" s="128" t="str">
        <f t="shared" si="1"/>
        <v/>
      </c>
    </row>
    <row r="2638">
      <c r="A2638" s="93" t="str">
        <f t="shared" si="2"/>
        <v>#16487</v>
      </c>
      <c r="B2638" s="93" t="str">
        <f>IF(COUNTIF(MAIN!B:B, A2638)=0, "Missing", "")</f>
        <v/>
      </c>
      <c r="C2638" s="128"/>
      <c r="E2638" s="128" t="str">
        <f t="shared" si="1"/>
        <v/>
      </c>
    </row>
    <row r="2639">
      <c r="A2639" s="93" t="str">
        <f t="shared" si="2"/>
        <v>#16488</v>
      </c>
      <c r="B2639" s="93" t="str">
        <f>IF(COUNTIF(MAIN!B:B, A2639)=0, "Missing", "")</f>
        <v/>
      </c>
      <c r="C2639" s="128"/>
      <c r="E2639" s="128" t="str">
        <f t="shared" si="1"/>
        <v/>
      </c>
    </row>
    <row r="2640">
      <c r="A2640" s="93" t="str">
        <f t="shared" si="2"/>
        <v>#16489</v>
      </c>
      <c r="B2640" s="93" t="str">
        <f>IF(COUNTIF(MAIN!B:B, A2640)=0, "Missing", "")</f>
        <v/>
      </c>
      <c r="C2640" s="128"/>
      <c r="E2640" s="128" t="str">
        <f t="shared" si="1"/>
        <v/>
      </c>
    </row>
    <row r="2641">
      <c r="A2641" s="93" t="str">
        <f t="shared" si="2"/>
        <v>#16490</v>
      </c>
      <c r="B2641" s="93" t="str">
        <f>IF(COUNTIF(MAIN!B:B, A2641)=0, "Missing", "")</f>
        <v/>
      </c>
      <c r="C2641" s="128"/>
      <c r="E2641" s="128" t="str">
        <f t="shared" si="1"/>
        <v/>
      </c>
    </row>
    <row r="2642">
      <c r="A2642" s="93" t="str">
        <f t="shared" si="2"/>
        <v>#16491</v>
      </c>
      <c r="B2642" s="93" t="str">
        <f>IF(COUNTIF(MAIN!B:B, A2642)=0, "Missing", "")</f>
        <v/>
      </c>
      <c r="C2642" s="128"/>
      <c r="E2642" s="128" t="str">
        <f t="shared" si="1"/>
        <v/>
      </c>
    </row>
    <row r="2643">
      <c r="A2643" s="93" t="str">
        <f t="shared" si="2"/>
        <v>#16492</v>
      </c>
      <c r="B2643" s="93" t="str">
        <f>IF(COUNTIF(MAIN!B:B, A2643)=0, "Missing", "")</f>
        <v/>
      </c>
      <c r="C2643" s="128"/>
      <c r="E2643" s="128" t="str">
        <f t="shared" si="1"/>
        <v/>
      </c>
    </row>
    <row r="2644">
      <c r="A2644" s="93" t="str">
        <f t="shared" si="2"/>
        <v>#16493</v>
      </c>
      <c r="B2644" s="93" t="str">
        <f>IF(COUNTIF(MAIN!B:B, A2644)=0, "Missing", "")</f>
        <v/>
      </c>
      <c r="C2644" s="128"/>
      <c r="E2644" s="128" t="str">
        <f t="shared" si="1"/>
        <v/>
      </c>
    </row>
    <row r="2645">
      <c r="A2645" s="93" t="str">
        <f t="shared" si="2"/>
        <v>#16494</v>
      </c>
      <c r="B2645" s="93" t="str">
        <f>IF(COUNTIF(MAIN!B:B, A2645)=0, "Missing", "")</f>
        <v/>
      </c>
      <c r="C2645" s="128"/>
      <c r="E2645" s="128" t="str">
        <f t="shared" si="1"/>
        <v/>
      </c>
    </row>
    <row r="2646">
      <c r="A2646" s="93" t="str">
        <f t="shared" si="2"/>
        <v>#16495</v>
      </c>
      <c r="B2646" s="93" t="str">
        <f>IF(COUNTIF(MAIN!B:B, A2646)=0, "Missing", "")</f>
        <v/>
      </c>
      <c r="C2646" s="128"/>
      <c r="E2646" s="128" t="str">
        <f t="shared" si="1"/>
        <v/>
      </c>
    </row>
    <row r="2647">
      <c r="A2647" s="93" t="str">
        <f t="shared" si="2"/>
        <v>#16496</v>
      </c>
      <c r="B2647" s="93" t="str">
        <f>IF(COUNTIF(MAIN!B:B, A2647)=0, "Missing", "")</f>
        <v/>
      </c>
      <c r="C2647" s="128"/>
      <c r="E2647" s="128" t="str">
        <f t="shared" si="1"/>
        <v/>
      </c>
    </row>
    <row r="2648">
      <c r="A2648" s="93" t="str">
        <f t="shared" si="2"/>
        <v>#16497</v>
      </c>
      <c r="B2648" s="93" t="str">
        <f>IF(COUNTIF(MAIN!B:B, A2648)=0, "Missing", "")</f>
        <v/>
      </c>
      <c r="C2648" s="128"/>
      <c r="E2648" s="128" t="str">
        <f t="shared" si="1"/>
        <v/>
      </c>
    </row>
    <row r="2649">
      <c r="A2649" s="93" t="str">
        <f t="shared" si="2"/>
        <v>#16498</v>
      </c>
      <c r="B2649" s="93" t="str">
        <f>IF(COUNTIF(MAIN!B:B, A2649)=0, "Missing", "")</f>
        <v/>
      </c>
      <c r="C2649" s="128"/>
      <c r="E2649" s="128" t="str">
        <f t="shared" si="1"/>
        <v/>
      </c>
    </row>
    <row r="2650">
      <c r="A2650" s="93" t="str">
        <f t="shared" si="2"/>
        <v>#16499</v>
      </c>
      <c r="B2650" s="93" t="str">
        <f>IF(COUNTIF(MAIN!B:B, A2650)=0, "Missing", "")</f>
        <v/>
      </c>
      <c r="C2650" s="128"/>
      <c r="E2650" s="128" t="str">
        <f t="shared" si="1"/>
        <v/>
      </c>
    </row>
    <row r="2651">
      <c r="A2651" s="93" t="str">
        <f t="shared" si="2"/>
        <v>#16500</v>
      </c>
      <c r="B2651" s="93" t="str">
        <f>IF(COUNTIF(MAIN!B:B, A2651)=0, "Missing", "")</f>
        <v/>
      </c>
      <c r="C2651" s="128"/>
      <c r="E2651" s="128" t="str">
        <f t="shared" si="1"/>
        <v/>
      </c>
    </row>
    <row r="2652">
      <c r="A2652" s="93" t="str">
        <f t="shared" si="2"/>
        <v>#16501</v>
      </c>
      <c r="B2652" s="93" t="str">
        <f>IF(COUNTIF(MAIN!B:B, A2652)=0, "Missing", "")</f>
        <v/>
      </c>
      <c r="C2652" s="128"/>
      <c r="E2652" s="128" t="str">
        <f t="shared" si="1"/>
        <v/>
      </c>
    </row>
    <row r="2653">
      <c r="A2653" s="93" t="str">
        <f t="shared" si="2"/>
        <v>#16502</v>
      </c>
      <c r="B2653" s="93" t="str">
        <f>IF(COUNTIF(MAIN!B:B, A2653)=0, "Missing", "")</f>
        <v/>
      </c>
      <c r="C2653" s="128"/>
      <c r="E2653" s="128" t="str">
        <f t="shared" si="1"/>
        <v/>
      </c>
    </row>
    <row r="2654">
      <c r="A2654" s="93" t="str">
        <f t="shared" si="2"/>
        <v>#16503</v>
      </c>
      <c r="B2654" s="93" t="str">
        <f>IF(COUNTIF(MAIN!B:B, A2654)=0, "Missing", "")</f>
        <v/>
      </c>
      <c r="C2654" s="128"/>
      <c r="E2654" s="128" t="str">
        <f t="shared" si="1"/>
        <v/>
      </c>
    </row>
    <row r="2655">
      <c r="A2655" s="93" t="str">
        <f t="shared" si="2"/>
        <v>#16504</v>
      </c>
      <c r="B2655" s="93" t="str">
        <f>IF(COUNTIF(MAIN!B:B, A2655)=0, "Missing", "")</f>
        <v/>
      </c>
      <c r="C2655" s="128"/>
      <c r="E2655" s="128" t="str">
        <f t="shared" si="1"/>
        <v/>
      </c>
    </row>
    <row r="2656">
      <c r="A2656" s="93" t="str">
        <f t="shared" si="2"/>
        <v>#16505</v>
      </c>
      <c r="B2656" s="93" t="str">
        <f>IF(COUNTIF(MAIN!B:B, A2656)=0, "Missing", "")</f>
        <v/>
      </c>
      <c r="C2656" s="128"/>
      <c r="E2656" s="128" t="str">
        <f t="shared" si="1"/>
        <v/>
      </c>
    </row>
    <row r="2657">
      <c r="A2657" s="93" t="str">
        <f t="shared" si="2"/>
        <v>#16506</v>
      </c>
      <c r="B2657" s="93" t="str">
        <f>IF(COUNTIF(MAIN!B:B, A2657)=0, "Missing", "")</f>
        <v/>
      </c>
      <c r="C2657" s="128"/>
      <c r="E2657" s="128" t="str">
        <f t="shared" si="1"/>
        <v/>
      </c>
    </row>
    <row r="2658">
      <c r="A2658" s="93" t="str">
        <f t="shared" si="2"/>
        <v>#16507</v>
      </c>
      <c r="B2658" s="93" t="str">
        <f>IF(COUNTIF(MAIN!B:B, A2658)=0, "Missing", "")</f>
        <v/>
      </c>
      <c r="C2658" s="128"/>
      <c r="E2658" s="128" t="str">
        <f t="shared" si="1"/>
        <v/>
      </c>
    </row>
    <row r="2659">
      <c r="A2659" s="93" t="str">
        <f t="shared" si="2"/>
        <v>#16508</v>
      </c>
      <c r="B2659" s="93" t="str">
        <f>IF(COUNTIF(MAIN!B:B, A2659)=0, "Missing", "")</f>
        <v/>
      </c>
      <c r="C2659" s="128"/>
      <c r="E2659" s="128" t="str">
        <f t="shared" si="1"/>
        <v/>
      </c>
    </row>
    <row r="2660">
      <c r="A2660" s="93" t="str">
        <f t="shared" si="2"/>
        <v>#16509</v>
      </c>
      <c r="B2660" s="93" t="str">
        <f>IF(COUNTIF(MAIN!B:B, A2660)=0, "Missing", "")</f>
        <v/>
      </c>
      <c r="C2660" s="128"/>
      <c r="E2660" s="128" t="str">
        <f t="shared" si="1"/>
        <v/>
      </c>
    </row>
    <row r="2661">
      <c r="A2661" s="93" t="str">
        <f t="shared" si="2"/>
        <v>#16510</v>
      </c>
      <c r="B2661" s="93" t="str">
        <f>IF(COUNTIF(MAIN!B:B, A2661)=0, "Missing", "")</f>
        <v/>
      </c>
      <c r="C2661" s="128"/>
      <c r="E2661" s="128" t="str">
        <f t="shared" si="1"/>
        <v/>
      </c>
    </row>
    <row r="2662">
      <c r="A2662" s="93" t="str">
        <f t="shared" si="2"/>
        <v>#16511</v>
      </c>
      <c r="B2662" s="93" t="str">
        <f>IF(COUNTIF(MAIN!B:B, A2662)=0, "Missing", "")</f>
        <v/>
      </c>
      <c r="C2662" s="128"/>
      <c r="E2662" s="128" t="str">
        <f t="shared" si="1"/>
        <v/>
      </c>
    </row>
    <row r="2663">
      <c r="A2663" s="93" t="str">
        <f t="shared" si="2"/>
        <v>#16512</v>
      </c>
      <c r="B2663" s="93" t="str">
        <f>IF(COUNTIF(MAIN!B:B, A2663)=0, "Missing", "")</f>
        <v/>
      </c>
      <c r="C2663" s="128"/>
      <c r="E2663" s="128" t="str">
        <f t="shared" si="1"/>
        <v/>
      </c>
    </row>
    <row r="2664">
      <c r="A2664" s="93" t="str">
        <f t="shared" si="2"/>
        <v>#16513</v>
      </c>
      <c r="B2664" s="93" t="str">
        <f>IF(COUNTIF(MAIN!B:B, A2664)=0, "Missing", "")</f>
        <v/>
      </c>
      <c r="C2664" s="128"/>
      <c r="E2664" s="128" t="str">
        <f t="shared" si="1"/>
        <v/>
      </c>
    </row>
    <row r="2665">
      <c r="A2665" s="93" t="str">
        <f t="shared" si="2"/>
        <v>#16514</v>
      </c>
      <c r="B2665" s="93" t="str">
        <f>IF(COUNTIF(MAIN!B:B, A2665)=0, "Missing", "")</f>
        <v/>
      </c>
      <c r="C2665" s="128"/>
      <c r="E2665" s="128" t="str">
        <f t="shared" si="1"/>
        <v/>
      </c>
    </row>
    <row r="2666">
      <c r="A2666" s="93" t="str">
        <f t="shared" si="2"/>
        <v>#16515</v>
      </c>
      <c r="B2666" s="93" t="str">
        <f>IF(COUNTIF(MAIN!B:B, A2666)=0, "Missing", "")</f>
        <v/>
      </c>
      <c r="C2666" s="128"/>
      <c r="E2666" s="128" t="str">
        <f t="shared" si="1"/>
        <v/>
      </c>
    </row>
    <row r="2667">
      <c r="A2667" s="93" t="str">
        <f t="shared" si="2"/>
        <v>#16516</v>
      </c>
      <c r="B2667" s="93" t="str">
        <f>IF(COUNTIF(MAIN!B:B, A2667)=0, "Missing", "")</f>
        <v/>
      </c>
      <c r="C2667" s="128"/>
      <c r="E2667" s="128" t="str">
        <f t="shared" si="1"/>
        <v/>
      </c>
    </row>
    <row r="2668">
      <c r="A2668" s="93" t="str">
        <f t="shared" si="2"/>
        <v>#16517</v>
      </c>
      <c r="B2668" s="93" t="str">
        <f>IF(COUNTIF(MAIN!B:B, A2668)=0, "Missing", "")</f>
        <v/>
      </c>
      <c r="C2668" s="128"/>
      <c r="E2668" s="128" t="str">
        <f t="shared" si="1"/>
        <v/>
      </c>
    </row>
    <row r="2669">
      <c r="A2669" s="93" t="str">
        <f t="shared" si="2"/>
        <v>#16518</v>
      </c>
      <c r="B2669" s="93" t="str">
        <f>IF(COUNTIF(MAIN!B:B, A2669)=0, "Missing", "")</f>
        <v/>
      </c>
      <c r="C2669" s="128"/>
      <c r="E2669" s="128" t="str">
        <f t="shared" si="1"/>
        <v/>
      </c>
    </row>
    <row r="2670">
      <c r="A2670" s="93" t="str">
        <f t="shared" si="2"/>
        <v>#16519</v>
      </c>
      <c r="B2670" s="93" t="str">
        <f>IF(COUNTIF(MAIN!B:B, A2670)=0, "Missing", "")</f>
        <v/>
      </c>
      <c r="C2670" s="128"/>
      <c r="E2670" s="128" t="str">
        <f t="shared" si="1"/>
        <v/>
      </c>
    </row>
    <row r="2671">
      <c r="A2671" s="93" t="str">
        <f t="shared" si="2"/>
        <v>#16520</v>
      </c>
      <c r="B2671" s="93" t="str">
        <f>IF(COUNTIF(MAIN!B:B, A2671)=0, "Missing", "")</f>
        <v/>
      </c>
      <c r="C2671" s="128"/>
      <c r="E2671" s="128" t="str">
        <f t="shared" si="1"/>
        <v/>
      </c>
    </row>
    <row r="2672">
      <c r="A2672" s="93" t="str">
        <f t="shared" si="2"/>
        <v>#16521</v>
      </c>
      <c r="B2672" s="93" t="str">
        <f>IF(COUNTIF(MAIN!B:B, A2672)=0, "Missing", "")</f>
        <v/>
      </c>
      <c r="C2672" s="128"/>
      <c r="E2672" s="128" t="str">
        <f t="shared" si="1"/>
        <v/>
      </c>
    </row>
    <row r="2673">
      <c r="A2673" s="93" t="str">
        <f t="shared" si="2"/>
        <v>#16522</v>
      </c>
      <c r="B2673" s="93" t="str">
        <f>IF(COUNTIF(MAIN!B:B, A2673)=0, "Missing", "")</f>
        <v/>
      </c>
      <c r="C2673" s="128"/>
      <c r="E2673" s="128" t="str">
        <f t="shared" si="1"/>
        <v/>
      </c>
    </row>
    <row r="2674">
      <c r="A2674" s="93" t="str">
        <f t="shared" si="2"/>
        <v>#16523</v>
      </c>
      <c r="B2674" s="93" t="str">
        <f>IF(COUNTIF(MAIN!B:B, A2674)=0, "Missing", "")</f>
        <v/>
      </c>
      <c r="C2674" s="128"/>
      <c r="E2674" s="128" t="str">
        <f t="shared" si="1"/>
        <v/>
      </c>
    </row>
    <row r="2675">
      <c r="A2675" s="93" t="str">
        <f t="shared" si="2"/>
        <v>#16524</v>
      </c>
      <c r="B2675" s="93" t="str">
        <f>IF(COUNTIF(MAIN!B:B, A2675)=0, "Missing", "")</f>
        <v/>
      </c>
      <c r="C2675" s="128"/>
      <c r="E2675" s="128" t="str">
        <f t="shared" si="1"/>
        <v/>
      </c>
    </row>
    <row r="2676">
      <c r="A2676" s="93" t="str">
        <f t="shared" si="2"/>
        <v>#16525</v>
      </c>
      <c r="B2676" s="93" t="str">
        <f>IF(COUNTIF(MAIN!B:B, A2676)=0, "Missing", "")</f>
        <v/>
      </c>
      <c r="C2676" s="128"/>
      <c r="E2676" s="128" t="str">
        <f t="shared" si="1"/>
        <v/>
      </c>
    </row>
    <row r="2677">
      <c r="A2677" s="93" t="str">
        <f t="shared" si="2"/>
        <v>#16526</v>
      </c>
      <c r="B2677" s="93" t="str">
        <f>IF(COUNTIF(MAIN!B:B, A2677)=0, "Missing", "")</f>
        <v/>
      </c>
      <c r="C2677" s="128"/>
      <c r="E2677" s="128" t="str">
        <f t="shared" si="1"/>
        <v/>
      </c>
    </row>
    <row r="2678">
      <c r="A2678" s="93" t="str">
        <f t="shared" si="2"/>
        <v>#16527</v>
      </c>
      <c r="B2678" s="93" t="str">
        <f>IF(COUNTIF(MAIN!B:B, A2678)=0, "Missing", "")</f>
        <v/>
      </c>
      <c r="C2678" s="128"/>
      <c r="E2678" s="128" t="str">
        <f t="shared" si="1"/>
        <v/>
      </c>
    </row>
    <row r="2679">
      <c r="A2679" s="93" t="str">
        <f t="shared" si="2"/>
        <v>#16528</v>
      </c>
      <c r="B2679" s="93" t="str">
        <f>IF(COUNTIF(MAIN!B:B, A2679)=0, "Missing", "")</f>
        <v/>
      </c>
      <c r="C2679" s="128"/>
      <c r="E2679" s="128" t="str">
        <f t="shared" si="1"/>
        <v/>
      </c>
    </row>
    <row r="2680">
      <c r="A2680" s="93" t="str">
        <f t="shared" si="2"/>
        <v>#16529</v>
      </c>
      <c r="B2680" s="93" t="str">
        <f>IF(COUNTIF(MAIN!B:B, A2680)=0, "Missing", "")</f>
        <v/>
      </c>
      <c r="C2680" s="128"/>
      <c r="E2680" s="128" t="str">
        <f t="shared" si="1"/>
        <v/>
      </c>
    </row>
    <row r="2681">
      <c r="A2681" s="93" t="str">
        <f t="shared" si="2"/>
        <v>#16530</v>
      </c>
      <c r="B2681" s="93" t="str">
        <f>IF(COUNTIF(MAIN!B:B, A2681)=0, "Missing", "")</f>
        <v/>
      </c>
      <c r="C2681" s="128"/>
      <c r="E2681" s="128" t="str">
        <f t="shared" si="1"/>
        <v/>
      </c>
    </row>
    <row r="2682">
      <c r="A2682" s="93" t="str">
        <f t="shared" si="2"/>
        <v>#16531</v>
      </c>
      <c r="B2682" s="93" t="str">
        <f>IF(COUNTIF(MAIN!B:B, A2682)=0, "Missing", "")</f>
        <v/>
      </c>
      <c r="C2682" s="128"/>
      <c r="E2682" s="128" t="str">
        <f t="shared" si="1"/>
        <v/>
      </c>
    </row>
    <row r="2683">
      <c r="A2683" s="93" t="str">
        <f t="shared" si="2"/>
        <v>#16532</v>
      </c>
      <c r="B2683" s="93" t="str">
        <f>IF(COUNTIF(MAIN!B:B, A2683)=0, "Missing", "")</f>
        <v/>
      </c>
      <c r="C2683" s="128"/>
      <c r="E2683" s="128" t="str">
        <f t="shared" si="1"/>
        <v/>
      </c>
    </row>
    <row r="2684">
      <c r="A2684" s="93" t="str">
        <f t="shared" si="2"/>
        <v>#16533</v>
      </c>
      <c r="B2684" s="93" t="str">
        <f>IF(COUNTIF(MAIN!B:B, A2684)=0, "Missing", "")</f>
        <v/>
      </c>
      <c r="C2684" s="128"/>
      <c r="E2684" s="128" t="str">
        <f t="shared" si="1"/>
        <v/>
      </c>
    </row>
    <row r="2685">
      <c r="A2685" s="93" t="str">
        <f t="shared" si="2"/>
        <v>#16534</v>
      </c>
      <c r="B2685" s="93" t="str">
        <f>IF(COUNTIF(MAIN!B:B, A2685)=0, "Missing", "")</f>
        <v/>
      </c>
      <c r="C2685" s="128"/>
      <c r="E2685" s="128" t="str">
        <f t="shared" si="1"/>
        <v/>
      </c>
    </row>
    <row r="2686">
      <c r="A2686" s="93" t="str">
        <f t="shared" si="2"/>
        <v>#16535</v>
      </c>
      <c r="B2686" s="93" t="str">
        <f>IF(COUNTIF(MAIN!B:B, A2686)=0, "Missing", "")</f>
        <v/>
      </c>
      <c r="C2686" s="128"/>
      <c r="E2686" s="128" t="str">
        <f t="shared" si="1"/>
        <v/>
      </c>
    </row>
    <row r="2687">
      <c r="A2687" s="93" t="str">
        <f t="shared" si="2"/>
        <v>#16536</v>
      </c>
      <c r="B2687" s="93" t="str">
        <f>IF(COUNTIF(MAIN!B:B, A2687)=0, "Missing", "")</f>
        <v/>
      </c>
      <c r="C2687" s="128"/>
      <c r="E2687" s="128" t="str">
        <f t="shared" si="1"/>
        <v/>
      </c>
    </row>
    <row r="2688">
      <c r="A2688" s="93" t="str">
        <f t="shared" si="2"/>
        <v>#16537</v>
      </c>
      <c r="B2688" s="93" t="str">
        <f>IF(COUNTIF(MAIN!B:B, A2688)=0, "Missing", "")</f>
        <v/>
      </c>
      <c r="C2688" s="128"/>
      <c r="E2688" s="128" t="str">
        <f t="shared" si="1"/>
        <v/>
      </c>
    </row>
    <row r="2689">
      <c r="A2689" s="93" t="str">
        <f t="shared" si="2"/>
        <v>#16538</v>
      </c>
      <c r="B2689" s="93" t="str">
        <f>IF(COUNTIF(MAIN!B:B, A2689)=0, "Missing", "")</f>
        <v/>
      </c>
      <c r="C2689" s="128"/>
      <c r="E2689" s="128" t="str">
        <f t="shared" si="1"/>
        <v/>
      </c>
    </row>
    <row r="2690">
      <c r="A2690" s="93" t="str">
        <f t="shared" si="2"/>
        <v>#16539</v>
      </c>
      <c r="B2690" s="93" t="str">
        <f>IF(COUNTIF(MAIN!B:B, A2690)=0, "Missing", "")</f>
        <v/>
      </c>
      <c r="C2690" s="128"/>
      <c r="E2690" s="128" t="str">
        <f t="shared" si="1"/>
        <v/>
      </c>
    </row>
    <row r="2691">
      <c r="A2691" s="93" t="str">
        <f t="shared" si="2"/>
        <v>#16540</v>
      </c>
      <c r="B2691" s="93" t="str">
        <f>IF(COUNTIF(MAIN!B:B, A2691)=0, "Missing", "")</f>
        <v/>
      </c>
      <c r="C2691" s="128"/>
      <c r="E2691" s="128" t="str">
        <f t="shared" si="1"/>
        <v/>
      </c>
    </row>
    <row r="2692">
      <c r="A2692" s="93" t="str">
        <f t="shared" si="2"/>
        <v>#16541</v>
      </c>
      <c r="B2692" s="93" t="str">
        <f>IF(COUNTIF(MAIN!B:B, A2692)=0, "Missing", "")</f>
        <v/>
      </c>
      <c r="C2692" s="128"/>
      <c r="E2692" s="128" t="str">
        <f t="shared" si="1"/>
        <v/>
      </c>
    </row>
    <row r="2693">
      <c r="A2693" s="93" t="str">
        <f t="shared" si="2"/>
        <v>#16542</v>
      </c>
      <c r="B2693" s="93" t="str">
        <f>IF(COUNTIF(MAIN!B:B, A2693)=0, "Missing", "")</f>
        <v/>
      </c>
      <c r="C2693" s="128"/>
      <c r="E2693" s="128" t="str">
        <f t="shared" si="1"/>
        <v/>
      </c>
    </row>
    <row r="2694">
      <c r="A2694" s="93" t="str">
        <f t="shared" si="2"/>
        <v>#16543</v>
      </c>
      <c r="B2694" s="93" t="str">
        <f>IF(COUNTIF(MAIN!B:B, A2694)=0, "Missing", "")</f>
        <v/>
      </c>
      <c r="C2694" s="128"/>
      <c r="E2694" s="128" t="str">
        <f t="shared" si="1"/>
        <v/>
      </c>
    </row>
    <row r="2695">
      <c r="A2695" s="93" t="str">
        <f t="shared" si="2"/>
        <v>#16544</v>
      </c>
      <c r="B2695" s="93" t="str">
        <f>IF(COUNTIF(MAIN!B:B, A2695)=0, "Missing", "")</f>
        <v/>
      </c>
      <c r="C2695" s="128"/>
      <c r="E2695" s="128" t="str">
        <f t="shared" si="1"/>
        <v/>
      </c>
    </row>
    <row r="2696">
      <c r="A2696" s="93" t="str">
        <f t="shared" si="2"/>
        <v>#16545</v>
      </c>
      <c r="B2696" s="93" t="str">
        <f>IF(COUNTIF(MAIN!B:B, A2696)=0, "Missing", "")</f>
        <v/>
      </c>
      <c r="C2696" s="128"/>
      <c r="E2696" s="128" t="str">
        <f t="shared" si="1"/>
        <v/>
      </c>
    </row>
    <row r="2697">
      <c r="A2697" s="93" t="str">
        <f t="shared" si="2"/>
        <v>#16546</v>
      </c>
      <c r="B2697" s="93" t="str">
        <f>IF(COUNTIF(MAIN!B:B, A2697)=0, "Missing", "")</f>
        <v/>
      </c>
      <c r="C2697" s="128"/>
      <c r="E2697" s="128" t="str">
        <f t="shared" si="1"/>
        <v/>
      </c>
    </row>
    <row r="2698">
      <c r="A2698" s="93" t="str">
        <f t="shared" si="2"/>
        <v>#16547</v>
      </c>
      <c r="B2698" s="93" t="str">
        <f>IF(COUNTIF(MAIN!B:B, A2698)=0, "Missing", "")</f>
        <v/>
      </c>
      <c r="C2698" s="128"/>
      <c r="E2698" s="128" t="str">
        <f t="shared" si="1"/>
        <v/>
      </c>
    </row>
    <row r="2699">
      <c r="A2699" s="93" t="str">
        <f t="shared" si="2"/>
        <v>#16548</v>
      </c>
      <c r="B2699" s="93" t="str">
        <f>IF(COUNTIF(MAIN!B:B, A2699)=0, "Missing", "")</f>
        <v/>
      </c>
      <c r="C2699" s="128"/>
      <c r="E2699" s="128" t="str">
        <f t="shared" si="1"/>
        <v/>
      </c>
    </row>
    <row r="2700">
      <c r="A2700" s="93" t="str">
        <f t="shared" si="2"/>
        <v>#16549</v>
      </c>
      <c r="B2700" s="93" t="str">
        <f>IF(COUNTIF(MAIN!B:B, A2700)=0, "Missing", "")</f>
        <v/>
      </c>
      <c r="C2700" s="128"/>
      <c r="E2700" s="128" t="str">
        <f t="shared" si="1"/>
        <v/>
      </c>
    </row>
    <row r="2701">
      <c r="A2701" s="93" t="str">
        <f t="shared" si="2"/>
        <v>#16550</v>
      </c>
      <c r="B2701" s="93" t="str">
        <f>IF(COUNTIF(MAIN!B:B, A2701)=0, "Missing", "")</f>
        <v>Missing</v>
      </c>
      <c r="C2701" s="128"/>
      <c r="E2701" s="131" t="str">
        <f t="shared" si="1"/>
        <v>https://utrucking.myshopify.com/admin/orders?query=16550</v>
      </c>
    </row>
    <row r="2702">
      <c r="A2702" s="93" t="str">
        <f t="shared" si="2"/>
        <v>#16551</v>
      </c>
      <c r="B2702" s="93" t="str">
        <f>IF(COUNTIF(MAIN!B:B, A2702)=0, "Missing", "")</f>
        <v>Missing</v>
      </c>
      <c r="C2702" s="128"/>
      <c r="E2702" s="131" t="str">
        <f t="shared" si="1"/>
        <v>https://utrucking.myshopify.com/admin/orders?query=16551</v>
      </c>
    </row>
    <row r="2703">
      <c r="A2703" s="93" t="str">
        <f t="shared" si="2"/>
        <v>#16552</v>
      </c>
      <c r="B2703" s="93" t="str">
        <f>IF(COUNTIF(MAIN!B:B, A2703)=0, "Missing", "")</f>
        <v/>
      </c>
      <c r="C2703" s="128"/>
      <c r="E2703" s="128" t="str">
        <f t="shared" si="1"/>
        <v/>
      </c>
    </row>
    <row r="2704">
      <c r="A2704" s="93" t="str">
        <f t="shared" si="2"/>
        <v>#16553</v>
      </c>
      <c r="B2704" s="93" t="str">
        <f>IF(COUNTIF(MAIN!B:B, A2704)=0, "Missing", "")</f>
        <v/>
      </c>
      <c r="C2704" s="128"/>
      <c r="E2704" s="128" t="str">
        <f t="shared" si="1"/>
        <v/>
      </c>
    </row>
    <row r="2705">
      <c r="A2705" s="93" t="str">
        <f t="shared" si="2"/>
        <v>#16554</v>
      </c>
      <c r="B2705" s="93" t="str">
        <f>IF(COUNTIF(MAIN!B:B, A2705)=0, "Missing", "")</f>
        <v/>
      </c>
      <c r="C2705" s="128"/>
      <c r="E2705" s="128" t="str">
        <f t="shared" si="1"/>
        <v/>
      </c>
    </row>
    <row r="2706">
      <c r="A2706" s="93" t="str">
        <f t="shared" si="2"/>
        <v>#16555</v>
      </c>
      <c r="B2706" s="93" t="str">
        <f>IF(COUNTIF(MAIN!B:B, A2706)=0, "Missing", "")</f>
        <v/>
      </c>
      <c r="C2706" s="128"/>
      <c r="E2706" s="128" t="str">
        <f t="shared" si="1"/>
        <v/>
      </c>
    </row>
    <row r="2707">
      <c r="A2707" s="93" t="str">
        <f t="shared" si="2"/>
        <v>#16556</v>
      </c>
      <c r="B2707" s="93" t="str">
        <f>IF(COUNTIF(MAIN!B:B, A2707)=0, "Missing", "")</f>
        <v>Missing</v>
      </c>
      <c r="C2707" s="128"/>
      <c r="E2707" s="131" t="str">
        <f t="shared" si="1"/>
        <v>https://utrucking.myshopify.com/admin/orders?query=16556</v>
      </c>
    </row>
    <row r="2708">
      <c r="A2708" s="93" t="str">
        <f t="shared" si="2"/>
        <v>#16557</v>
      </c>
      <c r="B2708" s="93" t="str">
        <f>IF(COUNTIF(MAIN!B:B, A2708)=0, "Missing", "")</f>
        <v>Missing</v>
      </c>
      <c r="C2708" s="128"/>
      <c r="E2708" s="131" t="str">
        <f t="shared" si="1"/>
        <v>https://utrucking.myshopify.com/admin/orders?query=16557</v>
      </c>
    </row>
    <row r="2709">
      <c r="A2709" s="93" t="str">
        <f t="shared" si="2"/>
        <v>#16558</v>
      </c>
      <c r="B2709" s="93" t="str">
        <f>IF(COUNTIF(MAIN!B:B, A2709)=0, "Missing", "")</f>
        <v>Missing</v>
      </c>
      <c r="C2709" s="128"/>
      <c r="E2709" s="131" t="str">
        <f t="shared" si="1"/>
        <v>https://utrucking.myshopify.com/admin/orders?query=16558</v>
      </c>
    </row>
    <row r="2710">
      <c r="A2710" s="93" t="str">
        <f t="shared" si="2"/>
        <v>#16559</v>
      </c>
      <c r="B2710" s="93" t="str">
        <f>IF(COUNTIF(MAIN!B:B, A2710)=0, "Missing", "")</f>
        <v>Missing</v>
      </c>
      <c r="C2710" s="128"/>
      <c r="E2710" s="131" t="str">
        <f t="shared" si="1"/>
        <v>https://utrucking.myshopify.com/admin/orders?query=16559</v>
      </c>
    </row>
    <row r="2711">
      <c r="A2711" s="93" t="str">
        <f t="shared" si="2"/>
        <v>#16560</v>
      </c>
      <c r="B2711" s="93" t="str">
        <f>IF(COUNTIF(MAIN!B:B, A2711)=0, "Missing", "")</f>
        <v>Missing</v>
      </c>
      <c r="C2711" s="128"/>
      <c r="E2711" s="131" t="str">
        <f t="shared" si="1"/>
        <v>https://utrucking.myshopify.com/admin/orders?query=16560</v>
      </c>
    </row>
    <row r="2712">
      <c r="A2712" s="93" t="str">
        <f t="shared" si="2"/>
        <v>#16561</v>
      </c>
      <c r="B2712" s="93" t="str">
        <f>IF(COUNTIF(MAIN!B:B, A2712)=0, "Missing", "")</f>
        <v>Missing</v>
      </c>
      <c r="C2712" s="128"/>
      <c r="E2712" s="131" t="str">
        <f t="shared" si="1"/>
        <v>https://utrucking.myshopify.com/admin/orders?query=16561</v>
      </c>
    </row>
    <row r="2713">
      <c r="A2713" s="93" t="str">
        <f t="shared" si="2"/>
        <v>#16562</v>
      </c>
      <c r="B2713" s="93" t="str">
        <f>IF(COUNTIF(MAIN!B:B, A2713)=0, "Missing", "")</f>
        <v>Missing</v>
      </c>
      <c r="C2713" s="128"/>
      <c r="E2713" s="131" t="str">
        <f t="shared" si="1"/>
        <v>https://utrucking.myshopify.com/admin/orders?query=16562</v>
      </c>
    </row>
    <row r="2714">
      <c r="A2714" s="93" t="str">
        <f t="shared" si="2"/>
        <v>#16563</v>
      </c>
      <c r="B2714" s="93" t="str">
        <f>IF(COUNTIF(MAIN!B:B, A2714)=0, "Missing", "")</f>
        <v>Missing</v>
      </c>
      <c r="C2714" s="128"/>
      <c r="E2714" s="131" t="str">
        <f t="shared" si="1"/>
        <v>https://utrucking.myshopify.com/admin/orders?query=16563</v>
      </c>
    </row>
    <row r="2715">
      <c r="A2715" s="93" t="str">
        <f t="shared" si="2"/>
        <v>#16564</v>
      </c>
      <c r="B2715" s="93" t="str">
        <f>IF(COUNTIF(MAIN!B:B, A2715)=0, "Missing", "")</f>
        <v>Missing</v>
      </c>
      <c r="C2715" s="128"/>
      <c r="E2715" s="131" t="str">
        <f t="shared" si="1"/>
        <v>https://utrucking.myshopify.com/admin/orders?query=16564</v>
      </c>
    </row>
    <row r="2716">
      <c r="A2716" s="93" t="str">
        <f t="shared" si="2"/>
        <v>#16565</v>
      </c>
      <c r="B2716" s="93" t="str">
        <f>IF(COUNTIF(MAIN!B:B, A2716)=0, "Missing", "")</f>
        <v>Missing</v>
      </c>
      <c r="C2716" s="128"/>
      <c r="E2716" s="131" t="str">
        <f t="shared" si="1"/>
        <v>https://utrucking.myshopify.com/admin/orders?query=16565</v>
      </c>
    </row>
    <row r="2717">
      <c r="A2717" s="93" t="str">
        <f t="shared" si="2"/>
        <v>#16566</v>
      </c>
      <c r="B2717" s="93" t="str">
        <f>IF(COUNTIF(MAIN!B:B, A2717)=0, "Missing", "")</f>
        <v>Missing</v>
      </c>
      <c r="C2717" s="128"/>
      <c r="E2717" s="131" t="str">
        <f t="shared" si="1"/>
        <v>https://utrucking.myshopify.com/admin/orders?query=16566</v>
      </c>
    </row>
    <row r="2718">
      <c r="A2718" s="93" t="str">
        <f t="shared" si="2"/>
        <v>#16567</v>
      </c>
      <c r="B2718" s="93" t="str">
        <f>IF(COUNTIF(MAIN!B:B, A2718)=0, "Missing", "")</f>
        <v>Missing</v>
      </c>
      <c r="C2718" s="128"/>
      <c r="E2718" s="131" t="str">
        <f t="shared" si="1"/>
        <v>https://utrucking.myshopify.com/admin/orders?query=16567</v>
      </c>
    </row>
    <row r="2719">
      <c r="A2719" s="93" t="str">
        <f t="shared" si="2"/>
        <v>#16568</v>
      </c>
      <c r="B2719" s="93" t="str">
        <f>IF(COUNTIF(MAIN!B:B, A2719)=0, "Missing", "")</f>
        <v>Missing</v>
      </c>
      <c r="C2719" s="128"/>
      <c r="E2719" s="131" t="str">
        <f t="shared" si="1"/>
        <v>https://utrucking.myshopify.com/admin/orders?query=16568</v>
      </c>
    </row>
    <row r="2720">
      <c r="A2720" s="93" t="str">
        <f t="shared" si="2"/>
        <v>#16569</v>
      </c>
      <c r="B2720" s="93" t="str">
        <f>IF(COUNTIF(MAIN!B:B, A2720)=0, "Missing", "")</f>
        <v>Missing</v>
      </c>
      <c r="C2720" s="128"/>
      <c r="E2720" s="131" t="str">
        <f t="shared" si="1"/>
        <v>https://utrucking.myshopify.com/admin/orders?query=16569</v>
      </c>
    </row>
    <row r="2721">
      <c r="A2721" s="93" t="str">
        <f t="shared" si="2"/>
        <v>#16570</v>
      </c>
      <c r="B2721" s="93" t="str">
        <f>IF(COUNTIF(MAIN!B:B, A2721)=0, "Missing", "")</f>
        <v>Missing</v>
      </c>
      <c r="C2721" s="128"/>
      <c r="E2721" s="131" t="str">
        <f t="shared" si="1"/>
        <v>https://utrucking.myshopify.com/admin/orders?query=16570</v>
      </c>
    </row>
    <row r="2722">
      <c r="A2722" s="93" t="str">
        <f t="shared" si="2"/>
        <v>#16571</v>
      </c>
      <c r="B2722" s="93" t="str">
        <f>IF(COUNTIF(MAIN!B:B, A2722)=0, "Missing", "")</f>
        <v>Missing</v>
      </c>
      <c r="C2722" s="128"/>
      <c r="E2722" s="131" t="str">
        <f t="shared" si="1"/>
        <v>https://utrucking.myshopify.com/admin/orders?query=16571</v>
      </c>
    </row>
    <row r="2723">
      <c r="A2723" s="93" t="str">
        <f t="shared" si="2"/>
        <v>#16572</v>
      </c>
      <c r="B2723" s="93" t="str">
        <f>IF(COUNTIF(MAIN!B:B, A2723)=0, "Missing", "")</f>
        <v>Missing</v>
      </c>
      <c r="C2723" s="128"/>
      <c r="E2723" s="131" t="str">
        <f t="shared" si="1"/>
        <v>https://utrucking.myshopify.com/admin/orders?query=16572</v>
      </c>
    </row>
    <row r="2724">
      <c r="A2724" s="93" t="str">
        <f t="shared" si="2"/>
        <v>#16573</v>
      </c>
      <c r="B2724" s="93" t="str">
        <f>IF(COUNTIF(MAIN!B:B, A2724)=0, "Missing", "")</f>
        <v/>
      </c>
      <c r="C2724" s="128"/>
      <c r="E2724" s="128" t="str">
        <f t="shared" si="1"/>
        <v/>
      </c>
    </row>
    <row r="2725">
      <c r="A2725" s="93" t="str">
        <f t="shared" si="2"/>
        <v>#16574</v>
      </c>
      <c r="B2725" s="93" t="str">
        <f>IF(COUNTIF(MAIN!B:B, A2725)=0, "Missing", "")</f>
        <v>Missing</v>
      </c>
      <c r="C2725" s="128"/>
      <c r="E2725" s="131" t="str">
        <f t="shared" si="1"/>
        <v>https://utrucking.myshopify.com/admin/orders?query=16574</v>
      </c>
    </row>
    <row r="2726">
      <c r="A2726" s="93" t="str">
        <f t="shared" si="2"/>
        <v>#16575</v>
      </c>
      <c r="B2726" s="93" t="str">
        <f>IF(COUNTIF(MAIN!B:B, A2726)=0, "Missing", "")</f>
        <v>Missing</v>
      </c>
      <c r="C2726" s="128"/>
      <c r="E2726" s="131" t="str">
        <f t="shared" si="1"/>
        <v>https://utrucking.myshopify.com/admin/orders?query=16575</v>
      </c>
    </row>
    <row r="2727">
      <c r="A2727" s="93" t="str">
        <f t="shared" si="2"/>
        <v>#16576</v>
      </c>
      <c r="B2727" s="93" t="str">
        <f>IF(COUNTIF(MAIN!B:B, A2727)=0, "Missing", "")</f>
        <v>Missing</v>
      </c>
      <c r="C2727" s="128"/>
      <c r="E2727" s="131" t="str">
        <f t="shared" si="1"/>
        <v>https://utrucking.myshopify.com/admin/orders?query=16576</v>
      </c>
    </row>
    <row r="2728">
      <c r="A2728" s="93" t="str">
        <f t="shared" si="2"/>
        <v>#16577</v>
      </c>
      <c r="B2728" s="93" t="str">
        <f>IF(COUNTIF(MAIN!B:B, A2728)=0, "Missing", "")</f>
        <v>Missing</v>
      </c>
      <c r="C2728" s="128"/>
      <c r="E2728" s="131" t="str">
        <f t="shared" si="1"/>
        <v>https://utrucking.myshopify.com/admin/orders?query=16577</v>
      </c>
    </row>
    <row r="2729">
      <c r="A2729" s="93" t="str">
        <f t="shared" si="2"/>
        <v>#16578</v>
      </c>
      <c r="B2729" s="93" t="str">
        <f>IF(COUNTIF(MAIN!B:B, A2729)=0, "Missing", "")</f>
        <v>Missing</v>
      </c>
      <c r="C2729" s="128"/>
      <c r="E2729" s="131" t="str">
        <f t="shared" si="1"/>
        <v>https://utrucking.myshopify.com/admin/orders?query=16578</v>
      </c>
    </row>
    <row r="2730">
      <c r="A2730" s="93" t="str">
        <f t="shared" si="2"/>
        <v>#16579</v>
      </c>
      <c r="B2730" s="93" t="str">
        <f>IF(COUNTIF(MAIN!B:B, A2730)=0, "Missing", "")</f>
        <v>Missing</v>
      </c>
      <c r="C2730" s="128"/>
      <c r="E2730" s="131" t="str">
        <f t="shared" si="1"/>
        <v>https://utrucking.myshopify.com/admin/orders?query=16579</v>
      </c>
    </row>
    <row r="2731">
      <c r="A2731" s="93" t="str">
        <f t="shared" si="2"/>
        <v>#16580</v>
      </c>
      <c r="B2731" s="93" t="str">
        <f>IF(COUNTIF(MAIN!B:B, A2731)=0, "Missing", "")</f>
        <v>Missing</v>
      </c>
      <c r="C2731" s="128"/>
      <c r="E2731" s="131" t="str">
        <f t="shared" si="1"/>
        <v>https://utrucking.myshopify.com/admin/orders?query=16580</v>
      </c>
    </row>
    <row r="2732">
      <c r="A2732" s="93" t="str">
        <f t="shared" si="2"/>
        <v>#16581</v>
      </c>
      <c r="B2732" s="93" t="str">
        <f>IF(COUNTIF(MAIN!B:B, A2732)=0, "Missing", "")</f>
        <v>Missing</v>
      </c>
      <c r="C2732" s="128"/>
      <c r="E2732" s="131" t="str">
        <f t="shared" si="1"/>
        <v>https://utrucking.myshopify.com/admin/orders?query=16581</v>
      </c>
    </row>
    <row r="2733">
      <c r="A2733" s="93" t="str">
        <f t="shared" si="2"/>
        <v>#16582</v>
      </c>
      <c r="B2733" s="93" t="str">
        <f>IF(COUNTIF(MAIN!B:B, A2733)=0, "Missing", "")</f>
        <v>Missing</v>
      </c>
      <c r="C2733" s="128"/>
      <c r="E2733" s="131" t="str">
        <f t="shared" si="1"/>
        <v>https://utrucking.myshopify.com/admin/orders?query=16582</v>
      </c>
    </row>
    <row r="2734">
      <c r="A2734" s="93" t="str">
        <f t="shared" si="2"/>
        <v>#16583</v>
      </c>
      <c r="B2734" s="93" t="str">
        <f>IF(COUNTIF(MAIN!B:B, A2734)=0, "Missing", "")</f>
        <v>Missing</v>
      </c>
      <c r="C2734" s="128"/>
      <c r="E2734" s="131" t="str">
        <f t="shared" si="1"/>
        <v>https://utrucking.myshopify.com/admin/orders?query=16583</v>
      </c>
    </row>
    <row r="2735">
      <c r="A2735" s="93" t="str">
        <f t="shared" si="2"/>
        <v>#16584</v>
      </c>
      <c r="B2735" s="93" t="str">
        <f>IF(COUNTIF(MAIN!B:B, A2735)=0, "Missing", "")</f>
        <v>Missing</v>
      </c>
      <c r="C2735" s="128"/>
      <c r="E2735" s="131" t="str">
        <f t="shared" si="1"/>
        <v>https://utrucking.myshopify.com/admin/orders?query=16584</v>
      </c>
    </row>
    <row r="2736">
      <c r="A2736" s="93" t="str">
        <f t="shared" si="2"/>
        <v>#16585</v>
      </c>
      <c r="B2736" s="93" t="str">
        <f>IF(COUNTIF(MAIN!B:B, A2736)=0, "Missing", "")</f>
        <v>Missing</v>
      </c>
      <c r="C2736" s="128"/>
      <c r="E2736" s="131" t="str">
        <f t="shared" si="1"/>
        <v>https://utrucking.myshopify.com/admin/orders?query=16585</v>
      </c>
    </row>
    <row r="2737">
      <c r="A2737" s="93" t="str">
        <f t="shared" si="2"/>
        <v>#16586</v>
      </c>
      <c r="B2737" s="93" t="str">
        <f>IF(COUNTIF(MAIN!B:B, A2737)=0, "Missing", "")</f>
        <v>Missing</v>
      </c>
      <c r="C2737" s="128"/>
      <c r="E2737" s="131" t="str">
        <f t="shared" si="1"/>
        <v>https://utrucking.myshopify.com/admin/orders?query=16586</v>
      </c>
    </row>
    <row r="2738">
      <c r="A2738" s="93" t="str">
        <f t="shared" si="2"/>
        <v>#16587</v>
      </c>
      <c r="B2738" s="93" t="str">
        <f>IF(COUNTIF(MAIN!B:B, A2738)=0, "Missing", "")</f>
        <v>Missing</v>
      </c>
      <c r="C2738" s="128"/>
      <c r="E2738" s="131" t="str">
        <f t="shared" si="1"/>
        <v>https://utrucking.myshopify.com/admin/orders?query=16587</v>
      </c>
    </row>
    <row r="2739">
      <c r="A2739" s="93" t="str">
        <f t="shared" si="2"/>
        <v>#16588</v>
      </c>
      <c r="B2739" s="93" t="str">
        <f>IF(COUNTIF(MAIN!B:B, A2739)=0, "Missing", "")</f>
        <v>Missing</v>
      </c>
      <c r="C2739" s="128"/>
      <c r="E2739" s="131" t="str">
        <f t="shared" si="1"/>
        <v>https://utrucking.myshopify.com/admin/orders?query=16588</v>
      </c>
    </row>
    <row r="2740">
      <c r="A2740" s="93" t="str">
        <f t="shared" si="2"/>
        <v>#16589</v>
      </c>
      <c r="B2740" s="93" t="str">
        <f>IF(COUNTIF(MAIN!B:B, A2740)=0, "Missing", "")</f>
        <v>Missing</v>
      </c>
      <c r="C2740" s="128"/>
      <c r="E2740" s="131" t="str">
        <f t="shared" si="1"/>
        <v>https://utrucking.myshopify.com/admin/orders?query=16589</v>
      </c>
    </row>
    <row r="2741">
      <c r="A2741" s="93" t="str">
        <f t="shared" si="2"/>
        <v>#16590</v>
      </c>
      <c r="B2741" s="93" t="str">
        <f>IF(COUNTIF(MAIN!B:B, A2741)=0, "Missing", "")</f>
        <v>Missing</v>
      </c>
      <c r="C2741" s="128"/>
      <c r="E2741" s="131" t="str">
        <f t="shared" si="1"/>
        <v>https://utrucking.myshopify.com/admin/orders?query=16590</v>
      </c>
    </row>
    <row r="2742">
      <c r="A2742" s="93" t="str">
        <f t="shared" si="2"/>
        <v>#16591</v>
      </c>
      <c r="B2742" s="93" t="str">
        <f>IF(COUNTIF(MAIN!B:B, A2742)=0, "Missing", "")</f>
        <v>Missing</v>
      </c>
      <c r="C2742" s="128"/>
      <c r="E2742" s="131" t="str">
        <f t="shared" si="1"/>
        <v>https://utrucking.myshopify.com/admin/orders?query=16591</v>
      </c>
    </row>
    <row r="2743">
      <c r="A2743" s="93" t="str">
        <f t="shared" si="2"/>
        <v>#16592</v>
      </c>
      <c r="B2743" s="93" t="str">
        <f>IF(COUNTIF(MAIN!B:B, A2743)=0, "Missing", "")</f>
        <v>Missing</v>
      </c>
      <c r="C2743" s="128"/>
      <c r="E2743" s="131" t="str">
        <f t="shared" si="1"/>
        <v>https://utrucking.myshopify.com/admin/orders?query=16592</v>
      </c>
    </row>
    <row r="2744">
      <c r="A2744" s="93" t="str">
        <f t="shared" si="2"/>
        <v>#16593</v>
      </c>
      <c r="B2744" s="93" t="str">
        <f>IF(COUNTIF(MAIN!B:B, A2744)=0, "Missing", "")</f>
        <v>Missing</v>
      </c>
      <c r="C2744" s="128"/>
      <c r="E2744" s="131" t="str">
        <f t="shared" si="1"/>
        <v>https://utrucking.myshopify.com/admin/orders?query=16593</v>
      </c>
    </row>
    <row r="2745">
      <c r="A2745" s="93" t="str">
        <f t="shared" si="2"/>
        <v>#16594</v>
      </c>
      <c r="B2745" s="93" t="str">
        <f>IF(COUNTIF(MAIN!B:B, A2745)=0, "Missing", "")</f>
        <v>Missing</v>
      </c>
      <c r="C2745" s="128"/>
      <c r="E2745" s="131" t="str">
        <f t="shared" si="1"/>
        <v>https://utrucking.myshopify.com/admin/orders?query=16594</v>
      </c>
    </row>
    <row r="2746">
      <c r="A2746" s="93" t="str">
        <f t="shared" si="2"/>
        <v>#16595</v>
      </c>
      <c r="B2746" s="93" t="str">
        <f>IF(COUNTIF(MAIN!B:B, A2746)=0, "Missing", "")</f>
        <v>Missing</v>
      </c>
      <c r="C2746" s="128"/>
      <c r="E2746" s="131" t="str">
        <f t="shared" si="1"/>
        <v>https://utrucking.myshopify.com/admin/orders?query=16595</v>
      </c>
    </row>
    <row r="2747">
      <c r="A2747" s="93" t="str">
        <f t="shared" si="2"/>
        <v>#16596</v>
      </c>
      <c r="B2747" s="93" t="str">
        <f>IF(COUNTIF(MAIN!B:B, A2747)=0, "Missing", "")</f>
        <v>Missing</v>
      </c>
      <c r="C2747" s="128"/>
      <c r="E2747" s="131" t="str">
        <f t="shared" si="1"/>
        <v>https://utrucking.myshopify.com/admin/orders?query=16596</v>
      </c>
    </row>
    <row r="2748">
      <c r="A2748" s="93" t="str">
        <f t="shared" si="2"/>
        <v>#16597</v>
      </c>
      <c r="B2748" s="93" t="str">
        <f>IF(COUNTIF(MAIN!B:B, A2748)=0, "Missing", "")</f>
        <v>Missing</v>
      </c>
      <c r="C2748" s="128"/>
      <c r="E2748" s="131" t="str">
        <f t="shared" si="1"/>
        <v>https://utrucking.myshopify.com/admin/orders?query=16597</v>
      </c>
    </row>
    <row r="2749">
      <c r="A2749" s="93" t="str">
        <f t="shared" si="2"/>
        <v>#16598</v>
      </c>
      <c r="B2749" s="93" t="str">
        <f>IF(COUNTIF(MAIN!B:B, A2749)=0, "Missing", "")</f>
        <v>Missing</v>
      </c>
      <c r="C2749" s="128"/>
      <c r="E2749" s="131" t="str">
        <f t="shared" si="1"/>
        <v>https://utrucking.myshopify.com/admin/orders?query=16598</v>
      </c>
    </row>
    <row r="2750">
      <c r="A2750" s="93" t="str">
        <f t="shared" si="2"/>
        <v>#16599</v>
      </c>
      <c r="B2750" s="93" t="str">
        <f>IF(COUNTIF(MAIN!B:B, A2750)=0, "Missing", "")</f>
        <v>Missing</v>
      </c>
      <c r="C2750" s="128"/>
      <c r="E2750" s="131" t="str">
        <f t="shared" si="1"/>
        <v>https://utrucking.myshopify.com/admin/orders?query=16599</v>
      </c>
    </row>
    <row r="2751">
      <c r="A2751" s="93" t="str">
        <f t="shared" si="2"/>
        <v>#16600</v>
      </c>
      <c r="B2751" s="93" t="str">
        <f>IF(COUNTIF(MAIN!B:B, A2751)=0, "Missing", "")</f>
        <v>Missing</v>
      </c>
      <c r="C2751" s="128"/>
      <c r="E2751" s="131" t="str">
        <f t="shared" si="1"/>
        <v>https://utrucking.myshopify.com/admin/orders?query=16600</v>
      </c>
    </row>
    <row r="2752">
      <c r="A2752" s="93" t="str">
        <f t="shared" si="2"/>
        <v>#16601</v>
      </c>
      <c r="B2752" s="93" t="str">
        <f>IF(COUNTIF(MAIN!B:B, A2752)=0, "Missing", "")</f>
        <v/>
      </c>
      <c r="C2752" s="128"/>
      <c r="E2752" s="128" t="str">
        <f t="shared" si="1"/>
        <v/>
      </c>
    </row>
    <row r="2753">
      <c r="A2753" s="93" t="str">
        <f t="shared" si="2"/>
        <v>#16602</v>
      </c>
      <c r="B2753" s="93" t="str">
        <f>IF(COUNTIF(MAIN!B:B, A2753)=0, "Missing", "")</f>
        <v>Missing</v>
      </c>
      <c r="C2753" s="128"/>
      <c r="E2753" s="131" t="str">
        <f t="shared" si="1"/>
        <v>https://utrucking.myshopify.com/admin/orders?query=16602</v>
      </c>
    </row>
    <row r="2754">
      <c r="A2754" s="93" t="str">
        <f t="shared" si="2"/>
        <v>#16603</v>
      </c>
      <c r="B2754" s="93" t="str">
        <f>IF(COUNTIF(MAIN!B:B, A2754)=0, "Missing", "")</f>
        <v>Missing</v>
      </c>
      <c r="C2754" s="128"/>
      <c r="E2754" s="131" t="str">
        <f t="shared" si="1"/>
        <v>https://utrucking.myshopify.com/admin/orders?query=16603</v>
      </c>
    </row>
    <row r="2755">
      <c r="A2755" s="93" t="str">
        <f t="shared" si="2"/>
        <v>#16604</v>
      </c>
      <c r="B2755" s="93" t="str">
        <f>IF(COUNTIF(MAIN!B:B, A2755)=0, "Missing", "")</f>
        <v>Missing</v>
      </c>
      <c r="C2755" s="128"/>
      <c r="E2755" s="131" t="str">
        <f t="shared" si="1"/>
        <v>https://utrucking.myshopify.com/admin/orders?query=16604</v>
      </c>
    </row>
    <row r="2756">
      <c r="A2756" s="93" t="str">
        <f t="shared" si="2"/>
        <v>#16605</v>
      </c>
      <c r="B2756" s="93" t="str">
        <f>IF(COUNTIF(MAIN!B:B, A2756)=0, "Missing", "")</f>
        <v>Missing</v>
      </c>
      <c r="C2756" s="128"/>
      <c r="E2756" s="131" t="str">
        <f t="shared" si="1"/>
        <v>https://utrucking.myshopify.com/admin/orders?query=16605</v>
      </c>
    </row>
    <row r="2757">
      <c r="A2757" s="93" t="str">
        <f t="shared" si="2"/>
        <v>#16606</v>
      </c>
      <c r="B2757" s="93" t="str">
        <f>IF(COUNTIF(MAIN!B:B, A2757)=0, "Missing", "")</f>
        <v>Missing</v>
      </c>
      <c r="C2757" s="128"/>
      <c r="E2757" s="131" t="str">
        <f t="shared" si="1"/>
        <v>https://utrucking.myshopify.com/admin/orders?query=16606</v>
      </c>
    </row>
    <row r="2758">
      <c r="A2758" s="93" t="str">
        <f t="shared" si="2"/>
        <v>#16607</v>
      </c>
      <c r="B2758" s="93" t="str">
        <f>IF(COUNTIF(MAIN!B:B, A2758)=0, "Missing", "")</f>
        <v>Missing</v>
      </c>
      <c r="C2758" s="128"/>
      <c r="E2758" s="131" t="str">
        <f t="shared" si="1"/>
        <v>https://utrucking.myshopify.com/admin/orders?query=16607</v>
      </c>
    </row>
    <row r="2759">
      <c r="A2759" s="93" t="str">
        <f t="shared" si="2"/>
        <v>#16608</v>
      </c>
      <c r="B2759" s="93" t="str">
        <f>IF(COUNTIF(MAIN!B:B, A2759)=0, "Missing", "")</f>
        <v>Missing</v>
      </c>
      <c r="C2759" s="128"/>
      <c r="E2759" s="131" t="str">
        <f t="shared" si="1"/>
        <v>https://utrucking.myshopify.com/admin/orders?query=16608</v>
      </c>
    </row>
    <row r="2760">
      <c r="A2760" s="93" t="str">
        <f t="shared" si="2"/>
        <v>#16609</v>
      </c>
      <c r="B2760" s="93" t="str">
        <f>IF(COUNTIF(MAIN!B:B, A2760)=0, "Missing", "")</f>
        <v>Missing</v>
      </c>
      <c r="C2760" s="128"/>
      <c r="E2760" s="131" t="str">
        <f t="shared" si="1"/>
        <v>https://utrucking.myshopify.com/admin/orders?query=16609</v>
      </c>
    </row>
    <row r="2761">
      <c r="A2761" s="93" t="str">
        <f t="shared" si="2"/>
        <v>#16610</v>
      </c>
      <c r="B2761" s="93" t="str">
        <f>IF(COUNTIF(MAIN!B:B, A2761)=0, "Missing", "")</f>
        <v>Missing</v>
      </c>
      <c r="C2761" s="128"/>
      <c r="E2761" s="131" t="str">
        <f t="shared" si="1"/>
        <v>https://utrucking.myshopify.com/admin/orders?query=16610</v>
      </c>
    </row>
    <row r="2762">
      <c r="A2762" s="93" t="str">
        <f t="shared" si="2"/>
        <v>#16611</v>
      </c>
      <c r="B2762" s="93" t="str">
        <f>IF(COUNTIF(MAIN!B:B, A2762)=0, "Missing", "")</f>
        <v>Missing</v>
      </c>
      <c r="C2762" s="128"/>
      <c r="E2762" s="131" t="str">
        <f t="shared" si="1"/>
        <v>https://utrucking.myshopify.com/admin/orders?query=16611</v>
      </c>
    </row>
    <row r="2763">
      <c r="A2763" s="93" t="str">
        <f t="shared" si="2"/>
        <v>#16612</v>
      </c>
      <c r="B2763" s="93" t="str">
        <f>IF(COUNTIF(MAIN!B:B, A2763)=0, "Missing", "")</f>
        <v>Missing</v>
      </c>
      <c r="C2763" s="128"/>
      <c r="E2763" s="131" t="str">
        <f t="shared" si="1"/>
        <v>https://utrucking.myshopify.com/admin/orders?query=16612</v>
      </c>
    </row>
    <row r="2764">
      <c r="A2764" s="93" t="str">
        <f t="shared" si="2"/>
        <v>#16613</v>
      </c>
      <c r="B2764" s="93" t="str">
        <f>IF(COUNTIF(MAIN!B:B, A2764)=0, "Missing", "")</f>
        <v>Missing</v>
      </c>
      <c r="C2764" s="128"/>
      <c r="E2764" s="131" t="str">
        <f t="shared" si="1"/>
        <v>https://utrucking.myshopify.com/admin/orders?query=16613</v>
      </c>
    </row>
    <row r="2765">
      <c r="A2765" s="93" t="str">
        <f t="shared" si="2"/>
        <v>#16614</v>
      </c>
      <c r="B2765" s="93" t="str">
        <f>IF(COUNTIF(MAIN!B:B, A2765)=0, "Missing", "")</f>
        <v>Missing</v>
      </c>
      <c r="C2765" s="128"/>
      <c r="E2765" s="131" t="str">
        <f t="shared" si="1"/>
        <v>https://utrucking.myshopify.com/admin/orders?query=16614</v>
      </c>
    </row>
    <row r="2766">
      <c r="A2766" s="93" t="str">
        <f t="shared" si="2"/>
        <v>#16615</v>
      </c>
      <c r="B2766" s="93" t="str">
        <f>IF(COUNTIF(MAIN!B:B, A2766)=0, "Missing", "")</f>
        <v>Missing</v>
      </c>
      <c r="C2766" s="128"/>
      <c r="E2766" s="131" t="str">
        <f t="shared" si="1"/>
        <v>https://utrucking.myshopify.com/admin/orders?query=16615</v>
      </c>
    </row>
    <row r="2767">
      <c r="A2767" s="93" t="str">
        <f t="shared" si="2"/>
        <v>#16616</v>
      </c>
      <c r="B2767" s="93" t="str">
        <f>IF(COUNTIF(MAIN!B:B, A2767)=0, "Missing", "")</f>
        <v>Missing</v>
      </c>
      <c r="C2767" s="128"/>
      <c r="E2767" s="131" t="str">
        <f t="shared" si="1"/>
        <v>https://utrucking.myshopify.com/admin/orders?query=16616</v>
      </c>
    </row>
    <row r="2768">
      <c r="A2768" s="93" t="str">
        <f t="shared" si="2"/>
        <v>#16617</v>
      </c>
      <c r="B2768" s="93" t="str">
        <f>IF(COUNTIF(MAIN!B:B, A2768)=0, "Missing", "")</f>
        <v>Missing</v>
      </c>
      <c r="C2768" s="128"/>
      <c r="E2768" s="131" t="str">
        <f t="shared" si="1"/>
        <v>https://utrucking.myshopify.com/admin/orders?query=16617</v>
      </c>
    </row>
    <row r="2769">
      <c r="A2769" s="93" t="str">
        <f t="shared" si="2"/>
        <v>#16618</v>
      </c>
      <c r="B2769" s="93" t="str">
        <f>IF(COUNTIF(MAIN!B:B, A2769)=0, "Missing", "")</f>
        <v>Missing</v>
      </c>
      <c r="C2769" s="128"/>
      <c r="E2769" s="131" t="str">
        <f t="shared" si="1"/>
        <v>https://utrucking.myshopify.com/admin/orders?query=16618</v>
      </c>
    </row>
    <row r="2770">
      <c r="A2770" s="93" t="str">
        <f t="shared" si="2"/>
        <v>#16619</v>
      </c>
      <c r="B2770" s="93" t="str">
        <f>IF(COUNTIF(MAIN!B:B, A2770)=0, "Missing", "")</f>
        <v>Missing</v>
      </c>
      <c r="C2770" s="128"/>
      <c r="E2770" s="131" t="str">
        <f t="shared" si="1"/>
        <v>https://utrucking.myshopify.com/admin/orders?query=16619</v>
      </c>
    </row>
    <row r="2771">
      <c r="A2771" s="93" t="str">
        <f t="shared" si="2"/>
        <v>#16620</v>
      </c>
      <c r="B2771" s="93" t="str">
        <f>IF(COUNTIF(MAIN!B:B, A2771)=0, "Missing", "")</f>
        <v>Missing</v>
      </c>
      <c r="C2771" s="128"/>
      <c r="E2771" s="131" t="str">
        <f t="shared" si="1"/>
        <v>https://utrucking.myshopify.com/admin/orders?query=16620</v>
      </c>
    </row>
    <row r="2772">
      <c r="A2772" s="93" t="str">
        <f t="shared" si="2"/>
        <v>#16621</v>
      </c>
      <c r="B2772" s="93" t="str">
        <f>IF(COUNTIF(MAIN!B:B, A2772)=0, "Missing", "")</f>
        <v>Missing</v>
      </c>
      <c r="C2772" s="128"/>
      <c r="E2772" s="131" t="str">
        <f t="shared" si="1"/>
        <v>https://utrucking.myshopify.com/admin/orders?query=16621</v>
      </c>
    </row>
    <row r="2773">
      <c r="A2773" s="93" t="str">
        <f t="shared" si="2"/>
        <v>#16622</v>
      </c>
      <c r="B2773" s="93" t="str">
        <f>IF(COUNTIF(MAIN!B:B, A2773)=0, "Missing", "")</f>
        <v>Missing</v>
      </c>
      <c r="C2773" s="128"/>
      <c r="E2773" s="131" t="str">
        <f t="shared" si="1"/>
        <v>https://utrucking.myshopify.com/admin/orders?query=16622</v>
      </c>
    </row>
    <row r="2774">
      <c r="A2774" s="93" t="str">
        <f t="shared" si="2"/>
        <v>#16623</v>
      </c>
      <c r="B2774" s="93" t="str">
        <f>IF(COUNTIF(MAIN!B:B, A2774)=0, "Missing", "")</f>
        <v>Missing</v>
      </c>
      <c r="C2774" s="128"/>
      <c r="E2774" s="131" t="str">
        <f t="shared" si="1"/>
        <v>https://utrucking.myshopify.com/admin/orders?query=16623</v>
      </c>
    </row>
    <row r="2775">
      <c r="A2775" s="93" t="str">
        <f t="shared" si="2"/>
        <v>#16624</v>
      </c>
      <c r="B2775" s="93" t="str">
        <f>IF(COUNTIF(MAIN!B:B, A2775)=0, "Missing", "")</f>
        <v>Missing</v>
      </c>
      <c r="C2775" s="128"/>
      <c r="E2775" s="131" t="str">
        <f t="shared" si="1"/>
        <v>https://utrucking.myshopify.com/admin/orders?query=16624</v>
      </c>
    </row>
    <row r="2776">
      <c r="A2776" s="93" t="str">
        <f t="shared" si="2"/>
        <v>#16625</v>
      </c>
      <c r="B2776" s="93" t="str">
        <f>IF(COUNTIF(MAIN!B:B, A2776)=0, "Missing", "")</f>
        <v>Missing</v>
      </c>
      <c r="C2776" s="128"/>
      <c r="E2776" s="131" t="str">
        <f t="shared" si="1"/>
        <v>https://utrucking.myshopify.com/admin/orders?query=16625</v>
      </c>
    </row>
    <row r="2777">
      <c r="A2777" s="93" t="str">
        <f t="shared" si="2"/>
        <v>#16626</v>
      </c>
      <c r="B2777" s="93" t="str">
        <f>IF(COUNTIF(MAIN!B:B, A2777)=0, "Missing", "")</f>
        <v>Missing</v>
      </c>
      <c r="C2777" s="128"/>
      <c r="E2777" s="131" t="str">
        <f t="shared" si="1"/>
        <v>https://utrucking.myshopify.com/admin/orders?query=16626</v>
      </c>
    </row>
    <row r="2778">
      <c r="A2778" s="93" t="str">
        <f t="shared" si="2"/>
        <v>#16627</v>
      </c>
      <c r="B2778" s="93" t="str">
        <f>IF(COUNTIF(MAIN!B:B, A2778)=0, "Missing", "")</f>
        <v>Missing</v>
      </c>
      <c r="C2778" s="128"/>
      <c r="E2778" s="131" t="str">
        <f t="shared" si="1"/>
        <v>https://utrucking.myshopify.com/admin/orders?query=16627</v>
      </c>
    </row>
    <row r="2779">
      <c r="A2779" s="93" t="str">
        <f t="shared" si="2"/>
        <v>#16628</v>
      </c>
      <c r="B2779" s="93" t="str">
        <f>IF(COUNTIF(MAIN!B:B, A2779)=0, "Missing", "")</f>
        <v/>
      </c>
      <c r="C2779" s="128"/>
      <c r="E2779" s="128" t="str">
        <f t="shared" si="1"/>
        <v/>
      </c>
    </row>
    <row r="2780">
      <c r="A2780" s="93" t="str">
        <f t="shared" si="2"/>
        <v>#16629</v>
      </c>
      <c r="B2780" s="93" t="str">
        <f>IF(COUNTIF(MAIN!B:B, A2780)=0, "Missing", "")</f>
        <v/>
      </c>
      <c r="C2780" s="128"/>
      <c r="E2780" s="128" t="str">
        <f t="shared" si="1"/>
        <v/>
      </c>
    </row>
    <row r="2781">
      <c r="A2781" s="93" t="str">
        <f t="shared" si="2"/>
        <v>#16630</v>
      </c>
      <c r="B2781" s="93" t="str">
        <f>IF(COUNTIF(MAIN!B:B, A2781)=0, "Missing", "")</f>
        <v/>
      </c>
      <c r="C2781" s="128"/>
      <c r="E2781" s="128" t="str">
        <f t="shared" si="1"/>
        <v/>
      </c>
    </row>
    <row r="2782">
      <c r="A2782" s="93" t="str">
        <f t="shared" si="2"/>
        <v>#16631</v>
      </c>
      <c r="B2782" s="93" t="str">
        <f>IF(COUNTIF(MAIN!B:B, A2782)=0, "Missing", "")</f>
        <v/>
      </c>
      <c r="C2782" s="128"/>
      <c r="E2782" s="128" t="str">
        <f t="shared" si="1"/>
        <v/>
      </c>
    </row>
    <row r="2783">
      <c r="A2783" s="93" t="str">
        <f t="shared" si="2"/>
        <v>#16632</v>
      </c>
      <c r="B2783" s="93" t="str">
        <f>IF(COUNTIF(MAIN!B:B, A2783)=0, "Missing", "")</f>
        <v/>
      </c>
      <c r="C2783" s="128"/>
      <c r="E2783" s="128" t="str">
        <f t="shared" si="1"/>
        <v/>
      </c>
    </row>
    <row r="2784">
      <c r="A2784" s="93" t="str">
        <f t="shared" si="2"/>
        <v>#16633</v>
      </c>
      <c r="B2784" s="93" t="str">
        <f>IF(COUNTIF(MAIN!B:B, A2784)=0, "Missing", "")</f>
        <v/>
      </c>
      <c r="C2784" s="128"/>
      <c r="E2784" s="128" t="str">
        <f t="shared" si="1"/>
        <v/>
      </c>
    </row>
    <row r="2785">
      <c r="A2785" s="93" t="str">
        <f t="shared" si="2"/>
        <v>#16634</v>
      </c>
      <c r="B2785" s="93" t="str">
        <f>IF(COUNTIF(MAIN!B:B, A2785)=0, "Missing", "")</f>
        <v/>
      </c>
      <c r="C2785" s="128"/>
      <c r="E2785" s="128" t="str">
        <f t="shared" si="1"/>
        <v/>
      </c>
    </row>
    <row r="2786">
      <c r="A2786" s="93" t="str">
        <f t="shared" si="2"/>
        <v>#16635</v>
      </c>
      <c r="B2786" s="93" t="str">
        <f>IF(COUNTIF(MAIN!B:B, A2786)=0, "Missing", "")</f>
        <v/>
      </c>
      <c r="C2786" s="128"/>
      <c r="E2786" s="128" t="str">
        <f t="shared" si="1"/>
        <v/>
      </c>
    </row>
    <row r="2787">
      <c r="A2787" s="93" t="str">
        <f t="shared" si="2"/>
        <v>#16636</v>
      </c>
      <c r="B2787" s="93" t="str">
        <f>IF(COUNTIF(MAIN!B:B, A2787)=0, "Missing", "")</f>
        <v/>
      </c>
      <c r="C2787" s="128"/>
      <c r="E2787" s="128" t="str">
        <f t="shared" si="1"/>
        <v/>
      </c>
    </row>
    <row r="2788">
      <c r="A2788" s="93" t="str">
        <f t="shared" si="2"/>
        <v>#16637</v>
      </c>
      <c r="B2788" s="93" t="str">
        <f>IF(COUNTIF(MAIN!B:B, A2788)=0, "Missing", "")</f>
        <v/>
      </c>
      <c r="C2788" s="128"/>
      <c r="E2788" s="128" t="str">
        <f t="shared" si="1"/>
        <v/>
      </c>
    </row>
    <row r="2789">
      <c r="A2789" s="93" t="str">
        <f t="shared" si="2"/>
        <v>#16638</v>
      </c>
      <c r="B2789" s="93" t="str">
        <f>IF(COUNTIF(MAIN!B:B, A2789)=0, "Missing", "")</f>
        <v/>
      </c>
      <c r="C2789" s="128"/>
      <c r="E2789" s="128" t="str">
        <f t="shared" si="1"/>
        <v/>
      </c>
    </row>
    <row r="2790">
      <c r="A2790" s="93" t="str">
        <f t="shared" si="2"/>
        <v>#16639</v>
      </c>
      <c r="B2790" s="93" t="str">
        <f>IF(COUNTIF(MAIN!B:B, A2790)=0, "Missing", "")</f>
        <v/>
      </c>
      <c r="C2790" s="128"/>
      <c r="E2790" s="128" t="str">
        <f t="shared" si="1"/>
        <v/>
      </c>
    </row>
    <row r="2791">
      <c r="A2791" s="93" t="str">
        <f t="shared" si="2"/>
        <v>#16640</v>
      </c>
      <c r="B2791" s="93" t="str">
        <f>IF(COUNTIF(MAIN!B:B, A2791)=0, "Missing", "")</f>
        <v>Missing</v>
      </c>
      <c r="C2791" s="128"/>
      <c r="E2791" s="131" t="str">
        <f t="shared" si="1"/>
        <v>https://utrucking.myshopify.com/admin/orders?query=16640</v>
      </c>
    </row>
    <row r="2792">
      <c r="A2792" s="93" t="str">
        <f t="shared" si="2"/>
        <v>#16641</v>
      </c>
      <c r="B2792" s="93" t="str">
        <f>IF(COUNTIF(MAIN!B:B, A2792)=0, "Missing", "")</f>
        <v/>
      </c>
      <c r="C2792" s="128"/>
      <c r="E2792" s="128" t="str">
        <f t="shared" si="1"/>
        <v/>
      </c>
    </row>
    <row r="2793">
      <c r="A2793" s="93" t="str">
        <f t="shared" si="2"/>
        <v>#16642</v>
      </c>
      <c r="B2793" s="93" t="str">
        <f>IF(COUNTIF(MAIN!B:B, A2793)=0, "Missing", "")</f>
        <v>Missing</v>
      </c>
      <c r="C2793" s="128"/>
      <c r="E2793" s="131" t="str">
        <f t="shared" si="1"/>
        <v>https://utrucking.myshopify.com/admin/orders?query=16642</v>
      </c>
    </row>
    <row r="2794">
      <c r="A2794" s="93" t="str">
        <f t="shared" si="2"/>
        <v>#16643</v>
      </c>
      <c r="B2794" s="93" t="str">
        <f>IF(COUNTIF(MAIN!B:B, A2794)=0, "Missing", "")</f>
        <v/>
      </c>
      <c r="C2794" s="128"/>
      <c r="E2794" s="128" t="str">
        <f t="shared" si="1"/>
        <v/>
      </c>
    </row>
    <row r="2795">
      <c r="A2795" s="93" t="str">
        <f t="shared" si="2"/>
        <v>#16644</v>
      </c>
      <c r="B2795" s="93" t="str">
        <f>IF(COUNTIF(MAIN!B:B, A2795)=0, "Missing", "")</f>
        <v/>
      </c>
      <c r="C2795" s="128"/>
      <c r="E2795" s="128" t="str">
        <f t="shared" si="1"/>
        <v/>
      </c>
    </row>
    <row r="2796">
      <c r="A2796" s="93" t="str">
        <f t="shared" si="2"/>
        <v>#16645</v>
      </c>
      <c r="B2796" s="93" t="str">
        <f>IF(COUNTIF(MAIN!B:B, A2796)=0, "Missing", "")</f>
        <v/>
      </c>
      <c r="C2796" s="128"/>
      <c r="E2796" s="128" t="str">
        <f t="shared" si="1"/>
        <v/>
      </c>
    </row>
    <row r="2797">
      <c r="A2797" s="93" t="str">
        <f t="shared" si="2"/>
        <v>#16646</v>
      </c>
      <c r="B2797" s="93" t="str">
        <f>IF(COUNTIF(MAIN!B:B, A2797)=0, "Missing", "")</f>
        <v/>
      </c>
      <c r="C2797" s="128"/>
      <c r="E2797" s="128" t="str">
        <f t="shared" si="1"/>
        <v/>
      </c>
    </row>
    <row r="2798">
      <c r="A2798" s="93" t="str">
        <f t="shared" si="2"/>
        <v>#16647</v>
      </c>
      <c r="B2798" s="93" t="str">
        <f>IF(COUNTIF(MAIN!B:B, A2798)=0, "Missing", "")</f>
        <v/>
      </c>
      <c r="C2798" s="128"/>
      <c r="E2798" s="128" t="str">
        <f t="shared" si="1"/>
        <v/>
      </c>
    </row>
    <row r="2799">
      <c r="A2799" s="93" t="str">
        <f t="shared" si="2"/>
        <v>#16648</v>
      </c>
      <c r="B2799" s="93" t="str">
        <f>IF(COUNTIF(MAIN!B:B, A2799)=0, "Missing", "")</f>
        <v/>
      </c>
      <c r="C2799" s="128"/>
      <c r="E2799" s="128" t="str">
        <f t="shared" si="1"/>
        <v/>
      </c>
    </row>
    <row r="2800">
      <c r="A2800" s="93" t="str">
        <f t="shared" si="2"/>
        <v>#16649</v>
      </c>
      <c r="B2800" s="93" t="str">
        <f>IF(COUNTIF(MAIN!B:B, A2800)=0, "Missing", "")</f>
        <v/>
      </c>
      <c r="C2800" s="128"/>
      <c r="E2800" s="128" t="str">
        <f t="shared" si="1"/>
        <v/>
      </c>
    </row>
    <row r="2801">
      <c r="A2801" s="93" t="str">
        <f t="shared" si="2"/>
        <v>#16650</v>
      </c>
      <c r="B2801" s="93" t="str">
        <f>IF(COUNTIF(MAIN!B:B, A2801)=0, "Missing", "")</f>
        <v/>
      </c>
      <c r="C2801" s="128"/>
      <c r="E2801" s="128" t="str">
        <f t="shared" si="1"/>
        <v/>
      </c>
    </row>
    <row r="2802">
      <c r="A2802" s="93" t="str">
        <f t="shared" si="2"/>
        <v>#16651</v>
      </c>
      <c r="B2802" s="93" t="str">
        <f>IF(COUNTIF(MAIN!B:B, A2802)=0, "Missing", "")</f>
        <v/>
      </c>
      <c r="C2802" s="128"/>
      <c r="E2802" s="128" t="str">
        <f t="shared" si="1"/>
        <v/>
      </c>
    </row>
    <row r="2803">
      <c r="A2803" s="93" t="str">
        <f t="shared" si="2"/>
        <v>#16652</v>
      </c>
      <c r="B2803" s="93" t="str">
        <f>IF(COUNTIF(MAIN!B:B, A2803)=0, "Missing", "")</f>
        <v/>
      </c>
      <c r="C2803" s="128"/>
      <c r="E2803" s="128" t="str">
        <f t="shared" si="1"/>
        <v/>
      </c>
    </row>
    <row r="2804">
      <c r="A2804" s="93" t="str">
        <f t="shared" si="2"/>
        <v>#16653</v>
      </c>
      <c r="B2804" s="93" t="str">
        <f>IF(COUNTIF(MAIN!B:B, A2804)=0, "Missing", "")</f>
        <v/>
      </c>
      <c r="C2804" s="128"/>
      <c r="E2804" s="128" t="str">
        <f t="shared" si="1"/>
        <v/>
      </c>
    </row>
    <row r="2805">
      <c r="A2805" s="93" t="str">
        <f t="shared" si="2"/>
        <v>#16654</v>
      </c>
      <c r="B2805" s="93" t="str">
        <f>IF(COUNTIF(MAIN!B:B, A2805)=0, "Missing", "")</f>
        <v/>
      </c>
      <c r="C2805" s="128"/>
      <c r="E2805" s="128" t="str">
        <f t="shared" si="1"/>
        <v/>
      </c>
    </row>
    <row r="2806">
      <c r="A2806" s="93" t="str">
        <f t="shared" si="2"/>
        <v>#16655</v>
      </c>
      <c r="B2806" s="93" t="str">
        <f>IF(COUNTIF(MAIN!B:B, A2806)=0, "Missing", "")</f>
        <v>Missing</v>
      </c>
      <c r="C2806" s="128"/>
      <c r="E2806" s="131" t="str">
        <f t="shared" si="1"/>
        <v>https://utrucking.myshopify.com/admin/orders?query=16655</v>
      </c>
    </row>
    <row r="2807">
      <c r="A2807" s="93" t="str">
        <f t="shared" si="2"/>
        <v>#16656</v>
      </c>
      <c r="B2807" s="93" t="str">
        <f>IF(COUNTIF(MAIN!B:B, A2807)=0, "Missing", "")</f>
        <v>Missing</v>
      </c>
      <c r="C2807" s="128"/>
      <c r="E2807" s="131" t="str">
        <f t="shared" si="1"/>
        <v>https://utrucking.myshopify.com/admin/orders?query=16656</v>
      </c>
    </row>
    <row r="2808">
      <c r="A2808" s="93" t="str">
        <f t="shared" si="2"/>
        <v>#16657</v>
      </c>
      <c r="B2808" s="93" t="str">
        <f>IF(COUNTIF(MAIN!B:B, A2808)=0, "Missing", "")</f>
        <v>Missing</v>
      </c>
      <c r="C2808" s="128"/>
      <c r="E2808" s="131" t="str">
        <f t="shared" si="1"/>
        <v>https://utrucking.myshopify.com/admin/orders?query=16657</v>
      </c>
    </row>
    <row r="2809">
      <c r="A2809" s="93" t="str">
        <f t="shared" si="2"/>
        <v>#16658</v>
      </c>
      <c r="B2809" s="93" t="str">
        <f>IF(COUNTIF(MAIN!B:B, A2809)=0, "Missing", "")</f>
        <v>Missing</v>
      </c>
      <c r="C2809" s="128"/>
      <c r="E2809" s="131" t="str">
        <f t="shared" si="1"/>
        <v>https://utrucking.myshopify.com/admin/orders?query=16658</v>
      </c>
    </row>
    <row r="2810">
      <c r="A2810" s="93" t="str">
        <f t="shared" si="2"/>
        <v>#16659</v>
      </c>
      <c r="B2810" s="93" t="str">
        <f>IF(COUNTIF(MAIN!B:B, A2810)=0, "Missing", "")</f>
        <v>Missing</v>
      </c>
      <c r="C2810" s="128"/>
      <c r="E2810" s="131" t="str">
        <f t="shared" si="1"/>
        <v>https://utrucking.myshopify.com/admin/orders?query=16659</v>
      </c>
    </row>
    <row r="2811">
      <c r="A2811" s="93" t="str">
        <f t="shared" si="2"/>
        <v>#16660</v>
      </c>
      <c r="B2811" s="93" t="str">
        <f>IF(COUNTIF(MAIN!B:B, A2811)=0, "Missing", "")</f>
        <v>Missing</v>
      </c>
      <c r="C2811" s="128"/>
      <c r="E2811" s="131" t="str">
        <f t="shared" si="1"/>
        <v>https://utrucking.myshopify.com/admin/orders?query=16660</v>
      </c>
    </row>
    <row r="2812">
      <c r="A2812" s="93" t="str">
        <f t="shared" si="2"/>
        <v>#16661</v>
      </c>
      <c r="B2812" s="93" t="str">
        <f>IF(COUNTIF(MAIN!B:B, A2812)=0, "Missing", "")</f>
        <v>Missing</v>
      </c>
      <c r="C2812" s="128"/>
      <c r="E2812" s="131" t="str">
        <f t="shared" si="1"/>
        <v>https://utrucking.myshopify.com/admin/orders?query=16661</v>
      </c>
    </row>
    <row r="2813">
      <c r="A2813" s="93" t="str">
        <f t="shared" si="2"/>
        <v>#16662</v>
      </c>
      <c r="B2813" s="93" t="str">
        <f>IF(COUNTIF(MAIN!B:B, A2813)=0, "Missing", "")</f>
        <v>Missing</v>
      </c>
      <c r="C2813" s="128"/>
      <c r="E2813" s="131" t="str">
        <f t="shared" si="1"/>
        <v>https://utrucking.myshopify.com/admin/orders?query=16662</v>
      </c>
    </row>
    <row r="2814">
      <c r="A2814" s="93" t="str">
        <f t="shared" si="2"/>
        <v>#16663</v>
      </c>
      <c r="B2814" s="93" t="str">
        <f>IF(COUNTIF(MAIN!B:B, A2814)=0, "Missing", "")</f>
        <v>Missing</v>
      </c>
      <c r="C2814" s="128"/>
      <c r="E2814" s="131" t="str">
        <f t="shared" si="1"/>
        <v>https://utrucking.myshopify.com/admin/orders?query=16663</v>
      </c>
    </row>
    <row r="2815">
      <c r="A2815" s="93" t="str">
        <f t="shared" si="2"/>
        <v>#16664</v>
      </c>
      <c r="B2815" s="93" t="str">
        <f>IF(COUNTIF(MAIN!B:B, A2815)=0, "Missing", "")</f>
        <v>Missing</v>
      </c>
      <c r="C2815" s="128"/>
      <c r="E2815" s="131" t="str">
        <f t="shared" si="1"/>
        <v>https://utrucking.myshopify.com/admin/orders?query=16664</v>
      </c>
    </row>
    <row r="2816">
      <c r="A2816" s="93" t="str">
        <f t="shared" si="2"/>
        <v>#16665</v>
      </c>
      <c r="B2816" s="93" t="str">
        <f>IF(COUNTIF(MAIN!B:B, A2816)=0, "Missing", "")</f>
        <v>Missing</v>
      </c>
      <c r="C2816" s="128"/>
      <c r="E2816" s="131" t="str">
        <f t="shared" si="1"/>
        <v>https://utrucking.myshopify.com/admin/orders?query=16665</v>
      </c>
    </row>
    <row r="2817">
      <c r="A2817" s="93" t="str">
        <f t="shared" si="2"/>
        <v>#16666</v>
      </c>
      <c r="B2817" s="93" t="str">
        <f>IF(COUNTIF(MAIN!B:B, A2817)=0, "Missing", "")</f>
        <v>Missing</v>
      </c>
      <c r="C2817" s="128"/>
      <c r="E2817" s="131" t="str">
        <f t="shared" si="1"/>
        <v>https://utrucking.myshopify.com/admin/orders?query=16666</v>
      </c>
    </row>
    <row r="2818">
      <c r="A2818" s="93" t="str">
        <f t="shared" si="2"/>
        <v>#16667</v>
      </c>
      <c r="B2818" s="93" t="str">
        <f>IF(COUNTIF(MAIN!B:B, A2818)=0, "Missing", "")</f>
        <v>Missing</v>
      </c>
      <c r="C2818" s="128"/>
      <c r="E2818" s="131" t="str">
        <f t="shared" si="1"/>
        <v>https://utrucking.myshopify.com/admin/orders?query=16667</v>
      </c>
    </row>
    <row r="2819">
      <c r="A2819" s="93" t="str">
        <f t="shared" si="2"/>
        <v>#16668</v>
      </c>
      <c r="B2819" s="93" t="str">
        <f>IF(COUNTIF(MAIN!B:B, A2819)=0, "Missing", "")</f>
        <v>Missing</v>
      </c>
      <c r="C2819" s="128"/>
      <c r="E2819" s="131" t="str">
        <f t="shared" si="1"/>
        <v>https://utrucking.myshopify.com/admin/orders?query=16668</v>
      </c>
    </row>
    <row r="2820">
      <c r="A2820" s="93" t="str">
        <f t="shared" si="2"/>
        <v>#16669</v>
      </c>
      <c r="B2820" s="93" t="str">
        <f>IF(COUNTIF(MAIN!B:B, A2820)=0, "Missing", "")</f>
        <v>Missing</v>
      </c>
      <c r="C2820" s="128"/>
      <c r="E2820" s="131" t="str">
        <f t="shared" si="1"/>
        <v>https://utrucking.myshopify.com/admin/orders?query=16669</v>
      </c>
    </row>
    <row r="2821">
      <c r="A2821" s="93" t="str">
        <f t="shared" si="2"/>
        <v>#16670</v>
      </c>
      <c r="B2821" s="93" t="str">
        <f>IF(COUNTIF(MAIN!B:B, A2821)=0, "Missing", "")</f>
        <v>Missing</v>
      </c>
      <c r="C2821" s="128"/>
      <c r="E2821" s="131" t="str">
        <f t="shared" si="1"/>
        <v>https://utrucking.myshopify.com/admin/orders?query=16670</v>
      </c>
    </row>
    <row r="2822">
      <c r="A2822" s="93" t="str">
        <f t="shared" si="2"/>
        <v>#16671</v>
      </c>
      <c r="B2822" s="93" t="str">
        <f>IF(COUNTIF(MAIN!B:B, A2822)=0, "Missing", "")</f>
        <v>Missing</v>
      </c>
      <c r="C2822" s="128"/>
      <c r="E2822" s="131" t="str">
        <f t="shared" si="1"/>
        <v>https://utrucking.myshopify.com/admin/orders?query=16671</v>
      </c>
    </row>
    <row r="2823">
      <c r="A2823" s="93" t="str">
        <f t="shared" si="2"/>
        <v>#16672</v>
      </c>
      <c r="B2823" s="93" t="str">
        <f>IF(COUNTIF(MAIN!B:B, A2823)=0, "Missing", "")</f>
        <v>Missing</v>
      </c>
      <c r="C2823" s="128"/>
      <c r="E2823" s="131" t="str">
        <f t="shared" si="1"/>
        <v>https://utrucking.myshopify.com/admin/orders?query=16672</v>
      </c>
    </row>
    <row r="2824">
      <c r="A2824" s="93" t="str">
        <f t="shared" si="2"/>
        <v>#16673</v>
      </c>
      <c r="B2824" s="93" t="str">
        <f>IF(COUNTIF(MAIN!B:B, A2824)=0, "Missing", "")</f>
        <v>Missing</v>
      </c>
      <c r="C2824" s="128"/>
      <c r="E2824" s="131" t="str">
        <f t="shared" si="1"/>
        <v>https://utrucking.myshopify.com/admin/orders?query=16673</v>
      </c>
    </row>
    <row r="2825">
      <c r="A2825" s="93" t="str">
        <f t="shared" si="2"/>
        <v>#16674</v>
      </c>
      <c r="B2825" s="93" t="str">
        <f>IF(COUNTIF(MAIN!B:B, A2825)=0, "Missing", "")</f>
        <v>Missing</v>
      </c>
      <c r="C2825" s="128"/>
      <c r="E2825" s="131" t="str">
        <f t="shared" si="1"/>
        <v>https://utrucking.myshopify.com/admin/orders?query=16674</v>
      </c>
    </row>
    <row r="2826">
      <c r="A2826" s="93" t="str">
        <f t="shared" si="2"/>
        <v>#16675</v>
      </c>
      <c r="B2826" s="93" t="str">
        <f>IF(COUNTIF(MAIN!B:B, A2826)=0, "Missing", "")</f>
        <v>Missing</v>
      </c>
      <c r="C2826" s="128"/>
      <c r="E2826" s="131" t="str">
        <f t="shared" si="1"/>
        <v>https://utrucking.myshopify.com/admin/orders?query=16675</v>
      </c>
    </row>
    <row r="2827">
      <c r="A2827" s="93" t="str">
        <f t="shared" si="2"/>
        <v>#16676</v>
      </c>
      <c r="B2827" s="93" t="str">
        <f>IF(COUNTIF(MAIN!B:B, A2827)=0, "Missing", "")</f>
        <v>Missing</v>
      </c>
      <c r="C2827" s="128"/>
      <c r="E2827" s="131" t="str">
        <f t="shared" si="1"/>
        <v>https://utrucking.myshopify.com/admin/orders?query=16676</v>
      </c>
    </row>
    <row r="2828">
      <c r="A2828" s="93" t="str">
        <f t="shared" si="2"/>
        <v>#16677</v>
      </c>
      <c r="B2828" s="93" t="str">
        <f>IF(COUNTIF(MAIN!B:B, A2828)=0, "Missing", "")</f>
        <v>Missing</v>
      </c>
      <c r="C2828" s="128"/>
      <c r="E2828" s="131" t="str">
        <f t="shared" si="1"/>
        <v>https://utrucking.myshopify.com/admin/orders?query=16677</v>
      </c>
    </row>
    <row r="2829">
      <c r="A2829" s="93" t="str">
        <f t="shared" si="2"/>
        <v>#16678</v>
      </c>
      <c r="B2829" s="93" t="str">
        <f>IF(COUNTIF(MAIN!B:B, A2829)=0, "Missing", "")</f>
        <v>Missing</v>
      </c>
      <c r="C2829" s="128"/>
      <c r="E2829" s="131" t="str">
        <f t="shared" si="1"/>
        <v>https://utrucking.myshopify.com/admin/orders?query=16678</v>
      </c>
    </row>
    <row r="2830">
      <c r="A2830" s="93" t="str">
        <f t="shared" si="2"/>
        <v>#16679</v>
      </c>
      <c r="B2830" s="93" t="str">
        <f>IF(COUNTIF(MAIN!B:B, A2830)=0, "Missing", "")</f>
        <v/>
      </c>
      <c r="C2830" s="128"/>
      <c r="E2830" s="128" t="str">
        <f t="shared" si="1"/>
        <v/>
      </c>
    </row>
    <row r="2831">
      <c r="A2831" s="93" t="str">
        <f t="shared" si="2"/>
        <v>#16680</v>
      </c>
      <c r="B2831" s="93" t="str">
        <f>IF(COUNTIF(MAIN!B:B, A2831)=0, "Missing", "")</f>
        <v/>
      </c>
      <c r="C2831" s="128"/>
      <c r="E2831" s="128" t="str">
        <f t="shared" si="1"/>
        <v/>
      </c>
    </row>
    <row r="2832">
      <c r="A2832" s="93" t="str">
        <f t="shared" si="2"/>
        <v>#16681</v>
      </c>
      <c r="B2832" s="93" t="str">
        <f>IF(COUNTIF(MAIN!B:B, A2832)=0, "Missing", "")</f>
        <v/>
      </c>
      <c r="C2832" s="128"/>
      <c r="E2832" s="128" t="str">
        <f t="shared" si="1"/>
        <v/>
      </c>
    </row>
    <row r="2833">
      <c r="A2833" s="93" t="str">
        <f t="shared" si="2"/>
        <v>#16682</v>
      </c>
      <c r="B2833" s="93" t="str">
        <f>IF(COUNTIF(MAIN!B:B, A2833)=0, "Missing", "")</f>
        <v/>
      </c>
      <c r="C2833" s="128"/>
      <c r="E2833" s="128" t="str">
        <f t="shared" si="1"/>
        <v/>
      </c>
    </row>
    <row r="2834">
      <c r="A2834" s="93" t="str">
        <f t="shared" si="2"/>
        <v>#16683</v>
      </c>
      <c r="B2834" s="93" t="str">
        <f>IF(COUNTIF(MAIN!B:B, A2834)=0, "Missing", "")</f>
        <v/>
      </c>
      <c r="C2834" s="128"/>
      <c r="E2834" s="128" t="str">
        <f t="shared" si="1"/>
        <v/>
      </c>
    </row>
    <row r="2835">
      <c r="A2835" s="93" t="str">
        <f t="shared" si="2"/>
        <v>#16684</v>
      </c>
      <c r="B2835" s="93" t="str">
        <f>IF(COUNTIF(MAIN!B:B, A2835)=0, "Missing", "")</f>
        <v/>
      </c>
      <c r="C2835" s="128"/>
      <c r="E2835" s="128" t="str">
        <f t="shared" si="1"/>
        <v/>
      </c>
    </row>
    <row r="2836">
      <c r="A2836" s="93" t="str">
        <f t="shared" si="2"/>
        <v>#16685</v>
      </c>
      <c r="B2836" s="93" t="str">
        <f>IF(COUNTIF(MAIN!B:B, A2836)=0, "Missing", "")</f>
        <v/>
      </c>
      <c r="C2836" s="128"/>
      <c r="E2836" s="128" t="str">
        <f t="shared" si="1"/>
        <v/>
      </c>
    </row>
    <row r="2837">
      <c r="A2837" s="93" t="str">
        <f t="shared" si="2"/>
        <v>#16686</v>
      </c>
      <c r="B2837" s="93" t="str">
        <f>IF(COUNTIF(MAIN!B:B, A2837)=0, "Missing", "")</f>
        <v/>
      </c>
      <c r="C2837" s="128"/>
      <c r="E2837" s="128" t="str">
        <f t="shared" si="1"/>
        <v/>
      </c>
    </row>
    <row r="2838">
      <c r="A2838" s="93" t="str">
        <f t="shared" si="2"/>
        <v>#16687</v>
      </c>
      <c r="B2838" s="93" t="str">
        <f>IF(COUNTIF(MAIN!B:B, A2838)=0, "Missing", "")</f>
        <v>Missing</v>
      </c>
      <c r="C2838" s="128"/>
      <c r="E2838" s="131" t="str">
        <f t="shared" si="1"/>
        <v>https://utrucking.myshopify.com/admin/orders?query=16687</v>
      </c>
    </row>
    <row r="2839">
      <c r="A2839" s="93" t="str">
        <f t="shared" si="2"/>
        <v>#16688</v>
      </c>
      <c r="B2839" s="93" t="str">
        <f>IF(COUNTIF(MAIN!B:B, A2839)=0, "Missing", "")</f>
        <v/>
      </c>
      <c r="C2839" s="128"/>
      <c r="E2839" s="128" t="str">
        <f t="shared" si="1"/>
        <v/>
      </c>
    </row>
    <row r="2840">
      <c r="A2840" s="93" t="str">
        <f t="shared" si="2"/>
        <v>#16689</v>
      </c>
      <c r="B2840" s="93" t="str">
        <f>IF(COUNTIF(MAIN!B:B, A2840)=0, "Missing", "")</f>
        <v/>
      </c>
      <c r="C2840" s="128"/>
      <c r="E2840" s="128" t="str">
        <f t="shared" si="1"/>
        <v/>
      </c>
    </row>
    <row r="2841">
      <c r="A2841" s="93" t="str">
        <f t="shared" si="2"/>
        <v>#16690</v>
      </c>
      <c r="B2841" s="93" t="str">
        <f>IF(COUNTIF(MAIN!B:B, A2841)=0, "Missing", "")</f>
        <v/>
      </c>
      <c r="C2841" s="128"/>
      <c r="E2841" s="128" t="str">
        <f t="shared" si="1"/>
        <v/>
      </c>
    </row>
    <row r="2842">
      <c r="A2842" s="93" t="str">
        <f t="shared" si="2"/>
        <v>#16691</v>
      </c>
      <c r="B2842" s="93" t="str">
        <f>IF(COUNTIF(MAIN!B:B, A2842)=0, "Missing", "")</f>
        <v/>
      </c>
      <c r="C2842" s="128"/>
      <c r="E2842" s="128" t="str">
        <f t="shared" si="1"/>
        <v/>
      </c>
    </row>
    <row r="2843">
      <c r="A2843" s="93" t="str">
        <f t="shared" si="2"/>
        <v>#16692</v>
      </c>
      <c r="B2843" s="93" t="str">
        <f>IF(COUNTIF(MAIN!B:B, A2843)=0, "Missing", "")</f>
        <v/>
      </c>
      <c r="C2843" s="128"/>
      <c r="E2843" s="128" t="str">
        <f t="shared" si="1"/>
        <v/>
      </c>
    </row>
    <row r="2844">
      <c r="A2844" s="93" t="str">
        <f t="shared" si="2"/>
        <v>#16693</v>
      </c>
      <c r="B2844" s="93" t="str">
        <f>IF(COUNTIF(MAIN!B:B, A2844)=0, "Missing", "")</f>
        <v/>
      </c>
      <c r="C2844" s="128"/>
      <c r="E2844" s="128" t="str">
        <f t="shared" si="1"/>
        <v/>
      </c>
    </row>
    <row r="2845">
      <c r="A2845" s="93" t="str">
        <f t="shared" si="2"/>
        <v>#16694</v>
      </c>
      <c r="B2845" s="93" t="str">
        <f>IF(COUNTIF(MAIN!B:B, A2845)=0, "Missing", "")</f>
        <v/>
      </c>
      <c r="C2845" s="128"/>
      <c r="E2845" s="128" t="str">
        <f t="shared" si="1"/>
        <v/>
      </c>
    </row>
    <row r="2846">
      <c r="A2846" s="93" t="str">
        <f t="shared" si="2"/>
        <v>#16695</v>
      </c>
      <c r="B2846" s="93" t="str">
        <f>IF(COUNTIF(MAIN!B:B, A2846)=0, "Missing", "")</f>
        <v/>
      </c>
      <c r="C2846" s="128"/>
      <c r="E2846" s="128" t="str">
        <f t="shared" si="1"/>
        <v/>
      </c>
    </row>
    <row r="2847">
      <c r="A2847" s="93" t="str">
        <f t="shared" si="2"/>
        <v>#16696</v>
      </c>
      <c r="B2847" s="93" t="str">
        <f>IF(COUNTIF(MAIN!B:B, A2847)=0, "Missing", "")</f>
        <v/>
      </c>
      <c r="C2847" s="128"/>
      <c r="E2847" s="128" t="str">
        <f t="shared" si="1"/>
        <v/>
      </c>
    </row>
    <row r="2848">
      <c r="A2848" s="93" t="str">
        <f t="shared" si="2"/>
        <v>#16697</v>
      </c>
      <c r="B2848" s="93" t="str">
        <f>IF(COUNTIF(MAIN!B:B, A2848)=0, "Missing", "")</f>
        <v/>
      </c>
      <c r="C2848" s="128"/>
      <c r="E2848" s="128" t="str">
        <f t="shared" si="1"/>
        <v/>
      </c>
    </row>
    <row r="2849">
      <c r="A2849" s="93" t="str">
        <f t="shared" si="2"/>
        <v>#16698</v>
      </c>
      <c r="B2849" s="93" t="str">
        <f>IF(COUNTIF(MAIN!B:B, A2849)=0, "Missing", "")</f>
        <v/>
      </c>
      <c r="C2849" s="128"/>
      <c r="E2849" s="128" t="str">
        <f t="shared" si="1"/>
        <v/>
      </c>
    </row>
    <row r="2850">
      <c r="A2850" s="93" t="str">
        <f t="shared" si="2"/>
        <v>#16699</v>
      </c>
      <c r="B2850" s="93" t="str">
        <f>IF(COUNTIF(MAIN!B:B, A2850)=0, "Missing", "")</f>
        <v/>
      </c>
      <c r="C2850" s="128"/>
      <c r="E2850" s="128" t="str">
        <f t="shared" si="1"/>
        <v/>
      </c>
    </row>
    <row r="2851">
      <c r="A2851" s="93" t="str">
        <f t="shared" si="2"/>
        <v>#16700</v>
      </c>
      <c r="B2851" s="93" t="str">
        <f>IF(COUNTIF(MAIN!B:B, A2851)=0, "Missing", "")</f>
        <v/>
      </c>
      <c r="C2851" s="128"/>
      <c r="E2851" s="128" t="str">
        <f t="shared" si="1"/>
        <v/>
      </c>
    </row>
    <row r="2852">
      <c r="A2852" s="93" t="str">
        <f t="shared" si="2"/>
        <v>#16701</v>
      </c>
      <c r="B2852" s="93" t="str">
        <f>IF(COUNTIF(MAIN!B:B, A2852)=0, "Missing", "")</f>
        <v/>
      </c>
      <c r="C2852" s="128"/>
      <c r="E2852" s="128" t="str">
        <f t="shared" si="1"/>
        <v/>
      </c>
    </row>
    <row r="2853">
      <c r="A2853" s="93" t="str">
        <f t="shared" si="2"/>
        <v>#16702</v>
      </c>
      <c r="B2853" s="93" t="str">
        <f>IF(COUNTIF(MAIN!B:B, A2853)=0, "Missing", "")</f>
        <v/>
      </c>
      <c r="C2853" s="128"/>
      <c r="E2853" s="128" t="str">
        <f t="shared" si="1"/>
        <v/>
      </c>
    </row>
    <row r="2854">
      <c r="A2854" s="93" t="str">
        <f t="shared" si="2"/>
        <v>#16703</v>
      </c>
      <c r="B2854" s="93" t="str">
        <f>IF(COUNTIF(MAIN!B:B, A2854)=0, "Missing", "")</f>
        <v/>
      </c>
      <c r="C2854" s="128"/>
      <c r="E2854" s="128" t="str">
        <f t="shared" si="1"/>
        <v/>
      </c>
    </row>
    <row r="2855">
      <c r="A2855" s="93" t="str">
        <f t="shared" si="2"/>
        <v>#16704</v>
      </c>
      <c r="B2855" s="93" t="str">
        <f>IF(COUNTIF(MAIN!B:B, A2855)=0, "Missing", "")</f>
        <v/>
      </c>
      <c r="C2855" s="128"/>
      <c r="E2855" s="128" t="str">
        <f t="shared" si="1"/>
        <v/>
      </c>
    </row>
    <row r="2856">
      <c r="A2856" s="93" t="str">
        <f t="shared" si="2"/>
        <v>#16705</v>
      </c>
      <c r="B2856" s="93" t="str">
        <f>IF(COUNTIF(MAIN!B:B, A2856)=0, "Missing", "")</f>
        <v/>
      </c>
      <c r="C2856" s="128"/>
      <c r="E2856" s="128" t="str">
        <f t="shared" si="1"/>
        <v/>
      </c>
    </row>
    <row r="2857">
      <c r="A2857" s="93" t="str">
        <f t="shared" si="2"/>
        <v>#16706</v>
      </c>
      <c r="B2857" s="93" t="str">
        <f>IF(COUNTIF(MAIN!B:B, A2857)=0, "Missing", "")</f>
        <v/>
      </c>
      <c r="C2857" s="128"/>
      <c r="E2857" s="128" t="str">
        <f t="shared" si="1"/>
        <v/>
      </c>
    </row>
    <row r="2858">
      <c r="A2858" s="93" t="str">
        <f t="shared" si="2"/>
        <v>#16707</v>
      </c>
      <c r="B2858" s="93" t="str">
        <f>IF(COUNTIF(MAIN!B:B, A2858)=0, "Missing", "")</f>
        <v/>
      </c>
      <c r="C2858" s="128"/>
      <c r="E2858" s="128" t="str">
        <f t="shared" si="1"/>
        <v/>
      </c>
    </row>
    <row r="2859">
      <c r="A2859" s="93" t="str">
        <f t="shared" si="2"/>
        <v>#16708</v>
      </c>
      <c r="B2859" s="93" t="str">
        <f>IF(COUNTIF(MAIN!B:B, A2859)=0, "Missing", "")</f>
        <v/>
      </c>
      <c r="C2859" s="128"/>
      <c r="E2859" s="128" t="str">
        <f t="shared" si="1"/>
        <v/>
      </c>
    </row>
    <row r="2860">
      <c r="A2860" s="93" t="str">
        <f t="shared" si="2"/>
        <v>#16709</v>
      </c>
      <c r="B2860" s="93" t="str">
        <f>IF(COUNTIF(MAIN!B:B, A2860)=0, "Missing", "")</f>
        <v/>
      </c>
      <c r="C2860" s="128"/>
      <c r="E2860" s="128" t="str">
        <f t="shared" si="1"/>
        <v/>
      </c>
    </row>
    <row r="2861">
      <c r="A2861" s="93" t="str">
        <f t="shared" si="2"/>
        <v>#16710</v>
      </c>
      <c r="B2861" s="93" t="str">
        <f>IF(COUNTIF(MAIN!B:B, A2861)=0, "Missing", "")</f>
        <v/>
      </c>
      <c r="C2861" s="128"/>
      <c r="E2861" s="128" t="str">
        <f t="shared" si="1"/>
        <v/>
      </c>
    </row>
    <row r="2862">
      <c r="A2862" s="93" t="str">
        <f t="shared" si="2"/>
        <v>#16711</v>
      </c>
      <c r="B2862" s="93" t="str">
        <f>IF(COUNTIF(MAIN!B:B, A2862)=0, "Missing", "")</f>
        <v/>
      </c>
      <c r="C2862" s="128"/>
      <c r="E2862" s="128" t="str">
        <f t="shared" si="1"/>
        <v/>
      </c>
    </row>
    <row r="2863">
      <c r="A2863" s="93" t="str">
        <f t="shared" si="2"/>
        <v>#16712</v>
      </c>
      <c r="B2863" s="93" t="str">
        <f>IF(COUNTIF(MAIN!B:B, A2863)=0, "Missing", "")</f>
        <v/>
      </c>
      <c r="C2863" s="128"/>
      <c r="E2863" s="128" t="str">
        <f t="shared" si="1"/>
        <v/>
      </c>
    </row>
    <row r="2864">
      <c r="A2864" s="93" t="str">
        <f t="shared" si="2"/>
        <v>#16713</v>
      </c>
      <c r="B2864" s="93" t="str">
        <f>IF(COUNTIF(MAIN!B:B, A2864)=0, "Missing", "")</f>
        <v/>
      </c>
      <c r="C2864" s="128"/>
      <c r="E2864" s="128" t="str">
        <f t="shared" si="1"/>
        <v/>
      </c>
    </row>
    <row r="2865">
      <c r="A2865" s="93" t="str">
        <f t="shared" si="2"/>
        <v>#16714</v>
      </c>
      <c r="B2865" s="93" t="str">
        <f>IF(COUNTIF(MAIN!B:B, A2865)=0, "Missing", "")</f>
        <v/>
      </c>
      <c r="C2865" s="128"/>
      <c r="E2865" s="128" t="str">
        <f t="shared" si="1"/>
        <v/>
      </c>
    </row>
    <row r="2866">
      <c r="A2866" s="93" t="str">
        <f t="shared" si="2"/>
        <v>#16715</v>
      </c>
      <c r="B2866" s="93" t="str">
        <f>IF(COUNTIF(MAIN!B:B, A2866)=0, "Missing", "")</f>
        <v/>
      </c>
      <c r="C2866" s="128"/>
      <c r="E2866" s="128" t="str">
        <f t="shared" si="1"/>
        <v/>
      </c>
    </row>
    <row r="2867">
      <c r="A2867" s="93" t="str">
        <f t="shared" si="2"/>
        <v>#16716</v>
      </c>
      <c r="B2867" s="93" t="str">
        <f>IF(COUNTIF(MAIN!B:B, A2867)=0, "Missing", "")</f>
        <v/>
      </c>
      <c r="C2867" s="128"/>
      <c r="E2867" s="128" t="str">
        <f t="shared" si="1"/>
        <v/>
      </c>
    </row>
    <row r="2868">
      <c r="A2868" s="93" t="str">
        <f t="shared" si="2"/>
        <v>#16717</v>
      </c>
      <c r="B2868" s="93" t="str">
        <f>IF(COUNTIF(MAIN!B:B, A2868)=0, "Missing", "")</f>
        <v/>
      </c>
      <c r="C2868" s="128"/>
      <c r="E2868" s="128" t="str">
        <f t="shared" si="1"/>
        <v/>
      </c>
    </row>
    <row r="2869">
      <c r="A2869" s="93" t="str">
        <f t="shared" si="2"/>
        <v>#16718</v>
      </c>
      <c r="B2869" s="93" t="str">
        <f>IF(COUNTIF(MAIN!B:B, A2869)=0, "Missing", "")</f>
        <v/>
      </c>
      <c r="C2869" s="128"/>
      <c r="E2869" s="128" t="str">
        <f t="shared" si="1"/>
        <v/>
      </c>
    </row>
    <row r="2870">
      <c r="A2870" s="93" t="str">
        <f t="shared" si="2"/>
        <v>#16719</v>
      </c>
      <c r="B2870" s="93" t="str">
        <f>IF(COUNTIF(MAIN!B:B, A2870)=0, "Missing", "")</f>
        <v/>
      </c>
      <c r="C2870" s="128"/>
      <c r="E2870" s="128" t="str">
        <f t="shared" si="1"/>
        <v/>
      </c>
    </row>
    <row r="2871">
      <c r="A2871" s="93" t="str">
        <f t="shared" si="2"/>
        <v>#16720</v>
      </c>
      <c r="B2871" s="93" t="str">
        <f>IF(COUNTIF(MAIN!B:B, A2871)=0, "Missing", "")</f>
        <v>Missing</v>
      </c>
      <c r="C2871" s="128"/>
      <c r="E2871" s="131" t="str">
        <f t="shared" si="1"/>
        <v>https://utrucking.myshopify.com/admin/orders?query=16720</v>
      </c>
    </row>
    <row r="2872">
      <c r="A2872" s="93" t="str">
        <f t="shared" si="2"/>
        <v>#16721</v>
      </c>
      <c r="B2872" s="93" t="str">
        <f>IF(COUNTIF(MAIN!B:B, A2872)=0, "Missing", "")</f>
        <v>Missing</v>
      </c>
      <c r="C2872" s="128"/>
      <c r="E2872" s="131" t="str">
        <f t="shared" si="1"/>
        <v>https://utrucking.myshopify.com/admin/orders?query=16721</v>
      </c>
    </row>
    <row r="2873">
      <c r="A2873" s="93" t="str">
        <f t="shared" si="2"/>
        <v>#16722</v>
      </c>
      <c r="B2873" s="93" t="str">
        <f>IF(COUNTIF(MAIN!B:B, A2873)=0, "Missing", "")</f>
        <v/>
      </c>
      <c r="C2873" s="128"/>
      <c r="E2873" s="128" t="str">
        <f t="shared" si="1"/>
        <v/>
      </c>
    </row>
    <row r="2874">
      <c r="A2874" s="93" t="str">
        <f t="shared" si="2"/>
        <v>#16723</v>
      </c>
      <c r="B2874" s="93" t="str">
        <f>IF(COUNTIF(MAIN!B:B, A2874)=0, "Missing", "")</f>
        <v>Missing</v>
      </c>
      <c r="C2874" s="128"/>
      <c r="E2874" s="131" t="str">
        <f t="shared" si="1"/>
        <v>https://utrucking.myshopify.com/admin/orders?query=16723</v>
      </c>
    </row>
    <row r="2875">
      <c r="A2875" s="93" t="str">
        <f t="shared" si="2"/>
        <v>#16724</v>
      </c>
      <c r="B2875" s="93" t="str">
        <f>IF(COUNTIF(MAIN!B:B, A2875)=0, "Missing", "")</f>
        <v>Missing</v>
      </c>
      <c r="C2875" s="128"/>
      <c r="E2875" s="131" t="str">
        <f t="shared" si="1"/>
        <v>https://utrucking.myshopify.com/admin/orders?query=16724</v>
      </c>
    </row>
    <row r="2876">
      <c r="A2876" s="93" t="str">
        <f t="shared" si="2"/>
        <v>#16725</v>
      </c>
      <c r="B2876" s="93" t="str">
        <f>IF(COUNTIF(MAIN!B:B, A2876)=0, "Missing", "")</f>
        <v>Missing</v>
      </c>
      <c r="C2876" s="128"/>
      <c r="E2876" s="131" t="str">
        <f t="shared" si="1"/>
        <v>https://utrucking.myshopify.com/admin/orders?query=16725</v>
      </c>
    </row>
    <row r="2877">
      <c r="A2877" s="93" t="str">
        <f t="shared" si="2"/>
        <v>#16726</v>
      </c>
      <c r="B2877" s="93" t="str">
        <f>IF(COUNTIF(MAIN!B:B, A2877)=0, "Missing", "")</f>
        <v>Missing</v>
      </c>
      <c r="C2877" s="128"/>
      <c r="E2877" s="131" t="str">
        <f t="shared" si="1"/>
        <v>https://utrucking.myshopify.com/admin/orders?query=16726</v>
      </c>
    </row>
    <row r="2878">
      <c r="A2878" s="93" t="str">
        <f t="shared" si="2"/>
        <v>#16727</v>
      </c>
      <c r="B2878" s="93" t="str">
        <f>IF(COUNTIF(MAIN!B:B, A2878)=0, "Missing", "")</f>
        <v>Missing</v>
      </c>
      <c r="C2878" s="128"/>
      <c r="E2878" s="131" t="str">
        <f t="shared" si="1"/>
        <v>https://utrucking.myshopify.com/admin/orders?query=16727</v>
      </c>
    </row>
    <row r="2879">
      <c r="A2879" s="93" t="str">
        <f t="shared" si="2"/>
        <v>#16728</v>
      </c>
      <c r="B2879" s="93" t="str">
        <f>IF(COUNTIF(MAIN!B:B, A2879)=0, "Missing", "")</f>
        <v>Missing</v>
      </c>
      <c r="C2879" s="128"/>
      <c r="E2879" s="131" t="str">
        <f t="shared" si="1"/>
        <v>https://utrucking.myshopify.com/admin/orders?query=16728</v>
      </c>
    </row>
    <row r="2880">
      <c r="A2880" s="93" t="str">
        <f t="shared" si="2"/>
        <v>#16729</v>
      </c>
      <c r="B2880" s="93" t="str">
        <f>IF(COUNTIF(MAIN!B:B, A2880)=0, "Missing", "")</f>
        <v>Missing</v>
      </c>
      <c r="C2880" s="128"/>
      <c r="E2880" s="131" t="str">
        <f t="shared" si="1"/>
        <v>https://utrucking.myshopify.com/admin/orders?query=16729</v>
      </c>
    </row>
    <row r="2881">
      <c r="A2881" s="93" t="str">
        <f t="shared" si="2"/>
        <v>#16730</v>
      </c>
      <c r="B2881" s="93" t="str">
        <f>IF(COUNTIF(MAIN!B:B, A2881)=0, "Missing", "")</f>
        <v>Missing</v>
      </c>
      <c r="C2881" s="128"/>
      <c r="E2881" s="131" t="str">
        <f t="shared" si="1"/>
        <v>https://utrucking.myshopify.com/admin/orders?query=16730</v>
      </c>
    </row>
    <row r="2882">
      <c r="A2882" s="93" t="str">
        <f t="shared" si="2"/>
        <v>#16731</v>
      </c>
      <c r="B2882" s="93" t="str">
        <f>IF(COUNTIF(MAIN!B:B, A2882)=0, "Missing", "")</f>
        <v>Missing</v>
      </c>
      <c r="C2882" s="128"/>
      <c r="E2882" s="131" t="str">
        <f t="shared" si="1"/>
        <v>https://utrucking.myshopify.com/admin/orders?query=16731</v>
      </c>
    </row>
    <row r="2883">
      <c r="A2883" s="93" t="str">
        <f t="shared" si="2"/>
        <v>#16732</v>
      </c>
      <c r="B2883" s="93" t="str">
        <f>IF(COUNTIF(MAIN!B:B, A2883)=0, "Missing", "")</f>
        <v>Missing</v>
      </c>
      <c r="C2883" s="128"/>
      <c r="E2883" s="131" t="str">
        <f t="shared" si="1"/>
        <v>https://utrucking.myshopify.com/admin/orders?query=16732</v>
      </c>
    </row>
    <row r="2884">
      <c r="A2884" s="93" t="str">
        <f t="shared" si="2"/>
        <v>#16733</v>
      </c>
      <c r="B2884" s="93" t="str">
        <f>IF(COUNTIF(MAIN!B:B, A2884)=0, "Missing", "")</f>
        <v>Missing</v>
      </c>
      <c r="C2884" s="128"/>
      <c r="E2884" s="131" t="str">
        <f t="shared" si="1"/>
        <v>https://utrucking.myshopify.com/admin/orders?query=16733</v>
      </c>
    </row>
    <row r="2885">
      <c r="A2885" s="93" t="str">
        <f t="shared" si="2"/>
        <v>#16734</v>
      </c>
      <c r="B2885" s="93" t="str">
        <f>IF(COUNTIF(MAIN!B:B, A2885)=0, "Missing", "")</f>
        <v>Missing</v>
      </c>
      <c r="C2885" s="128"/>
      <c r="E2885" s="131" t="str">
        <f t="shared" si="1"/>
        <v>https://utrucking.myshopify.com/admin/orders?query=16734</v>
      </c>
    </row>
    <row r="2886">
      <c r="A2886" s="93" t="str">
        <f t="shared" si="2"/>
        <v>#16735</v>
      </c>
      <c r="B2886" s="93" t="str">
        <f>IF(COUNTIF(MAIN!B:B, A2886)=0, "Missing", "")</f>
        <v>Missing</v>
      </c>
      <c r="C2886" s="128"/>
      <c r="E2886" s="131" t="str">
        <f t="shared" si="1"/>
        <v>https://utrucking.myshopify.com/admin/orders?query=16735</v>
      </c>
    </row>
    <row r="2887">
      <c r="A2887" s="93" t="str">
        <f t="shared" si="2"/>
        <v>#16736</v>
      </c>
      <c r="B2887" s="93" t="str">
        <f>IF(COUNTIF(MAIN!B:B, A2887)=0, "Missing", "")</f>
        <v>Missing</v>
      </c>
      <c r="C2887" s="128"/>
      <c r="E2887" s="131" t="str">
        <f t="shared" si="1"/>
        <v>https://utrucking.myshopify.com/admin/orders?query=16736</v>
      </c>
    </row>
    <row r="2888">
      <c r="A2888" s="93" t="str">
        <f t="shared" si="2"/>
        <v>#16737</v>
      </c>
      <c r="B2888" s="93" t="str">
        <f>IF(COUNTIF(MAIN!B:B, A2888)=0, "Missing", "")</f>
        <v>Missing</v>
      </c>
      <c r="C2888" s="128"/>
      <c r="E2888" s="131" t="str">
        <f t="shared" si="1"/>
        <v>https://utrucking.myshopify.com/admin/orders?query=16737</v>
      </c>
    </row>
    <row r="2889">
      <c r="A2889" s="93" t="str">
        <f t="shared" si="2"/>
        <v>#16738</v>
      </c>
      <c r="B2889" s="93" t="str">
        <f>IF(COUNTIF(MAIN!B:B, A2889)=0, "Missing", "")</f>
        <v>Missing</v>
      </c>
      <c r="C2889" s="128"/>
      <c r="E2889" s="131" t="str">
        <f t="shared" si="1"/>
        <v>https://utrucking.myshopify.com/admin/orders?query=16738</v>
      </c>
    </row>
    <row r="2890">
      <c r="A2890" s="93" t="str">
        <f t="shared" si="2"/>
        <v>#16739</v>
      </c>
      <c r="B2890" s="93" t="str">
        <f>IF(COUNTIF(MAIN!B:B, A2890)=0, "Missing", "")</f>
        <v>Missing</v>
      </c>
      <c r="C2890" s="128"/>
      <c r="E2890" s="131" t="str">
        <f t="shared" si="1"/>
        <v>https://utrucking.myshopify.com/admin/orders?query=16739</v>
      </c>
    </row>
    <row r="2891">
      <c r="A2891" s="93" t="str">
        <f t="shared" si="2"/>
        <v>#16740</v>
      </c>
      <c r="B2891" s="93" t="str">
        <f>IF(COUNTIF(MAIN!B:B, A2891)=0, "Missing", "")</f>
        <v>Missing</v>
      </c>
      <c r="C2891" s="128"/>
      <c r="E2891" s="131" t="str">
        <f t="shared" si="1"/>
        <v>https://utrucking.myshopify.com/admin/orders?query=16740</v>
      </c>
    </row>
    <row r="2892">
      <c r="A2892" s="93" t="str">
        <f t="shared" si="2"/>
        <v>#16741</v>
      </c>
      <c r="B2892" s="93" t="str">
        <f>IF(COUNTIF(MAIN!B:B, A2892)=0, "Missing", "")</f>
        <v>Missing</v>
      </c>
      <c r="C2892" s="128"/>
      <c r="E2892" s="131" t="str">
        <f t="shared" si="1"/>
        <v>https://utrucking.myshopify.com/admin/orders?query=16741</v>
      </c>
    </row>
    <row r="2893">
      <c r="A2893" s="93" t="str">
        <f t="shared" si="2"/>
        <v>#16742</v>
      </c>
      <c r="B2893" s="93" t="str">
        <f>IF(COUNTIF(MAIN!B:B, A2893)=0, "Missing", "")</f>
        <v>Missing</v>
      </c>
      <c r="C2893" s="128"/>
      <c r="E2893" s="131" t="str">
        <f t="shared" si="1"/>
        <v>https://utrucking.myshopify.com/admin/orders?query=16742</v>
      </c>
    </row>
    <row r="2894">
      <c r="A2894" s="93" t="str">
        <f t="shared" si="2"/>
        <v>#16743</v>
      </c>
      <c r="B2894" s="93" t="str">
        <f>IF(COUNTIF(MAIN!B:B, A2894)=0, "Missing", "")</f>
        <v>Missing</v>
      </c>
      <c r="C2894" s="128"/>
      <c r="E2894" s="131" t="str">
        <f t="shared" si="1"/>
        <v>https://utrucking.myshopify.com/admin/orders?query=16743</v>
      </c>
    </row>
    <row r="2895">
      <c r="A2895" s="93" t="str">
        <f t="shared" si="2"/>
        <v>#16744</v>
      </c>
      <c r="B2895" s="93" t="str">
        <f>IF(COUNTIF(MAIN!B:B, A2895)=0, "Missing", "")</f>
        <v>Missing</v>
      </c>
      <c r="C2895" s="128"/>
      <c r="E2895" s="131" t="str">
        <f t="shared" si="1"/>
        <v>https://utrucking.myshopify.com/admin/orders?query=16744</v>
      </c>
    </row>
    <row r="2896">
      <c r="A2896" s="93" t="str">
        <f t="shared" si="2"/>
        <v>#16745</v>
      </c>
      <c r="B2896" s="93" t="str">
        <f>IF(COUNTIF(MAIN!B:B, A2896)=0, "Missing", "")</f>
        <v>Missing</v>
      </c>
      <c r="C2896" s="128"/>
      <c r="E2896" s="131" t="str">
        <f t="shared" si="1"/>
        <v>https://utrucking.myshopify.com/admin/orders?query=16745</v>
      </c>
    </row>
    <row r="2897">
      <c r="A2897" s="93" t="str">
        <f t="shared" si="2"/>
        <v>#16746</v>
      </c>
      <c r="B2897" s="93" t="str">
        <f>IF(COUNTIF(MAIN!B:B, A2897)=0, "Missing", "")</f>
        <v>Missing</v>
      </c>
      <c r="C2897" s="128"/>
      <c r="E2897" s="131" t="str">
        <f t="shared" si="1"/>
        <v>https://utrucking.myshopify.com/admin/orders?query=16746</v>
      </c>
    </row>
    <row r="2898">
      <c r="A2898" s="93" t="str">
        <f t="shared" si="2"/>
        <v>#16747</v>
      </c>
      <c r="B2898" s="93" t="str">
        <f>IF(COUNTIF(MAIN!B:B, A2898)=0, "Missing", "")</f>
        <v/>
      </c>
      <c r="C2898" s="128"/>
      <c r="E2898" s="128" t="str">
        <f t="shared" si="1"/>
        <v/>
      </c>
    </row>
    <row r="2899">
      <c r="A2899" s="93" t="str">
        <f t="shared" si="2"/>
        <v>#16748</v>
      </c>
      <c r="B2899" s="93" t="str">
        <f>IF(COUNTIF(MAIN!B:B, A2899)=0, "Missing", "")</f>
        <v>Missing</v>
      </c>
      <c r="C2899" s="128"/>
      <c r="E2899" s="131" t="str">
        <f t="shared" si="1"/>
        <v>https://utrucking.myshopify.com/admin/orders?query=16748</v>
      </c>
    </row>
    <row r="2900">
      <c r="A2900" s="93" t="str">
        <f t="shared" si="2"/>
        <v>#16749</v>
      </c>
      <c r="B2900" s="93" t="str">
        <f>IF(COUNTIF(MAIN!B:B, A2900)=0, "Missing", "")</f>
        <v>Missing</v>
      </c>
      <c r="C2900" s="128"/>
      <c r="E2900" s="131" t="str">
        <f t="shared" si="1"/>
        <v>https://utrucking.myshopify.com/admin/orders?query=16749</v>
      </c>
    </row>
    <row r="2901">
      <c r="A2901" s="93" t="str">
        <f t="shared" si="2"/>
        <v>#16750</v>
      </c>
      <c r="B2901" s="93" t="str">
        <f>IF(COUNTIF(MAIN!B:B, A2901)=0, "Missing", "")</f>
        <v>Missing</v>
      </c>
      <c r="C2901" s="128"/>
      <c r="E2901" s="131" t="str">
        <f t="shared" si="1"/>
        <v>https://utrucking.myshopify.com/admin/orders?query=16750</v>
      </c>
    </row>
    <row r="2902">
      <c r="A2902" s="93" t="str">
        <f t="shared" si="2"/>
        <v>#16751</v>
      </c>
      <c r="B2902" s="93" t="str">
        <f>IF(COUNTIF(MAIN!B:B, A2902)=0, "Missing", "")</f>
        <v>Missing</v>
      </c>
      <c r="C2902" s="128"/>
      <c r="E2902" s="131" t="str">
        <f t="shared" si="1"/>
        <v>https://utrucking.myshopify.com/admin/orders?query=16751</v>
      </c>
    </row>
    <row r="2903">
      <c r="A2903" s="93" t="str">
        <f t="shared" si="2"/>
        <v>#16752</v>
      </c>
      <c r="B2903" s="93" t="str">
        <f>IF(COUNTIF(MAIN!B:B, A2903)=0, "Missing", "")</f>
        <v>Missing</v>
      </c>
      <c r="C2903" s="128"/>
      <c r="E2903" s="131" t="str">
        <f t="shared" si="1"/>
        <v>https://utrucking.myshopify.com/admin/orders?query=16752</v>
      </c>
    </row>
    <row r="2904">
      <c r="A2904" s="93" t="str">
        <f t="shared" si="2"/>
        <v>#16753</v>
      </c>
      <c r="B2904" s="93" t="str">
        <f>IF(COUNTIF(MAIN!B:B, A2904)=0, "Missing", "")</f>
        <v>Missing</v>
      </c>
      <c r="C2904" s="128"/>
      <c r="E2904" s="131" t="str">
        <f t="shared" si="1"/>
        <v>https://utrucking.myshopify.com/admin/orders?query=16753</v>
      </c>
    </row>
    <row r="2905">
      <c r="A2905" s="93" t="str">
        <f t="shared" si="2"/>
        <v>#16754</v>
      </c>
      <c r="B2905" s="93" t="str">
        <f>IF(COUNTIF(MAIN!B:B, A2905)=0, "Missing", "")</f>
        <v/>
      </c>
      <c r="C2905" s="128"/>
      <c r="E2905" s="128" t="str">
        <f t="shared" si="1"/>
        <v/>
      </c>
    </row>
    <row r="2906">
      <c r="A2906" s="93" t="str">
        <f t="shared" si="2"/>
        <v>#16755</v>
      </c>
      <c r="B2906" s="93" t="str">
        <f>IF(COUNTIF(MAIN!B:B, A2906)=0, "Missing", "")</f>
        <v/>
      </c>
      <c r="C2906" s="128"/>
      <c r="E2906" s="128" t="str">
        <f t="shared" si="1"/>
        <v/>
      </c>
    </row>
    <row r="2907">
      <c r="A2907" s="93" t="str">
        <f t="shared" si="2"/>
        <v>#16756</v>
      </c>
      <c r="B2907" s="93" t="str">
        <f>IF(COUNTIF(MAIN!B:B, A2907)=0, "Missing", "")</f>
        <v/>
      </c>
      <c r="C2907" s="128"/>
      <c r="E2907" s="128" t="str">
        <f t="shared" si="1"/>
        <v/>
      </c>
    </row>
    <row r="2908">
      <c r="A2908" s="93" t="str">
        <f t="shared" si="2"/>
        <v>#16757</v>
      </c>
      <c r="B2908" s="93" t="str">
        <f>IF(COUNTIF(MAIN!B:B, A2908)=0, "Missing", "")</f>
        <v/>
      </c>
      <c r="C2908" s="128"/>
      <c r="E2908" s="128" t="str">
        <f t="shared" si="1"/>
        <v/>
      </c>
    </row>
    <row r="2909">
      <c r="A2909" s="93" t="str">
        <f t="shared" si="2"/>
        <v>#16758</v>
      </c>
      <c r="B2909" s="93" t="str">
        <f>IF(COUNTIF(MAIN!B:B, A2909)=0, "Missing", "")</f>
        <v>Missing</v>
      </c>
      <c r="C2909" s="128"/>
      <c r="E2909" s="131" t="str">
        <f t="shared" si="1"/>
        <v>https://utrucking.myshopify.com/admin/orders?query=16758</v>
      </c>
    </row>
    <row r="2910">
      <c r="A2910" s="93" t="str">
        <f t="shared" si="2"/>
        <v>#16759</v>
      </c>
      <c r="B2910" s="93" t="str">
        <f>IF(COUNTIF(MAIN!B:B, A2910)=0, "Missing", "")</f>
        <v>Missing</v>
      </c>
      <c r="C2910" s="128"/>
      <c r="E2910" s="131" t="str">
        <f t="shared" si="1"/>
        <v>https://utrucking.myshopify.com/admin/orders?query=16759</v>
      </c>
    </row>
    <row r="2911">
      <c r="A2911" s="93" t="str">
        <f t="shared" si="2"/>
        <v>#16760</v>
      </c>
      <c r="B2911" s="93" t="str">
        <f>IF(COUNTIF(MAIN!B:B, A2911)=0, "Missing", "")</f>
        <v>Missing</v>
      </c>
      <c r="C2911" s="128"/>
      <c r="E2911" s="131" t="str">
        <f t="shared" si="1"/>
        <v>https://utrucking.myshopify.com/admin/orders?query=16760</v>
      </c>
    </row>
    <row r="2912">
      <c r="A2912" s="93" t="str">
        <f t="shared" si="2"/>
        <v>#16761</v>
      </c>
      <c r="B2912" s="93" t="str">
        <f>IF(COUNTIF(MAIN!B:B, A2912)=0, "Missing", "")</f>
        <v>Missing</v>
      </c>
      <c r="C2912" s="128"/>
      <c r="E2912" s="131" t="str">
        <f t="shared" si="1"/>
        <v>https://utrucking.myshopify.com/admin/orders?query=16761</v>
      </c>
    </row>
    <row r="2913">
      <c r="A2913" s="93" t="str">
        <f t="shared" si="2"/>
        <v>#16762</v>
      </c>
      <c r="B2913" s="93" t="str">
        <f>IF(COUNTIF(MAIN!B:B, A2913)=0, "Missing", "")</f>
        <v>Missing</v>
      </c>
      <c r="C2913" s="128"/>
      <c r="E2913" s="131" t="str">
        <f t="shared" si="1"/>
        <v>https://utrucking.myshopify.com/admin/orders?query=16762</v>
      </c>
    </row>
    <row r="2914">
      <c r="A2914" s="93" t="str">
        <f t="shared" si="2"/>
        <v>#16763</v>
      </c>
      <c r="B2914" s="93" t="str">
        <f>IF(COUNTIF(MAIN!B:B, A2914)=0, "Missing", "")</f>
        <v>Missing</v>
      </c>
      <c r="C2914" s="128"/>
      <c r="E2914" s="131" t="str">
        <f t="shared" si="1"/>
        <v>https://utrucking.myshopify.com/admin/orders?query=16763</v>
      </c>
    </row>
    <row r="2915">
      <c r="A2915" s="93" t="str">
        <f t="shared" si="2"/>
        <v>#16764</v>
      </c>
      <c r="B2915" s="93" t="str">
        <f>IF(COUNTIF(MAIN!B:B, A2915)=0, "Missing", "")</f>
        <v/>
      </c>
      <c r="C2915" s="128"/>
      <c r="E2915" s="128" t="str">
        <f t="shared" si="1"/>
        <v/>
      </c>
    </row>
    <row r="2916">
      <c r="A2916" s="93" t="str">
        <f t="shared" si="2"/>
        <v>#16765</v>
      </c>
      <c r="B2916" s="93" t="str">
        <f>IF(COUNTIF(MAIN!B:B, A2916)=0, "Missing", "")</f>
        <v/>
      </c>
      <c r="C2916" s="128"/>
      <c r="E2916" s="128" t="str">
        <f t="shared" si="1"/>
        <v/>
      </c>
    </row>
    <row r="2917">
      <c r="A2917" s="93" t="str">
        <f t="shared" si="2"/>
        <v>#16766</v>
      </c>
      <c r="B2917" s="93" t="str">
        <f>IF(COUNTIF(MAIN!B:B, A2917)=0, "Missing", "")</f>
        <v>Missing</v>
      </c>
      <c r="C2917" s="128"/>
      <c r="E2917" s="131" t="str">
        <f t="shared" si="1"/>
        <v>https://utrucking.myshopify.com/admin/orders?query=16766</v>
      </c>
    </row>
    <row r="2918">
      <c r="A2918" s="93" t="str">
        <f t="shared" si="2"/>
        <v>#16767</v>
      </c>
      <c r="B2918" s="93" t="str">
        <f>IF(COUNTIF(MAIN!B:B, A2918)=0, "Missing", "")</f>
        <v>Missing</v>
      </c>
      <c r="C2918" s="128"/>
      <c r="E2918" s="131" t="str">
        <f t="shared" si="1"/>
        <v>https://utrucking.myshopify.com/admin/orders?query=16767</v>
      </c>
    </row>
    <row r="2919">
      <c r="A2919" s="93" t="str">
        <f t="shared" si="2"/>
        <v>#16768</v>
      </c>
      <c r="B2919" s="93" t="str">
        <f>IF(COUNTIF(MAIN!B:B, A2919)=0, "Missing", "")</f>
        <v/>
      </c>
      <c r="C2919" s="128"/>
      <c r="E2919" s="128" t="str">
        <f t="shared" si="1"/>
        <v/>
      </c>
    </row>
    <row r="2920">
      <c r="A2920" s="93" t="str">
        <f t="shared" si="2"/>
        <v>#16769</v>
      </c>
      <c r="B2920" s="93" t="str">
        <f>IF(COUNTIF(MAIN!B:B, A2920)=0, "Missing", "")</f>
        <v/>
      </c>
      <c r="C2920" s="128"/>
      <c r="E2920" s="128" t="str">
        <f t="shared" si="1"/>
        <v/>
      </c>
    </row>
    <row r="2921">
      <c r="A2921" s="93" t="str">
        <f t="shared" si="2"/>
        <v>#16770</v>
      </c>
      <c r="B2921" s="93" t="str">
        <f>IF(COUNTIF(MAIN!B:B, A2921)=0, "Missing", "")</f>
        <v/>
      </c>
      <c r="C2921" s="128"/>
      <c r="E2921" s="128" t="str">
        <f t="shared" si="1"/>
        <v/>
      </c>
    </row>
    <row r="2922">
      <c r="A2922" s="93" t="str">
        <f t="shared" si="2"/>
        <v>#16771</v>
      </c>
      <c r="B2922" s="93" t="str">
        <f>IF(COUNTIF(MAIN!B:B, A2922)=0, "Missing", "")</f>
        <v/>
      </c>
      <c r="C2922" s="128"/>
      <c r="E2922" s="128" t="str">
        <f t="shared" si="1"/>
        <v/>
      </c>
    </row>
    <row r="2923">
      <c r="A2923" s="93" t="str">
        <f t="shared" si="2"/>
        <v>#16772</v>
      </c>
      <c r="B2923" s="93" t="str">
        <f>IF(COUNTIF(MAIN!B:B, A2923)=0, "Missing", "")</f>
        <v/>
      </c>
      <c r="C2923" s="128"/>
      <c r="E2923" s="128" t="str">
        <f t="shared" si="1"/>
        <v/>
      </c>
    </row>
    <row r="2924">
      <c r="A2924" s="93" t="str">
        <f t="shared" si="2"/>
        <v>#16773</v>
      </c>
      <c r="B2924" s="93" t="str">
        <f>IF(COUNTIF(MAIN!B:B, A2924)=0, "Missing", "")</f>
        <v/>
      </c>
      <c r="C2924" s="128"/>
      <c r="E2924" s="128" t="str">
        <f t="shared" si="1"/>
        <v/>
      </c>
    </row>
    <row r="2925">
      <c r="A2925" s="93" t="str">
        <f t="shared" si="2"/>
        <v>#16774</v>
      </c>
      <c r="B2925" s="93" t="str">
        <f>IF(COUNTIF(MAIN!B:B, A2925)=0, "Missing", "")</f>
        <v/>
      </c>
      <c r="C2925" s="128"/>
      <c r="E2925" s="128" t="str">
        <f t="shared" si="1"/>
        <v/>
      </c>
    </row>
    <row r="2926">
      <c r="A2926" s="93" t="str">
        <f t="shared" si="2"/>
        <v>#16775</v>
      </c>
      <c r="B2926" s="93" t="str">
        <f>IF(COUNTIF(MAIN!B:B, A2926)=0, "Missing", "")</f>
        <v/>
      </c>
      <c r="C2926" s="128"/>
      <c r="E2926" s="128" t="str">
        <f t="shared" si="1"/>
        <v/>
      </c>
    </row>
    <row r="2927">
      <c r="A2927" s="93" t="str">
        <f t="shared" si="2"/>
        <v>#16776</v>
      </c>
      <c r="B2927" s="93" t="str">
        <f>IF(COUNTIF(MAIN!B:B, A2927)=0, "Missing", "")</f>
        <v/>
      </c>
      <c r="C2927" s="128"/>
      <c r="E2927" s="128" t="str">
        <f t="shared" si="1"/>
        <v/>
      </c>
    </row>
    <row r="2928">
      <c r="A2928" s="93" t="str">
        <f t="shared" si="2"/>
        <v>#16777</v>
      </c>
      <c r="B2928" s="93" t="str">
        <f>IF(COUNTIF(MAIN!B:B, A2928)=0, "Missing", "")</f>
        <v/>
      </c>
      <c r="C2928" s="128"/>
      <c r="E2928" s="128" t="str">
        <f t="shared" si="1"/>
        <v/>
      </c>
    </row>
    <row r="2929">
      <c r="A2929" s="93" t="str">
        <f t="shared" si="2"/>
        <v>#16778</v>
      </c>
      <c r="B2929" s="93" t="str">
        <f>IF(COUNTIF(MAIN!B:B, A2929)=0, "Missing", "")</f>
        <v/>
      </c>
      <c r="C2929" s="128"/>
      <c r="E2929" s="128" t="str">
        <f t="shared" si="1"/>
        <v/>
      </c>
    </row>
    <row r="2930">
      <c r="A2930" s="93" t="str">
        <f t="shared" si="2"/>
        <v>#16779</v>
      </c>
      <c r="B2930" s="93" t="str">
        <f>IF(COUNTIF(MAIN!B:B, A2930)=0, "Missing", "")</f>
        <v/>
      </c>
      <c r="C2930" s="128"/>
      <c r="E2930" s="128" t="str">
        <f t="shared" si="1"/>
        <v/>
      </c>
    </row>
    <row r="2931">
      <c r="A2931" s="93" t="str">
        <f t="shared" si="2"/>
        <v>#16780</v>
      </c>
      <c r="B2931" s="93" t="str">
        <f>IF(COUNTIF(MAIN!B:B, A2931)=0, "Missing", "")</f>
        <v/>
      </c>
      <c r="C2931" s="128"/>
      <c r="E2931" s="128" t="str">
        <f t="shared" si="1"/>
        <v/>
      </c>
    </row>
    <row r="2932">
      <c r="A2932" s="93" t="str">
        <f t="shared" si="2"/>
        <v>#16781</v>
      </c>
      <c r="B2932" s="93" t="str">
        <f>IF(COUNTIF(MAIN!B:B, A2932)=0, "Missing", "")</f>
        <v/>
      </c>
      <c r="C2932" s="128"/>
      <c r="E2932" s="128" t="str">
        <f t="shared" si="1"/>
        <v/>
      </c>
    </row>
    <row r="2933">
      <c r="A2933" s="93" t="str">
        <f t="shared" si="2"/>
        <v>#16782</v>
      </c>
      <c r="B2933" s="93" t="str">
        <f>IF(COUNTIF(MAIN!B:B, A2933)=0, "Missing", "")</f>
        <v/>
      </c>
      <c r="C2933" s="128"/>
      <c r="E2933" s="128" t="str">
        <f t="shared" si="1"/>
        <v/>
      </c>
    </row>
    <row r="2934">
      <c r="A2934" s="93" t="str">
        <f t="shared" si="2"/>
        <v>#16783</v>
      </c>
      <c r="B2934" s="93" t="str">
        <f>IF(COUNTIF(MAIN!B:B, A2934)=0, "Missing", "")</f>
        <v/>
      </c>
      <c r="C2934" s="128"/>
      <c r="E2934" s="128" t="str">
        <f t="shared" si="1"/>
        <v/>
      </c>
    </row>
    <row r="2935">
      <c r="A2935" s="93" t="str">
        <f t="shared" si="2"/>
        <v>#16784</v>
      </c>
      <c r="B2935" s="93" t="str">
        <f>IF(COUNTIF(MAIN!B:B, A2935)=0, "Missing", "")</f>
        <v/>
      </c>
      <c r="C2935" s="128"/>
      <c r="E2935" s="128" t="str">
        <f t="shared" si="1"/>
        <v/>
      </c>
    </row>
    <row r="2936">
      <c r="A2936" s="93" t="str">
        <f t="shared" si="2"/>
        <v>#16785</v>
      </c>
      <c r="B2936" s="93" t="str">
        <f>IF(COUNTIF(MAIN!B:B, A2936)=0, "Missing", "")</f>
        <v/>
      </c>
      <c r="C2936" s="128"/>
      <c r="E2936" s="128" t="str">
        <f t="shared" si="1"/>
        <v/>
      </c>
    </row>
    <row r="2937">
      <c r="A2937" s="93" t="str">
        <f t="shared" si="2"/>
        <v>#16786</v>
      </c>
      <c r="B2937" s="93" t="str">
        <f>IF(COUNTIF(MAIN!B:B, A2937)=0, "Missing", "")</f>
        <v/>
      </c>
      <c r="C2937" s="128"/>
      <c r="E2937" s="128" t="str">
        <f t="shared" si="1"/>
        <v/>
      </c>
    </row>
    <row r="2938">
      <c r="A2938" s="93" t="str">
        <f t="shared" si="2"/>
        <v>#16787</v>
      </c>
      <c r="B2938" s="93" t="str">
        <f>IF(COUNTIF(MAIN!B:B, A2938)=0, "Missing", "")</f>
        <v/>
      </c>
      <c r="C2938" s="128"/>
      <c r="E2938" s="128" t="str">
        <f t="shared" si="1"/>
        <v/>
      </c>
    </row>
    <row r="2939">
      <c r="A2939" s="93" t="str">
        <f t="shared" si="2"/>
        <v>#16788</v>
      </c>
      <c r="B2939" s="93" t="str">
        <f>IF(COUNTIF(MAIN!B:B, A2939)=0, "Missing", "")</f>
        <v>Missing</v>
      </c>
      <c r="C2939" s="128"/>
      <c r="E2939" s="131" t="str">
        <f t="shared" si="1"/>
        <v>https://utrucking.myshopify.com/admin/orders?query=16788</v>
      </c>
    </row>
    <row r="2940">
      <c r="A2940" s="93" t="str">
        <f t="shared" si="2"/>
        <v>#16789</v>
      </c>
      <c r="B2940" s="93" t="str">
        <f>IF(COUNTIF(MAIN!B:B, A2940)=0, "Missing", "")</f>
        <v>Missing</v>
      </c>
      <c r="C2940" s="128"/>
      <c r="E2940" s="131" t="str">
        <f t="shared" si="1"/>
        <v>https://utrucking.myshopify.com/admin/orders?query=16789</v>
      </c>
    </row>
    <row r="2941">
      <c r="A2941" s="93" t="str">
        <f t="shared" si="2"/>
        <v>#16790</v>
      </c>
      <c r="B2941" s="93" t="str">
        <f>IF(COUNTIF(MAIN!B:B, A2941)=0, "Missing", "")</f>
        <v>Missing</v>
      </c>
      <c r="C2941" s="128"/>
      <c r="E2941" s="131" t="str">
        <f t="shared" si="1"/>
        <v>https://utrucking.myshopify.com/admin/orders?query=16790</v>
      </c>
    </row>
    <row r="2942">
      <c r="A2942" s="93" t="str">
        <f t="shared" si="2"/>
        <v>#16791</v>
      </c>
      <c r="B2942" s="93" t="str">
        <f>IF(COUNTIF(MAIN!B:B, A2942)=0, "Missing", "")</f>
        <v>Missing</v>
      </c>
      <c r="C2942" s="128"/>
      <c r="E2942" s="131" t="str">
        <f t="shared" si="1"/>
        <v>https://utrucking.myshopify.com/admin/orders?query=16791</v>
      </c>
    </row>
    <row r="2943">
      <c r="A2943" s="93" t="str">
        <f t="shared" si="2"/>
        <v>#16792</v>
      </c>
      <c r="B2943" s="93" t="str">
        <f>IF(COUNTIF(MAIN!B:B, A2943)=0, "Missing", "")</f>
        <v>Missing</v>
      </c>
      <c r="C2943" s="128"/>
      <c r="E2943" s="131" t="str">
        <f t="shared" si="1"/>
        <v>https://utrucking.myshopify.com/admin/orders?query=16792</v>
      </c>
    </row>
    <row r="2944">
      <c r="A2944" s="93" t="str">
        <f t="shared" si="2"/>
        <v>#16793</v>
      </c>
      <c r="B2944" s="93" t="str">
        <f>IF(COUNTIF(MAIN!B:B, A2944)=0, "Missing", "")</f>
        <v>Missing</v>
      </c>
      <c r="C2944" s="128"/>
      <c r="E2944" s="131" t="str">
        <f t="shared" si="1"/>
        <v>https://utrucking.myshopify.com/admin/orders?query=16793</v>
      </c>
    </row>
    <row r="2945">
      <c r="A2945" s="93" t="str">
        <f t="shared" si="2"/>
        <v>#16794</v>
      </c>
      <c r="B2945" s="93" t="str">
        <f>IF(COUNTIF(MAIN!B:B, A2945)=0, "Missing", "")</f>
        <v>Missing</v>
      </c>
      <c r="C2945" s="128"/>
      <c r="E2945" s="131" t="str">
        <f t="shared" si="1"/>
        <v>https://utrucking.myshopify.com/admin/orders?query=16794</v>
      </c>
    </row>
    <row r="2946">
      <c r="A2946" s="93" t="str">
        <f t="shared" si="2"/>
        <v>#16795</v>
      </c>
      <c r="B2946" s="93" t="str">
        <f>IF(COUNTIF(MAIN!B:B, A2946)=0, "Missing", "")</f>
        <v>Missing</v>
      </c>
      <c r="C2946" s="128"/>
      <c r="E2946" s="131" t="str">
        <f t="shared" si="1"/>
        <v>https://utrucking.myshopify.com/admin/orders?query=16795</v>
      </c>
    </row>
    <row r="2947">
      <c r="A2947" s="93" t="str">
        <f t="shared" si="2"/>
        <v>#16796</v>
      </c>
      <c r="B2947" s="93" t="str">
        <f>IF(COUNTIF(MAIN!B:B, A2947)=0, "Missing", "")</f>
        <v>Missing</v>
      </c>
      <c r="C2947" s="128"/>
      <c r="E2947" s="131" t="str">
        <f t="shared" si="1"/>
        <v>https://utrucking.myshopify.com/admin/orders?query=16796</v>
      </c>
    </row>
    <row r="2948">
      <c r="A2948" s="93" t="str">
        <f t="shared" si="2"/>
        <v>#16797</v>
      </c>
      <c r="B2948" s="93" t="str">
        <f>IF(COUNTIF(MAIN!B:B, A2948)=0, "Missing", "")</f>
        <v>Missing</v>
      </c>
      <c r="C2948" s="128"/>
      <c r="E2948" s="131" t="str">
        <f t="shared" si="1"/>
        <v>https://utrucking.myshopify.com/admin/orders?query=16797</v>
      </c>
    </row>
    <row r="2949">
      <c r="A2949" s="93" t="str">
        <f t="shared" si="2"/>
        <v>#16798</v>
      </c>
      <c r="B2949" s="93" t="str">
        <f>IF(COUNTIF(MAIN!B:B, A2949)=0, "Missing", "")</f>
        <v>Missing</v>
      </c>
      <c r="C2949" s="128"/>
      <c r="E2949" s="131" t="str">
        <f t="shared" si="1"/>
        <v>https://utrucking.myshopify.com/admin/orders?query=16798</v>
      </c>
    </row>
    <row r="2950">
      <c r="A2950" s="93" t="str">
        <f t="shared" si="2"/>
        <v>#16799</v>
      </c>
      <c r="B2950" s="93" t="str">
        <f>IF(COUNTIF(MAIN!B:B, A2950)=0, "Missing", "")</f>
        <v>Missing</v>
      </c>
      <c r="C2950" s="128"/>
      <c r="E2950" s="131" t="str">
        <f t="shared" si="1"/>
        <v>https://utrucking.myshopify.com/admin/orders?query=16799</v>
      </c>
    </row>
    <row r="2951">
      <c r="A2951" s="93" t="str">
        <f t="shared" si="2"/>
        <v>#16800</v>
      </c>
      <c r="B2951" s="93" t="str">
        <f>IF(COUNTIF(MAIN!B:B, A2951)=0, "Missing", "")</f>
        <v>Missing</v>
      </c>
      <c r="C2951" s="128"/>
      <c r="E2951" s="131" t="str">
        <f t="shared" si="1"/>
        <v>https://utrucking.myshopify.com/admin/orders?query=16800</v>
      </c>
    </row>
    <row r="2952">
      <c r="A2952" s="93" t="str">
        <f t="shared" si="2"/>
        <v>#16801</v>
      </c>
      <c r="B2952" s="93" t="str">
        <f>IF(COUNTIF(MAIN!B:B, A2952)=0, "Missing", "")</f>
        <v>Missing</v>
      </c>
      <c r="C2952" s="128"/>
      <c r="E2952" s="131" t="str">
        <f t="shared" si="1"/>
        <v>https://utrucking.myshopify.com/admin/orders?query=16801</v>
      </c>
    </row>
    <row r="2953">
      <c r="A2953" s="93" t="str">
        <f t="shared" si="2"/>
        <v>#16802</v>
      </c>
      <c r="B2953" s="93" t="str">
        <f>IF(COUNTIF(MAIN!B:B, A2953)=0, "Missing", "")</f>
        <v>Missing</v>
      </c>
      <c r="C2953" s="128"/>
      <c r="E2953" s="131" t="str">
        <f t="shared" si="1"/>
        <v>https://utrucking.myshopify.com/admin/orders?query=16802</v>
      </c>
    </row>
    <row r="2954">
      <c r="A2954" s="93" t="str">
        <f t="shared" si="2"/>
        <v>#16803</v>
      </c>
      <c r="B2954" s="93" t="str">
        <f>IF(COUNTIF(MAIN!B:B, A2954)=0, "Missing", "")</f>
        <v>Missing</v>
      </c>
      <c r="C2954" s="128"/>
      <c r="E2954" s="131" t="str">
        <f t="shared" si="1"/>
        <v>https://utrucking.myshopify.com/admin/orders?query=16803</v>
      </c>
    </row>
    <row r="2955">
      <c r="A2955" s="93" t="str">
        <f t="shared" si="2"/>
        <v>#16804</v>
      </c>
      <c r="B2955" s="93" t="str">
        <f>IF(COUNTIF(MAIN!B:B, A2955)=0, "Missing", "")</f>
        <v>Missing</v>
      </c>
      <c r="C2955" s="128"/>
      <c r="E2955" s="131" t="str">
        <f t="shared" si="1"/>
        <v>https://utrucking.myshopify.com/admin/orders?query=16804</v>
      </c>
    </row>
    <row r="2956">
      <c r="A2956" s="93" t="str">
        <f t="shared" si="2"/>
        <v>#16805</v>
      </c>
      <c r="B2956" s="93" t="str">
        <f>IF(COUNTIF(MAIN!B:B, A2956)=0, "Missing", "")</f>
        <v>Missing</v>
      </c>
      <c r="C2956" s="128"/>
      <c r="E2956" s="131" t="str">
        <f t="shared" si="1"/>
        <v>https://utrucking.myshopify.com/admin/orders?query=16805</v>
      </c>
    </row>
    <row r="2957">
      <c r="A2957" s="93" t="str">
        <f t="shared" si="2"/>
        <v>#16806</v>
      </c>
      <c r="B2957" s="93" t="str">
        <f>IF(COUNTIF(MAIN!B:B, A2957)=0, "Missing", "")</f>
        <v>Missing</v>
      </c>
      <c r="C2957" s="128"/>
      <c r="E2957" s="131" t="str">
        <f t="shared" si="1"/>
        <v>https://utrucking.myshopify.com/admin/orders?query=16806</v>
      </c>
    </row>
    <row r="2958">
      <c r="A2958" s="93" t="str">
        <f t="shared" si="2"/>
        <v>#16807</v>
      </c>
      <c r="B2958" s="93" t="str">
        <f>IF(COUNTIF(MAIN!B:B, A2958)=0, "Missing", "")</f>
        <v/>
      </c>
      <c r="C2958" s="128"/>
      <c r="E2958" s="128" t="str">
        <f t="shared" si="1"/>
        <v/>
      </c>
    </row>
    <row r="2959">
      <c r="A2959" s="93" t="str">
        <f t="shared" si="2"/>
        <v>#16808</v>
      </c>
      <c r="B2959" s="93" t="str">
        <f>IF(COUNTIF(MAIN!B:B, A2959)=0, "Missing", "")</f>
        <v/>
      </c>
      <c r="C2959" s="128"/>
      <c r="E2959" s="128" t="str">
        <f t="shared" si="1"/>
        <v/>
      </c>
    </row>
    <row r="2960">
      <c r="A2960" s="93" t="str">
        <f t="shared" si="2"/>
        <v>#16809</v>
      </c>
      <c r="B2960" s="93" t="str">
        <f>IF(COUNTIF(MAIN!B:B, A2960)=0, "Missing", "")</f>
        <v/>
      </c>
      <c r="C2960" s="128"/>
      <c r="E2960" s="128" t="str">
        <f t="shared" si="1"/>
        <v/>
      </c>
    </row>
    <row r="2961">
      <c r="A2961" s="93" t="str">
        <f t="shared" si="2"/>
        <v>#16810</v>
      </c>
      <c r="B2961" s="93" t="str">
        <f>IF(COUNTIF(MAIN!B:B, A2961)=0, "Missing", "")</f>
        <v/>
      </c>
      <c r="C2961" s="128"/>
      <c r="E2961" s="128" t="str">
        <f t="shared" si="1"/>
        <v/>
      </c>
    </row>
    <row r="2962">
      <c r="A2962" s="93" t="str">
        <f t="shared" si="2"/>
        <v>#16811</v>
      </c>
      <c r="B2962" s="93" t="str">
        <f>IF(COUNTIF(MAIN!B:B, A2962)=0, "Missing", "")</f>
        <v/>
      </c>
      <c r="C2962" s="128"/>
      <c r="E2962" s="128" t="str">
        <f t="shared" si="1"/>
        <v/>
      </c>
    </row>
    <row r="2963">
      <c r="A2963" s="93" t="str">
        <f t="shared" si="2"/>
        <v>#16812</v>
      </c>
      <c r="B2963" s="93" t="str">
        <f>IF(COUNTIF(MAIN!B:B, A2963)=0, "Missing", "")</f>
        <v/>
      </c>
      <c r="C2963" s="128"/>
      <c r="E2963" s="128" t="str">
        <f t="shared" si="1"/>
        <v/>
      </c>
    </row>
    <row r="2964">
      <c r="A2964" s="93" t="str">
        <f t="shared" si="2"/>
        <v>#16813</v>
      </c>
      <c r="B2964" s="93" t="str">
        <f>IF(COUNTIF(MAIN!B:B, A2964)=0, "Missing", "")</f>
        <v/>
      </c>
      <c r="C2964" s="128"/>
      <c r="E2964" s="128" t="str">
        <f t="shared" si="1"/>
        <v/>
      </c>
    </row>
    <row r="2965">
      <c r="A2965" s="93" t="str">
        <f t="shared" si="2"/>
        <v>#16814</v>
      </c>
      <c r="B2965" s="93" t="str">
        <f>IF(COUNTIF(MAIN!B:B, A2965)=0, "Missing", "")</f>
        <v/>
      </c>
      <c r="C2965" s="128"/>
      <c r="E2965" s="128" t="str">
        <f t="shared" si="1"/>
        <v/>
      </c>
    </row>
    <row r="2966">
      <c r="A2966" s="93" t="str">
        <f t="shared" si="2"/>
        <v>#16815</v>
      </c>
      <c r="B2966" s="93" t="str">
        <f>IF(COUNTIF(MAIN!B:B, A2966)=0, "Missing", "")</f>
        <v/>
      </c>
      <c r="C2966" s="128"/>
      <c r="E2966" s="128" t="str">
        <f t="shared" si="1"/>
        <v/>
      </c>
    </row>
    <row r="2967">
      <c r="A2967" s="93" t="str">
        <f t="shared" si="2"/>
        <v>#16816</v>
      </c>
      <c r="B2967" s="93" t="str">
        <f>IF(COUNTIF(MAIN!B:B, A2967)=0, "Missing", "")</f>
        <v/>
      </c>
      <c r="C2967" s="128"/>
      <c r="E2967" s="128" t="str">
        <f t="shared" si="1"/>
        <v/>
      </c>
    </row>
    <row r="2968">
      <c r="A2968" s="93" t="str">
        <f t="shared" si="2"/>
        <v>#16817</v>
      </c>
      <c r="B2968" s="93" t="str">
        <f>IF(COUNTIF(MAIN!B:B, A2968)=0, "Missing", "")</f>
        <v/>
      </c>
      <c r="C2968" s="128"/>
      <c r="E2968" s="128" t="str">
        <f t="shared" si="1"/>
        <v/>
      </c>
    </row>
    <row r="2969">
      <c r="A2969" s="93" t="str">
        <f t="shared" si="2"/>
        <v>#16818</v>
      </c>
      <c r="B2969" s="93" t="str">
        <f>IF(COUNTIF(MAIN!B:B, A2969)=0, "Missing", "")</f>
        <v/>
      </c>
      <c r="C2969" s="128"/>
      <c r="E2969" s="128" t="str">
        <f t="shared" si="1"/>
        <v/>
      </c>
    </row>
    <row r="2970">
      <c r="A2970" s="93" t="str">
        <f t="shared" si="2"/>
        <v>#16819</v>
      </c>
      <c r="B2970" s="93" t="str">
        <f>IF(COUNTIF(MAIN!B:B, A2970)=0, "Missing", "")</f>
        <v/>
      </c>
      <c r="C2970" s="128"/>
      <c r="E2970" s="128" t="str">
        <f t="shared" si="1"/>
        <v/>
      </c>
    </row>
    <row r="2971">
      <c r="A2971" s="93" t="str">
        <f t="shared" si="2"/>
        <v>#16820</v>
      </c>
      <c r="B2971" s="93" t="str">
        <f>IF(COUNTIF(MAIN!B:B, A2971)=0, "Missing", "")</f>
        <v/>
      </c>
      <c r="C2971" s="128"/>
      <c r="E2971" s="128" t="str">
        <f t="shared" si="1"/>
        <v/>
      </c>
    </row>
    <row r="2972">
      <c r="A2972" s="93" t="str">
        <f t="shared" si="2"/>
        <v>#16821</v>
      </c>
      <c r="B2972" s="93" t="str">
        <f>IF(COUNTIF(MAIN!B:B, A2972)=0, "Missing", "")</f>
        <v/>
      </c>
      <c r="C2972" s="128"/>
      <c r="E2972" s="128" t="str">
        <f t="shared" si="1"/>
        <v/>
      </c>
    </row>
    <row r="2973">
      <c r="A2973" s="93" t="str">
        <f t="shared" si="2"/>
        <v>#16822</v>
      </c>
      <c r="B2973" s="93" t="str">
        <f>IF(COUNTIF(MAIN!B:B, A2973)=0, "Missing", "")</f>
        <v/>
      </c>
      <c r="C2973" s="128"/>
      <c r="E2973" s="128" t="str">
        <f t="shared" si="1"/>
        <v/>
      </c>
    </row>
    <row r="2974">
      <c r="A2974" s="93" t="str">
        <f t="shared" si="2"/>
        <v>#16823</v>
      </c>
      <c r="B2974" s="93" t="str">
        <f>IF(COUNTIF(MAIN!B:B, A2974)=0, "Missing", "")</f>
        <v/>
      </c>
      <c r="C2974" s="128"/>
      <c r="E2974" s="128" t="str">
        <f t="shared" si="1"/>
        <v/>
      </c>
    </row>
    <row r="2975">
      <c r="A2975" s="93" t="str">
        <f t="shared" si="2"/>
        <v>#16824</v>
      </c>
      <c r="B2975" s="93" t="str">
        <f>IF(COUNTIF(MAIN!B:B, A2975)=0, "Missing", "")</f>
        <v/>
      </c>
      <c r="C2975" s="128"/>
      <c r="E2975" s="128" t="str">
        <f t="shared" si="1"/>
        <v/>
      </c>
    </row>
    <row r="2976">
      <c r="A2976" s="93" t="str">
        <f t="shared" si="2"/>
        <v>#16825</v>
      </c>
      <c r="B2976" s="93" t="str">
        <f>IF(COUNTIF(MAIN!B:B, A2976)=0, "Missing", "")</f>
        <v/>
      </c>
      <c r="C2976" s="128"/>
      <c r="E2976" s="128" t="str">
        <f t="shared" si="1"/>
        <v/>
      </c>
    </row>
    <row r="2977">
      <c r="A2977" s="93" t="str">
        <f t="shared" si="2"/>
        <v>#16826</v>
      </c>
      <c r="B2977" s="93" t="str">
        <f>IF(COUNTIF(MAIN!B:B, A2977)=0, "Missing", "")</f>
        <v/>
      </c>
      <c r="C2977" s="128"/>
      <c r="E2977" s="128" t="str">
        <f t="shared" si="1"/>
        <v/>
      </c>
    </row>
    <row r="2978">
      <c r="A2978" s="93" t="str">
        <f t="shared" si="2"/>
        <v>#16827</v>
      </c>
      <c r="B2978" s="93" t="str">
        <f>IF(COUNTIF(MAIN!B:B, A2978)=0, "Missing", "")</f>
        <v/>
      </c>
      <c r="C2978" s="128"/>
      <c r="E2978" s="128" t="str">
        <f t="shared" si="1"/>
        <v/>
      </c>
    </row>
    <row r="2979">
      <c r="A2979" s="93" t="str">
        <f t="shared" si="2"/>
        <v>#16828</v>
      </c>
      <c r="B2979" s="93" t="str">
        <f>IF(COUNTIF(MAIN!B:B, A2979)=0, "Missing", "")</f>
        <v/>
      </c>
      <c r="C2979" s="128"/>
      <c r="E2979" s="128" t="str">
        <f t="shared" si="1"/>
        <v/>
      </c>
    </row>
    <row r="2980">
      <c r="A2980" s="93" t="str">
        <f t="shared" si="2"/>
        <v>#16829</v>
      </c>
      <c r="B2980" s="93" t="str">
        <f>IF(COUNTIF(MAIN!B:B, A2980)=0, "Missing", "")</f>
        <v/>
      </c>
      <c r="C2980" s="128"/>
      <c r="E2980" s="128" t="str">
        <f t="shared" si="1"/>
        <v/>
      </c>
    </row>
    <row r="2981">
      <c r="A2981" s="93" t="str">
        <f t="shared" si="2"/>
        <v>#16830</v>
      </c>
      <c r="B2981" s="93" t="str">
        <f>IF(COUNTIF(MAIN!B:B, A2981)=0, "Missing", "")</f>
        <v/>
      </c>
      <c r="C2981" s="128"/>
      <c r="E2981" s="128" t="str">
        <f t="shared" si="1"/>
        <v/>
      </c>
    </row>
    <row r="2982">
      <c r="A2982" s="93" t="str">
        <f t="shared" si="2"/>
        <v>#16831</v>
      </c>
      <c r="B2982" s="93" t="str">
        <f>IF(COUNTIF(MAIN!B:B, A2982)=0, "Missing", "")</f>
        <v/>
      </c>
      <c r="C2982" s="128"/>
      <c r="E2982" s="128" t="str">
        <f t="shared" si="1"/>
        <v/>
      </c>
    </row>
    <row r="2983">
      <c r="A2983" s="93" t="str">
        <f t="shared" si="2"/>
        <v>#16832</v>
      </c>
      <c r="B2983" s="93" t="str">
        <f>IF(COUNTIF(MAIN!B:B, A2983)=0, "Missing", "")</f>
        <v/>
      </c>
      <c r="C2983" s="128"/>
      <c r="E2983" s="128" t="str">
        <f t="shared" si="1"/>
        <v/>
      </c>
    </row>
    <row r="2984">
      <c r="A2984" s="93" t="str">
        <f t="shared" si="2"/>
        <v>#16833</v>
      </c>
      <c r="B2984" s="93" t="str">
        <f>IF(COUNTIF(MAIN!B:B, A2984)=0, "Missing", "")</f>
        <v>Missing</v>
      </c>
      <c r="C2984" s="128"/>
      <c r="E2984" s="131" t="str">
        <f t="shared" si="1"/>
        <v>https://utrucking.myshopify.com/admin/orders?query=16833</v>
      </c>
    </row>
    <row r="2985">
      <c r="A2985" s="93" t="str">
        <f t="shared" si="2"/>
        <v>#16834</v>
      </c>
      <c r="B2985" s="93" t="str">
        <f>IF(COUNTIF(MAIN!B:B, A2985)=0, "Missing", "")</f>
        <v/>
      </c>
      <c r="C2985" s="128"/>
      <c r="E2985" s="128" t="str">
        <f t="shared" si="1"/>
        <v/>
      </c>
    </row>
    <row r="2986">
      <c r="A2986" s="93" t="str">
        <f t="shared" si="2"/>
        <v>#16835</v>
      </c>
      <c r="B2986" s="93" t="str">
        <f>IF(COUNTIF(MAIN!B:B, A2986)=0, "Missing", "")</f>
        <v/>
      </c>
      <c r="C2986" s="128"/>
      <c r="E2986" s="128" t="str">
        <f t="shared" si="1"/>
        <v/>
      </c>
    </row>
    <row r="2987">
      <c r="A2987" s="93" t="str">
        <f t="shared" si="2"/>
        <v>#16836</v>
      </c>
      <c r="B2987" s="93" t="str">
        <f>IF(COUNTIF(MAIN!B:B, A2987)=0, "Missing", "")</f>
        <v/>
      </c>
      <c r="C2987" s="128"/>
      <c r="E2987" s="128" t="str">
        <f t="shared" si="1"/>
        <v/>
      </c>
    </row>
    <row r="2988">
      <c r="A2988" s="93" t="str">
        <f t="shared" si="2"/>
        <v>#16837</v>
      </c>
      <c r="B2988" s="93" t="str">
        <f>IF(COUNTIF(MAIN!B:B, A2988)=0, "Missing", "")</f>
        <v>Missing</v>
      </c>
      <c r="C2988" s="128"/>
      <c r="E2988" s="131" t="str">
        <f t="shared" si="1"/>
        <v>https://utrucking.myshopify.com/admin/orders?query=16837</v>
      </c>
    </row>
    <row r="2989">
      <c r="A2989" s="93" t="str">
        <f t="shared" si="2"/>
        <v>#16838</v>
      </c>
      <c r="B2989" s="93" t="str">
        <f>IF(COUNTIF(MAIN!B:B, A2989)=0, "Missing", "")</f>
        <v/>
      </c>
      <c r="C2989" s="128"/>
      <c r="E2989" s="128" t="str">
        <f t="shared" si="1"/>
        <v/>
      </c>
    </row>
    <row r="2990">
      <c r="A2990" s="93" t="str">
        <f t="shared" si="2"/>
        <v>#16839</v>
      </c>
      <c r="B2990" s="93" t="str">
        <f>IF(COUNTIF(MAIN!B:B, A2990)=0, "Missing", "")</f>
        <v>Missing</v>
      </c>
      <c r="C2990" s="128"/>
      <c r="E2990" s="131" t="str">
        <f t="shared" si="1"/>
        <v>https://utrucking.myshopify.com/admin/orders?query=16839</v>
      </c>
    </row>
    <row r="2991">
      <c r="A2991" s="93" t="str">
        <f t="shared" si="2"/>
        <v>#16840</v>
      </c>
      <c r="B2991" s="93" t="str">
        <f>IF(COUNTIF(MAIN!B:B, A2991)=0, "Missing", "")</f>
        <v>Missing</v>
      </c>
      <c r="C2991" s="128"/>
      <c r="E2991" s="131" t="str">
        <f t="shared" si="1"/>
        <v>https://utrucking.myshopify.com/admin/orders?query=16840</v>
      </c>
    </row>
    <row r="2992">
      <c r="A2992" s="93" t="str">
        <f t="shared" si="2"/>
        <v>#16841</v>
      </c>
      <c r="B2992" s="93" t="str">
        <f>IF(COUNTIF(MAIN!B:B, A2992)=0, "Missing", "")</f>
        <v/>
      </c>
      <c r="C2992" s="128"/>
      <c r="E2992" s="128" t="str">
        <f t="shared" si="1"/>
        <v/>
      </c>
    </row>
    <row r="2993">
      <c r="A2993" s="93" t="str">
        <f t="shared" si="2"/>
        <v>#16842</v>
      </c>
      <c r="B2993" s="93" t="str">
        <f>IF(COUNTIF(MAIN!B:B, A2993)=0, "Missing", "")</f>
        <v/>
      </c>
      <c r="C2993" s="128"/>
      <c r="E2993" s="128" t="str">
        <f t="shared" si="1"/>
        <v/>
      </c>
    </row>
    <row r="2994">
      <c r="A2994" s="93" t="str">
        <f t="shared" si="2"/>
        <v>#16843</v>
      </c>
      <c r="B2994" s="93" t="str">
        <f>IF(COUNTIF(MAIN!B:B, A2994)=0, "Missing", "")</f>
        <v>Missing</v>
      </c>
      <c r="C2994" s="128"/>
      <c r="E2994" s="131" t="str">
        <f t="shared" si="1"/>
        <v>https://utrucking.myshopify.com/admin/orders?query=16843</v>
      </c>
    </row>
    <row r="2995">
      <c r="A2995" s="93" t="str">
        <f t="shared" si="2"/>
        <v>#16844</v>
      </c>
      <c r="B2995" s="93" t="str">
        <f>IF(COUNTIF(MAIN!B:B, A2995)=0, "Missing", "")</f>
        <v>Missing</v>
      </c>
      <c r="C2995" s="128"/>
      <c r="E2995" s="131" t="str">
        <f t="shared" si="1"/>
        <v>https://utrucking.myshopify.com/admin/orders?query=16844</v>
      </c>
    </row>
    <row r="2996">
      <c r="A2996" s="93" t="str">
        <f t="shared" si="2"/>
        <v>#16845</v>
      </c>
      <c r="B2996" s="93" t="str">
        <f>IF(COUNTIF(MAIN!B:B, A2996)=0, "Missing", "")</f>
        <v>Missing</v>
      </c>
      <c r="C2996" s="128"/>
      <c r="E2996" s="131" t="str">
        <f t="shared" si="1"/>
        <v>https://utrucking.myshopify.com/admin/orders?query=16845</v>
      </c>
    </row>
    <row r="2997">
      <c r="A2997" s="93" t="str">
        <f t="shared" si="2"/>
        <v>#16846</v>
      </c>
      <c r="B2997" s="93" t="str">
        <f>IF(COUNTIF(MAIN!B:B, A2997)=0, "Missing", "")</f>
        <v>Missing</v>
      </c>
      <c r="C2997" s="128"/>
      <c r="E2997" s="131" t="str">
        <f t="shared" si="1"/>
        <v>https://utrucking.myshopify.com/admin/orders?query=16846</v>
      </c>
    </row>
    <row r="2998">
      <c r="A2998" s="93" t="str">
        <f t="shared" si="2"/>
        <v>#16847</v>
      </c>
      <c r="B2998" s="93" t="str">
        <f>IF(COUNTIF(MAIN!B:B, A2998)=0, "Missing", "")</f>
        <v>Missing</v>
      </c>
      <c r="C2998" s="128"/>
      <c r="E2998" s="131" t="str">
        <f t="shared" si="1"/>
        <v>https://utrucking.myshopify.com/admin/orders?query=16847</v>
      </c>
    </row>
    <row r="2999">
      <c r="A2999" s="93" t="str">
        <f t="shared" si="2"/>
        <v>#16848</v>
      </c>
      <c r="B2999" s="93" t="str">
        <f>IF(COUNTIF(MAIN!B:B, A2999)=0, "Missing", "")</f>
        <v>Missing</v>
      </c>
      <c r="C2999" s="128"/>
      <c r="E2999" s="131" t="str">
        <f t="shared" si="1"/>
        <v>https://utrucking.myshopify.com/admin/orders?query=16848</v>
      </c>
    </row>
    <row r="3000">
      <c r="A3000" s="93" t="str">
        <f t="shared" si="2"/>
        <v>#16849</v>
      </c>
      <c r="B3000" s="93" t="str">
        <f>IF(COUNTIF(MAIN!B:B, A3000)=0, "Missing", "")</f>
        <v>Missing</v>
      </c>
      <c r="C3000" s="128"/>
      <c r="E3000" s="131" t="str">
        <f t="shared" si="1"/>
        <v>https://utrucking.myshopify.com/admin/orders?query=16849</v>
      </c>
    </row>
    <row r="3001">
      <c r="A3001" s="93" t="str">
        <f t="shared" si="2"/>
        <v>#16850</v>
      </c>
      <c r="B3001" s="93" t="str">
        <f>IF(COUNTIF(MAIN!B:B, A3001)=0, "Missing", "")</f>
        <v>Missing</v>
      </c>
      <c r="C3001" s="128"/>
      <c r="E3001" s="131" t="str">
        <f t="shared" si="1"/>
        <v>https://utrucking.myshopify.com/admin/orders?query=16850</v>
      </c>
    </row>
    <row r="3002">
      <c r="A3002" s="93" t="str">
        <f t="shared" si="2"/>
        <v>#16851</v>
      </c>
      <c r="B3002" s="93" t="str">
        <f>IF(COUNTIF(MAIN!B:B, A3002)=0, "Missing", "")</f>
        <v>Missing</v>
      </c>
      <c r="C3002" s="128"/>
      <c r="E3002" s="131" t="str">
        <f t="shared" si="1"/>
        <v>https://utrucking.myshopify.com/admin/orders?query=16851</v>
      </c>
    </row>
    <row r="3003">
      <c r="A3003" s="93" t="str">
        <f t="shared" si="2"/>
        <v>#16852</v>
      </c>
      <c r="B3003" s="93" t="str">
        <f>IF(COUNTIF(MAIN!B:B, A3003)=0, "Missing", "")</f>
        <v>Missing</v>
      </c>
      <c r="C3003" s="128"/>
      <c r="E3003" s="131" t="str">
        <f t="shared" si="1"/>
        <v>https://utrucking.myshopify.com/admin/orders?query=16852</v>
      </c>
    </row>
    <row r="3004">
      <c r="A3004" s="93" t="str">
        <f t="shared" si="2"/>
        <v>#16853</v>
      </c>
      <c r="B3004" s="93" t="str">
        <f>IF(COUNTIF(MAIN!B:B, A3004)=0, "Missing", "")</f>
        <v>Missing</v>
      </c>
      <c r="C3004" s="128"/>
      <c r="E3004" s="131" t="str">
        <f t="shared" si="1"/>
        <v>https://utrucking.myshopify.com/admin/orders?query=16853</v>
      </c>
    </row>
    <row r="3005">
      <c r="A3005" s="93" t="str">
        <f t="shared" si="2"/>
        <v>#16854</v>
      </c>
      <c r="B3005" s="93" t="str">
        <f>IF(COUNTIF(MAIN!B:B, A3005)=0, "Missing", "")</f>
        <v>Missing</v>
      </c>
      <c r="C3005" s="128"/>
      <c r="E3005" s="131" t="str">
        <f t="shared" si="1"/>
        <v>https://utrucking.myshopify.com/admin/orders?query=16854</v>
      </c>
    </row>
    <row r="3006">
      <c r="A3006" s="93" t="str">
        <f t="shared" si="2"/>
        <v>#16855</v>
      </c>
      <c r="B3006" s="93" t="str">
        <f>IF(COUNTIF(MAIN!B:B, A3006)=0, "Missing", "")</f>
        <v>Missing</v>
      </c>
      <c r="C3006" s="128"/>
      <c r="E3006" s="131" t="str">
        <f t="shared" si="1"/>
        <v>https://utrucking.myshopify.com/admin/orders?query=16855</v>
      </c>
    </row>
    <row r="3007">
      <c r="A3007" s="93" t="str">
        <f t="shared" si="2"/>
        <v>#16856</v>
      </c>
      <c r="B3007" s="93" t="str">
        <f>IF(COUNTIF(MAIN!B:B, A3007)=0, "Missing", "")</f>
        <v>Missing</v>
      </c>
      <c r="C3007" s="128"/>
      <c r="E3007" s="131" t="str">
        <f t="shared" si="1"/>
        <v>https://utrucking.myshopify.com/admin/orders?query=16856</v>
      </c>
    </row>
    <row r="3008">
      <c r="A3008" s="93" t="str">
        <f t="shared" si="2"/>
        <v>#16857</v>
      </c>
      <c r="B3008" s="93" t="str">
        <f>IF(COUNTIF(MAIN!B:B, A3008)=0, "Missing", "")</f>
        <v>Missing</v>
      </c>
      <c r="C3008" s="128"/>
      <c r="E3008" s="131" t="str">
        <f t="shared" si="1"/>
        <v>https://utrucking.myshopify.com/admin/orders?query=16857</v>
      </c>
    </row>
    <row r="3009">
      <c r="A3009" s="93" t="str">
        <f t="shared" si="2"/>
        <v>#16858</v>
      </c>
      <c r="B3009" s="93" t="str">
        <f>IF(COUNTIF(MAIN!B:B, A3009)=0, "Missing", "")</f>
        <v>Missing</v>
      </c>
      <c r="C3009" s="128"/>
      <c r="E3009" s="131" t="str">
        <f t="shared" si="1"/>
        <v>https://utrucking.myshopify.com/admin/orders?query=16858</v>
      </c>
    </row>
    <row r="3010">
      <c r="A3010" s="93" t="str">
        <f t="shared" si="2"/>
        <v>#16859</v>
      </c>
      <c r="B3010" s="93" t="str">
        <f>IF(COUNTIF(MAIN!B:B, A3010)=0, "Missing", "")</f>
        <v>Missing</v>
      </c>
      <c r="C3010" s="128"/>
      <c r="E3010" s="131" t="str">
        <f t="shared" si="1"/>
        <v>https://utrucking.myshopify.com/admin/orders?query=16859</v>
      </c>
    </row>
    <row r="3011">
      <c r="A3011" s="93" t="str">
        <f t="shared" si="2"/>
        <v>#16860</v>
      </c>
      <c r="B3011" s="93" t="str">
        <f>IF(COUNTIF(MAIN!B:B, A3011)=0, "Missing", "")</f>
        <v>Missing</v>
      </c>
      <c r="C3011" s="128"/>
      <c r="E3011" s="131" t="str">
        <f t="shared" si="1"/>
        <v>https://utrucking.myshopify.com/admin/orders?query=16860</v>
      </c>
    </row>
    <row r="3012">
      <c r="A3012" s="93" t="str">
        <f t="shared" si="2"/>
        <v>#16861</v>
      </c>
      <c r="B3012" s="93" t="str">
        <f>IF(COUNTIF(MAIN!B:B, A3012)=0, "Missing", "")</f>
        <v>Missing</v>
      </c>
      <c r="C3012" s="128"/>
      <c r="E3012" s="131" t="str">
        <f t="shared" si="1"/>
        <v>https://utrucking.myshopify.com/admin/orders?query=16861</v>
      </c>
    </row>
    <row r="3013">
      <c r="A3013" s="93" t="str">
        <f t="shared" si="2"/>
        <v>#16862</v>
      </c>
      <c r="B3013" s="93" t="str">
        <f>IF(COUNTIF(MAIN!B:B, A3013)=0, "Missing", "")</f>
        <v>Missing</v>
      </c>
      <c r="C3013" s="128"/>
      <c r="E3013" s="131" t="str">
        <f t="shared" si="1"/>
        <v>https://utrucking.myshopify.com/admin/orders?query=16862</v>
      </c>
    </row>
    <row r="3014">
      <c r="A3014" s="93" t="str">
        <f t="shared" si="2"/>
        <v>#16863</v>
      </c>
      <c r="B3014" s="93" t="str">
        <f>IF(COUNTIF(MAIN!B:B, A3014)=0, "Missing", "")</f>
        <v>Missing</v>
      </c>
      <c r="C3014" s="128"/>
      <c r="E3014" s="131" t="str">
        <f t="shared" si="1"/>
        <v>https://utrucking.myshopify.com/admin/orders?query=16863</v>
      </c>
    </row>
    <row r="3015">
      <c r="A3015" s="93" t="str">
        <f t="shared" si="2"/>
        <v>#16864</v>
      </c>
      <c r="B3015" s="93" t="str">
        <f>IF(COUNTIF(MAIN!B:B, A3015)=0, "Missing", "")</f>
        <v>Missing</v>
      </c>
      <c r="C3015" s="128"/>
      <c r="E3015" s="131" t="str">
        <f t="shared" si="1"/>
        <v>https://utrucking.myshopify.com/admin/orders?query=16864</v>
      </c>
    </row>
    <row r="3016">
      <c r="A3016" s="93" t="str">
        <f t="shared" si="2"/>
        <v>#16865</v>
      </c>
      <c r="B3016" s="93" t="str">
        <f>IF(COUNTIF(MAIN!B:B, A3016)=0, "Missing", "")</f>
        <v>Missing</v>
      </c>
      <c r="C3016" s="128"/>
      <c r="E3016" s="131" t="str">
        <f t="shared" si="1"/>
        <v>https://utrucking.myshopify.com/admin/orders?query=16865</v>
      </c>
    </row>
    <row r="3017">
      <c r="A3017" s="93" t="str">
        <f t="shared" si="2"/>
        <v>#16866</v>
      </c>
      <c r="B3017" s="93" t="str">
        <f>IF(COUNTIF(MAIN!B:B, A3017)=0, "Missing", "")</f>
        <v>Missing</v>
      </c>
      <c r="C3017" s="128"/>
      <c r="E3017" s="131" t="str">
        <f t="shared" si="1"/>
        <v>https://utrucking.myshopify.com/admin/orders?query=16866</v>
      </c>
    </row>
    <row r="3018">
      <c r="A3018" s="93" t="str">
        <f t="shared" si="2"/>
        <v>#16867</v>
      </c>
      <c r="B3018" s="93" t="str">
        <f>IF(COUNTIF(MAIN!B:B, A3018)=0, "Missing", "")</f>
        <v>Missing</v>
      </c>
      <c r="C3018" s="128"/>
      <c r="E3018" s="131" t="str">
        <f t="shared" si="1"/>
        <v>https://utrucking.myshopify.com/admin/orders?query=16867</v>
      </c>
    </row>
    <row r="3019">
      <c r="A3019" s="93" t="str">
        <f t="shared" si="2"/>
        <v>#16868</v>
      </c>
      <c r="B3019" s="93" t="str">
        <f>IF(COUNTIF(MAIN!B:B, A3019)=0, "Missing", "")</f>
        <v>Missing</v>
      </c>
      <c r="C3019" s="128"/>
      <c r="E3019" s="131" t="str">
        <f t="shared" si="1"/>
        <v>https://utrucking.myshopify.com/admin/orders?query=16868</v>
      </c>
    </row>
    <row r="3020">
      <c r="A3020" s="93" t="str">
        <f t="shared" si="2"/>
        <v>#16869</v>
      </c>
      <c r="B3020" s="93" t="str">
        <f>IF(COUNTIF(MAIN!B:B, A3020)=0, "Missing", "")</f>
        <v>Missing</v>
      </c>
      <c r="C3020" s="128"/>
      <c r="E3020" s="131" t="str">
        <f t="shared" si="1"/>
        <v>https://utrucking.myshopify.com/admin/orders?query=16869</v>
      </c>
    </row>
    <row r="3021">
      <c r="A3021" s="93" t="str">
        <f t="shared" si="2"/>
        <v>#16870</v>
      </c>
      <c r="B3021" s="93" t="str">
        <f>IF(COUNTIF(MAIN!B:B, A3021)=0, "Missing", "")</f>
        <v>Missing</v>
      </c>
      <c r="C3021" s="128"/>
      <c r="E3021" s="131" t="str">
        <f t="shared" si="1"/>
        <v>https://utrucking.myshopify.com/admin/orders?query=16870</v>
      </c>
    </row>
    <row r="3022">
      <c r="A3022" s="93" t="str">
        <f t="shared" si="2"/>
        <v>#16871</v>
      </c>
      <c r="B3022" s="93" t="str">
        <f>IF(COUNTIF(MAIN!B:B, A3022)=0, "Missing", "")</f>
        <v>Missing</v>
      </c>
      <c r="C3022" s="128"/>
      <c r="E3022" s="131" t="str">
        <f t="shared" si="1"/>
        <v>https://utrucking.myshopify.com/admin/orders?query=16871</v>
      </c>
    </row>
    <row r="3023">
      <c r="A3023" s="93" t="str">
        <f t="shared" si="2"/>
        <v>#16872</v>
      </c>
      <c r="B3023" s="93" t="str">
        <f>IF(COUNTIF(MAIN!B:B, A3023)=0, "Missing", "")</f>
        <v/>
      </c>
      <c r="C3023" s="128"/>
      <c r="E3023" s="128" t="str">
        <f t="shared" si="1"/>
        <v/>
      </c>
    </row>
    <row r="3024">
      <c r="A3024" s="93" t="str">
        <f t="shared" si="2"/>
        <v>#16873</v>
      </c>
      <c r="B3024" s="93" t="str">
        <f>IF(COUNTIF(MAIN!B:B, A3024)=0, "Missing", "")</f>
        <v>Missing</v>
      </c>
      <c r="C3024" s="128"/>
      <c r="E3024" s="131" t="str">
        <f t="shared" si="1"/>
        <v>https://utrucking.myshopify.com/admin/orders?query=16873</v>
      </c>
    </row>
    <row r="3025">
      <c r="A3025" s="93" t="str">
        <f t="shared" si="2"/>
        <v>#16874</v>
      </c>
      <c r="B3025" s="93" t="str">
        <f>IF(COUNTIF(MAIN!B:B, A3025)=0, "Missing", "")</f>
        <v/>
      </c>
      <c r="C3025" s="128"/>
      <c r="E3025" s="128" t="str">
        <f t="shared" si="1"/>
        <v/>
      </c>
    </row>
    <row r="3026">
      <c r="A3026" s="93" t="str">
        <f t="shared" si="2"/>
        <v>#16875</v>
      </c>
      <c r="B3026" s="93" t="str">
        <f>IF(COUNTIF(MAIN!B:B, A3026)=0, "Missing", "")</f>
        <v>Missing</v>
      </c>
      <c r="C3026" s="128"/>
      <c r="E3026" s="131" t="str">
        <f t="shared" si="1"/>
        <v>https://utrucking.myshopify.com/admin/orders?query=16875</v>
      </c>
    </row>
    <row r="3027">
      <c r="A3027" s="93" t="str">
        <f t="shared" si="2"/>
        <v>#16876</v>
      </c>
      <c r="B3027" s="93" t="str">
        <f>IF(COUNTIF(MAIN!B:B, A3027)=0, "Missing", "")</f>
        <v>Missing</v>
      </c>
      <c r="C3027" s="128"/>
      <c r="E3027" s="131" t="str">
        <f t="shared" si="1"/>
        <v>https://utrucking.myshopify.com/admin/orders?query=16876</v>
      </c>
    </row>
    <row r="3028">
      <c r="A3028" s="93" t="str">
        <f t="shared" si="2"/>
        <v>#16877</v>
      </c>
      <c r="B3028" s="93" t="str">
        <f>IF(COUNTIF(MAIN!B:B, A3028)=0, "Missing", "")</f>
        <v>Missing</v>
      </c>
      <c r="C3028" s="128"/>
      <c r="E3028" s="131" t="str">
        <f t="shared" si="1"/>
        <v>https://utrucking.myshopify.com/admin/orders?query=16877</v>
      </c>
    </row>
    <row r="3029">
      <c r="A3029" s="93" t="str">
        <f t="shared" si="2"/>
        <v>#16878</v>
      </c>
      <c r="B3029" s="93" t="str">
        <f>IF(COUNTIF(MAIN!B:B, A3029)=0, "Missing", "")</f>
        <v>Missing</v>
      </c>
      <c r="C3029" s="128"/>
      <c r="E3029" s="131" t="str">
        <f t="shared" si="1"/>
        <v>https://utrucking.myshopify.com/admin/orders?query=16878</v>
      </c>
    </row>
    <row r="3030">
      <c r="A3030" s="93" t="str">
        <f t="shared" si="2"/>
        <v>#16879</v>
      </c>
      <c r="B3030" s="93" t="str">
        <f>IF(COUNTIF(MAIN!B:B, A3030)=0, "Missing", "")</f>
        <v/>
      </c>
      <c r="C3030" s="128"/>
      <c r="E3030" s="128" t="str">
        <f t="shared" si="1"/>
        <v/>
      </c>
    </row>
    <row r="3031">
      <c r="A3031" s="93" t="str">
        <f t="shared" si="2"/>
        <v>#16880</v>
      </c>
      <c r="B3031" s="93" t="str">
        <f>IF(COUNTIF(MAIN!B:B, A3031)=0, "Missing", "")</f>
        <v>Missing</v>
      </c>
      <c r="C3031" s="128"/>
      <c r="E3031" s="131" t="str">
        <f t="shared" si="1"/>
        <v>https://utrucking.myshopify.com/admin/orders?query=16880</v>
      </c>
    </row>
    <row r="3032">
      <c r="A3032" s="93" t="str">
        <f t="shared" si="2"/>
        <v>#16881</v>
      </c>
      <c r="B3032" s="93" t="str">
        <f>IF(COUNTIF(MAIN!B:B, A3032)=0, "Missing", "")</f>
        <v>Missing</v>
      </c>
      <c r="C3032" s="128"/>
      <c r="E3032" s="131" t="str">
        <f t="shared" si="1"/>
        <v>https://utrucking.myshopify.com/admin/orders?query=16881</v>
      </c>
    </row>
    <row r="3033">
      <c r="A3033" s="93" t="str">
        <f t="shared" si="2"/>
        <v>#16882</v>
      </c>
      <c r="B3033" s="93" t="str">
        <f>IF(COUNTIF(MAIN!B:B, A3033)=0, "Missing", "")</f>
        <v>Missing</v>
      </c>
      <c r="C3033" s="128"/>
      <c r="E3033" s="131" t="str">
        <f t="shared" si="1"/>
        <v>https://utrucking.myshopify.com/admin/orders?query=16882</v>
      </c>
    </row>
    <row r="3034">
      <c r="A3034" s="93" t="str">
        <f t="shared" si="2"/>
        <v>#16883</v>
      </c>
      <c r="B3034" s="93" t="str">
        <f>IF(COUNTIF(MAIN!B:B, A3034)=0, "Missing", "")</f>
        <v>Missing</v>
      </c>
      <c r="C3034" s="128"/>
      <c r="E3034" s="131" t="str">
        <f t="shared" si="1"/>
        <v>https://utrucking.myshopify.com/admin/orders?query=16883</v>
      </c>
    </row>
    <row r="3035">
      <c r="A3035" s="93" t="str">
        <f t="shared" si="2"/>
        <v>#16884</v>
      </c>
      <c r="B3035" s="93" t="str">
        <f>IF(COUNTIF(MAIN!B:B, A3035)=0, "Missing", "")</f>
        <v>Missing</v>
      </c>
      <c r="C3035" s="128"/>
      <c r="E3035" s="131" t="str">
        <f t="shared" si="1"/>
        <v>https://utrucking.myshopify.com/admin/orders?query=16884</v>
      </c>
    </row>
    <row r="3036">
      <c r="A3036" s="93" t="str">
        <f t="shared" si="2"/>
        <v>#16885</v>
      </c>
      <c r="B3036" s="93" t="str">
        <f>IF(COUNTIF(MAIN!B:B, A3036)=0, "Missing", "")</f>
        <v>Missing</v>
      </c>
      <c r="C3036" s="128"/>
      <c r="E3036" s="131" t="str">
        <f t="shared" si="1"/>
        <v>https://utrucking.myshopify.com/admin/orders?query=16885</v>
      </c>
    </row>
    <row r="3037">
      <c r="A3037" s="93" t="str">
        <f t="shared" si="2"/>
        <v>#16886</v>
      </c>
      <c r="B3037" s="93" t="str">
        <f>IF(COUNTIF(MAIN!B:B, A3037)=0, "Missing", "")</f>
        <v>Missing</v>
      </c>
      <c r="C3037" s="128"/>
      <c r="E3037" s="131" t="str">
        <f t="shared" si="1"/>
        <v>https://utrucking.myshopify.com/admin/orders?query=16886</v>
      </c>
    </row>
    <row r="3038">
      <c r="A3038" s="93" t="str">
        <f t="shared" si="2"/>
        <v>#16887</v>
      </c>
      <c r="B3038" s="93" t="str">
        <f>IF(COUNTIF(MAIN!B:B, A3038)=0, "Missing", "")</f>
        <v>Missing</v>
      </c>
      <c r="C3038" s="128"/>
      <c r="E3038" s="131" t="str">
        <f t="shared" si="1"/>
        <v>https://utrucking.myshopify.com/admin/orders?query=16887</v>
      </c>
    </row>
    <row r="3039">
      <c r="A3039" s="93" t="str">
        <f t="shared" si="2"/>
        <v>#16888</v>
      </c>
      <c r="B3039" s="93" t="str">
        <f>IF(COUNTIF(MAIN!B:B, A3039)=0, "Missing", "")</f>
        <v>Missing</v>
      </c>
      <c r="C3039" s="128"/>
      <c r="E3039" s="131" t="str">
        <f t="shared" si="1"/>
        <v>https://utrucking.myshopify.com/admin/orders?query=16888</v>
      </c>
    </row>
    <row r="3040">
      <c r="A3040" s="93" t="str">
        <f t="shared" si="2"/>
        <v>#16889</v>
      </c>
      <c r="B3040" s="93" t="str">
        <f>IF(COUNTIF(MAIN!B:B, A3040)=0, "Missing", "")</f>
        <v>Missing</v>
      </c>
      <c r="C3040" s="128"/>
      <c r="E3040" s="131" t="str">
        <f t="shared" si="1"/>
        <v>https://utrucking.myshopify.com/admin/orders?query=16889</v>
      </c>
    </row>
    <row r="3041">
      <c r="A3041" s="93" t="str">
        <f t="shared" si="2"/>
        <v>#16890</v>
      </c>
      <c r="B3041" s="93" t="str">
        <f>IF(COUNTIF(MAIN!B:B, A3041)=0, "Missing", "")</f>
        <v>Missing</v>
      </c>
      <c r="C3041" s="128"/>
      <c r="E3041" s="131" t="str">
        <f t="shared" si="1"/>
        <v>https://utrucking.myshopify.com/admin/orders?query=16890</v>
      </c>
    </row>
    <row r="3042">
      <c r="A3042" s="93" t="str">
        <f t="shared" si="2"/>
        <v>#16891</v>
      </c>
      <c r="B3042" s="93" t="str">
        <f>IF(COUNTIF(MAIN!B:B, A3042)=0, "Missing", "")</f>
        <v>Missing</v>
      </c>
      <c r="C3042" s="128"/>
      <c r="E3042" s="131" t="str">
        <f t="shared" si="1"/>
        <v>https://utrucking.myshopify.com/admin/orders?query=16891</v>
      </c>
    </row>
    <row r="3043">
      <c r="A3043" s="93" t="str">
        <f t="shared" si="2"/>
        <v>#16892</v>
      </c>
      <c r="B3043" s="93" t="str">
        <f>IF(COUNTIF(MAIN!B:B, A3043)=0, "Missing", "")</f>
        <v>Missing</v>
      </c>
      <c r="C3043" s="128"/>
      <c r="E3043" s="131" t="str">
        <f t="shared" si="1"/>
        <v>https://utrucking.myshopify.com/admin/orders?query=16892</v>
      </c>
    </row>
    <row r="3044">
      <c r="A3044" s="93" t="str">
        <f t="shared" si="2"/>
        <v>#16893</v>
      </c>
      <c r="B3044" s="93" t="str">
        <f>IF(COUNTIF(MAIN!B:B, A3044)=0, "Missing", "")</f>
        <v>Missing</v>
      </c>
      <c r="C3044" s="128"/>
      <c r="E3044" s="131" t="str">
        <f t="shared" si="1"/>
        <v>https://utrucking.myshopify.com/admin/orders?query=16893</v>
      </c>
    </row>
    <row r="3045">
      <c r="A3045" s="93" t="str">
        <f t="shared" si="2"/>
        <v>#16894</v>
      </c>
      <c r="B3045" s="93" t="str">
        <f>IF(COUNTIF(MAIN!B:B, A3045)=0, "Missing", "")</f>
        <v>Missing</v>
      </c>
      <c r="C3045" s="128"/>
      <c r="E3045" s="131" t="str">
        <f t="shared" si="1"/>
        <v>https://utrucking.myshopify.com/admin/orders?query=16894</v>
      </c>
    </row>
    <row r="3046">
      <c r="A3046" s="93" t="str">
        <f t="shared" si="2"/>
        <v>#16895</v>
      </c>
      <c r="B3046" s="93" t="str">
        <f>IF(COUNTIF(MAIN!B:B, A3046)=0, "Missing", "")</f>
        <v>Missing</v>
      </c>
      <c r="C3046" s="128"/>
      <c r="E3046" s="131" t="str">
        <f t="shared" si="1"/>
        <v>https://utrucking.myshopify.com/admin/orders?query=16895</v>
      </c>
    </row>
    <row r="3047">
      <c r="A3047" s="93" t="str">
        <f t="shared" si="2"/>
        <v>#16896</v>
      </c>
      <c r="B3047" s="93" t="str">
        <f>IF(COUNTIF(MAIN!B:B, A3047)=0, "Missing", "")</f>
        <v>Missing</v>
      </c>
      <c r="C3047" s="128"/>
      <c r="E3047" s="131" t="str">
        <f t="shared" si="1"/>
        <v>https://utrucking.myshopify.com/admin/orders?query=16896</v>
      </c>
    </row>
    <row r="3048">
      <c r="A3048" s="93" t="str">
        <f t="shared" si="2"/>
        <v>#16897</v>
      </c>
      <c r="B3048" s="93" t="str">
        <f>IF(COUNTIF(MAIN!B:B, A3048)=0, "Missing", "")</f>
        <v>Missing</v>
      </c>
      <c r="C3048" s="128"/>
      <c r="E3048" s="131" t="str">
        <f t="shared" si="1"/>
        <v>https://utrucking.myshopify.com/admin/orders?query=16897</v>
      </c>
    </row>
    <row r="3049">
      <c r="A3049" s="93" t="str">
        <f t="shared" si="2"/>
        <v>#16898</v>
      </c>
      <c r="B3049" s="93" t="str">
        <f>IF(COUNTIF(MAIN!B:B, A3049)=0, "Missing", "")</f>
        <v>Missing</v>
      </c>
      <c r="C3049" s="128"/>
      <c r="E3049" s="131" t="str">
        <f t="shared" si="1"/>
        <v>https://utrucking.myshopify.com/admin/orders?query=16898</v>
      </c>
    </row>
    <row r="3050">
      <c r="A3050" s="93" t="str">
        <f t="shared" si="2"/>
        <v>#16899</v>
      </c>
      <c r="B3050" s="93" t="str">
        <f>IF(COUNTIF(MAIN!B:B, A3050)=0, "Missing", "")</f>
        <v>Missing</v>
      </c>
      <c r="C3050" s="128"/>
      <c r="E3050" s="131" t="str">
        <f t="shared" si="1"/>
        <v>https://utrucking.myshopify.com/admin/orders?query=16899</v>
      </c>
    </row>
    <row r="3051">
      <c r="A3051" s="93" t="str">
        <f t="shared" si="2"/>
        <v>#16900</v>
      </c>
      <c r="B3051" s="93" t="str">
        <f>IF(COUNTIF(MAIN!B:B, A3051)=0, "Missing", "")</f>
        <v>Missing</v>
      </c>
      <c r="C3051" s="128"/>
      <c r="E3051" s="131" t="str">
        <f t="shared" si="1"/>
        <v>https://utrucking.myshopify.com/admin/orders?query=16900</v>
      </c>
    </row>
    <row r="3052">
      <c r="A3052" s="93" t="str">
        <f t="shared" si="2"/>
        <v>#16901</v>
      </c>
      <c r="B3052" s="93" t="str">
        <f>IF(COUNTIF(MAIN!B:B, A3052)=0, "Missing", "")</f>
        <v>Missing</v>
      </c>
      <c r="C3052" s="128"/>
      <c r="E3052" s="131" t="str">
        <f t="shared" si="1"/>
        <v>https://utrucking.myshopify.com/admin/orders?query=16901</v>
      </c>
    </row>
    <row r="3053">
      <c r="A3053" s="93" t="str">
        <f t="shared" si="2"/>
        <v>#16902</v>
      </c>
      <c r="B3053" s="93" t="str">
        <f>IF(COUNTIF(MAIN!B:B, A3053)=0, "Missing", "")</f>
        <v>Missing</v>
      </c>
      <c r="C3053" s="128"/>
      <c r="E3053" s="131" t="str">
        <f t="shared" si="1"/>
        <v>https://utrucking.myshopify.com/admin/orders?query=16902</v>
      </c>
    </row>
    <row r="3054">
      <c r="A3054" s="93" t="str">
        <f t="shared" si="2"/>
        <v>#16903</v>
      </c>
      <c r="B3054" s="93" t="str">
        <f>IF(COUNTIF(MAIN!B:B, A3054)=0, "Missing", "")</f>
        <v>Missing</v>
      </c>
      <c r="C3054" s="128"/>
      <c r="E3054" s="131" t="str">
        <f t="shared" si="1"/>
        <v>https://utrucking.myshopify.com/admin/orders?query=16903</v>
      </c>
    </row>
    <row r="3055">
      <c r="A3055" s="93" t="str">
        <f t="shared" si="2"/>
        <v>#16904</v>
      </c>
      <c r="B3055" s="93" t="str">
        <f>IF(COUNTIF(MAIN!B:B, A3055)=0, "Missing", "")</f>
        <v>Missing</v>
      </c>
      <c r="C3055" s="128"/>
      <c r="E3055" s="131" t="str">
        <f t="shared" si="1"/>
        <v>https://utrucking.myshopify.com/admin/orders?query=16904</v>
      </c>
    </row>
    <row r="3056">
      <c r="A3056" s="93" t="str">
        <f t="shared" si="2"/>
        <v>#16905</v>
      </c>
      <c r="B3056" s="93" t="str">
        <f>IF(COUNTIF(MAIN!B:B, A3056)=0, "Missing", "")</f>
        <v>Missing</v>
      </c>
      <c r="C3056" s="128"/>
      <c r="E3056" s="131" t="str">
        <f t="shared" si="1"/>
        <v>https://utrucking.myshopify.com/admin/orders?query=16905</v>
      </c>
    </row>
    <row r="3057">
      <c r="A3057" s="93" t="str">
        <f t="shared" si="2"/>
        <v>#16906</v>
      </c>
      <c r="B3057" s="93" t="str">
        <f>IF(COUNTIF(MAIN!B:B, A3057)=0, "Missing", "")</f>
        <v>Missing</v>
      </c>
      <c r="C3057" s="128"/>
      <c r="E3057" s="131" t="str">
        <f t="shared" si="1"/>
        <v>https://utrucking.myshopify.com/admin/orders?query=16906</v>
      </c>
    </row>
    <row r="3058">
      <c r="A3058" s="93" t="str">
        <f t="shared" si="2"/>
        <v>#16907</v>
      </c>
      <c r="B3058" s="93" t="str">
        <f>IF(COUNTIF(MAIN!B:B, A3058)=0, "Missing", "")</f>
        <v>Missing</v>
      </c>
      <c r="C3058" s="128"/>
      <c r="E3058" s="131" t="str">
        <f t="shared" si="1"/>
        <v>https://utrucking.myshopify.com/admin/orders?query=16907</v>
      </c>
    </row>
    <row r="3059">
      <c r="A3059" s="93" t="str">
        <f t="shared" si="2"/>
        <v>#16908</v>
      </c>
      <c r="B3059" s="93" t="str">
        <f>IF(COUNTIF(MAIN!B:B, A3059)=0, "Missing", "")</f>
        <v>Missing</v>
      </c>
      <c r="C3059" s="128"/>
      <c r="E3059" s="131" t="str">
        <f t="shared" si="1"/>
        <v>https://utrucking.myshopify.com/admin/orders?query=16908</v>
      </c>
    </row>
    <row r="3060">
      <c r="A3060" s="93" t="str">
        <f t="shared" si="2"/>
        <v>#16909</v>
      </c>
      <c r="B3060" s="93" t="str">
        <f>IF(COUNTIF(MAIN!B:B, A3060)=0, "Missing", "")</f>
        <v>Missing</v>
      </c>
      <c r="C3060" s="128"/>
      <c r="E3060" s="131" t="str">
        <f t="shared" si="1"/>
        <v>https://utrucking.myshopify.com/admin/orders?query=16909</v>
      </c>
    </row>
    <row r="3061">
      <c r="A3061" s="93" t="str">
        <f t="shared" si="2"/>
        <v>#16910</v>
      </c>
      <c r="B3061" s="93" t="str">
        <f>IF(COUNTIF(MAIN!B:B, A3061)=0, "Missing", "")</f>
        <v>Missing</v>
      </c>
      <c r="C3061" s="128"/>
      <c r="E3061" s="131" t="str">
        <f t="shared" si="1"/>
        <v>https://utrucking.myshopify.com/admin/orders?query=16910</v>
      </c>
    </row>
    <row r="3062">
      <c r="A3062" s="93" t="str">
        <f t="shared" si="2"/>
        <v>#16911</v>
      </c>
      <c r="B3062" s="93" t="str">
        <f>IF(COUNTIF(MAIN!B:B, A3062)=0, "Missing", "")</f>
        <v>Missing</v>
      </c>
      <c r="C3062" s="128"/>
      <c r="E3062" s="131" t="str">
        <f t="shared" si="1"/>
        <v>https://utrucking.myshopify.com/admin/orders?query=16911</v>
      </c>
    </row>
    <row r="3063">
      <c r="A3063" s="93" t="str">
        <f t="shared" si="2"/>
        <v>#16912</v>
      </c>
      <c r="B3063" s="93" t="str">
        <f>IF(COUNTIF(MAIN!B:B, A3063)=0, "Missing", "")</f>
        <v>Missing</v>
      </c>
      <c r="C3063" s="128"/>
      <c r="E3063" s="131" t="str">
        <f t="shared" si="1"/>
        <v>https://utrucking.myshopify.com/admin/orders?query=16912</v>
      </c>
    </row>
    <row r="3064">
      <c r="A3064" s="93" t="str">
        <f t="shared" si="2"/>
        <v>#16913</v>
      </c>
      <c r="B3064" s="93" t="str">
        <f>IF(COUNTIF(MAIN!B:B, A3064)=0, "Missing", "")</f>
        <v>Missing</v>
      </c>
      <c r="C3064" s="128"/>
      <c r="E3064" s="131" t="str">
        <f t="shared" si="1"/>
        <v>https://utrucking.myshopify.com/admin/orders?query=16913</v>
      </c>
    </row>
    <row r="3065">
      <c r="A3065" s="93" t="str">
        <f t="shared" si="2"/>
        <v>#16914</v>
      </c>
      <c r="B3065" s="93" t="str">
        <f>IF(COUNTIF(MAIN!B:B, A3065)=0, "Missing", "")</f>
        <v>Missing</v>
      </c>
      <c r="C3065" s="128"/>
      <c r="E3065" s="131" t="str">
        <f t="shared" si="1"/>
        <v>https://utrucking.myshopify.com/admin/orders?query=16914</v>
      </c>
    </row>
    <row r="3066">
      <c r="A3066" s="93" t="str">
        <f t="shared" si="2"/>
        <v>#16915</v>
      </c>
      <c r="B3066" s="93" t="str">
        <f>IF(COUNTIF(MAIN!B:B, A3066)=0, "Missing", "")</f>
        <v>Missing</v>
      </c>
      <c r="C3066" s="128"/>
      <c r="E3066" s="131" t="str">
        <f t="shared" si="1"/>
        <v>https://utrucking.myshopify.com/admin/orders?query=16915</v>
      </c>
    </row>
    <row r="3067">
      <c r="A3067" s="93" t="str">
        <f t="shared" si="2"/>
        <v>#16916</v>
      </c>
      <c r="B3067" s="93" t="str">
        <f>IF(COUNTIF(MAIN!B:B, A3067)=0, "Missing", "")</f>
        <v>Missing</v>
      </c>
      <c r="C3067" s="128"/>
      <c r="E3067" s="131" t="str">
        <f t="shared" si="1"/>
        <v>https://utrucking.myshopify.com/admin/orders?query=16916</v>
      </c>
    </row>
    <row r="3068">
      <c r="A3068" s="93" t="str">
        <f t="shared" si="2"/>
        <v>#16917</v>
      </c>
      <c r="B3068" s="93" t="str">
        <f>IF(COUNTIF(MAIN!B:B, A3068)=0, "Missing", "")</f>
        <v>Missing</v>
      </c>
      <c r="C3068" s="128"/>
      <c r="E3068" s="131" t="str">
        <f t="shared" si="1"/>
        <v>https://utrucking.myshopify.com/admin/orders?query=16917</v>
      </c>
    </row>
    <row r="3069">
      <c r="A3069" s="93" t="str">
        <f t="shared" si="2"/>
        <v>#16918</v>
      </c>
      <c r="B3069" s="93" t="str">
        <f>IF(COUNTIF(MAIN!B:B, A3069)=0, "Missing", "")</f>
        <v>Missing</v>
      </c>
      <c r="C3069" s="128"/>
      <c r="E3069" s="131" t="str">
        <f t="shared" si="1"/>
        <v>https://utrucking.myshopify.com/admin/orders?query=16918</v>
      </c>
    </row>
    <row r="3070">
      <c r="A3070" s="93" t="str">
        <f t="shared" si="2"/>
        <v>#16919</v>
      </c>
      <c r="B3070" s="93" t="str">
        <f>IF(COUNTIF(MAIN!B:B, A3070)=0, "Missing", "")</f>
        <v>Missing</v>
      </c>
      <c r="C3070" s="128"/>
      <c r="E3070" s="131" t="str">
        <f t="shared" si="1"/>
        <v>https://utrucking.myshopify.com/admin/orders?query=16919</v>
      </c>
    </row>
    <row r="3071">
      <c r="A3071" s="93" t="str">
        <f t="shared" si="2"/>
        <v>#16920</v>
      </c>
      <c r="B3071" s="93" t="str">
        <f>IF(COUNTIF(MAIN!B:B, A3071)=0, "Missing", "")</f>
        <v>Missing</v>
      </c>
      <c r="C3071" s="128"/>
      <c r="E3071" s="131" t="str">
        <f t="shared" si="1"/>
        <v>https://utrucking.myshopify.com/admin/orders?query=16920</v>
      </c>
    </row>
    <row r="3072">
      <c r="A3072" s="93" t="str">
        <f t="shared" si="2"/>
        <v>#16921</v>
      </c>
      <c r="B3072" s="93" t="str">
        <f>IF(COUNTIF(MAIN!B:B, A3072)=0, "Missing", "")</f>
        <v>Missing</v>
      </c>
      <c r="C3072" s="128"/>
      <c r="E3072" s="131" t="str">
        <f t="shared" si="1"/>
        <v>https://utrucking.myshopify.com/admin/orders?query=16921</v>
      </c>
    </row>
    <row r="3073">
      <c r="A3073" s="93" t="str">
        <f t="shared" si="2"/>
        <v>#16922</v>
      </c>
      <c r="B3073" s="93" t="str">
        <f>IF(COUNTIF(MAIN!B:B, A3073)=0, "Missing", "")</f>
        <v>Missing</v>
      </c>
      <c r="C3073" s="128"/>
      <c r="E3073" s="131" t="str">
        <f t="shared" si="1"/>
        <v>https://utrucking.myshopify.com/admin/orders?query=16922</v>
      </c>
    </row>
    <row r="3074">
      <c r="A3074" s="93" t="str">
        <f t="shared" si="2"/>
        <v>#16923</v>
      </c>
      <c r="B3074" s="93" t="str">
        <f>IF(COUNTIF(MAIN!B:B, A3074)=0, "Missing", "")</f>
        <v>Missing</v>
      </c>
      <c r="C3074" s="128"/>
      <c r="E3074" s="131" t="str">
        <f t="shared" si="1"/>
        <v>https://utrucking.myshopify.com/admin/orders?query=16923</v>
      </c>
    </row>
    <row r="3075">
      <c r="A3075" s="93" t="str">
        <f t="shared" si="2"/>
        <v>#16924</v>
      </c>
      <c r="B3075" s="93" t="str">
        <f>IF(COUNTIF(MAIN!B:B, A3075)=0, "Missing", "")</f>
        <v>Missing</v>
      </c>
      <c r="C3075" s="128"/>
      <c r="E3075" s="131" t="str">
        <f t="shared" si="1"/>
        <v>https://utrucking.myshopify.com/admin/orders?query=16924</v>
      </c>
    </row>
    <row r="3076">
      <c r="A3076" s="93" t="str">
        <f t="shared" si="2"/>
        <v>#16925</v>
      </c>
      <c r="B3076" s="93" t="str">
        <f>IF(COUNTIF(MAIN!B:B, A3076)=0, "Missing", "")</f>
        <v>Missing</v>
      </c>
      <c r="C3076" s="128"/>
      <c r="E3076" s="131" t="str">
        <f t="shared" si="1"/>
        <v>https://utrucking.myshopify.com/admin/orders?query=16925</v>
      </c>
    </row>
    <row r="3077">
      <c r="A3077" s="93" t="str">
        <f t="shared" si="2"/>
        <v>#16926</v>
      </c>
      <c r="B3077" s="93" t="str">
        <f>IF(COUNTIF(MAIN!B:B, A3077)=0, "Missing", "")</f>
        <v>Missing</v>
      </c>
      <c r="C3077" s="128"/>
      <c r="E3077" s="131" t="str">
        <f t="shared" si="1"/>
        <v>https://utrucking.myshopify.com/admin/orders?query=16926</v>
      </c>
    </row>
    <row r="3078">
      <c r="A3078" s="93" t="str">
        <f t="shared" si="2"/>
        <v>#16927</v>
      </c>
      <c r="B3078" s="93" t="str">
        <f>IF(COUNTIF(MAIN!B:B, A3078)=0, "Missing", "")</f>
        <v>Missing</v>
      </c>
      <c r="C3078" s="128"/>
      <c r="E3078" s="131" t="str">
        <f t="shared" si="1"/>
        <v>https://utrucking.myshopify.com/admin/orders?query=16927</v>
      </c>
    </row>
    <row r="3079">
      <c r="A3079" s="93" t="str">
        <f t="shared" si="2"/>
        <v>#16928</v>
      </c>
      <c r="B3079" s="93" t="str">
        <f>IF(COUNTIF(MAIN!B:B, A3079)=0, "Missing", "")</f>
        <v>Missing</v>
      </c>
      <c r="C3079" s="128"/>
      <c r="E3079" s="131" t="str">
        <f t="shared" si="1"/>
        <v>https://utrucking.myshopify.com/admin/orders?query=16928</v>
      </c>
    </row>
    <row r="3080">
      <c r="A3080" s="93" t="str">
        <f t="shared" si="2"/>
        <v>#16929</v>
      </c>
      <c r="B3080" s="93" t="str">
        <f>IF(COUNTIF(MAIN!B:B, A3080)=0, "Missing", "")</f>
        <v>Missing</v>
      </c>
      <c r="C3080" s="128"/>
      <c r="E3080" s="131" t="str">
        <f t="shared" si="1"/>
        <v>https://utrucking.myshopify.com/admin/orders?query=16929</v>
      </c>
    </row>
    <row r="3081">
      <c r="A3081" s="93" t="str">
        <f t="shared" si="2"/>
        <v>#16930</v>
      </c>
      <c r="B3081" s="93" t="str">
        <f>IF(COUNTIF(MAIN!B:B, A3081)=0, "Missing", "")</f>
        <v>Missing</v>
      </c>
      <c r="C3081" s="128"/>
      <c r="E3081" s="131" t="str">
        <f t="shared" si="1"/>
        <v>https://utrucking.myshopify.com/admin/orders?query=16930</v>
      </c>
    </row>
    <row r="3082">
      <c r="A3082" s="93" t="str">
        <f t="shared" si="2"/>
        <v>#16931</v>
      </c>
      <c r="B3082" s="93" t="str">
        <f>IF(COUNTIF(MAIN!B:B, A3082)=0, "Missing", "")</f>
        <v>Missing</v>
      </c>
      <c r="C3082" s="128"/>
      <c r="E3082" s="131" t="str">
        <f t="shared" si="1"/>
        <v>https://utrucking.myshopify.com/admin/orders?query=16931</v>
      </c>
    </row>
    <row r="3083">
      <c r="A3083" s="93" t="str">
        <f t="shared" si="2"/>
        <v>#16932</v>
      </c>
      <c r="B3083" s="93" t="str">
        <f>IF(COUNTIF(MAIN!B:B, A3083)=0, "Missing", "")</f>
        <v>Missing</v>
      </c>
      <c r="C3083" s="128"/>
      <c r="E3083" s="131" t="str">
        <f t="shared" si="1"/>
        <v>https://utrucking.myshopify.com/admin/orders?query=16932</v>
      </c>
    </row>
    <row r="3084">
      <c r="A3084" s="93" t="str">
        <f t="shared" si="2"/>
        <v>#16933</v>
      </c>
      <c r="B3084" s="93" t="str">
        <f>IF(COUNTIF(MAIN!B:B, A3084)=0, "Missing", "")</f>
        <v>Missing</v>
      </c>
      <c r="C3084" s="128"/>
      <c r="E3084" s="131" t="str">
        <f t="shared" si="1"/>
        <v>https://utrucking.myshopify.com/admin/orders?query=16933</v>
      </c>
    </row>
    <row r="3085">
      <c r="A3085" s="93" t="str">
        <f t="shared" si="2"/>
        <v>#16934</v>
      </c>
      <c r="B3085" s="93" t="str">
        <f>IF(COUNTIF(MAIN!B:B, A3085)=0, "Missing", "")</f>
        <v>Missing</v>
      </c>
      <c r="C3085" s="128"/>
      <c r="E3085" s="131" t="str">
        <f t="shared" si="1"/>
        <v>https://utrucking.myshopify.com/admin/orders?query=16934</v>
      </c>
    </row>
    <row r="3086">
      <c r="A3086" s="93" t="str">
        <f t="shared" si="2"/>
        <v>#16935</v>
      </c>
      <c r="B3086" s="93" t="str">
        <f>IF(COUNTIF(MAIN!B:B, A3086)=0, "Missing", "")</f>
        <v>Missing</v>
      </c>
      <c r="C3086" s="128"/>
      <c r="E3086" s="131" t="str">
        <f t="shared" si="1"/>
        <v>https://utrucking.myshopify.com/admin/orders?query=16935</v>
      </c>
    </row>
    <row r="3087">
      <c r="A3087" s="93" t="str">
        <f t="shared" si="2"/>
        <v>#16936</v>
      </c>
      <c r="B3087" s="93" t="str">
        <f>IF(COUNTIF(MAIN!B:B, A3087)=0, "Missing", "")</f>
        <v>Missing</v>
      </c>
      <c r="C3087" s="128"/>
      <c r="E3087" s="131" t="str">
        <f t="shared" si="1"/>
        <v>https://utrucking.myshopify.com/admin/orders?query=16936</v>
      </c>
    </row>
    <row r="3088">
      <c r="A3088" s="93" t="str">
        <f t="shared" si="2"/>
        <v>#16937</v>
      </c>
      <c r="B3088" s="93" t="str">
        <f>IF(COUNTIF(MAIN!B:B, A3088)=0, "Missing", "")</f>
        <v>Missing</v>
      </c>
      <c r="C3088" s="128"/>
      <c r="E3088" s="131" t="str">
        <f t="shared" si="1"/>
        <v>https://utrucking.myshopify.com/admin/orders?query=16937</v>
      </c>
    </row>
    <row r="3089">
      <c r="A3089" s="93" t="str">
        <f t="shared" si="2"/>
        <v>#16938</v>
      </c>
      <c r="B3089" s="93" t="str">
        <f>IF(COUNTIF(MAIN!B:B, A3089)=0, "Missing", "")</f>
        <v>Missing</v>
      </c>
      <c r="C3089" s="128"/>
      <c r="E3089" s="131" t="str">
        <f t="shared" si="1"/>
        <v>https://utrucking.myshopify.com/admin/orders?query=16938</v>
      </c>
    </row>
    <row r="3090">
      <c r="A3090" s="93" t="str">
        <f t="shared" si="2"/>
        <v>#16939</v>
      </c>
      <c r="B3090" s="93" t="str">
        <f>IF(COUNTIF(MAIN!B:B, A3090)=0, "Missing", "")</f>
        <v>Missing</v>
      </c>
      <c r="C3090" s="128"/>
      <c r="E3090" s="131" t="str">
        <f t="shared" si="1"/>
        <v>https://utrucking.myshopify.com/admin/orders?query=16939</v>
      </c>
    </row>
    <row r="3091">
      <c r="A3091" s="93" t="str">
        <f t="shared" si="2"/>
        <v>#16940</v>
      </c>
      <c r="B3091" s="93" t="str">
        <f>IF(COUNTIF(MAIN!B:B, A3091)=0, "Missing", "")</f>
        <v>Missing</v>
      </c>
      <c r="C3091" s="128"/>
      <c r="E3091" s="131" t="str">
        <f t="shared" si="1"/>
        <v>https://utrucking.myshopify.com/admin/orders?query=16940</v>
      </c>
    </row>
    <row r="3092">
      <c r="A3092" s="93" t="str">
        <f t="shared" si="2"/>
        <v>#16941</v>
      </c>
      <c r="B3092" s="93" t="str">
        <f>IF(COUNTIF(MAIN!B:B, A3092)=0, "Missing", "")</f>
        <v>Missing</v>
      </c>
      <c r="C3092" s="128"/>
      <c r="E3092" s="131" t="str">
        <f t="shared" si="1"/>
        <v>https://utrucking.myshopify.com/admin/orders?query=16941</v>
      </c>
    </row>
    <row r="3093">
      <c r="A3093" s="93" t="str">
        <f t="shared" si="2"/>
        <v>#16942</v>
      </c>
      <c r="B3093" s="93" t="str">
        <f>IF(COUNTIF(MAIN!B:B, A3093)=0, "Missing", "")</f>
        <v>Missing</v>
      </c>
      <c r="C3093" s="128"/>
      <c r="E3093" s="131" t="str">
        <f t="shared" si="1"/>
        <v>https://utrucking.myshopify.com/admin/orders?query=16942</v>
      </c>
    </row>
    <row r="3094">
      <c r="A3094" s="93" t="str">
        <f t="shared" si="2"/>
        <v>#16943</v>
      </c>
      <c r="B3094" s="93" t="str">
        <f>IF(COUNTIF(MAIN!B:B, A3094)=0, "Missing", "")</f>
        <v>Missing</v>
      </c>
      <c r="C3094" s="128"/>
      <c r="E3094" s="131" t="str">
        <f t="shared" si="1"/>
        <v>https://utrucking.myshopify.com/admin/orders?query=16943</v>
      </c>
    </row>
    <row r="3095">
      <c r="A3095" s="93" t="str">
        <f t="shared" si="2"/>
        <v>#16944</v>
      </c>
      <c r="B3095" s="93" t="str">
        <f>IF(COUNTIF(MAIN!B:B, A3095)=0, "Missing", "")</f>
        <v>Missing</v>
      </c>
      <c r="C3095" s="128"/>
      <c r="E3095" s="131" t="str">
        <f t="shared" si="1"/>
        <v>https://utrucking.myshopify.com/admin/orders?query=16944</v>
      </c>
    </row>
    <row r="3096">
      <c r="A3096" s="93" t="str">
        <f t="shared" si="2"/>
        <v>#16945</v>
      </c>
      <c r="B3096" s="93" t="str">
        <f>IF(COUNTIF(MAIN!B:B, A3096)=0, "Missing", "")</f>
        <v/>
      </c>
      <c r="C3096" s="128"/>
      <c r="E3096" s="128" t="str">
        <f t="shared" si="1"/>
        <v/>
      </c>
    </row>
    <row r="3097">
      <c r="A3097" s="93" t="str">
        <f t="shared" si="2"/>
        <v>#16946</v>
      </c>
      <c r="B3097" s="93" t="str">
        <f>IF(COUNTIF(MAIN!B:B, A3097)=0, "Missing", "")</f>
        <v>Missing</v>
      </c>
      <c r="C3097" s="128"/>
      <c r="E3097" s="131" t="str">
        <f t="shared" si="1"/>
        <v>https://utrucking.myshopify.com/admin/orders?query=16946</v>
      </c>
    </row>
    <row r="3098">
      <c r="A3098" s="93" t="str">
        <f t="shared" si="2"/>
        <v>#16947</v>
      </c>
      <c r="B3098" s="93" t="str">
        <f>IF(COUNTIF(MAIN!B:B, A3098)=0, "Missing", "")</f>
        <v>Missing</v>
      </c>
      <c r="C3098" s="128"/>
      <c r="E3098" s="131" t="str">
        <f t="shared" si="1"/>
        <v>https://utrucking.myshopify.com/admin/orders?query=16947</v>
      </c>
    </row>
    <row r="3099">
      <c r="A3099" s="93" t="str">
        <f t="shared" si="2"/>
        <v>#16948</v>
      </c>
      <c r="B3099" s="93" t="str">
        <f>IF(COUNTIF(MAIN!B:B, A3099)=0, "Missing", "")</f>
        <v>Missing</v>
      </c>
      <c r="C3099" s="128"/>
      <c r="E3099" s="131" t="str">
        <f t="shared" si="1"/>
        <v>https://utrucking.myshopify.com/admin/orders?query=16948</v>
      </c>
    </row>
    <row r="3100">
      <c r="A3100" s="93" t="str">
        <f t="shared" si="2"/>
        <v>#16949</v>
      </c>
      <c r="B3100" s="93" t="str">
        <f>IF(COUNTIF(MAIN!B:B, A3100)=0, "Missing", "")</f>
        <v>Missing</v>
      </c>
      <c r="C3100" s="128"/>
      <c r="E3100" s="131" t="str">
        <f t="shared" si="1"/>
        <v>https://utrucking.myshopify.com/admin/orders?query=16949</v>
      </c>
    </row>
    <row r="3101">
      <c r="A3101" s="93" t="str">
        <f t="shared" si="2"/>
        <v>#16950</v>
      </c>
      <c r="B3101" s="93" t="str">
        <f>IF(COUNTIF(MAIN!B:B, A3101)=0, "Missing", "")</f>
        <v>Missing</v>
      </c>
      <c r="C3101" s="128"/>
      <c r="E3101" s="131" t="str">
        <f t="shared" si="1"/>
        <v>https://utrucking.myshopify.com/admin/orders?query=16950</v>
      </c>
    </row>
    <row r="3102">
      <c r="A3102" s="93" t="str">
        <f t="shared" si="2"/>
        <v>#16951</v>
      </c>
      <c r="B3102" s="93" t="str">
        <f>IF(COUNTIF(MAIN!B:B, A3102)=0, "Missing", "")</f>
        <v>Missing</v>
      </c>
      <c r="C3102" s="128"/>
      <c r="E3102" s="131" t="str">
        <f t="shared" si="1"/>
        <v>https://utrucking.myshopify.com/admin/orders?query=16951</v>
      </c>
    </row>
    <row r="3103">
      <c r="A3103" s="93" t="str">
        <f t="shared" si="2"/>
        <v>#16952</v>
      </c>
      <c r="B3103" s="93" t="str">
        <f>IF(COUNTIF(MAIN!B:B, A3103)=0, "Missing", "")</f>
        <v>Missing</v>
      </c>
      <c r="C3103" s="128"/>
      <c r="E3103" s="131" t="str">
        <f t="shared" si="1"/>
        <v>https://utrucking.myshopify.com/admin/orders?query=16952</v>
      </c>
    </row>
    <row r="3104">
      <c r="A3104" s="93" t="str">
        <f t="shared" si="2"/>
        <v>#16953</v>
      </c>
      <c r="B3104" s="93" t="str">
        <f>IF(COUNTIF(MAIN!B:B, A3104)=0, "Missing", "")</f>
        <v>Missing</v>
      </c>
      <c r="C3104" s="128"/>
      <c r="E3104" s="131" t="str">
        <f t="shared" si="1"/>
        <v>https://utrucking.myshopify.com/admin/orders?query=16953</v>
      </c>
    </row>
    <row r="3105">
      <c r="A3105" s="93" t="str">
        <f t="shared" si="2"/>
        <v>#16954</v>
      </c>
      <c r="B3105" s="93" t="str">
        <f>IF(COUNTIF(MAIN!B:B, A3105)=0, "Missing", "")</f>
        <v>Missing</v>
      </c>
      <c r="C3105" s="128"/>
      <c r="E3105" s="131" t="str">
        <f t="shared" si="1"/>
        <v>https://utrucking.myshopify.com/admin/orders?query=16954</v>
      </c>
    </row>
    <row r="3106">
      <c r="A3106" s="93" t="str">
        <f t="shared" si="2"/>
        <v>#16955</v>
      </c>
      <c r="B3106" s="93" t="str">
        <f>IF(COUNTIF(MAIN!B:B, A3106)=0, "Missing", "")</f>
        <v>Missing</v>
      </c>
      <c r="C3106" s="128"/>
      <c r="E3106" s="131" t="str">
        <f t="shared" si="1"/>
        <v>https://utrucking.myshopify.com/admin/orders?query=16955</v>
      </c>
    </row>
    <row r="3107">
      <c r="A3107" s="93" t="str">
        <f t="shared" si="2"/>
        <v>#16956</v>
      </c>
      <c r="B3107" s="93" t="str">
        <f>IF(COUNTIF(MAIN!B:B, A3107)=0, "Missing", "")</f>
        <v>Missing</v>
      </c>
      <c r="C3107" s="128"/>
      <c r="E3107" s="131" t="str">
        <f t="shared" si="1"/>
        <v>https://utrucking.myshopify.com/admin/orders?query=16956</v>
      </c>
    </row>
    <row r="3108">
      <c r="A3108" s="93" t="str">
        <f t="shared" si="2"/>
        <v>#16957</v>
      </c>
      <c r="B3108" s="93" t="str">
        <f>IF(COUNTIF(MAIN!B:B, A3108)=0, "Missing", "")</f>
        <v>Missing</v>
      </c>
      <c r="C3108" s="128"/>
      <c r="E3108" s="131" t="str">
        <f t="shared" si="1"/>
        <v>https://utrucking.myshopify.com/admin/orders?query=16957</v>
      </c>
    </row>
    <row r="3109">
      <c r="A3109" s="93" t="str">
        <f t="shared" si="2"/>
        <v>#16958</v>
      </c>
      <c r="B3109" s="93" t="str">
        <f>IF(COUNTIF(MAIN!B:B, A3109)=0, "Missing", "")</f>
        <v>Missing</v>
      </c>
      <c r="C3109" s="128"/>
      <c r="E3109" s="131" t="str">
        <f t="shared" si="1"/>
        <v>https://utrucking.myshopify.com/admin/orders?query=16958</v>
      </c>
    </row>
    <row r="3110">
      <c r="A3110" s="93" t="str">
        <f t="shared" si="2"/>
        <v>#16959</v>
      </c>
      <c r="B3110" s="93" t="str">
        <f>IF(COUNTIF(MAIN!B:B, A3110)=0, "Missing", "")</f>
        <v>Missing</v>
      </c>
      <c r="C3110" s="128"/>
      <c r="E3110" s="131" t="str">
        <f t="shared" si="1"/>
        <v>https://utrucking.myshopify.com/admin/orders?query=16959</v>
      </c>
    </row>
    <row r="3111">
      <c r="A3111" s="93" t="str">
        <f t="shared" si="2"/>
        <v>#16960</v>
      </c>
      <c r="B3111" s="93" t="str">
        <f>IF(COUNTIF(MAIN!B:B, A3111)=0, "Missing", "")</f>
        <v>Missing</v>
      </c>
      <c r="C3111" s="128"/>
      <c r="E3111" s="131" t="str">
        <f t="shared" si="1"/>
        <v>https://utrucking.myshopify.com/admin/orders?query=16960</v>
      </c>
    </row>
    <row r="3112">
      <c r="A3112" s="93" t="str">
        <f t="shared" si="2"/>
        <v>#16961</v>
      </c>
      <c r="B3112" s="93" t="str">
        <f>IF(COUNTIF(MAIN!B:B, A3112)=0, "Missing", "")</f>
        <v>Missing</v>
      </c>
      <c r="C3112" s="128"/>
      <c r="E3112" s="131" t="str">
        <f t="shared" si="1"/>
        <v>https://utrucking.myshopify.com/admin/orders?query=16961</v>
      </c>
    </row>
    <row r="3113">
      <c r="A3113" s="93" t="str">
        <f t="shared" si="2"/>
        <v>#16962</v>
      </c>
      <c r="B3113" s="93" t="str">
        <f>IF(COUNTIF(MAIN!B:B, A3113)=0, "Missing", "")</f>
        <v>Missing</v>
      </c>
      <c r="C3113" s="128"/>
      <c r="E3113" s="131" t="str">
        <f t="shared" si="1"/>
        <v>https://utrucking.myshopify.com/admin/orders?query=16962</v>
      </c>
    </row>
    <row r="3114">
      <c r="A3114" s="93" t="str">
        <f t="shared" si="2"/>
        <v>#16963</v>
      </c>
      <c r="B3114" s="93" t="str">
        <f>IF(COUNTIF(MAIN!B:B, A3114)=0, "Missing", "")</f>
        <v>Missing</v>
      </c>
      <c r="C3114" s="128"/>
      <c r="E3114" s="131" t="str">
        <f t="shared" si="1"/>
        <v>https://utrucking.myshopify.com/admin/orders?query=16963</v>
      </c>
    </row>
    <row r="3115">
      <c r="A3115" s="93" t="str">
        <f t="shared" si="2"/>
        <v>#16964</v>
      </c>
      <c r="B3115" s="93" t="str">
        <f>IF(COUNTIF(MAIN!B:B, A3115)=0, "Missing", "")</f>
        <v>Missing</v>
      </c>
      <c r="C3115" s="128"/>
      <c r="E3115" s="131" t="str">
        <f t="shared" si="1"/>
        <v>https://utrucking.myshopify.com/admin/orders?query=16964</v>
      </c>
    </row>
    <row r="3116">
      <c r="A3116" s="93" t="str">
        <f t="shared" si="2"/>
        <v>#16965</v>
      </c>
      <c r="B3116" s="93" t="str">
        <f>IF(COUNTIF(MAIN!B:B, A3116)=0, "Missing", "")</f>
        <v>Missing</v>
      </c>
      <c r="C3116" s="128"/>
      <c r="E3116" s="131" t="str">
        <f t="shared" si="1"/>
        <v>https://utrucking.myshopify.com/admin/orders?query=16965</v>
      </c>
    </row>
    <row r="3117">
      <c r="A3117" s="93" t="str">
        <f t="shared" si="2"/>
        <v>#16966</v>
      </c>
      <c r="B3117" s="93" t="str">
        <f>IF(COUNTIF(MAIN!B:B, A3117)=0, "Missing", "")</f>
        <v>Missing</v>
      </c>
      <c r="C3117" s="128"/>
      <c r="E3117" s="131" t="str">
        <f t="shared" si="1"/>
        <v>https://utrucking.myshopify.com/admin/orders?query=16966</v>
      </c>
    </row>
    <row r="3118">
      <c r="A3118" s="93" t="str">
        <f t="shared" si="2"/>
        <v>#16967</v>
      </c>
      <c r="B3118" s="93" t="str">
        <f>IF(COUNTIF(MAIN!B:B, A3118)=0, "Missing", "")</f>
        <v>Missing</v>
      </c>
      <c r="C3118" s="128"/>
      <c r="E3118" s="131" t="str">
        <f t="shared" si="1"/>
        <v>https://utrucking.myshopify.com/admin/orders?query=16967</v>
      </c>
    </row>
    <row r="3119">
      <c r="A3119" s="93" t="str">
        <f t="shared" si="2"/>
        <v>#16968</v>
      </c>
      <c r="B3119" s="93" t="str">
        <f>IF(COUNTIF(MAIN!B:B, A3119)=0, "Missing", "")</f>
        <v>Missing</v>
      </c>
      <c r="C3119" s="128"/>
      <c r="E3119" s="131" t="str">
        <f t="shared" si="1"/>
        <v>https://utrucking.myshopify.com/admin/orders?query=16968</v>
      </c>
    </row>
    <row r="3120">
      <c r="A3120" s="93" t="str">
        <f t="shared" si="2"/>
        <v>#16969</v>
      </c>
      <c r="B3120" s="93" t="str">
        <f>IF(COUNTIF(MAIN!B:B, A3120)=0, "Missing", "")</f>
        <v>Missing</v>
      </c>
      <c r="C3120" s="128"/>
      <c r="E3120" s="131" t="str">
        <f t="shared" si="1"/>
        <v>https://utrucking.myshopify.com/admin/orders?query=16969</v>
      </c>
    </row>
    <row r="3121">
      <c r="A3121" s="93" t="str">
        <f t="shared" si="2"/>
        <v>#16970</v>
      </c>
      <c r="B3121" s="93" t="str">
        <f>IF(COUNTIF(MAIN!B:B, A3121)=0, "Missing", "")</f>
        <v>Missing</v>
      </c>
      <c r="C3121" s="128"/>
      <c r="E3121" s="131" t="str">
        <f t="shared" si="1"/>
        <v>https://utrucking.myshopify.com/admin/orders?query=16970</v>
      </c>
    </row>
    <row r="3122">
      <c r="A3122" s="93" t="str">
        <f t="shared" si="2"/>
        <v>#16971</v>
      </c>
      <c r="B3122" s="93" t="str">
        <f>IF(COUNTIF(MAIN!B:B, A3122)=0, "Missing", "")</f>
        <v>Missing</v>
      </c>
      <c r="C3122" s="128"/>
      <c r="E3122" s="131" t="str">
        <f t="shared" si="1"/>
        <v>https://utrucking.myshopify.com/admin/orders?query=16971</v>
      </c>
    </row>
    <row r="3123">
      <c r="A3123" s="93" t="str">
        <f t="shared" si="2"/>
        <v>#16972</v>
      </c>
      <c r="B3123" s="93" t="str">
        <f>IF(COUNTIF(MAIN!B:B, A3123)=0, "Missing", "")</f>
        <v>Missing</v>
      </c>
      <c r="C3123" s="128"/>
      <c r="E3123" s="131" t="str">
        <f t="shared" si="1"/>
        <v>https://utrucking.myshopify.com/admin/orders?query=16972</v>
      </c>
    </row>
    <row r="3124">
      <c r="A3124" s="93" t="str">
        <f t="shared" si="2"/>
        <v>#16973</v>
      </c>
      <c r="B3124" s="93" t="str">
        <f>IF(COUNTIF(MAIN!B:B, A3124)=0, "Missing", "")</f>
        <v>Missing</v>
      </c>
      <c r="C3124" s="128"/>
      <c r="E3124" s="131" t="str">
        <f t="shared" si="1"/>
        <v>https://utrucking.myshopify.com/admin/orders?query=16973</v>
      </c>
    </row>
    <row r="3125">
      <c r="A3125" s="93" t="str">
        <f t="shared" si="2"/>
        <v>#16974</v>
      </c>
      <c r="B3125" s="93" t="str">
        <f>IF(COUNTIF(MAIN!B:B, A3125)=0, "Missing", "")</f>
        <v>Missing</v>
      </c>
      <c r="C3125" s="128"/>
      <c r="E3125" s="131" t="str">
        <f t="shared" si="1"/>
        <v>https://utrucking.myshopify.com/admin/orders?query=16974</v>
      </c>
    </row>
    <row r="3126">
      <c r="A3126" s="93" t="str">
        <f t="shared" si="2"/>
        <v>#16975</v>
      </c>
      <c r="B3126" s="93" t="str">
        <f>IF(COUNTIF(MAIN!B:B, A3126)=0, "Missing", "")</f>
        <v>Missing</v>
      </c>
      <c r="C3126" s="128"/>
      <c r="E3126" s="131" t="str">
        <f t="shared" si="1"/>
        <v>https://utrucking.myshopify.com/admin/orders?query=16975</v>
      </c>
    </row>
    <row r="3127">
      <c r="A3127" s="93" t="str">
        <f t="shared" si="2"/>
        <v>#16976</v>
      </c>
      <c r="B3127" s="93" t="str">
        <f>IF(COUNTIF(MAIN!B:B, A3127)=0, "Missing", "")</f>
        <v>Missing</v>
      </c>
      <c r="C3127" s="128"/>
      <c r="E3127" s="131" t="str">
        <f t="shared" si="1"/>
        <v>https://utrucking.myshopify.com/admin/orders?query=16976</v>
      </c>
    </row>
    <row r="3128">
      <c r="A3128" s="93" t="str">
        <f t="shared" si="2"/>
        <v>#16977</v>
      </c>
      <c r="B3128" s="93" t="str">
        <f>IF(COUNTIF(MAIN!B:B, A3128)=0, "Missing", "")</f>
        <v>Missing</v>
      </c>
      <c r="C3128" s="128"/>
      <c r="E3128" s="131" t="str">
        <f t="shared" si="1"/>
        <v>https://utrucking.myshopify.com/admin/orders?query=16977</v>
      </c>
    </row>
    <row r="3129">
      <c r="A3129" s="93" t="str">
        <f t="shared" si="2"/>
        <v>#16978</v>
      </c>
      <c r="B3129" s="93" t="str">
        <f>IF(COUNTIF(MAIN!B:B, A3129)=0, "Missing", "")</f>
        <v>Missing</v>
      </c>
      <c r="C3129" s="128"/>
      <c r="E3129" s="131" t="str">
        <f t="shared" si="1"/>
        <v>https://utrucking.myshopify.com/admin/orders?query=16978</v>
      </c>
    </row>
    <row r="3130">
      <c r="A3130" s="93" t="str">
        <f t="shared" si="2"/>
        <v>#16979</v>
      </c>
      <c r="B3130" s="93" t="str">
        <f>IF(COUNTIF(MAIN!B:B, A3130)=0, "Missing", "")</f>
        <v>Missing</v>
      </c>
      <c r="C3130" s="128"/>
      <c r="E3130" s="131" t="str">
        <f t="shared" si="1"/>
        <v>https://utrucking.myshopify.com/admin/orders?query=16979</v>
      </c>
    </row>
    <row r="3131">
      <c r="A3131" s="93" t="str">
        <f t="shared" si="2"/>
        <v>#16980</v>
      </c>
      <c r="B3131" s="93" t="str">
        <f>IF(COUNTIF(MAIN!B:B, A3131)=0, "Missing", "")</f>
        <v>Missing</v>
      </c>
      <c r="C3131" s="128"/>
      <c r="E3131" s="131" t="str">
        <f t="shared" si="1"/>
        <v>https://utrucking.myshopify.com/admin/orders?query=16980</v>
      </c>
    </row>
    <row r="3132">
      <c r="A3132" s="93" t="str">
        <f t="shared" si="2"/>
        <v>#16981</v>
      </c>
      <c r="B3132" s="93" t="str">
        <f>IF(COUNTIF(MAIN!B:B, A3132)=0, "Missing", "")</f>
        <v>Missing</v>
      </c>
      <c r="C3132" s="128"/>
      <c r="E3132" s="131" t="str">
        <f t="shared" si="1"/>
        <v>https://utrucking.myshopify.com/admin/orders?query=16981</v>
      </c>
    </row>
    <row r="3133">
      <c r="A3133" s="93" t="str">
        <f t="shared" si="2"/>
        <v>#16982</v>
      </c>
      <c r="B3133" s="93" t="str">
        <f>IF(COUNTIF(MAIN!B:B, A3133)=0, "Missing", "")</f>
        <v>Missing</v>
      </c>
      <c r="C3133" s="128"/>
      <c r="E3133" s="131" t="str">
        <f t="shared" si="1"/>
        <v>https://utrucking.myshopify.com/admin/orders?query=16982</v>
      </c>
    </row>
    <row r="3134">
      <c r="A3134" s="93" t="str">
        <f t="shared" si="2"/>
        <v>#16983</v>
      </c>
      <c r="B3134" s="93" t="str">
        <f>IF(COUNTIF(MAIN!B:B, A3134)=0, "Missing", "")</f>
        <v>Missing</v>
      </c>
      <c r="C3134" s="128"/>
      <c r="E3134" s="131" t="str">
        <f t="shared" si="1"/>
        <v>https://utrucking.myshopify.com/admin/orders?query=16983</v>
      </c>
    </row>
    <row r="3135">
      <c r="A3135" s="93" t="str">
        <f t="shared" si="2"/>
        <v>#16984</v>
      </c>
      <c r="B3135" s="93" t="str">
        <f>IF(COUNTIF(MAIN!B:B, A3135)=0, "Missing", "")</f>
        <v>Missing</v>
      </c>
      <c r="C3135" s="128"/>
      <c r="E3135" s="131" t="str">
        <f t="shared" si="1"/>
        <v>https://utrucking.myshopify.com/admin/orders?query=16984</v>
      </c>
    </row>
    <row r="3136">
      <c r="A3136" s="93" t="str">
        <f t="shared" si="2"/>
        <v>#16985</v>
      </c>
      <c r="B3136" s="93" t="str">
        <f>IF(COUNTIF(MAIN!B:B, A3136)=0, "Missing", "")</f>
        <v>Missing</v>
      </c>
      <c r="C3136" s="128"/>
      <c r="E3136" s="131" t="str">
        <f t="shared" si="1"/>
        <v>https://utrucking.myshopify.com/admin/orders?query=16985</v>
      </c>
    </row>
    <row r="3137">
      <c r="A3137" s="93" t="str">
        <f t="shared" si="2"/>
        <v>#16986</v>
      </c>
      <c r="B3137" s="93" t="str">
        <f>IF(COUNTIF(MAIN!B:B, A3137)=0, "Missing", "")</f>
        <v>Missing</v>
      </c>
      <c r="C3137" s="128"/>
      <c r="E3137" s="131" t="str">
        <f t="shared" si="1"/>
        <v>https://utrucking.myshopify.com/admin/orders?query=16986</v>
      </c>
    </row>
    <row r="3138">
      <c r="A3138" s="93" t="str">
        <f t="shared" si="2"/>
        <v>#16987</v>
      </c>
      <c r="B3138" s="93" t="str">
        <f>IF(COUNTIF(MAIN!B:B, A3138)=0, "Missing", "")</f>
        <v>Missing</v>
      </c>
      <c r="C3138" s="128"/>
      <c r="E3138" s="131" t="str">
        <f t="shared" si="1"/>
        <v>https://utrucking.myshopify.com/admin/orders?query=16987</v>
      </c>
    </row>
    <row r="3139">
      <c r="A3139" s="93" t="str">
        <f t="shared" si="2"/>
        <v>#16988</v>
      </c>
      <c r="B3139" s="93" t="str">
        <f>IF(COUNTIF(MAIN!B:B, A3139)=0, "Missing", "")</f>
        <v>Missing</v>
      </c>
      <c r="C3139" s="128"/>
      <c r="E3139" s="131" t="str">
        <f t="shared" si="1"/>
        <v>https://utrucking.myshopify.com/admin/orders?query=16988</v>
      </c>
    </row>
    <row r="3140">
      <c r="A3140" s="93" t="str">
        <f t="shared" si="2"/>
        <v>#16989</v>
      </c>
      <c r="B3140" s="93" t="str">
        <f>IF(COUNTIF(MAIN!B:B, A3140)=0, "Missing", "")</f>
        <v/>
      </c>
      <c r="C3140" s="128"/>
      <c r="E3140" s="128" t="str">
        <f t="shared" si="1"/>
        <v/>
      </c>
    </row>
    <row r="3141">
      <c r="A3141" s="93" t="str">
        <f t="shared" si="2"/>
        <v>#16990</v>
      </c>
      <c r="B3141" s="93" t="str">
        <f>IF(COUNTIF(MAIN!B:B, A3141)=0, "Missing", "")</f>
        <v>Missing</v>
      </c>
      <c r="C3141" s="128"/>
      <c r="E3141" s="131" t="str">
        <f t="shared" si="1"/>
        <v>https://utrucking.myshopify.com/admin/orders?query=16990</v>
      </c>
    </row>
    <row r="3142">
      <c r="A3142" s="93" t="str">
        <f t="shared" si="2"/>
        <v>#16991</v>
      </c>
      <c r="B3142" s="93" t="str">
        <f>IF(COUNTIF(MAIN!B:B, A3142)=0, "Missing", "")</f>
        <v>Missing</v>
      </c>
      <c r="C3142" s="128"/>
      <c r="E3142" s="131" t="str">
        <f t="shared" si="1"/>
        <v>https://utrucking.myshopify.com/admin/orders?query=16991</v>
      </c>
    </row>
    <row r="3143">
      <c r="A3143" s="93" t="str">
        <f t="shared" si="2"/>
        <v>#16992</v>
      </c>
      <c r="B3143" s="93" t="str">
        <f>IF(COUNTIF(MAIN!B:B, A3143)=0, "Missing", "")</f>
        <v>Missing</v>
      </c>
      <c r="C3143" s="128"/>
      <c r="E3143" s="131" t="str">
        <f t="shared" si="1"/>
        <v>https://utrucking.myshopify.com/admin/orders?query=16992</v>
      </c>
    </row>
    <row r="3144">
      <c r="A3144" s="93" t="str">
        <f t="shared" si="2"/>
        <v>#16993</v>
      </c>
      <c r="B3144" s="93" t="str">
        <f>IF(COUNTIF(MAIN!B:B, A3144)=0, "Missing", "")</f>
        <v>Missing</v>
      </c>
      <c r="C3144" s="128"/>
      <c r="E3144" s="131" t="str">
        <f t="shared" si="1"/>
        <v>https://utrucking.myshopify.com/admin/orders?query=16993</v>
      </c>
    </row>
    <row r="3145">
      <c r="A3145" s="93" t="str">
        <f t="shared" si="2"/>
        <v>#16994</v>
      </c>
      <c r="B3145" s="93" t="str">
        <f>IF(COUNTIF(MAIN!B:B, A3145)=0, "Missing", "")</f>
        <v>Missing</v>
      </c>
      <c r="C3145" s="128"/>
      <c r="E3145" s="131" t="str">
        <f t="shared" si="1"/>
        <v>https://utrucking.myshopify.com/admin/orders?query=16994</v>
      </c>
    </row>
    <row r="3146">
      <c r="A3146" s="93" t="str">
        <f t="shared" si="2"/>
        <v>#16995</v>
      </c>
      <c r="B3146" s="93" t="str">
        <f>IF(COUNTIF(MAIN!B:B, A3146)=0, "Missing", "")</f>
        <v>Missing</v>
      </c>
      <c r="C3146" s="128"/>
      <c r="E3146" s="131" t="str">
        <f t="shared" si="1"/>
        <v>https://utrucking.myshopify.com/admin/orders?query=16995</v>
      </c>
    </row>
    <row r="3147">
      <c r="A3147" s="93" t="str">
        <f t="shared" si="2"/>
        <v>#16996</v>
      </c>
      <c r="B3147" s="93" t="str">
        <f>IF(COUNTIF(MAIN!B:B, A3147)=0, "Missing", "")</f>
        <v>Missing</v>
      </c>
      <c r="C3147" s="128"/>
      <c r="E3147" s="131" t="str">
        <f t="shared" si="1"/>
        <v>https://utrucking.myshopify.com/admin/orders?query=16996</v>
      </c>
    </row>
    <row r="3148">
      <c r="A3148" s="93" t="str">
        <f t="shared" si="2"/>
        <v>#16997</v>
      </c>
      <c r="B3148" s="93" t="str">
        <f>IF(COUNTIF(MAIN!B:B, A3148)=0, "Missing", "")</f>
        <v>Missing</v>
      </c>
      <c r="C3148" s="128"/>
      <c r="E3148" s="131" t="str">
        <f t="shared" si="1"/>
        <v>https://utrucking.myshopify.com/admin/orders?query=16997</v>
      </c>
    </row>
    <row r="3149">
      <c r="A3149" s="93" t="str">
        <f t="shared" si="2"/>
        <v>#16998</v>
      </c>
      <c r="B3149" s="93" t="str">
        <f>IF(COUNTIF(MAIN!B:B, A3149)=0, "Missing", "")</f>
        <v>Missing</v>
      </c>
      <c r="C3149" s="128"/>
      <c r="E3149" s="131" t="str">
        <f t="shared" si="1"/>
        <v>https://utrucking.myshopify.com/admin/orders?query=16998</v>
      </c>
    </row>
    <row r="3150">
      <c r="A3150" s="93" t="str">
        <f t="shared" si="2"/>
        <v>#16999</v>
      </c>
      <c r="B3150" s="93" t="str">
        <f>IF(COUNTIF(MAIN!B:B, A3150)=0, "Missing", "")</f>
        <v>Missing</v>
      </c>
      <c r="C3150" s="128"/>
      <c r="E3150" s="131" t="str">
        <f t="shared" si="1"/>
        <v>https://utrucking.myshopify.com/admin/orders?query=16999</v>
      </c>
    </row>
    <row r="3151">
      <c r="A3151" s="93" t="str">
        <f t="shared" si="2"/>
        <v>#17000</v>
      </c>
      <c r="B3151" s="93" t="str">
        <f>IF(COUNTIF(MAIN!B:B, A3151)=0, "Missing", "")</f>
        <v>Missing</v>
      </c>
      <c r="C3151" s="128"/>
      <c r="E3151" s="131" t="str">
        <f t="shared" si="1"/>
        <v>https://utrucking.myshopify.com/admin/orders?query=17000</v>
      </c>
    </row>
    <row r="3152">
      <c r="A3152" s="93" t="str">
        <f t="shared" si="2"/>
        <v>#17001</v>
      </c>
      <c r="B3152" s="93" t="str">
        <f>IF(COUNTIF(MAIN!B:B, A3152)=0, "Missing", "")</f>
        <v>Missing</v>
      </c>
      <c r="C3152" s="128"/>
      <c r="E3152" s="131" t="str">
        <f t="shared" si="1"/>
        <v>https://utrucking.myshopify.com/admin/orders?query=17001</v>
      </c>
    </row>
    <row r="3153">
      <c r="A3153" s="93" t="str">
        <f t="shared" si="2"/>
        <v>#17002</v>
      </c>
      <c r="B3153" s="93" t="str">
        <f>IF(COUNTIF(MAIN!B:B, A3153)=0, "Missing", "")</f>
        <v>Missing</v>
      </c>
      <c r="C3153" s="128"/>
      <c r="E3153" s="131" t="str">
        <f t="shared" si="1"/>
        <v>https://utrucking.myshopify.com/admin/orders?query=17002</v>
      </c>
    </row>
    <row r="3154">
      <c r="A3154" s="93" t="str">
        <f t="shared" si="2"/>
        <v>#17003</v>
      </c>
      <c r="B3154" s="93" t="str">
        <f>IF(COUNTIF(MAIN!B:B, A3154)=0, "Missing", "")</f>
        <v>Missing</v>
      </c>
      <c r="C3154" s="128"/>
      <c r="E3154" s="131" t="str">
        <f t="shared" si="1"/>
        <v>https://utrucking.myshopify.com/admin/orders?query=17003</v>
      </c>
    </row>
    <row r="3155">
      <c r="A3155" s="93" t="str">
        <f t="shared" si="2"/>
        <v>#17004</v>
      </c>
      <c r="B3155" s="93" t="str">
        <f>IF(COUNTIF(MAIN!B:B, A3155)=0, "Missing", "")</f>
        <v>Missing</v>
      </c>
      <c r="C3155" s="128"/>
      <c r="E3155" s="131" t="str">
        <f t="shared" si="1"/>
        <v>https://utrucking.myshopify.com/admin/orders?query=17004</v>
      </c>
    </row>
    <row r="3156">
      <c r="A3156" s="93" t="str">
        <f t="shared" si="2"/>
        <v>#17005</v>
      </c>
      <c r="B3156" s="93" t="str">
        <f>IF(COUNTIF(MAIN!B:B, A3156)=0, "Missing", "")</f>
        <v>Missing</v>
      </c>
      <c r="C3156" s="128"/>
      <c r="E3156" s="131" t="str">
        <f t="shared" si="1"/>
        <v>https://utrucking.myshopify.com/admin/orders?query=17005</v>
      </c>
    </row>
    <row r="3157">
      <c r="A3157" s="93" t="str">
        <f t="shared" si="2"/>
        <v>#17006</v>
      </c>
      <c r="B3157" s="93" t="str">
        <f>IF(COUNTIF(MAIN!B:B, A3157)=0, "Missing", "")</f>
        <v>Missing</v>
      </c>
      <c r="C3157" s="128"/>
      <c r="E3157" s="131" t="str">
        <f t="shared" si="1"/>
        <v>https://utrucking.myshopify.com/admin/orders?query=17006</v>
      </c>
    </row>
    <row r="3158">
      <c r="A3158" s="93" t="str">
        <f t="shared" si="2"/>
        <v>#17007</v>
      </c>
      <c r="B3158" s="93" t="str">
        <f>IF(COUNTIF(MAIN!B:B, A3158)=0, "Missing", "")</f>
        <v>Missing</v>
      </c>
      <c r="C3158" s="128"/>
      <c r="E3158" s="131" t="str">
        <f t="shared" si="1"/>
        <v>https://utrucking.myshopify.com/admin/orders?query=17007</v>
      </c>
    </row>
    <row r="3159">
      <c r="A3159" s="93" t="str">
        <f t="shared" si="2"/>
        <v>#17008</v>
      </c>
      <c r="B3159" s="93" t="str">
        <f>IF(COUNTIF(MAIN!B:B, A3159)=0, "Missing", "")</f>
        <v>Missing</v>
      </c>
      <c r="C3159" s="128"/>
      <c r="E3159" s="131" t="str">
        <f t="shared" si="1"/>
        <v>https://utrucking.myshopify.com/admin/orders?query=17008</v>
      </c>
    </row>
    <row r="3160">
      <c r="A3160" s="93" t="str">
        <f t="shared" si="2"/>
        <v>#17009</v>
      </c>
      <c r="B3160" s="93" t="str">
        <f>IF(COUNTIF(MAIN!B:B, A3160)=0, "Missing", "")</f>
        <v>Missing</v>
      </c>
      <c r="C3160" s="128"/>
      <c r="E3160" s="131" t="str">
        <f t="shared" si="1"/>
        <v>https://utrucking.myshopify.com/admin/orders?query=17009</v>
      </c>
    </row>
    <row r="3161">
      <c r="A3161" s="93" t="str">
        <f t="shared" si="2"/>
        <v>#17010</v>
      </c>
      <c r="B3161" s="93" t="str">
        <f>IF(COUNTIF(MAIN!B:B, A3161)=0, "Missing", "")</f>
        <v>Missing</v>
      </c>
      <c r="C3161" s="128"/>
      <c r="E3161" s="131" t="str">
        <f t="shared" si="1"/>
        <v>https://utrucking.myshopify.com/admin/orders?query=17010</v>
      </c>
    </row>
    <row r="3162">
      <c r="A3162" s="93" t="str">
        <f t="shared" si="2"/>
        <v>#17011</v>
      </c>
      <c r="B3162" s="93" t="str">
        <f>IF(COUNTIF(MAIN!B:B, A3162)=0, "Missing", "")</f>
        <v>Missing</v>
      </c>
      <c r="C3162" s="128"/>
      <c r="E3162" s="131" t="str">
        <f t="shared" si="1"/>
        <v>https://utrucking.myshopify.com/admin/orders?query=17011</v>
      </c>
    </row>
    <row r="3163">
      <c r="A3163" s="93" t="str">
        <f t="shared" si="2"/>
        <v>#17012</v>
      </c>
      <c r="B3163" s="93" t="str">
        <f>IF(COUNTIF(MAIN!B:B, A3163)=0, "Missing", "")</f>
        <v>Missing</v>
      </c>
      <c r="C3163" s="128"/>
      <c r="E3163" s="131" t="str">
        <f t="shared" si="1"/>
        <v>https://utrucking.myshopify.com/admin/orders?query=17012</v>
      </c>
    </row>
    <row r="3164">
      <c r="A3164" s="93" t="str">
        <f t="shared" si="2"/>
        <v>#17013</v>
      </c>
      <c r="B3164" s="93" t="str">
        <f>IF(COUNTIF(MAIN!B:B, A3164)=0, "Missing", "")</f>
        <v>Missing</v>
      </c>
      <c r="C3164" s="128"/>
      <c r="E3164" s="131" t="str">
        <f t="shared" si="1"/>
        <v>https://utrucking.myshopify.com/admin/orders?query=17013</v>
      </c>
    </row>
    <row r="3165">
      <c r="A3165" s="93" t="str">
        <f t="shared" si="2"/>
        <v>#17014</v>
      </c>
      <c r="B3165" s="93" t="str">
        <f>IF(COUNTIF(MAIN!B:B, A3165)=0, "Missing", "")</f>
        <v>Missing</v>
      </c>
      <c r="C3165" s="128"/>
      <c r="E3165" s="131" t="str">
        <f t="shared" si="1"/>
        <v>https://utrucking.myshopify.com/admin/orders?query=17014</v>
      </c>
    </row>
    <row r="3166">
      <c r="A3166" s="93" t="str">
        <f t="shared" si="2"/>
        <v>#17015</v>
      </c>
      <c r="B3166" s="93" t="str">
        <f>IF(COUNTIF(MAIN!B:B, A3166)=0, "Missing", "")</f>
        <v>Missing</v>
      </c>
      <c r="C3166" s="128"/>
      <c r="E3166" s="131" t="str">
        <f t="shared" si="1"/>
        <v>https://utrucking.myshopify.com/admin/orders?query=17015</v>
      </c>
    </row>
    <row r="3167">
      <c r="A3167" s="93" t="str">
        <f t="shared" si="2"/>
        <v>#17016</v>
      </c>
      <c r="B3167" s="93" t="str">
        <f>IF(COUNTIF(MAIN!B:B, A3167)=0, "Missing", "")</f>
        <v>Missing</v>
      </c>
      <c r="C3167" s="128"/>
      <c r="E3167" s="131" t="str">
        <f t="shared" si="1"/>
        <v>https://utrucking.myshopify.com/admin/orders?query=17016</v>
      </c>
    </row>
    <row r="3168">
      <c r="A3168" s="93" t="str">
        <f t="shared" si="2"/>
        <v>#17017</v>
      </c>
      <c r="B3168" s="93" t="str">
        <f>IF(COUNTIF(MAIN!B:B, A3168)=0, "Missing", "")</f>
        <v>Missing</v>
      </c>
      <c r="C3168" s="128"/>
      <c r="E3168" s="131" t="str">
        <f t="shared" si="1"/>
        <v>https://utrucking.myshopify.com/admin/orders?query=17017</v>
      </c>
    </row>
    <row r="3169">
      <c r="A3169" s="93" t="str">
        <f t="shared" si="2"/>
        <v>#17018</v>
      </c>
      <c r="B3169" s="93" t="str">
        <f>IF(COUNTIF(MAIN!B:B, A3169)=0, "Missing", "")</f>
        <v>Missing</v>
      </c>
      <c r="C3169" s="128"/>
      <c r="E3169" s="131" t="str">
        <f t="shared" si="1"/>
        <v>https://utrucking.myshopify.com/admin/orders?query=17018</v>
      </c>
    </row>
    <row r="3170">
      <c r="A3170" s="93" t="str">
        <f t="shared" si="2"/>
        <v>#17019</v>
      </c>
      <c r="B3170" s="93" t="str">
        <f>IF(COUNTIF(MAIN!B:B, A3170)=0, "Missing", "")</f>
        <v>Missing</v>
      </c>
      <c r="C3170" s="128"/>
      <c r="E3170" s="131" t="str">
        <f t="shared" si="1"/>
        <v>https://utrucking.myshopify.com/admin/orders?query=17019</v>
      </c>
    </row>
    <row r="3171">
      <c r="A3171" s="93" t="str">
        <f t="shared" si="2"/>
        <v>#17020</v>
      </c>
      <c r="B3171" s="93" t="str">
        <f>IF(COUNTIF(MAIN!B:B, A3171)=0, "Missing", "")</f>
        <v>Missing</v>
      </c>
      <c r="C3171" s="128"/>
      <c r="E3171" s="131" t="str">
        <f t="shared" si="1"/>
        <v>https://utrucking.myshopify.com/admin/orders?query=17020</v>
      </c>
    </row>
    <row r="3172">
      <c r="A3172" s="93" t="str">
        <f t="shared" si="2"/>
        <v>#17021</v>
      </c>
      <c r="B3172" s="93" t="str">
        <f>IF(COUNTIF(MAIN!B:B, A3172)=0, "Missing", "")</f>
        <v>Missing</v>
      </c>
      <c r="C3172" s="128"/>
      <c r="E3172" s="131" t="str">
        <f t="shared" si="1"/>
        <v>https://utrucking.myshopify.com/admin/orders?query=17021</v>
      </c>
    </row>
    <row r="3173">
      <c r="A3173" s="93" t="str">
        <f t="shared" si="2"/>
        <v>#17022</v>
      </c>
      <c r="B3173" s="93" t="str">
        <f>IF(COUNTIF(MAIN!B:B, A3173)=0, "Missing", "")</f>
        <v>Missing</v>
      </c>
      <c r="C3173" s="128"/>
      <c r="E3173" s="131" t="str">
        <f t="shared" si="1"/>
        <v>https://utrucking.myshopify.com/admin/orders?query=17022</v>
      </c>
    </row>
    <row r="3174">
      <c r="A3174" s="93" t="str">
        <f t="shared" si="2"/>
        <v>#17023</v>
      </c>
      <c r="B3174" s="93" t="str">
        <f>IF(COUNTIF(MAIN!B:B, A3174)=0, "Missing", "")</f>
        <v>Missing</v>
      </c>
      <c r="C3174" s="128"/>
      <c r="E3174" s="131" t="str">
        <f t="shared" si="1"/>
        <v>https://utrucking.myshopify.com/admin/orders?query=17023</v>
      </c>
    </row>
    <row r="3175">
      <c r="A3175" s="93" t="str">
        <f t="shared" si="2"/>
        <v>#17024</v>
      </c>
      <c r="B3175" s="93" t="str">
        <f>IF(COUNTIF(MAIN!B:B, A3175)=0, "Missing", "")</f>
        <v>Missing</v>
      </c>
      <c r="C3175" s="128"/>
      <c r="E3175" s="131" t="str">
        <f t="shared" si="1"/>
        <v>https://utrucking.myshopify.com/admin/orders?query=17024</v>
      </c>
    </row>
    <row r="3176">
      <c r="A3176" s="93" t="str">
        <f t="shared" si="2"/>
        <v>#17025</v>
      </c>
      <c r="B3176" s="93" t="str">
        <f>IF(COUNTIF(MAIN!B:B, A3176)=0, "Missing", "")</f>
        <v>Missing</v>
      </c>
      <c r="C3176" s="128"/>
      <c r="E3176" s="131" t="str">
        <f t="shared" si="1"/>
        <v>https://utrucking.myshopify.com/admin/orders?query=17025</v>
      </c>
    </row>
    <row r="3177">
      <c r="A3177" s="93" t="str">
        <f t="shared" si="2"/>
        <v>#17026</v>
      </c>
      <c r="B3177" s="93" t="str">
        <f>IF(COUNTIF(MAIN!B:B, A3177)=0, "Missing", "")</f>
        <v>Missing</v>
      </c>
      <c r="C3177" s="128"/>
      <c r="E3177" s="131" t="str">
        <f t="shared" si="1"/>
        <v>https://utrucking.myshopify.com/admin/orders?query=17026</v>
      </c>
    </row>
    <row r="3178">
      <c r="A3178" s="93" t="str">
        <f t="shared" si="2"/>
        <v>#17027</v>
      </c>
      <c r="B3178" s="93" t="str">
        <f>IF(COUNTIF(MAIN!B:B, A3178)=0, "Missing", "")</f>
        <v>Missing</v>
      </c>
      <c r="C3178" s="128"/>
      <c r="E3178" s="131" t="str">
        <f t="shared" si="1"/>
        <v>https://utrucking.myshopify.com/admin/orders?query=17027</v>
      </c>
    </row>
    <row r="3179">
      <c r="A3179" s="93" t="str">
        <f t="shared" si="2"/>
        <v>#17028</v>
      </c>
      <c r="B3179" s="93" t="str">
        <f>IF(COUNTIF(MAIN!B:B, A3179)=0, "Missing", "")</f>
        <v>Missing</v>
      </c>
      <c r="C3179" s="128"/>
      <c r="E3179" s="131" t="str">
        <f t="shared" si="1"/>
        <v>https://utrucking.myshopify.com/admin/orders?query=17028</v>
      </c>
    </row>
    <row r="3180">
      <c r="A3180" s="93" t="str">
        <f t="shared" si="2"/>
        <v>#17029</v>
      </c>
      <c r="B3180" s="93" t="str">
        <f>IF(COUNTIF(MAIN!B:B, A3180)=0, "Missing", "")</f>
        <v>Missing</v>
      </c>
      <c r="C3180" s="128"/>
      <c r="E3180" s="131" t="str">
        <f t="shared" si="1"/>
        <v>https://utrucking.myshopify.com/admin/orders?query=17029</v>
      </c>
    </row>
    <row r="3181">
      <c r="A3181" s="93" t="str">
        <f t="shared" si="2"/>
        <v>#17030</v>
      </c>
      <c r="B3181" s="93" t="str">
        <f>IF(COUNTIF(MAIN!B:B, A3181)=0, "Missing", "")</f>
        <v>Missing</v>
      </c>
      <c r="C3181" s="128"/>
      <c r="E3181" s="131" t="str">
        <f t="shared" si="1"/>
        <v>https://utrucking.myshopify.com/admin/orders?query=17030</v>
      </c>
    </row>
    <row r="3182">
      <c r="A3182" s="93" t="str">
        <f t="shared" si="2"/>
        <v>#17031</v>
      </c>
      <c r="B3182" s="93" t="str">
        <f>IF(COUNTIF(MAIN!B:B, A3182)=0, "Missing", "")</f>
        <v>Missing</v>
      </c>
      <c r="C3182" s="128"/>
      <c r="E3182" s="131" t="str">
        <f t="shared" si="1"/>
        <v>https://utrucking.myshopify.com/admin/orders?query=17031</v>
      </c>
    </row>
    <row r="3183">
      <c r="A3183" s="93" t="str">
        <f t="shared" si="2"/>
        <v>#17032</v>
      </c>
      <c r="B3183" s="93" t="str">
        <f>IF(COUNTIF(MAIN!B:B, A3183)=0, "Missing", "")</f>
        <v>Missing</v>
      </c>
      <c r="C3183" s="128"/>
      <c r="E3183" s="131" t="str">
        <f t="shared" si="1"/>
        <v>https://utrucking.myshopify.com/admin/orders?query=17032</v>
      </c>
    </row>
    <row r="3184">
      <c r="A3184" s="93" t="str">
        <f t="shared" si="2"/>
        <v>#17033</v>
      </c>
      <c r="B3184" s="93" t="str">
        <f>IF(COUNTIF(MAIN!B:B, A3184)=0, "Missing", "")</f>
        <v>Missing</v>
      </c>
      <c r="C3184" s="128"/>
      <c r="E3184" s="131" t="str">
        <f t="shared" si="1"/>
        <v>https://utrucking.myshopify.com/admin/orders?query=17033</v>
      </c>
    </row>
    <row r="3185">
      <c r="A3185" s="93" t="str">
        <f t="shared" si="2"/>
        <v>#17034</v>
      </c>
      <c r="B3185" s="93" t="str">
        <f>IF(COUNTIF(MAIN!B:B, A3185)=0, "Missing", "")</f>
        <v>Missing</v>
      </c>
      <c r="C3185" s="128"/>
      <c r="E3185" s="131" t="str">
        <f t="shared" si="1"/>
        <v>https://utrucking.myshopify.com/admin/orders?query=17034</v>
      </c>
    </row>
    <row r="3186">
      <c r="A3186" s="93" t="str">
        <f t="shared" si="2"/>
        <v>#17035</v>
      </c>
      <c r="B3186" s="93" t="str">
        <f>IF(COUNTIF(MAIN!B:B, A3186)=0, "Missing", "")</f>
        <v>Missing</v>
      </c>
      <c r="C3186" s="128"/>
      <c r="E3186" s="131" t="str">
        <f t="shared" si="1"/>
        <v>https://utrucking.myshopify.com/admin/orders?query=17035</v>
      </c>
    </row>
    <row r="3187">
      <c r="A3187" s="93" t="str">
        <f t="shared" si="2"/>
        <v>#17036</v>
      </c>
      <c r="B3187" s="93" t="str">
        <f>IF(COUNTIF(MAIN!B:B, A3187)=0, "Missing", "")</f>
        <v>Missing</v>
      </c>
      <c r="C3187" s="128"/>
      <c r="E3187" s="131" t="str">
        <f t="shared" si="1"/>
        <v>https://utrucking.myshopify.com/admin/orders?query=17036</v>
      </c>
    </row>
    <row r="3188">
      <c r="A3188" s="93" t="str">
        <f t="shared" si="2"/>
        <v>#17037</v>
      </c>
      <c r="B3188" s="93" t="str">
        <f>IF(COUNTIF(MAIN!B:B, A3188)=0, "Missing", "")</f>
        <v>Missing</v>
      </c>
      <c r="C3188" s="128"/>
      <c r="E3188" s="131" t="str">
        <f t="shared" si="1"/>
        <v>https://utrucking.myshopify.com/admin/orders?query=17037</v>
      </c>
    </row>
    <row r="3189">
      <c r="A3189" s="93" t="str">
        <f t="shared" si="2"/>
        <v>#17038</v>
      </c>
      <c r="B3189" s="93" t="str">
        <f>IF(COUNTIF(MAIN!B:B, A3189)=0, "Missing", "")</f>
        <v>Missing</v>
      </c>
      <c r="C3189" s="128"/>
      <c r="E3189" s="131" t="str">
        <f t="shared" si="1"/>
        <v>https://utrucking.myshopify.com/admin/orders?query=17038</v>
      </c>
    </row>
    <row r="3190">
      <c r="A3190" s="93" t="str">
        <f t="shared" si="2"/>
        <v>#17039</v>
      </c>
      <c r="B3190" s="93" t="str">
        <f>IF(COUNTIF(MAIN!B:B, A3190)=0, "Missing", "")</f>
        <v>Missing</v>
      </c>
      <c r="C3190" s="128"/>
      <c r="E3190" s="131" t="str">
        <f t="shared" si="1"/>
        <v>https://utrucking.myshopify.com/admin/orders?query=17039</v>
      </c>
    </row>
    <row r="3191">
      <c r="A3191" s="93" t="str">
        <f t="shared" si="2"/>
        <v>#17040</v>
      </c>
      <c r="B3191" s="93" t="str">
        <f>IF(COUNTIF(MAIN!B:B, A3191)=0, "Missing", "")</f>
        <v>Missing</v>
      </c>
      <c r="C3191" s="128"/>
      <c r="E3191" s="131" t="str">
        <f t="shared" si="1"/>
        <v>https://utrucking.myshopify.com/admin/orders?query=17040</v>
      </c>
    </row>
    <row r="3192">
      <c r="A3192" s="93" t="str">
        <f t="shared" si="2"/>
        <v>#17041</v>
      </c>
      <c r="B3192" s="93" t="str">
        <f>IF(COUNTIF(MAIN!B:B, A3192)=0, "Missing", "")</f>
        <v>Missing</v>
      </c>
      <c r="C3192" s="128"/>
      <c r="E3192" s="131" t="str">
        <f t="shared" si="1"/>
        <v>https://utrucking.myshopify.com/admin/orders?query=17041</v>
      </c>
    </row>
    <row r="3193">
      <c r="A3193" s="93" t="str">
        <f t="shared" si="2"/>
        <v>#17042</v>
      </c>
      <c r="B3193" s="93" t="str">
        <f>IF(COUNTIF(MAIN!B:B, A3193)=0, "Missing", "")</f>
        <v/>
      </c>
      <c r="C3193" s="128"/>
      <c r="E3193" s="128" t="str">
        <f t="shared" si="1"/>
        <v/>
      </c>
    </row>
    <row r="3194">
      <c r="A3194" s="93" t="str">
        <f t="shared" si="2"/>
        <v>#17043</v>
      </c>
      <c r="B3194" s="93" t="str">
        <f>IF(COUNTIF(MAIN!B:B, A3194)=0, "Missing", "")</f>
        <v/>
      </c>
      <c r="C3194" s="128"/>
      <c r="E3194" s="128" t="str">
        <f t="shared" si="1"/>
        <v/>
      </c>
    </row>
    <row r="3195">
      <c r="A3195" s="93" t="str">
        <f t="shared" si="2"/>
        <v>#17044</v>
      </c>
      <c r="B3195" s="93" t="str">
        <f>IF(COUNTIF(MAIN!B:B, A3195)=0, "Missing", "")</f>
        <v/>
      </c>
      <c r="C3195" s="128"/>
      <c r="E3195" s="128" t="str">
        <f t="shared" si="1"/>
        <v/>
      </c>
    </row>
    <row r="3196">
      <c r="A3196" s="93" t="str">
        <f t="shared" si="2"/>
        <v>#17045</v>
      </c>
      <c r="B3196" s="93" t="str">
        <f>IF(COUNTIF(MAIN!B:B, A3196)=0, "Missing", "")</f>
        <v>Missing</v>
      </c>
      <c r="C3196" s="128"/>
      <c r="E3196" s="131" t="str">
        <f t="shared" si="1"/>
        <v>https://utrucking.myshopify.com/admin/orders?query=17045</v>
      </c>
    </row>
    <row r="3197">
      <c r="A3197" s="93" t="str">
        <f t="shared" si="2"/>
        <v>#17046</v>
      </c>
      <c r="B3197" s="93" t="str">
        <f>IF(COUNTIF(MAIN!B:B, A3197)=0, "Missing", "")</f>
        <v/>
      </c>
      <c r="C3197" s="128"/>
      <c r="E3197" s="128" t="str">
        <f t="shared" si="1"/>
        <v/>
      </c>
    </row>
    <row r="3198">
      <c r="A3198" s="93" t="str">
        <f t="shared" si="2"/>
        <v>#17047</v>
      </c>
      <c r="B3198" s="93" t="str">
        <f>IF(COUNTIF(MAIN!B:B, A3198)=0, "Missing", "")</f>
        <v>Missing</v>
      </c>
      <c r="C3198" s="128"/>
      <c r="E3198" s="131" t="str">
        <f t="shared" si="1"/>
        <v>https://utrucking.myshopify.com/admin/orders?query=17047</v>
      </c>
    </row>
    <row r="3199">
      <c r="A3199" s="93" t="str">
        <f t="shared" si="2"/>
        <v>#17048</v>
      </c>
      <c r="B3199" s="93" t="str">
        <f>IF(COUNTIF(MAIN!B:B, A3199)=0, "Missing", "")</f>
        <v/>
      </c>
      <c r="C3199" s="128"/>
      <c r="E3199" s="128" t="str">
        <f t="shared" si="1"/>
        <v/>
      </c>
    </row>
    <row r="3200">
      <c r="A3200" s="93" t="str">
        <f t="shared" si="2"/>
        <v>#17049</v>
      </c>
      <c r="B3200" s="93" t="str">
        <f>IF(COUNTIF(MAIN!B:B, A3200)=0, "Missing", "")</f>
        <v/>
      </c>
      <c r="C3200" s="128"/>
      <c r="E3200" s="128" t="str">
        <f t="shared" si="1"/>
        <v/>
      </c>
    </row>
    <row r="3201">
      <c r="A3201" s="93" t="str">
        <f t="shared" si="2"/>
        <v>#17050</v>
      </c>
      <c r="B3201" s="93" t="str">
        <f>IF(COUNTIF(MAIN!B:B, A3201)=0, "Missing", "")</f>
        <v/>
      </c>
      <c r="C3201" s="128"/>
      <c r="E3201" s="128" t="str">
        <f t="shared" si="1"/>
        <v/>
      </c>
    </row>
    <row r="3202">
      <c r="A3202" s="93" t="str">
        <f t="shared" si="2"/>
        <v>#17051</v>
      </c>
      <c r="B3202" s="93" t="str">
        <f>IF(COUNTIF(MAIN!B:B, A3202)=0, "Missing", "")</f>
        <v/>
      </c>
      <c r="C3202" s="128"/>
      <c r="E3202" s="128" t="str">
        <f t="shared" si="1"/>
        <v/>
      </c>
    </row>
    <row r="3203">
      <c r="A3203" s="93" t="str">
        <f t="shared" si="2"/>
        <v>#17052</v>
      </c>
      <c r="B3203" s="93" t="str">
        <f>IF(COUNTIF(MAIN!B:B, A3203)=0, "Missing", "")</f>
        <v/>
      </c>
      <c r="C3203" s="128"/>
      <c r="E3203" s="128" t="str">
        <f t="shared" si="1"/>
        <v/>
      </c>
    </row>
    <row r="3204">
      <c r="A3204" s="93" t="str">
        <f t="shared" si="2"/>
        <v>#17053</v>
      </c>
      <c r="B3204" s="93" t="str">
        <f>IF(COUNTIF(MAIN!B:B, A3204)=0, "Missing", "")</f>
        <v/>
      </c>
      <c r="C3204" s="128"/>
      <c r="E3204" s="128" t="str">
        <f t="shared" si="1"/>
        <v/>
      </c>
    </row>
    <row r="3205">
      <c r="A3205" s="93" t="str">
        <f t="shared" si="2"/>
        <v>#17054</v>
      </c>
      <c r="B3205" s="93" t="str">
        <f>IF(COUNTIF(MAIN!B:B, A3205)=0, "Missing", "")</f>
        <v/>
      </c>
      <c r="C3205" s="128"/>
      <c r="E3205" s="128" t="str">
        <f t="shared" si="1"/>
        <v/>
      </c>
    </row>
    <row r="3206">
      <c r="A3206" s="93" t="str">
        <f t="shared" si="2"/>
        <v>#17055</v>
      </c>
      <c r="B3206" s="93" t="str">
        <f>IF(COUNTIF(MAIN!B:B, A3206)=0, "Missing", "")</f>
        <v/>
      </c>
      <c r="C3206" s="128"/>
      <c r="E3206" s="128" t="str">
        <f t="shared" si="1"/>
        <v/>
      </c>
    </row>
    <row r="3207">
      <c r="A3207" s="93" t="str">
        <f t="shared" si="2"/>
        <v>#17056</v>
      </c>
      <c r="B3207" s="93" t="str">
        <f>IF(COUNTIF(MAIN!B:B, A3207)=0, "Missing", "")</f>
        <v/>
      </c>
      <c r="C3207" s="128"/>
      <c r="E3207" s="128" t="str">
        <f t="shared" si="1"/>
        <v/>
      </c>
    </row>
    <row r="3208">
      <c r="A3208" s="93" t="str">
        <f t="shared" si="2"/>
        <v>#17057</v>
      </c>
      <c r="B3208" s="93" t="str">
        <f>IF(COUNTIF(MAIN!B:B, A3208)=0, "Missing", "")</f>
        <v>Missing</v>
      </c>
      <c r="C3208" s="128"/>
      <c r="E3208" s="131" t="str">
        <f t="shared" si="1"/>
        <v>https://utrucking.myshopify.com/admin/orders?query=17057</v>
      </c>
    </row>
    <row r="3209">
      <c r="A3209" s="93" t="str">
        <f t="shared" si="2"/>
        <v>#17058</v>
      </c>
      <c r="B3209" s="93" t="str">
        <f>IF(COUNTIF(MAIN!B:B, A3209)=0, "Missing", "")</f>
        <v>Missing</v>
      </c>
      <c r="C3209" s="128"/>
      <c r="E3209" s="131" t="str">
        <f t="shared" si="1"/>
        <v>https://utrucking.myshopify.com/admin/orders?query=17058</v>
      </c>
    </row>
    <row r="3210">
      <c r="A3210" s="93" t="str">
        <f t="shared" si="2"/>
        <v>#17059</v>
      </c>
      <c r="B3210" s="93" t="str">
        <f>IF(COUNTIF(MAIN!B:B, A3210)=0, "Missing", "")</f>
        <v>Missing</v>
      </c>
      <c r="C3210" s="128"/>
      <c r="E3210" s="131" t="str">
        <f t="shared" si="1"/>
        <v>https://utrucking.myshopify.com/admin/orders?query=17059</v>
      </c>
    </row>
    <row r="3211">
      <c r="A3211" s="93" t="str">
        <f t="shared" si="2"/>
        <v>#17060</v>
      </c>
      <c r="B3211" s="93" t="str">
        <f>IF(COUNTIF(MAIN!B:B, A3211)=0, "Missing", "")</f>
        <v/>
      </c>
      <c r="C3211" s="128"/>
      <c r="E3211" s="128" t="str">
        <f t="shared" si="1"/>
        <v/>
      </c>
    </row>
    <row r="3212">
      <c r="A3212" s="93" t="str">
        <f t="shared" si="2"/>
        <v>#17061</v>
      </c>
      <c r="B3212" s="93" t="str">
        <f>IF(COUNTIF(MAIN!B:B, A3212)=0, "Missing", "")</f>
        <v/>
      </c>
      <c r="C3212" s="128"/>
      <c r="E3212" s="128" t="str">
        <f t="shared" si="1"/>
        <v/>
      </c>
    </row>
    <row r="3213">
      <c r="A3213" s="93" t="str">
        <f t="shared" si="2"/>
        <v>#17062</v>
      </c>
      <c r="B3213" s="93" t="str">
        <f>IF(COUNTIF(MAIN!B:B, A3213)=0, "Missing", "")</f>
        <v/>
      </c>
      <c r="C3213" s="128"/>
      <c r="E3213" s="128" t="str">
        <f t="shared" si="1"/>
        <v/>
      </c>
    </row>
    <row r="3214">
      <c r="A3214" s="93" t="str">
        <f t="shared" si="2"/>
        <v>#17063</v>
      </c>
      <c r="B3214" s="93" t="str">
        <f>IF(COUNTIF(MAIN!B:B, A3214)=0, "Missing", "")</f>
        <v/>
      </c>
      <c r="C3214" s="128"/>
      <c r="E3214" s="128" t="str">
        <f t="shared" si="1"/>
        <v/>
      </c>
    </row>
    <row r="3215">
      <c r="A3215" s="93" t="str">
        <f t="shared" si="2"/>
        <v>#17064</v>
      </c>
      <c r="B3215" s="93" t="str">
        <f>IF(COUNTIF(MAIN!B:B, A3215)=0, "Missing", "")</f>
        <v/>
      </c>
      <c r="C3215" s="128"/>
      <c r="E3215" s="128" t="str">
        <f t="shared" si="1"/>
        <v/>
      </c>
    </row>
    <row r="3216">
      <c r="A3216" s="93" t="str">
        <f t="shared" si="2"/>
        <v>#17065</v>
      </c>
      <c r="B3216" s="93" t="str">
        <f>IF(COUNTIF(MAIN!B:B, A3216)=0, "Missing", "")</f>
        <v/>
      </c>
      <c r="C3216" s="128"/>
      <c r="E3216" s="128" t="str">
        <f t="shared" si="1"/>
        <v/>
      </c>
    </row>
    <row r="3217">
      <c r="A3217" s="93" t="str">
        <f t="shared" si="2"/>
        <v>#17066</v>
      </c>
      <c r="B3217" s="93" t="str">
        <f>IF(COUNTIF(MAIN!B:B, A3217)=0, "Missing", "")</f>
        <v/>
      </c>
      <c r="C3217" s="128"/>
      <c r="E3217" s="128" t="str">
        <f t="shared" si="1"/>
        <v/>
      </c>
    </row>
    <row r="3218">
      <c r="A3218" s="93" t="str">
        <f t="shared" si="2"/>
        <v>#17067</v>
      </c>
      <c r="B3218" s="93" t="str">
        <f>IF(COUNTIF(MAIN!B:B, A3218)=0, "Missing", "")</f>
        <v/>
      </c>
      <c r="C3218" s="128"/>
      <c r="E3218" s="128" t="str">
        <f t="shared" si="1"/>
        <v/>
      </c>
    </row>
    <row r="3219">
      <c r="A3219" s="93" t="str">
        <f t="shared" si="2"/>
        <v>#17068</v>
      </c>
      <c r="B3219" s="93" t="str">
        <f>IF(COUNTIF(MAIN!B:B, A3219)=0, "Missing", "")</f>
        <v/>
      </c>
      <c r="C3219" s="128"/>
      <c r="E3219" s="128" t="str">
        <f t="shared" si="1"/>
        <v/>
      </c>
    </row>
    <row r="3220">
      <c r="A3220" s="93" t="str">
        <f t="shared" si="2"/>
        <v>#17069</v>
      </c>
      <c r="B3220" s="93" t="str">
        <f>IF(COUNTIF(MAIN!B:B, A3220)=0, "Missing", "")</f>
        <v/>
      </c>
      <c r="C3220" s="128"/>
      <c r="E3220" s="128" t="str">
        <f t="shared" si="1"/>
        <v/>
      </c>
    </row>
    <row r="3221">
      <c r="A3221" s="93" t="str">
        <f t="shared" si="2"/>
        <v>#17070</v>
      </c>
      <c r="B3221" s="93" t="str">
        <f>IF(COUNTIF(MAIN!B:B, A3221)=0, "Missing", "")</f>
        <v/>
      </c>
      <c r="C3221" s="128"/>
      <c r="E3221" s="128" t="str">
        <f t="shared" si="1"/>
        <v/>
      </c>
    </row>
    <row r="3222">
      <c r="A3222" s="93" t="str">
        <f t="shared" si="2"/>
        <v>#17071</v>
      </c>
      <c r="B3222" s="93" t="str">
        <f>IF(COUNTIF(MAIN!B:B, A3222)=0, "Missing", "")</f>
        <v/>
      </c>
      <c r="C3222" s="128"/>
      <c r="E3222" s="128" t="str">
        <f t="shared" si="1"/>
        <v/>
      </c>
    </row>
    <row r="3223">
      <c r="A3223" s="93" t="str">
        <f t="shared" si="2"/>
        <v>#17072</v>
      </c>
      <c r="B3223" s="93" t="str">
        <f>IF(COUNTIF(MAIN!B:B, A3223)=0, "Missing", "")</f>
        <v/>
      </c>
      <c r="C3223" s="128"/>
      <c r="E3223" s="128" t="str">
        <f t="shared" si="1"/>
        <v/>
      </c>
    </row>
    <row r="3224">
      <c r="A3224" s="93" t="str">
        <f t="shared" si="2"/>
        <v>#17073</v>
      </c>
      <c r="B3224" s="93" t="str">
        <f>IF(COUNTIF(MAIN!B:B, A3224)=0, "Missing", "")</f>
        <v/>
      </c>
      <c r="C3224" s="128"/>
      <c r="E3224" s="128" t="str">
        <f t="shared" si="1"/>
        <v/>
      </c>
    </row>
    <row r="3225">
      <c r="A3225" s="93" t="str">
        <f t="shared" si="2"/>
        <v>#17074</v>
      </c>
      <c r="B3225" s="93" t="str">
        <f>IF(COUNTIF(MAIN!B:B, A3225)=0, "Missing", "")</f>
        <v/>
      </c>
      <c r="C3225" s="128"/>
      <c r="E3225" s="128" t="str">
        <f t="shared" si="1"/>
        <v/>
      </c>
    </row>
    <row r="3226">
      <c r="A3226" s="93" t="str">
        <f t="shared" si="2"/>
        <v>#17075</v>
      </c>
      <c r="B3226" s="93" t="str">
        <f>IF(COUNTIF(MAIN!B:B, A3226)=0, "Missing", "")</f>
        <v/>
      </c>
      <c r="C3226" s="128"/>
      <c r="E3226" s="128" t="str">
        <f t="shared" si="1"/>
        <v/>
      </c>
    </row>
    <row r="3227">
      <c r="A3227" s="93" t="str">
        <f t="shared" si="2"/>
        <v>#17076</v>
      </c>
      <c r="B3227" s="93" t="str">
        <f>IF(COUNTIF(MAIN!B:B, A3227)=0, "Missing", "")</f>
        <v>Missing</v>
      </c>
      <c r="C3227" s="128"/>
      <c r="E3227" s="131" t="str">
        <f t="shared" si="1"/>
        <v>https://utrucking.myshopify.com/admin/orders?query=17076</v>
      </c>
    </row>
    <row r="3228">
      <c r="A3228" s="93" t="str">
        <f t="shared" si="2"/>
        <v>#17077</v>
      </c>
      <c r="B3228" s="93" t="str">
        <f>IF(COUNTIF(MAIN!B:B, A3228)=0, "Missing", "")</f>
        <v>Missing</v>
      </c>
      <c r="C3228" s="128"/>
      <c r="E3228" s="131" t="str">
        <f t="shared" si="1"/>
        <v>https://utrucking.myshopify.com/admin/orders?query=17077</v>
      </c>
    </row>
    <row r="3229">
      <c r="A3229" s="93" t="str">
        <f t="shared" si="2"/>
        <v>#17078</v>
      </c>
      <c r="B3229" s="93" t="str">
        <f>IF(COUNTIF(MAIN!B:B, A3229)=0, "Missing", "")</f>
        <v>Missing</v>
      </c>
      <c r="C3229" s="128"/>
      <c r="E3229" s="131" t="str">
        <f t="shared" si="1"/>
        <v>https://utrucking.myshopify.com/admin/orders?query=17078</v>
      </c>
    </row>
    <row r="3230">
      <c r="A3230" s="93" t="str">
        <f t="shared" si="2"/>
        <v>#17079</v>
      </c>
      <c r="B3230" s="93" t="str">
        <f>IF(COUNTIF(MAIN!B:B, A3230)=0, "Missing", "")</f>
        <v>Missing</v>
      </c>
      <c r="C3230" s="128"/>
      <c r="E3230" s="131" t="str">
        <f t="shared" si="1"/>
        <v>https://utrucking.myshopify.com/admin/orders?query=17079</v>
      </c>
    </row>
    <row r="3231">
      <c r="A3231" s="93" t="str">
        <f t="shared" si="2"/>
        <v>#17080</v>
      </c>
      <c r="B3231" s="93" t="str">
        <f>IF(COUNTIF(MAIN!B:B, A3231)=0, "Missing", "")</f>
        <v>Missing</v>
      </c>
      <c r="C3231" s="128"/>
      <c r="E3231" s="131" t="str">
        <f t="shared" si="1"/>
        <v>https://utrucking.myshopify.com/admin/orders?query=17080</v>
      </c>
    </row>
    <row r="3232">
      <c r="A3232" s="93" t="str">
        <f t="shared" si="2"/>
        <v>#17081</v>
      </c>
      <c r="B3232" s="93" t="str">
        <f>IF(COUNTIF(MAIN!B:B, A3232)=0, "Missing", "")</f>
        <v/>
      </c>
      <c r="C3232" s="128"/>
      <c r="E3232" s="128" t="str">
        <f t="shared" si="1"/>
        <v/>
      </c>
    </row>
    <row r="3233">
      <c r="A3233" s="93" t="str">
        <f t="shared" si="2"/>
        <v>#17082</v>
      </c>
      <c r="B3233" s="93" t="str">
        <f>IF(COUNTIF(MAIN!B:B, A3233)=0, "Missing", "")</f>
        <v/>
      </c>
      <c r="C3233" s="128"/>
      <c r="E3233" s="128" t="str">
        <f t="shared" si="1"/>
        <v/>
      </c>
    </row>
    <row r="3234">
      <c r="A3234" s="93" t="str">
        <f t="shared" si="2"/>
        <v>#17083</v>
      </c>
      <c r="B3234" s="93" t="str">
        <f>IF(COUNTIF(MAIN!B:B, A3234)=0, "Missing", "")</f>
        <v/>
      </c>
      <c r="C3234" s="128"/>
      <c r="E3234" s="128" t="str">
        <f t="shared" si="1"/>
        <v/>
      </c>
    </row>
    <row r="3235">
      <c r="A3235" s="93" t="str">
        <f t="shared" si="2"/>
        <v>#17084</v>
      </c>
      <c r="B3235" s="93" t="str">
        <f>IF(COUNTIF(MAIN!B:B, A3235)=0, "Missing", "")</f>
        <v/>
      </c>
      <c r="C3235" s="128"/>
      <c r="E3235" s="128" t="str">
        <f t="shared" si="1"/>
        <v/>
      </c>
    </row>
    <row r="3236">
      <c r="A3236" s="93" t="str">
        <f t="shared" si="2"/>
        <v>#17085</v>
      </c>
      <c r="B3236" s="93" t="str">
        <f>IF(COUNTIF(MAIN!B:B, A3236)=0, "Missing", "")</f>
        <v/>
      </c>
      <c r="C3236" s="128"/>
      <c r="E3236" s="128" t="str">
        <f t="shared" si="1"/>
        <v/>
      </c>
    </row>
    <row r="3237">
      <c r="A3237" s="93" t="str">
        <f t="shared" si="2"/>
        <v>#17086</v>
      </c>
      <c r="B3237" s="93" t="str">
        <f>IF(COUNTIF(MAIN!B:B, A3237)=0, "Missing", "")</f>
        <v/>
      </c>
      <c r="C3237" s="128"/>
      <c r="E3237" s="128" t="str">
        <f t="shared" si="1"/>
        <v/>
      </c>
    </row>
    <row r="3238">
      <c r="A3238" s="93" t="str">
        <f t="shared" si="2"/>
        <v>#17087</v>
      </c>
      <c r="B3238" s="93" t="str">
        <f>IF(COUNTIF(MAIN!B:B, A3238)=0, "Missing", "")</f>
        <v/>
      </c>
      <c r="C3238" s="128"/>
      <c r="E3238" s="128" t="str">
        <f t="shared" si="1"/>
        <v/>
      </c>
    </row>
    <row r="3239">
      <c r="A3239" s="93" t="str">
        <f t="shared" si="2"/>
        <v>#17088</v>
      </c>
      <c r="B3239" s="93" t="str">
        <f>IF(COUNTIF(MAIN!B:B, A3239)=0, "Missing", "")</f>
        <v/>
      </c>
      <c r="C3239" s="128"/>
      <c r="E3239" s="128" t="str">
        <f t="shared" si="1"/>
        <v/>
      </c>
    </row>
    <row r="3240">
      <c r="A3240" s="93" t="str">
        <f t="shared" si="2"/>
        <v>#17089</v>
      </c>
      <c r="B3240" s="93" t="str">
        <f>IF(COUNTIF(MAIN!B:B, A3240)=0, "Missing", "")</f>
        <v/>
      </c>
      <c r="C3240" s="128"/>
      <c r="E3240" s="128" t="str">
        <f t="shared" si="1"/>
        <v/>
      </c>
    </row>
    <row r="3241">
      <c r="A3241" s="93" t="str">
        <f t="shared" si="2"/>
        <v>#17090</v>
      </c>
      <c r="B3241" s="93" t="str">
        <f>IF(COUNTIF(MAIN!B:B, A3241)=0, "Missing", "")</f>
        <v/>
      </c>
      <c r="C3241" s="128"/>
      <c r="E3241" s="128" t="str">
        <f t="shared" si="1"/>
        <v/>
      </c>
    </row>
    <row r="3242">
      <c r="A3242" s="93" t="str">
        <f t="shared" si="2"/>
        <v>#17091</v>
      </c>
      <c r="B3242" s="93" t="str">
        <f>IF(COUNTIF(MAIN!B:B, A3242)=0, "Missing", "")</f>
        <v/>
      </c>
      <c r="C3242" s="128"/>
      <c r="E3242" s="128" t="str">
        <f t="shared" si="1"/>
        <v/>
      </c>
    </row>
    <row r="3243">
      <c r="A3243" s="93" t="str">
        <f t="shared" si="2"/>
        <v>#17092</v>
      </c>
      <c r="B3243" s="93" t="str">
        <f>IF(COUNTIF(MAIN!B:B, A3243)=0, "Missing", "")</f>
        <v/>
      </c>
      <c r="C3243" s="128"/>
      <c r="E3243" s="128" t="str">
        <f t="shared" si="1"/>
        <v/>
      </c>
    </row>
    <row r="3244">
      <c r="A3244" s="93" t="str">
        <f t="shared" si="2"/>
        <v>#17093</v>
      </c>
      <c r="B3244" s="93" t="str">
        <f>IF(COUNTIF(MAIN!B:B, A3244)=0, "Missing", "")</f>
        <v/>
      </c>
      <c r="C3244" s="128"/>
      <c r="E3244" s="128" t="str">
        <f t="shared" si="1"/>
        <v/>
      </c>
    </row>
    <row r="3245">
      <c r="A3245" s="93" t="str">
        <f t="shared" si="2"/>
        <v>#17094</v>
      </c>
      <c r="B3245" s="93" t="str">
        <f>IF(COUNTIF(MAIN!B:B, A3245)=0, "Missing", "")</f>
        <v/>
      </c>
      <c r="C3245" s="128"/>
      <c r="E3245" s="128" t="str">
        <f t="shared" si="1"/>
        <v/>
      </c>
    </row>
    <row r="3246">
      <c r="A3246" s="93" t="str">
        <f t="shared" si="2"/>
        <v>#17095</v>
      </c>
      <c r="B3246" s="93" t="str">
        <f>IF(COUNTIF(MAIN!B:B, A3246)=0, "Missing", "")</f>
        <v/>
      </c>
      <c r="C3246" s="128"/>
      <c r="E3246" s="128" t="str">
        <f t="shared" si="1"/>
        <v/>
      </c>
    </row>
    <row r="3247">
      <c r="A3247" s="93" t="str">
        <f t="shared" si="2"/>
        <v>#17096</v>
      </c>
      <c r="B3247" s="93" t="str">
        <f>IF(COUNTIF(MAIN!B:B, A3247)=0, "Missing", "")</f>
        <v/>
      </c>
      <c r="C3247" s="128"/>
      <c r="E3247" s="128" t="str">
        <f t="shared" si="1"/>
        <v/>
      </c>
    </row>
    <row r="3248">
      <c r="A3248" s="93" t="str">
        <f t="shared" si="2"/>
        <v>#17097</v>
      </c>
      <c r="B3248" s="93" t="str">
        <f>IF(COUNTIF(MAIN!B:B, A3248)=0, "Missing", "")</f>
        <v/>
      </c>
      <c r="C3248" s="128"/>
      <c r="E3248" s="128" t="str">
        <f t="shared" si="1"/>
        <v/>
      </c>
    </row>
    <row r="3249">
      <c r="A3249" s="93" t="str">
        <f t="shared" si="2"/>
        <v>#17098</v>
      </c>
      <c r="B3249" s="93" t="str">
        <f>IF(COUNTIF(MAIN!B:B, A3249)=0, "Missing", "")</f>
        <v/>
      </c>
      <c r="C3249" s="128"/>
      <c r="E3249" s="128" t="str">
        <f t="shared" si="1"/>
        <v/>
      </c>
    </row>
    <row r="3250">
      <c r="A3250" s="93" t="str">
        <f t="shared" si="2"/>
        <v>#17099</v>
      </c>
      <c r="B3250" s="93" t="str">
        <f>IF(COUNTIF(MAIN!B:B, A3250)=0, "Missing", "")</f>
        <v/>
      </c>
      <c r="C3250" s="128"/>
      <c r="E3250" s="128" t="str">
        <f t="shared" si="1"/>
        <v/>
      </c>
    </row>
    <row r="3251">
      <c r="A3251" s="93" t="str">
        <f t="shared" si="2"/>
        <v>#17100</v>
      </c>
      <c r="B3251" s="93" t="str">
        <f>IF(COUNTIF(MAIN!B:B, A3251)=0, "Missing", "")</f>
        <v/>
      </c>
      <c r="C3251" s="128"/>
      <c r="E3251" s="128" t="str">
        <f t="shared" si="1"/>
        <v/>
      </c>
    </row>
    <row r="3252">
      <c r="A3252" s="93" t="str">
        <f t="shared" si="2"/>
        <v>#17101</v>
      </c>
      <c r="B3252" s="93" t="str">
        <f>IF(COUNTIF(MAIN!B:B, A3252)=0, "Missing", "")</f>
        <v/>
      </c>
      <c r="C3252" s="128"/>
      <c r="E3252" s="128" t="str">
        <f t="shared" si="1"/>
        <v/>
      </c>
    </row>
    <row r="3253">
      <c r="A3253" s="93" t="str">
        <f t="shared" si="2"/>
        <v>#17102</v>
      </c>
      <c r="B3253" s="93" t="str">
        <f>IF(COUNTIF(MAIN!B:B, A3253)=0, "Missing", "")</f>
        <v/>
      </c>
      <c r="C3253" s="128"/>
      <c r="E3253" s="128" t="str">
        <f t="shared" si="1"/>
        <v/>
      </c>
    </row>
    <row r="3254">
      <c r="A3254" s="93" t="str">
        <f t="shared" si="2"/>
        <v>#17103</v>
      </c>
      <c r="B3254" s="93" t="str">
        <f>IF(COUNTIF(MAIN!B:B, A3254)=0, "Missing", "")</f>
        <v/>
      </c>
      <c r="C3254" s="128"/>
      <c r="E3254" s="128" t="str">
        <f t="shared" si="1"/>
        <v/>
      </c>
    </row>
    <row r="3255">
      <c r="A3255" s="93" t="str">
        <f t="shared" si="2"/>
        <v>#17104</v>
      </c>
      <c r="B3255" s="93" t="str">
        <f>IF(COUNTIF(MAIN!B:B, A3255)=0, "Missing", "")</f>
        <v/>
      </c>
      <c r="C3255" s="128"/>
      <c r="E3255" s="128" t="str">
        <f t="shared" si="1"/>
        <v/>
      </c>
    </row>
    <row r="3256">
      <c r="A3256" s="93" t="str">
        <f t="shared" si="2"/>
        <v>#17105</v>
      </c>
      <c r="B3256" s="93" t="str">
        <f>IF(COUNTIF(MAIN!B:B, A3256)=0, "Missing", "")</f>
        <v/>
      </c>
      <c r="C3256" s="128"/>
      <c r="E3256" s="128" t="str">
        <f t="shared" si="1"/>
        <v/>
      </c>
    </row>
    <row r="3257">
      <c r="A3257" s="93" t="str">
        <f t="shared" si="2"/>
        <v>#17106</v>
      </c>
      <c r="B3257" s="93" t="str">
        <f>IF(COUNTIF(MAIN!B:B, A3257)=0, "Missing", "")</f>
        <v/>
      </c>
      <c r="C3257" s="128"/>
      <c r="E3257" s="128" t="str">
        <f t="shared" si="1"/>
        <v/>
      </c>
    </row>
    <row r="3258">
      <c r="A3258" s="93" t="str">
        <f t="shared" si="2"/>
        <v>#17107</v>
      </c>
      <c r="B3258" s="93" t="str">
        <f>IF(COUNTIF(MAIN!B:B, A3258)=0, "Missing", "")</f>
        <v/>
      </c>
      <c r="C3258" s="128"/>
      <c r="E3258" s="128" t="str">
        <f t="shared" si="1"/>
        <v/>
      </c>
    </row>
    <row r="3259">
      <c r="A3259" s="93" t="str">
        <f t="shared" si="2"/>
        <v>#17108</v>
      </c>
      <c r="B3259" s="93" t="str">
        <f>IF(COUNTIF(MAIN!B:B, A3259)=0, "Missing", "")</f>
        <v/>
      </c>
      <c r="C3259" s="128"/>
      <c r="E3259" s="128" t="str">
        <f t="shared" si="1"/>
        <v/>
      </c>
    </row>
    <row r="3260">
      <c r="A3260" s="93" t="str">
        <f t="shared" si="2"/>
        <v>#17109</v>
      </c>
      <c r="B3260" s="93" t="str">
        <f>IF(COUNTIF(MAIN!B:B, A3260)=0, "Missing", "")</f>
        <v/>
      </c>
      <c r="C3260" s="128"/>
      <c r="E3260" s="128" t="str">
        <f t="shared" si="1"/>
        <v/>
      </c>
    </row>
    <row r="3261">
      <c r="A3261" s="93" t="str">
        <f t="shared" si="2"/>
        <v>#17110</v>
      </c>
      <c r="B3261" s="93" t="str">
        <f>IF(COUNTIF(MAIN!B:B, A3261)=0, "Missing", "")</f>
        <v/>
      </c>
      <c r="C3261" s="128"/>
      <c r="E3261" s="128" t="str">
        <f t="shared" si="1"/>
        <v/>
      </c>
    </row>
    <row r="3262">
      <c r="A3262" s="93" t="str">
        <f t="shared" si="2"/>
        <v>#17111</v>
      </c>
      <c r="B3262" s="93" t="str">
        <f>IF(COUNTIF(MAIN!B:B, A3262)=0, "Missing", "")</f>
        <v/>
      </c>
      <c r="C3262" s="128"/>
      <c r="E3262" s="128" t="str">
        <f t="shared" si="1"/>
        <v/>
      </c>
    </row>
    <row r="3263">
      <c r="A3263" s="93" t="str">
        <f t="shared" si="2"/>
        <v>#17112</v>
      </c>
      <c r="B3263" s="93" t="str">
        <f>IF(COUNTIF(MAIN!B:B, A3263)=0, "Missing", "")</f>
        <v/>
      </c>
      <c r="C3263" s="128"/>
      <c r="E3263" s="128" t="str">
        <f t="shared" si="1"/>
        <v/>
      </c>
    </row>
    <row r="3264">
      <c r="A3264" s="93" t="str">
        <f t="shared" si="2"/>
        <v>#17113</v>
      </c>
      <c r="B3264" s="93" t="str">
        <f>IF(COUNTIF(MAIN!B:B, A3264)=0, "Missing", "")</f>
        <v/>
      </c>
      <c r="C3264" s="128"/>
      <c r="E3264" s="128" t="str">
        <f t="shared" si="1"/>
        <v/>
      </c>
    </row>
    <row r="3265">
      <c r="A3265" s="93" t="str">
        <f t="shared" si="2"/>
        <v>#17114</v>
      </c>
      <c r="B3265" s="93" t="str">
        <f>IF(COUNTIF(MAIN!B:B, A3265)=0, "Missing", "")</f>
        <v/>
      </c>
      <c r="C3265" s="128"/>
      <c r="E3265" s="128" t="str">
        <f t="shared" si="1"/>
        <v/>
      </c>
    </row>
    <row r="3266">
      <c r="A3266" s="93" t="str">
        <f t="shared" si="2"/>
        <v>#17115</v>
      </c>
      <c r="B3266" s="93" t="str">
        <f>IF(COUNTIF(MAIN!B:B, A3266)=0, "Missing", "")</f>
        <v/>
      </c>
      <c r="C3266" s="128"/>
      <c r="E3266" s="128" t="str">
        <f t="shared" si="1"/>
        <v/>
      </c>
    </row>
    <row r="3267">
      <c r="A3267" s="93" t="str">
        <f t="shared" si="2"/>
        <v>#17116</v>
      </c>
      <c r="B3267" s="93" t="str">
        <f>IF(COUNTIF(MAIN!B:B, A3267)=0, "Missing", "")</f>
        <v/>
      </c>
      <c r="C3267" s="128"/>
      <c r="E3267" s="128" t="str">
        <f t="shared" si="1"/>
        <v/>
      </c>
    </row>
    <row r="3268">
      <c r="A3268" s="93" t="str">
        <f t="shared" si="2"/>
        <v>#17117</v>
      </c>
      <c r="B3268" s="93" t="str">
        <f>IF(COUNTIF(MAIN!B:B, A3268)=0, "Missing", "")</f>
        <v/>
      </c>
      <c r="C3268" s="128"/>
      <c r="E3268" s="128" t="str">
        <f t="shared" si="1"/>
        <v/>
      </c>
    </row>
    <row r="3269">
      <c r="A3269" s="93" t="str">
        <f t="shared" si="2"/>
        <v>#17118</v>
      </c>
      <c r="B3269" s="93" t="str">
        <f>IF(COUNTIF(MAIN!B:B, A3269)=0, "Missing", "")</f>
        <v/>
      </c>
      <c r="C3269" s="128"/>
      <c r="E3269" s="128" t="str">
        <f t="shared" si="1"/>
        <v/>
      </c>
    </row>
    <row r="3270">
      <c r="A3270" s="93" t="str">
        <f t="shared" si="2"/>
        <v>#17119</v>
      </c>
      <c r="B3270" s="93" t="str">
        <f>IF(COUNTIF(MAIN!B:B, A3270)=0, "Missing", "")</f>
        <v/>
      </c>
      <c r="C3270" s="128"/>
      <c r="E3270" s="128" t="str">
        <f t="shared" si="1"/>
        <v/>
      </c>
    </row>
    <row r="3271">
      <c r="A3271" s="93" t="str">
        <f t="shared" si="2"/>
        <v>#17120</v>
      </c>
      <c r="B3271" s="93" t="str">
        <f>IF(COUNTIF(MAIN!B:B, A3271)=0, "Missing", "")</f>
        <v/>
      </c>
      <c r="C3271" s="128"/>
      <c r="E3271" s="128" t="str">
        <f t="shared" si="1"/>
        <v/>
      </c>
    </row>
    <row r="3272">
      <c r="A3272" s="93" t="str">
        <f t="shared" si="2"/>
        <v>#17121</v>
      </c>
      <c r="B3272" s="93" t="str">
        <f>IF(COUNTIF(MAIN!B:B, A3272)=0, "Missing", "")</f>
        <v/>
      </c>
      <c r="C3272" s="128"/>
      <c r="E3272" s="128" t="str">
        <f t="shared" si="1"/>
        <v/>
      </c>
    </row>
    <row r="3273">
      <c r="A3273" s="93" t="str">
        <f t="shared" si="2"/>
        <v>#17122</v>
      </c>
      <c r="B3273" s="93" t="str">
        <f>IF(COUNTIF(MAIN!B:B, A3273)=0, "Missing", "")</f>
        <v/>
      </c>
      <c r="C3273" s="128"/>
      <c r="E3273" s="128" t="str">
        <f t="shared" si="1"/>
        <v/>
      </c>
    </row>
    <row r="3274">
      <c r="A3274" s="93" t="str">
        <f t="shared" si="2"/>
        <v>#17123</v>
      </c>
      <c r="B3274" s="93" t="str">
        <f>IF(COUNTIF(MAIN!B:B, A3274)=0, "Missing", "")</f>
        <v/>
      </c>
      <c r="C3274" s="128"/>
      <c r="E3274" s="128" t="str">
        <f t="shared" si="1"/>
        <v/>
      </c>
    </row>
    <row r="3275">
      <c r="A3275" s="93" t="str">
        <f t="shared" si="2"/>
        <v>#17124</v>
      </c>
      <c r="B3275" s="93" t="str">
        <f>IF(COUNTIF(MAIN!B:B, A3275)=0, "Missing", "")</f>
        <v/>
      </c>
      <c r="C3275" s="128"/>
      <c r="E3275" s="128" t="str">
        <f t="shared" si="1"/>
        <v/>
      </c>
    </row>
    <row r="3276">
      <c r="A3276" s="93" t="str">
        <f t="shared" si="2"/>
        <v>#17125</v>
      </c>
      <c r="B3276" s="93" t="str">
        <f>IF(COUNTIF(MAIN!B:B, A3276)=0, "Missing", "")</f>
        <v/>
      </c>
      <c r="C3276" s="128"/>
      <c r="E3276" s="128" t="str">
        <f t="shared" si="1"/>
        <v/>
      </c>
    </row>
    <row r="3277">
      <c r="A3277" s="93" t="str">
        <f t="shared" si="2"/>
        <v>#17126</v>
      </c>
      <c r="B3277" s="93" t="str">
        <f>IF(COUNTIF(MAIN!B:B, A3277)=0, "Missing", "")</f>
        <v/>
      </c>
      <c r="C3277" s="128"/>
      <c r="E3277" s="128" t="str">
        <f t="shared" si="1"/>
        <v/>
      </c>
    </row>
    <row r="3278">
      <c r="A3278" s="93" t="str">
        <f t="shared" si="2"/>
        <v>#17127</v>
      </c>
      <c r="B3278" s="93" t="str">
        <f>IF(COUNTIF(MAIN!B:B, A3278)=0, "Missing", "")</f>
        <v/>
      </c>
      <c r="C3278" s="128"/>
      <c r="E3278" s="128" t="str">
        <f t="shared" si="1"/>
        <v/>
      </c>
    </row>
    <row r="3279">
      <c r="A3279" s="93" t="str">
        <f t="shared" si="2"/>
        <v>#17128</v>
      </c>
      <c r="B3279" s="93" t="str">
        <f>IF(COUNTIF(MAIN!B:B, A3279)=0, "Missing", "")</f>
        <v/>
      </c>
      <c r="C3279" s="128"/>
      <c r="E3279" s="128" t="str">
        <f t="shared" si="1"/>
        <v/>
      </c>
    </row>
    <row r="3280">
      <c r="A3280" s="93" t="str">
        <f t="shared" si="2"/>
        <v>#17129</v>
      </c>
      <c r="B3280" s="93" t="str">
        <f>IF(COUNTIF(MAIN!B:B, A3280)=0, "Missing", "")</f>
        <v/>
      </c>
      <c r="C3280" s="128"/>
      <c r="E3280" s="128" t="str">
        <f t="shared" si="1"/>
        <v/>
      </c>
    </row>
    <row r="3281">
      <c r="A3281" s="93" t="str">
        <f t="shared" si="2"/>
        <v>#17130</v>
      </c>
      <c r="B3281" s="93" t="str">
        <f>IF(COUNTIF(MAIN!B:B, A3281)=0, "Missing", "")</f>
        <v/>
      </c>
      <c r="C3281" s="128"/>
      <c r="E3281" s="128" t="str">
        <f t="shared" si="1"/>
        <v/>
      </c>
    </row>
    <row r="3282">
      <c r="A3282" s="93" t="str">
        <f t="shared" si="2"/>
        <v>#17131</v>
      </c>
      <c r="B3282" s="93" t="str">
        <f>IF(COUNTIF(MAIN!B:B, A3282)=0, "Missing", "")</f>
        <v/>
      </c>
      <c r="C3282" s="128"/>
      <c r="E3282" s="128" t="str">
        <f t="shared" si="1"/>
        <v/>
      </c>
    </row>
    <row r="3283">
      <c r="A3283" s="93" t="str">
        <f t="shared" si="2"/>
        <v>#17132</v>
      </c>
      <c r="B3283" s="93" t="str">
        <f>IF(COUNTIF(MAIN!B:B, A3283)=0, "Missing", "")</f>
        <v/>
      </c>
      <c r="C3283" s="128"/>
      <c r="E3283" s="128" t="str">
        <f t="shared" si="1"/>
        <v/>
      </c>
    </row>
    <row r="3284">
      <c r="A3284" s="93" t="str">
        <f t="shared" si="2"/>
        <v>#17133</v>
      </c>
      <c r="B3284" s="93" t="str">
        <f>IF(COUNTIF(MAIN!B:B, A3284)=0, "Missing", "")</f>
        <v/>
      </c>
      <c r="C3284" s="128"/>
      <c r="E3284" s="128" t="str">
        <f t="shared" si="1"/>
        <v/>
      </c>
    </row>
    <row r="3285">
      <c r="A3285" s="93" t="str">
        <f t="shared" si="2"/>
        <v>#17134</v>
      </c>
      <c r="B3285" s="93" t="str">
        <f>IF(COUNTIF(MAIN!B:B, A3285)=0, "Missing", "")</f>
        <v>Missing</v>
      </c>
      <c r="C3285" s="128"/>
      <c r="E3285" s="131" t="str">
        <f t="shared" si="1"/>
        <v>https://utrucking.myshopify.com/admin/orders?query=17134</v>
      </c>
    </row>
    <row r="3286">
      <c r="A3286" s="93" t="str">
        <f t="shared" si="2"/>
        <v>#17135</v>
      </c>
      <c r="B3286" s="93" t="str">
        <f>IF(COUNTIF(MAIN!B:B, A3286)=0, "Missing", "")</f>
        <v/>
      </c>
      <c r="C3286" s="128"/>
      <c r="E3286" s="128" t="str">
        <f t="shared" si="1"/>
        <v/>
      </c>
    </row>
    <row r="3287">
      <c r="A3287" s="93" t="str">
        <f t="shared" si="2"/>
        <v>#17136</v>
      </c>
      <c r="B3287" s="93" t="str">
        <f>IF(COUNTIF(MAIN!B:B, A3287)=0, "Missing", "")</f>
        <v/>
      </c>
      <c r="C3287" s="128"/>
      <c r="E3287" s="128" t="str">
        <f t="shared" si="1"/>
        <v/>
      </c>
    </row>
    <row r="3288">
      <c r="A3288" s="93" t="str">
        <f t="shared" si="2"/>
        <v>#17137</v>
      </c>
      <c r="B3288" s="93" t="str">
        <f>IF(COUNTIF(MAIN!B:B, A3288)=0, "Missing", "")</f>
        <v/>
      </c>
      <c r="C3288" s="128"/>
      <c r="E3288" s="128" t="str">
        <f t="shared" si="1"/>
        <v/>
      </c>
    </row>
    <row r="3289">
      <c r="A3289" s="93" t="str">
        <f t="shared" si="2"/>
        <v>#17138</v>
      </c>
      <c r="B3289" s="93" t="str">
        <f>IF(COUNTIF(MAIN!B:B, A3289)=0, "Missing", "")</f>
        <v/>
      </c>
      <c r="C3289" s="128"/>
      <c r="E3289" s="128" t="str">
        <f t="shared" si="1"/>
        <v/>
      </c>
    </row>
    <row r="3290">
      <c r="A3290" s="93" t="str">
        <f t="shared" si="2"/>
        <v>#17139</v>
      </c>
      <c r="B3290" s="93" t="str">
        <f>IF(COUNTIF(MAIN!B:B, A3290)=0, "Missing", "")</f>
        <v/>
      </c>
      <c r="C3290" s="128"/>
      <c r="E3290" s="128" t="str">
        <f t="shared" si="1"/>
        <v/>
      </c>
    </row>
    <row r="3291">
      <c r="A3291" s="93" t="str">
        <f t="shared" si="2"/>
        <v>#17140</v>
      </c>
      <c r="B3291" s="93" t="str">
        <f>IF(COUNTIF(MAIN!B:B, A3291)=0, "Missing", "")</f>
        <v/>
      </c>
      <c r="C3291" s="128"/>
      <c r="E3291" s="128" t="str">
        <f t="shared" si="1"/>
        <v/>
      </c>
    </row>
    <row r="3292">
      <c r="A3292" s="93" t="str">
        <f t="shared" si="2"/>
        <v>#17141</v>
      </c>
      <c r="B3292" s="93" t="str">
        <f>IF(COUNTIF(MAIN!B:B, A3292)=0, "Missing", "")</f>
        <v/>
      </c>
      <c r="C3292" s="128"/>
      <c r="E3292" s="128" t="str">
        <f t="shared" si="1"/>
        <v/>
      </c>
    </row>
    <row r="3293">
      <c r="A3293" s="93" t="str">
        <f t="shared" si="2"/>
        <v>#17142</v>
      </c>
      <c r="B3293" s="93" t="str">
        <f>IF(COUNTIF(MAIN!B:B, A3293)=0, "Missing", "")</f>
        <v>Missing</v>
      </c>
      <c r="C3293" s="128"/>
      <c r="E3293" s="131" t="str">
        <f t="shared" si="1"/>
        <v>https://utrucking.myshopify.com/admin/orders?query=17142</v>
      </c>
    </row>
    <row r="3294">
      <c r="A3294" s="93" t="str">
        <f t="shared" si="2"/>
        <v>#17143</v>
      </c>
      <c r="B3294" s="93" t="str">
        <f>IF(COUNTIF(MAIN!B:B, A3294)=0, "Missing", "")</f>
        <v/>
      </c>
      <c r="C3294" s="128"/>
      <c r="E3294" s="128" t="str">
        <f t="shared" si="1"/>
        <v/>
      </c>
    </row>
    <row r="3295">
      <c r="A3295" s="93" t="str">
        <f t="shared" si="2"/>
        <v>#17144</v>
      </c>
      <c r="B3295" s="93" t="str">
        <f>IF(COUNTIF(MAIN!B:B, A3295)=0, "Missing", "")</f>
        <v/>
      </c>
      <c r="C3295" s="128"/>
      <c r="E3295" s="128" t="str">
        <f t="shared" si="1"/>
        <v/>
      </c>
    </row>
    <row r="3296">
      <c r="A3296" s="93" t="str">
        <f t="shared" si="2"/>
        <v>#17145</v>
      </c>
      <c r="B3296" s="93" t="str">
        <f>IF(COUNTIF(MAIN!B:B, A3296)=0, "Missing", "")</f>
        <v>Missing</v>
      </c>
      <c r="C3296" s="128"/>
      <c r="E3296" s="131" t="str">
        <f t="shared" si="1"/>
        <v>https://utrucking.myshopify.com/admin/orders?query=17145</v>
      </c>
    </row>
    <row r="3297">
      <c r="A3297" s="93" t="str">
        <f t="shared" si="2"/>
        <v>#17146</v>
      </c>
      <c r="B3297" s="93" t="str">
        <f>IF(COUNTIF(MAIN!B:B, A3297)=0, "Missing", "")</f>
        <v/>
      </c>
      <c r="C3297" s="128"/>
      <c r="E3297" s="128" t="str">
        <f t="shared" si="1"/>
        <v/>
      </c>
    </row>
    <row r="3298">
      <c r="A3298" s="93" t="str">
        <f t="shared" si="2"/>
        <v>#17147</v>
      </c>
      <c r="B3298" s="93" t="str">
        <f>IF(COUNTIF(MAIN!B:B, A3298)=0, "Missing", "")</f>
        <v/>
      </c>
      <c r="C3298" s="128"/>
      <c r="E3298" s="128" t="str">
        <f t="shared" si="1"/>
        <v/>
      </c>
    </row>
    <row r="3299">
      <c r="A3299" s="93" t="str">
        <f t="shared" si="2"/>
        <v>#17148</v>
      </c>
      <c r="B3299" s="93" t="str">
        <f>IF(COUNTIF(MAIN!B:B, A3299)=0, "Missing", "")</f>
        <v/>
      </c>
      <c r="C3299" s="128"/>
      <c r="E3299" s="128" t="str">
        <f t="shared" si="1"/>
        <v/>
      </c>
    </row>
    <row r="3300">
      <c r="A3300" s="93" t="str">
        <f t="shared" si="2"/>
        <v>#17149</v>
      </c>
      <c r="B3300" s="93" t="str">
        <f>IF(COUNTIF(MAIN!B:B, A3300)=0, "Missing", "")</f>
        <v/>
      </c>
      <c r="C3300" s="128"/>
      <c r="E3300" s="128" t="str">
        <f t="shared" si="1"/>
        <v/>
      </c>
    </row>
    <row r="3301">
      <c r="A3301" s="93" t="str">
        <f t="shared" si="2"/>
        <v>#17150</v>
      </c>
      <c r="B3301" s="93" t="str">
        <f>IF(COUNTIF(MAIN!B:B, A3301)=0, "Missing", "")</f>
        <v/>
      </c>
      <c r="C3301" s="128"/>
      <c r="E3301" s="128" t="str">
        <f t="shared" si="1"/>
        <v/>
      </c>
    </row>
    <row r="3302">
      <c r="A3302" s="93" t="str">
        <f t="shared" si="2"/>
        <v>#17151</v>
      </c>
      <c r="B3302" s="93" t="str">
        <f>IF(COUNTIF(MAIN!B:B, A3302)=0, "Missing", "")</f>
        <v/>
      </c>
      <c r="C3302" s="128"/>
      <c r="E3302" s="128" t="str">
        <f t="shared" si="1"/>
        <v/>
      </c>
    </row>
    <row r="3303">
      <c r="A3303" s="93" t="str">
        <f t="shared" si="2"/>
        <v>#17152</v>
      </c>
      <c r="B3303" s="93" t="str">
        <f>IF(COUNTIF(MAIN!B:B, A3303)=0, "Missing", "")</f>
        <v/>
      </c>
      <c r="C3303" s="128"/>
      <c r="E3303" s="128" t="str">
        <f t="shared" si="1"/>
        <v/>
      </c>
    </row>
    <row r="3304">
      <c r="A3304" s="93" t="str">
        <f t="shared" si="2"/>
        <v>#17153</v>
      </c>
      <c r="B3304" s="93" t="str">
        <f>IF(COUNTIF(MAIN!B:B, A3304)=0, "Missing", "")</f>
        <v/>
      </c>
      <c r="C3304" s="128"/>
      <c r="E3304" s="128" t="str">
        <f t="shared" si="1"/>
        <v/>
      </c>
    </row>
    <row r="3305">
      <c r="A3305" s="93" t="str">
        <f t="shared" si="2"/>
        <v>#17154</v>
      </c>
      <c r="B3305" s="93" t="str">
        <f>IF(COUNTIF(MAIN!B:B, A3305)=0, "Missing", "")</f>
        <v/>
      </c>
      <c r="C3305" s="128"/>
      <c r="E3305" s="128" t="str">
        <f t="shared" si="1"/>
        <v/>
      </c>
    </row>
    <row r="3306">
      <c r="A3306" s="93" t="str">
        <f t="shared" si="2"/>
        <v>#17155</v>
      </c>
      <c r="B3306" s="93" t="str">
        <f>IF(COUNTIF(MAIN!B:B, A3306)=0, "Missing", "")</f>
        <v/>
      </c>
      <c r="C3306" s="128"/>
      <c r="E3306" s="128" t="str">
        <f t="shared" si="1"/>
        <v/>
      </c>
    </row>
    <row r="3307">
      <c r="A3307" s="93" t="str">
        <f t="shared" si="2"/>
        <v>#17156</v>
      </c>
      <c r="B3307" s="93" t="str">
        <f>IF(COUNTIF(MAIN!B:B, A3307)=0, "Missing", "")</f>
        <v/>
      </c>
      <c r="C3307" s="128"/>
      <c r="E3307" s="128" t="str">
        <f t="shared" si="1"/>
        <v/>
      </c>
    </row>
    <row r="3308">
      <c r="A3308" s="93" t="str">
        <f t="shared" si="2"/>
        <v>#17157</v>
      </c>
      <c r="B3308" s="93" t="str">
        <f>IF(COUNTIF(MAIN!B:B, A3308)=0, "Missing", "")</f>
        <v/>
      </c>
      <c r="C3308" s="128"/>
      <c r="E3308" s="128" t="str">
        <f t="shared" si="1"/>
        <v/>
      </c>
    </row>
    <row r="3309">
      <c r="A3309" s="93" t="str">
        <f t="shared" si="2"/>
        <v>#17158</v>
      </c>
      <c r="B3309" s="93" t="str">
        <f>IF(COUNTIF(MAIN!B:B, A3309)=0, "Missing", "")</f>
        <v/>
      </c>
      <c r="C3309" s="128"/>
      <c r="E3309" s="128" t="str">
        <f t="shared" si="1"/>
        <v/>
      </c>
    </row>
    <row r="3310">
      <c r="A3310" s="93" t="str">
        <f t="shared" si="2"/>
        <v>#17159</v>
      </c>
      <c r="B3310" s="93" t="str">
        <f>IF(COUNTIF(MAIN!B:B, A3310)=0, "Missing", "")</f>
        <v/>
      </c>
      <c r="C3310" s="128"/>
      <c r="E3310" s="128" t="str">
        <f t="shared" si="1"/>
        <v/>
      </c>
    </row>
    <row r="3311">
      <c r="A3311" s="93" t="str">
        <f t="shared" si="2"/>
        <v>#17160</v>
      </c>
      <c r="B3311" s="93" t="str">
        <f>IF(COUNTIF(MAIN!B:B, A3311)=0, "Missing", "")</f>
        <v/>
      </c>
      <c r="C3311" s="128"/>
      <c r="E3311" s="128" t="str">
        <f t="shared" si="1"/>
        <v/>
      </c>
    </row>
    <row r="3312">
      <c r="A3312" s="93" t="str">
        <f t="shared" si="2"/>
        <v>#17161</v>
      </c>
      <c r="B3312" s="93" t="str">
        <f>IF(COUNTIF(MAIN!B:B, A3312)=0, "Missing", "")</f>
        <v>Missing</v>
      </c>
      <c r="C3312" s="128"/>
      <c r="E3312" s="131" t="str">
        <f t="shared" si="1"/>
        <v>https://utrucking.myshopify.com/admin/orders?query=17161</v>
      </c>
    </row>
    <row r="3313">
      <c r="A3313" s="93" t="str">
        <f t="shared" si="2"/>
        <v>#17162</v>
      </c>
      <c r="B3313" s="93" t="str">
        <f>IF(COUNTIF(MAIN!B:B, A3313)=0, "Missing", "")</f>
        <v/>
      </c>
      <c r="C3313" s="128"/>
      <c r="E3313" s="128" t="str">
        <f t="shared" si="1"/>
        <v/>
      </c>
    </row>
    <row r="3314">
      <c r="A3314" s="93" t="str">
        <f t="shared" si="2"/>
        <v>#17163</v>
      </c>
      <c r="B3314" s="93" t="str">
        <f>IF(COUNTIF(MAIN!B:B, A3314)=0, "Missing", "")</f>
        <v/>
      </c>
      <c r="C3314" s="128"/>
      <c r="E3314" s="128" t="str">
        <f t="shared" si="1"/>
        <v/>
      </c>
    </row>
    <row r="3315">
      <c r="A3315" s="93" t="str">
        <f t="shared" si="2"/>
        <v>#17164</v>
      </c>
      <c r="B3315" s="93" t="str">
        <f>IF(COUNTIF(MAIN!B:B, A3315)=0, "Missing", "")</f>
        <v/>
      </c>
      <c r="C3315" s="128"/>
      <c r="E3315" s="128" t="str">
        <f t="shared" si="1"/>
        <v/>
      </c>
    </row>
    <row r="3316">
      <c r="A3316" s="93" t="str">
        <f t="shared" si="2"/>
        <v>#17165</v>
      </c>
      <c r="B3316" s="93" t="str">
        <f>IF(COUNTIF(MAIN!B:B, A3316)=0, "Missing", "")</f>
        <v/>
      </c>
      <c r="C3316" s="128"/>
      <c r="E3316" s="128" t="str">
        <f t="shared" si="1"/>
        <v/>
      </c>
    </row>
    <row r="3317">
      <c r="A3317" s="93" t="str">
        <f t="shared" si="2"/>
        <v>#17166</v>
      </c>
      <c r="B3317" s="93" t="str">
        <f>IF(COUNTIF(MAIN!B:B, A3317)=0, "Missing", "")</f>
        <v/>
      </c>
      <c r="C3317" s="128"/>
      <c r="E3317" s="128" t="str">
        <f t="shared" si="1"/>
        <v/>
      </c>
    </row>
    <row r="3318">
      <c r="A3318" s="93" t="str">
        <f t="shared" si="2"/>
        <v>#17167</v>
      </c>
      <c r="B3318" s="93" t="str">
        <f>IF(COUNTIF(MAIN!B:B, A3318)=0, "Missing", "")</f>
        <v/>
      </c>
      <c r="C3318" s="128"/>
      <c r="E3318" s="128" t="str">
        <f t="shared" si="1"/>
        <v/>
      </c>
    </row>
    <row r="3319">
      <c r="A3319" s="93" t="str">
        <f t="shared" si="2"/>
        <v>#17168</v>
      </c>
      <c r="B3319" s="93" t="str">
        <f>IF(COUNTIF(MAIN!B:B, A3319)=0, "Missing", "")</f>
        <v/>
      </c>
      <c r="C3319" s="128"/>
      <c r="E3319" s="128" t="str">
        <f t="shared" si="1"/>
        <v/>
      </c>
    </row>
    <row r="3320">
      <c r="A3320" s="93" t="str">
        <f t="shared" si="2"/>
        <v>#17169</v>
      </c>
      <c r="B3320" s="93" t="str">
        <f>IF(COUNTIF(MAIN!B:B, A3320)=0, "Missing", "")</f>
        <v/>
      </c>
      <c r="C3320" s="128"/>
      <c r="E3320" s="128" t="str">
        <f t="shared" si="1"/>
        <v/>
      </c>
    </row>
    <row r="3321">
      <c r="A3321" s="93" t="str">
        <f t="shared" si="2"/>
        <v>#17170</v>
      </c>
      <c r="B3321" s="93" t="str">
        <f>IF(COUNTIF(MAIN!B:B, A3321)=0, "Missing", "")</f>
        <v/>
      </c>
      <c r="C3321" s="128"/>
      <c r="E3321" s="128" t="str">
        <f t="shared" si="1"/>
        <v/>
      </c>
    </row>
    <row r="3322">
      <c r="A3322" s="93" t="str">
        <f t="shared" si="2"/>
        <v>#17171</v>
      </c>
      <c r="B3322" s="93" t="str">
        <f>IF(COUNTIF(MAIN!B:B, A3322)=0, "Missing", "")</f>
        <v/>
      </c>
      <c r="C3322" s="128"/>
      <c r="E3322" s="128" t="str">
        <f t="shared" si="1"/>
        <v/>
      </c>
    </row>
    <row r="3323">
      <c r="A3323" s="93" t="str">
        <f t="shared" si="2"/>
        <v>#17172</v>
      </c>
      <c r="B3323" s="93" t="str">
        <f>IF(COUNTIF(MAIN!B:B, A3323)=0, "Missing", "")</f>
        <v/>
      </c>
      <c r="C3323" s="128"/>
      <c r="E3323" s="128" t="str">
        <f t="shared" si="1"/>
        <v/>
      </c>
    </row>
    <row r="3324">
      <c r="A3324" s="93" t="str">
        <f t="shared" si="2"/>
        <v>#17173</v>
      </c>
      <c r="B3324" s="93" t="str">
        <f>IF(COUNTIF(MAIN!B:B, A3324)=0, "Missing", "")</f>
        <v/>
      </c>
      <c r="C3324" s="128"/>
      <c r="E3324" s="128" t="str">
        <f t="shared" si="1"/>
        <v/>
      </c>
    </row>
    <row r="3325">
      <c r="A3325" s="93" t="str">
        <f t="shared" si="2"/>
        <v>#17174</v>
      </c>
      <c r="B3325" s="93" t="str">
        <f>IF(COUNTIF(MAIN!B:B, A3325)=0, "Missing", "")</f>
        <v/>
      </c>
      <c r="C3325" s="128"/>
      <c r="E3325" s="128" t="str">
        <f t="shared" si="1"/>
        <v/>
      </c>
    </row>
    <row r="3326">
      <c r="A3326" s="93" t="str">
        <f t="shared" si="2"/>
        <v>#17175</v>
      </c>
      <c r="B3326" s="93" t="str">
        <f>IF(COUNTIF(MAIN!B:B, A3326)=0, "Missing", "")</f>
        <v/>
      </c>
      <c r="C3326" s="128"/>
      <c r="E3326" s="128" t="str">
        <f t="shared" si="1"/>
        <v/>
      </c>
    </row>
    <row r="3327">
      <c r="A3327" s="93" t="str">
        <f t="shared" si="2"/>
        <v>#17176</v>
      </c>
      <c r="B3327" s="93" t="str">
        <f>IF(COUNTIF(MAIN!B:B, A3327)=0, "Missing", "")</f>
        <v/>
      </c>
      <c r="C3327" s="128"/>
      <c r="E3327" s="128" t="str">
        <f t="shared" si="1"/>
        <v/>
      </c>
    </row>
    <row r="3328">
      <c r="A3328" s="93" t="str">
        <f t="shared" si="2"/>
        <v>#17177</v>
      </c>
      <c r="B3328" s="93" t="str">
        <f>IF(COUNTIF(MAIN!B:B, A3328)=0, "Missing", "")</f>
        <v/>
      </c>
      <c r="C3328" s="128"/>
      <c r="E3328" s="128" t="str">
        <f t="shared" si="1"/>
        <v/>
      </c>
    </row>
    <row r="3329">
      <c r="A3329" s="93" t="str">
        <f t="shared" si="2"/>
        <v>#17178</v>
      </c>
      <c r="B3329" s="93" t="str">
        <f>IF(COUNTIF(MAIN!B:B, A3329)=0, "Missing", "")</f>
        <v/>
      </c>
      <c r="C3329" s="128"/>
      <c r="E3329" s="128" t="str">
        <f t="shared" si="1"/>
        <v/>
      </c>
    </row>
    <row r="3330">
      <c r="A3330" s="93" t="str">
        <f t="shared" si="2"/>
        <v>#17179</v>
      </c>
      <c r="B3330" s="93" t="str">
        <f>IF(COUNTIF(MAIN!B:B, A3330)=0, "Missing", "")</f>
        <v>Missing</v>
      </c>
      <c r="C3330" s="128"/>
      <c r="E3330" s="131" t="str">
        <f t="shared" si="1"/>
        <v>https://utrucking.myshopify.com/admin/orders?query=17179</v>
      </c>
    </row>
    <row r="3331">
      <c r="A3331" s="93" t="str">
        <f t="shared" si="2"/>
        <v>#17180</v>
      </c>
      <c r="B3331" s="93" t="str">
        <f>IF(COUNTIF(MAIN!B:B, A3331)=0, "Missing", "")</f>
        <v/>
      </c>
      <c r="C3331" s="128"/>
      <c r="E3331" s="128" t="str">
        <f t="shared" si="1"/>
        <v/>
      </c>
    </row>
    <row r="3332">
      <c r="A3332" s="93" t="str">
        <f t="shared" si="2"/>
        <v>#17181</v>
      </c>
      <c r="B3332" s="93" t="str">
        <f>IF(COUNTIF(MAIN!B:B, A3332)=0, "Missing", "")</f>
        <v/>
      </c>
      <c r="C3332" s="128"/>
      <c r="E3332" s="128" t="str">
        <f t="shared" si="1"/>
        <v/>
      </c>
    </row>
    <row r="3333">
      <c r="A3333" s="93" t="str">
        <f t="shared" si="2"/>
        <v>#17182</v>
      </c>
      <c r="B3333" s="93" t="str">
        <f>IF(COUNTIF(MAIN!B:B, A3333)=0, "Missing", "")</f>
        <v>Missing</v>
      </c>
      <c r="C3333" s="128"/>
      <c r="E3333" s="131" t="str">
        <f t="shared" si="1"/>
        <v>https://utrucking.myshopify.com/admin/orders?query=17182</v>
      </c>
    </row>
    <row r="3334">
      <c r="A3334" s="93" t="str">
        <f t="shared" si="2"/>
        <v>#17183</v>
      </c>
      <c r="B3334" s="93" t="str">
        <f>IF(COUNTIF(MAIN!B:B, A3334)=0, "Missing", "")</f>
        <v/>
      </c>
      <c r="C3334" s="128"/>
      <c r="E3334" s="128" t="str">
        <f t="shared" si="1"/>
        <v/>
      </c>
    </row>
    <row r="3335">
      <c r="A3335" s="93" t="str">
        <f t="shared" si="2"/>
        <v>#17184</v>
      </c>
      <c r="B3335" s="93" t="str">
        <f>IF(COUNTIF(MAIN!B:B, A3335)=0, "Missing", "")</f>
        <v/>
      </c>
      <c r="C3335" s="128"/>
      <c r="E3335" s="128" t="str">
        <f t="shared" si="1"/>
        <v/>
      </c>
    </row>
    <row r="3336">
      <c r="A3336" s="93" t="str">
        <f t="shared" si="2"/>
        <v>#17185</v>
      </c>
      <c r="B3336" s="93" t="str">
        <f>IF(COUNTIF(MAIN!B:B, A3336)=0, "Missing", "")</f>
        <v/>
      </c>
      <c r="C3336" s="128"/>
      <c r="E3336" s="128" t="str">
        <f t="shared" si="1"/>
        <v/>
      </c>
    </row>
    <row r="3337">
      <c r="A3337" s="93" t="str">
        <f t="shared" si="2"/>
        <v>#17186</v>
      </c>
      <c r="B3337" s="93" t="str">
        <f>IF(COUNTIF(MAIN!B:B, A3337)=0, "Missing", "")</f>
        <v/>
      </c>
      <c r="C3337" s="128"/>
      <c r="E3337" s="128" t="str">
        <f t="shared" si="1"/>
        <v/>
      </c>
    </row>
    <row r="3338">
      <c r="A3338" s="93" t="str">
        <f t="shared" si="2"/>
        <v>#17187</v>
      </c>
      <c r="B3338" s="93" t="str">
        <f>IF(COUNTIF(MAIN!B:B, A3338)=0, "Missing", "")</f>
        <v/>
      </c>
      <c r="C3338" s="128"/>
      <c r="E3338" s="128" t="str">
        <f t="shared" si="1"/>
        <v/>
      </c>
    </row>
    <row r="3339">
      <c r="A3339" s="93" t="str">
        <f t="shared" si="2"/>
        <v>#17188</v>
      </c>
      <c r="B3339" s="93" t="str">
        <f>IF(COUNTIF(MAIN!B:B, A3339)=0, "Missing", "")</f>
        <v/>
      </c>
      <c r="C3339" s="128"/>
      <c r="E3339" s="128" t="str">
        <f t="shared" si="1"/>
        <v/>
      </c>
    </row>
    <row r="3340">
      <c r="A3340" s="93" t="str">
        <f t="shared" si="2"/>
        <v>#17189</v>
      </c>
      <c r="B3340" s="93" t="str">
        <f>IF(COUNTIF(MAIN!B:B, A3340)=0, "Missing", "")</f>
        <v/>
      </c>
      <c r="C3340" s="128"/>
      <c r="E3340" s="128" t="str">
        <f t="shared" si="1"/>
        <v/>
      </c>
    </row>
    <row r="3341">
      <c r="A3341" s="93" t="str">
        <f t="shared" si="2"/>
        <v>#17190</v>
      </c>
      <c r="B3341" s="93" t="str">
        <f>IF(COUNTIF(MAIN!B:B, A3341)=0, "Missing", "")</f>
        <v/>
      </c>
      <c r="C3341" s="128"/>
      <c r="E3341" s="128" t="str">
        <f t="shared" si="1"/>
        <v/>
      </c>
    </row>
    <row r="3342">
      <c r="A3342" s="93" t="str">
        <f t="shared" si="2"/>
        <v>#17191</v>
      </c>
      <c r="B3342" s="93" t="str">
        <f>IF(COUNTIF(MAIN!B:B, A3342)=0, "Missing", "")</f>
        <v/>
      </c>
      <c r="C3342" s="128"/>
      <c r="E3342" s="128" t="str">
        <f t="shared" si="1"/>
        <v/>
      </c>
    </row>
    <row r="3343">
      <c r="A3343" s="93" t="str">
        <f t="shared" si="2"/>
        <v>#17192</v>
      </c>
      <c r="B3343" s="93" t="str">
        <f>IF(COUNTIF(MAIN!B:B, A3343)=0, "Missing", "")</f>
        <v/>
      </c>
      <c r="C3343" s="128"/>
      <c r="E3343" s="128" t="str">
        <f t="shared" si="1"/>
        <v/>
      </c>
    </row>
    <row r="3344">
      <c r="A3344" s="93" t="str">
        <f t="shared" si="2"/>
        <v>#17193</v>
      </c>
      <c r="B3344" s="93" t="str">
        <f>IF(COUNTIF(MAIN!B:B, A3344)=0, "Missing", "")</f>
        <v/>
      </c>
      <c r="C3344" s="128"/>
      <c r="E3344" s="128" t="str">
        <f t="shared" si="1"/>
        <v/>
      </c>
    </row>
    <row r="3345">
      <c r="A3345" s="93" t="str">
        <f t="shared" si="2"/>
        <v>#17194</v>
      </c>
      <c r="B3345" s="93" t="str">
        <f>IF(COUNTIF(MAIN!B:B, A3345)=0, "Missing", "")</f>
        <v/>
      </c>
      <c r="C3345" s="128"/>
      <c r="E3345" s="128" t="str">
        <f t="shared" si="1"/>
        <v/>
      </c>
    </row>
    <row r="3346">
      <c r="A3346" s="93" t="str">
        <f t="shared" si="2"/>
        <v>#17195</v>
      </c>
      <c r="B3346" s="93" t="str">
        <f>IF(COUNTIF(MAIN!B:B, A3346)=0, "Missing", "")</f>
        <v/>
      </c>
      <c r="C3346" s="128"/>
      <c r="E3346" s="128" t="str">
        <f t="shared" si="1"/>
        <v/>
      </c>
    </row>
    <row r="3347">
      <c r="A3347" s="93" t="str">
        <f t="shared" si="2"/>
        <v>#17196</v>
      </c>
      <c r="B3347" s="93" t="str">
        <f>IF(COUNTIF(MAIN!B:B, A3347)=0, "Missing", "")</f>
        <v/>
      </c>
      <c r="C3347" s="128"/>
      <c r="E3347" s="128" t="str">
        <f t="shared" si="1"/>
        <v/>
      </c>
    </row>
    <row r="3348">
      <c r="A3348" s="93" t="str">
        <f t="shared" si="2"/>
        <v>#17197</v>
      </c>
      <c r="B3348" s="93" t="str">
        <f>IF(COUNTIF(MAIN!B:B, A3348)=0, "Missing", "")</f>
        <v/>
      </c>
      <c r="C3348" s="128"/>
      <c r="E3348" s="128" t="str">
        <f t="shared" si="1"/>
        <v/>
      </c>
    </row>
    <row r="3349">
      <c r="A3349" s="93" t="str">
        <f t="shared" si="2"/>
        <v>#17198</v>
      </c>
      <c r="B3349" s="93" t="str">
        <f>IF(COUNTIF(MAIN!B:B, A3349)=0, "Missing", "")</f>
        <v>Missing</v>
      </c>
      <c r="C3349" s="128"/>
      <c r="E3349" s="131" t="str">
        <f t="shared" si="1"/>
        <v>https://utrucking.myshopify.com/admin/orders?query=17198</v>
      </c>
    </row>
    <row r="3350">
      <c r="A3350" s="93" t="str">
        <f t="shared" si="2"/>
        <v>#17199</v>
      </c>
      <c r="B3350" s="93" t="str">
        <f>IF(COUNTIF(MAIN!B:B, A3350)=0, "Missing", "")</f>
        <v/>
      </c>
      <c r="C3350" s="128"/>
      <c r="E3350" s="128" t="str">
        <f t="shared" si="1"/>
        <v/>
      </c>
    </row>
    <row r="3351">
      <c r="A3351" s="93" t="str">
        <f t="shared" si="2"/>
        <v>#17200</v>
      </c>
      <c r="B3351" s="93" t="str">
        <f>IF(COUNTIF(MAIN!B:B, A3351)=0, "Missing", "")</f>
        <v/>
      </c>
      <c r="C3351" s="128"/>
      <c r="E3351" s="128" t="str">
        <f t="shared" si="1"/>
        <v/>
      </c>
    </row>
    <row r="3352">
      <c r="A3352" s="93" t="str">
        <f t="shared" si="2"/>
        <v>#17201</v>
      </c>
      <c r="B3352" s="93" t="str">
        <f>IF(COUNTIF(MAIN!B:B, A3352)=0, "Missing", "")</f>
        <v/>
      </c>
      <c r="C3352" s="128"/>
      <c r="E3352" s="128" t="str">
        <f t="shared" si="1"/>
        <v/>
      </c>
    </row>
    <row r="3353">
      <c r="A3353" s="93" t="str">
        <f t="shared" si="2"/>
        <v>#17202</v>
      </c>
      <c r="B3353" s="93" t="str">
        <f>IF(COUNTIF(MAIN!B:B, A3353)=0, "Missing", "")</f>
        <v/>
      </c>
      <c r="C3353" s="128"/>
      <c r="E3353" s="128" t="str">
        <f t="shared" si="1"/>
        <v/>
      </c>
    </row>
    <row r="3354">
      <c r="A3354" s="93" t="str">
        <f t="shared" si="2"/>
        <v>#17203</v>
      </c>
      <c r="B3354" s="93" t="str">
        <f>IF(COUNTIF(MAIN!B:B, A3354)=0, "Missing", "")</f>
        <v/>
      </c>
      <c r="C3354" s="128"/>
      <c r="E3354" s="128" t="str">
        <f t="shared" si="1"/>
        <v/>
      </c>
    </row>
    <row r="3355">
      <c r="A3355" s="93" t="str">
        <f t="shared" si="2"/>
        <v>#17204</v>
      </c>
      <c r="B3355" s="93" t="str">
        <f>IF(COUNTIF(MAIN!B:B, A3355)=0, "Missing", "")</f>
        <v/>
      </c>
      <c r="C3355" s="128"/>
      <c r="E3355" s="128" t="str">
        <f t="shared" si="1"/>
        <v/>
      </c>
    </row>
    <row r="3356">
      <c r="A3356" s="93" t="str">
        <f t="shared" si="2"/>
        <v>#17205</v>
      </c>
      <c r="B3356" s="93" t="str">
        <f>IF(COUNTIF(MAIN!B:B, A3356)=0, "Missing", "")</f>
        <v/>
      </c>
      <c r="C3356" s="128"/>
      <c r="E3356" s="128" t="str">
        <f t="shared" si="1"/>
        <v/>
      </c>
    </row>
    <row r="3357">
      <c r="A3357" s="93" t="str">
        <f t="shared" si="2"/>
        <v>#17206</v>
      </c>
      <c r="B3357" s="93" t="str">
        <f>IF(COUNTIF(MAIN!B:B, A3357)=0, "Missing", "")</f>
        <v/>
      </c>
      <c r="C3357" s="128"/>
      <c r="E3357" s="128" t="str">
        <f t="shared" si="1"/>
        <v/>
      </c>
    </row>
    <row r="3358">
      <c r="A3358" s="93" t="str">
        <f t="shared" si="2"/>
        <v>#17207</v>
      </c>
      <c r="B3358" s="93" t="str">
        <f>IF(COUNTIF(MAIN!B:B, A3358)=0, "Missing", "")</f>
        <v/>
      </c>
      <c r="C3358" s="128"/>
      <c r="E3358" s="128" t="str">
        <f t="shared" si="1"/>
        <v/>
      </c>
    </row>
    <row r="3359">
      <c r="A3359" s="93" t="str">
        <f t="shared" si="2"/>
        <v>#17208</v>
      </c>
      <c r="B3359" s="93" t="str">
        <f>IF(COUNTIF(MAIN!B:B, A3359)=0, "Missing", "")</f>
        <v/>
      </c>
      <c r="C3359" s="128"/>
      <c r="E3359" s="128" t="str">
        <f t="shared" si="1"/>
        <v/>
      </c>
    </row>
    <row r="3360">
      <c r="A3360" s="93" t="str">
        <f t="shared" si="2"/>
        <v>#17209</v>
      </c>
      <c r="B3360" s="93" t="str">
        <f>IF(COUNTIF(MAIN!B:B, A3360)=0, "Missing", "")</f>
        <v/>
      </c>
      <c r="C3360" s="128"/>
      <c r="E3360" s="128" t="str">
        <f t="shared" si="1"/>
        <v/>
      </c>
    </row>
    <row r="3361">
      <c r="A3361" s="93" t="str">
        <f t="shared" si="2"/>
        <v>#17210</v>
      </c>
      <c r="B3361" s="93" t="str">
        <f>IF(COUNTIF(MAIN!B:B, A3361)=0, "Missing", "")</f>
        <v/>
      </c>
      <c r="C3361" s="128"/>
      <c r="E3361" s="128" t="str">
        <f t="shared" si="1"/>
        <v/>
      </c>
    </row>
    <row r="3362">
      <c r="A3362" s="93" t="str">
        <f t="shared" si="2"/>
        <v>#17211</v>
      </c>
      <c r="B3362" s="93" t="str">
        <f>IF(COUNTIF(MAIN!B:B, A3362)=0, "Missing", "")</f>
        <v/>
      </c>
      <c r="C3362" s="128"/>
      <c r="E3362" s="128" t="str">
        <f t="shared" si="1"/>
        <v/>
      </c>
    </row>
    <row r="3363">
      <c r="A3363" s="93" t="str">
        <f t="shared" si="2"/>
        <v>#17212</v>
      </c>
      <c r="B3363" s="93" t="str">
        <f>IF(COUNTIF(MAIN!B:B, A3363)=0, "Missing", "")</f>
        <v/>
      </c>
      <c r="C3363" s="128"/>
      <c r="E3363" s="128" t="str">
        <f t="shared" si="1"/>
        <v/>
      </c>
    </row>
    <row r="3364">
      <c r="A3364" s="93" t="str">
        <f t="shared" si="2"/>
        <v>#17213</v>
      </c>
      <c r="B3364" s="93" t="str">
        <f>IF(COUNTIF(MAIN!B:B, A3364)=0, "Missing", "")</f>
        <v/>
      </c>
      <c r="C3364" s="128"/>
      <c r="E3364" s="128" t="str">
        <f t="shared" si="1"/>
        <v/>
      </c>
    </row>
    <row r="3365">
      <c r="A3365" s="93" t="str">
        <f t="shared" si="2"/>
        <v>#17214</v>
      </c>
      <c r="B3365" s="93" t="str">
        <f>IF(COUNTIF(MAIN!B:B, A3365)=0, "Missing", "")</f>
        <v/>
      </c>
      <c r="C3365" s="128"/>
      <c r="E3365" s="128" t="str">
        <f t="shared" si="1"/>
        <v/>
      </c>
    </row>
    <row r="3366">
      <c r="A3366" s="93" t="str">
        <f t="shared" si="2"/>
        <v>#17215</v>
      </c>
      <c r="B3366" s="93" t="str">
        <f>IF(COUNTIF(MAIN!B:B, A3366)=0, "Missing", "")</f>
        <v/>
      </c>
      <c r="C3366" s="128"/>
      <c r="E3366" s="128" t="str">
        <f t="shared" si="1"/>
        <v/>
      </c>
    </row>
    <row r="3367">
      <c r="A3367" s="93" t="str">
        <f t="shared" si="2"/>
        <v>#17216</v>
      </c>
      <c r="B3367" s="93" t="str">
        <f>IF(COUNTIF(MAIN!B:B, A3367)=0, "Missing", "")</f>
        <v/>
      </c>
      <c r="C3367" s="128"/>
      <c r="E3367" s="128" t="str">
        <f t="shared" si="1"/>
        <v/>
      </c>
    </row>
    <row r="3368">
      <c r="A3368" s="93" t="str">
        <f t="shared" si="2"/>
        <v>#17217</v>
      </c>
      <c r="B3368" s="93" t="str">
        <f>IF(COUNTIF(MAIN!B:B, A3368)=0, "Missing", "")</f>
        <v/>
      </c>
      <c r="C3368" s="128"/>
      <c r="E3368" s="128" t="str">
        <f t="shared" si="1"/>
        <v/>
      </c>
    </row>
    <row r="3369">
      <c r="A3369" s="93" t="str">
        <f t="shared" si="2"/>
        <v>#17218</v>
      </c>
      <c r="B3369" s="93" t="str">
        <f>IF(COUNTIF(MAIN!B:B, A3369)=0, "Missing", "")</f>
        <v/>
      </c>
      <c r="C3369" s="128"/>
      <c r="E3369" s="128" t="str">
        <f t="shared" si="1"/>
        <v/>
      </c>
    </row>
    <row r="3370">
      <c r="A3370" s="93" t="str">
        <f t="shared" si="2"/>
        <v>#17219</v>
      </c>
      <c r="B3370" s="93" t="str">
        <f>IF(COUNTIF(MAIN!B:B, A3370)=0, "Missing", "")</f>
        <v/>
      </c>
      <c r="C3370" s="128"/>
      <c r="E3370" s="128" t="str">
        <f t="shared" si="1"/>
        <v/>
      </c>
    </row>
    <row r="3371">
      <c r="A3371" s="93" t="str">
        <f t="shared" si="2"/>
        <v>#17220</v>
      </c>
      <c r="B3371" s="93" t="str">
        <f>IF(COUNTIF(MAIN!B:B, A3371)=0, "Missing", "")</f>
        <v/>
      </c>
      <c r="C3371" s="128"/>
      <c r="E3371" s="128" t="str">
        <f t="shared" si="1"/>
        <v/>
      </c>
    </row>
    <row r="3372">
      <c r="A3372" s="93" t="str">
        <f t="shared" si="2"/>
        <v>#17221</v>
      </c>
      <c r="B3372" s="93" t="str">
        <f>IF(COUNTIF(MAIN!B:B, A3372)=0, "Missing", "")</f>
        <v>Missing</v>
      </c>
      <c r="C3372" s="128"/>
      <c r="E3372" s="131" t="str">
        <f t="shared" si="1"/>
        <v>https://utrucking.myshopify.com/admin/orders?query=17221</v>
      </c>
    </row>
    <row r="3373">
      <c r="A3373" s="93" t="str">
        <f t="shared" si="2"/>
        <v>#17222</v>
      </c>
      <c r="B3373" s="93" t="str">
        <f>IF(COUNTIF(MAIN!B:B, A3373)=0, "Missing", "")</f>
        <v>Missing</v>
      </c>
      <c r="C3373" s="128"/>
      <c r="E3373" s="131" t="str">
        <f t="shared" si="1"/>
        <v>https://utrucking.myshopify.com/admin/orders?query=17222</v>
      </c>
    </row>
    <row r="3374">
      <c r="A3374" s="93" t="str">
        <f t="shared" si="2"/>
        <v>#17223</v>
      </c>
      <c r="B3374" s="93" t="str">
        <f>IF(COUNTIF(MAIN!B:B, A3374)=0, "Missing", "")</f>
        <v/>
      </c>
      <c r="C3374" s="128"/>
      <c r="E3374" s="128" t="str">
        <f t="shared" si="1"/>
        <v/>
      </c>
    </row>
    <row r="3375">
      <c r="A3375" s="93" t="str">
        <f t="shared" si="2"/>
        <v>#17224</v>
      </c>
      <c r="B3375" s="93" t="str">
        <f>IF(COUNTIF(MAIN!B:B, A3375)=0, "Missing", "")</f>
        <v/>
      </c>
      <c r="C3375" s="128"/>
      <c r="E3375" s="128" t="str">
        <f t="shared" si="1"/>
        <v/>
      </c>
    </row>
    <row r="3376">
      <c r="A3376" s="93" t="str">
        <f t="shared" si="2"/>
        <v>#17225</v>
      </c>
      <c r="B3376" s="93" t="str">
        <f>IF(COUNTIF(MAIN!B:B, A3376)=0, "Missing", "")</f>
        <v/>
      </c>
      <c r="C3376" s="128"/>
      <c r="E3376" s="128" t="str">
        <f t="shared" si="1"/>
        <v/>
      </c>
    </row>
    <row r="3377">
      <c r="A3377" s="93" t="str">
        <f t="shared" si="2"/>
        <v>#17226</v>
      </c>
      <c r="B3377" s="93" t="str">
        <f>IF(COUNTIF(MAIN!B:B, A3377)=0, "Missing", "")</f>
        <v/>
      </c>
      <c r="C3377" s="128"/>
      <c r="E3377" s="128" t="str">
        <f t="shared" si="1"/>
        <v/>
      </c>
    </row>
    <row r="3378">
      <c r="A3378" s="93" t="str">
        <f t="shared" si="2"/>
        <v>#17227</v>
      </c>
      <c r="B3378" s="93" t="str">
        <f>IF(COUNTIF(MAIN!B:B, A3378)=0, "Missing", "")</f>
        <v/>
      </c>
      <c r="C3378" s="128"/>
      <c r="E3378" s="128" t="str">
        <f t="shared" si="1"/>
        <v/>
      </c>
    </row>
    <row r="3379">
      <c r="A3379" s="93" t="str">
        <f t="shared" si="2"/>
        <v>#17228</v>
      </c>
      <c r="B3379" s="93" t="str">
        <f>IF(COUNTIF(MAIN!B:B, A3379)=0, "Missing", "")</f>
        <v/>
      </c>
      <c r="C3379" s="128"/>
      <c r="E3379" s="128" t="str">
        <f t="shared" si="1"/>
        <v/>
      </c>
    </row>
    <row r="3380">
      <c r="A3380" s="93" t="str">
        <f t="shared" si="2"/>
        <v>#17229</v>
      </c>
      <c r="B3380" s="93" t="str">
        <f>IF(COUNTIF(MAIN!B:B, A3380)=0, "Missing", "")</f>
        <v/>
      </c>
      <c r="C3380" s="128"/>
      <c r="E3380" s="128" t="str">
        <f t="shared" si="1"/>
        <v/>
      </c>
    </row>
    <row r="3381">
      <c r="A3381" s="93" t="str">
        <f t="shared" si="2"/>
        <v>#17230</v>
      </c>
      <c r="B3381" s="93" t="str">
        <f>IF(COUNTIF(MAIN!B:B, A3381)=0, "Missing", "")</f>
        <v/>
      </c>
      <c r="C3381" s="128"/>
      <c r="E3381" s="128" t="str">
        <f t="shared" si="1"/>
        <v/>
      </c>
    </row>
    <row r="3382">
      <c r="A3382" s="93" t="str">
        <f t="shared" si="2"/>
        <v>#17231</v>
      </c>
      <c r="B3382" s="93" t="str">
        <f>IF(COUNTIF(MAIN!B:B, A3382)=0, "Missing", "")</f>
        <v/>
      </c>
      <c r="C3382" s="128"/>
      <c r="E3382" s="128" t="str">
        <f t="shared" si="1"/>
        <v/>
      </c>
    </row>
    <row r="3383">
      <c r="A3383" s="93" t="str">
        <f t="shared" si="2"/>
        <v>#17232</v>
      </c>
      <c r="B3383" s="93" t="str">
        <f>IF(COUNTIF(MAIN!B:B, A3383)=0, "Missing", "")</f>
        <v/>
      </c>
      <c r="C3383" s="128"/>
      <c r="E3383" s="128" t="str">
        <f t="shared" si="1"/>
        <v/>
      </c>
    </row>
    <row r="3384">
      <c r="A3384" s="93" t="str">
        <f t="shared" si="2"/>
        <v>#17233</v>
      </c>
      <c r="B3384" s="93" t="str">
        <f>IF(COUNTIF(MAIN!B:B, A3384)=0, "Missing", "")</f>
        <v/>
      </c>
      <c r="C3384" s="128"/>
      <c r="E3384" s="128" t="str">
        <f t="shared" si="1"/>
        <v/>
      </c>
    </row>
    <row r="3385">
      <c r="A3385" s="93" t="str">
        <f t="shared" si="2"/>
        <v>#17234</v>
      </c>
      <c r="B3385" s="93" t="str">
        <f>IF(COUNTIF(MAIN!B:B, A3385)=0, "Missing", "")</f>
        <v/>
      </c>
      <c r="C3385" s="128"/>
      <c r="E3385" s="128" t="str">
        <f t="shared" si="1"/>
        <v/>
      </c>
    </row>
    <row r="3386">
      <c r="A3386" s="93" t="str">
        <f t="shared" si="2"/>
        <v>#17235</v>
      </c>
      <c r="B3386" s="93" t="str">
        <f>IF(COUNTIF(MAIN!B:B, A3386)=0, "Missing", "")</f>
        <v/>
      </c>
      <c r="C3386" s="128"/>
      <c r="E3386" s="128" t="str">
        <f t="shared" si="1"/>
        <v/>
      </c>
    </row>
    <row r="3387">
      <c r="A3387" s="93" t="str">
        <f t="shared" si="2"/>
        <v>#17236</v>
      </c>
      <c r="B3387" s="93" t="str">
        <f>IF(COUNTIF(MAIN!B:B, A3387)=0, "Missing", "")</f>
        <v/>
      </c>
      <c r="C3387" s="128"/>
      <c r="E3387" s="128" t="str">
        <f t="shared" si="1"/>
        <v/>
      </c>
    </row>
    <row r="3388">
      <c r="A3388" s="93" t="str">
        <f t="shared" si="2"/>
        <v>#17237</v>
      </c>
      <c r="B3388" s="93" t="str">
        <f>IF(COUNTIF(MAIN!B:B, A3388)=0, "Missing", "")</f>
        <v/>
      </c>
      <c r="C3388" s="128"/>
      <c r="E3388" s="128" t="str">
        <f t="shared" si="1"/>
        <v/>
      </c>
    </row>
    <row r="3389">
      <c r="A3389" s="93" t="str">
        <f t="shared" si="2"/>
        <v>#17238</v>
      </c>
      <c r="B3389" s="93" t="str">
        <f>IF(COUNTIF(MAIN!B:B, A3389)=0, "Missing", "")</f>
        <v/>
      </c>
      <c r="C3389" s="128"/>
      <c r="E3389" s="128" t="str">
        <f t="shared" si="1"/>
        <v/>
      </c>
    </row>
    <row r="3390">
      <c r="A3390" s="93" t="str">
        <f t="shared" si="2"/>
        <v>#17239</v>
      </c>
      <c r="B3390" s="93" t="str">
        <f>IF(COUNTIF(MAIN!B:B, A3390)=0, "Missing", "")</f>
        <v/>
      </c>
      <c r="C3390" s="128"/>
      <c r="E3390" s="128" t="str">
        <f t="shared" si="1"/>
        <v/>
      </c>
    </row>
    <row r="3391">
      <c r="A3391" s="93" t="str">
        <f t="shared" si="2"/>
        <v>#17240</v>
      </c>
      <c r="B3391" s="93" t="str">
        <f>IF(COUNTIF(MAIN!B:B, A3391)=0, "Missing", "")</f>
        <v/>
      </c>
      <c r="C3391" s="128"/>
      <c r="E3391" s="128" t="str">
        <f t="shared" si="1"/>
        <v/>
      </c>
    </row>
    <row r="3392">
      <c r="A3392" s="93" t="str">
        <f t="shared" si="2"/>
        <v>#17241</v>
      </c>
      <c r="B3392" s="93" t="str">
        <f>IF(COUNTIF(MAIN!B:B, A3392)=0, "Missing", "")</f>
        <v/>
      </c>
      <c r="C3392" s="128"/>
      <c r="E3392" s="128" t="str">
        <f t="shared" si="1"/>
        <v/>
      </c>
    </row>
    <row r="3393">
      <c r="A3393" s="93" t="str">
        <f t="shared" si="2"/>
        <v>#17242</v>
      </c>
      <c r="B3393" s="93" t="str">
        <f>IF(COUNTIF(MAIN!B:B, A3393)=0, "Missing", "")</f>
        <v/>
      </c>
      <c r="C3393" s="128"/>
      <c r="E3393" s="128" t="str">
        <f t="shared" si="1"/>
        <v/>
      </c>
    </row>
    <row r="3394">
      <c r="A3394" s="93" t="str">
        <f t="shared" si="2"/>
        <v>#17243</v>
      </c>
      <c r="B3394" s="93" t="str">
        <f>IF(COUNTIF(MAIN!B:B, A3394)=0, "Missing", "")</f>
        <v/>
      </c>
      <c r="C3394" s="128"/>
      <c r="E3394" s="128" t="str">
        <f t="shared" si="1"/>
        <v/>
      </c>
    </row>
    <row r="3395">
      <c r="A3395" s="93" t="str">
        <f t="shared" si="2"/>
        <v>#17244</v>
      </c>
      <c r="B3395" s="93" t="str">
        <f>IF(COUNTIF(MAIN!B:B, A3395)=0, "Missing", "")</f>
        <v/>
      </c>
      <c r="C3395" s="128"/>
      <c r="E3395" s="128" t="str">
        <f t="shared" si="1"/>
        <v/>
      </c>
    </row>
    <row r="3396">
      <c r="A3396" s="93" t="str">
        <f t="shared" si="2"/>
        <v>#17245</v>
      </c>
      <c r="B3396" s="93" t="str">
        <f>IF(COUNTIF(MAIN!B:B, A3396)=0, "Missing", "")</f>
        <v/>
      </c>
      <c r="C3396" s="128"/>
      <c r="E3396" s="128" t="str">
        <f t="shared" si="1"/>
        <v/>
      </c>
    </row>
    <row r="3397">
      <c r="A3397" s="93" t="str">
        <f t="shared" si="2"/>
        <v>#17246</v>
      </c>
      <c r="B3397" s="93" t="str">
        <f>IF(COUNTIF(MAIN!B:B, A3397)=0, "Missing", "")</f>
        <v/>
      </c>
      <c r="C3397" s="128"/>
      <c r="E3397" s="128" t="str">
        <f t="shared" si="1"/>
        <v/>
      </c>
    </row>
    <row r="3398">
      <c r="A3398" s="93" t="str">
        <f t="shared" si="2"/>
        <v>#17247</v>
      </c>
      <c r="B3398" s="93" t="str">
        <f>IF(COUNTIF(MAIN!B:B, A3398)=0, "Missing", "")</f>
        <v/>
      </c>
      <c r="C3398" s="128"/>
      <c r="E3398" s="128" t="str">
        <f t="shared" si="1"/>
        <v/>
      </c>
    </row>
    <row r="3399">
      <c r="A3399" s="93" t="str">
        <f t="shared" si="2"/>
        <v>#17248</v>
      </c>
      <c r="B3399" s="93" t="str">
        <f>IF(COUNTIF(MAIN!B:B, A3399)=0, "Missing", "")</f>
        <v/>
      </c>
      <c r="C3399" s="128"/>
      <c r="E3399" s="128" t="str">
        <f t="shared" si="1"/>
        <v/>
      </c>
    </row>
    <row r="3400">
      <c r="A3400" s="93" t="str">
        <f t="shared" si="2"/>
        <v>#17249</v>
      </c>
      <c r="B3400" s="93" t="str">
        <f>IF(COUNTIF(MAIN!B:B, A3400)=0, "Missing", "")</f>
        <v/>
      </c>
      <c r="C3400" s="128"/>
      <c r="E3400" s="128" t="str">
        <f t="shared" si="1"/>
        <v/>
      </c>
    </row>
    <row r="3401">
      <c r="A3401" s="93" t="str">
        <f t="shared" si="2"/>
        <v>#17250</v>
      </c>
      <c r="B3401" s="93" t="str">
        <f>IF(COUNTIF(MAIN!B:B, A3401)=0, "Missing", "")</f>
        <v/>
      </c>
      <c r="C3401" s="128"/>
      <c r="E3401" s="128" t="str">
        <f t="shared" si="1"/>
        <v/>
      </c>
    </row>
    <row r="3402">
      <c r="A3402" s="93" t="str">
        <f t="shared" si="2"/>
        <v>#17251</v>
      </c>
      <c r="B3402" s="93" t="str">
        <f>IF(COUNTIF(MAIN!B:B, A3402)=0, "Missing", "")</f>
        <v/>
      </c>
      <c r="C3402" s="128"/>
      <c r="E3402" s="128" t="str">
        <f t="shared" si="1"/>
        <v/>
      </c>
    </row>
    <row r="3403">
      <c r="A3403" s="93" t="str">
        <f t="shared" si="2"/>
        <v>#17252</v>
      </c>
      <c r="B3403" s="93" t="str">
        <f>IF(COUNTIF(MAIN!B:B, A3403)=0, "Missing", "")</f>
        <v/>
      </c>
      <c r="C3403" s="128"/>
      <c r="E3403" s="128" t="str">
        <f t="shared" si="1"/>
        <v/>
      </c>
    </row>
    <row r="3404">
      <c r="A3404" s="93" t="str">
        <f t="shared" si="2"/>
        <v>#17253</v>
      </c>
      <c r="B3404" s="93" t="str">
        <f>IF(COUNTIF(MAIN!B:B, A3404)=0, "Missing", "")</f>
        <v/>
      </c>
      <c r="C3404" s="128"/>
      <c r="E3404" s="128" t="str">
        <f t="shared" si="1"/>
        <v/>
      </c>
    </row>
    <row r="3405">
      <c r="A3405" s="93" t="str">
        <f t="shared" si="2"/>
        <v>#17254</v>
      </c>
      <c r="B3405" s="93" t="str">
        <f>IF(COUNTIF(MAIN!B:B, A3405)=0, "Missing", "")</f>
        <v/>
      </c>
      <c r="C3405" s="128"/>
      <c r="E3405" s="128" t="str">
        <f t="shared" si="1"/>
        <v/>
      </c>
    </row>
    <row r="3406">
      <c r="A3406" s="93" t="str">
        <f t="shared" si="2"/>
        <v>#17255</v>
      </c>
      <c r="B3406" s="93" t="str">
        <f>IF(COUNTIF(MAIN!B:B, A3406)=0, "Missing", "")</f>
        <v/>
      </c>
      <c r="C3406" s="128"/>
      <c r="E3406" s="128" t="str">
        <f t="shared" si="1"/>
        <v/>
      </c>
    </row>
    <row r="3407">
      <c r="A3407" s="93" t="str">
        <f t="shared" si="2"/>
        <v>#17256</v>
      </c>
      <c r="B3407" s="93" t="str">
        <f>IF(COUNTIF(MAIN!B:B, A3407)=0, "Missing", "")</f>
        <v/>
      </c>
      <c r="C3407" s="128"/>
      <c r="E3407" s="128" t="str">
        <f t="shared" si="1"/>
        <v/>
      </c>
    </row>
    <row r="3408">
      <c r="A3408" s="93" t="str">
        <f t="shared" si="2"/>
        <v>#17257</v>
      </c>
      <c r="B3408" s="93" t="str">
        <f>IF(COUNTIF(MAIN!B:B, A3408)=0, "Missing", "")</f>
        <v/>
      </c>
      <c r="C3408" s="128"/>
      <c r="E3408" s="128" t="str">
        <f t="shared" si="1"/>
        <v/>
      </c>
    </row>
    <row r="3409">
      <c r="A3409" s="93" t="str">
        <f t="shared" si="2"/>
        <v>#17258</v>
      </c>
      <c r="B3409" s="93" t="str">
        <f>IF(COUNTIF(MAIN!B:B, A3409)=0, "Missing", "")</f>
        <v/>
      </c>
      <c r="C3409" s="128"/>
      <c r="E3409" s="128" t="str">
        <f t="shared" si="1"/>
        <v/>
      </c>
    </row>
    <row r="3410">
      <c r="A3410" s="93" t="str">
        <f t="shared" si="2"/>
        <v>#17259</v>
      </c>
      <c r="B3410" s="93" t="str">
        <f>IF(COUNTIF(MAIN!B:B, A3410)=0, "Missing", "")</f>
        <v/>
      </c>
      <c r="C3410" s="128"/>
      <c r="E3410" s="128" t="str">
        <f t="shared" si="1"/>
        <v/>
      </c>
    </row>
    <row r="3411">
      <c r="A3411" s="93" t="str">
        <f t="shared" si="2"/>
        <v>#17260</v>
      </c>
      <c r="B3411" s="93" t="str">
        <f>IF(COUNTIF(MAIN!B:B, A3411)=0, "Missing", "")</f>
        <v>Missing</v>
      </c>
      <c r="C3411" s="128"/>
      <c r="E3411" s="131" t="str">
        <f t="shared" si="1"/>
        <v>https://utrucking.myshopify.com/admin/orders?query=17260</v>
      </c>
    </row>
    <row r="3412">
      <c r="A3412" s="93" t="str">
        <f t="shared" si="2"/>
        <v>#17261</v>
      </c>
      <c r="B3412" s="93" t="str">
        <f>IF(COUNTIF(MAIN!B:B, A3412)=0, "Missing", "")</f>
        <v/>
      </c>
      <c r="C3412" s="128"/>
      <c r="E3412" s="128" t="str">
        <f t="shared" si="1"/>
        <v/>
      </c>
    </row>
    <row r="3413">
      <c r="A3413" s="93" t="str">
        <f t="shared" si="2"/>
        <v>#17262</v>
      </c>
      <c r="B3413" s="93" t="str">
        <f>IF(COUNTIF(MAIN!B:B, A3413)=0, "Missing", "")</f>
        <v>Missing</v>
      </c>
      <c r="C3413" s="128"/>
      <c r="E3413" s="131" t="str">
        <f t="shared" si="1"/>
        <v>https://utrucking.myshopify.com/admin/orders?query=17262</v>
      </c>
    </row>
    <row r="3414">
      <c r="A3414" s="93" t="str">
        <f t="shared" si="2"/>
        <v>#17263</v>
      </c>
      <c r="B3414" s="93" t="str">
        <f>IF(COUNTIF(MAIN!B:B, A3414)=0, "Missing", "")</f>
        <v/>
      </c>
      <c r="C3414" s="128"/>
      <c r="E3414" s="128" t="str">
        <f t="shared" si="1"/>
        <v/>
      </c>
    </row>
    <row r="3415">
      <c r="A3415" s="93" t="str">
        <f t="shared" si="2"/>
        <v>#17264</v>
      </c>
      <c r="B3415" s="93" t="str">
        <f>IF(COUNTIF(MAIN!B:B, A3415)=0, "Missing", "")</f>
        <v/>
      </c>
      <c r="C3415" s="128"/>
      <c r="E3415" s="128" t="str">
        <f t="shared" si="1"/>
        <v/>
      </c>
    </row>
    <row r="3416">
      <c r="A3416" s="93" t="str">
        <f t="shared" si="2"/>
        <v>#17265</v>
      </c>
      <c r="B3416" s="93" t="str">
        <f>IF(COUNTIF(MAIN!B:B, A3416)=0, "Missing", "")</f>
        <v/>
      </c>
      <c r="C3416" s="128"/>
      <c r="E3416" s="128" t="str">
        <f t="shared" si="1"/>
        <v/>
      </c>
    </row>
    <row r="3417">
      <c r="A3417" s="93" t="str">
        <f t="shared" si="2"/>
        <v>#17266</v>
      </c>
      <c r="B3417" s="93" t="str">
        <f>IF(COUNTIF(MAIN!B:B, A3417)=0, "Missing", "")</f>
        <v/>
      </c>
      <c r="C3417" s="128"/>
      <c r="E3417" s="128" t="str">
        <f t="shared" si="1"/>
        <v/>
      </c>
    </row>
    <row r="3418">
      <c r="A3418" s="93" t="str">
        <f t="shared" si="2"/>
        <v>#17267</v>
      </c>
      <c r="B3418" s="93" t="str">
        <f>IF(COUNTIF(MAIN!B:B, A3418)=0, "Missing", "")</f>
        <v/>
      </c>
      <c r="C3418" s="128"/>
      <c r="E3418" s="128" t="str">
        <f t="shared" si="1"/>
        <v/>
      </c>
    </row>
    <row r="3419">
      <c r="A3419" s="93" t="str">
        <f t="shared" si="2"/>
        <v>#17268</v>
      </c>
      <c r="B3419" s="93" t="str">
        <f>IF(COUNTIF(MAIN!B:B, A3419)=0, "Missing", "")</f>
        <v/>
      </c>
      <c r="C3419" s="128"/>
      <c r="E3419" s="128" t="str">
        <f t="shared" si="1"/>
        <v/>
      </c>
    </row>
    <row r="3420">
      <c r="A3420" s="93" t="str">
        <f t="shared" si="2"/>
        <v>#17269</v>
      </c>
      <c r="B3420" s="93" t="str">
        <f>IF(COUNTIF(MAIN!B:B, A3420)=0, "Missing", "")</f>
        <v/>
      </c>
      <c r="C3420" s="128"/>
      <c r="E3420" s="128" t="str">
        <f t="shared" si="1"/>
        <v/>
      </c>
    </row>
    <row r="3421">
      <c r="A3421" s="93" t="str">
        <f t="shared" si="2"/>
        <v>#17270</v>
      </c>
      <c r="B3421" s="93" t="str">
        <f>IF(COUNTIF(MAIN!B:B, A3421)=0, "Missing", "")</f>
        <v/>
      </c>
      <c r="C3421" s="128"/>
      <c r="E3421" s="128" t="str">
        <f t="shared" si="1"/>
        <v/>
      </c>
    </row>
    <row r="3422">
      <c r="A3422" s="93" t="str">
        <f t="shared" si="2"/>
        <v>#17271</v>
      </c>
      <c r="B3422" s="93" t="str">
        <f>IF(COUNTIF(MAIN!B:B, A3422)=0, "Missing", "")</f>
        <v/>
      </c>
      <c r="C3422" s="128"/>
      <c r="E3422" s="128" t="str">
        <f t="shared" si="1"/>
        <v/>
      </c>
    </row>
    <row r="3423">
      <c r="A3423" s="93" t="str">
        <f t="shared" si="2"/>
        <v>#17272</v>
      </c>
      <c r="B3423" s="93" t="str">
        <f>IF(COUNTIF(MAIN!B:B, A3423)=0, "Missing", "")</f>
        <v/>
      </c>
      <c r="C3423" s="128"/>
      <c r="E3423" s="128" t="str">
        <f t="shared" si="1"/>
        <v/>
      </c>
    </row>
    <row r="3424">
      <c r="A3424" s="93" t="str">
        <f t="shared" si="2"/>
        <v>#17273</v>
      </c>
      <c r="B3424" s="93" t="str">
        <f>IF(COUNTIF(MAIN!B:B, A3424)=0, "Missing", "")</f>
        <v/>
      </c>
      <c r="C3424" s="128"/>
      <c r="E3424" s="128" t="str">
        <f t="shared" si="1"/>
        <v/>
      </c>
    </row>
    <row r="3425">
      <c r="A3425" s="93" t="str">
        <f t="shared" si="2"/>
        <v>#17274</v>
      </c>
      <c r="B3425" s="93" t="str">
        <f>IF(COUNTIF(MAIN!B:B, A3425)=0, "Missing", "")</f>
        <v>Missing</v>
      </c>
      <c r="C3425" s="128"/>
      <c r="E3425" s="131" t="str">
        <f t="shared" si="1"/>
        <v>https://utrucking.myshopify.com/admin/orders?query=17274</v>
      </c>
    </row>
    <row r="3426">
      <c r="A3426" s="93" t="str">
        <f t="shared" si="2"/>
        <v>#17275</v>
      </c>
      <c r="B3426" s="93" t="str">
        <f>IF(COUNTIF(MAIN!B:B, A3426)=0, "Missing", "")</f>
        <v>Missing</v>
      </c>
      <c r="C3426" s="128"/>
      <c r="E3426" s="131" t="str">
        <f t="shared" si="1"/>
        <v>https://utrucking.myshopify.com/admin/orders?query=17275</v>
      </c>
    </row>
    <row r="3427">
      <c r="A3427" s="93" t="str">
        <f t="shared" si="2"/>
        <v>#17276</v>
      </c>
      <c r="B3427" s="93" t="str">
        <f>IF(COUNTIF(MAIN!B:B, A3427)=0, "Missing", "")</f>
        <v>Missing</v>
      </c>
      <c r="C3427" s="128"/>
      <c r="E3427" s="131" t="str">
        <f t="shared" si="1"/>
        <v>https://utrucking.myshopify.com/admin/orders?query=17276</v>
      </c>
    </row>
    <row r="3428">
      <c r="A3428" s="93" t="str">
        <f t="shared" si="2"/>
        <v>#17277</v>
      </c>
      <c r="B3428" s="93" t="str">
        <f>IF(COUNTIF(MAIN!B:B, A3428)=0, "Missing", "")</f>
        <v/>
      </c>
      <c r="C3428" s="128"/>
      <c r="E3428" s="128" t="str">
        <f t="shared" si="1"/>
        <v/>
      </c>
    </row>
    <row r="3429">
      <c r="A3429" s="93" t="str">
        <f t="shared" si="2"/>
        <v>#17278</v>
      </c>
      <c r="B3429" s="93" t="str">
        <f>IF(COUNTIF(MAIN!B:B, A3429)=0, "Missing", "")</f>
        <v/>
      </c>
      <c r="C3429" s="128"/>
      <c r="E3429" s="128" t="str">
        <f t="shared" si="1"/>
        <v/>
      </c>
    </row>
    <row r="3430">
      <c r="A3430" s="93" t="str">
        <f t="shared" si="2"/>
        <v>#17279</v>
      </c>
      <c r="B3430" s="93" t="str">
        <f>IF(COUNTIF(MAIN!B:B, A3430)=0, "Missing", "")</f>
        <v/>
      </c>
      <c r="C3430" s="128"/>
      <c r="E3430" s="128" t="str">
        <f t="shared" si="1"/>
        <v/>
      </c>
    </row>
    <row r="3431">
      <c r="A3431" s="93" t="str">
        <f t="shared" si="2"/>
        <v>#17280</v>
      </c>
      <c r="B3431" s="93" t="str">
        <f>IF(COUNTIF(MAIN!B:B, A3431)=0, "Missing", "")</f>
        <v/>
      </c>
      <c r="C3431" s="128"/>
      <c r="E3431" s="128" t="str">
        <f t="shared" si="1"/>
        <v/>
      </c>
    </row>
    <row r="3432">
      <c r="A3432" s="93" t="str">
        <f t="shared" si="2"/>
        <v>#17281</v>
      </c>
      <c r="B3432" s="93" t="str">
        <f>IF(COUNTIF(MAIN!B:B, A3432)=0, "Missing", "")</f>
        <v/>
      </c>
      <c r="C3432" s="128"/>
      <c r="E3432" s="128" t="str">
        <f t="shared" si="1"/>
        <v/>
      </c>
    </row>
    <row r="3433">
      <c r="A3433" s="93" t="str">
        <f t="shared" si="2"/>
        <v>#17282</v>
      </c>
      <c r="B3433" s="93" t="str">
        <f>IF(COUNTIF(MAIN!B:B, A3433)=0, "Missing", "")</f>
        <v/>
      </c>
      <c r="C3433" s="128"/>
      <c r="E3433" s="128" t="str">
        <f t="shared" si="1"/>
        <v/>
      </c>
    </row>
    <row r="3434">
      <c r="A3434" s="93" t="str">
        <f t="shared" si="2"/>
        <v>#17283</v>
      </c>
      <c r="B3434" s="93" t="str">
        <f>IF(COUNTIF(MAIN!B:B, A3434)=0, "Missing", "")</f>
        <v/>
      </c>
      <c r="C3434" s="128"/>
      <c r="E3434" s="128" t="str">
        <f t="shared" si="1"/>
        <v/>
      </c>
    </row>
    <row r="3435">
      <c r="A3435" s="93" t="str">
        <f t="shared" si="2"/>
        <v>#17284</v>
      </c>
      <c r="B3435" s="93" t="str">
        <f>IF(COUNTIF(MAIN!B:B, A3435)=0, "Missing", "")</f>
        <v>Missing</v>
      </c>
      <c r="C3435" s="128"/>
      <c r="E3435" s="131" t="str">
        <f t="shared" si="1"/>
        <v>https://utrucking.myshopify.com/admin/orders?query=17284</v>
      </c>
    </row>
    <row r="3436">
      <c r="A3436" s="93" t="str">
        <f t="shared" si="2"/>
        <v>#17285</v>
      </c>
      <c r="B3436" s="93" t="str">
        <f>IF(COUNTIF(MAIN!B:B, A3436)=0, "Missing", "")</f>
        <v>Missing</v>
      </c>
      <c r="C3436" s="128"/>
      <c r="E3436" s="131" t="str">
        <f t="shared" si="1"/>
        <v>https://utrucking.myshopify.com/admin/orders?query=17285</v>
      </c>
    </row>
    <row r="3437">
      <c r="A3437" s="93" t="str">
        <f t="shared" si="2"/>
        <v>#17286</v>
      </c>
      <c r="B3437" s="93" t="str">
        <f>IF(COUNTIF(MAIN!B:B, A3437)=0, "Missing", "")</f>
        <v/>
      </c>
      <c r="C3437" s="128"/>
      <c r="E3437" s="128" t="str">
        <f t="shared" si="1"/>
        <v/>
      </c>
    </row>
    <row r="3438">
      <c r="A3438" s="93" t="str">
        <f t="shared" si="2"/>
        <v>#17287</v>
      </c>
      <c r="B3438" s="93" t="str">
        <f>IF(COUNTIF(MAIN!B:B, A3438)=0, "Missing", "")</f>
        <v>Missing</v>
      </c>
      <c r="C3438" s="128"/>
      <c r="E3438" s="131" t="str">
        <f t="shared" si="1"/>
        <v>https://utrucking.myshopify.com/admin/orders?query=17287</v>
      </c>
    </row>
    <row r="3439">
      <c r="A3439" s="93" t="str">
        <f t="shared" si="2"/>
        <v>#17288</v>
      </c>
      <c r="B3439" s="93" t="str">
        <f>IF(COUNTIF(MAIN!B:B, A3439)=0, "Missing", "")</f>
        <v/>
      </c>
      <c r="C3439" s="128"/>
      <c r="E3439" s="128" t="str">
        <f t="shared" si="1"/>
        <v/>
      </c>
    </row>
    <row r="3440">
      <c r="A3440" s="93" t="str">
        <f t="shared" si="2"/>
        <v>#17289</v>
      </c>
      <c r="B3440" s="93" t="str">
        <f>IF(COUNTIF(MAIN!B:B, A3440)=0, "Missing", "")</f>
        <v/>
      </c>
      <c r="C3440" s="128"/>
      <c r="E3440" s="128" t="str">
        <f t="shared" si="1"/>
        <v/>
      </c>
    </row>
    <row r="3441">
      <c r="A3441" s="93" t="str">
        <f t="shared" si="2"/>
        <v>#17290</v>
      </c>
      <c r="B3441" s="93" t="str">
        <f>IF(COUNTIF(MAIN!B:B, A3441)=0, "Missing", "")</f>
        <v/>
      </c>
      <c r="C3441" s="128"/>
      <c r="E3441" s="128" t="str">
        <f t="shared" si="1"/>
        <v/>
      </c>
    </row>
    <row r="3442">
      <c r="A3442" s="93" t="str">
        <f t="shared" si="2"/>
        <v>#17291</v>
      </c>
      <c r="B3442" s="93" t="str">
        <f>IF(COUNTIF(MAIN!B:B, A3442)=0, "Missing", "")</f>
        <v/>
      </c>
      <c r="C3442" s="128"/>
      <c r="E3442" s="128" t="str">
        <f t="shared" si="1"/>
        <v/>
      </c>
    </row>
    <row r="3443">
      <c r="A3443" s="93" t="str">
        <f t="shared" si="2"/>
        <v>#17292</v>
      </c>
      <c r="B3443" s="93" t="str">
        <f>IF(COUNTIF(MAIN!B:B, A3443)=0, "Missing", "")</f>
        <v/>
      </c>
      <c r="C3443" s="128"/>
      <c r="E3443" s="128" t="str">
        <f t="shared" si="1"/>
        <v/>
      </c>
    </row>
    <row r="3444">
      <c r="A3444" s="93" t="str">
        <f t="shared" si="2"/>
        <v>#17293</v>
      </c>
      <c r="B3444" s="93" t="str">
        <f>IF(COUNTIF(MAIN!B:B, A3444)=0, "Missing", "")</f>
        <v/>
      </c>
      <c r="C3444" s="128"/>
      <c r="E3444" s="128" t="str">
        <f t="shared" si="1"/>
        <v/>
      </c>
    </row>
    <row r="3445">
      <c r="A3445" s="93" t="str">
        <f t="shared" si="2"/>
        <v>#17294</v>
      </c>
      <c r="B3445" s="93" t="str">
        <f>IF(COUNTIF(MAIN!B:B, A3445)=0, "Missing", "")</f>
        <v/>
      </c>
      <c r="C3445" s="128"/>
      <c r="E3445" s="128" t="str">
        <f t="shared" si="1"/>
        <v/>
      </c>
    </row>
    <row r="3446">
      <c r="A3446" s="93" t="str">
        <f t="shared" si="2"/>
        <v>#17295</v>
      </c>
      <c r="B3446" s="93" t="str">
        <f>IF(COUNTIF(MAIN!B:B, A3446)=0, "Missing", "")</f>
        <v/>
      </c>
      <c r="C3446" s="128"/>
      <c r="E3446" s="128" t="str">
        <f t="shared" si="1"/>
        <v/>
      </c>
    </row>
    <row r="3447">
      <c r="A3447" s="93" t="str">
        <f t="shared" si="2"/>
        <v>#17296</v>
      </c>
      <c r="B3447" s="93" t="str">
        <f>IF(COUNTIF(MAIN!B:B, A3447)=0, "Missing", "")</f>
        <v/>
      </c>
      <c r="C3447" s="128"/>
      <c r="E3447" s="128" t="str">
        <f t="shared" si="1"/>
        <v/>
      </c>
    </row>
    <row r="3448">
      <c r="A3448" s="93" t="str">
        <f t="shared" si="2"/>
        <v>#17297</v>
      </c>
      <c r="B3448" s="93" t="str">
        <f>IF(COUNTIF(MAIN!B:B, A3448)=0, "Missing", "")</f>
        <v/>
      </c>
      <c r="C3448" s="128"/>
      <c r="E3448" s="128" t="str">
        <f t="shared" si="1"/>
        <v/>
      </c>
    </row>
    <row r="3449">
      <c r="A3449" s="93" t="str">
        <f t="shared" si="2"/>
        <v>#17298</v>
      </c>
      <c r="B3449" s="93" t="str">
        <f>IF(COUNTIF(MAIN!B:B, A3449)=0, "Missing", "")</f>
        <v/>
      </c>
      <c r="C3449" s="128"/>
      <c r="E3449" s="128" t="str">
        <f t="shared" si="1"/>
        <v/>
      </c>
    </row>
    <row r="3450">
      <c r="A3450" s="93" t="str">
        <f t="shared" si="2"/>
        <v>#17299</v>
      </c>
      <c r="B3450" s="93" t="str">
        <f>IF(COUNTIF(MAIN!B:B, A3450)=0, "Missing", "")</f>
        <v/>
      </c>
      <c r="C3450" s="128"/>
      <c r="E3450" s="128" t="str">
        <f t="shared" si="1"/>
        <v/>
      </c>
    </row>
    <row r="3451">
      <c r="A3451" s="93" t="str">
        <f t="shared" si="2"/>
        <v>#17300</v>
      </c>
      <c r="B3451" s="93" t="str">
        <f>IF(COUNTIF(MAIN!B:B, A3451)=0, "Missing", "")</f>
        <v/>
      </c>
      <c r="C3451" s="128"/>
      <c r="E3451" s="128" t="str">
        <f t="shared" si="1"/>
        <v/>
      </c>
    </row>
    <row r="3452">
      <c r="A3452" s="93" t="str">
        <f t="shared" si="2"/>
        <v>#17301</v>
      </c>
      <c r="B3452" s="93" t="str">
        <f>IF(COUNTIF(MAIN!B:B, A3452)=0, "Missing", "")</f>
        <v/>
      </c>
      <c r="C3452" s="128"/>
      <c r="E3452" s="128" t="str">
        <f t="shared" si="1"/>
        <v/>
      </c>
    </row>
    <row r="3453">
      <c r="A3453" s="93" t="str">
        <f t="shared" si="2"/>
        <v>#17302</v>
      </c>
      <c r="B3453" s="93" t="str">
        <f>IF(COUNTIF(MAIN!B:B, A3453)=0, "Missing", "")</f>
        <v/>
      </c>
      <c r="C3453" s="128"/>
      <c r="E3453" s="128" t="str">
        <f t="shared" si="1"/>
        <v/>
      </c>
    </row>
    <row r="3454">
      <c r="A3454" s="93" t="str">
        <f t="shared" si="2"/>
        <v>#17303</v>
      </c>
      <c r="B3454" s="93" t="str">
        <f>IF(COUNTIF(MAIN!B:B, A3454)=0, "Missing", "")</f>
        <v/>
      </c>
      <c r="C3454" s="128"/>
      <c r="E3454" s="128" t="str">
        <f t="shared" si="1"/>
        <v/>
      </c>
    </row>
    <row r="3455">
      <c r="A3455" s="93" t="str">
        <f t="shared" si="2"/>
        <v>#17304</v>
      </c>
      <c r="B3455" s="93" t="str">
        <f>IF(COUNTIF(MAIN!B:B, A3455)=0, "Missing", "")</f>
        <v/>
      </c>
      <c r="C3455" s="128"/>
      <c r="E3455" s="128" t="str">
        <f t="shared" si="1"/>
        <v/>
      </c>
    </row>
    <row r="3456">
      <c r="A3456" s="93" t="str">
        <f t="shared" si="2"/>
        <v>#17305</v>
      </c>
      <c r="B3456" s="93" t="str">
        <f>IF(COUNTIF(MAIN!B:B, A3456)=0, "Missing", "")</f>
        <v/>
      </c>
      <c r="C3456" s="128"/>
      <c r="E3456" s="128" t="str">
        <f t="shared" si="1"/>
        <v/>
      </c>
    </row>
    <row r="3457">
      <c r="A3457" s="93" t="str">
        <f t="shared" si="2"/>
        <v>#17306</v>
      </c>
      <c r="B3457" s="93" t="str">
        <f>IF(COUNTIF(MAIN!B:B, A3457)=0, "Missing", "")</f>
        <v>Missing</v>
      </c>
      <c r="C3457" s="128"/>
      <c r="E3457" s="131" t="str">
        <f t="shared" si="1"/>
        <v>https://utrucking.myshopify.com/admin/orders?query=17306</v>
      </c>
    </row>
    <row r="3458">
      <c r="A3458" s="93" t="str">
        <f t="shared" si="2"/>
        <v>#17307</v>
      </c>
      <c r="B3458" s="93" t="str">
        <f>IF(COUNTIF(MAIN!B:B, A3458)=0, "Missing", "")</f>
        <v/>
      </c>
      <c r="C3458" s="128"/>
      <c r="E3458" s="128" t="str">
        <f t="shared" si="1"/>
        <v/>
      </c>
    </row>
    <row r="3459">
      <c r="A3459" s="93" t="str">
        <f t="shared" si="2"/>
        <v>#17308</v>
      </c>
      <c r="B3459" s="93" t="str">
        <f>IF(COUNTIF(MAIN!B:B, A3459)=0, "Missing", "")</f>
        <v/>
      </c>
      <c r="C3459" s="128"/>
      <c r="E3459" s="128" t="str">
        <f t="shared" si="1"/>
        <v/>
      </c>
    </row>
    <row r="3460">
      <c r="A3460" s="93" t="str">
        <f t="shared" si="2"/>
        <v>#17309</v>
      </c>
      <c r="B3460" s="93" t="str">
        <f>IF(COUNTIF(MAIN!B:B, A3460)=0, "Missing", "")</f>
        <v/>
      </c>
      <c r="C3460" s="128"/>
      <c r="E3460" s="128" t="str">
        <f t="shared" si="1"/>
        <v/>
      </c>
    </row>
    <row r="3461">
      <c r="A3461" s="93" t="str">
        <f t="shared" si="2"/>
        <v>#17310</v>
      </c>
      <c r="B3461" s="93" t="str">
        <f>IF(COUNTIF(MAIN!B:B, A3461)=0, "Missing", "")</f>
        <v/>
      </c>
      <c r="C3461" s="128"/>
      <c r="E3461" s="128" t="str">
        <f t="shared" si="1"/>
        <v/>
      </c>
    </row>
    <row r="3462">
      <c r="A3462" s="93" t="str">
        <f t="shared" si="2"/>
        <v>#17311</v>
      </c>
      <c r="B3462" s="93" t="str">
        <f>IF(COUNTIF(MAIN!B:B, A3462)=0, "Missing", "")</f>
        <v/>
      </c>
      <c r="C3462" s="128"/>
      <c r="E3462" s="128" t="str">
        <f t="shared" si="1"/>
        <v/>
      </c>
    </row>
    <row r="3463">
      <c r="A3463" s="93" t="str">
        <f t="shared" si="2"/>
        <v>#17312</v>
      </c>
      <c r="B3463" s="93" t="str">
        <f>IF(COUNTIF(MAIN!B:B, A3463)=0, "Missing", "")</f>
        <v/>
      </c>
      <c r="C3463" s="128"/>
      <c r="E3463" s="128" t="str">
        <f t="shared" si="1"/>
        <v/>
      </c>
    </row>
    <row r="3464">
      <c r="A3464" s="93" t="str">
        <f t="shared" si="2"/>
        <v>#17313</v>
      </c>
      <c r="B3464" s="93" t="str">
        <f>IF(COUNTIF(MAIN!B:B, A3464)=0, "Missing", "")</f>
        <v/>
      </c>
      <c r="C3464" s="128"/>
      <c r="E3464" s="128" t="str">
        <f t="shared" si="1"/>
        <v/>
      </c>
    </row>
    <row r="3465">
      <c r="A3465" s="93" t="str">
        <f t="shared" si="2"/>
        <v>#17314</v>
      </c>
      <c r="B3465" s="93" t="str">
        <f>IF(COUNTIF(MAIN!B:B, A3465)=0, "Missing", "")</f>
        <v/>
      </c>
      <c r="C3465" s="128"/>
      <c r="E3465" s="128" t="str">
        <f t="shared" si="1"/>
        <v/>
      </c>
    </row>
    <row r="3466">
      <c r="A3466" s="93" t="str">
        <f t="shared" si="2"/>
        <v>#17315</v>
      </c>
      <c r="B3466" s="93" t="str">
        <f>IF(COUNTIF(MAIN!B:B, A3466)=0, "Missing", "")</f>
        <v/>
      </c>
      <c r="C3466" s="128"/>
      <c r="E3466" s="128" t="str">
        <f t="shared" si="1"/>
        <v/>
      </c>
    </row>
    <row r="3467">
      <c r="A3467" s="93" t="str">
        <f t="shared" si="2"/>
        <v>#17316</v>
      </c>
      <c r="B3467" s="93" t="str">
        <f>IF(COUNTIF(MAIN!B:B, A3467)=0, "Missing", "")</f>
        <v>Missing</v>
      </c>
      <c r="C3467" s="128"/>
      <c r="E3467" s="131" t="str">
        <f t="shared" si="1"/>
        <v>https://utrucking.myshopify.com/admin/orders?query=17316</v>
      </c>
    </row>
    <row r="3468">
      <c r="A3468" s="93" t="str">
        <f t="shared" si="2"/>
        <v>#17317</v>
      </c>
      <c r="B3468" s="93" t="str">
        <f>IF(COUNTIF(MAIN!B:B, A3468)=0, "Missing", "")</f>
        <v/>
      </c>
      <c r="C3468" s="128"/>
      <c r="E3468" s="128" t="str">
        <f t="shared" si="1"/>
        <v/>
      </c>
    </row>
    <row r="3469">
      <c r="A3469" s="93" t="str">
        <f t="shared" si="2"/>
        <v>#17318</v>
      </c>
      <c r="B3469" s="93" t="str">
        <f>IF(COUNTIF(MAIN!B:B, A3469)=0, "Missing", "")</f>
        <v/>
      </c>
      <c r="C3469" s="128"/>
      <c r="E3469" s="128" t="str">
        <f t="shared" si="1"/>
        <v/>
      </c>
    </row>
    <row r="3470">
      <c r="A3470" s="93" t="str">
        <f t="shared" si="2"/>
        <v>#17319</v>
      </c>
      <c r="B3470" s="93" t="str">
        <f>IF(COUNTIF(MAIN!B:B, A3470)=0, "Missing", "")</f>
        <v>Missing</v>
      </c>
      <c r="C3470" s="128"/>
      <c r="E3470" s="131" t="str">
        <f t="shared" si="1"/>
        <v>https://utrucking.myshopify.com/admin/orders?query=17319</v>
      </c>
    </row>
    <row r="3471">
      <c r="A3471" s="93" t="str">
        <f t="shared" si="2"/>
        <v>#17320</v>
      </c>
      <c r="B3471" s="93" t="str">
        <f>IF(COUNTIF(MAIN!B:B, A3471)=0, "Missing", "")</f>
        <v/>
      </c>
      <c r="C3471" s="128"/>
      <c r="E3471" s="128" t="str">
        <f t="shared" si="1"/>
        <v/>
      </c>
    </row>
    <row r="3472">
      <c r="A3472" s="93" t="str">
        <f t="shared" si="2"/>
        <v>#17321</v>
      </c>
      <c r="B3472" s="93" t="str">
        <f>IF(COUNTIF(MAIN!B:B, A3472)=0, "Missing", "")</f>
        <v>Missing</v>
      </c>
      <c r="C3472" s="128"/>
      <c r="E3472" s="131" t="str">
        <f t="shared" si="1"/>
        <v>https://utrucking.myshopify.com/admin/orders?query=17321</v>
      </c>
    </row>
    <row r="3473">
      <c r="A3473" s="93" t="str">
        <f t="shared" si="2"/>
        <v>#17322</v>
      </c>
      <c r="B3473" s="93" t="str">
        <f>IF(COUNTIF(MAIN!B:B, A3473)=0, "Missing", "")</f>
        <v>Missing</v>
      </c>
      <c r="C3473" s="128"/>
      <c r="E3473" s="131" t="str">
        <f t="shared" si="1"/>
        <v>https://utrucking.myshopify.com/admin/orders?query=17322</v>
      </c>
    </row>
    <row r="3474">
      <c r="A3474" s="93" t="str">
        <f t="shared" si="2"/>
        <v>#17323</v>
      </c>
      <c r="B3474" s="93" t="str">
        <f>IF(COUNTIF(MAIN!B:B, A3474)=0, "Missing", "")</f>
        <v/>
      </c>
      <c r="C3474" s="128"/>
      <c r="E3474" s="128" t="str">
        <f t="shared" si="1"/>
        <v/>
      </c>
    </row>
    <row r="3475">
      <c r="A3475" s="93" t="str">
        <f t="shared" si="2"/>
        <v>#17324</v>
      </c>
      <c r="B3475" s="93" t="str">
        <f>IF(COUNTIF(MAIN!B:B, A3475)=0, "Missing", "")</f>
        <v/>
      </c>
      <c r="C3475" s="128"/>
      <c r="E3475" s="128" t="str">
        <f t="shared" si="1"/>
        <v/>
      </c>
    </row>
    <row r="3476">
      <c r="A3476" s="93" t="str">
        <f t="shared" si="2"/>
        <v>#17325</v>
      </c>
      <c r="B3476" s="93" t="str">
        <f>IF(COUNTIF(MAIN!B:B, A3476)=0, "Missing", "")</f>
        <v/>
      </c>
      <c r="C3476" s="128"/>
      <c r="E3476" s="128" t="str">
        <f t="shared" si="1"/>
        <v/>
      </c>
    </row>
    <row r="3477">
      <c r="A3477" s="93" t="str">
        <f t="shared" si="2"/>
        <v>#17326</v>
      </c>
      <c r="B3477" s="93" t="str">
        <f>IF(COUNTIF(MAIN!B:B, A3477)=0, "Missing", "")</f>
        <v/>
      </c>
      <c r="C3477" s="128"/>
      <c r="E3477" s="128" t="str">
        <f t="shared" si="1"/>
        <v/>
      </c>
    </row>
    <row r="3478">
      <c r="A3478" s="93" t="str">
        <f t="shared" si="2"/>
        <v>#17327</v>
      </c>
      <c r="B3478" s="93" t="str">
        <f>IF(COUNTIF(MAIN!B:B, A3478)=0, "Missing", "")</f>
        <v/>
      </c>
      <c r="C3478" s="128"/>
      <c r="E3478" s="128" t="str">
        <f t="shared" si="1"/>
        <v/>
      </c>
    </row>
    <row r="3479">
      <c r="A3479" s="93" t="str">
        <f t="shared" si="2"/>
        <v>#17328</v>
      </c>
      <c r="B3479" s="93" t="str">
        <f>IF(COUNTIF(MAIN!B:B, A3479)=0, "Missing", "")</f>
        <v>Missing</v>
      </c>
      <c r="C3479" s="128"/>
      <c r="E3479" s="131" t="str">
        <f t="shared" si="1"/>
        <v>https://utrucking.myshopify.com/admin/orders?query=17328</v>
      </c>
    </row>
    <row r="3480">
      <c r="A3480" s="93" t="str">
        <f t="shared" si="2"/>
        <v>#17329</v>
      </c>
      <c r="B3480" s="93" t="str">
        <f>IF(COUNTIF(MAIN!B:B, A3480)=0, "Missing", "")</f>
        <v/>
      </c>
      <c r="C3480" s="128"/>
      <c r="E3480" s="128" t="str">
        <f t="shared" si="1"/>
        <v/>
      </c>
    </row>
    <row r="3481">
      <c r="A3481" s="93" t="str">
        <f t="shared" si="2"/>
        <v>#17330</v>
      </c>
      <c r="B3481" s="93" t="str">
        <f>IF(COUNTIF(MAIN!B:B, A3481)=0, "Missing", "")</f>
        <v/>
      </c>
      <c r="C3481" s="128"/>
      <c r="E3481" s="128" t="str">
        <f t="shared" si="1"/>
        <v/>
      </c>
    </row>
    <row r="3482">
      <c r="A3482" s="93" t="str">
        <f t="shared" si="2"/>
        <v>#17331</v>
      </c>
      <c r="B3482" s="93" t="str">
        <f>IF(COUNTIF(MAIN!B:B, A3482)=0, "Missing", "")</f>
        <v/>
      </c>
      <c r="C3482" s="128"/>
      <c r="E3482" s="128" t="str">
        <f t="shared" si="1"/>
        <v/>
      </c>
    </row>
    <row r="3483">
      <c r="A3483" s="93" t="str">
        <f t="shared" si="2"/>
        <v>#17332</v>
      </c>
      <c r="B3483" s="93" t="str">
        <f>IF(COUNTIF(MAIN!B:B, A3483)=0, "Missing", "")</f>
        <v/>
      </c>
      <c r="C3483" s="128"/>
      <c r="E3483" s="128" t="str">
        <f t="shared" si="1"/>
        <v/>
      </c>
    </row>
    <row r="3484">
      <c r="A3484" s="93" t="str">
        <f t="shared" si="2"/>
        <v>#17333</v>
      </c>
      <c r="B3484" s="93" t="str">
        <f>IF(COUNTIF(MAIN!B:B, A3484)=0, "Missing", "")</f>
        <v/>
      </c>
      <c r="C3484" s="128"/>
      <c r="E3484" s="128" t="str">
        <f t="shared" si="1"/>
        <v/>
      </c>
    </row>
    <row r="3485">
      <c r="A3485" s="93" t="str">
        <f t="shared" si="2"/>
        <v>#17334</v>
      </c>
      <c r="B3485" s="93" t="str">
        <f>IF(COUNTIF(MAIN!B:B, A3485)=0, "Missing", "")</f>
        <v/>
      </c>
      <c r="C3485" s="128"/>
      <c r="E3485" s="128" t="str">
        <f t="shared" si="1"/>
        <v/>
      </c>
    </row>
    <row r="3486">
      <c r="A3486" s="93" t="str">
        <f t="shared" si="2"/>
        <v>#17335</v>
      </c>
      <c r="B3486" s="93" t="str">
        <f>IF(COUNTIF(MAIN!B:B, A3486)=0, "Missing", "")</f>
        <v/>
      </c>
      <c r="C3486" s="128"/>
      <c r="E3486" s="128" t="str">
        <f t="shared" si="1"/>
        <v/>
      </c>
    </row>
    <row r="3487">
      <c r="A3487" s="93" t="str">
        <f t="shared" si="2"/>
        <v>#17336</v>
      </c>
      <c r="B3487" s="93" t="str">
        <f>IF(COUNTIF(MAIN!B:B, A3487)=0, "Missing", "")</f>
        <v/>
      </c>
      <c r="C3487" s="128"/>
      <c r="E3487" s="128" t="str">
        <f t="shared" si="1"/>
        <v/>
      </c>
    </row>
    <row r="3488">
      <c r="A3488" s="93" t="str">
        <f t="shared" si="2"/>
        <v>#17337</v>
      </c>
      <c r="B3488" s="93" t="str">
        <f>IF(COUNTIF(MAIN!B:B, A3488)=0, "Missing", "")</f>
        <v/>
      </c>
      <c r="C3488" s="128"/>
      <c r="E3488" s="128" t="str">
        <f t="shared" si="1"/>
        <v/>
      </c>
    </row>
    <row r="3489">
      <c r="A3489" s="93" t="str">
        <f t="shared" si="2"/>
        <v>#17338</v>
      </c>
      <c r="B3489" s="93" t="str">
        <f>IF(COUNTIF(MAIN!B:B, A3489)=0, "Missing", "")</f>
        <v/>
      </c>
      <c r="C3489" s="128"/>
      <c r="E3489" s="128" t="str">
        <f t="shared" si="1"/>
        <v/>
      </c>
    </row>
    <row r="3490">
      <c r="A3490" s="93" t="str">
        <f t="shared" si="2"/>
        <v>#17339</v>
      </c>
      <c r="B3490" s="93" t="str">
        <f>IF(COUNTIF(MAIN!B:B, A3490)=0, "Missing", "")</f>
        <v/>
      </c>
      <c r="C3490" s="128"/>
      <c r="E3490" s="128" t="str">
        <f t="shared" si="1"/>
        <v/>
      </c>
    </row>
    <row r="3491">
      <c r="A3491" s="93" t="str">
        <f t="shared" si="2"/>
        <v>#17340</v>
      </c>
      <c r="B3491" s="93" t="str">
        <f>IF(COUNTIF(MAIN!B:B, A3491)=0, "Missing", "")</f>
        <v/>
      </c>
      <c r="C3491" s="128"/>
      <c r="E3491" s="128" t="str">
        <f t="shared" si="1"/>
        <v/>
      </c>
    </row>
    <row r="3492">
      <c r="A3492" s="93" t="str">
        <f t="shared" si="2"/>
        <v>#17341</v>
      </c>
      <c r="B3492" s="93" t="str">
        <f>IF(COUNTIF(MAIN!B:B, A3492)=0, "Missing", "")</f>
        <v/>
      </c>
      <c r="C3492" s="128"/>
      <c r="E3492" s="128" t="str">
        <f t="shared" si="1"/>
        <v/>
      </c>
    </row>
    <row r="3493">
      <c r="A3493" s="93" t="str">
        <f t="shared" si="2"/>
        <v>#17342</v>
      </c>
      <c r="B3493" s="93" t="str">
        <f>IF(COUNTIF(MAIN!B:B, A3493)=0, "Missing", "")</f>
        <v/>
      </c>
      <c r="C3493" s="128"/>
      <c r="E3493" s="128" t="str">
        <f t="shared" si="1"/>
        <v/>
      </c>
    </row>
    <row r="3494">
      <c r="A3494" s="93" t="str">
        <f t="shared" si="2"/>
        <v>#17343</v>
      </c>
      <c r="B3494" s="93" t="str">
        <f>IF(COUNTIF(MAIN!B:B, A3494)=0, "Missing", "")</f>
        <v/>
      </c>
      <c r="C3494" s="128"/>
      <c r="E3494" s="128" t="str">
        <f t="shared" si="1"/>
        <v/>
      </c>
    </row>
    <row r="3495">
      <c r="A3495" s="93" t="str">
        <f t="shared" si="2"/>
        <v>#17344</v>
      </c>
      <c r="B3495" s="93" t="str">
        <f>IF(COUNTIF(MAIN!B:B, A3495)=0, "Missing", "")</f>
        <v/>
      </c>
      <c r="C3495" s="128"/>
      <c r="E3495" s="128" t="str">
        <f t="shared" si="1"/>
        <v/>
      </c>
    </row>
    <row r="3496">
      <c r="A3496" s="93" t="str">
        <f t="shared" si="2"/>
        <v>#17345</v>
      </c>
      <c r="B3496" s="93" t="str">
        <f>IF(COUNTIF(MAIN!B:B, A3496)=0, "Missing", "")</f>
        <v/>
      </c>
      <c r="C3496" s="128"/>
      <c r="E3496" s="128" t="str">
        <f t="shared" si="1"/>
        <v/>
      </c>
    </row>
    <row r="3497">
      <c r="A3497" s="93" t="str">
        <f t="shared" si="2"/>
        <v>#17346</v>
      </c>
      <c r="B3497" s="93" t="str">
        <f>IF(COUNTIF(MAIN!B:B, A3497)=0, "Missing", "")</f>
        <v/>
      </c>
      <c r="C3497" s="128"/>
      <c r="E3497" s="128" t="str">
        <f t="shared" si="1"/>
        <v/>
      </c>
    </row>
    <row r="3498">
      <c r="A3498" s="93" t="str">
        <f t="shared" si="2"/>
        <v>#17347</v>
      </c>
      <c r="B3498" s="93" t="str">
        <f>IF(COUNTIF(MAIN!B:B, A3498)=0, "Missing", "")</f>
        <v/>
      </c>
      <c r="C3498" s="128"/>
      <c r="E3498" s="128" t="str">
        <f t="shared" si="1"/>
        <v/>
      </c>
    </row>
    <row r="3499">
      <c r="A3499" s="93" t="str">
        <f t="shared" si="2"/>
        <v>#17348</v>
      </c>
      <c r="B3499" s="93" t="str">
        <f>IF(COUNTIF(MAIN!B:B, A3499)=0, "Missing", "")</f>
        <v/>
      </c>
      <c r="C3499" s="128"/>
      <c r="E3499" s="128" t="str">
        <f t="shared" si="1"/>
        <v/>
      </c>
    </row>
    <row r="3500">
      <c r="A3500" s="93" t="str">
        <f t="shared" si="2"/>
        <v>#17349</v>
      </c>
      <c r="B3500" s="93" t="str">
        <f>IF(COUNTIF(MAIN!B:B, A3500)=0, "Missing", "")</f>
        <v/>
      </c>
      <c r="C3500" s="128"/>
      <c r="E3500" s="128" t="str">
        <f t="shared" si="1"/>
        <v/>
      </c>
    </row>
    <row r="3501">
      <c r="A3501" s="93" t="str">
        <f t="shared" si="2"/>
        <v>#17350</v>
      </c>
      <c r="B3501" s="93" t="str">
        <f>IF(COUNTIF(MAIN!B:B, A3501)=0, "Missing", "")</f>
        <v/>
      </c>
      <c r="C3501" s="128"/>
      <c r="E3501" s="128" t="str">
        <f t="shared" si="1"/>
        <v/>
      </c>
    </row>
    <row r="3502">
      <c r="A3502" s="93" t="str">
        <f t="shared" si="2"/>
        <v>#17351</v>
      </c>
      <c r="B3502" s="93" t="str">
        <f>IF(COUNTIF(MAIN!B:B, A3502)=0, "Missing", "")</f>
        <v/>
      </c>
      <c r="C3502" s="128"/>
      <c r="E3502" s="128" t="str">
        <f t="shared" si="1"/>
        <v/>
      </c>
    </row>
    <row r="3503">
      <c r="A3503" s="93" t="str">
        <f t="shared" si="2"/>
        <v>#17352</v>
      </c>
      <c r="B3503" s="93" t="str">
        <f>IF(COUNTIF(MAIN!B:B, A3503)=0, "Missing", "")</f>
        <v/>
      </c>
      <c r="C3503" s="128"/>
      <c r="E3503" s="128" t="str">
        <f t="shared" si="1"/>
        <v/>
      </c>
    </row>
    <row r="3504">
      <c r="A3504" s="93" t="str">
        <f t="shared" si="2"/>
        <v>#17353</v>
      </c>
      <c r="B3504" s="93" t="str">
        <f>IF(COUNTIF(MAIN!B:B, A3504)=0, "Missing", "")</f>
        <v/>
      </c>
      <c r="C3504" s="128"/>
      <c r="E3504" s="128" t="str">
        <f t="shared" si="1"/>
        <v/>
      </c>
    </row>
    <row r="3505">
      <c r="A3505" s="93" t="str">
        <f t="shared" si="2"/>
        <v>#17354</v>
      </c>
      <c r="B3505" s="93" t="str">
        <f>IF(COUNTIF(MAIN!B:B, A3505)=0, "Missing", "")</f>
        <v/>
      </c>
      <c r="C3505" s="128"/>
      <c r="E3505" s="128" t="str">
        <f t="shared" si="1"/>
        <v/>
      </c>
    </row>
    <row r="3506">
      <c r="A3506" s="93" t="str">
        <f t="shared" si="2"/>
        <v>#17355</v>
      </c>
      <c r="B3506" s="93" t="str">
        <f>IF(COUNTIF(MAIN!B:B, A3506)=0, "Missing", "")</f>
        <v/>
      </c>
      <c r="C3506" s="128"/>
      <c r="E3506" s="128" t="str">
        <f t="shared" si="1"/>
        <v/>
      </c>
    </row>
    <row r="3507">
      <c r="A3507" s="93" t="str">
        <f t="shared" si="2"/>
        <v>#17356</v>
      </c>
      <c r="B3507" s="93" t="str">
        <f>IF(COUNTIF(MAIN!B:B, A3507)=0, "Missing", "")</f>
        <v/>
      </c>
      <c r="C3507" s="128"/>
      <c r="E3507" s="128" t="str">
        <f t="shared" si="1"/>
        <v/>
      </c>
    </row>
    <row r="3508">
      <c r="A3508" s="93" t="str">
        <f t="shared" si="2"/>
        <v>#17357</v>
      </c>
      <c r="B3508" s="93" t="str">
        <f>IF(COUNTIF(MAIN!B:B, A3508)=0, "Missing", "")</f>
        <v/>
      </c>
      <c r="C3508" s="128"/>
      <c r="E3508" s="128" t="str">
        <f t="shared" si="1"/>
        <v/>
      </c>
    </row>
    <row r="3509">
      <c r="A3509" s="93" t="str">
        <f t="shared" si="2"/>
        <v>#17358</v>
      </c>
      <c r="B3509" s="93" t="str">
        <f>IF(COUNTIF(MAIN!B:B, A3509)=0, "Missing", "")</f>
        <v/>
      </c>
      <c r="C3509" s="128"/>
      <c r="E3509" s="128" t="str">
        <f t="shared" si="1"/>
        <v/>
      </c>
    </row>
    <row r="3510">
      <c r="A3510" s="93" t="str">
        <f t="shared" si="2"/>
        <v>#17359</v>
      </c>
      <c r="B3510" s="93" t="str">
        <f>IF(COUNTIF(MAIN!B:B, A3510)=0, "Missing", "")</f>
        <v/>
      </c>
      <c r="C3510" s="128"/>
      <c r="E3510" s="128" t="str">
        <f t="shared" si="1"/>
        <v/>
      </c>
    </row>
    <row r="3511">
      <c r="A3511" s="93" t="str">
        <f t="shared" si="2"/>
        <v>#17360</v>
      </c>
      <c r="B3511" s="93" t="str">
        <f>IF(COUNTIF(MAIN!B:B, A3511)=0, "Missing", "")</f>
        <v/>
      </c>
      <c r="C3511" s="128"/>
      <c r="E3511" s="128" t="str">
        <f t="shared" si="1"/>
        <v/>
      </c>
    </row>
    <row r="3512">
      <c r="A3512" s="93" t="str">
        <f t="shared" si="2"/>
        <v>#17361</v>
      </c>
      <c r="B3512" s="93" t="str">
        <f>IF(COUNTIF(MAIN!B:B, A3512)=0, "Missing", "")</f>
        <v/>
      </c>
      <c r="C3512" s="128"/>
      <c r="E3512" s="128" t="str">
        <f t="shared" si="1"/>
        <v/>
      </c>
    </row>
    <row r="3513">
      <c r="A3513" s="93" t="str">
        <f t="shared" si="2"/>
        <v>#17362</v>
      </c>
      <c r="B3513" s="93" t="str">
        <f>IF(COUNTIF(MAIN!B:B, A3513)=0, "Missing", "")</f>
        <v/>
      </c>
      <c r="C3513" s="128"/>
      <c r="E3513" s="128" t="str">
        <f t="shared" si="1"/>
        <v/>
      </c>
    </row>
    <row r="3514">
      <c r="A3514" s="93" t="str">
        <f t="shared" si="2"/>
        <v>#17363</v>
      </c>
      <c r="B3514" s="93" t="str">
        <f>IF(COUNTIF(MAIN!B:B, A3514)=0, "Missing", "")</f>
        <v/>
      </c>
      <c r="C3514" s="128"/>
      <c r="E3514" s="128" t="str">
        <f t="shared" si="1"/>
        <v/>
      </c>
    </row>
    <row r="3515">
      <c r="A3515" s="93" t="str">
        <f t="shared" si="2"/>
        <v>#17364</v>
      </c>
      <c r="B3515" s="93" t="str">
        <f>IF(COUNTIF(MAIN!B:B, A3515)=0, "Missing", "")</f>
        <v/>
      </c>
      <c r="C3515" s="128"/>
      <c r="E3515" s="128" t="str">
        <f t="shared" si="1"/>
        <v/>
      </c>
    </row>
    <row r="3516">
      <c r="A3516" s="93" t="str">
        <f t="shared" si="2"/>
        <v>#17365</v>
      </c>
      <c r="B3516" s="93" t="str">
        <f>IF(COUNTIF(MAIN!B:B, A3516)=0, "Missing", "")</f>
        <v/>
      </c>
      <c r="C3516" s="128"/>
      <c r="E3516" s="128" t="str">
        <f t="shared" si="1"/>
        <v/>
      </c>
    </row>
    <row r="3517">
      <c r="A3517" s="93" t="str">
        <f t="shared" si="2"/>
        <v>#17366</v>
      </c>
      <c r="B3517" s="93" t="str">
        <f>IF(COUNTIF(MAIN!B:B, A3517)=0, "Missing", "")</f>
        <v/>
      </c>
      <c r="C3517" s="128"/>
      <c r="E3517" s="128" t="str">
        <f t="shared" si="1"/>
        <v/>
      </c>
    </row>
    <row r="3518">
      <c r="A3518" s="93" t="str">
        <f t="shared" si="2"/>
        <v>#17367</v>
      </c>
      <c r="B3518" s="93" t="str">
        <f>IF(COUNTIF(MAIN!B:B, A3518)=0, "Missing", "")</f>
        <v/>
      </c>
      <c r="C3518" s="128"/>
      <c r="E3518" s="128" t="str">
        <f t="shared" si="1"/>
        <v/>
      </c>
    </row>
    <row r="3519">
      <c r="A3519" s="93" t="str">
        <f t="shared" si="2"/>
        <v>#17368</v>
      </c>
      <c r="B3519" s="93" t="str">
        <f>IF(COUNTIF(MAIN!B:B, A3519)=0, "Missing", "")</f>
        <v/>
      </c>
      <c r="C3519" s="128"/>
      <c r="E3519" s="128" t="str">
        <f t="shared" si="1"/>
        <v/>
      </c>
    </row>
    <row r="3520">
      <c r="A3520" s="93" t="str">
        <f t="shared" si="2"/>
        <v>#17369</v>
      </c>
      <c r="B3520" s="93" t="str">
        <f>IF(COUNTIF(MAIN!B:B, A3520)=0, "Missing", "")</f>
        <v/>
      </c>
      <c r="C3520" s="128"/>
      <c r="E3520" s="128" t="str">
        <f t="shared" si="1"/>
        <v/>
      </c>
    </row>
    <row r="3521">
      <c r="A3521" s="93" t="str">
        <f t="shared" si="2"/>
        <v>#17370</v>
      </c>
      <c r="B3521" s="93" t="str">
        <f>IF(COUNTIF(MAIN!B:B, A3521)=0, "Missing", "")</f>
        <v/>
      </c>
      <c r="C3521" s="128"/>
      <c r="E3521" s="128" t="str">
        <f t="shared" si="1"/>
        <v/>
      </c>
    </row>
    <row r="3522">
      <c r="A3522" s="93" t="str">
        <f t="shared" si="2"/>
        <v>#17371</v>
      </c>
      <c r="B3522" s="93" t="str">
        <f>IF(COUNTIF(MAIN!B:B, A3522)=0, "Missing", "")</f>
        <v/>
      </c>
      <c r="C3522" s="128"/>
      <c r="E3522" s="128" t="str">
        <f t="shared" si="1"/>
        <v/>
      </c>
    </row>
    <row r="3523">
      <c r="A3523" s="93" t="str">
        <f t="shared" si="2"/>
        <v>#17372</v>
      </c>
      <c r="B3523" s="93" t="str">
        <f>IF(COUNTIF(MAIN!B:B, A3523)=0, "Missing", "")</f>
        <v/>
      </c>
      <c r="C3523" s="128"/>
      <c r="E3523" s="128" t="str">
        <f t="shared" si="1"/>
        <v/>
      </c>
    </row>
    <row r="3524">
      <c r="A3524" s="93" t="str">
        <f t="shared" si="2"/>
        <v>#17373</v>
      </c>
      <c r="B3524" s="93" t="str">
        <f>IF(COUNTIF(MAIN!B:B, A3524)=0, "Missing", "")</f>
        <v/>
      </c>
      <c r="C3524" s="128"/>
      <c r="E3524" s="128" t="str">
        <f t="shared" si="1"/>
        <v/>
      </c>
    </row>
    <row r="3525">
      <c r="A3525" s="93" t="str">
        <f t="shared" si="2"/>
        <v>#17374</v>
      </c>
      <c r="B3525" s="93" t="str">
        <f>IF(COUNTIF(MAIN!B:B, A3525)=0, "Missing", "")</f>
        <v/>
      </c>
      <c r="C3525" s="128"/>
      <c r="E3525" s="128" t="str">
        <f t="shared" si="1"/>
        <v/>
      </c>
    </row>
    <row r="3526">
      <c r="A3526" s="93" t="str">
        <f t="shared" si="2"/>
        <v>#17375</v>
      </c>
      <c r="B3526" s="93" t="str">
        <f>IF(COUNTIF(MAIN!B:B, A3526)=0, "Missing", "")</f>
        <v/>
      </c>
      <c r="C3526" s="128"/>
      <c r="E3526" s="128" t="str">
        <f t="shared" si="1"/>
        <v/>
      </c>
    </row>
    <row r="3527">
      <c r="A3527" s="93" t="str">
        <f t="shared" si="2"/>
        <v>#17376</v>
      </c>
      <c r="B3527" s="93" t="str">
        <f>IF(COUNTIF(MAIN!B:B, A3527)=0, "Missing", "")</f>
        <v/>
      </c>
      <c r="C3527" s="128"/>
      <c r="E3527" s="128" t="str">
        <f t="shared" si="1"/>
        <v/>
      </c>
    </row>
    <row r="3528">
      <c r="A3528" s="93" t="str">
        <f t="shared" si="2"/>
        <v>#17377</v>
      </c>
      <c r="B3528" s="93" t="str">
        <f>IF(COUNTIF(MAIN!B:B, A3528)=0, "Missing", "")</f>
        <v/>
      </c>
      <c r="C3528" s="128"/>
      <c r="E3528" s="128" t="str">
        <f t="shared" si="1"/>
        <v/>
      </c>
    </row>
    <row r="3529">
      <c r="A3529" s="93" t="str">
        <f t="shared" si="2"/>
        <v>#17378</v>
      </c>
      <c r="B3529" s="93" t="str">
        <f>IF(COUNTIF(MAIN!B:B, A3529)=0, "Missing", "")</f>
        <v/>
      </c>
      <c r="C3529" s="128"/>
      <c r="E3529" s="128" t="str">
        <f t="shared" si="1"/>
        <v/>
      </c>
    </row>
    <row r="3530">
      <c r="A3530" s="93" t="str">
        <f t="shared" si="2"/>
        <v>#17379</v>
      </c>
      <c r="B3530" s="93" t="str">
        <f>IF(COUNTIF(MAIN!B:B, A3530)=0, "Missing", "")</f>
        <v/>
      </c>
      <c r="C3530" s="128"/>
      <c r="E3530" s="128" t="str">
        <f t="shared" si="1"/>
        <v/>
      </c>
    </row>
    <row r="3531">
      <c r="A3531" s="93" t="str">
        <f t="shared" si="2"/>
        <v>#17380</v>
      </c>
      <c r="B3531" s="93" t="str">
        <f>IF(COUNTIF(MAIN!B:B, A3531)=0, "Missing", "")</f>
        <v/>
      </c>
      <c r="C3531" s="128"/>
      <c r="E3531" s="128" t="str">
        <f t="shared" si="1"/>
        <v/>
      </c>
    </row>
    <row r="3532">
      <c r="A3532" s="93" t="str">
        <f t="shared" si="2"/>
        <v>#17381</v>
      </c>
      <c r="B3532" s="93" t="str">
        <f>IF(COUNTIF(MAIN!B:B, A3532)=0, "Missing", "")</f>
        <v/>
      </c>
      <c r="C3532" s="128"/>
      <c r="E3532" s="128" t="str">
        <f t="shared" si="1"/>
        <v/>
      </c>
    </row>
    <row r="3533">
      <c r="A3533" s="93" t="str">
        <f t="shared" si="2"/>
        <v>#17382</v>
      </c>
      <c r="B3533" s="93" t="str">
        <f>IF(COUNTIF(MAIN!B:B, A3533)=0, "Missing", "")</f>
        <v/>
      </c>
      <c r="C3533" s="128"/>
      <c r="E3533" s="128" t="str">
        <f t="shared" si="1"/>
        <v/>
      </c>
    </row>
    <row r="3534">
      <c r="A3534" s="93" t="str">
        <f t="shared" si="2"/>
        <v>#17383</v>
      </c>
      <c r="B3534" s="93" t="str">
        <f>IF(COUNTIF(MAIN!B:B, A3534)=0, "Missing", "")</f>
        <v/>
      </c>
      <c r="C3534" s="128"/>
      <c r="E3534" s="128" t="str">
        <f t="shared" si="1"/>
        <v/>
      </c>
    </row>
    <row r="3535">
      <c r="A3535" s="93" t="str">
        <f t="shared" si="2"/>
        <v>#17384</v>
      </c>
      <c r="B3535" s="93" t="str">
        <f>IF(COUNTIF(MAIN!B:B, A3535)=0, "Missing", "")</f>
        <v/>
      </c>
      <c r="C3535" s="128"/>
      <c r="E3535" s="128" t="str">
        <f t="shared" si="1"/>
        <v/>
      </c>
    </row>
    <row r="3536">
      <c r="A3536" s="93" t="str">
        <f t="shared" si="2"/>
        <v>#17385</v>
      </c>
      <c r="B3536" s="93" t="str">
        <f>IF(COUNTIF(MAIN!B:B, A3536)=0, "Missing", "")</f>
        <v/>
      </c>
      <c r="C3536" s="128"/>
      <c r="E3536" s="128" t="str">
        <f t="shared" si="1"/>
        <v/>
      </c>
    </row>
    <row r="3537">
      <c r="A3537" s="93" t="str">
        <f t="shared" si="2"/>
        <v>#17386</v>
      </c>
      <c r="B3537" s="93" t="str">
        <f>IF(COUNTIF(MAIN!B:B, A3537)=0, "Missing", "")</f>
        <v/>
      </c>
      <c r="C3537" s="128"/>
      <c r="E3537" s="128" t="str">
        <f t="shared" si="1"/>
        <v/>
      </c>
    </row>
    <row r="3538">
      <c r="A3538" s="93" t="str">
        <f t="shared" si="2"/>
        <v>#17387</v>
      </c>
      <c r="B3538" s="93" t="str">
        <f>IF(COUNTIF(MAIN!B:B, A3538)=0, "Missing", "")</f>
        <v/>
      </c>
      <c r="C3538" s="128"/>
      <c r="E3538" s="128" t="str">
        <f t="shared" si="1"/>
        <v/>
      </c>
    </row>
    <row r="3539">
      <c r="A3539" s="93" t="str">
        <f t="shared" si="2"/>
        <v>#17388</v>
      </c>
      <c r="B3539" s="93" t="str">
        <f>IF(COUNTIF(MAIN!B:B, A3539)=0, "Missing", "")</f>
        <v/>
      </c>
      <c r="C3539" s="128"/>
      <c r="E3539" s="128" t="str">
        <f t="shared" si="1"/>
        <v/>
      </c>
    </row>
    <row r="3540">
      <c r="A3540" s="93" t="str">
        <f t="shared" si="2"/>
        <v>#17389</v>
      </c>
      <c r="B3540" s="93" t="str">
        <f>IF(COUNTIF(MAIN!B:B, A3540)=0, "Missing", "")</f>
        <v/>
      </c>
      <c r="C3540" s="128"/>
      <c r="E3540" s="128" t="str">
        <f t="shared" si="1"/>
        <v/>
      </c>
    </row>
    <row r="3541">
      <c r="A3541" s="93" t="str">
        <f t="shared" si="2"/>
        <v>#17390</v>
      </c>
      <c r="B3541" s="93" t="str">
        <f>IF(COUNTIF(MAIN!B:B, A3541)=0, "Missing", "")</f>
        <v/>
      </c>
      <c r="C3541" s="128"/>
      <c r="E3541" s="128" t="str">
        <f t="shared" si="1"/>
        <v/>
      </c>
    </row>
    <row r="3542">
      <c r="A3542" s="93" t="str">
        <f t="shared" si="2"/>
        <v>#17391</v>
      </c>
      <c r="B3542" s="93" t="str">
        <f>IF(COUNTIF(MAIN!B:B, A3542)=0, "Missing", "")</f>
        <v/>
      </c>
      <c r="C3542" s="128"/>
      <c r="E3542" s="128" t="str">
        <f t="shared" si="1"/>
        <v/>
      </c>
    </row>
    <row r="3543">
      <c r="A3543" s="93" t="str">
        <f t="shared" si="2"/>
        <v>#17392</v>
      </c>
      <c r="B3543" s="93" t="str">
        <f>IF(COUNTIF(MAIN!B:B, A3543)=0, "Missing", "")</f>
        <v/>
      </c>
      <c r="C3543" s="128"/>
      <c r="E3543" s="128" t="str">
        <f t="shared" si="1"/>
        <v/>
      </c>
    </row>
    <row r="3544">
      <c r="A3544" s="93" t="str">
        <f t="shared" si="2"/>
        <v>#17393</v>
      </c>
      <c r="B3544" s="93" t="str">
        <f>IF(COUNTIF(MAIN!B:B, A3544)=0, "Missing", "")</f>
        <v/>
      </c>
      <c r="C3544" s="128"/>
      <c r="E3544" s="128" t="str">
        <f t="shared" si="1"/>
        <v/>
      </c>
    </row>
    <row r="3545">
      <c r="A3545" s="93" t="str">
        <f t="shared" si="2"/>
        <v>#17394</v>
      </c>
      <c r="B3545" s="93" t="str">
        <f>IF(COUNTIF(MAIN!B:B, A3545)=0, "Missing", "")</f>
        <v/>
      </c>
      <c r="C3545" s="128"/>
      <c r="E3545" s="128" t="str">
        <f t="shared" si="1"/>
        <v/>
      </c>
    </row>
    <row r="3546">
      <c r="A3546" s="93" t="str">
        <f t="shared" si="2"/>
        <v>#17395</v>
      </c>
      <c r="B3546" s="93" t="str">
        <f>IF(COUNTIF(MAIN!B:B, A3546)=0, "Missing", "")</f>
        <v/>
      </c>
      <c r="C3546" s="128"/>
      <c r="E3546" s="128" t="str">
        <f t="shared" si="1"/>
        <v/>
      </c>
    </row>
    <row r="3547">
      <c r="A3547" s="93" t="str">
        <f t="shared" si="2"/>
        <v>#17396</v>
      </c>
      <c r="B3547" s="93" t="str">
        <f>IF(COUNTIF(MAIN!B:B, A3547)=0, "Missing", "")</f>
        <v/>
      </c>
      <c r="C3547" s="128"/>
      <c r="E3547" s="128" t="str">
        <f t="shared" si="1"/>
        <v/>
      </c>
    </row>
    <row r="3548">
      <c r="A3548" s="93" t="str">
        <f t="shared" si="2"/>
        <v>#17397</v>
      </c>
      <c r="B3548" s="93" t="str">
        <f>IF(COUNTIF(MAIN!B:B, A3548)=0, "Missing", "")</f>
        <v/>
      </c>
      <c r="C3548" s="128"/>
      <c r="E3548" s="128" t="str">
        <f t="shared" si="1"/>
        <v/>
      </c>
    </row>
    <row r="3549">
      <c r="A3549" s="93" t="str">
        <f t="shared" si="2"/>
        <v>#17398</v>
      </c>
      <c r="B3549" s="93" t="str">
        <f>IF(COUNTIF(MAIN!B:B, A3549)=0, "Missing", "")</f>
        <v/>
      </c>
      <c r="C3549" s="128"/>
      <c r="E3549" s="128" t="str">
        <f t="shared" si="1"/>
        <v/>
      </c>
    </row>
    <row r="3550">
      <c r="A3550" s="93" t="str">
        <f t="shared" si="2"/>
        <v>#17399</v>
      </c>
      <c r="B3550" s="93" t="str">
        <f>IF(COUNTIF(MAIN!B:B, A3550)=0, "Missing", "")</f>
        <v/>
      </c>
      <c r="C3550" s="128"/>
      <c r="E3550" s="128" t="str">
        <f t="shared" si="1"/>
        <v/>
      </c>
    </row>
    <row r="3551">
      <c r="A3551" s="93" t="str">
        <f t="shared" si="2"/>
        <v>#17400</v>
      </c>
      <c r="B3551" s="93" t="str">
        <f>IF(COUNTIF(MAIN!B:B, A3551)=0, "Missing", "")</f>
        <v/>
      </c>
      <c r="C3551" s="128"/>
      <c r="E3551" s="128" t="str">
        <f t="shared" si="1"/>
        <v/>
      </c>
    </row>
    <row r="3552">
      <c r="A3552" s="93" t="str">
        <f t="shared" si="2"/>
        <v>#17401</v>
      </c>
      <c r="B3552" s="93" t="str">
        <f>IF(COUNTIF(MAIN!B:B, A3552)=0, "Missing", "")</f>
        <v/>
      </c>
      <c r="C3552" s="128"/>
      <c r="E3552" s="128" t="str">
        <f t="shared" si="1"/>
        <v/>
      </c>
    </row>
    <row r="3553">
      <c r="A3553" s="93" t="str">
        <f t="shared" si="2"/>
        <v>#17402</v>
      </c>
      <c r="B3553" s="93" t="str">
        <f>IF(COUNTIF(MAIN!B:B, A3553)=0, "Missing", "")</f>
        <v/>
      </c>
      <c r="C3553" s="128"/>
      <c r="E3553" s="128" t="str">
        <f t="shared" si="1"/>
        <v/>
      </c>
    </row>
    <row r="3554">
      <c r="A3554" s="93" t="str">
        <f t="shared" si="2"/>
        <v>#17403</v>
      </c>
      <c r="B3554" s="93" t="str">
        <f>IF(COUNTIF(MAIN!B:B, A3554)=0, "Missing", "")</f>
        <v/>
      </c>
      <c r="C3554" s="128"/>
      <c r="E3554" s="128" t="str">
        <f t="shared" si="1"/>
        <v/>
      </c>
    </row>
    <row r="3555">
      <c r="A3555" s="93" t="str">
        <f t="shared" si="2"/>
        <v>#17404</v>
      </c>
      <c r="B3555" s="93" t="str">
        <f>IF(COUNTIF(MAIN!B:B, A3555)=0, "Missing", "")</f>
        <v/>
      </c>
      <c r="C3555" s="128"/>
      <c r="E3555" s="128" t="str">
        <f t="shared" si="1"/>
        <v/>
      </c>
    </row>
    <row r="3556">
      <c r="A3556" s="93" t="str">
        <f t="shared" si="2"/>
        <v>#17405</v>
      </c>
      <c r="B3556" s="93" t="str">
        <f>IF(COUNTIF(MAIN!B:B, A3556)=0, "Missing", "")</f>
        <v/>
      </c>
      <c r="C3556" s="128"/>
      <c r="E3556" s="128" t="str">
        <f t="shared" si="1"/>
        <v/>
      </c>
    </row>
    <row r="3557">
      <c r="A3557" s="93" t="str">
        <f t="shared" si="2"/>
        <v>#17406</v>
      </c>
      <c r="B3557" s="93" t="str">
        <f>IF(COUNTIF(MAIN!B:B, A3557)=0, "Missing", "")</f>
        <v/>
      </c>
      <c r="C3557" s="128"/>
      <c r="E3557" s="128" t="str">
        <f t="shared" si="1"/>
        <v/>
      </c>
    </row>
    <row r="3558">
      <c r="A3558" s="93" t="str">
        <f t="shared" si="2"/>
        <v>#17407</v>
      </c>
      <c r="B3558" s="93" t="str">
        <f>IF(COUNTIF(MAIN!B:B, A3558)=0, "Missing", "")</f>
        <v/>
      </c>
      <c r="C3558" s="128"/>
      <c r="E3558" s="128" t="str">
        <f t="shared" si="1"/>
        <v/>
      </c>
    </row>
    <row r="3559">
      <c r="A3559" s="93" t="str">
        <f t="shared" si="2"/>
        <v>#17408</v>
      </c>
      <c r="B3559" s="93" t="str">
        <f>IF(COUNTIF(MAIN!B:B, A3559)=0, "Missing", "")</f>
        <v/>
      </c>
      <c r="C3559" s="128"/>
      <c r="E3559" s="128" t="str">
        <f t="shared" si="1"/>
        <v/>
      </c>
    </row>
    <row r="3560">
      <c r="A3560" s="93" t="str">
        <f t="shared" si="2"/>
        <v>#17409</v>
      </c>
      <c r="B3560" s="93" t="str">
        <f>IF(COUNTIF(MAIN!B:B, A3560)=0, "Missing", "")</f>
        <v/>
      </c>
      <c r="C3560" s="128"/>
      <c r="E3560" s="128" t="str">
        <f t="shared" si="1"/>
        <v/>
      </c>
    </row>
    <row r="3561">
      <c r="A3561" s="93" t="str">
        <f t="shared" si="2"/>
        <v>#17410</v>
      </c>
      <c r="B3561" s="93" t="str">
        <f>IF(COUNTIF(MAIN!B:B, A3561)=0, "Missing", "")</f>
        <v/>
      </c>
      <c r="C3561" s="128"/>
      <c r="E3561" s="128" t="str">
        <f t="shared" si="1"/>
        <v/>
      </c>
    </row>
    <row r="3562">
      <c r="A3562" s="93" t="str">
        <f t="shared" si="2"/>
        <v>#17411</v>
      </c>
      <c r="B3562" s="93" t="str">
        <f>IF(COUNTIF(MAIN!B:B, A3562)=0, "Missing", "")</f>
        <v>Missing</v>
      </c>
      <c r="C3562" s="128"/>
      <c r="E3562" s="131" t="str">
        <f t="shared" si="1"/>
        <v>https://utrucking.myshopify.com/admin/orders?query=17411</v>
      </c>
    </row>
    <row r="3563">
      <c r="A3563" s="93" t="str">
        <f t="shared" si="2"/>
        <v>#17412</v>
      </c>
      <c r="B3563" s="93" t="str">
        <f>IF(COUNTIF(MAIN!B:B, A3563)=0, "Missing", "")</f>
        <v/>
      </c>
      <c r="C3563" s="128"/>
      <c r="E3563" s="128" t="str">
        <f t="shared" si="1"/>
        <v/>
      </c>
    </row>
    <row r="3564">
      <c r="A3564" s="93" t="str">
        <f t="shared" si="2"/>
        <v>#17413</v>
      </c>
      <c r="B3564" s="93" t="str">
        <f>IF(COUNTIF(MAIN!B:B, A3564)=0, "Missing", "")</f>
        <v/>
      </c>
      <c r="C3564" s="128"/>
      <c r="E3564" s="128" t="str">
        <f t="shared" si="1"/>
        <v/>
      </c>
    </row>
    <row r="3565">
      <c r="A3565" s="93" t="str">
        <f t="shared" si="2"/>
        <v>#17414</v>
      </c>
      <c r="B3565" s="93" t="str">
        <f>IF(COUNTIF(MAIN!B:B, A3565)=0, "Missing", "")</f>
        <v>Missing</v>
      </c>
      <c r="C3565" s="128"/>
      <c r="E3565" s="131" t="str">
        <f t="shared" si="1"/>
        <v>https://utrucking.myshopify.com/admin/orders?query=17414</v>
      </c>
    </row>
    <row r="3566">
      <c r="A3566" s="93" t="str">
        <f t="shared" si="2"/>
        <v>#17415</v>
      </c>
      <c r="B3566" s="93" t="str">
        <f>IF(COUNTIF(MAIN!B:B, A3566)=0, "Missing", "")</f>
        <v/>
      </c>
      <c r="C3566" s="128"/>
      <c r="E3566" s="128" t="str">
        <f t="shared" si="1"/>
        <v/>
      </c>
    </row>
    <row r="3567">
      <c r="A3567" s="93" t="str">
        <f t="shared" si="2"/>
        <v>#17416</v>
      </c>
      <c r="B3567" s="93" t="str">
        <f>IF(COUNTIF(MAIN!B:B, A3567)=0, "Missing", "")</f>
        <v>Missing</v>
      </c>
      <c r="C3567" s="128"/>
      <c r="E3567" s="131" t="str">
        <f t="shared" si="1"/>
        <v>https://utrucking.myshopify.com/admin/orders?query=17416</v>
      </c>
    </row>
    <row r="3568">
      <c r="A3568" s="93" t="str">
        <f t="shared" si="2"/>
        <v>#17417</v>
      </c>
      <c r="B3568" s="93" t="str">
        <f>IF(COUNTIF(MAIN!B:B, A3568)=0, "Missing", "")</f>
        <v/>
      </c>
      <c r="C3568" s="128"/>
      <c r="E3568" s="128" t="str">
        <f t="shared" si="1"/>
        <v/>
      </c>
    </row>
    <row r="3569">
      <c r="A3569" s="93" t="str">
        <f t="shared" si="2"/>
        <v>#17418</v>
      </c>
      <c r="B3569" s="93" t="str">
        <f>IF(COUNTIF(MAIN!B:B, A3569)=0, "Missing", "")</f>
        <v/>
      </c>
      <c r="C3569" s="128"/>
      <c r="E3569" s="128" t="str">
        <f t="shared" si="1"/>
        <v/>
      </c>
    </row>
    <row r="3570">
      <c r="A3570" s="93" t="str">
        <f t="shared" si="2"/>
        <v>#17419</v>
      </c>
      <c r="B3570" s="93" t="str">
        <f>IF(COUNTIF(MAIN!B:B, A3570)=0, "Missing", "")</f>
        <v/>
      </c>
      <c r="C3570" s="128"/>
      <c r="E3570" s="128" t="str">
        <f t="shared" si="1"/>
        <v/>
      </c>
    </row>
    <row r="3571">
      <c r="A3571" s="93" t="str">
        <f t="shared" si="2"/>
        <v>#17420</v>
      </c>
      <c r="B3571" s="93" t="str">
        <f>IF(COUNTIF(MAIN!B:B, A3571)=0, "Missing", "")</f>
        <v/>
      </c>
      <c r="C3571" s="128"/>
      <c r="E3571" s="128" t="str">
        <f t="shared" si="1"/>
        <v/>
      </c>
    </row>
    <row r="3572">
      <c r="A3572" s="93" t="str">
        <f t="shared" si="2"/>
        <v>#17421</v>
      </c>
      <c r="B3572" s="93" t="str">
        <f>IF(COUNTIF(MAIN!B:B, A3572)=0, "Missing", "")</f>
        <v/>
      </c>
      <c r="C3572" s="128"/>
      <c r="E3572" s="128" t="str">
        <f t="shared" si="1"/>
        <v/>
      </c>
    </row>
    <row r="3573">
      <c r="A3573" s="93" t="str">
        <f t="shared" si="2"/>
        <v>#17422</v>
      </c>
      <c r="B3573" s="93" t="str">
        <f>IF(COUNTIF(MAIN!B:B, A3573)=0, "Missing", "")</f>
        <v/>
      </c>
      <c r="C3573" s="128"/>
      <c r="E3573" s="128" t="str">
        <f t="shared" si="1"/>
        <v/>
      </c>
    </row>
    <row r="3574">
      <c r="A3574" s="93" t="str">
        <f t="shared" si="2"/>
        <v>#17423</v>
      </c>
      <c r="B3574" s="93" t="str">
        <f>IF(COUNTIF(MAIN!B:B, A3574)=0, "Missing", "")</f>
        <v/>
      </c>
      <c r="C3574" s="128"/>
      <c r="E3574" s="128" t="str">
        <f t="shared" si="1"/>
        <v/>
      </c>
    </row>
    <row r="3575">
      <c r="A3575" s="93" t="str">
        <f t="shared" si="2"/>
        <v>#17424</v>
      </c>
      <c r="B3575" s="93" t="str">
        <f>IF(COUNTIF(MAIN!B:B, A3575)=0, "Missing", "")</f>
        <v/>
      </c>
      <c r="C3575" s="128"/>
      <c r="E3575" s="128" t="str">
        <f t="shared" si="1"/>
        <v/>
      </c>
    </row>
    <row r="3576">
      <c r="A3576" s="93" t="str">
        <f t="shared" si="2"/>
        <v>#17425</v>
      </c>
      <c r="B3576" s="93" t="str">
        <f>IF(COUNTIF(MAIN!B:B, A3576)=0, "Missing", "")</f>
        <v/>
      </c>
      <c r="C3576" s="128"/>
      <c r="E3576" s="128" t="str">
        <f t="shared" si="1"/>
        <v/>
      </c>
    </row>
    <row r="3577">
      <c r="A3577" s="93" t="str">
        <f t="shared" si="2"/>
        <v>#17426</v>
      </c>
      <c r="B3577" s="93" t="str">
        <f>IF(COUNTIF(MAIN!B:B, A3577)=0, "Missing", "")</f>
        <v/>
      </c>
      <c r="C3577" s="128"/>
      <c r="E3577" s="128" t="str">
        <f t="shared" si="1"/>
        <v/>
      </c>
    </row>
    <row r="3578">
      <c r="A3578" s="93" t="str">
        <f t="shared" si="2"/>
        <v>#17427</v>
      </c>
      <c r="B3578" s="93" t="str">
        <f>IF(COUNTIF(MAIN!B:B, A3578)=0, "Missing", "")</f>
        <v/>
      </c>
      <c r="C3578" s="128"/>
      <c r="E3578" s="128" t="str">
        <f t="shared" si="1"/>
        <v/>
      </c>
    </row>
    <row r="3579">
      <c r="A3579" s="93" t="str">
        <f t="shared" si="2"/>
        <v>#17428</v>
      </c>
      <c r="B3579" s="93" t="str">
        <f>IF(COUNTIF(MAIN!B:B, A3579)=0, "Missing", "")</f>
        <v/>
      </c>
      <c r="C3579" s="128"/>
      <c r="E3579" s="128" t="str">
        <f t="shared" si="1"/>
        <v/>
      </c>
    </row>
    <row r="3580">
      <c r="A3580" s="93" t="str">
        <f t="shared" si="2"/>
        <v>#17429</v>
      </c>
      <c r="B3580" s="93" t="str">
        <f>IF(COUNTIF(MAIN!B:B, A3580)=0, "Missing", "")</f>
        <v/>
      </c>
      <c r="C3580" s="128"/>
      <c r="E3580" s="128" t="str">
        <f t="shared" si="1"/>
        <v/>
      </c>
    </row>
    <row r="3581">
      <c r="A3581" s="93" t="str">
        <f t="shared" si="2"/>
        <v>#17430</v>
      </c>
      <c r="B3581" s="93" t="str">
        <f>IF(COUNTIF(MAIN!B:B, A3581)=0, "Missing", "")</f>
        <v/>
      </c>
      <c r="C3581" s="128"/>
      <c r="E3581" s="128" t="str">
        <f t="shared" si="1"/>
        <v/>
      </c>
    </row>
    <row r="3582">
      <c r="A3582" s="93" t="str">
        <f t="shared" si="2"/>
        <v>#17431</v>
      </c>
      <c r="B3582" s="93" t="str">
        <f>IF(COUNTIF(MAIN!B:B, A3582)=0, "Missing", "")</f>
        <v/>
      </c>
      <c r="C3582" s="128"/>
      <c r="E3582" s="128" t="str">
        <f t="shared" si="1"/>
        <v/>
      </c>
    </row>
    <row r="3583">
      <c r="A3583" s="93" t="str">
        <f t="shared" si="2"/>
        <v>#17432</v>
      </c>
      <c r="B3583" s="93" t="str">
        <f>IF(COUNTIF(MAIN!B:B, A3583)=0, "Missing", "")</f>
        <v/>
      </c>
      <c r="C3583" s="128"/>
      <c r="E3583" s="128" t="str">
        <f t="shared" si="1"/>
        <v/>
      </c>
    </row>
    <row r="3584">
      <c r="A3584" s="93" t="str">
        <f t="shared" si="2"/>
        <v>#17433</v>
      </c>
      <c r="B3584" s="93" t="str">
        <f>IF(COUNTIF(MAIN!B:B, A3584)=0, "Missing", "")</f>
        <v/>
      </c>
      <c r="C3584" s="128"/>
      <c r="E3584" s="128" t="str">
        <f t="shared" si="1"/>
        <v/>
      </c>
    </row>
    <row r="3585">
      <c r="A3585" s="93" t="str">
        <f t="shared" si="2"/>
        <v>#17434</v>
      </c>
      <c r="B3585" s="93" t="str">
        <f>IF(COUNTIF(MAIN!B:B, A3585)=0, "Missing", "")</f>
        <v/>
      </c>
      <c r="C3585" s="128"/>
      <c r="E3585" s="128" t="str">
        <f t="shared" si="1"/>
        <v/>
      </c>
    </row>
    <row r="3586">
      <c r="A3586" s="93" t="str">
        <f t="shared" si="2"/>
        <v>#17435</v>
      </c>
      <c r="B3586" s="93" t="str">
        <f>IF(COUNTIF(MAIN!B:B, A3586)=0, "Missing", "")</f>
        <v/>
      </c>
      <c r="C3586" s="128"/>
      <c r="E3586" s="128" t="str">
        <f t="shared" si="1"/>
        <v/>
      </c>
    </row>
    <row r="3587">
      <c r="A3587" s="93" t="str">
        <f t="shared" si="2"/>
        <v>#17436</v>
      </c>
      <c r="B3587" s="93" t="str">
        <f>IF(COUNTIF(MAIN!B:B, A3587)=0, "Missing", "")</f>
        <v/>
      </c>
      <c r="C3587" s="128"/>
      <c r="E3587" s="128" t="str">
        <f t="shared" si="1"/>
        <v/>
      </c>
    </row>
    <row r="3588">
      <c r="A3588" s="93" t="str">
        <f t="shared" si="2"/>
        <v>#17437</v>
      </c>
      <c r="B3588" s="93" t="str">
        <f>IF(COUNTIF(MAIN!B:B, A3588)=0, "Missing", "")</f>
        <v/>
      </c>
      <c r="C3588" s="128"/>
      <c r="E3588" s="128" t="str">
        <f t="shared" si="1"/>
        <v/>
      </c>
    </row>
    <row r="3589">
      <c r="A3589" s="93" t="str">
        <f t="shared" si="2"/>
        <v>#17438</v>
      </c>
      <c r="B3589" s="93" t="str">
        <f>IF(COUNTIF(MAIN!B:B, A3589)=0, "Missing", "")</f>
        <v/>
      </c>
      <c r="C3589" s="128"/>
      <c r="E3589" s="128" t="str">
        <f t="shared" si="1"/>
        <v/>
      </c>
    </row>
    <row r="3590">
      <c r="A3590" s="93" t="str">
        <f t="shared" si="2"/>
        <v>#17439</v>
      </c>
      <c r="B3590" s="93" t="str">
        <f>IF(COUNTIF(MAIN!B:B, A3590)=0, "Missing", "")</f>
        <v/>
      </c>
      <c r="C3590" s="128"/>
      <c r="E3590" s="128" t="str">
        <f t="shared" si="1"/>
        <v/>
      </c>
    </row>
    <row r="3591">
      <c r="A3591" s="93" t="str">
        <f t="shared" si="2"/>
        <v>#17440</v>
      </c>
      <c r="B3591" s="93" t="str">
        <f>IF(COUNTIF(MAIN!B:B, A3591)=0, "Missing", "")</f>
        <v/>
      </c>
      <c r="C3591" s="128"/>
      <c r="E3591" s="128" t="str">
        <f t="shared" si="1"/>
        <v/>
      </c>
    </row>
    <row r="3592">
      <c r="A3592" s="93" t="str">
        <f t="shared" si="2"/>
        <v>#17441</v>
      </c>
      <c r="B3592" s="93" t="str">
        <f>IF(COUNTIF(MAIN!B:B, A3592)=0, "Missing", "")</f>
        <v/>
      </c>
      <c r="C3592" s="128"/>
      <c r="E3592" s="128" t="str">
        <f t="shared" si="1"/>
        <v/>
      </c>
    </row>
    <row r="3593">
      <c r="A3593" s="93" t="str">
        <f t="shared" si="2"/>
        <v>#17442</v>
      </c>
      <c r="B3593" s="93" t="str">
        <f>IF(COUNTIF(MAIN!B:B, A3593)=0, "Missing", "")</f>
        <v/>
      </c>
      <c r="C3593" s="128"/>
      <c r="E3593" s="128" t="str">
        <f t="shared" si="1"/>
        <v/>
      </c>
    </row>
    <row r="3594">
      <c r="A3594" s="93" t="str">
        <f t="shared" si="2"/>
        <v>#17443</v>
      </c>
      <c r="B3594" s="93" t="str">
        <f>IF(COUNTIF(MAIN!B:B, A3594)=0, "Missing", "")</f>
        <v/>
      </c>
      <c r="C3594" s="128"/>
      <c r="E3594" s="128" t="str">
        <f t="shared" si="1"/>
        <v/>
      </c>
    </row>
    <row r="3595">
      <c r="A3595" s="93" t="str">
        <f t="shared" si="2"/>
        <v>#17444</v>
      </c>
      <c r="B3595" s="93" t="str">
        <f>IF(COUNTIF(MAIN!B:B, A3595)=0, "Missing", "")</f>
        <v/>
      </c>
      <c r="C3595" s="128"/>
      <c r="E3595" s="128" t="str">
        <f t="shared" si="1"/>
        <v/>
      </c>
    </row>
    <row r="3596">
      <c r="A3596" s="93" t="str">
        <f t="shared" si="2"/>
        <v>#17445</v>
      </c>
      <c r="B3596" s="93" t="str">
        <f>IF(COUNTIF(MAIN!B:B, A3596)=0, "Missing", "")</f>
        <v/>
      </c>
      <c r="C3596" s="128"/>
      <c r="E3596" s="128" t="str">
        <f t="shared" si="1"/>
        <v/>
      </c>
    </row>
    <row r="3597">
      <c r="A3597" s="93" t="str">
        <f t="shared" si="2"/>
        <v>#17446</v>
      </c>
      <c r="B3597" s="93" t="str">
        <f>IF(COUNTIF(MAIN!B:B, A3597)=0, "Missing", "")</f>
        <v/>
      </c>
      <c r="C3597" s="128"/>
      <c r="E3597" s="128" t="str">
        <f t="shared" si="1"/>
        <v/>
      </c>
    </row>
    <row r="3598">
      <c r="A3598" s="93" t="str">
        <f t="shared" si="2"/>
        <v>#17447</v>
      </c>
      <c r="B3598" s="93" t="str">
        <f>IF(COUNTIF(MAIN!B:B, A3598)=0, "Missing", "")</f>
        <v/>
      </c>
      <c r="C3598" s="128"/>
      <c r="E3598" s="128" t="str">
        <f t="shared" si="1"/>
        <v/>
      </c>
    </row>
    <row r="3599">
      <c r="A3599" s="93" t="str">
        <f t="shared" si="2"/>
        <v>#17448</v>
      </c>
      <c r="B3599" s="93" t="str">
        <f>IF(COUNTIF(MAIN!B:B, A3599)=0, "Missing", "")</f>
        <v/>
      </c>
      <c r="C3599" s="128"/>
      <c r="E3599" s="128" t="str">
        <f t="shared" si="1"/>
        <v/>
      </c>
    </row>
    <row r="3600">
      <c r="A3600" s="93" t="str">
        <f t="shared" si="2"/>
        <v>#17449</v>
      </c>
      <c r="B3600" s="93" t="str">
        <f>IF(COUNTIF(MAIN!B:B, A3600)=0, "Missing", "")</f>
        <v/>
      </c>
      <c r="C3600" s="128"/>
      <c r="E3600" s="128" t="str">
        <f t="shared" si="1"/>
        <v/>
      </c>
    </row>
    <row r="3601">
      <c r="A3601" s="93" t="str">
        <f t="shared" si="2"/>
        <v>#17450</v>
      </c>
      <c r="B3601" s="93" t="str">
        <f>IF(COUNTIF(MAIN!B:B, A3601)=0, "Missing", "")</f>
        <v/>
      </c>
      <c r="C3601" s="128"/>
      <c r="E3601" s="128" t="str">
        <f t="shared" si="1"/>
        <v/>
      </c>
    </row>
    <row r="3602">
      <c r="A3602" s="93" t="str">
        <f t="shared" si="2"/>
        <v>#17451</v>
      </c>
      <c r="B3602" s="93" t="str">
        <f>IF(COUNTIF(MAIN!B:B, A3602)=0, "Missing", "")</f>
        <v/>
      </c>
      <c r="C3602" s="128"/>
      <c r="E3602" s="128" t="str">
        <f t="shared" si="1"/>
        <v/>
      </c>
    </row>
    <row r="3603">
      <c r="A3603" s="93" t="str">
        <f t="shared" si="2"/>
        <v>#17452</v>
      </c>
      <c r="B3603" s="93" t="str">
        <f>IF(COUNTIF(MAIN!B:B, A3603)=0, "Missing", "")</f>
        <v/>
      </c>
      <c r="C3603" s="128"/>
      <c r="E3603" s="128" t="str">
        <f t="shared" si="1"/>
        <v/>
      </c>
    </row>
    <row r="3604">
      <c r="A3604" s="93" t="str">
        <f t="shared" si="2"/>
        <v>#17453</v>
      </c>
      <c r="B3604" s="93" t="str">
        <f>IF(COUNTIF(MAIN!B:B, A3604)=0, "Missing", "")</f>
        <v/>
      </c>
      <c r="C3604" s="128"/>
      <c r="E3604" s="128" t="str">
        <f t="shared" si="1"/>
        <v/>
      </c>
    </row>
    <row r="3605">
      <c r="A3605" s="93" t="str">
        <f t="shared" si="2"/>
        <v>#17454</v>
      </c>
      <c r="B3605" s="93" t="str">
        <f>IF(COUNTIF(MAIN!B:B, A3605)=0, "Missing", "")</f>
        <v/>
      </c>
      <c r="C3605" s="128"/>
      <c r="E3605" s="128" t="str">
        <f t="shared" si="1"/>
        <v/>
      </c>
    </row>
    <row r="3606">
      <c r="A3606" s="93" t="str">
        <f t="shared" si="2"/>
        <v>#17455</v>
      </c>
      <c r="B3606" s="93" t="str">
        <f>IF(COUNTIF(MAIN!B:B, A3606)=0, "Missing", "")</f>
        <v/>
      </c>
      <c r="C3606" s="128"/>
      <c r="E3606" s="128" t="str">
        <f t="shared" si="1"/>
        <v/>
      </c>
    </row>
    <row r="3607">
      <c r="A3607" s="93" t="str">
        <f t="shared" si="2"/>
        <v>#17456</v>
      </c>
      <c r="B3607" s="93" t="str">
        <f>IF(COUNTIF(MAIN!B:B, A3607)=0, "Missing", "")</f>
        <v/>
      </c>
      <c r="C3607" s="128"/>
      <c r="E3607" s="128" t="str">
        <f t="shared" si="1"/>
        <v/>
      </c>
    </row>
    <row r="3608">
      <c r="A3608" s="93" t="str">
        <f t="shared" si="2"/>
        <v>#17457</v>
      </c>
      <c r="B3608" s="93" t="str">
        <f>IF(COUNTIF(MAIN!B:B, A3608)=0, "Missing", "")</f>
        <v/>
      </c>
      <c r="C3608" s="128"/>
      <c r="E3608" s="128" t="str">
        <f t="shared" si="1"/>
        <v/>
      </c>
    </row>
    <row r="3609">
      <c r="A3609" s="93" t="str">
        <f t="shared" si="2"/>
        <v>#17458</v>
      </c>
      <c r="B3609" s="93" t="str">
        <f>IF(COUNTIF(MAIN!B:B, A3609)=0, "Missing", "")</f>
        <v/>
      </c>
      <c r="C3609" s="128"/>
      <c r="E3609" s="128" t="str">
        <f t="shared" si="1"/>
        <v/>
      </c>
    </row>
    <row r="3610">
      <c r="A3610" s="93" t="str">
        <f t="shared" si="2"/>
        <v>#17459</v>
      </c>
      <c r="B3610" s="93" t="str">
        <f>IF(COUNTIF(MAIN!B:B, A3610)=0, "Missing", "")</f>
        <v/>
      </c>
      <c r="C3610" s="128"/>
      <c r="E3610" s="128" t="str">
        <f t="shared" si="1"/>
        <v/>
      </c>
    </row>
    <row r="3611">
      <c r="A3611" s="93" t="str">
        <f t="shared" si="2"/>
        <v>#17460</v>
      </c>
      <c r="B3611" s="93" t="str">
        <f>IF(COUNTIF(MAIN!B:B, A3611)=0, "Missing", "")</f>
        <v/>
      </c>
      <c r="C3611" s="128"/>
      <c r="E3611" s="128" t="str">
        <f t="shared" si="1"/>
        <v/>
      </c>
    </row>
    <row r="3612">
      <c r="A3612" s="93" t="str">
        <f t="shared" si="2"/>
        <v>#17461</v>
      </c>
      <c r="B3612" s="93" t="str">
        <f>IF(COUNTIF(MAIN!B:B, A3612)=0, "Missing", "")</f>
        <v/>
      </c>
      <c r="C3612" s="128"/>
      <c r="E3612" s="128" t="str">
        <f t="shared" si="1"/>
        <v/>
      </c>
    </row>
    <row r="3613">
      <c r="A3613" s="93" t="str">
        <f t="shared" si="2"/>
        <v>#17462</v>
      </c>
      <c r="B3613" s="93" t="str">
        <f>IF(COUNTIF(MAIN!B:B, A3613)=0, "Missing", "")</f>
        <v/>
      </c>
      <c r="C3613" s="128"/>
      <c r="E3613" s="128" t="str">
        <f t="shared" si="1"/>
        <v/>
      </c>
    </row>
    <row r="3614">
      <c r="A3614" s="93" t="str">
        <f t="shared" si="2"/>
        <v>#17463</v>
      </c>
      <c r="B3614" s="93" t="str">
        <f>IF(COUNTIF(MAIN!B:B, A3614)=0, "Missing", "")</f>
        <v/>
      </c>
      <c r="C3614" s="128"/>
      <c r="E3614" s="128" t="str">
        <f t="shared" si="1"/>
        <v/>
      </c>
    </row>
    <row r="3615">
      <c r="A3615" s="93" t="str">
        <f t="shared" si="2"/>
        <v>#17464</v>
      </c>
      <c r="B3615" s="93" t="str">
        <f>IF(COUNTIF(MAIN!B:B, A3615)=0, "Missing", "")</f>
        <v/>
      </c>
      <c r="C3615" s="128"/>
      <c r="E3615" s="128" t="str">
        <f t="shared" si="1"/>
        <v/>
      </c>
    </row>
    <row r="3616">
      <c r="A3616" s="93" t="str">
        <f t="shared" si="2"/>
        <v>#17465</v>
      </c>
      <c r="B3616" s="93" t="str">
        <f>IF(COUNTIF(MAIN!B:B, A3616)=0, "Missing", "")</f>
        <v/>
      </c>
      <c r="C3616" s="128"/>
      <c r="E3616" s="128" t="str">
        <f t="shared" si="1"/>
        <v/>
      </c>
    </row>
    <row r="3617">
      <c r="A3617" s="93" t="str">
        <f t="shared" si="2"/>
        <v>#17466</v>
      </c>
      <c r="B3617" s="93" t="str">
        <f>IF(COUNTIF(MAIN!B:B, A3617)=0, "Missing", "")</f>
        <v/>
      </c>
      <c r="C3617" s="128"/>
      <c r="E3617" s="128" t="str">
        <f t="shared" si="1"/>
        <v/>
      </c>
    </row>
    <row r="3618">
      <c r="A3618" s="93" t="str">
        <f t="shared" si="2"/>
        <v>#17467</v>
      </c>
      <c r="B3618" s="93" t="str">
        <f>IF(COUNTIF(MAIN!B:B, A3618)=0, "Missing", "")</f>
        <v/>
      </c>
      <c r="C3618" s="128"/>
      <c r="E3618" s="128" t="str">
        <f t="shared" si="1"/>
        <v/>
      </c>
    </row>
    <row r="3619">
      <c r="A3619" s="93" t="str">
        <f t="shared" si="2"/>
        <v>#17468</v>
      </c>
      <c r="B3619" s="93" t="str">
        <f>IF(COUNTIF(MAIN!B:B, A3619)=0, "Missing", "")</f>
        <v/>
      </c>
      <c r="C3619" s="128"/>
      <c r="E3619" s="128" t="str">
        <f t="shared" si="1"/>
        <v/>
      </c>
    </row>
    <row r="3620">
      <c r="A3620" s="93" t="str">
        <f t="shared" si="2"/>
        <v>#17469</v>
      </c>
      <c r="B3620" s="93" t="str">
        <f>IF(COUNTIF(MAIN!B:B, A3620)=0, "Missing", "")</f>
        <v/>
      </c>
      <c r="C3620" s="128"/>
      <c r="E3620" s="128" t="str">
        <f t="shared" si="1"/>
        <v/>
      </c>
    </row>
    <row r="3621">
      <c r="A3621" s="93" t="str">
        <f t="shared" si="2"/>
        <v>#17470</v>
      </c>
      <c r="B3621" s="93" t="str">
        <f>IF(COUNTIF(MAIN!B:B, A3621)=0, "Missing", "")</f>
        <v/>
      </c>
      <c r="C3621" s="128"/>
      <c r="E3621" s="128" t="str">
        <f t="shared" si="1"/>
        <v/>
      </c>
    </row>
    <row r="3622">
      <c r="A3622" s="93" t="str">
        <f t="shared" si="2"/>
        <v>#17471</v>
      </c>
      <c r="B3622" s="93" t="str">
        <f>IF(COUNTIF(MAIN!B:B, A3622)=0, "Missing", "")</f>
        <v/>
      </c>
      <c r="C3622" s="128"/>
      <c r="E3622" s="128" t="str">
        <f t="shared" si="1"/>
        <v/>
      </c>
    </row>
    <row r="3623">
      <c r="A3623" s="93" t="str">
        <f t="shared" si="2"/>
        <v>#17472</v>
      </c>
      <c r="B3623" s="93" t="str">
        <f>IF(COUNTIF(MAIN!B:B, A3623)=0, "Missing", "")</f>
        <v/>
      </c>
      <c r="C3623" s="128"/>
      <c r="E3623" s="128" t="str">
        <f t="shared" si="1"/>
        <v/>
      </c>
    </row>
    <row r="3624">
      <c r="A3624" s="93" t="str">
        <f t="shared" si="2"/>
        <v>#17473</v>
      </c>
      <c r="B3624" s="93" t="str">
        <f>IF(COUNTIF(MAIN!B:B, A3624)=0, "Missing", "")</f>
        <v/>
      </c>
      <c r="C3624" s="128"/>
      <c r="E3624" s="128" t="str">
        <f t="shared" si="1"/>
        <v/>
      </c>
    </row>
    <row r="3625">
      <c r="A3625" s="93" t="str">
        <f t="shared" si="2"/>
        <v>#17474</v>
      </c>
      <c r="B3625" s="93" t="str">
        <f>IF(COUNTIF(MAIN!B:B, A3625)=0, "Missing", "")</f>
        <v/>
      </c>
      <c r="C3625" s="128"/>
      <c r="E3625" s="128" t="str">
        <f t="shared" si="1"/>
        <v/>
      </c>
    </row>
    <row r="3626">
      <c r="A3626" s="93" t="str">
        <f t="shared" si="2"/>
        <v>#17475</v>
      </c>
      <c r="B3626" s="93" t="str">
        <f>IF(COUNTIF(MAIN!B:B, A3626)=0, "Missing", "")</f>
        <v/>
      </c>
      <c r="C3626" s="128"/>
      <c r="E3626" s="128" t="str">
        <f t="shared" si="1"/>
        <v/>
      </c>
    </row>
    <row r="3627">
      <c r="A3627" s="93" t="str">
        <f t="shared" si="2"/>
        <v>#17476</v>
      </c>
      <c r="B3627" s="93" t="str">
        <f>IF(COUNTIF(MAIN!B:B, A3627)=0, "Missing", "")</f>
        <v>Missing</v>
      </c>
      <c r="C3627" s="128"/>
      <c r="E3627" s="131" t="str">
        <f t="shared" si="1"/>
        <v>https://utrucking.myshopify.com/admin/orders?query=17476</v>
      </c>
    </row>
    <row r="3628">
      <c r="A3628" s="93" t="str">
        <f t="shared" si="2"/>
        <v>#17477</v>
      </c>
      <c r="B3628" s="93" t="str">
        <f>IF(COUNTIF(MAIN!B:B, A3628)=0, "Missing", "")</f>
        <v>Missing</v>
      </c>
      <c r="C3628" s="128"/>
      <c r="E3628" s="131" t="str">
        <f t="shared" si="1"/>
        <v>https://utrucking.myshopify.com/admin/orders?query=17477</v>
      </c>
    </row>
    <row r="3629">
      <c r="A3629" s="93" t="str">
        <f t="shared" si="2"/>
        <v>#17478</v>
      </c>
      <c r="B3629" s="93" t="str">
        <f>IF(COUNTIF(MAIN!B:B, A3629)=0, "Missing", "")</f>
        <v/>
      </c>
      <c r="C3629" s="128"/>
      <c r="E3629" s="128" t="str">
        <f t="shared" si="1"/>
        <v/>
      </c>
    </row>
    <row r="3630">
      <c r="A3630" s="93" t="str">
        <f t="shared" si="2"/>
        <v>#17479</v>
      </c>
      <c r="B3630" s="93" t="str">
        <f>IF(COUNTIF(MAIN!B:B, A3630)=0, "Missing", "")</f>
        <v/>
      </c>
      <c r="C3630" s="128"/>
      <c r="E3630" s="128" t="str">
        <f t="shared" si="1"/>
        <v/>
      </c>
    </row>
    <row r="3631">
      <c r="A3631" s="93" t="str">
        <f t="shared" si="2"/>
        <v>#17480</v>
      </c>
      <c r="B3631" s="93" t="str">
        <f>IF(COUNTIF(MAIN!B:B, A3631)=0, "Missing", "")</f>
        <v/>
      </c>
      <c r="C3631" s="128"/>
      <c r="E3631" s="128" t="str">
        <f t="shared" si="1"/>
        <v/>
      </c>
    </row>
    <row r="3632">
      <c r="A3632" s="93" t="str">
        <f t="shared" si="2"/>
        <v>#17481</v>
      </c>
      <c r="B3632" s="93" t="str">
        <f>IF(COUNTIF(MAIN!B:B, A3632)=0, "Missing", "")</f>
        <v/>
      </c>
      <c r="C3632" s="128"/>
      <c r="E3632" s="128" t="str">
        <f t="shared" si="1"/>
        <v/>
      </c>
    </row>
    <row r="3633">
      <c r="A3633" s="93" t="str">
        <f t="shared" si="2"/>
        <v>#17482</v>
      </c>
      <c r="B3633" s="93" t="str">
        <f>IF(COUNTIF(MAIN!B:B, A3633)=0, "Missing", "")</f>
        <v/>
      </c>
      <c r="C3633" s="128"/>
      <c r="E3633" s="128" t="str">
        <f t="shared" si="1"/>
        <v/>
      </c>
    </row>
    <row r="3634">
      <c r="A3634" s="93" t="str">
        <f t="shared" si="2"/>
        <v>#17483</v>
      </c>
      <c r="B3634" s="93" t="str">
        <f>IF(COUNTIF(MAIN!B:B, A3634)=0, "Missing", "")</f>
        <v/>
      </c>
      <c r="C3634" s="128"/>
      <c r="E3634" s="128" t="str">
        <f t="shared" si="1"/>
        <v/>
      </c>
    </row>
    <row r="3635">
      <c r="A3635" s="93" t="str">
        <f t="shared" si="2"/>
        <v>#17484</v>
      </c>
      <c r="B3635" s="93" t="str">
        <f>IF(COUNTIF(MAIN!B:B, A3635)=0, "Missing", "")</f>
        <v/>
      </c>
      <c r="C3635" s="128"/>
      <c r="E3635" s="128" t="str">
        <f t="shared" si="1"/>
        <v/>
      </c>
    </row>
    <row r="3636">
      <c r="A3636" s="93" t="str">
        <f t="shared" si="2"/>
        <v>#17485</v>
      </c>
      <c r="B3636" s="93" t="str">
        <f>IF(COUNTIF(MAIN!B:B, A3636)=0, "Missing", "")</f>
        <v/>
      </c>
      <c r="C3636" s="128"/>
      <c r="E3636" s="128" t="str">
        <f t="shared" si="1"/>
        <v/>
      </c>
    </row>
    <row r="3637">
      <c r="A3637" s="93" t="str">
        <f t="shared" si="2"/>
        <v>#17486</v>
      </c>
      <c r="B3637" s="93" t="str">
        <f>IF(COUNTIF(MAIN!B:B, A3637)=0, "Missing", "")</f>
        <v/>
      </c>
      <c r="C3637" s="128"/>
      <c r="E3637" s="128" t="str">
        <f t="shared" si="1"/>
        <v/>
      </c>
    </row>
    <row r="3638">
      <c r="A3638" s="93" t="str">
        <f t="shared" si="2"/>
        <v>#17487</v>
      </c>
      <c r="B3638" s="93" t="str">
        <f>IF(COUNTIF(MAIN!B:B, A3638)=0, "Missing", "")</f>
        <v/>
      </c>
      <c r="C3638" s="128"/>
      <c r="E3638" s="128" t="str">
        <f t="shared" si="1"/>
        <v/>
      </c>
    </row>
    <row r="3639">
      <c r="A3639" s="93" t="str">
        <f t="shared" si="2"/>
        <v>#17488</v>
      </c>
      <c r="B3639" s="93" t="str">
        <f>IF(COUNTIF(MAIN!B:B, A3639)=0, "Missing", "")</f>
        <v/>
      </c>
      <c r="C3639" s="128"/>
      <c r="E3639" s="128" t="str">
        <f t="shared" si="1"/>
        <v/>
      </c>
    </row>
    <row r="3640">
      <c r="A3640" s="93" t="str">
        <f t="shared" si="2"/>
        <v>#17489</v>
      </c>
      <c r="B3640" s="93" t="str">
        <f>IF(COUNTIF(MAIN!B:B, A3640)=0, "Missing", "")</f>
        <v/>
      </c>
      <c r="C3640" s="128"/>
      <c r="E3640" s="128" t="str">
        <f t="shared" si="1"/>
        <v/>
      </c>
    </row>
    <row r="3641">
      <c r="A3641" s="93" t="str">
        <f t="shared" si="2"/>
        <v>#17490</v>
      </c>
      <c r="B3641" s="93" t="str">
        <f>IF(COUNTIF(MAIN!B:B, A3641)=0, "Missing", "")</f>
        <v/>
      </c>
      <c r="C3641" s="128"/>
      <c r="E3641" s="128" t="str">
        <f t="shared" si="1"/>
        <v/>
      </c>
    </row>
    <row r="3642">
      <c r="A3642" s="93" t="str">
        <f t="shared" si="2"/>
        <v>#17491</v>
      </c>
      <c r="B3642" s="93" t="str">
        <f>IF(COUNTIF(MAIN!B:B, A3642)=0, "Missing", "")</f>
        <v/>
      </c>
      <c r="C3642" s="128"/>
      <c r="E3642" s="128" t="str">
        <f t="shared" si="1"/>
        <v/>
      </c>
    </row>
    <row r="3643">
      <c r="A3643" s="93" t="str">
        <f t="shared" si="2"/>
        <v>#17492</v>
      </c>
      <c r="B3643" s="93" t="str">
        <f>IF(COUNTIF(MAIN!B:B, A3643)=0, "Missing", "")</f>
        <v/>
      </c>
      <c r="C3643" s="128"/>
      <c r="E3643" s="128" t="str">
        <f t="shared" si="1"/>
        <v/>
      </c>
    </row>
    <row r="3644">
      <c r="A3644" s="93" t="str">
        <f t="shared" si="2"/>
        <v>#17493</v>
      </c>
      <c r="B3644" s="93" t="str">
        <f>IF(COUNTIF(MAIN!B:B, A3644)=0, "Missing", "")</f>
        <v/>
      </c>
      <c r="C3644" s="128"/>
      <c r="E3644" s="128" t="str">
        <f t="shared" si="1"/>
        <v/>
      </c>
    </row>
    <row r="3645">
      <c r="A3645" s="93" t="str">
        <f t="shared" si="2"/>
        <v>#17494</v>
      </c>
      <c r="B3645" s="93" t="str">
        <f>IF(COUNTIF(MAIN!B:B, A3645)=0, "Missing", "")</f>
        <v/>
      </c>
      <c r="C3645" s="128"/>
      <c r="E3645" s="128" t="str">
        <f t="shared" si="1"/>
        <v/>
      </c>
    </row>
    <row r="3646">
      <c r="A3646" s="93" t="str">
        <f t="shared" si="2"/>
        <v>#17495</v>
      </c>
      <c r="B3646" s="93" t="str">
        <f>IF(COUNTIF(MAIN!B:B, A3646)=0, "Missing", "")</f>
        <v/>
      </c>
      <c r="C3646" s="128"/>
      <c r="E3646" s="128" t="str">
        <f t="shared" si="1"/>
        <v/>
      </c>
    </row>
    <row r="3647">
      <c r="A3647" s="93" t="str">
        <f t="shared" si="2"/>
        <v>#17496</v>
      </c>
      <c r="B3647" s="93" t="str">
        <f>IF(COUNTIF(MAIN!B:B, A3647)=0, "Missing", "")</f>
        <v/>
      </c>
      <c r="C3647" s="128"/>
      <c r="E3647" s="128" t="str">
        <f t="shared" si="1"/>
        <v/>
      </c>
    </row>
    <row r="3648">
      <c r="A3648" s="93" t="str">
        <f t="shared" si="2"/>
        <v>#17497</v>
      </c>
      <c r="B3648" s="93" t="str">
        <f>IF(COUNTIF(MAIN!B:B, A3648)=0, "Missing", "")</f>
        <v/>
      </c>
      <c r="C3648" s="128"/>
      <c r="E3648" s="128" t="str">
        <f t="shared" si="1"/>
        <v/>
      </c>
    </row>
    <row r="3649">
      <c r="A3649" s="93" t="str">
        <f t="shared" si="2"/>
        <v>#17498</v>
      </c>
      <c r="B3649" s="93" t="str">
        <f>IF(COUNTIF(MAIN!B:B, A3649)=0, "Missing", "")</f>
        <v/>
      </c>
      <c r="C3649" s="128"/>
      <c r="E3649" s="128" t="str">
        <f t="shared" si="1"/>
        <v/>
      </c>
    </row>
    <row r="3650">
      <c r="A3650" s="93" t="str">
        <f t="shared" si="2"/>
        <v>#17499</v>
      </c>
      <c r="B3650" s="93" t="str">
        <f>IF(COUNTIF(MAIN!B:B, A3650)=0, "Missing", "")</f>
        <v/>
      </c>
      <c r="C3650" s="128"/>
      <c r="E3650" s="128" t="str">
        <f t="shared" si="1"/>
        <v/>
      </c>
    </row>
    <row r="3651">
      <c r="A3651" s="93" t="str">
        <f t="shared" si="2"/>
        <v>#17500</v>
      </c>
      <c r="B3651" s="93" t="str">
        <f>IF(COUNTIF(MAIN!B:B, A3651)=0, "Missing", "")</f>
        <v/>
      </c>
      <c r="C3651" s="128"/>
      <c r="E3651" s="128" t="str">
        <f t="shared" si="1"/>
        <v/>
      </c>
    </row>
    <row r="3652">
      <c r="A3652" s="93" t="str">
        <f t="shared" si="2"/>
        <v>#17501</v>
      </c>
      <c r="B3652" s="93" t="str">
        <f>IF(COUNTIF(MAIN!B:B, A3652)=0, "Missing", "")</f>
        <v/>
      </c>
      <c r="C3652" s="128"/>
      <c r="E3652" s="128" t="str">
        <f t="shared" si="1"/>
        <v/>
      </c>
    </row>
    <row r="3653">
      <c r="A3653" s="93" t="str">
        <f t="shared" si="2"/>
        <v>#17502</v>
      </c>
      <c r="B3653" s="93" t="str">
        <f>IF(COUNTIF(MAIN!B:B, A3653)=0, "Missing", "")</f>
        <v/>
      </c>
      <c r="C3653" s="128"/>
      <c r="E3653" s="128" t="str">
        <f t="shared" si="1"/>
        <v/>
      </c>
    </row>
    <row r="3654">
      <c r="A3654" s="93" t="str">
        <f t="shared" si="2"/>
        <v>#17503</v>
      </c>
      <c r="B3654" s="93" t="str">
        <f>IF(COUNTIF(MAIN!B:B, A3654)=0, "Missing", "")</f>
        <v/>
      </c>
      <c r="C3654" s="128"/>
      <c r="E3654" s="128" t="str">
        <f t="shared" si="1"/>
        <v/>
      </c>
    </row>
    <row r="3655">
      <c r="A3655" s="93" t="str">
        <f t="shared" si="2"/>
        <v>#17504</v>
      </c>
      <c r="B3655" s="93" t="str">
        <f>IF(COUNTIF(MAIN!B:B, A3655)=0, "Missing", "")</f>
        <v/>
      </c>
      <c r="C3655" s="128"/>
      <c r="E3655" s="128" t="str">
        <f t="shared" si="1"/>
        <v/>
      </c>
    </row>
    <row r="3656">
      <c r="A3656" s="93" t="str">
        <f t="shared" si="2"/>
        <v>#17505</v>
      </c>
      <c r="B3656" s="93" t="str">
        <f>IF(COUNTIF(MAIN!B:B, A3656)=0, "Missing", "")</f>
        <v/>
      </c>
      <c r="C3656" s="128"/>
      <c r="E3656" s="128" t="str">
        <f t="shared" si="1"/>
        <v/>
      </c>
    </row>
    <row r="3657">
      <c r="A3657" s="93" t="str">
        <f t="shared" si="2"/>
        <v>#17506</v>
      </c>
      <c r="B3657" s="93" t="str">
        <f>IF(COUNTIF(MAIN!B:B, A3657)=0, "Missing", "")</f>
        <v/>
      </c>
      <c r="C3657" s="128"/>
      <c r="E3657" s="128" t="str">
        <f t="shared" si="1"/>
        <v/>
      </c>
    </row>
    <row r="3658">
      <c r="A3658" s="93" t="str">
        <f t="shared" si="2"/>
        <v>#17507</v>
      </c>
      <c r="B3658" s="93" t="str">
        <f>IF(COUNTIF(MAIN!B:B, A3658)=0, "Missing", "")</f>
        <v/>
      </c>
      <c r="C3658" s="128"/>
      <c r="E3658" s="128" t="str">
        <f t="shared" si="1"/>
        <v/>
      </c>
    </row>
    <row r="3659">
      <c r="A3659" s="93" t="str">
        <f t="shared" si="2"/>
        <v>#17508</v>
      </c>
      <c r="B3659" s="93" t="str">
        <f>IF(COUNTIF(MAIN!B:B, A3659)=0, "Missing", "")</f>
        <v/>
      </c>
      <c r="C3659" s="128"/>
      <c r="E3659" s="128" t="str">
        <f t="shared" si="1"/>
        <v/>
      </c>
    </row>
    <row r="3660">
      <c r="A3660" s="93" t="str">
        <f t="shared" si="2"/>
        <v>#17509</v>
      </c>
      <c r="B3660" s="93" t="str">
        <f>IF(COUNTIF(MAIN!B:B, A3660)=0, "Missing", "")</f>
        <v/>
      </c>
      <c r="C3660" s="128"/>
      <c r="E3660" s="128" t="str">
        <f t="shared" si="1"/>
        <v/>
      </c>
    </row>
    <row r="3661">
      <c r="A3661" s="93" t="str">
        <f t="shared" si="2"/>
        <v>#17510</v>
      </c>
      <c r="B3661" s="93" t="str">
        <f>IF(COUNTIF(MAIN!B:B, A3661)=0, "Missing", "")</f>
        <v/>
      </c>
      <c r="C3661" s="128"/>
      <c r="E3661" s="128" t="str">
        <f t="shared" si="1"/>
        <v/>
      </c>
    </row>
    <row r="3662">
      <c r="A3662" s="93" t="str">
        <f t="shared" si="2"/>
        <v>#17511</v>
      </c>
      <c r="B3662" s="93" t="str">
        <f>IF(COUNTIF(MAIN!B:B, A3662)=0, "Missing", "")</f>
        <v/>
      </c>
      <c r="C3662" s="128"/>
      <c r="E3662" s="128" t="str">
        <f t="shared" si="1"/>
        <v/>
      </c>
    </row>
    <row r="3663">
      <c r="A3663" s="93" t="str">
        <f t="shared" si="2"/>
        <v>#17512</v>
      </c>
      <c r="B3663" s="93" t="str">
        <f>IF(COUNTIF(MAIN!B:B, A3663)=0, "Missing", "")</f>
        <v/>
      </c>
      <c r="C3663" s="128"/>
      <c r="E3663" s="128" t="str">
        <f t="shared" si="1"/>
        <v/>
      </c>
    </row>
    <row r="3664">
      <c r="A3664" s="93" t="str">
        <f t="shared" si="2"/>
        <v>#17513</v>
      </c>
      <c r="B3664" s="93" t="str">
        <f>IF(COUNTIF(MAIN!B:B, A3664)=0, "Missing", "")</f>
        <v/>
      </c>
      <c r="C3664" s="128"/>
      <c r="E3664" s="128" t="str">
        <f t="shared" si="1"/>
        <v/>
      </c>
    </row>
    <row r="3665">
      <c r="A3665" s="93" t="str">
        <f t="shared" si="2"/>
        <v>#17514</v>
      </c>
      <c r="B3665" s="93" t="str">
        <f>IF(COUNTIF(MAIN!B:B, A3665)=0, "Missing", "")</f>
        <v/>
      </c>
      <c r="C3665" s="128"/>
      <c r="E3665" s="128" t="str">
        <f t="shared" si="1"/>
        <v/>
      </c>
    </row>
    <row r="3666">
      <c r="A3666" s="93" t="str">
        <f t="shared" si="2"/>
        <v>#17515</v>
      </c>
      <c r="B3666" s="93" t="str">
        <f>IF(COUNTIF(MAIN!B:B, A3666)=0, "Missing", "")</f>
        <v/>
      </c>
      <c r="C3666" s="128"/>
      <c r="E3666" s="128" t="str">
        <f t="shared" si="1"/>
        <v/>
      </c>
    </row>
    <row r="3667">
      <c r="A3667" s="93" t="str">
        <f t="shared" si="2"/>
        <v>#17516</v>
      </c>
      <c r="B3667" s="93" t="str">
        <f>IF(COUNTIF(MAIN!B:B, A3667)=0, "Missing", "")</f>
        <v/>
      </c>
      <c r="C3667" s="128"/>
      <c r="E3667" s="128" t="str">
        <f t="shared" si="1"/>
        <v/>
      </c>
    </row>
    <row r="3668">
      <c r="A3668" s="93" t="str">
        <f t="shared" si="2"/>
        <v>#17517</v>
      </c>
      <c r="B3668" s="93" t="str">
        <f>IF(COUNTIF(MAIN!B:B, A3668)=0, "Missing", "")</f>
        <v/>
      </c>
      <c r="C3668" s="128"/>
      <c r="E3668" s="128" t="str">
        <f t="shared" si="1"/>
        <v/>
      </c>
    </row>
    <row r="3669">
      <c r="A3669" s="93" t="str">
        <f t="shared" si="2"/>
        <v>#17518</v>
      </c>
      <c r="B3669" s="93" t="str">
        <f>IF(COUNTIF(MAIN!B:B, A3669)=0, "Missing", "")</f>
        <v/>
      </c>
      <c r="C3669" s="128"/>
      <c r="E3669" s="128" t="str">
        <f t="shared" si="1"/>
        <v/>
      </c>
    </row>
    <row r="3670">
      <c r="A3670" s="93" t="str">
        <f t="shared" si="2"/>
        <v>#17519</v>
      </c>
      <c r="B3670" s="93" t="str">
        <f>IF(COUNTIF(MAIN!B:B, A3670)=0, "Missing", "")</f>
        <v/>
      </c>
      <c r="C3670" s="128"/>
      <c r="E3670" s="128" t="str">
        <f t="shared" si="1"/>
        <v/>
      </c>
    </row>
    <row r="3671">
      <c r="A3671" s="93" t="str">
        <f t="shared" si="2"/>
        <v>#17520</v>
      </c>
      <c r="B3671" s="93" t="str">
        <f>IF(COUNTIF(MAIN!B:B, A3671)=0, "Missing", "")</f>
        <v/>
      </c>
      <c r="C3671" s="128"/>
      <c r="E3671" s="128" t="str">
        <f t="shared" si="1"/>
        <v/>
      </c>
    </row>
    <row r="3672">
      <c r="A3672" s="93" t="str">
        <f t="shared" si="2"/>
        <v>#17521</v>
      </c>
      <c r="B3672" s="93" t="str">
        <f>IF(COUNTIF(MAIN!B:B, A3672)=0, "Missing", "")</f>
        <v/>
      </c>
      <c r="C3672" s="128"/>
      <c r="E3672" s="128" t="str">
        <f t="shared" si="1"/>
        <v/>
      </c>
    </row>
    <row r="3673">
      <c r="A3673" s="93" t="str">
        <f t="shared" si="2"/>
        <v>#17522</v>
      </c>
      <c r="B3673" s="93" t="str">
        <f>IF(COUNTIF(MAIN!B:B, A3673)=0, "Missing", "")</f>
        <v/>
      </c>
      <c r="C3673" s="128"/>
      <c r="E3673" s="128" t="str">
        <f t="shared" si="1"/>
        <v/>
      </c>
    </row>
    <row r="3674">
      <c r="A3674" s="93" t="str">
        <f t="shared" si="2"/>
        <v>#17523</v>
      </c>
      <c r="B3674" s="93" t="str">
        <f>IF(COUNTIF(MAIN!B:B, A3674)=0, "Missing", "")</f>
        <v/>
      </c>
      <c r="C3674" s="128"/>
      <c r="E3674" s="128" t="str">
        <f t="shared" si="1"/>
        <v/>
      </c>
    </row>
    <row r="3675">
      <c r="A3675" s="93" t="str">
        <f t="shared" si="2"/>
        <v>#17524</v>
      </c>
      <c r="B3675" s="93" t="str">
        <f>IF(COUNTIF(MAIN!B:B, A3675)=0, "Missing", "")</f>
        <v/>
      </c>
      <c r="C3675" s="128"/>
      <c r="E3675" s="128" t="str">
        <f t="shared" si="1"/>
        <v/>
      </c>
    </row>
    <row r="3676">
      <c r="A3676" s="93" t="str">
        <f t="shared" si="2"/>
        <v>#17525</v>
      </c>
      <c r="B3676" s="93" t="str">
        <f>IF(COUNTIF(MAIN!B:B, A3676)=0, "Missing", "")</f>
        <v/>
      </c>
      <c r="C3676" s="128"/>
      <c r="E3676" s="128" t="str">
        <f t="shared" si="1"/>
        <v/>
      </c>
    </row>
    <row r="3677">
      <c r="A3677" s="93" t="str">
        <f t="shared" si="2"/>
        <v>#17526</v>
      </c>
      <c r="B3677" s="93" t="str">
        <f>IF(COUNTIF(MAIN!B:B, A3677)=0, "Missing", "")</f>
        <v/>
      </c>
      <c r="C3677" s="128"/>
      <c r="E3677" s="128" t="str">
        <f t="shared" si="1"/>
        <v/>
      </c>
    </row>
    <row r="3678">
      <c r="A3678" s="93" t="str">
        <f t="shared" si="2"/>
        <v>#17527</v>
      </c>
      <c r="B3678" s="93" t="str">
        <f>IF(COUNTIF(MAIN!B:B, A3678)=0, "Missing", "")</f>
        <v/>
      </c>
      <c r="C3678" s="128"/>
      <c r="E3678" s="128" t="str">
        <f t="shared" si="1"/>
        <v/>
      </c>
    </row>
    <row r="3679">
      <c r="A3679" s="93" t="str">
        <f t="shared" si="2"/>
        <v>#17528</v>
      </c>
      <c r="B3679" s="93" t="str">
        <f>IF(COUNTIF(MAIN!B:B, A3679)=0, "Missing", "")</f>
        <v/>
      </c>
      <c r="C3679" s="128"/>
      <c r="E3679" s="128" t="str">
        <f t="shared" si="1"/>
        <v/>
      </c>
    </row>
    <row r="3680">
      <c r="A3680" s="93" t="str">
        <f t="shared" si="2"/>
        <v>#17529</v>
      </c>
      <c r="B3680" s="93" t="str">
        <f>IF(COUNTIF(MAIN!B:B, A3680)=0, "Missing", "")</f>
        <v/>
      </c>
      <c r="C3680" s="128"/>
      <c r="E3680" s="128" t="str">
        <f t="shared" si="1"/>
        <v/>
      </c>
    </row>
    <row r="3681">
      <c r="A3681" s="93" t="str">
        <f t="shared" si="2"/>
        <v>#17530</v>
      </c>
      <c r="B3681" s="93" t="str">
        <f>IF(COUNTIF(MAIN!B:B, A3681)=0, "Missing", "")</f>
        <v/>
      </c>
      <c r="C3681" s="128"/>
      <c r="E3681" s="128" t="str">
        <f t="shared" si="1"/>
        <v/>
      </c>
    </row>
    <row r="3682">
      <c r="A3682" s="93" t="str">
        <f t="shared" si="2"/>
        <v>#17531</v>
      </c>
      <c r="B3682" s="93" t="str">
        <f>IF(COUNTIF(MAIN!B:B, A3682)=0, "Missing", "")</f>
        <v/>
      </c>
      <c r="C3682" s="128"/>
      <c r="E3682" s="128" t="str">
        <f t="shared" si="1"/>
        <v/>
      </c>
    </row>
    <row r="3683">
      <c r="A3683" s="93" t="str">
        <f t="shared" si="2"/>
        <v>#17532</v>
      </c>
      <c r="B3683" s="93" t="str">
        <f>IF(COUNTIF(MAIN!B:B, A3683)=0, "Missing", "")</f>
        <v/>
      </c>
      <c r="C3683" s="128"/>
      <c r="E3683" s="128" t="str">
        <f t="shared" si="1"/>
        <v/>
      </c>
    </row>
    <row r="3684">
      <c r="A3684" s="93" t="str">
        <f t="shared" si="2"/>
        <v>#17533</v>
      </c>
      <c r="B3684" s="93" t="str">
        <f>IF(COUNTIF(MAIN!B:B, A3684)=0, "Missing", "")</f>
        <v/>
      </c>
      <c r="C3684" s="128"/>
      <c r="E3684" s="128" t="str">
        <f t="shared" si="1"/>
        <v/>
      </c>
    </row>
    <row r="3685">
      <c r="A3685" s="93" t="str">
        <f t="shared" si="2"/>
        <v>#17534</v>
      </c>
      <c r="B3685" s="93" t="str">
        <f>IF(COUNTIF(MAIN!B:B, A3685)=0, "Missing", "")</f>
        <v/>
      </c>
      <c r="C3685" s="128"/>
      <c r="E3685" s="128" t="str">
        <f t="shared" si="1"/>
        <v/>
      </c>
    </row>
    <row r="3686">
      <c r="A3686" s="93" t="str">
        <f t="shared" si="2"/>
        <v>#17535</v>
      </c>
      <c r="B3686" s="93" t="str">
        <f>IF(COUNTIF(MAIN!B:B, A3686)=0, "Missing", "")</f>
        <v/>
      </c>
      <c r="C3686" s="128"/>
      <c r="E3686" s="128" t="str">
        <f t="shared" si="1"/>
        <v/>
      </c>
    </row>
    <row r="3687">
      <c r="A3687" s="93" t="str">
        <f t="shared" si="2"/>
        <v>#17536</v>
      </c>
      <c r="B3687" s="93" t="str">
        <f>IF(COUNTIF(MAIN!B:B, A3687)=0, "Missing", "")</f>
        <v/>
      </c>
      <c r="C3687" s="128"/>
      <c r="E3687" s="128" t="str">
        <f t="shared" si="1"/>
        <v/>
      </c>
    </row>
    <row r="3688">
      <c r="A3688" s="93" t="str">
        <f t="shared" si="2"/>
        <v>#17537</v>
      </c>
      <c r="B3688" s="93" t="str">
        <f>IF(COUNTIF(MAIN!B:B, A3688)=0, "Missing", "")</f>
        <v/>
      </c>
      <c r="C3688" s="128"/>
      <c r="E3688" s="128" t="str">
        <f t="shared" si="1"/>
        <v/>
      </c>
    </row>
    <row r="3689">
      <c r="A3689" s="93" t="str">
        <f t="shared" si="2"/>
        <v>#17538</v>
      </c>
      <c r="B3689" s="93" t="str">
        <f>IF(COUNTIF(MAIN!B:B, A3689)=0, "Missing", "")</f>
        <v/>
      </c>
      <c r="C3689" s="128"/>
      <c r="E3689" s="128" t="str">
        <f t="shared" si="1"/>
        <v/>
      </c>
    </row>
    <row r="3690">
      <c r="A3690" s="93" t="str">
        <f t="shared" si="2"/>
        <v>#17539</v>
      </c>
      <c r="B3690" s="93" t="str">
        <f>IF(COUNTIF(MAIN!B:B, A3690)=0, "Missing", "")</f>
        <v/>
      </c>
      <c r="C3690" s="128"/>
      <c r="E3690" s="128" t="str">
        <f t="shared" si="1"/>
        <v/>
      </c>
    </row>
    <row r="3691">
      <c r="A3691" s="93" t="str">
        <f t="shared" si="2"/>
        <v>#17540</v>
      </c>
      <c r="B3691" s="93" t="str">
        <f>IF(COUNTIF(MAIN!B:B, A3691)=0, "Missing", "")</f>
        <v/>
      </c>
      <c r="C3691" s="128"/>
      <c r="E3691" s="128" t="str">
        <f t="shared" si="1"/>
        <v/>
      </c>
    </row>
    <row r="3692">
      <c r="A3692" s="93" t="str">
        <f t="shared" si="2"/>
        <v>#17541</v>
      </c>
      <c r="B3692" s="93" t="str">
        <f>IF(COUNTIF(MAIN!B:B, A3692)=0, "Missing", "")</f>
        <v/>
      </c>
      <c r="C3692" s="128"/>
      <c r="E3692" s="128" t="str">
        <f t="shared" si="1"/>
        <v/>
      </c>
    </row>
    <row r="3693">
      <c r="A3693" s="93" t="str">
        <f t="shared" si="2"/>
        <v>#17542</v>
      </c>
      <c r="B3693" s="93" t="str">
        <f>IF(COUNTIF(MAIN!B:B, A3693)=0, "Missing", "")</f>
        <v/>
      </c>
      <c r="C3693" s="128"/>
      <c r="E3693" s="128" t="str">
        <f t="shared" si="1"/>
        <v/>
      </c>
    </row>
    <row r="3694">
      <c r="A3694" s="93" t="str">
        <f t="shared" si="2"/>
        <v>#17543</v>
      </c>
      <c r="B3694" s="93" t="str">
        <f>IF(COUNTIF(MAIN!B:B, A3694)=0, "Missing", "")</f>
        <v/>
      </c>
      <c r="C3694" s="128"/>
      <c r="E3694" s="128" t="str">
        <f t="shared" si="1"/>
        <v/>
      </c>
    </row>
    <row r="3695">
      <c r="A3695" s="93" t="str">
        <f t="shared" si="2"/>
        <v>#17544</v>
      </c>
      <c r="B3695" s="93" t="str">
        <f>IF(COUNTIF(MAIN!B:B, A3695)=0, "Missing", "")</f>
        <v/>
      </c>
      <c r="C3695" s="128"/>
      <c r="E3695" s="128" t="str">
        <f t="shared" si="1"/>
        <v/>
      </c>
    </row>
    <row r="3696">
      <c r="A3696" s="93" t="str">
        <f t="shared" si="2"/>
        <v>#17545</v>
      </c>
      <c r="B3696" s="93" t="str">
        <f>IF(COUNTIF(MAIN!B:B, A3696)=0, "Missing", "")</f>
        <v/>
      </c>
      <c r="C3696" s="128"/>
      <c r="E3696" s="128" t="str">
        <f t="shared" si="1"/>
        <v/>
      </c>
    </row>
    <row r="3697">
      <c r="A3697" s="93" t="str">
        <f t="shared" si="2"/>
        <v>#17546</v>
      </c>
      <c r="B3697" s="93" t="str">
        <f>IF(COUNTIF(MAIN!B:B, A3697)=0, "Missing", "")</f>
        <v/>
      </c>
      <c r="C3697" s="128"/>
      <c r="E3697" s="128" t="str">
        <f t="shared" si="1"/>
        <v/>
      </c>
    </row>
    <row r="3698">
      <c r="A3698" s="93" t="str">
        <f t="shared" si="2"/>
        <v>#17547</v>
      </c>
      <c r="B3698" s="93" t="str">
        <f>IF(COUNTIF(MAIN!B:B, A3698)=0, "Missing", "")</f>
        <v/>
      </c>
      <c r="C3698" s="128"/>
      <c r="E3698" s="128" t="str">
        <f t="shared" si="1"/>
        <v/>
      </c>
    </row>
    <row r="3699">
      <c r="A3699" s="93" t="str">
        <f t="shared" si="2"/>
        <v>#17548</v>
      </c>
      <c r="B3699" s="93" t="str">
        <f>IF(COUNTIF(MAIN!B:B, A3699)=0, "Missing", "")</f>
        <v/>
      </c>
      <c r="C3699" s="128"/>
      <c r="E3699" s="128" t="str">
        <f t="shared" si="1"/>
        <v/>
      </c>
    </row>
    <row r="3700">
      <c r="A3700" s="93" t="str">
        <f t="shared" si="2"/>
        <v>#17549</v>
      </c>
      <c r="B3700" s="93" t="str">
        <f>IF(COUNTIF(MAIN!B:B, A3700)=0, "Missing", "")</f>
        <v/>
      </c>
      <c r="C3700" s="128"/>
      <c r="E3700" s="128" t="str">
        <f t="shared" si="1"/>
        <v/>
      </c>
    </row>
    <row r="3701">
      <c r="A3701" s="93" t="str">
        <f t="shared" si="2"/>
        <v>#17550</v>
      </c>
      <c r="B3701" s="93" t="str">
        <f>IF(COUNTIF(MAIN!B:B, A3701)=0, "Missing", "")</f>
        <v/>
      </c>
      <c r="C3701" s="128"/>
      <c r="E3701" s="128" t="str">
        <f t="shared" si="1"/>
        <v/>
      </c>
    </row>
    <row r="3702">
      <c r="A3702" s="93" t="str">
        <f t="shared" si="2"/>
        <v>#17551</v>
      </c>
      <c r="B3702" s="93" t="str">
        <f>IF(COUNTIF(MAIN!B:B, A3702)=0, "Missing", "")</f>
        <v/>
      </c>
      <c r="C3702" s="128"/>
      <c r="E3702" s="128" t="str">
        <f t="shared" si="1"/>
        <v/>
      </c>
    </row>
    <row r="3703">
      <c r="A3703" s="93" t="str">
        <f t="shared" si="2"/>
        <v>#17552</v>
      </c>
      <c r="B3703" s="93" t="str">
        <f>IF(COUNTIF(MAIN!B:B, A3703)=0, "Missing", "")</f>
        <v/>
      </c>
      <c r="C3703" s="128"/>
      <c r="E3703" s="128" t="str">
        <f t="shared" si="1"/>
        <v/>
      </c>
    </row>
    <row r="3704">
      <c r="A3704" s="93" t="str">
        <f t="shared" si="2"/>
        <v>#17553</v>
      </c>
      <c r="B3704" s="93" t="str">
        <f>IF(COUNTIF(MAIN!B:B, A3704)=0, "Missing", "")</f>
        <v/>
      </c>
      <c r="C3704" s="128"/>
      <c r="E3704" s="128" t="str">
        <f t="shared" si="1"/>
        <v/>
      </c>
    </row>
    <row r="3705">
      <c r="A3705" s="93" t="str">
        <f t="shared" si="2"/>
        <v>#17554</v>
      </c>
      <c r="B3705" s="93" t="str">
        <f>IF(COUNTIF(MAIN!B:B, A3705)=0, "Missing", "")</f>
        <v/>
      </c>
      <c r="C3705" s="128"/>
      <c r="E3705" s="128" t="str">
        <f t="shared" si="1"/>
        <v/>
      </c>
    </row>
    <row r="3706">
      <c r="A3706" s="93" t="str">
        <f t="shared" si="2"/>
        <v>#17555</v>
      </c>
      <c r="B3706" s="93" t="str">
        <f>IF(COUNTIF(MAIN!B:B, A3706)=0, "Missing", "")</f>
        <v/>
      </c>
      <c r="C3706" s="128"/>
      <c r="E3706" s="128" t="str">
        <f t="shared" si="1"/>
        <v/>
      </c>
    </row>
    <row r="3707">
      <c r="A3707" s="93" t="str">
        <f t="shared" si="2"/>
        <v>#17556</v>
      </c>
      <c r="B3707" s="93" t="str">
        <f>IF(COUNTIF(MAIN!B:B, A3707)=0, "Missing", "")</f>
        <v/>
      </c>
      <c r="C3707" s="128"/>
      <c r="E3707" s="128" t="str">
        <f t="shared" si="1"/>
        <v/>
      </c>
    </row>
    <row r="3708">
      <c r="A3708" s="93" t="str">
        <f t="shared" si="2"/>
        <v>#17557</v>
      </c>
      <c r="B3708" s="93" t="str">
        <f>IF(COUNTIF(MAIN!B:B, A3708)=0, "Missing", "")</f>
        <v/>
      </c>
      <c r="C3708" s="128"/>
      <c r="E3708" s="128" t="str">
        <f t="shared" si="1"/>
        <v/>
      </c>
    </row>
    <row r="3709">
      <c r="A3709" s="93" t="str">
        <f t="shared" si="2"/>
        <v>#17558</v>
      </c>
      <c r="B3709" s="93" t="str">
        <f>IF(COUNTIF(MAIN!B:B, A3709)=0, "Missing", "")</f>
        <v/>
      </c>
      <c r="C3709" s="128"/>
      <c r="E3709" s="128" t="str">
        <f t="shared" si="1"/>
        <v/>
      </c>
    </row>
    <row r="3710">
      <c r="A3710" s="93" t="str">
        <f t="shared" si="2"/>
        <v>#17559</v>
      </c>
      <c r="B3710" s="93" t="str">
        <f>IF(COUNTIF(MAIN!B:B, A3710)=0, "Missing", "")</f>
        <v/>
      </c>
      <c r="C3710" s="128"/>
      <c r="E3710" s="128" t="str">
        <f t="shared" si="1"/>
        <v/>
      </c>
    </row>
    <row r="3711">
      <c r="A3711" s="93" t="str">
        <f t="shared" si="2"/>
        <v>#17560</v>
      </c>
      <c r="B3711" s="93" t="str">
        <f>IF(COUNTIF(MAIN!B:B, A3711)=0, "Missing", "")</f>
        <v/>
      </c>
      <c r="C3711" s="128"/>
      <c r="E3711" s="128" t="str">
        <f t="shared" si="1"/>
        <v/>
      </c>
    </row>
    <row r="3712">
      <c r="A3712" s="93" t="str">
        <f t="shared" si="2"/>
        <v>#17561</v>
      </c>
      <c r="B3712" s="93" t="str">
        <f>IF(COUNTIF(MAIN!B:B, A3712)=0, "Missing", "")</f>
        <v/>
      </c>
      <c r="C3712" s="128"/>
      <c r="E3712" s="128" t="str">
        <f t="shared" si="1"/>
        <v/>
      </c>
    </row>
    <row r="3713">
      <c r="A3713" s="93" t="str">
        <f t="shared" si="2"/>
        <v>#17562</v>
      </c>
      <c r="B3713" s="93" t="str">
        <f>IF(COUNTIF(MAIN!B:B, A3713)=0, "Missing", "")</f>
        <v/>
      </c>
      <c r="C3713" s="128"/>
      <c r="E3713" s="128" t="str">
        <f t="shared" si="1"/>
        <v/>
      </c>
    </row>
    <row r="3714">
      <c r="A3714" s="93" t="str">
        <f t="shared" si="2"/>
        <v>#17563</v>
      </c>
      <c r="B3714" s="93" t="str">
        <f>IF(COUNTIF(MAIN!B:B, A3714)=0, "Missing", "")</f>
        <v/>
      </c>
      <c r="C3714" s="128"/>
      <c r="E3714" s="128" t="str">
        <f t="shared" si="1"/>
        <v/>
      </c>
    </row>
    <row r="3715">
      <c r="A3715" s="93" t="str">
        <f t="shared" si="2"/>
        <v>#17564</v>
      </c>
      <c r="B3715" s="93" t="str">
        <f>IF(COUNTIF(MAIN!B:B, A3715)=0, "Missing", "")</f>
        <v/>
      </c>
      <c r="C3715" s="128"/>
      <c r="E3715" s="128" t="str">
        <f t="shared" si="1"/>
        <v/>
      </c>
    </row>
    <row r="3716">
      <c r="A3716" s="93" t="str">
        <f t="shared" si="2"/>
        <v>#17565</v>
      </c>
      <c r="B3716" s="93" t="str">
        <f>IF(COUNTIF(MAIN!B:B, A3716)=0, "Missing", "")</f>
        <v/>
      </c>
      <c r="C3716" s="128"/>
      <c r="E3716" s="128" t="str">
        <f t="shared" si="1"/>
        <v/>
      </c>
    </row>
    <row r="3717">
      <c r="A3717" s="93" t="str">
        <f t="shared" si="2"/>
        <v>#17566</v>
      </c>
      <c r="B3717" s="93" t="str">
        <f>IF(COUNTIF(MAIN!B:B, A3717)=0, "Missing", "")</f>
        <v/>
      </c>
      <c r="C3717" s="128"/>
      <c r="E3717" s="128" t="str">
        <f t="shared" si="1"/>
        <v/>
      </c>
    </row>
    <row r="3718">
      <c r="A3718" s="93" t="str">
        <f t="shared" si="2"/>
        <v>#17567</v>
      </c>
      <c r="B3718" s="93" t="str">
        <f>IF(COUNTIF(MAIN!B:B, A3718)=0, "Missing", "")</f>
        <v/>
      </c>
      <c r="C3718" s="128"/>
      <c r="E3718" s="128" t="str">
        <f t="shared" si="1"/>
        <v/>
      </c>
    </row>
    <row r="3719">
      <c r="A3719" s="93" t="str">
        <f t="shared" si="2"/>
        <v>#17568</v>
      </c>
      <c r="B3719" s="93" t="str">
        <f>IF(COUNTIF(MAIN!B:B, A3719)=0, "Missing", "")</f>
        <v/>
      </c>
      <c r="C3719" s="128"/>
      <c r="E3719" s="128" t="str">
        <f t="shared" si="1"/>
        <v/>
      </c>
    </row>
    <row r="3720">
      <c r="A3720" s="93" t="str">
        <f t="shared" si="2"/>
        <v>#17569</v>
      </c>
      <c r="B3720" s="93" t="str">
        <f>IF(COUNTIF(MAIN!B:B, A3720)=0, "Missing", "")</f>
        <v/>
      </c>
      <c r="C3720" s="128"/>
      <c r="E3720" s="128" t="str">
        <f t="shared" si="1"/>
        <v/>
      </c>
    </row>
    <row r="3721">
      <c r="A3721" s="93" t="str">
        <f t="shared" si="2"/>
        <v>#17570</v>
      </c>
      <c r="B3721" s="93" t="str">
        <f>IF(COUNTIF(MAIN!B:B, A3721)=0, "Missing", "")</f>
        <v/>
      </c>
      <c r="C3721" s="128"/>
      <c r="E3721" s="128" t="str">
        <f t="shared" si="1"/>
        <v/>
      </c>
    </row>
    <row r="3722">
      <c r="A3722" s="93" t="str">
        <f t="shared" si="2"/>
        <v>#17571</v>
      </c>
      <c r="B3722" s="93" t="str">
        <f>IF(COUNTIF(MAIN!B:B, A3722)=0, "Missing", "")</f>
        <v/>
      </c>
      <c r="C3722" s="128"/>
      <c r="E3722" s="128" t="str">
        <f t="shared" si="1"/>
        <v/>
      </c>
    </row>
    <row r="3723">
      <c r="A3723" s="93" t="str">
        <f t="shared" si="2"/>
        <v>#17572</v>
      </c>
      <c r="B3723" s="93" t="str">
        <f>IF(COUNTIF(MAIN!B:B, A3723)=0, "Missing", "")</f>
        <v/>
      </c>
      <c r="C3723" s="128"/>
      <c r="E3723" s="128" t="str">
        <f t="shared" si="1"/>
        <v/>
      </c>
    </row>
    <row r="3724">
      <c r="A3724" s="93" t="str">
        <f t="shared" si="2"/>
        <v>#17573</v>
      </c>
      <c r="B3724" s="93" t="str">
        <f>IF(COUNTIF(MAIN!B:B, A3724)=0, "Missing", "")</f>
        <v/>
      </c>
      <c r="C3724" s="128"/>
      <c r="E3724" s="128" t="str">
        <f t="shared" si="1"/>
        <v/>
      </c>
    </row>
    <row r="3725">
      <c r="A3725" s="93" t="str">
        <f t="shared" si="2"/>
        <v>#17574</v>
      </c>
      <c r="B3725" s="93" t="str">
        <f>IF(COUNTIF(MAIN!B:B, A3725)=0, "Missing", "")</f>
        <v/>
      </c>
      <c r="C3725" s="128"/>
      <c r="E3725" s="128" t="str">
        <f t="shared" si="1"/>
        <v/>
      </c>
    </row>
    <row r="3726">
      <c r="A3726" s="93" t="str">
        <f t="shared" si="2"/>
        <v>#17575</v>
      </c>
      <c r="B3726" s="93" t="str">
        <f>IF(COUNTIF(MAIN!B:B, A3726)=0, "Missing", "")</f>
        <v>Missing</v>
      </c>
      <c r="C3726" s="128"/>
      <c r="E3726" s="131" t="str">
        <f t="shared" si="1"/>
        <v>https://utrucking.myshopify.com/admin/orders?query=17575</v>
      </c>
    </row>
    <row r="3727">
      <c r="A3727" s="93" t="str">
        <f t="shared" si="2"/>
        <v>#17576</v>
      </c>
      <c r="B3727" s="93" t="str">
        <f>IF(COUNTIF(MAIN!B:B, A3727)=0, "Missing", "")</f>
        <v/>
      </c>
      <c r="C3727" s="128"/>
      <c r="E3727" s="128" t="str">
        <f t="shared" si="1"/>
        <v/>
      </c>
    </row>
    <row r="3728">
      <c r="A3728" s="93" t="str">
        <f t="shared" si="2"/>
        <v>#17577</v>
      </c>
      <c r="B3728" s="93" t="str">
        <f>IF(COUNTIF(MAIN!B:B, A3728)=0, "Missing", "")</f>
        <v/>
      </c>
      <c r="C3728" s="128"/>
      <c r="E3728" s="128" t="str">
        <f t="shared" si="1"/>
        <v/>
      </c>
    </row>
    <row r="3729">
      <c r="A3729" s="93" t="str">
        <f t="shared" si="2"/>
        <v>#17578</v>
      </c>
      <c r="B3729" s="93" t="str">
        <f>IF(COUNTIF(MAIN!B:B, A3729)=0, "Missing", "")</f>
        <v/>
      </c>
      <c r="C3729" s="128"/>
      <c r="E3729" s="128" t="str">
        <f t="shared" si="1"/>
        <v/>
      </c>
    </row>
    <row r="3730">
      <c r="A3730" s="93" t="str">
        <f t="shared" si="2"/>
        <v>#17579</v>
      </c>
      <c r="B3730" s="93" t="str">
        <f>IF(COUNTIF(MAIN!B:B, A3730)=0, "Missing", "")</f>
        <v/>
      </c>
      <c r="C3730" s="128"/>
      <c r="E3730" s="128" t="str">
        <f t="shared" si="1"/>
        <v/>
      </c>
    </row>
    <row r="3731">
      <c r="A3731" s="93" t="str">
        <f t="shared" si="2"/>
        <v>#17580</v>
      </c>
      <c r="B3731" s="93" t="str">
        <f>IF(COUNTIF(MAIN!B:B, A3731)=0, "Missing", "")</f>
        <v/>
      </c>
      <c r="C3731" s="128"/>
      <c r="E3731" s="128" t="str">
        <f t="shared" si="1"/>
        <v/>
      </c>
    </row>
    <row r="3732">
      <c r="A3732" s="93" t="str">
        <f t="shared" si="2"/>
        <v>#17581</v>
      </c>
      <c r="B3732" s="93" t="str">
        <f>IF(COUNTIF(MAIN!B:B, A3732)=0, "Missing", "")</f>
        <v/>
      </c>
      <c r="C3732" s="128"/>
      <c r="E3732" s="128" t="str">
        <f t="shared" si="1"/>
        <v/>
      </c>
    </row>
    <row r="3733">
      <c r="A3733" s="93" t="str">
        <f t="shared" si="2"/>
        <v>#17582</v>
      </c>
      <c r="B3733" s="93" t="str">
        <f>IF(COUNTIF(MAIN!B:B, A3733)=0, "Missing", "")</f>
        <v/>
      </c>
      <c r="C3733" s="128"/>
      <c r="E3733" s="128" t="str">
        <f t="shared" si="1"/>
        <v/>
      </c>
    </row>
    <row r="3734">
      <c r="A3734" s="93" t="str">
        <f t="shared" si="2"/>
        <v>#17583</v>
      </c>
      <c r="B3734" s="93" t="str">
        <f>IF(COUNTIF(MAIN!B:B, A3734)=0, "Missing", "")</f>
        <v/>
      </c>
      <c r="C3734" s="128"/>
      <c r="E3734" s="128" t="str">
        <f t="shared" si="1"/>
        <v/>
      </c>
    </row>
    <row r="3735">
      <c r="A3735" s="93" t="str">
        <f t="shared" si="2"/>
        <v>#17584</v>
      </c>
      <c r="B3735" s="93" t="str">
        <f>IF(COUNTIF(MAIN!B:B, A3735)=0, "Missing", "")</f>
        <v/>
      </c>
      <c r="C3735" s="128"/>
      <c r="E3735" s="128" t="str">
        <f t="shared" si="1"/>
        <v/>
      </c>
    </row>
    <row r="3736">
      <c r="A3736" s="93" t="str">
        <f t="shared" si="2"/>
        <v>#17585</v>
      </c>
      <c r="B3736" s="93" t="str">
        <f>IF(COUNTIF(MAIN!B:B, A3736)=0, "Missing", "")</f>
        <v/>
      </c>
      <c r="C3736" s="128"/>
      <c r="E3736" s="128" t="str">
        <f t="shared" si="1"/>
        <v/>
      </c>
    </row>
    <row r="3737">
      <c r="A3737" s="93" t="str">
        <f t="shared" si="2"/>
        <v>#17586</v>
      </c>
      <c r="B3737" s="93" t="str">
        <f>IF(COUNTIF(MAIN!B:B, A3737)=0, "Missing", "")</f>
        <v/>
      </c>
      <c r="C3737" s="128"/>
      <c r="E3737" s="128" t="str">
        <f t="shared" si="1"/>
        <v/>
      </c>
    </row>
    <row r="3738">
      <c r="A3738" s="93" t="str">
        <f t="shared" si="2"/>
        <v>#17587</v>
      </c>
      <c r="B3738" s="93" t="str">
        <f>IF(COUNTIF(MAIN!B:B, A3738)=0, "Missing", "")</f>
        <v/>
      </c>
      <c r="C3738" s="128"/>
      <c r="E3738" s="128" t="str">
        <f t="shared" si="1"/>
        <v/>
      </c>
    </row>
    <row r="3739">
      <c r="A3739" s="93" t="str">
        <f t="shared" si="2"/>
        <v>#17588</v>
      </c>
      <c r="B3739" s="93" t="str">
        <f>IF(COUNTIF(MAIN!B:B, A3739)=0, "Missing", "")</f>
        <v/>
      </c>
      <c r="C3739" s="128"/>
      <c r="E3739" s="128" t="str">
        <f t="shared" si="1"/>
        <v/>
      </c>
    </row>
    <row r="3740">
      <c r="A3740" s="93" t="str">
        <f t="shared" si="2"/>
        <v>#17589</v>
      </c>
      <c r="B3740" s="93" t="str">
        <f>IF(COUNTIF(MAIN!B:B, A3740)=0, "Missing", "")</f>
        <v/>
      </c>
      <c r="C3740" s="128"/>
      <c r="E3740" s="128" t="str">
        <f t="shared" si="1"/>
        <v/>
      </c>
    </row>
    <row r="3741">
      <c r="A3741" s="93" t="str">
        <f t="shared" si="2"/>
        <v>#17590</v>
      </c>
      <c r="B3741" s="93" t="str">
        <f>IF(COUNTIF(MAIN!B:B, A3741)=0, "Missing", "")</f>
        <v/>
      </c>
      <c r="C3741" s="128"/>
      <c r="E3741" s="128" t="str">
        <f t="shared" si="1"/>
        <v/>
      </c>
    </row>
    <row r="3742">
      <c r="A3742" s="93" t="str">
        <f t="shared" si="2"/>
        <v>#17591</v>
      </c>
      <c r="B3742" s="93" t="str">
        <f>IF(COUNTIF(MAIN!B:B, A3742)=0, "Missing", "")</f>
        <v/>
      </c>
      <c r="C3742" s="128"/>
      <c r="E3742" s="128" t="str">
        <f t="shared" si="1"/>
        <v/>
      </c>
    </row>
    <row r="3743">
      <c r="A3743" s="93" t="str">
        <f t="shared" si="2"/>
        <v>#17592</v>
      </c>
      <c r="B3743" s="93" t="str">
        <f>IF(COUNTIF(MAIN!B:B, A3743)=0, "Missing", "")</f>
        <v/>
      </c>
      <c r="C3743" s="128"/>
      <c r="E3743" s="128" t="str">
        <f t="shared" si="1"/>
        <v/>
      </c>
    </row>
    <row r="3744">
      <c r="A3744" s="93" t="str">
        <f t="shared" si="2"/>
        <v>#17593</v>
      </c>
      <c r="B3744" s="93" t="str">
        <f>IF(COUNTIF(MAIN!B:B, A3744)=0, "Missing", "")</f>
        <v/>
      </c>
      <c r="C3744" s="128"/>
      <c r="E3744" s="128" t="str">
        <f t="shared" si="1"/>
        <v/>
      </c>
    </row>
    <row r="3745">
      <c r="A3745" s="93" t="str">
        <f t="shared" si="2"/>
        <v>#17594</v>
      </c>
      <c r="B3745" s="93" t="str">
        <f>IF(COUNTIF(MAIN!B:B, A3745)=0, "Missing", "")</f>
        <v/>
      </c>
      <c r="C3745" s="128"/>
      <c r="E3745" s="128" t="str">
        <f t="shared" si="1"/>
        <v/>
      </c>
    </row>
    <row r="3746">
      <c r="A3746" s="93" t="str">
        <f t="shared" si="2"/>
        <v>#17595</v>
      </c>
      <c r="B3746" s="93" t="str">
        <f>IF(COUNTIF(MAIN!B:B, A3746)=0, "Missing", "")</f>
        <v/>
      </c>
      <c r="C3746" s="128"/>
      <c r="E3746" s="128" t="str">
        <f t="shared" si="1"/>
        <v/>
      </c>
    </row>
    <row r="3747">
      <c r="A3747" s="93" t="str">
        <f t="shared" si="2"/>
        <v>#17596</v>
      </c>
      <c r="B3747" s="93" t="str">
        <f>IF(COUNTIF(MAIN!B:B, A3747)=0, "Missing", "")</f>
        <v/>
      </c>
      <c r="C3747" s="128"/>
      <c r="E3747" s="128" t="str">
        <f t="shared" si="1"/>
        <v/>
      </c>
    </row>
    <row r="3748">
      <c r="A3748" s="93" t="str">
        <f t="shared" si="2"/>
        <v>#17597</v>
      </c>
      <c r="B3748" s="93" t="str">
        <f>IF(COUNTIF(MAIN!B:B, A3748)=0, "Missing", "")</f>
        <v/>
      </c>
      <c r="C3748" s="128"/>
      <c r="E3748" s="128" t="str">
        <f t="shared" si="1"/>
        <v/>
      </c>
    </row>
    <row r="3749">
      <c r="A3749" s="93" t="str">
        <f t="shared" si="2"/>
        <v>#17598</v>
      </c>
      <c r="B3749" s="93" t="str">
        <f>IF(COUNTIF(MAIN!B:B, A3749)=0, "Missing", "")</f>
        <v/>
      </c>
      <c r="C3749" s="128"/>
      <c r="E3749" s="128" t="str">
        <f t="shared" si="1"/>
        <v/>
      </c>
    </row>
    <row r="3750">
      <c r="A3750" s="93" t="str">
        <f t="shared" si="2"/>
        <v>#17599</v>
      </c>
      <c r="B3750" s="93" t="str">
        <f>IF(COUNTIF(MAIN!B:B, A3750)=0, "Missing", "")</f>
        <v/>
      </c>
      <c r="C3750" s="128"/>
      <c r="E3750" s="128" t="str">
        <f t="shared" si="1"/>
        <v/>
      </c>
    </row>
    <row r="3751">
      <c r="A3751" s="93" t="str">
        <f t="shared" si="2"/>
        <v>#17600</v>
      </c>
      <c r="B3751" s="93" t="str">
        <f>IF(COUNTIF(MAIN!B:B, A3751)=0, "Missing", "")</f>
        <v/>
      </c>
      <c r="C3751" s="128"/>
      <c r="E3751" s="128" t="str">
        <f t="shared" si="1"/>
        <v/>
      </c>
    </row>
    <row r="3752">
      <c r="A3752" s="93" t="str">
        <f t="shared" si="2"/>
        <v>#17601</v>
      </c>
      <c r="B3752" s="93" t="str">
        <f>IF(COUNTIF(MAIN!B:B, A3752)=0, "Missing", "")</f>
        <v/>
      </c>
      <c r="C3752" s="128"/>
      <c r="E3752" s="128" t="str">
        <f t="shared" si="1"/>
        <v/>
      </c>
    </row>
    <row r="3753">
      <c r="A3753" s="93" t="str">
        <f t="shared" si="2"/>
        <v>#17602</v>
      </c>
      <c r="B3753" s="93" t="str">
        <f>IF(COUNTIF(MAIN!B:B, A3753)=0, "Missing", "")</f>
        <v/>
      </c>
      <c r="C3753" s="128"/>
      <c r="E3753" s="128" t="str">
        <f t="shared" si="1"/>
        <v/>
      </c>
    </row>
    <row r="3754">
      <c r="A3754" s="93" t="str">
        <f t="shared" si="2"/>
        <v>#17603</v>
      </c>
      <c r="B3754" s="93" t="str">
        <f>IF(COUNTIF(MAIN!B:B, A3754)=0, "Missing", "")</f>
        <v/>
      </c>
      <c r="C3754" s="128"/>
      <c r="E3754" s="128" t="str">
        <f t="shared" si="1"/>
        <v/>
      </c>
    </row>
    <row r="3755">
      <c r="A3755" s="93" t="str">
        <f t="shared" si="2"/>
        <v>#17604</v>
      </c>
      <c r="B3755" s="93" t="str">
        <f>IF(COUNTIF(MAIN!B:B, A3755)=0, "Missing", "")</f>
        <v/>
      </c>
      <c r="C3755" s="128"/>
      <c r="E3755" s="128" t="str">
        <f t="shared" si="1"/>
        <v/>
      </c>
    </row>
    <row r="3756">
      <c r="A3756" s="93" t="str">
        <f t="shared" si="2"/>
        <v>#17605</v>
      </c>
      <c r="B3756" s="93" t="str">
        <f>IF(COUNTIF(MAIN!B:B, A3756)=0, "Missing", "")</f>
        <v/>
      </c>
      <c r="C3756" s="128"/>
      <c r="E3756" s="128" t="str">
        <f t="shared" si="1"/>
        <v/>
      </c>
    </row>
    <row r="3757">
      <c r="A3757" s="93" t="str">
        <f t="shared" si="2"/>
        <v>#17606</v>
      </c>
      <c r="B3757" s="93" t="str">
        <f>IF(COUNTIF(MAIN!B:B, A3757)=0, "Missing", "")</f>
        <v/>
      </c>
      <c r="C3757" s="128"/>
      <c r="E3757" s="128" t="str">
        <f t="shared" si="1"/>
        <v/>
      </c>
    </row>
    <row r="3758">
      <c r="A3758" s="93" t="str">
        <f t="shared" si="2"/>
        <v>#17607</v>
      </c>
      <c r="B3758" s="93" t="str">
        <f>IF(COUNTIF(MAIN!B:B, A3758)=0, "Missing", "")</f>
        <v/>
      </c>
      <c r="C3758" s="128"/>
      <c r="E3758" s="128" t="str">
        <f t="shared" si="1"/>
        <v/>
      </c>
    </row>
    <row r="3759">
      <c r="A3759" s="93" t="str">
        <f t="shared" si="2"/>
        <v>#17608</v>
      </c>
      <c r="B3759" s="93" t="str">
        <f>IF(COUNTIF(MAIN!B:B, A3759)=0, "Missing", "")</f>
        <v/>
      </c>
      <c r="C3759" s="128"/>
      <c r="E3759" s="128" t="str">
        <f t="shared" si="1"/>
        <v/>
      </c>
    </row>
    <row r="3760">
      <c r="A3760" s="93" t="str">
        <f t="shared" si="2"/>
        <v>#17609</v>
      </c>
      <c r="B3760" s="93" t="str">
        <f>IF(COUNTIF(MAIN!B:B, A3760)=0, "Missing", "")</f>
        <v>Missing</v>
      </c>
      <c r="C3760" s="128"/>
      <c r="E3760" s="131" t="str">
        <f t="shared" si="1"/>
        <v>https://utrucking.myshopify.com/admin/orders?query=17609</v>
      </c>
    </row>
    <row r="3761">
      <c r="A3761" s="93" t="str">
        <f t="shared" si="2"/>
        <v>#17610</v>
      </c>
      <c r="B3761" s="93" t="str">
        <f>IF(COUNTIF(MAIN!B:B, A3761)=0, "Missing", "")</f>
        <v/>
      </c>
      <c r="C3761" s="128"/>
      <c r="E3761" s="128" t="str">
        <f t="shared" si="1"/>
        <v/>
      </c>
    </row>
    <row r="3762">
      <c r="A3762" s="93" t="str">
        <f t="shared" si="2"/>
        <v>#17611</v>
      </c>
      <c r="B3762" s="93" t="str">
        <f>IF(COUNTIF(MAIN!B:B, A3762)=0, "Missing", "")</f>
        <v/>
      </c>
      <c r="C3762" s="128"/>
      <c r="E3762" s="128" t="str">
        <f t="shared" si="1"/>
        <v/>
      </c>
    </row>
    <row r="3763">
      <c r="A3763" s="93" t="str">
        <f t="shared" si="2"/>
        <v>#17612</v>
      </c>
      <c r="B3763" s="93" t="str">
        <f>IF(COUNTIF(MAIN!B:B, A3763)=0, "Missing", "")</f>
        <v/>
      </c>
      <c r="C3763" s="128"/>
      <c r="E3763" s="128" t="str">
        <f t="shared" si="1"/>
        <v/>
      </c>
    </row>
    <row r="3764">
      <c r="A3764" s="93" t="str">
        <f t="shared" si="2"/>
        <v>#17613</v>
      </c>
      <c r="B3764" s="93" t="str">
        <f>IF(COUNTIF(MAIN!B:B, A3764)=0, "Missing", "")</f>
        <v/>
      </c>
      <c r="C3764" s="128"/>
      <c r="E3764" s="128" t="str">
        <f t="shared" si="1"/>
        <v/>
      </c>
    </row>
    <row r="3765">
      <c r="A3765" s="93" t="str">
        <f t="shared" si="2"/>
        <v>#17614</v>
      </c>
      <c r="B3765" s="93" t="str">
        <f>IF(COUNTIF(MAIN!B:B, A3765)=0, "Missing", "")</f>
        <v/>
      </c>
      <c r="C3765" s="128"/>
      <c r="E3765" s="128" t="str">
        <f t="shared" si="1"/>
        <v/>
      </c>
    </row>
    <row r="3766">
      <c r="A3766" s="93" t="str">
        <f t="shared" si="2"/>
        <v>#17615</v>
      </c>
      <c r="B3766" s="93" t="str">
        <f>IF(COUNTIF(MAIN!B:B, A3766)=0, "Missing", "")</f>
        <v/>
      </c>
      <c r="C3766" s="128"/>
      <c r="E3766" s="128" t="str">
        <f t="shared" si="1"/>
        <v/>
      </c>
    </row>
    <row r="3767">
      <c r="A3767" s="93" t="str">
        <f t="shared" si="2"/>
        <v>#17616</v>
      </c>
      <c r="B3767" s="93" t="str">
        <f>IF(COUNTIF(MAIN!B:B, A3767)=0, "Missing", "")</f>
        <v/>
      </c>
      <c r="C3767" s="128"/>
      <c r="E3767" s="128" t="str">
        <f t="shared" si="1"/>
        <v/>
      </c>
    </row>
    <row r="3768">
      <c r="A3768" s="93" t="str">
        <f t="shared" si="2"/>
        <v>#17617</v>
      </c>
      <c r="B3768" s="93" t="str">
        <f>IF(COUNTIF(MAIN!B:B, A3768)=0, "Missing", "")</f>
        <v/>
      </c>
      <c r="C3768" s="128"/>
      <c r="E3768" s="128" t="str">
        <f t="shared" si="1"/>
        <v/>
      </c>
    </row>
    <row r="3769">
      <c r="A3769" s="93" t="str">
        <f t="shared" si="2"/>
        <v>#17618</v>
      </c>
      <c r="B3769" s="93" t="str">
        <f>IF(COUNTIF(MAIN!B:B, A3769)=0, "Missing", "")</f>
        <v/>
      </c>
      <c r="C3769" s="128"/>
      <c r="E3769" s="128" t="str">
        <f t="shared" si="1"/>
        <v/>
      </c>
    </row>
    <row r="3770">
      <c r="A3770" s="93" t="str">
        <f t="shared" si="2"/>
        <v>#17619</v>
      </c>
      <c r="B3770" s="93" t="str">
        <f>IF(COUNTIF(MAIN!B:B, A3770)=0, "Missing", "")</f>
        <v/>
      </c>
      <c r="C3770" s="128"/>
      <c r="E3770" s="128" t="str">
        <f t="shared" si="1"/>
        <v/>
      </c>
    </row>
    <row r="3771">
      <c r="A3771" s="93" t="str">
        <f t="shared" si="2"/>
        <v>#17620</v>
      </c>
      <c r="B3771" s="93" t="str">
        <f>IF(COUNTIF(MAIN!B:B, A3771)=0, "Missing", "")</f>
        <v/>
      </c>
      <c r="C3771" s="128"/>
      <c r="E3771" s="128" t="str">
        <f t="shared" si="1"/>
        <v/>
      </c>
    </row>
    <row r="3772">
      <c r="A3772" s="93" t="str">
        <f t="shared" si="2"/>
        <v>#17621</v>
      </c>
      <c r="B3772" s="93" t="str">
        <f>IF(COUNTIF(MAIN!B:B, A3772)=0, "Missing", "")</f>
        <v/>
      </c>
      <c r="C3772" s="128"/>
      <c r="E3772" s="128" t="str">
        <f t="shared" si="1"/>
        <v/>
      </c>
    </row>
    <row r="3773">
      <c r="A3773" s="93" t="str">
        <f t="shared" si="2"/>
        <v>#17622</v>
      </c>
      <c r="B3773" s="93" t="str">
        <f>IF(COUNTIF(MAIN!B:B, A3773)=0, "Missing", "")</f>
        <v/>
      </c>
      <c r="C3773" s="128"/>
      <c r="E3773" s="128" t="str">
        <f t="shared" si="1"/>
        <v/>
      </c>
    </row>
    <row r="3774">
      <c r="A3774" s="93" t="str">
        <f t="shared" si="2"/>
        <v>#17623</v>
      </c>
      <c r="B3774" s="93" t="str">
        <f>IF(COUNTIF(MAIN!B:B, A3774)=0, "Missing", "")</f>
        <v/>
      </c>
      <c r="C3774" s="128"/>
      <c r="E3774" s="128" t="str">
        <f t="shared" si="1"/>
        <v/>
      </c>
    </row>
    <row r="3775">
      <c r="A3775" s="93" t="str">
        <f t="shared" si="2"/>
        <v>#17624</v>
      </c>
      <c r="B3775" s="93" t="str">
        <f>IF(COUNTIF(MAIN!B:B, A3775)=0, "Missing", "")</f>
        <v/>
      </c>
      <c r="C3775" s="128"/>
      <c r="E3775" s="128" t="str">
        <f t="shared" si="1"/>
        <v/>
      </c>
    </row>
    <row r="3776">
      <c r="A3776" s="93" t="str">
        <f t="shared" si="2"/>
        <v>#17625</v>
      </c>
      <c r="B3776" s="93" t="str">
        <f>IF(COUNTIF(MAIN!B:B, A3776)=0, "Missing", "")</f>
        <v/>
      </c>
      <c r="C3776" s="128"/>
      <c r="E3776" s="128" t="str">
        <f t="shared" si="1"/>
        <v/>
      </c>
    </row>
    <row r="3777">
      <c r="A3777" s="93" t="str">
        <f t="shared" si="2"/>
        <v>#17626</v>
      </c>
      <c r="B3777" s="93" t="str">
        <f>IF(COUNTIF(MAIN!B:B, A3777)=0, "Missing", "")</f>
        <v/>
      </c>
      <c r="C3777" s="128"/>
      <c r="E3777" s="128" t="str">
        <f t="shared" si="1"/>
        <v/>
      </c>
    </row>
    <row r="3778">
      <c r="A3778" s="93" t="str">
        <f t="shared" si="2"/>
        <v>#17627</v>
      </c>
      <c r="B3778" s="93" t="str">
        <f>IF(COUNTIF(MAIN!B:B, A3778)=0, "Missing", "")</f>
        <v/>
      </c>
      <c r="C3778" s="128"/>
      <c r="E3778" s="128" t="str">
        <f t="shared" si="1"/>
        <v/>
      </c>
    </row>
    <row r="3779">
      <c r="A3779" s="93" t="str">
        <f t="shared" si="2"/>
        <v>#17628</v>
      </c>
      <c r="B3779" s="93" t="str">
        <f>IF(COUNTIF(MAIN!B:B, A3779)=0, "Missing", "")</f>
        <v/>
      </c>
      <c r="C3779" s="128"/>
      <c r="E3779" s="128" t="str">
        <f t="shared" si="1"/>
        <v/>
      </c>
    </row>
    <row r="3780">
      <c r="A3780" s="93" t="str">
        <f t="shared" si="2"/>
        <v>#17629</v>
      </c>
      <c r="B3780" s="93" t="str">
        <f>IF(COUNTIF(MAIN!B:B, A3780)=0, "Missing", "")</f>
        <v/>
      </c>
      <c r="C3780" s="128"/>
      <c r="E3780" s="128" t="str">
        <f t="shared" si="1"/>
        <v/>
      </c>
    </row>
    <row r="3781">
      <c r="A3781" s="93" t="str">
        <f t="shared" si="2"/>
        <v>#17630</v>
      </c>
      <c r="B3781" s="93" t="str">
        <f>IF(COUNTIF(MAIN!B:B, A3781)=0, "Missing", "")</f>
        <v/>
      </c>
      <c r="C3781" s="128"/>
      <c r="E3781" s="128" t="str">
        <f t="shared" si="1"/>
        <v/>
      </c>
    </row>
    <row r="3782">
      <c r="A3782" s="93" t="str">
        <f t="shared" si="2"/>
        <v>#17631</v>
      </c>
      <c r="B3782" s="93" t="str">
        <f>IF(COUNTIF(MAIN!B:B, A3782)=0, "Missing", "")</f>
        <v/>
      </c>
      <c r="C3782" s="128"/>
      <c r="E3782" s="128" t="str">
        <f t="shared" si="1"/>
        <v/>
      </c>
    </row>
    <row r="3783">
      <c r="A3783" s="93" t="str">
        <f t="shared" si="2"/>
        <v>#17632</v>
      </c>
      <c r="B3783" s="93" t="str">
        <f>IF(COUNTIF(MAIN!B:B, A3783)=0, "Missing", "")</f>
        <v/>
      </c>
      <c r="C3783" s="128"/>
      <c r="E3783" s="128" t="str">
        <f t="shared" si="1"/>
        <v/>
      </c>
    </row>
    <row r="3784">
      <c r="A3784" s="93" t="str">
        <f t="shared" si="2"/>
        <v>#17633</v>
      </c>
      <c r="B3784" s="93" t="str">
        <f>IF(COUNTIF(MAIN!B:B, A3784)=0, "Missing", "")</f>
        <v/>
      </c>
      <c r="C3784" s="128"/>
      <c r="E3784" s="128" t="str">
        <f t="shared" si="1"/>
        <v/>
      </c>
    </row>
    <row r="3785">
      <c r="A3785" s="93" t="str">
        <f t="shared" si="2"/>
        <v>#17634</v>
      </c>
      <c r="B3785" s="93" t="str">
        <f>IF(COUNTIF(MAIN!B:B, A3785)=0, "Missing", "")</f>
        <v/>
      </c>
      <c r="C3785" s="128"/>
      <c r="E3785" s="128" t="str">
        <f t="shared" si="1"/>
        <v/>
      </c>
    </row>
    <row r="3786">
      <c r="A3786" s="93" t="str">
        <f t="shared" si="2"/>
        <v>#17635</v>
      </c>
      <c r="B3786" s="93" t="str">
        <f>IF(COUNTIF(MAIN!B:B, A3786)=0, "Missing", "")</f>
        <v/>
      </c>
      <c r="C3786" s="128"/>
      <c r="E3786" s="128" t="str">
        <f t="shared" si="1"/>
        <v/>
      </c>
    </row>
    <row r="3787">
      <c r="A3787" s="93" t="str">
        <f t="shared" si="2"/>
        <v>#17636</v>
      </c>
      <c r="B3787" s="93" t="str">
        <f>IF(COUNTIF(MAIN!B:B, A3787)=0, "Missing", "")</f>
        <v>Missing</v>
      </c>
      <c r="C3787" s="128"/>
      <c r="E3787" s="131" t="str">
        <f t="shared" si="1"/>
        <v>https://utrucking.myshopify.com/admin/orders?query=17636</v>
      </c>
    </row>
    <row r="3788">
      <c r="A3788" s="93" t="str">
        <f t="shared" si="2"/>
        <v>#17637</v>
      </c>
      <c r="B3788" s="93" t="str">
        <f>IF(COUNTIF(MAIN!B:B, A3788)=0, "Missing", "")</f>
        <v/>
      </c>
      <c r="C3788" s="128"/>
      <c r="E3788" s="128" t="str">
        <f t="shared" si="1"/>
        <v/>
      </c>
    </row>
    <row r="3789">
      <c r="A3789" s="93" t="str">
        <f t="shared" si="2"/>
        <v>#17638</v>
      </c>
      <c r="B3789" s="93" t="str">
        <f>IF(COUNTIF(MAIN!B:B, A3789)=0, "Missing", "")</f>
        <v/>
      </c>
      <c r="C3789" s="128"/>
      <c r="E3789" s="128" t="str">
        <f t="shared" si="1"/>
        <v/>
      </c>
    </row>
    <row r="3790">
      <c r="A3790" s="93" t="str">
        <f t="shared" si="2"/>
        <v>#17639</v>
      </c>
      <c r="B3790" s="93" t="str">
        <f>IF(COUNTIF(MAIN!B:B, A3790)=0, "Missing", "")</f>
        <v/>
      </c>
      <c r="C3790" s="128"/>
      <c r="E3790" s="128" t="str">
        <f t="shared" si="1"/>
        <v/>
      </c>
    </row>
    <row r="3791">
      <c r="A3791" s="93" t="str">
        <f t="shared" si="2"/>
        <v>#17640</v>
      </c>
      <c r="B3791" s="93" t="str">
        <f>IF(COUNTIF(MAIN!B:B, A3791)=0, "Missing", "")</f>
        <v/>
      </c>
      <c r="C3791" s="128"/>
      <c r="E3791" s="128" t="str">
        <f t="shared" si="1"/>
        <v/>
      </c>
    </row>
    <row r="3792">
      <c r="A3792" s="93" t="str">
        <f t="shared" si="2"/>
        <v>#17641</v>
      </c>
      <c r="B3792" s="93" t="str">
        <f>IF(COUNTIF(MAIN!B:B, A3792)=0, "Missing", "")</f>
        <v/>
      </c>
      <c r="C3792" s="128"/>
      <c r="E3792" s="128" t="str">
        <f t="shared" si="1"/>
        <v/>
      </c>
    </row>
    <row r="3793">
      <c r="A3793" s="93" t="str">
        <f t="shared" si="2"/>
        <v>#17642</v>
      </c>
      <c r="B3793" s="93" t="str">
        <f>IF(COUNTIF(MAIN!B:B, A3793)=0, "Missing", "")</f>
        <v/>
      </c>
      <c r="C3793" s="128"/>
      <c r="E3793" s="128" t="str">
        <f t="shared" si="1"/>
        <v/>
      </c>
    </row>
    <row r="3794">
      <c r="A3794" s="93" t="str">
        <f t="shared" si="2"/>
        <v>#17643</v>
      </c>
      <c r="B3794" s="93" t="str">
        <f>IF(COUNTIF(MAIN!B:B, A3794)=0, "Missing", "")</f>
        <v/>
      </c>
      <c r="C3794" s="128"/>
      <c r="E3794" s="128" t="str">
        <f t="shared" si="1"/>
        <v/>
      </c>
    </row>
    <row r="3795">
      <c r="A3795" s="93" t="str">
        <f t="shared" si="2"/>
        <v>#17644</v>
      </c>
      <c r="B3795" s="93" t="str">
        <f>IF(COUNTIF(MAIN!B:B, A3795)=0, "Missing", "")</f>
        <v/>
      </c>
      <c r="C3795" s="128"/>
      <c r="E3795" s="128" t="str">
        <f t="shared" si="1"/>
        <v/>
      </c>
    </row>
    <row r="3796">
      <c r="A3796" s="93" t="str">
        <f t="shared" si="2"/>
        <v>#17645</v>
      </c>
      <c r="B3796" s="93" t="str">
        <f>IF(COUNTIF(MAIN!B:B, A3796)=0, "Missing", "")</f>
        <v/>
      </c>
      <c r="C3796" s="128"/>
      <c r="E3796" s="128" t="str">
        <f t="shared" si="1"/>
        <v/>
      </c>
    </row>
    <row r="3797">
      <c r="A3797" s="93" t="str">
        <f t="shared" si="2"/>
        <v>#17646</v>
      </c>
      <c r="B3797" s="93" t="str">
        <f>IF(COUNTIF(MAIN!B:B, A3797)=0, "Missing", "")</f>
        <v/>
      </c>
      <c r="C3797" s="128"/>
      <c r="E3797" s="128" t="str">
        <f t="shared" si="1"/>
        <v/>
      </c>
    </row>
    <row r="3798">
      <c r="A3798" s="93" t="str">
        <f t="shared" si="2"/>
        <v>#17647</v>
      </c>
      <c r="B3798" s="93" t="str">
        <f>IF(COUNTIF(MAIN!B:B, A3798)=0, "Missing", "")</f>
        <v/>
      </c>
      <c r="C3798" s="128"/>
      <c r="E3798" s="128" t="str">
        <f t="shared" si="1"/>
        <v/>
      </c>
    </row>
    <row r="3799">
      <c r="A3799" s="93" t="str">
        <f t="shared" si="2"/>
        <v>#17648</v>
      </c>
      <c r="B3799" s="93" t="str">
        <f>IF(COUNTIF(MAIN!B:B, A3799)=0, "Missing", "")</f>
        <v/>
      </c>
      <c r="C3799" s="128"/>
      <c r="E3799" s="128" t="str">
        <f t="shared" si="1"/>
        <v/>
      </c>
    </row>
    <row r="3800">
      <c r="A3800" s="93" t="str">
        <f t="shared" si="2"/>
        <v>#17649</v>
      </c>
      <c r="B3800" s="93" t="str">
        <f>IF(COUNTIF(MAIN!B:B, A3800)=0, "Missing", "")</f>
        <v/>
      </c>
      <c r="C3800" s="128"/>
      <c r="E3800" s="128" t="str">
        <f t="shared" si="1"/>
        <v/>
      </c>
    </row>
    <row r="3801">
      <c r="A3801" s="93" t="str">
        <f t="shared" si="2"/>
        <v>#17650</v>
      </c>
      <c r="B3801" s="93" t="str">
        <f>IF(COUNTIF(MAIN!B:B, A3801)=0, "Missing", "")</f>
        <v/>
      </c>
      <c r="C3801" s="128"/>
      <c r="E3801" s="128" t="str">
        <f t="shared" si="1"/>
        <v/>
      </c>
    </row>
    <row r="3802">
      <c r="A3802" s="93" t="str">
        <f t="shared" si="2"/>
        <v>#17651</v>
      </c>
      <c r="B3802" s="93" t="str">
        <f>IF(COUNTIF(MAIN!B:B, A3802)=0, "Missing", "")</f>
        <v/>
      </c>
      <c r="C3802" s="128"/>
      <c r="E3802" s="128" t="str">
        <f t="shared" si="1"/>
        <v/>
      </c>
    </row>
    <row r="3803">
      <c r="A3803" s="93" t="str">
        <f t="shared" si="2"/>
        <v>#17652</v>
      </c>
      <c r="B3803" s="93" t="str">
        <f>IF(COUNTIF(MAIN!B:B, A3803)=0, "Missing", "")</f>
        <v/>
      </c>
      <c r="C3803" s="128"/>
      <c r="E3803" s="128" t="str">
        <f t="shared" si="1"/>
        <v/>
      </c>
    </row>
    <row r="3804">
      <c r="A3804" s="93" t="str">
        <f t="shared" si="2"/>
        <v>#17653</v>
      </c>
      <c r="B3804" s="93" t="str">
        <f>IF(COUNTIF(MAIN!B:B, A3804)=0, "Missing", "")</f>
        <v/>
      </c>
      <c r="C3804" s="128"/>
      <c r="E3804" s="128" t="str">
        <f t="shared" si="1"/>
        <v/>
      </c>
    </row>
    <row r="3805">
      <c r="A3805" s="93" t="str">
        <f t="shared" si="2"/>
        <v>#17654</v>
      </c>
      <c r="B3805" s="93" t="str">
        <f>IF(COUNTIF(MAIN!B:B, A3805)=0, "Missing", "")</f>
        <v/>
      </c>
      <c r="C3805" s="128"/>
      <c r="E3805" s="128" t="str">
        <f t="shared" si="1"/>
        <v/>
      </c>
    </row>
    <row r="3806">
      <c r="A3806" s="93" t="str">
        <f t="shared" si="2"/>
        <v>#17655</v>
      </c>
      <c r="B3806" s="93" t="str">
        <f>IF(COUNTIF(MAIN!B:B, A3806)=0, "Missing", "")</f>
        <v/>
      </c>
      <c r="C3806" s="128"/>
      <c r="E3806" s="128" t="str">
        <f t="shared" si="1"/>
        <v/>
      </c>
    </row>
    <row r="3807">
      <c r="A3807" s="93" t="str">
        <f t="shared" si="2"/>
        <v>#17656</v>
      </c>
      <c r="B3807" s="93" t="str">
        <f>IF(COUNTIF(MAIN!B:B, A3807)=0, "Missing", "")</f>
        <v/>
      </c>
      <c r="C3807" s="128"/>
      <c r="E3807" s="128" t="str">
        <f t="shared" si="1"/>
        <v/>
      </c>
    </row>
    <row r="3808">
      <c r="A3808" s="93" t="str">
        <f t="shared" si="2"/>
        <v>#17657</v>
      </c>
      <c r="B3808" s="93" t="str">
        <f>IF(COUNTIF(MAIN!B:B, A3808)=0, "Missing", "")</f>
        <v/>
      </c>
      <c r="C3808" s="128"/>
      <c r="E3808" s="128" t="str">
        <f t="shared" si="1"/>
        <v/>
      </c>
    </row>
    <row r="3809">
      <c r="A3809" s="93" t="str">
        <f t="shared" si="2"/>
        <v>#17658</v>
      </c>
      <c r="B3809" s="93" t="str">
        <f>IF(COUNTIF(MAIN!B:B, A3809)=0, "Missing", "")</f>
        <v/>
      </c>
      <c r="C3809" s="128"/>
      <c r="E3809" s="128" t="str">
        <f t="shared" si="1"/>
        <v/>
      </c>
    </row>
    <row r="3810">
      <c r="A3810" s="93" t="str">
        <f t="shared" si="2"/>
        <v>#17659</v>
      </c>
      <c r="B3810" s="93" t="str">
        <f>IF(COUNTIF(MAIN!B:B, A3810)=0, "Missing", "")</f>
        <v>Missing</v>
      </c>
      <c r="C3810" s="128"/>
      <c r="E3810" s="131" t="str">
        <f t="shared" si="1"/>
        <v>https://utrucking.myshopify.com/admin/orders?query=17659</v>
      </c>
    </row>
    <row r="3811">
      <c r="A3811" s="93" t="str">
        <f t="shared" si="2"/>
        <v>#17660</v>
      </c>
      <c r="B3811" s="93" t="str">
        <f>IF(COUNTIF(MAIN!B:B, A3811)=0, "Missing", "")</f>
        <v/>
      </c>
      <c r="C3811" s="128"/>
      <c r="E3811" s="128" t="str">
        <f t="shared" si="1"/>
        <v/>
      </c>
    </row>
    <row r="3812">
      <c r="A3812" s="93" t="str">
        <f t="shared" si="2"/>
        <v>#17661</v>
      </c>
      <c r="B3812" s="93" t="str">
        <f>IF(COUNTIF(MAIN!B:B, A3812)=0, "Missing", "")</f>
        <v/>
      </c>
      <c r="C3812" s="128"/>
      <c r="E3812" s="128" t="str">
        <f t="shared" si="1"/>
        <v/>
      </c>
    </row>
    <row r="3813">
      <c r="A3813" s="93" t="str">
        <f t="shared" si="2"/>
        <v>#17662</v>
      </c>
      <c r="B3813" s="93" t="str">
        <f>IF(COUNTIF(MAIN!B:B, A3813)=0, "Missing", "")</f>
        <v/>
      </c>
      <c r="C3813" s="128"/>
      <c r="E3813" s="128" t="str">
        <f t="shared" si="1"/>
        <v/>
      </c>
    </row>
    <row r="3814">
      <c r="A3814" s="93" t="str">
        <f t="shared" si="2"/>
        <v>#17663</v>
      </c>
      <c r="B3814" s="93" t="str">
        <f>IF(COUNTIF(MAIN!B:B, A3814)=0, "Missing", "")</f>
        <v/>
      </c>
      <c r="C3814" s="128"/>
      <c r="E3814" s="128" t="str">
        <f t="shared" si="1"/>
        <v/>
      </c>
    </row>
    <row r="3815">
      <c r="A3815" s="93" t="str">
        <f t="shared" si="2"/>
        <v>#17664</v>
      </c>
      <c r="B3815" s="93" t="str">
        <f>IF(COUNTIF(MAIN!B:B, A3815)=0, "Missing", "")</f>
        <v/>
      </c>
      <c r="C3815" s="128"/>
      <c r="E3815" s="128" t="str">
        <f t="shared" si="1"/>
        <v/>
      </c>
    </row>
    <row r="3816">
      <c r="A3816" s="93" t="str">
        <f t="shared" si="2"/>
        <v>#17665</v>
      </c>
      <c r="B3816" s="93" t="str">
        <f>IF(COUNTIF(MAIN!B:B, A3816)=0, "Missing", "")</f>
        <v/>
      </c>
      <c r="C3816" s="128"/>
      <c r="E3816" s="128" t="str">
        <f t="shared" si="1"/>
        <v/>
      </c>
    </row>
    <row r="3817">
      <c r="A3817" s="93" t="str">
        <f t="shared" si="2"/>
        <v>#17666</v>
      </c>
      <c r="B3817" s="93" t="str">
        <f>IF(COUNTIF(MAIN!B:B, A3817)=0, "Missing", "")</f>
        <v/>
      </c>
      <c r="C3817" s="128"/>
      <c r="E3817" s="128" t="str">
        <f t="shared" si="1"/>
        <v/>
      </c>
    </row>
    <row r="3818">
      <c r="A3818" s="93" t="str">
        <f t="shared" si="2"/>
        <v>#17667</v>
      </c>
      <c r="B3818" s="93" t="str">
        <f>IF(COUNTIF(MAIN!B:B, A3818)=0, "Missing", "")</f>
        <v>Missing</v>
      </c>
      <c r="C3818" s="128"/>
      <c r="E3818" s="131" t="str">
        <f t="shared" si="1"/>
        <v>https://utrucking.myshopify.com/admin/orders?query=17667</v>
      </c>
    </row>
    <row r="3819">
      <c r="A3819" s="93" t="str">
        <f t="shared" si="2"/>
        <v>#17668</v>
      </c>
      <c r="B3819" s="93" t="str">
        <f>IF(COUNTIF(MAIN!B:B, A3819)=0, "Missing", "")</f>
        <v/>
      </c>
      <c r="C3819" s="128"/>
      <c r="E3819" s="128" t="str">
        <f t="shared" si="1"/>
        <v/>
      </c>
    </row>
    <row r="3820">
      <c r="A3820" s="93" t="str">
        <f t="shared" si="2"/>
        <v>#17669</v>
      </c>
      <c r="B3820" s="93" t="str">
        <f>IF(COUNTIF(MAIN!B:B, A3820)=0, "Missing", "")</f>
        <v/>
      </c>
      <c r="C3820" s="128"/>
      <c r="E3820" s="128" t="str">
        <f t="shared" si="1"/>
        <v/>
      </c>
    </row>
    <row r="3821">
      <c r="A3821" s="93" t="str">
        <f t="shared" si="2"/>
        <v>#17670</v>
      </c>
      <c r="B3821" s="93" t="str">
        <f>IF(COUNTIF(MAIN!B:B, A3821)=0, "Missing", "")</f>
        <v/>
      </c>
      <c r="C3821" s="128"/>
      <c r="E3821" s="128" t="str">
        <f t="shared" si="1"/>
        <v/>
      </c>
    </row>
    <row r="3822">
      <c r="A3822" s="93" t="str">
        <f t="shared" si="2"/>
        <v>#17671</v>
      </c>
      <c r="B3822" s="93" t="str">
        <f>IF(COUNTIF(MAIN!B:B, A3822)=0, "Missing", "")</f>
        <v/>
      </c>
      <c r="C3822" s="128"/>
      <c r="E3822" s="128" t="str">
        <f t="shared" si="1"/>
        <v/>
      </c>
    </row>
    <row r="3823">
      <c r="A3823" s="93" t="str">
        <f t="shared" si="2"/>
        <v>#17672</v>
      </c>
      <c r="B3823" s="93" t="str">
        <f>IF(COUNTIF(MAIN!B:B, A3823)=0, "Missing", "")</f>
        <v/>
      </c>
      <c r="C3823" s="128"/>
      <c r="E3823" s="128" t="str">
        <f t="shared" si="1"/>
        <v/>
      </c>
    </row>
    <row r="3824">
      <c r="A3824" s="93" t="str">
        <f t="shared" si="2"/>
        <v>#17673</v>
      </c>
      <c r="B3824" s="93" t="str">
        <f>IF(COUNTIF(MAIN!B:B, A3824)=0, "Missing", "")</f>
        <v/>
      </c>
      <c r="C3824" s="128"/>
      <c r="E3824" s="128" t="str">
        <f t="shared" si="1"/>
        <v/>
      </c>
    </row>
    <row r="3825">
      <c r="A3825" s="93" t="str">
        <f t="shared" si="2"/>
        <v>#17674</v>
      </c>
      <c r="B3825" s="93" t="str">
        <f>IF(COUNTIF(MAIN!B:B, A3825)=0, "Missing", "")</f>
        <v/>
      </c>
      <c r="C3825" s="128"/>
      <c r="E3825" s="128" t="str">
        <f t="shared" si="1"/>
        <v/>
      </c>
    </row>
    <row r="3826">
      <c r="A3826" s="93" t="str">
        <f t="shared" si="2"/>
        <v>#17675</v>
      </c>
      <c r="B3826" s="93" t="str">
        <f>IF(COUNTIF(MAIN!B:B, A3826)=0, "Missing", "")</f>
        <v/>
      </c>
      <c r="C3826" s="128"/>
      <c r="E3826" s="128" t="str">
        <f t="shared" si="1"/>
        <v/>
      </c>
    </row>
    <row r="3827">
      <c r="A3827" s="93" t="str">
        <f t="shared" si="2"/>
        <v>#17676</v>
      </c>
      <c r="B3827" s="93" t="str">
        <f>IF(COUNTIF(MAIN!B:B, A3827)=0, "Missing", "")</f>
        <v/>
      </c>
      <c r="C3827" s="128"/>
      <c r="E3827" s="128" t="str">
        <f t="shared" si="1"/>
        <v/>
      </c>
    </row>
    <row r="3828">
      <c r="A3828" s="93" t="str">
        <f t="shared" si="2"/>
        <v>#17677</v>
      </c>
      <c r="B3828" s="93" t="str">
        <f>IF(COUNTIF(MAIN!B:B, A3828)=0, "Missing", "")</f>
        <v/>
      </c>
      <c r="C3828" s="128"/>
      <c r="E3828" s="128" t="str">
        <f t="shared" si="1"/>
        <v/>
      </c>
    </row>
    <row r="3829">
      <c r="A3829" s="93" t="str">
        <f t="shared" si="2"/>
        <v>#17678</v>
      </c>
      <c r="B3829" s="93" t="str">
        <f>IF(COUNTIF(MAIN!B:B, A3829)=0, "Missing", "")</f>
        <v/>
      </c>
      <c r="C3829" s="128"/>
      <c r="E3829" s="128" t="str">
        <f t="shared" si="1"/>
        <v/>
      </c>
    </row>
    <row r="3830">
      <c r="A3830" s="93" t="str">
        <f t="shared" si="2"/>
        <v>#17679</v>
      </c>
      <c r="B3830" s="93" t="str">
        <f>IF(COUNTIF(MAIN!B:B, A3830)=0, "Missing", "")</f>
        <v/>
      </c>
      <c r="C3830" s="128"/>
      <c r="E3830" s="128" t="str">
        <f t="shared" si="1"/>
        <v/>
      </c>
    </row>
    <row r="3831">
      <c r="A3831" s="93" t="str">
        <f t="shared" si="2"/>
        <v>#17680</v>
      </c>
      <c r="B3831" s="93" t="str">
        <f>IF(COUNTIF(MAIN!B:B, A3831)=0, "Missing", "")</f>
        <v/>
      </c>
      <c r="C3831" s="128"/>
      <c r="E3831" s="128" t="str">
        <f t="shared" si="1"/>
        <v/>
      </c>
    </row>
    <row r="3832">
      <c r="A3832" s="93" t="str">
        <f t="shared" si="2"/>
        <v>#17681</v>
      </c>
      <c r="B3832" s="93" t="str">
        <f>IF(COUNTIF(MAIN!B:B, A3832)=0, "Missing", "")</f>
        <v/>
      </c>
      <c r="C3832" s="128"/>
      <c r="E3832" s="128" t="str">
        <f t="shared" si="1"/>
        <v/>
      </c>
    </row>
    <row r="3833">
      <c r="A3833" s="93" t="str">
        <f t="shared" si="2"/>
        <v>#17682</v>
      </c>
      <c r="B3833" s="93" t="str">
        <f>IF(COUNTIF(MAIN!B:B, A3833)=0, "Missing", "")</f>
        <v/>
      </c>
      <c r="C3833" s="128"/>
      <c r="E3833" s="128" t="str">
        <f t="shared" si="1"/>
        <v/>
      </c>
    </row>
    <row r="3834">
      <c r="A3834" s="93" t="str">
        <f t="shared" si="2"/>
        <v>#17683</v>
      </c>
      <c r="B3834" s="93" t="str">
        <f>IF(COUNTIF(MAIN!B:B, A3834)=0, "Missing", "")</f>
        <v/>
      </c>
      <c r="C3834" s="128"/>
      <c r="E3834" s="128" t="str">
        <f t="shared" si="1"/>
        <v/>
      </c>
    </row>
    <row r="3835">
      <c r="A3835" s="93" t="str">
        <f t="shared" si="2"/>
        <v>#17684</v>
      </c>
      <c r="B3835" s="93" t="str">
        <f>IF(COUNTIF(MAIN!B:B, A3835)=0, "Missing", "")</f>
        <v/>
      </c>
      <c r="C3835" s="128"/>
      <c r="E3835" s="128" t="str">
        <f t="shared" si="1"/>
        <v/>
      </c>
    </row>
    <row r="3836">
      <c r="A3836" s="93" t="str">
        <f t="shared" si="2"/>
        <v>#17685</v>
      </c>
      <c r="B3836" s="93" t="str">
        <f>IF(COUNTIF(MAIN!B:B, A3836)=0, "Missing", "")</f>
        <v/>
      </c>
      <c r="C3836" s="128"/>
      <c r="E3836" s="128" t="str">
        <f t="shared" si="1"/>
        <v/>
      </c>
    </row>
    <row r="3837">
      <c r="A3837" s="93" t="str">
        <f t="shared" si="2"/>
        <v>#17686</v>
      </c>
      <c r="B3837" s="93" t="str">
        <f>IF(COUNTIF(MAIN!B:B, A3837)=0, "Missing", "")</f>
        <v/>
      </c>
      <c r="C3837" s="128"/>
      <c r="E3837" s="128" t="str">
        <f t="shared" si="1"/>
        <v/>
      </c>
    </row>
    <row r="3838">
      <c r="A3838" s="93" t="str">
        <f t="shared" si="2"/>
        <v>#17687</v>
      </c>
      <c r="B3838" s="93" t="str">
        <f>IF(COUNTIF(MAIN!B:B, A3838)=0, "Missing", "")</f>
        <v/>
      </c>
      <c r="C3838" s="128"/>
      <c r="E3838" s="128" t="str">
        <f t="shared" si="1"/>
        <v/>
      </c>
    </row>
    <row r="3839">
      <c r="A3839" s="93" t="str">
        <f t="shared" si="2"/>
        <v>#17688</v>
      </c>
      <c r="B3839" s="93" t="str">
        <f>IF(COUNTIF(MAIN!B:B, A3839)=0, "Missing", "")</f>
        <v/>
      </c>
      <c r="C3839" s="128"/>
      <c r="E3839" s="128" t="str">
        <f t="shared" si="1"/>
        <v/>
      </c>
    </row>
    <row r="3840">
      <c r="A3840" s="93" t="str">
        <f t="shared" si="2"/>
        <v>#17689</v>
      </c>
      <c r="B3840" s="93" t="str">
        <f>IF(COUNTIF(MAIN!B:B, A3840)=0, "Missing", "")</f>
        <v/>
      </c>
      <c r="C3840" s="128"/>
      <c r="E3840" s="128" t="str">
        <f t="shared" si="1"/>
        <v/>
      </c>
    </row>
    <row r="3841">
      <c r="A3841" s="93" t="str">
        <f t="shared" si="2"/>
        <v>#17690</v>
      </c>
      <c r="B3841" s="93" t="str">
        <f>IF(COUNTIF(MAIN!B:B, A3841)=0, "Missing", "")</f>
        <v/>
      </c>
      <c r="C3841" s="128"/>
      <c r="E3841" s="128" t="str">
        <f t="shared" si="1"/>
        <v/>
      </c>
    </row>
    <row r="3842">
      <c r="A3842" s="93" t="str">
        <f t="shared" si="2"/>
        <v>#17691</v>
      </c>
      <c r="B3842" s="93" t="str">
        <f>IF(COUNTIF(MAIN!B:B, A3842)=0, "Missing", "")</f>
        <v/>
      </c>
      <c r="C3842" s="128"/>
      <c r="E3842" s="128" t="str">
        <f t="shared" si="1"/>
        <v/>
      </c>
    </row>
    <row r="3843">
      <c r="A3843" s="93" t="str">
        <f t="shared" si="2"/>
        <v>#17692</v>
      </c>
      <c r="B3843" s="93" t="str">
        <f>IF(COUNTIF(MAIN!B:B, A3843)=0, "Missing", "")</f>
        <v/>
      </c>
      <c r="C3843" s="128"/>
      <c r="E3843" s="128" t="str">
        <f t="shared" si="1"/>
        <v/>
      </c>
    </row>
    <row r="3844">
      <c r="A3844" s="93" t="str">
        <f t="shared" si="2"/>
        <v>#17693</v>
      </c>
      <c r="B3844" s="93" t="str">
        <f>IF(COUNTIF(MAIN!B:B, A3844)=0, "Missing", "")</f>
        <v/>
      </c>
      <c r="C3844" s="128"/>
      <c r="E3844" s="128" t="str">
        <f t="shared" si="1"/>
        <v/>
      </c>
    </row>
    <row r="3845">
      <c r="A3845" s="93" t="str">
        <f t="shared" si="2"/>
        <v>#17694</v>
      </c>
      <c r="B3845" s="93" t="str">
        <f>IF(COUNTIF(MAIN!B:B, A3845)=0, "Missing", "")</f>
        <v/>
      </c>
      <c r="C3845" s="128"/>
      <c r="E3845" s="128" t="str">
        <f t="shared" si="1"/>
        <v/>
      </c>
    </row>
    <row r="3846">
      <c r="A3846" s="93" t="str">
        <f t="shared" si="2"/>
        <v>#17695</v>
      </c>
      <c r="B3846" s="93" t="str">
        <f>IF(COUNTIF(MAIN!B:B, A3846)=0, "Missing", "")</f>
        <v/>
      </c>
      <c r="C3846" s="128"/>
      <c r="E3846" s="128" t="str">
        <f t="shared" si="1"/>
        <v/>
      </c>
    </row>
    <row r="3847">
      <c r="A3847" s="93" t="str">
        <f t="shared" si="2"/>
        <v>#17696</v>
      </c>
      <c r="B3847" s="93" t="str">
        <f>IF(COUNTIF(MAIN!B:B, A3847)=0, "Missing", "")</f>
        <v>Missing</v>
      </c>
      <c r="C3847" s="128"/>
      <c r="E3847" s="131" t="str">
        <f t="shared" si="1"/>
        <v>https://utrucking.myshopify.com/admin/orders?query=17696</v>
      </c>
    </row>
    <row r="3848">
      <c r="A3848" s="93" t="str">
        <f t="shared" si="2"/>
        <v>#17697</v>
      </c>
      <c r="B3848" s="93" t="str">
        <f>IF(COUNTIF(MAIN!B:B, A3848)=0, "Missing", "")</f>
        <v/>
      </c>
      <c r="C3848" s="128"/>
      <c r="E3848" s="128" t="str">
        <f t="shared" si="1"/>
        <v/>
      </c>
    </row>
    <row r="3849">
      <c r="A3849" s="93" t="str">
        <f t="shared" si="2"/>
        <v>#17698</v>
      </c>
      <c r="B3849" s="93" t="str">
        <f>IF(COUNTIF(MAIN!B:B, A3849)=0, "Missing", "")</f>
        <v/>
      </c>
      <c r="C3849" s="128"/>
      <c r="E3849" s="128" t="str">
        <f t="shared" si="1"/>
        <v/>
      </c>
    </row>
    <row r="3850">
      <c r="A3850" s="93" t="str">
        <f t="shared" si="2"/>
        <v>#17699</v>
      </c>
      <c r="B3850" s="93" t="str">
        <f>IF(COUNTIF(MAIN!B:B, A3850)=0, "Missing", "")</f>
        <v>Missing</v>
      </c>
      <c r="C3850" s="128"/>
      <c r="E3850" s="131" t="str">
        <f t="shared" si="1"/>
        <v>https://utrucking.myshopify.com/admin/orders?query=17699</v>
      </c>
    </row>
    <row r="3851">
      <c r="A3851" s="93" t="str">
        <f t="shared" si="2"/>
        <v>#17700</v>
      </c>
      <c r="B3851" s="93" t="str">
        <f>IF(COUNTIF(MAIN!B:B, A3851)=0, "Missing", "")</f>
        <v/>
      </c>
      <c r="C3851" s="128"/>
      <c r="E3851" s="128" t="str">
        <f t="shared" si="1"/>
        <v/>
      </c>
    </row>
    <row r="3852">
      <c r="A3852" s="93" t="str">
        <f t="shared" si="2"/>
        <v>#17701</v>
      </c>
      <c r="B3852" s="93" t="str">
        <f>IF(COUNTIF(MAIN!B:B, A3852)=0, "Missing", "")</f>
        <v/>
      </c>
      <c r="C3852" s="128"/>
      <c r="E3852" s="128" t="str">
        <f t="shared" si="1"/>
        <v/>
      </c>
    </row>
    <row r="3853">
      <c r="A3853" s="93" t="str">
        <f t="shared" si="2"/>
        <v>#17702</v>
      </c>
      <c r="B3853" s="93" t="str">
        <f>IF(COUNTIF(MAIN!B:B, A3853)=0, "Missing", "")</f>
        <v/>
      </c>
      <c r="C3853" s="128"/>
      <c r="E3853" s="128" t="str">
        <f t="shared" si="1"/>
        <v/>
      </c>
    </row>
    <row r="3854">
      <c r="A3854" s="93" t="str">
        <f t="shared" si="2"/>
        <v>#17703</v>
      </c>
      <c r="B3854" s="93" t="str">
        <f>IF(COUNTIF(MAIN!B:B, A3854)=0, "Missing", "")</f>
        <v/>
      </c>
      <c r="C3854" s="128"/>
      <c r="E3854" s="128" t="str">
        <f t="shared" si="1"/>
        <v/>
      </c>
    </row>
    <row r="3855">
      <c r="A3855" s="93" t="str">
        <f t="shared" si="2"/>
        <v>#17704</v>
      </c>
      <c r="B3855" s="93" t="str">
        <f>IF(COUNTIF(MAIN!B:B, A3855)=0, "Missing", "")</f>
        <v/>
      </c>
      <c r="C3855" s="128"/>
      <c r="E3855" s="128" t="str">
        <f t="shared" si="1"/>
        <v/>
      </c>
    </row>
    <row r="3856">
      <c r="A3856" s="93" t="str">
        <f t="shared" si="2"/>
        <v>#17705</v>
      </c>
      <c r="B3856" s="93" t="str">
        <f>IF(COUNTIF(MAIN!B:B, A3856)=0, "Missing", "")</f>
        <v/>
      </c>
      <c r="C3856" s="128"/>
      <c r="E3856" s="128" t="str">
        <f t="shared" si="1"/>
        <v/>
      </c>
    </row>
    <row r="3857">
      <c r="A3857" s="93" t="str">
        <f t="shared" si="2"/>
        <v>#17706</v>
      </c>
      <c r="B3857" s="93" t="str">
        <f>IF(COUNTIF(MAIN!B:B, A3857)=0, "Missing", "")</f>
        <v/>
      </c>
      <c r="C3857" s="128"/>
      <c r="E3857" s="128" t="str">
        <f t="shared" si="1"/>
        <v/>
      </c>
    </row>
    <row r="3858">
      <c r="A3858" s="93" t="str">
        <f t="shared" si="2"/>
        <v>#17707</v>
      </c>
      <c r="B3858" s="93" t="str">
        <f>IF(COUNTIF(MAIN!B:B, A3858)=0, "Missing", "")</f>
        <v/>
      </c>
      <c r="C3858" s="128"/>
      <c r="E3858" s="128" t="str">
        <f t="shared" si="1"/>
        <v/>
      </c>
    </row>
    <row r="3859">
      <c r="A3859" s="93" t="str">
        <f t="shared" si="2"/>
        <v>#17708</v>
      </c>
      <c r="B3859" s="93" t="str">
        <f>IF(COUNTIF(MAIN!B:B, A3859)=0, "Missing", "")</f>
        <v/>
      </c>
      <c r="C3859" s="128"/>
      <c r="E3859" s="128" t="str">
        <f t="shared" si="1"/>
        <v/>
      </c>
    </row>
    <row r="3860">
      <c r="A3860" s="93" t="str">
        <f t="shared" si="2"/>
        <v>#17709</v>
      </c>
      <c r="B3860" s="93" t="str">
        <f>IF(COUNTIF(MAIN!B:B, A3860)=0, "Missing", "")</f>
        <v/>
      </c>
      <c r="C3860" s="128"/>
      <c r="E3860" s="128" t="str">
        <f t="shared" si="1"/>
        <v/>
      </c>
    </row>
    <row r="3861">
      <c r="A3861" s="93" t="str">
        <f t="shared" si="2"/>
        <v>#17710</v>
      </c>
      <c r="B3861" s="93" t="str">
        <f>IF(COUNTIF(MAIN!B:B, A3861)=0, "Missing", "")</f>
        <v/>
      </c>
      <c r="C3861" s="128"/>
      <c r="E3861" s="128" t="str">
        <f t="shared" si="1"/>
        <v/>
      </c>
    </row>
    <row r="3862">
      <c r="A3862" s="93" t="str">
        <f t="shared" si="2"/>
        <v>#17711</v>
      </c>
      <c r="B3862" s="93" t="str">
        <f>IF(COUNTIF(MAIN!B:B, A3862)=0, "Missing", "")</f>
        <v/>
      </c>
      <c r="C3862" s="128"/>
      <c r="E3862" s="128" t="str">
        <f t="shared" si="1"/>
        <v/>
      </c>
    </row>
    <row r="3863">
      <c r="A3863" s="93" t="str">
        <f t="shared" si="2"/>
        <v>#17712</v>
      </c>
      <c r="B3863" s="93" t="str">
        <f>IF(COUNTIF(MAIN!B:B, A3863)=0, "Missing", "")</f>
        <v/>
      </c>
      <c r="C3863" s="128"/>
      <c r="E3863" s="128" t="str">
        <f t="shared" si="1"/>
        <v/>
      </c>
    </row>
    <row r="3864">
      <c r="A3864" s="93" t="str">
        <f t="shared" si="2"/>
        <v>#17713</v>
      </c>
      <c r="B3864" s="93" t="str">
        <f>IF(COUNTIF(MAIN!B:B, A3864)=0, "Missing", "")</f>
        <v/>
      </c>
      <c r="C3864" s="128"/>
      <c r="E3864" s="128" t="str">
        <f t="shared" si="1"/>
        <v/>
      </c>
    </row>
    <row r="3865">
      <c r="A3865" s="93" t="str">
        <f t="shared" si="2"/>
        <v>#17714</v>
      </c>
      <c r="B3865" s="93" t="str">
        <f>IF(COUNTIF(MAIN!B:B, A3865)=0, "Missing", "")</f>
        <v/>
      </c>
      <c r="C3865" s="128"/>
      <c r="E3865" s="128" t="str">
        <f t="shared" si="1"/>
        <v/>
      </c>
    </row>
    <row r="3866">
      <c r="A3866" s="93" t="str">
        <f t="shared" si="2"/>
        <v>#17715</v>
      </c>
      <c r="B3866" s="93" t="str">
        <f>IF(COUNTIF(MAIN!B:B, A3866)=0, "Missing", "")</f>
        <v/>
      </c>
      <c r="C3866" s="128"/>
      <c r="E3866" s="128" t="str">
        <f t="shared" si="1"/>
        <v/>
      </c>
    </row>
    <row r="3867">
      <c r="A3867" s="93" t="str">
        <f t="shared" si="2"/>
        <v>#17716</v>
      </c>
      <c r="B3867" s="93" t="str">
        <f>IF(COUNTIF(MAIN!B:B, A3867)=0, "Missing", "")</f>
        <v/>
      </c>
      <c r="C3867" s="128"/>
      <c r="E3867" s="128" t="str">
        <f t="shared" si="1"/>
        <v/>
      </c>
    </row>
    <row r="3868">
      <c r="A3868" s="93" t="str">
        <f t="shared" si="2"/>
        <v>#17717</v>
      </c>
      <c r="B3868" s="93" t="str">
        <f>IF(COUNTIF(MAIN!B:B, A3868)=0, "Missing", "")</f>
        <v/>
      </c>
      <c r="C3868" s="128"/>
      <c r="E3868" s="128" t="str">
        <f t="shared" si="1"/>
        <v/>
      </c>
    </row>
    <row r="3869">
      <c r="A3869" s="93" t="str">
        <f t="shared" si="2"/>
        <v>#17718</v>
      </c>
      <c r="B3869" s="93" t="str">
        <f>IF(COUNTIF(MAIN!B:B, A3869)=0, "Missing", "")</f>
        <v/>
      </c>
      <c r="C3869" s="128"/>
      <c r="E3869" s="128" t="str">
        <f t="shared" si="1"/>
        <v/>
      </c>
    </row>
    <row r="3870">
      <c r="A3870" s="93" t="str">
        <f t="shared" si="2"/>
        <v>#17719</v>
      </c>
      <c r="B3870" s="93" t="str">
        <f>IF(COUNTIF(MAIN!B:B, A3870)=0, "Missing", "")</f>
        <v/>
      </c>
      <c r="C3870" s="128"/>
      <c r="E3870" s="128" t="str">
        <f t="shared" si="1"/>
        <v/>
      </c>
    </row>
    <row r="3871">
      <c r="A3871" s="93" t="str">
        <f t="shared" si="2"/>
        <v>#17720</v>
      </c>
      <c r="B3871" s="93" t="str">
        <f>IF(COUNTIF(MAIN!B:B, A3871)=0, "Missing", "")</f>
        <v/>
      </c>
      <c r="C3871" s="128"/>
      <c r="E3871" s="128" t="str">
        <f t="shared" si="1"/>
        <v/>
      </c>
    </row>
    <row r="3872">
      <c r="A3872" s="93" t="str">
        <f t="shared" si="2"/>
        <v>#17721</v>
      </c>
      <c r="B3872" s="93" t="str">
        <f>IF(COUNTIF(MAIN!B:B, A3872)=0, "Missing", "")</f>
        <v/>
      </c>
      <c r="C3872" s="128"/>
      <c r="E3872" s="128" t="str">
        <f t="shared" si="1"/>
        <v/>
      </c>
    </row>
    <row r="3873">
      <c r="A3873" s="93" t="str">
        <f t="shared" si="2"/>
        <v>#17722</v>
      </c>
      <c r="B3873" s="93" t="str">
        <f>IF(COUNTIF(MAIN!B:B, A3873)=0, "Missing", "")</f>
        <v/>
      </c>
      <c r="C3873" s="128"/>
      <c r="E3873" s="128" t="str">
        <f t="shared" si="1"/>
        <v/>
      </c>
    </row>
    <row r="3874">
      <c r="A3874" s="93" t="str">
        <f t="shared" si="2"/>
        <v>#17723</v>
      </c>
      <c r="B3874" s="93" t="str">
        <f>IF(COUNTIF(MAIN!B:B, A3874)=0, "Missing", "")</f>
        <v/>
      </c>
      <c r="C3874" s="128"/>
      <c r="E3874" s="128" t="str">
        <f t="shared" si="1"/>
        <v/>
      </c>
    </row>
    <row r="3875">
      <c r="A3875" s="93" t="str">
        <f t="shared" si="2"/>
        <v>#17724</v>
      </c>
      <c r="B3875" s="93" t="str">
        <f>IF(COUNTIF(MAIN!B:B, A3875)=0, "Missing", "")</f>
        <v/>
      </c>
      <c r="C3875" s="128"/>
      <c r="E3875" s="128" t="str">
        <f t="shared" si="1"/>
        <v/>
      </c>
    </row>
    <row r="3876">
      <c r="A3876" s="93" t="str">
        <f t="shared" si="2"/>
        <v>#17725</v>
      </c>
      <c r="B3876" s="93" t="str">
        <f>IF(COUNTIF(MAIN!B:B, A3876)=0, "Missing", "")</f>
        <v/>
      </c>
      <c r="C3876" s="128"/>
      <c r="E3876" s="128" t="str">
        <f t="shared" si="1"/>
        <v/>
      </c>
    </row>
    <row r="3877">
      <c r="A3877" s="93" t="str">
        <f t="shared" si="2"/>
        <v>#17726</v>
      </c>
      <c r="B3877" s="93" t="str">
        <f>IF(COUNTIF(MAIN!B:B, A3877)=0, "Missing", "")</f>
        <v/>
      </c>
      <c r="C3877" s="128"/>
      <c r="E3877" s="128" t="str">
        <f t="shared" si="1"/>
        <v/>
      </c>
    </row>
    <row r="3878">
      <c r="A3878" s="93" t="str">
        <f t="shared" si="2"/>
        <v>#17727</v>
      </c>
      <c r="B3878" s="93" t="str">
        <f>IF(COUNTIF(MAIN!B:B, A3878)=0, "Missing", "")</f>
        <v/>
      </c>
      <c r="C3878" s="128"/>
      <c r="E3878" s="128" t="str">
        <f t="shared" si="1"/>
        <v/>
      </c>
    </row>
    <row r="3879">
      <c r="A3879" s="93" t="str">
        <f t="shared" si="2"/>
        <v>#17728</v>
      </c>
      <c r="B3879" s="93" t="str">
        <f>IF(COUNTIF(MAIN!B:B, A3879)=0, "Missing", "")</f>
        <v/>
      </c>
      <c r="C3879" s="128"/>
      <c r="E3879" s="128" t="str">
        <f t="shared" si="1"/>
        <v/>
      </c>
    </row>
    <row r="3880">
      <c r="A3880" s="93" t="str">
        <f t="shared" si="2"/>
        <v>#17729</v>
      </c>
      <c r="B3880" s="93" t="str">
        <f>IF(COUNTIF(MAIN!B:B, A3880)=0, "Missing", "")</f>
        <v/>
      </c>
      <c r="C3880" s="128"/>
      <c r="E3880" s="128" t="str">
        <f t="shared" si="1"/>
        <v/>
      </c>
    </row>
    <row r="3881">
      <c r="A3881" s="93" t="str">
        <f t="shared" si="2"/>
        <v>#17730</v>
      </c>
      <c r="B3881" s="93" t="str">
        <f>IF(COUNTIF(MAIN!B:B, A3881)=0, "Missing", "")</f>
        <v/>
      </c>
      <c r="C3881" s="128"/>
      <c r="E3881" s="128" t="str">
        <f t="shared" si="1"/>
        <v/>
      </c>
    </row>
    <row r="3882">
      <c r="A3882" s="93" t="str">
        <f t="shared" si="2"/>
        <v>#17731</v>
      </c>
      <c r="B3882" s="93" t="str">
        <f>IF(COUNTIF(MAIN!B:B, A3882)=0, "Missing", "")</f>
        <v/>
      </c>
      <c r="C3882" s="128"/>
      <c r="E3882" s="128" t="str">
        <f t="shared" si="1"/>
        <v/>
      </c>
    </row>
    <row r="3883">
      <c r="A3883" s="93" t="str">
        <f t="shared" si="2"/>
        <v>#17732</v>
      </c>
      <c r="B3883" s="93" t="str">
        <f>IF(COUNTIF(MAIN!B:B, A3883)=0, "Missing", "")</f>
        <v/>
      </c>
      <c r="C3883" s="128"/>
      <c r="E3883" s="128" t="str">
        <f t="shared" si="1"/>
        <v/>
      </c>
    </row>
    <row r="3884">
      <c r="A3884" s="93" t="str">
        <f t="shared" si="2"/>
        <v>#17733</v>
      </c>
      <c r="B3884" s="93" t="str">
        <f>IF(COUNTIF(MAIN!B:B, A3884)=0, "Missing", "")</f>
        <v/>
      </c>
      <c r="C3884" s="128"/>
      <c r="E3884" s="128" t="str">
        <f t="shared" si="1"/>
        <v/>
      </c>
    </row>
    <row r="3885">
      <c r="A3885" s="93" t="str">
        <f t="shared" si="2"/>
        <v>#17734</v>
      </c>
      <c r="B3885" s="93" t="str">
        <f>IF(COUNTIF(MAIN!B:B, A3885)=0, "Missing", "")</f>
        <v/>
      </c>
      <c r="C3885" s="128"/>
      <c r="E3885" s="128" t="str">
        <f t="shared" si="1"/>
        <v/>
      </c>
    </row>
    <row r="3886">
      <c r="A3886" s="93" t="str">
        <f t="shared" si="2"/>
        <v>#17735</v>
      </c>
      <c r="B3886" s="93" t="str">
        <f>IF(COUNTIF(MAIN!B:B, A3886)=0, "Missing", "")</f>
        <v/>
      </c>
      <c r="C3886" s="128"/>
      <c r="E3886" s="128" t="str">
        <f t="shared" si="1"/>
        <v/>
      </c>
    </row>
    <row r="3887">
      <c r="A3887" s="93" t="str">
        <f t="shared" si="2"/>
        <v>#17736</v>
      </c>
      <c r="B3887" s="93" t="str">
        <f>IF(COUNTIF(MAIN!B:B, A3887)=0, "Missing", "")</f>
        <v/>
      </c>
      <c r="C3887" s="128"/>
      <c r="E3887" s="128" t="str">
        <f t="shared" si="1"/>
        <v/>
      </c>
    </row>
    <row r="3888">
      <c r="A3888" s="93" t="str">
        <f t="shared" si="2"/>
        <v>#17737</v>
      </c>
      <c r="B3888" s="93" t="str">
        <f>IF(COUNTIF(MAIN!B:B, A3888)=0, "Missing", "")</f>
        <v/>
      </c>
      <c r="C3888" s="128"/>
      <c r="E3888" s="128" t="str">
        <f t="shared" si="1"/>
        <v/>
      </c>
    </row>
    <row r="3889">
      <c r="A3889" s="93" t="str">
        <f t="shared" si="2"/>
        <v>#17738</v>
      </c>
      <c r="B3889" s="93" t="str">
        <f>IF(COUNTIF(MAIN!B:B, A3889)=0, "Missing", "")</f>
        <v/>
      </c>
      <c r="C3889" s="128"/>
      <c r="E3889" s="128" t="str">
        <f t="shared" si="1"/>
        <v/>
      </c>
    </row>
    <row r="3890">
      <c r="A3890" s="93" t="str">
        <f t="shared" si="2"/>
        <v>#17739</v>
      </c>
      <c r="B3890" s="93" t="str">
        <f>IF(COUNTIF(MAIN!B:B, A3890)=0, "Missing", "")</f>
        <v/>
      </c>
      <c r="C3890" s="128"/>
      <c r="E3890" s="128" t="str">
        <f t="shared" si="1"/>
        <v/>
      </c>
    </row>
    <row r="3891">
      <c r="A3891" s="93" t="str">
        <f t="shared" si="2"/>
        <v>#17740</v>
      </c>
      <c r="B3891" s="93" t="str">
        <f>IF(COUNTIF(MAIN!B:B, A3891)=0, "Missing", "")</f>
        <v/>
      </c>
      <c r="C3891" s="128"/>
      <c r="E3891" s="128" t="str">
        <f t="shared" si="1"/>
        <v/>
      </c>
    </row>
    <row r="3892">
      <c r="A3892" s="93" t="str">
        <f t="shared" si="2"/>
        <v>#17741</v>
      </c>
      <c r="B3892" s="93" t="str">
        <f>IF(COUNTIF(MAIN!B:B, A3892)=0, "Missing", "")</f>
        <v/>
      </c>
      <c r="C3892" s="128"/>
      <c r="E3892" s="128" t="str">
        <f t="shared" si="1"/>
        <v/>
      </c>
    </row>
    <row r="3893">
      <c r="A3893" s="93" t="str">
        <f t="shared" si="2"/>
        <v>#17742</v>
      </c>
      <c r="B3893" s="93" t="str">
        <f>IF(COUNTIF(MAIN!B:B, A3893)=0, "Missing", "")</f>
        <v/>
      </c>
      <c r="C3893" s="128"/>
      <c r="E3893" s="128" t="str">
        <f t="shared" si="1"/>
        <v/>
      </c>
    </row>
    <row r="3894">
      <c r="A3894" s="93" t="str">
        <f t="shared" si="2"/>
        <v>#17743</v>
      </c>
      <c r="B3894" s="93" t="str">
        <f>IF(COUNTIF(MAIN!B:B, A3894)=0, "Missing", "")</f>
        <v/>
      </c>
      <c r="C3894" s="128"/>
      <c r="E3894" s="128" t="str">
        <f t="shared" si="1"/>
        <v/>
      </c>
    </row>
    <row r="3895">
      <c r="A3895" s="93" t="str">
        <f t="shared" si="2"/>
        <v>#17744</v>
      </c>
      <c r="B3895" s="93" t="str">
        <f>IF(COUNTIF(MAIN!B:B, A3895)=0, "Missing", "")</f>
        <v/>
      </c>
      <c r="C3895" s="128"/>
      <c r="E3895" s="128" t="str">
        <f t="shared" si="1"/>
        <v/>
      </c>
    </row>
    <row r="3896">
      <c r="A3896" s="93" t="str">
        <f t="shared" si="2"/>
        <v>#17745</v>
      </c>
      <c r="B3896" s="93" t="str">
        <f>IF(COUNTIF(MAIN!B:B, A3896)=0, "Missing", "")</f>
        <v/>
      </c>
      <c r="C3896" s="128"/>
      <c r="E3896" s="128" t="str">
        <f t="shared" si="1"/>
        <v/>
      </c>
    </row>
    <row r="3897">
      <c r="A3897" s="93" t="str">
        <f t="shared" si="2"/>
        <v>#17746</v>
      </c>
      <c r="B3897" s="93" t="str">
        <f>IF(COUNTIF(MAIN!B:B, A3897)=0, "Missing", "")</f>
        <v/>
      </c>
      <c r="C3897" s="128"/>
      <c r="E3897" s="128" t="str">
        <f t="shared" si="1"/>
        <v/>
      </c>
    </row>
    <row r="3898">
      <c r="A3898" s="93" t="str">
        <f t="shared" si="2"/>
        <v>#17747</v>
      </c>
      <c r="B3898" s="93" t="str">
        <f>IF(COUNTIF(MAIN!B:B, A3898)=0, "Missing", "")</f>
        <v/>
      </c>
      <c r="C3898" s="128"/>
      <c r="E3898" s="128" t="str">
        <f t="shared" si="1"/>
        <v/>
      </c>
    </row>
    <row r="3899">
      <c r="A3899" s="93" t="str">
        <f t="shared" si="2"/>
        <v>#17748</v>
      </c>
      <c r="B3899" s="93" t="str">
        <f>IF(COUNTIF(MAIN!B:B, A3899)=0, "Missing", "")</f>
        <v/>
      </c>
      <c r="C3899" s="128"/>
      <c r="E3899" s="128" t="str">
        <f t="shared" si="1"/>
        <v/>
      </c>
    </row>
    <row r="3900">
      <c r="A3900" s="93" t="str">
        <f t="shared" si="2"/>
        <v>#17749</v>
      </c>
      <c r="B3900" s="93" t="str">
        <f>IF(COUNTIF(MAIN!B:B, A3900)=0, "Missing", "")</f>
        <v/>
      </c>
      <c r="C3900" s="128"/>
      <c r="E3900" s="128" t="str">
        <f t="shared" si="1"/>
        <v/>
      </c>
    </row>
    <row r="3901">
      <c r="A3901" s="93" t="str">
        <f t="shared" si="2"/>
        <v>#17750</v>
      </c>
      <c r="B3901" s="93" t="str">
        <f>IF(COUNTIF(MAIN!B:B, A3901)=0, "Missing", "")</f>
        <v/>
      </c>
      <c r="C3901" s="128"/>
      <c r="E3901" s="128" t="str">
        <f t="shared" si="1"/>
        <v/>
      </c>
    </row>
    <row r="3902">
      <c r="A3902" s="93" t="str">
        <f t="shared" si="2"/>
        <v>#17751</v>
      </c>
      <c r="B3902" s="93" t="str">
        <f>IF(COUNTIF(MAIN!B:B, A3902)=0, "Missing", "")</f>
        <v/>
      </c>
      <c r="C3902" s="128"/>
      <c r="E3902" s="128" t="str">
        <f t="shared" si="1"/>
        <v/>
      </c>
    </row>
    <row r="3903">
      <c r="A3903" s="93" t="str">
        <f t="shared" si="2"/>
        <v>#17752</v>
      </c>
      <c r="B3903" s="93" t="str">
        <f>IF(COUNTIF(MAIN!B:B, A3903)=0, "Missing", "")</f>
        <v/>
      </c>
      <c r="C3903" s="128"/>
      <c r="E3903" s="128" t="str">
        <f t="shared" si="1"/>
        <v/>
      </c>
    </row>
    <row r="3904">
      <c r="A3904" s="93" t="str">
        <f t="shared" si="2"/>
        <v>#17753</v>
      </c>
      <c r="B3904" s="93" t="str">
        <f>IF(COUNTIF(MAIN!B:B, A3904)=0, "Missing", "")</f>
        <v/>
      </c>
      <c r="C3904" s="128"/>
      <c r="E3904" s="128" t="str">
        <f t="shared" si="1"/>
        <v/>
      </c>
    </row>
    <row r="3905">
      <c r="A3905" s="93" t="str">
        <f t="shared" si="2"/>
        <v>#17754</v>
      </c>
      <c r="B3905" s="93" t="str">
        <f>IF(COUNTIF(MAIN!B:B, A3905)=0, "Missing", "")</f>
        <v/>
      </c>
      <c r="C3905" s="128"/>
      <c r="E3905" s="128" t="str">
        <f t="shared" si="1"/>
        <v/>
      </c>
    </row>
    <row r="3906">
      <c r="A3906" s="93" t="str">
        <f t="shared" si="2"/>
        <v>#17755</v>
      </c>
      <c r="B3906" s="93" t="str">
        <f>IF(COUNTIF(MAIN!B:B, A3906)=0, "Missing", "")</f>
        <v/>
      </c>
      <c r="C3906" s="128"/>
      <c r="E3906" s="128" t="str">
        <f t="shared" si="1"/>
        <v/>
      </c>
    </row>
    <row r="3907">
      <c r="A3907" s="93" t="str">
        <f t="shared" si="2"/>
        <v>#17756</v>
      </c>
      <c r="B3907" s="93" t="str">
        <f>IF(COUNTIF(MAIN!B:B, A3907)=0, "Missing", "")</f>
        <v/>
      </c>
      <c r="C3907" s="128"/>
      <c r="E3907" s="128" t="str">
        <f t="shared" si="1"/>
        <v/>
      </c>
    </row>
    <row r="3908">
      <c r="A3908" s="93" t="str">
        <f t="shared" si="2"/>
        <v>#17757</v>
      </c>
      <c r="B3908" s="93" t="str">
        <f>IF(COUNTIF(MAIN!B:B, A3908)=0, "Missing", "")</f>
        <v/>
      </c>
      <c r="C3908" s="128"/>
      <c r="E3908" s="128" t="str">
        <f t="shared" si="1"/>
        <v/>
      </c>
    </row>
    <row r="3909">
      <c r="A3909" s="93" t="str">
        <f t="shared" si="2"/>
        <v>#17758</v>
      </c>
      <c r="B3909" s="93" t="str">
        <f>IF(COUNTIF(MAIN!B:B, A3909)=0, "Missing", "")</f>
        <v/>
      </c>
      <c r="C3909" s="128"/>
      <c r="E3909" s="128" t="str">
        <f t="shared" si="1"/>
        <v/>
      </c>
    </row>
    <row r="3910">
      <c r="A3910" s="93" t="str">
        <f t="shared" si="2"/>
        <v>#17759</v>
      </c>
      <c r="B3910" s="93" t="str">
        <f>IF(COUNTIF(MAIN!B:B, A3910)=0, "Missing", "")</f>
        <v/>
      </c>
      <c r="C3910" s="128"/>
      <c r="E3910" s="128" t="str">
        <f t="shared" si="1"/>
        <v/>
      </c>
    </row>
    <row r="3911">
      <c r="A3911" s="93" t="str">
        <f t="shared" si="2"/>
        <v>#17760</v>
      </c>
      <c r="B3911" s="93" t="str">
        <f>IF(COUNTIF(MAIN!B:B, A3911)=0, "Missing", "")</f>
        <v/>
      </c>
      <c r="C3911" s="128"/>
      <c r="E3911" s="128" t="str">
        <f t="shared" si="1"/>
        <v/>
      </c>
    </row>
    <row r="3912">
      <c r="A3912" s="93" t="str">
        <f t="shared" si="2"/>
        <v>#17761</v>
      </c>
      <c r="B3912" s="93" t="str">
        <f>IF(COUNTIF(MAIN!B:B, A3912)=0, "Missing", "")</f>
        <v/>
      </c>
      <c r="C3912" s="128"/>
      <c r="E3912" s="128" t="str">
        <f t="shared" si="1"/>
        <v/>
      </c>
    </row>
    <row r="3913">
      <c r="A3913" s="93" t="str">
        <f t="shared" si="2"/>
        <v>#17762</v>
      </c>
      <c r="B3913" s="93" t="str">
        <f>IF(COUNTIF(MAIN!B:B, A3913)=0, "Missing", "")</f>
        <v/>
      </c>
      <c r="C3913" s="128"/>
      <c r="E3913" s="128" t="str">
        <f t="shared" si="1"/>
        <v/>
      </c>
    </row>
    <row r="3914">
      <c r="A3914" s="93" t="str">
        <f t="shared" si="2"/>
        <v>#17763</v>
      </c>
      <c r="B3914" s="93" t="str">
        <f>IF(COUNTIF(MAIN!B:B, A3914)=0, "Missing", "")</f>
        <v/>
      </c>
      <c r="C3914" s="128"/>
      <c r="E3914" s="128" t="str">
        <f t="shared" si="1"/>
        <v/>
      </c>
    </row>
    <row r="3915">
      <c r="A3915" s="93" t="str">
        <f t="shared" si="2"/>
        <v>#17764</v>
      </c>
      <c r="B3915" s="93" t="str">
        <f>IF(COUNTIF(MAIN!B:B, A3915)=0, "Missing", "")</f>
        <v/>
      </c>
      <c r="C3915" s="128"/>
      <c r="E3915" s="128" t="str">
        <f t="shared" si="1"/>
        <v/>
      </c>
    </row>
    <row r="3916">
      <c r="A3916" s="93" t="str">
        <f t="shared" si="2"/>
        <v>#17765</v>
      </c>
      <c r="B3916" s="93" t="str">
        <f>IF(COUNTIF(MAIN!B:B, A3916)=0, "Missing", "")</f>
        <v/>
      </c>
      <c r="C3916" s="128"/>
      <c r="E3916" s="128" t="str">
        <f t="shared" si="1"/>
        <v/>
      </c>
    </row>
    <row r="3917">
      <c r="A3917" s="93" t="str">
        <f t="shared" si="2"/>
        <v>#17766</v>
      </c>
      <c r="B3917" s="93" t="str">
        <f>IF(COUNTIF(MAIN!B:B, A3917)=0, "Missing", "")</f>
        <v/>
      </c>
      <c r="C3917" s="128"/>
      <c r="E3917" s="128" t="str">
        <f t="shared" si="1"/>
        <v/>
      </c>
    </row>
    <row r="3918">
      <c r="A3918" s="93" t="str">
        <f t="shared" si="2"/>
        <v>#17767</v>
      </c>
      <c r="B3918" s="93" t="str">
        <f>IF(COUNTIF(MAIN!B:B, A3918)=0, "Missing", "")</f>
        <v/>
      </c>
      <c r="C3918" s="128"/>
      <c r="E3918" s="128" t="str">
        <f t="shared" si="1"/>
        <v/>
      </c>
    </row>
    <row r="3919">
      <c r="A3919" s="93" t="str">
        <f t="shared" si="2"/>
        <v>#17768</v>
      </c>
      <c r="B3919" s="93" t="str">
        <f>IF(COUNTIF(MAIN!B:B, A3919)=0, "Missing", "")</f>
        <v/>
      </c>
      <c r="C3919" s="128"/>
      <c r="E3919" s="128" t="str">
        <f t="shared" si="1"/>
        <v/>
      </c>
    </row>
    <row r="3920">
      <c r="A3920" s="93" t="str">
        <f t="shared" si="2"/>
        <v>#17769</v>
      </c>
      <c r="B3920" s="93" t="str">
        <f>IF(COUNTIF(MAIN!B:B, A3920)=0, "Missing", "")</f>
        <v/>
      </c>
      <c r="C3920" s="128"/>
      <c r="E3920" s="128" t="str">
        <f t="shared" si="1"/>
        <v/>
      </c>
    </row>
    <row r="3921">
      <c r="A3921" s="93" t="str">
        <f t="shared" si="2"/>
        <v>#17770</v>
      </c>
      <c r="B3921" s="93" t="str">
        <f>IF(COUNTIF(MAIN!B:B, A3921)=0, "Missing", "")</f>
        <v/>
      </c>
      <c r="C3921" s="128"/>
      <c r="E3921" s="128" t="str">
        <f t="shared" si="1"/>
        <v/>
      </c>
    </row>
    <row r="3922">
      <c r="A3922" s="93" t="str">
        <f t="shared" si="2"/>
        <v>#17771</v>
      </c>
      <c r="B3922" s="93" t="str">
        <f>IF(COUNTIF(MAIN!B:B, A3922)=0, "Missing", "")</f>
        <v/>
      </c>
      <c r="C3922" s="128"/>
      <c r="E3922" s="128" t="str">
        <f t="shared" si="1"/>
        <v/>
      </c>
    </row>
    <row r="3923">
      <c r="A3923" s="93" t="str">
        <f t="shared" si="2"/>
        <v>#17772</v>
      </c>
      <c r="B3923" s="93" t="str">
        <f>IF(COUNTIF(MAIN!B:B, A3923)=0, "Missing", "")</f>
        <v/>
      </c>
      <c r="C3923" s="128"/>
      <c r="E3923" s="128" t="str">
        <f t="shared" si="1"/>
        <v/>
      </c>
    </row>
    <row r="3924">
      <c r="A3924" s="93" t="str">
        <f t="shared" si="2"/>
        <v>#17773</v>
      </c>
      <c r="B3924" s="93" t="str">
        <f>IF(COUNTIF(MAIN!B:B, A3924)=0, "Missing", "")</f>
        <v/>
      </c>
      <c r="C3924" s="128"/>
      <c r="E3924" s="128" t="str">
        <f t="shared" si="1"/>
        <v/>
      </c>
    </row>
    <row r="3925">
      <c r="A3925" s="93" t="str">
        <f t="shared" si="2"/>
        <v>#17774</v>
      </c>
      <c r="B3925" s="93" t="str">
        <f>IF(COUNTIF(MAIN!B:B, A3925)=0, "Missing", "")</f>
        <v/>
      </c>
      <c r="C3925" s="128"/>
      <c r="E3925" s="128" t="str">
        <f t="shared" si="1"/>
        <v/>
      </c>
    </row>
    <row r="3926">
      <c r="A3926" s="93" t="str">
        <f t="shared" si="2"/>
        <v>#17775</v>
      </c>
      <c r="B3926" s="93" t="str">
        <f>IF(COUNTIF(MAIN!B:B, A3926)=0, "Missing", "")</f>
        <v/>
      </c>
      <c r="C3926" s="128"/>
      <c r="E3926" s="128" t="str">
        <f t="shared" si="1"/>
        <v/>
      </c>
    </row>
    <row r="3927">
      <c r="A3927" s="93" t="str">
        <f t="shared" si="2"/>
        <v>#17776</v>
      </c>
      <c r="B3927" s="93" t="str">
        <f>IF(COUNTIF(MAIN!B:B, A3927)=0, "Missing", "")</f>
        <v/>
      </c>
      <c r="C3927" s="128"/>
      <c r="E3927" s="128" t="str">
        <f t="shared" si="1"/>
        <v/>
      </c>
    </row>
    <row r="3928">
      <c r="A3928" s="93" t="str">
        <f t="shared" si="2"/>
        <v>#17777</v>
      </c>
      <c r="B3928" s="93" t="str">
        <f>IF(COUNTIF(MAIN!B:B, A3928)=0, "Missing", "")</f>
        <v/>
      </c>
      <c r="C3928" s="128"/>
      <c r="E3928" s="128" t="str">
        <f t="shared" si="1"/>
        <v/>
      </c>
    </row>
    <row r="3929">
      <c r="A3929" s="93" t="str">
        <f t="shared" si="2"/>
        <v>#17778</v>
      </c>
      <c r="B3929" s="93" t="str">
        <f>IF(COUNTIF(MAIN!B:B, A3929)=0, "Missing", "")</f>
        <v/>
      </c>
      <c r="C3929" s="128"/>
      <c r="E3929" s="128" t="str">
        <f t="shared" si="1"/>
        <v/>
      </c>
    </row>
    <row r="3930">
      <c r="A3930" s="93" t="str">
        <f t="shared" si="2"/>
        <v>#17779</v>
      </c>
      <c r="B3930" s="93" t="str">
        <f>IF(COUNTIF(MAIN!B:B, A3930)=0, "Missing", "")</f>
        <v/>
      </c>
      <c r="C3930" s="128"/>
      <c r="E3930" s="128" t="str">
        <f t="shared" si="1"/>
        <v/>
      </c>
    </row>
    <row r="3931">
      <c r="A3931" s="93" t="str">
        <f t="shared" si="2"/>
        <v>#17780</v>
      </c>
      <c r="B3931" s="93" t="str">
        <f>IF(COUNTIF(MAIN!B:B, A3931)=0, "Missing", "")</f>
        <v/>
      </c>
      <c r="C3931" s="128"/>
      <c r="E3931" s="128" t="str">
        <f t="shared" si="1"/>
        <v/>
      </c>
    </row>
    <row r="3932">
      <c r="A3932" s="93" t="str">
        <f t="shared" si="2"/>
        <v>#17781</v>
      </c>
      <c r="B3932" s="93" t="str">
        <f>IF(COUNTIF(MAIN!B:B, A3932)=0, "Missing", "")</f>
        <v/>
      </c>
      <c r="C3932" s="128"/>
      <c r="E3932" s="128" t="str">
        <f t="shared" si="1"/>
        <v/>
      </c>
    </row>
    <row r="3933">
      <c r="A3933" s="93" t="str">
        <f t="shared" si="2"/>
        <v>#17782</v>
      </c>
      <c r="B3933" s="93" t="str">
        <f>IF(COUNTIF(MAIN!B:B, A3933)=0, "Missing", "")</f>
        <v/>
      </c>
      <c r="C3933" s="128"/>
      <c r="E3933" s="128" t="str">
        <f t="shared" si="1"/>
        <v/>
      </c>
    </row>
    <row r="3934">
      <c r="A3934" s="93" t="str">
        <f t="shared" si="2"/>
        <v>#17783</v>
      </c>
      <c r="B3934" s="93" t="str">
        <f>IF(COUNTIF(MAIN!B:B, A3934)=0, "Missing", "")</f>
        <v/>
      </c>
      <c r="C3934" s="128"/>
      <c r="E3934" s="128" t="str">
        <f t="shared" si="1"/>
        <v/>
      </c>
    </row>
    <row r="3935">
      <c r="A3935" s="93" t="str">
        <f t="shared" si="2"/>
        <v>#17784</v>
      </c>
      <c r="B3935" s="93" t="str">
        <f>IF(COUNTIF(MAIN!B:B, A3935)=0, "Missing", "")</f>
        <v/>
      </c>
      <c r="C3935" s="128"/>
      <c r="E3935" s="128" t="str">
        <f t="shared" si="1"/>
        <v/>
      </c>
    </row>
    <row r="3936">
      <c r="A3936" s="93" t="str">
        <f t="shared" si="2"/>
        <v>#17785</v>
      </c>
      <c r="B3936" s="93" t="str">
        <f>IF(COUNTIF(MAIN!B:B, A3936)=0, "Missing", "")</f>
        <v/>
      </c>
      <c r="C3936" s="128"/>
      <c r="E3936" s="128" t="str">
        <f t="shared" si="1"/>
        <v/>
      </c>
    </row>
    <row r="3937">
      <c r="A3937" s="93" t="str">
        <f t="shared" si="2"/>
        <v>#17786</v>
      </c>
      <c r="B3937" s="93" t="str">
        <f>IF(COUNTIF(MAIN!B:B, A3937)=0, "Missing", "")</f>
        <v/>
      </c>
      <c r="C3937" s="128"/>
      <c r="E3937" s="128" t="str">
        <f t="shared" si="1"/>
        <v/>
      </c>
    </row>
    <row r="3938">
      <c r="A3938" s="93" t="str">
        <f t="shared" si="2"/>
        <v>#17787</v>
      </c>
      <c r="B3938" s="93" t="str">
        <f>IF(COUNTIF(MAIN!B:B, A3938)=0, "Missing", "")</f>
        <v/>
      </c>
      <c r="C3938" s="128"/>
      <c r="E3938" s="128" t="str">
        <f t="shared" si="1"/>
        <v/>
      </c>
    </row>
    <row r="3939">
      <c r="A3939" s="93" t="str">
        <f t="shared" si="2"/>
        <v>#17788</v>
      </c>
      <c r="B3939" s="93" t="str">
        <f>IF(COUNTIF(MAIN!B:B, A3939)=0, "Missing", "")</f>
        <v/>
      </c>
      <c r="C3939" s="128"/>
      <c r="E3939" s="128" t="str">
        <f t="shared" si="1"/>
        <v/>
      </c>
    </row>
    <row r="3940">
      <c r="A3940" s="93" t="str">
        <f t="shared" si="2"/>
        <v>#17789</v>
      </c>
      <c r="B3940" s="93" t="str">
        <f>IF(COUNTIF(MAIN!B:B, A3940)=0, "Missing", "")</f>
        <v/>
      </c>
      <c r="C3940" s="128"/>
      <c r="E3940" s="128" t="str">
        <f t="shared" si="1"/>
        <v/>
      </c>
    </row>
    <row r="3941">
      <c r="A3941" s="93" t="str">
        <f t="shared" si="2"/>
        <v>#17790</v>
      </c>
      <c r="B3941" s="93" t="str">
        <f>IF(COUNTIF(MAIN!B:B, A3941)=0, "Missing", "")</f>
        <v/>
      </c>
      <c r="C3941" s="128"/>
      <c r="E3941" s="128" t="str">
        <f t="shared" si="1"/>
        <v/>
      </c>
    </row>
    <row r="3942">
      <c r="A3942" s="93" t="str">
        <f t="shared" si="2"/>
        <v>#17791</v>
      </c>
      <c r="B3942" s="93" t="str">
        <f>IF(COUNTIF(MAIN!B:B, A3942)=0, "Missing", "")</f>
        <v/>
      </c>
      <c r="C3942" s="128"/>
      <c r="E3942" s="128" t="str">
        <f t="shared" si="1"/>
        <v/>
      </c>
    </row>
    <row r="3943">
      <c r="A3943" s="93" t="str">
        <f t="shared" si="2"/>
        <v>#17792</v>
      </c>
      <c r="B3943" s="93" t="str">
        <f>IF(COUNTIF(MAIN!B:B, A3943)=0, "Missing", "")</f>
        <v/>
      </c>
      <c r="C3943" s="128"/>
      <c r="E3943" s="128" t="str">
        <f t="shared" si="1"/>
        <v/>
      </c>
    </row>
    <row r="3944">
      <c r="A3944" s="93" t="str">
        <f t="shared" si="2"/>
        <v>#17793</v>
      </c>
      <c r="B3944" s="93" t="str">
        <f>IF(COUNTIF(MAIN!B:B, A3944)=0, "Missing", "")</f>
        <v/>
      </c>
      <c r="C3944" s="128"/>
      <c r="E3944" s="128" t="str">
        <f t="shared" si="1"/>
        <v/>
      </c>
    </row>
    <row r="3945">
      <c r="A3945" s="93" t="str">
        <f t="shared" si="2"/>
        <v>#17794</v>
      </c>
      <c r="B3945" s="93" t="str">
        <f>IF(COUNTIF(MAIN!B:B, A3945)=0, "Missing", "")</f>
        <v>Missing</v>
      </c>
      <c r="C3945" s="128"/>
      <c r="E3945" s="131" t="str">
        <f t="shared" si="1"/>
        <v>https://utrucking.myshopify.com/admin/orders?query=17794</v>
      </c>
    </row>
    <row r="3946">
      <c r="A3946" s="93" t="str">
        <f t="shared" si="2"/>
        <v>#17795</v>
      </c>
      <c r="B3946" s="93" t="str">
        <f>IF(COUNTIF(MAIN!B:B, A3946)=0, "Missing", "")</f>
        <v/>
      </c>
      <c r="C3946" s="128"/>
      <c r="E3946" s="128" t="str">
        <f t="shared" si="1"/>
        <v/>
      </c>
    </row>
    <row r="3947">
      <c r="A3947" s="93" t="str">
        <f t="shared" si="2"/>
        <v>#17796</v>
      </c>
      <c r="B3947" s="93" t="str">
        <f>IF(COUNTIF(MAIN!B:B, A3947)=0, "Missing", "")</f>
        <v/>
      </c>
      <c r="C3947" s="128"/>
      <c r="E3947" s="128" t="str">
        <f t="shared" si="1"/>
        <v/>
      </c>
    </row>
    <row r="3948">
      <c r="A3948" s="93" t="str">
        <f t="shared" si="2"/>
        <v>#17797</v>
      </c>
      <c r="B3948" s="93" t="str">
        <f>IF(COUNTIF(MAIN!B:B, A3948)=0, "Missing", "")</f>
        <v/>
      </c>
      <c r="C3948" s="128"/>
      <c r="E3948" s="128" t="str">
        <f t="shared" si="1"/>
        <v/>
      </c>
    </row>
    <row r="3949">
      <c r="A3949" s="93" t="str">
        <f t="shared" si="2"/>
        <v>#17798</v>
      </c>
      <c r="B3949" s="93" t="str">
        <f>IF(COUNTIF(MAIN!B:B, A3949)=0, "Missing", "")</f>
        <v/>
      </c>
      <c r="C3949" s="128"/>
      <c r="E3949" s="128" t="str">
        <f t="shared" si="1"/>
        <v/>
      </c>
    </row>
    <row r="3950">
      <c r="A3950" s="93" t="str">
        <f t="shared" si="2"/>
        <v>#17799</v>
      </c>
      <c r="B3950" s="93" t="str">
        <f>IF(COUNTIF(MAIN!B:B, A3950)=0, "Missing", "")</f>
        <v/>
      </c>
      <c r="C3950" s="128"/>
      <c r="E3950" s="128" t="str">
        <f t="shared" si="1"/>
        <v/>
      </c>
    </row>
    <row r="3951">
      <c r="A3951" s="93" t="str">
        <f t="shared" si="2"/>
        <v>#17800</v>
      </c>
      <c r="B3951" s="93" t="str">
        <f>IF(COUNTIF(MAIN!B:B, A3951)=0, "Missing", "")</f>
        <v/>
      </c>
      <c r="C3951" s="128"/>
      <c r="E3951" s="128" t="str">
        <f t="shared" si="1"/>
        <v/>
      </c>
    </row>
    <row r="3952">
      <c r="A3952" s="93" t="str">
        <f t="shared" si="2"/>
        <v>#17801</v>
      </c>
      <c r="B3952" s="93" t="str">
        <f>IF(COUNTIF(MAIN!B:B, A3952)=0, "Missing", "")</f>
        <v/>
      </c>
      <c r="C3952" s="128"/>
      <c r="E3952" s="128" t="str">
        <f t="shared" si="1"/>
        <v/>
      </c>
    </row>
    <row r="3953">
      <c r="A3953" s="93" t="str">
        <f t="shared" si="2"/>
        <v>#17802</v>
      </c>
      <c r="B3953" s="93" t="str">
        <f>IF(COUNTIF(MAIN!B:B, A3953)=0, "Missing", "")</f>
        <v/>
      </c>
      <c r="C3953" s="128"/>
      <c r="E3953" s="128" t="str">
        <f t="shared" si="1"/>
        <v/>
      </c>
    </row>
    <row r="3954">
      <c r="A3954" s="93" t="str">
        <f t="shared" si="2"/>
        <v>#17803</v>
      </c>
      <c r="B3954" s="93" t="str">
        <f>IF(COUNTIF(MAIN!B:B, A3954)=0, "Missing", "")</f>
        <v/>
      </c>
      <c r="C3954" s="128"/>
      <c r="E3954" s="128" t="str">
        <f t="shared" si="1"/>
        <v/>
      </c>
    </row>
    <row r="3955">
      <c r="A3955" s="93" t="str">
        <f t="shared" si="2"/>
        <v>#17804</v>
      </c>
      <c r="B3955" s="93" t="str">
        <f>IF(COUNTIF(MAIN!B:B, A3955)=0, "Missing", "")</f>
        <v/>
      </c>
      <c r="C3955" s="128"/>
      <c r="E3955" s="128" t="str">
        <f t="shared" si="1"/>
        <v/>
      </c>
    </row>
    <row r="3956">
      <c r="A3956" s="93" t="str">
        <f t="shared" si="2"/>
        <v>#17805</v>
      </c>
      <c r="B3956" s="93" t="str">
        <f>IF(COUNTIF(MAIN!B:B, A3956)=0, "Missing", "")</f>
        <v/>
      </c>
      <c r="C3956" s="128"/>
      <c r="E3956" s="128" t="str">
        <f t="shared" si="1"/>
        <v/>
      </c>
    </row>
    <row r="3957">
      <c r="A3957" s="93" t="str">
        <f t="shared" si="2"/>
        <v>#17806</v>
      </c>
      <c r="B3957" s="93" t="str">
        <f>IF(COUNTIF(MAIN!B:B, A3957)=0, "Missing", "")</f>
        <v/>
      </c>
      <c r="C3957" s="128"/>
      <c r="E3957" s="128" t="str">
        <f t="shared" si="1"/>
        <v/>
      </c>
    </row>
    <row r="3958">
      <c r="A3958" s="93" t="str">
        <f t="shared" si="2"/>
        <v>#17807</v>
      </c>
      <c r="B3958" s="93" t="str">
        <f>IF(COUNTIF(MAIN!B:B, A3958)=0, "Missing", "")</f>
        <v/>
      </c>
      <c r="C3958" s="128"/>
      <c r="E3958" s="128" t="str">
        <f t="shared" si="1"/>
        <v/>
      </c>
    </row>
    <row r="3959">
      <c r="A3959" s="93" t="str">
        <f t="shared" si="2"/>
        <v>#17808</v>
      </c>
      <c r="B3959" s="93" t="str">
        <f>IF(COUNTIF(MAIN!B:B, A3959)=0, "Missing", "")</f>
        <v/>
      </c>
      <c r="C3959" s="128"/>
      <c r="E3959" s="128" t="str">
        <f t="shared" si="1"/>
        <v/>
      </c>
    </row>
    <row r="3960">
      <c r="A3960" s="93" t="str">
        <f t="shared" si="2"/>
        <v>#17809</v>
      </c>
      <c r="B3960" s="93" t="str">
        <f>IF(COUNTIF(MAIN!B:B, A3960)=0, "Missing", "")</f>
        <v/>
      </c>
      <c r="C3960" s="128"/>
      <c r="E3960" s="128" t="str">
        <f t="shared" si="1"/>
        <v/>
      </c>
    </row>
    <row r="3961">
      <c r="A3961" s="93" t="str">
        <f t="shared" si="2"/>
        <v>#17810</v>
      </c>
      <c r="B3961" s="93" t="str">
        <f>IF(COUNTIF(MAIN!B:B, A3961)=0, "Missing", "")</f>
        <v/>
      </c>
      <c r="C3961" s="128"/>
      <c r="E3961" s="128" t="str">
        <f t="shared" si="1"/>
        <v/>
      </c>
    </row>
    <row r="3962">
      <c r="A3962" s="93" t="str">
        <f t="shared" si="2"/>
        <v>#17811</v>
      </c>
      <c r="B3962" s="93" t="str">
        <f>IF(COUNTIF(MAIN!B:B, A3962)=0, "Missing", "")</f>
        <v/>
      </c>
      <c r="C3962" s="128"/>
      <c r="E3962" s="128" t="str">
        <f t="shared" si="1"/>
        <v/>
      </c>
    </row>
    <row r="3963">
      <c r="A3963" s="93" t="str">
        <f t="shared" si="2"/>
        <v>#17812</v>
      </c>
      <c r="B3963" s="93" t="str">
        <f>IF(COUNTIF(MAIN!B:B, A3963)=0, "Missing", "")</f>
        <v/>
      </c>
      <c r="C3963" s="128"/>
      <c r="E3963" s="128" t="str">
        <f t="shared" si="1"/>
        <v/>
      </c>
    </row>
    <row r="3964">
      <c r="A3964" s="93" t="str">
        <f t="shared" si="2"/>
        <v>#17813</v>
      </c>
      <c r="B3964" s="93" t="str">
        <f>IF(COUNTIF(MAIN!B:B, A3964)=0, "Missing", "")</f>
        <v/>
      </c>
      <c r="C3964" s="128"/>
      <c r="E3964" s="128" t="str">
        <f t="shared" si="1"/>
        <v/>
      </c>
    </row>
    <row r="3965">
      <c r="A3965" s="93" t="str">
        <f t="shared" si="2"/>
        <v>#17814</v>
      </c>
      <c r="B3965" s="93" t="str">
        <f>IF(COUNTIF(MAIN!B:B, A3965)=0, "Missing", "")</f>
        <v/>
      </c>
      <c r="C3965" s="128"/>
      <c r="E3965" s="128" t="str">
        <f t="shared" si="1"/>
        <v/>
      </c>
    </row>
    <row r="3966">
      <c r="A3966" s="93" t="str">
        <f t="shared" si="2"/>
        <v>#17815</v>
      </c>
      <c r="B3966" s="93" t="str">
        <f>IF(COUNTIF(MAIN!B:B, A3966)=0, "Missing", "")</f>
        <v/>
      </c>
      <c r="C3966" s="128"/>
      <c r="E3966" s="128" t="str">
        <f t="shared" si="1"/>
        <v/>
      </c>
    </row>
    <row r="3967">
      <c r="A3967" s="93" t="str">
        <f t="shared" si="2"/>
        <v>#17816</v>
      </c>
      <c r="B3967" s="93" t="str">
        <f>IF(COUNTIF(MAIN!B:B, A3967)=0, "Missing", "")</f>
        <v/>
      </c>
      <c r="C3967" s="128"/>
      <c r="E3967" s="128" t="str">
        <f t="shared" si="1"/>
        <v/>
      </c>
    </row>
    <row r="3968">
      <c r="A3968" s="93" t="str">
        <f t="shared" si="2"/>
        <v>#17817</v>
      </c>
      <c r="B3968" s="93" t="str">
        <f>IF(COUNTIF(MAIN!B:B, A3968)=0, "Missing", "")</f>
        <v/>
      </c>
      <c r="C3968" s="128"/>
      <c r="E3968" s="128" t="str">
        <f t="shared" si="1"/>
        <v/>
      </c>
    </row>
    <row r="3969">
      <c r="A3969" s="93" t="str">
        <f t="shared" si="2"/>
        <v>#17818</v>
      </c>
      <c r="B3969" s="93" t="str">
        <f>IF(COUNTIF(MAIN!B:B, A3969)=0, "Missing", "")</f>
        <v/>
      </c>
      <c r="C3969" s="128"/>
      <c r="E3969" s="128" t="str">
        <f t="shared" si="1"/>
        <v/>
      </c>
    </row>
    <row r="3970">
      <c r="A3970" s="93" t="str">
        <f t="shared" si="2"/>
        <v>#17819</v>
      </c>
      <c r="B3970" s="93" t="str">
        <f>IF(COUNTIF(MAIN!B:B, A3970)=0, "Missing", "")</f>
        <v/>
      </c>
      <c r="C3970" s="128"/>
      <c r="E3970" s="128" t="str">
        <f t="shared" si="1"/>
        <v/>
      </c>
    </row>
    <row r="3971">
      <c r="A3971" s="93" t="str">
        <f t="shared" si="2"/>
        <v>#17820</v>
      </c>
      <c r="B3971" s="93" t="str">
        <f>IF(COUNTIF(MAIN!B:B, A3971)=0, "Missing", "")</f>
        <v/>
      </c>
      <c r="C3971" s="128"/>
      <c r="E3971" s="128" t="str">
        <f t="shared" si="1"/>
        <v/>
      </c>
    </row>
    <row r="3972">
      <c r="A3972" s="93" t="str">
        <f t="shared" si="2"/>
        <v>#17821</v>
      </c>
      <c r="B3972" s="93" t="str">
        <f>IF(COUNTIF(MAIN!B:B, A3972)=0, "Missing", "")</f>
        <v/>
      </c>
      <c r="C3972" s="128"/>
      <c r="E3972" s="128" t="str">
        <f t="shared" si="1"/>
        <v/>
      </c>
    </row>
    <row r="3973">
      <c r="A3973" s="93" t="str">
        <f t="shared" si="2"/>
        <v>#17822</v>
      </c>
      <c r="B3973" s="93" t="str">
        <f>IF(COUNTIF(MAIN!B:B, A3973)=0, "Missing", "")</f>
        <v/>
      </c>
      <c r="C3973" s="128"/>
      <c r="E3973" s="128" t="str">
        <f t="shared" si="1"/>
        <v/>
      </c>
    </row>
    <row r="3974">
      <c r="A3974" s="93" t="str">
        <f t="shared" si="2"/>
        <v>#17823</v>
      </c>
      <c r="B3974" s="93" t="str">
        <f>IF(COUNTIF(MAIN!B:B, A3974)=0, "Missing", "")</f>
        <v/>
      </c>
      <c r="C3974" s="128"/>
      <c r="E3974" s="128" t="str">
        <f t="shared" si="1"/>
        <v/>
      </c>
    </row>
    <row r="3975">
      <c r="A3975" s="93" t="str">
        <f t="shared" si="2"/>
        <v>#17824</v>
      </c>
      <c r="B3975" s="93" t="str">
        <f>IF(COUNTIF(MAIN!B:B, A3975)=0, "Missing", "")</f>
        <v/>
      </c>
      <c r="C3975" s="128"/>
      <c r="E3975" s="128" t="str">
        <f t="shared" si="1"/>
        <v/>
      </c>
    </row>
    <row r="3976">
      <c r="A3976" s="93" t="str">
        <f t="shared" si="2"/>
        <v>#17825</v>
      </c>
      <c r="B3976" s="93" t="str">
        <f>IF(COUNTIF(MAIN!B:B, A3976)=0, "Missing", "")</f>
        <v/>
      </c>
      <c r="C3976" s="128"/>
      <c r="E3976" s="128" t="str">
        <f t="shared" si="1"/>
        <v/>
      </c>
    </row>
    <row r="3977">
      <c r="A3977" s="93" t="str">
        <f t="shared" si="2"/>
        <v>#17826</v>
      </c>
      <c r="B3977" s="93" t="str">
        <f>IF(COUNTIF(MAIN!B:B, A3977)=0, "Missing", "")</f>
        <v/>
      </c>
      <c r="C3977" s="128"/>
      <c r="E3977" s="128" t="str">
        <f t="shared" si="1"/>
        <v/>
      </c>
    </row>
    <row r="3978">
      <c r="A3978" s="93" t="str">
        <f t="shared" si="2"/>
        <v>#17827</v>
      </c>
      <c r="B3978" s="93" t="str">
        <f>IF(COUNTIF(MAIN!B:B, A3978)=0, "Missing", "")</f>
        <v/>
      </c>
      <c r="C3978" s="128"/>
      <c r="E3978" s="128" t="str">
        <f t="shared" si="1"/>
        <v/>
      </c>
    </row>
    <row r="3979">
      <c r="A3979" s="93" t="str">
        <f t="shared" si="2"/>
        <v>#17828</v>
      </c>
      <c r="B3979" s="93" t="str">
        <f>IF(COUNTIF(MAIN!B:B, A3979)=0, "Missing", "")</f>
        <v/>
      </c>
      <c r="C3979" s="128"/>
      <c r="E3979" s="128" t="str">
        <f t="shared" si="1"/>
        <v/>
      </c>
    </row>
    <row r="3980">
      <c r="A3980" s="93" t="str">
        <f t="shared" si="2"/>
        <v>#17829</v>
      </c>
      <c r="B3980" s="93" t="str">
        <f>IF(COUNTIF(MAIN!B:B, A3980)=0, "Missing", "")</f>
        <v/>
      </c>
      <c r="C3980" s="128"/>
      <c r="E3980" s="128" t="str">
        <f t="shared" si="1"/>
        <v/>
      </c>
    </row>
    <row r="3981">
      <c r="A3981" s="93" t="str">
        <f t="shared" si="2"/>
        <v>#17830</v>
      </c>
      <c r="B3981" s="93" t="str">
        <f>IF(COUNTIF(MAIN!B:B, A3981)=0, "Missing", "")</f>
        <v/>
      </c>
      <c r="C3981" s="128"/>
      <c r="E3981" s="128" t="str">
        <f t="shared" si="1"/>
        <v/>
      </c>
    </row>
    <row r="3982">
      <c r="A3982" s="93" t="str">
        <f t="shared" si="2"/>
        <v>#17831</v>
      </c>
      <c r="B3982" s="93" t="str">
        <f>IF(COUNTIF(MAIN!B:B, A3982)=0, "Missing", "")</f>
        <v/>
      </c>
      <c r="C3982" s="128"/>
      <c r="E3982" s="128" t="str">
        <f t="shared" si="1"/>
        <v/>
      </c>
    </row>
    <row r="3983">
      <c r="A3983" s="93" t="str">
        <f t="shared" si="2"/>
        <v>#17832</v>
      </c>
      <c r="B3983" s="93" t="str">
        <f>IF(COUNTIF(MAIN!B:B, A3983)=0, "Missing", "")</f>
        <v/>
      </c>
      <c r="C3983" s="128"/>
      <c r="E3983" s="128" t="str">
        <f t="shared" si="1"/>
        <v/>
      </c>
    </row>
    <row r="3984">
      <c r="A3984" s="93" t="str">
        <f t="shared" si="2"/>
        <v>#17833</v>
      </c>
      <c r="B3984" s="93" t="str">
        <f>IF(COUNTIF(MAIN!B:B, A3984)=0, "Missing", "")</f>
        <v/>
      </c>
      <c r="C3984" s="128"/>
      <c r="E3984" s="128" t="str">
        <f t="shared" si="1"/>
        <v/>
      </c>
    </row>
    <row r="3985">
      <c r="A3985" s="93" t="str">
        <f t="shared" si="2"/>
        <v>#17834</v>
      </c>
      <c r="B3985" s="93" t="str">
        <f>IF(COUNTIF(MAIN!B:B, A3985)=0, "Missing", "")</f>
        <v/>
      </c>
      <c r="C3985" s="128"/>
      <c r="E3985" s="128" t="str">
        <f t="shared" si="1"/>
        <v/>
      </c>
    </row>
    <row r="3986">
      <c r="A3986" s="93" t="str">
        <f t="shared" si="2"/>
        <v>#17835</v>
      </c>
      <c r="B3986" s="93" t="str">
        <f>IF(COUNTIF(MAIN!B:B, A3986)=0, "Missing", "")</f>
        <v/>
      </c>
      <c r="C3986" s="128"/>
      <c r="E3986" s="128" t="str">
        <f t="shared" si="1"/>
        <v/>
      </c>
    </row>
    <row r="3987">
      <c r="A3987" s="93" t="str">
        <f t="shared" si="2"/>
        <v>#17836</v>
      </c>
      <c r="B3987" s="93" t="str">
        <f>IF(COUNTIF(MAIN!B:B, A3987)=0, "Missing", "")</f>
        <v/>
      </c>
      <c r="C3987" s="128"/>
      <c r="E3987" s="128" t="str">
        <f t="shared" si="1"/>
        <v/>
      </c>
    </row>
    <row r="3988">
      <c r="A3988" s="93" t="str">
        <f t="shared" si="2"/>
        <v>#17837</v>
      </c>
      <c r="B3988" s="93" t="str">
        <f>IF(COUNTIF(MAIN!B:B, A3988)=0, "Missing", "")</f>
        <v/>
      </c>
      <c r="C3988" s="128"/>
      <c r="E3988" s="128" t="str">
        <f t="shared" si="1"/>
        <v/>
      </c>
    </row>
    <row r="3989">
      <c r="A3989" s="93" t="str">
        <f t="shared" si="2"/>
        <v>#17838</v>
      </c>
      <c r="B3989" s="93" t="str">
        <f>IF(COUNTIF(MAIN!B:B, A3989)=0, "Missing", "")</f>
        <v/>
      </c>
      <c r="C3989" s="128"/>
      <c r="E3989" s="128" t="str">
        <f t="shared" si="1"/>
        <v/>
      </c>
    </row>
    <row r="3990">
      <c r="A3990" s="93" t="str">
        <f t="shared" si="2"/>
        <v>#17839</v>
      </c>
      <c r="B3990" s="93" t="str">
        <f>IF(COUNTIF(MAIN!B:B, A3990)=0, "Missing", "")</f>
        <v/>
      </c>
      <c r="C3990" s="128"/>
      <c r="E3990" s="128" t="str">
        <f t="shared" si="1"/>
        <v/>
      </c>
    </row>
    <row r="3991">
      <c r="A3991" s="93" t="str">
        <f t="shared" si="2"/>
        <v>#17840</v>
      </c>
      <c r="B3991" s="93" t="str">
        <f>IF(COUNTIF(MAIN!B:B, A3991)=0, "Missing", "")</f>
        <v/>
      </c>
      <c r="C3991" s="128"/>
      <c r="E3991" s="128" t="str">
        <f t="shared" si="1"/>
        <v/>
      </c>
    </row>
    <row r="3992">
      <c r="A3992" s="93" t="str">
        <f t="shared" si="2"/>
        <v>#17841</v>
      </c>
      <c r="B3992" s="93" t="str">
        <f>IF(COUNTIF(MAIN!B:B, A3992)=0, "Missing", "")</f>
        <v/>
      </c>
      <c r="C3992" s="128"/>
      <c r="E3992" s="128" t="str">
        <f t="shared" si="1"/>
        <v/>
      </c>
    </row>
    <row r="3993">
      <c r="A3993" s="93" t="str">
        <f t="shared" si="2"/>
        <v>#17842</v>
      </c>
      <c r="B3993" s="93" t="str">
        <f>IF(COUNTIF(MAIN!B:B, A3993)=0, "Missing", "")</f>
        <v/>
      </c>
      <c r="C3993" s="128"/>
      <c r="E3993" s="128" t="str">
        <f t="shared" si="1"/>
        <v/>
      </c>
    </row>
    <row r="3994">
      <c r="A3994" s="93" t="str">
        <f t="shared" si="2"/>
        <v>#17843</v>
      </c>
      <c r="B3994" s="93" t="str">
        <f>IF(COUNTIF(MAIN!B:B, A3994)=0, "Missing", "")</f>
        <v/>
      </c>
      <c r="C3994" s="128"/>
      <c r="E3994" s="128" t="str">
        <f t="shared" si="1"/>
        <v/>
      </c>
    </row>
    <row r="3995">
      <c r="A3995" s="93" t="str">
        <f t="shared" si="2"/>
        <v>#17844</v>
      </c>
      <c r="B3995" s="93" t="str">
        <f>IF(COUNTIF(MAIN!B:B, A3995)=0, "Missing", "")</f>
        <v/>
      </c>
      <c r="C3995" s="128"/>
      <c r="E3995" s="128" t="str">
        <f t="shared" si="1"/>
        <v/>
      </c>
    </row>
    <row r="3996">
      <c r="A3996" s="93" t="str">
        <f t="shared" si="2"/>
        <v>#17845</v>
      </c>
      <c r="B3996" s="93" t="str">
        <f>IF(COUNTIF(MAIN!B:B, A3996)=0, "Missing", "")</f>
        <v/>
      </c>
      <c r="C3996" s="128"/>
      <c r="E3996" s="128" t="str">
        <f t="shared" si="1"/>
        <v/>
      </c>
    </row>
    <row r="3997">
      <c r="A3997" s="93" t="str">
        <f t="shared" si="2"/>
        <v>#17846</v>
      </c>
      <c r="B3997" s="93" t="str">
        <f>IF(COUNTIF(MAIN!B:B, A3997)=0, "Missing", "")</f>
        <v/>
      </c>
      <c r="C3997" s="128"/>
      <c r="E3997" s="128" t="str">
        <f t="shared" si="1"/>
        <v/>
      </c>
    </row>
    <row r="3998">
      <c r="A3998" s="93" t="str">
        <f t="shared" si="2"/>
        <v>#17847</v>
      </c>
      <c r="B3998" s="93" t="str">
        <f>IF(COUNTIF(MAIN!B:B, A3998)=0, "Missing", "")</f>
        <v/>
      </c>
      <c r="C3998" s="128"/>
      <c r="E3998" s="128" t="str">
        <f t="shared" si="1"/>
        <v/>
      </c>
    </row>
    <row r="3999">
      <c r="A3999" s="93" t="str">
        <f t="shared" si="2"/>
        <v>#17848</v>
      </c>
      <c r="B3999" s="93" t="str">
        <f>IF(COUNTIF(MAIN!B:B, A3999)=0, "Missing", "")</f>
        <v/>
      </c>
      <c r="C3999" s="128"/>
      <c r="E3999" s="128" t="str">
        <f t="shared" si="1"/>
        <v/>
      </c>
    </row>
    <row r="4000">
      <c r="A4000" s="93" t="str">
        <f t="shared" si="2"/>
        <v>#17849</v>
      </c>
      <c r="B4000" s="93" t="str">
        <f>IF(COUNTIF(MAIN!B:B, A4000)=0, "Missing", "")</f>
        <v/>
      </c>
      <c r="C4000" s="128"/>
      <c r="E4000" s="128" t="str">
        <f t="shared" si="1"/>
        <v/>
      </c>
    </row>
    <row r="4001">
      <c r="A4001" s="93" t="str">
        <f t="shared" si="2"/>
        <v>#17850</v>
      </c>
      <c r="B4001" s="93" t="str">
        <f>IF(COUNTIF(MAIN!B:B, A4001)=0, "Missing", "")</f>
        <v/>
      </c>
      <c r="C4001" s="128"/>
      <c r="E4001" s="128" t="str">
        <f t="shared" si="1"/>
        <v/>
      </c>
    </row>
  </sheetData>
  <conditionalFormatting sqref="A1:B4001 F1">
    <cfRule type="expression" dxfId="6" priority="1">
      <formula>$B1="Missing"</formula>
    </cfRule>
  </conditionalFormatting>
  <conditionalFormatting sqref="A1:J4001">
    <cfRule type="expression" dxfId="7" priority="2">
      <formula>$A1=$G$2</formula>
    </cfRule>
  </conditionalFormatting>
  <conditionalFormatting sqref="A1:B4001 F1">
    <cfRule type="expression" dxfId="8" priority="3">
      <formula>$B1="Rental Return"</formula>
    </cfRule>
  </conditionalFormatting>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0.13"/>
    <col customWidth="1" min="3" max="3" width="23.88"/>
    <col customWidth="1" min="4" max="4" width="12.38"/>
    <col customWidth="1" min="5" max="5" width="16.13"/>
    <col customWidth="1" min="6" max="6" width="42.25"/>
    <col customWidth="1" min="7" max="7" width="8.25"/>
    <col customWidth="1" min="8" max="10" width="9.63"/>
    <col customWidth="1" min="11" max="12" width="60.13"/>
    <col customWidth="1" min="13" max="13" width="3.63"/>
    <col customWidth="1" min="14" max="14" width="24.38"/>
    <col customWidth="1" min="16" max="16" width="10.5"/>
    <col customWidth="1" min="17" max="18" width="17.63"/>
    <col customWidth="1" min="19" max="19" width="31.75"/>
    <col customWidth="1" min="20" max="20" width="151.38"/>
  </cols>
  <sheetData>
    <row r="1">
      <c r="A1" s="84" t="s">
        <v>14039</v>
      </c>
      <c r="B1" s="84" t="s">
        <v>1</v>
      </c>
      <c r="C1" s="84" t="s">
        <v>15279</v>
      </c>
      <c r="D1" s="84" t="s">
        <v>15280</v>
      </c>
      <c r="E1" s="84" t="s">
        <v>36</v>
      </c>
      <c r="F1" s="84" t="s">
        <v>5</v>
      </c>
      <c r="G1" s="84"/>
      <c r="H1" s="84"/>
      <c r="I1" s="84"/>
      <c r="J1" s="84"/>
      <c r="K1" s="84" t="s">
        <v>10</v>
      </c>
      <c r="L1" s="84" t="s">
        <v>11</v>
      </c>
      <c r="M1" s="84"/>
      <c r="N1" s="84" t="s">
        <v>13</v>
      </c>
      <c r="O1" s="84" t="s">
        <v>14162</v>
      </c>
      <c r="P1" s="84" t="s">
        <v>15281</v>
      </c>
      <c r="Q1" s="84" t="s">
        <v>15282</v>
      </c>
      <c r="R1" s="84" t="s">
        <v>25</v>
      </c>
      <c r="S1" s="84" t="s">
        <v>20</v>
      </c>
      <c r="T1" s="84" t="s">
        <v>34</v>
      </c>
    </row>
    <row r="2">
      <c r="A2" s="84"/>
      <c r="B2" s="84" t="s">
        <v>39</v>
      </c>
      <c r="C2" s="84" t="s">
        <v>40</v>
      </c>
      <c r="D2" s="84">
        <v>5.402078205E9</v>
      </c>
      <c r="E2" s="84" t="s">
        <v>41</v>
      </c>
      <c r="G2" s="84"/>
      <c r="H2" s="84"/>
      <c r="I2" s="84"/>
      <c r="J2" s="84"/>
      <c r="K2" s="84" t="s">
        <v>42</v>
      </c>
      <c r="L2" s="84" t="s">
        <v>43</v>
      </c>
      <c r="M2" s="84"/>
      <c r="N2" s="84"/>
      <c r="O2" s="84">
        <v>3091.0</v>
      </c>
      <c r="P2" s="134">
        <v>45877.0</v>
      </c>
      <c r="Q2" s="84" t="s">
        <v>44</v>
      </c>
      <c r="R2" s="84" t="s">
        <v>46</v>
      </c>
      <c r="S2" s="84" t="s">
        <v>45</v>
      </c>
    </row>
    <row r="3">
      <c r="A3" s="84"/>
      <c r="B3" s="84" t="s">
        <v>47</v>
      </c>
      <c r="C3" s="84" t="s">
        <v>48</v>
      </c>
      <c r="D3" s="84" t="s">
        <v>49</v>
      </c>
      <c r="E3" s="84" t="s">
        <v>50</v>
      </c>
      <c r="G3" s="84"/>
      <c r="H3" s="84"/>
      <c r="I3" s="84"/>
      <c r="J3" s="84"/>
      <c r="K3" s="84" t="s">
        <v>51</v>
      </c>
      <c r="L3" s="84"/>
      <c r="M3" s="84"/>
      <c r="N3" s="84" t="s">
        <v>52</v>
      </c>
      <c r="O3" s="84" t="s">
        <v>53</v>
      </c>
      <c r="P3" s="134">
        <v>45890.0</v>
      </c>
      <c r="Q3" s="84" t="s">
        <v>54</v>
      </c>
      <c r="R3" s="84"/>
      <c r="S3" s="84" t="s">
        <v>55</v>
      </c>
      <c r="T3" s="84" t="s">
        <v>56</v>
      </c>
    </row>
    <row r="4">
      <c r="A4" s="84"/>
      <c r="B4" s="84" t="s">
        <v>57</v>
      </c>
      <c r="C4" s="84" t="s">
        <v>58</v>
      </c>
      <c r="D4" s="84">
        <v>9.495312E9</v>
      </c>
      <c r="E4" s="84" t="s">
        <v>59</v>
      </c>
      <c r="G4" s="84"/>
      <c r="H4" s="84"/>
      <c r="I4" s="84"/>
      <c r="J4" s="84"/>
      <c r="K4" s="84" t="s">
        <v>51</v>
      </c>
      <c r="L4" s="84"/>
      <c r="M4" s="84"/>
      <c r="N4" s="84" t="s">
        <v>52</v>
      </c>
      <c r="O4" s="84">
        <v>4052.0</v>
      </c>
      <c r="P4" s="134">
        <v>45891.0</v>
      </c>
      <c r="Q4" s="84" t="s">
        <v>60</v>
      </c>
      <c r="R4" s="84"/>
      <c r="S4" s="84" t="s">
        <v>61</v>
      </c>
      <c r="T4" s="84" t="s">
        <v>62</v>
      </c>
    </row>
    <row r="5">
      <c r="A5" s="84"/>
      <c r="B5" s="84" t="s">
        <v>63</v>
      </c>
      <c r="C5" s="84" t="s">
        <v>64</v>
      </c>
      <c r="D5" s="84">
        <v>5.169985553E9</v>
      </c>
      <c r="E5" s="84" t="s">
        <v>65</v>
      </c>
      <c r="G5" s="84"/>
      <c r="H5" s="84"/>
      <c r="I5" s="84"/>
      <c r="J5" s="84"/>
      <c r="K5" s="84" t="s">
        <v>66</v>
      </c>
      <c r="L5" s="84" t="s">
        <v>67</v>
      </c>
      <c r="M5" s="84"/>
      <c r="N5" s="84" t="s">
        <v>52</v>
      </c>
      <c r="O5" s="84">
        <v>3304.0</v>
      </c>
      <c r="P5" s="134">
        <v>45883.0</v>
      </c>
      <c r="Q5" s="84" t="s">
        <v>54</v>
      </c>
      <c r="R5" s="84"/>
      <c r="S5" s="84" t="s">
        <v>68</v>
      </c>
      <c r="T5" s="84" t="s">
        <v>69</v>
      </c>
    </row>
    <row r="6">
      <c r="A6" s="84"/>
      <c r="B6" s="84" t="s">
        <v>79</v>
      </c>
      <c r="C6" s="84" t="s">
        <v>80</v>
      </c>
      <c r="D6" s="84">
        <v>7.087372613E9</v>
      </c>
      <c r="E6" s="84" t="s">
        <v>81</v>
      </c>
      <c r="G6" s="84"/>
      <c r="H6" s="84"/>
      <c r="I6" s="84"/>
      <c r="J6" s="84"/>
      <c r="K6" s="84" t="s">
        <v>51</v>
      </c>
      <c r="L6" s="84"/>
      <c r="M6" s="84"/>
      <c r="N6" s="84" t="s">
        <v>52</v>
      </c>
      <c r="O6" s="84">
        <v>4000.0</v>
      </c>
      <c r="P6" s="134">
        <v>45876.0</v>
      </c>
      <c r="Q6" s="84" t="s">
        <v>54</v>
      </c>
      <c r="R6" s="84"/>
      <c r="S6" s="84" t="s">
        <v>61</v>
      </c>
    </row>
    <row r="7">
      <c r="A7" s="84"/>
      <c r="B7" s="84" t="s">
        <v>82</v>
      </c>
      <c r="C7" s="84" t="s">
        <v>83</v>
      </c>
      <c r="D7" s="84" t="s">
        <v>84</v>
      </c>
      <c r="E7" s="84" t="s">
        <v>85</v>
      </c>
      <c r="F7" s="84" t="s">
        <v>86</v>
      </c>
      <c r="G7" s="84"/>
      <c r="H7" s="84"/>
      <c r="I7" s="84"/>
      <c r="J7" s="84"/>
      <c r="K7" s="84" t="s">
        <v>87</v>
      </c>
      <c r="L7" s="84" t="s">
        <v>43</v>
      </c>
      <c r="M7" s="84"/>
      <c r="N7" s="84"/>
      <c r="P7" s="134">
        <v>45857.0</v>
      </c>
      <c r="Q7" s="84" t="s">
        <v>88</v>
      </c>
      <c r="R7" s="84"/>
      <c r="T7" s="84" t="s">
        <v>89</v>
      </c>
    </row>
    <row r="8">
      <c r="A8" s="84"/>
      <c r="B8" s="84" t="s">
        <v>635</v>
      </c>
      <c r="C8" s="84" t="s">
        <v>636</v>
      </c>
      <c r="D8" s="84">
        <v>5.01676664E9</v>
      </c>
      <c r="E8" s="84" t="s">
        <v>637</v>
      </c>
      <c r="G8" s="84"/>
      <c r="H8" s="84"/>
      <c r="I8" s="84"/>
      <c r="J8" s="84"/>
      <c r="K8" s="84" t="s">
        <v>51</v>
      </c>
      <c r="L8" s="84"/>
      <c r="M8" s="84"/>
      <c r="N8" s="84" t="s">
        <v>52</v>
      </c>
      <c r="O8" s="84" t="s">
        <v>638</v>
      </c>
      <c r="P8" s="134">
        <v>45891.0</v>
      </c>
      <c r="Q8" s="84" t="s">
        <v>88</v>
      </c>
      <c r="R8" s="84"/>
      <c r="S8" s="84" t="s">
        <v>639</v>
      </c>
    </row>
    <row r="9">
      <c r="A9" s="22"/>
      <c r="B9" s="22" t="s">
        <v>635</v>
      </c>
      <c r="C9" s="22" t="s">
        <v>636</v>
      </c>
      <c r="D9" s="22">
        <v>5.01676664E9</v>
      </c>
      <c r="E9" s="22" t="s">
        <v>637</v>
      </c>
      <c r="F9" s="135"/>
      <c r="G9" s="22"/>
      <c r="H9" s="22"/>
      <c r="I9" s="22"/>
      <c r="J9" s="22"/>
      <c r="K9" s="22" t="s">
        <v>66</v>
      </c>
      <c r="L9" s="22" t="s">
        <v>640</v>
      </c>
      <c r="M9" s="22"/>
      <c r="N9" s="22"/>
      <c r="O9" s="22"/>
      <c r="P9" s="136"/>
      <c r="Q9" s="22"/>
      <c r="R9" s="22"/>
      <c r="S9" s="22"/>
      <c r="T9" s="135"/>
      <c r="U9" s="135"/>
      <c r="V9" s="135"/>
      <c r="W9" s="135"/>
      <c r="X9" s="135"/>
    </row>
    <row r="10">
      <c r="A10" s="22"/>
      <c r="B10" s="22" t="s">
        <v>641</v>
      </c>
      <c r="C10" s="22" t="s">
        <v>642</v>
      </c>
      <c r="D10" s="22">
        <v>5.033339851E9</v>
      </c>
      <c r="E10" s="22" t="s">
        <v>643</v>
      </c>
      <c r="F10" s="135"/>
      <c r="G10" s="22"/>
      <c r="H10" s="22"/>
      <c r="I10" s="22"/>
      <c r="J10" s="22"/>
      <c r="K10" s="22" t="s">
        <v>66</v>
      </c>
      <c r="L10" s="22" t="s">
        <v>644</v>
      </c>
      <c r="M10" s="22"/>
      <c r="N10" s="22" t="s">
        <v>52</v>
      </c>
      <c r="O10" s="22" t="s">
        <v>645</v>
      </c>
      <c r="P10" s="136">
        <v>45883.0</v>
      </c>
      <c r="Q10" s="22" t="s">
        <v>54</v>
      </c>
      <c r="R10" s="22"/>
      <c r="S10" s="22" t="s">
        <v>633</v>
      </c>
      <c r="T10" s="135"/>
      <c r="U10" s="135"/>
      <c r="V10" s="135"/>
      <c r="W10" s="135"/>
      <c r="X10" s="135"/>
    </row>
    <row r="11">
      <c r="A11" s="84"/>
      <c r="B11" s="84" t="s">
        <v>646</v>
      </c>
      <c r="C11" s="84" t="s">
        <v>414</v>
      </c>
      <c r="D11" s="84">
        <v>5.513021447E9</v>
      </c>
      <c r="E11" s="84" t="s">
        <v>647</v>
      </c>
      <c r="G11" s="84"/>
      <c r="H11" s="84"/>
      <c r="I11" s="84"/>
      <c r="J11" s="84"/>
      <c r="K11" s="84" t="s">
        <v>66</v>
      </c>
      <c r="L11" s="84" t="s">
        <v>648</v>
      </c>
      <c r="M11" s="84"/>
      <c r="N11" s="84" t="s">
        <v>52</v>
      </c>
      <c r="O11" s="84" t="s">
        <v>258</v>
      </c>
      <c r="P11" s="134">
        <v>45886.0</v>
      </c>
      <c r="Q11" s="84" t="s">
        <v>54</v>
      </c>
      <c r="R11" s="84"/>
      <c r="S11" s="84" t="s">
        <v>102</v>
      </c>
    </row>
    <row r="12">
      <c r="A12" s="84"/>
      <c r="B12" s="84" t="s">
        <v>649</v>
      </c>
      <c r="C12" s="84" t="s">
        <v>650</v>
      </c>
      <c r="D12" s="84">
        <v>5.084146973E9</v>
      </c>
      <c r="E12" s="84" t="s">
        <v>651</v>
      </c>
      <c r="G12" s="84"/>
      <c r="H12" s="84"/>
      <c r="I12" s="84"/>
      <c r="J12" s="84"/>
      <c r="K12" s="84" t="s">
        <v>66</v>
      </c>
      <c r="L12" s="1" t="s">
        <v>652</v>
      </c>
      <c r="M12" s="84"/>
      <c r="N12" s="84" t="s">
        <v>52</v>
      </c>
      <c r="O12" s="84">
        <v>3023.0</v>
      </c>
      <c r="P12" s="134">
        <v>45888.0</v>
      </c>
      <c r="Q12" s="84" t="s">
        <v>125</v>
      </c>
      <c r="R12" s="84"/>
      <c r="S12" s="84" t="s">
        <v>653</v>
      </c>
      <c r="T12" s="84" t="s">
        <v>654</v>
      </c>
    </row>
    <row r="13">
      <c r="A13" s="22"/>
      <c r="B13" s="22" t="s">
        <v>655</v>
      </c>
      <c r="C13" s="22" t="s">
        <v>656</v>
      </c>
      <c r="D13" s="22">
        <v>7.87236208E9</v>
      </c>
      <c r="E13" s="22" t="s">
        <v>657</v>
      </c>
      <c r="F13" s="135"/>
      <c r="G13" s="22"/>
      <c r="H13" s="22"/>
      <c r="I13" s="22"/>
      <c r="J13" s="22"/>
      <c r="K13" s="22" t="s">
        <v>66</v>
      </c>
      <c r="L13" s="22" t="s">
        <v>640</v>
      </c>
      <c r="M13" s="22"/>
      <c r="N13" s="22" t="s">
        <v>52</v>
      </c>
      <c r="O13" s="22">
        <v>1062.0</v>
      </c>
      <c r="P13" s="136">
        <v>45891.0</v>
      </c>
      <c r="Q13" s="22" t="s">
        <v>88</v>
      </c>
      <c r="R13" s="22"/>
      <c r="S13" s="22" t="s">
        <v>215</v>
      </c>
      <c r="T13" s="22" t="s">
        <v>658</v>
      </c>
      <c r="U13" s="135"/>
      <c r="V13" s="135"/>
      <c r="W13" s="135"/>
      <c r="X13" s="135"/>
    </row>
    <row r="14">
      <c r="A14" s="84"/>
      <c r="B14" s="84" t="s">
        <v>659</v>
      </c>
      <c r="C14" s="84" t="s">
        <v>40</v>
      </c>
      <c r="D14" s="84">
        <v>5.402078205E9</v>
      </c>
      <c r="E14" s="84" t="s">
        <v>41</v>
      </c>
      <c r="G14" s="84"/>
      <c r="H14" s="84"/>
      <c r="I14" s="84"/>
      <c r="J14" s="84"/>
      <c r="K14" s="84" t="s">
        <v>51</v>
      </c>
      <c r="L14" s="84"/>
      <c r="M14" s="84"/>
      <c r="N14" s="84" t="s">
        <v>52</v>
      </c>
      <c r="O14" s="84">
        <v>3301.0</v>
      </c>
      <c r="P14" s="134">
        <v>45877.0</v>
      </c>
      <c r="Q14" s="84" t="s">
        <v>44</v>
      </c>
      <c r="R14" s="84"/>
      <c r="S14" s="84" t="s">
        <v>116</v>
      </c>
      <c r="T14" s="84" t="s">
        <v>660</v>
      </c>
    </row>
    <row r="15">
      <c r="A15" s="84"/>
      <c r="B15" s="84" t="s">
        <v>661</v>
      </c>
      <c r="C15" s="84" t="s">
        <v>662</v>
      </c>
      <c r="D15" s="84">
        <v>3.146857851E9</v>
      </c>
      <c r="E15" s="84" t="s">
        <v>663</v>
      </c>
      <c r="G15" s="84"/>
      <c r="H15" s="84"/>
      <c r="I15" s="84"/>
      <c r="J15" s="84"/>
      <c r="K15" s="84" t="s">
        <v>51</v>
      </c>
      <c r="L15" s="84"/>
      <c r="M15" s="84"/>
      <c r="N15" s="84" t="s">
        <v>52</v>
      </c>
      <c r="O15" s="84">
        <v>4104.0</v>
      </c>
      <c r="P15" s="134">
        <v>45889.0</v>
      </c>
      <c r="Q15" s="84" t="s">
        <v>96</v>
      </c>
      <c r="R15" s="84"/>
      <c r="S15" s="84" t="s">
        <v>551</v>
      </c>
    </row>
    <row r="16">
      <c r="A16" s="84"/>
      <c r="B16" s="84" t="s">
        <v>664</v>
      </c>
      <c r="C16" s="84" t="s">
        <v>665</v>
      </c>
      <c r="D16" s="84">
        <v>4.806949495E9</v>
      </c>
      <c r="E16" s="84" t="s">
        <v>666</v>
      </c>
      <c r="G16" s="84"/>
      <c r="H16" s="84"/>
      <c r="I16" s="84"/>
      <c r="J16" s="84"/>
      <c r="K16" s="84" t="s">
        <v>66</v>
      </c>
      <c r="L16" s="84" t="s">
        <v>648</v>
      </c>
      <c r="M16" s="84"/>
      <c r="N16" s="84" t="s">
        <v>52</v>
      </c>
      <c r="O16" s="84">
        <v>2044.0</v>
      </c>
      <c r="P16" s="134">
        <v>45891.0</v>
      </c>
      <c r="Q16" s="84" t="s">
        <v>54</v>
      </c>
      <c r="R16" s="84"/>
      <c r="S16" s="84" t="s">
        <v>620</v>
      </c>
    </row>
    <row r="17">
      <c r="A17" s="84"/>
      <c r="B17" s="84" t="s">
        <v>667</v>
      </c>
      <c r="C17" s="84" t="s">
        <v>668</v>
      </c>
      <c r="D17" s="84">
        <v>9.179410655E9</v>
      </c>
      <c r="E17" s="84" t="s">
        <v>669</v>
      </c>
      <c r="G17" s="84"/>
      <c r="H17" s="84"/>
      <c r="I17" s="84"/>
      <c r="J17" s="84"/>
      <c r="K17" s="84" t="s">
        <v>51</v>
      </c>
      <c r="L17" s="84"/>
      <c r="M17" s="84"/>
      <c r="N17" s="84" t="s">
        <v>52</v>
      </c>
      <c r="O17" s="84">
        <v>3061.0</v>
      </c>
      <c r="P17" s="134">
        <v>45877.0</v>
      </c>
      <c r="Q17" s="84" t="s">
        <v>125</v>
      </c>
      <c r="R17" s="84"/>
      <c r="S17" s="84" t="s">
        <v>215</v>
      </c>
      <c r="T17" s="84" t="s">
        <v>670</v>
      </c>
    </row>
    <row r="18">
      <c r="A18" s="84"/>
      <c r="B18" s="84" t="s">
        <v>671</v>
      </c>
      <c r="C18" s="84" t="s">
        <v>672</v>
      </c>
      <c r="D18" s="84">
        <v>8.596199247E9</v>
      </c>
      <c r="E18" s="84" t="s">
        <v>673</v>
      </c>
      <c r="G18" s="84"/>
      <c r="H18" s="84"/>
      <c r="I18" s="84"/>
      <c r="J18" s="84"/>
      <c r="K18" s="84" t="s">
        <v>66</v>
      </c>
      <c r="L18" s="84" t="s">
        <v>648</v>
      </c>
      <c r="M18" s="84"/>
      <c r="N18" s="84" t="s">
        <v>52</v>
      </c>
      <c r="O18" s="84">
        <v>143.0</v>
      </c>
      <c r="P18" s="134">
        <v>45883.0</v>
      </c>
      <c r="Q18" s="84" t="s">
        <v>674</v>
      </c>
      <c r="R18" s="84"/>
      <c r="S18" s="84" t="s">
        <v>675</v>
      </c>
    </row>
    <row r="19">
      <c r="A19" s="84"/>
      <c r="B19" s="84" t="s">
        <v>676</v>
      </c>
      <c r="C19" s="84" t="s">
        <v>677</v>
      </c>
      <c r="D19" s="84">
        <v>3.01529447E9</v>
      </c>
      <c r="E19" s="84" t="s">
        <v>678</v>
      </c>
      <c r="G19" s="84"/>
      <c r="H19" s="84"/>
      <c r="I19" s="84"/>
      <c r="J19" s="84"/>
      <c r="K19" s="84" t="s">
        <v>66</v>
      </c>
      <c r="L19" s="84" t="s">
        <v>648</v>
      </c>
      <c r="M19" s="84"/>
      <c r="N19" s="84" t="s">
        <v>52</v>
      </c>
      <c r="O19" s="84" t="s">
        <v>679</v>
      </c>
      <c r="P19" s="134">
        <v>45891.0</v>
      </c>
      <c r="Q19" s="84" t="s">
        <v>54</v>
      </c>
      <c r="R19" s="84"/>
      <c r="S19" s="84" t="s">
        <v>680</v>
      </c>
    </row>
    <row r="20">
      <c r="A20" s="84"/>
      <c r="B20" s="84" t="s">
        <v>681</v>
      </c>
      <c r="C20" s="84" t="s">
        <v>682</v>
      </c>
      <c r="D20" s="84" t="s">
        <v>683</v>
      </c>
      <c r="E20" s="84" t="s">
        <v>684</v>
      </c>
      <c r="G20" s="84"/>
      <c r="H20" s="84"/>
      <c r="I20" s="84"/>
      <c r="J20" s="84"/>
      <c r="K20" s="84" t="s">
        <v>51</v>
      </c>
      <c r="L20" s="84"/>
      <c r="M20" s="84"/>
      <c r="N20" s="84" t="s">
        <v>124</v>
      </c>
      <c r="O20" s="84">
        <v>202.0</v>
      </c>
      <c r="P20" s="134">
        <v>45891.0</v>
      </c>
      <c r="Q20" s="84" t="s">
        <v>88</v>
      </c>
      <c r="R20" s="84"/>
      <c r="S20" s="84" t="s">
        <v>55</v>
      </c>
    </row>
    <row r="21">
      <c r="A21" s="84"/>
      <c r="B21" s="84" t="s">
        <v>685</v>
      </c>
      <c r="C21" s="84" t="s">
        <v>48</v>
      </c>
      <c r="D21" s="84" t="s">
        <v>686</v>
      </c>
      <c r="E21" s="84" t="s">
        <v>50</v>
      </c>
      <c r="G21" s="84"/>
      <c r="H21" s="84"/>
      <c r="I21" s="84"/>
      <c r="J21" s="84"/>
      <c r="K21" s="84" t="s">
        <v>51</v>
      </c>
      <c r="L21" s="84"/>
      <c r="M21" s="84"/>
      <c r="N21" s="84" t="s">
        <v>52</v>
      </c>
      <c r="O21" s="84" t="s">
        <v>53</v>
      </c>
      <c r="P21" s="134">
        <v>45887.0</v>
      </c>
      <c r="Q21" s="84" t="s">
        <v>54</v>
      </c>
      <c r="R21" s="84"/>
      <c r="S21" s="84" t="s">
        <v>55</v>
      </c>
    </row>
    <row r="22">
      <c r="A22" s="22"/>
      <c r="B22" s="22" t="s">
        <v>687</v>
      </c>
      <c r="C22" s="22" t="s">
        <v>688</v>
      </c>
      <c r="D22" s="22">
        <v>5.155877424E9</v>
      </c>
      <c r="E22" s="22" t="s">
        <v>689</v>
      </c>
      <c r="F22" s="135"/>
      <c r="G22" s="22"/>
      <c r="H22" s="22"/>
      <c r="I22" s="22"/>
      <c r="J22" s="22"/>
      <c r="K22" s="22" t="s">
        <v>66</v>
      </c>
      <c r="L22" s="22" t="s">
        <v>644</v>
      </c>
      <c r="M22" s="22"/>
      <c r="N22" s="22" t="s">
        <v>52</v>
      </c>
      <c r="O22" s="22" t="s">
        <v>690</v>
      </c>
      <c r="P22" s="136">
        <v>45891.0</v>
      </c>
      <c r="Q22" s="22" t="s">
        <v>125</v>
      </c>
      <c r="R22" s="22"/>
      <c r="S22" s="22" t="s">
        <v>222</v>
      </c>
      <c r="T22" s="135"/>
      <c r="U22" s="135"/>
      <c r="V22" s="135"/>
      <c r="W22" s="135"/>
      <c r="X22" s="135"/>
    </row>
    <row r="23">
      <c r="A23" s="84"/>
      <c r="B23" s="84" t="s">
        <v>181</v>
      </c>
      <c r="C23" s="84" t="s">
        <v>182</v>
      </c>
      <c r="D23" s="84">
        <v>6.788306322E9</v>
      </c>
      <c r="E23" s="84" t="s">
        <v>697</v>
      </c>
      <c r="G23" s="84"/>
      <c r="H23" s="84"/>
      <c r="I23" s="84"/>
      <c r="J23" s="84"/>
      <c r="K23" s="84" t="s">
        <v>66</v>
      </c>
      <c r="L23" s="1" t="s">
        <v>652</v>
      </c>
      <c r="M23" s="84"/>
      <c r="N23" s="84" t="s">
        <v>52</v>
      </c>
      <c r="O23" s="84" t="s">
        <v>187</v>
      </c>
      <c r="P23" s="134">
        <v>45870.0</v>
      </c>
      <c r="Q23" s="84" t="s">
        <v>54</v>
      </c>
      <c r="R23" s="84"/>
      <c r="S23" s="84" t="s">
        <v>186</v>
      </c>
      <c r="T23" s="84" t="s">
        <v>698</v>
      </c>
    </row>
    <row r="24">
      <c r="A24" s="84"/>
      <c r="B24" s="84" t="s">
        <v>699</v>
      </c>
      <c r="C24" s="84" t="s">
        <v>72</v>
      </c>
      <c r="D24" s="84">
        <v>9.146464187E9</v>
      </c>
      <c r="E24" s="84" t="s">
        <v>74</v>
      </c>
      <c r="G24" s="84"/>
      <c r="H24" s="84"/>
      <c r="I24" s="84"/>
      <c r="J24" s="84"/>
      <c r="K24" s="84" t="s">
        <v>66</v>
      </c>
      <c r="L24" s="84" t="s">
        <v>648</v>
      </c>
      <c r="M24" s="84"/>
      <c r="N24" s="84" t="s">
        <v>52</v>
      </c>
      <c r="O24" s="84" t="s">
        <v>258</v>
      </c>
      <c r="P24" s="134">
        <v>45883.0</v>
      </c>
      <c r="Q24" s="84" t="s">
        <v>54</v>
      </c>
      <c r="R24" s="84"/>
      <c r="S24" s="84" t="s">
        <v>102</v>
      </c>
    </row>
    <row r="25">
      <c r="A25" s="84"/>
      <c r="B25" s="84" t="s">
        <v>700</v>
      </c>
      <c r="C25" s="84" t="s">
        <v>701</v>
      </c>
      <c r="D25" s="84">
        <v>3.144189591E9</v>
      </c>
      <c r="E25" s="84" t="s">
        <v>702</v>
      </c>
      <c r="G25" s="84"/>
      <c r="H25" s="84"/>
      <c r="I25" s="84"/>
      <c r="J25" s="84"/>
      <c r="K25" s="84" t="s">
        <v>51</v>
      </c>
      <c r="L25" s="84"/>
      <c r="M25" s="84"/>
      <c r="N25" s="84" t="s">
        <v>52</v>
      </c>
      <c r="O25" s="84">
        <v>4181.0</v>
      </c>
      <c r="P25" s="134">
        <v>45889.0</v>
      </c>
      <c r="Q25" s="84" t="s">
        <v>88</v>
      </c>
      <c r="R25" s="84"/>
      <c r="S25" s="84" t="s">
        <v>551</v>
      </c>
      <c r="T25" s="84" t="s">
        <v>703</v>
      </c>
    </row>
    <row r="26">
      <c r="A26" s="84"/>
      <c r="B26" s="84" t="s">
        <v>704</v>
      </c>
      <c r="C26" s="84" t="s">
        <v>705</v>
      </c>
      <c r="D26" s="84" t="s">
        <v>706</v>
      </c>
      <c r="E26" s="84" t="s">
        <v>707</v>
      </c>
      <c r="F26" s="84" t="s">
        <v>708</v>
      </c>
      <c r="G26" s="84"/>
      <c r="H26" s="84"/>
      <c r="I26" s="84"/>
      <c r="J26" s="84"/>
      <c r="K26" s="84" t="s">
        <v>51</v>
      </c>
      <c r="L26" s="84"/>
      <c r="M26" s="84"/>
      <c r="N26" s="84" t="s">
        <v>124</v>
      </c>
      <c r="P26" s="134">
        <v>45889.0</v>
      </c>
      <c r="Q26" s="84" t="s">
        <v>60</v>
      </c>
      <c r="R26" s="84"/>
      <c r="T26" s="84" t="s">
        <v>709</v>
      </c>
    </row>
    <row r="27">
      <c r="A27" s="84"/>
      <c r="B27" s="84" t="s">
        <v>710</v>
      </c>
      <c r="C27" s="84" t="s">
        <v>711</v>
      </c>
      <c r="D27" s="84">
        <v>4.439707907E9</v>
      </c>
      <c r="E27" s="84" t="s">
        <v>712</v>
      </c>
      <c r="G27" s="84"/>
      <c r="H27" s="84"/>
      <c r="I27" s="84"/>
      <c r="J27" s="84"/>
      <c r="K27" s="84" t="s">
        <v>66</v>
      </c>
      <c r="L27" s="84" t="s">
        <v>648</v>
      </c>
      <c r="M27" s="84"/>
      <c r="N27" s="84" t="s">
        <v>52</v>
      </c>
      <c r="O27" s="84">
        <v>3092.0</v>
      </c>
      <c r="P27" s="134">
        <v>45889.0</v>
      </c>
      <c r="Q27" s="84" t="s">
        <v>239</v>
      </c>
      <c r="R27" s="84"/>
      <c r="S27" s="84" t="s">
        <v>680</v>
      </c>
    </row>
    <row r="28">
      <c r="A28" s="22"/>
      <c r="B28" s="22" t="s">
        <v>713</v>
      </c>
      <c r="C28" s="22" t="s">
        <v>714</v>
      </c>
      <c r="D28" s="22">
        <v>5.618152648E9</v>
      </c>
      <c r="E28" s="22" t="s">
        <v>715</v>
      </c>
      <c r="F28" s="135"/>
      <c r="G28" s="22"/>
      <c r="H28" s="22"/>
      <c r="I28" s="22"/>
      <c r="J28" s="22"/>
      <c r="K28" s="22" t="s">
        <v>66</v>
      </c>
      <c r="L28" s="22" t="s">
        <v>640</v>
      </c>
      <c r="M28" s="22"/>
      <c r="N28" s="22" t="s">
        <v>52</v>
      </c>
      <c r="O28" s="22" t="s">
        <v>716</v>
      </c>
      <c r="P28" s="136">
        <v>45889.0</v>
      </c>
      <c r="Q28" s="22" t="s">
        <v>160</v>
      </c>
      <c r="R28" s="22"/>
      <c r="S28" s="22" t="s">
        <v>551</v>
      </c>
      <c r="T28" s="135"/>
      <c r="U28" s="135"/>
      <c r="V28" s="135"/>
      <c r="W28" s="135"/>
      <c r="X28" s="135"/>
    </row>
    <row r="29">
      <c r="A29" s="84"/>
      <c r="B29" s="84" t="s">
        <v>717</v>
      </c>
      <c r="C29" s="84" t="s">
        <v>718</v>
      </c>
      <c r="D29" s="84">
        <v>4.694510901E9</v>
      </c>
      <c r="E29" s="84" t="s">
        <v>719</v>
      </c>
      <c r="G29" s="84"/>
      <c r="H29" s="84"/>
      <c r="I29" s="84"/>
      <c r="J29" s="84"/>
      <c r="K29" s="84" t="s">
        <v>66</v>
      </c>
      <c r="L29" s="84" t="s">
        <v>720</v>
      </c>
      <c r="M29" s="84"/>
      <c r="N29" s="84" t="s">
        <v>52</v>
      </c>
      <c r="O29" s="84" t="s">
        <v>721</v>
      </c>
      <c r="P29" s="134">
        <v>45878.0</v>
      </c>
      <c r="Q29" s="84" t="s">
        <v>54</v>
      </c>
      <c r="R29" s="84"/>
      <c r="S29" s="84" t="s">
        <v>639</v>
      </c>
    </row>
    <row r="30">
      <c r="A30" s="84"/>
      <c r="B30" s="84" t="s">
        <v>722</v>
      </c>
      <c r="C30" s="84" t="s">
        <v>409</v>
      </c>
      <c r="D30" s="84">
        <v>2.019838725E9</v>
      </c>
      <c r="E30" s="84" t="s">
        <v>411</v>
      </c>
      <c r="G30" s="84"/>
      <c r="H30" s="84"/>
      <c r="I30" s="84"/>
      <c r="J30" s="84"/>
      <c r="K30" s="84" t="s">
        <v>66</v>
      </c>
      <c r="L30" s="1" t="s">
        <v>652</v>
      </c>
      <c r="M30" s="84"/>
      <c r="N30" s="84"/>
      <c r="P30" s="134">
        <v>45883.0</v>
      </c>
      <c r="T30" s="84" t="s">
        <v>723</v>
      </c>
    </row>
    <row r="31">
      <c r="A31" s="22"/>
      <c r="B31" s="22" t="s">
        <v>724</v>
      </c>
      <c r="C31" s="22" t="s">
        <v>725</v>
      </c>
      <c r="D31" s="22">
        <v>6.077937487E9</v>
      </c>
      <c r="E31" s="22" t="s">
        <v>726</v>
      </c>
      <c r="F31" s="135"/>
      <c r="G31" s="22"/>
      <c r="H31" s="22"/>
      <c r="I31" s="22"/>
      <c r="J31" s="22"/>
      <c r="K31" s="22" t="s">
        <v>66</v>
      </c>
      <c r="L31" s="22" t="s">
        <v>727</v>
      </c>
      <c r="M31" s="22"/>
      <c r="N31" s="22" t="s">
        <v>52</v>
      </c>
      <c r="O31" s="22" t="s">
        <v>103</v>
      </c>
      <c r="P31" s="136">
        <v>45883.0</v>
      </c>
      <c r="Q31" s="22" t="s">
        <v>728</v>
      </c>
      <c r="R31" s="22"/>
      <c r="S31" s="22" t="s">
        <v>102</v>
      </c>
      <c r="T31" s="135"/>
      <c r="U31" s="135"/>
      <c r="V31" s="135"/>
      <c r="W31" s="135"/>
      <c r="X31" s="135"/>
    </row>
    <row r="32">
      <c r="A32" s="84"/>
      <c r="B32" s="84" t="s">
        <v>729</v>
      </c>
      <c r="C32" s="84" t="s">
        <v>730</v>
      </c>
      <c r="D32" s="84">
        <v>9.17699277E9</v>
      </c>
      <c r="E32" s="84" t="s">
        <v>731</v>
      </c>
      <c r="G32" s="84"/>
      <c r="H32" s="84"/>
      <c r="I32" s="84"/>
      <c r="J32" s="84"/>
      <c r="K32" s="84" t="s">
        <v>66</v>
      </c>
      <c r="L32" s="84" t="s">
        <v>648</v>
      </c>
      <c r="M32" s="84"/>
      <c r="N32" s="84" t="s">
        <v>52</v>
      </c>
      <c r="O32" s="84">
        <v>1111.0</v>
      </c>
      <c r="P32" s="134">
        <v>45883.0</v>
      </c>
      <c r="Q32" s="84" t="s">
        <v>125</v>
      </c>
      <c r="R32" s="84"/>
      <c r="S32" s="84" t="s">
        <v>680</v>
      </c>
    </row>
    <row r="33">
      <c r="A33" s="22"/>
      <c r="B33" s="22" t="s">
        <v>217</v>
      </c>
      <c r="C33" s="22" t="s">
        <v>218</v>
      </c>
      <c r="D33" s="22">
        <v>4.043457378E9</v>
      </c>
      <c r="E33" s="22" t="s">
        <v>220</v>
      </c>
      <c r="F33" s="135"/>
      <c r="G33" s="22"/>
      <c r="H33" s="22"/>
      <c r="I33" s="22"/>
      <c r="J33" s="22"/>
      <c r="K33" s="22" t="s">
        <v>66</v>
      </c>
      <c r="L33" s="22" t="s">
        <v>640</v>
      </c>
      <c r="M33" s="22"/>
      <c r="N33" s="22" t="s">
        <v>52</v>
      </c>
      <c r="O33" s="22" t="s">
        <v>223</v>
      </c>
      <c r="P33" s="136">
        <v>45878.0</v>
      </c>
      <c r="Q33" s="22" t="s">
        <v>44</v>
      </c>
      <c r="R33" s="22"/>
      <c r="S33" s="22" t="s">
        <v>222</v>
      </c>
      <c r="T33" s="22" t="s">
        <v>732</v>
      </c>
      <c r="U33" s="135"/>
      <c r="V33" s="135"/>
      <c r="W33" s="135"/>
      <c r="X33" s="135"/>
    </row>
    <row r="34">
      <c r="A34" s="22"/>
      <c r="B34" s="22" t="s">
        <v>733</v>
      </c>
      <c r="C34" s="22" t="s">
        <v>734</v>
      </c>
      <c r="D34" s="22">
        <v>8.43499233E9</v>
      </c>
      <c r="E34" s="22" t="s">
        <v>735</v>
      </c>
      <c r="F34" s="135"/>
      <c r="G34" s="22"/>
      <c r="H34" s="22"/>
      <c r="I34" s="22"/>
      <c r="J34" s="22"/>
      <c r="K34" s="22" t="s">
        <v>66</v>
      </c>
      <c r="L34" s="22" t="s">
        <v>640</v>
      </c>
      <c r="M34" s="22"/>
      <c r="N34" s="22" t="s">
        <v>52</v>
      </c>
      <c r="O34" s="22" t="s">
        <v>736</v>
      </c>
      <c r="P34" s="136">
        <v>45876.0</v>
      </c>
      <c r="Q34" s="22" t="s">
        <v>160</v>
      </c>
      <c r="R34" s="22"/>
      <c r="S34" s="22" t="s">
        <v>737</v>
      </c>
      <c r="T34" s="135"/>
      <c r="U34" s="135"/>
      <c r="V34" s="135"/>
      <c r="W34" s="135"/>
      <c r="X34" s="135"/>
    </row>
    <row r="35">
      <c r="A35" s="84"/>
      <c r="B35" s="84" t="s">
        <v>754</v>
      </c>
      <c r="C35" s="84" t="s">
        <v>755</v>
      </c>
      <c r="D35" s="84">
        <v>6.198502951E9</v>
      </c>
      <c r="E35" s="84" t="s">
        <v>756</v>
      </c>
      <c r="F35" s="84" t="s">
        <v>757</v>
      </c>
      <c r="G35" s="84"/>
      <c r="H35" s="84"/>
      <c r="I35" s="84"/>
      <c r="J35" s="84"/>
      <c r="K35" s="84" t="s">
        <v>51</v>
      </c>
      <c r="L35" s="84"/>
      <c r="M35" s="84"/>
      <c r="N35" s="84" t="s">
        <v>124</v>
      </c>
      <c r="P35" s="134">
        <v>45891.0</v>
      </c>
      <c r="Q35" s="84" t="s">
        <v>160</v>
      </c>
      <c r="R35" s="84"/>
    </row>
    <row r="36">
      <c r="A36" s="84"/>
      <c r="B36" s="84" t="s">
        <v>229</v>
      </c>
      <c r="D36" s="84">
        <v>1.2143369342E10</v>
      </c>
      <c r="E36" s="84" t="s">
        <v>231</v>
      </c>
      <c r="G36" s="84"/>
      <c r="H36" s="84"/>
      <c r="I36" s="84"/>
      <c r="J36" s="84"/>
      <c r="K36" s="84" t="s">
        <v>66</v>
      </c>
      <c r="L36" s="1" t="s">
        <v>652</v>
      </c>
      <c r="M36" s="84"/>
      <c r="N36" s="84" t="s">
        <v>52</v>
      </c>
      <c r="O36" s="84">
        <v>3322.0</v>
      </c>
      <c r="P36" s="134">
        <v>45883.0</v>
      </c>
      <c r="Q36" s="84" t="s">
        <v>54</v>
      </c>
      <c r="R36" s="84"/>
      <c r="S36" s="84" t="s">
        <v>109</v>
      </c>
      <c r="T36" s="84" t="s">
        <v>758</v>
      </c>
    </row>
    <row r="37">
      <c r="A37" s="84"/>
      <c r="B37" s="84" t="s">
        <v>759</v>
      </c>
      <c r="C37" s="84" t="s">
        <v>760</v>
      </c>
      <c r="D37" s="84">
        <v>1.063268773E9</v>
      </c>
      <c r="E37" s="84" t="s">
        <v>761</v>
      </c>
      <c r="G37" s="84"/>
      <c r="H37" s="84"/>
      <c r="I37" s="84"/>
      <c r="J37" s="84"/>
      <c r="K37" s="84" t="s">
        <v>66</v>
      </c>
      <c r="L37" s="84" t="s">
        <v>648</v>
      </c>
      <c r="M37" s="84"/>
      <c r="N37" s="84" t="s">
        <v>52</v>
      </c>
      <c r="O37" s="84">
        <v>1040.0</v>
      </c>
      <c r="P37" s="134">
        <v>45890.0</v>
      </c>
      <c r="Q37" s="84" t="s">
        <v>160</v>
      </c>
      <c r="R37" s="84"/>
      <c r="S37" s="84" t="s">
        <v>215</v>
      </c>
    </row>
    <row r="38">
      <c r="A38" s="22"/>
      <c r="B38" s="22" t="s">
        <v>762</v>
      </c>
      <c r="C38" s="22" t="s">
        <v>693</v>
      </c>
      <c r="D38" s="22">
        <v>9.739362855E9</v>
      </c>
      <c r="E38" s="22" t="s">
        <v>695</v>
      </c>
      <c r="F38" s="135"/>
      <c r="G38" s="22"/>
      <c r="H38" s="22"/>
      <c r="I38" s="22"/>
      <c r="J38" s="22"/>
      <c r="K38" s="22" t="s">
        <v>66</v>
      </c>
      <c r="L38" s="22" t="s">
        <v>640</v>
      </c>
      <c r="M38" s="22"/>
      <c r="N38" s="22" t="s">
        <v>52</v>
      </c>
      <c r="O38" s="22" t="s">
        <v>258</v>
      </c>
      <c r="P38" s="136">
        <v>45883.0</v>
      </c>
      <c r="Q38" s="22" t="s">
        <v>54</v>
      </c>
      <c r="R38" s="22"/>
      <c r="S38" s="22" t="s">
        <v>102</v>
      </c>
      <c r="T38" s="135"/>
      <c r="U38" s="135"/>
      <c r="V38" s="135"/>
      <c r="W38" s="135"/>
      <c r="X38" s="135"/>
    </row>
    <row r="39">
      <c r="A39" s="84"/>
      <c r="B39" s="84" t="s">
        <v>763</v>
      </c>
      <c r="C39" s="84" t="s">
        <v>764</v>
      </c>
      <c r="D39" s="84">
        <v>9.179579903E9</v>
      </c>
      <c r="E39" s="84" t="s">
        <v>765</v>
      </c>
      <c r="G39" s="84"/>
      <c r="H39" s="84"/>
      <c r="I39" s="84"/>
      <c r="J39" s="84"/>
      <c r="K39" s="84" t="s">
        <v>66</v>
      </c>
      <c r="L39" s="1" t="s">
        <v>652</v>
      </c>
      <c r="M39" s="84"/>
      <c r="N39" s="84" t="s">
        <v>52</v>
      </c>
      <c r="O39" s="84">
        <v>322.0</v>
      </c>
      <c r="P39" s="134">
        <v>45892.0</v>
      </c>
      <c r="Q39" s="84" t="s">
        <v>160</v>
      </c>
      <c r="R39" s="84"/>
      <c r="S39" s="84" t="s">
        <v>766</v>
      </c>
    </row>
    <row r="40">
      <c r="A40" s="84"/>
      <c r="B40" s="84" t="s">
        <v>767</v>
      </c>
      <c r="C40" s="84" t="s">
        <v>768</v>
      </c>
      <c r="D40" s="84">
        <v>9.253341357E9</v>
      </c>
      <c r="E40" s="84" t="s">
        <v>769</v>
      </c>
      <c r="G40" s="84"/>
      <c r="H40" s="84"/>
      <c r="I40" s="84"/>
      <c r="J40" s="84"/>
      <c r="K40" s="84" t="s">
        <v>51</v>
      </c>
      <c r="L40" s="84"/>
      <c r="M40" s="84"/>
      <c r="N40" s="84" t="s">
        <v>52</v>
      </c>
      <c r="O40" s="84">
        <v>2312.0</v>
      </c>
      <c r="P40" s="134">
        <v>45891.0</v>
      </c>
      <c r="Q40" s="84" t="s">
        <v>54</v>
      </c>
      <c r="R40" s="84"/>
      <c r="S40" s="84" t="s">
        <v>737</v>
      </c>
    </row>
    <row r="41">
      <c r="A41" s="84"/>
      <c r="B41" s="84" t="s">
        <v>770</v>
      </c>
      <c r="C41" s="84" t="s">
        <v>771</v>
      </c>
      <c r="D41" s="84">
        <v>3.107093084E9</v>
      </c>
      <c r="E41" s="84" t="s">
        <v>772</v>
      </c>
      <c r="G41" s="84"/>
      <c r="H41" s="84"/>
      <c r="I41" s="84"/>
      <c r="J41" s="84"/>
      <c r="K41" s="84" t="s">
        <v>66</v>
      </c>
      <c r="L41" s="1" t="s">
        <v>773</v>
      </c>
      <c r="M41" s="84"/>
      <c r="N41" s="84" t="s">
        <v>52</v>
      </c>
      <c r="O41" s="84" t="s">
        <v>774</v>
      </c>
      <c r="P41" s="134">
        <v>45891.0</v>
      </c>
      <c r="Q41" s="84" t="s">
        <v>54</v>
      </c>
      <c r="R41" s="84"/>
      <c r="S41" s="84" t="s">
        <v>775</v>
      </c>
    </row>
    <row r="42">
      <c r="A42" s="84"/>
      <c r="B42" s="84" t="s">
        <v>776</v>
      </c>
      <c r="C42" s="84" t="s">
        <v>771</v>
      </c>
      <c r="D42" s="84" t="s">
        <v>777</v>
      </c>
      <c r="E42" s="84" t="s">
        <v>772</v>
      </c>
      <c r="G42" s="84"/>
      <c r="H42" s="84"/>
      <c r="I42" s="84"/>
      <c r="J42" s="84"/>
      <c r="K42" s="84" t="s">
        <v>51</v>
      </c>
      <c r="L42" s="84"/>
      <c r="M42" s="84"/>
      <c r="N42" s="84" t="s">
        <v>52</v>
      </c>
      <c r="O42" s="84" t="s">
        <v>774</v>
      </c>
      <c r="P42" s="134">
        <v>45891.0</v>
      </c>
      <c r="Q42" s="84" t="s">
        <v>54</v>
      </c>
      <c r="R42" s="84"/>
      <c r="S42" s="84" t="s">
        <v>775</v>
      </c>
    </row>
    <row r="43">
      <c r="A43" s="84"/>
      <c r="B43" s="84" t="s">
        <v>778</v>
      </c>
      <c r="C43" s="84" t="s">
        <v>779</v>
      </c>
      <c r="D43" s="84">
        <v>9.164942045E9</v>
      </c>
      <c r="E43" s="84" t="s">
        <v>780</v>
      </c>
      <c r="G43" s="84"/>
      <c r="H43" s="84"/>
      <c r="I43" s="84"/>
      <c r="J43" s="84"/>
      <c r="K43" s="84" t="s">
        <v>66</v>
      </c>
      <c r="L43" s="84" t="s">
        <v>648</v>
      </c>
      <c r="M43" s="84"/>
      <c r="N43" s="84" t="s">
        <v>52</v>
      </c>
      <c r="O43" s="84">
        <v>2020.0</v>
      </c>
      <c r="P43" s="134">
        <v>45892.0</v>
      </c>
      <c r="Q43" s="84" t="s">
        <v>88</v>
      </c>
      <c r="R43" s="84"/>
      <c r="S43" s="84" t="s">
        <v>680</v>
      </c>
    </row>
    <row r="44">
      <c r="A44" s="22"/>
      <c r="B44" s="22" t="s">
        <v>781</v>
      </c>
      <c r="C44" s="135"/>
      <c r="D44" s="22">
        <v>4.078401759E9</v>
      </c>
      <c r="E44" s="22" t="s">
        <v>782</v>
      </c>
      <c r="F44" s="135"/>
      <c r="G44" s="22"/>
      <c r="H44" s="22"/>
      <c r="I44" s="22"/>
      <c r="J44" s="22"/>
      <c r="K44" s="22" t="s">
        <v>66</v>
      </c>
      <c r="L44" s="22" t="s">
        <v>644</v>
      </c>
      <c r="M44" s="22"/>
      <c r="N44" s="22" t="s">
        <v>52</v>
      </c>
      <c r="O44" s="22">
        <v>4000.0</v>
      </c>
      <c r="P44" s="136">
        <v>45883.0</v>
      </c>
      <c r="Q44" s="22" t="s">
        <v>54</v>
      </c>
      <c r="R44" s="22"/>
      <c r="S44" s="22" t="s">
        <v>551</v>
      </c>
      <c r="T44" s="135"/>
      <c r="U44" s="135"/>
      <c r="V44" s="135"/>
      <c r="W44" s="135"/>
      <c r="X44" s="135"/>
    </row>
    <row r="45">
      <c r="A45" s="84"/>
      <c r="B45" s="84" t="s">
        <v>783</v>
      </c>
      <c r="C45" s="84" t="s">
        <v>784</v>
      </c>
      <c r="D45" s="84">
        <v>9.082747241E9</v>
      </c>
      <c r="E45" s="84" t="s">
        <v>785</v>
      </c>
      <c r="G45" s="84"/>
      <c r="H45" s="84"/>
      <c r="I45" s="84"/>
      <c r="J45" s="84"/>
      <c r="K45" s="84" t="s">
        <v>66</v>
      </c>
      <c r="L45" s="84" t="s">
        <v>648</v>
      </c>
      <c r="M45" s="84"/>
      <c r="N45" s="84" t="s">
        <v>52</v>
      </c>
      <c r="O45" s="84" t="s">
        <v>786</v>
      </c>
      <c r="P45" s="134">
        <v>45889.0</v>
      </c>
      <c r="Q45" s="84" t="s">
        <v>88</v>
      </c>
      <c r="R45" s="84"/>
      <c r="S45" s="84" t="s">
        <v>633</v>
      </c>
    </row>
    <row r="46">
      <c r="A46" s="84"/>
      <c r="B46" s="84" t="s">
        <v>787</v>
      </c>
      <c r="C46" s="84" t="s">
        <v>788</v>
      </c>
      <c r="D46" s="84" t="s">
        <v>789</v>
      </c>
      <c r="E46" s="84" t="s">
        <v>790</v>
      </c>
      <c r="G46" s="84"/>
      <c r="H46" s="84"/>
      <c r="I46" s="84"/>
      <c r="J46" s="84"/>
      <c r="K46" s="84" t="s">
        <v>66</v>
      </c>
      <c r="L46" s="84" t="s">
        <v>791</v>
      </c>
      <c r="M46" s="84"/>
      <c r="N46" s="84" t="s">
        <v>52</v>
      </c>
      <c r="O46" s="84" t="s">
        <v>792</v>
      </c>
      <c r="P46" s="134">
        <v>45889.0</v>
      </c>
      <c r="Q46" s="84" t="s">
        <v>125</v>
      </c>
      <c r="R46" s="84"/>
      <c r="S46" s="84" t="s">
        <v>222</v>
      </c>
    </row>
    <row r="47">
      <c r="A47" s="84"/>
      <c r="B47" s="84" t="s">
        <v>793</v>
      </c>
      <c r="C47" s="84" t="s">
        <v>794</v>
      </c>
      <c r="D47" s="84">
        <v>9.199371533E9</v>
      </c>
      <c r="E47" s="84" t="s">
        <v>795</v>
      </c>
      <c r="G47" s="84"/>
      <c r="H47" s="84"/>
      <c r="I47" s="84"/>
      <c r="J47" s="84"/>
      <c r="K47" s="84" t="s">
        <v>66</v>
      </c>
      <c r="L47" s="84" t="s">
        <v>648</v>
      </c>
      <c r="M47" s="84"/>
      <c r="N47" s="84" t="s">
        <v>52</v>
      </c>
      <c r="O47" s="84" t="s">
        <v>796</v>
      </c>
      <c r="P47" s="134">
        <v>45890.0</v>
      </c>
      <c r="Q47" s="84" t="s">
        <v>88</v>
      </c>
      <c r="R47" s="84"/>
      <c r="S47" s="84" t="s">
        <v>222</v>
      </c>
    </row>
    <row r="48">
      <c r="A48" s="84"/>
      <c r="B48" s="84" t="s">
        <v>797</v>
      </c>
      <c r="C48" s="84" t="s">
        <v>798</v>
      </c>
      <c r="D48" s="84">
        <v>7.146255442E9</v>
      </c>
      <c r="E48" s="84" t="s">
        <v>799</v>
      </c>
      <c r="G48" s="84"/>
      <c r="H48" s="84"/>
      <c r="I48" s="84"/>
      <c r="J48" s="84"/>
      <c r="K48" s="84" t="s">
        <v>66</v>
      </c>
      <c r="L48" s="84" t="s">
        <v>720</v>
      </c>
      <c r="M48" s="84"/>
      <c r="N48" s="84" t="s">
        <v>52</v>
      </c>
      <c r="O48" s="84">
        <v>2203.0</v>
      </c>
      <c r="P48" s="134">
        <v>45883.0</v>
      </c>
      <c r="Q48" s="84" t="s">
        <v>674</v>
      </c>
      <c r="R48" s="84"/>
      <c r="S48" s="84" t="s">
        <v>116</v>
      </c>
      <c r="T48" s="84" t="s">
        <v>800</v>
      </c>
    </row>
    <row r="49">
      <c r="A49" s="84"/>
      <c r="B49" s="84" t="s">
        <v>801</v>
      </c>
      <c r="C49" s="84" t="s">
        <v>802</v>
      </c>
      <c r="D49" s="84">
        <v>2.673568115E9</v>
      </c>
      <c r="E49" s="84" t="s">
        <v>803</v>
      </c>
      <c r="F49" s="84" t="s">
        <v>804</v>
      </c>
      <c r="G49" s="84"/>
      <c r="H49" s="84"/>
      <c r="I49" s="84"/>
      <c r="J49" s="84"/>
      <c r="K49" s="84" t="s">
        <v>51</v>
      </c>
      <c r="L49" s="84"/>
      <c r="M49" s="84"/>
      <c r="N49" s="84" t="s">
        <v>124</v>
      </c>
      <c r="P49" s="134">
        <v>45878.0</v>
      </c>
      <c r="Q49" s="84" t="s">
        <v>728</v>
      </c>
      <c r="R49" s="84"/>
    </row>
    <row r="50">
      <c r="A50" s="84"/>
      <c r="B50" s="84" t="s">
        <v>805</v>
      </c>
      <c r="C50" s="84" t="s">
        <v>806</v>
      </c>
      <c r="D50" s="84">
        <v>1.9176867838E10</v>
      </c>
      <c r="E50" s="84" t="s">
        <v>807</v>
      </c>
      <c r="G50" s="84"/>
      <c r="H50" s="84"/>
      <c r="I50" s="84"/>
      <c r="J50" s="84"/>
      <c r="K50" s="1" t="s">
        <v>75</v>
      </c>
      <c r="L50" s="84"/>
      <c r="M50" s="84"/>
      <c r="N50" s="84" t="s">
        <v>52</v>
      </c>
      <c r="O50" s="84" t="s">
        <v>103</v>
      </c>
      <c r="P50" s="134">
        <v>45883.0</v>
      </c>
      <c r="Q50" s="84" t="s">
        <v>96</v>
      </c>
      <c r="R50" s="84"/>
      <c r="S50" s="84" t="s">
        <v>102</v>
      </c>
      <c r="T50" s="84" t="s">
        <v>810</v>
      </c>
    </row>
    <row r="51">
      <c r="A51" s="84"/>
      <c r="B51" s="84" t="s">
        <v>553</v>
      </c>
      <c r="C51" s="84" t="s">
        <v>554</v>
      </c>
      <c r="D51" s="84">
        <v>9.175660907E9</v>
      </c>
      <c r="E51" s="84" t="s">
        <v>556</v>
      </c>
      <c r="G51" s="84"/>
      <c r="H51" s="84"/>
      <c r="I51" s="84"/>
      <c r="J51" s="84"/>
      <c r="K51" s="84" t="s">
        <v>66</v>
      </c>
      <c r="L51" s="84" t="s">
        <v>648</v>
      </c>
      <c r="M51" s="84"/>
      <c r="N51" s="84" t="s">
        <v>52</v>
      </c>
      <c r="O51" s="84" t="s">
        <v>103</v>
      </c>
      <c r="P51" s="134">
        <v>45882.0</v>
      </c>
      <c r="Q51" s="84" t="s">
        <v>54</v>
      </c>
      <c r="R51" s="84"/>
      <c r="S51" s="84" t="s">
        <v>102</v>
      </c>
    </row>
    <row r="52">
      <c r="A52" s="84"/>
      <c r="B52" s="84" t="s">
        <v>253</v>
      </c>
      <c r="C52" s="84" t="s">
        <v>254</v>
      </c>
      <c r="D52" s="84" t="s">
        <v>811</v>
      </c>
      <c r="E52" s="84" t="s">
        <v>256</v>
      </c>
      <c r="G52" s="84"/>
      <c r="H52" s="84"/>
      <c r="I52" s="84"/>
      <c r="J52" s="84"/>
      <c r="K52" s="84" t="s">
        <v>66</v>
      </c>
      <c r="L52" s="84" t="s">
        <v>67</v>
      </c>
      <c r="M52" s="84"/>
      <c r="N52" s="84" t="s">
        <v>52</v>
      </c>
      <c r="O52" s="84" t="s">
        <v>258</v>
      </c>
      <c r="P52" s="134">
        <v>45882.0</v>
      </c>
      <c r="Q52" s="84" t="s">
        <v>60</v>
      </c>
      <c r="R52" s="84"/>
      <c r="S52" s="84" t="s">
        <v>102</v>
      </c>
    </row>
    <row r="53">
      <c r="A53" s="22"/>
      <c r="B53" s="22" t="s">
        <v>812</v>
      </c>
      <c r="C53" s="22" t="s">
        <v>813</v>
      </c>
      <c r="D53" s="22" t="s">
        <v>814</v>
      </c>
      <c r="E53" s="22" t="s">
        <v>815</v>
      </c>
      <c r="F53" s="135"/>
      <c r="G53" s="22"/>
      <c r="H53" s="22"/>
      <c r="I53" s="22"/>
      <c r="J53" s="22"/>
      <c r="K53" s="22" t="s">
        <v>66</v>
      </c>
      <c r="L53" s="22" t="s">
        <v>640</v>
      </c>
      <c r="M53" s="22"/>
      <c r="N53" s="22" t="s">
        <v>52</v>
      </c>
      <c r="O53" s="22">
        <v>1021.0</v>
      </c>
      <c r="P53" s="136">
        <v>45890.0</v>
      </c>
      <c r="Q53" s="22" t="s">
        <v>54</v>
      </c>
      <c r="R53" s="22"/>
      <c r="S53" s="22" t="s">
        <v>816</v>
      </c>
      <c r="T53" s="135"/>
      <c r="U53" s="135"/>
      <c r="V53" s="135"/>
      <c r="W53" s="135"/>
      <c r="X53" s="135"/>
    </row>
    <row r="54">
      <c r="A54" s="84"/>
      <c r="B54" s="84" t="s">
        <v>817</v>
      </c>
      <c r="C54" s="84" t="s">
        <v>605</v>
      </c>
      <c r="D54" s="84">
        <v>5.168154488E9</v>
      </c>
      <c r="E54" s="84" t="s">
        <v>818</v>
      </c>
      <c r="G54" s="84"/>
      <c r="H54" s="84"/>
      <c r="I54" s="84"/>
      <c r="J54" s="84"/>
      <c r="K54" s="84" t="s">
        <v>66</v>
      </c>
      <c r="L54" s="84" t="s">
        <v>720</v>
      </c>
      <c r="M54" s="84"/>
      <c r="N54" s="84" t="s">
        <v>52</v>
      </c>
      <c r="O54" s="84">
        <v>2218.0</v>
      </c>
      <c r="P54" s="134">
        <v>45882.0</v>
      </c>
      <c r="Q54" s="84" t="s">
        <v>160</v>
      </c>
      <c r="R54" s="84"/>
      <c r="S54" s="84" t="s">
        <v>186</v>
      </c>
    </row>
    <row r="55">
      <c r="A55" s="84"/>
      <c r="B55" s="84" t="s">
        <v>819</v>
      </c>
      <c r="D55" s="84">
        <v>1.6784277093E10</v>
      </c>
      <c r="E55" s="84" t="s">
        <v>820</v>
      </c>
      <c r="G55" s="84"/>
      <c r="H55" s="84"/>
      <c r="I55" s="84"/>
      <c r="J55" s="84"/>
      <c r="K55" s="84" t="s">
        <v>66</v>
      </c>
      <c r="L55" s="84" t="s">
        <v>720</v>
      </c>
      <c r="M55" s="84"/>
      <c r="N55" s="84" t="s">
        <v>52</v>
      </c>
      <c r="O55" s="84" t="s">
        <v>103</v>
      </c>
      <c r="P55" s="134">
        <v>45882.0</v>
      </c>
      <c r="Q55" s="84" t="s">
        <v>239</v>
      </c>
      <c r="R55" s="84"/>
      <c r="S55" s="84" t="s">
        <v>102</v>
      </c>
    </row>
    <row r="56">
      <c r="A56" s="84"/>
      <c r="B56" s="84" t="s">
        <v>822</v>
      </c>
      <c r="C56" s="84" t="s">
        <v>823</v>
      </c>
      <c r="D56" s="84">
        <v>9.286154344E9</v>
      </c>
      <c r="E56" s="84" t="s">
        <v>824</v>
      </c>
      <c r="G56" s="84"/>
      <c r="H56" s="84"/>
      <c r="I56" s="84"/>
      <c r="J56" s="84"/>
      <c r="K56" s="84" t="s">
        <v>66</v>
      </c>
      <c r="L56" s="84" t="s">
        <v>648</v>
      </c>
      <c r="M56" s="84"/>
      <c r="N56" s="84" t="s">
        <v>52</v>
      </c>
      <c r="O56" s="84">
        <v>1024.0</v>
      </c>
      <c r="P56" s="134">
        <v>45877.0</v>
      </c>
      <c r="Q56" s="84" t="s">
        <v>96</v>
      </c>
      <c r="R56" s="84"/>
      <c r="S56" s="84" t="s">
        <v>639</v>
      </c>
      <c r="T56" s="84" t="s">
        <v>825</v>
      </c>
    </row>
    <row r="57">
      <c r="A57" s="22"/>
      <c r="B57" s="22" t="s">
        <v>826</v>
      </c>
      <c r="C57" s="22" t="s">
        <v>827</v>
      </c>
      <c r="D57" s="22">
        <v>5.614137625E9</v>
      </c>
      <c r="E57" s="22" t="s">
        <v>828</v>
      </c>
      <c r="F57" s="135"/>
      <c r="G57" s="22"/>
      <c r="H57" s="22"/>
      <c r="I57" s="22"/>
      <c r="J57" s="22"/>
      <c r="K57" s="22" t="s">
        <v>66</v>
      </c>
      <c r="L57" s="22" t="s">
        <v>644</v>
      </c>
      <c r="M57" s="22"/>
      <c r="N57" s="22" t="s">
        <v>52</v>
      </c>
      <c r="O57" s="22">
        <v>2103.0</v>
      </c>
      <c r="P57" s="136">
        <v>45890.0</v>
      </c>
      <c r="Q57" s="22" t="s">
        <v>88</v>
      </c>
      <c r="R57" s="22"/>
      <c r="S57" s="22" t="s">
        <v>222</v>
      </c>
      <c r="T57" s="135"/>
      <c r="U57" s="135"/>
      <c r="V57" s="135"/>
      <c r="W57" s="135"/>
      <c r="X57" s="135"/>
    </row>
    <row r="58">
      <c r="A58" s="84"/>
      <c r="B58" s="84" t="s">
        <v>271</v>
      </c>
      <c r="C58" s="84" t="s">
        <v>272</v>
      </c>
      <c r="D58" s="84" t="s">
        <v>273</v>
      </c>
      <c r="E58" s="84" t="s">
        <v>829</v>
      </c>
      <c r="G58" s="84"/>
      <c r="H58" s="84"/>
      <c r="I58" s="84"/>
      <c r="J58" s="84"/>
      <c r="K58" s="84" t="s">
        <v>51</v>
      </c>
      <c r="L58" s="84"/>
      <c r="M58" s="84"/>
      <c r="N58" s="84" t="s">
        <v>52</v>
      </c>
      <c r="O58" s="84" t="s">
        <v>277</v>
      </c>
      <c r="P58" s="134">
        <v>45889.0</v>
      </c>
      <c r="Q58" s="84" t="s">
        <v>96</v>
      </c>
      <c r="R58" s="84"/>
      <c r="S58" s="84" t="s">
        <v>276</v>
      </c>
    </row>
    <row r="59">
      <c r="A59" s="84"/>
      <c r="B59" s="84" t="s">
        <v>586</v>
      </c>
      <c r="C59" s="84" t="s">
        <v>587</v>
      </c>
      <c r="D59" s="84">
        <v>9.177330027E9</v>
      </c>
      <c r="E59" s="84" t="s">
        <v>589</v>
      </c>
      <c r="G59" s="84"/>
      <c r="H59" s="84"/>
      <c r="I59" s="84"/>
      <c r="J59" s="84"/>
      <c r="K59" s="84" t="s">
        <v>66</v>
      </c>
      <c r="L59" s="84" t="s">
        <v>720</v>
      </c>
      <c r="M59" s="84"/>
      <c r="N59" s="84" t="s">
        <v>52</v>
      </c>
      <c r="O59" s="84" t="s">
        <v>103</v>
      </c>
      <c r="P59" s="134">
        <v>45882.0</v>
      </c>
      <c r="Q59" s="84" t="s">
        <v>54</v>
      </c>
      <c r="R59" s="84"/>
      <c r="S59" s="84" t="s">
        <v>102</v>
      </c>
    </row>
    <row r="60">
      <c r="A60" s="84"/>
      <c r="B60" s="84" t="s">
        <v>558</v>
      </c>
      <c r="C60" s="84" t="s">
        <v>559</v>
      </c>
      <c r="D60" s="84">
        <v>1.2039136275E10</v>
      </c>
      <c r="E60" s="84" t="s">
        <v>561</v>
      </c>
      <c r="G60" s="84"/>
      <c r="H60" s="84"/>
      <c r="I60" s="84"/>
      <c r="J60" s="84"/>
      <c r="K60" s="84" t="s">
        <v>66</v>
      </c>
      <c r="L60" s="84" t="s">
        <v>67</v>
      </c>
      <c r="M60" s="84"/>
      <c r="N60" s="84" t="s">
        <v>52</v>
      </c>
      <c r="O60" s="84">
        <v>3310.0</v>
      </c>
      <c r="P60" s="134">
        <v>45882.0</v>
      </c>
      <c r="Q60" s="84" t="s">
        <v>54</v>
      </c>
      <c r="R60" s="84"/>
      <c r="S60" s="84" t="s">
        <v>78</v>
      </c>
    </row>
    <row r="61">
      <c r="A61" s="84"/>
      <c r="B61" s="84" t="s">
        <v>830</v>
      </c>
      <c r="C61" s="84" t="s">
        <v>831</v>
      </c>
      <c r="D61" s="84">
        <v>6.303072371E9</v>
      </c>
      <c r="E61" s="84" t="s">
        <v>832</v>
      </c>
      <c r="G61" s="84"/>
      <c r="H61" s="84"/>
      <c r="I61" s="84"/>
      <c r="J61" s="84"/>
      <c r="K61" s="84" t="s">
        <v>66</v>
      </c>
      <c r="L61" s="84" t="s">
        <v>648</v>
      </c>
      <c r="M61" s="84"/>
      <c r="N61" s="84" t="s">
        <v>52</v>
      </c>
      <c r="O61" s="84">
        <v>4102.0</v>
      </c>
      <c r="P61" s="134">
        <v>45882.0</v>
      </c>
      <c r="Q61" s="84" t="s">
        <v>88</v>
      </c>
      <c r="R61" s="84"/>
      <c r="S61" s="84" t="s">
        <v>61</v>
      </c>
      <c r="T61" s="84" t="s">
        <v>833</v>
      </c>
    </row>
    <row r="62">
      <c r="A62" s="84"/>
      <c r="B62" s="84" t="s">
        <v>834</v>
      </c>
      <c r="C62" s="84" t="s">
        <v>835</v>
      </c>
      <c r="D62" s="84">
        <v>2.162465632E9</v>
      </c>
      <c r="E62" s="84" t="s">
        <v>836</v>
      </c>
      <c r="G62" s="84"/>
      <c r="H62" s="84"/>
      <c r="I62" s="84"/>
      <c r="J62" s="84"/>
      <c r="K62" s="84" t="s">
        <v>66</v>
      </c>
      <c r="L62" s="84" t="s">
        <v>1449</v>
      </c>
      <c r="M62" s="84"/>
      <c r="N62" s="84" t="s">
        <v>52</v>
      </c>
      <c r="O62" s="84" t="s">
        <v>837</v>
      </c>
      <c r="P62" s="134">
        <v>45890.0</v>
      </c>
      <c r="Q62" s="84" t="s">
        <v>239</v>
      </c>
      <c r="R62" s="84"/>
      <c r="S62" s="84" t="s">
        <v>737</v>
      </c>
    </row>
    <row r="63">
      <c r="A63" s="22"/>
      <c r="B63" s="22" t="s">
        <v>838</v>
      </c>
      <c r="C63" s="22" t="s">
        <v>839</v>
      </c>
      <c r="D63" s="22">
        <v>7.046920035E9</v>
      </c>
      <c r="E63" s="22" t="s">
        <v>840</v>
      </c>
      <c r="F63" s="135"/>
      <c r="G63" s="22"/>
      <c r="H63" s="22"/>
      <c r="I63" s="22"/>
      <c r="J63" s="22"/>
      <c r="K63" s="22" t="s">
        <v>66</v>
      </c>
      <c r="L63" s="22" t="s">
        <v>644</v>
      </c>
      <c r="M63" s="22"/>
      <c r="N63" s="22" t="s">
        <v>52</v>
      </c>
      <c r="O63" s="22" t="s">
        <v>841</v>
      </c>
      <c r="P63" s="136">
        <v>45876.0</v>
      </c>
      <c r="Q63" s="22" t="s">
        <v>160</v>
      </c>
      <c r="R63" s="22"/>
      <c r="S63" s="22" t="s">
        <v>61</v>
      </c>
      <c r="T63" s="22" t="s">
        <v>842</v>
      </c>
      <c r="U63" s="135"/>
      <c r="V63" s="135"/>
      <c r="W63" s="135"/>
      <c r="X63" s="135"/>
    </row>
    <row r="64">
      <c r="A64" s="84"/>
      <c r="B64" s="84" t="s">
        <v>843</v>
      </c>
      <c r="C64" s="84" t="s">
        <v>844</v>
      </c>
      <c r="D64" s="84">
        <v>2.154443289E9</v>
      </c>
      <c r="E64" s="84" t="s">
        <v>845</v>
      </c>
      <c r="G64" s="84"/>
      <c r="H64" s="84"/>
      <c r="I64" s="84"/>
      <c r="J64" s="84"/>
      <c r="K64" s="84" t="s">
        <v>66</v>
      </c>
      <c r="L64" s="84" t="s">
        <v>652</v>
      </c>
      <c r="M64" s="84"/>
      <c r="N64" s="84" t="s">
        <v>52</v>
      </c>
      <c r="O64" s="84">
        <v>208.0</v>
      </c>
      <c r="P64" s="134">
        <v>45887.0</v>
      </c>
      <c r="Q64" s="84" t="s">
        <v>44</v>
      </c>
      <c r="R64" s="84"/>
      <c r="S64" s="84" t="s">
        <v>846</v>
      </c>
      <c r="T64" s="84" t="s">
        <v>847</v>
      </c>
    </row>
    <row r="65">
      <c r="A65" s="84"/>
      <c r="B65" s="84" t="s">
        <v>848</v>
      </c>
      <c r="C65" s="84" t="s">
        <v>844</v>
      </c>
      <c r="D65" s="84">
        <v>2.155005523E9</v>
      </c>
      <c r="E65" s="84" t="s">
        <v>845</v>
      </c>
      <c r="G65" s="84"/>
      <c r="H65" s="84"/>
      <c r="I65" s="84"/>
      <c r="J65" s="84"/>
      <c r="K65" s="84" t="s">
        <v>51</v>
      </c>
      <c r="L65" s="84"/>
      <c r="M65" s="84"/>
      <c r="N65" s="84" t="s">
        <v>52</v>
      </c>
      <c r="O65" s="84">
        <v>208.0</v>
      </c>
      <c r="P65" s="134">
        <v>45887.0</v>
      </c>
      <c r="Q65" s="84" t="s">
        <v>96</v>
      </c>
      <c r="R65" s="84"/>
      <c r="S65" s="84" t="s">
        <v>846</v>
      </c>
      <c r="T65" s="84" t="s">
        <v>849</v>
      </c>
    </row>
    <row r="66">
      <c r="A66" s="84"/>
      <c r="B66" s="84" t="s">
        <v>850</v>
      </c>
      <c r="C66" s="84" t="s">
        <v>851</v>
      </c>
      <c r="D66" s="84">
        <v>1.6176349662E10</v>
      </c>
      <c r="E66" s="84" t="s">
        <v>852</v>
      </c>
      <c r="G66" s="84"/>
      <c r="H66" s="84"/>
      <c r="I66" s="84"/>
      <c r="J66" s="84"/>
      <c r="K66" s="84" t="s">
        <v>51</v>
      </c>
      <c r="L66" s="84"/>
      <c r="M66" s="84"/>
      <c r="N66" s="84" t="s">
        <v>52</v>
      </c>
      <c r="O66" s="84" t="s">
        <v>853</v>
      </c>
      <c r="P66" s="134">
        <v>45892.0</v>
      </c>
      <c r="Q66" s="84" t="s">
        <v>54</v>
      </c>
      <c r="R66" s="84"/>
      <c r="S66" s="84" t="s">
        <v>633</v>
      </c>
    </row>
    <row r="67">
      <c r="A67" s="84"/>
      <c r="B67" s="84" t="s">
        <v>854</v>
      </c>
      <c r="C67" s="84" t="s">
        <v>855</v>
      </c>
      <c r="D67" s="84">
        <v>3.392233166E9</v>
      </c>
      <c r="E67" s="84" t="s">
        <v>856</v>
      </c>
      <c r="G67" s="84"/>
      <c r="H67" s="84"/>
      <c r="I67" s="84"/>
      <c r="J67" s="84"/>
      <c r="K67" s="84" t="s">
        <v>66</v>
      </c>
      <c r="L67" s="84" t="s">
        <v>720</v>
      </c>
      <c r="M67" s="84"/>
      <c r="N67" s="84" t="s">
        <v>52</v>
      </c>
      <c r="O67" s="84">
        <v>1105.0</v>
      </c>
      <c r="P67" s="134">
        <v>45883.0</v>
      </c>
      <c r="Q67" s="84" t="s">
        <v>160</v>
      </c>
      <c r="R67" s="84"/>
      <c r="S67" s="84" t="s">
        <v>186</v>
      </c>
    </row>
    <row r="68">
      <c r="A68" s="84"/>
      <c r="B68" s="84" t="s">
        <v>857</v>
      </c>
      <c r="D68" s="84">
        <v>1.9176127037E10</v>
      </c>
      <c r="E68" s="84" t="s">
        <v>858</v>
      </c>
      <c r="G68" s="84"/>
      <c r="H68" s="84"/>
      <c r="I68" s="84"/>
      <c r="J68" s="84"/>
      <c r="K68" s="84" t="s">
        <v>66</v>
      </c>
      <c r="L68" s="84" t="s">
        <v>67</v>
      </c>
      <c r="M68" s="84"/>
      <c r="N68" s="84" t="s">
        <v>52</v>
      </c>
      <c r="O68" s="84" t="s">
        <v>103</v>
      </c>
      <c r="P68" s="134">
        <v>45882.0</v>
      </c>
      <c r="Q68" s="84" t="s">
        <v>239</v>
      </c>
      <c r="R68" s="84"/>
      <c r="S68" s="84" t="s">
        <v>102</v>
      </c>
    </row>
    <row r="69">
      <c r="A69" s="84"/>
      <c r="B69" s="84" t="s">
        <v>860</v>
      </c>
      <c r="D69" s="84">
        <v>8.323688395E9</v>
      </c>
      <c r="E69" s="84" t="s">
        <v>861</v>
      </c>
      <c r="G69" s="84"/>
      <c r="H69" s="84"/>
      <c r="I69" s="84"/>
      <c r="J69" s="84"/>
      <c r="K69" s="84" t="s">
        <v>66</v>
      </c>
      <c r="L69" s="84" t="s">
        <v>648</v>
      </c>
      <c r="M69" s="84"/>
      <c r="N69" s="84" t="s">
        <v>52</v>
      </c>
      <c r="O69" s="84" t="s">
        <v>103</v>
      </c>
      <c r="P69" s="134">
        <v>45881.0</v>
      </c>
      <c r="Q69" s="84" t="s">
        <v>54</v>
      </c>
      <c r="R69" s="84"/>
      <c r="S69" s="84" t="s">
        <v>78</v>
      </c>
      <c r="T69" s="84" t="s">
        <v>862</v>
      </c>
    </row>
    <row r="70">
      <c r="A70" s="84"/>
      <c r="B70" s="84" t="s">
        <v>863</v>
      </c>
      <c r="D70" s="84">
        <v>3.304816706E9</v>
      </c>
      <c r="E70" s="84" t="s">
        <v>864</v>
      </c>
      <c r="G70" s="84"/>
      <c r="H70" s="84"/>
      <c r="I70" s="84"/>
      <c r="J70" s="84"/>
      <c r="K70" s="84" t="s">
        <v>66</v>
      </c>
      <c r="L70" s="84" t="s">
        <v>648</v>
      </c>
      <c r="M70" s="84"/>
      <c r="N70" s="84" t="s">
        <v>52</v>
      </c>
      <c r="O70" s="84">
        <v>3307.0</v>
      </c>
      <c r="P70" s="134">
        <v>45882.0</v>
      </c>
      <c r="Q70" s="84" t="s">
        <v>88</v>
      </c>
      <c r="R70" s="84"/>
      <c r="S70" s="84" t="s">
        <v>68</v>
      </c>
    </row>
    <row r="71">
      <c r="A71" s="84"/>
      <c r="B71" s="84" t="s">
        <v>865</v>
      </c>
      <c r="D71" s="84">
        <v>7.132997174E9</v>
      </c>
      <c r="E71" s="84" t="s">
        <v>866</v>
      </c>
      <c r="G71" s="84"/>
      <c r="H71" s="84"/>
      <c r="I71" s="84"/>
      <c r="J71" s="84"/>
      <c r="K71" s="84" t="s">
        <v>66</v>
      </c>
      <c r="L71" s="84" t="s">
        <v>652</v>
      </c>
      <c r="M71" s="84"/>
      <c r="N71" s="84" t="s">
        <v>52</v>
      </c>
      <c r="O71" s="84" t="s">
        <v>867</v>
      </c>
      <c r="P71" s="134">
        <v>45882.0</v>
      </c>
      <c r="Q71" s="84" t="s">
        <v>88</v>
      </c>
      <c r="R71" s="84"/>
      <c r="S71" s="84" t="s">
        <v>68</v>
      </c>
      <c r="T71" s="84" t="s">
        <v>868</v>
      </c>
    </row>
    <row r="72">
      <c r="A72" s="84"/>
      <c r="B72" s="84" t="s">
        <v>869</v>
      </c>
      <c r="C72" s="84" t="s">
        <v>870</v>
      </c>
      <c r="D72" s="84">
        <v>1.8183140867E10</v>
      </c>
      <c r="E72" s="84" t="s">
        <v>351</v>
      </c>
      <c r="G72" s="84"/>
      <c r="H72" s="84"/>
      <c r="I72" s="84"/>
      <c r="J72" s="84"/>
      <c r="K72" s="84" t="s">
        <v>66</v>
      </c>
      <c r="L72" s="84" t="s">
        <v>652</v>
      </c>
      <c r="M72" s="84"/>
      <c r="N72" s="84" t="s">
        <v>52</v>
      </c>
      <c r="O72" s="84">
        <v>2222.0</v>
      </c>
      <c r="P72" s="134">
        <v>45882.0</v>
      </c>
      <c r="Q72" s="84" t="s">
        <v>96</v>
      </c>
      <c r="R72" s="84"/>
      <c r="S72" s="84" t="s">
        <v>186</v>
      </c>
    </row>
    <row r="73">
      <c r="A73" s="84"/>
      <c r="B73" s="84" t="s">
        <v>871</v>
      </c>
      <c r="C73" s="84" t="s">
        <v>872</v>
      </c>
      <c r="D73" s="84" t="s">
        <v>873</v>
      </c>
      <c r="E73" s="84" t="s">
        <v>874</v>
      </c>
      <c r="F73" s="84" t="s">
        <v>875</v>
      </c>
      <c r="G73" s="84"/>
      <c r="H73" s="84"/>
      <c r="I73" s="84"/>
      <c r="J73" s="84"/>
      <c r="K73" s="84" t="s">
        <v>51</v>
      </c>
      <c r="L73" s="84"/>
      <c r="M73" s="84"/>
      <c r="N73" s="84" t="s">
        <v>124</v>
      </c>
      <c r="P73" s="134">
        <v>45855.0</v>
      </c>
      <c r="Q73" s="84" t="s">
        <v>88</v>
      </c>
      <c r="R73" s="84"/>
    </row>
    <row r="74">
      <c r="A74" s="84"/>
      <c r="B74" s="84" t="s">
        <v>876</v>
      </c>
      <c r="D74" s="84">
        <v>1.4024294779E10</v>
      </c>
      <c r="E74" s="84" t="s">
        <v>877</v>
      </c>
      <c r="G74" s="84"/>
      <c r="H74" s="84"/>
      <c r="I74" s="84"/>
      <c r="J74" s="84"/>
      <c r="K74" s="84" t="s">
        <v>66</v>
      </c>
      <c r="L74" s="84" t="s">
        <v>652</v>
      </c>
      <c r="M74" s="84"/>
      <c r="N74" s="84" t="s">
        <v>52</v>
      </c>
      <c r="O74" s="84" t="s">
        <v>878</v>
      </c>
      <c r="P74" s="134">
        <v>45881.0</v>
      </c>
      <c r="Q74" s="84" t="s">
        <v>88</v>
      </c>
      <c r="R74" s="84"/>
      <c r="S74" s="84" t="s">
        <v>153</v>
      </c>
    </row>
    <row r="75">
      <c r="A75" s="84"/>
      <c r="B75" s="84" t="s">
        <v>879</v>
      </c>
      <c r="C75" s="84" t="s">
        <v>880</v>
      </c>
      <c r="D75" s="84">
        <v>9.544392663E9</v>
      </c>
      <c r="E75" s="84" t="s">
        <v>881</v>
      </c>
      <c r="F75" s="84" t="s">
        <v>882</v>
      </c>
      <c r="G75" s="84"/>
      <c r="H75" s="84"/>
      <c r="I75" s="84"/>
      <c r="J75" s="84"/>
      <c r="K75" s="84" t="s">
        <v>42</v>
      </c>
      <c r="L75" s="84" t="s">
        <v>883</v>
      </c>
      <c r="M75" s="84"/>
      <c r="N75" s="84"/>
      <c r="P75" s="134">
        <v>45856.0</v>
      </c>
      <c r="Q75" s="84" t="s">
        <v>60</v>
      </c>
      <c r="R75" s="84"/>
      <c r="T75" s="84" t="s">
        <v>884</v>
      </c>
    </row>
    <row r="76">
      <c r="A76" s="84"/>
      <c r="B76" s="84" t="s">
        <v>885</v>
      </c>
      <c r="C76" s="84" t="s">
        <v>248</v>
      </c>
      <c r="D76" s="84">
        <v>9.494311134E9</v>
      </c>
      <c r="E76" s="84" t="s">
        <v>886</v>
      </c>
      <c r="G76" s="84"/>
      <c r="H76" s="84"/>
      <c r="I76" s="84"/>
      <c r="J76" s="84"/>
      <c r="K76" s="84" t="s">
        <v>66</v>
      </c>
      <c r="L76" s="84" t="s">
        <v>652</v>
      </c>
      <c r="M76" s="84"/>
      <c r="N76" s="84" t="s">
        <v>52</v>
      </c>
      <c r="O76" s="84">
        <v>4407.0</v>
      </c>
      <c r="P76" s="134">
        <v>45883.0</v>
      </c>
      <c r="Q76" s="84" t="s">
        <v>54</v>
      </c>
      <c r="R76" s="84"/>
      <c r="S76" s="84" t="s">
        <v>116</v>
      </c>
    </row>
    <row r="77">
      <c r="A77" s="84"/>
      <c r="B77" s="84" t="s">
        <v>887</v>
      </c>
      <c r="C77" s="84" t="s">
        <v>593</v>
      </c>
      <c r="D77" s="84">
        <v>1.9172732413E10</v>
      </c>
      <c r="E77" s="84" t="s">
        <v>595</v>
      </c>
      <c r="G77" s="84"/>
      <c r="H77" s="84"/>
      <c r="I77" s="84"/>
      <c r="J77" s="84"/>
      <c r="K77" s="84" t="s">
        <v>66</v>
      </c>
      <c r="L77" s="84" t="s">
        <v>648</v>
      </c>
      <c r="M77" s="84"/>
      <c r="N77" s="84" t="s">
        <v>52</v>
      </c>
      <c r="O77" s="84">
        <v>1033.0</v>
      </c>
      <c r="P77" s="134">
        <v>45882.0</v>
      </c>
      <c r="Q77" s="84" t="s">
        <v>96</v>
      </c>
      <c r="R77" s="84"/>
      <c r="S77" s="84" t="s">
        <v>45</v>
      </c>
    </row>
    <row r="78">
      <c r="A78" s="84"/>
      <c r="B78" s="84" t="s">
        <v>888</v>
      </c>
      <c r="C78" s="84" t="s">
        <v>889</v>
      </c>
      <c r="D78" s="84">
        <v>1.6073293312E10</v>
      </c>
      <c r="E78" s="84" t="s">
        <v>890</v>
      </c>
      <c r="F78" s="84" t="s">
        <v>891</v>
      </c>
      <c r="G78" s="84"/>
      <c r="H78" s="84"/>
      <c r="I78" s="84"/>
      <c r="J78" s="84"/>
      <c r="K78" s="84" t="s">
        <v>892</v>
      </c>
      <c r="L78" s="84">
        <v>2.0</v>
      </c>
      <c r="M78" s="84"/>
      <c r="N78" s="84"/>
      <c r="P78" s="134">
        <v>45857.0</v>
      </c>
      <c r="Q78" s="84" t="s">
        <v>54</v>
      </c>
      <c r="R78" s="84"/>
    </row>
    <row r="79">
      <c r="A79" s="84"/>
      <c r="B79" s="84" t="s">
        <v>360</v>
      </c>
      <c r="C79" s="84" t="s">
        <v>361</v>
      </c>
      <c r="D79" s="84">
        <v>6.026902075E9</v>
      </c>
      <c r="E79" s="84" t="s">
        <v>363</v>
      </c>
      <c r="G79" s="84"/>
      <c r="H79" s="84"/>
      <c r="I79" s="84"/>
      <c r="J79" s="84"/>
      <c r="K79" s="84" t="s">
        <v>66</v>
      </c>
      <c r="L79" s="84" t="s">
        <v>652</v>
      </c>
      <c r="M79" s="84"/>
      <c r="N79" s="84" t="s">
        <v>52</v>
      </c>
      <c r="O79" s="84">
        <v>3316.0</v>
      </c>
      <c r="P79" s="134">
        <v>45882.0</v>
      </c>
      <c r="Q79" s="84" t="s">
        <v>54</v>
      </c>
      <c r="R79" s="84"/>
      <c r="S79" s="84" t="s">
        <v>116</v>
      </c>
    </row>
    <row r="80">
      <c r="A80" s="84"/>
      <c r="B80" s="84" t="s">
        <v>893</v>
      </c>
      <c r="C80" s="84" t="s">
        <v>894</v>
      </c>
      <c r="D80" s="84">
        <v>7.733989021E9</v>
      </c>
      <c r="E80" s="84" t="s">
        <v>895</v>
      </c>
      <c r="G80" s="84"/>
      <c r="H80" s="84"/>
      <c r="I80" s="84"/>
      <c r="J80" s="84"/>
      <c r="K80" s="84" t="s">
        <v>66</v>
      </c>
      <c r="L80" s="84" t="s">
        <v>652</v>
      </c>
      <c r="M80" s="84"/>
      <c r="N80" s="84" t="s">
        <v>52</v>
      </c>
      <c r="O80" s="84">
        <v>3309.0</v>
      </c>
      <c r="P80" s="134">
        <v>45882.0</v>
      </c>
      <c r="Q80" s="84" t="s">
        <v>96</v>
      </c>
      <c r="R80" s="84"/>
      <c r="S80" s="84" t="s">
        <v>78</v>
      </c>
    </row>
    <row r="81">
      <c r="A81" s="84"/>
      <c r="B81" s="84" t="s">
        <v>896</v>
      </c>
      <c r="C81" s="84" t="s">
        <v>897</v>
      </c>
      <c r="D81" s="84">
        <v>1.8083927875E10</v>
      </c>
      <c r="E81" s="84" t="s">
        <v>898</v>
      </c>
      <c r="G81" s="84"/>
      <c r="H81" s="84"/>
      <c r="I81" s="84"/>
      <c r="J81" s="84"/>
      <c r="K81" s="84" t="s">
        <v>66</v>
      </c>
      <c r="L81" s="84" t="s">
        <v>652</v>
      </c>
      <c r="M81" s="84"/>
      <c r="N81" s="84" t="s">
        <v>52</v>
      </c>
      <c r="O81" s="84">
        <v>4434.0</v>
      </c>
      <c r="P81" s="134">
        <v>45882.0</v>
      </c>
      <c r="Q81" s="84" t="s">
        <v>125</v>
      </c>
      <c r="R81" s="84"/>
      <c r="S81" s="84" t="s">
        <v>109</v>
      </c>
      <c r="T81" s="84" t="s">
        <v>899</v>
      </c>
    </row>
    <row r="82">
      <c r="A82" s="84"/>
      <c r="B82" s="84" t="s">
        <v>900</v>
      </c>
      <c r="C82" s="84" t="s">
        <v>493</v>
      </c>
      <c r="D82" s="84">
        <v>1.9176129737E10</v>
      </c>
      <c r="E82" s="84" t="s">
        <v>495</v>
      </c>
      <c r="G82" s="84"/>
      <c r="H82" s="84"/>
      <c r="I82" s="84"/>
      <c r="J82" s="84"/>
      <c r="K82" s="84" t="s">
        <v>66</v>
      </c>
      <c r="L82" s="84" t="s">
        <v>648</v>
      </c>
      <c r="M82" s="84"/>
      <c r="N82" s="84" t="s">
        <v>52</v>
      </c>
      <c r="O82" s="84">
        <v>2240.0</v>
      </c>
      <c r="P82" s="134">
        <v>45882.0</v>
      </c>
      <c r="Q82" s="84" t="s">
        <v>96</v>
      </c>
      <c r="R82" s="84"/>
      <c r="S82" s="84" t="s">
        <v>109</v>
      </c>
    </row>
    <row r="83">
      <c r="A83" s="84"/>
      <c r="B83" s="84" t="s">
        <v>901</v>
      </c>
      <c r="C83" s="84" t="s">
        <v>902</v>
      </c>
      <c r="D83" s="84">
        <v>8.479209255E9</v>
      </c>
      <c r="E83" s="84" t="s">
        <v>903</v>
      </c>
      <c r="G83" s="84"/>
      <c r="H83" s="84"/>
      <c r="I83" s="84"/>
      <c r="J83" s="84"/>
      <c r="K83" s="84" t="s">
        <v>66</v>
      </c>
      <c r="L83" s="84" t="s">
        <v>648</v>
      </c>
      <c r="M83" s="84"/>
      <c r="N83" s="84" t="s">
        <v>52</v>
      </c>
      <c r="O83" s="84">
        <v>2083.0</v>
      </c>
      <c r="P83" s="134">
        <v>45887.0</v>
      </c>
      <c r="Q83" s="84" t="s">
        <v>54</v>
      </c>
      <c r="R83" s="84"/>
      <c r="S83" s="84" t="s">
        <v>653</v>
      </c>
      <c r="T83" s="84" t="s">
        <v>904</v>
      </c>
    </row>
    <row r="84">
      <c r="A84" s="84"/>
      <c r="B84" s="84" t="s">
        <v>905</v>
      </c>
      <c r="C84" s="84" t="s">
        <v>906</v>
      </c>
      <c r="D84" s="84">
        <v>9.14374685E9</v>
      </c>
      <c r="E84" s="84" t="s">
        <v>907</v>
      </c>
      <c r="G84" s="84"/>
      <c r="H84" s="84"/>
      <c r="I84" s="84"/>
      <c r="J84" s="84"/>
      <c r="K84" s="84" t="s">
        <v>75</v>
      </c>
      <c r="L84" s="84"/>
      <c r="M84" s="84"/>
      <c r="N84" s="84" t="s">
        <v>52</v>
      </c>
      <c r="O84" s="84" t="s">
        <v>908</v>
      </c>
      <c r="P84" s="134">
        <v>45873.0</v>
      </c>
      <c r="Q84" s="84" t="s">
        <v>54</v>
      </c>
      <c r="R84" s="84"/>
      <c r="S84" s="84" t="s">
        <v>116</v>
      </c>
      <c r="T84" s="84" t="s">
        <v>909</v>
      </c>
    </row>
    <row r="85">
      <c r="A85" s="84"/>
      <c r="B85" s="84" t="s">
        <v>609</v>
      </c>
      <c r="C85" s="84" t="s">
        <v>610</v>
      </c>
      <c r="D85" s="84" t="s">
        <v>910</v>
      </c>
      <c r="E85" s="84" t="s">
        <v>612</v>
      </c>
      <c r="G85" s="84"/>
      <c r="H85" s="84"/>
      <c r="I85" s="84"/>
      <c r="J85" s="84"/>
      <c r="K85" s="84" t="s">
        <v>66</v>
      </c>
      <c r="L85" s="84" t="s">
        <v>648</v>
      </c>
      <c r="M85" s="84"/>
      <c r="N85" s="84" t="s">
        <v>52</v>
      </c>
      <c r="O85" s="84" t="s">
        <v>614</v>
      </c>
      <c r="P85" s="134">
        <v>45882.0</v>
      </c>
      <c r="Q85" s="84" t="s">
        <v>54</v>
      </c>
      <c r="R85" s="84"/>
      <c r="S85" s="84" t="s">
        <v>68</v>
      </c>
    </row>
    <row r="86">
      <c r="A86" s="84"/>
      <c r="B86" s="84" t="s">
        <v>911</v>
      </c>
      <c r="C86" s="84" t="s">
        <v>912</v>
      </c>
      <c r="D86" s="84">
        <v>9.178530025E9</v>
      </c>
      <c r="E86" s="84" t="s">
        <v>913</v>
      </c>
      <c r="G86" s="84"/>
      <c r="H86" s="84"/>
      <c r="I86" s="84"/>
      <c r="J86" s="84"/>
      <c r="K86" s="84" t="s">
        <v>66</v>
      </c>
      <c r="L86" s="84" t="s">
        <v>914</v>
      </c>
      <c r="M86" s="84"/>
      <c r="N86" s="84" t="s">
        <v>52</v>
      </c>
      <c r="O86" s="84" t="s">
        <v>915</v>
      </c>
      <c r="P86" s="134">
        <v>45883.0</v>
      </c>
      <c r="Q86" s="84" t="s">
        <v>160</v>
      </c>
      <c r="R86" s="84"/>
      <c r="S86" s="84" t="s">
        <v>675</v>
      </c>
    </row>
    <row r="87">
      <c r="A87" s="84"/>
      <c r="B87" s="84" t="s">
        <v>916</v>
      </c>
      <c r="C87" s="84" t="s">
        <v>917</v>
      </c>
      <c r="D87" s="84">
        <v>9.144326482E9</v>
      </c>
      <c r="E87" s="84" t="s">
        <v>538</v>
      </c>
      <c r="G87" s="84"/>
      <c r="H87" s="84"/>
      <c r="I87" s="84"/>
      <c r="J87" s="84"/>
      <c r="K87" s="84" t="s">
        <v>66</v>
      </c>
      <c r="L87" s="84" t="s">
        <v>648</v>
      </c>
      <c r="M87" s="84"/>
      <c r="N87" s="84" t="s">
        <v>52</v>
      </c>
      <c r="O87" s="84" t="s">
        <v>540</v>
      </c>
      <c r="P87" s="134">
        <v>45883.0</v>
      </c>
      <c r="Q87" s="84" t="s">
        <v>239</v>
      </c>
      <c r="R87" s="84"/>
      <c r="S87" s="84" t="s">
        <v>146</v>
      </c>
    </row>
    <row r="88">
      <c r="A88" s="84"/>
      <c r="B88" s="84" t="s">
        <v>15283</v>
      </c>
      <c r="C88" s="84" t="s">
        <v>15284</v>
      </c>
      <c r="D88" s="84">
        <v>3.142005642E9</v>
      </c>
      <c r="E88" s="84" t="s">
        <v>15285</v>
      </c>
      <c r="F88" s="84" t="s">
        <v>258</v>
      </c>
      <c r="G88" s="84"/>
      <c r="H88" s="84"/>
      <c r="I88" s="84"/>
      <c r="J88" s="84"/>
      <c r="K88" s="84" t="s">
        <v>66</v>
      </c>
      <c r="L88" s="84" t="s">
        <v>652</v>
      </c>
      <c r="M88" s="84"/>
      <c r="N88" s="84"/>
      <c r="P88" s="134">
        <v>45870.0</v>
      </c>
      <c r="Q88" s="84" t="s">
        <v>54</v>
      </c>
      <c r="R88" s="84"/>
      <c r="T88" s="84" t="s">
        <v>258</v>
      </c>
    </row>
    <row r="89">
      <c r="A89" s="84"/>
      <c r="B89" s="84" t="s">
        <v>918</v>
      </c>
      <c r="C89" s="84" t="s">
        <v>919</v>
      </c>
      <c r="D89" s="84">
        <v>9.17570488E9</v>
      </c>
      <c r="E89" s="84" t="s">
        <v>920</v>
      </c>
      <c r="G89" s="84"/>
      <c r="H89" s="84"/>
      <c r="I89" s="84"/>
      <c r="J89" s="84"/>
      <c r="K89" s="84" t="s">
        <v>66</v>
      </c>
      <c r="L89" s="84" t="s">
        <v>67</v>
      </c>
      <c r="M89" s="84"/>
      <c r="N89" s="84" t="s">
        <v>52</v>
      </c>
      <c r="O89" s="84" t="s">
        <v>921</v>
      </c>
      <c r="P89" s="134">
        <v>45882.0</v>
      </c>
      <c r="Q89" s="84" t="s">
        <v>88</v>
      </c>
      <c r="R89" s="84"/>
      <c r="S89" s="84" t="s">
        <v>922</v>
      </c>
    </row>
    <row r="90">
      <c r="A90" s="84"/>
      <c r="B90" s="84" t="s">
        <v>923</v>
      </c>
      <c r="C90" s="84" t="s">
        <v>924</v>
      </c>
      <c r="D90" s="84">
        <v>9.142919464E9</v>
      </c>
      <c r="E90" s="84" t="s">
        <v>925</v>
      </c>
      <c r="G90" s="84"/>
      <c r="H90" s="84"/>
      <c r="I90" s="84"/>
      <c r="J90" s="84"/>
      <c r="K90" s="84" t="s">
        <v>66</v>
      </c>
      <c r="L90" s="84" t="s">
        <v>926</v>
      </c>
      <c r="M90" s="84"/>
      <c r="N90" s="84" t="s">
        <v>52</v>
      </c>
      <c r="O90" s="84">
        <v>2231.0</v>
      </c>
      <c r="P90" s="134">
        <v>45883.0</v>
      </c>
      <c r="Q90" s="84" t="s">
        <v>54</v>
      </c>
      <c r="R90" s="84"/>
      <c r="S90" s="84" t="s">
        <v>68</v>
      </c>
    </row>
    <row r="91">
      <c r="A91" s="84"/>
      <c r="B91" s="84" t="s">
        <v>923</v>
      </c>
      <c r="C91" s="84" t="s">
        <v>924</v>
      </c>
      <c r="D91" s="84">
        <v>9.142919464E9</v>
      </c>
      <c r="E91" s="84" t="s">
        <v>925</v>
      </c>
      <c r="G91" s="84"/>
      <c r="H91" s="84"/>
      <c r="I91" s="84"/>
      <c r="J91" s="84"/>
      <c r="K91" s="84" t="s">
        <v>75</v>
      </c>
      <c r="M91" s="84"/>
      <c r="N91" s="84" t="s">
        <v>52</v>
      </c>
      <c r="O91" s="84">
        <v>2231.0</v>
      </c>
      <c r="P91" s="134">
        <v>45883.0</v>
      </c>
      <c r="Q91" s="84" t="s">
        <v>54</v>
      </c>
      <c r="R91" s="84"/>
      <c r="S91" s="84" t="s">
        <v>68</v>
      </c>
    </row>
    <row r="92">
      <c r="A92" s="84"/>
      <c r="B92" s="84" t="s">
        <v>927</v>
      </c>
      <c r="D92" s="84">
        <v>3.015125184E9</v>
      </c>
      <c r="E92" s="84" t="s">
        <v>928</v>
      </c>
      <c r="G92" s="84"/>
      <c r="H92" s="84"/>
      <c r="I92" s="84"/>
      <c r="J92" s="84"/>
      <c r="K92" s="84" t="s">
        <v>66</v>
      </c>
      <c r="L92" s="84" t="s">
        <v>929</v>
      </c>
      <c r="M92" s="84"/>
      <c r="N92" s="84" t="s">
        <v>52</v>
      </c>
      <c r="O92" s="84">
        <v>3323.0</v>
      </c>
      <c r="P92" s="134">
        <v>45882.0</v>
      </c>
      <c r="Q92" s="84" t="s">
        <v>96</v>
      </c>
      <c r="R92" s="84"/>
      <c r="S92" s="84" t="s">
        <v>109</v>
      </c>
    </row>
    <row r="93">
      <c r="A93" s="84"/>
      <c r="B93" s="84" t="s">
        <v>930</v>
      </c>
      <c r="C93" s="84" t="s">
        <v>931</v>
      </c>
      <c r="D93" s="84">
        <v>9.144139568E9</v>
      </c>
      <c r="E93" s="84" t="s">
        <v>932</v>
      </c>
      <c r="F93" s="84" t="s">
        <v>933</v>
      </c>
      <c r="G93" s="84"/>
      <c r="H93" s="84"/>
      <c r="I93" s="84"/>
      <c r="J93" s="84"/>
      <c r="K93" s="84" t="s">
        <v>51</v>
      </c>
      <c r="L93" s="84"/>
      <c r="M93" s="84"/>
      <c r="N93" s="84" t="s">
        <v>124</v>
      </c>
      <c r="P93" s="134">
        <v>45882.0</v>
      </c>
      <c r="Q93" s="84" t="s">
        <v>160</v>
      </c>
      <c r="R93" s="84"/>
      <c r="T93" s="84" t="s">
        <v>934</v>
      </c>
    </row>
    <row r="94">
      <c r="A94" s="84"/>
      <c r="B94" s="84" t="s">
        <v>935</v>
      </c>
      <c r="C94" s="84" t="s">
        <v>176</v>
      </c>
      <c r="D94" s="84" t="s">
        <v>936</v>
      </c>
      <c r="E94" s="84" t="s">
        <v>937</v>
      </c>
      <c r="G94" s="84"/>
      <c r="H94" s="84"/>
      <c r="I94" s="84"/>
      <c r="J94" s="84"/>
      <c r="K94" s="84" t="s">
        <v>66</v>
      </c>
      <c r="L94" s="84" t="s">
        <v>652</v>
      </c>
      <c r="M94" s="84"/>
      <c r="N94" s="84" t="s">
        <v>52</v>
      </c>
      <c r="O94" s="84" t="s">
        <v>15286</v>
      </c>
      <c r="P94" s="134">
        <v>45887.0</v>
      </c>
      <c r="Q94" s="84" t="s">
        <v>329</v>
      </c>
      <c r="R94" s="84"/>
      <c r="S94" s="84" t="s">
        <v>938</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0.88"/>
    <col customWidth="1" min="3" max="3" width="12.88"/>
    <col customWidth="1" min="4" max="4" width="15.13"/>
    <col customWidth="1" min="5" max="5" width="21.25"/>
    <col customWidth="1" min="6" max="6" width="10.5"/>
    <col customWidth="1" min="7" max="7" width="14.38"/>
    <col customWidth="1" min="8" max="8" width="20.25"/>
    <col customWidth="1" min="9" max="9" width="15.88"/>
  </cols>
  <sheetData>
    <row r="1">
      <c r="A1" s="137" t="s">
        <v>15287</v>
      </c>
      <c r="B1" s="137" t="s">
        <v>2</v>
      </c>
      <c r="C1" s="137" t="s">
        <v>15288</v>
      </c>
      <c r="D1" s="137" t="s">
        <v>15289</v>
      </c>
      <c r="E1" s="137" t="s">
        <v>15290</v>
      </c>
      <c r="F1" s="137" t="s">
        <v>15291</v>
      </c>
      <c r="G1" s="137" t="s">
        <v>15292</v>
      </c>
      <c r="H1" s="137" t="s">
        <v>15293</v>
      </c>
      <c r="I1" s="137" t="s">
        <v>15294</v>
      </c>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row>
    <row r="2">
      <c r="A2" s="80" t="s">
        <v>1135</v>
      </c>
      <c r="B2" s="80" t="s">
        <v>1136</v>
      </c>
      <c r="C2" s="7">
        <v>6.788767305E9</v>
      </c>
      <c r="D2" s="80" t="s">
        <v>1137</v>
      </c>
      <c r="E2" s="80" t="s">
        <v>1140</v>
      </c>
      <c r="F2" s="84" t="b">
        <v>1</v>
      </c>
      <c r="G2" s="93" t="b">
        <v>0</v>
      </c>
      <c r="H2" s="80"/>
      <c r="I2" s="93" t="b">
        <v>0</v>
      </c>
      <c r="J2" s="1" t="s">
        <v>15295</v>
      </c>
      <c r="K2" s="19"/>
    </row>
    <row r="3">
      <c r="A3" s="80" t="s">
        <v>1279</v>
      </c>
      <c r="B3" s="80" t="s">
        <v>1280</v>
      </c>
      <c r="C3" s="7">
        <v>1.314437775E10</v>
      </c>
      <c r="D3" s="80" t="s">
        <v>1281</v>
      </c>
      <c r="E3" s="80" t="s">
        <v>1140</v>
      </c>
      <c r="F3" s="84" t="b">
        <v>1</v>
      </c>
      <c r="G3" s="84" t="b">
        <v>1</v>
      </c>
      <c r="H3" s="12" t="s">
        <v>1285</v>
      </c>
      <c r="I3" s="84" t="b">
        <v>1</v>
      </c>
      <c r="J3" s="1" t="s">
        <v>15296</v>
      </c>
      <c r="K3" s="1" t="s">
        <v>15297</v>
      </c>
    </row>
    <row r="4">
      <c r="A4" s="84" t="s">
        <v>2432</v>
      </c>
      <c r="B4" s="84" t="s">
        <v>2433</v>
      </c>
      <c r="C4" s="139">
        <v>9.179712001E9</v>
      </c>
      <c r="D4" s="84" t="s">
        <v>2434</v>
      </c>
      <c r="E4" s="84" t="s">
        <v>1140</v>
      </c>
      <c r="F4" s="140" t="s">
        <v>14140</v>
      </c>
      <c r="G4" s="140" t="s">
        <v>14140</v>
      </c>
      <c r="H4" s="84" t="s">
        <v>2437</v>
      </c>
      <c r="I4" s="84" t="b">
        <v>1</v>
      </c>
      <c r="J4" s="19"/>
      <c r="K4" s="1" t="s">
        <v>15297</v>
      </c>
    </row>
    <row r="5">
      <c r="A5" s="80" t="s">
        <v>3149</v>
      </c>
      <c r="B5" s="80" t="s">
        <v>3150</v>
      </c>
      <c r="C5" s="7">
        <v>8.024516839E9</v>
      </c>
      <c r="D5" s="80" t="s">
        <v>3151</v>
      </c>
      <c r="E5" s="93" t="s">
        <v>1140</v>
      </c>
      <c r="F5" s="84" t="b">
        <v>1</v>
      </c>
      <c r="G5" s="84" t="b">
        <v>1</v>
      </c>
      <c r="H5" s="84" t="s">
        <v>1285</v>
      </c>
      <c r="I5" s="84" t="b">
        <v>1</v>
      </c>
      <c r="J5" s="1" t="s">
        <v>15298</v>
      </c>
      <c r="K5" s="1" t="s">
        <v>15297</v>
      </c>
    </row>
    <row r="6">
      <c r="A6" s="80" t="s">
        <v>3087</v>
      </c>
      <c r="B6" s="80" t="s">
        <v>3088</v>
      </c>
      <c r="C6" s="10" t="s">
        <v>3089</v>
      </c>
      <c r="D6" s="80" t="s">
        <v>3090</v>
      </c>
      <c r="E6" s="80" t="s">
        <v>15299</v>
      </c>
      <c r="F6" s="84" t="b">
        <v>1</v>
      </c>
      <c r="G6" s="84" t="b">
        <v>1</v>
      </c>
      <c r="H6" s="12" t="s">
        <v>2437</v>
      </c>
      <c r="I6" s="84" t="b">
        <v>1</v>
      </c>
      <c r="J6" s="1" t="s">
        <v>15300</v>
      </c>
      <c r="K6" s="1" t="s">
        <v>15297</v>
      </c>
    </row>
  </sheetData>
  <drawing r:id="rId1"/>
  <tableParts count="1">
    <tablePart r:id="rId3"/>
  </tableParts>
</worksheet>
</file>